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none" hidePivotFieldList="1"/>
  <mc:AlternateContent xmlns:mc="http://schemas.openxmlformats.org/markup-compatibility/2006">
    <mc:Choice Requires="x15">
      <x15ac:absPath xmlns:x15ac="http://schemas.microsoft.com/office/spreadsheetml/2010/11/ac" url="https://d.docs.live.net/bf1bafdeaae04d5b/02. Projetos/Projeto Controle Loja/"/>
    </mc:Choice>
  </mc:AlternateContent>
  <xr:revisionPtr revIDLastSave="881" documentId="13_ncr:1_{3E1C8741-04BD-47A0-B24B-583969D94671}" xr6:coauthVersionLast="47" xr6:coauthVersionMax="47" xr10:uidLastSave="{3A84DA9F-9021-43F9-BC7A-9C39A9819672}"/>
  <bookViews>
    <workbookView xWindow="-120" yWindow="-120" windowWidth="29040" windowHeight="15840" tabRatio="927" xr2:uid="{00000000-000D-0000-FFFF-FFFF00000000}"/>
  </bookViews>
  <sheets>
    <sheet name="OBS" sheetId="48" r:id="rId1"/>
    <sheet name="Controle Pedido" sheetId="46" r:id="rId2"/>
    <sheet name="Follow Up" sheetId="26" r:id="rId3"/>
    <sheet name="Ocorrências Pedidos" sheetId="47" r:id="rId4"/>
    <sheet name="Sku" sheetId="34" r:id="rId5"/>
    <sheet name="PROXY" sheetId="30" r:id="rId6"/>
    <sheet name="SMS" sheetId="29" r:id="rId7"/>
    <sheet name="Banco de Dados" sheetId="1" r:id="rId8"/>
    <sheet name="Feriados" sheetId="43" state="hidden" r:id="rId9"/>
    <sheet name="Fluxo de Caixa" sheetId="28" r:id="rId10"/>
    <sheet name="Faturamento M" sheetId="25" r:id="rId11"/>
    <sheet name="Faturamento Geral" sheetId="41" r:id="rId12"/>
    <sheet name="Reembolso" sheetId="42" r:id="rId13"/>
    <sheet name="Prev. Fat." sheetId="7" r:id="rId14"/>
    <sheet name="Fat. Dia" sheetId="5" r:id="rId15"/>
    <sheet name="Analise Itens" sheetId="35" r:id="rId16"/>
  </sheets>
  <definedNames>
    <definedName name="_xlnm._FilterDatabase" localSheetId="15" hidden="1">'Analise Itens'!$A$3:$D$27</definedName>
    <definedName name="_xlnm._FilterDatabase" localSheetId="7" hidden="1">'Banco de Dados'!$A$1:$AQ$2123</definedName>
    <definedName name="_xlnm._FilterDatabase" localSheetId="2" hidden="1">'Follow Up'!$P$11:$P$371</definedName>
    <definedName name="_xlnm._FilterDatabase" localSheetId="3" hidden="1">'Ocorrências Pedidos'!$C$1:$F$304</definedName>
    <definedName name="_xlnm._FilterDatabase" localSheetId="13" hidden="1">'Prev. Fat.'!$A$4:$L$67</definedName>
    <definedName name="_xlnm._FilterDatabase" localSheetId="5" hidden="1">PROXY!$A$1:$D$6</definedName>
    <definedName name="_xlnm._FilterDatabase" localSheetId="4" hidden="1">Sku!$A$1:$O$65</definedName>
    <definedName name="_xlnm._FilterDatabase" localSheetId="6" hidden="1">SMS!$A$1:$K$2</definedName>
    <definedName name="Chave">'Banco de Dados'!$B$2:$B$2123</definedName>
    <definedName name="DataCompra">OFFSET('Banco de Dados'!$E$2, 0, 0, COUNTA('Banco de Dados'!$E:$E) - 1, 1)</definedName>
    <definedName name="DataPedido">OFFSET('Banco de Dados'!$D$2, 0, 0, COUNTA('Banco de Dados'!$D:$D) - 1, 1)</definedName>
    <definedName name="DataReembolso">OFFSET('Banco de Dados'!$AK$2, 0, 0, COUNTA('Banco de Dados'!$AK:$AK) - 1, 1)</definedName>
    <definedName name="ELiquido">OFFSET('Banco de Dados'!$U$2, 0, 0, COUNTA('Banco de Dados'!$U:$U) - 1, 1)</definedName>
    <definedName name="Loja">OFFSET('Banco de Dados'!$A$2, 0, 0, COUNTA('Banco de Dados'!$A:$A) - 1, 1)</definedName>
    <definedName name="PedidosClientes">OFFSET('Banco de Dados'!$C$2, 0, 0, COUNTA('Banco de Dados'!$C:$C) - 1, 1)</definedName>
    <definedName name="PrazoEntrega">OFFSET('Banco de Dados'!$Q$2, 0, 0, COUNTA('Banco de Dados'!$Q:$Q) - 1, 1)</definedName>
    <definedName name="Proxy">'Banco de Dados'!$X$2:$X$2123</definedName>
    <definedName name="QtdItens">OFFSET('Banco de Dados'!$H$2, 0, 0, COUNTA('Banco de Dados'!$H:$H) - 1, 1)</definedName>
    <definedName name="Sku">OFFSET('Banco de Dados'!$P$2, 0, 0, COUNTA('Banco de Dados'!$P:$P) - 1, 1)</definedName>
    <definedName name="SMS">'Banco de Dados'!$W$2:$W$2123</definedName>
    <definedName name="TaxaE">OFFSET('Banco de Dados'!$T$2, 0, 0, COUNTA('Banco de Dados'!$T:$T) - 1, 1)</definedName>
    <definedName name="ValorBruto">OFFSET('Banco de Dados'!$S$2, 0, 0, COUNTA('Banco de Dados'!$S:$S) - 1, 1)</definedName>
    <definedName name="ValorLiquido">OFFSET('Banco de Dados'!$Z$2, 0, 0, COUNTA('Banco de Dados'!$Z:$Z) - 1, 1)</definedName>
    <definedName name="ValorPedido">OFFSET('Banco de Dados'!$R$2, 0, 0, COUNTA('Banco de Dados'!$R:$R) - 1, 1)</definedName>
  </definedNames>
  <calcPr calcId="191029"/>
  <pivotCaches>
    <pivotCache cacheId="0" r:id="rId17"/>
    <pivotCache cacheId="1" r:id="rId18"/>
    <pivotCache cacheId="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88" i="26" l="1"/>
  <c r="C1987" i="26"/>
  <c r="C1986" i="26"/>
  <c r="C1985" i="26"/>
  <c r="C1984" i="26"/>
  <c r="C1983" i="26"/>
  <c r="C1982" i="26"/>
  <c r="C1981" i="26"/>
  <c r="C1980" i="26"/>
  <c r="C1979" i="26"/>
  <c r="C1978" i="26"/>
  <c r="C1977" i="26"/>
  <c r="C1976" i="26"/>
  <c r="C1975" i="26"/>
  <c r="C1974" i="26"/>
  <c r="C1973" i="26"/>
  <c r="C1972" i="26"/>
  <c r="C1971" i="26"/>
  <c r="C1970" i="26"/>
  <c r="C1969" i="26"/>
  <c r="C1968" i="26"/>
  <c r="C1967" i="26"/>
  <c r="C1966" i="26"/>
  <c r="C1965" i="26"/>
  <c r="C1964" i="26"/>
  <c r="C1963" i="26"/>
  <c r="C1962" i="26"/>
  <c r="C1961" i="26"/>
  <c r="C1960" i="26"/>
  <c r="C1959" i="26"/>
  <c r="C1958" i="26"/>
  <c r="C1957" i="26"/>
  <c r="C1956" i="26"/>
  <c r="C1955" i="26"/>
  <c r="C1954" i="26"/>
  <c r="C1953" i="26"/>
  <c r="C1952" i="26"/>
  <c r="C1951" i="26"/>
  <c r="C1950" i="26"/>
  <c r="C1949" i="26"/>
  <c r="C1948" i="26"/>
  <c r="C1947" i="26"/>
  <c r="C1946" i="26"/>
  <c r="C1945" i="26"/>
  <c r="C1944" i="26"/>
  <c r="C1943" i="26"/>
  <c r="C1942" i="26"/>
  <c r="C1941" i="26"/>
  <c r="C1940" i="26"/>
  <c r="C1939" i="26"/>
  <c r="C1938" i="26"/>
  <c r="C1937" i="26"/>
  <c r="C1936" i="26"/>
  <c r="C1935" i="26"/>
  <c r="C1934" i="26"/>
  <c r="C1933" i="26"/>
  <c r="C1932" i="26"/>
  <c r="C1931" i="26"/>
  <c r="C1930" i="26"/>
  <c r="C1929" i="26"/>
  <c r="C1928" i="26"/>
  <c r="C1927" i="26"/>
  <c r="C1926" i="26"/>
  <c r="C1925" i="26"/>
  <c r="C1924" i="26"/>
  <c r="C1923" i="26"/>
  <c r="C1922" i="26"/>
  <c r="C1921" i="26"/>
  <c r="C1920" i="26"/>
  <c r="C1919" i="26"/>
  <c r="C1918" i="26"/>
  <c r="C1917" i="26"/>
  <c r="C1916" i="26"/>
  <c r="C1915" i="26"/>
  <c r="C1914" i="26"/>
  <c r="C1913" i="26"/>
  <c r="C1912" i="26"/>
  <c r="C1911" i="26"/>
  <c r="C1910" i="26"/>
  <c r="C1909" i="26"/>
  <c r="C1908" i="26"/>
  <c r="C1907" i="26"/>
  <c r="C1906" i="26"/>
  <c r="C1905" i="26"/>
  <c r="C1904" i="26"/>
  <c r="C1903" i="26"/>
  <c r="C1902" i="26"/>
  <c r="C1901" i="26"/>
  <c r="C1900" i="26"/>
  <c r="C1899" i="26"/>
  <c r="C1898" i="26"/>
  <c r="C1897" i="26"/>
  <c r="C1896" i="26"/>
  <c r="C1895" i="26"/>
  <c r="C1894" i="26"/>
  <c r="C1893" i="26"/>
  <c r="C1892" i="26"/>
  <c r="C1891" i="26"/>
  <c r="C1890" i="26"/>
  <c r="C1889" i="26"/>
  <c r="C1888" i="26"/>
  <c r="C1887" i="26"/>
  <c r="C1886" i="26"/>
  <c r="C1885" i="26"/>
  <c r="C1884" i="26"/>
  <c r="C1883" i="26"/>
  <c r="C1882" i="26"/>
  <c r="C1881" i="26"/>
  <c r="C1880" i="26"/>
  <c r="C1879" i="26"/>
  <c r="C1878" i="26"/>
  <c r="C1877" i="26"/>
  <c r="C1876" i="26"/>
  <c r="C1875" i="26"/>
  <c r="C1874" i="26"/>
  <c r="C1873" i="26"/>
  <c r="C1872" i="26"/>
  <c r="C1871" i="26"/>
  <c r="C1870" i="26"/>
  <c r="C1869" i="26"/>
  <c r="C1868" i="26"/>
  <c r="C1867" i="26"/>
  <c r="C1866" i="26"/>
  <c r="C1865" i="26"/>
  <c r="C1864" i="26"/>
  <c r="C1863" i="26"/>
  <c r="C1862" i="26"/>
  <c r="C1861" i="26"/>
  <c r="C1860" i="26"/>
  <c r="C1859" i="26"/>
  <c r="C1858" i="26"/>
  <c r="C1857" i="26"/>
  <c r="C1856" i="26"/>
  <c r="C1855" i="26"/>
  <c r="C1854" i="26"/>
  <c r="C1853" i="26"/>
  <c r="C1852" i="26"/>
  <c r="C1851" i="26"/>
  <c r="C1850" i="26"/>
  <c r="C1849" i="26"/>
  <c r="C1848" i="26"/>
  <c r="C1847" i="26"/>
  <c r="C1846" i="26"/>
  <c r="C1845" i="26"/>
  <c r="C1844" i="26"/>
  <c r="C1843" i="26"/>
  <c r="C1842" i="26"/>
  <c r="C1841" i="26"/>
  <c r="C1840" i="26"/>
  <c r="C1839" i="26"/>
  <c r="C1838" i="26"/>
  <c r="C1837" i="26"/>
  <c r="C1836" i="26"/>
  <c r="C1835" i="26"/>
  <c r="C1834" i="26"/>
  <c r="C1833" i="26"/>
  <c r="C1832" i="26"/>
  <c r="C1831" i="26"/>
  <c r="C1830" i="26"/>
  <c r="C1829" i="26"/>
  <c r="C1828" i="26"/>
  <c r="C1827" i="26"/>
  <c r="C1826" i="26"/>
  <c r="C1825" i="26"/>
  <c r="C1824" i="26"/>
  <c r="C1823" i="26"/>
  <c r="C1822" i="26"/>
  <c r="C1821" i="26"/>
  <c r="C1820" i="26"/>
  <c r="C1819" i="26"/>
  <c r="C1818" i="26"/>
  <c r="C1817" i="26"/>
  <c r="C1816" i="26"/>
  <c r="C1815" i="26"/>
  <c r="C1814" i="26"/>
  <c r="C1813" i="26"/>
  <c r="C1812" i="26"/>
  <c r="C1811" i="26"/>
  <c r="C1810" i="26"/>
  <c r="C1809" i="26"/>
  <c r="C1808" i="26"/>
  <c r="C1807" i="26"/>
  <c r="C1806" i="26"/>
  <c r="C1805" i="26"/>
  <c r="C1804" i="26"/>
  <c r="C1803" i="26"/>
  <c r="C1802" i="26"/>
  <c r="C1801" i="26"/>
  <c r="C1800" i="26"/>
  <c r="C1799" i="26"/>
  <c r="C1798" i="26"/>
  <c r="C1797" i="26"/>
  <c r="C1796" i="26"/>
  <c r="C1795" i="26"/>
  <c r="C1794" i="26"/>
  <c r="C1793" i="26"/>
  <c r="C1792" i="26"/>
  <c r="C1791" i="26"/>
  <c r="C1790" i="26"/>
  <c r="C1789" i="26"/>
  <c r="C1788" i="26"/>
  <c r="C1787" i="26"/>
  <c r="C1786" i="26"/>
  <c r="C1785" i="26"/>
  <c r="C1784" i="26"/>
  <c r="C1783" i="26"/>
  <c r="C1782" i="26"/>
  <c r="C1781" i="26"/>
  <c r="C1780" i="26"/>
  <c r="C1779" i="26"/>
  <c r="C1778" i="26"/>
  <c r="C1777" i="26"/>
  <c r="C1776" i="26"/>
  <c r="C1775" i="26"/>
  <c r="C1774" i="26"/>
  <c r="C1773" i="26"/>
  <c r="C1772" i="26"/>
  <c r="C1771" i="26"/>
  <c r="C1770" i="26"/>
  <c r="C1769" i="26"/>
  <c r="C1768" i="26"/>
  <c r="C1767" i="26"/>
  <c r="C1766" i="26"/>
  <c r="C1765" i="26"/>
  <c r="C1764" i="26"/>
  <c r="C1763" i="26"/>
  <c r="C1762" i="26"/>
  <c r="C1761" i="26"/>
  <c r="C1760" i="26"/>
  <c r="C1759" i="26"/>
  <c r="C1758" i="26"/>
  <c r="C1757" i="26"/>
  <c r="C1756" i="26"/>
  <c r="C1755" i="26"/>
  <c r="C1754" i="26"/>
  <c r="C1753" i="26"/>
  <c r="C1752" i="26"/>
  <c r="C1751" i="26"/>
  <c r="C1750" i="26"/>
  <c r="C1749" i="26"/>
  <c r="C1748" i="26"/>
  <c r="C1747" i="26"/>
  <c r="C1746" i="26"/>
  <c r="C1745" i="26"/>
  <c r="C1744" i="26"/>
  <c r="C1743" i="26"/>
  <c r="C1742" i="26"/>
  <c r="C1741" i="26"/>
  <c r="C1740" i="26"/>
  <c r="C1739" i="26"/>
  <c r="C1738" i="26"/>
  <c r="C1737" i="26"/>
  <c r="C1736" i="26"/>
  <c r="C1735" i="26"/>
  <c r="C1734" i="26"/>
  <c r="C1733" i="26"/>
  <c r="C1732" i="26"/>
  <c r="C1731" i="26"/>
  <c r="C1730" i="26"/>
  <c r="C1729" i="26"/>
  <c r="C1728" i="26"/>
  <c r="C1727" i="26"/>
  <c r="C1726" i="26"/>
  <c r="C1725" i="26"/>
  <c r="C1724" i="26"/>
  <c r="C1723" i="26"/>
  <c r="C1722" i="26"/>
  <c r="C1721" i="26"/>
  <c r="C1720" i="26"/>
  <c r="C1719" i="26"/>
  <c r="C1718" i="26"/>
  <c r="C1717" i="26"/>
  <c r="C1716" i="26"/>
  <c r="C1715" i="26"/>
  <c r="C1714" i="26"/>
  <c r="C1713" i="26"/>
  <c r="C1712" i="26"/>
  <c r="C1711" i="26"/>
  <c r="C1710" i="26"/>
  <c r="C1709" i="26"/>
  <c r="C1708" i="26"/>
  <c r="C1707" i="26"/>
  <c r="C1706" i="26"/>
  <c r="C1705" i="26"/>
  <c r="C1704" i="26"/>
  <c r="C1703" i="26"/>
  <c r="C1702" i="26"/>
  <c r="C1701" i="26"/>
  <c r="C1700" i="26"/>
  <c r="C1699" i="26"/>
  <c r="C1698" i="26"/>
  <c r="C1697" i="26"/>
  <c r="C1696" i="26"/>
  <c r="C1695" i="26"/>
  <c r="C1694" i="26"/>
  <c r="C1693" i="26"/>
  <c r="C1692" i="26"/>
  <c r="C1691" i="26"/>
  <c r="C1690" i="26"/>
  <c r="C1689" i="26"/>
  <c r="C1688" i="26"/>
  <c r="C1687" i="26"/>
  <c r="C1686" i="26"/>
  <c r="C1685" i="26"/>
  <c r="C1684" i="26"/>
  <c r="C1683" i="26"/>
  <c r="C1682" i="26"/>
  <c r="C1681" i="26"/>
  <c r="C1680" i="26"/>
  <c r="C1679" i="26"/>
  <c r="C1678" i="26"/>
  <c r="C1677" i="26"/>
  <c r="C1676" i="26"/>
  <c r="C1675" i="26"/>
  <c r="C1674" i="26"/>
  <c r="C1673" i="26"/>
  <c r="C1672" i="26"/>
  <c r="C1671" i="26"/>
  <c r="C1670" i="26"/>
  <c r="C1669" i="26"/>
  <c r="C1668" i="26"/>
  <c r="C1667" i="26"/>
  <c r="C1666" i="26"/>
  <c r="C1665" i="26"/>
  <c r="C1664" i="26"/>
  <c r="C1663" i="26"/>
  <c r="C1662" i="26"/>
  <c r="C1661" i="26"/>
  <c r="C1660" i="26"/>
  <c r="C1659" i="26"/>
  <c r="C1658" i="26"/>
  <c r="C1657" i="26"/>
  <c r="C1656" i="26"/>
  <c r="C1655" i="26"/>
  <c r="C1654" i="26"/>
  <c r="C1653" i="26"/>
  <c r="C1652" i="26"/>
  <c r="C1651" i="26"/>
  <c r="C1650" i="26"/>
  <c r="C1649" i="26"/>
  <c r="C1648" i="26"/>
  <c r="C1647" i="26"/>
  <c r="C1646" i="26"/>
  <c r="C1645" i="26"/>
  <c r="C1644" i="26"/>
  <c r="C1643" i="26"/>
  <c r="C1642" i="26"/>
  <c r="C1641" i="26"/>
  <c r="C1640" i="26"/>
  <c r="C1639" i="26"/>
  <c r="C1638" i="26"/>
  <c r="C1637" i="26"/>
  <c r="C1636" i="26"/>
  <c r="C1635" i="26"/>
  <c r="C1634" i="26"/>
  <c r="C1633" i="26"/>
  <c r="C1632" i="26"/>
  <c r="C1631" i="26"/>
  <c r="C1630" i="26"/>
  <c r="C1629" i="26"/>
  <c r="C1628" i="26"/>
  <c r="C1627" i="26"/>
  <c r="C1626" i="26"/>
  <c r="C1625" i="26"/>
  <c r="C1624" i="26"/>
  <c r="C1623" i="26"/>
  <c r="C1622" i="26"/>
  <c r="C1621" i="26"/>
  <c r="C1620" i="26"/>
  <c r="C1619" i="26"/>
  <c r="C1618" i="26"/>
  <c r="C1617" i="26"/>
  <c r="C1616" i="26"/>
  <c r="C1615" i="26"/>
  <c r="C1614" i="26"/>
  <c r="C1613" i="26"/>
  <c r="C1612" i="26"/>
  <c r="C1611" i="26"/>
  <c r="C1610" i="26"/>
  <c r="C1609" i="26"/>
  <c r="C1608" i="26"/>
  <c r="C1607" i="26"/>
  <c r="C1606" i="26"/>
  <c r="C1605" i="26"/>
  <c r="C1604" i="26"/>
  <c r="C1603" i="26"/>
  <c r="C1602" i="26"/>
  <c r="C1601" i="26"/>
  <c r="C1600" i="26"/>
  <c r="C1599" i="26"/>
  <c r="C1598" i="26"/>
  <c r="C1597" i="26"/>
  <c r="C1596" i="26"/>
  <c r="C1595" i="26"/>
  <c r="C1594" i="26"/>
  <c r="C1593" i="26"/>
  <c r="C1592" i="26"/>
  <c r="C1591" i="26"/>
  <c r="C1590" i="26"/>
  <c r="C1589" i="26"/>
  <c r="C1588" i="26"/>
  <c r="C1587" i="26"/>
  <c r="C1586" i="26"/>
  <c r="C1585" i="26"/>
  <c r="C1584" i="26"/>
  <c r="C1583" i="26"/>
  <c r="C1582" i="26"/>
  <c r="C1581" i="26"/>
  <c r="C1580" i="26"/>
  <c r="C1579" i="26"/>
  <c r="C1578" i="26"/>
  <c r="C1577" i="26"/>
  <c r="C1576" i="26"/>
  <c r="C1575" i="26"/>
  <c r="C1574" i="26"/>
  <c r="C1573" i="26"/>
  <c r="C1572" i="26"/>
  <c r="C1571" i="26"/>
  <c r="C1570" i="26"/>
  <c r="C1569" i="26"/>
  <c r="C1568" i="26"/>
  <c r="C1567" i="26"/>
  <c r="C1566" i="26"/>
  <c r="C1565" i="26"/>
  <c r="C1564" i="26"/>
  <c r="C1563" i="26"/>
  <c r="C1562" i="26"/>
  <c r="C1561" i="26"/>
  <c r="C1560" i="26"/>
  <c r="C1559" i="26"/>
  <c r="C1558" i="26"/>
  <c r="C1557" i="26"/>
  <c r="C1556" i="26"/>
  <c r="C1555" i="26"/>
  <c r="C1554" i="26"/>
  <c r="C1553" i="26"/>
  <c r="C1552" i="26"/>
  <c r="C1551" i="26"/>
  <c r="C1550" i="26"/>
  <c r="C1549" i="26"/>
  <c r="C1548" i="26"/>
  <c r="C1547" i="26"/>
  <c r="C1546" i="26"/>
  <c r="C1545" i="26"/>
  <c r="C1544" i="26"/>
  <c r="C1543" i="26"/>
  <c r="C1542" i="26"/>
  <c r="C1541" i="26"/>
  <c r="C1540" i="26"/>
  <c r="C1539" i="26"/>
  <c r="C1538" i="26"/>
  <c r="C1537" i="26"/>
  <c r="C1536" i="26"/>
  <c r="C1535" i="26"/>
  <c r="C1534" i="26"/>
  <c r="C1533" i="26"/>
  <c r="C1532" i="26"/>
  <c r="C1531" i="26"/>
  <c r="C1530" i="26"/>
  <c r="C1529" i="26"/>
  <c r="C1528" i="26"/>
  <c r="C1527" i="26"/>
  <c r="C1526" i="26"/>
  <c r="C1525" i="26"/>
  <c r="C1524" i="26"/>
  <c r="C1523" i="26"/>
  <c r="C1522" i="26"/>
  <c r="C1521" i="26"/>
  <c r="C1520" i="26"/>
  <c r="C1519" i="26"/>
  <c r="C1518" i="26"/>
  <c r="C1517" i="26"/>
  <c r="C1516" i="26"/>
  <c r="C1515" i="26"/>
  <c r="C1514" i="26"/>
  <c r="C1513" i="26"/>
  <c r="C1512" i="26"/>
  <c r="C1511" i="26"/>
  <c r="C1510" i="26"/>
  <c r="C1509" i="26"/>
  <c r="C1508" i="26"/>
  <c r="C1507" i="26"/>
  <c r="C1506" i="26"/>
  <c r="C1505" i="26"/>
  <c r="C1504" i="26"/>
  <c r="C1503" i="26"/>
  <c r="C1502" i="26"/>
  <c r="C1501" i="26"/>
  <c r="C1500" i="26"/>
  <c r="C1499" i="26"/>
  <c r="C1498" i="26"/>
  <c r="C1497" i="26"/>
  <c r="C1496" i="26"/>
  <c r="C1495" i="26"/>
  <c r="C1494" i="26"/>
  <c r="C1493" i="26"/>
  <c r="C1492" i="26"/>
  <c r="C1491" i="26"/>
  <c r="C1490" i="26"/>
  <c r="C1489" i="26"/>
  <c r="C1488" i="26"/>
  <c r="C1487" i="26"/>
  <c r="C1486" i="26"/>
  <c r="C1485" i="26"/>
  <c r="C1484" i="26"/>
  <c r="C1483" i="26"/>
  <c r="C1482" i="26"/>
  <c r="C1481" i="26"/>
  <c r="C1480" i="26"/>
  <c r="C1479" i="26"/>
  <c r="C1478" i="26"/>
  <c r="C1477" i="26"/>
  <c r="C1476" i="26"/>
  <c r="C1475" i="26"/>
  <c r="C1474" i="26"/>
  <c r="C1473" i="26"/>
  <c r="C1472" i="26"/>
  <c r="C1471" i="26"/>
  <c r="C1470" i="26"/>
  <c r="C1469" i="26"/>
  <c r="C1468" i="26"/>
  <c r="C1467" i="26"/>
  <c r="C1466" i="26"/>
  <c r="C1465" i="26"/>
  <c r="C1464" i="26"/>
  <c r="C1463" i="26"/>
  <c r="C1462" i="26"/>
  <c r="C1461" i="26"/>
  <c r="C1460" i="26"/>
  <c r="C1459" i="26"/>
  <c r="C1458" i="26"/>
  <c r="C1457" i="26"/>
  <c r="C1456" i="26"/>
  <c r="C1455" i="26"/>
  <c r="C1454" i="26"/>
  <c r="C1453" i="26"/>
  <c r="C1452" i="26"/>
  <c r="C1451" i="26"/>
  <c r="C1450" i="26"/>
  <c r="C1449" i="26"/>
  <c r="C1448" i="26"/>
  <c r="C1447" i="26"/>
  <c r="C1446" i="26"/>
  <c r="C1445" i="26"/>
  <c r="C1444" i="26"/>
  <c r="C1443" i="26"/>
  <c r="C1442" i="26"/>
  <c r="C1441" i="26"/>
  <c r="C1440" i="26"/>
  <c r="C1439" i="26"/>
  <c r="C1438" i="26"/>
  <c r="C1437" i="26"/>
  <c r="C1436" i="26"/>
  <c r="C1435" i="26"/>
  <c r="C1434" i="26"/>
  <c r="C1433" i="26"/>
  <c r="C1432" i="26"/>
  <c r="C1431" i="26"/>
  <c r="C1430" i="26"/>
  <c r="C1429" i="26"/>
  <c r="C1428" i="26"/>
  <c r="C1427" i="26"/>
  <c r="C1426" i="26"/>
  <c r="C1425" i="26"/>
  <c r="C1424" i="26"/>
  <c r="C1423" i="26"/>
  <c r="C1422" i="26"/>
  <c r="C1421" i="26"/>
  <c r="C1420" i="26"/>
  <c r="C1419" i="26"/>
  <c r="C1418" i="26"/>
  <c r="C1417" i="26"/>
  <c r="C1416" i="26"/>
  <c r="C1415" i="26"/>
  <c r="C1414" i="26"/>
  <c r="C1413" i="26"/>
  <c r="C1412" i="26"/>
  <c r="C1411" i="26"/>
  <c r="C1410" i="26"/>
  <c r="C1409" i="26"/>
  <c r="C1408" i="26"/>
  <c r="C1407" i="26"/>
  <c r="C1406" i="26"/>
  <c r="C1405" i="26"/>
  <c r="C1404" i="26"/>
  <c r="C1403" i="26"/>
  <c r="C1402" i="26"/>
  <c r="C1401" i="26"/>
  <c r="C1400" i="26"/>
  <c r="C1399" i="26"/>
  <c r="C1398" i="26"/>
  <c r="C1397" i="26"/>
  <c r="C1396" i="26"/>
  <c r="C1395" i="26"/>
  <c r="C1394" i="26"/>
  <c r="C1393" i="26"/>
  <c r="C1392" i="26"/>
  <c r="C1391" i="26"/>
  <c r="C1390" i="26"/>
  <c r="C1389" i="26"/>
  <c r="C1388" i="26"/>
  <c r="C1387" i="26"/>
  <c r="C1386" i="26"/>
  <c r="C1385" i="26"/>
  <c r="C1384" i="26"/>
  <c r="C1383" i="26"/>
  <c r="C1382" i="26"/>
  <c r="C1381" i="26"/>
  <c r="C1380" i="26"/>
  <c r="C1379" i="26"/>
  <c r="C1378" i="26"/>
  <c r="C1377" i="26"/>
  <c r="C1376" i="26"/>
  <c r="C1375" i="26"/>
  <c r="C1374" i="26"/>
  <c r="C1373" i="26"/>
  <c r="C1372" i="26"/>
  <c r="C1371" i="26"/>
  <c r="C1370" i="26"/>
  <c r="C1369" i="26"/>
  <c r="C1368" i="26"/>
  <c r="C1367" i="26"/>
  <c r="C1366" i="26"/>
  <c r="C1365" i="26"/>
  <c r="C1364" i="26"/>
  <c r="C1363" i="26"/>
  <c r="C1362" i="26"/>
  <c r="C1361" i="26"/>
  <c r="C1360" i="26"/>
  <c r="C1359" i="26"/>
  <c r="C1358" i="26"/>
  <c r="C1357" i="26"/>
  <c r="C1356" i="26"/>
  <c r="C1355" i="26"/>
  <c r="C1354" i="26"/>
  <c r="C1353" i="26"/>
  <c r="C1352" i="26"/>
  <c r="C1351" i="26"/>
  <c r="C1350" i="26"/>
  <c r="C1349" i="26"/>
  <c r="C1348" i="26"/>
  <c r="C1347" i="26"/>
  <c r="C1346" i="26"/>
  <c r="C1345" i="26"/>
  <c r="C1344" i="26"/>
  <c r="C1343" i="26"/>
  <c r="C1342" i="26"/>
  <c r="C1341" i="26"/>
  <c r="C1340" i="26"/>
  <c r="C1339" i="26"/>
  <c r="C1338" i="26"/>
  <c r="C1337" i="26"/>
  <c r="C1336" i="26"/>
  <c r="C1335" i="26"/>
  <c r="C1334" i="26"/>
  <c r="C1333" i="26"/>
  <c r="C1332" i="26"/>
  <c r="C1331" i="26"/>
  <c r="C1330" i="26"/>
  <c r="C1329" i="26"/>
  <c r="C1328" i="26"/>
  <c r="C1327" i="26"/>
  <c r="C1326" i="26"/>
  <c r="C1325" i="26"/>
  <c r="C1324" i="26"/>
  <c r="C1323" i="26"/>
  <c r="C1322" i="26"/>
  <c r="C1321" i="26"/>
  <c r="C1320" i="26"/>
  <c r="C1319" i="26"/>
  <c r="C1318" i="26"/>
  <c r="C1317" i="26"/>
  <c r="C1316" i="26"/>
  <c r="C1315" i="26"/>
  <c r="C1314" i="26"/>
  <c r="C1313" i="26"/>
  <c r="C1312" i="26"/>
  <c r="C1311" i="26"/>
  <c r="C1310" i="26"/>
  <c r="C1309" i="26"/>
  <c r="C1308" i="26"/>
  <c r="C1307" i="26"/>
  <c r="C1306" i="26"/>
  <c r="C1305" i="26"/>
  <c r="C1304" i="26"/>
  <c r="C1303" i="26"/>
  <c r="C1302" i="26"/>
  <c r="C1301" i="26"/>
  <c r="C1300" i="26"/>
  <c r="C1299" i="26"/>
  <c r="C1298" i="26"/>
  <c r="C1297" i="26"/>
  <c r="C1296" i="26"/>
  <c r="C1295" i="26"/>
  <c r="C1294" i="26"/>
  <c r="C1293" i="26"/>
  <c r="C1292" i="26"/>
  <c r="C1291" i="26"/>
  <c r="C1290" i="26"/>
  <c r="C1289" i="26"/>
  <c r="C1288" i="26"/>
  <c r="C1287" i="26"/>
  <c r="C1286" i="26"/>
  <c r="C1285" i="26"/>
  <c r="C1284" i="26"/>
  <c r="C1283" i="26"/>
  <c r="C1282" i="26"/>
  <c r="C1281" i="26"/>
  <c r="C1280" i="26"/>
  <c r="C1279" i="26"/>
  <c r="C1278" i="26"/>
  <c r="C1277" i="26"/>
  <c r="C1276" i="26"/>
  <c r="C1275" i="26"/>
  <c r="C1274" i="26"/>
  <c r="C1273" i="26"/>
  <c r="C1272" i="26"/>
  <c r="C1271" i="26"/>
  <c r="C1270" i="26"/>
  <c r="C1269" i="26"/>
  <c r="C1268" i="26"/>
  <c r="C1267" i="26"/>
  <c r="C1266" i="26"/>
  <c r="C1265" i="26"/>
  <c r="C1264" i="26"/>
  <c r="C1263" i="26"/>
  <c r="C1262" i="26"/>
  <c r="C1261" i="26"/>
  <c r="C1260" i="26"/>
  <c r="C1259" i="26"/>
  <c r="C1258" i="26"/>
  <c r="C1257" i="26"/>
  <c r="C1256" i="26"/>
  <c r="C1255" i="26"/>
  <c r="C1254" i="26"/>
  <c r="C1253" i="26"/>
  <c r="C1252" i="26"/>
  <c r="C1251" i="26"/>
  <c r="C1250" i="26"/>
  <c r="C1249" i="26"/>
  <c r="C1248" i="26"/>
  <c r="C1247" i="26"/>
  <c r="C1246" i="26"/>
  <c r="C1245" i="26"/>
  <c r="C1244" i="26"/>
  <c r="C1243" i="26"/>
  <c r="C1242" i="26"/>
  <c r="C1241" i="26"/>
  <c r="C1240" i="26"/>
  <c r="C1239" i="26"/>
  <c r="C1238" i="26"/>
  <c r="C1237" i="26"/>
  <c r="C1236" i="26"/>
  <c r="C1235" i="26"/>
  <c r="C1234" i="26"/>
  <c r="C1233" i="26"/>
  <c r="C1232" i="26"/>
  <c r="C1231" i="26"/>
  <c r="C1230" i="26"/>
  <c r="C1229" i="26"/>
  <c r="C1228" i="26"/>
  <c r="C1227" i="26"/>
  <c r="C1226" i="26"/>
  <c r="C1225" i="26"/>
  <c r="C1224" i="26"/>
  <c r="C1223" i="26"/>
  <c r="C1222" i="26"/>
  <c r="C1221" i="26"/>
  <c r="C1220" i="26"/>
  <c r="C1219" i="26"/>
  <c r="C1218" i="26"/>
  <c r="C1217" i="26"/>
  <c r="C1216" i="26"/>
  <c r="C1215" i="26"/>
  <c r="C1214" i="26"/>
  <c r="C1213" i="26"/>
  <c r="C1212" i="26"/>
  <c r="C1211" i="26"/>
  <c r="C1210" i="26"/>
  <c r="C1209" i="26"/>
  <c r="C1208" i="26"/>
  <c r="C1207" i="26"/>
  <c r="C1206" i="26"/>
  <c r="C1205" i="26"/>
  <c r="C1204" i="26"/>
  <c r="C1203" i="26"/>
  <c r="C1202" i="26"/>
  <c r="C1201" i="26"/>
  <c r="C1200" i="26"/>
  <c r="C1199" i="26"/>
  <c r="C1198" i="26"/>
  <c r="C1197" i="26"/>
  <c r="C1196" i="26"/>
  <c r="C1195" i="26"/>
  <c r="C1194" i="26"/>
  <c r="C1193" i="26"/>
  <c r="C1192" i="26"/>
  <c r="C1191" i="26"/>
  <c r="C1190" i="26"/>
  <c r="C1189" i="26"/>
  <c r="C1188" i="26"/>
  <c r="C1187" i="26"/>
  <c r="C1186" i="26"/>
  <c r="C1185" i="26"/>
  <c r="C1184" i="26"/>
  <c r="C1183" i="26"/>
  <c r="C1182" i="26"/>
  <c r="C1181" i="26"/>
  <c r="C1180" i="26"/>
  <c r="C1179" i="26"/>
  <c r="C1178" i="26"/>
  <c r="C1177" i="26"/>
  <c r="C1176" i="26"/>
  <c r="C1175" i="26"/>
  <c r="C1174" i="26"/>
  <c r="C1173" i="26"/>
  <c r="C1172" i="26"/>
  <c r="C1171" i="26"/>
  <c r="C1170" i="26"/>
  <c r="C1169" i="26"/>
  <c r="C1168" i="26"/>
  <c r="C1167" i="26"/>
  <c r="C1166" i="26"/>
  <c r="C1165" i="26"/>
  <c r="C1164" i="26"/>
  <c r="C1163" i="26"/>
  <c r="C1162" i="26"/>
  <c r="C1161" i="26"/>
  <c r="C1160" i="26"/>
  <c r="C1159" i="26"/>
  <c r="C1158" i="26"/>
  <c r="C1157" i="26"/>
  <c r="C1156" i="26"/>
  <c r="C1155" i="26"/>
  <c r="C1154" i="26"/>
  <c r="C1153" i="26"/>
  <c r="C1152" i="26"/>
  <c r="C1151" i="26"/>
  <c r="C1150" i="26"/>
  <c r="C1149" i="26"/>
  <c r="C1148" i="26"/>
  <c r="C1147" i="26"/>
  <c r="C1146" i="26"/>
  <c r="C1145" i="26"/>
  <c r="C1144" i="26"/>
  <c r="C1143" i="26"/>
  <c r="C1142" i="26"/>
  <c r="C1141" i="26"/>
  <c r="C1140" i="26"/>
  <c r="C1139" i="26"/>
  <c r="C1138" i="26"/>
  <c r="C1137" i="26"/>
  <c r="C1136" i="26"/>
  <c r="C1135" i="26"/>
  <c r="C1134" i="26"/>
  <c r="C1133" i="26"/>
  <c r="C1132" i="26"/>
  <c r="C1131" i="26"/>
  <c r="C1130" i="26"/>
  <c r="C1129" i="26"/>
  <c r="C1128" i="26"/>
  <c r="C1127" i="26"/>
  <c r="C1126" i="26"/>
  <c r="C1125" i="26"/>
  <c r="C1124" i="26"/>
  <c r="C1123" i="26"/>
  <c r="C1122" i="26"/>
  <c r="C1121" i="26"/>
  <c r="C1120" i="26"/>
  <c r="C1119" i="26"/>
  <c r="C1118" i="26"/>
  <c r="C1117" i="26"/>
  <c r="C1116" i="26"/>
  <c r="C1115" i="26"/>
  <c r="C1114" i="26"/>
  <c r="C1113" i="26"/>
  <c r="C1112" i="26"/>
  <c r="C1111" i="26"/>
  <c r="C1110" i="26"/>
  <c r="C1109" i="26"/>
  <c r="C1108" i="26"/>
  <c r="C1107" i="26"/>
  <c r="C1106" i="26"/>
  <c r="C1105" i="26"/>
  <c r="C1104" i="26"/>
  <c r="C1103" i="26"/>
  <c r="C1102" i="26"/>
  <c r="C1101" i="26"/>
  <c r="C1100" i="26"/>
  <c r="C1099" i="26"/>
  <c r="C1098" i="26"/>
  <c r="C1097" i="26"/>
  <c r="C1096" i="26"/>
  <c r="C1095" i="26"/>
  <c r="C1094" i="26"/>
  <c r="C1093" i="26"/>
  <c r="C1092" i="26"/>
  <c r="C1091" i="26"/>
  <c r="C1090" i="26"/>
  <c r="C1089" i="26"/>
  <c r="C1088" i="26"/>
  <c r="C1087" i="26"/>
  <c r="C1086" i="26"/>
  <c r="C1085" i="26"/>
  <c r="C1084" i="26"/>
  <c r="C1083" i="26"/>
  <c r="C1082" i="26"/>
  <c r="C1081" i="26"/>
  <c r="C1080" i="26"/>
  <c r="C1079" i="26"/>
  <c r="C1078" i="26"/>
  <c r="C1077" i="26"/>
  <c r="C1076" i="26"/>
  <c r="C1075" i="26"/>
  <c r="C1074" i="26"/>
  <c r="C1073" i="26"/>
  <c r="C1072" i="26"/>
  <c r="C1071" i="26"/>
  <c r="C1070" i="26"/>
  <c r="C1069" i="26"/>
  <c r="C1068" i="26"/>
  <c r="C1067" i="26"/>
  <c r="C1066" i="26"/>
  <c r="C1065" i="26"/>
  <c r="C1064" i="26"/>
  <c r="C1063" i="26"/>
  <c r="C1062" i="26"/>
  <c r="C1061" i="26"/>
  <c r="C1060" i="26"/>
  <c r="C1059" i="26"/>
  <c r="C1058" i="26"/>
  <c r="C1057" i="26"/>
  <c r="C1056" i="26"/>
  <c r="C1055" i="26"/>
  <c r="C1054" i="26"/>
  <c r="C1053" i="26"/>
  <c r="C1052" i="26"/>
  <c r="C1051" i="26"/>
  <c r="C1050" i="26"/>
  <c r="C1049" i="26"/>
  <c r="C1048" i="26"/>
  <c r="C1047" i="26"/>
  <c r="C1046" i="26"/>
  <c r="C1045" i="26"/>
  <c r="C1044" i="26"/>
  <c r="C1043" i="26"/>
  <c r="C1042" i="26"/>
  <c r="C1041" i="26"/>
  <c r="C1040" i="26"/>
  <c r="C1039" i="26"/>
  <c r="C1038" i="26"/>
  <c r="C1037" i="26"/>
  <c r="C1036" i="26"/>
  <c r="C1035" i="26"/>
  <c r="C1034" i="26"/>
  <c r="C1033" i="26"/>
  <c r="C1032" i="26"/>
  <c r="C1031" i="26"/>
  <c r="C1030" i="26"/>
  <c r="C1029" i="26"/>
  <c r="C1028" i="26"/>
  <c r="C1027" i="26"/>
  <c r="C1026" i="26"/>
  <c r="C1025" i="26"/>
  <c r="C1024" i="26"/>
  <c r="C1023" i="26"/>
  <c r="C1022" i="26"/>
  <c r="C1021" i="26"/>
  <c r="C1020" i="26"/>
  <c r="C1019" i="26"/>
  <c r="C1018" i="26"/>
  <c r="C1017" i="26"/>
  <c r="C1016" i="26"/>
  <c r="C1015" i="26"/>
  <c r="C1014" i="26"/>
  <c r="C1013" i="26"/>
  <c r="C1012" i="26"/>
  <c r="C1011" i="26"/>
  <c r="C1010" i="26"/>
  <c r="C1009" i="26"/>
  <c r="C1008" i="26"/>
  <c r="C1007" i="26"/>
  <c r="C1006" i="26"/>
  <c r="C1005" i="26"/>
  <c r="C1004" i="26"/>
  <c r="C1003" i="26"/>
  <c r="C1002" i="26"/>
  <c r="C1001" i="26"/>
  <c r="C1000" i="26"/>
  <c r="C999" i="26"/>
  <c r="C998" i="26"/>
  <c r="C997" i="26"/>
  <c r="C996" i="26"/>
  <c r="C995" i="26"/>
  <c r="C994" i="26"/>
  <c r="C993" i="26"/>
  <c r="C992" i="26"/>
  <c r="C991" i="26"/>
  <c r="C990" i="26"/>
  <c r="C989" i="26"/>
  <c r="C988" i="26"/>
  <c r="C987" i="26"/>
  <c r="C986" i="26"/>
  <c r="C985" i="26"/>
  <c r="C984" i="26"/>
  <c r="C983" i="26"/>
  <c r="C982" i="26"/>
  <c r="C981" i="26"/>
  <c r="C980" i="26"/>
  <c r="C979" i="26"/>
  <c r="C978" i="26"/>
  <c r="C977" i="26"/>
  <c r="C976" i="26"/>
  <c r="C975" i="26"/>
  <c r="C974" i="26"/>
  <c r="C973" i="26"/>
  <c r="C972" i="26"/>
  <c r="C971" i="26"/>
  <c r="C970" i="26"/>
  <c r="C969" i="26"/>
  <c r="C968" i="26"/>
  <c r="C967" i="26"/>
  <c r="C966" i="26"/>
  <c r="C965" i="26"/>
  <c r="C964" i="26"/>
  <c r="C963" i="26"/>
  <c r="C962" i="26"/>
  <c r="C961" i="26"/>
  <c r="C960" i="26"/>
  <c r="C959" i="26"/>
  <c r="C958" i="26"/>
  <c r="C957" i="26"/>
  <c r="C956" i="26"/>
  <c r="C955" i="26"/>
  <c r="C954" i="26"/>
  <c r="C953" i="26"/>
  <c r="C952" i="26"/>
  <c r="C951" i="26"/>
  <c r="C950" i="26"/>
  <c r="C949" i="26"/>
  <c r="C948" i="26"/>
  <c r="C947" i="26"/>
  <c r="C946" i="26"/>
  <c r="C945" i="26"/>
  <c r="C944" i="26"/>
  <c r="C943" i="26"/>
  <c r="C942" i="26"/>
  <c r="C941" i="26"/>
  <c r="C940" i="26"/>
  <c r="C939" i="26"/>
  <c r="C938" i="26"/>
  <c r="C937" i="26"/>
  <c r="C936" i="26"/>
  <c r="C935" i="26"/>
  <c r="C934" i="26"/>
  <c r="C933" i="26"/>
  <c r="C932" i="26"/>
  <c r="C931" i="26"/>
  <c r="C930" i="26"/>
  <c r="C929" i="26"/>
  <c r="C928" i="26"/>
  <c r="C927" i="26"/>
  <c r="C926" i="26"/>
  <c r="C925" i="26"/>
  <c r="C924" i="26"/>
  <c r="C923" i="26"/>
  <c r="C922" i="26"/>
  <c r="C921" i="26"/>
  <c r="C920" i="26"/>
  <c r="C919" i="26"/>
  <c r="C918" i="26"/>
  <c r="C917" i="26"/>
  <c r="C916" i="26"/>
  <c r="C915" i="26"/>
  <c r="C914" i="26"/>
  <c r="C913" i="26"/>
  <c r="C912" i="26"/>
  <c r="C911" i="26"/>
  <c r="C910" i="26"/>
  <c r="C909" i="26"/>
  <c r="C908" i="26"/>
  <c r="C907" i="26"/>
  <c r="C906" i="26"/>
  <c r="C905" i="26"/>
  <c r="C904" i="26"/>
  <c r="C903" i="26"/>
  <c r="C902" i="26"/>
  <c r="C901" i="26"/>
  <c r="C900" i="26"/>
  <c r="C899" i="26"/>
  <c r="C898" i="26"/>
  <c r="C897" i="26"/>
  <c r="C896" i="26"/>
  <c r="C895" i="26"/>
  <c r="C894" i="26"/>
  <c r="C893" i="26"/>
  <c r="C892" i="26"/>
  <c r="C891" i="26"/>
  <c r="C890" i="26"/>
  <c r="C889" i="26"/>
  <c r="C888" i="26"/>
  <c r="C887" i="26"/>
  <c r="C886" i="26"/>
  <c r="C885" i="26"/>
  <c r="C884" i="26"/>
  <c r="C883" i="26"/>
  <c r="C882" i="26"/>
  <c r="C881" i="26"/>
  <c r="C880" i="26"/>
  <c r="C879" i="26"/>
  <c r="C878" i="26"/>
  <c r="C877" i="26"/>
  <c r="C876" i="26"/>
  <c r="C875" i="26"/>
  <c r="C874" i="26"/>
  <c r="C873" i="26"/>
  <c r="C872" i="26"/>
  <c r="C871" i="26"/>
  <c r="C870" i="26"/>
  <c r="C869" i="26"/>
  <c r="C868" i="26"/>
  <c r="C867" i="26"/>
  <c r="C866" i="26"/>
  <c r="C865" i="26"/>
  <c r="C864" i="26"/>
  <c r="C863" i="26"/>
  <c r="C862" i="26"/>
  <c r="C861" i="26"/>
  <c r="C860" i="26"/>
  <c r="C859" i="26"/>
  <c r="C858" i="26"/>
  <c r="C857" i="26"/>
  <c r="C856" i="26"/>
  <c r="C855" i="26"/>
  <c r="C854" i="26"/>
  <c r="C853" i="26"/>
  <c r="C852" i="26"/>
  <c r="C851" i="26"/>
  <c r="C850" i="26"/>
  <c r="C849" i="26"/>
  <c r="C848" i="26"/>
  <c r="C847" i="26"/>
  <c r="C846" i="26"/>
  <c r="C845" i="26"/>
  <c r="C844" i="26"/>
  <c r="C843" i="26"/>
  <c r="C842" i="26"/>
  <c r="C841" i="26"/>
  <c r="C840" i="26"/>
  <c r="C839" i="26"/>
  <c r="C838" i="26"/>
  <c r="C837" i="26"/>
  <c r="C836" i="26"/>
  <c r="C835" i="26"/>
  <c r="C834" i="26"/>
  <c r="C833" i="26"/>
  <c r="C832" i="26"/>
  <c r="C831" i="26"/>
  <c r="C830" i="26"/>
  <c r="C829" i="26"/>
  <c r="C828" i="26"/>
  <c r="C827" i="26"/>
  <c r="C826" i="26"/>
  <c r="C825" i="26"/>
  <c r="C824" i="26"/>
  <c r="C823" i="26"/>
  <c r="C822" i="26"/>
  <c r="C821" i="26"/>
  <c r="C820" i="26"/>
  <c r="C819" i="26"/>
  <c r="C818" i="26"/>
  <c r="C817" i="26"/>
  <c r="C816" i="26"/>
  <c r="C815" i="26"/>
  <c r="C814" i="26"/>
  <c r="C813" i="26"/>
  <c r="C812" i="26"/>
  <c r="C811" i="26"/>
  <c r="C810" i="26"/>
  <c r="C809" i="26"/>
  <c r="C808" i="26"/>
  <c r="C807" i="26"/>
  <c r="C806" i="26"/>
  <c r="C805" i="26"/>
  <c r="C804" i="26"/>
  <c r="C803" i="26"/>
  <c r="C802" i="26"/>
  <c r="C801" i="26"/>
  <c r="C800" i="26"/>
  <c r="C799" i="26"/>
  <c r="C798" i="26"/>
  <c r="C797" i="26"/>
  <c r="C796" i="26"/>
  <c r="C795" i="26"/>
  <c r="C794" i="26"/>
  <c r="C793" i="26"/>
  <c r="C792" i="26"/>
  <c r="C791" i="26"/>
  <c r="C790" i="26"/>
  <c r="C789" i="26"/>
  <c r="C788" i="26"/>
  <c r="C787" i="26"/>
  <c r="C786" i="26"/>
  <c r="C785" i="26"/>
  <c r="C784" i="26"/>
  <c r="C783" i="26"/>
  <c r="C782" i="26"/>
  <c r="C781" i="26"/>
  <c r="C780" i="26"/>
  <c r="C779" i="26"/>
  <c r="C778" i="26"/>
  <c r="C777" i="26"/>
  <c r="C776" i="26"/>
  <c r="C775" i="26"/>
  <c r="C774" i="26"/>
  <c r="C773" i="26"/>
  <c r="C772" i="26"/>
  <c r="C771" i="26"/>
  <c r="C770" i="26"/>
  <c r="C769" i="26"/>
  <c r="C768" i="26"/>
  <c r="C767" i="26"/>
  <c r="C766" i="26"/>
  <c r="C765" i="26"/>
  <c r="C764" i="26"/>
  <c r="C763" i="26"/>
  <c r="C762" i="26"/>
  <c r="C761" i="26"/>
  <c r="C760" i="26"/>
  <c r="C759" i="26"/>
  <c r="C758" i="26"/>
  <c r="C757" i="26"/>
  <c r="C756" i="26"/>
  <c r="C755" i="26"/>
  <c r="C754" i="26"/>
  <c r="C753" i="26"/>
  <c r="C752" i="26"/>
  <c r="C751" i="26"/>
  <c r="C750" i="26"/>
  <c r="C749" i="26"/>
  <c r="C748" i="26"/>
  <c r="C747" i="26"/>
  <c r="C746" i="26"/>
  <c r="C745" i="26"/>
  <c r="C744" i="26"/>
  <c r="C743" i="26"/>
  <c r="C742" i="26"/>
  <c r="C741" i="26"/>
  <c r="C740" i="26"/>
  <c r="C739" i="26"/>
  <c r="C738" i="26"/>
  <c r="C737" i="26"/>
  <c r="C736" i="26"/>
  <c r="C735" i="26"/>
  <c r="C734" i="26"/>
  <c r="C733" i="26"/>
  <c r="C732" i="26"/>
  <c r="C731" i="26"/>
  <c r="C730" i="26"/>
  <c r="C729" i="26"/>
  <c r="C728" i="26"/>
  <c r="C727" i="26"/>
  <c r="C726" i="26"/>
  <c r="C725" i="26"/>
  <c r="C724" i="26"/>
  <c r="C723" i="26"/>
  <c r="C722" i="26"/>
  <c r="C721" i="26"/>
  <c r="C720" i="26"/>
  <c r="C719" i="26"/>
  <c r="C718" i="26"/>
  <c r="C717" i="26"/>
  <c r="C716" i="26"/>
  <c r="C715" i="26"/>
  <c r="C714" i="26"/>
  <c r="C713" i="26"/>
  <c r="C712" i="26"/>
  <c r="C711" i="26"/>
  <c r="C710" i="26"/>
  <c r="C709" i="26"/>
  <c r="C708" i="26"/>
  <c r="C707" i="26"/>
  <c r="C706" i="26"/>
  <c r="C705" i="26"/>
  <c r="C704" i="26"/>
  <c r="C703" i="26"/>
  <c r="C702" i="26"/>
  <c r="C701" i="26"/>
  <c r="C700" i="26"/>
  <c r="C699" i="26"/>
  <c r="C698" i="26"/>
  <c r="C697" i="26"/>
  <c r="C696" i="26"/>
  <c r="C695" i="26"/>
  <c r="C694" i="26"/>
  <c r="C693" i="26"/>
  <c r="C692" i="26"/>
  <c r="C691" i="26"/>
  <c r="C690" i="26"/>
  <c r="C689" i="26"/>
  <c r="C688" i="26"/>
  <c r="C687" i="26"/>
  <c r="C686" i="26"/>
  <c r="C685" i="26"/>
  <c r="C684" i="26"/>
  <c r="C683" i="26"/>
  <c r="C682" i="26"/>
  <c r="C681" i="26"/>
  <c r="C680" i="26"/>
  <c r="C679" i="26"/>
  <c r="C678" i="26"/>
  <c r="C677" i="26"/>
  <c r="C676" i="26"/>
  <c r="C675" i="26"/>
  <c r="C674" i="26"/>
  <c r="C673" i="26"/>
  <c r="C672" i="26"/>
  <c r="C671" i="26"/>
  <c r="C670" i="26"/>
  <c r="C669" i="26"/>
  <c r="C668" i="26"/>
  <c r="C667" i="26"/>
  <c r="C666" i="26"/>
  <c r="C665" i="26"/>
  <c r="C664" i="26"/>
  <c r="C663" i="26"/>
  <c r="C662" i="26"/>
  <c r="C661" i="26"/>
  <c r="C660" i="26"/>
  <c r="C659" i="26"/>
  <c r="C658" i="26"/>
  <c r="C657" i="26"/>
  <c r="C656" i="26"/>
  <c r="C655" i="26"/>
  <c r="C654" i="26"/>
  <c r="C653" i="26"/>
  <c r="C652" i="26"/>
  <c r="C651" i="26"/>
  <c r="C650" i="26"/>
  <c r="C649" i="26"/>
  <c r="C648" i="26"/>
  <c r="C647" i="26"/>
  <c r="C646" i="26"/>
  <c r="C645" i="26"/>
  <c r="C644" i="26"/>
  <c r="C643" i="26"/>
  <c r="C642" i="26"/>
  <c r="C641" i="26"/>
  <c r="C640" i="26"/>
  <c r="C639" i="26"/>
  <c r="C638" i="26"/>
  <c r="C637" i="26"/>
  <c r="C636" i="26"/>
  <c r="C635" i="26"/>
  <c r="C634" i="26"/>
  <c r="C633" i="26"/>
  <c r="C632" i="26"/>
  <c r="C631" i="26"/>
  <c r="C630" i="26"/>
  <c r="C629" i="26"/>
  <c r="C628" i="26"/>
  <c r="C627" i="26"/>
  <c r="C626" i="26"/>
  <c r="C625" i="26"/>
  <c r="C624" i="26"/>
  <c r="C623" i="26"/>
  <c r="C622" i="26"/>
  <c r="C621" i="26"/>
  <c r="C620" i="26"/>
  <c r="C619" i="26"/>
  <c r="C618" i="26"/>
  <c r="C617" i="26"/>
  <c r="C616" i="26"/>
  <c r="C615" i="26"/>
  <c r="C614" i="26"/>
  <c r="C613" i="26"/>
  <c r="C612" i="26"/>
  <c r="C611" i="26"/>
  <c r="C610" i="26"/>
  <c r="C609" i="26"/>
  <c r="C608" i="26"/>
  <c r="C607" i="26"/>
  <c r="C606" i="26"/>
  <c r="C605" i="26"/>
  <c r="C604" i="26"/>
  <c r="C603" i="26"/>
  <c r="C602" i="26"/>
  <c r="C601" i="26"/>
  <c r="C600" i="26"/>
  <c r="C599" i="26"/>
  <c r="C598" i="26"/>
  <c r="C597" i="26"/>
  <c r="C596" i="26"/>
  <c r="C595" i="26"/>
  <c r="C594" i="26"/>
  <c r="C593" i="26"/>
  <c r="C592" i="26"/>
  <c r="C591" i="26"/>
  <c r="C590" i="26"/>
  <c r="C589" i="26"/>
  <c r="C588" i="26"/>
  <c r="C587" i="26"/>
  <c r="C586" i="26"/>
  <c r="C585" i="26"/>
  <c r="C584" i="26"/>
  <c r="C583" i="26"/>
  <c r="C582" i="26"/>
  <c r="C581" i="26"/>
  <c r="C580" i="26"/>
  <c r="C579" i="26"/>
  <c r="C578" i="26"/>
  <c r="C577" i="26"/>
  <c r="C576" i="26"/>
  <c r="C575" i="26"/>
  <c r="C574" i="26"/>
  <c r="C573" i="26"/>
  <c r="C572" i="26"/>
  <c r="C571" i="26"/>
  <c r="C570" i="26"/>
  <c r="C569" i="26"/>
  <c r="C568" i="26"/>
  <c r="C567" i="26"/>
  <c r="C566" i="26"/>
  <c r="C565" i="26"/>
  <c r="C564" i="26"/>
  <c r="C563" i="26"/>
  <c r="C562" i="26"/>
  <c r="C561" i="26"/>
  <c r="C560" i="26"/>
  <c r="C559" i="26"/>
  <c r="C558" i="26"/>
  <c r="C557" i="26"/>
  <c r="C556" i="26"/>
  <c r="C555" i="26"/>
  <c r="C554" i="26"/>
  <c r="C553" i="26"/>
  <c r="C552" i="26"/>
  <c r="C551" i="26"/>
  <c r="C550" i="26"/>
  <c r="C549" i="26"/>
  <c r="C548" i="26"/>
  <c r="C547" i="26"/>
  <c r="C546" i="26"/>
  <c r="C545" i="26"/>
  <c r="C544" i="26"/>
  <c r="C543" i="26"/>
  <c r="C542" i="26"/>
  <c r="C541" i="26"/>
  <c r="C540" i="26"/>
  <c r="C539" i="26"/>
  <c r="C538" i="26"/>
  <c r="C537" i="26"/>
  <c r="C536" i="26"/>
  <c r="C535" i="26"/>
  <c r="C534" i="26"/>
  <c r="C533" i="26"/>
  <c r="C532" i="26"/>
  <c r="C531" i="26"/>
  <c r="C530" i="26"/>
  <c r="C529" i="26"/>
  <c r="C528" i="26"/>
  <c r="C527" i="26"/>
  <c r="C526" i="26"/>
  <c r="C525" i="26"/>
  <c r="C524" i="26"/>
  <c r="C523" i="26"/>
  <c r="C522" i="26"/>
  <c r="C521" i="26"/>
  <c r="C520" i="26"/>
  <c r="C519" i="26"/>
  <c r="C518" i="26"/>
  <c r="C517" i="26"/>
  <c r="C516" i="26"/>
  <c r="C515" i="26"/>
  <c r="C514" i="26"/>
  <c r="C513" i="26"/>
  <c r="C512" i="26"/>
  <c r="C511" i="26"/>
  <c r="C510" i="26"/>
  <c r="C509" i="26"/>
  <c r="C508" i="26"/>
  <c r="C507" i="26"/>
  <c r="C506" i="26"/>
  <c r="C505" i="26"/>
  <c r="C504" i="26"/>
  <c r="C503" i="26"/>
  <c r="C502" i="26"/>
  <c r="C501" i="26"/>
  <c r="C500" i="26"/>
  <c r="C499" i="26"/>
  <c r="C498" i="26"/>
  <c r="C497" i="26"/>
  <c r="C496" i="26"/>
  <c r="C495" i="26"/>
  <c r="C494" i="26"/>
  <c r="C493" i="26"/>
  <c r="C492" i="26"/>
  <c r="C491" i="26"/>
  <c r="C490" i="26"/>
  <c r="C489" i="26"/>
  <c r="C488" i="26"/>
  <c r="C487" i="26"/>
  <c r="C486" i="26"/>
  <c r="C485" i="26"/>
  <c r="C484" i="26"/>
  <c r="C483" i="26"/>
  <c r="C482" i="26"/>
  <c r="C481" i="26"/>
  <c r="C480" i="26"/>
  <c r="C479" i="26"/>
  <c r="C478" i="26"/>
  <c r="C477" i="26"/>
  <c r="C476" i="26"/>
  <c r="C475" i="26"/>
  <c r="C474" i="26"/>
  <c r="C473" i="26"/>
  <c r="C472" i="26"/>
  <c r="C471" i="26"/>
  <c r="C470" i="26"/>
  <c r="C469" i="26"/>
  <c r="C468" i="26"/>
  <c r="C467" i="26"/>
  <c r="C466" i="26"/>
  <c r="C465" i="26"/>
  <c r="C464" i="26"/>
  <c r="C463" i="26"/>
  <c r="C462" i="26"/>
  <c r="C461" i="26"/>
  <c r="C460" i="26"/>
  <c r="C459" i="26"/>
  <c r="C458" i="26"/>
  <c r="C457" i="26"/>
  <c r="C456" i="26"/>
  <c r="C455" i="26"/>
  <c r="C454" i="26"/>
  <c r="C453" i="26"/>
  <c r="C452" i="26"/>
  <c r="C451" i="26"/>
  <c r="C450" i="26"/>
  <c r="C449" i="26"/>
  <c r="C448" i="26"/>
  <c r="C447" i="26"/>
  <c r="C446" i="26"/>
  <c r="C445" i="26"/>
  <c r="C444" i="26"/>
  <c r="C443" i="26"/>
  <c r="C442" i="26"/>
  <c r="C441" i="26"/>
  <c r="C440" i="26"/>
  <c r="C439" i="26"/>
  <c r="C438" i="26"/>
  <c r="C437" i="26"/>
  <c r="C436" i="26"/>
  <c r="C435" i="26"/>
  <c r="C434" i="26"/>
  <c r="C433" i="26"/>
  <c r="C432" i="26"/>
  <c r="C431" i="26"/>
  <c r="C430" i="26"/>
  <c r="C429" i="26"/>
  <c r="C428" i="26"/>
  <c r="C427" i="26"/>
  <c r="C426" i="26"/>
  <c r="C425" i="26"/>
  <c r="C424" i="26"/>
  <c r="C423" i="26"/>
  <c r="C422" i="26"/>
  <c r="C421" i="26"/>
  <c r="C420" i="26"/>
  <c r="C419" i="26"/>
  <c r="C418" i="26"/>
  <c r="C417" i="26"/>
  <c r="C416" i="26"/>
  <c r="C415" i="26"/>
  <c r="C414" i="26"/>
  <c r="C413" i="26"/>
  <c r="C412" i="26"/>
  <c r="C411" i="26"/>
  <c r="C410" i="26"/>
  <c r="C409" i="26"/>
  <c r="C408" i="26"/>
  <c r="C407" i="26"/>
  <c r="C406" i="26"/>
  <c r="C405" i="26"/>
  <c r="C404" i="26"/>
  <c r="C403" i="26"/>
  <c r="C402" i="26"/>
  <c r="C401" i="26"/>
  <c r="C400" i="26"/>
  <c r="C399" i="26"/>
  <c r="C398" i="26"/>
  <c r="C397" i="26"/>
  <c r="C396" i="26"/>
  <c r="C395" i="26"/>
  <c r="C394" i="26"/>
  <c r="C393" i="26"/>
  <c r="C392" i="26"/>
  <c r="C391" i="26"/>
  <c r="C390" i="26"/>
  <c r="C389" i="26"/>
  <c r="C388" i="26"/>
  <c r="C387" i="26"/>
  <c r="C386" i="26"/>
  <c r="C385" i="26"/>
  <c r="C384" i="26"/>
  <c r="C383" i="26"/>
  <c r="C382" i="26"/>
  <c r="C381" i="26"/>
  <c r="C380" i="26"/>
  <c r="C379" i="26"/>
  <c r="C378" i="26"/>
  <c r="C377" i="26"/>
  <c r="C376" i="26"/>
  <c r="C375" i="26"/>
  <c r="C374" i="26"/>
  <c r="C373" i="26"/>
  <c r="C372" i="26"/>
  <c r="C371" i="26"/>
  <c r="C370" i="26"/>
  <c r="C369" i="26"/>
  <c r="C368" i="26"/>
  <c r="C367" i="26"/>
  <c r="C366" i="26"/>
  <c r="C365" i="26"/>
  <c r="C364" i="26"/>
  <c r="C363" i="26"/>
  <c r="C362" i="26"/>
  <c r="C361" i="26"/>
  <c r="C360" i="26"/>
  <c r="C359" i="26"/>
  <c r="C358" i="26"/>
  <c r="C357" i="26"/>
  <c r="C356" i="26"/>
  <c r="C355" i="26"/>
  <c r="C354" i="26"/>
  <c r="C353" i="26"/>
  <c r="C352" i="26"/>
  <c r="C351" i="26"/>
  <c r="C350" i="26"/>
  <c r="C349" i="26"/>
  <c r="C348" i="26"/>
  <c r="C347" i="26"/>
  <c r="C346" i="26"/>
  <c r="C345" i="26"/>
  <c r="C344" i="26"/>
  <c r="C343" i="26"/>
  <c r="C342" i="26"/>
  <c r="C341" i="26"/>
  <c r="C340" i="26"/>
  <c r="C339" i="26"/>
  <c r="C338" i="26"/>
  <c r="C337" i="26"/>
  <c r="C336" i="26"/>
  <c r="C335" i="26"/>
  <c r="C334" i="26"/>
  <c r="C333" i="26"/>
  <c r="C332" i="26"/>
  <c r="C331" i="26"/>
  <c r="C330" i="26"/>
  <c r="C329" i="26"/>
  <c r="C328" i="26"/>
  <c r="C327" i="26"/>
  <c r="C326" i="26"/>
  <c r="C325" i="26"/>
  <c r="C324" i="26"/>
  <c r="C323" i="26"/>
  <c r="C322" i="26"/>
  <c r="C321" i="26"/>
  <c r="C320" i="26"/>
  <c r="C319" i="26"/>
  <c r="C318" i="26"/>
  <c r="C317" i="26"/>
  <c r="C316" i="26"/>
  <c r="C315" i="26"/>
  <c r="C314" i="26"/>
  <c r="C313" i="26"/>
  <c r="C312" i="26"/>
  <c r="C311" i="26"/>
  <c r="C310" i="26"/>
  <c r="C309" i="26"/>
  <c r="C308" i="26"/>
  <c r="C307" i="26"/>
  <c r="C306" i="26"/>
  <c r="C305" i="26"/>
  <c r="C304" i="26"/>
  <c r="C303" i="26"/>
  <c r="C302" i="26"/>
  <c r="C301" i="26"/>
  <c r="C300" i="26"/>
  <c r="C299" i="26"/>
  <c r="C298" i="26"/>
  <c r="C297" i="26"/>
  <c r="C296" i="26"/>
  <c r="C295" i="26"/>
  <c r="C294" i="26"/>
  <c r="C293" i="26"/>
  <c r="C292" i="26"/>
  <c r="C291" i="26"/>
  <c r="C290" i="26"/>
  <c r="C289" i="26"/>
  <c r="C288" i="26"/>
  <c r="C287" i="26"/>
  <c r="C286" i="26"/>
  <c r="C285" i="26"/>
  <c r="C284" i="26"/>
  <c r="C283" i="26"/>
  <c r="C282" i="26"/>
  <c r="C281" i="26"/>
  <c r="C280" i="26"/>
  <c r="C279" i="26"/>
  <c r="C278" i="26"/>
  <c r="C277" i="26"/>
  <c r="C276" i="26"/>
  <c r="C275" i="26"/>
  <c r="C274" i="26"/>
  <c r="C273" i="26"/>
  <c r="C272" i="26"/>
  <c r="C271" i="26"/>
  <c r="C270" i="26"/>
  <c r="C269" i="26"/>
  <c r="C268" i="26"/>
  <c r="C267" i="26"/>
  <c r="C266" i="26"/>
  <c r="C265" i="26"/>
  <c r="C264" i="26"/>
  <c r="C263" i="26"/>
  <c r="C262" i="26"/>
  <c r="C261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31" i="26"/>
  <c r="C230" i="26"/>
  <c r="C229" i="26"/>
  <c r="C228" i="26"/>
  <c r="C227" i="26"/>
  <c r="C226" i="26"/>
  <c r="C225" i="26"/>
  <c r="C224" i="26"/>
  <c r="C223" i="26"/>
  <c r="C222" i="26"/>
  <c r="C221" i="26"/>
  <c r="C220" i="26"/>
  <c r="C219" i="26"/>
  <c r="C218" i="26"/>
  <c r="C217" i="26"/>
  <c r="C216" i="26"/>
  <c r="C215" i="26"/>
  <c r="C214" i="26"/>
  <c r="C213" i="26"/>
  <c r="C212" i="26"/>
  <c r="C211" i="26"/>
  <c r="C210" i="26"/>
  <c r="C209" i="26"/>
  <c r="C208" i="26"/>
  <c r="C207" i="26"/>
  <c r="C206" i="26"/>
  <c r="C205" i="26"/>
  <c r="C204" i="26"/>
  <c r="C203" i="26"/>
  <c r="C202" i="26"/>
  <c r="C201" i="2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8" i="26"/>
  <c r="C187" i="26"/>
  <c r="C186" i="26"/>
  <c r="C185" i="26"/>
  <c r="C184" i="26"/>
  <c r="C183" i="26"/>
  <c r="C182" i="26"/>
  <c r="C181" i="26"/>
  <c r="C180" i="26"/>
  <c r="C179" i="26"/>
  <c r="C178" i="26"/>
  <c r="C177" i="26"/>
  <c r="C176" i="26"/>
  <c r="C175" i="26"/>
  <c r="C174" i="26"/>
  <c r="C173" i="26"/>
  <c r="C172" i="26"/>
  <c r="C171" i="26"/>
  <c r="C170" i="26"/>
  <c r="C169" i="26"/>
  <c r="C168" i="26"/>
  <c r="C167" i="26"/>
  <c r="C166" i="26"/>
  <c r="C165" i="26"/>
  <c r="C164" i="26"/>
  <c r="C163" i="26"/>
  <c r="C162" i="26"/>
  <c r="C161" i="26"/>
  <c r="C160" i="26"/>
  <c r="C159" i="26"/>
  <c r="C158" i="26"/>
  <c r="C157" i="26"/>
  <c r="C156" i="26"/>
  <c r="C155" i="26"/>
  <c r="C154" i="26"/>
  <c r="C153" i="26"/>
  <c r="C152" i="2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9" i="26"/>
  <c r="C138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O12" i="26"/>
  <c r="O253" i="26"/>
  <c r="O254" i="26"/>
  <c r="A1988" i="26"/>
  <c r="E1988" i="26" s="1"/>
  <c r="A1987" i="26"/>
  <c r="E1987" i="26" s="1"/>
  <c r="A1986" i="26"/>
  <c r="E1986" i="26" s="1"/>
  <c r="A1985" i="26"/>
  <c r="E1985" i="26" s="1"/>
  <c r="A1984" i="26"/>
  <c r="E1984" i="26" s="1"/>
  <c r="A1983" i="26"/>
  <c r="E1983" i="26" s="1"/>
  <c r="A1982" i="26"/>
  <c r="E1982" i="26" s="1"/>
  <c r="A1981" i="26"/>
  <c r="E1981" i="26" s="1"/>
  <c r="A1980" i="26"/>
  <c r="E1980" i="26" s="1"/>
  <c r="A1979" i="26"/>
  <c r="E1979" i="26" s="1"/>
  <c r="A1978" i="26"/>
  <c r="E1978" i="26" s="1"/>
  <c r="A1977" i="26"/>
  <c r="E1977" i="26" s="1"/>
  <c r="A1976" i="26"/>
  <c r="E1976" i="26" s="1"/>
  <c r="A1975" i="26"/>
  <c r="E1975" i="26" s="1"/>
  <c r="A1974" i="26"/>
  <c r="E1974" i="26" s="1"/>
  <c r="A1973" i="26"/>
  <c r="E1973" i="26" s="1"/>
  <c r="A1972" i="26"/>
  <c r="E1972" i="26" s="1"/>
  <c r="A1971" i="26"/>
  <c r="E1971" i="26" s="1"/>
  <c r="A1970" i="26"/>
  <c r="E1970" i="26" s="1"/>
  <c r="A1969" i="26"/>
  <c r="E1969" i="26" s="1"/>
  <c r="A1968" i="26"/>
  <c r="E1968" i="26" s="1"/>
  <c r="A1967" i="26"/>
  <c r="E1967" i="26" s="1"/>
  <c r="A1966" i="26"/>
  <c r="E1966" i="26" s="1"/>
  <c r="A1965" i="26"/>
  <c r="E1965" i="26" s="1"/>
  <c r="A1964" i="26"/>
  <c r="E1964" i="26" s="1"/>
  <c r="A1963" i="26"/>
  <c r="E1963" i="26" s="1"/>
  <c r="A1962" i="26"/>
  <c r="E1962" i="26" s="1"/>
  <c r="A1961" i="26"/>
  <c r="E1961" i="26" s="1"/>
  <c r="A1960" i="26"/>
  <c r="E1960" i="26" s="1"/>
  <c r="A1959" i="26"/>
  <c r="E1959" i="26" s="1"/>
  <c r="A1958" i="26"/>
  <c r="E1958" i="26" s="1"/>
  <c r="A1957" i="26"/>
  <c r="E1957" i="26" s="1"/>
  <c r="A1956" i="26"/>
  <c r="E1956" i="26" s="1"/>
  <c r="A1955" i="26"/>
  <c r="E1955" i="26" s="1"/>
  <c r="A1954" i="26"/>
  <c r="E1954" i="26" s="1"/>
  <c r="A1953" i="26"/>
  <c r="E1953" i="26" s="1"/>
  <c r="A1952" i="26"/>
  <c r="E1952" i="26" s="1"/>
  <c r="A1951" i="26"/>
  <c r="E1951" i="26" s="1"/>
  <c r="A1950" i="26"/>
  <c r="E1950" i="26" s="1"/>
  <c r="A1949" i="26"/>
  <c r="E1949" i="26" s="1"/>
  <c r="A1948" i="26"/>
  <c r="E1948" i="26" s="1"/>
  <c r="A1947" i="26"/>
  <c r="E1947" i="26" s="1"/>
  <c r="A1946" i="26"/>
  <c r="E1946" i="26" s="1"/>
  <c r="A1945" i="26"/>
  <c r="E1945" i="26" s="1"/>
  <c r="A1944" i="26"/>
  <c r="E1944" i="26" s="1"/>
  <c r="A1943" i="26"/>
  <c r="E1943" i="26" s="1"/>
  <c r="A1942" i="26"/>
  <c r="E1942" i="26" s="1"/>
  <c r="A1941" i="26"/>
  <c r="E1941" i="26" s="1"/>
  <c r="A1940" i="26"/>
  <c r="E1940" i="26" s="1"/>
  <c r="A1939" i="26"/>
  <c r="E1939" i="26" s="1"/>
  <c r="A1938" i="26"/>
  <c r="E1938" i="26" s="1"/>
  <c r="A1937" i="26"/>
  <c r="E1937" i="26" s="1"/>
  <c r="A1935" i="26"/>
  <c r="E1935" i="26" s="1"/>
  <c r="A1934" i="26"/>
  <c r="E1934" i="26" s="1"/>
  <c r="A1933" i="26"/>
  <c r="E1933" i="26" s="1"/>
  <c r="A1932" i="26"/>
  <c r="E1932" i="26" s="1"/>
  <c r="A1931" i="26"/>
  <c r="E1931" i="26" s="1"/>
  <c r="A1930" i="26"/>
  <c r="E1930" i="26" s="1"/>
  <c r="A1929" i="26"/>
  <c r="E1929" i="26" s="1"/>
  <c r="A1928" i="26"/>
  <c r="E1928" i="26" s="1"/>
  <c r="A1927" i="26"/>
  <c r="E1927" i="26" s="1"/>
  <c r="A1926" i="26"/>
  <c r="E1926" i="26" s="1"/>
  <c r="A1925" i="26"/>
  <c r="E1925" i="26" s="1"/>
  <c r="A1924" i="26"/>
  <c r="E1924" i="26" s="1"/>
  <c r="A1923" i="26"/>
  <c r="E1923" i="26" s="1"/>
  <c r="A1922" i="26"/>
  <c r="E1922" i="26" s="1"/>
  <c r="A1921" i="26"/>
  <c r="E1921" i="26" s="1"/>
  <c r="A1920" i="26"/>
  <c r="E1920" i="26" s="1"/>
  <c r="A1919" i="26"/>
  <c r="E1919" i="26" s="1"/>
  <c r="A1918" i="26"/>
  <c r="E1918" i="26" s="1"/>
  <c r="A1917" i="26"/>
  <c r="E1917" i="26" s="1"/>
  <c r="A1916" i="26"/>
  <c r="E1916" i="26" s="1"/>
  <c r="A1915" i="26"/>
  <c r="E1915" i="26" s="1"/>
  <c r="A1914" i="26"/>
  <c r="E1914" i="26" s="1"/>
  <c r="A1913" i="26"/>
  <c r="E1913" i="26" s="1"/>
  <c r="A1912" i="26"/>
  <c r="E1912" i="26" s="1"/>
  <c r="A1911" i="26"/>
  <c r="E1911" i="26" s="1"/>
  <c r="A1910" i="26"/>
  <c r="E1910" i="26" s="1"/>
  <c r="A1909" i="26"/>
  <c r="E1909" i="26" s="1"/>
  <c r="A1908" i="26"/>
  <c r="E1908" i="26" s="1"/>
  <c r="A1907" i="26"/>
  <c r="E1907" i="26" s="1"/>
  <c r="A1906" i="26"/>
  <c r="E1906" i="26" s="1"/>
  <c r="A1905" i="26"/>
  <c r="E1905" i="26" s="1"/>
  <c r="A1904" i="26"/>
  <c r="E1904" i="26" s="1"/>
  <c r="A1903" i="26"/>
  <c r="E1903" i="26" s="1"/>
  <c r="A1902" i="26"/>
  <c r="E1902" i="26" s="1"/>
  <c r="A1901" i="26"/>
  <c r="E1901" i="26" s="1"/>
  <c r="A1900" i="26"/>
  <c r="E1900" i="26" s="1"/>
  <c r="A1899" i="26"/>
  <c r="E1899" i="26" s="1"/>
  <c r="A1898" i="26"/>
  <c r="E1898" i="26" s="1"/>
  <c r="A1897" i="26"/>
  <c r="E1897" i="26" s="1"/>
  <c r="A1896" i="26"/>
  <c r="E1896" i="26" s="1"/>
  <c r="A1895" i="26"/>
  <c r="E1895" i="26" s="1"/>
  <c r="A1894" i="26"/>
  <c r="E1894" i="26" s="1"/>
  <c r="A1893" i="26"/>
  <c r="E1893" i="26" s="1"/>
  <c r="A1892" i="26"/>
  <c r="E1892" i="26" s="1"/>
  <c r="A1891" i="26"/>
  <c r="E1891" i="26" s="1"/>
  <c r="A1890" i="26"/>
  <c r="E1890" i="26" s="1"/>
  <c r="A1889" i="26"/>
  <c r="E1889" i="26" s="1"/>
  <c r="A1888" i="26"/>
  <c r="E1888" i="26" s="1"/>
  <c r="A1887" i="26"/>
  <c r="E1887" i="26" s="1"/>
  <c r="A1886" i="26"/>
  <c r="E1886" i="26" s="1"/>
  <c r="A1885" i="26"/>
  <c r="E1885" i="26" s="1"/>
  <c r="A1884" i="26"/>
  <c r="E1884" i="26" s="1"/>
  <c r="A1883" i="26"/>
  <c r="E1883" i="26" s="1"/>
  <c r="A1882" i="26"/>
  <c r="E1882" i="26" s="1"/>
  <c r="A1881" i="26"/>
  <c r="E1881" i="26" s="1"/>
  <c r="A1880" i="26"/>
  <c r="E1880" i="26" s="1"/>
  <c r="A1879" i="26"/>
  <c r="E1879" i="26" s="1"/>
  <c r="A1878" i="26"/>
  <c r="E1878" i="26" s="1"/>
  <c r="A1877" i="26"/>
  <c r="E1877" i="26" s="1"/>
  <c r="A1876" i="26"/>
  <c r="E1876" i="26" s="1"/>
  <c r="A1875" i="26"/>
  <c r="E1875" i="26" s="1"/>
  <c r="A1874" i="26"/>
  <c r="E1874" i="26" s="1"/>
  <c r="A1873" i="26"/>
  <c r="E1873" i="26" s="1"/>
  <c r="A1872" i="26"/>
  <c r="E1872" i="26" s="1"/>
  <c r="A1871" i="26"/>
  <c r="E1871" i="26" s="1"/>
  <c r="A1870" i="26"/>
  <c r="E1870" i="26" s="1"/>
  <c r="A1869" i="26"/>
  <c r="E1869" i="26" s="1"/>
  <c r="A1868" i="26"/>
  <c r="E1868" i="26" s="1"/>
  <c r="A1867" i="26"/>
  <c r="E1867" i="26" s="1"/>
  <c r="A1866" i="26"/>
  <c r="E1866" i="26" s="1"/>
  <c r="A1865" i="26"/>
  <c r="E1865" i="26" s="1"/>
  <c r="A1864" i="26"/>
  <c r="E1864" i="26" s="1"/>
  <c r="A1863" i="26"/>
  <c r="E1863" i="26" s="1"/>
  <c r="A1862" i="26"/>
  <c r="E1862" i="26" s="1"/>
  <c r="A1861" i="26"/>
  <c r="E1861" i="26" s="1"/>
  <c r="A1860" i="26"/>
  <c r="E1860" i="26" s="1"/>
  <c r="A1859" i="26"/>
  <c r="E1859" i="26" s="1"/>
  <c r="A1858" i="26"/>
  <c r="E1858" i="26" s="1"/>
  <c r="A1857" i="26"/>
  <c r="E1857" i="26" s="1"/>
  <c r="A1856" i="26"/>
  <c r="E1856" i="26" s="1"/>
  <c r="A1855" i="26"/>
  <c r="E1855" i="26" s="1"/>
  <c r="A1854" i="26"/>
  <c r="E1854" i="26" s="1"/>
  <c r="A1853" i="26"/>
  <c r="E1853" i="26" s="1"/>
  <c r="A1852" i="26"/>
  <c r="E1852" i="26" s="1"/>
  <c r="A1851" i="26"/>
  <c r="E1851" i="26" s="1"/>
  <c r="A1850" i="26"/>
  <c r="E1850" i="26" s="1"/>
  <c r="A1849" i="26"/>
  <c r="E1849" i="26" s="1"/>
  <c r="A1848" i="26"/>
  <c r="E1848" i="26" s="1"/>
  <c r="A1847" i="26"/>
  <c r="E1847" i="26" s="1"/>
  <c r="A1846" i="26"/>
  <c r="E1846" i="26" s="1"/>
  <c r="A1845" i="26"/>
  <c r="E1845" i="26" s="1"/>
  <c r="A1844" i="26"/>
  <c r="E1844" i="26" s="1"/>
  <c r="A1843" i="26"/>
  <c r="E1843" i="26" s="1"/>
  <c r="A1842" i="26"/>
  <c r="E1842" i="26" s="1"/>
  <c r="A1841" i="26"/>
  <c r="E1841" i="26" s="1"/>
  <c r="A1840" i="26"/>
  <c r="E1840" i="26" s="1"/>
  <c r="A1839" i="26"/>
  <c r="E1839" i="26" s="1"/>
  <c r="A1838" i="26"/>
  <c r="E1838" i="26" s="1"/>
  <c r="A1837" i="26"/>
  <c r="E1837" i="26" s="1"/>
  <c r="A1836" i="26"/>
  <c r="E1836" i="26" s="1"/>
  <c r="A1835" i="26"/>
  <c r="E1835" i="26" s="1"/>
  <c r="A1834" i="26"/>
  <c r="E1834" i="26" s="1"/>
  <c r="A1833" i="26"/>
  <c r="E1833" i="26" s="1"/>
  <c r="A1832" i="26"/>
  <c r="E1832" i="26" s="1"/>
  <c r="A1831" i="26"/>
  <c r="E1831" i="26" s="1"/>
  <c r="A1830" i="26"/>
  <c r="E1830" i="26" s="1"/>
  <c r="A1829" i="26"/>
  <c r="E1829" i="26" s="1"/>
  <c r="A1828" i="26"/>
  <c r="E1828" i="26" s="1"/>
  <c r="A1827" i="26"/>
  <c r="E1827" i="26" s="1"/>
  <c r="A1826" i="26"/>
  <c r="E1826" i="26" s="1"/>
  <c r="A1825" i="26"/>
  <c r="E1825" i="26" s="1"/>
  <c r="A1824" i="26"/>
  <c r="E1824" i="26" s="1"/>
  <c r="A1823" i="26"/>
  <c r="E1823" i="26" s="1"/>
  <c r="A1822" i="26"/>
  <c r="E1822" i="26" s="1"/>
  <c r="A1821" i="26"/>
  <c r="E1821" i="26" s="1"/>
  <c r="A1820" i="26"/>
  <c r="E1820" i="26" s="1"/>
  <c r="A1819" i="26"/>
  <c r="E1819" i="26" s="1"/>
  <c r="A1818" i="26"/>
  <c r="E1818" i="26" s="1"/>
  <c r="A1817" i="26"/>
  <c r="E1817" i="26" s="1"/>
  <c r="A1816" i="26"/>
  <c r="E1816" i="26" s="1"/>
  <c r="A1815" i="26"/>
  <c r="E1815" i="26" s="1"/>
  <c r="A1814" i="26"/>
  <c r="E1814" i="26" s="1"/>
  <c r="A1813" i="26"/>
  <c r="E1813" i="26" s="1"/>
  <c r="A1812" i="26"/>
  <c r="E1812" i="26" s="1"/>
  <c r="A1811" i="26"/>
  <c r="E1811" i="26" s="1"/>
  <c r="A1810" i="26"/>
  <c r="E1810" i="26" s="1"/>
  <c r="A1809" i="26"/>
  <c r="E1809" i="26" s="1"/>
  <c r="A1808" i="26"/>
  <c r="E1808" i="26" s="1"/>
  <c r="A1807" i="26"/>
  <c r="E1807" i="26" s="1"/>
  <c r="A1806" i="26"/>
  <c r="E1806" i="26" s="1"/>
  <c r="A1805" i="26"/>
  <c r="E1805" i="26" s="1"/>
  <c r="A1804" i="26"/>
  <c r="E1804" i="26" s="1"/>
  <c r="A1803" i="26"/>
  <c r="E1803" i="26" s="1"/>
  <c r="A1802" i="26"/>
  <c r="E1802" i="26" s="1"/>
  <c r="A1801" i="26"/>
  <c r="E1801" i="26" s="1"/>
  <c r="A1800" i="26"/>
  <c r="E1800" i="26" s="1"/>
  <c r="A1799" i="26"/>
  <c r="E1799" i="26" s="1"/>
  <c r="A1798" i="26"/>
  <c r="E1798" i="26" s="1"/>
  <c r="A1797" i="26"/>
  <c r="E1797" i="26" s="1"/>
  <c r="A1796" i="26"/>
  <c r="E1796" i="26" s="1"/>
  <c r="A1795" i="26"/>
  <c r="E1795" i="26" s="1"/>
  <c r="A1794" i="26"/>
  <c r="E1794" i="26" s="1"/>
  <c r="A1793" i="26"/>
  <c r="E1793" i="26" s="1"/>
  <c r="A1792" i="26"/>
  <c r="E1792" i="26" s="1"/>
  <c r="A1791" i="26"/>
  <c r="E1791" i="26" s="1"/>
  <c r="A1790" i="26"/>
  <c r="E1790" i="26" s="1"/>
  <c r="A1789" i="26"/>
  <c r="E1789" i="26" s="1"/>
  <c r="A1788" i="26"/>
  <c r="E1788" i="26" s="1"/>
  <c r="A1787" i="26"/>
  <c r="E1787" i="26" s="1"/>
  <c r="A1786" i="26"/>
  <c r="E1786" i="26" s="1"/>
  <c r="A1785" i="26"/>
  <c r="E1785" i="26" s="1"/>
  <c r="A1784" i="26"/>
  <c r="E1784" i="26" s="1"/>
  <c r="A1783" i="26"/>
  <c r="E1783" i="26" s="1"/>
  <c r="A1782" i="26"/>
  <c r="E1782" i="26" s="1"/>
  <c r="A1781" i="26"/>
  <c r="E1781" i="26" s="1"/>
  <c r="A1780" i="26"/>
  <c r="E1780" i="26" s="1"/>
  <c r="A1779" i="26"/>
  <c r="E1779" i="26" s="1"/>
  <c r="A1778" i="26"/>
  <c r="E1778" i="26" s="1"/>
  <c r="A1777" i="26"/>
  <c r="E1777" i="26" s="1"/>
  <c r="A1776" i="26"/>
  <c r="E1776" i="26" s="1"/>
  <c r="A1775" i="26"/>
  <c r="E1775" i="26" s="1"/>
  <c r="A1774" i="26"/>
  <c r="E1774" i="26" s="1"/>
  <c r="A1773" i="26"/>
  <c r="E1773" i="26" s="1"/>
  <c r="A1772" i="26"/>
  <c r="E1772" i="26" s="1"/>
  <c r="A1771" i="26"/>
  <c r="E1771" i="26" s="1"/>
  <c r="A1770" i="26"/>
  <c r="E1770" i="26" s="1"/>
  <c r="A1769" i="26"/>
  <c r="E1769" i="26" s="1"/>
  <c r="A1768" i="26"/>
  <c r="E1768" i="26" s="1"/>
  <c r="A1767" i="26"/>
  <c r="E1767" i="26" s="1"/>
  <c r="A1766" i="26"/>
  <c r="E1766" i="26" s="1"/>
  <c r="A1765" i="26"/>
  <c r="E1765" i="26" s="1"/>
  <c r="A1764" i="26"/>
  <c r="E1764" i="26" s="1"/>
  <c r="A1763" i="26"/>
  <c r="E1763" i="26" s="1"/>
  <c r="A1762" i="26"/>
  <c r="E1762" i="26" s="1"/>
  <c r="A1761" i="26"/>
  <c r="E1761" i="26" s="1"/>
  <c r="A1760" i="26"/>
  <c r="E1760" i="26" s="1"/>
  <c r="A1759" i="26"/>
  <c r="E1759" i="26" s="1"/>
  <c r="A1758" i="26"/>
  <c r="E1758" i="26" s="1"/>
  <c r="A1757" i="26"/>
  <c r="E1757" i="26" s="1"/>
  <c r="A1756" i="26"/>
  <c r="E1756" i="26" s="1"/>
  <c r="A1755" i="26"/>
  <c r="E1755" i="26" s="1"/>
  <c r="A1754" i="26"/>
  <c r="E1754" i="26" s="1"/>
  <c r="A1753" i="26"/>
  <c r="E1753" i="26" s="1"/>
  <c r="A1752" i="26"/>
  <c r="E1752" i="26" s="1"/>
  <c r="A1751" i="26"/>
  <c r="E1751" i="26" s="1"/>
  <c r="A1750" i="26"/>
  <c r="E1750" i="26" s="1"/>
  <c r="A1749" i="26"/>
  <c r="E1749" i="26" s="1"/>
  <c r="A1748" i="26"/>
  <c r="E1748" i="26" s="1"/>
  <c r="A1747" i="26"/>
  <c r="E1747" i="26" s="1"/>
  <c r="A1746" i="26"/>
  <c r="E1746" i="26" s="1"/>
  <c r="A1745" i="26"/>
  <c r="E1745" i="26" s="1"/>
  <c r="A1744" i="26"/>
  <c r="E1744" i="26" s="1"/>
  <c r="A1743" i="26"/>
  <c r="E1743" i="26" s="1"/>
  <c r="A1742" i="26"/>
  <c r="E1742" i="26" s="1"/>
  <c r="A1741" i="26"/>
  <c r="E1741" i="26" s="1"/>
  <c r="A1740" i="26"/>
  <c r="E1740" i="26" s="1"/>
  <c r="A1739" i="26"/>
  <c r="E1739" i="26" s="1"/>
  <c r="A1738" i="26"/>
  <c r="E1738" i="26" s="1"/>
  <c r="A1737" i="26"/>
  <c r="E1737" i="26" s="1"/>
  <c r="A1736" i="26"/>
  <c r="E1736" i="26" s="1"/>
  <c r="A1735" i="26"/>
  <c r="E1735" i="26" s="1"/>
  <c r="A1734" i="26"/>
  <c r="E1734" i="26" s="1"/>
  <c r="A1733" i="26"/>
  <c r="E1733" i="26" s="1"/>
  <c r="A1732" i="26"/>
  <c r="E1732" i="26" s="1"/>
  <c r="A1731" i="26"/>
  <c r="E1731" i="26" s="1"/>
  <c r="A1730" i="26"/>
  <c r="E1730" i="26" s="1"/>
  <c r="A1729" i="26"/>
  <c r="E1729" i="26" s="1"/>
  <c r="A1728" i="26"/>
  <c r="E1728" i="26" s="1"/>
  <c r="A1727" i="26"/>
  <c r="E1727" i="26" s="1"/>
  <c r="A1726" i="26"/>
  <c r="E1726" i="26" s="1"/>
  <c r="A1725" i="26"/>
  <c r="E1725" i="26" s="1"/>
  <c r="A1724" i="26"/>
  <c r="E1724" i="26" s="1"/>
  <c r="A1723" i="26"/>
  <c r="E1723" i="26" s="1"/>
  <c r="A1722" i="26"/>
  <c r="E1722" i="26" s="1"/>
  <c r="A1721" i="26"/>
  <c r="E1721" i="26" s="1"/>
  <c r="A1720" i="26"/>
  <c r="E1720" i="26" s="1"/>
  <c r="A1718" i="26"/>
  <c r="E1718" i="26" s="1"/>
  <c r="A1717" i="26"/>
  <c r="E1717" i="26" s="1"/>
  <c r="A1716" i="26"/>
  <c r="E1716" i="26" s="1"/>
  <c r="A1715" i="26"/>
  <c r="E1715" i="26" s="1"/>
  <c r="A1714" i="26"/>
  <c r="E1714" i="26" s="1"/>
  <c r="A1713" i="26"/>
  <c r="E1713" i="26" s="1"/>
  <c r="A1712" i="26"/>
  <c r="E1712" i="26" s="1"/>
  <c r="A1711" i="26"/>
  <c r="E1711" i="26" s="1"/>
  <c r="A1710" i="26"/>
  <c r="E1710" i="26" s="1"/>
  <c r="A1709" i="26"/>
  <c r="E1709" i="26" s="1"/>
  <c r="A1708" i="26"/>
  <c r="E1708" i="26" s="1"/>
  <c r="A1707" i="26"/>
  <c r="E1707" i="26" s="1"/>
  <c r="A1706" i="26"/>
  <c r="E1706" i="26" s="1"/>
  <c r="A1705" i="26"/>
  <c r="E1705" i="26" s="1"/>
  <c r="A1704" i="26"/>
  <c r="E1704" i="26" s="1"/>
  <c r="A1703" i="26"/>
  <c r="E1703" i="26" s="1"/>
  <c r="A1702" i="26"/>
  <c r="E1702" i="26" s="1"/>
  <c r="A1701" i="26"/>
  <c r="E1701" i="26" s="1"/>
  <c r="A1700" i="26"/>
  <c r="E1700" i="26" s="1"/>
  <c r="A1699" i="26"/>
  <c r="E1699" i="26" s="1"/>
  <c r="A1698" i="26"/>
  <c r="E1698" i="26" s="1"/>
  <c r="A1697" i="26"/>
  <c r="E1697" i="26" s="1"/>
  <c r="A1696" i="26"/>
  <c r="A1695" i="26"/>
  <c r="E1695" i="26" s="1"/>
  <c r="A1694" i="26"/>
  <c r="E1694" i="26" s="1"/>
  <c r="A1693" i="26"/>
  <c r="E1693" i="26" s="1"/>
  <c r="A1692" i="26"/>
  <c r="E1692" i="26" s="1"/>
  <c r="A1691" i="26"/>
  <c r="E1691" i="26" s="1"/>
  <c r="A1690" i="26"/>
  <c r="E1690" i="26" s="1"/>
  <c r="A1689" i="26"/>
  <c r="E1689" i="26" s="1"/>
  <c r="A1688" i="26"/>
  <c r="E1688" i="26" s="1"/>
  <c r="A1687" i="26"/>
  <c r="E1687" i="26" s="1"/>
  <c r="A1686" i="26"/>
  <c r="E1686" i="26" s="1"/>
  <c r="A1685" i="26"/>
  <c r="E1685" i="26" s="1"/>
  <c r="A1684" i="26"/>
  <c r="E1684" i="26" s="1"/>
  <c r="A1683" i="26"/>
  <c r="E1683" i="26" s="1"/>
  <c r="A1682" i="26"/>
  <c r="E1682" i="26" s="1"/>
  <c r="A1681" i="26"/>
  <c r="E1681" i="26" s="1"/>
  <c r="A1680" i="26"/>
  <c r="E1680" i="26" s="1"/>
  <c r="A1679" i="26"/>
  <c r="E1679" i="26" s="1"/>
  <c r="A1678" i="26"/>
  <c r="E1678" i="26" s="1"/>
  <c r="A1677" i="26"/>
  <c r="E1677" i="26" s="1"/>
  <c r="A1676" i="26"/>
  <c r="E1676" i="26" s="1"/>
  <c r="A1675" i="26"/>
  <c r="E1675" i="26" s="1"/>
  <c r="A1674" i="26"/>
  <c r="E1674" i="26" s="1"/>
  <c r="A1673" i="26"/>
  <c r="E1673" i="26" s="1"/>
  <c r="A1672" i="26"/>
  <c r="A1671" i="26"/>
  <c r="E1671" i="26" s="1"/>
  <c r="A1670" i="26"/>
  <c r="E1670" i="26" s="1"/>
  <c r="A1669" i="26"/>
  <c r="E1669" i="26" s="1"/>
  <c r="A1668" i="26"/>
  <c r="E1668" i="26" s="1"/>
  <c r="A1667" i="26"/>
  <c r="E1667" i="26" s="1"/>
  <c r="A1666" i="26"/>
  <c r="E1666" i="26" s="1"/>
  <c r="A1665" i="26"/>
  <c r="E1665" i="26" s="1"/>
  <c r="A1664" i="26"/>
  <c r="E1664" i="26" s="1"/>
  <c r="A1663" i="26"/>
  <c r="E1663" i="26" s="1"/>
  <c r="A1662" i="26"/>
  <c r="E1662" i="26" s="1"/>
  <c r="A1661" i="26"/>
  <c r="E1661" i="26" s="1"/>
  <c r="A1660" i="26"/>
  <c r="E1660" i="26" s="1"/>
  <c r="A1659" i="26"/>
  <c r="E1659" i="26" s="1"/>
  <c r="A1658" i="26"/>
  <c r="E1658" i="26" s="1"/>
  <c r="A1657" i="26"/>
  <c r="E1657" i="26" s="1"/>
  <c r="A1656" i="26"/>
  <c r="E1656" i="26" s="1"/>
  <c r="A1655" i="26"/>
  <c r="E1655" i="26" s="1"/>
  <c r="A1654" i="26"/>
  <c r="E1654" i="26" s="1"/>
  <c r="A1653" i="26"/>
  <c r="E1653" i="26" s="1"/>
  <c r="A1651" i="26"/>
  <c r="E1651" i="26" s="1"/>
  <c r="A1650" i="26"/>
  <c r="E1650" i="26" s="1"/>
  <c r="A1649" i="26"/>
  <c r="E1649" i="26" s="1"/>
  <c r="A1648" i="26"/>
  <c r="A1647" i="26"/>
  <c r="E1647" i="26" s="1"/>
  <c r="A1646" i="26"/>
  <c r="E1646" i="26" s="1"/>
  <c r="A1645" i="26"/>
  <c r="E1645" i="26" s="1"/>
  <c r="A1644" i="26"/>
  <c r="E1644" i="26" s="1"/>
  <c r="A1643" i="26"/>
  <c r="E1643" i="26" s="1"/>
  <c r="A1642" i="26"/>
  <c r="E1642" i="26" s="1"/>
  <c r="A1641" i="26"/>
  <c r="E1641" i="26" s="1"/>
  <c r="A1640" i="26"/>
  <c r="E1640" i="26" s="1"/>
  <c r="A1638" i="26"/>
  <c r="E1638" i="26" s="1"/>
  <c r="A1637" i="26"/>
  <c r="E1637" i="26" s="1"/>
  <c r="A1636" i="26"/>
  <c r="E1636" i="26" s="1"/>
  <c r="A1635" i="26"/>
  <c r="E1635" i="26" s="1"/>
  <c r="A1634" i="26"/>
  <c r="E1634" i="26" s="1"/>
  <c r="A1633" i="26"/>
  <c r="E1633" i="26" s="1"/>
  <c r="A1632" i="26"/>
  <c r="E1632" i="26" s="1"/>
  <c r="A1631" i="26"/>
  <c r="E1631" i="26" s="1"/>
  <c r="A1630" i="26"/>
  <c r="E1630" i="26" s="1"/>
  <c r="A1628" i="26"/>
  <c r="E1628" i="26" s="1"/>
  <c r="A1627" i="26"/>
  <c r="E1627" i="26" s="1"/>
  <c r="A1626" i="26"/>
  <c r="E1626" i="26" s="1"/>
  <c r="A1625" i="26"/>
  <c r="E1625" i="26" s="1"/>
  <c r="A1624" i="26"/>
  <c r="A1623" i="26"/>
  <c r="E1623" i="26" s="1"/>
  <c r="A1622" i="26"/>
  <c r="E1622" i="26" s="1"/>
  <c r="A1621" i="26"/>
  <c r="E1621" i="26" s="1"/>
  <c r="A1620" i="26"/>
  <c r="E1620" i="26" s="1"/>
  <c r="A1619" i="26"/>
  <c r="E1619" i="26" s="1"/>
  <c r="A1618" i="26"/>
  <c r="E1618" i="26" s="1"/>
  <c r="A1617" i="26"/>
  <c r="E1617" i="26" s="1"/>
  <c r="A1616" i="26"/>
  <c r="E1616" i="26" s="1"/>
  <c r="A1615" i="26"/>
  <c r="E1615" i="26" s="1"/>
  <c r="A1614" i="26"/>
  <c r="E1614" i="26" s="1"/>
  <c r="A1613" i="26"/>
  <c r="E1613" i="26" s="1"/>
  <c r="A1612" i="26"/>
  <c r="E1612" i="26" s="1"/>
  <c r="A1611" i="26"/>
  <c r="E1611" i="26" s="1"/>
  <c r="A1610" i="26"/>
  <c r="E1610" i="26" s="1"/>
  <c r="A1609" i="26"/>
  <c r="E1609" i="26" s="1"/>
  <c r="A1608" i="26"/>
  <c r="E1608" i="26" s="1"/>
  <c r="A1607" i="26"/>
  <c r="E1607" i="26" s="1"/>
  <c r="A1606" i="26"/>
  <c r="E1606" i="26" s="1"/>
  <c r="A1605" i="26"/>
  <c r="E1605" i="26" s="1"/>
  <c r="A1604" i="26"/>
  <c r="E1604" i="26" s="1"/>
  <c r="A1603" i="26"/>
  <c r="A1602" i="26"/>
  <c r="A1601" i="26"/>
  <c r="A1600" i="26"/>
  <c r="A1599" i="26"/>
  <c r="A1598" i="26"/>
  <c r="A1597" i="26"/>
  <c r="E1597" i="26" s="1"/>
  <c r="A1596" i="26"/>
  <c r="A1595" i="26"/>
  <c r="A1594" i="26"/>
  <c r="A1593" i="26"/>
  <c r="A1592" i="26"/>
  <c r="A1591" i="26"/>
  <c r="E1591" i="26" s="1"/>
  <c r="A1590" i="26"/>
  <c r="A1589" i="26"/>
  <c r="A1588" i="26"/>
  <c r="A1587" i="26"/>
  <c r="A1586" i="26"/>
  <c r="A1585" i="26"/>
  <c r="A1584" i="26"/>
  <c r="A1583" i="26"/>
  <c r="A1582" i="26"/>
  <c r="E1582" i="26" s="1"/>
  <c r="A1581" i="26"/>
  <c r="E1581" i="26" s="1"/>
  <c r="A1580" i="26"/>
  <c r="E1580" i="26" s="1"/>
  <c r="A1579" i="26"/>
  <c r="A1578" i="26"/>
  <c r="A1577" i="26"/>
  <c r="A1576" i="26"/>
  <c r="A1575" i="26"/>
  <c r="A1574" i="26"/>
  <c r="A1573" i="26"/>
  <c r="E1573" i="26" s="1"/>
  <c r="A1572" i="26"/>
  <c r="A1571" i="26"/>
  <c r="A1570" i="26"/>
  <c r="A1569" i="26"/>
  <c r="A1568" i="26"/>
  <c r="A1567" i="26"/>
  <c r="E1567" i="26" s="1"/>
  <c r="A1566" i="26"/>
  <c r="A1565" i="26"/>
  <c r="A1564" i="26"/>
  <c r="A1563" i="26"/>
  <c r="A1562" i="26"/>
  <c r="A1561" i="26"/>
  <c r="A1560" i="26"/>
  <c r="A1559" i="26"/>
  <c r="A1558" i="26"/>
  <c r="E1558" i="26" s="1"/>
  <c r="A1557" i="26"/>
  <c r="E1557" i="26" s="1"/>
  <c r="A1556" i="26"/>
  <c r="E1556" i="26" s="1"/>
  <c r="A1555" i="26"/>
  <c r="A1554" i="26"/>
  <c r="A1553" i="26"/>
  <c r="A1552" i="26"/>
  <c r="A1551" i="26"/>
  <c r="A1550" i="26"/>
  <c r="A1549" i="26"/>
  <c r="E1549" i="26" s="1"/>
  <c r="A1548" i="26"/>
  <c r="A1547" i="26"/>
  <c r="A1546" i="26"/>
  <c r="A1545" i="26"/>
  <c r="A1544" i="26"/>
  <c r="A1543" i="26"/>
  <c r="E1543" i="26" s="1"/>
  <c r="A1542" i="26"/>
  <c r="A1541" i="26"/>
  <c r="A1540" i="26"/>
  <c r="A1539" i="26"/>
  <c r="A1538" i="26"/>
  <c r="A1537" i="26"/>
  <c r="A1536" i="26"/>
  <c r="A1535" i="26"/>
  <c r="A1534" i="26"/>
  <c r="E1534" i="26" s="1"/>
  <c r="A1533" i="26"/>
  <c r="E1533" i="26" s="1"/>
  <c r="A1532" i="26"/>
  <c r="E1532" i="26" s="1"/>
  <c r="A1531" i="26"/>
  <c r="A1530" i="26"/>
  <c r="A1529" i="26"/>
  <c r="A1528" i="26"/>
  <c r="A1527" i="26"/>
  <c r="A1526" i="26"/>
  <c r="A1525" i="26"/>
  <c r="E1525" i="26" s="1"/>
  <c r="A1524" i="26"/>
  <c r="A1523" i="26"/>
  <c r="A1522" i="26"/>
  <c r="A1521" i="26"/>
  <c r="A1520" i="26"/>
  <c r="A1519" i="26"/>
  <c r="E1519" i="26" s="1"/>
  <c r="A1518" i="26"/>
  <c r="A1517" i="26"/>
  <c r="A1516" i="26"/>
  <c r="A1515" i="26"/>
  <c r="A1514" i="26"/>
  <c r="A1513" i="26"/>
  <c r="A1512" i="26"/>
  <c r="A1511" i="26"/>
  <c r="A1510" i="26"/>
  <c r="E1510" i="26" s="1"/>
  <c r="A1509" i="26"/>
  <c r="A1508" i="26"/>
  <c r="E1508" i="26" s="1"/>
  <c r="A1507" i="26"/>
  <c r="A1506" i="26"/>
  <c r="A1505" i="26"/>
  <c r="A1504" i="26"/>
  <c r="A1503" i="26"/>
  <c r="A1502" i="26"/>
  <c r="A1501" i="26"/>
  <c r="E1501" i="26" s="1"/>
  <c r="A1500" i="26"/>
  <c r="A1499" i="26"/>
  <c r="A1498" i="26"/>
  <c r="A1497" i="26"/>
  <c r="A1496" i="26"/>
  <c r="A1495" i="26"/>
  <c r="E1495" i="26" s="1"/>
  <c r="A1494" i="26"/>
  <c r="A1493" i="26"/>
  <c r="A1492" i="26"/>
  <c r="A1491" i="26"/>
  <c r="A1490" i="26"/>
  <c r="A1489" i="26"/>
  <c r="A1488" i="26"/>
  <c r="A1487" i="26"/>
  <c r="A1486" i="26"/>
  <c r="E1486" i="26" s="1"/>
  <c r="A1485" i="26"/>
  <c r="A1484" i="26"/>
  <c r="E1484" i="26" s="1"/>
  <c r="A1483" i="26"/>
  <c r="A1482" i="26"/>
  <c r="A1481" i="26"/>
  <c r="A1480" i="26"/>
  <c r="A1479" i="26"/>
  <c r="A1478" i="26"/>
  <c r="A1477" i="26"/>
  <c r="E1477" i="26" s="1"/>
  <c r="A1476" i="26"/>
  <c r="A1475" i="26"/>
  <c r="A1474" i="26"/>
  <c r="A1473" i="26"/>
  <c r="A1472" i="26"/>
  <c r="A1471" i="26"/>
  <c r="E1471" i="26" s="1"/>
  <c r="A1470" i="26"/>
  <c r="A1469" i="26"/>
  <c r="A1468" i="26"/>
  <c r="A1467" i="26"/>
  <c r="A1466" i="26"/>
  <c r="A1465" i="26"/>
  <c r="A1464" i="26"/>
  <c r="A1463" i="26"/>
  <c r="A1462" i="26"/>
  <c r="E1462" i="26" s="1"/>
  <c r="A1461" i="26"/>
  <c r="E1461" i="26" s="1"/>
  <c r="A1460" i="26"/>
  <c r="E1460" i="26" s="1"/>
  <c r="A1459" i="26"/>
  <c r="A1458" i="26"/>
  <c r="A1457" i="26"/>
  <c r="A1456" i="26"/>
  <c r="A1455" i="26"/>
  <c r="A1454" i="26"/>
  <c r="A1453" i="26"/>
  <c r="E1453" i="26" s="1"/>
  <c r="A1452" i="26"/>
  <c r="A1451" i="26"/>
  <c r="A1450" i="26"/>
  <c r="A1449" i="26"/>
  <c r="A1448" i="26"/>
  <c r="A1447" i="26"/>
  <c r="E1447" i="26" s="1"/>
  <c r="A1446" i="26"/>
  <c r="A1445" i="26"/>
  <c r="A1444" i="26"/>
  <c r="A1443" i="26"/>
  <c r="A1442" i="26"/>
  <c r="A1441" i="26"/>
  <c r="A1440" i="26"/>
  <c r="A1439" i="26"/>
  <c r="A1438" i="26"/>
  <c r="E1438" i="26" s="1"/>
  <c r="A1437" i="26"/>
  <c r="A1436" i="26"/>
  <c r="E1436" i="26" s="1"/>
  <c r="A1435" i="26"/>
  <c r="A1434" i="26"/>
  <c r="A1433" i="26"/>
  <c r="A1432" i="26"/>
  <c r="A1431" i="26"/>
  <c r="A1430" i="26"/>
  <c r="A1429" i="26"/>
  <c r="E1429" i="26" s="1"/>
  <c r="A1428" i="26"/>
  <c r="A1427" i="26"/>
  <c r="A1426" i="26"/>
  <c r="A1425" i="26"/>
  <c r="A1424" i="26"/>
  <c r="A1423" i="26"/>
  <c r="E1423" i="26" s="1"/>
  <c r="A1422" i="26"/>
  <c r="A1421" i="26"/>
  <c r="A1420" i="26"/>
  <c r="A1419" i="26"/>
  <c r="A1418" i="26"/>
  <c r="A1417" i="26"/>
  <c r="A1416" i="26"/>
  <c r="A1415" i="26"/>
  <c r="A1414" i="26"/>
  <c r="E1414" i="26" s="1"/>
  <c r="A1413" i="26"/>
  <c r="A1412" i="26"/>
  <c r="E1412" i="26" s="1"/>
  <c r="A1411" i="26"/>
  <c r="A1410" i="26"/>
  <c r="A1409" i="26"/>
  <c r="A1408" i="26"/>
  <c r="A1407" i="26"/>
  <c r="A1406" i="26"/>
  <c r="A1405" i="26"/>
  <c r="E1405" i="26" s="1"/>
  <c r="A1404" i="26"/>
  <c r="A1403" i="26"/>
  <c r="A1402" i="26"/>
  <c r="A1401" i="26"/>
  <c r="A1400" i="26"/>
  <c r="A1399" i="26"/>
  <c r="E1399" i="26" s="1"/>
  <c r="A1398" i="26"/>
  <c r="A1397" i="26"/>
  <c r="A1396" i="26"/>
  <c r="A1395" i="26"/>
  <c r="A1394" i="26"/>
  <c r="A1393" i="26"/>
  <c r="A1392" i="26"/>
  <c r="A1391" i="26"/>
  <c r="A1390" i="26"/>
  <c r="E1390" i="26" s="1"/>
  <c r="A1389" i="26"/>
  <c r="A1388" i="26"/>
  <c r="E1388" i="26" s="1"/>
  <c r="A1387" i="26"/>
  <c r="A1386" i="26"/>
  <c r="A1385" i="26"/>
  <c r="A1384" i="26"/>
  <c r="A1383" i="26"/>
  <c r="A1382" i="26"/>
  <c r="A1381" i="26"/>
  <c r="E1381" i="26" s="1"/>
  <c r="A1380" i="26"/>
  <c r="A1379" i="26"/>
  <c r="A1378" i="26"/>
  <c r="A1377" i="26"/>
  <c r="A1376" i="26"/>
  <c r="A1375" i="26"/>
  <c r="E1375" i="26" s="1"/>
  <c r="A1374" i="26"/>
  <c r="A1373" i="26"/>
  <c r="A1372" i="26"/>
  <c r="A1371" i="26"/>
  <c r="A1370" i="26"/>
  <c r="A1369" i="26"/>
  <c r="A1368" i="26"/>
  <c r="A1367" i="26"/>
  <c r="A1366" i="26"/>
  <c r="E1366" i="26" s="1"/>
  <c r="A1365" i="26"/>
  <c r="E1365" i="26" s="1"/>
  <c r="A1364" i="26"/>
  <c r="E1364" i="26" s="1"/>
  <c r="A1363" i="26"/>
  <c r="A1362" i="26"/>
  <c r="A1361" i="26"/>
  <c r="A1360" i="26"/>
  <c r="A1359" i="26"/>
  <c r="A1358" i="26"/>
  <c r="A1357" i="26"/>
  <c r="E1357" i="26" s="1"/>
  <c r="A1356" i="26"/>
  <c r="A1355" i="26"/>
  <c r="A1354" i="26"/>
  <c r="A1353" i="26"/>
  <c r="A1352" i="26"/>
  <c r="A1351" i="26"/>
  <c r="E1351" i="26" s="1"/>
  <c r="A1350" i="26"/>
  <c r="A1349" i="26"/>
  <c r="A1348" i="26"/>
  <c r="A1347" i="26"/>
  <c r="A1346" i="26"/>
  <c r="A1345" i="26"/>
  <c r="A1344" i="26"/>
  <c r="A1343" i="26"/>
  <c r="A1342" i="26"/>
  <c r="E1342" i="26" s="1"/>
  <c r="A1341" i="26"/>
  <c r="E1341" i="26" s="1"/>
  <c r="A1340" i="26"/>
  <c r="E1340" i="26" s="1"/>
  <c r="A1339" i="26"/>
  <c r="A1338" i="26"/>
  <c r="A1337" i="26"/>
  <c r="A1336" i="26"/>
  <c r="A1335" i="26"/>
  <c r="A1334" i="26"/>
  <c r="A1333" i="26"/>
  <c r="E1333" i="26" s="1"/>
  <c r="A1332" i="26"/>
  <c r="A1331" i="26"/>
  <c r="A1330" i="26"/>
  <c r="A1329" i="26"/>
  <c r="A1328" i="26"/>
  <c r="A1327" i="26"/>
  <c r="E1327" i="26" s="1"/>
  <c r="A1326" i="26"/>
  <c r="A1325" i="26"/>
  <c r="A1324" i="26"/>
  <c r="A1323" i="26"/>
  <c r="A1322" i="26"/>
  <c r="A1321" i="26"/>
  <c r="A1320" i="26"/>
  <c r="A1319" i="26"/>
  <c r="A1318" i="26"/>
  <c r="E1318" i="26" s="1"/>
  <c r="A1317" i="26"/>
  <c r="A1316" i="26"/>
  <c r="E1316" i="26" s="1"/>
  <c r="A1315" i="26"/>
  <c r="A1314" i="26"/>
  <c r="A1313" i="26"/>
  <c r="A1312" i="26"/>
  <c r="A1311" i="26"/>
  <c r="A1310" i="26"/>
  <c r="A1309" i="26"/>
  <c r="E1309" i="26" s="1"/>
  <c r="A1308" i="26"/>
  <c r="A1307" i="26"/>
  <c r="A1306" i="26"/>
  <c r="A1305" i="26"/>
  <c r="A1304" i="26"/>
  <c r="A1303" i="26"/>
  <c r="E1303" i="26" s="1"/>
  <c r="A1302" i="26"/>
  <c r="A1301" i="26"/>
  <c r="A1300" i="26"/>
  <c r="A1299" i="26"/>
  <c r="A1298" i="26"/>
  <c r="A1297" i="26"/>
  <c r="A1296" i="26"/>
  <c r="A1295" i="26"/>
  <c r="A1294" i="26"/>
  <c r="E1294" i="26" s="1"/>
  <c r="A1293" i="26"/>
  <c r="E1293" i="26" s="1"/>
  <c r="A1292" i="26"/>
  <c r="E1292" i="26" s="1"/>
  <c r="A1291" i="26"/>
  <c r="A1290" i="26"/>
  <c r="A1289" i="26"/>
  <c r="A1288" i="26"/>
  <c r="A1287" i="26"/>
  <c r="A1286" i="26"/>
  <c r="A1285" i="26"/>
  <c r="E1285" i="26" s="1"/>
  <c r="A1284" i="26"/>
  <c r="A1283" i="26"/>
  <c r="A1282" i="26"/>
  <c r="A1281" i="26"/>
  <c r="A1280" i="26"/>
  <c r="A1279" i="26"/>
  <c r="E1279" i="26" s="1"/>
  <c r="A1278" i="26"/>
  <c r="A1277" i="26"/>
  <c r="A1276" i="26"/>
  <c r="A1275" i="26"/>
  <c r="A1274" i="26"/>
  <c r="A1273" i="26"/>
  <c r="A1272" i="26"/>
  <c r="A1271" i="26"/>
  <c r="A1270" i="26"/>
  <c r="E1270" i="26" s="1"/>
  <c r="A1269" i="26"/>
  <c r="E1269" i="26" s="1"/>
  <c r="A1268" i="26"/>
  <c r="E1268" i="26" s="1"/>
  <c r="A1267" i="26"/>
  <c r="A1266" i="26"/>
  <c r="A1265" i="26"/>
  <c r="A1264" i="26"/>
  <c r="A1263" i="26"/>
  <c r="A1262" i="26"/>
  <c r="A1261" i="26"/>
  <c r="E1261" i="26" s="1"/>
  <c r="A1260" i="26"/>
  <c r="A1259" i="26"/>
  <c r="A1258" i="26"/>
  <c r="A1257" i="26"/>
  <c r="A1256" i="26"/>
  <c r="A1255" i="26"/>
  <c r="E1255" i="26" s="1"/>
  <c r="A1254" i="26"/>
  <c r="A1253" i="26"/>
  <c r="A1252" i="26"/>
  <c r="A1251" i="26"/>
  <c r="A1250" i="26"/>
  <c r="A1249" i="26"/>
  <c r="A1248" i="26"/>
  <c r="A1247" i="26"/>
  <c r="A1246" i="26"/>
  <c r="E1246" i="26" s="1"/>
  <c r="A1245" i="26"/>
  <c r="E1245" i="26" s="1"/>
  <c r="A1244" i="26"/>
  <c r="E1244" i="26" s="1"/>
  <c r="A1243" i="26"/>
  <c r="A1242" i="26"/>
  <c r="A1241" i="26"/>
  <c r="A1240" i="26"/>
  <c r="A1239" i="26"/>
  <c r="A1238" i="26"/>
  <c r="A1237" i="26"/>
  <c r="E1237" i="26" s="1"/>
  <c r="A1236" i="26"/>
  <c r="A1235" i="26"/>
  <c r="A1234" i="26"/>
  <c r="A1233" i="26"/>
  <c r="A1232" i="26"/>
  <c r="A1231" i="26"/>
  <c r="E1231" i="26" s="1"/>
  <c r="A1230" i="26"/>
  <c r="A1229" i="26"/>
  <c r="A1228" i="26"/>
  <c r="A1227" i="26"/>
  <c r="A1226" i="26"/>
  <c r="A1225" i="26"/>
  <c r="A1224" i="26"/>
  <c r="A1223" i="26"/>
  <c r="A1222" i="26"/>
  <c r="E1222" i="26" s="1"/>
  <c r="A1221" i="26"/>
  <c r="A1220" i="26"/>
  <c r="E1220" i="26" s="1"/>
  <c r="A1219" i="26"/>
  <c r="A1218" i="26"/>
  <c r="A1217" i="26"/>
  <c r="A1216" i="26"/>
  <c r="A1215" i="26"/>
  <c r="A1214" i="26"/>
  <c r="A1213" i="26"/>
  <c r="E1213" i="26" s="1"/>
  <c r="A1212" i="26"/>
  <c r="A1211" i="26"/>
  <c r="A1210" i="26"/>
  <c r="A1209" i="26"/>
  <c r="A1208" i="26"/>
  <c r="A1207" i="26"/>
  <c r="E1207" i="26" s="1"/>
  <c r="A1206" i="26"/>
  <c r="A1205" i="26"/>
  <c r="A1204" i="26"/>
  <c r="A1203" i="26"/>
  <c r="A1202" i="26"/>
  <c r="A1201" i="26"/>
  <c r="A1200" i="26"/>
  <c r="A1199" i="26"/>
  <c r="A1198" i="26"/>
  <c r="E1198" i="26" s="1"/>
  <c r="A1197" i="26"/>
  <c r="A1196" i="26"/>
  <c r="E1196" i="26" s="1"/>
  <c r="A1195" i="26"/>
  <c r="A1194" i="26"/>
  <c r="A1193" i="26"/>
  <c r="A1192" i="26"/>
  <c r="A1191" i="26"/>
  <c r="A1190" i="26"/>
  <c r="A1189" i="26"/>
  <c r="E1189" i="26" s="1"/>
  <c r="A1188" i="26"/>
  <c r="A1187" i="26"/>
  <c r="A1186" i="26"/>
  <c r="A1185" i="26"/>
  <c r="A1184" i="26"/>
  <c r="A1183" i="26"/>
  <c r="E1183" i="26" s="1"/>
  <c r="A1182" i="26"/>
  <c r="A1181" i="26"/>
  <c r="A1180" i="26"/>
  <c r="A1179" i="26"/>
  <c r="A1178" i="26"/>
  <c r="A1177" i="26"/>
  <c r="A1176" i="26"/>
  <c r="A1175" i="26"/>
  <c r="A1174" i="26"/>
  <c r="E1174" i="26" s="1"/>
  <c r="A1173" i="26"/>
  <c r="A1172" i="26"/>
  <c r="E1172" i="26" s="1"/>
  <c r="A1171" i="26"/>
  <c r="A1170" i="26"/>
  <c r="A1169" i="26"/>
  <c r="A1168" i="26"/>
  <c r="A1167" i="26"/>
  <c r="A1166" i="26"/>
  <c r="A1165" i="26"/>
  <c r="E1165" i="26" s="1"/>
  <c r="A1164" i="26"/>
  <c r="A1163" i="26"/>
  <c r="A1162" i="26"/>
  <c r="A1161" i="26"/>
  <c r="A1160" i="26"/>
  <c r="A1159" i="26"/>
  <c r="E1159" i="26" s="1"/>
  <c r="A1158" i="26"/>
  <c r="A1157" i="26"/>
  <c r="A1156" i="26"/>
  <c r="A1155" i="26"/>
  <c r="A1154" i="26"/>
  <c r="A1153" i="26"/>
  <c r="A1152" i="26"/>
  <c r="A1151" i="26"/>
  <c r="A1150" i="26"/>
  <c r="E1150" i="26" s="1"/>
  <c r="A1149" i="26"/>
  <c r="A1148" i="26"/>
  <c r="E1148" i="26" s="1"/>
  <c r="A1147" i="26"/>
  <c r="A1146" i="26"/>
  <c r="A1145" i="26"/>
  <c r="A1144" i="26"/>
  <c r="A1143" i="26"/>
  <c r="A1142" i="26"/>
  <c r="A1141" i="26"/>
  <c r="E1141" i="26" s="1"/>
  <c r="A1140" i="26"/>
  <c r="A1139" i="26"/>
  <c r="A1138" i="26"/>
  <c r="A1137" i="26"/>
  <c r="A1136" i="26"/>
  <c r="A1135" i="26"/>
  <c r="E1135" i="26" s="1"/>
  <c r="A1134" i="26"/>
  <c r="A1133" i="26"/>
  <c r="A1132" i="26"/>
  <c r="A1131" i="26"/>
  <c r="A1130" i="26"/>
  <c r="A1129" i="26"/>
  <c r="A1128" i="26"/>
  <c r="A1127" i="26"/>
  <c r="A1126" i="26"/>
  <c r="E1126" i="26" s="1"/>
  <c r="A1125" i="26"/>
  <c r="D1125" i="26" s="1"/>
  <c r="A1124" i="26"/>
  <c r="E1124" i="26" s="1"/>
  <c r="A1123" i="26"/>
  <c r="A1122" i="26"/>
  <c r="A1121" i="26"/>
  <c r="A1120" i="26"/>
  <c r="A1119" i="26"/>
  <c r="A1118" i="26"/>
  <c r="A1117" i="26"/>
  <c r="E1117" i="26" s="1"/>
  <c r="A1116" i="26"/>
  <c r="A1115" i="26"/>
  <c r="A1114" i="26"/>
  <c r="A1113" i="26"/>
  <c r="A1112" i="26"/>
  <c r="A1111" i="26"/>
  <c r="E1111" i="26" s="1"/>
  <c r="A1110" i="26"/>
  <c r="A1109" i="26"/>
  <c r="A1108" i="26"/>
  <c r="A1107" i="26"/>
  <c r="A1106" i="26"/>
  <c r="A1105" i="26"/>
  <c r="A1104" i="26"/>
  <c r="A1103" i="26"/>
  <c r="A1102" i="26"/>
  <c r="E1102" i="26" s="1"/>
  <c r="A1101" i="26"/>
  <c r="D1101" i="26" s="1"/>
  <c r="A1100" i="26"/>
  <c r="E1100" i="26" s="1"/>
  <c r="A1099" i="26"/>
  <c r="A1098" i="26"/>
  <c r="A1097" i="26"/>
  <c r="A1096" i="26"/>
  <c r="A1095" i="26"/>
  <c r="A1094" i="26"/>
  <c r="A1093" i="26"/>
  <c r="E1093" i="26" s="1"/>
  <c r="A1092" i="26"/>
  <c r="A1091" i="26"/>
  <c r="A1090" i="26"/>
  <c r="A1089" i="26"/>
  <c r="A1088" i="26"/>
  <c r="A1087" i="26"/>
  <c r="E1087" i="26" s="1"/>
  <c r="A1086" i="26"/>
  <c r="A1085" i="26"/>
  <c r="A1084" i="26"/>
  <c r="A1083" i="26"/>
  <c r="A1082" i="26"/>
  <c r="A1081" i="26"/>
  <c r="A1080" i="26"/>
  <c r="A1079" i="26"/>
  <c r="A1078" i="26"/>
  <c r="E1078" i="26" s="1"/>
  <c r="A1077" i="26"/>
  <c r="D1077" i="26" s="1"/>
  <c r="A1076" i="26"/>
  <c r="E1076" i="26" s="1"/>
  <c r="A1075" i="26"/>
  <c r="A1074" i="26"/>
  <c r="A1073" i="26"/>
  <c r="A1072" i="26"/>
  <c r="A1071" i="26"/>
  <c r="A1070" i="26"/>
  <c r="A1069" i="26"/>
  <c r="E1069" i="26" s="1"/>
  <c r="A1068" i="26"/>
  <c r="A1067" i="26"/>
  <c r="A1066" i="26"/>
  <c r="A1065" i="26"/>
  <c r="A1064" i="26"/>
  <c r="A1063" i="26"/>
  <c r="E1063" i="26" s="1"/>
  <c r="A1062" i="26"/>
  <c r="A1061" i="26"/>
  <c r="A1060" i="26"/>
  <c r="A1059" i="26"/>
  <c r="A1058" i="26"/>
  <c r="A1057" i="26"/>
  <c r="A1056" i="26"/>
  <c r="A1055" i="26"/>
  <c r="A1054" i="26"/>
  <c r="E1054" i="26" s="1"/>
  <c r="A1053" i="26"/>
  <c r="D1053" i="26" s="1"/>
  <c r="A1052" i="26"/>
  <c r="E1052" i="26" s="1"/>
  <c r="A1051" i="26"/>
  <c r="A1050" i="26"/>
  <c r="A1049" i="26"/>
  <c r="A1048" i="26"/>
  <c r="A1047" i="26"/>
  <c r="A1046" i="26"/>
  <c r="A1045" i="26"/>
  <c r="A1044" i="26"/>
  <c r="A1043" i="26"/>
  <c r="A1042" i="26"/>
  <c r="A1041" i="26"/>
  <c r="A1040" i="26"/>
  <c r="A1039" i="26"/>
  <c r="E1039" i="26" s="1"/>
  <c r="A1038" i="26"/>
  <c r="A1037" i="26"/>
  <c r="A1036" i="26"/>
  <c r="A1035" i="26"/>
  <c r="A1034" i="26"/>
  <c r="A1033" i="26"/>
  <c r="A1032" i="26"/>
  <c r="A1031" i="26"/>
  <c r="A1030" i="26"/>
  <c r="E1030" i="26" s="1"/>
  <c r="A1029" i="26"/>
  <c r="D1029" i="26" s="1"/>
  <c r="A1028" i="26"/>
  <c r="E1028" i="26" s="1"/>
  <c r="A1027" i="26"/>
  <c r="A1026" i="26"/>
  <c r="A1025" i="26"/>
  <c r="A1024" i="26"/>
  <c r="A1023" i="26"/>
  <c r="A1022" i="26"/>
  <c r="A1021" i="26"/>
  <c r="A1020" i="26"/>
  <c r="A1019" i="26"/>
  <c r="A1018" i="26"/>
  <c r="A1017" i="26"/>
  <c r="A1016" i="26"/>
  <c r="A1015" i="26"/>
  <c r="E1015" i="26" s="1"/>
  <c r="A1014" i="26"/>
  <c r="A1013" i="26"/>
  <c r="A1012" i="26"/>
  <c r="A1011" i="26"/>
  <c r="A1010" i="26"/>
  <c r="A1009" i="26"/>
  <c r="A1008" i="26"/>
  <c r="A1007" i="26"/>
  <c r="A1006" i="26"/>
  <c r="E1006" i="26" s="1"/>
  <c r="A1005" i="26"/>
  <c r="D1005" i="26" s="1"/>
  <c r="A1004" i="26"/>
  <c r="E1004" i="26" s="1"/>
  <c r="A1003" i="26"/>
  <c r="A1002" i="26"/>
  <c r="A1001" i="26"/>
  <c r="A1000" i="26"/>
  <c r="A999" i="26"/>
  <c r="A998" i="26"/>
  <c r="A997" i="26"/>
  <c r="A996" i="26"/>
  <c r="A995" i="26"/>
  <c r="A994" i="26"/>
  <c r="A993" i="26"/>
  <c r="A992" i="26"/>
  <c r="A991" i="26"/>
  <c r="E991" i="26" s="1"/>
  <c r="A990" i="26"/>
  <c r="A989" i="26"/>
  <c r="A988" i="26"/>
  <c r="A987" i="26"/>
  <c r="A986" i="26"/>
  <c r="A985" i="26"/>
  <c r="A984" i="26"/>
  <c r="A983" i="26"/>
  <c r="A982" i="26"/>
  <c r="E982" i="26" s="1"/>
  <c r="A981" i="26"/>
  <c r="A980" i="26"/>
  <c r="E980" i="26" s="1"/>
  <c r="A979" i="26"/>
  <c r="A978" i="26"/>
  <c r="A977" i="26"/>
  <c r="A976" i="26"/>
  <c r="A975" i="26"/>
  <c r="A974" i="26"/>
  <c r="A973" i="26"/>
  <c r="A972" i="26"/>
  <c r="A971" i="26"/>
  <c r="A970" i="26"/>
  <c r="A969" i="26"/>
  <c r="A968" i="26"/>
  <c r="A967" i="26"/>
  <c r="E967" i="26" s="1"/>
  <c r="A966" i="26"/>
  <c r="A965" i="26"/>
  <c r="A964" i="26"/>
  <c r="A963" i="26"/>
  <c r="A962" i="26"/>
  <c r="A961" i="26"/>
  <c r="A960" i="26"/>
  <c r="A959" i="26"/>
  <c r="A958" i="26"/>
  <c r="E958" i="26" s="1"/>
  <c r="A957" i="26"/>
  <c r="A956" i="26"/>
  <c r="E956" i="26" s="1"/>
  <c r="A955" i="26"/>
  <c r="A954" i="26"/>
  <c r="A953" i="26"/>
  <c r="A952" i="26"/>
  <c r="A951" i="26"/>
  <c r="A950" i="26"/>
  <c r="A949" i="26"/>
  <c r="A948" i="26"/>
  <c r="A947" i="26"/>
  <c r="A946" i="26"/>
  <c r="A945" i="26"/>
  <c r="A944" i="26"/>
  <c r="A943" i="26"/>
  <c r="E943" i="26" s="1"/>
  <c r="A942" i="26"/>
  <c r="A941" i="26"/>
  <c r="A940" i="26"/>
  <c r="A939" i="26"/>
  <c r="A938" i="26"/>
  <c r="A937" i="26"/>
  <c r="A936" i="26"/>
  <c r="A935" i="26"/>
  <c r="A934" i="26"/>
  <c r="E934" i="26" s="1"/>
  <c r="A933" i="26"/>
  <c r="A932" i="26"/>
  <c r="E932" i="26" s="1"/>
  <c r="A931" i="26"/>
  <c r="A930" i="26"/>
  <c r="A929" i="26"/>
  <c r="A928" i="26"/>
  <c r="A927" i="26"/>
  <c r="A926" i="26"/>
  <c r="A925" i="26"/>
  <c r="A924" i="26"/>
  <c r="A923" i="26"/>
  <c r="A922" i="26"/>
  <c r="A921" i="26"/>
  <c r="A920" i="26"/>
  <c r="A919" i="26"/>
  <c r="E919" i="26" s="1"/>
  <c r="A918" i="26"/>
  <c r="A917" i="26"/>
  <c r="A916" i="26"/>
  <c r="A915" i="26"/>
  <c r="A914" i="26"/>
  <c r="A913" i="26"/>
  <c r="A912" i="26"/>
  <c r="A911" i="26"/>
  <c r="A910" i="26"/>
  <c r="E910" i="26" s="1"/>
  <c r="A909" i="26"/>
  <c r="D909" i="26" s="1"/>
  <c r="A908" i="26"/>
  <c r="E908" i="26" s="1"/>
  <c r="A907" i="26"/>
  <c r="A906" i="26"/>
  <c r="A905" i="26"/>
  <c r="A904" i="26"/>
  <c r="E904" i="26" s="1"/>
  <c r="A903" i="26"/>
  <c r="A902" i="26"/>
  <c r="A901" i="26"/>
  <c r="A900" i="26"/>
  <c r="A899" i="26"/>
  <c r="A898" i="26"/>
  <c r="A897" i="26"/>
  <c r="A896" i="26"/>
  <c r="A895" i="26"/>
  <c r="E895" i="26" s="1"/>
  <c r="A894" i="26"/>
  <c r="A893" i="26"/>
  <c r="A892" i="26"/>
  <c r="A891" i="26"/>
  <c r="A890" i="26"/>
  <c r="A889" i="26"/>
  <c r="A888" i="26"/>
  <c r="A887" i="26"/>
  <c r="A886" i="26"/>
  <c r="E886" i="26" s="1"/>
  <c r="A885" i="26"/>
  <c r="A884" i="26"/>
  <c r="E884" i="26" s="1"/>
  <c r="A883" i="26"/>
  <c r="A882" i="26"/>
  <c r="A881" i="26"/>
  <c r="A880" i="26"/>
  <c r="E880" i="26" s="1"/>
  <c r="A879" i="26"/>
  <c r="A878" i="26"/>
  <c r="A877" i="26"/>
  <c r="A876" i="26"/>
  <c r="A875" i="26"/>
  <c r="A874" i="26"/>
  <c r="A873" i="26"/>
  <c r="A872" i="26"/>
  <c r="A871" i="26"/>
  <c r="A870" i="26"/>
  <c r="A869" i="26"/>
  <c r="A868" i="26"/>
  <c r="A867" i="26"/>
  <c r="A866" i="26"/>
  <c r="A865" i="26"/>
  <c r="A864" i="26"/>
  <c r="A863" i="26"/>
  <c r="A862" i="26"/>
  <c r="E862" i="26" s="1"/>
  <c r="A861" i="26"/>
  <c r="A860" i="26"/>
  <c r="E860" i="26" s="1"/>
  <c r="A859" i="26"/>
  <c r="A858" i="26"/>
  <c r="A857" i="26"/>
  <c r="A856" i="26"/>
  <c r="E856" i="26" s="1"/>
  <c r="A855" i="26"/>
  <c r="A854" i="26"/>
  <c r="A853" i="26"/>
  <c r="E853" i="26" s="1"/>
  <c r="A852" i="26"/>
  <c r="A851" i="26"/>
  <c r="A850" i="26"/>
  <c r="A849" i="26"/>
  <c r="A848" i="26"/>
  <c r="A847" i="26"/>
  <c r="A846" i="26"/>
  <c r="A845" i="26"/>
  <c r="A844" i="26"/>
  <c r="A843" i="26"/>
  <c r="A842" i="26"/>
  <c r="A841" i="26"/>
  <c r="A840" i="26"/>
  <c r="A839" i="26"/>
  <c r="A838" i="26"/>
  <c r="E838" i="26" s="1"/>
  <c r="A837" i="26"/>
  <c r="D837" i="26" s="1"/>
  <c r="A836" i="26"/>
  <c r="E836" i="26" s="1"/>
  <c r="A835" i="26"/>
  <c r="A834" i="26"/>
  <c r="A833" i="26"/>
  <c r="A832" i="26"/>
  <c r="A831" i="26"/>
  <c r="A830" i="26"/>
  <c r="A829" i="26"/>
  <c r="E829" i="26" s="1"/>
  <c r="A828" i="26"/>
  <c r="A827" i="26"/>
  <c r="A826" i="26"/>
  <c r="A825" i="26"/>
  <c r="A824" i="26"/>
  <c r="A823" i="26"/>
  <c r="A822" i="26"/>
  <c r="A821" i="26"/>
  <c r="A820" i="26"/>
  <c r="A819" i="26"/>
  <c r="A818" i="26"/>
  <c r="A817" i="26"/>
  <c r="A816" i="26"/>
  <c r="A815" i="26"/>
  <c r="A814" i="26"/>
  <c r="E814" i="26" s="1"/>
  <c r="A813" i="26"/>
  <c r="A812" i="26"/>
  <c r="E812" i="26" s="1"/>
  <c r="A811" i="26"/>
  <c r="A810" i="26"/>
  <c r="A809" i="26"/>
  <c r="A808" i="26"/>
  <c r="A807" i="26"/>
  <c r="A806" i="26"/>
  <c r="A805" i="26"/>
  <c r="E805" i="26" s="1"/>
  <c r="A804" i="26"/>
  <c r="A803" i="26"/>
  <c r="A802" i="26"/>
  <c r="A801" i="26"/>
  <c r="A800" i="26"/>
  <c r="A799" i="26"/>
  <c r="A798" i="26"/>
  <c r="A797" i="26"/>
  <c r="A796" i="26"/>
  <c r="A795" i="26"/>
  <c r="A794" i="26"/>
  <c r="A793" i="26"/>
  <c r="A792" i="26"/>
  <c r="A791" i="26"/>
  <c r="A790" i="26"/>
  <c r="E790" i="26" s="1"/>
  <c r="A789" i="26"/>
  <c r="D789" i="26" s="1"/>
  <c r="A788" i="26"/>
  <c r="E788" i="26" s="1"/>
  <c r="A787" i="26"/>
  <c r="A786" i="26"/>
  <c r="A785" i="26"/>
  <c r="A784" i="26"/>
  <c r="A783" i="26"/>
  <c r="A782" i="26"/>
  <c r="A781" i="26"/>
  <c r="E781" i="26" s="1"/>
  <c r="A780" i="26"/>
  <c r="A779" i="26"/>
  <c r="A778" i="26"/>
  <c r="A777" i="26"/>
  <c r="A776" i="26"/>
  <c r="A775" i="26"/>
  <c r="E775" i="26" s="1"/>
  <c r="A774" i="26"/>
  <c r="A773" i="26"/>
  <c r="A772" i="26"/>
  <c r="A771" i="26"/>
  <c r="A770" i="26"/>
  <c r="A769" i="26"/>
  <c r="A768" i="26"/>
  <c r="A767" i="26"/>
  <c r="A766" i="26"/>
  <c r="A765" i="26"/>
  <c r="A764" i="26"/>
  <c r="E764" i="26" s="1"/>
  <c r="A763" i="26"/>
  <c r="A762" i="26"/>
  <c r="A761" i="26"/>
  <c r="A760" i="26"/>
  <c r="A759" i="26"/>
  <c r="A758" i="26"/>
  <c r="A757" i="26"/>
  <c r="E757" i="26" s="1"/>
  <c r="A756" i="26"/>
  <c r="A755" i="26"/>
  <c r="A754" i="26"/>
  <c r="A753" i="26"/>
  <c r="A752" i="26"/>
  <c r="A751" i="26"/>
  <c r="E751" i="26" s="1"/>
  <c r="A750" i="26"/>
  <c r="A749" i="26"/>
  <c r="A748" i="26"/>
  <c r="A747" i="26"/>
  <c r="A746" i="26"/>
  <c r="A745" i="26"/>
  <c r="A744" i="26"/>
  <c r="A743" i="26"/>
  <c r="A742" i="26"/>
  <c r="A741" i="26"/>
  <c r="A740" i="26"/>
  <c r="A739" i="26"/>
  <c r="A738" i="26"/>
  <c r="A737" i="26"/>
  <c r="A736" i="26"/>
  <c r="A735" i="26"/>
  <c r="A734" i="26"/>
  <c r="A733" i="26"/>
  <c r="E733" i="26" s="1"/>
  <c r="A732" i="26"/>
  <c r="A731" i="26"/>
  <c r="A730" i="26"/>
  <c r="A729" i="26"/>
  <c r="A728" i="26"/>
  <c r="A727" i="26"/>
  <c r="E727" i="26" s="1"/>
  <c r="A726" i="26"/>
  <c r="A725" i="26"/>
  <c r="A724" i="26"/>
  <c r="A723" i="26"/>
  <c r="A722" i="26"/>
  <c r="A721" i="26"/>
  <c r="A720" i="26"/>
  <c r="A719" i="26"/>
  <c r="A718" i="26"/>
  <c r="A717" i="26"/>
  <c r="A716" i="26"/>
  <c r="A715" i="26"/>
  <c r="A714" i="26"/>
  <c r="A713" i="26"/>
  <c r="A712" i="26"/>
  <c r="A711" i="26"/>
  <c r="A710" i="26"/>
  <c r="A709" i="26"/>
  <c r="E709" i="26" s="1"/>
  <c r="A708" i="26"/>
  <c r="A707" i="26"/>
  <c r="A706" i="26"/>
  <c r="A705" i="26"/>
  <c r="A704" i="26"/>
  <c r="A703" i="26"/>
  <c r="E703" i="26" s="1"/>
  <c r="A702" i="26"/>
  <c r="A701" i="26"/>
  <c r="A700" i="26"/>
  <c r="A699" i="26"/>
  <c r="A698" i="26"/>
  <c r="A697" i="26"/>
  <c r="A696" i="26"/>
  <c r="A695" i="26"/>
  <c r="A694" i="26"/>
  <c r="A693" i="26"/>
  <c r="A692" i="26"/>
  <c r="A691" i="26"/>
  <c r="A690" i="26"/>
  <c r="A689" i="26"/>
  <c r="A688" i="26"/>
  <c r="A687" i="26"/>
  <c r="A686" i="26"/>
  <c r="A685" i="26"/>
  <c r="E685" i="26" s="1"/>
  <c r="A684" i="26"/>
  <c r="A683" i="26"/>
  <c r="A682" i="26"/>
  <c r="A681" i="26"/>
  <c r="A680" i="26"/>
  <c r="A679" i="26"/>
  <c r="E679" i="26" s="1"/>
  <c r="A678" i="26"/>
  <c r="A677" i="26"/>
  <c r="A676" i="26"/>
  <c r="A675" i="26"/>
  <c r="A674" i="26"/>
  <c r="A673" i="26"/>
  <c r="A672" i="26"/>
  <c r="A671" i="26"/>
  <c r="A670" i="26"/>
  <c r="E670" i="26" s="1"/>
  <c r="A669" i="26"/>
  <c r="A668" i="26"/>
  <c r="A667" i="26"/>
  <c r="A666" i="26"/>
  <c r="A665" i="26"/>
  <c r="A664" i="26"/>
  <c r="A663" i="26"/>
  <c r="A662" i="26"/>
  <c r="A661" i="26"/>
  <c r="A660" i="26"/>
  <c r="A659" i="26"/>
  <c r="A658" i="26"/>
  <c r="A657" i="26"/>
  <c r="A656" i="26"/>
  <c r="A655" i="26"/>
  <c r="E655" i="26" s="1"/>
  <c r="A654" i="26"/>
  <c r="A653" i="26"/>
  <c r="A652" i="26"/>
  <c r="A651" i="26"/>
  <c r="A650" i="26"/>
  <c r="A649" i="26"/>
  <c r="A648" i="26"/>
  <c r="A647" i="26"/>
  <c r="E647" i="26" s="1"/>
  <c r="A646" i="26"/>
  <c r="D646" i="26" s="1"/>
  <c r="A645" i="26"/>
  <c r="E645" i="26" s="1"/>
  <c r="A644" i="26"/>
  <c r="A643" i="26"/>
  <c r="A642" i="26"/>
  <c r="A641" i="26"/>
  <c r="A640" i="26"/>
  <c r="A639" i="26"/>
  <c r="A638" i="26"/>
  <c r="A637" i="26"/>
  <c r="A636" i="26"/>
  <c r="A635" i="26"/>
  <c r="A634" i="26"/>
  <c r="A633" i="26"/>
  <c r="A632" i="26"/>
  <c r="E632" i="26" s="1"/>
  <c r="A631" i="26"/>
  <c r="A630" i="26"/>
  <c r="A629" i="26"/>
  <c r="A628" i="26"/>
  <c r="A627" i="26"/>
  <c r="A626" i="26"/>
  <c r="A625" i="26"/>
  <c r="A624" i="26"/>
  <c r="A623" i="26"/>
  <c r="E623" i="26" s="1"/>
  <c r="A622" i="26"/>
  <c r="A621" i="26"/>
  <c r="E621" i="26" s="1"/>
  <c r="A620" i="26"/>
  <c r="A619" i="26"/>
  <c r="A618" i="26"/>
  <c r="A617" i="26"/>
  <c r="A616" i="26"/>
  <c r="A615" i="26"/>
  <c r="A614" i="26"/>
  <c r="A613" i="26"/>
  <c r="A612" i="26"/>
  <c r="A611" i="26"/>
  <c r="A610" i="26"/>
  <c r="A609" i="26"/>
  <c r="A608" i="26"/>
  <c r="E608" i="26" s="1"/>
  <c r="A607" i="26"/>
  <c r="A606" i="26"/>
  <c r="A605" i="26"/>
  <c r="A604" i="26"/>
  <c r="A603" i="26"/>
  <c r="A602" i="26"/>
  <c r="A601" i="26"/>
  <c r="A600" i="26"/>
  <c r="A599" i="26"/>
  <c r="E599" i="26" s="1"/>
  <c r="A598" i="26"/>
  <c r="D598" i="26" s="1"/>
  <c r="A597" i="26"/>
  <c r="E597" i="26" s="1"/>
  <c r="A596" i="26"/>
  <c r="A595" i="26"/>
  <c r="A594" i="26"/>
  <c r="A593" i="26"/>
  <c r="A592" i="26"/>
  <c r="A591" i="26"/>
  <c r="A590" i="26"/>
  <c r="A589" i="26"/>
  <c r="A588" i="26"/>
  <c r="A587" i="26"/>
  <c r="A586" i="26"/>
  <c r="A585" i="26"/>
  <c r="A584" i="26"/>
  <c r="A583" i="26"/>
  <c r="A582" i="26"/>
  <c r="A581" i="26"/>
  <c r="A580" i="26"/>
  <c r="A579" i="26"/>
  <c r="A578" i="26"/>
  <c r="A577" i="26"/>
  <c r="A576" i="26"/>
  <c r="A575" i="26"/>
  <c r="E575" i="26" s="1"/>
  <c r="A574" i="26"/>
  <c r="E574" i="26" s="1"/>
  <c r="A573" i="26"/>
  <c r="E573" i="26" s="1"/>
  <c r="A572" i="26"/>
  <c r="A571" i="26"/>
  <c r="A570" i="26"/>
  <c r="A569" i="26"/>
  <c r="A568" i="26"/>
  <c r="A567" i="26"/>
  <c r="A566" i="26"/>
  <c r="A565" i="26"/>
  <c r="A564" i="26"/>
  <c r="A563" i="26"/>
  <c r="A562" i="26"/>
  <c r="A561" i="26"/>
  <c r="A560" i="26"/>
  <c r="A559" i="26"/>
  <c r="A558" i="26"/>
  <c r="A557" i="26"/>
  <c r="A556" i="26"/>
  <c r="A555" i="26"/>
  <c r="A554" i="26"/>
  <c r="A553" i="26"/>
  <c r="A552" i="26"/>
  <c r="A551" i="26"/>
  <c r="E551" i="26" s="1"/>
  <c r="A550" i="26"/>
  <c r="E550" i="26" s="1"/>
  <c r="A549" i="26"/>
  <c r="A548" i="26"/>
  <c r="A547" i="26"/>
  <c r="A546" i="26"/>
  <c r="A545" i="26"/>
  <c r="A544" i="26"/>
  <c r="A543" i="26"/>
  <c r="A542" i="26"/>
  <c r="E542" i="26" s="1"/>
  <c r="A541" i="26"/>
  <c r="A540" i="26"/>
  <c r="A539" i="26"/>
  <c r="A538" i="26"/>
  <c r="A537" i="26"/>
  <c r="A536" i="26"/>
  <c r="A535" i="26"/>
  <c r="A534" i="26"/>
  <c r="A533" i="26"/>
  <c r="A532" i="26"/>
  <c r="A531" i="26"/>
  <c r="A530" i="26"/>
  <c r="A529" i="26"/>
  <c r="A528" i="26"/>
  <c r="A526" i="26"/>
  <c r="E526" i="26" s="1"/>
  <c r="A525" i="26"/>
  <c r="E525" i="26" s="1"/>
  <c r="A524" i="26"/>
  <c r="A523" i="26"/>
  <c r="A522" i="26"/>
  <c r="A521" i="26"/>
  <c r="A520" i="26"/>
  <c r="A519" i="26"/>
  <c r="A518" i="26"/>
  <c r="E518" i="26" s="1"/>
  <c r="A517" i="26"/>
  <c r="A516" i="26"/>
  <c r="A515" i="26"/>
  <c r="A514" i="26"/>
  <c r="A513" i="26"/>
  <c r="A512" i="26"/>
  <c r="A511" i="26"/>
  <c r="A510" i="26"/>
  <c r="A509" i="26"/>
  <c r="A508" i="26"/>
  <c r="A507" i="26"/>
  <c r="A506" i="26"/>
  <c r="A505" i="26"/>
  <c r="A504" i="26"/>
  <c r="A503" i="26"/>
  <c r="E503" i="26" s="1"/>
  <c r="A502" i="26"/>
  <c r="E502" i="26" s="1"/>
  <c r="A500" i="26"/>
  <c r="A499" i="26"/>
  <c r="A498" i="26"/>
  <c r="A497" i="26"/>
  <c r="A496" i="26"/>
  <c r="A495" i="26"/>
  <c r="A494" i="26"/>
  <c r="E494" i="26" s="1"/>
  <c r="A493" i="26"/>
  <c r="A492" i="26"/>
  <c r="A491" i="26"/>
  <c r="A490" i="26"/>
  <c r="A489" i="26"/>
  <c r="A488" i="26"/>
  <c r="A487" i="26"/>
  <c r="A486" i="26"/>
  <c r="A485" i="26"/>
  <c r="A484" i="26"/>
  <c r="A483" i="26"/>
  <c r="A482" i="26"/>
  <c r="A481" i="26"/>
  <c r="A480" i="26"/>
  <c r="A479" i="26"/>
  <c r="A478" i="26"/>
  <c r="A477" i="26"/>
  <c r="E477" i="26" s="1"/>
  <c r="A476" i="26"/>
  <c r="A475" i="26"/>
  <c r="A474" i="26"/>
  <c r="A473" i="26"/>
  <c r="A472" i="26"/>
  <c r="A471" i="26"/>
  <c r="A470" i="26"/>
  <c r="A469" i="26"/>
  <c r="A468" i="26"/>
  <c r="A467" i="26"/>
  <c r="A466" i="26"/>
  <c r="A465" i="26"/>
  <c r="A464" i="26"/>
  <c r="E464" i="26" s="1"/>
  <c r="A463" i="26"/>
  <c r="A462" i="26"/>
  <c r="A461" i="26"/>
  <c r="A460" i="26"/>
  <c r="A459" i="26"/>
  <c r="A458" i="26"/>
  <c r="A457" i="26"/>
  <c r="A456" i="26"/>
  <c r="A455" i="26"/>
  <c r="A454" i="26"/>
  <c r="A453" i="26"/>
  <c r="A452" i="26"/>
  <c r="A451" i="26"/>
  <c r="A450" i="26"/>
  <c r="A449" i="26"/>
  <c r="A448" i="26"/>
  <c r="A447" i="26"/>
  <c r="A446" i="26"/>
  <c r="E446" i="26" s="1"/>
  <c r="A445" i="26"/>
  <c r="A444" i="26"/>
  <c r="A443" i="26"/>
  <c r="A442" i="26"/>
  <c r="A441" i="26"/>
  <c r="A440" i="26"/>
  <c r="E440" i="26" s="1"/>
  <c r="A439" i="26"/>
  <c r="A438" i="26"/>
  <c r="A437" i="26"/>
  <c r="A436" i="26"/>
  <c r="A435" i="26"/>
  <c r="A434" i="26"/>
  <c r="A433" i="26"/>
  <c r="A432" i="26"/>
  <c r="A431" i="26"/>
  <c r="A430" i="26"/>
  <c r="D430" i="26" s="1"/>
  <c r="A429" i="26"/>
  <c r="A428" i="26"/>
  <c r="A427" i="26"/>
  <c r="A426" i="26"/>
  <c r="A425" i="26"/>
  <c r="A424" i="26"/>
  <c r="A421" i="26"/>
  <c r="A420" i="26"/>
  <c r="A419" i="26"/>
  <c r="A418" i="26"/>
  <c r="A417" i="26"/>
  <c r="A416" i="26"/>
  <c r="E416" i="26" s="1"/>
  <c r="A415" i="26"/>
  <c r="A414" i="26"/>
  <c r="A413" i="26"/>
  <c r="A412" i="26"/>
  <c r="A411" i="26"/>
  <c r="A410" i="26"/>
  <c r="A409" i="26"/>
  <c r="A408" i="26"/>
  <c r="A407" i="26"/>
  <c r="A406" i="26"/>
  <c r="A405" i="26"/>
  <c r="A404" i="26"/>
  <c r="A403" i="26"/>
  <c r="A402" i="26"/>
  <c r="A401" i="26"/>
  <c r="A400" i="26"/>
  <c r="A399" i="26"/>
  <c r="A398" i="26"/>
  <c r="E398" i="26" s="1"/>
  <c r="A397" i="26"/>
  <c r="A396" i="26"/>
  <c r="A395" i="26"/>
  <c r="A394" i="26"/>
  <c r="A393" i="26"/>
  <c r="A392" i="26"/>
  <c r="A391" i="26"/>
  <c r="A390" i="26"/>
  <c r="A389" i="26"/>
  <c r="A388" i="26"/>
  <c r="A387" i="26"/>
  <c r="A386" i="26"/>
  <c r="A385" i="26"/>
  <c r="A384" i="26"/>
  <c r="A383" i="26"/>
  <c r="A382" i="26"/>
  <c r="A381" i="26"/>
  <c r="A380" i="26"/>
  <c r="A379" i="26"/>
  <c r="A378" i="26"/>
  <c r="A377" i="26"/>
  <c r="A376" i="26"/>
  <c r="A375" i="26"/>
  <c r="A374" i="26"/>
  <c r="A373" i="26"/>
  <c r="A372" i="26"/>
  <c r="A371" i="26"/>
  <c r="A370" i="26"/>
  <c r="A369" i="26"/>
  <c r="A368" i="26"/>
  <c r="E368" i="26" s="1"/>
  <c r="A367" i="26"/>
  <c r="A366" i="26"/>
  <c r="A365" i="26"/>
  <c r="A364" i="26"/>
  <c r="A363" i="26"/>
  <c r="A362" i="26"/>
  <c r="A361" i="26"/>
  <c r="A360" i="26"/>
  <c r="A359" i="26"/>
  <c r="A358" i="26"/>
  <c r="A357" i="26"/>
  <c r="D357" i="26" s="1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E344" i="26" s="1"/>
  <c r="A343" i="26"/>
  <c r="A342" i="26"/>
  <c r="A341" i="26"/>
  <c r="A340" i="26"/>
  <c r="A339" i="26"/>
  <c r="A338" i="26"/>
  <c r="A337" i="26"/>
  <c r="A336" i="26"/>
  <c r="A335" i="26"/>
  <c r="E335" i="26" s="1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E311" i="26" s="1"/>
  <c r="A310" i="26"/>
  <c r="E310" i="26" s="1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E285" i="26" s="1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E262" i="26" s="1"/>
  <c r="A261" i="26"/>
  <c r="A260" i="26"/>
  <c r="A259" i="26"/>
  <c r="A258" i="26"/>
  <c r="A257" i="26"/>
  <c r="A256" i="26"/>
  <c r="A255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E231" i="26" s="1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E207" i="26" s="1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E177" i="26" s="1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E153" i="26" s="1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E96" i="26" s="1"/>
  <c r="A95" i="26"/>
  <c r="E95" i="26" s="1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E72" i="26" s="1"/>
  <c r="A71" i="26"/>
  <c r="E71" i="26" s="1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E40" i="26" s="1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O1125" i="26" l="1"/>
  <c r="O1101" i="26"/>
  <c r="O1077" i="26"/>
  <c r="O1053" i="26"/>
  <c r="O1029" i="26"/>
  <c r="O1005" i="26"/>
  <c r="O909" i="26"/>
  <c r="O837" i="26"/>
  <c r="O789" i="26"/>
  <c r="O646" i="26"/>
  <c r="O598" i="26"/>
  <c r="O430" i="26"/>
  <c r="O357" i="26"/>
  <c r="D1972" i="26"/>
  <c r="O1972" i="26" s="1"/>
  <c r="D26" i="26"/>
  <c r="O26" i="26" s="1"/>
  <c r="E26" i="26"/>
  <c r="E50" i="26"/>
  <c r="D50" i="26"/>
  <c r="O50" i="26" s="1"/>
  <c r="D74" i="26"/>
  <c r="O74" i="26" s="1"/>
  <c r="E74" i="26"/>
  <c r="E98" i="26"/>
  <c r="D98" i="26"/>
  <c r="O98" i="26" s="1"/>
  <c r="E122" i="26"/>
  <c r="D122" i="26"/>
  <c r="O122" i="26" s="1"/>
  <c r="D145" i="26"/>
  <c r="O145" i="26" s="1"/>
  <c r="E145" i="26"/>
  <c r="E169" i="26"/>
  <c r="D169" i="26"/>
  <c r="O169" i="26" s="1"/>
  <c r="E193" i="26"/>
  <c r="D193" i="26"/>
  <c r="O193" i="26" s="1"/>
  <c r="D217" i="26"/>
  <c r="O217" i="26" s="1"/>
  <c r="E217" i="26"/>
  <c r="E241" i="26"/>
  <c r="D241" i="26"/>
  <c r="O241" i="26" s="1"/>
  <c r="D264" i="26"/>
  <c r="O264" i="26" s="1"/>
  <c r="E264" i="26"/>
  <c r="E288" i="26"/>
  <c r="D288" i="26"/>
  <c r="O288" i="26" s="1"/>
  <c r="E312" i="26"/>
  <c r="D312" i="26"/>
  <c r="O312" i="26" s="1"/>
  <c r="E336" i="26"/>
  <c r="D336" i="26"/>
  <c r="O336" i="26" s="1"/>
  <c r="D360" i="26"/>
  <c r="O360" i="26" s="1"/>
  <c r="E360" i="26"/>
  <c r="E384" i="26"/>
  <c r="D384" i="26"/>
  <c r="O384" i="26" s="1"/>
  <c r="D408" i="26"/>
  <c r="O408" i="26" s="1"/>
  <c r="E408" i="26"/>
  <c r="D432" i="26"/>
  <c r="O432" i="26" s="1"/>
  <c r="E432" i="26"/>
  <c r="D456" i="26"/>
  <c r="O456" i="26" s="1"/>
  <c r="E456" i="26"/>
  <c r="E480" i="26"/>
  <c r="D480" i="26"/>
  <c r="O480" i="26" s="1"/>
  <c r="D504" i="26"/>
  <c r="O504" i="26" s="1"/>
  <c r="E504" i="26"/>
  <c r="E528" i="26"/>
  <c r="D528" i="26"/>
  <c r="O528" i="26" s="1"/>
  <c r="E552" i="26"/>
  <c r="D552" i="26"/>
  <c r="O552" i="26" s="1"/>
  <c r="E576" i="26"/>
  <c r="D576" i="26"/>
  <c r="O576" i="26" s="1"/>
  <c r="E600" i="26"/>
  <c r="D600" i="26"/>
  <c r="O600" i="26" s="1"/>
  <c r="E624" i="26"/>
  <c r="D624" i="26"/>
  <c r="O624" i="26" s="1"/>
  <c r="E648" i="26"/>
  <c r="D648" i="26"/>
  <c r="O648" i="26" s="1"/>
  <c r="E671" i="26"/>
  <c r="D671" i="26"/>
  <c r="O671" i="26" s="1"/>
  <c r="E695" i="26"/>
  <c r="D695" i="26"/>
  <c r="O695" i="26" s="1"/>
  <c r="E719" i="26"/>
  <c r="D719" i="26"/>
  <c r="O719" i="26" s="1"/>
  <c r="E743" i="26"/>
  <c r="D743" i="26"/>
  <c r="O743" i="26" s="1"/>
  <c r="D767" i="26"/>
  <c r="O767" i="26" s="1"/>
  <c r="E767" i="26"/>
  <c r="E791" i="26"/>
  <c r="D791" i="26"/>
  <c r="O791" i="26" s="1"/>
  <c r="E815" i="26"/>
  <c r="D815" i="26"/>
  <c r="O815" i="26" s="1"/>
  <c r="E839" i="26"/>
  <c r="D839" i="26"/>
  <c r="O839" i="26" s="1"/>
  <c r="E863" i="26"/>
  <c r="D863" i="26"/>
  <c r="O863" i="26" s="1"/>
  <c r="E887" i="26"/>
  <c r="D887" i="26"/>
  <c r="O887" i="26" s="1"/>
  <c r="E911" i="26"/>
  <c r="D911" i="26"/>
  <c r="O911" i="26" s="1"/>
  <c r="E935" i="26"/>
  <c r="D935" i="26"/>
  <c r="O935" i="26" s="1"/>
  <c r="E959" i="26"/>
  <c r="D959" i="26"/>
  <c r="O959" i="26" s="1"/>
  <c r="E983" i="26"/>
  <c r="D983" i="26"/>
  <c r="O983" i="26" s="1"/>
  <c r="E1007" i="26"/>
  <c r="D1007" i="26"/>
  <c r="O1007" i="26" s="1"/>
  <c r="E1031" i="26"/>
  <c r="D1031" i="26"/>
  <c r="O1031" i="26" s="1"/>
  <c r="E1055" i="26"/>
  <c r="D1055" i="26"/>
  <c r="O1055" i="26" s="1"/>
  <c r="E1079" i="26"/>
  <c r="D1079" i="26"/>
  <c r="O1079" i="26" s="1"/>
  <c r="E1103" i="26"/>
  <c r="D1103" i="26"/>
  <c r="O1103" i="26" s="1"/>
  <c r="E1127" i="26"/>
  <c r="D1127" i="26"/>
  <c r="O1127" i="26" s="1"/>
  <c r="E1151" i="26"/>
  <c r="D1151" i="26"/>
  <c r="O1151" i="26" s="1"/>
  <c r="E1175" i="26"/>
  <c r="D1175" i="26"/>
  <c r="O1175" i="26" s="1"/>
  <c r="E1199" i="26"/>
  <c r="D1199" i="26"/>
  <c r="O1199" i="26" s="1"/>
  <c r="E1223" i="26"/>
  <c r="D1223" i="26"/>
  <c r="O1223" i="26" s="1"/>
  <c r="E1247" i="26"/>
  <c r="D1247" i="26"/>
  <c r="O1247" i="26" s="1"/>
  <c r="E1271" i="26"/>
  <c r="D1271" i="26"/>
  <c r="O1271" i="26" s="1"/>
  <c r="E1295" i="26"/>
  <c r="D1295" i="26"/>
  <c r="O1295" i="26" s="1"/>
  <c r="E1319" i="26"/>
  <c r="D1319" i="26"/>
  <c r="O1319" i="26" s="1"/>
  <c r="E1343" i="26"/>
  <c r="D1343" i="26"/>
  <c r="O1343" i="26" s="1"/>
  <c r="E1367" i="26"/>
  <c r="D1367" i="26"/>
  <c r="O1367" i="26" s="1"/>
  <c r="E1391" i="26"/>
  <c r="D1391" i="26"/>
  <c r="O1391" i="26" s="1"/>
  <c r="E1415" i="26"/>
  <c r="D1415" i="26"/>
  <c r="O1415" i="26" s="1"/>
  <c r="E1439" i="26"/>
  <c r="D1439" i="26"/>
  <c r="O1439" i="26" s="1"/>
  <c r="E1463" i="26"/>
  <c r="D1463" i="26"/>
  <c r="O1463" i="26" s="1"/>
  <c r="E1487" i="26"/>
  <c r="D1487" i="26"/>
  <c r="O1487" i="26" s="1"/>
  <c r="E1511" i="26"/>
  <c r="D1511" i="26"/>
  <c r="O1511" i="26" s="1"/>
  <c r="E1535" i="26"/>
  <c r="D1535" i="26"/>
  <c r="O1535" i="26" s="1"/>
  <c r="E1559" i="26"/>
  <c r="D1559" i="26"/>
  <c r="O1559" i="26" s="1"/>
  <c r="E1583" i="26"/>
  <c r="D1583" i="26"/>
  <c r="O1583" i="26" s="1"/>
  <c r="E27" i="26"/>
  <c r="D27" i="26"/>
  <c r="O27" i="26" s="1"/>
  <c r="D51" i="26"/>
  <c r="O51" i="26" s="1"/>
  <c r="E51" i="26"/>
  <c r="E75" i="26"/>
  <c r="D75" i="26"/>
  <c r="O75" i="26" s="1"/>
  <c r="D99" i="26"/>
  <c r="O99" i="26" s="1"/>
  <c r="E99" i="26"/>
  <c r="E123" i="26"/>
  <c r="D123" i="26"/>
  <c r="O123" i="26" s="1"/>
  <c r="D146" i="26"/>
  <c r="O146" i="26" s="1"/>
  <c r="E146" i="26"/>
  <c r="D170" i="26"/>
  <c r="O170" i="26" s="1"/>
  <c r="E170" i="26"/>
  <c r="D194" i="26"/>
  <c r="O194" i="26" s="1"/>
  <c r="E194" i="26"/>
  <c r="D218" i="26"/>
  <c r="O218" i="26" s="1"/>
  <c r="E218" i="26"/>
  <c r="E242" i="26"/>
  <c r="D242" i="26"/>
  <c r="O242" i="26" s="1"/>
  <c r="D265" i="26"/>
  <c r="O265" i="26" s="1"/>
  <c r="E265" i="26"/>
  <c r="D289" i="26"/>
  <c r="O289" i="26" s="1"/>
  <c r="E289" i="26"/>
  <c r="D313" i="26"/>
  <c r="O313" i="26" s="1"/>
  <c r="E313" i="26"/>
  <c r="D337" i="26"/>
  <c r="O337" i="26" s="1"/>
  <c r="E337" i="26"/>
  <c r="D361" i="26"/>
  <c r="O361" i="26" s="1"/>
  <c r="E361" i="26"/>
  <c r="E385" i="26"/>
  <c r="D385" i="26"/>
  <c r="O385" i="26" s="1"/>
  <c r="E409" i="26"/>
  <c r="D409" i="26"/>
  <c r="O409" i="26" s="1"/>
  <c r="E433" i="26"/>
  <c r="D433" i="26"/>
  <c r="O433" i="26" s="1"/>
  <c r="D457" i="26"/>
  <c r="O457" i="26" s="1"/>
  <c r="E457" i="26"/>
  <c r="D481" i="26"/>
  <c r="O481" i="26" s="1"/>
  <c r="E481" i="26"/>
  <c r="E505" i="26"/>
  <c r="D505" i="26"/>
  <c r="O505" i="26" s="1"/>
  <c r="E529" i="26"/>
  <c r="D529" i="26"/>
  <c r="O529" i="26" s="1"/>
  <c r="E553" i="26"/>
  <c r="D553" i="26"/>
  <c r="O553" i="26" s="1"/>
  <c r="E577" i="26"/>
  <c r="D577" i="26"/>
  <c r="O577" i="26" s="1"/>
  <c r="E601" i="26"/>
  <c r="D601" i="26"/>
  <c r="O601" i="26" s="1"/>
  <c r="E625" i="26"/>
  <c r="D625" i="26"/>
  <c r="O625" i="26" s="1"/>
  <c r="E649" i="26"/>
  <c r="D649" i="26"/>
  <c r="O649" i="26" s="1"/>
  <c r="E672" i="26"/>
  <c r="D672" i="26"/>
  <c r="O672" i="26" s="1"/>
  <c r="E696" i="26"/>
  <c r="D696" i="26"/>
  <c r="O696" i="26" s="1"/>
  <c r="E720" i="26"/>
  <c r="D720" i="26"/>
  <c r="O720" i="26" s="1"/>
  <c r="E744" i="26"/>
  <c r="D744" i="26"/>
  <c r="O744" i="26" s="1"/>
  <c r="E768" i="26"/>
  <c r="D768" i="26"/>
  <c r="O768" i="26" s="1"/>
  <c r="E792" i="26"/>
  <c r="D792" i="26"/>
  <c r="O792" i="26" s="1"/>
  <c r="E816" i="26"/>
  <c r="D816" i="26"/>
  <c r="O816" i="26" s="1"/>
  <c r="E840" i="26"/>
  <c r="D840" i="26"/>
  <c r="O840" i="26" s="1"/>
  <c r="E864" i="26"/>
  <c r="D864" i="26"/>
  <c r="O864" i="26" s="1"/>
  <c r="E888" i="26"/>
  <c r="D888" i="26"/>
  <c r="O888" i="26" s="1"/>
  <c r="E912" i="26"/>
  <c r="D912" i="26"/>
  <c r="O912" i="26" s="1"/>
  <c r="E936" i="26"/>
  <c r="D936" i="26"/>
  <c r="O936" i="26" s="1"/>
  <c r="E960" i="26"/>
  <c r="D960" i="26"/>
  <c r="O960" i="26" s="1"/>
  <c r="E984" i="26"/>
  <c r="D984" i="26"/>
  <c r="O984" i="26" s="1"/>
  <c r="E1008" i="26"/>
  <c r="D1008" i="26"/>
  <c r="O1008" i="26" s="1"/>
  <c r="E1032" i="26"/>
  <c r="D1032" i="26"/>
  <c r="O1032" i="26" s="1"/>
  <c r="E1056" i="26"/>
  <c r="D1056" i="26"/>
  <c r="O1056" i="26" s="1"/>
  <c r="E1080" i="26"/>
  <c r="D1080" i="26"/>
  <c r="O1080" i="26" s="1"/>
  <c r="E1104" i="26"/>
  <c r="D1104" i="26"/>
  <c r="O1104" i="26" s="1"/>
  <c r="E1128" i="26"/>
  <c r="D1128" i="26"/>
  <c r="O1128" i="26" s="1"/>
  <c r="E1152" i="26"/>
  <c r="D1152" i="26"/>
  <c r="O1152" i="26" s="1"/>
  <c r="E1176" i="26"/>
  <c r="D1176" i="26"/>
  <c r="O1176" i="26" s="1"/>
  <c r="E1200" i="26"/>
  <c r="D1200" i="26"/>
  <c r="O1200" i="26" s="1"/>
  <c r="E1224" i="26"/>
  <c r="D1224" i="26"/>
  <c r="O1224" i="26" s="1"/>
  <c r="E1248" i="26"/>
  <c r="D1248" i="26"/>
  <c r="O1248" i="26" s="1"/>
  <c r="E1272" i="26"/>
  <c r="D1272" i="26"/>
  <c r="O1272" i="26" s="1"/>
  <c r="E1296" i="26"/>
  <c r="D1296" i="26"/>
  <c r="O1296" i="26" s="1"/>
  <c r="E1320" i="26"/>
  <c r="D1320" i="26"/>
  <c r="O1320" i="26" s="1"/>
  <c r="E1344" i="26"/>
  <c r="D1344" i="26"/>
  <c r="O1344" i="26" s="1"/>
  <c r="E1368" i="26"/>
  <c r="D1368" i="26"/>
  <c r="O1368" i="26" s="1"/>
  <c r="E1392" i="26"/>
  <c r="D1392" i="26"/>
  <c r="O1392" i="26" s="1"/>
  <c r="E1416" i="26"/>
  <c r="D1416" i="26"/>
  <c r="O1416" i="26" s="1"/>
  <c r="E1440" i="26"/>
  <c r="D1440" i="26"/>
  <c r="O1440" i="26" s="1"/>
  <c r="E1464" i="26"/>
  <c r="D1464" i="26"/>
  <c r="O1464" i="26" s="1"/>
  <c r="E1488" i="26"/>
  <c r="D1488" i="26"/>
  <c r="O1488" i="26" s="1"/>
  <c r="E1512" i="26"/>
  <c r="D1512" i="26"/>
  <c r="O1512" i="26" s="1"/>
  <c r="E1536" i="26"/>
  <c r="D1536" i="26"/>
  <c r="O1536" i="26" s="1"/>
  <c r="E1560" i="26"/>
  <c r="D1560" i="26"/>
  <c r="O1560" i="26" s="1"/>
  <c r="E1584" i="26"/>
  <c r="D1584" i="26"/>
  <c r="O1584" i="26" s="1"/>
  <c r="E28" i="26"/>
  <c r="D28" i="26"/>
  <c r="O28" i="26" s="1"/>
  <c r="D52" i="26"/>
  <c r="O52" i="26" s="1"/>
  <c r="E52" i="26"/>
  <c r="D76" i="26"/>
  <c r="O76" i="26" s="1"/>
  <c r="E76" i="26"/>
  <c r="E100" i="26"/>
  <c r="D100" i="26"/>
  <c r="O100" i="26" s="1"/>
  <c r="E124" i="26"/>
  <c r="D124" i="26"/>
  <c r="O124" i="26" s="1"/>
  <c r="E147" i="26"/>
  <c r="D147" i="26"/>
  <c r="O147" i="26" s="1"/>
  <c r="E171" i="26"/>
  <c r="D171" i="26"/>
  <c r="O171" i="26" s="1"/>
  <c r="E195" i="26"/>
  <c r="D195" i="26"/>
  <c r="O195" i="26" s="1"/>
  <c r="E219" i="26"/>
  <c r="D219" i="26"/>
  <c r="O219" i="26" s="1"/>
  <c r="E243" i="26"/>
  <c r="D243" i="26"/>
  <c r="O243" i="26" s="1"/>
  <c r="D266" i="26"/>
  <c r="O266" i="26" s="1"/>
  <c r="E266" i="26"/>
  <c r="E290" i="26"/>
  <c r="D290" i="26"/>
  <c r="O290" i="26" s="1"/>
  <c r="E314" i="26"/>
  <c r="D314" i="26"/>
  <c r="O314" i="26" s="1"/>
  <c r="E338" i="26"/>
  <c r="D338" i="26"/>
  <c r="O338" i="26" s="1"/>
  <c r="E362" i="26"/>
  <c r="D362" i="26"/>
  <c r="O362" i="26" s="1"/>
  <c r="E386" i="26"/>
  <c r="D386" i="26"/>
  <c r="O386" i="26" s="1"/>
  <c r="D410" i="26"/>
  <c r="O410" i="26" s="1"/>
  <c r="E410" i="26"/>
  <c r="D434" i="26"/>
  <c r="O434" i="26" s="1"/>
  <c r="E434" i="26"/>
  <c r="E458" i="26"/>
  <c r="D458" i="26"/>
  <c r="O458" i="26" s="1"/>
  <c r="D482" i="26"/>
  <c r="O482" i="26" s="1"/>
  <c r="E482" i="26"/>
  <c r="E506" i="26"/>
  <c r="D506" i="26"/>
  <c r="O506" i="26" s="1"/>
  <c r="E530" i="26"/>
  <c r="D530" i="26"/>
  <c r="O530" i="26" s="1"/>
  <c r="E554" i="26"/>
  <c r="D554" i="26"/>
  <c r="O554" i="26" s="1"/>
  <c r="E578" i="26"/>
  <c r="D578" i="26"/>
  <c r="O578" i="26" s="1"/>
  <c r="E602" i="26"/>
  <c r="D602" i="26"/>
  <c r="O602" i="26" s="1"/>
  <c r="E626" i="26"/>
  <c r="D626" i="26"/>
  <c r="O626" i="26" s="1"/>
  <c r="E673" i="26"/>
  <c r="D673" i="26"/>
  <c r="O673" i="26" s="1"/>
  <c r="E697" i="26"/>
  <c r="D697" i="26"/>
  <c r="O697" i="26" s="1"/>
  <c r="E721" i="26"/>
  <c r="D721" i="26"/>
  <c r="O721" i="26" s="1"/>
  <c r="E745" i="26"/>
  <c r="D745" i="26"/>
  <c r="O745" i="26" s="1"/>
  <c r="E769" i="26"/>
  <c r="D769" i="26"/>
  <c r="O769" i="26" s="1"/>
  <c r="E793" i="26"/>
  <c r="D793" i="26"/>
  <c r="O793" i="26" s="1"/>
  <c r="E817" i="26"/>
  <c r="D817" i="26"/>
  <c r="O817" i="26" s="1"/>
  <c r="E841" i="26"/>
  <c r="D841" i="26"/>
  <c r="O841" i="26" s="1"/>
  <c r="E865" i="26"/>
  <c r="D865" i="26"/>
  <c r="O865" i="26" s="1"/>
  <c r="E889" i="26"/>
  <c r="D889" i="26"/>
  <c r="O889" i="26" s="1"/>
  <c r="E913" i="26"/>
  <c r="D913" i="26"/>
  <c r="O913" i="26" s="1"/>
  <c r="E937" i="26"/>
  <c r="D937" i="26"/>
  <c r="O937" i="26" s="1"/>
  <c r="E961" i="26"/>
  <c r="D961" i="26"/>
  <c r="O961" i="26" s="1"/>
  <c r="E985" i="26"/>
  <c r="D985" i="26"/>
  <c r="O985" i="26" s="1"/>
  <c r="E1009" i="26"/>
  <c r="D1009" i="26"/>
  <c r="O1009" i="26" s="1"/>
  <c r="E1033" i="26"/>
  <c r="D1033" i="26"/>
  <c r="O1033" i="26" s="1"/>
  <c r="E1057" i="26"/>
  <c r="D1057" i="26"/>
  <c r="O1057" i="26" s="1"/>
  <c r="E1081" i="26"/>
  <c r="D1081" i="26"/>
  <c r="O1081" i="26" s="1"/>
  <c r="E1105" i="26"/>
  <c r="D1105" i="26"/>
  <c r="O1105" i="26" s="1"/>
  <c r="E1129" i="26"/>
  <c r="D1129" i="26"/>
  <c r="O1129" i="26" s="1"/>
  <c r="E1153" i="26"/>
  <c r="D1153" i="26"/>
  <c r="O1153" i="26" s="1"/>
  <c r="E1177" i="26"/>
  <c r="D1177" i="26"/>
  <c r="O1177" i="26" s="1"/>
  <c r="E1201" i="26"/>
  <c r="D1201" i="26"/>
  <c r="O1201" i="26" s="1"/>
  <c r="E1225" i="26"/>
  <c r="D1225" i="26"/>
  <c r="O1225" i="26" s="1"/>
  <c r="E1249" i="26"/>
  <c r="D1249" i="26"/>
  <c r="O1249" i="26" s="1"/>
  <c r="E1273" i="26"/>
  <c r="D1273" i="26"/>
  <c r="O1273" i="26" s="1"/>
  <c r="E1297" i="26"/>
  <c r="D1297" i="26"/>
  <c r="O1297" i="26" s="1"/>
  <c r="E1321" i="26"/>
  <c r="D1321" i="26"/>
  <c r="O1321" i="26" s="1"/>
  <c r="E1345" i="26"/>
  <c r="D1345" i="26"/>
  <c r="O1345" i="26" s="1"/>
  <c r="E1369" i="26"/>
  <c r="D1369" i="26"/>
  <c r="O1369" i="26" s="1"/>
  <c r="E1393" i="26"/>
  <c r="D1393" i="26"/>
  <c r="O1393" i="26" s="1"/>
  <c r="E1417" i="26"/>
  <c r="D1417" i="26"/>
  <c r="O1417" i="26" s="1"/>
  <c r="E1441" i="26"/>
  <c r="D1441" i="26"/>
  <c r="O1441" i="26" s="1"/>
  <c r="E1465" i="26"/>
  <c r="D1465" i="26"/>
  <c r="O1465" i="26" s="1"/>
  <c r="E1489" i="26"/>
  <c r="D1489" i="26"/>
  <c r="O1489" i="26" s="1"/>
  <c r="E1513" i="26"/>
  <c r="D1513" i="26"/>
  <c r="O1513" i="26" s="1"/>
  <c r="E1537" i="26"/>
  <c r="D1537" i="26"/>
  <c r="O1537" i="26" s="1"/>
  <c r="E1561" i="26"/>
  <c r="D1561" i="26"/>
  <c r="O1561" i="26" s="1"/>
  <c r="E1585" i="26"/>
  <c r="D1585" i="26"/>
  <c r="O1585" i="26" s="1"/>
  <c r="E29" i="26"/>
  <c r="D29" i="26"/>
  <c r="O29" i="26" s="1"/>
  <c r="D53" i="26"/>
  <c r="O53" i="26" s="1"/>
  <c r="E53" i="26"/>
  <c r="D77" i="26"/>
  <c r="O77" i="26" s="1"/>
  <c r="E77" i="26"/>
  <c r="D101" i="26"/>
  <c r="O101" i="26" s="1"/>
  <c r="E101" i="26"/>
  <c r="E125" i="26"/>
  <c r="D125" i="26"/>
  <c r="O125" i="26" s="1"/>
  <c r="E148" i="26"/>
  <c r="D148" i="26"/>
  <c r="O148" i="26" s="1"/>
  <c r="E172" i="26"/>
  <c r="D172" i="26"/>
  <c r="O172" i="26" s="1"/>
  <c r="E196" i="26"/>
  <c r="D196" i="26"/>
  <c r="O196" i="26" s="1"/>
  <c r="D220" i="26"/>
  <c r="O220" i="26" s="1"/>
  <c r="E220" i="26"/>
  <c r="E244" i="26"/>
  <c r="D244" i="26"/>
  <c r="O244" i="26" s="1"/>
  <c r="E267" i="26"/>
  <c r="D267" i="26"/>
  <c r="O267" i="26" s="1"/>
  <c r="D291" i="26"/>
  <c r="O291" i="26" s="1"/>
  <c r="E291" i="26"/>
  <c r="E315" i="26"/>
  <c r="D315" i="26"/>
  <c r="O315" i="26" s="1"/>
  <c r="E339" i="26"/>
  <c r="D339" i="26"/>
  <c r="O339" i="26" s="1"/>
  <c r="E363" i="26"/>
  <c r="D363" i="26"/>
  <c r="O363" i="26" s="1"/>
  <c r="E387" i="26"/>
  <c r="D387" i="26"/>
  <c r="O387" i="26" s="1"/>
  <c r="E411" i="26"/>
  <c r="D411" i="26"/>
  <c r="O411" i="26" s="1"/>
  <c r="E435" i="26"/>
  <c r="D435" i="26"/>
  <c r="O435" i="26" s="1"/>
  <c r="E459" i="26"/>
  <c r="D459" i="26"/>
  <c r="O459" i="26" s="1"/>
  <c r="D483" i="26"/>
  <c r="O483" i="26" s="1"/>
  <c r="E483" i="26"/>
  <c r="D507" i="26"/>
  <c r="O507" i="26" s="1"/>
  <c r="E507" i="26"/>
  <c r="D531" i="26"/>
  <c r="O531" i="26" s="1"/>
  <c r="E531" i="26"/>
  <c r="E555" i="26"/>
  <c r="D555" i="26"/>
  <c r="O555" i="26" s="1"/>
  <c r="E579" i="26"/>
  <c r="D579" i="26"/>
  <c r="O579" i="26" s="1"/>
  <c r="E603" i="26"/>
  <c r="D603" i="26"/>
  <c r="O603" i="26" s="1"/>
  <c r="E627" i="26"/>
  <c r="D627" i="26"/>
  <c r="O627" i="26" s="1"/>
  <c r="E650" i="26"/>
  <c r="D650" i="26"/>
  <c r="O650" i="26" s="1"/>
  <c r="E674" i="26"/>
  <c r="D674" i="26"/>
  <c r="O674" i="26" s="1"/>
  <c r="E698" i="26"/>
  <c r="D698" i="26"/>
  <c r="O698" i="26" s="1"/>
  <c r="E722" i="26"/>
  <c r="D722" i="26"/>
  <c r="O722" i="26" s="1"/>
  <c r="E746" i="26"/>
  <c r="D746" i="26"/>
  <c r="O746" i="26" s="1"/>
  <c r="E770" i="26"/>
  <c r="D770" i="26"/>
  <c r="O770" i="26" s="1"/>
  <c r="E794" i="26"/>
  <c r="D794" i="26"/>
  <c r="O794" i="26" s="1"/>
  <c r="E818" i="26"/>
  <c r="D818" i="26"/>
  <c r="O818" i="26" s="1"/>
  <c r="E842" i="26"/>
  <c r="D842" i="26"/>
  <c r="O842" i="26" s="1"/>
  <c r="E866" i="26"/>
  <c r="D866" i="26"/>
  <c r="O866" i="26" s="1"/>
  <c r="E890" i="26"/>
  <c r="D890" i="26"/>
  <c r="O890" i="26" s="1"/>
  <c r="E914" i="26"/>
  <c r="D914" i="26"/>
  <c r="O914" i="26" s="1"/>
  <c r="E938" i="26"/>
  <c r="D938" i="26"/>
  <c r="O938" i="26" s="1"/>
  <c r="E962" i="26"/>
  <c r="D962" i="26"/>
  <c r="O962" i="26" s="1"/>
  <c r="E986" i="26"/>
  <c r="D986" i="26"/>
  <c r="O986" i="26" s="1"/>
  <c r="E1010" i="26"/>
  <c r="D1010" i="26"/>
  <c r="O1010" i="26" s="1"/>
  <c r="E1034" i="26"/>
  <c r="D1034" i="26"/>
  <c r="O1034" i="26" s="1"/>
  <c r="E1058" i="26"/>
  <c r="D1058" i="26"/>
  <c r="O1058" i="26" s="1"/>
  <c r="E1082" i="26"/>
  <c r="D1082" i="26"/>
  <c r="O1082" i="26" s="1"/>
  <c r="E1106" i="26"/>
  <c r="D1106" i="26"/>
  <c r="O1106" i="26" s="1"/>
  <c r="E1130" i="26"/>
  <c r="D1130" i="26"/>
  <c r="O1130" i="26" s="1"/>
  <c r="E1154" i="26"/>
  <c r="D1154" i="26"/>
  <c r="O1154" i="26" s="1"/>
  <c r="E1178" i="26"/>
  <c r="D1178" i="26"/>
  <c r="O1178" i="26" s="1"/>
  <c r="E1202" i="26"/>
  <c r="D1202" i="26"/>
  <c r="O1202" i="26" s="1"/>
  <c r="E1226" i="26"/>
  <c r="D1226" i="26"/>
  <c r="O1226" i="26" s="1"/>
  <c r="E1250" i="26"/>
  <c r="D1250" i="26"/>
  <c r="O1250" i="26" s="1"/>
  <c r="E1274" i="26"/>
  <c r="D1274" i="26"/>
  <c r="O1274" i="26" s="1"/>
  <c r="E1298" i="26"/>
  <c r="D1298" i="26"/>
  <c r="O1298" i="26" s="1"/>
  <c r="E1322" i="26"/>
  <c r="D1322" i="26"/>
  <c r="O1322" i="26" s="1"/>
  <c r="E1346" i="26"/>
  <c r="D1346" i="26"/>
  <c r="O1346" i="26" s="1"/>
  <c r="E1370" i="26"/>
  <c r="D1370" i="26"/>
  <c r="O1370" i="26" s="1"/>
  <c r="E1394" i="26"/>
  <c r="D1394" i="26"/>
  <c r="O1394" i="26" s="1"/>
  <c r="E1418" i="26"/>
  <c r="D1418" i="26"/>
  <c r="O1418" i="26" s="1"/>
  <c r="E1442" i="26"/>
  <c r="D1442" i="26"/>
  <c r="O1442" i="26" s="1"/>
  <c r="E1466" i="26"/>
  <c r="D1466" i="26"/>
  <c r="O1466" i="26" s="1"/>
  <c r="E1490" i="26"/>
  <c r="D1490" i="26"/>
  <c r="O1490" i="26" s="1"/>
  <c r="E1514" i="26"/>
  <c r="D1514" i="26"/>
  <c r="O1514" i="26" s="1"/>
  <c r="E1538" i="26"/>
  <c r="D1538" i="26"/>
  <c r="O1538" i="26" s="1"/>
  <c r="E1562" i="26"/>
  <c r="D1562" i="26"/>
  <c r="O1562" i="26" s="1"/>
  <c r="E1586" i="26"/>
  <c r="D1586" i="26"/>
  <c r="O1586" i="26" s="1"/>
  <c r="E30" i="26"/>
  <c r="D30" i="26"/>
  <c r="O30" i="26" s="1"/>
  <c r="D54" i="26"/>
  <c r="O54" i="26" s="1"/>
  <c r="E54" i="26"/>
  <c r="D78" i="26"/>
  <c r="O78" i="26" s="1"/>
  <c r="E78" i="26"/>
  <c r="E102" i="26"/>
  <c r="D102" i="26"/>
  <c r="O102" i="26" s="1"/>
  <c r="E126" i="26"/>
  <c r="D126" i="26"/>
  <c r="O126" i="26" s="1"/>
  <c r="E149" i="26"/>
  <c r="D149" i="26"/>
  <c r="O149" i="26" s="1"/>
  <c r="D173" i="26"/>
  <c r="O173" i="26" s="1"/>
  <c r="E173" i="26"/>
  <c r="E197" i="26"/>
  <c r="D197" i="26"/>
  <c r="O197" i="26" s="1"/>
  <c r="D221" i="26"/>
  <c r="O221" i="26" s="1"/>
  <c r="E221" i="26"/>
  <c r="E245" i="26"/>
  <c r="D245" i="26"/>
  <c r="O245" i="26" s="1"/>
  <c r="D268" i="26"/>
  <c r="O268" i="26" s="1"/>
  <c r="E268" i="26"/>
  <c r="D292" i="26"/>
  <c r="O292" i="26" s="1"/>
  <c r="E292" i="26"/>
  <c r="E316" i="26"/>
  <c r="D316" i="26"/>
  <c r="O316" i="26" s="1"/>
  <c r="E340" i="26"/>
  <c r="D340" i="26"/>
  <c r="O340" i="26" s="1"/>
  <c r="D364" i="26"/>
  <c r="O364" i="26" s="1"/>
  <c r="E364" i="26"/>
  <c r="E388" i="26"/>
  <c r="D388" i="26"/>
  <c r="O388" i="26" s="1"/>
  <c r="D412" i="26"/>
  <c r="O412" i="26" s="1"/>
  <c r="E412" i="26"/>
  <c r="D436" i="26"/>
  <c r="O436" i="26" s="1"/>
  <c r="E436" i="26"/>
  <c r="E460" i="26"/>
  <c r="D460" i="26"/>
  <c r="O460" i="26" s="1"/>
  <c r="D484" i="26"/>
  <c r="O484" i="26" s="1"/>
  <c r="E484" i="26"/>
  <c r="D508" i="26"/>
  <c r="O508" i="26" s="1"/>
  <c r="E508" i="26"/>
  <c r="E532" i="26"/>
  <c r="D532" i="26"/>
  <c r="O532" i="26" s="1"/>
  <c r="E556" i="26"/>
  <c r="D556" i="26"/>
  <c r="O556" i="26" s="1"/>
  <c r="E580" i="26"/>
  <c r="D580" i="26"/>
  <c r="O580" i="26" s="1"/>
  <c r="E604" i="26"/>
  <c r="D604" i="26"/>
  <c r="O604" i="26" s="1"/>
  <c r="E628" i="26"/>
  <c r="D628" i="26"/>
  <c r="O628" i="26" s="1"/>
  <c r="E651" i="26"/>
  <c r="D651" i="26"/>
  <c r="O651" i="26" s="1"/>
  <c r="E675" i="26"/>
  <c r="D675" i="26"/>
  <c r="O675" i="26" s="1"/>
  <c r="E699" i="26"/>
  <c r="D699" i="26"/>
  <c r="O699" i="26" s="1"/>
  <c r="E723" i="26"/>
  <c r="D723" i="26"/>
  <c r="O723" i="26" s="1"/>
  <c r="E747" i="26"/>
  <c r="D747" i="26"/>
  <c r="O747" i="26" s="1"/>
  <c r="E771" i="26"/>
  <c r="D771" i="26"/>
  <c r="O771" i="26" s="1"/>
  <c r="E795" i="26"/>
  <c r="D795" i="26"/>
  <c r="O795" i="26" s="1"/>
  <c r="E819" i="26"/>
  <c r="D819" i="26"/>
  <c r="O819" i="26" s="1"/>
  <c r="E843" i="26"/>
  <c r="D843" i="26"/>
  <c r="O843" i="26" s="1"/>
  <c r="E867" i="26"/>
  <c r="D867" i="26"/>
  <c r="O867" i="26" s="1"/>
  <c r="E891" i="26"/>
  <c r="D891" i="26"/>
  <c r="O891" i="26" s="1"/>
  <c r="E915" i="26"/>
  <c r="D915" i="26"/>
  <c r="O915" i="26" s="1"/>
  <c r="E939" i="26"/>
  <c r="D939" i="26"/>
  <c r="O939" i="26" s="1"/>
  <c r="E963" i="26"/>
  <c r="D963" i="26"/>
  <c r="O963" i="26" s="1"/>
  <c r="E987" i="26"/>
  <c r="D987" i="26"/>
  <c r="O987" i="26" s="1"/>
  <c r="E1011" i="26"/>
  <c r="D1011" i="26"/>
  <c r="O1011" i="26" s="1"/>
  <c r="E1035" i="26"/>
  <c r="D1035" i="26"/>
  <c r="O1035" i="26" s="1"/>
  <c r="E1059" i="26"/>
  <c r="D1059" i="26"/>
  <c r="O1059" i="26" s="1"/>
  <c r="E1083" i="26"/>
  <c r="D1083" i="26"/>
  <c r="O1083" i="26" s="1"/>
  <c r="E1107" i="26"/>
  <c r="D1107" i="26"/>
  <c r="O1107" i="26" s="1"/>
  <c r="E1131" i="26"/>
  <c r="D1131" i="26"/>
  <c r="O1131" i="26" s="1"/>
  <c r="E1155" i="26"/>
  <c r="D1155" i="26"/>
  <c r="O1155" i="26" s="1"/>
  <c r="E1179" i="26"/>
  <c r="D1179" i="26"/>
  <c r="O1179" i="26" s="1"/>
  <c r="E1203" i="26"/>
  <c r="D1203" i="26"/>
  <c r="O1203" i="26" s="1"/>
  <c r="E1227" i="26"/>
  <c r="D1227" i="26"/>
  <c r="O1227" i="26" s="1"/>
  <c r="E1251" i="26"/>
  <c r="D1251" i="26"/>
  <c r="O1251" i="26" s="1"/>
  <c r="E1275" i="26"/>
  <c r="D1275" i="26"/>
  <c r="O1275" i="26" s="1"/>
  <c r="E1299" i="26"/>
  <c r="D1299" i="26"/>
  <c r="O1299" i="26" s="1"/>
  <c r="E1323" i="26"/>
  <c r="D1323" i="26"/>
  <c r="O1323" i="26" s="1"/>
  <c r="E1347" i="26"/>
  <c r="D1347" i="26"/>
  <c r="O1347" i="26" s="1"/>
  <c r="E1371" i="26"/>
  <c r="D1371" i="26"/>
  <c r="O1371" i="26" s="1"/>
  <c r="E1395" i="26"/>
  <c r="D1395" i="26"/>
  <c r="O1395" i="26" s="1"/>
  <c r="E1419" i="26"/>
  <c r="D1419" i="26"/>
  <c r="O1419" i="26" s="1"/>
  <c r="E1443" i="26"/>
  <c r="D1443" i="26"/>
  <c r="O1443" i="26" s="1"/>
  <c r="E1467" i="26"/>
  <c r="D1467" i="26"/>
  <c r="O1467" i="26" s="1"/>
  <c r="E1491" i="26"/>
  <c r="D1491" i="26"/>
  <c r="O1491" i="26" s="1"/>
  <c r="E1515" i="26"/>
  <c r="D1515" i="26"/>
  <c r="O1515" i="26" s="1"/>
  <c r="E1539" i="26"/>
  <c r="D1539" i="26"/>
  <c r="O1539" i="26" s="1"/>
  <c r="E1563" i="26"/>
  <c r="D1563" i="26"/>
  <c r="O1563" i="26" s="1"/>
  <c r="E1587" i="26"/>
  <c r="D1587" i="26"/>
  <c r="O1587" i="26" s="1"/>
  <c r="E31" i="26"/>
  <c r="D31" i="26"/>
  <c r="O31" i="26" s="1"/>
  <c r="E55" i="26"/>
  <c r="D55" i="26"/>
  <c r="O55" i="26" s="1"/>
  <c r="D79" i="26"/>
  <c r="O79" i="26" s="1"/>
  <c r="E79" i="26"/>
  <c r="E103" i="26"/>
  <c r="D103" i="26"/>
  <c r="O103" i="26" s="1"/>
  <c r="E127" i="26"/>
  <c r="D127" i="26"/>
  <c r="O127" i="26" s="1"/>
  <c r="E150" i="26"/>
  <c r="D150" i="26"/>
  <c r="O150" i="26" s="1"/>
  <c r="E174" i="26"/>
  <c r="D174" i="26"/>
  <c r="O174" i="26" s="1"/>
  <c r="E198" i="26"/>
  <c r="D198" i="26"/>
  <c r="O198" i="26" s="1"/>
  <c r="D222" i="26"/>
  <c r="O222" i="26" s="1"/>
  <c r="E222" i="26"/>
  <c r="E246" i="26"/>
  <c r="D246" i="26"/>
  <c r="O246" i="26" s="1"/>
  <c r="E269" i="26"/>
  <c r="D269" i="26"/>
  <c r="O269" i="26" s="1"/>
  <c r="E293" i="26"/>
  <c r="D293" i="26"/>
  <c r="O293" i="26" s="1"/>
  <c r="E317" i="26"/>
  <c r="D317" i="26"/>
  <c r="O317" i="26" s="1"/>
  <c r="E341" i="26"/>
  <c r="D341" i="26"/>
  <c r="O341" i="26" s="1"/>
  <c r="E365" i="26"/>
  <c r="D365" i="26"/>
  <c r="O365" i="26" s="1"/>
  <c r="E389" i="26"/>
  <c r="D389" i="26"/>
  <c r="O389" i="26" s="1"/>
  <c r="E413" i="26"/>
  <c r="D413" i="26"/>
  <c r="O413" i="26" s="1"/>
  <c r="E437" i="26"/>
  <c r="D437" i="26"/>
  <c r="O437" i="26" s="1"/>
  <c r="E461" i="26"/>
  <c r="D461" i="26"/>
  <c r="O461" i="26" s="1"/>
  <c r="E485" i="26"/>
  <c r="D485" i="26"/>
  <c r="O485" i="26" s="1"/>
  <c r="E509" i="26"/>
  <c r="D509" i="26"/>
  <c r="O509" i="26" s="1"/>
  <c r="E533" i="26"/>
  <c r="D533" i="26"/>
  <c r="O533" i="26" s="1"/>
  <c r="E557" i="26"/>
  <c r="D557" i="26"/>
  <c r="O557" i="26" s="1"/>
  <c r="E581" i="26"/>
  <c r="D581" i="26"/>
  <c r="O581" i="26" s="1"/>
  <c r="E605" i="26"/>
  <c r="D605" i="26"/>
  <c r="O605" i="26" s="1"/>
  <c r="E629" i="26"/>
  <c r="D629" i="26"/>
  <c r="O629" i="26" s="1"/>
  <c r="E652" i="26"/>
  <c r="D652" i="26"/>
  <c r="O652" i="26" s="1"/>
  <c r="E676" i="26"/>
  <c r="D676" i="26"/>
  <c r="O676" i="26" s="1"/>
  <c r="E700" i="26"/>
  <c r="D700" i="26"/>
  <c r="O700" i="26" s="1"/>
  <c r="E724" i="26"/>
  <c r="D724" i="26"/>
  <c r="O724" i="26" s="1"/>
  <c r="E748" i="26"/>
  <c r="D748" i="26"/>
  <c r="O748" i="26" s="1"/>
  <c r="E772" i="26"/>
  <c r="D772" i="26"/>
  <c r="O772" i="26" s="1"/>
  <c r="E796" i="26"/>
  <c r="D796" i="26"/>
  <c r="O796" i="26" s="1"/>
  <c r="E820" i="26"/>
  <c r="D820" i="26"/>
  <c r="O820" i="26" s="1"/>
  <c r="E844" i="26"/>
  <c r="D844" i="26"/>
  <c r="O844" i="26" s="1"/>
  <c r="E868" i="26"/>
  <c r="D868" i="26"/>
  <c r="O868" i="26" s="1"/>
  <c r="E892" i="26"/>
  <c r="D892" i="26"/>
  <c r="O892" i="26" s="1"/>
  <c r="E916" i="26"/>
  <c r="D916" i="26"/>
  <c r="O916" i="26" s="1"/>
  <c r="E940" i="26"/>
  <c r="D940" i="26"/>
  <c r="O940" i="26" s="1"/>
  <c r="E964" i="26"/>
  <c r="D964" i="26"/>
  <c r="O964" i="26" s="1"/>
  <c r="E988" i="26"/>
  <c r="D988" i="26"/>
  <c r="O988" i="26" s="1"/>
  <c r="E1012" i="26"/>
  <c r="D1012" i="26"/>
  <c r="O1012" i="26" s="1"/>
  <c r="E1036" i="26"/>
  <c r="D1036" i="26"/>
  <c r="O1036" i="26" s="1"/>
  <c r="E1060" i="26"/>
  <c r="D1060" i="26"/>
  <c r="O1060" i="26" s="1"/>
  <c r="E1084" i="26"/>
  <c r="D1084" i="26"/>
  <c r="O1084" i="26" s="1"/>
  <c r="E1108" i="26"/>
  <c r="D1108" i="26"/>
  <c r="O1108" i="26" s="1"/>
  <c r="E1132" i="26"/>
  <c r="D1132" i="26"/>
  <c r="O1132" i="26" s="1"/>
  <c r="E1156" i="26"/>
  <c r="D1156" i="26"/>
  <c r="O1156" i="26" s="1"/>
  <c r="E1180" i="26"/>
  <c r="D1180" i="26"/>
  <c r="O1180" i="26" s="1"/>
  <c r="E1204" i="26"/>
  <c r="D1204" i="26"/>
  <c r="O1204" i="26" s="1"/>
  <c r="E1228" i="26"/>
  <c r="D1228" i="26"/>
  <c r="O1228" i="26" s="1"/>
  <c r="E1252" i="26"/>
  <c r="D1252" i="26"/>
  <c r="O1252" i="26" s="1"/>
  <c r="E1276" i="26"/>
  <c r="D1276" i="26"/>
  <c r="O1276" i="26" s="1"/>
  <c r="E1300" i="26"/>
  <c r="D1300" i="26"/>
  <c r="O1300" i="26" s="1"/>
  <c r="E1324" i="26"/>
  <c r="D1324" i="26"/>
  <c r="O1324" i="26" s="1"/>
  <c r="E1348" i="26"/>
  <c r="D1348" i="26"/>
  <c r="O1348" i="26" s="1"/>
  <c r="E1372" i="26"/>
  <c r="D1372" i="26"/>
  <c r="O1372" i="26" s="1"/>
  <c r="E1396" i="26"/>
  <c r="D1396" i="26"/>
  <c r="O1396" i="26" s="1"/>
  <c r="E1420" i="26"/>
  <c r="D1420" i="26"/>
  <c r="O1420" i="26" s="1"/>
  <c r="E1444" i="26"/>
  <c r="D1444" i="26"/>
  <c r="O1444" i="26" s="1"/>
  <c r="E1468" i="26"/>
  <c r="D1468" i="26"/>
  <c r="O1468" i="26" s="1"/>
  <c r="E1492" i="26"/>
  <c r="D1492" i="26"/>
  <c r="O1492" i="26" s="1"/>
  <c r="E1516" i="26"/>
  <c r="D1516" i="26"/>
  <c r="O1516" i="26" s="1"/>
  <c r="E1540" i="26"/>
  <c r="D1540" i="26"/>
  <c r="O1540" i="26" s="1"/>
  <c r="E1564" i="26"/>
  <c r="D1564" i="26"/>
  <c r="O1564" i="26" s="1"/>
  <c r="E1588" i="26"/>
  <c r="D1588" i="26"/>
  <c r="O1588" i="26" s="1"/>
  <c r="E32" i="26"/>
  <c r="D32" i="26"/>
  <c r="O32" i="26" s="1"/>
  <c r="D56" i="26"/>
  <c r="O56" i="26" s="1"/>
  <c r="E56" i="26"/>
  <c r="E80" i="26"/>
  <c r="D80" i="26"/>
  <c r="O80" i="26" s="1"/>
  <c r="D104" i="26"/>
  <c r="O104" i="26" s="1"/>
  <c r="E104" i="26"/>
  <c r="D128" i="26"/>
  <c r="O128" i="26" s="1"/>
  <c r="E128" i="26"/>
  <c r="E151" i="26"/>
  <c r="D151" i="26"/>
  <c r="O151" i="26" s="1"/>
  <c r="D175" i="26"/>
  <c r="O175" i="26" s="1"/>
  <c r="E175" i="26"/>
  <c r="D199" i="26"/>
  <c r="O199" i="26" s="1"/>
  <c r="E199" i="26"/>
  <c r="D223" i="26"/>
  <c r="O223" i="26" s="1"/>
  <c r="E223" i="26"/>
  <c r="D247" i="26"/>
  <c r="O247" i="26" s="1"/>
  <c r="E247" i="26"/>
  <c r="E270" i="26"/>
  <c r="D270" i="26"/>
  <c r="O270" i="26" s="1"/>
  <c r="D294" i="26"/>
  <c r="O294" i="26" s="1"/>
  <c r="E294" i="26"/>
  <c r="D318" i="26"/>
  <c r="O318" i="26" s="1"/>
  <c r="E318" i="26"/>
  <c r="D342" i="26"/>
  <c r="O342" i="26" s="1"/>
  <c r="E342" i="26"/>
  <c r="D366" i="26"/>
  <c r="O366" i="26" s="1"/>
  <c r="E366" i="26"/>
  <c r="D390" i="26"/>
  <c r="O390" i="26" s="1"/>
  <c r="E390" i="26"/>
  <c r="E414" i="26"/>
  <c r="D414" i="26"/>
  <c r="O414" i="26" s="1"/>
  <c r="D438" i="26"/>
  <c r="O438" i="26" s="1"/>
  <c r="E438" i="26"/>
  <c r="D462" i="26"/>
  <c r="O462" i="26" s="1"/>
  <c r="E462" i="26"/>
  <c r="D486" i="26"/>
  <c r="O486" i="26" s="1"/>
  <c r="E486" i="26"/>
  <c r="D510" i="26"/>
  <c r="O510" i="26" s="1"/>
  <c r="E510" i="26"/>
  <c r="E534" i="26"/>
  <c r="D534" i="26"/>
  <c r="O534" i="26" s="1"/>
  <c r="E558" i="26"/>
  <c r="D558" i="26"/>
  <c r="O558" i="26" s="1"/>
  <c r="D582" i="26"/>
  <c r="O582" i="26" s="1"/>
  <c r="E582" i="26"/>
  <c r="D606" i="26"/>
  <c r="O606" i="26" s="1"/>
  <c r="E606" i="26"/>
  <c r="E630" i="26"/>
  <c r="D630" i="26"/>
  <c r="O630" i="26" s="1"/>
  <c r="E653" i="26"/>
  <c r="D653" i="26"/>
  <c r="O653" i="26" s="1"/>
  <c r="D677" i="26"/>
  <c r="O677" i="26" s="1"/>
  <c r="E677" i="26"/>
  <c r="E701" i="26"/>
  <c r="D701" i="26"/>
  <c r="O701" i="26" s="1"/>
  <c r="E725" i="26"/>
  <c r="D725" i="26"/>
  <c r="O725" i="26" s="1"/>
  <c r="E749" i="26"/>
  <c r="D749" i="26"/>
  <c r="O749" i="26" s="1"/>
  <c r="E773" i="26"/>
  <c r="D773" i="26"/>
  <c r="O773" i="26" s="1"/>
  <c r="E797" i="26"/>
  <c r="D797" i="26"/>
  <c r="O797" i="26" s="1"/>
  <c r="E821" i="26"/>
  <c r="D821" i="26"/>
  <c r="O821" i="26" s="1"/>
  <c r="E845" i="26"/>
  <c r="D845" i="26"/>
  <c r="O845" i="26" s="1"/>
  <c r="D869" i="26"/>
  <c r="O869" i="26" s="1"/>
  <c r="E869" i="26"/>
  <c r="E893" i="26"/>
  <c r="D893" i="26"/>
  <c r="O893" i="26" s="1"/>
  <c r="E917" i="26"/>
  <c r="D917" i="26"/>
  <c r="O917" i="26" s="1"/>
  <c r="D941" i="26"/>
  <c r="O941" i="26" s="1"/>
  <c r="E941" i="26"/>
  <c r="E965" i="26"/>
  <c r="D965" i="26"/>
  <c r="O965" i="26" s="1"/>
  <c r="E989" i="26"/>
  <c r="D989" i="26"/>
  <c r="O989" i="26" s="1"/>
  <c r="E1013" i="26"/>
  <c r="D1013" i="26"/>
  <c r="O1013" i="26" s="1"/>
  <c r="E1037" i="26"/>
  <c r="D1037" i="26"/>
  <c r="O1037" i="26" s="1"/>
  <c r="E1061" i="26"/>
  <c r="D1061" i="26"/>
  <c r="O1061" i="26" s="1"/>
  <c r="E1085" i="26"/>
  <c r="D1085" i="26"/>
  <c r="O1085" i="26" s="1"/>
  <c r="E1109" i="26"/>
  <c r="D1109" i="26"/>
  <c r="O1109" i="26" s="1"/>
  <c r="E1133" i="26"/>
  <c r="D1133" i="26"/>
  <c r="O1133" i="26" s="1"/>
  <c r="E1157" i="26"/>
  <c r="D1157" i="26"/>
  <c r="O1157" i="26" s="1"/>
  <c r="E1181" i="26"/>
  <c r="D1181" i="26"/>
  <c r="O1181" i="26" s="1"/>
  <c r="E1205" i="26"/>
  <c r="D1205" i="26"/>
  <c r="O1205" i="26" s="1"/>
  <c r="E1229" i="26"/>
  <c r="D1229" i="26"/>
  <c r="O1229" i="26" s="1"/>
  <c r="E1253" i="26"/>
  <c r="D1253" i="26"/>
  <c r="O1253" i="26" s="1"/>
  <c r="E1277" i="26"/>
  <c r="D1277" i="26"/>
  <c r="O1277" i="26" s="1"/>
  <c r="E1301" i="26"/>
  <c r="D1301" i="26"/>
  <c r="O1301" i="26" s="1"/>
  <c r="E1325" i="26"/>
  <c r="D1325" i="26"/>
  <c r="O1325" i="26" s="1"/>
  <c r="E1349" i="26"/>
  <c r="D1349" i="26"/>
  <c r="O1349" i="26" s="1"/>
  <c r="E1373" i="26"/>
  <c r="D1373" i="26"/>
  <c r="O1373" i="26" s="1"/>
  <c r="E1397" i="26"/>
  <c r="D1397" i="26"/>
  <c r="O1397" i="26" s="1"/>
  <c r="E1421" i="26"/>
  <c r="D1421" i="26"/>
  <c r="O1421" i="26" s="1"/>
  <c r="E1445" i="26"/>
  <c r="D1445" i="26"/>
  <c r="O1445" i="26" s="1"/>
  <c r="E1469" i="26"/>
  <c r="D1469" i="26"/>
  <c r="O1469" i="26" s="1"/>
  <c r="E1493" i="26"/>
  <c r="D1493" i="26"/>
  <c r="O1493" i="26" s="1"/>
  <c r="E1517" i="26"/>
  <c r="D1517" i="26"/>
  <c r="O1517" i="26" s="1"/>
  <c r="E1541" i="26"/>
  <c r="D1541" i="26"/>
  <c r="O1541" i="26" s="1"/>
  <c r="E1565" i="26"/>
  <c r="D1565" i="26"/>
  <c r="O1565" i="26" s="1"/>
  <c r="E1589" i="26"/>
  <c r="D1589" i="26"/>
  <c r="O1589" i="26" s="1"/>
  <c r="E33" i="26"/>
  <c r="D33" i="26"/>
  <c r="O33" i="26" s="1"/>
  <c r="E57" i="26"/>
  <c r="D57" i="26"/>
  <c r="O57" i="26" s="1"/>
  <c r="D81" i="26"/>
  <c r="O81" i="26" s="1"/>
  <c r="E81" i="26"/>
  <c r="E105" i="26"/>
  <c r="D105" i="26"/>
  <c r="O105" i="26" s="1"/>
  <c r="D129" i="26"/>
  <c r="O129" i="26" s="1"/>
  <c r="E129" i="26"/>
  <c r="E152" i="26"/>
  <c r="D152" i="26"/>
  <c r="O152" i="26" s="1"/>
  <c r="E176" i="26"/>
  <c r="D176" i="26"/>
  <c r="O176" i="26" s="1"/>
  <c r="E200" i="26"/>
  <c r="D200" i="26"/>
  <c r="O200" i="26" s="1"/>
  <c r="E224" i="26"/>
  <c r="D224" i="26"/>
  <c r="O224" i="26" s="1"/>
  <c r="D248" i="26"/>
  <c r="O248" i="26" s="1"/>
  <c r="E248" i="26"/>
  <c r="D271" i="26"/>
  <c r="O271" i="26" s="1"/>
  <c r="E271" i="26"/>
  <c r="E295" i="26"/>
  <c r="D295" i="26"/>
  <c r="O295" i="26" s="1"/>
  <c r="E319" i="26"/>
  <c r="D319" i="26"/>
  <c r="O319" i="26" s="1"/>
  <c r="E343" i="26"/>
  <c r="D343" i="26"/>
  <c r="O343" i="26" s="1"/>
  <c r="E367" i="26"/>
  <c r="D367" i="26"/>
  <c r="O367" i="26" s="1"/>
  <c r="E391" i="26"/>
  <c r="D391" i="26"/>
  <c r="O391" i="26" s="1"/>
  <c r="E415" i="26"/>
  <c r="D415" i="26"/>
  <c r="O415" i="26" s="1"/>
  <c r="D439" i="26"/>
  <c r="O439" i="26" s="1"/>
  <c r="E439" i="26"/>
  <c r="E463" i="26"/>
  <c r="D463" i="26"/>
  <c r="O463" i="26" s="1"/>
  <c r="E487" i="26"/>
  <c r="D487" i="26"/>
  <c r="O487" i="26" s="1"/>
  <c r="D511" i="26"/>
  <c r="O511" i="26" s="1"/>
  <c r="E511" i="26"/>
  <c r="D535" i="26"/>
  <c r="O535" i="26" s="1"/>
  <c r="E535" i="26"/>
  <c r="D559" i="26"/>
  <c r="O559" i="26" s="1"/>
  <c r="E559" i="26"/>
  <c r="E583" i="26"/>
  <c r="D583" i="26"/>
  <c r="O583" i="26" s="1"/>
  <c r="E607" i="26"/>
  <c r="D607" i="26"/>
  <c r="O607" i="26" s="1"/>
  <c r="E631" i="26"/>
  <c r="D631" i="26"/>
  <c r="O631" i="26" s="1"/>
  <c r="E654" i="26"/>
  <c r="D654" i="26"/>
  <c r="O654" i="26" s="1"/>
  <c r="E678" i="26"/>
  <c r="D678" i="26"/>
  <c r="O678" i="26" s="1"/>
  <c r="E702" i="26"/>
  <c r="D702" i="26"/>
  <c r="O702" i="26" s="1"/>
  <c r="E726" i="26"/>
  <c r="D726" i="26"/>
  <c r="O726" i="26" s="1"/>
  <c r="E750" i="26"/>
  <c r="D750" i="26"/>
  <c r="O750" i="26" s="1"/>
  <c r="E774" i="26"/>
  <c r="D774" i="26"/>
  <c r="O774" i="26" s="1"/>
  <c r="E798" i="26"/>
  <c r="D798" i="26"/>
  <c r="O798" i="26" s="1"/>
  <c r="E822" i="26"/>
  <c r="D822" i="26"/>
  <c r="O822" i="26" s="1"/>
  <c r="E846" i="26"/>
  <c r="D846" i="26"/>
  <c r="O846" i="26" s="1"/>
  <c r="E870" i="26"/>
  <c r="D870" i="26"/>
  <c r="O870" i="26" s="1"/>
  <c r="E894" i="26"/>
  <c r="D894" i="26"/>
  <c r="O894" i="26" s="1"/>
  <c r="E918" i="26"/>
  <c r="D918" i="26"/>
  <c r="O918" i="26" s="1"/>
  <c r="E942" i="26"/>
  <c r="D942" i="26"/>
  <c r="O942" i="26" s="1"/>
  <c r="E966" i="26"/>
  <c r="D966" i="26"/>
  <c r="O966" i="26" s="1"/>
  <c r="E990" i="26"/>
  <c r="D990" i="26"/>
  <c r="O990" i="26" s="1"/>
  <c r="E1014" i="26"/>
  <c r="D1014" i="26"/>
  <c r="O1014" i="26" s="1"/>
  <c r="E1038" i="26"/>
  <c r="D1038" i="26"/>
  <c r="O1038" i="26" s="1"/>
  <c r="E1062" i="26"/>
  <c r="D1062" i="26"/>
  <c r="O1062" i="26" s="1"/>
  <c r="E1086" i="26"/>
  <c r="D1086" i="26"/>
  <c r="O1086" i="26" s="1"/>
  <c r="E1110" i="26"/>
  <c r="D1110" i="26"/>
  <c r="O1110" i="26" s="1"/>
  <c r="E1134" i="26"/>
  <c r="D1134" i="26"/>
  <c r="O1134" i="26" s="1"/>
  <c r="E1158" i="26"/>
  <c r="D1158" i="26"/>
  <c r="O1158" i="26" s="1"/>
  <c r="E1182" i="26"/>
  <c r="D1182" i="26"/>
  <c r="O1182" i="26" s="1"/>
  <c r="E1206" i="26"/>
  <c r="D1206" i="26"/>
  <c r="O1206" i="26" s="1"/>
  <c r="E1230" i="26"/>
  <c r="D1230" i="26"/>
  <c r="O1230" i="26" s="1"/>
  <c r="E1254" i="26"/>
  <c r="D1254" i="26"/>
  <c r="O1254" i="26" s="1"/>
  <c r="E1278" i="26"/>
  <c r="D1278" i="26"/>
  <c r="O1278" i="26" s="1"/>
  <c r="E1302" i="26"/>
  <c r="D1302" i="26"/>
  <c r="O1302" i="26" s="1"/>
  <c r="E1326" i="26"/>
  <c r="D1326" i="26"/>
  <c r="O1326" i="26" s="1"/>
  <c r="E1350" i="26"/>
  <c r="D1350" i="26"/>
  <c r="O1350" i="26" s="1"/>
  <c r="E1374" i="26"/>
  <c r="D1374" i="26"/>
  <c r="O1374" i="26" s="1"/>
  <c r="E1398" i="26"/>
  <c r="D1398" i="26"/>
  <c r="O1398" i="26" s="1"/>
  <c r="E1422" i="26"/>
  <c r="D1422" i="26"/>
  <c r="O1422" i="26" s="1"/>
  <c r="E1446" i="26"/>
  <c r="D1446" i="26"/>
  <c r="O1446" i="26" s="1"/>
  <c r="E1470" i="26"/>
  <c r="D1470" i="26"/>
  <c r="O1470" i="26" s="1"/>
  <c r="E1494" i="26"/>
  <c r="D1494" i="26"/>
  <c r="O1494" i="26" s="1"/>
  <c r="E1518" i="26"/>
  <c r="D1518" i="26"/>
  <c r="O1518" i="26" s="1"/>
  <c r="E1542" i="26"/>
  <c r="D1542" i="26"/>
  <c r="O1542" i="26" s="1"/>
  <c r="E1566" i="26"/>
  <c r="D1566" i="26"/>
  <c r="O1566" i="26" s="1"/>
  <c r="E1590" i="26"/>
  <c r="D1590" i="26"/>
  <c r="O1590" i="26" s="1"/>
  <c r="E35" i="26"/>
  <c r="D35" i="26"/>
  <c r="O35" i="26" s="1"/>
  <c r="E59" i="26"/>
  <c r="D59" i="26"/>
  <c r="O59" i="26" s="1"/>
  <c r="D83" i="26"/>
  <c r="O83" i="26" s="1"/>
  <c r="E83" i="26"/>
  <c r="D107" i="26"/>
  <c r="O107" i="26" s="1"/>
  <c r="E107" i="26"/>
  <c r="D131" i="26"/>
  <c r="O131" i="26" s="1"/>
  <c r="E131" i="26"/>
  <c r="E154" i="26"/>
  <c r="D154" i="26"/>
  <c r="O154" i="26" s="1"/>
  <c r="E178" i="26"/>
  <c r="D178" i="26"/>
  <c r="O178" i="26" s="1"/>
  <c r="E202" i="26"/>
  <c r="D202" i="26"/>
  <c r="O202" i="26" s="1"/>
  <c r="E226" i="26"/>
  <c r="D226" i="26"/>
  <c r="O226" i="26" s="1"/>
  <c r="E250" i="26"/>
  <c r="D250" i="26"/>
  <c r="O250" i="26" s="1"/>
  <c r="E273" i="26"/>
  <c r="D273" i="26"/>
  <c r="O273" i="26" s="1"/>
  <c r="D297" i="26"/>
  <c r="O297" i="26" s="1"/>
  <c r="E297" i="26"/>
  <c r="E321" i="26"/>
  <c r="D321" i="26"/>
  <c r="O321" i="26" s="1"/>
  <c r="E345" i="26"/>
  <c r="D345" i="26"/>
  <c r="O345" i="26" s="1"/>
  <c r="E369" i="26"/>
  <c r="D369" i="26"/>
  <c r="O369" i="26" s="1"/>
  <c r="E393" i="26"/>
  <c r="D393" i="26"/>
  <c r="O393" i="26" s="1"/>
  <c r="E417" i="26"/>
  <c r="D417" i="26"/>
  <c r="O417" i="26" s="1"/>
  <c r="D441" i="26"/>
  <c r="O441" i="26" s="1"/>
  <c r="E441" i="26"/>
  <c r="E465" i="26"/>
  <c r="D465" i="26"/>
  <c r="O465" i="26" s="1"/>
  <c r="E489" i="26"/>
  <c r="D489" i="26"/>
  <c r="O489" i="26" s="1"/>
  <c r="D513" i="26"/>
  <c r="O513" i="26" s="1"/>
  <c r="E513" i="26"/>
  <c r="E537" i="26"/>
  <c r="D537" i="26"/>
  <c r="O537" i="26" s="1"/>
  <c r="E561" i="26"/>
  <c r="D561" i="26"/>
  <c r="O561" i="26" s="1"/>
  <c r="E585" i="26"/>
  <c r="D585" i="26"/>
  <c r="O585" i="26" s="1"/>
  <c r="E609" i="26"/>
  <c r="D609" i="26"/>
  <c r="O609" i="26" s="1"/>
  <c r="E633" i="26"/>
  <c r="D633" i="26"/>
  <c r="O633" i="26" s="1"/>
  <c r="E656" i="26"/>
  <c r="D656" i="26"/>
  <c r="O656" i="26" s="1"/>
  <c r="E680" i="26"/>
  <c r="D680" i="26"/>
  <c r="O680" i="26" s="1"/>
  <c r="E704" i="26"/>
  <c r="D704" i="26"/>
  <c r="O704" i="26" s="1"/>
  <c r="E728" i="26"/>
  <c r="D728" i="26"/>
  <c r="O728" i="26" s="1"/>
  <c r="E752" i="26"/>
  <c r="D752" i="26"/>
  <c r="O752" i="26" s="1"/>
  <c r="E776" i="26"/>
  <c r="D776" i="26"/>
  <c r="O776" i="26" s="1"/>
  <c r="E800" i="26"/>
  <c r="D800" i="26"/>
  <c r="O800" i="26" s="1"/>
  <c r="E824" i="26"/>
  <c r="D824" i="26"/>
  <c r="O824" i="26" s="1"/>
  <c r="E848" i="26"/>
  <c r="D848" i="26"/>
  <c r="O848" i="26" s="1"/>
  <c r="E872" i="26"/>
  <c r="D872" i="26"/>
  <c r="O872" i="26" s="1"/>
  <c r="E896" i="26"/>
  <c r="D896" i="26"/>
  <c r="O896" i="26" s="1"/>
  <c r="E920" i="26"/>
  <c r="D920" i="26"/>
  <c r="O920" i="26" s="1"/>
  <c r="E944" i="26"/>
  <c r="D944" i="26"/>
  <c r="O944" i="26" s="1"/>
  <c r="E968" i="26"/>
  <c r="D968" i="26"/>
  <c r="O968" i="26" s="1"/>
  <c r="E992" i="26"/>
  <c r="D992" i="26"/>
  <c r="O992" i="26" s="1"/>
  <c r="E1016" i="26"/>
  <c r="D1016" i="26"/>
  <c r="O1016" i="26" s="1"/>
  <c r="E1040" i="26"/>
  <c r="D1040" i="26"/>
  <c r="O1040" i="26" s="1"/>
  <c r="E1064" i="26"/>
  <c r="D1064" i="26"/>
  <c r="O1064" i="26" s="1"/>
  <c r="E1088" i="26"/>
  <c r="D1088" i="26"/>
  <c r="O1088" i="26" s="1"/>
  <c r="E1112" i="26"/>
  <c r="D1112" i="26"/>
  <c r="O1112" i="26" s="1"/>
  <c r="E1136" i="26"/>
  <c r="D1136" i="26"/>
  <c r="O1136" i="26" s="1"/>
  <c r="E1160" i="26"/>
  <c r="D1160" i="26"/>
  <c r="O1160" i="26" s="1"/>
  <c r="E1184" i="26"/>
  <c r="D1184" i="26"/>
  <c r="O1184" i="26" s="1"/>
  <c r="E1208" i="26"/>
  <c r="D1208" i="26"/>
  <c r="O1208" i="26" s="1"/>
  <c r="E1232" i="26"/>
  <c r="D1232" i="26"/>
  <c r="O1232" i="26" s="1"/>
  <c r="E1256" i="26"/>
  <c r="D1256" i="26"/>
  <c r="O1256" i="26" s="1"/>
  <c r="E1280" i="26"/>
  <c r="D1280" i="26"/>
  <c r="O1280" i="26" s="1"/>
  <c r="E1304" i="26"/>
  <c r="D1304" i="26"/>
  <c r="O1304" i="26" s="1"/>
  <c r="E1328" i="26"/>
  <c r="D1328" i="26"/>
  <c r="O1328" i="26" s="1"/>
  <c r="E1352" i="26"/>
  <c r="D1352" i="26"/>
  <c r="O1352" i="26" s="1"/>
  <c r="E1376" i="26"/>
  <c r="D1376" i="26"/>
  <c r="O1376" i="26" s="1"/>
  <c r="E1400" i="26"/>
  <c r="D1400" i="26"/>
  <c r="O1400" i="26" s="1"/>
  <c r="E1424" i="26"/>
  <c r="D1424" i="26"/>
  <c r="O1424" i="26" s="1"/>
  <c r="E1448" i="26"/>
  <c r="D1448" i="26"/>
  <c r="O1448" i="26" s="1"/>
  <c r="E1472" i="26"/>
  <c r="D1472" i="26"/>
  <c r="O1472" i="26" s="1"/>
  <c r="E1496" i="26"/>
  <c r="D1496" i="26"/>
  <c r="O1496" i="26" s="1"/>
  <c r="E1520" i="26"/>
  <c r="D1520" i="26"/>
  <c r="O1520" i="26" s="1"/>
  <c r="E1544" i="26"/>
  <c r="D1544" i="26"/>
  <c r="O1544" i="26" s="1"/>
  <c r="E1568" i="26"/>
  <c r="D1568" i="26"/>
  <c r="O1568" i="26" s="1"/>
  <c r="E1592" i="26"/>
  <c r="D1592" i="26"/>
  <c r="O1592" i="26" s="1"/>
  <c r="E36" i="26"/>
  <c r="D36" i="26"/>
  <c r="O36" i="26" s="1"/>
  <c r="E60" i="26"/>
  <c r="D60" i="26"/>
  <c r="O60" i="26" s="1"/>
  <c r="D84" i="26"/>
  <c r="O84" i="26" s="1"/>
  <c r="E84" i="26"/>
  <c r="D108" i="26"/>
  <c r="O108" i="26" s="1"/>
  <c r="E108" i="26"/>
  <c r="D155" i="26"/>
  <c r="O155" i="26" s="1"/>
  <c r="E155" i="26"/>
  <c r="E179" i="26"/>
  <c r="D179" i="26"/>
  <c r="O179" i="26" s="1"/>
  <c r="E203" i="26"/>
  <c r="D203" i="26"/>
  <c r="O203" i="26" s="1"/>
  <c r="E227" i="26"/>
  <c r="D227" i="26"/>
  <c r="O227" i="26" s="1"/>
  <c r="D251" i="26"/>
  <c r="O251" i="26" s="1"/>
  <c r="E251" i="26"/>
  <c r="E274" i="26"/>
  <c r="D274" i="26"/>
  <c r="O274" i="26" s="1"/>
  <c r="D298" i="26"/>
  <c r="O298" i="26" s="1"/>
  <c r="E298" i="26"/>
  <c r="E322" i="26"/>
  <c r="D322" i="26"/>
  <c r="O322" i="26" s="1"/>
  <c r="D346" i="26"/>
  <c r="O346" i="26" s="1"/>
  <c r="E346" i="26"/>
  <c r="E370" i="26"/>
  <c r="D370" i="26"/>
  <c r="O370" i="26" s="1"/>
  <c r="E394" i="26"/>
  <c r="D394" i="26"/>
  <c r="O394" i="26" s="1"/>
  <c r="E418" i="26"/>
  <c r="D418" i="26"/>
  <c r="O418" i="26" s="1"/>
  <c r="E442" i="26"/>
  <c r="D442" i="26"/>
  <c r="O442" i="26" s="1"/>
  <c r="E466" i="26"/>
  <c r="D466" i="26"/>
  <c r="O466" i="26" s="1"/>
  <c r="E490" i="26"/>
  <c r="D490" i="26"/>
  <c r="O490" i="26" s="1"/>
  <c r="E514" i="26"/>
  <c r="D514" i="26"/>
  <c r="O514" i="26" s="1"/>
  <c r="E538" i="26"/>
  <c r="D538" i="26"/>
  <c r="O538" i="26" s="1"/>
  <c r="D562" i="26"/>
  <c r="O562" i="26" s="1"/>
  <c r="E562" i="26"/>
  <c r="D586" i="26"/>
  <c r="O586" i="26" s="1"/>
  <c r="E586" i="26"/>
  <c r="D610" i="26"/>
  <c r="O610" i="26" s="1"/>
  <c r="E610" i="26"/>
  <c r="E634" i="26"/>
  <c r="D634" i="26"/>
  <c r="O634" i="26" s="1"/>
  <c r="E657" i="26"/>
  <c r="D657" i="26"/>
  <c r="O657" i="26" s="1"/>
  <c r="E681" i="26"/>
  <c r="D681" i="26"/>
  <c r="O681" i="26" s="1"/>
  <c r="E705" i="26"/>
  <c r="D705" i="26"/>
  <c r="O705" i="26" s="1"/>
  <c r="E729" i="26"/>
  <c r="D729" i="26"/>
  <c r="O729" i="26" s="1"/>
  <c r="E753" i="26"/>
  <c r="D753" i="26"/>
  <c r="O753" i="26" s="1"/>
  <c r="E777" i="26"/>
  <c r="D777" i="26"/>
  <c r="O777" i="26" s="1"/>
  <c r="E801" i="26"/>
  <c r="D801" i="26"/>
  <c r="O801" i="26" s="1"/>
  <c r="E825" i="26"/>
  <c r="D825" i="26"/>
  <c r="O825" i="26" s="1"/>
  <c r="E849" i="26"/>
  <c r="D849" i="26"/>
  <c r="O849" i="26" s="1"/>
  <c r="E873" i="26"/>
  <c r="D873" i="26"/>
  <c r="O873" i="26" s="1"/>
  <c r="E897" i="26"/>
  <c r="D897" i="26"/>
  <c r="O897" i="26" s="1"/>
  <c r="E921" i="26"/>
  <c r="D921" i="26"/>
  <c r="O921" i="26" s="1"/>
  <c r="E945" i="26"/>
  <c r="D945" i="26"/>
  <c r="O945" i="26" s="1"/>
  <c r="E969" i="26"/>
  <c r="D969" i="26"/>
  <c r="O969" i="26" s="1"/>
  <c r="E993" i="26"/>
  <c r="D993" i="26"/>
  <c r="O993" i="26" s="1"/>
  <c r="E1017" i="26"/>
  <c r="D1017" i="26"/>
  <c r="O1017" i="26" s="1"/>
  <c r="E1041" i="26"/>
  <c r="D1041" i="26"/>
  <c r="O1041" i="26" s="1"/>
  <c r="E1065" i="26"/>
  <c r="D1065" i="26"/>
  <c r="O1065" i="26" s="1"/>
  <c r="E1089" i="26"/>
  <c r="D1089" i="26"/>
  <c r="O1089" i="26" s="1"/>
  <c r="E1113" i="26"/>
  <c r="D1113" i="26"/>
  <c r="O1113" i="26" s="1"/>
  <c r="E1137" i="26"/>
  <c r="D1137" i="26"/>
  <c r="O1137" i="26" s="1"/>
  <c r="E1161" i="26"/>
  <c r="D1161" i="26"/>
  <c r="O1161" i="26" s="1"/>
  <c r="E1185" i="26"/>
  <c r="D1185" i="26"/>
  <c r="O1185" i="26" s="1"/>
  <c r="E1209" i="26"/>
  <c r="D1209" i="26"/>
  <c r="O1209" i="26" s="1"/>
  <c r="E1233" i="26"/>
  <c r="D1233" i="26"/>
  <c r="O1233" i="26" s="1"/>
  <c r="E1257" i="26"/>
  <c r="D1257" i="26"/>
  <c r="O1257" i="26" s="1"/>
  <c r="E1281" i="26"/>
  <c r="D1281" i="26"/>
  <c r="O1281" i="26" s="1"/>
  <c r="E1305" i="26"/>
  <c r="D1305" i="26"/>
  <c r="O1305" i="26" s="1"/>
  <c r="E1329" i="26"/>
  <c r="D1329" i="26"/>
  <c r="O1329" i="26" s="1"/>
  <c r="E1353" i="26"/>
  <c r="D1353" i="26"/>
  <c r="O1353" i="26" s="1"/>
  <c r="E1377" i="26"/>
  <c r="D1377" i="26"/>
  <c r="O1377" i="26" s="1"/>
  <c r="E1401" i="26"/>
  <c r="D1401" i="26"/>
  <c r="O1401" i="26" s="1"/>
  <c r="E1425" i="26"/>
  <c r="D1425" i="26"/>
  <c r="O1425" i="26" s="1"/>
  <c r="E1449" i="26"/>
  <c r="D1449" i="26"/>
  <c r="O1449" i="26" s="1"/>
  <c r="E1473" i="26"/>
  <c r="D1473" i="26"/>
  <c r="O1473" i="26" s="1"/>
  <c r="E1497" i="26"/>
  <c r="D1497" i="26"/>
  <c r="O1497" i="26" s="1"/>
  <c r="E1521" i="26"/>
  <c r="D1521" i="26"/>
  <c r="O1521" i="26" s="1"/>
  <c r="E1545" i="26"/>
  <c r="D1545" i="26"/>
  <c r="O1545" i="26" s="1"/>
  <c r="E1569" i="26"/>
  <c r="D1569" i="26"/>
  <c r="O1569" i="26" s="1"/>
  <c r="E1593" i="26"/>
  <c r="D1593" i="26"/>
  <c r="O1593" i="26" s="1"/>
  <c r="E13" i="26"/>
  <c r="D13" i="26"/>
  <c r="O13" i="26" s="1"/>
  <c r="E37" i="26"/>
  <c r="D37" i="26"/>
  <c r="O37" i="26" s="1"/>
  <c r="E61" i="26"/>
  <c r="D61" i="26"/>
  <c r="O61" i="26" s="1"/>
  <c r="E85" i="26"/>
  <c r="D85" i="26"/>
  <c r="O85" i="26" s="1"/>
  <c r="E109" i="26"/>
  <c r="D109" i="26"/>
  <c r="O109" i="26" s="1"/>
  <c r="E132" i="26"/>
  <c r="D132" i="26"/>
  <c r="O132" i="26" s="1"/>
  <c r="E156" i="26"/>
  <c r="D156" i="26"/>
  <c r="O156" i="26" s="1"/>
  <c r="E180" i="26"/>
  <c r="D180" i="26"/>
  <c r="O180" i="26" s="1"/>
  <c r="E204" i="26"/>
  <c r="D204" i="26"/>
  <c r="O204" i="26" s="1"/>
  <c r="E228" i="26"/>
  <c r="D228" i="26"/>
  <c r="O228" i="26" s="1"/>
  <c r="E252" i="26"/>
  <c r="D252" i="26"/>
  <c r="O252" i="26" s="1"/>
  <c r="E275" i="26"/>
  <c r="D275" i="26"/>
  <c r="O275" i="26" s="1"/>
  <c r="E299" i="26"/>
  <c r="D299" i="26"/>
  <c r="O299" i="26" s="1"/>
  <c r="E323" i="26"/>
  <c r="D323" i="26"/>
  <c r="O323" i="26" s="1"/>
  <c r="E347" i="26"/>
  <c r="D347" i="26"/>
  <c r="O347" i="26" s="1"/>
  <c r="E371" i="26"/>
  <c r="D371" i="26"/>
  <c r="O371" i="26" s="1"/>
  <c r="E395" i="26"/>
  <c r="D395" i="26"/>
  <c r="O395" i="26" s="1"/>
  <c r="E419" i="26"/>
  <c r="D419" i="26"/>
  <c r="O419" i="26" s="1"/>
  <c r="E443" i="26"/>
  <c r="D443" i="26"/>
  <c r="O443" i="26" s="1"/>
  <c r="E467" i="26"/>
  <c r="D467" i="26"/>
  <c r="O467" i="26" s="1"/>
  <c r="E491" i="26"/>
  <c r="D491" i="26"/>
  <c r="O491" i="26" s="1"/>
  <c r="E515" i="26"/>
  <c r="D515" i="26"/>
  <c r="O515" i="26" s="1"/>
  <c r="E539" i="26"/>
  <c r="D539" i="26"/>
  <c r="O539" i="26" s="1"/>
  <c r="E563" i="26"/>
  <c r="D563" i="26"/>
  <c r="O563" i="26" s="1"/>
  <c r="E587" i="26"/>
  <c r="D587" i="26"/>
  <c r="O587" i="26" s="1"/>
  <c r="E611" i="26"/>
  <c r="D611" i="26"/>
  <c r="O611" i="26" s="1"/>
  <c r="E635" i="26"/>
  <c r="D635" i="26"/>
  <c r="O635" i="26" s="1"/>
  <c r="E658" i="26"/>
  <c r="D658" i="26"/>
  <c r="O658" i="26" s="1"/>
  <c r="E682" i="26"/>
  <c r="D682" i="26"/>
  <c r="O682" i="26" s="1"/>
  <c r="E706" i="26"/>
  <c r="D706" i="26"/>
  <c r="O706" i="26" s="1"/>
  <c r="E730" i="26"/>
  <c r="D730" i="26"/>
  <c r="O730" i="26" s="1"/>
  <c r="E754" i="26"/>
  <c r="D754" i="26"/>
  <c r="O754" i="26" s="1"/>
  <c r="E778" i="26"/>
  <c r="D778" i="26"/>
  <c r="O778" i="26" s="1"/>
  <c r="E802" i="26"/>
  <c r="D802" i="26"/>
  <c r="O802" i="26" s="1"/>
  <c r="E826" i="26"/>
  <c r="D826" i="26"/>
  <c r="O826" i="26" s="1"/>
  <c r="E850" i="26"/>
  <c r="D850" i="26"/>
  <c r="O850" i="26" s="1"/>
  <c r="E874" i="26"/>
  <c r="D874" i="26"/>
  <c r="O874" i="26" s="1"/>
  <c r="E898" i="26"/>
  <c r="D898" i="26"/>
  <c r="O898" i="26" s="1"/>
  <c r="E922" i="26"/>
  <c r="D922" i="26"/>
  <c r="O922" i="26" s="1"/>
  <c r="E946" i="26"/>
  <c r="D946" i="26"/>
  <c r="O946" i="26" s="1"/>
  <c r="E970" i="26"/>
  <c r="D970" i="26"/>
  <c r="O970" i="26" s="1"/>
  <c r="E994" i="26"/>
  <c r="D994" i="26"/>
  <c r="O994" i="26" s="1"/>
  <c r="E1018" i="26"/>
  <c r="D1018" i="26"/>
  <c r="O1018" i="26" s="1"/>
  <c r="E1042" i="26"/>
  <c r="D1042" i="26"/>
  <c r="O1042" i="26" s="1"/>
  <c r="E1066" i="26"/>
  <c r="D1066" i="26"/>
  <c r="O1066" i="26" s="1"/>
  <c r="E1090" i="26"/>
  <c r="D1090" i="26"/>
  <c r="O1090" i="26" s="1"/>
  <c r="E1114" i="26"/>
  <c r="D1114" i="26"/>
  <c r="O1114" i="26" s="1"/>
  <c r="E1138" i="26"/>
  <c r="D1138" i="26"/>
  <c r="O1138" i="26" s="1"/>
  <c r="E1162" i="26"/>
  <c r="D1162" i="26"/>
  <c r="O1162" i="26" s="1"/>
  <c r="E1186" i="26"/>
  <c r="D1186" i="26"/>
  <c r="O1186" i="26" s="1"/>
  <c r="E1210" i="26"/>
  <c r="D1210" i="26"/>
  <c r="O1210" i="26" s="1"/>
  <c r="E1234" i="26"/>
  <c r="D1234" i="26"/>
  <c r="O1234" i="26" s="1"/>
  <c r="E1258" i="26"/>
  <c r="D1258" i="26"/>
  <c r="O1258" i="26" s="1"/>
  <c r="E1282" i="26"/>
  <c r="D1282" i="26"/>
  <c r="O1282" i="26" s="1"/>
  <c r="E1306" i="26"/>
  <c r="D1306" i="26"/>
  <c r="O1306" i="26" s="1"/>
  <c r="E1330" i="26"/>
  <c r="D1330" i="26"/>
  <c r="O1330" i="26" s="1"/>
  <c r="E1354" i="26"/>
  <c r="D1354" i="26"/>
  <c r="O1354" i="26" s="1"/>
  <c r="E1378" i="26"/>
  <c r="D1378" i="26"/>
  <c r="O1378" i="26" s="1"/>
  <c r="E1402" i="26"/>
  <c r="D1402" i="26"/>
  <c r="O1402" i="26" s="1"/>
  <c r="E1426" i="26"/>
  <c r="D1426" i="26"/>
  <c r="O1426" i="26" s="1"/>
  <c r="E1450" i="26"/>
  <c r="D1450" i="26"/>
  <c r="O1450" i="26" s="1"/>
  <c r="E1474" i="26"/>
  <c r="D1474" i="26"/>
  <c r="O1474" i="26" s="1"/>
  <c r="E1498" i="26"/>
  <c r="D1498" i="26"/>
  <c r="O1498" i="26" s="1"/>
  <c r="E1522" i="26"/>
  <c r="D1522" i="26"/>
  <c r="O1522" i="26" s="1"/>
  <c r="E1546" i="26"/>
  <c r="D1546" i="26"/>
  <c r="O1546" i="26" s="1"/>
  <c r="E1570" i="26"/>
  <c r="D1570" i="26"/>
  <c r="O1570" i="26" s="1"/>
  <c r="E1594" i="26"/>
  <c r="D1594" i="26"/>
  <c r="O1594" i="26" s="1"/>
  <c r="E14" i="26"/>
  <c r="D14" i="26"/>
  <c r="O14" i="26" s="1"/>
  <c r="E38" i="26"/>
  <c r="D38" i="26"/>
  <c r="O38" i="26" s="1"/>
  <c r="E62" i="26"/>
  <c r="D62" i="26"/>
  <c r="O62" i="26" s="1"/>
  <c r="D86" i="26"/>
  <c r="O86" i="26" s="1"/>
  <c r="E86" i="26"/>
  <c r="D110" i="26"/>
  <c r="O110" i="26" s="1"/>
  <c r="E110" i="26"/>
  <c r="E133" i="26"/>
  <c r="D133" i="26"/>
  <c r="O133" i="26" s="1"/>
  <c r="D157" i="26"/>
  <c r="O157" i="26" s="1"/>
  <c r="E157" i="26"/>
  <c r="E181" i="26"/>
  <c r="D181" i="26"/>
  <c r="O181" i="26" s="1"/>
  <c r="E205" i="26"/>
  <c r="D205" i="26"/>
  <c r="O205" i="26" s="1"/>
  <c r="E229" i="26"/>
  <c r="D229" i="26"/>
  <c r="O229" i="26" s="1"/>
  <c r="E276" i="26"/>
  <c r="D276" i="26"/>
  <c r="O276" i="26" s="1"/>
  <c r="D300" i="26"/>
  <c r="O300" i="26" s="1"/>
  <c r="E300" i="26"/>
  <c r="D324" i="26"/>
  <c r="O324" i="26" s="1"/>
  <c r="E324" i="26"/>
  <c r="E348" i="26"/>
  <c r="D348" i="26"/>
  <c r="O348" i="26" s="1"/>
  <c r="E372" i="26"/>
  <c r="D372" i="26"/>
  <c r="O372" i="26" s="1"/>
  <c r="E396" i="26"/>
  <c r="D396" i="26"/>
  <c r="O396" i="26" s="1"/>
  <c r="E420" i="26"/>
  <c r="D420" i="26"/>
  <c r="O420" i="26" s="1"/>
  <c r="E444" i="26"/>
  <c r="D444" i="26"/>
  <c r="O444" i="26" s="1"/>
  <c r="E468" i="26"/>
  <c r="D468" i="26"/>
  <c r="O468" i="26" s="1"/>
  <c r="E492" i="26"/>
  <c r="D492" i="26"/>
  <c r="O492" i="26" s="1"/>
  <c r="E516" i="26"/>
  <c r="D516" i="26"/>
  <c r="O516" i="26" s="1"/>
  <c r="E540" i="26"/>
  <c r="D540" i="26"/>
  <c r="O540" i="26" s="1"/>
  <c r="D564" i="26"/>
  <c r="O564" i="26" s="1"/>
  <c r="E564" i="26"/>
  <c r="E588" i="26"/>
  <c r="D588" i="26"/>
  <c r="O588" i="26" s="1"/>
  <c r="D612" i="26"/>
  <c r="O612" i="26" s="1"/>
  <c r="E612" i="26"/>
  <c r="E636" i="26"/>
  <c r="D636" i="26"/>
  <c r="O636" i="26" s="1"/>
  <c r="E659" i="26"/>
  <c r="D659" i="26"/>
  <c r="O659" i="26" s="1"/>
  <c r="E683" i="26"/>
  <c r="D683" i="26"/>
  <c r="O683" i="26" s="1"/>
  <c r="E707" i="26"/>
  <c r="D707" i="26"/>
  <c r="O707" i="26" s="1"/>
  <c r="E731" i="26"/>
  <c r="D731" i="26"/>
  <c r="O731" i="26" s="1"/>
  <c r="E755" i="26"/>
  <c r="D755" i="26"/>
  <c r="O755" i="26" s="1"/>
  <c r="E779" i="26"/>
  <c r="D779" i="26"/>
  <c r="O779" i="26" s="1"/>
  <c r="E803" i="26"/>
  <c r="D803" i="26"/>
  <c r="O803" i="26" s="1"/>
  <c r="E827" i="26"/>
  <c r="D827" i="26"/>
  <c r="O827" i="26" s="1"/>
  <c r="E851" i="26"/>
  <c r="D851" i="26"/>
  <c r="O851" i="26" s="1"/>
  <c r="E875" i="26"/>
  <c r="D875" i="26"/>
  <c r="O875" i="26" s="1"/>
  <c r="E899" i="26"/>
  <c r="D899" i="26"/>
  <c r="O899" i="26" s="1"/>
  <c r="E923" i="26"/>
  <c r="D923" i="26"/>
  <c r="O923" i="26" s="1"/>
  <c r="E947" i="26"/>
  <c r="D947" i="26"/>
  <c r="O947" i="26" s="1"/>
  <c r="E971" i="26"/>
  <c r="D971" i="26"/>
  <c r="O971" i="26" s="1"/>
  <c r="E995" i="26"/>
  <c r="D995" i="26"/>
  <c r="O995" i="26" s="1"/>
  <c r="E1019" i="26"/>
  <c r="D1019" i="26"/>
  <c r="O1019" i="26" s="1"/>
  <c r="E1043" i="26"/>
  <c r="D1043" i="26"/>
  <c r="O1043" i="26" s="1"/>
  <c r="E1067" i="26"/>
  <c r="D1067" i="26"/>
  <c r="O1067" i="26" s="1"/>
  <c r="E1091" i="26"/>
  <c r="D1091" i="26"/>
  <c r="O1091" i="26" s="1"/>
  <c r="E1115" i="26"/>
  <c r="D1115" i="26"/>
  <c r="O1115" i="26" s="1"/>
  <c r="E1139" i="26"/>
  <c r="D1139" i="26"/>
  <c r="O1139" i="26" s="1"/>
  <c r="E1163" i="26"/>
  <c r="D1163" i="26"/>
  <c r="O1163" i="26" s="1"/>
  <c r="E1187" i="26"/>
  <c r="D1187" i="26"/>
  <c r="O1187" i="26" s="1"/>
  <c r="E1211" i="26"/>
  <c r="D1211" i="26"/>
  <c r="O1211" i="26" s="1"/>
  <c r="E1235" i="26"/>
  <c r="D1235" i="26"/>
  <c r="O1235" i="26" s="1"/>
  <c r="E1259" i="26"/>
  <c r="D1259" i="26"/>
  <c r="O1259" i="26" s="1"/>
  <c r="E1283" i="26"/>
  <c r="D1283" i="26"/>
  <c r="O1283" i="26" s="1"/>
  <c r="E1307" i="26"/>
  <c r="D1307" i="26"/>
  <c r="O1307" i="26" s="1"/>
  <c r="E1331" i="26"/>
  <c r="D1331" i="26"/>
  <c r="O1331" i="26" s="1"/>
  <c r="E1355" i="26"/>
  <c r="D1355" i="26"/>
  <c r="O1355" i="26" s="1"/>
  <c r="E1379" i="26"/>
  <c r="D1379" i="26"/>
  <c r="O1379" i="26" s="1"/>
  <c r="E1403" i="26"/>
  <c r="D1403" i="26"/>
  <c r="O1403" i="26" s="1"/>
  <c r="E1427" i="26"/>
  <c r="D1427" i="26"/>
  <c r="O1427" i="26" s="1"/>
  <c r="E1451" i="26"/>
  <c r="D1451" i="26"/>
  <c r="O1451" i="26" s="1"/>
  <c r="E1475" i="26"/>
  <c r="D1475" i="26"/>
  <c r="O1475" i="26" s="1"/>
  <c r="E1499" i="26"/>
  <c r="D1499" i="26"/>
  <c r="O1499" i="26" s="1"/>
  <c r="E1523" i="26"/>
  <c r="D1523" i="26"/>
  <c r="O1523" i="26" s="1"/>
  <c r="E1547" i="26"/>
  <c r="D1547" i="26"/>
  <c r="O1547" i="26" s="1"/>
  <c r="E1571" i="26"/>
  <c r="D1571" i="26"/>
  <c r="O1571" i="26" s="1"/>
  <c r="E1595" i="26"/>
  <c r="D1595" i="26"/>
  <c r="O1595" i="26" s="1"/>
  <c r="E15" i="26"/>
  <c r="D15" i="26"/>
  <c r="O15" i="26" s="1"/>
  <c r="D39" i="26"/>
  <c r="O39" i="26" s="1"/>
  <c r="E39" i="26"/>
  <c r="E63" i="26"/>
  <c r="D63" i="26"/>
  <c r="O63" i="26" s="1"/>
  <c r="E87" i="26"/>
  <c r="D87" i="26"/>
  <c r="O87" i="26" s="1"/>
  <c r="D111" i="26"/>
  <c r="O111" i="26" s="1"/>
  <c r="E111" i="26"/>
  <c r="E134" i="26"/>
  <c r="D134" i="26"/>
  <c r="O134" i="26" s="1"/>
  <c r="D158" i="26"/>
  <c r="O158" i="26" s="1"/>
  <c r="E158" i="26"/>
  <c r="D182" i="26"/>
  <c r="O182" i="26" s="1"/>
  <c r="E182" i="26"/>
  <c r="E206" i="26"/>
  <c r="D206" i="26"/>
  <c r="O206" i="26" s="1"/>
  <c r="E230" i="26"/>
  <c r="D230" i="26"/>
  <c r="O230" i="26" s="1"/>
  <c r="E277" i="26"/>
  <c r="D277" i="26"/>
  <c r="O277" i="26" s="1"/>
  <c r="D301" i="26"/>
  <c r="O301" i="26" s="1"/>
  <c r="E301" i="26"/>
  <c r="D325" i="26"/>
  <c r="O325" i="26" s="1"/>
  <c r="E325" i="26"/>
  <c r="E349" i="26"/>
  <c r="D349" i="26"/>
  <c r="O349" i="26" s="1"/>
  <c r="D373" i="26"/>
  <c r="O373" i="26" s="1"/>
  <c r="E373" i="26"/>
  <c r="E397" i="26"/>
  <c r="D397" i="26"/>
  <c r="O397" i="26" s="1"/>
  <c r="E421" i="26"/>
  <c r="D421" i="26"/>
  <c r="O421" i="26" s="1"/>
  <c r="E445" i="26"/>
  <c r="D445" i="26"/>
  <c r="O445" i="26" s="1"/>
  <c r="E469" i="26"/>
  <c r="D469" i="26"/>
  <c r="O469" i="26" s="1"/>
  <c r="E493" i="26"/>
  <c r="D493" i="26"/>
  <c r="O493" i="26" s="1"/>
  <c r="E517" i="26"/>
  <c r="D517" i="26"/>
  <c r="O517" i="26" s="1"/>
  <c r="E541" i="26"/>
  <c r="D541" i="26"/>
  <c r="O541" i="26" s="1"/>
  <c r="D565" i="26"/>
  <c r="O565" i="26" s="1"/>
  <c r="E565" i="26"/>
  <c r="E589" i="26"/>
  <c r="D589" i="26"/>
  <c r="O589" i="26" s="1"/>
  <c r="D613" i="26"/>
  <c r="O613" i="26" s="1"/>
  <c r="E613" i="26"/>
  <c r="E637" i="26"/>
  <c r="D637" i="26"/>
  <c r="O637" i="26" s="1"/>
  <c r="E660" i="26"/>
  <c r="D660" i="26"/>
  <c r="O660" i="26" s="1"/>
  <c r="E684" i="26"/>
  <c r="D684" i="26"/>
  <c r="O684" i="26" s="1"/>
  <c r="E708" i="26"/>
  <c r="D708" i="26"/>
  <c r="O708" i="26" s="1"/>
  <c r="E732" i="26"/>
  <c r="D732" i="26"/>
  <c r="O732" i="26" s="1"/>
  <c r="E756" i="26"/>
  <c r="D756" i="26"/>
  <c r="O756" i="26" s="1"/>
  <c r="E780" i="26"/>
  <c r="D780" i="26"/>
  <c r="O780" i="26" s="1"/>
  <c r="E804" i="26"/>
  <c r="D804" i="26"/>
  <c r="O804" i="26" s="1"/>
  <c r="E828" i="26"/>
  <c r="D828" i="26"/>
  <c r="O828" i="26" s="1"/>
  <c r="E852" i="26"/>
  <c r="D852" i="26"/>
  <c r="O852" i="26" s="1"/>
  <c r="E876" i="26"/>
  <c r="D876" i="26"/>
  <c r="O876" i="26" s="1"/>
  <c r="E900" i="26"/>
  <c r="D900" i="26"/>
  <c r="O900" i="26" s="1"/>
  <c r="E924" i="26"/>
  <c r="D924" i="26"/>
  <c r="O924" i="26" s="1"/>
  <c r="E948" i="26"/>
  <c r="D948" i="26"/>
  <c r="O948" i="26" s="1"/>
  <c r="E972" i="26"/>
  <c r="D972" i="26"/>
  <c r="O972" i="26" s="1"/>
  <c r="E996" i="26"/>
  <c r="D996" i="26"/>
  <c r="O996" i="26" s="1"/>
  <c r="E1020" i="26"/>
  <c r="D1020" i="26"/>
  <c r="O1020" i="26" s="1"/>
  <c r="E1044" i="26"/>
  <c r="D1044" i="26"/>
  <c r="O1044" i="26" s="1"/>
  <c r="E1068" i="26"/>
  <c r="D1068" i="26"/>
  <c r="O1068" i="26" s="1"/>
  <c r="E1092" i="26"/>
  <c r="D1092" i="26"/>
  <c r="O1092" i="26" s="1"/>
  <c r="E1116" i="26"/>
  <c r="D1116" i="26"/>
  <c r="O1116" i="26" s="1"/>
  <c r="E1140" i="26"/>
  <c r="D1140" i="26"/>
  <c r="O1140" i="26" s="1"/>
  <c r="E1164" i="26"/>
  <c r="D1164" i="26"/>
  <c r="O1164" i="26" s="1"/>
  <c r="E1188" i="26"/>
  <c r="D1188" i="26"/>
  <c r="O1188" i="26" s="1"/>
  <c r="E1212" i="26"/>
  <c r="D1212" i="26"/>
  <c r="O1212" i="26" s="1"/>
  <c r="E1236" i="26"/>
  <c r="D1236" i="26"/>
  <c r="O1236" i="26" s="1"/>
  <c r="E1260" i="26"/>
  <c r="D1260" i="26"/>
  <c r="O1260" i="26" s="1"/>
  <c r="E1284" i="26"/>
  <c r="D1284" i="26"/>
  <c r="O1284" i="26" s="1"/>
  <c r="E1308" i="26"/>
  <c r="D1308" i="26"/>
  <c r="O1308" i="26" s="1"/>
  <c r="E1332" i="26"/>
  <c r="D1332" i="26"/>
  <c r="O1332" i="26" s="1"/>
  <c r="E1356" i="26"/>
  <c r="D1356" i="26"/>
  <c r="O1356" i="26" s="1"/>
  <c r="E1380" i="26"/>
  <c r="D1380" i="26"/>
  <c r="O1380" i="26" s="1"/>
  <c r="E1404" i="26"/>
  <c r="D1404" i="26"/>
  <c r="O1404" i="26" s="1"/>
  <c r="E1428" i="26"/>
  <c r="D1428" i="26"/>
  <c r="O1428" i="26" s="1"/>
  <c r="E1452" i="26"/>
  <c r="D1452" i="26"/>
  <c r="O1452" i="26" s="1"/>
  <c r="E1476" i="26"/>
  <c r="D1476" i="26"/>
  <c r="O1476" i="26" s="1"/>
  <c r="E1500" i="26"/>
  <c r="D1500" i="26"/>
  <c r="O1500" i="26" s="1"/>
  <c r="E1524" i="26"/>
  <c r="D1524" i="26"/>
  <c r="O1524" i="26" s="1"/>
  <c r="E1548" i="26"/>
  <c r="D1548" i="26"/>
  <c r="O1548" i="26" s="1"/>
  <c r="E1572" i="26"/>
  <c r="D1572" i="26"/>
  <c r="O1572" i="26" s="1"/>
  <c r="E1596" i="26"/>
  <c r="D1596" i="26"/>
  <c r="O1596" i="26" s="1"/>
  <c r="E17" i="26"/>
  <c r="D17" i="26"/>
  <c r="O17" i="26" s="1"/>
  <c r="E41" i="26"/>
  <c r="D41" i="26"/>
  <c r="O41" i="26" s="1"/>
  <c r="E65" i="26"/>
  <c r="D65" i="26"/>
  <c r="O65" i="26" s="1"/>
  <c r="E89" i="26"/>
  <c r="D89" i="26"/>
  <c r="O89" i="26" s="1"/>
  <c r="D113" i="26"/>
  <c r="O113" i="26" s="1"/>
  <c r="E113" i="26"/>
  <c r="E136" i="26"/>
  <c r="D136" i="26"/>
  <c r="O136" i="26" s="1"/>
  <c r="D160" i="26"/>
  <c r="O160" i="26" s="1"/>
  <c r="E160" i="26"/>
  <c r="D184" i="26"/>
  <c r="O184" i="26" s="1"/>
  <c r="E184" i="26"/>
  <c r="E208" i="26"/>
  <c r="D208" i="26"/>
  <c r="O208" i="26" s="1"/>
  <c r="E232" i="26"/>
  <c r="D232" i="26"/>
  <c r="O232" i="26" s="1"/>
  <c r="E256" i="26"/>
  <c r="D256" i="26"/>
  <c r="O256" i="26" s="1"/>
  <c r="E279" i="26"/>
  <c r="D279" i="26"/>
  <c r="O279" i="26" s="1"/>
  <c r="E303" i="26"/>
  <c r="D303" i="26"/>
  <c r="O303" i="26" s="1"/>
  <c r="D327" i="26"/>
  <c r="O327" i="26" s="1"/>
  <c r="E327" i="26"/>
  <c r="E351" i="26"/>
  <c r="D351" i="26"/>
  <c r="O351" i="26" s="1"/>
  <c r="E375" i="26"/>
  <c r="D375" i="26"/>
  <c r="O375" i="26" s="1"/>
  <c r="E399" i="26"/>
  <c r="D399" i="26"/>
  <c r="O399" i="26" s="1"/>
  <c r="O423" i="26"/>
  <c r="E447" i="26"/>
  <c r="D447" i="26"/>
  <c r="O447" i="26" s="1"/>
  <c r="E471" i="26"/>
  <c r="D471" i="26"/>
  <c r="O471" i="26" s="1"/>
  <c r="E495" i="26"/>
  <c r="D495" i="26"/>
  <c r="O495" i="26" s="1"/>
  <c r="E519" i="26"/>
  <c r="D519" i="26"/>
  <c r="O519" i="26" s="1"/>
  <c r="E543" i="26"/>
  <c r="D543" i="26"/>
  <c r="O543" i="26" s="1"/>
  <c r="E567" i="26"/>
  <c r="D567" i="26"/>
  <c r="O567" i="26" s="1"/>
  <c r="D591" i="26"/>
  <c r="O591" i="26" s="1"/>
  <c r="E591" i="26"/>
  <c r="E615" i="26"/>
  <c r="D615" i="26"/>
  <c r="O615" i="26" s="1"/>
  <c r="E639" i="26"/>
  <c r="D639" i="26"/>
  <c r="O639" i="26" s="1"/>
  <c r="E662" i="26"/>
  <c r="D662" i="26"/>
  <c r="O662" i="26" s="1"/>
  <c r="E686" i="26"/>
  <c r="D686" i="26"/>
  <c r="O686" i="26" s="1"/>
  <c r="E710" i="26"/>
  <c r="D710" i="26"/>
  <c r="O710" i="26" s="1"/>
  <c r="E734" i="26"/>
  <c r="D734" i="26"/>
  <c r="O734" i="26" s="1"/>
  <c r="E758" i="26"/>
  <c r="D758" i="26"/>
  <c r="O758" i="26" s="1"/>
  <c r="E782" i="26"/>
  <c r="D782" i="26"/>
  <c r="O782" i="26" s="1"/>
  <c r="E806" i="26"/>
  <c r="D806" i="26"/>
  <c r="O806" i="26" s="1"/>
  <c r="E830" i="26"/>
  <c r="D830" i="26"/>
  <c r="O830" i="26" s="1"/>
  <c r="E854" i="26"/>
  <c r="D854" i="26"/>
  <c r="O854" i="26" s="1"/>
  <c r="E878" i="26"/>
  <c r="D878" i="26"/>
  <c r="O878" i="26" s="1"/>
  <c r="E902" i="26"/>
  <c r="D902" i="26"/>
  <c r="O902" i="26" s="1"/>
  <c r="E926" i="26"/>
  <c r="D926" i="26"/>
  <c r="O926" i="26" s="1"/>
  <c r="E950" i="26"/>
  <c r="D950" i="26"/>
  <c r="O950" i="26" s="1"/>
  <c r="E974" i="26"/>
  <c r="D974" i="26"/>
  <c r="O974" i="26" s="1"/>
  <c r="E998" i="26"/>
  <c r="D998" i="26"/>
  <c r="O998" i="26" s="1"/>
  <c r="E1022" i="26"/>
  <c r="D1022" i="26"/>
  <c r="O1022" i="26" s="1"/>
  <c r="E1046" i="26"/>
  <c r="D1046" i="26"/>
  <c r="O1046" i="26" s="1"/>
  <c r="E1070" i="26"/>
  <c r="D1070" i="26"/>
  <c r="O1070" i="26" s="1"/>
  <c r="E1094" i="26"/>
  <c r="D1094" i="26"/>
  <c r="O1094" i="26" s="1"/>
  <c r="E1118" i="26"/>
  <c r="D1118" i="26"/>
  <c r="O1118" i="26" s="1"/>
  <c r="E1142" i="26"/>
  <c r="D1142" i="26"/>
  <c r="O1142" i="26" s="1"/>
  <c r="E1166" i="26"/>
  <c r="D1166" i="26"/>
  <c r="O1166" i="26" s="1"/>
  <c r="E1190" i="26"/>
  <c r="D1190" i="26"/>
  <c r="O1190" i="26" s="1"/>
  <c r="E1214" i="26"/>
  <c r="D1214" i="26"/>
  <c r="O1214" i="26" s="1"/>
  <c r="E1238" i="26"/>
  <c r="D1238" i="26"/>
  <c r="O1238" i="26" s="1"/>
  <c r="E1262" i="26"/>
  <c r="D1262" i="26"/>
  <c r="O1262" i="26" s="1"/>
  <c r="E1286" i="26"/>
  <c r="D1286" i="26"/>
  <c r="O1286" i="26" s="1"/>
  <c r="E1310" i="26"/>
  <c r="D1310" i="26"/>
  <c r="O1310" i="26" s="1"/>
  <c r="E1334" i="26"/>
  <c r="D1334" i="26"/>
  <c r="O1334" i="26" s="1"/>
  <c r="E1358" i="26"/>
  <c r="D1358" i="26"/>
  <c r="O1358" i="26" s="1"/>
  <c r="E1382" i="26"/>
  <c r="D1382" i="26"/>
  <c r="O1382" i="26" s="1"/>
  <c r="E1406" i="26"/>
  <c r="D1406" i="26"/>
  <c r="O1406" i="26" s="1"/>
  <c r="E1430" i="26"/>
  <c r="D1430" i="26"/>
  <c r="O1430" i="26" s="1"/>
  <c r="E1454" i="26"/>
  <c r="D1454" i="26"/>
  <c r="O1454" i="26" s="1"/>
  <c r="E1478" i="26"/>
  <c r="D1478" i="26"/>
  <c r="O1478" i="26" s="1"/>
  <c r="E1502" i="26"/>
  <c r="D1502" i="26"/>
  <c r="O1502" i="26" s="1"/>
  <c r="E1526" i="26"/>
  <c r="D1526" i="26"/>
  <c r="O1526" i="26" s="1"/>
  <c r="E1550" i="26"/>
  <c r="D1550" i="26"/>
  <c r="O1550" i="26" s="1"/>
  <c r="E1574" i="26"/>
  <c r="D1574" i="26"/>
  <c r="O1574" i="26" s="1"/>
  <c r="E1598" i="26"/>
  <c r="D1598" i="26"/>
  <c r="O1598" i="26" s="1"/>
  <c r="D18" i="26"/>
  <c r="O18" i="26" s="1"/>
  <c r="E18" i="26"/>
  <c r="E42" i="26"/>
  <c r="D42" i="26"/>
  <c r="O42" i="26" s="1"/>
  <c r="E66" i="26"/>
  <c r="D66" i="26"/>
  <c r="O66" i="26" s="1"/>
  <c r="E90" i="26"/>
  <c r="D90" i="26"/>
  <c r="O90" i="26" s="1"/>
  <c r="D114" i="26"/>
  <c r="O114" i="26" s="1"/>
  <c r="E114" i="26"/>
  <c r="D137" i="26"/>
  <c r="O137" i="26" s="1"/>
  <c r="E137" i="26"/>
  <c r="D161" i="26"/>
  <c r="O161" i="26" s="1"/>
  <c r="E161" i="26"/>
  <c r="D185" i="26"/>
  <c r="O185" i="26" s="1"/>
  <c r="E185" i="26"/>
  <c r="E209" i="26"/>
  <c r="D209" i="26"/>
  <c r="O209" i="26" s="1"/>
  <c r="E233" i="26"/>
  <c r="D233" i="26"/>
  <c r="O233" i="26" s="1"/>
  <c r="E257" i="26"/>
  <c r="D257" i="26"/>
  <c r="O257" i="26" s="1"/>
  <c r="E280" i="26"/>
  <c r="D280" i="26"/>
  <c r="O280" i="26" s="1"/>
  <c r="E304" i="26"/>
  <c r="D304" i="26"/>
  <c r="O304" i="26" s="1"/>
  <c r="E328" i="26"/>
  <c r="D328" i="26"/>
  <c r="O328" i="26" s="1"/>
  <c r="E352" i="26"/>
  <c r="D352" i="26"/>
  <c r="O352" i="26" s="1"/>
  <c r="D376" i="26"/>
  <c r="O376" i="26" s="1"/>
  <c r="E376" i="26"/>
  <c r="E400" i="26"/>
  <c r="D400" i="26"/>
  <c r="O400" i="26" s="1"/>
  <c r="E424" i="26"/>
  <c r="D424" i="26"/>
  <c r="O424" i="26" s="1"/>
  <c r="E448" i="26"/>
  <c r="D448" i="26"/>
  <c r="O448" i="26" s="1"/>
  <c r="E472" i="26"/>
  <c r="D472" i="26"/>
  <c r="O472" i="26" s="1"/>
  <c r="E496" i="26"/>
  <c r="D496" i="26"/>
  <c r="O496" i="26" s="1"/>
  <c r="E520" i="26"/>
  <c r="D520" i="26"/>
  <c r="O520" i="26" s="1"/>
  <c r="E544" i="26"/>
  <c r="D544" i="26"/>
  <c r="O544" i="26" s="1"/>
  <c r="E568" i="26"/>
  <c r="D568" i="26"/>
  <c r="O568" i="26" s="1"/>
  <c r="D592" i="26"/>
  <c r="O592" i="26" s="1"/>
  <c r="E592" i="26"/>
  <c r="E616" i="26"/>
  <c r="D616" i="26"/>
  <c r="O616" i="26" s="1"/>
  <c r="E640" i="26"/>
  <c r="D640" i="26"/>
  <c r="O640" i="26" s="1"/>
  <c r="E663" i="26"/>
  <c r="D663" i="26"/>
  <c r="O663" i="26" s="1"/>
  <c r="E687" i="26"/>
  <c r="D687" i="26"/>
  <c r="O687" i="26" s="1"/>
  <c r="E711" i="26"/>
  <c r="D711" i="26"/>
  <c r="O711" i="26" s="1"/>
  <c r="E735" i="26"/>
  <c r="D735" i="26"/>
  <c r="O735" i="26" s="1"/>
  <c r="E759" i="26"/>
  <c r="D759" i="26"/>
  <c r="O759" i="26" s="1"/>
  <c r="E783" i="26"/>
  <c r="D783" i="26"/>
  <c r="O783" i="26" s="1"/>
  <c r="E807" i="26"/>
  <c r="D807" i="26"/>
  <c r="O807" i="26" s="1"/>
  <c r="E831" i="26"/>
  <c r="D831" i="26"/>
  <c r="O831" i="26" s="1"/>
  <c r="E855" i="26"/>
  <c r="D855" i="26"/>
  <c r="O855" i="26" s="1"/>
  <c r="E879" i="26"/>
  <c r="D879" i="26"/>
  <c r="O879" i="26" s="1"/>
  <c r="E903" i="26"/>
  <c r="D903" i="26"/>
  <c r="O903" i="26" s="1"/>
  <c r="E927" i="26"/>
  <c r="D927" i="26"/>
  <c r="O927" i="26" s="1"/>
  <c r="E951" i="26"/>
  <c r="D951" i="26"/>
  <c r="O951" i="26" s="1"/>
  <c r="E975" i="26"/>
  <c r="D975" i="26"/>
  <c r="O975" i="26" s="1"/>
  <c r="E999" i="26"/>
  <c r="D999" i="26"/>
  <c r="O999" i="26" s="1"/>
  <c r="E1023" i="26"/>
  <c r="D1023" i="26"/>
  <c r="O1023" i="26" s="1"/>
  <c r="E1047" i="26"/>
  <c r="D1047" i="26"/>
  <c r="O1047" i="26" s="1"/>
  <c r="E1071" i="26"/>
  <c r="D1071" i="26"/>
  <c r="O1071" i="26" s="1"/>
  <c r="E1095" i="26"/>
  <c r="D1095" i="26"/>
  <c r="O1095" i="26" s="1"/>
  <c r="E1119" i="26"/>
  <c r="D1119" i="26"/>
  <c r="O1119" i="26" s="1"/>
  <c r="E1143" i="26"/>
  <c r="D1143" i="26"/>
  <c r="O1143" i="26" s="1"/>
  <c r="E1167" i="26"/>
  <c r="D1167" i="26"/>
  <c r="O1167" i="26" s="1"/>
  <c r="E1191" i="26"/>
  <c r="D1191" i="26"/>
  <c r="O1191" i="26" s="1"/>
  <c r="E1215" i="26"/>
  <c r="D1215" i="26"/>
  <c r="O1215" i="26" s="1"/>
  <c r="E1239" i="26"/>
  <c r="D1239" i="26"/>
  <c r="O1239" i="26" s="1"/>
  <c r="E1263" i="26"/>
  <c r="D1263" i="26"/>
  <c r="O1263" i="26" s="1"/>
  <c r="E1287" i="26"/>
  <c r="D1287" i="26"/>
  <c r="O1287" i="26" s="1"/>
  <c r="E1311" i="26"/>
  <c r="D1311" i="26"/>
  <c r="O1311" i="26" s="1"/>
  <c r="E1335" i="26"/>
  <c r="D1335" i="26"/>
  <c r="O1335" i="26" s="1"/>
  <c r="E1359" i="26"/>
  <c r="D1359" i="26"/>
  <c r="O1359" i="26" s="1"/>
  <c r="E1383" i="26"/>
  <c r="D1383" i="26"/>
  <c r="O1383" i="26" s="1"/>
  <c r="E1407" i="26"/>
  <c r="D1407" i="26"/>
  <c r="O1407" i="26" s="1"/>
  <c r="E1431" i="26"/>
  <c r="D1431" i="26"/>
  <c r="O1431" i="26" s="1"/>
  <c r="E1455" i="26"/>
  <c r="D1455" i="26"/>
  <c r="O1455" i="26" s="1"/>
  <c r="E1479" i="26"/>
  <c r="D1479" i="26"/>
  <c r="O1479" i="26" s="1"/>
  <c r="E1503" i="26"/>
  <c r="D1503" i="26"/>
  <c r="O1503" i="26" s="1"/>
  <c r="E1527" i="26"/>
  <c r="D1527" i="26"/>
  <c r="O1527" i="26" s="1"/>
  <c r="E1551" i="26"/>
  <c r="D1551" i="26"/>
  <c r="O1551" i="26" s="1"/>
  <c r="E1575" i="26"/>
  <c r="D1575" i="26"/>
  <c r="O1575" i="26" s="1"/>
  <c r="E1599" i="26"/>
  <c r="D1599" i="26"/>
  <c r="O1599" i="26" s="1"/>
  <c r="D19" i="26"/>
  <c r="O19" i="26" s="1"/>
  <c r="E19" i="26"/>
  <c r="D43" i="26"/>
  <c r="O43" i="26" s="1"/>
  <c r="E43" i="26"/>
  <c r="E67" i="26"/>
  <c r="D67" i="26"/>
  <c r="O67" i="26" s="1"/>
  <c r="E91" i="26"/>
  <c r="D91" i="26"/>
  <c r="O91" i="26" s="1"/>
  <c r="E115" i="26"/>
  <c r="D115" i="26"/>
  <c r="O115" i="26" s="1"/>
  <c r="D138" i="26"/>
  <c r="O138" i="26" s="1"/>
  <c r="E138" i="26"/>
  <c r="E162" i="26"/>
  <c r="D162" i="26"/>
  <c r="O162" i="26" s="1"/>
  <c r="D186" i="26"/>
  <c r="O186" i="26" s="1"/>
  <c r="E186" i="26"/>
  <c r="D210" i="26"/>
  <c r="O210" i="26" s="1"/>
  <c r="E210" i="26"/>
  <c r="E234" i="26"/>
  <c r="D234" i="26"/>
  <c r="O234" i="26" s="1"/>
  <c r="E258" i="26"/>
  <c r="D258" i="26"/>
  <c r="O258" i="26" s="1"/>
  <c r="E281" i="26"/>
  <c r="D281" i="26"/>
  <c r="O281" i="26" s="1"/>
  <c r="E305" i="26"/>
  <c r="D305" i="26"/>
  <c r="O305" i="26" s="1"/>
  <c r="D329" i="26"/>
  <c r="O329" i="26" s="1"/>
  <c r="E329" i="26"/>
  <c r="E353" i="26"/>
  <c r="D353" i="26"/>
  <c r="O353" i="26" s="1"/>
  <c r="D377" i="26"/>
  <c r="O377" i="26" s="1"/>
  <c r="E377" i="26"/>
  <c r="E401" i="26"/>
  <c r="D401" i="26"/>
  <c r="O401" i="26" s="1"/>
  <c r="E425" i="26"/>
  <c r="D425" i="26"/>
  <c r="O425" i="26" s="1"/>
  <c r="E449" i="26"/>
  <c r="D449" i="26"/>
  <c r="O449" i="26" s="1"/>
  <c r="E473" i="26"/>
  <c r="D473" i="26"/>
  <c r="O473" i="26" s="1"/>
  <c r="E497" i="26"/>
  <c r="D497" i="26"/>
  <c r="O497" i="26" s="1"/>
  <c r="E521" i="26"/>
  <c r="D521" i="26"/>
  <c r="O521" i="26" s="1"/>
  <c r="E545" i="26"/>
  <c r="D545" i="26"/>
  <c r="O545" i="26" s="1"/>
  <c r="E569" i="26"/>
  <c r="D569" i="26"/>
  <c r="O569" i="26" s="1"/>
  <c r="E593" i="26"/>
  <c r="D593" i="26"/>
  <c r="O593" i="26" s="1"/>
  <c r="E617" i="26"/>
  <c r="D617" i="26"/>
  <c r="O617" i="26" s="1"/>
  <c r="E641" i="26"/>
  <c r="D641" i="26"/>
  <c r="O641" i="26" s="1"/>
  <c r="E664" i="26"/>
  <c r="D664" i="26"/>
  <c r="O664" i="26" s="1"/>
  <c r="E688" i="26"/>
  <c r="D688" i="26"/>
  <c r="O688" i="26" s="1"/>
  <c r="E712" i="26"/>
  <c r="D712" i="26"/>
  <c r="O712" i="26" s="1"/>
  <c r="E736" i="26"/>
  <c r="D736" i="26"/>
  <c r="O736" i="26" s="1"/>
  <c r="E760" i="26"/>
  <c r="D760" i="26"/>
  <c r="O760" i="26" s="1"/>
  <c r="E784" i="26"/>
  <c r="D784" i="26"/>
  <c r="O784" i="26" s="1"/>
  <c r="E808" i="26"/>
  <c r="D808" i="26"/>
  <c r="O808" i="26" s="1"/>
  <c r="E832" i="26"/>
  <c r="D832" i="26"/>
  <c r="O832" i="26" s="1"/>
  <c r="D20" i="26"/>
  <c r="O20" i="26" s="1"/>
  <c r="E20" i="26"/>
  <c r="E44" i="26"/>
  <c r="D44" i="26"/>
  <c r="O44" i="26" s="1"/>
  <c r="D68" i="26"/>
  <c r="O68" i="26" s="1"/>
  <c r="E68" i="26"/>
  <c r="D92" i="26"/>
  <c r="O92" i="26" s="1"/>
  <c r="E92" i="26"/>
  <c r="D116" i="26"/>
  <c r="O116" i="26" s="1"/>
  <c r="E116" i="26"/>
  <c r="E139" i="26"/>
  <c r="D139" i="26"/>
  <c r="O139" i="26" s="1"/>
  <c r="D163" i="26"/>
  <c r="O163" i="26" s="1"/>
  <c r="E163" i="26"/>
  <c r="D187" i="26"/>
  <c r="O187" i="26" s="1"/>
  <c r="E187" i="26"/>
  <c r="D211" i="26"/>
  <c r="O211" i="26" s="1"/>
  <c r="E211" i="26"/>
  <c r="D235" i="26"/>
  <c r="O235" i="26" s="1"/>
  <c r="E235" i="26"/>
  <c r="D259" i="26"/>
  <c r="O259" i="26" s="1"/>
  <c r="E259" i="26"/>
  <c r="D282" i="26"/>
  <c r="O282" i="26" s="1"/>
  <c r="E282" i="26"/>
  <c r="D306" i="26"/>
  <c r="O306" i="26" s="1"/>
  <c r="E306" i="26"/>
  <c r="D330" i="26"/>
  <c r="O330" i="26" s="1"/>
  <c r="E330" i="26"/>
  <c r="D354" i="26"/>
  <c r="O354" i="26" s="1"/>
  <c r="E354" i="26"/>
  <c r="D378" i="26"/>
  <c r="O378" i="26" s="1"/>
  <c r="E378" i="26"/>
  <c r="D402" i="26"/>
  <c r="O402" i="26" s="1"/>
  <c r="E402" i="26"/>
  <c r="D426" i="26"/>
  <c r="O426" i="26" s="1"/>
  <c r="E426" i="26"/>
  <c r="E450" i="26"/>
  <c r="D450" i="26"/>
  <c r="O450" i="26" s="1"/>
  <c r="D474" i="26"/>
  <c r="O474" i="26" s="1"/>
  <c r="E474" i="26"/>
  <c r="D498" i="26"/>
  <c r="O498" i="26" s="1"/>
  <c r="E498" i="26"/>
  <c r="D522" i="26"/>
  <c r="O522" i="26" s="1"/>
  <c r="E522" i="26"/>
  <c r="D546" i="26"/>
  <c r="O546" i="26" s="1"/>
  <c r="E546" i="26"/>
  <c r="D570" i="26"/>
  <c r="O570" i="26" s="1"/>
  <c r="E570" i="26"/>
  <c r="D594" i="26"/>
  <c r="O594" i="26" s="1"/>
  <c r="E594" i="26"/>
  <c r="D618" i="26"/>
  <c r="O618" i="26" s="1"/>
  <c r="E618" i="26"/>
  <c r="E642" i="26"/>
  <c r="D642" i="26"/>
  <c r="O642" i="26" s="1"/>
  <c r="E665" i="26"/>
  <c r="D665" i="26"/>
  <c r="O665" i="26" s="1"/>
  <c r="D689" i="26"/>
  <c r="O689" i="26" s="1"/>
  <c r="E689" i="26"/>
  <c r="D713" i="26"/>
  <c r="O713" i="26" s="1"/>
  <c r="E713" i="26"/>
  <c r="D737" i="26"/>
  <c r="O737" i="26" s="1"/>
  <c r="E737" i="26"/>
  <c r="E761" i="26"/>
  <c r="D761" i="26"/>
  <c r="O761" i="26" s="1"/>
  <c r="D785" i="26"/>
  <c r="O785" i="26" s="1"/>
  <c r="E785" i="26"/>
  <c r="D809" i="26"/>
  <c r="O809" i="26" s="1"/>
  <c r="E809" i="26"/>
  <c r="E833" i="26"/>
  <c r="D833" i="26"/>
  <c r="O833" i="26" s="1"/>
  <c r="E857" i="26"/>
  <c r="D857" i="26"/>
  <c r="O857" i="26" s="1"/>
  <c r="D881" i="26"/>
  <c r="O881" i="26" s="1"/>
  <c r="E881" i="26"/>
  <c r="D905" i="26"/>
  <c r="O905" i="26" s="1"/>
  <c r="E905" i="26"/>
  <c r="E929" i="26"/>
  <c r="D929" i="26"/>
  <c r="O929" i="26" s="1"/>
  <c r="E953" i="26"/>
  <c r="D953" i="26"/>
  <c r="O953" i="26" s="1"/>
  <c r="E977" i="26"/>
  <c r="D977" i="26"/>
  <c r="O977" i="26" s="1"/>
  <c r="E1001" i="26"/>
  <c r="D1001" i="26"/>
  <c r="O1001" i="26" s="1"/>
  <c r="E1025" i="26"/>
  <c r="D1025" i="26"/>
  <c r="O1025" i="26" s="1"/>
  <c r="E1049" i="26"/>
  <c r="D1049" i="26"/>
  <c r="O1049" i="26" s="1"/>
  <c r="E1073" i="26"/>
  <c r="D1073" i="26"/>
  <c r="O1073" i="26" s="1"/>
  <c r="E1097" i="26"/>
  <c r="D1097" i="26"/>
  <c r="O1097" i="26" s="1"/>
  <c r="E1121" i="26"/>
  <c r="D1121" i="26"/>
  <c r="O1121" i="26" s="1"/>
  <c r="E1145" i="26"/>
  <c r="D1145" i="26"/>
  <c r="O1145" i="26" s="1"/>
  <c r="E1169" i="26"/>
  <c r="D1169" i="26"/>
  <c r="O1169" i="26" s="1"/>
  <c r="E1193" i="26"/>
  <c r="D1193" i="26"/>
  <c r="O1193" i="26" s="1"/>
  <c r="E1217" i="26"/>
  <c r="D1217" i="26"/>
  <c r="O1217" i="26" s="1"/>
  <c r="E1241" i="26"/>
  <c r="D1241" i="26"/>
  <c r="O1241" i="26" s="1"/>
  <c r="E1265" i="26"/>
  <c r="D1265" i="26"/>
  <c r="O1265" i="26" s="1"/>
  <c r="E1289" i="26"/>
  <c r="D1289" i="26"/>
  <c r="O1289" i="26" s="1"/>
  <c r="E1313" i="26"/>
  <c r="D1313" i="26"/>
  <c r="O1313" i="26" s="1"/>
  <c r="E1337" i="26"/>
  <c r="D1337" i="26"/>
  <c r="O1337" i="26" s="1"/>
  <c r="E1361" i="26"/>
  <c r="D1361" i="26"/>
  <c r="O1361" i="26" s="1"/>
  <c r="E1385" i="26"/>
  <c r="D1385" i="26"/>
  <c r="O1385" i="26" s="1"/>
  <c r="E1409" i="26"/>
  <c r="D1409" i="26"/>
  <c r="O1409" i="26" s="1"/>
  <c r="E1433" i="26"/>
  <c r="D1433" i="26"/>
  <c r="O1433" i="26" s="1"/>
  <c r="E1457" i="26"/>
  <c r="D1457" i="26"/>
  <c r="O1457" i="26" s="1"/>
  <c r="E1481" i="26"/>
  <c r="D1481" i="26"/>
  <c r="O1481" i="26" s="1"/>
  <c r="E1505" i="26"/>
  <c r="D1505" i="26"/>
  <c r="O1505" i="26" s="1"/>
  <c r="E1529" i="26"/>
  <c r="D1529" i="26"/>
  <c r="O1529" i="26" s="1"/>
  <c r="E1553" i="26"/>
  <c r="D1553" i="26"/>
  <c r="O1553" i="26" s="1"/>
  <c r="E1577" i="26"/>
  <c r="D1577" i="26"/>
  <c r="O1577" i="26" s="1"/>
  <c r="E1601" i="26"/>
  <c r="D1601" i="26"/>
  <c r="O1601" i="26" s="1"/>
  <c r="D21" i="26"/>
  <c r="O21" i="26" s="1"/>
  <c r="E21" i="26"/>
  <c r="D45" i="26"/>
  <c r="O45" i="26" s="1"/>
  <c r="E45" i="26"/>
  <c r="E69" i="26"/>
  <c r="D69" i="26"/>
  <c r="O69" i="26" s="1"/>
  <c r="E93" i="26"/>
  <c r="D93" i="26"/>
  <c r="O93" i="26" s="1"/>
  <c r="E117" i="26"/>
  <c r="D117" i="26"/>
  <c r="O117" i="26" s="1"/>
  <c r="D140" i="26"/>
  <c r="O140" i="26" s="1"/>
  <c r="E140" i="26"/>
  <c r="E164" i="26"/>
  <c r="D164" i="26"/>
  <c r="O164" i="26" s="1"/>
  <c r="D188" i="26"/>
  <c r="O188" i="26" s="1"/>
  <c r="E188" i="26"/>
  <c r="D212" i="26"/>
  <c r="O212" i="26" s="1"/>
  <c r="E212" i="26"/>
  <c r="E236" i="26"/>
  <c r="D236" i="26"/>
  <c r="O236" i="26" s="1"/>
  <c r="E260" i="26"/>
  <c r="D260" i="26"/>
  <c r="O260" i="26" s="1"/>
  <c r="E283" i="26"/>
  <c r="D283" i="26"/>
  <c r="O283" i="26" s="1"/>
  <c r="E307" i="26"/>
  <c r="D307" i="26"/>
  <c r="O307" i="26" s="1"/>
  <c r="D331" i="26"/>
  <c r="O331" i="26" s="1"/>
  <c r="E331" i="26"/>
  <c r="E355" i="26"/>
  <c r="D355" i="26"/>
  <c r="O355" i="26" s="1"/>
  <c r="D379" i="26"/>
  <c r="O379" i="26" s="1"/>
  <c r="E379" i="26"/>
  <c r="D403" i="26"/>
  <c r="O403" i="26" s="1"/>
  <c r="E403" i="26"/>
  <c r="E427" i="26"/>
  <c r="D427" i="26"/>
  <c r="O427" i="26" s="1"/>
  <c r="E451" i="26"/>
  <c r="D451" i="26"/>
  <c r="O451" i="26" s="1"/>
  <c r="E475" i="26"/>
  <c r="D475" i="26"/>
  <c r="O475" i="26" s="1"/>
  <c r="E499" i="26"/>
  <c r="D499" i="26"/>
  <c r="O499" i="26" s="1"/>
  <c r="E523" i="26"/>
  <c r="D523" i="26"/>
  <c r="O523" i="26" s="1"/>
  <c r="E547" i="26"/>
  <c r="D547" i="26"/>
  <c r="O547" i="26" s="1"/>
  <c r="E571" i="26"/>
  <c r="D571" i="26"/>
  <c r="O571" i="26" s="1"/>
  <c r="E595" i="26"/>
  <c r="D595" i="26"/>
  <c r="O595" i="26" s="1"/>
  <c r="E619" i="26"/>
  <c r="D619" i="26"/>
  <c r="O619" i="26" s="1"/>
  <c r="E643" i="26"/>
  <c r="D643" i="26"/>
  <c r="O643" i="26" s="1"/>
  <c r="E666" i="26"/>
  <c r="D666" i="26"/>
  <c r="O666" i="26" s="1"/>
  <c r="E690" i="26"/>
  <c r="D690" i="26"/>
  <c r="O690" i="26" s="1"/>
  <c r="E714" i="26"/>
  <c r="D714" i="26"/>
  <c r="O714" i="26" s="1"/>
  <c r="E738" i="26"/>
  <c r="D738" i="26"/>
  <c r="O738" i="26" s="1"/>
  <c r="E762" i="26"/>
  <c r="D762" i="26"/>
  <c r="O762" i="26" s="1"/>
  <c r="E786" i="26"/>
  <c r="D786" i="26"/>
  <c r="O786" i="26" s="1"/>
  <c r="E810" i="26"/>
  <c r="D810" i="26"/>
  <c r="O810" i="26" s="1"/>
  <c r="E834" i="26"/>
  <c r="D834" i="26"/>
  <c r="O834" i="26" s="1"/>
  <c r="E858" i="26"/>
  <c r="D858" i="26"/>
  <c r="O858" i="26" s="1"/>
  <c r="E882" i="26"/>
  <c r="D882" i="26"/>
  <c r="O882" i="26" s="1"/>
  <c r="E906" i="26"/>
  <c r="D906" i="26"/>
  <c r="O906" i="26" s="1"/>
  <c r="E930" i="26"/>
  <c r="D930" i="26"/>
  <c r="O930" i="26" s="1"/>
  <c r="E954" i="26"/>
  <c r="D954" i="26"/>
  <c r="O954" i="26" s="1"/>
  <c r="E978" i="26"/>
  <c r="D978" i="26"/>
  <c r="O978" i="26" s="1"/>
  <c r="E1002" i="26"/>
  <c r="D1002" i="26"/>
  <c r="O1002" i="26" s="1"/>
  <c r="E1026" i="26"/>
  <c r="D1026" i="26"/>
  <c r="O1026" i="26" s="1"/>
  <c r="E1050" i="26"/>
  <c r="D1050" i="26"/>
  <c r="O1050" i="26" s="1"/>
  <c r="E1074" i="26"/>
  <c r="D1074" i="26"/>
  <c r="O1074" i="26" s="1"/>
  <c r="E1098" i="26"/>
  <c r="D1098" i="26"/>
  <c r="O1098" i="26" s="1"/>
  <c r="E1122" i="26"/>
  <c r="D1122" i="26"/>
  <c r="O1122" i="26" s="1"/>
  <c r="E1146" i="26"/>
  <c r="D1146" i="26"/>
  <c r="O1146" i="26" s="1"/>
  <c r="E1170" i="26"/>
  <c r="D1170" i="26"/>
  <c r="O1170" i="26" s="1"/>
  <c r="E1194" i="26"/>
  <c r="D1194" i="26"/>
  <c r="O1194" i="26" s="1"/>
  <c r="E1218" i="26"/>
  <c r="D1218" i="26"/>
  <c r="O1218" i="26" s="1"/>
  <c r="E1242" i="26"/>
  <c r="D1242" i="26"/>
  <c r="O1242" i="26" s="1"/>
  <c r="E1266" i="26"/>
  <c r="D1266" i="26"/>
  <c r="O1266" i="26" s="1"/>
  <c r="E1290" i="26"/>
  <c r="D1290" i="26"/>
  <c r="O1290" i="26" s="1"/>
  <c r="E1314" i="26"/>
  <c r="D1314" i="26"/>
  <c r="O1314" i="26" s="1"/>
  <c r="E1338" i="26"/>
  <c r="D1338" i="26"/>
  <c r="O1338" i="26" s="1"/>
  <c r="E1362" i="26"/>
  <c r="D1362" i="26"/>
  <c r="O1362" i="26" s="1"/>
  <c r="E1386" i="26"/>
  <c r="D1386" i="26"/>
  <c r="O1386" i="26" s="1"/>
  <c r="E1410" i="26"/>
  <c r="D1410" i="26"/>
  <c r="O1410" i="26" s="1"/>
  <c r="E1434" i="26"/>
  <c r="D1434" i="26"/>
  <c r="O1434" i="26" s="1"/>
  <c r="E1458" i="26"/>
  <c r="D1458" i="26"/>
  <c r="O1458" i="26" s="1"/>
  <c r="E1482" i="26"/>
  <c r="D1482" i="26"/>
  <c r="O1482" i="26" s="1"/>
  <c r="E1506" i="26"/>
  <c r="D1506" i="26"/>
  <c r="O1506" i="26" s="1"/>
  <c r="E1530" i="26"/>
  <c r="D1530" i="26"/>
  <c r="O1530" i="26" s="1"/>
  <c r="E1554" i="26"/>
  <c r="D1554" i="26"/>
  <c r="O1554" i="26" s="1"/>
  <c r="E1578" i="26"/>
  <c r="D1578" i="26"/>
  <c r="O1578" i="26" s="1"/>
  <c r="E1602" i="26"/>
  <c r="D1602" i="26"/>
  <c r="O1602" i="26" s="1"/>
  <c r="D22" i="26"/>
  <c r="O22" i="26" s="1"/>
  <c r="E22" i="26"/>
  <c r="D46" i="26"/>
  <c r="O46" i="26" s="1"/>
  <c r="E46" i="26"/>
  <c r="E70" i="26"/>
  <c r="D70" i="26"/>
  <c r="O70" i="26" s="1"/>
  <c r="E94" i="26"/>
  <c r="D94" i="26"/>
  <c r="O94" i="26" s="1"/>
  <c r="E118" i="26"/>
  <c r="D118" i="26"/>
  <c r="O118" i="26" s="1"/>
  <c r="E141" i="26"/>
  <c r="D141" i="26"/>
  <c r="O141" i="26" s="1"/>
  <c r="E165" i="26"/>
  <c r="D165" i="26"/>
  <c r="O165" i="26" s="1"/>
  <c r="E189" i="26"/>
  <c r="D189" i="26"/>
  <c r="O189" i="26" s="1"/>
  <c r="D213" i="26"/>
  <c r="O213" i="26" s="1"/>
  <c r="E213" i="26"/>
  <c r="D237" i="26"/>
  <c r="O237" i="26" s="1"/>
  <c r="E237" i="26"/>
  <c r="E261" i="26"/>
  <c r="D261" i="26"/>
  <c r="O261" i="26" s="1"/>
  <c r="E284" i="26"/>
  <c r="D284" i="26"/>
  <c r="O284" i="26" s="1"/>
  <c r="E308" i="26"/>
  <c r="D308" i="26"/>
  <c r="O308" i="26" s="1"/>
  <c r="E332" i="26"/>
  <c r="D332" i="26"/>
  <c r="O332" i="26" s="1"/>
  <c r="E356" i="26"/>
  <c r="D356" i="26"/>
  <c r="O356" i="26" s="1"/>
  <c r="E380" i="26"/>
  <c r="D380" i="26"/>
  <c r="O380" i="26" s="1"/>
  <c r="D404" i="26"/>
  <c r="O404" i="26" s="1"/>
  <c r="E404" i="26"/>
  <c r="E428" i="26"/>
  <c r="D428" i="26"/>
  <c r="O428" i="26" s="1"/>
  <c r="E452" i="26"/>
  <c r="D452" i="26"/>
  <c r="O452" i="26" s="1"/>
  <c r="E476" i="26"/>
  <c r="D476" i="26"/>
  <c r="O476" i="26" s="1"/>
  <c r="E500" i="26"/>
  <c r="D500" i="26"/>
  <c r="O500" i="26" s="1"/>
  <c r="E524" i="26"/>
  <c r="D524" i="26"/>
  <c r="O524" i="26" s="1"/>
  <c r="E548" i="26"/>
  <c r="D548" i="26"/>
  <c r="O548" i="26" s="1"/>
  <c r="E572" i="26"/>
  <c r="D572" i="26"/>
  <c r="O572" i="26" s="1"/>
  <c r="E596" i="26"/>
  <c r="D596" i="26"/>
  <c r="O596" i="26" s="1"/>
  <c r="E620" i="26"/>
  <c r="D620" i="26"/>
  <c r="O620" i="26" s="1"/>
  <c r="E644" i="26"/>
  <c r="D644" i="26"/>
  <c r="O644" i="26" s="1"/>
  <c r="E667" i="26"/>
  <c r="D667" i="26"/>
  <c r="O667" i="26" s="1"/>
  <c r="E691" i="26"/>
  <c r="D691" i="26"/>
  <c r="O691" i="26" s="1"/>
  <c r="E715" i="26"/>
  <c r="D715" i="26"/>
  <c r="O715" i="26" s="1"/>
  <c r="E739" i="26"/>
  <c r="D739" i="26"/>
  <c r="O739" i="26" s="1"/>
  <c r="E763" i="26"/>
  <c r="D763" i="26"/>
  <c r="O763" i="26" s="1"/>
  <c r="E787" i="26"/>
  <c r="D787" i="26"/>
  <c r="O787" i="26" s="1"/>
  <c r="E811" i="26"/>
  <c r="D811" i="26"/>
  <c r="O811" i="26" s="1"/>
  <c r="E835" i="26"/>
  <c r="D835" i="26"/>
  <c r="O835" i="26" s="1"/>
  <c r="E859" i="26"/>
  <c r="D859" i="26"/>
  <c r="O859" i="26" s="1"/>
  <c r="E883" i="26"/>
  <c r="D883" i="26"/>
  <c r="O883" i="26" s="1"/>
  <c r="E907" i="26"/>
  <c r="D907" i="26"/>
  <c r="O907" i="26" s="1"/>
  <c r="E931" i="26"/>
  <c r="D931" i="26"/>
  <c r="O931" i="26" s="1"/>
  <c r="E955" i="26"/>
  <c r="D955" i="26"/>
  <c r="O955" i="26" s="1"/>
  <c r="E979" i="26"/>
  <c r="D979" i="26"/>
  <c r="O979" i="26" s="1"/>
  <c r="E1003" i="26"/>
  <c r="D1003" i="26"/>
  <c r="O1003" i="26" s="1"/>
  <c r="E1027" i="26"/>
  <c r="D1027" i="26"/>
  <c r="O1027" i="26" s="1"/>
  <c r="E1051" i="26"/>
  <c r="D1051" i="26"/>
  <c r="O1051" i="26" s="1"/>
  <c r="E1075" i="26"/>
  <c r="D1075" i="26"/>
  <c r="O1075" i="26" s="1"/>
  <c r="E1099" i="26"/>
  <c r="D1099" i="26"/>
  <c r="O1099" i="26" s="1"/>
  <c r="E1123" i="26"/>
  <c r="D1123" i="26"/>
  <c r="O1123" i="26" s="1"/>
  <c r="E1147" i="26"/>
  <c r="D1147" i="26"/>
  <c r="O1147" i="26" s="1"/>
  <c r="E1171" i="26"/>
  <c r="D1171" i="26"/>
  <c r="O1171" i="26" s="1"/>
  <c r="E1195" i="26"/>
  <c r="D1195" i="26"/>
  <c r="O1195" i="26" s="1"/>
  <c r="E1219" i="26"/>
  <c r="D1219" i="26"/>
  <c r="O1219" i="26" s="1"/>
  <c r="E1243" i="26"/>
  <c r="D1243" i="26"/>
  <c r="O1243" i="26" s="1"/>
  <c r="E1267" i="26"/>
  <c r="D1267" i="26"/>
  <c r="O1267" i="26" s="1"/>
  <c r="E1291" i="26"/>
  <c r="D1291" i="26"/>
  <c r="O1291" i="26" s="1"/>
  <c r="E1315" i="26"/>
  <c r="D1315" i="26"/>
  <c r="O1315" i="26" s="1"/>
  <c r="E1339" i="26"/>
  <c r="D1339" i="26"/>
  <c r="O1339" i="26" s="1"/>
  <c r="E1363" i="26"/>
  <c r="D1363" i="26"/>
  <c r="O1363" i="26" s="1"/>
  <c r="E1387" i="26"/>
  <c r="D1387" i="26"/>
  <c r="O1387" i="26" s="1"/>
  <c r="E1411" i="26"/>
  <c r="D1411" i="26"/>
  <c r="O1411" i="26" s="1"/>
  <c r="E1435" i="26"/>
  <c r="D1435" i="26"/>
  <c r="O1435" i="26" s="1"/>
  <c r="E1459" i="26"/>
  <c r="D1459" i="26"/>
  <c r="O1459" i="26" s="1"/>
  <c r="E1483" i="26"/>
  <c r="D1483" i="26"/>
  <c r="O1483" i="26" s="1"/>
  <c r="E1507" i="26"/>
  <c r="D1507" i="26"/>
  <c r="O1507" i="26" s="1"/>
  <c r="E1531" i="26"/>
  <c r="D1531" i="26"/>
  <c r="O1531" i="26" s="1"/>
  <c r="E1555" i="26"/>
  <c r="D1555" i="26"/>
  <c r="O1555" i="26" s="1"/>
  <c r="E1579" i="26"/>
  <c r="D1579" i="26"/>
  <c r="O1579" i="26" s="1"/>
  <c r="E1603" i="26"/>
  <c r="D1603" i="26"/>
  <c r="O1603" i="26" s="1"/>
  <c r="D16" i="26"/>
  <c r="O16" i="26" s="1"/>
  <c r="E16" i="26"/>
  <c r="E64" i="26"/>
  <c r="D64" i="26"/>
  <c r="O64" i="26" s="1"/>
  <c r="E88" i="26"/>
  <c r="D88" i="26"/>
  <c r="O88" i="26" s="1"/>
  <c r="D112" i="26"/>
  <c r="O112" i="26" s="1"/>
  <c r="E112" i="26"/>
  <c r="E135" i="26"/>
  <c r="D135" i="26"/>
  <c r="O135" i="26" s="1"/>
  <c r="D159" i="26"/>
  <c r="O159" i="26" s="1"/>
  <c r="E159" i="26"/>
  <c r="D183" i="26"/>
  <c r="O183" i="26" s="1"/>
  <c r="E183" i="26"/>
  <c r="E255" i="26"/>
  <c r="D255" i="26"/>
  <c r="O255" i="26" s="1"/>
  <c r="E278" i="26"/>
  <c r="D278" i="26"/>
  <c r="O278" i="26" s="1"/>
  <c r="E302" i="26"/>
  <c r="D302" i="26"/>
  <c r="O302" i="26" s="1"/>
  <c r="D326" i="26"/>
  <c r="O326" i="26" s="1"/>
  <c r="E326" i="26"/>
  <c r="E350" i="26"/>
  <c r="D350" i="26"/>
  <c r="O350" i="26" s="1"/>
  <c r="E374" i="26"/>
  <c r="D374" i="26"/>
  <c r="O374" i="26" s="1"/>
  <c r="D470" i="26"/>
  <c r="O470" i="26" s="1"/>
  <c r="E470" i="26"/>
  <c r="D566" i="26"/>
  <c r="O566" i="26" s="1"/>
  <c r="E566" i="26"/>
  <c r="D590" i="26"/>
  <c r="O590" i="26" s="1"/>
  <c r="E590" i="26"/>
  <c r="E614" i="26"/>
  <c r="D614" i="26"/>
  <c r="O614" i="26" s="1"/>
  <c r="E638" i="26"/>
  <c r="D638" i="26"/>
  <c r="O638" i="26" s="1"/>
  <c r="E661" i="26"/>
  <c r="D661" i="26"/>
  <c r="O661" i="26" s="1"/>
  <c r="E877" i="26"/>
  <c r="D877" i="26"/>
  <c r="O877" i="26" s="1"/>
  <c r="E901" i="26"/>
  <c r="D901" i="26"/>
  <c r="O901" i="26" s="1"/>
  <c r="E925" i="26"/>
  <c r="D925" i="26"/>
  <c r="O925" i="26" s="1"/>
  <c r="E949" i="26"/>
  <c r="D949" i="26"/>
  <c r="O949" i="26" s="1"/>
  <c r="E973" i="26"/>
  <c r="D973" i="26"/>
  <c r="O973" i="26" s="1"/>
  <c r="E997" i="26"/>
  <c r="D997" i="26"/>
  <c r="O997" i="26" s="1"/>
  <c r="D1021" i="26"/>
  <c r="O1021" i="26" s="1"/>
  <c r="E1021" i="26"/>
  <c r="E1045" i="26"/>
  <c r="D1045" i="26"/>
  <c r="O1045" i="26" s="1"/>
  <c r="D1948" i="26"/>
  <c r="O1948" i="26" s="1"/>
  <c r="D1924" i="26"/>
  <c r="O1924" i="26" s="1"/>
  <c r="D1900" i="26"/>
  <c r="O1900" i="26" s="1"/>
  <c r="D1876" i="26"/>
  <c r="O1876" i="26" s="1"/>
  <c r="D1852" i="26"/>
  <c r="O1852" i="26" s="1"/>
  <c r="D1828" i="26"/>
  <c r="O1828" i="26" s="1"/>
  <c r="D1804" i="26"/>
  <c r="O1804" i="26" s="1"/>
  <c r="D1780" i="26"/>
  <c r="O1780" i="26" s="1"/>
  <c r="D1756" i="26"/>
  <c r="O1756" i="26" s="1"/>
  <c r="D1732" i="26"/>
  <c r="O1732" i="26" s="1"/>
  <c r="D1708" i="26"/>
  <c r="O1708" i="26" s="1"/>
  <c r="D1683" i="26"/>
  <c r="O1683" i="26" s="1"/>
  <c r="D1658" i="26"/>
  <c r="O1658" i="26" s="1"/>
  <c r="D1633" i="26"/>
  <c r="O1633" i="26" s="1"/>
  <c r="D1608" i="26"/>
  <c r="O1608" i="26" s="1"/>
  <c r="D1558" i="26"/>
  <c r="O1558" i="26" s="1"/>
  <c r="D1533" i="26"/>
  <c r="O1533" i="26" s="1"/>
  <c r="D1508" i="26"/>
  <c r="O1508" i="26" s="1"/>
  <c r="D1357" i="26"/>
  <c r="O1357" i="26" s="1"/>
  <c r="D1207" i="26"/>
  <c r="O1207" i="26" s="1"/>
  <c r="D838" i="26"/>
  <c r="O838" i="26" s="1"/>
  <c r="D647" i="26"/>
  <c r="O647" i="26" s="1"/>
  <c r="D503" i="26"/>
  <c r="O503" i="26" s="1"/>
  <c r="D71" i="26"/>
  <c r="O71" i="26" s="1"/>
  <c r="D1971" i="26"/>
  <c r="O1971" i="26" s="1"/>
  <c r="D1947" i="26"/>
  <c r="O1947" i="26" s="1"/>
  <c r="D1923" i="26"/>
  <c r="O1923" i="26" s="1"/>
  <c r="D1899" i="26"/>
  <c r="O1899" i="26" s="1"/>
  <c r="D1875" i="26"/>
  <c r="O1875" i="26" s="1"/>
  <c r="D1851" i="26"/>
  <c r="O1851" i="26" s="1"/>
  <c r="D1827" i="26"/>
  <c r="O1827" i="26" s="1"/>
  <c r="D1803" i="26"/>
  <c r="O1803" i="26" s="1"/>
  <c r="D1779" i="26"/>
  <c r="O1779" i="26" s="1"/>
  <c r="D1755" i="26"/>
  <c r="O1755" i="26" s="1"/>
  <c r="D1731" i="26"/>
  <c r="O1731" i="26" s="1"/>
  <c r="D1707" i="26"/>
  <c r="O1707" i="26" s="1"/>
  <c r="D1682" i="26"/>
  <c r="O1682" i="26" s="1"/>
  <c r="D1657" i="26"/>
  <c r="O1657" i="26" s="1"/>
  <c r="D1632" i="26"/>
  <c r="O1632" i="26" s="1"/>
  <c r="D1607" i="26"/>
  <c r="O1607" i="26" s="1"/>
  <c r="D1582" i="26"/>
  <c r="O1582" i="26" s="1"/>
  <c r="D1557" i="26"/>
  <c r="O1557" i="26" s="1"/>
  <c r="D1532" i="26"/>
  <c r="O1532" i="26" s="1"/>
  <c r="D1381" i="26"/>
  <c r="O1381" i="26" s="1"/>
  <c r="D1231" i="26"/>
  <c r="O1231" i="26" s="1"/>
  <c r="D1030" i="26"/>
  <c r="O1030" i="26" s="1"/>
  <c r="D1004" i="26"/>
  <c r="O1004" i="26" s="1"/>
  <c r="D502" i="26"/>
  <c r="O502" i="26" s="1"/>
  <c r="D207" i="26"/>
  <c r="O207" i="26" s="1"/>
  <c r="D1970" i="26"/>
  <c r="O1970" i="26" s="1"/>
  <c r="D1946" i="26"/>
  <c r="O1946" i="26" s="1"/>
  <c r="D1922" i="26"/>
  <c r="O1922" i="26" s="1"/>
  <c r="D1898" i="26"/>
  <c r="O1898" i="26" s="1"/>
  <c r="D1874" i="26"/>
  <c r="O1874" i="26" s="1"/>
  <c r="D1850" i="26"/>
  <c r="O1850" i="26" s="1"/>
  <c r="D1826" i="26"/>
  <c r="O1826" i="26" s="1"/>
  <c r="D1802" i="26"/>
  <c r="O1802" i="26" s="1"/>
  <c r="D1778" i="26"/>
  <c r="O1778" i="26" s="1"/>
  <c r="D1754" i="26"/>
  <c r="O1754" i="26" s="1"/>
  <c r="D1730" i="26"/>
  <c r="O1730" i="26" s="1"/>
  <c r="D1706" i="26"/>
  <c r="O1706" i="26" s="1"/>
  <c r="D1681" i="26"/>
  <c r="O1681" i="26" s="1"/>
  <c r="D1656" i="26"/>
  <c r="O1656" i="26" s="1"/>
  <c r="D1631" i="26"/>
  <c r="O1631" i="26" s="1"/>
  <c r="D1606" i="26"/>
  <c r="O1606" i="26" s="1"/>
  <c r="D1581" i="26"/>
  <c r="O1581" i="26" s="1"/>
  <c r="D1556" i="26"/>
  <c r="O1556" i="26" s="1"/>
  <c r="D1405" i="26"/>
  <c r="O1405" i="26" s="1"/>
  <c r="D1255" i="26"/>
  <c r="O1255" i="26" s="1"/>
  <c r="D943" i="26"/>
  <c r="O943" i="26" s="1"/>
  <c r="D910" i="26"/>
  <c r="O910" i="26" s="1"/>
  <c r="D836" i="26"/>
  <c r="O836" i="26" s="1"/>
  <c r="D757" i="26"/>
  <c r="O757" i="26" s="1"/>
  <c r="D679" i="26"/>
  <c r="O679" i="26" s="1"/>
  <c r="D645" i="26"/>
  <c r="O645" i="26" s="1"/>
  <c r="D599" i="26"/>
  <c r="O599" i="26" s="1"/>
  <c r="D551" i="26"/>
  <c r="O551" i="26" s="1"/>
  <c r="O501" i="26"/>
  <c r="D311" i="26"/>
  <c r="O311" i="26" s="1"/>
  <c r="E928" i="26"/>
  <c r="D928" i="26"/>
  <c r="O928" i="26" s="1"/>
  <c r="E952" i="26"/>
  <c r="D952" i="26"/>
  <c r="O952" i="26" s="1"/>
  <c r="E976" i="26"/>
  <c r="D976" i="26"/>
  <c r="O976" i="26" s="1"/>
  <c r="E1000" i="26"/>
  <c r="D1000" i="26"/>
  <c r="O1000" i="26" s="1"/>
  <c r="E1024" i="26"/>
  <c r="D1024" i="26"/>
  <c r="O1024" i="26" s="1"/>
  <c r="E1048" i="26"/>
  <c r="D1048" i="26"/>
  <c r="O1048" i="26" s="1"/>
  <c r="E1072" i="26"/>
  <c r="D1072" i="26"/>
  <c r="O1072" i="26" s="1"/>
  <c r="D1096" i="26"/>
  <c r="O1096" i="26" s="1"/>
  <c r="E1096" i="26"/>
  <c r="E1120" i="26"/>
  <c r="D1120" i="26"/>
  <c r="O1120" i="26" s="1"/>
  <c r="E1144" i="26"/>
  <c r="D1144" i="26"/>
  <c r="O1144" i="26" s="1"/>
  <c r="E1168" i="26"/>
  <c r="D1168" i="26"/>
  <c r="O1168" i="26" s="1"/>
  <c r="E1192" i="26"/>
  <c r="D1192" i="26"/>
  <c r="O1192" i="26" s="1"/>
  <c r="E1216" i="26"/>
  <c r="D1216" i="26"/>
  <c r="O1216" i="26" s="1"/>
  <c r="E1240" i="26"/>
  <c r="D1240" i="26"/>
  <c r="O1240" i="26" s="1"/>
  <c r="E1264" i="26"/>
  <c r="D1264" i="26"/>
  <c r="O1264" i="26" s="1"/>
  <c r="E1288" i="26"/>
  <c r="D1288" i="26"/>
  <c r="O1288" i="26" s="1"/>
  <c r="E1312" i="26"/>
  <c r="D1312" i="26"/>
  <c r="O1312" i="26" s="1"/>
  <c r="E1336" i="26"/>
  <c r="D1336" i="26"/>
  <c r="O1336" i="26" s="1"/>
  <c r="E1360" i="26"/>
  <c r="D1360" i="26"/>
  <c r="O1360" i="26" s="1"/>
  <c r="E1384" i="26"/>
  <c r="D1384" i="26"/>
  <c r="O1384" i="26" s="1"/>
  <c r="E1408" i="26"/>
  <c r="D1408" i="26"/>
  <c r="O1408" i="26" s="1"/>
  <c r="E1432" i="26"/>
  <c r="D1432" i="26"/>
  <c r="O1432" i="26" s="1"/>
  <c r="E1456" i="26"/>
  <c r="D1456" i="26"/>
  <c r="O1456" i="26" s="1"/>
  <c r="E1480" i="26"/>
  <c r="D1480" i="26"/>
  <c r="O1480" i="26" s="1"/>
  <c r="E1504" i="26"/>
  <c r="D1504" i="26"/>
  <c r="O1504" i="26" s="1"/>
  <c r="E1528" i="26"/>
  <c r="D1528" i="26"/>
  <c r="O1528" i="26" s="1"/>
  <c r="E1552" i="26"/>
  <c r="D1552" i="26"/>
  <c r="O1552" i="26" s="1"/>
  <c r="E1576" i="26"/>
  <c r="D1576" i="26"/>
  <c r="O1576" i="26" s="1"/>
  <c r="E1600" i="26"/>
  <c r="D1600" i="26"/>
  <c r="O1600" i="26" s="1"/>
  <c r="E1624" i="26"/>
  <c r="D1624" i="26"/>
  <c r="O1624" i="26" s="1"/>
  <c r="E1648" i="26"/>
  <c r="D1648" i="26"/>
  <c r="O1648" i="26" s="1"/>
  <c r="E1672" i="26"/>
  <c r="D1672" i="26"/>
  <c r="O1672" i="26" s="1"/>
  <c r="E1696" i="26"/>
  <c r="D1696" i="26"/>
  <c r="O1696" i="26" s="1"/>
  <c r="D1969" i="26"/>
  <c r="O1969" i="26" s="1"/>
  <c r="D1945" i="26"/>
  <c r="O1945" i="26" s="1"/>
  <c r="D1921" i="26"/>
  <c r="O1921" i="26" s="1"/>
  <c r="D1897" i="26"/>
  <c r="O1897" i="26" s="1"/>
  <c r="D1873" i="26"/>
  <c r="O1873" i="26" s="1"/>
  <c r="D1849" i="26"/>
  <c r="O1849" i="26" s="1"/>
  <c r="D1825" i="26"/>
  <c r="O1825" i="26" s="1"/>
  <c r="D1801" i="26"/>
  <c r="O1801" i="26" s="1"/>
  <c r="D1777" i="26"/>
  <c r="O1777" i="26" s="1"/>
  <c r="D1753" i="26"/>
  <c r="O1753" i="26" s="1"/>
  <c r="D1729" i="26"/>
  <c r="O1729" i="26" s="1"/>
  <c r="D1705" i="26"/>
  <c r="O1705" i="26" s="1"/>
  <c r="D1680" i="26"/>
  <c r="O1680" i="26" s="1"/>
  <c r="D1655" i="26"/>
  <c r="O1655" i="26" s="1"/>
  <c r="D1630" i="26"/>
  <c r="O1630" i="26" s="1"/>
  <c r="D1605" i="26"/>
  <c r="O1605" i="26" s="1"/>
  <c r="D1580" i="26"/>
  <c r="O1580" i="26" s="1"/>
  <c r="D1429" i="26"/>
  <c r="O1429" i="26" s="1"/>
  <c r="D1279" i="26"/>
  <c r="O1279" i="26" s="1"/>
  <c r="D1054" i="26"/>
  <c r="O1054" i="26" s="1"/>
  <c r="D1028" i="26"/>
  <c r="O1028" i="26" s="1"/>
  <c r="D550" i="26"/>
  <c r="O550" i="26" s="1"/>
  <c r="D310" i="26"/>
  <c r="O310" i="26" s="1"/>
  <c r="D1968" i="26"/>
  <c r="O1968" i="26" s="1"/>
  <c r="D1944" i="26"/>
  <c r="O1944" i="26" s="1"/>
  <c r="D1920" i="26"/>
  <c r="O1920" i="26" s="1"/>
  <c r="D1896" i="26"/>
  <c r="O1896" i="26" s="1"/>
  <c r="D1872" i="26"/>
  <c r="O1872" i="26" s="1"/>
  <c r="D1848" i="26"/>
  <c r="O1848" i="26" s="1"/>
  <c r="D1824" i="26"/>
  <c r="O1824" i="26" s="1"/>
  <c r="D1800" i="26"/>
  <c r="O1800" i="26" s="1"/>
  <c r="D1776" i="26"/>
  <c r="O1776" i="26" s="1"/>
  <c r="D1752" i="26"/>
  <c r="O1752" i="26" s="1"/>
  <c r="D1728" i="26"/>
  <c r="O1728" i="26" s="1"/>
  <c r="D1704" i="26"/>
  <c r="O1704" i="26" s="1"/>
  <c r="D1679" i="26"/>
  <c r="O1679" i="26" s="1"/>
  <c r="D1654" i="26"/>
  <c r="O1654" i="26" s="1"/>
  <c r="O1629" i="26"/>
  <c r="D1604" i="26"/>
  <c r="O1604" i="26" s="1"/>
  <c r="D1453" i="26"/>
  <c r="O1453" i="26" s="1"/>
  <c r="D1303" i="26"/>
  <c r="O1303" i="26" s="1"/>
  <c r="D1078" i="26"/>
  <c r="O1078" i="26" s="1"/>
  <c r="D908" i="26"/>
  <c r="O908" i="26" s="1"/>
  <c r="D790" i="26"/>
  <c r="O790" i="26" s="1"/>
  <c r="D597" i="26"/>
  <c r="O597" i="26" s="1"/>
  <c r="D40" i="26"/>
  <c r="O40" i="26" s="1"/>
  <c r="D1967" i="26"/>
  <c r="O1967" i="26" s="1"/>
  <c r="D1943" i="26"/>
  <c r="O1943" i="26" s="1"/>
  <c r="D1919" i="26"/>
  <c r="O1919" i="26" s="1"/>
  <c r="D1895" i="26"/>
  <c r="O1895" i="26" s="1"/>
  <c r="D1871" i="26"/>
  <c r="O1871" i="26" s="1"/>
  <c r="D1847" i="26"/>
  <c r="O1847" i="26" s="1"/>
  <c r="D1823" i="26"/>
  <c r="O1823" i="26" s="1"/>
  <c r="D1799" i="26"/>
  <c r="O1799" i="26" s="1"/>
  <c r="D1775" i="26"/>
  <c r="O1775" i="26" s="1"/>
  <c r="D1751" i="26"/>
  <c r="O1751" i="26" s="1"/>
  <c r="D1727" i="26"/>
  <c r="O1727" i="26" s="1"/>
  <c r="D1703" i="26"/>
  <c r="O1703" i="26" s="1"/>
  <c r="D1678" i="26"/>
  <c r="O1678" i="26" s="1"/>
  <c r="D1653" i="26"/>
  <c r="O1653" i="26" s="1"/>
  <c r="D1628" i="26"/>
  <c r="O1628" i="26" s="1"/>
  <c r="D1477" i="26"/>
  <c r="O1477" i="26" s="1"/>
  <c r="D1327" i="26"/>
  <c r="O1327" i="26" s="1"/>
  <c r="D1102" i="26"/>
  <c r="O1102" i="26" s="1"/>
  <c r="D1052" i="26"/>
  <c r="O1052" i="26" s="1"/>
  <c r="D1966" i="26"/>
  <c r="O1966" i="26" s="1"/>
  <c r="D1942" i="26"/>
  <c r="O1942" i="26" s="1"/>
  <c r="D1918" i="26"/>
  <c r="O1918" i="26" s="1"/>
  <c r="D1894" i="26"/>
  <c r="O1894" i="26" s="1"/>
  <c r="D1870" i="26"/>
  <c r="O1870" i="26" s="1"/>
  <c r="D1846" i="26"/>
  <c r="O1846" i="26" s="1"/>
  <c r="D1822" i="26"/>
  <c r="O1822" i="26" s="1"/>
  <c r="D1798" i="26"/>
  <c r="O1798" i="26" s="1"/>
  <c r="D1774" i="26"/>
  <c r="O1774" i="26" s="1"/>
  <c r="D1750" i="26"/>
  <c r="O1750" i="26" s="1"/>
  <c r="D1726" i="26"/>
  <c r="O1726" i="26" s="1"/>
  <c r="D1702" i="26"/>
  <c r="O1702" i="26" s="1"/>
  <c r="D1677" i="26"/>
  <c r="O1677" i="26" s="1"/>
  <c r="O1652" i="26"/>
  <c r="D1627" i="26"/>
  <c r="O1627" i="26" s="1"/>
  <c r="D1501" i="26"/>
  <c r="O1501" i="26" s="1"/>
  <c r="D1351" i="26"/>
  <c r="O1351" i="26" s="1"/>
  <c r="D1126" i="26"/>
  <c r="O1126" i="26" s="1"/>
  <c r="D1076" i="26"/>
  <c r="O1076" i="26" s="1"/>
  <c r="D967" i="26"/>
  <c r="O967" i="26" s="1"/>
  <c r="D788" i="26"/>
  <c r="O788" i="26" s="1"/>
  <c r="D709" i="26"/>
  <c r="O709" i="26" s="1"/>
  <c r="D632" i="26"/>
  <c r="O632" i="26" s="1"/>
  <c r="D446" i="26"/>
  <c r="O446" i="26" s="1"/>
  <c r="E23" i="26"/>
  <c r="D23" i="26"/>
  <c r="O23" i="26" s="1"/>
  <c r="D47" i="26"/>
  <c r="O47" i="26" s="1"/>
  <c r="E47" i="26"/>
  <c r="E119" i="26"/>
  <c r="D119" i="26"/>
  <c r="O119" i="26" s="1"/>
  <c r="E142" i="26"/>
  <c r="D142" i="26"/>
  <c r="O142" i="26" s="1"/>
  <c r="E166" i="26"/>
  <c r="D166" i="26"/>
  <c r="O166" i="26" s="1"/>
  <c r="D190" i="26"/>
  <c r="O190" i="26" s="1"/>
  <c r="E190" i="26"/>
  <c r="D214" i="26"/>
  <c r="O214" i="26" s="1"/>
  <c r="E214" i="26"/>
  <c r="D238" i="26"/>
  <c r="O238" i="26" s="1"/>
  <c r="E238" i="26"/>
  <c r="E309" i="26"/>
  <c r="D309" i="26"/>
  <c r="O309" i="26" s="1"/>
  <c r="D333" i="26"/>
  <c r="O333" i="26" s="1"/>
  <c r="E333" i="26"/>
  <c r="E381" i="26"/>
  <c r="D381" i="26"/>
  <c r="O381" i="26" s="1"/>
  <c r="D405" i="26"/>
  <c r="O405" i="26" s="1"/>
  <c r="E405" i="26"/>
  <c r="E429" i="26"/>
  <c r="D429" i="26"/>
  <c r="O429" i="26" s="1"/>
  <c r="E453" i="26"/>
  <c r="D453" i="26"/>
  <c r="O453" i="26" s="1"/>
  <c r="D549" i="26"/>
  <c r="O549" i="26" s="1"/>
  <c r="E549" i="26"/>
  <c r="E668" i="26"/>
  <c r="D668" i="26"/>
  <c r="O668" i="26" s="1"/>
  <c r="E692" i="26"/>
  <c r="D692" i="26"/>
  <c r="O692" i="26" s="1"/>
  <c r="E716" i="26"/>
  <c r="D716" i="26"/>
  <c r="O716" i="26" s="1"/>
  <c r="E740" i="26"/>
  <c r="D740" i="26"/>
  <c r="O740" i="26" s="1"/>
  <c r="D1965" i="26"/>
  <c r="O1965" i="26" s="1"/>
  <c r="D1941" i="26"/>
  <c r="O1941" i="26" s="1"/>
  <c r="D1917" i="26"/>
  <c r="O1917" i="26" s="1"/>
  <c r="D1893" i="26"/>
  <c r="O1893" i="26" s="1"/>
  <c r="D1869" i="26"/>
  <c r="O1869" i="26" s="1"/>
  <c r="D1845" i="26"/>
  <c r="O1845" i="26" s="1"/>
  <c r="D1821" i="26"/>
  <c r="O1821" i="26" s="1"/>
  <c r="D1797" i="26"/>
  <c r="O1797" i="26" s="1"/>
  <c r="D1773" i="26"/>
  <c r="O1773" i="26" s="1"/>
  <c r="D1749" i="26"/>
  <c r="O1749" i="26" s="1"/>
  <c r="D1725" i="26"/>
  <c r="O1725" i="26" s="1"/>
  <c r="D1701" i="26"/>
  <c r="O1701" i="26" s="1"/>
  <c r="D1676" i="26"/>
  <c r="O1676" i="26" s="1"/>
  <c r="D1651" i="26"/>
  <c r="O1651" i="26" s="1"/>
  <c r="D1626" i="26"/>
  <c r="O1626" i="26" s="1"/>
  <c r="D1525" i="26"/>
  <c r="O1525" i="26" s="1"/>
  <c r="D1375" i="26"/>
  <c r="O1375" i="26" s="1"/>
  <c r="D1150" i="26"/>
  <c r="O1150" i="26" s="1"/>
  <c r="D1100" i="26"/>
  <c r="O1100" i="26" s="1"/>
  <c r="D904" i="26"/>
  <c r="O904" i="26" s="1"/>
  <c r="D494" i="26"/>
  <c r="O494" i="26" s="1"/>
  <c r="D24" i="26"/>
  <c r="O24" i="26" s="1"/>
  <c r="E24" i="26"/>
  <c r="E48" i="26"/>
  <c r="D48" i="26"/>
  <c r="O48" i="26" s="1"/>
  <c r="E120" i="26"/>
  <c r="D120" i="26"/>
  <c r="O120" i="26" s="1"/>
  <c r="D143" i="26"/>
  <c r="O143" i="26" s="1"/>
  <c r="E143" i="26"/>
  <c r="E167" i="26"/>
  <c r="D167" i="26"/>
  <c r="O167" i="26" s="1"/>
  <c r="E191" i="26"/>
  <c r="D191" i="26"/>
  <c r="O191" i="26" s="1"/>
  <c r="E215" i="26"/>
  <c r="D215" i="26"/>
  <c r="O215" i="26" s="1"/>
  <c r="D239" i="26"/>
  <c r="O239" i="26" s="1"/>
  <c r="E239" i="26"/>
  <c r="E286" i="26"/>
  <c r="E334" i="26"/>
  <c r="E358" i="26"/>
  <c r="D358" i="26"/>
  <c r="O358" i="26" s="1"/>
  <c r="E382" i="26"/>
  <c r="D382" i="26"/>
  <c r="O382" i="26" s="1"/>
  <c r="E406" i="26"/>
  <c r="D406" i="26"/>
  <c r="O406" i="26" s="1"/>
  <c r="D454" i="26"/>
  <c r="O454" i="26" s="1"/>
  <c r="E454" i="26"/>
  <c r="E478" i="26"/>
  <c r="E598" i="26"/>
  <c r="E622" i="26"/>
  <c r="D622" i="26"/>
  <c r="O622" i="26" s="1"/>
  <c r="E646" i="26"/>
  <c r="E669" i="26"/>
  <c r="D669" i="26"/>
  <c r="O669" i="26" s="1"/>
  <c r="E693" i="26"/>
  <c r="D693" i="26"/>
  <c r="O693" i="26" s="1"/>
  <c r="E717" i="26"/>
  <c r="D717" i="26"/>
  <c r="O717" i="26" s="1"/>
  <c r="E741" i="26"/>
  <c r="D741" i="26"/>
  <c r="O741" i="26" s="1"/>
  <c r="E765" i="26"/>
  <c r="E789" i="26"/>
  <c r="E813" i="26"/>
  <c r="E837" i="26"/>
  <c r="E861" i="26"/>
  <c r="E885" i="26"/>
  <c r="E909" i="26"/>
  <c r="E933" i="26"/>
  <c r="E957" i="26"/>
  <c r="E981" i="26"/>
  <c r="E1005" i="26"/>
  <c r="E1029" i="26"/>
  <c r="E1053" i="26"/>
  <c r="E1077" i="26"/>
  <c r="E1101" i="26"/>
  <c r="E1125" i="26"/>
  <c r="E1149" i="26"/>
  <c r="E1173" i="26"/>
  <c r="E1197" i="26"/>
  <c r="E1221" i="26"/>
  <c r="E1317" i="26"/>
  <c r="E1389" i="26"/>
  <c r="E1413" i="26"/>
  <c r="E1437" i="26"/>
  <c r="E1485" i="26"/>
  <c r="E1509" i="26"/>
  <c r="D1988" i="26"/>
  <c r="O1988" i="26" s="1"/>
  <c r="D1964" i="26"/>
  <c r="O1964" i="26" s="1"/>
  <c r="D1940" i="26"/>
  <c r="O1940" i="26" s="1"/>
  <c r="D1916" i="26"/>
  <c r="O1916" i="26" s="1"/>
  <c r="D1892" i="26"/>
  <c r="O1892" i="26" s="1"/>
  <c r="D1868" i="26"/>
  <c r="O1868" i="26" s="1"/>
  <c r="D1844" i="26"/>
  <c r="O1844" i="26" s="1"/>
  <c r="D1820" i="26"/>
  <c r="O1820" i="26" s="1"/>
  <c r="D1796" i="26"/>
  <c r="O1796" i="26" s="1"/>
  <c r="D1772" i="26"/>
  <c r="O1772" i="26" s="1"/>
  <c r="D1748" i="26"/>
  <c r="O1748" i="26" s="1"/>
  <c r="D1724" i="26"/>
  <c r="O1724" i="26" s="1"/>
  <c r="D1700" i="26"/>
  <c r="O1700" i="26" s="1"/>
  <c r="D1675" i="26"/>
  <c r="O1675" i="26" s="1"/>
  <c r="D1650" i="26"/>
  <c r="O1650" i="26" s="1"/>
  <c r="D1625" i="26"/>
  <c r="O1625" i="26" s="1"/>
  <c r="D1549" i="26"/>
  <c r="O1549" i="26" s="1"/>
  <c r="D1399" i="26"/>
  <c r="O1399" i="26" s="1"/>
  <c r="D1174" i="26"/>
  <c r="O1174" i="26" s="1"/>
  <c r="D1149" i="26"/>
  <c r="O1149" i="26" s="1"/>
  <c r="D1124" i="26"/>
  <c r="O1124" i="26" s="1"/>
  <c r="D829" i="26"/>
  <c r="O829" i="26" s="1"/>
  <c r="D751" i="26"/>
  <c r="O751" i="26" s="1"/>
  <c r="D542" i="26"/>
  <c r="O542" i="26" s="1"/>
  <c r="D286" i="26"/>
  <c r="O286" i="26" s="1"/>
  <c r="E25" i="26"/>
  <c r="D25" i="26"/>
  <c r="O25" i="26" s="1"/>
  <c r="D49" i="26"/>
  <c r="O49" i="26" s="1"/>
  <c r="E49" i="26"/>
  <c r="E73" i="26"/>
  <c r="D73" i="26"/>
  <c r="O73" i="26" s="1"/>
  <c r="E97" i="26"/>
  <c r="D97" i="26"/>
  <c r="O97" i="26" s="1"/>
  <c r="E121" i="26"/>
  <c r="D121" i="26"/>
  <c r="O121" i="26" s="1"/>
  <c r="D144" i="26"/>
  <c r="O144" i="26" s="1"/>
  <c r="E144" i="26"/>
  <c r="E168" i="26"/>
  <c r="D168" i="26"/>
  <c r="O168" i="26" s="1"/>
  <c r="E192" i="26"/>
  <c r="D192" i="26"/>
  <c r="O192" i="26" s="1"/>
  <c r="E216" i="26"/>
  <c r="D216" i="26"/>
  <c r="O216" i="26" s="1"/>
  <c r="E240" i="26"/>
  <c r="D240" i="26"/>
  <c r="O240" i="26" s="1"/>
  <c r="E263" i="26"/>
  <c r="D263" i="26"/>
  <c r="O263" i="26" s="1"/>
  <c r="E287" i="26"/>
  <c r="D287" i="26"/>
  <c r="O287" i="26" s="1"/>
  <c r="E359" i="26"/>
  <c r="D359" i="26"/>
  <c r="O359" i="26" s="1"/>
  <c r="E383" i="26"/>
  <c r="D383" i="26"/>
  <c r="O383" i="26" s="1"/>
  <c r="E407" i="26"/>
  <c r="D407" i="26"/>
  <c r="O407" i="26" s="1"/>
  <c r="E431" i="26"/>
  <c r="D431" i="26"/>
  <c r="O431" i="26" s="1"/>
  <c r="E455" i="26"/>
  <c r="D455" i="26"/>
  <c r="O455" i="26" s="1"/>
  <c r="E479" i="26"/>
  <c r="D479" i="26"/>
  <c r="O479" i="26" s="1"/>
  <c r="E694" i="26"/>
  <c r="D694" i="26"/>
  <c r="O694" i="26" s="1"/>
  <c r="E718" i="26"/>
  <c r="D718" i="26"/>
  <c r="O718" i="26" s="1"/>
  <c r="E742" i="26"/>
  <c r="D742" i="26"/>
  <c r="O742" i="26" s="1"/>
  <c r="E766" i="26"/>
  <c r="D766" i="26"/>
  <c r="O766" i="26" s="1"/>
  <c r="D1987" i="26"/>
  <c r="O1987" i="26" s="1"/>
  <c r="D1963" i="26"/>
  <c r="O1963" i="26" s="1"/>
  <c r="D1939" i="26"/>
  <c r="O1939" i="26" s="1"/>
  <c r="D1915" i="26"/>
  <c r="O1915" i="26" s="1"/>
  <c r="D1891" i="26"/>
  <c r="O1891" i="26" s="1"/>
  <c r="D1867" i="26"/>
  <c r="O1867" i="26" s="1"/>
  <c r="D1843" i="26"/>
  <c r="O1843" i="26" s="1"/>
  <c r="D1819" i="26"/>
  <c r="O1819" i="26" s="1"/>
  <c r="D1795" i="26"/>
  <c r="O1795" i="26" s="1"/>
  <c r="D1771" i="26"/>
  <c r="O1771" i="26" s="1"/>
  <c r="D1747" i="26"/>
  <c r="O1747" i="26" s="1"/>
  <c r="D1723" i="26"/>
  <c r="O1723" i="26" s="1"/>
  <c r="D1699" i="26"/>
  <c r="O1699" i="26" s="1"/>
  <c r="D1674" i="26"/>
  <c r="O1674" i="26" s="1"/>
  <c r="D1649" i="26"/>
  <c r="O1649" i="26" s="1"/>
  <c r="D1623" i="26"/>
  <c r="O1623" i="26" s="1"/>
  <c r="D1573" i="26"/>
  <c r="O1573" i="26" s="1"/>
  <c r="D1423" i="26"/>
  <c r="O1423" i="26" s="1"/>
  <c r="D1198" i="26"/>
  <c r="O1198" i="26" s="1"/>
  <c r="D1173" i="26"/>
  <c r="O1173" i="26" s="1"/>
  <c r="D1148" i="26"/>
  <c r="O1148" i="26" s="1"/>
  <c r="D862" i="26"/>
  <c r="O862" i="26" s="1"/>
  <c r="D368" i="26"/>
  <c r="O368" i="26" s="1"/>
  <c r="D285" i="26"/>
  <c r="O285" i="26" s="1"/>
  <c r="D177" i="26"/>
  <c r="O177" i="26" s="1"/>
  <c r="D1986" i="26"/>
  <c r="O1986" i="26" s="1"/>
  <c r="D1962" i="26"/>
  <c r="O1962" i="26" s="1"/>
  <c r="D1938" i="26"/>
  <c r="O1938" i="26" s="1"/>
  <c r="D1914" i="26"/>
  <c r="O1914" i="26" s="1"/>
  <c r="D1890" i="26"/>
  <c r="O1890" i="26" s="1"/>
  <c r="D1866" i="26"/>
  <c r="O1866" i="26" s="1"/>
  <c r="D1842" i="26"/>
  <c r="O1842" i="26" s="1"/>
  <c r="D1818" i="26"/>
  <c r="O1818" i="26" s="1"/>
  <c r="D1794" i="26"/>
  <c r="O1794" i="26" s="1"/>
  <c r="D1770" i="26"/>
  <c r="O1770" i="26" s="1"/>
  <c r="D1746" i="26"/>
  <c r="O1746" i="26" s="1"/>
  <c r="D1722" i="26"/>
  <c r="O1722" i="26" s="1"/>
  <c r="D1698" i="26"/>
  <c r="O1698" i="26" s="1"/>
  <c r="D1673" i="26"/>
  <c r="O1673" i="26" s="1"/>
  <c r="D1647" i="26"/>
  <c r="O1647" i="26" s="1"/>
  <c r="D1622" i="26"/>
  <c r="O1622" i="26" s="1"/>
  <c r="D1597" i="26"/>
  <c r="O1597" i="26" s="1"/>
  <c r="D1447" i="26"/>
  <c r="O1447" i="26" s="1"/>
  <c r="D1222" i="26"/>
  <c r="O1222" i="26" s="1"/>
  <c r="D1197" i="26"/>
  <c r="O1197" i="26" s="1"/>
  <c r="D1172" i="26"/>
  <c r="O1172" i="26" s="1"/>
  <c r="D991" i="26"/>
  <c r="O991" i="26" s="1"/>
  <c r="D934" i="26"/>
  <c r="O934" i="26" s="1"/>
  <c r="D895" i="26"/>
  <c r="O895" i="26" s="1"/>
  <c r="D861" i="26"/>
  <c r="O861" i="26" s="1"/>
  <c r="D670" i="26"/>
  <c r="O670" i="26" s="1"/>
  <c r="D440" i="26"/>
  <c r="O440" i="26" s="1"/>
  <c r="D1985" i="26"/>
  <c r="O1985" i="26" s="1"/>
  <c r="D1961" i="26"/>
  <c r="O1961" i="26" s="1"/>
  <c r="D1937" i="26"/>
  <c r="O1937" i="26" s="1"/>
  <c r="D1913" i="26"/>
  <c r="O1913" i="26" s="1"/>
  <c r="D1889" i="26"/>
  <c r="O1889" i="26" s="1"/>
  <c r="D1865" i="26"/>
  <c r="O1865" i="26" s="1"/>
  <c r="D1841" i="26"/>
  <c r="O1841" i="26" s="1"/>
  <c r="D1817" i="26"/>
  <c r="O1817" i="26" s="1"/>
  <c r="D1793" i="26"/>
  <c r="O1793" i="26" s="1"/>
  <c r="D1769" i="26"/>
  <c r="O1769" i="26" s="1"/>
  <c r="D1745" i="26"/>
  <c r="O1745" i="26" s="1"/>
  <c r="D1721" i="26"/>
  <c r="O1721" i="26" s="1"/>
  <c r="D1697" i="26"/>
  <c r="O1697" i="26" s="1"/>
  <c r="D1671" i="26"/>
  <c r="O1671" i="26" s="1"/>
  <c r="D1646" i="26"/>
  <c r="O1646" i="26" s="1"/>
  <c r="D1621" i="26"/>
  <c r="O1621" i="26" s="1"/>
  <c r="D1471" i="26"/>
  <c r="O1471" i="26" s="1"/>
  <c r="D1246" i="26"/>
  <c r="O1246" i="26" s="1"/>
  <c r="D1221" i="26"/>
  <c r="O1221" i="26" s="1"/>
  <c r="D1196" i="26"/>
  <c r="O1196" i="26" s="1"/>
  <c r="D933" i="26"/>
  <c r="O933" i="26" s="1"/>
  <c r="D860" i="26"/>
  <c r="O860" i="26" s="1"/>
  <c r="D1984" i="26"/>
  <c r="O1984" i="26" s="1"/>
  <c r="D1960" i="26"/>
  <c r="O1960" i="26" s="1"/>
  <c r="O1936" i="26"/>
  <c r="D1912" i="26"/>
  <c r="O1912" i="26" s="1"/>
  <c r="D1888" i="26"/>
  <c r="O1888" i="26" s="1"/>
  <c r="D1864" i="26"/>
  <c r="O1864" i="26" s="1"/>
  <c r="D1840" i="26"/>
  <c r="O1840" i="26" s="1"/>
  <c r="D1816" i="26"/>
  <c r="O1816" i="26" s="1"/>
  <c r="D1792" i="26"/>
  <c r="O1792" i="26" s="1"/>
  <c r="D1768" i="26"/>
  <c r="O1768" i="26" s="1"/>
  <c r="D1744" i="26"/>
  <c r="O1744" i="26" s="1"/>
  <c r="D1720" i="26"/>
  <c r="O1720" i="26" s="1"/>
  <c r="D1695" i="26"/>
  <c r="O1695" i="26" s="1"/>
  <c r="D1670" i="26"/>
  <c r="O1670" i="26" s="1"/>
  <c r="D1645" i="26"/>
  <c r="O1645" i="26" s="1"/>
  <c r="D1620" i="26"/>
  <c r="O1620" i="26" s="1"/>
  <c r="D1495" i="26"/>
  <c r="O1495" i="26" s="1"/>
  <c r="D1270" i="26"/>
  <c r="O1270" i="26" s="1"/>
  <c r="D1245" i="26"/>
  <c r="O1245" i="26" s="1"/>
  <c r="D1220" i="26"/>
  <c r="O1220" i="26" s="1"/>
  <c r="D1069" i="26"/>
  <c r="O1069" i="26" s="1"/>
  <c r="D932" i="26"/>
  <c r="O932" i="26" s="1"/>
  <c r="D781" i="26"/>
  <c r="O781" i="26" s="1"/>
  <c r="D703" i="26"/>
  <c r="O703" i="26" s="1"/>
  <c r="D478" i="26"/>
  <c r="O478" i="26" s="1"/>
  <c r="D153" i="26"/>
  <c r="O153" i="26" s="1"/>
  <c r="D1983" i="26"/>
  <c r="O1983" i="26" s="1"/>
  <c r="D1959" i="26"/>
  <c r="O1959" i="26" s="1"/>
  <c r="D1935" i="26"/>
  <c r="O1935" i="26" s="1"/>
  <c r="D1911" i="26"/>
  <c r="O1911" i="26" s="1"/>
  <c r="D1887" i="26"/>
  <c r="O1887" i="26" s="1"/>
  <c r="D1863" i="26"/>
  <c r="O1863" i="26" s="1"/>
  <c r="D1839" i="26"/>
  <c r="O1839" i="26" s="1"/>
  <c r="D1815" i="26"/>
  <c r="O1815" i="26" s="1"/>
  <c r="D1791" i="26"/>
  <c r="O1791" i="26" s="1"/>
  <c r="D1767" i="26"/>
  <c r="O1767" i="26" s="1"/>
  <c r="D1743" i="26"/>
  <c r="O1743" i="26" s="1"/>
  <c r="O1719" i="26"/>
  <c r="D1694" i="26"/>
  <c r="O1694" i="26" s="1"/>
  <c r="D1669" i="26"/>
  <c r="O1669" i="26" s="1"/>
  <c r="D1644" i="26"/>
  <c r="O1644" i="26" s="1"/>
  <c r="D1619" i="26"/>
  <c r="O1619" i="26" s="1"/>
  <c r="D1519" i="26"/>
  <c r="O1519" i="26" s="1"/>
  <c r="D1294" i="26"/>
  <c r="O1294" i="26" s="1"/>
  <c r="D1269" i="26"/>
  <c r="O1269" i="26" s="1"/>
  <c r="D1244" i="26"/>
  <c r="O1244" i="26" s="1"/>
  <c r="D1093" i="26"/>
  <c r="O1093" i="26" s="1"/>
  <c r="O527" i="26"/>
  <c r="D477" i="26"/>
  <c r="O477" i="26" s="1"/>
  <c r="D262" i="26"/>
  <c r="O262" i="26" s="1"/>
  <c r="D1982" i="26"/>
  <c r="O1982" i="26" s="1"/>
  <c r="D1958" i="26"/>
  <c r="O1958" i="26" s="1"/>
  <c r="D1934" i="26"/>
  <c r="O1934" i="26" s="1"/>
  <c r="D1910" i="26"/>
  <c r="O1910" i="26" s="1"/>
  <c r="D1886" i="26"/>
  <c r="O1886" i="26" s="1"/>
  <c r="D1862" i="26"/>
  <c r="O1862" i="26" s="1"/>
  <c r="D1838" i="26"/>
  <c r="O1838" i="26" s="1"/>
  <c r="D1814" i="26"/>
  <c r="O1814" i="26" s="1"/>
  <c r="D1790" i="26"/>
  <c r="O1790" i="26" s="1"/>
  <c r="D1766" i="26"/>
  <c r="O1766" i="26" s="1"/>
  <c r="D1742" i="26"/>
  <c r="O1742" i="26" s="1"/>
  <c r="D1718" i="26"/>
  <c r="O1718" i="26" s="1"/>
  <c r="D1693" i="26"/>
  <c r="O1693" i="26" s="1"/>
  <c r="D1668" i="26"/>
  <c r="O1668" i="26" s="1"/>
  <c r="D1643" i="26"/>
  <c r="O1643" i="26" s="1"/>
  <c r="D1618" i="26"/>
  <c r="O1618" i="26" s="1"/>
  <c r="D1543" i="26"/>
  <c r="O1543" i="26" s="1"/>
  <c r="D1318" i="26"/>
  <c r="O1318" i="26" s="1"/>
  <c r="D1293" i="26"/>
  <c r="O1293" i="26" s="1"/>
  <c r="D1268" i="26"/>
  <c r="O1268" i="26" s="1"/>
  <c r="D1117" i="26"/>
  <c r="O1117" i="26" s="1"/>
  <c r="D1015" i="26"/>
  <c r="O1015" i="26" s="1"/>
  <c r="D856" i="26"/>
  <c r="O856" i="26" s="1"/>
  <c r="D814" i="26"/>
  <c r="O814" i="26" s="1"/>
  <c r="D623" i="26"/>
  <c r="O623" i="26" s="1"/>
  <c r="D575" i="26"/>
  <c r="O575" i="26" s="1"/>
  <c r="D526" i="26"/>
  <c r="O526" i="26" s="1"/>
  <c r="O422" i="26"/>
  <c r="D1981" i="26"/>
  <c r="O1981" i="26" s="1"/>
  <c r="D1957" i="26"/>
  <c r="O1957" i="26" s="1"/>
  <c r="D1933" i="26"/>
  <c r="O1933" i="26" s="1"/>
  <c r="D1909" i="26"/>
  <c r="O1909" i="26" s="1"/>
  <c r="D1885" i="26"/>
  <c r="O1885" i="26" s="1"/>
  <c r="D1861" i="26"/>
  <c r="O1861" i="26" s="1"/>
  <c r="D1837" i="26"/>
  <c r="O1837" i="26" s="1"/>
  <c r="D1813" i="26"/>
  <c r="O1813" i="26" s="1"/>
  <c r="D1789" i="26"/>
  <c r="O1789" i="26" s="1"/>
  <c r="D1765" i="26"/>
  <c r="O1765" i="26" s="1"/>
  <c r="D1741" i="26"/>
  <c r="O1741" i="26" s="1"/>
  <c r="D1717" i="26"/>
  <c r="O1717" i="26" s="1"/>
  <c r="D1692" i="26"/>
  <c r="O1692" i="26" s="1"/>
  <c r="D1667" i="26"/>
  <c r="O1667" i="26" s="1"/>
  <c r="D1642" i="26"/>
  <c r="O1642" i="26" s="1"/>
  <c r="D1617" i="26"/>
  <c r="O1617" i="26" s="1"/>
  <c r="D1567" i="26"/>
  <c r="O1567" i="26" s="1"/>
  <c r="D1342" i="26"/>
  <c r="O1342" i="26" s="1"/>
  <c r="D1317" i="26"/>
  <c r="O1317" i="26" s="1"/>
  <c r="D1292" i="26"/>
  <c r="O1292" i="26" s="1"/>
  <c r="D1141" i="26"/>
  <c r="O1141" i="26" s="1"/>
  <c r="D958" i="26"/>
  <c r="O958" i="26" s="1"/>
  <c r="D813" i="26"/>
  <c r="O813" i="26" s="1"/>
  <c r="D621" i="26"/>
  <c r="O621" i="26" s="1"/>
  <c r="D574" i="26"/>
  <c r="O574" i="26" s="1"/>
  <c r="D525" i="26"/>
  <c r="O525" i="26" s="1"/>
  <c r="D344" i="26"/>
  <c r="O344" i="26" s="1"/>
  <c r="D1980" i="26"/>
  <c r="O1980" i="26" s="1"/>
  <c r="D1956" i="26"/>
  <c r="O1956" i="26" s="1"/>
  <c r="D1932" i="26"/>
  <c r="O1932" i="26" s="1"/>
  <c r="D1908" i="26"/>
  <c r="O1908" i="26" s="1"/>
  <c r="D1884" i="26"/>
  <c r="O1884" i="26" s="1"/>
  <c r="D1860" i="26"/>
  <c r="O1860" i="26" s="1"/>
  <c r="D1836" i="26"/>
  <c r="O1836" i="26" s="1"/>
  <c r="D1812" i="26"/>
  <c r="O1812" i="26" s="1"/>
  <c r="D1788" i="26"/>
  <c r="O1788" i="26" s="1"/>
  <c r="D1764" i="26"/>
  <c r="O1764" i="26" s="1"/>
  <c r="D1740" i="26"/>
  <c r="O1740" i="26" s="1"/>
  <c r="D1716" i="26"/>
  <c r="O1716" i="26" s="1"/>
  <c r="D1691" i="26"/>
  <c r="O1691" i="26" s="1"/>
  <c r="D1666" i="26"/>
  <c r="O1666" i="26" s="1"/>
  <c r="D1641" i="26"/>
  <c r="O1641" i="26" s="1"/>
  <c r="D1616" i="26"/>
  <c r="O1616" i="26" s="1"/>
  <c r="D1591" i="26"/>
  <c r="O1591" i="26" s="1"/>
  <c r="D1366" i="26"/>
  <c r="O1366" i="26" s="1"/>
  <c r="D1341" i="26"/>
  <c r="O1341" i="26" s="1"/>
  <c r="D1316" i="26"/>
  <c r="O1316" i="26" s="1"/>
  <c r="D1165" i="26"/>
  <c r="O1165" i="26" s="1"/>
  <c r="D1039" i="26"/>
  <c r="O1039" i="26" s="1"/>
  <c r="D957" i="26"/>
  <c r="O957" i="26" s="1"/>
  <c r="D812" i="26"/>
  <c r="O812" i="26" s="1"/>
  <c r="D733" i="26"/>
  <c r="O733" i="26" s="1"/>
  <c r="D655" i="26"/>
  <c r="O655" i="26" s="1"/>
  <c r="D573" i="26"/>
  <c r="O573" i="26" s="1"/>
  <c r="E357" i="26"/>
  <c r="D1979" i="26"/>
  <c r="O1979" i="26" s="1"/>
  <c r="D1955" i="26"/>
  <c r="O1955" i="26" s="1"/>
  <c r="D1931" i="26"/>
  <c r="O1931" i="26" s="1"/>
  <c r="D1907" i="26"/>
  <c r="O1907" i="26" s="1"/>
  <c r="D1883" i="26"/>
  <c r="O1883" i="26" s="1"/>
  <c r="D1859" i="26"/>
  <c r="O1859" i="26" s="1"/>
  <c r="D1835" i="26"/>
  <c r="O1835" i="26" s="1"/>
  <c r="D1811" i="26"/>
  <c r="O1811" i="26" s="1"/>
  <c r="D1787" i="26"/>
  <c r="O1787" i="26" s="1"/>
  <c r="D1763" i="26"/>
  <c r="O1763" i="26" s="1"/>
  <c r="D1739" i="26"/>
  <c r="O1739" i="26" s="1"/>
  <c r="D1715" i="26"/>
  <c r="O1715" i="26" s="1"/>
  <c r="D1690" i="26"/>
  <c r="O1690" i="26" s="1"/>
  <c r="D1665" i="26"/>
  <c r="O1665" i="26" s="1"/>
  <c r="D1640" i="26"/>
  <c r="O1640" i="26" s="1"/>
  <c r="D1615" i="26"/>
  <c r="O1615" i="26" s="1"/>
  <c r="D1390" i="26"/>
  <c r="O1390" i="26" s="1"/>
  <c r="D1365" i="26"/>
  <c r="O1365" i="26" s="1"/>
  <c r="D1340" i="26"/>
  <c r="O1340" i="26" s="1"/>
  <c r="D1189" i="26"/>
  <c r="O1189" i="26" s="1"/>
  <c r="D956" i="26"/>
  <c r="O956" i="26" s="1"/>
  <c r="D853" i="26"/>
  <c r="O853" i="26" s="1"/>
  <c r="D34" i="26"/>
  <c r="O34" i="26" s="1"/>
  <c r="E34" i="26"/>
  <c r="D58" i="26"/>
  <c r="O58" i="26" s="1"/>
  <c r="E58" i="26"/>
  <c r="D82" i="26"/>
  <c r="O82" i="26" s="1"/>
  <c r="E82" i="26"/>
  <c r="D106" i="26"/>
  <c r="O106" i="26" s="1"/>
  <c r="E106" i="26"/>
  <c r="E130" i="26"/>
  <c r="D130" i="26"/>
  <c r="O130" i="26" s="1"/>
  <c r="E201" i="26"/>
  <c r="D201" i="26"/>
  <c r="O201" i="26" s="1"/>
  <c r="E225" i="26"/>
  <c r="D225" i="26"/>
  <c r="O225" i="26" s="1"/>
  <c r="D249" i="26"/>
  <c r="O249" i="26" s="1"/>
  <c r="E249" i="26"/>
  <c r="E272" i="26"/>
  <c r="D272" i="26"/>
  <c r="O272" i="26" s="1"/>
  <c r="E296" i="26"/>
  <c r="D296" i="26"/>
  <c r="O296" i="26" s="1"/>
  <c r="D320" i="26"/>
  <c r="O320" i="26" s="1"/>
  <c r="E320" i="26"/>
  <c r="E392" i="26"/>
  <c r="D392" i="26"/>
  <c r="O392" i="26" s="1"/>
  <c r="D488" i="26"/>
  <c r="O488" i="26" s="1"/>
  <c r="E488" i="26"/>
  <c r="E512" i="26"/>
  <c r="D512" i="26"/>
  <c r="O512" i="26" s="1"/>
  <c r="E536" i="26"/>
  <c r="D536" i="26"/>
  <c r="O536" i="26" s="1"/>
  <c r="E560" i="26"/>
  <c r="D560" i="26"/>
  <c r="O560" i="26" s="1"/>
  <c r="D584" i="26"/>
  <c r="O584" i="26" s="1"/>
  <c r="E584" i="26"/>
  <c r="D799" i="26"/>
  <c r="O799" i="26" s="1"/>
  <c r="E799" i="26"/>
  <c r="E823" i="26"/>
  <c r="D823" i="26"/>
  <c r="O823" i="26" s="1"/>
  <c r="E847" i="26"/>
  <c r="D847" i="26"/>
  <c r="O847" i="26" s="1"/>
  <c r="E871" i="26"/>
  <c r="D871" i="26"/>
  <c r="O871" i="26" s="1"/>
  <c r="D1978" i="26"/>
  <c r="O1978" i="26" s="1"/>
  <c r="D1954" i="26"/>
  <c r="O1954" i="26" s="1"/>
  <c r="D1930" i="26"/>
  <c r="O1930" i="26" s="1"/>
  <c r="D1906" i="26"/>
  <c r="O1906" i="26" s="1"/>
  <c r="D1882" i="26"/>
  <c r="O1882" i="26" s="1"/>
  <c r="D1858" i="26"/>
  <c r="O1858" i="26" s="1"/>
  <c r="D1834" i="26"/>
  <c r="O1834" i="26" s="1"/>
  <c r="D1810" i="26"/>
  <c r="O1810" i="26" s="1"/>
  <c r="D1786" i="26"/>
  <c r="O1786" i="26" s="1"/>
  <c r="D1762" i="26"/>
  <c r="O1762" i="26" s="1"/>
  <c r="D1738" i="26"/>
  <c r="O1738" i="26" s="1"/>
  <c r="D1714" i="26"/>
  <c r="O1714" i="26" s="1"/>
  <c r="D1689" i="26"/>
  <c r="O1689" i="26" s="1"/>
  <c r="D1664" i="26"/>
  <c r="O1664" i="26" s="1"/>
  <c r="O1639" i="26"/>
  <c r="D1614" i="26"/>
  <c r="O1614" i="26" s="1"/>
  <c r="D1414" i="26"/>
  <c r="O1414" i="26" s="1"/>
  <c r="D1389" i="26"/>
  <c r="O1389" i="26" s="1"/>
  <c r="D1364" i="26"/>
  <c r="O1364" i="26" s="1"/>
  <c r="D1213" i="26"/>
  <c r="O1213" i="26" s="1"/>
  <c r="D1063" i="26"/>
  <c r="O1063" i="26" s="1"/>
  <c r="D919" i="26"/>
  <c r="O919" i="26" s="1"/>
  <c r="D886" i="26"/>
  <c r="O886" i="26" s="1"/>
  <c r="D775" i="26"/>
  <c r="O775" i="26" s="1"/>
  <c r="D608" i="26"/>
  <c r="O608" i="26" s="1"/>
  <c r="E430" i="26"/>
  <c r="D1977" i="26"/>
  <c r="O1977" i="26" s="1"/>
  <c r="D1953" i="26"/>
  <c r="O1953" i="26" s="1"/>
  <c r="D1929" i="26"/>
  <c r="O1929" i="26" s="1"/>
  <c r="D1905" i="26"/>
  <c r="O1905" i="26" s="1"/>
  <c r="D1881" i="26"/>
  <c r="O1881" i="26" s="1"/>
  <c r="D1857" i="26"/>
  <c r="O1857" i="26" s="1"/>
  <c r="D1833" i="26"/>
  <c r="O1833" i="26" s="1"/>
  <c r="D1809" i="26"/>
  <c r="O1809" i="26" s="1"/>
  <c r="D1785" i="26"/>
  <c r="O1785" i="26" s="1"/>
  <c r="D1761" i="26"/>
  <c r="O1761" i="26" s="1"/>
  <c r="D1737" i="26"/>
  <c r="O1737" i="26" s="1"/>
  <c r="D1713" i="26"/>
  <c r="O1713" i="26" s="1"/>
  <c r="D1688" i="26"/>
  <c r="O1688" i="26" s="1"/>
  <c r="D1663" i="26"/>
  <c r="O1663" i="26" s="1"/>
  <c r="D1638" i="26"/>
  <c r="O1638" i="26" s="1"/>
  <c r="D1613" i="26"/>
  <c r="O1613" i="26" s="1"/>
  <c r="D1438" i="26"/>
  <c r="O1438" i="26" s="1"/>
  <c r="D1413" i="26"/>
  <c r="O1413" i="26" s="1"/>
  <c r="D1388" i="26"/>
  <c r="O1388" i="26" s="1"/>
  <c r="D1237" i="26"/>
  <c r="O1237" i="26" s="1"/>
  <c r="D1087" i="26"/>
  <c r="O1087" i="26" s="1"/>
  <c r="D982" i="26"/>
  <c r="O982" i="26" s="1"/>
  <c r="D885" i="26"/>
  <c r="O885" i="26" s="1"/>
  <c r="D765" i="26"/>
  <c r="O765" i="26" s="1"/>
  <c r="D416" i="26"/>
  <c r="O416" i="26" s="1"/>
  <c r="D1976" i="26"/>
  <c r="O1976" i="26" s="1"/>
  <c r="D1952" i="26"/>
  <c r="O1952" i="26" s="1"/>
  <c r="D1928" i="26"/>
  <c r="O1928" i="26" s="1"/>
  <c r="D1904" i="26"/>
  <c r="O1904" i="26" s="1"/>
  <c r="D1880" i="26"/>
  <c r="O1880" i="26" s="1"/>
  <c r="D1856" i="26"/>
  <c r="O1856" i="26" s="1"/>
  <c r="D1832" i="26"/>
  <c r="O1832" i="26" s="1"/>
  <c r="D1808" i="26"/>
  <c r="O1808" i="26" s="1"/>
  <c r="D1784" i="26"/>
  <c r="O1784" i="26" s="1"/>
  <c r="D1760" i="26"/>
  <c r="O1760" i="26" s="1"/>
  <c r="D1736" i="26"/>
  <c r="O1736" i="26" s="1"/>
  <c r="D1712" i="26"/>
  <c r="O1712" i="26" s="1"/>
  <c r="D1687" i="26"/>
  <c r="O1687" i="26" s="1"/>
  <c r="D1662" i="26"/>
  <c r="O1662" i="26" s="1"/>
  <c r="D1637" i="26"/>
  <c r="O1637" i="26" s="1"/>
  <c r="D1612" i="26"/>
  <c r="O1612" i="26" s="1"/>
  <c r="D1462" i="26"/>
  <c r="O1462" i="26" s="1"/>
  <c r="D1437" i="26"/>
  <c r="O1437" i="26" s="1"/>
  <c r="D1412" i="26"/>
  <c r="O1412" i="26" s="1"/>
  <c r="D1261" i="26"/>
  <c r="O1261" i="26" s="1"/>
  <c r="D1111" i="26"/>
  <c r="O1111" i="26" s="1"/>
  <c r="D981" i="26"/>
  <c r="O981" i="26" s="1"/>
  <c r="D884" i="26"/>
  <c r="O884" i="26" s="1"/>
  <c r="D764" i="26"/>
  <c r="O764" i="26" s="1"/>
  <c r="D685" i="26"/>
  <c r="O685" i="26" s="1"/>
  <c r="D518" i="26"/>
  <c r="O518" i="26" s="1"/>
  <c r="D335" i="26"/>
  <c r="O335" i="26" s="1"/>
  <c r="D1975" i="26"/>
  <c r="O1975" i="26" s="1"/>
  <c r="D1951" i="26"/>
  <c r="O1951" i="26" s="1"/>
  <c r="D1927" i="26"/>
  <c r="O1927" i="26" s="1"/>
  <c r="D1903" i="26"/>
  <c r="O1903" i="26" s="1"/>
  <c r="D1879" i="26"/>
  <c r="O1879" i="26" s="1"/>
  <c r="D1855" i="26"/>
  <c r="O1855" i="26" s="1"/>
  <c r="D1831" i="26"/>
  <c r="O1831" i="26" s="1"/>
  <c r="D1807" i="26"/>
  <c r="O1807" i="26" s="1"/>
  <c r="D1783" i="26"/>
  <c r="O1783" i="26" s="1"/>
  <c r="D1759" i="26"/>
  <c r="O1759" i="26" s="1"/>
  <c r="D1735" i="26"/>
  <c r="O1735" i="26" s="1"/>
  <c r="D1711" i="26"/>
  <c r="O1711" i="26" s="1"/>
  <c r="D1686" i="26"/>
  <c r="O1686" i="26" s="1"/>
  <c r="D1661" i="26"/>
  <c r="O1661" i="26" s="1"/>
  <c r="D1636" i="26"/>
  <c r="O1636" i="26" s="1"/>
  <c r="D1611" i="26"/>
  <c r="O1611" i="26" s="1"/>
  <c r="D1486" i="26"/>
  <c r="O1486" i="26" s="1"/>
  <c r="D1461" i="26"/>
  <c r="O1461" i="26" s="1"/>
  <c r="D1436" i="26"/>
  <c r="O1436" i="26" s="1"/>
  <c r="D1285" i="26"/>
  <c r="O1285" i="26" s="1"/>
  <c r="D1135" i="26"/>
  <c r="O1135" i="26" s="1"/>
  <c r="D980" i="26"/>
  <c r="O980" i="26" s="1"/>
  <c r="D398" i="26"/>
  <c r="O398" i="26" s="1"/>
  <c r="D334" i="26"/>
  <c r="O334" i="26" s="1"/>
  <c r="D231" i="26"/>
  <c r="O231" i="26" s="1"/>
  <c r="D96" i="26"/>
  <c r="O96" i="26" s="1"/>
  <c r="D1974" i="26"/>
  <c r="O1974" i="26" s="1"/>
  <c r="D1950" i="26"/>
  <c r="O1950" i="26" s="1"/>
  <c r="D1926" i="26"/>
  <c r="O1926" i="26" s="1"/>
  <c r="D1902" i="26"/>
  <c r="O1902" i="26" s="1"/>
  <c r="D1878" i="26"/>
  <c r="O1878" i="26" s="1"/>
  <c r="D1854" i="26"/>
  <c r="O1854" i="26" s="1"/>
  <c r="D1830" i="26"/>
  <c r="O1830" i="26" s="1"/>
  <c r="D1806" i="26"/>
  <c r="O1806" i="26" s="1"/>
  <c r="D1782" i="26"/>
  <c r="O1782" i="26" s="1"/>
  <c r="D1758" i="26"/>
  <c r="O1758" i="26" s="1"/>
  <c r="D1734" i="26"/>
  <c r="O1734" i="26" s="1"/>
  <c r="D1710" i="26"/>
  <c r="O1710" i="26" s="1"/>
  <c r="D1685" i="26"/>
  <c r="O1685" i="26" s="1"/>
  <c r="D1660" i="26"/>
  <c r="O1660" i="26" s="1"/>
  <c r="D1635" i="26"/>
  <c r="O1635" i="26" s="1"/>
  <c r="D1610" i="26"/>
  <c r="O1610" i="26" s="1"/>
  <c r="D1510" i="26"/>
  <c r="O1510" i="26" s="1"/>
  <c r="D1485" i="26"/>
  <c r="O1485" i="26" s="1"/>
  <c r="D1460" i="26"/>
  <c r="O1460" i="26" s="1"/>
  <c r="D1309" i="26"/>
  <c r="O1309" i="26" s="1"/>
  <c r="D1159" i="26"/>
  <c r="O1159" i="26" s="1"/>
  <c r="D805" i="26"/>
  <c r="O805" i="26" s="1"/>
  <c r="D727" i="26"/>
  <c r="O727" i="26" s="1"/>
  <c r="D95" i="26"/>
  <c r="O95" i="26" s="1"/>
  <c r="D1973" i="26"/>
  <c r="O1973" i="26" s="1"/>
  <c r="D1949" i="26"/>
  <c r="O1949" i="26" s="1"/>
  <c r="D1925" i="26"/>
  <c r="O1925" i="26" s="1"/>
  <c r="D1901" i="26"/>
  <c r="O1901" i="26" s="1"/>
  <c r="D1877" i="26"/>
  <c r="O1877" i="26" s="1"/>
  <c r="D1853" i="26"/>
  <c r="O1853" i="26" s="1"/>
  <c r="D1829" i="26"/>
  <c r="O1829" i="26" s="1"/>
  <c r="D1805" i="26"/>
  <c r="O1805" i="26" s="1"/>
  <c r="D1781" i="26"/>
  <c r="O1781" i="26" s="1"/>
  <c r="D1757" i="26"/>
  <c r="O1757" i="26" s="1"/>
  <c r="D1733" i="26"/>
  <c r="O1733" i="26" s="1"/>
  <c r="D1709" i="26"/>
  <c r="O1709" i="26" s="1"/>
  <c r="D1684" i="26"/>
  <c r="O1684" i="26" s="1"/>
  <c r="D1659" i="26"/>
  <c r="O1659" i="26" s="1"/>
  <c r="D1634" i="26"/>
  <c r="O1634" i="26" s="1"/>
  <c r="D1609" i="26"/>
  <c r="O1609" i="26" s="1"/>
  <c r="D1534" i="26"/>
  <c r="O1534" i="26" s="1"/>
  <c r="D1509" i="26"/>
  <c r="O1509" i="26" s="1"/>
  <c r="D1484" i="26"/>
  <c r="O1484" i="26" s="1"/>
  <c r="D1333" i="26"/>
  <c r="O1333" i="26" s="1"/>
  <c r="D1183" i="26"/>
  <c r="O1183" i="26" s="1"/>
  <c r="D1006" i="26"/>
  <c r="O1006" i="26" s="1"/>
  <c r="D880" i="26"/>
  <c r="O880" i="26" s="1"/>
  <c r="D464" i="26"/>
  <c r="O464" i="26" s="1"/>
  <c r="D72" i="26"/>
  <c r="O72" i="26" s="1"/>
  <c r="N2" i="1" l="1" a="1"/>
  <c r="N2" i="1" s="1"/>
  <c r="M2" i="1" a="1"/>
  <c r="M2" i="1" s="1"/>
  <c r="L2" i="1" a="1"/>
  <c r="L2" i="1" s="1"/>
  <c r="K2" i="1" a="1"/>
  <c r="K2" i="1" s="1"/>
  <c r="J2" i="1" a="1"/>
  <c r="J2" i="1" s="1"/>
  <c r="I2" i="1" a="1"/>
  <c r="I2" i="1" s="1"/>
  <c r="O2" i="1" a="1"/>
  <c r="O2" i="1" s="1"/>
  <c r="H2" i="1" a="1"/>
  <c r="H2" i="1" s="1"/>
  <c r="AL2" i="1" a="1"/>
  <c r="AL2" i="1" s="1"/>
  <c r="Y2" i="1" a="1"/>
  <c r="Y2" i="1" s="1"/>
  <c r="V2" i="1" a="1"/>
  <c r="V2" i="1" s="1"/>
  <c r="G2" i="1" l="1" a="1"/>
  <c r="G2" i="1" s="1"/>
  <c r="F2" i="1" a="1"/>
  <c r="F2" i="1" s="1"/>
  <c r="C781" i="46"/>
  <c r="C780" i="46"/>
  <c r="C779" i="46"/>
  <c r="C778" i="46"/>
  <c r="C777" i="46"/>
  <c r="C776" i="46"/>
  <c r="C775" i="46"/>
  <c r="C774" i="46"/>
  <c r="C773" i="46"/>
  <c r="C772" i="46"/>
  <c r="C771" i="46"/>
  <c r="C770" i="46"/>
  <c r="C769" i="46"/>
  <c r="C768" i="46"/>
  <c r="C767" i="46"/>
  <c r="C766" i="46"/>
  <c r="C765" i="46"/>
  <c r="C764" i="46"/>
  <c r="C763" i="46"/>
  <c r="C762" i="46"/>
  <c r="C761" i="46"/>
  <c r="C760" i="46"/>
  <c r="C759" i="46"/>
  <c r="C758" i="46"/>
  <c r="C757" i="46"/>
  <c r="C756" i="46"/>
  <c r="C755" i="46"/>
  <c r="C754" i="46"/>
  <c r="C753" i="46"/>
  <c r="C752" i="46"/>
  <c r="C751" i="46"/>
  <c r="C750" i="46"/>
  <c r="C749" i="46"/>
  <c r="C748" i="46"/>
  <c r="C747" i="46"/>
  <c r="C746" i="46"/>
  <c r="C745" i="46"/>
  <c r="C744" i="46"/>
  <c r="C743" i="46"/>
  <c r="C741" i="46"/>
  <c r="C739" i="46"/>
  <c r="C738" i="46"/>
  <c r="C737" i="46"/>
  <c r="C736" i="46"/>
  <c r="C735" i="46"/>
  <c r="C734" i="46"/>
  <c r="C733" i="46"/>
  <c r="C732" i="46"/>
  <c r="C731" i="46"/>
  <c r="C730" i="46"/>
  <c r="C729" i="46"/>
  <c r="C728" i="46"/>
  <c r="C727" i="46"/>
  <c r="C726" i="46"/>
  <c r="C725" i="46"/>
  <c r="C724" i="46"/>
  <c r="C723" i="46"/>
  <c r="C722" i="46"/>
  <c r="C721" i="46"/>
  <c r="C720" i="46"/>
  <c r="C719" i="46"/>
  <c r="C718" i="46"/>
  <c r="C717" i="46"/>
  <c r="C716" i="46"/>
  <c r="C714" i="46"/>
  <c r="C713" i="46"/>
  <c r="C712" i="46"/>
  <c r="C711" i="46"/>
  <c r="C710" i="46"/>
  <c r="C709" i="46"/>
  <c r="C708" i="46"/>
  <c r="C707" i="46"/>
  <c r="C706" i="46"/>
  <c r="C705" i="46"/>
  <c r="C704" i="46"/>
  <c r="C703" i="46"/>
  <c r="C702" i="46"/>
  <c r="C701" i="46"/>
  <c r="C700" i="46"/>
  <c r="C699" i="46"/>
  <c r="C698" i="46"/>
  <c r="C697" i="46"/>
  <c r="C696" i="46"/>
  <c r="C695" i="46"/>
  <c r="C694" i="46"/>
  <c r="C693" i="46"/>
  <c r="C692" i="46"/>
  <c r="C691" i="46"/>
  <c r="C690" i="46"/>
  <c r="C689" i="46"/>
  <c r="C688" i="46"/>
  <c r="C687" i="46"/>
  <c r="C686" i="46"/>
  <c r="C685" i="46"/>
  <c r="C684" i="46"/>
  <c r="C683" i="46"/>
  <c r="C682" i="46"/>
  <c r="C681" i="46"/>
  <c r="C680" i="46"/>
  <c r="C679" i="46"/>
  <c r="C678" i="46"/>
  <c r="C677" i="46"/>
  <c r="C676" i="46"/>
  <c r="C675" i="46"/>
  <c r="C674" i="46"/>
  <c r="C673" i="46"/>
  <c r="C672" i="46"/>
  <c r="C671" i="46"/>
  <c r="C669" i="46"/>
  <c r="C668" i="46"/>
  <c r="C667" i="46"/>
  <c r="C666" i="46"/>
  <c r="C665" i="46"/>
  <c r="C664" i="46"/>
  <c r="C663" i="46"/>
  <c r="C662" i="46"/>
  <c r="C661" i="46"/>
  <c r="C660" i="46"/>
  <c r="C659" i="46"/>
  <c r="C658" i="46"/>
  <c r="C656" i="46"/>
  <c r="C655" i="46"/>
  <c r="C654" i="46"/>
  <c r="C653" i="46"/>
  <c r="C652" i="46"/>
  <c r="C651" i="46"/>
  <c r="C650" i="46"/>
  <c r="C649" i="46"/>
  <c r="C648" i="46"/>
  <c r="C647" i="46"/>
  <c r="C646" i="46"/>
  <c r="C645" i="46"/>
  <c r="C644" i="46"/>
  <c r="C643" i="46"/>
  <c r="C642" i="46"/>
  <c r="C640" i="46"/>
  <c r="C639" i="46"/>
  <c r="C638" i="46"/>
  <c r="C637" i="46"/>
  <c r="C636" i="46"/>
  <c r="C635" i="46"/>
  <c r="C634" i="46"/>
  <c r="C633" i="46"/>
  <c r="C632" i="46"/>
  <c r="C631" i="46"/>
  <c r="C630" i="46"/>
  <c r="C629" i="46"/>
  <c r="C628" i="46"/>
  <c r="C627" i="46"/>
  <c r="C625" i="46"/>
  <c r="C624" i="46"/>
  <c r="C623" i="46"/>
  <c r="C622" i="46"/>
  <c r="C621" i="46"/>
  <c r="C618" i="46"/>
  <c r="C617" i="46"/>
  <c r="C616" i="46"/>
  <c r="C615" i="46"/>
  <c r="C614" i="46"/>
  <c r="C613" i="46"/>
  <c r="C612" i="46"/>
  <c r="C611" i="46"/>
  <c r="C610" i="46"/>
  <c r="C609" i="46"/>
  <c r="C608" i="46"/>
  <c r="C607" i="46"/>
  <c r="C606" i="46"/>
  <c r="C605" i="46"/>
  <c r="C604" i="46"/>
  <c r="C603" i="46"/>
  <c r="C602" i="46"/>
  <c r="C601" i="46"/>
  <c r="C600" i="46"/>
  <c r="C599" i="46"/>
  <c r="C598" i="46"/>
  <c r="C597" i="46"/>
  <c r="C596" i="46"/>
  <c r="C595" i="46"/>
  <c r="C594" i="46"/>
  <c r="C593" i="46"/>
  <c r="C592" i="46"/>
  <c r="C591" i="46"/>
  <c r="C590" i="46"/>
  <c r="C589" i="46"/>
  <c r="C588" i="46"/>
  <c r="C587" i="46"/>
  <c r="C586" i="46"/>
  <c r="C585" i="46"/>
  <c r="C584" i="46"/>
  <c r="C583" i="46"/>
  <c r="C582" i="46"/>
  <c r="C581" i="46"/>
  <c r="C580" i="46"/>
  <c r="C579" i="46"/>
  <c r="C578" i="46"/>
  <c r="C577" i="46"/>
  <c r="C576" i="46"/>
  <c r="C575" i="46"/>
  <c r="C574" i="46"/>
  <c r="C573" i="46"/>
  <c r="C572" i="46"/>
  <c r="C571" i="46"/>
  <c r="C570" i="46"/>
  <c r="C569" i="46"/>
  <c r="C568" i="46"/>
  <c r="C567" i="46"/>
  <c r="C566" i="46"/>
  <c r="C565" i="46"/>
  <c r="C564" i="46"/>
  <c r="C563" i="46"/>
  <c r="C562" i="46"/>
  <c r="C561" i="46"/>
  <c r="C560" i="46"/>
  <c r="C559" i="46"/>
  <c r="C558" i="46"/>
  <c r="C557" i="46"/>
  <c r="C556" i="46"/>
  <c r="C555" i="46"/>
  <c r="C554" i="46"/>
  <c r="C553" i="46"/>
  <c r="C552" i="46"/>
  <c r="C551" i="46"/>
  <c r="C550" i="46"/>
  <c r="C549" i="46"/>
  <c r="C548" i="46"/>
  <c r="C547" i="46"/>
  <c r="C546" i="46"/>
  <c r="C545" i="46"/>
  <c r="C544" i="46"/>
  <c r="C543" i="46"/>
  <c r="C542" i="46"/>
  <c r="C541" i="46"/>
  <c r="C540" i="46"/>
  <c r="C539" i="46"/>
  <c r="C538" i="46"/>
  <c r="C537" i="46"/>
  <c r="C536" i="46"/>
  <c r="C535" i="46"/>
  <c r="C534" i="46"/>
  <c r="C533" i="46"/>
  <c r="C532" i="46"/>
  <c r="C531" i="46"/>
  <c r="C530" i="46"/>
  <c r="C529" i="46"/>
  <c r="C528" i="46"/>
  <c r="C527" i="46"/>
  <c r="C526" i="46"/>
  <c r="C525" i="46"/>
  <c r="C524" i="46"/>
  <c r="C523" i="46"/>
  <c r="C522" i="46"/>
  <c r="C521" i="46"/>
  <c r="C520" i="46"/>
  <c r="C519" i="46"/>
  <c r="C518" i="46"/>
  <c r="C517" i="46"/>
  <c r="C516" i="46"/>
  <c r="C515" i="46"/>
  <c r="C514" i="46"/>
  <c r="C513" i="46"/>
  <c r="C512" i="46"/>
  <c r="C511" i="46"/>
  <c r="C510" i="46"/>
  <c r="C509" i="46"/>
  <c r="C508" i="46"/>
  <c r="C507" i="46"/>
  <c r="C506" i="46"/>
  <c r="C505" i="46"/>
  <c r="C504" i="46"/>
  <c r="C503" i="46"/>
  <c r="C502" i="46"/>
  <c r="C501" i="46"/>
  <c r="C500" i="46"/>
  <c r="C499" i="46"/>
  <c r="C498" i="46"/>
  <c r="C497" i="46"/>
  <c r="C496" i="46"/>
  <c r="C495" i="46"/>
  <c r="C494" i="46"/>
  <c r="C493" i="46"/>
  <c r="C492" i="46"/>
  <c r="C491" i="46"/>
  <c r="C490" i="46"/>
  <c r="C489" i="46"/>
  <c r="C488" i="46"/>
  <c r="C487" i="46"/>
  <c r="C486" i="46"/>
  <c r="C485" i="46"/>
  <c r="C484" i="46"/>
  <c r="C483" i="46"/>
  <c r="C482" i="46"/>
  <c r="C481" i="46"/>
  <c r="C480" i="46"/>
  <c r="C479" i="46"/>
  <c r="C478" i="46"/>
  <c r="C477" i="46"/>
  <c r="C476" i="46"/>
  <c r="C475" i="46"/>
  <c r="C474" i="46"/>
  <c r="C473" i="46"/>
  <c r="C472" i="46"/>
  <c r="C471" i="46"/>
  <c r="C470" i="46"/>
  <c r="C469" i="46"/>
  <c r="C468" i="46"/>
  <c r="C467" i="46"/>
  <c r="C466" i="46"/>
  <c r="C464" i="46"/>
  <c r="C463" i="46"/>
  <c r="C462" i="46"/>
  <c r="C461" i="46"/>
  <c r="C460" i="46"/>
  <c r="C459" i="46"/>
  <c r="C458" i="46"/>
  <c r="C457" i="46"/>
  <c r="C456" i="46"/>
  <c r="C455" i="46"/>
  <c r="C454" i="46"/>
  <c r="C453" i="46"/>
  <c r="C452" i="46"/>
  <c r="C451" i="46"/>
  <c r="C450" i="46"/>
  <c r="C449" i="46"/>
  <c r="C448" i="46"/>
  <c r="C447" i="46"/>
  <c r="C446" i="46"/>
  <c r="C445" i="46"/>
  <c r="C444" i="46"/>
  <c r="C443" i="46"/>
  <c r="C437" i="46"/>
  <c r="C436" i="46"/>
  <c r="C435" i="46"/>
  <c r="C434" i="46"/>
  <c r="C431" i="46"/>
  <c r="C430" i="46"/>
  <c r="C429" i="46"/>
  <c r="C428" i="46"/>
  <c r="C427" i="46"/>
  <c r="C426" i="46"/>
  <c r="C425" i="46"/>
  <c r="C423" i="46"/>
  <c r="C422" i="46"/>
  <c r="C421" i="46"/>
  <c r="C420" i="46"/>
  <c r="C419" i="46"/>
  <c r="C418" i="46"/>
  <c r="C417" i="46"/>
  <c r="C416" i="46"/>
  <c r="C415" i="46"/>
  <c r="C414" i="46"/>
  <c r="C412" i="46"/>
  <c r="C411" i="46"/>
  <c r="C410" i="46"/>
  <c r="C409" i="46"/>
  <c r="C408" i="46"/>
  <c r="C407" i="46"/>
  <c r="C406" i="46"/>
  <c r="C405" i="46"/>
  <c r="C404" i="46"/>
  <c r="C403" i="46"/>
  <c r="C402" i="46"/>
  <c r="C401" i="46"/>
  <c r="C400" i="46"/>
  <c r="C399" i="46"/>
  <c r="C398" i="46"/>
  <c r="C397" i="46"/>
  <c r="C396" i="46"/>
  <c r="C395" i="46"/>
  <c r="C394" i="46"/>
  <c r="C393" i="46"/>
  <c r="C392" i="46"/>
  <c r="C391" i="46"/>
  <c r="C390" i="46"/>
  <c r="C389" i="46"/>
  <c r="C388" i="46"/>
  <c r="C387" i="46"/>
  <c r="C386" i="46"/>
  <c r="C385" i="46"/>
  <c r="C384" i="46"/>
  <c r="C383" i="46"/>
  <c r="C382" i="46"/>
  <c r="C381" i="46"/>
  <c r="C380" i="46"/>
  <c r="C379" i="46"/>
  <c r="C378" i="46"/>
  <c r="C377" i="46"/>
  <c r="C376" i="46"/>
  <c r="C375" i="46"/>
  <c r="C374" i="46"/>
  <c r="C373" i="46"/>
  <c r="C372" i="46"/>
  <c r="C371" i="46"/>
  <c r="C370" i="46"/>
  <c r="C365" i="46"/>
  <c r="C364" i="46"/>
  <c r="C363" i="46"/>
  <c r="C362" i="46"/>
  <c r="C361" i="46"/>
  <c r="C360" i="46"/>
  <c r="C359" i="46"/>
  <c r="C358" i="46"/>
  <c r="C357" i="46"/>
  <c r="C356" i="46"/>
  <c r="C355" i="46"/>
  <c r="C354" i="46"/>
  <c r="C353" i="46"/>
  <c r="C352" i="46"/>
  <c r="C351" i="46"/>
  <c r="C350" i="46"/>
  <c r="C349" i="46"/>
  <c r="C348" i="46"/>
  <c r="C347" i="46"/>
  <c r="C346" i="46"/>
  <c r="C345" i="46"/>
  <c r="C344" i="46"/>
  <c r="C343" i="46"/>
  <c r="C342" i="46"/>
  <c r="C341" i="46"/>
  <c r="C340" i="46"/>
  <c r="C339" i="46"/>
  <c r="C338" i="46"/>
  <c r="C337" i="46"/>
  <c r="C336" i="46"/>
  <c r="C335" i="46"/>
  <c r="C334" i="46"/>
  <c r="C333" i="46"/>
  <c r="C332" i="46"/>
  <c r="C331" i="46"/>
  <c r="C330" i="46"/>
  <c r="C329" i="46"/>
  <c r="C328" i="46"/>
  <c r="C327" i="46"/>
  <c r="C326" i="46"/>
  <c r="C325" i="46"/>
  <c r="C324" i="46"/>
  <c r="C323" i="46"/>
  <c r="C322" i="46"/>
  <c r="C321" i="46"/>
  <c r="C320" i="46"/>
  <c r="C319" i="46"/>
  <c r="C318" i="46"/>
  <c r="C317" i="46"/>
  <c r="C316" i="46"/>
  <c r="C315" i="46"/>
  <c r="C314" i="46"/>
  <c r="C313" i="46"/>
  <c r="C312" i="46"/>
  <c r="C311" i="46"/>
  <c r="C310" i="46"/>
  <c r="C309" i="46"/>
  <c r="C308" i="46"/>
  <c r="C307" i="46"/>
  <c r="C306" i="46"/>
  <c r="C305" i="46"/>
  <c r="C304" i="46"/>
  <c r="C303" i="46"/>
  <c r="C302" i="46"/>
  <c r="C301" i="46"/>
  <c r="C300" i="46"/>
  <c r="C299" i="46"/>
  <c r="C298" i="46"/>
  <c r="C297" i="46"/>
  <c r="C296" i="46"/>
  <c r="C295" i="46"/>
  <c r="C294" i="46"/>
  <c r="C293" i="46"/>
  <c r="C292" i="46"/>
  <c r="C291" i="46"/>
  <c r="C290" i="46"/>
  <c r="C289" i="46"/>
  <c r="C288" i="46"/>
  <c r="C287" i="46"/>
  <c r="C286" i="46"/>
  <c r="C285" i="46"/>
  <c r="C284" i="46"/>
  <c r="C283" i="46"/>
  <c r="C282" i="46"/>
  <c r="C281" i="46"/>
  <c r="C280" i="46"/>
  <c r="C279" i="46"/>
  <c r="C278" i="46"/>
  <c r="C277" i="46"/>
  <c r="C276" i="46"/>
  <c r="C275" i="46"/>
  <c r="C274" i="46"/>
  <c r="C273" i="46"/>
  <c r="C272" i="46"/>
  <c r="C271" i="46"/>
  <c r="C270" i="46"/>
  <c r="C269" i="46"/>
  <c r="C268" i="46"/>
  <c r="C267" i="46"/>
  <c r="C266" i="46"/>
  <c r="C265" i="46"/>
  <c r="C264" i="46"/>
  <c r="C263" i="46"/>
  <c r="C262" i="46"/>
  <c r="C261" i="46"/>
  <c r="C260" i="46"/>
  <c r="C259" i="46"/>
  <c r="C258" i="46"/>
  <c r="C257" i="46"/>
  <c r="C256" i="46"/>
  <c r="C255" i="46"/>
  <c r="C254" i="46"/>
  <c r="C253" i="46"/>
  <c r="C252" i="46"/>
  <c r="C251" i="46"/>
  <c r="C250" i="46"/>
  <c r="C249" i="46"/>
  <c r="C248" i="46"/>
  <c r="C247" i="46"/>
  <c r="C246" i="46"/>
  <c r="C245" i="46"/>
  <c r="C244" i="46"/>
  <c r="C243" i="46"/>
  <c r="C242" i="46"/>
  <c r="C241" i="46"/>
  <c r="C240" i="46"/>
  <c r="C239" i="46"/>
  <c r="C238" i="46"/>
  <c r="C237" i="46"/>
  <c r="C236" i="46"/>
  <c r="C235" i="46"/>
  <c r="C234" i="46"/>
  <c r="C233" i="46"/>
  <c r="C232" i="46"/>
  <c r="C231" i="46"/>
  <c r="C230" i="46"/>
  <c r="C229" i="46"/>
  <c r="C228" i="46"/>
  <c r="C227" i="46"/>
  <c r="C226" i="46"/>
  <c r="C225" i="46"/>
  <c r="C224" i="46"/>
  <c r="C223" i="46"/>
  <c r="C222" i="46"/>
  <c r="C221" i="46"/>
  <c r="C220" i="46"/>
  <c r="C219" i="46"/>
  <c r="C218" i="46"/>
  <c r="C217" i="46"/>
  <c r="C216" i="46"/>
  <c r="C215" i="46"/>
  <c r="C214" i="46"/>
  <c r="C213" i="46"/>
  <c r="C212" i="46"/>
  <c r="C211" i="46"/>
  <c r="C210" i="46"/>
  <c r="C209" i="46"/>
  <c r="C208" i="46"/>
  <c r="C207" i="46"/>
  <c r="C206" i="46"/>
  <c r="C205" i="46"/>
  <c r="C204" i="46"/>
  <c r="C203" i="46"/>
  <c r="C202" i="46"/>
  <c r="C201" i="46"/>
  <c r="C200" i="46"/>
  <c r="C199" i="46"/>
  <c r="C198" i="46"/>
  <c r="C197" i="46"/>
  <c r="C196" i="46"/>
  <c r="C195" i="46"/>
  <c r="C194" i="46"/>
  <c r="C193" i="46"/>
  <c r="C192" i="46"/>
  <c r="C191" i="46"/>
  <c r="C190" i="46"/>
  <c r="C189" i="46"/>
  <c r="C188" i="46"/>
  <c r="C187" i="46"/>
  <c r="C186" i="46"/>
  <c r="C185" i="46"/>
  <c r="C184" i="46"/>
  <c r="C183" i="46"/>
  <c r="C182" i="46"/>
  <c r="C181" i="46"/>
  <c r="C180" i="46"/>
  <c r="C179" i="46"/>
  <c r="C178" i="46"/>
  <c r="C177" i="46"/>
  <c r="C176" i="46"/>
  <c r="C175" i="46"/>
  <c r="C174" i="46"/>
  <c r="C173" i="46"/>
  <c r="C172" i="46"/>
  <c r="C171" i="46"/>
  <c r="C170" i="46"/>
  <c r="C169" i="46"/>
  <c r="C168" i="46"/>
  <c r="C167" i="46"/>
  <c r="C166" i="46"/>
  <c r="C165" i="46"/>
  <c r="C164" i="46"/>
  <c r="C163" i="46"/>
  <c r="C162" i="46"/>
  <c r="C161" i="46"/>
  <c r="C160" i="46"/>
  <c r="C159" i="46"/>
  <c r="C158" i="46"/>
  <c r="C157" i="46"/>
  <c r="C156" i="46"/>
  <c r="C155" i="46"/>
  <c r="C154" i="46"/>
  <c r="C153" i="46"/>
  <c r="C152" i="46"/>
  <c r="C151" i="46"/>
  <c r="C150" i="46"/>
  <c r="C149" i="46"/>
  <c r="C148" i="46"/>
  <c r="C147" i="46"/>
  <c r="C146" i="46"/>
  <c r="C145" i="46"/>
  <c r="C144" i="46"/>
  <c r="C143" i="46"/>
  <c r="C142" i="46"/>
  <c r="C141" i="46"/>
  <c r="C140" i="46"/>
  <c r="C139" i="46"/>
  <c r="C138" i="46"/>
  <c r="C137" i="46"/>
  <c r="C136" i="46"/>
  <c r="C135" i="46"/>
  <c r="C134" i="46"/>
  <c r="C133" i="46"/>
  <c r="C132" i="46"/>
  <c r="C131" i="46"/>
  <c r="C130" i="46"/>
  <c r="C129" i="46"/>
  <c r="C128" i="46"/>
  <c r="C127" i="46"/>
  <c r="C126" i="46"/>
  <c r="C125" i="46"/>
  <c r="C124" i="46"/>
  <c r="C123" i="46"/>
  <c r="C122" i="46"/>
  <c r="C121" i="46"/>
  <c r="C120" i="46"/>
  <c r="C119" i="46"/>
  <c r="C118" i="46"/>
  <c r="C117" i="46"/>
  <c r="C116" i="46"/>
  <c r="C115" i="46"/>
  <c r="C114" i="46"/>
  <c r="C113" i="46"/>
  <c r="C112" i="46"/>
  <c r="C111" i="46"/>
  <c r="C110" i="46"/>
  <c r="C109" i="46"/>
  <c r="C108" i="46"/>
  <c r="C107" i="46"/>
  <c r="C106" i="46"/>
  <c r="C105" i="46"/>
  <c r="C104" i="46"/>
  <c r="C103" i="46"/>
  <c r="C102" i="46"/>
  <c r="C101" i="46"/>
  <c r="C100" i="46"/>
  <c r="C99" i="46"/>
  <c r="C98" i="46"/>
  <c r="C97" i="46"/>
  <c r="C96" i="46"/>
  <c r="C95" i="46"/>
  <c r="C94" i="46"/>
  <c r="C93" i="46"/>
  <c r="C92" i="46"/>
  <c r="C91" i="46"/>
  <c r="C90" i="46"/>
  <c r="C89" i="46"/>
  <c r="C88" i="46"/>
  <c r="C87" i="46"/>
  <c r="C86" i="46"/>
  <c r="C85" i="46"/>
  <c r="C84" i="46"/>
  <c r="C83" i="46"/>
  <c r="C82" i="46"/>
  <c r="C81" i="46"/>
  <c r="C80" i="46"/>
  <c r="C79" i="46"/>
  <c r="C78" i="46"/>
  <c r="C77" i="46"/>
  <c r="C76" i="46"/>
  <c r="C75" i="46"/>
  <c r="C74" i="46"/>
  <c r="C73" i="46"/>
  <c r="C72" i="46"/>
  <c r="C71" i="46"/>
  <c r="C70" i="46"/>
  <c r="C69" i="46"/>
  <c r="C68" i="46"/>
  <c r="C67" i="46"/>
  <c r="C66" i="46"/>
  <c r="C65" i="46"/>
  <c r="C64" i="46"/>
  <c r="C63" i="46"/>
  <c r="C62" i="46"/>
  <c r="C61" i="46"/>
  <c r="C60" i="46"/>
  <c r="C59" i="46"/>
  <c r="C58" i="46"/>
  <c r="C57" i="46"/>
  <c r="C56" i="46"/>
  <c r="C55" i="46"/>
  <c r="C54" i="46"/>
  <c r="C53" i="46"/>
  <c r="C52" i="46"/>
  <c r="C51" i="46"/>
  <c r="C50" i="46"/>
  <c r="C49" i="46"/>
  <c r="C48" i="46"/>
  <c r="C47" i="46"/>
  <c r="C46" i="46"/>
  <c r="C45" i="46"/>
  <c r="C44" i="46"/>
  <c r="C43" i="46"/>
  <c r="C42" i="46"/>
  <c r="C41" i="46"/>
  <c r="C40" i="46"/>
  <c r="C39" i="46"/>
  <c r="C38" i="46"/>
  <c r="C37" i="46"/>
  <c r="C36" i="46"/>
  <c r="C35" i="46"/>
  <c r="C34" i="46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K46" i="34"/>
  <c r="N46" i="34" s="1"/>
  <c r="R2" i="1" a="1"/>
  <c r="R2" i="1" s="1"/>
  <c r="Q2" i="1" a="1"/>
  <c r="Q2" i="1" s="1"/>
  <c r="AB2" i="1" s="1" a="1"/>
  <c r="AB2" i="1" s="1"/>
  <c r="P2" i="1" a="1"/>
  <c r="P2" i="1" s="1"/>
  <c r="E2" i="1" a="1"/>
  <c r="E2" i="1" s="1"/>
  <c r="A2" i="1" a="1"/>
  <c r="A2" i="1" s="1"/>
  <c r="B2" i="1" l="1" a="1"/>
  <c r="B2" i="1" s="1"/>
  <c r="D2" i="1" a="1"/>
  <c r="D2" i="1" s="1"/>
  <c r="O46" i="34"/>
  <c r="M46" i="34"/>
  <c r="C2" i="1" a="1"/>
  <c r="AG2" i="1" a="1"/>
  <c r="AG2" i="1" s="1"/>
  <c r="O19" i="25"/>
  <c r="N19" i="25"/>
  <c r="M19" i="25"/>
  <c r="L19" i="25"/>
  <c r="K19" i="25"/>
  <c r="J19" i="25"/>
  <c r="I19" i="25"/>
  <c r="H19" i="25"/>
  <c r="G19" i="25"/>
  <c r="F19" i="25"/>
  <c r="AH2123" i="1"/>
  <c r="AH2122" i="1"/>
  <c r="AG2120" i="1" a="1"/>
  <c r="AG2120" i="1" s="1"/>
  <c r="AG2121" i="1" a="1"/>
  <c r="AG2121" i="1" s="1"/>
  <c r="AG2122" i="1" a="1"/>
  <c r="AG2122" i="1" s="1"/>
  <c r="AG2123" i="1" a="1"/>
  <c r="AG2123" i="1" s="1"/>
  <c r="AH2119" i="1"/>
  <c r="AH2117" i="1"/>
  <c r="AG2117" i="1" a="1"/>
  <c r="AG2117" i="1" s="1"/>
  <c r="AG2118" i="1" a="1"/>
  <c r="AG2118" i="1" s="1"/>
  <c r="AG2119" i="1" a="1"/>
  <c r="AG2119" i="1" s="1"/>
  <c r="AH2116" i="1"/>
  <c r="AG2116" i="1" a="1"/>
  <c r="AG2116" i="1" s="1"/>
  <c r="AG2115" i="1" a="1"/>
  <c r="AG2115" i="1" s="1"/>
  <c r="AG2114" i="1" a="1"/>
  <c r="AG2114" i="1" s="1"/>
  <c r="J8" i="28"/>
  <c r="K8" i="28" s="1"/>
  <c r="J3" i="28"/>
  <c r="AG2111" i="1" a="1"/>
  <c r="AG2111" i="1" s="1"/>
  <c r="AG2112" i="1" a="1"/>
  <c r="AG2112" i="1" s="1"/>
  <c r="AG2113" i="1" a="1"/>
  <c r="AG2113" i="1" s="1"/>
  <c r="AH2110" i="1"/>
  <c r="AG2110" i="1" a="1"/>
  <c r="AG2110" i="1" s="1"/>
  <c r="AG2108" i="1" a="1"/>
  <c r="AG2108" i="1" s="1"/>
  <c r="AG2109" i="1" a="1"/>
  <c r="AG2109" i="1" s="1"/>
  <c r="U8" i="25"/>
  <c r="AG2103" i="1" a="1"/>
  <c r="AG2103" i="1" s="1"/>
  <c r="AG2104" i="1" a="1"/>
  <c r="AG2104" i="1" s="1"/>
  <c r="AG2105" i="1" a="1"/>
  <c r="AG2105" i="1" s="1"/>
  <c r="AG2106" i="1" a="1"/>
  <c r="AG2106" i="1" s="1"/>
  <c r="AG2107" i="1" a="1"/>
  <c r="AG2107" i="1" s="1"/>
  <c r="AG2101" i="1" a="1"/>
  <c r="AG2101" i="1" s="1"/>
  <c r="AG2102" i="1" a="1"/>
  <c r="AG2102" i="1" s="1"/>
  <c r="AH2100" i="1"/>
  <c r="AG2100" i="1" a="1"/>
  <c r="AG2100" i="1" s="1"/>
  <c r="AG2095" i="1" a="1"/>
  <c r="AG2095" i="1" s="1"/>
  <c r="AG2096" i="1" a="1"/>
  <c r="AG2096" i="1" s="1"/>
  <c r="AG2097" i="1" a="1"/>
  <c r="AG2097" i="1" s="1"/>
  <c r="AG2098" i="1" a="1"/>
  <c r="AG2098" i="1" s="1"/>
  <c r="AG2099" i="1" a="1"/>
  <c r="AG2099" i="1" s="1"/>
  <c r="AH2094" i="1"/>
  <c r="J24" i="34"/>
  <c r="AG2093" i="1" a="1"/>
  <c r="AG2093" i="1" s="1"/>
  <c r="AH2091" i="1"/>
  <c r="AG2091" i="1" a="1"/>
  <c r="AG2091" i="1" s="1"/>
  <c r="AH2085" i="1"/>
  <c r="J7" i="34"/>
  <c r="J13" i="34"/>
  <c r="J16" i="34"/>
  <c r="J19" i="34"/>
  <c r="J22" i="34"/>
  <c r="J27" i="34"/>
  <c r="J29" i="34"/>
  <c r="J30" i="34"/>
  <c r="J31" i="34"/>
  <c r="J32" i="34"/>
  <c r="J37" i="34"/>
  <c r="J36" i="34"/>
  <c r="J39" i="34"/>
  <c r="J40" i="34"/>
  <c r="J42" i="34"/>
  <c r="J35" i="34"/>
  <c r="J44" i="34"/>
  <c r="J43" i="34"/>
  <c r="K45" i="34"/>
  <c r="AH2082" i="1"/>
  <c r="AH2081" i="1"/>
  <c r="AH2080" i="1"/>
  <c r="AH2079" i="1"/>
  <c r="AH2078" i="1"/>
  <c r="AH2077" i="1"/>
  <c r="AH2076" i="1"/>
  <c r="AH2075" i="1"/>
  <c r="AH2074" i="1"/>
  <c r="AH2073" i="1"/>
  <c r="AH2072" i="1"/>
  <c r="AH2071" i="1"/>
  <c r="AH2070" i="1"/>
  <c r="AH2069" i="1"/>
  <c r="AH2068" i="1"/>
  <c r="AH2067" i="1"/>
  <c r="AH2066" i="1"/>
  <c r="AH2065" i="1"/>
  <c r="AH2064" i="1"/>
  <c r="AH2063" i="1"/>
  <c r="AH2062" i="1"/>
  <c r="AH2061" i="1"/>
  <c r="AH2060" i="1"/>
  <c r="AH2059" i="1"/>
  <c r="AH2058" i="1"/>
  <c r="AH2057" i="1"/>
  <c r="AH2056" i="1"/>
  <c r="AH2055" i="1"/>
  <c r="D19" i="25"/>
  <c r="AH2054" i="1"/>
  <c r="AH2053" i="1"/>
  <c r="AH2052" i="1"/>
  <c r="AH2051" i="1"/>
  <c r="AH2050" i="1"/>
  <c r="AH2049" i="1"/>
  <c r="AH2048" i="1"/>
  <c r="AH2047" i="1"/>
  <c r="AH2046" i="1"/>
  <c r="AH2045" i="1"/>
  <c r="AH2044" i="1"/>
  <c r="AH2043" i="1"/>
  <c r="AH2042" i="1"/>
  <c r="AH2041" i="1"/>
  <c r="AH2040" i="1"/>
  <c r="AH2039" i="1"/>
  <c r="AH2038" i="1"/>
  <c r="AH2037" i="1"/>
  <c r="AH2036" i="1"/>
  <c r="AH2035" i="1"/>
  <c r="AH2034" i="1"/>
  <c r="AH2033" i="1"/>
  <c r="AH2032" i="1"/>
  <c r="AH2031" i="1"/>
  <c r="AH2030" i="1"/>
  <c r="AH2029" i="1"/>
  <c r="AH2028" i="1"/>
  <c r="AH2027" i="1"/>
  <c r="AH2026" i="1"/>
  <c r="AH2025" i="1"/>
  <c r="AH2024" i="1"/>
  <c r="AH2023" i="1"/>
  <c r="AH2022" i="1"/>
  <c r="AH2021" i="1"/>
  <c r="AH2020" i="1"/>
  <c r="AH2019" i="1"/>
  <c r="AH2018" i="1"/>
  <c r="AH2017" i="1"/>
  <c r="AH2016" i="1"/>
  <c r="AH2015" i="1"/>
  <c r="AH2014" i="1"/>
  <c r="AH2013" i="1"/>
  <c r="AH2012" i="1"/>
  <c r="AH2011" i="1"/>
  <c r="AH2010" i="1"/>
  <c r="AH2009" i="1"/>
  <c r="AH2008" i="1"/>
  <c r="AH2007" i="1"/>
  <c r="AH2006" i="1"/>
  <c r="AH2005" i="1"/>
  <c r="AH2004" i="1"/>
  <c r="AH2003" i="1"/>
  <c r="AH2002" i="1"/>
  <c r="AH2001" i="1"/>
  <c r="AH2000" i="1"/>
  <c r="AH1999" i="1"/>
  <c r="AH1998" i="1"/>
  <c r="AH1997" i="1"/>
  <c r="AH1996" i="1"/>
  <c r="AH1995" i="1"/>
  <c r="AH1994" i="1"/>
  <c r="AH1993" i="1"/>
  <c r="AH1992" i="1"/>
  <c r="AH1991" i="1"/>
  <c r="AH1990" i="1"/>
  <c r="AH1989" i="1"/>
  <c r="AH1988" i="1"/>
  <c r="AH1987" i="1"/>
  <c r="AH1986" i="1"/>
  <c r="AH1985" i="1"/>
  <c r="AH1984" i="1"/>
  <c r="AH1983" i="1"/>
  <c r="AH1982" i="1"/>
  <c r="AH1981" i="1"/>
  <c r="AH1980" i="1"/>
  <c r="AH1977" i="1"/>
  <c r="AH1976" i="1"/>
  <c r="AH1975" i="1"/>
  <c r="AH1974" i="1"/>
  <c r="AH1973" i="1"/>
  <c r="AH1972" i="1"/>
  <c r="AH1971" i="1"/>
  <c r="AH1970" i="1"/>
  <c r="AH1969" i="1"/>
  <c r="AH1968" i="1"/>
  <c r="AH1967" i="1"/>
  <c r="AH1966" i="1"/>
  <c r="AH1965" i="1"/>
  <c r="AH1964" i="1"/>
  <c r="AH1963" i="1"/>
  <c r="AH1962" i="1"/>
  <c r="AH1961" i="1"/>
  <c r="AH1960" i="1"/>
  <c r="AH1959" i="1"/>
  <c r="AH1958" i="1"/>
  <c r="AH1957" i="1"/>
  <c r="AH1956" i="1"/>
  <c r="AH1955" i="1"/>
  <c r="AH1954" i="1"/>
  <c r="AH1953" i="1"/>
  <c r="AH1952" i="1"/>
  <c r="AH1951" i="1"/>
  <c r="AH1950" i="1"/>
  <c r="AH1949" i="1"/>
  <c r="AH1947" i="1"/>
  <c r="AH1946" i="1"/>
  <c r="AH1945" i="1"/>
  <c r="AH1944" i="1"/>
  <c r="AH1943" i="1"/>
  <c r="AH1942" i="1"/>
  <c r="AH1941" i="1"/>
  <c r="AH1938" i="1"/>
  <c r="AG1939" i="1" a="1"/>
  <c r="AG1939" i="1" s="1"/>
  <c r="AG1940" i="1" a="1"/>
  <c r="AG1940" i="1" s="1"/>
  <c r="AG1941" i="1" a="1"/>
  <c r="AG1941" i="1" s="1"/>
  <c r="AG1942" i="1" a="1"/>
  <c r="AG1942" i="1" s="1"/>
  <c r="AH1936" i="1"/>
  <c r="AH1935" i="1"/>
  <c r="AH1934" i="1"/>
  <c r="AH1929" i="1"/>
  <c r="AH1928" i="1"/>
  <c r="AH1927" i="1"/>
  <c r="AH1926" i="1"/>
  <c r="AH1925" i="1"/>
  <c r="AH1924" i="1"/>
  <c r="AH1923" i="1"/>
  <c r="AH1922" i="1"/>
  <c r="AH1921" i="1"/>
  <c r="AH1920" i="1"/>
  <c r="AH1919" i="1"/>
  <c r="AH1918" i="1"/>
  <c r="AH1917" i="1"/>
  <c r="AG1920" i="1" a="1"/>
  <c r="AG1920" i="1" s="1"/>
  <c r="AH1916" i="1"/>
  <c r="AH1915" i="1"/>
  <c r="AH1914" i="1"/>
  <c r="AH1913" i="1"/>
  <c r="AH1912" i="1"/>
  <c r="AH1911" i="1"/>
  <c r="AH1910" i="1"/>
  <c r="AH1909" i="1"/>
  <c r="AH1908" i="1"/>
  <c r="AH1907" i="1"/>
  <c r="AH1906" i="1"/>
  <c r="AH1905" i="1"/>
  <c r="AH1904" i="1"/>
  <c r="AH1903" i="1"/>
  <c r="AH1902" i="1"/>
  <c r="AG1910" i="1" a="1"/>
  <c r="AG1910" i="1" s="1"/>
  <c r="AG1911" i="1" a="1"/>
  <c r="AG1911" i="1" s="1"/>
  <c r="AG1912" i="1" a="1"/>
  <c r="AG1912" i="1" s="1"/>
  <c r="AG1913" i="1" a="1"/>
  <c r="AG1913" i="1" s="1"/>
  <c r="AG1914" i="1" a="1"/>
  <c r="AG1914" i="1" s="1"/>
  <c r="AH1901" i="1"/>
  <c r="AH1900" i="1"/>
  <c r="AH1899" i="1"/>
  <c r="AH1898" i="1"/>
  <c r="AH1897" i="1"/>
  <c r="AH1896" i="1"/>
  <c r="AH1895" i="1"/>
  <c r="AH1894" i="1"/>
  <c r="AH1893" i="1"/>
  <c r="AH1892" i="1"/>
  <c r="AH1891" i="1"/>
  <c r="AH1890" i="1"/>
  <c r="AH1889" i="1"/>
  <c r="AH1888" i="1"/>
  <c r="AH1887" i="1"/>
  <c r="AH1886" i="1"/>
  <c r="AH1885" i="1"/>
  <c r="AH1884" i="1"/>
  <c r="AH1883" i="1"/>
  <c r="AH1882" i="1"/>
  <c r="AH1881" i="1"/>
  <c r="AH1880" i="1"/>
  <c r="AH1879" i="1"/>
  <c r="AG1882" i="1" a="1"/>
  <c r="AG1882" i="1" s="1"/>
  <c r="AG1884" i="1" a="1"/>
  <c r="AG1884" i="1" s="1"/>
  <c r="AG1885" i="1" a="1"/>
  <c r="AG1885" i="1" s="1"/>
  <c r="AG1889" i="1" a="1"/>
  <c r="AG1889" i="1" s="1"/>
  <c r="K44" i="34"/>
  <c r="H8" i="28"/>
  <c r="D8" i="28"/>
  <c r="AH1878" i="1"/>
  <c r="AH1877" i="1"/>
  <c r="AH1876" i="1"/>
  <c r="AH1875" i="1"/>
  <c r="AH1874" i="1"/>
  <c r="M191" i="30"/>
  <c r="K191" i="30"/>
  <c r="H238" i="29"/>
  <c r="I238" i="29" s="1"/>
  <c r="B238" i="29"/>
  <c r="AH1873" i="1"/>
  <c r="AH1872" i="1"/>
  <c r="AH1871" i="1"/>
  <c r="AH1870" i="1"/>
  <c r="AH1869" i="1"/>
  <c r="AH1868" i="1"/>
  <c r="AH1867" i="1"/>
  <c r="AH1866" i="1"/>
  <c r="AH1865" i="1"/>
  <c r="AG1862" i="1" a="1"/>
  <c r="AG1862" i="1" s="1"/>
  <c r="AG1863" i="1" a="1"/>
  <c r="AG1863" i="1" s="1"/>
  <c r="AG1865" i="1" a="1"/>
  <c r="AG1865" i="1" s="1"/>
  <c r="K184" i="30"/>
  <c r="K185" i="30"/>
  <c r="K186" i="30"/>
  <c r="K187" i="30"/>
  <c r="K188" i="30"/>
  <c r="K189" i="30"/>
  <c r="K190" i="30"/>
  <c r="H237" i="29"/>
  <c r="I237" i="29" s="1"/>
  <c r="H236" i="29"/>
  <c r="I236" i="29" s="1"/>
  <c r="H235" i="29"/>
  <c r="I235" i="29" s="1"/>
  <c r="H234" i="29"/>
  <c r="I234" i="29" s="1"/>
  <c r="H233" i="29"/>
  <c r="I233" i="29" s="1"/>
  <c r="H232" i="29"/>
  <c r="I232" i="29" s="1"/>
  <c r="B232" i="29"/>
  <c r="B233" i="29"/>
  <c r="B234" i="29"/>
  <c r="B235" i="29"/>
  <c r="B236" i="29"/>
  <c r="B237" i="29"/>
  <c r="AG1861" i="1" a="1"/>
  <c r="AG1861" i="1" s="1"/>
  <c r="AH1845" i="1"/>
  <c r="AH1844" i="1"/>
  <c r="AG1838" i="1" a="1"/>
  <c r="AG1838" i="1" s="1"/>
  <c r="AG1841" i="1" a="1"/>
  <c r="AG1841" i="1" s="1"/>
  <c r="AG1843" i="1" a="1"/>
  <c r="AG1843" i="1" s="1"/>
  <c r="AH1826" i="1"/>
  <c r="AG1815" i="1" a="1"/>
  <c r="AG1815" i="1" s="1"/>
  <c r="AG1818" i="1" a="1"/>
  <c r="AG1818" i="1" s="1"/>
  <c r="AG1824" i="1" a="1"/>
  <c r="AG1824" i="1" s="1"/>
  <c r="AG1829" i="1" a="1"/>
  <c r="AG1829" i="1" s="1"/>
  <c r="AG1832" i="1" a="1"/>
  <c r="AG1832" i="1" s="1"/>
  <c r="H231" i="29"/>
  <c r="I231" i="29" s="1"/>
  <c r="B231" i="29"/>
  <c r="B230" i="29"/>
  <c r="I229" i="29"/>
  <c r="B229" i="29"/>
  <c r="M169" i="30"/>
  <c r="K175" i="30"/>
  <c r="K176" i="30"/>
  <c r="K177" i="30"/>
  <c r="K178" i="30"/>
  <c r="K179" i="30"/>
  <c r="K180" i="30"/>
  <c r="K181" i="30"/>
  <c r="K182" i="30"/>
  <c r="K183" i="30"/>
  <c r="E228" i="29"/>
  <c r="I228" i="29" s="1"/>
  <c r="B228" i="29"/>
  <c r="AH1799" i="1"/>
  <c r="AH1797" i="1"/>
  <c r="AH1796" i="1"/>
  <c r="AH1787" i="1"/>
  <c r="AH1785" i="1"/>
  <c r="I227" i="29"/>
  <c r="B227" i="29"/>
  <c r="AH1782" i="1"/>
  <c r="AH1781" i="1"/>
  <c r="AH1779" i="1"/>
  <c r="AH1778" i="1"/>
  <c r="AH1775" i="1"/>
  <c r="AG1777" i="1" a="1"/>
  <c r="AG1777" i="1" s="1"/>
  <c r="I226" i="29"/>
  <c r="B226" i="29"/>
  <c r="I225" i="29"/>
  <c r="I224" i="29"/>
  <c r="B225" i="29"/>
  <c r="K43" i="34"/>
  <c r="AG1770" i="1" a="1"/>
  <c r="AG1770" i="1" s="1"/>
  <c r="E221" i="29"/>
  <c r="I221" i="29" s="1"/>
  <c r="E220" i="29"/>
  <c r="I220" i="29" s="1"/>
  <c r="B220" i="29"/>
  <c r="B221" i="29"/>
  <c r="E223" i="29"/>
  <c r="I223" i="29" s="1"/>
  <c r="B223" i="29"/>
  <c r="E224" i="29"/>
  <c r="E222" i="29"/>
  <c r="I222" i="29" s="1"/>
  <c r="B224" i="29"/>
  <c r="B222" i="29"/>
  <c r="AG3" i="1" a="1"/>
  <c r="AG3" i="1" s="1"/>
  <c r="AG4" i="1" a="1"/>
  <c r="AG4" i="1" s="1"/>
  <c r="AG5" i="1" a="1"/>
  <c r="AG5" i="1" s="1"/>
  <c r="AG6" i="1" a="1"/>
  <c r="AG6" i="1" s="1"/>
  <c r="AG7" i="1" a="1"/>
  <c r="AG7" i="1" s="1"/>
  <c r="AG8" i="1" a="1"/>
  <c r="AG8" i="1" s="1"/>
  <c r="AG9" i="1" a="1"/>
  <c r="AG9" i="1" s="1"/>
  <c r="AG10" i="1" a="1"/>
  <c r="AG10" i="1" s="1"/>
  <c r="AG11" i="1" a="1"/>
  <c r="AG11" i="1" s="1"/>
  <c r="AG12" i="1" a="1"/>
  <c r="AG12" i="1" s="1"/>
  <c r="AG13" i="1" a="1"/>
  <c r="AG13" i="1" s="1"/>
  <c r="AG14" i="1" a="1"/>
  <c r="AG14" i="1" s="1"/>
  <c r="AG15" i="1" a="1"/>
  <c r="AG15" i="1" s="1"/>
  <c r="AG16" i="1" a="1"/>
  <c r="AG16" i="1" s="1"/>
  <c r="AG17" i="1" a="1"/>
  <c r="AG17" i="1" s="1"/>
  <c r="AG18" i="1" a="1"/>
  <c r="AG18" i="1" s="1"/>
  <c r="AG19" i="1" a="1"/>
  <c r="AG19" i="1" s="1"/>
  <c r="AG20" i="1" a="1"/>
  <c r="AG20" i="1" s="1"/>
  <c r="AG21" i="1" a="1"/>
  <c r="AG21" i="1" s="1"/>
  <c r="AG22" i="1" a="1"/>
  <c r="AG22" i="1" s="1"/>
  <c r="AG23" i="1" a="1"/>
  <c r="AG23" i="1" s="1"/>
  <c r="AG24" i="1" a="1"/>
  <c r="AG24" i="1" s="1"/>
  <c r="AG25" i="1" a="1"/>
  <c r="AG25" i="1" s="1"/>
  <c r="AG26" i="1" a="1"/>
  <c r="AG26" i="1" s="1"/>
  <c r="AG27" i="1" a="1"/>
  <c r="AG27" i="1" s="1"/>
  <c r="AG28" i="1" a="1"/>
  <c r="AG28" i="1" s="1"/>
  <c r="AG29" i="1" a="1"/>
  <c r="AG29" i="1" s="1"/>
  <c r="AG30" i="1" a="1"/>
  <c r="AG30" i="1" s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8" i="1" a="1"/>
  <c r="AG38" i="1" s="1"/>
  <c r="AG39" i="1" a="1"/>
  <c r="AG39" i="1" s="1"/>
  <c r="AG40" i="1" a="1"/>
  <c r="AG40" i="1" s="1"/>
  <c r="AG41" i="1" a="1"/>
  <c r="AG41" i="1" s="1"/>
  <c r="AG42" i="1" a="1"/>
  <c r="AG42" i="1" s="1"/>
  <c r="AG43" i="1" a="1"/>
  <c r="AG43" i="1" s="1"/>
  <c r="AG44" i="1" a="1"/>
  <c r="AG44" i="1" s="1"/>
  <c r="AG45" i="1" a="1"/>
  <c r="AG45" i="1" s="1"/>
  <c r="AG46" i="1" a="1"/>
  <c r="AG46" i="1" s="1"/>
  <c r="AG47" i="1" a="1"/>
  <c r="AG47" i="1" s="1"/>
  <c r="AG48" i="1" a="1"/>
  <c r="AG48" i="1" s="1"/>
  <c r="AG49" i="1" a="1"/>
  <c r="AG49" i="1" s="1"/>
  <c r="AG50" i="1" a="1"/>
  <c r="AG50" i="1" s="1"/>
  <c r="AG51" i="1" a="1"/>
  <c r="AG51" i="1" s="1"/>
  <c r="AG52" i="1" a="1"/>
  <c r="AG52" i="1" s="1"/>
  <c r="AG53" i="1" a="1"/>
  <c r="AG53" i="1" s="1"/>
  <c r="AG54" i="1" a="1"/>
  <c r="AG54" i="1" s="1"/>
  <c r="AG55" i="1" a="1"/>
  <c r="AG55" i="1" s="1"/>
  <c r="AG56" i="1" a="1"/>
  <c r="AG56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4" i="1" a="1"/>
  <c r="AG64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0" i="1" a="1"/>
  <c r="AG70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G77" i="1" a="1"/>
  <c r="AG77" i="1" s="1"/>
  <c r="AG78" i="1" a="1"/>
  <c r="AG78" i="1" s="1"/>
  <c r="AG79" i="1" a="1"/>
  <c r="AG79" i="1" s="1"/>
  <c r="AG80" i="1" a="1"/>
  <c r="AG80" i="1" s="1"/>
  <c r="AG81" i="1" a="1"/>
  <c r="AG81" i="1" s="1"/>
  <c r="AG82" i="1" a="1"/>
  <c r="AG82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0" i="1" a="1"/>
  <c r="AG90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6" i="1" a="1"/>
  <c r="AG96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G102" i="1" a="1"/>
  <c r="AG102" i="1" s="1"/>
  <c r="AG103" i="1" a="1"/>
  <c r="AG103" i="1" s="1"/>
  <c r="AG104" i="1" a="1"/>
  <c r="AG104" i="1" s="1"/>
  <c r="AG105" i="1" a="1"/>
  <c r="AG105" i="1" s="1"/>
  <c r="AG106" i="1" a="1"/>
  <c r="AG106" i="1" s="1"/>
  <c r="AG107" i="1" a="1"/>
  <c r="AG107" i="1" s="1"/>
  <c r="AG108" i="1" a="1"/>
  <c r="AG108" i="1" s="1"/>
  <c r="AG109" i="1" a="1"/>
  <c r="AG109" i="1" s="1"/>
  <c r="AG110" i="1" a="1"/>
  <c r="AG110" i="1" s="1"/>
  <c r="AG111" i="1" a="1"/>
  <c r="AG111" i="1" s="1"/>
  <c r="AG112" i="1" a="1"/>
  <c r="AG112" i="1" s="1"/>
  <c r="AG113" i="1" a="1"/>
  <c r="AG113" i="1" s="1"/>
  <c r="AG114" i="1" a="1"/>
  <c r="AG114" i="1" s="1"/>
  <c r="AG115" i="1" a="1"/>
  <c r="AG115" i="1" s="1"/>
  <c r="AG116" i="1" a="1"/>
  <c r="AG116" i="1" s="1"/>
  <c r="AG117" i="1" a="1"/>
  <c r="AG117" i="1" s="1"/>
  <c r="AG118" i="1" a="1"/>
  <c r="AG118" i="1" s="1"/>
  <c r="AG119" i="1" a="1"/>
  <c r="AG119" i="1" s="1"/>
  <c r="AG120" i="1" a="1"/>
  <c r="AG120" i="1" s="1"/>
  <c r="AG121" i="1" a="1"/>
  <c r="AG121" i="1" s="1"/>
  <c r="AG122" i="1" a="1"/>
  <c r="AG122" i="1" s="1"/>
  <c r="AG123" i="1" a="1"/>
  <c r="AG123" i="1" s="1"/>
  <c r="AG124" i="1" a="1"/>
  <c r="AG124" i="1" s="1"/>
  <c r="AG125" i="1" a="1"/>
  <c r="AG125" i="1" s="1"/>
  <c r="AG126" i="1" a="1"/>
  <c r="AG126" i="1" s="1"/>
  <c r="AG127" i="1" a="1"/>
  <c r="AG127" i="1" s="1"/>
  <c r="AG128" i="1" a="1"/>
  <c r="AG128" i="1" s="1"/>
  <c r="AG129" i="1" a="1"/>
  <c r="AG129" i="1" s="1"/>
  <c r="AG130" i="1" a="1"/>
  <c r="AG130" i="1" s="1"/>
  <c r="AG131" i="1" a="1"/>
  <c r="AG131" i="1" s="1"/>
  <c r="AG132" i="1" a="1"/>
  <c r="AG132" i="1" s="1"/>
  <c r="AG133" i="1" a="1"/>
  <c r="AG133" i="1" s="1"/>
  <c r="AG134" i="1" a="1"/>
  <c r="AG134" i="1" s="1"/>
  <c r="AG135" i="1" a="1"/>
  <c r="AG135" i="1" s="1"/>
  <c r="AG136" i="1" a="1"/>
  <c r="AG136" i="1" s="1"/>
  <c r="AG137" i="1" a="1"/>
  <c r="AG137" i="1" s="1"/>
  <c r="AG138" i="1" a="1"/>
  <c r="AG138" i="1" s="1"/>
  <c r="AG139" i="1" a="1"/>
  <c r="AG139" i="1" s="1"/>
  <c r="AG140" i="1" a="1"/>
  <c r="AG140" i="1" s="1"/>
  <c r="AG141" i="1" a="1"/>
  <c r="AG141" i="1" s="1"/>
  <c r="AG142" i="1" a="1"/>
  <c r="AG142" i="1" s="1"/>
  <c r="AG143" i="1" a="1"/>
  <c r="AG143" i="1" s="1"/>
  <c r="AG144" i="1" a="1"/>
  <c r="AG144" i="1" s="1"/>
  <c r="AG145" i="1" a="1"/>
  <c r="AG145" i="1" s="1"/>
  <c r="AG146" i="1" a="1"/>
  <c r="AG146" i="1" s="1"/>
  <c r="AG147" i="1" a="1"/>
  <c r="AG147" i="1" s="1"/>
  <c r="AG148" i="1" a="1"/>
  <c r="AG148" i="1" s="1"/>
  <c r="AG149" i="1" a="1"/>
  <c r="AG149" i="1" s="1"/>
  <c r="AG150" i="1" a="1"/>
  <c r="AG150" i="1" s="1"/>
  <c r="AG151" i="1" a="1"/>
  <c r="AG151" i="1" s="1"/>
  <c r="AG152" i="1" a="1"/>
  <c r="AG152" i="1" s="1"/>
  <c r="AG153" i="1" a="1"/>
  <c r="AG153" i="1" s="1"/>
  <c r="AG154" i="1" a="1"/>
  <c r="AG154" i="1" s="1"/>
  <c r="AG155" i="1" a="1"/>
  <c r="AG155" i="1" s="1"/>
  <c r="AG156" i="1" a="1"/>
  <c r="AG156" i="1" s="1"/>
  <c r="AG157" i="1" a="1"/>
  <c r="AG157" i="1" s="1"/>
  <c r="AG158" i="1" a="1"/>
  <c r="AG158" i="1" s="1"/>
  <c r="AG159" i="1" a="1"/>
  <c r="AG159" i="1" s="1"/>
  <c r="AG160" i="1" a="1"/>
  <c r="AG160" i="1" s="1"/>
  <c r="AG161" i="1" a="1"/>
  <c r="AG161" i="1" s="1"/>
  <c r="AG162" i="1" a="1"/>
  <c r="AG162" i="1" s="1"/>
  <c r="AG163" i="1" a="1"/>
  <c r="AG163" i="1" s="1"/>
  <c r="AG164" i="1" a="1"/>
  <c r="AG164" i="1" s="1"/>
  <c r="AG165" i="1" a="1"/>
  <c r="AG165" i="1" s="1"/>
  <c r="AG166" i="1" a="1"/>
  <c r="AG166" i="1" s="1"/>
  <c r="AG167" i="1" a="1"/>
  <c r="AG167" i="1" s="1"/>
  <c r="AG168" i="1" a="1"/>
  <c r="AG168" i="1" s="1"/>
  <c r="AG169" i="1" a="1"/>
  <c r="AG169" i="1" s="1"/>
  <c r="AG170" i="1" a="1"/>
  <c r="AG170" i="1" s="1"/>
  <c r="AG171" i="1" a="1"/>
  <c r="AG171" i="1" s="1"/>
  <c r="AG172" i="1" a="1"/>
  <c r="AG172" i="1" s="1"/>
  <c r="AG173" i="1" a="1"/>
  <c r="AG173" i="1" s="1"/>
  <c r="AG174" i="1" a="1"/>
  <c r="AG174" i="1" s="1"/>
  <c r="AG175" i="1" a="1"/>
  <c r="AG175" i="1" s="1"/>
  <c r="AG176" i="1" a="1"/>
  <c r="AG176" i="1" s="1"/>
  <c r="AG177" i="1" a="1"/>
  <c r="AG177" i="1" s="1"/>
  <c r="AG178" i="1" a="1"/>
  <c r="AG178" i="1" s="1"/>
  <c r="AG179" i="1" a="1"/>
  <c r="AG179" i="1" s="1"/>
  <c r="AG180" i="1" a="1"/>
  <c r="AG180" i="1" s="1"/>
  <c r="AG181" i="1" a="1"/>
  <c r="AG181" i="1" s="1"/>
  <c r="AG182" i="1" a="1"/>
  <c r="AG182" i="1" s="1"/>
  <c r="AG183" i="1" a="1"/>
  <c r="AG183" i="1" s="1"/>
  <c r="AG184" i="1" a="1"/>
  <c r="AG184" i="1" s="1"/>
  <c r="AG185" i="1" a="1"/>
  <c r="AG185" i="1" s="1"/>
  <c r="AG186" i="1" a="1"/>
  <c r="AG186" i="1" s="1"/>
  <c r="AG187" i="1" a="1"/>
  <c r="AG187" i="1" s="1"/>
  <c r="AG188" i="1" a="1"/>
  <c r="AG188" i="1" s="1"/>
  <c r="AG189" i="1" a="1"/>
  <c r="AG189" i="1" s="1"/>
  <c r="AG190" i="1" a="1"/>
  <c r="AG190" i="1" s="1"/>
  <c r="AG191" i="1" a="1"/>
  <c r="AG191" i="1" s="1"/>
  <c r="AG192" i="1" a="1"/>
  <c r="AG192" i="1" s="1"/>
  <c r="AG193" i="1" a="1"/>
  <c r="AG193" i="1" s="1"/>
  <c r="AG194" i="1" a="1"/>
  <c r="AG194" i="1" s="1"/>
  <c r="AG195" i="1" a="1"/>
  <c r="AG195" i="1" s="1"/>
  <c r="AG196" i="1" a="1"/>
  <c r="AG196" i="1" s="1"/>
  <c r="AG197" i="1" a="1"/>
  <c r="AG197" i="1" s="1"/>
  <c r="AG198" i="1" a="1"/>
  <c r="AG198" i="1" s="1"/>
  <c r="AG199" i="1" a="1"/>
  <c r="AG199" i="1" s="1"/>
  <c r="AG200" i="1" a="1"/>
  <c r="AG200" i="1" s="1"/>
  <c r="AG201" i="1" a="1"/>
  <c r="AG201" i="1" s="1"/>
  <c r="AG202" i="1" a="1"/>
  <c r="AG202" i="1" s="1"/>
  <c r="AG203" i="1" a="1"/>
  <c r="AG203" i="1" s="1"/>
  <c r="AG204" i="1" a="1"/>
  <c r="AG204" i="1" s="1"/>
  <c r="AG205" i="1" a="1"/>
  <c r="AG205" i="1" s="1"/>
  <c r="AG206" i="1" a="1"/>
  <c r="AG206" i="1" s="1"/>
  <c r="AG207" i="1" a="1"/>
  <c r="AG207" i="1" s="1"/>
  <c r="AG208" i="1" a="1"/>
  <c r="AG208" i="1" s="1"/>
  <c r="AG209" i="1" a="1"/>
  <c r="AG209" i="1" s="1"/>
  <c r="AG210" i="1" a="1"/>
  <c r="AG210" i="1" s="1"/>
  <c r="AG211" i="1" a="1"/>
  <c r="AG211" i="1" s="1"/>
  <c r="AG212" i="1" a="1"/>
  <c r="AG212" i="1" s="1"/>
  <c r="AG213" i="1" a="1"/>
  <c r="AG213" i="1" s="1"/>
  <c r="AG214" i="1" a="1"/>
  <c r="AG214" i="1" s="1"/>
  <c r="AG215" i="1" a="1"/>
  <c r="AG215" i="1" s="1"/>
  <c r="AG216" i="1" a="1"/>
  <c r="AG216" i="1" s="1"/>
  <c r="AG217" i="1" a="1"/>
  <c r="AG217" i="1" s="1"/>
  <c r="AG218" i="1" a="1"/>
  <c r="AG218" i="1" s="1"/>
  <c r="AG219" i="1" a="1"/>
  <c r="AG219" i="1" s="1"/>
  <c r="AG220" i="1" a="1"/>
  <c r="AG220" i="1" s="1"/>
  <c r="AG221" i="1" a="1"/>
  <c r="AG221" i="1" s="1"/>
  <c r="AG222" i="1" a="1"/>
  <c r="AG222" i="1" s="1"/>
  <c r="AG223" i="1" a="1"/>
  <c r="AG223" i="1" s="1"/>
  <c r="AG224" i="1" a="1"/>
  <c r="AG224" i="1" s="1"/>
  <c r="AG225" i="1" a="1"/>
  <c r="AG225" i="1" s="1"/>
  <c r="AG226" i="1" a="1"/>
  <c r="AG226" i="1" s="1"/>
  <c r="AG227" i="1" a="1"/>
  <c r="AG227" i="1" s="1"/>
  <c r="AG228" i="1" a="1"/>
  <c r="AG228" i="1" s="1"/>
  <c r="AG229" i="1" a="1"/>
  <c r="AG229" i="1" s="1"/>
  <c r="AG230" i="1" a="1"/>
  <c r="AG230" i="1" s="1"/>
  <c r="AG231" i="1" a="1"/>
  <c r="AG231" i="1" s="1"/>
  <c r="AG232" i="1" a="1"/>
  <c r="AG232" i="1" s="1"/>
  <c r="AG233" i="1" a="1"/>
  <c r="AG233" i="1" s="1"/>
  <c r="AG234" i="1" a="1"/>
  <c r="AG234" i="1" s="1"/>
  <c r="AG235" i="1" a="1"/>
  <c r="AG235" i="1" s="1"/>
  <c r="AG236" i="1" a="1"/>
  <c r="AG236" i="1" s="1"/>
  <c r="AG237" i="1" a="1"/>
  <c r="AG237" i="1" s="1"/>
  <c r="AG238" i="1" a="1"/>
  <c r="AG238" i="1" s="1"/>
  <c r="AG239" i="1" a="1"/>
  <c r="AG239" i="1" s="1"/>
  <c r="AG240" i="1" a="1"/>
  <c r="AG240" i="1" s="1"/>
  <c r="AG241" i="1" a="1"/>
  <c r="AG241" i="1" s="1"/>
  <c r="AG242" i="1" a="1"/>
  <c r="AG242" i="1" s="1"/>
  <c r="AG243" i="1" a="1"/>
  <c r="AG243" i="1" s="1"/>
  <c r="AG244" i="1" a="1"/>
  <c r="AG244" i="1" s="1"/>
  <c r="AG245" i="1" a="1"/>
  <c r="AG245" i="1" s="1"/>
  <c r="AG246" i="1" a="1"/>
  <c r="AG246" i="1" s="1"/>
  <c r="AG247" i="1" a="1"/>
  <c r="AG247" i="1" s="1"/>
  <c r="AG248" i="1" a="1"/>
  <c r="AG248" i="1" s="1"/>
  <c r="AG249" i="1" a="1"/>
  <c r="AG249" i="1" s="1"/>
  <c r="AG250" i="1" a="1"/>
  <c r="AG250" i="1" s="1"/>
  <c r="AG251" i="1" a="1"/>
  <c r="AG251" i="1" s="1"/>
  <c r="AG252" i="1" a="1"/>
  <c r="AG252" i="1" s="1"/>
  <c r="AG253" i="1" a="1"/>
  <c r="AG253" i="1" s="1"/>
  <c r="AG254" i="1" a="1"/>
  <c r="AG254" i="1" s="1"/>
  <c r="AG255" i="1" a="1"/>
  <c r="AG255" i="1" s="1"/>
  <c r="AG256" i="1" a="1"/>
  <c r="AG256" i="1" s="1"/>
  <c r="AG257" i="1" a="1"/>
  <c r="AG257" i="1" s="1"/>
  <c r="AG258" i="1" a="1"/>
  <c r="AG258" i="1" s="1"/>
  <c r="AG259" i="1" a="1"/>
  <c r="AG259" i="1" s="1"/>
  <c r="AG260" i="1" a="1"/>
  <c r="AG260" i="1" s="1"/>
  <c r="AG261" i="1" a="1"/>
  <c r="AG261" i="1" s="1"/>
  <c r="AG262" i="1" a="1"/>
  <c r="AG262" i="1" s="1"/>
  <c r="AG263" i="1" a="1"/>
  <c r="AG263" i="1" s="1"/>
  <c r="AG264" i="1" a="1"/>
  <c r="AG264" i="1" s="1"/>
  <c r="AG265" i="1" a="1"/>
  <c r="AG265" i="1" s="1"/>
  <c r="AG266" i="1" a="1"/>
  <c r="AG266" i="1" s="1"/>
  <c r="AG267" i="1" a="1"/>
  <c r="AG267" i="1" s="1"/>
  <c r="AG268" i="1" a="1"/>
  <c r="AG268" i="1" s="1"/>
  <c r="AG269" i="1" a="1"/>
  <c r="AG269" i="1" s="1"/>
  <c r="AG270" i="1" a="1"/>
  <c r="AG270" i="1" s="1"/>
  <c r="AG271" i="1" a="1"/>
  <c r="AG271" i="1" s="1"/>
  <c r="AG272" i="1" a="1"/>
  <c r="AG272" i="1" s="1"/>
  <c r="AG273" i="1" a="1"/>
  <c r="AG273" i="1" s="1"/>
  <c r="AG274" i="1" a="1"/>
  <c r="AG274" i="1" s="1"/>
  <c r="AG275" i="1" a="1"/>
  <c r="AG275" i="1" s="1"/>
  <c r="AG276" i="1" a="1"/>
  <c r="AG276" i="1" s="1"/>
  <c r="AG277" i="1" a="1"/>
  <c r="AG277" i="1" s="1"/>
  <c r="AG278" i="1" a="1"/>
  <c r="AG278" i="1" s="1"/>
  <c r="AG279" i="1" a="1"/>
  <c r="AG279" i="1" s="1"/>
  <c r="AG280" i="1" a="1"/>
  <c r="AG280" i="1" s="1"/>
  <c r="AG281" i="1" a="1"/>
  <c r="AG281" i="1" s="1"/>
  <c r="AG282" i="1" a="1"/>
  <c r="AG282" i="1" s="1"/>
  <c r="AG283" i="1" a="1"/>
  <c r="AG283" i="1" s="1"/>
  <c r="AG284" i="1" a="1"/>
  <c r="AG284" i="1" s="1"/>
  <c r="AG285" i="1" a="1"/>
  <c r="AG285" i="1" s="1"/>
  <c r="AG286" i="1" a="1"/>
  <c r="AG286" i="1" s="1"/>
  <c r="AG287" i="1" a="1"/>
  <c r="AG287" i="1" s="1"/>
  <c r="AG288" i="1" a="1"/>
  <c r="AG288" i="1" s="1"/>
  <c r="AG289" i="1" a="1"/>
  <c r="AG289" i="1" s="1"/>
  <c r="AG290" i="1" a="1"/>
  <c r="AG290" i="1" s="1"/>
  <c r="AG291" i="1" a="1"/>
  <c r="AG291" i="1" s="1"/>
  <c r="AG292" i="1" a="1"/>
  <c r="AG292" i="1" s="1"/>
  <c r="AG293" i="1" a="1"/>
  <c r="AG293" i="1" s="1"/>
  <c r="AG294" i="1" a="1"/>
  <c r="AG294" i="1" s="1"/>
  <c r="AG295" i="1" a="1"/>
  <c r="AG295" i="1" s="1"/>
  <c r="AG296" i="1" a="1"/>
  <c r="AG296" i="1" s="1"/>
  <c r="AG297" i="1" a="1"/>
  <c r="AG297" i="1" s="1"/>
  <c r="AG298" i="1" a="1"/>
  <c r="AG298" i="1" s="1"/>
  <c r="AG299" i="1" a="1"/>
  <c r="AG299" i="1" s="1"/>
  <c r="AG300" i="1" a="1"/>
  <c r="AG300" i="1" s="1"/>
  <c r="AG301" i="1" a="1"/>
  <c r="AG301" i="1" s="1"/>
  <c r="AG302" i="1" a="1"/>
  <c r="AG302" i="1" s="1"/>
  <c r="AG303" i="1" a="1"/>
  <c r="AG303" i="1" s="1"/>
  <c r="AG304" i="1" a="1"/>
  <c r="AG304" i="1" s="1"/>
  <c r="AG305" i="1" a="1"/>
  <c r="AG305" i="1" s="1"/>
  <c r="AG306" i="1" a="1"/>
  <c r="AG306" i="1" s="1"/>
  <c r="AG307" i="1" a="1"/>
  <c r="AG307" i="1" s="1"/>
  <c r="AG308" i="1" a="1"/>
  <c r="AG308" i="1" s="1"/>
  <c r="AG309" i="1" a="1"/>
  <c r="AG309" i="1" s="1"/>
  <c r="AG310" i="1" a="1"/>
  <c r="AG310" i="1" s="1"/>
  <c r="AG311" i="1" a="1"/>
  <c r="AG311" i="1" s="1"/>
  <c r="AG312" i="1" a="1"/>
  <c r="AG312" i="1" s="1"/>
  <c r="AG313" i="1" a="1"/>
  <c r="AG313" i="1" s="1"/>
  <c r="AG314" i="1" a="1"/>
  <c r="AG314" i="1" s="1"/>
  <c r="AG315" i="1" a="1"/>
  <c r="AG315" i="1" s="1"/>
  <c r="AG316" i="1" a="1"/>
  <c r="AG316" i="1" s="1"/>
  <c r="AG317" i="1" a="1"/>
  <c r="AG317" i="1" s="1"/>
  <c r="AG318" i="1" a="1"/>
  <c r="AG318" i="1" s="1"/>
  <c r="AG319" i="1" a="1"/>
  <c r="AG319" i="1" s="1"/>
  <c r="AG320" i="1" a="1"/>
  <c r="AG320" i="1" s="1"/>
  <c r="AG321" i="1" a="1"/>
  <c r="AG321" i="1" s="1"/>
  <c r="AG322" i="1" a="1"/>
  <c r="AG322" i="1" s="1"/>
  <c r="AG323" i="1" a="1"/>
  <c r="AG323" i="1" s="1"/>
  <c r="AG324" i="1" a="1"/>
  <c r="AG324" i="1" s="1"/>
  <c r="AG325" i="1" a="1"/>
  <c r="AG325" i="1" s="1"/>
  <c r="AG326" i="1" a="1"/>
  <c r="AG326" i="1" s="1"/>
  <c r="AG327" i="1" a="1"/>
  <c r="AG327" i="1" s="1"/>
  <c r="AG328" i="1" a="1"/>
  <c r="AG328" i="1" s="1"/>
  <c r="AG329" i="1" a="1"/>
  <c r="AG329" i="1" s="1"/>
  <c r="AG330" i="1" a="1"/>
  <c r="AG330" i="1" s="1"/>
  <c r="AG331" i="1" a="1"/>
  <c r="AG331" i="1" s="1"/>
  <c r="AG332" i="1" a="1"/>
  <c r="AG332" i="1" s="1"/>
  <c r="AG333" i="1" a="1"/>
  <c r="AG333" i="1" s="1"/>
  <c r="AG334" i="1" a="1"/>
  <c r="AG334" i="1" s="1"/>
  <c r="AG335" i="1" a="1"/>
  <c r="AG335" i="1" s="1"/>
  <c r="AG336" i="1" a="1"/>
  <c r="AG336" i="1" s="1"/>
  <c r="AG337" i="1" a="1"/>
  <c r="AG337" i="1" s="1"/>
  <c r="AG338" i="1" a="1"/>
  <c r="AG338" i="1" s="1"/>
  <c r="AG339" i="1" a="1"/>
  <c r="AG339" i="1" s="1"/>
  <c r="AG340" i="1" a="1"/>
  <c r="AG340" i="1" s="1"/>
  <c r="AG341" i="1" a="1"/>
  <c r="AG341" i="1" s="1"/>
  <c r="AG342" i="1" a="1"/>
  <c r="AG342" i="1" s="1"/>
  <c r="AG343" i="1" a="1"/>
  <c r="AG343" i="1" s="1"/>
  <c r="AG344" i="1" a="1"/>
  <c r="AG344" i="1" s="1"/>
  <c r="AG345" i="1" a="1"/>
  <c r="AG345" i="1" s="1"/>
  <c r="AG346" i="1" a="1"/>
  <c r="AG346" i="1" s="1"/>
  <c r="AG347" i="1" a="1"/>
  <c r="AG347" i="1" s="1"/>
  <c r="AG348" i="1" a="1"/>
  <c r="AG348" i="1" s="1"/>
  <c r="AG349" i="1" a="1"/>
  <c r="AG349" i="1" s="1"/>
  <c r="AG350" i="1" a="1"/>
  <c r="AG350" i="1" s="1"/>
  <c r="AG351" i="1" a="1"/>
  <c r="AG351" i="1" s="1"/>
  <c r="AG352" i="1" a="1"/>
  <c r="AG352" i="1" s="1"/>
  <c r="AG353" i="1" a="1"/>
  <c r="AG353" i="1" s="1"/>
  <c r="AG354" i="1" a="1"/>
  <c r="AG354" i="1" s="1"/>
  <c r="AG355" i="1" a="1"/>
  <c r="AG355" i="1" s="1"/>
  <c r="AG356" i="1" a="1"/>
  <c r="AG356" i="1" s="1"/>
  <c r="AG357" i="1" a="1"/>
  <c r="AG357" i="1" s="1"/>
  <c r="AG358" i="1" a="1"/>
  <c r="AG358" i="1" s="1"/>
  <c r="AG359" i="1" a="1"/>
  <c r="AG359" i="1" s="1"/>
  <c r="AG360" i="1" a="1"/>
  <c r="AG360" i="1" s="1"/>
  <c r="AG361" i="1" a="1"/>
  <c r="AG361" i="1" s="1"/>
  <c r="AG362" i="1" a="1"/>
  <c r="AG362" i="1" s="1"/>
  <c r="AG363" i="1" a="1"/>
  <c r="AG363" i="1" s="1"/>
  <c r="AG364" i="1" a="1"/>
  <c r="AG364" i="1" s="1"/>
  <c r="AG365" i="1" a="1"/>
  <c r="AG365" i="1" s="1"/>
  <c r="AG366" i="1" a="1"/>
  <c r="AG366" i="1" s="1"/>
  <c r="AG367" i="1" a="1"/>
  <c r="AG367" i="1" s="1"/>
  <c r="AG368" i="1" a="1"/>
  <c r="AG368" i="1" s="1"/>
  <c r="AG369" i="1" a="1"/>
  <c r="AG369" i="1" s="1"/>
  <c r="AG370" i="1" a="1"/>
  <c r="AG370" i="1" s="1"/>
  <c r="AG371" i="1" a="1"/>
  <c r="AG371" i="1" s="1"/>
  <c r="AG372" i="1" a="1"/>
  <c r="AG372" i="1" s="1"/>
  <c r="AG373" i="1" a="1"/>
  <c r="AG373" i="1" s="1"/>
  <c r="AG374" i="1" a="1"/>
  <c r="AG374" i="1" s="1"/>
  <c r="AG375" i="1" a="1"/>
  <c r="AG375" i="1" s="1"/>
  <c r="AG376" i="1" a="1"/>
  <c r="AG376" i="1" s="1"/>
  <c r="AG377" i="1" a="1"/>
  <c r="AG377" i="1" s="1"/>
  <c r="AG378" i="1" a="1"/>
  <c r="AG378" i="1" s="1"/>
  <c r="AG379" i="1" a="1"/>
  <c r="AG379" i="1" s="1"/>
  <c r="AG380" i="1" a="1"/>
  <c r="AG380" i="1" s="1"/>
  <c r="AG381" i="1" a="1"/>
  <c r="AG381" i="1" s="1"/>
  <c r="AG382" i="1" a="1"/>
  <c r="AG382" i="1" s="1"/>
  <c r="AG383" i="1" a="1"/>
  <c r="AG383" i="1" s="1"/>
  <c r="AG384" i="1" a="1"/>
  <c r="AG384" i="1" s="1"/>
  <c r="AG385" i="1" a="1"/>
  <c r="AG385" i="1" s="1"/>
  <c r="AG386" i="1" a="1"/>
  <c r="AG386" i="1" s="1"/>
  <c r="AG387" i="1" a="1"/>
  <c r="AG387" i="1" s="1"/>
  <c r="AG388" i="1" a="1"/>
  <c r="AG388" i="1" s="1"/>
  <c r="AG389" i="1" a="1"/>
  <c r="AG389" i="1" s="1"/>
  <c r="AG390" i="1" a="1"/>
  <c r="AG390" i="1" s="1"/>
  <c r="AG391" i="1" a="1"/>
  <c r="AG391" i="1" s="1"/>
  <c r="AG392" i="1" a="1"/>
  <c r="AG392" i="1" s="1"/>
  <c r="AG393" i="1" a="1"/>
  <c r="AG393" i="1" s="1"/>
  <c r="AG394" i="1" a="1"/>
  <c r="AG394" i="1" s="1"/>
  <c r="AG395" i="1" a="1"/>
  <c r="AG395" i="1" s="1"/>
  <c r="AG396" i="1" a="1"/>
  <c r="AG396" i="1" s="1"/>
  <c r="AG397" i="1" a="1"/>
  <c r="AG397" i="1" s="1"/>
  <c r="AG398" i="1" a="1"/>
  <c r="AG398" i="1" s="1"/>
  <c r="AG399" i="1" a="1"/>
  <c r="AG399" i="1" s="1"/>
  <c r="AG400" i="1" a="1"/>
  <c r="AG400" i="1" s="1"/>
  <c r="AG401" i="1" a="1"/>
  <c r="AG401" i="1" s="1"/>
  <c r="AG402" i="1" a="1"/>
  <c r="AG402" i="1" s="1"/>
  <c r="AG403" i="1" a="1"/>
  <c r="AG403" i="1" s="1"/>
  <c r="AG404" i="1" a="1"/>
  <c r="AG404" i="1" s="1"/>
  <c r="AG405" i="1" a="1"/>
  <c r="AG405" i="1" s="1"/>
  <c r="AG406" i="1" a="1"/>
  <c r="AG406" i="1" s="1"/>
  <c r="AG407" i="1" a="1"/>
  <c r="AG407" i="1" s="1"/>
  <c r="AG408" i="1" a="1"/>
  <c r="AG408" i="1" s="1"/>
  <c r="AG409" i="1" a="1"/>
  <c r="AG409" i="1" s="1"/>
  <c r="AG410" i="1" a="1"/>
  <c r="AG410" i="1" s="1"/>
  <c r="AG411" i="1" a="1"/>
  <c r="AG411" i="1" s="1"/>
  <c r="AG412" i="1" a="1"/>
  <c r="AG412" i="1" s="1"/>
  <c r="AG413" i="1" a="1"/>
  <c r="AG413" i="1" s="1"/>
  <c r="AG414" i="1" a="1"/>
  <c r="AG414" i="1" s="1"/>
  <c r="AG415" i="1" a="1"/>
  <c r="AG415" i="1" s="1"/>
  <c r="AG416" i="1" a="1"/>
  <c r="AG416" i="1" s="1"/>
  <c r="AG417" i="1" a="1"/>
  <c r="AG417" i="1" s="1"/>
  <c r="AG418" i="1" a="1"/>
  <c r="AG418" i="1" s="1"/>
  <c r="AG419" i="1" a="1"/>
  <c r="AG419" i="1" s="1"/>
  <c r="AG420" i="1" a="1"/>
  <c r="AG420" i="1" s="1"/>
  <c r="AG421" i="1" a="1"/>
  <c r="AG421" i="1" s="1"/>
  <c r="AG422" i="1" a="1"/>
  <c r="AG422" i="1" s="1"/>
  <c r="AG423" i="1" a="1"/>
  <c r="AG423" i="1" s="1"/>
  <c r="AG424" i="1" a="1"/>
  <c r="AG424" i="1" s="1"/>
  <c r="AG425" i="1" a="1"/>
  <c r="AG425" i="1" s="1"/>
  <c r="AG426" i="1" a="1"/>
  <c r="AG426" i="1" s="1"/>
  <c r="AG427" i="1" a="1"/>
  <c r="AG427" i="1" s="1"/>
  <c r="AG428" i="1" a="1"/>
  <c r="AG428" i="1" s="1"/>
  <c r="AG429" i="1" a="1"/>
  <c r="AG429" i="1" s="1"/>
  <c r="AG430" i="1" a="1"/>
  <c r="AG430" i="1" s="1"/>
  <c r="AG431" i="1" a="1"/>
  <c r="AG431" i="1" s="1"/>
  <c r="AG432" i="1" a="1"/>
  <c r="AG432" i="1" s="1"/>
  <c r="AG433" i="1" a="1"/>
  <c r="AG433" i="1" s="1"/>
  <c r="AG434" i="1" a="1"/>
  <c r="AG434" i="1" s="1"/>
  <c r="AG435" i="1" a="1"/>
  <c r="AG435" i="1" s="1"/>
  <c r="AG436" i="1" a="1"/>
  <c r="AG436" i="1" s="1"/>
  <c r="AG437" i="1" a="1"/>
  <c r="AG437" i="1" s="1"/>
  <c r="AG438" i="1" a="1"/>
  <c r="AG438" i="1" s="1"/>
  <c r="AG439" i="1" a="1"/>
  <c r="AG439" i="1" s="1"/>
  <c r="AG440" i="1" a="1"/>
  <c r="AG440" i="1" s="1"/>
  <c r="AG441" i="1" a="1"/>
  <c r="AG441" i="1" s="1"/>
  <c r="AG442" i="1" a="1"/>
  <c r="AG442" i="1" s="1"/>
  <c r="AG443" i="1" a="1"/>
  <c r="AG443" i="1" s="1"/>
  <c r="AG444" i="1" a="1"/>
  <c r="AG444" i="1" s="1"/>
  <c r="AG445" i="1" a="1"/>
  <c r="AG445" i="1" s="1"/>
  <c r="AG446" i="1" a="1"/>
  <c r="AG446" i="1" s="1"/>
  <c r="AG447" i="1" a="1"/>
  <c r="AG447" i="1" s="1"/>
  <c r="AG448" i="1" a="1"/>
  <c r="AG448" i="1" s="1"/>
  <c r="AG449" i="1" a="1"/>
  <c r="AG449" i="1" s="1"/>
  <c r="AG450" i="1" a="1"/>
  <c r="AG450" i="1" s="1"/>
  <c r="AG451" i="1" a="1"/>
  <c r="AG451" i="1" s="1"/>
  <c r="AG452" i="1" a="1"/>
  <c r="AG452" i="1" s="1"/>
  <c r="AG453" i="1" a="1"/>
  <c r="AG453" i="1" s="1"/>
  <c r="AG454" i="1" a="1"/>
  <c r="AG454" i="1" s="1"/>
  <c r="AG455" i="1" a="1"/>
  <c r="AG455" i="1" s="1"/>
  <c r="AG456" i="1" a="1"/>
  <c r="AG456" i="1" s="1"/>
  <c r="AG457" i="1" a="1"/>
  <c r="AG457" i="1" s="1"/>
  <c r="AG458" i="1" a="1"/>
  <c r="AG458" i="1" s="1"/>
  <c r="AG459" i="1" a="1"/>
  <c r="AG459" i="1" s="1"/>
  <c r="AG460" i="1" a="1"/>
  <c r="AG460" i="1" s="1"/>
  <c r="AG461" i="1" a="1"/>
  <c r="AG461" i="1" s="1"/>
  <c r="AG462" i="1" a="1"/>
  <c r="AG462" i="1" s="1"/>
  <c r="AG463" i="1" a="1"/>
  <c r="AG463" i="1" s="1"/>
  <c r="AG464" i="1" a="1"/>
  <c r="AG464" i="1" s="1"/>
  <c r="AG465" i="1" a="1"/>
  <c r="AG465" i="1" s="1"/>
  <c r="AG466" i="1" a="1"/>
  <c r="AG466" i="1" s="1"/>
  <c r="AG467" i="1" a="1"/>
  <c r="AG467" i="1" s="1"/>
  <c r="AG468" i="1" a="1"/>
  <c r="AG468" i="1" s="1"/>
  <c r="AG469" i="1" a="1"/>
  <c r="AG469" i="1" s="1"/>
  <c r="AG470" i="1" a="1"/>
  <c r="AG470" i="1" s="1"/>
  <c r="AG471" i="1" a="1"/>
  <c r="AG471" i="1" s="1"/>
  <c r="AG472" i="1" a="1"/>
  <c r="AG472" i="1" s="1"/>
  <c r="AG473" i="1" a="1"/>
  <c r="AG473" i="1" s="1"/>
  <c r="AG474" i="1" a="1"/>
  <c r="AG474" i="1" s="1"/>
  <c r="AG475" i="1" a="1"/>
  <c r="AG475" i="1" s="1"/>
  <c r="AG476" i="1" a="1"/>
  <c r="AG476" i="1" s="1"/>
  <c r="AG477" i="1" a="1"/>
  <c r="AG477" i="1" s="1"/>
  <c r="AG478" i="1" a="1"/>
  <c r="AG478" i="1" s="1"/>
  <c r="AG479" i="1" a="1"/>
  <c r="AG479" i="1" s="1"/>
  <c r="AG480" i="1" a="1"/>
  <c r="AG480" i="1" s="1"/>
  <c r="AG481" i="1" a="1"/>
  <c r="AG481" i="1" s="1"/>
  <c r="AG482" i="1" a="1"/>
  <c r="AG482" i="1" s="1"/>
  <c r="AG483" i="1" a="1"/>
  <c r="AG483" i="1" s="1"/>
  <c r="AG484" i="1" a="1"/>
  <c r="AG484" i="1" s="1"/>
  <c r="AG485" i="1" a="1"/>
  <c r="AG485" i="1" s="1"/>
  <c r="AG486" i="1" a="1"/>
  <c r="AG486" i="1" s="1"/>
  <c r="AG487" i="1" a="1"/>
  <c r="AG487" i="1" s="1"/>
  <c r="AG488" i="1" a="1"/>
  <c r="AG488" i="1" s="1"/>
  <c r="AG489" i="1" a="1"/>
  <c r="AG489" i="1" s="1"/>
  <c r="AG490" i="1" a="1"/>
  <c r="AG490" i="1" s="1"/>
  <c r="AG491" i="1" a="1"/>
  <c r="AG491" i="1" s="1"/>
  <c r="AG492" i="1" a="1"/>
  <c r="AG492" i="1" s="1"/>
  <c r="AG493" i="1" a="1"/>
  <c r="AG493" i="1" s="1"/>
  <c r="AG494" i="1" a="1"/>
  <c r="AG494" i="1" s="1"/>
  <c r="AG495" i="1" a="1"/>
  <c r="AG495" i="1" s="1"/>
  <c r="AG496" i="1" a="1"/>
  <c r="AG496" i="1" s="1"/>
  <c r="AG497" i="1" a="1"/>
  <c r="AG497" i="1" s="1"/>
  <c r="AG498" i="1" a="1"/>
  <c r="AG498" i="1" s="1"/>
  <c r="AG499" i="1" a="1"/>
  <c r="AG499" i="1" s="1"/>
  <c r="AG500" i="1" a="1"/>
  <c r="AG500" i="1" s="1"/>
  <c r="AG501" i="1" a="1"/>
  <c r="AG501" i="1" s="1"/>
  <c r="AG502" i="1" a="1"/>
  <c r="AG502" i="1" s="1"/>
  <c r="AG503" i="1" a="1"/>
  <c r="AG503" i="1" s="1"/>
  <c r="AG504" i="1" a="1"/>
  <c r="AG504" i="1" s="1"/>
  <c r="AG505" i="1" a="1"/>
  <c r="AG505" i="1" s="1"/>
  <c r="AG506" i="1" a="1"/>
  <c r="AG506" i="1" s="1"/>
  <c r="AG507" i="1" a="1"/>
  <c r="AG507" i="1" s="1"/>
  <c r="AG508" i="1" a="1"/>
  <c r="AG508" i="1" s="1"/>
  <c r="AG509" i="1" a="1"/>
  <c r="AG509" i="1" s="1"/>
  <c r="AG510" i="1" a="1"/>
  <c r="AG510" i="1" s="1"/>
  <c r="AG511" i="1" a="1"/>
  <c r="AG511" i="1" s="1"/>
  <c r="AG512" i="1" a="1"/>
  <c r="AG512" i="1" s="1"/>
  <c r="AG513" i="1" a="1"/>
  <c r="AG513" i="1" s="1"/>
  <c r="AG514" i="1" a="1"/>
  <c r="AG514" i="1" s="1"/>
  <c r="AG515" i="1" a="1"/>
  <c r="AG515" i="1" s="1"/>
  <c r="AG516" i="1" a="1"/>
  <c r="AG516" i="1" s="1"/>
  <c r="AG517" i="1" a="1"/>
  <c r="AG517" i="1" s="1"/>
  <c r="AG518" i="1" a="1"/>
  <c r="AG518" i="1" s="1"/>
  <c r="AG519" i="1" a="1"/>
  <c r="AG519" i="1" s="1"/>
  <c r="AG520" i="1" a="1"/>
  <c r="AG520" i="1" s="1"/>
  <c r="AG521" i="1" a="1"/>
  <c r="AG521" i="1" s="1"/>
  <c r="AG522" i="1" a="1"/>
  <c r="AG522" i="1" s="1"/>
  <c r="AG523" i="1" a="1"/>
  <c r="AG523" i="1" s="1"/>
  <c r="AG524" i="1" a="1"/>
  <c r="AG524" i="1" s="1"/>
  <c r="AG525" i="1" a="1"/>
  <c r="AG525" i="1" s="1"/>
  <c r="AG526" i="1" a="1"/>
  <c r="AG526" i="1" s="1"/>
  <c r="AG527" i="1" a="1"/>
  <c r="AG527" i="1" s="1"/>
  <c r="AG528" i="1" a="1"/>
  <c r="AG528" i="1" s="1"/>
  <c r="AG529" i="1" a="1"/>
  <c r="AG529" i="1" s="1"/>
  <c r="AG530" i="1" a="1"/>
  <c r="AG530" i="1" s="1"/>
  <c r="AG531" i="1" a="1"/>
  <c r="AG531" i="1" s="1"/>
  <c r="AG532" i="1" a="1"/>
  <c r="AG532" i="1" s="1"/>
  <c r="AG533" i="1" a="1"/>
  <c r="AG533" i="1" s="1"/>
  <c r="AG534" i="1" a="1"/>
  <c r="AG534" i="1" s="1"/>
  <c r="AG535" i="1" a="1"/>
  <c r="AG535" i="1" s="1"/>
  <c r="AG536" i="1" a="1"/>
  <c r="AG536" i="1" s="1"/>
  <c r="AG537" i="1" a="1"/>
  <c r="AG537" i="1" s="1"/>
  <c r="AG538" i="1" a="1"/>
  <c r="AG538" i="1" s="1"/>
  <c r="AG539" i="1" a="1"/>
  <c r="AG539" i="1" s="1"/>
  <c r="AG540" i="1" a="1"/>
  <c r="AG540" i="1" s="1"/>
  <c r="AG541" i="1" a="1"/>
  <c r="AG541" i="1" s="1"/>
  <c r="AG542" i="1" a="1"/>
  <c r="AG542" i="1" s="1"/>
  <c r="AG543" i="1" a="1"/>
  <c r="AG543" i="1" s="1"/>
  <c r="AG544" i="1" a="1"/>
  <c r="AG544" i="1" s="1"/>
  <c r="AG545" i="1" a="1"/>
  <c r="AG545" i="1" s="1"/>
  <c r="AG546" i="1" a="1"/>
  <c r="AG546" i="1" s="1"/>
  <c r="AG547" i="1" a="1"/>
  <c r="AG547" i="1" s="1"/>
  <c r="AG548" i="1" a="1"/>
  <c r="AG548" i="1" s="1"/>
  <c r="AG549" i="1" a="1"/>
  <c r="AG549" i="1" s="1"/>
  <c r="AG550" i="1" a="1"/>
  <c r="AG550" i="1" s="1"/>
  <c r="AG551" i="1" a="1"/>
  <c r="AG551" i="1" s="1"/>
  <c r="AG552" i="1" a="1"/>
  <c r="AG552" i="1" s="1"/>
  <c r="AG553" i="1" a="1"/>
  <c r="AG553" i="1" s="1"/>
  <c r="AG554" i="1" a="1"/>
  <c r="AG554" i="1" s="1"/>
  <c r="AG555" i="1" a="1"/>
  <c r="AG555" i="1" s="1"/>
  <c r="AG556" i="1" a="1"/>
  <c r="AG556" i="1" s="1"/>
  <c r="AG557" i="1" a="1"/>
  <c r="AG557" i="1" s="1"/>
  <c r="AG558" i="1" a="1"/>
  <c r="AG558" i="1" s="1"/>
  <c r="AG559" i="1" a="1"/>
  <c r="AG559" i="1" s="1"/>
  <c r="AG560" i="1" a="1"/>
  <c r="AG560" i="1" s="1"/>
  <c r="AG561" i="1" a="1"/>
  <c r="AG561" i="1" s="1"/>
  <c r="AG562" i="1" a="1"/>
  <c r="AG562" i="1" s="1"/>
  <c r="AG563" i="1" a="1"/>
  <c r="AG563" i="1" s="1"/>
  <c r="AG564" i="1" a="1"/>
  <c r="AG564" i="1" s="1"/>
  <c r="AG565" i="1" a="1"/>
  <c r="AG565" i="1" s="1"/>
  <c r="AG566" i="1" a="1"/>
  <c r="AG566" i="1" s="1"/>
  <c r="AG567" i="1" a="1"/>
  <c r="AG567" i="1" s="1"/>
  <c r="AG568" i="1" a="1"/>
  <c r="AG568" i="1" s="1"/>
  <c r="AG569" i="1" a="1"/>
  <c r="AG569" i="1" s="1"/>
  <c r="AG570" i="1" a="1"/>
  <c r="AG570" i="1" s="1"/>
  <c r="AG571" i="1" a="1"/>
  <c r="AG571" i="1" s="1"/>
  <c r="AG572" i="1" a="1"/>
  <c r="AG572" i="1" s="1"/>
  <c r="AG573" i="1" a="1"/>
  <c r="AG573" i="1" s="1"/>
  <c r="AG574" i="1" a="1"/>
  <c r="AG574" i="1" s="1"/>
  <c r="AG575" i="1" a="1"/>
  <c r="AG575" i="1" s="1"/>
  <c r="AG576" i="1" a="1"/>
  <c r="AG576" i="1" s="1"/>
  <c r="AG577" i="1" a="1"/>
  <c r="AG577" i="1" s="1"/>
  <c r="AG578" i="1" a="1"/>
  <c r="AG578" i="1" s="1"/>
  <c r="AG579" i="1" a="1"/>
  <c r="AG579" i="1" s="1"/>
  <c r="AG580" i="1" a="1"/>
  <c r="AG580" i="1" s="1"/>
  <c r="AG581" i="1" a="1"/>
  <c r="AG581" i="1" s="1"/>
  <c r="AG582" i="1" a="1"/>
  <c r="AG582" i="1" s="1"/>
  <c r="AG583" i="1" a="1"/>
  <c r="AG583" i="1" s="1"/>
  <c r="AG584" i="1" a="1"/>
  <c r="AG584" i="1" s="1"/>
  <c r="AG585" i="1" a="1"/>
  <c r="AG585" i="1" s="1"/>
  <c r="AG586" i="1" a="1"/>
  <c r="AG586" i="1" s="1"/>
  <c r="AG587" i="1" a="1"/>
  <c r="AG587" i="1" s="1"/>
  <c r="AG588" i="1" a="1"/>
  <c r="AG588" i="1" s="1"/>
  <c r="AG589" i="1" a="1"/>
  <c r="AG589" i="1" s="1"/>
  <c r="AG590" i="1" a="1"/>
  <c r="AG590" i="1" s="1"/>
  <c r="AG591" i="1" a="1"/>
  <c r="AG591" i="1" s="1"/>
  <c r="AG592" i="1" a="1"/>
  <c r="AG592" i="1" s="1"/>
  <c r="AG593" i="1" a="1"/>
  <c r="AG593" i="1" s="1"/>
  <c r="AG594" i="1" a="1"/>
  <c r="AG594" i="1" s="1"/>
  <c r="AG595" i="1" a="1"/>
  <c r="AG595" i="1" s="1"/>
  <c r="AG596" i="1" a="1"/>
  <c r="AG596" i="1" s="1"/>
  <c r="AG597" i="1" a="1"/>
  <c r="AG597" i="1" s="1"/>
  <c r="AG598" i="1" a="1"/>
  <c r="AG598" i="1" s="1"/>
  <c r="AG599" i="1" a="1"/>
  <c r="AG599" i="1" s="1"/>
  <c r="AG600" i="1" a="1"/>
  <c r="AG600" i="1" s="1"/>
  <c r="AG601" i="1" a="1"/>
  <c r="AG601" i="1" s="1"/>
  <c r="AG602" i="1" a="1"/>
  <c r="AG602" i="1" s="1"/>
  <c r="AG603" i="1" a="1"/>
  <c r="AG603" i="1" s="1"/>
  <c r="AG604" i="1" a="1"/>
  <c r="AG604" i="1" s="1"/>
  <c r="AG605" i="1" a="1"/>
  <c r="AG605" i="1" s="1"/>
  <c r="AG606" i="1" a="1"/>
  <c r="AG606" i="1" s="1"/>
  <c r="AG607" i="1" a="1"/>
  <c r="AG607" i="1" s="1"/>
  <c r="AG608" i="1" a="1"/>
  <c r="AG608" i="1" s="1"/>
  <c r="AG609" i="1" a="1"/>
  <c r="AG609" i="1" s="1"/>
  <c r="AG610" i="1" a="1"/>
  <c r="AG610" i="1" s="1"/>
  <c r="AG611" i="1" a="1"/>
  <c r="AG611" i="1" s="1"/>
  <c r="AG612" i="1" a="1"/>
  <c r="AG612" i="1" s="1"/>
  <c r="AG613" i="1" a="1"/>
  <c r="AG613" i="1" s="1"/>
  <c r="AG614" i="1" a="1"/>
  <c r="AG614" i="1" s="1"/>
  <c r="AG615" i="1" a="1"/>
  <c r="AG615" i="1" s="1"/>
  <c r="AG616" i="1" a="1"/>
  <c r="AG616" i="1" s="1"/>
  <c r="AG617" i="1" a="1"/>
  <c r="AG617" i="1" s="1"/>
  <c r="AG618" i="1" a="1"/>
  <c r="AG618" i="1" s="1"/>
  <c r="AG619" i="1" a="1"/>
  <c r="AG619" i="1" s="1"/>
  <c r="AG620" i="1" a="1"/>
  <c r="AG620" i="1" s="1"/>
  <c r="AG621" i="1" a="1"/>
  <c r="AG621" i="1" s="1"/>
  <c r="AG622" i="1" a="1"/>
  <c r="AG622" i="1" s="1"/>
  <c r="AG623" i="1" a="1"/>
  <c r="AG623" i="1" s="1"/>
  <c r="AG624" i="1" a="1"/>
  <c r="AG624" i="1" s="1"/>
  <c r="AG625" i="1" a="1"/>
  <c r="AG625" i="1" s="1"/>
  <c r="AG626" i="1" a="1"/>
  <c r="AG626" i="1" s="1"/>
  <c r="AG627" i="1" a="1"/>
  <c r="AG627" i="1" s="1"/>
  <c r="AG628" i="1" a="1"/>
  <c r="AG628" i="1" s="1"/>
  <c r="AG629" i="1" a="1"/>
  <c r="AG629" i="1" s="1"/>
  <c r="AG630" i="1" a="1"/>
  <c r="AG630" i="1" s="1"/>
  <c r="AG631" i="1" a="1"/>
  <c r="AG631" i="1" s="1"/>
  <c r="AG632" i="1" a="1"/>
  <c r="AG632" i="1" s="1"/>
  <c r="AG633" i="1" a="1"/>
  <c r="AG633" i="1" s="1"/>
  <c r="AG634" i="1" a="1"/>
  <c r="AG634" i="1" s="1"/>
  <c r="AG635" i="1" a="1"/>
  <c r="AG635" i="1" s="1"/>
  <c r="AG636" i="1" a="1"/>
  <c r="AG636" i="1" s="1"/>
  <c r="AG637" i="1" a="1"/>
  <c r="AG637" i="1" s="1"/>
  <c r="AG638" i="1" a="1"/>
  <c r="AG638" i="1" s="1"/>
  <c r="AG639" i="1" a="1"/>
  <c r="AG639" i="1" s="1"/>
  <c r="AG640" i="1" a="1"/>
  <c r="AG640" i="1" s="1"/>
  <c r="AG641" i="1" a="1"/>
  <c r="AG641" i="1" s="1"/>
  <c r="AG642" i="1" a="1"/>
  <c r="AG642" i="1" s="1"/>
  <c r="AG643" i="1" a="1"/>
  <c r="AG643" i="1" s="1"/>
  <c r="AG644" i="1" a="1"/>
  <c r="AG644" i="1" s="1"/>
  <c r="AG645" i="1" a="1"/>
  <c r="AG645" i="1" s="1"/>
  <c r="AG646" i="1" a="1"/>
  <c r="AG646" i="1" s="1"/>
  <c r="AG647" i="1" a="1"/>
  <c r="AG647" i="1" s="1"/>
  <c r="AG648" i="1" a="1"/>
  <c r="AG648" i="1" s="1"/>
  <c r="AG649" i="1" a="1"/>
  <c r="AG649" i="1" s="1"/>
  <c r="AG650" i="1" a="1"/>
  <c r="AG650" i="1" s="1"/>
  <c r="AG651" i="1" a="1"/>
  <c r="AG651" i="1" s="1"/>
  <c r="AG652" i="1" a="1"/>
  <c r="AG652" i="1" s="1"/>
  <c r="AG653" i="1" a="1"/>
  <c r="AG653" i="1" s="1"/>
  <c r="AG654" i="1" a="1"/>
  <c r="AG654" i="1" s="1"/>
  <c r="AG655" i="1" a="1"/>
  <c r="AG655" i="1" s="1"/>
  <c r="AG656" i="1" a="1"/>
  <c r="AG656" i="1" s="1"/>
  <c r="AG657" i="1" a="1"/>
  <c r="AG657" i="1" s="1"/>
  <c r="AG658" i="1" a="1"/>
  <c r="AG658" i="1" s="1"/>
  <c r="AG659" i="1" a="1"/>
  <c r="AG659" i="1" s="1"/>
  <c r="AG660" i="1" a="1"/>
  <c r="AG660" i="1" s="1"/>
  <c r="AG661" i="1" a="1"/>
  <c r="AG661" i="1" s="1"/>
  <c r="AG662" i="1" a="1"/>
  <c r="AG662" i="1" s="1"/>
  <c r="AG663" i="1" a="1"/>
  <c r="AG663" i="1" s="1"/>
  <c r="AG664" i="1" a="1"/>
  <c r="AG664" i="1" s="1"/>
  <c r="AG665" i="1" a="1"/>
  <c r="AG665" i="1" s="1"/>
  <c r="AG666" i="1" a="1"/>
  <c r="AG666" i="1" s="1"/>
  <c r="AG667" i="1" a="1"/>
  <c r="AG667" i="1" s="1"/>
  <c r="AG668" i="1" a="1"/>
  <c r="AG668" i="1" s="1"/>
  <c r="AG669" i="1" a="1"/>
  <c r="AG669" i="1" s="1"/>
  <c r="AG670" i="1" a="1"/>
  <c r="AG670" i="1" s="1"/>
  <c r="AG671" i="1" a="1"/>
  <c r="AG671" i="1" s="1"/>
  <c r="AG672" i="1" a="1"/>
  <c r="AG672" i="1" s="1"/>
  <c r="AG673" i="1" a="1"/>
  <c r="AG673" i="1" s="1"/>
  <c r="AG674" i="1" a="1"/>
  <c r="AG674" i="1" s="1"/>
  <c r="AG675" i="1" a="1"/>
  <c r="AG675" i="1" s="1"/>
  <c r="AG676" i="1" a="1"/>
  <c r="AG676" i="1" s="1"/>
  <c r="AG677" i="1" a="1"/>
  <c r="AG677" i="1" s="1"/>
  <c r="AG678" i="1" a="1"/>
  <c r="AG678" i="1" s="1"/>
  <c r="AG679" i="1" a="1"/>
  <c r="AG679" i="1" s="1"/>
  <c r="AG680" i="1" a="1"/>
  <c r="AG680" i="1" s="1"/>
  <c r="AG681" i="1" a="1"/>
  <c r="AG681" i="1" s="1"/>
  <c r="AG682" i="1" a="1"/>
  <c r="AG682" i="1" s="1"/>
  <c r="AG683" i="1" a="1"/>
  <c r="AG683" i="1" s="1"/>
  <c r="AG684" i="1" a="1"/>
  <c r="AG684" i="1" s="1"/>
  <c r="AG685" i="1" a="1"/>
  <c r="AG685" i="1" s="1"/>
  <c r="AG686" i="1" a="1"/>
  <c r="AG686" i="1" s="1"/>
  <c r="AG687" i="1" a="1"/>
  <c r="AG687" i="1" s="1"/>
  <c r="AG688" i="1" a="1"/>
  <c r="AG688" i="1" s="1"/>
  <c r="AG689" i="1" a="1"/>
  <c r="AG689" i="1" s="1"/>
  <c r="AG690" i="1" a="1"/>
  <c r="AG690" i="1" s="1"/>
  <c r="AG691" i="1" a="1"/>
  <c r="AG691" i="1" s="1"/>
  <c r="AG692" i="1" a="1"/>
  <c r="AG692" i="1" s="1"/>
  <c r="AG693" i="1" a="1"/>
  <c r="AG693" i="1" s="1"/>
  <c r="AG694" i="1" a="1"/>
  <c r="AG694" i="1" s="1"/>
  <c r="AG695" i="1" a="1"/>
  <c r="AG695" i="1" s="1"/>
  <c r="AG696" i="1" a="1"/>
  <c r="AG696" i="1" s="1"/>
  <c r="AG697" i="1" a="1"/>
  <c r="AG697" i="1" s="1"/>
  <c r="AG698" i="1" a="1"/>
  <c r="AG698" i="1" s="1"/>
  <c r="AG699" i="1" a="1"/>
  <c r="AG699" i="1" s="1"/>
  <c r="AG700" i="1" a="1"/>
  <c r="AG700" i="1" s="1"/>
  <c r="AG701" i="1" a="1"/>
  <c r="AG701" i="1" s="1"/>
  <c r="AG702" i="1" a="1"/>
  <c r="AG702" i="1" s="1"/>
  <c r="AG703" i="1" a="1"/>
  <c r="AG703" i="1" s="1"/>
  <c r="AG704" i="1" a="1"/>
  <c r="AG704" i="1" s="1"/>
  <c r="AG705" i="1" a="1"/>
  <c r="AG705" i="1" s="1"/>
  <c r="AG706" i="1" a="1"/>
  <c r="AG706" i="1" s="1"/>
  <c r="AG707" i="1" a="1"/>
  <c r="AG707" i="1" s="1"/>
  <c r="AG708" i="1" a="1"/>
  <c r="AG708" i="1" s="1"/>
  <c r="AG709" i="1" a="1"/>
  <c r="AG709" i="1" s="1"/>
  <c r="AG710" i="1" a="1"/>
  <c r="AG710" i="1" s="1"/>
  <c r="AG711" i="1" a="1"/>
  <c r="AG711" i="1" s="1"/>
  <c r="AG712" i="1" a="1"/>
  <c r="AG712" i="1" s="1"/>
  <c r="AG713" i="1" a="1"/>
  <c r="AG713" i="1" s="1"/>
  <c r="AG714" i="1" a="1"/>
  <c r="AG714" i="1" s="1"/>
  <c r="AG715" i="1" a="1"/>
  <c r="AG715" i="1" s="1"/>
  <c r="AG716" i="1" a="1"/>
  <c r="AG716" i="1" s="1"/>
  <c r="AG717" i="1" a="1"/>
  <c r="AG717" i="1" s="1"/>
  <c r="AG718" i="1" a="1"/>
  <c r="AG718" i="1" s="1"/>
  <c r="AG719" i="1" a="1"/>
  <c r="AG719" i="1" s="1"/>
  <c r="AG720" i="1" a="1"/>
  <c r="AG720" i="1" s="1"/>
  <c r="AG721" i="1" a="1"/>
  <c r="AG721" i="1" s="1"/>
  <c r="AG722" i="1" a="1"/>
  <c r="AG722" i="1" s="1"/>
  <c r="AG723" i="1" a="1"/>
  <c r="AG723" i="1" s="1"/>
  <c r="AG724" i="1" a="1"/>
  <c r="AG724" i="1" s="1"/>
  <c r="AG725" i="1" a="1"/>
  <c r="AG725" i="1" s="1"/>
  <c r="AG726" i="1" a="1"/>
  <c r="AG726" i="1" s="1"/>
  <c r="AG727" i="1" a="1"/>
  <c r="AG727" i="1" s="1"/>
  <c r="AG728" i="1" a="1"/>
  <c r="AG728" i="1" s="1"/>
  <c r="AG729" i="1" a="1"/>
  <c r="AG729" i="1" s="1"/>
  <c r="AG730" i="1" a="1"/>
  <c r="AG730" i="1" s="1"/>
  <c r="AG731" i="1" a="1"/>
  <c r="AG731" i="1" s="1"/>
  <c r="AG732" i="1" a="1"/>
  <c r="AG732" i="1" s="1"/>
  <c r="AG733" i="1" a="1"/>
  <c r="AG733" i="1" s="1"/>
  <c r="AG734" i="1" a="1"/>
  <c r="AG734" i="1" s="1"/>
  <c r="AG735" i="1" a="1"/>
  <c r="AG735" i="1" s="1"/>
  <c r="AG736" i="1" a="1"/>
  <c r="AG736" i="1" s="1"/>
  <c r="AG737" i="1" a="1"/>
  <c r="AG737" i="1" s="1"/>
  <c r="AG738" i="1" a="1"/>
  <c r="AG738" i="1" s="1"/>
  <c r="AG739" i="1" a="1"/>
  <c r="AG739" i="1" s="1"/>
  <c r="AG740" i="1" a="1"/>
  <c r="AG740" i="1" s="1"/>
  <c r="AG741" i="1" a="1"/>
  <c r="AG741" i="1" s="1"/>
  <c r="AG742" i="1" a="1"/>
  <c r="AG742" i="1" s="1"/>
  <c r="AG743" i="1" a="1"/>
  <c r="AG743" i="1" s="1"/>
  <c r="AG744" i="1" a="1"/>
  <c r="AG744" i="1" s="1"/>
  <c r="AG745" i="1" a="1"/>
  <c r="AG745" i="1" s="1"/>
  <c r="AG746" i="1" a="1"/>
  <c r="AG746" i="1" s="1"/>
  <c r="AG747" i="1" a="1"/>
  <c r="AG747" i="1" s="1"/>
  <c r="AG748" i="1" a="1"/>
  <c r="AG748" i="1" s="1"/>
  <c r="AG749" i="1" a="1"/>
  <c r="AG749" i="1" s="1"/>
  <c r="AG750" i="1" a="1"/>
  <c r="AG750" i="1" s="1"/>
  <c r="AG751" i="1" a="1"/>
  <c r="AG751" i="1" s="1"/>
  <c r="AG752" i="1" a="1"/>
  <c r="AG752" i="1" s="1"/>
  <c r="AG753" i="1" a="1"/>
  <c r="AG753" i="1" s="1"/>
  <c r="AG754" i="1" a="1"/>
  <c r="AG754" i="1" s="1"/>
  <c r="AG755" i="1" a="1"/>
  <c r="AG755" i="1" s="1"/>
  <c r="AG756" i="1" a="1"/>
  <c r="AG756" i="1" s="1"/>
  <c r="AG757" i="1" a="1"/>
  <c r="AG757" i="1" s="1"/>
  <c r="AG758" i="1" a="1"/>
  <c r="AG758" i="1" s="1"/>
  <c r="AG759" i="1" a="1"/>
  <c r="AG759" i="1" s="1"/>
  <c r="AG760" i="1" a="1"/>
  <c r="AG760" i="1" s="1"/>
  <c r="AG761" i="1" a="1"/>
  <c r="AG761" i="1" s="1"/>
  <c r="AG762" i="1" a="1"/>
  <c r="AG762" i="1" s="1"/>
  <c r="AG763" i="1" a="1"/>
  <c r="AG763" i="1" s="1"/>
  <c r="AG764" i="1" a="1"/>
  <c r="AG764" i="1" s="1"/>
  <c r="AG765" i="1" a="1"/>
  <c r="AG765" i="1" s="1"/>
  <c r="AG766" i="1" a="1"/>
  <c r="AG766" i="1" s="1"/>
  <c r="AG767" i="1" a="1"/>
  <c r="AG767" i="1" s="1"/>
  <c r="AG768" i="1" a="1"/>
  <c r="AG768" i="1" s="1"/>
  <c r="AG769" i="1" a="1"/>
  <c r="AG769" i="1" s="1"/>
  <c r="AG770" i="1" a="1"/>
  <c r="AG770" i="1" s="1"/>
  <c r="AG771" i="1" a="1"/>
  <c r="AG771" i="1" s="1"/>
  <c r="AG772" i="1" a="1"/>
  <c r="AG772" i="1" s="1"/>
  <c r="AG773" i="1" a="1"/>
  <c r="AG773" i="1" s="1"/>
  <c r="AG774" i="1" a="1"/>
  <c r="AG774" i="1" s="1"/>
  <c r="AG775" i="1" a="1"/>
  <c r="AG775" i="1" s="1"/>
  <c r="AG776" i="1" a="1"/>
  <c r="AG776" i="1" s="1"/>
  <c r="AG777" i="1" a="1"/>
  <c r="AG777" i="1" s="1"/>
  <c r="AG778" i="1" a="1"/>
  <c r="AG778" i="1" s="1"/>
  <c r="AG779" i="1" a="1"/>
  <c r="AG779" i="1" s="1"/>
  <c r="AG780" i="1" a="1"/>
  <c r="AG780" i="1" s="1"/>
  <c r="AG781" i="1" a="1"/>
  <c r="AG781" i="1" s="1"/>
  <c r="AG782" i="1" a="1"/>
  <c r="AG782" i="1" s="1"/>
  <c r="AG783" i="1" a="1"/>
  <c r="AG783" i="1" s="1"/>
  <c r="AG784" i="1" a="1"/>
  <c r="AG784" i="1" s="1"/>
  <c r="AG785" i="1" a="1"/>
  <c r="AG785" i="1" s="1"/>
  <c r="AG786" i="1" a="1"/>
  <c r="AG786" i="1" s="1"/>
  <c r="AG787" i="1" a="1"/>
  <c r="AG787" i="1" s="1"/>
  <c r="AG788" i="1" a="1"/>
  <c r="AG788" i="1" s="1"/>
  <c r="AG789" i="1" a="1"/>
  <c r="AG789" i="1" s="1"/>
  <c r="AG790" i="1" a="1"/>
  <c r="AG790" i="1" s="1"/>
  <c r="AG791" i="1" a="1"/>
  <c r="AG791" i="1" s="1"/>
  <c r="AG792" i="1" a="1"/>
  <c r="AG792" i="1" s="1"/>
  <c r="AG793" i="1" a="1"/>
  <c r="AG793" i="1" s="1"/>
  <c r="AG794" i="1" a="1"/>
  <c r="AG794" i="1" s="1"/>
  <c r="AG795" i="1" a="1"/>
  <c r="AG795" i="1" s="1"/>
  <c r="AG796" i="1" a="1"/>
  <c r="AG796" i="1" s="1"/>
  <c r="AG797" i="1" a="1"/>
  <c r="AG797" i="1" s="1"/>
  <c r="AG798" i="1" a="1"/>
  <c r="AG798" i="1" s="1"/>
  <c r="AG799" i="1" a="1"/>
  <c r="AG799" i="1" s="1"/>
  <c r="AG800" i="1" a="1"/>
  <c r="AG800" i="1" s="1"/>
  <c r="AG801" i="1" a="1"/>
  <c r="AG801" i="1" s="1"/>
  <c r="AG802" i="1" a="1"/>
  <c r="AG802" i="1" s="1"/>
  <c r="AG803" i="1" a="1"/>
  <c r="AG803" i="1" s="1"/>
  <c r="AG804" i="1" a="1"/>
  <c r="AG804" i="1" s="1"/>
  <c r="AG805" i="1" a="1"/>
  <c r="AG805" i="1" s="1"/>
  <c r="AG806" i="1" a="1"/>
  <c r="AG806" i="1" s="1"/>
  <c r="AG807" i="1" a="1"/>
  <c r="AG807" i="1" s="1"/>
  <c r="AG808" i="1" a="1"/>
  <c r="AG808" i="1" s="1"/>
  <c r="AG809" i="1" a="1"/>
  <c r="AG809" i="1" s="1"/>
  <c r="AG810" i="1" a="1"/>
  <c r="AG810" i="1" s="1"/>
  <c r="AG811" i="1" a="1"/>
  <c r="AG811" i="1" s="1"/>
  <c r="AG812" i="1" a="1"/>
  <c r="AG812" i="1" s="1"/>
  <c r="AG813" i="1" a="1"/>
  <c r="AG813" i="1" s="1"/>
  <c r="AG814" i="1" a="1"/>
  <c r="AG814" i="1" s="1"/>
  <c r="AG815" i="1" a="1"/>
  <c r="AG815" i="1" s="1"/>
  <c r="AG816" i="1" a="1"/>
  <c r="AG816" i="1" s="1"/>
  <c r="AG817" i="1" a="1"/>
  <c r="AG817" i="1" s="1"/>
  <c r="AG818" i="1" a="1"/>
  <c r="AG818" i="1" s="1"/>
  <c r="AG819" i="1" a="1"/>
  <c r="AG819" i="1" s="1"/>
  <c r="AG820" i="1" a="1"/>
  <c r="AG820" i="1" s="1"/>
  <c r="AG821" i="1" a="1"/>
  <c r="AG821" i="1" s="1"/>
  <c r="AG822" i="1" a="1"/>
  <c r="AG822" i="1" s="1"/>
  <c r="AG823" i="1" a="1"/>
  <c r="AG823" i="1" s="1"/>
  <c r="AG824" i="1" a="1"/>
  <c r="AG824" i="1" s="1"/>
  <c r="AG825" i="1" a="1"/>
  <c r="AG825" i="1" s="1"/>
  <c r="AG826" i="1" a="1"/>
  <c r="AG826" i="1" s="1"/>
  <c r="AG827" i="1" a="1"/>
  <c r="AG827" i="1" s="1"/>
  <c r="AG828" i="1" a="1"/>
  <c r="AG828" i="1" s="1"/>
  <c r="AG829" i="1" a="1"/>
  <c r="AG829" i="1" s="1"/>
  <c r="AG830" i="1" a="1"/>
  <c r="AG830" i="1" s="1"/>
  <c r="AG831" i="1" a="1"/>
  <c r="AG831" i="1" s="1"/>
  <c r="AG832" i="1" a="1"/>
  <c r="AG832" i="1" s="1"/>
  <c r="AG833" i="1" a="1"/>
  <c r="AG833" i="1" s="1"/>
  <c r="AG834" i="1" a="1"/>
  <c r="AG834" i="1" s="1"/>
  <c r="AG835" i="1" a="1"/>
  <c r="AG835" i="1" s="1"/>
  <c r="AG836" i="1" a="1"/>
  <c r="AG836" i="1" s="1"/>
  <c r="AG837" i="1" a="1"/>
  <c r="AG837" i="1" s="1"/>
  <c r="AG838" i="1" a="1"/>
  <c r="AG838" i="1" s="1"/>
  <c r="AG839" i="1" a="1"/>
  <c r="AG839" i="1" s="1"/>
  <c r="AG840" i="1" a="1"/>
  <c r="AG840" i="1" s="1"/>
  <c r="AG841" i="1" a="1"/>
  <c r="AG841" i="1" s="1"/>
  <c r="AG842" i="1" a="1"/>
  <c r="AG842" i="1" s="1"/>
  <c r="AG843" i="1" a="1"/>
  <c r="AG843" i="1" s="1"/>
  <c r="AG844" i="1" a="1"/>
  <c r="AG844" i="1" s="1"/>
  <c r="AG845" i="1" a="1"/>
  <c r="AG845" i="1" s="1"/>
  <c r="AG846" i="1" a="1"/>
  <c r="AG846" i="1" s="1"/>
  <c r="AG847" i="1" a="1"/>
  <c r="AG847" i="1" s="1"/>
  <c r="AG848" i="1" a="1"/>
  <c r="AG848" i="1" s="1"/>
  <c r="AG849" i="1" a="1"/>
  <c r="AG849" i="1" s="1"/>
  <c r="AG850" i="1" a="1"/>
  <c r="AG850" i="1" s="1"/>
  <c r="AG851" i="1" a="1"/>
  <c r="AG851" i="1" s="1"/>
  <c r="AG852" i="1" a="1"/>
  <c r="AG852" i="1" s="1"/>
  <c r="AG853" i="1" a="1"/>
  <c r="AG853" i="1" s="1"/>
  <c r="AG854" i="1" a="1"/>
  <c r="AG854" i="1" s="1"/>
  <c r="AG855" i="1" a="1"/>
  <c r="AG855" i="1" s="1"/>
  <c r="AG856" i="1" a="1"/>
  <c r="AG856" i="1" s="1"/>
  <c r="AG857" i="1" a="1"/>
  <c r="AG857" i="1" s="1"/>
  <c r="AG858" i="1" a="1"/>
  <c r="AG858" i="1" s="1"/>
  <c r="AG859" i="1" a="1"/>
  <c r="AG859" i="1" s="1"/>
  <c r="AG860" i="1" a="1"/>
  <c r="AG860" i="1" s="1"/>
  <c r="AG861" i="1" a="1"/>
  <c r="AG861" i="1" s="1"/>
  <c r="AG862" i="1" a="1"/>
  <c r="AG862" i="1" s="1"/>
  <c r="AG863" i="1" a="1"/>
  <c r="AG863" i="1" s="1"/>
  <c r="AG864" i="1" a="1"/>
  <c r="AG864" i="1" s="1"/>
  <c r="AG865" i="1" a="1"/>
  <c r="AG865" i="1" s="1"/>
  <c r="AG866" i="1" a="1"/>
  <c r="AG866" i="1" s="1"/>
  <c r="AG867" i="1" a="1"/>
  <c r="AG867" i="1" s="1"/>
  <c r="AG868" i="1" a="1"/>
  <c r="AG868" i="1" s="1"/>
  <c r="AG869" i="1" a="1"/>
  <c r="AG869" i="1" s="1"/>
  <c r="AG870" i="1" a="1"/>
  <c r="AG870" i="1" s="1"/>
  <c r="AG871" i="1" a="1"/>
  <c r="AG871" i="1" s="1"/>
  <c r="AG872" i="1" a="1"/>
  <c r="AG872" i="1" s="1"/>
  <c r="AG873" i="1" a="1"/>
  <c r="AG873" i="1" s="1"/>
  <c r="AG874" i="1" a="1"/>
  <c r="AG874" i="1" s="1"/>
  <c r="AG875" i="1" a="1"/>
  <c r="AG875" i="1" s="1"/>
  <c r="AG876" i="1" a="1"/>
  <c r="AG876" i="1" s="1"/>
  <c r="AG877" i="1" a="1"/>
  <c r="AG877" i="1" s="1"/>
  <c r="AG878" i="1" a="1"/>
  <c r="AG878" i="1" s="1"/>
  <c r="AG879" i="1" a="1"/>
  <c r="AG879" i="1" s="1"/>
  <c r="AG880" i="1" a="1"/>
  <c r="AG880" i="1" s="1"/>
  <c r="AG881" i="1" a="1"/>
  <c r="AG881" i="1" s="1"/>
  <c r="AG882" i="1" a="1"/>
  <c r="AG882" i="1" s="1"/>
  <c r="AG883" i="1" a="1"/>
  <c r="AG883" i="1" s="1"/>
  <c r="AG884" i="1" a="1"/>
  <c r="AG884" i="1" s="1"/>
  <c r="AG885" i="1" a="1"/>
  <c r="AG885" i="1" s="1"/>
  <c r="AG886" i="1" a="1"/>
  <c r="AG886" i="1" s="1"/>
  <c r="AG887" i="1" a="1"/>
  <c r="AG887" i="1" s="1"/>
  <c r="AG888" i="1" a="1"/>
  <c r="AG888" i="1" s="1"/>
  <c r="AG889" i="1" a="1"/>
  <c r="AG889" i="1" s="1"/>
  <c r="AG890" i="1" a="1"/>
  <c r="AG890" i="1" s="1"/>
  <c r="AG891" i="1" a="1"/>
  <c r="AG891" i="1" s="1"/>
  <c r="AG892" i="1" a="1"/>
  <c r="AG892" i="1" s="1"/>
  <c r="AG893" i="1" a="1"/>
  <c r="AG893" i="1" s="1"/>
  <c r="AG894" i="1" a="1"/>
  <c r="AG894" i="1" s="1"/>
  <c r="AG895" i="1" a="1"/>
  <c r="AG895" i="1" s="1"/>
  <c r="AG896" i="1" a="1"/>
  <c r="AG896" i="1" s="1"/>
  <c r="AG897" i="1" a="1"/>
  <c r="AG897" i="1" s="1"/>
  <c r="AG898" i="1" a="1"/>
  <c r="AG898" i="1" s="1"/>
  <c r="AG899" i="1" a="1"/>
  <c r="AG899" i="1" s="1"/>
  <c r="AG900" i="1" a="1"/>
  <c r="AG900" i="1" s="1"/>
  <c r="AG901" i="1" a="1"/>
  <c r="AG901" i="1" s="1"/>
  <c r="AG902" i="1" a="1"/>
  <c r="AG902" i="1" s="1"/>
  <c r="AG903" i="1" a="1"/>
  <c r="AG903" i="1" s="1"/>
  <c r="AG904" i="1" a="1"/>
  <c r="AG904" i="1" s="1"/>
  <c r="AG905" i="1" a="1"/>
  <c r="AG905" i="1" s="1"/>
  <c r="AG906" i="1" a="1"/>
  <c r="AG906" i="1" s="1"/>
  <c r="AG907" i="1" a="1"/>
  <c r="AG907" i="1" s="1"/>
  <c r="AG908" i="1" a="1"/>
  <c r="AG908" i="1" s="1"/>
  <c r="AG909" i="1" a="1"/>
  <c r="AG909" i="1" s="1"/>
  <c r="AG910" i="1" a="1"/>
  <c r="AG910" i="1" s="1"/>
  <c r="AG911" i="1" a="1"/>
  <c r="AG911" i="1" s="1"/>
  <c r="AG912" i="1" a="1"/>
  <c r="AG912" i="1" s="1"/>
  <c r="AG913" i="1" a="1"/>
  <c r="AG913" i="1" s="1"/>
  <c r="AG914" i="1" a="1"/>
  <c r="AG914" i="1" s="1"/>
  <c r="AG915" i="1" a="1"/>
  <c r="AG915" i="1" s="1"/>
  <c r="AG916" i="1" a="1"/>
  <c r="AG916" i="1" s="1"/>
  <c r="AG917" i="1" a="1"/>
  <c r="AG917" i="1" s="1"/>
  <c r="AG918" i="1" a="1"/>
  <c r="AG918" i="1" s="1"/>
  <c r="AG919" i="1" a="1"/>
  <c r="AG919" i="1" s="1"/>
  <c r="AG920" i="1" a="1"/>
  <c r="AG920" i="1" s="1"/>
  <c r="AG921" i="1" a="1"/>
  <c r="AG921" i="1" s="1"/>
  <c r="AG922" i="1" a="1"/>
  <c r="AG922" i="1" s="1"/>
  <c r="AG923" i="1" a="1"/>
  <c r="AG923" i="1" s="1"/>
  <c r="AG924" i="1" a="1"/>
  <c r="AG924" i="1" s="1"/>
  <c r="AG925" i="1" a="1"/>
  <c r="AG925" i="1" s="1"/>
  <c r="AG926" i="1" a="1"/>
  <c r="AG926" i="1" s="1"/>
  <c r="AG927" i="1" a="1"/>
  <c r="AG927" i="1" s="1"/>
  <c r="AG928" i="1" a="1"/>
  <c r="AG928" i="1" s="1"/>
  <c r="AG929" i="1" a="1"/>
  <c r="AG929" i="1" s="1"/>
  <c r="AG930" i="1" a="1"/>
  <c r="AG930" i="1" s="1"/>
  <c r="AG931" i="1" a="1"/>
  <c r="AG931" i="1" s="1"/>
  <c r="AG932" i="1" a="1"/>
  <c r="AG932" i="1" s="1"/>
  <c r="AG933" i="1" a="1"/>
  <c r="AG933" i="1" s="1"/>
  <c r="AG934" i="1" a="1"/>
  <c r="AG934" i="1" s="1"/>
  <c r="AG935" i="1" a="1"/>
  <c r="AG935" i="1" s="1"/>
  <c r="AG936" i="1" a="1"/>
  <c r="AG936" i="1" s="1"/>
  <c r="AG937" i="1" a="1"/>
  <c r="AG937" i="1" s="1"/>
  <c r="AG938" i="1" a="1"/>
  <c r="AG938" i="1" s="1"/>
  <c r="AG939" i="1" a="1"/>
  <c r="AG939" i="1" s="1"/>
  <c r="AG940" i="1" a="1"/>
  <c r="AG940" i="1" s="1"/>
  <c r="AG941" i="1" a="1"/>
  <c r="AG941" i="1" s="1"/>
  <c r="AG942" i="1" a="1"/>
  <c r="AG942" i="1" s="1"/>
  <c r="AG943" i="1" a="1"/>
  <c r="AG943" i="1" s="1"/>
  <c r="AG944" i="1" a="1"/>
  <c r="AG944" i="1" s="1"/>
  <c r="AG945" i="1" a="1"/>
  <c r="AG945" i="1" s="1"/>
  <c r="AG946" i="1" a="1"/>
  <c r="AG946" i="1" s="1"/>
  <c r="AG947" i="1" a="1"/>
  <c r="AG947" i="1" s="1"/>
  <c r="AG948" i="1" a="1"/>
  <c r="AG948" i="1" s="1"/>
  <c r="AG949" i="1" a="1"/>
  <c r="AG949" i="1" s="1"/>
  <c r="AG950" i="1" a="1"/>
  <c r="AG950" i="1" s="1"/>
  <c r="AG951" i="1" a="1"/>
  <c r="AG951" i="1" s="1"/>
  <c r="AG952" i="1" a="1"/>
  <c r="AG952" i="1" s="1"/>
  <c r="AG953" i="1" a="1"/>
  <c r="AG953" i="1" s="1"/>
  <c r="AG954" i="1" a="1"/>
  <c r="AG954" i="1" s="1"/>
  <c r="AG955" i="1" a="1"/>
  <c r="AG955" i="1" s="1"/>
  <c r="AG956" i="1" a="1"/>
  <c r="AG956" i="1" s="1"/>
  <c r="AG957" i="1" a="1"/>
  <c r="AG957" i="1" s="1"/>
  <c r="AG958" i="1" a="1"/>
  <c r="AG958" i="1" s="1"/>
  <c r="AG959" i="1" a="1"/>
  <c r="AG959" i="1" s="1"/>
  <c r="AG960" i="1" a="1"/>
  <c r="AG960" i="1" s="1"/>
  <c r="AG961" i="1" a="1"/>
  <c r="AG961" i="1" s="1"/>
  <c r="AG962" i="1" a="1"/>
  <c r="AG962" i="1" s="1"/>
  <c r="AG963" i="1" a="1"/>
  <c r="AG963" i="1" s="1"/>
  <c r="AG964" i="1" a="1"/>
  <c r="AG964" i="1" s="1"/>
  <c r="AG965" i="1" a="1"/>
  <c r="AG965" i="1" s="1"/>
  <c r="AG966" i="1" a="1"/>
  <c r="AG966" i="1" s="1"/>
  <c r="AG967" i="1" a="1"/>
  <c r="AG967" i="1" s="1"/>
  <c r="AG968" i="1" a="1"/>
  <c r="AG968" i="1" s="1"/>
  <c r="AG969" i="1" a="1"/>
  <c r="AG969" i="1" s="1"/>
  <c r="AG970" i="1" a="1"/>
  <c r="AG970" i="1" s="1"/>
  <c r="AG971" i="1" a="1"/>
  <c r="AG971" i="1" s="1"/>
  <c r="AG972" i="1" a="1"/>
  <c r="AG972" i="1" s="1"/>
  <c r="AG973" i="1" a="1"/>
  <c r="AG973" i="1" s="1"/>
  <c r="AG974" i="1" a="1"/>
  <c r="AG974" i="1" s="1"/>
  <c r="AG975" i="1" a="1"/>
  <c r="AG975" i="1" s="1"/>
  <c r="AG976" i="1" a="1"/>
  <c r="AG976" i="1" s="1"/>
  <c r="AG977" i="1" a="1"/>
  <c r="AG977" i="1" s="1"/>
  <c r="AG978" i="1" a="1"/>
  <c r="AG978" i="1" s="1"/>
  <c r="AG979" i="1" a="1"/>
  <c r="AG979" i="1" s="1"/>
  <c r="AG980" i="1" a="1"/>
  <c r="AG980" i="1" s="1"/>
  <c r="AG981" i="1" a="1"/>
  <c r="AG981" i="1" s="1"/>
  <c r="AG982" i="1" a="1"/>
  <c r="AG982" i="1" s="1"/>
  <c r="AG983" i="1" a="1"/>
  <c r="AG983" i="1" s="1"/>
  <c r="AG984" i="1" a="1"/>
  <c r="AG984" i="1" s="1"/>
  <c r="AG985" i="1" a="1"/>
  <c r="AG985" i="1" s="1"/>
  <c r="AG986" i="1" a="1"/>
  <c r="AG986" i="1" s="1"/>
  <c r="AG987" i="1" a="1"/>
  <c r="AG987" i="1" s="1"/>
  <c r="AG988" i="1" a="1"/>
  <c r="AG988" i="1" s="1"/>
  <c r="AG989" i="1" a="1"/>
  <c r="AG989" i="1" s="1"/>
  <c r="AG990" i="1" a="1"/>
  <c r="AG990" i="1" s="1"/>
  <c r="AG991" i="1" a="1"/>
  <c r="AG991" i="1" s="1"/>
  <c r="AG992" i="1" a="1"/>
  <c r="AG992" i="1" s="1"/>
  <c r="AG993" i="1" a="1"/>
  <c r="AG993" i="1" s="1"/>
  <c r="AG994" i="1" a="1"/>
  <c r="AG994" i="1" s="1"/>
  <c r="AG995" i="1" a="1"/>
  <c r="AG995" i="1" s="1"/>
  <c r="AG996" i="1" a="1"/>
  <c r="AG996" i="1" s="1"/>
  <c r="AG997" i="1" a="1"/>
  <c r="AG997" i="1" s="1"/>
  <c r="AG998" i="1" a="1"/>
  <c r="AG998" i="1" s="1"/>
  <c r="AG999" i="1" a="1"/>
  <c r="AG999" i="1" s="1"/>
  <c r="AG1000" i="1" a="1"/>
  <c r="AG1000" i="1" s="1"/>
  <c r="AG1001" i="1" a="1"/>
  <c r="AG1001" i="1" s="1"/>
  <c r="AG1002" i="1" a="1"/>
  <c r="AG1002" i="1" s="1"/>
  <c r="AG1003" i="1" a="1"/>
  <c r="AG1003" i="1" s="1"/>
  <c r="AG1004" i="1" a="1"/>
  <c r="AG1004" i="1" s="1"/>
  <c r="AG1005" i="1" a="1"/>
  <c r="AG1005" i="1" s="1"/>
  <c r="AG1006" i="1" a="1"/>
  <c r="AG1006" i="1" s="1"/>
  <c r="AG1007" i="1" a="1"/>
  <c r="AG1007" i="1" s="1"/>
  <c r="AG1008" i="1" a="1"/>
  <c r="AG1008" i="1" s="1"/>
  <c r="AG1009" i="1" a="1"/>
  <c r="AG1009" i="1" s="1"/>
  <c r="AG1010" i="1" a="1"/>
  <c r="AG1010" i="1" s="1"/>
  <c r="AG1011" i="1" a="1"/>
  <c r="AG1011" i="1" s="1"/>
  <c r="AG1012" i="1" a="1"/>
  <c r="AG1012" i="1" s="1"/>
  <c r="AG1013" i="1" a="1"/>
  <c r="AG1013" i="1" s="1"/>
  <c r="AG1014" i="1" a="1"/>
  <c r="AG1014" i="1" s="1"/>
  <c r="AG1015" i="1" a="1"/>
  <c r="AG1015" i="1" s="1"/>
  <c r="AG1016" i="1" a="1"/>
  <c r="AG1016" i="1" s="1"/>
  <c r="AG1017" i="1" a="1"/>
  <c r="AG1017" i="1" s="1"/>
  <c r="AG1018" i="1" a="1"/>
  <c r="AG1018" i="1" s="1"/>
  <c r="AG1019" i="1" a="1"/>
  <c r="AG1019" i="1" s="1"/>
  <c r="AG1020" i="1" a="1"/>
  <c r="AG1020" i="1" s="1"/>
  <c r="AG1021" i="1" a="1"/>
  <c r="AG1021" i="1" s="1"/>
  <c r="AG1022" i="1" a="1"/>
  <c r="AG1022" i="1" s="1"/>
  <c r="AG1023" i="1" a="1"/>
  <c r="AG1023" i="1" s="1"/>
  <c r="AG1024" i="1" a="1"/>
  <c r="AG1024" i="1" s="1"/>
  <c r="AG1025" i="1" a="1"/>
  <c r="AG1025" i="1" s="1"/>
  <c r="AG1026" i="1" a="1"/>
  <c r="AG1026" i="1" s="1"/>
  <c r="AG1027" i="1" a="1"/>
  <c r="AG1027" i="1" s="1"/>
  <c r="AG1028" i="1" a="1"/>
  <c r="AG1028" i="1" s="1"/>
  <c r="AG1029" i="1" a="1"/>
  <c r="AG1029" i="1" s="1"/>
  <c r="AG1030" i="1" a="1"/>
  <c r="AG1030" i="1" s="1"/>
  <c r="AG1031" i="1" a="1"/>
  <c r="AG1031" i="1" s="1"/>
  <c r="AG1032" i="1" a="1"/>
  <c r="AG1032" i="1" s="1"/>
  <c r="AG1033" i="1" a="1"/>
  <c r="AG1033" i="1" s="1"/>
  <c r="AG1034" i="1" a="1"/>
  <c r="AG1034" i="1" s="1"/>
  <c r="AG1035" i="1" a="1"/>
  <c r="AG1035" i="1" s="1"/>
  <c r="AG1036" i="1" a="1"/>
  <c r="AG1036" i="1" s="1"/>
  <c r="AG1037" i="1" a="1"/>
  <c r="AG1037" i="1" s="1"/>
  <c r="AG1038" i="1" a="1"/>
  <c r="AG1038" i="1" s="1"/>
  <c r="AG1039" i="1" a="1"/>
  <c r="AG1039" i="1" s="1"/>
  <c r="AG1040" i="1" a="1"/>
  <c r="AG1040" i="1" s="1"/>
  <c r="AG1041" i="1" a="1"/>
  <c r="AG1041" i="1" s="1"/>
  <c r="AG1042" i="1" a="1"/>
  <c r="AG1042" i="1" s="1"/>
  <c r="AG1043" i="1" a="1"/>
  <c r="AG1043" i="1" s="1"/>
  <c r="AG1044" i="1" a="1"/>
  <c r="AG1044" i="1" s="1"/>
  <c r="AG1045" i="1" a="1"/>
  <c r="AG1045" i="1" s="1"/>
  <c r="AG1046" i="1" a="1"/>
  <c r="AG1046" i="1" s="1"/>
  <c r="AG1047" i="1" a="1"/>
  <c r="AG1047" i="1" s="1"/>
  <c r="AG1048" i="1" a="1"/>
  <c r="AG1048" i="1" s="1"/>
  <c r="AG1049" i="1" a="1"/>
  <c r="AG1049" i="1" s="1"/>
  <c r="AG1050" i="1" a="1"/>
  <c r="AG1050" i="1" s="1"/>
  <c r="AG1051" i="1" a="1"/>
  <c r="AG1051" i="1" s="1"/>
  <c r="AG1052" i="1" a="1"/>
  <c r="AG1052" i="1" s="1"/>
  <c r="AG1053" i="1" a="1"/>
  <c r="AG1053" i="1" s="1"/>
  <c r="AG1054" i="1" a="1"/>
  <c r="AG1054" i="1" s="1"/>
  <c r="AG1055" i="1" a="1"/>
  <c r="AG1055" i="1" s="1"/>
  <c r="AG1056" i="1" a="1"/>
  <c r="AG1056" i="1" s="1"/>
  <c r="AG1057" i="1" a="1"/>
  <c r="AG1057" i="1" s="1"/>
  <c r="AG1058" i="1" a="1"/>
  <c r="AG1058" i="1" s="1"/>
  <c r="AG1059" i="1" a="1"/>
  <c r="AG1059" i="1" s="1"/>
  <c r="AG1060" i="1" a="1"/>
  <c r="AG1060" i="1" s="1"/>
  <c r="AG1061" i="1" a="1"/>
  <c r="AG1061" i="1" s="1"/>
  <c r="AG1062" i="1" a="1"/>
  <c r="AG1062" i="1" s="1"/>
  <c r="AG1063" i="1" a="1"/>
  <c r="AG1063" i="1" s="1"/>
  <c r="AG1064" i="1" a="1"/>
  <c r="AG1064" i="1" s="1"/>
  <c r="AG1065" i="1" a="1"/>
  <c r="AG1065" i="1" s="1"/>
  <c r="AG1066" i="1" a="1"/>
  <c r="AG1066" i="1" s="1"/>
  <c r="AG1067" i="1" a="1"/>
  <c r="AG1067" i="1" s="1"/>
  <c r="AG1068" i="1" a="1"/>
  <c r="AG1068" i="1" s="1"/>
  <c r="AG1069" i="1" a="1"/>
  <c r="AG1069" i="1" s="1"/>
  <c r="AG1070" i="1" a="1"/>
  <c r="AG1070" i="1" s="1"/>
  <c r="AG1071" i="1" a="1"/>
  <c r="AG1071" i="1" s="1"/>
  <c r="AG1072" i="1" a="1"/>
  <c r="AG1072" i="1" s="1"/>
  <c r="AG1073" i="1" a="1"/>
  <c r="AG1073" i="1" s="1"/>
  <c r="AG1074" i="1" a="1"/>
  <c r="AG1074" i="1" s="1"/>
  <c r="AG1075" i="1" a="1"/>
  <c r="AG1075" i="1" s="1"/>
  <c r="AG1076" i="1" a="1"/>
  <c r="AG1076" i="1" s="1"/>
  <c r="AG1077" i="1" a="1"/>
  <c r="AG1077" i="1" s="1"/>
  <c r="AG1078" i="1" a="1"/>
  <c r="AG1078" i="1" s="1"/>
  <c r="AG1079" i="1" a="1"/>
  <c r="AG1079" i="1" s="1"/>
  <c r="AG1080" i="1" a="1"/>
  <c r="AG1080" i="1" s="1"/>
  <c r="AG1081" i="1" a="1"/>
  <c r="AG1081" i="1" s="1"/>
  <c r="AG1082" i="1" a="1"/>
  <c r="AG1082" i="1" s="1"/>
  <c r="AG1083" i="1" a="1"/>
  <c r="AG1083" i="1" s="1"/>
  <c r="AG1084" i="1" a="1"/>
  <c r="AG1084" i="1" s="1"/>
  <c r="AG1085" i="1" a="1"/>
  <c r="AG1085" i="1" s="1"/>
  <c r="AG1086" i="1" a="1"/>
  <c r="AG1086" i="1" s="1"/>
  <c r="AG1087" i="1" a="1"/>
  <c r="AG1087" i="1" s="1"/>
  <c r="AG1088" i="1" a="1"/>
  <c r="AG1088" i="1" s="1"/>
  <c r="AG1089" i="1" a="1"/>
  <c r="AG1089" i="1" s="1"/>
  <c r="AG1090" i="1" a="1"/>
  <c r="AG1090" i="1" s="1"/>
  <c r="AG1091" i="1" a="1"/>
  <c r="AG1091" i="1" s="1"/>
  <c r="AG1092" i="1" a="1"/>
  <c r="AG1092" i="1" s="1"/>
  <c r="AG1093" i="1" a="1"/>
  <c r="AG1093" i="1" s="1"/>
  <c r="AG1094" i="1" a="1"/>
  <c r="AG1094" i="1" s="1"/>
  <c r="AG1095" i="1" a="1"/>
  <c r="AG1095" i="1" s="1"/>
  <c r="AG1096" i="1" a="1"/>
  <c r="AG1096" i="1" s="1"/>
  <c r="AG1097" i="1" a="1"/>
  <c r="AG1097" i="1" s="1"/>
  <c r="AG1098" i="1" a="1"/>
  <c r="AG1098" i="1" s="1"/>
  <c r="AG1099" i="1" a="1"/>
  <c r="AG1099" i="1" s="1"/>
  <c r="AG1100" i="1" a="1"/>
  <c r="AG1100" i="1" s="1"/>
  <c r="AG1101" i="1" a="1"/>
  <c r="AG1101" i="1" s="1"/>
  <c r="AG1102" i="1" a="1"/>
  <c r="AG1102" i="1" s="1"/>
  <c r="AG1103" i="1" a="1"/>
  <c r="AG1103" i="1" s="1"/>
  <c r="AG1104" i="1" a="1"/>
  <c r="AG1104" i="1" s="1"/>
  <c r="AG1105" i="1" a="1"/>
  <c r="AG1105" i="1" s="1"/>
  <c r="AG1106" i="1" a="1"/>
  <c r="AG1106" i="1" s="1"/>
  <c r="AG1107" i="1" a="1"/>
  <c r="AG1107" i="1" s="1"/>
  <c r="AG1108" i="1" a="1"/>
  <c r="AG1108" i="1" s="1"/>
  <c r="AG1109" i="1" a="1"/>
  <c r="AG1109" i="1" s="1"/>
  <c r="AG1110" i="1" a="1"/>
  <c r="AG1110" i="1" s="1"/>
  <c r="AG1111" i="1" a="1"/>
  <c r="AG1111" i="1" s="1"/>
  <c r="AG1112" i="1" a="1"/>
  <c r="AG1112" i="1" s="1"/>
  <c r="AG1113" i="1" a="1"/>
  <c r="AG1113" i="1" s="1"/>
  <c r="AG1114" i="1" a="1"/>
  <c r="AG1114" i="1" s="1"/>
  <c r="AG1115" i="1" a="1"/>
  <c r="AG1115" i="1" s="1"/>
  <c r="AG1116" i="1" a="1"/>
  <c r="AG1116" i="1" s="1"/>
  <c r="AG1117" i="1" a="1"/>
  <c r="AG1117" i="1" s="1"/>
  <c r="AG1118" i="1" a="1"/>
  <c r="AG1118" i="1" s="1"/>
  <c r="AG1119" i="1" a="1"/>
  <c r="AG1119" i="1" s="1"/>
  <c r="AG1120" i="1" a="1"/>
  <c r="AG1120" i="1" s="1"/>
  <c r="AG1121" i="1" a="1"/>
  <c r="AG1121" i="1" s="1"/>
  <c r="AG1122" i="1" a="1"/>
  <c r="AG1122" i="1" s="1"/>
  <c r="AG1123" i="1" a="1"/>
  <c r="AG1123" i="1" s="1"/>
  <c r="AG1124" i="1" a="1"/>
  <c r="AG1124" i="1" s="1"/>
  <c r="AG1125" i="1" a="1"/>
  <c r="AG1125" i="1" s="1"/>
  <c r="AG1126" i="1" a="1"/>
  <c r="AG1126" i="1" s="1"/>
  <c r="AG1127" i="1" a="1"/>
  <c r="AG1127" i="1" s="1"/>
  <c r="AG1128" i="1" a="1"/>
  <c r="AG1128" i="1" s="1"/>
  <c r="AG1129" i="1" a="1"/>
  <c r="AG1129" i="1" s="1"/>
  <c r="AG1130" i="1" a="1"/>
  <c r="AG1130" i="1" s="1"/>
  <c r="AG1131" i="1" a="1"/>
  <c r="AG1131" i="1" s="1"/>
  <c r="AG1132" i="1" a="1"/>
  <c r="AG1132" i="1" s="1"/>
  <c r="AG1133" i="1" a="1"/>
  <c r="AG1133" i="1" s="1"/>
  <c r="AG1134" i="1" a="1"/>
  <c r="AG1134" i="1" s="1"/>
  <c r="AG1135" i="1" a="1"/>
  <c r="AG1135" i="1" s="1"/>
  <c r="AG1136" i="1" a="1"/>
  <c r="AG1136" i="1" s="1"/>
  <c r="AG1137" i="1" a="1"/>
  <c r="AG1137" i="1" s="1"/>
  <c r="AG1138" i="1" a="1"/>
  <c r="AG1138" i="1" s="1"/>
  <c r="AG1139" i="1" a="1"/>
  <c r="AG1139" i="1" s="1"/>
  <c r="AG1140" i="1" a="1"/>
  <c r="AG1140" i="1" s="1"/>
  <c r="AG1141" i="1" a="1"/>
  <c r="AG1141" i="1" s="1"/>
  <c r="AG1142" i="1" a="1"/>
  <c r="AG1142" i="1" s="1"/>
  <c r="AG1143" i="1" a="1"/>
  <c r="AG1143" i="1" s="1"/>
  <c r="AG1144" i="1" a="1"/>
  <c r="AG1144" i="1" s="1"/>
  <c r="AG1145" i="1" a="1"/>
  <c r="AG1145" i="1" s="1"/>
  <c r="AG1146" i="1" a="1"/>
  <c r="AG1146" i="1" s="1"/>
  <c r="AG1147" i="1" a="1"/>
  <c r="AG1147" i="1" s="1"/>
  <c r="AG1148" i="1" a="1"/>
  <c r="AG1148" i="1" s="1"/>
  <c r="AG1149" i="1" a="1"/>
  <c r="AG1149" i="1" s="1"/>
  <c r="AG1150" i="1" a="1"/>
  <c r="AG1150" i="1" s="1"/>
  <c r="AG1151" i="1" a="1"/>
  <c r="AG1151" i="1" s="1"/>
  <c r="AG1152" i="1" a="1"/>
  <c r="AG1152" i="1" s="1"/>
  <c r="AG1153" i="1" a="1"/>
  <c r="AG1153" i="1" s="1"/>
  <c r="AG1154" i="1" a="1"/>
  <c r="AG1154" i="1" s="1"/>
  <c r="AG1155" i="1" a="1"/>
  <c r="AG1155" i="1" s="1"/>
  <c r="AG1156" i="1" a="1"/>
  <c r="AG1156" i="1" s="1"/>
  <c r="AG1157" i="1" a="1"/>
  <c r="AG1157" i="1" s="1"/>
  <c r="AG1158" i="1" a="1"/>
  <c r="AG1158" i="1" s="1"/>
  <c r="AG1159" i="1" a="1"/>
  <c r="AG1159" i="1" s="1"/>
  <c r="AG1160" i="1" a="1"/>
  <c r="AG1160" i="1" s="1"/>
  <c r="AG1161" i="1" a="1"/>
  <c r="AG1161" i="1" s="1"/>
  <c r="AG1162" i="1" a="1"/>
  <c r="AG1162" i="1" s="1"/>
  <c r="AG1163" i="1" a="1"/>
  <c r="AG1163" i="1" s="1"/>
  <c r="AG1164" i="1" a="1"/>
  <c r="AG1164" i="1" s="1"/>
  <c r="AG1165" i="1" a="1"/>
  <c r="AG1165" i="1" s="1"/>
  <c r="AG1166" i="1" a="1"/>
  <c r="AG1166" i="1" s="1"/>
  <c r="AG1167" i="1" a="1"/>
  <c r="AG1167" i="1" s="1"/>
  <c r="AG1168" i="1" a="1"/>
  <c r="AG1168" i="1" s="1"/>
  <c r="AG1169" i="1" a="1"/>
  <c r="AG1169" i="1" s="1"/>
  <c r="AG1170" i="1" a="1"/>
  <c r="AG1170" i="1" s="1"/>
  <c r="AG1171" i="1" a="1"/>
  <c r="AG1171" i="1" s="1"/>
  <c r="AG1172" i="1" a="1"/>
  <c r="AG1172" i="1" s="1"/>
  <c r="AG1173" i="1" a="1"/>
  <c r="AG1173" i="1" s="1"/>
  <c r="AG1174" i="1" a="1"/>
  <c r="AG1174" i="1" s="1"/>
  <c r="AG1175" i="1" a="1"/>
  <c r="AG1175" i="1" s="1"/>
  <c r="AG1176" i="1" a="1"/>
  <c r="AG1176" i="1" s="1"/>
  <c r="AG1177" i="1" a="1"/>
  <c r="AG1177" i="1" s="1"/>
  <c r="AG1178" i="1" a="1"/>
  <c r="AG1178" i="1" s="1"/>
  <c r="AG1179" i="1" a="1"/>
  <c r="AG1179" i="1" s="1"/>
  <c r="AG1180" i="1" a="1"/>
  <c r="AG1180" i="1" s="1"/>
  <c r="AG1181" i="1" a="1"/>
  <c r="AG1181" i="1" s="1"/>
  <c r="AG1182" i="1" a="1"/>
  <c r="AG1182" i="1" s="1"/>
  <c r="AG1183" i="1" a="1"/>
  <c r="AG1183" i="1" s="1"/>
  <c r="AG1184" i="1" a="1"/>
  <c r="AG1184" i="1" s="1"/>
  <c r="AG1185" i="1" a="1"/>
  <c r="AG1185" i="1" s="1"/>
  <c r="AG1186" i="1" a="1"/>
  <c r="AG1186" i="1" s="1"/>
  <c r="AG1187" i="1" a="1"/>
  <c r="AG1187" i="1" s="1"/>
  <c r="AG1188" i="1" a="1"/>
  <c r="AG1188" i="1" s="1"/>
  <c r="AG1189" i="1" a="1"/>
  <c r="AG1189" i="1" s="1"/>
  <c r="AG1190" i="1" a="1"/>
  <c r="AG1190" i="1" s="1"/>
  <c r="AG1191" i="1" a="1"/>
  <c r="AG1191" i="1" s="1"/>
  <c r="AG1192" i="1" a="1"/>
  <c r="AG1192" i="1" s="1"/>
  <c r="AG1193" i="1" a="1"/>
  <c r="AG1193" i="1" s="1"/>
  <c r="AG1194" i="1" a="1"/>
  <c r="AG1194" i="1" s="1"/>
  <c r="AG1195" i="1" a="1"/>
  <c r="AG1195" i="1" s="1"/>
  <c r="AG1196" i="1" a="1"/>
  <c r="AG1196" i="1" s="1"/>
  <c r="AG1197" i="1" a="1"/>
  <c r="AG1197" i="1" s="1"/>
  <c r="AG1198" i="1" a="1"/>
  <c r="AG1198" i="1" s="1"/>
  <c r="AG1199" i="1" a="1"/>
  <c r="AG1199" i="1" s="1"/>
  <c r="AG1200" i="1" a="1"/>
  <c r="AG1200" i="1" s="1"/>
  <c r="AG1201" i="1" a="1"/>
  <c r="AG1201" i="1" s="1"/>
  <c r="AG1202" i="1" a="1"/>
  <c r="AG1202" i="1" s="1"/>
  <c r="AG1203" i="1" a="1"/>
  <c r="AG1203" i="1" s="1"/>
  <c r="AG1204" i="1" a="1"/>
  <c r="AG1204" i="1" s="1"/>
  <c r="AG1205" i="1" a="1"/>
  <c r="AG1205" i="1" s="1"/>
  <c r="AG1206" i="1" a="1"/>
  <c r="AG1206" i="1" s="1"/>
  <c r="AG1207" i="1" a="1"/>
  <c r="AG1207" i="1" s="1"/>
  <c r="AG1208" i="1" a="1"/>
  <c r="AG1208" i="1" s="1"/>
  <c r="AG1209" i="1" a="1"/>
  <c r="AG1209" i="1" s="1"/>
  <c r="AG1210" i="1" a="1"/>
  <c r="AG1210" i="1" s="1"/>
  <c r="AG1211" i="1" a="1"/>
  <c r="AG1211" i="1" s="1"/>
  <c r="AG1212" i="1" a="1"/>
  <c r="AG1212" i="1" s="1"/>
  <c r="AG1213" i="1" a="1"/>
  <c r="AG1213" i="1" s="1"/>
  <c r="AG1214" i="1" a="1"/>
  <c r="AG1214" i="1" s="1"/>
  <c r="AG1215" i="1" a="1"/>
  <c r="AG1215" i="1" s="1"/>
  <c r="AG1216" i="1" a="1"/>
  <c r="AG1216" i="1" s="1"/>
  <c r="AG1217" i="1" a="1"/>
  <c r="AG1217" i="1" s="1"/>
  <c r="AG1218" i="1" a="1"/>
  <c r="AG1218" i="1" s="1"/>
  <c r="AG1219" i="1" a="1"/>
  <c r="AG1219" i="1" s="1"/>
  <c r="AG1220" i="1" a="1"/>
  <c r="AG1220" i="1" s="1"/>
  <c r="AG1221" i="1" a="1"/>
  <c r="AG1221" i="1" s="1"/>
  <c r="AG1222" i="1" a="1"/>
  <c r="AG1222" i="1" s="1"/>
  <c r="AG1223" i="1" a="1"/>
  <c r="AG1223" i="1" s="1"/>
  <c r="AG1224" i="1" a="1"/>
  <c r="AG1224" i="1" s="1"/>
  <c r="AG1225" i="1" a="1"/>
  <c r="AG1225" i="1" s="1"/>
  <c r="AG1226" i="1" a="1"/>
  <c r="AG1226" i="1" s="1"/>
  <c r="AG1227" i="1" a="1"/>
  <c r="AG1227" i="1" s="1"/>
  <c r="AG1228" i="1" a="1"/>
  <c r="AG1228" i="1" s="1"/>
  <c r="AG1229" i="1" a="1"/>
  <c r="AG1229" i="1" s="1"/>
  <c r="AG1230" i="1" a="1"/>
  <c r="AG1230" i="1" s="1"/>
  <c r="AG1231" i="1" a="1"/>
  <c r="AG1231" i="1" s="1"/>
  <c r="AG1232" i="1" a="1"/>
  <c r="AG1232" i="1" s="1"/>
  <c r="AG1233" i="1" a="1"/>
  <c r="AG1233" i="1" s="1"/>
  <c r="AG1234" i="1" a="1"/>
  <c r="AG1234" i="1" s="1"/>
  <c r="AG1235" i="1" a="1"/>
  <c r="AG1235" i="1" s="1"/>
  <c r="AG1236" i="1" a="1"/>
  <c r="AG1236" i="1" s="1"/>
  <c r="AG1237" i="1" a="1"/>
  <c r="AG1237" i="1" s="1"/>
  <c r="AG1238" i="1" a="1"/>
  <c r="AG1238" i="1" s="1"/>
  <c r="AG1239" i="1" a="1"/>
  <c r="AG1239" i="1" s="1"/>
  <c r="AG1240" i="1" a="1"/>
  <c r="AG1240" i="1" s="1"/>
  <c r="AG1241" i="1" a="1"/>
  <c r="AG1241" i="1" s="1"/>
  <c r="AG1242" i="1" a="1"/>
  <c r="AG1242" i="1" s="1"/>
  <c r="AG1243" i="1" a="1"/>
  <c r="AG1243" i="1" s="1"/>
  <c r="AG1244" i="1" a="1"/>
  <c r="AG1244" i="1" s="1"/>
  <c r="AG1245" i="1" a="1"/>
  <c r="AG1245" i="1" s="1"/>
  <c r="AG1246" i="1" a="1"/>
  <c r="AG1246" i="1" s="1"/>
  <c r="AG1247" i="1" a="1"/>
  <c r="AG1247" i="1" s="1"/>
  <c r="AG1248" i="1" a="1"/>
  <c r="AG1248" i="1" s="1"/>
  <c r="AG1249" i="1" a="1"/>
  <c r="AG1249" i="1" s="1"/>
  <c r="AG1250" i="1" a="1"/>
  <c r="AG1250" i="1" s="1"/>
  <c r="AG1251" i="1" a="1"/>
  <c r="AG1251" i="1" s="1"/>
  <c r="AG1252" i="1" a="1"/>
  <c r="AG1252" i="1" s="1"/>
  <c r="AG1253" i="1" a="1"/>
  <c r="AG1253" i="1" s="1"/>
  <c r="AG1254" i="1" a="1"/>
  <c r="AG1254" i="1" s="1"/>
  <c r="AG1255" i="1" a="1"/>
  <c r="AG1255" i="1" s="1"/>
  <c r="AG1256" i="1" a="1"/>
  <c r="AG1256" i="1" s="1"/>
  <c r="AG1257" i="1" a="1"/>
  <c r="AG1257" i="1" s="1"/>
  <c r="AG1258" i="1" a="1"/>
  <c r="AG1258" i="1" s="1"/>
  <c r="AG1259" i="1" a="1"/>
  <c r="AG1259" i="1" s="1"/>
  <c r="AG1260" i="1" a="1"/>
  <c r="AG1260" i="1" s="1"/>
  <c r="AG1261" i="1" a="1"/>
  <c r="AG1261" i="1" s="1"/>
  <c r="AG1262" i="1" a="1"/>
  <c r="AG1262" i="1" s="1"/>
  <c r="AG1263" i="1" a="1"/>
  <c r="AG1263" i="1" s="1"/>
  <c r="AG1264" i="1" a="1"/>
  <c r="AG1264" i="1" s="1"/>
  <c r="AG1265" i="1" a="1"/>
  <c r="AG1265" i="1" s="1"/>
  <c r="AG1266" i="1" a="1"/>
  <c r="AG1266" i="1" s="1"/>
  <c r="AG1267" i="1" a="1"/>
  <c r="AG1267" i="1" s="1"/>
  <c r="AG1268" i="1" a="1"/>
  <c r="AG1268" i="1" s="1"/>
  <c r="AG1269" i="1" a="1"/>
  <c r="AG1269" i="1" s="1"/>
  <c r="AG1270" i="1" a="1"/>
  <c r="AG1270" i="1" s="1"/>
  <c r="AG1271" i="1" a="1"/>
  <c r="AG1271" i="1" s="1"/>
  <c r="AG1272" i="1" a="1"/>
  <c r="AG1272" i="1" s="1"/>
  <c r="AG1273" i="1" a="1"/>
  <c r="AG1273" i="1" s="1"/>
  <c r="AG1274" i="1" a="1"/>
  <c r="AG1274" i="1" s="1"/>
  <c r="AG1275" i="1" a="1"/>
  <c r="AG1275" i="1" s="1"/>
  <c r="AG1276" i="1" a="1"/>
  <c r="AG1276" i="1" s="1"/>
  <c r="AG1277" i="1" a="1"/>
  <c r="AG1277" i="1" s="1"/>
  <c r="AG1278" i="1" a="1"/>
  <c r="AG1278" i="1" s="1"/>
  <c r="AG1279" i="1" a="1"/>
  <c r="AG1279" i="1" s="1"/>
  <c r="AG1280" i="1" a="1"/>
  <c r="AG1280" i="1" s="1"/>
  <c r="AG1281" i="1" a="1"/>
  <c r="AG1281" i="1" s="1"/>
  <c r="AG1282" i="1" a="1"/>
  <c r="AG1282" i="1" s="1"/>
  <c r="AG1283" i="1" a="1"/>
  <c r="AG1283" i="1" s="1"/>
  <c r="AG1284" i="1" a="1"/>
  <c r="AG1284" i="1" s="1"/>
  <c r="AG1285" i="1" a="1"/>
  <c r="AG1285" i="1" s="1"/>
  <c r="AG1286" i="1" a="1"/>
  <c r="AG1286" i="1" s="1"/>
  <c r="AG1287" i="1" a="1"/>
  <c r="AG1287" i="1" s="1"/>
  <c r="AG1288" i="1" a="1"/>
  <c r="AG1288" i="1" s="1"/>
  <c r="AG1289" i="1" a="1"/>
  <c r="AG1289" i="1" s="1"/>
  <c r="AG1290" i="1" a="1"/>
  <c r="AG1290" i="1" s="1"/>
  <c r="AG1291" i="1" a="1"/>
  <c r="AG1291" i="1" s="1"/>
  <c r="AG1292" i="1" a="1"/>
  <c r="AG1292" i="1" s="1"/>
  <c r="AG1293" i="1" a="1"/>
  <c r="AG1293" i="1" s="1"/>
  <c r="AG1294" i="1" a="1"/>
  <c r="AG1294" i="1" s="1"/>
  <c r="AG1295" i="1" a="1"/>
  <c r="AG1295" i="1" s="1"/>
  <c r="AG1296" i="1" a="1"/>
  <c r="AG1296" i="1" s="1"/>
  <c r="AG1297" i="1" a="1"/>
  <c r="AG1297" i="1" s="1"/>
  <c r="AG1298" i="1" a="1"/>
  <c r="AG1298" i="1" s="1"/>
  <c r="AG1299" i="1" a="1"/>
  <c r="AG1299" i="1" s="1"/>
  <c r="AG1300" i="1" a="1"/>
  <c r="AG1300" i="1" s="1"/>
  <c r="AG1301" i="1" a="1"/>
  <c r="AG1301" i="1" s="1"/>
  <c r="AG1302" i="1" a="1"/>
  <c r="AG1302" i="1" s="1"/>
  <c r="AG1303" i="1" a="1"/>
  <c r="AG1303" i="1" s="1"/>
  <c r="AG1304" i="1" a="1"/>
  <c r="AG1304" i="1" s="1"/>
  <c r="AG1305" i="1" a="1"/>
  <c r="AG1305" i="1" s="1"/>
  <c r="AG1306" i="1" a="1"/>
  <c r="AG1306" i="1" s="1"/>
  <c r="AG1307" i="1" a="1"/>
  <c r="AG1307" i="1" s="1"/>
  <c r="AG1308" i="1" a="1"/>
  <c r="AG1308" i="1" s="1"/>
  <c r="AG1309" i="1" a="1"/>
  <c r="AG1309" i="1" s="1"/>
  <c r="AG1310" i="1" a="1"/>
  <c r="AG1310" i="1" s="1"/>
  <c r="AG1311" i="1" a="1"/>
  <c r="AG1311" i="1" s="1"/>
  <c r="AG1312" i="1" a="1"/>
  <c r="AG1312" i="1" s="1"/>
  <c r="AG1313" i="1" a="1"/>
  <c r="AG1313" i="1" s="1"/>
  <c r="AG1314" i="1" a="1"/>
  <c r="AG1314" i="1" s="1"/>
  <c r="AG1315" i="1" a="1"/>
  <c r="AG1315" i="1" s="1"/>
  <c r="AG1316" i="1" a="1"/>
  <c r="AG1316" i="1" s="1"/>
  <c r="AG1317" i="1" a="1"/>
  <c r="AG1317" i="1" s="1"/>
  <c r="AG1318" i="1" a="1"/>
  <c r="AG1318" i="1" s="1"/>
  <c r="AG1319" i="1" a="1"/>
  <c r="AG1319" i="1" s="1"/>
  <c r="AG1320" i="1" a="1"/>
  <c r="AG1320" i="1" s="1"/>
  <c r="AG1321" i="1" a="1"/>
  <c r="AG1321" i="1" s="1"/>
  <c r="AG1322" i="1" a="1"/>
  <c r="AG1322" i="1" s="1"/>
  <c r="AG1323" i="1" a="1"/>
  <c r="AG1323" i="1" s="1"/>
  <c r="AG1324" i="1" a="1"/>
  <c r="AG1324" i="1" s="1"/>
  <c r="AG1325" i="1" a="1"/>
  <c r="AG1325" i="1" s="1"/>
  <c r="AG1326" i="1" a="1"/>
  <c r="AG1326" i="1" s="1"/>
  <c r="AG1327" i="1" a="1"/>
  <c r="AG1327" i="1" s="1"/>
  <c r="AG1328" i="1" a="1"/>
  <c r="AG1328" i="1" s="1"/>
  <c r="AG1329" i="1" a="1"/>
  <c r="AG1329" i="1" s="1"/>
  <c r="AG1330" i="1" a="1"/>
  <c r="AG1330" i="1" s="1"/>
  <c r="AG1331" i="1" a="1"/>
  <c r="AG1331" i="1" s="1"/>
  <c r="AG1332" i="1" a="1"/>
  <c r="AG1332" i="1" s="1"/>
  <c r="AG1333" i="1" a="1"/>
  <c r="AG1333" i="1" s="1"/>
  <c r="AG1334" i="1" a="1"/>
  <c r="AG1334" i="1" s="1"/>
  <c r="AG1335" i="1" a="1"/>
  <c r="AG1335" i="1" s="1"/>
  <c r="AG1336" i="1" a="1"/>
  <c r="AG1336" i="1" s="1"/>
  <c r="AG1337" i="1" a="1"/>
  <c r="AG1337" i="1" s="1"/>
  <c r="AG1338" i="1" a="1"/>
  <c r="AG1338" i="1" s="1"/>
  <c r="AG1339" i="1" a="1"/>
  <c r="AG1339" i="1" s="1"/>
  <c r="AG1340" i="1" a="1"/>
  <c r="AG1340" i="1" s="1"/>
  <c r="AG1341" i="1" a="1"/>
  <c r="AG1341" i="1" s="1"/>
  <c r="AG1342" i="1" a="1"/>
  <c r="AG1342" i="1" s="1"/>
  <c r="AG1343" i="1" a="1"/>
  <c r="AG1343" i="1" s="1"/>
  <c r="AG1344" i="1" a="1"/>
  <c r="AG1344" i="1" s="1"/>
  <c r="AG1345" i="1" a="1"/>
  <c r="AG1345" i="1" s="1"/>
  <c r="AG1346" i="1" a="1"/>
  <c r="AG1346" i="1" s="1"/>
  <c r="AG1347" i="1" a="1"/>
  <c r="AG1347" i="1" s="1"/>
  <c r="AG1348" i="1" a="1"/>
  <c r="AG1348" i="1" s="1"/>
  <c r="AG1349" i="1" a="1"/>
  <c r="AG1349" i="1" s="1"/>
  <c r="AG1350" i="1" a="1"/>
  <c r="AG1350" i="1" s="1"/>
  <c r="AG1351" i="1" a="1"/>
  <c r="AG1351" i="1" s="1"/>
  <c r="AG1352" i="1" a="1"/>
  <c r="AG1352" i="1" s="1"/>
  <c r="AG1353" i="1" a="1"/>
  <c r="AG1353" i="1" s="1"/>
  <c r="AG1354" i="1" a="1"/>
  <c r="AG1354" i="1" s="1"/>
  <c r="AG1355" i="1" a="1"/>
  <c r="AG1355" i="1" s="1"/>
  <c r="AG1356" i="1" a="1"/>
  <c r="AG1356" i="1" s="1"/>
  <c r="AG1357" i="1" a="1"/>
  <c r="AG1357" i="1" s="1"/>
  <c r="AG1358" i="1" a="1"/>
  <c r="AG1358" i="1" s="1"/>
  <c r="AG1359" i="1" a="1"/>
  <c r="AG1359" i="1" s="1"/>
  <c r="AG1360" i="1" a="1"/>
  <c r="AG1360" i="1" s="1"/>
  <c r="AG1361" i="1" a="1"/>
  <c r="AG1361" i="1" s="1"/>
  <c r="AG1362" i="1" a="1"/>
  <c r="AG1362" i="1" s="1"/>
  <c r="AG1363" i="1" a="1"/>
  <c r="AG1363" i="1" s="1"/>
  <c r="AG1364" i="1" a="1"/>
  <c r="AG1364" i="1" s="1"/>
  <c r="AG1365" i="1" a="1"/>
  <c r="AG1365" i="1" s="1"/>
  <c r="AG1366" i="1" a="1"/>
  <c r="AG1366" i="1" s="1"/>
  <c r="AG1367" i="1" a="1"/>
  <c r="AG1367" i="1" s="1"/>
  <c r="AG1368" i="1" a="1"/>
  <c r="AG1368" i="1" s="1"/>
  <c r="AG1369" i="1" a="1"/>
  <c r="AG1369" i="1" s="1"/>
  <c r="AG1370" i="1" a="1"/>
  <c r="AG1370" i="1" s="1"/>
  <c r="AG1371" i="1" a="1"/>
  <c r="AG1371" i="1" s="1"/>
  <c r="AG1372" i="1" a="1"/>
  <c r="AG1372" i="1" s="1"/>
  <c r="AG1373" i="1" a="1"/>
  <c r="AG1373" i="1" s="1"/>
  <c r="AG1374" i="1" a="1"/>
  <c r="AG1374" i="1" s="1"/>
  <c r="AG1375" i="1" a="1"/>
  <c r="AG1375" i="1" s="1"/>
  <c r="AG1376" i="1" a="1"/>
  <c r="AG1376" i="1" s="1"/>
  <c r="AG1377" i="1" a="1"/>
  <c r="AG1377" i="1" s="1"/>
  <c r="AG1378" i="1" a="1"/>
  <c r="AG1378" i="1" s="1"/>
  <c r="AG1379" i="1" a="1"/>
  <c r="AG1379" i="1" s="1"/>
  <c r="AG1380" i="1" a="1"/>
  <c r="AG1380" i="1" s="1"/>
  <c r="AG1381" i="1" a="1"/>
  <c r="AG1381" i="1" s="1"/>
  <c r="AG1382" i="1" a="1"/>
  <c r="AG1382" i="1" s="1"/>
  <c r="AG1383" i="1" a="1"/>
  <c r="AG1383" i="1" s="1"/>
  <c r="AG1384" i="1" a="1"/>
  <c r="AG1384" i="1" s="1"/>
  <c r="AG1385" i="1" a="1"/>
  <c r="AG1385" i="1" s="1"/>
  <c r="AG1386" i="1" a="1"/>
  <c r="AG1386" i="1" s="1"/>
  <c r="AG1387" i="1" a="1"/>
  <c r="AG1387" i="1" s="1"/>
  <c r="AG1388" i="1" a="1"/>
  <c r="AG1388" i="1" s="1"/>
  <c r="AG1389" i="1" a="1"/>
  <c r="AG1389" i="1" s="1"/>
  <c r="AG1390" i="1" a="1"/>
  <c r="AG1390" i="1" s="1"/>
  <c r="AG1391" i="1" a="1"/>
  <c r="AG1391" i="1" s="1"/>
  <c r="AG1392" i="1" a="1"/>
  <c r="AG1392" i="1" s="1"/>
  <c r="AG1393" i="1" a="1"/>
  <c r="AG1393" i="1" s="1"/>
  <c r="AG1394" i="1" a="1"/>
  <c r="AG1394" i="1" s="1"/>
  <c r="AG1395" i="1" a="1"/>
  <c r="AG1395" i="1" s="1"/>
  <c r="AG1396" i="1" a="1"/>
  <c r="AG1396" i="1" s="1"/>
  <c r="AG1397" i="1" a="1"/>
  <c r="AG1397" i="1" s="1"/>
  <c r="AG1398" i="1" a="1"/>
  <c r="AG1398" i="1" s="1"/>
  <c r="AG1399" i="1" a="1"/>
  <c r="AG1399" i="1" s="1"/>
  <c r="AG1400" i="1" a="1"/>
  <c r="AG1400" i="1" s="1"/>
  <c r="AG1401" i="1" a="1"/>
  <c r="AG1401" i="1" s="1"/>
  <c r="AG1402" i="1" a="1"/>
  <c r="AG1402" i="1" s="1"/>
  <c r="AG1403" i="1" a="1"/>
  <c r="AG1403" i="1" s="1"/>
  <c r="AG1404" i="1" a="1"/>
  <c r="AG1404" i="1" s="1"/>
  <c r="AG1405" i="1" a="1"/>
  <c r="AG1405" i="1" s="1"/>
  <c r="AG1406" i="1" a="1"/>
  <c r="AG1406" i="1" s="1"/>
  <c r="AG1407" i="1" a="1"/>
  <c r="AG1407" i="1" s="1"/>
  <c r="AG1408" i="1" a="1"/>
  <c r="AG1408" i="1" s="1"/>
  <c r="AG1409" i="1" a="1"/>
  <c r="AG1409" i="1" s="1"/>
  <c r="AG1410" i="1" a="1"/>
  <c r="AG1410" i="1" s="1"/>
  <c r="AG1411" i="1" a="1"/>
  <c r="AG1411" i="1" s="1"/>
  <c r="AG1412" i="1" a="1"/>
  <c r="AG1412" i="1" s="1"/>
  <c r="AG1413" i="1" a="1"/>
  <c r="AG1413" i="1" s="1"/>
  <c r="AG1414" i="1" a="1"/>
  <c r="AG1414" i="1" s="1"/>
  <c r="AG1415" i="1" a="1"/>
  <c r="AG1415" i="1" s="1"/>
  <c r="AG1416" i="1" a="1"/>
  <c r="AG1416" i="1" s="1"/>
  <c r="AG1417" i="1" a="1"/>
  <c r="AG1417" i="1" s="1"/>
  <c r="AG1418" i="1" a="1"/>
  <c r="AG1418" i="1" s="1"/>
  <c r="AG1419" i="1" a="1"/>
  <c r="AG1419" i="1" s="1"/>
  <c r="AG1420" i="1" a="1"/>
  <c r="AG1420" i="1" s="1"/>
  <c r="AG1421" i="1" a="1"/>
  <c r="AG1421" i="1" s="1"/>
  <c r="AG1422" i="1" a="1"/>
  <c r="AG1422" i="1" s="1"/>
  <c r="AG1423" i="1" a="1"/>
  <c r="AG1423" i="1" s="1"/>
  <c r="AG1424" i="1" a="1"/>
  <c r="AG1424" i="1" s="1"/>
  <c r="AG1425" i="1" a="1"/>
  <c r="AG1425" i="1" s="1"/>
  <c r="AG1426" i="1" a="1"/>
  <c r="AG1426" i="1" s="1"/>
  <c r="AG1427" i="1" a="1"/>
  <c r="AG1427" i="1" s="1"/>
  <c r="AG1428" i="1" a="1"/>
  <c r="AG1428" i="1" s="1"/>
  <c r="AG1429" i="1" a="1"/>
  <c r="AG1429" i="1" s="1"/>
  <c r="AG1430" i="1" a="1"/>
  <c r="AG1430" i="1" s="1"/>
  <c r="AG1431" i="1" a="1"/>
  <c r="AG1431" i="1" s="1"/>
  <c r="AG1432" i="1" a="1"/>
  <c r="AG1432" i="1" s="1"/>
  <c r="AG1433" i="1" a="1"/>
  <c r="AG1433" i="1" s="1"/>
  <c r="AG1434" i="1" a="1"/>
  <c r="AG1434" i="1" s="1"/>
  <c r="AG1435" i="1" a="1"/>
  <c r="AG1435" i="1" s="1"/>
  <c r="AG1436" i="1" a="1"/>
  <c r="AG1436" i="1" s="1"/>
  <c r="AG1437" i="1" a="1"/>
  <c r="AG1437" i="1" s="1"/>
  <c r="AG1438" i="1" a="1"/>
  <c r="AG1438" i="1" s="1"/>
  <c r="AG1439" i="1" a="1"/>
  <c r="AG1439" i="1" s="1"/>
  <c r="AG1440" i="1" a="1"/>
  <c r="AG1440" i="1" s="1"/>
  <c r="AG1441" i="1" a="1"/>
  <c r="AG1441" i="1" s="1"/>
  <c r="AG1442" i="1" a="1"/>
  <c r="AG1442" i="1" s="1"/>
  <c r="AG1443" i="1" a="1"/>
  <c r="AG1443" i="1" s="1"/>
  <c r="AG1444" i="1" a="1"/>
  <c r="AG1444" i="1" s="1"/>
  <c r="AG1445" i="1" a="1"/>
  <c r="AG1445" i="1" s="1"/>
  <c r="AG1446" i="1" a="1"/>
  <c r="AG1446" i="1" s="1"/>
  <c r="AG1447" i="1" a="1"/>
  <c r="AG1447" i="1" s="1"/>
  <c r="AG1448" i="1" a="1"/>
  <c r="AG1448" i="1" s="1"/>
  <c r="AG1449" i="1" a="1"/>
  <c r="AG1449" i="1" s="1"/>
  <c r="AG1450" i="1" a="1"/>
  <c r="AG1450" i="1" s="1"/>
  <c r="AG1451" i="1" a="1"/>
  <c r="AG1451" i="1" s="1"/>
  <c r="AG1452" i="1" a="1"/>
  <c r="AG1452" i="1" s="1"/>
  <c r="AG1453" i="1" a="1"/>
  <c r="AG1453" i="1" s="1"/>
  <c r="AG1454" i="1" a="1"/>
  <c r="AG1454" i="1" s="1"/>
  <c r="AG1455" i="1" a="1"/>
  <c r="AG1455" i="1" s="1"/>
  <c r="AG1456" i="1" a="1"/>
  <c r="AG1456" i="1" s="1"/>
  <c r="AG1457" i="1" a="1"/>
  <c r="AG1457" i="1" s="1"/>
  <c r="AG1458" i="1" a="1"/>
  <c r="AG1458" i="1" s="1"/>
  <c r="AG1459" i="1" a="1"/>
  <c r="AG1459" i="1" s="1"/>
  <c r="AG1460" i="1" a="1"/>
  <c r="AG1460" i="1" s="1"/>
  <c r="AG1461" i="1" a="1"/>
  <c r="AG1461" i="1" s="1"/>
  <c r="AG1462" i="1" a="1"/>
  <c r="AG1462" i="1" s="1"/>
  <c r="AG1463" i="1" a="1"/>
  <c r="AG1463" i="1" s="1"/>
  <c r="AG1464" i="1" a="1"/>
  <c r="AG1464" i="1" s="1"/>
  <c r="AG1465" i="1" a="1"/>
  <c r="AG1465" i="1" s="1"/>
  <c r="AG1466" i="1" a="1"/>
  <c r="AG1466" i="1" s="1"/>
  <c r="AG1467" i="1" a="1"/>
  <c r="AG1467" i="1" s="1"/>
  <c r="AG1468" i="1" a="1"/>
  <c r="AG1468" i="1" s="1"/>
  <c r="AG1469" i="1" a="1"/>
  <c r="AG1469" i="1" s="1"/>
  <c r="AG1470" i="1" a="1"/>
  <c r="AG1470" i="1" s="1"/>
  <c r="AG1471" i="1" a="1"/>
  <c r="AG1471" i="1" s="1"/>
  <c r="AG1472" i="1" a="1"/>
  <c r="AG1472" i="1" s="1"/>
  <c r="AG1473" i="1" a="1"/>
  <c r="AG1473" i="1" s="1"/>
  <c r="AG1474" i="1" a="1"/>
  <c r="AG1474" i="1" s="1"/>
  <c r="AG1475" i="1" a="1"/>
  <c r="AG1475" i="1" s="1"/>
  <c r="AG1476" i="1" a="1"/>
  <c r="AG1476" i="1" s="1"/>
  <c r="AG1477" i="1" a="1"/>
  <c r="AG1477" i="1" s="1"/>
  <c r="AG1478" i="1" a="1"/>
  <c r="AG1478" i="1" s="1"/>
  <c r="AG1479" i="1" a="1"/>
  <c r="AG1479" i="1" s="1"/>
  <c r="AG1480" i="1" a="1"/>
  <c r="AG1480" i="1" s="1"/>
  <c r="AG1481" i="1" a="1"/>
  <c r="AG1481" i="1" s="1"/>
  <c r="AG1482" i="1" a="1"/>
  <c r="AG1482" i="1" s="1"/>
  <c r="AG1483" i="1" a="1"/>
  <c r="AG1483" i="1" s="1"/>
  <c r="AG1484" i="1" a="1"/>
  <c r="AG1484" i="1" s="1"/>
  <c r="AG1485" i="1" a="1"/>
  <c r="AG1485" i="1" s="1"/>
  <c r="AG1486" i="1" a="1"/>
  <c r="AG1486" i="1" s="1"/>
  <c r="AG1487" i="1" a="1"/>
  <c r="AG1487" i="1" s="1"/>
  <c r="AG1488" i="1" a="1"/>
  <c r="AG1488" i="1" s="1"/>
  <c r="AG1489" i="1" a="1"/>
  <c r="AG1489" i="1" s="1"/>
  <c r="AG1490" i="1" a="1"/>
  <c r="AG1490" i="1" s="1"/>
  <c r="AG1491" i="1" a="1"/>
  <c r="AG1491" i="1" s="1"/>
  <c r="AG1492" i="1" a="1"/>
  <c r="AG1492" i="1" s="1"/>
  <c r="AG1493" i="1" a="1"/>
  <c r="AG1493" i="1" s="1"/>
  <c r="AG1494" i="1" a="1"/>
  <c r="AG1494" i="1" s="1"/>
  <c r="AG1495" i="1" a="1"/>
  <c r="AG1495" i="1" s="1"/>
  <c r="AG1496" i="1" a="1"/>
  <c r="AG1496" i="1" s="1"/>
  <c r="AG1497" i="1" a="1"/>
  <c r="AG1497" i="1" s="1"/>
  <c r="AG1498" i="1" a="1"/>
  <c r="AG1498" i="1" s="1"/>
  <c r="AG1499" i="1" a="1"/>
  <c r="AG1499" i="1" s="1"/>
  <c r="AG1500" i="1" a="1"/>
  <c r="AG1500" i="1" s="1"/>
  <c r="AG1501" i="1" a="1"/>
  <c r="AG1501" i="1" s="1"/>
  <c r="AG1502" i="1" a="1"/>
  <c r="AG1502" i="1" s="1"/>
  <c r="AG1503" i="1" a="1"/>
  <c r="AG1503" i="1" s="1"/>
  <c r="AG1504" i="1" a="1"/>
  <c r="AG1504" i="1" s="1"/>
  <c r="AG1505" i="1" a="1"/>
  <c r="AG1505" i="1" s="1"/>
  <c r="AG1506" i="1" a="1"/>
  <c r="AG1506" i="1" s="1"/>
  <c r="AG1507" i="1" a="1"/>
  <c r="AG1507" i="1" s="1"/>
  <c r="AG1508" i="1" a="1"/>
  <c r="AG1508" i="1" s="1"/>
  <c r="AG1509" i="1" a="1"/>
  <c r="AG1509" i="1" s="1"/>
  <c r="AG1510" i="1" a="1"/>
  <c r="AG1510" i="1" s="1"/>
  <c r="AG1511" i="1" a="1"/>
  <c r="AG1511" i="1" s="1"/>
  <c r="AG1512" i="1" a="1"/>
  <c r="AG1512" i="1" s="1"/>
  <c r="AG1513" i="1" a="1"/>
  <c r="AG1513" i="1" s="1"/>
  <c r="AG1514" i="1" a="1"/>
  <c r="AG1514" i="1" s="1"/>
  <c r="AG1515" i="1" a="1"/>
  <c r="AG1515" i="1" s="1"/>
  <c r="AG1516" i="1" a="1"/>
  <c r="AG1516" i="1" s="1"/>
  <c r="AG1517" i="1" a="1"/>
  <c r="AG1517" i="1" s="1"/>
  <c r="AG1518" i="1" a="1"/>
  <c r="AG1518" i="1" s="1"/>
  <c r="AG1519" i="1" a="1"/>
  <c r="AG1519" i="1" s="1"/>
  <c r="AG1520" i="1" a="1"/>
  <c r="AG1520" i="1" s="1"/>
  <c r="AG1521" i="1" a="1"/>
  <c r="AG1521" i="1" s="1"/>
  <c r="AG1522" i="1" a="1"/>
  <c r="AG1522" i="1" s="1"/>
  <c r="AG1523" i="1" a="1"/>
  <c r="AG1523" i="1" s="1"/>
  <c r="AG1524" i="1" a="1"/>
  <c r="AG1524" i="1" s="1"/>
  <c r="AG1525" i="1" a="1"/>
  <c r="AG1525" i="1" s="1"/>
  <c r="AG1526" i="1" a="1"/>
  <c r="AG1526" i="1" s="1"/>
  <c r="AG1527" i="1" a="1"/>
  <c r="AG1527" i="1" s="1"/>
  <c r="AG1528" i="1" a="1"/>
  <c r="AG1528" i="1" s="1"/>
  <c r="AG1529" i="1" a="1"/>
  <c r="AG1529" i="1" s="1"/>
  <c r="AG1530" i="1" a="1"/>
  <c r="AG1530" i="1" s="1"/>
  <c r="AG1531" i="1" a="1"/>
  <c r="AG1531" i="1" s="1"/>
  <c r="AG1532" i="1" a="1"/>
  <c r="AG1532" i="1" s="1"/>
  <c r="AG1533" i="1" a="1"/>
  <c r="AG1533" i="1" s="1"/>
  <c r="AG1534" i="1" a="1"/>
  <c r="AG1534" i="1" s="1"/>
  <c r="AG1535" i="1" a="1"/>
  <c r="AG1535" i="1" s="1"/>
  <c r="AG1536" i="1" a="1"/>
  <c r="AG1536" i="1" s="1"/>
  <c r="AG1537" i="1" a="1"/>
  <c r="AG1537" i="1" s="1"/>
  <c r="AG1538" i="1" a="1"/>
  <c r="AG1538" i="1" s="1"/>
  <c r="AG1539" i="1" a="1"/>
  <c r="AG1539" i="1" s="1"/>
  <c r="AG1540" i="1" a="1"/>
  <c r="AG1540" i="1" s="1"/>
  <c r="AG1541" i="1" a="1"/>
  <c r="AG1541" i="1" s="1"/>
  <c r="AG1542" i="1" a="1"/>
  <c r="AG1542" i="1" s="1"/>
  <c r="AG1543" i="1" a="1"/>
  <c r="AG1543" i="1" s="1"/>
  <c r="AG1544" i="1" a="1"/>
  <c r="AG1544" i="1" s="1"/>
  <c r="AG1545" i="1" a="1"/>
  <c r="AG1545" i="1" s="1"/>
  <c r="AG1546" i="1" a="1"/>
  <c r="AG1546" i="1" s="1"/>
  <c r="AG1547" i="1" a="1"/>
  <c r="AG1547" i="1" s="1"/>
  <c r="AG1548" i="1" a="1"/>
  <c r="AG1548" i="1" s="1"/>
  <c r="AG1549" i="1" a="1"/>
  <c r="AG1549" i="1" s="1"/>
  <c r="AG1550" i="1" a="1"/>
  <c r="AG1550" i="1" s="1"/>
  <c r="AG1551" i="1" a="1"/>
  <c r="AG1551" i="1" s="1"/>
  <c r="AG1552" i="1" a="1"/>
  <c r="AG1552" i="1" s="1"/>
  <c r="AG1553" i="1" a="1"/>
  <c r="AG1553" i="1" s="1"/>
  <c r="AG1554" i="1" a="1"/>
  <c r="AG1554" i="1" s="1"/>
  <c r="AG1555" i="1" a="1"/>
  <c r="AG1555" i="1" s="1"/>
  <c r="AG1556" i="1" a="1"/>
  <c r="AG1556" i="1" s="1"/>
  <c r="AG1557" i="1" a="1"/>
  <c r="AG1557" i="1" s="1"/>
  <c r="AG1558" i="1" a="1"/>
  <c r="AG1558" i="1" s="1"/>
  <c r="AG1559" i="1" a="1"/>
  <c r="AG1559" i="1" s="1"/>
  <c r="AG1560" i="1" a="1"/>
  <c r="AG1560" i="1" s="1"/>
  <c r="AG1562" i="1" a="1"/>
  <c r="AG1562" i="1" s="1"/>
  <c r="AG1563" i="1" a="1"/>
  <c r="AG1563" i="1" s="1"/>
  <c r="AG1565" i="1" a="1"/>
  <c r="AG1565" i="1" s="1"/>
  <c r="AG1566" i="1" a="1"/>
  <c r="AG1566" i="1" s="1"/>
  <c r="AG1567" i="1" a="1"/>
  <c r="AG1567" i="1" s="1"/>
  <c r="AG1568" i="1" a="1"/>
  <c r="AG1568" i="1" s="1"/>
  <c r="AG1571" i="1" a="1"/>
  <c r="AG1571" i="1" s="1"/>
  <c r="AG1572" i="1" a="1"/>
  <c r="AG1572" i="1" s="1"/>
  <c r="AG1573" i="1" a="1"/>
  <c r="AG1573" i="1" s="1"/>
  <c r="AG1574" i="1" a="1"/>
  <c r="AG1574" i="1" s="1"/>
  <c r="AG1575" i="1" a="1"/>
  <c r="AG1575" i="1" s="1"/>
  <c r="AG1576" i="1" a="1"/>
  <c r="AG1576" i="1" s="1"/>
  <c r="AG1577" i="1" a="1"/>
  <c r="AG1577" i="1" s="1"/>
  <c r="AG1578" i="1" a="1"/>
  <c r="AG1578" i="1" s="1"/>
  <c r="AG1579" i="1" a="1"/>
  <c r="AG1579" i="1" s="1"/>
  <c r="AG1580" i="1" a="1"/>
  <c r="AG1580" i="1" s="1"/>
  <c r="AG1581" i="1" a="1"/>
  <c r="AG1581" i="1" s="1"/>
  <c r="AG1583" i="1" a="1"/>
  <c r="AG1583" i="1" s="1"/>
  <c r="AG1584" i="1" a="1"/>
  <c r="AG1584" i="1" s="1"/>
  <c r="AG1585" i="1" a="1"/>
  <c r="AG1585" i="1" s="1"/>
  <c r="AG1586" i="1" a="1"/>
  <c r="AG1586" i="1" s="1"/>
  <c r="AG1587" i="1" a="1"/>
  <c r="AG1587" i="1" s="1"/>
  <c r="AG1588" i="1" a="1"/>
  <c r="AG1588" i="1" s="1"/>
  <c r="AG1589" i="1" a="1"/>
  <c r="AG1589" i="1" s="1"/>
  <c r="AG1590" i="1" a="1"/>
  <c r="AG1590" i="1" s="1"/>
  <c r="AG1591" i="1" a="1"/>
  <c r="AG1591" i="1" s="1"/>
  <c r="AG1592" i="1" a="1"/>
  <c r="AG1592" i="1" s="1"/>
  <c r="AG1593" i="1" a="1"/>
  <c r="AG1593" i="1" s="1"/>
  <c r="AG1594" i="1" a="1"/>
  <c r="AG1594" i="1" s="1"/>
  <c r="AG1595" i="1" a="1"/>
  <c r="AG1595" i="1" s="1"/>
  <c r="AG1597" i="1" a="1"/>
  <c r="AG1597" i="1" s="1"/>
  <c r="AG1599" i="1" a="1"/>
  <c r="AG1599" i="1" s="1"/>
  <c r="AG1600" i="1" a="1"/>
  <c r="AG1600" i="1" s="1"/>
  <c r="AG1602" i="1" a="1"/>
  <c r="AG1602" i="1" s="1"/>
  <c r="AG1603" i="1" a="1"/>
  <c r="AG1603" i="1" s="1"/>
  <c r="AG1604" i="1" a="1"/>
  <c r="AG1604" i="1" s="1"/>
  <c r="AG1605" i="1" a="1"/>
  <c r="AG1605" i="1" s="1"/>
  <c r="AG1606" i="1" a="1"/>
  <c r="AG1606" i="1" s="1"/>
  <c r="AG1607" i="1" a="1"/>
  <c r="AG1607" i="1" s="1"/>
  <c r="AG1608" i="1" a="1"/>
  <c r="AG1608" i="1" s="1"/>
  <c r="AG1609" i="1" a="1"/>
  <c r="AG1609" i="1" s="1"/>
  <c r="AG1610" i="1" a="1"/>
  <c r="AG1610" i="1" s="1"/>
  <c r="AG1611" i="1" a="1"/>
  <c r="AG1611" i="1" s="1"/>
  <c r="AG1612" i="1" a="1"/>
  <c r="AG1612" i="1" s="1"/>
  <c r="AG1613" i="1" a="1"/>
  <c r="AG1613" i="1" s="1"/>
  <c r="AG1614" i="1" a="1"/>
  <c r="AG1614" i="1" s="1"/>
  <c r="AG1615" i="1" a="1"/>
  <c r="AG1615" i="1" s="1"/>
  <c r="AG1616" i="1" a="1"/>
  <c r="AG1616" i="1" s="1"/>
  <c r="AG1620" i="1" a="1"/>
  <c r="AG1620" i="1" s="1"/>
  <c r="AG1625" i="1" a="1"/>
  <c r="AG1625" i="1" s="1"/>
  <c r="AG1643" i="1" a="1"/>
  <c r="AG1643" i="1" s="1"/>
  <c r="AG1645" i="1" a="1"/>
  <c r="AG1645" i="1" s="1"/>
  <c r="AG1646" i="1" a="1"/>
  <c r="AG1646" i="1" s="1"/>
  <c r="AG1648" i="1" a="1"/>
  <c r="AG1648" i="1" s="1"/>
  <c r="AG1652" i="1" a="1"/>
  <c r="AG1652" i="1" s="1"/>
  <c r="AG1655" i="1" a="1"/>
  <c r="AG1655" i="1" s="1"/>
  <c r="AG1657" i="1" a="1"/>
  <c r="AG1657" i="1" s="1"/>
  <c r="AG1658" i="1" a="1"/>
  <c r="AG1658" i="1" s="1"/>
  <c r="AG1668" i="1" a="1"/>
  <c r="AG1668" i="1" s="1"/>
  <c r="AG1675" i="1" a="1"/>
  <c r="AG1675" i="1" s="1"/>
  <c r="AG1677" i="1" a="1"/>
  <c r="AG1677" i="1" s="1"/>
  <c r="AH1755" i="1"/>
  <c r="AH1753" i="1"/>
  <c r="AH1752" i="1"/>
  <c r="AH1750" i="1"/>
  <c r="AH1749" i="1"/>
  <c r="AH1747" i="1"/>
  <c r="AH1743" i="1"/>
  <c r="AH1742" i="1"/>
  <c r="AH1741" i="1"/>
  <c r="AH1738" i="1"/>
  <c r="AH1737" i="1"/>
  <c r="AH1736" i="1"/>
  <c r="AH1735" i="1"/>
  <c r="AH1732" i="1"/>
  <c r="AH1730" i="1"/>
  <c r="AH1728" i="1"/>
  <c r="AH1727" i="1"/>
  <c r="AH1725" i="1"/>
  <c r="AH1724" i="1"/>
  <c r="AH1721" i="1"/>
  <c r="AH1720" i="1"/>
  <c r="AH1719" i="1"/>
  <c r="AH1712" i="1"/>
  <c r="AH1711" i="1"/>
  <c r="AH1708" i="1"/>
  <c r="AH1707" i="1"/>
  <c r="AH1705" i="1"/>
  <c r="AH1698" i="1"/>
  <c r="AH1697" i="1"/>
  <c r="AH1696" i="1"/>
  <c r="AH1692" i="1"/>
  <c r="AH1691" i="1"/>
  <c r="AH1689" i="1"/>
  <c r="AH1688" i="1"/>
  <c r="AH1686" i="1"/>
  <c r="AH1685" i="1"/>
  <c r="AH1684" i="1"/>
  <c r="AH1683" i="1"/>
  <c r="AH1682" i="1"/>
  <c r="AH1681" i="1"/>
  <c r="AH1679" i="1"/>
  <c r="AH1678" i="1"/>
  <c r="AH1677" i="1"/>
  <c r="AH1675" i="1"/>
  <c r="AH1674" i="1"/>
  <c r="AH1673" i="1"/>
  <c r="AH1672" i="1"/>
  <c r="AH1671" i="1"/>
  <c r="AH1670" i="1"/>
  <c r="AH1669" i="1"/>
  <c r="AH1668" i="1"/>
  <c r="AH1667" i="1"/>
  <c r="AH1666" i="1"/>
  <c r="AH1665" i="1"/>
  <c r="AH1664" i="1"/>
  <c r="AH1663" i="1"/>
  <c r="AH1662" i="1"/>
  <c r="AH1661" i="1"/>
  <c r="AH1660" i="1"/>
  <c r="AH1659" i="1"/>
  <c r="AH1657" i="1"/>
  <c r="AH1655" i="1"/>
  <c r="AH1652" i="1"/>
  <c r="AH1651" i="1"/>
  <c r="AH1650" i="1"/>
  <c r="AH1649" i="1"/>
  <c r="AH1648" i="1"/>
  <c r="AH1645" i="1"/>
  <c r="AH1643" i="1"/>
  <c r="AH1642" i="1"/>
  <c r="AH1640" i="1"/>
  <c r="AH1639" i="1"/>
  <c r="AH1638" i="1"/>
  <c r="AH1636" i="1"/>
  <c r="AH1633" i="1"/>
  <c r="AH1627" i="1"/>
  <c r="AH1626" i="1"/>
  <c r="AH1625" i="1"/>
  <c r="AH1624" i="1"/>
  <c r="AH1620" i="1"/>
  <c r="AH1619" i="1"/>
  <c r="AH1616" i="1"/>
  <c r="AH1614" i="1"/>
  <c r="AH1611" i="1"/>
  <c r="AH1606" i="1"/>
  <c r="AH1605" i="1"/>
  <c r="AH1603" i="1"/>
  <c r="AH1598" i="1"/>
  <c r="AH1597" i="1"/>
  <c r="AH1596" i="1"/>
  <c r="AH1595" i="1"/>
  <c r="AH1594" i="1"/>
  <c r="AH1593" i="1"/>
  <c r="AH1592" i="1"/>
  <c r="AH1591" i="1"/>
  <c r="AH1590" i="1"/>
  <c r="AH1587" i="1"/>
  <c r="AH1586" i="1"/>
  <c r="AH1585" i="1"/>
  <c r="AH1584" i="1"/>
  <c r="AH1581" i="1"/>
  <c r="AH1580" i="1"/>
  <c r="AH1578" i="1"/>
  <c r="AH1577" i="1"/>
  <c r="AH1576" i="1"/>
  <c r="AH1575" i="1"/>
  <c r="AH1574" i="1"/>
  <c r="AH1573" i="1"/>
  <c r="AH1572" i="1"/>
  <c r="AH1568" i="1"/>
  <c r="AH1567" i="1"/>
  <c r="AH1563" i="1"/>
  <c r="AH1562" i="1"/>
  <c r="AH1558" i="1"/>
  <c r="AH1556" i="1"/>
  <c r="AH1553" i="1"/>
  <c r="AH1550" i="1"/>
  <c r="AH1549" i="1"/>
  <c r="AH1547" i="1"/>
  <c r="AH1544" i="1"/>
  <c r="AH1541" i="1"/>
  <c r="AH1540" i="1"/>
  <c r="AH1538" i="1"/>
  <c r="AH1535" i="1"/>
  <c r="AH1534" i="1"/>
  <c r="AH1531" i="1"/>
  <c r="AH1529" i="1"/>
  <c r="AH1525" i="1"/>
  <c r="AH1523" i="1"/>
  <c r="AH1522" i="1"/>
  <c r="AH1520" i="1"/>
  <c r="AH1518" i="1"/>
  <c r="AH1512" i="1"/>
  <c r="AH1511" i="1"/>
  <c r="AH1502" i="1"/>
  <c r="AH1501" i="1"/>
  <c r="AH1500" i="1"/>
  <c r="AH1499" i="1"/>
  <c r="AH1496" i="1"/>
  <c r="AH1492" i="1"/>
  <c r="AH1490" i="1"/>
  <c r="AH1489" i="1"/>
  <c r="AH1484" i="1"/>
  <c r="AH1483" i="1"/>
  <c r="AH1478" i="1"/>
  <c r="AH1477" i="1"/>
  <c r="AH1475" i="1"/>
  <c r="AH1474" i="1"/>
  <c r="AH1472" i="1"/>
  <c r="AH1471" i="1"/>
  <c r="AH1469" i="1"/>
  <c r="AH1467" i="1"/>
  <c r="AH1466" i="1"/>
  <c r="AH1465" i="1"/>
  <c r="AH1464" i="1"/>
  <c r="AH1463" i="1"/>
  <c r="AH1457" i="1"/>
  <c r="AH1456" i="1"/>
  <c r="AH1448" i="1"/>
  <c r="AH1446" i="1"/>
  <c r="AH1445" i="1"/>
  <c r="AH1442" i="1"/>
  <c r="AH1435" i="1"/>
  <c r="AH1433" i="1"/>
  <c r="AH1432" i="1"/>
  <c r="AH1427" i="1"/>
  <c r="AH1426" i="1"/>
  <c r="AH1421" i="1"/>
  <c r="AH1420" i="1"/>
  <c r="AH1417" i="1"/>
  <c r="AH1411" i="1"/>
  <c r="AH1408" i="1"/>
  <c r="AH1406" i="1"/>
  <c r="AH1400" i="1"/>
  <c r="AH1398" i="1"/>
  <c r="AH1396" i="1"/>
  <c r="AH1395" i="1"/>
  <c r="AH1393" i="1"/>
  <c r="AH1390" i="1"/>
  <c r="AH1389" i="1"/>
  <c r="AH1388" i="1"/>
  <c r="AH1387" i="1"/>
  <c r="AH1384" i="1"/>
  <c r="AH1381" i="1"/>
  <c r="AH1379" i="1"/>
  <c r="AH1377" i="1"/>
  <c r="AH1374" i="1"/>
  <c r="AH1372" i="1"/>
  <c r="AH1365" i="1"/>
  <c r="AH1364" i="1"/>
  <c r="AH1363" i="1"/>
  <c r="AH1362" i="1"/>
  <c r="AH1360" i="1"/>
  <c r="AH1359" i="1"/>
  <c r="AH1358" i="1"/>
  <c r="AH1356" i="1"/>
  <c r="AH1353" i="1"/>
  <c r="AH1350" i="1"/>
  <c r="AH1349" i="1"/>
  <c r="AH1346" i="1"/>
  <c r="AH1345" i="1"/>
  <c r="AH1343" i="1"/>
  <c r="AH1341" i="1"/>
  <c r="AH1340" i="1"/>
  <c r="AH1339" i="1"/>
  <c r="AH1338" i="1"/>
  <c r="AH1337" i="1"/>
  <c r="AH1334" i="1"/>
  <c r="AH1333" i="1"/>
  <c r="AH1330" i="1"/>
  <c r="AH1328" i="1"/>
  <c r="AH1325" i="1"/>
  <c r="AH1324" i="1"/>
  <c r="AH1321" i="1"/>
  <c r="AH1319" i="1"/>
  <c r="AH1315" i="1"/>
  <c r="AH1313" i="1"/>
  <c r="AH1312" i="1"/>
  <c r="AH1309" i="1"/>
  <c r="AH1303" i="1"/>
  <c r="AH1300" i="1"/>
  <c r="AH1298" i="1"/>
  <c r="AH1297" i="1"/>
  <c r="AH1296" i="1"/>
  <c r="AH1295" i="1"/>
  <c r="AH1294" i="1"/>
  <c r="AH1293" i="1"/>
  <c r="AH1292" i="1"/>
  <c r="AH1291" i="1"/>
  <c r="AH1290" i="1"/>
  <c r="AH1289" i="1"/>
  <c r="AH1287" i="1"/>
  <c r="AH1286" i="1"/>
  <c r="AH1285" i="1"/>
  <c r="AH1284" i="1"/>
  <c r="AH1278" i="1"/>
  <c r="AH1277" i="1"/>
  <c r="AH1274" i="1"/>
  <c r="AH1269" i="1"/>
  <c r="AH1268" i="1"/>
  <c r="AH1262" i="1"/>
  <c r="AH1255" i="1"/>
  <c r="AH1253" i="1"/>
  <c r="AH1248" i="1"/>
  <c r="AH1246" i="1"/>
  <c r="AH1245" i="1"/>
  <c r="AH1243" i="1"/>
  <c r="AH1242" i="1"/>
  <c r="AH1241" i="1"/>
  <c r="AH1238" i="1"/>
  <c r="AH1236" i="1"/>
  <c r="AH1232" i="1"/>
  <c r="AH1230" i="1"/>
  <c r="AH1229" i="1"/>
  <c r="AH1226" i="1"/>
  <c r="AH1224" i="1"/>
  <c r="AH1222" i="1"/>
  <c r="AH1221" i="1"/>
  <c r="AH1215" i="1"/>
  <c r="AH1186" i="1"/>
  <c r="AH1185" i="1"/>
  <c r="AH1183" i="1"/>
  <c r="AH1182" i="1"/>
  <c r="AH1178" i="1"/>
  <c r="AH1175" i="1"/>
  <c r="AH1173" i="1"/>
  <c r="AH1172" i="1"/>
  <c r="AH1169" i="1"/>
  <c r="AH1167" i="1"/>
  <c r="AH1165" i="1"/>
  <c r="AH1164" i="1"/>
  <c r="AH1158" i="1"/>
  <c r="AH1155" i="1"/>
  <c r="AH1150" i="1"/>
  <c r="AH1148" i="1"/>
  <c r="AH1147" i="1"/>
  <c r="AH1140" i="1"/>
  <c r="AH1139" i="1"/>
  <c r="AH1125" i="1"/>
  <c r="AH1124" i="1"/>
  <c r="AH1122" i="1"/>
  <c r="AH1115" i="1"/>
  <c r="AH1110" i="1"/>
  <c r="AH1109" i="1"/>
  <c r="AH1107" i="1"/>
  <c r="AH1104" i="1"/>
  <c r="AH1103" i="1"/>
  <c r="AH1102" i="1"/>
  <c r="AH1101" i="1"/>
  <c r="AH1100" i="1"/>
  <c r="AH1098" i="1"/>
  <c r="AH1095" i="1"/>
  <c r="AH1094" i="1"/>
  <c r="AH1093" i="1"/>
  <c r="AH1092" i="1"/>
  <c r="AH1084" i="1"/>
  <c r="AH1083" i="1"/>
  <c r="AH1081" i="1"/>
  <c r="AH1080" i="1"/>
  <c r="AH1079" i="1"/>
  <c r="AH1077" i="1"/>
  <c r="AH1076" i="1"/>
  <c r="AH1074" i="1"/>
  <c r="AH1070" i="1"/>
  <c r="AH1069" i="1"/>
  <c r="AH1064" i="1"/>
  <c r="AH1063" i="1"/>
  <c r="AH1061" i="1"/>
  <c r="AH1060" i="1"/>
  <c r="AH1058" i="1"/>
  <c r="AH1057" i="1"/>
  <c r="AH1052" i="1"/>
  <c r="AH1051" i="1"/>
  <c r="AH1048" i="1"/>
  <c r="AH1043" i="1"/>
  <c r="AH1042" i="1"/>
  <c r="AH1039" i="1"/>
  <c r="AH1033" i="1"/>
  <c r="AH1030" i="1"/>
  <c r="AH1027" i="1"/>
  <c r="AH1026" i="1"/>
  <c r="AH1023" i="1"/>
  <c r="AH1022" i="1"/>
  <c r="AH1020" i="1"/>
  <c r="AH1019" i="1"/>
  <c r="AH1012" i="1"/>
  <c r="AH1010" i="1"/>
  <c r="AH1009" i="1"/>
  <c r="AH1006" i="1"/>
  <c r="AH1004" i="1"/>
  <c r="AH1003" i="1"/>
  <c r="AH1001" i="1"/>
  <c r="AH1000" i="1"/>
  <c r="AH997" i="1"/>
  <c r="AH995" i="1"/>
  <c r="AH993" i="1"/>
  <c r="AH992" i="1"/>
  <c r="AH990" i="1"/>
  <c r="AH986" i="1"/>
  <c r="AH984" i="1"/>
  <c r="AH983" i="1"/>
  <c r="AH980" i="1"/>
  <c r="AH977" i="1"/>
  <c r="AH974" i="1"/>
  <c r="AH973" i="1"/>
  <c r="AH972" i="1"/>
  <c r="AH971" i="1"/>
  <c r="AH969" i="1"/>
  <c r="AH967" i="1"/>
  <c r="AH966" i="1"/>
  <c r="AH965" i="1"/>
  <c r="AH963" i="1"/>
  <c r="AH962" i="1"/>
  <c r="AH961" i="1"/>
  <c r="AH960" i="1"/>
  <c r="AH959" i="1"/>
  <c r="AH958" i="1"/>
  <c r="AH957" i="1"/>
  <c r="AH955" i="1"/>
  <c r="AH954" i="1"/>
  <c r="AH953" i="1"/>
  <c r="AH951" i="1"/>
  <c r="AH948" i="1"/>
  <c r="AH947" i="1"/>
  <c r="AH946" i="1"/>
  <c r="AH945" i="1"/>
  <c r="AH944" i="1"/>
  <c r="AH943" i="1"/>
  <c r="AH941" i="1"/>
  <c r="AH940" i="1"/>
  <c r="AH938" i="1"/>
  <c r="AH937" i="1"/>
  <c r="AH936" i="1"/>
  <c r="AH935" i="1"/>
  <c r="AH934" i="1"/>
  <c r="AH932" i="1"/>
  <c r="AH930" i="1"/>
  <c r="AH929" i="1"/>
  <c r="AH923" i="1"/>
  <c r="AH922" i="1"/>
  <c r="AH919" i="1"/>
  <c r="AH916" i="1"/>
  <c r="AH914" i="1"/>
  <c r="AH911" i="1"/>
  <c r="AH910" i="1"/>
  <c r="AH908" i="1"/>
  <c r="AH907" i="1"/>
  <c r="AH904" i="1"/>
  <c r="AH903" i="1"/>
  <c r="AH901" i="1"/>
  <c r="AH900" i="1"/>
  <c r="AH898" i="1"/>
  <c r="AH897" i="1"/>
  <c r="AH894" i="1"/>
  <c r="AH892" i="1"/>
  <c r="AH886" i="1"/>
  <c r="AH883" i="1"/>
  <c r="AH882" i="1"/>
  <c r="AH877" i="1"/>
  <c r="AH876" i="1"/>
  <c r="AH874" i="1"/>
  <c r="AH873" i="1"/>
  <c r="AH871" i="1"/>
  <c r="AH870" i="1"/>
  <c r="AH868" i="1"/>
  <c r="AH863" i="1"/>
  <c r="AH862" i="1"/>
  <c r="AH859" i="1"/>
  <c r="AH857" i="1"/>
  <c r="AH856" i="1"/>
  <c r="AH854" i="1"/>
  <c r="AH852" i="1"/>
  <c r="AH851" i="1"/>
  <c r="AH849" i="1"/>
  <c r="AH848" i="1"/>
  <c r="AH847" i="1"/>
  <c r="AH845" i="1"/>
  <c r="AH844" i="1"/>
  <c r="AH838" i="1"/>
  <c r="AH836" i="1"/>
  <c r="AH835" i="1"/>
  <c r="AH833" i="1"/>
  <c r="AH831" i="1"/>
  <c r="AH830" i="1"/>
  <c r="AH827" i="1"/>
  <c r="AH824" i="1"/>
  <c r="AH823" i="1"/>
  <c r="AH822" i="1"/>
  <c r="AH821" i="1"/>
  <c r="AH819" i="1"/>
  <c r="AH818" i="1"/>
  <c r="AH816" i="1"/>
  <c r="AH813" i="1"/>
  <c r="AH812" i="1"/>
  <c r="AH810" i="1"/>
  <c r="AH809" i="1"/>
  <c r="AH807" i="1"/>
  <c r="AH806" i="1"/>
  <c r="AH802" i="1"/>
  <c r="AH801" i="1"/>
  <c r="AH800" i="1"/>
  <c r="AH797" i="1"/>
  <c r="AH795" i="1"/>
  <c r="AH794" i="1"/>
  <c r="AH792" i="1"/>
  <c r="AH789" i="1"/>
  <c r="AH788" i="1"/>
  <c r="AH784" i="1"/>
  <c r="AH783" i="1"/>
  <c r="AH782" i="1"/>
  <c r="AH781" i="1"/>
  <c r="AH780" i="1"/>
  <c r="AH779" i="1"/>
  <c r="AH777" i="1"/>
  <c r="AH776" i="1"/>
  <c r="AH773" i="1"/>
  <c r="AH772" i="1"/>
  <c r="AH771" i="1"/>
  <c r="AH770" i="1"/>
  <c r="AH769" i="1"/>
  <c r="AH768" i="1"/>
  <c r="AH767" i="1"/>
  <c r="AH766" i="1"/>
  <c r="AH765" i="1"/>
  <c r="AH764" i="1"/>
  <c r="AH763" i="1"/>
  <c r="AH760" i="1"/>
  <c r="AH758" i="1"/>
  <c r="AH754" i="1"/>
  <c r="AH749" i="1"/>
  <c r="AH746" i="1"/>
  <c r="AH743" i="1"/>
  <c r="AH742" i="1"/>
  <c r="AH740" i="1"/>
  <c r="AH738" i="1"/>
  <c r="AH736" i="1"/>
  <c r="AH733" i="1"/>
  <c r="AH732" i="1"/>
  <c r="AH730" i="1"/>
  <c r="AH729" i="1"/>
  <c r="AH727" i="1"/>
  <c r="AH724" i="1"/>
  <c r="AH723" i="1"/>
  <c r="AH718" i="1"/>
  <c r="AH717" i="1"/>
  <c r="AH714" i="1"/>
  <c r="AH711" i="1"/>
  <c r="AH710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1" i="1"/>
  <c r="AH690" i="1"/>
  <c r="AH689" i="1"/>
  <c r="AH688" i="1"/>
  <c r="AH687" i="1"/>
  <c r="AH686" i="1"/>
  <c r="AH685" i="1"/>
  <c r="AH684" i="1"/>
  <c r="AH681" i="1"/>
  <c r="AH680" i="1"/>
  <c r="AH679" i="1"/>
  <c r="AH678" i="1"/>
  <c r="AH677" i="1"/>
  <c r="AH675" i="1"/>
  <c r="AH673" i="1"/>
  <c r="AH672" i="1"/>
  <c r="AH670" i="1"/>
  <c r="AH669" i="1"/>
  <c r="AH668" i="1"/>
  <c r="AH666" i="1"/>
  <c r="AH665" i="1"/>
  <c r="AH664" i="1"/>
  <c r="AH663" i="1"/>
  <c r="AH662" i="1"/>
  <c r="AH661" i="1"/>
  <c r="AH660" i="1"/>
  <c r="AH659" i="1"/>
  <c r="AH658" i="1"/>
  <c r="AH657" i="1"/>
  <c r="AH655" i="1"/>
  <c r="AH653" i="1"/>
  <c r="AH652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2" i="1"/>
  <c r="AH621" i="1"/>
  <c r="AH620" i="1"/>
  <c r="AH619" i="1"/>
  <c r="AH618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1" i="1"/>
  <c r="AH460" i="1"/>
  <c r="AH459" i="1"/>
  <c r="AH458" i="1"/>
  <c r="K174" i="30"/>
  <c r="E219" i="29"/>
  <c r="I219" i="29" s="1"/>
  <c r="B219" i="29"/>
  <c r="K25" i="34"/>
  <c r="N25" i="34" s="1"/>
  <c r="I20" i="34"/>
  <c r="K173" i="30"/>
  <c r="E218" i="29"/>
  <c r="I218" i="29" s="1"/>
  <c r="B218" i="29"/>
  <c r="H213" i="29"/>
  <c r="E214" i="29" s="1"/>
  <c r="I214" i="29" s="1"/>
  <c r="K172" i="30"/>
  <c r="E217" i="29"/>
  <c r="I217" i="29" s="1"/>
  <c r="B217" i="29"/>
  <c r="K171" i="30"/>
  <c r="E216" i="29"/>
  <c r="I216" i="29" s="1"/>
  <c r="B216" i="29"/>
  <c r="M1635" i="26"/>
  <c r="M1633" i="26"/>
  <c r="E215" i="29"/>
  <c r="I215" i="29" s="1"/>
  <c r="B215" i="29"/>
  <c r="K170" i="30"/>
  <c r="K169" i="30"/>
  <c r="B214" i="29"/>
  <c r="M168" i="30"/>
  <c r="K168" i="30"/>
  <c r="E213" i="29"/>
  <c r="B213" i="29"/>
  <c r="M167" i="30"/>
  <c r="K167" i="30"/>
  <c r="E212" i="29"/>
  <c r="I212" i="29" s="1"/>
  <c r="B212" i="29"/>
  <c r="M164" i="30"/>
  <c r="M166" i="30"/>
  <c r="M165" i="30"/>
  <c r="K165" i="30"/>
  <c r="K166" i="30"/>
  <c r="E211" i="29"/>
  <c r="I211" i="29" s="1"/>
  <c r="E210" i="29"/>
  <c r="I210" i="29" s="1"/>
  <c r="B211" i="29"/>
  <c r="B210" i="29"/>
  <c r="K164" i="30"/>
  <c r="E209" i="29"/>
  <c r="I209" i="29" s="1"/>
  <c r="E208" i="29"/>
  <c r="I208" i="29" s="1"/>
  <c r="B209" i="29"/>
  <c r="M163" i="30"/>
  <c r="M162" i="30"/>
  <c r="K162" i="30"/>
  <c r="K163" i="30"/>
  <c r="E207" i="29"/>
  <c r="I207" i="29" s="1"/>
  <c r="B208" i="29"/>
  <c r="B207" i="29"/>
  <c r="M161" i="30"/>
  <c r="M160" i="30"/>
  <c r="K160" i="30"/>
  <c r="K161" i="30"/>
  <c r="E206" i="29"/>
  <c r="I206" i="29" s="1"/>
  <c r="E205" i="29"/>
  <c r="I205" i="29" s="1"/>
  <c r="B206" i="29"/>
  <c r="B205" i="29"/>
  <c r="M159" i="30"/>
  <c r="K159" i="30"/>
  <c r="E204" i="29"/>
  <c r="I204" i="29" s="1"/>
  <c r="B204" i="29"/>
  <c r="L157" i="30"/>
  <c r="M158" i="30" s="1"/>
  <c r="K157" i="30"/>
  <c r="K158" i="30"/>
  <c r="E203" i="29"/>
  <c r="I203" i="29" s="1"/>
  <c r="B203" i="29"/>
  <c r="E202" i="29"/>
  <c r="I202" i="29" s="1"/>
  <c r="B202" i="29"/>
  <c r="M156" i="30"/>
  <c r="K156" i="30"/>
  <c r="E201" i="29"/>
  <c r="I201" i="29" s="1"/>
  <c r="B201" i="29"/>
  <c r="AF2118" i="1" l="1"/>
  <c r="C2" i="1"/>
  <c r="H224" i="29"/>
  <c r="E225" i="29" s="1"/>
  <c r="N1845" i="26"/>
  <c r="N1720" i="26"/>
  <c r="AF2116" i="1"/>
  <c r="AF2117" i="1"/>
  <c r="AF2114" i="1"/>
  <c r="AF2113" i="1"/>
  <c r="N1981" i="26"/>
  <c r="N1969" i="26"/>
  <c r="N1954" i="26"/>
  <c r="N1933" i="26"/>
  <c r="N1894" i="26"/>
  <c r="N1887" i="26"/>
  <c r="AF1979" i="1"/>
  <c r="N1856" i="26"/>
  <c r="AF1932" i="1"/>
  <c r="AF1898" i="1"/>
  <c r="AF1884" i="1"/>
  <c r="N1703" i="26"/>
  <c r="N1659" i="26"/>
  <c r="N1652" i="26"/>
  <c r="AF2123" i="1"/>
  <c r="AF1745" i="1"/>
  <c r="AF2122" i="1"/>
  <c r="AF1744" i="1"/>
  <c r="AF2121" i="1"/>
  <c r="AF1692" i="1"/>
  <c r="N1578" i="26"/>
  <c r="AF2112" i="1"/>
  <c r="N1728" i="26"/>
  <c r="AF1740" i="1"/>
  <c r="N1562" i="26"/>
  <c r="AF2111" i="1"/>
  <c r="AF1854" i="1"/>
  <c r="AF1735" i="1"/>
  <c r="N1561" i="26"/>
  <c r="AF2110" i="1"/>
  <c r="AF1853" i="1"/>
  <c r="AF1733" i="1"/>
  <c r="N1560" i="26"/>
  <c r="AF2109" i="1"/>
  <c r="AF1852" i="1"/>
  <c r="AF1729" i="1"/>
  <c r="N1590" i="26"/>
  <c r="AF2108" i="1"/>
  <c r="AF1851" i="1"/>
  <c r="AF1723" i="1"/>
  <c r="N1559" i="26"/>
  <c r="AF1850" i="1"/>
  <c r="AF1722" i="1"/>
  <c r="N1589" i="26"/>
  <c r="AF2097" i="1"/>
  <c r="AF1849" i="1"/>
  <c r="AF1718" i="1"/>
  <c r="N1558" i="26"/>
  <c r="AF1847" i="1"/>
  <c r="AF1717" i="1"/>
  <c r="N1577" i="26"/>
  <c r="AF2076" i="1"/>
  <c r="AF1845" i="1"/>
  <c r="AF1715" i="1"/>
  <c r="N1576" i="26"/>
  <c r="AF1714" i="1"/>
  <c r="N1575" i="26"/>
  <c r="AF2061" i="1"/>
  <c r="AF1843" i="1"/>
  <c r="AF1713" i="1"/>
  <c r="N1574" i="26"/>
  <c r="AF2055" i="1"/>
  <c r="AF1841" i="1"/>
  <c r="AF1710" i="1"/>
  <c r="N1588" i="26"/>
  <c r="AF1836" i="1"/>
  <c r="AF1709" i="1"/>
  <c r="N1571" i="26"/>
  <c r="AF1835" i="1"/>
  <c r="AF1704" i="1"/>
  <c r="N1570" i="26"/>
  <c r="AF1834" i="1"/>
  <c r="AF1703" i="1"/>
  <c r="N1569" i="26"/>
  <c r="AF1702" i="1"/>
  <c r="N1568" i="26"/>
  <c r="AF2120" i="1"/>
  <c r="AF1989" i="1"/>
  <c r="AF1788" i="1"/>
  <c r="AF1701" i="1"/>
  <c r="N1567" i="26"/>
  <c r="AF2119" i="1"/>
  <c r="AF1980" i="1"/>
  <c r="AF1773" i="1"/>
  <c r="AF1700" i="1"/>
  <c r="N1566" i="26"/>
  <c r="AF1699" i="1"/>
  <c r="N1565" i="26"/>
  <c r="AF1759" i="1"/>
  <c r="AF1695" i="1"/>
  <c r="N1564" i="26"/>
  <c r="AF1694" i="1"/>
  <c r="N1563" i="26"/>
  <c r="AF2115" i="1"/>
  <c r="AF1908" i="1"/>
  <c r="AF1746" i="1"/>
  <c r="AF1693" i="1"/>
  <c r="AF1870" i="1"/>
  <c r="N1736" i="26"/>
  <c r="N1855" i="26"/>
  <c r="AF1955" i="1"/>
  <c r="AF1809" i="1"/>
  <c r="N1700" i="26"/>
  <c r="AF1976" i="1"/>
  <c r="N1873" i="26"/>
  <c r="AF1778" i="1"/>
  <c r="N1671" i="26"/>
  <c r="AF1705" i="1"/>
  <c r="N1615" i="26"/>
  <c r="N1611" i="26"/>
  <c r="AF1697" i="1"/>
  <c r="AF1931" i="1"/>
  <c r="N1817" i="26"/>
  <c r="AF1953" i="1"/>
  <c r="N1853" i="26"/>
  <c r="AF1786" i="1"/>
  <c r="N1679" i="26"/>
  <c r="AF1806" i="1"/>
  <c r="N1697" i="26"/>
  <c r="N1907" i="26"/>
  <c r="AF2018" i="1"/>
  <c r="AF2064" i="1"/>
  <c r="N1945" i="26"/>
  <c r="AF1662" i="1"/>
  <c r="N1780" i="26"/>
  <c r="AF1997" i="1"/>
  <c r="AF1991" i="1"/>
  <c r="N1882" i="26"/>
  <c r="AF1895" i="1"/>
  <c r="N1777" i="26"/>
  <c r="AF2014" i="1"/>
  <c r="N1905" i="26"/>
  <c r="N1776" i="26"/>
  <c r="AF1894" i="1"/>
  <c r="AF1846" i="1"/>
  <c r="N1756" i="26"/>
  <c r="AF1751" i="1"/>
  <c r="N1640" i="26"/>
  <c r="N1636" i="26"/>
  <c r="AF1728" i="1"/>
  <c r="AF2085" i="1"/>
  <c r="N1966" i="26"/>
  <c r="AF2090" i="1"/>
  <c r="N1970" i="26"/>
  <c r="AF1821" i="1"/>
  <c r="N1714" i="26"/>
  <c r="N1690" i="26"/>
  <c r="AF1797" i="1"/>
  <c r="N1649" i="26"/>
  <c r="AF1749" i="1"/>
  <c r="N1627" i="26"/>
  <c r="AF1726" i="1"/>
  <c r="AF1678" i="1"/>
  <c r="N1598" i="26"/>
  <c r="AF2037" i="1"/>
  <c r="N1918" i="26"/>
  <c r="AF2013" i="1"/>
  <c r="N1904" i="26"/>
  <c r="AF1965" i="1"/>
  <c r="N1814" i="26"/>
  <c r="AF1941" i="1"/>
  <c r="N1822" i="26"/>
  <c r="AF1917" i="1"/>
  <c r="N1799" i="26"/>
  <c r="AF1893" i="1"/>
  <c r="N1775" i="26"/>
  <c r="AF1869" i="1"/>
  <c r="N1735" i="26"/>
  <c r="AF1822" i="1"/>
  <c r="N1715" i="26"/>
  <c r="N1691" i="26"/>
  <c r="AF1798" i="1"/>
  <c r="AF1892" i="1"/>
  <c r="N1774" i="26"/>
  <c r="AF2107" i="1"/>
  <c r="N1988" i="26"/>
  <c r="AF1987" i="1"/>
  <c r="N1879" i="26"/>
  <c r="N1689" i="26"/>
  <c r="AF1796" i="1"/>
  <c r="N1638" i="26"/>
  <c r="AF1748" i="1"/>
  <c r="AF1677" i="1"/>
  <c r="N1597" i="26"/>
  <c r="AF1890" i="1"/>
  <c r="N1772" i="26"/>
  <c r="AF1842" i="1"/>
  <c r="N1755" i="26"/>
  <c r="N1637" i="26"/>
  <c r="AF1747" i="1"/>
  <c r="N1645" i="26"/>
  <c r="AF1724" i="1"/>
  <c r="N1987" i="26"/>
  <c r="AF2106" i="1"/>
  <c r="AF2105" i="1"/>
  <c r="N1986" i="26"/>
  <c r="AF2033" i="1"/>
  <c r="N1914" i="26"/>
  <c r="N1687" i="26"/>
  <c r="AF1794" i="1"/>
  <c r="N1664" i="26"/>
  <c r="AF1770" i="1"/>
  <c r="AF1711" i="1"/>
  <c r="N1616" i="26"/>
  <c r="AF1960" i="1"/>
  <c r="N1859" i="26"/>
  <c r="AF1864" i="1"/>
  <c r="N1726" i="26"/>
  <c r="N1708" i="26"/>
  <c r="AF1817" i="1"/>
  <c r="N1612" i="26"/>
  <c r="AF1698" i="1"/>
  <c r="N1595" i="26"/>
  <c r="AF1674" i="1"/>
  <c r="AF2031" i="1"/>
  <c r="N1912" i="26"/>
  <c r="AF2007" i="1"/>
  <c r="N1897" i="26"/>
  <c r="AF1863" i="1"/>
  <c r="N1730" i="26"/>
  <c r="N1753" i="26"/>
  <c r="AF1839" i="1"/>
  <c r="AF1768" i="1"/>
  <c r="N1662" i="26"/>
  <c r="N1622" i="26"/>
  <c r="AF1721" i="1"/>
  <c r="AF1673" i="1"/>
  <c r="N1591" i="26"/>
  <c r="N1983" i="26"/>
  <c r="AF2102" i="1"/>
  <c r="AF2078" i="1"/>
  <c r="N1959" i="26"/>
  <c r="AF2054" i="1"/>
  <c r="N1935" i="26"/>
  <c r="AF2030" i="1"/>
  <c r="N1911" i="26"/>
  <c r="N1896" i="26"/>
  <c r="AF2006" i="1"/>
  <c r="AF1982" i="1"/>
  <c r="N1876" i="26"/>
  <c r="AF1958" i="1"/>
  <c r="N1858" i="26"/>
  <c r="AF1934" i="1"/>
  <c r="N1832" i="26"/>
  <c r="N1793" i="26"/>
  <c r="AF1910" i="1"/>
  <c r="AF1886" i="1"/>
  <c r="N1768" i="26"/>
  <c r="AF1862" i="1"/>
  <c r="N1725" i="26"/>
  <c r="N1752" i="26"/>
  <c r="AF1838" i="1"/>
  <c r="N1706" i="26"/>
  <c r="AF1815" i="1"/>
  <c r="N1635" i="26"/>
  <c r="AF1743" i="1"/>
  <c r="N1587" i="26"/>
  <c r="AF1672" i="1"/>
  <c r="AF1671" i="1"/>
  <c r="N1586" i="26"/>
  <c r="N1705" i="26"/>
  <c r="AF1814" i="1"/>
  <c r="AF1790" i="1"/>
  <c r="N1683" i="26"/>
  <c r="N1661" i="26"/>
  <c r="AF1766" i="1"/>
  <c r="AF1742" i="1"/>
  <c r="N1648" i="26"/>
  <c r="N1704" i="26"/>
  <c r="AF1813" i="1"/>
  <c r="AF1765" i="1"/>
  <c r="N1660" i="26"/>
  <c r="N1647" i="26"/>
  <c r="AF1741" i="1"/>
  <c r="N1585" i="26"/>
  <c r="AF1670" i="1"/>
  <c r="N1605" i="26"/>
  <c r="AF1687" i="1"/>
  <c r="AF2099" i="1"/>
  <c r="N1980" i="26"/>
  <c r="N1956" i="26"/>
  <c r="AF2075" i="1"/>
  <c r="AF2027" i="1"/>
  <c r="N1899" i="26"/>
  <c r="AF2003" i="1"/>
  <c r="N1893" i="26"/>
  <c r="N1804" i="26"/>
  <c r="AF1925" i="1"/>
  <c r="N1783" i="26"/>
  <c r="AF1901" i="1"/>
  <c r="N1765" i="26"/>
  <c r="AF1883" i="1"/>
  <c r="N1931" i="26"/>
  <c r="AF2050" i="1"/>
  <c r="N1892" i="26"/>
  <c r="AF2002" i="1"/>
  <c r="N1854" i="26"/>
  <c r="AF1954" i="1"/>
  <c r="N1789" i="26"/>
  <c r="AF1906" i="1"/>
  <c r="N1764" i="26"/>
  <c r="AF1882" i="1"/>
  <c r="AF1858" i="1"/>
  <c r="N1727" i="26"/>
  <c r="AF1787" i="1"/>
  <c r="N1680" i="26"/>
  <c r="AF2049" i="1"/>
  <c r="N1930" i="26"/>
  <c r="N1898" i="26"/>
  <c r="AF2025" i="1"/>
  <c r="N1891" i="26"/>
  <c r="AF2001" i="1"/>
  <c r="AF1977" i="1"/>
  <c r="N1824" i="26"/>
  <c r="N1655" i="26"/>
  <c r="AF1762" i="1"/>
  <c r="N1583" i="26"/>
  <c r="AF1667" i="1"/>
  <c r="N1926" i="26"/>
  <c r="AF2045" i="1"/>
  <c r="AF1929" i="1"/>
  <c r="N1811" i="26"/>
  <c r="N1787" i="26"/>
  <c r="AF1905" i="1"/>
  <c r="N1763" i="26"/>
  <c r="AF1881" i="1"/>
  <c r="AF1857" i="1"/>
  <c r="N1723" i="26"/>
  <c r="N1749" i="26"/>
  <c r="AF1833" i="1"/>
  <c r="N1701" i="26"/>
  <c r="AF1810" i="1"/>
  <c r="AF2096" i="1"/>
  <c r="N1977" i="26"/>
  <c r="N1929" i="26"/>
  <c r="AF2048" i="1"/>
  <c r="N1831" i="26"/>
  <c r="AF2024" i="1"/>
  <c r="N1890" i="26"/>
  <c r="AF2000" i="1"/>
  <c r="N1852" i="26"/>
  <c r="AF1952" i="1"/>
  <c r="N1807" i="26"/>
  <c r="AF1928" i="1"/>
  <c r="N1786" i="26"/>
  <c r="AF1904" i="1"/>
  <c r="N1760" i="26"/>
  <c r="AF1832" i="1"/>
  <c r="AF1785" i="1"/>
  <c r="N1678" i="26"/>
  <c r="N1654" i="26"/>
  <c r="AF1761" i="1"/>
  <c r="N1633" i="26"/>
  <c r="AF1738" i="1"/>
  <c r="N1613" i="26"/>
  <c r="AF1690" i="1"/>
  <c r="N1582" i="26"/>
  <c r="AF1666" i="1"/>
  <c r="N1928" i="26"/>
  <c r="AF2047" i="1"/>
  <c r="N1889" i="26"/>
  <c r="AF1999" i="1"/>
  <c r="N1806" i="26"/>
  <c r="AF1927" i="1"/>
  <c r="N1785" i="26"/>
  <c r="AF1903" i="1"/>
  <c r="N1761" i="26"/>
  <c r="AF1879" i="1"/>
  <c r="AF1831" i="1"/>
  <c r="N1759" i="26"/>
  <c r="AF1808" i="1"/>
  <c r="N1699" i="26"/>
  <c r="AF1760" i="1"/>
  <c r="N1658" i="26"/>
  <c r="AF1737" i="1"/>
  <c r="N1632" i="26"/>
  <c r="AF1689" i="1"/>
  <c r="N1607" i="26"/>
  <c r="AF1665" i="1"/>
  <c r="N1581" i="26"/>
  <c r="N1830" i="26"/>
  <c r="AF2022" i="1"/>
  <c r="N1718" i="26"/>
  <c r="AF1830" i="1"/>
  <c r="N1698" i="26"/>
  <c r="AF1807" i="1"/>
  <c r="AF1783" i="1"/>
  <c r="N1676" i="26"/>
  <c r="AF1736" i="1"/>
  <c r="N1631" i="26"/>
  <c r="N1580" i="26"/>
  <c r="AF1664" i="1"/>
  <c r="N1840" i="26"/>
  <c r="AF1948" i="1"/>
  <c r="N1710" i="26"/>
  <c r="AF1805" i="1"/>
  <c r="AF1781" i="1"/>
  <c r="N1674" i="26"/>
  <c r="AF1757" i="1"/>
  <c r="N1651" i="26"/>
  <c r="N1604" i="26"/>
  <c r="AF1686" i="1"/>
  <c r="AF2067" i="1"/>
  <c r="N1948" i="26"/>
  <c r="N1781" i="26"/>
  <c r="AF1899" i="1"/>
  <c r="N1673" i="26"/>
  <c r="AF1780" i="1"/>
  <c r="N1603" i="26"/>
  <c r="AF1685" i="1"/>
  <c r="AF1661" i="1"/>
  <c r="N1572" i="26"/>
  <c r="AF1994" i="1"/>
  <c r="N1884" i="26"/>
  <c r="AF1970" i="1"/>
  <c r="N1868" i="26"/>
  <c r="N1847" i="26"/>
  <c r="AF1946" i="1"/>
  <c r="N1803" i="26"/>
  <c r="AF1922" i="1"/>
  <c r="N1740" i="26"/>
  <c r="AF1874" i="1"/>
  <c r="N1717" i="26"/>
  <c r="AF1826" i="1"/>
  <c r="N1643" i="26"/>
  <c r="AF1755" i="1"/>
  <c r="AF1732" i="1"/>
  <c r="N1628" i="26"/>
  <c r="N1618" i="26"/>
  <c r="AF1708" i="1"/>
  <c r="AF1684" i="1"/>
  <c r="N1594" i="26"/>
  <c r="N1880" i="26"/>
  <c r="AF2065" i="1"/>
  <c r="N1946" i="26"/>
  <c r="AF1802" i="1"/>
  <c r="N1694" i="26"/>
  <c r="AF1731" i="1"/>
  <c r="N1625" i="26"/>
  <c r="AF1707" i="1"/>
  <c r="N1614" i="26"/>
  <c r="N1602" i="26"/>
  <c r="AF1683" i="1"/>
  <c r="AF2042" i="1"/>
  <c r="N1923" i="26"/>
  <c r="AF1944" i="1"/>
  <c r="N1839" i="26"/>
  <c r="AF1920" i="1"/>
  <c r="N1801" i="26"/>
  <c r="N1642" i="26"/>
  <c r="AF1753" i="1"/>
  <c r="N1646" i="26"/>
  <c r="AF1730" i="1"/>
  <c r="N1617" i="26"/>
  <c r="AF1706" i="1"/>
  <c r="N1693" i="26"/>
  <c r="AF1800" i="1"/>
  <c r="N1669" i="26"/>
  <c r="AF1776" i="1"/>
  <c r="AF1681" i="1"/>
  <c r="N1601" i="26"/>
  <c r="AF2029" i="1"/>
  <c r="N1910" i="26"/>
  <c r="AF2104" i="1"/>
  <c r="N1985" i="26"/>
  <c r="AF2103" i="1"/>
  <c r="N1984" i="26"/>
  <c r="N1960" i="26"/>
  <c r="AF2079" i="1"/>
  <c r="N1942" i="26"/>
  <c r="AF2057" i="1"/>
  <c r="N1917" i="26"/>
  <c r="AF2036" i="1"/>
  <c r="AF2015" i="1"/>
  <c r="N1906" i="26"/>
  <c r="N1883" i="26"/>
  <c r="AF1993" i="1"/>
  <c r="N1869" i="26"/>
  <c r="AF1971" i="1"/>
  <c r="N1849" i="26"/>
  <c r="AF1949" i="1"/>
  <c r="AF1885" i="1"/>
  <c r="N1767" i="26"/>
  <c r="AF1844" i="1"/>
  <c r="N1719" i="26"/>
  <c r="AF1823" i="1"/>
  <c r="N1745" i="26"/>
  <c r="N1675" i="26"/>
  <c r="AF1782" i="1"/>
  <c r="N1941" i="26"/>
  <c r="AF2056" i="1"/>
  <c r="N1916" i="26"/>
  <c r="AF2035" i="1"/>
  <c r="N1826" i="26"/>
  <c r="AF1992" i="1"/>
  <c r="N1805" i="26"/>
  <c r="AF1926" i="1"/>
  <c r="AF2098" i="1"/>
  <c r="N1979" i="26"/>
  <c r="N1958" i="26"/>
  <c r="AF2077" i="1"/>
  <c r="N1915" i="26"/>
  <c r="AF2034" i="1"/>
  <c r="N1848" i="26"/>
  <c r="AF1947" i="1"/>
  <c r="AF1801" i="1"/>
  <c r="N1709" i="26"/>
  <c r="N1653" i="26"/>
  <c r="AF1758" i="1"/>
  <c r="N1608" i="26"/>
  <c r="AF1691" i="1"/>
  <c r="AF2012" i="1"/>
  <c r="N1903" i="26"/>
  <c r="N1867" i="26"/>
  <c r="AF1969" i="1"/>
  <c r="N1810" i="26"/>
  <c r="AF1924" i="1"/>
  <c r="AF1779" i="1"/>
  <c r="N1672" i="26"/>
  <c r="N1619" i="26"/>
  <c r="AF1712" i="1"/>
  <c r="AF1669" i="1"/>
  <c r="N1584" i="26"/>
  <c r="N1913" i="26"/>
  <c r="AF2032" i="1"/>
  <c r="AF2011" i="1"/>
  <c r="N1902" i="26"/>
  <c r="AF1990" i="1"/>
  <c r="N1881" i="26"/>
  <c r="N1866" i="26"/>
  <c r="AF1968" i="1"/>
  <c r="N1809" i="26"/>
  <c r="AF1923" i="1"/>
  <c r="N1784" i="26"/>
  <c r="AF1902" i="1"/>
  <c r="N1729" i="26"/>
  <c r="AF1861" i="1"/>
  <c r="AF1840" i="1"/>
  <c r="N1754" i="26"/>
  <c r="N1713" i="26"/>
  <c r="AF1820" i="1"/>
  <c r="AF1799" i="1"/>
  <c r="N1692" i="26"/>
  <c r="AF1756" i="1"/>
  <c r="N1650" i="26"/>
  <c r="N1629" i="26"/>
  <c r="N1630" i="26"/>
  <c r="AF1734" i="1"/>
  <c r="N1573" i="26"/>
  <c r="AF1668" i="1"/>
  <c r="AF2095" i="1"/>
  <c r="N1976" i="26"/>
  <c r="N1955" i="26"/>
  <c r="AF2074" i="1"/>
  <c r="AF2053" i="1"/>
  <c r="N1934" i="26"/>
  <c r="AF2010" i="1"/>
  <c r="N1901" i="26"/>
  <c r="AF1967" i="1"/>
  <c r="N1865" i="26"/>
  <c r="N1846" i="26"/>
  <c r="AF1945" i="1"/>
  <c r="AF1819" i="1"/>
  <c r="N1712" i="26"/>
  <c r="AF1777" i="1"/>
  <c r="N1670" i="26"/>
  <c r="N1606" i="26"/>
  <c r="AF1688" i="1"/>
  <c r="AF2094" i="1"/>
  <c r="N1975" i="26"/>
  <c r="AF2009" i="1"/>
  <c r="N1900" i="26"/>
  <c r="AF1988" i="1"/>
  <c r="N1834" i="26"/>
  <c r="AF1966" i="1"/>
  <c r="N1864" i="26"/>
  <c r="N1782" i="26"/>
  <c r="AF1900" i="1"/>
  <c r="AF1880" i="1"/>
  <c r="N1762" i="26"/>
  <c r="N1724" i="26"/>
  <c r="AF1859" i="1"/>
  <c r="AF1818" i="1"/>
  <c r="N1711" i="26"/>
  <c r="N1644" i="26"/>
  <c r="AF1754" i="1"/>
  <c r="N1974" i="26"/>
  <c r="AF2093" i="1"/>
  <c r="N1953" i="26"/>
  <c r="AF2072" i="1"/>
  <c r="AF2051" i="1"/>
  <c r="N1932" i="26"/>
  <c r="AF2008" i="1"/>
  <c r="N1827" i="26"/>
  <c r="AF1943" i="1"/>
  <c r="N1838" i="26"/>
  <c r="AF1921" i="1"/>
  <c r="N1802" i="26"/>
  <c r="AF1775" i="1"/>
  <c r="N1668" i="26"/>
  <c r="AF1986" i="1"/>
  <c r="N1825" i="26"/>
  <c r="N1863" i="26"/>
  <c r="AF1964" i="1"/>
  <c r="N1823" i="26"/>
  <c r="AF1942" i="1"/>
  <c r="AF1878" i="1"/>
  <c r="N1744" i="26"/>
  <c r="N1751" i="26"/>
  <c r="AF1837" i="1"/>
  <c r="AF1816" i="1"/>
  <c r="N1707" i="26"/>
  <c r="N1667" i="26"/>
  <c r="AF1774" i="1"/>
  <c r="N1641" i="26"/>
  <c r="AF1752" i="1"/>
  <c r="AF2091" i="1"/>
  <c r="N1972" i="26"/>
  <c r="N1951" i="26"/>
  <c r="AF2070" i="1"/>
  <c r="N1878" i="26"/>
  <c r="AF1985" i="1"/>
  <c r="AF1963" i="1"/>
  <c r="N1862" i="26"/>
  <c r="AF1919" i="1"/>
  <c r="N1800" i="26"/>
  <c r="N1743" i="26"/>
  <c r="AF1877" i="1"/>
  <c r="N1688" i="26"/>
  <c r="AF1795" i="1"/>
  <c r="N1579" i="26"/>
  <c r="AF1663" i="1"/>
  <c r="N1952" i="26"/>
  <c r="AF2071" i="1"/>
  <c r="N1950" i="26"/>
  <c r="AF2069" i="1"/>
  <c r="N1877" i="26"/>
  <c r="AF1984" i="1"/>
  <c r="AF1962" i="1"/>
  <c r="N1861" i="26"/>
  <c r="N1813" i="26"/>
  <c r="AF1940" i="1"/>
  <c r="AF1918" i="1"/>
  <c r="N1808" i="26"/>
  <c r="N1779" i="26"/>
  <c r="AF1897" i="1"/>
  <c r="AF1876" i="1"/>
  <c r="N1742" i="26"/>
  <c r="AF1856" i="1"/>
  <c r="N1722" i="26"/>
  <c r="AF1772" i="1"/>
  <c r="N1666" i="26"/>
  <c r="N1639" i="26"/>
  <c r="AF1750" i="1"/>
  <c r="N1949" i="26"/>
  <c r="AF2068" i="1"/>
  <c r="AF2026" i="1"/>
  <c r="N1844" i="26"/>
  <c r="AF2005" i="1"/>
  <c r="N1895" i="26"/>
  <c r="AF1983" i="1"/>
  <c r="N1833" i="26"/>
  <c r="AF1961" i="1"/>
  <c r="N1841" i="26"/>
  <c r="N1821" i="26"/>
  <c r="AF1939" i="1"/>
  <c r="N1778" i="26"/>
  <c r="AF1896" i="1"/>
  <c r="AF1875" i="1"/>
  <c r="N1741" i="26"/>
  <c r="AF1855" i="1"/>
  <c r="N1721" i="26"/>
  <c r="N1686" i="26"/>
  <c r="AF1793" i="1"/>
  <c r="AF1771" i="1"/>
  <c r="N1665" i="26"/>
  <c r="AF2092" i="1"/>
  <c r="N1973" i="26"/>
  <c r="N1837" i="26"/>
  <c r="AF1938" i="1"/>
  <c r="AF1916" i="1"/>
  <c r="N1798" i="26"/>
  <c r="N1685" i="26"/>
  <c r="AF1792" i="1"/>
  <c r="N1624" i="26"/>
  <c r="AF1727" i="1"/>
  <c r="AF1682" i="1"/>
  <c r="N1593" i="26"/>
  <c r="N1947" i="26"/>
  <c r="AF2066" i="1"/>
  <c r="AF1959" i="1"/>
  <c r="N1860" i="26"/>
  <c r="N1820" i="26"/>
  <c r="AF1937" i="1"/>
  <c r="AF1915" i="1"/>
  <c r="N1797" i="26"/>
  <c r="N1684" i="26"/>
  <c r="AF1791" i="1"/>
  <c r="AF1769" i="1"/>
  <c r="N1663" i="26"/>
  <c r="AF2088" i="1"/>
  <c r="N1971" i="26"/>
  <c r="N1925" i="26"/>
  <c r="AF2044" i="1"/>
  <c r="N1909" i="26"/>
  <c r="AF2023" i="1"/>
  <c r="AF1981" i="1"/>
  <c r="N1875" i="26"/>
  <c r="N1836" i="26"/>
  <c r="AF1936" i="1"/>
  <c r="AF1914" i="1"/>
  <c r="N1796" i="26"/>
  <c r="N1739" i="26"/>
  <c r="AF1873" i="1"/>
  <c r="AF1811" i="1"/>
  <c r="N1702" i="26"/>
  <c r="N1623" i="26"/>
  <c r="AF1725" i="1"/>
  <c r="AF1680" i="1"/>
  <c r="N1600" i="26"/>
  <c r="N1927" i="26"/>
  <c r="AF2046" i="1"/>
  <c r="N1968" i="26"/>
  <c r="AF2087" i="1"/>
  <c r="N1924" i="26"/>
  <c r="AF2043" i="1"/>
  <c r="N1812" i="26"/>
  <c r="AF1935" i="1"/>
  <c r="N1795" i="26"/>
  <c r="AF1913" i="1"/>
  <c r="N1738" i="26"/>
  <c r="AF1872" i="1"/>
  <c r="N1657" i="26"/>
  <c r="AF1767" i="1"/>
  <c r="AF1679" i="1"/>
  <c r="N1599" i="26"/>
  <c r="N1967" i="26"/>
  <c r="AF2086" i="1"/>
  <c r="N1908" i="26"/>
  <c r="AF2021" i="1"/>
  <c r="AF1957" i="1"/>
  <c r="N1857" i="26"/>
  <c r="AF1912" i="1"/>
  <c r="N1794" i="26"/>
  <c r="N1737" i="26"/>
  <c r="AF1871" i="1"/>
  <c r="N1682" i="26"/>
  <c r="AF1789" i="1"/>
  <c r="N1829" i="26"/>
  <c r="AF2020" i="1"/>
  <c r="N1815" i="26"/>
  <c r="AF1978" i="1"/>
  <c r="AF1911" i="1"/>
  <c r="N1788" i="26"/>
  <c r="AF1891" i="1"/>
  <c r="N1773" i="26"/>
  <c r="N1758" i="26"/>
  <c r="AF1829" i="1"/>
  <c r="N1940" i="26"/>
  <c r="AF2089" i="1"/>
  <c r="N1965" i="26"/>
  <c r="AF2084" i="1"/>
  <c r="N1939" i="26"/>
  <c r="AF2063" i="1"/>
  <c r="N1922" i="26"/>
  <c r="AF2041" i="1"/>
  <c r="N1843" i="26"/>
  <c r="AF2019" i="1"/>
  <c r="N1888" i="26"/>
  <c r="AF1998" i="1"/>
  <c r="AF1933" i="1"/>
  <c r="N1819" i="26"/>
  <c r="N1748" i="26"/>
  <c r="AF1828" i="1"/>
  <c r="AF2083" i="1"/>
  <c r="N1964" i="26"/>
  <c r="AF2062" i="1"/>
  <c r="N1938" i="26"/>
  <c r="AF1889" i="1"/>
  <c r="N1771" i="26"/>
  <c r="N1757" i="26"/>
  <c r="AF1848" i="1"/>
  <c r="N1747" i="26"/>
  <c r="AF1827" i="1"/>
  <c r="N1626" i="26"/>
  <c r="AF1720" i="1"/>
  <c r="AF1676" i="1"/>
  <c r="N1596" i="26"/>
  <c r="AF2082" i="1"/>
  <c r="N1963" i="26"/>
  <c r="N1921" i="26"/>
  <c r="AF2040" i="1"/>
  <c r="N1886" i="26"/>
  <c r="AF1996" i="1"/>
  <c r="AF1975" i="1"/>
  <c r="N1872" i="26"/>
  <c r="AF1909" i="1"/>
  <c r="N1792" i="26"/>
  <c r="AF1888" i="1"/>
  <c r="N1770" i="26"/>
  <c r="N1734" i="26"/>
  <c r="AF1868" i="1"/>
  <c r="N1656" i="26"/>
  <c r="AF1763" i="1"/>
  <c r="N1621" i="26"/>
  <c r="AF1719" i="1"/>
  <c r="AF1675" i="1"/>
  <c r="N1592" i="26"/>
  <c r="AF2081" i="1"/>
  <c r="N1961" i="26"/>
  <c r="N1936" i="26"/>
  <c r="N1937" i="26"/>
  <c r="AF2060" i="1"/>
  <c r="N1920" i="26"/>
  <c r="AF2039" i="1"/>
  <c r="N1828" i="26"/>
  <c r="AF2017" i="1"/>
  <c r="N1885" i="26"/>
  <c r="AF1995" i="1"/>
  <c r="N1842" i="26"/>
  <c r="AF1974" i="1"/>
  <c r="AF1930" i="1"/>
  <c r="N1816" i="26"/>
  <c r="AF1887" i="1"/>
  <c r="N1769" i="26"/>
  <c r="AF1867" i="1"/>
  <c r="N1733" i="26"/>
  <c r="N1610" i="26"/>
  <c r="AF1696" i="1"/>
  <c r="AF2101" i="1"/>
  <c r="N1982" i="26"/>
  <c r="AF2080" i="1"/>
  <c r="N1962" i="26"/>
  <c r="N1944" i="26"/>
  <c r="AF2059" i="1"/>
  <c r="N1919" i="26"/>
  <c r="AF2038" i="1"/>
  <c r="N1835" i="26"/>
  <c r="AF2016" i="1"/>
  <c r="N1871" i="26"/>
  <c r="AF1973" i="1"/>
  <c r="N1851" i="26"/>
  <c r="AF1951" i="1"/>
  <c r="AF1907" i="1"/>
  <c r="N1790" i="26"/>
  <c r="N1732" i="26"/>
  <c r="AF1866" i="1"/>
  <c r="N1746" i="26"/>
  <c r="AF1825" i="1"/>
  <c r="N1696" i="26"/>
  <c r="AF1804" i="1"/>
  <c r="N1677" i="26"/>
  <c r="AF1784" i="1"/>
  <c r="AF1739" i="1"/>
  <c r="N1634" i="26"/>
  <c r="N1943" i="26"/>
  <c r="AF2058" i="1"/>
  <c r="N1870" i="26"/>
  <c r="AF1972" i="1"/>
  <c r="N1850" i="26"/>
  <c r="AF1950" i="1"/>
  <c r="N1731" i="26"/>
  <c r="AF1865" i="1"/>
  <c r="N1716" i="26"/>
  <c r="AF1824" i="1"/>
  <c r="N1695" i="26"/>
  <c r="AF1803" i="1"/>
  <c r="N1620" i="26"/>
  <c r="AF1716" i="1"/>
  <c r="N1978" i="26"/>
  <c r="AF2073" i="1"/>
  <c r="N1609" i="26"/>
  <c r="N1874" i="26"/>
  <c r="AF2028" i="1"/>
  <c r="AF2004" i="1"/>
  <c r="AF1956" i="1"/>
  <c r="AF2052" i="1"/>
  <c r="N1766" i="26"/>
  <c r="N1957" i="26"/>
  <c r="N1681" i="26"/>
  <c r="N1818" i="26"/>
  <c r="N1791" i="26"/>
  <c r="AF2100" i="1"/>
  <c r="AF1812" i="1"/>
  <c r="AF1860" i="1"/>
  <c r="N1750" i="26"/>
  <c r="AF1764" i="1"/>
  <c r="AH2120" i="1"/>
  <c r="AH2118" i="1"/>
  <c r="AH2114" i="1"/>
  <c r="AH2115" i="1"/>
  <c r="AH2111" i="1"/>
  <c r="AH2112" i="1"/>
  <c r="AH2113" i="1"/>
  <c r="AG2086" i="1" a="1"/>
  <c r="AG2086" i="1" s="1"/>
  <c r="AG2087" i="1" a="1"/>
  <c r="AG2087" i="1" s="1"/>
  <c r="AG2088" i="1" a="1"/>
  <c r="AG2088" i="1" s="1"/>
  <c r="AG2089" i="1" a="1"/>
  <c r="AG2089" i="1" s="1"/>
  <c r="AG2090" i="1" a="1"/>
  <c r="AG2090" i="1" s="1"/>
  <c r="AG2092" i="1" a="1"/>
  <c r="AG2092" i="1" s="1"/>
  <c r="AG2094" i="1" a="1"/>
  <c r="AG2094" i="1" s="1"/>
  <c r="AG2085" i="1" a="1"/>
  <c r="AG2085" i="1" s="1"/>
  <c r="AG2084" i="1" a="1"/>
  <c r="AG2084" i="1" s="1"/>
  <c r="AH2108" i="1"/>
  <c r="AH2109" i="1"/>
  <c r="AG2028" i="1" a="1"/>
  <c r="AG2028" i="1" s="1"/>
  <c r="AG2008" i="1" a="1"/>
  <c r="AG2008" i="1" s="1"/>
  <c r="AG1985" i="1" a="1"/>
  <c r="AG1985" i="1" s="1"/>
  <c r="AG2054" i="1" a="1"/>
  <c r="AG2054" i="1" s="1"/>
  <c r="AG2061" i="1" a="1"/>
  <c r="AG2061" i="1" s="1"/>
  <c r="AG2060" i="1" a="1"/>
  <c r="AG2060" i="1" s="1"/>
  <c r="AG2068" i="1" a="1"/>
  <c r="AG2068" i="1" s="1"/>
  <c r="AG2078" i="1" a="1"/>
  <c r="AG2078" i="1" s="1"/>
  <c r="AG2077" i="1" a="1"/>
  <c r="AG2077" i="1" s="1"/>
  <c r="AG2082" i="1" a="1"/>
  <c r="AG2082" i="1" s="1"/>
  <c r="AG2081" i="1" a="1"/>
  <c r="AG2081" i="1" s="1"/>
  <c r="AG2083" i="1" a="1"/>
  <c r="AG2083" i="1" s="1"/>
  <c r="AG1880" i="1" a="1"/>
  <c r="AG1880" i="1" s="1"/>
  <c r="AH2107" i="1"/>
  <c r="AH2105" i="1"/>
  <c r="AH2104" i="1"/>
  <c r="AH2106" i="1"/>
  <c r="AH2103" i="1"/>
  <c r="AH2102" i="1"/>
  <c r="AH2101" i="1"/>
  <c r="AH2099" i="1"/>
  <c r="AH2098" i="1"/>
  <c r="AH2097" i="1"/>
  <c r="AH2096" i="1"/>
  <c r="AH2095" i="1"/>
  <c r="AH2093" i="1"/>
  <c r="AG1848" i="1" a="1"/>
  <c r="AG1848" i="1" s="1"/>
  <c r="AG1845" i="1" a="1"/>
  <c r="AG1845" i="1" s="1"/>
  <c r="AG1844" i="1" a="1"/>
  <c r="AG1844" i="1" s="1"/>
  <c r="AG1859" i="1" a="1"/>
  <c r="AG1859" i="1" s="1"/>
  <c r="AG1873" i="1" a="1"/>
  <c r="AG1873" i="1" s="1"/>
  <c r="AG1872" i="1" a="1"/>
  <c r="AG1872" i="1" s="1"/>
  <c r="AG1871" i="1" a="1"/>
  <c r="AG1871" i="1" s="1"/>
  <c r="AG1868" i="1" a="1"/>
  <c r="AG1868" i="1" s="1"/>
  <c r="AG1867" i="1" a="1"/>
  <c r="AG1867" i="1" s="1"/>
  <c r="AG1866" i="1" a="1"/>
  <c r="AG1866" i="1" s="1"/>
  <c r="AG1878" i="1" a="1"/>
  <c r="AG1878" i="1" s="1"/>
  <c r="AG1875" i="1" a="1"/>
  <c r="AG1875" i="1" s="1"/>
  <c r="AG1874" i="1" a="1"/>
  <c r="AG1874" i="1" s="1"/>
  <c r="AG1899" i="1" a="1"/>
  <c r="AG1899" i="1" s="1"/>
  <c r="AG1898" i="1" a="1"/>
  <c r="AG1898" i="1" s="1"/>
  <c r="AG1897" i="1" a="1"/>
  <c r="AG1897" i="1" s="1"/>
  <c r="AG1894" i="1" a="1"/>
  <c r="AG1894" i="1" s="1"/>
  <c r="AG1916" i="1" a="1"/>
  <c r="AG1916" i="1" s="1"/>
  <c r="AG1915" i="1" a="1"/>
  <c r="AG1915" i="1" s="1"/>
  <c r="AG1909" i="1" a="1"/>
  <c r="AG1909" i="1" s="1"/>
  <c r="AG1908" i="1" a="1"/>
  <c r="AG1908" i="1" s="1"/>
  <c r="AG1907" i="1" a="1"/>
  <c r="AG1907" i="1" s="1"/>
  <c r="AG1906" i="1" a="1"/>
  <c r="AG1906" i="1" s="1"/>
  <c r="AG1905" i="1" a="1"/>
  <c r="AG1905" i="1" s="1"/>
  <c r="AG1902" i="1" a="1"/>
  <c r="AG1902" i="1" s="1"/>
  <c r="AG1929" i="1" a="1"/>
  <c r="AG1929" i="1" s="1"/>
  <c r="AG1928" i="1" a="1"/>
  <c r="AG1928" i="1" s="1"/>
  <c r="AG1927" i="1" a="1"/>
  <c r="AG1927" i="1" s="1"/>
  <c r="AG1926" i="1" a="1"/>
  <c r="AG1926" i="1" s="1"/>
  <c r="AG1925" i="1" a="1"/>
  <c r="AG1925" i="1" s="1"/>
  <c r="AG1924" i="1" a="1"/>
  <c r="AG1924" i="1" s="1"/>
  <c r="AG1923" i="1" a="1"/>
  <c r="AG1923" i="1" s="1"/>
  <c r="AG1922" i="1" a="1"/>
  <c r="AG1922" i="1" s="1"/>
  <c r="AG1921" i="1" a="1"/>
  <c r="AG1921" i="1" s="1"/>
  <c r="AG1919" i="1" a="1"/>
  <c r="AG1919" i="1" s="1"/>
  <c r="AG1918" i="1" a="1"/>
  <c r="AG1918" i="1" s="1"/>
  <c r="AG1917" i="1" a="1"/>
  <c r="AG1917" i="1" s="1"/>
  <c r="AG1936" i="1" a="1"/>
  <c r="AG1936" i="1" s="1"/>
  <c r="AG1935" i="1" a="1"/>
  <c r="AG1935" i="1" s="1"/>
  <c r="AG1933" i="1" a="1"/>
  <c r="AG1933" i="1" s="1"/>
  <c r="AG1932" i="1" a="1"/>
  <c r="AG1932" i="1" s="1"/>
  <c r="AG1931" i="1" a="1"/>
  <c r="AG1931" i="1" s="1"/>
  <c r="AG1930" i="1" a="1"/>
  <c r="AG1930" i="1" s="1"/>
  <c r="AG1948" i="1" a="1"/>
  <c r="AG1948" i="1" s="1"/>
  <c r="AG1947" i="1" a="1"/>
  <c r="AG1947" i="1" s="1"/>
  <c r="AG1946" i="1" a="1"/>
  <c r="AG1946" i="1" s="1"/>
  <c r="AG1945" i="1" a="1"/>
  <c r="AG1945" i="1" s="1"/>
  <c r="AG1944" i="1" a="1"/>
  <c r="AG1944" i="1" s="1"/>
  <c r="AG1943" i="1" a="1"/>
  <c r="AG1943" i="1" s="1"/>
  <c r="AG1938" i="1" a="1"/>
  <c r="AG1938" i="1" s="1"/>
  <c r="AG1937" i="1" a="1"/>
  <c r="AG1937" i="1" s="1"/>
  <c r="AG1979" i="1" a="1"/>
  <c r="AG1979" i="1" s="1"/>
  <c r="AG1978" i="1" a="1"/>
  <c r="AG1978" i="1" s="1"/>
  <c r="AG1977" i="1" a="1"/>
  <c r="AG1977" i="1" s="1"/>
  <c r="AG1976" i="1" a="1"/>
  <c r="AG1976" i="1" s="1"/>
  <c r="AG1975" i="1" a="1"/>
  <c r="AG1975" i="1" s="1"/>
  <c r="AG1974" i="1" a="1"/>
  <c r="AG1974" i="1" s="1"/>
  <c r="AG1973" i="1" a="1"/>
  <c r="AG1973" i="1" s="1"/>
  <c r="AG1972" i="1" a="1"/>
  <c r="AG1972" i="1" s="1"/>
  <c r="AG1971" i="1" a="1"/>
  <c r="AG1971" i="1" s="1"/>
  <c r="AG1970" i="1" a="1"/>
  <c r="AG1970" i="1" s="1"/>
  <c r="AG1969" i="1" a="1"/>
  <c r="AG1969" i="1" s="1"/>
  <c r="AG1968" i="1" a="1"/>
  <c r="AG1968" i="1" s="1"/>
  <c r="AG1967" i="1" a="1"/>
  <c r="AG1967" i="1" s="1"/>
  <c r="AG1966" i="1" a="1"/>
  <c r="AG1966" i="1" s="1"/>
  <c r="AG1965" i="1" a="1"/>
  <c r="AG1965" i="1" s="1"/>
  <c r="AG1964" i="1" a="1"/>
  <c r="AG1964" i="1" s="1"/>
  <c r="AG1963" i="1" a="1"/>
  <c r="AG1963" i="1" s="1"/>
  <c r="AG1962" i="1" a="1"/>
  <c r="AG1962" i="1" s="1"/>
  <c r="AG1961" i="1" a="1"/>
  <c r="AG1961" i="1" s="1"/>
  <c r="AG1960" i="1" a="1"/>
  <c r="AG1960" i="1" s="1"/>
  <c r="AG1959" i="1" a="1"/>
  <c r="AG1959" i="1" s="1"/>
  <c r="AG1958" i="1" a="1"/>
  <c r="AG1958" i="1" s="1"/>
  <c r="AG1957" i="1" a="1"/>
  <c r="AG1957" i="1" s="1"/>
  <c r="AG1956" i="1" a="1"/>
  <c r="AG1956" i="1" s="1"/>
  <c r="AG1955" i="1" a="1"/>
  <c r="AG1955" i="1" s="1"/>
  <c r="AG1954" i="1" a="1"/>
  <c r="AG1954" i="1" s="1"/>
  <c r="AG1953" i="1" a="1"/>
  <c r="AG1953" i="1" s="1"/>
  <c r="AG1952" i="1" a="1"/>
  <c r="AG1952" i="1" s="1"/>
  <c r="AG1951" i="1" a="1"/>
  <c r="AG1951" i="1" s="1"/>
  <c r="AG1950" i="1" a="1"/>
  <c r="AG1950" i="1" s="1"/>
  <c r="AG1949" i="1" a="1"/>
  <c r="AG1949" i="1" s="1"/>
  <c r="AG2027" i="1" a="1"/>
  <c r="AG2027" i="1" s="1"/>
  <c r="AG2026" i="1" a="1"/>
  <c r="AG2026" i="1" s="1"/>
  <c r="AG2025" i="1" a="1"/>
  <c r="AG2025" i="1" s="1"/>
  <c r="AG2024" i="1" a="1"/>
  <c r="AG2024" i="1" s="1"/>
  <c r="AG2023" i="1" a="1"/>
  <c r="AG2023" i="1" s="1"/>
  <c r="AG2022" i="1" a="1"/>
  <c r="AG2022" i="1" s="1"/>
  <c r="AG2021" i="1" a="1"/>
  <c r="AG2021" i="1" s="1"/>
  <c r="AG2020" i="1" a="1"/>
  <c r="AG2020" i="1" s="1"/>
  <c r="AG2019" i="1" a="1"/>
  <c r="AG2019" i="1" s="1"/>
  <c r="AG2018" i="1" a="1"/>
  <c r="AG2018" i="1" s="1"/>
  <c r="AG2017" i="1" a="1"/>
  <c r="AG2017" i="1" s="1"/>
  <c r="AG2016" i="1" a="1"/>
  <c r="AG2016" i="1" s="1"/>
  <c r="AG2015" i="1" a="1"/>
  <c r="AG2015" i="1" s="1"/>
  <c r="AG2014" i="1" a="1"/>
  <c r="AG2014" i="1" s="1"/>
  <c r="AG2013" i="1" a="1"/>
  <c r="AG2013" i="1" s="1"/>
  <c r="AG2012" i="1" a="1"/>
  <c r="AG2012" i="1" s="1"/>
  <c r="AG2011" i="1" a="1"/>
  <c r="AG2011" i="1" s="1"/>
  <c r="AG2010" i="1" a="1"/>
  <c r="AG2010" i="1" s="1"/>
  <c r="AG2009" i="1" a="1"/>
  <c r="AG2009" i="1" s="1"/>
  <c r="AG2007" i="1" a="1"/>
  <c r="AG2007" i="1" s="1"/>
  <c r="AG2006" i="1" a="1"/>
  <c r="AG2006" i="1" s="1"/>
  <c r="AG2005" i="1" a="1"/>
  <c r="AG2005" i="1" s="1"/>
  <c r="AG2004" i="1" a="1"/>
  <c r="AG2004" i="1" s="1"/>
  <c r="AG2003" i="1" a="1"/>
  <c r="AG2003" i="1" s="1"/>
  <c r="AG2002" i="1" a="1"/>
  <c r="AG2002" i="1" s="1"/>
  <c r="AG2001" i="1" a="1"/>
  <c r="AG2001" i="1" s="1"/>
  <c r="AG2000" i="1" a="1"/>
  <c r="AG2000" i="1" s="1"/>
  <c r="AG1999" i="1" a="1"/>
  <c r="AG1999" i="1" s="1"/>
  <c r="AG1998" i="1" a="1"/>
  <c r="AG1998" i="1" s="1"/>
  <c r="AG1997" i="1" a="1"/>
  <c r="AG1997" i="1" s="1"/>
  <c r="AG1996" i="1" a="1"/>
  <c r="AG1996" i="1" s="1"/>
  <c r="AG1995" i="1" a="1"/>
  <c r="AG1995" i="1" s="1"/>
  <c r="AG1994" i="1" a="1"/>
  <c r="AG1994" i="1" s="1"/>
  <c r="AG1993" i="1" a="1"/>
  <c r="AG1993" i="1" s="1"/>
  <c r="AG1992" i="1" a="1"/>
  <c r="AG1992" i="1" s="1"/>
  <c r="AG1991" i="1" a="1"/>
  <c r="AG1991" i="1" s="1"/>
  <c r="AG1990" i="1" a="1"/>
  <c r="AG1990" i="1" s="1"/>
  <c r="AG1989" i="1" a="1"/>
  <c r="AG1989" i="1" s="1"/>
  <c r="AG1988" i="1" a="1"/>
  <c r="AG1988" i="1" s="1"/>
  <c r="AG1987" i="1" a="1"/>
  <c r="AG1987" i="1" s="1"/>
  <c r="AG1986" i="1" a="1"/>
  <c r="AG1986" i="1" s="1"/>
  <c r="AG1984" i="1" a="1"/>
  <c r="AG1984" i="1" s="1"/>
  <c r="AG1983" i="1" a="1"/>
  <c r="AG1983" i="1" s="1"/>
  <c r="AG1982" i="1" a="1"/>
  <c r="AG1982" i="1" s="1"/>
  <c r="AG1981" i="1" a="1"/>
  <c r="AG1981" i="1" s="1"/>
  <c r="AG1980" i="1" a="1"/>
  <c r="AG1980" i="1" s="1"/>
  <c r="AG2053" i="1" a="1"/>
  <c r="AG2053" i="1" s="1"/>
  <c r="AG2052" i="1" a="1"/>
  <c r="AG2052" i="1" s="1"/>
  <c r="AG2051" i="1" a="1"/>
  <c r="AG2051" i="1" s="1"/>
  <c r="AG2050" i="1" a="1"/>
  <c r="AG2050" i="1" s="1"/>
  <c r="AG2049" i="1" a="1"/>
  <c r="AG2049" i="1" s="1"/>
  <c r="AG2048" i="1" a="1"/>
  <c r="AG2048" i="1" s="1"/>
  <c r="AG2047" i="1" a="1"/>
  <c r="AG2047" i="1" s="1"/>
  <c r="AG2046" i="1" a="1"/>
  <c r="AG2046" i="1" s="1"/>
  <c r="AG2045" i="1" a="1"/>
  <c r="AG2045" i="1" s="1"/>
  <c r="AG2044" i="1" a="1"/>
  <c r="AG2044" i="1" s="1"/>
  <c r="AG2043" i="1" a="1"/>
  <c r="AG2043" i="1" s="1"/>
  <c r="AG2042" i="1" a="1"/>
  <c r="AG2042" i="1" s="1"/>
  <c r="AG2041" i="1" a="1"/>
  <c r="AG2041" i="1" s="1"/>
  <c r="AG2040" i="1" a="1"/>
  <c r="AG2040" i="1" s="1"/>
  <c r="AG2039" i="1" a="1"/>
  <c r="AG2039" i="1" s="1"/>
  <c r="AG2038" i="1" a="1"/>
  <c r="AG2038" i="1" s="1"/>
  <c r="AG2037" i="1" a="1"/>
  <c r="AG2037" i="1" s="1"/>
  <c r="AG2036" i="1" a="1"/>
  <c r="AG2036" i="1" s="1"/>
  <c r="AG2035" i="1" a="1"/>
  <c r="AG2035" i="1" s="1"/>
  <c r="AG2034" i="1" a="1"/>
  <c r="AG2034" i="1" s="1"/>
  <c r="AG2033" i="1" a="1"/>
  <c r="AG2033" i="1" s="1"/>
  <c r="AG2032" i="1" a="1"/>
  <c r="AG2032" i="1" s="1"/>
  <c r="AG2031" i="1" a="1"/>
  <c r="AG2031" i="1" s="1"/>
  <c r="AG2030" i="1" a="1"/>
  <c r="AG2030" i="1" s="1"/>
  <c r="AG2029" i="1" a="1"/>
  <c r="AG2029" i="1" s="1"/>
  <c r="AG2059" i="1" a="1"/>
  <c r="AG2059" i="1" s="1"/>
  <c r="AG2058" i="1" a="1"/>
  <c r="AG2058" i="1" s="1"/>
  <c r="AG2057" i="1" a="1"/>
  <c r="AG2057" i="1" s="1"/>
  <c r="AG2056" i="1" a="1"/>
  <c r="AG2056" i="1" s="1"/>
  <c r="AG2055" i="1" a="1"/>
  <c r="AG2055" i="1" s="1"/>
  <c r="AG2063" i="1" a="1"/>
  <c r="AG2063" i="1" s="1"/>
  <c r="AG2062" i="1" a="1"/>
  <c r="AG2062" i="1" s="1"/>
  <c r="AG2074" i="1" a="1"/>
  <c r="AG2074" i="1" s="1"/>
  <c r="AG2073" i="1" a="1"/>
  <c r="AG2073" i="1" s="1"/>
  <c r="AG2072" i="1" a="1"/>
  <c r="AG2072" i="1" s="1"/>
  <c r="AG2071" i="1" a="1"/>
  <c r="AG2071" i="1" s="1"/>
  <c r="AG2070" i="1" a="1"/>
  <c r="AG2070" i="1" s="1"/>
  <c r="AG2069" i="1" a="1"/>
  <c r="AG2069" i="1" s="1"/>
  <c r="AG2067" i="1" a="1"/>
  <c r="AG2067" i="1" s="1"/>
  <c r="AG2066" i="1" a="1"/>
  <c r="AG2066" i="1" s="1"/>
  <c r="AG2065" i="1" a="1"/>
  <c r="AG2065" i="1" s="1"/>
  <c r="AG2064" i="1" a="1"/>
  <c r="AG2064" i="1" s="1"/>
  <c r="AG2075" i="1" a="1"/>
  <c r="AG2075" i="1" s="1"/>
  <c r="AG2076" i="1" a="1"/>
  <c r="AG2076" i="1" s="1"/>
  <c r="AG2079" i="1" a="1"/>
  <c r="AG2079" i="1" s="1"/>
  <c r="AG2080" i="1" a="1"/>
  <c r="AG2080" i="1" s="1"/>
  <c r="AG1839" i="1" a="1"/>
  <c r="AG1839" i="1" s="1"/>
  <c r="AH2092" i="1"/>
  <c r="AH2090" i="1"/>
  <c r="AH2089" i="1"/>
  <c r="AH2088" i="1"/>
  <c r="AH2087" i="1"/>
  <c r="AH2086" i="1"/>
  <c r="AH2084" i="1"/>
  <c r="AH2083" i="1"/>
  <c r="N45" i="34"/>
  <c r="AG1798" i="1" a="1"/>
  <c r="AG1798" i="1" s="1"/>
  <c r="AG1795" i="1" a="1"/>
  <c r="AG1795" i="1" s="1"/>
  <c r="AG1801" i="1" a="1"/>
  <c r="AG1801" i="1" s="1"/>
  <c r="AG1814" i="1" a="1"/>
  <c r="AG1814" i="1" s="1"/>
  <c r="AG1812" i="1" a="1"/>
  <c r="AG1812" i="1" s="1"/>
  <c r="AG1811" i="1" a="1"/>
  <c r="AG1811" i="1" s="1"/>
  <c r="AG1852" i="1" a="1"/>
  <c r="AG1852" i="1" s="1"/>
  <c r="AG1851" i="1" a="1"/>
  <c r="AG1851" i="1" s="1"/>
  <c r="AG1850" i="1" a="1"/>
  <c r="AG1850" i="1" s="1"/>
  <c r="AG1849" i="1" a="1"/>
  <c r="AG1849" i="1" s="1"/>
  <c r="AG1847" i="1" a="1"/>
  <c r="AG1847" i="1" s="1"/>
  <c r="AG1846" i="1" a="1"/>
  <c r="AG1846" i="1" s="1"/>
  <c r="AG1842" i="1" a="1"/>
  <c r="AG1842" i="1" s="1"/>
  <c r="AG1840" i="1" a="1"/>
  <c r="AG1840" i="1" s="1"/>
  <c r="AG1837" i="1" a="1"/>
  <c r="AG1837" i="1" s="1"/>
  <c r="AG1858" i="1" a="1"/>
  <c r="AG1858" i="1" s="1"/>
  <c r="AG1857" i="1" a="1"/>
  <c r="AG1857" i="1" s="1"/>
  <c r="AG1855" i="1" a="1"/>
  <c r="AG1855" i="1" s="1"/>
  <c r="AG1854" i="1" a="1"/>
  <c r="AG1854" i="1" s="1"/>
  <c r="AG1853" i="1" a="1"/>
  <c r="AG1853" i="1" s="1"/>
  <c r="AG1860" i="1" a="1"/>
  <c r="AG1860" i="1" s="1"/>
  <c r="AG1870" i="1" a="1"/>
  <c r="AG1870" i="1" s="1"/>
  <c r="AG1869" i="1" a="1"/>
  <c r="AG1869" i="1" s="1"/>
  <c r="AG1864" i="1" a="1"/>
  <c r="AG1864" i="1" s="1"/>
  <c r="AG1877" i="1" a="1"/>
  <c r="AG1877" i="1" s="1"/>
  <c r="AG1876" i="1" a="1"/>
  <c r="AG1876" i="1" s="1"/>
  <c r="AG1901" i="1" a="1"/>
  <c r="AG1901" i="1" s="1"/>
  <c r="AG1900" i="1" a="1"/>
  <c r="AG1900" i="1" s="1"/>
  <c r="AG1896" i="1" a="1"/>
  <c r="AG1896" i="1" s="1"/>
  <c r="AG1895" i="1" a="1"/>
  <c r="AG1895" i="1" s="1"/>
  <c r="AG1893" i="1" a="1"/>
  <c r="AG1893" i="1" s="1"/>
  <c r="AG1892" i="1" a="1"/>
  <c r="AG1892" i="1" s="1"/>
  <c r="AG1891" i="1" a="1"/>
  <c r="AG1891" i="1" s="1"/>
  <c r="AG1890" i="1" a="1"/>
  <c r="AG1890" i="1" s="1"/>
  <c r="AG1888" i="1" a="1"/>
  <c r="AG1888" i="1" s="1"/>
  <c r="AG1887" i="1" a="1"/>
  <c r="AG1887" i="1" s="1"/>
  <c r="AG1886" i="1" a="1"/>
  <c r="AG1886" i="1" s="1"/>
  <c r="AG1883" i="1" a="1"/>
  <c r="AG1883" i="1" s="1"/>
  <c r="AG1881" i="1" a="1"/>
  <c r="AG1881" i="1" s="1"/>
  <c r="AG1879" i="1" a="1"/>
  <c r="AG1879" i="1" s="1"/>
  <c r="AG1904" i="1" a="1"/>
  <c r="AG1904" i="1" s="1"/>
  <c r="AG1903" i="1" a="1"/>
  <c r="AG1903" i="1" s="1"/>
  <c r="AG1934" i="1" a="1"/>
  <c r="AG1934" i="1" s="1"/>
  <c r="AG1794" i="1" a="1"/>
  <c r="AG1794" i="1" s="1"/>
  <c r="AG1774" i="1" a="1"/>
  <c r="AG1774" i="1" s="1"/>
  <c r="AG1789" i="1" a="1"/>
  <c r="AG1789" i="1" s="1"/>
  <c r="AG1783" i="1" a="1"/>
  <c r="AG1783" i="1" s="1"/>
  <c r="AG1804" i="1" a="1"/>
  <c r="AG1804" i="1" s="1"/>
  <c r="AG1802" i="1" a="1"/>
  <c r="AG1802" i="1" s="1"/>
  <c r="AG1833" i="1" a="1"/>
  <c r="AG1833" i="1" s="1"/>
  <c r="AG1831" i="1" a="1"/>
  <c r="AG1831" i="1" s="1"/>
  <c r="AG1828" i="1" a="1"/>
  <c r="AG1828" i="1" s="1"/>
  <c r="AG1827" i="1" a="1"/>
  <c r="AG1827" i="1" s="1"/>
  <c r="AG1826" i="1" a="1"/>
  <c r="AG1826" i="1" s="1"/>
  <c r="AG1825" i="1" a="1"/>
  <c r="AG1825" i="1" s="1"/>
  <c r="AG1822" i="1" a="1"/>
  <c r="AG1822" i="1" s="1"/>
  <c r="AG1821" i="1" a="1"/>
  <c r="AG1821" i="1" s="1"/>
  <c r="AG1820" i="1" a="1"/>
  <c r="AG1820" i="1" s="1"/>
  <c r="AG1819" i="1" a="1"/>
  <c r="AG1819" i="1" s="1"/>
  <c r="AG1817" i="1" a="1"/>
  <c r="AG1817" i="1" s="1"/>
  <c r="AG1816" i="1" a="1"/>
  <c r="AG1816" i="1" s="1"/>
  <c r="AG1809" i="1" a="1"/>
  <c r="AG1809" i="1" s="1"/>
  <c r="AG1807" i="1" a="1"/>
  <c r="AG1807" i="1" s="1"/>
  <c r="AG1806" i="1" a="1"/>
  <c r="AG1806" i="1" s="1"/>
  <c r="AG1836" i="1" a="1"/>
  <c r="AG1836" i="1" s="1"/>
  <c r="AG1835" i="1" a="1"/>
  <c r="AG1835" i="1" s="1"/>
  <c r="AG1856" i="1" a="1"/>
  <c r="AG1856" i="1" s="1"/>
  <c r="AG1773" i="1" a="1"/>
  <c r="AG1773" i="1" s="1"/>
  <c r="AH1347" i="1"/>
  <c r="AH1569" i="1"/>
  <c r="AH1570" i="1"/>
  <c r="AH1589" i="1"/>
  <c r="AH1658" i="1"/>
  <c r="AH1731" i="1"/>
  <c r="AH1680" i="1"/>
  <c r="AH1637" i="1"/>
  <c r="AH1634" i="1"/>
  <c r="AH1608" i="1"/>
  <c r="AH1739" i="1"/>
  <c r="AH1613" i="1"/>
  <c r="AH1653" i="1"/>
  <c r="AH1706" i="1"/>
  <c r="AH1716" i="1"/>
  <c r="AH1025" i="1"/>
  <c r="AH1035" i="1"/>
  <c r="AH1037" i="1"/>
  <c r="AH1440" i="1"/>
  <c r="AH1462" i="1"/>
  <c r="AH1514" i="1"/>
  <c r="AH1564" i="1"/>
  <c r="AH1571" i="1"/>
  <c r="AH1579" i="1"/>
  <c r="AH1582" i="1"/>
  <c r="AH1583" i="1"/>
  <c r="AH1588" i="1"/>
  <c r="AH1599" i="1"/>
  <c r="AH1601" i="1"/>
  <c r="AH1602" i="1"/>
  <c r="AH1604" i="1"/>
  <c r="AH1607" i="1"/>
  <c r="AH1609" i="1"/>
  <c r="AH1610" i="1"/>
  <c r="AH1612" i="1"/>
  <c r="AH1615" i="1"/>
  <c r="AH1617" i="1"/>
  <c r="AH1618" i="1"/>
  <c r="AH1621" i="1"/>
  <c r="AH1622" i="1"/>
  <c r="AH1623" i="1"/>
  <c r="AH1628" i="1"/>
  <c r="AH1630" i="1"/>
  <c r="AH1632" i="1"/>
  <c r="AH1635" i="1"/>
  <c r="AH1647" i="1"/>
  <c r="AH1676" i="1"/>
  <c r="AH1690" i="1"/>
  <c r="AG1753" i="1" a="1"/>
  <c r="AG1753" i="1" s="1"/>
  <c r="AG1750" i="1" a="1"/>
  <c r="AG1750" i="1" s="1"/>
  <c r="AG1749" i="1" a="1"/>
  <c r="AG1749" i="1" s="1"/>
  <c r="AG1755" i="1" a="1"/>
  <c r="AG1755" i="1" s="1"/>
  <c r="AG1754" i="1" a="1"/>
  <c r="AG1754" i="1" s="1"/>
  <c r="AG1756" i="1" a="1"/>
  <c r="AG1756" i="1" s="1"/>
  <c r="AG1766" i="1" a="1"/>
  <c r="AG1766" i="1" s="1"/>
  <c r="AG1765" i="1" a="1"/>
  <c r="AG1765" i="1" s="1"/>
  <c r="AG1763" i="1" a="1"/>
  <c r="AG1763" i="1" s="1"/>
  <c r="AG1762" i="1" a="1"/>
  <c r="AG1762" i="1" s="1"/>
  <c r="AG1761" i="1" a="1"/>
  <c r="AG1761" i="1" s="1"/>
  <c r="AG1760" i="1" a="1"/>
  <c r="AG1760" i="1" s="1"/>
  <c r="AG1759" i="1" a="1"/>
  <c r="AG1759" i="1" s="1"/>
  <c r="AG1758" i="1" a="1"/>
  <c r="AG1758" i="1" s="1"/>
  <c r="AG1757" i="1" a="1"/>
  <c r="AG1757" i="1" s="1"/>
  <c r="AG1767" i="1" a="1"/>
  <c r="AG1767" i="1" s="1"/>
  <c r="AG1768" i="1" a="1"/>
  <c r="AG1768" i="1" s="1"/>
  <c r="AG1781" i="1" a="1"/>
  <c r="AG1781" i="1" s="1"/>
  <c r="AG1779" i="1" a="1"/>
  <c r="AG1779" i="1" s="1"/>
  <c r="AG1778" i="1" a="1"/>
  <c r="AG1778" i="1" s="1"/>
  <c r="AG1776" i="1" a="1"/>
  <c r="AG1776" i="1" s="1"/>
  <c r="AG1797" i="1" a="1"/>
  <c r="AG1797" i="1" s="1"/>
  <c r="AG1788" i="1" a="1"/>
  <c r="AG1788" i="1" s="1"/>
  <c r="AG1784" i="1" a="1"/>
  <c r="AG1784" i="1" s="1"/>
  <c r="AG1747" i="1" a="1"/>
  <c r="AG1747" i="1" s="1"/>
  <c r="AH1978" i="1"/>
  <c r="AH1948" i="1"/>
  <c r="AH1937" i="1"/>
  <c r="AH1940" i="1"/>
  <c r="AH1939" i="1"/>
  <c r="AH1933" i="1"/>
  <c r="AH1932" i="1"/>
  <c r="AH1931" i="1"/>
  <c r="AH1930" i="1"/>
  <c r="N44" i="34"/>
  <c r="AH1858" i="1"/>
  <c r="AH1857" i="1"/>
  <c r="AH1864" i="1"/>
  <c r="AH1863" i="1"/>
  <c r="AH1862" i="1"/>
  <c r="AH1861" i="1"/>
  <c r="AH1856" i="1"/>
  <c r="AH1859" i="1"/>
  <c r="AH1860" i="1"/>
  <c r="AH1855" i="1"/>
  <c r="AG1764" i="1" a="1"/>
  <c r="AG1764" i="1" s="1"/>
  <c r="AG1830" i="1" a="1"/>
  <c r="AG1830" i="1" s="1"/>
  <c r="AH1848" i="1"/>
  <c r="AH1846" i="1"/>
  <c r="AH1842" i="1"/>
  <c r="AH1840" i="1"/>
  <c r="AH1839" i="1"/>
  <c r="AH1838" i="1"/>
  <c r="AH1833" i="1"/>
  <c r="AH1837" i="1"/>
  <c r="AH1836" i="1"/>
  <c r="AG1720" i="1" a="1"/>
  <c r="AG1720" i="1" s="1"/>
  <c r="AG1716" i="1" a="1"/>
  <c r="AG1716" i="1" s="1"/>
  <c r="AG1712" i="1" a="1"/>
  <c r="AG1712" i="1" s="1"/>
  <c r="AG1727" i="1" a="1"/>
  <c r="AG1727" i="1" s="1"/>
  <c r="AG1726" i="1" a="1"/>
  <c r="AG1726" i="1" s="1"/>
  <c r="AG1725" i="1" a="1"/>
  <c r="AG1725" i="1" s="1"/>
  <c r="AG1724" i="1" a="1"/>
  <c r="AG1724" i="1" s="1"/>
  <c r="AG1732" i="1" a="1"/>
  <c r="AG1732" i="1" s="1"/>
  <c r="AG1731" i="1" a="1"/>
  <c r="AG1731" i="1" s="1"/>
  <c r="AG1730" i="1" a="1"/>
  <c r="AG1730" i="1" s="1"/>
  <c r="AG1743" i="1" a="1"/>
  <c r="AG1743" i="1" s="1"/>
  <c r="AG1739" i="1" a="1"/>
  <c r="AG1739" i="1" s="1"/>
  <c r="AG1738" i="1" a="1"/>
  <c r="AG1738" i="1" s="1"/>
  <c r="AG1736" i="1" a="1"/>
  <c r="AG1736" i="1" s="1"/>
  <c r="AG1748" i="1" a="1"/>
  <c r="AG1748" i="1" s="1"/>
  <c r="AG1752" i="1" a="1"/>
  <c r="AG1752" i="1" s="1"/>
  <c r="AG1751" i="1" a="1"/>
  <c r="AG1751" i="1" s="1"/>
  <c r="AH1832" i="1"/>
  <c r="AH1831" i="1"/>
  <c r="AH1830" i="1"/>
  <c r="AH1829" i="1"/>
  <c r="AH1828" i="1"/>
  <c r="AH1827" i="1"/>
  <c r="AH1823" i="1"/>
  <c r="AH1825" i="1"/>
  <c r="AG1823" i="1" a="1"/>
  <c r="AG1823" i="1" s="1"/>
  <c r="AG1808" i="1" a="1"/>
  <c r="AG1808" i="1" s="1"/>
  <c r="AG1805" i="1" a="1"/>
  <c r="AG1805" i="1" s="1"/>
  <c r="AH1824" i="1"/>
  <c r="AH1820" i="1"/>
  <c r="AH1822" i="1"/>
  <c r="AH1821" i="1"/>
  <c r="AH1819" i="1"/>
  <c r="AH1818" i="1"/>
  <c r="AH1817" i="1"/>
  <c r="AH1816" i="1"/>
  <c r="AH1815" i="1"/>
  <c r="AH1814" i="1"/>
  <c r="AG1834" i="1" a="1"/>
  <c r="AG1834" i="1" s="1"/>
  <c r="AG1813" i="1" a="1"/>
  <c r="AG1813" i="1" s="1"/>
  <c r="AG1810" i="1" a="1"/>
  <c r="AG1810" i="1" s="1"/>
  <c r="AH1813" i="1"/>
  <c r="AH1812" i="1"/>
  <c r="AH1811" i="1"/>
  <c r="AG1803" i="1" a="1"/>
  <c r="AG1803" i="1" s="1"/>
  <c r="AH1810" i="1"/>
  <c r="AH1809" i="1"/>
  <c r="AH1804" i="1"/>
  <c r="AH1808" i="1"/>
  <c r="AH1807" i="1"/>
  <c r="AH1806" i="1"/>
  <c r="AH1805" i="1"/>
  <c r="AH1801" i="1"/>
  <c r="AH1803" i="1"/>
  <c r="AH1802" i="1"/>
  <c r="AG1780" i="1" a="1"/>
  <c r="AG1780" i="1" s="1"/>
  <c r="AG1782" i="1" a="1"/>
  <c r="AG1782" i="1" s="1"/>
  <c r="AH1798" i="1"/>
  <c r="AH1795" i="1"/>
  <c r="AH1794" i="1"/>
  <c r="AH1793" i="1"/>
  <c r="AH1792" i="1"/>
  <c r="AH1791" i="1"/>
  <c r="AG1792" i="1" a="1"/>
  <c r="AG1792" i="1" s="1"/>
  <c r="AG1786" i="1" a="1"/>
  <c r="AG1786" i="1" s="1"/>
  <c r="AG1799" i="1" a="1"/>
  <c r="AG1799" i="1" s="1"/>
  <c r="AH1790" i="1"/>
  <c r="AH1789" i="1"/>
  <c r="AH1788" i="1"/>
  <c r="AH1786" i="1"/>
  <c r="AH1784" i="1"/>
  <c r="AH1783" i="1"/>
  <c r="AH1780" i="1"/>
  <c r="AH1777" i="1"/>
  <c r="AH1774" i="1"/>
  <c r="AG1791" i="1" a="1"/>
  <c r="AG1791" i="1" s="1"/>
  <c r="AG1785" i="1" a="1"/>
  <c r="AG1785" i="1" s="1"/>
  <c r="AG1796" i="1" a="1"/>
  <c r="AG1796" i="1" s="1"/>
  <c r="AG1793" i="1" a="1"/>
  <c r="AG1793" i="1" s="1"/>
  <c r="AG1790" i="1" a="1"/>
  <c r="AG1790" i="1" s="1"/>
  <c r="AG1787" i="1" a="1"/>
  <c r="AG1787" i="1" s="1"/>
  <c r="AG1800" i="1" a="1"/>
  <c r="AG1800" i="1" s="1"/>
  <c r="AG1775" i="1" a="1"/>
  <c r="AG1775" i="1" s="1"/>
  <c r="AG1771" i="1" a="1"/>
  <c r="AG1771" i="1" s="1"/>
  <c r="AH1800" i="1"/>
  <c r="AH1770" i="1"/>
  <c r="M157" i="30"/>
  <c r="AG1682" i="1" a="1"/>
  <c r="AG1682" i="1" s="1"/>
  <c r="AG1680" i="1" a="1"/>
  <c r="AG1680" i="1" s="1"/>
  <c r="AG1679" i="1" a="1"/>
  <c r="AG1679" i="1" s="1"/>
  <c r="AG1678" i="1" a="1"/>
  <c r="AG1678" i="1" s="1"/>
  <c r="AG1674" i="1" a="1"/>
  <c r="AG1674" i="1" s="1"/>
  <c r="AG1673" i="1" a="1"/>
  <c r="AG1673" i="1" s="1"/>
  <c r="AG1672" i="1" a="1"/>
  <c r="AG1672" i="1" s="1"/>
  <c r="AG1671" i="1" a="1"/>
  <c r="AG1671" i="1" s="1"/>
  <c r="AG1670" i="1" a="1"/>
  <c r="AG1670" i="1" s="1"/>
  <c r="AG1669" i="1" a="1"/>
  <c r="AG1669" i="1" s="1"/>
  <c r="AG1667" i="1" a="1"/>
  <c r="AG1667" i="1" s="1"/>
  <c r="AG1666" i="1" a="1"/>
  <c r="AG1666" i="1" s="1"/>
  <c r="AG1665" i="1" a="1"/>
  <c r="AG1665" i="1" s="1"/>
  <c r="AG1664" i="1" a="1"/>
  <c r="AG1664" i="1" s="1"/>
  <c r="AG1663" i="1" a="1"/>
  <c r="AG1663" i="1" s="1"/>
  <c r="AG1662" i="1" a="1"/>
  <c r="AG1662" i="1" s="1"/>
  <c r="AG1661" i="1" a="1"/>
  <c r="AG1661" i="1" s="1"/>
  <c r="AG1688" i="1" a="1"/>
  <c r="AG1688" i="1" s="1"/>
  <c r="AG1685" i="1" a="1"/>
  <c r="AG1685" i="1" s="1"/>
  <c r="AG1692" i="1" a="1"/>
  <c r="AG1692" i="1" s="1"/>
  <c r="AG1691" i="1" a="1"/>
  <c r="AG1691" i="1" s="1"/>
  <c r="AG1689" i="1" a="1"/>
  <c r="AG1689" i="1" s="1"/>
  <c r="AG1698" i="1" a="1"/>
  <c r="AG1698" i="1" s="1"/>
  <c r="AG1697" i="1" a="1"/>
  <c r="AG1697" i="1" s="1"/>
  <c r="AG1696" i="1" a="1"/>
  <c r="AG1696" i="1" s="1"/>
  <c r="AG1721" i="1" a="1"/>
  <c r="AG1721" i="1" s="1"/>
  <c r="AG1719" i="1" a="1"/>
  <c r="AG1719" i="1" s="1"/>
  <c r="AG1711" i="1" a="1"/>
  <c r="AG1711" i="1" s="1"/>
  <c r="AG1708" i="1" a="1"/>
  <c r="AG1708" i="1" s="1"/>
  <c r="AG1706" i="1" a="1"/>
  <c r="AG1706" i="1" s="1"/>
  <c r="AG1705" i="1" a="1"/>
  <c r="AG1705" i="1" s="1"/>
  <c r="AG1728" i="1" a="1"/>
  <c r="AG1728" i="1" s="1"/>
  <c r="AG1745" i="1" a="1"/>
  <c r="AG1745" i="1" s="1"/>
  <c r="AG1744" i="1" a="1"/>
  <c r="AG1744" i="1" s="1"/>
  <c r="AG1742" i="1" a="1"/>
  <c r="AG1742" i="1" s="1"/>
  <c r="AG1741" i="1" a="1"/>
  <c r="AG1741" i="1" s="1"/>
  <c r="AG1737" i="1" a="1"/>
  <c r="AG1737" i="1" s="1"/>
  <c r="AG1735" i="1" a="1"/>
  <c r="AG1735" i="1" s="1"/>
  <c r="AG1734" i="1" a="1"/>
  <c r="AG1734" i="1" s="1"/>
  <c r="AH1776" i="1"/>
  <c r="AH1765" i="1"/>
  <c r="AG1772" i="1" a="1"/>
  <c r="AG1772" i="1" s="1"/>
  <c r="AG1740" i="1" a="1"/>
  <c r="AG1740" i="1" s="1"/>
  <c r="AG1686" i="1" a="1"/>
  <c r="AG1686" i="1" s="1"/>
  <c r="AG1722" i="1" a="1"/>
  <c r="AG1722" i="1" s="1"/>
  <c r="AG1713" i="1" a="1"/>
  <c r="AG1713" i="1" s="1"/>
  <c r="AG1710" i="1" a="1"/>
  <c r="AG1710" i="1" s="1"/>
  <c r="AG1707" i="1" a="1"/>
  <c r="AG1707" i="1" s="1"/>
  <c r="AG1704" i="1" a="1"/>
  <c r="AG1704" i="1" s="1"/>
  <c r="AG1746" i="1" a="1"/>
  <c r="AG1746" i="1" s="1"/>
  <c r="AH683" i="1"/>
  <c r="AH752" i="1"/>
  <c r="AH786" i="1"/>
  <c r="AH826" i="1"/>
  <c r="AH842" i="1"/>
  <c r="AH880" i="1"/>
  <c r="AH917" i="1"/>
  <c r="AH931" i="1"/>
  <c r="AH968" i="1"/>
  <c r="AH978" i="1"/>
  <c r="AH998" i="1"/>
  <c r="AH1017" i="1"/>
  <c r="AH1082" i="1"/>
  <c r="AH1168" i="1"/>
  <c r="AH1270" i="1"/>
  <c r="AH1302" i="1"/>
  <c r="AG1687" i="1" a="1"/>
  <c r="AG1687" i="1" s="1"/>
  <c r="AH656" i="1"/>
  <c r="AH671" i="1"/>
  <c r="AH720" i="1"/>
  <c r="AH748" i="1"/>
  <c r="AH774" i="1"/>
  <c r="AH888" i="1"/>
  <c r="AH949" i="1"/>
  <c r="AH1016" i="1"/>
  <c r="AH1029" i="1"/>
  <c r="AH1066" i="1"/>
  <c r="AH1136" i="1"/>
  <c r="AH1405" i="1"/>
  <c r="AH1734" i="1"/>
  <c r="AH1748" i="1"/>
  <c r="AH1756" i="1"/>
  <c r="AH651" i="1"/>
  <c r="AH674" i="1"/>
  <c r="AH676" i="1"/>
  <c r="AH682" i="1"/>
  <c r="AH709" i="1"/>
  <c r="AH726" i="1"/>
  <c r="AH735" i="1"/>
  <c r="AH745" i="1"/>
  <c r="AH751" i="1"/>
  <c r="AH757" i="1"/>
  <c r="AH785" i="1"/>
  <c r="AH791" i="1"/>
  <c r="AH803" i="1"/>
  <c r="AH815" i="1"/>
  <c r="AH820" i="1"/>
  <c r="AH841" i="1"/>
  <c r="AH865" i="1"/>
  <c r="AH879" i="1"/>
  <c r="AH885" i="1"/>
  <c r="AH891" i="1"/>
  <c r="AH913" i="1"/>
  <c r="AH925" i="1"/>
  <c r="AH928" i="1"/>
  <c r="AH933" i="1"/>
  <c r="AH939" i="1"/>
  <c r="AH942" i="1"/>
  <c r="AH952" i="1"/>
  <c r="AH964" i="1"/>
  <c r="AH970" i="1"/>
  <c r="AH989" i="1"/>
  <c r="AH1015" i="1"/>
  <c r="AH1032" i="1"/>
  <c r="AH1045" i="1"/>
  <c r="AH1096" i="1"/>
  <c r="AH1108" i="1"/>
  <c r="AH1130" i="1"/>
  <c r="AH1144" i="1"/>
  <c r="AH1188" i="1"/>
  <c r="AH1205" i="1"/>
  <c r="AH1256" i="1"/>
  <c r="AH1265" i="1"/>
  <c r="AH1301" i="1"/>
  <c r="AH1344" i="1"/>
  <c r="AH1352" i="1"/>
  <c r="AH1357" i="1"/>
  <c r="AH1366" i="1"/>
  <c r="AH1368" i="1"/>
  <c r="AH1382" i="1"/>
  <c r="AH1394" i="1"/>
  <c r="AH1429" i="1"/>
  <c r="AH1453" i="1"/>
  <c r="AH1486" i="1"/>
  <c r="AH1497" i="1"/>
  <c r="AH1537" i="1"/>
  <c r="AH1542" i="1"/>
  <c r="AH1751" i="1"/>
  <c r="AH1754" i="1"/>
  <c r="AG1683" i="1" a="1"/>
  <c r="AG1683" i="1" s="1"/>
  <c r="AG1695" i="1" a="1"/>
  <c r="AG1695" i="1" s="1"/>
  <c r="AH1054" i="1"/>
  <c r="AH1078" i="1"/>
  <c r="AH1086" i="1"/>
  <c r="AH1088" i="1"/>
  <c r="AH1091" i="1"/>
  <c r="AH1099" i="1"/>
  <c r="AH1105" i="1"/>
  <c r="AH1111" i="1"/>
  <c r="AH1120" i="1"/>
  <c r="AH1127" i="1"/>
  <c r="AH1133" i="1"/>
  <c r="AH1161" i="1"/>
  <c r="AH1202" i="1"/>
  <c r="AH1235" i="1"/>
  <c r="AH1254" i="1"/>
  <c r="AH1258" i="1"/>
  <c r="AH1280" i="1"/>
  <c r="AH1299" i="1"/>
  <c r="AH1304" i="1"/>
  <c r="AH1306" i="1"/>
  <c r="AH1318" i="1"/>
  <c r="AH1327" i="1"/>
  <c r="AH1335" i="1"/>
  <c r="AH1371" i="1"/>
  <c r="AH1385" i="1"/>
  <c r="AH1391" i="1"/>
  <c r="AH1397" i="1"/>
  <c r="AH1402" i="1"/>
  <c r="AH1414" i="1"/>
  <c r="AH1423" i="1"/>
  <c r="AH1438" i="1"/>
  <c r="AH1451" i="1"/>
  <c r="AH1459" i="1"/>
  <c r="AH1480" i="1"/>
  <c r="AH1515" i="1"/>
  <c r="AH1528" i="1"/>
  <c r="AH1546" i="1"/>
  <c r="AH1565" i="1"/>
  <c r="AH1049" i="1"/>
  <c r="AH1055" i="1"/>
  <c r="AH1113" i="1"/>
  <c r="AH1128" i="1"/>
  <c r="AH1134" i="1"/>
  <c r="AH1162" i="1"/>
  <c r="AH1331" i="1"/>
  <c r="AH1415" i="1"/>
  <c r="AH1460" i="1"/>
  <c r="AH1495" i="1"/>
  <c r="AH692" i="1"/>
  <c r="AH715" i="1"/>
  <c r="AH721" i="1"/>
  <c r="AH755" i="1"/>
  <c r="AH761" i="1"/>
  <c r="AH775" i="1"/>
  <c r="AH778" i="1"/>
  <c r="AH798" i="1"/>
  <c r="AH804" i="1"/>
  <c r="AH828" i="1"/>
  <c r="AH832" i="1"/>
  <c r="AH834" i="1"/>
  <c r="AH839" i="1"/>
  <c r="AH860" i="1"/>
  <c r="AH866" i="1"/>
  <c r="AH889" i="1"/>
  <c r="AH895" i="1"/>
  <c r="AH920" i="1"/>
  <c r="AH926" i="1"/>
  <c r="AH950" i="1"/>
  <c r="AH956" i="1"/>
  <c r="AH981" i="1"/>
  <c r="AH987" i="1"/>
  <c r="AH1007" i="1"/>
  <c r="AH1013" i="1"/>
  <c r="AH1040" i="1"/>
  <c r="AH1046" i="1"/>
  <c r="AH1067" i="1"/>
  <c r="AH1072" i="1"/>
  <c r="AH1089" i="1"/>
  <c r="AH1137" i="1"/>
  <c r="AH1142" i="1"/>
  <c r="AH1156" i="1"/>
  <c r="AH1179" i="1"/>
  <c r="AH1181" i="1"/>
  <c r="AH1187" i="1"/>
  <c r="AH1199" i="1"/>
  <c r="AH1206" i="1"/>
  <c r="AH1208" i="1"/>
  <c r="AH1218" i="1"/>
  <c r="AH1244" i="1"/>
  <c r="AH1247" i="1"/>
  <c r="AH1259" i="1"/>
  <c r="AH1307" i="1"/>
  <c r="AH1380" i="1"/>
  <c r="AH1386" i="1"/>
  <c r="AH1412" i="1"/>
  <c r="AH1418" i="1"/>
  <c r="AH1454" i="1"/>
  <c r="AH1503" i="1"/>
  <c r="AH1505" i="1"/>
  <c r="AG1684" i="1" a="1"/>
  <c r="AG1684" i="1" s="1"/>
  <c r="AG1681" i="1" a="1"/>
  <c r="AG1681" i="1" s="1"/>
  <c r="AG1693" i="1" a="1"/>
  <c r="AG1693" i="1" s="1"/>
  <c r="AG1690" i="1" a="1"/>
  <c r="AG1690" i="1" s="1"/>
  <c r="AH1548" i="1"/>
  <c r="AH1097" i="1"/>
  <c r="AH1106" i="1"/>
  <c r="AH1116" i="1"/>
  <c r="AH1123" i="1"/>
  <c r="AH1131" i="1"/>
  <c r="AH1145" i="1"/>
  <c r="AH1151" i="1"/>
  <c r="AH1153" i="1"/>
  <c r="AH1159" i="1"/>
  <c r="AH1176" i="1"/>
  <c r="AH1184" i="1"/>
  <c r="AH1189" i="1"/>
  <c r="AH1191" i="1"/>
  <c r="AH1193" i="1"/>
  <c r="AH1195" i="1"/>
  <c r="AH1203" i="1"/>
  <c r="AH1227" i="1"/>
  <c r="AH1233" i="1"/>
  <c r="AH1239" i="1"/>
  <c r="AH1275" i="1"/>
  <c r="AH1281" i="1"/>
  <c r="AH1288" i="1"/>
  <c r="AH1305" i="1"/>
  <c r="AH1310" i="1"/>
  <c r="AH1316" i="1"/>
  <c r="AH1322" i="1"/>
  <c r="AH1336" i="1"/>
  <c r="AH1342" i="1"/>
  <c r="AH1361" i="1"/>
  <c r="AH1369" i="1"/>
  <c r="AH1375" i="1"/>
  <c r="AH1383" i="1"/>
  <c r="AH1392" i="1"/>
  <c r="AH1403" i="1"/>
  <c r="AH1409" i="1"/>
  <c r="AH1424" i="1"/>
  <c r="AH1430" i="1"/>
  <c r="AH1436" i="1"/>
  <c r="AH1443" i="1"/>
  <c r="AH1449" i="1"/>
  <c r="AH1481" i="1"/>
  <c r="AH1487" i="1"/>
  <c r="AH1493" i="1"/>
  <c r="AH1498" i="1"/>
  <c r="AH1507" i="1"/>
  <c r="AH1509" i="1"/>
  <c r="AH1516" i="1"/>
  <c r="AH1521" i="1"/>
  <c r="AH1526" i="1"/>
  <c r="AH1532" i="1"/>
  <c r="AH1545" i="1"/>
  <c r="AH1554" i="1"/>
  <c r="AH1559" i="1"/>
  <c r="AH1566" i="1"/>
  <c r="AG1723" i="1" a="1"/>
  <c r="AG1723" i="1" s="1"/>
  <c r="AG1717" i="1" a="1"/>
  <c r="AG1717" i="1" s="1"/>
  <c r="AG1714" i="1" a="1"/>
  <c r="AG1714" i="1" s="1"/>
  <c r="AG1702" i="1" a="1"/>
  <c r="AG1702" i="1" s="1"/>
  <c r="AG1699" i="1" a="1"/>
  <c r="AG1699" i="1" s="1"/>
  <c r="AG1729" i="1" a="1"/>
  <c r="AG1729" i="1" s="1"/>
  <c r="AH1764" i="1"/>
  <c r="AH1766" i="1"/>
  <c r="AH1760" i="1"/>
  <c r="AG1769" i="1" a="1"/>
  <c r="AG1769" i="1" s="1"/>
  <c r="AH1772" i="1"/>
  <c r="AH1771" i="1"/>
  <c r="AH1769" i="1"/>
  <c r="H225" i="29"/>
  <c r="E226" i="29" s="1"/>
  <c r="H226" i="29" s="1"/>
  <c r="E227" i="29" s="1"/>
  <c r="H227" i="29" s="1"/>
  <c r="E229" i="29" s="1"/>
  <c r="H229" i="29" s="1"/>
  <c r="E230" i="29" s="1"/>
  <c r="AG1676" i="1" a="1"/>
  <c r="AG1676" i="1" s="1"/>
  <c r="AH1726" i="1"/>
  <c r="AH976" i="1"/>
  <c r="AH979" i="1"/>
  <c r="AH982" i="1"/>
  <c r="AH985" i="1"/>
  <c r="AH988" i="1"/>
  <c r="AH991" i="1"/>
  <c r="AH1038" i="1"/>
  <c r="AH1041" i="1"/>
  <c r="AH1044" i="1"/>
  <c r="AH1047" i="1"/>
  <c r="AH1050" i="1"/>
  <c r="AH1053" i="1"/>
  <c r="AH1056" i="1"/>
  <c r="AH1059" i="1"/>
  <c r="AH1062" i="1"/>
  <c r="AH1065" i="1"/>
  <c r="AH1068" i="1"/>
  <c r="AH1154" i="1"/>
  <c r="AH1157" i="1"/>
  <c r="AH1160" i="1"/>
  <c r="AH1163" i="1"/>
  <c r="AH1166" i="1"/>
  <c r="AH1171" i="1"/>
  <c r="AH1174" i="1"/>
  <c r="AH1177" i="1"/>
  <c r="AH1196" i="1"/>
  <c r="AH1204" i="1"/>
  <c r="AH1211" i="1"/>
  <c r="AH1348" i="1"/>
  <c r="AH1351" i="1"/>
  <c r="AH1354" i="1"/>
  <c r="AH1367" i="1"/>
  <c r="AH1370" i="1"/>
  <c r="AH1373" i="1"/>
  <c r="AH1376" i="1"/>
  <c r="AH1452" i="1"/>
  <c r="AH1455" i="1"/>
  <c r="AH1458" i="1"/>
  <c r="AH1461" i="1"/>
  <c r="AH1510" i="1"/>
  <c r="AH1513" i="1"/>
  <c r="AH1519" i="1"/>
  <c r="AH1687" i="1"/>
  <c r="AG1694" i="1" a="1"/>
  <c r="AG1694" i="1" s="1"/>
  <c r="AG1718" i="1" a="1"/>
  <c r="AG1718" i="1" s="1"/>
  <c r="AG1715" i="1" a="1"/>
  <c r="AG1715" i="1" s="1"/>
  <c r="AG1709" i="1" a="1"/>
  <c r="AG1709" i="1" s="1"/>
  <c r="AG1700" i="1" a="1"/>
  <c r="AG1700" i="1" s="1"/>
  <c r="AG1733" i="1" a="1"/>
  <c r="AG1733" i="1" s="1"/>
  <c r="AH713" i="1"/>
  <c r="AH716" i="1"/>
  <c r="AH719" i="1"/>
  <c r="AH722" i="1"/>
  <c r="AH725" i="1"/>
  <c r="AH728" i="1"/>
  <c r="AH731" i="1"/>
  <c r="AH734" i="1"/>
  <c r="AH741" i="1"/>
  <c r="AH744" i="1"/>
  <c r="AH747" i="1"/>
  <c r="AH750" i="1"/>
  <c r="AH753" i="1"/>
  <c r="AH756" i="1"/>
  <c r="AH759" i="1"/>
  <c r="AH762" i="1"/>
  <c r="AH787" i="1"/>
  <c r="AH790" i="1"/>
  <c r="AH793" i="1"/>
  <c r="AH796" i="1"/>
  <c r="AH799" i="1"/>
  <c r="AH805" i="1"/>
  <c r="AH808" i="1"/>
  <c r="AH811" i="1"/>
  <c r="AH814" i="1"/>
  <c r="AH817" i="1"/>
  <c r="AH825" i="1"/>
  <c r="AH829" i="1"/>
  <c r="AH837" i="1"/>
  <c r="AH840" i="1"/>
  <c r="AH843" i="1"/>
  <c r="AH846" i="1"/>
  <c r="AH850" i="1"/>
  <c r="AH853" i="1"/>
  <c r="AH855" i="1"/>
  <c r="AH858" i="1"/>
  <c r="AH861" i="1"/>
  <c r="AH864" i="1"/>
  <c r="AH867" i="1"/>
  <c r="AH869" i="1"/>
  <c r="AH872" i="1"/>
  <c r="AH875" i="1"/>
  <c r="AH878" i="1"/>
  <c r="AH881" i="1"/>
  <c r="AH884" i="1"/>
  <c r="AH887" i="1"/>
  <c r="AH890" i="1"/>
  <c r="AH893" i="1"/>
  <c r="AH896" i="1"/>
  <c r="AH899" i="1"/>
  <c r="AH902" i="1"/>
  <c r="AH905" i="1"/>
  <c r="AH906" i="1"/>
  <c r="AH909" i="1"/>
  <c r="AH912" i="1"/>
  <c r="AH915" i="1"/>
  <c r="AH918" i="1"/>
  <c r="AH921" i="1"/>
  <c r="AH924" i="1"/>
  <c r="AH927" i="1"/>
  <c r="AH975" i="1"/>
  <c r="AH994" i="1"/>
  <c r="AH996" i="1"/>
  <c r="AH999" i="1"/>
  <c r="AH1002" i="1"/>
  <c r="AH1005" i="1"/>
  <c r="AH1008" i="1"/>
  <c r="AH1011" i="1"/>
  <c r="AH1014" i="1"/>
  <c r="AH1018" i="1"/>
  <c r="AH1021" i="1"/>
  <c r="AH1024" i="1"/>
  <c r="AH1028" i="1"/>
  <c r="AH1031" i="1"/>
  <c r="AH1034" i="1"/>
  <c r="AH1036" i="1"/>
  <c r="AH1071" i="1"/>
  <c r="AH1073" i="1"/>
  <c r="AH1075" i="1"/>
  <c r="AH1085" i="1"/>
  <c r="AH1087" i="1"/>
  <c r="AH1090" i="1"/>
  <c r="AH1112" i="1"/>
  <c r="AH1114" i="1"/>
  <c r="AH1117" i="1"/>
  <c r="AH1119" i="1"/>
  <c r="AH1121" i="1"/>
  <c r="AH1126" i="1"/>
  <c r="AH1129" i="1"/>
  <c r="AH1132" i="1"/>
  <c r="AH1135" i="1"/>
  <c r="AH1138" i="1"/>
  <c r="AH1141" i="1"/>
  <c r="AH1143" i="1"/>
  <c r="AH1146" i="1"/>
  <c r="AH1149" i="1"/>
  <c r="AH1209" i="1"/>
  <c r="AH1225" i="1"/>
  <c r="AH1228" i="1"/>
  <c r="AH1231" i="1"/>
  <c r="AH1234" i="1"/>
  <c r="AH1237" i="1"/>
  <c r="AH1240" i="1"/>
  <c r="AH1260" i="1"/>
  <c r="AH1276" i="1"/>
  <c r="AH1279" i="1"/>
  <c r="AH1308" i="1"/>
  <c r="AH1311" i="1"/>
  <c r="AH1314" i="1"/>
  <c r="AH1317" i="1"/>
  <c r="AH1320" i="1"/>
  <c r="AH1323" i="1"/>
  <c r="AH1326" i="1"/>
  <c r="AH1329" i="1"/>
  <c r="AH1332" i="1"/>
  <c r="AH1401" i="1"/>
  <c r="AH1404" i="1"/>
  <c r="AH1407" i="1"/>
  <c r="AH1410" i="1"/>
  <c r="AH1413" i="1"/>
  <c r="AH1416" i="1"/>
  <c r="AH1419" i="1"/>
  <c r="AH1422" i="1"/>
  <c r="AH1425" i="1"/>
  <c r="AH1428" i="1"/>
  <c r="AH1431" i="1"/>
  <c r="AH1434" i="1"/>
  <c r="AH1437" i="1"/>
  <c r="AH1441" i="1"/>
  <c r="AH1444" i="1"/>
  <c r="AH1447" i="1"/>
  <c r="AH1450" i="1"/>
  <c r="AH1473" i="1"/>
  <c r="AH1476" i="1"/>
  <c r="AH1479" i="1"/>
  <c r="AH1482" i="1"/>
  <c r="AH1485" i="1"/>
  <c r="AH1488" i="1"/>
  <c r="AH1491" i="1"/>
  <c r="AH1494" i="1"/>
  <c r="AH1506" i="1"/>
  <c r="AH1517" i="1"/>
  <c r="AH1524" i="1"/>
  <c r="AH1527" i="1"/>
  <c r="AH1530" i="1"/>
  <c r="AH1533" i="1"/>
  <c r="AH1536" i="1"/>
  <c r="AH1555" i="1"/>
  <c r="AH1557" i="1"/>
  <c r="AH1560" i="1"/>
  <c r="AH1768" i="1"/>
  <c r="N43" i="34"/>
  <c r="I213" i="29"/>
  <c r="AH1762" i="1"/>
  <c r="AH1759" i="1"/>
  <c r="AH1761" i="1"/>
  <c r="AH1758" i="1"/>
  <c r="AH1763" i="1"/>
  <c r="AH1767" i="1"/>
  <c r="AG1701" i="1" a="1"/>
  <c r="AG1701" i="1" s="1"/>
  <c r="AG1703" i="1" a="1"/>
  <c r="AG1703" i="1" s="1"/>
  <c r="O25" i="34"/>
  <c r="M25" i="34"/>
  <c r="M155" i="30"/>
  <c r="M154" i="30"/>
  <c r="K154" i="30"/>
  <c r="K155" i="30"/>
  <c r="E200" i="29"/>
  <c r="I200" i="29" s="1"/>
  <c r="B200" i="29"/>
  <c r="E199" i="29"/>
  <c r="I199" i="29" s="1"/>
  <c r="B199" i="29"/>
  <c r="AF1655" i="1"/>
  <c r="AF1657" i="1"/>
  <c r="AF1658" i="1"/>
  <c r="N1552" i="26"/>
  <c r="N1550" i="26"/>
  <c r="N1548" i="26"/>
  <c r="N1547" i="26"/>
  <c r="N1545" i="26"/>
  <c r="N1542" i="26"/>
  <c r="M153" i="30"/>
  <c r="K153" i="30"/>
  <c r="E198" i="29"/>
  <c r="I198" i="29" s="1"/>
  <c r="B198" i="29"/>
  <c r="AF1645" i="1"/>
  <c r="AF1646" i="1"/>
  <c r="AF1648" i="1"/>
  <c r="AF1652" i="1"/>
  <c r="N1536" i="26"/>
  <c r="N1533" i="26"/>
  <c r="N1529" i="26"/>
  <c r="N1528" i="26"/>
  <c r="M152" i="30"/>
  <c r="K152" i="30"/>
  <c r="E197" i="29"/>
  <c r="I197" i="29" s="1"/>
  <c r="B197" i="29"/>
  <c r="AF1626" i="1"/>
  <c r="AF1627" i="1"/>
  <c r="AF1628" i="1"/>
  <c r="AF1629" i="1"/>
  <c r="AF1630" i="1"/>
  <c r="AF1631" i="1"/>
  <c r="AF1633" i="1"/>
  <c r="AF1634" i="1"/>
  <c r="AF1643" i="1"/>
  <c r="AG1626" i="1" a="1"/>
  <c r="AG1626" i="1" s="1"/>
  <c r="AG1627" i="1" a="1"/>
  <c r="AG1627" i="1" s="1"/>
  <c r="AG1628" i="1" a="1"/>
  <c r="AG1628" i="1" s="1"/>
  <c r="AG1629" i="1" a="1"/>
  <c r="AG1629" i="1" s="1"/>
  <c r="AG1630" i="1" a="1"/>
  <c r="AG1630" i="1" s="1"/>
  <c r="AG1631" i="1" a="1"/>
  <c r="AG1631" i="1" s="1"/>
  <c r="AG1633" i="1" a="1"/>
  <c r="AG1633" i="1" s="1"/>
  <c r="AG1634" i="1" a="1"/>
  <c r="AG1634" i="1" s="1"/>
  <c r="M151" i="30"/>
  <c r="M150" i="30"/>
  <c r="K150" i="30"/>
  <c r="K151" i="30"/>
  <c r="E196" i="29"/>
  <c r="I196" i="29" s="1"/>
  <c r="E195" i="29"/>
  <c r="I195" i="29" s="1"/>
  <c r="B196" i="29"/>
  <c r="B195" i="29"/>
  <c r="AF1599" i="1"/>
  <c r="AF1600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9" i="1"/>
  <c r="AF1620" i="1"/>
  <c r="AF1621" i="1"/>
  <c r="AF1623" i="1"/>
  <c r="AF1624" i="1"/>
  <c r="AF1625" i="1"/>
  <c r="AG1617" i="1" a="1"/>
  <c r="AG1617" i="1" s="1"/>
  <c r="AG1619" i="1" a="1"/>
  <c r="AG1619" i="1" s="1"/>
  <c r="AG1621" i="1" a="1"/>
  <c r="AG1621" i="1" s="1"/>
  <c r="AG1623" i="1" a="1"/>
  <c r="AG1623" i="1" s="1"/>
  <c r="AG1624" i="1" a="1"/>
  <c r="AG1624" i="1" s="1"/>
  <c r="N1518" i="26"/>
  <c r="N1521" i="26"/>
  <c r="H8" i="25"/>
  <c r="J34" i="34"/>
  <c r="M149" i="30"/>
  <c r="K149" i="30"/>
  <c r="E194" i="29"/>
  <c r="I194" i="29" s="1"/>
  <c r="B194" i="29"/>
  <c r="AF1595" i="1"/>
  <c r="AF1597" i="1"/>
  <c r="M148" i="30"/>
  <c r="K148" i="30"/>
  <c r="E193" i="29"/>
  <c r="I193" i="29" s="1"/>
  <c r="B193" i="29"/>
  <c r="AF1590" i="1"/>
  <c r="AF1591" i="1"/>
  <c r="AF1592" i="1"/>
  <c r="AF1593" i="1"/>
  <c r="AF1594" i="1"/>
  <c r="N1510" i="26"/>
  <c r="N1507" i="26"/>
  <c r="N1498" i="26"/>
  <c r="N1499" i="26"/>
  <c r="M147" i="30"/>
  <c r="K147" i="30"/>
  <c r="E192" i="29"/>
  <c r="I192" i="29" s="1"/>
  <c r="B192" i="29"/>
  <c r="M146" i="30"/>
  <c r="K146" i="30"/>
  <c r="E191" i="29"/>
  <c r="I191" i="29" s="1"/>
  <c r="B191" i="29"/>
  <c r="AF1579" i="1"/>
  <c r="AF1580" i="1"/>
  <c r="AF1581" i="1"/>
  <c r="AF1583" i="1"/>
  <c r="AF1584" i="1"/>
  <c r="AF1585" i="1"/>
  <c r="AF1586" i="1"/>
  <c r="AF1587" i="1"/>
  <c r="AF1588" i="1"/>
  <c r="AF1589" i="1"/>
  <c r="N1495" i="26"/>
  <c r="M145" i="30"/>
  <c r="M144" i="30"/>
  <c r="M143" i="30"/>
  <c r="K143" i="30"/>
  <c r="K144" i="30"/>
  <c r="K145" i="30"/>
  <c r="E190" i="29"/>
  <c r="I190" i="29" s="1"/>
  <c r="E189" i="29"/>
  <c r="I189" i="29" s="1"/>
  <c r="E188" i="29"/>
  <c r="I188" i="29" s="1"/>
  <c r="B190" i="29"/>
  <c r="B189" i="29"/>
  <c r="B188" i="29"/>
  <c r="AF1571" i="1"/>
  <c r="AF1572" i="1"/>
  <c r="AF1573" i="1"/>
  <c r="AF1574" i="1"/>
  <c r="AF1575" i="1"/>
  <c r="AF1576" i="1"/>
  <c r="AF1577" i="1"/>
  <c r="AF1578" i="1"/>
  <c r="N1484" i="26"/>
  <c r="N1483" i="26"/>
  <c r="N1481" i="26"/>
  <c r="M142" i="30"/>
  <c r="M141" i="30"/>
  <c r="M140" i="30"/>
  <c r="K140" i="30"/>
  <c r="K141" i="30"/>
  <c r="K142" i="30"/>
  <c r="E187" i="29"/>
  <c r="I187" i="29" s="1"/>
  <c r="E186" i="29"/>
  <c r="I186" i="29" s="1"/>
  <c r="B187" i="29"/>
  <c r="B186" i="29"/>
  <c r="B185" i="29"/>
  <c r="AF1564" i="1"/>
  <c r="AF1565" i="1"/>
  <c r="AF1566" i="1"/>
  <c r="AF1567" i="1"/>
  <c r="AF1568" i="1"/>
  <c r="AF1569" i="1"/>
  <c r="AF1570" i="1"/>
  <c r="AG1564" i="1" a="1"/>
  <c r="AG1564" i="1" s="1"/>
  <c r="AG1569" i="1" a="1"/>
  <c r="AG1569" i="1" s="1"/>
  <c r="AG1570" i="1" a="1"/>
  <c r="AG1570" i="1" s="1"/>
  <c r="AF1559" i="1"/>
  <c r="AF1560" i="1"/>
  <c r="AF1561" i="1"/>
  <c r="AF1562" i="1"/>
  <c r="AF1563" i="1"/>
  <c r="AG1561" i="1" a="1"/>
  <c r="AG1561" i="1" s="1"/>
  <c r="N1472" i="26"/>
  <c r="N1475" i="26"/>
  <c r="M139" i="30"/>
  <c r="M138" i="30"/>
  <c r="M137" i="30"/>
  <c r="M136" i="30"/>
  <c r="K136" i="30"/>
  <c r="K137" i="30"/>
  <c r="K138" i="30"/>
  <c r="K139" i="30"/>
  <c r="H184" i="29"/>
  <c r="E185" i="29" s="1"/>
  <c r="I185" i="29" s="1"/>
  <c r="E184" i="29"/>
  <c r="B184" i="29"/>
  <c r="AF1553" i="1"/>
  <c r="AF1554" i="1"/>
  <c r="AF1555" i="1"/>
  <c r="AF1556" i="1"/>
  <c r="AF1557" i="1"/>
  <c r="AF1558" i="1"/>
  <c r="N1467" i="26"/>
  <c r="N1463" i="26"/>
  <c r="N1461" i="26"/>
  <c r="E183" i="29"/>
  <c r="I183" i="29" s="1"/>
  <c r="B183" i="29"/>
  <c r="AF1549" i="1"/>
  <c r="AF1550" i="1"/>
  <c r="AF1551" i="1"/>
  <c r="AF1552" i="1"/>
  <c r="N1455" i="26"/>
  <c r="N1457" i="26"/>
  <c r="N1453" i="26"/>
  <c r="N1452" i="26"/>
  <c r="N1450" i="26"/>
  <c r="N1447" i="26"/>
  <c r="E182" i="29"/>
  <c r="I182" i="29" s="1"/>
  <c r="B182" i="29"/>
  <c r="B181" i="29"/>
  <c r="AF1539" i="1"/>
  <c r="AF1540" i="1"/>
  <c r="AF1541" i="1"/>
  <c r="AF1542" i="1"/>
  <c r="AF1543" i="1"/>
  <c r="AF1544" i="1"/>
  <c r="AF1545" i="1"/>
  <c r="AF1546" i="1"/>
  <c r="AF1547" i="1"/>
  <c r="AF1548" i="1"/>
  <c r="N1439" i="26"/>
  <c r="N1441" i="26"/>
  <c r="N1443" i="26"/>
  <c r="N1444" i="26"/>
  <c r="N1445" i="26"/>
  <c r="N1446" i="26"/>
  <c r="N1437" i="26"/>
  <c r="N1438" i="26"/>
  <c r="N1435" i="26"/>
  <c r="N1436" i="26"/>
  <c r="N1430" i="26"/>
  <c r="N1427" i="26"/>
  <c r="N1425" i="26"/>
  <c r="N1426" i="26"/>
  <c r="N1422" i="26"/>
  <c r="N1423" i="26"/>
  <c r="N1424" i="26"/>
  <c r="M135" i="30"/>
  <c r="M134" i="30"/>
  <c r="M133" i="30"/>
  <c r="M132" i="30"/>
  <c r="K132" i="30"/>
  <c r="K133" i="30"/>
  <c r="K134" i="30"/>
  <c r="K135" i="30"/>
  <c r="E178" i="29"/>
  <c r="I178" i="29" s="1"/>
  <c r="E180" i="29"/>
  <c r="H180" i="29"/>
  <c r="E181" i="29" s="1"/>
  <c r="I181" i="29" s="1"/>
  <c r="E179" i="29"/>
  <c r="I179" i="29" s="1"/>
  <c r="B180" i="29"/>
  <c r="B179" i="29"/>
  <c r="AF1532" i="1"/>
  <c r="AF1533" i="1"/>
  <c r="AF1534" i="1"/>
  <c r="AF1535" i="1"/>
  <c r="AF1536" i="1"/>
  <c r="AF1537" i="1"/>
  <c r="AF1538" i="1"/>
  <c r="N1418" i="26"/>
  <c r="N1419" i="26"/>
  <c r="N1420" i="26"/>
  <c r="N1416" i="26"/>
  <c r="B178" i="29"/>
  <c r="AF1521" i="1"/>
  <c r="AF1522" i="1"/>
  <c r="AF1523" i="1"/>
  <c r="AF1524" i="1"/>
  <c r="AF1525" i="1"/>
  <c r="AF1526" i="1"/>
  <c r="AF1527" i="1"/>
  <c r="AF1528" i="1"/>
  <c r="AF1529" i="1"/>
  <c r="AF1530" i="1"/>
  <c r="AF1531" i="1"/>
  <c r="N1405" i="26"/>
  <c r="N1406" i="26"/>
  <c r="N1404" i="26"/>
  <c r="N1402" i="26"/>
  <c r="N1399" i="26"/>
  <c r="N1398" i="26"/>
  <c r="N1397" i="26"/>
  <c r="N1396" i="26"/>
  <c r="N1395" i="26"/>
  <c r="M131" i="30"/>
  <c r="M130" i="30"/>
  <c r="M129" i="30"/>
  <c r="M128" i="30"/>
  <c r="K129" i="30"/>
  <c r="K130" i="30"/>
  <c r="K131" i="30"/>
  <c r="K128" i="30"/>
  <c r="E177" i="29"/>
  <c r="I177" i="29" s="1"/>
  <c r="B177" i="29"/>
  <c r="E176" i="29"/>
  <c r="I176" i="29" s="1"/>
  <c r="E175" i="29"/>
  <c r="I175" i="29" s="1"/>
  <c r="B176" i="29"/>
  <c r="B175" i="29"/>
  <c r="B174" i="29"/>
  <c r="E174" i="29"/>
  <c r="I174" i="29" s="1"/>
  <c r="E173" i="29"/>
  <c r="I173" i="29" s="1"/>
  <c r="B173" i="29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N1394" i="26"/>
  <c r="N1386" i="26"/>
  <c r="N1387" i="26"/>
  <c r="N1388" i="26"/>
  <c r="N1385" i="26"/>
  <c r="N1379" i="26"/>
  <c r="N1380" i="26"/>
  <c r="N1381" i="26"/>
  <c r="N1382" i="26"/>
  <c r="N1383" i="26"/>
  <c r="N1384" i="26"/>
  <c r="N1375" i="26"/>
  <c r="M127" i="30"/>
  <c r="K127" i="30"/>
  <c r="AF1487" i="1"/>
  <c r="AF1488" i="1"/>
  <c r="AF1489" i="1"/>
  <c r="AF1490" i="1"/>
  <c r="AF1491" i="1"/>
  <c r="AF1492" i="1"/>
  <c r="AF1493" i="1"/>
  <c r="AF1494" i="1"/>
  <c r="AF1495" i="1"/>
  <c r="AF1496" i="1"/>
  <c r="N1371" i="26"/>
  <c r="N1372" i="26"/>
  <c r="N1373" i="26"/>
  <c r="N1374" i="26"/>
  <c r="N1367" i="26"/>
  <c r="N1368" i="26"/>
  <c r="N1370" i="26"/>
  <c r="N1364" i="26"/>
  <c r="M126" i="30"/>
  <c r="K126" i="30"/>
  <c r="E172" i="29"/>
  <c r="I172" i="29" s="1"/>
  <c r="E171" i="29"/>
  <c r="I171" i="29" s="1"/>
  <c r="B172" i="29"/>
  <c r="B171" i="29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N1360" i="26"/>
  <c r="N1361" i="26"/>
  <c r="N1362" i="26"/>
  <c r="N1363" i="26"/>
  <c r="N1356" i="26"/>
  <c r="N1357" i="26"/>
  <c r="N1358" i="26"/>
  <c r="N1359" i="26"/>
  <c r="N1355" i="26"/>
  <c r="N1354" i="26"/>
  <c r="N1353" i="26"/>
  <c r="M120" i="30"/>
  <c r="K120" i="30"/>
  <c r="K121" i="30"/>
  <c r="K122" i="30"/>
  <c r="K123" i="30"/>
  <c r="K124" i="30"/>
  <c r="K125" i="30"/>
  <c r="E170" i="29"/>
  <c r="I170" i="29" s="1"/>
  <c r="B170" i="29"/>
  <c r="E169" i="29"/>
  <c r="I169" i="29" s="1"/>
  <c r="E167" i="29"/>
  <c r="I167" i="29" s="1"/>
  <c r="E166" i="29"/>
  <c r="I166" i="29" s="1"/>
  <c r="B166" i="29"/>
  <c r="E165" i="29"/>
  <c r="I165" i="29" s="1"/>
  <c r="B165" i="29"/>
  <c r="B169" i="29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N1352" i="26"/>
  <c r="N1350" i="26"/>
  <c r="N1349" i="26"/>
  <c r="N1348" i="26"/>
  <c r="AF1428" i="1"/>
  <c r="AF1429" i="1"/>
  <c r="AF1430" i="1"/>
  <c r="AF1431" i="1"/>
  <c r="AF1432" i="1"/>
  <c r="AF1433" i="1"/>
  <c r="AF1434" i="1"/>
  <c r="AF1435" i="1"/>
  <c r="N1345" i="26"/>
  <c r="N1346" i="26"/>
  <c r="N1347" i="26"/>
  <c r="N1342" i="26"/>
  <c r="N1343" i="26"/>
  <c r="N1344" i="26"/>
  <c r="N1340" i="26"/>
  <c r="N1341" i="26"/>
  <c r="N1335" i="26"/>
  <c r="N1336" i="26"/>
  <c r="N1337" i="26"/>
  <c r="N1338" i="26"/>
  <c r="N1339" i="26"/>
  <c r="N1328" i="26"/>
  <c r="N1329" i="26"/>
  <c r="N1330" i="26"/>
  <c r="N1332" i="26"/>
  <c r="N1333" i="26"/>
  <c r="N1334" i="26"/>
  <c r="N1327" i="26"/>
  <c r="N1325" i="26"/>
  <c r="N1326" i="26"/>
  <c r="N1324" i="26"/>
  <c r="E168" i="29"/>
  <c r="I168" i="29" s="1"/>
  <c r="B168" i="29"/>
  <c r="B167" i="29"/>
  <c r="AF1421" i="1"/>
  <c r="AF1422" i="1"/>
  <c r="AF1423" i="1"/>
  <c r="AF1424" i="1"/>
  <c r="AF1425" i="1"/>
  <c r="AF1426" i="1"/>
  <c r="AF1427" i="1"/>
  <c r="AF1420" i="1"/>
  <c r="AF1419" i="1"/>
  <c r="AF1412" i="1"/>
  <c r="AF1411" i="1"/>
  <c r="AF1404" i="1"/>
  <c r="AF1403" i="1"/>
  <c r="AF1396" i="1"/>
  <c r="AF1395" i="1"/>
  <c r="AF1393" i="1"/>
  <c r="AF1394" i="1"/>
  <c r="AF1397" i="1"/>
  <c r="AF1398" i="1"/>
  <c r="AF1399" i="1"/>
  <c r="AF1400" i="1"/>
  <c r="AF1401" i="1"/>
  <c r="AF1402" i="1"/>
  <c r="AF1405" i="1"/>
  <c r="AF1406" i="1"/>
  <c r="AF1407" i="1"/>
  <c r="AF1408" i="1"/>
  <c r="AF1409" i="1"/>
  <c r="AF1410" i="1"/>
  <c r="AF1413" i="1"/>
  <c r="AF1414" i="1"/>
  <c r="AF1415" i="1"/>
  <c r="AF1416" i="1"/>
  <c r="AF1417" i="1"/>
  <c r="AF1418" i="1"/>
  <c r="N1323" i="26"/>
  <c r="N1321" i="26"/>
  <c r="N1322" i="26"/>
  <c r="N1319" i="26"/>
  <c r="N1320" i="26"/>
  <c r="N1316" i="26"/>
  <c r="N1317" i="26"/>
  <c r="N1318" i="26"/>
  <c r="N1315" i="26"/>
  <c r="M119" i="30"/>
  <c r="K119" i="30"/>
  <c r="E164" i="29"/>
  <c r="I164" i="29" s="1"/>
  <c r="B164" i="29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N1312" i="26"/>
  <c r="N1313" i="26"/>
  <c r="N1314" i="26"/>
  <c r="N1310" i="26"/>
  <c r="N1311" i="26"/>
  <c r="M122" i="30"/>
  <c r="M121" i="30"/>
  <c r="M118" i="30"/>
  <c r="K118" i="30"/>
  <c r="E163" i="29"/>
  <c r="I163" i="29" s="1"/>
  <c r="B163" i="29"/>
  <c r="B162" i="29"/>
  <c r="M117" i="30"/>
  <c r="K117" i="30"/>
  <c r="E162" i="29"/>
  <c r="I162" i="29" s="1"/>
  <c r="AF1375" i="1"/>
  <c r="AF1376" i="1"/>
  <c r="N1307" i="26"/>
  <c r="N1308" i="26"/>
  <c r="N1309" i="26"/>
  <c r="M116" i="30"/>
  <c r="K116" i="30"/>
  <c r="E161" i="29"/>
  <c r="I161" i="29" s="1"/>
  <c r="B161" i="29"/>
  <c r="AF1371" i="1"/>
  <c r="AF1372" i="1"/>
  <c r="AF1373" i="1"/>
  <c r="AF1374" i="1"/>
  <c r="N1306" i="26"/>
  <c r="N1305" i="26"/>
  <c r="M115" i="30"/>
  <c r="K115" i="30"/>
  <c r="E160" i="29"/>
  <c r="I160" i="29" s="1"/>
  <c r="B160" i="29"/>
  <c r="AF1368" i="1"/>
  <c r="AF1369" i="1"/>
  <c r="AF1370" i="1"/>
  <c r="N1304" i="26"/>
  <c r="M114" i="30"/>
  <c r="K114" i="30"/>
  <c r="E159" i="29"/>
  <c r="I159" i="29" s="1"/>
  <c r="E156" i="29"/>
  <c r="I156" i="29" s="1"/>
  <c r="E157" i="29"/>
  <c r="I157" i="29" s="1"/>
  <c r="E158" i="29"/>
  <c r="I158" i="29" s="1"/>
  <c r="B159" i="29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4" i="1"/>
  <c r="AH433" i="1"/>
  <c r="AH432" i="1"/>
  <c r="AH431" i="1"/>
  <c r="AH428" i="1"/>
  <c r="AH427" i="1"/>
  <c r="AH426" i="1"/>
  <c r="AH425" i="1"/>
  <c r="AH424" i="1"/>
  <c r="AH423" i="1"/>
  <c r="AH422" i="1"/>
  <c r="AH420" i="1"/>
  <c r="AH419" i="1"/>
  <c r="AH418" i="1"/>
  <c r="AH417" i="1"/>
  <c r="AH416" i="1"/>
  <c r="AH415" i="1"/>
  <c r="AH414" i="1"/>
  <c r="AH413" i="1"/>
  <c r="AH412" i="1"/>
  <c r="AH411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F1364" i="1"/>
  <c r="AF1365" i="1"/>
  <c r="AF1366" i="1"/>
  <c r="AF1367" i="1"/>
  <c r="N1294" i="26"/>
  <c r="N1295" i="26"/>
  <c r="N1296" i="26"/>
  <c r="N1297" i="26"/>
  <c r="N1298" i="26"/>
  <c r="N1299" i="26"/>
  <c r="N1300" i="26"/>
  <c r="N1301" i="26"/>
  <c r="N1293" i="26"/>
  <c r="N1291" i="26"/>
  <c r="N1292" i="26"/>
  <c r="N1290" i="26"/>
  <c r="N1289" i="26"/>
  <c r="N1288" i="26"/>
  <c r="N1287" i="26"/>
  <c r="M113" i="30"/>
  <c r="K113" i="30"/>
  <c r="B158" i="29"/>
  <c r="M112" i="30"/>
  <c r="K112" i="30"/>
  <c r="B157" i="29"/>
  <c r="AF1354" i="1"/>
  <c r="AF1355" i="1"/>
  <c r="AF1356" i="1"/>
  <c r="AF1357" i="1"/>
  <c r="AF1358" i="1"/>
  <c r="AF1359" i="1"/>
  <c r="AF1360" i="1"/>
  <c r="AF1361" i="1"/>
  <c r="AF1362" i="1"/>
  <c r="AF1363" i="1"/>
  <c r="N1286" i="26"/>
  <c r="N1285" i="26"/>
  <c r="N1279" i="26"/>
  <c r="N1280" i="26"/>
  <c r="N1282" i="26"/>
  <c r="N1278" i="26"/>
  <c r="N1272" i="26"/>
  <c r="N1273" i="26"/>
  <c r="N1274" i="26"/>
  <c r="N1275" i="26"/>
  <c r="N1276" i="26"/>
  <c r="N1277" i="26"/>
  <c r="N1269" i="26"/>
  <c r="N1270" i="26"/>
  <c r="N1268" i="26"/>
  <c r="N1267" i="26"/>
  <c r="N1265" i="26"/>
  <c r="N1266" i="26"/>
  <c r="N1264" i="26"/>
  <c r="N1262" i="26"/>
  <c r="N1263" i="26"/>
  <c r="N1259" i="26"/>
  <c r="N1260" i="26"/>
  <c r="N1261" i="26"/>
  <c r="N1257" i="26"/>
  <c r="N1258" i="26"/>
  <c r="M111" i="30"/>
  <c r="K111" i="30"/>
  <c r="N1252" i="26"/>
  <c r="N1253" i="26"/>
  <c r="N1254" i="26"/>
  <c r="N1255" i="26"/>
  <c r="N1256" i="26"/>
  <c r="N1245" i="26"/>
  <c r="N1246" i="26"/>
  <c r="N1248" i="26"/>
  <c r="N1249" i="26"/>
  <c r="N1250" i="26"/>
  <c r="N1251" i="26"/>
  <c r="N1242" i="26"/>
  <c r="N1243" i="26"/>
  <c r="N1244" i="26"/>
  <c r="N1240" i="26"/>
  <c r="N1241" i="26"/>
  <c r="M110" i="30"/>
  <c r="K110" i="30"/>
  <c r="I155" i="29"/>
  <c r="B156" i="29"/>
  <c r="B155" i="29"/>
  <c r="N1239" i="26"/>
  <c r="N1237" i="26"/>
  <c r="N1235" i="26"/>
  <c r="N1236" i="26"/>
  <c r="N1234" i="26"/>
  <c r="N1233" i="26"/>
  <c r="N1232" i="26"/>
  <c r="M109" i="30"/>
  <c r="K109" i="30"/>
  <c r="H154" i="29"/>
  <c r="B154" i="29"/>
  <c r="H153" i="29"/>
  <c r="E154" i="29" s="1"/>
  <c r="N1229" i="26"/>
  <c r="N1230" i="26"/>
  <c r="N1231" i="26"/>
  <c r="M108" i="30"/>
  <c r="K108" i="30"/>
  <c r="M107" i="30"/>
  <c r="M106" i="30"/>
  <c r="K107" i="30"/>
  <c r="K106" i="30"/>
  <c r="H152" i="29"/>
  <c r="E153" i="29" s="1"/>
  <c r="E152" i="29"/>
  <c r="B153" i="29"/>
  <c r="N1228" i="26"/>
  <c r="N1226" i="26"/>
  <c r="N1227" i="26"/>
  <c r="N1224" i="26"/>
  <c r="N1225" i="26"/>
  <c r="N1221" i="26"/>
  <c r="N1222" i="26"/>
  <c r="N1223" i="26"/>
  <c r="N1220" i="26"/>
  <c r="N1219" i="26"/>
  <c r="N1218" i="26"/>
  <c r="N1217" i="26"/>
  <c r="N1216" i="26"/>
  <c r="N1214" i="26"/>
  <c r="N1215" i="26"/>
  <c r="N1213" i="26"/>
  <c r="N1212" i="26"/>
  <c r="N1211" i="26"/>
  <c r="N1210" i="26"/>
  <c r="N1209" i="26"/>
  <c r="N1208" i="26"/>
  <c r="N1207" i="26"/>
  <c r="B152" i="29"/>
  <c r="I151" i="29"/>
  <c r="B151" i="29"/>
  <c r="AF1353" i="1"/>
  <c r="N1206" i="26"/>
  <c r="N1203" i="26"/>
  <c r="N1204" i="26"/>
  <c r="N1201" i="26"/>
  <c r="N1202" i="26"/>
  <c r="N1199" i="26"/>
  <c r="N1200" i="26"/>
  <c r="N1198" i="26"/>
  <c r="N1197" i="26"/>
  <c r="N1196" i="26"/>
  <c r="N1195" i="26"/>
  <c r="N1194" i="26"/>
  <c r="N1193" i="26"/>
  <c r="N1192" i="26"/>
  <c r="N1191" i="26"/>
  <c r="N1190" i="26"/>
  <c r="M105" i="30"/>
  <c r="H150" i="29"/>
  <c r="M104" i="30"/>
  <c r="M103" i="30"/>
  <c r="K105" i="30"/>
  <c r="K104" i="30"/>
  <c r="K103" i="30"/>
  <c r="H149" i="29"/>
  <c r="E149" i="29"/>
  <c r="B150" i="29"/>
  <c r="B149" i="29"/>
  <c r="B148" i="29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N1189" i="26"/>
  <c r="N1187" i="26"/>
  <c r="N1188" i="26"/>
  <c r="N1186" i="26"/>
  <c r="N1185" i="26"/>
  <c r="N1183" i="26"/>
  <c r="N1184" i="26"/>
  <c r="N1178" i="26"/>
  <c r="N1179" i="26"/>
  <c r="N1181" i="26"/>
  <c r="N1177" i="26"/>
  <c r="N1174" i="26"/>
  <c r="N1175" i="26"/>
  <c r="N1176" i="26"/>
  <c r="N1173" i="26"/>
  <c r="N1172" i="26"/>
  <c r="AF1311" i="1"/>
  <c r="AF1312" i="1"/>
  <c r="AF1313" i="1"/>
  <c r="AF1314" i="1"/>
  <c r="AF1315" i="1"/>
  <c r="AF1316" i="1"/>
  <c r="AF1317" i="1"/>
  <c r="AF1318" i="1"/>
  <c r="AF1319" i="1"/>
  <c r="AF1320" i="1"/>
  <c r="AF1321" i="1"/>
  <c r="M102" i="30"/>
  <c r="K102" i="30"/>
  <c r="H147" i="29"/>
  <c r="E148" i="29" s="1"/>
  <c r="I148" i="29" s="1"/>
  <c r="B147" i="29"/>
  <c r="M123" i="30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N1171" i="26"/>
  <c r="N1169" i="26"/>
  <c r="N1170" i="26"/>
  <c r="N1166" i="26"/>
  <c r="N1167" i="26"/>
  <c r="N1168" i="26"/>
  <c r="N1164" i="26"/>
  <c r="N1165" i="26"/>
  <c r="N1162" i="26"/>
  <c r="N1163" i="26"/>
  <c r="N1159" i="26"/>
  <c r="N1160" i="26"/>
  <c r="N1161" i="26"/>
  <c r="N1158" i="26"/>
  <c r="N1157" i="26"/>
  <c r="M101" i="30"/>
  <c r="K101" i="30"/>
  <c r="H146" i="29"/>
  <c r="E147" i="29" s="1"/>
  <c r="H145" i="29"/>
  <c r="E146" i="29" s="1"/>
  <c r="B146" i="29"/>
  <c r="M100" i="30"/>
  <c r="K100" i="30"/>
  <c r="B145" i="29"/>
  <c r="M99" i="30"/>
  <c r="K99" i="30"/>
  <c r="E144" i="29"/>
  <c r="H144" i="29"/>
  <c r="E145" i="29" s="1"/>
  <c r="B144" i="29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N1149" i="26"/>
  <c r="N1150" i="26"/>
  <c r="N1151" i="26"/>
  <c r="N1152" i="26"/>
  <c r="N1153" i="26"/>
  <c r="N1154" i="26"/>
  <c r="N1155" i="26"/>
  <c r="N1156" i="26"/>
  <c r="N1147" i="26"/>
  <c r="N1148" i="26"/>
  <c r="N1145" i="26"/>
  <c r="N1146" i="26"/>
  <c r="J12" i="34"/>
  <c r="M98" i="30"/>
  <c r="K98" i="30"/>
  <c r="E143" i="29"/>
  <c r="I143" i="29" s="1"/>
  <c r="B143" i="29"/>
  <c r="M97" i="30"/>
  <c r="K97" i="30"/>
  <c r="E142" i="29"/>
  <c r="I142" i="29" s="1"/>
  <c r="B142" i="29"/>
  <c r="AF1180" i="1"/>
  <c r="AF1181" i="1"/>
  <c r="AF1182" i="1"/>
  <c r="AF1183" i="1"/>
  <c r="AF1184" i="1"/>
  <c r="AF1185" i="1"/>
  <c r="AF1186" i="1"/>
  <c r="AF1187" i="1"/>
  <c r="AF1188" i="1"/>
  <c r="AF1189" i="1"/>
  <c r="N1139" i="26"/>
  <c r="N1140" i="26"/>
  <c r="N1142" i="26"/>
  <c r="N1143" i="26"/>
  <c r="N1144" i="26"/>
  <c r="N1136" i="26"/>
  <c r="N1137" i="26"/>
  <c r="N1138" i="26"/>
  <c r="N1135" i="26"/>
  <c r="M96" i="30"/>
  <c r="K96" i="30"/>
  <c r="E141" i="29"/>
  <c r="I141" i="29" s="1"/>
  <c r="B141" i="29"/>
  <c r="M95" i="30"/>
  <c r="K95" i="30"/>
  <c r="E140" i="29"/>
  <c r="I140" i="29" s="1"/>
  <c r="B140" i="29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N1129" i="26"/>
  <c r="N1130" i="26"/>
  <c r="N1131" i="26"/>
  <c r="N1132" i="26"/>
  <c r="N1133" i="26"/>
  <c r="N1134" i="26"/>
  <c r="N1128" i="26"/>
  <c r="K42" i="34"/>
  <c r="K41" i="34"/>
  <c r="N41" i="34" s="1"/>
  <c r="O41" i="34" s="1"/>
  <c r="K40" i="34"/>
  <c r="N40" i="34" s="1"/>
  <c r="M40" i="34" s="1"/>
  <c r="K39" i="34"/>
  <c r="N39" i="34" s="1"/>
  <c r="K38" i="34"/>
  <c r="N38" i="34" s="1"/>
  <c r="M94" i="30"/>
  <c r="K94" i="30"/>
  <c r="E139" i="29"/>
  <c r="I139" i="29" s="1"/>
  <c r="B139" i="29"/>
  <c r="M93" i="30"/>
  <c r="K93" i="30"/>
  <c r="E138" i="29"/>
  <c r="I138" i="29" s="1"/>
  <c r="B138" i="29"/>
  <c r="AF1157" i="1"/>
  <c r="AF1158" i="1"/>
  <c r="AF1159" i="1"/>
  <c r="AF1160" i="1"/>
  <c r="AF1161" i="1"/>
  <c r="AF1162" i="1"/>
  <c r="AF1163" i="1"/>
  <c r="AF1164" i="1"/>
  <c r="N1124" i="26"/>
  <c r="N1125" i="26"/>
  <c r="N1126" i="26"/>
  <c r="N1127" i="26"/>
  <c r="N1123" i="26"/>
  <c r="M92" i="30"/>
  <c r="K92" i="30"/>
  <c r="E137" i="29"/>
  <c r="I137" i="29" s="1"/>
  <c r="B137" i="29"/>
  <c r="M91" i="30"/>
  <c r="K91" i="30"/>
  <c r="E136" i="29"/>
  <c r="I136" i="29" s="1"/>
  <c r="B136" i="29"/>
  <c r="AF1150" i="1"/>
  <c r="AF1151" i="1"/>
  <c r="AF1152" i="1"/>
  <c r="AF1153" i="1"/>
  <c r="AF1154" i="1"/>
  <c r="AF1155" i="1"/>
  <c r="AF1156" i="1"/>
  <c r="N1109" i="26"/>
  <c r="N1110" i="26"/>
  <c r="N1111" i="26"/>
  <c r="N1112" i="26"/>
  <c r="N1113" i="26"/>
  <c r="N1114" i="26"/>
  <c r="N1115" i="26"/>
  <c r="N1116" i="26"/>
  <c r="N1117" i="26"/>
  <c r="N1118" i="26"/>
  <c r="N1119" i="26"/>
  <c r="N1120" i="26"/>
  <c r="N1121" i="26"/>
  <c r="N1122" i="26"/>
  <c r="N1108" i="26"/>
  <c r="M90" i="30"/>
  <c r="K90" i="30"/>
  <c r="E135" i="29"/>
  <c r="I135" i="29" s="1"/>
  <c r="B135" i="29"/>
  <c r="M89" i="30"/>
  <c r="K89" i="30"/>
  <c r="E134" i="29"/>
  <c r="I134" i="29" s="1"/>
  <c r="B134" i="29"/>
  <c r="M88" i="30"/>
  <c r="K88" i="30"/>
  <c r="E133" i="29"/>
  <c r="I133" i="29" s="1"/>
  <c r="B133" i="29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N1107" i="26"/>
  <c r="N1106" i="26"/>
  <c r="N1105" i="26"/>
  <c r="N1100" i="26"/>
  <c r="N1101" i="26"/>
  <c r="N1102" i="26"/>
  <c r="N1103" i="26"/>
  <c r="N1104" i="26"/>
  <c r="M87" i="30"/>
  <c r="K87" i="30"/>
  <c r="M86" i="30"/>
  <c r="K86" i="30"/>
  <c r="E132" i="29"/>
  <c r="I132" i="29" s="1"/>
  <c r="B132" i="29"/>
  <c r="E131" i="29"/>
  <c r="I131" i="29" s="1"/>
  <c r="B131" i="29"/>
  <c r="N1098" i="26"/>
  <c r="N1099" i="26"/>
  <c r="N1095" i="26"/>
  <c r="N1096" i="26"/>
  <c r="N1097" i="26"/>
  <c r="N1094" i="26"/>
  <c r="N1093" i="26"/>
  <c r="N1092" i="26"/>
  <c r="AF1129" i="1"/>
  <c r="AF1130" i="1"/>
  <c r="AF1131" i="1"/>
  <c r="AF1132" i="1"/>
  <c r="AF1133" i="1"/>
  <c r="AF1134" i="1"/>
  <c r="M85" i="30"/>
  <c r="K85" i="30"/>
  <c r="E130" i="29"/>
  <c r="I130" i="29" s="1"/>
  <c r="B130" i="29"/>
  <c r="M84" i="30"/>
  <c r="K84" i="30"/>
  <c r="E129" i="29"/>
  <c r="I129" i="29" s="1"/>
  <c r="B129" i="29"/>
  <c r="M83" i="30"/>
  <c r="K83" i="30"/>
  <c r="E128" i="29"/>
  <c r="I128" i="29" s="1"/>
  <c r="B128" i="29"/>
  <c r="AF1123" i="1"/>
  <c r="AF1124" i="1"/>
  <c r="AF1125" i="1"/>
  <c r="AF1126" i="1"/>
  <c r="AF1127" i="1"/>
  <c r="AF1128" i="1"/>
  <c r="N1090" i="26"/>
  <c r="N1091" i="26"/>
  <c r="N1086" i="26"/>
  <c r="N1087" i="26"/>
  <c r="N1088" i="26"/>
  <c r="N1089" i="26"/>
  <c r="N1082" i="26"/>
  <c r="N1083" i="26"/>
  <c r="N1084" i="26"/>
  <c r="N1085" i="26"/>
  <c r="N1081" i="26"/>
  <c r="M82" i="30"/>
  <c r="K82" i="30"/>
  <c r="E127" i="29"/>
  <c r="I127" i="29" s="1"/>
  <c r="B127" i="29"/>
  <c r="M81" i="30"/>
  <c r="K81" i="30"/>
  <c r="E126" i="29"/>
  <c r="I126" i="29" s="1"/>
  <c r="B126" i="29"/>
  <c r="M80" i="30"/>
  <c r="K80" i="30"/>
  <c r="E125" i="29"/>
  <c r="I125" i="29" s="1"/>
  <c r="B125" i="29"/>
  <c r="AF1115" i="1"/>
  <c r="AF1116" i="1"/>
  <c r="AF1117" i="1"/>
  <c r="AF1118" i="1"/>
  <c r="AF1119" i="1"/>
  <c r="AF1120" i="1"/>
  <c r="AF1121" i="1"/>
  <c r="AF1122" i="1"/>
  <c r="M79" i="30"/>
  <c r="K79" i="30"/>
  <c r="E124" i="29"/>
  <c r="I124" i="29" s="1"/>
  <c r="B124" i="29"/>
  <c r="N1076" i="26"/>
  <c r="N1077" i="26"/>
  <c r="N1078" i="26"/>
  <c r="N1079" i="26"/>
  <c r="N1080" i="26"/>
  <c r="N1075" i="26"/>
  <c r="N1074" i="26"/>
  <c r="AF1106" i="1"/>
  <c r="AF1107" i="1"/>
  <c r="AF1108" i="1"/>
  <c r="AF1109" i="1"/>
  <c r="AF1110" i="1"/>
  <c r="AF1111" i="1"/>
  <c r="AF1112" i="1"/>
  <c r="AF1113" i="1"/>
  <c r="AF1114" i="1"/>
  <c r="K37" i="34"/>
  <c r="K36" i="34"/>
  <c r="AF1103" i="1"/>
  <c r="AF1104" i="1"/>
  <c r="AF1105" i="1"/>
  <c r="N1073" i="26"/>
  <c r="N1072" i="26"/>
  <c r="N1071" i="26"/>
  <c r="N1070" i="26"/>
  <c r="N1063" i="26"/>
  <c r="N1064" i="26"/>
  <c r="N1065" i="26"/>
  <c r="N1066" i="26"/>
  <c r="N1067" i="26"/>
  <c r="N1068" i="26"/>
  <c r="N1069" i="26"/>
  <c r="N1062" i="26"/>
  <c r="N1061" i="26"/>
  <c r="N1059" i="26"/>
  <c r="N1060" i="26"/>
  <c r="M78" i="30"/>
  <c r="K78" i="30"/>
  <c r="E123" i="29"/>
  <c r="I123" i="29" s="1"/>
  <c r="B123" i="29"/>
  <c r="M77" i="30"/>
  <c r="K77" i="30"/>
  <c r="E122" i="29"/>
  <c r="I122" i="29" s="1"/>
  <c r="B122" i="29"/>
  <c r="M76" i="30"/>
  <c r="K76" i="30"/>
  <c r="E121" i="29"/>
  <c r="I121" i="29" s="1"/>
  <c r="B121" i="29"/>
  <c r="N1057" i="26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N1056" i="26"/>
  <c r="N1051" i="26"/>
  <c r="N1052" i="26"/>
  <c r="N1053" i="26"/>
  <c r="N1054" i="26"/>
  <c r="N1055" i="26"/>
  <c r="N1050" i="26"/>
  <c r="N1049" i="26"/>
  <c r="M75" i="30"/>
  <c r="K75" i="30"/>
  <c r="N1048" i="26"/>
  <c r="N1047" i="26"/>
  <c r="E120" i="29"/>
  <c r="I120" i="29" s="1"/>
  <c r="B120" i="29"/>
  <c r="AF1079" i="1"/>
  <c r="AF1080" i="1"/>
  <c r="AF1081" i="1"/>
  <c r="AF1082" i="1"/>
  <c r="AF1083" i="1"/>
  <c r="AF1084" i="1"/>
  <c r="AF1085" i="1"/>
  <c r="N1045" i="26"/>
  <c r="N1046" i="26"/>
  <c r="N1044" i="26"/>
  <c r="N1041" i="26"/>
  <c r="N1042" i="26"/>
  <c r="N1043" i="26"/>
  <c r="M74" i="30"/>
  <c r="K74" i="30"/>
  <c r="E119" i="29"/>
  <c r="I119" i="29" s="1"/>
  <c r="B119" i="29"/>
  <c r="M73" i="30"/>
  <c r="K73" i="30"/>
  <c r="E118" i="29"/>
  <c r="I118" i="29" s="1"/>
  <c r="B118" i="29"/>
  <c r="AF1072" i="1"/>
  <c r="AF1073" i="1"/>
  <c r="AF1074" i="1"/>
  <c r="AF1075" i="1"/>
  <c r="AF1076" i="1"/>
  <c r="AF1077" i="1"/>
  <c r="AF1078" i="1"/>
  <c r="N1037" i="26"/>
  <c r="N1038" i="26"/>
  <c r="N1039" i="26"/>
  <c r="N1040" i="26"/>
  <c r="N1036" i="26"/>
  <c r="D28" i="35"/>
  <c r="D27" i="35"/>
  <c r="M72" i="30"/>
  <c r="K72" i="30"/>
  <c r="E117" i="29"/>
  <c r="I117" i="29" s="1"/>
  <c r="B117" i="29"/>
  <c r="M71" i="30"/>
  <c r="K71" i="30"/>
  <c r="E116" i="29"/>
  <c r="I116" i="29" s="1"/>
  <c r="B116" i="29"/>
  <c r="AF1063" i="1"/>
  <c r="AF1064" i="1"/>
  <c r="AF1065" i="1"/>
  <c r="AF1066" i="1"/>
  <c r="AF1067" i="1"/>
  <c r="AF1068" i="1"/>
  <c r="AF1069" i="1"/>
  <c r="AF1070" i="1"/>
  <c r="AF1071" i="1"/>
  <c r="N1024" i="26"/>
  <c r="N1025" i="26"/>
  <c r="N1026" i="26"/>
  <c r="N1028" i="26"/>
  <c r="N1029" i="26"/>
  <c r="N1030" i="26"/>
  <c r="N1031" i="26"/>
  <c r="N1032" i="26"/>
  <c r="N1033" i="26"/>
  <c r="N1034" i="26"/>
  <c r="N1035" i="26"/>
  <c r="M70" i="30"/>
  <c r="K70" i="30"/>
  <c r="E115" i="29"/>
  <c r="I115" i="29" s="1"/>
  <c r="B115" i="29"/>
  <c r="M69" i="30"/>
  <c r="K69" i="30"/>
  <c r="E114" i="29"/>
  <c r="I114" i="29" s="1"/>
  <c r="B114" i="29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N1014" i="26"/>
  <c r="N1015" i="26"/>
  <c r="N1016" i="26"/>
  <c r="N1017" i="26"/>
  <c r="N1018" i="26"/>
  <c r="N1019" i="26"/>
  <c r="N1020" i="26"/>
  <c r="N1021" i="26"/>
  <c r="M68" i="30"/>
  <c r="K68" i="30"/>
  <c r="E113" i="29"/>
  <c r="I113" i="29" s="1"/>
  <c r="B113" i="29"/>
  <c r="M67" i="30"/>
  <c r="K67" i="30"/>
  <c r="E112" i="29"/>
  <c r="I112" i="29" s="1"/>
  <c r="B112" i="29"/>
  <c r="M66" i="30"/>
  <c r="K66" i="30"/>
  <c r="E111" i="29"/>
  <c r="I111" i="29" s="1"/>
  <c r="B111" i="29"/>
  <c r="M65" i="30"/>
  <c r="K65" i="30"/>
  <c r="E110" i="29"/>
  <c r="I110" i="29" s="1"/>
  <c r="B110" i="29"/>
  <c r="AF1041" i="1"/>
  <c r="AF1042" i="1"/>
  <c r="AF1043" i="1"/>
  <c r="AF1044" i="1"/>
  <c r="AF1045" i="1"/>
  <c r="AF1046" i="1"/>
  <c r="AF1047" i="1"/>
  <c r="N1013" i="26"/>
  <c r="N1012" i="26"/>
  <c r="M64" i="30"/>
  <c r="K64" i="30"/>
  <c r="E109" i="29"/>
  <c r="I109" i="29" s="1"/>
  <c r="B109" i="29"/>
  <c r="AF1039" i="1"/>
  <c r="AF1040" i="1"/>
  <c r="N1011" i="26"/>
  <c r="N1007" i="26"/>
  <c r="N1008" i="26"/>
  <c r="N1010" i="26"/>
  <c r="N1006" i="26"/>
  <c r="N1005" i="26"/>
  <c r="M63" i="30"/>
  <c r="K63" i="30"/>
  <c r="E108" i="29"/>
  <c r="I108" i="29" s="1"/>
  <c r="B108" i="29"/>
  <c r="M62" i="30"/>
  <c r="K62" i="30"/>
  <c r="E107" i="29"/>
  <c r="I107" i="29" s="1"/>
  <c r="B107" i="29"/>
  <c r="AF1033" i="1"/>
  <c r="AF1034" i="1"/>
  <c r="AF1035" i="1"/>
  <c r="AF1036" i="1"/>
  <c r="AF1037" i="1"/>
  <c r="AF1038" i="1"/>
  <c r="N998" i="26"/>
  <c r="N999" i="26"/>
  <c r="N1000" i="26"/>
  <c r="N1001" i="26"/>
  <c r="N1002" i="26"/>
  <c r="N1003" i="26"/>
  <c r="N1004" i="26"/>
  <c r="N997" i="26"/>
  <c r="M61" i="30"/>
  <c r="K61" i="30"/>
  <c r="M60" i="30"/>
  <c r="K60" i="30"/>
  <c r="E106" i="29"/>
  <c r="I106" i="29" s="1"/>
  <c r="B106" i="29"/>
  <c r="E105" i="29"/>
  <c r="I105" i="29" s="1"/>
  <c r="B105" i="29"/>
  <c r="AF1026" i="1"/>
  <c r="AF1027" i="1"/>
  <c r="AF1028" i="1"/>
  <c r="AF1029" i="1"/>
  <c r="AF1030" i="1"/>
  <c r="AF1031" i="1"/>
  <c r="AF1032" i="1"/>
  <c r="N991" i="26"/>
  <c r="N992" i="26"/>
  <c r="N993" i="26"/>
  <c r="N994" i="26"/>
  <c r="N995" i="26"/>
  <c r="N975" i="26"/>
  <c r="N976" i="26"/>
  <c r="N977" i="26"/>
  <c r="N978" i="26"/>
  <c r="N979" i="26"/>
  <c r="N980" i="26"/>
  <c r="N981" i="26"/>
  <c r="N982" i="26"/>
  <c r="N983" i="26"/>
  <c r="N984" i="26"/>
  <c r="N985" i="26"/>
  <c r="N986" i="26"/>
  <c r="N987" i="26"/>
  <c r="N988" i="26"/>
  <c r="N989" i="26"/>
  <c r="N990" i="26"/>
  <c r="N974" i="26"/>
  <c r="M59" i="30"/>
  <c r="K59" i="30"/>
  <c r="E104" i="29"/>
  <c r="I104" i="29" s="1"/>
  <c r="B104" i="29"/>
  <c r="M58" i="30"/>
  <c r="K58" i="30"/>
  <c r="E103" i="29"/>
  <c r="I103" i="29" s="1"/>
  <c r="B103" i="29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N970" i="26"/>
  <c r="N971" i="26"/>
  <c r="N972" i="26"/>
  <c r="N973" i="26"/>
  <c r="M57" i="30"/>
  <c r="K57" i="30"/>
  <c r="E102" i="29"/>
  <c r="I102" i="29" s="1"/>
  <c r="B102" i="29"/>
  <c r="M56" i="30"/>
  <c r="K56" i="30"/>
  <c r="B101" i="29"/>
  <c r="I101" i="29"/>
  <c r="AF998" i="1"/>
  <c r="AF999" i="1"/>
  <c r="AF1000" i="1"/>
  <c r="AF1001" i="1"/>
  <c r="AF1002" i="1"/>
  <c r="AF996" i="1"/>
  <c r="AF997" i="1"/>
  <c r="N962" i="26"/>
  <c r="N963" i="26"/>
  <c r="N964" i="26"/>
  <c r="N965" i="26"/>
  <c r="N966" i="26"/>
  <c r="N967" i="26"/>
  <c r="N968" i="26"/>
  <c r="N969" i="26"/>
  <c r="M55" i="30"/>
  <c r="K55" i="30"/>
  <c r="I100" i="29"/>
  <c r="B100" i="29"/>
  <c r="M54" i="30"/>
  <c r="K54" i="30"/>
  <c r="I99" i="29"/>
  <c r="B99" i="29"/>
  <c r="AF993" i="1"/>
  <c r="AF994" i="1"/>
  <c r="AF995" i="1"/>
  <c r="AF989" i="1"/>
  <c r="AF990" i="1"/>
  <c r="AF991" i="1"/>
  <c r="AF992" i="1"/>
  <c r="N956" i="26"/>
  <c r="N957" i="26"/>
  <c r="N958" i="26"/>
  <c r="N959" i="26"/>
  <c r="N960" i="26"/>
  <c r="N961" i="26"/>
  <c r="N954" i="26"/>
  <c r="N955" i="26"/>
  <c r="N953" i="26"/>
  <c r="M52" i="30"/>
  <c r="M51" i="30"/>
  <c r="M53" i="30"/>
  <c r="K53" i="30"/>
  <c r="K52" i="30"/>
  <c r="K51" i="30"/>
  <c r="E97" i="29"/>
  <c r="I97" i="29" s="1"/>
  <c r="B98" i="29"/>
  <c r="I98" i="29"/>
  <c r="B97" i="29"/>
  <c r="B96" i="29"/>
  <c r="I96" i="29"/>
  <c r="AF987" i="1"/>
  <c r="AF988" i="1"/>
  <c r="AF982" i="1"/>
  <c r="AF983" i="1"/>
  <c r="AF984" i="1"/>
  <c r="AF985" i="1"/>
  <c r="AF986" i="1"/>
  <c r="N944" i="26"/>
  <c r="N945" i="26"/>
  <c r="N946" i="26"/>
  <c r="N947" i="26"/>
  <c r="N948" i="26"/>
  <c r="N949" i="26"/>
  <c r="N950" i="26"/>
  <c r="N951" i="26"/>
  <c r="N952" i="26"/>
  <c r="N942" i="26"/>
  <c r="N943" i="26"/>
  <c r="N940" i="26"/>
  <c r="N941" i="26"/>
  <c r="M50" i="30"/>
  <c r="K50" i="30"/>
  <c r="B95" i="29"/>
  <c r="I95" i="29"/>
  <c r="M49" i="30"/>
  <c r="K49" i="30"/>
  <c r="B94" i="29"/>
  <c r="I94" i="29"/>
  <c r="M48" i="30"/>
  <c r="K48" i="30"/>
  <c r="B93" i="29"/>
  <c r="I93" i="29"/>
  <c r="AF980" i="1"/>
  <c r="AF981" i="1"/>
  <c r="AF971" i="1"/>
  <c r="AF972" i="1"/>
  <c r="AF973" i="1"/>
  <c r="AF974" i="1"/>
  <c r="AF975" i="1"/>
  <c r="AF976" i="1"/>
  <c r="AF977" i="1"/>
  <c r="AF978" i="1"/>
  <c r="AF979" i="1"/>
  <c r="AF970" i="1"/>
  <c r="N932" i="26"/>
  <c r="N933" i="26"/>
  <c r="N934" i="26"/>
  <c r="N935" i="26"/>
  <c r="N936" i="26"/>
  <c r="N937" i="26"/>
  <c r="N938" i="26"/>
  <c r="N939" i="26"/>
  <c r="N931" i="26"/>
  <c r="N930" i="26"/>
  <c r="N928" i="26"/>
  <c r="N929" i="26"/>
  <c r="M46" i="30"/>
  <c r="M47" i="30"/>
  <c r="K47" i="30"/>
  <c r="B92" i="29"/>
  <c r="I92" i="29"/>
  <c r="K46" i="30"/>
  <c r="B91" i="29"/>
  <c r="I91" i="29"/>
  <c r="AF966" i="1"/>
  <c r="AF967" i="1"/>
  <c r="AF968" i="1"/>
  <c r="AF969" i="1"/>
  <c r="AF960" i="1"/>
  <c r="AF961" i="1"/>
  <c r="AF962" i="1"/>
  <c r="AF963" i="1"/>
  <c r="AF964" i="1"/>
  <c r="AF965" i="1"/>
  <c r="N921" i="26"/>
  <c r="N922" i="26"/>
  <c r="N923" i="26"/>
  <c r="N924" i="26"/>
  <c r="N925" i="26"/>
  <c r="N926" i="26"/>
  <c r="N927" i="26"/>
  <c r="N918" i="26"/>
  <c r="N919" i="26"/>
  <c r="N920" i="26"/>
  <c r="N914" i="26"/>
  <c r="N915" i="26"/>
  <c r="N916" i="26"/>
  <c r="N917" i="26"/>
  <c r="N913" i="26"/>
  <c r="M45" i="30"/>
  <c r="K45" i="30"/>
  <c r="B90" i="29"/>
  <c r="I90" i="29"/>
  <c r="M44" i="30"/>
  <c r="K44" i="30"/>
  <c r="B89" i="29"/>
  <c r="I89" i="29"/>
  <c r="AF950" i="1"/>
  <c r="AF951" i="1"/>
  <c r="AF952" i="1"/>
  <c r="AF953" i="1"/>
  <c r="AF954" i="1"/>
  <c r="AF955" i="1"/>
  <c r="AF956" i="1"/>
  <c r="AF957" i="1"/>
  <c r="AF958" i="1"/>
  <c r="AF959" i="1"/>
  <c r="AF941" i="1"/>
  <c r="AF942" i="1"/>
  <c r="AF943" i="1"/>
  <c r="AF944" i="1"/>
  <c r="AF945" i="1"/>
  <c r="AF946" i="1"/>
  <c r="AF947" i="1"/>
  <c r="AF948" i="1"/>
  <c r="AF949" i="1"/>
  <c r="N909" i="26"/>
  <c r="N910" i="26"/>
  <c r="N911" i="26"/>
  <c r="N912" i="26"/>
  <c r="N908" i="26"/>
  <c r="K35" i="34"/>
  <c r="O3" i="5"/>
  <c r="O2" i="5" a="1"/>
  <c r="O2" i="5" s="1"/>
  <c r="M43" i="30"/>
  <c r="K43" i="30"/>
  <c r="M42" i="30"/>
  <c r="K42" i="30"/>
  <c r="B88" i="29"/>
  <c r="I88" i="29"/>
  <c r="B87" i="29"/>
  <c r="I87" i="29"/>
  <c r="AF939" i="1"/>
  <c r="AF940" i="1"/>
  <c r="AF934" i="1"/>
  <c r="AF935" i="1"/>
  <c r="AF936" i="1"/>
  <c r="AF937" i="1"/>
  <c r="AF938" i="1"/>
  <c r="N888" i="26"/>
  <c r="N889" i="26"/>
  <c r="N890" i="26"/>
  <c r="N891" i="26"/>
  <c r="N892" i="26"/>
  <c r="N893" i="26"/>
  <c r="N894" i="26"/>
  <c r="N895" i="26"/>
  <c r="N896" i="26"/>
  <c r="N897" i="26"/>
  <c r="N898" i="26"/>
  <c r="N899" i="26"/>
  <c r="N900" i="26"/>
  <c r="N901" i="26"/>
  <c r="N902" i="26"/>
  <c r="N903" i="26"/>
  <c r="N904" i="26"/>
  <c r="N905" i="26"/>
  <c r="N906" i="26"/>
  <c r="N907" i="26"/>
  <c r="N887" i="26"/>
  <c r="N885" i="26"/>
  <c r="N884" i="26"/>
  <c r="N883" i="26"/>
  <c r="N882" i="26"/>
  <c r="N881" i="26"/>
  <c r="N880" i="26"/>
  <c r="N879" i="26"/>
  <c r="N878" i="26"/>
  <c r="N877" i="26"/>
  <c r="N876" i="26"/>
  <c r="N875" i="26"/>
  <c r="N874" i="26"/>
  <c r="N873" i="26"/>
  <c r="N872" i="26"/>
  <c r="N871" i="26"/>
  <c r="N870" i="26"/>
  <c r="N869" i="26"/>
  <c r="N868" i="26"/>
  <c r="N867" i="26"/>
  <c r="N866" i="26"/>
  <c r="N865" i="26"/>
  <c r="N864" i="26"/>
  <c r="N863" i="26"/>
  <c r="N862" i="26"/>
  <c r="N861" i="26"/>
  <c r="N860" i="26"/>
  <c r="N859" i="26"/>
  <c r="N858" i="26"/>
  <c r="N857" i="26"/>
  <c r="N856" i="26"/>
  <c r="N855" i="26"/>
  <c r="N854" i="26"/>
  <c r="N853" i="26"/>
  <c r="N852" i="26"/>
  <c r="N851" i="26"/>
  <c r="N850" i="26"/>
  <c r="N849" i="26"/>
  <c r="N848" i="26"/>
  <c r="N847" i="26"/>
  <c r="N846" i="26"/>
  <c r="N845" i="26"/>
  <c r="N844" i="26"/>
  <c r="N843" i="26"/>
  <c r="N842" i="26"/>
  <c r="N841" i="26"/>
  <c r="N840" i="26"/>
  <c r="N839" i="26"/>
  <c r="N838" i="26"/>
  <c r="N837" i="26"/>
  <c r="N836" i="26"/>
  <c r="N835" i="26"/>
  <c r="N834" i="26"/>
  <c r="N833" i="26"/>
  <c r="N832" i="26"/>
  <c r="N831" i="26"/>
  <c r="N830" i="26"/>
  <c r="N829" i="26"/>
  <c r="N828" i="26"/>
  <c r="N827" i="26"/>
  <c r="N826" i="26"/>
  <c r="N825" i="26"/>
  <c r="N824" i="26"/>
  <c r="N823" i="26"/>
  <c r="N822" i="26"/>
  <c r="N821" i="26"/>
  <c r="N820" i="26"/>
  <c r="N819" i="26"/>
  <c r="N818" i="26"/>
  <c r="N817" i="26"/>
  <c r="N816" i="26"/>
  <c r="N815" i="26"/>
  <c r="N814" i="26"/>
  <c r="N813" i="26"/>
  <c r="N812" i="26"/>
  <c r="N811" i="26"/>
  <c r="N810" i="26"/>
  <c r="N809" i="26"/>
  <c r="N808" i="26"/>
  <c r="N807" i="26"/>
  <c r="N806" i="26"/>
  <c r="N805" i="26"/>
  <c r="N804" i="26"/>
  <c r="N803" i="26"/>
  <c r="N802" i="26"/>
  <c r="N801" i="26"/>
  <c r="N800" i="26"/>
  <c r="N799" i="26"/>
  <c r="N798" i="26"/>
  <c r="N797" i="26"/>
  <c r="N796" i="26"/>
  <c r="N795" i="26"/>
  <c r="N794" i="26"/>
  <c r="N793" i="26"/>
  <c r="N792" i="26"/>
  <c r="N791" i="26"/>
  <c r="N790" i="26"/>
  <c r="N789" i="26"/>
  <c r="N788" i="26"/>
  <c r="N787" i="26"/>
  <c r="N786" i="26"/>
  <c r="N785" i="26"/>
  <c r="N784" i="26"/>
  <c r="N783" i="26"/>
  <c r="N782" i="26"/>
  <c r="N781" i="26"/>
  <c r="N780" i="26"/>
  <c r="N779" i="26"/>
  <c r="N778" i="26"/>
  <c r="N777" i="26"/>
  <c r="N776" i="26"/>
  <c r="N775" i="26"/>
  <c r="N774" i="26"/>
  <c r="N773" i="26"/>
  <c r="N772" i="26"/>
  <c r="N771" i="26"/>
  <c r="N770" i="26"/>
  <c r="N769" i="26"/>
  <c r="N768" i="26"/>
  <c r="N767" i="26"/>
  <c r="N766" i="26"/>
  <c r="N765" i="26"/>
  <c r="N764" i="26"/>
  <c r="N763" i="26"/>
  <c r="N762" i="26"/>
  <c r="N761" i="26"/>
  <c r="N760" i="26"/>
  <c r="N759" i="26"/>
  <c r="N758" i="26"/>
  <c r="N757" i="26"/>
  <c r="N756" i="26"/>
  <c r="N755" i="26"/>
  <c r="N754" i="26"/>
  <c r="N753" i="26"/>
  <c r="N752" i="26"/>
  <c r="N751" i="26"/>
  <c r="N750" i="26"/>
  <c r="N749" i="26"/>
  <c r="N748" i="26"/>
  <c r="N747" i="26"/>
  <c r="N746" i="26"/>
  <c r="N745" i="26"/>
  <c r="N744" i="26"/>
  <c r="N743" i="26"/>
  <c r="N742" i="26"/>
  <c r="N741" i="26"/>
  <c r="N740" i="26"/>
  <c r="N739" i="26"/>
  <c r="N738" i="26"/>
  <c r="N737" i="26"/>
  <c r="N736" i="26"/>
  <c r="N735" i="26"/>
  <c r="N734" i="26"/>
  <c r="N733" i="26"/>
  <c r="N732" i="26"/>
  <c r="N731" i="26"/>
  <c r="N730" i="26"/>
  <c r="N729" i="26"/>
  <c r="N728" i="26"/>
  <c r="N727" i="26"/>
  <c r="N726" i="26"/>
  <c r="N725" i="26"/>
  <c r="N724" i="26"/>
  <c r="N723" i="26"/>
  <c r="N722" i="26"/>
  <c r="N721" i="26"/>
  <c r="N720" i="26"/>
  <c r="N719" i="26"/>
  <c r="N718" i="26"/>
  <c r="N717" i="26"/>
  <c r="N716" i="26"/>
  <c r="N715" i="26"/>
  <c r="N714" i="26"/>
  <c r="N713" i="26"/>
  <c r="N712" i="26"/>
  <c r="N711" i="26"/>
  <c r="N710" i="26"/>
  <c r="N709" i="26"/>
  <c r="N708" i="26"/>
  <c r="N707" i="26"/>
  <c r="N706" i="26"/>
  <c r="N705" i="26"/>
  <c r="N704" i="26"/>
  <c r="N703" i="26"/>
  <c r="N702" i="26"/>
  <c r="N701" i="26"/>
  <c r="N700" i="26"/>
  <c r="N699" i="26"/>
  <c r="N698" i="26"/>
  <c r="N697" i="26"/>
  <c r="N696" i="26"/>
  <c r="N695" i="26"/>
  <c r="N694" i="26"/>
  <c r="N693" i="26"/>
  <c r="N692" i="26"/>
  <c r="N691" i="26"/>
  <c r="N690" i="26"/>
  <c r="N689" i="26"/>
  <c r="N688" i="26"/>
  <c r="N687" i="26"/>
  <c r="N686" i="26"/>
  <c r="N685" i="26"/>
  <c r="N684" i="26"/>
  <c r="N683" i="26"/>
  <c r="N682" i="26"/>
  <c r="N681" i="26"/>
  <c r="N680" i="26"/>
  <c r="N679" i="26"/>
  <c r="N678" i="26"/>
  <c r="N677" i="26"/>
  <c r="N676" i="26"/>
  <c r="N675" i="26"/>
  <c r="N674" i="26"/>
  <c r="N673" i="26"/>
  <c r="N672" i="26"/>
  <c r="N671" i="26"/>
  <c r="N670" i="26"/>
  <c r="N669" i="26"/>
  <c r="N668" i="26"/>
  <c r="N667" i="26"/>
  <c r="N666" i="26"/>
  <c r="N665" i="26"/>
  <c r="N664" i="26"/>
  <c r="N663" i="26"/>
  <c r="N662" i="26"/>
  <c r="N661" i="26"/>
  <c r="N660" i="26"/>
  <c r="N659" i="26"/>
  <c r="N658" i="26"/>
  <c r="N657" i="26"/>
  <c r="N656" i="26"/>
  <c r="N655" i="26"/>
  <c r="N654" i="26"/>
  <c r="N653" i="26"/>
  <c r="N652" i="26"/>
  <c r="N651" i="26"/>
  <c r="N650" i="26"/>
  <c r="N649" i="26"/>
  <c r="N648" i="26"/>
  <c r="N647" i="26"/>
  <c r="N646" i="26"/>
  <c r="N645" i="26"/>
  <c r="N644" i="26"/>
  <c r="N643" i="26"/>
  <c r="N642" i="26"/>
  <c r="N641" i="26"/>
  <c r="N640" i="26"/>
  <c r="N639" i="26"/>
  <c r="N638" i="26"/>
  <c r="N637" i="26"/>
  <c r="N636" i="26"/>
  <c r="N635" i="26"/>
  <c r="N634" i="26"/>
  <c r="N633" i="26"/>
  <c r="N632" i="26"/>
  <c r="N631" i="26"/>
  <c r="N630" i="26"/>
  <c r="N629" i="26"/>
  <c r="N628" i="26"/>
  <c r="N627" i="26"/>
  <c r="N626" i="26"/>
  <c r="N625" i="26"/>
  <c r="N624" i="26"/>
  <c r="N623" i="26"/>
  <c r="N622" i="26"/>
  <c r="N621" i="26"/>
  <c r="N620" i="26"/>
  <c r="N619" i="26"/>
  <c r="N618" i="26"/>
  <c r="N617" i="26"/>
  <c r="N616" i="26"/>
  <c r="N615" i="26"/>
  <c r="N614" i="26"/>
  <c r="N613" i="26"/>
  <c r="N612" i="26"/>
  <c r="N611" i="26"/>
  <c r="N610" i="26"/>
  <c r="N609" i="26"/>
  <c r="N608" i="26"/>
  <c r="N607" i="26"/>
  <c r="N606" i="26"/>
  <c r="N605" i="26"/>
  <c r="N604" i="26"/>
  <c r="N603" i="26"/>
  <c r="N602" i="26"/>
  <c r="N601" i="26"/>
  <c r="N600" i="26"/>
  <c r="N599" i="26"/>
  <c r="N598" i="26"/>
  <c r="N597" i="26"/>
  <c r="N596" i="26"/>
  <c r="N595" i="26"/>
  <c r="N594" i="26"/>
  <c r="N593" i="26"/>
  <c r="N592" i="26"/>
  <c r="N591" i="26"/>
  <c r="N590" i="26"/>
  <c r="N589" i="26"/>
  <c r="N588" i="26"/>
  <c r="N587" i="26"/>
  <c r="N586" i="26"/>
  <c r="N585" i="26"/>
  <c r="N584" i="26"/>
  <c r="N583" i="26"/>
  <c r="N582" i="26"/>
  <c r="N581" i="26"/>
  <c r="N580" i="26"/>
  <c r="N579" i="26"/>
  <c r="N578" i="26"/>
  <c r="N577" i="26"/>
  <c r="N576" i="26"/>
  <c r="N575" i="26"/>
  <c r="N574" i="26"/>
  <c r="N573" i="26"/>
  <c r="N572" i="26"/>
  <c r="N571" i="26"/>
  <c r="N570" i="26"/>
  <c r="N569" i="26"/>
  <c r="N568" i="26"/>
  <c r="N567" i="26"/>
  <c r="N566" i="26"/>
  <c r="N565" i="26"/>
  <c r="N564" i="26"/>
  <c r="N563" i="26"/>
  <c r="N562" i="26"/>
  <c r="N561" i="26"/>
  <c r="N560" i="26"/>
  <c r="N559" i="26"/>
  <c r="N558" i="26"/>
  <c r="N557" i="26"/>
  <c r="N556" i="26"/>
  <c r="N555" i="26"/>
  <c r="N554" i="26"/>
  <c r="N553" i="26"/>
  <c r="N552" i="26"/>
  <c r="N551" i="26"/>
  <c r="N550" i="26"/>
  <c r="N549" i="26"/>
  <c r="N548" i="26"/>
  <c r="N547" i="26"/>
  <c r="N546" i="26"/>
  <c r="N545" i="26"/>
  <c r="N544" i="26"/>
  <c r="N543" i="26"/>
  <c r="N542" i="26"/>
  <c r="N541" i="26"/>
  <c r="N540" i="26"/>
  <c r="N539" i="26"/>
  <c r="N538" i="26"/>
  <c r="N537" i="26"/>
  <c r="N536" i="26"/>
  <c r="N535" i="26"/>
  <c r="N534" i="26"/>
  <c r="N533" i="26"/>
  <c r="N532" i="26"/>
  <c r="N531" i="26"/>
  <c r="N530" i="26"/>
  <c r="N529" i="26"/>
  <c r="N528" i="26"/>
  <c r="N527" i="26"/>
  <c r="N526" i="26"/>
  <c r="N525" i="26"/>
  <c r="N524" i="26"/>
  <c r="N523" i="26"/>
  <c r="N522" i="26"/>
  <c r="N521" i="26"/>
  <c r="N520" i="26"/>
  <c r="N519" i="26"/>
  <c r="N518" i="26"/>
  <c r="N517" i="26"/>
  <c r="N516" i="26"/>
  <c r="N515" i="26"/>
  <c r="N514" i="26"/>
  <c r="N513" i="26"/>
  <c r="N512" i="26"/>
  <c r="N511" i="26"/>
  <c r="N510" i="26"/>
  <c r="N509" i="26"/>
  <c r="N508" i="26"/>
  <c r="N507" i="26"/>
  <c r="N506" i="26"/>
  <c r="N505" i="26"/>
  <c r="N504" i="26"/>
  <c r="N503" i="26"/>
  <c r="N502" i="26"/>
  <c r="N501" i="26"/>
  <c r="N500" i="26"/>
  <c r="N499" i="26"/>
  <c r="N498" i="26"/>
  <c r="N497" i="26"/>
  <c r="N496" i="26"/>
  <c r="N495" i="26"/>
  <c r="N494" i="26"/>
  <c r="N493" i="26"/>
  <c r="N492" i="26"/>
  <c r="N491" i="26"/>
  <c r="N490" i="26"/>
  <c r="N489" i="26"/>
  <c r="N488" i="26"/>
  <c r="N487" i="26"/>
  <c r="N486" i="26"/>
  <c r="N485" i="26"/>
  <c r="N484" i="26"/>
  <c r="N483" i="26"/>
  <c r="N482" i="26"/>
  <c r="N481" i="26"/>
  <c r="N480" i="26"/>
  <c r="N479" i="26"/>
  <c r="N478" i="26"/>
  <c r="N477" i="26"/>
  <c r="N476" i="26"/>
  <c r="N475" i="26"/>
  <c r="N474" i="26"/>
  <c r="N473" i="26"/>
  <c r="N472" i="26"/>
  <c r="N471" i="26"/>
  <c r="N470" i="26"/>
  <c r="N469" i="26"/>
  <c r="N468" i="26"/>
  <c r="N467" i="26"/>
  <c r="N466" i="26"/>
  <c r="N465" i="26"/>
  <c r="N464" i="26"/>
  <c r="N463" i="26"/>
  <c r="N462" i="26"/>
  <c r="N461" i="26"/>
  <c r="N460" i="26"/>
  <c r="N459" i="26"/>
  <c r="N458" i="26"/>
  <c r="N457" i="26"/>
  <c r="N456" i="26"/>
  <c r="N455" i="26"/>
  <c r="N454" i="26"/>
  <c r="N453" i="26"/>
  <c r="N452" i="26"/>
  <c r="N451" i="26"/>
  <c r="N450" i="26"/>
  <c r="N449" i="26"/>
  <c r="N448" i="26"/>
  <c r="N447" i="26"/>
  <c r="N446" i="26"/>
  <c r="N445" i="26"/>
  <c r="N444" i="26"/>
  <c r="N443" i="26"/>
  <c r="N442" i="26"/>
  <c r="N441" i="26"/>
  <c r="N440" i="26"/>
  <c r="N439" i="26"/>
  <c r="N438" i="26"/>
  <c r="N437" i="26"/>
  <c r="N436" i="26"/>
  <c r="N435" i="26"/>
  <c r="N434" i="26"/>
  <c r="N433" i="26"/>
  <c r="N432" i="26"/>
  <c r="N431" i="26"/>
  <c r="N430" i="26"/>
  <c r="N429" i="26"/>
  <c r="N428" i="26"/>
  <c r="N427" i="26"/>
  <c r="N426" i="26"/>
  <c r="N425" i="26"/>
  <c r="N424" i="26"/>
  <c r="N423" i="26"/>
  <c r="N422" i="26"/>
  <c r="N421" i="26"/>
  <c r="N420" i="26"/>
  <c r="N419" i="26"/>
  <c r="N418" i="26"/>
  <c r="N417" i="26"/>
  <c r="N416" i="26"/>
  <c r="N415" i="26"/>
  <c r="N414" i="26"/>
  <c r="N413" i="26"/>
  <c r="N412" i="26"/>
  <c r="N411" i="26"/>
  <c r="N410" i="26"/>
  <c r="N409" i="26"/>
  <c r="N408" i="26"/>
  <c r="N407" i="26"/>
  <c r="N406" i="26"/>
  <c r="N405" i="26"/>
  <c r="N404" i="26"/>
  <c r="N403" i="26"/>
  <c r="N402" i="26"/>
  <c r="N401" i="26"/>
  <c r="N400" i="26"/>
  <c r="N399" i="26"/>
  <c r="N398" i="26"/>
  <c r="N397" i="26"/>
  <c r="N396" i="26"/>
  <c r="N395" i="26"/>
  <c r="N394" i="26"/>
  <c r="N393" i="26"/>
  <c r="N392" i="26"/>
  <c r="N391" i="26"/>
  <c r="N390" i="26"/>
  <c r="N389" i="26"/>
  <c r="N388" i="26"/>
  <c r="N387" i="26"/>
  <c r="N386" i="26"/>
  <c r="N385" i="26"/>
  <c r="N384" i="26"/>
  <c r="N383" i="26"/>
  <c r="N382" i="26"/>
  <c r="N381" i="26"/>
  <c r="N380" i="26"/>
  <c r="N379" i="26"/>
  <c r="N378" i="26"/>
  <c r="N377" i="26"/>
  <c r="N376" i="26"/>
  <c r="N375" i="26"/>
  <c r="N374" i="26"/>
  <c r="N373" i="26"/>
  <c r="N372" i="26"/>
  <c r="N371" i="26"/>
  <c r="N370" i="26"/>
  <c r="N369" i="26"/>
  <c r="N368" i="26"/>
  <c r="N367" i="26"/>
  <c r="N366" i="26"/>
  <c r="N365" i="26"/>
  <c r="N364" i="26"/>
  <c r="N363" i="26"/>
  <c r="N362" i="26"/>
  <c r="N361" i="26"/>
  <c r="N360" i="26"/>
  <c r="N359" i="26"/>
  <c r="N358" i="26"/>
  <c r="N357" i="26"/>
  <c r="N356" i="26"/>
  <c r="N355" i="26"/>
  <c r="N354" i="26"/>
  <c r="N353" i="26"/>
  <c r="N352" i="26"/>
  <c r="N351" i="26"/>
  <c r="N350" i="26"/>
  <c r="N349" i="26"/>
  <c r="N348" i="26"/>
  <c r="N347" i="26"/>
  <c r="N346" i="26"/>
  <c r="N345" i="26"/>
  <c r="N344" i="26"/>
  <c r="N343" i="26"/>
  <c r="N342" i="26"/>
  <c r="N341" i="26"/>
  <c r="N340" i="26"/>
  <c r="N339" i="26"/>
  <c r="N338" i="26"/>
  <c r="N337" i="26"/>
  <c r="N336" i="26"/>
  <c r="N335" i="26"/>
  <c r="N334" i="26"/>
  <c r="N333" i="26"/>
  <c r="N332" i="26"/>
  <c r="N331" i="26"/>
  <c r="N330" i="26"/>
  <c r="N329" i="26"/>
  <c r="N328" i="26"/>
  <c r="N327" i="26"/>
  <c r="N326" i="26"/>
  <c r="N325" i="26"/>
  <c r="N324" i="26"/>
  <c r="N323" i="26"/>
  <c r="N322" i="26"/>
  <c r="N321" i="26"/>
  <c r="N320" i="26"/>
  <c r="N319" i="26"/>
  <c r="N318" i="26"/>
  <c r="N317" i="26"/>
  <c r="N316" i="26"/>
  <c r="N315" i="26"/>
  <c r="N314" i="26"/>
  <c r="N313" i="26"/>
  <c r="N312" i="26"/>
  <c r="N311" i="26"/>
  <c r="N310" i="26"/>
  <c r="N309" i="26"/>
  <c r="N308" i="26"/>
  <c r="N307" i="26"/>
  <c r="N306" i="26"/>
  <c r="N305" i="26"/>
  <c r="N304" i="26"/>
  <c r="N303" i="26"/>
  <c r="N302" i="26"/>
  <c r="N301" i="26"/>
  <c r="N300" i="26"/>
  <c r="N299" i="26"/>
  <c r="N298" i="26"/>
  <c r="N297" i="26"/>
  <c r="N296" i="26"/>
  <c r="N295" i="26"/>
  <c r="N294" i="26"/>
  <c r="N293" i="26"/>
  <c r="N292" i="26"/>
  <c r="N291" i="26"/>
  <c r="N290" i="26"/>
  <c r="N289" i="26"/>
  <c r="N288" i="26"/>
  <c r="N287" i="26"/>
  <c r="N286" i="26"/>
  <c r="N285" i="26"/>
  <c r="N284" i="26"/>
  <c r="N283" i="26"/>
  <c r="N282" i="26"/>
  <c r="N281" i="26"/>
  <c r="N280" i="26"/>
  <c r="N279" i="26"/>
  <c r="N278" i="26"/>
  <c r="N277" i="26"/>
  <c r="N276" i="26"/>
  <c r="N275" i="26"/>
  <c r="N274" i="26"/>
  <c r="N273" i="26"/>
  <c r="N272" i="26"/>
  <c r="N271" i="26"/>
  <c r="N270" i="26"/>
  <c r="N269" i="26"/>
  <c r="N268" i="26"/>
  <c r="N267" i="26"/>
  <c r="N266" i="26"/>
  <c r="N265" i="26"/>
  <c r="N264" i="26"/>
  <c r="N263" i="26"/>
  <c r="N262" i="26"/>
  <c r="N261" i="26"/>
  <c r="N260" i="26"/>
  <c r="N259" i="26"/>
  <c r="N258" i="26"/>
  <c r="N257" i="26"/>
  <c r="N256" i="26"/>
  <c r="N255" i="26"/>
  <c r="N254" i="26"/>
  <c r="N253" i="26"/>
  <c r="N252" i="26"/>
  <c r="N251" i="26"/>
  <c r="N250" i="26"/>
  <c r="N249" i="26"/>
  <c r="N248" i="26"/>
  <c r="N247" i="26"/>
  <c r="N246" i="26"/>
  <c r="N245" i="26"/>
  <c r="N244" i="26"/>
  <c r="N243" i="26"/>
  <c r="N242" i="26"/>
  <c r="N241" i="26"/>
  <c r="N240" i="26"/>
  <c r="N239" i="26"/>
  <c r="N238" i="26"/>
  <c r="N237" i="26"/>
  <c r="N236" i="26"/>
  <c r="N235" i="26"/>
  <c r="N234" i="26"/>
  <c r="N233" i="26"/>
  <c r="N232" i="26"/>
  <c r="N231" i="26"/>
  <c r="N230" i="26"/>
  <c r="N229" i="26"/>
  <c r="N228" i="26"/>
  <c r="N227" i="26"/>
  <c r="N226" i="26"/>
  <c r="N225" i="26"/>
  <c r="N224" i="26"/>
  <c r="N223" i="26"/>
  <c r="N222" i="26"/>
  <c r="N221" i="26"/>
  <c r="N220" i="26"/>
  <c r="N219" i="26"/>
  <c r="N218" i="26"/>
  <c r="N217" i="26"/>
  <c r="N216" i="26"/>
  <c r="N215" i="26"/>
  <c r="N214" i="26"/>
  <c r="N213" i="26"/>
  <c r="N212" i="26"/>
  <c r="N211" i="26"/>
  <c r="N210" i="26"/>
  <c r="N209" i="26"/>
  <c r="N208" i="26"/>
  <c r="N207" i="26"/>
  <c r="N206" i="26"/>
  <c r="N205" i="26"/>
  <c r="N204" i="26"/>
  <c r="N203" i="26"/>
  <c r="N202" i="26"/>
  <c r="N201" i="26"/>
  <c r="N200" i="26"/>
  <c r="N199" i="26"/>
  <c r="N198" i="26"/>
  <c r="N197" i="26"/>
  <c r="N196" i="26"/>
  <c r="N195" i="26"/>
  <c r="N194" i="26"/>
  <c r="N193" i="26"/>
  <c r="N192" i="26"/>
  <c r="N191" i="26"/>
  <c r="N190" i="26"/>
  <c r="N189" i="26"/>
  <c r="N188" i="26"/>
  <c r="N187" i="26"/>
  <c r="N186" i="26"/>
  <c r="N185" i="26"/>
  <c r="N184" i="26"/>
  <c r="N183" i="26"/>
  <c r="N182" i="26"/>
  <c r="N181" i="26"/>
  <c r="N180" i="26"/>
  <c r="N179" i="26"/>
  <c r="N178" i="26"/>
  <c r="N177" i="26"/>
  <c r="N176" i="26"/>
  <c r="N175" i="26"/>
  <c r="N174" i="26"/>
  <c r="N173" i="26"/>
  <c r="N172" i="26"/>
  <c r="N171" i="26"/>
  <c r="N170" i="26"/>
  <c r="N169" i="26"/>
  <c r="N168" i="26"/>
  <c r="N167" i="26"/>
  <c r="N166" i="26"/>
  <c r="N165" i="26"/>
  <c r="N164" i="26"/>
  <c r="N163" i="26"/>
  <c r="N162" i="26"/>
  <c r="N161" i="26"/>
  <c r="N160" i="26"/>
  <c r="N159" i="26"/>
  <c r="N158" i="26"/>
  <c r="N157" i="26"/>
  <c r="N156" i="26"/>
  <c r="N155" i="26"/>
  <c r="N154" i="26"/>
  <c r="N153" i="26"/>
  <c r="N152" i="26"/>
  <c r="N151" i="26"/>
  <c r="N150" i="26"/>
  <c r="N149" i="26"/>
  <c r="N148" i="26"/>
  <c r="N147" i="26"/>
  <c r="N146" i="26"/>
  <c r="N145" i="26"/>
  <c r="N144" i="26"/>
  <c r="N143" i="26"/>
  <c r="N142" i="26"/>
  <c r="N141" i="26"/>
  <c r="N140" i="26"/>
  <c r="N139" i="26"/>
  <c r="N138" i="26"/>
  <c r="N137" i="26"/>
  <c r="N136" i="26"/>
  <c r="N135" i="26"/>
  <c r="N134" i="26"/>
  <c r="N133" i="26"/>
  <c r="N132" i="26"/>
  <c r="N131" i="26"/>
  <c r="N130" i="26"/>
  <c r="N129" i="26"/>
  <c r="N128" i="26"/>
  <c r="N127" i="26"/>
  <c r="N126" i="26"/>
  <c r="N125" i="26"/>
  <c r="N124" i="26"/>
  <c r="N123" i="26"/>
  <c r="N122" i="26"/>
  <c r="N121" i="26"/>
  <c r="N120" i="26"/>
  <c r="N119" i="26"/>
  <c r="N118" i="26"/>
  <c r="N117" i="26"/>
  <c r="N116" i="26"/>
  <c r="N115" i="26"/>
  <c r="N114" i="26"/>
  <c r="N113" i="26"/>
  <c r="N112" i="26"/>
  <c r="N111" i="26"/>
  <c r="N110" i="26"/>
  <c r="N109" i="26"/>
  <c r="N108" i="26"/>
  <c r="N107" i="26"/>
  <c r="N106" i="26"/>
  <c r="N105" i="26"/>
  <c r="N104" i="26"/>
  <c r="N103" i="26"/>
  <c r="N102" i="26"/>
  <c r="N101" i="26"/>
  <c r="N100" i="26"/>
  <c r="N99" i="26"/>
  <c r="N98" i="26"/>
  <c r="N97" i="26"/>
  <c r="N96" i="26"/>
  <c r="N95" i="26"/>
  <c r="N94" i="26"/>
  <c r="N93" i="26"/>
  <c r="N92" i="26"/>
  <c r="N91" i="26"/>
  <c r="N90" i="26"/>
  <c r="N89" i="26"/>
  <c r="N88" i="26"/>
  <c r="N87" i="26"/>
  <c r="N86" i="26"/>
  <c r="N85" i="26"/>
  <c r="N84" i="26"/>
  <c r="N83" i="26"/>
  <c r="N82" i="26"/>
  <c r="N81" i="26"/>
  <c r="N80" i="26"/>
  <c r="N79" i="26"/>
  <c r="N78" i="26"/>
  <c r="N77" i="26"/>
  <c r="N76" i="26"/>
  <c r="N75" i="26"/>
  <c r="N74" i="26"/>
  <c r="N73" i="26"/>
  <c r="N72" i="26"/>
  <c r="N71" i="26"/>
  <c r="N70" i="26"/>
  <c r="N69" i="26"/>
  <c r="N68" i="26"/>
  <c r="N67" i="26"/>
  <c r="N66" i="26"/>
  <c r="N65" i="26"/>
  <c r="N64" i="26"/>
  <c r="N63" i="26"/>
  <c r="N62" i="26"/>
  <c r="N61" i="26"/>
  <c r="N60" i="26"/>
  <c r="N59" i="26"/>
  <c r="N58" i="26"/>
  <c r="N57" i="26"/>
  <c r="N56" i="26"/>
  <c r="N55" i="26"/>
  <c r="N54" i="26"/>
  <c r="N53" i="26"/>
  <c r="N52" i="26"/>
  <c r="N51" i="26"/>
  <c r="N50" i="26"/>
  <c r="N49" i="26"/>
  <c r="N48" i="26"/>
  <c r="N47" i="26"/>
  <c r="N46" i="26"/>
  <c r="N45" i="26"/>
  <c r="N44" i="26"/>
  <c r="N43" i="26"/>
  <c r="N42" i="26"/>
  <c r="N41" i="26"/>
  <c r="N40" i="26"/>
  <c r="N39" i="26"/>
  <c r="N38" i="26"/>
  <c r="N37" i="26"/>
  <c r="N36" i="26"/>
  <c r="N35" i="26"/>
  <c r="N34" i="26"/>
  <c r="N33" i="26"/>
  <c r="N32" i="26"/>
  <c r="N31" i="26"/>
  <c r="N30" i="26"/>
  <c r="N29" i="26"/>
  <c r="N28" i="26"/>
  <c r="N27" i="26"/>
  <c r="N26" i="26"/>
  <c r="N25" i="26"/>
  <c r="N24" i="26"/>
  <c r="N23" i="26"/>
  <c r="N22" i="26"/>
  <c r="N21" i="26"/>
  <c r="N20" i="26"/>
  <c r="N19" i="26"/>
  <c r="N18" i="26"/>
  <c r="N17" i="26"/>
  <c r="N16" i="26"/>
  <c r="N15" i="26"/>
  <c r="N14" i="26"/>
  <c r="N13" i="26"/>
  <c r="M41" i="30"/>
  <c r="K41" i="30"/>
  <c r="B86" i="29"/>
  <c r="I86" i="29"/>
  <c r="M125" i="30"/>
  <c r="AF931" i="1"/>
  <c r="AF932" i="1"/>
  <c r="AF933" i="1"/>
  <c r="N886" i="26"/>
  <c r="M124" i="30"/>
  <c r="H12" i="28"/>
  <c r="F6" i="28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P2" i="30"/>
  <c r="M35" i="30"/>
  <c r="M40" i="30"/>
  <c r="M39" i="30"/>
  <c r="M38" i="30"/>
  <c r="M37" i="30"/>
  <c r="M36" i="30"/>
  <c r="M34" i="30"/>
  <c r="M33" i="30"/>
  <c r="M32" i="30"/>
  <c r="F6" i="30"/>
  <c r="N165" i="30" s="1"/>
  <c r="K40" i="30"/>
  <c r="K39" i="30"/>
  <c r="K38" i="30"/>
  <c r="K37" i="30"/>
  <c r="K36" i="30"/>
  <c r="K35" i="30"/>
  <c r="K34" i="30"/>
  <c r="K33" i="30"/>
  <c r="K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F3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K3" i="30"/>
  <c r="B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I77" i="29"/>
  <c r="I78" i="29"/>
  <c r="I79" i="29"/>
  <c r="I80" i="29"/>
  <c r="I81" i="29"/>
  <c r="I82" i="29"/>
  <c r="I83" i="29"/>
  <c r="I84" i="29"/>
  <c r="I85" i="29"/>
  <c r="A6" i="7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K34" i="34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7" i="29"/>
  <c r="I6" i="29"/>
  <c r="I5" i="29"/>
  <c r="I4" i="29"/>
  <c r="I3" i="29"/>
  <c r="I2" i="29"/>
  <c r="I76" i="29"/>
  <c r="AF890" i="1"/>
  <c r="AF886" i="1"/>
  <c r="AF887" i="1"/>
  <c r="AF888" i="1"/>
  <c r="AF889" i="1"/>
  <c r="F5" i="30"/>
  <c r="AF878" i="1"/>
  <c r="AF879" i="1"/>
  <c r="AF880" i="1"/>
  <c r="AF881" i="1"/>
  <c r="AF882" i="1"/>
  <c r="AF883" i="1"/>
  <c r="AF884" i="1"/>
  <c r="AF885" i="1"/>
  <c r="AF872" i="1"/>
  <c r="AF873" i="1"/>
  <c r="AF874" i="1"/>
  <c r="AF875" i="1"/>
  <c r="AF876" i="1"/>
  <c r="AF877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54" i="1"/>
  <c r="AF855" i="1"/>
  <c r="AF856" i="1"/>
  <c r="H4" i="26"/>
  <c r="H3" i="26"/>
  <c r="AF852" i="1"/>
  <c r="AF853" i="1"/>
  <c r="AF851" i="1"/>
  <c r="AF844" i="1"/>
  <c r="AF845" i="1"/>
  <c r="AF846" i="1"/>
  <c r="AF847" i="1"/>
  <c r="AF848" i="1"/>
  <c r="AF849" i="1"/>
  <c r="AF850" i="1"/>
  <c r="AF841" i="1"/>
  <c r="AF842" i="1"/>
  <c r="AF843" i="1"/>
  <c r="K2" i="34"/>
  <c r="N2" i="34" s="1"/>
  <c r="K3" i="34"/>
  <c r="N3" i="34" s="1"/>
  <c r="O3" i="34" s="1"/>
  <c r="K4" i="34"/>
  <c r="K5" i="34"/>
  <c r="K6" i="34"/>
  <c r="K7" i="34"/>
  <c r="K8" i="34"/>
  <c r="K9" i="34"/>
  <c r="K10" i="34"/>
  <c r="N10" i="34" s="1"/>
  <c r="O10" i="34" s="1"/>
  <c r="K11" i="34"/>
  <c r="K12" i="34"/>
  <c r="K13" i="34"/>
  <c r="N13" i="34" s="1"/>
  <c r="M13" i="34" s="1"/>
  <c r="K14" i="34"/>
  <c r="N14" i="34" s="1"/>
  <c r="J15" i="34"/>
  <c r="K15" i="34"/>
  <c r="K16" i="34"/>
  <c r="K17" i="34"/>
  <c r="K18" i="34"/>
  <c r="N18" i="34" s="1"/>
  <c r="O18" i="34" s="1"/>
  <c r="K19" i="34"/>
  <c r="K20" i="34"/>
  <c r="K21" i="34"/>
  <c r="N21" i="34" s="1"/>
  <c r="M21" i="34" s="1"/>
  <c r="K22" i="34"/>
  <c r="K23" i="34"/>
  <c r="K24" i="34"/>
  <c r="K26" i="34"/>
  <c r="K27" i="34"/>
  <c r="N27" i="34" s="1"/>
  <c r="O27" i="34" s="1"/>
  <c r="K28" i="34"/>
  <c r="N28" i="34" s="1"/>
  <c r="O28" i="34" s="1"/>
  <c r="K29" i="34"/>
  <c r="K30" i="34"/>
  <c r="N30" i="34" s="1"/>
  <c r="K31" i="34"/>
  <c r="K32" i="34"/>
  <c r="K33" i="34"/>
  <c r="F4" i="30"/>
  <c r="E8" i="29"/>
  <c r="I8" i="29" s="1"/>
  <c r="E9" i="29"/>
  <c r="I9" i="29" s="1"/>
  <c r="H60" i="29"/>
  <c r="I60" i="29" s="1"/>
  <c r="D14" i="28"/>
  <c r="L14" i="28"/>
  <c r="AF836" i="1"/>
  <c r="AF837" i="1"/>
  <c r="AF838" i="1"/>
  <c r="AF839" i="1"/>
  <c r="AF840" i="1"/>
  <c r="AF831" i="1"/>
  <c r="AF832" i="1"/>
  <c r="AF833" i="1"/>
  <c r="AF834" i="1"/>
  <c r="AF835" i="1"/>
  <c r="AF823" i="1"/>
  <c r="AF824" i="1"/>
  <c r="AF825" i="1"/>
  <c r="AF826" i="1"/>
  <c r="AF827" i="1"/>
  <c r="AF828" i="1"/>
  <c r="AF829" i="1"/>
  <c r="AF830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796" i="1"/>
  <c r="AF791" i="1"/>
  <c r="AF792" i="1"/>
  <c r="AF793" i="1"/>
  <c r="AF794" i="1"/>
  <c r="AF795" i="1"/>
  <c r="AF787" i="1"/>
  <c r="AF788" i="1"/>
  <c r="AF789" i="1"/>
  <c r="AF790" i="1"/>
  <c r="AF782" i="1"/>
  <c r="AF783" i="1"/>
  <c r="AF784" i="1"/>
  <c r="AF785" i="1"/>
  <c r="AF786" i="1"/>
  <c r="AF773" i="1"/>
  <c r="AF774" i="1"/>
  <c r="AF775" i="1"/>
  <c r="AF776" i="1"/>
  <c r="AF777" i="1"/>
  <c r="AF778" i="1"/>
  <c r="AF779" i="1"/>
  <c r="AF780" i="1"/>
  <c r="AF781" i="1"/>
  <c r="AF768" i="1"/>
  <c r="AF769" i="1"/>
  <c r="AF770" i="1"/>
  <c r="AF771" i="1"/>
  <c r="AF772" i="1"/>
  <c r="AF761" i="1"/>
  <c r="AF762" i="1"/>
  <c r="AF763" i="1"/>
  <c r="AF764" i="1"/>
  <c r="AF765" i="1"/>
  <c r="AF766" i="1"/>
  <c r="AF767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39" i="1"/>
  <c r="AF740" i="1"/>
  <c r="AF741" i="1"/>
  <c r="AF742" i="1"/>
  <c r="AF743" i="1"/>
  <c r="AF744" i="1"/>
  <c r="AF745" i="1"/>
  <c r="AF746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697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7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F654" i="1"/>
  <c r="AF648" i="1"/>
  <c r="AF649" i="1"/>
  <c r="AF650" i="1"/>
  <c r="AF651" i="1"/>
  <c r="AF652" i="1"/>
  <c r="AF653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25" i="1"/>
  <c r="AF626" i="1"/>
  <c r="AF627" i="1"/>
  <c r="AF628" i="1"/>
  <c r="AF629" i="1"/>
  <c r="AF630" i="1"/>
  <c r="AF631" i="1"/>
  <c r="AF632" i="1"/>
  <c r="AF624" i="1"/>
  <c r="AF618" i="1"/>
  <c r="AF619" i="1"/>
  <c r="AF620" i="1"/>
  <c r="AF621" i="1"/>
  <c r="AF622" i="1"/>
  <c r="AF623" i="1"/>
  <c r="AF613" i="1"/>
  <c r="AF614" i="1"/>
  <c r="AF615" i="1"/>
  <c r="AF616" i="1"/>
  <c r="AF617" i="1"/>
  <c r="AF608" i="1"/>
  <c r="AF609" i="1"/>
  <c r="AF610" i="1"/>
  <c r="AF611" i="1"/>
  <c r="AF612" i="1"/>
  <c r="AF603" i="1"/>
  <c r="AF604" i="1"/>
  <c r="AF605" i="1"/>
  <c r="AF606" i="1"/>
  <c r="AF607" i="1"/>
  <c r="AF600" i="1"/>
  <c r="AF601" i="1"/>
  <c r="AF602" i="1"/>
  <c r="AF599" i="1"/>
  <c r="AF597" i="1"/>
  <c r="AF598" i="1"/>
  <c r="AF596" i="1"/>
  <c r="AF589" i="1"/>
  <c r="AF588" i="1"/>
  <c r="AF590" i="1"/>
  <c r="AF591" i="1"/>
  <c r="AF592" i="1"/>
  <c r="AF593" i="1"/>
  <c r="AF594" i="1"/>
  <c r="AF595" i="1"/>
  <c r="AF587" i="1"/>
  <c r="AF579" i="1"/>
  <c r="AF580" i="1"/>
  <c r="AF581" i="1"/>
  <c r="AF582" i="1"/>
  <c r="AF583" i="1"/>
  <c r="AF584" i="1"/>
  <c r="AF585" i="1"/>
  <c r="AF586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60" i="1"/>
  <c r="AF561" i="1"/>
  <c r="AF550" i="1"/>
  <c r="AF551" i="1"/>
  <c r="AF552" i="1"/>
  <c r="AF553" i="1"/>
  <c r="AF554" i="1"/>
  <c r="AF555" i="1"/>
  <c r="AF556" i="1"/>
  <c r="AF557" i="1"/>
  <c r="AF558" i="1"/>
  <c r="AF559" i="1"/>
  <c r="AF549" i="1"/>
  <c r="AF541" i="1"/>
  <c r="AF542" i="1"/>
  <c r="AF543" i="1"/>
  <c r="AF544" i="1"/>
  <c r="AF545" i="1"/>
  <c r="AF546" i="1"/>
  <c r="AF547" i="1"/>
  <c r="AF548" i="1"/>
  <c r="AF538" i="1"/>
  <c r="AF539" i="1"/>
  <c r="AF540" i="1"/>
  <c r="AF536" i="1"/>
  <c r="AF537" i="1"/>
  <c r="AF532" i="1"/>
  <c r="AF533" i="1"/>
  <c r="AF534" i="1"/>
  <c r="AF535" i="1"/>
  <c r="AF531" i="1"/>
  <c r="AF522" i="1"/>
  <c r="AF523" i="1"/>
  <c r="AF524" i="1"/>
  <c r="AF525" i="1"/>
  <c r="AF526" i="1"/>
  <c r="AF527" i="1"/>
  <c r="AF528" i="1"/>
  <c r="AF529" i="1"/>
  <c r="AF530" i="1"/>
  <c r="AF521" i="1"/>
  <c r="AF520" i="1"/>
  <c r="AF513" i="1"/>
  <c r="AF514" i="1"/>
  <c r="AF515" i="1"/>
  <c r="AF516" i="1"/>
  <c r="AF517" i="1"/>
  <c r="AF518" i="1"/>
  <c r="AF519" i="1"/>
  <c r="AF509" i="1"/>
  <c r="AF510" i="1"/>
  <c r="AF511" i="1"/>
  <c r="AF512" i="1"/>
  <c r="AF503" i="1"/>
  <c r="AF504" i="1"/>
  <c r="AF505" i="1"/>
  <c r="AF506" i="1"/>
  <c r="AF507" i="1"/>
  <c r="AF508" i="1"/>
  <c r="AF420" i="1"/>
  <c r="AF333" i="1"/>
  <c r="AF501" i="1"/>
  <c r="AF502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485" i="1"/>
  <c r="AF486" i="1"/>
  <c r="AF476" i="1"/>
  <c r="AF477" i="1"/>
  <c r="AF478" i="1"/>
  <c r="AF479" i="1"/>
  <c r="AF480" i="1"/>
  <c r="AF481" i="1"/>
  <c r="AF482" i="1"/>
  <c r="AF483" i="1"/>
  <c r="AF484" i="1"/>
  <c r="AF288" i="1"/>
  <c r="AF272" i="1"/>
  <c r="AF264" i="1"/>
  <c r="AF256" i="1"/>
  <c r="AF248" i="1"/>
  <c r="AF224" i="1"/>
  <c r="AF200" i="1"/>
  <c r="AF184" i="1"/>
  <c r="AF176" i="1"/>
  <c r="AF168" i="1"/>
  <c r="AF136" i="1"/>
  <c r="AF120" i="1"/>
  <c r="AF112" i="1"/>
  <c r="AF96" i="1"/>
  <c r="AF82" i="1"/>
  <c r="AF74" i="1"/>
  <c r="AF72" i="1"/>
  <c r="AF64" i="1"/>
  <c r="AF48" i="1"/>
  <c r="AF42" i="1"/>
  <c r="AF40" i="1"/>
  <c r="AF26" i="1"/>
  <c r="AF24" i="1"/>
  <c r="AF8" i="1"/>
  <c r="AF475" i="1"/>
  <c r="AF465" i="1"/>
  <c r="AF466" i="1"/>
  <c r="AF467" i="1"/>
  <c r="AF468" i="1"/>
  <c r="AF469" i="1"/>
  <c r="AF470" i="1"/>
  <c r="AF471" i="1"/>
  <c r="AF472" i="1"/>
  <c r="AF473" i="1"/>
  <c r="AF474" i="1"/>
  <c r="AF463" i="1"/>
  <c r="AF464" i="1"/>
  <c r="AF459" i="1"/>
  <c r="AF460" i="1"/>
  <c r="AF461" i="1"/>
  <c r="AF462" i="1"/>
  <c r="AF458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41" i="1"/>
  <c r="AF442" i="1"/>
  <c r="AF443" i="1"/>
  <c r="AF444" i="1"/>
  <c r="AF440" i="1"/>
  <c r="AF435" i="1"/>
  <c r="AF434" i="1"/>
  <c r="AF433" i="1"/>
  <c r="AF432" i="1"/>
  <c r="AF436" i="1"/>
  <c r="AF437" i="1"/>
  <c r="AF438" i="1"/>
  <c r="AF439" i="1"/>
  <c r="AF431" i="1"/>
  <c r="AF429" i="1"/>
  <c r="AF430" i="1"/>
  <c r="AF421" i="1"/>
  <c r="AF422" i="1"/>
  <c r="AF423" i="1"/>
  <c r="AF424" i="1"/>
  <c r="AF425" i="1"/>
  <c r="AF426" i="1"/>
  <c r="AF427" i="1"/>
  <c r="AF428" i="1"/>
  <c r="AF419" i="1"/>
  <c r="AF416" i="1"/>
  <c r="AF417" i="1"/>
  <c r="AF418" i="1"/>
  <c r="AF415" i="1"/>
  <c r="AF409" i="1"/>
  <c r="AF410" i="1"/>
  <c r="AF411" i="1"/>
  <c r="AF412" i="1"/>
  <c r="AF413" i="1"/>
  <c r="AF414" i="1"/>
  <c r="AF408" i="1"/>
  <c r="AF399" i="1"/>
  <c r="AF400" i="1"/>
  <c r="AF401" i="1"/>
  <c r="AF402" i="1"/>
  <c r="AF403" i="1"/>
  <c r="AF404" i="1"/>
  <c r="AF405" i="1"/>
  <c r="AF406" i="1"/>
  <c r="AF407" i="1"/>
  <c r="AF357" i="1"/>
  <c r="AF349" i="1"/>
  <c r="AF341" i="1"/>
  <c r="AF332" i="1"/>
  <c r="AF324" i="1"/>
  <c r="AF316" i="1"/>
  <c r="AF308" i="1"/>
  <c r="AF300" i="1"/>
  <c r="AF292" i="1"/>
  <c r="AF284" i="1"/>
  <c r="AF276" i="1"/>
  <c r="AF268" i="1"/>
  <c r="AF260" i="1"/>
  <c r="AF252" i="1"/>
  <c r="AF244" i="1"/>
  <c r="AF236" i="1"/>
  <c r="AF228" i="1"/>
  <c r="AF220" i="1"/>
  <c r="AF212" i="1"/>
  <c r="AF211" i="1"/>
  <c r="AF204" i="1"/>
  <c r="AF203" i="1"/>
  <c r="AF197" i="1"/>
  <c r="AF195" i="1"/>
  <c r="AF193" i="1"/>
  <c r="AF191" i="1"/>
  <c r="AF190" i="1"/>
  <c r="AF169" i="1"/>
  <c r="AF167" i="1"/>
  <c r="AF149" i="1"/>
  <c r="AF145" i="1"/>
  <c r="AF143" i="1"/>
  <c r="AF142" i="1"/>
  <c r="AF127" i="1"/>
  <c r="AF124" i="1"/>
  <c r="AF121" i="1"/>
  <c r="AF109" i="1"/>
  <c r="AF92" i="1"/>
  <c r="AF77" i="1"/>
  <c r="AF68" i="1"/>
  <c r="AF61" i="1"/>
  <c r="AF53" i="1"/>
  <c r="AF34" i="1"/>
  <c r="AF25" i="1"/>
  <c r="AF7" i="1"/>
  <c r="AF5" i="1"/>
  <c r="AF4" i="1"/>
  <c r="AF3" i="1"/>
  <c r="AF2" i="1"/>
  <c r="AF396" i="1"/>
  <c r="AF397" i="1"/>
  <c r="AF398" i="1"/>
  <c r="AF395" i="1"/>
  <c r="AF394" i="1"/>
  <c r="AF393" i="1"/>
  <c r="AF387" i="1"/>
  <c r="AF388" i="1"/>
  <c r="AF389" i="1"/>
  <c r="AF390" i="1"/>
  <c r="AF391" i="1"/>
  <c r="AF392" i="1"/>
  <c r="AF201" i="1"/>
  <c r="AF159" i="1"/>
  <c r="AF151" i="1"/>
  <c r="AF141" i="1"/>
  <c r="AF140" i="1"/>
  <c r="AF139" i="1"/>
  <c r="AF125" i="1"/>
  <c r="AF95" i="1"/>
  <c r="AF84" i="1"/>
  <c r="AF83" i="1"/>
  <c r="AF50" i="1"/>
  <c r="AF49" i="1"/>
  <c r="AF47" i="1"/>
  <c r="AF46" i="1"/>
  <c r="AF39" i="1"/>
  <c r="AF384" i="1"/>
  <c r="AF385" i="1"/>
  <c r="AF386" i="1"/>
  <c r="AF383" i="1"/>
  <c r="AF6" i="1"/>
  <c r="AF9" i="1"/>
  <c r="AF10" i="1"/>
  <c r="AF11" i="1"/>
  <c r="AF12" i="1"/>
  <c r="AF13" i="1"/>
  <c r="AF14" i="1"/>
  <c r="AF15" i="1"/>
  <c r="AF17" i="1"/>
  <c r="AF18" i="1"/>
  <c r="AF19" i="1"/>
  <c r="AF20" i="1"/>
  <c r="AF21" i="1"/>
  <c r="AF22" i="1"/>
  <c r="AF23" i="1"/>
  <c r="AF27" i="1"/>
  <c r="AF28" i="1"/>
  <c r="AF29" i="1"/>
  <c r="AF30" i="1"/>
  <c r="AF31" i="1"/>
  <c r="AF33" i="1"/>
  <c r="AF35" i="1"/>
  <c r="AF36" i="1"/>
  <c r="AF37" i="1"/>
  <c r="AF38" i="1"/>
  <c r="AF41" i="1"/>
  <c r="AF43" i="1"/>
  <c r="AF44" i="1"/>
  <c r="AF45" i="1"/>
  <c r="AF51" i="1"/>
  <c r="AF52" i="1"/>
  <c r="AF54" i="1"/>
  <c r="AF55" i="1"/>
  <c r="AF57" i="1"/>
  <c r="AF58" i="1"/>
  <c r="AF59" i="1"/>
  <c r="AF60" i="1"/>
  <c r="AF62" i="1"/>
  <c r="AF63" i="1"/>
  <c r="AF65" i="1"/>
  <c r="AF66" i="1"/>
  <c r="AF67" i="1"/>
  <c r="AF69" i="1"/>
  <c r="AF70" i="1"/>
  <c r="AF71" i="1"/>
  <c r="AF73" i="1"/>
  <c r="AF75" i="1"/>
  <c r="AF76" i="1"/>
  <c r="AF78" i="1"/>
  <c r="AF79" i="1"/>
  <c r="AF80" i="1"/>
  <c r="AF81" i="1"/>
  <c r="AF85" i="1"/>
  <c r="AF86" i="1"/>
  <c r="AF87" i="1"/>
  <c r="AF89" i="1"/>
  <c r="AF90" i="1"/>
  <c r="AF91" i="1"/>
  <c r="AF93" i="1"/>
  <c r="AF94" i="1"/>
  <c r="AF97" i="1"/>
  <c r="AF98" i="1"/>
  <c r="AF99" i="1"/>
  <c r="AF100" i="1"/>
  <c r="AF101" i="1"/>
  <c r="AF102" i="1"/>
  <c r="AF103" i="1"/>
  <c r="AF105" i="1"/>
  <c r="AF106" i="1"/>
  <c r="AF107" i="1"/>
  <c r="AF108" i="1"/>
  <c r="AF110" i="1"/>
  <c r="AF111" i="1"/>
  <c r="AF113" i="1"/>
  <c r="AF114" i="1"/>
  <c r="AF115" i="1"/>
  <c r="AF116" i="1"/>
  <c r="AF117" i="1"/>
  <c r="AF118" i="1"/>
  <c r="AF119" i="1"/>
  <c r="AF122" i="1"/>
  <c r="AF123" i="1"/>
  <c r="AF126" i="1"/>
  <c r="AF129" i="1"/>
  <c r="AF130" i="1"/>
  <c r="AF131" i="1"/>
  <c r="AF132" i="1"/>
  <c r="AF133" i="1"/>
  <c r="AF134" i="1"/>
  <c r="AF135" i="1"/>
  <c r="AF137" i="1"/>
  <c r="AF138" i="1"/>
  <c r="AF144" i="1"/>
  <c r="AF146" i="1"/>
  <c r="AF147" i="1"/>
  <c r="AF148" i="1"/>
  <c r="AF150" i="1"/>
  <c r="AF153" i="1"/>
  <c r="AF154" i="1"/>
  <c r="AF155" i="1"/>
  <c r="AF156" i="1"/>
  <c r="AF157" i="1"/>
  <c r="AF158" i="1"/>
  <c r="AF161" i="1"/>
  <c r="AF162" i="1"/>
  <c r="AF163" i="1"/>
  <c r="AF164" i="1"/>
  <c r="AF165" i="1"/>
  <c r="AF166" i="1"/>
  <c r="AF170" i="1"/>
  <c r="AF171" i="1"/>
  <c r="AF172" i="1"/>
  <c r="AF173" i="1"/>
  <c r="AF174" i="1"/>
  <c r="AF175" i="1"/>
  <c r="AF177" i="1"/>
  <c r="AF178" i="1"/>
  <c r="AF179" i="1"/>
  <c r="AF180" i="1"/>
  <c r="AF181" i="1"/>
  <c r="AF182" i="1"/>
  <c r="AF183" i="1"/>
  <c r="AF185" i="1"/>
  <c r="AF186" i="1"/>
  <c r="AF187" i="1"/>
  <c r="AF188" i="1"/>
  <c r="AF189" i="1"/>
  <c r="AF192" i="1"/>
  <c r="AF194" i="1"/>
  <c r="AF196" i="1"/>
  <c r="AF198" i="1"/>
  <c r="AF199" i="1"/>
  <c r="AF202" i="1"/>
  <c r="AF205" i="1"/>
  <c r="AF206" i="1"/>
  <c r="AF207" i="1"/>
  <c r="AF209" i="1"/>
  <c r="AF210" i="1"/>
  <c r="AF213" i="1"/>
  <c r="AF214" i="1"/>
  <c r="AF215" i="1"/>
  <c r="AF216" i="1"/>
  <c r="AF217" i="1"/>
  <c r="AF218" i="1"/>
  <c r="AF219" i="1"/>
  <c r="AF221" i="1"/>
  <c r="AF222" i="1"/>
  <c r="AF223" i="1"/>
  <c r="AF225" i="1"/>
  <c r="AF226" i="1"/>
  <c r="AF227" i="1"/>
  <c r="AF229" i="1"/>
  <c r="AF230" i="1"/>
  <c r="AF231" i="1"/>
  <c r="AF233" i="1"/>
  <c r="AF234" i="1"/>
  <c r="AF235" i="1"/>
  <c r="AF237" i="1"/>
  <c r="AF238" i="1"/>
  <c r="AF239" i="1"/>
  <c r="AF241" i="1"/>
  <c r="AF242" i="1"/>
  <c r="AF243" i="1"/>
  <c r="AF245" i="1"/>
  <c r="AF246" i="1"/>
  <c r="AF247" i="1"/>
  <c r="AF249" i="1"/>
  <c r="AF250" i="1"/>
  <c r="AF251" i="1"/>
  <c r="AF253" i="1"/>
  <c r="AF254" i="1"/>
  <c r="AF255" i="1"/>
  <c r="AF257" i="1"/>
  <c r="AF258" i="1"/>
  <c r="AF259" i="1"/>
  <c r="AF261" i="1"/>
  <c r="AF262" i="1"/>
  <c r="AF263" i="1"/>
  <c r="AF265" i="1"/>
  <c r="AF266" i="1"/>
  <c r="AF267" i="1"/>
  <c r="AF269" i="1"/>
  <c r="AF270" i="1"/>
  <c r="AF271" i="1"/>
  <c r="AF273" i="1"/>
  <c r="AF274" i="1"/>
  <c r="AF275" i="1"/>
  <c r="AF277" i="1"/>
  <c r="AF278" i="1"/>
  <c r="AF279" i="1"/>
  <c r="AF280" i="1"/>
  <c r="AF281" i="1"/>
  <c r="AF282" i="1"/>
  <c r="AF283" i="1"/>
  <c r="AF285" i="1"/>
  <c r="AF286" i="1"/>
  <c r="AF287" i="1"/>
  <c r="AF289" i="1"/>
  <c r="AF290" i="1"/>
  <c r="AF291" i="1"/>
  <c r="AF293" i="1"/>
  <c r="AF294" i="1"/>
  <c r="AF295" i="1"/>
  <c r="AF297" i="1"/>
  <c r="AF298" i="1"/>
  <c r="AF299" i="1"/>
  <c r="AF301" i="1"/>
  <c r="AF302" i="1"/>
  <c r="AF303" i="1"/>
  <c r="AF305" i="1"/>
  <c r="AF306" i="1"/>
  <c r="AF307" i="1"/>
  <c r="AF309" i="1"/>
  <c r="AF310" i="1"/>
  <c r="AF311" i="1"/>
  <c r="AF313" i="1"/>
  <c r="AF314" i="1"/>
  <c r="AF315" i="1"/>
  <c r="AF317" i="1"/>
  <c r="AF318" i="1"/>
  <c r="AF319" i="1"/>
  <c r="AF320" i="1"/>
  <c r="AF321" i="1"/>
  <c r="AF322" i="1"/>
  <c r="AF323" i="1"/>
  <c r="AF325" i="1"/>
  <c r="AF326" i="1"/>
  <c r="AF327" i="1"/>
  <c r="AF328" i="1"/>
  <c r="AF329" i="1"/>
  <c r="AF330" i="1"/>
  <c r="AF331" i="1"/>
  <c r="AF334" i="1"/>
  <c r="AF335" i="1"/>
  <c r="AF336" i="1"/>
  <c r="AF337" i="1"/>
  <c r="AF338" i="1"/>
  <c r="AF339" i="1"/>
  <c r="AF340" i="1"/>
  <c r="AF342" i="1"/>
  <c r="AF343" i="1"/>
  <c r="AF344" i="1"/>
  <c r="AF345" i="1"/>
  <c r="AF346" i="1"/>
  <c r="AF347" i="1"/>
  <c r="AF348" i="1"/>
  <c r="AF350" i="1"/>
  <c r="AF351" i="1"/>
  <c r="AF352" i="1"/>
  <c r="AF353" i="1"/>
  <c r="AF354" i="1"/>
  <c r="AF355" i="1"/>
  <c r="AF356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F296" i="1"/>
  <c r="AF232" i="1"/>
  <c r="AF304" i="1"/>
  <c r="AF240" i="1"/>
  <c r="AF152" i="1"/>
  <c r="AF88" i="1"/>
  <c r="AF312" i="1"/>
  <c r="AF160" i="1"/>
  <c r="AF56" i="1"/>
  <c r="AF16" i="1"/>
  <c r="AF128" i="1"/>
  <c r="AF104" i="1"/>
  <c r="AF32" i="1"/>
  <c r="AF208" i="1"/>
  <c r="X2" i="1" l="1" a="1"/>
  <c r="X2" i="1" s="1"/>
  <c r="AK2" i="1" a="1"/>
  <c r="AK2" i="1" s="1"/>
  <c r="N15" i="34"/>
  <c r="O15" i="34" s="1"/>
  <c r="N191" i="30"/>
  <c r="N34" i="34"/>
  <c r="O34" i="34" s="1"/>
  <c r="O45" i="34"/>
  <c r="M45" i="34"/>
  <c r="AQ1948" i="1"/>
  <c r="O44" i="34"/>
  <c r="M44" i="34"/>
  <c r="B6" i="28"/>
  <c r="D12" i="28"/>
  <c r="N24" i="30"/>
  <c r="N17" i="30"/>
  <c r="AG1635" i="1" a="1"/>
  <c r="AG1635" i="1" s="1"/>
  <c r="AF1598" i="1"/>
  <c r="AG1598" i="1" a="1"/>
  <c r="AG1598" i="1" s="1"/>
  <c r="AF1596" i="1"/>
  <c r="AG1596" i="1" a="1"/>
  <c r="AG1596" i="1" s="1"/>
  <c r="AF1622" i="1"/>
  <c r="AG1622" i="1" a="1"/>
  <c r="AG1622" i="1" s="1"/>
  <c r="AF1618" i="1"/>
  <c r="AG1618" i="1" a="1"/>
  <c r="AG1618" i="1" s="1"/>
  <c r="AF1601" i="1"/>
  <c r="AG1601" i="1" a="1"/>
  <c r="AG1601" i="1" s="1"/>
  <c r="AF1642" i="1"/>
  <c r="AG1642" i="1" a="1"/>
  <c r="AG1642" i="1" s="1"/>
  <c r="AF1641" i="1"/>
  <c r="AG1641" i="1" a="1"/>
  <c r="AG1641" i="1" s="1"/>
  <c r="AF1640" i="1"/>
  <c r="AG1640" i="1" a="1"/>
  <c r="AG1640" i="1" s="1"/>
  <c r="AF1639" i="1"/>
  <c r="AG1639" i="1" a="1"/>
  <c r="AG1639" i="1" s="1"/>
  <c r="AF1638" i="1"/>
  <c r="AG1638" i="1" a="1"/>
  <c r="AG1638" i="1" s="1"/>
  <c r="AF1637" i="1"/>
  <c r="AG1637" i="1" a="1"/>
  <c r="AG1637" i="1" s="1"/>
  <c r="AF1636" i="1"/>
  <c r="AG1636" i="1" a="1"/>
  <c r="AG1636" i="1" s="1"/>
  <c r="AF1635" i="1"/>
  <c r="AF1632" i="1"/>
  <c r="AG1632" i="1" a="1"/>
  <c r="AG1632" i="1" s="1"/>
  <c r="AF1651" i="1"/>
  <c r="AG1651" i="1" a="1"/>
  <c r="AG1651" i="1" s="1"/>
  <c r="AF1650" i="1"/>
  <c r="AG1650" i="1" a="1"/>
  <c r="AG1650" i="1" s="1"/>
  <c r="AF1649" i="1"/>
  <c r="AG1649" i="1" a="1"/>
  <c r="AG1649" i="1" s="1"/>
  <c r="AF1647" i="1"/>
  <c r="AG1647" i="1" a="1"/>
  <c r="AG1647" i="1" s="1"/>
  <c r="AF1644" i="1"/>
  <c r="AG1644" i="1" a="1"/>
  <c r="AG1644" i="1" s="1"/>
  <c r="AF1660" i="1"/>
  <c r="AG1660" i="1" a="1"/>
  <c r="AG1660" i="1" s="1"/>
  <c r="AF1659" i="1"/>
  <c r="AG1659" i="1" a="1"/>
  <c r="AG1659" i="1" s="1"/>
  <c r="AF1656" i="1"/>
  <c r="AG1656" i="1" a="1"/>
  <c r="AG1656" i="1" s="1"/>
  <c r="AF1654" i="1"/>
  <c r="AG1654" i="1" a="1"/>
  <c r="AG1654" i="1" s="1"/>
  <c r="AF1653" i="1"/>
  <c r="AG1653" i="1" a="1"/>
  <c r="AG1653" i="1" s="1"/>
  <c r="AF1582" i="1"/>
  <c r="AG1582" i="1" a="1"/>
  <c r="AG1582" i="1" s="1"/>
  <c r="I184" i="29"/>
  <c r="O43" i="34"/>
  <c r="M43" i="34"/>
  <c r="N36" i="34"/>
  <c r="O36" i="34" s="1"/>
  <c r="I145" i="29"/>
  <c r="I147" i="29"/>
  <c r="I154" i="29"/>
  <c r="I146" i="29"/>
  <c r="I153" i="29"/>
  <c r="I149" i="29"/>
  <c r="E150" i="29"/>
  <c r="I150" i="29" s="1"/>
  <c r="I180" i="29"/>
  <c r="I144" i="29"/>
  <c r="I152" i="29"/>
  <c r="N37" i="34"/>
  <c r="O37" i="34" s="1"/>
  <c r="N22" i="34"/>
  <c r="O22" i="34" s="1"/>
  <c r="N35" i="34"/>
  <c r="O35" i="34" s="1"/>
  <c r="N29" i="34"/>
  <c r="M29" i="34" s="1"/>
  <c r="N8" i="34"/>
  <c r="O8" i="34" s="1"/>
  <c r="N31" i="34"/>
  <c r="M31" i="34" s="1"/>
  <c r="N17" i="34"/>
  <c r="O17" i="34" s="1"/>
  <c r="M14" i="34"/>
  <c r="O14" i="34"/>
  <c r="M18" i="34"/>
  <c r="N33" i="34"/>
  <c r="N42" i="34"/>
  <c r="O42" i="34" s="1"/>
  <c r="N5" i="34"/>
  <c r="O5" i="34" s="1"/>
  <c r="N11" i="34"/>
  <c r="M11" i="34" s="1"/>
  <c r="N9" i="34"/>
  <c r="N6" i="34"/>
  <c r="O6" i="34" s="1"/>
  <c r="N32" i="34"/>
  <c r="M32" i="34" s="1"/>
  <c r="N20" i="34"/>
  <c r="O20" i="34" s="1"/>
  <c r="N24" i="34"/>
  <c r="O24" i="34" s="1"/>
  <c r="N26" i="30"/>
  <c r="N101" i="30"/>
  <c r="N106" i="30"/>
  <c r="N12" i="30"/>
  <c r="N9" i="30"/>
  <c r="N25" i="30"/>
  <c r="N32" i="30"/>
  <c r="N4" i="30"/>
  <c r="N3" i="30"/>
  <c r="N11" i="30"/>
  <c r="N19" i="30"/>
  <c r="N27" i="30"/>
  <c r="N55" i="30"/>
  <c r="N68" i="30"/>
  <c r="N168" i="30"/>
  <c r="N18" i="30"/>
  <c r="N6" i="30"/>
  <c r="N23" i="30"/>
  <c r="N45" i="30"/>
  <c r="N14" i="30"/>
  <c r="N8" i="30"/>
  <c r="N36" i="30"/>
  <c r="N43" i="30"/>
  <c r="N167" i="30"/>
  <c r="N22" i="30"/>
  <c r="N20" i="30"/>
  <c r="N37" i="30"/>
  <c r="N67" i="30"/>
  <c r="N74" i="30"/>
  <c r="N78" i="30"/>
  <c r="N10" i="30"/>
  <c r="N30" i="30"/>
  <c r="N16" i="30"/>
  <c r="N52" i="30"/>
  <c r="N169" i="30"/>
  <c r="N103" i="30"/>
  <c r="N28" i="30"/>
  <c r="M10" i="34"/>
  <c r="M3" i="34"/>
  <c r="N16" i="34"/>
  <c r="O16" i="34" s="1"/>
  <c r="O30" i="34"/>
  <c r="M30" i="34"/>
  <c r="O13" i="34"/>
  <c r="N12" i="34"/>
  <c r="M12" i="34" s="1"/>
  <c r="N5" i="30"/>
  <c r="N13" i="30"/>
  <c r="N21" i="30"/>
  <c r="N29" i="30"/>
  <c r="N60" i="30"/>
  <c r="N64" i="30"/>
  <c r="N73" i="30"/>
  <c r="N81" i="30"/>
  <c r="N84" i="30"/>
  <c r="N90" i="30"/>
  <c r="N130" i="30"/>
  <c r="N41" i="30"/>
  <c r="N47" i="30"/>
  <c r="N49" i="30"/>
  <c r="N66" i="30"/>
  <c r="N77" i="30"/>
  <c r="N102" i="30"/>
  <c r="N105" i="30"/>
  <c r="N112" i="30"/>
  <c r="N131" i="30"/>
  <c r="N135" i="30"/>
  <c r="N139" i="30"/>
  <c r="N142" i="30"/>
  <c r="N144" i="30"/>
  <c r="N7" i="30"/>
  <c r="N15" i="30"/>
  <c r="N31" i="30"/>
  <c r="N38" i="30"/>
  <c r="N46" i="30"/>
  <c r="N61" i="30"/>
  <c r="N63" i="30"/>
  <c r="N80" i="30"/>
  <c r="N83" i="30"/>
  <c r="N93" i="30"/>
  <c r="N95" i="30"/>
  <c r="N97" i="30"/>
  <c r="N116" i="30"/>
  <c r="N118" i="30"/>
  <c r="N122" i="30"/>
  <c r="N126" i="30"/>
  <c r="N163" i="30"/>
  <c r="N121" i="30"/>
  <c r="N134" i="30"/>
  <c r="N138" i="30"/>
  <c r="N141" i="30"/>
  <c r="N143" i="30"/>
  <c r="N166" i="30"/>
  <c r="N39" i="30"/>
  <c r="N125" i="30"/>
  <c r="N42" i="30"/>
  <c r="N59" i="30"/>
  <c r="N65" i="30"/>
  <c r="N76" i="30"/>
  <c r="N86" i="30"/>
  <c r="N89" i="30"/>
  <c r="N117" i="30"/>
  <c r="N119" i="30"/>
  <c r="N145" i="30"/>
  <c r="N146" i="30"/>
  <c r="N154" i="30"/>
  <c r="N161" i="30"/>
  <c r="N40" i="30"/>
  <c r="N48" i="30"/>
  <c r="N57" i="30"/>
  <c r="N62" i="30"/>
  <c r="N79" i="30"/>
  <c r="N92" i="30"/>
  <c r="N100" i="30"/>
  <c r="N127" i="30"/>
  <c r="N148" i="30"/>
  <c r="N155" i="30"/>
  <c r="N162" i="30"/>
  <c r="N35" i="30"/>
  <c r="N53" i="30"/>
  <c r="N58" i="30"/>
  <c r="N70" i="30"/>
  <c r="N72" i="30"/>
  <c r="N82" i="30"/>
  <c r="N85" i="30"/>
  <c r="N87" i="30"/>
  <c r="N107" i="30"/>
  <c r="N111" i="30"/>
  <c r="N113" i="30"/>
  <c r="N114" i="30"/>
  <c r="N115" i="30"/>
  <c r="N152" i="30"/>
  <c r="N153" i="30"/>
  <c r="N160" i="30"/>
  <c r="N33" i="30"/>
  <c r="N50" i="30"/>
  <c r="N51" i="30"/>
  <c r="N54" i="30"/>
  <c r="N88" i="30"/>
  <c r="N123" i="30"/>
  <c r="N128" i="30"/>
  <c r="N150" i="30"/>
  <c r="N164" i="30"/>
  <c r="N158" i="30"/>
  <c r="N34" i="30"/>
  <c r="N124" i="30"/>
  <c r="N44" i="30"/>
  <c r="N56" i="30"/>
  <c r="N69" i="30"/>
  <c r="N71" i="30"/>
  <c r="N75" i="30"/>
  <c r="N91" i="30"/>
  <c r="N94" i="30"/>
  <c r="N96" i="30"/>
  <c r="N98" i="30"/>
  <c r="N99" i="30"/>
  <c r="N104" i="30"/>
  <c r="N108" i="30"/>
  <c r="N109" i="30"/>
  <c r="N129" i="30"/>
  <c r="N132" i="30"/>
  <c r="N136" i="30"/>
  <c r="N149" i="30"/>
  <c r="N151" i="30"/>
  <c r="N159" i="30"/>
  <c r="N156" i="30"/>
  <c r="N110" i="30"/>
  <c r="N120" i="30"/>
  <c r="N133" i="30"/>
  <c r="N137" i="30"/>
  <c r="N140" i="30"/>
  <c r="N147" i="30"/>
  <c r="N157" i="30"/>
  <c r="N1556" i="26"/>
  <c r="N1490" i="26"/>
  <c r="N1512" i="26"/>
  <c r="N1544" i="26"/>
  <c r="N1549" i="26"/>
  <c r="N1551" i="26"/>
  <c r="N1553" i="26"/>
  <c r="N1555" i="26"/>
  <c r="N1557" i="26"/>
  <c r="N1492" i="26"/>
  <c r="N1554" i="26"/>
  <c r="N1546" i="26"/>
  <c r="N1543" i="26"/>
  <c r="N1440" i="26"/>
  <c r="N1468" i="26"/>
  <c r="N1470" i="26"/>
  <c r="N1487" i="26"/>
  <c r="N1502" i="26"/>
  <c r="N1458" i="26"/>
  <c r="N1474" i="26"/>
  <c r="N1539" i="26"/>
  <c r="N1541" i="26"/>
  <c r="N1429" i="26"/>
  <c r="N1462" i="26"/>
  <c r="N1485" i="26"/>
  <c r="N1500" i="26"/>
  <c r="N1530" i="26"/>
  <c r="N1532" i="26"/>
  <c r="N1531" i="26"/>
  <c r="N1534" i="26"/>
  <c r="N1537" i="26"/>
  <c r="N1538" i="26"/>
  <c r="N1540" i="26"/>
  <c r="N1466" i="26"/>
  <c r="N1494" i="26"/>
  <c r="N1504" i="26"/>
  <c r="N1516" i="26"/>
  <c r="N1535" i="26"/>
  <c r="N1027" i="26"/>
  <c r="N1284" i="26"/>
  <c r="N1022" i="26"/>
  <c r="N1517" i="26"/>
  <c r="N1519" i="26"/>
  <c r="N1281" i="26"/>
  <c r="N1449" i="26"/>
  <c r="N1460" i="26"/>
  <c r="N1473" i="26"/>
  <c r="N1480" i="26"/>
  <c r="N1488" i="26"/>
  <c r="N1491" i="26"/>
  <c r="N1496" i="26"/>
  <c r="N1526" i="26"/>
  <c r="N1247" i="26"/>
  <c r="N1407" i="26"/>
  <c r="N1454" i="26"/>
  <c r="N1471" i="26"/>
  <c r="N1478" i="26"/>
  <c r="N1479" i="26"/>
  <c r="N1482" i="26"/>
  <c r="N1486" i="26"/>
  <c r="N1503" i="26"/>
  <c r="N1508" i="26"/>
  <c r="N1514" i="26"/>
  <c r="N1180" i="26"/>
  <c r="N1456" i="26"/>
  <c r="N1465" i="26"/>
  <c r="N1476" i="26"/>
  <c r="N1506" i="26"/>
  <c r="N1523" i="26"/>
  <c r="N1525" i="26"/>
  <c r="N1527" i="26"/>
  <c r="N1459" i="26"/>
  <c r="N1464" i="26"/>
  <c r="N1442" i="26"/>
  <c r="N1434" i="26"/>
  <c r="N1448" i="26"/>
  <c r="N1414" i="26"/>
  <c r="N1431" i="26"/>
  <c r="N1401" i="26"/>
  <c r="N1522" i="26"/>
  <c r="N1520" i="26"/>
  <c r="N1524" i="26"/>
  <c r="N1432" i="26"/>
  <c r="N1410" i="26"/>
  <c r="N1417" i="26"/>
  <c r="N1390" i="26"/>
  <c r="N1408" i="26"/>
  <c r="N1351" i="26"/>
  <c r="N1366" i="26"/>
  <c r="N1009" i="26"/>
  <c r="N1303" i="26"/>
  <c r="M2" i="34"/>
  <c r="O2" i="34"/>
  <c r="O38" i="34"/>
  <c r="M38" i="34"/>
  <c r="M39" i="34"/>
  <c r="O39" i="34"/>
  <c r="M41" i="34"/>
  <c r="N4" i="34"/>
  <c r="N7" i="34"/>
  <c r="N19" i="34"/>
  <c r="M19" i="34" s="1"/>
  <c r="N23" i="34"/>
  <c r="N26" i="34"/>
  <c r="M27" i="34"/>
  <c r="O40" i="34"/>
  <c r="M28" i="34"/>
  <c r="O21" i="34"/>
  <c r="N6" i="7"/>
  <c r="M6" i="7" a="1"/>
  <c r="M6" i="7" s="1"/>
  <c r="N5" i="7"/>
  <c r="M5" i="7" a="1"/>
  <c r="M5" i="7" s="1"/>
  <c r="N1509" i="26"/>
  <c r="N1141" i="26"/>
  <c r="N1515" i="26"/>
  <c r="N1505" i="26"/>
  <c r="N1497" i="26"/>
  <c r="N1513" i="26"/>
  <c r="N1489" i="26"/>
  <c r="N1477" i="26"/>
  <c r="N1451" i="26"/>
  <c r="N1469" i="26"/>
  <c r="N1511" i="26"/>
  <c r="N1493" i="26"/>
  <c r="N1501" i="26"/>
  <c r="N1389" i="26"/>
  <c r="N1409" i="26"/>
  <c r="N1369" i="26"/>
  <c r="N1433" i="26"/>
  <c r="N1403" i="26"/>
  <c r="N1428" i="26"/>
  <c r="N1413" i="26"/>
  <c r="N1393" i="26"/>
  <c r="N1378" i="26"/>
  <c r="N1400" i="26"/>
  <c r="N1415" i="26"/>
  <c r="N1421" i="26"/>
  <c r="N1377" i="26"/>
  <c r="N1412" i="26"/>
  <c r="N1392" i="26"/>
  <c r="N1411" i="26"/>
  <c r="N1365" i="26"/>
  <c r="N1391" i="26"/>
  <c r="N1182" i="26"/>
  <c r="N1302" i="26"/>
  <c r="N1271" i="26"/>
  <c r="N1376" i="26"/>
  <c r="N1283" i="26"/>
  <c r="N996" i="26"/>
  <c r="N1023" i="26"/>
  <c r="N1238" i="26"/>
  <c r="N1331" i="26"/>
  <c r="N1058" i="26"/>
  <c r="M20" i="34" l="1"/>
  <c r="M34" i="34"/>
  <c r="M6" i="34"/>
  <c r="M15" i="34"/>
  <c r="AO352" i="1"/>
  <c r="AO136" i="1"/>
  <c r="AO347" i="1"/>
  <c r="AM522" i="1" a="1"/>
  <c r="AM522" i="1" s="1"/>
  <c r="AM396" i="1" a="1"/>
  <c r="AM396" i="1" s="1"/>
  <c r="AO134" i="1"/>
  <c r="AO300" i="1"/>
  <c r="AM572" i="1" a="1"/>
  <c r="AM572" i="1" s="1"/>
  <c r="AM277" i="1" a="1"/>
  <c r="AM277" i="1" s="1"/>
  <c r="AM156" i="1" a="1"/>
  <c r="AM156" i="1" s="1"/>
  <c r="AM354" i="1" a="1"/>
  <c r="AM354" i="1" s="1"/>
  <c r="AM297" i="1" a="1"/>
  <c r="AM297" i="1" s="1"/>
  <c r="AO447" i="1"/>
  <c r="AO139" i="1"/>
  <c r="AM139" i="1" a="1"/>
  <c r="AM139" i="1" s="1"/>
  <c r="AM136" i="1" a="1"/>
  <c r="AM136" i="1" s="1"/>
  <c r="AM137" i="1" a="1"/>
  <c r="AM137" i="1" s="1"/>
  <c r="AO277" i="1"/>
  <c r="AM347" i="1" a="1"/>
  <c r="AM347" i="1" s="1"/>
  <c r="AM264" i="1" a="1"/>
  <c r="AM264" i="1" s="1"/>
  <c r="AO396" i="1"/>
  <c r="AM144" i="1" a="1"/>
  <c r="AM144" i="1" s="1"/>
  <c r="AM495" i="1" a="1"/>
  <c r="AM495" i="1" s="1"/>
  <c r="AO369" i="1"/>
  <c r="AM3" i="1" a="1"/>
  <c r="AM3" i="1" s="1"/>
  <c r="AM108" i="1" a="1"/>
  <c r="AM108" i="1" s="1"/>
  <c r="AM334" i="1" a="1"/>
  <c r="AM334" i="1" s="1"/>
  <c r="AM389" i="1" a="1"/>
  <c r="AM389" i="1" s="1"/>
  <c r="AM182" i="1" a="1"/>
  <c r="AM182" i="1" s="1"/>
  <c r="AO264" i="1"/>
  <c r="AM10" i="1" a="1"/>
  <c r="AM10" i="1" s="1"/>
  <c r="AO1764" i="1"/>
  <c r="AO367" i="1"/>
  <c r="AM143" i="1" a="1"/>
  <c r="AM143" i="1" s="1"/>
  <c r="AO137" i="1"/>
  <c r="AM478" i="1" a="1"/>
  <c r="AM478" i="1" s="1"/>
  <c r="AO389" i="1"/>
  <c r="AO187" i="1"/>
  <c r="AM367" i="1" a="1"/>
  <c r="AM367" i="1" s="1"/>
  <c r="AM134" i="1" a="1"/>
  <c r="AM134" i="1" s="1"/>
  <c r="AO108" i="1"/>
  <c r="AO478" i="1"/>
  <c r="AP2120" i="1"/>
  <c r="AM2109" i="1" a="1"/>
  <c r="AM2109" i="1" s="1"/>
  <c r="AM2107" i="1" a="1"/>
  <c r="AM2107" i="1" s="1"/>
  <c r="AP2097" i="1"/>
  <c r="AM2081" i="1" a="1"/>
  <c r="AM2081" i="1" s="1"/>
  <c r="AM2068" i="1" a="1"/>
  <c r="AM2068" i="1" s="1"/>
  <c r="AM2062" i="1" a="1"/>
  <c r="AM2062" i="1" s="1"/>
  <c r="AM2058" i="1" a="1"/>
  <c r="AM2058" i="1" s="1"/>
  <c r="AM2034" i="1" a="1"/>
  <c r="AM2034" i="1" s="1"/>
  <c r="AP2020" i="1"/>
  <c r="AM2004" i="1" a="1"/>
  <c r="AM2004" i="1" s="1"/>
  <c r="AP1998" i="1"/>
  <c r="AP1992" i="1"/>
  <c r="AM1741" i="1" a="1"/>
  <c r="AM1741" i="1" s="1"/>
  <c r="AM1692" i="1" a="1"/>
  <c r="AM1692" i="1" s="1"/>
  <c r="AM1664" i="1" a="1"/>
  <c r="AM1664" i="1" s="1"/>
  <c r="AM1625" i="1" a="1"/>
  <c r="AM1625" i="1" s="1"/>
  <c r="AM1584" i="1" a="1"/>
  <c r="AM1584" i="1" s="1"/>
  <c r="AM1546" i="1" a="1"/>
  <c r="AM1546" i="1" s="1"/>
  <c r="AM1518" i="1" a="1"/>
  <c r="AM1518" i="1" s="1"/>
  <c r="AM1487" i="1" a="1"/>
  <c r="AM1487" i="1" s="1"/>
  <c r="AM1458" i="1" a="1"/>
  <c r="AM1458" i="1" s="1"/>
  <c r="AM1431" i="1" a="1"/>
  <c r="AM1431" i="1" s="1"/>
  <c r="AM1407" i="1" a="1"/>
  <c r="AM1407" i="1" s="1"/>
  <c r="AM1382" i="1" a="1"/>
  <c r="AM1382" i="1" s="1"/>
  <c r="AM1356" i="1" a="1"/>
  <c r="AM1356" i="1" s="1"/>
  <c r="AM1329" i="1" a="1"/>
  <c r="AM1329" i="1" s="1"/>
  <c r="AM1297" i="1" a="1"/>
  <c r="AM1297" i="1" s="1"/>
  <c r="AM1241" i="1" a="1"/>
  <c r="AM1241" i="1" s="1"/>
  <c r="AM1177" i="1" a="1"/>
  <c r="AM1177" i="1" s="1"/>
  <c r="AM1134" i="1" a="1"/>
  <c r="AM1134" i="1" s="1"/>
  <c r="AM1060" i="1" a="1"/>
  <c r="AM1060" i="1" s="1"/>
  <c r="AM1014" i="1" a="1"/>
  <c r="AM1014" i="1" s="1"/>
  <c r="AM959" i="1" a="1"/>
  <c r="AM959" i="1" s="1"/>
  <c r="AM920" i="1" a="1"/>
  <c r="AM920" i="1" s="1"/>
  <c r="AM895" i="1" a="1"/>
  <c r="AM895" i="1" s="1"/>
  <c r="AM1974" i="1" a="1"/>
  <c r="AM1974" i="1" s="1"/>
  <c r="AM1963" i="1" a="1"/>
  <c r="AM1963" i="1" s="1"/>
  <c r="AM1957" i="1" a="1"/>
  <c r="AM1957" i="1" s="1"/>
  <c r="AM1951" i="1" a="1"/>
  <c r="AM1951" i="1" s="1"/>
  <c r="AM2097" i="1" a="1"/>
  <c r="AM2097" i="1" s="1"/>
  <c r="AP2078" i="1"/>
  <c r="AP2073" i="1"/>
  <c r="AM2051" i="1" a="1"/>
  <c r="AM2051" i="1" s="1"/>
  <c r="AP2045" i="1"/>
  <c r="AP2039" i="1"/>
  <c r="AM2020" i="1" a="1"/>
  <c r="AM2020" i="1" s="1"/>
  <c r="AP2015" i="1"/>
  <c r="AP2009" i="1"/>
  <c r="AM1998" i="1" a="1"/>
  <c r="AM1998" i="1" s="1"/>
  <c r="AM1992" i="1" a="1"/>
  <c r="AM1992" i="1" s="1"/>
  <c r="AP1981" i="1"/>
  <c r="AM1738" i="1" a="1"/>
  <c r="AM1738" i="1" s="1"/>
  <c r="AM1691" i="1" a="1"/>
  <c r="AM1691" i="1" s="1"/>
  <c r="AM1663" i="1" a="1"/>
  <c r="AM1663" i="1" s="1"/>
  <c r="AM1624" i="1" a="1"/>
  <c r="AM1624" i="1" s="1"/>
  <c r="AM1581" i="1" a="1"/>
  <c r="AM1581" i="1" s="1"/>
  <c r="AM1544" i="1" a="1"/>
  <c r="AM1544" i="1" s="1"/>
  <c r="AM1516" i="1" a="1"/>
  <c r="AM1516" i="1" s="1"/>
  <c r="AM1486" i="1" a="1"/>
  <c r="AM1486" i="1" s="1"/>
  <c r="AM1457" i="1" a="1"/>
  <c r="AM1457" i="1" s="1"/>
  <c r="AM1430" i="1" a="1"/>
  <c r="AM1430" i="1" s="1"/>
  <c r="AM1406" i="1" a="1"/>
  <c r="AM1406" i="1" s="1"/>
  <c r="AM1381" i="1" a="1"/>
  <c r="AM1381" i="1" s="1"/>
  <c r="AM1354" i="1" a="1"/>
  <c r="AM1354" i="1" s="1"/>
  <c r="AM1328" i="1" a="1"/>
  <c r="AM1328" i="1" s="1"/>
  <c r="AM1296" i="1" a="1"/>
  <c r="AM1296" i="1" s="1"/>
  <c r="AM1239" i="1" a="1"/>
  <c r="AM1239" i="1" s="1"/>
  <c r="AM1176" i="1" a="1"/>
  <c r="AM1176" i="1" s="1"/>
  <c r="AM1133" i="1" a="1"/>
  <c r="AM1133" i="1" s="1"/>
  <c r="AM1059" i="1" a="1"/>
  <c r="AM1059" i="1" s="1"/>
  <c r="AM1002" i="1" a="1"/>
  <c r="AM1002" i="1" s="1"/>
  <c r="AM958" i="1" a="1"/>
  <c r="AM958" i="1" s="1"/>
  <c r="AM919" i="1" a="1"/>
  <c r="AM919" i="1" s="1"/>
  <c r="AM894" i="1" a="1"/>
  <c r="AM894" i="1" s="1"/>
  <c r="AP1968" i="1"/>
  <c r="AM1944" i="1" a="1"/>
  <c r="AM1944" i="1" s="1"/>
  <c r="AP1932" i="1"/>
  <c r="AM1911" i="1" a="1"/>
  <c r="AM1911" i="1" s="1"/>
  <c r="AM1905" i="1" a="1"/>
  <c r="AM1905" i="1" s="1"/>
  <c r="AM1889" i="1" a="1"/>
  <c r="AM1889" i="1" s="1"/>
  <c r="AM1883" i="1" a="1"/>
  <c r="AM1883" i="1" s="1"/>
  <c r="AM2113" i="1" a="1"/>
  <c r="AM2113" i="1" s="1"/>
  <c r="AM2100" i="1" a="1"/>
  <c r="AM2100" i="1" s="1"/>
  <c r="AM2078" i="1" a="1"/>
  <c r="AM2078" i="1" s="1"/>
  <c r="AM2073" i="1" a="1"/>
  <c r="AM2073" i="1" s="1"/>
  <c r="AM2045" i="1" a="1"/>
  <c r="AM2045" i="1" s="1"/>
  <c r="AM2039" i="1" a="1"/>
  <c r="AM2039" i="1" s="1"/>
  <c r="AP2025" i="1"/>
  <c r="AM2015" i="1" a="1"/>
  <c r="AM2015" i="1" s="1"/>
  <c r="AP1986" i="1"/>
  <c r="AM1981" i="1" a="1"/>
  <c r="AM1981" i="1" s="1"/>
  <c r="AM1737" i="1" a="1"/>
  <c r="AM1737" i="1" s="1"/>
  <c r="AM1689" i="1" a="1"/>
  <c r="AM1689" i="1" s="1"/>
  <c r="AM1662" i="1" a="1"/>
  <c r="AM1662" i="1" s="1"/>
  <c r="AM1620" i="1" a="1"/>
  <c r="AM1620" i="1" s="1"/>
  <c r="AM1580" i="1" a="1"/>
  <c r="AM1580" i="1" s="1"/>
  <c r="AM1542" i="1" a="1"/>
  <c r="AM1542" i="1" s="1"/>
  <c r="AM1515" i="1" a="1"/>
  <c r="AM1515" i="1" s="1"/>
  <c r="AM1485" i="1" a="1"/>
  <c r="AM1485" i="1" s="1"/>
  <c r="AM1456" i="1" a="1"/>
  <c r="AM1456" i="1" s="1"/>
  <c r="AM1429" i="1" a="1"/>
  <c r="AM1429" i="1" s="1"/>
  <c r="AM1405" i="1" a="1"/>
  <c r="AM1405" i="1" s="1"/>
  <c r="AM1380" i="1" a="1"/>
  <c r="AM1380" i="1" s="1"/>
  <c r="AM1353" i="1" a="1"/>
  <c r="AM1353" i="1" s="1"/>
  <c r="AM1327" i="1" a="1"/>
  <c r="AM1327" i="1" s="1"/>
  <c r="AM1295" i="1" a="1"/>
  <c r="AM1295" i="1" s="1"/>
  <c r="AM1238" i="1" a="1"/>
  <c r="AM1238" i="1" s="1"/>
  <c r="AM1175" i="1" a="1"/>
  <c r="AM1175" i="1" s="1"/>
  <c r="AM1132" i="1" a="1"/>
  <c r="AM1132" i="1" s="1"/>
  <c r="AM1058" i="1" a="1"/>
  <c r="AM1058" i="1" s="1"/>
  <c r="AM1001" i="1" a="1"/>
  <c r="AM1001" i="1" s="1"/>
  <c r="AM957" i="1" a="1"/>
  <c r="AM957" i="1" s="1"/>
  <c r="AM918" i="1" a="1"/>
  <c r="AM918" i="1" s="1"/>
  <c r="AM893" i="1" a="1"/>
  <c r="AM893" i="1" s="1"/>
  <c r="AO1979" i="1"/>
  <c r="AM1968" i="1" a="1"/>
  <c r="AM1968" i="1" s="1"/>
  <c r="AP2106" i="1"/>
  <c r="AP2080" i="1"/>
  <c r="AP2067" i="1"/>
  <c r="AP2061" i="1"/>
  <c r="AP2057" i="1"/>
  <c r="AP2033" i="1"/>
  <c r="AO2025" i="1"/>
  <c r="AM2009" i="1" a="1"/>
  <c r="AM2009" i="1" s="1"/>
  <c r="AP2003" i="1"/>
  <c r="AM1986" i="1" a="1"/>
  <c r="AM1986" i="1" s="1"/>
  <c r="AM1736" i="1" a="1"/>
  <c r="AM1736" i="1" s="1"/>
  <c r="AM1688" i="1" a="1"/>
  <c r="AM1688" i="1" s="1"/>
  <c r="AM1661" i="1" a="1"/>
  <c r="AM1661" i="1" s="1"/>
  <c r="AM1619" i="1" a="1"/>
  <c r="AM1619" i="1" s="1"/>
  <c r="AM1578" i="1" a="1"/>
  <c r="AM1578" i="1" s="1"/>
  <c r="AM1541" i="1" a="1"/>
  <c r="AM1541" i="1" s="1"/>
  <c r="AM1513" i="1" a="1"/>
  <c r="AM1513" i="1" s="1"/>
  <c r="AM1484" i="1" a="1"/>
  <c r="AM1484" i="1" s="1"/>
  <c r="AM1455" i="1" a="1"/>
  <c r="AM1455" i="1" s="1"/>
  <c r="AM1428" i="1" a="1"/>
  <c r="AM1428" i="1" s="1"/>
  <c r="AM1404" i="1" a="1"/>
  <c r="AM1404" i="1" s="1"/>
  <c r="AM1379" i="1" a="1"/>
  <c r="AM1379" i="1" s="1"/>
  <c r="AM1352" i="1" a="1"/>
  <c r="AM1352" i="1" s="1"/>
  <c r="AM1326" i="1" a="1"/>
  <c r="AM1326" i="1" s="1"/>
  <c r="AM1294" i="1" a="1"/>
  <c r="AM1294" i="1" s="1"/>
  <c r="AM1237" i="1" a="1"/>
  <c r="AM1237" i="1" s="1"/>
  <c r="AM1174" i="1" a="1"/>
  <c r="AM1174" i="1" s="1"/>
  <c r="AM1131" i="1" a="1"/>
  <c r="AM1131" i="1" s="1"/>
  <c r="AM1057" i="1" a="1"/>
  <c r="AM1057" i="1" s="1"/>
  <c r="AM1000" i="1" a="1"/>
  <c r="AM1000" i="1" s="1"/>
  <c r="AM956" i="1" a="1"/>
  <c r="AM956" i="1" s="1"/>
  <c r="AM917" i="1" a="1"/>
  <c r="AM917" i="1" s="1"/>
  <c r="AM892" i="1" a="1"/>
  <c r="AM892" i="1" s="1"/>
  <c r="AN1979" i="1"/>
  <c r="AP1962" i="1"/>
  <c r="AP1956" i="1"/>
  <c r="AP1950" i="1"/>
  <c r="AM1937" i="1" a="1"/>
  <c r="AM1937" i="1" s="1"/>
  <c r="AM1927" i="1" a="1"/>
  <c r="AM1927" i="1" s="1"/>
  <c r="AP1921" i="1"/>
  <c r="AP1916" i="1"/>
  <c r="AP1900" i="1"/>
  <c r="AP1894" i="1"/>
  <c r="AM2108" i="1" a="1"/>
  <c r="AM2108" i="1" s="1"/>
  <c r="AM2106" i="1" a="1"/>
  <c r="AM2106" i="1" s="1"/>
  <c r="AM2096" i="1" a="1"/>
  <c r="AM2096" i="1" s="1"/>
  <c r="AM2080" i="1" a="1"/>
  <c r="AM2080" i="1" s="1"/>
  <c r="AM2067" i="1" a="1"/>
  <c r="AM2067" i="1" s="1"/>
  <c r="AM2061" i="1" a="1"/>
  <c r="AM2061" i="1" s="1"/>
  <c r="AM2057" i="1" a="1"/>
  <c r="AM2057" i="1" s="1"/>
  <c r="AP2050" i="1"/>
  <c r="AM2033" i="1" a="1"/>
  <c r="AM2033" i="1" s="1"/>
  <c r="AN2025" i="1"/>
  <c r="AP2019" i="1"/>
  <c r="AM2003" i="1" a="1"/>
  <c r="AM2003" i="1" s="1"/>
  <c r="AP1997" i="1"/>
  <c r="AP1991" i="1"/>
  <c r="AM1735" i="1" a="1"/>
  <c r="AM1735" i="1" s="1"/>
  <c r="AM1686" i="1" a="1"/>
  <c r="AM1686" i="1" s="1"/>
  <c r="AM1660" i="1" a="1"/>
  <c r="AM1660" i="1" s="1"/>
  <c r="AM1616" i="1" a="1"/>
  <c r="AM1616" i="1" s="1"/>
  <c r="AM1576" i="1" a="1"/>
  <c r="AM1576" i="1" s="1"/>
  <c r="AM1540" i="1" a="1"/>
  <c r="AM1540" i="1" s="1"/>
  <c r="AM1512" i="1" a="1"/>
  <c r="AM1512" i="1" s="1"/>
  <c r="AM1483" i="1" a="1"/>
  <c r="AM1483" i="1" s="1"/>
  <c r="AM1454" i="1" a="1"/>
  <c r="AM1454" i="1" s="1"/>
  <c r="AM1427" i="1" a="1"/>
  <c r="AM1427" i="1" s="1"/>
  <c r="AM1403" i="1" a="1"/>
  <c r="AM1403" i="1" s="1"/>
  <c r="AM1377" i="1" a="1"/>
  <c r="AM1377" i="1" s="1"/>
  <c r="AM1351" i="1" a="1"/>
  <c r="AM1351" i="1" s="1"/>
  <c r="AM1325" i="1" a="1"/>
  <c r="AM1325" i="1" s="1"/>
  <c r="AM1293" i="1" a="1"/>
  <c r="AM1293" i="1" s="1"/>
  <c r="AM1236" i="1" a="1"/>
  <c r="AM1236" i="1" s="1"/>
  <c r="AM1173" i="1" a="1"/>
  <c r="AM1173" i="1" s="1"/>
  <c r="AM1128" i="1" a="1"/>
  <c r="AM1128" i="1" s="1"/>
  <c r="AM1056" i="1" a="1"/>
  <c r="AM1056" i="1" s="1"/>
  <c r="AM999" i="1" a="1"/>
  <c r="AM999" i="1" s="1"/>
  <c r="AM955" i="1" a="1"/>
  <c r="AM955" i="1" s="1"/>
  <c r="AM916" i="1" a="1"/>
  <c r="AM916" i="1" s="1"/>
  <c r="AM891" i="1" a="1"/>
  <c r="AM891" i="1" s="1"/>
  <c r="AP1973" i="1"/>
  <c r="AM1962" i="1" a="1"/>
  <c r="AM1962" i="1" s="1"/>
  <c r="AM1956" i="1" a="1"/>
  <c r="AM1956" i="1" s="1"/>
  <c r="AM1950" i="1" a="1"/>
  <c r="AM1950" i="1" s="1"/>
  <c r="AP1943" i="1"/>
  <c r="AP1931" i="1"/>
  <c r="AM1921" i="1" a="1"/>
  <c r="AM1921" i="1" s="1"/>
  <c r="AM1916" i="1" a="1"/>
  <c r="AM1916" i="1" s="1"/>
  <c r="AP1910" i="1"/>
  <c r="AP1904" i="1"/>
  <c r="AM2112" i="1" a="1"/>
  <c r="AM2112" i="1" s="1"/>
  <c r="AM2102" i="1" a="1"/>
  <c r="AM2102" i="1" s="1"/>
  <c r="AM2084" i="1" a="1"/>
  <c r="AM2084" i="1" s="1"/>
  <c r="AP2077" i="1"/>
  <c r="AP2072" i="1"/>
  <c r="AM2050" i="1" a="1"/>
  <c r="AM2050" i="1" s="1"/>
  <c r="AP2044" i="1"/>
  <c r="AM2025" i="1" a="1"/>
  <c r="AM2025" i="1" s="1"/>
  <c r="AO2019" i="1"/>
  <c r="AP2014" i="1"/>
  <c r="AM1997" i="1" a="1"/>
  <c r="AM1997" i="1" s="1"/>
  <c r="AM1991" i="1" a="1"/>
  <c r="AM1991" i="1" s="1"/>
  <c r="AP1980" i="1"/>
  <c r="AM1734" i="1" a="1"/>
  <c r="AM1734" i="1" s="1"/>
  <c r="AM1685" i="1" a="1"/>
  <c r="AM1685" i="1" s="1"/>
  <c r="AM1659" i="1" a="1"/>
  <c r="AM1659" i="1" s="1"/>
  <c r="AM1615" i="1" a="1"/>
  <c r="AM1615" i="1" s="1"/>
  <c r="AM1575" i="1" a="1"/>
  <c r="AM1575" i="1" s="1"/>
  <c r="AM1538" i="1" a="1"/>
  <c r="AM1538" i="1" s="1"/>
  <c r="AM1511" i="1" a="1"/>
  <c r="AM1511" i="1" s="1"/>
  <c r="AM1482" i="1" a="1"/>
  <c r="AM1482" i="1" s="1"/>
  <c r="AM1453" i="1" a="1"/>
  <c r="AM1453" i="1" s="1"/>
  <c r="AM1426" i="1" a="1"/>
  <c r="AM1426" i="1" s="1"/>
  <c r="AM1402" i="1" a="1"/>
  <c r="AM1402" i="1" s="1"/>
  <c r="AM1376" i="1" a="1"/>
  <c r="AM1376" i="1" s="1"/>
  <c r="AM1350" i="1" a="1"/>
  <c r="AM1350" i="1" s="1"/>
  <c r="AM1324" i="1" a="1"/>
  <c r="AM1324" i="1" s="1"/>
  <c r="AM1292" i="1" a="1"/>
  <c r="AM1292" i="1" s="1"/>
  <c r="AM1235" i="1" a="1"/>
  <c r="AM1235" i="1" s="1"/>
  <c r="AM1172" i="1" a="1"/>
  <c r="AM1172" i="1" s="1"/>
  <c r="AM1127" i="1" a="1"/>
  <c r="AM1127" i="1" s="1"/>
  <c r="AM1047" i="1" a="1"/>
  <c r="AM1047" i="1" s="1"/>
  <c r="AM998" i="1" a="1"/>
  <c r="AM998" i="1" s="1"/>
  <c r="AM954" i="1" a="1"/>
  <c r="AM954" i="1" s="1"/>
  <c r="AM915" i="1" a="1"/>
  <c r="AM915" i="1" s="1"/>
  <c r="AH1979" i="1"/>
  <c r="AM1973" i="1" a="1"/>
  <c r="AM1973" i="1" s="1"/>
  <c r="AP1967" i="1"/>
  <c r="AM1943" i="1" a="1"/>
  <c r="AM1943" i="1" s="1"/>
  <c r="AM1931" i="1" a="1"/>
  <c r="AM1931" i="1" s="1"/>
  <c r="AM1910" i="1" a="1"/>
  <c r="AM1910" i="1" s="1"/>
  <c r="AM1904" i="1" a="1"/>
  <c r="AM1904" i="1" s="1"/>
  <c r="AM2077" i="1" a="1"/>
  <c r="AM2077" i="1" s="1"/>
  <c r="AM2072" i="1" a="1"/>
  <c r="AM2072" i="1" s="1"/>
  <c r="AM2044" i="1" a="1"/>
  <c r="AM2044" i="1" s="1"/>
  <c r="AP2038" i="1"/>
  <c r="AN2019" i="1"/>
  <c r="AM2014" i="1" a="1"/>
  <c r="AM2014" i="1" s="1"/>
  <c r="AP2008" i="1"/>
  <c r="AP1985" i="1"/>
  <c r="AM1980" i="1" a="1"/>
  <c r="AM1980" i="1" s="1"/>
  <c r="AM1732" i="1" a="1"/>
  <c r="AM1732" i="1" s="1"/>
  <c r="AM1684" i="1" a="1"/>
  <c r="AM1684" i="1" s="1"/>
  <c r="AM1657" i="1" a="1"/>
  <c r="AM1657" i="1" s="1"/>
  <c r="AM1614" i="1" a="1"/>
  <c r="AM1614" i="1" s="1"/>
  <c r="AM1574" i="1" a="1"/>
  <c r="AM1574" i="1" s="1"/>
  <c r="AM1537" i="1" a="1"/>
  <c r="AM1537" i="1" s="1"/>
  <c r="AM1510" i="1" a="1"/>
  <c r="AM1510" i="1" s="1"/>
  <c r="AM1481" i="1" a="1"/>
  <c r="AM1481" i="1" s="1"/>
  <c r="AM1452" i="1" a="1"/>
  <c r="AM1452" i="1" s="1"/>
  <c r="AM1425" i="1" a="1"/>
  <c r="AM1425" i="1" s="1"/>
  <c r="AM1401" i="1" a="1"/>
  <c r="AM1401" i="1" s="1"/>
  <c r="AM1375" i="1" a="1"/>
  <c r="AM1375" i="1" s="1"/>
  <c r="AM1349" i="1" a="1"/>
  <c r="AM1349" i="1" s="1"/>
  <c r="AM1323" i="1" a="1"/>
  <c r="AM1323" i="1" s="1"/>
  <c r="AM1291" i="1" a="1"/>
  <c r="AM1291" i="1" s="1"/>
  <c r="AM1234" i="1" a="1"/>
  <c r="AM1234" i="1" s="1"/>
  <c r="AM1171" i="1" a="1"/>
  <c r="AM1171" i="1" s="1"/>
  <c r="AM1126" i="1" a="1"/>
  <c r="AM1126" i="1" s="1"/>
  <c r="AM1040" i="1" a="1"/>
  <c r="AM1040" i="1" s="1"/>
  <c r="AM995" i="1" a="1"/>
  <c r="AM995" i="1" s="1"/>
  <c r="AM953" i="1" a="1"/>
  <c r="AM953" i="1" s="1"/>
  <c r="AM914" i="1" a="1"/>
  <c r="AM914" i="1" s="1"/>
  <c r="AM1967" i="1" a="1"/>
  <c r="AM1967" i="1" s="1"/>
  <c r="AP1926" i="1"/>
  <c r="AM2105" i="1" a="1"/>
  <c r="AM2105" i="1" s="1"/>
  <c r="AM2095" i="1" a="1"/>
  <c r="AM2095" i="1" s="1"/>
  <c r="AP2083" i="1"/>
  <c r="AP2066" i="1"/>
  <c r="AP2060" i="1"/>
  <c r="AP2056" i="1"/>
  <c r="AM2038" i="1" a="1"/>
  <c r="AM2038" i="1" s="1"/>
  <c r="AP2032" i="1"/>
  <c r="AM2019" i="1" a="1"/>
  <c r="AM2019" i="1" s="1"/>
  <c r="AM2008" i="1" a="1"/>
  <c r="AM2008" i="1" s="1"/>
  <c r="AP2002" i="1"/>
  <c r="AM1985" i="1" a="1"/>
  <c r="AM1985" i="1" s="1"/>
  <c r="AM1730" i="1" a="1"/>
  <c r="AM1730" i="1" s="1"/>
  <c r="AM1683" i="1" a="1"/>
  <c r="AM1683" i="1" s="1"/>
  <c r="AM1655" i="1" a="1"/>
  <c r="AM1655" i="1" s="1"/>
  <c r="AM1611" i="1" a="1"/>
  <c r="AM1611" i="1" s="1"/>
  <c r="AM1573" i="1" a="1"/>
  <c r="AM1573" i="1" s="1"/>
  <c r="AM1536" i="1" a="1"/>
  <c r="AM1536" i="1" s="1"/>
  <c r="AM1509" i="1" a="1"/>
  <c r="AM1509" i="1" s="1"/>
  <c r="AM1480" i="1" a="1"/>
  <c r="AM1480" i="1" s="1"/>
  <c r="AM1450" i="1" a="1"/>
  <c r="AM1450" i="1" s="1"/>
  <c r="AM1424" i="1" a="1"/>
  <c r="AM1424" i="1" s="1"/>
  <c r="AM1400" i="1" a="1"/>
  <c r="AM1400" i="1" s="1"/>
  <c r="AM1374" i="1" a="1"/>
  <c r="AM1374" i="1" s="1"/>
  <c r="AM1348" i="1" a="1"/>
  <c r="AM1348" i="1" s="1"/>
  <c r="AM1322" i="1" a="1"/>
  <c r="AM1322" i="1" s="1"/>
  <c r="AM1290" i="1" a="1"/>
  <c r="AM1290" i="1" s="1"/>
  <c r="AM1233" i="1" a="1"/>
  <c r="AM1233" i="1" s="1"/>
  <c r="AM1170" i="1" a="1"/>
  <c r="AM1170" i="1" s="1"/>
  <c r="AM1125" i="1" a="1"/>
  <c r="AM1125" i="1" s="1"/>
  <c r="AM1038" i="1" a="1"/>
  <c r="AM1038" i="1" s="1"/>
  <c r="AM993" i="1" a="1"/>
  <c r="AM993" i="1" s="1"/>
  <c r="AM952" i="1" a="1"/>
  <c r="AM952" i="1" s="1"/>
  <c r="AM913" i="1" a="1"/>
  <c r="AM913" i="1" s="1"/>
  <c r="AO1978" i="1"/>
  <c r="AP1961" i="1"/>
  <c r="AP1955" i="1"/>
  <c r="AP1949" i="1"/>
  <c r="AM1926" i="1" a="1"/>
  <c r="AM1926" i="1" s="1"/>
  <c r="AP1920" i="1"/>
  <c r="AP1915" i="1"/>
  <c r="AM2116" i="1" a="1"/>
  <c r="AM2116" i="1" s="1"/>
  <c r="AM2111" i="1" a="1"/>
  <c r="AM2111" i="1" s="1"/>
  <c r="AM2101" i="1" a="1"/>
  <c r="AM2101" i="1" s="1"/>
  <c r="AM2066" i="1" a="1"/>
  <c r="AM2066" i="1" s="1"/>
  <c r="AM2060" i="1" a="1"/>
  <c r="AM2060" i="1" s="1"/>
  <c r="AP2049" i="1"/>
  <c r="AP2024" i="1"/>
  <c r="AM2002" i="1" a="1"/>
  <c r="AM2002" i="1" s="1"/>
  <c r="AP1996" i="1"/>
  <c r="AP1990" i="1"/>
  <c r="AM1728" i="1" a="1"/>
  <c r="AM1728" i="1" s="1"/>
  <c r="AM1682" i="1" a="1"/>
  <c r="AM1682" i="1" s="1"/>
  <c r="AM1652" i="1" a="1"/>
  <c r="AM1652" i="1" s="1"/>
  <c r="AM1606" i="1" a="1"/>
  <c r="AM1606" i="1" s="1"/>
  <c r="AM1572" i="1" a="1"/>
  <c r="AM1572" i="1" s="1"/>
  <c r="AM1535" i="1" a="1"/>
  <c r="AM1535" i="1" s="1"/>
  <c r="AM1507" i="1" a="1"/>
  <c r="AM1507" i="1" s="1"/>
  <c r="AM1479" i="1" a="1"/>
  <c r="AM1479" i="1" s="1"/>
  <c r="AM1449" i="1" a="1"/>
  <c r="AM1449" i="1" s="1"/>
  <c r="AM1423" i="1" a="1"/>
  <c r="AM1423" i="1" s="1"/>
  <c r="AM1398" i="1" a="1"/>
  <c r="AM1398" i="1" s="1"/>
  <c r="AM1373" i="1" a="1"/>
  <c r="AM1373" i="1" s="1"/>
  <c r="AM1346" i="1" a="1"/>
  <c r="AM1346" i="1" s="1"/>
  <c r="AM1321" i="1" a="1"/>
  <c r="AM1321" i="1" s="1"/>
  <c r="AM1289" i="1" a="1"/>
  <c r="AM1289" i="1" s="1"/>
  <c r="AM1232" i="1" a="1"/>
  <c r="AM1232" i="1" s="1"/>
  <c r="AM1164" i="1" a="1"/>
  <c r="AM1164" i="1" s="1"/>
  <c r="AM1122" i="1" a="1"/>
  <c r="AM1122" i="1" s="1"/>
  <c r="AM1036" i="1" a="1"/>
  <c r="AM1036" i="1" s="1"/>
  <c r="AM988" i="1" a="1"/>
  <c r="AM988" i="1" s="1"/>
  <c r="AM951" i="1" a="1"/>
  <c r="AM951" i="1" s="1"/>
  <c r="AM912" i="1" a="1"/>
  <c r="AM912" i="1" s="1"/>
  <c r="AN1978" i="1"/>
  <c r="AP1972" i="1"/>
  <c r="AM1961" i="1" a="1"/>
  <c r="AM1961" i="1" s="1"/>
  <c r="AM1955" i="1" a="1"/>
  <c r="AM1955" i="1" s="1"/>
  <c r="AM1949" i="1" a="1"/>
  <c r="AM1949" i="1" s="1"/>
  <c r="AP1942" i="1"/>
  <c r="AP1930" i="1"/>
  <c r="AM1920" i="1" a="1"/>
  <c r="AM1920" i="1" s="1"/>
  <c r="AM1915" i="1" a="1"/>
  <c r="AM1915" i="1" s="1"/>
  <c r="AP1909" i="1"/>
  <c r="AP1903" i="1"/>
  <c r="AM1899" i="1" a="1"/>
  <c r="AM1899" i="1" s="1"/>
  <c r="AM1893" i="1" a="1"/>
  <c r="AM1893" i="1" s="1"/>
  <c r="AP1887" i="1"/>
  <c r="AP1881" i="1"/>
  <c r="AM2091" i="1" a="1"/>
  <c r="AM2091" i="1" s="1"/>
  <c r="AM2083" i="1" a="1"/>
  <c r="AM2083" i="1" s="1"/>
  <c r="AP2071" i="1"/>
  <c r="AM2056" i="1" a="1"/>
  <c r="AM2056" i="1" s="1"/>
  <c r="AM2049" i="1" a="1"/>
  <c r="AM2049" i="1" s="1"/>
  <c r="AP2043" i="1"/>
  <c r="AM2032" i="1" a="1"/>
  <c r="AM2032" i="1" s="1"/>
  <c r="AM2024" i="1" a="1"/>
  <c r="AM2024" i="1" s="1"/>
  <c r="AP2013" i="1"/>
  <c r="AM1996" i="1" a="1"/>
  <c r="AM1996" i="1" s="1"/>
  <c r="AM1990" i="1" a="1"/>
  <c r="AM1990" i="1" s="1"/>
  <c r="AM1727" i="1" a="1"/>
  <c r="AM1727" i="1" s="1"/>
  <c r="AM1681" i="1" a="1"/>
  <c r="AM1681" i="1" s="1"/>
  <c r="AM1651" i="1" a="1"/>
  <c r="AM1651" i="1" s="1"/>
  <c r="AM1605" i="1" a="1"/>
  <c r="AM1605" i="1" s="1"/>
  <c r="AM1568" i="1" a="1"/>
  <c r="AM1568" i="1" s="1"/>
  <c r="AM1534" i="1" a="1"/>
  <c r="AM1534" i="1" s="1"/>
  <c r="AM1505" i="1" a="1"/>
  <c r="AM1505" i="1" s="1"/>
  <c r="AM1478" i="1" a="1"/>
  <c r="AM1478" i="1" s="1"/>
  <c r="AM1448" i="1" a="1"/>
  <c r="AM1448" i="1" s="1"/>
  <c r="AM1422" i="1" a="1"/>
  <c r="AM1422" i="1" s="1"/>
  <c r="AM1397" i="1" a="1"/>
  <c r="AM1397" i="1" s="1"/>
  <c r="AM1372" i="1" a="1"/>
  <c r="AM1372" i="1" s="1"/>
  <c r="AM1345" i="1" a="1"/>
  <c r="AM1345" i="1" s="1"/>
  <c r="AM1320" i="1" a="1"/>
  <c r="AM1320" i="1" s="1"/>
  <c r="AM1288" i="1" a="1"/>
  <c r="AM1288" i="1" s="1"/>
  <c r="AM1231" i="1" a="1"/>
  <c r="AM1231" i="1" s="1"/>
  <c r="AM1163" i="1" a="1"/>
  <c r="AM1163" i="1" s="1"/>
  <c r="AM1121" i="1" a="1"/>
  <c r="AM1121" i="1" s="1"/>
  <c r="AM1032" i="1" a="1"/>
  <c r="AM1032" i="1" s="1"/>
  <c r="AM987" i="1" a="1"/>
  <c r="AM987" i="1" s="1"/>
  <c r="AM950" i="1" a="1"/>
  <c r="AM950" i="1" s="1"/>
  <c r="AM911" i="1" a="1"/>
  <c r="AM911" i="1" s="1"/>
  <c r="AM1978" i="1" a="1"/>
  <c r="AM1978" i="1" s="1"/>
  <c r="AM1972" i="1" a="1"/>
  <c r="AM1972" i="1" s="1"/>
  <c r="AM1942" i="1" a="1"/>
  <c r="AM1942" i="1" s="1"/>
  <c r="AP1936" i="1"/>
  <c r="AO1930" i="1"/>
  <c r="AM1909" i="1" a="1"/>
  <c r="AM1909" i="1" s="1"/>
  <c r="AM1903" i="1" a="1"/>
  <c r="AM1903" i="1" s="1"/>
  <c r="AM1887" i="1" a="1"/>
  <c r="AM1887" i="1" s="1"/>
  <c r="AM1881" i="1" a="1"/>
  <c r="AM1881" i="1" s="1"/>
  <c r="AP1858" i="1"/>
  <c r="AM1842" i="1" a="1"/>
  <c r="AM1842" i="1" s="1"/>
  <c r="AN1835" i="1"/>
  <c r="AP1830" i="1"/>
  <c r="AM1797" i="1" a="1"/>
  <c r="AM1797" i="1" s="1"/>
  <c r="AM1790" i="1" a="1"/>
  <c r="AM1790" i="1" s="1"/>
  <c r="AM2104" i="1" a="1"/>
  <c r="AM2104" i="1" s="1"/>
  <c r="AM2094" i="1" a="1"/>
  <c r="AM2094" i="1" s="1"/>
  <c r="AM2071" i="1" a="1"/>
  <c r="AM2071" i="1" s="1"/>
  <c r="AM2043" i="1" a="1"/>
  <c r="AM2043" i="1" s="1"/>
  <c r="AP2037" i="1"/>
  <c r="AP2028" i="1"/>
  <c r="AP2018" i="1"/>
  <c r="AM2013" i="1" a="1"/>
  <c r="AM2013" i="1" s="1"/>
  <c r="AP1984" i="1"/>
  <c r="AM1726" i="1" a="1"/>
  <c r="AM1726" i="1" s="1"/>
  <c r="AM1679" i="1" a="1"/>
  <c r="AM1679" i="1" s="1"/>
  <c r="AM1650" i="1" a="1"/>
  <c r="AM1650" i="1" s="1"/>
  <c r="AM1603" i="1" a="1"/>
  <c r="AM1603" i="1" s="1"/>
  <c r="AM1565" i="1" a="1"/>
  <c r="AM1565" i="1" s="1"/>
  <c r="AM1533" i="1" a="1"/>
  <c r="AM1533" i="1" s="1"/>
  <c r="AM1503" i="1" a="1"/>
  <c r="AM1503" i="1" s="1"/>
  <c r="AM1477" i="1" a="1"/>
  <c r="AM1477" i="1" s="1"/>
  <c r="AM1447" i="1" a="1"/>
  <c r="AM1447" i="1" s="1"/>
  <c r="AM1421" i="1" a="1"/>
  <c r="AM1421" i="1" s="1"/>
  <c r="AM1396" i="1" a="1"/>
  <c r="AM1396" i="1" s="1"/>
  <c r="AM1371" i="1" a="1"/>
  <c r="AM1371" i="1" s="1"/>
  <c r="AM1344" i="1" a="1"/>
  <c r="AM1344" i="1" s="1"/>
  <c r="AM1319" i="1" a="1"/>
  <c r="AM1319" i="1" s="1"/>
  <c r="AM1287" i="1" a="1"/>
  <c r="AM1287" i="1" s="1"/>
  <c r="AM1230" i="1" a="1"/>
  <c r="AM1230" i="1" s="1"/>
  <c r="AM1162" i="1" a="1"/>
  <c r="AM1162" i="1" s="1"/>
  <c r="AM1114" i="1" a="1"/>
  <c r="AM1114" i="1" s="1"/>
  <c r="AM1031" i="1" a="1"/>
  <c r="AM1031" i="1" s="1"/>
  <c r="AM981" i="1" a="1"/>
  <c r="AM981" i="1" s="1"/>
  <c r="AM940" i="1" a="1"/>
  <c r="AM940" i="1" s="1"/>
  <c r="AM910" i="1" a="1"/>
  <c r="AM910" i="1" s="1"/>
  <c r="AP1966" i="1"/>
  <c r="AM1936" i="1" a="1"/>
  <c r="AM1936" i="1" s="1"/>
  <c r="AN1930" i="1"/>
  <c r="AP1925" i="1"/>
  <c r="AM2115" i="1" a="1"/>
  <c r="AM2115" i="1" s="1"/>
  <c r="AP2065" i="1"/>
  <c r="AP2054" i="1"/>
  <c r="AM2037" i="1" a="1"/>
  <c r="AM2037" i="1" s="1"/>
  <c r="AO2028" i="1"/>
  <c r="AP2007" i="1"/>
  <c r="AP2001" i="1"/>
  <c r="AM1984" i="1" a="1"/>
  <c r="AM1984" i="1" s="1"/>
  <c r="AM1767" i="1" a="1"/>
  <c r="AM1767" i="1" s="1"/>
  <c r="AM1725" i="1" a="1"/>
  <c r="AM1725" i="1" s="1"/>
  <c r="AM1678" i="1" a="1"/>
  <c r="AM1678" i="1" s="1"/>
  <c r="AM1649" i="1" a="1"/>
  <c r="AM1649" i="1" s="1"/>
  <c r="AM1602" i="1" a="1"/>
  <c r="AM1602" i="1" s="1"/>
  <c r="AM1563" i="1" a="1"/>
  <c r="AM1563" i="1" s="1"/>
  <c r="AM1532" i="1" a="1"/>
  <c r="AM1532" i="1" s="1"/>
  <c r="AM1502" i="1" a="1"/>
  <c r="AM1502" i="1" s="1"/>
  <c r="AM1476" i="1" a="1"/>
  <c r="AM1476" i="1" s="1"/>
  <c r="AM1446" i="1" a="1"/>
  <c r="AM1446" i="1" s="1"/>
  <c r="AM1420" i="1" a="1"/>
  <c r="AM1420" i="1" s="1"/>
  <c r="AM1395" i="1" a="1"/>
  <c r="AM1395" i="1" s="1"/>
  <c r="AM1370" i="1" a="1"/>
  <c r="AM1370" i="1" s="1"/>
  <c r="AM1343" i="1" a="1"/>
  <c r="AM1343" i="1" s="1"/>
  <c r="AM1318" i="1" a="1"/>
  <c r="AM1318" i="1" s="1"/>
  <c r="AM1286" i="1" a="1"/>
  <c r="AM1286" i="1" s="1"/>
  <c r="AM1229" i="1" a="1"/>
  <c r="AM1229" i="1" s="1"/>
  <c r="AM1161" i="1" a="1"/>
  <c r="AM1161" i="1" s="1"/>
  <c r="AM1113" i="1" a="1"/>
  <c r="AM1113" i="1" s="1"/>
  <c r="AM1030" i="1" a="1"/>
  <c r="AM1030" i="1" s="1"/>
  <c r="AM980" i="1" a="1"/>
  <c r="AM980" i="1" s="1"/>
  <c r="AM939" i="1" a="1"/>
  <c r="AM939" i="1" s="1"/>
  <c r="AM909" i="1" a="1"/>
  <c r="AM909" i="1" s="1"/>
  <c r="AP1977" i="1"/>
  <c r="AM1966" i="1" a="1"/>
  <c r="AM1966" i="1" s="1"/>
  <c r="AP1960" i="1"/>
  <c r="AP1954" i="1"/>
  <c r="AP1947" i="1"/>
  <c r="AM1930" i="1" a="1"/>
  <c r="AM1930" i="1" s="1"/>
  <c r="AM1925" i="1" a="1"/>
  <c r="AM1925" i="1" s="1"/>
  <c r="AP1919" i="1"/>
  <c r="AP1914" i="1"/>
  <c r="AP1898" i="1"/>
  <c r="AP1892" i="1"/>
  <c r="AP2119" i="1"/>
  <c r="AP2103" i="1"/>
  <c r="AM2065" i="1" a="1"/>
  <c r="AM2065" i="1" s="1"/>
  <c r="AP2055" i="1"/>
  <c r="AM2054" i="1" a="1"/>
  <c r="AM2054" i="1" s="1"/>
  <c r="AP2048" i="1"/>
  <c r="AP2031" i="1"/>
  <c r="AN2028" i="1"/>
  <c r="AP2023" i="1"/>
  <c r="AM2018" i="1" a="1"/>
  <c r="AM2018" i="1" s="1"/>
  <c r="AM2007" i="1" a="1"/>
  <c r="AM2007" i="1" s="1"/>
  <c r="AM2001" i="1" a="1"/>
  <c r="AM2001" i="1" s="1"/>
  <c r="AP1995" i="1"/>
  <c r="AP1989" i="1"/>
  <c r="AM1756" i="1" a="1"/>
  <c r="AM1756" i="1" s="1"/>
  <c r="AM1724" i="1" a="1"/>
  <c r="AM1724" i="1" s="1"/>
  <c r="AM1677" i="1" a="1"/>
  <c r="AM1677" i="1" s="1"/>
  <c r="AM1648" i="1" a="1"/>
  <c r="AM1648" i="1" s="1"/>
  <c r="AM1598" i="1" a="1"/>
  <c r="AM1598" i="1" s="1"/>
  <c r="AM1562" i="1" a="1"/>
  <c r="AM1562" i="1" s="1"/>
  <c r="AM1531" i="1" a="1"/>
  <c r="AM1531" i="1" s="1"/>
  <c r="AM1501" i="1" a="1"/>
  <c r="AM1501" i="1" s="1"/>
  <c r="AM1475" i="1" a="1"/>
  <c r="AM1475" i="1" s="1"/>
  <c r="AM1445" i="1" a="1"/>
  <c r="AM1445" i="1" s="1"/>
  <c r="AM1419" i="1" a="1"/>
  <c r="AM1419" i="1" s="1"/>
  <c r="AM1394" i="1" a="1"/>
  <c r="AM1394" i="1" s="1"/>
  <c r="AM1369" i="1" a="1"/>
  <c r="AM1369" i="1" s="1"/>
  <c r="AM1342" i="1" a="1"/>
  <c r="AM1342" i="1" s="1"/>
  <c r="AM1310" i="1" a="1"/>
  <c r="AM1310" i="1" s="1"/>
  <c r="AM1285" i="1" a="1"/>
  <c r="AM1285" i="1" s="1"/>
  <c r="AM1228" i="1" a="1"/>
  <c r="AM1228" i="1" s="1"/>
  <c r="AM1160" i="1" a="1"/>
  <c r="AM1160" i="1" s="1"/>
  <c r="AM1102" i="1" a="1"/>
  <c r="AM1102" i="1" s="1"/>
  <c r="AM1029" i="1" a="1"/>
  <c r="AM1029" i="1" s="1"/>
  <c r="AM979" i="1" a="1"/>
  <c r="AM979" i="1" s="1"/>
  <c r="AM933" i="1" a="1"/>
  <c r="AM933" i="1" s="1"/>
  <c r="AM908" i="1" a="1"/>
  <c r="AM908" i="1" s="1"/>
  <c r="AM1977" i="1" a="1"/>
  <c r="AM1977" i="1" s="1"/>
  <c r="AP1971" i="1"/>
  <c r="AM1960" i="1" a="1"/>
  <c r="AM1960" i="1" s="1"/>
  <c r="AM1954" i="1" a="1"/>
  <c r="AM1954" i="1" s="1"/>
  <c r="AM1947" i="1" a="1"/>
  <c r="AM1947" i="1" s="1"/>
  <c r="AP1941" i="1"/>
  <c r="AM1919" i="1" a="1"/>
  <c r="AM1919" i="1" s="1"/>
  <c r="AM1914" i="1" a="1"/>
  <c r="AM1914" i="1" s="1"/>
  <c r="AP1908" i="1"/>
  <c r="AP1902" i="1"/>
  <c r="AM1898" i="1" a="1"/>
  <c r="AM1898" i="1" s="1"/>
  <c r="AM1892" i="1" a="1"/>
  <c r="AM1892" i="1" s="1"/>
  <c r="AP1886" i="1"/>
  <c r="AM1877" i="1" a="1"/>
  <c r="AM1877" i="1" s="1"/>
  <c r="AM1870" i="1" a="1"/>
  <c r="AM1870" i="1" s="1"/>
  <c r="AP1847" i="1"/>
  <c r="AO1841" i="1"/>
  <c r="AP2123" i="1"/>
  <c r="AM2119" i="1" a="1"/>
  <c r="AM2119" i="1" s="1"/>
  <c r="AM2055" i="1" a="1"/>
  <c r="AM2055" i="1" s="1"/>
  <c r="AM2048" i="1" a="1"/>
  <c r="AM2048" i="1" s="1"/>
  <c r="AP2042" i="1"/>
  <c r="AM2031" i="1" a="1"/>
  <c r="AM2031" i="1" s="1"/>
  <c r="AM2028" i="1" a="1"/>
  <c r="AM2028" i="1" s="1"/>
  <c r="AM2023" i="1" a="1"/>
  <c r="AM2023" i="1" s="1"/>
  <c r="AP2012" i="1"/>
  <c r="AM1995" i="1" a="1"/>
  <c r="AM1995" i="1" s="1"/>
  <c r="AM1989" i="1" a="1"/>
  <c r="AM1989" i="1" s="1"/>
  <c r="AM1755" i="1" a="1"/>
  <c r="AM1755" i="1" s="1"/>
  <c r="AM1721" i="1" a="1"/>
  <c r="AM1721" i="1" s="1"/>
  <c r="AM1675" i="1" a="1"/>
  <c r="AM1675" i="1" s="1"/>
  <c r="AM1645" i="1" a="1"/>
  <c r="AM1645" i="1" s="1"/>
  <c r="AM1597" i="1" a="1"/>
  <c r="AM1597" i="1" s="1"/>
  <c r="AM1560" i="1" a="1"/>
  <c r="AM1560" i="1" s="1"/>
  <c r="AM1530" i="1" a="1"/>
  <c r="AM1530" i="1" s="1"/>
  <c r="AM1500" i="1" a="1"/>
  <c r="AM1500" i="1" s="1"/>
  <c r="AM1472" i="1" a="1"/>
  <c r="AM1472" i="1" s="1"/>
  <c r="AM1444" i="1" a="1"/>
  <c r="AM1444" i="1" s="1"/>
  <c r="AM1418" i="1" a="1"/>
  <c r="AM1418" i="1" s="1"/>
  <c r="AM1393" i="1" a="1"/>
  <c r="AM1393" i="1" s="1"/>
  <c r="AM1368" i="1" a="1"/>
  <c r="AM1368" i="1" s="1"/>
  <c r="AM1341" i="1" a="1"/>
  <c r="AM1341" i="1" s="1"/>
  <c r="AM1309" i="1" a="1"/>
  <c r="AM1309" i="1" s="1"/>
  <c r="AM1284" i="1" a="1"/>
  <c r="AM1284" i="1" s="1"/>
  <c r="AM1227" i="1" a="1"/>
  <c r="AM1227" i="1" s="1"/>
  <c r="AM1156" i="1" a="1"/>
  <c r="AM1156" i="1" s="1"/>
  <c r="AM1101" i="1" a="1"/>
  <c r="AM1101" i="1" s="1"/>
  <c r="AM1028" i="1" a="1"/>
  <c r="AM1028" i="1" s="1"/>
  <c r="AM978" i="1" a="1"/>
  <c r="AM978" i="1" s="1"/>
  <c r="AM932" i="1" a="1"/>
  <c r="AM932" i="1" s="1"/>
  <c r="AM907" i="1" a="1"/>
  <c r="AM907" i="1" s="1"/>
  <c r="AM1971" i="1" a="1"/>
  <c r="AM1971" i="1" s="1"/>
  <c r="AM1941" i="1" a="1"/>
  <c r="AM1941" i="1" s="1"/>
  <c r="AM1908" i="1" a="1"/>
  <c r="AM1908" i="1" s="1"/>
  <c r="AM1902" i="1" a="1"/>
  <c r="AM1902" i="1" s="1"/>
  <c r="AM2114" i="1" a="1"/>
  <c r="AM2114" i="1" s="1"/>
  <c r="AM2087" i="1" a="1"/>
  <c r="AM2087" i="1" s="1"/>
  <c r="AP2070" i="1"/>
  <c r="AM2042" i="1" a="1"/>
  <c r="AM2042" i="1" s="1"/>
  <c r="AP2036" i="1"/>
  <c r="AM2012" i="1" a="1"/>
  <c r="AM2012" i="1" s="1"/>
  <c r="AM1754" i="1" a="1"/>
  <c r="AM1754" i="1" s="1"/>
  <c r="AM1720" i="1" a="1"/>
  <c r="AM1720" i="1" s="1"/>
  <c r="AM1674" i="1" a="1"/>
  <c r="AM1674" i="1" s="1"/>
  <c r="AM1643" i="1" a="1"/>
  <c r="AM1643" i="1" s="1"/>
  <c r="AM1596" i="1" a="1"/>
  <c r="AM1596" i="1" s="1"/>
  <c r="AM1559" i="1" a="1"/>
  <c r="AM1559" i="1" s="1"/>
  <c r="AM1529" i="1" a="1"/>
  <c r="AM1529" i="1" s="1"/>
  <c r="AM1499" i="1" a="1"/>
  <c r="AM1499" i="1" s="1"/>
  <c r="AM1471" i="1" a="1"/>
  <c r="AM1471" i="1" s="1"/>
  <c r="AM1443" i="1" a="1"/>
  <c r="AM1443" i="1" s="1"/>
  <c r="AM1417" i="1" a="1"/>
  <c r="AM1417" i="1" s="1"/>
  <c r="AM1392" i="1" a="1"/>
  <c r="AM1392" i="1" s="1"/>
  <c r="AM1367" i="1" a="1"/>
  <c r="AM1367" i="1" s="1"/>
  <c r="AM1340" i="1" a="1"/>
  <c r="AM1340" i="1" s="1"/>
  <c r="AM1308" i="1" a="1"/>
  <c r="AM1308" i="1" s="1"/>
  <c r="AM1281" i="1" a="1"/>
  <c r="AM1281" i="1" s="1"/>
  <c r="AM1226" i="1" a="1"/>
  <c r="AM1226" i="1" s="1"/>
  <c r="AM1155" i="1" a="1"/>
  <c r="AM1155" i="1" s="1"/>
  <c r="AM1100" i="1" a="1"/>
  <c r="AM1100" i="1" s="1"/>
  <c r="AM1027" i="1" a="1"/>
  <c r="AM1027" i="1" s="1"/>
  <c r="AM977" i="1" a="1"/>
  <c r="AM977" i="1" s="1"/>
  <c r="AM931" i="1" a="1"/>
  <c r="AM931" i="1" s="1"/>
  <c r="AM906" i="1" a="1"/>
  <c r="AM906" i="1" s="1"/>
  <c r="AP1965" i="1"/>
  <c r="AP1935" i="1"/>
  <c r="AP1924" i="1"/>
  <c r="AM1880" i="1" a="1"/>
  <c r="AM1880" i="1" s="1"/>
  <c r="AP2090" i="1"/>
  <c r="AP2076" i="1"/>
  <c r="AM2070" i="1" a="1"/>
  <c r="AM2070" i="1" s="1"/>
  <c r="AP2064" i="1"/>
  <c r="AP2053" i="1"/>
  <c r="AM2036" i="1" a="1"/>
  <c r="AM2036" i="1" s="1"/>
  <c r="AP2006" i="1"/>
  <c r="AP2000" i="1"/>
  <c r="AP1983" i="1"/>
  <c r="AM1753" i="1" a="1"/>
  <c r="AM1753" i="1" s="1"/>
  <c r="AM1719" i="1" a="1"/>
  <c r="AM1719" i="1" s="1"/>
  <c r="AM1673" i="1" a="1"/>
  <c r="AM1673" i="1" s="1"/>
  <c r="AM1642" i="1" a="1"/>
  <c r="AM1642" i="1" s="1"/>
  <c r="AM1595" i="1" a="1"/>
  <c r="AM1595" i="1" s="1"/>
  <c r="AM1558" i="1" a="1"/>
  <c r="AM1558" i="1" s="1"/>
  <c r="AM1528" i="1" a="1"/>
  <c r="AM1528" i="1" s="1"/>
  <c r="AM1497" i="1" a="1"/>
  <c r="AM1497" i="1" s="1"/>
  <c r="AM1469" i="1" a="1"/>
  <c r="AM1469" i="1" s="1"/>
  <c r="AM1442" i="1" a="1"/>
  <c r="AM1442" i="1" s="1"/>
  <c r="AM1416" i="1" a="1"/>
  <c r="AM1416" i="1" s="1"/>
  <c r="AM1391" i="1" a="1"/>
  <c r="AM1391" i="1" s="1"/>
  <c r="AM1365" i="1" a="1"/>
  <c r="AM1365" i="1" s="1"/>
  <c r="AM1339" i="1" a="1"/>
  <c r="AM1339" i="1" s="1"/>
  <c r="AM1307" i="1" a="1"/>
  <c r="AM1307" i="1" s="1"/>
  <c r="AM1280" i="1" a="1"/>
  <c r="AM1280" i="1" s="1"/>
  <c r="AM1225" i="1" a="1"/>
  <c r="AM1225" i="1" s="1"/>
  <c r="AM1154" i="1" a="1"/>
  <c r="AM1154" i="1" s="1"/>
  <c r="AM1099" i="1" a="1"/>
  <c r="AM1099" i="1" s="1"/>
  <c r="AM1024" i="1" a="1"/>
  <c r="AM1024" i="1" s="1"/>
  <c r="AM976" i="1" a="1"/>
  <c r="AM976" i="1" s="1"/>
  <c r="AM930" i="1" a="1"/>
  <c r="AM930" i="1" s="1"/>
  <c r="AM904" i="1" a="1"/>
  <c r="AM904" i="1" s="1"/>
  <c r="AP1976" i="1"/>
  <c r="AM1965" i="1" a="1"/>
  <c r="AM1965" i="1" s="1"/>
  <c r="AP1959" i="1"/>
  <c r="AP1953" i="1"/>
  <c r="AP1946" i="1"/>
  <c r="AM1935" i="1" a="1"/>
  <c r="AM1935" i="1" s="1"/>
  <c r="AM1924" i="1" a="1"/>
  <c r="AM1924" i="1" s="1"/>
  <c r="AP1897" i="1"/>
  <c r="AP1891" i="1"/>
  <c r="AP2122" i="1"/>
  <c r="AP2118" i="1"/>
  <c r="AM2093" i="1" a="1"/>
  <c r="AM2093" i="1" s="1"/>
  <c r="AM2090" i="1" a="1"/>
  <c r="AM2090" i="1" s="1"/>
  <c r="AM2076" i="1" a="1"/>
  <c r="AM2076" i="1" s="1"/>
  <c r="AM2064" i="1" a="1"/>
  <c r="AM2064" i="1" s="1"/>
  <c r="AM2053" i="1" a="1"/>
  <c r="AM2053" i="1" s="1"/>
  <c r="AP2047" i="1"/>
  <c r="AP2027" i="1"/>
  <c r="AP2022" i="1"/>
  <c r="AM2017" i="1" a="1"/>
  <c r="AM2017" i="1" s="1"/>
  <c r="AQ2017" i="1" s="1"/>
  <c r="AM2006" i="1" a="1"/>
  <c r="AM2006" i="1" s="1"/>
  <c r="AM2000" i="1" a="1"/>
  <c r="AM2000" i="1" s="1"/>
  <c r="AP1994" i="1"/>
  <c r="AP1988" i="1"/>
  <c r="AO1983" i="1"/>
  <c r="AM1752" i="1" a="1"/>
  <c r="AM1752" i="1" s="1"/>
  <c r="AM1712" i="1" a="1"/>
  <c r="AM1712" i="1" s="1"/>
  <c r="AM1672" i="1" a="1"/>
  <c r="AM1672" i="1" s="1"/>
  <c r="AM1640" i="1" a="1"/>
  <c r="AM1640" i="1" s="1"/>
  <c r="AM1594" i="1" a="1"/>
  <c r="AM1594" i="1" s="1"/>
  <c r="AM1557" i="1" a="1"/>
  <c r="AM1557" i="1" s="1"/>
  <c r="AM1527" i="1" a="1"/>
  <c r="AM1527" i="1" s="1"/>
  <c r="AM1496" i="1" a="1"/>
  <c r="AM1496" i="1" s="1"/>
  <c r="AM1467" i="1" a="1"/>
  <c r="AM1467" i="1" s="1"/>
  <c r="AM1441" i="1" a="1"/>
  <c r="AM1441" i="1" s="1"/>
  <c r="AM1415" i="1" a="1"/>
  <c r="AM1415" i="1" s="1"/>
  <c r="AM1390" i="1" a="1"/>
  <c r="AM1390" i="1" s="1"/>
  <c r="AM1364" i="1" a="1"/>
  <c r="AM1364" i="1" s="1"/>
  <c r="AM1338" i="1" a="1"/>
  <c r="AM1338" i="1" s="1"/>
  <c r="AM1306" i="1" a="1"/>
  <c r="AM1306" i="1" s="1"/>
  <c r="AM1279" i="1" a="1"/>
  <c r="AM1279" i="1" s="1"/>
  <c r="AM1189" i="1" a="1"/>
  <c r="AM1189" i="1" s="1"/>
  <c r="AM1149" i="1" a="1"/>
  <c r="AM1149" i="1" s="1"/>
  <c r="AM1098" i="1" a="1"/>
  <c r="AM1098" i="1" s="1"/>
  <c r="AM1023" i="1" a="1"/>
  <c r="AM1023" i="1" s="1"/>
  <c r="AM974" i="1" a="1"/>
  <c r="AM974" i="1" s="1"/>
  <c r="AM929" i="1" a="1"/>
  <c r="AM929" i="1" s="1"/>
  <c r="AM903" i="1" a="1"/>
  <c r="AM903" i="1" s="1"/>
  <c r="AM1976" i="1" a="1"/>
  <c r="AM1976" i="1" s="1"/>
  <c r="AM1959" i="1" a="1"/>
  <c r="AM1959" i="1" s="1"/>
  <c r="AM1953" i="1" a="1"/>
  <c r="AM1953" i="1" s="1"/>
  <c r="AM1946" i="1" a="1"/>
  <c r="AM1946" i="1" s="1"/>
  <c r="AP1918" i="1"/>
  <c r="AP1913" i="1"/>
  <c r="AP1907" i="1"/>
  <c r="AM1897" i="1" a="1"/>
  <c r="AM1897" i="1" s="1"/>
  <c r="AM1891" i="1" a="1"/>
  <c r="AM1891" i="1" s="1"/>
  <c r="AP1885" i="1"/>
  <c r="AM1869" i="1" a="1"/>
  <c r="AM1869" i="1" s="1"/>
  <c r="AM1863" i="1" a="1"/>
  <c r="AM1863" i="1" s="1"/>
  <c r="AP1861" i="1"/>
  <c r="AP1840" i="1"/>
  <c r="AM2122" i="1" a="1"/>
  <c r="AM2122" i="1" s="1"/>
  <c r="AM2118" i="1" a="1"/>
  <c r="AM2118" i="1" s="1"/>
  <c r="AM2110" i="1" a="1"/>
  <c r="AM2110" i="1" s="1"/>
  <c r="AM2047" i="1" a="1"/>
  <c r="AM2047" i="1" s="1"/>
  <c r="AP2041" i="1"/>
  <c r="AP2030" i="1"/>
  <c r="AM2027" i="1" a="1"/>
  <c r="AM2027" i="1" s="1"/>
  <c r="AM2022" i="1" a="1"/>
  <c r="AM2022" i="1" s="1"/>
  <c r="AP2011" i="1"/>
  <c r="AM1994" i="1" a="1"/>
  <c r="AM1994" i="1" s="1"/>
  <c r="AO1988" i="1"/>
  <c r="AN1983" i="1"/>
  <c r="AM1751" i="1" a="1"/>
  <c r="AM1751" i="1" s="1"/>
  <c r="AM1711" i="1" a="1"/>
  <c r="AM1711" i="1" s="1"/>
  <c r="AM1671" i="1" a="1"/>
  <c r="AM1671" i="1" s="1"/>
  <c r="AM1639" i="1" a="1"/>
  <c r="AM1639" i="1" s="1"/>
  <c r="AM1593" i="1" a="1"/>
  <c r="AM1593" i="1" s="1"/>
  <c r="AM1556" i="1" a="1"/>
  <c r="AM1556" i="1" s="1"/>
  <c r="AM1526" i="1" a="1"/>
  <c r="AM1526" i="1" s="1"/>
  <c r="AM1495" i="1" a="1"/>
  <c r="AM1495" i="1" s="1"/>
  <c r="AM1466" i="1" a="1"/>
  <c r="AM1466" i="1" s="1"/>
  <c r="AM1438" i="1" a="1"/>
  <c r="AM1438" i="1" s="1"/>
  <c r="AM1414" i="1" a="1"/>
  <c r="AM1414" i="1" s="1"/>
  <c r="AM1389" i="1" a="1"/>
  <c r="AM1389" i="1" s="1"/>
  <c r="AM1363" i="1" a="1"/>
  <c r="AM1363" i="1" s="1"/>
  <c r="AM1337" i="1" a="1"/>
  <c r="AM1337" i="1" s="1"/>
  <c r="AM1305" i="1" a="1"/>
  <c r="AM1305" i="1" s="1"/>
  <c r="AM1278" i="1" a="1"/>
  <c r="AM1278" i="1" s="1"/>
  <c r="AM1188" i="1" a="1"/>
  <c r="AM1188" i="1" s="1"/>
  <c r="AM1148" i="1" a="1"/>
  <c r="AM1148" i="1" s="1"/>
  <c r="AM1078" i="1" a="1"/>
  <c r="AM1078" i="1" s="1"/>
  <c r="AM1022" i="1" a="1"/>
  <c r="AM1022" i="1" s="1"/>
  <c r="AM973" i="1" a="1"/>
  <c r="AM973" i="1" s="1"/>
  <c r="AM927" i="1" a="1"/>
  <c r="AM927" i="1" s="1"/>
  <c r="AM902" i="1" a="1"/>
  <c r="AM902" i="1" s="1"/>
  <c r="AP1970" i="1"/>
  <c r="AM1918" i="1" a="1"/>
  <c r="AM1918" i="1" s="1"/>
  <c r="AM1913" i="1" a="1"/>
  <c r="AM1913" i="1" s="1"/>
  <c r="AM1907" i="1" a="1"/>
  <c r="AM1907" i="1" s="1"/>
  <c r="AM1885" i="1" a="1"/>
  <c r="AM1885" i="1" s="1"/>
  <c r="AP1879" i="1"/>
  <c r="AM2099" i="1" a="1"/>
  <c r="AM2099" i="1" s="1"/>
  <c r="AM2086" i="1" a="1"/>
  <c r="AM2086" i="1" s="1"/>
  <c r="AP2069" i="1"/>
  <c r="AP2063" i="1"/>
  <c r="AM2041" i="1" a="1"/>
  <c r="AM2041" i="1" s="1"/>
  <c r="AP2035" i="1"/>
  <c r="AM2030" i="1" a="1"/>
  <c r="AM2030" i="1" s="1"/>
  <c r="AM2011" i="1" a="1"/>
  <c r="AM2011" i="1" s="1"/>
  <c r="AN1988" i="1"/>
  <c r="AM1983" i="1" a="1"/>
  <c r="AM1983" i="1" s="1"/>
  <c r="AM1750" i="1" a="1"/>
  <c r="AM1750" i="1" s="1"/>
  <c r="AM1708" i="1" a="1"/>
  <c r="AM1708" i="1" s="1"/>
  <c r="AM1670" i="1" a="1"/>
  <c r="AM1670" i="1" s="1"/>
  <c r="AM1638" i="1" a="1"/>
  <c r="AM1638" i="1" s="1"/>
  <c r="AM1592" i="1" a="1"/>
  <c r="AM1592" i="1" s="1"/>
  <c r="AM1554" i="1" a="1"/>
  <c r="AM1554" i="1" s="1"/>
  <c r="AM1525" i="1" a="1"/>
  <c r="AM1525" i="1" s="1"/>
  <c r="AM1493" i="1" a="1"/>
  <c r="AM1493" i="1" s="1"/>
  <c r="AM1465" i="1" a="1"/>
  <c r="AM1465" i="1" s="1"/>
  <c r="AM1437" i="1" a="1"/>
  <c r="AM1437" i="1" s="1"/>
  <c r="AM1413" i="1" a="1"/>
  <c r="AM1413" i="1" s="1"/>
  <c r="AM1388" i="1" a="1"/>
  <c r="AM1388" i="1" s="1"/>
  <c r="AM1362" i="1" a="1"/>
  <c r="AM1362" i="1" s="1"/>
  <c r="AM1336" i="1" a="1"/>
  <c r="AM1336" i="1" s="1"/>
  <c r="AM1304" i="1" a="1"/>
  <c r="AM1304" i="1" s="1"/>
  <c r="AM1277" i="1" a="1"/>
  <c r="AM1277" i="1" s="1"/>
  <c r="AM1186" i="1" a="1"/>
  <c r="AM1186" i="1" s="1"/>
  <c r="AM1147" i="1" a="1"/>
  <c r="AM1147" i="1" s="1"/>
  <c r="AM1071" i="1" a="1"/>
  <c r="AM1071" i="1" s="1"/>
  <c r="AM1021" i="1" a="1"/>
  <c r="AM1021" i="1" s="1"/>
  <c r="AM972" i="1" a="1"/>
  <c r="AM972" i="1" s="1"/>
  <c r="AM926" i="1" a="1"/>
  <c r="AM926" i="1" s="1"/>
  <c r="AM901" i="1" a="1"/>
  <c r="AM901" i="1" s="1"/>
  <c r="AM1970" i="1" a="1"/>
  <c r="AM1970" i="1" s="1"/>
  <c r="AP1964" i="1"/>
  <c r="AP1939" i="1"/>
  <c r="AP1934" i="1"/>
  <c r="AP1929" i="1"/>
  <c r="AP1923" i="1"/>
  <c r="AM1879" i="1" a="1"/>
  <c r="AM1879" i="1" s="1"/>
  <c r="AP2117" i="1"/>
  <c r="AM2092" i="1" a="1"/>
  <c r="AM2092" i="1" s="1"/>
  <c r="AM2089" i="1" a="1"/>
  <c r="AM2089" i="1" s="1"/>
  <c r="AP2082" i="1"/>
  <c r="AP2075" i="1"/>
  <c r="AM2069" i="1" a="1"/>
  <c r="AM2069" i="1" s="1"/>
  <c r="AM2063" i="1" a="1"/>
  <c r="AM2063" i="1" s="1"/>
  <c r="AP2059" i="1"/>
  <c r="AP2052" i="1"/>
  <c r="AM2035" i="1" a="1"/>
  <c r="AM2035" i="1" s="1"/>
  <c r="AP2016" i="1"/>
  <c r="AP2005" i="1"/>
  <c r="AM1988" i="1" a="1"/>
  <c r="AM1988" i="1" s="1"/>
  <c r="AM1748" i="1" a="1"/>
  <c r="AM1748" i="1" s="1"/>
  <c r="AM1707" i="1" a="1"/>
  <c r="AM1707" i="1" s="1"/>
  <c r="AM1669" i="1" a="1"/>
  <c r="AM1669" i="1" s="1"/>
  <c r="AM1636" i="1" a="1"/>
  <c r="AM1636" i="1" s="1"/>
  <c r="AM1591" i="1" a="1"/>
  <c r="AM1591" i="1" s="1"/>
  <c r="AM1553" i="1" a="1"/>
  <c r="AM1553" i="1" s="1"/>
  <c r="AM1524" i="1" a="1"/>
  <c r="AM1524" i="1" s="1"/>
  <c r="AM1492" i="1" a="1"/>
  <c r="AM1492" i="1" s="1"/>
  <c r="AM1464" i="1" a="1"/>
  <c r="AM1464" i="1" s="1"/>
  <c r="AM1436" i="1" a="1"/>
  <c r="AM1436" i="1" s="1"/>
  <c r="AM1412" i="1" a="1"/>
  <c r="AM1412" i="1" s="1"/>
  <c r="AM1387" i="1" a="1"/>
  <c r="AM1387" i="1" s="1"/>
  <c r="AM1361" i="1" a="1"/>
  <c r="AM1361" i="1" s="1"/>
  <c r="AM1335" i="1" a="1"/>
  <c r="AM1335" i="1" s="1"/>
  <c r="AM1303" i="1" a="1"/>
  <c r="AM1303" i="1" s="1"/>
  <c r="AM1246" i="1" a="1"/>
  <c r="AM1246" i="1" s="1"/>
  <c r="AM1185" i="1" a="1"/>
  <c r="AM1185" i="1" s="1"/>
  <c r="AM1146" i="1" a="1"/>
  <c r="AM1146" i="1" s="1"/>
  <c r="AM1070" i="1" a="1"/>
  <c r="AM1070" i="1" s="1"/>
  <c r="AM1020" i="1" a="1"/>
  <c r="AM1020" i="1" s="1"/>
  <c r="AM971" i="1" a="1"/>
  <c r="AM971" i="1" s="1"/>
  <c r="AM925" i="1" a="1"/>
  <c r="AM925" i="1" s="1"/>
  <c r="AM900" i="1" a="1"/>
  <c r="AM900" i="1" s="1"/>
  <c r="AP1975" i="1"/>
  <c r="AM1964" i="1" a="1"/>
  <c r="AM1964" i="1" s="1"/>
  <c r="AP1958" i="1"/>
  <c r="AP1952" i="1"/>
  <c r="AP1945" i="1"/>
  <c r="AM1939" i="1" a="1"/>
  <c r="AM1939" i="1" s="1"/>
  <c r="AM1934" i="1" a="1"/>
  <c r="AM1934" i="1" s="1"/>
  <c r="AM1929" i="1" a="1"/>
  <c r="AM1929" i="1" s="1"/>
  <c r="AM1923" i="1" a="1"/>
  <c r="AM1923" i="1" s="1"/>
  <c r="AP1896" i="1"/>
  <c r="AP1890" i="1"/>
  <c r="AP2121" i="1"/>
  <c r="AM2117" i="1" a="1"/>
  <c r="AM2117" i="1" s="1"/>
  <c r="AP2085" i="1"/>
  <c r="AM2082" i="1" a="1"/>
  <c r="AM2082" i="1" s="1"/>
  <c r="AM2075" i="1" a="1"/>
  <c r="AM2075" i="1" s="1"/>
  <c r="AM2059" i="1" a="1"/>
  <c r="AM2059" i="1" s="1"/>
  <c r="AM2052" i="1" a="1"/>
  <c r="AM2052" i="1" s="1"/>
  <c r="AP2026" i="1"/>
  <c r="AP2021" i="1"/>
  <c r="AO2016" i="1"/>
  <c r="AM2005" i="1" a="1"/>
  <c r="AM2005" i="1" s="1"/>
  <c r="AP1999" i="1"/>
  <c r="AP1993" i="1"/>
  <c r="AM1747" i="1" a="1"/>
  <c r="AM1747" i="1" s="1"/>
  <c r="AM1705" i="1" a="1"/>
  <c r="AM1705" i="1" s="1"/>
  <c r="AM1668" i="1" a="1"/>
  <c r="AM1668" i="1" s="1"/>
  <c r="AM1633" i="1" a="1"/>
  <c r="AM1633" i="1" s="1"/>
  <c r="AM1590" i="1" a="1"/>
  <c r="AM1590" i="1" s="1"/>
  <c r="AM1550" i="1" a="1"/>
  <c r="AM1550" i="1" s="1"/>
  <c r="AM1523" i="1" a="1"/>
  <c r="AM1523" i="1" s="1"/>
  <c r="AM1491" i="1" a="1"/>
  <c r="AM1491" i="1" s="1"/>
  <c r="AM1463" i="1" a="1"/>
  <c r="AM1463" i="1" s="1"/>
  <c r="AM1435" i="1" a="1"/>
  <c r="AM1435" i="1" s="1"/>
  <c r="AM1411" i="1" a="1"/>
  <c r="AM1411" i="1" s="1"/>
  <c r="AM1386" i="1" a="1"/>
  <c r="AM1386" i="1" s="1"/>
  <c r="AM1360" i="1" a="1"/>
  <c r="AM1360" i="1" s="1"/>
  <c r="AM1334" i="1" a="1"/>
  <c r="AM1334" i="1" s="1"/>
  <c r="AM1302" i="1" a="1"/>
  <c r="AM1302" i="1" s="1"/>
  <c r="AM1245" i="1" a="1"/>
  <c r="AM1245" i="1" s="1"/>
  <c r="AM1184" i="1" a="1"/>
  <c r="AM1184" i="1" s="1"/>
  <c r="AM1145" i="1" a="1"/>
  <c r="AM1145" i="1" s="1"/>
  <c r="AM1069" i="1" a="1"/>
  <c r="AM1069" i="1" s="1"/>
  <c r="AM1019" i="1" a="1"/>
  <c r="AM1019" i="1" s="1"/>
  <c r="AM969" i="1" a="1"/>
  <c r="AM969" i="1" s="1"/>
  <c r="AM924" i="1" a="1"/>
  <c r="AM924" i="1" s="1"/>
  <c r="AM899" i="1" a="1"/>
  <c r="AM899" i="1" s="1"/>
  <c r="AM1975" i="1" a="1"/>
  <c r="AM1975" i="1" s="1"/>
  <c r="AM1958" i="1" a="1"/>
  <c r="AM1958" i="1" s="1"/>
  <c r="AM1952" i="1" a="1"/>
  <c r="AM1952" i="1" s="1"/>
  <c r="AM1945" i="1" a="1"/>
  <c r="AM1945" i="1" s="1"/>
  <c r="AP1917" i="1"/>
  <c r="AP1912" i="1"/>
  <c r="AP1906" i="1"/>
  <c r="AM1896" i="1" a="1"/>
  <c r="AM1896" i="1" s="1"/>
  <c r="AP1884" i="1"/>
  <c r="AM2098" i="1" a="1"/>
  <c r="AM2098" i="1" s="1"/>
  <c r="AP2088" i="1"/>
  <c r="AM2085" i="1" a="1"/>
  <c r="AM2085" i="1" s="1"/>
  <c r="AP2079" i="1"/>
  <c r="AP2074" i="1"/>
  <c r="AP2046" i="1"/>
  <c r="AP2040" i="1"/>
  <c r="AP2029" i="1"/>
  <c r="AO2026" i="1"/>
  <c r="AH2121" i="1"/>
  <c r="AM2088" i="1" a="1"/>
  <c r="AM2088" i="1" s="1"/>
  <c r="AM2079" i="1" a="1"/>
  <c r="AM2079" i="1" s="1"/>
  <c r="AM2074" i="1" a="1"/>
  <c r="AM2074" i="1" s="1"/>
  <c r="AP2068" i="1"/>
  <c r="AP2062" i="1"/>
  <c r="AM2046" i="1" a="1"/>
  <c r="AM2046" i="1" s="1"/>
  <c r="AM2040" i="1" a="1"/>
  <c r="AM2040" i="1" s="1"/>
  <c r="AM2029" i="1" a="1"/>
  <c r="AM2029" i="1" s="1"/>
  <c r="AN2026" i="1"/>
  <c r="AM2016" i="1" a="1"/>
  <c r="AM2016" i="1" s="1"/>
  <c r="AM2010" i="1" a="1"/>
  <c r="AM2010" i="1" s="1"/>
  <c r="AP1987" i="1"/>
  <c r="AM1982" i="1" a="1"/>
  <c r="AM1982" i="1" s="1"/>
  <c r="AM1743" i="1" a="1"/>
  <c r="AM1743" i="1" s="1"/>
  <c r="AM1697" i="1" a="1"/>
  <c r="AM1697" i="1" s="1"/>
  <c r="AM1666" i="1" a="1"/>
  <c r="AM1666" i="1" s="1"/>
  <c r="AM1627" i="1" a="1"/>
  <c r="AM1627" i="1" s="1"/>
  <c r="AM1586" i="1" a="1"/>
  <c r="AM1586" i="1" s="1"/>
  <c r="AM1548" i="1" a="1"/>
  <c r="AM1548" i="1" s="1"/>
  <c r="AM1520" i="1" a="1"/>
  <c r="AM1520" i="1" s="1"/>
  <c r="AM1489" i="1" a="1"/>
  <c r="AM1489" i="1" s="1"/>
  <c r="AM1460" i="1" a="1"/>
  <c r="AM1460" i="1" s="1"/>
  <c r="AM1433" i="1" a="1"/>
  <c r="AM1433" i="1" s="1"/>
  <c r="AM1409" i="1" a="1"/>
  <c r="AM1409" i="1" s="1"/>
  <c r="AM1384" i="1" a="1"/>
  <c r="AM1384" i="1" s="1"/>
  <c r="AM1358" i="1" a="1"/>
  <c r="AM1358" i="1" s="1"/>
  <c r="AM1331" i="1" a="1"/>
  <c r="AM1331" i="1" s="1"/>
  <c r="AM1300" i="1" a="1"/>
  <c r="AM1300" i="1" s="1"/>
  <c r="AM1243" i="1" a="1"/>
  <c r="AM1243" i="1" s="1"/>
  <c r="AM1179" i="1" a="1"/>
  <c r="AM1179" i="1" s="1"/>
  <c r="AM1143" i="1" a="1"/>
  <c r="AM1143" i="1" s="1"/>
  <c r="AM1062" i="1" a="1"/>
  <c r="AM1062" i="1" s="1"/>
  <c r="AM1017" i="1" a="1"/>
  <c r="AM1017" i="1" s="1"/>
  <c r="AM967" i="1" a="1"/>
  <c r="AM967" i="1" s="1"/>
  <c r="AM922" i="1" a="1"/>
  <c r="AM922" i="1" s="1"/>
  <c r="AM897" i="1" a="1"/>
  <c r="AM897" i="1" s="1"/>
  <c r="AM1969" i="1" a="1"/>
  <c r="AM1969" i="1" s="1"/>
  <c r="AP1963" i="1"/>
  <c r="AP1933" i="1"/>
  <c r="AP1928" i="1"/>
  <c r="AP1922" i="1"/>
  <c r="AH1851" i="1"/>
  <c r="AP2058" i="1"/>
  <c r="AM1999" i="1" a="1"/>
  <c r="AM1999" i="1" s="1"/>
  <c r="AM1434" i="1" a="1"/>
  <c r="AM1434" i="1" s="1"/>
  <c r="AM923" i="1" a="1"/>
  <c r="AM923" i="1" s="1"/>
  <c r="AN2016" i="1"/>
  <c r="AM1432" i="1" a="1"/>
  <c r="AM1432" i="1" s="1"/>
  <c r="AM921" i="1" a="1"/>
  <c r="AM921" i="1" s="1"/>
  <c r="AM1932" i="1" a="1"/>
  <c r="AM1932" i="1" s="1"/>
  <c r="AO1853" i="1"/>
  <c r="AO1849" i="1"/>
  <c r="AH1745" i="1"/>
  <c r="AH1718" i="1"/>
  <c r="AO1646" i="1"/>
  <c r="AM1635" i="1" a="1"/>
  <c r="AM1635" i="1" s="1"/>
  <c r="AM1601" i="1" a="1"/>
  <c r="AM1601" i="1" s="1"/>
  <c r="AN1561" i="1"/>
  <c r="AN1468" i="1"/>
  <c r="AH1439" i="1"/>
  <c r="AN1273" i="1"/>
  <c r="AH1264" i="1"/>
  <c r="AH1219" i="1"/>
  <c r="AO1210" i="1"/>
  <c r="AH1197" i="1"/>
  <c r="AN1180" i="1"/>
  <c r="AM1025" i="1" a="1"/>
  <c r="AM1025" i="1" s="1"/>
  <c r="AP775" i="1"/>
  <c r="AH712" i="1"/>
  <c r="AO623" i="1"/>
  <c r="AO573" i="1"/>
  <c r="AO562" i="1"/>
  <c r="AM1410" i="1" a="1"/>
  <c r="AM1410" i="1" s="1"/>
  <c r="AM898" i="1" a="1"/>
  <c r="AM898" i="1" s="1"/>
  <c r="AP1957" i="1"/>
  <c r="AM1894" i="1" a="1"/>
  <c r="AM1894" i="1" s="1"/>
  <c r="AN1853" i="1"/>
  <c r="AN1849" i="1"/>
  <c r="AP1841" i="1"/>
  <c r="AO1834" i="1"/>
  <c r="AM1819" i="1" a="1"/>
  <c r="AM1819" i="1" s="1"/>
  <c r="AM1811" i="1" a="1"/>
  <c r="AM1811" i="1" s="1"/>
  <c r="AH1773" i="1"/>
  <c r="AM1408" i="1" a="1"/>
  <c r="AM1408" i="1" s="1"/>
  <c r="AM896" i="1" a="1"/>
  <c r="AM896" i="1" s="1"/>
  <c r="AP1882" i="1"/>
  <c r="AP1869" i="1"/>
  <c r="AM1862" i="1" a="1"/>
  <c r="AM1862" i="1" s="1"/>
  <c r="AN1841" i="1"/>
  <c r="AN1834" i="1"/>
  <c r="AM1826" i="1" a="1"/>
  <c r="AM1826" i="1" s="1"/>
  <c r="AQ1826" i="1" s="1"/>
  <c r="AM1792" i="1" a="1"/>
  <c r="AM1792" i="1" s="1"/>
  <c r="AO1744" i="1"/>
  <c r="AN1729" i="1"/>
  <c r="AM1718" i="1" a="1"/>
  <c r="AM1718" i="1" s="1"/>
  <c r="AO1710" i="1"/>
  <c r="AO1702" i="1"/>
  <c r="AN1695" i="1"/>
  <c r="AM1658" i="1" a="1"/>
  <c r="AM1658" i="1" s="1"/>
  <c r="AH1646" i="1"/>
  <c r="AM1618" i="1" a="1"/>
  <c r="AM1618" i="1" s="1"/>
  <c r="AN1600" i="1"/>
  <c r="AN1543" i="1"/>
  <c r="AM1517" i="1" a="1"/>
  <c r="AM1517" i="1" s="1"/>
  <c r="AM1439" i="1" a="1"/>
  <c r="AM1439" i="1" s="1"/>
  <c r="AO1359" i="1"/>
  <c r="AM1264" i="1" a="1"/>
  <c r="AM1264" i="1" s="1"/>
  <c r="AN1252" i="1"/>
  <c r="AO1217" i="1"/>
  <c r="AH1210" i="1"/>
  <c r="AM1197" i="1" a="1"/>
  <c r="AM1197" i="1" s="1"/>
  <c r="AM1141" i="1" a="1"/>
  <c r="AM1141" i="1" s="1"/>
  <c r="AN739" i="1"/>
  <c r="AH623" i="1"/>
  <c r="AP572" i="1"/>
  <c r="AO561" i="1"/>
  <c r="AO491" i="1"/>
  <c r="AO479" i="1"/>
  <c r="AP1766" i="1"/>
  <c r="AM1385" i="1" a="1"/>
  <c r="AM1385" i="1" s="1"/>
  <c r="AP1974" i="1"/>
  <c r="AM1882" i="1" a="1"/>
  <c r="AM1882" i="1" s="1"/>
  <c r="AP1878" i="1"/>
  <c r="AH1853" i="1"/>
  <c r="AH1849" i="1"/>
  <c r="AM1784" i="1" a="1"/>
  <c r="AM1784" i="1" s="1"/>
  <c r="AM1780" i="1" a="1"/>
  <c r="AM1780" i="1" s="1"/>
  <c r="AM1772" i="1" a="1"/>
  <c r="AM1772" i="1" s="1"/>
  <c r="AN1744" i="1"/>
  <c r="AH1729" i="1"/>
  <c r="AO1717" i="1"/>
  <c r="AN1710" i="1"/>
  <c r="AN1702" i="1"/>
  <c r="AH1695" i="1"/>
  <c r="AM1632" i="1" a="1"/>
  <c r="AM1632" i="1" s="1"/>
  <c r="AH1600" i="1"/>
  <c r="AM1561" i="1" a="1"/>
  <c r="AM1561" i="1" s="1"/>
  <c r="AH1543" i="1"/>
  <c r="AP1514" i="1"/>
  <c r="AM1468" i="1" a="1"/>
  <c r="AM1468" i="1" s="1"/>
  <c r="AM1332" i="1" a="1"/>
  <c r="AM1332" i="1" s="1"/>
  <c r="AM1273" i="1" a="1"/>
  <c r="AM1273" i="1" s="1"/>
  <c r="AO1263" i="1"/>
  <c r="AH1252" i="1"/>
  <c r="AN1217" i="1"/>
  <c r="AO1194" i="1"/>
  <c r="AH739" i="1"/>
  <c r="AO584" i="1"/>
  <c r="AO549" i="1"/>
  <c r="AO537" i="1"/>
  <c r="AO525" i="1"/>
  <c r="AO514" i="1"/>
  <c r="AO502" i="1"/>
  <c r="AO467" i="1"/>
  <c r="AP1543" i="1"/>
  <c r="AP1520" i="1"/>
  <c r="AM1383" i="1" a="1"/>
  <c r="AM1383" i="1" s="1"/>
  <c r="AM1928" i="1" a="1"/>
  <c r="AM1928" i="1" s="1"/>
  <c r="AP1893" i="1"/>
  <c r="AM1878" i="1" a="1"/>
  <c r="AM1878" i="1" s="1"/>
  <c r="AM1848" i="1" a="1"/>
  <c r="AM1848" i="1" s="1"/>
  <c r="AH1841" i="1"/>
  <c r="AM1818" i="1" a="1"/>
  <c r="AM1818" i="1" s="1"/>
  <c r="AM1810" i="1" a="1"/>
  <c r="AM1810" i="1" s="1"/>
  <c r="AM1744" i="1" a="1"/>
  <c r="AM1744" i="1" s="1"/>
  <c r="AM1359" i="1" a="1"/>
  <c r="AM1359" i="1" s="1"/>
  <c r="AM1906" i="1" a="1"/>
  <c r="AM1906" i="1" s="1"/>
  <c r="AP1868" i="1"/>
  <c r="AM1840" i="1" a="1"/>
  <c r="AM1840" i="1" s="1"/>
  <c r="AM1833" i="1" a="1"/>
  <c r="AM1833" i="1" s="1"/>
  <c r="AM1798" i="1" a="1"/>
  <c r="AM1798" i="1" s="1"/>
  <c r="AM1791" i="1" a="1"/>
  <c r="AM1791" i="1" s="1"/>
  <c r="AP1779" i="1"/>
  <c r="AH1717" i="1"/>
  <c r="AM1695" i="1" a="1"/>
  <c r="AM1695" i="1" s="1"/>
  <c r="AN1656" i="1"/>
  <c r="AN1631" i="1"/>
  <c r="AM1599" i="1" a="1"/>
  <c r="AM1599" i="1" s="1"/>
  <c r="AM1579" i="1" a="1"/>
  <c r="AM1579" i="1" s="1"/>
  <c r="AM1543" i="1" a="1"/>
  <c r="AM1543" i="1" s="1"/>
  <c r="AM1514" i="1" a="1"/>
  <c r="AM1514" i="1" s="1"/>
  <c r="AO1493" i="1"/>
  <c r="AO1329" i="1"/>
  <c r="AN1272" i="1"/>
  <c r="AH1263" i="1"/>
  <c r="AO1251" i="1"/>
  <c r="AO1216" i="1"/>
  <c r="AO1207" i="1"/>
  <c r="AH1194" i="1"/>
  <c r="AP1015" i="1"/>
  <c r="AO583" i="1"/>
  <c r="AO571" i="1"/>
  <c r="AO548" i="1"/>
  <c r="AO536" i="1"/>
  <c r="AO524" i="1"/>
  <c r="AO513" i="1"/>
  <c r="AO501" i="1"/>
  <c r="AO466" i="1"/>
  <c r="AP1451" i="1"/>
  <c r="AM1993" i="1" a="1"/>
  <c r="AM1993" i="1" s="1"/>
  <c r="AM1742" i="1" a="1"/>
  <c r="AM1742" i="1" s="1"/>
  <c r="AM1357" i="1" a="1"/>
  <c r="AM1357" i="1" s="1"/>
  <c r="AP1880" i="1"/>
  <c r="AP1877" i="1"/>
  <c r="AM1868" i="1" a="1"/>
  <c r="AM1868" i="1" s="1"/>
  <c r="AO1847" i="1"/>
  <c r="AM1825" i="1" a="1"/>
  <c r="AM1825" i="1" s="1"/>
  <c r="AM1783" i="1" a="1"/>
  <c r="AM1783" i="1" s="1"/>
  <c r="AM1779" i="1" a="1"/>
  <c r="AM1779" i="1" s="1"/>
  <c r="AM1710" i="1" a="1"/>
  <c r="AM1710" i="1" s="1"/>
  <c r="AM1702" i="1" a="1"/>
  <c r="AM1702" i="1" s="1"/>
  <c r="AO1694" i="1"/>
  <c r="AH1656" i="1"/>
  <c r="AO1644" i="1"/>
  <c r="AH1631" i="1"/>
  <c r="AO1382" i="1"/>
  <c r="AO1355" i="1"/>
  <c r="AH1272" i="1"/>
  <c r="AN1251" i="1"/>
  <c r="AN1216" i="1"/>
  <c r="AN1207" i="1"/>
  <c r="AM975" i="1" a="1"/>
  <c r="AM975" i="1" s="1"/>
  <c r="AP658" i="1"/>
  <c r="AO638" i="1"/>
  <c r="AP559" i="1"/>
  <c r="AM1698" i="1" a="1"/>
  <c r="AM1698" i="1" s="1"/>
  <c r="AM1333" i="1" a="1"/>
  <c r="AM1333" i="1" s="1"/>
  <c r="AP1927" i="1"/>
  <c r="AP1905" i="1"/>
  <c r="AN1847" i="1"/>
  <c r="AM1817" i="1" a="1"/>
  <c r="AM1817" i="1" s="1"/>
  <c r="AM1809" i="1" a="1"/>
  <c r="AM1809" i="1" s="1"/>
  <c r="AO1726" i="1"/>
  <c r="AM1717" i="1" a="1"/>
  <c r="AM1717" i="1" s="1"/>
  <c r="AO1709" i="1"/>
  <c r="AO1701" i="1"/>
  <c r="AN1694" i="1"/>
  <c r="AN1644" i="1"/>
  <c r="AM1555" i="1" a="1"/>
  <c r="AM1555" i="1" s="1"/>
  <c r="AN1355" i="1"/>
  <c r="AO1271" i="1"/>
  <c r="AH1251" i="1"/>
  <c r="AH1216" i="1"/>
  <c r="AH1207" i="1"/>
  <c r="AO1192" i="1"/>
  <c r="AO1170" i="1"/>
  <c r="AP1123" i="1"/>
  <c r="AM1015" i="1" a="1"/>
  <c r="AM1015" i="1" s="1"/>
  <c r="AP829" i="1"/>
  <c r="AO737" i="1"/>
  <c r="AN638" i="1"/>
  <c r="AO582" i="1"/>
  <c r="AO570" i="1"/>
  <c r="AO547" i="1"/>
  <c r="AO535" i="1"/>
  <c r="AO523" i="1"/>
  <c r="AO512" i="1"/>
  <c r="AO500" i="1"/>
  <c r="AO477" i="1"/>
  <c r="AO465" i="1"/>
  <c r="AP2010" i="1"/>
  <c r="AM1696" i="1" a="1"/>
  <c r="AM1696" i="1" s="1"/>
  <c r="AM1330" i="1" a="1"/>
  <c r="AM1330" i="1" s="1"/>
  <c r="AM1839" i="1" a="1"/>
  <c r="AM1839" i="1" s="1"/>
  <c r="AP1797" i="1"/>
  <c r="AM1716" i="1" a="1"/>
  <c r="AM1716" i="1" s="1"/>
  <c r="AN1709" i="1"/>
  <c r="AN1701" i="1"/>
  <c r="AH1694" i="1"/>
  <c r="AM1676" i="1" a="1"/>
  <c r="AM1676" i="1" s="1"/>
  <c r="AM1656" i="1" a="1"/>
  <c r="AM1656" i="1" s="1"/>
  <c r="AH1644" i="1"/>
  <c r="AM1631" i="1" a="1"/>
  <c r="AM1631" i="1" s="1"/>
  <c r="AM1613" i="1" a="1"/>
  <c r="AM1613" i="1" s="1"/>
  <c r="AO1539" i="1"/>
  <c r="AO1508" i="1"/>
  <c r="AH1355" i="1"/>
  <c r="AN1271" i="1"/>
  <c r="AO1261" i="1"/>
  <c r="AN1192" i="1"/>
  <c r="AN1170" i="1"/>
  <c r="AP942" i="1"/>
  <c r="AP905" i="1"/>
  <c r="AN737" i="1"/>
  <c r="AM1667" i="1" a="1"/>
  <c r="AM1667" i="1" s="1"/>
  <c r="AM1301" i="1" a="1"/>
  <c r="AM1301" i="1" s="1"/>
  <c r="AP1969" i="1"/>
  <c r="AP1951" i="1"/>
  <c r="AP1901" i="1"/>
  <c r="AM1890" i="1" a="1"/>
  <c r="AM1890" i="1" s="1"/>
  <c r="AP1876" i="1"/>
  <c r="AP1867" i="1"/>
  <c r="AM1846" i="1" a="1"/>
  <c r="AM1846" i="1" s="1"/>
  <c r="AM1832" i="1" a="1"/>
  <c r="AM1832" i="1" s="1"/>
  <c r="AM1824" i="1" a="1"/>
  <c r="AM1824" i="1" s="1"/>
  <c r="AM1804" i="1" a="1"/>
  <c r="AM1804" i="1" s="1"/>
  <c r="AO1740" i="1"/>
  <c r="AO1715" i="1"/>
  <c r="AH1709" i="1"/>
  <c r="AH1701" i="1"/>
  <c r="AM1630" i="1" a="1"/>
  <c r="AM1630" i="1" s="1"/>
  <c r="AO1552" i="1"/>
  <c r="AN1539" i="1"/>
  <c r="AN1508" i="1"/>
  <c r="AO1378" i="1"/>
  <c r="AO1283" i="1"/>
  <c r="AH1271" i="1"/>
  <c r="AN1261" i="1"/>
  <c r="AM1251" i="1" a="1"/>
  <c r="AM1251" i="1" s="1"/>
  <c r="AM1216" i="1" a="1"/>
  <c r="AM1216" i="1" s="1"/>
  <c r="AO1201" i="1"/>
  <c r="AH1192" i="1"/>
  <c r="AM1049" i="1" a="1"/>
  <c r="AM1049" i="1" s="1"/>
  <c r="AP766" i="1"/>
  <c r="AH737" i="1"/>
  <c r="AO617" i="1"/>
  <c r="AO581" i="1"/>
  <c r="AO569" i="1"/>
  <c r="AO558" i="1"/>
  <c r="AO546" i="1"/>
  <c r="AO534" i="1"/>
  <c r="AP522" i="1"/>
  <c r="AO511" i="1"/>
  <c r="AO499" i="1"/>
  <c r="AO476" i="1"/>
  <c r="AM1665" i="1" a="1"/>
  <c r="AM1665" i="1" s="1"/>
  <c r="AM1298" i="1" a="1"/>
  <c r="AM1298" i="1" s="1"/>
  <c r="AM1901" i="1" a="1"/>
  <c r="AM1901" i="1" s="1"/>
  <c r="AM1876" i="1" a="1"/>
  <c r="AM1876" i="1" s="1"/>
  <c r="AM1867" i="1" a="1"/>
  <c r="AM1867" i="1" s="1"/>
  <c r="AM1859" i="1" a="1"/>
  <c r="AM1859" i="1" s="1"/>
  <c r="AM1838" i="1" a="1"/>
  <c r="AM1838" i="1" s="1"/>
  <c r="AM1816" i="1" a="1"/>
  <c r="AM1816" i="1" s="1"/>
  <c r="AM1808" i="1" a="1"/>
  <c r="AM1808" i="1" s="1"/>
  <c r="AM1789" i="1" a="1"/>
  <c r="AM1789" i="1" s="1"/>
  <c r="AP1778" i="1"/>
  <c r="AM1629" i="1" a="1"/>
  <c r="AM1629" i="1" s="1"/>
  <c r="AM1244" i="1" a="1"/>
  <c r="AM1244" i="1" s="1"/>
  <c r="AP1944" i="1"/>
  <c r="AP1889" i="1"/>
  <c r="AO1852" i="1"/>
  <c r="AM1803" i="1" a="1"/>
  <c r="AM1803" i="1" s="1"/>
  <c r="AM1778" i="1" a="1"/>
  <c r="AM1778" i="1" s="1"/>
  <c r="AM2026" i="1" a="1"/>
  <c r="AM2026" i="1" s="1"/>
  <c r="AM1626" i="1" a="1"/>
  <c r="AM1626" i="1" s="1"/>
  <c r="AM1242" i="1" a="1"/>
  <c r="AM1242" i="1" s="1"/>
  <c r="AM1900" i="1" a="1"/>
  <c r="AM1900" i="1" s="1"/>
  <c r="AP1875" i="1"/>
  <c r="AP1873" i="1"/>
  <c r="AM1858" i="1" a="1"/>
  <c r="AM1858" i="1" s="1"/>
  <c r="AN1852" i="1"/>
  <c r="AP1845" i="1"/>
  <c r="AP1831" i="1"/>
  <c r="AM1823" i="1" a="1"/>
  <c r="AM1823" i="1" s="1"/>
  <c r="AM1807" i="1" a="1"/>
  <c r="AM1807" i="1" s="1"/>
  <c r="AP1796" i="1"/>
  <c r="AM1740" i="1" a="1"/>
  <c r="AM1740" i="1" s="1"/>
  <c r="AH1723" i="1"/>
  <c r="AO1700" i="1"/>
  <c r="AN1693" i="1"/>
  <c r="AH1654" i="1"/>
  <c r="AH1629" i="1"/>
  <c r="AM1539" i="1" a="1"/>
  <c r="AM1539" i="1" s="1"/>
  <c r="AM1508" i="1" a="1"/>
  <c r="AM1508" i="1" s="1"/>
  <c r="AM1261" i="1" a="1"/>
  <c r="AM1261" i="1" s="1"/>
  <c r="AH1250" i="1"/>
  <c r="AO1223" i="1"/>
  <c r="AN1214" i="1"/>
  <c r="AO1190" i="1"/>
  <c r="AN1118" i="1"/>
  <c r="AN654" i="1"/>
  <c r="AM1987" i="1" a="1"/>
  <c r="AM1987" i="1" s="1"/>
  <c r="AM1587" i="1" a="1"/>
  <c r="AM1587" i="1" s="1"/>
  <c r="AM1183" i="1" a="1"/>
  <c r="AM1183" i="1" s="1"/>
  <c r="AM1875" i="1" a="1"/>
  <c r="AM1875" i="1" s="1"/>
  <c r="AM1873" i="1" a="1"/>
  <c r="AM1873" i="1" s="1"/>
  <c r="AP1866" i="1"/>
  <c r="AH1852" i="1"/>
  <c r="AM1845" i="1" a="1"/>
  <c r="AM1845" i="1" s="1"/>
  <c r="AM1837" i="1" a="1"/>
  <c r="AM1837" i="1" s="1"/>
  <c r="AM1831" i="1" a="1"/>
  <c r="AM1831" i="1" s="1"/>
  <c r="AM1815" i="1" a="1"/>
  <c r="AM1815" i="1" s="1"/>
  <c r="AM1796" i="1" a="1"/>
  <c r="AM1796" i="1" s="1"/>
  <c r="AM1788" i="1" a="1"/>
  <c r="AM1788" i="1" s="1"/>
  <c r="AM1739" i="1" a="1"/>
  <c r="AM1739" i="1" s="1"/>
  <c r="AM1715" i="1" a="1"/>
  <c r="AM1715" i="1" s="1"/>
  <c r="AN1700" i="1"/>
  <c r="AH1693" i="1"/>
  <c r="AO1641" i="1"/>
  <c r="AM1610" i="1" a="1"/>
  <c r="AM1610" i="1" s="1"/>
  <c r="AM1552" i="1" a="1"/>
  <c r="AM1552" i="1" s="1"/>
  <c r="AM1378" i="1" a="1"/>
  <c r="AM1378" i="1" s="1"/>
  <c r="AM1283" i="1" a="1"/>
  <c r="AM1283" i="1" s="1"/>
  <c r="AO1267" i="1"/>
  <c r="AP1260" i="1"/>
  <c r="AN1223" i="1"/>
  <c r="AH1214" i="1"/>
  <c r="AO1200" i="1"/>
  <c r="AN1190" i="1"/>
  <c r="AH1118" i="1"/>
  <c r="AM1585" i="1" a="1"/>
  <c r="AM1585" i="1" s="1"/>
  <c r="AM1178" i="1" a="1"/>
  <c r="AM1178" i="1" s="1"/>
  <c r="AM1922" i="1" a="1"/>
  <c r="AM1922" i="1" s="1"/>
  <c r="AP1888" i="1"/>
  <c r="AM1866" i="1" a="1"/>
  <c r="AM1866" i="1" s="1"/>
  <c r="AM1822" i="1" a="1"/>
  <c r="AM1822" i="1" s="1"/>
  <c r="AM1802" i="1" a="1"/>
  <c r="AM1802" i="1" s="1"/>
  <c r="AM1723" i="1" a="1"/>
  <c r="AM1723" i="1" s="1"/>
  <c r="AO1714" i="1"/>
  <c r="AM1706" i="1" a="1"/>
  <c r="AM1706" i="1" s="1"/>
  <c r="AH1700" i="1"/>
  <c r="AM1654" i="1" a="1"/>
  <c r="AM1654" i="1" s="1"/>
  <c r="AN1641" i="1"/>
  <c r="AM1628" i="1" a="1"/>
  <c r="AM1628" i="1" s="1"/>
  <c r="AM1571" i="1" a="1"/>
  <c r="AM1571" i="1" s="1"/>
  <c r="AO1551" i="1"/>
  <c r="AM1506" i="1" a="1"/>
  <c r="AM1506" i="1" s="1"/>
  <c r="AM1451" i="1" a="1"/>
  <c r="AM1451" i="1" s="1"/>
  <c r="AO1282" i="1"/>
  <c r="AN1267" i="1"/>
  <c r="AM1250" i="1" a="1"/>
  <c r="AM1250" i="1" s="1"/>
  <c r="AH1223" i="1"/>
  <c r="AN1200" i="1"/>
  <c r="AH1190" i="1"/>
  <c r="AP763" i="1"/>
  <c r="AN616" i="1"/>
  <c r="AO485" i="1"/>
  <c r="AN462" i="1"/>
  <c r="AM1764" i="1" a="1"/>
  <c r="AM1764" i="1" s="1"/>
  <c r="AP1494" i="1"/>
  <c r="AM1549" i="1" a="1"/>
  <c r="AM1549" i="1" s="1"/>
  <c r="AM1144" i="1" a="1"/>
  <c r="AM1144" i="1" s="1"/>
  <c r="AP1899" i="1"/>
  <c r="AM1888" i="1" a="1"/>
  <c r="AM1888" i="1" s="1"/>
  <c r="AP1874" i="1"/>
  <c r="AO1851" i="1"/>
  <c r="AP1844" i="1"/>
  <c r="AM1830" i="1" a="1"/>
  <c r="AM1830" i="1" s="1"/>
  <c r="AM1806" i="1" a="1"/>
  <c r="AM1806" i="1" s="1"/>
  <c r="AP1787" i="1"/>
  <c r="AM1777" i="1" a="1"/>
  <c r="AM1777" i="1" s="1"/>
  <c r="AO1722" i="1"/>
  <c r="AN1714" i="1"/>
  <c r="AM1693" i="1" a="1"/>
  <c r="AM1693" i="1" s="1"/>
  <c r="AH1641" i="1"/>
  <c r="AM1609" i="1" a="1"/>
  <c r="AM1609" i="1" s="1"/>
  <c r="AN1551" i="1"/>
  <c r="AO1504" i="1"/>
  <c r="AM1547" i="1" a="1"/>
  <c r="AM1547" i="1" s="1"/>
  <c r="AM1142" i="1" a="1"/>
  <c r="AM1142" i="1" s="1"/>
  <c r="AM1874" i="1" a="1"/>
  <c r="AM1874" i="1" s="1"/>
  <c r="AP1872" i="1"/>
  <c r="AM1856" i="1" a="1"/>
  <c r="AM1856" i="1" s="1"/>
  <c r="AN1851" i="1"/>
  <c r="AM1844" i="1" a="1"/>
  <c r="AM1844" i="1" s="1"/>
  <c r="AM1836" i="1" a="1"/>
  <c r="AM1836" i="1" s="1"/>
  <c r="AM1814" i="1" a="1"/>
  <c r="AM1814" i="1" s="1"/>
  <c r="AM1787" i="1" a="1"/>
  <c r="AM1787" i="1" s="1"/>
  <c r="AP2081" i="1"/>
  <c r="AP2004" i="1"/>
  <c r="AM1522" i="1" a="1"/>
  <c r="AM1522" i="1" s="1"/>
  <c r="AM1068" i="1" a="1"/>
  <c r="AM1068" i="1" s="1"/>
  <c r="AM1872" i="1" a="1"/>
  <c r="AM1872" i="1" s="1"/>
  <c r="AP1865" i="1"/>
  <c r="AM1821" i="1" a="1"/>
  <c r="AM1821" i="1" s="1"/>
  <c r="AM1801" i="1" a="1"/>
  <c r="AM1801" i="1" s="1"/>
  <c r="AM1795" i="1" a="1"/>
  <c r="AM1795" i="1" s="1"/>
  <c r="AH1722" i="1"/>
  <c r="AN1704" i="1"/>
  <c r="AO1699" i="1"/>
  <c r="AM1641" i="1" a="1"/>
  <c r="AM1641" i="1" s="1"/>
  <c r="AM1588" i="1" a="1"/>
  <c r="AM1588" i="1" s="1"/>
  <c r="AH1504" i="1"/>
  <c r="AO1470" i="1"/>
  <c r="AN1399" i="1"/>
  <c r="AO1367" i="1"/>
  <c r="AM1267" i="1" a="1"/>
  <c r="AM1267" i="1" s="1"/>
  <c r="AN1257" i="1"/>
  <c r="AH1249" i="1"/>
  <c r="AH1213" i="1"/>
  <c r="AO1198" i="1"/>
  <c r="AO1152" i="1"/>
  <c r="AM1035" i="1" a="1"/>
  <c r="AM1035" i="1" s="1"/>
  <c r="AO667" i="1"/>
  <c r="AO577" i="1"/>
  <c r="AO554" i="1"/>
  <c r="AO542" i="1"/>
  <c r="AO530" i="1"/>
  <c r="AO519" i="1"/>
  <c r="AO507" i="1"/>
  <c r="AP495" i="1"/>
  <c r="AO472" i="1"/>
  <c r="AO461" i="1"/>
  <c r="AP1757" i="1"/>
  <c r="AP2034" i="1"/>
  <c r="AM2021" i="1" a="1"/>
  <c r="AM2021" i="1" s="1"/>
  <c r="AM1519" i="1" a="1"/>
  <c r="AM1519" i="1" s="1"/>
  <c r="AM1061" i="1" a="1"/>
  <c r="AM1061" i="1" s="1"/>
  <c r="AP1938" i="1"/>
  <c r="AM1886" i="1" a="1"/>
  <c r="AM1886" i="1" s="1"/>
  <c r="AM1865" i="1" a="1"/>
  <c r="AM1865" i="1" s="1"/>
  <c r="AP1835" i="1"/>
  <c r="AM1805" i="1" a="1"/>
  <c r="AM1805" i="1" s="1"/>
  <c r="AP1800" i="1"/>
  <c r="AP1782" i="1"/>
  <c r="AM1776" i="1" a="1"/>
  <c r="AM1776" i="1" s="1"/>
  <c r="AM1768" i="1" a="1"/>
  <c r="AM1768" i="1" s="1"/>
  <c r="AO1746" i="1"/>
  <c r="AO1733" i="1"/>
  <c r="AM1722" i="1" a="1"/>
  <c r="AM1722" i="1" s="1"/>
  <c r="AM1714" i="1" a="1"/>
  <c r="AM1714" i="1" s="1"/>
  <c r="AH1704" i="1"/>
  <c r="AN1699" i="1"/>
  <c r="AM1690" i="1" a="1"/>
  <c r="AM1690" i="1" s="1"/>
  <c r="AM1607" i="1" a="1"/>
  <c r="AM1607" i="1" s="1"/>
  <c r="AM1551" i="1" a="1"/>
  <c r="AM1551" i="1" s="1"/>
  <c r="AN1470" i="1"/>
  <c r="AO1442" i="1"/>
  <c r="AH1399" i="1"/>
  <c r="AM1299" i="1" a="1"/>
  <c r="AM1299" i="1" s="1"/>
  <c r="AM1282" i="1" a="1"/>
  <c r="AM1282" i="1" s="1"/>
  <c r="AO1266" i="1"/>
  <c r="AH1257" i="1"/>
  <c r="AO1220" i="1"/>
  <c r="AN1198" i="1"/>
  <c r="AM1187" i="1" a="1"/>
  <c r="AM1187" i="1" s="1"/>
  <c r="AN1152" i="1"/>
  <c r="AM1111" i="1" a="1"/>
  <c r="AM1111" i="1" s="1"/>
  <c r="AP847" i="1"/>
  <c r="AN667" i="1"/>
  <c r="AO565" i="1"/>
  <c r="AO483" i="1"/>
  <c r="AP1982" i="1"/>
  <c r="AM1490" i="1" a="1"/>
  <c r="AM1490" i="1" s="1"/>
  <c r="AM1018" i="1" a="1"/>
  <c r="AM1018" i="1" s="1"/>
  <c r="AM1938" i="1" a="1"/>
  <c r="AM1938" i="1" s="1"/>
  <c r="AO1850" i="1"/>
  <c r="AP1843" i="1"/>
  <c r="AO1835" i="1"/>
  <c r="AM1813" i="1" a="1"/>
  <c r="AM1813" i="1" s="1"/>
  <c r="AM1800" i="1" a="1"/>
  <c r="AM1800" i="1" s="1"/>
  <c r="AM1782" i="1" a="1"/>
  <c r="AM1782" i="1" s="1"/>
  <c r="AM1774" i="1" a="1"/>
  <c r="AM1774" i="1" s="1"/>
  <c r="AN1770" i="1"/>
  <c r="AN1746" i="1"/>
  <c r="AN1733" i="1"/>
  <c r="AO1713" i="1"/>
  <c r="AH1699" i="1"/>
  <c r="AM1504" i="1" a="1"/>
  <c r="AM1504" i="1" s="1"/>
  <c r="AH1470" i="1"/>
  <c r="AM1366" i="1" a="1"/>
  <c r="AM1366" i="1" s="1"/>
  <c r="AN1266" i="1"/>
  <c r="AM1249" i="1" a="1"/>
  <c r="AM1249" i="1" s="1"/>
  <c r="AN1220" i="1"/>
  <c r="AM1213" i="1" a="1"/>
  <c r="AM1213" i="1" s="1"/>
  <c r="AH1198" i="1"/>
  <c r="AH1152" i="1"/>
  <c r="AM994" i="1" a="1"/>
  <c r="AM994" i="1" s="1"/>
  <c r="AH667" i="1"/>
  <c r="AO576" i="1"/>
  <c r="AM1488" i="1" a="1"/>
  <c r="AM1488" i="1" s="1"/>
  <c r="AM1016" i="1" a="1"/>
  <c r="AM1016" i="1" s="1"/>
  <c r="AM1917" i="1" a="1"/>
  <c r="AM1917" i="1" s="1"/>
  <c r="AM1912" i="1" a="1"/>
  <c r="AM1912" i="1" s="1"/>
  <c r="AP1871" i="1"/>
  <c r="AM1861" i="1" a="1"/>
  <c r="AM1861" i="1" s="1"/>
  <c r="AO1854" i="1"/>
  <c r="AN1850" i="1"/>
  <c r="AO1843" i="1"/>
  <c r="AM1828" i="1" a="1"/>
  <c r="AM1828" i="1" s="1"/>
  <c r="AM1794" i="1" a="1"/>
  <c r="AM1794" i="1" s="1"/>
  <c r="AM1786" i="1" a="1"/>
  <c r="AM1786" i="1" s="1"/>
  <c r="AP1775" i="1"/>
  <c r="AM1770" i="1" a="1"/>
  <c r="AM1770" i="1" s="1"/>
  <c r="AH1746" i="1"/>
  <c r="AH1733" i="1"/>
  <c r="AN1713" i="1"/>
  <c r="AM1704" i="1" a="1"/>
  <c r="AM1704" i="1" s="1"/>
  <c r="AM1623" i="1" a="1"/>
  <c r="AM1623" i="1" s="1"/>
  <c r="AM1564" i="1" a="1"/>
  <c r="AM1564" i="1" s="1"/>
  <c r="AM1399" i="1" a="1"/>
  <c r="AM1399" i="1" s="1"/>
  <c r="AH1266" i="1"/>
  <c r="AO1256" i="1"/>
  <c r="AH1220" i="1"/>
  <c r="AO1212" i="1"/>
  <c r="AM1461" i="1" a="1"/>
  <c r="AM1461" i="1" s="1"/>
  <c r="AM968" i="1" a="1"/>
  <c r="AM968" i="1" s="1"/>
  <c r="AM1884" i="1" a="1"/>
  <c r="AM1884" i="1" s="1"/>
  <c r="AP2051" i="1"/>
  <c r="AM1459" i="1" a="1"/>
  <c r="AM1459" i="1" s="1"/>
  <c r="AM966" i="1" a="1"/>
  <c r="AM966" i="1" s="1"/>
  <c r="AP1937" i="1"/>
  <c r="AM1933" i="1" a="1"/>
  <c r="AM1933" i="1" s="1"/>
  <c r="AP1911" i="1"/>
  <c r="AP1895" i="1"/>
  <c r="AP1860" i="1"/>
  <c r="AH1854" i="1"/>
  <c r="AH1850" i="1"/>
  <c r="AM1812" i="1" a="1"/>
  <c r="AM1812" i="1" s="1"/>
  <c r="AM1799" i="1" a="1"/>
  <c r="AM1799" i="1" s="1"/>
  <c r="AP1785" i="1"/>
  <c r="AP1781" i="1"/>
  <c r="AO1773" i="1"/>
  <c r="AO1745" i="1"/>
  <c r="AO1718" i="1"/>
  <c r="AN1703" i="1"/>
  <c r="AM1604" i="1" a="1"/>
  <c r="AM1604" i="1" s="1"/>
  <c r="AM1521" i="1" a="1"/>
  <c r="AM1521" i="1" s="1"/>
  <c r="AO1439" i="1"/>
  <c r="AO1264" i="1"/>
  <c r="AO1219" i="1"/>
  <c r="AH1212" i="1"/>
  <c r="AO1197" i="1"/>
  <c r="AM1106" i="1" a="1"/>
  <c r="AM1106" i="1" s="1"/>
  <c r="AP1025" i="1"/>
  <c r="AM928" i="1" a="1"/>
  <c r="AM928" i="1" s="1"/>
  <c r="AO712" i="1"/>
  <c r="AO563" i="1"/>
  <c r="AM1729" i="1" a="1"/>
  <c r="AM1729" i="1" s="1"/>
  <c r="AN1504" i="1"/>
  <c r="AH1283" i="1"/>
  <c r="AM1192" i="1" a="1"/>
  <c r="AM1192" i="1" s="1"/>
  <c r="AM1037" i="1" a="1"/>
  <c r="AM1037" i="1" s="1"/>
  <c r="AO587" i="1"/>
  <c r="AO539" i="1"/>
  <c r="AO509" i="1"/>
  <c r="AO494" i="1"/>
  <c r="AM1766" i="1" a="1"/>
  <c r="AM1766" i="1" s="1"/>
  <c r="AP1539" i="1"/>
  <c r="AP1370" i="1"/>
  <c r="AM1315" i="1" a="1"/>
  <c r="AM1315" i="1" s="1"/>
  <c r="AP1223" i="1"/>
  <c r="AP1217" i="1"/>
  <c r="AP1211" i="1"/>
  <c r="AM1165" i="1" a="1"/>
  <c r="AM1165" i="1" s="1"/>
  <c r="AM1151" i="1" a="1"/>
  <c r="AM1151" i="1" s="1"/>
  <c r="AM1137" i="1" a="1"/>
  <c r="AM1137" i="1" s="1"/>
  <c r="AM1130" i="1" a="1"/>
  <c r="AM1130" i="1" s="1"/>
  <c r="AM1072" i="1" a="1"/>
  <c r="AM1072" i="1" s="1"/>
  <c r="AM1065" i="1" a="1"/>
  <c r="AM1065" i="1" s="1"/>
  <c r="AM1637" i="1" a="1"/>
  <c r="AM1637" i="1" s="1"/>
  <c r="AO1543" i="1"/>
  <c r="AN1282" i="1"/>
  <c r="AO654" i="1"/>
  <c r="AO553" i="1"/>
  <c r="AO480" i="1"/>
  <c r="AP1759" i="1"/>
  <c r="AP1252" i="1"/>
  <c r="AM1211" i="1" a="1"/>
  <c r="AM1211" i="1" s="1"/>
  <c r="AM1205" i="1" a="1"/>
  <c r="AM1205" i="1" s="1"/>
  <c r="AM1199" i="1" a="1"/>
  <c r="AM1199" i="1" s="1"/>
  <c r="AM1193" i="1" a="1"/>
  <c r="AM1193" i="1" s="1"/>
  <c r="AM1116" i="1" a="1"/>
  <c r="AM1116" i="1" s="1"/>
  <c r="AM1096" i="1" a="1"/>
  <c r="AM1096" i="1" s="1"/>
  <c r="AM1090" i="1" a="1"/>
  <c r="AM1090" i="1" s="1"/>
  <c r="AM1084" i="1" a="1"/>
  <c r="AM1084" i="1" s="1"/>
  <c r="AH1282" i="1"/>
  <c r="AM1190" i="1" a="1"/>
  <c r="AM1190" i="1" s="1"/>
  <c r="AH654" i="1"/>
  <c r="AO568" i="1"/>
  <c r="AO538" i="1"/>
  <c r="AO508" i="1"/>
  <c r="AO493" i="1"/>
  <c r="AO464" i="1"/>
  <c r="AP1378" i="1"/>
  <c r="AP1264" i="1"/>
  <c r="AM1258" i="1" a="1"/>
  <c r="AM1258" i="1" s="1"/>
  <c r="AM1103" i="1" a="1"/>
  <c r="AM1103" i="1" s="1"/>
  <c r="AO1703" i="1"/>
  <c r="AO1656" i="1"/>
  <c r="AM1634" i="1" a="1"/>
  <c r="AM1634" i="1" s="1"/>
  <c r="AM1600" i="1" a="1"/>
  <c r="AM1600" i="1" s="1"/>
  <c r="AM1462" i="1" a="1"/>
  <c r="AM1462" i="1" s="1"/>
  <c r="AN1219" i="1"/>
  <c r="AM905" i="1" a="1"/>
  <c r="AM905" i="1" s="1"/>
  <c r="AO585" i="1"/>
  <c r="AP567" i="1"/>
  <c r="AP521" i="1"/>
  <c r="AO492" i="1"/>
  <c r="AP478" i="1"/>
  <c r="AO463" i="1"/>
  <c r="AP1762" i="1"/>
  <c r="AM1314" i="1" a="1"/>
  <c r="AM1314" i="1" s="1"/>
  <c r="AP1299" i="1"/>
  <c r="AP1216" i="1"/>
  <c r="AP1210" i="1"/>
  <c r="AP1198" i="1"/>
  <c r="AP1192" i="1"/>
  <c r="AM1150" i="1" a="1"/>
  <c r="AM1150" i="1" s="1"/>
  <c r="AM1136" i="1" a="1"/>
  <c r="AM1136" i="1" s="1"/>
  <c r="AM1129" i="1" a="1"/>
  <c r="AM1129" i="1" s="1"/>
  <c r="AP1089" i="1"/>
  <c r="AP1083" i="1"/>
  <c r="AM1077" i="1" a="1"/>
  <c r="AM1077" i="1" s="1"/>
  <c r="AM1064" i="1" a="1"/>
  <c r="AM1064" i="1" s="1"/>
  <c r="AN1773" i="1"/>
  <c r="AM1746" i="1" a="1"/>
  <c r="AM1746" i="1" s="1"/>
  <c r="AO1723" i="1"/>
  <c r="AH1703" i="1"/>
  <c r="AH1539" i="1"/>
  <c r="AM1498" i="1" a="1"/>
  <c r="AM1498" i="1" s="1"/>
  <c r="AM1355" i="1" a="1"/>
  <c r="AM1355" i="1" s="1"/>
  <c r="AO1250" i="1"/>
  <c r="AP975" i="1"/>
  <c r="AO551" i="1"/>
  <c r="AO506" i="1"/>
  <c r="AP1763" i="1"/>
  <c r="AP1517" i="1"/>
  <c r="AP1440" i="1"/>
  <c r="AN1745" i="1"/>
  <c r="AN1723" i="1"/>
  <c r="AM1703" i="1" a="1"/>
  <c r="AM1703" i="1" s="1"/>
  <c r="AM1680" i="1" a="1"/>
  <c r="AM1680" i="1" s="1"/>
  <c r="AO1654" i="1"/>
  <c r="AO1631" i="1"/>
  <c r="AO1354" i="1"/>
  <c r="AN1250" i="1"/>
  <c r="AH1217" i="1"/>
  <c r="AO566" i="1"/>
  <c r="AO462" i="1"/>
  <c r="AP1764" i="1"/>
  <c r="AP1498" i="1"/>
  <c r="AP1431" i="1"/>
  <c r="AP1263" i="1"/>
  <c r="AM1793" i="1" a="1"/>
  <c r="AM1793" i="1" s="1"/>
  <c r="AM1745" i="1" a="1"/>
  <c r="AM1745" i="1" s="1"/>
  <c r="AN1722" i="1"/>
  <c r="AH1702" i="1"/>
  <c r="AN1654" i="1"/>
  <c r="AO1629" i="1"/>
  <c r="AM1494" i="1" a="1"/>
  <c r="AM1494" i="1" s="1"/>
  <c r="AO1273" i="1"/>
  <c r="AO1249" i="1"/>
  <c r="AO1180" i="1"/>
  <c r="AO550" i="1"/>
  <c r="AO520" i="1"/>
  <c r="AO505" i="1"/>
  <c r="AO490" i="1"/>
  <c r="AH462" i="1"/>
  <c r="AP1765" i="1"/>
  <c r="AM1269" i="1" a="1"/>
  <c r="AM1269" i="1" s="1"/>
  <c r="AP1141" i="1"/>
  <c r="AM1895" i="1" a="1"/>
  <c r="AM1895" i="1" s="1"/>
  <c r="AM1860" i="1" a="1"/>
  <c r="AM1860" i="1" s="1"/>
  <c r="AM1701" i="1" a="1"/>
  <c r="AM1701" i="1" s="1"/>
  <c r="AO1272" i="1"/>
  <c r="AO1213" i="1"/>
  <c r="AN623" i="1"/>
  <c r="AO564" i="1"/>
  <c r="AO504" i="1"/>
  <c r="AO489" i="1"/>
  <c r="AP1564" i="1"/>
  <c r="AP1506" i="1"/>
  <c r="AP1468" i="1"/>
  <c r="AM1781" i="1" a="1"/>
  <c r="AM1781" i="1" s="1"/>
  <c r="AM1871" i="1" a="1"/>
  <c r="AM1871" i="1" s="1"/>
  <c r="AM1785" i="1" a="1"/>
  <c r="AM1785" i="1" s="1"/>
  <c r="AN1718" i="1"/>
  <c r="AM1699" i="1" a="1"/>
  <c r="AM1699" i="1" s="1"/>
  <c r="AM1440" i="1" a="1"/>
  <c r="AM1440" i="1" s="1"/>
  <c r="AN1212" i="1"/>
  <c r="AO503" i="1"/>
  <c r="AO488" i="1"/>
  <c r="AM1827" i="1" a="1"/>
  <c r="AM1827" i="1" s="1"/>
  <c r="AO1561" i="1"/>
  <c r="AN1439" i="1"/>
  <c r="AO579" i="1"/>
  <c r="AO531" i="1"/>
  <c r="AO517" i="1"/>
  <c r="AO473" i="1"/>
  <c r="AO459" i="1"/>
  <c r="AM1312" i="1" a="1"/>
  <c r="AM1312" i="1" s="1"/>
  <c r="AP1274" i="1"/>
  <c r="AP1220" i="1"/>
  <c r="AP1214" i="1"/>
  <c r="AP1202" i="1"/>
  <c r="AP1190" i="1"/>
  <c r="AM1140" i="1" a="1"/>
  <c r="AM1140" i="1" s="1"/>
  <c r="AP1870" i="1"/>
  <c r="AN1740" i="1"/>
  <c r="AN1717" i="1"/>
  <c r="AM1622" i="1" a="1"/>
  <c r="AM1622" i="1" s="1"/>
  <c r="AH1561" i="1"/>
  <c r="AH1267" i="1"/>
  <c r="AN1210" i="1"/>
  <c r="AM667" i="1" a="1"/>
  <c r="AM667" i="1" s="1"/>
  <c r="AO545" i="1"/>
  <c r="AO487" i="1"/>
  <c r="AP1504" i="1"/>
  <c r="AP1249" i="1"/>
  <c r="AM1208" i="1" a="1"/>
  <c r="AM1208" i="1" s="1"/>
  <c r="AM1202" i="1" a="1"/>
  <c r="AM1202" i="1" s="1"/>
  <c r="AM1196" i="1" a="1"/>
  <c r="AM1196" i="1" s="1"/>
  <c r="AM1119" i="1" a="1"/>
  <c r="AM1119" i="1" s="1"/>
  <c r="AM1093" i="1" a="1"/>
  <c r="AM1093" i="1" s="1"/>
  <c r="AM1087" i="1" a="1"/>
  <c r="AM1087" i="1" s="1"/>
  <c r="AM1081" i="1" a="1"/>
  <c r="AM1081" i="1" s="1"/>
  <c r="AM1820" i="1" a="1"/>
  <c r="AM1820" i="1" s="1"/>
  <c r="AM1771" i="1" a="1"/>
  <c r="AM1771" i="1" s="1"/>
  <c r="AH1740" i="1"/>
  <c r="AN1715" i="1"/>
  <c r="AM1647" i="1" a="1"/>
  <c r="AM1647" i="1" s="1"/>
  <c r="AM1621" i="1" a="1"/>
  <c r="AM1621" i="1" s="1"/>
  <c r="AM1210" i="1" a="1"/>
  <c r="AM1210" i="1" s="1"/>
  <c r="AO578" i="1"/>
  <c r="AO560" i="1"/>
  <c r="AO516" i="1"/>
  <c r="AO458" i="1"/>
  <c r="AP1267" i="1"/>
  <c r="AP1261" i="1"/>
  <c r="AM1255" i="1" a="1"/>
  <c r="AM1255" i="1" s="1"/>
  <c r="AP1112" i="1"/>
  <c r="AN1854" i="1"/>
  <c r="AM1775" i="1" a="1"/>
  <c r="AM1775" i="1" s="1"/>
  <c r="AH1714" i="1"/>
  <c r="AM1646" i="1" a="1"/>
  <c r="AM1646" i="1" s="1"/>
  <c r="AH1378" i="1"/>
  <c r="AN1264" i="1"/>
  <c r="AM1240" i="1" a="1"/>
  <c r="AM1240" i="1" s="1"/>
  <c r="AH1201" i="1"/>
  <c r="AH617" i="1"/>
  <c r="AO515" i="1"/>
  <c r="AM1757" i="1" a="1"/>
  <c r="AM1757" i="1" s="1"/>
  <c r="AM1474" i="1" a="1"/>
  <c r="AM1474" i="1" s="1"/>
  <c r="AH1713" i="1"/>
  <c r="AM1694" i="1" a="1"/>
  <c r="AM1694" i="1" s="1"/>
  <c r="AM1617" i="1" a="1"/>
  <c r="AM1617" i="1" s="1"/>
  <c r="AN1552" i="1"/>
  <c r="AH1200" i="1"/>
  <c r="AO616" i="1"/>
  <c r="AO543" i="1"/>
  <c r="AO528" i="1"/>
  <c r="AO498" i="1"/>
  <c r="AO470" i="1"/>
  <c r="AM1758" i="1" a="1"/>
  <c r="AM1758" i="1" s="1"/>
  <c r="AP1332" i="1"/>
  <c r="AP1254" i="1"/>
  <c r="AM1195" i="1" a="1"/>
  <c r="AM1195" i="1" s="1"/>
  <c r="AM1713" i="1" a="1"/>
  <c r="AM1713" i="1" s="1"/>
  <c r="AO1693" i="1"/>
  <c r="AM1644" i="1" a="1"/>
  <c r="AM1644" i="1" s="1"/>
  <c r="AH1552" i="1"/>
  <c r="AN1263" i="1"/>
  <c r="AH638" i="1"/>
  <c r="AH616" i="1"/>
  <c r="AO575" i="1"/>
  <c r="AO557" i="1"/>
  <c r="AO484" i="1"/>
  <c r="AM1759" i="1" a="1"/>
  <c r="AM1759" i="1" s="1"/>
  <c r="AP1561" i="1"/>
  <c r="AP1399" i="1"/>
  <c r="AM1583" i="1" a="1"/>
  <c r="AM1583" i="1" s="1"/>
  <c r="AH1551" i="1"/>
  <c r="AM1470" i="1" a="1"/>
  <c r="AM1470" i="1" s="1"/>
  <c r="AM1198" i="1" a="1"/>
  <c r="AM1198" i="1" s="1"/>
  <c r="AP826" i="1"/>
  <c r="AN712" i="1"/>
  <c r="AO527" i="1"/>
  <c r="AO497" i="1"/>
  <c r="AO469" i="1"/>
  <c r="AM1760" i="1" a="1"/>
  <c r="AM1760" i="1" s="1"/>
  <c r="AP1551" i="1"/>
  <c r="AP1521" i="1"/>
  <c r="AM1473" i="1" a="1"/>
  <c r="AM1473" i="1" s="1"/>
  <c r="AP1347" i="1"/>
  <c r="AP1240" i="1"/>
  <c r="AM1181" i="1" a="1"/>
  <c r="AM1181" i="1" s="1"/>
  <c r="AM1159" i="1" a="1"/>
  <c r="AM1159" i="1" s="1"/>
  <c r="AP1152" i="1"/>
  <c r="AP1073" i="1"/>
  <c r="AM1864" i="1" a="1"/>
  <c r="AM1864" i="1" s="1"/>
  <c r="AM1612" i="1" a="1"/>
  <c r="AM1612" i="1" s="1"/>
  <c r="AM1582" i="1" a="1"/>
  <c r="AM1582" i="1" s="1"/>
  <c r="AH1261" i="1"/>
  <c r="AN1197" i="1"/>
  <c r="AO556" i="1"/>
  <c r="AO541" i="1"/>
  <c r="AM1761" i="1" a="1"/>
  <c r="AM1761" i="1" s="1"/>
  <c r="AM1316" i="1" a="1"/>
  <c r="AM1316" i="1" s="1"/>
  <c r="AP1272" i="1"/>
  <c r="AP1883" i="1"/>
  <c r="AP1863" i="1"/>
  <c r="AN1843" i="1"/>
  <c r="AH1180" i="1"/>
  <c r="AO552" i="1"/>
  <c r="AO532" i="1"/>
  <c r="AO471" i="1"/>
  <c r="AP1545" i="1"/>
  <c r="AM1311" i="1" a="1"/>
  <c r="AM1311" i="1" s="1"/>
  <c r="AM1167" i="1" a="1"/>
  <c r="AM1167" i="1" s="1"/>
  <c r="AP1118" i="1"/>
  <c r="AM1108" i="1" a="1"/>
  <c r="AM1108" i="1" s="1"/>
  <c r="AM1067" i="1" a="1"/>
  <c r="AM1067" i="1" s="1"/>
  <c r="AM986" i="1" a="1"/>
  <c r="AM986" i="1" s="1"/>
  <c r="AM937" i="1" a="1"/>
  <c r="AM937" i="1" s="1"/>
  <c r="AH1715" i="1"/>
  <c r="AP1266" i="1"/>
  <c r="AM1215" i="1" a="1"/>
  <c r="AM1215" i="1" s="1"/>
  <c r="AM1204" i="1" a="1"/>
  <c r="AM1204" i="1" s="1"/>
  <c r="AM1097" i="1" a="1"/>
  <c r="AM1097" i="1" s="1"/>
  <c r="AM1012" i="1" a="1"/>
  <c r="AM1012" i="1" s="1"/>
  <c r="AM1006" i="1" a="1"/>
  <c r="AM1006" i="1" s="1"/>
  <c r="AM964" i="1" a="1"/>
  <c r="AM964" i="1" s="1"/>
  <c r="AM842" i="1" a="1"/>
  <c r="AM842" i="1" s="1"/>
  <c r="AM836" i="1" a="1"/>
  <c r="AM836" i="1" s="1"/>
  <c r="AM1653" i="1" a="1"/>
  <c r="AM1653" i="1" s="1"/>
  <c r="AN1283" i="1"/>
  <c r="AO510" i="1"/>
  <c r="AP1203" i="1"/>
  <c r="AP1180" i="1"/>
  <c r="AM1166" i="1" a="1"/>
  <c r="AM1166" i="1" s="1"/>
  <c r="AM1153" i="1" a="1"/>
  <c r="AM1153" i="1" s="1"/>
  <c r="AM1055" i="1" a="1"/>
  <c r="AM1055" i="1" s="1"/>
  <c r="AM1041" i="1" a="1"/>
  <c r="AM1041" i="1" s="1"/>
  <c r="AM992" i="1" a="1"/>
  <c r="AM992" i="1" s="1"/>
  <c r="AM890" i="1" a="1"/>
  <c r="AM890" i="1" s="1"/>
  <c r="AM884" i="1" a="1"/>
  <c r="AM884" i="1" s="1"/>
  <c r="AM878" i="1" a="1"/>
  <c r="AM878" i="1" s="1"/>
  <c r="AM872" i="1" a="1"/>
  <c r="AM872" i="1" s="1"/>
  <c r="AM866" i="1" a="1"/>
  <c r="AM866" i="1" s="1"/>
  <c r="AM860" i="1" a="1"/>
  <c r="AM860" i="1" s="1"/>
  <c r="AM854" i="1" a="1"/>
  <c r="AM854" i="1" s="1"/>
  <c r="AM848" i="1" a="1"/>
  <c r="AM848" i="1" s="1"/>
  <c r="AH1757" i="1"/>
  <c r="AM1253" i="1" a="1"/>
  <c r="AM1253" i="1" s="1"/>
  <c r="AM1203" i="1" a="1"/>
  <c r="AM1203" i="1" s="1"/>
  <c r="AP1086" i="1"/>
  <c r="AM1066" i="1" a="1"/>
  <c r="AM1066" i="1" s="1"/>
  <c r="AM1034" i="1" a="1"/>
  <c r="AM1034" i="1" s="1"/>
  <c r="AM949" i="1" a="1"/>
  <c r="AM949" i="1" s="1"/>
  <c r="AM943" i="1" a="1"/>
  <c r="AM943" i="1" s="1"/>
  <c r="AM823" i="1" a="1"/>
  <c r="AM823" i="1" s="1"/>
  <c r="AM817" i="1" a="1"/>
  <c r="AM817" i="1" s="1"/>
  <c r="AM811" i="1" a="1"/>
  <c r="AM811" i="1" s="1"/>
  <c r="AM805" i="1" a="1"/>
  <c r="AM805" i="1" s="1"/>
  <c r="AM799" i="1" a="1"/>
  <c r="AM799" i="1" s="1"/>
  <c r="AM793" i="1" a="1"/>
  <c r="AM793" i="1" s="1"/>
  <c r="AM787" i="1" a="1"/>
  <c r="AM787" i="1" s="1"/>
  <c r="AM781" i="1" a="1"/>
  <c r="AM781" i="1" s="1"/>
  <c r="AM762" i="1" a="1"/>
  <c r="AM762" i="1" s="1"/>
  <c r="AM756" i="1" a="1"/>
  <c r="AM756" i="1" s="1"/>
  <c r="AM750" i="1" a="1"/>
  <c r="AM750" i="1" s="1"/>
  <c r="AH1710" i="1"/>
  <c r="AO1413" i="1"/>
  <c r="AO1362" i="1"/>
  <c r="AO529" i="1"/>
  <c r="AO486" i="1"/>
  <c r="AO468" i="1"/>
  <c r="AP1355" i="1"/>
  <c r="AM1265" i="1" a="1"/>
  <c r="AM1265" i="1" s="1"/>
  <c r="AM1139" i="1" a="1"/>
  <c r="AM1139" i="1" s="1"/>
  <c r="AM1117" i="1" a="1"/>
  <c r="AM1117" i="1" s="1"/>
  <c r="AM1107" i="1" a="1"/>
  <c r="AM1107" i="1" s="1"/>
  <c r="AM1076" i="1" a="1"/>
  <c r="AM1076" i="1" s="1"/>
  <c r="AM985" i="1" a="1"/>
  <c r="AM985" i="1" s="1"/>
  <c r="AM936" i="1" a="1"/>
  <c r="AM936" i="1" s="1"/>
  <c r="AH1744" i="1"/>
  <c r="AM1608" i="1" a="1"/>
  <c r="AM1608" i="1" s="1"/>
  <c r="AO739" i="1"/>
  <c r="AP1213" i="1"/>
  <c r="AM1191" i="1" a="1"/>
  <c r="AM1191" i="1" s="1"/>
  <c r="AM1095" i="1" a="1"/>
  <c r="AM1095" i="1" s="1"/>
  <c r="AM1054" i="1" a="1"/>
  <c r="AM1054" i="1" s="1"/>
  <c r="AM1026" i="1" a="1"/>
  <c r="AM1026" i="1" s="1"/>
  <c r="AM1011" i="1" a="1"/>
  <c r="AM1011" i="1" s="1"/>
  <c r="AM1005" i="1" a="1"/>
  <c r="AM1005" i="1" s="1"/>
  <c r="AM970" i="1" a="1"/>
  <c r="AM970" i="1" s="1"/>
  <c r="AM963" i="1" a="1"/>
  <c r="AM963" i="1" s="1"/>
  <c r="AP853" i="1"/>
  <c r="AM841" i="1" a="1"/>
  <c r="AM841" i="1" s="1"/>
  <c r="AM835" i="1" a="1"/>
  <c r="AM835" i="1" s="1"/>
  <c r="AM774" i="1" a="1"/>
  <c r="AM774" i="1" s="1"/>
  <c r="AM768" i="1" a="1"/>
  <c r="AM768" i="1" s="1"/>
  <c r="AM1709" i="1" a="1"/>
  <c r="AM1709" i="1" s="1"/>
  <c r="AH1273" i="1"/>
  <c r="AN617" i="1"/>
  <c r="AM1762" i="1" a="1"/>
  <c r="AM1762" i="1" s="1"/>
  <c r="AP1508" i="1"/>
  <c r="AM1276" i="1" a="1"/>
  <c r="AM1276" i="1" s="1"/>
  <c r="AP1251" i="1"/>
  <c r="AM1224" i="1" a="1"/>
  <c r="AM1224" i="1" s="1"/>
  <c r="AM1138" i="1" a="1"/>
  <c r="AM1138" i="1" s="1"/>
  <c r="AM1046" i="1" a="1"/>
  <c r="AM1046" i="1" s="1"/>
  <c r="AM991" i="1" a="1"/>
  <c r="AM991" i="1" s="1"/>
  <c r="AP928" i="1"/>
  <c r="AM889" i="1" a="1"/>
  <c r="AM889" i="1" s="1"/>
  <c r="AM883" i="1" a="1"/>
  <c r="AM883" i="1" s="1"/>
  <c r="AM877" i="1" a="1"/>
  <c r="AM877" i="1" s="1"/>
  <c r="AM871" i="1" a="1"/>
  <c r="AM871" i="1" s="1"/>
  <c r="AM865" i="1" a="1"/>
  <c r="AM865" i="1" s="1"/>
  <c r="AM859" i="1" a="1"/>
  <c r="AM859" i="1" s="1"/>
  <c r="AO1468" i="1"/>
  <c r="AM1271" i="1" a="1"/>
  <c r="AM1271" i="1" s="1"/>
  <c r="AM1763" i="1" a="1"/>
  <c r="AM1763" i="1" s="1"/>
  <c r="AP1212" i="1"/>
  <c r="AP1201" i="1"/>
  <c r="AM1085" i="1" a="1"/>
  <c r="AM1085" i="1" s="1"/>
  <c r="AP1075" i="1"/>
  <c r="AM1033" i="1" a="1"/>
  <c r="AM1033" i="1" s="1"/>
  <c r="AM948" i="1" a="1"/>
  <c r="AM948" i="1" s="1"/>
  <c r="AM822" i="1" a="1"/>
  <c r="AM822" i="1" s="1"/>
  <c r="AM816" i="1" a="1"/>
  <c r="AM816" i="1" s="1"/>
  <c r="AM810" i="1" a="1"/>
  <c r="AM810" i="1" s="1"/>
  <c r="AM804" i="1" a="1"/>
  <c r="AM804" i="1" s="1"/>
  <c r="AM798" i="1" a="1"/>
  <c r="AM798" i="1" s="1"/>
  <c r="AM792" i="1" a="1"/>
  <c r="AM792" i="1" s="1"/>
  <c r="AM786" i="1" a="1"/>
  <c r="AM786" i="1" s="1"/>
  <c r="AM761" i="1" a="1"/>
  <c r="AM761" i="1" s="1"/>
  <c r="AM755" i="1" a="1"/>
  <c r="AM755" i="1" s="1"/>
  <c r="AM749" i="1" a="1"/>
  <c r="AM749" i="1" s="1"/>
  <c r="AN1646" i="1"/>
  <c r="AH1468" i="1"/>
  <c r="AP776" i="1"/>
  <c r="AO526" i="1"/>
  <c r="AM1765" i="1" a="1"/>
  <c r="AM1765" i="1" s="1"/>
  <c r="AM1275" i="1" a="1"/>
  <c r="AM1275" i="1" s="1"/>
  <c r="AP1250" i="1"/>
  <c r="AM1115" i="1" a="1"/>
  <c r="AM1115" i="1" s="1"/>
  <c r="AM1105" i="1" a="1"/>
  <c r="AM1105" i="1" s="1"/>
  <c r="AM1094" i="1" a="1"/>
  <c r="AM1094" i="1" s="1"/>
  <c r="AM1053" i="1" a="1"/>
  <c r="AM1053" i="1" s="1"/>
  <c r="AM997" i="1" a="1"/>
  <c r="AM997" i="1" s="1"/>
  <c r="AO1600" i="1"/>
  <c r="AO1399" i="1"/>
  <c r="AO544" i="1"/>
  <c r="AO482" i="1"/>
  <c r="AP1305" i="1"/>
  <c r="AP1200" i="1"/>
  <c r="AM1074" i="1" a="1"/>
  <c r="AM1074" i="1" s="1"/>
  <c r="AM1039" i="1" a="1"/>
  <c r="AM1039" i="1" s="1"/>
  <c r="AO1704" i="1"/>
  <c r="AO481" i="1"/>
  <c r="AM1104" i="1" a="1"/>
  <c r="AM1104" i="1" s="1"/>
  <c r="AM1083" i="1" a="1"/>
  <c r="AM1083" i="1" s="1"/>
  <c r="AM1052" i="1" a="1"/>
  <c r="AM1052" i="1" s="1"/>
  <c r="AM947" i="1" a="1"/>
  <c r="AM947" i="1" s="1"/>
  <c r="AM1700" i="1" a="1"/>
  <c r="AM1700" i="1" s="1"/>
  <c r="AH1508" i="1"/>
  <c r="AM1317" i="1" a="1"/>
  <c r="AM1317" i="1" s="1"/>
  <c r="AP1273" i="1"/>
  <c r="AM1221" i="1" a="1"/>
  <c r="AM1221" i="1" s="1"/>
  <c r="AM1124" i="1" a="1"/>
  <c r="AM1124" i="1" s="1"/>
  <c r="AM996" i="1" a="1"/>
  <c r="AM996" i="1" s="1"/>
  <c r="AM983" i="1" a="1"/>
  <c r="AM983" i="1" s="1"/>
  <c r="AM934" i="1" a="1"/>
  <c r="AM934" i="1" s="1"/>
  <c r="AP833" i="1"/>
  <c r="AM827" i="1" a="1"/>
  <c r="AM827" i="1" s="1"/>
  <c r="AM1152" i="1" a="1"/>
  <c r="AM1152" i="1" s="1"/>
  <c r="AO460" i="1"/>
  <c r="AM1248" i="1" a="1"/>
  <c r="AM1248" i="1" s="1"/>
  <c r="AP1187" i="1"/>
  <c r="AM1135" i="1" a="1"/>
  <c r="AM1135" i="1" s="1"/>
  <c r="AM1092" i="1" a="1"/>
  <c r="AM1092" i="1" s="1"/>
  <c r="AP1082" i="1"/>
  <c r="AM1009" i="1" a="1"/>
  <c r="AM1009" i="1" s="1"/>
  <c r="AM1003" i="1" a="1"/>
  <c r="AM1003" i="1" s="1"/>
  <c r="AM961" i="1" a="1"/>
  <c r="AM961" i="1" s="1"/>
  <c r="AM845" i="1" a="1"/>
  <c r="AM845" i="1" s="1"/>
  <c r="AM839" i="1" a="1"/>
  <c r="AM839" i="1" s="1"/>
  <c r="AM772" i="1" a="1"/>
  <c r="AM772" i="1" s="1"/>
  <c r="AO1257" i="1"/>
  <c r="AO1214" i="1"/>
  <c r="AO540" i="1"/>
  <c r="AP1470" i="1"/>
  <c r="AP1366" i="1"/>
  <c r="AM1209" i="1" a="1"/>
  <c r="AM1209" i="1" s="1"/>
  <c r="AM1051" i="1" a="1"/>
  <c r="AM1051" i="1" s="1"/>
  <c r="AM1044" i="1" a="1"/>
  <c r="AM1044" i="1" s="1"/>
  <c r="AM989" i="1" a="1"/>
  <c r="AM989" i="1" s="1"/>
  <c r="AM887" i="1" a="1"/>
  <c r="AM887" i="1" s="1"/>
  <c r="AM881" i="1" a="1"/>
  <c r="AM881" i="1" s="1"/>
  <c r="AM875" i="1" a="1"/>
  <c r="AM875" i="1" s="1"/>
  <c r="AM869" i="1" a="1"/>
  <c r="AM869" i="1" s="1"/>
  <c r="AM863" i="1" a="1"/>
  <c r="AM863" i="1" s="1"/>
  <c r="AM857" i="1" a="1"/>
  <c r="AM857" i="1" s="1"/>
  <c r="AM851" i="1" a="1"/>
  <c r="AM851" i="1" s="1"/>
  <c r="AP784" i="1"/>
  <c r="AM1731" i="1" a="1"/>
  <c r="AM1731" i="1" s="1"/>
  <c r="AN1213" i="1"/>
  <c r="AP1439" i="1"/>
  <c r="AM1259" i="1" a="1"/>
  <c r="AM1259" i="1" s="1"/>
  <c r="AP1247" i="1"/>
  <c r="AP1197" i="1"/>
  <c r="AM1123" i="1" a="1"/>
  <c r="AM1123" i="1" s="1"/>
  <c r="AP1091" i="1"/>
  <c r="AP1037" i="1"/>
  <c r="AM946" i="1" a="1"/>
  <c r="AM946" i="1" s="1"/>
  <c r="AM826" i="1" a="1"/>
  <c r="AM826" i="1" s="1"/>
  <c r="AM820" i="1" a="1"/>
  <c r="AM820" i="1" s="1"/>
  <c r="AM814" i="1" a="1"/>
  <c r="AM814" i="1" s="1"/>
  <c r="AM808" i="1" a="1"/>
  <c r="AM808" i="1" s="1"/>
  <c r="AM802" i="1" a="1"/>
  <c r="AM802" i="1" s="1"/>
  <c r="AM796" i="1" a="1"/>
  <c r="AM796" i="1" s="1"/>
  <c r="AM790" i="1" a="1"/>
  <c r="AM790" i="1" s="1"/>
  <c r="AM784" i="1" a="1"/>
  <c r="AM784" i="1" s="1"/>
  <c r="AM778" i="1" a="1"/>
  <c r="AM778" i="1" s="1"/>
  <c r="AM759" i="1" a="1"/>
  <c r="AM759" i="1" s="1"/>
  <c r="AM753" i="1" a="1"/>
  <c r="AM753" i="1" s="1"/>
  <c r="AM747" i="1" a="1"/>
  <c r="AM747" i="1" s="1"/>
  <c r="AO1695" i="1"/>
  <c r="AN1201" i="1"/>
  <c r="AP1271" i="1"/>
  <c r="AP1219" i="1"/>
  <c r="AP1071" i="1"/>
  <c r="AM1050" i="1" a="1"/>
  <c r="AM1050" i="1" s="1"/>
  <c r="AM982" i="1" a="1"/>
  <c r="AM982" i="1" s="1"/>
  <c r="AO1729" i="1"/>
  <c r="AO518" i="1"/>
  <c r="AO496" i="1"/>
  <c r="AP1555" i="1"/>
  <c r="AM1270" i="1" a="1"/>
  <c r="AM1270" i="1" s="1"/>
  <c r="AP1111" i="1"/>
  <c r="AM1008" i="1" a="1"/>
  <c r="AM1008" i="1" s="1"/>
  <c r="AO1252" i="1"/>
  <c r="AN1194" i="1"/>
  <c r="AO580" i="1"/>
  <c r="AO475" i="1"/>
  <c r="AP1283" i="1"/>
  <c r="AP1257" i="1"/>
  <c r="AP1207" i="1"/>
  <c r="AM1158" i="1" a="1"/>
  <c r="AM1158" i="1" s="1"/>
  <c r="AM1043" i="1" a="1"/>
  <c r="AM1043" i="1" s="1"/>
  <c r="AP994" i="1"/>
  <c r="AM886" i="1" a="1"/>
  <c r="AM886" i="1" s="1"/>
  <c r="AM880" i="1" a="1"/>
  <c r="AM880" i="1" s="1"/>
  <c r="AM874" i="1" a="1"/>
  <c r="AM874" i="1" s="1"/>
  <c r="AM862" i="1" a="1"/>
  <c r="AM862" i="1" s="1"/>
  <c r="AM856" i="1" a="1"/>
  <c r="AM856" i="1" s="1"/>
  <c r="AM850" i="1" a="1"/>
  <c r="AM850" i="1" s="1"/>
  <c r="AP825" i="1"/>
  <c r="AN1629" i="1"/>
  <c r="AM1545" i="1" a="1"/>
  <c r="AM1545" i="1" s="1"/>
  <c r="AN1249" i="1"/>
  <c r="AP1552" i="1"/>
  <c r="AM1313" i="1" a="1"/>
  <c r="AM1313" i="1" s="1"/>
  <c r="AM1218" i="1" a="1"/>
  <c r="AM1218" i="1" s="1"/>
  <c r="AM1169" i="1" a="1"/>
  <c r="AM1169" i="1" s="1"/>
  <c r="AM1157" i="1" a="1"/>
  <c r="AM1157" i="1" s="1"/>
  <c r="AP1120" i="1"/>
  <c r="AM1080" i="1" a="1"/>
  <c r="AM1080" i="1" s="1"/>
  <c r="AM945" i="1" a="1"/>
  <c r="AM945" i="1" s="1"/>
  <c r="AM819" i="1" a="1"/>
  <c r="AM819" i="1" s="1"/>
  <c r="AM813" i="1" a="1"/>
  <c r="AM813" i="1" s="1"/>
  <c r="AM807" i="1" a="1"/>
  <c r="AM807" i="1" s="1"/>
  <c r="AM801" i="1" a="1"/>
  <c r="AM801" i="1" s="1"/>
  <c r="AM795" i="1" a="1"/>
  <c r="AM795" i="1" s="1"/>
  <c r="AM789" i="1" a="1"/>
  <c r="AM789" i="1" s="1"/>
  <c r="AM783" i="1" a="1"/>
  <c r="AM783" i="1" s="1"/>
  <c r="AM777" i="1" a="1"/>
  <c r="AM777" i="1" s="1"/>
  <c r="AM758" i="1" a="1"/>
  <c r="AM758" i="1" s="1"/>
  <c r="AM752" i="1" a="1"/>
  <c r="AM752" i="1" s="1"/>
  <c r="AM746" i="1" a="1"/>
  <c r="AM746" i="1" s="1"/>
  <c r="AO555" i="1"/>
  <c r="AO474" i="1"/>
  <c r="AP1282" i="1"/>
  <c r="AM1089" i="1" a="1"/>
  <c r="AM1089" i="1" s="1"/>
  <c r="AM938" i="1" a="1"/>
  <c r="AM938" i="1" s="1"/>
  <c r="AM764" i="1" a="1"/>
  <c r="AM764" i="1" s="1"/>
  <c r="AM1687" i="1" a="1"/>
  <c r="AM1687" i="1" s="1"/>
  <c r="AN1378" i="1"/>
  <c r="AP1462" i="1"/>
  <c r="AM1256" i="1" a="1"/>
  <c r="AM1256" i="1" s="1"/>
  <c r="AM1206" i="1" a="1"/>
  <c r="AM1206" i="1" s="1"/>
  <c r="AM1182" i="1" a="1"/>
  <c r="AM1182" i="1" s="1"/>
  <c r="AP1799" i="1"/>
  <c r="AM1063" i="1" a="1"/>
  <c r="AM1063" i="1" s="1"/>
  <c r="AM990" i="1" a="1"/>
  <c r="AM990" i="1" s="1"/>
  <c r="AM815" i="1" a="1"/>
  <c r="AM815" i="1" s="1"/>
  <c r="AM1222" i="1" a="1"/>
  <c r="AM1222" i="1" s="1"/>
  <c r="AM941" i="1" a="1"/>
  <c r="AM941" i="1" s="1"/>
  <c r="AM788" i="1" a="1"/>
  <c r="AM788" i="1" s="1"/>
  <c r="AH410" i="1"/>
  <c r="AP1700" i="1"/>
  <c r="AP1695" i="1"/>
  <c r="AN3" i="1"/>
  <c r="AM748" i="1" a="1"/>
  <c r="AM748" i="1" s="1"/>
  <c r="AM740" i="1" a="1"/>
  <c r="AM740" i="1" s="1"/>
  <c r="AP674" i="1"/>
  <c r="AM656" i="1" a="1"/>
  <c r="AM656" i="1" s="1"/>
  <c r="AM650" i="1" a="1"/>
  <c r="AM650" i="1" s="1"/>
  <c r="AM644" i="1" a="1"/>
  <c r="AM644" i="1" s="1"/>
  <c r="AH421" i="1"/>
  <c r="AP1701" i="1"/>
  <c r="AH429" i="1"/>
  <c r="AM962" i="1" a="1"/>
  <c r="AM962" i="1" s="1"/>
  <c r="AM873" i="1" a="1"/>
  <c r="AM873" i="1" s="1"/>
  <c r="AM840" i="1" a="1"/>
  <c r="AM840" i="1" s="1"/>
  <c r="AM800" i="1" a="1"/>
  <c r="AM800" i="1" s="1"/>
  <c r="AM773" i="1" a="1"/>
  <c r="AM773" i="1" s="1"/>
  <c r="AM760" i="1" a="1"/>
  <c r="AM760" i="1" s="1"/>
  <c r="AM734" i="1" a="1"/>
  <c r="AM734" i="1" s="1"/>
  <c r="AM728" i="1" a="1"/>
  <c r="AM728" i="1" s="1"/>
  <c r="AM722" i="1" a="1"/>
  <c r="AM722" i="1" s="1"/>
  <c r="AM716" i="1" a="1"/>
  <c r="AM716" i="1" s="1"/>
  <c r="AM710" i="1" a="1"/>
  <c r="AM710" i="1" s="1"/>
  <c r="AM704" i="1" a="1"/>
  <c r="AM704" i="1" s="1"/>
  <c r="AM698" i="1" a="1"/>
  <c r="AM698" i="1" s="1"/>
  <c r="AM692" i="1" a="1"/>
  <c r="AM692" i="1" s="1"/>
  <c r="AM686" i="1" a="1"/>
  <c r="AM686" i="1" s="1"/>
  <c r="AM680" i="1" a="1"/>
  <c r="AM680" i="1" s="1"/>
  <c r="AM668" i="1" a="1"/>
  <c r="AM668" i="1" s="1"/>
  <c r="AM662" i="1" a="1"/>
  <c r="AM662" i="1" s="1"/>
  <c r="AP1702" i="1"/>
  <c r="AH430" i="1"/>
  <c r="AP1703" i="1"/>
  <c r="AP1699" i="1"/>
  <c r="AM1013" i="1" a="1"/>
  <c r="AM1013" i="1" s="1"/>
  <c r="AM855" i="1" a="1"/>
  <c r="AM855" i="1" s="1"/>
  <c r="AN8" i="1"/>
  <c r="AH363" i="1"/>
  <c r="AM1110" i="1" a="1"/>
  <c r="AM1110" i="1" s="1"/>
  <c r="AM984" i="1" a="1"/>
  <c r="AM984" i="1" s="1"/>
  <c r="AM960" i="1" a="1"/>
  <c r="AM960" i="1" s="1"/>
  <c r="AM812" i="1" a="1"/>
  <c r="AM812" i="1" s="1"/>
  <c r="AP739" i="1"/>
  <c r="AH435" i="1"/>
  <c r="AP1704" i="1"/>
  <c r="AN439" i="1"/>
  <c r="AN438" i="1"/>
  <c r="AN4" i="1"/>
  <c r="AM1109" i="1" a="1"/>
  <c r="AM1109" i="1" s="1"/>
  <c r="AM935" i="1" a="1"/>
  <c r="AM935" i="1" s="1"/>
  <c r="AP667" i="1"/>
  <c r="AM655" i="1" a="1"/>
  <c r="AM655" i="1" s="1"/>
  <c r="AM649" i="1" a="1"/>
  <c r="AM649" i="1" s="1"/>
  <c r="AM643" i="1" a="1"/>
  <c r="AM643" i="1" s="1"/>
  <c r="AH436" i="1"/>
  <c r="AN435" i="1"/>
  <c r="AM1048" i="1" a="1"/>
  <c r="AM1048" i="1" s="1"/>
  <c r="AM1010" i="1" a="1"/>
  <c r="AM1010" i="1" s="1"/>
  <c r="AM888" i="1" a="1"/>
  <c r="AM888" i="1" s="1"/>
  <c r="AM870" i="1" a="1"/>
  <c r="AM870" i="1" s="1"/>
  <c r="AM838" i="1" a="1"/>
  <c r="AM838" i="1" s="1"/>
  <c r="AM824" i="1" a="1"/>
  <c r="AM824" i="1" s="1"/>
  <c r="AM785" i="1" a="1"/>
  <c r="AM785" i="1" s="1"/>
  <c r="AM771" i="1" a="1"/>
  <c r="AM771" i="1" s="1"/>
  <c r="AM733" i="1" a="1"/>
  <c r="AM733" i="1" s="1"/>
  <c r="AM727" i="1" a="1"/>
  <c r="AM727" i="1" s="1"/>
  <c r="AM721" i="1" a="1"/>
  <c r="AM721" i="1" s="1"/>
  <c r="AM715" i="1" a="1"/>
  <c r="AM715" i="1" s="1"/>
  <c r="AM709" i="1" a="1"/>
  <c r="AM709" i="1" s="1"/>
  <c r="AM703" i="1" a="1"/>
  <c r="AM703" i="1" s="1"/>
  <c r="AM697" i="1" a="1"/>
  <c r="AM697" i="1" s="1"/>
  <c r="AM691" i="1" a="1"/>
  <c r="AM691" i="1" s="1"/>
  <c r="AM685" i="1" a="1"/>
  <c r="AM685" i="1" s="1"/>
  <c r="AM679" i="1" a="1"/>
  <c r="AM679" i="1" s="1"/>
  <c r="AM673" i="1" a="1"/>
  <c r="AM673" i="1" s="1"/>
  <c r="AM661" i="1" a="1"/>
  <c r="AM661" i="1" s="1"/>
  <c r="AH437" i="1"/>
  <c r="AN437" i="1"/>
  <c r="AH438" i="1"/>
  <c r="AN436" i="1"/>
  <c r="AH439" i="1"/>
  <c r="AP1297" i="1"/>
  <c r="AP1194" i="1"/>
  <c r="AM1045" i="1" a="1"/>
  <c r="AM1045" i="1" s="1"/>
  <c r="AM852" i="1" a="1"/>
  <c r="AM852" i="1" s="1"/>
  <c r="AM837" i="1" a="1"/>
  <c r="AM837" i="1" s="1"/>
  <c r="AM770" i="1" a="1"/>
  <c r="AM770" i="1" s="1"/>
  <c r="AM757" i="1" a="1"/>
  <c r="AM757" i="1" s="1"/>
  <c r="AM745" i="1" a="1"/>
  <c r="AM745" i="1" s="1"/>
  <c r="AP1723" i="1"/>
  <c r="AO533" i="1"/>
  <c r="AM1007" i="1" a="1"/>
  <c r="AM1007" i="1" s="1"/>
  <c r="AP868" i="1"/>
  <c r="AM797" i="1" a="1"/>
  <c r="AM797" i="1" s="1"/>
  <c r="AP654" i="1"/>
  <c r="AM1042" i="1" a="1"/>
  <c r="AM1042" i="1" s="1"/>
  <c r="AM744" i="1" a="1"/>
  <c r="AM744" i="1" s="1"/>
  <c r="AP702" i="1"/>
  <c r="AM648" i="1" a="1"/>
  <c r="AM648" i="1" s="1"/>
  <c r="AM642" i="1" a="1"/>
  <c r="AM642" i="1" s="1"/>
  <c r="AP1709" i="1"/>
  <c r="AN430" i="1"/>
  <c r="AP1710" i="1"/>
  <c r="AN429" i="1"/>
  <c r="AM885" i="1" a="1"/>
  <c r="AM885" i="1" s="1"/>
  <c r="AM867" i="1" a="1"/>
  <c r="AM867" i="1" s="1"/>
  <c r="AM809" i="1" a="1"/>
  <c r="AM809" i="1" s="1"/>
  <c r="AM769" i="1" a="1"/>
  <c r="AM769" i="1" s="1"/>
  <c r="AM738" i="1" a="1"/>
  <c r="AM738" i="1" s="1"/>
  <c r="AM732" i="1" a="1"/>
  <c r="AM732" i="1" s="1"/>
  <c r="AM726" i="1" a="1"/>
  <c r="AM726" i="1" s="1"/>
  <c r="AM720" i="1" a="1"/>
  <c r="AM720" i="1" s="1"/>
  <c r="AM714" i="1" a="1"/>
  <c r="AM714" i="1" s="1"/>
  <c r="AM708" i="1" a="1"/>
  <c r="AM708" i="1" s="1"/>
  <c r="AM702" i="1" a="1"/>
  <c r="AM702" i="1" s="1"/>
  <c r="AM696" i="1" a="1"/>
  <c r="AM696" i="1" s="1"/>
  <c r="AM690" i="1" a="1"/>
  <c r="AM690" i="1" s="1"/>
  <c r="AM684" i="1" a="1"/>
  <c r="AM684" i="1" s="1"/>
  <c r="AM678" i="1" a="1"/>
  <c r="AM678" i="1" s="1"/>
  <c r="AM672" i="1" a="1"/>
  <c r="AM672" i="1" s="1"/>
  <c r="AM666" i="1" a="1"/>
  <c r="AM666" i="1" s="1"/>
  <c r="AM660" i="1" a="1"/>
  <c r="AM660" i="1" s="1"/>
  <c r="AN5" i="1"/>
  <c r="AP1733" i="1"/>
  <c r="AM1004" i="1" a="1"/>
  <c r="AM1004" i="1" s="1"/>
  <c r="AP834" i="1"/>
  <c r="AM782" i="1" a="1"/>
  <c r="AM782" i="1" s="1"/>
  <c r="AN421" i="1"/>
  <c r="AH6" i="1"/>
  <c r="AP1715" i="1"/>
  <c r="AH364" i="1"/>
  <c r="AM849" i="1" a="1"/>
  <c r="AM849" i="1" s="1"/>
  <c r="AM821" i="1" a="1"/>
  <c r="AM821" i="1" s="1"/>
  <c r="AH3" i="1"/>
  <c r="AN410" i="1"/>
  <c r="AM1268" i="1" a="1"/>
  <c r="AM1268" i="1" s="1"/>
  <c r="AP1168" i="1"/>
  <c r="AP1035" i="1"/>
  <c r="AM794" i="1" a="1"/>
  <c r="AM794" i="1" s="1"/>
  <c r="AP780" i="1"/>
  <c r="AM767" i="1" a="1"/>
  <c r="AM767" i="1" s="1"/>
  <c r="AM754" i="1" a="1"/>
  <c r="AM754" i="1" s="1"/>
  <c r="AM743" i="1" a="1"/>
  <c r="AM743" i="1" s="1"/>
  <c r="AP737" i="1"/>
  <c r="AP731" i="1"/>
  <c r="AM653" i="1" a="1"/>
  <c r="AM653" i="1" s="1"/>
  <c r="AM647" i="1" a="1"/>
  <c r="AM647" i="1" s="1"/>
  <c r="AM641" i="1" a="1"/>
  <c r="AM641" i="1" s="1"/>
  <c r="AH4" i="1"/>
  <c r="AP1713" i="1"/>
  <c r="AN366" i="1"/>
  <c r="AP1693" i="1"/>
  <c r="AM1088" i="1" a="1"/>
  <c r="AM1088" i="1" s="1"/>
  <c r="AM882" i="1" a="1"/>
  <c r="AM882" i="1" s="1"/>
  <c r="AM864" i="1" a="1"/>
  <c r="AM864" i="1" s="1"/>
  <c r="AM731" i="1" a="1"/>
  <c r="AM731" i="1" s="1"/>
  <c r="AM725" i="1" a="1"/>
  <c r="AM725" i="1" s="1"/>
  <c r="AM719" i="1" a="1"/>
  <c r="AM719" i="1" s="1"/>
  <c r="AM713" i="1" a="1"/>
  <c r="AM713" i="1" s="1"/>
  <c r="AM707" i="1" a="1"/>
  <c r="AM707" i="1" s="1"/>
  <c r="AM701" i="1" a="1"/>
  <c r="AM701" i="1" s="1"/>
  <c r="AM695" i="1" a="1"/>
  <c r="AM695" i="1" s="1"/>
  <c r="AM689" i="1" a="1"/>
  <c r="AM689" i="1" s="1"/>
  <c r="AM683" i="1" a="1"/>
  <c r="AM683" i="1" s="1"/>
  <c r="AM677" i="1" a="1"/>
  <c r="AM677" i="1" s="1"/>
  <c r="AM671" i="1" a="1"/>
  <c r="AM671" i="1" s="1"/>
  <c r="AM665" i="1" a="1"/>
  <c r="AM665" i="1" s="1"/>
  <c r="AM659" i="1" a="1"/>
  <c r="AM659" i="1" s="1"/>
  <c r="AH5" i="1"/>
  <c r="AP1714" i="1"/>
  <c r="AN365" i="1"/>
  <c r="AP1694" i="1"/>
  <c r="AH10" i="1"/>
  <c r="AN7" i="1"/>
  <c r="AM1262" i="1" a="1"/>
  <c r="AM1262" i="1" s="1"/>
  <c r="AM806" i="1" a="1"/>
  <c r="AM806" i="1" s="1"/>
  <c r="AN364" i="1"/>
  <c r="AM846" i="1" a="1"/>
  <c r="AM846" i="1" s="1"/>
  <c r="AM832" i="1" a="1"/>
  <c r="AM832" i="1" s="1"/>
  <c r="AP818" i="1"/>
  <c r="AM765" i="1" a="1"/>
  <c r="AM765" i="1" s="1"/>
  <c r="AH7" i="1"/>
  <c r="AN363" i="1"/>
  <c r="AH9" i="1"/>
  <c r="AP1718" i="1"/>
  <c r="AO1118" i="1"/>
  <c r="AM1079" i="1" a="1"/>
  <c r="AM1079" i="1" s="1"/>
  <c r="AM831" i="1" a="1"/>
  <c r="AM831" i="1" s="1"/>
  <c r="AM779" i="1" a="1"/>
  <c r="AM779" i="1" s="1"/>
  <c r="AM742" i="1" a="1"/>
  <c r="AM742" i="1" s="1"/>
  <c r="AP712" i="1"/>
  <c r="AP670" i="1"/>
  <c r="AM652" i="1" a="1"/>
  <c r="AM652" i="1" s="1"/>
  <c r="AM646" i="1" a="1"/>
  <c r="AM646" i="1" s="1"/>
  <c r="AH8" i="1"/>
  <c r="AP1717" i="1"/>
  <c r="AN10" i="1"/>
  <c r="AN9" i="1"/>
  <c r="AN6" i="1"/>
  <c r="AH365" i="1"/>
  <c r="AH366" i="1"/>
  <c r="AM879" i="1" a="1"/>
  <c r="AM879" i="1" s="1"/>
  <c r="AM861" i="1" a="1"/>
  <c r="AM861" i="1" s="1"/>
  <c r="AM736" i="1" a="1"/>
  <c r="AM736" i="1" s="1"/>
  <c r="AM730" i="1" a="1"/>
  <c r="AM730" i="1" s="1"/>
  <c r="AM724" i="1" a="1"/>
  <c r="AM724" i="1" s="1"/>
  <c r="AM718" i="1" a="1"/>
  <c r="AM718" i="1" s="1"/>
  <c r="AM706" i="1" a="1"/>
  <c r="AM706" i="1" s="1"/>
  <c r="AM700" i="1" a="1"/>
  <c r="AM700" i="1" s="1"/>
  <c r="AM694" i="1" a="1"/>
  <c r="AM694" i="1" s="1"/>
  <c r="AM688" i="1" a="1"/>
  <c r="AM688" i="1" s="1"/>
  <c r="AM682" i="1" a="1"/>
  <c r="AM682" i="1" s="1"/>
  <c r="AM676" i="1" a="1"/>
  <c r="AM676" i="1" s="1"/>
  <c r="AM670" i="1" a="1"/>
  <c r="AM670" i="1" s="1"/>
  <c r="AM664" i="1" a="1"/>
  <c r="AM664" i="1" s="1"/>
  <c r="AM791" i="1" a="1"/>
  <c r="AM791" i="1" s="1"/>
  <c r="AM751" i="1" a="1"/>
  <c r="AM751" i="1" s="1"/>
  <c r="AM844" i="1" a="1"/>
  <c r="AM844" i="1" s="1"/>
  <c r="AM830" i="1" a="1"/>
  <c r="AM830" i="1" s="1"/>
  <c r="AM944" i="1" a="1"/>
  <c r="AM944" i="1" s="1"/>
  <c r="AM843" i="1" a="1"/>
  <c r="AM843" i="1" s="1"/>
  <c r="AM803" i="1" a="1"/>
  <c r="AM803" i="1" s="1"/>
  <c r="AM776" i="1" a="1"/>
  <c r="AM776" i="1" s="1"/>
  <c r="AM741" i="1" a="1"/>
  <c r="AM741" i="1" s="1"/>
  <c r="AP717" i="1"/>
  <c r="AM657" i="1" a="1"/>
  <c r="AM657" i="1" s="1"/>
  <c r="AM651" i="1" a="1"/>
  <c r="AM651" i="1" s="1"/>
  <c r="AM645" i="1" a="1"/>
  <c r="AM645" i="1" s="1"/>
  <c r="AM965" i="1" a="1"/>
  <c r="AM965" i="1" s="1"/>
  <c r="AM876" i="1" a="1"/>
  <c r="AM876" i="1" s="1"/>
  <c r="AM858" i="1" a="1"/>
  <c r="AM858" i="1" s="1"/>
  <c r="AM828" i="1" a="1"/>
  <c r="AM828" i="1" s="1"/>
  <c r="AM735" i="1" a="1"/>
  <c r="AM735" i="1" s="1"/>
  <c r="AM729" i="1" a="1"/>
  <c r="AM729" i="1" s="1"/>
  <c r="AM723" i="1" a="1"/>
  <c r="AM723" i="1" s="1"/>
  <c r="AM717" i="1" a="1"/>
  <c r="AM717" i="1" s="1"/>
  <c r="AM711" i="1" a="1"/>
  <c r="AM711" i="1" s="1"/>
  <c r="AM705" i="1" a="1"/>
  <c r="AM705" i="1" s="1"/>
  <c r="AM699" i="1" a="1"/>
  <c r="AM699" i="1" s="1"/>
  <c r="AM693" i="1" a="1"/>
  <c r="AM693" i="1" s="1"/>
  <c r="AM687" i="1" a="1"/>
  <c r="AM687" i="1" s="1"/>
  <c r="AM681" i="1" a="1"/>
  <c r="AM681" i="1" s="1"/>
  <c r="AM675" i="1" a="1"/>
  <c r="AM675" i="1" s="1"/>
  <c r="AM669" i="1" a="1"/>
  <c r="AM669" i="1" s="1"/>
  <c r="AM663" i="1" a="1"/>
  <c r="AM663" i="1" s="1"/>
  <c r="AP655" i="1"/>
  <c r="AP970" i="1"/>
  <c r="AP757" i="1"/>
  <c r="AP1227" i="1"/>
  <c r="AP1671" i="1"/>
  <c r="AP1430" i="1"/>
  <c r="AP849" i="1"/>
  <c r="AP1540" i="1"/>
  <c r="AP704" i="1"/>
  <c r="AP1036" i="1"/>
  <c r="AP1275" i="1"/>
  <c r="AP677" i="1"/>
  <c r="AP1237" i="1"/>
  <c r="AP723" i="1"/>
  <c r="AP1218" i="1"/>
  <c r="AP1484" i="1"/>
  <c r="AP1402" i="1"/>
  <c r="AP754" i="1"/>
  <c r="AP1010" i="1"/>
  <c r="AP738" i="1"/>
  <c r="AP1348" i="1"/>
  <c r="AP743" i="1"/>
  <c r="AP792" i="1"/>
  <c r="AP2115" i="1"/>
  <c r="AP1793" i="1"/>
  <c r="AP2107" i="1"/>
  <c r="AP1105" i="1"/>
  <c r="AP1809" i="1"/>
  <c r="AP959" i="1"/>
  <c r="AP2112" i="1"/>
  <c r="AP898" i="1"/>
  <c r="AP1856" i="1"/>
  <c r="AP943" i="1"/>
  <c r="AP1317" i="1"/>
  <c r="AP1534" i="1"/>
  <c r="AP1281" i="1"/>
  <c r="AP727" i="1"/>
  <c r="AP684" i="1"/>
  <c r="AP861" i="1"/>
  <c r="AP1153" i="1"/>
  <c r="AP1669" i="1"/>
  <c r="AP1492" i="1"/>
  <c r="AP715" i="1"/>
  <c r="AP858" i="1"/>
  <c r="AP1278" i="1"/>
  <c r="AP1748" i="1"/>
  <c r="AP1259" i="1"/>
  <c r="AP1532" i="1"/>
  <c r="AP1424" i="1"/>
  <c r="AP1410" i="1"/>
  <c r="AP884" i="1"/>
  <c r="AP1148" i="1"/>
  <c r="AP1066" i="1"/>
  <c r="AP1846" i="1"/>
  <c r="AP1795" i="1"/>
  <c r="AP987" i="1"/>
  <c r="AP910" i="1"/>
  <c r="AP1230" i="1"/>
  <c r="AP761" i="1"/>
  <c r="AP978" i="1"/>
  <c r="AP794" i="1"/>
  <c r="AP1235" i="1"/>
  <c r="AP886" i="1"/>
  <c r="AP1798" i="1"/>
  <c r="AP855" i="1"/>
  <c r="AP710" i="1"/>
  <c r="AP1336" i="1"/>
  <c r="AP996" i="1"/>
  <c r="AP1361" i="1"/>
  <c r="AP779" i="1"/>
  <c r="AP1058" i="1"/>
  <c r="AP1338" i="1"/>
  <c r="AP929" i="1"/>
  <c r="AP1379" i="1"/>
  <c r="AP1810" i="1"/>
  <c r="AP971" i="1"/>
  <c r="AP1497" i="1"/>
  <c r="AP1358" i="1"/>
  <c r="AP2113" i="1"/>
  <c r="AP1312" i="1"/>
  <c r="AP2095" i="1"/>
  <c r="AP1940" i="1"/>
  <c r="AP1070" i="1"/>
  <c r="AP922" i="1"/>
  <c r="AP800" i="1"/>
  <c r="AP1055" i="1"/>
  <c r="AP949" i="1"/>
  <c r="AP1325" i="1"/>
  <c r="AP1549" i="1"/>
  <c r="AP1304" i="1"/>
  <c r="AP1079" i="1"/>
  <c r="AP842" i="1"/>
  <c r="AP733" i="1"/>
  <c r="AP1662" i="1"/>
  <c r="AP1728" i="1"/>
  <c r="AP1547" i="1"/>
  <c r="AP1683" i="1"/>
  <c r="AP1418" i="1"/>
  <c r="AP1689" i="1"/>
  <c r="AP1814" i="1"/>
  <c r="AP1013" i="1"/>
  <c r="AP979" i="1"/>
  <c r="AP1372" i="1"/>
  <c r="AP1365" i="1"/>
  <c r="AP822" i="1"/>
  <c r="AP1319" i="1"/>
  <c r="AP1821" i="1"/>
  <c r="AP1107" i="1"/>
  <c r="AP1069" i="1"/>
  <c r="AP1313" i="1"/>
  <c r="AP926" i="1"/>
  <c r="AP804" i="1"/>
  <c r="AP998" i="1"/>
  <c r="AP1140" i="1"/>
  <c r="AP812" i="1"/>
  <c r="AP988" i="1"/>
  <c r="AP1772" i="1"/>
  <c r="AP873" i="1"/>
  <c r="AP1101" i="1"/>
  <c r="AP1298" i="1"/>
  <c r="AP1032" i="1"/>
  <c r="AP1002" i="1"/>
  <c r="AP1344" i="1"/>
  <c r="AP1195" i="1"/>
  <c r="AP1726" i="1"/>
  <c r="AP1730" i="1"/>
  <c r="AP1360" i="1"/>
  <c r="AP1016" i="1"/>
  <c r="AP1400" i="1"/>
  <c r="AP785" i="1"/>
  <c r="AP1065" i="1"/>
  <c r="AP1124" i="1"/>
  <c r="AP1133" i="1"/>
  <c r="AP1413" i="1"/>
  <c r="AP1421" i="1"/>
  <c r="AP948" i="1"/>
  <c r="AP1326" i="1"/>
  <c r="AP1825" i="1"/>
  <c r="AP1138" i="1"/>
  <c r="AP1328" i="1"/>
  <c r="AP1406" i="1"/>
  <c r="AP1156" i="1"/>
  <c r="AP957" i="1"/>
  <c r="AP1356" i="1"/>
  <c r="AP1556" i="1"/>
  <c r="AP1349" i="1"/>
  <c r="AP683" i="1"/>
  <c r="AP645" i="1"/>
  <c r="AP772" i="1"/>
  <c r="AP870" i="1"/>
  <c r="AP840" i="1"/>
  <c r="AP1331" i="1"/>
  <c r="AP1711" i="1"/>
  <c r="AP1426" i="1"/>
  <c r="AP1754" i="1"/>
  <c r="AP1822" i="1"/>
  <c r="AP1161" i="1"/>
  <c r="AP1169" i="1"/>
  <c r="AP1243" i="1"/>
  <c r="AP1483" i="1"/>
  <c r="AP1491" i="1"/>
  <c r="AP1258" i="1"/>
  <c r="AP1437" i="1"/>
  <c r="AP1838" i="1"/>
  <c r="AP1811" i="1"/>
  <c r="AP1284" i="1"/>
  <c r="AP810" i="1"/>
  <c r="AP1289" i="1"/>
  <c r="AP824" i="1"/>
  <c r="AP1467" i="1"/>
  <c r="AP1043" i="1"/>
  <c r="AP1536" i="1"/>
  <c r="AP2111" i="1"/>
  <c r="AQ2111" i="1" s="1"/>
  <c r="AP660" i="1"/>
  <c r="AP879" i="1"/>
  <c r="AP744" i="1"/>
  <c r="AP764" i="1"/>
  <c r="AP1114" i="1"/>
  <c r="AP1335" i="1"/>
  <c r="AP713" i="1"/>
  <c r="AP1008" i="1"/>
  <c r="AP1095" i="1"/>
  <c r="AP1024" i="1"/>
  <c r="AP1369" i="1"/>
  <c r="AP984" i="1"/>
  <c r="AP1053" i="1"/>
  <c r="AP1395" i="1"/>
  <c r="AP1839" i="1"/>
  <c r="AP1262" i="1"/>
  <c r="AP1288" i="1"/>
  <c r="AP1490" i="1"/>
  <c r="AP1353" i="1"/>
  <c r="AP1459" i="1"/>
  <c r="AP1978" i="1"/>
  <c r="AP1389" i="1"/>
  <c r="AP643" i="1"/>
  <c r="AP1812" i="1"/>
  <c r="AP2098" i="1"/>
  <c r="AP681" i="1"/>
  <c r="AP1380" i="1"/>
  <c r="AP1286" i="1"/>
  <c r="AP1006" i="1"/>
  <c r="AP705" i="1"/>
  <c r="AP845" i="1"/>
  <c r="AP1354" i="1"/>
  <c r="AP846" i="1"/>
  <c r="AP1362" i="1"/>
  <c r="AP1137" i="1"/>
  <c r="AP859" i="1"/>
  <c r="AP2096" i="1"/>
  <c r="AP1182" i="1"/>
  <c r="AP1316" i="1"/>
  <c r="AP1724" i="1"/>
  <c r="AP1429" i="1"/>
  <c r="AP1466" i="1"/>
  <c r="AP1493" i="1"/>
  <c r="AP1473" i="1"/>
  <c r="AP1100" i="1"/>
  <c r="AP1031" i="1"/>
  <c r="AP1292" i="1"/>
  <c r="AP1033" i="1"/>
  <c r="AP1011" i="1"/>
  <c r="AP1807" i="1"/>
  <c r="AP915" i="1"/>
  <c r="AP1320" i="1"/>
  <c r="AP1537" i="1"/>
  <c r="AP742" i="1"/>
  <c r="AP892" i="1"/>
  <c r="AP1343" i="1"/>
  <c r="AP771" i="1"/>
  <c r="AP1030" i="1"/>
  <c r="AP1375" i="1"/>
  <c r="AP1747" i="1"/>
  <c r="AP1725" i="1"/>
  <c r="AP1415" i="1"/>
  <c r="AP694" i="1"/>
  <c r="AP1051" i="1"/>
  <c r="AP1416" i="1"/>
  <c r="AP809" i="1"/>
  <c r="AP1130" i="1"/>
  <c r="AP1377" i="1"/>
  <c r="AP1080" i="1"/>
  <c r="AP1442" i="1"/>
  <c r="AP2101" i="1"/>
  <c r="AP1308" i="1"/>
  <c r="AP1357" i="1"/>
  <c r="AP1527" i="1"/>
  <c r="AP1487" i="1"/>
  <c r="AP1287" i="1"/>
  <c r="AP1306" i="1"/>
  <c r="AP777" i="1"/>
  <c r="AP762" i="1"/>
  <c r="AP1034" i="1"/>
  <c r="AP1403" i="1"/>
  <c r="AP797" i="1"/>
  <c r="AP1388" i="1"/>
  <c r="AP1502" i="1"/>
  <c r="AP1677" i="1"/>
  <c r="AP690" i="1"/>
  <c r="AP904" i="1"/>
  <c r="AP778" i="1"/>
  <c r="AP955" i="1"/>
  <c r="AP865" i="1"/>
  <c r="AP1018" i="1"/>
  <c r="AP1557" i="1"/>
  <c r="AP1404" i="1"/>
  <c r="AP1371" i="1"/>
  <c r="AP807" i="1"/>
  <c r="AP1719" i="1"/>
  <c r="AP1771" i="1"/>
  <c r="AP1774" i="1"/>
  <c r="AP2110" i="1"/>
  <c r="AP1108" i="1"/>
  <c r="AP851" i="1"/>
  <c r="AP1044" i="1"/>
  <c r="AP1345" i="1"/>
  <c r="AP1026" i="1"/>
  <c r="AP1414" i="1"/>
  <c r="AP867" i="1"/>
  <c r="AP900" i="1"/>
  <c r="AP1184" i="1"/>
  <c r="AP1374" i="1"/>
  <c r="AP1056" i="1"/>
  <c r="AP1499" i="1"/>
  <c r="AP689" i="1"/>
  <c r="AP1670" i="1"/>
  <c r="AP1222" i="1"/>
  <c r="AP1423" i="1"/>
  <c r="AP700" i="1"/>
  <c r="AP1432" i="1"/>
  <c r="AP815" i="1"/>
  <c r="AP1151" i="1"/>
  <c r="AP1092" i="1"/>
  <c r="AP1482" i="1"/>
  <c r="AP644" i="1"/>
  <c r="AP1790" i="1"/>
  <c r="AP1188" i="1"/>
  <c r="AP1783" i="1"/>
  <c r="AP889" i="1"/>
  <c r="AP789" i="1"/>
  <c r="AP1753" i="1"/>
  <c r="AP781" i="1"/>
  <c r="AP1411" i="1"/>
  <c r="AP1094" i="1"/>
  <c r="AP1097" i="1"/>
  <c r="AP1003" i="1"/>
  <c r="AP888" i="1"/>
  <c r="AP962" i="1"/>
  <c r="AP1409" i="1"/>
  <c r="AP1684" i="1"/>
  <c r="AP871" i="1"/>
  <c r="AP1472" i="1"/>
  <c r="AP1324" i="1"/>
  <c r="AP798" i="1"/>
  <c r="AP1544" i="1"/>
  <c r="AP1558" i="1"/>
  <c r="AP813" i="1"/>
  <c r="AP1081" i="1"/>
  <c r="AP650" i="1"/>
  <c r="AP1208" i="1"/>
  <c r="AP831" i="1"/>
  <c r="AP1057" i="1"/>
  <c r="AP1098" i="1"/>
  <c r="AP899" i="1"/>
  <c r="AP944" i="1"/>
  <c r="AP1060" i="1"/>
  <c r="AP1438" i="1"/>
  <c r="AP736" i="1"/>
  <c r="AP1562" i="1"/>
  <c r="AP916" i="1"/>
  <c r="AP1191" i="1"/>
  <c r="AP1513" i="1"/>
  <c r="AP838" i="1"/>
  <c r="AP1102" i="1"/>
  <c r="AP714" i="1"/>
  <c r="AP802" i="1"/>
  <c r="AP706" i="1"/>
  <c r="AP1090" i="1"/>
  <c r="AP1455" i="1"/>
  <c r="AP1165" i="1"/>
  <c r="AP1516" i="1"/>
  <c r="AP1125" i="1"/>
  <c r="AP918" i="1"/>
  <c r="AP2089" i="1"/>
  <c r="AP1565" i="1"/>
  <c r="AP906" i="1"/>
  <c r="AP746" i="1"/>
  <c r="AP2091" i="1"/>
  <c r="AP755" i="1"/>
  <c r="AP950" i="1"/>
  <c r="AP1550" i="1"/>
  <c r="AP787" i="1"/>
  <c r="AP1067" i="1"/>
  <c r="AP767" i="1"/>
  <c r="AP1443" i="1"/>
  <c r="AP1685" i="1"/>
  <c r="AP1734" i="1"/>
  <c r="AP1159" i="1"/>
  <c r="AP662" i="1"/>
  <c r="AP1224" i="1"/>
  <c r="AP982" i="1"/>
  <c r="AP820" i="1"/>
  <c r="AP1009" i="1"/>
  <c r="AP941" i="1"/>
  <c r="AP1448" i="1"/>
  <c r="AP969" i="1"/>
  <c r="AP1417" i="1"/>
  <c r="AP877" i="1"/>
  <c r="AP945" i="1"/>
  <c r="AP2105" i="1"/>
  <c r="AP2092" i="1"/>
  <c r="AP986" i="1"/>
  <c r="AP1076" i="1"/>
  <c r="AP816" i="1"/>
  <c r="AP1804" i="1"/>
  <c r="AP862" i="1"/>
  <c r="AP869" i="1"/>
  <c r="AP1109" i="1"/>
  <c r="AP1515" i="1"/>
  <c r="AP679" i="1"/>
  <c r="AP1453" i="1"/>
  <c r="AP1022" i="1"/>
  <c r="AP668" i="1"/>
  <c r="AP1209" i="1"/>
  <c r="AP844" i="1"/>
  <c r="AP1121" i="1"/>
  <c r="AP1756" i="1"/>
  <c r="AP1307" i="1"/>
  <c r="AP1454" i="1"/>
  <c r="AP718" i="1"/>
  <c r="AP1096" i="1"/>
  <c r="AP1523" i="1"/>
  <c r="AP895" i="1"/>
  <c r="AP1172" i="1"/>
  <c r="AP1129" i="1"/>
  <c r="AP1146" i="1"/>
  <c r="AP1488" i="1"/>
  <c r="AP958" i="1"/>
  <c r="AP2100" i="1"/>
  <c r="AP1244" i="1"/>
  <c r="AP1296" i="1"/>
  <c r="AP1054" i="1"/>
  <c r="AP1848" i="1"/>
  <c r="AP1334" i="1"/>
  <c r="AP1816" i="1"/>
  <c r="AP758" i="1"/>
  <c r="AP793" i="1"/>
  <c r="AP1074" i="1"/>
  <c r="AP1427" i="1"/>
  <c r="AP836" i="1"/>
  <c r="AP1481" i="1"/>
  <c r="AP661" i="1"/>
  <c r="AP729" i="1"/>
  <c r="AP753" i="1"/>
  <c r="AP1294" i="1"/>
  <c r="AP995" i="1"/>
  <c r="AP946" i="1"/>
  <c r="AP701" i="1"/>
  <c r="AP1478" i="1"/>
  <c r="AP1425" i="1"/>
  <c r="AP1712" i="1"/>
  <c r="AP883" i="1"/>
  <c r="AP1063" i="1"/>
  <c r="AP1042" i="1"/>
  <c r="AP1162" i="1"/>
  <c r="AP1310" i="1"/>
  <c r="AP1127" i="1"/>
  <c r="AP1394" i="1"/>
  <c r="AP1279" i="1"/>
  <c r="AP2104" i="1"/>
  <c r="AP875" i="1"/>
  <c r="AP1122" i="1"/>
  <c r="AP1823" i="1"/>
  <c r="AP980" i="1"/>
  <c r="AP1836" i="1"/>
  <c r="AP760" i="1"/>
  <c r="AP973" i="1"/>
  <c r="AP1215" i="1"/>
  <c r="AP909" i="1"/>
  <c r="AP1170" i="1"/>
  <c r="AP1117" i="1"/>
  <c r="AP896" i="1"/>
  <c r="AP1352" i="1"/>
  <c r="AP1023" i="1"/>
  <c r="AP1193" i="1"/>
  <c r="AP1531" i="1"/>
  <c r="AP696" i="1"/>
  <c r="AP1087" i="1"/>
  <c r="AP1268" i="1"/>
  <c r="AP1028" i="1"/>
  <c r="AP1386" i="1"/>
  <c r="AP1135" i="1"/>
  <c r="AP1528" i="1"/>
  <c r="AP1099" i="1"/>
  <c r="AP1327" i="1"/>
  <c r="AM2103" i="1" a="1"/>
  <c r="AM2103" i="1" s="1"/>
  <c r="AQ2103" i="1" s="1"/>
  <c r="AP1808" i="1"/>
  <c r="AP848" i="1"/>
  <c r="AP1382" i="1"/>
  <c r="AP788" i="1"/>
  <c r="AP783" i="1"/>
  <c r="AP799" i="1"/>
  <c r="AP1139" i="1"/>
  <c r="AP1435" i="1"/>
  <c r="AP673" i="1"/>
  <c r="AP1464" i="1"/>
  <c r="AP953" i="1"/>
  <c r="AP968" i="1"/>
  <c r="AP1110" i="1"/>
  <c r="AP1017" i="1"/>
  <c r="AP1433" i="1"/>
  <c r="AP956" i="1"/>
  <c r="AP1533" i="1"/>
  <c r="AP1390" i="1"/>
  <c r="AP1196" i="1"/>
  <c r="AP1337" i="1"/>
  <c r="AP1270" i="1"/>
  <c r="AP1246" i="1"/>
  <c r="AP1368" i="1"/>
  <c r="AP1157" i="1"/>
  <c r="AP1233" i="1"/>
  <c r="AP1176" i="1"/>
  <c r="AP1000" i="1"/>
  <c r="AP1529" i="1"/>
  <c r="AP843" i="1"/>
  <c r="AP908" i="1"/>
  <c r="AP912" i="1"/>
  <c r="AP686" i="1"/>
  <c r="AP981" i="1"/>
  <c r="AP1221" i="1"/>
  <c r="AP997" i="1"/>
  <c r="AP901" i="1"/>
  <c r="AP1178" i="1"/>
  <c r="AP1721" i="1"/>
  <c r="AP920" i="1"/>
  <c r="AP687" i="1"/>
  <c r="AP1199" i="1"/>
  <c r="AP1239" i="1"/>
  <c r="AP1241" i="1"/>
  <c r="AP653" i="1"/>
  <c r="AP1397" i="1"/>
  <c r="AP1350" i="1"/>
  <c r="AP1398" i="1"/>
  <c r="AP1392" i="1"/>
  <c r="AP1828" i="1"/>
  <c r="AP1277" i="1"/>
  <c r="AP1786" i="1"/>
  <c r="AP1445" i="1"/>
  <c r="AP647" i="1"/>
  <c r="AP854" i="1"/>
  <c r="AP1048" i="1"/>
  <c r="AP795" i="1"/>
  <c r="AP1458" i="1"/>
  <c r="AP1519" i="1"/>
  <c r="AP648" i="1"/>
  <c r="AP817" i="1"/>
  <c r="AP1509" i="1"/>
  <c r="AP1142" i="1"/>
  <c r="AP967" i="1"/>
  <c r="AP756" i="1"/>
  <c r="AP1663" i="1"/>
  <c r="AP1144" i="1"/>
  <c r="AP1554" i="1"/>
  <c r="AP1039" i="1"/>
  <c r="AP1755" i="1"/>
  <c r="AP1046" i="1"/>
  <c r="AP1548" i="1"/>
  <c r="AP890" i="1"/>
  <c r="AP1405" i="1"/>
  <c r="AP1420" i="1"/>
  <c r="AP2116" i="1"/>
  <c r="AP1318" i="1"/>
  <c r="AP1444" i="1"/>
  <c r="AP1460" i="1"/>
  <c r="AP1859" i="1"/>
  <c r="AP887" i="1"/>
  <c r="AP1171" i="1"/>
  <c r="AP913" i="1"/>
  <c r="AP1503" i="1"/>
  <c r="AP1776" i="1"/>
  <c r="AP1559" i="1"/>
  <c r="AP951" i="1"/>
  <c r="AP1291" i="1"/>
  <c r="AP1339" i="1"/>
  <c r="AP692" i="1"/>
  <c r="AP1001" i="1"/>
  <c r="AP1228" i="1"/>
  <c r="AP699" i="1"/>
  <c r="AP1530" i="1"/>
  <c r="AP664" i="1"/>
  <c r="AP827" i="1"/>
  <c r="AP1205" i="1"/>
  <c r="AP1136" i="1"/>
  <c r="AP919" i="1"/>
  <c r="AP1285" i="1"/>
  <c r="AP659" i="1"/>
  <c r="AP695" i="1"/>
  <c r="AP1280" i="1"/>
  <c r="AP1674" i="1"/>
  <c r="AP1412" i="1"/>
  <c r="AP1511" i="1"/>
  <c r="AP1359" i="1"/>
  <c r="AP1452" i="1"/>
  <c r="AP1479" i="1"/>
  <c r="AP866" i="1"/>
  <c r="AP1801" i="1"/>
  <c r="AP811" i="1"/>
  <c r="AP1167" i="1"/>
  <c r="AP1496" i="1"/>
  <c r="AP1242" i="1"/>
  <c r="AP1665" i="1"/>
  <c r="AP1678" i="1"/>
  <c r="AP703" i="1"/>
  <c r="AP1059" i="1"/>
  <c r="AP1391" i="1"/>
  <c r="AP1064" i="1"/>
  <c r="AP747" i="1"/>
  <c r="AP1744" i="1"/>
  <c r="AP1471" i="1"/>
  <c r="AP672" i="1"/>
  <c r="AP735" i="1"/>
  <c r="AP1234" i="1"/>
  <c r="AP1441" i="1"/>
  <c r="AP1707" i="1"/>
  <c r="AP1302" i="1"/>
  <c r="AP1465" i="1"/>
  <c r="AP1535" i="1"/>
  <c r="AP1542" i="1"/>
  <c r="AP1686" i="1"/>
  <c r="AP2084" i="1"/>
  <c r="AP894" i="1"/>
  <c r="AP1179" i="1"/>
  <c r="AP782" i="1"/>
  <c r="AP921" i="1"/>
  <c r="AP1510" i="1"/>
  <c r="AP745" i="1"/>
  <c r="AP1183" i="1"/>
  <c r="AP1698" i="1"/>
  <c r="AP698" i="1"/>
  <c r="AP1236" i="1"/>
  <c r="AP939" i="1"/>
  <c r="AP1276" i="1"/>
  <c r="AP1173" i="1"/>
  <c r="AP1314" i="1"/>
  <c r="AP1538" i="1"/>
  <c r="AP657" i="1"/>
  <c r="AP936" i="1"/>
  <c r="AP934" i="1"/>
  <c r="AP652" i="1"/>
  <c r="AP927" i="1"/>
  <c r="AP1293" i="1"/>
  <c r="AP741" i="1"/>
  <c r="AP1784" i="1"/>
  <c r="AP1475" i="1"/>
  <c r="AP1477" i="1"/>
  <c r="AP2094" i="1"/>
  <c r="AQ2094" i="1" s="1"/>
  <c r="AP1672" i="1"/>
  <c r="AP874" i="1"/>
  <c r="AP872" i="1"/>
  <c r="AP641" i="1"/>
  <c r="AP1128" i="1"/>
  <c r="AP1833" i="1"/>
  <c r="AP1163" i="1"/>
  <c r="AP823" i="1"/>
  <c r="AP1311" i="1"/>
  <c r="AP1526" i="1"/>
  <c r="AP1255" i="1"/>
  <c r="AP1661" i="1"/>
  <c r="AP1735" i="1"/>
  <c r="AP707" i="1"/>
  <c r="AP1752" i="1"/>
  <c r="AP678" i="1"/>
  <c r="AP983" i="1"/>
  <c r="AP1743" i="1"/>
  <c r="AP1253" i="1"/>
  <c r="AP1524" i="1"/>
  <c r="AP796" i="1"/>
  <c r="AP1363" i="1"/>
  <c r="AP977" i="1"/>
  <c r="AP1736" i="1"/>
  <c r="AP1862" i="1"/>
  <c r="AP1827" i="1"/>
  <c r="AP2087" i="1"/>
  <c r="AP1789" i="1"/>
  <c r="AP1553" i="1"/>
  <c r="AP989" i="1"/>
  <c r="AP1805" i="1"/>
  <c r="AP1780" i="1"/>
  <c r="AP1727" i="1"/>
  <c r="AM2123" i="1" a="1"/>
  <c r="AM2123" i="1" s="1"/>
  <c r="AQ2123" i="1" s="1"/>
  <c r="AM1829" i="1" a="1"/>
  <c r="AM1829" i="1" s="1"/>
  <c r="AM1733" i="1" a="1"/>
  <c r="AM1733" i="1" s="1"/>
  <c r="AM1850" i="1" a="1"/>
  <c r="AM1850" i="1" s="1"/>
  <c r="AM737" i="1" a="1"/>
  <c r="AM737" i="1" s="1"/>
  <c r="AP1634" i="1"/>
  <c r="AP1601" i="1"/>
  <c r="AM2120" i="1" a="1"/>
  <c r="AM2120" i="1" s="1"/>
  <c r="AP1857" i="1"/>
  <c r="AM1849" i="1" a="1"/>
  <c r="AM1849" i="1" s="1"/>
  <c r="AM1834" i="1" a="1"/>
  <c r="AM1834" i="1" s="1"/>
  <c r="AM1200" i="1" a="1"/>
  <c r="AM1200" i="1" s="1"/>
  <c r="AP1635" i="1"/>
  <c r="AM1857" i="1" a="1"/>
  <c r="AM1857" i="1" s="1"/>
  <c r="AP1834" i="1"/>
  <c r="AM942" i="1" a="1"/>
  <c r="AM942" i="1" s="1"/>
  <c r="AM1086" i="1" a="1"/>
  <c r="AM1086" i="1" s="1"/>
  <c r="AM1247" i="1" a="1"/>
  <c r="AM1247" i="1" s="1"/>
  <c r="AM1082" i="1" a="1"/>
  <c r="AM1082" i="1" s="1"/>
  <c r="AP1569" i="1"/>
  <c r="AM1835" i="1" a="1"/>
  <c r="AM1835" i="1" s="1"/>
  <c r="AP1653" i="1"/>
  <c r="AP1637" i="1"/>
  <c r="AP1604" i="1"/>
  <c r="AP1570" i="1"/>
  <c r="AM1769" i="1" a="1"/>
  <c r="AM1769" i="1" s="1"/>
  <c r="AM1118" i="1" a="1"/>
  <c r="AM1118" i="1" s="1"/>
  <c r="AP1654" i="1"/>
  <c r="AP1579" i="1"/>
  <c r="AM1566" i="1" a="1"/>
  <c r="AM1566" i="1" s="1"/>
  <c r="AM2121" i="1" a="1"/>
  <c r="AM2121" i="1" s="1"/>
  <c r="AP1979" i="1"/>
  <c r="AH1847" i="1"/>
  <c r="AM868" i="1" a="1"/>
  <c r="AM868" i="1" s="1"/>
  <c r="AM1217" i="1" a="1"/>
  <c r="AM1217" i="1" s="1"/>
  <c r="AM1266" i="1" a="1"/>
  <c r="AM1266" i="1" s="1"/>
  <c r="AM1219" i="1" a="1"/>
  <c r="AM1219" i="1" s="1"/>
  <c r="AM1979" i="1" a="1"/>
  <c r="AM1979" i="1" s="1"/>
  <c r="AP1656" i="1"/>
  <c r="AP1607" i="1"/>
  <c r="AH1843" i="1"/>
  <c r="AM1120" i="1" a="1"/>
  <c r="AM1120" i="1" s="1"/>
  <c r="AM834" i="1" a="1"/>
  <c r="AM834" i="1" s="1"/>
  <c r="AM1168" i="1" a="1"/>
  <c r="AM1168" i="1" s="1"/>
  <c r="AP1658" i="1"/>
  <c r="AP1609" i="1"/>
  <c r="AP1583" i="1"/>
  <c r="AM1180" i="1" a="1"/>
  <c r="AM1180" i="1" s="1"/>
  <c r="AP1610" i="1"/>
  <c r="AM1940" i="1" a="1"/>
  <c r="AM1940" i="1" s="1"/>
  <c r="AM1201" i="1" a="1"/>
  <c r="AM1201" i="1" s="1"/>
  <c r="AP1612" i="1"/>
  <c r="AM1855" i="1" a="1"/>
  <c r="AM1855" i="1" s="1"/>
  <c r="AP1613" i="1"/>
  <c r="AM1073" i="1" a="1"/>
  <c r="AM1073" i="1" s="1"/>
  <c r="AP1588" i="1"/>
  <c r="AM1749" i="1" a="1"/>
  <c r="AM1749" i="1" s="1"/>
  <c r="AM1112" i="1" a="1"/>
  <c r="AM1112" i="1" s="1"/>
  <c r="AP1589" i="1"/>
  <c r="AH1835" i="1"/>
  <c r="AM818" i="1" a="1"/>
  <c r="AM818" i="1" s="1"/>
  <c r="AM1207" i="1" a="1"/>
  <c r="AM1207" i="1" s="1"/>
  <c r="AM825" i="1" a="1"/>
  <c r="AM825" i="1" s="1"/>
  <c r="AM1577" i="1" a="1"/>
  <c r="AM1577" i="1" s="1"/>
  <c r="AM1347" i="1" a="1"/>
  <c r="AM1347" i="1" s="1"/>
  <c r="AH1834" i="1"/>
  <c r="AM1212" i="1" a="1"/>
  <c r="AM1212" i="1" s="1"/>
  <c r="AP1617" i="1"/>
  <c r="AP1571" i="1"/>
  <c r="AO8" i="1"/>
  <c r="AO32" i="1"/>
  <c r="AO56" i="1"/>
  <c r="AO80" i="1"/>
  <c r="AO104" i="1"/>
  <c r="AO129" i="1"/>
  <c r="AO160" i="1"/>
  <c r="AO185" i="1"/>
  <c r="AO210" i="1"/>
  <c r="AO234" i="1"/>
  <c r="AO258" i="1"/>
  <c r="AO284" i="1"/>
  <c r="AO310" i="1"/>
  <c r="AO336" i="1"/>
  <c r="AO363" i="1"/>
  <c r="AO390" i="1"/>
  <c r="AO415" i="1"/>
  <c r="AO439" i="1"/>
  <c r="AM16" i="1" a="1"/>
  <c r="AM16" i="1" s="1"/>
  <c r="AM40" i="1" a="1"/>
  <c r="AM40" i="1" s="1"/>
  <c r="AM64" i="1" a="1"/>
  <c r="AM64" i="1" s="1"/>
  <c r="AM88" i="1" a="1"/>
  <c r="AM88" i="1" s="1"/>
  <c r="AM113" i="1" a="1"/>
  <c r="AM113" i="1" s="1"/>
  <c r="AM141" i="1" a="1"/>
  <c r="AM141" i="1" s="1"/>
  <c r="AM168" i="1" a="1"/>
  <c r="AM168" i="1" s="1"/>
  <c r="AM194" i="1" a="1"/>
  <c r="AM194" i="1" s="1"/>
  <c r="AM218" i="1" a="1"/>
  <c r="AM218" i="1" s="1"/>
  <c r="AM242" i="1" a="1"/>
  <c r="AM242" i="1" s="1"/>
  <c r="AM267" i="1" a="1"/>
  <c r="AM267" i="1" s="1"/>
  <c r="AM292" i="1" a="1"/>
  <c r="AM292" i="1" s="1"/>
  <c r="AM318" i="1" a="1"/>
  <c r="AM318" i="1" s="1"/>
  <c r="AM344" i="1" a="1"/>
  <c r="AM344" i="1" s="1"/>
  <c r="AM377" i="1" a="1"/>
  <c r="AM377" i="1" s="1"/>
  <c r="AM403" i="1" a="1"/>
  <c r="AM403" i="1" s="1"/>
  <c r="AM431" i="1" a="1"/>
  <c r="AM431" i="1" s="1"/>
  <c r="AM461" i="1" a="1"/>
  <c r="AM461" i="1" s="1"/>
  <c r="AM487" i="1" a="1"/>
  <c r="AM487" i="1" s="1"/>
  <c r="AM512" i="1" a="1"/>
  <c r="AM512" i="1" s="1"/>
  <c r="AM538" i="1" a="1"/>
  <c r="AM538" i="1" s="1"/>
  <c r="AM563" i="1" a="1"/>
  <c r="AM563" i="1" s="1"/>
  <c r="AM590" i="1" a="1"/>
  <c r="AM590" i="1" s="1"/>
  <c r="AM614" i="1" a="1"/>
  <c r="AM614" i="1" s="1"/>
  <c r="AP349" i="1"/>
  <c r="AM1852" i="1" a="1"/>
  <c r="AM1852" i="1" s="1"/>
  <c r="AM1214" i="1" a="1"/>
  <c r="AM1214" i="1" s="1"/>
  <c r="AM829" i="1" a="1"/>
  <c r="AM829" i="1" s="1"/>
  <c r="AM1569" i="1" a="1"/>
  <c r="AM1569" i="1" s="1"/>
  <c r="AM1853" i="1" a="1"/>
  <c r="AM1853" i="1" s="1"/>
  <c r="AM1847" i="1" a="1"/>
  <c r="AM1847" i="1" s="1"/>
  <c r="AM1257" i="1" a="1"/>
  <c r="AM1257" i="1" s="1"/>
  <c r="AP1628" i="1"/>
  <c r="AP1619" i="1"/>
  <c r="AM1854" i="1" a="1"/>
  <c r="AM1854" i="1" s="1"/>
  <c r="AM1843" i="1" a="1"/>
  <c r="AM1843" i="1" s="1"/>
  <c r="AM1223" i="1" a="1"/>
  <c r="AM1223" i="1" s="1"/>
  <c r="AP1644" i="1"/>
  <c r="AM1570" i="1" a="1"/>
  <c r="AM1570" i="1" s="1"/>
  <c r="AP1851" i="1"/>
  <c r="AM1841" i="1" a="1"/>
  <c r="AM1841" i="1" s="1"/>
  <c r="AM1252" i="1" a="1"/>
  <c r="AM1252" i="1" s="1"/>
  <c r="AM833" i="1" a="1"/>
  <c r="AM833" i="1" s="1"/>
  <c r="AM1260" i="1" a="1"/>
  <c r="AM1260" i="1" s="1"/>
  <c r="AP1621" i="1"/>
  <c r="AM1851" i="1" a="1"/>
  <c r="AM1851" i="1" s="1"/>
  <c r="AM847" i="1" a="1"/>
  <c r="AM847" i="1" s="1"/>
  <c r="AM1220" i="1" a="1"/>
  <c r="AM1220" i="1" s="1"/>
  <c r="AM1075" i="1" a="1"/>
  <c r="AM1075" i="1" s="1"/>
  <c r="AM1263" i="1" a="1"/>
  <c r="AM1263" i="1" s="1"/>
  <c r="AP1646" i="1"/>
  <c r="AP1631" i="1"/>
  <c r="AM1589" i="1" a="1"/>
  <c r="AM1589" i="1" s="1"/>
  <c r="AM1272" i="1" a="1"/>
  <c r="AM1272" i="1" s="1"/>
  <c r="AP1647" i="1"/>
  <c r="AP1623" i="1"/>
  <c r="AM1567" i="1" a="1"/>
  <c r="AM1567" i="1" s="1"/>
  <c r="AM1773" i="1" a="1"/>
  <c r="AM1773" i="1" s="1"/>
  <c r="AM1254" i="1" a="1"/>
  <c r="AM1254" i="1" s="1"/>
  <c r="AM1274" i="1" a="1"/>
  <c r="AM1274" i="1" s="1"/>
  <c r="AM1194" i="1" a="1"/>
  <c r="AM1194" i="1" s="1"/>
  <c r="AP1600" i="1"/>
  <c r="AO11" i="1"/>
  <c r="AO36" i="1"/>
  <c r="AO61" i="1"/>
  <c r="AO86" i="1"/>
  <c r="AO112" i="1"/>
  <c r="AO141" i="1"/>
  <c r="AO169" i="1"/>
  <c r="AO196" i="1"/>
  <c r="AO221" i="1"/>
  <c r="AO246" i="1"/>
  <c r="AO272" i="1"/>
  <c r="AO299" i="1"/>
  <c r="AO326" i="1"/>
  <c r="AO355" i="1"/>
  <c r="AO382" i="1"/>
  <c r="AO409" i="1"/>
  <c r="AO434" i="1"/>
  <c r="AM12" i="1" a="1"/>
  <c r="AM12" i="1" s="1"/>
  <c r="AM37" i="1" a="1"/>
  <c r="AM37" i="1" s="1"/>
  <c r="AM62" i="1" a="1"/>
  <c r="AM62" i="1" s="1"/>
  <c r="AM87" i="1" a="1"/>
  <c r="AM87" i="1" s="1"/>
  <c r="AM114" i="1" a="1"/>
  <c r="AM114" i="1" s="1"/>
  <c r="AM145" i="1" a="1"/>
  <c r="AM145" i="1" s="1"/>
  <c r="AM171" i="1" a="1"/>
  <c r="AM171" i="1" s="1"/>
  <c r="AM198" i="1" a="1"/>
  <c r="AM198" i="1" s="1"/>
  <c r="AM223" i="1" a="1"/>
  <c r="AM223" i="1" s="1"/>
  <c r="AM248" i="1" a="1"/>
  <c r="AM248" i="1" s="1"/>
  <c r="AM274" i="1" a="1"/>
  <c r="AM274" i="1" s="1"/>
  <c r="AM302" i="1" a="1"/>
  <c r="AM302" i="1" s="1"/>
  <c r="AM328" i="1" a="1"/>
  <c r="AM328" i="1" s="1"/>
  <c r="AM357" i="1" a="1"/>
  <c r="AM357" i="1" s="1"/>
  <c r="AM388" i="1" a="1"/>
  <c r="AM388" i="1" s="1"/>
  <c r="AM416" i="1" a="1"/>
  <c r="AM416" i="1" s="1"/>
  <c r="AM450" i="1" a="1"/>
  <c r="AM450" i="1" s="1"/>
  <c r="AM476" i="1" a="1"/>
  <c r="AM476" i="1" s="1"/>
  <c r="AM503" i="1" a="1"/>
  <c r="AM503" i="1" s="1"/>
  <c r="AM530" i="1" a="1"/>
  <c r="AM530" i="1" s="1"/>
  <c r="AM555" i="1" a="1"/>
  <c r="AM555" i="1" s="1"/>
  <c r="AM583" i="1" a="1"/>
  <c r="AM583" i="1" s="1"/>
  <c r="AM609" i="1" a="1"/>
  <c r="AM609" i="1" s="1"/>
  <c r="AM637" i="1" a="1"/>
  <c r="AM637" i="1" s="1"/>
  <c r="AO12" i="1"/>
  <c r="AO37" i="1"/>
  <c r="AO62" i="1"/>
  <c r="AO87" i="1"/>
  <c r="AO113" i="1"/>
  <c r="AO142" i="1"/>
  <c r="AO170" i="1"/>
  <c r="AO197" i="1"/>
  <c r="AO222" i="1"/>
  <c r="AO247" i="1"/>
  <c r="AO273" i="1"/>
  <c r="AO301" i="1"/>
  <c r="AO327" i="1"/>
  <c r="AO356" i="1"/>
  <c r="AO383" i="1"/>
  <c r="AO410" i="1"/>
  <c r="AO435" i="1"/>
  <c r="AM13" i="1" a="1"/>
  <c r="AM13" i="1" s="1"/>
  <c r="AM38" i="1" a="1"/>
  <c r="AM38" i="1" s="1"/>
  <c r="AM63" i="1" a="1"/>
  <c r="AM63" i="1" s="1"/>
  <c r="AM89" i="1" a="1"/>
  <c r="AM89" i="1" s="1"/>
  <c r="AM115" i="1" a="1"/>
  <c r="AM115" i="1" s="1"/>
  <c r="AM146" i="1" a="1"/>
  <c r="AM146" i="1" s="1"/>
  <c r="AM172" i="1" a="1"/>
  <c r="AM172" i="1" s="1"/>
  <c r="AM199" i="1" a="1"/>
  <c r="AM199" i="1" s="1"/>
  <c r="AM224" i="1" a="1"/>
  <c r="AM224" i="1" s="1"/>
  <c r="AM249" i="1" a="1"/>
  <c r="AM249" i="1" s="1"/>
  <c r="AM275" i="1" a="1"/>
  <c r="AM275" i="1" s="1"/>
  <c r="AM303" i="1" a="1"/>
  <c r="AM303" i="1" s="1"/>
  <c r="AM329" i="1" a="1"/>
  <c r="AM329" i="1" s="1"/>
  <c r="AM358" i="1" a="1"/>
  <c r="AM358" i="1" s="1"/>
  <c r="AM390" i="1" a="1"/>
  <c r="AM390" i="1" s="1"/>
  <c r="AM417" i="1" a="1"/>
  <c r="AM417" i="1" s="1"/>
  <c r="AP1582" i="1"/>
  <c r="AP1641" i="1"/>
  <c r="AO27" i="1"/>
  <c r="AO52" i="1"/>
  <c r="AO77" i="1"/>
  <c r="AO102" i="1"/>
  <c r="AO128" i="1"/>
  <c r="AO161" i="1"/>
  <c r="AO188" i="1"/>
  <c r="AO213" i="1"/>
  <c r="AO238" i="1"/>
  <c r="AO263" i="1"/>
  <c r="AO290" i="1"/>
  <c r="AO317" i="1"/>
  <c r="AO344" i="1"/>
  <c r="AO374" i="1"/>
  <c r="AO401" i="1"/>
  <c r="AO426" i="1"/>
  <c r="AO452" i="1"/>
  <c r="AM29" i="1" a="1"/>
  <c r="AM29" i="1" s="1"/>
  <c r="AM54" i="1" a="1"/>
  <c r="AM54" i="1" s="1"/>
  <c r="AM79" i="1" a="1"/>
  <c r="AM79" i="1" s="1"/>
  <c r="AM104" i="1" a="1"/>
  <c r="AM104" i="1" s="1"/>
  <c r="AM130" i="1" a="1"/>
  <c r="AM130" i="1" s="1"/>
  <c r="AM162" i="1" a="1"/>
  <c r="AM162" i="1" s="1"/>
  <c r="AM189" i="1" a="1"/>
  <c r="AM189" i="1" s="1"/>
  <c r="AM214" i="1" a="1"/>
  <c r="AM214" i="1" s="1"/>
  <c r="AM239" i="1" a="1"/>
  <c r="AM239" i="1" s="1"/>
  <c r="AM265" i="1" a="1"/>
  <c r="AM265" i="1" s="1"/>
  <c r="AM291" i="1" a="1"/>
  <c r="AM291" i="1" s="1"/>
  <c r="AM319" i="1" a="1"/>
  <c r="AM319" i="1" s="1"/>
  <c r="AM346" i="1" a="1"/>
  <c r="AM346" i="1" s="1"/>
  <c r="AM380" i="1" a="1"/>
  <c r="AM380" i="1" s="1"/>
  <c r="AM407" i="1" a="1"/>
  <c r="AM407" i="1" s="1"/>
  <c r="AM441" i="1" a="1"/>
  <c r="AM441" i="1" s="1"/>
  <c r="AM468" i="1" a="1"/>
  <c r="AM468" i="1" s="1"/>
  <c r="AM494" i="1" a="1"/>
  <c r="AM494" i="1" s="1"/>
  <c r="AM520" i="1" a="1"/>
  <c r="AM520" i="1" s="1"/>
  <c r="AM547" i="1" a="1"/>
  <c r="AM547" i="1" s="1"/>
  <c r="AM575" i="1" a="1"/>
  <c r="AM575" i="1" s="1"/>
  <c r="AM601" i="1" a="1"/>
  <c r="AM601" i="1" s="1"/>
  <c r="AM629" i="1" a="1"/>
  <c r="AM629" i="1" s="1"/>
  <c r="AO9" i="1"/>
  <c r="AO34" i="1"/>
  <c r="AO59" i="1"/>
  <c r="AO84" i="1"/>
  <c r="AO110" i="1"/>
  <c r="AO138" i="1"/>
  <c r="AO167" i="1"/>
  <c r="AO194" i="1"/>
  <c r="AO219" i="1"/>
  <c r="AO244" i="1"/>
  <c r="AO270" i="1"/>
  <c r="AO296" i="1"/>
  <c r="AO323" i="1"/>
  <c r="AO351" i="1"/>
  <c r="AO380" i="1"/>
  <c r="AO407" i="1"/>
  <c r="AO432" i="1"/>
  <c r="AM35" i="1" a="1"/>
  <c r="AM35" i="1" s="1"/>
  <c r="AM60" i="1" a="1"/>
  <c r="AM60" i="1" s="1"/>
  <c r="AM85" i="1" a="1"/>
  <c r="AM85" i="1" s="1"/>
  <c r="AM111" i="1" a="1"/>
  <c r="AM111" i="1" s="1"/>
  <c r="AM140" i="1" a="1"/>
  <c r="AM140" i="1" s="1"/>
  <c r="AM169" i="1" a="1"/>
  <c r="AM169" i="1" s="1"/>
  <c r="AM196" i="1" a="1"/>
  <c r="AM196" i="1" s="1"/>
  <c r="AM221" i="1" a="1"/>
  <c r="AM221" i="1" s="1"/>
  <c r="AM246" i="1" a="1"/>
  <c r="AM246" i="1" s="1"/>
  <c r="AM272" i="1" a="1"/>
  <c r="AM272" i="1" s="1"/>
  <c r="AM299" i="1" a="1"/>
  <c r="AM299" i="1" s="1"/>
  <c r="AM326" i="1" a="1"/>
  <c r="AM326" i="1" s="1"/>
  <c r="AM355" i="1" a="1"/>
  <c r="AM355" i="1" s="1"/>
  <c r="AM386" i="1" a="1"/>
  <c r="AM386" i="1" s="1"/>
  <c r="AM414" i="1" a="1"/>
  <c r="AM414" i="1" s="1"/>
  <c r="AM448" i="1" a="1"/>
  <c r="AM448" i="1" s="1"/>
  <c r="AM474" i="1" a="1"/>
  <c r="AM474" i="1" s="1"/>
  <c r="AM501" i="1" a="1"/>
  <c r="AM501" i="1" s="1"/>
  <c r="AM528" i="1" a="1"/>
  <c r="AM528" i="1" s="1"/>
  <c r="AM553" i="1" a="1"/>
  <c r="AM553" i="1" s="1"/>
  <c r="AM581" i="1" a="1"/>
  <c r="AM581" i="1" s="1"/>
  <c r="AM607" i="1" a="1"/>
  <c r="AM607" i="1" s="1"/>
  <c r="AM635" i="1" a="1"/>
  <c r="AM635" i="1" s="1"/>
  <c r="AP396" i="1"/>
  <c r="AP298" i="1"/>
  <c r="AP8" i="1"/>
  <c r="AO26" i="1"/>
  <c r="AO57" i="1"/>
  <c r="AO89" i="1"/>
  <c r="AO119" i="1"/>
  <c r="AO10" i="1"/>
  <c r="AO41" i="1"/>
  <c r="AO70" i="1"/>
  <c r="AO99" i="1"/>
  <c r="AO131" i="1"/>
  <c r="AO168" i="1"/>
  <c r="AO201" i="1"/>
  <c r="AO230" i="1"/>
  <c r="AO260" i="1"/>
  <c r="AO292" i="1"/>
  <c r="AO325" i="1"/>
  <c r="AO360" i="1"/>
  <c r="AO393" i="1"/>
  <c r="AO423" i="1"/>
  <c r="AO454" i="1"/>
  <c r="AM34" i="1" a="1"/>
  <c r="AM34" i="1" s="1"/>
  <c r="AM67" i="1" a="1"/>
  <c r="AM67" i="1" s="1"/>
  <c r="AM96" i="1" a="1"/>
  <c r="AM96" i="1" s="1"/>
  <c r="AM126" i="1" a="1"/>
  <c r="AM126" i="1" s="1"/>
  <c r="AM163" i="1" a="1"/>
  <c r="AM163" i="1" s="1"/>
  <c r="AM195" i="1" a="1"/>
  <c r="AM195" i="1" s="1"/>
  <c r="AM227" i="1" a="1"/>
  <c r="AM227" i="1" s="1"/>
  <c r="AM256" i="1" a="1"/>
  <c r="AM256" i="1" s="1"/>
  <c r="AM287" i="1" a="1"/>
  <c r="AM287" i="1" s="1"/>
  <c r="AM320" i="1" a="1"/>
  <c r="AM320" i="1" s="1"/>
  <c r="AM353" i="1" a="1"/>
  <c r="AM353" i="1" s="1"/>
  <c r="AM393" i="1" a="1"/>
  <c r="AM393" i="1" s="1"/>
  <c r="AM425" i="1" a="1"/>
  <c r="AM425" i="1" s="1"/>
  <c r="AM463" i="1" a="1"/>
  <c r="AM463" i="1" s="1"/>
  <c r="AM492" i="1" a="1"/>
  <c r="AM492" i="1" s="1"/>
  <c r="AM524" i="1" a="1"/>
  <c r="AM524" i="1" s="1"/>
  <c r="AM552" i="1" a="1"/>
  <c r="AM552" i="1" s="1"/>
  <c r="AM585" i="1" a="1"/>
  <c r="AM585" i="1" s="1"/>
  <c r="AM615" i="1" a="1"/>
  <c r="AM615" i="1" s="1"/>
  <c r="AP187" i="1"/>
  <c r="AP137" i="1"/>
  <c r="AO14" i="1"/>
  <c r="AO43" i="1"/>
  <c r="AO72" i="1"/>
  <c r="AO101" i="1"/>
  <c r="AO133" i="1"/>
  <c r="AO172" i="1"/>
  <c r="AO203" i="1"/>
  <c r="AO232" i="1"/>
  <c r="AO262" i="1"/>
  <c r="AO294" i="1"/>
  <c r="AO329" i="1"/>
  <c r="AO362" i="1"/>
  <c r="AO395" i="1"/>
  <c r="AO425" i="1"/>
  <c r="AO456" i="1"/>
  <c r="AM39" i="1" a="1"/>
  <c r="AM39" i="1" s="1"/>
  <c r="AM69" i="1" a="1"/>
  <c r="AM69" i="1" s="1"/>
  <c r="AM98" i="1" a="1"/>
  <c r="AM98" i="1" s="1"/>
  <c r="AM128" i="1" a="1"/>
  <c r="AM128" i="1" s="1"/>
  <c r="AM165" i="1" a="1"/>
  <c r="AM165" i="1" s="1"/>
  <c r="AM200" i="1" a="1"/>
  <c r="AM200" i="1" s="1"/>
  <c r="AM229" i="1" a="1"/>
  <c r="AM229" i="1" s="1"/>
  <c r="AM258" i="1" a="1"/>
  <c r="AM258" i="1" s="1"/>
  <c r="AM289" i="1" a="1"/>
  <c r="AM289" i="1" s="1"/>
  <c r="AM322" i="1" a="1"/>
  <c r="AM322" i="1" s="1"/>
  <c r="AM359" i="1" a="1"/>
  <c r="AM359" i="1" s="1"/>
  <c r="AM395" i="1" a="1"/>
  <c r="AM395" i="1" s="1"/>
  <c r="AM427" i="1" a="1"/>
  <c r="AM427" i="1" s="1"/>
  <c r="AM465" i="1" a="1"/>
  <c r="AM465" i="1" s="1"/>
  <c r="AM496" i="1" a="1"/>
  <c r="AM496" i="1" s="1"/>
  <c r="AO15" i="1"/>
  <c r="AO44" i="1"/>
  <c r="AO73" i="1"/>
  <c r="AO103" i="1"/>
  <c r="AO135" i="1"/>
  <c r="AO173" i="1"/>
  <c r="AO204" i="1"/>
  <c r="AO233" i="1"/>
  <c r="AO265" i="1"/>
  <c r="AO295" i="1"/>
  <c r="AO330" i="1"/>
  <c r="AO364" i="1"/>
  <c r="AO397" i="1"/>
  <c r="AO427" i="1"/>
  <c r="AM41" i="1" a="1"/>
  <c r="AM41" i="1" s="1"/>
  <c r="AM70" i="1" a="1"/>
  <c r="AM70" i="1" s="1"/>
  <c r="AM99" i="1" a="1"/>
  <c r="AM99" i="1" s="1"/>
  <c r="AM129" i="1" a="1"/>
  <c r="AM129" i="1" s="1"/>
  <c r="AM166" i="1" a="1"/>
  <c r="AM166" i="1" s="1"/>
  <c r="AM201" i="1" a="1"/>
  <c r="AM201" i="1" s="1"/>
  <c r="AM230" i="1" a="1"/>
  <c r="AM230" i="1" s="1"/>
  <c r="AM259" i="1" a="1"/>
  <c r="AM259" i="1" s="1"/>
  <c r="AM290" i="1" a="1"/>
  <c r="AM290" i="1" s="1"/>
  <c r="AM323" i="1" a="1"/>
  <c r="AM323" i="1" s="1"/>
  <c r="AM360" i="1" a="1"/>
  <c r="AM360" i="1" s="1"/>
  <c r="AM397" i="1" a="1"/>
  <c r="AM397" i="1" s="1"/>
  <c r="AM428" i="1" a="1"/>
  <c r="AM428" i="1" s="1"/>
  <c r="AM466" i="1" a="1"/>
  <c r="AM466" i="1" s="1"/>
  <c r="AM497" i="1" a="1"/>
  <c r="AM497" i="1" s="1"/>
  <c r="AM527" i="1" a="1"/>
  <c r="AM527" i="1" s="1"/>
  <c r="AM557" i="1" a="1"/>
  <c r="AM557" i="1" s="1"/>
  <c r="AM589" i="1" a="1"/>
  <c r="AM589" i="1" s="1"/>
  <c r="AM620" i="1" a="1"/>
  <c r="AM620" i="1" s="1"/>
  <c r="AO39" i="1"/>
  <c r="AO75" i="1"/>
  <c r="AO114" i="1"/>
  <c r="AO153" i="1"/>
  <c r="AO190" i="1"/>
  <c r="AO225" i="1"/>
  <c r="AO257" i="1"/>
  <c r="AO298" i="1"/>
  <c r="AO335" i="1"/>
  <c r="AO373" i="1"/>
  <c r="AO411" i="1"/>
  <c r="AO444" i="1"/>
  <c r="AM27" i="1" a="1"/>
  <c r="AM27" i="1" s="1"/>
  <c r="AM61" i="1" a="1"/>
  <c r="AM61" i="1" s="1"/>
  <c r="AM97" i="1" a="1"/>
  <c r="AM97" i="1" s="1"/>
  <c r="AM133" i="1" a="1"/>
  <c r="AM133" i="1" s="1"/>
  <c r="AM176" i="1" a="1"/>
  <c r="AM176" i="1" s="1"/>
  <c r="AM210" i="1" a="1"/>
  <c r="AM210" i="1" s="1"/>
  <c r="AM244" i="1" a="1"/>
  <c r="AM244" i="1" s="1"/>
  <c r="AM281" i="1" a="1"/>
  <c r="AM281" i="1" s="1"/>
  <c r="AM315" i="1" a="1"/>
  <c r="AM315" i="1" s="1"/>
  <c r="AM356" i="1" a="1"/>
  <c r="AM356" i="1" s="1"/>
  <c r="AM400" i="1" a="1"/>
  <c r="AM400" i="1" s="1"/>
  <c r="AM443" i="1" a="1"/>
  <c r="AM443" i="1" s="1"/>
  <c r="AM479" i="1" a="1"/>
  <c r="AM479" i="1" s="1"/>
  <c r="AM511" i="1" a="1"/>
  <c r="AM511" i="1" s="1"/>
  <c r="AM544" i="1" a="1"/>
  <c r="AM544" i="1" s="1"/>
  <c r="AM578" i="1" a="1"/>
  <c r="AM578" i="1" s="1"/>
  <c r="AM611" i="1" a="1"/>
  <c r="AM611" i="1" s="1"/>
  <c r="AP296" i="1"/>
  <c r="AP623" i="1"/>
  <c r="AP136" i="1"/>
  <c r="AP5" i="1"/>
  <c r="AO13" i="1"/>
  <c r="AO48" i="1"/>
  <c r="AO83" i="1"/>
  <c r="AO121" i="1"/>
  <c r="AO162" i="1"/>
  <c r="AO199" i="1"/>
  <c r="AO235" i="1"/>
  <c r="AO269" i="1"/>
  <c r="AO307" i="1"/>
  <c r="AO342" i="1"/>
  <c r="AO381" i="1"/>
  <c r="AO418" i="1"/>
  <c r="AO451" i="1"/>
  <c r="AM36" i="1" a="1"/>
  <c r="AM36" i="1" s="1"/>
  <c r="AM73" i="1" a="1"/>
  <c r="AM73" i="1" s="1"/>
  <c r="AM106" i="1" a="1"/>
  <c r="AM106" i="1" s="1"/>
  <c r="AM149" i="1" a="1"/>
  <c r="AM149" i="1" s="1"/>
  <c r="AM183" i="1" a="1"/>
  <c r="AM183" i="1" s="1"/>
  <c r="AM217" i="1" a="1"/>
  <c r="AM217" i="1" s="1"/>
  <c r="AM253" i="1" a="1"/>
  <c r="AM253" i="1" s="1"/>
  <c r="AM288" i="1" a="1"/>
  <c r="AM288" i="1" s="1"/>
  <c r="AM330" i="1" a="1"/>
  <c r="AM330" i="1" s="1"/>
  <c r="AM372" i="1" a="1"/>
  <c r="AM372" i="1" s="1"/>
  <c r="AM408" i="1" a="1"/>
  <c r="AM408" i="1" s="1"/>
  <c r="AM452" i="1" a="1"/>
  <c r="AM452" i="1" s="1"/>
  <c r="AM485" i="1" a="1"/>
  <c r="AM485" i="1" s="1"/>
  <c r="AM518" i="1" a="1"/>
  <c r="AM518" i="1" s="1"/>
  <c r="AM551" i="1" a="1"/>
  <c r="AM551" i="1" s="1"/>
  <c r="AM588" i="1" a="1"/>
  <c r="AM588" i="1" s="1"/>
  <c r="AM622" i="1" a="1"/>
  <c r="AM622" i="1" s="1"/>
  <c r="AP617" i="1"/>
  <c r="AP447" i="1"/>
  <c r="AP365" i="1"/>
  <c r="AP182" i="1"/>
  <c r="AO17" i="1"/>
  <c r="AO50" i="1"/>
  <c r="AO88" i="1"/>
  <c r="AO123" i="1"/>
  <c r="AO164" i="1"/>
  <c r="AO202" i="1"/>
  <c r="AO237" i="1"/>
  <c r="AO274" i="1"/>
  <c r="AO309" i="1"/>
  <c r="AO345" i="1"/>
  <c r="AO385" i="1"/>
  <c r="AO420" i="1"/>
  <c r="AO455" i="1"/>
  <c r="AM43" i="1" a="1"/>
  <c r="AM43" i="1" s="1"/>
  <c r="AM75" i="1" a="1"/>
  <c r="AM75" i="1" s="1"/>
  <c r="AM109" i="1" a="1"/>
  <c r="AM109" i="1" s="1"/>
  <c r="AM151" i="1" a="1"/>
  <c r="AM151" i="1" s="1"/>
  <c r="AM185" i="1" a="1"/>
  <c r="AM185" i="1" s="1"/>
  <c r="AM220" i="1" a="1"/>
  <c r="AM220" i="1" s="1"/>
  <c r="AM255" i="1" a="1"/>
  <c r="AM255" i="1" s="1"/>
  <c r="AM294" i="1" a="1"/>
  <c r="AM294" i="1" s="1"/>
  <c r="AM332" i="1" a="1"/>
  <c r="AM332" i="1" s="1"/>
  <c r="AM374" i="1" a="1"/>
  <c r="AM374" i="1" s="1"/>
  <c r="AM411" i="1" a="1"/>
  <c r="AM411" i="1" s="1"/>
  <c r="AM454" i="1" a="1"/>
  <c r="AM454" i="1" s="1"/>
  <c r="AM488" i="1" a="1"/>
  <c r="AM488" i="1" s="1"/>
  <c r="AM523" i="1" a="1"/>
  <c r="AM523" i="1" s="1"/>
  <c r="AM556" i="1" a="1"/>
  <c r="AM556" i="1" s="1"/>
  <c r="AM592" i="1" a="1"/>
  <c r="AM592" i="1" s="1"/>
  <c r="AM625" i="1" a="1"/>
  <c r="AM625" i="1" s="1"/>
  <c r="AO18" i="1"/>
  <c r="AO51" i="1"/>
  <c r="AO90" i="1"/>
  <c r="AO124" i="1"/>
  <c r="AO165" i="1"/>
  <c r="AO205" i="1"/>
  <c r="AO239" i="1"/>
  <c r="AO275" i="1"/>
  <c r="AO311" i="1"/>
  <c r="AO346" i="1"/>
  <c r="AO386" i="1"/>
  <c r="AO421" i="1"/>
  <c r="AM44" i="1" a="1"/>
  <c r="AM44" i="1" s="1"/>
  <c r="AM76" i="1" a="1"/>
  <c r="AM76" i="1" s="1"/>
  <c r="AM110" i="1" a="1"/>
  <c r="AM110" i="1" s="1"/>
  <c r="AM152" i="1" a="1"/>
  <c r="AM152" i="1" s="1"/>
  <c r="AM186" i="1" a="1"/>
  <c r="AM186" i="1" s="1"/>
  <c r="AM222" i="1" a="1"/>
  <c r="AM222" i="1" s="1"/>
  <c r="AM257" i="1" a="1"/>
  <c r="AM257" i="1" s="1"/>
  <c r="AM295" i="1" a="1"/>
  <c r="AM295" i="1" s="1"/>
  <c r="AM333" i="1" a="1"/>
  <c r="AM333" i="1" s="1"/>
  <c r="AM375" i="1" a="1"/>
  <c r="AM375" i="1" s="1"/>
  <c r="AM412" i="1" a="1"/>
  <c r="AM412" i="1" s="1"/>
  <c r="AM455" i="1" a="1"/>
  <c r="AM455" i="1" s="1"/>
  <c r="AM489" i="1" a="1"/>
  <c r="AM489" i="1" s="1"/>
  <c r="AM525" i="1" a="1"/>
  <c r="AM525" i="1" s="1"/>
  <c r="AM558" i="1" a="1"/>
  <c r="AM558" i="1" s="1"/>
  <c r="AM593" i="1" a="1"/>
  <c r="AM593" i="1" s="1"/>
  <c r="AM626" i="1" a="1"/>
  <c r="AM626" i="1" s="1"/>
  <c r="AP87" i="1"/>
  <c r="AP444" i="1"/>
  <c r="AO31" i="1"/>
  <c r="AO68" i="1"/>
  <c r="AO106" i="1"/>
  <c r="AO149" i="1"/>
  <c r="AO183" i="1"/>
  <c r="AO218" i="1"/>
  <c r="AO253" i="1"/>
  <c r="AO288" i="1"/>
  <c r="AO328" i="1"/>
  <c r="AO368" i="1"/>
  <c r="AO404" i="1"/>
  <c r="AO440" i="1"/>
  <c r="AM23" i="1" a="1"/>
  <c r="AM23" i="1" s="1"/>
  <c r="AM56" i="1" a="1"/>
  <c r="AM56" i="1" s="1"/>
  <c r="AM92" i="1" a="1"/>
  <c r="AM92" i="1" s="1"/>
  <c r="AM125" i="1" a="1"/>
  <c r="AM125" i="1" s="1"/>
  <c r="AM170" i="1" a="1"/>
  <c r="AM170" i="1" s="1"/>
  <c r="AM206" i="1" a="1"/>
  <c r="AM206" i="1" s="1"/>
  <c r="AM238" i="1" a="1"/>
  <c r="AM238" i="1" s="1"/>
  <c r="AM276" i="1" a="1"/>
  <c r="AM276" i="1" s="1"/>
  <c r="AM311" i="1" a="1"/>
  <c r="AM311" i="1" s="1"/>
  <c r="AM348" i="1" a="1"/>
  <c r="AM348" i="1" s="1"/>
  <c r="AM392" i="1" a="1"/>
  <c r="AM392" i="1" s="1"/>
  <c r="AM433" i="1" a="1"/>
  <c r="AM433" i="1" s="1"/>
  <c r="AM472" i="1" a="1"/>
  <c r="AM472" i="1" s="1"/>
  <c r="AM507" i="1" a="1"/>
  <c r="AM507" i="1" s="1"/>
  <c r="AM540" i="1" a="1"/>
  <c r="AM540" i="1" s="1"/>
  <c r="AM573" i="1" a="1"/>
  <c r="AM573" i="1" s="1"/>
  <c r="AM605" i="1" a="1"/>
  <c r="AM605" i="1" s="1"/>
  <c r="AP248" i="1"/>
  <c r="AP324" i="1"/>
  <c r="AP10" i="1"/>
  <c r="AO6" i="1"/>
  <c r="AO55" i="1"/>
  <c r="AO98" i="1"/>
  <c r="AO152" i="1"/>
  <c r="AO198" i="1"/>
  <c r="AO243" i="1"/>
  <c r="AO286" i="1"/>
  <c r="AO337" i="1"/>
  <c r="AO384" i="1"/>
  <c r="AO430" i="1"/>
  <c r="AM21" i="1" a="1"/>
  <c r="AM21" i="1" s="1"/>
  <c r="AM65" i="1" a="1"/>
  <c r="AM65" i="1" s="1"/>
  <c r="AM107" i="1" a="1"/>
  <c r="AM107" i="1" s="1"/>
  <c r="AM158" i="1" a="1"/>
  <c r="AM158" i="1" s="1"/>
  <c r="AM205" i="1" a="1"/>
  <c r="AM205" i="1" s="1"/>
  <c r="AM247" i="1" a="1"/>
  <c r="AM247" i="1" s="1"/>
  <c r="AM296" i="1" a="1"/>
  <c r="AM296" i="1" s="1"/>
  <c r="AM340" i="1" a="1"/>
  <c r="AM340" i="1" s="1"/>
  <c r="AM394" i="1" a="1"/>
  <c r="AM394" i="1" s="1"/>
  <c r="AM446" i="1" a="1"/>
  <c r="AM446" i="1" s="1"/>
  <c r="AM491" i="1" a="1"/>
  <c r="AM491" i="1" s="1"/>
  <c r="AM535" i="1" a="1"/>
  <c r="AM535" i="1" s="1"/>
  <c r="AM576" i="1" a="1"/>
  <c r="AM576" i="1" s="1"/>
  <c r="AM619" i="1" a="1"/>
  <c r="AM619" i="1" s="1"/>
  <c r="AP224" i="1"/>
  <c r="AP389" i="1"/>
  <c r="AP139" i="1"/>
  <c r="AO16" i="1"/>
  <c r="AO60" i="1"/>
  <c r="AO105" i="1"/>
  <c r="AO155" i="1"/>
  <c r="AO206" i="1"/>
  <c r="AO248" i="1"/>
  <c r="AO289" i="1"/>
  <c r="AO339" i="1"/>
  <c r="AO388" i="1"/>
  <c r="AO433" i="1"/>
  <c r="AM24" i="1" a="1"/>
  <c r="AM24" i="1" s="1"/>
  <c r="AM68" i="1" a="1"/>
  <c r="AM68" i="1" s="1"/>
  <c r="AM116" i="1" a="1"/>
  <c r="AM116" i="1" s="1"/>
  <c r="AM160" i="1" a="1"/>
  <c r="AM160" i="1" s="1"/>
  <c r="AM208" i="1" a="1"/>
  <c r="AM208" i="1" s="1"/>
  <c r="AM251" i="1" a="1"/>
  <c r="AM251" i="1" s="1"/>
  <c r="AM301" i="1" a="1"/>
  <c r="AM301" i="1" s="1"/>
  <c r="AM342" i="1" a="1"/>
  <c r="AM342" i="1" s="1"/>
  <c r="AM399" i="1" a="1"/>
  <c r="AM399" i="1" s="1"/>
  <c r="AM451" i="1" a="1"/>
  <c r="AM451" i="1" s="1"/>
  <c r="AM498" i="1" a="1"/>
  <c r="AM498" i="1" s="1"/>
  <c r="AM537" i="1" a="1"/>
  <c r="AM537" i="1" s="1"/>
  <c r="AM579" i="1" a="1"/>
  <c r="AM579" i="1" s="1"/>
  <c r="AM624" i="1" a="1"/>
  <c r="AM624" i="1" s="1"/>
  <c r="AP232" i="1"/>
  <c r="AP421" i="1"/>
  <c r="AO19" i="1"/>
  <c r="AO63" i="1"/>
  <c r="AO157" i="1"/>
  <c r="AO207" i="1"/>
  <c r="AO249" i="1"/>
  <c r="AO291" i="1"/>
  <c r="AO340" i="1"/>
  <c r="AO391" i="1"/>
  <c r="AO436" i="1"/>
  <c r="AM25" i="1" a="1"/>
  <c r="AM25" i="1" s="1"/>
  <c r="AM71" i="1" a="1"/>
  <c r="AM71" i="1" s="1"/>
  <c r="AM117" i="1" a="1"/>
  <c r="AM117" i="1" s="1"/>
  <c r="AM161" i="1" a="1"/>
  <c r="AM161" i="1" s="1"/>
  <c r="AM209" i="1" a="1"/>
  <c r="AM209" i="1" s="1"/>
  <c r="AM252" i="1" a="1"/>
  <c r="AM252" i="1" s="1"/>
  <c r="AM304" i="1" a="1"/>
  <c r="AM304" i="1" s="1"/>
  <c r="AM343" i="1" a="1"/>
  <c r="AM343" i="1" s="1"/>
  <c r="AM401" i="1" a="1"/>
  <c r="AM401" i="1" s="1"/>
  <c r="AM453" i="1" a="1"/>
  <c r="AM453" i="1" s="1"/>
  <c r="AM499" i="1" a="1"/>
  <c r="AM499" i="1" s="1"/>
  <c r="AM539" i="1" a="1"/>
  <c r="AM539" i="1" s="1"/>
  <c r="AM580" i="1" a="1"/>
  <c r="AM580" i="1" s="1"/>
  <c r="AO107" i="1"/>
  <c r="AM627" i="1" a="1"/>
  <c r="AM627" i="1" s="1"/>
  <c r="AP269" i="1"/>
  <c r="AP354" i="1"/>
  <c r="AP134" i="1"/>
  <c r="AP9" i="1"/>
  <c r="AO20" i="1"/>
  <c r="AO64" i="1"/>
  <c r="AO109" i="1"/>
  <c r="AO158" i="1"/>
  <c r="AO208" i="1"/>
  <c r="AO250" i="1"/>
  <c r="AO293" i="1"/>
  <c r="AO341" i="1"/>
  <c r="AO392" i="1"/>
  <c r="AO437" i="1"/>
  <c r="AM26" i="1" a="1"/>
  <c r="AM26" i="1" s="1"/>
  <c r="AM72" i="1" a="1"/>
  <c r="AM72" i="1" s="1"/>
  <c r="AM118" i="1" a="1"/>
  <c r="AM118" i="1" s="1"/>
  <c r="AM164" i="1" a="1"/>
  <c r="AM164" i="1" s="1"/>
  <c r="AM211" i="1" a="1"/>
  <c r="AM211" i="1" s="1"/>
  <c r="AM254" i="1" a="1"/>
  <c r="AM254" i="1" s="1"/>
  <c r="AM305" i="1" a="1"/>
  <c r="AM305" i="1" s="1"/>
  <c r="AM345" i="1" a="1"/>
  <c r="AM345" i="1" s="1"/>
  <c r="AM402" i="1" a="1"/>
  <c r="AM402" i="1" s="1"/>
  <c r="AM456" i="1" a="1"/>
  <c r="AM456" i="1" s="1"/>
  <c r="AM500" i="1" a="1"/>
  <c r="AM500" i="1" s="1"/>
  <c r="AM541" i="1" a="1"/>
  <c r="AM541" i="1" s="1"/>
  <c r="AM582" i="1" a="1"/>
  <c r="AM582" i="1" s="1"/>
  <c r="AM628" i="1" a="1"/>
  <c r="AM628" i="1" s="1"/>
  <c r="AP7" i="1"/>
  <c r="AO21" i="1"/>
  <c r="AO65" i="1"/>
  <c r="AO111" i="1"/>
  <c r="AO159" i="1"/>
  <c r="AO209" i="1"/>
  <c r="AO251" i="1"/>
  <c r="AO302" i="1"/>
  <c r="AO343" i="1"/>
  <c r="AO394" i="1"/>
  <c r="AO438" i="1"/>
  <c r="AM28" i="1" a="1"/>
  <c r="AM28" i="1" s="1"/>
  <c r="AM74" i="1" a="1"/>
  <c r="AM74" i="1" s="1"/>
  <c r="AM119" i="1" a="1"/>
  <c r="AM119" i="1" s="1"/>
  <c r="AM167" i="1" a="1"/>
  <c r="AM167" i="1" s="1"/>
  <c r="AM212" i="1" a="1"/>
  <c r="AM212" i="1" s="1"/>
  <c r="AM260" i="1" a="1"/>
  <c r="AM260" i="1" s="1"/>
  <c r="AM306" i="1" a="1"/>
  <c r="AM306" i="1" s="1"/>
  <c r="AM349" i="1" a="1"/>
  <c r="AM349" i="1" s="1"/>
  <c r="AM404" i="1" a="1"/>
  <c r="AM404" i="1" s="1"/>
  <c r="AM457" i="1" a="1"/>
  <c r="AM457" i="1" s="1"/>
  <c r="AM502" i="1" a="1"/>
  <c r="AM502" i="1" s="1"/>
  <c r="AM542" i="1" a="1"/>
  <c r="AM542" i="1" s="1"/>
  <c r="AM584" i="1" a="1"/>
  <c r="AM584" i="1" s="1"/>
  <c r="AM630" i="1" a="1"/>
  <c r="AM630" i="1" s="1"/>
  <c r="AP586" i="1"/>
  <c r="AP352" i="1"/>
  <c r="AP6" i="1"/>
  <c r="AO24" i="1"/>
  <c r="AO69" i="1"/>
  <c r="AO117" i="1"/>
  <c r="AO171" i="1"/>
  <c r="AO214" i="1"/>
  <c r="AO255" i="1"/>
  <c r="AO305" i="1"/>
  <c r="AO350" i="1"/>
  <c r="AO400" i="1"/>
  <c r="AO443" i="1"/>
  <c r="AM32" i="1" a="1"/>
  <c r="AM32" i="1" s="1"/>
  <c r="AM80" i="1" a="1"/>
  <c r="AM80" i="1" s="1"/>
  <c r="AM122" i="1" a="1"/>
  <c r="AM122" i="1" s="1"/>
  <c r="AM175" i="1" a="1"/>
  <c r="AM175" i="1" s="1"/>
  <c r="AM216" i="1" a="1"/>
  <c r="AM216" i="1" s="1"/>
  <c r="AM263" i="1" a="1"/>
  <c r="AM263" i="1" s="1"/>
  <c r="AM309" i="1" a="1"/>
  <c r="AM309" i="1" s="1"/>
  <c r="AM361" i="1" a="1"/>
  <c r="AM361" i="1" s="1"/>
  <c r="AM409" i="1" a="1"/>
  <c r="AM409" i="1" s="1"/>
  <c r="AM460" i="1" a="1"/>
  <c r="AM460" i="1" s="1"/>
  <c r="AM506" i="1" a="1"/>
  <c r="AM506" i="1" s="1"/>
  <c r="AM546" i="1" a="1"/>
  <c r="AM546" i="1" s="1"/>
  <c r="AM594" i="1" a="1"/>
  <c r="AM594" i="1" s="1"/>
  <c r="AM633" i="1" a="1"/>
  <c r="AM633" i="1" s="1"/>
  <c r="AO28" i="1"/>
  <c r="AO74" i="1"/>
  <c r="AO120" i="1"/>
  <c r="AO175" i="1"/>
  <c r="AO216" i="1"/>
  <c r="AO259" i="1"/>
  <c r="AO308" i="1"/>
  <c r="AO357" i="1"/>
  <c r="AO403" i="1"/>
  <c r="AO446" i="1"/>
  <c r="AM42" i="1" a="1"/>
  <c r="AM42" i="1" s="1"/>
  <c r="AM82" i="1" a="1"/>
  <c r="AM82" i="1" s="1"/>
  <c r="AM124" i="1" a="1"/>
  <c r="AM124" i="1" s="1"/>
  <c r="AM178" i="1" a="1"/>
  <c r="AM178" i="1" s="1"/>
  <c r="AM225" i="1" a="1"/>
  <c r="AM225" i="1" s="1"/>
  <c r="AM268" i="1" a="1"/>
  <c r="AM268" i="1" s="1"/>
  <c r="AM312" i="1" a="1"/>
  <c r="AM312" i="1" s="1"/>
  <c r="AM368" i="1" a="1"/>
  <c r="AM368" i="1" s="1"/>
  <c r="AM415" i="1" a="1"/>
  <c r="AM415" i="1" s="1"/>
  <c r="AM467" i="1" a="1"/>
  <c r="AM467" i="1" s="1"/>
  <c r="AM509" i="1" a="1"/>
  <c r="AM509" i="1" s="1"/>
  <c r="AM549" i="1" a="1"/>
  <c r="AM549" i="1" s="1"/>
  <c r="AM596" i="1" a="1"/>
  <c r="AM596" i="1" s="1"/>
  <c r="AM636" i="1" a="1"/>
  <c r="AM636" i="1" s="1"/>
  <c r="AO30" i="1"/>
  <c r="AO78" i="1"/>
  <c r="AO125" i="1"/>
  <c r="AO177" i="1"/>
  <c r="AO220" i="1"/>
  <c r="AO266" i="1"/>
  <c r="AO313" i="1"/>
  <c r="AO359" i="1"/>
  <c r="AO406" i="1"/>
  <c r="AO449" i="1"/>
  <c r="AM46" i="1" a="1"/>
  <c r="AM46" i="1" s="1"/>
  <c r="AM84" i="1" a="1"/>
  <c r="AM84" i="1" s="1"/>
  <c r="AM131" i="1" a="1"/>
  <c r="AM131" i="1" s="1"/>
  <c r="AM180" i="1" a="1"/>
  <c r="AM180" i="1" s="1"/>
  <c r="AM228" i="1" a="1"/>
  <c r="AM228" i="1" s="1"/>
  <c r="AM270" i="1" a="1"/>
  <c r="AM270" i="1" s="1"/>
  <c r="AM314" i="1" a="1"/>
  <c r="AM314" i="1" s="1"/>
  <c r="AM371" i="1" a="1"/>
  <c r="AM371" i="1" s="1"/>
  <c r="AM419" i="1" a="1"/>
  <c r="AM419" i="1" s="1"/>
  <c r="AM470" i="1" a="1"/>
  <c r="AM470" i="1" s="1"/>
  <c r="AM513" i="1" a="1"/>
  <c r="AM513" i="1" s="1"/>
  <c r="AM554" i="1" a="1"/>
  <c r="AM554" i="1" s="1"/>
  <c r="AM598" i="1" a="1"/>
  <c r="AM598" i="1" s="1"/>
  <c r="AM640" i="1" a="1"/>
  <c r="AM640" i="1" s="1"/>
  <c r="AP438" i="1"/>
  <c r="AO40" i="1"/>
  <c r="AO85" i="1"/>
  <c r="AO132" i="1"/>
  <c r="AO181" i="1"/>
  <c r="AO227" i="1"/>
  <c r="AO276" i="1"/>
  <c r="AO318" i="1"/>
  <c r="AO370" i="1"/>
  <c r="AO414" i="1"/>
  <c r="AM50" i="1" a="1"/>
  <c r="AM50" i="1" s="1"/>
  <c r="AM93" i="1" a="1"/>
  <c r="AM93" i="1" s="1"/>
  <c r="AM142" i="1" a="1"/>
  <c r="AM142" i="1" s="1"/>
  <c r="AM190" i="1" a="1"/>
  <c r="AM190" i="1" s="1"/>
  <c r="AM234" i="1" a="1"/>
  <c r="AM234" i="1" s="1"/>
  <c r="AM279" i="1" a="1"/>
  <c r="AM279" i="1" s="1"/>
  <c r="AM325" i="1" a="1"/>
  <c r="AM325" i="1" s="1"/>
  <c r="AM379" i="1" a="1"/>
  <c r="AM379" i="1" s="1"/>
  <c r="AM424" i="1" a="1"/>
  <c r="AM424" i="1" s="1"/>
  <c r="AM477" i="1" a="1"/>
  <c r="AM477" i="1" s="1"/>
  <c r="AM517" i="1" a="1"/>
  <c r="AM517" i="1" s="1"/>
  <c r="AM564" i="1" a="1"/>
  <c r="AM564" i="1" s="1"/>
  <c r="AM603" i="1" a="1"/>
  <c r="AM603" i="1" s="1"/>
  <c r="AP369" i="1"/>
  <c r="AO46" i="1"/>
  <c r="AO93" i="1"/>
  <c r="AO146" i="1"/>
  <c r="AO189" i="1"/>
  <c r="AO231" i="1"/>
  <c r="AO280" i="1"/>
  <c r="AO321" i="1"/>
  <c r="AO375" i="1"/>
  <c r="AO419" i="1"/>
  <c r="AM15" i="1" a="1"/>
  <c r="AM15" i="1" s="1"/>
  <c r="AM53" i="1" a="1"/>
  <c r="AM53" i="1" s="1"/>
  <c r="AM100" i="1" a="1"/>
  <c r="AM100" i="1" s="1"/>
  <c r="AM150" i="1" a="1"/>
  <c r="AM150" i="1" s="1"/>
  <c r="AM193" i="1" a="1"/>
  <c r="AM193" i="1" s="1"/>
  <c r="AM237" i="1" a="1"/>
  <c r="AM237" i="1" s="1"/>
  <c r="AM283" i="1" a="1"/>
  <c r="AM283" i="1" s="1"/>
  <c r="AM335" i="1" a="1"/>
  <c r="AM335" i="1" s="1"/>
  <c r="AM383" i="1" a="1"/>
  <c r="AM383" i="1" s="1"/>
  <c r="AM434" i="1" a="1"/>
  <c r="AM434" i="1" s="1"/>
  <c r="AM482" i="1" a="1"/>
  <c r="AM482" i="1" s="1"/>
  <c r="AM529" i="1" a="1"/>
  <c r="AM529" i="1" s="1"/>
  <c r="AM568" i="1" a="1"/>
  <c r="AM568" i="1" s="1"/>
  <c r="AM608" i="1" a="1"/>
  <c r="AM608" i="1" s="1"/>
  <c r="AO47" i="1"/>
  <c r="AO94" i="1"/>
  <c r="AO147" i="1"/>
  <c r="AO191" i="1"/>
  <c r="AO236" i="1"/>
  <c r="AO281" i="1"/>
  <c r="AO322" i="1"/>
  <c r="AO376" i="1"/>
  <c r="AO422" i="1"/>
  <c r="AO5" i="1"/>
  <c r="AO95" i="1"/>
  <c r="AO184" i="1"/>
  <c r="AO268" i="1"/>
  <c r="AO358" i="1"/>
  <c r="AO442" i="1"/>
  <c r="AM57" i="1" a="1"/>
  <c r="AM57" i="1" s="1"/>
  <c r="AM138" i="1" a="1"/>
  <c r="AM138" i="1" s="1"/>
  <c r="AM219" i="1" a="1"/>
  <c r="AM219" i="1" s="1"/>
  <c r="AM293" i="1" a="1"/>
  <c r="AM293" i="1" s="1"/>
  <c r="AM382" i="1" a="1"/>
  <c r="AM382" i="1" s="1"/>
  <c r="AM471" i="1" a="1"/>
  <c r="AM471" i="1" s="1"/>
  <c r="AM543" i="1" a="1"/>
  <c r="AM543" i="1" s="1"/>
  <c r="AM612" i="1" a="1"/>
  <c r="AM612" i="1" s="1"/>
  <c r="AP210" i="1"/>
  <c r="AO7" i="1"/>
  <c r="AO96" i="1"/>
  <c r="AO186" i="1"/>
  <c r="AO271" i="1"/>
  <c r="AO361" i="1"/>
  <c r="AO445" i="1"/>
  <c r="AM58" i="1" a="1"/>
  <c r="AM58" i="1" s="1"/>
  <c r="AM147" i="1" a="1"/>
  <c r="AM147" i="1" s="1"/>
  <c r="AM226" i="1" a="1"/>
  <c r="AM226" i="1" s="1"/>
  <c r="AM298" i="1" a="1"/>
  <c r="AM298" i="1" s="1"/>
  <c r="AM384" i="1" a="1"/>
  <c r="AM384" i="1" s="1"/>
  <c r="AM473" i="1" a="1"/>
  <c r="AM473" i="1" s="1"/>
  <c r="AM545" i="1" a="1"/>
  <c r="AM545" i="1" s="1"/>
  <c r="AM613" i="1" a="1"/>
  <c r="AM613" i="1" s="1"/>
  <c r="AP220" i="1"/>
  <c r="AO22" i="1"/>
  <c r="AO97" i="1"/>
  <c r="AO192" i="1"/>
  <c r="AO278" i="1"/>
  <c r="AO365" i="1"/>
  <c r="AO448" i="1"/>
  <c r="AM59" i="1" a="1"/>
  <c r="AM59" i="1" s="1"/>
  <c r="AM148" i="1" a="1"/>
  <c r="AM148" i="1" s="1"/>
  <c r="AM231" i="1" a="1"/>
  <c r="AM231" i="1" s="1"/>
  <c r="AM307" i="1" a="1"/>
  <c r="AM307" i="1" s="1"/>
  <c r="AM385" i="1" a="1"/>
  <c r="AM385" i="1" s="1"/>
  <c r="AM475" i="1" a="1"/>
  <c r="AM475" i="1" s="1"/>
  <c r="AM548" i="1" a="1"/>
  <c r="AM548" i="1" s="1"/>
  <c r="AM618" i="1" a="1"/>
  <c r="AM618" i="1" s="1"/>
  <c r="AO23" i="1"/>
  <c r="AO100" i="1"/>
  <c r="AO193" i="1"/>
  <c r="AO279" i="1"/>
  <c r="AO366" i="1"/>
  <c r="AO450" i="1"/>
  <c r="AM66" i="1" a="1"/>
  <c r="AM66" i="1" s="1"/>
  <c r="AM153" i="1" a="1"/>
  <c r="AM153" i="1" s="1"/>
  <c r="AM232" i="1" a="1"/>
  <c r="AM232" i="1" s="1"/>
  <c r="AM308" i="1" a="1"/>
  <c r="AM308" i="1" s="1"/>
  <c r="AM387" i="1" a="1"/>
  <c r="AM387" i="1" s="1"/>
  <c r="AM480" i="1" a="1"/>
  <c r="AM480" i="1" s="1"/>
  <c r="AM550" i="1" a="1"/>
  <c r="AM550" i="1" s="1"/>
  <c r="AM621" i="1" a="1"/>
  <c r="AM621" i="1" s="1"/>
  <c r="AP317" i="1"/>
  <c r="AO25" i="1"/>
  <c r="AO115" i="1"/>
  <c r="AO195" i="1"/>
  <c r="AO282" i="1"/>
  <c r="AO371" i="1"/>
  <c r="AO453" i="1"/>
  <c r="AM77" i="1" a="1"/>
  <c r="AM77" i="1" s="1"/>
  <c r="AM154" i="1" a="1"/>
  <c r="AM154" i="1" s="1"/>
  <c r="AM233" i="1" a="1"/>
  <c r="AM233" i="1" s="1"/>
  <c r="AM310" i="1" a="1"/>
  <c r="AM310" i="1" s="1"/>
  <c r="AM391" i="1" a="1"/>
  <c r="AM391" i="1" s="1"/>
  <c r="AM481" i="1" a="1"/>
  <c r="AM481" i="1" s="1"/>
  <c r="AM560" i="1" a="1"/>
  <c r="AM560" i="1" s="1"/>
  <c r="AM631" i="1" a="1"/>
  <c r="AM631" i="1" s="1"/>
  <c r="AP327" i="1"/>
  <c r="AO29" i="1"/>
  <c r="AO116" i="1"/>
  <c r="AO200" i="1"/>
  <c r="AO283" i="1"/>
  <c r="AO372" i="1"/>
  <c r="AM78" i="1" a="1"/>
  <c r="AM78" i="1" s="1"/>
  <c r="AM155" i="1" a="1"/>
  <c r="AM155" i="1" s="1"/>
  <c r="AM235" i="1" a="1"/>
  <c r="AM235" i="1" s="1"/>
  <c r="AM313" i="1" a="1"/>
  <c r="AM313" i="1" s="1"/>
  <c r="AM398" i="1" a="1"/>
  <c r="AM398" i="1" s="1"/>
  <c r="AM483" i="1" a="1"/>
  <c r="AM483" i="1" s="1"/>
  <c r="AM561" i="1" a="1"/>
  <c r="AM561" i="1" s="1"/>
  <c r="AM632" i="1" a="1"/>
  <c r="AM632" i="1" s="1"/>
  <c r="AP347" i="1"/>
  <c r="AO33" i="1"/>
  <c r="AO118" i="1"/>
  <c r="AO211" i="1"/>
  <c r="AO285" i="1"/>
  <c r="AO377" i="1"/>
  <c r="AM81" i="1" a="1"/>
  <c r="AM81" i="1" s="1"/>
  <c r="AM157" i="1" a="1"/>
  <c r="AM157" i="1" s="1"/>
  <c r="AM236" i="1" a="1"/>
  <c r="AM236" i="1" s="1"/>
  <c r="AM316" i="1" a="1"/>
  <c r="AM316" i="1" s="1"/>
  <c r="AM405" i="1" a="1"/>
  <c r="AM405" i="1" s="1"/>
  <c r="AM484" i="1" a="1"/>
  <c r="AM484" i="1" s="1"/>
  <c r="AM562" i="1" a="1"/>
  <c r="AM562" i="1" s="1"/>
  <c r="AM634" i="1" a="1"/>
  <c r="AM634" i="1" s="1"/>
  <c r="AP403" i="1"/>
  <c r="AO45" i="1"/>
  <c r="AP638" i="1"/>
  <c r="AP592" i="1"/>
  <c r="AP435" i="1"/>
  <c r="AO35" i="1"/>
  <c r="AO122" i="1"/>
  <c r="AO212" i="1"/>
  <c r="AO287" i="1"/>
  <c r="AO378" i="1"/>
  <c r="AM11" i="1" a="1"/>
  <c r="AM11" i="1" s="1"/>
  <c r="AM83" i="1" a="1"/>
  <c r="AM83" i="1" s="1"/>
  <c r="AM159" i="1" a="1"/>
  <c r="AM159" i="1" s="1"/>
  <c r="AM240" i="1" a="1"/>
  <c r="AM240" i="1" s="1"/>
  <c r="AM317" i="1" a="1"/>
  <c r="AM317" i="1" s="1"/>
  <c r="AM406" i="1" a="1"/>
  <c r="AM406" i="1" s="1"/>
  <c r="AM486" i="1" a="1"/>
  <c r="AM486" i="1" s="1"/>
  <c r="AM565" i="1" a="1"/>
  <c r="AM565" i="1" s="1"/>
  <c r="AM639" i="1" a="1"/>
  <c r="AM639" i="1" s="1"/>
  <c r="AP439" i="1"/>
  <c r="AP300" i="1"/>
  <c r="AO38" i="1"/>
  <c r="AO126" i="1"/>
  <c r="AO215" i="1"/>
  <c r="AO303" i="1"/>
  <c r="AO379" i="1"/>
  <c r="AM14" i="1" a="1"/>
  <c r="AM14" i="1" s="1"/>
  <c r="AM86" i="1" a="1"/>
  <c r="AM86" i="1" s="1"/>
  <c r="AM173" i="1" a="1"/>
  <c r="AM173" i="1" s="1"/>
  <c r="AM241" i="1" a="1"/>
  <c r="AM241" i="1" s="1"/>
  <c r="AM321" i="1" a="1"/>
  <c r="AM321" i="1" s="1"/>
  <c r="AM413" i="1" a="1"/>
  <c r="AM413" i="1" s="1"/>
  <c r="AM490" i="1" a="1"/>
  <c r="AM490" i="1" s="1"/>
  <c r="AM566" i="1" a="1"/>
  <c r="AM566" i="1" s="1"/>
  <c r="AP437" i="1"/>
  <c r="AO42" i="1"/>
  <c r="AO127" i="1"/>
  <c r="AO217" i="1"/>
  <c r="AO304" i="1"/>
  <c r="AO387" i="1"/>
  <c r="AM17" i="1" a="1"/>
  <c r="AM17" i="1" s="1"/>
  <c r="AM90" i="1" a="1"/>
  <c r="AM90" i="1" s="1"/>
  <c r="AM174" i="1" a="1"/>
  <c r="AM174" i="1" s="1"/>
  <c r="AM243" i="1" a="1"/>
  <c r="AM243" i="1" s="1"/>
  <c r="AM327" i="1" a="1"/>
  <c r="AM327" i="1" s="1"/>
  <c r="AM418" i="1" a="1"/>
  <c r="AM418" i="1" s="1"/>
  <c r="AM493" i="1" a="1"/>
  <c r="AM493" i="1" s="1"/>
  <c r="AM569" i="1" a="1"/>
  <c r="AM569" i="1" s="1"/>
  <c r="AP436" i="1"/>
  <c r="AP297" i="1"/>
  <c r="AP108" i="1"/>
  <c r="AO223" i="1"/>
  <c r="AM18" i="1" a="1"/>
  <c r="AM18" i="1" s="1"/>
  <c r="AM177" i="1" a="1"/>
  <c r="AM177" i="1" s="1"/>
  <c r="AM245" i="1" a="1"/>
  <c r="AM245" i="1" s="1"/>
  <c r="AM420" i="1" a="1"/>
  <c r="AM420" i="1" s="1"/>
  <c r="AM504" i="1" a="1"/>
  <c r="AM504" i="1" s="1"/>
  <c r="AO130" i="1"/>
  <c r="AO306" i="1"/>
  <c r="AO398" i="1"/>
  <c r="AM91" i="1" a="1"/>
  <c r="AM91" i="1" s="1"/>
  <c r="AM331" i="1" a="1"/>
  <c r="AM331" i="1" s="1"/>
  <c r="AM570" i="1" a="1"/>
  <c r="AM570" i="1" s="1"/>
  <c r="AO49" i="1"/>
  <c r="AO140" i="1"/>
  <c r="AO224" i="1"/>
  <c r="AO312" i="1"/>
  <c r="AO399" i="1"/>
  <c r="AM19" i="1" a="1"/>
  <c r="AM19" i="1" s="1"/>
  <c r="AM94" i="1" a="1"/>
  <c r="AM94" i="1" s="1"/>
  <c r="AM179" i="1" a="1"/>
  <c r="AM179" i="1" s="1"/>
  <c r="AM250" i="1" a="1"/>
  <c r="AM250" i="1" s="1"/>
  <c r="AM336" i="1" a="1"/>
  <c r="AM336" i="1" s="1"/>
  <c r="AM422" i="1" a="1"/>
  <c r="AM422" i="1" s="1"/>
  <c r="AM505" i="1" a="1"/>
  <c r="AM505" i="1" s="1"/>
  <c r="AM571" i="1" a="1"/>
  <c r="AM571" i="1" s="1"/>
  <c r="AP334" i="1"/>
  <c r="AP4" i="1"/>
  <c r="AO53" i="1"/>
  <c r="AO145" i="1"/>
  <c r="AO226" i="1"/>
  <c r="AO314" i="1"/>
  <c r="AO402" i="1"/>
  <c r="AM20" i="1" a="1"/>
  <c r="AM20" i="1" s="1"/>
  <c r="AM95" i="1" a="1"/>
  <c r="AM95" i="1" s="1"/>
  <c r="AM181" i="1" a="1"/>
  <c r="AM181" i="1" s="1"/>
  <c r="AM261" i="1" a="1"/>
  <c r="AM261" i="1" s="1"/>
  <c r="AM337" i="1" a="1"/>
  <c r="AM337" i="1" s="1"/>
  <c r="AM423" i="1" a="1"/>
  <c r="AM423" i="1" s="1"/>
  <c r="AM508" i="1" a="1"/>
  <c r="AM508" i="1" s="1"/>
  <c r="AM574" i="1" a="1"/>
  <c r="AM574" i="1" s="1"/>
  <c r="AP584" i="1"/>
  <c r="AP3" i="1"/>
  <c r="AO58" i="1"/>
  <c r="AO54" i="1"/>
  <c r="AO148" i="1"/>
  <c r="AO228" i="1"/>
  <c r="AO315" i="1"/>
  <c r="AO405" i="1"/>
  <c r="AM22" i="1" a="1"/>
  <c r="AM22" i="1" s="1"/>
  <c r="AM101" i="1" a="1"/>
  <c r="AM101" i="1" s="1"/>
  <c r="AM184" i="1" a="1"/>
  <c r="AM184" i="1" s="1"/>
  <c r="AM262" i="1" a="1"/>
  <c r="AM262" i="1" s="1"/>
  <c r="AM338" i="1" a="1"/>
  <c r="AM338" i="1" s="1"/>
  <c r="AM426" i="1" a="1"/>
  <c r="AM426" i="1" s="1"/>
  <c r="AM510" i="1" a="1"/>
  <c r="AM510" i="1" s="1"/>
  <c r="AM577" i="1" a="1"/>
  <c r="AM577" i="1" s="1"/>
  <c r="AP582" i="1"/>
  <c r="AP430" i="1"/>
  <c r="AO316" i="1"/>
  <c r="AM102" i="1" a="1"/>
  <c r="AM102" i="1" s="1"/>
  <c r="AM339" i="1" a="1"/>
  <c r="AM339" i="1" s="1"/>
  <c r="AM587" i="1" a="1"/>
  <c r="AM587" i="1" s="1"/>
  <c r="AP429" i="1"/>
  <c r="AP144" i="1"/>
  <c r="AO150" i="1"/>
  <c r="AO229" i="1"/>
  <c r="AO408" i="1"/>
  <c r="AM30" i="1" a="1"/>
  <c r="AM30" i="1" s="1"/>
  <c r="AM188" i="1" a="1"/>
  <c r="AM188" i="1" s="1"/>
  <c r="AM266" i="1" a="1"/>
  <c r="AM266" i="1" s="1"/>
  <c r="AM432" i="1" a="1"/>
  <c r="AM432" i="1" s="1"/>
  <c r="AM514" i="1" a="1"/>
  <c r="AM514" i="1" s="1"/>
  <c r="AO66" i="1"/>
  <c r="AO151" i="1"/>
  <c r="AO240" i="1"/>
  <c r="AO319" i="1"/>
  <c r="AO412" i="1"/>
  <c r="AM31" i="1" a="1"/>
  <c r="AM31" i="1" s="1"/>
  <c r="AM103" i="1" a="1"/>
  <c r="AM103" i="1" s="1"/>
  <c r="AM191" i="1" a="1"/>
  <c r="AM191" i="1" s="1"/>
  <c r="AM269" i="1" a="1"/>
  <c r="AM269" i="1" s="1"/>
  <c r="AM341" i="1" a="1"/>
  <c r="AM341" i="1" s="1"/>
  <c r="AM440" i="1" a="1"/>
  <c r="AM440" i="1" s="1"/>
  <c r="AM515" i="1" a="1"/>
  <c r="AM515" i="1" s="1"/>
  <c r="AM591" i="1" a="1"/>
  <c r="AM591" i="1" s="1"/>
  <c r="AP143" i="1"/>
  <c r="AO67" i="1"/>
  <c r="AO154" i="1"/>
  <c r="AO241" i="1"/>
  <c r="AO320" i="1"/>
  <c r="AO413" i="1"/>
  <c r="AM33" i="1" a="1"/>
  <c r="AM33" i="1" s="1"/>
  <c r="AM105" i="1" a="1"/>
  <c r="AM105" i="1" s="1"/>
  <c r="AM192" i="1" a="1"/>
  <c r="AM192" i="1" s="1"/>
  <c r="AM271" i="1" a="1"/>
  <c r="AM271" i="1" s="1"/>
  <c r="AM350" i="1" a="1"/>
  <c r="AM350" i="1" s="1"/>
  <c r="AM442" i="1" a="1"/>
  <c r="AM442" i="1" s="1"/>
  <c r="AM516" i="1" a="1"/>
  <c r="AM516" i="1" s="1"/>
  <c r="AM595" i="1" a="1"/>
  <c r="AM595" i="1" s="1"/>
  <c r="AO71" i="1"/>
  <c r="AO163" i="1"/>
  <c r="AO242" i="1"/>
  <c r="AO331" i="1"/>
  <c r="AO416" i="1"/>
  <c r="AM45" i="1" a="1"/>
  <c r="AM45" i="1" s="1"/>
  <c r="AM112" i="1" a="1"/>
  <c r="AM112" i="1" s="1"/>
  <c r="AM197" i="1" a="1"/>
  <c r="AM197" i="1" s="1"/>
  <c r="AM273" i="1" a="1"/>
  <c r="AM273" i="1" s="1"/>
  <c r="AM351" i="1" a="1"/>
  <c r="AM351" i="1" s="1"/>
  <c r="AM444" i="1" a="1"/>
  <c r="AM444" i="1" s="1"/>
  <c r="AM519" i="1" a="1"/>
  <c r="AM519" i="1" s="1"/>
  <c r="AM597" i="1" a="1"/>
  <c r="AM597" i="1" s="1"/>
  <c r="AP277" i="1"/>
  <c r="AO76" i="1"/>
  <c r="AM202" i="1" a="1"/>
  <c r="AM202" i="1" s="1"/>
  <c r="AM526" i="1" a="1"/>
  <c r="AM526" i="1" s="1"/>
  <c r="AO166" i="1"/>
  <c r="AO245" i="1"/>
  <c r="AO332" i="1"/>
  <c r="AO417" i="1"/>
  <c r="AM47" i="1" a="1"/>
  <c r="AM47" i="1" s="1"/>
  <c r="AM120" i="1" a="1"/>
  <c r="AM120" i="1" s="1"/>
  <c r="AM278" i="1" a="1"/>
  <c r="AM278" i="1" s="1"/>
  <c r="AM362" i="1" a="1"/>
  <c r="AM362" i="1" s="1"/>
  <c r="AM445" i="1" a="1"/>
  <c r="AM445" i="1" s="1"/>
  <c r="AM599" i="1" a="1"/>
  <c r="AM599" i="1" s="1"/>
  <c r="AO79" i="1"/>
  <c r="AO174" i="1"/>
  <c r="AO252" i="1"/>
  <c r="AO333" i="1"/>
  <c r="AO424" i="1"/>
  <c r="AM48" i="1" a="1"/>
  <c r="AM48" i="1" s="1"/>
  <c r="AM121" i="1" a="1"/>
  <c r="AM121" i="1" s="1"/>
  <c r="AM203" i="1" a="1"/>
  <c r="AM203" i="1" s="1"/>
  <c r="AM280" i="1" a="1"/>
  <c r="AM280" i="1" s="1"/>
  <c r="AM370" i="1" a="1"/>
  <c r="AM370" i="1" s="1"/>
  <c r="AM449" i="1" a="1"/>
  <c r="AM449" i="1" s="1"/>
  <c r="AM531" i="1" a="1"/>
  <c r="AM531" i="1" s="1"/>
  <c r="AM600" i="1" a="1"/>
  <c r="AM600" i="1" s="1"/>
  <c r="AP141" i="1"/>
  <c r="AP367" i="1"/>
  <c r="AO81" i="1"/>
  <c r="AO176" i="1"/>
  <c r="AO254" i="1"/>
  <c r="AO338" i="1"/>
  <c r="AO428" i="1"/>
  <c r="AM49" i="1" a="1"/>
  <c r="AM49" i="1" s="1"/>
  <c r="AM123" i="1" a="1"/>
  <c r="AM123" i="1" s="1"/>
  <c r="AM204" i="1" a="1"/>
  <c r="AM204" i="1" s="1"/>
  <c r="AM282" i="1" a="1"/>
  <c r="AM282" i="1" s="1"/>
  <c r="AM373" i="1" a="1"/>
  <c r="AM373" i="1" s="1"/>
  <c r="AM458" i="1" a="1"/>
  <c r="AM458" i="1" s="1"/>
  <c r="AM532" i="1" a="1"/>
  <c r="AM532" i="1" s="1"/>
  <c r="AM602" i="1" a="1"/>
  <c r="AM602" i="1" s="1"/>
  <c r="AP616" i="1"/>
  <c r="AP463" i="1"/>
  <c r="AP366" i="1"/>
  <c r="AO82" i="1"/>
  <c r="AO178" i="1"/>
  <c r="AO256" i="1"/>
  <c r="AO348" i="1"/>
  <c r="AO429" i="1"/>
  <c r="AM51" i="1" a="1"/>
  <c r="AM51" i="1" s="1"/>
  <c r="AM127" i="1" a="1"/>
  <c r="AM127" i="1" s="1"/>
  <c r="AM207" i="1" a="1"/>
  <c r="AM207" i="1" s="1"/>
  <c r="AM284" i="1" a="1"/>
  <c r="AM284" i="1" s="1"/>
  <c r="AM376" i="1" a="1"/>
  <c r="AM376" i="1" s="1"/>
  <c r="AM459" i="1" a="1"/>
  <c r="AM459" i="1" s="1"/>
  <c r="AM533" i="1" a="1"/>
  <c r="AM533" i="1" s="1"/>
  <c r="AM604" i="1" a="1"/>
  <c r="AM604" i="1" s="1"/>
  <c r="AP462" i="1"/>
  <c r="AP410" i="1"/>
  <c r="AP364" i="1"/>
  <c r="AM213" i="1" a="1"/>
  <c r="AM213" i="1" s="1"/>
  <c r="AO3" i="1"/>
  <c r="AO91" i="1"/>
  <c r="AO179" i="1"/>
  <c r="AO261" i="1"/>
  <c r="AO349" i="1"/>
  <c r="AO431" i="1"/>
  <c r="AM52" i="1" a="1"/>
  <c r="AM52" i="1" s="1"/>
  <c r="AM132" i="1" a="1"/>
  <c r="AM132" i="1" s="1"/>
  <c r="AM285" i="1" a="1"/>
  <c r="AM285" i="1" s="1"/>
  <c r="AM378" i="1" a="1"/>
  <c r="AM378" i="1" s="1"/>
  <c r="AM464" i="1" a="1"/>
  <c r="AM464" i="1" s="1"/>
  <c r="AM534" i="1" a="1"/>
  <c r="AM534" i="1" s="1"/>
  <c r="AM606" i="1" a="1"/>
  <c r="AM606" i="1" s="1"/>
  <c r="AP200" i="1"/>
  <c r="AP363" i="1"/>
  <c r="AO180" i="1"/>
  <c r="AO267" i="1"/>
  <c r="AO353" i="1"/>
  <c r="AO441" i="1"/>
  <c r="AM55" i="1" a="1"/>
  <c r="AM55" i="1" s="1"/>
  <c r="AM135" i="1" a="1"/>
  <c r="AM135" i="1" s="1"/>
  <c r="AM215" i="1" a="1"/>
  <c r="AM215" i="1" s="1"/>
  <c r="AM286" i="1" a="1"/>
  <c r="AM286" i="1" s="1"/>
  <c r="AM381" i="1" a="1"/>
  <c r="AM381" i="1" s="1"/>
  <c r="AM469" i="1" a="1"/>
  <c r="AM469" i="1" s="1"/>
  <c r="AM536" i="1" a="1"/>
  <c r="AM536" i="1" s="1"/>
  <c r="AM610" i="1" a="1"/>
  <c r="AM610" i="1" s="1"/>
  <c r="AO4" i="1"/>
  <c r="AO92" i="1"/>
  <c r="AO324" i="1"/>
  <c r="AM436" i="1" a="1"/>
  <c r="AM436" i="1" s="1"/>
  <c r="AM421" i="1" a="1"/>
  <c r="AM421" i="1" s="1"/>
  <c r="AO521" i="1"/>
  <c r="AP332" i="1"/>
  <c r="AP590" i="1"/>
  <c r="AP637" i="1"/>
  <c r="AP115" i="1"/>
  <c r="AP1651" i="1"/>
  <c r="AP117" i="1"/>
  <c r="AP1638" i="1"/>
  <c r="AP1640" i="1"/>
  <c r="AP455" i="1"/>
  <c r="AP25" i="1"/>
  <c r="AP548" i="1"/>
  <c r="AP76" i="1"/>
  <c r="AP370" i="1"/>
  <c r="AP540" i="1"/>
  <c r="AP280" i="1"/>
  <c r="AP168" i="1"/>
  <c r="AP173" i="1"/>
  <c r="AM352" i="1" a="1"/>
  <c r="AM352" i="1" s="1"/>
  <c r="AP486" i="1"/>
  <c r="AP502" i="1"/>
  <c r="AP578" i="1"/>
  <c r="AP625" i="1"/>
  <c r="AP596" i="1"/>
  <c r="AP103" i="1"/>
  <c r="AP1643" i="1"/>
  <c r="AO143" i="1"/>
  <c r="AM324" i="1" a="1"/>
  <c r="AM324" i="1" s="1"/>
  <c r="AM521" i="1" a="1"/>
  <c r="AM521" i="1" s="1"/>
  <c r="AO522" i="1"/>
  <c r="AP484" i="1"/>
  <c r="AP169" i="1"/>
  <c r="AP556" i="1"/>
  <c r="AP172" i="1"/>
  <c r="AP1639" i="1"/>
  <c r="AP551" i="1"/>
  <c r="AP601" i="1"/>
  <c r="AP571" i="1"/>
  <c r="AP594" i="1"/>
  <c r="AP49" i="1"/>
  <c r="AP525" i="1"/>
  <c r="AP1584" i="1"/>
  <c r="AP570" i="1"/>
  <c r="AP206" i="1"/>
  <c r="AM369" i="1" a="1"/>
  <c r="AM369" i="1" s="1"/>
  <c r="AO559" i="1"/>
  <c r="AP310" i="1"/>
  <c r="AP57" i="1"/>
  <c r="AP1572" i="1"/>
  <c r="AP1645" i="1"/>
  <c r="AP1636" i="1"/>
  <c r="AP1581" i="1"/>
  <c r="AP524" i="1"/>
  <c r="AP155" i="1"/>
  <c r="AP514" i="1"/>
  <c r="AP312" i="1"/>
  <c r="AP397" i="1"/>
  <c r="AP236" i="1"/>
  <c r="AP113" i="1"/>
  <c r="AM187" i="1" a="1"/>
  <c r="AM187" i="1" s="1"/>
  <c r="AO572" i="1"/>
  <c r="AP1614" i="1"/>
  <c r="AP81" i="1"/>
  <c r="AP609" i="1"/>
  <c r="AP561" i="1"/>
  <c r="AP295" i="1"/>
  <c r="AP480" i="1"/>
  <c r="AP443" i="1"/>
  <c r="AP1606" i="1"/>
  <c r="AP527" i="1"/>
  <c r="AP180" i="1"/>
  <c r="AP88" i="1"/>
  <c r="AP445" i="1"/>
  <c r="AP61" i="1"/>
  <c r="AP301" i="1"/>
  <c r="AP353" i="1"/>
  <c r="AP384" i="1"/>
  <c r="AO144" i="1"/>
  <c r="AM559" i="1" a="1"/>
  <c r="AM559" i="1" s="1"/>
  <c r="AO586" i="1"/>
  <c r="AP589" i="1"/>
  <c r="AP1575" i="1"/>
  <c r="AP1633" i="1"/>
  <c r="AP321" i="1"/>
  <c r="AP1603" i="1"/>
  <c r="AP629" i="1"/>
  <c r="AP118" i="1"/>
  <c r="AP122" i="1"/>
  <c r="AP50" i="1"/>
  <c r="AP498" i="1"/>
  <c r="AP308" i="1"/>
  <c r="AP106" i="1"/>
  <c r="AP89" i="1"/>
  <c r="AO297" i="1"/>
  <c r="AM300" i="1" a="1"/>
  <c r="AM300" i="1" s="1"/>
  <c r="AO1514" i="1"/>
  <c r="AP1629" i="1"/>
  <c r="AP1611" i="1"/>
  <c r="AP1591" i="1"/>
  <c r="AP211" i="1"/>
  <c r="AP536" i="1"/>
  <c r="AP1580" i="1"/>
  <c r="AP494" i="1"/>
  <c r="AP492" i="1"/>
  <c r="AP152" i="1"/>
  <c r="AP473" i="1"/>
  <c r="AP74" i="1"/>
  <c r="AP335" i="1"/>
  <c r="AP128" i="1"/>
  <c r="AP218" i="1"/>
  <c r="AP212" i="1"/>
  <c r="AP21" i="1"/>
  <c r="AP34" i="1"/>
  <c r="AO156" i="1"/>
  <c r="AM447" i="1" a="1"/>
  <c r="AM447" i="1" s="1"/>
  <c r="AO1604" i="1"/>
  <c r="AP235" i="1"/>
  <c r="AP1573" i="1"/>
  <c r="AP563" i="1"/>
  <c r="AP636" i="1"/>
  <c r="AP1624" i="1"/>
  <c r="AP605" i="1"/>
  <c r="AP223" i="1"/>
  <c r="AP177" i="1"/>
  <c r="AP195" i="1"/>
  <c r="AP112" i="1"/>
  <c r="AP130" i="1"/>
  <c r="AP303" i="1"/>
  <c r="AP138" i="1"/>
  <c r="AO495" i="1"/>
  <c r="AP374" i="1"/>
  <c r="AO354" i="1"/>
  <c r="AM435" i="1" a="1"/>
  <c r="AM435" i="1" s="1"/>
  <c r="AP1615" i="1"/>
  <c r="AP1585" i="1"/>
  <c r="AP464" i="1"/>
  <c r="AP259" i="1"/>
  <c r="AP1620" i="1"/>
  <c r="AP510" i="1"/>
  <c r="AP1598" i="1"/>
  <c r="AP247" i="1"/>
  <c r="AP22" i="1"/>
  <c r="AP95" i="1"/>
  <c r="AP475" i="1"/>
  <c r="AP203" i="1"/>
  <c r="AP393" i="1"/>
  <c r="AP171" i="1"/>
  <c r="AP291" i="1"/>
  <c r="AP442" i="1"/>
  <c r="AP242" i="1"/>
  <c r="AP337" i="1"/>
  <c r="AO182" i="1"/>
  <c r="AO334" i="1"/>
  <c r="AP287" i="1"/>
  <c r="AP538" i="1"/>
  <c r="AP458" i="1"/>
  <c r="AP558" i="1"/>
  <c r="AP1596" i="1"/>
  <c r="AP632" i="1"/>
  <c r="AP67" i="1"/>
  <c r="AP581" i="1"/>
  <c r="AP272" i="1"/>
  <c r="AP46" i="1"/>
  <c r="AP227" i="1"/>
  <c r="AP99" i="1"/>
  <c r="AP153" i="1"/>
  <c r="AP51" i="1"/>
  <c r="AP341" i="1"/>
  <c r="AP356" i="1"/>
  <c r="M37" i="34"/>
  <c r="M24" i="34"/>
  <c r="O12" i="34"/>
  <c r="M17" i="34"/>
  <c r="M36" i="34"/>
  <c r="O31" i="34"/>
  <c r="M22" i="34"/>
  <c r="J238" i="29"/>
  <c r="J237" i="29"/>
  <c r="J234" i="29"/>
  <c r="J236" i="29"/>
  <c r="J233" i="29"/>
  <c r="J235" i="29"/>
  <c r="J232" i="29"/>
  <c r="J231" i="29"/>
  <c r="J230" i="29"/>
  <c r="K230" i="29" s="1"/>
  <c r="K229" i="29"/>
  <c r="J227" i="29"/>
  <c r="J226" i="29"/>
  <c r="J225" i="29"/>
  <c r="O180" i="30" s="1"/>
  <c r="M35" i="34"/>
  <c r="M5" i="34"/>
  <c r="J220" i="29"/>
  <c r="J221" i="29"/>
  <c r="J223" i="29"/>
  <c r="J222" i="29"/>
  <c r="J224" i="29"/>
  <c r="J219" i="29"/>
  <c r="O174" i="30" s="1"/>
  <c r="J218" i="29"/>
  <c r="M8" i="34"/>
  <c r="O29" i="34"/>
  <c r="O11" i="34"/>
  <c r="M42" i="34"/>
  <c r="O32" i="34"/>
  <c r="M9" i="34"/>
  <c r="O9" i="34"/>
  <c r="M33" i="34"/>
  <c r="O33" i="34"/>
  <c r="M16" i="34"/>
  <c r="J216" i="29"/>
  <c r="O171" i="30" s="1"/>
  <c r="J217" i="29"/>
  <c r="O172" i="30" s="1"/>
  <c r="J215" i="29"/>
  <c r="O170" i="30" s="1"/>
  <c r="J214" i="29"/>
  <c r="O169" i="30" s="1"/>
  <c r="J213" i="29"/>
  <c r="O168" i="30" s="1"/>
  <c r="J212" i="29"/>
  <c r="J211" i="29"/>
  <c r="O166" i="30" s="1"/>
  <c r="J210" i="29"/>
  <c r="O165" i="30" s="1"/>
  <c r="J208" i="29"/>
  <c r="J209" i="29"/>
  <c r="O164" i="30" s="1"/>
  <c r="J207" i="29"/>
  <c r="O162" i="30" s="1"/>
  <c r="J205" i="29"/>
  <c r="O160" i="30" s="1"/>
  <c r="J206" i="29"/>
  <c r="O161" i="30" s="1"/>
  <c r="J204" i="29"/>
  <c r="O159" i="30" s="1"/>
  <c r="J203" i="29"/>
  <c r="O158" i="30" s="1"/>
  <c r="J202" i="29"/>
  <c r="O157" i="30" s="1"/>
  <c r="J201" i="29"/>
  <c r="O156" i="30" s="1"/>
  <c r="J199" i="29"/>
  <c r="J200" i="29"/>
  <c r="O155" i="30" s="1"/>
  <c r="J198" i="29"/>
  <c r="O153" i="30" s="1"/>
  <c r="J197" i="29"/>
  <c r="O152" i="30" s="1"/>
  <c r="J196" i="29"/>
  <c r="O151" i="30" s="1"/>
  <c r="J195" i="29"/>
  <c r="O150" i="30" s="1"/>
  <c r="N7" i="7"/>
  <c r="J194" i="29"/>
  <c r="M4" i="34"/>
  <c r="O4" i="34"/>
  <c r="M7" i="34"/>
  <c r="O7" i="34"/>
  <c r="O19" i="34"/>
  <c r="O23" i="34"/>
  <c r="M23" i="34"/>
  <c r="O26" i="34"/>
  <c r="M26" i="34"/>
  <c r="M7" i="7"/>
  <c r="M8" i="7" s="1"/>
  <c r="E4" i="25" a="1"/>
  <c r="E4" i="25" s="1"/>
  <c r="J115" i="29"/>
  <c r="J182" i="29"/>
  <c r="J17" i="29"/>
  <c r="K17" i="29" s="1"/>
  <c r="J151" i="29"/>
  <c r="J128" i="29"/>
  <c r="J156" i="29"/>
  <c r="J78" i="29"/>
  <c r="J67" i="29"/>
  <c r="J130" i="29"/>
  <c r="J181" i="29"/>
  <c r="J168" i="29"/>
  <c r="J38" i="29"/>
  <c r="K38" i="29" s="1"/>
  <c r="J106" i="29"/>
  <c r="J100" i="29"/>
  <c r="J175" i="29"/>
  <c r="J109" i="29"/>
  <c r="J75" i="29"/>
  <c r="J169" i="29"/>
  <c r="J13" i="29"/>
  <c r="K13" i="29" s="1"/>
  <c r="E5" i="25" a="1"/>
  <c r="E5" i="25" s="1"/>
  <c r="J144" i="29"/>
  <c r="O99" i="30" s="1"/>
  <c r="J124" i="29"/>
  <c r="O79" i="30" s="1"/>
  <c r="J135" i="29"/>
  <c r="O90" i="30" s="1"/>
  <c r="J45" i="29"/>
  <c r="K45" i="29" s="1"/>
  <c r="J186" i="29"/>
  <c r="O141" i="30" s="1"/>
  <c r="J118" i="29"/>
  <c r="O73" i="30" s="1"/>
  <c r="J179" i="29"/>
  <c r="O134" i="30" s="1"/>
  <c r="J163" i="29"/>
  <c r="O118" i="30" s="1"/>
  <c r="J96" i="29"/>
  <c r="O51" i="30" s="1"/>
  <c r="J77" i="29"/>
  <c r="O32" i="30" s="1"/>
  <c r="J110" i="29"/>
  <c r="O65" i="30" s="1"/>
  <c r="J65" i="29"/>
  <c r="O20" i="30" s="1"/>
  <c r="J105" i="29"/>
  <c r="O61" i="30" s="1"/>
  <c r="J56" i="29"/>
  <c r="O11" i="30" s="1"/>
  <c r="J161" i="29"/>
  <c r="O116" i="30" s="1"/>
  <c r="J36" i="29"/>
  <c r="K36" i="29" s="1"/>
  <c r="J2" i="29"/>
  <c r="H4" i="25" a="1"/>
  <c r="H4" i="25" s="1"/>
  <c r="J126" i="29"/>
  <c r="O81" i="30" s="1"/>
  <c r="J112" i="29"/>
  <c r="O67" i="30" s="1"/>
  <c r="J120" i="29"/>
  <c r="O75" i="30" s="1"/>
  <c r="J58" i="29"/>
  <c r="O13" i="30" s="1"/>
  <c r="J191" i="29"/>
  <c r="O146" i="30" s="1"/>
  <c r="J132" i="29"/>
  <c r="O87" i="30" s="1"/>
  <c r="J183" i="29"/>
  <c r="O138" i="30" s="1"/>
  <c r="J158" i="29"/>
  <c r="O113" i="30" s="1"/>
  <c r="J53" i="29"/>
  <c r="O8" i="30" s="1"/>
  <c r="J188" i="29"/>
  <c r="O143" i="30" s="1"/>
  <c r="J101" i="29"/>
  <c r="O56" i="30" s="1"/>
  <c r="J79" i="29"/>
  <c r="O34" i="30" s="1"/>
  <c r="J177" i="29"/>
  <c r="O132" i="30" s="1"/>
  <c r="J97" i="29"/>
  <c r="O52" i="30" s="1"/>
  <c r="J23" i="29"/>
  <c r="K23" i="29" s="1"/>
  <c r="J152" i="29"/>
  <c r="O107" i="30" s="1"/>
  <c r="J37" i="29"/>
  <c r="K37" i="29" s="1"/>
  <c r="J9" i="29"/>
  <c r="K9" i="29" s="1"/>
  <c r="J122" i="29"/>
  <c r="O77" i="30" s="1"/>
  <c r="J99" i="29"/>
  <c r="O54" i="30" s="1"/>
  <c r="J111" i="29"/>
  <c r="O66" i="30" s="1"/>
  <c r="J12" i="29"/>
  <c r="K12" i="29" s="1"/>
  <c r="J30" i="29"/>
  <c r="K30" i="29" s="1"/>
  <c r="J134" i="29"/>
  <c r="O89" i="30" s="1"/>
  <c r="J187" i="29"/>
  <c r="O142" i="30" s="1"/>
  <c r="J142" i="29"/>
  <c r="O97" i="30" s="1"/>
  <c r="J73" i="29"/>
  <c r="O28" i="30" s="1"/>
  <c r="J162" i="29"/>
  <c r="O117" i="30" s="1"/>
  <c r="J93" i="29"/>
  <c r="O48" i="30" s="1"/>
  <c r="J26" i="29"/>
  <c r="K26" i="29" s="1"/>
  <c r="J172" i="29"/>
  <c r="O127" i="30" s="1"/>
  <c r="J66" i="29"/>
  <c r="O21" i="30" s="1"/>
  <c r="J11" i="29"/>
  <c r="K11" i="29" s="1"/>
  <c r="J149" i="29"/>
  <c r="O104" i="30" s="1"/>
  <c r="J60" i="29"/>
  <c r="O15" i="30" s="1"/>
  <c r="J5" i="29"/>
  <c r="K5" i="29" s="1"/>
  <c r="H5" i="25" a="1"/>
  <c r="H5" i="25" s="1"/>
  <c r="H3" i="25" a="1"/>
  <c r="H3" i="25" s="1"/>
  <c r="I18" i="25" s="1"/>
  <c r="J108" i="29"/>
  <c r="O63" i="30" s="1"/>
  <c r="J84" i="29"/>
  <c r="O39" i="30" s="1"/>
  <c r="J94" i="29"/>
  <c r="O49" i="30" s="1"/>
  <c r="J24" i="29"/>
  <c r="K24" i="29" s="1"/>
  <c r="J63" i="29"/>
  <c r="O18" i="30" s="1"/>
  <c r="J138" i="29"/>
  <c r="O93" i="30" s="1"/>
  <c r="J193" i="29"/>
  <c r="O148" i="30" s="1"/>
  <c r="J140" i="29"/>
  <c r="O95" i="30" s="1"/>
  <c r="J42" i="29"/>
  <c r="K42" i="29" s="1"/>
  <c r="J153" i="29"/>
  <c r="O108" i="30" s="1"/>
  <c r="J89" i="29"/>
  <c r="O44" i="30" s="1"/>
  <c r="J39" i="29"/>
  <c r="K39" i="29" s="1"/>
  <c r="J157" i="29"/>
  <c r="O112" i="30" s="1"/>
  <c r="J88" i="29"/>
  <c r="O43" i="30" s="1"/>
  <c r="J145" i="29"/>
  <c r="O100" i="30" s="1"/>
  <c r="J31" i="29"/>
  <c r="K31" i="29" s="1"/>
  <c r="F5" i="25" a="1"/>
  <c r="F5" i="25" s="1"/>
  <c r="F4" i="25" a="1"/>
  <c r="F4" i="25" s="1"/>
  <c r="J104" i="29"/>
  <c r="O59" i="30" s="1"/>
  <c r="J98" i="29"/>
  <c r="O53" i="30" s="1"/>
  <c r="J91" i="29"/>
  <c r="O46" i="30" s="1"/>
  <c r="J16" i="29"/>
  <c r="K16" i="29" s="1"/>
  <c r="J46" i="29"/>
  <c r="K46" i="29" s="1"/>
  <c r="J72" i="29"/>
  <c r="O27" i="30" s="1"/>
  <c r="J71" i="29"/>
  <c r="O26" i="30" s="1"/>
  <c r="J192" i="29"/>
  <c r="O147" i="30" s="1"/>
  <c r="J185" i="29"/>
  <c r="O140" i="30" s="1"/>
  <c r="J69" i="29"/>
  <c r="O24" i="30" s="1"/>
  <c r="J83" i="29"/>
  <c r="O38" i="30" s="1"/>
  <c r="J50" i="29"/>
  <c r="O5" i="30" s="1"/>
  <c r="J33" i="29"/>
  <c r="K33" i="29" s="1"/>
  <c r="J43" i="29"/>
  <c r="K43" i="29" s="1"/>
  <c r="J164" i="29"/>
  <c r="O119" i="30" s="1"/>
  <c r="J107" i="29"/>
  <c r="O62" i="30" s="1"/>
  <c r="J76" i="29"/>
  <c r="O31" i="30" s="1"/>
  <c r="J20" i="29"/>
  <c r="K20" i="29" s="1"/>
  <c r="J55" i="29"/>
  <c r="O10" i="30" s="1"/>
  <c r="J3" i="29"/>
  <c r="K3" i="29" s="1"/>
  <c r="J8" i="29"/>
  <c r="K8" i="29" s="1"/>
  <c r="J59" i="29"/>
  <c r="O14" i="30" s="1"/>
  <c r="J155" i="29"/>
  <c r="O110" i="30" s="1"/>
  <c r="J141" i="29"/>
  <c r="O96" i="30" s="1"/>
  <c r="J103" i="29"/>
  <c r="O58" i="30" s="1"/>
  <c r="J25" i="29"/>
  <c r="K25" i="29" s="1"/>
  <c r="J74" i="29"/>
  <c r="O29" i="30" s="1"/>
  <c r="J10" i="29"/>
  <c r="K10" i="29" s="1"/>
  <c r="J49" i="29"/>
  <c r="O4" i="30" s="1"/>
  <c r="J82" i="29"/>
  <c r="O37" i="30" s="1"/>
  <c r="J34" i="29"/>
  <c r="K34" i="29" s="1"/>
  <c r="J14" i="29"/>
  <c r="K14" i="29" s="1"/>
  <c r="J81" i="29"/>
  <c r="O36" i="30" s="1"/>
  <c r="J180" i="29"/>
  <c r="O135" i="30" s="1"/>
  <c r="J147" i="29"/>
  <c r="O102" i="30" s="1"/>
  <c r="J95" i="29"/>
  <c r="O50" i="30" s="1"/>
  <c r="J29" i="29"/>
  <c r="K29" i="29" s="1"/>
  <c r="J18" i="29"/>
  <c r="K18" i="29" s="1"/>
  <c r="J51" i="29"/>
  <c r="O6" i="30" s="1"/>
  <c r="J143" i="29"/>
  <c r="O98" i="30" s="1"/>
  <c r="J116" i="29"/>
  <c r="O71" i="30" s="1"/>
  <c r="J85" i="29"/>
  <c r="O40" i="30" s="1"/>
  <c r="J47" i="29"/>
  <c r="K47" i="29" s="1"/>
  <c r="J44" i="29"/>
  <c r="K44" i="29" s="1"/>
  <c r="J166" i="29"/>
  <c r="O121" i="30" s="1"/>
  <c r="J121" i="29"/>
  <c r="O76" i="30" s="1"/>
  <c r="J41" i="29"/>
  <c r="K41" i="29" s="1"/>
  <c r="J6" i="29"/>
  <c r="K6" i="29" s="1"/>
  <c r="J32" i="29"/>
  <c r="K32" i="29" s="1"/>
  <c r="J54" i="29"/>
  <c r="O9" i="30" s="1"/>
  <c r="J160" i="29"/>
  <c r="O115" i="30" s="1"/>
  <c r="J52" i="29"/>
  <c r="O7" i="30" s="1"/>
  <c r="J190" i="29"/>
  <c r="O145" i="30" s="1"/>
  <c r="J90" i="29"/>
  <c r="O45" i="30" s="1"/>
  <c r="J165" i="29"/>
  <c r="O120" i="30" s="1"/>
  <c r="J48" i="29"/>
  <c r="O3" i="30" s="1"/>
  <c r="J148" i="29"/>
  <c r="O103" i="30" s="1"/>
  <c r="J189" i="29"/>
  <c r="O144" i="30" s="1"/>
  <c r="J139" i="29"/>
  <c r="O94" i="30" s="1"/>
  <c r="J57" i="29"/>
  <c r="O12" i="30" s="1"/>
  <c r="J150" i="29"/>
  <c r="O105" i="30" s="1"/>
  <c r="J64" i="29"/>
  <c r="O19" i="30" s="1"/>
  <c r="J40" i="29"/>
  <c r="K40" i="29" s="1"/>
  <c r="J125" i="29"/>
  <c r="O80" i="30" s="1"/>
  <c r="J22" i="29"/>
  <c r="K22" i="29" s="1"/>
  <c r="J137" i="29"/>
  <c r="O92" i="30" s="1"/>
  <c r="J87" i="29"/>
  <c r="O42" i="30" s="1"/>
  <c r="J117" i="29"/>
  <c r="O72" i="30" s="1"/>
  <c r="E3" i="25" a="1"/>
  <c r="E3" i="25" s="1"/>
  <c r="F18" i="25" s="1"/>
  <c r="J173" i="29"/>
  <c r="O128" i="30" s="1"/>
  <c r="J136" i="29"/>
  <c r="O91" i="30" s="1"/>
  <c r="J21" i="29"/>
  <c r="K21" i="29" s="1"/>
  <c r="J159" i="29"/>
  <c r="O114" i="30" s="1"/>
  <c r="J80" i="29"/>
  <c r="O35" i="30" s="1"/>
  <c r="J174" i="29"/>
  <c r="O129" i="30" s="1"/>
  <c r="J92" i="29"/>
  <c r="O47" i="30" s="1"/>
  <c r="J170" i="29"/>
  <c r="O125" i="30" s="1"/>
  <c r="J184" i="29"/>
  <c r="O139" i="30" s="1"/>
  <c r="J127" i="29"/>
  <c r="O82" i="30" s="1"/>
  <c r="J70" i="29"/>
  <c r="O25" i="30" s="1"/>
  <c r="J146" i="29"/>
  <c r="O101" i="30" s="1"/>
  <c r="J15" i="29"/>
  <c r="K15" i="29" s="1"/>
  <c r="J35" i="29"/>
  <c r="K35" i="29" s="1"/>
  <c r="J119" i="29"/>
  <c r="O74" i="30" s="1"/>
  <c r="J7" i="29"/>
  <c r="K7" i="29" s="1"/>
  <c r="J129" i="29"/>
  <c r="O84" i="30" s="1"/>
  <c r="J19" i="29"/>
  <c r="K19" i="29" s="1"/>
  <c r="F3" i="25" a="1"/>
  <c r="F3" i="25" s="1"/>
  <c r="J167" i="29"/>
  <c r="O122" i="30" s="1"/>
  <c r="J133" i="29"/>
  <c r="O88" i="30" s="1"/>
  <c r="J61" i="29"/>
  <c r="O16" i="30" s="1"/>
  <c r="J154" i="29"/>
  <c r="O109" i="30" s="1"/>
  <c r="J62" i="29"/>
  <c r="O17" i="30" s="1"/>
  <c r="J178" i="29"/>
  <c r="O133" i="30" s="1"/>
  <c r="J102" i="29"/>
  <c r="O57" i="30" s="1"/>
  <c r="J171" i="29"/>
  <c r="O126" i="30" s="1"/>
  <c r="J176" i="29"/>
  <c r="O131" i="30" s="1"/>
  <c r="J123" i="29"/>
  <c r="O78" i="30" s="1"/>
  <c r="J4" i="29"/>
  <c r="K4" i="29" s="1"/>
  <c r="J131" i="29"/>
  <c r="O86" i="30" s="1"/>
  <c r="J27" i="29"/>
  <c r="K27" i="29" s="1"/>
  <c r="J86" i="29"/>
  <c r="O41" i="30" s="1"/>
  <c r="J114" i="29"/>
  <c r="O69" i="30" s="1"/>
  <c r="J28" i="29"/>
  <c r="K28" i="29" s="1"/>
  <c r="J113" i="29"/>
  <c r="O68" i="30" s="1"/>
  <c r="J68" i="29"/>
  <c r="O23" i="30" s="1"/>
  <c r="AQ1886" i="1" l="1"/>
  <c r="AQ2120" i="1"/>
  <c r="AQ1861" i="1"/>
  <c r="AQ1894" i="1"/>
  <c r="AQ2061" i="1"/>
  <c r="AQ1887" i="1"/>
  <c r="AQ1858" i="1"/>
  <c r="AP1855" i="1"/>
  <c r="AQ2091" i="1"/>
  <c r="AQ1830" i="1"/>
  <c r="AP1729" i="1"/>
  <c r="AQ1729" i="1" s="1"/>
  <c r="AP1769" i="1"/>
  <c r="AP1854" i="1"/>
  <c r="AQ1854" i="1" s="1"/>
  <c r="AQ1900" i="1"/>
  <c r="AP1106" i="1"/>
  <c r="AQ1932" i="1"/>
  <c r="AP1773" i="1"/>
  <c r="AQ1773" i="1" s="1"/>
  <c r="AP1749" i="1"/>
  <c r="AP720" i="1"/>
  <c r="AP1706" i="1"/>
  <c r="AP1599" i="1"/>
  <c r="AP1618" i="1"/>
  <c r="AP1853" i="1"/>
  <c r="AQ1853" i="1" s="1"/>
  <c r="AP1746" i="1"/>
  <c r="AQ1746" i="1" s="1"/>
  <c r="AP1722" i="1"/>
  <c r="AQ1722" i="1" s="1"/>
  <c r="AP1850" i="1"/>
  <c r="AQ1850" i="1" s="1"/>
  <c r="AP1049" i="1"/>
  <c r="AP1630" i="1"/>
  <c r="AP708" i="1"/>
  <c r="AP234" i="1"/>
  <c r="AP1852" i="1"/>
  <c r="AQ1852" i="1" s="1"/>
  <c r="AP1829" i="1"/>
  <c r="AP814" i="1"/>
  <c r="AP1622" i="1"/>
  <c r="AP98" i="1"/>
  <c r="AP1849" i="1"/>
  <c r="AQ1849" i="1" s="1"/>
  <c r="AP489" i="1"/>
  <c r="AP100" i="1"/>
  <c r="AP724" i="1"/>
  <c r="AP1047" i="1"/>
  <c r="AP1720" i="1"/>
  <c r="AP656" i="1"/>
  <c r="AP1791" i="1"/>
  <c r="AP1657" i="1"/>
  <c r="AP79" i="1"/>
  <c r="AP599" i="1"/>
  <c r="AP562" i="1"/>
  <c r="AP417" i="1"/>
  <c r="AP414" i="1"/>
  <c r="AP162" i="1"/>
  <c r="AP217" i="1"/>
  <c r="AP573" i="1"/>
  <c r="AP254" i="1"/>
  <c r="AP16" i="1"/>
  <c r="AP1566" i="1"/>
  <c r="AP281" i="1"/>
  <c r="AP204" i="1"/>
  <c r="AP24" i="1"/>
  <c r="AP400" i="1"/>
  <c r="AP1802" i="1"/>
  <c r="AP1682" i="1"/>
  <c r="AP972" i="1"/>
  <c r="AP1078" i="1"/>
  <c r="AP740" i="1"/>
  <c r="AP1238" i="1"/>
  <c r="AP663" i="1"/>
  <c r="AP1655" i="1"/>
  <c r="AP309" i="1"/>
  <c r="AP238" i="1"/>
  <c r="AP471" i="1"/>
  <c r="AP529" i="1"/>
  <c r="AP126" i="1"/>
  <c r="AP265" i="1"/>
  <c r="AP41" i="1"/>
  <c r="AP85" i="1"/>
  <c r="AP278" i="1"/>
  <c r="AP483" i="1"/>
  <c r="AP158" i="1"/>
  <c r="AP205" i="1"/>
  <c r="AP150" i="1"/>
  <c r="AP585" i="1"/>
  <c r="AP286" i="1"/>
  <c r="AP43" i="1"/>
  <c r="AP513" i="1"/>
  <c r="AP340" i="1"/>
  <c r="AP1322" i="1"/>
  <c r="AP1456" i="1"/>
  <c r="AP1340" i="1"/>
  <c r="AP1507" i="1"/>
  <c r="AP966" i="1"/>
  <c r="AP671" i="1"/>
  <c r="AP2114" i="1"/>
  <c r="AQ2114" i="1" s="1"/>
  <c r="AP676" i="1"/>
  <c r="AP960" i="1"/>
  <c r="AP68" i="1"/>
  <c r="AP1659" i="1"/>
  <c r="AP289" i="1"/>
  <c r="AP639" i="1"/>
  <c r="AP266" i="1"/>
  <c r="AP186" i="1"/>
  <c r="AP588" i="1"/>
  <c r="AP116" i="1"/>
  <c r="AP546" i="1"/>
  <c r="AP359" i="1"/>
  <c r="AP166" i="1"/>
  <c r="AP448" i="1"/>
  <c r="AP276" i="1"/>
  <c r="AP70" i="1"/>
  <c r="AP120" i="1"/>
  <c r="AP314" i="1"/>
  <c r="AP459" i="1"/>
  <c r="AP184" i="1"/>
  <c r="AP1732" i="1"/>
  <c r="AP1041" i="1"/>
  <c r="AP646" i="1"/>
  <c r="AP1132" i="1"/>
  <c r="AP651" i="1"/>
  <c r="AP1134" i="1"/>
  <c r="AP1667" i="1"/>
  <c r="AP876" i="1"/>
  <c r="AP1505" i="1"/>
  <c r="AP965" i="1"/>
  <c r="AP1697" i="1"/>
  <c r="AP2108" i="1"/>
  <c r="AQ2108" i="1" s="1"/>
  <c r="AP630" i="1"/>
  <c r="AP329" i="1"/>
  <c r="AP250" i="1"/>
  <c r="AP292" i="1"/>
  <c r="AP114" i="1"/>
  <c r="AP344" i="1"/>
  <c r="AP63" i="1"/>
  <c r="AP598" i="1"/>
  <c r="AP591" i="1"/>
  <c r="AP512" i="1"/>
  <c r="AP185" i="1"/>
  <c r="AP395" i="1"/>
  <c r="AP355" i="1"/>
  <c r="AP440" i="1"/>
  <c r="AP1708" i="1"/>
  <c r="AP897" i="1"/>
  <c r="AP1696" i="1"/>
  <c r="AP1768" i="1"/>
  <c r="AP790" i="1"/>
  <c r="AP1342" i="1"/>
  <c r="AP1116" i="1"/>
  <c r="AP457" i="1"/>
  <c r="AP260" i="1"/>
  <c r="AP476" i="1"/>
  <c r="AP446" i="1"/>
  <c r="AP612" i="1"/>
  <c r="AP38" i="1"/>
  <c r="AP164" i="1"/>
  <c r="AP58" i="1"/>
  <c r="AP306" i="1"/>
  <c r="AP595" i="1"/>
  <c r="AP165" i="1"/>
  <c r="AP399" i="1"/>
  <c r="AP48" i="1"/>
  <c r="AP91" i="1"/>
  <c r="AP675" i="1"/>
  <c r="AP1068" i="1"/>
  <c r="AP1077" i="1"/>
  <c r="AP759" i="1"/>
  <c r="AP992" i="1"/>
  <c r="AP769" i="1"/>
  <c r="AP751" i="1"/>
  <c r="AP1567" i="1"/>
  <c r="AP14" i="1"/>
  <c r="AP603" i="1"/>
  <c r="AP528" i="1"/>
  <c r="AP190" i="1"/>
  <c r="AP157" i="1"/>
  <c r="AP213" i="1"/>
  <c r="AP425" i="1"/>
  <c r="AP361" i="1"/>
  <c r="AP29" i="1"/>
  <c r="AP12" i="1"/>
  <c r="AP209" i="1"/>
  <c r="AP175" i="1"/>
  <c r="AP1568" i="1"/>
  <c r="AP78" i="1"/>
  <c r="AP1113" i="1"/>
  <c r="AP1741" i="1"/>
  <c r="AP1333" i="1"/>
  <c r="AP1131" i="1"/>
  <c r="AP560" i="1"/>
  <c r="AP412" i="1"/>
  <c r="AP20" i="1"/>
  <c r="AP628" i="1"/>
  <c r="AP237" i="1"/>
  <c r="AP197" i="1"/>
  <c r="AP541" i="1"/>
  <c r="AP146" i="1"/>
  <c r="AP390" i="1"/>
  <c r="AP121" i="1"/>
  <c r="AP107" i="1"/>
  <c r="AP246" i="1"/>
  <c r="AP1602" i="1"/>
  <c r="AP94" i="1"/>
  <c r="AP485" i="1"/>
  <c r="AP631" i="1"/>
  <c r="AP288" i="1"/>
  <c r="AP481" i="1"/>
  <c r="AP42" i="1"/>
  <c r="AP1652" i="1"/>
  <c r="AP56" i="1"/>
  <c r="AP129" i="1"/>
  <c r="AP104" i="1"/>
  <c r="AP53" i="1"/>
  <c r="AP249" i="1"/>
  <c r="AP1586" i="1"/>
  <c r="AP145" i="1"/>
  <c r="AP385" i="1"/>
  <c r="AP1574" i="1"/>
  <c r="AP1469" i="1"/>
  <c r="AP748" i="1"/>
  <c r="AP1143" i="1"/>
  <c r="AP1480" i="1"/>
  <c r="AQ1902" i="1"/>
  <c r="AQ2033" i="1"/>
  <c r="AP316" i="1"/>
  <c r="AP102" i="1"/>
  <c r="AP482" i="1"/>
  <c r="AP233" i="1"/>
  <c r="AP506" i="1"/>
  <c r="AP520" i="1"/>
  <c r="AP331" i="1"/>
  <c r="AP151" i="1"/>
  <c r="AP580" i="1"/>
  <c r="AP161" i="1"/>
  <c r="AP229" i="1"/>
  <c r="AP554" i="1"/>
  <c r="AP549" i="1"/>
  <c r="AP313" i="1"/>
  <c r="AP207" i="1"/>
  <c r="AP711" i="1"/>
  <c r="AP1486" i="1"/>
  <c r="AP893" i="1"/>
  <c r="AP1007" i="1"/>
  <c r="AP860" i="1"/>
  <c r="AP752" i="1"/>
  <c r="AP770" i="1"/>
  <c r="AP1767" i="1"/>
  <c r="AQ1767" i="1" s="1"/>
  <c r="AP1820" i="1"/>
  <c r="AP614" i="1"/>
  <c r="AP148" i="1"/>
  <c r="AP1597" i="1"/>
  <c r="AP65" i="1"/>
  <c r="AP507" i="1"/>
  <c r="AP574" i="1"/>
  <c r="AP418" i="1"/>
  <c r="AP274" i="1"/>
  <c r="AP140" i="1"/>
  <c r="AP270" i="1"/>
  <c r="AP228" i="1"/>
  <c r="AP606" i="1"/>
  <c r="AP30" i="1"/>
  <c r="AP1592" i="1"/>
  <c r="AP426" i="1"/>
  <c r="AP40" i="1"/>
  <c r="AP1676" i="1"/>
  <c r="AP1731" i="1"/>
  <c r="AP1145" i="1"/>
  <c r="AP666" i="1"/>
  <c r="AP1393" i="1"/>
  <c r="AP1803" i="1"/>
  <c r="AP832" i="1"/>
  <c r="AP1115" i="1"/>
  <c r="AP734" i="1"/>
  <c r="AP1269" i="1"/>
  <c r="AP2109" i="1"/>
  <c r="AQ2109" i="1" s="1"/>
  <c r="AP465" i="1"/>
  <c r="AP18" i="1"/>
  <c r="AP610" i="1"/>
  <c r="AP339" i="1"/>
  <c r="AP1625" i="1"/>
  <c r="AP360" i="1"/>
  <c r="AP416" i="1"/>
  <c r="AP579" i="1"/>
  <c r="AP192" i="1"/>
  <c r="AP451" i="1"/>
  <c r="AP253" i="1"/>
  <c r="AP608" i="1"/>
  <c r="AP110" i="1"/>
  <c r="AP75" i="1"/>
  <c r="AP1594" i="1"/>
  <c r="AP1660" i="1"/>
  <c r="AP379" i="1"/>
  <c r="AP323" i="1"/>
  <c r="AP241" i="1"/>
  <c r="AP258" i="1"/>
  <c r="AP523" i="1"/>
  <c r="AP311" i="1"/>
  <c r="AP504" i="1"/>
  <c r="AP191" i="1"/>
  <c r="AP257" i="1"/>
  <c r="AP305" i="1"/>
  <c r="AP1578" i="1"/>
  <c r="AP348" i="1"/>
  <c r="AP133" i="1"/>
  <c r="AP1590" i="1"/>
  <c r="AP576" i="1"/>
  <c r="AP461" i="1"/>
  <c r="AP267" i="1"/>
  <c r="AP319" i="1"/>
  <c r="AP13" i="1"/>
  <c r="AP449" i="1"/>
  <c r="AP544" i="1"/>
  <c r="AP555" i="1"/>
  <c r="AP36" i="1"/>
  <c r="AP373" i="1"/>
  <c r="AP466" i="1"/>
  <c r="AP534" i="1"/>
  <c r="AP273" i="1"/>
  <c r="AP618" i="1"/>
  <c r="AP550" i="1"/>
  <c r="AP539" i="1"/>
  <c r="AP142" i="1"/>
  <c r="AP284" i="1"/>
  <c r="AP1103" i="1"/>
  <c r="AP488" i="1"/>
  <c r="AP501" i="1"/>
  <c r="AP256" i="1"/>
  <c r="AP1605" i="1"/>
  <c r="AP587" i="1"/>
  <c r="AP92" i="1"/>
  <c r="AP509" i="1"/>
  <c r="AP427" i="1"/>
  <c r="AP1680" i="1"/>
  <c r="AP1716" i="1"/>
  <c r="AP828" i="1"/>
  <c r="AP801" i="1"/>
  <c r="AP821" i="1"/>
  <c r="AP808" i="1"/>
  <c r="AP1226" i="1"/>
  <c r="AP1364" i="1"/>
  <c r="AP803" i="1"/>
  <c r="AP1309" i="1"/>
  <c r="AP66" i="1"/>
  <c r="AP31" i="1"/>
  <c r="AP262" i="1"/>
  <c r="AP372" i="1"/>
  <c r="AP345" i="1"/>
  <c r="AP408" i="1"/>
  <c r="AP542" i="1"/>
  <c r="AP77" i="1"/>
  <c r="AP583" i="1"/>
  <c r="AP132" i="1"/>
  <c r="AP467" i="1"/>
  <c r="AP619" i="1"/>
  <c r="AP1576" i="1"/>
  <c r="AP93" i="1"/>
  <c r="AP1229" i="1"/>
  <c r="AP1072" i="1"/>
  <c r="AP17" i="1"/>
  <c r="AP362" i="1"/>
  <c r="AP1265" i="1"/>
  <c r="AP1428" i="1"/>
  <c r="AP1777" i="1"/>
  <c r="AP1014" i="1"/>
  <c r="AP924" i="1"/>
  <c r="AP841" i="1"/>
  <c r="AP680" i="1"/>
  <c r="AP1525" i="1"/>
  <c r="AP1062" i="1"/>
  <c r="AP857" i="1"/>
  <c r="AP728" i="1"/>
  <c r="AP999" i="1"/>
  <c r="AP1329" i="1"/>
  <c r="AP1813" i="1"/>
  <c r="AP830" i="1"/>
  <c r="AP1315" i="1"/>
  <c r="AP1832" i="1"/>
  <c r="AP109" i="1"/>
  <c r="AP11" i="1"/>
  <c r="AP243" i="1"/>
  <c r="AP472" i="1"/>
  <c r="AP47" i="1"/>
  <c r="AP105" i="1"/>
  <c r="AP493" i="1"/>
  <c r="AP271" i="1"/>
  <c r="AP1632" i="1"/>
  <c r="AP320" i="1"/>
  <c r="AP535" i="1"/>
  <c r="AP505" i="1"/>
  <c r="AP294" i="1"/>
  <c r="AP852" i="1"/>
  <c r="AP1770" i="1"/>
  <c r="AP1788" i="1"/>
  <c r="AP932" i="1"/>
  <c r="AP1381" i="1"/>
  <c r="AP697" i="1"/>
  <c r="AP911" i="1"/>
  <c r="AP709" i="1"/>
  <c r="AP1154" i="1"/>
  <c r="AP1085" i="1"/>
  <c r="AP1166" i="1"/>
  <c r="AP1692" i="1"/>
  <c r="AP1149" i="1"/>
  <c r="AP1419" i="1"/>
  <c r="AP1376" i="1"/>
  <c r="AP933" i="1"/>
  <c r="AP786" i="1"/>
  <c r="AP1673" i="1"/>
  <c r="AP1457" i="1"/>
  <c r="AP963" i="1"/>
  <c r="AP1512" i="1"/>
  <c r="AP1019" i="1"/>
  <c r="AP1408" i="1"/>
  <c r="AP1005" i="1"/>
  <c r="AP642" i="1"/>
  <c r="AP1256" i="1"/>
  <c r="AP1668" i="1"/>
  <c r="AP1225" i="1"/>
  <c r="AP1691" i="1"/>
  <c r="AP947" i="1"/>
  <c r="AP749" i="1"/>
  <c r="AP54" i="1"/>
  <c r="AP620" i="1"/>
  <c r="AP315" i="1"/>
  <c r="AP450" i="1"/>
  <c r="AP537" i="1"/>
  <c r="AP174" i="1"/>
  <c r="AP101" i="1"/>
  <c r="AP176" i="1"/>
  <c r="AP557" i="1"/>
  <c r="AP1616" i="1"/>
  <c r="AP597" i="1"/>
  <c r="AP474" i="1"/>
  <c r="AP39" i="1"/>
  <c r="AP487" i="1"/>
  <c r="AP147" i="1"/>
  <c r="AP1815" i="1"/>
  <c r="AP383" i="1"/>
  <c r="AP358" i="1"/>
  <c r="AP183" i="1"/>
  <c r="AP490" i="1"/>
  <c r="AP600" i="1"/>
  <c r="AP214" i="1"/>
  <c r="AP160" i="1"/>
  <c r="AP202" i="1"/>
  <c r="AP357" i="1"/>
  <c r="AP633" i="1"/>
  <c r="AP622" i="1"/>
  <c r="AP72" i="1"/>
  <c r="AP325" i="1"/>
  <c r="AP59" i="1"/>
  <c r="AP413" i="1"/>
  <c r="AP1027" i="1"/>
  <c r="AP1164" i="1"/>
  <c r="AP881" i="1"/>
  <c r="AP917" i="1"/>
  <c r="AP1518" i="1"/>
  <c r="AP863" i="1"/>
  <c r="AP1447" i="1"/>
  <c r="AP1052" i="1"/>
  <c r="AP719" i="1"/>
  <c r="AP1679" i="1"/>
  <c r="AP688" i="1"/>
  <c r="AP682" i="1"/>
  <c r="AP1232" i="1"/>
  <c r="AP1330" i="1"/>
  <c r="AP902" i="1"/>
  <c r="AQ1921" i="1"/>
  <c r="AP2102" i="1"/>
  <c r="AQ2102" i="1" s="1"/>
  <c r="AP149" i="1"/>
  <c r="AP602" i="1"/>
  <c r="AP350" i="1"/>
  <c r="AP1626" i="1"/>
  <c r="AP468" i="1"/>
  <c r="AP398" i="1"/>
  <c r="AP261" i="1"/>
  <c r="AP376" i="1"/>
  <c r="AP387" i="1"/>
  <c r="AP553" i="1"/>
  <c r="AP1595" i="1"/>
  <c r="AP252" i="1"/>
  <c r="AP201" i="1"/>
  <c r="AP62" i="1"/>
  <c r="AP640" i="1"/>
  <c r="AP452" i="1"/>
  <c r="AP611" i="1"/>
  <c r="AP244" i="1"/>
  <c r="AP1029" i="1"/>
  <c r="AP1546" i="1"/>
  <c r="AP1186" i="1"/>
  <c r="AP37" i="1"/>
  <c r="AP27" i="1"/>
  <c r="AP71" i="1"/>
  <c r="AP1650" i="1"/>
  <c r="AP499" i="1"/>
  <c r="AP1648" i="1"/>
  <c r="AP52" i="1"/>
  <c r="AP343" i="1"/>
  <c r="AP1627" i="1"/>
  <c r="AP196" i="1"/>
  <c r="AP375" i="1"/>
  <c r="AP69" i="1"/>
  <c r="AP1687" i="1"/>
  <c r="AP1476" i="1"/>
  <c r="AP1792" i="1"/>
  <c r="AP1181" i="1"/>
  <c r="AP837" i="1"/>
  <c r="AP1446" i="1"/>
  <c r="AP1147" i="1"/>
  <c r="AP730" i="1"/>
  <c r="AP907" i="1"/>
  <c r="AP791" i="1"/>
  <c r="AP1189" i="1"/>
  <c r="AP1461" i="1"/>
  <c r="AP1004" i="1"/>
  <c r="AP914" i="1"/>
  <c r="AP722" i="1"/>
  <c r="AP1824" i="1"/>
  <c r="AP669" i="1"/>
  <c r="AP2086" i="1"/>
  <c r="AQ2086" i="1" s="1"/>
  <c r="AP1084" i="1"/>
  <c r="AP1401" i="1"/>
  <c r="AP1500" i="1"/>
  <c r="AP1177" i="1"/>
  <c r="AP1300" i="1"/>
  <c r="AP1407" i="1"/>
  <c r="AP940" i="1"/>
  <c r="AP693" i="1"/>
  <c r="AP1818" i="1"/>
  <c r="AP2099" i="1"/>
  <c r="AQ2099" i="1" s="1"/>
  <c r="AP952" i="1"/>
  <c r="AP990" i="1"/>
  <c r="AP878" i="1"/>
  <c r="AP954" i="1"/>
  <c r="AP1837" i="1"/>
  <c r="AP1864" i="1"/>
  <c r="AP304" i="1"/>
  <c r="AP477" i="1"/>
  <c r="AP401" i="1"/>
  <c r="AP394" i="1"/>
  <c r="AP282" i="1"/>
  <c r="AP515" i="1"/>
  <c r="AP245" i="1"/>
  <c r="AP552" i="1"/>
  <c r="AP193" i="1"/>
  <c r="AP167" i="1"/>
  <c r="AP307" i="1"/>
  <c r="AP119" i="1"/>
  <c r="AP328" i="1"/>
  <c r="AP392" i="1"/>
  <c r="AP124" i="1"/>
  <c r="AP33" i="1"/>
  <c r="AP221" i="1"/>
  <c r="AP123" i="1"/>
  <c r="AP199" i="1"/>
  <c r="AP15" i="1"/>
  <c r="AP1522" i="1"/>
  <c r="AP615" i="1"/>
  <c r="AP44" i="1"/>
  <c r="AP386" i="1"/>
  <c r="AP275" i="1"/>
  <c r="AP322" i="1"/>
  <c r="AP516" i="1"/>
  <c r="AP456" i="1"/>
  <c r="AP479" i="1"/>
  <c r="AP240" i="1"/>
  <c r="AP216" i="1"/>
  <c r="AP255" i="1"/>
  <c r="AP330" i="1"/>
  <c r="AP604" i="1"/>
  <c r="AP159" i="1"/>
  <c r="AP178" i="1"/>
  <c r="AP1050" i="1"/>
  <c r="AP135" i="1"/>
  <c r="AP97" i="1"/>
  <c r="AP293" i="1"/>
  <c r="AP1563" i="1"/>
  <c r="AP1450" i="1"/>
  <c r="AP1436" i="1"/>
  <c r="AP1750" i="1"/>
  <c r="AQ1750" i="1" s="1"/>
  <c r="AP1387" i="1"/>
  <c r="AP90" i="1"/>
  <c r="AP543" i="1"/>
  <c r="AP380" i="1"/>
  <c r="AP285" i="1"/>
  <c r="AP1160" i="1"/>
  <c r="AP1150" i="1"/>
  <c r="AP716" i="1"/>
  <c r="AP1045" i="1"/>
  <c r="AP938" i="1"/>
  <c r="AP774" i="1"/>
  <c r="AP937" i="1"/>
  <c r="AP1705" i="1"/>
  <c r="AP750" i="1"/>
  <c r="AP1422" i="1"/>
  <c r="AQ1912" i="1"/>
  <c r="AP283" i="1"/>
  <c r="AP634" i="1"/>
  <c r="AP409" i="1"/>
  <c r="AP626" i="1"/>
  <c r="AP208" i="1"/>
  <c r="AP519" i="1"/>
  <c r="AP391" i="1"/>
  <c r="AP531" i="1"/>
  <c r="AP431" i="1"/>
  <c r="AP377" i="1"/>
  <c r="AP239" i="1"/>
  <c r="AP230" i="1"/>
  <c r="AP96" i="1"/>
  <c r="AP382" i="1"/>
  <c r="AP198" i="1"/>
  <c r="AP154" i="1"/>
  <c r="AP569" i="1"/>
  <c r="AP1608" i="1"/>
  <c r="AP469" i="1"/>
  <c r="AP19" i="1"/>
  <c r="AP508" i="1"/>
  <c r="AP181" i="1"/>
  <c r="AP545" i="1"/>
  <c r="AP613" i="1"/>
  <c r="AP402" i="1"/>
  <c r="AP351" i="1"/>
  <c r="AP441" i="1"/>
  <c r="AP411" i="1"/>
  <c r="AP1675" i="1"/>
  <c r="AP732" i="1"/>
  <c r="AP1104" i="1"/>
  <c r="AP1485" i="1"/>
  <c r="AP1204" i="1"/>
  <c r="AP1384" i="1"/>
  <c r="AP805" i="1"/>
  <c r="AP1383" i="1"/>
  <c r="AP1541" i="1"/>
  <c r="AP1489" i="1"/>
  <c r="AP1231" i="1"/>
  <c r="AP1174" i="1"/>
  <c r="AP1495" i="1"/>
  <c r="AP1248" i="1"/>
  <c r="AP1751" i="1"/>
  <c r="AP1842" i="1"/>
  <c r="AP1681" i="1"/>
  <c r="AP768" i="1"/>
  <c r="AP882" i="1"/>
  <c r="AP2093" i="1"/>
  <c r="AQ2093" i="1" s="1"/>
  <c r="AP885" i="1"/>
  <c r="AP991" i="1"/>
  <c r="AP1061" i="1"/>
  <c r="AP1738" i="1"/>
  <c r="AQ1738" i="1" s="1"/>
  <c r="AP1341" i="1"/>
  <c r="AP930" i="1"/>
  <c r="AP665" i="1"/>
  <c r="AP1373" i="1"/>
  <c r="AP773" i="1"/>
  <c r="AP691" i="1"/>
  <c r="AP819" i="1"/>
  <c r="AP726" i="1"/>
  <c r="AP1560" i="1"/>
  <c r="AQ1917" i="1"/>
  <c r="AP28" i="1"/>
  <c r="AP635" i="1"/>
  <c r="AP422" i="1"/>
  <c r="AP503" i="1"/>
  <c r="AP302" i="1"/>
  <c r="AP624" i="1"/>
  <c r="AP532" i="1"/>
  <c r="AP263" i="1"/>
  <c r="AP326" i="1"/>
  <c r="AP215" i="1"/>
  <c r="AP406" i="1"/>
  <c r="AP225" i="1"/>
  <c r="AP460" i="1"/>
  <c r="AP82" i="1"/>
  <c r="AP251" i="1"/>
  <c r="AP26" i="1"/>
  <c r="AP268" i="1"/>
  <c r="AP86" i="1"/>
  <c r="AP434" i="1"/>
  <c r="AP371" i="1"/>
  <c r="AP806" i="1"/>
  <c r="AP1040" i="1"/>
  <c r="AP299" i="1"/>
  <c r="AP32" i="1"/>
  <c r="AP424" i="1"/>
  <c r="AP1587" i="1"/>
  <c r="AP231" i="1"/>
  <c r="AP1303" i="1"/>
  <c r="AP935" i="1"/>
  <c r="AP1737" i="1"/>
  <c r="AP1093" i="1"/>
  <c r="AP993" i="1"/>
  <c r="AP931" i="1"/>
  <c r="AP1245" i="1"/>
  <c r="AP1385" i="1"/>
  <c r="AP964" i="1"/>
  <c r="AP985" i="1"/>
  <c r="AP1323" i="1"/>
  <c r="AP974" i="1"/>
  <c r="AP685" i="1"/>
  <c r="AP419" i="1"/>
  <c r="AP526" i="1"/>
  <c r="AP407" i="1"/>
  <c r="AP170" i="1"/>
  <c r="AP577" i="1"/>
  <c r="AP564" i="1"/>
  <c r="AP219" i="1"/>
  <c r="AP415" i="1"/>
  <c r="AP64" i="1"/>
  <c r="AP45" i="1"/>
  <c r="AP721" i="1"/>
  <c r="AP839" i="1"/>
  <c r="AP1021" i="1"/>
  <c r="AP976" i="1"/>
  <c r="AP1185" i="1"/>
  <c r="AP1474" i="1"/>
  <c r="AP1126" i="1"/>
  <c r="AP903" i="1"/>
  <c r="AP835" i="1"/>
  <c r="AP1038" i="1"/>
  <c r="AP1020" i="1"/>
  <c r="AP1501" i="1"/>
  <c r="AP1295" i="1"/>
  <c r="AP725" i="1"/>
  <c r="AP1794" i="1"/>
  <c r="AP1396" i="1"/>
  <c r="AP1463" i="1"/>
  <c r="AP923" i="1"/>
  <c r="AP961" i="1"/>
  <c r="AP1351" i="1"/>
  <c r="AP1666" i="1"/>
  <c r="AP1434" i="1"/>
  <c r="AP850" i="1"/>
  <c r="AP1742" i="1"/>
  <c r="AQ1742" i="1" s="1"/>
  <c r="AP1206" i="1"/>
  <c r="AP1346" i="1"/>
  <c r="AP1301" i="1"/>
  <c r="AP1817" i="1"/>
  <c r="AP1290" i="1"/>
  <c r="AP1806" i="1"/>
  <c r="AP1321" i="1"/>
  <c r="AP575" i="1"/>
  <c r="AP511" i="1"/>
  <c r="AP491" i="1"/>
  <c r="AP405" i="1"/>
  <c r="AP568" i="1"/>
  <c r="AP518" i="1"/>
  <c r="AP533" i="1"/>
  <c r="AP84" i="1"/>
  <c r="AP279" i="1"/>
  <c r="AP60" i="1"/>
  <c r="AP222" i="1"/>
  <c r="AP627" i="1"/>
  <c r="AP428" i="1"/>
  <c r="AP517" i="1"/>
  <c r="AP593" i="1"/>
  <c r="AP73" i="1"/>
  <c r="AP1158" i="1"/>
  <c r="AP1119" i="1"/>
  <c r="AP925" i="1"/>
  <c r="AP1449" i="1"/>
  <c r="AP891" i="1"/>
  <c r="AP1012" i="1"/>
  <c r="AP1688" i="1"/>
  <c r="AP856" i="1"/>
  <c r="AP1367" i="1"/>
  <c r="AP864" i="1"/>
  <c r="AP1088" i="1"/>
  <c r="AP1664" i="1"/>
  <c r="AP880" i="1"/>
  <c r="AP1642" i="1"/>
  <c r="AP290" i="1"/>
  <c r="AP470" i="1"/>
  <c r="AP346" i="1"/>
  <c r="AP496" i="1"/>
  <c r="AP336" i="1"/>
  <c r="AP1649" i="1"/>
  <c r="AP189" i="1"/>
  <c r="AP338" i="1"/>
  <c r="AP163" i="1"/>
  <c r="AP318" i="1"/>
  <c r="AP530" i="1"/>
  <c r="AP83" i="1"/>
  <c r="AP621" i="1"/>
  <c r="AP127" i="1"/>
  <c r="AP1155" i="1"/>
  <c r="AP765" i="1"/>
  <c r="AP1819" i="1"/>
  <c r="AP388" i="1"/>
  <c r="AP342" i="1"/>
  <c r="AP497" i="1"/>
  <c r="AP404" i="1"/>
  <c r="AP547" i="1"/>
  <c r="AP226" i="1"/>
  <c r="AP1577" i="1"/>
  <c r="AP1593" i="1"/>
  <c r="AP378" i="1"/>
  <c r="AP566" i="1"/>
  <c r="AP423" i="1"/>
  <c r="AP607" i="1"/>
  <c r="AP565" i="1"/>
  <c r="AP179" i="1"/>
  <c r="AP500" i="1"/>
  <c r="AQ1641" i="1"/>
  <c r="AQ1987" i="1"/>
  <c r="AQ2057" i="1"/>
  <c r="AQ2039" i="1"/>
  <c r="AQ1775" i="1"/>
  <c r="AQ1890" i="1"/>
  <c r="AQ2021" i="1"/>
  <c r="AQ1644" i="1"/>
  <c r="AQ1973" i="1"/>
  <c r="AQ2076" i="1"/>
  <c r="AQ2059" i="1"/>
  <c r="AQ1252" i="1"/>
  <c r="AQ1915" i="1"/>
  <c r="AQ1913" i="1"/>
  <c r="AQ1733" i="1"/>
  <c r="AQ1971" i="1"/>
  <c r="AQ1257" i="1"/>
  <c r="AQ1782" i="1"/>
  <c r="AQ1843" i="1"/>
  <c r="AQ2066" i="1"/>
  <c r="AQ1220" i="1"/>
  <c r="AQ1938" i="1"/>
  <c r="AQ1841" i="1"/>
  <c r="AQ1700" i="1"/>
  <c r="AQ1947" i="1"/>
  <c r="AQ1990" i="1"/>
  <c r="AQ1866" i="1"/>
  <c r="AQ1629" i="1"/>
  <c r="AQ1907" i="1"/>
  <c r="AQ1847" i="1"/>
  <c r="AQ1908" i="1"/>
  <c r="AQ1958" i="1"/>
  <c r="AQ1897" i="1"/>
  <c r="AQ2009" i="1"/>
  <c r="AQ1940" i="1"/>
  <c r="AQ1272" i="1"/>
  <c r="AQ1922" i="1"/>
  <c r="AQ1200" i="1"/>
  <c r="AQ1194" i="1"/>
  <c r="AQ1212" i="1"/>
  <c r="AQ1933" i="1"/>
  <c r="AQ667" i="1"/>
  <c r="AQ1192" i="1"/>
  <c r="AQ435" i="1"/>
  <c r="AQ1757" i="1"/>
  <c r="AQ1884" i="1"/>
  <c r="AQ2121" i="1"/>
  <c r="AQ2075" i="1"/>
  <c r="AQ2077" i="1"/>
  <c r="AQ1539" i="1"/>
  <c r="AQ2029" i="1"/>
  <c r="AQ2082" i="1"/>
  <c r="AQ2031" i="1"/>
  <c r="AQ1470" i="1"/>
  <c r="AQ1872" i="1"/>
  <c r="AQ1874" i="1"/>
  <c r="AQ1993" i="1"/>
  <c r="AQ1929" i="1"/>
  <c r="AQ2063" i="1"/>
  <c r="AQ1989" i="1"/>
  <c r="AQ1979" i="1"/>
  <c r="AQ1759" i="1"/>
  <c r="AQ1704" i="1"/>
  <c r="AQ1934" i="1"/>
  <c r="AQ2069" i="1"/>
  <c r="AQ1994" i="1"/>
  <c r="AQ1953" i="1"/>
  <c r="AQ1263" i="1"/>
  <c r="AQ1223" i="1"/>
  <c r="AQ1210" i="1"/>
  <c r="AQ1551" i="1"/>
  <c r="AQ1867" i="1"/>
  <c r="AQ1543" i="1"/>
  <c r="AQ1959" i="1"/>
  <c r="AQ2090" i="1"/>
  <c r="AQ1996" i="1"/>
  <c r="AQ2003" i="1"/>
  <c r="AQ1723" i="1"/>
  <c r="AQ1901" i="1"/>
  <c r="AQ2010" i="1"/>
  <c r="AQ2052" i="1"/>
  <c r="AQ1970" i="1"/>
  <c r="AQ1201" i="1"/>
  <c r="AQ737" i="1"/>
  <c r="AQ1983" i="1"/>
  <c r="AQ2022" i="1"/>
  <c r="AQ2023" i="1"/>
  <c r="AQ1977" i="1"/>
  <c r="AQ2037" i="1"/>
  <c r="AQ1881" i="1"/>
  <c r="AQ2036" i="1"/>
  <c r="AQ1920" i="1"/>
  <c r="AQ1985" i="1"/>
  <c r="AQ2072" i="1"/>
  <c r="AQ2058" i="1"/>
  <c r="AQ1860" i="1"/>
  <c r="AQ1945" i="1"/>
  <c r="AQ2000" i="1"/>
  <c r="AQ1877" i="1"/>
  <c r="AQ1903" i="1"/>
  <c r="AQ2056" i="1"/>
  <c r="AQ2008" i="1"/>
  <c r="AQ1214" i="1"/>
  <c r="AQ617" i="1"/>
  <c r="AQ1799" i="1"/>
  <c r="AQ1693" i="1"/>
  <c r="AQ2046" i="1"/>
  <c r="AQ2007" i="1"/>
  <c r="AQ2025" i="1"/>
  <c r="AQ1219" i="1"/>
  <c r="AQ1891" i="1"/>
  <c r="AQ2055" i="1"/>
  <c r="AQ2018" i="1"/>
  <c r="AQ2080" i="1"/>
  <c r="AQ1709" i="1"/>
  <c r="AQ1283" i="1"/>
  <c r="AQ1879" i="1"/>
  <c r="AQ1892" i="1"/>
  <c r="AQ1217" i="1"/>
  <c r="AQ2117" i="1"/>
  <c r="AQ2083" i="1"/>
  <c r="AQ1949" i="1"/>
  <c r="AQ1992" i="1"/>
  <c r="AQ1845" i="1"/>
  <c r="AQ1941" i="1"/>
  <c r="AQ1955" i="1"/>
  <c r="AQ1967" i="1"/>
  <c r="AQ1986" i="1"/>
  <c r="AQ421" i="1"/>
  <c r="AQ1878" i="1"/>
  <c r="AQ1956" i="1"/>
  <c r="AQ1271" i="1"/>
  <c r="AQ1914" i="1"/>
  <c r="AQ1654" i="1"/>
  <c r="AQ1873" i="1"/>
  <c r="AP420" i="1"/>
  <c r="AP194" i="1"/>
  <c r="AP453" i="1"/>
  <c r="AP368" i="1"/>
  <c r="AP381" i="1"/>
  <c r="AP433" i="1"/>
  <c r="AP35" i="1"/>
  <c r="AP188" i="1"/>
  <c r="AP23" i="1"/>
  <c r="AP131" i="1"/>
  <c r="AP125" i="1"/>
  <c r="AQ437" i="1"/>
  <c r="AQ410" i="1"/>
  <c r="AQ439" i="1"/>
  <c r="AP111" i="1"/>
  <c r="AP55" i="1"/>
  <c r="AP649" i="1"/>
  <c r="AQ438" i="1"/>
  <c r="AP1758" i="1"/>
  <c r="AQ1758" i="1" s="1"/>
  <c r="AQ1207" i="1"/>
  <c r="AP1739" i="1"/>
  <c r="AP1761" i="1"/>
  <c r="AQ1761" i="1" s="1"/>
  <c r="AQ1713" i="1"/>
  <c r="AQ1180" i="1"/>
  <c r="AP1690" i="1"/>
  <c r="AP1175" i="1"/>
  <c r="AQ436" i="1"/>
  <c r="AQ1152" i="1"/>
  <c r="AP1760" i="1"/>
  <c r="AP1740" i="1"/>
  <c r="AQ1740" i="1" s="1"/>
  <c r="AQ1694" i="1"/>
  <c r="AQ9" i="1"/>
  <c r="AQ366" i="1"/>
  <c r="AQ365" i="1"/>
  <c r="AQ712" i="1"/>
  <c r="AQ1631" i="1"/>
  <c r="AQ1999" i="1"/>
  <c r="AQ1743" i="1"/>
  <c r="AQ2005" i="1"/>
  <c r="AQ2110" i="1"/>
  <c r="AQ2042" i="1"/>
  <c r="AQ1755" i="1"/>
  <c r="AQ1703" i="1"/>
  <c r="AQ1875" i="1"/>
  <c r="AQ1969" i="1"/>
  <c r="AQ2118" i="1"/>
  <c r="AQ2064" i="1"/>
  <c r="AQ2043" i="1"/>
  <c r="AQ1926" i="1"/>
  <c r="AQ1943" i="1"/>
  <c r="AQ1905" i="1"/>
  <c r="AQ1198" i="1"/>
  <c r="AQ462" i="1"/>
  <c r="AQ1656" i="1"/>
  <c r="AQ1882" i="1"/>
  <c r="AQ1896" i="1"/>
  <c r="AQ1923" i="1"/>
  <c r="AQ2122" i="1"/>
  <c r="AQ1946" i="1"/>
  <c r="AQ1965" i="1"/>
  <c r="AQ1753" i="1"/>
  <c r="AQ1880" i="1"/>
  <c r="AQ2119" i="1"/>
  <c r="AQ2065" i="1"/>
  <c r="AQ1984" i="1"/>
  <c r="AQ1972" i="1"/>
  <c r="AQ2002" i="1"/>
  <c r="AQ1911" i="1"/>
  <c r="AQ1600" i="1"/>
  <c r="AQ1504" i="1"/>
  <c r="AQ1439" i="1"/>
  <c r="AQ1982" i="1"/>
  <c r="AQ1978" i="1"/>
  <c r="AQ2095" i="1"/>
  <c r="AQ2014" i="1"/>
  <c r="AQ2084" i="1"/>
  <c r="AQ2015" i="1"/>
  <c r="AQ1702" i="1"/>
  <c r="AQ1995" i="1"/>
  <c r="AQ2051" i="1"/>
  <c r="AQ2004" i="1"/>
  <c r="AQ616" i="1"/>
  <c r="AQ1715" i="1"/>
  <c r="AQ1710" i="1"/>
  <c r="AQ1939" i="1"/>
  <c r="AQ1954" i="1"/>
  <c r="AQ2071" i="1"/>
  <c r="AQ2105" i="1"/>
  <c r="AQ1851" i="1"/>
  <c r="AQ623" i="1"/>
  <c r="AQ1876" i="1"/>
  <c r="AQ2087" i="1"/>
  <c r="AQ1960" i="1"/>
  <c r="AQ1936" i="1"/>
  <c r="AQ1893" i="1"/>
  <c r="AQ1927" i="1"/>
  <c r="AQ1906" i="1"/>
  <c r="AQ1899" i="1"/>
  <c r="AQ1730" i="1"/>
  <c r="AQ1835" i="1"/>
  <c r="AQ5" i="1"/>
  <c r="AQ1865" i="1"/>
  <c r="AQ1216" i="1"/>
  <c r="AQ1779" i="1"/>
  <c r="AQ2016" i="1"/>
  <c r="AQ2089" i="1"/>
  <c r="AQ1976" i="1"/>
  <c r="AQ1756" i="1"/>
  <c r="AQ2024" i="1"/>
  <c r="AQ2044" i="1"/>
  <c r="AQ2112" i="1"/>
  <c r="AQ2045" i="1"/>
  <c r="AQ1944" i="1"/>
  <c r="AQ2034" i="1"/>
  <c r="AQ1701" i="1"/>
  <c r="AQ1251" i="1"/>
  <c r="AQ2092" i="1"/>
  <c r="AQ1885" i="1"/>
  <c r="AQ1937" i="1"/>
  <c r="AP80" i="1"/>
  <c r="AQ429" i="1"/>
  <c r="AQ1714" i="1"/>
  <c r="AQ1717" i="1"/>
  <c r="AQ1695" i="1"/>
  <c r="AQ1744" i="1"/>
  <c r="AQ2027" i="1"/>
  <c r="AQ2028" i="1"/>
  <c r="AQ2032" i="1"/>
  <c r="AQ1991" i="1"/>
  <c r="AQ2073" i="1"/>
  <c r="AP432" i="1"/>
  <c r="AQ1796" i="1"/>
  <c r="AQ654" i="1"/>
  <c r="AQ2026" i="1"/>
  <c r="AQ1964" i="1"/>
  <c r="AQ1863" i="1"/>
  <c r="AQ1870" i="1"/>
  <c r="AQ2104" i="1"/>
  <c r="AQ2060" i="1"/>
  <c r="AQ1997" i="1"/>
  <c r="AQ1355" i="1"/>
  <c r="AQ2011" i="1"/>
  <c r="AQ1869" i="1"/>
  <c r="AQ2049" i="1"/>
  <c r="AQ1916" i="1"/>
  <c r="AQ2078" i="1"/>
  <c r="AQ2062" i="1"/>
  <c r="AQ1787" i="1"/>
  <c r="AQ638" i="1"/>
  <c r="AQ2068" i="1"/>
  <c r="AQ10" i="1"/>
  <c r="AQ1699" i="1"/>
  <c r="AQ1895" i="1"/>
  <c r="AQ1190" i="1"/>
  <c r="AQ1888" i="1"/>
  <c r="AQ1778" i="1"/>
  <c r="AQ1273" i="1"/>
  <c r="AQ2040" i="1"/>
  <c r="AQ2047" i="1"/>
  <c r="AQ2006" i="1"/>
  <c r="AQ2048" i="1"/>
  <c r="AQ2001" i="1"/>
  <c r="AQ1909" i="1"/>
  <c r="AQ2097" i="1"/>
  <c r="AQ2081" i="1"/>
  <c r="AQ1250" i="1"/>
  <c r="AQ739" i="1"/>
  <c r="AQ1718" i="1"/>
  <c r="AQ1797" i="1"/>
  <c r="AQ1170" i="1"/>
  <c r="AQ2019" i="1"/>
  <c r="AQ2067" i="1"/>
  <c r="AQ2100" i="1"/>
  <c r="AQ1118" i="1"/>
  <c r="AQ7" i="1"/>
  <c r="AQ8" i="1"/>
  <c r="AQ1785" i="1"/>
  <c r="AQ1468" i="1"/>
  <c r="AQ2085" i="1"/>
  <c r="AQ1952" i="1"/>
  <c r="AQ1988" i="1"/>
  <c r="AQ2030" i="1"/>
  <c r="AQ1918" i="1"/>
  <c r="AQ1925" i="1"/>
  <c r="AQ2070" i="1"/>
  <c r="AQ1930" i="1"/>
  <c r="AQ2101" i="1"/>
  <c r="AQ2107" i="1"/>
  <c r="AP454" i="1"/>
  <c r="AQ1834" i="1"/>
  <c r="AQ363" i="1"/>
  <c r="AQ4" i="1"/>
  <c r="AQ1646" i="1"/>
  <c r="AQ1800" i="1"/>
  <c r="AQ1378" i="1"/>
  <c r="AQ2098" i="1"/>
  <c r="AQ2041" i="1"/>
  <c r="AQ2012" i="1"/>
  <c r="AQ1898" i="1"/>
  <c r="AQ2013" i="1"/>
  <c r="AQ2038" i="1"/>
  <c r="AQ2096" i="1"/>
  <c r="AQ2113" i="1"/>
  <c r="AQ3" i="1"/>
  <c r="AQ364" i="1"/>
  <c r="AQ1871" i="1"/>
  <c r="AQ1213" i="1"/>
  <c r="AQ1267" i="1"/>
  <c r="AQ1261" i="1"/>
  <c r="AQ1197" i="1"/>
  <c r="AQ2074" i="1"/>
  <c r="AQ1975" i="1"/>
  <c r="AQ1942" i="1"/>
  <c r="AQ1904" i="1"/>
  <c r="AQ1968" i="1"/>
  <c r="AQ1998" i="1"/>
  <c r="AP333" i="1"/>
  <c r="AQ1266" i="1"/>
  <c r="AP1745" i="1"/>
  <c r="AQ1745" i="1" s="1"/>
  <c r="AQ6" i="1"/>
  <c r="AQ430" i="1"/>
  <c r="AQ1561" i="1"/>
  <c r="AQ2079" i="1"/>
  <c r="AQ1924" i="1"/>
  <c r="AQ1961" i="1"/>
  <c r="AQ1728" i="1"/>
  <c r="AQ1910" i="1"/>
  <c r="AQ2050" i="1"/>
  <c r="AQ1950" i="1"/>
  <c r="AQ1883" i="1"/>
  <c r="AQ1951" i="1"/>
  <c r="AQ1781" i="1"/>
  <c r="AQ1249" i="1"/>
  <c r="AQ1552" i="1"/>
  <c r="AQ1868" i="1"/>
  <c r="AQ1935" i="1"/>
  <c r="AQ2115" i="1"/>
  <c r="AQ2116" i="1"/>
  <c r="AQ2106" i="1"/>
  <c r="AQ1889" i="1"/>
  <c r="AQ1957" i="1"/>
  <c r="AQ1399" i="1"/>
  <c r="AQ1282" i="1"/>
  <c r="AQ1844" i="1"/>
  <c r="AQ1508" i="1"/>
  <c r="AQ1928" i="1"/>
  <c r="AQ2088" i="1"/>
  <c r="AQ2053" i="1"/>
  <c r="AQ1980" i="1"/>
  <c r="AQ1962" i="1"/>
  <c r="AQ1981" i="1"/>
  <c r="AQ1963" i="1"/>
  <c r="AQ1264" i="1"/>
  <c r="AQ2035" i="1"/>
  <c r="AQ1919" i="1"/>
  <c r="AQ2054" i="1"/>
  <c r="AQ1966" i="1"/>
  <c r="AQ1931" i="1"/>
  <c r="AQ2020" i="1"/>
  <c r="AQ1974" i="1"/>
  <c r="AN535" i="1"/>
  <c r="AN537" i="1"/>
  <c r="AN536" i="1"/>
  <c r="AQ536" i="1" s="1"/>
  <c r="AN534" i="1"/>
  <c r="AN533" i="1"/>
  <c r="AN532" i="1"/>
  <c r="AN416" i="1"/>
  <c r="AN409" i="1"/>
  <c r="AN417" i="1"/>
  <c r="AN412" i="1"/>
  <c r="AN419" i="1"/>
  <c r="AN418" i="1"/>
  <c r="AN415" i="1"/>
  <c r="AN414" i="1"/>
  <c r="AN411" i="1"/>
  <c r="AN413" i="1"/>
  <c r="AN285" i="1"/>
  <c r="AN296" i="1"/>
  <c r="AQ296" i="1" s="1"/>
  <c r="AN295" i="1"/>
  <c r="AQ295" i="1" s="1"/>
  <c r="AN294" i="1"/>
  <c r="AN292" i="1"/>
  <c r="AN291" i="1"/>
  <c r="AQ291" i="1" s="1"/>
  <c r="AN290" i="1"/>
  <c r="AN293" i="1"/>
  <c r="AN289" i="1"/>
  <c r="AN283" i="1"/>
  <c r="AN281" i="1"/>
  <c r="AN280" i="1"/>
  <c r="AQ280" i="1" s="1"/>
  <c r="AN286" i="1"/>
  <c r="AN288" i="1"/>
  <c r="AN287" i="1"/>
  <c r="AQ287" i="1" s="1"/>
  <c r="AN278" i="1"/>
  <c r="AN284" i="1"/>
  <c r="AN282" i="1"/>
  <c r="AN277" i="1"/>
  <c r="AQ277" i="1" s="1"/>
  <c r="AN266" i="1"/>
  <c r="AN263" i="1"/>
  <c r="AN246" i="1"/>
  <c r="AN276" i="1"/>
  <c r="AN274" i="1"/>
  <c r="AN273" i="1"/>
  <c r="AN272" i="1"/>
  <c r="AQ272" i="1" s="1"/>
  <c r="AN271" i="1"/>
  <c r="AN539" i="1"/>
  <c r="AN538" i="1"/>
  <c r="AQ538" i="1" s="1"/>
  <c r="AN540" i="1"/>
  <c r="AQ540" i="1" s="1"/>
  <c r="AN186" i="1"/>
  <c r="AN135" i="1"/>
  <c r="AN190" i="1"/>
  <c r="AN189" i="1"/>
  <c r="AN162" i="1"/>
  <c r="AN185" i="1"/>
  <c r="AN188" i="1"/>
  <c r="AN179" i="1"/>
  <c r="AN177" i="1"/>
  <c r="AQ177" i="1" s="1"/>
  <c r="AN176" i="1"/>
  <c r="AN150" i="1"/>
  <c r="AN171" i="1"/>
  <c r="AQ171" i="1" s="1"/>
  <c r="AN170" i="1"/>
  <c r="AN183" i="1"/>
  <c r="AN175" i="1"/>
  <c r="AN184" i="1"/>
  <c r="AN181" i="1"/>
  <c r="AN180" i="1"/>
  <c r="AQ180" i="1" s="1"/>
  <c r="AN178" i="1"/>
  <c r="AN174" i="1"/>
  <c r="AN172" i="1"/>
  <c r="AQ172" i="1" s="1"/>
  <c r="AN173" i="1"/>
  <c r="AQ173" i="1" s="1"/>
  <c r="AN471" i="1"/>
  <c r="AN472" i="1"/>
  <c r="AN469" i="1"/>
  <c r="AN468" i="1"/>
  <c r="AN467" i="1"/>
  <c r="AN475" i="1"/>
  <c r="AQ475" i="1" s="1"/>
  <c r="AN466" i="1"/>
  <c r="AN465" i="1"/>
  <c r="AN474" i="1"/>
  <c r="AN470" i="1"/>
  <c r="AN495" i="1"/>
  <c r="AQ495" i="1" s="1"/>
  <c r="AN487" i="1"/>
  <c r="AN481" i="1"/>
  <c r="AN497" i="1"/>
  <c r="AN489" i="1"/>
  <c r="AN496" i="1"/>
  <c r="AN488" i="1"/>
  <c r="AN502" i="1"/>
  <c r="AQ502" i="1" s="1"/>
  <c r="AN494" i="1"/>
  <c r="AQ494" i="1" s="1"/>
  <c r="AN501" i="1"/>
  <c r="AN493" i="1"/>
  <c r="AN500" i="1"/>
  <c r="AN492" i="1"/>
  <c r="AQ492" i="1" s="1"/>
  <c r="AN484" i="1"/>
  <c r="AQ484" i="1" s="1"/>
  <c r="AN491" i="1"/>
  <c r="AN490" i="1"/>
  <c r="AN499" i="1"/>
  <c r="AN498" i="1"/>
  <c r="AQ498" i="1" s="1"/>
  <c r="AN519" i="1"/>
  <c r="AN514" i="1"/>
  <c r="AQ514" i="1" s="1"/>
  <c r="AN513" i="1"/>
  <c r="AN518" i="1"/>
  <c r="AN515" i="1"/>
  <c r="AN517" i="1"/>
  <c r="AN516" i="1"/>
  <c r="AN520" i="1"/>
  <c r="AN81" i="1"/>
  <c r="AQ81" i="1" s="1"/>
  <c r="AN82" i="1"/>
  <c r="AN79" i="1"/>
  <c r="AN77" i="1"/>
  <c r="AN76" i="1"/>
  <c r="AQ76" i="1" s="1"/>
  <c r="AN78" i="1"/>
  <c r="AN86" i="1"/>
  <c r="AN74" i="1"/>
  <c r="AQ74" i="1" s="1"/>
  <c r="AN88" i="1"/>
  <c r="AQ88" i="1" s="1"/>
  <c r="AN87" i="1"/>
  <c r="AQ87" i="1" s="1"/>
  <c r="AN85" i="1"/>
  <c r="AN75" i="1"/>
  <c r="AN73" i="1"/>
  <c r="AN70" i="1"/>
  <c r="AN396" i="1"/>
  <c r="AQ396" i="1" s="1"/>
  <c r="AN408" i="1"/>
  <c r="AN407" i="1"/>
  <c r="AN405" i="1"/>
  <c r="AN404" i="1"/>
  <c r="AN402" i="1"/>
  <c r="AN406" i="1"/>
  <c r="AN403" i="1"/>
  <c r="AQ403" i="1" s="1"/>
  <c r="AN397" i="1"/>
  <c r="AQ397" i="1" s="1"/>
  <c r="AN401" i="1"/>
  <c r="AN400" i="1"/>
  <c r="AN398" i="1"/>
  <c r="AN399" i="1"/>
  <c r="AN395" i="1"/>
  <c r="AN433" i="1"/>
  <c r="AN443" i="1"/>
  <c r="AQ443" i="1" s="1"/>
  <c r="AN444" i="1"/>
  <c r="AQ444" i="1" s="1"/>
  <c r="AN442" i="1"/>
  <c r="AQ442" i="1" s="1"/>
  <c r="AN441" i="1"/>
  <c r="AN355" i="1"/>
  <c r="AN353" i="1"/>
  <c r="AQ353" i="1" s="1"/>
  <c r="AN351" i="1"/>
  <c r="AN344" i="1"/>
  <c r="AN349" i="1"/>
  <c r="AQ349" i="1" s="1"/>
  <c r="AN357" i="1"/>
  <c r="AN360" i="1"/>
  <c r="AN362" i="1"/>
  <c r="AN361" i="1"/>
  <c r="AN359" i="1"/>
  <c r="AN358" i="1"/>
  <c r="AN356" i="1"/>
  <c r="AQ356" i="1" s="1"/>
  <c r="AN333" i="1"/>
  <c r="AN110" i="1"/>
  <c r="AN109" i="1"/>
  <c r="AN122" i="1"/>
  <c r="AQ122" i="1" s="1"/>
  <c r="AN120" i="1"/>
  <c r="AN119" i="1"/>
  <c r="AN116" i="1"/>
  <c r="AN115" i="1"/>
  <c r="AQ115" i="1" s="1"/>
  <c r="AN114" i="1"/>
  <c r="AQ114" i="1" s="1"/>
  <c r="AN113" i="1"/>
  <c r="AQ113" i="1" s="1"/>
  <c r="AN112" i="1"/>
  <c r="AQ112" i="1" s="1"/>
  <c r="AN111" i="1"/>
  <c r="AN126" i="1"/>
  <c r="AN125" i="1"/>
  <c r="AN124" i="1"/>
  <c r="AN123" i="1"/>
  <c r="AN121" i="1"/>
  <c r="AN117" i="1"/>
  <c r="AQ117" i="1" s="1"/>
  <c r="AN118" i="1"/>
  <c r="AQ118" i="1" s="1"/>
  <c r="AN478" i="1"/>
  <c r="AQ478" i="1" s="1"/>
  <c r="AN479" i="1"/>
  <c r="AN473" i="1"/>
  <c r="AQ473" i="1" s="1"/>
  <c r="AN480" i="1"/>
  <c r="AQ480" i="1" s="1"/>
  <c r="AN486" i="1"/>
  <c r="AQ486" i="1" s="1"/>
  <c r="AN477" i="1"/>
  <c r="AN485" i="1"/>
  <c r="AN476" i="1"/>
  <c r="AN482" i="1"/>
  <c r="AN483" i="1"/>
  <c r="AN447" i="1"/>
  <c r="AQ447" i="1" s="1"/>
  <c r="AN434" i="1"/>
  <c r="AN456" i="1"/>
  <c r="AN457" i="1"/>
  <c r="AN455" i="1"/>
  <c r="AQ455" i="1" s="1"/>
  <c r="AN450" i="1"/>
  <c r="AN448" i="1"/>
  <c r="AN446" i="1"/>
  <c r="AN454" i="1"/>
  <c r="AN452" i="1"/>
  <c r="AN453" i="1"/>
  <c r="AN451" i="1"/>
  <c r="AN449" i="1"/>
  <c r="AN445" i="1"/>
  <c r="AQ445" i="1" s="1"/>
  <c r="AN458" i="1"/>
  <c r="AQ458" i="1" s="1"/>
  <c r="AN347" i="1"/>
  <c r="AQ347" i="1" s="1"/>
  <c r="AN348" i="1"/>
  <c r="AN346" i="1"/>
  <c r="AN345" i="1"/>
  <c r="AN343" i="1"/>
  <c r="AN342" i="1"/>
  <c r="AN341" i="1"/>
  <c r="AQ341" i="1" s="1"/>
  <c r="AN340" i="1"/>
  <c r="AN463" i="1"/>
  <c r="AQ463" i="1" s="1"/>
  <c r="AN459" i="1"/>
  <c r="AN464" i="1"/>
  <c r="AQ464" i="1" s="1"/>
  <c r="AN461" i="1"/>
  <c r="AN460" i="1"/>
  <c r="AN211" i="1"/>
  <c r="AQ211" i="1" s="1"/>
  <c r="AN218" i="1"/>
  <c r="AQ218" i="1" s="1"/>
  <c r="AN217" i="1"/>
  <c r="AN213" i="1"/>
  <c r="AN216" i="1"/>
  <c r="AN212" i="1"/>
  <c r="AQ212" i="1" s="1"/>
  <c r="AN206" i="1"/>
  <c r="AQ206" i="1" s="1"/>
  <c r="AN204" i="1"/>
  <c r="AN203" i="1"/>
  <c r="AQ203" i="1" s="1"/>
  <c r="AN210" i="1"/>
  <c r="AQ210" i="1" s="1"/>
  <c r="AN208" i="1"/>
  <c r="AN209" i="1"/>
  <c r="AN207" i="1"/>
  <c r="AN205" i="1"/>
  <c r="AN259" i="1"/>
  <c r="AQ259" i="1" s="1"/>
  <c r="AN270" i="1"/>
  <c r="AN269" i="1"/>
  <c r="AQ269" i="1" s="1"/>
  <c r="AN268" i="1"/>
  <c r="AN262" i="1"/>
  <c r="AN267" i="1"/>
  <c r="AN265" i="1"/>
  <c r="AN238" i="1"/>
  <c r="AN256" i="1"/>
  <c r="AN254" i="1"/>
  <c r="AN253" i="1"/>
  <c r="AN261" i="1"/>
  <c r="AN260" i="1"/>
  <c r="AN257" i="1"/>
  <c r="AN255" i="1"/>
  <c r="AN224" i="1"/>
  <c r="AQ224" i="1" s="1"/>
  <c r="AN130" i="1"/>
  <c r="AQ130" i="1" s="1"/>
  <c r="AN138" i="1"/>
  <c r="AQ138" i="1" s="1"/>
  <c r="AN133" i="1"/>
  <c r="AN128" i="1"/>
  <c r="AQ128" i="1" s="1"/>
  <c r="AN127" i="1"/>
  <c r="AN132" i="1"/>
  <c r="AN131" i="1"/>
  <c r="AN129" i="1"/>
  <c r="AN145" i="1"/>
  <c r="AN148" i="1"/>
  <c r="AN147" i="1"/>
  <c r="AN146" i="1"/>
  <c r="AN140" i="1"/>
  <c r="AN142" i="1"/>
  <c r="AN141" i="1"/>
  <c r="AQ141" i="1" s="1"/>
  <c r="AN244" i="1"/>
  <c r="AN243" i="1"/>
  <c r="AN242" i="1"/>
  <c r="AQ242" i="1" s="1"/>
  <c r="AN240" i="1"/>
  <c r="AN215" i="1"/>
  <c r="AN239" i="1"/>
  <c r="AN241" i="1"/>
  <c r="AN237" i="1"/>
  <c r="AN250" i="1"/>
  <c r="AN252" i="1"/>
  <c r="AN251" i="1"/>
  <c r="AN249" i="1"/>
  <c r="AN248" i="1"/>
  <c r="AQ248" i="1" s="1"/>
  <c r="AN247" i="1"/>
  <c r="AQ247" i="1" s="1"/>
  <c r="AN245" i="1"/>
  <c r="AN234" i="1"/>
  <c r="AN57" i="1"/>
  <c r="AQ57" i="1" s="1"/>
  <c r="AN54" i="1"/>
  <c r="AN53" i="1"/>
  <c r="AN51" i="1"/>
  <c r="AQ51" i="1" s="1"/>
  <c r="AN46" i="1"/>
  <c r="AQ46" i="1" s="1"/>
  <c r="AN43" i="1"/>
  <c r="AN24" i="1"/>
  <c r="AN60" i="1"/>
  <c r="AN58" i="1"/>
  <c r="AQ58" i="1" s="1"/>
  <c r="AN50" i="1"/>
  <c r="AQ50" i="1" s="1"/>
  <c r="AN39" i="1"/>
  <c r="AN49" i="1"/>
  <c r="AQ49" i="1" s="1"/>
  <c r="AN45" i="1"/>
  <c r="AN36" i="1"/>
  <c r="AN47" i="1"/>
  <c r="AN40" i="1"/>
  <c r="AN41" i="1"/>
  <c r="AN38" i="1"/>
  <c r="AN37" i="1"/>
  <c r="AN33" i="1"/>
  <c r="AN34" i="1"/>
  <c r="AQ34" i="1" s="1"/>
  <c r="AN31" i="1"/>
  <c r="AN29" i="1"/>
  <c r="AN30" i="1"/>
  <c r="AN28" i="1"/>
  <c r="AN26" i="1"/>
  <c r="AN27" i="1"/>
  <c r="AN21" i="1"/>
  <c r="AQ21" i="1" s="1"/>
  <c r="AN23" i="1"/>
  <c r="AN22" i="1"/>
  <c r="AQ22" i="1" s="1"/>
  <c r="AN20" i="1"/>
  <c r="AN35" i="1"/>
  <c r="AN32" i="1"/>
  <c r="AN25" i="1"/>
  <c r="AQ25" i="1" s="1"/>
  <c r="AN369" i="1"/>
  <c r="AQ369" i="1" s="1"/>
  <c r="AN350" i="1"/>
  <c r="AN375" i="1"/>
  <c r="AN374" i="1"/>
  <c r="AQ374" i="1" s="1"/>
  <c r="AN368" i="1"/>
  <c r="AN372" i="1"/>
  <c r="AN373" i="1"/>
  <c r="AN371" i="1"/>
  <c r="AN370" i="1"/>
  <c r="AQ370" i="1" s="1"/>
  <c r="AN559" i="1"/>
  <c r="AQ559" i="1" s="1"/>
  <c r="AN551" i="1"/>
  <c r="AQ551" i="1" s="1"/>
  <c r="AN556" i="1"/>
  <c r="AQ556" i="1" s="1"/>
  <c r="AN555" i="1"/>
  <c r="AN554" i="1"/>
  <c r="AN561" i="1"/>
  <c r="AQ561" i="1" s="1"/>
  <c r="AN553" i="1"/>
  <c r="AN560" i="1"/>
  <c r="AN552" i="1"/>
  <c r="AN550" i="1"/>
  <c r="AN558" i="1"/>
  <c r="AQ558" i="1" s="1"/>
  <c r="AN557" i="1"/>
  <c r="AN440" i="1"/>
  <c r="AN432" i="1"/>
  <c r="AN156" i="1"/>
  <c r="AQ156" i="1" s="1"/>
  <c r="AN161" i="1"/>
  <c r="AQ161" i="1" s="1"/>
  <c r="AN167" i="1"/>
  <c r="AN166" i="1"/>
  <c r="AQ166" i="1" s="1"/>
  <c r="AN165" i="1"/>
  <c r="AN163" i="1"/>
  <c r="AN164" i="1"/>
  <c r="AN159" i="1"/>
  <c r="AN160" i="1"/>
  <c r="AN153" i="1"/>
  <c r="AQ153" i="1" s="1"/>
  <c r="AN151" i="1"/>
  <c r="AN169" i="1"/>
  <c r="AQ169" i="1" s="1"/>
  <c r="AN157" i="1"/>
  <c r="AN154" i="1"/>
  <c r="AN168" i="1"/>
  <c r="AQ168" i="1" s="1"/>
  <c r="AN158" i="1"/>
  <c r="AN155" i="1"/>
  <c r="AQ155" i="1" s="1"/>
  <c r="AN152" i="1"/>
  <c r="AQ152" i="1" s="1"/>
  <c r="AN149" i="1"/>
  <c r="AN59" i="1"/>
  <c r="AN56" i="1"/>
  <c r="AN52" i="1"/>
  <c r="AN71" i="1"/>
  <c r="AN69" i="1"/>
  <c r="AN44" i="1"/>
  <c r="AN68" i="1"/>
  <c r="AN67" i="1"/>
  <c r="AQ67" i="1" s="1"/>
  <c r="AN65" i="1"/>
  <c r="AN63" i="1"/>
  <c r="AN64" i="1"/>
  <c r="AN62" i="1"/>
  <c r="AN61" i="1"/>
  <c r="AQ61" i="1" s="1"/>
  <c r="AN48" i="1"/>
  <c r="AQ48" i="1" s="1"/>
  <c r="AN42" i="1"/>
  <c r="AN72" i="1"/>
  <c r="AN66" i="1"/>
  <c r="AN55" i="1"/>
  <c r="AN431" i="1"/>
  <c r="AN428" i="1"/>
  <c r="AN423" i="1"/>
  <c r="AN420" i="1"/>
  <c r="AN427" i="1"/>
  <c r="AN426" i="1"/>
  <c r="AN425" i="1"/>
  <c r="AN424" i="1"/>
  <c r="AN422" i="1"/>
  <c r="AN367" i="1"/>
  <c r="AQ367" i="1" s="1"/>
  <c r="AN381" i="1"/>
  <c r="AN382" i="1"/>
  <c r="AN380" i="1"/>
  <c r="AN379" i="1"/>
  <c r="AN377" i="1"/>
  <c r="AN378" i="1"/>
  <c r="AN376" i="1"/>
  <c r="AN108" i="1"/>
  <c r="AQ108" i="1" s="1"/>
  <c r="AN105" i="1"/>
  <c r="AN84" i="1"/>
  <c r="AN83" i="1"/>
  <c r="AN107" i="1"/>
  <c r="AN104" i="1"/>
  <c r="AN103" i="1"/>
  <c r="AQ103" i="1" s="1"/>
  <c r="AN106" i="1"/>
  <c r="AQ106" i="1" s="1"/>
  <c r="AN102" i="1"/>
  <c r="AN101" i="1"/>
  <c r="AN96" i="1"/>
  <c r="AN94" i="1"/>
  <c r="AN93" i="1"/>
  <c r="AN100" i="1"/>
  <c r="AQ100" i="1" s="1"/>
  <c r="AN99" i="1"/>
  <c r="AQ99" i="1" s="1"/>
  <c r="AN98" i="1"/>
  <c r="AN97" i="1"/>
  <c r="AN95" i="1"/>
  <c r="AQ95" i="1" s="1"/>
  <c r="AN90" i="1"/>
  <c r="AN92" i="1"/>
  <c r="AQ92" i="1" s="1"/>
  <c r="AN91" i="1"/>
  <c r="AN89" i="1"/>
  <c r="AQ89" i="1" s="1"/>
  <c r="AN194" i="1"/>
  <c r="AN193" i="1"/>
  <c r="AN192" i="1"/>
  <c r="AN191" i="1"/>
  <c r="AN202" i="1"/>
  <c r="AN201" i="1"/>
  <c r="AN200" i="1"/>
  <c r="AQ200" i="1" s="1"/>
  <c r="AN199" i="1"/>
  <c r="AN196" i="1"/>
  <c r="AN198" i="1"/>
  <c r="AN197" i="1"/>
  <c r="AN195" i="1"/>
  <c r="AQ195" i="1" s="1"/>
  <c r="AN235" i="1"/>
  <c r="AQ235" i="1" s="1"/>
  <c r="AN219" i="1"/>
  <c r="AN214" i="1"/>
  <c r="AN231" i="1"/>
  <c r="AN229" i="1"/>
  <c r="AN228" i="1"/>
  <c r="AN221" i="1"/>
  <c r="AN220" i="1"/>
  <c r="AQ220" i="1" s="1"/>
  <c r="AN230" i="1"/>
  <c r="AN236" i="1"/>
  <c r="AQ236" i="1" s="1"/>
  <c r="AN232" i="1"/>
  <c r="AQ232" i="1" s="1"/>
  <c r="AN225" i="1"/>
  <c r="AN233" i="1"/>
  <c r="AN227" i="1"/>
  <c r="AQ227" i="1" s="1"/>
  <c r="AN226" i="1"/>
  <c r="AN223" i="1"/>
  <c r="AQ223" i="1" s="1"/>
  <c r="AN222" i="1"/>
  <c r="AN324" i="1"/>
  <c r="AQ324" i="1" s="1"/>
  <c r="AN326" i="1"/>
  <c r="AN323" i="1"/>
  <c r="AN322" i="1"/>
  <c r="AN321" i="1"/>
  <c r="AQ321" i="1" s="1"/>
  <c r="AN320" i="1"/>
  <c r="AN319" i="1"/>
  <c r="AN318" i="1"/>
  <c r="AN317" i="1"/>
  <c r="AQ317" i="1" s="1"/>
  <c r="AN316" i="1"/>
  <c r="AN313" i="1"/>
  <c r="AN258" i="1"/>
  <c r="AN327" i="1"/>
  <c r="AQ327" i="1" s="1"/>
  <c r="AN299" i="1"/>
  <c r="AN330" i="1"/>
  <c r="AN332" i="1"/>
  <c r="AQ332" i="1" s="1"/>
  <c r="AN331" i="1"/>
  <c r="AN279" i="1"/>
  <c r="AN329" i="1"/>
  <c r="AN328" i="1"/>
  <c r="AN275" i="1"/>
  <c r="AN325" i="1"/>
  <c r="AN314" i="1"/>
  <c r="AQ314" i="1" s="1"/>
  <c r="AN315" i="1"/>
  <c r="AN527" i="1"/>
  <c r="AQ527" i="1" s="1"/>
  <c r="AN531" i="1"/>
  <c r="AN530" i="1"/>
  <c r="AN529" i="1"/>
  <c r="AN528" i="1"/>
  <c r="AN526" i="1"/>
  <c r="AN525" i="1"/>
  <c r="AQ525" i="1" s="1"/>
  <c r="AN524" i="1"/>
  <c r="AQ524" i="1" s="1"/>
  <c r="AN523" i="1"/>
  <c r="AN543" i="1"/>
  <c r="AN547" i="1"/>
  <c r="AN546" i="1"/>
  <c r="AN544" i="1"/>
  <c r="AN549" i="1"/>
  <c r="AN548" i="1"/>
  <c r="AQ548" i="1" s="1"/>
  <c r="AN545" i="1"/>
  <c r="AN542" i="1"/>
  <c r="AN541" i="1"/>
  <c r="AN19" i="1"/>
  <c r="AN18" i="1"/>
  <c r="AQ18" i="1" s="1"/>
  <c r="AN16" i="1"/>
  <c r="AN17" i="1"/>
  <c r="AN15" i="1"/>
  <c r="AN14" i="1"/>
  <c r="AN13" i="1"/>
  <c r="AN12" i="1"/>
  <c r="AQ12" i="1" s="1"/>
  <c r="AN572" i="1"/>
  <c r="AQ572" i="1" s="1"/>
  <c r="AN575" i="1"/>
  <c r="AN564" i="1"/>
  <c r="AN571" i="1"/>
  <c r="AQ571" i="1" s="1"/>
  <c r="AN563" i="1"/>
  <c r="AQ563" i="1" s="1"/>
  <c r="AN570" i="1"/>
  <c r="AQ570" i="1" s="1"/>
  <c r="AN562" i="1"/>
  <c r="AN578" i="1"/>
  <c r="AQ578" i="1" s="1"/>
  <c r="AN569" i="1"/>
  <c r="AN577" i="1"/>
  <c r="AN568" i="1"/>
  <c r="AN576" i="1"/>
  <c r="AQ576" i="1" s="1"/>
  <c r="AN566" i="1"/>
  <c r="AN565" i="1"/>
  <c r="AN573" i="1"/>
  <c r="AN389" i="1"/>
  <c r="AQ389" i="1" s="1"/>
  <c r="AN391" i="1"/>
  <c r="AN80" i="1"/>
  <c r="AN394" i="1"/>
  <c r="AN393" i="1"/>
  <c r="AQ393" i="1" s="1"/>
  <c r="AN384" i="1"/>
  <c r="AQ384" i="1" s="1"/>
  <c r="AN390" i="1"/>
  <c r="AN385" i="1"/>
  <c r="AN392" i="1"/>
  <c r="AN388" i="1"/>
  <c r="AN386" i="1"/>
  <c r="AN387" i="1"/>
  <c r="AN586" i="1"/>
  <c r="AQ586" i="1" s="1"/>
  <c r="AN583" i="1"/>
  <c r="AN587" i="1"/>
  <c r="AN580" i="1"/>
  <c r="AN579" i="1"/>
  <c r="AN585" i="1"/>
  <c r="AQ585" i="1" s="1"/>
  <c r="AN584" i="1"/>
  <c r="AQ584" i="1" s="1"/>
  <c r="AN581" i="1"/>
  <c r="AQ581" i="1" s="1"/>
  <c r="AN582" i="1"/>
  <c r="AQ582" i="1" s="1"/>
  <c r="AN311" i="1"/>
  <c r="AN310" i="1"/>
  <c r="AQ310" i="1" s="1"/>
  <c r="AN308" i="1"/>
  <c r="AQ308" i="1" s="1"/>
  <c r="AN307" i="1"/>
  <c r="AN312" i="1"/>
  <c r="AQ312" i="1" s="1"/>
  <c r="AN309" i="1"/>
  <c r="AN305" i="1"/>
  <c r="AN306" i="1"/>
  <c r="AQ306" i="1" s="1"/>
  <c r="AN304" i="1"/>
  <c r="AN303" i="1"/>
  <c r="AQ303" i="1" s="1"/>
  <c r="AN301" i="1"/>
  <c r="AQ301" i="1" s="1"/>
  <c r="AN298" i="1"/>
  <c r="AQ298" i="1" s="1"/>
  <c r="AN511" i="1"/>
  <c r="AN503" i="1"/>
  <c r="AN506" i="1"/>
  <c r="AQ506" i="1" s="1"/>
  <c r="AN505" i="1"/>
  <c r="AN504" i="1"/>
  <c r="AN512" i="1"/>
  <c r="AQ512" i="1" s="1"/>
  <c r="AN510" i="1"/>
  <c r="AQ510" i="1" s="1"/>
  <c r="AN509" i="1"/>
  <c r="AN508" i="1"/>
  <c r="AN507" i="1"/>
  <c r="AQ507" i="1" s="1"/>
  <c r="AN383" i="1"/>
  <c r="AN337" i="1"/>
  <c r="AQ337" i="1" s="1"/>
  <c r="AN339" i="1"/>
  <c r="AN336" i="1"/>
  <c r="AN335" i="1"/>
  <c r="AQ335" i="1" s="1"/>
  <c r="AN302" i="1"/>
  <c r="AN338" i="1"/>
  <c r="K238" i="29"/>
  <c r="O191" i="30"/>
  <c r="P191" i="30" s="1"/>
  <c r="K233" i="29"/>
  <c r="O186" i="30"/>
  <c r="K232" i="29"/>
  <c r="O185" i="30"/>
  <c r="K236" i="29"/>
  <c r="O189" i="30"/>
  <c r="K234" i="29"/>
  <c r="O187" i="30"/>
  <c r="K231" i="29"/>
  <c r="O184" i="30"/>
  <c r="K235" i="29"/>
  <c r="O188" i="30"/>
  <c r="K237" i="29"/>
  <c r="O190" i="30"/>
  <c r="K223" i="29"/>
  <c r="O178" i="30"/>
  <c r="K221" i="29"/>
  <c r="O176" i="30"/>
  <c r="K226" i="29"/>
  <c r="O181" i="30"/>
  <c r="K224" i="29"/>
  <c r="O179" i="30"/>
  <c r="K220" i="29"/>
  <c r="O175" i="30"/>
  <c r="K228" i="29"/>
  <c r="O183" i="30"/>
  <c r="K222" i="29"/>
  <c r="O177" i="30"/>
  <c r="K227" i="29"/>
  <c r="O182" i="30"/>
  <c r="K169" i="29"/>
  <c r="O124" i="30"/>
  <c r="P124" i="30" s="1"/>
  <c r="K100" i="29"/>
  <c r="O55" i="30"/>
  <c r="P55" i="30" s="1"/>
  <c r="K181" i="29"/>
  <c r="O136" i="30"/>
  <c r="P136" i="30" s="1"/>
  <c r="O111" i="30"/>
  <c r="P111" i="30" s="1"/>
  <c r="K182" i="29"/>
  <c r="O137" i="30"/>
  <c r="P137" i="30" s="1"/>
  <c r="K75" i="29"/>
  <c r="O30" i="30"/>
  <c r="P30" i="30" s="1"/>
  <c r="O60" i="30"/>
  <c r="P60" i="30" s="1"/>
  <c r="K130" i="29"/>
  <c r="O85" i="30"/>
  <c r="P85" i="30" s="1"/>
  <c r="O83" i="30"/>
  <c r="P83" i="30" s="1"/>
  <c r="K115" i="29"/>
  <c r="O70" i="30"/>
  <c r="P70" i="30" s="1"/>
  <c r="O149" i="30"/>
  <c r="P149" i="30" s="1"/>
  <c r="K109" i="29"/>
  <c r="O64" i="30"/>
  <c r="P64" i="30" s="1"/>
  <c r="K67" i="29"/>
  <c r="O22" i="30"/>
  <c r="P22" i="30" s="1"/>
  <c r="O106" i="30"/>
  <c r="P106" i="30" s="1"/>
  <c r="K212" i="29"/>
  <c r="O167" i="30"/>
  <c r="P167" i="30" s="1"/>
  <c r="O173" i="30"/>
  <c r="K175" i="29"/>
  <c r="O130" i="30"/>
  <c r="P130" i="30" s="1"/>
  <c r="M165" i="29"/>
  <c r="M166" i="29" s="1"/>
  <c r="O123" i="30"/>
  <c r="P123" i="30" s="1"/>
  <c r="K78" i="29"/>
  <c r="O33" i="30"/>
  <c r="P33" i="30" s="1"/>
  <c r="K199" i="29"/>
  <c r="O154" i="30"/>
  <c r="P154" i="30" s="1"/>
  <c r="K208" i="29"/>
  <c r="O163" i="30"/>
  <c r="P163" i="30" s="1"/>
  <c r="AN522" i="1"/>
  <c r="AQ522" i="1" s="1"/>
  <c r="AN521" i="1"/>
  <c r="AQ521" i="1" s="1"/>
  <c r="K219" i="29"/>
  <c r="K218" i="29"/>
  <c r="K217" i="29"/>
  <c r="K216" i="29"/>
  <c r="K215" i="29"/>
  <c r="P169" i="30"/>
  <c r="K214" i="29"/>
  <c r="P168" i="30"/>
  <c r="AO1731" i="1" s="1"/>
  <c r="K213" i="29"/>
  <c r="P165" i="30"/>
  <c r="K210" i="29"/>
  <c r="K211" i="29"/>
  <c r="AN1720" i="1" s="1"/>
  <c r="P166" i="30"/>
  <c r="AO1720" i="1" s="1"/>
  <c r="K209" i="29"/>
  <c r="P164" i="30"/>
  <c r="K2" i="29"/>
  <c r="M209" i="29"/>
  <c r="P162" i="30"/>
  <c r="K207" i="29"/>
  <c r="P161" i="30"/>
  <c r="K206" i="29"/>
  <c r="P160" i="30"/>
  <c r="AO1690" i="1" s="1"/>
  <c r="K205" i="29"/>
  <c r="AN1690" i="1" s="1"/>
  <c r="P159" i="30"/>
  <c r="K204" i="29"/>
  <c r="AN139" i="1"/>
  <c r="AQ139" i="1" s="1"/>
  <c r="AN144" i="1"/>
  <c r="AQ144" i="1" s="1"/>
  <c r="AN136" i="1"/>
  <c r="AQ136" i="1" s="1"/>
  <c r="AN143" i="1"/>
  <c r="AQ143" i="1" s="1"/>
  <c r="AN134" i="1"/>
  <c r="AQ134" i="1" s="1"/>
  <c r="AN264" i="1"/>
  <c r="AQ264" i="1" s="1"/>
  <c r="AN300" i="1"/>
  <c r="AQ300" i="1" s="1"/>
  <c r="AN297" i="1"/>
  <c r="AQ297" i="1" s="1"/>
  <c r="AN137" i="1"/>
  <c r="AQ137" i="1" s="1"/>
  <c r="AN354" i="1"/>
  <c r="AQ354" i="1" s="1"/>
  <c r="AN352" i="1"/>
  <c r="AQ352" i="1" s="1"/>
  <c r="AN334" i="1"/>
  <c r="AQ334" i="1" s="1"/>
  <c r="AN187" i="1"/>
  <c r="AQ187" i="1" s="1"/>
  <c r="AN182" i="1"/>
  <c r="AQ182" i="1" s="1"/>
  <c r="K202" i="29"/>
  <c r="P157" i="30"/>
  <c r="K203" i="29"/>
  <c r="P158" i="30"/>
  <c r="K201" i="29"/>
  <c r="P156" i="30"/>
  <c r="P155" i="30"/>
  <c r="K200" i="29"/>
  <c r="K198" i="29"/>
  <c r="P153" i="30"/>
  <c r="G4" i="25"/>
  <c r="P152" i="30"/>
  <c r="K197" i="29"/>
  <c r="K195" i="29"/>
  <c r="P150" i="30"/>
  <c r="K196" i="29"/>
  <c r="P151" i="30"/>
  <c r="K128" i="29"/>
  <c r="K106" i="29"/>
  <c r="K151" i="29"/>
  <c r="K194" i="29"/>
  <c r="K156" i="29"/>
  <c r="K168" i="29"/>
  <c r="F1" i="25"/>
  <c r="G5" i="25"/>
  <c r="K131" i="29"/>
  <c r="P86" i="30"/>
  <c r="K154" i="29"/>
  <c r="P109" i="30"/>
  <c r="K129" i="29"/>
  <c r="P84" i="30"/>
  <c r="K184" i="29"/>
  <c r="P139" i="30"/>
  <c r="K173" i="29"/>
  <c r="P128" i="30"/>
  <c r="K150" i="29"/>
  <c r="P105" i="30"/>
  <c r="K190" i="29"/>
  <c r="P145" i="30"/>
  <c r="P9" i="30"/>
  <c r="K54" i="29"/>
  <c r="K85" i="29"/>
  <c r="P40" i="30"/>
  <c r="K180" i="29"/>
  <c r="P135" i="30"/>
  <c r="K69" i="29"/>
  <c r="P24" i="30"/>
  <c r="K98" i="29"/>
  <c r="P53" i="30"/>
  <c r="K140" i="29"/>
  <c r="P95" i="30"/>
  <c r="K162" i="29"/>
  <c r="P117" i="30"/>
  <c r="P54" i="30"/>
  <c r="K99" i="29"/>
  <c r="K79" i="29"/>
  <c r="P34" i="30"/>
  <c r="K58" i="29"/>
  <c r="P13" i="30"/>
  <c r="K65" i="29"/>
  <c r="P20" i="30"/>
  <c r="G18" i="25"/>
  <c r="K170" i="29"/>
  <c r="P125" i="30"/>
  <c r="K103" i="29"/>
  <c r="P58" i="30"/>
  <c r="K193" i="29"/>
  <c r="P148" i="30"/>
  <c r="K60" i="29"/>
  <c r="P15" i="30"/>
  <c r="K120" i="29"/>
  <c r="P75" i="30"/>
  <c r="K123" i="29"/>
  <c r="P78" i="30"/>
  <c r="P47" i="30"/>
  <c r="K92" i="29"/>
  <c r="K87" i="29"/>
  <c r="P42" i="30"/>
  <c r="K139" i="29"/>
  <c r="P94" i="30"/>
  <c r="K160" i="29"/>
  <c r="P115" i="30"/>
  <c r="K143" i="29"/>
  <c r="P98" i="30"/>
  <c r="K141" i="29"/>
  <c r="P96" i="30"/>
  <c r="K107" i="29"/>
  <c r="P62" i="30"/>
  <c r="K192" i="29"/>
  <c r="P147" i="30"/>
  <c r="K88" i="29"/>
  <c r="P43" i="30"/>
  <c r="K138" i="29"/>
  <c r="P93" i="30"/>
  <c r="K149" i="29"/>
  <c r="P104" i="30"/>
  <c r="K142" i="29"/>
  <c r="P97" i="30"/>
  <c r="K188" i="29"/>
  <c r="P143" i="30"/>
  <c r="P67" i="30"/>
  <c r="K112" i="29"/>
  <c r="K77" i="29"/>
  <c r="P32" i="30"/>
  <c r="K124" i="29"/>
  <c r="P79" i="30"/>
  <c r="K117" i="29"/>
  <c r="P72" i="30"/>
  <c r="K137" i="29"/>
  <c r="P92" i="30"/>
  <c r="K189" i="29"/>
  <c r="P144" i="30"/>
  <c r="K51" i="29"/>
  <c r="P6" i="30"/>
  <c r="K155" i="29"/>
  <c r="P110" i="30"/>
  <c r="K164" i="29"/>
  <c r="P119" i="30"/>
  <c r="K71" i="29"/>
  <c r="P26" i="30"/>
  <c r="K157" i="29"/>
  <c r="P112" i="30"/>
  <c r="K63" i="29"/>
  <c r="P18" i="30"/>
  <c r="K187" i="29"/>
  <c r="P142" i="30"/>
  <c r="P8" i="30"/>
  <c r="K53" i="29"/>
  <c r="K126" i="29"/>
  <c r="P81" i="30"/>
  <c r="K96" i="29"/>
  <c r="P51" i="30"/>
  <c r="K144" i="29"/>
  <c r="P99" i="30"/>
  <c r="K101" i="29"/>
  <c r="P56" i="30"/>
  <c r="K110" i="29"/>
  <c r="P65" i="30"/>
  <c r="AO1037" i="1" s="1"/>
  <c r="P88" i="30"/>
  <c r="K133" i="29"/>
  <c r="K113" i="29"/>
  <c r="P68" i="30"/>
  <c r="K176" i="29"/>
  <c r="P131" i="30"/>
  <c r="K174" i="29"/>
  <c r="P129" i="30"/>
  <c r="H1" i="25"/>
  <c r="E1" i="25"/>
  <c r="K171" i="29"/>
  <c r="P126" i="30"/>
  <c r="K80" i="29"/>
  <c r="P35" i="30"/>
  <c r="K148" i="29"/>
  <c r="P103" i="30"/>
  <c r="K121" i="29"/>
  <c r="P76" i="30"/>
  <c r="K82" i="29"/>
  <c r="P37" i="30"/>
  <c r="P14" i="30"/>
  <c r="K59" i="29"/>
  <c r="K72" i="29"/>
  <c r="P27" i="30"/>
  <c r="P21" i="30"/>
  <c r="K66" i="29"/>
  <c r="K134" i="29"/>
  <c r="P89" i="30"/>
  <c r="K152" i="29"/>
  <c r="P107" i="30"/>
  <c r="K158" i="29"/>
  <c r="P113" i="30"/>
  <c r="K163" i="29"/>
  <c r="P118" i="30"/>
  <c r="P16" i="30"/>
  <c r="K61" i="29"/>
  <c r="K52" i="29"/>
  <c r="P7" i="30"/>
  <c r="K81" i="29"/>
  <c r="P36" i="30"/>
  <c r="K76" i="29"/>
  <c r="P31" i="30"/>
  <c r="K104" i="29"/>
  <c r="P59" i="30"/>
  <c r="P28" i="30"/>
  <c r="K73" i="29"/>
  <c r="K135" i="29"/>
  <c r="P90" i="30"/>
  <c r="P23" i="30"/>
  <c r="K68" i="29"/>
  <c r="K119" i="29"/>
  <c r="P74" i="30"/>
  <c r="K167" i="29"/>
  <c r="P122" i="30"/>
  <c r="G3" i="25"/>
  <c r="K114" i="29"/>
  <c r="P69" i="30"/>
  <c r="K102" i="29"/>
  <c r="P57" i="30"/>
  <c r="K146" i="29"/>
  <c r="P101" i="30"/>
  <c r="K159" i="29"/>
  <c r="P114" i="30"/>
  <c r="P80" i="30"/>
  <c r="K125" i="29"/>
  <c r="K48" i="29"/>
  <c r="P3" i="30"/>
  <c r="K166" i="29"/>
  <c r="P121" i="30"/>
  <c r="K49" i="29"/>
  <c r="P4" i="30"/>
  <c r="P44" i="30"/>
  <c r="K89" i="29"/>
  <c r="K94" i="29"/>
  <c r="P49" i="30"/>
  <c r="K172" i="29"/>
  <c r="P127" i="30"/>
  <c r="K183" i="29"/>
  <c r="P138" i="30"/>
  <c r="K161" i="29"/>
  <c r="P116" i="30"/>
  <c r="K179" i="29"/>
  <c r="P134" i="30"/>
  <c r="P25" i="30"/>
  <c r="K70" i="29"/>
  <c r="K165" i="29"/>
  <c r="P120" i="30"/>
  <c r="K95" i="29"/>
  <c r="P50" i="30"/>
  <c r="K50" i="29"/>
  <c r="P5" i="30"/>
  <c r="K153" i="29"/>
  <c r="P108" i="30"/>
  <c r="K84" i="29"/>
  <c r="P39" i="30"/>
  <c r="K97" i="29"/>
  <c r="P52" i="30"/>
  <c r="K132" i="29"/>
  <c r="P87" i="30"/>
  <c r="P11" i="30"/>
  <c r="K56" i="29"/>
  <c r="K118" i="29"/>
  <c r="P73" i="30"/>
  <c r="P12" i="30"/>
  <c r="K57" i="29"/>
  <c r="K116" i="29"/>
  <c r="P71" i="30"/>
  <c r="K185" i="29"/>
  <c r="P140" i="30"/>
  <c r="K145" i="29"/>
  <c r="P100" i="30"/>
  <c r="K122" i="29"/>
  <c r="P77" i="30"/>
  <c r="K86" i="29"/>
  <c r="P41" i="30"/>
  <c r="K178" i="29"/>
  <c r="P133" i="30"/>
  <c r="P17" i="30"/>
  <c r="K62" i="29"/>
  <c r="K127" i="29"/>
  <c r="P82" i="30"/>
  <c r="P91" i="30"/>
  <c r="K136" i="29"/>
  <c r="P19" i="30"/>
  <c r="K64" i="29"/>
  <c r="K90" i="29"/>
  <c r="P45" i="30"/>
  <c r="K147" i="29"/>
  <c r="P102" i="30"/>
  <c r="K74" i="29"/>
  <c r="P29" i="30"/>
  <c r="K55" i="29"/>
  <c r="P10" i="30"/>
  <c r="K83" i="29"/>
  <c r="P38" i="30"/>
  <c r="K91" i="29"/>
  <c r="P46" i="30"/>
  <c r="K108" i="29"/>
  <c r="P63" i="30"/>
  <c r="K93" i="29"/>
  <c r="P48" i="30"/>
  <c r="K111" i="29"/>
  <c r="P66" i="30"/>
  <c r="K177" i="29"/>
  <c r="P132" i="30"/>
  <c r="K191" i="29"/>
  <c r="P146" i="30"/>
  <c r="AO1589" i="1" s="1"/>
  <c r="P61" i="30"/>
  <c r="K105" i="29"/>
  <c r="K186" i="29"/>
  <c r="P141" i="30"/>
  <c r="AQ204" i="1" l="1"/>
  <c r="AQ286" i="1"/>
  <c r="AQ24" i="1"/>
  <c r="AQ569" i="1"/>
  <c r="AQ305" i="1"/>
  <c r="AQ542" i="1"/>
  <c r="AQ580" i="1"/>
  <c r="AQ359" i="1"/>
  <c r="AQ164" i="1"/>
  <c r="AQ150" i="1"/>
  <c r="AQ344" i="1"/>
  <c r="AQ292" i="1"/>
  <c r="AQ448" i="1"/>
  <c r="AQ54" i="1"/>
  <c r="AQ202" i="1"/>
  <c r="AQ465" i="1"/>
  <c r="AQ488" i="1"/>
  <c r="AQ537" i="1"/>
  <c r="AQ240" i="1"/>
  <c r="AQ468" i="1"/>
  <c r="AQ63" i="1"/>
  <c r="AQ276" i="1"/>
  <c r="AQ331" i="1"/>
  <c r="AQ175" i="1"/>
  <c r="AQ339" i="1"/>
  <c r="AQ98" i="1"/>
  <c r="AQ43" i="1"/>
  <c r="AQ400" i="1"/>
  <c r="AQ583" i="1"/>
  <c r="AQ256" i="1"/>
  <c r="AQ481" i="1"/>
  <c r="AQ71" i="1"/>
  <c r="AQ340" i="1"/>
  <c r="AQ587" i="1"/>
  <c r="AQ245" i="1"/>
  <c r="AQ450" i="1"/>
  <c r="AQ78" i="1"/>
  <c r="AQ399" i="1"/>
  <c r="AQ120" i="1"/>
  <c r="AQ140" i="1"/>
  <c r="AQ508" i="1"/>
  <c r="AQ467" i="1"/>
  <c r="AQ72" i="1"/>
  <c r="AQ360" i="1"/>
  <c r="AQ330" i="1"/>
  <c r="AQ426" i="1"/>
  <c r="AQ553" i="1"/>
  <c r="AQ207" i="1"/>
  <c r="AQ449" i="1"/>
  <c r="AQ105" i="1"/>
  <c r="AQ17" i="1"/>
  <c r="AQ412" i="1"/>
  <c r="AQ479" i="1"/>
  <c r="AQ302" i="1"/>
  <c r="AQ97" i="1"/>
  <c r="AQ288" i="1"/>
  <c r="AQ209" i="1"/>
  <c r="AQ503" i="1"/>
  <c r="AQ357" i="1"/>
  <c r="AQ501" i="1"/>
  <c r="AQ77" i="1"/>
  <c r="AQ520" i="1"/>
  <c r="AQ149" i="1"/>
  <c r="AQ29" i="1"/>
  <c r="AQ160" i="1"/>
  <c r="AQ319" i="1"/>
  <c r="AQ30" i="1"/>
  <c r="AQ511" i="1"/>
  <c r="AQ451" i="1"/>
  <c r="AQ355" i="1"/>
  <c r="AQ375" i="1"/>
  <c r="AQ549" i="1"/>
  <c r="AQ176" i="1"/>
  <c r="AQ53" i="1"/>
  <c r="AQ402" i="1"/>
  <c r="AQ362" i="1"/>
  <c r="AQ33" i="1"/>
  <c r="AQ226" i="1"/>
  <c r="AQ40" i="1"/>
  <c r="AQ309" i="1"/>
  <c r="AQ493" i="1"/>
  <c r="AQ544" i="1"/>
  <c r="AQ20" i="1"/>
  <c r="AQ110" i="1"/>
  <c r="AQ101" i="1"/>
  <c r="AQ554" i="1"/>
  <c r="AQ575" i="1"/>
  <c r="AQ196" i="1"/>
  <c r="AQ104" i="1"/>
  <c r="AQ192" i="1"/>
  <c r="AQ237" i="1"/>
  <c r="AQ261" i="1"/>
  <c r="AQ184" i="1"/>
  <c r="AQ243" i="1"/>
  <c r="AQ395" i="1"/>
  <c r="AQ119" i="1"/>
  <c r="AQ267" i="1"/>
  <c r="AQ93" i="1"/>
  <c r="AQ427" i="1"/>
  <c r="AQ418" i="1"/>
  <c r="AQ127" i="1"/>
  <c r="AQ193" i="1"/>
  <c r="AQ342" i="1"/>
  <c r="AQ124" i="1"/>
  <c r="AQ145" i="1"/>
  <c r="AQ178" i="1"/>
  <c r="AQ460" i="1"/>
  <c r="AQ515" i="1"/>
  <c r="AQ422" i="1"/>
  <c r="AQ408" i="1"/>
  <c r="AQ394" i="1"/>
  <c r="AQ257" i="1"/>
  <c r="AQ233" i="1"/>
  <c r="AQ65" i="1"/>
  <c r="AQ456" i="1"/>
  <c r="AQ568" i="1"/>
  <c r="AQ82" i="1"/>
  <c r="AQ485" i="1"/>
  <c r="AQ154" i="1"/>
  <c r="AQ27" i="1"/>
  <c r="AQ325" i="1"/>
  <c r="AQ56" i="1"/>
  <c r="AQ547" i="1"/>
  <c r="AQ231" i="1"/>
  <c r="AQ109" i="1"/>
  <c r="AQ409" i="1"/>
  <c r="AQ562" i="1"/>
  <c r="AQ270" i="1"/>
  <c r="AQ343" i="1"/>
  <c r="AQ79" i="1"/>
  <c r="AQ530" i="1"/>
  <c r="AQ45" i="1"/>
  <c r="AQ348" i="1"/>
  <c r="AQ499" i="1"/>
  <c r="AQ469" i="1"/>
  <c r="AQ216" i="1"/>
  <c r="AQ201" i="1"/>
  <c r="AQ471" i="1"/>
  <c r="AQ36" i="1"/>
  <c r="AQ167" i="1"/>
  <c r="AQ263" i="1"/>
  <c r="AQ416" i="1"/>
  <c r="AQ83" i="1"/>
  <c r="AQ441" i="1"/>
  <c r="AQ181" i="1"/>
  <c r="AQ282" i="1"/>
  <c r="AQ564" i="1"/>
  <c r="AQ428" i="1"/>
  <c r="AQ386" i="1"/>
  <c r="AQ157" i="1"/>
  <c r="AQ31" i="1"/>
  <c r="AQ107" i="1"/>
  <c r="AQ186" i="1"/>
  <c r="AQ230" i="1"/>
  <c r="AQ380" i="1"/>
  <c r="AQ183" i="1"/>
  <c r="AQ550" i="1"/>
  <c r="AQ476" i="1"/>
  <c r="AQ278" i="1"/>
  <c r="AQ523" i="1"/>
  <c r="AQ517" i="1"/>
  <c r="AQ532" i="1"/>
  <c r="AQ293" i="1"/>
  <c r="AQ215" i="1"/>
  <c r="AQ413" i="1"/>
  <c r="AQ472" i="1"/>
  <c r="AQ52" i="1"/>
  <c r="AQ406" i="1"/>
  <c r="AQ283" i="1"/>
  <c r="AQ39" i="1"/>
  <c r="AQ16" i="1"/>
  <c r="AQ275" i="1"/>
  <c r="AQ311" i="1"/>
  <c r="AQ299" i="1"/>
  <c r="AQ189" i="1"/>
  <c r="AQ411" i="1"/>
  <c r="AQ96" i="1"/>
  <c r="AQ234" i="1"/>
  <c r="AQ490" i="1"/>
  <c r="AQ304" i="1"/>
  <c r="AQ539" i="1"/>
  <c r="AQ372" i="1"/>
  <c r="AQ163" i="1"/>
  <c r="AQ213" i="1"/>
  <c r="AQ446" i="1"/>
  <c r="AQ285" i="1"/>
  <c r="AQ254" i="1"/>
  <c r="AQ246" i="1"/>
  <c r="AQ483" i="1"/>
  <c r="AQ262" i="1"/>
  <c r="AQ316" i="1"/>
  <c r="AQ271" i="1"/>
  <c r="AQ497" i="1"/>
  <c r="AQ179" i="1"/>
  <c r="AQ151" i="1"/>
  <c r="AQ133" i="1"/>
  <c r="AQ405" i="1"/>
  <c r="AQ55" i="1"/>
  <c r="AQ75" i="1"/>
  <c r="AQ221" i="1"/>
  <c r="AQ238" i="1"/>
  <c r="AQ35" i="1"/>
  <c r="AQ474" i="1"/>
  <c r="AQ518" i="1"/>
  <c r="AQ555" i="1"/>
  <c r="AQ208" i="1"/>
  <c r="AQ385" i="1"/>
  <c r="AQ251" i="1"/>
  <c r="AQ252" i="1"/>
  <c r="AQ373" i="1"/>
  <c r="AQ391" i="1"/>
  <c r="AQ378" i="1"/>
  <c r="AQ68" i="1"/>
  <c r="AQ419" i="1"/>
  <c r="AQ417" i="1"/>
  <c r="AQ268" i="1"/>
  <c r="AQ487" i="1"/>
  <c r="AQ470" i="1"/>
  <c r="AQ320" i="1"/>
  <c r="AQ197" i="1"/>
  <c r="AQ529" i="1"/>
  <c r="AQ199" i="1"/>
  <c r="AQ84" i="1"/>
  <c r="AQ62" i="1"/>
  <c r="AQ126" i="1"/>
  <c r="AQ541" i="1"/>
  <c r="AQ279" i="1"/>
  <c r="AQ379" i="1"/>
  <c r="AQ86" i="1"/>
  <c r="AQ414" i="1"/>
  <c r="AQ566" i="1"/>
  <c r="AQ434" i="1"/>
  <c r="AQ60" i="1"/>
  <c r="AQ265" i="1"/>
  <c r="AQ146" i="1"/>
  <c r="AQ147" i="1"/>
  <c r="AQ505" i="1"/>
  <c r="AQ526" i="1"/>
  <c r="AQ346" i="1"/>
  <c r="AQ534" i="1"/>
  <c r="AQ466" i="1"/>
  <c r="AQ162" i="1"/>
  <c r="AQ431" i="1"/>
  <c r="AQ323" i="1"/>
  <c r="AQ289" i="1"/>
  <c r="AQ535" i="1"/>
  <c r="AQ531" i="1"/>
  <c r="AQ14" i="1"/>
  <c r="AQ15" i="1"/>
  <c r="AQ452" i="1"/>
  <c r="AQ338" i="1"/>
  <c r="AQ328" i="1"/>
  <c r="AQ376" i="1"/>
  <c r="AQ368" i="1"/>
  <c r="AQ500" i="1"/>
  <c r="AQ219" i="1"/>
  <c r="AQ41" i="1"/>
  <c r="AQ294" i="1"/>
  <c r="AQ496" i="1"/>
  <c r="AQ423" i="1"/>
  <c r="AQ407" i="1"/>
  <c r="AQ519" i="1"/>
  <c r="AQ241" i="1"/>
  <c r="AQ217" i="1"/>
  <c r="AQ273" i="1"/>
  <c r="AQ377" i="1"/>
  <c r="AQ336" i="1"/>
  <c r="AQ457" i="1"/>
  <c r="AQ90" i="1"/>
  <c r="AQ383" i="1"/>
  <c r="AQ170" i="1"/>
  <c r="AQ528" i="1"/>
  <c r="AQ390" i="1"/>
  <c r="AQ222" i="1"/>
  <c r="AQ371" i="1"/>
  <c r="AQ239" i="1"/>
  <c r="AQ260" i="1"/>
  <c r="AQ23" i="1"/>
  <c r="AQ420" i="1"/>
  <c r="AQ26" i="1"/>
  <c r="AQ188" i="1"/>
  <c r="AQ533" i="1"/>
  <c r="AQ453" i="1"/>
  <c r="AQ123" i="1"/>
  <c r="AQ573" i="1"/>
  <c r="AQ565" i="1"/>
  <c r="AQ44" i="1"/>
  <c r="AQ244" i="1"/>
  <c r="AQ266" i="1"/>
  <c r="AQ577" i="1"/>
  <c r="AQ258" i="1"/>
  <c r="AQ543" i="1"/>
  <c r="AQ358" i="1"/>
  <c r="AQ190" i="1"/>
  <c r="AQ66" i="1"/>
  <c r="AQ121" i="1"/>
  <c r="AQ85" i="1"/>
  <c r="AQ329" i="1"/>
  <c r="AQ382" i="1"/>
  <c r="AQ415" i="1"/>
  <c r="AQ32" i="1"/>
  <c r="AQ116" i="1"/>
  <c r="AQ64" i="1"/>
  <c r="AQ546" i="1"/>
  <c r="AQ142" i="1"/>
  <c r="AQ424" i="1"/>
  <c r="AQ482" i="1"/>
  <c r="AQ284" i="1"/>
  <c r="AQ214" i="1"/>
  <c r="AQ425" i="1"/>
  <c r="AQ401" i="1"/>
  <c r="AQ516" i="1"/>
  <c r="AQ318" i="1"/>
  <c r="AQ94" i="1"/>
  <c r="AQ148" i="1"/>
  <c r="AQ477" i="1"/>
  <c r="AQ504" i="1"/>
  <c r="AQ345" i="1"/>
  <c r="AQ158" i="1"/>
  <c r="AQ28" i="1"/>
  <c r="AQ205" i="1"/>
  <c r="AQ198" i="1"/>
  <c r="AQ102" i="1"/>
  <c r="AQ281" i="1"/>
  <c r="AQ322" i="1"/>
  <c r="AQ361" i="1"/>
  <c r="AQ37" i="1"/>
  <c r="AQ191" i="1"/>
  <c r="AQ38" i="1"/>
  <c r="AQ73" i="1"/>
  <c r="AQ250" i="1"/>
  <c r="AQ454" i="1"/>
  <c r="AQ111" i="1"/>
  <c r="AQ333" i="1"/>
  <c r="AQ315" i="1"/>
  <c r="AQ42" i="1"/>
  <c r="AQ70" i="1"/>
  <c r="AQ255" i="1"/>
  <c r="AQ194" i="1"/>
  <c r="AQ19" i="1"/>
  <c r="AQ165" i="1"/>
  <c r="AQ274" i="1"/>
  <c r="AQ350" i="1"/>
  <c r="AQ489" i="1"/>
  <c r="AQ552" i="1"/>
  <c r="AQ513" i="1"/>
  <c r="AQ132" i="1"/>
  <c r="AQ125" i="1"/>
  <c r="AQ388" i="1"/>
  <c r="AQ326" i="1"/>
  <c r="AQ159" i="1"/>
  <c r="AQ174" i="1"/>
  <c r="AQ307" i="1"/>
  <c r="AQ91" i="1"/>
  <c r="AQ545" i="1"/>
  <c r="AQ461" i="1"/>
  <c r="AQ228" i="1"/>
  <c r="AQ459" i="1"/>
  <c r="AQ229" i="1"/>
  <c r="AQ398" i="1"/>
  <c r="AQ509" i="1"/>
  <c r="AQ579" i="1"/>
  <c r="AQ59" i="1"/>
  <c r="AQ129" i="1"/>
  <c r="AQ185" i="1"/>
  <c r="AQ387" i="1"/>
  <c r="AQ404" i="1"/>
  <c r="AQ392" i="1"/>
  <c r="AQ135" i="1"/>
  <c r="AQ13" i="1"/>
  <c r="AQ249" i="1"/>
  <c r="AQ290" i="1"/>
  <c r="AQ491" i="1"/>
  <c r="AQ351" i="1"/>
  <c r="AQ47" i="1"/>
  <c r="AQ225" i="1"/>
  <c r="AQ253" i="1"/>
  <c r="G6" i="28"/>
  <c r="H6" i="28" s="1"/>
  <c r="G10" i="28" s="1"/>
  <c r="AQ69" i="1"/>
  <c r="AQ440" i="1"/>
  <c r="AQ557" i="1"/>
  <c r="AQ313" i="1"/>
  <c r="AQ560" i="1"/>
  <c r="AQ1720" i="1"/>
  <c r="AQ80" i="1"/>
  <c r="AQ381" i="1"/>
  <c r="AQ131" i="1"/>
  <c r="AQ433" i="1"/>
  <c r="AQ432" i="1"/>
  <c r="AO1247" i="1"/>
  <c r="AO1259" i="1"/>
  <c r="AO1317" i="1"/>
  <c r="AO1316" i="1"/>
  <c r="AO1315" i="1"/>
  <c r="AO1314" i="1"/>
  <c r="AO1313" i="1"/>
  <c r="AO1262" i="1"/>
  <c r="AO1253" i="1"/>
  <c r="AO1312" i="1"/>
  <c r="AO1311" i="1"/>
  <c r="AO1270" i="1"/>
  <c r="AO1269" i="1"/>
  <c r="AO1276" i="1"/>
  <c r="AO1196" i="1"/>
  <c r="AO1258" i="1"/>
  <c r="AO1265" i="1"/>
  <c r="AN763" i="1"/>
  <c r="AN748" i="1"/>
  <c r="AN765" i="1"/>
  <c r="AN757" i="1"/>
  <c r="AN746" i="1"/>
  <c r="AN752" i="1"/>
  <c r="AN759" i="1"/>
  <c r="AN767" i="1"/>
  <c r="AN755" i="1"/>
  <c r="AN760" i="1"/>
  <c r="AN749" i="1"/>
  <c r="AN758" i="1"/>
  <c r="AN756" i="1"/>
  <c r="AN754" i="1"/>
  <c r="AN753" i="1"/>
  <c r="AN764" i="1"/>
  <c r="AN751" i="1"/>
  <c r="AN750" i="1"/>
  <c r="AN747" i="1"/>
  <c r="AN762" i="1"/>
  <c r="AN761" i="1"/>
  <c r="AN745" i="1"/>
  <c r="AN770" i="1"/>
  <c r="AO1221" i="1"/>
  <c r="AO1191" i="1"/>
  <c r="AO1205" i="1"/>
  <c r="AO1204" i="1"/>
  <c r="AO1224" i="1"/>
  <c r="AO1199" i="1"/>
  <c r="AO1209" i="1"/>
  <c r="AO1208" i="1"/>
  <c r="AO1222" i="1"/>
  <c r="AO1206" i="1"/>
  <c r="AN1320" i="1"/>
  <c r="AN1292" i="1"/>
  <c r="AN1290" i="1"/>
  <c r="AN1318" i="1"/>
  <c r="AN1308" i="1"/>
  <c r="AN1307" i="1"/>
  <c r="AN1302" i="1"/>
  <c r="AN1286" i="1"/>
  <c r="AN1304" i="1"/>
  <c r="AN1294" i="1"/>
  <c r="AN1301" i="1"/>
  <c r="AN1298" i="1"/>
  <c r="AN1322" i="1"/>
  <c r="AN1321" i="1"/>
  <c r="AN1296" i="1"/>
  <c r="AN1319" i="1"/>
  <c r="AN1306" i="1"/>
  <c r="AN1295" i="1"/>
  <c r="AN1310" i="1"/>
  <c r="AN1309" i="1"/>
  <c r="AN1291" i="1"/>
  <c r="AN1303" i="1"/>
  <c r="AN1300" i="1"/>
  <c r="AN1287" i="1"/>
  <c r="AN1297" i="1"/>
  <c r="AO1106" i="1"/>
  <c r="AO1104" i="1"/>
  <c r="AO1093" i="1"/>
  <c r="AO1107" i="1"/>
  <c r="AO1095" i="1"/>
  <c r="AO1108" i="1"/>
  <c r="AO1105" i="1"/>
  <c r="AO1130" i="1"/>
  <c r="AO1625" i="1"/>
  <c r="AN1680" i="1"/>
  <c r="AN1677" i="1"/>
  <c r="AN1685" i="1"/>
  <c r="AN1675" i="1"/>
  <c r="AN1682" i="1"/>
  <c r="AN1674" i="1"/>
  <c r="AN1684" i="1"/>
  <c r="AN1681" i="1"/>
  <c r="AN1679" i="1"/>
  <c r="AN1678" i="1"/>
  <c r="AN1705" i="1"/>
  <c r="AN1707" i="1"/>
  <c r="AO1128" i="1"/>
  <c r="AO1680" i="1"/>
  <c r="AO1679" i="1"/>
  <c r="AO1677" i="1"/>
  <c r="AO1675" i="1"/>
  <c r="AO1674" i="1"/>
  <c r="AO1684" i="1"/>
  <c r="AO1681" i="1"/>
  <c r="AO1678" i="1"/>
  <c r="AO1685" i="1"/>
  <c r="AO1682" i="1"/>
  <c r="AN1247" i="1"/>
  <c r="AN1269" i="1"/>
  <c r="AN1311" i="1"/>
  <c r="AN1276" i="1"/>
  <c r="AN1253" i="1"/>
  <c r="AN1317" i="1"/>
  <c r="AN1313" i="1"/>
  <c r="AN1270" i="1"/>
  <c r="AN1256" i="1"/>
  <c r="AQ1256" i="1" s="1"/>
  <c r="AN1315" i="1"/>
  <c r="AN1259" i="1"/>
  <c r="AN1312" i="1"/>
  <c r="AN1265" i="1"/>
  <c r="AN1196" i="1"/>
  <c r="AN1262" i="1"/>
  <c r="AN1280" i="1"/>
  <c r="AN1279" i="1"/>
  <c r="AN1258" i="1"/>
  <c r="AN1314" i="1"/>
  <c r="AN1316" i="1"/>
  <c r="AN1285" i="1"/>
  <c r="AO763" i="1"/>
  <c r="AO756" i="1"/>
  <c r="AO746" i="1"/>
  <c r="AO759" i="1"/>
  <c r="AO748" i="1"/>
  <c r="AO747" i="1"/>
  <c r="AO745" i="1"/>
  <c r="AO765" i="1"/>
  <c r="AO753" i="1"/>
  <c r="AO757" i="1"/>
  <c r="AO755" i="1"/>
  <c r="AO767" i="1"/>
  <c r="AO754" i="1"/>
  <c r="AO752" i="1"/>
  <c r="AO764" i="1"/>
  <c r="AO751" i="1"/>
  <c r="AO750" i="1"/>
  <c r="AO749" i="1"/>
  <c r="AO762" i="1"/>
  <c r="AO770" i="1"/>
  <c r="AO761" i="1"/>
  <c r="AO760" i="1"/>
  <c r="AO758" i="1"/>
  <c r="AO895" i="1"/>
  <c r="AO897" i="1"/>
  <c r="AO903" i="1"/>
  <c r="AO902" i="1"/>
  <c r="AO899" i="1"/>
  <c r="AO901" i="1"/>
  <c r="AO900" i="1"/>
  <c r="AO898" i="1"/>
  <c r="AO896" i="1"/>
  <c r="AN1206" i="1"/>
  <c r="AN1225" i="1"/>
  <c r="AN1246" i="1"/>
  <c r="AN1199" i="1"/>
  <c r="AN1191" i="1"/>
  <c r="AN1222" i="1"/>
  <c r="AN1208" i="1"/>
  <c r="AN1204" i="1"/>
  <c r="AN1228" i="1"/>
  <c r="AN1229" i="1"/>
  <c r="AN1226" i="1"/>
  <c r="AN1224" i="1"/>
  <c r="AN1209" i="1"/>
  <c r="AN1221" i="1"/>
  <c r="AN1205" i="1"/>
  <c r="AN1106" i="1"/>
  <c r="AN1093" i="1"/>
  <c r="AN1104" i="1"/>
  <c r="AN1095" i="1"/>
  <c r="AN1108" i="1"/>
  <c r="AN1107" i="1"/>
  <c r="AN1105" i="1"/>
  <c r="AO1368" i="1"/>
  <c r="AN1130" i="1"/>
  <c r="AN1133" i="1"/>
  <c r="AN1132" i="1"/>
  <c r="AN1134" i="1"/>
  <c r="AN1131" i="1"/>
  <c r="AN1608" i="1"/>
  <c r="AN1605" i="1"/>
  <c r="AN1611" i="1"/>
  <c r="AN1625" i="1"/>
  <c r="AN1619" i="1"/>
  <c r="AN1616" i="1"/>
  <c r="AN1603" i="1"/>
  <c r="AN1620" i="1"/>
  <c r="AN1614" i="1"/>
  <c r="AO1672" i="1"/>
  <c r="AO1673" i="1"/>
  <c r="AO1648" i="1"/>
  <c r="AO1638" i="1"/>
  <c r="AO1650" i="1"/>
  <c r="AO1705" i="1"/>
  <c r="AO1707" i="1"/>
  <c r="AN1771" i="1"/>
  <c r="AN1772" i="1"/>
  <c r="AN1766" i="1"/>
  <c r="AO1864" i="1"/>
  <c r="AO1859" i="1"/>
  <c r="AO1856" i="1"/>
  <c r="AO1862" i="1"/>
  <c r="AN1049" i="1"/>
  <c r="AN1055" i="1"/>
  <c r="AN1054" i="1"/>
  <c r="AN1050" i="1"/>
  <c r="AN1059" i="1"/>
  <c r="AN1057" i="1"/>
  <c r="AN1052" i="1"/>
  <c r="AN1061" i="1"/>
  <c r="AN1060" i="1"/>
  <c r="AN1048" i="1"/>
  <c r="AN1058" i="1"/>
  <c r="AN1056" i="1"/>
  <c r="AN1053" i="1"/>
  <c r="AN1062" i="1"/>
  <c r="AO1310" i="1"/>
  <c r="AO1318" i="1"/>
  <c r="AO1308" i="1"/>
  <c r="AO1297" i="1"/>
  <c r="AO1294" i="1"/>
  <c r="AO1303" i="1"/>
  <c r="AO1302" i="1"/>
  <c r="AO1301" i="1"/>
  <c r="AO1291" i="1"/>
  <c r="AO1298" i="1"/>
  <c r="AO1290" i="1"/>
  <c r="AO1309" i="1"/>
  <c r="AO1295" i="1"/>
  <c r="AO1292" i="1"/>
  <c r="AO1307" i="1"/>
  <c r="AO1306" i="1"/>
  <c r="AO1304" i="1"/>
  <c r="AO1300" i="1"/>
  <c r="AO1322" i="1"/>
  <c r="AO1287" i="1"/>
  <c r="AO1321" i="1"/>
  <c r="AO1320" i="1"/>
  <c r="AO1286" i="1"/>
  <c r="AO1319" i="1"/>
  <c r="AO1296" i="1"/>
  <c r="AN1708" i="1"/>
  <c r="AN1711" i="1"/>
  <c r="AO885" i="1"/>
  <c r="AO883" i="1"/>
  <c r="AO882" i="1"/>
  <c r="AO884" i="1"/>
  <c r="AO881" i="1"/>
  <c r="AO880" i="1"/>
  <c r="AO879" i="1"/>
  <c r="AO878" i="1"/>
  <c r="AO1027" i="1"/>
  <c r="AO1032" i="1"/>
  <c r="AO1029" i="1"/>
  <c r="AO1031" i="1"/>
  <c r="AO1030" i="1"/>
  <c r="AO1028" i="1"/>
  <c r="AO780" i="1"/>
  <c r="AO785" i="1"/>
  <c r="AO784" i="1"/>
  <c r="AO776" i="1"/>
  <c r="AO783" i="1"/>
  <c r="AO786" i="1"/>
  <c r="AO778" i="1"/>
  <c r="AO789" i="1"/>
  <c r="AO787" i="1"/>
  <c r="AO781" i="1"/>
  <c r="AO779" i="1"/>
  <c r="AO782" i="1"/>
  <c r="AO768" i="1"/>
  <c r="AO771" i="1"/>
  <c r="AN1376" i="1"/>
  <c r="AO729" i="1"/>
  <c r="AN985" i="1"/>
  <c r="AN983" i="1"/>
  <c r="AN982" i="1"/>
  <c r="AN986" i="1"/>
  <c r="AN984" i="1"/>
  <c r="AN987" i="1"/>
  <c r="AN980" i="1"/>
  <c r="AN979" i="1"/>
  <c r="AO1577" i="1"/>
  <c r="AN891" i="1"/>
  <c r="AN1181" i="1"/>
  <c r="AN1184" i="1"/>
  <c r="AN1182" i="1"/>
  <c r="AN1158" i="1"/>
  <c r="AN1157" i="1"/>
  <c r="AN1166" i="1"/>
  <c r="AN1165" i="1"/>
  <c r="AN1179" i="1"/>
  <c r="AN1177" i="1"/>
  <c r="AN1188" i="1"/>
  <c r="AN1186" i="1"/>
  <c r="AN1185" i="1"/>
  <c r="AO1163" i="1"/>
  <c r="AO1161" i="1"/>
  <c r="AO1160" i="1"/>
  <c r="AO1164" i="1"/>
  <c r="AO1162" i="1"/>
  <c r="AN1155" i="1"/>
  <c r="AN1153" i="1"/>
  <c r="AN1142" i="1"/>
  <c r="AN1151" i="1"/>
  <c r="AN1156" i="1"/>
  <c r="AN1154" i="1"/>
  <c r="AO1494" i="1"/>
  <c r="AO1485" i="1"/>
  <c r="AO1527" i="1"/>
  <c r="AO1479" i="1"/>
  <c r="AO1529" i="1"/>
  <c r="AO1528" i="1"/>
  <c r="AO1526" i="1"/>
  <c r="AO1490" i="1"/>
  <c r="AO1489" i="1"/>
  <c r="AO1488" i="1"/>
  <c r="AO1525" i="1"/>
  <c r="AO1524" i="1"/>
  <c r="AO1491" i="1"/>
  <c r="AO907" i="1"/>
  <c r="AO1114" i="1"/>
  <c r="AO1187" i="1"/>
  <c r="AO1231" i="1"/>
  <c r="AO1278" i="1"/>
  <c r="AO1277" i="1"/>
  <c r="AO1235" i="1"/>
  <c r="AO1189" i="1"/>
  <c r="AO1242" i="1"/>
  <c r="AO1237" i="1"/>
  <c r="AO1708" i="1"/>
  <c r="AO1711" i="1"/>
  <c r="AO1658" i="1"/>
  <c r="AO1655" i="1"/>
  <c r="AO1657" i="1"/>
  <c r="AO1659" i="1"/>
  <c r="AN881" i="1"/>
  <c r="AN879" i="1"/>
  <c r="AN885" i="1"/>
  <c r="AN882" i="1"/>
  <c r="AN878" i="1"/>
  <c r="AN884" i="1"/>
  <c r="AN883" i="1"/>
  <c r="AN880" i="1"/>
  <c r="AN1638" i="1"/>
  <c r="AN1648" i="1"/>
  <c r="AN1672" i="1"/>
  <c r="AN1673" i="1"/>
  <c r="AN1650" i="1"/>
  <c r="AN1855" i="1"/>
  <c r="AN1862" i="1"/>
  <c r="AN1864" i="1"/>
  <c r="AN1856" i="1"/>
  <c r="AN1859" i="1"/>
  <c r="AO945" i="1"/>
  <c r="AO964" i="1"/>
  <c r="AO963" i="1"/>
  <c r="AO962" i="1"/>
  <c r="AO965" i="1"/>
  <c r="AO949" i="1"/>
  <c r="AO961" i="1"/>
  <c r="AO960" i="1"/>
  <c r="AO1153" i="1"/>
  <c r="AO1151" i="1"/>
  <c r="AO1154" i="1"/>
  <c r="AO1142" i="1"/>
  <c r="AO1156" i="1"/>
  <c r="AO1155" i="1"/>
  <c r="AO1047" i="1"/>
  <c r="AO938" i="1"/>
  <c r="AO936" i="1"/>
  <c r="AO935" i="1"/>
  <c r="AO934" i="1"/>
  <c r="AO937" i="1"/>
  <c r="AO886" i="1"/>
  <c r="AO980" i="1"/>
  <c r="AN1655" i="1"/>
  <c r="AN1660" i="1"/>
  <c r="AN1659" i="1"/>
  <c r="AN1657" i="1"/>
  <c r="AO1538" i="1"/>
  <c r="AO1548" i="1"/>
  <c r="AO1547" i="1"/>
  <c r="AO1546" i="1"/>
  <c r="AN998" i="1"/>
  <c r="AN1000" i="1"/>
  <c r="AN999" i="1"/>
  <c r="AN997" i="1"/>
  <c r="AN996" i="1"/>
  <c r="AO950" i="1"/>
  <c r="AO955" i="1"/>
  <c r="AO954" i="1"/>
  <c r="AO953" i="1"/>
  <c r="AO951" i="1"/>
  <c r="AO956" i="1"/>
  <c r="AO952" i="1"/>
  <c r="AO1401" i="1"/>
  <c r="AO1404" i="1"/>
  <c r="AO1395" i="1"/>
  <c r="AO1407" i="1"/>
  <c r="AO1397" i="1"/>
  <c r="AO1403" i="1"/>
  <c r="AO1398" i="1"/>
  <c r="AO1396" i="1"/>
  <c r="AO1408" i="1"/>
  <c r="AO1402" i="1"/>
  <c r="AO1400" i="1"/>
  <c r="AO892" i="1"/>
  <c r="AO909" i="1"/>
  <c r="AO908" i="1"/>
  <c r="AN928" i="1"/>
  <c r="AN925" i="1"/>
  <c r="AN916" i="1"/>
  <c r="AN923" i="1"/>
  <c r="AN931" i="1"/>
  <c r="AN921" i="1"/>
  <c r="AN926" i="1"/>
  <c r="AN924" i="1"/>
  <c r="AN933" i="1"/>
  <c r="AN929" i="1"/>
  <c r="AN917" i="1"/>
  <c r="AN918" i="1"/>
  <c r="AN932" i="1"/>
  <c r="AN915" i="1"/>
  <c r="AN930" i="1"/>
  <c r="AN927" i="1"/>
  <c r="AN922" i="1"/>
  <c r="AN920" i="1"/>
  <c r="AN919" i="1"/>
  <c r="AN1391" i="1"/>
  <c r="AN1393" i="1"/>
  <c r="AN1420" i="1"/>
  <c r="AN1419" i="1"/>
  <c r="AN1386" i="1"/>
  <c r="AN1389" i="1"/>
  <c r="AN1394" i="1"/>
  <c r="AN1408" i="1"/>
  <c r="AN1402" i="1"/>
  <c r="AN1401" i="1"/>
  <c r="AN1400" i="1"/>
  <c r="AN1407" i="1"/>
  <c r="AN1396" i="1"/>
  <c r="AN1395" i="1"/>
  <c r="AN1403" i="1"/>
  <c r="AN1398" i="1"/>
  <c r="AN1397" i="1"/>
  <c r="AN1404" i="1"/>
  <c r="AO647" i="1"/>
  <c r="AO639" i="1"/>
  <c r="AO631" i="1"/>
  <c r="AO630" i="1"/>
  <c r="AO645" i="1"/>
  <c r="AO627" i="1"/>
  <c r="AO640" i="1"/>
  <c r="AO636" i="1"/>
  <c r="AO626" i="1"/>
  <c r="AO635" i="1"/>
  <c r="AO643" i="1"/>
  <c r="AO625" i="1"/>
  <c r="AO633" i="1"/>
  <c r="AO641" i="1"/>
  <c r="AO632" i="1"/>
  <c r="AO628" i="1"/>
  <c r="AO642" i="1"/>
  <c r="AO637" i="1"/>
  <c r="AO634" i="1"/>
  <c r="AO646" i="1"/>
  <c r="AO629" i="1"/>
  <c r="AO1071" i="1"/>
  <c r="AO1069" i="1"/>
  <c r="AO1068" i="1"/>
  <c r="AO1070" i="1"/>
  <c r="AN1578" i="1"/>
  <c r="AN1565" i="1"/>
  <c r="AN1572" i="1"/>
  <c r="AN1557" i="1"/>
  <c r="AN1554" i="1"/>
  <c r="AN1577" i="1"/>
  <c r="AN1159" i="1"/>
  <c r="AN1163" i="1"/>
  <c r="AN1162" i="1"/>
  <c r="AN1161" i="1"/>
  <c r="AN1160" i="1"/>
  <c r="AN1164" i="1"/>
  <c r="AO841" i="1"/>
  <c r="AO843" i="1"/>
  <c r="AO842" i="1"/>
  <c r="AO839" i="1"/>
  <c r="AN1636" i="1"/>
  <c r="AN1626" i="1"/>
  <c r="AN1640" i="1"/>
  <c r="AN1606" i="1"/>
  <c r="AN1639" i="1"/>
  <c r="AO1712" i="1"/>
  <c r="AO1345" i="1"/>
  <c r="AO1344" i="1"/>
  <c r="AO1349" i="1"/>
  <c r="AO1339" i="1"/>
  <c r="AO1338" i="1"/>
  <c r="AO1346" i="1"/>
  <c r="AO1337" i="1"/>
  <c r="AO1335" i="1"/>
  <c r="AO1343" i="1"/>
  <c r="AO1334" i="1"/>
  <c r="AO1341" i="1"/>
  <c r="AO1350" i="1"/>
  <c r="AO1331" i="1"/>
  <c r="AO1330" i="1"/>
  <c r="AO1336" i="1"/>
  <c r="AO1353" i="1"/>
  <c r="AO1157" i="1"/>
  <c r="AO1182" i="1"/>
  <c r="AO1158" i="1"/>
  <c r="AO1166" i="1"/>
  <c r="AO1181" i="1"/>
  <c r="AO1165" i="1"/>
  <c r="AO1078" i="1"/>
  <c r="AO958" i="1"/>
  <c r="AO969" i="1"/>
  <c r="AO959" i="1"/>
  <c r="AO957" i="1"/>
  <c r="AO968" i="1"/>
  <c r="AO967" i="1"/>
  <c r="AO966" i="1"/>
  <c r="AO914" i="1"/>
  <c r="AO913" i="1"/>
  <c r="AO1640" i="1"/>
  <c r="AO1639" i="1"/>
  <c r="AO1636" i="1"/>
  <c r="AO1626" i="1"/>
  <c r="AO1606" i="1"/>
  <c r="AN1712" i="1"/>
  <c r="AO1409" i="1"/>
  <c r="AO1414" i="1"/>
  <c r="AO1412" i="1"/>
  <c r="AO1405" i="1"/>
  <c r="AO1416" i="1"/>
  <c r="AO1421" i="1"/>
  <c r="AO1415" i="1"/>
  <c r="AO1545" i="1"/>
  <c r="AO1540" i="1"/>
  <c r="AO1495" i="1"/>
  <c r="AO1544" i="1"/>
  <c r="AO1500" i="1"/>
  <c r="AO1541" i="1"/>
  <c r="AO1542" i="1"/>
  <c r="AN1764" i="1"/>
  <c r="AQ1764" i="1" s="1"/>
  <c r="AN1760" i="1"/>
  <c r="AN1765" i="1"/>
  <c r="AO928" i="1"/>
  <c r="AO916" i="1"/>
  <c r="AO926" i="1"/>
  <c r="AO915" i="1"/>
  <c r="AO924" i="1"/>
  <c r="AO923" i="1"/>
  <c r="AO922" i="1"/>
  <c r="AO931" i="1"/>
  <c r="AO921" i="1"/>
  <c r="AO927" i="1"/>
  <c r="AO918" i="1"/>
  <c r="AO933" i="1"/>
  <c r="AO917" i="1"/>
  <c r="AO932" i="1"/>
  <c r="AO930" i="1"/>
  <c r="AO929" i="1"/>
  <c r="AO925" i="1"/>
  <c r="AO919" i="1"/>
  <c r="AO920" i="1"/>
  <c r="AO1185" i="1"/>
  <c r="AO1177" i="1"/>
  <c r="AO1188" i="1"/>
  <c r="AO1186" i="1"/>
  <c r="AO1179" i="1"/>
  <c r="AO1184" i="1"/>
  <c r="AO1101" i="1"/>
  <c r="AO1100" i="1"/>
  <c r="AO1099" i="1"/>
  <c r="AO1098" i="1"/>
  <c r="AO1063" i="1"/>
  <c r="AO1072" i="1"/>
  <c r="AO1077" i="1"/>
  <c r="AO939" i="1"/>
  <c r="AO940" i="1"/>
  <c r="AN839" i="1"/>
  <c r="AN843" i="1"/>
  <c r="AN842" i="1"/>
  <c r="AN841" i="1"/>
  <c r="AN894" i="1"/>
  <c r="AN893" i="1"/>
  <c r="AO1566" i="1"/>
  <c r="AO1567" i="1"/>
  <c r="AO674" i="1"/>
  <c r="AO669" i="1"/>
  <c r="AO668" i="1"/>
  <c r="AO670" i="1"/>
  <c r="AO662" i="1"/>
  <c r="AO666" i="1"/>
  <c r="AO663" i="1"/>
  <c r="AO672" i="1"/>
  <c r="AO671" i="1"/>
  <c r="AO660" i="1"/>
  <c r="AO657" i="1"/>
  <c r="AO656" i="1"/>
  <c r="AO665" i="1"/>
  <c r="AO673" i="1"/>
  <c r="AO655" i="1"/>
  <c r="AO664" i="1"/>
  <c r="AN1063" i="1"/>
  <c r="AN1072" i="1"/>
  <c r="AN1077" i="1"/>
  <c r="AN1078" i="1"/>
  <c r="AO1102" i="1"/>
  <c r="AN1545" i="1"/>
  <c r="AN1546" i="1"/>
  <c r="AN1541" i="1"/>
  <c r="AN1544" i="1"/>
  <c r="AN1500" i="1"/>
  <c r="AN1542" i="1"/>
  <c r="AN1540" i="1"/>
  <c r="AN1495" i="1"/>
  <c r="AN1547" i="1"/>
  <c r="AN1548" i="1"/>
  <c r="AN1538" i="1"/>
  <c r="AN1836" i="1"/>
  <c r="AN1837" i="1"/>
  <c r="AN1833" i="1"/>
  <c r="AN1846" i="1"/>
  <c r="AN1840" i="1"/>
  <c r="AN1839" i="1"/>
  <c r="AN1848" i="1"/>
  <c r="AN1838" i="1"/>
  <c r="AN1842" i="1"/>
  <c r="AO942" i="1"/>
  <c r="AO944" i="1"/>
  <c r="AO941" i="1"/>
  <c r="AO946" i="1"/>
  <c r="AO948" i="1"/>
  <c r="AO947" i="1"/>
  <c r="AO943" i="1"/>
  <c r="AO1520" i="1"/>
  <c r="AO994" i="1"/>
  <c r="AO993" i="1"/>
  <c r="AO988" i="1"/>
  <c r="AO995" i="1"/>
  <c r="AO1246" i="1"/>
  <c r="AO1585" i="1"/>
  <c r="AO1576" i="1"/>
  <c r="AO1584" i="1"/>
  <c r="AO1575" i="1"/>
  <c r="AO1580" i="1"/>
  <c r="AO1574" i="1"/>
  <c r="AO1586" i="1"/>
  <c r="AO1573" i="1"/>
  <c r="AO1587" i="1"/>
  <c r="AO1581" i="1"/>
  <c r="AN1818" i="1"/>
  <c r="AN1820" i="1"/>
  <c r="AN1824" i="1"/>
  <c r="AN1819" i="1"/>
  <c r="AN1822" i="1"/>
  <c r="AN1821" i="1"/>
  <c r="AN1550" i="1"/>
  <c r="AN1512" i="1"/>
  <c r="AN1510" i="1"/>
  <c r="AN1509" i="1"/>
  <c r="AN1549" i="1"/>
  <c r="AN1511" i="1"/>
  <c r="AO1537" i="1"/>
  <c r="AO1536" i="1"/>
  <c r="AN615" i="1"/>
  <c r="AN653" i="1"/>
  <c r="AN644" i="1"/>
  <c r="AN652" i="1"/>
  <c r="AN651" i="1"/>
  <c r="AN650" i="1"/>
  <c r="AN649" i="1"/>
  <c r="AN648" i="1"/>
  <c r="AN1030" i="1"/>
  <c r="AN1032" i="1"/>
  <c r="AN1031" i="1"/>
  <c r="AN1029" i="1"/>
  <c r="AN1028" i="1"/>
  <c r="AN1026" i="1"/>
  <c r="AN1027" i="1"/>
  <c r="AO1082" i="1"/>
  <c r="AO1083" i="1"/>
  <c r="AO1080" i="1"/>
  <c r="AO1079" i="1"/>
  <c r="AO1081" i="1"/>
  <c r="AO1076" i="1"/>
  <c r="AO1074" i="1"/>
  <c r="AO1085" i="1"/>
  <c r="AO1051" i="1"/>
  <c r="AO1084" i="1"/>
  <c r="AO653" i="1"/>
  <c r="AO650" i="1"/>
  <c r="AO644" i="1"/>
  <c r="AO652" i="1"/>
  <c r="AO615" i="1"/>
  <c r="AO649" i="1"/>
  <c r="AO651" i="1"/>
  <c r="AO648" i="1"/>
  <c r="AO1647" i="1"/>
  <c r="AO1652" i="1"/>
  <c r="AO1627" i="1"/>
  <c r="AO1651" i="1"/>
  <c r="AO1633" i="1"/>
  <c r="AO1643" i="1"/>
  <c r="AO1642" i="1"/>
  <c r="AO1645" i="1"/>
  <c r="AO1624" i="1"/>
  <c r="AO1649" i="1"/>
  <c r="AN1721" i="1"/>
  <c r="AN1719" i="1"/>
  <c r="AO1026" i="1"/>
  <c r="AN868" i="1"/>
  <c r="AN866" i="1"/>
  <c r="AN911" i="1"/>
  <c r="AN860" i="1"/>
  <c r="AN874" i="1"/>
  <c r="AN865" i="1"/>
  <c r="AN867" i="1"/>
  <c r="AN864" i="1"/>
  <c r="AN875" i="1"/>
  <c r="AN862" i="1"/>
  <c r="AN910" i="1"/>
  <c r="AN872" i="1"/>
  <c r="AN857" i="1"/>
  <c r="AN859" i="1"/>
  <c r="AN873" i="1"/>
  <c r="AN858" i="1"/>
  <c r="AN871" i="1"/>
  <c r="AN870" i="1"/>
  <c r="AN912" i="1"/>
  <c r="AN869" i="1"/>
  <c r="AN876" i="1"/>
  <c r="AN861" i="1"/>
  <c r="AN877" i="1"/>
  <c r="AN863" i="1"/>
  <c r="AO1564" i="1"/>
  <c r="AO1556" i="1"/>
  <c r="AO1553" i="1"/>
  <c r="AO1132" i="1"/>
  <c r="AO1131" i="1"/>
  <c r="AO1134" i="1"/>
  <c r="AO1133" i="1"/>
  <c r="AO567" i="1"/>
  <c r="AO591" i="1"/>
  <c r="AO595" i="1"/>
  <c r="AO589" i="1"/>
  <c r="AO588" i="1"/>
  <c r="AO596" i="1"/>
  <c r="AO594" i="1"/>
  <c r="AO593" i="1"/>
  <c r="AO574" i="1"/>
  <c r="AO590" i="1"/>
  <c r="AO592" i="1"/>
  <c r="AO1149" i="1"/>
  <c r="AO1483" i="1"/>
  <c r="AO1475" i="1"/>
  <c r="AO1467" i="1"/>
  <c r="AO1471" i="1"/>
  <c r="AO1481" i="1"/>
  <c r="AO1480" i="1"/>
  <c r="AO1478" i="1"/>
  <c r="AO1477" i="1"/>
  <c r="AO1466" i="1"/>
  <c r="AO1486" i="1"/>
  <c r="AO1472" i="1"/>
  <c r="AO1484" i="1"/>
  <c r="AO1465" i="1"/>
  <c r="AO1476" i="1"/>
  <c r="AO1469" i="1"/>
  <c r="AO1487" i="1"/>
  <c r="AO1482" i="1"/>
  <c r="AO1034" i="1"/>
  <c r="AO1033" i="1"/>
  <c r="AN1082" i="1"/>
  <c r="AN1083" i="1"/>
  <c r="AN1076" i="1"/>
  <c r="AN1079" i="1"/>
  <c r="AN1084" i="1"/>
  <c r="AN1074" i="1"/>
  <c r="AN1085" i="1"/>
  <c r="AN1051" i="1"/>
  <c r="AN1080" i="1"/>
  <c r="AN1081" i="1"/>
  <c r="AO818" i="1"/>
  <c r="AO805" i="1"/>
  <c r="AO796" i="1"/>
  <c r="AO788" i="1"/>
  <c r="AO799" i="1"/>
  <c r="AO821" i="1"/>
  <c r="AO794" i="1"/>
  <c r="AO815" i="1"/>
  <c r="AO806" i="1"/>
  <c r="AO795" i="1"/>
  <c r="AO813" i="1"/>
  <c r="AO822" i="1"/>
  <c r="AO792" i="1"/>
  <c r="AO810" i="1"/>
  <c r="AO790" i="1"/>
  <c r="AO820" i="1"/>
  <c r="AO819" i="1"/>
  <c r="AO791" i="1"/>
  <c r="AO1211" i="1"/>
  <c r="AO803" i="1"/>
  <c r="AO817" i="1"/>
  <c r="AO802" i="1"/>
  <c r="AO816" i="1"/>
  <c r="AO801" i="1"/>
  <c r="AO814" i="1"/>
  <c r="AO800" i="1"/>
  <c r="AO812" i="1"/>
  <c r="AO811" i="1"/>
  <c r="AO798" i="1"/>
  <c r="AO1203" i="1"/>
  <c r="AO1202" i="1"/>
  <c r="AO808" i="1"/>
  <c r="AO807" i="1"/>
  <c r="AO797" i="1"/>
  <c r="AO793" i="1"/>
  <c r="AO809" i="1"/>
  <c r="AO1578" i="1"/>
  <c r="AN1647" i="1"/>
  <c r="AN1652" i="1"/>
  <c r="AN1627" i="1"/>
  <c r="AN1651" i="1"/>
  <c r="AN1624" i="1"/>
  <c r="AN1633" i="1"/>
  <c r="AN1645" i="1"/>
  <c r="AN1643" i="1"/>
  <c r="AN1642" i="1"/>
  <c r="AN1649" i="1"/>
  <c r="AO1721" i="1"/>
  <c r="AO1719" i="1"/>
  <c r="AO1429" i="1"/>
  <c r="AO1430" i="1"/>
  <c r="AO1428" i="1"/>
  <c r="AO1424" i="1"/>
  <c r="AO1426" i="1"/>
  <c r="AO1425" i="1"/>
  <c r="AO1423" i="1"/>
  <c r="AO1411" i="1"/>
  <c r="AO1422" i="1"/>
  <c r="AO1410" i="1"/>
  <c r="AO1418" i="1"/>
  <c r="AO1417" i="1"/>
  <c r="AO1406" i="1"/>
  <c r="AN780" i="1"/>
  <c r="AN783" i="1"/>
  <c r="AN789" i="1"/>
  <c r="AN785" i="1"/>
  <c r="AN782" i="1"/>
  <c r="AN779" i="1"/>
  <c r="AN778" i="1"/>
  <c r="AN776" i="1"/>
  <c r="AN787" i="1"/>
  <c r="AN786" i="1"/>
  <c r="AN784" i="1"/>
  <c r="AN781" i="1"/>
  <c r="AN1368" i="1"/>
  <c r="AO1159" i="1"/>
  <c r="AN674" i="1"/>
  <c r="AN662" i="1"/>
  <c r="AN671" i="1"/>
  <c r="AN669" i="1"/>
  <c r="AN655" i="1"/>
  <c r="AN673" i="1"/>
  <c r="AN663" i="1"/>
  <c r="AN672" i="1"/>
  <c r="AN670" i="1"/>
  <c r="AN660" i="1"/>
  <c r="AN668" i="1"/>
  <c r="AN657" i="1"/>
  <c r="AN656" i="1"/>
  <c r="AN664" i="1"/>
  <c r="AN666" i="1"/>
  <c r="AN665" i="1"/>
  <c r="AO1240" i="1"/>
  <c r="AO1238" i="1"/>
  <c r="AO1245" i="1"/>
  <c r="AO1236" i="1"/>
  <c r="AO1227" i="1"/>
  <c r="AO1289" i="1"/>
  <c r="AO1244" i="1"/>
  <c r="AO1293" i="1"/>
  <c r="AO1284" i="1"/>
  <c r="AO1243" i="1"/>
  <c r="AO1233" i="1"/>
  <c r="AO1230" i="1"/>
  <c r="AO1281" i="1"/>
  <c r="AO1239" i="1"/>
  <c r="AO1241" i="1"/>
  <c r="AO1288" i="1"/>
  <c r="AO1183" i="1"/>
  <c r="AO1234" i="1"/>
  <c r="AO1232" i="1"/>
  <c r="AN1553" i="1"/>
  <c r="AN1568" i="1"/>
  <c r="AN1558" i="1"/>
  <c r="AN1566" i="1"/>
  <c r="AN1556" i="1"/>
  <c r="AN1567" i="1"/>
  <c r="AN1562" i="1"/>
  <c r="AN1563" i="1"/>
  <c r="AN1520" i="1"/>
  <c r="AN1467" i="1"/>
  <c r="AN1477" i="1"/>
  <c r="AN1469" i="1"/>
  <c r="AN1486" i="1"/>
  <c r="AN1475" i="1"/>
  <c r="AN1484" i="1"/>
  <c r="AN1474" i="1"/>
  <c r="AN1483" i="1"/>
  <c r="AN1471" i="1"/>
  <c r="AN1482" i="1"/>
  <c r="AN1481" i="1"/>
  <c r="AN1476" i="1"/>
  <c r="AN1466" i="1"/>
  <c r="AN1465" i="1"/>
  <c r="AN1472" i="1"/>
  <c r="AN1478" i="1"/>
  <c r="AN1473" i="1"/>
  <c r="AN1487" i="1"/>
  <c r="AN1480" i="1"/>
  <c r="AO740" i="1"/>
  <c r="AO738" i="1"/>
  <c r="AO742" i="1"/>
  <c r="AO735" i="1"/>
  <c r="AO743" i="1"/>
  <c r="AO741" i="1"/>
  <c r="AO736" i="1"/>
  <c r="AO734" i="1"/>
  <c r="AO744" i="1"/>
  <c r="AN818" i="1"/>
  <c r="AN813" i="1"/>
  <c r="AN819" i="1"/>
  <c r="AN792" i="1"/>
  <c r="AN817" i="1"/>
  <c r="AN808" i="1"/>
  <c r="AN790" i="1"/>
  <c r="AN798" i="1"/>
  <c r="AN803" i="1"/>
  <c r="AN1211" i="1"/>
  <c r="AN815" i="1"/>
  <c r="AN806" i="1"/>
  <c r="AN794" i="1"/>
  <c r="AN802" i="1"/>
  <c r="AN821" i="1"/>
  <c r="AN801" i="1"/>
  <c r="AN791" i="1"/>
  <c r="AN1203" i="1"/>
  <c r="AN816" i="1"/>
  <c r="AN807" i="1"/>
  <c r="AN793" i="1"/>
  <c r="AN820" i="1"/>
  <c r="AN805" i="1"/>
  <c r="AN788" i="1"/>
  <c r="AN814" i="1"/>
  <c r="AN800" i="1"/>
  <c r="AN812" i="1"/>
  <c r="AN799" i="1"/>
  <c r="AN810" i="1"/>
  <c r="AN797" i="1"/>
  <c r="AN822" i="1"/>
  <c r="AN796" i="1"/>
  <c r="AN795" i="1"/>
  <c r="AN1202" i="1"/>
  <c r="AN811" i="1"/>
  <c r="AN809" i="1"/>
  <c r="AO1727" i="1"/>
  <c r="AO1725" i="1"/>
  <c r="AN1422" i="1"/>
  <c r="AN1410" i="1"/>
  <c r="AN1430" i="1"/>
  <c r="AN1426" i="1"/>
  <c r="AN1425" i="1"/>
  <c r="AN1424" i="1"/>
  <c r="AN1406" i="1"/>
  <c r="AN1418" i="1"/>
  <c r="AN1427" i="1"/>
  <c r="AN1417" i="1"/>
  <c r="AN1411" i="1"/>
  <c r="AN1429" i="1"/>
  <c r="AN1423" i="1"/>
  <c r="AN1428" i="1"/>
  <c r="AN1788" i="1"/>
  <c r="AN1780" i="1"/>
  <c r="AN1790" i="1"/>
  <c r="AN1784" i="1"/>
  <c r="AN1789" i="1"/>
  <c r="AN1786" i="1"/>
  <c r="AN1777" i="1"/>
  <c r="AN1774" i="1"/>
  <c r="AN1783" i="1"/>
  <c r="AN768" i="1"/>
  <c r="AN771" i="1"/>
  <c r="AO983" i="1"/>
  <c r="AO982" i="1"/>
  <c r="AO986" i="1"/>
  <c r="AO985" i="1"/>
  <c r="AO984" i="1"/>
  <c r="AN966" i="1"/>
  <c r="AN949" i="1"/>
  <c r="AN964" i="1"/>
  <c r="AN963" i="1"/>
  <c r="AN968" i="1"/>
  <c r="AN945" i="1"/>
  <c r="AN962" i="1"/>
  <c r="AN961" i="1"/>
  <c r="AN960" i="1"/>
  <c r="AN969" i="1"/>
  <c r="AN958" i="1"/>
  <c r="AN959" i="1"/>
  <c r="AN957" i="1"/>
  <c r="AN965" i="1"/>
  <c r="AN967" i="1"/>
  <c r="AN934" i="1"/>
  <c r="AN935" i="1"/>
  <c r="AN886" i="1"/>
  <c r="AN939" i="1"/>
  <c r="AN937" i="1"/>
  <c r="AN940" i="1"/>
  <c r="AN938" i="1"/>
  <c r="AN936" i="1"/>
  <c r="AN837" i="1"/>
  <c r="AN840" i="1"/>
  <c r="AN838" i="1"/>
  <c r="AN836" i="1"/>
  <c r="AO658" i="1"/>
  <c r="AO687" i="1"/>
  <c r="AO682" i="1"/>
  <c r="AO689" i="1"/>
  <c r="AO688" i="1"/>
  <c r="AO678" i="1"/>
  <c r="AO684" i="1"/>
  <c r="AO675" i="1"/>
  <c r="AO690" i="1"/>
  <c r="AO680" i="1"/>
  <c r="AO695" i="1"/>
  <c r="AO683" i="1"/>
  <c r="AO661" i="1"/>
  <c r="AO694" i="1"/>
  <c r="AO681" i="1"/>
  <c r="AO693" i="1"/>
  <c r="AO692" i="1"/>
  <c r="AO679" i="1"/>
  <c r="AO691" i="1"/>
  <c r="AO677" i="1"/>
  <c r="AO676" i="1"/>
  <c r="AO696" i="1"/>
  <c r="AO686" i="1"/>
  <c r="AO685" i="1"/>
  <c r="AO697" i="1"/>
  <c r="AO659" i="1"/>
  <c r="AN567" i="1"/>
  <c r="AN593" i="1"/>
  <c r="AN591" i="1"/>
  <c r="AN590" i="1"/>
  <c r="AN592" i="1"/>
  <c r="AN589" i="1"/>
  <c r="AN588" i="1"/>
  <c r="AN596" i="1"/>
  <c r="AN595" i="1"/>
  <c r="AN594" i="1"/>
  <c r="AN574" i="1"/>
  <c r="AN1035" i="1"/>
  <c r="AN1034" i="1"/>
  <c r="AN1033" i="1"/>
  <c r="AN1038" i="1"/>
  <c r="AN1036" i="1"/>
  <c r="AN1018" i="1"/>
  <c r="AN1587" i="1"/>
  <c r="AN1585" i="1"/>
  <c r="AN1576" i="1"/>
  <c r="AN1584" i="1"/>
  <c r="AN1575" i="1"/>
  <c r="AN1574" i="1"/>
  <c r="AN1573" i="1"/>
  <c r="AN1580" i="1"/>
  <c r="AN1586" i="1"/>
  <c r="AN1581" i="1"/>
  <c r="AN1240" i="1"/>
  <c r="AN1284" i="1"/>
  <c r="AN1245" i="1"/>
  <c r="AN1236" i="1"/>
  <c r="AN1234" i="1"/>
  <c r="AN1183" i="1"/>
  <c r="AN1293" i="1"/>
  <c r="AN1244" i="1"/>
  <c r="AN1243" i="1"/>
  <c r="AN1233" i="1"/>
  <c r="AN1241" i="1"/>
  <c r="AN1230" i="1"/>
  <c r="AN1288" i="1"/>
  <c r="AN1227" i="1"/>
  <c r="AN1281" i="1"/>
  <c r="AN1289" i="1"/>
  <c r="AN1239" i="1"/>
  <c r="AN1238" i="1"/>
  <c r="AN1232" i="1"/>
  <c r="AO1067" i="1"/>
  <c r="AO1066" i="1"/>
  <c r="AO1064" i="1"/>
  <c r="AO1065" i="1"/>
  <c r="AO987" i="1"/>
  <c r="AO979" i="1"/>
  <c r="AN1113" i="1"/>
  <c r="AN1122" i="1"/>
  <c r="AN1103" i="1"/>
  <c r="AN1109" i="1"/>
  <c r="AN1121" i="1"/>
  <c r="AN1119" i="1"/>
  <c r="AN1117" i="1"/>
  <c r="AN1116" i="1"/>
  <c r="AN1115" i="1"/>
  <c r="AN1114" i="1"/>
  <c r="AN1110" i="1"/>
  <c r="AN856" i="1"/>
  <c r="AN855" i="1"/>
  <c r="AN854" i="1"/>
  <c r="AN908" i="1"/>
  <c r="AN909" i="1"/>
  <c r="AO1358" i="1"/>
  <c r="AO1357" i="1"/>
  <c r="AO1356" i="1"/>
  <c r="AO1361" i="1"/>
  <c r="AO1363" i="1"/>
  <c r="AO1360" i="1"/>
  <c r="AO1474" i="1"/>
  <c r="AO1473" i="1"/>
  <c r="AO1174" i="1"/>
  <c r="AO1172" i="1"/>
  <c r="AO1176" i="1"/>
  <c r="AO1173" i="1"/>
  <c r="AO1175" i="1"/>
  <c r="AO1171" i="1"/>
  <c r="AN738" i="1"/>
  <c r="AN742" i="1"/>
  <c r="AN741" i="1"/>
  <c r="AN740" i="1"/>
  <c r="AN736" i="1"/>
  <c r="AN743" i="1"/>
  <c r="AN734" i="1"/>
  <c r="AN735" i="1"/>
  <c r="AN744" i="1"/>
  <c r="AO723" i="1"/>
  <c r="AO721" i="1"/>
  <c r="AO719" i="1"/>
  <c r="AO715" i="1"/>
  <c r="AO716" i="1"/>
  <c r="AO727" i="1"/>
  <c r="AO726" i="1"/>
  <c r="AO722" i="1"/>
  <c r="AO732" i="1"/>
  <c r="AO717" i="1"/>
  <c r="AO731" i="1"/>
  <c r="AO730" i="1"/>
  <c r="AO714" i="1"/>
  <c r="AO728" i="1"/>
  <c r="AO725" i="1"/>
  <c r="AO724" i="1"/>
  <c r="AO733" i="1"/>
  <c r="AO720" i="1"/>
  <c r="AO718" i="1"/>
  <c r="AO1328" i="1"/>
  <c r="AO1327" i="1"/>
  <c r="AO1326" i="1"/>
  <c r="AO1325" i="1"/>
  <c r="AO1324" i="1"/>
  <c r="AO1323" i="1"/>
  <c r="AN1731" i="1"/>
  <c r="AQ1731" i="1" s="1"/>
  <c r="AN1726" i="1"/>
  <c r="AQ1726" i="1" s="1"/>
  <c r="AN1725" i="1"/>
  <c r="AN1727" i="1"/>
  <c r="AO1193" i="1"/>
  <c r="AO1195" i="1"/>
  <c r="AN1776" i="1"/>
  <c r="AN1815" i="1"/>
  <c r="AN1814" i="1"/>
  <c r="AN1816" i="1"/>
  <c r="AN1813" i="1"/>
  <c r="AN1812" i="1"/>
  <c r="AN1817" i="1"/>
  <c r="AN1811" i="1"/>
  <c r="AO1389" i="1"/>
  <c r="AO1386" i="1"/>
  <c r="AO1393" i="1"/>
  <c r="AO1394" i="1"/>
  <c r="AO1391" i="1"/>
  <c r="AO1420" i="1"/>
  <c r="AO1419" i="1"/>
  <c r="AO840" i="1"/>
  <c r="AO836" i="1"/>
  <c r="AO838" i="1"/>
  <c r="AO837" i="1"/>
  <c r="AO1531" i="1"/>
  <c r="AO1530" i="1"/>
  <c r="AN1071" i="1"/>
  <c r="AN1065" i="1"/>
  <c r="AN1068" i="1"/>
  <c r="AN1069" i="1"/>
  <c r="AN1067" i="1"/>
  <c r="AN1070" i="1"/>
  <c r="AN1066" i="1"/>
  <c r="AN1064" i="1"/>
  <c r="AO1110" i="1"/>
  <c r="AO1117" i="1"/>
  <c r="AO1103" i="1"/>
  <c r="AO1119" i="1"/>
  <c r="AO1115" i="1"/>
  <c r="AO1109" i="1"/>
  <c r="AO1116" i="1"/>
  <c r="AO854" i="1"/>
  <c r="AO856" i="1"/>
  <c r="AO855" i="1"/>
  <c r="AO1086" i="1"/>
  <c r="AO1096" i="1"/>
  <c r="AO1094" i="1"/>
  <c r="AO1089" i="1"/>
  <c r="AO1092" i="1"/>
  <c r="AO1090" i="1"/>
  <c r="AO1088" i="1"/>
  <c r="AO1097" i="1"/>
  <c r="AO1590" i="1"/>
  <c r="AO1594" i="1"/>
  <c r="AO1593" i="1"/>
  <c r="AO1560" i="1"/>
  <c r="AO1592" i="1"/>
  <c r="AO1591" i="1"/>
  <c r="AO1559" i="1"/>
  <c r="AN1494" i="1"/>
  <c r="AN1526" i="1"/>
  <c r="AN1488" i="1"/>
  <c r="AN1485" i="1"/>
  <c r="AN1531" i="1"/>
  <c r="AN1528" i="1"/>
  <c r="AN1490" i="1"/>
  <c r="AN1530" i="1"/>
  <c r="AN1527" i="1"/>
  <c r="AN1491" i="1"/>
  <c r="AN1489" i="1"/>
  <c r="AN1529" i="1"/>
  <c r="AN1525" i="1"/>
  <c r="AN1493" i="1"/>
  <c r="AQ1493" i="1" s="1"/>
  <c r="AN1524" i="1"/>
  <c r="AN1479" i="1"/>
  <c r="AO1178" i="1"/>
  <c r="AN1086" i="1"/>
  <c r="AN1094" i="1"/>
  <c r="AN1102" i="1"/>
  <c r="AN1092" i="1"/>
  <c r="AN1101" i="1"/>
  <c r="AN1089" i="1"/>
  <c r="AN1099" i="1"/>
  <c r="AN1097" i="1"/>
  <c r="AN1090" i="1"/>
  <c r="AN1088" i="1"/>
  <c r="AN1100" i="1"/>
  <c r="AN1098" i="1"/>
  <c r="AN1096" i="1"/>
  <c r="AO1044" i="1"/>
  <c r="AO1046" i="1"/>
  <c r="AO1045" i="1"/>
  <c r="AO1043" i="1"/>
  <c r="AO1041" i="1"/>
  <c r="AO1042" i="1"/>
  <c r="AN772" i="1"/>
  <c r="AN774" i="1"/>
  <c r="AN777" i="1"/>
  <c r="AN769" i="1"/>
  <c r="AN773" i="1"/>
  <c r="AO609" i="1"/>
  <c r="AO608" i="1"/>
  <c r="AO612" i="1"/>
  <c r="AO611" i="1"/>
  <c r="AO610" i="1"/>
  <c r="AN1590" i="1"/>
  <c r="AN1594" i="1"/>
  <c r="AN1559" i="1"/>
  <c r="AN1591" i="1"/>
  <c r="AN1592" i="1"/>
  <c r="AN1560" i="1"/>
  <c r="AN1593" i="1"/>
  <c r="AO894" i="1"/>
  <c r="AO893" i="1"/>
  <c r="AO1462" i="1"/>
  <c r="AO1464" i="1"/>
  <c r="AO1463" i="1"/>
  <c r="AO1461" i="1"/>
  <c r="AN1412" i="1"/>
  <c r="AN1409" i="1"/>
  <c r="AN1415" i="1"/>
  <c r="AN1413" i="1"/>
  <c r="AQ1413" i="1" s="1"/>
  <c r="AN1416" i="1"/>
  <c r="AN1421" i="1"/>
  <c r="AN1414" i="1"/>
  <c r="AN1405" i="1"/>
  <c r="AO835" i="1"/>
  <c r="AO832" i="1"/>
  <c r="AO831" i="1"/>
  <c r="AN624" i="1"/>
  <c r="AN622" i="1"/>
  <c r="AN618" i="1"/>
  <c r="AN614" i="1"/>
  <c r="AN613" i="1"/>
  <c r="AN621" i="1"/>
  <c r="AN620" i="1"/>
  <c r="AN619" i="1"/>
  <c r="AN729" i="1"/>
  <c r="AO891" i="1"/>
  <c r="AO1121" i="1"/>
  <c r="AO1113" i="1"/>
  <c r="AO1122" i="1"/>
  <c r="AN647" i="1"/>
  <c r="AN632" i="1"/>
  <c r="AN630" i="1"/>
  <c r="AN643" i="1"/>
  <c r="AN645" i="1"/>
  <c r="AN637" i="1"/>
  <c r="AN627" i="1"/>
  <c r="AN636" i="1"/>
  <c r="AN626" i="1"/>
  <c r="AN635" i="1"/>
  <c r="AN625" i="1"/>
  <c r="AN642" i="1"/>
  <c r="AN634" i="1"/>
  <c r="AN633" i="1"/>
  <c r="AN641" i="1"/>
  <c r="AN640" i="1"/>
  <c r="AN639" i="1"/>
  <c r="AN646" i="1"/>
  <c r="AN628" i="1"/>
  <c r="AN631" i="1"/>
  <c r="AN629" i="1"/>
  <c r="AO1572" i="1"/>
  <c r="AO1557" i="1"/>
  <c r="AO1565" i="1"/>
  <c r="AO1554" i="1"/>
  <c r="AN11" i="1"/>
  <c r="AQ11" i="1" s="1"/>
  <c r="AN658" i="1"/>
  <c r="AN687" i="1"/>
  <c r="AN686" i="1"/>
  <c r="AN691" i="1"/>
  <c r="AN697" i="1"/>
  <c r="AN661" i="1"/>
  <c r="AN688" i="1"/>
  <c r="AN694" i="1"/>
  <c r="AN684" i="1"/>
  <c r="AN695" i="1"/>
  <c r="AN683" i="1"/>
  <c r="AN682" i="1"/>
  <c r="AN681" i="1"/>
  <c r="AN693" i="1"/>
  <c r="AN680" i="1"/>
  <c r="AN659" i="1"/>
  <c r="AN692" i="1"/>
  <c r="AN679" i="1"/>
  <c r="AN690" i="1"/>
  <c r="AN678" i="1"/>
  <c r="AN689" i="1"/>
  <c r="AN685" i="1"/>
  <c r="AN677" i="1"/>
  <c r="AN676" i="1"/>
  <c r="AN675" i="1"/>
  <c r="AN696" i="1"/>
  <c r="AO868" i="1"/>
  <c r="AO874" i="1"/>
  <c r="AO872" i="1"/>
  <c r="AO870" i="1"/>
  <c r="AO861" i="1"/>
  <c r="AO877" i="1"/>
  <c r="AO876" i="1"/>
  <c r="AO864" i="1"/>
  <c r="AO875" i="1"/>
  <c r="AO873" i="1"/>
  <c r="AO858" i="1"/>
  <c r="AO871" i="1"/>
  <c r="AO857" i="1"/>
  <c r="AO869" i="1"/>
  <c r="AO867" i="1"/>
  <c r="AO866" i="1"/>
  <c r="AO865" i="1"/>
  <c r="AO863" i="1"/>
  <c r="AO860" i="1"/>
  <c r="AO862" i="1"/>
  <c r="AO859" i="1"/>
  <c r="AO769" i="1"/>
  <c r="AO773" i="1"/>
  <c r="AO777" i="1"/>
  <c r="AO774" i="1"/>
  <c r="AO772" i="1"/>
  <c r="AN730" i="1"/>
  <c r="AN721" i="1"/>
  <c r="AN731" i="1"/>
  <c r="AN726" i="1"/>
  <c r="AN728" i="1"/>
  <c r="AN716" i="1"/>
  <c r="AN714" i="1"/>
  <c r="AN733" i="1"/>
  <c r="AN717" i="1"/>
  <c r="AN718" i="1"/>
  <c r="AN732" i="1"/>
  <c r="AN715" i="1"/>
  <c r="AN727" i="1"/>
  <c r="AN725" i="1"/>
  <c r="AN724" i="1"/>
  <c r="AN723" i="1"/>
  <c r="AN719" i="1"/>
  <c r="AN722" i="1"/>
  <c r="AN720" i="1"/>
  <c r="AN713" i="1"/>
  <c r="AN707" i="1"/>
  <c r="AN698" i="1"/>
  <c r="AN705" i="1"/>
  <c r="AN711" i="1"/>
  <c r="AN708" i="1"/>
  <c r="AN699" i="1"/>
  <c r="AN706" i="1"/>
  <c r="AN704" i="1"/>
  <c r="AN703" i="1"/>
  <c r="AN702" i="1"/>
  <c r="AN701" i="1"/>
  <c r="AN710" i="1"/>
  <c r="AN709" i="1"/>
  <c r="AN700" i="1"/>
  <c r="AN847" i="1"/>
  <c r="AN898" i="1"/>
  <c r="AN903" i="1"/>
  <c r="AN897" i="1"/>
  <c r="AN896" i="1"/>
  <c r="AN845" i="1"/>
  <c r="AN895" i="1"/>
  <c r="AN844" i="1"/>
  <c r="AN901" i="1"/>
  <c r="AN902" i="1"/>
  <c r="AN846" i="1"/>
  <c r="AN900" i="1"/>
  <c r="AN899" i="1"/>
  <c r="AN849" i="1"/>
  <c r="AN848" i="1"/>
  <c r="AN850" i="1"/>
  <c r="AO1366" i="1"/>
  <c r="AO1365" i="1"/>
  <c r="AO1364" i="1"/>
  <c r="AO1007" i="1"/>
  <c r="AO1003" i="1"/>
  <c r="AO1013" i="1"/>
  <c r="AO1012" i="1"/>
  <c r="AO1010" i="1"/>
  <c r="AO1009" i="1"/>
  <c r="AO1008" i="1"/>
  <c r="AO1006" i="1"/>
  <c r="AO1005" i="1"/>
  <c r="AO1004" i="1"/>
  <c r="AO1011" i="1"/>
  <c r="AO1040" i="1"/>
  <c r="AO705" i="1"/>
  <c r="AO707" i="1"/>
  <c r="AO699" i="1"/>
  <c r="AO698" i="1"/>
  <c r="AO702" i="1"/>
  <c r="AO706" i="1"/>
  <c r="AO704" i="1"/>
  <c r="AO713" i="1"/>
  <c r="AO703" i="1"/>
  <c r="AO701" i="1"/>
  <c r="AO711" i="1"/>
  <c r="AO710" i="1"/>
  <c r="AO700" i="1"/>
  <c r="AO709" i="1"/>
  <c r="AO708" i="1"/>
  <c r="AO847" i="1"/>
  <c r="AO846" i="1"/>
  <c r="AO844" i="1"/>
  <c r="AO848" i="1"/>
  <c r="AO845" i="1"/>
  <c r="AO850" i="1"/>
  <c r="AO849" i="1"/>
  <c r="AN1366" i="1"/>
  <c r="AN1367" i="1"/>
  <c r="AQ1367" i="1" s="1"/>
  <c r="AN1365" i="1"/>
  <c r="AN1364" i="1"/>
  <c r="AO1275" i="1"/>
  <c r="AO1255" i="1"/>
  <c r="AO1218" i="1"/>
  <c r="AO1268" i="1"/>
  <c r="AO1215" i="1"/>
  <c r="AO1248" i="1"/>
  <c r="AO1348" i="1"/>
  <c r="AO1342" i="1"/>
  <c r="AO1333" i="1"/>
  <c r="AO1352" i="1"/>
  <c r="AO1340" i="1"/>
  <c r="AO1351" i="1"/>
  <c r="AN609" i="1"/>
  <c r="AN608" i="1"/>
  <c r="AN612" i="1"/>
  <c r="AN610" i="1"/>
  <c r="AN611" i="1"/>
  <c r="AO1019" i="1"/>
  <c r="AO1016" i="1"/>
  <c r="AO1024" i="1"/>
  <c r="AO1002" i="1"/>
  <c r="AO1001" i="1"/>
  <c r="AO1022" i="1"/>
  <c r="AO1021" i="1"/>
  <c r="AO1023" i="1"/>
  <c r="AO1020" i="1"/>
  <c r="AO1017" i="1"/>
  <c r="AO1014" i="1"/>
  <c r="AO1168" i="1"/>
  <c r="AO1150" i="1"/>
  <c r="AO1169" i="1"/>
  <c r="AO1167" i="1"/>
  <c r="AN1462" i="1"/>
  <c r="AN1464" i="1"/>
  <c r="AN1463" i="1"/>
  <c r="AN1461" i="1"/>
  <c r="AN1330" i="1"/>
  <c r="AN1337" i="1"/>
  <c r="AN1345" i="1"/>
  <c r="AN1336" i="1"/>
  <c r="AN1349" i="1"/>
  <c r="AN1339" i="1"/>
  <c r="AN1338" i="1"/>
  <c r="AN1343" i="1"/>
  <c r="AN1334" i="1"/>
  <c r="AN1350" i="1"/>
  <c r="AN1331" i="1"/>
  <c r="AN1346" i="1"/>
  <c r="AN1344" i="1"/>
  <c r="AN1341" i="1"/>
  <c r="AN1353" i="1"/>
  <c r="AN1335" i="1"/>
  <c r="AN834" i="1"/>
  <c r="AN831" i="1"/>
  <c r="AN832" i="1"/>
  <c r="AN835" i="1"/>
  <c r="AN1762" i="1"/>
  <c r="AN1763" i="1"/>
  <c r="AN1827" i="1"/>
  <c r="AN1828" i="1"/>
  <c r="AN1823" i="1"/>
  <c r="AN1825" i="1"/>
  <c r="AN1831" i="1"/>
  <c r="AN1832" i="1"/>
  <c r="AO1376" i="1"/>
  <c r="AN1045" i="1"/>
  <c r="AN1040" i="1"/>
  <c r="AN1047" i="1"/>
  <c r="AN1044" i="1"/>
  <c r="AN1043" i="1"/>
  <c r="AN1042" i="1"/>
  <c r="AN1041" i="1"/>
  <c r="AN1046" i="1"/>
  <c r="AO606" i="1"/>
  <c r="AO600" i="1"/>
  <c r="AO607" i="1"/>
  <c r="AO605" i="1"/>
  <c r="AO604" i="1"/>
  <c r="AO603" i="1"/>
  <c r="AO602" i="1"/>
  <c r="AO601" i="1"/>
  <c r="AO1533" i="1"/>
  <c r="AO1532" i="1"/>
  <c r="AO1496" i="1"/>
  <c r="AO1505" i="1"/>
  <c r="AO1535" i="1"/>
  <c r="AO1534" i="1"/>
  <c r="AO1499" i="1"/>
  <c r="AO1497" i="1"/>
  <c r="AO1507" i="1"/>
  <c r="AO1492" i="1"/>
  <c r="AO1502" i="1"/>
  <c r="AO1501" i="1"/>
  <c r="AO1503" i="1"/>
  <c r="AO1451" i="1"/>
  <c r="AO1459" i="1"/>
  <c r="AO1448" i="1"/>
  <c r="AO1457" i="1"/>
  <c r="AO1447" i="1"/>
  <c r="AO1450" i="1"/>
  <c r="AO1449" i="1"/>
  <c r="AO1446" i="1"/>
  <c r="AO1460" i="1"/>
  <c r="AO1456" i="1"/>
  <c r="AO1455" i="1"/>
  <c r="AO1454" i="1"/>
  <c r="AO1452" i="1"/>
  <c r="AO1458" i="1"/>
  <c r="AO1453" i="1"/>
  <c r="AO1432" i="1"/>
  <c r="AO599" i="1"/>
  <c r="AO598" i="1"/>
  <c r="AO597" i="1"/>
  <c r="AO1229" i="1"/>
  <c r="AO1228" i="1"/>
  <c r="AO1226" i="1"/>
  <c r="AO1225" i="1"/>
  <c r="AO887" i="1"/>
  <c r="AO890" i="1"/>
  <c r="AO888" i="1"/>
  <c r="AO889" i="1"/>
  <c r="AO1141" i="1"/>
  <c r="AO1143" i="1"/>
  <c r="AO1146" i="1"/>
  <c r="AO1147" i="1"/>
  <c r="AO1145" i="1"/>
  <c r="AO1144" i="1"/>
  <c r="AO1148" i="1"/>
  <c r="AN1277" i="1"/>
  <c r="AN1255" i="1"/>
  <c r="AN1328" i="1"/>
  <c r="AN1327" i="1"/>
  <c r="AN1189" i="1"/>
  <c r="AN1323" i="1"/>
  <c r="AN1268" i="1"/>
  <c r="AN1235" i="1"/>
  <c r="AN1275" i="1"/>
  <c r="AN1325" i="1"/>
  <c r="AN1242" i="1"/>
  <c r="AN1324" i="1"/>
  <c r="AN1278" i="1"/>
  <c r="AN1237" i="1"/>
  <c r="AN1218" i="1"/>
  <c r="AN1248" i="1"/>
  <c r="AN1326" i="1"/>
  <c r="AN1215" i="1"/>
  <c r="AN1231" i="1"/>
  <c r="AN1141" i="1"/>
  <c r="AN1146" i="1"/>
  <c r="AN1135" i="1"/>
  <c r="AN1143" i="1"/>
  <c r="AN1148" i="1"/>
  <c r="AN1138" i="1"/>
  <c r="AN1139" i="1"/>
  <c r="AN1137" i="1"/>
  <c r="AN1140" i="1"/>
  <c r="AN1147" i="1"/>
  <c r="AN1145" i="1"/>
  <c r="AN1144" i="1"/>
  <c r="AN1136" i="1"/>
  <c r="AN1149" i="1"/>
  <c r="AN1129" i="1"/>
  <c r="AO1562" i="1"/>
  <c r="AO1558" i="1"/>
  <c r="AO1568" i="1"/>
  <c r="AO1563" i="1"/>
  <c r="AN1356" i="1"/>
  <c r="AN1363" i="1"/>
  <c r="AN1362" i="1"/>
  <c r="AQ1362" i="1" s="1"/>
  <c r="AN1354" i="1"/>
  <c r="AQ1354" i="1" s="1"/>
  <c r="AN1359" i="1"/>
  <c r="AQ1359" i="1" s="1"/>
  <c r="AN1348" i="1"/>
  <c r="AN1357" i="1"/>
  <c r="AN1342" i="1"/>
  <c r="AN1333" i="1"/>
  <c r="AN1352" i="1"/>
  <c r="AN1340" i="1"/>
  <c r="AN1351" i="1"/>
  <c r="AN1361" i="1"/>
  <c r="AN1360" i="1"/>
  <c r="AN1358" i="1"/>
  <c r="AN1009" i="1"/>
  <c r="AN1017" i="1"/>
  <c r="AN1007" i="1"/>
  <c r="AN1006" i="1"/>
  <c r="AN1014" i="1"/>
  <c r="AN1024" i="1"/>
  <c r="AN1003" i="1"/>
  <c r="AN1023" i="1"/>
  <c r="AN1012" i="1"/>
  <c r="AN1002" i="1"/>
  <c r="AN1001" i="1"/>
  <c r="AN1020" i="1"/>
  <c r="AN1016" i="1"/>
  <c r="AN1004" i="1"/>
  <c r="AN1008" i="1"/>
  <c r="AN1022" i="1"/>
  <c r="AN1005" i="1"/>
  <c r="AN1021" i="1"/>
  <c r="AN1019" i="1"/>
  <c r="AN1013" i="1"/>
  <c r="AN1010" i="1"/>
  <c r="AN1011" i="1"/>
  <c r="AN994" i="1"/>
  <c r="AN992" i="1"/>
  <c r="AN991" i="1"/>
  <c r="AN988" i="1"/>
  <c r="AN990" i="1"/>
  <c r="AN989" i="1"/>
  <c r="AN995" i="1"/>
  <c r="AN993" i="1"/>
  <c r="AN1168" i="1"/>
  <c r="AN1169" i="1"/>
  <c r="AN1172" i="1"/>
  <c r="AN1167" i="1"/>
  <c r="AN1173" i="1"/>
  <c r="AN1150" i="1"/>
  <c r="AN1176" i="1"/>
  <c r="AN1175" i="1"/>
  <c r="AN1174" i="1"/>
  <c r="AN1171" i="1"/>
  <c r="AO1513" i="1"/>
  <c r="AO1522" i="1"/>
  <c r="AO1516" i="1"/>
  <c r="AO1515" i="1"/>
  <c r="AO1523" i="1"/>
  <c r="AO1518" i="1"/>
  <c r="AO1519" i="1"/>
  <c r="AN1595" i="1"/>
  <c r="AN1598" i="1"/>
  <c r="AN1597" i="1"/>
  <c r="AN1596" i="1"/>
  <c r="AN1737" i="1"/>
  <c r="AN1736" i="1"/>
  <c r="AN1735" i="1"/>
  <c r="AN1732" i="1"/>
  <c r="AN1734" i="1"/>
  <c r="AO1039" i="1"/>
  <c r="AO981" i="1"/>
  <c r="AN601" i="1"/>
  <c r="AN600" i="1"/>
  <c r="AN607" i="1"/>
  <c r="AN606" i="1"/>
  <c r="AN605" i="1"/>
  <c r="AN604" i="1"/>
  <c r="AN603" i="1"/>
  <c r="AN602" i="1"/>
  <c r="AO975" i="1"/>
  <c r="AO972" i="1"/>
  <c r="AO971" i="1"/>
  <c r="AO973" i="1"/>
  <c r="AO978" i="1"/>
  <c r="AO976" i="1"/>
  <c r="AO974" i="1"/>
  <c r="AO977" i="1"/>
  <c r="AN1503" i="1"/>
  <c r="AN1536" i="1"/>
  <c r="AN1496" i="1"/>
  <c r="AN1533" i="1"/>
  <c r="AN1537" i="1"/>
  <c r="AN1507" i="1"/>
  <c r="AN1497" i="1"/>
  <c r="AN1505" i="1"/>
  <c r="AN1492" i="1"/>
  <c r="AN1502" i="1"/>
  <c r="AN1501" i="1"/>
  <c r="AN1535" i="1"/>
  <c r="AN1532" i="1"/>
  <c r="AN1534" i="1"/>
  <c r="AN1499" i="1"/>
  <c r="AN1451" i="1"/>
  <c r="AN1458" i="1"/>
  <c r="AN1432" i="1"/>
  <c r="AN1460" i="1"/>
  <c r="AN1459" i="1"/>
  <c r="AN1448" i="1"/>
  <c r="AN1457" i="1"/>
  <c r="AN1447" i="1"/>
  <c r="AN1449" i="1"/>
  <c r="AN1456" i="1"/>
  <c r="AN1455" i="1"/>
  <c r="AN1454" i="1"/>
  <c r="AN1452" i="1"/>
  <c r="AN1453" i="1"/>
  <c r="AN1450" i="1"/>
  <c r="AN1446" i="1"/>
  <c r="AN598" i="1"/>
  <c r="AN599" i="1"/>
  <c r="AN597" i="1"/>
  <c r="AN914" i="1"/>
  <c r="AN887" i="1"/>
  <c r="AN890" i="1"/>
  <c r="AN889" i="1"/>
  <c r="AN888" i="1"/>
  <c r="AN913" i="1"/>
  <c r="AO1140" i="1"/>
  <c r="AO1139" i="1"/>
  <c r="AO1138" i="1"/>
  <c r="AO1137" i="1"/>
  <c r="AO1136" i="1"/>
  <c r="AO1135" i="1"/>
  <c r="AO1129" i="1"/>
  <c r="AO851" i="1"/>
  <c r="AO991" i="1"/>
  <c r="AO992" i="1"/>
  <c r="AO990" i="1"/>
  <c r="AO989" i="1"/>
  <c r="AN1516" i="1"/>
  <c r="AN1515" i="1"/>
  <c r="AN1523" i="1"/>
  <c r="AN1513" i="1"/>
  <c r="AN1519" i="1"/>
  <c r="AN1522" i="1"/>
  <c r="AN1518" i="1"/>
  <c r="AN1329" i="1"/>
  <c r="AQ1329" i="1" s="1"/>
  <c r="AN1193" i="1"/>
  <c r="AN1178" i="1"/>
  <c r="AN1195" i="1"/>
  <c r="AO1660" i="1"/>
  <c r="AN1752" i="1"/>
  <c r="AN1748" i="1"/>
  <c r="AN1754" i="1"/>
  <c r="AN1751" i="1"/>
  <c r="AN1747" i="1"/>
  <c r="AN1037" i="1"/>
  <c r="AQ1037" i="1" s="1"/>
  <c r="AN1039" i="1"/>
  <c r="AN1798" i="1"/>
  <c r="AN1793" i="1"/>
  <c r="AN1791" i="1"/>
  <c r="AN1795" i="1"/>
  <c r="AN1794" i="1"/>
  <c r="AN1792" i="1"/>
  <c r="AN905" i="1"/>
  <c r="AN906" i="1"/>
  <c r="AN904" i="1"/>
  <c r="AN851" i="1"/>
  <c r="AO1126" i="1"/>
  <c r="AO1125" i="1"/>
  <c r="AO1127" i="1"/>
  <c r="AO1671" i="1"/>
  <c r="AO1668" i="1"/>
  <c r="AO1667" i="1"/>
  <c r="AO1664" i="1"/>
  <c r="AO1662" i="1"/>
  <c r="AO1661" i="1"/>
  <c r="AO1670" i="1"/>
  <c r="AO1666" i="1"/>
  <c r="AO1669" i="1"/>
  <c r="AO1665" i="1"/>
  <c r="AO1663" i="1"/>
  <c r="AN1696" i="1"/>
  <c r="AN1686" i="1"/>
  <c r="AN1697" i="1"/>
  <c r="AN1691" i="1"/>
  <c r="AN1692" i="1"/>
  <c r="AN1688" i="1"/>
  <c r="AN1689" i="1"/>
  <c r="AN1698" i="1"/>
  <c r="AN1683" i="1"/>
  <c r="AO1598" i="1"/>
  <c r="AO1597" i="1"/>
  <c r="AO1596" i="1"/>
  <c r="AO1595" i="1"/>
  <c r="AO1124" i="1"/>
  <c r="AO1123" i="1"/>
  <c r="AO1087" i="1"/>
  <c r="AN975" i="1"/>
  <c r="AN976" i="1"/>
  <c r="AN972" i="1"/>
  <c r="AN981" i="1"/>
  <c r="AN974" i="1"/>
  <c r="AN973" i="1"/>
  <c r="AN971" i="1"/>
  <c r="AN970" i="1"/>
  <c r="AN978" i="1"/>
  <c r="AN977" i="1"/>
  <c r="AO1373" i="1"/>
  <c r="AO1369" i="1"/>
  <c r="AO1372" i="1"/>
  <c r="AO1370" i="1"/>
  <c r="AO1374" i="1"/>
  <c r="AO1371" i="1"/>
  <c r="AO970" i="1"/>
  <c r="AO1000" i="1"/>
  <c r="AO998" i="1"/>
  <c r="AO999" i="1"/>
  <c r="AO905" i="1"/>
  <c r="AO906" i="1"/>
  <c r="AO904" i="1"/>
  <c r="AN1440" i="1"/>
  <c r="AN1441" i="1"/>
  <c r="AN1437" i="1"/>
  <c r="AN1436" i="1"/>
  <c r="AN1433" i="1"/>
  <c r="AN1444" i="1"/>
  <c r="AN1442" i="1"/>
  <c r="AQ1442" i="1" s="1"/>
  <c r="AN1431" i="1"/>
  <c r="AN1438" i="1"/>
  <c r="AN1435" i="1"/>
  <c r="AN1434" i="1"/>
  <c r="AN1445" i="1"/>
  <c r="AN1443" i="1"/>
  <c r="AO1383" i="1"/>
  <c r="AO1390" i="1"/>
  <c r="AO1392" i="1"/>
  <c r="AO1379" i="1"/>
  <c r="AO1388" i="1"/>
  <c r="AO1387" i="1"/>
  <c r="AO1385" i="1"/>
  <c r="AO1381" i="1"/>
  <c r="AO1380" i="1"/>
  <c r="AO1377" i="1"/>
  <c r="AO1384" i="1"/>
  <c r="AO1427" i="1"/>
  <c r="AN1375" i="1"/>
  <c r="AN1091" i="1"/>
  <c r="AN1124" i="1"/>
  <c r="AN1125" i="1"/>
  <c r="AN1087" i="1"/>
  <c r="AN1127" i="1"/>
  <c r="AN1126" i="1"/>
  <c r="AN1123" i="1"/>
  <c r="AN1128" i="1"/>
  <c r="AN1671" i="1"/>
  <c r="AN1663" i="1"/>
  <c r="AN1670" i="1"/>
  <c r="AN1668" i="1"/>
  <c r="AN1667" i="1"/>
  <c r="AN1664" i="1"/>
  <c r="AN1661" i="1"/>
  <c r="AN1669" i="1"/>
  <c r="AN1666" i="1"/>
  <c r="AN1665" i="1"/>
  <c r="AN1662" i="1"/>
  <c r="AO1689" i="1"/>
  <c r="AO1688" i="1"/>
  <c r="AO1686" i="1"/>
  <c r="AO1697" i="1"/>
  <c r="AO1691" i="1"/>
  <c r="AO1692" i="1"/>
  <c r="AO1698" i="1"/>
  <c r="AO1696" i="1"/>
  <c r="AO1683" i="1"/>
  <c r="AN1741" i="1"/>
  <c r="AN1724" i="1"/>
  <c r="AO1057" i="1"/>
  <c r="AO1062" i="1"/>
  <c r="AO1059" i="1"/>
  <c r="AO1058" i="1"/>
  <c r="AO1061" i="1"/>
  <c r="AO1060" i="1"/>
  <c r="AO1056" i="1"/>
  <c r="AN1806" i="1"/>
  <c r="AN1803" i="1"/>
  <c r="AN1805" i="1"/>
  <c r="AN1802" i="1"/>
  <c r="AN1810" i="1"/>
  <c r="AN1809" i="1"/>
  <c r="AN1801" i="1"/>
  <c r="AN1807" i="1"/>
  <c r="AN1804" i="1"/>
  <c r="AN1808" i="1"/>
  <c r="AN827" i="1"/>
  <c r="AN824" i="1"/>
  <c r="AN804" i="1"/>
  <c r="AN892" i="1"/>
  <c r="AN830" i="1"/>
  <c r="AN828" i="1"/>
  <c r="AN826" i="1"/>
  <c r="AN823" i="1"/>
  <c r="AO1440" i="1"/>
  <c r="AO1438" i="1"/>
  <c r="AO1443" i="1"/>
  <c r="AO1434" i="1"/>
  <c r="AO1437" i="1"/>
  <c r="AO1436" i="1"/>
  <c r="AO1445" i="1"/>
  <c r="AO1444" i="1"/>
  <c r="AO1431" i="1"/>
  <c r="AO1441" i="1"/>
  <c r="AO1435" i="1"/>
  <c r="AO1433" i="1"/>
  <c r="AO1375" i="1"/>
  <c r="AO1035" i="1"/>
  <c r="AO1018" i="1"/>
  <c r="AO1038" i="1"/>
  <c r="AO1036" i="1"/>
  <c r="AN1373" i="1"/>
  <c r="AN1372" i="1"/>
  <c r="AN1369" i="1"/>
  <c r="AN1371" i="1"/>
  <c r="AN1374" i="1"/>
  <c r="AN1370" i="1"/>
  <c r="AO804" i="1"/>
  <c r="AO823" i="1"/>
  <c r="AO830" i="1"/>
  <c r="AO826" i="1"/>
  <c r="AO828" i="1"/>
  <c r="AO827" i="1"/>
  <c r="AO824" i="1"/>
  <c r="AO853" i="1"/>
  <c r="AO852" i="1"/>
  <c r="AO912" i="1"/>
  <c r="AO911" i="1"/>
  <c r="AO910" i="1"/>
  <c r="AO1549" i="1"/>
  <c r="AO1512" i="1"/>
  <c r="AO1511" i="1"/>
  <c r="AO1550" i="1"/>
  <c r="AO1509" i="1"/>
  <c r="AO1510" i="1"/>
  <c r="AN942" i="1"/>
  <c r="AN941" i="1"/>
  <c r="AN956" i="1"/>
  <c r="AN947" i="1"/>
  <c r="AN946" i="1"/>
  <c r="AN943" i="1"/>
  <c r="AN955" i="1"/>
  <c r="AN954" i="1"/>
  <c r="AN944" i="1"/>
  <c r="AN951" i="1"/>
  <c r="AN948" i="1"/>
  <c r="AN953" i="1"/>
  <c r="AN952" i="1"/>
  <c r="AN950" i="1"/>
  <c r="AO1049" i="1"/>
  <c r="AO1055" i="1"/>
  <c r="AO1054" i="1"/>
  <c r="AO1052" i="1"/>
  <c r="AO1050" i="1"/>
  <c r="AO1053" i="1"/>
  <c r="AO1048" i="1"/>
  <c r="AO622" i="1"/>
  <c r="AO619" i="1"/>
  <c r="AO624" i="1"/>
  <c r="AO614" i="1"/>
  <c r="AO621" i="1"/>
  <c r="AO613" i="1"/>
  <c r="AO620" i="1"/>
  <c r="AO618" i="1"/>
  <c r="AN853" i="1"/>
  <c r="AN852" i="1"/>
  <c r="AN907" i="1"/>
  <c r="AO997" i="1"/>
  <c r="AO996" i="1"/>
  <c r="AN1382" i="1"/>
  <c r="AQ1382" i="1" s="1"/>
  <c r="AN1381" i="1"/>
  <c r="AN1390" i="1"/>
  <c r="AN1380" i="1"/>
  <c r="AN1377" i="1"/>
  <c r="AN1392" i="1"/>
  <c r="AN1379" i="1"/>
  <c r="AN1384" i="1"/>
  <c r="AN1383" i="1"/>
  <c r="AN1388" i="1"/>
  <c r="AN1387" i="1"/>
  <c r="AN1385" i="1"/>
  <c r="AO1285" i="1"/>
  <c r="AO1280" i="1"/>
  <c r="AO1279" i="1"/>
  <c r="AO1620" i="1"/>
  <c r="AO1619" i="1"/>
  <c r="AO1605" i="1"/>
  <c r="AO1616" i="1"/>
  <c r="AO1614" i="1"/>
  <c r="AO1611" i="1"/>
  <c r="AO1603" i="1"/>
  <c r="AO1857" i="1"/>
  <c r="AO1855" i="1"/>
  <c r="AN1829" i="1"/>
  <c r="AN1857" i="1"/>
  <c r="AN1769" i="1"/>
  <c r="AN1617" i="1"/>
  <c r="AN1658" i="1"/>
  <c r="AN1630" i="1"/>
  <c r="AN1637" i="1"/>
  <c r="AO1630" i="1"/>
  <c r="AO1637" i="1"/>
  <c r="AO1653" i="1"/>
  <c r="AO1634" i="1"/>
  <c r="AN1653" i="1"/>
  <c r="AN1634" i="1"/>
  <c r="AO1599" i="1"/>
  <c r="AO1608" i="1"/>
  <c r="AN1706" i="1"/>
  <c r="AN1716" i="1"/>
  <c r="AO1706" i="1"/>
  <c r="AO1716" i="1"/>
  <c r="M185" i="30"/>
  <c r="N185" i="30" s="1"/>
  <c r="P185" i="30" s="1"/>
  <c r="M184" i="30"/>
  <c r="N184" i="30" s="1"/>
  <c r="P184" i="30" s="1"/>
  <c r="AN1613" i="1"/>
  <c r="AN1628" i="1"/>
  <c r="AN833" i="1"/>
  <c r="AN1610" i="1"/>
  <c r="AN1621" i="1"/>
  <c r="AN1612" i="1"/>
  <c r="AN1623" i="1"/>
  <c r="AN1602" i="1"/>
  <c r="AN1615" i="1"/>
  <c r="AN1607" i="1"/>
  <c r="AO1091" i="1"/>
  <c r="AO1347" i="1"/>
  <c r="AO1332" i="1"/>
  <c r="AN1676" i="1"/>
  <c r="AN1687" i="1"/>
  <c r="AO1676" i="1"/>
  <c r="AO1687" i="1"/>
  <c r="AN1622" i="1"/>
  <c r="AN1599" i="1"/>
  <c r="AO1618" i="1"/>
  <c r="AO1622" i="1"/>
  <c r="AN1635" i="1"/>
  <c r="AN1632" i="1"/>
  <c r="AO1635" i="1"/>
  <c r="AO1632" i="1"/>
  <c r="AN1601" i="1"/>
  <c r="AN1618" i="1"/>
  <c r="AO1609" i="1"/>
  <c r="AO1601" i="1"/>
  <c r="AQ1690" i="1"/>
  <c r="AO1075" i="1"/>
  <c r="AO1073" i="1"/>
  <c r="AN829" i="1"/>
  <c r="AN825" i="1"/>
  <c r="AN775" i="1"/>
  <c r="AN766" i="1"/>
  <c r="AN1305" i="1"/>
  <c r="AN1299" i="1"/>
  <c r="AO834" i="1"/>
  <c r="AO833" i="1"/>
  <c r="AN1570" i="1"/>
  <c r="AN1569" i="1"/>
  <c r="AN1564" i="1"/>
  <c r="AN1075" i="1"/>
  <c r="AN1073" i="1"/>
  <c r="AO829" i="1"/>
  <c r="AO825" i="1"/>
  <c r="AO1274" i="1"/>
  <c r="AO1260" i="1"/>
  <c r="AO1254" i="1"/>
  <c r="AO1025" i="1"/>
  <c r="AO1015" i="1"/>
  <c r="AN1347" i="1"/>
  <c r="AN1332" i="1"/>
  <c r="AN1609" i="1"/>
  <c r="AN1604" i="1"/>
  <c r="AQ1604" i="1" s="1"/>
  <c r="AO1628" i="1"/>
  <c r="AO1623" i="1"/>
  <c r="AO1621" i="1"/>
  <c r="AO1617" i="1"/>
  <c r="AO1615" i="1"/>
  <c r="AO1613" i="1"/>
  <c r="AO1612" i="1"/>
  <c r="AO1610" i="1"/>
  <c r="AO1607" i="1"/>
  <c r="AO1602" i="1"/>
  <c r="AN1589" i="1"/>
  <c r="AN1588" i="1"/>
  <c r="AN1583" i="1"/>
  <c r="AN1582" i="1"/>
  <c r="AN1579" i="1"/>
  <c r="AO1506" i="1"/>
  <c r="AO1498" i="1"/>
  <c r="AN1120" i="1"/>
  <c r="AN1112" i="1"/>
  <c r="AN1111" i="1"/>
  <c r="AN1274" i="1"/>
  <c r="AN1260" i="1"/>
  <c r="AN1254" i="1"/>
  <c r="AN1187" i="1"/>
  <c r="AO1570" i="1"/>
  <c r="AO1569" i="1"/>
  <c r="AO1571" i="1"/>
  <c r="AO1555" i="1"/>
  <c r="AO1588" i="1"/>
  <c r="AO1583" i="1"/>
  <c r="AO1582" i="1"/>
  <c r="AO1579" i="1"/>
  <c r="AN1025" i="1"/>
  <c r="AN1015" i="1"/>
  <c r="AO1521" i="1"/>
  <c r="AO1517" i="1"/>
  <c r="AN1506" i="1"/>
  <c r="AN1498" i="1"/>
  <c r="AO1120" i="1"/>
  <c r="AO1112" i="1"/>
  <c r="AO1111" i="1"/>
  <c r="AO775" i="1"/>
  <c r="AO766" i="1"/>
  <c r="AO1305" i="1"/>
  <c r="AO1299" i="1"/>
  <c r="AN1571" i="1"/>
  <c r="AN1555" i="1"/>
  <c r="AN1521" i="1"/>
  <c r="AN1517" i="1"/>
  <c r="AN1514" i="1"/>
  <c r="AQ1514" i="1" s="1"/>
  <c r="G1" i="25"/>
  <c r="H18" i="25"/>
  <c r="M132" i="29"/>
  <c r="AQ1346" i="1" l="1"/>
  <c r="AQ953" i="1"/>
  <c r="AQ951" i="1"/>
  <c r="AQ1101" i="1"/>
  <c r="AQ1175" i="1"/>
  <c r="AQ1657" i="1"/>
  <c r="AQ1351" i="1"/>
  <c r="AQ1352" i="1"/>
  <c r="AQ831" i="1"/>
  <c r="AQ1259" i="1"/>
  <c r="AQ1864" i="1"/>
  <c r="AQ1323" i="1"/>
  <c r="AQ732" i="1"/>
  <c r="AQ1099" i="1"/>
  <c r="AQ1342" i="1"/>
  <c r="AQ670" i="1"/>
  <c r="AQ1278" i="1"/>
  <c r="AQ878" i="1"/>
  <c r="AQ1340" i="1"/>
  <c r="AQ694" i="1"/>
  <c r="AQ1333" i="1"/>
  <c r="AQ839" i="1"/>
  <c r="AQ1658" i="1"/>
  <c r="AQ1345" i="1"/>
  <c r="AQ601" i="1"/>
  <c r="AQ1084" i="1"/>
  <c r="AQ1035" i="1"/>
  <c r="AQ1529" i="1"/>
  <c r="AQ963" i="1"/>
  <c r="AQ900" i="1"/>
  <c r="AQ896" i="1"/>
  <c r="AQ1368" i="1"/>
  <c r="AQ1349" i="1"/>
  <c r="AQ898" i="1"/>
  <c r="AQ1566" i="1"/>
  <c r="AQ1492" i="1"/>
  <c r="AQ726" i="1"/>
  <c r="AQ645" i="1"/>
  <c r="AQ1168" i="1"/>
  <c r="AQ965" i="1"/>
  <c r="AQ809" i="1"/>
  <c r="AQ1289" i="1"/>
  <c r="AQ1338" i="1"/>
  <c r="AQ1541" i="1"/>
  <c r="AQ1647" i="1"/>
  <c r="AQ1507" i="1"/>
  <c r="AQ687" i="1"/>
  <c r="AQ961" i="1"/>
  <c r="AQ1547" i="1"/>
  <c r="AQ884" i="1"/>
  <c r="AQ943" i="1"/>
  <c r="AQ1102" i="1"/>
  <c r="AQ1066" i="1"/>
  <c r="AQ1545" i="1"/>
  <c r="AQ1262" i="1"/>
  <c r="AQ1231" i="1"/>
  <c r="AQ1148" i="1"/>
  <c r="AQ1247" i="1"/>
  <c r="AQ907" i="1"/>
  <c r="AQ1608" i="1"/>
  <c r="AQ834" i="1"/>
  <c r="AQ908" i="1"/>
  <c r="AQ835" i="1"/>
  <c r="AQ1363" i="1"/>
  <c r="AQ666" i="1"/>
  <c r="AQ674" i="1"/>
  <c r="AQ589" i="1"/>
  <c r="AQ1051" i="1"/>
  <c r="AQ1353" i="1"/>
  <c r="AQ1576" i="1"/>
  <c r="AQ1091" i="1"/>
  <c r="AQ1411" i="1"/>
  <c r="AQ662" i="1"/>
  <c r="AQ1233" i="1"/>
  <c r="AQ1358" i="1"/>
  <c r="AQ778" i="1"/>
  <c r="AQ1638" i="1"/>
  <c r="AQ1625" i="1"/>
  <c r="AQ1450" i="1"/>
  <c r="AQ1248" i="1"/>
  <c r="AQ1341" i="1"/>
  <c r="AQ625" i="1"/>
  <c r="AQ1542" i="1"/>
  <c r="AQ1199" i="1"/>
  <c r="AQ1078" i="1"/>
  <c r="AQ958" i="1"/>
  <c r="AQ1128" i="1"/>
  <c r="AQ1371" i="1"/>
  <c r="AQ1652" i="1"/>
  <c r="AQ1149" i="1"/>
  <c r="AQ813" i="1"/>
  <c r="H10" i="28"/>
  <c r="AQ1462" i="1"/>
  <c r="AQ744" i="1"/>
  <c r="AQ742" i="1"/>
  <c r="AQ599" i="1"/>
  <c r="AQ636" i="1"/>
  <c r="AQ1086" i="1"/>
  <c r="AQ730" i="1"/>
  <c r="AQ690" i="1"/>
  <c r="AQ795" i="1"/>
  <c r="AQ631" i="1"/>
  <c r="AQ1491" i="1"/>
  <c r="AQ909" i="1"/>
  <c r="AQ1398" i="1"/>
  <c r="AQ955" i="1"/>
  <c r="AQ1161" i="1"/>
  <c r="AQ941" i="1"/>
  <c r="AQ902" i="1"/>
  <c r="AQ630" i="1"/>
  <c r="AQ950" i="1"/>
  <c r="AQ913" i="1"/>
  <c r="AQ682" i="1"/>
  <c r="AQ1516" i="1"/>
  <c r="AQ1331" i="1"/>
  <c r="AQ641" i="1"/>
  <c r="AQ901" i="1"/>
  <c r="AQ632" i="1"/>
  <c r="AQ1479" i="1"/>
  <c r="AQ1581" i="1"/>
  <c r="AQ797" i="1"/>
  <c r="AQ1028" i="1"/>
  <c r="AQ633" i="1"/>
  <c r="AQ1624" i="1"/>
  <c r="AQ1495" i="1"/>
  <c r="AQ947" i="1"/>
  <c r="AQ1173" i="1"/>
  <c r="AQ1001" i="1"/>
  <c r="AQ1416" i="1"/>
  <c r="AQ1317" i="1"/>
  <c r="AQ1524" i="1"/>
  <c r="AQ612" i="1"/>
  <c r="AQ680" i="1"/>
  <c r="AQ1100" i="1"/>
  <c r="AQ1485" i="1"/>
  <c r="AQ716" i="1"/>
  <c r="AQ656" i="1"/>
  <c r="AQ1160" i="1"/>
  <c r="AQ1069" i="1"/>
  <c r="AQ1237" i="1"/>
  <c r="AQ881" i="1"/>
  <c r="AQ720" i="1"/>
  <c r="AQ993" i="1"/>
  <c r="AQ1024" i="1"/>
  <c r="AQ1242" i="1"/>
  <c r="AQ1334" i="1"/>
  <c r="AQ689" i="1"/>
  <c r="AQ1409" i="1"/>
  <c r="AQ945" i="1"/>
  <c r="AQ669" i="1"/>
  <c r="AQ1187" i="1"/>
  <c r="AQ1030" i="1"/>
  <c r="AQ1107" i="1"/>
  <c r="AQ1530" i="1"/>
  <c r="AQ1063" i="1"/>
  <c r="AQ786" i="1"/>
  <c r="AQ803" i="1"/>
  <c r="AQ960" i="1"/>
  <c r="AQ1483" i="1"/>
  <c r="AQ1339" i="1"/>
  <c r="AQ897" i="1"/>
  <c r="AQ1489" i="1"/>
  <c r="AQ1232" i="1"/>
  <c r="AQ964" i="1"/>
  <c r="AQ1417" i="1"/>
  <c r="AQ814" i="1"/>
  <c r="AQ1475" i="1"/>
  <c r="AQ1655" i="1"/>
  <c r="AQ1680" i="1"/>
  <c r="AQ1392" i="1"/>
  <c r="AQ1665" i="1"/>
  <c r="AQ994" i="1"/>
  <c r="AQ1360" i="1"/>
  <c r="AQ1327" i="1"/>
  <c r="AQ1337" i="1"/>
  <c r="AQ608" i="1"/>
  <c r="AQ700" i="1"/>
  <c r="AQ639" i="1"/>
  <c r="AQ1490" i="1"/>
  <c r="AQ735" i="1"/>
  <c r="AQ1281" i="1"/>
  <c r="AQ1587" i="1"/>
  <c r="AQ936" i="1"/>
  <c r="AQ793" i="1"/>
  <c r="AQ1862" i="1"/>
  <c r="AQ1106" i="1"/>
  <c r="AQ1221" i="1"/>
  <c r="AQ1314" i="1"/>
  <c r="AQ683" i="1"/>
  <c r="AQ791" i="1"/>
  <c r="AQ1081" i="1"/>
  <c r="AQ743" i="1"/>
  <c r="AQ940" i="1"/>
  <c r="AQ784" i="1"/>
  <c r="AQ952" i="1"/>
  <c r="AQ1277" i="1"/>
  <c r="AQ1381" i="1"/>
  <c r="AQ1193" i="1"/>
  <c r="AQ634" i="1"/>
  <c r="AQ1488" i="1"/>
  <c r="AQ1114" i="1"/>
  <c r="AQ1241" i="1"/>
  <c r="AQ1033" i="1"/>
  <c r="AQ939" i="1"/>
  <c r="AQ771" i="1"/>
  <c r="AQ1567" i="1"/>
  <c r="AQ787" i="1"/>
  <c r="AQ1855" i="1"/>
  <c r="AQ1683" i="1"/>
  <c r="AQ1518" i="1"/>
  <c r="AQ887" i="1"/>
  <c r="AQ1243" i="1"/>
  <c r="AQ935" i="1"/>
  <c r="AQ1480" i="1"/>
  <c r="AQ944" i="1"/>
  <c r="AQ1171" i="1"/>
  <c r="AQ635" i="1"/>
  <c r="AQ934" i="1"/>
  <c r="AQ779" i="1"/>
  <c r="AQ1538" i="1"/>
  <c r="AQ1196" i="1"/>
  <c r="AQ954" i="1"/>
  <c r="AQ1502" i="1"/>
  <c r="AQ967" i="1"/>
  <c r="AQ782" i="1"/>
  <c r="AQ1633" i="1"/>
  <c r="AQ883" i="1"/>
  <c r="AQ1204" i="1"/>
  <c r="AQ852" i="1"/>
  <c r="AQ1671" i="1"/>
  <c r="AQ1478" i="1"/>
  <c r="AQ1553" i="1"/>
  <c r="AQ657" i="1"/>
  <c r="AQ785" i="1"/>
  <c r="AQ1176" i="1"/>
  <c r="AQ691" i="1"/>
  <c r="AQ1070" i="1"/>
  <c r="AQ596" i="1"/>
  <c r="AQ957" i="1"/>
  <c r="AQ1162" i="1"/>
  <c r="AQ1326" i="1"/>
  <c r="AQ1236" i="1"/>
  <c r="AQ828" i="1"/>
  <c r="AQ1414" i="1"/>
  <c r="AQ1533" i="1"/>
  <c r="AQ1454" i="1"/>
  <c r="AQ677" i="1"/>
  <c r="AQ673" i="1"/>
  <c r="AQ1125" i="1"/>
  <c r="AQ1253" i="1"/>
  <c r="AQ895" i="1"/>
  <c r="AQ1580" i="1"/>
  <c r="AQ1276" i="1"/>
  <c r="AQ1412" i="1"/>
  <c r="AQ1429" i="1"/>
  <c r="AQ812" i="1"/>
  <c r="AQ1574" i="1"/>
  <c r="AQ800" i="1"/>
  <c r="AQ1269" i="1"/>
  <c r="AQ1235" i="1"/>
  <c r="AQ679" i="1"/>
  <c r="AQ629" i="1"/>
  <c r="AQ1575" i="1"/>
  <c r="AQ1448" i="1"/>
  <c r="AQ988" i="1"/>
  <c r="AQ1017" i="1"/>
  <c r="AQ903" i="1"/>
  <c r="AQ727" i="1"/>
  <c r="AQ692" i="1"/>
  <c r="AQ1238" i="1"/>
  <c r="AQ1584" i="1"/>
  <c r="AQ1095" i="1"/>
  <c r="AQ966" i="1"/>
  <c r="AQ1189" i="1"/>
  <c r="AQ646" i="1"/>
  <c r="AQ1477" i="1"/>
  <c r="AQ650" i="1"/>
  <c r="AQ1093" i="1"/>
  <c r="AQ1049" i="1"/>
  <c r="AQ1593" i="1"/>
  <c r="AQ1195" i="1"/>
  <c r="AQ948" i="1"/>
  <c r="AQ605" i="1"/>
  <c r="AQ1021" i="1"/>
  <c r="AQ642" i="1"/>
  <c r="AQ1526" i="1"/>
  <c r="AQ1034" i="1"/>
  <c r="AQ886" i="1"/>
  <c r="AQ768" i="1"/>
  <c r="AQ801" i="1"/>
  <c r="AQ1556" i="1"/>
  <c r="AQ665" i="1"/>
  <c r="AQ776" i="1"/>
  <c r="AQ1648" i="1"/>
  <c r="AQ1004" i="1"/>
  <c r="AQ697" i="1"/>
  <c r="AQ595" i="1"/>
  <c r="AQ806" i="1"/>
  <c r="AQ627" i="1"/>
  <c r="AQ1041" i="1"/>
  <c r="AQ1245" i="1"/>
  <c r="AQ1466" i="1"/>
  <c r="AQ1083" i="1"/>
  <c r="AQ1421" i="1"/>
  <c r="AQ1068" i="1"/>
  <c r="AQ592" i="1"/>
  <c r="AQ824" i="1"/>
  <c r="AQ1503" i="1"/>
  <c r="AQ1031" i="1"/>
  <c r="AQ1385" i="1"/>
  <c r="AQ995" i="1"/>
  <c r="AQ1343" i="1"/>
  <c r="AQ678" i="1"/>
  <c r="AQ1725" i="1"/>
  <c r="AQ968" i="1"/>
  <c r="AQ671" i="1"/>
  <c r="AQ1032" i="1"/>
  <c r="AQ1105" i="1"/>
  <c r="AQ1311" i="1"/>
  <c r="AQ841" i="1"/>
  <c r="AQ611" i="1"/>
  <c r="AQ949" i="1"/>
  <c r="AQ842" i="1"/>
  <c r="AQ1384" i="1"/>
  <c r="AQ1595" i="1"/>
  <c r="AQ1009" i="1"/>
  <c r="AQ1336" i="1"/>
  <c r="AQ610" i="1"/>
  <c r="AQ715" i="1"/>
  <c r="AQ659" i="1"/>
  <c r="AQ628" i="1"/>
  <c r="AQ729" i="1"/>
  <c r="AQ1527" i="1"/>
  <c r="AQ805" i="1"/>
  <c r="AQ1072" i="1"/>
  <c r="AQ843" i="1"/>
  <c r="AQ1104" i="1"/>
  <c r="AQ1379" i="1"/>
  <c r="AQ1662" i="1"/>
  <c r="AQ1460" i="1"/>
  <c r="AQ1585" i="1"/>
  <c r="AQ1377" i="1"/>
  <c r="AQ1666" i="1"/>
  <c r="AQ1458" i="1"/>
  <c r="AQ1011" i="1"/>
  <c r="AQ1361" i="1"/>
  <c r="AQ1328" i="1"/>
  <c r="AQ1330" i="1"/>
  <c r="AQ709" i="1"/>
  <c r="AQ640" i="1"/>
  <c r="AQ1098" i="1"/>
  <c r="AQ1528" i="1"/>
  <c r="AQ1227" i="1"/>
  <c r="AQ938" i="1"/>
  <c r="AQ781" i="1"/>
  <c r="AQ1316" i="1"/>
  <c r="AQ1013" i="1"/>
  <c r="AQ937" i="1"/>
  <c r="AQ1673" i="1"/>
  <c r="AQ695" i="1"/>
  <c r="AQ740" i="1"/>
  <c r="AQ664" i="1"/>
  <c r="AQ721" i="1"/>
  <c r="AQ661" i="1"/>
  <c r="AQ1513" i="1"/>
  <c r="AQ1312" i="1"/>
  <c r="AQ853" i="1"/>
  <c r="AQ1523" i="1"/>
  <c r="AQ1505" i="1"/>
  <c r="AQ811" i="1"/>
  <c r="AQ946" i="1"/>
  <c r="AQ1374" i="1"/>
  <c r="AQ1445" i="1"/>
  <c r="AQ1515" i="1"/>
  <c r="AQ1150" i="1"/>
  <c r="AQ899" i="1"/>
  <c r="AQ686" i="1"/>
  <c r="AQ637" i="1"/>
  <c r="AQ1405" i="1"/>
  <c r="AQ588" i="1"/>
  <c r="AQ959" i="1"/>
  <c r="AQ1202" i="1"/>
  <c r="AQ660" i="1"/>
  <c r="AQ783" i="1"/>
  <c r="AQ1076" i="1"/>
  <c r="AQ1191" i="1"/>
  <c r="AQ1315" i="1"/>
  <c r="AQ885" i="1"/>
  <c r="AQ1679" i="1"/>
  <c r="AQ956" i="1"/>
  <c r="AQ1537" i="1"/>
  <c r="AQ1002" i="1"/>
  <c r="AQ1356" i="1"/>
  <c r="AQ1042" i="1"/>
  <c r="AQ1344" i="1"/>
  <c r="AQ643" i="1"/>
  <c r="AQ969" i="1"/>
  <c r="AQ1476" i="1"/>
  <c r="AQ672" i="1"/>
  <c r="AQ1027" i="1"/>
  <c r="AQ879" i="1"/>
  <c r="AQ1270" i="1"/>
  <c r="AQ1544" i="1"/>
  <c r="AQ1130" i="1"/>
  <c r="AQ1313" i="1"/>
  <c r="AQ1206" i="1"/>
  <c r="AQ1455" i="1"/>
  <c r="AQ1536" i="1"/>
  <c r="AQ1003" i="1"/>
  <c r="AQ1324" i="1"/>
  <c r="AQ1047" i="1"/>
  <c r="AQ1350" i="1"/>
  <c r="AQ647" i="1"/>
  <c r="AQ1415" i="1"/>
  <c r="AQ1586" i="1"/>
  <c r="AQ593" i="1"/>
  <c r="AQ962" i="1"/>
  <c r="AQ810" i="1"/>
  <c r="AQ817" i="1"/>
  <c r="AQ1029" i="1"/>
  <c r="AQ1325" i="1"/>
  <c r="AQ1108" i="1"/>
  <c r="AQ788" i="1"/>
  <c r="AQ759" i="1"/>
  <c r="AQ790" i="1"/>
  <c r="AQ1481" i="1"/>
  <c r="AQ663" i="1"/>
  <c r="AQ1577" i="1"/>
  <c r="AQ1023" i="1"/>
  <c r="AQ591" i="1"/>
  <c r="AQ808" i="1"/>
  <c r="AQ971" i="1"/>
  <c r="AQ722" i="1"/>
  <c r="AQ1428" i="1"/>
  <c r="AQ1471" i="1"/>
  <c r="AQ655" i="1"/>
  <c r="AQ1546" i="1"/>
  <c r="AQ1423" i="1"/>
  <c r="AQ792" i="1"/>
  <c r="AQ1045" i="1"/>
  <c r="AQ989" i="1"/>
  <c r="AQ1275" i="1"/>
  <c r="AQ1383" i="1"/>
  <c r="AQ1144" i="1"/>
  <c r="AQ1077" i="1"/>
  <c r="AQ1859" i="1"/>
  <c r="AQ1440" i="1"/>
  <c r="AQ1145" i="1"/>
  <c r="AQ1239" i="1"/>
  <c r="AQ1418" i="1"/>
  <c r="AQ1469" i="1"/>
  <c r="AQ1397" i="1"/>
  <c r="AQ1147" i="1"/>
  <c r="AQ837" i="1"/>
  <c r="AQ1406" i="1"/>
  <c r="AQ718" i="1"/>
  <c r="AQ693" i="1"/>
  <c r="AQ1467" i="1"/>
  <c r="AQ651" i="1"/>
  <c r="AQ717" i="1"/>
  <c r="AQ681" i="1"/>
  <c r="AQ1425" i="1"/>
  <c r="AQ807" i="1"/>
  <c r="AQ1205" i="1"/>
  <c r="AQ1461" i="1"/>
  <c r="AQ733" i="1"/>
  <c r="AQ1288" i="1"/>
  <c r="AQ816" i="1"/>
  <c r="AQ1650" i="1"/>
  <c r="AQ1178" i="1"/>
  <c r="AQ1209" i="1"/>
  <c r="AQ1258" i="1"/>
  <c r="AQ1649" i="1"/>
  <c r="AQ1712" i="1"/>
  <c r="AQ1400" i="1"/>
  <c r="AQ1672" i="1"/>
  <c r="AQ1224" i="1"/>
  <c r="AQ684" i="1"/>
  <c r="AQ1643" i="1"/>
  <c r="AQ1402" i="1"/>
  <c r="AQ574" i="1"/>
  <c r="AQ1164" i="1"/>
  <c r="AQ597" i="1"/>
  <c r="AQ600" i="1"/>
  <c r="AQ1174" i="1"/>
  <c r="AQ1348" i="1"/>
  <c r="AQ1064" i="1"/>
  <c r="AQ1293" i="1"/>
  <c r="AQ594" i="1"/>
  <c r="AQ794" i="1"/>
  <c r="AQ1074" i="1"/>
  <c r="AQ1548" i="1"/>
  <c r="AQ1265" i="1"/>
  <c r="AQ1370" i="1"/>
  <c r="AQ1692" i="1"/>
  <c r="AQ1016" i="1"/>
  <c r="AQ1215" i="1"/>
  <c r="AQ849" i="1"/>
  <c r="AQ1109" i="1"/>
  <c r="AQ1234" i="1"/>
  <c r="AQ815" i="1"/>
  <c r="AQ668" i="1"/>
  <c r="AQ789" i="1"/>
  <c r="AQ1651" i="1"/>
  <c r="AQ1079" i="1"/>
  <c r="AQ1222" i="1"/>
  <c r="AQ1691" i="1"/>
  <c r="AQ1446" i="1"/>
  <c r="AQ1497" i="1"/>
  <c r="AQ1094" i="1"/>
  <c r="AQ1067" i="1"/>
  <c r="AQ1211" i="1"/>
  <c r="AQ1465" i="1"/>
  <c r="AQ1163" i="1"/>
  <c r="AQ882" i="1"/>
  <c r="AQ1123" i="1"/>
  <c r="AQ1434" i="1"/>
  <c r="AQ1697" i="1"/>
  <c r="AQ696" i="1"/>
  <c r="AQ1122" i="1"/>
  <c r="AQ871" i="1"/>
  <c r="AQ1550" i="1"/>
  <c r="AQ1159" i="1"/>
  <c r="AQ1420" i="1"/>
  <c r="AQ998" i="1"/>
  <c r="AQ1188" i="1"/>
  <c r="AQ1376" i="1"/>
  <c r="AQ1132" i="1"/>
  <c r="AQ1284" i="1"/>
  <c r="AQ1127" i="1"/>
  <c r="AQ1043" i="1"/>
  <c r="AQ822" i="1"/>
  <c r="AQ844" i="1"/>
  <c r="AQ685" i="1"/>
  <c r="AQ774" i="1"/>
  <c r="AQ719" i="1"/>
  <c r="AQ974" i="1"/>
  <c r="AQ845" i="1"/>
  <c r="AQ723" i="1"/>
  <c r="AQ1573" i="1"/>
  <c r="AQ819" i="1"/>
  <c r="AQ1659" i="1"/>
  <c r="AQ976" i="1"/>
  <c r="AQ1268" i="1"/>
  <c r="AQ838" i="1"/>
  <c r="AQ648" i="1"/>
  <c r="AQ992" i="1"/>
  <c r="AQ1606" i="1"/>
  <c r="AQ917" i="1"/>
  <c r="AQ1154" i="1"/>
  <c r="AQ1432" i="1"/>
  <c r="AQ1096" i="1"/>
  <c r="AQ1424" i="1"/>
  <c r="AQ1640" i="1"/>
  <c r="AQ1403" i="1"/>
  <c r="AQ734" i="1"/>
  <c r="AQ1395" i="1"/>
  <c r="AQ1669" i="1"/>
  <c r="AQ1531" i="1"/>
  <c r="AQ1396" i="1"/>
  <c r="AQ1661" i="1"/>
  <c r="AQ1499" i="1"/>
  <c r="AQ1463" i="1"/>
  <c r="AQ1230" i="1"/>
  <c r="AQ1664" i="1"/>
  <c r="AQ889" i="1"/>
  <c r="AQ1534" i="1"/>
  <c r="AQ604" i="1"/>
  <c r="AQ1019" i="1"/>
  <c r="AQ1464" i="1"/>
  <c r="AQ702" i="1"/>
  <c r="AQ1591" i="1"/>
  <c r="AQ1410" i="1"/>
  <c r="AQ851" i="1"/>
  <c r="AQ890" i="1"/>
  <c r="AQ1532" i="1"/>
  <c r="AQ728" i="1"/>
  <c r="AQ1097" i="1"/>
  <c r="AQ741" i="1"/>
  <c r="AQ1115" i="1"/>
  <c r="AQ1422" i="1"/>
  <c r="AQ1080" i="1"/>
  <c r="AQ1401" i="1"/>
  <c r="AQ1535" i="1"/>
  <c r="AQ606" i="1"/>
  <c r="AQ1005" i="1"/>
  <c r="AQ1135" i="1"/>
  <c r="AQ821" i="1"/>
  <c r="AQ1668" i="1"/>
  <c r="AQ1670" i="1"/>
  <c r="AQ1522" i="1"/>
  <c r="AQ1501" i="1"/>
  <c r="AQ607" i="1"/>
  <c r="AQ1022" i="1"/>
  <c r="AQ1357" i="1"/>
  <c r="AQ1146" i="1"/>
  <c r="AQ832" i="1"/>
  <c r="AQ706" i="1"/>
  <c r="AQ688" i="1"/>
  <c r="AQ1590" i="1"/>
  <c r="AQ1089" i="1"/>
  <c r="AQ738" i="1"/>
  <c r="AQ1244" i="1"/>
  <c r="AQ802" i="1"/>
  <c r="AQ1487" i="1"/>
  <c r="AQ1645" i="1"/>
  <c r="AQ1085" i="1"/>
  <c r="AQ1408" i="1"/>
  <c r="AQ1663" i="1"/>
  <c r="AQ1519" i="1"/>
  <c r="AQ1008" i="1"/>
  <c r="AQ850" i="1"/>
  <c r="AQ699" i="1"/>
  <c r="AQ1721" i="1"/>
  <c r="AQ1092" i="1"/>
  <c r="AQ1121" i="1"/>
  <c r="AQ598" i="1"/>
  <c r="AQ1472" i="1"/>
  <c r="AQ1046" i="1"/>
  <c r="AQ705" i="1"/>
  <c r="AQ1540" i="1"/>
  <c r="AQ1291" i="1"/>
  <c r="AQ1369" i="1"/>
  <c r="AQ830" i="1"/>
  <c r="AQ1126" i="1"/>
  <c r="AQ1435" i="1"/>
  <c r="AQ977" i="1"/>
  <c r="AQ1686" i="1"/>
  <c r="AQ1453" i="1"/>
  <c r="AQ1167" i="1"/>
  <c r="AQ1218" i="1"/>
  <c r="AQ846" i="1"/>
  <c r="AQ707" i="1"/>
  <c r="AQ675" i="1"/>
  <c r="AQ773" i="1"/>
  <c r="AQ1113" i="1"/>
  <c r="AQ796" i="1"/>
  <c r="AQ798" i="1"/>
  <c r="AQ858" i="1"/>
  <c r="AQ1500" i="1"/>
  <c r="AQ1393" i="1"/>
  <c r="AQ1177" i="1"/>
  <c r="AQ1133" i="1"/>
  <c r="AQ1246" i="1"/>
  <c r="AQ1681" i="1"/>
  <c r="AQ1309" i="1"/>
  <c r="AQ752" i="1"/>
  <c r="AQ698" i="1"/>
  <c r="AQ1372" i="1"/>
  <c r="AQ892" i="1"/>
  <c r="AQ1438" i="1"/>
  <c r="AQ978" i="1"/>
  <c r="AQ1696" i="1"/>
  <c r="AQ1452" i="1"/>
  <c r="AQ1172" i="1"/>
  <c r="AQ1012" i="1"/>
  <c r="AQ1364" i="1"/>
  <c r="AQ713" i="1"/>
  <c r="AQ676" i="1"/>
  <c r="AQ769" i="1"/>
  <c r="AQ1065" i="1"/>
  <c r="AQ590" i="1"/>
  <c r="AQ873" i="1"/>
  <c r="AQ1026" i="1"/>
  <c r="AQ1391" i="1"/>
  <c r="AQ1179" i="1"/>
  <c r="AQ1225" i="1"/>
  <c r="AQ1684" i="1"/>
  <c r="AQ1310" i="1"/>
  <c r="AQ746" i="1"/>
  <c r="AQ1373" i="1"/>
  <c r="AQ804" i="1"/>
  <c r="AQ1087" i="1"/>
  <c r="AQ1431" i="1"/>
  <c r="AQ970" i="1"/>
  <c r="AQ1496" i="1"/>
  <c r="AQ1169" i="1"/>
  <c r="AQ1044" i="1"/>
  <c r="AQ1365" i="1"/>
  <c r="AQ777" i="1"/>
  <c r="AQ1482" i="1"/>
  <c r="AQ859" i="1"/>
  <c r="AQ1554" i="1"/>
  <c r="AQ919" i="1"/>
  <c r="AQ1165" i="1"/>
  <c r="AQ1674" i="1"/>
  <c r="AQ1295" i="1"/>
  <c r="AQ757" i="1"/>
  <c r="AQ1039" i="1"/>
  <c r="AQ857" i="1"/>
  <c r="AQ1557" i="1"/>
  <c r="AQ920" i="1"/>
  <c r="AQ1166" i="1"/>
  <c r="AQ1682" i="1"/>
  <c r="AQ1306" i="1"/>
  <c r="AQ765" i="1"/>
  <c r="AQ827" i="1"/>
  <c r="AQ1124" i="1"/>
  <c r="AQ1444" i="1"/>
  <c r="AQ973" i="1"/>
  <c r="AQ1456" i="1"/>
  <c r="AQ1040" i="1"/>
  <c r="AQ772" i="1"/>
  <c r="AQ1727" i="1"/>
  <c r="AQ799" i="1"/>
  <c r="AQ872" i="1"/>
  <c r="AQ1572" i="1"/>
  <c r="AQ922" i="1"/>
  <c r="AQ1157" i="1"/>
  <c r="AQ1675" i="1"/>
  <c r="AQ1319" i="1"/>
  <c r="AQ748" i="1"/>
  <c r="AQ1433" i="1"/>
  <c r="AQ1449" i="1"/>
  <c r="AQ1014" i="1"/>
  <c r="AQ1129" i="1"/>
  <c r="AQ1525" i="1"/>
  <c r="AQ1474" i="1"/>
  <c r="AQ910" i="1"/>
  <c r="AQ893" i="1"/>
  <c r="AQ1565" i="1"/>
  <c r="AQ927" i="1"/>
  <c r="AQ1158" i="1"/>
  <c r="AQ1711" i="1"/>
  <c r="AQ1685" i="1"/>
  <c r="AQ1296" i="1"/>
  <c r="AQ1387" i="1"/>
  <c r="AQ1375" i="1"/>
  <c r="AQ1436" i="1"/>
  <c r="AQ981" i="1"/>
  <c r="AQ1447" i="1"/>
  <c r="AQ1596" i="1"/>
  <c r="AQ1006" i="1"/>
  <c r="AQ724" i="1"/>
  <c r="AQ1484" i="1"/>
  <c r="AQ862" i="1"/>
  <c r="AQ894" i="1"/>
  <c r="AQ1578" i="1"/>
  <c r="AQ930" i="1"/>
  <c r="AQ1660" i="1"/>
  <c r="AQ1182" i="1"/>
  <c r="AQ1708" i="1"/>
  <c r="AQ1677" i="1"/>
  <c r="AQ1321" i="1"/>
  <c r="AQ1388" i="1"/>
  <c r="AQ1437" i="1"/>
  <c r="AQ972" i="1"/>
  <c r="AQ1457" i="1"/>
  <c r="AQ1597" i="1"/>
  <c r="AQ990" i="1"/>
  <c r="AQ1007" i="1"/>
  <c r="AQ1136" i="1"/>
  <c r="AQ725" i="1"/>
  <c r="AQ836" i="1"/>
  <c r="AQ875" i="1"/>
  <c r="AQ915" i="1"/>
  <c r="AQ1184" i="1"/>
  <c r="AQ1322" i="1"/>
  <c r="AQ770" i="1"/>
  <c r="AQ1441" i="1"/>
  <c r="AQ1598" i="1"/>
  <c r="AQ1427" i="1"/>
  <c r="AQ1486" i="1"/>
  <c r="AQ864" i="1"/>
  <c r="AQ1404" i="1"/>
  <c r="AQ932" i="1"/>
  <c r="AQ1181" i="1"/>
  <c r="AQ1062" i="1"/>
  <c r="AQ1298" i="1"/>
  <c r="AQ745" i="1"/>
  <c r="AQ1459" i="1"/>
  <c r="AQ991" i="1"/>
  <c r="AQ840" i="1"/>
  <c r="AQ867" i="1"/>
  <c r="AQ649" i="1"/>
  <c r="AQ1639" i="1"/>
  <c r="AQ918" i="1"/>
  <c r="AQ1856" i="1"/>
  <c r="AQ891" i="1"/>
  <c r="AQ1053" i="1"/>
  <c r="AQ1301" i="1"/>
  <c r="AQ761" i="1"/>
  <c r="AQ820" i="1"/>
  <c r="AQ865" i="1"/>
  <c r="AQ1056" i="1"/>
  <c r="AQ1294" i="1"/>
  <c r="AQ762" i="1"/>
  <c r="AQ1140" i="1"/>
  <c r="AQ619" i="1"/>
  <c r="AQ854" i="1"/>
  <c r="AQ874" i="1"/>
  <c r="AQ929" i="1"/>
  <c r="AQ1156" i="1"/>
  <c r="AQ1058" i="1"/>
  <c r="AQ1285" i="1"/>
  <c r="AQ1304" i="1"/>
  <c r="AQ747" i="1"/>
  <c r="AQ1137" i="1"/>
  <c r="AQ609" i="1"/>
  <c r="AQ620" i="1"/>
  <c r="AQ855" i="1"/>
  <c r="AQ1018" i="1"/>
  <c r="AQ1520" i="1"/>
  <c r="AQ860" i="1"/>
  <c r="AQ652" i="1"/>
  <c r="AQ1626" i="1"/>
  <c r="AQ933" i="1"/>
  <c r="AQ1151" i="1"/>
  <c r="AQ1048" i="1"/>
  <c r="AQ1614" i="1"/>
  <c r="AQ1286" i="1"/>
  <c r="AQ750" i="1"/>
  <c r="AO1777" i="1"/>
  <c r="AQ1777" i="1" s="1"/>
  <c r="AO1789" i="1"/>
  <c r="AQ1789" i="1" s="1"/>
  <c r="AO1784" i="1"/>
  <c r="AQ1784" i="1" s="1"/>
  <c r="AO1788" i="1"/>
  <c r="AQ1788" i="1" s="1"/>
  <c r="AO1783" i="1"/>
  <c r="AQ1783" i="1" s="1"/>
  <c r="AO1774" i="1"/>
  <c r="AQ1774" i="1" s="1"/>
  <c r="AO1790" i="1"/>
  <c r="AQ1790" i="1" s="1"/>
  <c r="AO1786" i="1"/>
  <c r="AQ1786" i="1" s="1"/>
  <c r="AO1780" i="1"/>
  <c r="AQ1780" i="1" s="1"/>
  <c r="AQ1380" i="1"/>
  <c r="AQ602" i="1"/>
  <c r="AQ1010" i="1"/>
  <c r="AQ1139" i="1"/>
  <c r="AQ1255" i="1"/>
  <c r="AQ710" i="1"/>
  <c r="AQ621" i="1"/>
  <c r="AQ1560" i="1"/>
  <c r="AQ856" i="1"/>
  <c r="AQ1036" i="1"/>
  <c r="AQ1426" i="1"/>
  <c r="AQ1563" i="1"/>
  <c r="AQ911" i="1"/>
  <c r="AQ644" i="1"/>
  <c r="AQ1636" i="1"/>
  <c r="AQ924" i="1"/>
  <c r="AQ1142" i="1"/>
  <c r="AQ979" i="1"/>
  <c r="AQ1060" i="1"/>
  <c r="AQ1620" i="1"/>
  <c r="AQ1302" i="1"/>
  <c r="AQ751" i="1"/>
  <c r="AO1793" i="1"/>
  <c r="AQ1793" i="1" s="1"/>
  <c r="AO1794" i="1"/>
  <c r="AQ1794" i="1" s="1"/>
  <c r="AO1798" i="1"/>
  <c r="AQ1798" i="1" s="1"/>
  <c r="AO1792" i="1"/>
  <c r="AQ1792" i="1" s="1"/>
  <c r="AO1791" i="1"/>
  <c r="AQ1791" i="1" s="1"/>
  <c r="AO1795" i="1"/>
  <c r="AQ1795" i="1" s="1"/>
  <c r="AQ1390" i="1"/>
  <c r="AQ888" i="1"/>
  <c r="AQ603" i="1"/>
  <c r="AQ1138" i="1"/>
  <c r="AQ701" i="1"/>
  <c r="AQ714" i="1"/>
  <c r="AQ613" i="1"/>
  <c r="AQ1592" i="1"/>
  <c r="AQ1088" i="1"/>
  <c r="AQ736" i="1"/>
  <c r="AQ1110" i="1"/>
  <c r="AQ1038" i="1"/>
  <c r="AQ1430" i="1"/>
  <c r="AQ1203" i="1"/>
  <c r="AQ1562" i="1"/>
  <c r="AQ866" i="1"/>
  <c r="AQ653" i="1"/>
  <c r="AQ1407" i="1"/>
  <c r="AQ926" i="1"/>
  <c r="AQ1153" i="1"/>
  <c r="AQ980" i="1"/>
  <c r="AQ1061" i="1"/>
  <c r="AQ1603" i="1"/>
  <c r="AQ1307" i="1"/>
  <c r="AQ764" i="1"/>
  <c r="AQ614" i="1"/>
  <c r="AQ1090" i="1"/>
  <c r="AQ615" i="1"/>
  <c r="AQ921" i="1"/>
  <c r="AQ1155" i="1"/>
  <c r="AQ987" i="1"/>
  <c r="AQ1052" i="1"/>
  <c r="AQ1616" i="1"/>
  <c r="AQ1279" i="1"/>
  <c r="AQ1308" i="1"/>
  <c r="AQ753" i="1"/>
  <c r="AQ1667" i="1"/>
  <c r="AQ1143" i="1"/>
  <c r="AQ703" i="1"/>
  <c r="AQ618" i="1"/>
  <c r="AQ1559" i="1"/>
  <c r="AQ1642" i="1"/>
  <c r="AQ863" i="1"/>
  <c r="AQ931" i="1"/>
  <c r="AQ984" i="1"/>
  <c r="AQ1057" i="1"/>
  <c r="AQ1619" i="1"/>
  <c r="AQ1226" i="1"/>
  <c r="AQ1280" i="1"/>
  <c r="AQ1318" i="1"/>
  <c r="AQ754" i="1"/>
  <c r="AQ904" i="1"/>
  <c r="AQ704" i="1"/>
  <c r="AQ622" i="1"/>
  <c r="AQ1594" i="1"/>
  <c r="AQ1116" i="1"/>
  <c r="AQ877" i="1"/>
  <c r="AQ923" i="1"/>
  <c r="AQ986" i="1"/>
  <c r="AQ1059" i="1"/>
  <c r="AQ1229" i="1"/>
  <c r="AQ1290" i="1"/>
  <c r="AQ756" i="1"/>
  <c r="AQ1698" i="1"/>
  <c r="AQ906" i="1"/>
  <c r="AQ914" i="1"/>
  <c r="AQ731" i="1"/>
  <c r="AQ624" i="1"/>
  <c r="AQ1117" i="1"/>
  <c r="AQ1558" i="1"/>
  <c r="AQ861" i="1"/>
  <c r="AQ1719" i="1"/>
  <c r="AQ1511" i="1"/>
  <c r="AQ916" i="1"/>
  <c r="AQ880" i="1"/>
  <c r="AQ982" i="1"/>
  <c r="AQ1050" i="1"/>
  <c r="AQ1611" i="1"/>
  <c r="AQ1228" i="1"/>
  <c r="AQ1292" i="1"/>
  <c r="AQ758" i="1"/>
  <c r="AQ1689" i="1"/>
  <c r="AQ626" i="1"/>
  <c r="AQ1119" i="1"/>
  <c r="AQ1473" i="1"/>
  <c r="AQ1568" i="1"/>
  <c r="AQ876" i="1"/>
  <c r="AQ1549" i="1"/>
  <c r="AQ1394" i="1"/>
  <c r="AQ925" i="1"/>
  <c r="AQ996" i="1"/>
  <c r="AQ983" i="1"/>
  <c r="AQ1054" i="1"/>
  <c r="AQ1605" i="1"/>
  <c r="AQ1297" i="1"/>
  <c r="AQ1320" i="1"/>
  <c r="AQ749" i="1"/>
  <c r="AQ1688" i="1"/>
  <c r="AQ848" i="1"/>
  <c r="AQ708" i="1"/>
  <c r="AQ1183" i="1"/>
  <c r="AQ869" i="1"/>
  <c r="AQ1509" i="1"/>
  <c r="AQ1389" i="1"/>
  <c r="AQ997" i="1"/>
  <c r="AQ985" i="1"/>
  <c r="AQ1055" i="1"/>
  <c r="AQ1208" i="1"/>
  <c r="AQ1707" i="1"/>
  <c r="AQ1287" i="1"/>
  <c r="AQ760" i="1"/>
  <c r="AQ823" i="1"/>
  <c r="AQ1443" i="1"/>
  <c r="AQ1335" i="1"/>
  <c r="AQ711" i="1"/>
  <c r="AQ912" i="1"/>
  <c r="AQ1510" i="1"/>
  <c r="AQ1386" i="1"/>
  <c r="AQ999" i="1"/>
  <c r="AQ1185" i="1"/>
  <c r="AQ1131" i="1"/>
  <c r="AQ1705" i="1"/>
  <c r="AQ1300" i="1"/>
  <c r="AQ755" i="1"/>
  <c r="AQ826" i="1"/>
  <c r="AQ1020" i="1"/>
  <c r="AQ1103" i="1"/>
  <c r="AQ1627" i="1"/>
  <c r="AQ870" i="1"/>
  <c r="AQ1512" i="1"/>
  <c r="AQ1419" i="1"/>
  <c r="AQ1000" i="1"/>
  <c r="AQ1186" i="1"/>
  <c r="AQ1134" i="1"/>
  <c r="AQ1678" i="1"/>
  <c r="AQ1303" i="1"/>
  <c r="AQ767" i="1"/>
  <c r="AQ1617" i="1"/>
  <c r="AQ1599" i="1"/>
  <c r="AQ1857" i="1"/>
  <c r="AQ1653" i="1"/>
  <c r="AQ1630" i="1"/>
  <c r="AQ1634" i="1"/>
  <c r="AQ1637" i="1"/>
  <c r="AQ1706" i="1"/>
  <c r="AQ1716" i="1"/>
  <c r="AQ1628" i="1"/>
  <c r="M186" i="30"/>
  <c r="N186" i="30" s="1"/>
  <c r="P186" i="30" s="1"/>
  <c r="AQ1623" i="1"/>
  <c r="AQ1613" i="1"/>
  <c r="AQ1612" i="1"/>
  <c r="AQ1607" i="1"/>
  <c r="AQ1347" i="1"/>
  <c r="AQ1274" i="1"/>
  <c r="AQ1332" i="1"/>
  <c r="AQ1305" i="1"/>
  <c r="AQ1602" i="1"/>
  <c r="AQ1610" i="1"/>
  <c r="AQ1615" i="1"/>
  <c r="AQ1621" i="1"/>
  <c r="AQ833" i="1"/>
  <c r="AQ1609" i="1"/>
  <c r="M172" i="30"/>
  <c r="N172" i="30" s="1"/>
  <c r="P172" i="30" s="1"/>
  <c r="AO1752" i="1" s="1"/>
  <c r="AQ1752" i="1" s="1"/>
  <c r="M170" i="30"/>
  <c r="N170" i="30" s="1"/>
  <c r="P170" i="30" s="1"/>
  <c r="M171" i="30"/>
  <c r="N171" i="30" s="1"/>
  <c r="P171" i="30" s="1"/>
  <c r="AQ1025" i="1"/>
  <c r="AQ775" i="1"/>
  <c r="AQ1075" i="1"/>
  <c r="AQ1073" i="1"/>
  <c r="AQ1635" i="1"/>
  <c r="AQ1618" i="1"/>
  <c r="AQ1601" i="1"/>
  <c r="AQ1676" i="1"/>
  <c r="AQ1622" i="1"/>
  <c r="AQ1687" i="1"/>
  <c r="AQ1632" i="1"/>
  <c r="AQ1521" i="1"/>
  <c r="AQ1555" i="1"/>
  <c r="AQ766" i="1"/>
  <c r="AQ1366" i="1"/>
  <c r="AQ1517" i="1"/>
  <c r="AQ905" i="1"/>
  <c r="AQ818" i="1"/>
  <c r="AQ1564" i="1"/>
  <c r="AQ1082" i="1"/>
  <c r="AQ1141" i="1"/>
  <c r="AQ1015" i="1"/>
  <c r="AQ1299" i="1"/>
  <c r="AQ1254" i="1"/>
  <c r="AQ1498" i="1"/>
  <c r="AQ1569" i="1"/>
  <c r="AQ1260" i="1"/>
  <c r="AQ1451" i="1"/>
  <c r="AQ1506" i="1"/>
  <c r="AQ1570" i="1"/>
  <c r="AQ928" i="1"/>
  <c r="AQ975" i="1"/>
  <c r="AQ1071" i="1"/>
  <c r="AQ763" i="1"/>
  <c r="AQ942" i="1"/>
  <c r="AQ658" i="1"/>
  <c r="AQ1240" i="1"/>
  <c r="AQ847" i="1"/>
  <c r="AQ1120" i="1"/>
  <c r="AQ825" i="1"/>
  <c r="AQ1111" i="1"/>
  <c r="AQ868" i="1"/>
  <c r="AQ829" i="1"/>
  <c r="AQ1112" i="1"/>
  <c r="AQ1494" i="1"/>
  <c r="AQ780" i="1"/>
  <c r="AQ1579" i="1"/>
  <c r="AQ1582" i="1"/>
  <c r="AQ1571" i="1"/>
  <c r="AQ1583" i="1"/>
  <c r="AQ1589" i="1"/>
  <c r="AQ1588" i="1"/>
  <c r="AQ567" i="1"/>
  <c r="AO1747" i="1" l="1"/>
  <c r="AQ1747" i="1" s="1"/>
  <c r="AO1751" i="1"/>
  <c r="AQ1751" i="1" s="1"/>
  <c r="AO1748" i="1"/>
  <c r="AQ1748" i="1" s="1"/>
  <c r="AO1754" i="1"/>
  <c r="AQ1754" i="1" s="1"/>
  <c r="AQ1739" i="1"/>
  <c r="AO1736" i="1"/>
  <c r="AQ1736" i="1" s="1"/>
  <c r="AO1732" i="1"/>
  <c r="AQ1732" i="1" s="1"/>
  <c r="AO1737" i="1"/>
  <c r="AQ1737" i="1" s="1"/>
  <c r="AO1735" i="1"/>
  <c r="AQ1735" i="1" s="1"/>
  <c r="AO1734" i="1"/>
  <c r="AQ1734" i="1" s="1"/>
  <c r="AO1809" i="1"/>
  <c r="AQ1809" i="1" s="1"/>
  <c r="AO1805" i="1"/>
  <c r="AQ1805" i="1" s="1"/>
  <c r="AO1802" i="1"/>
  <c r="AQ1802" i="1" s="1"/>
  <c r="AO1807" i="1"/>
  <c r="AQ1807" i="1" s="1"/>
  <c r="AO1810" i="1"/>
  <c r="AQ1810" i="1" s="1"/>
  <c r="AO1801" i="1"/>
  <c r="AQ1801" i="1" s="1"/>
  <c r="AO1804" i="1"/>
  <c r="AQ1804" i="1" s="1"/>
  <c r="AO1808" i="1"/>
  <c r="AQ1808" i="1" s="1"/>
  <c r="AO1803" i="1"/>
  <c r="AQ1803" i="1" s="1"/>
  <c r="AO1806" i="1"/>
  <c r="AQ1806" i="1" s="1"/>
  <c r="M187" i="30"/>
  <c r="N187" i="30" s="1"/>
  <c r="P187" i="30" s="1"/>
  <c r="AO1811" i="1" l="1"/>
  <c r="AQ1811" i="1" s="1"/>
  <c r="AO1814" i="1"/>
  <c r="AQ1814" i="1" s="1"/>
  <c r="AO1813" i="1"/>
  <c r="AQ1813" i="1" s="1"/>
  <c r="AO1816" i="1"/>
  <c r="AQ1816" i="1" s="1"/>
  <c r="AO1817" i="1"/>
  <c r="AQ1817" i="1" s="1"/>
  <c r="AO1815" i="1"/>
  <c r="AQ1815" i="1" s="1"/>
  <c r="AO1812" i="1"/>
  <c r="AQ1812" i="1" s="1"/>
  <c r="M188" i="30"/>
  <c r="N188" i="30" s="1"/>
  <c r="P188" i="30" s="1"/>
  <c r="M174" i="30"/>
  <c r="N174" i="30" s="1"/>
  <c r="P174" i="30" s="1"/>
  <c r="M173" i="30"/>
  <c r="N173" i="30" s="1"/>
  <c r="P173" i="30" s="1"/>
  <c r="AO1724" i="1" l="1"/>
  <c r="AQ1724" i="1" s="1"/>
  <c r="AO1741" i="1"/>
  <c r="AQ1741" i="1" s="1"/>
  <c r="AO1822" i="1"/>
  <c r="AQ1822" i="1" s="1"/>
  <c r="AO1818" i="1"/>
  <c r="AQ1818" i="1" s="1"/>
  <c r="AO1821" i="1"/>
  <c r="AQ1821" i="1" s="1"/>
  <c r="AO1820" i="1"/>
  <c r="AQ1820" i="1" s="1"/>
  <c r="AO1819" i="1"/>
  <c r="AQ1819" i="1" s="1"/>
  <c r="AO1824" i="1"/>
  <c r="AQ1824" i="1" s="1"/>
  <c r="AQ1749" i="1"/>
  <c r="M189" i="30"/>
  <c r="N189" i="30" s="1"/>
  <c r="P189" i="30" s="1"/>
  <c r="M175" i="30"/>
  <c r="N175" i="30" s="1"/>
  <c r="P175" i="30" s="1"/>
  <c r="AO1829" i="1" l="1"/>
  <c r="AQ1829" i="1" s="1"/>
  <c r="AO1823" i="1"/>
  <c r="AQ1823" i="1" s="1"/>
  <c r="AO1827" i="1"/>
  <c r="AQ1827" i="1" s="1"/>
  <c r="AO1831" i="1"/>
  <c r="AQ1831" i="1" s="1"/>
  <c r="AO1825" i="1"/>
  <c r="AQ1825" i="1" s="1"/>
  <c r="AO1828" i="1"/>
  <c r="AQ1828" i="1" s="1"/>
  <c r="AO1832" i="1"/>
  <c r="AQ1832" i="1" s="1"/>
  <c r="M190" i="30"/>
  <c r="N190" i="30" s="1"/>
  <c r="P190" i="30" s="1"/>
  <c r="M176" i="30"/>
  <c r="N176" i="30" s="1"/>
  <c r="P176" i="30" s="1"/>
  <c r="N1205" i="26"/>
  <c r="K225" i="29"/>
  <c r="W2" i="1" s="1" a="1"/>
  <c r="W2" i="1" s="1"/>
  <c r="AO1838" i="1" l="1"/>
  <c r="AQ1838" i="1" s="1"/>
  <c r="AO1833" i="1"/>
  <c r="AQ1833" i="1" s="1"/>
  <c r="AO1836" i="1"/>
  <c r="AQ1836" i="1" s="1"/>
  <c r="AO1837" i="1"/>
  <c r="AQ1837" i="1" s="1"/>
  <c r="AO1842" i="1"/>
  <c r="AQ1842" i="1" s="1"/>
  <c r="AO1846" i="1"/>
  <c r="AQ1846" i="1" s="1"/>
  <c r="AO1839" i="1"/>
  <c r="AQ1839" i="1" s="1"/>
  <c r="AO1840" i="1"/>
  <c r="AQ1840" i="1" s="1"/>
  <c r="AO1848" i="1"/>
  <c r="AQ1848" i="1" s="1"/>
  <c r="AN1768" i="1"/>
  <c r="I4" i="25" a="1"/>
  <c r="I4" i="25" s="1"/>
  <c r="I3" i="25" a="1"/>
  <c r="I3" i="25" s="1"/>
  <c r="J18" i="25" s="1"/>
  <c r="I5" i="25" a="1"/>
  <c r="I5" i="25" s="1"/>
  <c r="I1" i="25" l="1"/>
  <c r="M178" i="30"/>
  <c r="N178" i="30" s="1"/>
  <c r="P178" i="30" s="1"/>
  <c r="M177" i="30"/>
  <c r="N177" i="30" s="1"/>
  <c r="P177" i="30" s="1"/>
  <c r="AO1762" i="1" l="1"/>
  <c r="AQ1762" i="1" s="1"/>
  <c r="AO1763" i="1"/>
  <c r="AQ1763" i="1" s="1"/>
  <c r="M179" i="30"/>
  <c r="N179" i="30" s="1"/>
  <c r="P179" i="30" s="1"/>
  <c r="AO1765" i="1" l="1"/>
  <c r="AQ1765" i="1" s="1"/>
  <c r="AO1760" i="1"/>
  <c r="AQ1760" i="1" s="1"/>
  <c r="M180" i="30"/>
  <c r="N180" i="30" s="1"/>
  <c r="P180" i="30" s="1"/>
  <c r="AO1768" i="1" l="1"/>
  <c r="AQ1768" i="1" s="1"/>
  <c r="M181" i="30"/>
  <c r="N181" i="30" s="1"/>
  <c r="P181" i="30" s="1"/>
  <c r="AO1769" i="1" l="1"/>
  <c r="AQ1769" i="1" s="1"/>
  <c r="K3" i="25" s="1" a="1"/>
  <c r="K3" i="25" s="1"/>
  <c r="L18" i="25" s="1"/>
  <c r="AO1771" i="1"/>
  <c r="AQ1771" i="1" s="1"/>
  <c r="AO1772" i="1"/>
  <c r="AQ1772" i="1" s="1"/>
  <c r="AO1766" i="1"/>
  <c r="AQ1766" i="1" s="1"/>
  <c r="K4" i="25" a="1"/>
  <c r="K4" i="25" s="1"/>
  <c r="K5" i="25" a="1"/>
  <c r="K5" i="25" s="1"/>
  <c r="M183" i="30"/>
  <c r="N183" i="30" s="1"/>
  <c r="P183" i="30" s="1"/>
  <c r="AO1770" i="1" s="1"/>
  <c r="AQ1770" i="1" s="1"/>
  <c r="M182" i="30"/>
  <c r="N182" i="30" s="1"/>
  <c r="P182" i="30" s="1"/>
  <c r="AO1776" i="1" l="1"/>
  <c r="AQ1776" i="1" s="1"/>
  <c r="K1" i="25"/>
  <c r="J3" i="25" a="1"/>
  <c r="J3" i="25" s="1"/>
  <c r="K18" i="25" l="1"/>
  <c r="L3" i="25"/>
  <c r="J4" i="25" a="1"/>
  <c r="J4" i="25" s="1"/>
  <c r="J5" i="25" a="1"/>
  <c r="J5" i="25" s="1"/>
  <c r="L4" i="25" l="1"/>
  <c r="M4" i="25" s="1"/>
  <c r="M18" i="25"/>
  <c r="M3" i="25"/>
  <c r="J8" i="25"/>
  <c r="L8" i="25" s="1"/>
  <c r="L5" i="25"/>
  <c r="J1" i="25"/>
  <c r="N18" i="25" l="1"/>
  <c r="O18" i="25"/>
  <c r="P37" i="25"/>
  <c r="P35" i="25"/>
  <c r="M5" i="25"/>
  <c r="M1" i="25" s="1"/>
  <c r="L1" i="25"/>
  <c r="P41" i="25" l="1"/>
  <c r="P39" i="25"/>
  <c r="P19" i="25" s="1"/>
  <c r="C6" i="28" a="1"/>
  <c r="C6" i="28" s="1"/>
  <c r="D6" i="28" s="1"/>
  <c r="S2" i="1" a="1"/>
  <c r="S2" i="1" s="1"/>
  <c r="AM2" i="1" a="1"/>
  <c r="AM2" i="1" s="1"/>
  <c r="AO2" i="1"/>
  <c r="AP2" i="1"/>
  <c r="AH2" i="1"/>
  <c r="AN2" i="1"/>
  <c r="C10" i="28" l="1"/>
  <c r="D10" i="28"/>
  <c r="AQ2" i="1"/>
  <c r="T2" i="1" a="1"/>
  <c r="T2" i="1" l="1"/>
  <c r="U2" i="1" s="1" a="1"/>
  <c r="U2" i="1" s="1"/>
  <c r="Z2" i="1" s="1" a="1"/>
  <c r="Z2" i="1" s="1"/>
  <c r="AA2" i="1" s="1" a="1"/>
  <c r="AA2" i="1" s="1"/>
  <c r="AI624" i="1"/>
  <c r="AJ624" i="1" s="1"/>
  <c r="AI53" i="1"/>
  <c r="AJ53" i="1" s="1"/>
  <c r="AI2094" i="1"/>
  <c r="AJ2094" i="1" s="1"/>
  <c r="AI367" i="1"/>
  <c r="AJ367" i="1" s="1"/>
  <c r="AI1065" i="1"/>
  <c r="AJ1065" i="1" s="1"/>
  <c r="AI2054" i="1"/>
  <c r="AJ2054" i="1" s="1"/>
  <c r="AI1114" i="1"/>
  <c r="AJ1114" i="1" s="1"/>
  <c r="AI144" i="1"/>
  <c r="AJ144" i="1" s="1"/>
  <c r="AI975" i="1"/>
  <c r="AJ975" i="1" s="1"/>
  <c r="AI1478" i="1"/>
  <c r="AJ1478" i="1" s="1"/>
  <c r="AI1499" i="1"/>
  <c r="AJ1499" i="1" s="1"/>
  <c r="AI1552" i="1"/>
  <c r="AJ1552" i="1" s="1"/>
  <c r="AI1696" i="1"/>
  <c r="AJ1696" i="1" s="1"/>
  <c r="AI1864" i="1"/>
  <c r="AJ1864" i="1" s="1"/>
  <c r="AI1149" i="1"/>
  <c r="AJ1149" i="1" s="1"/>
  <c r="AI334" i="1"/>
  <c r="AJ334" i="1" s="1"/>
  <c r="AI1964" i="1"/>
  <c r="AJ1964" i="1" s="1"/>
  <c r="AI1096" i="1"/>
  <c r="AJ1096" i="1" s="1"/>
  <c r="AI230" i="1"/>
  <c r="AJ230" i="1" s="1"/>
  <c r="AI1412" i="1"/>
  <c r="AJ1412" i="1" s="1"/>
  <c r="AI845" i="1"/>
  <c r="AJ845" i="1" s="1"/>
  <c r="AI349" i="1"/>
  <c r="AJ349" i="1" s="1"/>
  <c r="AI1466" i="1"/>
  <c r="AJ1466" i="1" s="1"/>
  <c r="AI517" i="1"/>
  <c r="AJ517" i="1" s="1"/>
  <c r="AI608" i="1"/>
  <c r="AJ608" i="1" s="1"/>
  <c r="AI274" i="1"/>
  <c r="AJ274" i="1" s="1"/>
  <c r="AI191" i="1"/>
  <c r="AJ191" i="1" s="1"/>
  <c r="AI323" i="1"/>
  <c r="AJ323" i="1" s="1"/>
  <c r="AI590" i="1"/>
  <c r="AJ590" i="1" s="1"/>
  <c r="AI115" i="1"/>
  <c r="AJ115" i="1" s="1"/>
  <c r="AI1963" i="1"/>
  <c r="AJ1963" i="1" s="1"/>
  <c r="AI594" i="1"/>
  <c r="AJ594" i="1" s="1"/>
  <c r="AI2070" i="1"/>
  <c r="AJ2070" i="1" s="1"/>
  <c r="AI750" i="1"/>
  <c r="AJ750" i="1" s="1"/>
  <c r="AI1069" i="1"/>
  <c r="AJ1069" i="1" s="1"/>
  <c r="AI1172" i="1"/>
  <c r="AJ1172" i="1" s="1"/>
  <c r="AI1158" i="1"/>
  <c r="AJ1158" i="1" s="1"/>
  <c r="AI63" i="1"/>
  <c r="AJ63" i="1" s="1"/>
  <c r="AI1396" i="1"/>
  <c r="AJ1396" i="1" s="1"/>
  <c r="AI561" i="1"/>
  <c r="AJ561" i="1" s="1"/>
  <c r="AI1517" i="1"/>
  <c r="AJ1517" i="1" s="1"/>
  <c r="AI409" i="1"/>
  <c r="AJ409" i="1" s="1"/>
  <c r="AI1494" i="1"/>
  <c r="AJ1494" i="1" s="1"/>
  <c r="AI1912" i="1"/>
  <c r="AJ1912" i="1" s="1"/>
  <c r="AI910" i="1"/>
  <c r="AJ910" i="1" s="1"/>
  <c r="AI695" i="1"/>
  <c r="AJ695" i="1" s="1"/>
  <c r="AI465" i="1"/>
  <c r="AJ465" i="1" s="1"/>
  <c r="AI1685" i="1"/>
  <c r="AJ1685" i="1" s="1"/>
  <c r="AI1512" i="1"/>
  <c r="AJ1512" i="1" s="1"/>
  <c r="AI671" i="1"/>
  <c r="AJ671" i="1" s="1"/>
  <c r="AI400" i="1"/>
  <c r="AJ400" i="1" s="1"/>
  <c r="AI1900" i="1"/>
  <c r="AJ1900" i="1" s="1"/>
  <c r="AI854" i="1"/>
  <c r="AJ854" i="1" s="1"/>
  <c r="AI1354" i="1"/>
  <c r="AJ1354" i="1" s="1"/>
  <c r="AI2024" i="1"/>
  <c r="AJ2024" i="1" s="1"/>
  <c r="AI1362" i="1"/>
  <c r="AJ1362" i="1" s="1"/>
  <c r="AI61" i="1"/>
  <c r="AJ61" i="1" s="1"/>
  <c r="AI1380" i="1"/>
  <c r="AJ1380" i="1" s="1"/>
  <c r="AI2080" i="1"/>
  <c r="AJ2080" i="1" s="1"/>
  <c r="AI2120" i="1"/>
  <c r="AJ2120" i="1" s="1"/>
  <c r="AI653" i="1"/>
  <c r="AJ653" i="1" s="1"/>
  <c r="AI1070" i="1"/>
  <c r="AJ1070" i="1" s="1"/>
  <c r="AI1306" i="1"/>
  <c r="AJ1306" i="1" s="1"/>
  <c r="AI1942" i="1"/>
  <c r="AJ1942" i="1" s="1"/>
  <c r="AI961" i="1"/>
  <c r="AJ961" i="1" s="1"/>
  <c r="AI140" i="1"/>
  <c r="AJ140" i="1" s="1"/>
  <c r="AI1157" i="1"/>
  <c r="AJ1157" i="1" s="1"/>
  <c r="AI1892" i="1"/>
  <c r="AJ1892" i="1" s="1"/>
  <c r="AI1990" i="1"/>
  <c r="AJ1990" i="1" s="1"/>
  <c r="AI1911" i="1"/>
  <c r="AJ1911" i="1" s="1"/>
  <c r="AI809" i="1"/>
  <c r="AJ809" i="1" s="1"/>
  <c r="AI1045" i="1"/>
  <c r="AJ1045" i="1" s="1"/>
  <c r="AI1009" i="1"/>
  <c r="AJ1009" i="1" s="1"/>
  <c r="AI1347" i="1"/>
  <c r="AJ1347" i="1" s="1"/>
  <c r="AI1388" i="1"/>
  <c r="AJ1388" i="1" s="1"/>
  <c r="AI1246" i="1"/>
  <c r="AJ1246" i="1" s="1"/>
  <c r="AI328" i="1"/>
  <c r="AJ328" i="1" s="1"/>
  <c r="AI1318" i="1"/>
  <c r="AJ1318" i="1" s="1"/>
  <c r="AI1483" i="1"/>
  <c r="AJ1483" i="1" s="1"/>
  <c r="AI1428" i="1"/>
  <c r="AJ1428" i="1" s="1"/>
  <c r="AI769" i="1"/>
  <c r="AJ769" i="1" s="1"/>
  <c r="AI1291" i="1"/>
  <c r="AJ1291" i="1" s="1"/>
  <c r="AI1633" i="1"/>
  <c r="AJ1633" i="1" s="1"/>
  <c r="AI772" i="1"/>
  <c r="AJ772" i="1" s="1"/>
  <c r="AI655" i="1"/>
  <c r="AJ655" i="1" s="1"/>
  <c r="AI1461" i="1"/>
  <c r="AJ1461" i="1" s="1"/>
  <c r="AI449" i="1"/>
  <c r="AJ449" i="1" s="1"/>
  <c r="AI1371" i="1"/>
  <c r="AJ1371" i="1" s="1"/>
  <c r="AI157" i="1"/>
  <c r="AJ157" i="1" s="1"/>
  <c r="AI1709" i="1"/>
  <c r="AJ1709" i="1" s="1"/>
  <c r="AI235" i="1"/>
  <c r="AJ235" i="1" s="1"/>
  <c r="AI1387" i="1"/>
  <c r="AJ1387" i="1" s="1"/>
  <c r="AI1560" i="1"/>
  <c r="AJ1560" i="1" s="1"/>
  <c r="AI282" i="1"/>
  <c r="AJ282" i="1" s="1"/>
  <c r="AI134" i="1"/>
  <c r="AJ134" i="1" s="1"/>
  <c r="AJ135" i="1"/>
  <c r="AI135" i="1"/>
  <c r="AI2044" i="1"/>
  <c r="AJ2044" i="1" s="1"/>
  <c r="AI531" i="1"/>
  <c r="AJ531" i="1" s="1"/>
  <c r="AI1429" i="1"/>
  <c r="AJ1429" i="1" s="1"/>
  <c r="AI1250" i="1"/>
  <c r="AJ1250" i="1" s="1"/>
  <c r="AI354" i="1"/>
  <c r="AJ354" i="1" s="1"/>
  <c r="AI914" i="1"/>
  <c r="AJ914" i="1" s="1"/>
  <c r="AI336" i="1"/>
  <c r="AJ336" i="1" s="1"/>
  <c r="AI468" i="1"/>
  <c r="AJ468" i="1" s="1"/>
  <c r="AI1475" i="1"/>
  <c r="AJ1475" i="1" s="1"/>
  <c r="AI1875" i="1"/>
  <c r="AJ1875" i="1" s="1"/>
  <c r="AI964" i="1"/>
  <c r="AJ964" i="1" s="1"/>
  <c r="AI742" i="1"/>
  <c r="AJ742" i="1" s="1"/>
  <c r="AI269" i="1"/>
  <c r="AJ269" i="1" s="1"/>
  <c r="AI1891" i="1"/>
  <c r="AJ1891" i="1" s="1"/>
  <c r="AI1895" i="1"/>
  <c r="AJ1895" i="1" s="1"/>
  <c r="AI466" i="1"/>
  <c r="AJ466" i="1" s="1"/>
  <c r="AI1133" i="1"/>
  <c r="AJ1133" i="1" s="1"/>
  <c r="AI2007" i="1"/>
  <c r="AJ2007" i="1" s="1"/>
  <c r="AI985" i="1"/>
  <c r="AJ985" i="1" s="1"/>
  <c r="AI1574" i="1"/>
  <c r="AJ1574" i="1" s="1"/>
  <c r="AI310" i="1"/>
  <c r="AJ310" i="1" s="1"/>
  <c r="AI740" i="1"/>
  <c r="AJ740" i="1" s="1"/>
  <c r="AI1859" i="1"/>
  <c r="AJ1859" i="1" s="1"/>
  <c r="AI460" i="1"/>
  <c r="AJ460" i="1" s="1"/>
  <c r="AI1761" i="1"/>
  <c r="AJ1761" i="1" s="1"/>
  <c r="AI1556" i="1"/>
  <c r="AJ1556" i="1" s="1"/>
  <c r="AI1503" i="1"/>
  <c r="AJ1503" i="1" s="1"/>
  <c r="AI702" i="1"/>
  <c r="AJ702" i="1" s="1"/>
  <c r="AI622" i="1"/>
  <c r="AJ622" i="1" s="1"/>
  <c r="AI1413" i="1"/>
  <c r="AJ1413" i="1" s="1"/>
  <c r="AI1657" i="1"/>
  <c r="AJ1657" i="1" s="1"/>
  <c r="AI795" i="1"/>
  <c r="AJ795" i="1" s="1"/>
  <c r="AI1590" i="1"/>
  <c r="AJ1590" i="1" s="1"/>
  <c r="AI1794" i="1"/>
  <c r="AJ1794" i="1" s="1"/>
  <c r="AI402" i="1"/>
  <c r="AJ402" i="1" s="1"/>
  <c r="AI189" i="1"/>
  <c r="AJ189" i="1" s="1"/>
  <c r="AI1619" i="1"/>
  <c r="AJ1619" i="1" s="1"/>
  <c r="AI1521" i="1"/>
  <c r="AJ1521" i="1" s="1"/>
  <c r="AI263" i="1"/>
  <c r="AJ263" i="1" s="1"/>
  <c r="AI1867" i="1"/>
  <c r="AJ1867" i="1" s="1"/>
  <c r="AI658" i="1"/>
  <c r="AJ658" i="1" s="1"/>
  <c r="AI439" i="1"/>
  <c r="AJ439" i="1" s="1"/>
  <c r="AI1373" i="1"/>
  <c r="AJ1373" i="1" s="1"/>
  <c r="AI453" i="1"/>
  <c r="AJ453" i="1" s="1"/>
  <c r="AI786" i="1"/>
  <c r="AJ786" i="1" s="1"/>
  <c r="AI936" i="1"/>
  <c r="AJ936" i="1" s="1"/>
  <c r="AI1279" i="1"/>
  <c r="AJ1279" i="1" s="1"/>
  <c r="AI85" i="1"/>
  <c r="AJ85" i="1" s="1"/>
  <c r="AI709" i="1"/>
  <c r="AJ709" i="1" s="1"/>
  <c r="AI28" i="1"/>
  <c r="AJ28" i="1" s="1"/>
  <c r="AI1787" i="1"/>
  <c r="AJ1787" i="1" s="1"/>
  <c r="AI760" i="1"/>
  <c r="AJ760" i="1" s="1"/>
  <c r="AI2052" i="1"/>
  <c r="AJ2052" i="1" s="1"/>
  <c r="AI1346" i="1"/>
  <c r="AJ1346" i="1" s="1"/>
  <c r="AI1265" i="1"/>
  <c r="AJ1265" i="1" s="1"/>
  <c r="AI98" i="1"/>
  <c r="AJ98" i="1" s="1"/>
  <c r="AI1807" i="1"/>
  <c r="AJ1807" i="1" s="1"/>
  <c r="AI944" i="1"/>
  <c r="AJ944" i="1" s="1"/>
  <c r="AI160" i="1"/>
  <c r="AJ160" i="1" s="1"/>
  <c r="AI443" i="1"/>
  <c r="AJ443" i="1" s="1"/>
  <c r="AI2039" i="1"/>
  <c r="AJ2039" i="1" s="1"/>
  <c r="AI723" i="1"/>
  <c r="AJ723" i="1" s="1"/>
  <c r="AI1457" i="1"/>
  <c r="AJ1457" i="1" s="1"/>
  <c r="AI1764" i="1"/>
  <c r="AJ1764" i="1" s="1"/>
  <c r="AI1985" i="1"/>
  <c r="AJ1985" i="1" s="1"/>
  <c r="AI790" i="1"/>
  <c r="AJ790" i="1" s="1"/>
  <c r="AI446" i="1"/>
  <c r="AJ446" i="1" s="1"/>
  <c r="AI1727" i="1"/>
  <c r="AJ1727" i="1" s="1"/>
  <c r="AI2102" i="1"/>
  <c r="AJ2102" i="1" s="1"/>
  <c r="AI10" i="1"/>
  <c r="AJ10" i="1" s="1"/>
  <c r="AI386" i="1"/>
  <c r="AJ386" i="1" s="1"/>
  <c r="AI1580" i="1"/>
  <c r="AJ1580" i="1" s="1"/>
  <c r="AI683" i="1"/>
  <c r="AJ683" i="1" s="1"/>
  <c r="AI960" i="1"/>
  <c r="AJ960" i="1" s="1"/>
  <c r="AI1116" i="1"/>
  <c r="AJ1116" i="1" s="1"/>
  <c r="AI559" i="1"/>
  <c r="AJ559" i="1" s="1"/>
  <c r="AI1847" i="1"/>
  <c r="AJ1847" i="1" s="1"/>
  <c r="AI700" i="1"/>
  <c r="AJ700" i="1" s="1"/>
  <c r="AI1151" i="1"/>
  <c r="AJ1151" i="1" s="1"/>
  <c r="AI141" i="1"/>
  <c r="AJ141" i="1" s="1"/>
  <c r="AI197" i="1"/>
  <c r="AJ197" i="1" s="1"/>
  <c r="AI2075" i="1"/>
  <c r="AJ2075" i="1" s="1"/>
  <c r="AI1169" i="1"/>
  <c r="AJ1169" i="1" s="1"/>
  <c r="AI909" i="1"/>
  <c r="AJ909" i="1" s="1"/>
  <c r="AI1028" i="1"/>
  <c r="AJ1028" i="1" s="1"/>
  <c r="AI758" i="1"/>
  <c r="AJ758" i="1" s="1"/>
  <c r="AI1444" i="1"/>
  <c r="AJ1444" i="1" s="1"/>
  <c r="AI525" i="1"/>
  <c r="AJ525" i="1" s="1"/>
  <c r="AI350" i="1"/>
  <c r="AJ350" i="1" s="1"/>
  <c r="AI1620" i="1"/>
  <c r="AJ1620" i="1" s="1"/>
  <c r="AI1978" i="1"/>
  <c r="AJ1978" i="1" s="1"/>
  <c r="AI771" i="1"/>
  <c r="AJ771" i="1" s="1"/>
  <c r="AI256" i="1"/>
  <c r="AJ256" i="1" s="1"/>
  <c r="AI2103" i="1"/>
  <c r="AJ2103" i="1" s="1"/>
  <c r="AI685" i="1"/>
  <c r="AJ685" i="1" s="1"/>
  <c r="AI731" i="1"/>
  <c r="AJ731" i="1" s="1"/>
  <c r="AI587" i="1"/>
  <c r="AJ587" i="1" s="1"/>
  <c r="AI368" i="1"/>
  <c r="AJ368" i="1" s="1"/>
  <c r="AI981" i="1"/>
  <c r="AJ981" i="1" s="1"/>
  <c r="AI1562" i="1"/>
  <c r="AJ1562" i="1" s="1"/>
  <c r="AI1535" i="1"/>
  <c r="AJ1535" i="1" s="1"/>
  <c r="AI660" i="1"/>
  <c r="AJ660" i="1" s="1"/>
  <c r="AI861" i="1"/>
  <c r="AJ861" i="1" s="1"/>
  <c r="AI822" i="1"/>
  <c r="AJ822" i="1" s="1"/>
  <c r="AI778" i="1"/>
  <c r="AJ778" i="1" s="1"/>
  <c r="AI2022" i="1"/>
  <c r="AJ2022" i="1" s="1"/>
  <c r="AI644" i="1"/>
  <c r="AJ644" i="1" s="1"/>
  <c r="AI93" i="1"/>
  <c r="AJ93" i="1" s="1"/>
  <c r="AI989" i="1"/>
  <c r="AJ989" i="1" s="1"/>
  <c r="AI547" i="1"/>
  <c r="AJ547" i="1" s="1"/>
  <c r="AI931" i="1"/>
  <c r="AJ931" i="1" s="1"/>
  <c r="AI2014" i="1"/>
  <c r="AJ2014" i="1" s="1"/>
  <c r="AI1312" i="1"/>
  <c r="AJ1312" i="1" s="1"/>
  <c r="AI454" i="1"/>
  <c r="AJ454" i="1" s="1"/>
  <c r="AI1681" i="1"/>
  <c r="AJ1681" i="1" s="1"/>
  <c r="AI1129" i="1"/>
  <c r="AJ1129" i="1" s="1"/>
  <c r="AI52" i="1"/>
  <c r="AJ52" i="1" s="1"/>
  <c r="AI725" i="1"/>
  <c r="AJ725" i="1" s="1"/>
  <c r="AI1547" i="1"/>
  <c r="AJ1547" i="1" s="1"/>
  <c r="AI1645" i="1"/>
  <c r="AJ1645" i="1" s="1"/>
  <c r="AI13" i="1"/>
  <c r="AJ13" i="1" s="1"/>
  <c r="AI300" i="1"/>
  <c r="AJ300" i="1" s="1"/>
  <c r="AI121" i="1"/>
  <c r="AJ121" i="1" s="1"/>
  <c r="AI77" i="1"/>
  <c r="AJ77" i="1" s="1"/>
  <c r="AI1855" i="1"/>
  <c r="AJ1855" i="1" s="1"/>
  <c r="AI518" i="1"/>
  <c r="AJ518" i="1" s="1"/>
  <c r="AI1386" i="1"/>
  <c r="AJ1386" i="1" s="1"/>
  <c r="AI596" i="1"/>
  <c r="AJ596" i="1" s="1"/>
  <c r="AI633" i="1"/>
  <c r="AJ633" i="1" s="1"/>
  <c r="AI272" i="1"/>
  <c r="AJ272" i="1" s="1"/>
  <c r="AI1106" i="1"/>
  <c r="AJ1106" i="1" s="1"/>
  <c r="AI584" i="1"/>
  <c r="AJ584" i="1" s="1"/>
  <c r="AI1750" i="1"/>
  <c r="AJ1750" i="1" s="1"/>
  <c r="AI2056" i="1"/>
  <c r="AJ2056" i="1" s="1"/>
  <c r="AI35" i="1"/>
  <c r="AJ35" i="1" s="1"/>
  <c r="AI831" i="1"/>
  <c r="AJ831" i="1" s="1"/>
  <c r="AI2050" i="1"/>
  <c r="AJ2050" i="1" s="1"/>
  <c r="AI1416" i="1"/>
  <c r="AJ1416" i="1" s="1"/>
  <c r="AI507" i="1"/>
  <c r="AJ507" i="1" s="1"/>
  <c r="AI629" i="1"/>
  <c r="AJ629" i="1" s="1"/>
  <c r="AI503" i="1"/>
  <c r="AJ503" i="1" s="1"/>
  <c r="AI266" i="1"/>
  <c r="AJ266" i="1" s="1"/>
  <c r="AI1091" i="1"/>
  <c r="AJ1091" i="1" s="1"/>
  <c r="AI1421" i="1"/>
  <c r="AJ1421" i="1" s="1"/>
  <c r="AI1965" i="1"/>
  <c r="AJ1965" i="1" s="1"/>
  <c r="AI799" i="1"/>
  <c r="AJ799" i="1" s="1"/>
  <c r="AI672" i="1"/>
  <c r="AJ672" i="1" s="1"/>
  <c r="AI241" i="1"/>
  <c r="AJ241" i="1" s="1"/>
  <c r="AI1482" i="1"/>
  <c r="AJ1482" i="1" s="1"/>
  <c r="AI1934" i="1"/>
  <c r="AJ1934" i="1" s="1"/>
  <c r="AI810" i="1"/>
  <c r="AJ810" i="1" s="1"/>
  <c r="AI649" i="1"/>
  <c r="AJ649" i="1" s="1"/>
  <c r="AI220" i="1"/>
  <c r="AJ220" i="1" s="1"/>
  <c r="AI2085" i="1"/>
  <c r="AJ2085" i="1" s="1"/>
  <c r="AI818" i="1"/>
  <c r="AJ818" i="1" s="1"/>
  <c r="AI322" i="1"/>
  <c r="AJ322" i="1" s="1"/>
  <c r="AI1991" i="1"/>
  <c r="AJ1991" i="1" s="1"/>
  <c r="AI376" i="1"/>
  <c r="AJ376" i="1" s="1"/>
  <c r="AI406" i="1"/>
  <c r="AJ406" i="1" s="1"/>
  <c r="AI1326" i="1"/>
  <c r="AJ1326" i="1" s="1"/>
  <c r="AI1454" i="1"/>
  <c r="AJ1454" i="1" s="1"/>
  <c r="AI299" i="1"/>
  <c r="AJ299" i="1" s="1"/>
  <c r="AI415" i="1"/>
  <c r="AJ415" i="1" s="1"/>
  <c r="AI703" i="1"/>
  <c r="AJ703" i="1" s="1"/>
  <c r="AI1746" i="1"/>
  <c r="AJ1746" i="1" s="1"/>
  <c r="AI820" i="1"/>
  <c r="AJ820" i="1" s="1"/>
  <c r="AI1954" i="1"/>
  <c r="AJ1954" i="1" s="1"/>
  <c r="AI504" i="1"/>
  <c r="AJ504" i="1" s="1"/>
  <c r="AI165" i="1"/>
  <c r="AJ165" i="1" s="1"/>
  <c r="AI973" i="1"/>
  <c r="AJ973" i="1" s="1"/>
  <c r="AI1256" i="1"/>
  <c r="AJ1256" i="1" s="1"/>
  <c r="AI1646" i="1"/>
  <c r="AJ1646" i="1" s="1"/>
  <c r="AI1538" i="1"/>
  <c r="AJ1538" i="1" s="1"/>
  <c r="AI1983" i="1"/>
  <c r="AJ1983" i="1" s="1"/>
  <c r="AI942" i="1"/>
  <c r="AJ942" i="1" s="1"/>
  <c r="AI1800" i="1"/>
  <c r="AJ1800" i="1" s="1"/>
  <c r="AI1423" i="1"/>
  <c r="AJ1423" i="1" s="1"/>
  <c r="AI1283" i="1"/>
  <c r="AJ1283" i="1" s="1"/>
  <c r="AI1239" i="1"/>
  <c r="AJ1239" i="1" s="1"/>
  <c r="AI333" i="1"/>
  <c r="AJ333" i="1" s="1"/>
  <c r="AI1266" i="1"/>
  <c r="AJ1266" i="1" s="1"/>
  <c r="AI588" i="1"/>
  <c r="AJ588" i="1" s="1"/>
  <c r="AI691" i="1"/>
  <c r="AJ691" i="1" s="1"/>
  <c r="AI289" i="1"/>
  <c r="AJ289" i="1" s="1"/>
  <c r="AI1227" i="1"/>
  <c r="AJ1227" i="1" s="1"/>
  <c r="AI399" i="1"/>
  <c r="AJ399" i="1" s="1"/>
  <c r="AI1124" i="1"/>
  <c r="AJ1124" i="1" s="1"/>
  <c r="AI553" i="1"/>
  <c r="AJ553" i="1" s="1"/>
  <c r="AI2017" i="1"/>
  <c r="AJ2017" i="1" s="1"/>
  <c r="AI1953" i="1"/>
  <c r="AJ1953" i="1" s="1"/>
  <c r="AI1711" i="1"/>
  <c r="AJ1711" i="1" s="1"/>
  <c r="AI1327" i="1"/>
  <c r="AJ1327" i="1" s="1"/>
  <c r="AI1637" i="1"/>
  <c r="AJ1637" i="1" s="1"/>
  <c r="AI1533" i="1"/>
  <c r="AJ1533" i="1" s="1"/>
  <c r="AI1143" i="1"/>
  <c r="AJ1143" i="1" s="1"/>
  <c r="AI773" i="1"/>
  <c r="AJ773" i="1" s="1"/>
  <c r="AI1297" i="1"/>
  <c r="AJ1297" i="1" s="1"/>
  <c r="AI1639" i="1"/>
  <c r="AJ1639" i="1" s="1"/>
  <c r="AI151" i="1"/>
  <c r="AJ151" i="1" s="1"/>
  <c r="AI1225" i="1"/>
  <c r="AJ1225" i="1" s="1"/>
  <c r="AI2023" i="1"/>
  <c r="AJ2023" i="1" s="1"/>
  <c r="AI1524" i="1"/>
  <c r="AJ1524" i="1" s="1"/>
  <c r="AI1816" i="1"/>
  <c r="AJ1816" i="1" s="1"/>
  <c r="AI231" i="1"/>
  <c r="AJ231" i="1" s="1"/>
  <c r="AI1722" i="1"/>
  <c r="AJ1722" i="1" s="1"/>
  <c r="AI1284" i="1"/>
  <c r="AJ1284" i="1" s="1"/>
  <c r="AI616" i="1"/>
  <c r="AJ616" i="1" s="1"/>
  <c r="AI1828" i="1"/>
  <c r="AJ1828" i="1" s="1"/>
  <c r="AI1024" i="1"/>
  <c r="AJ1024" i="1" s="1"/>
  <c r="AI258" i="1"/>
  <c r="AJ258" i="1" s="1"/>
  <c r="AI2106" i="1"/>
  <c r="AJ2106" i="1" s="1"/>
  <c r="AI886" i="1"/>
  <c r="AJ886" i="1" s="1"/>
  <c r="AI1047" i="1"/>
  <c r="AJ1047" i="1" s="1"/>
  <c r="AI1948" i="1"/>
  <c r="AJ1948" i="1" s="1"/>
  <c r="AI1247" i="1"/>
  <c r="AJ1247" i="1" s="1"/>
  <c r="AI800" i="1"/>
  <c r="AJ800" i="1" s="1"/>
  <c r="AI974" i="1"/>
  <c r="AJ974" i="1" s="1"/>
  <c r="AI675" i="1"/>
  <c r="AJ675" i="1" s="1"/>
  <c r="AI1079" i="1"/>
  <c r="AJ1079" i="1" s="1"/>
  <c r="AI1755" i="1"/>
  <c r="AJ1755" i="1" s="1"/>
  <c r="AI682" i="1"/>
  <c r="AJ682" i="1" s="1"/>
  <c r="AI246" i="1"/>
  <c r="AJ246" i="1" s="1"/>
  <c r="AI1866" i="1"/>
  <c r="AJ1866" i="1" s="1"/>
  <c r="AI1908" i="1"/>
  <c r="AJ1908" i="1" s="1"/>
  <c r="AI1631" i="1"/>
  <c r="AJ1631" i="1" s="1"/>
  <c r="AI1269" i="1"/>
  <c r="AJ1269" i="1" s="1"/>
  <c r="AI317" i="1"/>
  <c r="AJ317" i="1" s="1"/>
  <c r="AI304" i="1"/>
  <c r="AJ304" i="1" s="1"/>
  <c r="AI324" i="1"/>
  <c r="AJ324" i="1" s="1"/>
  <c r="AI208" i="1"/>
  <c r="AJ208" i="1" s="1"/>
  <c r="AI1075" i="1"/>
  <c r="AJ1075" i="1" s="1"/>
  <c r="AI458" i="1"/>
  <c r="AJ458" i="1" s="1"/>
  <c r="AI1244" i="1"/>
  <c r="AJ1244" i="1" s="1"/>
  <c r="AI1436" i="1"/>
  <c r="AJ1436" i="1" s="1"/>
  <c r="AI833" i="1"/>
  <c r="AJ833" i="1" s="1"/>
  <c r="AI572" i="1"/>
  <c r="AJ572" i="1" s="1"/>
  <c r="AI1786" i="1"/>
  <c r="AJ1786" i="1" s="1"/>
  <c r="AI1664" i="1"/>
  <c r="AJ1664" i="1" s="1"/>
  <c r="AI150" i="1"/>
  <c r="AJ150" i="1" s="1"/>
  <c r="AI1001" i="1"/>
  <c r="AJ1001" i="1" s="1"/>
  <c r="AI11" i="1"/>
  <c r="AJ11" i="1" s="1"/>
  <c r="AI699" i="1"/>
  <c r="AJ699" i="1" s="1"/>
  <c r="AI560" i="1"/>
  <c r="AJ560" i="1" s="1"/>
  <c r="AI1220" i="1"/>
  <c r="AJ1220" i="1" s="1"/>
  <c r="AI1616" i="1"/>
  <c r="AJ1616" i="1" s="1"/>
  <c r="AI1472" i="1"/>
  <c r="AJ1472" i="1" s="1"/>
  <c r="AI1068" i="1"/>
  <c r="AJ1068" i="1" s="1"/>
  <c r="AI1200" i="1"/>
  <c r="AJ1200" i="1" s="1"/>
  <c r="AI229" i="1"/>
  <c r="AJ229" i="1" s="1"/>
  <c r="AI639" i="1"/>
  <c r="AJ639" i="1" s="1"/>
  <c r="AI858" i="1"/>
  <c r="AJ858" i="1" s="1"/>
  <c r="AI759" i="1"/>
  <c r="AJ759" i="1" s="1"/>
  <c r="AI648" i="1"/>
  <c r="AJ648" i="1" s="1"/>
  <c r="AI965" i="1"/>
  <c r="AJ965" i="1" s="1"/>
  <c r="AI469" i="1"/>
  <c r="AJ469" i="1" s="1"/>
  <c r="AI330" i="1"/>
  <c r="AJ330" i="1" s="1"/>
  <c r="AI2000" i="1"/>
  <c r="AJ2000" i="1" s="1"/>
  <c r="AI320" i="1"/>
  <c r="AJ320" i="1" s="1"/>
  <c r="AI1328" i="1"/>
  <c r="AJ1328" i="1" s="1"/>
  <c r="AI1678" i="1"/>
  <c r="AJ1678" i="1" s="1"/>
  <c r="AI57" i="1"/>
  <c r="AJ57" i="1" s="1"/>
  <c r="AI746" i="1"/>
  <c r="AJ746" i="1" s="1"/>
  <c r="AI41" i="1"/>
  <c r="AJ41" i="1" s="1"/>
  <c r="AI1183" i="1"/>
  <c r="AJ1183" i="1" s="1"/>
  <c r="AI489" i="1"/>
  <c r="AJ489" i="1" s="1"/>
  <c r="AI2036" i="1"/>
  <c r="AJ2036" i="1" s="1"/>
  <c r="AI1593" i="1"/>
  <c r="AJ1593" i="1" s="1"/>
  <c r="AI516" i="1"/>
  <c r="AJ516" i="1" s="1"/>
  <c r="AI1514" i="1"/>
  <c r="AJ1514" i="1" s="1"/>
  <c r="AI1471" i="1"/>
  <c r="AJ1471" i="1" s="1"/>
  <c r="AI1086" i="1"/>
  <c r="AJ1086" i="1" s="1"/>
  <c r="AI1570" i="1"/>
  <c r="AJ1570" i="1" s="1"/>
  <c r="AI2118" i="1"/>
  <c r="AJ2118" i="1" s="1"/>
  <c r="AI997" i="1"/>
  <c r="AJ997" i="1" s="1"/>
  <c r="AI1721" i="1"/>
  <c r="AJ1721" i="1" s="1"/>
  <c r="AI1719" i="1"/>
  <c r="AJ1719" i="1" s="1"/>
  <c r="AI1470" i="1"/>
  <c r="AJ1470" i="1" s="1"/>
  <c r="AI1296" i="1"/>
  <c r="AJ1296" i="1" s="1"/>
  <c r="AI1773" i="1"/>
  <c r="AJ1773" i="1" s="1"/>
  <c r="AI1052" i="1"/>
  <c r="AJ1052" i="1" s="1"/>
  <c r="AI1571" i="1"/>
  <c r="AJ1571" i="1" s="1"/>
  <c r="AI1718" i="1"/>
  <c r="AJ1718" i="1" s="1"/>
  <c r="AI1159" i="1"/>
  <c r="AJ1159" i="1" s="1"/>
  <c r="AI839" i="1"/>
  <c r="AJ839" i="1" s="1"/>
  <c r="AI1585" i="1"/>
  <c r="AJ1585" i="1" s="1"/>
  <c r="AI2098" i="1"/>
  <c r="AJ2098" i="1" s="1"/>
  <c r="AI1604" i="1"/>
  <c r="AJ1604" i="1" s="1"/>
  <c r="AI651" i="1"/>
  <c r="AJ651" i="1" s="1"/>
  <c r="AI293" i="1"/>
  <c r="AJ293" i="1" s="1"/>
  <c r="AI1463" i="1"/>
  <c r="AJ1463" i="1" s="1"/>
  <c r="AI1589" i="1"/>
  <c r="AJ1589" i="1" s="1"/>
  <c r="AI987" i="1"/>
  <c r="AJ987" i="1" s="1"/>
  <c r="AI1878" i="1"/>
  <c r="AJ1878" i="1" s="1"/>
  <c r="AI548" i="1"/>
  <c r="AJ548" i="1" s="1"/>
  <c r="AI1401" i="1"/>
  <c r="AJ1401" i="1" s="1"/>
  <c r="AI486" i="1"/>
  <c r="AJ486" i="1" s="1"/>
  <c r="AI481" i="1"/>
  <c r="AJ481" i="1" s="1"/>
  <c r="AI2112" i="1"/>
  <c r="AJ2112" i="1" s="1"/>
  <c r="AI1007" i="1"/>
  <c r="AJ1007" i="1" s="1"/>
  <c r="AI2065" i="1"/>
  <c r="AJ2065" i="1" s="1"/>
  <c r="AI1221" i="1"/>
  <c r="AJ1221" i="1" s="1"/>
  <c r="AI23" i="1"/>
  <c r="AJ23" i="1" s="1"/>
  <c r="AI339" i="1"/>
  <c r="AJ339" i="1" s="1"/>
  <c r="AI365" i="1"/>
  <c r="AJ365" i="1" s="1"/>
  <c r="AI1290" i="1"/>
  <c r="AJ1290" i="1" s="1"/>
  <c r="AI463" i="1"/>
  <c r="AJ463" i="1" s="1"/>
  <c r="AI1926" i="1"/>
  <c r="AJ1926" i="1" s="1"/>
  <c r="AI2073" i="1"/>
  <c r="AJ2073" i="1" s="1"/>
  <c r="AI221" i="1"/>
  <c r="AJ221" i="1" s="1"/>
  <c r="AI1240" i="1"/>
  <c r="AJ1240" i="1" s="1"/>
  <c r="AI242" i="1"/>
  <c r="AJ242" i="1" s="1"/>
  <c r="AI1744" i="1"/>
  <c r="AJ1744" i="1" s="1"/>
  <c r="AI1716" i="1"/>
  <c r="AJ1716" i="1" s="1"/>
  <c r="AI1850" i="1"/>
  <c r="AJ1850" i="1" s="1"/>
  <c r="AI1064" i="1"/>
  <c r="AJ1064" i="1" s="1"/>
  <c r="AI819" i="1"/>
  <c r="AJ819" i="1" s="1"/>
  <c r="AI1420" i="1"/>
  <c r="AJ1420" i="1" s="1"/>
  <c r="AI1322" i="1"/>
  <c r="AJ1322" i="1" s="1"/>
  <c r="AI1152" i="1"/>
  <c r="AJ1152" i="1" s="1"/>
  <c r="AI1207" i="1"/>
  <c r="AJ1207" i="1" s="1"/>
  <c r="AI915" i="1"/>
  <c r="AJ915" i="1" s="1"/>
  <c r="AI278" i="1"/>
  <c r="AJ278" i="1" s="1"/>
  <c r="AI1406" i="1"/>
  <c r="AJ1406" i="1" s="1"/>
  <c r="AI445" i="1"/>
  <c r="AJ445" i="1" s="1"/>
  <c r="AI459" i="1"/>
  <c r="AJ459" i="1" s="1"/>
  <c r="AI232" i="1"/>
  <c r="AJ232" i="1" s="1"/>
  <c r="AI329" i="1"/>
  <c r="AJ329" i="1" s="1"/>
  <c r="AI1775" i="1"/>
  <c r="AJ1775" i="1" s="1"/>
  <c r="AI585" i="1"/>
  <c r="AJ585" i="1" s="1"/>
  <c r="AI1071" i="1"/>
  <c r="AJ1071" i="1" s="1"/>
  <c r="AI1168" i="1"/>
  <c r="AJ1168" i="1" s="1"/>
  <c r="AI618" i="1"/>
  <c r="AJ618" i="1" s="1"/>
  <c r="AI211" i="1"/>
  <c r="AJ211" i="1" s="1"/>
  <c r="AI2114" i="1"/>
  <c r="AJ2114" i="1" s="1"/>
  <c r="AI378" i="1"/>
  <c r="AJ378" i="1" s="1"/>
  <c r="AI1329" i="1"/>
  <c r="AJ1329" i="1" s="1"/>
  <c r="AI1253" i="1"/>
  <c r="AJ1253" i="1" s="1"/>
  <c r="AI1080" i="1"/>
  <c r="AJ1080" i="1" s="1"/>
  <c r="AI832" i="1"/>
  <c r="AJ832" i="1" s="1"/>
  <c r="AI60" i="1"/>
  <c r="AJ60" i="1" s="1"/>
  <c r="AI1180" i="1"/>
  <c r="AJ1180" i="1" s="1"/>
  <c r="AI95" i="1"/>
  <c r="AJ95" i="1" s="1"/>
  <c r="AI154" i="1"/>
  <c r="AJ154" i="1" s="1"/>
  <c r="AI1894" i="1"/>
  <c r="AJ1894" i="1" s="1"/>
  <c r="AI923" i="1"/>
  <c r="AJ923" i="1" s="1"/>
  <c r="AI1889" i="1"/>
  <c r="AJ1889" i="1" s="1"/>
  <c r="AI1103" i="1"/>
  <c r="AJ1103" i="1" s="1"/>
  <c r="AI212" i="1"/>
  <c r="AJ212" i="1" s="1"/>
  <c r="AI1321" i="1"/>
  <c r="AJ1321" i="1" s="1"/>
  <c r="AI1992" i="1"/>
  <c r="AJ1992" i="1" s="1"/>
  <c r="AI190" i="1"/>
  <c r="AJ190" i="1" s="1"/>
  <c r="AI1725" i="1"/>
  <c r="AJ1725" i="1" s="1"/>
  <c r="AI1834" i="1"/>
  <c r="AJ1834" i="1" s="1"/>
  <c r="AI884" i="1"/>
  <c r="AJ884" i="1" s="1"/>
  <c r="AI1767" i="1"/>
  <c r="AJ1767" i="1" s="1"/>
  <c r="AI1112" i="1"/>
  <c r="AJ1112" i="1" s="1"/>
  <c r="AI2109" i="1"/>
  <c r="AJ2109" i="1" s="1"/>
  <c r="AI602" i="1"/>
  <c r="AJ602" i="1" s="1"/>
  <c r="AI1710" i="1"/>
  <c r="AJ1710" i="1" s="1"/>
  <c r="AI630" i="1"/>
  <c r="AJ630" i="1" s="1"/>
  <c r="AI883" i="1"/>
  <c r="AJ883" i="1" s="1"/>
  <c r="AI1606" i="1"/>
  <c r="AJ1606" i="1" s="1"/>
  <c r="AI732" i="1"/>
  <c r="AJ732" i="1" s="1"/>
  <c r="AI729" i="1"/>
  <c r="AJ729" i="1" s="1"/>
  <c r="AI2074" i="1"/>
  <c r="AJ2074" i="1" s="1"/>
  <c r="AI276" i="1"/>
  <c r="AJ276" i="1" s="1"/>
  <c r="AI26" i="1"/>
  <c r="AJ26" i="1" s="1"/>
  <c r="AI2005" i="1"/>
  <c r="AJ2005" i="1" s="1"/>
  <c r="AI1307" i="1"/>
  <c r="AJ1307" i="1" s="1"/>
  <c r="AI735" i="1"/>
  <c r="AJ735" i="1" s="1"/>
  <c r="AI510" i="1"/>
  <c r="AJ510" i="1" s="1"/>
  <c r="AI436" i="1"/>
  <c r="AJ436" i="1" s="1"/>
  <c r="AI1756" i="1"/>
  <c r="AJ1756" i="1" s="1"/>
  <c r="AI1841" i="1"/>
  <c r="AJ1841" i="1" s="1"/>
  <c r="AI837" i="1"/>
  <c r="AJ837" i="1" s="1"/>
  <c r="AI603" i="1"/>
  <c r="AJ603" i="1" s="1"/>
  <c r="AI475" i="1"/>
  <c r="AJ475" i="1" s="1"/>
  <c r="AI166" i="1"/>
  <c r="AJ166" i="1" s="1"/>
  <c r="AI615" i="1"/>
  <c r="AJ615" i="1" s="1"/>
  <c r="AI816" i="1"/>
  <c r="AJ816" i="1" s="1"/>
  <c r="AI249" i="1"/>
  <c r="AJ249" i="1" s="1"/>
  <c r="AI1812" i="1"/>
  <c r="AJ1812" i="1" s="1"/>
  <c r="AI2011" i="1"/>
  <c r="AJ2011" i="1" s="1"/>
  <c r="AI1914" i="1"/>
  <c r="AJ1914" i="1" s="1"/>
  <c r="AI1952" i="1"/>
  <c r="AJ1952" i="1" s="1"/>
  <c r="AI2077" i="1"/>
  <c r="AJ2077" i="1" s="1"/>
  <c r="AI1301" i="1"/>
  <c r="AJ1301" i="1" s="1"/>
  <c r="AI203" i="1"/>
  <c r="AJ203" i="1" s="1"/>
  <c r="AI1765" i="1"/>
  <c r="AJ1765" i="1" s="1"/>
  <c r="AI764" i="1"/>
  <c r="AJ764" i="1" s="1"/>
  <c r="AI741" i="1"/>
  <c r="AJ741" i="1" s="1"/>
  <c r="AI1791" i="1"/>
  <c r="AJ1791" i="1" s="1"/>
  <c r="AI136" i="1"/>
  <c r="AJ136" i="1" s="1"/>
  <c r="AI2087" i="1"/>
  <c r="AJ2087" i="1" s="1"/>
  <c r="AI1658" i="1"/>
  <c r="AJ1658" i="1" s="1"/>
  <c r="AI456" i="1"/>
  <c r="AJ456" i="1" s="1"/>
  <c r="AI1037" i="1"/>
  <c r="AJ1037" i="1" s="1"/>
  <c r="AI340" i="1"/>
  <c r="AJ340" i="1" s="1"/>
  <c r="AI573" i="1"/>
  <c r="AJ573" i="1" s="1"/>
  <c r="AI1021" i="1"/>
  <c r="AJ1021" i="1" s="1"/>
  <c r="AI754" i="1"/>
  <c r="AJ754" i="1" s="1"/>
  <c r="AI1041" i="1"/>
  <c r="AJ1041" i="1" s="1"/>
  <c r="AI1804" i="1"/>
  <c r="AJ1804" i="1" s="1"/>
  <c r="AI882" i="1"/>
  <c r="AJ882" i="1" s="1"/>
  <c r="AI708" i="1"/>
  <c r="AJ708" i="1" s="1"/>
  <c r="AI1294" i="1"/>
  <c r="AJ1294" i="1" s="1"/>
  <c r="AI1419" i="1"/>
  <c r="AJ1419" i="1" s="1"/>
  <c r="AI1783" i="1"/>
  <c r="AJ1783" i="1" s="1"/>
  <c r="AI387" i="1"/>
  <c r="AJ387" i="1" s="1"/>
  <c r="AI1548" i="1"/>
  <c r="AJ1548" i="1" s="1"/>
  <c r="AI1484" i="1"/>
  <c r="AJ1484" i="1" s="1"/>
  <c r="AI434" i="1"/>
  <c r="AJ434" i="1" s="1"/>
  <c r="AI1671" i="1"/>
  <c r="AJ1671" i="1" s="1"/>
  <c r="AI313" i="1"/>
  <c r="AJ313" i="1" s="1"/>
  <c r="AI1343" i="1"/>
  <c r="AJ1343" i="1" s="1"/>
  <c r="AI152" i="1"/>
  <c r="AJ152" i="1" s="1"/>
  <c r="AI556" i="1"/>
  <c r="AJ556" i="1" s="1"/>
  <c r="AI1730" i="1"/>
  <c r="AJ1730" i="1" s="1"/>
  <c r="AI1479" i="1"/>
  <c r="AJ1479" i="1" s="1"/>
  <c r="AI1862" i="1"/>
  <c r="AJ1862" i="1" s="1"/>
  <c r="AI425" i="1"/>
  <c r="AJ425" i="1" s="1"/>
  <c r="AI1160" i="1"/>
  <c r="AJ1160" i="1" s="1"/>
  <c r="AI1010" i="1"/>
  <c r="AJ1010" i="1" s="1"/>
  <c r="AI33" i="1"/>
  <c r="AJ33" i="1" s="1"/>
  <c r="AI84" i="1"/>
  <c r="AJ84" i="1" s="1"/>
  <c r="AI1827" i="1"/>
  <c r="AJ1827" i="1" s="1"/>
  <c r="AI506" i="1"/>
  <c r="AJ506" i="1" s="1"/>
  <c r="AI1287" i="1"/>
  <c r="AJ1287" i="1" s="1"/>
  <c r="AI138" i="1"/>
  <c r="AJ138" i="1" s="1"/>
  <c r="AI1039" i="1"/>
  <c r="AJ1039" i="1" s="1"/>
  <c r="AI217" i="1"/>
  <c r="AJ217" i="1" s="1"/>
  <c r="AI1632" i="1"/>
  <c r="AJ1632" i="1" s="1"/>
  <c r="AI519" i="1"/>
  <c r="AJ519" i="1" s="1"/>
  <c r="AI872" i="1"/>
  <c r="AJ872" i="1" s="1"/>
  <c r="AI500" i="1"/>
  <c r="AJ500" i="1" s="1"/>
  <c r="AI168" i="1"/>
  <c r="AJ168" i="1" s="1"/>
  <c r="AI1950" i="1"/>
  <c r="AJ1950" i="1" s="1"/>
  <c r="AI1300" i="1"/>
  <c r="AJ1300" i="1" s="1"/>
  <c r="AI1285" i="1"/>
  <c r="AJ1285" i="1" s="1"/>
  <c r="AI842" i="1"/>
  <c r="AJ842" i="1" s="1"/>
  <c r="AI1677" i="1"/>
  <c r="AJ1677" i="1" s="1"/>
  <c r="AI1659" i="1"/>
  <c r="AJ1659" i="1" s="1"/>
  <c r="AI179" i="1"/>
  <c r="AJ179" i="1" s="1"/>
  <c r="AI1769" i="1"/>
  <c r="AJ1769" i="1" s="1"/>
  <c r="AI962" i="1"/>
  <c r="AJ962" i="1" s="1"/>
  <c r="AI1057" i="1"/>
  <c r="AJ1057" i="1" s="1"/>
  <c r="AI472" i="1"/>
  <c r="AJ472" i="1" s="1"/>
  <c r="AI552" i="1"/>
  <c r="AJ552" i="1" s="1"/>
  <c r="AI325" i="1"/>
  <c r="AJ325" i="1" s="1"/>
  <c r="AI1701" i="1"/>
  <c r="AJ1701" i="1" s="1"/>
  <c r="AI704" i="1"/>
  <c r="AJ704" i="1" s="1"/>
  <c r="AI847" i="1"/>
  <c r="AJ847" i="1" s="1"/>
  <c r="AI1747" i="1"/>
  <c r="AJ1747" i="1" s="1"/>
  <c r="AI1141" i="1"/>
  <c r="AJ1141" i="1" s="1"/>
  <c r="AI1588" i="1"/>
  <c r="AJ1588" i="1" s="1"/>
  <c r="AI1815" i="1"/>
  <c r="AJ1815" i="1" s="1"/>
  <c r="AI377" i="1"/>
  <c r="AJ377" i="1" s="1"/>
  <c r="AI1916" i="1"/>
  <c r="AJ1916" i="1" s="1"/>
  <c r="AI1544" i="1"/>
  <c r="AJ1544" i="1" s="1"/>
  <c r="AI174" i="1"/>
  <c r="AJ174" i="1" s="1"/>
  <c r="AI1694" i="1"/>
  <c r="AJ1694" i="1" s="1"/>
  <c r="AI1698" i="1"/>
  <c r="AJ1698" i="1" s="1"/>
  <c r="AI1980" i="1"/>
  <c r="AJ1980" i="1" s="1"/>
  <c r="AI2116" i="1"/>
  <c r="AJ2116" i="1" s="1"/>
  <c r="AI716" i="1"/>
  <c r="AJ716" i="1" s="1"/>
  <c r="AI1596" i="1"/>
  <c r="AJ1596" i="1" s="1"/>
  <c r="AI806" i="1"/>
  <c r="AJ806" i="1" s="1"/>
  <c r="AI865" i="1"/>
  <c r="AJ865" i="1" s="1"/>
  <c r="AI967" i="1"/>
  <c r="AJ967" i="1" s="1"/>
  <c r="AI632" i="1"/>
  <c r="AJ632" i="1" s="1"/>
  <c r="AI888" i="1"/>
  <c r="AJ888" i="1" s="1"/>
  <c r="AI567" i="1"/>
  <c r="AJ567" i="1" s="1"/>
  <c r="AI767" i="1"/>
  <c r="AJ767" i="1" s="1"/>
  <c r="AI1330" i="1"/>
  <c r="AJ1330" i="1" s="1"/>
  <c r="AI251" i="1"/>
  <c r="AJ251" i="1" s="1"/>
  <c r="AI1976" i="1"/>
  <c r="AJ1976" i="1" s="1"/>
  <c r="AI1712" i="1"/>
  <c r="AJ1712" i="1" s="1"/>
  <c r="AI1762" i="1"/>
  <c r="AJ1762" i="1" s="1"/>
  <c r="AI1699" i="1"/>
  <c r="AJ1699" i="1" s="1"/>
  <c r="AI1303" i="1"/>
  <c r="AJ1303" i="1" s="1"/>
  <c r="AI268" i="1"/>
  <c r="AJ268" i="1" s="1"/>
  <c r="AI951" i="1"/>
  <c r="AJ951" i="1" s="1"/>
  <c r="AI327" i="1"/>
  <c r="AJ327" i="1" s="1"/>
  <c r="AI921" i="1"/>
  <c r="AJ921" i="1" s="1"/>
  <c r="AI380" i="1"/>
  <c r="AJ380" i="1" s="1"/>
  <c r="AI1618" i="1"/>
  <c r="AJ1618" i="1" s="1"/>
  <c r="AI1823" i="1"/>
  <c r="AJ1823" i="1" s="1"/>
  <c r="AI1529" i="1"/>
  <c r="AJ1529" i="1" s="1"/>
  <c r="AI2105" i="1"/>
  <c r="AJ2105" i="1" s="1"/>
  <c r="AI1148" i="1"/>
  <c r="AJ1148" i="1" s="1"/>
  <c r="AI120" i="1"/>
  <c r="AJ120" i="1" s="1"/>
  <c r="AI1093" i="1"/>
  <c r="AJ1093" i="1" s="1"/>
  <c r="AI1955" i="1"/>
  <c r="AJ1955" i="1" s="1"/>
  <c r="AI1856" i="1"/>
  <c r="AJ1856" i="1" s="1"/>
  <c r="AI1715" i="1"/>
  <c r="AJ1715" i="1" s="1"/>
  <c r="AI82" i="1"/>
  <c r="AJ82" i="1" s="1"/>
  <c r="AI781" i="1"/>
  <c r="AJ781" i="1" s="1"/>
  <c r="AI1408" i="1"/>
  <c r="AJ1408" i="1" s="1"/>
  <c r="AI1088" i="1"/>
  <c r="AJ1088" i="1" s="1"/>
  <c r="AI1539" i="1"/>
  <c r="AJ1539" i="1" s="1"/>
  <c r="AI1311" i="1"/>
  <c r="AJ1311" i="1" s="1"/>
  <c r="AI1763" i="1"/>
  <c r="AJ1763" i="1" s="1"/>
  <c r="AI1355" i="1"/>
  <c r="AJ1355" i="1" s="1"/>
  <c r="AI1166" i="1"/>
  <c r="AJ1166" i="1" s="1"/>
  <c r="AI593" i="1"/>
  <c r="AJ593" i="1" s="1"/>
  <c r="AI721" i="1"/>
  <c r="AJ721" i="1" s="1"/>
  <c r="AI1831" i="1"/>
  <c r="AJ1831" i="1" s="1"/>
  <c r="AI980" i="1"/>
  <c r="AJ980" i="1" s="1"/>
  <c r="AI2034" i="1"/>
  <c r="AJ2034" i="1" s="1"/>
  <c r="AI2081" i="1"/>
  <c r="AJ2081" i="1" s="1"/>
  <c r="AI80" i="1"/>
  <c r="AJ80" i="1" s="1"/>
  <c r="AI1531" i="1"/>
  <c r="AJ1531" i="1" s="1"/>
  <c r="AI438" i="1"/>
  <c r="AJ438" i="1" s="1"/>
  <c r="AI1490" i="1"/>
  <c r="AJ1490" i="1" s="1"/>
  <c r="AI1848" i="1"/>
  <c r="AJ1848" i="1" s="1"/>
  <c r="AI994" i="1"/>
  <c r="AJ994" i="1" s="1"/>
  <c r="AI1481" i="1"/>
  <c r="AJ1481" i="1" s="1"/>
  <c r="AI132" i="1"/>
  <c r="AJ132" i="1" s="1"/>
  <c r="AI288" i="1"/>
  <c r="AJ288" i="1" s="1"/>
  <c r="AI925" i="1"/>
  <c r="AJ925" i="1" s="1"/>
  <c r="AI2072" i="1"/>
  <c r="AJ2072" i="1" s="1"/>
  <c r="AI281" i="1"/>
  <c r="AJ281" i="1" s="1"/>
  <c r="AI158" i="1"/>
  <c r="AJ158" i="1" s="1"/>
  <c r="AI146" i="1"/>
  <c r="AJ146" i="1" s="1"/>
  <c r="AI804" i="1"/>
  <c r="AJ804" i="1" s="1"/>
  <c r="AI1407" i="1"/>
  <c r="AJ1407" i="1" s="1"/>
  <c r="AI200" i="1"/>
  <c r="AJ200" i="1" s="1"/>
  <c r="AI496" i="1"/>
  <c r="AJ496" i="1" s="1"/>
  <c r="AI342" i="1"/>
  <c r="AJ342" i="1" s="1"/>
  <c r="AI880" i="1"/>
  <c r="AJ880" i="1" s="1"/>
  <c r="AI383" i="1"/>
  <c r="AJ383" i="1" s="1"/>
  <c r="AI1058" i="1"/>
  <c r="AJ1058" i="1" s="1"/>
  <c r="AI214" i="1"/>
  <c r="AJ214" i="1" s="1"/>
  <c r="AI398" i="1"/>
  <c r="AJ398" i="1" s="1"/>
  <c r="AI1778" i="1"/>
  <c r="AJ1778" i="1" s="1"/>
  <c r="AI1105" i="1"/>
  <c r="AJ1105" i="1" s="1"/>
  <c r="AI1394" i="1"/>
  <c r="AJ1394" i="1" s="1"/>
  <c r="AI1410" i="1"/>
  <c r="AJ1410" i="1" s="1"/>
  <c r="AI187" i="1"/>
  <c r="AJ187" i="1" s="1"/>
  <c r="AI580" i="1"/>
  <c r="AJ580" i="1" s="1"/>
  <c r="AI48" i="1"/>
  <c r="AJ48" i="1" s="1"/>
  <c r="AI864" i="1"/>
  <c r="AJ864" i="1" s="1"/>
  <c r="AI1030" i="1"/>
  <c r="AJ1030" i="1" s="1"/>
  <c r="AI968" i="1"/>
  <c r="AJ968" i="1" s="1"/>
  <c r="AI1662" i="1"/>
  <c r="AJ1662" i="1" s="1"/>
  <c r="AI1995" i="1"/>
  <c r="AJ1995" i="1" s="1"/>
  <c r="AI1107" i="1"/>
  <c r="AJ1107" i="1" s="1"/>
  <c r="AI1516" i="1"/>
  <c r="AJ1516" i="1" s="1"/>
  <c r="AI89" i="1"/>
  <c r="AJ89" i="1" s="1"/>
  <c r="AI1335" i="1"/>
  <c r="AJ1335" i="1" s="1"/>
  <c r="AI2111" i="1"/>
  <c r="AJ2111" i="1" s="1"/>
  <c r="AI247" i="1"/>
  <c r="AJ247" i="1" s="1"/>
  <c r="AI808" i="1"/>
  <c r="AJ808" i="1" s="1"/>
  <c r="AI924" i="1"/>
  <c r="AJ924" i="1" s="1"/>
  <c r="AI1128" i="1"/>
  <c r="AJ1128" i="1" s="1"/>
  <c r="AI131" i="1"/>
  <c r="AJ131" i="1" s="1"/>
  <c r="AI1066" i="1"/>
  <c r="AJ1066" i="1" s="1"/>
  <c r="AI650" i="1"/>
  <c r="AJ650" i="1" s="1"/>
  <c r="AI177" i="1"/>
  <c r="AJ177" i="1" s="1"/>
  <c r="AI1268" i="1"/>
  <c r="AJ1268" i="1" s="1"/>
  <c r="AI2069" i="1"/>
  <c r="AJ2069" i="1" s="1"/>
  <c r="AI176" i="1"/>
  <c r="AJ176" i="1" s="1"/>
  <c r="AI366" i="1"/>
  <c r="AJ366" i="1" s="1"/>
  <c r="AI1591" i="1"/>
  <c r="AJ1591" i="1" s="1"/>
  <c r="AI866" i="1"/>
  <c r="AJ866" i="1" s="1"/>
  <c r="AI1837" i="1"/>
  <c r="AJ1837" i="1" s="1"/>
  <c r="AI784" i="1"/>
  <c r="AJ784" i="1" s="1"/>
  <c r="AI1372" i="1"/>
  <c r="AJ1372" i="1" s="1"/>
  <c r="AI1468" i="1"/>
  <c r="AJ1468" i="1" s="1"/>
  <c r="AI1304" i="1"/>
  <c r="AJ1304" i="1" s="1"/>
  <c r="AI680" i="1"/>
  <c r="AJ680" i="1" s="1"/>
  <c r="AI393" i="1"/>
  <c r="AJ393" i="1" s="1"/>
  <c r="AI1636" i="1"/>
  <c r="AJ1636" i="1" s="1"/>
  <c r="AI390" i="1"/>
  <c r="AJ390" i="1" s="1"/>
  <c r="AI1898" i="1"/>
  <c r="AJ1898" i="1" s="1"/>
  <c r="AI1310" i="1"/>
  <c r="AJ1310" i="1" s="1"/>
  <c r="AI1392" i="1"/>
  <c r="AJ1392" i="1" s="1"/>
  <c r="AI1060" i="1"/>
  <c r="AJ1060" i="1" s="1"/>
  <c r="AI970" i="1"/>
  <c r="AJ970" i="1" s="1"/>
  <c r="AI1081" i="1"/>
  <c r="AJ1081" i="1" s="1"/>
  <c r="AI255" i="1"/>
  <c r="AJ255" i="1" s="1"/>
  <c r="AI364" i="1"/>
  <c r="AJ364" i="1" s="1"/>
  <c r="AI448" i="1"/>
  <c r="AJ448" i="1" s="1"/>
  <c r="AI1365" i="1"/>
  <c r="AJ1365" i="1" s="1"/>
  <c r="AI1691" i="1"/>
  <c r="AJ1691" i="1" s="1"/>
  <c r="AI2117" i="1"/>
  <c r="AJ2117" i="1" s="1"/>
  <c r="AI1089" i="1"/>
  <c r="AJ1089" i="1" s="1"/>
  <c r="AI291" i="1"/>
  <c r="AJ291" i="1" s="1"/>
  <c r="AI2053" i="1"/>
  <c r="AJ2053" i="1" s="1"/>
  <c r="AI76" i="1"/>
  <c r="AJ76" i="1" s="1"/>
  <c r="AI957" i="1"/>
  <c r="AJ957" i="1" s="1"/>
  <c r="AI890" i="1"/>
  <c r="AJ890" i="1" s="1"/>
  <c r="AI1083" i="1"/>
  <c r="AJ1083" i="1" s="1"/>
  <c r="AI34" i="1"/>
  <c r="AJ34" i="1" s="1"/>
  <c r="AI1888" i="1"/>
  <c r="AJ1888" i="1" s="1"/>
  <c r="AI589" i="1"/>
  <c r="AJ589" i="1" s="1"/>
  <c r="AI2049" i="1"/>
  <c r="AJ2049" i="1" s="1"/>
  <c r="AI1573" i="1"/>
  <c r="AJ1573" i="1" s="1"/>
  <c r="AI575" i="1"/>
  <c r="AJ575" i="1" s="1"/>
  <c r="AI1161" i="1"/>
  <c r="AJ1161" i="1" s="1"/>
  <c r="AI17" i="1"/>
  <c r="AJ17" i="1" s="1"/>
  <c r="AI1447" i="1"/>
  <c r="AJ1447" i="1" s="1"/>
  <c r="AI1213" i="1"/>
  <c r="AJ1213" i="1" s="1"/>
  <c r="AI1578" i="1"/>
  <c r="AJ1578" i="1" s="1"/>
  <c r="AI1640" i="1"/>
  <c r="AJ1640" i="1" s="1"/>
  <c r="AI259" i="1"/>
  <c r="AJ259" i="1" s="1"/>
  <c r="AI1062" i="1"/>
  <c r="AJ1062" i="1" s="1"/>
  <c r="AI591" i="1"/>
  <c r="AJ591" i="1" s="1"/>
  <c r="AI1937" i="1"/>
  <c r="AJ1937" i="1" s="1"/>
  <c r="AI1615" i="1"/>
  <c r="AJ1615" i="1" s="1"/>
  <c r="AI1109" i="1"/>
  <c r="AJ1109" i="1" s="1"/>
  <c r="AI860" i="1"/>
  <c r="AJ860" i="1" s="1"/>
  <c r="AI1931" i="1"/>
  <c r="AJ1931" i="1" s="1"/>
  <c r="AI1549" i="1"/>
  <c r="AJ1549" i="1" s="1"/>
  <c r="AI1865" i="1"/>
  <c r="AJ1865" i="1" s="1"/>
  <c r="AI1004" i="1"/>
  <c r="AJ1004" i="1" s="1"/>
  <c r="AI998" i="1"/>
  <c r="AJ998" i="1" s="1"/>
  <c r="AI1260" i="1"/>
  <c r="AJ1260" i="1" s="1"/>
  <c r="AI562" i="1"/>
  <c r="AJ562" i="1" s="1"/>
  <c r="AI667" i="1"/>
  <c r="AJ667" i="1" s="1"/>
  <c r="AI605" i="1"/>
  <c r="AJ605" i="1" s="1"/>
  <c r="AI79" i="1"/>
  <c r="AJ79" i="1" s="1"/>
  <c r="AI1688" i="1"/>
  <c r="AJ1688" i="1" s="1"/>
  <c r="AI1176" i="1"/>
  <c r="AJ1176" i="1" s="1"/>
  <c r="AI927" i="1"/>
  <c r="AJ927" i="1" s="1"/>
  <c r="AI86" i="1"/>
  <c r="AJ86" i="1" s="1"/>
  <c r="AI1660" i="1"/>
  <c r="AJ1660" i="1" s="1"/>
  <c r="AI391" i="1"/>
  <c r="AJ391" i="1" s="1"/>
  <c r="AI757" i="1"/>
  <c r="AJ757" i="1" s="1"/>
  <c r="AI1358" i="1"/>
  <c r="AJ1358" i="1" s="1"/>
  <c r="AI1008" i="1"/>
  <c r="AJ1008" i="1" s="1"/>
  <c r="AI678" i="1"/>
  <c r="AJ678" i="1" s="1"/>
  <c r="AI792" i="1"/>
  <c r="AJ792" i="1" s="1"/>
  <c r="AI226" i="1"/>
  <c r="AJ226" i="1" s="1"/>
  <c r="AI1622" i="1"/>
  <c r="AJ1622" i="1" s="1"/>
  <c r="AI1587" i="1"/>
  <c r="AJ1587" i="1" s="1"/>
  <c r="AI867" i="1"/>
  <c r="AJ867" i="1" s="1"/>
  <c r="AI321" i="1"/>
  <c r="AJ321" i="1" s="1"/>
  <c r="AI1031" i="1"/>
  <c r="AJ1031" i="1" s="1"/>
  <c r="AI1278" i="1"/>
  <c r="AJ1278" i="1" s="1"/>
  <c r="AI385" i="1"/>
  <c r="AJ385" i="1" s="1"/>
  <c r="AI1474" i="1"/>
  <c r="AJ1474" i="1" s="1"/>
  <c r="AI1271" i="1"/>
  <c r="AJ1271" i="1" s="1"/>
  <c r="AI1111" i="1"/>
  <c r="AJ1111" i="1" s="1"/>
  <c r="AI1076" i="1"/>
  <c r="AJ1076" i="1" s="1"/>
  <c r="AI1219" i="1"/>
  <c r="AJ1219" i="1" s="1"/>
  <c r="AI1890" i="1"/>
  <c r="AJ1890" i="1" s="1"/>
  <c r="AI614" i="1"/>
  <c r="AJ614" i="1" s="1"/>
  <c r="AI239" i="1"/>
  <c r="AJ239" i="1" s="1"/>
  <c r="AI494" i="1"/>
  <c r="AJ494" i="1" s="1"/>
  <c r="AI673" i="1"/>
  <c r="AJ673" i="1" s="1"/>
  <c r="AI491" i="1"/>
  <c r="AJ491" i="1" s="1"/>
  <c r="AI2093" i="1"/>
  <c r="AJ2093" i="1" s="1"/>
  <c r="AI295" i="1"/>
  <c r="AJ295" i="1" s="1"/>
  <c r="AI1921" i="1"/>
  <c r="AJ1921" i="1" s="1"/>
  <c r="AI690" i="1"/>
  <c r="AJ690" i="1" s="1"/>
  <c r="AI1522" i="1"/>
  <c r="AJ1522" i="1" s="1"/>
  <c r="AI1459" i="1"/>
  <c r="AJ1459" i="1" s="1"/>
  <c r="AI829" i="1"/>
  <c r="AJ829" i="1" s="1"/>
  <c r="AI1977" i="1"/>
  <c r="AJ1977" i="1" s="1"/>
  <c r="AI1359" i="1"/>
  <c r="AJ1359" i="1" s="1"/>
  <c r="AI405" i="1"/>
  <c r="AJ405" i="1" s="1"/>
  <c r="AI1567" i="1"/>
  <c r="AJ1567" i="1" s="1"/>
  <c r="AI379" i="1"/>
  <c r="AJ379" i="1" s="1"/>
  <c r="AI1505" i="1"/>
  <c r="AJ1505" i="1" s="1"/>
  <c r="AI2028" i="1"/>
  <c r="AJ2028" i="1" s="1"/>
  <c r="AI995" i="1"/>
  <c r="AJ995" i="1" s="1"/>
  <c r="AI1806" i="1"/>
  <c r="AJ1806" i="1" s="1"/>
  <c r="AI87" i="1"/>
  <c r="AJ87" i="1" s="1"/>
  <c r="AI1897" i="1"/>
  <c r="AJ1897" i="1" s="1"/>
  <c r="AI972" i="1"/>
  <c r="AJ972" i="1" s="1"/>
  <c r="AI2038" i="1"/>
  <c r="AJ2038" i="1" s="1"/>
  <c r="AI2088" i="1"/>
  <c r="AJ2088" i="1" s="1"/>
  <c r="AI1714" i="1"/>
  <c r="AJ1714" i="1" s="1"/>
  <c r="AI411" i="1"/>
  <c r="AJ411" i="1" s="1"/>
  <c r="AI1635" i="1"/>
  <c r="AJ1635" i="1" s="1"/>
  <c r="AI219" i="1"/>
  <c r="AJ219" i="1" s="1"/>
  <c r="AI357" i="1"/>
  <c r="AJ357" i="1" s="1"/>
  <c r="AI167" i="1"/>
  <c r="AJ167" i="1" s="1"/>
  <c r="AI1087" i="1"/>
  <c r="AJ1087" i="1" s="1"/>
  <c r="AI1426" i="1"/>
  <c r="AJ1426" i="1" s="1"/>
  <c r="AI1842" i="1"/>
  <c r="AJ1842" i="1" s="1"/>
  <c r="AI129" i="1"/>
  <c r="AJ129" i="1" s="1"/>
  <c r="AI1844" i="1"/>
  <c r="AJ1844" i="1" s="1"/>
  <c r="AI279" i="1"/>
  <c r="AJ279" i="1" s="1"/>
  <c r="AI684" i="1"/>
  <c r="AJ684" i="1" s="1"/>
  <c r="AI1617" i="1"/>
  <c r="AJ1617" i="1" s="1"/>
  <c r="AI1966" i="1"/>
  <c r="AJ1966" i="1" s="1"/>
  <c r="AI127" i="1"/>
  <c r="AJ127" i="1" s="1"/>
  <c r="AI285" i="1"/>
  <c r="AJ285" i="1" s="1"/>
  <c r="AI2084" i="1"/>
  <c r="AJ2084" i="1" s="1"/>
  <c r="AI1960" i="1"/>
  <c r="AJ1960" i="1" s="1"/>
  <c r="AI1760" i="1"/>
  <c r="AJ1760" i="1" s="1"/>
  <c r="AI413" i="1"/>
  <c r="AJ413" i="1" s="1"/>
  <c r="AI1863" i="1"/>
  <c r="AJ1863" i="1" s="1"/>
  <c r="AI2071" i="1"/>
  <c r="AJ2071" i="1" s="1"/>
  <c r="AI388" i="1"/>
  <c r="AJ388" i="1" s="1"/>
  <c r="AI461" i="1"/>
  <c r="AJ461" i="1" s="1"/>
  <c r="AI265" i="1"/>
  <c r="AJ265" i="1" s="1"/>
  <c r="AI1449" i="1"/>
  <c r="AJ1449" i="1" s="1"/>
  <c r="AI495" i="1"/>
  <c r="AJ495" i="1" s="1"/>
  <c r="AI1376" i="1"/>
  <c r="AJ1376" i="1" s="1"/>
  <c r="AI1073" i="1"/>
  <c r="AJ1073" i="1" s="1"/>
  <c r="AI892" i="1"/>
  <c r="AJ892" i="1" s="1"/>
  <c r="AI571" i="1"/>
  <c r="AJ571" i="1" s="1"/>
  <c r="AI1987" i="1"/>
  <c r="AJ1987" i="1" s="1"/>
  <c r="AI341" i="1"/>
  <c r="AJ341" i="1" s="1"/>
  <c r="AI1697" i="1"/>
  <c r="AJ1697" i="1" s="1"/>
  <c r="AI296" i="1"/>
  <c r="AJ296" i="1" s="1"/>
  <c r="AI149" i="1"/>
  <c r="AJ149" i="1" s="1"/>
  <c r="AI1147" i="1"/>
  <c r="AJ1147" i="1" s="1"/>
  <c r="AI1519" i="1"/>
  <c r="AJ1519" i="1" s="1"/>
  <c r="AI554" i="1"/>
  <c r="AJ554" i="1" s="1"/>
  <c r="AI9" i="1"/>
  <c r="AJ9" i="1" s="1"/>
  <c r="AI68" i="1"/>
  <c r="AJ68" i="1" s="1"/>
  <c r="AI565" i="1"/>
  <c r="AJ565" i="1" s="1"/>
  <c r="AI213" i="1"/>
  <c r="AJ213" i="1" s="1"/>
  <c r="AI868" i="1"/>
  <c r="AJ868" i="1" s="1"/>
  <c r="AI147" i="1"/>
  <c r="AJ147" i="1" s="1"/>
  <c r="AI382" i="1"/>
  <c r="AJ382" i="1" s="1"/>
  <c r="AI1175" i="1"/>
  <c r="AJ1175" i="1" s="1"/>
  <c r="AI29" i="1"/>
  <c r="AJ29" i="1" s="1"/>
  <c r="AI631" i="1"/>
  <c r="AJ631" i="1" s="1"/>
  <c r="AI480" i="1"/>
  <c r="AJ480" i="1" s="1"/>
  <c r="AI1458" i="1"/>
  <c r="AJ1458" i="1" s="1"/>
  <c r="AI421" i="1"/>
  <c r="AJ421" i="1" s="1"/>
  <c r="AI1431" i="1"/>
  <c r="AJ1431" i="1" s="1"/>
  <c r="AI761" i="1"/>
  <c r="AJ761" i="1" s="1"/>
  <c r="AI1211" i="1"/>
  <c r="AJ1211" i="1" s="1"/>
  <c r="AI45" i="1"/>
  <c r="AJ45" i="1" s="1"/>
  <c r="AI1456" i="1"/>
  <c r="AJ1456" i="1" s="1"/>
  <c r="AI598" i="1"/>
  <c r="AJ598" i="1" s="1"/>
  <c r="AI184" i="1"/>
  <c r="AJ184" i="1" s="1"/>
  <c r="AI2068" i="1"/>
  <c r="AJ2068" i="1" s="1"/>
  <c r="AI1566" i="1"/>
  <c r="AJ1566" i="1" s="1"/>
  <c r="AI1946" i="1"/>
  <c r="AJ1946" i="1" s="1"/>
  <c r="AI228" i="1"/>
  <c r="AJ228" i="1" s="1"/>
  <c r="AI1601" i="1"/>
  <c r="AJ1601" i="1" s="1"/>
  <c r="AI1415" i="1"/>
  <c r="AJ1415" i="1" s="1"/>
  <c r="AI1840" i="1"/>
  <c r="AJ1840" i="1" s="1"/>
  <c r="AI225" i="1"/>
  <c r="AJ225" i="1" s="1"/>
  <c r="AI1305" i="1"/>
  <c r="AJ1305" i="1" s="1"/>
  <c r="AI1689" i="1"/>
  <c r="AJ1689" i="1" s="1"/>
  <c r="AI1613" i="1"/>
  <c r="AJ1613" i="1" s="1"/>
  <c r="AI1344" i="1"/>
  <c r="AJ1344" i="1" s="1"/>
  <c r="AI1351" i="1"/>
  <c r="AJ1351" i="1" s="1"/>
  <c r="AI1703" i="1"/>
  <c r="AJ1703" i="1" s="1"/>
  <c r="AI2122" i="1"/>
  <c r="AJ2122" i="1" s="1"/>
  <c r="AI69" i="1"/>
  <c r="AJ69" i="1" s="1"/>
  <c r="AI1997" i="1"/>
  <c r="AJ1997" i="1" s="1"/>
  <c r="AI983" i="1"/>
  <c r="AJ983" i="1" s="1"/>
  <c r="AI576" i="1"/>
  <c r="AJ576" i="1" s="1"/>
  <c r="AI1440" i="1"/>
  <c r="AJ1440" i="1" s="1"/>
  <c r="AI1191" i="1"/>
  <c r="AJ1191" i="1" s="1"/>
  <c r="AI2026" i="1"/>
  <c r="AJ2026" i="1" s="1"/>
  <c r="AI652" i="1"/>
  <c r="AJ652" i="1" s="1"/>
  <c r="AI926" i="1"/>
  <c r="AJ926" i="1" s="1"/>
  <c r="AI938" i="1"/>
  <c r="AJ938" i="1" s="1"/>
  <c r="AI1270" i="1"/>
  <c r="AJ1270" i="1" s="1"/>
  <c r="AI1792" i="1"/>
  <c r="AJ1792" i="1" s="1"/>
  <c r="AI1692" i="1"/>
  <c r="AJ1692" i="1" s="1"/>
  <c r="AI414" i="1"/>
  <c r="AJ414" i="1" s="1"/>
  <c r="AI1085" i="1"/>
  <c r="AJ1085" i="1" s="1"/>
  <c r="AI1614" i="1"/>
  <c r="AJ1614" i="1" s="1"/>
  <c r="AI1174" i="1"/>
  <c r="AJ1174" i="1" s="1"/>
  <c r="AI1374" i="1"/>
  <c r="AJ1374" i="1" s="1"/>
  <c r="AI1625" i="1"/>
  <c r="AJ1625" i="1" s="1"/>
  <c r="AI1054" i="1"/>
  <c r="AJ1054" i="1" s="1"/>
  <c r="AI309" i="1"/>
  <c r="AJ309" i="1" s="1"/>
  <c r="AI1971" i="1"/>
  <c r="AJ1971" i="1" s="1"/>
  <c r="AI102" i="1"/>
  <c r="AJ102" i="1" s="1"/>
  <c r="AI1369" i="1"/>
  <c r="AJ1369" i="1" s="1"/>
  <c r="AI1230" i="1"/>
  <c r="AJ1230" i="1" s="1"/>
  <c r="AI71" i="1"/>
  <c r="AJ71" i="1" s="1"/>
  <c r="AI952" i="1"/>
  <c r="AJ952" i="1" s="1"/>
  <c r="AI992" i="1"/>
  <c r="AJ992" i="1" s="1"/>
  <c r="AI1705" i="1"/>
  <c r="AJ1705" i="1" s="1"/>
  <c r="AI363" i="1"/>
  <c r="AJ363" i="1" s="1"/>
  <c r="AI1224" i="1"/>
  <c r="AJ1224" i="1" s="1"/>
  <c r="AI2113" i="1"/>
  <c r="AJ2113" i="1" s="1"/>
  <c r="AI186" i="1"/>
  <c r="AJ186" i="1" s="1"/>
  <c r="AI977" i="1"/>
  <c r="AJ977" i="1" s="1"/>
  <c r="AI404" i="1"/>
  <c r="AJ404" i="1" s="1"/>
  <c r="AI905" i="1"/>
  <c r="AJ905" i="1" s="1"/>
  <c r="AI697" i="1"/>
  <c r="AJ697" i="1" s="1"/>
  <c r="AI1205" i="1"/>
  <c r="AJ1205" i="1" s="1"/>
  <c r="AI1682" i="1"/>
  <c r="AJ1682" i="1" s="1"/>
  <c r="AI1536" i="1"/>
  <c r="AJ1536" i="1" s="1"/>
  <c r="AI1577" i="1"/>
  <c r="AJ1577" i="1" s="1"/>
  <c r="AI260" i="1"/>
  <c r="AJ260" i="1" s="1"/>
  <c r="AI1737" i="1"/>
  <c r="AJ1737" i="1" s="1"/>
  <c r="AI1713" i="1"/>
  <c r="AJ1713" i="1" s="1"/>
  <c r="AI1624" i="1"/>
  <c r="AJ1624" i="1" s="1"/>
  <c r="AI315" i="1"/>
  <c r="AJ315" i="1" s="1"/>
  <c r="AI1638" i="1"/>
  <c r="AJ1638" i="1" s="1"/>
  <c r="AI828" i="1"/>
  <c r="AJ828" i="1" s="1"/>
  <c r="AI1163" i="1"/>
  <c r="AJ1163" i="1" s="1"/>
  <c r="AI441" i="1"/>
  <c r="AJ441" i="1" s="1"/>
  <c r="AI103" i="1"/>
  <c r="AJ103" i="1" s="1"/>
  <c r="AI1130" i="1"/>
  <c r="AJ1130" i="1" s="1"/>
  <c r="AI1262" i="1"/>
  <c r="AJ1262" i="1" s="1"/>
  <c r="AI1012" i="1"/>
  <c r="AJ1012" i="1" s="1"/>
  <c r="AI1216" i="1"/>
  <c r="AJ1216" i="1" s="1"/>
  <c r="AI1930" i="1"/>
  <c r="AJ1930" i="1" s="1"/>
  <c r="AI1901" i="1"/>
  <c r="AJ1901" i="1" s="1"/>
  <c r="AI665" i="1"/>
  <c r="AJ665" i="1" s="1"/>
  <c r="AI116" i="1"/>
  <c r="AJ116" i="1" s="1"/>
  <c r="AI294" i="1"/>
  <c r="AJ294" i="1" s="1"/>
  <c r="AI2082" i="1"/>
  <c r="AJ2082" i="1" s="1"/>
  <c r="AI1411" i="1"/>
  <c r="AJ1411" i="1" s="1"/>
  <c r="AI824" i="1"/>
  <c r="AJ824" i="1" s="1"/>
  <c r="AI1034" i="1"/>
  <c r="AJ1034" i="1" s="1"/>
  <c r="AI1597" i="1"/>
  <c r="AJ1597" i="1" s="1"/>
  <c r="AI1824" i="1"/>
  <c r="AJ1824" i="1" s="1"/>
  <c r="AI1195" i="1"/>
  <c r="AJ1195" i="1" s="1"/>
  <c r="AI64" i="1"/>
  <c r="AJ64" i="1" s="1"/>
  <c r="AI1945" i="1"/>
  <c r="AJ1945" i="1" s="1"/>
  <c r="AI44" i="1"/>
  <c r="AJ44" i="1" s="1"/>
  <c r="AI1477" i="1"/>
  <c r="AJ1477" i="1" s="1"/>
  <c r="AI1708" i="1"/>
  <c r="AJ1708" i="1" s="1"/>
  <c r="AI1013" i="1"/>
  <c r="AJ1013" i="1" s="1"/>
  <c r="AI836" i="1"/>
  <c r="AJ836" i="1" s="1"/>
  <c r="AI1126" i="1"/>
  <c r="AJ1126" i="1" s="1"/>
  <c r="AI802" i="1"/>
  <c r="AJ802" i="1" s="1"/>
  <c r="AI1918" i="1"/>
  <c r="AJ1918" i="1" s="1"/>
  <c r="AI1874" i="1"/>
  <c r="AJ1874" i="1" s="1"/>
  <c r="AI181" i="1"/>
  <c r="AJ181" i="1" s="1"/>
  <c r="AI1464" i="1"/>
  <c r="AJ1464" i="1" s="1"/>
  <c r="AI1099" i="1"/>
  <c r="AJ1099" i="1" s="1"/>
  <c r="AI1826" i="1"/>
  <c r="AJ1826" i="1" s="1"/>
  <c r="AI1628" i="1"/>
  <c r="AJ1628" i="1" s="1"/>
  <c r="AI1400" i="1"/>
  <c r="AJ1400" i="1" s="1"/>
  <c r="AI911" i="1"/>
  <c r="AJ911" i="1" s="1"/>
  <c r="AI1818" i="1"/>
  <c r="AJ1818" i="1" s="1"/>
  <c r="AI512" i="1"/>
  <c r="AJ512" i="1" s="1"/>
  <c r="AI984" i="1"/>
  <c r="AJ984" i="1" s="1"/>
  <c r="AI1018" i="1"/>
  <c r="AJ1018" i="1" s="1"/>
  <c r="AI906" i="1"/>
  <c r="AJ906" i="1" s="1"/>
  <c r="AI1595" i="1"/>
  <c r="AJ1595" i="1" s="1"/>
  <c r="AI1194" i="1"/>
  <c r="AJ1194" i="1" s="1"/>
  <c r="AI692" i="1"/>
  <c r="AJ692" i="1" s="1"/>
  <c r="AI1209" i="1"/>
  <c r="AJ1209" i="1" s="1"/>
  <c r="AI1391" i="1"/>
  <c r="AJ1391" i="1" s="1"/>
  <c r="AI1067" i="1"/>
  <c r="AJ1067" i="1" s="1"/>
  <c r="AI1608" i="1"/>
  <c r="AJ1608" i="1" s="1"/>
  <c r="AI1292" i="1"/>
  <c r="AJ1292" i="1" s="1"/>
  <c r="AI922" i="1"/>
  <c r="AJ922" i="1" s="1"/>
  <c r="AI2086" i="1"/>
  <c r="AJ2086" i="1" s="1"/>
  <c r="AI946" i="1"/>
  <c r="AJ946" i="1" s="1"/>
  <c r="AI2095" i="1"/>
  <c r="AJ2095" i="1" s="1"/>
  <c r="AI586" i="1"/>
  <c r="AJ586" i="1" s="1"/>
  <c r="AI843" i="1"/>
  <c r="AJ843" i="1" s="1"/>
  <c r="AI2045" i="1"/>
  <c r="AJ2045" i="1" s="1"/>
  <c r="AI81" i="1"/>
  <c r="AJ81" i="1" s="1"/>
  <c r="AI1446" i="1"/>
  <c r="AJ1446" i="1" s="1"/>
  <c r="AI876" i="1"/>
  <c r="AJ876" i="1" s="1"/>
  <c r="AI1880" i="1"/>
  <c r="AJ1880" i="1" s="1"/>
  <c r="AI555" i="1"/>
  <c r="AJ555" i="1" s="1"/>
  <c r="AI1218" i="1"/>
  <c r="AJ1218" i="1" s="1"/>
  <c r="AI1753" i="1"/>
  <c r="AJ1753" i="1" s="1"/>
  <c r="AI1796" i="1"/>
  <c r="AJ1796" i="1" s="1"/>
  <c r="AI1801" i="1"/>
  <c r="AJ1801" i="1" s="1"/>
  <c r="AI1192" i="1"/>
  <c r="AJ1192" i="1" s="1"/>
  <c r="AI1665" i="1"/>
  <c r="AJ1665" i="1" s="1"/>
  <c r="AI762" i="1"/>
  <c r="AJ762" i="1" s="1"/>
  <c r="AI1568" i="1"/>
  <c r="AJ1568" i="1" s="1"/>
  <c r="AI785" i="1"/>
  <c r="AJ785" i="1" s="1"/>
  <c r="AI1738" i="1"/>
  <c r="AJ1738" i="1" s="1"/>
  <c r="AI569" i="1"/>
  <c r="AJ569" i="1" s="1"/>
  <c r="AI776" i="1"/>
  <c r="AJ776" i="1" s="1"/>
  <c r="AI1813" i="1"/>
  <c r="AJ1813" i="1" s="1"/>
  <c r="AI143" i="1"/>
  <c r="AJ143" i="1" s="1"/>
  <c r="AI541" i="1"/>
  <c r="AJ541" i="1" s="1"/>
  <c r="AI1489" i="1"/>
  <c r="AJ1489" i="1" s="1"/>
  <c r="AI2101" i="1"/>
  <c r="AJ2101" i="1" s="1"/>
  <c r="AI318" i="1"/>
  <c r="AJ318" i="1" s="1"/>
  <c r="AI1078" i="1"/>
  <c r="AJ1078" i="1" s="1"/>
  <c r="AI2097" i="1"/>
  <c r="AJ2097" i="1" s="1"/>
  <c r="AI661" i="1"/>
  <c r="AJ661" i="1" s="1"/>
  <c r="AI326" i="1"/>
  <c r="AJ326" i="1" s="1"/>
  <c r="AI476" i="1"/>
  <c r="AJ476" i="1" s="1"/>
  <c r="AI859" i="1"/>
  <c r="AJ859" i="1" s="1"/>
  <c r="AI1276" i="1"/>
  <c r="AJ1276" i="1" s="1"/>
  <c r="AI36" i="1"/>
  <c r="AJ36" i="1" s="1"/>
  <c r="AI1935" i="1"/>
  <c r="AJ1935" i="1" s="1"/>
  <c r="AI1927" i="1"/>
  <c r="AJ1927" i="1" s="1"/>
  <c r="AI1917" i="1"/>
  <c r="AJ1917" i="1" s="1"/>
  <c r="AI838" i="1"/>
  <c r="AJ838" i="1" s="1"/>
  <c r="AI270" i="1"/>
  <c r="AJ270" i="1" s="1"/>
  <c r="AI1569" i="1"/>
  <c r="AJ1569" i="1" s="1"/>
  <c r="AI1704" i="1"/>
  <c r="AJ1704" i="1" s="1"/>
  <c r="AI1919" i="1"/>
  <c r="AJ1919" i="1" s="1"/>
  <c r="AI1487" i="1"/>
  <c r="AJ1487" i="1" s="1"/>
  <c r="AI2059" i="1"/>
  <c r="AJ2059" i="1" s="1"/>
  <c r="AI1910" i="1"/>
  <c r="AJ1910" i="1" s="1"/>
  <c r="AI37" i="1"/>
  <c r="AJ37" i="1" s="1"/>
  <c r="AI1379" i="1"/>
  <c r="AJ1379" i="1" s="1"/>
  <c r="AI1150" i="1"/>
  <c r="AJ1150" i="1" s="1"/>
  <c r="AI42" i="1"/>
  <c r="AJ42" i="1" s="1"/>
  <c r="AI636" i="1"/>
  <c r="AJ636" i="1" s="1"/>
  <c r="AI381" i="1"/>
  <c r="AJ381" i="1" s="1"/>
  <c r="AI1641" i="1"/>
  <c r="AJ1641" i="1" s="1"/>
  <c r="AI1582" i="1"/>
  <c r="AJ1582" i="1" s="1"/>
  <c r="AI2008" i="1"/>
  <c r="AJ2008" i="1" s="1"/>
  <c r="AI1422" i="1"/>
  <c r="AJ1422" i="1" s="1"/>
  <c r="AI1669" i="1"/>
  <c r="AJ1669" i="1" s="1"/>
  <c r="AI912" i="1"/>
  <c r="AJ912" i="1" s="1"/>
  <c r="AI148" i="1"/>
  <c r="AJ148" i="1" s="1"/>
  <c r="AI579" i="1"/>
  <c r="AJ579" i="1" s="1"/>
  <c r="AI902" i="1"/>
  <c r="AJ902" i="1" s="1"/>
  <c r="AI1903" i="1"/>
  <c r="AJ1903" i="1" s="1"/>
  <c r="AI43" i="1"/>
  <c r="AJ43" i="1" s="1"/>
  <c r="AI1397" i="1"/>
  <c r="AJ1397" i="1" s="1"/>
  <c r="AI1178" i="1"/>
  <c r="AJ1178" i="1" s="1"/>
  <c r="AI1733" i="1"/>
  <c r="AJ1733" i="1" s="1"/>
  <c r="AI1576" i="1"/>
  <c r="AJ1576" i="1" s="1"/>
  <c r="AI514" i="1"/>
  <c r="AJ514" i="1" s="1"/>
  <c r="AI748" i="1"/>
  <c r="AJ748" i="1" s="1"/>
  <c r="AI1754" i="1"/>
  <c r="AJ1754" i="1" s="1"/>
  <c r="AI303" i="1"/>
  <c r="AJ303" i="1" s="1"/>
  <c r="AI1023" i="1"/>
  <c r="AJ1023" i="1" s="1"/>
  <c r="AI869" i="1"/>
  <c r="AJ869" i="1" s="1"/>
  <c r="AI542" i="1"/>
  <c r="AJ542" i="1" s="1"/>
  <c r="AI1541" i="1"/>
  <c r="AJ1541" i="1" s="1"/>
  <c r="AI668" i="1"/>
  <c r="AJ668" i="1" s="1"/>
  <c r="AI770" i="1"/>
  <c r="AJ770" i="1" s="1"/>
  <c r="AI527" i="1"/>
  <c r="AJ527" i="1" s="1"/>
  <c r="AI407" i="1"/>
  <c r="AJ407" i="1" s="1"/>
  <c r="AI499" i="1"/>
  <c r="AJ499" i="1" s="1"/>
  <c r="AI2058" i="1"/>
  <c r="AJ2058" i="1" s="1"/>
  <c r="AI887" i="1"/>
  <c r="AJ887" i="1" s="1"/>
  <c r="AI1515" i="1"/>
  <c r="AJ1515" i="1" s="1"/>
  <c r="AI1913" i="1"/>
  <c r="AJ1913" i="1" s="1"/>
  <c r="AI1193" i="1"/>
  <c r="AJ1193" i="1" s="1"/>
  <c r="AI67" i="1"/>
  <c r="AJ67" i="1" s="1"/>
  <c r="AI563" i="1"/>
  <c r="AJ563" i="1" s="1"/>
  <c r="AI1961" i="1"/>
  <c r="AJ1961" i="1" s="1"/>
  <c r="AI1488" i="1"/>
  <c r="AJ1488" i="1" s="1"/>
  <c r="AI1757" i="1"/>
  <c r="AJ1757" i="1" s="1"/>
  <c r="AI1881" i="1"/>
  <c r="AJ1881" i="1" s="1"/>
  <c r="AI164" i="1"/>
  <c r="AJ164" i="1" s="1"/>
  <c r="AI752" i="1"/>
  <c r="AJ752" i="1" s="1"/>
  <c r="AI1022" i="1"/>
  <c r="AJ1022" i="1" s="1"/>
  <c r="AI1185" i="1"/>
  <c r="AJ1185" i="1" s="1"/>
  <c r="AI768" i="1"/>
  <c r="AJ768" i="1" s="1"/>
  <c r="AI904" i="1"/>
  <c r="AJ904" i="1" s="1"/>
  <c r="AI2100" i="1"/>
  <c r="AJ2100" i="1" s="1"/>
  <c r="AI126" i="1"/>
  <c r="AJ126" i="1" s="1"/>
  <c r="AI1532" i="1"/>
  <c r="AJ1532" i="1" s="1"/>
  <c r="AI841" i="1"/>
  <c r="AJ841" i="1" s="1"/>
  <c r="AI780" i="1"/>
  <c r="AJ780" i="1" s="1"/>
  <c r="AI1255" i="1"/>
  <c r="AJ1255" i="1" s="1"/>
  <c r="AI1502" i="1"/>
  <c r="AJ1502" i="1" s="1"/>
  <c r="AI1651" i="1"/>
  <c r="AJ1651" i="1" s="1"/>
  <c r="AI1113" i="1"/>
  <c r="AJ1113" i="1" s="1"/>
  <c r="AI1611" i="1"/>
  <c r="AJ1611" i="1" s="1"/>
  <c r="AI1188" i="1"/>
  <c r="AJ1188" i="1" s="1"/>
  <c r="AI1959" i="1"/>
  <c r="AJ1959" i="1" s="1"/>
  <c r="AI1986" i="1"/>
  <c r="AJ1986" i="1" s="1"/>
  <c r="AI722" i="1"/>
  <c r="AJ722" i="1" s="1"/>
  <c r="AI1734" i="1"/>
  <c r="AJ1734" i="1" s="1"/>
  <c r="AI907" i="1"/>
  <c r="AJ907" i="1" s="1"/>
  <c r="AI1184" i="1"/>
  <c r="AJ1184" i="1" s="1"/>
  <c r="AI1777" i="1"/>
  <c r="AJ1777" i="1" s="1"/>
  <c r="AI1199" i="1"/>
  <c r="AJ1199" i="1" s="1"/>
  <c r="AI1319" i="1"/>
  <c r="AJ1319" i="1" s="1"/>
  <c r="AI511" i="1"/>
  <c r="AJ511" i="1" s="1"/>
  <c r="AI747" i="1"/>
  <c r="AJ747" i="1" s="1"/>
  <c r="AI1352" i="1"/>
  <c r="AJ1352" i="1" s="1"/>
  <c r="AI314" i="1"/>
  <c r="AJ314" i="1" s="1"/>
  <c r="AI775" i="1"/>
  <c r="AJ775" i="1" s="1"/>
  <c r="AI423" i="1"/>
  <c r="AJ423" i="1" s="1"/>
  <c r="AI1156" i="1"/>
  <c r="AJ1156" i="1" s="1"/>
  <c r="AI1920" i="1"/>
  <c r="AJ1920" i="1" s="1"/>
  <c r="AI1938" i="1"/>
  <c r="AJ1938" i="1" s="1"/>
  <c r="AI694" i="1"/>
  <c r="AJ694" i="1" s="1"/>
  <c r="AI763" i="1"/>
  <c r="AJ763" i="1" s="1"/>
  <c r="AI1598" i="1"/>
  <c r="AJ1598" i="1" s="1"/>
  <c r="AI551" i="1"/>
  <c r="AJ551" i="1" s="1"/>
  <c r="AI275" i="1"/>
  <c r="AJ275" i="1" s="1"/>
  <c r="AI701" i="1"/>
  <c r="AJ701" i="1" s="1"/>
  <c r="AI222" i="1"/>
  <c r="AJ222" i="1" s="1"/>
  <c r="AI1795" i="1"/>
  <c r="AJ1795" i="1" s="1"/>
  <c r="AI1779" i="1"/>
  <c r="AJ1779" i="1" s="1"/>
  <c r="AI1063" i="1"/>
  <c r="AJ1063" i="1" s="1"/>
  <c r="AI1117" i="1"/>
  <c r="AJ1117" i="1" s="1"/>
  <c r="AI577" i="1"/>
  <c r="AJ577" i="1" s="1"/>
  <c r="AI1222" i="1"/>
  <c r="AJ1222" i="1" s="1"/>
  <c r="AI1120" i="1"/>
  <c r="AJ1120" i="1" s="1"/>
  <c r="AI1029" i="1"/>
  <c r="AJ1029" i="1" s="1"/>
  <c r="AI1905" i="1"/>
  <c r="AJ1905" i="1" s="1"/>
  <c r="AI1383" i="1"/>
  <c r="AJ1383" i="1" s="1"/>
  <c r="AI1683" i="1"/>
  <c r="AJ1683" i="1" s="1"/>
  <c r="AI1042" i="1"/>
  <c r="AJ1042" i="1" s="1"/>
  <c r="AI419" i="1"/>
  <c r="AJ419" i="1" s="1"/>
  <c r="AI609" i="1"/>
  <c r="AJ609" i="1" s="1"/>
  <c r="AI536" i="1"/>
  <c r="AJ536" i="1" s="1"/>
  <c r="AI1006" i="1"/>
  <c r="AJ1006" i="1" s="1"/>
  <c r="AI535" i="1"/>
  <c r="AJ535" i="1" s="1"/>
  <c r="AI1000" i="1"/>
  <c r="AJ1000" i="1" s="1"/>
  <c r="AI1123" i="1"/>
  <c r="AJ1123" i="1" s="1"/>
  <c r="AI2027" i="1"/>
  <c r="AJ2027" i="1" s="1"/>
  <c r="AI1882" i="1"/>
  <c r="AJ1882" i="1" s="1"/>
  <c r="AI1333" i="1"/>
  <c r="AJ1333" i="1" s="1"/>
  <c r="AI25" i="1"/>
  <c r="AJ25" i="1" s="1"/>
  <c r="AI1367" i="1"/>
  <c r="AJ1367" i="1" s="1"/>
  <c r="AI1654" i="1"/>
  <c r="AJ1654" i="1" s="1"/>
  <c r="AI1984" i="1"/>
  <c r="AJ1984" i="1" s="1"/>
  <c r="AI1056" i="1"/>
  <c r="AJ1056" i="1" s="1"/>
  <c r="AI305" i="1"/>
  <c r="AJ305" i="1" s="1"/>
  <c r="AI933" i="1"/>
  <c r="AJ933" i="1" s="1"/>
  <c r="AI1700" i="1"/>
  <c r="AJ1700" i="1" s="1"/>
  <c r="AI1381" i="1"/>
  <c r="AJ1381" i="1" s="1"/>
  <c r="AI611" i="1"/>
  <c r="AJ611" i="1" s="1"/>
  <c r="AI1525" i="1"/>
  <c r="AJ1525" i="1" s="1"/>
  <c r="AI643" i="1"/>
  <c r="AJ643" i="1" s="1"/>
  <c r="AI422" i="1"/>
  <c r="AJ422" i="1" s="1"/>
  <c r="AI765" i="1"/>
  <c r="AJ765" i="1" s="1"/>
  <c r="AI1970" i="1"/>
  <c r="AJ1970" i="1" s="1"/>
  <c r="AI1480" i="1"/>
  <c r="AJ1480" i="1" s="1"/>
  <c r="AI1802" i="1"/>
  <c r="AJ1802" i="1" s="1"/>
  <c r="AI1717" i="1"/>
  <c r="AJ1717" i="1" s="1"/>
  <c r="AI1238" i="1"/>
  <c r="AJ1238" i="1" s="1"/>
  <c r="AI1526" i="1"/>
  <c r="AJ1526" i="1" s="1"/>
  <c r="AI199" i="1"/>
  <c r="AJ199" i="1" s="1"/>
  <c r="AI1418" i="1"/>
  <c r="AJ1418" i="1" s="1"/>
  <c r="AI1082" i="1"/>
  <c r="AJ1082" i="1" s="1"/>
  <c r="AI1857" i="1"/>
  <c r="AJ1857" i="1" s="1"/>
  <c r="AI1389" i="1"/>
  <c r="AJ1389" i="1" s="1"/>
  <c r="AI796" i="1"/>
  <c r="AJ796" i="1" s="1"/>
  <c r="AI15" i="1"/>
  <c r="AJ15" i="1" s="1"/>
  <c r="AI257" i="1"/>
  <c r="AJ257" i="1" s="1"/>
  <c r="AI118" i="1"/>
  <c r="AJ118" i="1" s="1"/>
  <c r="AI94" i="1"/>
  <c r="AJ94" i="1" s="1"/>
  <c r="AI574" i="1"/>
  <c r="AJ574" i="1" s="1"/>
  <c r="AI1450" i="1"/>
  <c r="AJ1450" i="1" s="1"/>
  <c r="AI173" i="1"/>
  <c r="AJ173" i="1" s="1"/>
  <c r="AI523" i="1"/>
  <c r="AJ523" i="1" s="1"/>
  <c r="AI369" i="1"/>
  <c r="AJ369" i="1" s="1"/>
  <c r="AI418" i="1"/>
  <c r="AJ418" i="1" s="1"/>
  <c r="AI1559" i="1"/>
  <c r="AJ1559" i="1" s="1"/>
  <c r="AI637" i="1"/>
  <c r="AJ637" i="1" s="1"/>
  <c r="AI844" i="1"/>
  <c r="AJ844" i="1" s="1"/>
  <c r="AI1201" i="1"/>
  <c r="AJ1201" i="1" s="1"/>
  <c r="AI1210" i="1"/>
  <c r="AJ1210" i="1" s="1"/>
  <c r="AI431" i="1"/>
  <c r="AJ431" i="1" s="1"/>
  <c r="AI1427" i="1"/>
  <c r="AJ1427" i="1" s="1"/>
  <c r="AI1830" i="1"/>
  <c r="AJ1830" i="1" s="1"/>
  <c r="AI1789" i="1"/>
  <c r="AJ1789" i="1" s="1"/>
  <c r="AI582" i="1"/>
  <c r="AJ582" i="1" s="1"/>
  <c r="AI996" i="1"/>
  <c r="AJ996" i="1" s="1"/>
  <c r="AI1208" i="1"/>
  <c r="AJ1208" i="1" s="1"/>
  <c r="AI2001" i="1"/>
  <c r="AJ2001" i="1" s="1"/>
  <c r="AI1084" i="1"/>
  <c r="AJ1084" i="1" s="1"/>
  <c r="AI59" i="1"/>
  <c r="AJ59" i="1" s="1"/>
  <c r="AI1974" i="1"/>
  <c r="AJ1974" i="1" s="1"/>
  <c r="AI1228" i="1"/>
  <c r="AJ1228" i="1" s="1"/>
  <c r="AI455" i="1"/>
  <c r="AJ455" i="1" s="1"/>
  <c r="AI1686" i="1"/>
  <c r="AJ1686" i="1" s="1"/>
  <c r="AI720" i="1"/>
  <c r="AJ720" i="1" s="1"/>
  <c r="AI137" i="1"/>
  <c r="AJ137" i="1" s="1"/>
  <c r="AI346" i="1"/>
  <c r="AJ346" i="1" s="1"/>
  <c r="AI595" i="1"/>
  <c r="AJ595" i="1" s="1"/>
  <c r="AI606" i="1"/>
  <c r="AJ606" i="1" s="1"/>
  <c r="AI1025" i="1"/>
  <c r="AJ1025" i="1" s="1"/>
  <c r="AI1610" i="1"/>
  <c r="AJ1610" i="1" s="1"/>
  <c r="AI604" i="1"/>
  <c r="AJ604" i="1" s="1"/>
  <c r="AI1825" i="1"/>
  <c r="AJ1825" i="1" s="1"/>
  <c r="AI1798" i="1"/>
  <c r="AJ1798" i="1" s="1"/>
  <c r="AI20" i="1"/>
  <c r="AJ20" i="1" s="1"/>
  <c r="AI218" i="1"/>
  <c r="AJ218" i="1" s="1"/>
  <c r="AI1356" i="1"/>
  <c r="AJ1356" i="1" s="1"/>
  <c r="AI1448" i="1"/>
  <c r="AJ1448" i="1" s="1"/>
  <c r="AI1430" i="1"/>
  <c r="AJ1430" i="1" s="1"/>
  <c r="AI955" i="1"/>
  <c r="AJ955" i="1" s="1"/>
  <c r="AI893" i="1"/>
  <c r="AJ893" i="1" s="1"/>
  <c r="AI1558" i="1"/>
  <c r="AJ1558" i="1" s="1"/>
  <c r="AI18" i="1"/>
  <c r="AJ18" i="1" s="1"/>
  <c r="AI1186" i="1"/>
  <c r="AJ1186" i="1" s="1"/>
  <c r="AI1543" i="1"/>
  <c r="AJ1543" i="1" s="1"/>
  <c r="AI316" i="1"/>
  <c r="AJ316" i="1" s="1"/>
  <c r="AI710" i="1"/>
  <c r="AJ710" i="1" s="1"/>
  <c r="AI543" i="1"/>
  <c r="AJ543" i="1" s="1"/>
  <c r="AI2033" i="1"/>
  <c r="AJ2033" i="1" s="1"/>
  <c r="AI437" i="1"/>
  <c r="AJ437" i="1" s="1"/>
  <c r="AI65" i="1"/>
  <c r="AJ65" i="1" s="1"/>
  <c r="AI1690" i="1"/>
  <c r="AJ1690" i="1" s="1"/>
  <c r="AI1043" i="1"/>
  <c r="AJ1043" i="1" s="1"/>
  <c r="AI1036" i="1"/>
  <c r="AJ1036" i="1" s="1"/>
  <c r="AI1317" i="1"/>
  <c r="AJ1317" i="1" s="1"/>
  <c r="AI1655" i="1"/>
  <c r="AJ1655" i="1" s="1"/>
  <c r="AI66" i="1"/>
  <c r="AJ66" i="1" s="1"/>
  <c r="AI1453" i="1"/>
  <c r="AJ1453" i="1" s="1"/>
  <c r="AI601" i="1"/>
  <c r="AJ601" i="1" s="1"/>
  <c r="AI1094" i="1"/>
  <c r="AJ1094" i="1" s="1"/>
  <c r="AI1925" i="1"/>
  <c r="AJ1925" i="1" s="1"/>
  <c r="AI1486" i="1"/>
  <c r="AJ1486" i="1" s="1"/>
  <c r="AI857" i="1"/>
  <c r="AJ857" i="1" s="1"/>
  <c r="AI1385" i="1"/>
  <c r="AJ1385" i="1" s="1"/>
  <c r="AI940" i="1"/>
  <c r="AJ940" i="1" s="1"/>
  <c r="AI788" i="1"/>
  <c r="AJ788" i="1" s="1"/>
  <c r="AI751" i="1"/>
  <c r="AJ751" i="1" s="1"/>
  <c r="AI908" i="1"/>
  <c r="AJ908" i="1" s="1"/>
  <c r="AI1038" i="1"/>
  <c r="AJ1038" i="1" s="1"/>
  <c r="AI1153" i="1"/>
  <c r="AJ1153" i="1" s="1"/>
  <c r="AI1390" i="1"/>
  <c r="AJ1390" i="1" s="1"/>
  <c r="AI1932" i="1"/>
  <c r="AJ1932" i="1" s="1"/>
  <c r="AI185" i="1"/>
  <c r="AJ185" i="1" s="1"/>
  <c r="AI2025" i="1"/>
  <c r="AJ2025" i="1" s="1"/>
  <c r="AI1491" i="1"/>
  <c r="AJ1491" i="1" s="1"/>
  <c r="AI488" i="1"/>
  <c r="AJ488" i="1" s="1"/>
  <c r="AI1994" i="1"/>
  <c r="AJ1994" i="1" s="1"/>
  <c r="AI2107" i="1"/>
  <c r="AJ2107" i="1" s="1"/>
  <c r="AI1273" i="1"/>
  <c r="AJ1273" i="1" s="1"/>
  <c r="AI277" i="1"/>
  <c r="AJ277" i="1" s="1"/>
  <c r="AI903" i="1"/>
  <c r="AJ903" i="1" s="1"/>
  <c r="AI1741" i="1"/>
  <c r="AJ1741" i="1" s="1"/>
  <c r="AI162" i="1"/>
  <c r="AJ162" i="1" s="1"/>
  <c r="AI54" i="1"/>
  <c r="AJ54" i="1" s="1"/>
  <c r="AI1016" i="1"/>
  <c r="AJ1016" i="1" s="1"/>
  <c r="AI397" i="1"/>
  <c r="AJ397" i="1" s="1"/>
  <c r="AI1534" i="1"/>
  <c r="AJ1534" i="1" s="1"/>
  <c r="AI1196" i="1"/>
  <c r="AJ1196" i="1" s="1"/>
  <c r="AI2009" i="1"/>
  <c r="AJ2009" i="1" s="1"/>
  <c r="AI929" i="1"/>
  <c r="AJ929" i="1" s="1"/>
  <c r="AI430" i="1"/>
  <c r="AJ430" i="1" s="1"/>
  <c r="AI1424" i="1"/>
  <c r="AJ1424" i="1" s="1"/>
  <c r="AI1808" i="1"/>
  <c r="AJ1808" i="1" s="1"/>
  <c r="AI2019" i="1"/>
  <c r="AJ2019" i="1" s="1"/>
  <c r="AI238" i="1"/>
  <c r="AJ238" i="1" s="1"/>
  <c r="AI1501" i="1"/>
  <c r="AJ1501" i="1" s="1"/>
  <c r="AI267" i="1"/>
  <c r="AJ267" i="1" s="1"/>
  <c r="AI47" i="1"/>
  <c r="AJ47" i="1" s="1"/>
  <c r="AI261" i="1"/>
  <c r="AJ261" i="1" s="1"/>
  <c r="AI46" i="1"/>
  <c r="AJ46" i="1" s="1"/>
  <c r="AI1982" i="1"/>
  <c r="AJ1982" i="1" s="1"/>
  <c r="AI2092" i="1"/>
  <c r="AJ2092" i="1" s="1"/>
  <c r="AI1550" i="1"/>
  <c r="AJ1550" i="1" s="1"/>
  <c r="AI1929" i="1"/>
  <c r="AJ1929" i="1" s="1"/>
  <c r="AI1989" i="1"/>
  <c r="AJ1989" i="1" s="1"/>
  <c r="AI2104" i="1"/>
  <c r="AJ2104" i="1" s="1"/>
  <c r="AI245" i="1"/>
  <c r="AJ245" i="1" s="1"/>
  <c r="AI898" i="1"/>
  <c r="AJ898" i="1" s="1"/>
  <c r="AI196" i="1"/>
  <c r="AJ196" i="1" s="1"/>
  <c r="AI112" i="1"/>
  <c r="AJ112" i="1" s="1"/>
  <c r="AI370" i="1"/>
  <c r="AJ370" i="1" s="1"/>
  <c r="AI756" i="1"/>
  <c r="AJ756" i="1" s="1"/>
  <c r="AI849" i="1"/>
  <c r="AJ849" i="1" s="1"/>
  <c r="AI2121" i="1"/>
  <c r="AJ2121" i="1" s="1"/>
  <c r="AI2037" i="1"/>
  <c r="AJ2037" i="1" s="1"/>
  <c r="AI2057" i="1"/>
  <c r="AJ2057" i="1" s="1"/>
  <c r="AI2042" i="1"/>
  <c r="AJ2042" i="1" s="1"/>
  <c r="AI244" i="1"/>
  <c r="AJ244" i="1" s="1"/>
  <c r="AI526" i="1"/>
  <c r="AJ526" i="1" s="1"/>
  <c r="AI2018" i="1"/>
  <c r="AJ2018" i="1" s="1"/>
  <c r="AI1298" i="1"/>
  <c r="AJ1298" i="1" s="1"/>
  <c r="AI1032" i="1"/>
  <c r="AJ1032" i="1" s="1"/>
  <c r="AI96" i="1"/>
  <c r="AJ96" i="1" s="1"/>
  <c r="AI943" i="1"/>
  <c r="AJ943" i="1" s="1"/>
  <c r="AI706" i="1"/>
  <c r="AJ706" i="1" s="1"/>
  <c r="AI1956" i="1"/>
  <c r="AJ1956" i="1" s="1"/>
  <c r="AI70" i="1"/>
  <c r="AJ70" i="1" s="1"/>
  <c r="AI1648" i="1"/>
  <c r="AJ1648" i="1" s="1"/>
  <c r="AI426" i="1"/>
  <c r="AJ426" i="1" s="1"/>
  <c r="AI739" i="1"/>
  <c r="AJ739" i="1" s="1"/>
  <c r="AI355" i="1"/>
  <c r="AJ355" i="1" s="1"/>
  <c r="AI1277" i="1"/>
  <c r="AJ1277" i="1" s="1"/>
  <c r="AI1469" i="1"/>
  <c r="AJ1469" i="1" s="1"/>
  <c r="AI2076" i="1"/>
  <c r="AJ2076" i="1" s="1"/>
  <c r="AI2021" i="1"/>
  <c r="AJ2021" i="1" s="1"/>
  <c r="AI1667" i="1"/>
  <c r="AJ1667" i="1" s="1"/>
  <c r="AI920" i="1"/>
  <c r="AJ920" i="1" s="1"/>
  <c r="AI971" i="1"/>
  <c r="AJ971" i="1" s="1"/>
  <c r="AI97" i="1"/>
  <c r="AJ97" i="1" s="1"/>
  <c r="AI161" i="1"/>
  <c r="AJ161" i="1" s="1"/>
  <c r="AI1630" i="1"/>
  <c r="AJ1630" i="1" s="1"/>
  <c r="AI1726" i="1"/>
  <c r="AJ1726" i="1" s="1"/>
  <c r="AI1729" i="1"/>
  <c r="AJ1729" i="1" s="1"/>
  <c r="AI292" i="1"/>
  <c r="AJ292" i="1" s="1"/>
  <c r="AI1155" i="1"/>
  <c r="AJ1155" i="1" s="1"/>
  <c r="AI1621" i="1"/>
  <c r="AJ1621" i="1" s="1"/>
  <c r="AI1909" i="1"/>
  <c r="AJ1909" i="1" s="1"/>
  <c r="AI467" i="1"/>
  <c r="AJ467" i="1" s="1"/>
  <c r="AI1059" i="1"/>
  <c r="AJ1059" i="1" s="1"/>
  <c r="AI897" i="1"/>
  <c r="AJ897" i="1" s="1"/>
  <c r="AI125" i="1"/>
  <c r="AJ125" i="1" s="1"/>
  <c r="AI1922" i="1"/>
  <c r="AJ1922" i="1" s="1"/>
  <c r="AI1928" i="1"/>
  <c r="AJ1928" i="1" s="1"/>
  <c r="AI2012" i="1"/>
  <c r="AJ2012" i="1" s="1"/>
  <c r="AI1871" i="1"/>
  <c r="AJ1871" i="1" s="1"/>
  <c r="AI2048" i="1"/>
  <c r="AJ2048" i="1" s="1"/>
  <c r="AI1766" i="1"/>
  <c r="AJ1766" i="1" s="1"/>
  <c r="AI1776" i="1"/>
  <c r="AJ1776" i="1" s="1"/>
  <c r="AI1417" i="1"/>
  <c r="AJ1417" i="1" s="1"/>
  <c r="AI1607" i="1"/>
  <c r="AJ1607" i="1" s="1"/>
  <c r="AI1676" i="1"/>
  <c r="AJ1676" i="1" s="1"/>
  <c r="AI1323" i="1"/>
  <c r="AJ1323" i="1" s="1"/>
  <c r="AI635" i="1"/>
  <c r="AJ635" i="1" s="1"/>
  <c r="AI394" i="1"/>
  <c r="AJ394" i="1" s="1"/>
  <c r="AI1245" i="1"/>
  <c r="AJ1245" i="1" s="1"/>
  <c r="AI1017" i="1"/>
  <c r="AJ1017" i="1" s="1"/>
  <c r="AI273" i="1"/>
  <c r="AJ273" i="1" s="1"/>
  <c r="AI1695" i="1"/>
  <c r="AJ1695" i="1" s="1"/>
  <c r="AI2013" i="1"/>
  <c r="AJ2013" i="1" s="1"/>
  <c r="AI901" i="1"/>
  <c r="AJ901" i="1" s="1"/>
  <c r="AI532" i="1"/>
  <c r="AJ532" i="1" s="1"/>
  <c r="AI474" i="1"/>
  <c r="AJ474" i="1" s="1"/>
  <c r="AI55" i="1"/>
  <c r="AJ55" i="1" s="1"/>
  <c r="AI2020" i="1"/>
  <c r="AJ2020" i="1" s="1"/>
  <c r="AI311" i="1"/>
  <c r="AJ311" i="1" s="1"/>
  <c r="AI1599" i="1"/>
  <c r="AJ1599" i="1" s="1"/>
  <c r="AI1647" i="1"/>
  <c r="AJ1647" i="1" s="1"/>
  <c r="AI1027" i="1"/>
  <c r="AJ1027" i="1" s="1"/>
  <c r="AI2067" i="1"/>
  <c r="AJ2067" i="1" s="1"/>
  <c r="AI1171" i="1"/>
  <c r="AJ1171" i="1" s="1"/>
  <c r="AI713" i="1"/>
  <c r="AJ713" i="1" s="1"/>
  <c r="AI2083" i="1"/>
  <c r="AJ2083" i="1" s="1"/>
  <c r="AI1100" i="1"/>
  <c r="AJ1100" i="1" s="1"/>
  <c r="AI19" i="1"/>
  <c r="AJ19" i="1" s="1"/>
  <c r="AI1845" i="1"/>
  <c r="AJ1845" i="1" s="1"/>
  <c r="AI1334" i="1"/>
  <c r="AJ1334" i="1" s="1"/>
  <c r="AI959" i="1"/>
  <c r="AJ959" i="1" s="1"/>
  <c r="AI1612" i="1"/>
  <c r="AJ1612" i="1" s="1"/>
  <c r="AI2015" i="1"/>
  <c r="AJ2015" i="1" s="1"/>
  <c r="AI1231" i="1"/>
  <c r="AJ1231" i="1" s="1"/>
  <c r="AI122" i="1"/>
  <c r="AJ122" i="1" s="1"/>
  <c r="AI1345" i="1"/>
  <c r="AJ1345" i="1" s="1"/>
  <c r="AI1793" i="1"/>
  <c r="AJ1793" i="1" s="1"/>
  <c r="AI1603" i="1"/>
  <c r="AJ1603" i="1" s="1"/>
  <c r="AI58" i="1"/>
  <c r="AJ58" i="1" s="1"/>
  <c r="AI49" i="1"/>
  <c r="AJ49" i="1" s="1"/>
  <c r="AI932" i="1"/>
  <c r="AJ932" i="1" s="1"/>
  <c r="AI91" i="1"/>
  <c r="AJ91" i="1" s="1"/>
  <c r="AI223" i="1"/>
  <c r="AJ223" i="1" s="1"/>
  <c r="AI2041" i="1"/>
  <c r="AJ2041" i="1" s="1"/>
  <c r="AI1339" i="1"/>
  <c r="AJ1339" i="1" s="1"/>
  <c r="AI1851" i="1"/>
  <c r="AJ1851" i="1" s="1"/>
  <c r="AI2029" i="1"/>
  <c r="AJ2029" i="1" s="1"/>
  <c r="AI726" i="1"/>
  <c r="AJ726" i="1" s="1"/>
  <c r="AI670" i="1"/>
  <c r="AJ670" i="1" s="1"/>
  <c r="AI2064" i="1"/>
  <c r="AJ2064" i="1" s="1"/>
  <c r="AI2002" i="1"/>
  <c r="AJ2002" i="1" s="1"/>
  <c r="AI252" i="1"/>
  <c r="AJ252" i="1" s="1"/>
  <c r="AI1814" i="1"/>
  <c r="AJ1814" i="1" s="1"/>
  <c r="AI1555" i="1"/>
  <c r="AJ1555" i="1" s="1"/>
  <c r="AI88" i="1"/>
  <c r="AJ88" i="1" s="1"/>
  <c r="AI1259" i="1"/>
  <c r="AJ1259" i="1" s="1"/>
  <c r="AI1540" i="1"/>
  <c r="AJ1540" i="1" s="1"/>
  <c r="AI733" i="1"/>
  <c r="AJ733" i="1" s="1"/>
  <c r="AI711" i="1"/>
  <c r="AJ711" i="1" s="1"/>
  <c r="AI2003" i="1"/>
  <c r="AJ2003" i="1" s="1"/>
  <c r="AI717" i="1"/>
  <c r="AJ717" i="1" s="1"/>
  <c r="AI1940" i="1"/>
  <c r="AJ1940" i="1" s="1"/>
  <c r="AI1883" i="1"/>
  <c r="AJ1883" i="1" s="1"/>
  <c r="AI1829" i="1"/>
  <c r="AJ1829" i="1" s="1"/>
  <c r="AI1384" i="1"/>
  <c r="AJ1384" i="1" s="1"/>
  <c r="AI749" i="1"/>
  <c r="AJ749" i="1" s="1"/>
  <c r="AI1770" i="1"/>
  <c r="AJ1770" i="1" s="1"/>
  <c r="AI777" i="1"/>
  <c r="AJ777" i="1" s="1"/>
  <c r="AI1904" i="1"/>
  <c r="AJ1904" i="1" s="1"/>
  <c r="AI180" i="1"/>
  <c r="AJ180" i="1" s="1"/>
  <c r="AI1781" i="1"/>
  <c r="AJ1781" i="1" s="1"/>
  <c r="AI384" i="1"/>
  <c r="AJ384" i="1" s="1"/>
  <c r="AI853" i="1"/>
  <c r="AJ853" i="1" s="1"/>
  <c r="AI1332" i="1"/>
  <c r="AJ1332" i="1" s="1"/>
  <c r="AI1627" i="1"/>
  <c r="AJ1627" i="1" s="1"/>
  <c r="AI663" i="1"/>
  <c r="AJ663" i="1" s="1"/>
  <c r="AI522" i="1"/>
  <c r="AJ522" i="1" s="1"/>
  <c r="AI1749" i="1"/>
  <c r="AJ1749" i="1" s="1"/>
  <c r="AI617" i="1"/>
  <c r="AJ617" i="1" s="1"/>
  <c r="AI945" i="1"/>
  <c r="AJ945" i="1" s="1"/>
  <c r="AI497" i="1"/>
  <c r="AJ497" i="1" s="1"/>
  <c r="AI21" i="1"/>
  <c r="AJ21" i="1" s="1"/>
  <c r="AI1014" i="1"/>
  <c r="AJ1014" i="1" s="1"/>
  <c r="AI1051" i="1"/>
  <c r="AJ1051" i="1" s="1"/>
  <c r="AI478" i="1"/>
  <c r="AJ478" i="1" s="1"/>
  <c r="AI175" i="1"/>
  <c r="AJ175" i="1" s="1"/>
  <c r="AI1822" i="1"/>
  <c r="AJ1822" i="1" s="1"/>
  <c r="AI1349" i="1"/>
  <c r="AJ1349" i="1" s="1"/>
  <c r="AI1545" i="1"/>
  <c r="AJ1545" i="1" s="1"/>
  <c r="AI24" i="1"/>
  <c r="AJ24" i="1" s="1"/>
  <c r="AI794" i="1"/>
  <c r="AJ794" i="1" s="1"/>
  <c r="AI988" i="1"/>
  <c r="AJ988" i="1" s="1"/>
  <c r="AI1072" i="1"/>
  <c r="AJ1072" i="1" s="1"/>
  <c r="AI130" i="1"/>
  <c r="AJ130" i="1" s="1"/>
  <c r="AI513" i="1"/>
  <c r="AJ513" i="1" s="1"/>
  <c r="AI1118" i="1"/>
  <c r="AJ1118" i="1" s="1"/>
  <c r="AI607" i="1"/>
  <c r="AJ607" i="1" s="1"/>
  <c r="AI1653" i="1"/>
  <c r="AJ1653" i="1" s="1"/>
  <c r="AI284" i="1"/>
  <c r="AJ284" i="1" s="1"/>
  <c r="AI1504" i="1"/>
  <c r="AJ1504" i="1" s="1"/>
  <c r="AI719" i="1"/>
  <c r="AJ719" i="1" s="1"/>
  <c r="AI919" i="1"/>
  <c r="AJ919" i="1" s="1"/>
  <c r="AI891" i="1"/>
  <c r="AJ891" i="1" s="1"/>
  <c r="AI979" i="1"/>
  <c r="AJ979" i="1" s="1"/>
  <c r="AI537" i="1"/>
  <c r="AJ537" i="1" s="1"/>
  <c r="AI530" i="1"/>
  <c r="AJ530" i="1" s="1"/>
  <c r="AI1772" i="1"/>
  <c r="AJ1772" i="1" s="1"/>
  <c r="AI1336" i="1"/>
  <c r="AJ1336" i="1" s="1"/>
  <c r="AI1999" i="1"/>
  <c r="AJ1999" i="1" s="1"/>
  <c r="AI114" i="1"/>
  <c r="AJ114" i="1" s="1"/>
  <c r="AI1236" i="1"/>
  <c r="AJ1236" i="1" s="1"/>
  <c r="AI233" i="1"/>
  <c r="AJ233" i="1" s="1"/>
  <c r="AI1237" i="1"/>
  <c r="AJ1237" i="1" s="1"/>
  <c r="AI74" i="1"/>
  <c r="AJ74" i="1" s="1"/>
  <c r="AI1720" i="1"/>
  <c r="AJ1720" i="1" s="1"/>
  <c r="AI1402" i="1"/>
  <c r="AJ1402" i="1" s="1"/>
  <c r="AI934" i="1"/>
  <c r="AJ934" i="1" s="1"/>
  <c r="AI1249" i="1"/>
  <c r="AJ1249" i="1" s="1"/>
  <c r="AI1451" i="1"/>
  <c r="AJ1451" i="1" s="1"/>
  <c r="AI807" i="1"/>
  <c r="AJ807" i="1" s="1"/>
  <c r="AI1226" i="1"/>
  <c r="AJ1226" i="1" s="1"/>
  <c r="AI879" i="1"/>
  <c r="AJ879" i="1" s="1"/>
  <c r="AI312" i="1"/>
  <c r="AJ312" i="1" s="1"/>
  <c r="AI1315" i="1"/>
  <c r="AJ1315" i="1" s="1"/>
  <c r="AI14" i="1"/>
  <c r="AJ14" i="1" s="1"/>
  <c r="AI170" i="1"/>
  <c r="AJ170" i="1" s="1"/>
  <c r="AI30" i="1"/>
  <c r="AJ30" i="1" s="1"/>
  <c r="AI1652" i="1"/>
  <c r="AJ1652" i="1" s="1"/>
  <c r="AI1872" i="1"/>
  <c r="AJ1872" i="1" s="1"/>
  <c r="AI352" i="1"/>
  <c r="AJ352" i="1" s="1"/>
  <c r="AI450" i="1"/>
  <c r="AJ450" i="1" s="1"/>
  <c r="AI1138" i="1"/>
  <c r="AJ1138" i="1" s="1"/>
  <c r="AI1197" i="1"/>
  <c r="AJ1197" i="1" s="1"/>
  <c r="AI183" i="1"/>
  <c r="AJ183" i="1" s="1"/>
  <c r="AI202" i="1"/>
  <c r="AJ202" i="1" s="1"/>
  <c r="AI545" i="1"/>
  <c r="AJ545" i="1" s="1"/>
  <c r="AI156" i="1"/>
  <c r="AJ156" i="1" s="1"/>
  <c r="AI2110" i="1"/>
  <c r="AJ2110" i="1" s="1"/>
  <c r="AI1693" i="1"/>
  <c r="AJ1693" i="1" s="1"/>
  <c r="AI827" i="1"/>
  <c r="AJ827" i="1" s="1"/>
  <c r="AI6" i="1"/>
  <c r="AJ6" i="1" s="1"/>
  <c r="AI1264" i="1"/>
  <c r="AJ1264" i="1" s="1"/>
  <c r="AI1132" i="1"/>
  <c r="AJ1132" i="1" s="1"/>
  <c r="AI715" i="1"/>
  <c r="AJ715" i="1" s="1"/>
  <c r="AI243" i="1"/>
  <c r="AJ243" i="1" s="1"/>
  <c r="AI666" i="1"/>
  <c r="AJ666" i="1" s="1"/>
  <c r="AI862" i="1"/>
  <c r="AJ862" i="1" s="1"/>
  <c r="AI485" i="1"/>
  <c r="AJ485" i="1" s="1"/>
  <c r="AI1644" i="1"/>
  <c r="AJ1644" i="1" s="1"/>
  <c r="AI642" i="1"/>
  <c r="AJ642" i="1" s="1"/>
  <c r="AI686" i="1"/>
  <c r="AJ686" i="1" s="1"/>
  <c r="AI287" i="1"/>
  <c r="AJ287" i="1" s="1"/>
  <c r="AI1962" i="1"/>
  <c r="AJ1962" i="1" s="1"/>
  <c r="AI856" i="1"/>
  <c r="AJ856" i="1" s="1"/>
  <c r="AI1893" i="1"/>
  <c r="AJ1893" i="1" s="1"/>
  <c r="AI206" i="1"/>
  <c r="AJ206" i="1" s="1"/>
  <c r="AI524" i="1"/>
  <c r="AJ524" i="1" s="1"/>
  <c r="AI578" i="1"/>
  <c r="AJ578" i="1" s="1"/>
  <c r="AI1885" i="1"/>
  <c r="AJ1885" i="1" s="1"/>
  <c r="AI641" i="1"/>
  <c r="AJ641" i="1" s="1"/>
  <c r="AI435" i="1"/>
  <c r="AJ435" i="1" s="1"/>
  <c r="AI718" i="1"/>
  <c r="AJ718" i="1" s="1"/>
  <c r="AI2031" i="1"/>
  <c r="AJ2031" i="1" s="1"/>
  <c r="AI1584" i="1"/>
  <c r="AJ1584" i="1" s="1"/>
  <c r="AI1873" i="1"/>
  <c r="AJ1873" i="1" s="1"/>
  <c r="AI22" i="1"/>
  <c r="AJ22" i="1" s="1"/>
  <c r="AI201" i="1"/>
  <c r="AJ201" i="1" s="1"/>
  <c r="AI227" i="1"/>
  <c r="AJ227" i="1" s="1"/>
  <c r="AI823" i="1"/>
  <c r="AJ823" i="1" s="1"/>
  <c r="AI1308" i="1"/>
  <c r="AJ1308" i="1" s="1"/>
  <c r="AI1104" i="1"/>
  <c r="AJ1104" i="1" s="1"/>
  <c r="AI1551" i="1"/>
  <c r="AJ1551" i="1" s="1"/>
  <c r="AI1267" i="1"/>
  <c r="AJ1267" i="1" s="1"/>
  <c r="AI645" i="1"/>
  <c r="AJ645" i="1" s="1"/>
  <c r="AI1810" i="1"/>
  <c r="AJ1810" i="1" s="1"/>
  <c r="AI688" i="1"/>
  <c r="AJ688" i="1" s="1"/>
  <c r="AI78" i="1"/>
  <c r="AJ78" i="1" s="1"/>
  <c r="AI224" i="1"/>
  <c r="AJ224" i="1" s="1"/>
  <c r="AI250" i="1"/>
  <c r="AJ250" i="1" s="1"/>
  <c r="AI991" i="1"/>
  <c r="AJ991" i="1" s="1"/>
  <c r="AI353" i="1"/>
  <c r="AJ353" i="1" s="1"/>
  <c r="AI205" i="1"/>
  <c r="AJ205" i="1" s="1"/>
  <c r="AI1858" i="1"/>
  <c r="AJ1858" i="1" s="1"/>
  <c r="AI782" i="1"/>
  <c r="AJ782" i="1" s="1"/>
  <c r="AI982" i="1"/>
  <c r="AJ982" i="1" s="1"/>
  <c r="AI113" i="1"/>
  <c r="AJ113" i="1" s="1"/>
  <c r="AI538" i="1"/>
  <c r="AJ538" i="1" s="1"/>
  <c r="AI949" i="1"/>
  <c r="AJ949" i="1" s="1"/>
  <c r="AI73" i="1"/>
  <c r="AJ73" i="1" s="1"/>
  <c r="AI464" i="1"/>
  <c r="AJ464" i="1" s="1"/>
  <c r="AI1843" i="1"/>
  <c r="AJ1843" i="1" s="1"/>
  <c r="AI895" i="1"/>
  <c r="AJ895" i="1" s="1"/>
  <c r="AI1280" i="1"/>
  <c r="AJ1280" i="1" s="1"/>
  <c r="AI1177" i="1"/>
  <c r="AJ1177" i="1" s="1"/>
  <c r="AI1958" i="1"/>
  <c r="AJ1958" i="1" s="1"/>
  <c r="AI1252" i="1"/>
  <c r="AJ1252" i="1" s="1"/>
  <c r="AI1272" i="1"/>
  <c r="AJ1272" i="1" s="1"/>
  <c r="AI501" i="1"/>
  <c r="AJ501" i="1" s="1"/>
  <c r="AI621" i="1"/>
  <c r="AJ621" i="1" s="1"/>
  <c r="AI1324" i="1"/>
  <c r="AJ1324" i="1" s="1"/>
  <c r="AI1375" i="1"/>
  <c r="AJ1375" i="1" s="1"/>
  <c r="AI356" i="1"/>
  <c r="AJ356" i="1" s="1"/>
  <c r="AI348" i="1"/>
  <c r="AJ348" i="1" s="1"/>
  <c r="AI679" i="1"/>
  <c r="AJ679" i="1" s="1"/>
  <c r="AI215" i="1"/>
  <c r="AJ215" i="1" s="1"/>
  <c r="AI1839" i="1"/>
  <c r="AJ1839" i="1" s="1"/>
  <c r="AI1944" i="1"/>
  <c r="AJ1944" i="1" s="1"/>
  <c r="AI452" i="1"/>
  <c r="AJ452" i="1" s="1"/>
  <c r="AI1951" i="1"/>
  <c r="AJ1951" i="1" s="1"/>
  <c r="AI1289" i="1"/>
  <c r="AJ1289" i="1" s="1"/>
  <c r="AI1581" i="1"/>
  <c r="AJ1581" i="1" s="1"/>
  <c r="AI848" i="1"/>
  <c r="AJ848" i="1" s="1"/>
  <c r="AI1026" i="1"/>
  <c r="AJ1026" i="1" s="1"/>
  <c r="AI1203" i="1"/>
  <c r="AJ1203" i="1" s="1"/>
  <c r="AI1467" i="1"/>
  <c r="AJ1467" i="1" s="1"/>
  <c r="AI1609" i="1"/>
  <c r="AJ1609" i="1" s="1"/>
  <c r="AI2030" i="1"/>
  <c r="AJ2030" i="1" s="1"/>
  <c r="AI1162" i="1"/>
  <c r="AJ1162" i="1" s="1"/>
  <c r="AI1131" i="1"/>
  <c r="AJ1131" i="1" s="1"/>
  <c r="AI966" i="1"/>
  <c r="AJ966" i="1" s="1"/>
  <c r="AI779" i="1"/>
  <c r="AJ779" i="1" s="1"/>
  <c r="AI1868" i="1"/>
  <c r="AJ1868" i="1" s="1"/>
  <c r="AI1507" i="1"/>
  <c r="AJ1507" i="1" s="1"/>
  <c r="AI498" i="1"/>
  <c r="AJ498" i="1" s="1"/>
  <c r="AI155" i="1"/>
  <c r="AJ155" i="1" s="1"/>
  <c r="AI358" i="1"/>
  <c r="AJ358" i="1" s="1"/>
  <c r="AI546" i="1"/>
  <c r="AJ546" i="1" s="1"/>
  <c r="AI1053" i="1"/>
  <c r="AJ1053" i="1" s="1"/>
  <c r="AI1884" i="1"/>
  <c r="AJ1884" i="1" s="1"/>
  <c r="AI389" i="1"/>
  <c r="AJ389" i="1" s="1"/>
  <c r="AI1445" i="1"/>
  <c r="AJ1445" i="1" s="1"/>
  <c r="AI234" i="1"/>
  <c r="AJ234" i="1" s="1"/>
  <c r="AI1206" i="1"/>
  <c r="AJ1206" i="1" s="1"/>
  <c r="AI930" i="1"/>
  <c r="AJ930" i="1" s="1"/>
  <c r="AI620" i="1"/>
  <c r="AJ620" i="1" s="1"/>
  <c r="AI1101" i="1"/>
  <c r="AJ1101" i="1" s="1"/>
  <c r="AI976" i="1"/>
  <c r="AJ976" i="1" s="1"/>
  <c r="AI1127" i="1"/>
  <c r="AJ1127" i="1" s="1"/>
  <c r="AI209" i="1"/>
  <c r="AJ209" i="1" s="1"/>
  <c r="AI727" i="1"/>
  <c r="AJ727" i="1" s="1"/>
  <c r="AI1661" i="1"/>
  <c r="AJ1661" i="1" s="1"/>
  <c r="AI774" i="1"/>
  <c r="AJ774" i="1" s="1"/>
  <c r="AI470" i="1"/>
  <c r="AJ470" i="1" s="1"/>
  <c r="AI1680" i="1"/>
  <c r="AJ1680" i="1" s="1"/>
  <c r="AI139" i="1"/>
  <c r="AJ139" i="1" s="1"/>
  <c r="AI1510" i="1"/>
  <c r="AJ1510" i="1" s="1"/>
  <c r="AI1167" i="1"/>
  <c r="AJ1167" i="1" s="1"/>
  <c r="AI1649" i="1"/>
  <c r="AJ1649" i="1" s="1"/>
  <c r="AI1370" i="1"/>
  <c r="AJ1370" i="1" s="1"/>
  <c r="AI1870" i="1"/>
  <c r="AJ1870" i="1" s="1"/>
  <c r="AI412" i="1"/>
  <c r="AJ412" i="1" s="1"/>
  <c r="AI1564" i="1"/>
  <c r="AJ1564" i="1" s="1"/>
  <c r="AI2046" i="1"/>
  <c r="AJ2046" i="1" s="1"/>
  <c r="AI2" i="1"/>
  <c r="AJ2" i="1" s="1"/>
  <c r="AI1860" i="1"/>
  <c r="AJ1860" i="1" s="1"/>
  <c r="AI105" i="1"/>
  <c r="AJ105" i="1" s="1"/>
  <c r="AI1465" i="1"/>
  <c r="AJ1465" i="1" s="1"/>
  <c r="AI1320" i="1"/>
  <c r="AJ1320" i="1" s="1"/>
  <c r="AI625" i="1"/>
  <c r="AJ625" i="1" s="1"/>
  <c r="AI1745" i="1"/>
  <c r="AJ1745" i="1" s="1"/>
  <c r="AI647" i="1"/>
  <c r="AJ647" i="1" s="1"/>
  <c r="AI1331" i="1"/>
  <c r="AJ1331" i="1" s="1"/>
  <c r="AI1403" i="1"/>
  <c r="AJ1403" i="1" s="1"/>
  <c r="AI1943" i="1"/>
  <c r="AJ1943" i="1" s="1"/>
  <c r="AI1838" i="1"/>
  <c r="AJ1838" i="1" s="1"/>
  <c r="AI815" i="1"/>
  <c r="AJ815" i="1" s="1"/>
  <c r="AI1046" i="1"/>
  <c r="AJ1046" i="1" s="1"/>
  <c r="AI1933" i="1"/>
  <c r="AJ1933" i="1" s="1"/>
  <c r="AI2062" i="1"/>
  <c r="AJ2062" i="1" s="1"/>
  <c r="AI557" i="1"/>
  <c r="AJ557" i="1" s="1"/>
  <c r="AI1739" i="1"/>
  <c r="AJ1739" i="1" s="1"/>
  <c r="AI338" i="1"/>
  <c r="AJ338" i="1" s="1"/>
  <c r="AI1572" i="1"/>
  <c r="AJ1572" i="1" s="1"/>
  <c r="AI163" i="1"/>
  <c r="AJ163" i="1" s="1"/>
  <c r="AI240" i="1"/>
  <c r="AJ240" i="1" s="1"/>
  <c r="AI1263" i="1"/>
  <c r="AJ1263" i="1" s="1"/>
  <c r="AI805" i="1"/>
  <c r="AJ805" i="1" s="1"/>
  <c r="AI1144" i="1"/>
  <c r="AJ1144" i="1" s="1"/>
  <c r="AI1476" i="1"/>
  <c r="AJ1476" i="1" s="1"/>
  <c r="AI693" i="1"/>
  <c r="AJ693" i="1" s="1"/>
  <c r="AI308" i="1"/>
  <c r="AJ308" i="1" s="1"/>
  <c r="AI1565" i="1"/>
  <c r="AJ1565" i="1" s="1"/>
  <c r="AI1048" i="1"/>
  <c r="AJ1048" i="1" s="1"/>
  <c r="AI1181" i="1"/>
  <c r="AJ1181" i="1" s="1"/>
  <c r="AI803" i="1"/>
  <c r="AJ803" i="1" s="1"/>
  <c r="AI1523" i="1"/>
  <c r="AJ1523" i="1" s="1"/>
  <c r="AI16" i="1"/>
  <c r="AJ16" i="1" s="1"/>
  <c r="AI878" i="1"/>
  <c r="AJ878" i="1" s="1"/>
  <c r="AI1752" i="1"/>
  <c r="AJ1752" i="1" s="1"/>
  <c r="AI1288" i="1"/>
  <c r="AJ1288" i="1" s="1"/>
  <c r="AI1452" i="1"/>
  <c r="AJ1452" i="1" s="1"/>
  <c r="AI612" i="1"/>
  <c r="AJ612" i="1" s="1"/>
  <c r="AI852" i="1"/>
  <c r="AJ852" i="1" s="1"/>
  <c r="AI280" i="1"/>
  <c r="AJ280" i="1" s="1"/>
  <c r="AI107" i="1"/>
  <c r="AJ107" i="1" s="1"/>
  <c r="AI1774" i="1"/>
  <c r="AJ1774" i="1" s="1"/>
  <c r="AI195" i="1"/>
  <c r="AJ195" i="1" s="1"/>
  <c r="AI1887" i="1"/>
  <c r="AJ1887" i="1" s="1"/>
  <c r="AI1145" i="1"/>
  <c r="AJ1145" i="1" s="1"/>
  <c r="AI1605" i="1"/>
  <c r="AJ1605" i="1" s="1"/>
  <c r="AI549" i="1"/>
  <c r="AJ549" i="1" s="1"/>
  <c r="AI7" i="1"/>
  <c r="AJ7" i="1" s="1"/>
  <c r="AI1136" i="1"/>
  <c r="AJ1136" i="1" s="1"/>
  <c r="AI990" i="1"/>
  <c r="AJ990" i="1" s="1"/>
  <c r="AI1212" i="1"/>
  <c r="AJ1212" i="1" s="1"/>
  <c r="AI142" i="1"/>
  <c r="AJ142" i="1" s="1"/>
  <c r="AI783" i="1"/>
  <c r="AJ783" i="1" s="1"/>
  <c r="AI408" i="1"/>
  <c r="AJ408" i="1" s="1"/>
  <c r="AI913" i="1"/>
  <c r="AJ913" i="1" s="1"/>
  <c r="AI1342" i="1"/>
  <c r="AJ1342" i="1" s="1"/>
  <c r="AI1805" i="1"/>
  <c r="AJ1805" i="1" s="1"/>
  <c r="AI881" i="1"/>
  <c r="AJ881" i="1" s="1"/>
  <c r="AI948" i="1"/>
  <c r="AJ948" i="1" s="1"/>
  <c r="AI1337" i="1"/>
  <c r="AJ1337" i="1" s="1"/>
  <c r="AI210" i="1"/>
  <c r="AJ210" i="1" s="1"/>
  <c r="AI395" i="1"/>
  <c r="AJ395" i="1" s="1"/>
  <c r="AI1998" i="1"/>
  <c r="AJ1998" i="1" s="1"/>
  <c r="AI337" i="1"/>
  <c r="AJ337" i="1" s="1"/>
  <c r="AI1137" i="1"/>
  <c r="AJ1137" i="1" s="1"/>
  <c r="AI1751" i="1"/>
  <c r="AJ1751" i="1" s="1"/>
  <c r="AI2055" i="1"/>
  <c r="AJ2055" i="1" s="1"/>
  <c r="AI1586" i="1"/>
  <c r="AJ1586" i="1" s="1"/>
  <c r="AI766" i="1"/>
  <c r="AJ766" i="1" s="1"/>
  <c r="AI885" i="1"/>
  <c r="AJ885" i="1" s="1"/>
  <c r="AI793" i="1"/>
  <c r="AJ793" i="1" s="1"/>
  <c r="AI1790" i="1"/>
  <c r="AJ1790" i="1" s="1"/>
  <c r="AI956" i="1"/>
  <c r="AJ956" i="1" s="1"/>
  <c r="AI811" i="1"/>
  <c r="AJ811" i="1" s="1"/>
  <c r="AI1462" i="1"/>
  <c r="AJ1462" i="1" s="1"/>
  <c r="AI797" i="1"/>
  <c r="AJ797" i="1" s="1"/>
  <c r="AI401" i="1"/>
  <c r="AJ401" i="1" s="1"/>
  <c r="AI1275" i="1"/>
  <c r="AJ1275" i="1" s="1"/>
  <c r="AI417" i="1"/>
  <c r="AJ417" i="1" s="1"/>
  <c r="AI1546" i="1"/>
  <c r="AJ1546" i="1" s="1"/>
  <c r="AI1508" i="1"/>
  <c r="AJ1508" i="1" s="1"/>
  <c r="AI484" i="1"/>
  <c r="AJ484" i="1" s="1"/>
  <c r="AI487" i="1"/>
  <c r="AJ487" i="1" s="1"/>
  <c r="AI986" i="1"/>
  <c r="AJ986" i="1" s="1"/>
  <c r="AI1434" i="1"/>
  <c r="AJ1434" i="1" s="1"/>
  <c r="AI1594" i="1"/>
  <c r="AJ1594" i="1" s="1"/>
  <c r="AI1437" i="1"/>
  <c r="AJ1437" i="1" s="1"/>
  <c r="AI1003" i="1"/>
  <c r="AJ1003" i="1" s="1"/>
  <c r="AI846" i="1"/>
  <c r="AJ846" i="1" s="1"/>
  <c r="AI640" i="1"/>
  <c r="AJ640" i="1" s="1"/>
  <c r="AI1520" i="1"/>
  <c r="AJ1520" i="1" s="1"/>
  <c r="AI1077" i="1"/>
  <c r="AJ1077" i="1" s="1"/>
  <c r="AI698" i="1"/>
  <c r="AJ698" i="1" s="1"/>
  <c r="AI1758" i="1"/>
  <c r="AJ1758" i="1" s="1"/>
  <c r="AI1496" i="1"/>
  <c r="AJ1496" i="1" s="1"/>
  <c r="AI361" i="1"/>
  <c r="AJ361" i="1" s="1"/>
  <c r="AI1248" i="1"/>
  <c r="AJ1248" i="1" s="1"/>
  <c r="AI1295" i="1"/>
  <c r="AJ1295" i="1" s="1"/>
  <c r="AI1553" i="1"/>
  <c r="AJ1553" i="1" s="1"/>
  <c r="AI286" i="1"/>
  <c r="AJ286" i="1" s="1"/>
  <c r="AI109" i="1"/>
  <c r="AJ109" i="1" s="1"/>
  <c r="AI271" i="1"/>
  <c r="AJ271" i="1" s="1"/>
  <c r="AI1497" i="1"/>
  <c r="AJ1497" i="1" s="1"/>
  <c r="AI1832" i="1"/>
  <c r="AJ1832" i="1" s="1"/>
  <c r="AI111" i="1"/>
  <c r="AJ111" i="1" s="1"/>
  <c r="AI1968" i="1"/>
  <c r="AJ1968" i="1" s="1"/>
  <c r="AI1743" i="1"/>
  <c r="AJ1743" i="1" s="1"/>
  <c r="AI1364" i="1"/>
  <c r="AJ1364" i="1" s="1"/>
  <c r="AI1513" i="1"/>
  <c r="AJ1513" i="1" s="1"/>
  <c r="AI1223" i="1"/>
  <c r="AJ1223" i="1" s="1"/>
  <c r="AI1687" i="1"/>
  <c r="AJ1687" i="1" s="1"/>
  <c r="AI646" i="1"/>
  <c r="AJ646" i="1" s="1"/>
  <c r="AI1115" i="1"/>
  <c r="AJ1115" i="1" s="1"/>
  <c r="AI753" i="1"/>
  <c r="AJ753" i="1" s="1"/>
  <c r="AI877" i="1"/>
  <c r="AJ877" i="1" s="1"/>
  <c r="AI457" i="1"/>
  <c r="AJ457" i="1" s="1"/>
  <c r="AI99" i="1"/>
  <c r="AJ99" i="1" s="1"/>
  <c r="AI172" i="1"/>
  <c r="AJ172" i="1" s="1"/>
  <c r="AI1214" i="1"/>
  <c r="AJ1214" i="1" s="1"/>
  <c r="AI1050" i="1"/>
  <c r="AJ1050" i="1" s="1"/>
  <c r="AI1846" i="1"/>
  <c r="AJ1846" i="1" s="1"/>
  <c r="AI730" i="1"/>
  <c r="AJ730" i="1" s="1"/>
  <c r="AI840" i="1"/>
  <c r="AJ840" i="1" s="1"/>
  <c r="AI1949" i="1"/>
  <c r="AJ1949" i="1" s="1"/>
  <c r="AI392" i="1"/>
  <c r="AJ392" i="1" s="1"/>
  <c r="AI1996" i="1"/>
  <c r="AJ1996" i="1" s="1"/>
  <c r="AI509" i="1"/>
  <c r="AJ509" i="1" s="1"/>
  <c r="AI2060" i="1"/>
  <c r="AJ2060" i="1" s="1"/>
  <c r="AI483" i="1"/>
  <c r="AJ483" i="1" s="1"/>
  <c r="AI958" i="1"/>
  <c r="AJ958" i="1" s="1"/>
  <c r="AI50" i="1"/>
  <c r="AJ50" i="1" s="1"/>
  <c r="AI1204" i="1"/>
  <c r="AJ1204" i="1" s="1"/>
  <c r="AI490" i="1"/>
  <c r="AJ490" i="1" s="1"/>
  <c r="AI1509" i="1"/>
  <c r="AJ1509" i="1" s="1"/>
  <c r="AI1707" i="1"/>
  <c r="AJ1707" i="1" s="1"/>
  <c r="AI540" i="1"/>
  <c r="AJ540" i="1" s="1"/>
  <c r="AI528" i="1"/>
  <c r="AJ528" i="1" s="1"/>
  <c r="AI628" i="1"/>
  <c r="AJ628" i="1" s="1"/>
  <c r="AI371" i="1"/>
  <c r="AJ371" i="1" s="1"/>
  <c r="AI2091" i="1"/>
  <c r="AJ2091" i="1" s="1"/>
  <c r="AI306" i="1"/>
  <c r="AJ306" i="1" s="1"/>
  <c r="AI343" i="1"/>
  <c r="AJ343" i="1" s="1"/>
  <c r="AI1861" i="1"/>
  <c r="AJ1861" i="1" s="1"/>
  <c r="AI433" i="1"/>
  <c r="AJ433" i="1" s="1"/>
  <c r="AI1973" i="1"/>
  <c r="AJ1973" i="1" s="1"/>
  <c r="AI1019" i="1"/>
  <c r="AJ1019" i="1" s="1"/>
  <c r="AI1506" i="1"/>
  <c r="AJ1506" i="1" s="1"/>
  <c r="AI1363" i="1"/>
  <c r="AJ1363" i="1" s="1"/>
  <c r="AI471" i="1"/>
  <c r="AJ471" i="1" s="1"/>
  <c r="AI440" i="1"/>
  <c r="AJ440" i="1" s="1"/>
  <c r="AI1821" i="1"/>
  <c r="AJ1821" i="1" s="1"/>
  <c r="AI359" i="1"/>
  <c r="AJ359" i="1" s="1"/>
  <c r="AI492" i="1"/>
  <c r="AJ492" i="1" s="1"/>
  <c r="AI1366" i="1"/>
  <c r="AJ1366" i="1" s="1"/>
  <c r="AI8" i="1"/>
  <c r="AJ8" i="1" s="1"/>
  <c r="AI953" i="1"/>
  <c r="AJ953" i="1" s="1"/>
  <c r="AI529" i="1"/>
  <c r="AJ529" i="1" s="1"/>
  <c r="AI198" i="1"/>
  <c r="AJ198" i="1" s="1"/>
  <c r="AI812" i="1"/>
  <c r="AJ812" i="1" s="1"/>
  <c r="AI2043" i="1"/>
  <c r="AJ2043" i="1" s="1"/>
  <c r="AI1179" i="1"/>
  <c r="AJ1179" i="1" s="1"/>
  <c r="AI873" i="1"/>
  <c r="AJ873" i="1" s="1"/>
  <c r="AI566" i="1"/>
  <c r="AJ566" i="1" s="1"/>
  <c r="AI1854" i="1"/>
  <c r="AJ1854" i="1" s="1"/>
  <c r="AI1500" i="1"/>
  <c r="AJ1500" i="1" s="1"/>
  <c r="AI941" i="1"/>
  <c r="AJ941" i="1" s="1"/>
  <c r="AI117" i="1"/>
  <c r="AJ117" i="1" s="1"/>
  <c r="AI592" i="1"/>
  <c r="AJ592" i="1" s="1"/>
  <c r="AI1788" i="1"/>
  <c r="AJ1788" i="1" s="1"/>
  <c r="AI737" i="1"/>
  <c r="AJ737" i="1" s="1"/>
  <c r="AI963" i="1"/>
  <c r="AJ963" i="1" s="1"/>
  <c r="AI1110" i="1"/>
  <c r="AJ1110" i="1" s="1"/>
  <c r="AI332" i="1"/>
  <c r="AJ332" i="1" s="1"/>
  <c r="AI477" i="1"/>
  <c r="AJ477" i="1" s="1"/>
  <c r="AI2061" i="1"/>
  <c r="AJ2061" i="1" s="1"/>
  <c r="AI375" i="1"/>
  <c r="AJ375" i="1" s="1"/>
  <c r="AI347" i="1"/>
  <c r="AJ347" i="1" s="1"/>
  <c r="AI917" i="1"/>
  <c r="AJ917" i="1" s="1"/>
  <c r="AI1122" i="1"/>
  <c r="AJ1122" i="1" s="1"/>
  <c r="AI1993" i="1"/>
  <c r="AJ1993" i="1" s="1"/>
  <c r="AI1493" i="1"/>
  <c r="AJ1493" i="1" s="1"/>
  <c r="AI1575" i="1"/>
  <c r="AJ1575" i="1" s="1"/>
  <c r="AI623" i="1"/>
  <c r="AJ623" i="1" s="1"/>
  <c r="AI451" i="1"/>
  <c r="AJ451" i="1" s="1"/>
  <c r="AI1398" i="1"/>
  <c r="AJ1398" i="1" s="1"/>
  <c r="AI1975" i="1"/>
  <c r="AJ1975" i="1" s="1"/>
  <c r="AI978" i="1"/>
  <c r="AJ978" i="1" s="1"/>
  <c r="AI1670" i="1"/>
  <c r="AJ1670" i="1" s="1"/>
  <c r="AI1234" i="1"/>
  <c r="AJ1234" i="1" s="1"/>
  <c r="AI835" i="1"/>
  <c r="AJ835" i="1" s="1"/>
  <c r="AI1443" i="1"/>
  <c r="AJ1443" i="1" s="1"/>
  <c r="AI5" i="1"/>
  <c r="AJ5" i="1" s="1"/>
  <c r="AI1557" i="1"/>
  <c r="AJ1557" i="1" s="1"/>
  <c r="AI1399" i="1"/>
  <c r="AJ1399" i="1" s="1"/>
  <c r="AI508" i="1"/>
  <c r="AJ508" i="1" s="1"/>
  <c r="AI714" i="1"/>
  <c r="AJ714" i="1" s="1"/>
  <c r="AI178" i="1"/>
  <c r="AJ178" i="1" s="1"/>
  <c r="AI1455" i="1"/>
  <c r="AJ1455" i="1" s="1"/>
  <c r="AI2063" i="1"/>
  <c r="AJ2063" i="1" s="1"/>
  <c r="AI1353" i="1"/>
  <c r="AJ1353" i="1" s="1"/>
  <c r="AI1460" i="1"/>
  <c r="AJ1460" i="1" s="1"/>
  <c r="AI193" i="1"/>
  <c r="AJ193" i="1" s="1"/>
  <c r="AI1626" i="1"/>
  <c r="AJ1626" i="1" s="1"/>
  <c r="AI1140" i="1"/>
  <c r="AJ1140" i="1" s="1"/>
  <c r="AI1242" i="1"/>
  <c r="AJ1242" i="1" s="1"/>
  <c r="AI1164" i="1"/>
  <c r="AJ1164" i="1" s="1"/>
  <c r="AI1817" i="1"/>
  <c r="AJ1817" i="1" s="1"/>
  <c r="AI428" i="1"/>
  <c r="AJ428" i="1" s="1"/>
  <c r="AI1258" i="1"/>
  <c r="AJ1258" i="1" s="1"/>
  <c r="AI1629" i="1"/>
  <c r="AJ1629" i="1" s="1"/>
  <c r="AI1061" i="1"/>
  <c r="AJ1061" i="1" s="1"/>
  <c r="AI360" i="1"/>
  <c r="AJ360" i="1" s="1"/>
  <c r="AI194" i="1"/>
  <c r="AJ194" i="1" s="1"/>
  <c r="AI1439" i="1"/>
  <c r="AJ1439" i="1" s="1"/>
  <c r="AI533" i="1"/>
  <c r="AJ533" i="1" s="1"/>
  <c r="AI100" i="1"/>
  <c r="AJ100" i="1" s="1"/>
  <c r="AI1286" i="1"/>
  <c r="AJ1286" i="1" s="1"/>
  <c r="AI1360" i="1"/>
  <c r="AJ1360" i="1" s="1"/>
  <c r="AI447" i="1"/>
  <c r="AJ447" i="1" s="1"/>
  <c r="AI1198" i="1"/>
  <c r="AJ1198" i="1" s="1"/>
  <c r="AI1485" i="1"/>
  <c r="AJ1485" i="1" s="1"/>
  <c r="AI1146" i="1"/>
  <c r="AJ1146" i="1" s="1"/>
  <c r="AI1668" i="1"/>
  <c r="AJ1668" i="1" s="1"/>
  <c r="AI1896" i="1"/>
  <c r="AJ1896" i="1" s="1"/>
  <c r="AI550" i="1"/>
  <c r="AJ550" i="1" s="1"/>
  <c r="AI1033" i="1"/>
  <c r="AJ1033" i="1" s="1"/>
  <c r="AI1684" i="1"/>
  <c r="AJ1684" i="1" s="1"/>
  <c r="AI520" i="1"/>
  <c r="AJ520" i="1" s="1"/>
  <c r="AI248" i="1"/>
  <c r="AJ248" i="1" s="1"/>
  <c r="AI875" i="1"/>
  <c r="AJ875" i="1" s="1"/>
  <c r="AI1102" i="1"/>
  <c r="AJ1102" i="1" s="1"/>
  <c r="AI1251" i="1"/>
  <c r="AJ1251" i="1" s="1"/>
  <c r="AI954" i="1"/>
  <c r="AJ954" i="1" s="1"/>
  <c r="AI374" i="1"/>
  <c r="AJ374" i="1" s="1"/>
  <c r="AI521" i="1"/>
  <c r="AJ521" i="1" s="1"/>
  <c r="AI1561" i="1"/>
  <c r="AJ1561" i="1" s="1"/>
  <c r="AI1142" i="1"/>
  <c r="AJ1142" i="1" s="1"/>
  <c r="AI1309" i="1"/>
  <c r="AJ1309" i="1" s="1"/>
  <c r="AI1350" i="1"/>
  <c r="AJ1350" i="1" s="1"/>
  <c r="AI669" i="1"/>
  <c r="AJ669" i="1" s="1"/>
  <c r="AI600" i="1"/>
  <c r="AJ600" i="1" s="1"/>
  <c r="AI568" i="1"/>
  <c r="AJ568" i="1" s="1"/>
  <c r="AI27" i="1"/>
  <c r="AJ27" i="1" s="1"/>
  <c r="AI301" i="1"/>
  <c r="AJ301" i="1" s="1"/>
  <c r="AI1393" i="1"/>
  <c r="AJ1393" i="1" s="1"/>
  <c r="AI331" i="1"/>
  <c r="AJ331" i="1" s="1"/>
  <c r="AI619" i="1"/>
  <c r="AJ619" i="1" s="1"/>
  <c r="AI1405" i="1"/>
  <c r="AJ1405" i="1" s="1"/>
  <c r="AI473" i="1"/>
  <c r="AJ473" i="1" s="1"/>
  <c r="AI2016" i="1"/>
  <c r="AJ2016" i="1" s="1"/>
  <c r="AI207" i="1"/>
  <c r="AJ207" i="1" s="1"/>
  <c r="AI1988" i="1"/>
  <c r="AJ1988" i="1" s="1"/>
  <c r="AI2090" i="1"/>
  <c r="AJ2090" i="1" s="1"/>
  <c r="AI2010" i="1"/>
  <c r="AJ2010" i="1" s="1"/>
  <c r="AI345" i="1"/>
  <c r="AJ345" i="1" s="1"/>
  <c r="AI2079" i="1"/>
  <c r="AJ2079" i="1" s="1"/>
  <c r="AI830" i="1"/>
  <c r="AJ830" i="1" s="1"/>
  <c r="AI1293" i="1"/>
  <c r="AJ1293" i="1" s="1"/>
  <c r="AI937" i="1"/>
  <c r="AJ937" i="1" s="1"/>
  <c r="AI159" i="1"/>
  <c r="AJ159" i="1" s="1"/>
  <c r="AI2108" i="1"/>
  <c r="AJ2108" i="1" s="1"/>
  <c r="AI613" i="1"/>
  <c r="AJ613" i="1" s="1"/>
  <c r="AI410" i="1"/>
  <c r="AJ410" i="1" s="1"/>
  <c r="AI1108" i="1"/>
  <c r="AJ1108" i="1" s="1"/>
  <c r="AI254" i="1"/>
  <c r="AJ254" i="1" s="1"/>
  <c r="AI1235" i="1"/>
  <c r="AJ1235" i="1" s="1"/>
  <c r="AI1229" i="1"/>
  <c r="AJ1229" i="1" s="1"/>
  <c r="AI900" i="1"/>
  <c r="AJ900" i="1" s="1"/>
  <c r="AI1232" i="1"/>
  <c r="AJ1232" i="1" s="1"/>
  <c r="AI51" i="1"/>
  <c r="AJ51" i="1" s="1"/>
  <c r="AI1395" i="1"/>
  <c r="AJ1395" i="1" s="1"/>
  <c r="AI1679" i="1"/>
  <c r="AJ1679" i="1" s="1"/>
  <c r="AI192" i="1"/>
  <c r="AJ192" i="1" s="1"/>
  <c r="AI634" i="1"/>
  <c r="AJ634" i="1" s="1"/>
  <c r="AI1947" i="1"/>
  <c r="AJ1947" i="1" s="1"/>
  <c r="AI2035" i="1"/>
  <c r="AJ2035" i="1" s="1"/>
  <c r="AI1780" i="1"/>
  <c r="AJ1780" i="1" s="1"/>
  <c r="AI1886" i="1"/>
  <c r="AJ1886" i="1" s="1"/>
  <c r="AI2089" i="1"/>
  <c r="AJ2089" i="1" s="1"/>
  <c r="AI1723" i="1"/>
  <c r="AJ1723" i="1" s="1"/>
  <c r="AI505" i="1"/>
  <c r="AJ505" i="1" s="1"/>
  <c r="AI789" i="1"/>
  <c r="AJ789" i="1" s="1"/>
  <c r="AI1527" i="1"/>
  <c r="AJ1527" i="1" s="1"/>
  <c r="AI1119" i="1"/>
  <c r="AJ1119" i="1" s="1"/>
  <c r="AI738" i="1"/>
  <c r="AJ738" i="1" s="1"/>
  <c r="AI1735" i="1"/>
  <c r="AJ1735" i="1" s="1"/>
  <c r="AI396" i="1"/>
  <c r="AJ396" i="1" s="1"/>
  <c r="AI1154" i="1"/>
  <c r="AJ1154" i="1" s="1"/>
  <c r="AI874" i="1"/>
  <c r="AJ874" i="1" s="1"/>
  <c r="AI344" i="1"/>
  <c r="AJ344" i="1" s="1"/>
  <c r="AI1702" i="1"/>
  <c r="AJ1702" i="1" s="1"/>
  <c r="AI119" i="1"/>
  <c r="AJ119" i="1" s="1"/>
  <c r="AI564" i="1"/>
  <c r="AJ564" i="1" s="1"/>
  <c r="AI1666" i="1"/>
  <c r="AJ1666" i="1" s="1"/>
  <c r="AI1728" i="1"/>
  <c r="AJ1728" i="1" s="1"/>
  <c r="AI1357" i="1"/>
  <c r="AJ1357" i="1" s="1"/>
  <c r="AI999" i="1"/>
  <c r="AJ999" i="1" s="1"/>
  <c r="AI1187" i="1"/>
  <c r="AJ1187" i="1" s="1"/>
  <c r="AI1736" i="1"/>
  <c r="AJ1736" i="1" s="1"/>
  <c r="AI1020" i="1"/>
  <c r="AJ1020" i="1" s="1"/>
  <c r="AI1852" i="1"/>
  <c r="AJ1852" i="1" s="1"/>
  <c r="AI1049" i="1"/>
  <c r="AJ1049" i="1" s="1"/>
  <c r="AI871" i="1"/>
  <c r="AJ871" i="1" s="1"/>
  <c r="AI493" i="1"/>
  <c r="AJ493" i="1" s="1"/>
  <c r="AI1902" i="1"/>
  <c r="AJ1902" i="1" s="1"/>
  <c r="AI1348" i="1"/>
  <c r="AJ1348" i="1" s="1"/>
  <c r="AI420" i="1"/>
  <c r="AJ420" i="1" s="1"/>
  <c r="AI2040" i="1"/>
  <c r="AJ2040" i="1" s="1"/>
  <c r="AI283" i="1"/>
  <c r="AJ283" i="1" s="1"/>
  <c r="AI798" i="1"/>
  <c r="AJ798" i="1" s="1"/>
  <c r="AI1563" i="1"/>
  <c r="AJ1563" i="1" s="1"/>
  <c r="AI1511" i="1"/>
  <c r="AJ1511" i="1" s="1"/>
  <c r="AI755" i="1"/>
  <c r="AJ755" i="1" s="1"/>
  <c r="AI2032" i="1"/>
  <c r="AJ2032" i="1" s="1"/>
  <c r="AI72" i="1"/>
  <c r="AJ72" i="1" s="1"/>
  <c r="AI1663" i="1"/>
  <c r="AJ1663" i="1" s="1"/>
  <c r="AI676" i="1"/>
  <c r="AJ676" i="1" s="1"/>
  <c r="AI171" i="1"/>
  <c r="AJ171" i="1" s="1"/>
  <c r="AI558" i="1"/>
  <c r="AJ558" i="1" s="1"/>
  <c r="AI1724" i="1"/>
  <c r="AJ1724" i="1" s="1"/>
  <c r="AI674" i="1"/>
  <c r="AJ674" i="1" s="1"/>
  <c r="AI1341" i="1"/>
  <c r="AJ1341" i="1" s="1"/>
  <c r="AI1492" i="1"/>
  <c r="AJ1492" i="1" s="1"/>
  <c r="AI1282" i="1"/>
  <c r="AJ1282" i="1" s="1"/>
  <c r="AI1361" i="1"/>
  <c r="AJ1361" i="1" s="1"/>
  <c r="AI1518" i="1"/>
  <c r="AJ1518" i="1" s="1"/>
  <c r="AI1967" i="1"/>
  <c r="AJ1967" i="1" s="1"/>
  <c r="AI654" i="1"/>
  <c r="AJ654" i="1" s="1"/>
  <c r="AI1759" i="1"/>
  <c r="AJ1759" i="1" s="1"/>
  <c r="AI1098" i="1"/>
  <c r="AJ1098" i="1" s="1"/>
  <c r="AI610" i="1"/>
  <c r="AJ610" i="1" s="1"/>
  <c r="AI1600" i="1"/>
  <c r="AJ1600" i="1" s="1"/>
  <c r="AI1055" i="1"/>
  <c r="AJ1055" i="1" s="1"/>
  <c r="AI1530" i="1"/>
  <c r="AJ1530" i="1" s="1"/>
  <c r="AI1377" i="1"/>
  <c r="AJ1377" i="1" s="1"/>
  <c r="AI1433" i="1"/>
  <c r="AJ1433" i="1" s="1"/>
  <c r="AI724" i="1"/>
  <c r="AJ724" i="1" s="1"/>
  <c r="AI1254" i="1"/>
  <c r="AJ1254" i="1" s="1"/>
  <c r="AI1785" i="1"/>
  <c r="AJ1785" i="1" s="1"/>
  <c r="AI1215" i="1"/>
  <c r="AJ1215" i="1" s="1"/>
  <c r="AI2006" i="1"/>
  <c r="AJ2006" i="1" s="1"/>
  <c r="AI1257" i="1"/>
  <c r="AJ1257" i="1" s="1"/>
  <c r="AI656" i="1"/>
  <c r="AJ656" i="1" s="1"/>
  <c r="AI681" i="1"/>
  <c r="AJ681" i="1" s="1"/>
  <c r="AI851" i="1"/>
  <c r="AJ851" i="1" s="1"/>
  <c r="AI825" i="1"/>
  <c r="AJ825" i="1" s="1"/>
  <c r="AI662" i="1"/>
  <c r="AJ662" i="1" s="1"/>
  <c r="AI1202" i="1"/>
  <c r="AJ1202" i="1" s="1"/>
  <c r="AI1261" i="1"/>
  <c r="AJ1261" i="1" s="1"/>
  <c r="AI1650" i="1"/>
  <c r="AJ1650" i="1" s="1"/>
  <c r="AI813" i="1"/>
  <c r="AJ813" i="1" s="1"/>
  <c r="AI2066" i="1"/>
  <c r="AJ2066" i="1" s="1"/>
  <c r="AI1314" i="1"/>
  <c r="AJ1314" i="1" s="1"/>
  <c r="AI479" i="1"/>
  <c r="AJ479" i="1" s="1"/>
  <c r="AI834" i="1"/>
  <c r="AJ834" i="1" s="1"/>
  <c r="AI362" i="1"/>
  <c r="AJ362" i="1" s="1"/>
  <c r="AI297" i="1"/>
  <c r="AJ297" i="1" s="1"/>
  <c r="AI659" i="1"/>
  <c r="AJ659" i="1" s="1"/>
  <c r="AI1299" i="1"/>
  <c r="AJ1299" i="1" s="1"/>
  <c r="AI1972" i="1"/>
  <c r="AJ1972" i="1" s="1"/>
  <c r="AI1498" i="1"/>
  <c r="AJ1498" i="1" s="1"/>
  <c r="AI1583" i="1"/>
  <c r="AJ1583" i="1" s="1"/>
  <c r="AI801" i="1"/>
  <c r="AJ801" i="1" s="1"/>
  <c r="AI935" i="1"/>
  <c r="AJ935" i="1" s="1"/>
  <c r="AI1537" i="1"/>
  <c r="AJ1537" i="1" s="1"/>
  <c r="AI1782" i="1"/>
  <c r="AJ1782" i="1" s="1"/>
  <c r="AI2119" i="1"/>
  <c r="AJ2119" i="1" s="1"/>
  <c r="AI1441" i="1"/>
  <c r="AJ1441" i="1" s="1"/>
  <c r="AI1281" i="1"/>
  <c r="AJ1281" i="1" s="1"/>
  <c r="AI123" i="1"/>
  <c r="AJ123" i="1" s="1"/>
  <c r="AI1432" i="1"/>
  <c r="AJ1432" i="1" s="1"/>
  <c r="AI1592" i="1"/>
  <c r="AJ1592" i="1" s="1"/>
  <c r="AI743" i="1"/>
  <c r="AJ743" i="1" s="1"/>
  <c r="AI1542" i="1"/>
  <c r="AJ1542" i="1" s="1"/>
  <c r="AI416" i="1"/>
  <c r="AJ416" i="1" s="1"/>
  <c r="AI969" i="1"/>
  <c r="AJ969" i="1" s="1"/>
  <c r="AI817" i="1"/>
  <c r="AJ817" i="1" s="1"/>
  <c r="AI950" i="1"/>
  <c r="AJ950" i="1" s="1"/>
  <c r="AI1274" i="1"/>
  <c r="AJ1274" i="1" s="1"/>
  <c r="AI1731" i="1"/>
  <c r="AJ1731" i="1" s="1"/>
  <c r="AI664" i="1"/>
  <c r="AJ664" i="1" s="1"/>
  <c r="AI894" i="1"/>
  <c r="AJ894" i="1" s="1"/>
  <c r="AI290" i="1"/>
  <c r="AJ290" i="1" s="1"/>
  <c r="AI372" i="1"/>
  <c r="AJ372" i="1" s="1"/>
  <c r="AI1869" i="1"/>
  <c r="AJ1869" i="1" s="1"/>
  <c r="AI182" i="1"/>
  <c r="AJ182" i="1" s="1"/>
  <c r="AI1642" i="1"/>
  <c r="AJ1642" i="1" s="1"/>
  <c r="AI1979" i="1"/>
  <c r="AJ1979" i="1" s="1"/>
  <c r="AI1015" i="1"/>
  <c r="AJ1015" i="1" s="1"/>
  <c r="AI1495" i="1"/>
  <c r="AJ1495" i="1" s="1"/>
  <c r="AI855" i="1"/>
  <c r="AJ855" i="1" s="1"/>
  <c r="AI745" i="1"/>
  <c r="AJ745" i="1" s="1"/>
  <c r="AI1706" i="1"/>
  <c r="AJ1706" i="1" s="1"/>
  <c r="AI1853" i="1"/>
  <c r="AJ1853" i="1" s="1"/>
  <c r="AI821" i="1"/>
  <c r="AJ821" i="1" s="1"/>
  <c r="AI424" i="1"/>
  <c r="AJ424" i="1" s="1"/>
  <c r="AI12" i="1"/>
  <c r="AJ12" i="1" s="1"/>
  <c r="AI626" i="1"/>
  <c r="AJ626" i="1" s="1"/>
  <c r="AI1473" i="1"/>
  <c r="AJ1473" i="1" s="1"/>
  <c r="AI939" i="1"/>
  <c r="AJ939" i="1" s="1"/>
  <c r="AI1849" i="1"/>
  <c r="AJ1849" i="1" s="1"/>
  <c r="AI1907" i="1"/>
  <c r="AJ1907" i="1" s="1"/>
  <c r="AI1924" i="1"/>
  <c r="AJ1924" i="1" s="1"/>
  <c r="AI583" i="1"/>
  <c r="AJ583" i="1" s="1"/>
  <c r="AI262" i="1"/>
  <c r="AJ262" i="1" s="1"/>
  <c r="AI1819" i="1"/>
  <c r="AJ1819" i="1" s="1"/>
  <c r="AI787" i="1"/>
  <c r="AJ787" i="1" s="1"/>
  <c r="AI1923" i="1"/>
  <c r="AJ1923" i="1" s="1"/>
  <c r="AI2078" i="1"/>
  <c r="AJ2078" i="1" s="1"/>
  <c r="AI1835" i="1"/>
  <c r="AJ1835" i="1" s="1"/>
  <c r="AI106" i="1"/>
  <c r="AJ106" i="1" s="1"/>
  <c r="AI153" i="1"/>
  <c r="AJ153" i="1" s="1"/>
  <c r="AI75" i="1"/>
  <c r="AJ75" i="1" s="1"/>
  <c r="AI539" i="1"/>
  <c r="AJ539" i="1" s="1"/>
  <c r="AI534" i="1"/>
  <c r="AJ534" i="1" s="1"/>
  <c r="AI1165" i="1"/>
  <c r="AJ1165" i="1" s="1"/>
  <c r="AI870" i="1"/>
  <c r="AJ870" i="1" s="1"/>
  <c r="AI302" i="1"/>
  <c r="AJ302" i="1" s="1"/>
  <c r="AI1675" i="1"/>
  <c r="AJ1675" i="1" s="1"/>
  <c r="AI62" i="1"/>
  <c r="AJ62" i="1" s="1"/>
  <c r="AI1233" i="1"/>
  <c r="AJ1233" i="1" s="1"/>
  <c r="AI2096" i="1"/>
  <c r="AJ2096" i="1" s="1"/>
  <c r="AI108" i="1"/>
  <c r="AJ108" i="1" s="1"/>
  <c r="AI1936" i="1"/>
  <c r="AJ1936" i="1" s="1"/>
  <c r="AI791" i="1"/>
  <c r="AJ791" i="1" s="1"/>
  <c r="AI657" i="1"/>
  <c r="AJ657" i="1" s="1"/>
  <c r="AI744" i="1"/>
  <c r="AJ744" i="1" s="1"/>
  <c r="AI1139" i="1"/>
  <c r="AJ1139" i="1" s="1"/>
  <c r="AI373" i="1"/>
  <c r="AJ373" i="1" s="1"/>
  <c r="AI1243" i="1"/>
  <c r="AJ1243" i="1" s="1"/>
  <c r="AI444" i="1"/>
  <c r="AJ444" i="1" s="1"/>
  <c r="AI544" i="1"/>
  <c r="AJ544" i="1" s="1"/>
  <c r="AI1742" i="1"/>
  <c r="AJ1742" i="1" s="1"/>
  <c r="AI1035" i="1"/>
  <c r="AJ1035" i="1" s="1"/>
  <c r="AI169" i="1"/>
  <c r="AJ169" i="1" s="1"/>
  <c r="AI2099" i="1"/>
  <c r="AJ2099" i="1" s="1"/>
  <c r="AI38" i="1"/>
  <c r="AJ38" i="1" s="1"/>
  <c r="AI1579" i="1"/>
  <c r="AJ1579" i="1" s="1"/>
  <c r="AI1414" i="1"/>
  <c r="AJ1414" i="1" s="1"/>
  <c r="AI1425" i="1"/>
  <c r="AJ1425" i="1" s="1"/>
  <c r="AI899" i="1"/>
  <c r="AJ899" i="1" s="1"/>
  <c r="AI677" i="1"/>
  <c r="AJ677" i="1" s="1"/>
  <c r="AI298" i="1"/>
  <c r="AJ298" i="1" s="1"/>
  <c r="AI599" i="1"/>
  <c r="AJ599" i="1" s="1"/>
  <c r="AI1969" i="1"/>
  <c r="AJ1969" i="1" s="1"/>
  <c r="AI1241" i="1"/>
  <c r="AJ1241" i="1" s="1"/>
  <c r="AI1340" i="1"/>
  <c r="AJ1340" i="1" s="1"/>
  <c r="AI896" i="1"/>
  <c r="AJ896" i="1" s="1"/>
  <c r="AI427" i="1"/>
  <c r="AJ427" i="1" s="1"/>
  <c r="AI1121" i="1"/>
  <c r="AJ1121" i="1" s="1"/>
  <c r="AI696" i="1"/>
  <c r="AJ696" i="1" s="1"/>
  <c r="AI204" i="1"/>
  <c r="AJ204" i="1" s="1"/>
  <c r="AI31" i="1"/>
  <c r="AJ31" i="1" s="1"/>
  <c r="AI638" i="1"/>
  <c r="AJ638" i="1" s="1"/>
  <c r="AI947" i="1"/>
  <c r="AJ947" i="1" s="1"/>
  <c r="AI351" i="1"/>
  <c r="AJ351" i="1" s="1"/>
  <c r="AI515" i="1"/>
  <c r="AJ515" i="1" s="1"/>
  <c r="AI1941" i="1"/>
  <c r="AJ1941" i="1" s="1"/>
  <c r="AI1409" i="1"/>
  <c r="AJ1409" i="1" s="1"/>
  <c r="AI1748" i="1"/>
  <c r="AJ1748" i="1" s="1"/>
  <c r="AI1217" i="1"/>
  <c r="AJ1217" i="1" s="1"/>
  <c r="AI110" i="1"/>
  <c r="AJ110" i="1" s="1"/>
  <c r="AI1797" i="1"/>
  <c r="AJ1797" i="1" s="1"/>
  <c r="AI1382" i="1"/>
  <c r="AJ1382" i="1" s="1"/>
  <c r="AI1368" i="1"/>
  <c r="AJ1368" i="1" s="1"/>
  <c r="AI3" i="1"/>
  <c r="AJ3" i="1" s="1"/>
  <c r="AI1643" i="1"/>
  <c r="AJ1643" i="1" s="1"/>
  <c r="AI307" i="1"/>
  <c r="AJ307" i="1" s="1"/>
  <c r="AI1957" i="1"/>
  <c r="AJ1957" i="1" s="1"/>
  <c r="AI1316" i="1"/>
  <c r="AJ1316" i="1" s="1"/>
  <c r="AI734" i="1"/>
  <c r="AJ734" i="1" s="1"/>
  <c r="AI814" i="1"/>
  <c r="AJ814" i="1" s="1"/>
  <c r="AI1005" i="1"/>
  <c r="AJ1005" i="1" s="1"/>
  <c r="AI1634" i="1"/>
  <c r="AJ1634" i="1" s="1"/>
  <c r="AI1784" i="1"/>
  <c r="AJ1784" i="1" s="1"/>
  <c r="AI1673" i="1"/>
  <c r="AJ1673" i="1" s="1"/>
  <c r="AI1674" i="1"/>
  <c r="AJ1674" i="1" s="1"/>
  <c r="AI1602" i="1"/>
  <c r="AJ1602" i="1" s="1"/>
  <c r="AI1002" i="1"/>
  <c r="AJ1002" i="1" s="1"/>
  <c r="AI863" i="1"/>
  <c r="AJ863" i="1" s="1"/>
  <c r="AI916" i="1"/>
  <c r="AJ916" i="1" s="1"/>
  <c r="AI1074" i="1"/>
  <c r="AJ1074" i="1" s="1"/>
  <c r="AI145" i="1"/>
  <c r="AJ145" i="1" s="1"/>
  <c r="AI188" i="1"/>
  <c r="AJ188" i="1" s="1"/>
  <c r="AI253" i="1"/>
  <c r="AJ253" i="1" s="1"/>
  <c r="AI597" i="1"/>
  <c r="AJ597" i="1" s="1"/>
  <c r="AI335" i="1"/>
  <c r="AJ335" i="1" s="1"/>
  <c r="AI627" i="1"/>
  <c r="AJ627" i="1" s="1"/>
  <c r="AI687" i="1"/>
  <c r="AJ687" i="1" s="1"/>
  <c r="AI429" i="1"/>
  <c r="AJ429" i="1" s="1"/>
  <c r="AI826" i="1"/>
  <c r="AJ826" i="1" s="1"/>
  <c r="AI1809" i="1"/>
  <c r="AJ1809" i="1" s="1"/>
  <c r="AI32" i="1"/>
  <c r="AJ32" i="1" s="1"/>
  <c r="AI1623" i="1"/>
  <c r="AJ1623" i="1" s="1"/>
  <c r="AI581" i="1"/>
  <c r="AJ581" i="1" s="1"/>
  <c r="AI1771" i="1"/>
  <c r="AJ1771" i="1" s="1"/>
  <c r="AI736" i="1"/>
  <c r="AJ736" i="1" s="1"/>
  <c r="AI128" i="1"/>
  <c r="AJ128" i="1" s="1"/>
  <c r="AI133" i="1"/>
  <c r="AJ133" i="1" s="1"/>
  <c r="AI1554" i="1"/>
  <c r="AJ1554" i="1" s="1"/>
  <c r="AI1836" i="1"/>
  <c r="AJ1836" i="1" s="1"/>
  <c r="AI319" i="1"/>
  <c r="AJ319" i="1" s="1"/>
  <c r="AI4" i="1"/>
  <c r="AJ4" i="1" s="1"/>
  <c r="AI1811" i="1"/>
  <c r="AJ1811" i="1" s="1"/>
  <c r="AI1740" i="1"/>
  <c r="AJ1740" i="1" s="1"/>
  <c r="AI40" i="1"/>
  <c r="AJ40" i="1" s="1"/>
  <c r="AI570" i="1"/>
  <c r="AJ570" i="1" s="1"/>
  <c r="AI1135" i="1"/>
  <c r="AJ1135" i="1" s="1"/>
  <c r="AI928" i="1"/>
  <c r="AJ928" i="1" s="1"/>
  <c r="AI1899" i="1"/>
  <c r="AJ1899" i="1" s="1"/>
  <c r="AI264" i="1"/>
  <c r="AJ264" i="1" s="1"/>
  <c r="AI993" i="1"/>
  <c r="AJ993" i="1" s="1"/>
  <c r="AI1803" i="1"/>
  <c r="AJ1803" i="1" s="1"/>
  <c r="AI1011" i="1"/>
  <c r="AJ1011" i="1" s="1"/>
  <c r="AI502" i="1"/>
  <c r="AJ502" i="1" s="1"/>
  <c r="AI1302" i="1"/>
  <c r="AJ1302" i="1" s="1"/>
  <c r="AI707" i="1"/>
  <c r="AJ707" i="1" s="1"/>
  <c r="AI216" i="1"/>
  <c r="AJ216" i="1" s="1"/>
  <c r="AI1338" i="1"/>
  <c r="AJ1338" i="1" s="1"/>
  <c r="AI705" i="1"/>
  <c r="AJ705" i="1" s="1"/>
  <c r="AI1672" i="1"/>
  <c r="AJ1672" i="1" s="1"/>
  <c r="AI1044" i="1"/>
  <c r="AJ1044" i="1" s="1"/>
  <c r="AI1189" i="1"/>
  <c r="AJ1189" i="1" s="1"/>
  <c r="AI2115" i="1"/>
  <c r="AJ2115" i="1" s="1"/>
  <c r="AI850" i="1"/>
  <c r="AJ850" i="1" s="1"/>
  <c r="AI1833" i="1"/>
  <c r="AJ1833" i="1" s="1"/>
  <c r="AI1040" i="1"/>
  <c r="AJ1040" i="1" s="1"/>
  <c r="AI236" i="1"/>
  <c r="AJ236" i="1" s="1"/>
  <c r="AI1732" i="1"/>
  <c r="AJ1732" i="1" s="1"/>
  <c r="AI101" i="1"/>
  <c r="AJ101" i="1" s="1"/>
  <c r="AI889" i="1"/>
  <c r="AJ889" i="1" s="1"/>
  <c r="AI1820" i="1"/>
  <c r="AJ1820" i="1" s="1"/>
  <c r="AI1879" i="1"/>
  <c r="AJ1879" i="1" s="1"/>
  <c r="AI1313" i="1"/>
  <c r="AJ1313" i="1" s="1"/>
  <c r="AI1182" i="1"/>
  <c r="AJ1182" i="1" s="1"/>
  <c r="AI1325" i="1"/>
  <c r="AJ1325" i="1" s="1"/>
  <c r="AI1799" i="1"/>
  <c r="AJ1799" i="1" s="1"/>
  <c r="AI1528" i="1"/>
  <c r="AJ1528" i="1" s="1"/>
  <c r="AI1876" i="1"/>
  <c r="AJ1876" i="1" s="1"/>
  <c r="AI403" i="1"/>
  <c r="AJ403" i="1" s="1"/>
  <c r="AI1435" i="1"/>
  <c r="AJ1435" i="1" s="1"/>
  <c r="AI1438" i="1"/>
  <c r="AJ1438" i="1" s="1"/>
  <c r="AI432" i="1"/>
  <c r="AJ432" i="1" s="1"/>
  <c r="AI2004" i="1"/>
  <c r="AJ2004" i="1" s="1"/>
  <c r="AI689" i="1"/>
  <c r="AJ689" i="1" s="1"/>
  <c r="AI1378" i="1"/>
  <c r="AJ1378" i="1" s="1"/>
  <c r="AI2051" i="1"/>
  <c r="AJ2051" i="1" s="1"/>
  <c r="AI1939" i="1"/>
  <c r="AJ1939" i="1" s="1"/>
  <c r="AI2047" i="1"/>
  <c r="AJ2047" i="1" s="1"/>
  <c r="AI442" i="1"/>
  <c r="AJ442" i="1" s="1"/>
  <c r="AI1981" i="1"/>
  <c r="AJ1981" i="1" s="1"/>
  <c r="AI39" i="1"/>
  <c r="AJ39" i="1" s="1"/>
  <c r="AI728" i="1"/>
  <c r="AJ728" i="1" s="1"/>
  <c r="AI1090" i="1"/>
  <c r="AJ1090" i="1" s="1"/>
  <c r="AI462" i="1"/>
  <c r="AJ462" i="1" s="1"/>
  <c r="AI1915" i="1"/>
  <c r="AJ1915" i="1" s="1"/>
  <c r="AI92" i="1"/>
  <c r="AJ92" i="1" s="1"/>
  <c r="AI482" i="1"/>
  <c r="AJ482" i="1" s="1"/>
  <c r="AI712" i="1"/>
  <c r="AJ712" i="1" s="1"/>
  <c r="AI104" i="1"/>
  <c r="AJ104" i="1" s="1"/>
  <c r="AI124" i="1"/>
  <c r="AJ124" i="1" s="1"/>
  <c r="AI1190" i="1"/>
  <c r="AJ1190" i="1" s="1"/>
  <c r="AI1877" i="1"/>
  <c r="AJ1877" i="1" s="1"/>
  <c r="AI1173" i="1"/>
  <c r="AJ1173" i="1" s="1"/>
  <c r="AI1125" i="1"/>
  <c r="AJ1125" i="1" s="1"/>
  <c r="AI1768" i="1"/>
  <c r="AJ1768" i="1" s="1"/>
  <c r="AI56" i="1"/>
  <c r="AJ56" i="1" s="1"/>
  <c r="AI2123" i="1"/>
  <c r="AJ2123" i="1" s="1"/>
  <c r="AI83" i="1"/>
  <c r="AJ83" i="1" s="1"/>
  <c r="AI1404" i="1"/>
  <c r="AJ1404" i="1" s="1"/>
  <c r="AI1092" i="1"/>
  <c r="AJ1092" i="1" s="1"/>
  <c r="AI1095" i="1"/>
  <c r="AJ1095" i="1" s="1"/>
  <c r="AI1906" i="1"/>
  <c r="AJ1906" i="1" s="1"/>
  <c r="AI90" i="1"/>
  <c r="AJ90" i="1" s="1"/>
  <c r="AI237" i="1"/>
  <c r="AJ237" i="1" s="1"/>
  <c r="AI1442" i="1"/>
  <c r="AJ1442" i="1" s="1"/>
  <c r="AI1134" i="1"/>
  <c r="AJ1134" i="1" s="1"/>
  <c r="AI1097" i="1"/>
  <c r="AJ1097" i="1" s="1"/>
  <c r="AI1656" i="1"/>
  <c r="AJ1656" i="1" s="1"/>
  <c r="AI918" i="1"/>
  <c r="AJ918" i="1" s="1"/>
  <c r="N12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tc={DBF856DE-E95C-4E9F-8D0F-352CE01A280A}</author>
    <author>tc={8628805F-175C-41AA-8328-6502B8656352}</author>
    <author>tc={D97528C8-2DBF-4A8F-9CF1-3AB6939BA91E}</author>
    <author>tc={1D5A5500-9DAA-4B4B-843E-CB658C291824}</author>
    <author>tc={4E182AA1-E2ED-46F5-BA1A-C149F804A614}</author>
    <author>tc={2572A296-695F-42EC-B95F-B44200D577DB}</author>
    <author>tc={B957D582-C910-4266-8FC4-D8BED7A80149}</author>
    <author>tc={7AE2AAE3-8B1E-4942-9A4E-359B2C72C731}</author>
    <author>tc={09E26134-2C2C-4394-A161-5CDD176A215C}</author>
    <author>tc={B246768F-9AF1-4F3C-B687-0F4346F03F8A}</author>
    <author>tc={ADBC2B7D-F200-4CFC-8432-CFE539486757}</author>
    <author>tc={AC7DE3BA-6542-4136-8BA3-E18877CEBDB7}</author>
    <author>tc={33E235EF-7298-4EFA-8EDE-FB72057CB8DE}</author>
    <author>tc={C6D7CD7E-77BD-4DA4-8927-1090B4906EAE}</author>
    <author>tc={C4337DA5-12F4-42FF-B73A-6FF6E93D425F}</author>
    <author>tc={0227447A-E98C-4A9D-80E6-97DDD3A4CE7F}</author>
    <author>tc={7D211309-013B-4778-9994-345B7737A657}</author>
    <author>tc={0C9F418C-851D-453C-A091-EFC966C9DBD8}</author>
    <author>tc={8E38C181-F639-440C-BBD6-1E9B25ADF746}</author>
    <author>tc={D08044DE-7CBB-44E0-A48F-4FF0AC7A3136}</author>
    <author>tc={9ECDC9A2-2C27-400E-8A23-EF48D2551A0B}</author>
    <author>tc={569BCD83-6CC9-4F52-ABE2-D388B83A711F}</author>
    <author>tc={9A0077B9-AD7E-455A-BAEB-5E2C0A1F6FD3}</author>
    <author>tc={5D11DFF2-D9E1-4DA9-AF80-FDCE767DE2D6}</author>
    <author>tc={D9743A57-FF4C-4C28-BE4C-4154B5E4495C}</author>
    <author>tc={BDA3A657-F090-45C5-992E-DF3DDB0456D5}</author>
    <author>tc={54A1247B-B9CA-4383-B39F-88CBED3CA745}</author>
    <author>tc={ADDBF44B-044D-4346-AF0E-F9A887BC4E6E}</author>
    <author>tc={B98B4D9B-FC2A-4151-919A-DF4D8B95E7A7}</author>
    <author>tc={2101FCC9-2DE6-4063-A31F-0226D8DF38E3}</author>
    <author>tc={7CB77F82-45B7-4E66-8300-16543B81304E}</author>
    <author>tc={592DB5BB-CC06-4A24-884D-A203D8BB16B9}</author>
    <author>tc={B88D56C8-55CA-439C-940A-B122367D6CB1}</author>
    <author>tc={56590D05-512B-455E-AFB7-6054A254F7FC}</author>
    <author>tc={52252753-9A6F-4147-A0D1-B2DA9D85EDA5}</author>
    <author>tc={C94DE511-97D4-4117-A899-02E2DF1DDB87}</author>
    <author>tc={D7F06886-0609-4C83-8E5D-82CF850ACB3F}</author>
    <author>tc={10876DCE-2A7C-44D2-A9FD-C4CA81720689}</author>
    <author>tc={1E88D961-8372-4C6E-9751-2CF34A3C8007}</author>
    <author>tc={B17E4D7C-4E36-4940-88BE-577495192B06}</author>
    <author>tc={7370B769-F65D-4BE0-A637-4F854C17CB38}</author>
    <author>tc={4AAAC0D1-BBE0-4982-AAB9-7492F579C9D3}</author>
    <author>tc={AD37196E-BA45-4F4E-962D-F405EFEF58E3}</author>
    <author>tc={A1C535C9-380E-44CD-BE61-804B144E09AB}</author>
  </authors>
  <commentList>
    <comment ref="A203" authorId="0" shapeId="0" xr:uid="{DBF856DE-E95C-4E9F-8D0F-352CE01A28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Cancelado</t>
      </text>
    </comment>
    <comment ref="A205" authorId="1" shapeId="0" xr:uid="{8628805F-175C-41AA-8328-6502B86563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cancelado</t>
      </text>
    </comment>
    <comment ref="A206" authorId="2" shapeId="0" xr:uid="{D97528C8-2DBF-4A8F-9CF1-3AB6939BA9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 por 2 vezes</t>
      </text>
    </comment>
    <comment ref="A217" authorId="3" shapeId="0" xr:uid="{1D5A5500-9DAA-4B4B-843E-CB658C2918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A220" authorId="4" shapeId="0" xr:uid="{4E182AA1-E2ED-46F5-BA1A-C149F804A6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24" authorId="5" shapeId="0" xr:uid="{2572A296-695F-42EC-B95F-B44200D577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26" authorId="6" shapeId="0" xr:uid="{B957D582-C910-4266-8FC4-D8BED7A801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33" authorId="7" shapeId="0" xr:uid="{7AE2AAE3-8B1E-4942-9A4E-359B2C72C7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38" authorId="8" shapeId="0" xr:uid="{09E26134-2C2C-4394-A161-5CDD176A21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Compra falhou</t>
      </text>
    </comment>
    <comment ref="A239" authorId="9" shapeId="0" xr:uid="{B246768F-9AF1-4F3C-B687-0F4346F03F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Interior</t>
      </text>
    </comment>
    <comment ref="A240" authorId="10" shapeId="0" xr:uid="{ADBC2B7D-F200-4CFC-8432-CFE5394867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43" authorId="11" shapeId="0" xr:uid="{AC7DE3BA-6542-4136-8BA3-E18877CEBD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Interior</t>
      </text>
    </comment>
    <comment ref="A244" authorId="12" shapeId="0" xr:uid="{33E235EF-7298-4EFA-8EDE-FB72057CB8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Compra falhou</t>
      </text>
    </comment>
    <comment ref="A249" authorId="13" shapeId="0" xr:uid="{C6D7CD7E-77BD-4DA4-8927-1090B4906E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Muito caro</t>
      </text>
    </comment>
    <comment ref="A250" authorId="14" shapeId="0" xr:uid="{C4337DA5-12F4-42FF-B73A-6FF6E93D42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</t>
      </text>
    </comment>
    <comment ref="A251" authorId="15" shapeId="0" xr:uid="{0227447A-E98C-4A9D-80E6-97DDD3A4CE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Pagamento falhou</t>
      </text>
    </comment>
    <comment ref="A252" authorId="16" shapeId="0" xr:uid="{7D211309-013B-4778-9994-345B7737A6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</t>
      </text>
    </comment>
    <comment ref="A253" authorId="17" shapeId="0" xr:uid="{0C9F418C-851D-453C-A091-EFC966C9DB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
Responder:
    Cancelado</t>
      </text>
    </comment>
    <comment ref="A254" authorId="18" shapeId="0" xr:uid="{8E38C181-F639-440C-BBD6-1E9B25ADF7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
Responder:
    cANCELADO</t>
      </text>
    </comment>
    <comment ref="A255" authorId="19" shapeId="0" xr:uid="{D08044DE-7CBB-44E0-A48F-4FF0AC7A31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A256" authorId="20" shapeId="0" xr:uid="{9ECDC9A2-2C27-400E-8A23-EF48D2551A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Compra falhou
Responder:
    COMPRA FALHOU</t>
      </text>
    </comment>
    <comment ref="A257" authorId="21" shapeId="0" xr:uid="{569BCD83-6CC9-4F52-ABE2-D388B83A71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
Responder:
    Compra falhou</t>
      </text>
    </comment>
    <comment ref="A258" authorId="22" shapeId="0" xr:uid="{9A0077B9-AD7E-455A-BAEB-5E2C0A1F6F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Compra falhou</t>
      </text>
    </comment>
    <comment ref="A259" authorId="23" shapeId="0" xr:uid="{5D11DFF2-D9E1-4DA9-AF80-FDCE767DE2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Caro
</t>
      </text>
    </comment>
    <comment ref="A260" authorId="24" shapeId="0" xr:uid="{D9743A57-FF4C-4C28-BE4C-4154B5E449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A261" authorId="25" shapeId="0" xr:uid="{BDA3A657-F090-45C5-992E-DF3DDB0456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
</t>
      </text>
    </comment>
    <comment ref="A262" authorId="26" shapeId="0" xr:uid="{54A1247B-B9CA-4383-B39F-88CBED3CA7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A263" authorId="27" shapeId="0" xr:uid="{ADDBF44B-044D-4346-AF0E-F9A887BC4E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64" authorId="28" shapeId="0" xr:uid="{B98B4D9B-FC2A-4151-919A-DF4D8B95E7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66" authorId="29" shapeId="0" xr:uid="{2101FCC9-2DE6-4063-A31F-0226D8DF38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A268" authorId="30" shapeId="0" xr:uid="{7CB77F82-45B7-4E66-8300-16543B8130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A269" authorId="31" shapeId="0" xr:uid="{592DB5BB-CC06-4A24-884D-A203D8BB16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70" authorId="32" shapeId="0" xr:uid="{B88D56C8-55CA-439C-940A-B122367D6C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A271" authorId="33" shapeId="0" xr:uid="{56590D05-512B-455E-AFB7-6054A254F7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A274" authorId="34" shapeId="0" xr:uid="{52252753-9A6F-4147-A0D1-B2DA9D85ED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A276" authorId="35" shapeId="0" xr:uid="{C94DE511-97D4-4117-A899-02E2DF1DDB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A279" authorId="36" shapeId="0" xr:uid="{D7F06886-0609-4C83-8E5D-82CF850ACB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Número</t>
      </text>
    </comment>
    <comment ref="A280" authorId="37" shapeId="0" xr:uid="{10876DCE-2A7C-44D2-A9FD-C4CA817206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 errado</t>
      </text>
    </comment>
    <comment ref="A282" authorId="38" shapeId="0" xr:uid="{1E88D961-8372-4C6E-9751-2CF34A3C80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 errado</t>
      </text>
    </comment>
    <comment ref="A283" authorId="39" shapeId="0" xr:uid="{B17E4D7C-4E36-4940-88BE-577495192B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84" authorId="40" shapeId="0" xr:uid="{7370B769-F65D-4BE0-A637-4F854C17CB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86" authorId="41" shapeId="0" xr:uid="{4AAAC0D1-BBE0-4982-AAB9-7492F579C9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87" authorId="42" shapeId="0" xr:uid="{AD37196E-BA45-4F4E-962D-F405EFEF58E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A299" authorId="43" shapeId="0" xr:uid="{A1C535C9-380E-44CD-BE61-804B144E09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CPF inválido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tc={8464F977-FF0C-402C-B267-49449E0D2F29}</author>
    <author>tc={671D7133-DCCD-44B9-B743-3ED5E0A68865}</author>
    <author>tc={BE657C5C-BA34-48CE-9E92-C85E099A6110}</author>
    <author>tc={3E7E4C72-CC85-46F3-A17A-3DA4D0389EF4}</author>
    <author>tc={79E3505B-5F09-448C-8AEC-831C5566B3C8}</author>
    <author>tc={46C9FFCD-E857-472B-8EA1-B2CF5AB91A97}</author>
    <author>tc={8A19FB27-D404-41C6-84F4-33D71401A10D}</author>
    <author>tc={90651CDB-B0FA-4A56-A8CB-B45517EE1DF2}</author>
    <author>tc={2B068195-6988-4886-AD38-D5DFAA29F5A2}</author>
    <author>tc={E6344232-ABA0-4E79-9332-221362660C15}</author>
    <author>tc={A1DA99CA-EBCF-4F0C-82C5-5D1AA0F6D208}</author>
    <author>tc={08A49996-02A6-4F94-948E-992B8F77398A}</author>
    <author>tc={0DD2AF79-164C-4910-BEA8-2A8459581326}</author>
    <author>tc={296552E0-646A-412D-9FB0-59D1A7DF33C2}</author>
    <author>tc={5BF10890-A26C-4D50-AC3F-3B379A4D17B9}</author>
    <author>tc={65E36102-AB36-4268-98FE-D8D84E771987}</author>
    <author>tc={4399EE07-01D9-4A64-B2F5-5D968BE581AB}</author>
    <author>tc={4211C219-C9BA-43C8-A5A8-E835DB4852C7}</author>
    <author>tc={543526DE-23A2-453F-A06D-2DA1A222E4DD}</author>
    <author>tc={06EE1F8B-886B-4171-8E06-781BB445640D}</author>
    <author>tc={6355FDC6-3C1C-4062-B866-EBCD92186D2A}</author>
    <author>tc={1E6B48A8-1388-4D87-A943-FA6D215491B3}</author>
    <author>tc={8106EEE3-373A-4FE0-8256-5A73BFF4D9BD}</author>
    <author>tc={8485490C-580C-4F7C-A0EC-8529D5014261}</author>
    <author>tc={4838541E-1592-42DF-90A2-A107015A4E4B}</author>
    <author>tc={CE7EBC1F-2475-449A-BE7B-552A2272AB10}</author>
    <author>tc={7A0B34EC-C364-4EB4-BD84-56C16B78576A}</author>
    <author>tc={9C0D6398-D67D-47C4-AF35-085847369F59}</author>
    <author>tc={D816901C-0A88-4984-8962-13F126ECDFDB}</author>
    <author>tc={E7FEFC0A-B0E1-4A8B-92B5-84CE006D4875}</author>
    <author>tc={CFAD8CA3-D5A3-4B7B-B1F0-B56791DEB1E6}</author>
    <author>tc={A1E1D9E5-4340-4E81-9483-EF8C21848AE4}</author>
    <author>tc={F6E9C8BF-ADCC-408F-B425-3267A4F6C882}</author>
    <author>tc={B0EAE073-F5F6-4509-976B-F895CCD6F53C}</author>
    <author>tc={8CE3A165-455A-4C1D-B262-E4B156AA3FE5}</author>
    <author>tc={58CCBF07-D58E-4CF4-94F5-5CD2824AC0A0}</author>
    <author>tc={CE76A650-4B1F-4948-8D41-878A6FC25579}</author>
    <author>tc={6BBEACD2-E23F-4DD2-B368-F9245E801F41}</author>
    <author>tc={7204A780-0A46-410F-9347-D1CF55750867}</author>
    <author>tc={26BE40F6-018C-4050-BE5D-9F1958E35073}</author>
    <author>tc={6F5BCB4E-1C06-4D78-B4CD-69E1903EA455}</author>
    <author>tc={772BA615-B48D-479F-8218-B90044E17901}</author>
    <author>tc={D4AEB1C6-9401-4B8E-B4A6-2181440BA759}</author>
    <author>tc={6C490219-532D-4FEF-90A2-CCC6A8F4160F}</author>
    <author>tc={BABF0CF3-0F11-4CF5-8EEC-C0D3F7CF485B}</author>
    <author>tc={0E986000-0285-4369-B136-09DB1D007F04}</author>
    <author>tc={162EE430-100C-41A2-8E69-DD10D9FC868F}</author>
    <author>tc={8D9C6F68-153B-4457-A1FE-C2BD7038A1A4}</author>
    <author>tc={E857F3E6-B07E-44E4-BCDE-13189ABE5729}</author>
    <author>tc={5CFF2998-BC01-47A1-A098-BE9AEDE82D96}</author>
    <author>tc={500472C3-DD5B-4758-92E0-2FE59A8DC16A}</author>
    <author>tc={BA83133A-B83C-4FF9-B02C-511C1AC41F3A}</author>
    <author>tc={519DB659-10A2-46C3-89C0-9190D6102EC3}</author>
    <author>tc={7818ACC5-FAA2-4C6D-A8BC-23ED93DA1D38}</author>
    <author>tc={1F0769D1-1DCE-43CC-997A-4113BBEFEB21}</author>
    <author>tc={3829265D-646E-4EB7-918B-952D65B308D2}</author>
    <author>tc={5261CD28-C370-4166-9E2A-1A2264FF1190}</author>
    <author>tc={E5439E12-129B-4F29-A42D-EE5D15474C60}</author>
    <author>tc={58E89951-0287-4AA3-86B1-E1AC336F15C8}</author>
    <author>tc={EFBAEDBA-7819-4506-AB52-356EEBB3C07D}</author>
    <author>tc={F500CE48-2B83-42E7-8D90-FBB47AD45F21}</author>
    <author>tc={85FC7C23-A988-4667-A59A-B08CEB63A133}</author>
    <author>tc={F2169041-68DB-4B52-B6AB-5D59729105B0}</author>
    <author>tc={B8E0D7AD-46D6-4DC7-AEE3-77C3F1B09557}</author>
    <author>tc={AC735E85-846C-4C16-A195-499CE96A5BD0}</author>
    <author>tc={D112570E-A8AF-4F52-8355-AE1C6D1EF69F}</author>
    <author>tc={FD1FD00A-40E1-4FA7-8D1E-3FCA25CD2346}</author>
    <author>tc={3A0168FA-F7B2-4F74-8C57-0C37FD49D79B}</author>
    <author>tc={175A0FEF-4B3A-42E6-9F10-6CE417FD65A1}</author>
    <author>tc={5C5C8CE0-038B-43CF-813B-A4BB5D948F4A}</author>
    <author>tc={70387120-5AA3-4992-87A7-FD6C3CCB35B6}</author>
    <author>tc={45EBBFC3-40A1-4149-96A7-D386177C4669}</author>
    <author>tc={633F43DE-D691-45F4-B092-A9FC239FBAF7}</author>
    <author>tc={44C72B9E-FF05-4E6F-8F59-71559C9E1E80}</author>
    <author>tc={683B4453-CD5F-48FB-B7A1-7BDF2968582A}</author>
  </authors>
  <commentList>
    <comment ref="C1551" authorId="0" shapeId="0" xr:uid="{8464F977-FF0C-402C-B267-49449E0D2F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Cancelado</t>
      </text>
    </comment>
    <comment ref="C1555" authorId="1" shapeId="0" xr:uid="{671D7133-DCCD-44B9-B743-3ED5E0A688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cancelado</t>
      </text>
    </comment>
    <comment ref="C1557" authorId="2" shapeId="0" xr:uid="{BE657C5C-BA34-48CE-9E92-C85E099A61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cancelado</t>
      </text>
    </comment>
    <comment ref="I1559" authorId="3" shapeId="0" xr:uid="{3E7E4C72-CC85-46F3-A17A-3DA4D0389E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03686275945 </t>
      </text>
    </comment>
    <comment ref="I1560" authorId="4" shapeId="0" xr:uid="{79E3505B-5F09-448C-8AEC-831C5566B3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85712892987 </t>
      </text>
    </comment>
    <comment ref="C1561" authorId="5" shapeId="0" xr:uid="{46C9FFCD-E857-472B-8EA1-B2CF5AB91A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 por 2 vezes</t>
      </text>
    </comment>
    <comment ref="C1565" authorId="6" shapeId="0" xr:uid="{8A19FB27-D404-41C6-84F4-33D71401A1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cancelado</t>
      </text>
    </comment>
    <comment ref="C1591" authorId="7" shapeId="0" xr:uid="{90651CDB-B0FA-4A56-A8CB-B45517EE1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600" authorId="8" shapeId="0" xr:uid="{2B068195-6988-4886-AD38-D5DFAA29F5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C1602" authorId="9" shapeId="0" xr:uid="{E6344232-ABA0-4E79-9332-221362660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06" authorId="10" shapeId="0" xr:uid="{A1DA99CA-EBCF-4F0C-82C5-5D1AA0F6D2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07" authorId="11" shapeId="0" xr:uid="{08A49996-02A6-4F94-948E-992B8F7739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12" authorId="12" shapeId="0" xr:uid="{0DD2AF79-164C-4910-BEA8-2A84595813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15" authorId="13" shapeId="0" xr:uid="{296552E0-646A-412D-9FB0-59D1A7DF33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17" authorId="14" shapeId="0" xr:uid="{5BF10890-A26C-4D50-AC3F-3B379A4D17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24" authorId="15" shapeId="0" xr:uid="{65E36102-AB36-4268-98FE-D8D84E7719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Caro</t>
      </text>
    </comment>
    <comment ref="C1627" authorId="16" shapeId="0" xr:uid="{4399EE07-01D9-4A64-B2F5-5D968BE581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629" authorId="17" shapeId="0" xr:uid="{4211C219-C9BA-43C8-A5A8-E835DB4852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faltando o número</t>
      </text>
    </comment>
    <comment ref="C1631" authorId="18" shapeId="0" xr:uid="{543526DE-23A2-453F-A06D-2DA1A222E4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33" authorId="19" shapeId="0" xr:uid="{06EE1F8B-886B-4171-8E06-781BB44564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Caro</t>
      </text>
    </comment>
    <comment ref="C1641" authorId="20" shapeId="0" xr:uid="{6355FDC6-3C1C-4062-B866-EBCD92186D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Compra falhou</t>
      </text>
    </comment>
    <comment ref="C1644" authorId="21" shapeId="0" xr:uid="{1E6B48A8-1388-4D87-A943-FA6D215491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Interior</t>
      </text>
    </comment>
    <comment ref="C1646" authorId="22" shapeId="0" xr:uid="{8106EEE3-373A-4FE0-8256-5A73BFF4D9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654" authorId="23" shapeId="0" xr:uid="{8485490C-580C-4F7C-A0EC-8529D50142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Interior</t>
      </text>
    </comment>
    <comment ref="C1656" authorId="24" shapeId="0" xr:uid="{4838541E-1592-42DF-90A2-A107015A4E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Compra falhou</t>
      </text>
    </comment>
    <comment ref="C1683" authorId="25" shapeId="0" xr:uid="{CE7EBC1F-2475-449A-BE7B-552A2272AB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fechado</t>
      </text>
    </comment>
    <comment ref="C1686" authorId="26" shapeId="0" xr:uid="{7A0B34EC-C364-4EB4-BD84-56C16B7857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fechado</t>
      </text>
    </comment>
    <comment ref="C1690" authorId="27" shapeId="0" xr:uid="{9C0D6398-D67D-47C4-AF35-085847369F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Muito caro</t>
      </text>
    </comment>
    <comment ref="C1693" authorId="28" shapeId="0" xr:uid="{D816901C-0A88-4984-8962-13F126ECDF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</t>
      </text>
    </comment>
    <comment ref="C1694" authorId="29" shapeId="0" xr:uid="{E7FEFC0A-B0E1-4A8B-92B5-84CE006D48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Pagamento falhou</t>
      </text>
    </comment>
    <comment ref="C1695" authorId="30" shapeId="0" xr:uid="{CFAD8CA3-D5A3-4B7B-B1F0-B56791DEB1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</t>
      </text>
    </comment>
    <comment ref="C1699" authorId="31" shapeId="0" xr:uid="{A1E1D9E5-4340-4E81-9483-EF8C21848A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
Responder:
    Cancelado</t>
      </text>
    </comment>
    <comment ref="C1700" authorId="32" shapeId="0" xr:uid="{F6E9C8BF-ADCC-408F-B425-3267A4F6C8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
Responder:
    cANCELADO</t>
      </text>
    </comment>
    <comment ref="C1701" authorId="33" shapeId="0" xr:uid="{B0EAE073-F5F6-4509-976B-F895CCD6F5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C1702" authorId="34" shapeId="0" xr:uid="{8CE3A165-455A-4C1D-B262-E4B156AA3F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Compra falhou
Responder:
    COMPRA FALHOU</t>
      </text>
    </comment>
    <comment ref="C1703" authorId="35" shapeId="0" xr:uid="{58CCBF07-D58E-4CF4-94F5-5CD2824AC0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
Responder:
    Compra falhou</t>
      </text>
    </comment>
    <comment ref="C1704" authorId="36" shapeId="0" xr:uid="{CE76A650-4B1F-4948-8D41-878A6FC255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Compra falhou</t>
      </text>
    </comment>
    <comment ref="C1706" authorId="37" shapeId="0" xr:uid="{6BBEACD2-E23F-4DD2-B368-F9245E801F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Caro
</t>
      </text>
    </comment>
    <comment ref="C1709" authorId="38" shapeId="0" xr:uid="{7204A780-0A46-410F-9347-D1CF557508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C1710" authorId="39" shapeId="0" xr:uid="{26BE40F6-018C-4050-BE5D-9F1958E350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
Responder:
    Cancelado
</t>
      </text>
    </comment>
    <comment ref="C1712" authorId="40" shapeId="0" xr:uid="{6F5BCB4E-1C06-4D78-B4CD-69E1903EA4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713" authorId="41" shapeId="0" xr:uid="{772BA615-B48D-479F-8218-B90044E179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C1714" authorId="42" shapeId="0" xr:uid="{D4AEB1C6-9401-4B8E-B4A6-2181440BA7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715" authorId="43" shapeId="0" xr:uid="{6C490219-532D-4FEF-90A2-CCC6A8F416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717" authorId="44" shapeId="0" xr:uid="{BABF0CF3-0F11-4CF5-8EEC-C0D3F7CF48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720" authorId="45" shapeId="0" xr:uid="{0E986000-0285-4369-B136-09DB1D007F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722" authorId="46" shapeId="0" xr:uid="{162EE430-100C-41A2-8E69-DD10D9FC86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C1723" authorId="47" shapeId="0" xr:uid="{8D9C6F68-153B-4457-A1FE-C2BD7038A1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726" authorId="48" shapeId="0" xr:uid="{E857F3E6-B07E-44E4-BCDE-13189ABE57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729" authorId="49" shapeId="0" xr:uid="{5CFF2998-BC01-47A1-A098-BE9AEDE82D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C1730" authorId="50" shapeId="0" xr:uid="{500472C3-DD5B-4758-92E0-2FE59A8DC1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
Responder:
    Cancelado
Responder:
    Cancelado</t>
      </text>
    </comment>
    <comment ref="C1731" authorId="51" shapeId="0" xr:uid="{BA83133A-B83C-4FF9-B02C-511C1AC41F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732" authorId="52" shapeId="0" xr:uid="{519DB659-10A2-46C3-89C0-9190D6102E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
Responder:
    Cancelado</t>
      </text>
    </comment>
    <comment ref="C1734" authorId="53" shapeId="0" xr:uid="{7818ACC5-FAA2-4C6D-A8BC-23ED93DA1D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735" authorId="54" shapeId="0" xr:uid="{1F0769D1-1DCE-43CC-997A-4113BBEFEB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 bloqueada
</t>
      </text>
    </comment>
    <comment ref="C1736" authorId="55" shapeId="0" xr:uid="{3829265D-646E-4EB7-918B-952D65B308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 bloqueada</t>
      </text>
    </comment>
    <comment ref="C1740" authorId="56" shapeId="0" xr:uid="{5261CD28-C370-4166-9E2A-1A2264FF11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C1746" authorId="57" shapeId="0" xr:uid="{E5439E12-129B-4F29-A42D-EE5D15474C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pra trás, sem reembolso</t>
      </text>
    </comment>
    <comment ref="C1760" authorId="58" shapeId="0" xr:uid="{58E89951-0287-4AA3-86B1-E1AC336F15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cliente com o número da residência</t>
      </text>
    </comment>
    <comment ref="C1770" authorId="59" shapeId="0" xr:uid="{EFBAEDBA-7819-4506-AB52-356EEBB3C0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773" authorId="60" shapeId="0" xr:uid="{F500CE48-2B83-42E7-8D90-FBB47AD45F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Número</t>
      </text>
    </comment>
    <comment ref="C1774" authorId="61" shapeId="0" xr:uid="{85FC7C23-A988-4667-A59A-B08CEB63A1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Compra falhou</t>
      </text>
    </comment>
    <comment ref="C1775" authorId="62" shapeId="0" xr:uid="{F2169041-68DB-4B52-B6AB-5D59729105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caro</t>
      </text>
    </comment>
    <comment ref="C1826" authorId="63" shapeId="0" xr:uid="{B8E0D7AD-46D6-4DC7-AEE3-77C3F1B095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 errado</t>
      </text>
    </comment>
    <comment ref="C1830" authorId="64" shapeId="0" xr:uid="{AC735E85-846C-4C16-A195-499CE96A5B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 errado</t>
      </text>
    </comment>
    <comment ref="C1834" authorId="65" shapeId="0" xr:uid="{D112570E-A8AF-4F52-8355-AE1C6D1EF6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835" authorId="66" shapeId="0" xr:uid="{FD1FD00A-40E1-4FA7-8D1E-3FCA25CD23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843" authorId="67" shapeId="0" xr:uid="{3A0168FA-F7B2-4F74-8C57-0C37FD49D7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847" authorId="68" shapeId="0" xr:uid="{175A0FEF-4B3A-42E6-9F10-6CE417FD65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860" authorId="69" shapeId="0" xr:uid="{5C5C8CE0-038B-43CF-813B-A4BB5D948F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861" authorId="70" shapeId="0" xr:uid="{70387120-5AA3-4992-87A7-FD6C3CCB35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863" authorId="71" shapeId="0" xr:uid="{45EBBFC3-40A1-4149-96A7-D386177C46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Cancelado</t>
      </text>
    </comment>
    <comment ref="C1959" authorId="72" shapeId="0" xr:uid="{633F43DE-D691-45F4-B092-A9FC239FB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Mto Caro</t>
      </text>
    </comment>
    <comment ref="C1962" authorId="73" shapeId="0" xr:uid="{44C72B9E-FF05-4E6F-8F59-71559C9E1E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Mto caro</t>
      </text>
    </comment>
    <comment ref="C1979" authorId="74" shapeId="0" xr:uid="{683B4453-CD5F-48FB-B7A1-7BDF296858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CPF inválido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<sst xmlns="http://schemas.openxmlformats.org/spreadsheetml/2006/main" count="43982" uniqueCount="19505">
  <si>
    <t>Total Geral</t>
  </si>
  <si>
    <t>Loja</t>
  </si>
  <si>
    <t>Chave</t>
  </si>
  <si>
    <t>Status</t>
  </si>
  <si>
    <t>Data Pedido</t>
  </si>
  <si>
    <t>Data Compra</t>
  </si>
  <si>
    <t>Nome Produto</t>
  </si>
  <si>
    <t>Qtd</t>
  </si>
  <si>
    <t>CPF</t>
  </si>
  <si>
    <t>NOME</t>
  </si>
  <si>
    <t>Telefone</t>
  </si>
  <si>
    <t>Cep</t>
  </si>
  <si>
    <t>Rua</t>
  </si>
  <si>
    <t>Complemento</t>
  </si>
  <si>
    <t>SKU</t>
  </si>
  <si>
    <t>Prazo Entrega</t>
  </si>
  <si>
    <t>Valor Compra</t>
  </si>
  <si>
    <t>SMS</t>
  </si>
  <si>
    <t>PROXY</t>
  </si>
  <si>
    <t>Frete</t>
  </si>
  <si>
    <t>Valor Liquido</t>
  </si>
  <si>
    <t>Liquido Final</t>
  </si>
  <si>
    <t>Prev. Fat</t>
  </si>
  <si>
    <t>Data Liberação Pagto</t>
  </si>
  <si>
    <t>Mês Faturamento</t>
  </si>
  <si>
    <t>Data Fechamento</t>
  </si>
  <si>
    <t>Fechamento</t>
  </si>
  <si>
    <t>Mês</t>
  </si>
  <si>
    <t>Status Entrega</t>
  </si>
  <si>
    <t>Data Entrega</t>
  </si>
  <si>
    <t>MOTIVO</t>
  </si>
  <si>
    <t>OBS</t>
  </si>
  <si>
    <t>Taxa Amazon Reembolso</t>
  </si>
  <si>
    <t>Custo Compra</t>
  </si>
  <si>
    <t>Valor Ocorrência</t>
  </si>
  <si>
    <t>Data Reembolso</t>
  </si>
  <si>
    <t>BV</t>
  </si>
  <si>
    <t>-</t>
  </si>
  <si>
    <t>16-4EDB-WMZF</t>
  </si>
  <si>
    <t>CK-YL6M-P5Y6</t>
  </si>
  <si>
    <t>DJ-RO5O-43GF</t>
  </si>
  <si>
    <t>IF-G2ZQ-79FO</t>
  </si>
  <si>
    <t>9G-BN48-QAPH</t>
  </si>
  <si>
    <t>P4-K63S-8KOM</t>
  </si>
  <si>
    <t>RESOLVIDO</t>
  </si>
  <si>
    <t>Mayara</t>
  </si>
  <si>
    <t>Não solicitei comprovante</t>
  </si>
  <si>
    <t>Enviar novo produto</t>
  </si>
  <si>
    <t>Produto chegou com defeito</t>
  </si>
  <si>
    <t>KN-TBQL-K2MM</t>
  </si>
  <si>
    <t>Comprovante de entrega enviado</t>
  </si>
  <si>
    <t>Cliente alega não ter recebido</t>
  </si>
  <si>
    <t>SIM</t>
  </si>
  <si>
    <t>Cliente diz que não recebeu</t>
  </si>
  <si>
    <t>T9-P952-TL6A</t>
  </si>
  <si>
    <t>FM-QQ8Y-RZT4</t>
  </si>
  <si>
    <t>Aguardando fotos da avaria</t>
  </si>
  <si>
    <t>Mercadoria não foi enviada pelo vendedor</t>
  </si>
  <si>
    <t>Cainiao não entregou e perdi acesso ao perfil</t>
  </si>
  <si>
    <t>1H-DC27-8GP7</t>
  </si>
  <si>
    <t>Reinvindicação AaZ</t>
  </si>
  <si>
    <t>MU-J80P-95WF</t>
  </si>
  <si>
    <t>ZO-J9IL-EN6L</t>
  </si>
  <si>
    <t>Cliente não retirou mercadoria e portanto entrou em devolução</t>
  </si>
  <si>
    <t>Não se referia ao mesmo liquidificador</t>
  </si>
  <si>
    <t>Perdi acesso a ct, não vou conseguir enviar a NF</t>
  </si>
  <si>
    <t>Aguardando solicitação de devolução</t>
  </si>
  <si>
    <t>U8-2VWS-OB6M</t>
  </si>
  <si>
    <t>YA-AG3H-SPUK</t>
  </si>
  <si>
    <t>Cliente enviou foto da avaria</t>
  </si>
  <si>
    <t>Aguardando fotos</t>
  </si>
  <si>
    <t>Perdi acesso / Fornecedor não enviou o produto</t>
  </si>
  <si>
    <t>Reembolsado metade do valor para o cliente devido a avaria</t>
  </si>
  <si>
    <t>VF-9FSV-ZMGN</t>
  </si>
  <si>
    <t>Acompanhar</t>
  </si>
  <si>
    <t>HF-SI0F-XC7S</t>
  </si>
  <si>
    <t>BP-NHG2-B8C1</t>
  </si>
  <si>
    <t>Os correios devolveram para o fornecedor</t>
  </si>
  <si>
    <t>Solicitar comprovante de entrega</t>
  </si>
  <si>
    <t>Não me enviaram a NF</t>
  </si>
  <si>
    <t>Recurso da reinvidicação aceito, aguardando estorno</t>
  </si>
  <si>
    <t>RB-W251-UXV2</t>
  </si>
  <si>
    <t>IA-LLX9-MRV1</t>
  </si>
  <si>
    <t>FK-T01D-KZC5</t>
  </si>
  <si>
    <t>1 unidade a menos entregue</t>
  </si>
  <si>
    <t>=SE([@[Data Reembolso]]&lt;&gt;"-";SE([@AliExpress]&lt;&gt;"-";SEERRO(PROCX(CONCAT([@Loja];SEERRO(SEERRO(VALOR(SUBSTITUIR(EXT,TEXTO(TEXTODEPOIS([@AliExpress];"Data do Pedido:
";1);1;10);"-";"/"));VALOR(SUBSTITUIR(EXT,TEXTO(TEXTODEPOIS([@AliExpress];"Order date:
";1);1;10);"-";"/")));0));ProxyDD[Chave];ProxyDD[Valor por pedido]);PROXY!$P$2);0);0)</t>
  </si>
  <si>
    <t>Aguardando foto</t>
  </si>
  <si>
    <t>Pacote não chegou</t>
  </si>
  <si>
    <t>Aguardando reembolso</t>
  </si>
  <si>
    <t>Rua 5</t>
  </si>
  <si>
    <t>Cliente não enviou fotos</t>
  </si>
  <si>
    <t>Não consegui recuperar a conta</t>
  </si>
  <si>
    <t>Perdi acesso a CT</t>
  </si>
  <si>
    <t>08-PAJ9-YM9P</t>
  </si>
  <si>
    <t>LUCAS</t>
  </si>
  <si>
    <t>Cliente só comprou uma unidade e confirmou o recebimento</t>
  </si>
  <si>
    <t>Enviado a cor errada</t>
  </si>
  <si>
    <t>Pedido com defeito, reclamação aberta após o prazo de garantia.</t>
  </si>
  <si>
    <t>5D-KKPK-K70I</t>
  </si>
  <si>
    <t>Cliente não quer mais mas não foi entregue</t>
  </si>
  <si>
    <t>Aguardando Reembolso</t>
  </si>
  <si>
    <t>Não foi devolvido</t>
  </si>
  <si>
    <t>Acompanhar devolução</t>
  </si>
  <si>
    <t>COMPROVANTE</t>
  </si>
  <si>
    <t>Solicitado Reembolso</t>
  </si>
  <si>
    <t>RETIDO</t>
  </si>
  <si>
    <t>Cliente reclamou que o modelo recebido é diferente do comprado</t>
  </si>
  <si>
    <t>Perdi acesso a Conta</t>
  </si>
  <si>
    <t>GO</t>
  </si>
  <si>
    <t>K0-RMF0-V1YC</t>
  </si>
  <si>
    <t>E7-FW3C-EHOL</t>
  </si>
  <si>
    <t>EP-9PIR-BWXH</t>
  </si>
  <si>
    <t>Solicitar Reembolso</t>
  </si>
  <si>
    <t>MEI</t>
  </si>
  <si>
    <t>MZ-PGT3-IKGF</t>
  </si>
  <si>
    <t>A4-5W51-K3HF</t>
  </si>
  <si>
    <t>WU-SS4J-LFOH</t>
  </si>
  <si>
    <t>COR ERRADA</t>
  </si>
  <si>
    <t>QH-IFCI-7SW7</t>
  </si>
  <si>
    <t>HL-E4X9-IHLB</t>
  </si>
  <si>
    <t>AS-2K35-YDQV</t>
  </si>
  <si>
    <t>CNBR00050518885</t>
  </si>
  <si>
    <t>WI-HK5U-ED8J</t>
  </si>
  <si>
    <t>2025 03</t>
  </si>
  <si>
    <t>ENTREGUE</t>
  </si>
  <si>
    <t>BG-DHRO-FAEE</t>
  </si>
  <si>
    <t>OV-P9KI-A5LS</t>
  </si>
  <si>
    <t>Z0-F6CI-18CL</t>
  </si>
  <si>
    <t>U1-D95R-HYRT</t>
  </si>
  <si>
    <t>RX-DD1P-P5U2</t>
  </si>
  <si>
    <t>33-SVS5-1AWY</t>
  </si>
  <si>
    <t>K9-YV2I-FO7H</t>
  </si>
  <si>
    <t>6G-56LI-EPD4</t>
  </si>
  <si>
    <t>U9-32BU-7J5P</t>
  </si>
  <si>
    <t>WS-5LUS-APOT</t>
  </si>
  <si>
    <t>Q3-ZLM0-OEUO</t>
  </si>
  <si>
    <t>Não chegou</t>
  </si>
  <si>
    <t>PK-L2Z7-MQRQ</t>
  </si>
  <si>
    <t>T1-SWVB-UPOW</t>
  </si>
  <si>
    <t>WR-82Y0-OV27</t>
  </si>
  <si>
    <t>JV-A3YY-I7XH</t>
  </si>
  <si>
    <t>71-KHMZ-MLQW</t>
  </si>
  <si>
    <t>FM-VW6E-NXCZ</t>
  </si>
  <si>
    <t>LF-R6MC-WKWP</t>
  </si>
  <si>
    <t>1I-EZPV-2Q78</t>
  </si>
  <si>
    <t>NO-Z0ZJ-Z61M</t>
  </si>
  <si>
    <t>K9-7YJH-TT9R</t>
  </si>
  <si>
    <t>VI-4RT5-1FFO</t>
  </si>
  <si>
    <t>IQ-LISQ-0D65</t>
  </si>
  <si>
    <t>H8-IH9B-M87L</t>
  </si>
  <si>
    <t>MK-OUQW-7L3Z</t>
  </si>
  <si>
    <t>HG-2FNR-01A9</t>
  </si>
  <si>
    <t>NQ-IMR8-W6Q4</t>
  </si>
  <si>
    <t>6I-CK1S-8HYZ</t>
  </si>
  <si>
    <t>ZV-W7II-K7TO</t>
  </si>
  <si>
    <t>EL-YKJD-0WWL</t>
  </si>
  <si>
    <t>UX-4N1H-UQ8A</t>
  </si>
  <si>
    <t>WE-ZKJU-QB71</t>
  </si>
  <si>
    <t>0M-4B77-4TO6</t>
  </si>
  <si>
    <t xml:space="preserve"> </t>
  </si>
  <si>
    <t>Feriado</t>
  </si>
  <si>
    <t>Data</t>
  </si>
  <si>
    <r>
      <t>Confraternização Universal:</t>
    </r>
    <r>
      <rPr>
        <sz val="12"/>
        <color rgb="FF001D35"/>
        <rFont val="Arial"/>
        <family val="2"/>
      </rPr>
      <t> 1º de janeiro (quarta-feira)</t>
    </r>
  </si>
  <si>
    <r>
      <t>Carnaval:</t>
    </r>
    <r>
      <rPr>
        <sz val="12"/>
        <color rgb="FF001D35"/>
        <rFont val="Arial"/>
        <family val="2"/>
      </rPr>
      <t> 3 e 4 de março (segunda e terça-feira)</t>
    </r>
  </si>
  <si>
    <r>
      <t>Sexta-feira Santa:</t>
    </r>
    <r>
      <rPr>
        <sz val="12"/>
        <color rgb="FF001D35"/>
        <rFont val="Arial"/>
        <family val="2"/>
      </rPr>
      <t> 18 de abril (sexta-feira)</t>
    </r>
  </si>
  <si>
    <r>
      <t>Tiradentes:</t>
    </r>
    <r>
      <rPr>
        <sz val="12"/>
        <color rgb="FF001D35"/>
        <rFont val="Arial"/>
        <family val="2"/>
      </rPr>
      <t> 21 de abril (segunda-feira)</t>
    </r>
  </si>
  <si>
    <r>
      <t>Dia do Trabalho:</t>
    </r>
    <r>
      <rPr>
        <sz val="12"/>
        <color rgb="FF001D35"/>
        <rFont val="Arial"/>
        <family val="2"/>
      </rPr>
      <t> 1º de maio (quinta-feira)</t>
    </r>
  </si>
  <si>
    <r>
      <t>Corpus Christi:</t>
    </r>
    <r>
      <rPr>
        <sz val="12"/>
        <color rgb="FF001D35"/>
        <rFont val="Arial"/>
        <family val="2"/>
      </rPr>
      <t> 19 de junho (quinta-feira)</t>
    </r>
  </si>
  <si>
    <r>
      <t>Independência do Brasil:</t>
    </r>
    <r>
      <rPr>
        <sz val="12"/>
        <color rgb="FF001D35"/>
        <rFont val="Arial"/>
        <family val="2"/>
      </rPr>
      <t> 7 de setembro (domingo)</t>
    </r>
  </si>
  <si>
    <r>
      <t>Nossa Senhora Aparecida:</t>
    </r>
    <r>
      <rPr>
        <sz val="12"/>
        <color rgb="FF001D35"/>
        <rFont val="Arial"/>
        <family val="2"/>
      </rPr>
      <t> 12 de outubro (domingo)</t>
    </r>
  </si>
  <si>
    <r>
      <t>Finados:</t>
    </r>
    <r>
      <rPr>
        <sz val="12"/>
        <color rgb="FF001D35"/>
        <rFont val="Arial"/>
        <family val="2"/>
      </rPr>
      <t> 2 de novembro (domingo)</t>
    </r>
  </si>
  <si>
    <r>
      <t>Proclamação da República:</t>
    </r>
    <r>
      <rPr>
        <sz val="12"/>
        <color rgb="FF001D35"/>
        <rFont val="Arial"/>
        <family val="2"/>
      </rPr>
      <t> 15 de novembro (sábado)</t>
    </r>
  </si>
  <si>
    <r>
      <t>Dia da Consciência Negra:</t>
    </r>
    <r>
      <rPr>
        <sz val="12"/>
        <color rgb="FF001D35"/>
        <rFont val="Arial"/>
        <family val="2"/>
      </rPr>
      <t> 20 de novembro (quinta-feira)</t>
    </r>
  </si>
  <si>
    <r>
      <t>Natal:</t>
    </r>
    <r>
      <rPr>
        <sz val="12"/>
        <color rgb="FF001D35"/>
        <rFont val="Arial"/>
        <family val="2"/>
      </rPr>
      <t> 25 de dezembro (quinta-feira) </t>
    </r>
  </si>
  <si>
    <t>Contagem de Id Pedido</t>
  </si>
  <si>
    <t>Rótulos de Coluna</t>
  </si>
  <si>
    <t>Rótulos de Linha</t>
  </si>
  <si>
    <t>Contagem de CODRASTREIO</t>
  </si>
  <si>
    <t>Brasil</t>
  </si>
  <si>
    <t>China</t>
  </si>
  <si>
    <t>Dentro do Prazo</t>
  </si>
  <si>
    <t>EM SEPARAÇÃO</t>
  </si>
  <si>
    <t>Fora do Prazo</t>
  </si>
  <si>
    <t>RETORNANDO</t>
  </si>
  <si>
    <t>EM TRÂNSITO</t>
  </si>
  <si>
    <t>Id Pedido</t>
  </si>
  <si>
    <t>CODRASTREIO</t>
  </si>
  <si>
    <t>Prev Entrega</t>
  </si>
  <si>
    <t>Coluna1</t>
  </si>
  <si>
    <t>Transp</t>
  </si>
  <si>
    <t>Novo Cód de Rastreio</t>
  </si>
  <si>
    <t>PAISORIGEM</t>
  </si>
  <si>
    <t>PAISDESTINO</t>
  </si>
  <si>
    <t>DATAATUALIZAÇÃO</t>
  </si>
  <si>
    <t>STATUS</t>
  </si>
  <si>
    <t>Obs</t>
  </si>
  <si>
    <t>Prazo</t>
  </si>
  <si>
    <t>MSG</t>
  </si>
  <si>
    <t>Entregue</t>
  </si>
  <si>
    <t>Cliente Notificado</t>
  </si>
  <si>
    <t>Reembolsado</t>
  </si>
  <si>
    <t>Saiu para entrega hoje 27/01</t>
  </si>
  <si>
    <t>Perdi Acesso ao Perfil</t>
  </si>
  <si>
    <t>Não dá a opção de entrar em contato com a cliente</t>
  </si>
  <si>
    <t>Aguardando Retorno Cliente</t>
  </si>
  <si>
    <t>Cliente Acionado</t>
  </si>
  <si>
    <t>CNBR00044743479</t>
  </si>
  <si>
    <t>NM747754467BR</t>
  </si>
  <si>
    <t>Cliente informado</t>
  </si>
  <si>
    <t>CNBR00048377449</t>
  </si>
  <si>
    <t>CNBR00048394767</t>
  </si>
  <si>
    <t>NM750498035BR</t>
  </si>
  <si>
    <t>NM750520657BR</t>
  </si>
  <si>
    <t>NM752262955BR</t>
  </si>
  <si>
    <t>CNBR00050037969</t>
  </si>
  <si>
    <t>CNBR00050062290</t>
  </si>
  <si>
    <t>CNBR00050066159</t>
  </si>
  <si>
    <t>NM752787026BR</t>
  </si>
  <si>
    <t>CNBR00050445857</t>
  </si>
  <si>
    <t>CNBR00050571325</t>
  </si>
  <si>
    <t>CNBR00050549081</t>
  </si>
  <si>
    <t>CNBR00050992483</t>
  </si>
  <si>
    <t>CNBR00051092987</t>
  </si>
  <si>
    <t>CNBR00051660931</t>
  </si>
  <si>
    <t>CNBR00051669367</t>
  </si>
  <si>
    <t>CNBR00051676791</t>
  </si>
  <si>
    <t>CNBR00052303518</t>
  </si>
  <si>
    <t>NM754422292BR</t>
  </si>
  <si>
    <t>NM754325790BR</t>
  </si>
  <si>
    <t>CNBR00053702884</t>
  </si>
  <si>
    <t>CNBR00053698485</t>
  </si>
  <si>
    <t>CNBR00053748215</t>
  </si>
  <si>
    <t>CNBR00053761692</t>
  </si>
  <si>
    <t>CNBR00053764963</t>
  </si>
  <si>
    <t>CNBR00053711705</t>
  </si>
  <si>
    <t>CNBR00053717686</t>
  </si>
  <si>
    <t>CNBR00053713301</t>
  </si>
  <si>
    <t>CNBR00053712787</t>
  </si>
  <si>
    <t>CNBR00053725581</t>
  </si>
  <si>
    <t>CNBR00053720980</t>
  </si>
  <si>
    <t>CNBR00053731589</t>
  </si>
  <si>
    <t>CNBR00053742015</t>
  </si>
  <si>
    <t>CNBR00053737409</t>
  </si>
  <si>
    <t>CNBR00053739984</t>
  </si>
  <si>
    <t>CNBR00054478121</t>
  </si>
  <si>
    <t>CNBR00054446273</t>
  </si>
  <si>
    <t>CNBR00054459103</t>
  </si>
  <si>
    <t>CNBR00055443946</t>
  </si>
  <si>
    <t>CNBR00055444309</t>
  </si>
  <si>
    <t>CNBR00055453380</t>
  </si>
  <si>
    <t>CNBR00055463174</t>
  </si>
  <si>
    <t>CNBR00055459490</t>
  </si>
  <si>
    <t>CNBR00055867829</t>
  </si>
  <si>
    <t>Solicitar reembolso</t>
  </si>
  <si>
    <t>CNBR00055874207</t>
  </si>
  <si>
    <t>CNBR00056167205</t>
  </si>
  <si>
    <t>NM756669152BR</t>
  </si>
  <si>
    <t>NM756664756BR</t>
  </si>
  <si>
    <t>CNBR00056752451</t>
  </si>
  <si>
    <t>NM758434543BR</t>
  </si>
  <si>
    <t>NM758439656BR</t>
  </si>
  <si>
    <t>NM758456835BR</t>
  </si>
  <si>
    <t>NM758453922BR</t>
  </si>
  <si>
    <t>NM758477380BR</t>
  </si>
  <si>
    <t>NM758480698BR</t>
  </si>
  <si>
    <t>NM758490001BR</t>
  </si>
  <si>
    <t>NM759758877BR</t>
  </si>
  <si>
    <t>NM759768239BR</t>
  </si>
  <si>
    <t>NM760427435BR</t>
  </si>
  <si>
    <t>Não foi entregue</t>
  </si>
  <si>
    <t>NM760594376BR</t>
  </si>
  <si>
    <t>NM760587295BR</t>
  </si>
  <si>
    <t>NM760923046BR</t>
  </si>
  <si>
    <t>NM760946909BR</t>
  </si>
  <si>
    <t>NM760946002BR</t>
  </si>
  <si>
    <t>NM760958495BR</t>
  </si>
  <si>
    <t>NM760977367BR</t>
  </si>
  <si>
    <t>NM760987611BR</t>
  </si>
  <si>
    <t>NM761839375BR</t>
  </si>
  <si>
    <t>NM761875435BR</t>
  </si>
  <si>
    <t>NM761888059BR</t>
  </si>
  <si>
    <t>NM761906883BR</t>
  </si>
  <si>
    <t>NM761920324BR</t>
  </si>
  <si>
    <t>NM761937625BR</t>
  </si>
  <si>
    <t>NM761980623BR</t>
  </si>
  <si>
    <t>CNBR00057913880</t>
  </si>
  <si>
    <t>CNBR00050447335</t>
  </si>
  <si>
    <t>NM763153214BR</t>
  </si>
  <si>
    <t>NM763191420BR</t>
  </si>
  <si>
    <t>NM763186685BR</t>
  </si>
  <si>
    <t>NM763632949BR</t>
  </si>
  <si>
    <t>NM763634145BR</t>
  </si>
  <si>
    <t>NM763693143BR</t>
  </si>
  <si>
    <t>NM763648467BR</t>
  </si>
  <si>
    <t>NM763655397BR</t>
  </si>
  <si>
    <t>NM763702667BR</t>
  </si>
  <si>
    <t>CNBR00059011166</t>
  </si>
  <si>
    <t>reembolsado</t>
  </si>
  <si>
    <t>CNBR00059080977</t>
  </si>
  <si>
    <t>CNBR00059089357</t>
  </si>
  <si>
    <t>CNBR00059098823</t>
  </si>
  <si>
    <t>CNBR00059109583</t>
  </si>
  <si>
    <t>CNBR00059480176</t>
  </si>
  <si>
    <t>CNBR00060673114</t>
  </si>
  <si>
    <t>CNBR00060670890</t>
  </si>
  <si>
    <t>CNBR00060679766</t>
  </si>
  <si>
    <t>CNBR00060694775</t>
  </si>
  <si>
    <t>CNBR00060707185</t>
  </si>
  <si>
    <t>CNBR00060713570</t>
  </si>
  <si>
    <t>CNBR00060686702</t>
  </si>
  <si>
    <t>CNBR00060684903</t>
  </si>
  <si>
    <t>CNBR00060713976</t>
  </si>
  <si>
    <t>CNBR00060671081</t>
  </si>
  <si>
    <t>CNBR00060671640</t>
  </si>
  <si>
    <t>NM765797150BR</t>
  </si>
  <si>
    <t>CNBR00061119601</t>
  </si>
  <si>
    <t>CNBR00061106636</t>
  </si>
  <si>
    <t>CNBR00061070514</t>
  </si>
  <si>
    <t>CNBR00061071149</t>
  </si>
  <si>
    <t>CNBR00061117343</t>
  </si>
  <si>
    <t>CNBR00061450865</t>
  </si>
  <si>
    <t>CNBR00061455836</t>
  </si>
  <si>
    <t>CNBR00061461194</t>
  </si>
  <si>
    <t>CNBR00061529092</t>
  </si>
  <si>
    <t>CNBR00061503212</t>
  </si>
  <si>
    <t>CNBR00061494451</t>
  </si>
  <si>
    <t>CNBR00061926309</t>
  </si>
  <si>
    <t>NM767517731BR</t>
  </si>
  <si>
    <t>NM767542943BR</t>
  </si>
  <si>
    <t>CNBR00062049970</t>
  </si>
  <si>
    <t>NM767569464BR</t>
  </si>
  <si>
    <t>NM767592785BR</t>
  </si>
  <si>
    <t>NM767511623BR</t>
  </si>
  <si>
    <t>CNBR00062469073</t>
  </si>
  <si>
    <t>CNBR00062296644</t>
  </si>
  <si>
    <t>CNBR00062288162</t>
  </si>
  <si>
    <t>NM767855734BR</t>
  </si>
  <si>
    <t>CNBR00062464165</t>
  </si>
  <si>
    <t>NM767847168BR</t>
  </si>
  <si>
    <t>NM767853574BR</t>
  </si>
  <si>
    <t>CNBR00062931526</t>
  </si>
  <si>
    <t>CNBR00062938775</t>
  </si>
  <si>
    <t>CNBR00062948712</t>
  </si>
  <si>
    <t>CNBR00062956546</t>
  </si>
  <si>
    <t>CNBR00062952343</t>
  </si>
  <si>
    <t>CNBR00062952759</t>
  </si>
  <si>
    <t>CNBR00062954331</t>
  </si>
  <si>
    <t>NM768343855BR</t>
  </si>
  <si>
    <t>CNBR00062982055</t>
  </si>
  <si>
    <t>CNBR00062979730</t>
  </si>
  <si>
    <t>CNBR00062999643</t>
  </si>
  <si>
    <t>CNBR00063167554</t>
  </si>
  <si>
    <t>CNBR00063173506</t>
  </si>
  <si>
    <t>NM768388295BR</t>
  </si>
  <si>
    <t>CNBR00063168783</t>
  </si>
  <si>
    <t>NM769557985BR</t>
  </si>
  <si>
    <t>NM769421497BR</t>
  </si>
  <si>
    <t>NM769827909BR</t>
  </si>
  <si>
    <t>NM769621856BR</t>
  </si>
  <si>
    <t>NM769629466BR</t>
  </si>
  <si>
    <t>NM769832753BR</t>
  </si>
  <si>
    <t>NM769558844BR</t>
  </si>
  <si>
    <t>NM769835777BR</t>
  </si>
  <si>
    <t>NM769565902BR</t>
  </si>
  <si>
    <t>NM769674329BR</t>
  </si>
  <si>
    <t>NM769677585BR</t>
  </si>
  <si>
    <t>NM769684564BR</t>
  </si>
  <si>
    <t>NM769694218BR</t>
  </si>
  <si>
    <t>NM769727154BR</t>
  </si>
  <si>
    <t>NM769758117BR</t>
  </si>
  <si>
    <t>NM769779324BR</t>
  </si>
  <si>
    <t>NM769782059BR</t>
  </si>
  <si>
    <t>NM769794729BR</t>
  </si>
  <si>
    <t>CNBR00063696585</t>
  </si>
  <si>
    <t>NM770546361BR</t>
  </si>
  <si>
    <t>NM770371719BR</t>
  </si>
  <si>
    <t>NM770732324BR</t>
  </si>
  <si>
    <t>NM770751558BR</t>
  </si>
  <si>
    <t>NM770812362BR</t>
  </si>
  <si>
    <t>Pedir reembolso</t>
  </si>
  <si>
    <t>CNBR00063646914</t>
  </si>
  <si>
    <t>NM770797815BR</t>
  </si>
  <si>
    <t>NM770812813BR</t>
  </si>
  <si>
    <t>NM770826755BR</t>
  </si>
  <si>
    <t>NM770935640BR</t>
  </si>
  <si>
    <t>NM770957455BR</t>
  </si>
  <si>
    <t>NM770970805BR</t>
  </si>
  <si>
    <t>NM771011442BR</t>
  </si>
  <si>
    <t>NM771878440BR</t>
  </si>
  <si>
    <t>NM772327752BR</t>
  </si>
  <si>
    <t>NM770273328BR</t>
  </si>
  <si>
    <t>(desconhecido)</t>
  </si>
  <si>
    <t>NM771910763BR</t>
  </si>
  <si>
    <t>NM771908257BR</t>
  </si>
  <si>
    <t>NM771917744BR</t>
  </si>
  <si>
    <t>NM771911790BR</t>
  </si>
  <si>
    <t>NM771906327BR</t>
  </si>
  <si>
    <t>NM771998592BR</t>
  </si>
  <si>
    <t>NM772808581BR</t>
  </si>
  <si>
    <t>NM773195151BR</t>
  </si>
  <si>
    <t>NM773202714BR</t>
  </si>
  <si>
    <t>NM773250547BR</t>
  </si>
  <si>
    <t>NM773100352BR</t>
  </si>
  <si>
    <t>NM773142998BR</t>
  </si>
  <si>
    <t>NM774045900BR</t>
  </si>
  <si>
    <t>NM774052450BR</t>
  </si>
  <si>
    <t>NM774057488BR</t>
  </si>
  <si>
    <t>NM774062721BR</t>
  </si>
  <si>
    <t>NM774088233BR</t>
  </si>
  <si>
    <t>NM774080209BR</t>
  </si>
  <si>
    <t>NM774100331BR</t>
  </si>
  <si>
    <t>NM774105515BR</t>
  </si>
  <si>
    <t>NM774162945BR</t>
  </si>
  <si>
    <t>NM774207810BR</t>
  </si>
  <si>
    <t>NM774219115BR</t>
  </si>
  <si>
    <t>NM774110682BR</t>
  </si>
  <si>
    <t>NM774257816BR</t>
  </si>
  <si>
    <t>NM774258003BR</t>
  </si>
  <si>
    <t>NM774266897BR</t>
  </si>
  <si>
    <t>NM774273840BR</t>
  </si>
  <si>
    <t>NM774277325BR</t>
  </si>
  <si>
    <t>NM775227197BR</t>
  </si>
  <si>
    <t>CNBR00064311605</t>
  </si>
  <si>
    <t>NM775237234BR</t>
  </si>
  <si>
    <t>CNBR00064282599</t>
  </si>
  <si>
    <t>CNBR00064295456</t>
  </si>
  <si>
    <t>CNBR00064303647</t>
  </si>
  <si>
    <t>CNBR00064279916</t>
  </si>
  <si>
    <t>CNBR00064282968</t>
  </si>
  <si>
    <t>NM775230593BR</t>
  </si>
  <si>
    <t>NM775321983BR</t>
  </si>
  <si>
    <t>NM774809355BR</t>
  </si>
  <si>
    <t>NM774807408BR</t>
  </si>
  <si>
    <t>NM774763565BR</t>
  </si>
  <si>
    <t>NM774773430BR</t>
  </si>
  <si>
    <t>NM774782635BR</t>
  </si>
  <si>
    <t>NM774799825BR</t>
  </si>
  <si>
    <t>NM774798578BR</t>
  </si>
  <si>
    <t>NM774810424BR</t>
  </si>
  <si>
    <t>NM775722054BR</t>
  </si>
  <si>
    <t>NM774817997BR</t>
  </si>
  <si>
    <t>NM774824437BR</t>
  </si>
  <si>
    <t>NM774831044BR</t>
  </si>
  <si>
    <t>NM774844445BR</t>
  </si>
  <si>
    <t>NM774850318BR</t>
  </si>
  <si>
    <t>NM774849093BR</t>
  </si>
  <si>
    <t>NM774800311BR</t>
  </si>
  <si>
    <t>NM774866026BR</t>
  </si>
  <si>
    <t>NM774867548BR</t>
  </si>
  <si>
    <t>NM774872684BR</t>
  </si>
  <si>
    <t>NM774965465BR</t>
  </si>
  <si>
    <t>NM776409559BR</t>
  </si>
  <si>
    <t>NM776421890BR</t>
  </si>
  <si>
    <t>NM776454898BR</t>
  </si>
  <si>
    <t>NM776459997BR</t>
  </si>
  <si>
    <t>NM776471445BR</t>
  </si>
  <si>
    <t>NM776478418BR</t>
  </si>
  <si>
    <t>NM776491445BR</t>
  </si>
  <si>
    <t>NM776619637BR</t>
  </si>
  <si>
    <t>NM776632426BR</t>
  </si>
  <si>
    <t>NM776649320BR</t>
  </si>
  <si>
    <t>NM776694598BR</t>
  </si>
  <si>
    <t>NM776654639BR</t>
  </si>
  <si>
    <t>NM776680829BR</t>
  </si>
  <si>
    <t>NM776678520BR</t>
  </si>
  <si>
    <t>NM776692827BR</t>
  </si>
  <si>
    <t>NM777691955BR</t>
  </si>
  <si>
    <t>NM777718066BR</t>
  </si>
  <si>
    <t>NM777724163BR</t>
  </si>
  <si>
    <t>NM778668763BR</t>
  </si>
  <si>
    <t>NM778898276BR</t>
  </si>
  <si>
    <t>NM779796905BR</t>
  </si>
  <si>
    <t>NM779800463BR</t>
  </si>
  <si>
    <t>NM779813232BR</t>
  </si>
  <si>
    <t>NM780668223BR</t>
  </si>
  <si>
    <t>NM780672660BR</t>
  </si>
  <si>
    <t>NM780684742BR</t>
  </si>
  <si>
    <t>NM782460362BR</t>
  </si>
  <si>
    <t>NM782473485BR</t>
  </si>
  <si>
    <t>NM782670848BR</t>
  </si>
  <si>
    <t>NM782502337BR</t>
  </si>
  <si>
    <t>NM782505700BR</t>
  </si>
  <si>
    <t>NM782686349BR</t>
  </si>
  <si>
    <t>NM782619653BR</t>
  </si>
  <si>
    <t>NM783165865BR</t>
  </si>
  <si>
    <t>NM784298850BR</t>
  </si>
  <si>
    <t>NM784293035BR</t>
  </si>
  <si>
    <t>NM784290140BR</t>
  </si>
  <si>
    <t>NM784297580BR</t>
  </si>
  <si>
    <t>NM784303033BR</t>
  </si>
  <si>
    <t>NM784294019BR</t>
  </si>
  <si>
    <t>NM784374701BR</t>
  </si>
  <si>
    <t>NM784383181BR</t>
  </si>
  <si>
    <t>NM784406727BR</t>
  </si>
  <si>
    <t>NM785046265BR</t>
  </si>
  <si>
    <t>NM785047212BR</t>
  </si>
  <si>
    <t>NM785076267BR</t>
  </si>
  <si>
    <t>NM785080451BR</t>
  </si>
  <si>
    <t>NM785076179BR</t>
  </si>
  <si>
    <t>NM785089115BR</t>
  </si>
  <si>
    <t>NM785193776BR</t>
  </si>
  <si>
    <t>NM785186191BR</t>
  </si>
  <si>
    <t>NM785206506BR</t>
  </si>
  <si>
    <t>NM784150726BR</t>
  </si>
  <si>
    <t>NM784820275BR</t>
  </si>
  <si>
    <t>NM787022258BR</t>
  </si>
  <si>
    <t>NM785548810BR</t>
  </si>
  <si>
    <t>NM785555325BR</t>
  </si>
  <si>
    <t>NM786969181BR</t>
  </si>
  <si>
    <t>NM786983784BR</t>
  </si>
  <si>
    <t>CNBR00065276516</t>
  </si>
  <si>
    <t>NM788122221BR</t>
  </si>
  <si>
    <t>NM788174762BR</t>
  </si>
  <si>
    <t>CNBR00065256314</t>
  </si>
  <si>
    <t>NM788232037BR</t>
  </si>
  <si>
    <t>NM788152223BR</t>
  </si>
  <si>
    <t>NM788327239BR</t>
  </si>
  <si>
    <t>NM789139603BR</t>
  </si>
  <si>
    <t>NM789058184BR</t>
  </si>
  <si>
    <t>NM789077926BR</t>
  </si>
  <si>
    <t>NM789093230BR</t>
  </si>
  <si>
    <t>NM789089717BR</t>
  </si>
  <si>
    <t>NM789100678BR</t>
  </si>
  <si>
    <t>NM789187935BR</t>
  </si>
  <si>
    <t>NM789645370BR</t>
  </si>
  <si>
    <t>NM789852363BR</t>
  </si>
  <si>
    <t>NM789746515BR</t>
  </si>
  <si>
    <t>NM789879525BR</t>
  </si>
  <si>
    <t>NM789926295BR</t>
  </si>
  <si>
    <t>NM789944396BR</t>
  </si>
  <si>
    <t>NM789949946BR</t>
  </si>
  <si>
    <t>NM791383615BR</t>
  </si>
  <si>
    <t>NM790768671BR</t>
  </si>
  <si>
    <t>Encaminhado</t>
  </si>
  <si>
    <t>NM790797766BR</t>
  </si>
  <si>
    <t>NM790810785BR</t>
  </si>
  <si>
    <t>NM790820663BR</t>
  </si>
  <si>
    <t>CNBR00065535705</t>
  </si>
  <si>
    <t>CNBR00065532818</t>
  </si>
  <si>
    <t>CNBR00065535756</t>
  </si>
  <si>
    <t>CNBR00065559221</t>
  </si>
  <si>
    <t>CNBR00065569198</t>
  </si>
  <si>
    <t>NM791116402BR</t>
  </si>
  <si>
    <t>NM791126855BR</t>
  </si>
  <si>
    <t>NM791212386BR</t>
  </si>
  <si>
    <t>NM791354194BR</t>
  </si>
  <si>
    <t>NM791380866BR</t>
  </si>
  <si>
    <t>NM791399505BR</t>
  </si>
  <si>
    <t>NM791578435BR</t>
  </si>
  <si>
    <t>NM791575655BR</t>
  </si>
  <si>
    <t>NM791510994BR</t>
  </si>
  <si>
    <t>NM791195714BR</t>
  </si>
  <si>
    <t>CNBR00065587707</t>
  </si>
  <si>
    <t>NM791993285BR</t>
  </si>
  <si>
    <t>NM791991766BR</t>
  </si>
  <si>
    <t>NM791977441BR</t>
  </si>
  <si>
    <t>NM791881859BR</t>
  </si>
  <si>
    <t>NM791879501BR</t>
  </si>
  <si>
    <t>CNBR00065615569</t>
  </si>
  <si>
    <t>NM791823706BR</t>
  </si>
  <si>
    <t>CNBR00065594816</t>
  </si>
  <si>
    <t>CNBR00065603109</t>
  </si>
  <si>
    <t>CNBR00065594410</t>
  </si>
  <si>
    <t>CNBR00065600275</t>
  </si>
  <si>
    <t>NM791795660BR</t>
  </si>
  <si>
    <t>NM792466909BR</t>
  </si>
  <si>
    <t>NM791802581BR</t>
  </si>
  <si>
    <t>NM792316484BR</t>
  </si>
  <si>
    <t>NM792324812BR</t>
  </si>
  <si>
    <t>CNBR00065781987</t>
  </si>
  <si>
    <t>CNBR00065785729</t>
  </si>
  <si>
    <t>NM791800585BR</t>
  </si>
  <si>
    <t>NM792472263BR</t>
  </si>
  <si>
    <t>NM792461212BR</t>
  </si>
  <si>
    <t>CNBR00065789129</t>
  </si>
  <si>
    <t>CNBR00065839512</t>
  </si>
  <si>
    <t>NM793521500BR</t>
  </si>
  <si>
    <t>NM793450732BR</t>
  </si>
  <si>
    <t>Status anormal</t>
  </si>
  <si>
    <t>NM793666274BR</t>
  </si>
  <si>
    <t>NM793443365BR</t>
  </si>
  <si>
    <t>NM793448800BR</t>
  </si>
  <si>
    <t>NM793432566BR</t>
  </si>
  <si>
    <t>NM793432671BR</t>
  </si>
  <si>
    <t>NM793613625BR</t>
  </si>
  <si>
    <t>Em análise na alfândega</t>
  </si>
  <si>
    <t>NM793468225BR</t>
  </si>
  <si>
    <t>NM794614551BR</t>
  </si>
  <si>
    <t>NM794619647BR</t>
  </si>
  <si>
    <t>NM794509672BR</t>
  </si>
  <si>
    <t>NM794763493BR</t>
  </si>
  <si>
    <t>NM794422786BR</t>
  </si>
  <si>
    <t>NM794423747BR</t>
  </si>
  <si>
    <t>NM794420431BR</t>
  </si>
  <si>
    <t>NM794471402BR</t>
  </si>
  <si>
    <t>NM795427334BR</t>
  </si>
  <si>
    <t>NM795366290BR</t>
  </si>
  <si>
    <t>NM795250005BR</t>
  </si>
  <si>
    <t>NM795449913BR</t>
  </si>
  <si>
    <t>NM795452489BR</t>
  </si>
  <si>
    <t>NM795459133BR</t>
  </si>
  <si>
    <t>NM795472982BR</t>
  </si>
  <si>
    <t>NM795381310BR</t>
  </si>
  <si>
    <t>NM795380566BR</t>
  </si>
  <si>
    <t>NM798596898BR</t>
  </si>
  <si>
    <t>NM798729081BR</t>
  </si>
  <si>
    <t>NM798633437BR</t>
  </si>
  <si>
    <t>NM799617815BR</t>
  </si>
  <si>
    <t>NM799625349BR</t>
  </si>
  <si>
    <t>Teve reembolso</t>
  </si>
  <si>
    <t>NM799654455BR</t>
  </si>
  <si>
    <t>NM799632248BR</t>
  </si>
  <si>
    <t>NM799655059BR</t>
  </si>
  <si>
    <t>NM799660805BR</t>
  </si>
  <si>
    <t>NM799656805BR</t>
  </si>
  <si>
    <t>NM799629133BR</t>
  </si>
  <si>
    <t>NM799661235BR</t>
  </si>
  <si>
    <t>NM799650958BR</t>
  </si>
  <si>
    <t>NM799638078BR</t>
  </si>
  <si>
    <t>NM799634717BR</t>
  </si>
  <si>
    <t>NM800389052BR</t>
  </si>
  <si>
    <t>NM800397371BR</t>
  </si>
  <si>
    <t>NM800376898BR</t>
  </si>
  <si>
    <t>NM800404801BR</t>
  </si>
  <si>
    <t>NM800420322BR</t>
  </si>
  <si>
    <t>NM800411674BR</t>
  </si>
  <si>
    <t>NM800423195BR</t>
  </si>
  <si>
    <t>NM800455335BR</t>
  </si>
  <si>
    <t>NM800462115BR</t>
  </si>
  <si>
    <t>NM800954565BR</t>
  </si>
  <si>
    <t>NM800979831BR</t>
  </si>
  <si>
    <t>NM800871145BR</t>
  </si>
  <si>
    <t>NM800924268BR</t>
  </si>
  <si>
    <t>NM800974729BR</t>
  </si>
  <si>
    <t>NM801975867BR</t>
  </si>
  <si>
    <t>NM801844362BR</t>
  </si>
  <si>
    <t>NM801976377BR</t>
  </si>
  <si>
    <t>NM801862180BR</t>
  </si>
  <si>
    <t>NM801834060BR</t>
  </si>
  <si>
    <t>NM801728070BR</t>
  </si>
  <si>
    <t>NM801736990BR</t>
  </si>
  <si>
    <t>NM802606024BR</t>
  </si>
  <si>
    <t>NM802401839BR</t>
  </si>
  <si>
    <t>NM803567199BR</t>
  </si>
  <si>
    <t>CNBR00067602697</t>
  </si>
  <si>
    <t>NM804359382BR</t>
  </si>
  <si>
    <t>CNBR00067976989</t>
  </si>
  <si>
    <t>CNBR00067987712</t>
  </si>
  <si>
    <t>CNBR00067966364</t>
  </si>
  <si>
    <t>CNBR00067961899</t>
  </si>
  <si>
    <t>CNBR00067971719</t>
  </si>
  <si>
    <t>NM804316529BR</t>
  </si>
  <si>
    <t>NM804320007BR</t>
  </si>
  <si>
    <t>CNBR00067970904</t>
  </si>
  <si>
    <t>NM804316458BR</t>
  </si>
  <si>
    <t>NM804324445BR</t>
  </si>
  <si>
    <t>CNBR00067979952</t>
  </si>
  <si>
    <t>CNBR00067986395</t>
  </si>
  <si>
    <t>NM804389755BR</t>
  </si>
  <si>
    <t>NM804344989BR</t>
  </si>
  <si>
    <t>NM804881608BR</t>
  </si>
  <si>
    <t>NM805456805BR</t>
  </si>
  <si>
    <t>NM804886891BR</t>
  </si>
  <si>
    <t>CNBR00068313774</t>
  </si>
  <si>
    <t>CNBR00068311406</t>
  </si>
  <si>
    <t>NM804886415BR</t>
  </si>
  <si>
    <t>CNBR00068308455</t>
  </si>
  <si>
    <t>CNBR00068823114</t>
  </si>
  <si>
    <t>CNBR00068639153</t>
  </si>
  <si>
    <t>CNBR00068328043</t>
  </si>
  <si>
    <t>NM805376387BR</t>
  </si>
  <si>
    <t>NM805463789BR</t>
  </si>
  <si>
    <t>CNBR00069206496</t>
  </si>
  <si>
    <t>CNBR00068921267</t>
  </si>
  <si>
    <t>NM806530309BR</t>
  </si>
  <si>
    <t>NM805820525BR</t>
  </si>
  <si>
    <t>CNBR00070054599</t>
  </si>
  <si>
    <t>NM805834357BR</t>
  </si>
  <si>
    <t>NM805852660BR</t>
  </si>
  <si>
    <t>CNBR00070040943</t>
  </si>
  <si>
    <t>CNBR00070038472</t>
  </si>
  <si>
    <t>CNBR00070049685</t>
  </si>
  <si>
    <t>CNBR00070048771</t>
  </si>
  <si>
    <t>NM805881502BR</t>
  </si>
  <si>
    <t>NM809157254BR</t>
  </si>
  <si>
    <t>NM809131708BR</t>
  </si>
  <si>
    <t>NM809144264BR</t>
  </si>
  <si>
    <t>CNBR00070402909</t>
  </si>
  <si>
    <t>NM809156259BR</t>
  </si>
  <si>
    <t>NM809146605BR</t>
  </si>
  <si>
    <t>CNBR00070329452</t>
  </si>
  <si>
    <t>CNBR00070415541</t>
  </si>
  <si>
    <t>CNBR00070412635</t>
  </si>
  <si>
    <t>NM805891748BR</t>
  </si>
  <si>
    <t>CNBR00070931024</t>
  </si>
  <si>
    <t>NM809813065BR</t>
  </si>
  <si>
    <t>CNBR00070753926</t>
  </si>
  <si>
    <t>NM810990947BR</t>
  </si>
  <si>
    <t>NM810992395BR</t>
  </si>
  <si>
    <t>NM810703306BR</t>
  </si>
  <si>
    <t>CNBR00071218043</t>
  </si>
  <si>
    <t>NM810982557BR</t>
  </si>
  <si>
    <t>NM810757162BR</t>
  </si>
  <si>
    <t>CNBR00071131858</t>
  </si>
  <si>
    <t>CNBR00071135429</t>
  </si>
  <si>
    <t>NM810700976BR</t>
  </si>
  <si>
    <t>NM810766164BR</t>
  </si>
  <si>
    <t>NM811720107BR</t>
  </si>
  <si>
    <t>NM810834006BR</t>
  </si>
  <si>
    <t>CNBR00071551493</t>
  </si>
  <si>
    <t>NM811724126BR</t>
  </si>
  <si>
    <t>CNBR00071175291</t>
  </si>
  <si>
    <t>CNBR00071298246</t>
  </si>
  <si>
    <t>NM814639824BR</t>
  </si>
  <si>
    <t>NM816888104BR</t>
  </si>
  <si>
    <t>NM818357483BR</t>
  </si>
  <si>
    <t>NM818467515BR</t>
  </si>
  <si>
    <t>NM818437076BR</t>
  </si>
  <si>
    <t>NM818464672BR</t>
  </si>
  <si>
    <t>CNBR00073337783</t>
  </si>
  <si>
    <t>CNBR00073453633</t>
  </si>
  <si>
    <t>CNBR00073626107</t>
  </si>
  <si>
    <t>CNBR00073663121</t>
  </si>
  <si>
    <t>NM826494384BR</t>
  </si>
  <si>
    <t>NM827080070BR</t>
  </si>
  <si>
    <t>Não da pra acionar</t>
  </si>
  <si>
    <t>NM830357654BR</t>
  </si>
  <si>
    <t>CNBR00077431343</t>
  </si>
  <si>
    <t>NM840144614BR</t>
  </si>
  <si>
    <t>NM840168624BR</t>
  </si>
  <si>
    <t>NM842284367BR</t>
  </si>
  <si>
    <t>NM841264468BR</t>
  </si>
  <si>
    <t>CNBR00077666112</t>
  </si>
  <si>
    <t>Devolução</t>
  </si>
  <si>
    <t>NM846550978BR</t>
  </si>
  <si>
    <t>NM842310447BR</t>
  </si>
  <si>
    <t>NM842316609BR</t>
  </si>
  <si>
    <t>CNBR00078757668</t>
  </si>
  <si>
    <t>NM843949704BR</t>
  </si>
  <si>
    <t>CNBR00078755408</t>
  </si>
  <si>
    <t>NM849288757BR</t>
  </si>
  <si>
    <t>CNBR00078767632</t>
  </si>
  <si>
    <t>NM849309165BR</t>
  </si>
  <si>
    <t>NM849325401BR</t>
  </si>
  <si>
    <t>CNBR00078772211</t>
  </si>
  <si>
    <t>CNBR00078776603</t>
  </si>
  <si>
    <t>CNBR00078762945</t>
  </si>
  <si>
    <t>CNBR00079143099</t>
  </si>
  <si>
    <t>NM851456873BR</t>
  </si>
  <si>
    <t>NM851594702BR</t>
  </si>
  <si>
    <t>CNBR00079134965</t>
  </si>
  <si>
    <t>CNBR00079148178</t>
  </si>
  <si>
    <t>CNBR00079148745</t>
  </si>
  <si>
    <t>NM854447425BR</t>
  </si>
  <si>
    <t>CNBR00079781541</t>
  </si>
  <si>
    <t>NM854469575BR</t>
  </si>
  <si>
    <t>NM854609729BR</t>
  </si>
  <si>
    <t>NM854626086BR</t>
  </si>
  <si>
    <t>NM854647775BR</t>
  </si>
  <si>
    <t>CNBR00079871392</t>
  </si>
  <si>
    <t>CNBR00079867464</t>
  </si>
  <si>
    <t>CNBR00079884605</t>
  </si>
  <si>
    <t>NM855685704BR</t>
  </si>
  <si>
    <t>CNBR00079892533</t>
  </si>
  <si>
    <t>CNBR00079770790</t>
  </si>
  <si>
    <t>NM854469350BR</t>
  </si>
  <si>
    <t>NM856611243BR</t>
  </si>
  <si>
    <t>CNBR00080076787</t>
  </si>
  <si>
    <t>CNBR00080082360</t>
  </si>
  <si>
    <t>NM856661275BR</t>
  </si>
  <si>
    <t>CNBR00080090544</t>
  </si>
  <si>
    <t>NM856533135BR</t>
  </si>
  <si>
    <t>NM861963509BR</t>
  </si>
  <si>
    <t>NM862009426BR</t>
  </si>
  <si>
    <t>NM862136495BR</t>
  </si>
  <si>
    <t>CNBR00081409265</t>
  </si>
  <si>
    <t>NM862098063BR</t>
  </si>
  <si>
    <t>NM862124642BR</t>
  </si>
  <si>
    <t>NM857704499BR</t>
  </si>
  <si>
    <t>NM857703140BR</t>
  </si>
  <si>
    <t>CNBR00081557952</t>
  </si>
  <si>
    <t>CNBR00081564296</t>
  </si>
  <si>
    <t>NM858405213BR</t>
  </si>
  <si>
    <t>NM858447765BR</t>
  </si>
  <si>
    <t>NM858445932BR</t>
  </si>
  <si>
    <t>NM858592516BR</t>
  </si>
  <si>
    <t>CNBR00081559860</t>
  </si>
  <si>
    <t>CNBR00081562848</t>
  </si>
  <si>
    <t>CNBR00081570563</t>
  </si>
  <si>
    <t>NM858635375BR</t>
  </si>
  <si>
    <t>NM858645576BR</t>
  </si>
  <si>
    <t>CNBR00081565316</t>
  </si>
  <si>
    <t>CNBR00081565262</t>
  </si>
  <si>
    <t>CNBR00081561358</t>
  </si>
  <si>
    <t>NM875238643BR</t>
  </si>
  <si>
    <t>NM875253230BR</t>
  </si>
  <si>
    <t>NM875161825BR</t>
  </si>
  <si>
    <t>CNBR00089769239</t>
  </si>
  <si>
    <t>CNBR00092368385</t>
  </si>
  <si>
    <t>NM899146283BR</t>
  </si>
  <si>
    <t>NM898979215BR</t>
  </si>
  <si>
    <t>RETIRADA</t>
  </si>
  <si>
    <t>Cliente acionado</t>
  </si>
  <si>
    <t>NM910104565BR</t>
  </si>
  <si>
    <t>NM910127779BR</t>
  </si>
  <si>
    <t>NM910131359BR</t>
  </si>
  <si>
    <t>NM910151923BR</t>
  </si>
  <si>
    <t>NM910171494BR</t>
  </si>
  <si>
    <t>NM911206950BR</t>
  </si>
  <si>
    <t>Processando no armazém</t>
  </si>
  <si>
    <t>Nome resumido</t>
  </si>
  <si>
    <t>% Amazon</t>
  </si>
  <si>
    <t>Serviços</t>
  </si>
  <si>
    <t>% Lucro</t>
  </si>
  <si>
    <t>Liquido Dividido</t>
  </si>
  <si>
    <t>*Remover</t>
  </si>
  <si>
    <t>B0CTZHFBMB</t>
  </si>
  <si>
    <t>Mini Liquidificador</t>
  </si>
  <si>
    <t>B08MSY1SWG</t>
  </si>
  <si>
    <t>97-MQYD-ZDNL</t>
  </si>
  <si>
    <t>DY-U14L-1HAT</t>
  </si>
  <si>
    <t>Balança</t>
  </si>
  <si>
    <t>B08R9S8WNS</t>
  </si>
  <si>
    <t>HY-5H1H-AJOJ</t>
  </si>
  <si>
    <t>Suporte de Celular Branco</t>
  </si>
  <si>
    <t>B0CP69BRMC</t>
  </si>
  <si>
    <t>Suporte de Celular Preto</t>
  </si>
  <si>
    <t>B0CZGMS7RF</t>
  </si>
  <si>
    <t>AO-5372-XCGP</t>
  </si>
  <si>
    <t>Bomba d'agua</t>
  </si>
  <si>
    <t>B07Q37C1YB</t>
  </si>
  <si>
    <t>Ventilador Rosa</t>
  </si>
  <si>
    <t>B0D234F7YM</t>
  </si>
  <si>
    <t>Copo Termico</t>
  </si>
  <si>
    <t>Multi Processador 5 Laminas</t>
  </si>
  <si>
    <t>B0CM276C33</t>
  </si>
  <si>
    <t>Garrafa Termica</t>
  </si>
  <si>
    <t>B0CRJYYC1P</t>
  </si>
  <si>
    <t>9M-53V0-PIR7</t>
  </si>
  <si>
    <t>Suporte de Celular com Regulagem</t>
  </si>
  <si>
    <t>B07B3X26ZY</t>
  </si>
  <si>
    <t>2J-5U0S-EBE9</t>
  </si>
  <si>
    <t>S2-18SU-4N1O</t>
  </si>
  <si>
    <t>Suporte de Celular Tripe</t>
  </si>
  <si>
    <t>B07PZL6798</t>
  </si>
  <si>
    <t>Ventilador Azul</t>
  </si>
  <si>
    <t>M3-G6KA-MSD3</t>
  </si>
  <si>
    <t>Ventilador Branco</t>
  </si>
  <si>
    <t>Ventilador de teto</t>
  </si>
  <si>
    <t>Ventilador Preto</t>
  </si>
  <si>
    <t>B086DNCDHV</t>
  </si>
  <si>
    <t>6C-UPIV-B1WI</t>
  </si>
  <si>
    <t>Adaptador Bluetooph</t>
  </si>
  <si>
    <t>Ventilador Umidificador</t>
  </si>
  <si>
    <t>B0CJB29G4B</t>
  </si>
  <si>
    <t>Lampada Led</t>
  </si>
  <si>
    <t>B0CKLPX753</t>
  </si>
  <si>
    <t>HT-584Y-JXRV</t>
  </si>
  <si>
    <t>Multi Processador USB 3 Laminas</t>
  </si>
  <si>
    <t>B0CTXMNFBT</t>
  </si>
  <si>
    <t>Ventilador Umidificador Preto</t>
  </si>
  <si>
    <t>B0CF6YWPSC</t>
  </si>
  <si>
    <t>ZB-P9NA-CGSM</t>
  </si>
  <si>
    <t>B0CWK8ZY1B</t>
  </si>
  <si>
    <t>K0-LG36-EQYD</t>
  </si>
  <si>
    <t>BL-86P8-QMHY</t>
  </si>
  <si>
    <t>Ventilador Umidificador Branco</t>
  </si>
  <si>
    <t>B07BHZX1PR</t>
  </si>
  <si>
    <t>X0-JN40-4J2G</t>
  </si>
  <si>
    <t>Mini Mixer Misturador</t>
  </si>
  <si>
    <t>B07PNQVGD2</t>
  </si>
  <si>
    <t>MJ-MD4A-248D</t>
  </si>
  <si>
    <t>Caixinha de som Preta</t>
  </si>
  <si>
    <t>ZH-W7DR-6T3J</t>
  </si>
  <si>
    <t>B0D7DFB5F1</t>
  </si>
  <si>
    <t>NA-VGCW-3CS7</t>
  </si>
  <si>
    <t>Karaoke portátil</t>
  </si>
  <si>
    <t>AB-2YHF-JTLX</t>
  </si>
  <si>
    <t>Suporte para Notebook</t>
  </si>
  <si>
    <t>Webcam</t>
  </si>
  <si>
    <t>PM-TXBL-KXCZ</t>
  </si>
  <si>
    <t>Headset</t>
  </si>
  <si>
    <t>Cortador de Legumes</t>
  </si>
  <si>
    <t>Relógio Smart</t>
  </si>
  <si>
    <t>Escova Multifuncional</t>
  </si>
  <si>
    <t>Kit Forma de Gelo c/ Tampa 4 un</t>
  </si>
  <si>
    <t>IG-SP39-FBLL</t>
  </si>
  <si>
    <t>Kit de Ferramentas para Eletrônicos</t>
  </si>
  <si>
    <t>B0DZ4Z3FDY</t>
  </si>
  <si>
    <t>Luminária Azul de mesa infantil</t>
  </si>
  <si>
    <t>B0DZ4NJ9BK</t>
  </si>
  <si>
    <t>VM-Y79C-KN70</t>
  </si>
  <si>
    <t>Luminária Rosa de mesa infantil</t>
  </si>
  <si>
    <t>B0C52C1LZX</t>
  </si>
  <si>
    <t>Brinquedo Bola Giratória voadora</t>
  </si>
  <si>
    <t>B0CNGG24ZP</t>
  </si>
  <si>
    <t>Fone de ouvido XT60</t>
  </si>
  <si>
    <t>B0CPFTQ8HZ</t>
  </si>
  <si>
    <t>ZE-5NLF-6C4T</t>
  </si>
  <si>
    <t>IS-YZ3X-OY7G</t>
  </si>
  <si>
    <t>Hand Grip Fortalecedor</t>
  </si>
  <si>
    <t>B0BH9GN5T7</t>
  </si>
  <si>
    <t>Máquina de cortar cabelo dragão</t>
  </si>
  <si>
    <t>B0CWB3CWJ5</t>
  </si>
  <si>
    <t>AL-R6HG-0NAX</t>
  </si>
  <si>
    <t>Maçarico Culinário Portátil</t>
  </si>
  <si>
    <t>B079KTN1H2</t>
  </si>
  <si>
    <t>E3-IFCN-2XUZ</t>
  </si>
  <si>
    <t>Bolsa térmica</t>
  </si>
  <si>
    <t>B0CSF16TNS</t>
  </si>
  <si>
    <t>GR-RU8K-LII4</t>
  </si>
  <si>
    <t>76-R4HE-ZX8P</t>
  </si>
  <si>
    <t>MO-Z5K2-SETM</t>
  </si>
  <si>
    <t>Kit c 12 und utensílios de cozinha</t>
  </si>
  <si>
    <t>FECHAMENTO DE CAIXA</t>
  </si>
  <si>
    <t>CONTA</t>
  </si>
  <si>
    <t>Retorno de Pedidos</t>
  </si>
  <si>
    <t>Entrada</t>
  </si>
  <si>
    <t>Saída Conta</t>
  </si>
  <si>
    <t>Atual</t>
  </si>
  <si>
    <t>Banco CPF</t>
  </si>
  <si>
    <t>Banco Mei</t>
  </si>
  <si>
    <t>Diferença</t>
  </si>
  <si>
    <t>Valor</t>
  </si>
  <si>
    <t>Saldo Serviços Mayara</t>
  </si>
  <si>
    <t>Saldo Inicial</t>
  </si>
  <si>
    <t>Transferido de M</t>
  </si>
  <si>
    <t>Depositado Mayara</t>
  </si>
  <si>
    <t>Adiantado de B</t>
  </si>
  <si>
    <t>Depositado Bruno</t>
  </si>
  <si>
    <t>Valores Proxy</t>
  </si>
  <si>
    <t>Valores Lucas</t>
  </si>
  <si>
    <t>Fat Bruto</t>
  </si>
  <si>
    <t>Amazon Líquido</t>
  </si>
  <si>
    <t>Custo Produto</t>
  </si>
  <si>
    <t>Valor SMS</t>
  </si>
  <si>
    <t>Valor Proxy</t>
  </si>
  <si>
    <t>Ocorrências</t>
  </si>
  <si>
    <t>Faturamento Liquido</t>
  </si>
  <si>
    <t>Faturado</t>
  </si>
  <si>
    <t>Pendente</t>
  </si>
  <si>
    <t>Aguardando Pix</t>
  </si>
  <si>
    <t>TRANSFERÊNCIA FECHAMENTO ANTERIOR</t>
  </si>
  <si>
    <t>Valores Transferidos pela Amazon</t>
  </si>
  <si>
    <t>Visa Crédito</t>
  </si>
  <si>
    <t>Crédito Mastercard e outros</t>
  </si>
  <si>
    <t>Amex</t>
  </si>
  <si>
    <t>Elo</t>
  </si>
  <si>
    <t>Boleto</t>
  </si>
  <si>
    <t>Soma</t>
  </si>
  <si>
    <t>VOLTARÁ PRA LOJA</t>
  </si>
  <si>
    <t>ADIANTADO</t>
  </si>
  <si>
    <t>Transferido Amazon</t>
  </si>
  <si>
    <t>Fat Líquido</t>
  </si>
  <si>
    <t>Bárbara</t>
  </si>
  <si>
    <t>Total mês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</si>
  <si>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</si>
  <si>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</si>
  <si>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</si>
  <si>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</si>
  <si>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</si>
  <si>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</si>
  <si>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</si>
  <si>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</si>
  <si>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</si>
  <si>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</si>
  <si>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</si>
  <si>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Soma de Valor Compra</t>
  </si>
  <si>
    <t>Soma de SMS</t>
  </si>
  <si>
    <t>Soma de PROXY</t>
  </si>
  <si>
    <t>Soma de Valor Ocorrência</t>
  </si>
  <si>
    <t>Soma de Valor Liquido</t>
  </si>
  <si>
    <t>Soma de Liquido Final</t>
  </si>
  <si>
    <t>Aguardando Liberação</t>
  </si>
  <si>
    <t>Contagem de Data Compra</t>
  </si>
  <si>
    <t>2025 10</t>
  </si>
  <si>
    <t>LOJA</t>
  </si>
  <si>
    <t>1ª Q</t>
  </si>
  <si>
    <t>2ª Q</t>
  </si>
  <si>
    <t>TT</t>
  </si>
  <si>
    <t>2025 09</t>
  </si>
  <si>
    <t>LOJA MEI</t>
  </si>
  <si>
    <t>LOJA GO</t>
  </si>
  <si>
    <t>Contagem de Nome Produto</t>
  </si>
  <si>
    <t>Contagem de Data Reembolso</t>
  </si>
  <si>
    <t>Serviço</t>
  </si>
  <si>
    <t>Valor Inicial</t>
  </si>
  <si>
    <t>Recarga</t>
  </si>
  <si>
    <t>Bonus</t>
  </si>
  <si>
    <t>Saldo</t>
  </si>
  <si>
    <t>Gasto</t>
  </si>
  <si>
    <t>Pedidos</t>
  </si>
  <si>
    <t>Valor p/ pedido</t>
  </si>
  <si>
    <t>Pagamento</t>
  </si>
  <si>
    <t>Bots</t>
  </si>
  <si>
    <t>NOTZ</t>
  </si>
  <si>
    <t>CENTER</t>
  </si>
  <si>
    <t>Pendente GO - DIA 10/03</t>
  </si>
  <si>
    <t>Pendente GO</t>
  </si>
  <si>
    <t>MAIL</t>
  </si>
  <si>
    <t>GB</t>
  </si>
  <si>
    <t>Valor por GB</t>
  </si>
  <si>
    <t>GB atual</t>
  </si>
  <si>
    <t>Gasto total</t>
  </si>
  <si>
    <t>Gasto do dia</t>
  </si>
  <si>
    <t>Qtd Pedidos</t>
  </si>
  <si>
    <t>Valor por pedido</t>
  </si>
  <si>
    <t>Pago</t>
  </si>
  <si>
    <t>Anterior</t>
  </si>
  <si>
    <t>MAYARA</t>
  </si>
  <si>
    <t>DataImpulse</t>
  </si>
  <si>
    <t>DataImpulse Gio</t>
  </si>
  <si>
    <t>Número Pedido Cliente</t>
  </si>
  <si>
    <t>Data Depósito</t>
  </si>
  <si>
    <t>VPN</t>
  </si>
  <si>
    <t>Ferramentas Externas</t>
  </si>
  <si>
    <t>Fornecedor Reembolsou?</t>
  </si>
  <si>
    <t>Pedido Fornecedor</t>
  </si>
  <si>
    <t>Pedido Cliente</t>
  </si>
  <si>
    <t>CPF Cliente</t>
  </si>
  <si>
    <t>Cód Rastreamento</t>
  </si>
  <si>
    <t>NÃO</t>
  </si>
  <si>
    <t>REEMBOLSO</t>
  </si>
  <si>
    <t>Tipo Ocorrência</t>
  </si>
  <si>
    <t>Perdi o acesso  Verificar se haverá reclamação</t>
  </si>
  <si>
    <t>Extravio Entregas</t>
  </si>
  <si>
    <t>Valor Pedido</t>
  </si>
  <si>
    <t>RECLAMAÇÃO</t>
  </si>
  <si>
    <t>Ativo</t>
  </si>
  <si>
    <t>Inativo</t>
  </si>
  <si>
    <t>NCIM</t>
  </si>
  <si>
    <t>Data Inicío Vigência</t>
  </si>
  <si>
    <t>Preço Venda</t>
  </si>
  <si>
    <t>% E-commerce</t>
  </si>
  <si>
    <t>Taxa E-commerce</t>
  </si>
  <si>
    <t>E-Commerce Líquido</t>
  </si>
  <si>
    <t>Valor Bruto</t>
  </si>
  <si>
    <t>Taxa E-Commerce</t>
  </si>
  <si>
    <t>Nome produto</t>
  </si>
  <si>
    <t>Tel 1</t>
  </si>
  <si>
    <t>Tel 2</t>
  </si>
  <si>
    <t>Tel 6</t>
  </si>
  <si>
    <t>Tel 3</t>
  </si>
  <si>
    <t>Tel 4</t>
  </si>
  <si>
    <t>Tel 5</t>
  </si>
  <si>
    <t>Tel 7</t>
  </si>
  <si>
    <t>Tel 8</t>
  </si>
  <si>
    <t>Tel 9</t>
  </si>
  <si>
    <t>Tel 10</t>
  </si>
  <si>
    <t>Tel 11</t>
  </si>
  <si>
    <t>Tel 12</t>
  </si>
  <si>
    <t>Tel 13</t>
  </si>
  <si>
    <t>Tel 14</t>
  </si>
  <si>
    <t>Tel 15</t>
  </si>
  <si>
    <t>Tel 16</t>
  </si>
  <si>
    <t>Tel 17</t>
  </si>
  <si>
    <t>Tel 18</t>
  </si>
  <si>
    <t>Tel 19</t>
  </si>
  <si>
    <t>Tel 20</t>
  </si>
  <si>
    <t>Tel 21</t>
  </si>
  <si>
    <t>Tel 22</t>
  </si>
  <si>
    <t>Tel 23</t>
  </si>
  <si>
    <t>Tel 24</t>
  </si>
  <si>
    <t>Tel 25</t>
  </si>
  <si>
    <t>Tel 26</t>
  </si>
  <si>
    <t>Tel 27</t>
  </si>
  <si>
    <t>Tel 28</t>
  </si>
  <si>
    <t>Tel 29</t>
  </si>
  <si>
    <t>Tel 30</t>
  </si>
  <si>
    <t>Tel 31</t>
  </si>
  <si>
    <t>Tel 32</t>
  </si>
  <si>
    <t>Tel 33</t>
  </si>
  <si>
    <t>Tel 34</t>
  </si>
  <si>
    <t>Tel 35</t>
  </si>
  <si>
    <t>Tel 36</t>
  </si>
  <si>
    <t>Tel 37</t>
  </si>
  <si>
    <t>Tel 38</t>
  </si>
  <si>
    <t>Tel 39</t>
  </si>
  <si>
    <t>Tel 40</t>
  </si>
  <si>
    <t>Tel 41</t>
  </si>
  <si>
    <t>Tel 42</t>
  </si>
  <si>
    <t>Tel 43</t>
  </si>
  <si>
    <t>Tel 44</t>
  </si>
  <si>
    <t>Tel 45</t>
  </si>
  <si>
    <t>Tel 46</t>
  </si>
  <si>
    <t>Tel 47</t>
  </si>
  <si>
    <t>Tel 48</t>
  </si>
  <si>
    <t>Tel 49</t>
  </si>
  <si>
    <t>Tel 50</t>
  </si>
  <si>
    <t>Tel 51</t>
  </si>
  <si>
    <t>Tel 52</t>
  </si>
  <si>
    <t>Tel 53</t>
  </si>
  <si>
    <t>Tel 54</t>
  </si>
  <si>
    <t>Tel 55</t>
  </si>
  <si>
    <t>Tel 56</t>
  </si>
  <si>
    <t>Tel 57</t>
  </si>
  <si>
    <t>Tel 58</t>
  </si>
  <si>
    <t>Tel 59</t>
  </si>
  <si>
    <t>Tel 60</t>
  </si>
  <si>
    <t>Tel 61</t>
  </si>
  <si>
    <t>Tel 62</t>
  </si>
  <si>
    <t>Tel 63</t>
  </si>
  <si>
    <t>Tel 64</t>
  </si>
  <si>
    <t>Tel 65</t>
  </si>
  <si>
    <t>Tel 66</t>
  </si>
  <si>
    <t>Tel 67</t>
  </si>
  <si>
    <t>Tel 68</t>
  </si>
  <si>
    <t>Tel 69</t>
  </si>
  <si>
    <t>Tel 70</t>
  </si>
  <si>
    <t>Tel 71</t>
  </si>
  <si>
    <t>Tel 72</t>
  </si>
  <si>
    <t>Tel 73</t>
  </si>
  <si>
    <t>Tel 74</t>
  </si>
  <si>
    <t>Tel 75</t>
  </si>
  <si>
    <t>Tel 76</t>
  </si>
  <si>
    <t>Tel 77</t>
  </si>
  <si>
    <t>Tel 78</t>
  </si>
  <si>
    <t>Tel 79</t>
  </si>
  <si>
    <t>Tel 80</t>
  </si>
  <si>
    <t>Tel 81</t>
  </si>
  <si>
    <t>Tel 82</t>
  </si>
  <si>
    <t>Tel 83</t>
  </si>
  <si>
    <t>Tel 84</t>
  </si>
  <si>
    <t>Tel 85</t>
  </si>
  <si>
    <t>Tel 86</t>
  </si>
  <si>
    <t>Tel 87</t>
  </si>
  <si>
    <t>Tel 88</t>
  </si>
  <si>
    <t>Tel 89</t>
  </si>
  <si>
    <t>Tel 90</t>
  </si>
  <si>
    <t>Tel 91</t>
  </si>
  <si>
    <t>Tel 92</t>
  </si>
  <si>
    <t>Tel 93</t>
  </si>
  <si>
    <t>Tel 94</t>
  </si>
  <si>
    <t>Tel 95</t>
  </si>
  <si>
    <t>Tel 96</t>
  </si>
  <si>
    <t>Tel 97</t>
  </si>
  <si>
    <t>Tel 98</t>
  </si>
  <si>
    <t>Tel 99</t>
  </si>
  <si>
    <t>Tel 100</t>
  </si>
  <si>
    <t>Tel 101</t>
  </si>
  <si>
    <t>Tel 102</t>
  </si>
  <si>
    <t>Tel 103</t>
  </si>
  <si>
    <t>Tel 104</t>
  </si>
  <si>
    <t>Tel 105</t>
  </si>
  <si>
    <t>Tel 106</t>
  </si>
  <si>
    <t>Tel 107</t>
  </si>
  <si>
    <t>Tel 108</t>
  </si>
  <si>
    <t>Tel 109</t>
  </si>
  <si>
    <t>Tel 110</t>
  </si>
  <si>
    <t>Tel 111</t>
  </si>
  <si>
    <t>Tel 112</t>
  </si>
  <si>
    <t>Tel 113</t>
  </si>
  <si>
    <t>Tel 114</t>
  </si>
  <si>
    <t>Tel 115</t>
  </si>
  <si>
    <t>Tel 116</t>
  </si>
  <si>
    <t>Tel 117</t>
  </si>
  <si>
    <t>Tel 118</t>
  </si>
  <si>
    <t>Tel 119</t>
  </si>
  <si>
    <t>Tel 120</t>
  </si>
  <si>
    <t>Tel 121</t>
  </si>
  <si>
    <t>Tel 122</t>
  </si>
  <si>
    <t>Tel 123</t>
  </si>
  <si>
    <t>Tel 124</t>
  </si>
  <si>
    <t>Tel 125</t>
  </si>
  <si>
    <t>Tel 126</t>
  </si>
  <si>
    <t>Tel 127</t>
  </si>
  <si>
    <t>Tel 128</t>
  </si>
  <si>
    <t>Tel 129</t>
  </si>
  <si>
    <t>Tel 130</t>
  </si>
  <si>
    <t>Tel 131</t>
  </si>
  <si>
    <t>Tel 132</t>
  </si>
  <si>
    <t>Tel 133</t>
  </si>
  <si>
    <t>Tel 134</t>
  </si>
  <si>
    <t>Tel 135</t>
  </si>
  <si>
    <t>Tel 136</t>
  </si>
  <si>
    <t>Tel 137</t>
  </si>
  <si>
    <t>Tel 138</t>
  </si>
  <si>
    <t>Tel 139</t>
  </si>
  <si>
    <t>Tel 140</t>
  </si>
  <si>
    <t>Tel 141</t>
  </si>
  <si>
    <t>Tel 142</t>
  </si>
  <si>
    <t>Tel 143</t>
  </si>
  <si>
    <t>Tel 144</t>
  </si>
  <si>
    <t>Tel 145</t>
  </si>
  <si>
    <t>Tel 146</t>
  </si>
  <si>
    <t>Tel 147</t>
  </si>
  <si>
    <t>Tel 148</t>
  </si>
  <si>
    <t>Tel 149</t>
  </si>
  <si>
    <t>Tel 150</t>
  </si>
  <si>
    <t>Tel 151</t>
  </si>
  <si>
    <t>Tel 152</t>
  </si>
  <si>
    <t>Tel 153</t>
  </si>
  <si>
    <t>Tel 154</t>
  </si>
  <si>
    <t>Tel 155</t>
  </si>
  <si>
    <t>Tel 156</t>
  </si>
  <si>
    <t>Tel 157</t>
  </si>
  <si>
    <t>Tel 158</t>
  </si>
  <si>
    <t>Tel 159</t>
  </si>
  <si>
    <t>Tel 160</t>
  </si>
  <si>
    <t>Tel 161</t>
  </si>
  <si>
    <t>Tel 162</t>
  </si>
  <si>
    <t>Tel 163</t>
  </si>
  <si>
    <t>Tel 164</t>
  </si>
  <si>
    <t>Tel 165</t>
  </si>
  <si>
    <t>Tel 166</t>
  </si>
  <si>
    <t>Tel 167</t>
  </si>
  <si>
    <t>Tel 168</t>
  </si>
  <si>
    <t>Tel 169</t>
  </si>
  <si>
    <t>Tel 170</t>
  </si>
  <si>
    <t>Tel 171</t>
  </si>
  <si>
    <t>Tel 172</t>
  </si>
  <si>
    <t>Tel 173</t>
  </si>
  <si>
    <t>Tel 174</t>
  </si>
  <si>
    <t>Tel 175</t>
  </si>
  <si>
    <t>Tel 176</t>
  </si>
  <si>
    <t>Tel 177</t>
  </si>
  <si>
    <t>Tel 178</t>
  </si>
  <si>
    <t>Tel 179</t>
  </si>
  <si>
    <t>Tel 180</t>
  </si>
  <si>
    <t>Tel 181</t>
  </si>
  <si>
    <t>Tel 182</t>
  </si>
  <si>
    <t>Tel 183</t>
  </si>
  <si>
    <t>Tel 184</t>
  </si>
  <si>
    <t>Tel 185</t>
  </si>
  <si>
    <t>Tel 186</t>
  </si>
  <si>
    <t>Tel 187</t>
  </si>
  <si>
    <t>Tel 188</t>
  </si>
  <si>
    <t>Tel 189</t>
  </si>
  <si>
    <t>Tel 190</t>
  </si>
  <si>
    <t>Tel 191</t>
  </si>
  <si>
    <t>Tel 192</t>
  </si>
  <si>
    <t>Tel 193</t>
  </si>
  <si>
    <t>Tel 194</t>
  </si>
  <si>
    <t>Tel 195</t>
  </si>
  <si>
    <t>Tel 196</t>
  </si>
  <si>
    <t>Tel 197</t>
  </si>
  <si>
    <t>Tel 198</t>
  </si>
  <si>
    <t>Tel 199</t>
  </si>
  <si>
    <t>Tel 200</t>
  </si>
  <si>
    <t>Tel 201</t>
  </si>
  <si>
    <t>Tel 202</t>
  </si>
  <si>
    <t>Tel 203</t>
  </si>
  <si>
    <t>Tel 204</t>
  </si>
  <si>
    <t>Tel 205</t>
  </si>
  <si>
    <t>Tel 206</t>
  </si>
  <si>
    <t>Tel 207</t>
  </si>
  <si>
    <t>Tel 208</t>
  </si>
  <si>
    <t>Tel 209</t>
  </si>
  <si>
    <t>Tel 210</t>
  </si>
  <si>
    <t>Tel 211</t>
  </si>
  <si>
    <t>Tel 212</t>
  </si>
  <si>
    <t>Tel 213</t>
  </si>
  <si>
    <t>Tel 214</t>
  </si>
  <si>
    <t>Tel 215</t>
  </si>
  <si>
    <t>Tel 216</t>
  </si>
  <si>
    <t>Tel 217</t>
  </si>
  <si>
    <t>Tel 218</t>
  </si>
  <si>
    <t>Tel 219</t>
  </si>
  <si>
    <t>Tel 220</t>
  </si>
  <si>
    <t>Tel 221</t>
  </si>
  <si>
    <t>Tel 222</t>
  </si>
  <si>
    <t>Tel 223</t>
  </si>
  <si>
    <t>Tel 224</t>
  </si>
  <si>
    <t>Tel 225</t>
  </si>
  <si>
    <t>Tel 226</t>
  </si>
  <si>
    <t>Tel 227</t>
  </si>
  <si>
    <t>Tel 228</t>
  </si>
  <si>
    <t>Tel 229</t>
  </si>
  <si>
    <t>Tel 230</t>
  </si>
  <si>
    <t>Tel 231</t>
  </si>
  <si>
    <t>Tel 232</t>
  </si>
  <si>
    <t>Tel 233</t>
  </si>
  <si>
    <t>Tel 234</t>
  </si>
  <si>
    <t>Tel 235</t>
  </si>
  <si>
    <t>Tel 236</t>
  </si>
  <si>
    <t>Tel 237</t>
  </si>
  <si>
    <t>Tel 238</t>
  </si>
  <si>
    <t>Tel 239</t>
  </si>
  <si>
    <t>Tel 240</t>
  </si>
  <si>
    <t>Tel 241</t>
  </si>
  <si>
    <t>Tel 242</t>
  </si>
  <si>
    <t>Tel 243</t>
  </si>
  <si>
    <t>Tel 244</t>
  </si>
  <si>
    <t>Tel 245</t>
  </si>
  <si>
    <t>Tel 246</t>
  </si>
  <si>
    <t>Tel 247</t>
  </si>
  <si>
    <t>Tel 248</t>
  </si>
  <si>
    <t>Tel 249</t>
  </si>
  <si>
    <t>Tel 250</t>
  </si>
  <si>
    <t>Tel 251</t>
  </si>
  <si>
    <t>Tel 252</t>
  </si>
  <si>
    <t>Tel 253</t>
  </si>
  <si>
    <t>Tel 254</t>
  </si>
  <si>
    <t>Tel 255</t>
  </si>
  <si>
    <t>Tel 256</t>
  </si>
  <si>
    <t>Tel 257</t>
  </si>
  <si>
    <t>Tel 258</t>
  </si>
  <si>
    <t>Tel 259</t>
  </si>
  <si>
    <t>Tel 260</t>
  </si>
  <si>
    <t>Tel 261</t>
  </si>
  <si>
    <t>Tel 262</t>
  </si>
  <si>
    <t>Tel 263</t>
  </si>
  <si>
    <t>Tel 264</t>
  </si>
  <si>
    <t>Tel 265</t>
  </si>
  <si>
    <t>Tel 266</t>
  </si>
  <si>
    <t>Tel 267</t>
  </si>
  <si>
    <t>Tel 268</t>
  </si>
  <si>
    <t>Tel 269</t>
  </si>
  <si>
    <t>Tel 270</t>
  </si>
  <si>
    <t>Tel 271</t>
  </si>
  <si>
    <t>Tel 272</t>
  </si>
  <si>
    <t>Tel 273</t>
  </si>
  <si>
    <t>Tel 274</t>
  </si>
  <si>
    <t>Tel 275</t>
  </si>
  <si>
    <t>Tel 276</t>
  </si>
  <si>
    <t>Tel 277</t>
  </si>
  <si>
    <t>Tel 278</t>
  </si>
  <si>
    <t>Tel 279</t>
  </si>
  <si>
    <t>Tel 280</t>
  </si>
  <si>
    <t>Tel 281</t>
  </si>
  <si>
    <t>Tel 282</t>
  </si>
  <si>
    <t>Tel 283</t>
  </si>
  <si>
    <t>Tel 284</t>
  </si>
  <si>
    <t>Tel 285</t>
  </si>
  <si>
    <t>Tel 286</t>
  </si>
  <si>
    <t>Tel 287</t>
  </si>
  <si>
    <t>Tel 288</t>
  </si>
  <si>
    <t>Tel 289</t>
  </si>
  <si>
    <t>Tel 290</t>
  </si>
  <si>
    <t>Tel 291</t>
  </si>
  <si>
    <t>Tel 292</t>
  </si>
  <si>
    <t>Tel 293</t>
  </si>
  <si>
    <t>Tel 294</t>
  </si>
  <si>
    <t>Tel 295</t>
  </si>
  <si>
    <t>Tel 296</t>
  </si>
  <si>
    <t>Tel 297</t>
  </si>
  <si>
    <t>Tel 298</t>
  </si>
  <si>
    <t>Tel 299</t>
  </si>
  <si>
    <t>Tel 300</t>
  </si>
  <si>
    <t>Tel 301</t>
  </si>
  <si>
    <t>Tel 302</t>
  </si>
  <si>
    <t>Tel 303</t>
  </si>
  <si>
    <t>Tel 304</t>
  </si>
  <si>
    <t>Tel 305</t>
  </si>
  <si>
    <t>Tel 306</t>
  </si>
  <si>
    <t>Tel 307</t>
  </si>
  <si>
    <t>Tel 308</t>
  </si>
  <si>
    <t>Tel 309</t>
  </si>
  <si>
    <t>Tel 310</t>
  </si>
  <si>
    <t>Tel 311</t>
  </si>
  <si>
    <t>Tel 312</t>
  </si>
  <si>
    <t>Tel 313</t>
  </si>
  <si>
    <t>Tel 314</t>
  </si>
  <si>
    <t>Tel 315</t>
  </si>
  <si>
    <t>Tel 316</t>
  </si>
  <si>
    <t>Tel 317</t>
  </si>
  <si>
    <t>Tel 318</t>
  </si>
  <si>
    <t>Tel 319</t>
  </si>
  <si>
    <t>Tel 320</t>
  </si>
  <si>
    <t>Tel 321</t>
  </si>
  <si>
    <t>Tel 322</t>
  </si>
  <si>
    <t>Tel 323</t>
  </si>
  <si>
    <t>Tel 324</t>
  </si>
  <si>
    <t>Tel 325</t>
  </si>
  <si>
    <t>Tel 326</t>
  </si>
  <si>
    <t>Tel 327</t>
  </si>
  <si>
    <t>Tel 328</t>
  </si>
  <si>
    <t>Tel 329</t>
  </si>
  <si>
    <t>Tel 330</t>
  </si>
  <si>
    <t>Tel 331</t>
  </si>
  <si>
    <t>Tel 332</t>
  </si>
  <si>
    <t>Tel 333</t>
  </si>
  <si>
    <t>Tel 334</t>
  </si>
  <si>
    <t>Tel 335</t>
  </si>
  <si>
    <t>Tel 336</t>
  </si>
  <si>
    <t>Tel 337</t>
  </si>
  <si>
    <t>Tel 338</t>
  </si>
  <si>
    <t>Tel 339</t>
  </si>
  <si>
    <t>Tel 340</t>
  </si>
  <si>
    <t>Tel 341</t>
  </si>
  <si>
    <t>Tel 342</t>
  </si>
  <si>
    <t>Tel 343</t>
  </si>
  <si>
    <t>Tel 344</t>
  </si>
  <si>
    <t>Tel 345</t>
  </si>
  <si>
    <t>Tel 346</t>
  </si>
  <si>
    <t>Tel 347</t>
  </si>
  <si>
    <t>Tel 348</t>
  </si>
  <si>
    <t>Tel 349</t>
  </si>
  <si>
    <t>Tel 350</t>
  </si>
  <si>
    <t>Tel 351</t>
  </si>
  <si>
    <t>Tel 352</t>
  </si>
  <si>
    <t>Tel 353</t>
  </si>
  <si>
    <t>Tel 354</t>
  </si>
  <si>
    <t>Tel 355</t>
  </si>
  <si>
    <t>Tel 356</t>
  </si>
  <si>
    <t>Tel 357</t>
  </si>
  <si>
    <t>Tel 358</t>
  </si>
  <si>
    <t>Tel 359</t>
  </si>
  <si>
    <t>Tel 360</t>
  </si>
  <si>
    <t>Tel 361</t>
  </si>
  <si>
    <t>Tel 362</t>
  </si>
  <si>
    <t>Tel 363</t>
  </si>
  <si>
    <t>Tel 364</t>
  </si>
  <si>
    <t>Tel 365</t>
  </si>
  <si>
    <t>Tel 366</t>
  </si>
  <si>
    <t>Tel 367</t>
  </si>
  <si>
    <t>Tel 368</t>
  </si>
  <si>
    <t>Tel 369</t>
  </si>
  <si>
    <t>Tel 370</t>
  </si>
  <si>
    <t>Tel 371</t>
  </si>
  <si>
    <t>Tel 372</t>
  </si>
  <si>
    <t>Tel 373</t>
  </si>
  <si>
    <t>Tel 374</t>
  </si>
  <si>
    <t>Tel 375</t>
  </si>
  <si>
    <t>Tel 376</t>
  </si>
  <si>
    <t>Tel 377</t>
  </si>
  <si>
    <t>Tel 378</t>
  </si>
  <si>
    <t>Tel 379</t>
  </si>
  <si>
    <t>Tel 380</t>
  </si>
  <si>
    <t>Tel 381</t>
  </si>
  <si>
    <t>Tel 382</t>
  </si>
  <si>
    <t>Tel 383</t>
  </si>
  <si>
    <t>Tel 384</t>
  </si>
  <si>
    <t>Tel 385</t>
  </si>
  <si>
    <t>Tel 386</t>
  </si>
  <si>
    <t>Tel 387</t>
  </si>
  <si>
    <t>Tel 388</t>
  </si>
  <si>
    <t>Tel 389</t>
  </si>
  <si>
    <t>Tel 390</t>
  </si>
  <si>
    <t>Tel 391</t>
  </si>
  <si>
    <t>Tel 392</t>
  </si>
  <si>
    <t>Tel 393</t>
  </si>
  <si>
    <t>Tel 394</t>
  </si>
  <si>
    <t>Tel 395</t>
  </si>
  <si>
    <t>Tel 396</t>
  </si>
  <si>
    <t>Tel 397</t>
  </si>
  <si>
    <t>Tel 398</t>
  </si>
  <si>
    <t>Tel 399</t>
  </si>
  <si>
    <t>Tel 400</t>
  </si>
  <si>
    <t>Tel 401</t>
  </si>
  <si>
    <t>Tel 402</t>
  </si>
  <si>
    <t>Tel 403</t>
  </si>
  <si>
    <t>Tel 404</t>
  </si>
  <si>
    <t>Tel 405</t>
  </si>
  <si>
    <t>Tel 406</t>
  </si>
  <si>
    <t>Tel 407</t>
  </si>
  <si>
    <t>Tel 408</t>
  </si>
  <si>
    <t>Tel 409</t>
  </si>
  <si>
    <t>Tel 410</t>
  </si>
  <si>
    <t>Tel 411</t>
  </si>
  <si>
    <t>Tel 412</t>
  </si>
  <si>
    <t>Tel 413</t>
  </si>
  <si>
    <t>Tel 414</t>
  </si>
  <si>
    <t>Tel 415</t>
  </si>
  <si>
    <t>Tel 416</t>
  </si>
  <si>
    <t>Tel 417</t>
  </si>
  <si>
    <t>Tel 418</t>
  </si>
  <si>
    <t>Tel 419</t>
  </si>
  <si>
    <t>Tel 420</t>
  </si>
  <si>
    <t>Tel 421</t>
  </si>
  <si>
    <t>Tel 422</t>
  </si>
  <si>
    <t>Tel 423</t>
  </si>
  <si>
    <t>Tel 424</t>
  </si>
  <si>
    <t>Tel 425</t>
  </si>
  <si>
    <t>Tel 426</t>
  </si>
  <si>
    <t>Tel 427</t>
  </si>
  <si>
    <t>Tel 428</t>
  </si>
  <si>
    <t>Tel 429</t>
  </si>
  <si>
    <t>Tel 430</t>
  </si>
  <si>
    <t>Tel 431</t>
  </si>
  <si>
    <t>Tel 432</t>
  </si>
  <si>
    <t>Tel 433</t>
  </si>
  <si>
    <t>Tel 434</t>
  </si>
  <si>
    <t>Tel 435</t>
  </si>
  <si>
    <t>Tel 436</t>
  </si>
  <si>
    <t>Tel 437</t>
  </si>
  <si>
    <t>Tel 438</t>
  </si>
  <si>
    <t>Tel 439</t>
  </si>
  <si>
    <t>Tel 440</t>
  </si>
  <si>
    <t>Tel 441</t>
  </si>
  <si>
    <t>Tel 442</t>
  </si>
  <si>
    <t>Tel 443</t>
  </si>
  <si>
    <t>Tel 444</t>
  </si>
  <si>
    <t>Tel 445</t>
  </si>
  <si>
    <t>Tel 446</t>
  </si>
  <si>
    <t>Tel 447</t>
  </si>
  <si>
    <t>Tel 448</t>
  </si>
  <si>
    <t>Tel 449</t>
  </si>
  <si>
    <t>Tel 450</t>
  </si>
  <si>
    <t>Tel 451</t>
  </si>
  <si>
    <t>Tel 452</t>
  </si>
  <si>
    <t>Tel 453</t>
  </si>
  <si>
    <t>Tel 454</t>
  </si>
  <si>
    <t>Tel 455</t>
  </si>
  <si>
    <t>Tel 456</t>
  </si>
  <si>
    <t>Tel 457</t>
  </si>
  <si>
    <t>Tel 458</t>
  </si>
  <si>
    <t>Tel 459</t>
  </si>
  <si>
    <t>Tel 460</t>
  </si>
  <si>
    <t>Tel 461</t>
  </si>
  <si>
    <t>Tel 462</t>
  </si>
  <si>
    <t>Tel 463</t>
  </si>
  <si>
    <t>Tel 464</t>
  </si>
  <si>
    <t>Tel 465</t>
  </si>
  <si>
    <t>Tel 466</t>
  </si>
  <si>
    <t>Tel 467</t>
  </si>
  <si>
    <t>Tel 468</t>
  </si>
  <si>
    <t>Tel 469</t>
  </si>
  <si>
    <t>Tel 470</t>
  </si>
  <si>
    <t>Tel 471</t>
  </si>
  <si>
    <t>Tel 472</t>
  </si>
  <si>
    <t>Tel 473</t>
  </si>
  <si>
    <t>Tel 474</t>
  </si>
  <si>
    <t>Tel 475</t>
  </si>
  <si>
    <t>Tel 476</t>
  </si>
  <si>
    <t>Tel 477</t>
  </si>
  <si>
    <t>Tel 478</t>
  </si>
  <si>
    <t>Tel 479</t>
  </si>
  <si>
    <t>Tel 480</t>
  </si>
  <si>
    <t>Tel 481</t>
  </si>
  <si>
    <t>Tel 482</t>
  </si>
  <si>
    <t>Tel 483</t>
  </si>
  <si>
    <t>Tel 484</t>
  </si>
  <si>
    <t>Tel 485</t>
  </si>
  <si>
    <t>Tel 486</t>
  </si>
  <si>
    <t>Tel 487</t>
  </si>
  <si>
    <t>Tel 488</t>
  </si>
  <si>
    <t>Tel 489</t>
  </si>
  <si>
    <t>Tel 490</t>
  </si>
  <si>
    <t>Tel 491</t>
  </si>
  <si>
    <t>Tel 492</t>
  </si>
  <si>
    <t>Tel 493</t>
  </si>
  <si>
    <t>Tel 494</t>
  </si>
  <si>
    <t>Tel 495</t>
  </si>
  <si>
    <t>Tel 496</t>
  </si>
  <si>
    <t>Tel 497</t>
  </si>
  <si>
    <t>Tel 498</t>
  </si>
  <si>
    <t>Tel 499</t>
  </si>
  <si>
    <t>Tel 500</t>
  </si>
  <si>
    <t>Tel 501</t>
  </si>
  <si>
    <t>Tel 502</t>
  </si>
  <si>
    <t>Tel 503</t>
  </si>
  <si>
    <t>Tel 504</t>
  </si>
  <si>
    <t>Tel 505</t>
  </si>
  <si>
    <t>Tel 506</t>
  </si>
  <si>
    <t>Tel 507</t>
  </si>
  <si>
    <t>Tel 508</t>
  </si>
  <si>
    <t>Tel 509</t>
  </si>
  <si>
    <t>Tel 510</t>
  </si>
  <si>
    <t>Tel 511</t>
  </si>
  <si>
    <t>Tel 512</t>
  </si>
  <si>
    <t>Tel 513</t>
  </si>
  <si>
    <t>Tel 514</t>
  </si>
  <si>
    <t>Tel 515</t>
  </si>
  <si>
    <t>Tel 516</t>
  </si>
  <si>
    <t>Tel 517</t>
  </si>
  <si>
    <t>Tel 518</t>
  </si>
  <si>
    <t>Tel 519</t>
  </si>
  <si>
    <t>Tel 520</t>
  </si>
  <si>
    <t>Tel 521</t>
  </si>
  <si>
    <t>Tel 522</t>
  </si>
  <si>
    <t>Tel 523</t>
  </si>
  <si>
    <t>Tel 524</t>
  </si>
  <si>
    <t>Tel 525</t>
  </si>
  <si>
    <t>Tel 526</t>
  </si>
  <si>
    <t>Tel 527</t>
  </si>
  <si>
    <t>Tel 528</t>
  </si>
  <si>
    <t>Tel 529</t>
  </si>
  <si>
    <t>Tel 530</t>
  </si>
  <si>
    <t>Tel 531</t>
  </si>
  <si>
    <t>Tel 532</t>
  </si>
  <si>
    <t>Tel 533</t>
  </si>
  <si>
    <t>Tel 534</t>
  </si>
  <si>
    <t>Tel 535</t>
  </si>
  <si>
    <t>Tel 536</t>
  </si>
  <si>
    <t>Tel 537</t>
  </si>
  <si>
    <t>Tel 538</t>
  </si>
  <si>
    <t>Tel 539</t>
  </si>
  <si>
    <t>Tel 540</t>
  </si>
  <si>
    <t>Tel 541</t>
  </si>
  <si>
    <t>Tel 542</t>
  </si>
  <si>
    <t>Tel 543</t>
  </si>
  <si>
    <t>Tel 544</t>
  </si>
  <si>
    <t>Tel 545</t>
  </si>
  <si>
    <t>Tel 546</t>
  </si>
  <si>
    <t>Tel 547</t>
  </si>
  <si>
    <t>Tel 548</t>
  </si>
  <si>
    <t>Tel 549</t>
  </si>
  <si>
    <t>Tel 550</t>
  </si>
  <si>
    <t>Tel 551</t>
  </si>
  <si>
    <t>Tel 552</t>
  </si>
  <si>
    <t>Tel 553</t>
  </si>
  <si>
    <t>Tel 554</t>
  </si>
  <si>
    <t>Tel 555</t>
  </si>
  <si>
    <t>Tel 556</t>
  </si>
  <si>
    <t>Tel 557</t>
  </si>
  <si>
    <t>Tel 558</t>
  </si>
  <si>
    <t>Tel 559</t>
  </si>
  <si>
    <t>Tel 560</t>
  </si>
  <si>
    <t>Tel 561</t>
  </si>
  <si>
    <t>Tel 562</t>
  </si>
  <si>
    <t>Tel 563</t>
  </si>
  <si>
    <t>Tel 564</t>
  </si>
  <si>
    <t>Tel 565</t>
  </si>
  <si>
    <t>Tel 566</t>
  </si>
  <si>
    <t>Tel 567</t>
  </si>
  <si>
    <t>Tel 568</t>
  </si>
  <si>
    <t>Tel 569</t>
  </si>
  <si>
    <t>Tel 570</t>
  </si>
  <si>
    <t>Tel 571</t>
  </si>
  <si>
    <t>Tel 572</t>
  </si>
  <si>
    <t>Tel 573</t>
  </si>
  <si>
    <t>Tel 574</t>
  </si>
  <si>
    <t>Tel 575</t>
  </si>
  <si>
    <t>Tel 576</t>
  </si>
  <si>
    <t>Tel 577</t>
  </si>
  <si>
    <t>Tel 578</t>
  </si>
  <si>
    <t>Tel 579</t>
  </si>
  <si>
    <t>Tel 580</t>
  </si>
  <si>
    <t>Tel 581</t>
  </si>
  <si>
    <t>Tel 582</t>
  </si>
  <si>
    <t>Tel 583</t>
  </si>
  <si>
    <t>Tel 584</t>
  </si>
  <si>
    <t>Tel 585</t>
  </si>
  <si>
    <t>Tel 586</t>
  </si>
  <si>
    <t>Tel 587</t>
  </si>
  <si>
    <t>Tel 588</t>
  </si>
  <si>
    <t>Tel 589</t>
  </si>
  <si>
    <t>Tel 590</t>
  </si>
  <si>
    <t>Tel 591</t>
  </si>
  <si>
    <t>Tel 592</t>
  </si>
  <si>
    <t>Tel 593</t>
  </si>
  <si>
    <t>Tel 594</t>
  </si>
  <si>
    <t>Tel 595</t>
  </si>
  <si>
    <t>Tel 596</t>
  </si>
  <si>
    <t>Tel 597</t>
  </si>
  <si>
    <t>Tel 598</t>
  </si>
  <si>
    <t>Tel 599</t>
  </si>
  <si>
    <t>Tel 600</t>
  </si>
  <si>
    <t>Tel 601</t>
  </si>
  <si>
    <t>Tel 602</t>
  </si>
  <si>
    <t>Tel 603</t>
  </si>
  <si>
    <t>Tel 604</t>
  </si>
  <si>
    <t>Tel 605</t>
  </si>
  <si>
    <t>Tel 606</t>
  </si>
  <si>
    <t>Tel 607</t>
  </si>
  <si>
    <t>Tel 608</t>
  </si>
  <si>
    <t>Tel 609</t>
  </si>
  <si>
    <t>Tel 610</t>
  </si>
  <si>
    <t>Tel 611</t>
  </si>
  <si>
    <t>Tel 612</t>
  </si>
  <si>
    <t>Tel 613</t>
  </si>
  <si>
    <t>Tel 614</t>
  </si>
  <si>
    <t>Tel 615</t>
  </si>
  <si>
    <t>Tel 616</t>
  </si>
  <si>
    <t>Tel 617</t>
  </si>
  <si>
    <t>Tel 618</t>
  </si>
  <si>
    <t>Tel 619</t>
  </si>
  <si>
    <t>Tel 620</t>
  </si>
  <si>
    <t>Tel 621</t>
  </si>
  <si>
    <t>Tel 622</t>
  </si>
  <si>
    <t>Tel 623</t>
  </si>
  <si>
    <t>Tel 624</t>
  </si>
  <si>
    <t>Tel 625</t>
  </si>
  <si>
    <t>Tel 626</t>
  </si>
  <si>
    <t>Tel 627</t>
  </si>
  <si>
    <t>Tel 628</t>
  </si>
  <si>
    <t>Tel 629</t>
  </si>
  <si>
    <t>Tel 630</t>
  </si>
  <si>
    <t>Tel 631</t>
  </si>
  <si>
    <t>Tel 632</t>
  </si>
  <si>
    <t>Tel 633</t>
  </si>
  <si>
    <t>Tel 634</t>
  </si>
  <si>
    <t>Tel 635</t>
  </si>
  <si>
    <t>Tel 636</t>
  </si>
  <si>
    <t>Tel 637</t>
  </si>
  <si>
    <t>Tel 638</t>
  </si>
  <si>
    <t>Tel 639</t>
  </si>
  <si>
    <t>Tel 640</t>
  </si>
  <si>
    <t>Tel 641</t>
  </si>
  <si>
    <t>Tel 642</t>
  </si>
  <si>
    <t>Tel 643</t>
  </si>
  <si>
    <t>Tel 644</t>
  </si>
  <si>
    <t>Tel 645</t>
  </si>
  <si>
    <t>Tel 646</t>
  </si>
  <si>
    <t>Tel 647</t>
  </si>
  <si>
    <t>Tel 648</t>
  </si>
  <si>
    <t>Tel 649</t>
  </si>
  <si>
    <t>Tel 650</t>
  </si>
  <si>
    <t>Tel 651</t>
  </si>
  <si>
    <t>Tel 653</t>
  </si>
  <si>
    <t>Tel 654</t>
  </si>
  <si>
    <t>Tel 655</t>
  </si>
  <si>
    <t>Tel 656</t>
  </si>
  <si>
    <t>Tel 657</t>
  </si>
  <si>
    <t>Tel 658</t>
  </si>
  <si>
    <t>Tel 659</t>
  </si>
  <si>
    <t>Tel 660</t>
  </si>
  <si>
    <t>Tel 661</t>
  </si>
  <si>
    <t>Tel 662</t>
  </si>
  <si>
    <t>Tel 663</t>
  </si>
  <si>
    <t>Tel 664</t>
  </si>
  <si>
    <t>Tel 665</t>
  </si>
  <si>
    <t>Tel 666</t>
  </si>
  <si>
    <t>Tel 667</t>
  </si>
  <si>
    <t>Tel 668</t>
  </si>
  <si>
    <t>Tel 669</t>
  </si>
  <si>
    <t>Tel 670</t>
  </si>
  <si>
    <t>Tel 671</t>
  </si>
  <si>
    <t>Tel 672</t>
  </si>
  <si>
    <t>Tel 673</t>
  </si>
  <si>
    <t>Tel 674</t>
  </si>
  <si>
    <t>Tel 675</t>
  </si>
  <si>
    <t>Tel 676</t>
  </si>
  <si>
    <t>Tel 677</t>
  </si>
  <si>
    <t>Tel 678</t>
  </si>
  <si>
    <t>Tel 679</t>
  </si>
  <si>
    <t>Tel 680</t>
  </si>
  <si>
    <t>Tel 681</t>
  </si>
  <si>
    <t>Tel 682</t>
  </si>
  <si>
    <t>Tel 683</t>
  </si>
  <si>
    <t>Tel 684</t>
  </si>
  <si>
    <t>Tel 685</t>
  </si>
  <si>
    <t>Tel 686</t>
  </si>
  <si>
    <t>Tel 687</t>
  </si>
  <si>
    <t>Tel 688</t>
  </si>
  <si>
    <t>Tel 689</t>
  </si>
  <si>
    <t>Tel 690</t>
  </si>
  <si>
    <t>Tel 691</t>
  </si>
  <si>
    <t>Tel 692</t>
  </si>
  <si>
    <t>Tel 693</t>
  </si>
  <si>
    <t>Tel 694</t>
  </si>
  <si>
    <t>Tel 695</t>
  </si>
  <si>
    <t>Tel 696</t>
  </si>
  <si>
    <t>Tel 697</t>
  </si>
  <si>
    <t>Tel 698</t>
  </si>
  <si>
    <t>Tel 699</t>
  </si>
  <si>
    <t>Tel 700</t>
  </si>
  <si>
    <t>Tel 701</t>
  </si>
  <si>
    <t>Tel 702</t>
  </si>
  <si>
    <t>Tel 703</t>
  </si>
  <si>
    <t>Tel 704</t>
  </si>
  <si>
    <t>Tel 705</t>
  </si>
  <si>
    <t>Tel 706</t>
  </si>
  <si>
    <t>Tel 707</t>
  </si>
  <si>
    <t>Tel 708</t>
  </si>
  <si>
    <t>Tel 709</t>
  </si>
  <si>
    <t>Tel 710</t>
  </si>
  <si>
    <t>Tel 711</t>
  </si>
  <si>
    <t>Tel 712</t>
  </si>
  <si>
    <t>Tel 713</t>
  </si>
  <si>
    <t>Tel 714</t>
  </si>
  <si>
    <t>Tel 715</t>
  </si>
  <si>
    <t>Tel 716</t>
  </si>
  <si>
    <t>Tel 717</t>
  </si>
  <si>
    <t>Tel 718</t>
  </si>
  <si>
    <t>Tel 719</t>
  </si>
  <si>
    <t>Tel 720</t>
  </si>
  <si>
    <t>Tel 721</t>
  </si>
  <si>
    <t>Tel 722</t>
  </si>
  <si>
    <t>Tel 723</t>
  </si>
  <si>
    <t>Tel 724</t>
  </si>
  <si>
    <t>Tel 725</t>
  </si>
  <si>
    <t>Tel 726</t>
  </si>
  <si>
    <t>Tel 727</t>
  </si>
  <si>
    <t>Tel 728</t>
  </si>
  <si>
    <t>Tel 729</t>
  </si>
  <si>
    <t>Tel 730</t>
  </si>
  <si>
    <t>Tel 731</t>
  </si>
  <si>
    <t>Tel 732</t>
  </si>
  <si>
    <t>Tel 733</t>
  </si>
  <si>
    <t>Tel 734</t>
  </si>
  <si>
    <t>Tel 735</t>
  </si>
  <si>
    <t>Tel 736</t>
  </si>
  <si>
    <t>Tel 737</t>
  </si>
  <si>
    <t>Tel 738</t>
  </si>
  <si>
    <t>Tel 739</t>
  </si>
  <si>
    <t>Tel 740</t>
  </si>
  <si>
    <t>Tel 741</t>
  </si>
  <si>
    <t>Tel 742</t>
  </si>
  <si>
    <t>Tel 743</t>
  </si>
  <si>
    <t>Tel 744</t>
  </si>
  <si>
    <t>Tel 745</t>
  </si>
  <si>
    <t>Tel 746</t>
  </si>
  <si>
    <t>Tel 747</t>
  </si>
  <si>
    <t>Tel 748</t>
  </si>
  <si>
    <t>Tel 749</t>
  </si>
  <si>
    <t>Tel 750</t>
  </si>
  <si>
    <t>Tel 751</t>
  </si>
  <si>
    <t>Tel 752</t>
  </si>
  <si>
    <t>Tel 753</t>
  </si>
  <si>
    <t>Tel 754</t>
  </si>
  <si>
    <t>Tel 755</t>
  </si>
  <si>
    <t>Tel 756</t>
  </si>
  <si>
    <t>Tel 757</t>
  </si>
  <si>
    <t>Tel 758</t>
  </si>
  <si>
    <t>Tel 759</t>
  </si>
  <si>
    <t>Tel 760</t>
  </si>
  <si>
    <t>Tel 761</t>
  </si>
  <si>
    <t>Tel 762</t>
  </si>
  <si>
    <t>Tel 763</t>
  </si>
  <si>
    <t>Tel 764</t>
  </si>
  <si>
    <t>Tel 765</t>
  </si>
  <si>
    <t>Tel 766</t>
  </si>
  <si>
    <t>Tel 767</t>
  </si>
  <si>
    <t>Tel 768</t>
  </si>
  <si>
    <t>Tel 769</t>
  </si>
  <si>
    <t>Tel 770</t>
  </si>
  <si>
    <t>Tel 771</t>
  </si>
  <si>
    <t>Tel 772</t>
  </si>
  <si>
    <t>Tel 773</t>
  </si>
  <si>
    <t>Tel 774</t>
  </si>
  <si>
    <t>Tel 775</t>
  </si>
  <si>
    <t>Tel 776</t>
  </si>
  <si>
    <t>Tel 777</t>
  </si>
  <si>
    <t>Tel 778</t>
  </si>
  <si>
    <t>Tel 779</t>
  </si>
  <si>
    <t>Tel 780</t>
  </si>
  <si>
    <t>Tel 781</t>
  </si>
  <si>
    <t>Tel 782</t>
  </si>
  <si>
    <t>Tel 783</t>
  </si>
  <si>
    <t>Tel 784</t>
  </si>
  <si>
    <t>Tel 785</t>
  </si>
  <si>
    <t>Tel 786</t>
  </si>
  <si>
    <t>Tel 787</t>
  </si>
  <si>
    <t>Tel 788</t>
  </si>
  <si>
    <t>Tel 789</t>
  </si>
  <si>
    <t>Tel 790</t>
  </si>
  <si>
    <t>Tel 791</t>
  </si>
  <si>
    <t>Tel 792</t>
  </si>
  <si>
    <t>Tel 793</t>
  </si>
  <si>
    <t>Tel 794</t>
  </si>
  <si>
    <t>Tel 795</t>
  </si>
  <si>
    <t>Tel 796</t>
  </si>
  <si>
    <t>Tel 797</t>
  </si>
  <si>
    <t>Tel 798</t>
  </si>
  <si>
    <t>Tel 799</t>
  </si>
  <si>
    <t>Tel 800</t>
  </si>
  <si>
    <t>Tel 801</t>
  </si>
  <si>
    <t>Tel 802</t>
  </si>
  <si>
    <t>Tel 803</t>
  </si>
  <si>
    <t>Tel 804</t>
  </si>
  <si>
    <t>Tel 805</t>
  </si>
  <si>
    <t>Tel 806</t>
  </si>
  <si>
    <t>Tel 807</t>
  </si>
  <si>
    <t>Tel 808</t>
  </si>
  <si>
    <t>Tel 809</t>
  </si>
  <si>
    <t>Tel 810</t>
  </si>
  <si>
    <t>Tel 811</t>
  </si>
  <si>
    <t>Tel 812</t>
  </si>
  <si>
    <t>Tel 813</t>
  </si>
  <si>
    <t>Tel 814</t>
  </si>
  <si>
    <t>Tel 815</t>
  </si>
  <si>
    <t>Tel 816</t>
  </si>
  <si>
    <t>Tel 817</t>
  </si>
  <si>
    <t>Tel 818</t>
  </si>
  <si>
    <t>Tel 819</t>
  </si>
  <si>
    <t>Tel 820</t>
  </si>
  <si>
    <t>Tel 821</t>
  </si>
  <si>
    <t>Tel 822</t>
  </si>
  <si>
    <t>Tel 823</t>
  </si>
  <si>
    <t>Tel 824</t>
  </si>
  <si>
    <t>Tel 825</t>
  </si>
  <si>
    <t>Tel 826</t>
  </si>
  <si>
    <t>Tel 827</t>
  </si>
  <si>
    <t>Tel 828</t>
  </si>
  <si>
    <t>Tel 829</t>
  </si>
  <si>
    <t>Tel 830</t>
  </si>
  <si>
    <t>Tel 831</t>
  </si>
  <si>
    <t>Tel 832</t>
  </si>
  <si>
    <t>Tel 833</t>
  </si>
  <si>
    <t>Tel 834</t>
  </si>
  <si>
    <t>Tel 835</t>
  </si>
  <si>
    <t>Tel 836</t>
  </si>
  <si>
    <t>Tel 837</t>
  </si>
  <si>
    <t>Tel 838</t>
  </si>
  <si>
    <t>Tel 839</t>
  </si>
  <si>
    <t>Tel 840</t>
  </si>
  <si>
    <t>Tel 841</t>
  </si>
  <si>
    <t>Tel 842</t>
  </si>
  <si>
    <t>Tel 843</t>
  </si>
  <si>
    <t>Tel 844</t>
  </si>
  <si>
    <t>Tel 845</t>
  </si>
  <si>
    <t>Tel 846</t>
  </si>
  <si>
    <t>Tel 847</t>
  </si>
  <si>
    <t>Tel 848</t>
  </si>
  <si>
    <t>Tel 849</t>
  </si>
  <si>
    <t>Tel 850</t>
  </si>
  <si>
    <t>Tel 851</t>
  </si>
  <si>
    <t>Tel 852</t>
  </si>
  <si>
    <t>Tel 853</t>
  </si>
  <si>
    <t>Tel 854</t>
  </si>
  <si>
    <t>Tel 855</t>
  </si>
  <si>
    <t>Tel 856</t>
  </si>
  <si>
    <t>Tel 857</t>
  </si>
  <si>
    <t>Tel 858</t>
  </si>
  <si>
    <t>Tel 859</t>
  </si>
  <si>
    <t>Tel 860</t>
  </si>
  <si>
    <t>Tel 861</t>
  </si>
  <si>
    <t>Tel 862</t>
  </si>
  <si>
    <t>Tel 863</t>
  </si>
  <si>
    <t>Tel 864</t>
  </si>
  <si>
    <t>Tel 865</t>
  </si>
  <si>
    <t>Tel 866</t>
  </si>
  <si>
    <t>Tel 867</t>
  </si>
  <si>
    <t>Tel 868</t>
  </si>
  <si>
    <t>Tel 869</t>
  </si>
  <si>
    <t>Tel 870</t>
  </si>
  <si>
    <t>Tel 871</t>
  </si>
  <si>
    <t>Tel 872</t>
  </si>
  <si>
    <t>Tel 873</t>
  </si>
  <si>
    <t>Tel 874</t>
  </si>
  <si>
    <t>Tel 875</t>
  </si>
  <si>
    <t>Tel 876</t>
  </si>
  <si>
    <t>Tel 877</t>
  </si>
  <si>
    <t>Tel 878</t>
  </si>
  <si>
    <t>Tel 879</t>
  </si>
  <si>
    <t>Tel 880</t>
  </si>
  <si>
    <t>Tel 881</t>
  </si>
  <si>
    <t>Tel 882</t>
  </si>
  <si>
    <t>Tel 883</t>
  </si>
  <si>
    <t>Tel 884</t>
  </si>
  <si>
    <t>Tel 885</t>
  </si>
  <si>
    <t>Tel 886</t>
  </si>
  <si>
    <t>Tel 887</t>
  </si>
  <si>
    <t>Tel 888</t>
  </si>
  <si>
    <t>Tel 889</t>
  </si>
  <si>
    <t>Tel 890</t>
  </si>
  <si>
    <t>Tel 891</t>
  </si>
  <si>
    <t>Tel 892</t>
  </si>
  <si>
    <t>Tel 893</t>
  </si>
  <si>
    <t>Tel 894</t>
  </si>
  <si>
    <t>Tel 895</t>
  </si>
  <si>
    <t>Tel 896</t>
  </si>
  <si>
    <t>Tel 897</t>
  </si>
  <si>
    <t>Tel 898</t>
  </si>
  <si>
    <t>Tel 899</t>
  </si>
  <si>
    <t>Tel 900</t>
  </si>
  <si>
    <t>Tel 901</t>
  </si>
  <si>
    <t>Tel 902</t>
  </si>
  <si>
    <t>Tel 903</t>
  </si>
  <si>
    <t>Tel 904</t>
  </si>
  <si>
    <t>Tel 905</t>
  </si>
  <si>
    <t>Tel 906</t>
  </si>
  <si>
    <t>Tel 907</t>
  </si>
  <si>
    <t>Tel 908</t>
  </si>
  <si>
    <t>Tel 909</t>
  </si>
  <si>
    <t>Tel 910</t>
  </si>
  <si>
    <t>Tel 912</t>
  </si>
  <si>
    <t>Tel 913</t>
  </si>
  <si>
    <t>Tel 914</t>
  </si>
  <si>
    <t>Tel 915</t>
  </si>
  <si>
    <t>Tel 916</t>
  </si>
  <si>
    <t>Tel 917</t>
  </si>
  <si>
    <t>Tel 918</t>
  </si>
  <si>
    <t>Tel 920</t>
  </si>
  <si>
    <t>Tel 921</t>
  </si>
  <si>
    <t>Tel 922</t>
  </si>
  <si>
    <t>Tel 923</t>
  </si>
  <si>
    <t>Tel 924</t>
  </si>
  <si>
    <t>Tel 925</t>
  </si>
  <si>
    <t>Tel 927</t>
  </si>
  <si>
    <t>Tel 928</t>
  </si>
  <si>
    <t>Tel 929</t>
  </si>
  <si>
    <t>Tel 930</t>
  </si>
  <si>
    <t>Tel 931</t>
  </si>
  <si>
    <t>Tel 932</t>
  </si>
  <si>
    <t>Tel 933</t>
  </si>
  <si>
    <t>Tel 934</t>
  </si>
  <si>
    <t>Tel 935</t>
  </si>
  <si>
    <t>Tel 936</t>
  </si>
  <si>
    <t>Tel 937</t>
  </si>
  <si>
    <t>Tel 938</t>
  </si>
  <si>
    <t>Tel 939</t>
  </si>
  <si>
    <t>Tel 940</t>
  </si>
  <si>
    <t>Tel 941</t>
  </si>
  <si>
    <t>Tel 942</t>
  </si>
  <si>
    <t>Tel 943</t>
  </si>
  <si>
    <t>Tel 944</t>
  </si>
  <si>
    <t>Tel 945</t>
  </si>
  <si>
    <t>Tel 946</t>
  </si>
  <si>
    <t>Tel 947</t>
  </si>
  <si>
    <t>Tel 948</t>
  </si>
  <si>
    <t>Tel 949</t>
  </si>
  <si>
    <t>Tel 950</t>
  </si>
  <si>
    <t>Tel 951</t>
  </si>
  <si>
    <t>Tel 952</t>
  </si>
  <si>
    <t>Tel 953</t>
  </si>
  <si>
    <t>Tel 954</t>
  </si>
  <si>
    <t>Tel 955</t>
  </si>
  <si>
    <t>Tel 956</t>
  </si>
  <si>
    <t>Tel 957</t>
  </si>
  <si>
    <t>Tel 958</t>
  </si>
  <si>
    <t>Tel 959</t>
  </si>
  <si>
    <t>Tel 960</t>
  </si>
  <si>
    <t>Tel 961</t>
  </si>
  <si>
    <t>Tel 962</t>
  </si>
  <si>
    <t>Tel 963</t>
  </si>
  <si>
    <t>Tel 964</t>
  </si>
  <si>
    <t>Tel 965</t>
  </si>
  <si>
    <t>Tel 966</t>
  </si>
  <si>
    <t>Tel 967</t>
  </si>
  <si>
    <t>Tel 968</t>
  </si>
  <si>
    <t>Tel 969</t>
  </si>
  <si>
    <t>Tel 970</t>
  </si>
  <si>
    <t>Tel 971</t>
  </si>
  <si>
    <t>Tel 972</t>
  </si>
  <si>
    <t>Tel 973</t>
  </si>
  <si>
    <t>Tel 974</t>
  </si>
  <si>
    <t>Tel 975</t>
  </si>
  <si>
    <t>Tel 976</t>
  </si>
  <si>
    <t>Tel 977</t>
  </si>
  <si>
    <t>Tel 978</t>
  </si>
  <si>
    <t>Tel 979</t>
  </si>
  <si>
    <t>Tel 980</t>
  </si>
  <si>
    <t>Tel 981</t>
  </si>
  <si>
    <t>Tel 982</t>
  </si>
  <si>
    <t>Tel 983</t>
  </si>
  <si>
    <t>Tel 984</t>
  </si>
  <si>
    <t>Tel 985</t>
  </si>
  <si>
    <t>Tel 986</t>
  </si>
  <si>
    <t>Tel 987</t>
  </si>
  <si>
    <t>Tel 988</t>
  </si>
  <si>
    <t>Tel 989</t>
  </si>
  <si>
    <t>Tel 990</t>
  </si>
  <si>
    <t>Tel 991</t>
  </si>
  <si>
    <t>Tel 992</t>
  </si>
  <si>
    <t>Tel 993</t>
  </si>
  <si>
    <t>Tel 994</t>
  </si>
  <si>
    <t>Tel 995</t>
  </si>
  <si>
    <t>Tel 996</t>
  </si>
  <si>
    <t>Tel 997</t>
  </si>
  <si>
    <t>Tel 998</t>
  </si>
  <si>
    <t>Tel 999</t>
  </si>
  <si>
    <t>Tel 1000</t>
  </si>
  <si>
    <t>Tel 1001</t>
  </si>
  <si>
    <t>Tel 1002</t>
  </si>
  <si>
    <t>Tel 1003</t>
  </si>
  <si>
    <t>Tel 1004</t>
  </si>
  <si>
    <t>Tel 1005</t>
  </si>
  <si>
    <t>Tel 1006</t>
  </si>
  <si>
    <t>Tel 1007</t>
  </si>
  <si>
    <t>Tel 1008</t>
  </si>
  <si>
    <t>Tel 1009</t>
  </si>
  <si>
    <t>Tel 1010</t>
  </si>
  <si>
    <t>Tel 1011</t>
  </si>
  <si>
    <t>Tel 1012</t>
  </si>
  <si>
    <t>Tel 1013</t>
  </si>
  <si>
    <t>Tel 1014</t>
  </si>
  <si>
    <t>Tel 1015</t>
  </si>
  <si>
    <t>Tel 1016</t>
  </si>
  <si>
    <t>Tel 1017</t>
  </si>
  <si>
    <t>Tel 1018</t>
  </si>
  <si>
    <t>Tel 1019</t>
  </si>
  <si>
    <t>Tel 1020</t>
  </si>
  <si>
    <t>Tel 1021</t>
  </si>
  <si>
    <t>Tel 1022</t>
  </si>
  <si>
    <t>Tel 1023</t>
  </si>
  <si>
    <t>Tel 1024</t>
  </si>
  <si>
    <t>Tel 1025</t>
  </si>
  <si>
    <t>Tel 1026</t>
  </si>
  <si>
    <t>Tel 1027</t>
  </si>
  <si>
    <t>Tel 1028</t>
  </si>
  <si>
    <t>Tel 1029</t>
  </si>
  <si>
    <t>Tel 1030</t>
  </si>
  <si>
    <t>Tel 1031</t>
  </si>
  <si>
    <t>Tel 1032</t>
  </si>
  <si>
    <t>Tel 1033</t>
  </si>
  <si>
    <t>Tel 1034</t>
  </si>
  <si>
    <t>Tel 1035</t>
  </si>
  <si>
    <t>Tel 1036</t>
  </si>
  <si>
    <t>Tel 1037</t>
  </si>
  <si>
    <t>Tel 1038</t>
  </si>
  <si>
    <t>Tel 1039</t>
  </si>
  <si>
    <t>Tel 1040</t>
  </si>
  <si>
    <t>Tel 1041</t>
  </si>
  <si>
    <t>Tel 1042</t>
  </si>
  <si>
    <t>Tel 1043</t>
  </si>
  <si>
    <t>Tel 1044</t>
  </si>
  <si>
    <t>Tel 1045</t>
  </si>
  <si>
    <t>Tel 1046</t>
  </si>
  <si>
    <t>Tel 1047</t>
  </si>
  <si>
    <t>Tel 1048</t>
  </si>
  <si>
    <t>Tel 1049</t>
  </si>
  <si>
    <t>Tel 1050</t>
  </si>
  <si>
    <t>Tel 1051</t>
  </si>
  <si>
    <t>Tel 1052</t>
  </si>
  <si>
    <t>Tel 1054</t>
  </si>
  <si>
    <t>Tel 1055</t>
  </si>
  <si>
    <t>Tel 1056</t>
  </si>
  <si>
    <t>Tel 1057</t>
  </si>
  <si>
    <t>Tel 1058</t>
  </si>
  <si>
    <t>Tel 1059</t>
  </si>
  <si>
    <t>Tel 1060</t>
  </si>
  <si>
    <t>Tel 1061</t>
  </si>
  <si>
    <t>Tel 1062</t>
  </si>
  <si>
    <t>Tel 1063</t>
  </si>
  <si>
    <t>Tel 1064</t>
  </si>
  <si>
    <t>Tel 1065</t>
  </si>
  <si>
    <t>Tel 1066</t>
  </si>
  <si>
    <t>Tel 1067</t>
  </si>
  <si>
    <t>Tel 1068</t>
  </si>
  <si>
    <t>Tel 1069</t>
  </si>
  <si>
    <t>Tel 1070</t>
  </si>
  <si>
    <t>Tel 1071</t>
  </si>
  <si>
    <t>Tel 1072</t>
  </si>
  <si>
    <t>Tel 1073</t>
  </si>
  <si>
    <t>Tel 1074</t>
  </si>
  <si>
    <t>Tel 1075</t>
  </si>
  <si>
    <t>Tel 1076</t>
  </si>
  <si>
    <t>Tel 1077</t>
  </si>
  <si>
    <t>Tel 1078</t>
  </si>
  <si>
    <t>Tel 1079</t>
  </si>
  <si>
    <t>Tel 1080</t>
  </si>
  <si>
    <t>Tel 1081</t>
  </si>
  <si>
    <t>Tel 1082</t>
  </si>
  <si>
    <t>Tel 1083</t>
  </si>
  <si>
    <t>Tel 1084</t>
  </si>
  <si>
    <t>Tel 1085</t>
  </si>
  <si>
    <t>Tel 1086</t>
  </si>
  <si>
    <t>Tel 1087</t>
  </si>
  <si>
    <t>Tel 1088</t>
  </si>
  <si>
    <t>Tel 1089</t>
  </si>
  <si>
    <t>Tel 1090</t>
  </si>
  <si>
    <t>Tel 1091</t>
  </si>
  <si>
    <t>Tel 1092</t>
  </si>
  <si>
    <t>Tel 1093</t>
  </si>
  <si>
    <t>Tel 1094</t>
  </si>
  <si>
    <t>Tel 1095</t>
  </si>
  <si>
    <t>Tel 1096</t>
  </si>
  <si>
    <t>Tel 1097</t>
  </si>
  <si>
    <t>Tel 1098</t>
  </si>
  <si>
    <t>Tel 1099</t>
  </si>
  <si>
    <t>Tel 1100</t>
  </si>
  <si>
    <t>Tel 1101</t>
  </si>
  <si>
    <t>Tel 1102</t>
  </si>
  <si>
    <t>Tel 1103</t>
  </si>
  <si>
    <t>Tel 1104</t>
  </si>
  <si>
    <t>Tel 1105</t>
  </si>
  <si>
    <t>Tel 1106</t>
  </si>
  <si>
    <t>Tel 1107</t>
  </si>
  <si>
    <t>Tel 1108</t>
  </si>
  <si>
    <t>Tel 1109</t>
  </si>
  <si>
    <t>Tel 1110</t>
  </si>
  <si>
    <t>Tel 1111</t>
  </si>
  <si>
    <t>Tel 1112</t>
  </si>
  <si>
    <t>Tel 1113</t>
  </si>
  <si>
    <t>Tel 1114</t>
  </si>
  <si>
    <t>Tel 1115</t>
  </si>
  <si>
    <t>Tel 1116</t>
  </si>
  <si>
    <t>Tel 1117</t>
  </si>
  <si>
    <t>Tel 1118</t>
  </si>
  <si>
    <t>Tel 1119</t>
  </si>
  <si>
    <t>Tel 1120</t>
  </si>
  <si>
    <t>Tel 1121</t>
  </si>
  <si>
    <t>Tel 1122</t>
  </si>
  <si>
    <t>Tel 1123</t>
  </si>
  <si>
    <t>Tel 1124</t>
  </si>
  <si>
    <t>Tel 1125</t>
  </si>
  <si>
    <t>Tel 1126</t>
  </si>
  <si>
    <t>Tel 1127</t>
  </si>
  <si>
    <t>Tel 1128</t>
  </si>
  <si>
    <t>Tel 1129</t>
  </si>
  <si>
    <t>Tel 1130</t>
  </si>
  <si>
    <t>Tel 1131</t>
  </si>
  <si>
    <t>Tel 1132</t>
  </si>
  <si>
    <t>Tel 1133</t>
  </si>
  <si>
    <t>Tel 1134</t>
  </si>
  <si>
    <t>Tel 1135</t>
  </si>
  <si>
    <t>Tel 1136</t>
  </si>
  <si>
    <t>Tel 1137</t>
  </si>
  <si>
    <t>Tel 1138</t>
  </si>
  <si>
    <t>Tel 1139</t>
  </si>
  <si>
    <t>Tel 1140</t>
  </si>
  <si>
    <t>Tel 1141</t>
  </si>
  <si>
    <t>Tel 1142</t>
  </si>
  <si>
    <t>Tel 1143</t>
  </si>
  <si>
    <t>Tel 1144</t>
  </si>
  <si>
    <t>Tel 1145</t>
  </si>
  <si>
    <t>Tel 1146</t>
  </si>
  <si>
    <t>Tel 1147</t>
  </si>
  <si>
    <t>Tel 1148</t>
  </si>
  <si>
    <t>Tel 1149</t>
  </si>
  <si>
    <t>Tel 1150</t>
  </si>
  <si>
    <t>Tel 1151</t>
  </si>
  <si>
    <t>Tel 1152</t>
  </si>
  <si>
    <t>Tel 1153</t>
  </si>
  <si>
    <t>Tel 1154</t>
  </si>
  <si>
    <t>Tel 1155</t>
  </si>
  <si>
    <t>Tel 1156</t>
  </si>
  <si>
    <t>Tel 1157</t>
  </si>
  <si>
    <t>Tel 1158</t>
  </si>
  <si>
    <t>Tel 1159</t>
  </si>
  <si>
    <t>Tel 1160</t>
  </si>
  <si>
    <t>Tel 1161</t>
  </si>
  <si>
    <t>Tel 1162</t>
  </si>
  <si>
    <t>Tel 1163</t>
  </si>
  <si>
    <t>Tel 1164</t>
  </si>
  <si>
    <t>Tel 1165</t>
  </si>
  <si>
    <t>Tel 1166</t>
  </si>
  <si>
    <t>Tel 1167</t>
  </si>
  <si>
    <t>Tel 1168</t>
  </si>
  <si>
    <t>Tel 1169</t>
  </si>
  <si>
    <t>Tel 1170</t>
  </si>
  <si>
    <t>Tel 1171</t>
  </si>
  <si>
    <t>Tel 1172</t>
  </si>
  <si>
    <t>Tel 1174</t>
  </si>
  <si>
    <t>Tel 1175</t>
  </si>
  <si>
    <t>Tel 1176</t>
  </si>
  <si>
    <t>Tel 1177</t>
  </si>
  <si>
    <t>Tel 1178</t>
  </si>
  <si>
    <t>Tel 1179</t>
  </si>
  <si>
    <t>Tel 1180</t>
  </si>
  <si>
    <t>Tel 1181</t>
  </si>
  <si>
    <t>Tel 1182</t>
  </si>
  <si>
    <t>Tel 1183</t>
  </si>
  <si>
    <t>Tel 1184</t>
  </si>
  <si>
    <t>Tel 1185</t>
  </si>
  <si>
    <t>Tel 1186</t>
  </si>
  <si>
    <t>Tel 1187</t>
  </si>
  <si>
    <t>Tel 1188</t>
  </si>
  <si>
    <t>Tel 1189</t>
  </si>
  <si>
    <t>Tel 1190</t>
  </si>
  <si>
    <t>Tel 1191</t>
  </si>
  <si>
    <t>Tel 1192</t>
  </si>
  <si>
    <t>Tel 1193</t>
  </si>
  <si>
    <t>Tel 1194</t>
  </si>
  <si>
    <t>Tel 1195</t>
  </si>
  <si>
    <t>Tel 1196</t>
  </si>
  <si>
    <t>Tel 1197</t>
  </si>
  <si>
    <t>Tel 1198</t>
  </si>
  <si>
    <t>Tel 1199</t>
  </si>
  <si>
    <t>Tel 1200</t>
  </si>
  <si>
    <t>Tel 1201</t>
  </si>
  <si>
    <t>Tel 1202</t>
  </si>
  <si>
    <t>Tel 1203</t>
  </si>
  <si>
    <t>Tel 1204</t>
  </si>
  <si>
    <t>Tel 1205</t>
  </si>
  <si>
    <t>Tel 1206</t>
  </si>
  <si>
    <t>Tel 1207</t>
  </si>
  <si>
    <t>Tel 1208</t>
  </si>
  <si>
    <t>Tel 1209</t>
  </si>
  <si>
    <t>Tel 1210</t>
  </si>
  <si>
    <t>Tel 1211</t>
  </si>
  <si>
    <t>Tel 1212</t>
  </si>
  <si>
    <t>Tel 1213</t>
  </si>
  <si>
    <t>Tel 1214</t>
  </si>
  <si>
    <t>Tel 1215</t>
  </si>
  <si>
    <t>Tel 1216</t>
  </si>
  <si>
    <t>Tel 1217</t>
  </si>
  <si>
    <t>Tel 1218</t>
  </si>
  <si>
    <t>Tel 1219</t>
  </si>
  <si>
    <t>Tel 1220</t>
  </si>
  <si>
    <t>Tel 1221</t>
  </si>
  <si>
    <t>Tel 1222</t>
  </si>
  <si>
    <t>Tel 1223</t>
  </si>
  <si>
    <t>Tel 1224</t>
  </si>
  <si>
    <t>Tel 1225</t>
  </si>
  <si>
    <t>Tel 1226</t>
  </si>
  <si>
    <t>Tel 1227</t>
  </si>
  <si>
    <t>Tel 1228</t>
  </si>
  <si>
    <t>Tel 1229</t>
  </si>
  <si>
    <t>Tel 1230</t>
  </si>
  <si>
    <t>Tel 1231</t>
  </si>
  <si>
    <t>Tel 1232</t>
  </si>
  <si>
    <t>Tel 1233</t>
  </si>
  <si>
    <t>Tel 1234</t>
  </si>
  <si>
    <t>Tel 1235</t>
  </si>
  <si>
    <t>Tel 1236</t>
  </si>
  <si>
    <t>Tel 1237</t>
  </si>
  <si>
    <t>Tel 1238</t>
  </si>
  <si>
    <t>Tel 1239</t>
  </si>
  <si>
    <t>Tel 1240</t>
  </si>
  <si>
    <t>Tel 1241</t>
  </si>
  <si>
    <t>Tel 1242</t>
  </si>
  <si>
    <t>Tel 1243</t>
  </si>
  <si>
    <t>Tel 1244</t>
  </si>
  <si>
    <t>Tel 1245</t>
  </si>
  <si>
    <t>Tel 1246</t>
  </si>
  <si>
    <t>Tel 1247</t>
  </si>
  <si>
    <t>Tel 1248</t>
  </si>
  <si>
    <t>Tel 1249</t>
  </si>
  <si>
    <t>Tel 1250</t>
  </si>
  <si>
    <t>Tel 1251</t>
  </si>
  <si>
    <t>Tel 1252</t>
  </si>
  <si>
    <t>Tel 1253</t>
  </si>
  <si>
    <t>Tel 1254</t>
  </si>
  <si>
    <t>Tel 1255</t>
  </si>
  <si>
    <t>Tel 1256</t>
  </si>
  <si>
    <t>Tel 1257</t>
  </si>
  <si>
    <t>Tel 1258</t>
  </si>
  <si>
    <t>Tel 1259</t>
  </si>
  <si>
    <t>Tel 1260</t>
  </si>
  <si>
    <t>Tel 1261</t>
  </si>
  <si>
    <t>Tel 1262</t>
  </si>
  <si>
    <t>Tel 1263</t>
  </si>
  <si>
    <t>Tel 1264</t>
  </si>
  <si>
    <t>Tel 1265</t>
  </si>
  <si>
    <t>Tel 1266</t>
  </si>
  <si>
    <t>Tel 1267</t>
  </si>
  <si>
    <t>Tel 1268</t>
  </si>
  <si>
    <t>Tel 1269</t>
  </si>
  <si>
    <t>Tel 1270</t>
  </si>
  <si>
    <t>Tel 1271</t>
  </si>
  <si>
    <t>Tel 1272</t>
  </si>
  <si>
    <t>Tel 1273</t>
  </si>
  <si>
    <t>Tel 1274</t>
  </si>
  <si>
    <t>Tel 1275</t>
  </si>
  <si>
    <t>Tel 1276</t>
  </si>
  <si>
    <t>Tel 1277</t>
  </si>
  <si>
    <t>Tel 1278</t>
  </si>
  <si>
    <t>Tel 1279</t>
  </si>
  <si>
    <t>Tel 1280</t>
  </si>
  <si>
    <t>Tel 1281</t>
  </si>
  <si>
    <t>Tel 1282</t>
  </si>
  <si>
    <t>Tel 1283</t>
  </si>
  <si>
    <t>Tel 1284</t>
  </si>
  <si>
    <t>Tel 1285</t>
  </si>
  <si>
    <t>Tel 1286</t>
  </si>
  <si>
    <t>Tel 1287</t>
  </si>
  <si>
    <t>Tel 1288</t>
  </si>
  <si>
    <t>Tel 1289</t>
  </si>
  <si>
    <t>Tel 1290</t>
  </si>
  <si>
    <t>Tel 1291</t>
  </si>
  <si>
    <t>Tel 1292</t>
  </si>
  <si>
    <t>Tel 1293</t>
  </si>
  <si>
    <t>Tel 1294</t>
  </si>
  <si>
    <t>Tel 1295</t>
  </si>
  <si>
    <t>Tel 1296</t>
  </si>
  <si>
    <t>Tel 1297</t>
  </si>
  <si>
    <t>Tel 1298</t>
  </si>
  <si>
    <t>Tel 1299</t>
  </si>
  <si>
    <t>Tel 1300</t>
  </si>
  <si>
    <t>Tel 1301</t>
  </si>
  <si>
    <t>Tel 1302</t>
  </si>
  <si>
    <t>Tel 1303</t>
  </si>
  <si>
    <t>Tel 1304</t>
  </si>
  <si>
    <t>Tel 1305</t>
  </si>
  <si>
    <t>Tel 1306</t>
  </si>
  <si>
    <t>Tel 1307</t>
  </si>
  <si>
    <t>Tel 1308</t>
  </si>
  <si>
    <t>Tel 1309</t>
  </si>
  <si>
    <t>Tel 1310</t>
  </si>
  <si>
    <t>Tel 1311</t>
  </si>
  <si>
    <t>Tel 1312</t>
  </si>
  <si>
    <t>Tel 1313</t>
  </si>
  <si>
    <t>Tel 1314</t>
  </si>
  <si>
    <t>Tel 1315</t>
  </si>
  <si>
    <t>Tel 1316</t>
  </si>
  <si>
    <t>Tel 1317</t>
  </si>
  <si>
    <t>Tel 1318</t>
  </si>
  <si>
    <t>Tel 1319</t>
  </si>
  <si>
    <t>Tel 1320</t>
  </si>
  <si>
    <t>Tel 1321</t>
  </si>
  <si>
    <t>Tel 1322</t>
  </si>
  <si>
    <t>Tel 1323</t>
  </si>
  <si>
    <t>Tel 1324</t>
  </si>
  <si>
    <t>Tel 1325</t>
  </si>
  <si>
    <t>Tel 1326</t>
  </si>
  <si>
    <t>Tel 1327</t>
  </si>
  <si>
    <t>Tel 1328</t>
  </si>
  <si>
    <t>Tel 1329</t>
  </si>
  <si>
    <t>Tel 1330</t>
  </si>
  <si>
    <t>Tel 1331</t>
  </si>
  <si>
    <t>Tel 1332</t>
  </si>
  <si>
    <t>Tel 1333</t>
  </si>
  <si>
    <t>Tel 1334</t>
  </si>
  <si>
    <t>Tel 1335</t>
  </si>
  <si>
    <t>Tel 1336</t>
  </si>
  <si>
    <t>Tel 1337</t>
  </si>
  <si>
    <t>Tel 1338</t>
  </si>
  <si>
    <t>Tel 1339</t>
  </si>
  <si>
    <t>Tel 1340</t>
  </si>
  <si>
    <t>Tel 1341</t>
  </si>
  <si>
    <t>Tel 1342</t>
  </si>
  <si>
    <t>Tel 1343</t>
  </si>
  <si>
    <t>Tel 1344</t>
  </si>
  <si>
    <t>Tel 1345</t>
  </si>
  <si>
    <t>Tel 1346</t>
  </si>
  <si>
    <t>Tel 1347</t>
  </si>
  <si>
    <t>Tel 1348</t>
  </si>
  <si>
    <t>Tel 1349</t>
  </si>
  <si>
    <t>Tel 1350</t>
  </si>
  <si>
    <t>Tel 1351</t>
  </si>
  <si>
    <t>Tel 1352</t>
  </si>
  <si>
    <t>Tel 1353</t>
  </si>
  <si>
    <t>Tel 1354</t>
  </si>
  <si>
    <t>Tel 1355</t>
  </si>
  <si>
    <t>Tel 1356</t>
  </si>
  <si>
    <t>Tel 1357</t>
  </si>
  <si>
    <t>Tel 1358</t>
  </si>
  <si>
    <t>Tel 1359</t>
  </si>
  <si>
    <t>Tel 1360</t>
  </si>
  <si>
    <t>Tel 1361</t>
  </si>
  <si>
    <t>Tel 1362</t>
  </si>
  <si>
    <t>Tel 1363</t>
  </si>
  <si>
    <t>Tel 1364</t>
  </si>
  <si>
    <t>Tel 1365</t>
  </si>
  <si>
    <t>Tel 1366</t>
  </si>
  <si>
    <t>Tel 1367</t>
  </si>
  <si>
    <t>Tel 1368</t>
  </si>
  <si>
    <t>Tel 1369</t>
  </si>
  <si>
    <t>Tel 1370</t>
  </si>
  <si>
    <t>Tel 1371</t>
  </si>
  <si>
    <t>Tel 1372</t>
  </si>
  <si>
    <t>Tel 1373</t>
  </si>
  <si>
    <t>Tel 1374</t>
  </si>
  <si>
    <t>Tel 1375</t>
  </si>
  <si>
    <t>Tel 1376</t>
  </si>
  <si>
    <t>Tel 1377</t>
  </si>
  <si>
    <t>Tel 1378</t>
  </si>
  <si>
    <t>Tel 1379</t>
  </si>
  <si>
    <t>Tel 1380</t>
  </si>
  <si>
    <t>Tel 1381</t>
  </si>
  <si>
    <t>Tel 1382</t>
  </si>
  <si>
    <t>Tel 1383</t>
  </si>
  <si>
    <t>Tel 1384</t>
  </si>
  <si>
    <t>Tel 1385</t>
  </si>
  <si>
    <t>Tel 1386</t>
  </si>
  <si>
    <t>Tel 1387</t>
  </si>
  <si>
    <t>Tel 1388</t>
  </si>
  <si>
    <t>Tel 1389</t>
  </si>
  <si>
    <t>Tel 1390</t>
  </si>
  <si>
    <t>Tel 1391</t>
  </si>
  <si>
    <t>Tel 1392</t>
  </si>
  <si>
    <t>Tel 1393</t>
  </si>
  <si>
    <t>Tel 1394</t>
  </si>
  <si>
    <t>Tel 1395</t>
  </si>
  <si>
    <t>Tel 1396</t>
  </si>
  <si>
    <t>Tel 1397</t>
  </si>
  <si>
    <t>Tel 1398</t>
  </si>
  <si>
    <t>Tel 1399</t>
  </si>
  <si>
    <t>Tel 1400</t>
  </si>
  <si>
    <t>Tel 1401</t>
  </si>
  <si>
    <t>Tel 1402</t>
  </si>
  <si>
    <t>Tel 1403</t>
  </si>
  <si>
    <t>Tel 1404</t>
  </si>
  <si>
    <t>Tel 1405</t>
  </si>
  <si>
    <t>Tel 1406</t>
  </si>
  <si>
    <t>Tel 1407</t>
  </si>
  <si>
    <t>Tel 1408</t>
  </si>
  <si>
    <t>Tel 1409</t>
  </si>
  <si>
    <t>Tel 1410</t>
  </si>
  <si>
    <t>Tel 1411</t>
  </si>
  <si>
    <t>Tel 1412</t>
  </si>
  <si>
    <t>Tel 1413</t>
  </si>
  <si>
    <t>Tel 1414</t>
  </si>
  <si>
    <t>Tel 1415</t>
  </si>
  <si>
    <t>Tel 1416</t>
  </si>
  <si>
    <t>Tel 1417</t>
  </si>
  <si>
    <t>Tel 1418</t>
  </si>
  <si>
    <t>Tel 1419</t>
  </si>
  <si>
    <t>Tel 1420</t>
  </si>
  <si>
    <t>Tel 1421</t>
  </si>
  <si>
    <t>Tel 1422</t>
  </si>
  <si>
    <t>Tel 1423</t>
  </si>
  <si>
    <t>Tel 1424</t>
  </si>
  <si>
    <t>Tel 1425</t>
  </si>
  <si>
    <t>Tel 1426</t>
  </si>
  <si>
    <t>Tel 1427</t>
  </si>
  <si>
    <t>Tel 1428</t>
  </si>
  <si>
    <t>Tel 1429</t>
  </si>
  <si>
    <t>Tel 1430</t>
  </si>
  <si>
    <t>Tel 1431</t>
  </si>
  <si>
    <t>Tel 1432</t>
  </si>
  <si>
    <t>Tel 1433</t>
  </si>
  <si>
    <t>Tel 1434</t>
  </si>
  <si>
    <t>Tel 1435</t>
  </si>
  <si>
    <t>Tel 1436</t>
  </si>
  <si>
    <t>Tel 1437</t>
  </si>
  <si>
    <t>Tel 1438</t>
  </si>
  <si>
    <t>Tel 1439</t>
  </si>
  <si>
    <t>Tel 1440</t>
  </si>
  <si>
    <t>Tel 1441</t>
  </si>
  <si>
    <t>Tel 1442</t>
  </si>
  <si>
    <t>Tel 1443</t>
  </si>
  <si>
    <t>Tel 1444</t>
  </si>
  <si>
    <t>Tel 1445</t>
  </si>
  <si>
    <t>Tel 1446</t>
  </si>
  <si>
    <t>Tel 1447</t>
  </si>
  <si>
    <t>Tel 1448</t>
  </si>
  <si>
    <t>Tel 1449</t>
  </si>
  <si>
    <t>Tel 1450</t>
  </si>
  <si>
    <t>Tel 1451</t>
  </si>
  <si>
    <t>Tel 1452</t>
  </si>
  <si>
    <t>Tel 1453</t>
  </si>
  <si>
    <t>Tel 1454</t>
  </si>
  <si>
    <t>Tel 1455</t>
  </si>
  <si>
    <t>Tel 1456</t>
  </si>
  <si>
    <t>Tel 1457</t>
  </si>
  <si>
    <t>Tel 1458</t>
  </si>
  <si>
    <t>Tel 1459</t>
  </si>
  <si>
    <t>Tel 1460</t>
  </si>
  <si>
    <t>Tel 1461</t>
  </si>
  <si>
    <t>Tel 1462</t>
  </si>
  <si>
    <t>Tel 1463</t>
  </si>
  <si>
    <t>Tel 1464</t>
  </si>
  <si>
    <t>Tel 1465</t>
  </si>
  <si>
    <t>Tel 1466</t>
  </si>
  <si>
    <t>Tel 1467</t>
  </si>
  <si>
    <t>Tel 1468</t>
  </si>
  <si>
    <t>Tel 1469</t>
  </si>
  <si>
    <t>Tel 1470</t>
  </si>
  <si>
    <t>Tel 1471</t>
  </si>
  <si>
    <t>Tel 1472</t>
  </si>
  <si>
    <t>Tel 1473</t>
  </si>
  <si>
    <t>Tel 1474</t>
  </si>
  <si>
    <t>Tel 1475</t>
  </si>
  <si>
    <t>Tel 1476</t>
  </si>
  <si>
    <t>Tel 1477</t>
  </si>
  <si>
    <t>Tel 1478</t>
  </si>
  <si>
    <t>Tel 1479</t>
  </si>
  <si>
    <t>Tel 1480</t>
  </si>
  <si>
    <t>Tel 1481</t>
  </si>
  <si>
    <t>Tel 1482</t>
  </si>
  <si>
    <t>Tel 1483</t>
  </si>
  <si>
    <t>Tel 1484</t>
  </si>
  <si>
    <t>Tel 1485</t>
  </si>
  <si>
    <t>Tel 1486</t>
  </si>
  <si>
    <t>Tel 1487</t>
  </si>
  <si>
    <t>Tel 1488</t>
  </si>
  <si>
    <t>Tel 1489</t>
  </si>
  <si>
    <t>Tel 1490</t>
  </si>
  <si>
    <t>Tel 1491</t>
  </si>
  <si>
    <t>Tel 1492</t>
  </si>
  <si>
    <t>Tel 1493</t>
  </si>
  <si>
    <t>Tel 1494</t>
  </si>
  <si>
    <t>Tel 1495</t>
  </si>
  <si>
    <t>Tel 1496</t>
  </si>
  <si>
    <t>Tel 1497</t>
  </si>
  <si>
    <t>Tel 1498</t>
  </si>
  <si>
    <t>Tel 1499</t>
  </si>
  <si>
    <t>Tel 1500</t>
  </si>
  <si>
    <t>Tel 1501</t>
  </si>
  <si>
    <t>Tel 1502</t>
  </si>
  <si>
    <t>Tel 1503</t>
  </si>
  <si>
    <t>Tel 1504</t>
  </si>
  <si>
    <t>Tel 1505</t>
  </si>
  <si>
    <t>Tel 1507</t>
  </si>
  <si>
    <t>Tel 1508</t>
  </si>
  <si>
    <t>Tel 1509</t>
  </si>
  <si>
    <t>Tel 1510</t>
  </si>
  <si>
    <t>Tel 1511</t>
  </si>
  <si>
    <t>Tel 1512</t>
  </si>
  <si>
    <t>Tel 1513</t>
  </si>
  <si>
    <t>Tel 1514</t>
  </si>
  <si>
    <t>Tel 1515</t>
  </si>
  <si>
    <t>Tel 1516</t>
  </si>
  <si>
    <t>Tel 1517</t>
  </si>
  <si>
    <t>Tel 1518</t>
  </si>
  <si>
    <t>Tel 1519</t>
  </si>
  <si>
    <t>Tel 1520</t>
  </si>
  <si>
    <t>Tel 1521</t>
  </si>
  <si>
    <t>Tel 1522</t>
  </si>
  <si>
    <t>Tel 1523</t>
  </si>
  <si>
    <t>Tel 1524</t>
  </si>
  <si>
    <t>Tel 1525</t>
  </si>
  <si>
    <t>Tel 1526</t>
  </si>
  <si>
    <t>Tel 1527</t>
  </si>
  <si>
    <t>Tel 1528</t>
  </si>
  <si>
    <t>Tel 1529</t>
  </si>
  <si>
    <t>Tel 1530</t>
  </si>
  <si>
    <t>Tel 1531</t>
  </si>
  <si>
    <t>Tel 1532</t>
  </si>
  <si>
    <t>Tel 1533</t>
  </si>
  <si>
    <t>Tel 1534</t>
  </si>
  <si>
    <t>Tel 1535</t>
  </si>
  <si>
    <t>Tel 1536</t>
  </si>
  <si>
    <t>Tel 1537</t>
  </si>
  <si>
    <t>Tel 1538</t>
  </si>
  <si>
    <t>Tel 1539</t>
  </si>
  <si>
    <t>Tel 1540</t>
  </si>
  <si>
    <t>Tel 1541</t>
  </si>
  <si>
    <t>Tel 1542</t>
  </si>
  <si>
    <t>Tel 1543</t>
  </si>
  <si>
    <t>Tel 1544</t>
  </si>
  <si>
    <t>Tel 1545</t>
  </si>
  <si>
    <t>Tel 1546</t>
  </si>
  <si>
    <t>Tel 1547</t>
  </si>
  <si>
    <t>Tel 1548</t>
  </si>
  <si>
    <t>Tel 1549</t>
  </si>
  <si>
    <t>Tel 1550</t>
  </si>
  <si>
    <t>Tel 1551</t>
  </si>
  <si>
    <t>Tel 1552</t>
  </si>
  <si>
    <t>Tel 1553</t>
  </si>
  <si>
    <t>Tel 1554</t>
  </si>
  <si>
    <t>Tel 1555</t>
  </si>
  <si>
    <t>Tel 1556</t>
  </si>
  <si>
    <t>Tel 1557</t>
  </si>
  <si>
    <t>Tel 1558</t>
  </si>
  <si>
    <t>Tel 1559</t>
  </si>
  <si>
    <t>Tel 1560</t>
  </si>
  <si>
    <t>Tel 1561</t>
  </si>
  <si>
    <t>Tel 1562</t>
  </si>
  <si>
    <t>Tel 1563</t>
  </si>
  <si>
    <t>Tel 1564</t>
  </si>
  <si>
    <t>Tel 1565</t>
  </si>
  <si>
    <t>Tel 1566</t>
  </si>
  <si>
    <t>Tel 1567</t>
  </si>
  <si>
    <t>Tel 1568</t>
  </si>
  <si>
    <t>Tel 1569</t>
  </si>
  <si>
    <t>Tel 1570</t>
  </si>
  <si>
    <t>Tel 1571</t>
  </si>
  <si>
    <t>Tel 1572</t>
  </si>
  <si>
    <t>Tel 1573</t>
  </si>
  <si>
    <t>Tel 1574</t>
  </si>
  <si>
    <t>Tel 1575</t>
  </si>
  <si>
    <t>Tel 1576</t>
  </si>
  <si>
    <t>Tel 1577</t>
  </si>
  <si>
    <t>Tel 1578</t>
  </si>
  <si>
    <t>Tel 1579</t>
  </si>
  <si>
    <t>Tel 1580</t>
  </si>
  <si>
    <t>Tel 1581</t>
  </si>
  <si>
    <t>Tel 1582</t>
  </si>
  <si>
    <t>Tel 1583</t>
  </si>
  <si>
    <t>Tel 1584</t>
  </si>
  <si>
    <t>Tel 1585</t>
  </si>
  <si>
    <t>Tel 1586</t>
  </si>
  <si>
    <t>Tel 1587</t>
  </si>
  <si>
    <t>Tel 1588</t>
  </si>
  <si>
    <t>Tel 1589</t>
  </si>
  <si>
    <t>Tel 1590</t>
  </si>
  <si>
    <t>Tel 1591</t>
  </si>
  <si>
    <t>Tel 1592</t>
  </si>
  <si>
    <t>Tel 1593</t>
  </si>
  <si>
    <t>Tel 1594</t>
  </si>
  <si>
    <t>Tel 1595</t>
  </si>
  <si>
    <t>Tel 1596</t>
  </si>
  <si>
    <t>Tel 1597</t>
  </si>
  <si>
    <t>Tel 1598</t>
  </si>
  <si>
    <t>Tel 1599</t>
  </si>
  <si>
    <t>Tel 1600</t>
  </si>
  <si>
    <t>Tel 1601</t>
  </si>
  <si>
    <t>Tel 1602</t>
  </si>
  <si>
    <t>Tel 1603</t>
  </si>
  <si>
    <t>Tel 1604</t>
  </si>
  <si>
    <t>Tel 1605</t>
  </si>
  <si>
    <t>Tel 1606</t>
  </si>
  <si>
    <t>Tel 1607</t>
  </si>
  <si>
    <t>Tel 1608</t>
  </si>
  <si>
    <t>Tel 1609</t>
  </si>
  <si>
    <t>Tel 1610</t>
  </si>
  <si>
    <t>Tel 1611</t>
  </si>
  <si>
    <t>Tel 1612</t>
  </si>
  <si>
    <t>Tel 1613</t>
  </si>
  <si>
    <t>Tel 1614</t>
  </si>
  <si>
    <t>Tel 1615</t>
  </si>
  <si>
    <t>Tel 1616</t>
  </si>
  <si>
    <t>Tel 1617</t>
  </si>
  <si>
    <t>Tel 1618</t>
  </si>
  <si>
    <t>Tel 1619</t>
  </si>
  <si>
    <t>Tel 1620</t>
  </si>
  <si>
    <t>Tel 1621</t>
  </si>
  <si>
    <t>Tel 1622</t>
  </si>
  <si>
    <t>Tel 1623</t>
  </si>
  <si>
    <t>Tel 1624</t>
  </si>
  <si>
    <t>Tel 1625</t>
  </si>
  <si>
    <t>Tel 1626</t>
  </si>
  <si>
    <t>Tel 1627</t>
  </si>
  <si>
    <t>Tel 1628</t>
  </si>
  <si>
    <t>Tel 1629</t>
  </si>
  <si>
    <t>Tel 1630</t>
  </si>
  <si>
    <t>Tel 1631</t>
  </si>
  <si>
    <t>Tel 1632</t>
  </si>
  <si>
    <t>Tel 1633</t>
  </si>
  <si>
    <t>Tel 1634</t>
  </si>
  <si>
    <t>Tel 1635</t>
  </si>
  <si>
    <t>Tel 1636</t>
  </si>
  <si>
    <t>Tel 1637</t>
  </si>
  <si>
    <t>Tel 1638</t>
  </si>
  <si>
    <t>Tel 1639</t>
  </si>
  <si>
    <t>Tel 1640</t>
  </si>
  <si>
    <t>Tel 1641</t>
  </si>
  <si>
    <t>Tel 1642</t>
  </si>
  <si>
    <t>Tel 1643</t>
  </si>
  <si>
    <t>Tel 1644</t>
  </si>
  <si>
    <t>Tel 1645</t>
  </si>
  <si>
    <t>Tel 1646</t>
  </si>
  <si>
    <t>Tel 1647</t>
  </si>
  <si>
    <t>Tel 1648</t>
  </si>
  <si>
    <t>Tel 1649</t>
  </si>
  <si>
    <t>Tel 1650</t>
  </si>
  <si>
    <t>Tel 1651</t>
  </si>
  <si>
    <t>Tel 1652</t>
  </si>
  <si>
    <t>Tel 1653</t>
  </si>
  <si>
    <t>Tel 1654</t>
  </si>
  <si>
    <t>Tel 1655</t>
  </si>
  <si>
    <t>Tel 1656</t>
  </si>
  <si>
    <t>Tel 1657</t>
  </si>
  <si>
    <t>Tel 1658</t>
  </si>
  <si>
    <t>Tel 1659</t>
  </si>
  <si>
    <t>Tel 1660</t>
  </si>
  <si>
    <t>Tel 1661</t>
  </si>
  <si>
    <t>Tel 1662</t>
  </si>
  <si>
    <t>Tel 1663</t>
  </si>
  <si>
    <t>Tel 1664</t>
  </si>
  <si>
    <t>Tel 1665</t>
  </si>
  <si>
    <t>Tel 1666</t>
  </si>
  <si>
    <t>Tel 1667</t>
  </si>
  <si>
    <t>Tel 1668</t>
  </si>
  <si>
    <t>Tel 1669</t>
  </si>
  <si>
    <t>Tel 1670</t>
  </si>
  <si>
    <t>Tel 1671</t>
  </si>
  <si>
    <t>Tel 1672</t>
  </si>
  <si>
    <t>Tel 1673</t>
  </si>
  <si>
    <t>Tel 1674</t>
  </si>
  <si>
    <t>Tel 1675</t>
  </si>
  <si>
    <t>Tel 1676</t>
  </si>
  <si>
    <t>Tel 1677</t>
  </si>
  <si>
    <t>Tel 1678</t>
  </si>
  <si>
    <t>Tel 1679</t>
  </si>
  <si>
    <t>Tel 1680</t>
  </si>
  <si>
    <t>Tel 1681</t>
  </si>
  <si>
    <t>Tel 1682</t>
  </si>
  <si>
    <t>Tel 1683</t>
  </si>
  <si>
    <t>Tel 1684</t>
  </si>
  <si>
    <t>Tel 1685</t>
  </si>
  <si>
    <t>Tel 1686</t>
  </si>
  <si>
    <t>Tel 1687</t>
  </si>
  <si>
    <t>Tel 1688</t>
  </si>
  <si>
    <t>Tel 1689</t>
  </si>
  <si>
    <t>Tel 1690</t>
  </si>
  <si>
    <t>Tel 1691</t>
  </si>
  <si>
    <t>Tel 1692</t>
  </si>
  <si>
    <t>Tel 1693</t>
  </si>
  <si>
    <t>Tel 1694</t>
  </si>
  <si>
    <t>Tel 1695</t>
  </si>
  <si>
    <t>Tel 1696</t>
  </si>
  <si>
    <t>Tel 1697</t>
  </si>
  <si>
    <t>Tel 1698</t>
  </si>
  <si>
    <t>Tel 1699</t>
  </si>
  <si>
    <t>Tel 1700</t>
  </si>
  <si>
    <t>Tel 1701</t>
  </si>
  <si>
    <t>Tel 1702</t>
  </si>
  <si>
    <t>Tel 1703</t>
  </si>
  <si>
    <t>Tel 1704</t>
  </si>
  <si>
    <t>Tel 1705</t>
  </si>
  <si>
    <t>Tel 1706</t>
  </si>
  <si>
    <t>Tel 1707</t>
  </si>
  <si>
    <t>Tel 1708</t>
  </si>
  <si>
    <t>Tel 1709</t>
  </si>
  <si>
    <t>Tel 1710</t>
  </si>
  <si>
    <t>Tel 1711</t>
  </si>
  <si>
    <t>Tel 1712</t>
  </si>
  <si>
    <t>Tel 1713</t>
  </si>
  <si>
    <t>Tel 1714</t>
  </si>
  <si>
    <t>Tel 1715</t>
  </si>
  <si>
    <t>Tel 1716</t>
  </si>
  <si>
    <t>Tel 1717</t>
  </si>
  <si>
    <t>Tel 1718</t>
  </si>
  <si>
    <t>Tel 1719</t>
  </si>
  <si>
    <t>Tel 1720</t>
  </si>
  <si>
    <t>Tel 1721</t>
  </si>
  <si>
    <t>Tel 1722</t>
  </si>
  <si>
    <t>Tel 1726</t>
  </si>
  <si>
    <t>Tel 1727</t>
  </si>
  <si>
    <t>Tel 1728</t>
  </si>
  <si>
    <t>Tel 1729</t>
  </si>
  <si>
    <t>Tel 1730</t>
  </si>
  <si>
    <t>Tel 1731</t>
  </si>
  <si>
    <t>Tel 1732</t>
  </si>
  <si>
    <t>Tel 1733</t>
  </si>
  <si>
    <t>Tel 1734</t>
  </si>
  <si>
    <t>Tel 1735</t>
  </si>
  <si>
    <t>Tel 1736</t>
  </si>
  <si>
    <t>Tel 1737</t>
  </si>
  <si>
    <t>Tel 1738</t>
  </si>
  <si>
    <t>Tel 1739</t>
  </si>
  <si>
    <t>Tel 1740</t>
  </si>
  <si>
    <t>Tel 1741</t>
  </si>
  <si>
    <t>Tel 1742</t>
  </si>
  <si>
    <t>Tel 1743</t>
  </si>
  <si>
    <t>Tel 1744</t>
  </si>
  <si>
    <t>Tel 1745</t>
  </si>
  <si>
    <t>Tel 1746</t>
  </si>
  <si>
    <t>Tel 1747</t>
  </si>
  <si>
    <t>Tel 1748</t>
  </si>
  <si>
    <t>Tel 1749</t>
  </si>
  <si>
    <t>Tel 1750</t>
  </si>
  <si>
    <t>Tel 1751</t>
  </si>
  <si>
    <t>Tel 1752</t>
  </si>
  <si>
    <t>Tel 1753</t>
  </si>
  <si>
    <t>Tel 1754</t>
  </si>
  <si>
    <t>Tel 1755</t>
  </si>
  <si>
    <t>Tel 1756</t>
  </si>
  <si>
    <t>Tel 1757</t>
  </si>
  <si>
    <t>Tel 1758</t>
  </si>
  <si>
    <t>Tel 1759</t>
  </si>
  <si>
    <t>Tel 1760</t>
  </si>
  <si>
    <t>Tel 1761</t>
  </si>
  <si>
    <t>Tel 1762</t>
  </si>
  <si>
    <t>Tel 1763</t>
  </si>
  <si>
    <t>Tel 1764</t>
  </si>
  <si>
    <t>Tel 1765</t>
  </si>
  <si>
    <t>Tel 1766</t>
  </si>
  <si>
    <t>Tel 1767</t>
  </si>
  <si>
    <t>Tel 1768</t>
  </si>
  <si>
    <t>Tel 1769</t>
  </si>
  <si>
    <t>Tel 1770</t>
  </si>
  <si>
    <t>Tel 1771</t>
  </si>
  <si>
    <t>Tel 1772</t>
  </si>
  <si>
    <t>Tel 1773</t>
  </si>
  <si>
    <t>Tel 1774</t>
  </si>
  <si>
    <t>Tel 1775</t>
  </si>
  <si>
    <t>Tel 1776</t>
  </si>
  <si>
    <t>Tel 1777</t>
  </si>
  <si>
    <t>Tel 1778</t>
  </si>
  <si>
    <t>Tel 1779</t>
  </si>
  <si>
    <t>Tel 1780</t>
  </si>
  <si>
    <t>Tel 1781</t>
  </si>
  <si>
    <t>Tel 1782</t>
  </si>
  <si>
    <t>Tel 1783</t>
  </si>
  <si>
    <t>Tel 1784</t>
  </si>
  <si>
    <t>Tel 1785</t>
  </si>
  <si>
    <t>Tel 1786</t>
  </si>
  <si>
    <t>Tel 1787</t>
  </si>
  <si>
    <t>Tel 1788</t>
  </si>
  <si>
    <t>Tel 1789</t>
  </si>
  <si>
    <t>Tel 1790</t>
  </si>
  <si>
    <t>Tel 1791</t>
  </si>
  <si>
    <t>Tel 1792</t>
  </si>
  <si>
    <t>Tel 1793</t>
  </si>
  <si>
    <t>Tel 1794</t>
  </si>
  <si>
    <t>Tel 1795</t>
  </si>
  <si>
    <t>Tel 1796</t>
  </si>
  <si>
    <t>Tel 1797</t>
  </si>
  <si>
    <t>Tel 1798</t>
  </si>
  <si>
    <t>Tel 1799</t>
  </si>
  <si>
    <t>Tel 1800</t>
  </si>
  <si>
    <t>Tel 1801</t>
  </si>
  <si>
    <t>Tel 1802</t>
  </si>
  <si>
    <t>Tel 1803</t>
  </si>
  <si>
    <t>Tel 1804</t>
  </si>
  <si>
    <t>Tel 1805</t>
  </si>
  <si>
    <t>Tel 1806</t>
  </si>
  <si>
    <t>Tel 1807</t>
  </si>
  <si>
    <t>Tel 1808</t>
  </si>
  <si>
    <t>Tel 1809</t>
  </si>
  <si>
    <t>Tel 1810</t>
  </si>
  <si>
    <t>Tel 1811</t>
  </si>
  <si>
    <t>Tel 1812</t>
  </si>
  <si>
    <t>Tel 1813</t>
  </si>
  <si>
    <t>Tel 1814</t>
  </si>
  <si>
    <t>Tel 1815</t>
  </si>
  <si>
    <t>Tel 1816</t>
  </si>
  <si>
    <t>Tel 1817</t>
  </si>
  <si>
    <t>Tel 1818</t>
  </si>
  <si>
    <t>Tel 1819</t>
  </si>
  <si>
    <t>Tel 1820</t>
  </si>
  <si>
    <t>Tel 1821</t>
  </si>
  <si>
    <t>Tel 1822</t>
  </si>
  <si>
    <t>Tel 1823</t>
  </si>
  <si>
    <t>Tel 1824</t>
  </si>
  <si>
    <t>Tel 1825</t>
  </si>
  <si>
    <t>Tel 1826</t>
  </si>
  <si>
    <t>Tel 1827</t>
  </si>
  <si>
    <t>Tel 1828</t>
  </si>
  <si>
    <t>Tel 1829</t>
  </si>
  <si>
    <t>Tel 1830</t>
  </si>
  <si>
    <t>Tel 1831</t>
  </si>
  <si>
    <t>Tel 1832</t>
  </si>
  <si>
    <t>Tel 1833</t>
  </si>
  <si>
    <t>Tel 1834</t>
  </si>
  <si>
    <t>Tel 1835</t>
  </si>
  <si>
    <t>Tel 1836</t>
  </si>
  <si>
    <t>Tel 1837</t>
  </si>
  <si>
    <t>Tel 1838</t>
  </si>
  <si>
    <t>Tel 1839</t>
  </si>
  <si>
    <t>Tel 1840</t>
  </si>
  <si>
    <t>Tel 1841</t>
  </si>
  <si>
    <t>Tel 1842</t>
  </si>
  <si>
    <t>Tel 1843</t>
  </si>
  <si>
    <t>Tel 1844</t>
  </si>
  <si>
    <t>Tel 1845</t>
  </si>
  <si>
    <t>Tel 1846</t>
  </si>
  <si>
    <t>Tel 1847</t>
  </si>
  <si>
    <t>Tel 1848</t>
  </si>
  <si>
    <t>Tel 1849</t>
  </si>
  <si>
    <t>Tel 1850</t>
  </si>
  <si>
    <t>Tel 1851</t>
  </si>
  <si>
    <t>Tel 1852</t>
  </si>
  <si>
    <t>Tel 1853</t>
  </si>
  <si>
    <t>Tel 1854</t>
  </si>
  <si>
    <t>Tel 1855</t>
  </si>
  <si>
    <t>Tel 1856</t>
  </si>
  <si>
    <t>Tel 1857</t>
  </si>
  <si>
    <t>Tel 1858</t>
  </si>
  <si>
    <t>Tel 1859</t>
  </si>
  <si>
    <t>Tel 1860</t>
  </si>
  <si>
    <t>Tel 1861</t>
  </si>
  <si>
    <t>Tel 1862</t>
  </si>
  <si>
    <t>Tel 1863</t>
  </si>
  <si>
    <t>Tel 1864</t>
  </si>
  <si>
    <t>Tel 1865</t>
  </si>
  <si>
    <t>Tel 1866</t>
  </si>
  <si>
    <t>Tel 1867</t>
  </si>
  <si>
    <t>Tel 1868</t>
  </si>
  <si>
    <t>Tel 1869</t>
  </si>
  <si>
    <t>Tel 1870</t>
  </si>
  <si>
    <t>Tel 1871</t>
  </si>
  <si>
    <t>Tel 1872</t>
  </si>
  <si>
    <t>Tel 1873</t>
  </si>
  <si>
    <t>Tel 1874</t>
  </si>
  <si>
    <t>Tel 1875</t>
  </si>
  <si>
    <t>Tel 1876</t>
  </si>
  <si>
    <t>Tel 1877</t>
  </si>
  <si>
    <t>Tel 1878</t>
  </si>
  <si>
    <t>Tel 1879</t>
  </si>
  <si>
    <t>Tel 1880</t>
  </si>
  <si>
    <t>Tel 1881</t>
  </si>
  <si>
    <t>Tel 1882</t>
  </si>
  <si>
    <t>Tel 1883</t>
  </si>
  <si>
    <t>Tel 1884</t>
  </si>
  <si>
    <t>Tel 1885</t>
  </si>
  <si>
    <t>Tel 1886</t>
  </si>
  <si>
    <t>Tel 1887</t>
  </si>
  <si>
    <t>Tel 1888</t>
  </si>
  <si>
    <t>Tel 1889</t>
  </si>
  <si>
    <t>Tel 1890</t>
  </si>
  <si>
    <t>Tel 1891</t>
  </si>
  <si>
    <t>Tel 1892</t>
  </si>
  <si>
    <t>Tel 1893</t>
  </si>
  <si>
    <t>Tel 1894</t>
  </si>
  <si>
    <t>Tel 1895</t>
  </si>
  <si>
    <t>Tel 1896</t>
  </si>
  <si>
    <t>Tel 1897</t>
  </si>
  <si>
    <t>Tel 1898</t>
  </si>
  <si>
    <t>Tel 1899</t>
  </si>
  <si>
    <t>Tel 1900</t>
  </si>
  <si>
    <t>Tel 1901</t>
  </si>
  <si>
    <t>Tel 1902</t>
  </si>
  <si>
    <t>Tel 1903</t>
  </si>
  <si>
    <t>Tel 1904</t>
  </si>
  <si>
    <t>Tel 1905</t>
  </si>
  <si>
    <t>Tel 1906</t>
  </si>
  <si>
    <t>Tel 1907</t>
  </si>
  <si>
    <t>Tel 1908</t>
  </si>
  <si>
    <t>Tel 1909</t>
  </si>
  <si>
    <t>Tel 1910</t>
  </si>
  <si>
    <t>Tel 1911</t>
  </si>
  <si>
    <t>Tel 1912</t>
  </si>
  <si>
    <t>Tel 1913</t>
  </si>
  <si>
    <t>Tel 1914</t>
  </si>
  <si>
    <t>Tel 1915</t>
  </si>
  <si>
    <t>Tel 1916</t>
  </si>
  <si>
    <t>Tel 1917</t>
  </si>
  <si>
    <t>Tel 1918</t>
  </si>
  <si>
    <t>Tel 1919</t>
  </si>
  <si>
    <t>Tel 1920</t>
  </si>
  <si>
    <t>Tel 1921</t>
  </si>
  <si>
    <t>Tel 1922</t>
  </si>
  <si>
    <t>Tel 1923</t>
  </si>
  <si>
    <t>Tel 1924</t>
  </si>
  <si>
    <t>Tel 1925</t>
  </si>
  <si>
    <t>Tel 1926</t>
  </si>
  <si>
    <t>Tel 1927</t>
  </si>
  <si>
    <t>Tel 1928</t>
  </si>
  <si>
    <t>Tel 1929</t>
  </si>
  <si>
    <t>Tel 1930</t>
  </si>
  <si>
    <t>Tel 1931</t>
  </si>
  <si>
    <t>Tel 1932</t>
  </si>
  <si>
    <t>Tel 1933</t>
  </si>
  <si>
    <t>Tel 1934</t>
  </si>
  <si>
    <t>Tel 1935</t>
  </si>
  <si>
    <t>Tel 1936</t>
  </si>
  <si>
    <t>Tel 1937</t>
  </si>
  <si>
    <t>Tel 1938</t>
  </si>
  <si>
    <t>Tel 1939</t>
  </si>
  <si>
    <t>Tel 1940</t>
  </si>
  <si>
    <t>Tel 1941</t>
  </si>
  <si>
    <t>Tel 1942</t>
  </si>
  <si>
    <t>Tel 1943</t>
  </si>
  <si>
    <t>Tel 1944</t>
  </si>
  <si>
    <t>Tel 1945</t>
  </si>
  <si>
    <t>Tel 1946</t>
  </si>
  <si>
    <t>Tel 1947</t>
  </si>
  <si>
    <t>Tel 1948</t>
  </si>
  <si>
    <t>Tel 1949</t>
  </si>
  <si>
    <t>Tel 1950</t>
  </si>
  <si>
    <t>Tel 1951</t>
  </si>
  <si>
    <t>Tel 1952</t>
  </si>
  <si>
    <t>Tel 1953</t>
  </si>
  <si>
    <t>Tel 1954</t>
  </si>
  <si>
    <t>Tel 1955</t>
  </si>
  <si>
    <t>Tel 1956</t>
  </si>
  <si>
    <t>Tel 1957</t>
  </si>
  <si>
    <t>Tel 1958</t>
  </si>
  <si>
    <t>Tel 1959</t>
  </si>
  <si>
    <t>Tel 1960</t>
  </si>
  <si>
    <t>Tel 1961</t>
  </si>
  <si>
    <t>Tel 1962</t>
  </si>
  <si>
    <t>Tel 1963</t>
  </si>
  <si>
    <t>Tel 1964</t>
  </si>
  <si>
    <t>Tel 1965</t>
  </si>
  <si>
    <t>Tel 1966</t>
  </si>
  <si>
    <t>Tel 1967</t>
  </si>
  <si>
    <t>Tel 1968</t>
  </si>
  <si>
    <t>Tel 1969</t>
  </si>
  <si>
    <t>Tel 1970</t>
  </si>
  <si>
    <t>Tel 1971</t>
  </si>
  <si>
    <t>Tel 1972</t>
  </si>
  <si>
    <t>Tel 1973</t>
  </si>
  <si>
    <t>Tel 1974</t>
  </si>
  <si>
    <t>Tel 1975</t>
  </si>
  <si>
    <t>Tel 1976</t>
  </si>
  <si>
    <t>Tel 1977</t>
  </si>
  <si>
    <t>Tel 1978</t>
  </si>
  <si>
    <t>Tel 1979</t>
  </si>
  <si>
    <t>Tel 1980</t>
  </si>
  <si>
    <t>Tel 1981</t>
  </si>
  <si>
    <t>Tel 1982</t>
  </si>
  <si>
    <t>Tel 1983</t>
  </si>
  <si>
    <t>Tel 1984</t>
  </si>
  <si>
    <t>Tel 1985</t>
  </si>
  <si>
    <t>Tel 1986</t>
  </si>
  <si>
    <t>Tel 1987</t>
  </si>
  <si>
    <t>Tel 1988</t>
  </si>
  <si>
    <t>Tel 1989</t>
  </si>
  <si>
    <t>Tel 1990</t>
  </si>
  <si>
    <t>Tel 1991</t>
  </si>
  <si>
    <t>Tel 1992</t>
  </si>
  <si>
    <t>Tel 1993</t>
  </si>
  <si>
    <t>Tel 1994</t>
  </si>
  <si>
    <t>Tel 1995</t>
  </si>
  <si>
    <t>Tel 1996</t>
  </si>
  <si>
    <t>Tel 1997</t>
  </si>
  <si>
    <t>Tel 1998</t>
  </si>
  <si>
    <t>Tel 1999</t>
  </si>
  <si>
    <t>Tel 2000</t>
  </si>
  <si>
    <t>Tel 2001</t>
  </si>
  <si>
    <t>Tel 2002</t>
  </si>
  <si>
    <t>Tel 2003</t>
  </si>
  <si>
    <t>Tel 2004</t>
  </si>
  <si>
    <t>Tel 2005</t>
  </si>
  <si>
    <t>Tel 2006</t>
  </si>
  <si>
    <t>Tel 2007</t>
  </si>
  <si>
    <t>Tel 2008</t>
  </si>
  <si>
    <t>Tel 2009</t>
  </si>
  <si>
    <t>Tel 2010</t>
  </si>
  <si>
    <t>Tel 2011</t>
  </si>
  <si>
    <t>Tel 2012</t>
  </si>
  <si>
    <t>Tel 2013</t>
  </si>
  <si>
    <t>Tel 2014</t>
  </si>
  <si>
    <t>Tel 2015</t>
  </si>
  <si>
    <t>Tel 2016</t>
  </si>
  <si>
    <t>Tel 2017</t>
  </si>
  <si>
    <t>Tel 2018</t>
  </si>
  <si>
    <t>Tel 2019</t>
  </si>
  <si>
    <t>Tel 2021</t>
  </si>
  <si>
    <t>Tel 2022</t>
  </si>
  <si>
    <t>Tel 2023</t>
  </si>
  <si>
    <t>Tel 2024</t>
  </si>
  <si>
    <t>Tel 2025</t>
  </si>
  <si>
    <t>Tel 2026</t>
  </si>
  <si>
    <t>Tel 2027</t>
  </si>
  <si>
    <t>Tel 2028</t>
  </si>
  <si>
    <t>Tel 2029</t>
  </si>
  <si>
    <t>Tel 2030</t>
  </si>
  <si>
    <t>Tel 2031</t>
  </si>
  <si>
    <t>Tel 2032</t>
  </si>
  <si>
    <t>Tel 2033</t>
  </si>
  <si>
    <t>Tel 2034</t>
  </si>
  <si>
    <t>Tel 2035</t>
  </si>
  <si>
    <t>Tel 2036</t>
  </si>
  <si>
    <t>Tel 2037</t>
  </si>
  <si>
    <t>Tel 2038</t>
  </si>
  <si>
    <t>Tel 2039</t>
  </si>
  <si>
    <t>Tel 2040</t>
  </si>
  <si>
    <t>Tel 2041</t>
  </si>
  <si>
    <t>Tel 2042</t>
  </si>
  <si>
    <t>Tel 2043</t>
  </si>
  <si>
    <t>Tel 2044</t>
  </si>
  <si>
    <t>Tel 2045</t>
  </si>
  <si>
    <t>Tel 2046</t>
  </si>
  <si>
    <t>Tel 2047</t>
  </si>
  <si>
    <t>Tel 2048</t>
  </si>
  <si>
    <t>Tel 2049</t>
  </si>
  <si>
    <t>Tel 2050</t>
  </si>
  <si>
    <t>Tel 2051</t>
  </si>
  <si>
    <t>Tel 2052</t>
  </si>
  <si>
    <t>Tel 2053</t>
  </si>
  <si>
    <t>Tel 2054</t>
  </si>
  <si>
    <t>Tel 2055</t>
  </si>
  <si>
    <t>Tel 2056</t>
  </si>
  <si>
    <t>Tel 2057</t>
  </si>
  <si>
    <t>Tel 2058</t>
  </si>
  <si>
    <t>Tel 2059</t>
  </si>
  <si>
    <t>Tel 2060</t>
  </si>
  <si>
    <t>Tel 2061</t>
  </si>
  <si>
    <t>Tel 2062</t>
  </si>
  <si>
    <t>Rua 4</t>
  </si>
  <si>
    <t>Rua 1</t>
  </si>
  <si>
    <t>Rua 3</t>
  </si>
  <si>
    <t>Rua 2</t>
  </si>
  <si>
    <t>Rua 6</t>
  </si>
  <si>
    <t>Rua 7</t>
  </si>
  <si>
    <t>Rua 8</t>
  </si>
  <si>
    <t>Rua 9</t>
  </si>
  <si>
    <t>Rua 10</t>
  </si>
  <si>
    <t>Rua 11</t>
  </si>
  <si>
    <t>Rua 12</t>
  </si>
  <si>
    <t>Rua 13</t>
  </si>
  <si>
    <t>Rua 14</t>
  </si>
  <si>
    <t>Rua 15</t>
  </si>
  <si>
    <t>Rua 16</t>
  </si>
  <si>
    <t>Rua 17</t>
  </si>
  <si>
    <t>Rua 18</t>
  </si>
  <si>
    <t>Rua 19</t>
  </si>
  <si>
    <t>Rua 20</t>
  </si>
  <si>
    <t>Rua 21</t>
  </si>
  <si>
    <t>Rua 22</t>
  </si>
  <si>
    <t>Rua 23</t>
  </si>
  <si>
    <t>Rua 24</t>
  </si>
  <si>
    <t>Rua 25</t>
  </si>
  <si>
    <t>Rua 26</t>
  </si>
  <si>
    <t>Rua 27</t>
  </si>
  <si>
    <t>Rua 28</t>
  </si>
  <si>
    <t>Rua 29</t>
  </si>
  <si>
    <t>Rua 30</t>
  </si>
  <si>
    <t>Rua 31</t>
  </si>
  <si>
    <t>Rua 32</t>
  </si>
  <si>
    <t>Rua 33</t>
  </si>
  <si>
    <t>Rua 34</t>
  </si>
  <si>
    <t>Rua 35</t>
  </si>
  <si>
    <t>Rua 36</t>
  </si>
  <si>
    <t>Rua 37</t>
  </si>
  <si>
    <t>Rua 38</t>
  </si>
  <si>
    <t>Rua 39</t>
  </si>
  <si>
    <t>Rua 40</t>
  </si>
  <si>
    <t>Rua 41</t>
  </si>
  <si>
    <t>Rua 42</t>
  </si>
  <si>
    <t>Rua 43</t>
  </si>
  <si>
    <t>Rua 44</t>
  </si>
  <si>
    <t>Rua 45</t>
  </si>
  <si>
    <t>Rua 46</t>
  </si>
  <si>
    <t>Rua 47</t>
  </si>
  <si>
    <t>Rua 48</t>
  </si>
  <si>
    <t>Rua 49</t>
  </si>
  <si>
    <t>Rua 50</t>
  </si>
  <si>
    <t>Rua 51</t>
  </si>
  <si>
    <t>Rua 52</t>
  </si>
  <si>
    <t>Rua 53</t>
  </si>
  <si>
    <t>Rua 54</t>
  </si>
  <si>
    <t>Rua 55</t>
  </si>
  <si>
    <t>Rua 56</t>
  </si>
  <si>
    <t>Rua 57</t>
  </si>
  <si>
    <t>Rua 58</t>
  </si>
  <si>
    <t>Rua 59</t>
  </si>
  <si>
    <t>Rua 60</t>
  </si>
  <si>
    <t>Rua 61</t>
  </si>
  <si>
    <t>Rua 62</t>
  </si>
  <si>
    <t>Rua 63</t>
  </si>
  <si>
    <t>Rua 64</t>
  </si>
  <si>
    <t>Rua 65</t>
  </si>
  <si>
    <t>Rua 66</t>
  </si>
  <si>
    <t>Rua 67</t>
  </si>
  <si>
    <t>Rua 68</t>
  </si>
  <si>
    <t>Rua 69</t>
  </si>
  <si>
    <t>Rua 70</t>
  </si>
  <si>
    <t>Rua 71</t>
  </si>
  <si>
    <t>Rua 72</t>
  </si>
  <si>
    <t>Rua 73</t>
  </si>
  <si>
    <t>Rua 74</t>
  </si>
  <si>
    <t>Rua 75</t>
  </si>
  <si>
    <t>Rua 76</t>
  </si>
  <si>
    <t>Rua 77</t>
  </si>
  <si>
    <t>Rua 78</t>
  </si>
  <si>
    <t>Rua 79</t>
  </si>
  <si>
    <t>Rua 80</t>
  </si>
  <si>
    <t>Rua 81</t>
  </si>
  <si>
    <t>Rua 82</t>
  </si>
  <si>
    <t>Rua 83</t>
  </si>
  <si>
    <t>Rua 84</t>
  </si>
  <si>
    <t>Rua 85</t>
  </si>
  <si>
    <t>Rua 86</t>
  </si>
  <si>
    <t>Rua 87</t>
  </si>
  <si>
    <t>Rua 88</t>
  </si>
  <si>
    <t>Rua 89</t>
  </si>
  <si>
    <t>Rua 90</t>
  </si>
  <si>
    <t>Rua 91</t>
  </si>
  <si>
    <t>Rua 92</t>
  </si>
  <si>
    <t>Rua 93</t>
  </si>
  <si>
    <t>Rua 94</t>
  </si>
  <si>
    <t>Rua 95</t>
  </si>
  <si>
    <t>Rua 96</t>
  </si>
  <si>
    <t>Rua 97</t>
  </si>
  <si>
    <t>Rua 98</t>
  </si>
  <si>
    <t>Rua 99</t>
  </si>
  <si>
    <t>Rua 100</t>
  </si>
  <si>
    <t>Rua 101</t>
  </si>
  <si>
    <t>Rua 102</t>
  </si>
  <si>
    <t>Rua 103</t>
  </si>
  <si>
    <t>Rua 104</t>
  </si>
  <si>
    <t>Rua 105</t>
  </si>
  <si>
    <t>Rua 106</t>
  </si>
  <si>
    <t>Rua 107</t>
  </si>
  <si>
    <t>Rua 108</t>
  </si>
  <si>
    <t>Rua 109</t>
  </si>
  <si>
    <t>Rua 110</t>
  </si>
  <si>
    <t>Rua 111</t>
  </si>
  <si>
    <t>Rua 112</t>
  </si>
  <si>
    <t>Rua 113</t>
  </si>
  <si>
    <t>Rua 114</t>
  </si>
  <si>
    <t>Rua 115</t>
  </si>
  <si>
    <t>Rua 116</t>
  </si>
  <si>
    <t>Rua 117</t>
  </si>
  <si>
    <t>Rua 118</t>
  </si>
  <si>
    <t>Rua 119</t>
  </si>
  <si>
    <t>Rua 120</t>
  </si>
  <si>
    <t>Rua 121</t>
  </si>
  <si>
    <t>Rua 122</t>
  </si>
  <si>
    <t>Rua 123</t>
  </si>
  <si>
    <t>Rua 124</t>
  </si>
  <si>
    <t>Rua 125</t>
  </si>
  <si>
    <t>Rua 126</t>
  </si>
  <si>
    <t>Rua 127</t>
  </si>
  <si>
    <t>Rua 128</t>
  </si>
  <si>
    <t>Rua 129</t>
  </si>
  <si>
    <t>Rua 130</t>
  </si>
  <si>
    <t>Rua 131</t>
  </si>
  <si>
    <t>Rua 132</t>
  </si>
  <si>
    <t>Rua 133</t>
  </si>
  <si>
    <t>Rua 134</t>
  </si>
  <si>
    <t>Rua 135</t>
  </si>
  <si>
    <t>Rua 136</t>
  </si>
  <si>
    <t>Rua 137</t>
  </si>
  <si>
    <t>Rua 138</t>
  </si>
  <si>
    <t>Rua 139</t>
  </si>
  <si>
    <t>Rua 140</t>
  </si>
  <si>
    <t>Rua 141</t>
  </si>
  <si>
    <t>Rua 142</t>
  </si>
  <si>
    <t>Rua 143</t>
  </si>
  <si>
    <t>Rua 144</t>
  </si>
  <si>
    <t>Rua 145</t>
  </si>
  <si>
    <t>Rua 146</t>
  </si>
  <si>
    <t>Rua 147</t>
  </si>
  <si>
    <t>Rua 148</t>
  </si>
  <si>
    <t>Rua 149</t>
  </si>
  <si>
    <t>Rua 150</t>
  </si>
  <si>
    <t>Rua 151</t>
  </si>
  <si>
    <t>Rua 152</t>
  </si>
  <si>
    <t>Rua 153</t>
  </si>
  <si>
    <t>Rua 154</t>
  </si>
  <si>
    <t>Rua 155</t>
  </si>
  <si>
    <t>Rua 156</t>
  </si>
  <si>
    <t>Rua 157</t>
  </si>
  <si>
    <t>Rua 158</t>
  </si>
  <si>
    <t>Rua 159</t>
  </si>
  <si>
    <t>Rua 160</t>
  </si>
  <si>
    <t>Rua 161</t>
  </si>
  <si>
    <t>Rua 162</t>
  </si>
  <si>
    <t>Rua 163</t>
  </si>
  <si>
    <t>Rua 164</t>
  </si>
  <si>
    <t>Rua 165</t>
  </si>
  <si>
    <t>Rua 166</t>
  </si>
  <si>
    <t>Rua 167</t>
  </si>
  <si>
    <t>Rua 168</t>
  </si>
  <si>
    <t>Rua 169</t>
  </si>
  <si>
    <t>Rua 170</t>
  </si>
  <si>
    <t>Rua 171</t>
  </si>
  <si>
    <t>Rua 172</t>
  </si>
  <si>
    <t>Rua 173</t>
  </si>
  <si>
    <t>Rua 174</t>
  </si>
  <si>
    <t>Rua 175</t>
  </si>
  <si>
    <t>Rua 176</t>
  </si>
  <si>
    <t>Rua 177</t>
  </si>
  <si>
    <t>Rua 178</t>
  </si>
  <si>
    <t>Rua 179</t>
  </si>
  <si>
    <t>Rua 180</t>
  </si>
  <si>
    <t>Rua 181</t>
  </si>
  <si>
    <t>Rua 182</t>
  </si>
  <si>
    <t>Rua 183</t>
  </si>
  <si>
    <t>Rua 184</t>
  </si>
  <si>
    <t>Rua 185</t>
  </si>
  <si>
    <t>Rua 186</t>
  </si>
  <si>
    <t>Rua 187</t>
  </si>
  <si>
    <t>Rua 188</t>
  </si>
  <si>
    <t>Rua 189</t>
  </si>
  <si>
    <t>Rua 190</t>
  </si>
  <si>
    <t>Rua 191</t>
  </si>
  <si>
    <t>Rua 192</t>
  </si>
  <si>
    <t>Rua 193</t>
  </si>
  <si>
    <t>Rua 194</t>
  </si>
  <si>
    <t>Rua 195</t>
  </si>
  <si>
    <t>Rua 196</t>
  </si>
  <si>
    <t>Rua 197</t>
  </si>
  <si>
    <t>Rua 198</t>
  </si>
  <si>
    <t>Rua 199</t>
  </si>
  <si>
    <t>Rua 200</t>
  </si>
  <si>
    <t>Rua 201</t>
  </si>
  <si>
    <t>Rua 202</t>
  </si>
  <si>
    <t>Rua 203</t>
  </si>
  <si>
    <t>Rua 204</t>
  </si>
  <si>
    <t>Rua 205</t>
  </si>
  <si>
    <t>Rua 206</t>
  </si>
  <si>
    <t>Rua 207</t>
  </si>
  <si>
    <t>Rua 208</t>
  </si>
  <si>
    <t>Rua 209</t>
  </si>
  <si>
    <t>Rua 210</t>
  </si>
  <si>
    <t>Rua 211</t>
  </si>
  <si>
    <t>Rua 212</t>
  </si>
  <si>
    <t>Rua 213</t>
  </si>
  <si>
    <t>Rua 214</t>
  </si>
  <si>
    <t>Rua 215</t>
  </si>
  <si>
    <t>Rua 216</t>
  </si>
  <si>
    <t>Rua 217</t>
  </si>
  <si>
    <t>Rua 218</t>
  </si>
  <si>
    <t>Rua 219</t>
  </si>
  <si>
    <t>Rua 220</t>
  </si>
  <si>
    <t>Rua 221</t>
  </si>
  <si>
    <t>Rua 222</t>
  </si>
  <si>
    <t>Rua 223</t>
  </si>
  <si>
    <t>Rua 224</t>
  </si>
  <si>
    <t>Rua 225</t>
  </si>
  <si>
    <t>Rua 226</t>
  </si>
  <si>
    <t>Rua 227</t>
  </si>
  <si>
    <t>Rua 228</t>
  </si>
  <si>
    <t>Rua 229</t>
  </si>
  <si>
    <t>Rua 230</t>
  </si>
  <si>
    <t>Rua 231</t>
  </si>
  <si>
    <t>Rua 232</t>
  </si>
  <si>
    <t>Rua 233</t>
  </si>
  <si>
    <t>Rua 234</t>
  </si>
  <si>
    <t>Rua 235</t>
  </si>
  <si>
    <t>Rua 236</t>
  </si>
  <si>
    <t>Rua 237</t>
  </si>
  <si>
    <t>Rua 238</t>
  </si>
  <si>
    <t>Rua 239</t>
  </si>
  <si>
    <t>Rua 240</t>
  </si>
  <si>
    <t>Rua 241</t>
  </si>
  <si>
    <t>Rua 242</t>
  </si>
  <si>
    <t>Rua 243</t>
  </si>
  <si>
    <t>Rua 244</t>
  </si>
  <si>
    <t>Rua 245</t>
  </si>
  <si>
    <t>Rua 246</t>
  </si>
  <si>
    <t>Rua 247</t>
  </si>
  <si>
    <t>Rua 248</t>
  </si>
  <si>
    <t>Rua 249</t>
  </si>
  <si>
    <t>Rua 250</t>
  </si>
  <si>
    <t>Rua 251</t>
  </si>
  <si>
    <t>Rua 252</t>
  </si>
  <si>
    <t>Rua 253</t>
  </si>
  <si>
    <t>Rua 254</t>
  </si>
  <si>
    <t>Rua 255</t>
  </si>
  <si>
    <t>Rua 256</t>
  </si>
  <si>
    <t>Rua 257</t>
  </si>
  <si>
    <t>Rua 258</t>
  </si>
  <si>
    <t>Rua 259</t>
  </si>
  <si>
    <t>Rua 260</t>
  </si>
  <si>
    <t>Rua 261</t>
  </si>
  <si>
    <t>Rua 262</t>
  </si>
  <si>
    <t>Rua 263</t>
  </si>
  <si>
    <t>Rua 264</t>
  </si>
  <si>
    <t>Rua 265</t>
  </si>
  <si>
    <t>Rua 266</t>
  </si>
  <si>
    <t>Rua 267</t>
  </si>
  <si>
    <t>Rua 268</t>
  </si>
  <si>
    <t>Rua 269</t>
  </si>
  <si>
    <t>Rua 270</t>
  </si>
  <si>
    <t>Rua 271</t>
  </si>
  <si>
    <t>Rua 272</t>
  </si>
  <si>
    <t>Rua 273</t>
  </si>
  <si>
    <t>Rua 274</t>
  </si>
  <si>
    <t>Rua 275</t>
  </si>
  <si>
    <t>Rua 276</t>
  </si>
  <si>
    <t>Rua 277</t>
  </si>
  <si>
    <t>Rua 278</t>
  </si>
  <si>
    <t>Rua 279</t>
  </si>
  <si>
    <t>Rua 280</t>
  </si>
  <si>
    <t>Rua 281</t>
  </si>
  <si>
    <t>Rua 282</t>
  </si>
  <si>
    <t>Rua 283</t>
  </si>
  <si>
    <t>Rua 284</t>
  </si>
  <si>
    <t>Rua 285</t>
  </si>
  <si>
    <t>Rua 286</t>
  </si>
  <si>
    <t>Rua 287</t>
  </si>
  <si>
    <t>Rua 288</t>
  </si>
  <si>
    <t>Rua 289</t>
  </si>
  <si>
    <t>Rua 290</t>
  </si>
  <si>
    <t>Rua 291</t>
  </si>
  <si>
    <t>Rua 292</t>
  </si>
  <si>
    <t>Rua 293</t>
  </si>
  <si>
    <t>Rua 294</t>
  </si>
  <si>
    <t>Rua 295</t>
  </si>
  <si>
    <t>Rua 296</t>
  </si>
  <si>
    <t>Rua 297</t>
  </si>
  <si>
    <t>Rua 298</t>
  </si>
  <si>
    <t>Rua 299</t>
  </si>
  <si>
    <t>Rua 300</t>
  </si>
  <si>
    <t>Rua 301</t>
  </si>
  <si>
    <t>Rua 302</t>
  </si>
  <si>
    <t>Rua 303</t>
  </si>
  <si>
    <t>Rua 304</t>
  </si>
  <si>
    <t>Rua 305</t>
  </si>
  <si>
    <t>Rua 306</t>
  </si>
  <si>
    <t>Rua 307</t>
  </si>
  <si>
    <t>Rua 308</t>
  </si>
  <si>
    <t>Rua 309</t>
  </si>
  <si>
    <t>Rua 310</t>
  </si>
  <si>
    <t>Rua 311</t>
  </si>
  <si>
    <t>Rua 312</t>
  </si>
  <si>
    <t>Rua 313</t>
  </si>
  <si>
    <t>Rua 314</t>
  </si>
  <si>
    <t>Rua 315</t>
  </si>
  <si>
    <t>Rua 316</t>
  </si>
  <si>
    <t>Rua 317</t>
  </si>
  <si>
    <t>Rua 318</t>
  </si>
  <si>
    <t>Rua 319</t>
  </si>
  <si>
    <t>Rua 320</t>
  </si>
  <si>
    <t>Rua 321</t>
  </si>
  <si>
    <t>Rua 322</t>
  </si>
  <si>
    <t>Rua 323</t>
  </si>
  <si>
    <t>Rua 324</t>
  </si>
  <si>
    <t>Rua 325</t>
  </si>
  <si>
    <t>Rua 326</t>
  </si>
  <si>
    <t>Rua 327</t>
  </si>
  <si>
    <t>Rua 328</t>
  </si>
  <si>
    <t>Rua 329</t>
  </si>
  <si>
    <t>Rua 330</t>
  </si>
  <si>
    <t>Rua 331</t>
  </si>
  <si>
    <t>Rua 332</t>
  </si>
  <si>
    <t>Rua 333</t>
  </si>
  <si>
    <t>Rua 334</t>
  </si>
  <si>
    <t>Rua 335</t>
  </si>
  <si>
    <t>Rua 336</t>
  </si>
  <si>
    <t>Rua 337</t>
  </si>
  <si>
    <t>Rua 338</t>
  </si>
  <si>
    <t>Rua 339</t>
  </si>
  <si>
    <t>Rua 340</t>
  </si>
  <si>
    <t>Rua 341</t>
  </si>
  <si>
    <t>Rua 342</t>
  </si>
  <si>
    <t>Rua 343</t>
  </si>
  <si>
    <t>Rua 344</t>
  </si>
  <si>
    <t>Rua 345</t>
  </si>
  <si>
    <t>Rua 346</t>
  </si>
  <si>
    <t>Rua 347</t>
  </si>
  <si>
    <t>Rua 348</t>
  </si>
  <si>
    <t>Rua 349</t>
  </si>
  <si>
    <t>Rua 350</t>
  </si>
  <si>
    <t>Rua 351</t>
  </si>
  <si>
    <t>Rua 352</t>
  </si>
  <si>
    <t>Rua 353</t>
  </si>
  <si>
    <t>Rua 354</t>
  </si>
  <si>
    <t>Rua 355</t>
  </si>
  <si>
    <t>Rua 356</t>
  </si>
  <si>
    <t>Rua 357</t>
  </si>
  <si>
    <t>Rua 358</t>
  </si>
  <si>
    <t>Rua 359</t>
  </si>
  <si>
    <t>Rua 360</t>
  </si>
  <si>
    <t>Rua 361</t>
  </si>
  <si>
    <t>Rua 362</t>
  </si>
  <si>
    <t>Rua 363</t>
  </si>
  <si>
    <t>Rua 364</t>
  </si>
  <si>
    <t>Rua 365</t>
  </si>
  <si>
    <t>Rua 366</t>
  </si>
  <si>
    <t>Rua 367</t>
  </si>
  <si>
    <t>Rua 368</t>
  </si>
  <si>
    <t>Rua 369</t>
  </si>
  <si>
    <t>Rua 370</t>
  </si>
  <si>
    <t>Rua 371</t>
  </si>
  <si>
    <t>Rua 372</t>
  </si>
  <si>
    <t>Rua 373</t>
  </si>
  <si>
    <t>Rua 374</t>
  </si>
  <si>
    <t>Rua 375</t>
  </si>
  <si>
    <t>Rua 376</t>
  </si>
  <si>
    <t>Rua 377</t>
  </si>
  <si>
    <t>Rua 378</t>
  </si>
  <si>
    <t>Rua 379</t>
  </si>
  <si>
    <t>Rua 380</t>
  </si>
  <si>
    <t>Rua 381</t>
  </si>
  <si>
    <t>Rua 382</t>
  </si>
  <si>
    <t>Rua 383</t>
  </si>
  <si>
    <t>Rua 384</t>
  </si>
  <si>
    <t>Rua 385</t>
  </si>
  <si>
    <t>Rua 386</t>
  </si>
  <si>
    <t>Rua 387</t>
  </si>
  <si>
    <t>Rua 388</t>
  </si>
  <si>
    <t>Rua 389</t>
  </si>
  <si>
    <t>Rua 390</t>
  </si>
  <si>
    <t>Rua 391</t>
  </si>
  <si>
    <t>Rua 392</t>
  </si>
  <si>
    <t>Rua 393</t>
  </si>
  <si>
    <t>Rua 394</t>
  </si>
  <si>
    <t>Rua 395</t>
  </si>
  <si>
    <t>Rua 396</t>
  </si>
  <si>
    <t>Rua 397</t>
  </si>
  <si>
    <t>Rua 398</t>
  </si>
  <si>
    <t>Rua 399</t>
  </si>
  <si>
    <t>Rua 400</t>
  </si>
  <si>
    <t>Rua 401</t>
  </si>
  <si>
    <t>Rua 402</t>
  </si>
  <si>
    <t>Rua 403</t>
  </si>
  <si>
    <t>Rua 404</t>
  </si>
  <si>
    <t>Rua 405</t>
  </si>
  <si>
    <t>Rua 406</t>
  </si>
  <si>
    <t>Rua 407</t>
  </si>
  <si>
    <t>Rua 408</t>
  </si>
  <si>
    <t>Rua 409</t>
  </si>
  <si>
    <t>Rua 410</t>
  </si>
  <si>
    <t>Rua 411</t>
  </si>
  <si>
    <t>Rua 412</t>
  </si>
  <si>
    <t>Rua 413</t>
  </si>
  <si>
    <t>Rua 414</t>
  </si>
  <si>
    <t>Rua 415</t>
  </si>
  <si>
    <t>Rua 416</t>
  </si>
  <si>
    <t>Rua 417</t>
  </si>
  <si>
    <t>Rua 418</t>
  </si>
  <si>
    <t>Rua 419</t>
  </si>
  <si>
    <t>Rua 420</t>
  </si>
  <si>
    <t>Rua 421</t>
  </si>
  <si>
    <t>Rua 422</t>
  </si>
  <si>
    <t>Rua 423</t>
  </si>
  <si>
    <t>Rua 424</t>
  </si>
  <si>
    <t>Rua 425</t>
  </si>
  <si>
    <t>Rua 426</t>
  </si>
  <si>
    <t>Rua 427</t>
  </si>
  <si>
    <t>Rua 428</t>
  </si>
  <si>
    <t>Rua 429</t>
  </si>
  <si>
    <t>Rua 430</t>
  </si>
  <si>
    <t>Rua 431</t>
  </si>
  <si>
    <t>Rua 432</t>
  </si>
  <si>
    <t>Rua 433</t>
  </si>
  <si>
    <t>Rua 434</t>
  </si>
  <si>
    <t>Rua 435</t>
  </si>
  <si>
    <t>Rua 436</t>
  </si>
  <si>
    <t>Rua 437</t>
  </si>
  <si>
    <t>Rua 438</t>
  </si>
  <si>
    <t>Rua 439</t>
  </si>
  <si>
    <t>Rua 440</t>
  </si>
  <si>
    <t>Rua 441</t>
  </si>
  <si>
    <t>Rua 442</t>
  </si>
  <si>
    <t>Rua 443</t>
  </si>
  <si>
    <t>Rua 444</t>
  </si>
  <si>
    <t>Rua 445</t>
  </si>
  <si>
    <t>Rua 446</t>
  </si>
  <si>
    <t>Rua 447</t>
  </si>
  <si>
    <t>Rua 448</t>
  </si>
  <si>
    <t>Rua 449</t>
  </si>
  <si>
    <t>Rua 450</t>
  </si>
  <si>
    <t>Rua 451</t>
  </si>
  <si>
    <t>Rua 452</t>
  </si>
  <si>
    <t>Rua 453</t>
  </si>
  <si>
    <t>Rua 454</t>
  </si>
  <si>
    <t>Rua 455</t>
  </si>
  <si>
    <t>Rua 456</t>
  </si>
  <si>
    <t>Rua 457</t>
  </si>
  <si>
    <t>Rua 458</t>
  </si>
  <si>
    <t>Rua 459</t>
  </si>
  <si>
    <t>Rua 460</t>
  </si>
  <si>
    <t>Rua 461</t>
  </si>
  <si>
    <t>Rua 462</t>
  </si>
  <si>
    <t>Rua 463</t>
  </si>
  <si>
    <t>Rua 464</t>
  </si>
  <si>
    <t>Rua 465</t>
  </si>
  <si>
    <t>Rua 466</t>
  </si>
  <si>
    <t>Rua 467</t>
  </si>
  <si>
    <t>Rua 468</t>
  </si>
  <si>
    <t>Rua 469</t>
  </si>
  <si>
    <t>Rua 470</t>
  </si>
  <si>
    <t>Rua 471</t>
  </si>
  <si>
    <t>Rua 472</t>
  </si>
  <si>
    <t>Rua 473</t>
  </si>
  <si>
    <t>Rua 474</t>
  </si>
  <si>
    <t>Rua 475</t>
  </si>
  <si>
    <t>Rua 476</t>
  </si>
  <si>
    <t>Rua 477</t>
  </si>
  <si>
    <t>Rua 478</t>
  </si>
  <si>
    <t>Rua 479</t>
  </si>
  <si>
    <t>Rua 480</t>
  </si>
  <si>
    <t>Rua 481</t>
  </si>
  <si>
    <t>Rua 482</t>
  </si>
  <si>
    <t>Rua 483</t>
  </si>
  <si>
    <t>Rua 484</t>
  </si>
  <si>
    <t>Rua 485</t>
  </si>
  <si>
    <t>Rua 486</t>
  </si>
  <si>
    <t>Rua 487</t>
  </si>
  <si>
    <t>Rua 488</t>
  </si>
  <si>
    <t>Rua 489</t>
  </si>
  <si>
    <t>Rua 490</t>
  </si>
  <si>
    <t>Rua 491</t>
  </si>
  <si>
    <t>Rua 492</t>
  </si>
  <si>
    <t>Rua 493</t>
  </si>
  <si>
    <t>Rua 494</t>
  </si>
  <si>
    <t>Rua 495</t>
  </si>
  <si>
    <t>Rua 496</t>
  </si>
  <si>
    <t>Rua 497</t>
  </si>
  <si>
    <t>Rua 498</t>
  </si>
  <si>
    <t>Rua 499</t>
  </si>
  <si>
    <t>Rua 500</t>
  </si>
  <si>
    <t>Rua 501</t>
  </si>
  <si>
    <t>Rua 502</t>
  </si>
  <si>
    <t>Rua 503</t>
  </si>
  <si>
    <t>Rua 504</t>
  </si>
  <si>
    <t>Rua 505</t>
  </si>
  <si>
    <t>Rua 506</t>
  </si>
  <si>
    <t>Rua 507</t>
  </si>
  <si>
    <t>Rua 508</t>
  </si>
  <si>
    <t>Rua 509</t>
  </si>
  <si>
    <t>Rua 510</t>
  </si>
  <si>
    <t>Rua 511</t>
  </si>
  <si>
    <t>Rua 512</t>
  </si>
  <si>
    <t>Rua 513</t>
  </si>
  <si>
    <t>Rua 514</t>
  </si>
  <si>
    <t>Rua 515</t>
  </si>
  <si>
    <t>Rua 516</t>
  </si>
  <si>
    <t>Rua 517</t>
  </si>
  <si>
    <t>Rua 518</t>
  </si>
  <si>
    <t>Rua 519</t>
  </si>
  <si>
    <t>Rua 520</t>
  </si>
  <si>
    <t>Rua 521</t>
  </si>
  <si>
    <t>Rua 522</t>
  </si>
  <si>
    <t>Rua 523</t>
  </si>
  <si>
    <t>Rua 524</t>
  </si>
  <si>
    <t>Rua 525</t>
  </si>
  <si>
    <t>Rua 526</t>
  </si>
  <si>
    <t>Rua 527</t>
  </si>
  <si>
    <t>Rua 528</t>
  </si>
  <si>
    <t>Rua 529</t>
  </si>
  <si>
    <t>Rua 530</t>
  </si>
  <si>
    <t>Rua 531</t>
  </si>
  <si>
    <t>Rua 532</t>
  </si>
  <si>
    <t>Rua 533</t>
  </si>
  <si>
    <t>Rua 534</t>
  </si>
  <si>
    <t>Rua 535</t>
  </si>
  <si>
    <t>Rua 536</t>
  </si>
  <si>
    <t>Rua 537</t>
  </si>
  <si>
    <t>Rua 538</t>
  </si>
  <si>
    <t>Rua 539</t>
  </si>
  <si>
    <t>Rua 540</t>
  </si>
  <si>
    <t>Rua 541</t>
  </si>
  <si>
    <t>Rua 542</t>
  </si>
  <si>
    <t>Rua 543</t>
  </si>
  <si>
    <t>Rua 544</t>
  </si>
  <si>
    <t>Rua 545</t>
  </si>
  <si>
    <t>Rua 546</t>
  </si>
  <si>
    <t>Rua 547</t>
  </si>
  <si>
    <t>Rua 548</t>
  </si>
  <si>
    <t>Rua 549</t>
  </si>
  <si>
    <t>Rua 550</t>
  </si>
  <si>
    <t>Rua 551</t>
  </si>
  <si>
    <t>Rua 552</t>
  </si>
  <si>
    <t>Rua 553</t>
  </si>
  <si>
    <t>Rua 554</t>
  </si>
  <si>
    <t>Rua 555</t>
  </si>
  <si>
    <t>Rua 556</t>
  </si>
  <si>
    <t>Rua 557</t>
  </si>
  <si>
    <t>Rua 558</t>
  </si>
  <si>
    <t>Rua 559</t>
  </si>
  <si>
    <t>Rua 560</t>
  </si>
  <si>
    <t>Rua 561</t>
  </si>
  <si>
    <t>Rua 562</t>
  </si>
  <si>
    <t>Rua 563</t>
  </si>
  <si>
    <t>Rua 564</t>
  </si>
  <si>
    <t>Rua 565</t>
  </si>
  <si>
    <t>Rua 566</t>
  </si>
  <si>
    <t>Rua 567</t>
  </si>
  <si>
    <t>Rua 568</t>
  </si>
  <si>
    <t>Rua 569</t>
  </si>
  <si>
    <t>Rua 570</t>
  </si>
  <si>
    <t>Rua 571</t>
  </si>
  <si>
    <t>Rua 572</t>
  </si>
  <si>
    <t>Rua 573</t>
  </si>
  <si>
    <t>Rua 574</t>
  </si>
  <si>
    <t>Rua 575</t>
  </si>
  <si>
    <t>Rua 576</t>
  </si>
  <si>
    <t>Rua 577</t>
  </si>
  <si>
    <t>Rua 578</t>
  </si>
  <si>
    <t>Rua 579</t>
  </si>
  <si>
    <t>Rua 580</t>
  </si>
  <si>
    <t>Rua 581</t>
  </si>
  <si>
    <t>Rua 582</t>
  </si>
  <si>
    <t>Rua 583</t>
  </si>
  <si>
    <t>Rua 584</t>
  </si>
  <si>
    <t>Rua 585</t>
  </si>
  <si>
    <t>Rua 586</t>
  </si>
  <si>
    <t>Rua 587</t>
  </si>
  <si>
    <t>Rua 588</t>
  </si>
  <si>
    <t>Rua 589</t>
  </si>
  <si>
    <t>Rua 590</t>
  </si>
  <si>
    <t>Rua 591</t>
  </si>
  <si>
    <t>Rua 592</t>
  </si>
  <si>
    <t>Rua 593</t>
  </si>
  <si>
    <t>Rua 594</t>
  </si>
  <si>
    <t>Rua 595</t>
  </si>
  <si>
    <t>Rua 596</t>
  </si>
  <si>
    <t>Rua 597</t>
  </si>
  <si>
    <t>Rua 598</t>
  </si>
  <si>
    <t>Rua 599</t>
  </si>
  <si>
    <t>Rua 600</t>
  </si>
  <si>
    <t>Rua 601</t>
  </si>
  <si>
    <t>Rua 602</t>
  </si>
  <si>
    <t>Rua 603</t>
  </si>
  <si>
    <t>Rua 604</t>
  </si>
  <si>
    <t>Rua 605</t>
  </si>
  <si>
    <t>Rua 606</t>
  </si>
  <si>
    <t>Rua 607</t>
  </si>
  <si>
    <t>Rua 608</t>
  </si>
  <si>
    <t>Rua 609</t>
  </si>
  <si>
    <t>Rua 610</t>
  </si>
  <si>
    <t>Rua 611</t>
  </si>
  <si>
    <t>Rua 612</t>
  </si>
  <si>
    <t>Rua 613</t>
  </si>
  <si>
    <t>Rua 614</t>
  </si>
  <si>
    <t>Rua 615</t>
  </si>
  <si>
    <t>Rua 616</t>
  </si>
  <si>
    <t>Rua 617</t>
  </si>
  <si>
    <t>Rua 618</t>
  </si>
  <si>
    <t>Rua 619</t>
  </si>
  <si>
    <t>Rua 620</t>
  </si>
  <si>
    <t>Rua 621</t>
  </si>
  <si>
    <t>Rua 622</t>
  </si>
  <si>
    <t>Rua 623</t>
  </si>
  <si>
    <t>Rua 624</t>
  </si>
  <si>
    <t>Rua 625</t>
  </si>
  <si>
    <t>Rua 626</t>
  </si>
  <si>
    <t>Rua 627</t>
  </si>
  <si>
    <t>Rua 628</t>
  </si>
  <si>
    <t>Rua 629</t>
  </si>
  <si>
    <t>Rua 630</t>
  </si>
  <si>
    <t>Rua 631</t>
  </si>
  <si>
    <t>Rua 632</t>
  </si>
  <si>
    <t>Rua 633</t>
  </si>
  <si>
    <t>Rua 634</t>
  </si>
  <si>
    <t>Rua 635</t>
  </si>
  <si>
    <t>Rua 636</t>
  </si>
  <si>
    <t>Rua 637</t>
  </si>
  <si>
    <t>Rua 638</t>
  </si>
  <si>
    <t>Rua 639</t>
  </si>
  <si>
    <t>Rua 640</t>
  </si>
  <si>
    <t>Rua 641</t>
  </si>
  <si>
    <t>Rua 642</t>
  </si>
  <si>
    <t>Rua 643</t>
  </si>
  <si>
    <t>Rua 644</t>
  </si>
  <si>
    <t>Rua 645</t>
  </si>
  <si>
    <t>Rua 646</t>
  </si>
  <si>
    <t>Rua 647</t>
  </si>
  <si>
    <t>Rua 648</t>
  </si>
  <si>
    <t>Rua 649</t>
  </si>
  <si>
    <t>Rua 650</t>
  </si>
  <si>
    <t>Rua 651</t>
  </si>
  <si>
    <t>Rua 653</t>
  </si>
  <si>
    <t>Rua 654</t>
  </si>
  <si>
    <t>Rua 655</t>
  </si>
  <si>
    <t>Rua 656</t>
  </si>
  <si>
    <t>Rua 657</t>
  </si>
  <si>
    <t>Rua 658</t>
  </si>
  <si>
    <t>Rua 659</t>
  </si>
  <si>
    <t>Rua 660</t>
  </si>
  <si>
    <t>Rua 661</t>
  </si>
  <si>
    <t>Rua 662</t>
  </si>
  <si>
    <t>Rua 663</t>
  </si>
  <si>
    <t>Rua 664</t>
  </si>
  <si>
    <t>Rua 665</t>
  </si>
  <si>
    <t>Rua 666</t>
  </si>
  <si>
    <t>Rua 667</t>
  </si>
  <si>
    <t>Rua 668</t>
  </si>
  <si>
    <t>Rua 669</t>
  </si>
  <si>
    <t>Rua 670</t>
  </si>
  <si>
    <t>Rua 671</t>
  </si>
  <si>
    <t>Rua 672</t>
  </si>
  <si>
    <t>Rua 673</t>
  </si>
  <si>
    <t>Rua 674</t>
  </si>
  <si>
    <t>Rua 675</t>
  </si>
  <si>
    <t>Rua 676</t>
  </si>
  <si>
    <t>Rua 677</t>
  </si>
  <si>
    <t>Rua 678</t>
  </si>
  <si>
    <t>Rua 679</t>
  </si>
  <si>
    <t>Rua 680</t>
  </si>
  <si>
    <t>Rua 681</t>
  </si>
  <si>
    <t>Rua 682</t>
  </si>
  <si>
    <t>Rua 683</t>
  </si>
  <si>
    <t>Rua 684</t>
  </si>
  <si>
    <t>Rua 685</t>
  </si>
  <si>
    <t>Rua 686</t>
  </si>
  <si>
    <t>Rua 687</t>
  </si>
  <si>
    <t>Rua 688</t>
  </si>
  <si>
    <t>Rua 689</t>
  </si>
  <si>
    <t>Rua 690</t>
  </si>
  <si>
    <t>Rua 691</t>
  </si>
  <si>
    <t>Rua 692</t>
  </si>
  <si>
    <t>Rua 693</t>
  </si>
  <si>
    <t>Rua 694</t>
  </si>
  <si>
    <t>Rua 695</t>
  </si>
  <si>
    <t>Rua 696</t>
  </si>
  <si>
    <t>Rua 697</t>
  </si>
  <si>
    <t>Rua 698</t>
  </si>
  <si>
    <t>Rua 699</t>
  </si>
  <si>
    <t>Rua 700</t>
  </si>
  <si>
    <t>Rua 701</t>
  </si>
  <si>
    <t>Rua 702</t>
  </si>
  <si>
    <t>Rua 703</t>
  </si>
  <si>
    <t>Rua 704</t>
  </si>
  <si>
    <t>Rua 705</t>
  </si>
  <si>
    <t>Rua 706</t>
  </si>
  <si>
    <t>Rua 707</t>
  </si>
  <si>
    <t>Rua 708</t>
  </si>
  <si>
    <t>Rua 709</t>
  </si>
  <si>
    <t>Rua 710</t>
  </si>
  <si>
    <t>Rua 711</t>
  </si>
  <si>
    <t>Rua 712</t>
  </si>
  <si>
    <t>Rua 713</t>
  </si>
  <si>
    <t>Rua 714</t>
  </si>
  <si>
    <t>Rua 715</t>
  </si>
  <si>
    <t>Rua 716</t>
  </si>
  <si>
    <t>Rua 717</t>
  </si>
  <si>
    <t>Rua 718</t>
  </si>
  <si>
    <t>Rua 719</t>
  </si>
  <si>
    <t>Rua 720</t>
  </si>
  <si>
    <t>Rua 721</t>
  </si>
  <si>
    <t>Rua 722</t>
  </si>
  <si>
    <t>Rua 723</t>
  </si>
  <si>
    <t>Rua 724</t>
  </si>
  <si>
    <t>Rua 725</t>
  </si>
  <si>
    <t>Rua 726</t>
  </si>
  <si>
    <t>Rua 727</t>
  </si>
  <si>
    <t>Rua 728</t>
  </si>
  <si>
    <t>Rua 729</t>
  </si>
  <si>
    <t>Rua 730</t>
  </si>
  <si>
    <t>Rua 731</t>
  </si>
  <si>
    <t>Rua 732</t>
  </si>
  <si>
    <t>Rua 733</t>
  </si>
  <si>
    <t>Rua 734</t>
  </si>
  <si>
    <t>Rua 735</t>
  </si>
  <si>
    <t>Rua 736</t>
  </si>
  <si>
    <t>Rua 737</t>
  </si>
  <si>
    <t>Rua 738</t>
  </si>
  <si>
    <t>Rua 739</t>
  </si>
  <si>
    <t>Rua 740</t>
  </si>
  <si>
    <t>Rua 741</t>
  </si>
  <si>
    <t>Rua 742</t>
  </si>
  <si>
    <t>Rua 743</t>
  </si>
  <si>
    <t>Rua 744</t>
  </si>
  <si>
    <t>Rua 745</t>
  </si>
  <si>
    <t>Rua 746</t>
  </si>
  <si>
    <t>Rua 747</t>
  </si>
  <si>
    <t>Rua 748</t>
  </si>
  <si>
    <t>Rua 749</t>
  </si>
  <si>
    <t>Rua 750</t>
  </si>
  <si>
    <t>Rua 751</t>
  </si>
  <si>
    <t>Rua 752</t>
  </si>
  <si>
    <t>Rua 753</t>
  </si>
  <si>
    <t>Rua 754</t>
  </si>
  <si>
    <t>Rua 755</t>
  </si>
  <si>
    <t>Rua 756</t>
  </si>
  <si>
    <t>Rua 757</t>
  </si>
  <si>
    <t>Rua 758</t>
  </si>
  <si>
    <t>Rua 759</t>
  </si>
  <si>
    <t>Rua 760</t>
  </si>
  <si>
    <t>Rua 761</t>
  </si>
  <si>
    <t>Rua 762</t>
  </si>
  <si>
    <t>Rua 763</t>
  </si>
  <si>
    <t>Rua 764</t>
  </si>
  <si>
    <t>Rua 765</t>
  </si>
  <si>
    <t>Rua 766</t>
  </si>
  <si>
    <t>Rua 767</t>
  </si>
  <si>
    <t>Rua 768</t>
  </si>
  <si>
    <t>Rua 769</t>
  </si>
  <si>
    <t>Rua 770</t>
  </si>
  <si>
    <t>Rua 771</t>
  </si>
  <si>
    <t>Rua 772</t>
  </si>
  <si>
    <t>Rua 773</t>
  </si>
  <si>
    <t>Rua 774</t>
  </si>
  <si>
    <t>Rua 775</t>
  </si>
  <si>
    <t>Rua 776</t>
  </si>
  <si>
    <t>Rua 777</t>
  </si>
  <si>
    <t>Rua 778</t>
  </si>
  <si>
    <t>Rua 779</t>
  </si>
  <si>
    <t>Rua 780</t>
  </si>
  <si>
    <t>Rua 781</t>
  </si>
  <si>
    <t>Rua 782</t>
  </si>
  <si>
    <t>Rua 783</t>
  </si>
  <si>
    <t>Rua 784</t>
  </si>
  <si>
    <t>Rua 785</t>
  </si>
  <si>
    <t>Rua 786</t>
  </si>
  <si>
    <t>Rua 787</t>
  </si>
  <si>
    <t>Rua 788</t>
  </si>
  <si>
    <t>Rua 789</t>
  </si>
  <si>
    <t>Rua 790</t>
  </si>
  <si>
    <t>Rua 791</t>
  </si>
  <si>
    <t>Rua 792</t>
  </si>
  <si>
    <t>Rua 793</t>
  </si>
  <si>
    <t>Rua 794</t>
  </si>
  <si>
    <t>Rua 795</t>
  </si>
  <si>
    <t>Rua 796</t>
  </si>
  <si>
    <t>Rua 797</t>
  </si>
  <si>
    <t>Rua 798</t>
  </si>
  <si>
    <t>Rua 799</t>
  </si>
  <si>
    <t>Rua 800</t>
  </si>
  <si>
    <t>Rua 801</t>
  </si>
  <si>
    <t>Rua 802</t>
  </si>
  <si>
    <t>Rua 803</t>
  </si>
  <si>
    <t>Rua 804</t>
  </si>
  <si>
    <t>Rua 805</t>
  </si>
  <si>
    <t>Rua 806</t>
  </si>
  <si>
    <t>Rua 807</t>
  </si>
  <si>
    <t>Rua 808</t>
  </si>
  <si>
    <t>Rua 809</t>
  </si>
  <si>
    <t>Rua 810</t>
  </si>
  <si>
    <t>Rua 811</t>
  </si>
  <si>
    <t>Rua 812</t>
  </si>
  <si>
    <t>Rua 813</t>
  </si>
  <si>
    <t>Rua 814</t>
  </si>
  <si>
    <t>Rua 815</t>
  </si>
  <si>
    <t>Rua 816</t>
  </si>
  <si>
    <t>Rua 817</t>
  </si>
  <si>
    <t>Rua 818</t>
  </si>
  <si>
    <t>Rua 819</t>
  </si>
  <si>
    <t>Rua 820</t>
  </si>
  <si>
    <t>Rua 821</t>
  </si>
  <si>
    <t>Rua 822</t>
  </si>
  <si>
    <t>Rua 823</t>
  </si>
  <si>
    <t>Rua 824</t>
  </si>
  <si>
    <t>Rua 825</t>
  </si>
  <si>
    <t>Rua 826</t>
  </si>
  <si>
    <t>Rua 827</t>
  </si>
  <si>
    <t>Rua 828</t>
  </si>
  <si>
    <t>Rua 829</t>
  </si>
  <si>
    <t>Rua 830</t>
  </si>
  <si>
    <t>Rua 831</t>
  </si>
  <si>
    <t>Rua 832</t>
  </si>
  <si>
    <t>Rua 833</t>
  </si>
  <si>
    <t>Rua 834</t>
  </si>
  <si>
    <t>Rua 835</t>
  </si>
  <si>
    <t>Rua 836</t>
  </si>
  <si>
    <t>Rua 837</t>
  </si>
  <si>
    <t>Rua 838</t>
  </si>
  <si>
    <t>Rua 839</t>
  </si>
  <si>
    <t>Rua 840</t>
  </si>
  <si>
    <t>Rua 841</t>
  </si>
  <si>
    <t>Rua 842</t>
  </si>
  <si>
    <t>Rua 843</t>
  </si>
  <si>
    <t>Rua 844</t>
  </si>
  <si>
    <t>Rua 845</t>
  </si>
  <si>
    <t>Rua 846</t>
  </si>
  <si>
    <t>Rua 847</t>
  </si>
  <si>
    <t>Rua 848</t>
  </si>
  <si>
    <t>Rua 849</t>
  </si>
  <si>
    <t>Rua 850</t>
  </si>
  <si>
    <t>Rua 851</t>
  </si>
  <si>
    <t>Rua 852</t>
  </si>
  <si>
    <t>Rua 853</t>
  </si>
  <si>
    <t>Rua 854</t>
  </si>
  <si>
    <t>Rua 855</t>
  </si>
  <si>
    <t>Rua 856</t>
  </si>
  <si>
    <t>Rua 857</t>
  </si>
  <si>
    <t>Rua 858</t>
  </si>
  <si>
    <t>Rua 859</t>
  </si>
  <si>
    <t>Rua 860</t>
  </si>
  <si>
    <t>Rua 861</t>
  </si>
  <si>
    <t>Rua 862</t>
  </si>
  <si>
    <t>Rua 863</t>
  </si>
  <si>
    <t>Rua 864</t>
  </si>
  <si>
    <t>Rua 865</t>
  </si>
  <si>
    <t>Rua 866</t>
  </si>
  <si>
    <t>Rua 867</t>
  </si>
  <si>
    <t>Rua 868</t>
  </si>
  <si>
    <t>Rua 869</t>
  </si>
  <si>
    <t>Rua 870</t>
  </si>
  <si>
    <t>Rua 871</t>
  </si>
  <si>
    <t>Rua 872</t>
  </si>
  <si>
    <t>Rua 873</t>
  </si>
  <si>
    <t>Rua 874</t>
  </si>
  <si>
    <t>Rua 875</t>
  </si>
  <si>
    <t>Rua 876</t>
  </si>
  <si>
    <t>Rua 877</t>
  </si>
  <si>
    <t>Rua 878</t>
  </si>
  <si>
    <t>Rua 879</t>
  </si>
  <si>
    <t>Rua 880</t>
  </si>
  <si>
    <t>Rua 881</t>
  </si>
  <si>
    <t>Rua 882</t>
  </si>
  <si>
    <t>Rua 883</t>
  </si>
  <si>
    <t>Rua 884</t>
  </si>
  <si>
    <t>Rua 885</t>
  </si>
  <si>
    <t>Rua 886</t>
  </si>
  <si>
    <t>Rua 887</t>
  </si>
  <si>
    <t>Rua 888</t>
  </si>
  <si>
    <t>Rua 889</t>
  </si>
  <si>
    <t>Rua 890</t>
  </si>
  <si>
    <t>Rua 891</t>
  </si>
  <si>
    <t>Rua 892</t>
  </si>
  <si>
    <t>Rua 893</t>
  </si>
  <si>
    <t>Rua 894</t>
  </si>
  <si>
    <t>Rua 895</t>
  </si>
  <si>
    <t>Rua 896</t>
  </si>
  <si>
    <t>Rua 897</t>
  </si>
  <si>
    <t>Rua 898</t>
  </si>
  <si>
    <t>Rua 899</t>
  </si>
  <si>
    <t>Rua 900</t>
  </si>
  <si>
    <t>Rua 901</t>
  </si>
  <si>
    <t>Rua 902</t>
  </si>
  <si>
    <t>Rua 903</t>
  </si>
  <si>
    <t>Rua 904</t>
  </si>
  <si>
    <t>Rua 905</t>
  </si>
  <si>
    <t>Rua 906</t>
  </si>
  <si>
    <t>Rua 907</t>
  </si>
  <si>
    <t>Rua 908</t>
  </si>
  <si>
    <t>Rua 909</t>
  </si>
  <si>
    <t>Rua 910</t>
  </si>
  <si>
    <t>Rua 912</t>
  </si>
  <si>
    <t>Rua 913</t>
  </si>
  <si>
    <t>Rua 914</t>
  </si>
  <si>
    <t>Rua 915</t>
  </si>
  <si>
    <t>Rua 916</t>
  </si>
  <si>
    <t>Rua 917</t>
  </si>
  <si>
    <t>Rua 918</t>
  </si>
  <si>
    <t>Rua 920</t>
  </si>
  <si>
    <t>Rua 921</t>
  </si>
  <si>
    <t>Rua 922</t>
  </si>
  <si>
    <t>Rua 923</t>
  </si>
  <si>
    <t>Rua 924</t>
  </si>
  <si>
    <t>Rua 925</t>
  </si>
  <si>
    <t>Rua 927</t>
  </si>
  <si>
    <t>Rua 928</t>
  </si>
  <si>
    <t>Rua 929</t>
  </si>
  <si>
    <t>Rua 930</t>
  </si>
  <si>
    <t>Rua 931</t>
  </si>
  <si>
    <t>Rua 932</t>
  </si>
  <si>
    <t>Rua 933</t>
  </si>
  <si>
    <t>Rua 934</t>
  </si>
  <si>
    <t>Rua 935</t>
  </si>
  <si>
    <t>Rua 936</t>
  </si>
  <si>
    <t>Rua 937</t>
  </si>
  <si>
    <t>Rua 938</t>
  </si>
  <si>
    <t>Rua 939</t>
  </si>
  <si>
    <t>Rua 940</t>
  </si>
  <si>
    <t>Rua 941</t>
  </si>
  <si>
    <t>Rua 942</t>
  </si>
  <si>
    <t>Rua 943</t>
  </si>
  <si>
    <t>Rua 944</t>
  </si>
  <si>
    <t>Rua 945</t>
  </si>
  <si>
    <t>Rua 946</t>
  </si>
  <si>
    <t>Rua 947</t>
  </si>
  <si>
    <t>Rua 948</t>
  </si>
  <si>
    <t>Rua 949</t>
  </si>
  <si>
    <t>Rua 950</t>
  </si>
  <si>
    <t>Rua 951</t>
  </si>
  <si>
    <t>Rua 952</t>
  </si>
  <si>
    <t>Rua 953</t>
  </si>
  <si>
    <t>Rua 954</t>
  </si>
  <si>
    <t>Rua 955</t>
  </si>
  <si>
    <t>Rua 956</t>
  </si>
  <si>
    <t>Rua 957</t>
  </si>
  <si>
    <t>Rua 958</t>
  </si>
  <si>
    <t>Rua 959</t>
  </si>
  <si>
    <t>Rua 960</t>
  </si>
  <si>
    <t>Rua 961</t>
  </si>
  <si>
    <t>Rua 962</t>
  </si>
  <si>
    <t>Rua 963</t>
  </si>
  <si>
    <t>Rua 964</t>
  </si>
  <si>
    <t>Rua 965</t>
  </si>
  <si>
    <t>Rua 966</t>
  </si>
  <si>
    <t>Rua 967</t>
  </si>
  <si>
    <t>Rua 968</t>
  </si>
  <si>
    <t>Rua 969</t>
  </si>
  <si>
    <t>Rua 970</t>
  </si>
  <si>
    <t>Rua 971</t>
  </si>
  <si>
    <t>Rua 972</t>
  </si>
  <si>
    <t>Rua 973</t>
  </si>
  <si>
    <t>Rua 974</t>
  </si>
  <si>
    <t>Rua 975</t>
  </si>
  <si>
    <t>Rua 976</t>
  </si>
  <si>
    <t>Rua 977</t>
  </si>
  <si>
    <t>Rua 978</t>
  </si>
  <si>
    <t>Rua 979</t>
  </si>
  <si>
    <t>Rua 980</t>
  </si>
  <si>
    <t>Rua 981</t>
  </si>
  <si>
    <t>Rua 982</t>
  </si>
  <si>
    <t>Rua 983</t>
  </si>
  <si>
    <t>Rua 984</t>
  </si>
  <si>
    <t>Rua 985</t>
  </si>
  <si>
    <t>Rua 986</t>
  </si>
  <si>
    <t>Rua 987</t>
  </si>
  <si>
    <t>Rua 988</t>
  </si>
  <si>
    <t>Rua 989</t>
  </si>
  <si>
    <t>Rua 990</t>
  </si>
  <si>
    <t>Rua 991</t>
  </si>
  <si>
    <t>Rua 992</t>
  </si>
  <si>
    <t>Rua 993</t>
  </si>
  <si>
    <t>Rua 994</t>
  </si>
  <si>
    <t>Rua 995</t>
  </si>
  <si>
    <t>Rua 996</t>
  </si>
  <si>
    <t>Rua 997</t>
  </si>
  <si>
    <t>Rua 998</t>
  </si>
  <si>
    <t>Rua 999</t>
  </si>
  <si>
    <t>Rua 1000</t>
  </si>
  <si>
    <t>Rua 1001</t>
  </si>
  <si>
    <t>Rua 1002</t>
  </si>
  <si>
    <t>Rua 1003</t>
  </si>
  <si>
    <t>Rua 1004</t>
  </si>
  <si>
    <t>Rua 1005</t>
  </si>
  <si>
    <t>Rua 1006</t>
  </si>
  <si>
    <t>Rua 1007</t>
  </si>
  <si>
    <t>Rua 1008</t>
  </si>
  <si>
    <t>Rua 1009</t>
  </si>
  <si>
    <t>Rua 1010</t>
  </si>
  <si>
    <t>Rua 1011</t>
  </si>
  <si>
    <t>Rua 1012</t>
  </si>
  <si>
    <t>Rua 1013</t>
  </si>
  <si>
    <t>Rua 1014</t>
  </si>
  <si>
    <t>Rua 1015</t>
  </si>
  <si>
    <t>Rua 1016</t>
  </si>
  <si>
    <t>Rua 1017</t>
  </si>
  <si>
    <t>Rua 1018</t>
  </si>
  <si>
    <t>Rua 1019</t>
  </si>
  <si>
    <t>Rua 1020</t>
  </si>
  <si>
    <t>Rua 1021</t>
  </si>
  <si>
    <t>Rua 1022</t>
  </si>
  <si>
    <t>Rua 1023</t>
  </si>
  <si>
    <t>Rua 1024</t>
  </si>
  <si>
    <t>Rua 1025</t>
  </si>
  <si>
    <t>Rua 1026</t>
  </si>
  <si>
    <t>Rua 1027</t>
  </si>
  <si>
    <t>Rua 1028</t>
  </si>
  <si>
    <t>Rua 1029</t>
  </si>
  <si>
    <t>Rua 1030</t>
  </si>
  <si>
    <t>Rua 1031</t>
  </si>
  <si>
    <t>Rua 1032</t>
  </si>
  <si>
    <t>Rua 1033</t>
  </si>
  <si>
    <t>Rua 1034</t>
  </si>
  <si>
    <t>Rua 1035</t>
  </si>
  <si>
    <t>Rua 1036</t>
  </si>
  <si>
    <t>Rua 1037</t>
  </si>
  <si>
    <t>Rua 1038</t>
  </si>
  <si>
    <t>Rua 1039</t>
  </si>
  <si>
    <t>Rua 1040</t>
  </si>
  <si>
    <t>Rua 1041</t>
  </si>
  <si>
    <t>Rua 1042</t>
  </si>
  <si>
    <t>Rua 1043</t>
  </si>
  <si>
    <t>Rua 1044</t>
  </si>
  <si>
    <t>Rua 1045</t>
  </si>
  <si>
    <t>Rua 1046</t>
  </si>
  <si>
    <t>Rua 1047</t>
  </si>
  <si>
    <t>Rua 1048</t>
  </si>
  <si>
    <t>Rua 1049</t>
  </si>
  <si>
    <t>Rua 1050</t>
  </si>
  <si>
    <t>Rua 1051</t>
  </si>
  <si>
    <t>Rua 1052</t>
  </si>
  <si>
    <t>Rua 1054</t>
  </si>
  <si>
    <t>Rua 1055</t>
  </si>
  <si>
    <t>Rua 1056</t>
  </si>
  <si>
    <t>Rua 1057</t>
  </si>
  <si>
    <t>Rua 1058</t>
  </si>
  <si>
    <t>Rua 1059</t>
  </si>
  <si>
    <t>Rua 1060</t>
  </si>
  <si>
    <t>Rua 1061</t>
  </si>
  <si>
    <t>Rua 1062</t>
  </si>
  <si>
    <t>Rua 1063</t>
  </si>
  <si>
    <t>Rua 1064</t>
  </si>
  <si>
    <t>Rua 1065</t>
  </si>
  <si>
    <t>Rua 1066</t>
  </si>
  <si>
    <t>Rua 1067</t>
  </si>
  <si>
    <t>Rua 1068</t>
  </si>
  <si>
    <t>Rua 1069</t>
  </si>
  <si>
    <t>Rua 1070</t>
  </si>
  <si>
    <t>Rua 1071</t>
  </si>
  <si>
    <t>Rua 1072</t>
  </si>
  <si>
    <t>Rua 1073</t>
  </si>
  <si>
    <t>Rua 1074</t>
  </si>
  <si>
    <t>Rua 1075</t>
  </si>
  <si>
    <t>Rua 1076</t>
  </si>
  <si>
    <t>Rua 1077</t>
  </si>
  <si>
    <t>Rua 1078</t>
  </si>
  <si>
    <t>Rua 1079</t>
  </si>
  <si>
    <t>Rua 1080</t>
  </si>
  <si>
    <t>Rua 1081</t>
  </si>
  <si>
    <t>Rua 1082</t>
  </si>
  <si>
    <t>Rua 1083</t>
  </si>
  <si>
    <t>Rua 1084</t>
  </si>
  <si>
    <t>Rua 1085</t>
  </si>
  <si>
    <t>Rua 1086</t>
  </si>
  <si>
    <t>Rua 1087</t>
  </si>
  <si>
    <t>Rua 1088</t>
  </si>
  <si>
    <t>Rua 1089</t>
  </si>
  <si>
    <t>Rua 1090</t>
  </si>
  <si>
    <t>Rua 1091</t>
  </si>
  <si>
    <t>Rua 1092</t>
  </si>
  <si>
    <t>Rua 1093</t>
  </si>
  <si>
    <t>Rua 1094</t>
  </si>
  <si>
    <t>Rua 1095</t>
  </si>
  <si>
    <t>Rua 1096</t>
  </si>
  <si>
    <t>Rua 1097</t>
  </si>
  <si>
    <t>Rua 1098</t>
  </si>
  <si>
    <t>Rua 1099</t>
  </si>
  <si>
    <t>Rua 1100</t>
  </si>
  <si>
    <t>Rua 1101</t>
  </si>
  <si>
    <t>Rua 1102</t>
  </si>
  <si>
    <t>Rua 1103</t>
  </si>
  <si>
    <t>Rua 1104</t>
  </si>
  <si>
    <t>Rua 1105</t>
  </si>
  <si>
    <t>Rua 1106</t>
  </si>
  <si>
    <t>Rua 1107</t>
  </si>
  <si>
    <t>Rua 1108</t>
  </si>
  <si>
    <t>Rua 1109</t>
  </si>
  <si>
    <t>Rua 1110</t>
  </si>
  <si>
    <t>Rua 1111</t>
  </si>
  <si>
    <t>Rua 1112</t>
  </si>
  <si>
    <t>Rua 1113</t>
  </si>
  <si>
    <t>Rua 1114</t>
  </si>
  <si>
    <t>Rua 1115</t>
  </si>
  <si>
    <t>Rua 1116</t>
  </si>
  <si>
    <t>Rua 1117</t>
  </si>
  <si>
    <t>Rua 1118</t>
  </si>
  <si>
    <t>Rua 1119</t>
  </si>
  <si>
    <t>Rua 1120</t>
  </si>
  <si>
    <t>Rua 1121</t>
  </si>
  <si>
    <t>Rua 1122</t>
  </si>
  <si>
    <t>Rua 1123</t>
  </si>
  <si>
    <t>Rua 1124</t>
  </si>
  <si>
    <t>Rua 1125</t>
  </si>
  <si>
    <t>Rua 1126</t>
  </si>
  <si>
    <t>Rua 1127</t>
  </si>
  <si>
    <t>Rua 1128</t>
  </si>
  <si>
    <t>Rua 1129</t>
  </si>
  <si>
    <t>Rua 1130</t>
  </si>
  <si>
    <t>Rua 1131</t>
  </si>
  <si>
    <t>Rua 1132</t>
  </si>
  <si>
    <t>Rua 1133</t>
  </si>
  <si>
    <t>Rua 1134</t>
  </si>
  <si>
    <t>Rua 1135</t>
  </si>
  <si>
    <t>Rua 1136</t>
  </si>
  <si>
    <t>Rua 1137</t>
  </si>
  <si>
    <t>Rua 1138</t>
  </si>
  <si>
    <t>Rua 1139</t>
  </si>
  <si>
    <t>Rua 1140</t>
  </si>
  <si>
    <t>Rua 1141</t>
  </si>
  <si>
    <t>Rua 1142</t>
  </si>
  <si>
    <t>Rua 1143</t>
  </si>
  <si>
    <t>Rua 1144</t>
  </si>
  <si>
    <t>Rua 1145</t>
  </si>
  <si>
    <t>Rua 1146</t>
  </si>
  <si>
    <t>Rua 1147</t>
  </si>
  <si>
    <t>Rua 1148</t>
  </si>
  <si>
    <t>Rua 1149</t>
  </si>
  <si>
    <t>Rua 1150</t>
  </si>
  <si>
    <t>Rua 1151</t>
  </si>
  <si>
    <t>Rua 1152</t>
  </si>
  <si>
    <t>Rua 1153</t>
  </si>
  <si>
    <t>Rua 1154</t>
  </si>
  <si>
    <t>Rua 1155</t>
  </si>
  <si>
    <t>Rua 1156</t>
  </si>
  <si>
    <t>Rua 1157</t>
  </si>
  <si>
    <t>Rua 1158</t>
  </si>
  <si>
    <t>Rua 1159</t>
  </si>
  <si>
    <t>Rua 1160</t>
  </si>
  <si>
    <t>Rua 1161</t>
  </si>
  <si>
    <t>Rua 1162</t>
  </si>
  <si>
    <t>Rua 1163</t>
  </si>
  <si>
    <t>Rua 1164</t>
  </si>
  <si>
    <t>Rua 1165</t>
  </si>
  <si>
    <t>Rua 1166</t>
  </si>
  <si>
    <t>Rua 1167</t>
  </si>
  <si>
    <t>Rua 1168</t>
  </si>
  <si>
    <t>Rua 1169</t>
  </si>
  <si>
    <t>Rua 1170</t>
  </si>
  <si>
    <t>Rua 1171</t>
  </si>
  <si>
    <t>Rua 1172</t>
  </si>
  <si>
    <t>Rua 1174</t>
  </si>
  <si>
    <t>Rua 1175</t>
  </si>
  <si>
    <t>Rua 1176</t>
  </si>
  <si>
    <t>Rua 1177</t>
  </si>
  <si>
    <t>Rua 1178</t>
  </si>
  <si>
    <t>Rua 1179</t>
  </si>
  <si>
    <t>Rua 1180</t>
  </si>
  <si>
    <t>Rua 1181</t>
  </si>
  <si>
    <t>Rua 1182</t>
  </si>
  <si>
    <t>Rua 1183</t>
  </si>
  <si>
    <t>Rua 1184</t>
  </si>
  <si>
    <t>Rua 1185</t>
  </si>
  <si>
    <t>Rua 1186</t>
  </si>
  <si>
    <t>Rua 1187</t>
  </si>
  <si>
    <t>Rua 1188</t>
  </si>
  <si>
    <t>Rua 1189</t>
  </si>
  <si>
    <t>Rua 1190</t>
  </si>
  <si>
    <t>Rua 1191</t>
  </si>
  <si>
    <t>Rua 1192</t>
  </si>
  <si>
    <t>Rua 1193</t>
  </si>
  <si>
    <t>Rua 1194</t>
  </si>
  <si>
    <t>Rua 1195</t>
  </si>
  <si>
    <t>Rua 1196</t>
  </si>
  <si>
    <t>Rua 1197</t>
  </si>
  <si>
    <t>Rua 1198</t>
  </si>
  <si>
    <t>Rua 1199</t>
  </si>
  <si>
    <t>Rua 1200</t>
  </si>
  <si>
    <t>Rua 1201</t>
  </si>
  <si>
    <t>Rua 1202</t>
  </si>
  <si>
    <t>Rua 1203</t>
  </si>
  <si>
    <t>Rua 1204</t>
  </si>
  <si>
    <t>Rua 1205</t>
  </si>
  <si>
    <t>Rua 1206</t>
  </si>
  <si>
    <t>Rua 1207</t>
  </si>
  <si>
    <t>Rua 1208</t>
  </si>
  <si>
    <t>Rua 1209</t>
  </si>
  <si>
    <t>Rua 1210</t>
  </si>
  <si>
    <t>Rua 1211</t>
  </si>
  <si>
    <t>Rua 1212</t>
  </si>
  <si>
    <t>Rua 1213</t>
  </si>
  <si>
    <t>Rua 1214</t>
  </si>
  <si>
    <t>Rua 1215</t>
  </si>
  <si>
    <t>Rua 1216</t>
  </si>
  <si>
    <t>Rua 1217</t>
  </si>
  <si>
    <t>Rua 1218</t>
  </si>
  <si>
    <t>Rua 1219</t>
  </si>
  <si>
    <t>Rua 1220</t>
  </si>
  <si>
    <t>Rua 1221</t>
  </si>
  <si>
    <t>Rua 1222</t>
  </si>
  <si>
    <t>Rua 1223</t>
  </si>
  <si>
    <t>Rua 1224</t>
  </si>
  <si>
    <t>Rua 1225</t>
  </si>
  <si>
    <t>Rua 1226</t>
  </si>
  <si>
    <t>Rua 1227</t>
  </si>
  <si>
    <t>Rua 1228</t>
  </si>
  <si>
    <t>Rua 1229</t>
  </si>
  <si>
    <t>Rua 1230</t>
  </si>
  <si>
    <t>Rua 1231</t>
  </si>
  <si>
    <t>Rua 1232</t>
  </si>
  <si>
    <t>Rua 1233</t>
  </si>
  <si>
    <t>Rua 1234</t>
  </si>
  <si>
    <t>Rua 1235</t>
  </si>
  <si>
    <t>Rua 1236</t>
  </si>
  <si>
    <t>Rua 1237</t>
  </si>
  <si>
    <t>Rua 1238</t>
  </si>
  <si>
    <t>Rua 1239</t>
  </si>
  <si>
    <t>Rua 1240</t>
  </si>
  <si>
    <t>Rua 1241</t>
  </si>
  <si>
    <t>Rua 1242</t>
  </si>
  <si>
    <t>Rua 1243</t>
  </si>
  <si>
    <t>Rua 1244</t>
  </si>
  <si>
    <t>Rua 1245</t>
  </si>
  <si>
    <t>Rua 1246</t>
  </si>
  <si>
    <t>Rua 1247</t>
  </si>
  <si>
    <t>Rua 1248</t>
  </si>
  <si>
    <t>Rua 1249</t>
  </si>
  <si>
    <t>Rua 1250</t>
  </si>
  <si>
    <t>Rua 1251</t>
  </si>
  <si>
    <t>Rua 1252</t>
  </si>
  <si>
    <t>Rua 1253</t>
  </si>
  <si>
    <t>Rua 1254</t>
  </si>
  <si>
    <t>Rua 1255</t>
  </si>
  <si>
    <t>Rua 1256</t>
  </si>
  <si>
    <t>Rua 1257</t>
  </si>
  <si>
    <t>Rua 1258</t>
  </si>
  <si>
    <t>Rua 1259</t>
  </si>
  <si>
    <t>Rua 1260</t>
  </si>
  <si>
    <t>Rua 1261</t>
  </si>
  <si>
    <t>Rua 1262</t>
  </si>
  <si>
    <t>Rua 1263</t>
  </si>
  <si>
    <t>Rua 1264</t>
  </si>
  <si>
    <t>Rua 1265</t>
  </si>
  <si>
    <t>Rua 1266</t>
  </si>
  <si>
    <t>Rua 1267</t>
  </si>
  <si>
    <t>Rua 1268</t>
  </si>
  <si>
    <t>Rua 1269</t>
  </si>
  <si>
    <t>Rua 1270</t>
  </si>
  <si>
    <t>Rua 1271</t>
  </si>
  <si>
    <t>Rua 1272</t>
  </si>
  <si>
    <t>Rua 1273</t>
  </si>
  <si>
    <t>Rua 1274</t>
  </si>
  <si>
    <t>Rua 1275</t>
  </si>
  <si>
    <t>Rua 1276</t>
  </si>
  <si>
    <t>Rua 1277</t>
  </si>
  <si>
    <t>Rua 1278</t>
  </si>
  <si>
    <t>Rua 1279</t>
  </si>
  <si>
    <t>Rua 1280</t>
  </si>
  <si>
    <t>Rua 1281</t>
  </si>
  <si>
    <t>Rua 1282</t>
  </si>
  <si>
    <t>Rua 1283</t>
  </si>
  <si>
    <t>Rua 1284</t>
  </si>
  <si>
    <t>Rua 1285</t>
  </si>
  <si>
    <t>Rua 1286</t>
  </si>
  <si>
    <t>Rua 1287</t>
  </si>
  <si>
    <t>Rua 1288</t>
  </si>
  <si>
    <t>Rua 1289</t>
  </si>
  <si>
    <t>Rua 1290</t>
  </si>
  <si>
    <t>Rua 1291</t>
  </si>
  <si>
    <t>Rua 1292</t>
  </si>
  <si>
    <t>Rua 1293</t>
  </si>
  <si>
    <t>Rua 1294</t>
  </si>
  <si>
    <t>Rua 1295</t>
  </si>
  <si>
    <t>Rua 1296</t>
  </si>
  <si>
    <t>Rua 1297</t>
  </si>
  <si>
    <t>Rua 1298</t>
  </si>
  <si>
    <t>Rua 1299</t>
  </si>
  <si>
    <t>Rua 1300</t>
  </si>
  <si>
    <t>Rua 1301</t>
  </si>
  <si>
    <t>Rua 1302</t>
  </si>
  <si>
    <t>Rua 1303</t>
  </si>
  <si>
    <t>Rua 1304</t>
  </si>
  <si>
    <t>Rua 1305</t>
  </si>
  <si>
    <t>Rua 1306</t>
  </si>
  <si>
    <t>Rua 1307</t>
  </si>
  <si>
    <t>Rua 1308</t>
  </si>
  <si>
    <t>Rua 1309</t>
  </si>
  <si>
    <t>Rua 1310</t>
  </si>
  <si>
    <t>Rua 1311</t>
  </si>
  <si>
    <t>Rua 1312</t>
  </si>
  <si>
    <t>Rua 1313</t>
  </si>
  <si>
    <t>Rua 1314</t>
  </si>
  <si>
    <t>Rua 1315</t>
  </si>
  <si>
    <t>Rua 1316</t>
  </si>
  <si>
    <t>Rua 1317</t>
  </si>
  <si>
    <t>Rua 1318</t>
  </si>
  <si>
    <t>Rua 1319</t>
  </si>
  <si>
    <t>Rua 1320</t>
  </si>
  <si>
    <t>Rua 1321</t>
  </si>
  <si>
    <t>Rua 1322</t>
  </si>
  <si>
    <t>Rua 1323</t>
  </si>
  <si>
    <t>Rua 1324</t>
  </si>
  <si>
    <t>Rua 1325</t>
  </si>
  <si>
    <t>Rua 1326</t>
  </si>
  <si>
    <t>Rua 1327</t>
  </si>
  <si>
    <t>Rua 1328</t>
  </si>
  <si>
    <t>Rua 1329</t>
  </si>
  <si>
    <t>Rua 1330</t>
  </si>
  <si>
    <t>Rua 1331</t>
  </si>
  <si>
    <t>Rua 1332</t>
  </si>
  <si>
    <t>Rua 1333</t>
  </si>
  <si>
    <t>Rua 1334</t>
  </si>
  <si>
    <t>Rua 1335</t>
  </si>
  <si>
    <t>Rua 1336</t>
  </si>
  <si>
    <t>Rua 1337</t>
  </si>
  <si>
    <t>Rua 1338</t>
  </si>
  <si>
    <t>Rua 1339</t>
  </si>
  <si>
    <t>Rua 1340</t>
  </si>
  <si>
    <t>Rua 1341</t>
  </si>
  <si>
    <t>Rua 1342</t>
  </si>
  <si>
    <t>Rua 1343</t>
  </si>
  <si>
    <t>Rua 1344</t>
  </si>
  <si>
    <t>Rua 1345</t>
  </si>
  <si>
    <t>Rua 1346</t>
  </si>
  <si>
    <t>Rua 1347</t>
  </si>
  <si>
    <t>Rua 1348</t>
  </si>
  <si>
    <t>Rua 1349</t>
  </si>
  <si>
    <t>Rua 1350</t>
  </si>
  <si>
    <t>Rua 1351</t>
  </si>
  <si>
    <t>Rua 1352</t>
  </si>
  <si>
    <t>Rua 1353</t>
  </si>
  <si>
    <t>Rua 1354</t>
  </si>
  <si>
    <t>Rua 1355</t>
  </si>
  <si>
    <t>Rua 1356</t>
  </si>
  <si>
    <t>Rua 1357</t>
  </si>
  <si>
    <t>Rua 1358</t>
  </si>
  <si>
    <t>Rua 1359</t>
  </si>
  <si>
    <t>Rua 1360</t>
  </si>
  <si>
    <t>Rua 1361</t>
  </si>
  <si>
    <t>Rua 1362</t>
  </si>
  <si>
    <t>Rua 1363</t>
  </si>
  <si>
    <t>Rua 1364</t>
  </si>
  <si>
    <t>Rua 1365</t>
  </si>
  <si>
    <t>Rua 1366</t>
  </si>
  <si>
    <t>Rua 1367</t>
  </si>
  <si>
    <t>Rua 1368</t>
  </si>
  <si>
    <t>Rua 1369</t>
  </si>
  <si>
    <t>Rua 1370</t>
  </si>
  <si>
    <t>Rua 1371</t>
  </si>
  <si>
    <t>Rua 1372</t>
  </si>
  <si>
    <t>Rua 1373</t>
  </si>
  <si>
    <t>Rua 1374</t>
  </si>
  <si>
    <t>Rua 1375</t>
  </si>
  <si>
    <t>Rua 1376</t>
  </si>
  <si>
    <t>Rua 1377</t>
  </si>
  <si>
    <t>Rua 1378</t>
  </si>
  <si>
    <t>Rua 1379</t>
  </si>
  <si>
    <t>Rua 1380</t>
  </si>
  <si>
    <t>Rua 1381</t>
  </si>
  <si>
    <t>Rua 1382</t>
  </si>
  <si>
    <t>Rua 1383</t>
  </si>
  <si>
    <t>Rua 1384</t>
  </si>
  <si>
    <t>Rua 1385</t>
  </si>
  <si>
    <t>Rua 1386</t>
  </si>
  <si>
    <t>Rua 1387</t>
  </si>
  <si>
    <t>Rua 1388</t>
  </si>
  <si>
    <t>Rua 1389</t>
  </si>
  <si>
    <t>Rua 1390</t>
  </si>
  <si>
    <t>Rua 1391</t>
  </si>
  <si>
    <t>Rua 1392</t>
  </si>
  <si>
    <t>Rua 1393</t>
  </si>
  <si>
    <t>Rua 1394</t>
  </si>
  <si>
    <t>Rua 1395</t>
  </si>
  <si>
    <t>Rua 1396</t>
  </si>
  <si>
    <t>Rua 1397</t>
  </si>
  <si>
    <t>Rua 1398</t>
  </si>
  <si>
    <t>Rua 1399</t>
  </si>
  <si>
    <t>Rua 1400</t>
  </si>
  <si>
    <t>Rua 1401</t>
  </si>
  <si>
    <t>Rua 1402</t>
  </si>
  <si>
    <t>Rua 1403</t>
  </si>
  <si>
    <t>Rua 1404</t>
  </si>
  <si>
    <t>Rua 1405</t>
  </si>
  <si>
    <t>Rua 1406</t>
  </si>
  <si>
    <t>Rua 1407</t>
  </si>
  <si>
    <t>Rua 1408</t>
  </si>
  <si>
    <t>Rua 1409</t>
  </si>
  <si>
    <t>Rua 1410</t>
  </si>
  <si>
    <t>Rua 1411</t>
  </si>
  <si>
    <t>Rua 1412</t>
  </si>
  <si>
    <t>Rua 1413</t>
  </si>
  <si>
    <t>Rua 1414</t>
  </si>
  <si>
    <t>Rua 1415</t>
  </si>
  <si>
    <t>Rua 1416</t>
  </si>
  <si>
    <t>Rua 1417</t>
  </si>
  <si>
    <t>Rua 1418</t>
  </si>
  <si>
    <t>Rua 1419</t>
  </si>
  <si>
    <t>Rua 1420</t>
  </si>
  <si>
    <t>Rua 1421</t>
  </si>
  <si>
    <t>Rua 1422</t>
  </si>
  <si>
    <t>Rua 1423</t>
  </si>
  <si>
    <t>Rua 1424</t>
  </si>
  <si>
    <t>Rua 1425</t>
  </si>
  <si>
    <t>Rua 1426</t>
  </si>
  <si>
    <t>Rua 1427</t>
  </si>
  <si>
    <t>Rua 1428</t>
  </si>
  <si>
    <t>Rua 1429</t>
  </si>
  <si>
    <t>Rua 1430</t>
  </si>
  <si>
    <t>Rua 1431</t>
  </si>
  <si>
    <t>Rua 1432</t>
  </si>
  <si>
    <t>Rua 1433</t>
  </si>
  <si>
    <t>Rua 1434</t>
  </si>
  <si>
    <t>Rua 1435</t>
  </si>
  <si>
    <t>Rua 1436</t>
  </si>
  <si>
    <t>Rua 1437</t>
  </si>
  <si>
    <t>Rua 1438</t>
  </si>
  <si>
    <t>Rua 1439</t>
  </si>
  <si>
    <t>Rua 1440</t>
  </si>
  <si>
    <t>Rua 1441</t>
  </si>
  <si>
    <t>Rua 1442</t>
  </si>
  <si>
    <t>Rua 1443</t>
  </si>
  <si>
    <t>Rua 1444</t>
  </si>
  <si>
    <t>Rua 1445</t>
  </si>
  <si>
    <t>Rua 1446</t>
  </si>
  <si>
    <t>Rua 1447</t>
  </si>
  <si>
    <t>Rua 1448</t>
  </si>
  <si>
    <t>Rua 1449</t>
  </si>
  <si>
    <t>Rua 1450</t>
  </si>
  <si>
    <t>Rua 1451</t>
  </si>
  <si>
    <t>Rua 1452</t>
  </si>
  <si>
    <t>Rua 1453</t>
  </si>
  <si>
    <t>Rua 1454</t>
  </si>
  <si>
    <t>Rua 1455</t>
  </si>
  <si>
    <t>Rua 1456</t>
  </si>
  <si>
    <t>Rua 1457</t>
  </si>
  <si>
    <t>Rua 1458</t>
  </si>
  <si>
    <t>Rua 1459</t>
  </si>
  <si>
    <t>Rua 1460</t>
  </si>
  <si>
    <t>Rua 1461</t>
  </si>
  <si>
    <t>Rua 1462</t>
  </si>
  <si>
    <t>Rua 1463</t>
  </si>
  <si>
    <t>Rua 1464</t>
  </si>
  <si>
    <t>Rua 1465</t>
  </si>
  <si>
    <t>Rua 1466</t>
  </si>
  <si>
    <t>Rua 1467</t>
  </si>
  <si>
    <t>Rua 1468</t>
  </si>
  <si>
    <t>Rua 1469</t>
  </si>
  <si>
    <t>Rua 1470</t>
  </si>
  <si>
    <t>Rua 1471</t>
  </si>
  <si>
    <t>Rua 1472</t>
  </si>
  <si>
    <t>Rua 1473</t>
  </si>
  <si>
    <t>Rua 1474</t>
  </si>
  <si>
    <t>Rua 1475</t>
  </si>
  <si>
    <t>Rua 1476</t>
  </si>
  <si>
    <t>Rua 1477</t>
  </si>
  <si>
    <t>Rua 1478</t>
  </si>
  <si>
    <t>Rua 1479</t>
  </si>
  <si>
    <t>Rua 1480</t>
  </si>
  <si>
    <t>Rua 1481</t>
  </si>
  <si>
    <t>Rua 1482</t>
  </si>
  <si>
    <t>Rua 1483</t>
  </si>
  <si>
    <t>Rua 1484</t>
  </si>
  <si>
    <t>Rua 1485</t>
  </si>
  <si>
    <t>Rua 1486</t>
  </si>
  <si>
    <t>Rua 1487</t>
  </si>
  <si>
    <t>Rua 1488</t>
  </si>
  <si>
    <t>Rua 1489</t>
  </si>
  <si>
    <t>Rua 1490</t>
  </si>
  <si>
    <t>Rua 1491</t>
  </si>
  <si>
    <t>Rua 1492</t>
  </si>
  <si>
    <t>Rua 1493</t>
  </si>
  <si>
    <t>Rua 1494</t>
  </si>
  <si>
    <t>Rua 1495</t>
  </si>
  <si>
    <t>Rua 1496</t>
  </si>
  <si>
    <t>Rua 1497</t>
  </si>
  <si>
    <t>Rua 1498</t>
  </si>
  <si>
    <t>Rua 1499</t>
  </si>
  <si>
    <t>Rua 1500</t>
  </si>
  <si>
    <t>Rua 1501</t>
  </si>
  <si>
    <t>Rua 1502</t>
  </si>
  <si>
    <t>Rua 1503</t>
  </si>
  <si>
    <t>Rua 1504</t>
  </si>
  <si>
    <t>Rua 1505</t>
  </si>
  <si>
    <t>Rua 1507</t>
  </si>
  <si>
    <t>Rua 1508</t>
  </si>
  <si>
    <t>Rua 1509</t>
  </si>
  <si>
    <t>Rua 1510</t>
  </si>
  <si>
    <t>Rua 1511</t>
  </si>
  <si>
    <t>Rua 1512</t>
  </si>
  <si>
    <t>Rua 1513</t>
  </si>
  <si>
    <t>Rua 1514</t>
  </si>
  <si>
    <t>Rua 1515</t>
  </si>
  <si>
    <t>Rua 1516</t>
  </si>
  <si>
    <t>Rua 1517</t>
  </si>
  <si>
    <t>Rua 1518</t>
  </si>
  <si>
    <t>Rua 1519</t>
  </si>
  <si>
    <t>Rua 1520</t>
  </si>
  <si>
    <t>Rua 1521</t>
  </si>
  <si>
    <t>Rua 1522</t>
  </si>
  <si>
    <t>Rua 1523</t>
  </si>
  <si>
    <t>Rua 1524</t>
  </si>
  <si>
    <t>Rua 1525</t>
  </si>
  <si>
    <t>Rua 1526</t>
  </si>
  <si>
    <t>Rua 1527</t>
  </si>
  <si>
    <t>Rua 1528</t>
  </si>
  <si>
    <t>Rua 1529</t>
  </si>
  <si>
    <t>Rua 1530</t>
  </si>
  <si>
    <t>Rua 1531</t>
  </si>
  <si>
    <t>Rua 1532</t>
  </si>
  <si>
    <t>Rua 1533</t>
  </si>
  <si>
    <t>Rua 1534</t>
  </si>
  <si>
    <t>Rua 1535</t>
  </si>
  <si>
    <t>Rua 1536</t>
  </si>
  <si>
    <t>Rua 1537</t>
  </si>
  <si>
    <t>Rua 1538</t>
  </si>
  <si>
    <t>Rua 1539</t>
  </si>
  <si>
    <t>Rua 1540</t>
  </si>
  <si>
    <t>Rua 1541</t>
  </si>
  <si>
    <t>Rua 1542</t>
  </si>
  <si>
    <t>Rua 1543</t>
  </si>
  <si>
    <t>Rua 1544</t>
  </si>
  <si>
    <t>Rua 1545</t>
  </si>
  <si>
    <t>Rua 1546</t>
  </si>
  <si>
    <t>Rua 1547</t>
  </si>
  <si>
    <t>Rua 1548</t>
  </si>
  <si>
    <t>Rua 1549</t>
  </si>
  <si>
    <t>Rua 1550</t>
  </si>
  <si>
    <t>Rua 1551</t>
  </si>
  <si>
    <t>Rua 1552</t>
  </si>
  <si>
    <t>Rua 1553</t>
  </si>
  <si>
    <t>Rua 1554</t>
  </si>
  <si>
    <t>Rua 1555</t>
  </si>
  <si>
    <t>Rua 1556</t>
  </si>
  <si>
    <t>Rua 1557</t>
  </si>
  <si>
    <t>Rua 1558</t>
  </si>
  <si>
    <t>Rua 1559</t>
  </si>
  <si>
    <t>Rua 1560</t>
  </si>
  <si>
    <t>Rua 1561</t>
  </si>
  <si>
    <t>Rua 1562</t>
  </si>
  <si>
    <t>Rua 1563</t>
  </si>
  <si>
    <t>Rua 1564</t>
  </si>
  <si>
    <t>Rua 1565</t>
  </si>
  <si>
    <t>Rua 1566</t>
  </si>
  <si>
    <t>Rua 1567</t>
  </si>
  <si>
    <t>Rua 1568</t>
  </si>
  <si>
    <t>Rua 1569</t>
  </si>
  <si>
    <t>Rua 1570</t>
  </si>
  <si>
    <t>Rua 1571</t>
  </si>
  <si>
    <t>Rua 1572</t>
  </si>
  <si>
    <t>Rua 1573</t>
  </si>
  <si>
    <t>Rua 1574</t>
  </si>
  <si>
    <t>Rua 1575</t>
  </si>
  <si>
    <t>Rua 1576</t>
  </si>
  <si>
    <t>Rua 1577</t>
  </si>
  <si>
    <t>Rua 1578</t>
  </si>
  <si>
    <t>Rua 1579</t>
  </si>
  <si>
    <t>Rua 1580</t>
  </si>
  <si>
    <t>Rua 1581</t>
  </si>
  <si>
    <t>Rua 1582</t>
  </si>
  <si>
    <t>Rua 1583</t>
  </si>
  <si>
    <t>Rua 1584</t>
  </si>
  <si>
    <t>Rua 1585</t>
  </si>
  <si>
    <t>Rua 1586</t>
  </si>
  <si>
    <t>Rua 1587</t>
  </si>
  <si>
    <t>Rua 1588</t>
  </si>
  <si>
    <t>Rua 1589</t>
  </si>
  <si>
    <t>Rua 1590</t>
  </si>
  <si>
    <t>Rua 1591</t>
  </si>
  <si>
    <t>Rua 1592</t>
  </si>
  <si>
    <t>Rua 1593</t>
  </si>
  <si>
    <t>Rua 1594</t>
  </si>
  <si>
    <t>Rua 1595</t>
  </si>
  <si>
    <t>Rua 1596</t>
  </si>
  <si>
    <t>Rua 1597</t>
  </si>
  <si>
    <t>Rua 1598</t>
  </si>
  <si>
    <t>Rua 1599</t>
  </si>
  <si>
    <t>Rua 1600</t>
  </si>
  <si>
    <t>Rua 1601</t>
  </si>
  <si>
    <t>Rua 1602</t>
  </si>
  <si>
    <t>Rua 1603</t>
  </si>
  <si>
    <t>Rua 1604</t>
  </si>
  <si>
    <t>Rua 1605</t>
  </si>
  <si>
    <t>Rua 1606</t>
  </si>
  <si>
    <t>Rua 1607</t>
  </si>
  <si>
    <t>Rua 1608</t>
  </si>
  <si>
    <t>Rua 1609</t>
  </si>
  <si>
    <t>Rua 1610</t>
  </si>
  <si>
    <t>Rua 1611</t>
  </si>
  <si>
    <t>Rua 1612</t>
  </si>
  <si>
    <t>Rua 1613</t>
  </si>
  <si>
    <t>Rua 1614</t>
  </si>
  <si>
    <t>Rua 1615</t>
  </si>
  <si>
    <t>Rua 1616</t>
  </si>
  <si>
    <t>Rua 1617</t>
  </si>
  <si>
    <t>Rua 1618</t>
  </si>
  <si>
    <t>Rua 1619</t>
  </si>
  <si>
    <t>Rua 1620</t>
  </si>
  <si>
    <t>Rua 1621</t>
  </si>
  <si>
    <t>Rua 1622</t>
  </si>
  <si>
    <t>Rua 1623</t>
  </si>
  <si>
    <t>Rua 1624</t>
  </si>
  <si>
    <t>Rua 1625</t>
  </si>
  <si>
    <t>Rua 1626</t>
  </si>
  <si>
    <t>Rua 1627</t>
  </si>
  <si>
    <t>Rua 1628</t>
  </si>
  <si>
    <t>Rua 1629</t>
  </si>
  <si>
    <t>Rua 1630</t>
  </si>
  <si>
    <t>Rua 1631</t>
  </si>
  <si>
    <t>Rua 1632</t>
  </si>
  <si>
    <t>Rua 1633</t>
  </si>
  <si>
    <t>Rua 1634</t>
  </si>
  <si>
    <t>Rua 1635</t>
  </si>
  <si>
    <t>Rua 1636</t>
  </si>
  <si>
    <t>Rua 1637</t>
  </si>
  <si>
    <t>Rua 1638</t>
  </si>
  <si>
    <t>Rua 1639</t>
  </si>
  <si>
    <t>Rua 1640</t>
  </si>
  <si>
    <t>Rua 1641</t>
  </si>
  <si>
    <t>Rua 1642</t>
  </si>
  <si>
    <t>Rua 1643</t>
  </si>
  <si>
    <t>Rua 1644</t>
  </si>
  <si>
    <t>Rua 1645</t>
  </si>
  <si>
    <t>Rua 1646</t>
  </si>
  <si>
    <t>Rua 1647</t>
  </si>
  <si>
    <t>Rua 1648</t>
  </si>
  <si>
    <t>Rua 1649</t>
  </si>
  <si>
    <t>Rua 1650</t>
  </si>
  <si>
    <t>Rua 1651</t>
  </si>
  <si>
    <t>Rua 1652</t>
  </si>
  <si>
    <t>Rua 1653</t>
  </si>
  <si>
    <t>Rua 1654</t>
  </si>
  <si>
    <t>Rua 1655</t>
  </si>
  <si>
    <t>Rua 1656</t>
  </si>
  <si>
    <t>Rua 1657</t>
  </si>
  <si>
    <t>Rua 1658</t>
  </si>
  <si>
    <t>Rua 1659</t>
  </si>
  <si>
    <t>Rua 1660</t>
  </si>
  <si>
    <t>Rua 1661</t>
  </si>
  <si>
    <t>Rua 1662</t>
  </si>
  <si>
    <t>Rua 1663</t>
  </si>
  <si>
    <t>Rua 1664</t>
  </si>
  <si>
    <t>Rua 1665</t>
  </si>
  <si>
    <t>Rua 1666</t>
  </si>
  <si>
    <t>Rua 1667</t>
  </si>
  <si>
    <t>Rua 1668</t>
  </si>
  <si>
    <t>Rua 1669</t>
  </si>
  <si>
    <t>Rua 1670</t>
  </si>
  <si>
    <t>Rua 1671</t>
  </si>
  <si>
    <t>Rua 1672</t>
  </si>
  <si>
    <t>Rua 1673</t>
  </si>
  <si>
    <t>Rua 1674</t>
  </si>
  <si>
    <t>Rua 1675</t>
  </si>
  <si>
    <t>Rua 1676</t>
  </si>
  <si>
    <t>Rua 1677</t>
  </si>
  <si>
    <t>Rua 1678</t>
  </si>
  <si>
    <t>Rua 1679</t>
  </si>
  <si>
    <t>Rua 1680</t>
  </si>
  <si>
    <t>Rua 1681</t>
  </si>
  <si>
    <t>Rua 1682</t>
  </si>
  <si>
    <t>Rua 1683</t>
  </si>
  <si>
    <t>Rua 1684</t>
  </si>
  <si>
    <t>Rua 1685</t>
  </si>
  <si>
    <t>Rua 1686</t>
  </si>
  <si>
    <t>Rua 1687</t>
  </si>
  <si>
    <t>Rua 1688</t>
  </si>
  <si>
    <t>Rua 1689</t>
  </si>
  <si>
    <t>Rua 1690</t>
  </si>
  <si>
    <t>Rua 1691</t>
  </si>
  <si>
    <t>Rua 1692</t>
  </si>
  <si>
    <t>Rua 1693</t>
  </si>
  <si>
    <t>Rua 1694</t>
  </si>
  <si>
    <t>Rua 1695</t>
  </si>
  <si>
    <t>Rua 1696</t>
  </si>
  <si>
    <t>Rua 1697</t>
  </si>
  <si>
    <t>Rua 1698</t>
  </si>
  <si>
    <t>Rua 1699</t>
  </si>
  <si>
    <t>Rua 1700</t>
  </si>
  <si>
    <t>Rua 1701</t>
  </si>
  <si>
    <t>Rua 1702</t>
  </si>
  <si>
    <t>Rua 1703</t>
  </si>
  <si>
    <t>Rua 1704</t>
  </si>
  <si>
    <t>Rua 1705</t>
  </si>
  <si>
    <t>Rua 1706</t>
  </si>
  <si>
    <t>Rua 1707</t>
  </si>
  <si>
    <t>Rua 1708</t>
  </si>
  <si>
    <t>Rua 1709</t>
  </si>
  <si>
    <t>Rua 1710</t>
  </si>
  <si>
    <t>Rua 1711</t>
  </si>
  <si>
    <t>Rua 1712</t>
  </si>
  <si>
    <t>Rua 1713</t>
  </si>
  <si>
    <t>Rua 1714</t>
  </si>
  <si>
    <t>Rua 1715</t>
  </si>
  <si>
    <t>Rua 1716</t>
  </si>
  <si>
    <t>Rua 1717</t>
  </si>
  <si>
    <t>Rua 1718</t>
  </si>
  <si>
    <t>Rua 1719</t>
  </si>
  <si>
    <t>Rua 1720</t>
  </si>
  <si>
    <t>Rua 1721</t>
  </si>
  <si>
    <t>Rua 1722</t>
  </si>
  <si>
    <t>Rua 1726</t>
  </si>
  <si>
    <t>Rua 1727</t>
  </si>
  <si>
    <t>Rua 1728</t>
  </si>
  <si>
    <t>Rua 1729</t>
  </si>
  <si>
    <t>Rua 1730</t>
  </si>
  <si>
    <t>Rua 1731</t>
  </si>
  <si>
    <t>Rua 1732</t>
  </si>
  <si>
    <t>Rua 1733</t>
  </si>
  <si>
    <t>Rua 1734</t>
  </si>
  <si>
    <t>Rua 1735</t>
  </si>
  <si>
    <t>Rua 1736</t>
  </si>
  <si>
    <t>Rua 1737</t>
  </si>
  <si>
    <t>Rua 1738</t>
  </si>
  <si>
    <t>Rua 1739</t>
  </si>
  <si>
    <t>Rua 1740</t>
  </si>
  <si>
    <t>Rua 1741</t>
  </si>
  <si>
    <t>Rua 1742</t>
  </si>
  <si>
    <t>Rua 1743</t>
  </si>
  <si>
    <t>Rua 1744</t>
  </si>
  <si>
    <t>Rua 1745</t>
  </si>
  <si>
    <t>Rua 1746</t>
  </si>
  <si>
    <t>Rua 1747</t>
  </si>
  <si>
    <t>Rua 1748</t>
  </si>
  <si>
    <t>Rua 1749</t>
  </si>
  <si>
    <t>Rua 1750</t>
  </si>
  <si>
    <t>Rua 1751</t>
  </si>
  <si>
    <t>Rua 1752</t>
  </si>
  <si>
    <t>Rua 1753</t>
  </si>
  <si>
    <t>Rua 1754</t>
  </si>
  <si>
    <t>Rua 1755</t>
  </si>
  <si>
    <t>Rua 1756</t>
  </si>
  <si>
    <t>Rua 1757</t>
  </si>
  <si>
    <t>Rua 1758</t>
  </si>
  <si>
    <t>Rua 1759</t>
  </si>
  <si>
    <t>Rua 1760</t>
  </si>
  <si>
    <t>Rua 1761</t>
  </si>
  <si>
    <t>Rua 1762</t>
  </si>
  <si>
    <t>Rua 1763</t>
  </si>
  <si>
    <t>Rua 1764</t>
  </si>
  <si>
    <t>Rua 1765</t>
  </si>
  <si>
    <t>Rua 1766</t>
  </si>
  <si>
    <t>Rua 1767</t>
  </si>
  <si>
    <t>Rua 1768</t>
  </si>
  <si>
    <t>Rua 1769</t>
  </si>
  <si>
    <t>Rua 1770</t>
  </si>
  <si>
    <t>Rua 1771</t>
  </si>
  <si>
    <t>Rua 1772</t>
  </si>
  <si>
    <t>Rua 1773</t>
  </si>
  <si>
    <t>Rua 1774</t>
  </si>
  <si>
    <t>Rua 1775</t>
  </si>
  <si>
    <t>Rua 1776</t>
  </si>
  <si>
    <t>Rua 1777</t>
  </si>
  <si>
    <t>Rua 1778</t>
  </si>
  <si>
    <t>Rua 1779</t>
  </si>
  <si>
    <t>Rua 1780</t>
  </si>
  <si>
    <t>Rua 1781</t>
  </si>
  <si>
    <t>Rua 1782</t>
  </si>
  <si>
    <t>Rua 1783</t>
  </si>
  <si>
    <t>Rua 1784</t>
  </si>
  <si>
    <t>Rua 1785</t>
  </si>
  <si>
    <t>Rua 1786</t>
  </si>
  <si>
    <t>Rua 1787</t>
  </si>
  <si>
    <t>Rua 1788</t>
  </si>
  <si>
    <t>Rua 1789</t>
  </si>
  <si>
    <t>Rua 1790</t>
  </si>
  <si>
    <t>Rua 1791</t>
  </si>
  <si>
    <t>Rua 1792</t>
  </si>
  <si>
    <t>Rua 1793</t>
  </si>
  <si>
    <t>Rua 1794</t>
  </si>
  <si>
    <t>Rua 1795</t>
  </si>
  <si>
    <t>Rua 1796</t>
  </si>
  <si>
    <t>Rua 1797</t>
  </si>
  <si>
    <t>Rua 1798</t>
  </si>
  <si>
    <t>Rua 1799</t>
  </si>
  <si>
    <t>Rua 1800</t>
  </si>
  <si>
    <t>Rua 1801</t>
  </si>
  <si>
    <t>Rua 1802</t>
  </si>
  <si>
    <t>Rua 1803</t>
  </si>
  <si>
    <t>Rua 1804</t>
  </si>
  <si>
    <t>Rua 1805</t>
  </si>
  <si>
    <t>Rua 1806</t>
  </si>
  <si>
    <t>Rua 1807</t>
  </si>
  <si>
    <t>Rua 1808</t>
  </si>
  <si>
    <t>Rua 1809</t>
  </si>
  <si>
    <t>Rua 1810</t>
  </si>
  <si>
    <t>Rua 1811</t>
  </si>
  <si>
    <t>Rua 1812</t>
  </si>
  <si>
    <t>Rua 1813</t>
  </si>
  <si>
    <t>Rua 1814</t>
  </si>
  <si>
    <t>Rua 1815</t>
  </si>
  <si>
    <t>Rua 1816</t>
  </si>
  <si>
    <t>Rua 1817</t>
  </si>
  <si>
    <t>Rua 1818</t>
  </si>
  <si>
    <t>Rua 1819</t>
  </si>
  <si>
    <t>Rua 1820</t>
  </si>
  <si>
    <t>Rua 1821</t>
  </si>
  <si>
    <t>Rua 1822</t>
  </si>
  <si>
    <t>Rua 1823</t>
  </si>
  <si>
    <t>Rua 1824</t>
  </si>
  <si>
    <t>Rua 1825</t>
  </si>
  <si>
    <t>Rua 1826</t>
  </si>
  <si>
    <t>Rua 1827</t>
  </si>
  <si>
    <t>Rua 1828</t>
  </si>
  <si>
    <t>Rua 1829</t>
  </si>
  <si>
    <t>Rua 1830</t>
  </si>
  <si>
    <t>Rua 1831</t>
  </si>
  <si>
    <t>Rua 1832</t>
  </si>
  <si>
    <t>Rua 1833</t>
  </si>
  <si>
    <t>Rua 1834</t>
  </si>
  <si>
    <t>Rua 1835</t>
  </si>
  <si>
    <t>Rua 1836</t>
  </si>
  <si>
    <t>Rua 1837</t>
  </si>
  <si>
    <t>Rua 1838</t>
  </si>
  <si>
    <t>Rua 1839</t>
  </si>
  <si>
    <t>Rua 1840</t>
  </si>
  <si>
    <t>Rua 1841</t>
  </si>
  <si>
    <t>Rua 1842</t>
  </si>
  <si>
    <t>Rua 1843</t>
  </si>
  <si>
    <t>Rua 1844</t>
  </si>
  <si>
    <t>Rua 1845</t>
  </si>
  <si>
    <t>Rua 1846</t>
  </si>
  <si>
    <t>Rua 1847</t>
  </si>
  <si>
    <t>Rua 1848</t>
  </si>
  <si>
    <t>Rua 1849</t>
  </si>
  <si>
    <t>Rua 1850</t>
  </si>
  <si>
    <t>Rua 1851</t>
  </si>
  <si>
    <t>Rua 1852</t>
  </si>
  <si>
    <t>Rua 1853</t>
  </si>
  <si>
    <t>Rua 1854</t>
  </si>
  <si>
    <t>Rua 1855</t>
  </si>
  <si>
    <t>Rua 1856</t>
  </si>
  <si>
    <t>Rua 1857</t>
  </si>
  <si>
    <t>Rua 1858</t>
  </si>
  <si>
    <t>Rua 1859</t>
  </si>
  <si>
    <t>Rua 1860</t>
  </si>
  <si>
    <t>Rua 1861</t>
  </si>
  <si>
    <t>Rua 1862</t>
  </si>
  <si>
    <t>Rua 1863</t>
  </si>
  <si>
    <t>Rua 1864</t>
  </si>
  <si>
    <t>Rua 1865</t>
  </si>
  <si>
    <t>Rua 1866</t>
  </si>
  <si>
    <t>Rua 1867</t>
  </si>
  <si>
    <t>Rua 1868</t>
  </si>
  <si>
    <t>Rua 1869</t>
  </si>
  <si>
    <t>Rua 1870</t>
  </si>
  <si>
    <t>Rua 1871</t>
  </si>
  <si>
    <t>Rua 1872</t>
  </si>
  <si>
    <t>Rua 1873</t>
  </si>
  <si>
    <t>Rua 1874</t>
  </si>
  <si>
    <t>Rua 1875</t>
  </si>
  <si>
    <t>Rua 1876</t>
  </si>
  <si>
    <t>Rua 1877</t>
  </si>
  <si>
    <t>Rua 1878</t>
  </si>
  <si>
    <t>Rua 1879</t>
  </si>
  <si>
    <t>Rua 1880</t>
  </si>
  <si>
    <t>Rua 1881</t>
  </si>
  <si>
    <t>Rua 1882</t>
  </si>
  <si>
    <t>Rua 1883</t>
  </si>
  <si>
    <t>Rua 1884</t>
  </si>
  <si>
    <t>Rua 1885</t>
  </si>
  <si>
    <t>Rua 1886</t>
  </si>
  <si>
    <t>Rua 1887</t>
  </si>
  <si>
    <t>Rua 1888</t>
  </si>
  <si>
    <t>Rua 1889</t>
  </si>
  <si>
    <t>Rua 1890</t>
  </si>
  <si>
    <t>Rua 1891</t>
  </si>
  <si>
    <t>Rua 1892</t>
  </si>
  <si>
    <t>Rua 1893</t>
  </si>
  <si>
    <t>Rua 1894</t>
  </si>
  <si>
    <t>Rua 1895</t>
  </si>
  <si>
    <t>Rua 1896</t>
  </si>
  <si>
    <t>Rua 1897</t>
  </si>
  <si>
    <t>Rua 1898</t>
  </si>
  <si>
    <t>Rua 1899</t>
  </si>
  <si>
    <t>Rua 1900</t>
  </si>
  <si>
    <t>Rua 1901</t>
  </si>
  <si>
    <t>Rua 1902</t>
  </si>
  <si>
    <t>Rua 1903</t>
  </si>
  <si>
    <t>Rua 1904</t>
  </si>
  <si>
    <t>Rua 1905</t>
  </si>
  <si>
    <t>Rua 1906</t>
  </si>
  <si>
    <t>Rua 1907</t>
  </si>
  <si>
    <t>Rua 1908</t>
  </si>
  <si>
    <t>Rua 1909</t>
  </si>
  <si>
    <t>Rua 1910</t>
  </si>
  <si>
    <t>Rua 1911</t>
  </si>
  <si>
    <t>Rua 1912</t>
  </si>
  <si>
    <t>Rua 1913</t>
  </si>
  <si>
    <t>Rua 1914</t>
  </si>
  <si>
    <t>Rua 1915</t>
  </si>
  <si>
    <t>Rua 1916</t>
  </si>
  <si>
    <t>Rua 1917</t>
  </si>
  <si>
    <t>Rua 1918</t>
  </si>
  <si>
    <t>Rua 1919</t>
  </si>
  <si>
    <t>Rua 1920</t>
  </si>
  <si>
    <t>Rua 1921</t>
  </si>
  <si>
    <t>Rua 1922</t>
  </si>
  <si>
    <t>Rua 1923</t>
  </si>
  <si>
    <t>Rua 1924</t>
  </si>
  <si>
    <t>Rua 1925</t>
  </si>
  <si>
    <t>Rua 1926</t>
  </si>
  <si>
    <t>Rua 1927</t>
  </si>
  <si>
    <t>Rua 1928</t>
  </si>
  <si>
    <t>Rua 1929</t>
  </si>
  <si>
    <t>Rua 1930</t>
  </si>
  <si>
    <t>Rua 1931</t>
  </si>
  <si>
    <t>Rua 1932</t>
  </si>
  <si>
    <t>Rua 1933</t>
  </si>
  <si>
    <t>Rua 1934</t>
  </si>
  <si>
    <t>Rua 1935</t>
  </si>
  <si>
    <t>Rua 1936</t>
  </si>
  <si>
    <t>Rua 1937</t>
  </si>
  <si>
    <t>Rua 1938</t>
  </si>
  <si>
    <t>Rua 1939</t>
  </si>
  <si>
    <t>Rua 1940</t>
  </si>
  <si>
    <t>Rua 1941</t>
  </si>
  <si>
    <t>Rua 1942</t>
  </si>
  <si>
    <t>Rua 1943</t>
  </si>
  <si>
    <t>Rua 1944</t>
  </si>
  <si>
    <t>Rua 1945</t>
  </si>
  <si>
    <t>Rua 1946</t>
  </si>
  <si>
    <t>Rua 1947</t>
  </si>
  <si>
    <t>Rua 1948</t>
  </si>
  <si>
    <t>Rua 1949</t>
  </si>
  <si>
    <t>Rua 1950</t>
  </si>
  <si>
    <t>Rua 1951</t>
  </si>
  <si>
    <t>Rua 1952</t>
  </si>
  <si>
    <t>Rua 1953</t>
  </si>
  <si>
    <t>Rua 1954</t>
  </si>
  <si>
    <t>Rua 1955</t>
  </si>
  <si>
    <t>Rua 1956</t>
  </si>
  <si>
    <t>Rua 1957</t>
  </si>
  <si>
    <t>Rua 1958</t>
  </si>
  <si>
    <t>Rua 1959</t>
  </si>
  <si>
    <t>Rua 1960</t>
  </si>
  <si>
    <t>Rua 1961</t>
  </si>
  <si>
    <t>Rua 1962</t>
  </si>
  <si>
    <t>Rua 1963</t>
  </si>
  <si>
    <t>Rua 1964</t>
  </si>
  <si>
    <t>Rua 1965</t>
  </si>
  <si>
    <t>Rua 1966</t>
  </si>
  <si>
    <t>Rua 1967</t>
  </si>
  <si>
    <t>Rua 1968</t>
  </si>
  <si>
    <t>Rua 1969</t>
  </si>
  <si>
    <t>Rua 1970</t>
  </si>
  <si>
    <t>Rua 1971</t>
  </si>
  <si>
    <t>Rua 1972</t>
  </si>
  <si>
    <t>Rua 1973</t>
  </si>
  <si>
    <t>Rua 1974</t>
  </si>
  <si>
    <t>Rua 1975</t>
  </si>
  <si>
    <t>Rua 1976</t>
  </si>
  <si>
    <t>Rua 1977</t>
  </si>
  <si>
    <t>Rua 1978</t>
  </si>
  <si>
    <t>Rua 1979</t>
  </si>
  <si>
    <t>Rua 1980</t>
  </si>
  <si>
    <t>Rua 1981</t>
  </si>
  <si>
    <t>Rua 1982</t>
  </si>
  <si>
    <t>Rua 1983</t>
  </si>
  <si>
    <t>Rua 1984</t>
  </si>
  <si>
    <t>Rua 1985</t>
  </si>
  <si>
    <t>Rua 1986</t>
  </si>
  <si>
    <t>Rua 1987</t>
  </si>
  <si>
    <t>Rua 1988</t>
  </si>
  <si>
    <t>Rua 1989</t>
  </si>
  <si>
    <t>Rua 1990</t>
  </si>
  <si>
    <t>Rua 1991</t>
  </si>
  <si>
    <t>Rua 1992</t>
  </si>
  <si>
    <t>Rua 1993</t>
  </si>
  <si>
    <t>Rua 1994</t>
  </si>
  <si>
    <t>Rua 1995</t>
  </si>
  <si>
    <t>Rua 1996</t>
  </si>
  <si>
    <t>Rua 1997</t>
  </si>
  <si>
    <t>Rua 1998</t>
  </si>
  <si>
    <t>Rua 1999</t>
  </si>
  <si>
    <t>Rua 2000</t>
  </si>
  <si>
    <t>Rua 2001</t>
  </si>
  <si>
    <t>Rua 2002</t>
  </si>
  <si>
    <t>Rua 2003</t>
  </si>
  <si>
    <t>Rua 2004</t>
  </si>
  <si>
    <t>Rua 2005</t>
  </si>
  <si>
    <t>Rua 2006</t>
  </si>
  <si>
    <t>Rua 2007</t>
  </si>
  <si>
    <t>Rua 2008</t>
  </si>
  <si>
    <t>Rua 2009</t>
  </si>
  <si>
    <t>Rua 2010</t>
  </si>
  <si>
    <t>Rua 2011</t>
  </si>
  <si>
    <t>Rua 2012</t>
  </si>
  <si>
    <t>Rua 2013</t>
  </si>
  <si>
    <t>Rua 2014</t>
  </si>
  <si>
    <t>Rua 2015</t>
  </si>
  <si>
    <t>Rua 2016</t>
  </si>
  <si>
    <t>Rua 2017</t>
  </si>
  <si>
    <t>Rua 2018</t>
  </si>
  <si>
    <t>Rua 2019</t>
  </si>
  <si>
    <t>Rua 2021</t>
  </si>
  <si>
    <t>Rua 2022</t>
  </si>
  <si>
    <t>Rua 2023</t>
  </si>
  <si>
    <t>Rua 2024</t>
  </si>
  <si>
    <t>Rua 2025</t>
  </si>
  <si>
    <t>Rua 2026</t>
  </si>
  <si>
    <t>Rua 2027</t>
  </si>
  <si>
    <t>Rua 2028</t>
  </si>
  <si>
    <t>Rua 2029</t>
  </si>
  <si>
    <t>Rua 2030</t>
  </si>
  <si>
    <t>Rua 2031</t>
  </si>
  <si>
    <t>Rua 2032</t>
  </si>
  <si>
    <t>Rua 2033</t>
  </si>
  <si>
    <t>Rua 2034</t>
  </si>
  <si>
    <t>Rua 2035</t>
  </si>
  <si>
    <t>Rua 2036</t>
  </si>
  <si>
    <t>Rua 2037</t>
  </si>
  <si>
    <t>Rua 2038</t>
  </si>
  <si>
    <t>Rua 2039</t>
  </si>
  <si>
    <t>Rua 2040</t>
  </si>
  <si>
    <t>Rua 2041</t>
  </si>
  <si>
    <t>Rua 2042</t>
  </si>
  <si>
    <t>Rua 2043</t>
  </si>
  <si>
    <t>Rua 2044</t>
  </si>
  <si>
    <t>Rua 2045</t>
  </si>
  <si>
    <t>Rua 2046</t>
  </si>
  <si>
    <t>Rua 2047</t>
  </si>
  <si>
    <t>Rua 2048</t>
  </si>
  <si>
    <t>Rua 2049</t>
  </si>
  <si>
    <t>Rua 2050</t>
  </si>
  <si>
    <t>Rua 2051</t>
  </si>
  <si>
    <t>Rua 2052</t>
  </si>
  <si>
    <t>Rua 2053</t>
  </si>
  <si>
    <t>Rua 2054</t>
  </si>
  <si>
    <t>Rua 2055</t>
  </si>
  <si>
    <t>Rua 2056</t>
  </si>
  <si>
    <t>Rua 2057</t>
  </si>
  <si>
    <t>Rua 2058</t>
  </si>
  <si>
    <t>Rua 2059</t>
  </si>
  <si>
    <t>Rua 2060</t>
  </si>
  <si>
    <t>Rua 2061</t>
  </si>
  <si>
    <t>Rua 2062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</si>
  <si>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</si>
  <si>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</si>
  <si>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</si>
  <si>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</si>
  <si>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</si>
  <si>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</si>
  <si>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</si>
  <si>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</si>
  <si>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</si>
  <si>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</si>
  <si>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Comp 11</t>
  </si>
  <si>
    <t>Comp 12</t>
  </si>
  <si>
    <t>Comp 13</t>
  </si>
  <si>
    <t>Comp 14</t>
  </si>
  <si>
    <t>Comp 15</t>
  </si>
  <si>
    <t>Comp 16</t>
  </si>
  <si>
    <t>Comp 17</t>
  </si>
  <si>
    <t>Comp 18</t>
  </si>
  <si>
    <t>Comp 19</t>
  </si>
  <si>
    <t>Comp 20</t>
  </si>
  <si>
    <t>Comp 21</t>
  </si>
  <si>
    <t>Comp 22</t>
  </si>
  <si>
    <t>Comp 23</t>
  </si>
  <si>
    <t>Comp 24</t>
  </si>
  <si>
    <t>Comp 25</t>
  </si>
  <si>
    <t>Comp 26</t>
  </si>
  <si>
    <t>Comp 27</t>
  </si>
  <si>
    <t>Comp 28</t>
  </si>
  <si>
    <t>Comp 29</t>
  </si>
  <si>
    <t>Comp 30</t>
  </si>
  <si>
    <t>Comp 31</t>
  </si>
  <si>
    <t>Comp 32</t>
  </si>
  <si>
    <t>Comp 33</t>
  </si>
  <si>
    <t>Comp 34</t>
  </si>
  <si>
    <t>Comp 35</t>
  </si>
  <si>
    <t>Comp 36</t>
  </si>
  <si>
    <t>Comp 37</t>
  </si>
  <si>
    <t>Comp 38</t>
  </si>
  <si>
    <t>Comp 39</t>
  </si>
  <si>
    <t>Comp 40</t>
  </si>
  <si>
    <t>Comp 41</t>
  </si>
  <si>
    <t>Comp 42</t>
  </si>
  <si>
    <t>Comp 43</t>
  </si>
  <si>
    <t>Comp 44</t>
  </si>
  <si>
    <t>Comp 45</t>
  </si>
  <si>
    <t>Comp 46</t>
  </si>
  <si>
    <t>Comp 47</t>
  </si>
  <si>
    <t>Comp 48</t>
  </si>
  <si>
    <t>Comp 49</t>
  </si>
  <si>
    <t>Comp 50</t>
  </si>
  <si>
    <t>Comp 51</t>
  </si>
  <si>
    <t>Comp 52</t>
  </si>
  <si>
    <t>Comp 53</t>
  </si>
  <si>
    <t>Comp 54</t>
  </si>
  <si>
    <t>Comp 55</t>
  </si>
  <si>
    <t>Comp 56</t>
  </si>
  <si>
    <t>Comp 57</t>
  </si>
  <si>
    <t>Comp 58</t>
  </si>
  <si>
    <t>Comp 59</t>
  </si>
  <si>
    <t>Comp 60</t>
  </si>
  <si>
    <t>Comp 61</t>
  </si>
  <si>
    <t>Comp 62</t>
  </si>
  <si>
    <t>Comp 63</t>
  </si>
  <si>
    <t>Comp 64</t>
  </si>
  <si>
    <t>Comp 65</t>
  </si>
  <si>
    <t>Comp 66</t>
  </si>
  <si>
    <t>Comp 67</t>
  </si>
  <si>
    <t>Comp 68</t>
  </si>
  <si>
    <t>Comp 69</t>
  </si>
  <si>
    <t>Comp 70</t>
  </si>
  <si>
    <t>Comp 71</t>
  </si>
  <si>
    <t>Comp 72</t>
  </si>
  <si>
    <t>Comp 73</t>
  </si>
  <si>
    <t>Comp 74</t>
  </si>
  <si>
    <t>Comp 75</t>
  </si>
  <si>
    <t>Comp 76</t>
  </si>
  <si>
    <t>Comp 77</t>
  </si>
  <si>
    <t>Comp 78</t>
  </si>
  <si>
    <t>Comp 79</t>
  </si>
  <si>
    <t>Comp 80</t>
  </si>
  <si>
    <t>Comp 81</t>
  </si>
  <si>
    <t>Comp 82</t>
  </si>
  <si>
    <t>Comp 83</t>
  </si>
  <si>
    <t>Comp 84</t>
  </si>
  <si>
    <t>Comp 85</t>
  </si>
  <si>
    <t>Comp 86</t>
  </si>
  <si>
    <t>Comp 87</t>
  </si>
  <si>
    <t>Comp 88</t>
  </si>
  <si>
    <t>Comp 89</t>
  </si>
  <si>
    <t>Comp 90</t>
  </si>
  <si>
    <t>Comp 91</t>
  </si>
  <si>
    <t>Comp 92</t>
  </si>
  <si>
    <t>Comp 93</t>
  </si>
  <si>
    <t>Comp 94</t>
  </si>
  <si>
    <t>Comp 95</t>
  </si>
  <si>
    <t>Comp 96</t>
  </si>
  <si>
    <t>Comp 97</t>
  </si>
  <si>
    <t>Comp 98</t>
  </si>
  <si>
    <t>Comp 99</t>
  </si>
  <si>
    <t>Comp 100</t>
  </si>
  <si>
    <t>Comp 101</t>
  </si>
  <si>
    <t>Comp 102</t>
  </si>
  <si>
    <t>Comp 103</t>
  </si>
  <si>
    <t>Comp 104</t>
  </si>
  <si>
    <t>Comp 105</t>
  </si>
  <si>
    <t>Comp 106</t>
  </si>
  <si>
    <t>Comp 107</t>
  </si>
  <si>
    <t>Comp 108</t>
  </si>
  <si>
    <t>Comp 109</t>
  </si>
  <si>
    <t>Comp 110</t>
  </si>
  <si>
    <t>Comp 111</t>
  </si>
  <si>
    <t>Comp 112</t>
  </si>
  <si>
    <t>Comp 113</t>
  </si>
  <si>
    <t>Comp 114</t>
  </si>
  <si>
    <t>Comp 115</t>
  </si>
  <si>
    <t>Comp 116</t>
  </si>
  <si>
    <t>Comp 117</t>
  </si>
  <si>
    <t>Comp 118</t>
  </si>
  <si>
    <t>Comp 119</t>
  </si>
  <si>
    <t>Comp 120</t>
  </si>
  <si>
    <t>Comp 121</t>
  </si>
  <si>
    <t>Comp 122</t>
  </si>
  <si>
    <t>Comp 123</t>
  </si>
  <si>
    <t>Comp 124</t>
  </si>
  <si>
    <t>Comp 125</t>
  </si>
  <si>
    <t>Comp 126</t>
  </si>
  <si>
    <t>Comp 127</t>
  </si>
  <si>
    <t>Comp 128</t>
  </si>
  <si>
    <t>Comp 129</t>
  </si>
  <si>
    <t>Comp 130</t>
  </si>
  <si>
    <t>Comp 131</t>
  </si>
  <si>
    <t>Comp 132</t>
  </si>
  <si>
    <t>Comp 133</t>
  </si>
  <si>
    <t>Comp 134</t>
  </si>
  <si>
    <t>Comp 135</t>
  </si>
  <si>
    <t>Comp 136</t>
  </si>
  <si>
    <t>Comp 137</t>
  </si>
  <si>
    <t>Comp 138</t>
  </si>
  <si>
    <t>Comp 139</t>
  </si>
  <si>
    <t>Comp 140</t>
  </si>
  <si>
    <t>Comp 141</t>
  </si>
  <si>
    <t>Comp 142</t>
  </si>
  <si>
    <t>Comp 143</t>
  </si>
  <si>
    <t>Comp 144</t>
  </si>
  <si>
    <t>Comp 145</t>
  </si>
  <si>
    <t>Comp 146</t>
  </si>
  <si>
    <t>Comp 147</t>
  </si>
  <si>
    <t>Comp 148</t>
  </si>
  <si>
    <t>Comp 149</t>
  </si>
  <si>
    <t>Comp 150</t>
  </si>
  <si>
    <t>Comp 151</t>
  </si>
  <si>
    <t>Comp 152</t>
  </si>
  <si>
    <t>Comp 153</t>
  </si>
  <si>
    <t>Comp 154</t>
  </si>
  <si>
    <t>Comp 155</t>
  </si>
  <si>
    <t>Comp 156</t>
  </si>
  <si>
    <t>Comp 157</t>
  </si>
  <si>
    <t>Comp 158</t>
  </si>
  <si>
    <t>Comp 159</t>
  </si>
  <si>
    <t>Comp 160</t>
  </si>
  <si>
    <t>Comp 161</t>
  </si>
  <si>
    <t>Comp 162</t>
  </si>
  <si>
    <t>Comp 163</t>
  </si>
  <si>
    <t>Comp 164</t>
  </si>
  <si>
    <t>Comp 165</t>
  </si>
  <si>
    <t>Comp 166</t>
  </si>
  <si>
    <t>Comp 167</t>
  </si>
  <si>
    <t>Comp 168</t>
  </si>
  <si>
    <t>Comp 169</t>
  </si>
  <si>
    <t>Comp 170</t>
  </si>
  <si>
    <t>Comp 171</t>
  </si>
  <si>
    <t>Comp 172</t>
  </si>
  <si>
    <t>Comp 173</t>
  </si>
  <si>
    <t>Comp 174</t>
  </si>
  <si>
    <t>Comp 175</t>
  </si>
  <si>
    <t>Comp 176</t>
  </si>
  <si>
    <t>Comp 177</t>
  </si>
  <si>
    <t>Comp 178</t>
  </si>
  <si>
    <t>Comp 179</t>
  </si>
  <si>
    <t>Comp 180</t>
  </si>
  <si>
    <t>Comp 181</t>
  </si>
  <si>
    <t>Comp 182</t>
  </si>
  <si>
    <t>Comp 183</t>
  </si>
  <si>
    <t>Comp 184</t>
  </si>
  <si>
    <t>Comp 185</t>
  </si>
  <si>
    <t>Comp 186</t>
  </si>
  <si>
    <t>Comp 187</t>
  </si>
  <si>
    <t>Comp 188</t>
  </si>
  <si>
    <t>Comp 189</t>
  </si>
  <si>
    <t>Comp 190</t>
  </si>
  <si>
    <t>Comp 191</t>
  </si>
  <si>
    <t>Comp 192</t>
  </si>
  <si>
    <t>Comp 193</t>
  </si>
  <si>
    <t>Comp 194</t>
  </si>
  <si>
    <t>Comp 195</t>
  </si>
  <si>
    <t>Comp 196</t>
  </si>
  <si>
    <t>Comp 197</t>
  </si>
  <si>
    <t>Comp 198</t>
  </si>
  <si>
    <t>Comp 199</t>
  </si>
  <si>
    <t>Comp 200</t>
  </si>
  <si>
    <t>Comp 201</t>
  </si>
  <si>
    <t>Comp 202</t>
  </si>
  <si>
    <t>Comp 203</t>
  </si>
  <si>
    <t>Comp 204</t>
  </si>
  <si>
    <t>Comp 205</t>
  </si>
  <si>
    <t>Comp 206</t>
  </si>
  <si>
    <t>Comp 207</t>
  </si>
  <si>
    <t>Comp 208</t>
  </si>
  <si>
    <t>Comp 209</t>
  </si>
  <si>
    <t>Comp 210</t>
  </si>
  <si>
    <t>Comp 211</t>
  </si>
  <si>
    <t>Comp 212</t>
  </si>
  <si>
    <t>Comp 213</t>
  </si>
  <si>
    <t>Comp 214</t>
  </si>
  <si>
    <t>Comp 215</t>
  </si>
  <si>
    <t>Comp 216</t>
  </si>
  <si>
    <t>Comp 217</t>
  </si>
  <si>
    <t>Comp 218</t>
  </si>
  <si>
    <t>Comp 219</t>
  </si>
  <si>
    <t>Comp 220</t>
  </si>
  <si>
    <t>Comp 221</t>
  </si>
  <si>
    <t>Comp 222</t>
  </si>
  <si>
    <t>Comp 223</t>
  </si>
  <si>
    <t>Comp 224</t>
  </si>
  <si>
    <t>Comp 225</t>
  </si>
  <si>
    <t>Comp 226</t>
  </si>
  <si>
    <t>Comp 227</t>
  </si>
  <si>
    <t>Comp 228</t>
  </si>
  <si>
    <t>Comp 229</t>
  </si>
  <si>
    <t>Comp 230</t>
  </si>
  <si>
    <t>Comp 231</t>
  </si>
  <si>
    <t>Comp 232</t>
  </si>
  <si>
    <t>Comp 233</t>
  </si>
  <si>
    <t>Comp 234</t>
  </si>
  <si>
    <t>Comp 235</t>
  </si>
  <si>
    <t>Comp 236</t>
  </si>
  <si>
    <t>Comp 237</t>
  </si>
  <si>
    <t>Comp 238</t>
  </si>
  <si>
    <t>Comp 239</t>
  </si>
  <si>
    <t>Comp 240</t>
  </si>
  <si>
    <t>Comp 241</t>
  </si>
  <si>
    <t>Comp 242</t>
  </si>
  <si>
    <t>Comp 243</t>
  </si>
  <si>
    <t>Comp 244</t>
  </si>
  <si>
    <t>Comp 245</t>
  </si>
  <si>
    <t>Comp 246</t>
  </si>
  <si>
    <t>Comp 247</t>
  </si>
  <si>
    <t>Comp 248</t>
  </si>
  <si>
    <t>Comp 249</t>
  </si>
  <si>
    <t>Comp 250</t>
  </si>
  <si>
    <t>Comp 251</t>
  </si>
  <si>
    <t>Comp 252</t>
  </si>
  <si>
    <t>Comp 253</t>
  </si>
  <si>
    <t>Comp 254</t>
  </si>
  <si>
    <t>Comp 255</t>
  </si>
  <si>
    <t>Comp 256</t>
  </si>
  <si>
    <t>Comp 257</t>
  </si>
  <si>
    <t>Comp 258</t>
  </si>
  <si>
    <t>Comp 259</t>
  </si>
  <si>
    <t>Comp 260</t>
  </si>
  <si>
    <t>Comp 261</t>
  </si>
  <si>
    <t>Comp 262</t>
  </si>
  <si>
    <t>Comp 263</t>
  </si>
  <si>
    <t>Comp 264</t>
  </si>
  <si>
    <t>Comp 265</t>
  </si>
  <si>
    <t>Comp 266</t>
  </si>
  <si>
    <t>Comp 267</t>
  </si>
  <si>
    <t>Comp 268</t>
  </si>
  <si>
    <t>Comp 269</t>
  </si>
  <si>
    <t>Comp 270</t>
  </si>
  <si>
    <t>Comp 271</t>
  </si>
  <si>
    <t>Comp 272</t>
  </si>
  <si>
    <t>Comp 273</t>
  </si>
  <si>
    <t>Comp 274</t>
  </si>
  <si>
    <t>Comp 275</t>
  </si>
  <si>
    <t>Comp 276</t>
  </si>
  <si>
    <t>Comp 277</t>
  </si>
  <si>
    <t>Comp 278</t>
  </si>
  <si>
    <t>Comp 279</t>
  </si>
  <si>
    <t>Comp 280</t>
  </si>
  <si>
    <t>Comp 281</t>
  </si>
  <si>
    <t>Comp 282</t>
  </si>
  <si>
    <t>Comp 283</t>
  </si>
  <si>
    <t>Comp 284</t>
  </si>
  <si>
    <t>Comp 285</t>
  </si>
  <si>
    <t>Comp 286</t>
  </si>
  <si>
    <t>Comp 287</t>
  </si>
  <si>
    <t>Comp 288</t>
  </si>
  <si>
    <t>Comp 289</t>
  </si>
  <si>
    <t>Comp 290</t>
  </si>
  <si>
    <t>Comp 291</t>
  </si>
  <si>
    <t>Comp 292</t>
  </si>
  <si>
    <t>Comp 293</t>
  </si>
  <si>
    <t>Comp 294</t>
  </si>
  <si>
    <t>Comp 295</t>
  </si>
  <si>
    <t>Comp 296</t>
  </si>
  <si>
    <t>Comp 297</t>
  </si>
  <si>
    <t>Comp 298</t>
  </si>
  <si>
    <t>Comp 299</t>
  </si>
  <si>
    <t>Comp 300</t>
  </si>
  <si>
    <t>Comp 301</t>
  </si>
  <si>
    <t>Comp 302</t>
  </si>
  <si>
    <t>Comp 303</t>
  </si>
  <si>
    <t>Comp 304</t>
  </si>
  <si>
    <t>Comp 305</t>
  </si>
  <si>
    <t>Comp 306</t>
  </si>
  <si>
    <t>Comp 307</t>
  </si>
  <si>
    <t>Comp 308</t>
  </si>
  <si>
    <t>Comp 309</t>
  </si>
  <si>
    <t>Comp 310</t>
  </si>
  <si>
    <t>Comp 311</t>
  </si>
  <si>
    <t>Comp 312</t>
  </si>
  <si>
    <t>Comp 313</t>
  </si>
  <si>
    <t>Comp 314</t>
  </si>
  <si>
    <t>Comp 315</t>
  </si>
  <si>
    <t>Comp 316</t>
  </si>
  <si>
    <t>Comp 317</t>
  </si>
  <si>
    <t>Comp 318</t>
  </si>
  <si>
    <t>Comp 319</t>
  </si>
  <si>
    <t>Comp 320</t>
  </si>
  <si>
    <t>Comp 321</t>
  </si>
  <si>
    <t>Comp 322</t>
  </si>
  <si>
    <t>Comp 323</t>
  </si>
  <si>
    <t>Comp 324</t>
  </si>
  <si>
    <t>Comp 325</t>
  </si>
  <si>
    <t>Comp 326</t>
  </si>
  <si>
    <t>Comp 327</t>
  </si>
  <si>
    <t>Comp 328</t>
  </si>
  <si>
    <t>Comp 329</t>
  </si>
  <si>
    <t>Comp 330</t>
  </si>
  <si>
    <t>Comp 331</t>
  </si>
  <si>
    <t>Comp 332</t>
  </si>
  <si>
    <t>Comp 333</t>
  </si>
  <si>
    <t>Comp 334</t>
  </si>
  <si>
    <t>Comp 335</t>
  </si>
  <si>
    <t>Comp 336</t>
  </si>
  <si>
    <t>Comp 337</t>
  </si>
  <si>
    <t>Comp 338</t>
  </si>
  <si>
    <t>Comp 339</t>
  </si>
  <si>
    <t>Comp 340</t>
  </si>
  <si>
    <t>Comp 341</t>
  </si>
  <si>
    <t>Comp 342</t>
  </si>
  <si>
    <t>Comp 343</t>
  </si>
  <si>
    <t>Comp 344</t>
  </si>
  <si>
    <t>Comp 345</t>
  </si>
  <si>
    <t>Comp 346</t>
  </si>
  <si>
    <t>Comp 347</t>
  </si>
  <si>
    <t>Comp 348</t>
  </si>
  <si>
    <t>Comp 349</t>
  </si>
  <si>
    <t>Comp 350</t>
  </si>
  <si>
    <t>Comp 351</t>
  </si>
  <si>
    <t>Comp 352</t>
  </si>
  <si>
    <t>Comp 353</t>
  </si>
  <si>
    <t>Comp 354</t>
  </si>
  <si>
    <t>Comp 355</t>
  </si>
  <si>
    <t>Comp 356</t>
  </si>
  <si>
    <t>Comp 357</t>
  </si>
  <si>
    <t>Comp 358</t>
  </si>
  <si>
    <t>Comp 359</t>
  </si>
  <si>
    <t>Comp 360</t>
  </si>
  <si>
    <t>Comp 361</t>
  </si>
  <si>
    <t>Comp 362</t>
  </si>
  <si>
    <t>Comp 363</t>
  </si>
  <si>
    <t>Comp 364</t>
  </si>
  <si>
    <t>Comp 365</t>
  </si>
  <si>
    <t>Comp 366</t>
  </si>
  <si>
    <t>Comp 367</t>
  </si>
  <si>
    <t>Comp 368</t>
  </si>
  <si>
    <t>Comp 369</t>
  </si>
  <si>
    <t>Comp 370</t>
  </si>
  <si>
    <t>Comp 371</t>
  </si>
  <si>
    <t>Comp 372</t>
  </si>
  <si>
    <t>Comp 373</t>
  </si>
  <si>
    <t>Comp 374</t>
  </si>
  <si>
    <t>Comp 375</t>
  </si>
  <si>
    <t>Comp 376</t>
  </si>
  <si>
    <t>Comp 377</t>
  </si>
  <si>
    <t>Comp 378</t>
  </si>
  <si>
    <t>Comp 379</t>
  </si>
  <si>
    <t>Comp 380</t>
  </si>
  <si>
    <t>Comp 381</t>
  </si>
  <si>
    <t>Comp 382</t>
  </si>
  <si>
    <t>Comp 383</t>
  </si>
  <si>
    <t>Comp 384</t>
  </si>
  <si>
    <t>Comp 385</t>
  </si>
  <si>
    <t>Comp 386</t>
  </si>
  <si>
    <t>Comp 387</t>
  </si>
  <si>
    <t>Comp 388</t>
  </si>
  <si>
    <t>Comp 389</t>
  </si>
  <si>
    <t>Comp 390</t>
  </si>
  <si>
    <t>Comp 391</t>
  </si>
  <si>
    <t>Comp 392</t>
  </si>
  <si>
    <t>Comp 393</t>
  </si>
  <si>
    <t>Comp 394</t>
  </si>
  <si>
    <t>Comp 395</t>
  </si>
  <si>
    <t>Comp 396</t>
  </si>
  <si>
    <t>Comp 397</t>
  </si>
  <si>
    <t>Comp 398</t>
  </si>
  <si>
    <t>Comp 399</t>
  </si>
  <si>
    <t>Comp 400</t>
  </si>
  <si>
    <t>Comp 401</t>
  </si>
  <si>
    <t>Comp 402</t>
  </si>
  <si>
    <t>Comp 403</t>
  </si>
  <si>
    <t>Comp 404</t>
  </si>
  <si>
    <t>Comp 405</t>
  </si>
  <si>
    <t>Comp 406</t>
  </si>
  <si>
    <t>Comp 407</t>
  </si>
  <si>
    <t>Comp 408</t>
  </si>
  <si>
    <t>Comp 409</t>
  </si>
  <si>
    <t>Comp 410</t>
  </si>
  <si>
    <t>Comp 411</t>
  </si>
  <si>
    <t>Comp 412</t>
  </si>
  <si>
    <t>Comp 413</t>
  </si>
  <si>
    <t>Comp 414</t>
  </si>
  <si>
    <t>Comp 415</t>
  </si>
  <si>
    <t>Comp 416</t>
  </si>
  <si>
    <t>Comp 417</t>
  </si>
  <si>
    <t>Comp 418</t>
  </si>
  <si>
    <t>Comp 419</t>
  </si>
  <si>
    <t>Comp 420</t>
  </si>
  <si>
    <t>Comp 421</t>
  </si>
  <si>
    <t>Comp 422</t>
  </si>
  <si>
    <t>Comp 423</t>
  </si>
  <si>
    <t>Comp 424</t>
  </si>
  <si>
    <t>Comp 425</t>
  </si>
  <si>
    <t>Comp 426</t>
  </si>
  <si>
    <t>Comp 427</t>
  </si>
  <si>
    <t>Comp 428</t>
  </si>
  <si>
    <t>Comp 429</t>
  </si>
  <si>
    <t>Comp 430</t>
  </si>
  <si>
    <t>Comp 431</t>
  </si>
  <si>
    <t>Comp 432</t>
  </si>
  <si>
    <t>Comp 433</t>
  </si>
  <si>
    <t>Comp 434</t>
  </si>
  <si>
    <t>Comp 435</t>
  </si>
  <si>
    <t>Comp 436</t>
  </si>
  <si>
    <t>Comp 437</t>
  </si>
  <si>
    <t>Comp 438</t>
  </si>
  <si>
    <t>Comp 439</t>
  </si>
  <si>
    <t>Comp 440</t>
  </si>
  <si>
    <t>Comp 441</t>
  </si>
  <si>
    <t>Comp 442</t>
  </si>
  <si>
    <t>Comp 443</t>
  </si>
  <si>
    <t>Comp 444</t>
  </si>
  <si>
    <t>Comp 445</t>
  </si>
  <si>
    <t>Comp 446</t>
  </si>
  <si>
    <t>Comp 447</t>
  </si>
  <si>
    <t>Comp 448</t>
  </si>
  <si>
    <t>Comp 449</t>
  </si>
  <si>
    <t>Comp 450</t>
  </si>
  <si>
    <t>Comp 451</t>
  </si>
  <si>
    <t>Comp 452</t>
  </si>
  <si>
    <t>Comp 453</t>
  </si>
  <si>
    <t>Comp 454</t>
  </si>
  <si>
    <t>Comp 455</t>
  </si>
  <si>
    <t>Comp 456</t>
  </si>
  <si>
    <t>Comp 457</t>
  </si>
  <si>
    <t>Comp 458</t>
  </si>
  <si>
    <t>Comp 459</t>
  </si>
  <si>
    <t>Comp 460</t>
  </si>
  <si>
    <t>Comp 461</t>
  </si>
  <si>
    <t>Comp 462</t>
  </si>
  <si>
    <t>Comp 463</t>
  </si>
  <si>
    <t>Comp 464</t>
  </si>
  <si>
    <t>Comp 465</t>
  </si>
  <si>
    <t>Comp 466</t>
  </si>
  <si>
    <t>Comp 467</t>
  </si>
  <si>
    <t>Comp 468</t>
  </si>
  <si>
    <t>Comp 469</t>
  </si>
  <si>
    <t>Comp 470</t>
  </si>
  <si>
    <t>Comp 471</t>
  </si>
  <si>
    <t>Comp 472</t>
  </si>
  <si>
    <t>Comp 473</t>
  </si>
  <si>
    <t>Comp 474</t>
  </si>
  <si>
    <t>Comp 475</t>
  </si>
  <si>
    <t>Comp 476</t>
  </si>
  <si>
    <t>Comp 477</t>
  </si>
  <si>
    <t>Comp 478</t>
  </si>
  <si>
    <t>Comp 479</t>
  </si>
  <si>
    <t>Comp 480</t>
  </si>
  <si>
    <t>Comp 481</t>
  </si>
  <si>
    <t>Comp 482</t>
  </si>
  <si>
    <t>Comp 483</t>
  </si>
  <si>
    <t>Comp 484</t>
  </si>
  <si>
    <t>Comp 485</t>
  </si>
  <si>
    <t>Comp 486</t>
  </si>
  <si>
    <t>Comp 487</t>
  </si>
  <si>
    <t>Comp 488</t>
  </si>
  <si>
    <t>Comp 489</t>
  </si>
  <si>
    <t>Comp 490</t>
  </si>
  <si>
    <t>Comp 491</t>
  </si>
  <si>
    <t>Comp 492</t>
  </si>
  <si>
    <t>Comp 493</t>
  </si>
  <si>
    <t>Comp 494</t>
  </si>
  <si>
    <t>Comp 495</t>
  </si>
  <si>
    <t>Comp 496</t>
  </si>
  <si>
    <t>Comp 497</t>
  </si>
  <si>
    <t>Comp 498</t>
  </si>
  <si>
    <t>Comp 499</t>
  </si>
  <si>
    <t>Comp 500</t>
  </si>
  <si>
    <t>Comp 501</t>
  </si>
  <si>
    <t>Comp 502</t>
  </si>
  <si>
    <t>Comp 503</t>
  </si>
  <si>
    <t>Comp 504</t>
  </si>
  <si>
    <t>Comp 505</t>
  </si>
  <si>
    <t>Comp 506</t>
  </si>
  <si>
    <t>Comp 507</t>
  </si>
  <si>
    <t>Comp 508</t>
  </si>
  <si>
    <t>Comp 509</t>
  </si>
  <si>
    <t>Comp 510</t>
  </si>
  <si>
    <t>Comp 511</t>
  </si>
  <si>
    <t>Comp 512</t>
  </si>
  <si>
    <t>Comp 513</t>
  </si>
  <si>
    <t>Comp 514</t>
  </si>
  <si>
    <t>Comp 515</t>
  </si>
  <si>
    <t>Comp 516</t>
  </si>
  <si>
    <t>Comp 517</t>
  </si>
  <si>
    <t>Comp 518</t>
  </si>
  <si>
    <t>Comp 519</t>
  </si>
  <si>
    <t>Comp 520</t>
  </si>
  <si>
    <t>Comp 521</t>
  </si>
  <si>
    <t>Comp 522</t>
  </si>
  <si>
    <t>Comp 523</t>
  </si>
  <si>
    <t>Comp 524</t>
  </si>
  <si>
    <t>Comp 525</t>
  </si>
  <si>
    <t>Comp 526</t>
  </si>
  <si>
    <t>Comp 527</t>
  </si>
  <si>
    <t>Comp 528</t>
  </si>
  <si>
    <t>Comp 529</t>
  </si>
  <si>
    <t>Comp 530</t>
  </si>
  <si>
    <t>Comp 531</t>
  </si>
  <si>
    <t>Comp 532</t>
  </si>
  <si>
    <t>Comp 533</t>
  </si>
  <si>
    <t>Comp 534</t>
  </si>
  <si>
    <t>Comp 535</t>
  </si>
  <si>
    <t>Comp 536</t>
  </si>
  <si>
    <t>Comp 537</t>
  </si>
  <si>
    <t>Comp 538</t>
  </si>
  <si>
    <t>Comp 539</t>
  </si>
  <si>
    <t>Comp 540</t>
  </si>
  <si>
    <t>Comp 541</t>
  </si>
  <si>
    <t>Comp 542</t>
  </si>
  <si>
    <t>Comp 543</t>
  </si>
  <si>
    <t>Comp 544</t>
  </si>
  <si>
    <t>Comp 545</t>
  </si>
  <si>
    <t>Comp 546</t>
  </si>
  <si>
    <t>Comp 547</t>
  </si>
  <si>
    <t>Comp 548</t>
  </si>
  <si>
    <t>Comp 549</t>
  </si>
  <si>
    <t>Comp 550</t>
  </si>
  <si>
    <t>Comp 551</t>
  </si>
  <si>
    <t>Comp 552</t>
  </si>
  <si>
    <t>Comp 553</t>
  </si>
  <si>
    <t>Comp 554</t>
  </si>
  <si>
    <t>Comp 555</t>
  </si>
  <si>
    <t>Comp 556</t>
  </si>
  <si>
    <t>Comp 557</t>
  </si>
  <si>
    <t>Comp 558</t>
  </si>
  <si>
    <t>Comp 559</t>
  </si>
  <si>
    <t>Comp 560</t>
  </si>
  <si>
    <t>Comp 561</t>
  </si>
  <si>
    <t>Comp 562</t>
  </si>
  <si>
    <t>Comp 563</t>
  </si>
  <si>
    <t>Comp 564</t>
  </si>
  <si>
    <t>Comp 565</t>
  </si>
  <si>
    <t>Comp 566</t>
  </si>
  <si>
    <t>Comp 567</t>
  </si>
  <si>
    <t>Comp 568</t>
  </si>
  <si>
    <t>Comp 569</t>
  </si>
  <si>
    <t>Comp 570</t>
  </si>
  <si>
    <t>Comp 571</t>
  </si>
  <si>
    <t>Comp 572</t>
  </si>
  <si>
    <t>Comp 573</t>
  </si>
  <si>
    <t>Comp 574</t>
  </si>
  <si>
    <t>Comp 575</t>
  </si>
  <si>
    <t>Comp 576</t>
  </si>
  <si>
    <t>Comp 577</t>
  </si>
  <si>
    <t>Comp 578</t>
  </si>
  <si>
    <t>Comp 579</t>
  </si>
  <si>
    <t>Comp 580</t>
  </si>
  <si>
    <t>Comp 581</t>
  </si>
  <si>
    <t>Comp 582</t>
  </si>
  <si>
    <t>Comp 583</t>
  </si>
  <si>
    <t>Comp 584</t>
  </si>
  <si>
    <t>Comp 585</t>
  </si>
  <si>
    <t>Comp 586</t>
  </si>
  <si>
    <t>Comp 587</t>
  </si>
  <si>
    <t>Comp 588</t>
  </si>
  <si>
    <t>Comp 589</t>
  </si>
  <si>
    <t>Comp 590</t>
  </si>
  <si>
    <t>Comp 591</t>
  </si>
  <si>
    <t>Comp 592</t>
  </si>
  <si>
    <t>Comp 593</t>
  </si>
  <si>
    <t>Comp 594</t>
  </si>
  <si>
    <t>Comp 595</t>
  </si>
  <si>
    <t>Comp 596</t>
  </si>
  <si>
    <t>Comp 597</t>
  </si>
  <si>
    <t>Comp 598</t>
  </si>
  <si>
    <t>Comp 599</t>
  </si>
  <si>
    <t>Comp 600</t>
  </si>
  <si>
    <t>Comp 601</t>
  </si>
  <si>
    <t>Comp 602</t>
  </si>
  <si>
    <t>Comp 603</t>
  </si>
  <si>
    <t>Comp 604</t>
  </si>
  <si>
    <t>Comp 605</t>
  </si>
  <si>
    <t>Comp 606</t>
  </si>
  <si>
    <t>Comp 607</t>
  </si>
  <si>
    <t>Comp 608</t>
  </si>
  <si>
    <t>Comp 609</t>
  </si>
  <si>
    <t>Comp 610</t>
  </si>
  <si>
    <t>Comp 611</t>
  </si>
  <si>
    <t>Comp 612</t>
  </si>
  <si>
    <t>Comp 613</t>
  </si>
  <si>
    <t>Comp 614</t>
  </si>
  <si>
    <t>Comp 615</t>
  </si>
  <si>
    <t>Comp 616</t>
  </si>
  <si>
    <t>Comp 617</t>
  </si>
  <si>
    <t>Comp 618</t>
  </si>
  <si>
    <t>Comp 619</t>
  </si>
  <si>
    <t>Comp 620</t>
  </si>
  <si>
    <t>Comp 621</t>
  </si>
  <si>
    <t>Comp 622</t>
  </si>
  <si>
    <t>Comp 623</t>
  </si>
  <si>
    <t>Comp 624</t>
  </si>
  <si>
    <t>Comp 625</t>
  </si>
  <si>
    <t>Comp 626</t>
  </si>
  <si>
    <t>Comp 627</t>
  </si>
  <si>
    <t>Comp 628</t>
  </si>
  <si>
    <t>Comp 629</t>
  </si>
  <si>
    <t>Comp 630</t>
  </si>
  <si>
    <t>Comp 631</t>
  </si>
  <si>
    <t>Comp 632</t>
  </si>
  <si>
    <t>Comp 633</t>
  </si>
  <si>
    <t>Comp 634</t>
  </si>
  <si>
    <t>Comp 635</t>
  </si>
  <si>
    <t>Comp 636</t>
  </si>
  <si>
    <t>Comp 637</t>
  </si>
  <si>
    <t>Comp 638</t>
  </si>
  <si>
    <t>Comp 639</t>
  </si>
  <si>
    <t>Comp 640</t>
  </si>
  <si>
    <t>Comp 641</t>
  </si>
  <si>
    <t>Comp 642</t>
  </si>
  <si>
    <t>Comp 643</t>
  </si>
  <si>
    <t>Comp 644</t>
  </si>
  <si>
    <t>Comp 645</t>
  </si>
  <si>
    <t>Comp 646</t>
  </si>
  <si>
    <t>Comp 647</t>
  </si>
  <si>
    <t>Comp 648</t>
  </si>
  <si>
    <t>Comp 649</t>
  </si>
  <si>
    <t>Comp 650</t>
  </si>
  <si>
    <t>Comp 651</t>
  </si>
  <si>
    <t>Comp 653</t>
  </si>
  <si>
    <t>Comp 654</t>
  </si>
  <si>
    <t>Comp 655</t>
  </si>
  <si>
    <t>Comp 656</t>
  </si>
  <si>
    <t>Comp 657</t>
  </si>
  <si>
    <t>Comp 658</t>
  </si>
  <si>
    <t>Comp 659</t>
  </si>
  <si>
    <t>Comp 660</t>
  </si>
  <si>
    <t>Comp 661</t>
  </si>
  <si>
    <t>Comp 662</t>
  </si>
  <si>
    <t>Comp 663</t>
  </si>
  <si>
    <t>Comp 664</t>
  </si>
  <si>
    <t>Comp 665</t>
  </si>
  <si>
    <t>Comp 666</t>
  </si>
  <si>
    <t>Comp 667</t>
  </si>
  <si>
    <t>Comp 668</t>
  </si>
  <si>
    <t>Comp 669</t>
  </si>
  <si>
    <t>Comp 670</t>
  </si>
  <si>
    <t>Comp 671</t>
  </si>
  <si>
    <t>Comp 672</t>
  </si>
  <si>
    <t>Comp 673</t>
  </si>
  <si>
    <t>Comp 674</t>
  </si>
  <si>
    <t>Comp 675</t>
  </si>
  <si>
    <t>Comp 676</t>
  </si>
  <si>
    <t>Comp 677</t>
  </si>
  <si>
    <t>Comp 678</t>
  </si>
  <si>
    <t>Comp 679</t>
  </si>
  <si>
    <t>Comp 680</t>
  </si>
  <si>
    <t>Comp 681</t>
  </si>
  <si>
    <t>Comp 682</t>
  </si>
  <si>
    <t>Comp 683</t>
  </si>
  <si>
    <t>Comp 684</t>
  </si>
  <si>
    <t>Comp 685</t>
  </si>
  <si>
    <t>Comp 686</t>
  </si>
  <si>
    <t>Comp 687</t>
  </si>
  <si>
    <t>Comp 688</t>
  </si>
  <si>
    <t>Comp 689</t>
  </si>
  <si>
    <t>Comp 690</t>
  </si>
  <si>
    <t>Comp 691</t>
  </si>
  <si>
    <t>Comp 692</t>
  </si>
  <si>
    <t>Comp 693</t>
  </si>
  <si>
    <t>Comp 694</t>
  </si>
  <si>
    <t>Comp 695</t>
  </si>
  <si>
    <t>Comp 696</t>
  </si>
  <si>
    <t>Comp 697</t>
  </si>
  <si>
    <t>Comp 698</t>
  </si>
  <si>
    <t>Comp 699</t>
  </si>
  <si>
    <t>Comp 700</t>
  </si>
  <si>
    <t>Comp 701</t>
  </si>
  <si>
    <t>Comp 702</t>
  </si>
  <si>
    <t>Comp 703</t>
  </si>
  <si>
    <t>Comp 704</t>
  </si>
  <si>
    <t>Comp 705</t>
  </si>
  <si>
    <t>Comp 706</t>
  </si>
  <si>
    <t>Comp 707</t>
  </si>
  <si>
    <t>Comp 708</t>
  </si>
  <si>
    <t>Comp 709</t>
  </si>
  <si>
    <t>Comp 710</t>
  </si>
  <si>
    <t>Comp 711</t>
  </si>
  <si>
    <t>Comp 712</t>
  </si>
  <si>
    <t>Comp 713</t>
  </si>
  <si>
    <t>Comp 714</t>
  </si>
  <si>
    <t>Comp 715</t>
  </si>
  <si>
    <t>Comp 716</t>
  </si>
  <si>
    <t>Comp 717</t>
  </si>
  <si>
    <t>Comp 718</t>
  </si>
  <si>
    <t>Comp 719</t>
  </si>
  <si>
    <t>Comp 720</t>
  </si>
  <si>
    <t>Comp 721</t>
  </si>
  <si>
    <t>Comp 722</t>
  </si>
  <si>
    <t>Comp 723</t>
  </si>
  <si>
    <t>Comp 724</t>
  </si>
  <si>
    <t>Comp 725</t>
  </si>
  <si>
    <t>Comp 726</t>
  </si>
  <si>
    <t>Comp 727</t>
  </si>
  <si>
    <t>Comp 728</t>
  </si>
  <si>
    <t>Comp 729</t>
  </si>
  <si>
    <t>Comp 730</t>
  </si>
  <si>
    <t>Comp 731</t>
  </si>
  <si>
    <t>Comp 732</t>
  </si>
  <si>
    <t>Comp 733</t>
  </si>
  <si>
    <t>Comp 734</t>
  </si>
  <si>
    <t>Comp 735</t>
  </si>
  <si>
    <t>Comp 736</t>
  </si>
  <si>
    <t>Comp 737</t>
  </si>
  <si>
    <t>Comp 738</t>
  </si>
  <si>
    <t>Comp 739</t>
  </si>
  <si>
    <t>Comp 740</t>
  </si>
  <si>
    <t>Comp 741</t>
  </si>
  <si>
    <t>Comp 742</t>
  </si>
  <si>
    <t>Comp 743</t>
  </si>
  <si>
    <t>Comp 744</t>
  </si>
  <si>
    <t>Comp 745</t>
  </si>
  <si>
    <t>Comp 746</t>
  </si>
  <si>
    <t>Comp 747</t>
  </si>
  <si>
    <t>Comp 748</t>
  </si>
  <si>
    <t>Comp 749</t>
  </si>
  <si>
    <t>Comp 750</t>
  </si>
  <si>
    <t>Comp 751</t>
  </si>
  <si>
    <t>Comp 752</t>
  </si>
  <si>
    <t>Comp 753</t>
  </si>
  <si>
    <t>Comp 754</t>
  </si>
  <si>
    <t>Comp 755</t>
  </si>
  <si>
    <t>Comp 756</t>
  </si>
  <si>
    <t>Comp 757</t>
  </si>
  <si>
    <t>Comp 758</t>
  </si>
  <si>
    <t>Comp 759</t>
  </si>
  <si>
    <t>Comp 760</t>
  </si>
  <si>
    <t>Comp 761</t>
  </si>
  <si>
    <t>Comp 762</t>
  </si>
  <si>
    <t>Comp 763</t>
  </si>
  <si>
    <t>Comp 764</t>
  </si>
  <si>
    <t>Comp 765</t>
  </si>
  <si>
    <t>Comp 766</t>
  </si>
  <si>
    <t>Comp 767</t>
  </si>
  <si>
    <t>Comp 768</t>
  </si>
  <si>
    <t>Comp 769</t>
  </si>
  <si>
    <t>Comp 770</t>
  </si>
  <si>
    <t>Comp 771</t>
  </si>
  <si>
    <t>Comp 772</t>
  </si>
  <si>
    <t>Comp 773</t>
  </si>
  <si>
    <t>Comp 774</t>
  </si>
  <si>
    <t>Comp 775</t>
  </si>
  <si>
    <t>Comp 776</t>
  </si>
  <si>
    <t>Comp 777</t>
  </si>
  <si>
    <t>Comp 778</t>
  </si>
  <si>
    <t>Comp 779</t>
  </si>
  <si>
    <t>Comp 780</t>
  </si>
  <si>
    <t>Comp 781</t>
  </si>
  <si>
    <t>Comp 782</t>
  </si>
  <si>
    <t>Comp 783</t>
  </si>
  <si>
    <t>Comp 784</t>
  </si>
  <si>
    <t>Comp 785</t>
  </si>
  <si>
    <t>Comp 786</t>
  </si>
  <si>
    <t>Comp 787</t>
  </si>
  <si>
    <t>Comp 788</t>
  </si>
  <si>
    <t>Comp 789</t>
  </si>
  <si>
    <t>Comp 790</t>
  </si>
  <si>
    <t>Comp 791</t>
  </si>
  <si>
    <t>Comp 792</t>
  </si>
  <si>
    <t>Comp 793</t>
  </si>
  <si>
    <t>Comp 794</t>
  </si>
  <si>
    <t>Comp 795</t>
  </si>
  <si>
    <t>Comp 796</t>
  </si>
  <si>
    <t>Comp 797</t>
  </si>
  <si>
    <t>Comp 798</t>
  </si>
  <si>
    <t>Comp 799</t>
  </si>
  <si>
    <t>Comp 800</t>
  </si>
  <si>
    <t>Comp 801</t>
  </si>
  <si>
    <t>Comp 802</t>
  </si>
  <si>
    <t>Comp 803</t>
  </si>
  <si>
    <t>Comp 804</t>
  </si>
  <si>
    <t>Comp 805</t>
  </si>
  <si>
    <t>Comp 806</t>
  </si>
  <si>
    <t>Comp 807</t>
  </si>
  <si>
    <t>Comp 808</t>
  </si>
  <si>
    <t>Comp 809</t>
  </si>
  <si>
    <t>Comp 810</t>
  </si>
  <si>
    <t>Comp 811</t>
  </si>
  <si>
    <t>Comp 812</t>
  </si>
  <si>
    <t>Comp 813</t>
  </si>
  <si>
    <t>Comp 814</t>
  </si>
  <si>
    <t>Comp 815</t>
  </si>
  <si>
    <t>Comp 816</t>
  </si>
  <si>
    <t>Comp 817</t>
  </si>
  <si>
    <t>Comp 818</t>
  </si>
  <si>
    <t>Comp 819</t>
  </si>
  <si>
    <t>Comp 820</t>
  </si>
  <si>
    <t>Comp 821</t>
  </si>
  <si>
    <t>Comp 822</t>
  </si>
  <si>
    <t>Comp 823</t>
  </si>
  <si>
    <t>Comp 824</t>
  </si>
  <si>
    <t>Comp 825</t>
  </si>
  <si>
    <t>Comp 826</t>
  </si>
  <si>
    <t>Comp 827</t>
  </si>
  <si>
    <t>Comp 828</t>
  </si>
  <si>
    <t>Comp 829</t>
  </si>
  <si>
    <t>Comp 830</t>
  </si>
  <si>
    <t>Comp 831</t>
  </si>
  <si>
    <t>Comp 832</t>
  </si>
  <si>
    <t>Comp 833</t>
  </si>
  <si>
    <t>Comp 834</t>
  </si>
  <si>
    <t>Comp 835</t>
  </si>
  <si>
    <t>Comp 836</t>
  </si>
  <si>
    <t>Comp 837</t>
  </si>
  <si>
    <t>Comp 838</t>
  </si>
  <si>
    <t>Comp 839</t>
  </si>
  <si>
    <t>Comp 840</t>
  </si>
  <si>
    <t>Comp 841</t>
  </si>
  <si>
    <t>Comp 842</t>
  </si>
  <si>
    <t>Comp 843</t>
  </si>
  <si>
    <t>Comp 844</t>
  </si>
  <si>
    <t>Comp 845</t>
  </si>
  <si>
    <t>Comp 846</t>
  </si>
  <si>
    <t>Comp 847</t>
  </si>
  <si>
    <t>Comp 848</t>
  </si>
  <si>
    <t>Comp 849</t>
  </si>
  <si>
    <t>Comp 850</t>
  </si>
  <si>
    <t>Comp 851</t>
  </si>
  <si>
    <t>Comp 852</t>
  </si>
  <si>
    <t>Comp 853</t>
  </si>
  <si>
    <t>Comp 854</t>
  </si>
  <si>
    <t>Comp 855</t>
  </si>
  <si>
    <t>Comp 856</t>
  </si>
  <si>
    <t>Comp 857</t>
  </si>
  <si>
    <t>Comp 858</t>
  </si>
  <si>
    <t>Comp 859</t>
  </si>
  <si>
    <t>Comp 860</t>
  </si>
  <si>
    <t>Comp 861</t>
  </si>
  <si>
    <t>Comp 862</t>
  </si>
  <si>
    <t>Comp 863</t>
  </si>
  <si>
    <t>Comp 864</t>
  </si>
  <si>
    <t>Comp 865</t>
  </si>
  <si>
    <t>Comp 866</t>
  </si>
  <si>
    <t>Comp 867</t>
  </si>
  <si>
    <t>Comp 868</t>
  </si>
  <si>
    <t>Comp 869</t>
  </si>
  <si>
    <t>Comp 870</t>
  </si>
  <si>
    <t>Comp 871</t>
  </si>
  <si>
    <t>Comp 872</t>
  </si>
  <si>
    <t>Comp 873</t>
  </si>
  <si>
    <t>Comp 874</t>
  </si>
  <si>
    <t>Comp 875</t>
  </si>
  <si>
    <t>Comp 876</t>
  </si>
  <si>
    <t>Comp 877</t>
  </si>
  <si>
    <t>Comp 878</t>
  </si>
  <si>
    <t>Comp 879</t>
  </si>
  <si>
    <t>Comp 880</t>
  </si>
  <si>
    <t>Comp 881</t>
  </si>
  <si>
    <t>Comp 882</t>
  </si>
  <si>
    <t>Comp 883</t>
  </si>
  <si>
    <t>Comp 884</t>
  </si>
  <si>
    <t>Comp 885</t>
  </si>
  <si>
    <t>Comp 886</t>
  </si>
  <si>
    <t>Comp 887</t>
  </si>
  <si>
    <t>Comp 888</t>
  </si>
  <si>
    <t>Comp 889</t>
  </si>
  <si>
    <t>Comp 890</t>
  </si>
  <si>
    <t>Comp 891</t>
  </si>
  <si>
    <t>Comp 892</t>
  </si>
  <si>
    <t>Comp 893</t>
  </si>
  <si>
    <t>Comp 894</t>
  </si>
  <si>
    <t>Comp 895</t>
  </si>
  <si>
    <t>Comp 896</t>
  </si>
  <si>
    <t>Comp 897</t>
  </si>
  <si>
    <t>Comp 898</t>
  </si>
  <si>
    <t>Comp 899</t>
  </si>
  <si>
    <t>Comp 900</t>
  </si>
  <si>
    <t>Comp 901</t>
  </si>
  <si>
    <t>Comp 902</t>
  </si>
  <si>
    <t>Comp 903</t>
  </si>
  <si>
    <t>Comp 904</t>
  </si>
  <si>
    <t>Comp 905</t>
  </si>
  <si>
    <t>Comp 906</t>
  </si>
  <si>
    <t>Comp 907</t>
  </si>
  <si>
    <t>Comp 908</t>
  </si>
  <si>
    <t>Comp 909</t>
  </si>
  <si>
    <t>Comp 910</t>
  </si>
  <si>
    <t>Comp 912</t>
  </si>
  <si>
    <t>Comp 913</t>
  </si>
  <si>
    <t>Comp 914</t>
  </si>
  <si>
    <t>Comp 915</t>
  </si>
  <si>
    <t>Comp 916</t>
  </si>
  <si>
    <t>Comp 917</t>
  </si>
  <si>
    <t>Comp 918</t>
  </si>
  <si>
    <t>Comp 920</t>
  </si>
  <si>
    <t>Comp 921</t>
  </si>
  <si>
    <t>Comp 922</t>
  </si>
  <si>
    <t>Comp 923</t>
  </si>
  <si>
    <t>Comp 924</t>
  </si>
  <si>
    <t>Comp 925</t>
  </si>
  <si>
    <t>Comp 927</t>
  </si>
  <si>
    <t>Comp 928</t>
  </si>
  <si>
    <t>Comp 929</t>
  </si>
  <si>
    <t>Comp 930</t>
  </si>
  <si>
    <t>Comp 931</t>
  </si>
  <si>
    <t>Comp 932</t>
  </si>
  <si>
    <t>Comp 933</t>
  </si>
  <si>
    <t>Comp 934</t>
  </si>
  <si>
    <t>Comp 935</t>
  </si>
  <si>
    <t>Comp 936</t>
  </si>
  <si>
    <t>Comp 937</t>
  </si>
  <si>
    <t>Comp 938</t>
  </si>
  <si>
    <t>Comp 939</t>
  </si>
  <si>
    <t>Comp 940</t>
  </si>
  <si>
    <t>Comp 941</t>
  </si>
  <si>
    <t>Comp 942</t>
  </si>
  <si>
    <t>Comp 943</t>
  </si>
  <si>
    <t>Comp 944</t>
  </si>
  <si>
    <t>Comp 945</t>
  </si>
  <si>
    <t>Comp 946</t>
  </si>
  <si>
    <t>Comp 947</t>
  </si>
  <si>
    <t>Comp 948</t>
  </si>
  <si>
    <t>Comp 949</t>
  </si>
  <si>
    <t>Comp 950</t>
  </si>
  <si>
    <t>Comp 951</t>
  </si>
  <si>
    <t>Comp 952</t>
  </si>
  <si>
    <t>Comp 953</t>
  </si>
  <si>
    <t>Comp 954</t>
  </si>
  <si>
    <t>Comp 955</t>
  </si>
  <si>
    <t>Comp 956</t>
  </si>
  <si>
    <t>Comp 957</t>
  </si>
  <si>
    <t>Comp 958</t>
  </si>
  <si>
    <t>Comp 959</t>
  </si>
  <si>
    <t>Comp 960</t>
  </si>
  <si>
    <t>Comp 961</t>
  </si>
  <si>
    <t>Comp 962</t>
  </si>
  <si>
    <t>Comp 963</t>
  </si>
  <si>
    <t>Comp 964</t>
  </si>
  <si>
    <t>Comp 965</t>
  </si>
  <si>
    <t>Comp 966</t>
  </si>
  <si>
    <t>Comp 967</t>
  </si>
  <si>
    <t>Comp 968</t>
  </si>
  <si>
    <t>Comp 969</t>
  </si>
  <si>
    <t>Comp 970</t>
  </si>
  <si>
    <t>Comp 971</t>
  </si>
  <si>
    <t>Comp 972</t>
  </si>
  <si>
    <t>Comp 973</t>
  </si>
  <si>
    <t>Comp 974</t>
  </si>
  <si>
    <t>Comp 975</t>
  </si>
  <si>
    <t>Comp 976</t>
  </si>
  <si>
    <t>Comp 977</t>
  </si>
  <si>
    <t>Comp 978</t>
  </si>
  <si>
    <t>Comp 979</t>
  </si>
  <si>
    <t>Comp 980</t>
  </si>
  <si>
    <t>Comp 981</t>
  </si>
  <si>
    <t>Comp 982</t>
  </si>
  <si>
    <t>Comp 983</t>
  </si>
  <si>
    <t>Comp 984</t>
  </si>
  <si>
    <t>Comp 985</t>
  </si>
  <si>
    <t>Comp 986</t>
  </si>
  <si>
    <t>Comp 987</t>
  </si>
  <si>
    <t>Comp 988</t>
  </si>
  <si>
    <t>Comp 989</t>
  </si>
  <si>
    <t>Comp 990</t>
  </si>
  <si>
    <t>Comp 991</t>
  </si>
  <si>
    <t>Comp 992</t>
  </si>
  <si>
    <t>Comp 993</t>
  </si>
  <si>
    <t>Comp 994</t>
  </si>
  <si>
    <t>Comp 995</t>
  </si>
  <si>
    <t>Comp 996</t>
  </si>
  <si>
    <t>Comp 997</t>
  </si>
  <si>
    <t>Comp 998</t>
  </si>
  <si>
    <t>Comp 999</t>
  </si>
  <si>
    <t>Comp 1000</t>
  </si>
  <si>
    <t>Comp 1001</t>
  </si>
  <si>
    <t>Comp 1002</t>
  </si>
  <si>
    <t>Comp 1003</t>
  </si>
  <si>
    <t>Comp 1004</t>
  </si>
  <si>
    <t>Comp 1005</t>
  </si>
  <si>
    <t>Comp 1006</t>
  </si>
  <si>
    <t>Comp 1007</t>
  </si>
  <si>
    <t>Comp 1008</t>
  </si>
  <si>
    <t>Comp 1009</t>
  </si>
  <si>
    <t>Comp 1010</t>
  </si>
  <si>
    <t>Comp 1011</t>
  </si>
  <si>
    <t>Comp 1012</t>
  </si>
  <si>
    <t>Comp 1013</t>
  </si>
  <si>
    <t>Comp 1014</t>
  </si>
  <si>
    <t>Comp 1015</t>
  </si>
  <si>
    <t>Comp 1016</t>
  </si>
  <si>
    <t>Comp 1017</t>
  </si>
  <si>
    <t>Comp 1018</t>
  </si>
  <si>
    <t>Comp 1019</t>
  </si>
  <si>
    <t>Comp 1020</t>
  </si>
  <si>
    <t>Comp 1021</t>
  </si>
  <si>
    <t>Comp 1022</t>
  </si>
  <si>
    <t>Comp 1023</t>
  </si>
  <si>
    <t>Comp 1024</t>
  </si>
  <si>
    <t>Comp 1025</t>
  </si>
  <si>
    <t>Comp 1026</t>
  </si>
  <si>
    <t>Comp 1027</t>
  </si>
  <si>
    <t>Comp 1028</t>
  </si>
  <si>
    <t>Comp 1029</t>
  </si>
  <si>
    <t>Comp 1030</t>
  </si>
  <si>
    <t>Comp 1031</t>
  </si>
  <si>
    <t>Comp 1032</t>
  </si>
  <si>
    <t>Comp 1033</t>
  </si>
  <si>
    <t>Comp 1034</t>
  </si>
  <si>
    <t>Comp 1035</t>
  </si>
  <si>
    <t>Comp 1036</t>
  </si>
  <si>
    <t>Comp 1037</t>
  </si>
  <si>
    <t>Comp 1038</t>
  </si>
  <si>
    <t>Comp 1039</t>
  </si>
  <si>
    <t>Comp 1040</t>
  </si>
  <si>
    <t>Comp 1041</t>
  </si>
  <si>
    <t>Comp 1042</t>
  </si>
  <si>
    <t>Comp 1043</t>
  </si>
  <si>
    <t>Comp 1044</t>
  </si>
  <si>
    <t>Comp 1045</t>
  </si>
  <si>
    <t>Comp 1046</t>
  </si>
  <si>
    <t>Comp 1047</t>
  </si>
  <si>
    <t>Comp 1048</t>
  </si>
  <si>
    <t>Comp 1049</t>
  </si>
  <si>
    <t>Comp 1050</t>
  </si>
  <si>
    <t>Comp 1051</t>
  </si>
  <si>
    <t>Comp 1052</t>
  </si>
  <si>
    <t>Comp 1054</t>
  </si>
  <si>
    <t>Comp 1055</t>
  </si>
  <si>
    <t>Comp 1056</t>
  </si>
  <si>
    <t>Comp 1057</t>
  </si>
  <si>
    <t>Comp 1058</t>
  </si>
  <si>
    <t>Comp 1059</t>
  </si>
  <si>
    <t>Comp 1060</t>
  </si>
  <si>
    <t>Comp 1061</t>
  </si>
  <si>
    <t>Comp 1062</t>
  </si>
  <si>
    <t>Comp 1063</t>
  </si>
  <si>
    <t>Comp 1064</t>
  </si>
  <si>
    <t>Comp 1065</t>
  </si>
  <si>
    <t>Comp 1066</t>
  </si>
  <si>
    <t>Comp 1067</t>
  </si>
  <si>
    <t>Comp 1068</t>
  </si>
  <si>
    <t>Comp 1069</t>
  </si>
  <si>
    <t>Comp 1070</t>
  </si>
  <si>
    <t>Comp 1071</t>
  </si>
  <si>
    <t>Comp 1072</t>
  </si>
  <si>
    <t>Comp 1073</t>
  </si>
  <si>
    <t>Comp 1074</t>
  </si>
  <si>
    <t>Comp 1075</t>
  </si>
  <si>
    <t>Comp 1076</t>
  </si>
  <si>
    <t>Comp 1077</t>
  </si>
  <si>
    <t>Comp 1078</t>
  </si>
  <si>
    <t>Comp 1079</t>
  </si>
  <si>
    <t>Comp 1080</t>
  </si>
  <si>
    <t>Comp 1081</t>
  </si>
  <si>
    <t>Comp 1082</t>
  </si>
  <si>
    <t>Comp 1083</t>
  </si>
  <si>
    <t>Comp 1084</t>
  </si>
  <si>
    <t>Comp 1085</t>
  </si>
  <si>
    <t>Comp 1086</t>
  </si>
  <si>
    <t>Comp 1087</t>
  </si>
  <si>
    <t>Comp 1088</t>
  </si>
  <si>
    <t>Comp 1089</t>
  </si>
  <si>
    <t>Comp 1090</t>
  </si>
  <si>
    <t>Comp 1091</t>
  </si>
  <si>
    <t>Comp 1092</t>
  </si>
  <si>
    <t>Comp 1093</t>
  </si>
  <si>
    <t>Comp 1094</t>
  </si>
  <si>
    <t>Comp 1095</t>
  </si>
  <si>
    <t>Comp 1096</t>
  </si>
  <si>
    <t>Comp 1097</t>
  </si>
  <si>
    <t>Comp 1098</t>
  </si>
  <si>
    <t>Comp 1099</t>
  </si>
  <si>
    <t>Comp 1100</t>
  </si>
  <si>
    <t>Comp 1101</t>
  </si>
  <si>
    <t>Comp 1102</t>
  </si>
  <si>
    <t>Comp 1103</t>
  </si>
  <si>
    <t>Comp 1104</t>
  </si>
  <si>
    <t>Comp 1105</t>
  </si>
  <si>
    <t>Comp 1106</t>
  </si>
  <si>
    <t>Comp 1107</t>
  </si>
  <si>
    <t>Comp 1108</t>
  </si>
  <si>
    <t>Comp 1109</t>
  </si>
  <si>
    <t>Comp 1110</t>
  </si>
  <si>
    <t>Comp 1111</t>
  </si>
  <si>
    <t>Comp 1112</t>
  </si>
  <si>
    <t>Comp 1113</t>
  </si>
  <si>
    <t>Comp 1114</t>
  </si>
  <si>
    <t>Comp 1115</t>
  </si>
  <si>
    <t>Comp 1116</t>
  </si>
  <si>
    <t>Comp 1117</t>
  </si>
  <si>
    <t>Comp 1118</t>
  </si>
  <si>
    <t>Comp 1119</t>
  </si>
  <si>
    <t>Comp 1120</t>
  </si>
  <si>
    <t>Comp 1121</t>
  </si>
  <si>
    <t>Comp 1122</t>
  </si>
  <si>
    <t>Comp 1123</t>
  </si>
  <si>
    <t>Comp 1124</t>
  </si>
  <si>
    <t>Comp 1125</t>
  </si>
  <si>
    <t>Comp 1126</t>
  </si>
  <si>
    <t>Comp 1127</t>
  </si>
  <si>
    <t>Comp 1128</t>
  </si>
  <si>
    <t>Comp 1129</t>
  </si>
  <si>
    <t>Comp 1130</t>
  </si>
  <si>
    <t>Comp 1131</t>
  </si>
  <si>
    <t>Comp 1132</t>
  </si>
  <si>
    <t>Comp 1133</t>
  </si>
  <si>
    <t>Comp 1134</t>
  </si>
  <si>
    <t>Comp 1135</t>
  </si>
  <si>
    <t>Comp 1136</t>
  </si>
  <si>
    <t>Comp 1137</t>
  </si>
  <si>
    <t>Comp 1138</t>
  </si>
  <si>
    <t>Comp 1139</t>
  </si>
  <si>
    <t>Comp 1140</t>
  </si>
  <si>
    <t>Comp 1141</t>
  </si>
  <si>
    <t>Comp 1142</t>
  </si>
  <si>
    <t>Comp 1143</t>
  </si>
  <si>
    <t>Comp 1144</t>
  </si>
  <si>
    <t>Comp 1145</t>
  </si>
  <si>
    <t>Comp 1146</t>
  </si>
  <si>
    <t>Comp 1147</t>
  </si>
  <si>
    <t>Comp 1148</t>
  </si>
  <si>
    <t>Comp 1149</t>
  </si>
  <si>
    <t>Comp 1150</t>
  </si>
  <si>
    <t>Comp 1151</t>
  </si>
  <si>
    <t>Comp 1152</t>
  </si>
  <si>
    <t>Comp 1153</t>
  </si>
  <si>
    <t>Comp 1154</t>
  </si>
  <si>
    <t>Comp 1155</t>
  </si>
  <si>
    <t>Comp 1156</t>
  </si>
  <si>
    <t>Comp 1157</t>
  </si>
  <si>
    <t>Comp 1158</t>
  </si>
  <si>
    <t>Comp 1159</t>
  </si>
  <si>
    <t>Comp 1160</t>
  </si>
  <si>
    <t>Comp 1161</t>
  </si>
  <si>
    <t>Comp 1162</t>
  </si>
  <si>
    <t>Comp 1163</t>
  </si>
  <si>
    <t>Comp 1164</t>
  </si>
  <si>
    <t>Comp 1165</t>
  </si>
  <si>
    <t>Comp 1166</t>
  </si>
  <si>
    <t>Comp 1167</t>
  </si>
  <si>
    <t>Comp 1168</t>
  </si>
  <si>
    <t>Comp 1169</t>
  </si>
  <si>
    <t>Comp 1170</t>
  </si>
  <si>
    <t>Comp 1171</t>
  </si>
  <si>
    <t>Comp 1172</t>
  </si>
  <si>
    <t>Comp 1174</t>
  </si>
  <si>
    <t>Comp 1175</t>
  </si>
  <si>
    <t>Comp 1176</t>
  </si>
  <si>
    <t>Comp 1177</t>
  </si>
  <si>
    <t>Comp 1178</t>
  </si>
  <si>
    <t>Comp 1179</t>
  </si>
  <si>
    <t>Comp 1180</t>
  </si>
  <si>
    <t>Comp 1181</t>
  </si>
  <si>
    <t>Comp 1182</t>
  </si>
  <si>
    <t>Comp 1183</t>
  </si>
  <si>
    <t>Comp 1184</t>
  </si>
  <si>
    <t>Comp 1185</t>
  </si>
  <si>
    <t>Comp 1186</t>
  </si>
  <si>
    <t>Comp 1187</t>
  </si>
  <si>
    <t>Comp 1188</t>
  </si>
  <si>
    <t>Comp 1189</t>
  </si>
  <si>
    <t>Comp 1190</t>
  </si>
  <si>
    <t>Comp 1191</t>
  </si>
  <si>
    <t>Comp 1192</t>
  </si>
  <si>
    <t>Comp 1193</t>
  </si>
  <si>
    <t>Comp 1194</t>
  </si>
  <si>
    <t>Comp 1195</t>
  </si>
  <si>
    <t>Comp 1196</t>
  </si>
  <si>
    <t>Comp 1197</t>
  </si>
  <si>
    <t>Comp 1198</t>
  </si>
  <si>
    <t>Comp 1199</t>
  </si>
  <si>
    <t>Comp 1200</t>
  </si>
  <si>
    <t>Comp 1201</t>
  </si>
  <si>
    <t>Comp 1202</t>
  </si>
  <si>
    <t>Comp 1203</t>
  </si>
  <si>
    <t>Comp 1204</t>
  </si>
  <si>
    <t>Comp 1205</t>
  </si>
  <si>
    <t>Comp 1206</t>
  </si>
  <si>
    <t>Comp 1207</t>
  </si>
  <si>
    <t>Comp 1208</t>
  </si>
  <si>
    <t>Comp 1209</t>
  </si>
  <si>
    <t>Comp 1210</t>
  </si>
  <si>
    <t>Comp 1211</t>
  </si>
  <si>
    <t>Comp 1212</t>
  </si>
  <si>
    <t>Comp 1213</t>
  </si>
  <si>
    <t>Comp 1214</t>
  </si>
  <si>
    <t>Comp 1215</t>
  </si>
  <si>
    <t>Comp 1216</t>
  </si>
  <si>
    <t>Comp 1217</t>
  </si>
  <si>
    <t>Comp 1218</t>
  </si>
  <si>
    <t>Comp 1219</t>
  </si>
  <si>
    <t>Comp 1220</t>
  </si>
  <si>
    <t>Comp 1221</t>
  </si>
  <si>
    <t>Comp 1222</t>
  </si>
  <si>
    <t>Comp 1223</t>
  </si>
  <si>
    <t>Comp 1224</t>
  </si>
  <si>
    <t>Comp 1225</t>
  </si>
  <si>
    <t>Comp 1226</t>
  </si>
  <si>
    <t>Comp 1227</t>
  </si>
  <si>
    <t>Comp 1228</t>
  </si>
  <si>
    <t>Comp 1229</t>
  </si>
  <si>
    <t>Comp 1230</t>
  </si>
  <si>
    <t>Comp 1231</t>
  </si>
  <si>
    <t>Comp 1232</t>
  </si>
  <si>
    <t>Comp 1233</t>
  </si>
  <si>
    <t>Comp 1234</t>
  </si>
  <si>
    <t>Comp 1235</t>
  </si>
  <si>
    <t>Comp 1236</t>
  </si>
  <si>
    <t>Comp 1237</t>
  </si>
  <si>
    <t>Comp 1238</t>
  </si>
  <si>
    <t>Comp 1239</t>
  </si>
  <si>
    <t>Comp 1240</t>
  </si>
  <si>
    <t>Comp 1241</t>
  </si>
  <si>
    <t>Comp 1242</t>
  </si>
  <si>
    <t>Comp 1243</t>
  </si>
  <si>
    <t>Comp 1244</t>
  </si>
  <si>
    <t>Comp 1245</t>
  </si>
  <si>
    <t>Comp 1246</t>
  </si>
  <si>
    <t>Comp 1247</t>
  </si>
  <si>
    <t>Comp 1248</t>
  </si>
  <si>
    <t>Comp 1249</t>
  </si>
  <si>
    <t>Comp 1250</t>
  </si>
  <si>
    <t>Comp 1251</t>
  </si>
  <si>
    <t>Comp 1252</t>
  </si>
  <si>
    <t>Comp 1253</t>
  </si>
  <si>
    <t>Comp 1254</t>
  </si>
  <si>
    <t>Comp 1255</t>
  </si>
  <si>
    <t>Comp 1256</t>
  </si>
  <si>
    <t>Comp 1257</t>
  </si>
  <si>
    <t>Comp 1258</t>
  </si>
  <si>
    <t>Comp 1259</t>
  </si>
  <si>
    <t>Comp 1260</t>
  </si>
  <si>
    <t>Comp 1261</t>
  </si>
  <si>
    <t>Comp 1262</t>
  </si>
  <si>
    <t>Comp 1263</t>
  </si>
  <si>
    <t>Comp 1264</t>
  </si>
  <si>
    <t>Comp 1265</t>
  </si>
  <si>
    <t>Comp 1266</t>
  </si>
  <si>
    <t>Comp 1267</t>
  </si>
  <si>
    <t>Comp 1268</t>
  </si>
  <si>
    <t>Comp 1269</t>
  </si>
  <si>
    <t>Comp 1270</t>
  </si>
  <si>
    <t>Comp 1271</t>
  </si>
  <si>
    <t>Comp 1272</t>
  </si>
  <si>
    <t>Comp 1273</t>
  </si>
  <si>
    <t>Comp 1274</t>
  </si>
  <si>
    <t>Comp 1275</t>
  </si>
  <si>
    <t>Comp 1276</t>
  </si>
  <si>
    <t>Comp 1277</t>
  </si>
  <si>
    <t>Comp 1278</t>
  </si>
  <si>
    <t>Comp 1279</t>
  </si>
  <si>
    <t>Comp 1280</t>
  </si>
  <si>
    <t>Comp 1281</t>
  </si>
  <si>
    <t>Comp 1282</t>
  </si>
  <si>
    <t>Comp 1283</t>
  </si>
  <si>
    <t>Comp 1284</t>
  </si>
  <si>
    <t>Comp 1285</t>
  </si>
  <si>
    <t>Comp 1286</t>
  </si>
  <si>
    <t>Comp 1287</t>
  </si>
  <si>
    <t>Comp 1288</t>
  </si>
  <si>
    <t>Comp 1289</t>
  </si>
  <si>
    <t>Comp 1290</t>
  </si>
  <si>
    <t>Comp 1291</t>
  </si>
  <si>
    <t>Comp 1292</t>
  </si>
  <si>
    <t>Comp 1293</t>
  </si>
  <si>
    <t>Comp 1294</t>
  </si>
  <si>
    <t>Comp 1295</t>
  </si>
  <si>
    <t>Comp 1296</t>
  </si>
  <si>
    <t>Comp 1297</t>
  </si>
  <si>
    <t>Comp 1298</t>
  </si>
  <si>
    <t>Comp 1299</t>
  </si>
  <si>
    <t>Comp 1300</t>
  </si>
  <si>
    <t>Comp 1301</t>
  </si>
  <si>
    <t>Comp 1302</t>
  </si>
  <si>
    <t>Comp 1303</t>
  </si>
  <si>
    <t>Comp 1304</t>
  </si>
  <si>
    <t>Comp 1305</t>
  </si>
  <si>
    <t>Comp 1306</t>
  </si>
  <si>
    <t>Comp 1307</t>
  </si>
  <si>
    <t>Comp 1308</t>
  </si>
  <si>
    <t>Comp 1309</t>
  </si>
  <si>
    <t>Comp 1310</t>
  </si>
  <si>
    <t>Comp 1311</t>
  </si>
  <si>
    <t>Comp 1312</t>
  </si>
  <si>
    <t>Comp 1313</t>
  </si>
  <si>
    <t>Comp 1314</t>
  </si>
  <si>
    <t>Comp 1315</t>
  </si>
  <si>
    <t>Comp 1316</t>
  </si>
  <si>
    <t>Comp 1317</t>
  </si>
  <si>
    <t>Comp 1318</t>
  </si>
  <si>
    <t>Comp 1319</t>
  </si>
  <si>
    <t>Comp 1320</t>
  </si>
  <si>
    <t>Comp 1321</t>
  </si>
  <si>
    <t>Comp 1322</t>
  </si>
  <si>
    <t>Comp 1323</t>
  </si>
  <si>
    <t>Comp 1324</t>
  </si>
  <si>
    <t>Comp 1325</t>
  </si>
  <si>
    <t>Comp 1326</t>
  </si>
  <si>
    <t>Comp 1327</t>
  </si>
  <si>
    <t>Comp 1328</t>
  </si>
  <si>
    <t>Comp 1329</t>
  </si>
  <si>
    <t>Comp 1330</t>
  </si>
  <si>
    <t>Comp 1331</t>
  </si>
  <si>
    <t>Comp 1332</t>
  </si>
  <si>
    <t>Comp 1333</t>
  </si>
  <si>
    <t>Comp 1334</t>
  </si>
  <si>
    <t>Comp 1335</t>
  </si>
  <si>
    <t>Comp 1336</t>
  </si>
  <si>
    <t>Comp 1337</t>
  </si>
  <si>
    <t>Comp 1338</t>
  </si>
  <si>
    <t>Comp 1339</t>
  </si>
  <si>
    <t>Comp 1340</t>
  </si>
  <si>
    <t>Comp 1341</t>
  </si>
  <si>
    <t>Comp 1342</t>
  </si>
  <si>
    <t>Comp 1343</t>
  </si>
  <si>
    <t>Comp 1344</t>
  </si>
  <si>
    <t>Comp 1345</t>
  </si>
  <si>
    <t>Comp 1346</t>
  </si>
  <si>
    <t>Comp 1347</t>
  </si>
  <si>
    <t>Comp 1348</t>
  </si>
  <si>
    <t>Comp 1349</t>
  </si>
  <si>
    <t>Comp 1350</t>
  </si>
  <si>
    <t>Comp 1351</t>
  </si>
  <si>
    <t>Comp 1352</t>
  </si>
  <si>
    <t>Comp 1353</t>
  </si>
  <si>
    <t>Comp 1354</t>
  </si>
  <si>
    <t>Comp 1355</t>
  </si>
  <si>
    <t>Comp 1356</t>
  </si>
  <si>
    <t>Comp 1357</t>
  </si>
  <si>
    <t>Comp 1358</t>
  </si>
  <si>
    <t>Comp 1359</t>
  </si>
  <si>
    <t>Comp 1360</t>
  </si>
  <si>
    <t>Comp 1361</t>
  </si>
  <si>
    <t>Comp 1362</t>
  </si>
  <si>
    <t>Comp 1363</t>
  </si>
  <si>
    <t>Comp 1364</t>
  </si>
  <si>
    <t>Comp 1365</t>
  </si>
  <si>
    <t>Comp 1366</t>
  </si>
  <si>
    <t>Comp 1367</t>
  </si>
  <si>
    <t>Comp 1368</t>
  </si>
  <si>
    <t>Comp 1369</t>
  </si>
  <si>
    <t>Comp 1370</t>
  </si>
  <si>
    <t>Comp 1371</t>
  </si>
  <si>
    <t>Comp 1372</t>
  </si>
  <si>
    <t>Comp 1373</t>
  </si>
  <si>
    <t>Comp 1374</t>
  </si>
  <si>
    <t>Comp 1375</t>
  </si>
  <si>
    <t>Comp 1376</t>
  </si>
  <si>
    <t>Comp 1377</t>
  </si>
  <si>
    <t>Comp 1378</t>
  </si>
  <si>
    <t>Comp 1379</t>
  </si>
  <si>
    <t>Comp 1380</t>
  </si>
  <si>
    <t>Comp 1381</t>
  </si>
  <si>
    <t>Comp 1382</t>
  </si>
  <si>
    <t>Comp 1383</t>
  </si>
  <si>
    <t>Comp 1384</t>
  </si>
  <si>
    <t>Comp 1385</t>
  </si>
  <si>
    <t>Comp 1386</t>
  </si>
  <si>
    <t>Comp 1387</t>
  </si>
  <si>
    <t>Comp 1388</t>
  </si>
  <si>
    <t>Comp 1389</t>
  </si>
  <si>
    <t>Comp 1390</t>
  </si>
  <si>
    <t>Comp 1391</t>
  </si>
  <si>
    <t>Comp 1392</t>
  </si>
  <si>
    <t>Comp 1393</t>
  </si>
  <si>
    <t>Comp 1394</t>
  </si>
  <si>
    <t>Comp 1395</t>
  </si>
  <si>
    <t>Comp 1396</t>
  </si>
  <si>
    <t>Comp 1397</t>
  </si>
  <si>
    <t>Comp 1398</t>
  </si>
  <si>
    <t>Comp 1399</t>
  </si>
  <si>
    <t>Comp 1400</t>
  </si>
  <si>
    <t>Comp 1401</t>
  </si>
  <si>
    <t>Comp 1402</t>
  </si>
  <si>
    <t>Comp 1403</t>
  </si>
  <si>
    <t>Comp 1404</t>
  </si>
  <si>
    <t>Comp 1405</t>
  </si>
  <si>
    <t>Comp 1406</t>
  </si>
  <si>
    <t>Comp 1407</t>
  </si>
  <si>
    <t>Comp 1408</t>
  </si>
  <si>
    <t>Comp 1409</t>
  </si>
  <si>
    <t>Comp 1410</t>
  </si>
  <si>
    <t>Comp 1411</t>
  </si>
  <si>
    <t>Comp 1412</t>
  </si>
  <si>
    <t>Comp 1413</t>
  </si>
  <si>
    <t>Comp 1414</t>
  </si>
  <si>
    <t>Comp 1415</t>
  </si>
  <si>
    <t>Comp 1416</t>
  </si>
  <si>
    <t>Comp 1417</t>
  </si>
  <si>
    <t>Comp 1418</t>
  </si>
  <si>
    <t>Comp 1419</t>
  </si>
  <si>
    <t>Comp 1420</t>
  </si>
  <si>
    <t>Comp 1421</t>
  </si>
  <si>
    <t>Comp 1422</t>
  </si>
  <si>
    <t>Comp 1423</t>
  </si>
  <si>
    <t>Comp 1424</t>
  </si>
  <si>
    <t>Comp 1425</t>
  </si>
  <si>
    <t>Comp 1426</t>
  </si>
  <si>
    <t>Comp 1427</t>
  </si>
  <si>
    <t>Comp 1428</t>
  </si>
  <si>
    <t>Comp 1429</t>
  </si>
  <si>
    <t>Comp 1430</t>
  </si>
  <si>
    <t>Comp 1431</t>
  </si>
  <si>
    <t>Comp 1432</t>
  </si>
  <si>
    <t>Comp 1433</t>
  </si>
  <si>
    <t>Comp 1434</t>
  </si>
  <si>
    <t>Comp 1435</t>
  </si>
  <si>
    <t>Comp 1436</t>
  </si>
  <si>
    <t>Comp 1437</t>
  </si>
  <si>
    <t>Comp 1438</t>
  </si>
  <si>
    <t>Comp 1439</t>
  </si>
  <si>
    <t>Comp 1440</t>
  </si>
  <si>
    <t>Comp 1441</t>
  </si>
  <si>
    <t>Comp 1442</t>
  </si>
  <si>
    <t>Comp 1443</t>
  </si>
  <si>
    <t>Comp 1444</t>
  </si>
  <si>
    <t>Comp 1445</t>
  </si>
  <si>
    <t>Comp 1446</t>
  </si>
  <si>
    <t>Comp 1447</t>
  </si>
  <si>
    <t>Comp 1448</t>
  </si>
  <si>
    <t>Comp 1449</t>
  </si>
  <si>
    <t>Comp 1450</t>
  </si>
  <si>
    <t>Comp 1451</t>
  </si>
  <si>
    <t>Comp 1452</t>
  </si>
  <si>
    <t>Comp 1453</t>
  </si>
  <si>
    <t>Comp 1454</t>
  </si>
  <si>
    <t>Comp 1455</t>
  </si>
  <si>
    <t>Comp 1456</t>
  </si>
  <si>
    <t>Comp 1457</t>
  </si>
  <si>
    <t>Comp 1458</t>
  </si>
  <si>
    <t>Comp 1459</t>
  </si>
  <si>
    <t>Comp 1460</t>
  </si>
  <si>
    <t>Comp 1461</t>
  </si>
  <si>
    <t>Comp 1462</t>
  </si>
  <si>
    <t>Comp 1463</t>
  </si>
  <si>
    <t>Comp 1464</t>
  </si>
  <si>
    <t>Comp 1465</t>
  </si>
  <si>
    <t>Comp 1466</t>
  </si>
  <si>
    <t>Comp 1467</t>
  </si>
  <si>
    <t>Comp 1468</t>
  </si>
  <si>
    <t>Comp 1469</t>
  </si>
  <si>
    <t>Comp 1470</t>
  </si>
  <si>
    <t>Comp 1471</t>
  </si>
  <si>
    <t>Comp 1472</t>
  </si>
  <si>
    <t>Comp 1473</t>
  </si>
  <si>
    <t>Comp 1474</t>
  </si>
  <si>
    <t>Comp 1475</t>
  </si>
  <si>
    <t>Comp 1476</t>
  </si>
  <si>
    <t>Comp 1477</t>
  </si>
  <si>
    <t>Comp 1478</t>
  </si>
  <si>
    <t>Comp 1479</t>
  </si>
  <si>
    <t>Comp 1480</t>
  </si>
  <si>
    <t>Comp 1481</t>
  </si>
  <si>
    <t>Comp 1482</t>
  </si>
  <si>
    <t>Comp 1483</t>
  </si>
  <si>
    <t>Comp 1484</t>
  </si>
  <si>
    <t>Comp 1485</t>
  </si>
  <si>
    <t>Comp 1486</t>
  </si>
  <si>
    <t>Comp 1487</t>
  </si>
  <si>
    <t>Comp 1488</t>
  </si>
  <si>
    <t>Comp 1489</t>
  </si>
  <si>
    <t>Comp 1490</t>
  </si>
  <si>
    <t>Comp 1491</t>
  </si>
  <si>
    <t>Comp 1492</t>
  </si>
  <si>
    <t>Comp 1493</t>
  </si>
  <si>
    <t>Comp 1494</t>
  </si>
  <si>
    <t>Comp 1495</t>
  </si>
  <si>
    <t>Comp 1496</t>
  </si>
  <si>
    <t>Comp 1497</t>
  </si>
  <si>
    <t>Comp 1498</t>
  </si>
  <si>
    <t>Comp 1499</t>
  </si>
  <si>
    <t>Comp 1500</t>
  </si>
  <si>
    <t>Comp 1501</t>
  </si>
  <si>
    <t>Comp 1502</t>
  </si>
  <si>
    <t>Comp 1503</t>
  </si>
  <si>
    <t>Comp 1504</t>
  </si>
  <si>
    <t>Comp 1505</t>
  </si>
  <si>
    <t>Comp 1507</t>
  </si>
  <si>
    <t>Comp 1508</t>
  </si>
  <si>
    <t>Comp 1509</t>
  </si>
  <si>
    <t>Comp 1510</t>
  </si>
  <si>
    <t>Comp 1511</t>
  </si>
  <si>
    <t>Comp 1512</t>
  </si>
  <si>
    <t>Comp 1513</t>
  </si>
  <si>
    <t>Comp 1514</t>
  </si>
  <si>
    <t>Comp 1515</t>
  </si>
  <si>
    <t>Comp 1516</t>
  </si>
  <si>
    <t>Comp 1517</t>
  </si>
  <si>
    <t>Comp 1518</t>
  </si>
  <si>
    <t>Comp 1519</t>
  </si>
  <si>
    <t>Comp 1520</t>
  </si>
  <si>
    <t>Comp 1521</t>
  </si>
  <si>
    <t>Comp 1522</t>
  </si>
  <si>
    <t>Comp 1523</t>
  </si>
  <si>
    <t>Comp 1524</t>
  </si>
  <si>
    <t>Comp 1525</t>
  </si>
  <si>
    <t>Comp 1526</t>
  </si>
  <si>
    <t>Comp 1527</t>
  </si>
  <si>
    <t>Comp 1528</t>
  </si>
  <si>
    <t>Comp 1529</t>
  </si>
  <si>
    <t>Comp 1530</t>
  </si>
  <si>
    <t>Comp 1531</t>
  </si>
  <si>
    <t>Comp 1532</t>
  </si>
  <si>
    <t>Comp 1533</t>
  </si>
  <si>
    <t>Comp 1534</t>
  </si>
  <si>
    <t>Comp 1535</t>
  </si>
  <si>
    <t>Comp 1536</t>
  </si>
  <si>
    <t>Comp 1537</t>
  </si>
  <si>
    <t>Comp 1538</t>
  </si>
  <si>
    <t>Comp 1539</t>
  </si>
  <si>
    <t>Comp 1540</t>
  </si>
  <si>
    <t>Comp 1541</t>
  </si>
  <si>
    <t>Comp 1542</t>
  </si>
  <si>
    <t>Comp 1543</t>
  </si>
  <si>
    <t>Comp 1544</t>
  </si>
  <si>
    <t>Comp 1545</t>
  </si>
  <si>
    <t>Comp 1546</t>
  </si>
  <si>
    <t>Comp 1547</t>
  </si>
  <si>
    <t>Comp 1548</t>
  </si>
  <si>
    <t>Comp 1549</t>
  </si>
  <si>
    <t>Comp 1550</t>
  </si>
  <si>
    <t>Comp 1551</t>
  </si>
  <si>
    <t>Comp 1552</t>
  </si>
  <si>
    <t>Comp 1553</t>
  </si>
  <si>
    <t>Comp 1554</t>
  </si>
  <si>
    <t>Comp 1555</t>
  </si>
  <si>
    <t>Comp 1556</t>
  </si>
  <si>
    <t>Comp 1557</t>
  </si>
  <si>
    <t>Comp 1558</t>
  </si>
  <si>
    <t>Comp 1559</t>
  </si>
  <si>
    <t>Comp 1560</t>
  </si>
  <si>
    <t>Comp 1561</t>
  </si>
  <si>
    <t>Comp 1562</t>
  </si>
  <si>
    <t>Comp 1563</t>
  </si>
  <si>
    <t>Comp 1564</t>
  </si>
  <si>
    <t>Comp 1565</t>
  </si>
  <si>
    <t>Comp 1566</t>
  </si>
  <si>
    <t>Comp 1567</t>
  </si>
  <si>
    <t>Comp 1568</t>
  </si>
  <si>
    <t>Comp 1569</t>
  </si>
  <si>
    <t>Comp 1570</t>
  </si>
  <si>
    <t>Comp 1571</t>
  </si>
  <si>
    <t>Comp 1572</t>
  </si>
  <si>
    <t>Comp 1573</t>
  </si>
  <si>
    <t>Comp 1574</t>
  </si>
  <si>
    <t>Comp 1575</t>
  </si>
  <si>
    <t>Comp 1576</t>
  </si>
  <si>
    <t>Comp 1577</t>
  </si>
  <si>
    <t>Comp 1578</t>
  </si>
  <si>
    <t>Comp 1579</t>
  </si>
  <si>
    <t>Comp 1580</t>
  </si>
  <si>
    <t>Comp 1581</t>
  </si>
  <si>
    <t>Comp 1582</t>
  </si>
  <si>
    <t>Comp 1583</t>
  </si>
  <si>
    <t>Comp 1584</t>
  </si>
  <si>
    <t>Comp 1585</t>
  </si>
  <si>
    <t>Comp 1586</t>
  </si>
  <si>
    <t>Comp 1587</t>
  </si>
  <si>
    <t>Comp 1588</t>
  </si>
  <si>
    <t>Comp 1589</t>
  </si>
  <si>
    <t>Comp 1590</t>
  </si>
  <si>
    <t>Comp 1591</t>
  </si>
  <si>
    <t>Comp 1592</t>
  </si>
  <si>
    <t>Comp 1593</t>
  </si>
  <si>
    <t>Comp 1594</t>
  </si>
  <si>
    <t>Comp 1595</t>
  </si>
  <si>
    <t>Comp 1596</t>
  </si>
  <si>
    <t>Comp 1597</t>
  </si>
  <si>
    <t>Comp 1598</t>
  </si>
  <si>
    <t>Comp 1599</t>
  </si>
  <si>
    <t>Comp 1600</t>
  </si>
  <si>
    <t>Comp 1601</t>
  </si>
  <si>
    <t>Comp 1602</t>
  </si>
  <si>
    <t>Comp 1603</t>
  </si>
  <si>
    <t>Comp 1604</t>
  </si>
  <si>
    <t>Comp 1605</t>
  </si>
  <si>
    <t>Comp 1606</t>
  </si>
  <si>
    <t>Comp 1607</t>
  </si>
  <si>
    <t>Comp 1608</t>
  </si>
  <si>
    <t>Comp 1609</t>
  </si>
  <si>
    <t>Comp 1610</t>
  </si>
  <si>
    <t>Comp 1611</t>
  </si>
  <si>
    <t>Comp 1612</t>
  </si>
  <si>
    <t>Comp 1613</t>
  </si>
  <si>
    <t>Comp 1614</t>
  </si>
  <si>
    <t>Comp 1615</t>
  </si>
  <si>
    <t>Comp 1616</t>
  </si>
  <si>
    <t>Comp 1617</t>
  </si>
  <si>
    <t>Comp 1618</t>
  </si>
  <si>
    <t>Comp 1619</t>
  </si>
  <si>
    <t>Comp 1620</t>
  </si>
  <si>
    <t>Comp 1621</t>
  </si>
  <si>
    <t>Comp 1622</t>
  </si>
  <si>
    <t>Comp 1623</t>
  </si>
  <si>
    <t>Comp 1624</t>
  </si>
  <si>
    <t>Comp 1625</t>
  </si>
  <si>
    <t>Comp 1626</t>
  </si>
  <si>
    <t>Comp 1627</t>
  </si>
  <si>
    <t>Comp 1628</t>
  </si>
  <si>
    <t>Comp 1629</t>
  </si>
  <si>
    <t>Comp 1630</t>
  </si>
  <si>
    <t>Comp 1631</t>
  </si>
  <si>
    <t>Comp 1632</t>
  </si>
  <si>
    <t>Comp 1633</t>
  </si>
  <si>
    <t>Comp 1634</t>
  </si>
  <si>
    <t>Comp 1635</t>
  </si>
  <si>
    <t>Comp 1636</t>
  </si>
  <si>
    <t>Comp 1637</t>
  </si>
  <si>
    <t>Comp 1638</t>
  </si>
  <si>
    <t>Comp 1639</t>
  </si>
  <si>
    <t>Comp 1640</t>
  </si>
  <si>
    <t>Comp 1641</t>
  </si>
  <si>
    <t>Comp 1642</t>
  </si>
  <si>
    <t>Comp 1643</t>
  </si>
  <si>
    <t>Comp 1644</t>
  </si>
  <si>
    <t>Comp 1645</t>
  </si>
  <si>
    <t>Comp 1646</t>
  </si>
  <si>
    <t>Comp 1647</t>
  </si>
  <si>
    <t>Comp 1648</t>
  </si>
  <si>
    <t>Comp 1649</t>
  </si>
  <si>
    <t>Comp 1650</t>
  </si>
  <si>
    <t>Comp 1651</t>
  </si>
  <si>
    <t>Comp 1652</t>
  </si>
  <si>
    <t>Comp 1653</t>
  </si>
  <si>
    <t>Comp 1654</t>
  </si>
  <si>
    <t>Comp 1655</t>
  </si>
  <si>
    <t>Comp 1656</t>
  </si>
  <si>
    <t>Comp 1657</t>
  </si>
  <si>
    <t>Comp 1658</t>
  </si>
  <si>
    <t>Comp 1659</t>
  </si>
  <si>
    <t>Comp 1660</t>
  </si>
  <si>
    <t>Comp 1661</t>
  </si>
  <si>
    <t>Comp 1662</t>
  </si>
  <si>
    <t>Comp 1663</t>
  </si>
  <si>
    <t>Comp 1664</t>
  </si>
  <si>
    <t>Comp 1665</t>
  </si>
  <si>
    <t>Comp 1666</t>
  </si>
  <si>
    <t>Comp 1667</t>
  </si>
  <si>
    <t>Comp 1668</t>
  </si>
  <si>
    <t>Comp 1669</t>
  </si>
  <si>
    <t>Comp 1670</t>
  </si>
  <si>
    <t>Comp 1671</t>
  </si>
  <si>
    <t>Comp 1672</t>
  </si>
  <si>
    <t>Comp 1673</t>
  </si>
  <si>
    <t>Comp 1674</t>
  </si>
  <si>
    <t>Comp 1675</t>
  </si>
  <si>
    <t>Comp 1676</t>
  </si>
  <si>
    <t>Comp 1677</t>
  </si>
  <si>
    <t>Comp 1678</t>
  </si>
  <si>
    <t>Comp 1679</t>
  </si>
  <si>
    <t>Comp 1680</t>
  </si>
  <si>
    <t>Comp 1681</t>
  </si>
  <si>
    <t>Comp 1682</t>
  </si>
  <si>
    <t>Comp 1683</t>
  </si>
  <si>
    <t>Comp 1684</t>
  </si>
  <si>
    <t>Comp 1685</t>
  </si>
  <si>
    <t>Comp 1686</t>
  </si>
  <si>
    <t>Comp 1687</t>
  </si>
  <si>
    <t>Comp 1688</t>
  </si>
  <si>
    <t>Comp 1689</t>
  </si>
  <si>
    <t>Comp 1690</t>
  </si>
  <si>
    <t>Comp 1691</t>
  </si>
  <si>
    <t>Comp 1692</t>
  </si>
  <si>
    <t>Comp 1693</t>
  </si>
  <si>
    <t>Comp 1694</t>
  </si>
  <si>
    <t>Comp 1695</t>
  </si>
  <si>
    <t>Comp 1696</t>
  </si>
  <si>
    <t>Comp 1697</t>
  </si>
  <si>
    <t>Comp 1698</t>
  </si>
  <si>
    <t>Comp 1699</t>
  </si>
  <si>
    <t>Comp 1700</t>
  </si>
  <si>
    <t>Comp 1701</t>
  </si>
  <si>
    <t>Comp 1702</t>
  </si>
  <si>
    <t>Comp 1703</t>
  </si>
  <si>
    <t>Comp 1704</t>
  </si>
  <si>
    <t>Comp 1705</t>
  </si>
  <si>
    <t>Comp 1706</t>
  </si>
  <si>
    <t>Comp 1707</t>
  </si>
  <si>
    <t>Comp 1708</t>
  </si>
  <si>
    <t>Comp 1709</t>
  </si>
  <si>
    <t>Comp 1710</t>
  </si>
  <si>
    <t>Comp 1711</t>
  </si>
  <si>
    <t>Comp 1712</t>
  </si>
  <si>
    <t>Comp 1713</t>
  </si>
  <si>
    <t>Comp 1714</t>
  </si>
  <si>
    <t>Comp 1715</t>
  </si>
  <si>
    <t>Comp 1716</t>
  </si>
  <si>
    <t>Comp 1717</t>
  </si>
  <si>
    <t>Comp 1718</t>
  </si>
  <si>
    <t>Comp 1719</t>
  </si>
  <si>
    <t>Comp 1720</t>
  </si>
  <si>
    <t>Comp 1721</t>
  </si>
  <si>
    <t>Comp 1722</t>
  </si>
  <si>
    <t>Comp 1726</t>
  </si>
  <si>
    <t>Comp 1727</t>
  </si>
  <si>
    <t>Comp 1728</t>
  </si>
  <si>
    <t>Comp 1729</t>
  </si>
  <si>
    <t>Comp 1730</t>
  </si>
  <si>
    <t>Comp 1731</t>
  </si>
  <si>
    <t>Comp 1732</t>
  </si>
  <si>
    <t>Comp 1733</t>
  </si>
  <si>
    <t>Comp 1734</t>
  </si>
  <si>
    <t>Comp 1735</t>
  </si>
  <si>
    <t>Comp 1736</t>
  </si>
  <si>
    <t>Comp 1737</t>
  </si>
  <si>
    <t>Comp 1738</t>
  </si>
  <si>
    <t>Comp 1739</t>
  </si>
  <si>
    <t>Comp 1740</t>
  </si>
  <si>
    <t>Comp 1741</t>
  </si>
  <si>
    <t>Comp 1742</t>
  </si>
  <si>
    <t>Comp 1743</t>
  </si>
  <si>
    <t>Comp 1744</t>
  </si>
  <si>
    <t>Comp 1745</t>
  </si>
  <si>
    <t>Comp 1746</t>
  </si>
  <si>
    <t>Comp 1747</t>
  </si>
  <si>
    <t>Comp 1748</t>
  </si>
  <si>
    <t>Comp 1749</t>
  </si>
  <si>
    <t>Comp 1750</t>
  </si>
  <si>
    <t>Comp 1751</t>
  </si>
  <si>
    <t>Comp 1752</t>
  </si>
  <si>
    <t>Comp 1753</t>
  </si>
  <si>
    <t>Comp 1754</t>
  </si>
  <si>
    <t>Comp 1755</t>
  </si>
  <si>
    <t>Comp 1756</t>
  </si>
  <si>
    <t>Comp 1757</t>
  </si>
  <si>
    <t>Comp 1758</t>
  </si>
  <si>
    <t>Comp 1759</t>
  </si>
  <si>
    <t>Comp 1760</t>
  </si>
  <si>
    <t>Comp 1761</t>
  </si>
  <si>
    <t>Comp 1762</t>
  </si>
  <si>
    <t>Comp 1763</t>
  </si>
  <si>
    <t>Comp 1764</t>
  </si>
  <si>
    <t>Comp 1765</t>
  </si>
  <si>
    <t>Comp 1766</t>
  </si>
  <si>
    <t>Comp 1767</t>
  </si>
  <si>
    <t>Comp 1768</t>
  </si>
  <si>
    <t>Comp 1769</t>
  </si>
  <si>
    <t>Comp 1770</t>
  </si>
  <si>
    <t>Comp 1771</t>
  </si>
  <si>
    <t>Comp 1772</t>
  </si>
  <si>
    <t>Comp 1773</t>
  </si>
  <si>
    <t>Comp 1774</t>
  </si>
  <si>
    <t>Comp 1775</t>
  </si>
  <si>
    <t>Comp 1776</t>
  </si>
  <si>
    <t>Comp 1777</t>
  </si>
  <si>
    <t>Comp 1778</t>
  </si>
  <si>
    <t>Comp 1779</t>
  </si>
  <si>
    <t>Comp 1780</t>
  </si>
  <si>
    <t>Comp 1781</t>
  </si>
  <si>
    <t>Comp 1782</t>
  </si>
  <si>
    <t>Comp 1783</t>
  </si>
  <si>
    <t>Comp 1784</t>
  </si>
  <si>
    <t>Comp 1785</t>
  </si>
  <si>
    <t>Comp 1786</t>
  </si>
  <si>
    <t>Comp 1787</t>
  </si>
  <si>
    <t>Comp 1788</t>
  </si>
  <si>
    <t>Comp 1789</t>
  </si>
  <si>
    <t>Comp 1790</t>
  </si>
  <si>
    <t>Comp 1791</t>
  </si>
  <si>
    <t>Comp 1792</t>
  </si>
  <si>
    <t>Comp 1793</t>
  </si>
  <si>
    <t>Comp 1794</t>
  </si>
  <si>
    <t>Comp 1795</t>
  </si>
  <si>
    <t>Comp 1796</t>
  </si>
  <si>
    <t>Comp 1797</t>
  </si>
  <si>
    <t>Comp 1798</t>
  </si>
  <si>
    <t>Comp 1799</t>
  </si>
  <si>
    <t>Comp 1800</t>
  </si>
  <si>
    <t>Comp 1801</t>
  </si>
  <si>
    <t>Comp 1802</t>
  </si>
  <si>
    <t>Comp 1803</t>
  </si>
  <si>
    <t>Comp 1804</t>
  </si>
  <si>
    <t>Comp 1805</t>
  </si>
  <si>
    <t>Comp 1806</t>
  </si>
  <si>
    <t>Comp 1807</t>
  </si>
  <si>
    <t>Comp 1808</t>
  </si>
  <si>
    <t>Comp 1809</t>
  </si>
  <si>
    <t>Comp 1810</t>
  </si>
  <si>
    <t>Comp 1811</t>
  </si>
  <si>
    <t>Comp 1812</t>
  </si>
  <si>
    <t>Comp 1813</t>
  </si>
  <si>
    <t>Comp 1814</t>
  </si>
  <si>
    <t>Comp 1815</t>
  </si>
  <si>
    <t>Comp 1816</t>
  </si>
  <si>
    <t>Comp 1817</t>
  </si>
  <si>
    <t>Comp 1818</t>
  </si>
  <si>
    <t>Comp 1819</t>
  </si>
  <si>
    <t>Comp 1820</t>
  </si>
  <si>
    <t>Comp 1821</t>
  </si>
  <si>
    <t>Comp 1822</t>
  </si>
  <si>
    <t>Comp 1823</t>
  </si>
  <si>
    <t>Comp 1824</t>
  </si>
  <si>
    <t>Comp 1825</t>
  </si>
  <si>
    <t>Comp 1826</t>
  </si>
  <si>
    <t>Comp 1827</t>
  </si>
  <si>
    <t>Comp 1828</t>
  </si>
  <si>
    <t>Comp 1829</t>
  </si>
  <si>
    <t>Comp 1830</t>
  </si>
  <si>
    <t>Comp 1831</t>
  </si>
  <si>
    <t>Comp 1832</t>
  </si>
  <si>
    <t>Comp 1833</t>
  </si>
  <si>
    <t>Comp 1834</t>
  </si>
  <si>
    <t>Comp 1835</t>
  </si>
  <si>
    <t>Comp 1836</t>
  </si>
  <si>
    <t>Comp 1837</t>
  </si>
  <si>
    <t>Comp 1838</t>
  </si>
  <si>
    <t>Comp 1839</t>
  </si>
  <si>
    <t>Comp 1840</t>
  </si>
  <si>
    <t>Comp 1841</t>
  </si>
  <si>
    <t>Comp 1842</t>
  </si>
  <si>
    <t>Comp 1843</t>
  </si>
  <si>
    <t>Comp 1844</t>
  </si>
  <si>
    <t>Comp 1845</t>
  </si>
  <si>
    <t>Comp 1846</t>
  </si>
  <si>
    <t>Comp 1847</t>
  </si>
  <si>
    <t>Comp 1848</t>
  </si>
  <si>
    <t>Comp 1849</t>
  </si>
  <si>
    <t>Comp 1850</t>
  </si>
  <si>
    <t>Comp 1851</t>
  </si>
  <si>
    <t>Comp 1852</t>
  </si>
  <si>
    <t>Comp 1853</t>
  </si>
  <si>
    <t>Comp 1854</t>
  </si>
  <si>
    <t>Comp 1855</t>
  </si>
  <si>
    <t>Comp 1856</t>
  </si>
  <si>
    <t>Comp 1857</t>
  </si>
  <si>
    <t>Comp 1858</t>
  </si>
  <si>
    <t>Comp 1859</t>
  </si>
  <si>
    <t>Comp 1860</t>
  </si>
  <si>
    <t>Comp 1861</t>
  </si>
  <si>
    <t>Comp 1862</t>
  </si>
  <si>
    <t>Comp 1863</t>
  </si>
  <si>
    <t>Comp 1864</t>
  </si>
  <si>
    <t>Comp 1865</t>
  </si>
  <si>
    <t>Comp 1866</t>
  </si>
  <si>
    <t>Comp 1867</t>
  </si>
  <si>
    <t>Comp 1868</t>
  </si>
  <si>
    <t>Comp 1869</t>
  </si>
  <si>
    <t>Comp 1870</t>
  </si>
  <si>
    <t>Comp 1871</t>
  </si>
  <si>
    <t>Comp 1872</t>
  </si>
  <si>
    <t>Comp 1873</t>
  </si>
  <si>
    <t>Comp 1874</t>
  </si>
  <si>
    <t>Comp 1875</t>
  </si>
  <si>
    <t>Comp 1876</t>
  </si>
  <si>
    <t>Comp 1877</t>
  </si>
  <si>
    <t>Comp 1878</t>
  </si>
  <si>
    <t>Comp 1879</t>
  </si>
  <si>
    <t>Comp 1880</t>
  </si>
  <si>
    <t>Comp 1881</t>
  </si>
  <si>
    <t>Comp 1882</t>
  </si>
  <si>
    <t>Comp 1883</t>
  </si>
  <si>
    <t>Comp 1884</t>
  </si>
  <si>
    <t>Comp 1885</t>
  </si>
  <si>
    <t>Comp 1886</t>
  </si>
  <si>
    <t>Comp 1887</t>
  </si>
  <si>
    <t>Comp 1888</t>
  </si>
  <si>
    <t>Comp 1889</t>
  </si>
  <si>
    <t>Comp 1890</t>
  </si>
  <si>
    <t>Comp 1891</t>
  </si>
  <si>
    <t>Comp 1892</t>
  </si>
  <si>
    <t>Comp 1893</t>
  </si>
  <si>
    <t>Comp 1894</t>
  </si>
  <si>
    <t>Comp 1895</t>
  </si>
  <si>
    <t>Comp 1896</t>
  </si>
  <si>
    <t>Comp 1897</t>
  </si>
  <si>
    <t>Comp 1898</t>
  </si>
  <si>
    <t>Comp 1899</t>
  </si>
  <si>
    <t>Comp 1900</t>
  </si>
  <si>
    <t>Comp 1901</t>
  </si>
  <si>
    <t>Comp 1902</t>
  </si>
  <si>
    <t>Comp 1903</t>
  </si>
  <si>
    <t>Comp 1904</t>
  </si>
  <si>
    <t>Comp 1905</t>
  </si>
  <si>
    <t>Comp 1906</t>
  </si>
  <si>
    <t>Comp 1907</t>
  </si>
  <si>
    <t>Comp 1908</t>
  </si>
  <si>
    <t>Comp 1909</t>
  </si>
  <si>
    <t>Comp 1910</t>
  </si>
  <si>
    <t>Comp 1911</t>
  </si>
  <si>
    <t>Comp 1912</t>
  </si>
  <si>
    <t>Comp 1913</t>
  </si>
  <si>
    <t>Comp 1914</t>
  </si>
  <si>
    <t>Comp 1915</t>
  </si>
  <si>
    <t>Comp 1916</t>
  </si>
  <si>
    <t>Comp 1917</t>
  </si>
  <si>
    <t>Comp 1918</t>
  </si>
  <si>
    <t>Comp 1919</t>
  </si>
  <si>
    <t>Comp 1920</t>
  </si>
  <si>
    <t>Comp 1921</t>
  </si>
  <si>
    <t>Comp 1922</t>
  </si>
  <si>
    <t>Comp 1923</t>
  </si>
  <si>
    <t>Comp 1924</t>
  </si>
  <si>
    <t>Comp 1925</t>
  </si>
  <si>
    <t>Comp 1926</t>
  </si>
  <si>
    <t>Comp 1927</t>
  </si>
  <si>
    <t>Comp 1928</t>
  </si>
  <si>
    <t>Comp 1929</t>
  </si>
  <si>
    <t>Comp 1930</t>
  </si>
  <si>
    <t>Comp 1931</t>
  </si>
  <si>
    <t>Comp 1932</t>
  </si>
  <si>
    <t>Comp 1933</t>
  </si>
  <si>
    <t>Comp 1934</t>
  </si>
  <si>
    <t>Comp 1935</t>
  </si>
  <si>
    <t>Comp 1936</t>
  </si>
  <si>
    <t>Comp 1937</t>
  </si>
  <si>
    <t>Comp 1938</t>
  </si>
  <si>
    <t>Comp 1939</t>
  </si>
  <si>
    <t>Comp 1940</t>
  </si>
  <si>
    <t>Comp 1941</t>
  </si>
  <si>
    <t>Comp 1942</t>
  </si>
  <si>
    <t>Comp 1943</t>
  </si>
  <si>
    <t>Comp 1944</t>
  </si>
  <si>
    <t>Comp 1945</t>
  </si>
  <si>
    <t>Comp 1946</t>
  </si>
  <si>
    <t>Comp 1947</t>
  </si>
  <si>
    <t>Comp 1948</t>
  </si>
  <si>
    <t>Comp 1949</t>
  </si>
  <si>
    <t>Comp 1950</t>
  </si>
  <si>
    <t>Comp 1951</t>
  </si>
  <si>
    <t>Comp 1952</t>
  </si>
  <si>
    <t>Comp 1953</t>
  </si>
  <si>
    <t>Comp 1954</t>
  </si>
  <si>
    <t>Comp 1955</t>
  </si>
  <si>
    <t>Comp 1956</t>
  </si>
  <si>
    <t>Comp 1957</t>
  </si>
  <si>
    <t>Comp 1958</t>
  </si>
  <si>
    <t>Comp 1959</t>
  </si>
  <si>
    <t>Comp 1960</t>
  </si>
  <si>
    <t>Comp 1961</t>
  </si>
  <si>
    <t>Comp 1962</t>
  </si>
  <si>
    <t>Comp 1963</t>
  </si>
  <si>
    <t>Comp 1964</t>
  </si>
  <si>
    <t>Comp 1965</t>
  </si>
  <si>
    <t>Comp 1966</t>
  </si>
  <si>
    <t>Comp 1967</t>
  </si>
  <si>
    <t>Comp 1968</t>
  </si>
  <si>
    <t>Comp 1969</t>
  </si>
  <si>
    <t>Comp 1970</t>
  </si>
  <si>
    <t>Comp 1971</t>
  </si>
  <si>
    <t>Comp 1972</t>
  </si>
  <si>
    <t>Comp 1973</t>
  </si>
  <si>
    <t>Comp 1974</t>
  </si>
  <si>
    <t>Comp 1975</t>
  </si>
  <si>
    <t>Comp 1976</t>
  </si>
  <si>
    <t>Comp 1977</t>
  </si>
  <si>
    <t>Comp 1978</t>
  </si>
  <si>
    <t>Comp 1979</t>
  </si>
  <si>
    <t>Comp 1980</t>
  </si>
  <si>
    <t>Comp 1981</t>
  </si>
  <si>
    <t>Comp 1982</t>
  </si>
  <si>
    <t>Comp 1983</t>
  </si>
  <si>
    <t>Comp 1984</t>
  </si>
  <si>
    <t>Comp 1985</t>
  </si>
  <si>
    <t>Comp 1986</t>
  </si>
  <si>
    <t>Comp 1987</t>
  </si>
  <si>
    <t>Comp 1988</t>
  </si>
  <si>
    <t>Comp 1989</t>
  </si>
  <si>
    <t>Comp 1990</t>
  </si>
  <si>
    <t>Comp 1991</t>
  </si>
  <si>
    <t>Comp 1992</t>
  </si>
  <si>
    <t>Comp 1993</t>
  </si>
  <si>
    <t>Comp 1994</t>
  </si>
  <si>
    <t>Comp 1995</t>
  </si>
  <si>
    <t>Comp 1996</t>
  </si>
  <si>
    <t>Comp 1997</t>
  </si>
  <si>
    <t>Comp 1998</t>
  </si>
  <si>
    <t>Comp 1999</t>
  </si>
  <si>
    <t>Comp 2000</t>
  </si>
  <si>
    <t>Comp 2001</t>
  </si>
  <si>
    <t>Comp 2002</t>
  </si>
  <si>
    <t>Comp 2003</t>
  </si>
  <si>
    <t>Comp 2004</t>
  </si>
  <si>
    <t>Comp 2005</t>
  </si>
  <si>
    <t>Comp 2006</t>
  </si>
  <si>
    <t>Comp 2007</t>
  </si>
  <si>
    <t>Comp 2008</t>
  </si>
  <si>
    <t>Comp 2009</t>
  </si>
  <si>
    <t>Comp 2010</t>
  </si>
  <si>
    <t>Comp 2011</t>
  </si>
  <si>
    <t>Comp 2012</t>
  </si>
  <si>
    <t>Comp 2013</t>
  </si>
  <si>
    <t>Comp 2014</t>
  </si>
  <si>
    <t>Comp 2015</t>
  </si>
  <si>
    <t>Comp 2016</t>
  </si>
  <si>
    <t>Comp 2017</t>
  </si>
  <si>
    <t>Comp 2018</t>
  </si>
  <si>
    <t>Comp 2019</t>
  </si>
  <si>
    <t>Comp 2021</t>
  </si>
  <si>
    <t>Comp 2022</t>
  </si>
  <si>
    <t>Comp 2023</t>
  </si>
  <si>
    <t>Comp 2024</t>
  </si>
  <si>
    <t>Comp 2025</t>
  </si>
  <si>
    <t>Comp 2026</t>
  </si>
  <si>
    <t>Comp 2027</t>
  </si>
  <si>
    <t>Comp 2028</t>
  </si>
  <si>
    <t>Comp 2029</t>
  </si>
  <si>
    <t>Comp 2030</t>
  </si>
  <si>
    <t>Comp 2031</t>
  </si>
  <si>
    <t>Comp 2032</t>
  </si>
  <si>
    <t>Comp 2033</t>
  </si>
  <si>
    <t>Comp 2034</t>
  </si>
  <si>
    <t>Comp 2035</t>
  </si>
  <si>
    <t>Comp 2036</t>
  </si>
  <si>
    <t>Comp 2037</t>
  </si>
  <si>
    <t>Comp 2038</t>
  </si>
  <si>
    <t>Comp 2039</t>
  </si>
  <si>
    <t>Comp 2040</t>
  </si>
  <si>
    <t>Comp 2041</t>
  </si>
  <si>
    <t>Comp 2042</t>
  </si>
  <si>
    <t>Comp 2043</t>
  </si>
  <si>
    <t>Comp 2044</t>
  </si>
  <si>
    <t>Comp 2045</t>
  </si>
  <si>
    <t>Comp 2046</t>
  </si>
  <si>
    <t>Comp 2047</t>
  </si>
  <si>
    <t>Comp 2048</t>
  </si>
  <si>
    <t>Comp 2049</t>
  </si>
  <si>
    <t>Comp 2050</t>
  </si>
  <si>
    <t>Comp 2051</t>
  </si>
  <si>
    <t>Comp 2052</t>
  </si>
  <si>
    <t>Comp 2053</t>
  </si>
  <si>
    <t>Comp 2054</t>
  </si>
  <si>
    <t>Comp 2055</t>
  </si>
  <si>
    <t>Comp 2056</t>
  </si>
  <si>
    <t>Comp 2057</t>
  </si>
  <si>
    <t>Comp 2058</t>
  </si>
  <si>
    <t>Comp 2059</t>
  </si>
  <si>
    <t>Comp 2060</t>
  </si>
  <si>
    <t>Comp 2061</t>
  </si>
  <si>
    <t>Comp 2062</t>
  </si>
  <si>
    <t>Nome 1</t>
  </si>
  <si>
    <t>Nome 2</t>
  </si>
  <si>
    <t>CPF 1</t>
  </si>
  <si>
    <t>CPF 2</t>
  </si>
  <si>
    <t>CPF 3</t>
  </si>
  <si>
    <t>CPF 4</t>
  </si>
  <si>
    <t>CPF 5</t>
  </si>
  <si>
    <t>CPF 6</t>
  </si>
  <si>
    <t>CPF 7</t>
  </si>
  <si>
    <t>CPF 8</t>
  </si>
  <si>
    <t>CPF 9</t>
  </si>
  <si>
    <t>CPF 10</t>
  </si>
  <si>
    <t>CPF 11</t>
  </si>
  <si>
    <t>CPF 12</t>
  </si>
  <si>
    <t>CPF 13</t>
  </si>
  <si>
    <t>CPF 14</t>
  </si>
  <si>
    <t>CPF 15</t>
  </si>
  <si>
    <t>CPF 16</t>
  </si>
  <si>
    <t>CPF 17</t>
  </si>
  <si>
    <t>CPF 18</t>
  </si>
  <si>
    <t>CPF 19</t>
  </si>
  <si>
    <t>CPF 20</t>
  </si>
  <si>
    <t>CPF 21</t>
  </si>
  <si>
    <t>CPF 22</t>
  </si>
  <si>
    <t>CPF 23</t>
  </si>
  <si>
    <t>CPF 24</t>
  </si>
  <si>
    <t>CPF 25</t>
  </si>
  <si>
    <t>CPF 26</t>
  </si>
  <si>
    <t>CPF 27</t>
  </si>
  <si>
    <t>CPF 28</t>
  </si>
  <si>
    <t>CPF 29</t>
  </si>
  <si>
    <t>CPF 30</t>
  </si>
  <si>
    <t>CPF 31</t>
  </si>
  <si>
    <t>CPF 32</t>
  </si>
  <si>
    <t>CPF 33</t>
  </si>
  <si>
    <t>CPF 34</t>
  </si>
  <si>
    <t>CPF 35</t>
  </si>
  <si>
    <t>CPF 36</t>
  </si>
  <si>
    <t>CPF 37</t>
  </si>
  <si>
    <t>CPF 38</t>
  </si>
  <si>
    <t>CPF 39</t>
  </si>
  <si>
    <t>CPF 40</t>
  </si>
  <si>
    <t>CPF 41</t>
  </si>
  <si>
    <t>CPF 42</t>
  </si>
  <si>
    <t>CPF 43</t>
  </si>
  <si>
    <t>CPF 44</t>
  </si>
  <si>
    <t>CPF 45</t>
  </si>
  <si>
    <t>CPF 46</t>
  </si>
  <si>
    <t>CPF 47</t>
  </si>
  <si>
    <t>CPF 48</t>
  </si>
  <si>
    <t>CPF 49</t>
  </si>
  <si>
    <t>CPF 50</t>
  </si>
  <si>
    <t>CPF 51</t>
  </si>
  <si>
    <t>CPF 52</t>
  </si>
  <si>
    <t>CPF 53</t>
  </si>
  <si>
    <t>CPF 54</t>
  </si>
  <si>
    <t>CPF 55</t>
  </si>
  <si>
    <t>CPF 56</t>
  </si>
  <si>
    <t>CPF 57</t>
  </si>
  <si>
    <t>CPF 58</t>
  </si>
  <si>
    <t>CPF 59</t>
  </si>
  <si>
    <t>CPF 60</t>
  </si>
  <si>
    <t>CPF 61</t>
  </si>
  <si>
    <t>CPF 62</t>
  </si>
  <si>
    <t>CPF 63</t>
  </si>
  <si>
    <t>CPF 64</t>
  </si>
  <si>
    <t>CPF 65</t>
  </si>
  <si>
    <t>CPF 66</t>
  </si>
  <si>
    <t>CPF 67</t>
  </si>
  <si>
    <t>CPF 68</t>
  </si>
  <si>
    <t>CPF 69</t>
  </si>
  <si>
    <t>CPF 70</t>
  </si>
  <si>
    <t>CPF 71</t>
  </si>
  <si>
    <t>CPF 72</t>
  </si>
  <si>
    <t>CPF 73</t>
  </si>
  <si>
    <t>CPF 74</t>
  </si>
  <si>
    <t>CPF 75</t>
  </si>
  <si>
    <t>CPF 76</t>
  </si>
  <si>
    <t>CPF 77</t>
  </si>
  <si>
    <t>CPF 78</t>
  </si>
  <si>
    <t>CPF 79</t>
  </si>
  <si>
    <t>CPF 80</t>
  </si>
  <si>
    <t>CPF 81</t>
  </si>
  <si>
    <t>CPF 82</t>
  </si>
  <si>
    <t>CPF 83</t>
  </si>
  <si>
    <t>CPF 84</t>
  </si>
  <si>
    <t>CPF 85</t>
  </si>
  <si>
    <t>CPF 86</t>
  </si>
  <si>
    <t>CPF 87</t>
  </si>
  <si>
    <t>CPF 88</t>
  </si>
  <si>
    <t>CPF 89</t>
  </si>
  <si>
    <t>CPF 90</t>
  </si>
  <si>
    <t>CPF 91</t>
  </si>
  <si>
    <t>CPF 92</t>
  </si>
  <si>
    <t>CPF 93</t>
  </si>
  <si>
    <t>CPF 94</t>
  </si>
  <si>
    <t>CPF 95</t>
  </si>
  <si>
    <t>CPF 96</t>
  </si>
  <si>
    <t>CPF 97</t>
  </si>
  <si>
    <t>CPF 98</t>
  </si>
  <si>
    <t>CPF 99</t>
  </si>
  <si>
    <t>CPF 100</t>
  </si>
  <si>
    <t>CPF 101</t>
  </si>
  <si>
    <t>CPF 102</t>
  </si>
  <si>
    <t>CPF 103</t>
  </si>
  <si>
    <t>CPF 104</t>
  </si>
  <si>
    <t>CPF 105</t>
  </si>
  <si>
    <t>CPF 106</t>
  </si>
  <si>
    <t>CPF 107</t>
  </si>
  <si>
    <t>CPF 108</t>
  </si>
  <si>
    <t>CPF 109</t>
  </si>
  <si>
    <t>CPF 110</t>
  </si>
  <si>
    <t>CPF 111</t>
  </si>
  <si>
    <t>CPF 112</t>
  </si>
  <si>
    <t>CPF 113</t>
  </si>
  <si>
    <t>CPF 114</t>
  </si>
  <si>
    <t>CPF 115</t>
  </si>
  <si>
    <t>CPF 116</t>
  </si>
  <si>
    <t>CPF 117</t>
  </si>
  <si>
    <t>CPF 118</t>
  </si>
  <si>
    <t>CPF 119</t>
  </si>
  <si>
    <t>CPF 120</t>
  </si>
  <si>
    <t>CPF 121</t>
  </si>
  <si>
    <t>CPF 122</t>
  </si>
  <si>
    <t>CPF 123</t>
  </si>
  <si>
    <t>CPF 124</t>
  </si>
  <si>
    <t>CPF 125</t>
  </si>
  <si>
    <t>CPF 126</t>
  </si>
  <si>
    <t>CPF 127</t>
  </si>
  <si>
    <t>CPF 128</t>
  </si>
  <si>
    <t>CPF 129</t>
  </si>
  <si>
    <t>CPF 130</t>
  </si>
  <si>
    <t>CPF 131</t>
  </si>
  <si>
    <t>CPF 132</t>
  </si>
  <si>
    <t>CPF 133</t>
  </si>
  <si>
    <t>CPF 134</t>
  </si>
  <si>
    <t>CPF 135</t>
  </si>
  <si>
    <t>CPF 136</t>
  </si>
  <si>
    <t>CPF 137</t>
  </si>
  <si>
    <t>CPF 138</t>
  </si>
  <si>
    <t>CPF 139</t>
  </si>
  <si>
    <t>CPF 140</t>
  </si>
  <si>
    <t>CPF 141</t>
  </si>
  <si>
    <t>CPF 142</t>
  </si>
  <si>
    <t>CPF 143</t>
  </si>
  <si>
    <t>CPF 144</t>
  </si>
  <si>
    <t>CPF 145</t>
  </si>
  <si>
    <t>CPF 146</t>
  </si>
  <si>
    <t>CPF 147</t>
  </si>
  <si>
    <t>CPF 148</t>
  </si>
  <si>
    <t>CPF 149</t>
  </si>
  <si>
    <t>CPF 150</t>
  </si>
  <si>
    <t>CPF 151</t>
  </si>
  <si>
    <t>CPF 152</t>
  </si>
  <si>
    <t>CPF 153</t>
  </si>
  <si>
    <t>CPF 154</t>
  </si>
  <si>
    <t>CPF 155</t>
  </si>
  <si>
    <t>CPF 156</t>
  </si>
  <si>
    <t>CPF 157</t>
  </si>
  <si>
    <t>CPF 158</t>
  </si>
  <si>
    <t>CPF 159</t>
  </si>
  <si>
    <t>CPF 160</t>
  </si>
  <si>
    <t>CPF 161</t>
  </si>
  <si>
    <t>CPF 162</t>
  </si>
  <si>
    <t>CPF 163</t>
  </si>
  <si>
    <t>CPF 164</t>
  </si>
  <si>
    <t>CPF 165</t>
  </si>
  <si>
    <t>CPF 166</t>
  </si>
  <si>
    <t>CPF 167</t>
  </si>
  <si>
    <t>CPF 168</t>
  </si>
  <si>
    <t>CPF 169</t>
  </si>
  <si>
    <t>CPF 170</t>
  </si>
  <si>
    <t>CPF 171</t>
  </si>
  <si>
    <t>CPF 172</t>
  </si>
  <si>
    <t>CPF 173</t>
  </si>
  <si>
    <t>CPF 174</t>
  </si>
  <si>
    <t>CPF 175</t>
  </si>
  <si>
    <t>CPF 176</t>
  </si>
  <si>
    <t>CPF 177</t>
  </si>
  <si>
    <t>CPF 178</t>
  </si>
  <si>
    <t>CPF 179</t>
  </si>
  <si>
    <t>CPF 180</t>
  </si>
  <si>
    <t>CPF 181</t>
  </si>
  <si>
    <t>CPF 182</t>
  </si>
  <si>
    <t>CPF 183</t>
  </si>
  <si>
    <t>CPF 184</t>
  </si>
  <si>
    <t>CPF 185</t>
  </si>
  <si>
    <t>CPF 186</t>
  </si>
  <si>
    <t>CPF 187</t>
  </si>
  <si>
    <t>CPF 188</t>
  </si>
  <si>
    <t>CPF 189</t>
  </si>
  <si>
    <t>CPF 190</t>
  </si>
  <si>
    <t>CPF 191</t>
  </si>
  <si>
    <t>CPF 192</t>
  </si>
  <si>
    <t>CPF 193</t>
  </si>
  <si>
    <t>CPF 194</t>
  </si>
  <si>
    <t>CPF 195</t>
  </si>
  <si>
    <t>CPF 196</t>
  </si>
  <si>
    <t>CPF 197</t>
  </si>
  <si>
    <t>CPF 198</t>
  </si>
  <si>
    <t>CPF 199</t>
  </si>
  <si>
    <t>CPF 200</t>
  </si>
  <si>
    <t>CPF 201</t>
  </si>
  <si>
    <t>CPF 202</t>
  </si>
  <si>
    <t>CPF 203</t>
  </si>
  <si>
    <t>CPF 204</t>
  </si>
  <si>
    <t>CPF 205</t>
  </si>
  <si>
    <t>CPF 206</t>
  </si>
  <si>
    <t>CPF 207</t>
  </si>
  <si>
    <t>CPF 208</t>
  </si>
  <si>
    <t>CPF 209</t>
  </si>
  <si>
    <t>CPF 210</t>
  </si>
  <si>
    <t>CPF 211</t>
  </si>
  <si>
    <t>CPF 212</t>
  </si>
  <si>
    <t>CPF 213</t>
  </si>
  <si>
    <t>CPF 214</t>
  </si>
  <si>
    <t>CPF 215</t>
  </si>
  <si>
    <t>CPF 216</t>
  </si>
  <si>
    <t>CPF 217</t>
  </si>
  <si>
    <t>CPF 218</t>
  </si>
  <si>
    <t>CPF 219</t>
  </si>
  <si>
    <t>CPF 220</t>
  </si>
  <si>
    <t>CPF 221</t>
  </si>
  <si>
    <t>CPF 222</t>
  </si>
  <si>
    <t>CPF 223</t>
  </si>
  <si>
    <t>CPF 224</t>
  </si>
  <si>
    <t>CPF 225</t>
  </si>
  <si>
    <t>CPF 226</t>
  </si>
  <si>
    <t>CPF 227</t>
  </si>
  <si>
    <t>CPF 228</t>
  </si>
  <si>
    <t>CPF 229</t>
  </si>
  <si>
    <t>CPF 230</t>
  </si>
  <si>
    <t>CPF 231</t>
  </si>
  <si>
    <t>CPF 232</t>
  </si>
  <si>
    <t>CPF 233</t>
  </si>
  <si>
    <t>CPF 234</t>
  </si>
  <si>
    <t>CPF 235</t>
  </si>
  <si>
    <t>CPF 236</t>
  </si>
  <si>
    <t>CPF 237</t>
  </si>
  <si>
    <t>CPF 238</t>
  </si>
  <si>
    <t>CPF 239</t>
  </si>
  <si>
    <t>CPF 240</t>
  </si>
  <si>
    <t>CPF 241</t>
  </si>
  <si>
    <t>CPF 242</t>
  </si>
  <si>
    <t>CPF 243</t>
  </si>
  <si>
    <t>CPF 244</t>
  </si>
  <si>
    <t>CPF 245</t>
  </si>
  <si>
    <t>CPF 246</t>
  </si>
  <si>
    <t>CPF 247</t>
  </si>
  <si>
    <t>CPF 248</t>
  </si>
  <si>
    <t>CPF 249</t>
  </si>
  <si>
    <t>CPF 250</t>
  </si>
  <si>
    <t>CPF 251</t>
  </si>
  <si>
    <t>CPF 252</t>
  </si>
  <si>
    <t>CPF 253</t>
  </si>
  <si>
    <t>CPF 254</t>
  </si>
  <si>
    <t>CPF 255</t>
  </si>
  <si>
    <t>CPF 256</t>
  </si>
  <si>
    <t>CPF 257</t>
  </si>
  <si>
    <t>CPF 258</t>
  </si>
  <si>
    <t>CPF 259</t>
  </si>
  <si>
    <t>CPF 260</t>
  </si>
  <si>
    <t>CPF 261</t>
  </si>
  <si>
    <t>CPF 262</t>
  </si>
  <si>
    <t>CPF 263</t>
  </si>
  <si>
    <t>CPF 264</t>
  </si>
  <si>
    <t>CPF 265</t>
  </si>
  <si>
    <t>CPF 266</t>
  </si>
  <si>
    <t>CPF 267</t>
  </si>
  <si>
    <t>CPF 268</t>
  </si>
  <si>
    <t>CPF 269</t>
  </si>
  <si>
    <t>CPF 270</t>
  </si>
  <si>
    <t>CPF 271</t>
  </si>
  <si>
    <t>CPF 272</t>
  </si>
  <si>
    <t>CPF 273</t>
  </si>
  <si>
    <t>CPF 274</t>
  </si>
  <si>
    <t>CPF 275</t>
  </si>
  <si>
    <t>CPF 276</t>
  </si>
  <si>
    <t>CPF 277</t>
  </si>
  <si>
    <t>CPF 278</t>
  </si>
  <si>
    <t>CPF 279</t>
  </si>
  <si>
    <t>CPF 280</t>
  </si>
  <si>
    <t>CPF 281</t>
  </si>
  <si>
    <t>CPF 282</t>
  </si>
  <si>
    <t>CPF 283</t>
  </si>
  <si>
    <t>CPF 284</t>
  </si>
  <si>
    <t>CPF 285</t>
  </si>
  <si>
    <t>CPF 286</t>
  </si>
  <si>
    <t>CPF 287</t>
  </si>
  <si>
    <t>CPF 288</t>
  </si>
  <si>
    <t>CPF 289</t>
  </si>
  <si>
    <t>CPF 290</t>
  </si>
  <si>
    <t>CPF 291</t>
  </si>
  <si>
    <t>CPF 292</t>
  </si>
  <si>
    <t>CPF 293</t>
  </si>
  <si>
    <t>CPF 294</t>
  </si>
  <si>
    <t>CPF 295</t>
  </si>
  <si>
    <t>CPF 296</t>
  </si>
  <si>
    <t>CPF 297</t>
  </si>
  <si>
    <t>CPF 298</t>
  </si>
  <si>
    <t>CPF 299</t>
  </si>
  <si>
    <t>CPF 300</t>
  </si>
  <si>
    <t>CPF 301</t>
  </si>
  <si>
    <t>CPF 302</t>
  </si>
  <si>
    <t>CPF 303</t>
  </si>
  <si>
    <t>CPF 304</t>
  </si>
  <si>
    <t>CPF 305</t>
  </si>
  <si>
    <t>CPF 306</t>
  </si>
  <si>
    <t>CPF 307</t>
  </si>
  <si>
    <t>CPF 308</t>
  </si>
  <si>
    <t>CPF 309</t>
  </si>
  <si>
    <t>CPF 310</t>
  </si>
  <si>
    <t>CPF 311</t>
  </si>
  <si>
    <t>CPF 312</t>
  </si>
  <si>
    <t>CPF 313</t>
  </si>
  <si>
    <t>CPF 314</t>
  </si>
  <si>
    <t>CPF 315</t>
  </si>
  <si>
    <t>CPF 316</t>
  </si>
  <si>
    <t>CPF 317</t>
  </si>
  <si>
    <t>CPF 318</t>
  </si>
  <si>
    <t>CPF 319</t>
  </si>
  <si>
    <t>CPF 320</t>
  </si>
  <si>
    <t>CPF 321</t>
  </si>
  <si>
    <t>CPF 322</t>
  </si>
  <si>
    <t>CPF 323</t>
  </si>
  <si>
    <t>CPF 324</t>
  </si>
  <si>
    <t>CPF 325</t>
  </si>
  <si>
    <t>CPF 326</t>
  </si>
  <si>
    <t>CPF 327</t>
  </si>
  <si>
    <t>CPF 328</t>
  </si>
  <si>
    <t>CPF 329</t>
  </si>
  <si>
    <t>CPF 330</t>
  </si>
  <si>
    <t>CPF 331</t>
  </si>
  <si>
    <t>CPF 332</t>
  </si>
  <si>
    <t>CPF 333</t>
  </si>
  <si>
    <t>CPF 334</t>
  </si>
  <si>
    <t>CPF 335</t>
  </si>
  <si>
    <t>CPF 336</t>
  </si>
  <si>
    <t>CPF 337</t>
  </si>
  <si>
    <t>CPF 338</t>
  </si>
  <si>
    <t>CPF 339</t>
  </si>
  <si>
    <t>CPF 340</t>
  </si>
  <si>
    <t>CPF 341</t>
  </si>
  <si>
    <t>CPF 342</t>
  </si>
  <si>
    <t>CPF 343</t>
  </si>
  <si>
    <t>CPF 344</t>
  </si>
  <si>
    <t>CPF 345</t>
  </si>
  <si>
    <t>CPF 346</t>
  </si>
  <si>
    <t>CPF 347</t>
  </si>
  <si>
    <t>CPF 348</t>
  </si>
  <si>
    <t>CPF 349</t>
  </si>
  <si>
    <t>CPF 350</t>
  </si>
  <si>
    <t>CPF 351</t>
  </si>
  <si>
    <t>CPF 352</t>
  </si>
  <si>
    <t>CPF 353</t>
  </si>
  <si>
    <t>CPF 354</t>
  </si>
  <si>
    <t>CPF 355</t>
  </si>
  <si>
    <t>CPF 356</t>
  </si>
  <si>
    <t>CPF 357</t>
  </si>
  <si>
    <t>CPF 358</t>
  </si>
  <si>
    <t>CPF 359</t>
  </si>
  <si>
    <t>CPF 360</t>
  </si>
  <si>
    <t>CPF 361</t>
  </si>
  <si>
    <t>CPF 362</t>
  </si>
  <si>
    <t>CPF 363</t>
  </si>
  <si>
    <t>CPF 364</t>
  </si>
  <si>
    <t>CPF 365</t>
  </si>
  <si>
    <t>CPF 366</t>
  </si>
  <si>
    <t>CPF 367</t>
  </si>
  <si>
    <t>CPF 368</t>
  </si>
  <si>
    <t>CPF 369</t>
  </si>
  <si>
    <t>CPF 370</t>
  </si>
  <si>
    <t>CPF 371</t>
  </si>
  <si>
    <t>CPF 372</t>
  </si>
  <si>
    <t>CPF 373</t>
  </si>
  <si>
    <t>CPF 374</t>
  </si>
  <si>
    <t>CPF 375</t>
  </si>
  <si>
    <t>CPF 376</t>
  </si>
  <si>
    <t>CPF 377</t>
  </si>
  <si>
    <t>CPF 378</t>
  </si>
  <si>
    <t>CPF 379</t>
  </si>
  <si>
    <t>CPF 380</t>
  </si>
  <si>
    <t>CPF 381</t>
  </si>
  <si>
    <t>CPF 382</t>
  </si>
  <si>
    <t>CPF 383</t>
  </si>
  <si>
    <t>CPF 384</t>
  </si>
  <si>
    <t>CPF 385</t>
  </si>
  <si>
    <t>CPF 386</t>
  </si>
  <si>
    <t>CPF 387</t>
  </si>
  <si>
    <t>CPF 388</t>
  </si>
  <si>
    <t>CPF 389</t>
  </si>
  <si>
    <t>CPF 390</t>
  </si>
  <si>
    <t>CPF 391</t>
  </si>
  <si>
    <t>CPF 392</t>
  </si>
  <si>
    <t>CPF 393</t>
  </si>
  <si>
    <t>CPF 394</t>
  </si>
  <si>
    <t>CPF 395</t>
  </si>
  <si>
    <t>CPF 396</t>
  </si>
  <si>
    <t>CPF 397</t>
  </si>
  <si>
    <t>CPF 398</t>
  </si>
  <si>
    <t>CPF 399</t>
  </si>
  <si>
    <t>CPF 400</t>
  </si>
  <si>
    <t>CPF 401</t>
  </si>
  <si>
    <t>CPF 402</t>
  </si>
  <si>
    <t>CPF 403</t>
  </si>
  <si>
    <t>CPF 404</t>
  </si>
  <si>
    <t>CPF 405</t>
  </si>
  <si>
    <t>CPF 406</t>
  </si>
  <si>
    <t>CPF 407</t>
  </si>
  <si>
    <t>CPF 408</t>
  </si>
  <si>
    <t>CPF 409</t>
  </si>
  <si>
    <t>CPF 410</t>
  </si>
  <si>
    <t>CPF 411</t>
  </si>
  <si>
    <t>CPF 412</t>
  </si>
  <si>
    <t>CPF 413</t>
  </si>
  <si>
    <t>CPF 414</t>
  </si>
  <si>
    <t>CPF 415</t>
  </si>
  <si>
    <t>CPF 416</t>
  </si>
  <si>
    <t>CPF 417</t>
  </si>
  <si>
    <t>CPF 418</t>
  </si>
  <si>
    <t>CPF 419</t>
  </si>
  <si>
    <t>CPF 420</t>
  </si>
  <si>
    <t>CPF 421</t>
  </si>
  <si>
    <t>CPF 422</t>
  </si>
  <si>
    <t>CPF 423</t>
  </si>
  <si>
    <t>CPF 424</t>
  </si>
  <si>
    <t>CPF 425</t>
  </si>
  <si>
    <t>CPF 426</t>
  </si>
  <si>
    <t>CPF 427</t>
  </si>
  <si>
    <t>CPF 428</t>
  </si>
  <si>
    <t>CPF 429</t>
  </si>
  <si>
    <t>CPF 430</t>
  </si>
  <si>
    <t>CPF 431</t>
  </si>
  <si>
    <t>CPF 432</t>
  </si>
  <si>
    <t>CPF 433</t>
  </si>
  <si>
    <t>CPF 434</t>
  </si>
  <si>
    <t>CPF 435</t>
  </si>
  <si>
    <t>CPF 436</t>
  </si>
  <si>
    <t>CPF 437</t>
  </si>
  <si>
    <t>CPF 438</t>
  </si>
  <si>
    <t>CPF 439</t>
  </si>
  <si>
    <t>CPF 440</t>
  </si>
  <si>
    <t>CPF 441</t>
  </si>
  <si>
    <t>CPF 442</t>
  </si>
  <si>
    <t>CPF 443</t>
  </si>
  <si>
    <t>CPF 444</t>
  </si>
  <si>
    <t>CPF 445</t>
  </si>
  <si>
    <t>CPF 446</t>
  </si>
  <si>
    <t>CPF 447</t>
  </si>
  <si>
    <t>CPF 448</t>
  </si>
  <si>
    <t>CPF 449</t>
  </si>
  <si>
    <t>CPF 450</t>
  </si>
  <si>
    <t>CPF 451</t>
  </si>
  <si>
    <t>CPF 452</t>
  </si>
  <si>
    <t>CPF 453</t>
  </si>
  <si>
    <t>CPF 454</t>
  </si>
  <si>
    <t>CPF 455</t>
  </si>
  <si>
    <t>CPF 456</t>
  </si>
  <si>
    <t>CPF 457</t>
  </si>
  <si>
    <t>CPF 458</t>
  </si>
  <si>
    <t>CPF 459</t>
  </si>
  <si>
    <t>CPF 460</t>
  </si>
  <si>
    <t>CPF 461</t>
  </si>
  <si>
    <t>CPF 462</t>
  </si>
  <si>
    <t>CPF 463</t>
  </si>
  <si>
    <t>CPF 464</t>
  </si>
  <si>
    <t>CPF 465</t>
  </si>
  <si>
    <t>CPF 466</t>
  </si>
  <si>
    <t>CPF 467</t>
  </si>
  <si>
    <t>CPF 468</t>
  </si>
  <si>
    <t>CPF 469</t>
  </si>
  <si>
    <t>CPF 470</t>
  </si>
  <si>
    <t>CPF 471</t>
  </si>
  <si>
    <t>CPF 472</t>
  </si>
  <si>
    <t>CPF 473</t>
  </si>
  <si>
    <t>CPF 474</t>
  </si>
  <si>
    <t>CPF 475</t>
  </si>
  <si>
    <t>CPF 476</t>
  </si>
  <si>
    <t>CPF 477</t>
  </si>
  <si>
    <t>CPF 478</t>
  </si>
  <si>
    <t>CPF 479</t>
  </si>
  <si>
    <t>CPF 480</t>
  </si>
  <si>
    <t>CPF 481</t>
  </si>
  <si>
    <t>CPF 482</t>
  </si>
  <si>
    <t>CPF 483</t>
  </si>
  <si>
    <t>CPF 484</t>
  </si>
  <si>
    <t>CPF 485</t>
  </si>
  <si>
    <t>CPF 486</t>
  </si>
  <si>
    <t>CPF 487</t>
  </si>
  <si>
    <t>CPF 488</t>
  </si>
  <si>
    <t>CPF 489</t>
  </si>
  <si>
    <t>CPF 490</t>
  </si>
  <si>
    <t>CPF 491</t>
  </si>
  <si>
    <t>CPF 492</t>
  </si>
  <si>
    <t>CPF 493</t>
  </si>
  <si>
    <t>CPF 494</t>
  </si>
  <si>
    <t>CPF 495</t>
  </si>
  <si>
    <t>CPF 496</t>
  </si>
  <si>
    <t>CPF 497</t>
  </si>
  <si>
    <t>CPF 498</t>
  </si>
  <si>
    <t>CPF 499</t>
  </si>
  <si>
    <t>CPF 500</t>
  </si>
  <si>
    <t>CPF 501</t>
  </si>
  <si>
    <t>CPF 502</t>
  </si>
  <si>
    <t>CPF 503</t>
  </si>
  <si>
    <t>CPF 504</t>
  </si>
  <si>
    <t>CPF 505</t>
  </si>
  <si>
    <t>CPF 506</t>
  </si>
  <si>
    <t>CPF 507</t>
  </si>
  <si>
    <t>CPF 508</t>
  </si>
  <si>
    <t>CPF 509</t>
  </si>
  <si>
    <t>CPF 510</t>
  </si>
  <si>
    <t>CPF 511</t>
  </si>
  <si>
    <t>CPF 512</t>
  </si>
  <si>
    <t>CPF 513</t>
  </si>
  <si>
    <t>CPF 514</t>
  </si>
  <si>
    <t>CPF 515</t>
  </si>
  <si>
    <t>CPF 516</t>
  </si>
  <si>
    <t>CPF 517</t>
  </si>
  <si>
    <t>CPF 518</t>
  </si>
  <si>
    <t>CPF 519</t>
  </si>
  <si>
    <t>CPF 520</t>
  </si>
  <si>
    <t>CPF 521</t>
  </si>
  <si>
    <t>CPF 522</t>
  </si>
  <si>
    <t>CPF 523</t>
  </si>
  <si>
    <t>CPF 524</t>
  </si>
  <si>
    <t>CPF 525</t>
  </si>
  <si>
    <t>CPF 526</t>
  </si>
  <si>
    <t>CPF 527</t>
  </si>
  <si>
    <t>CPF 528</t>
  </si>
  <si>
    <t>CPF 529</t>
  </si>
  <si>
    <t>CPF 530</t>
  </si>
  <si>
    <t>CPF 531</t>
  </si>
  <si>
    <t>CPF 532</t>
  </si>
  <si>
    <t>CPF 533</t>
  </si>
  <si>
    <t>CPF 534</t>
  </si>
  <si>
    <t>CPF 535</t>
  </si>
  <si>
    <t>CPF 536</t>
  </si>
  <si>
    <t>CPF 537</t>
  </si>
  <si>
    <t>CPF 538</t>
  </si>
  <si>
    <t>CPF 539</t>
  </si>
  <si>
    <t>CPF 540</t>
  </si>
  <si>
    <t>CPF 541</t>
  </si>
  <si>
    <t>CPF 542</t>
  </si>
  <si>
    <t>CPF 543</t>
  </si>
  <si>
    <t>CPF 544</t>
  </si>
  <si>
    <t>CPF 545</t>
  </si>
  <si>
    <t>CPF 546</t>
  </si>
  <si>
    <t>CPF 547</t>
  </si>
  <si>
    <t>CPF 548</t>
  </si>
  <si>
    <t>CPF 549</t>
  </si>
  <si>
    <t>CPF 550</t>
  </si>
  <si>
    <t>CPF 551</t>
  </si>
  <si>
    <t>CPF 552</t>
  </si>
  <si>
    <t>CPF 553</t>
  </si>
  <si>
    <t>CPF 554</t>
  </si>
  <si>
    <t>CPF 555</t>
  </si>
  <si>
    <t>CPF 556</t>
  </si>
  <si>
    <t>CPF 557</t>
  </si>
  <si>
    <t>CPF 558</t>
  </si>
  <si>
    <t>CPF 559</t>
  </si>
  <si>
    <t>CPF 560</t>
  </si>
  <si>
    <t>CPF 561</t>
  </si>
  <si>
    <t>CPF 562</t>
  </si>
  <si>
    <t>CPF 563</t>
  </si>
  <si>
    <t>CPF 564</t>
  </si>
  <si>
    <t>CPF 565</t>
  </si>
  <si>
    <t>CPF 566</t>
  </si>
  <si>
    <t>CPF 567</t>
  </si>
  <si>
    <t>CPF 568</t>
  </si>
  <si>
    <t>CPF 569</t>
  </si>
  <si>
    <t>CPF 570</t>
  </si>
  <si>
    <t>CPF 571</t>
  </si>
  <si>
    <t>CPF 572</t>
  </si>
  <si>
    <t>CPF 573</t>
  </si>
  <si>
    <t>CPF 574</t>
  </si>
  <si>
    <t>CPF 575</t>
  </si>
  <si>
    <t>CPF 576</t>
  </si>
  <si>
    <t>CPF 577</t>
  </si>
  <si>
    <t>CPF 578</t>
  </si>
  <si>
    <t>CPF 579</t>
  </si>
  <si>
    <t>CPF 580</t>
  </si>
  <si>
    <t>CPF 581</t>
  </si>
  <si>
    <t>CPF 582</t>
  </si>
  <si>
    <t>CPF 583</t>
  </si>
  <si>
    <t>CPF 584</t>
  </si>
  <si>
    <t>CPF 585</t>
  </si>
  <si>
    <t>CPF 586</t>
  </si>
  <si>
    <t>CPF 587</t>
  </si>
  <si>
    <t>CPF 588</t>
  </si>
  <si>
    <t>CPF 589</t>
  </si>
  <si>
    <t>CPF 590</t>
  </si>
  <si>
    <t>CPF 591</t>
  </si>
  <si>
    <t>CPF 592</t>
  </si>
  <si>
    <t>CPF 593</t>
  </si>
  <si>
    <t>CPF 594</t>
  </si>
  <si>
    <t>CPF 595</t>
  </si>
  <si>
    <t>CPF 596</t>
  </si>
  <si>
    <t>CPF 597</t>
  </si>
  <si>
    <t>CPF 598</t>
  </si>
  <si>
    <t>CPF 599</t>
  </si>
  <si>
    <t>CPF 600</t>
  </si>
  <si>
    <t>CPF 601</t>
  </si>
  <si>
    <t>CPF 602</t>
  </si>
  <si>
    <t>CPF 603</t>
  </si>
  <si>
    <t>CPF 604</t>
  </si>
  <si>
    <t>CPF 605</t>
  </si>
  <si>
    <t>CPF 606</t>
  </si>
  <si>
    <t>CPF 607</t>
  </si>
  <si>
    <t>CPF 608</t>
  </si>
  <si>
    <t>CPF 609</t>
  </si>
  <si>
    <t>CPF 610</t>
  </si>
  <si>
    <t>CPF 611</t>
  </si>
  <si>
    <t>CPF 612</t>
  </si>
  <si>
    <t>CPF 613</t>
  </si>
  <si>
    <t>CPF 614</t>
  </si>
  <si>
    <t>CPF 615</t>
  </si>
  <si>
    <t>CPF 616</t>
  </si>
  <si>
    <t>CPF 617</t>
  </si>
  <si>
    <t>CPF 618</t>
  </si>
  <si>
    <t>CPF 619</t>
  </si>
  <si>
    <t>CPF 620</t>
  </si>
  <si>
    <t>CPF 621</t>
  </si>
  <si>
    <t>CPF 622</t>
  </si>
  <si>
    <t>CPF 623</t>
  </si>
  <si>
    <t>CPF 624</t>
  </si>
  <si>
    <t>CPF 625</t>
  </si>
  <si>
    <t>CPF 626</t>
  </si>
  <si>
    <t>CPF 627</t>
  </si>
  <si>
    <t>CPF 628</t>
  </si>
  <si>
    <t>CPF 629</t>
  </si>
  <si>
    <t>CPF 630</t>
  </si>
  <si>
    <t>CPF 631</t>
  </si>
  <si>
    <t>CPF 632</t>
  </si>
  <si>
    <t>CPF 633</t>
  </si>
  <si>
    <t>CPF 634</t>
  </si>
  <si>
    <t>CPF 635</t>
  </si>
  <si>
    <t>CPF 636</t>
  </si>
  <si>
    <t>CPF 637</t>
  </si>
  <si>
    <t>CPF 638</t>
  </si>
  <si>
    <t>CPF 639</t>
  </si>
  <si>
    <t>CPF 640</t>
  </si>
  <si>
    <t>CPF 641</t>
  </si>
  <si>
    <t>CPF 642</t>
  </si>
  <si>
    <t>CPF 643</t>
  </si>
  <si>
    <t>CPF 644</t>
  </si>
  <si>
    <t>CPF 645</t>
  </si>
  <si>
    <t>CPF 646</t>
  </si>
  <si>
    <t>CPF 647</t>
  </si>
  <si>
    <t>CPF 648</t>
  </si>
  <si>
    <t>CPF 649</t>
  </si>
  <si>
    <t>CPF 650</t>
  </si>
  <si>
    <t>CPF 651</t>
  </si>
  <si>
    <t>CPF 653</t>
  </si>
  <si>
    <t>CPF 654</t>
  </si>
  <si>
    <t>CPF 655</t>
  </si>
  <si>
    <t>CPF 656</t>
  </si>
  <si>
    <t>CPF 657</t>
  </si>
  <si>
    <t>CPF 658</t>
  </si>
  <si>
    <t>CPF 659</t>
  </si>
  <si>
    <t>CPF 660</t>
  </si>
  <si>
    <t>CPF 661</t>
  </si>
  <si>
    <t>CPF 662</t>
  </si>
  <si>
    <t>CPF 663</t>
  </si>
  <si>
    <t>CPF 664</t>
  </si>
  <si>
    <t>CPF 665</t>
  </si>
  <si>
    <t>CPF 666</t>
  </si>
  <si>
    <t>CPF 667</t>
  </si>
  <si>
    <t>CPF 668</t>
  </si>
  <si>
    <t>CPF 669</t>
  </si>
  <si>
    <t>CPF 670</t>
  </si>
  <si>
    <t>CPF 671</t>
  </si>
  <si>
    <t>CPF 672</t>
  </si>
  <si>
    <t>CPF 673</t>
  </si>
  <si>
    <t>CPF 674</t>
  </si>
  <si>
    <t>CPF 675</t>
  </si>
  <si>
    <t>CPF 676</t>
  </si>
  <si>
    <t>CPF 677</t>
  </si>
  <si>
    <t>CPF 678</t>
  </si>
  <si>
    <t>CPF 679</t>
  </si>
  <si>
    <t>CPF 680</t>
  </si>
  <si>
    <t>CPF 681</t>
  </si>
  <si>
    <t>CPF 682</t>
  </si>
  <si>
    <t>CPF 683</t>
  </si>
  <si>
    <t>CPF 684</t>
  </si>
  <si>
    <t>CPF 685</t>
  </si>
  <si>
    <t>CPF 686</t>
  </si>
  <si>
    <t>CPF 687</t>
  </si>
  <si>
    <t>CPF 688</t>
  </si>
  <si>
    <t>CPF 689</t>
  </si>
  <si>
    <t>CPF 690</t>
  </si>
  <si>
    <t>CPF 691</t>
  </si>
  <si>
    <t>CPF 692</t>
  </si>
  <si>
    <t>CPF 693</t>
  </si>
  <si>
    <t>CPF 694</t>
  </si>
  <si>
    <t>CPF 695</t>
  </si>
  <si>
    <t>CPF 696</t>
  </si>
  <si>
    <t>CPF 697</t>
  </si>
  <si>
    <t>CPF 698</t>
  </si>
  <si>
    <t>CPF 699</t>
  </si>
  <si>
    <t>CPF 700</t>
  </si>
  <si>
    <t>CPF 701</t>
  </si>
  <si>
    <t>CPF 702</t>
  </si>
  <si>
    <t>CPF 703</t>
  </si>
  <si>
    <t>CPF 704</t>
  </si>
  <si>
    <t>CPF 705</t>
  </si>
  <si>
    <t>CPF 706</t>
  </si>
  <si>
    <t>CPF 707</t>
  </si>
  <si>
    <t>CPF 708</t>
  </si>
  <si>
    <t>CPF 709</t>
  </si>
  <si>
    <t>CPF 710</t>
  </si>
  <si>
    <t>CPF 711</t>
  </si>
  <si>
    <t>CPF 712</t>
  </si>
  <si>
    <t>CPF 713</t>
  </si>
  <si>
    <t>CPF 714</t>
  </si>
  <si>
    <t>CPF 715</t>
  </si>
  <si>
    <t>CPF 716</t>
  </si>
  <si>
    <t>CPF 717</t>
  </si>
  <si>
    <t>CPF 718</t>
  </si>
  <si>
    <t>CPF 719</t>
  </si>
  <si>
    <t>CPF 720</t>
  </si>
  <si>
    <t>CPF 721</t>
  </si>
  <si>
    <t>CPF 722</t>
  </si>
  <si>
    <t>CPF 723</t>
  </si>
  <si>
    <t>CPF 724</t>
  </si>
  <si>
    <t>CPF 725</t>
  </si>
  <si>
    <t>CPF 726</t>
  </si>
  <si>
    <t>CPF 727</t>
  </si>
  <si>
    <t>CPF 728</t>
  </si>
  <si>
    <t>CPF 729</t>
  </si>
  <si>
    <t>CPF 730</t>
  </si>
  <si>
    <t>CPF 731</t>
  </si>
  <si>
    <t>CPF 732</t>
  </si>
  <si>
    <t>CPF 733</t>
  </si>
  <si>
    <t>CPF 734</t>
  </si>
  <si>
    <t>CPF 735</t>
  </si>
  <si>
    <t>CPF 736</t>
  </si>
  <si>
    <t>CPF 737</t>
  </si>
  <si>
    <t>CPF 738</t>
  </si>
  <si>
    <t>CPF 739</t>
  </si>
  <si>
    <t>CPF 740</t>
  </si>
  <si>
    <t>CPF 741</t>
  </si>
  <si>
    <t>CPF 742</t>
  </si>
  <si>
    <t>CPF 743</t>
  </si>
  <si>
    <t>CPF 744</t>
  </si>
  <si>
    <t>CPF 745</t>
  </si>
  <si>
    <t>CPF 746</t>
  </si>
  <si>
    <t>CPF 747</t>
  </si>
  <si>
    <t>CPF 748</t>
  </si>
  <si>
    <t>CPF 749</t>
  </si>
  <si>
    <t>CPF 750</t>
  </si>
  <si>
    <t>CPF 751</t>
  </si>
  <si>
    <t>CPF 752</t>
  </si>
  <si>
    <t>CPF 753</t>
  </si>
  <si>
    <t>CPF 754</t>
  </si>
  <si>
    <t>CPF 755</t>
  </si>
  <si>
    <t>CPF 756</t>
  </si>
  <si>
    <t>CPF 757</t>
  </si>
  <si>
    <t>CPF 758</t>
  </si>
  <si>
    <t>CPF 759</t>
  </si>
  <si>
    <t>CPF 760</t>
  </si>
  <si>
    <t>CPF 761</t>
  </si>
  <si>
    <t>CPF 762</t>
  </si>
  <si>
    <t>CPF 763</t>
  </si>
  <si>
    <t>CPF 764</t>
  </si>
  <si>
    <t>CPF 765</t>
  </si>
  <si>
    <t>CPF 766</t>
  </si>
  <si>
    <t>CPF 767</t>
  </si>
  <si>
    <t>CPF 768</t>
  </si>
  <si>
    <t>CPF 769</t>
  </si>
  <si>
    <t>CPF 770</t>
  </si>
  <si>
    <t>CPF 771</t>
  </si>
  <si>
    <t>CPF 772</t>
  </si>
  <si>
    <t>CPF 773</t>
  </si>
  <si>
    <t>CPF 774</t>
  </si>
  <si>
    <t>CPF 775</t>
  </si>
  <si>
    <t>CPF 776</t>
  </si>
  <si>
    <t>CPF 777</t>
  </si>
  <si>
    <t>CPF 778</t>
  </si>
  <si>
    <t>CPF 779</t>
  </si>
  <si>
    <t>CPF 780</t>
  </si>
  <si>
    <t>CPF 781</t>
  </si>
  <si>
    <t>CPF 782</t>
  </si>
  <si>
    <t>CPF 783</t>
  </si>
  <si>
    <t>CPF 784</t>
  </si>
  <si>
    <t>CPF 785</t>
  </si>
  <si>
    <t>CPF 786</t>
  </si>
  <si>
    <t>CPF 787</t>
  </si>
  <si>
    <t>CPF 788</t>
  </si>
  <si>
    <t>CPF 789</t>
  </si>
  <si>
    <t>CPF 790</t>
  </si>
  <si>
    <t>CPF 791</t>
  </si>
  <si>
    <t>CPF 792</t>
  </si>
  <si>
    <t>CPF 793</t>
  </si>
  <si>
    <t>CPF 794</t>
  </si>
  <si>
    <t>CPF 795</t>
  </si>
  <si>
    <t>CPF 796</t>
  </si>
  <si>
    <t>CPF 797</t>
  </si>
  <si>
    <t>CPF 798</t>
  </si>
  <si>
    <t>CPF 799</t>
  </si>
  <si>
    <t>CPF 800</t>
  </si>
  <si>
    <t>CPF 801</t>
  </si>
  <si>
    <t>CPF 802</t>
  </si>
  <si>
    <t>CPF 803</t>
  </si>
  <si>
    <t>CPF 804</t>
  </si>
  <si>
    <t>CPF 805</t>
  </si>
  <si>
    <t>CPF 806</t>
  </si>
  <si>
    <t>CPF 807</t>
  </si>
  <si>
    <t>CPF 808</t>
  </si>
  <si>
    <t>CPF 809</t>
  </si>
  <si>
    <t>CPF 810</t>
  </si>
  <si>
    <t>CPF 811</t>
  </si>
  <si>
    <t>CPF 812</t>
  </si>
  <si>
    <t>CPF 813</t>
  </si>
  <si>
    <t>CPF 814</t>
  </si>
  <si>
    <t>CPF 815</t>
  </si>
  <si>
    <t>CPF 816</t>
  </si>
  <si>
    <t>CPF 817</t>
  </si>
  <si>
    <t>CPF 818</t>
  </si>
  <si>
    <t>CPF 819</t>
  </si>
  <si>
    <t>CPF 820</t>
  </si>
  <si>
    <t>CPF 821</t>
  </si>
  <si>
    <t>CPF 822</t>
  </si>
  <si>
    <t>CPF 823</t>
  </si>
  <si>
    <t>CPF 824</t>
  </si>
  <si>
    <t>CPF 825</t>
  </si>
  <si>
    <t>CPF 826</t>
  </si>
  <si>
    <t>CPF 827</t>
  </si>
  <si>
    <t>CPF 828</t>
  </si>
  <si>
    <t>CPF 829</t>
  </si>
  <si>
    <t>CPF 830</t>
  </si>
  <si>
    <t>CPF 831</t>
  </si>
  <si>
    <t>CPF 832</t>
  </si>
  <si>
    <t>CPF 833</t>
  </si>
  <si>
    <t>CPF 834</t>
  </si>
  <si>
    <t>CPF 835</t>
  </si>
  <si>
    <t>CPF 836</t>
  </si>
  <si>
    <t>CPF 837</t>
  </si>
  <si>
    <t>CPF 838</t>
  </si>
  <si>
    <t>CPF 839</t>
  </si>
  <si>
    <t>CPF 840</t>
  </si>
  <si>
    <t>CPF 841</t>
  </si>
  <si>
    <t>CPF 842</t>
  </si>
  <si>
    <t>CPF 843</t>
  </si>
  <si>
    <t>CPF 844</t>
  </si>
  <si>
    <t>CPF 845</t>
  </si>
  <si>
    <t>CPF 846</t>
  </si>
  <si>
    <t>CPF 847</t>
  </si>
  <si>
    <t>CPF 848</t>
  </si>
  <si>
    <t>CPF 849</t>
  </si>
  <si>
    <t>CPF 850</t>
  </si>
  <si>
    <t>CPF 851</t>
  </si>
  <si>
    <t>CPF 852</t>
  </si>
  <si>
    <t>CPF 853</t>
  </si>
  <si>
    <t>CPF 854</t>
  </si>
  <si>
    <t>CPF 855</t>
  </si>
  <si>
    <t>CPF 856</t>
  </si>
  <si>
    <t>CPF 857</t>
  </si>
  <si>
    <t>CPF 858</t>
  </si>
  <si>
    <t>CPF 859</t>
  </si>
  <si>
    <t>CPF 860</t>
  </si>
  <si>
    <t>CPF 861</t>
  </si>
  <si>
    <t>CPF 862</t>
  </si>
  <si>
    <t>CPF 863</t>
  </si>
  <si>
    <t>CPF 864</t>
  </si>
  <si>
    <t>CPF 865</t>
  </si>
  <si>
    <t>CPF 866</t>
  </si>
  <si>
    <t>CPF 867</t>
  </si>
  <si>
    <t>CPF 868</t>
  </si>
  <si>
    <t>CPF 869</t>
  </si>
  <si>
    <t>CPF 870</t>
  </si>
  <si>
    <t>CPF 871</t>
  </si>
  <si>
    <t>CPF 872</t>
  </si>
  <si>
    <t>CPF 873</t>
  </si>
  <si>
    <t>CPF 874</t>
  </si>
  <si>
    <t>CPF 875</t>
  </si>
  <si>
    <t>CPF 876</t>
  </si>
  <si>
    <t>CPF 877</t>
  </si>
  <si>
    <t>CPF 878</t>
  </si>
  <si>
    <t>CPF 879</t>
  </si>
  <si>
    <t>CPF 880</t>
  </si>
  <si>
    <t>CPF 881</t>
  </si>
  <si>
    <t>CPF 882</t>
  </si>
  <si>
    <t>CPF 883</t>
  </si>
  <si>
    <t>CPF 884</t>
  </si>
  <si>
    <t>CPF 885</t>
  </si>
  <si>
    <t>CPF 886</t>
  </si>
  <si>
    <t>CPF 887</t>
  </si>
  <si>
    <t>CPF 888</t>
  </si>
  <si>
    <t>CPF 889</t>
  </si>
  <si>
    <t>CPF 890</t>
  </si>
  <si>
    <t>CPF 891</t>
  </si>
  <si>
    <t>CPF 892</t>
  </si>
  <si>
    <t>CPF 893</t>
  </si>
  <si>
    <t>CPF 894</t>
  </si>
  <si>
    <t>CPF 895</t>
  </si>
  <si>
    <t>CPF 896</t>
  </si>
  <si>
    <t>CPF 897</t>
  </si>
  <si>
    <t>CPF 898</t>
  </si>
  <si>
    <t>CPF 899</t>
  </si>
  <si>
    <t>CPF 900</t>
  </si>
  <si>
    <t>CPF 901</t>
  </si>
  <si>
    <t>CPF 902</t>
  </si>
  <si>
    <t>CPF 903</t>
  </si>
  <si>
    <t>CPF 904</t>
  </si>
  <si>
    <t>CPF 905</t>
  </si>
  <si>
    <t>CPF 906</t>
  </si>
  <si>
    <t>CPF 907</t>
  </si>
  <si>
    <t>CPF 908</t>
  </si>
  <si>
    <t>CPF 909</t>
  </si>
  <si>
    <t>CPF 910</t>
  </si>
  <si>
    <t>CPF 912</t>
  </si>
  <si>
    <t>CPF 913</t>
  </si>
  <si>
    <t>CPF 914</t>
  </si>
  <si>
    <t>CPF 915</t>
  </si>
  <si>
    <t>CPF 916</t>
  </si>
  <si>
    <t>CPF 917</t>
  </si>
  <si>
    <t>CPF 918</t>
  </si>
  <si>
    <t>CPF 920</t>
  </si>
  <si>
    <t>CPF 921</t>
  </si>
  <si>
    <t>CPF 922</t>
  </si>
  <si>
    <t>CPF 923</t>
  </si>
  <si>
    <t>CPF 924</t>
  </si>
  <si>
    <t>CPF 925</t>
  </si>
  <si>
    <t>CPF 927</t>
  </si>
  <si>
    <t>CPF 928</t>
  </si>
  <si>
    <t>CPF 929</t>
  </si>
  <si>
    <t>CPF 930</t>
  </si>
  <si>
    <t>CPF 931</t>
  </si>
  <si>
    <t>CPF 932</t>
  </si>
  <si>
    <t>CPF 933</t>
  </si>
  <si>
    <t>CPF 934</t>
  </si>
  <si>
    <t>CPF 935</t>
  </si>
  <si>
    <t>CPF 936</t>
  </si>
  <si>
    <t>CPF 937</t>
  </si>
  <si>
    <t>CPF 938</t>
  </si>
  <si>
    <t>CPF 939</t>
  </si>
  <si>
    <t>CPF 940</t>
  </si>
  <si>
    <t>CPF 941</t>
  </si>
  <si>
    <t>CPF 942</t>
  </si>
  <si>
    <t>CPF 943</t>
  </si>
  <si>
    <t>CPF 944</t>
  </si>
  <si>
    <t>CPF 945</t>
  </si>
  <si>
    <t>CPF 946</t>
  </si>
  <si>
    <t>CPF 947</t>
  </si>
  <si>
    <t>CPF 948</t>
  </si>
  <si>
    <t>CPF 949</t>
  </si>
  <si>
    <t>CPF 950</t>
  </si>
  <si>
    <t>CPF 951</t>
  </si>
  <si>
    <t>CPF 952</t>
  </si>
  <si>
    <t>CPF 953</t>
  </si>
  <si>
    <t>CPF 954</t>
  </si>
  <si>
    <t>CPF 955</t>
  </si>
  <si>
    <t>CPF 956</t>
  </si>
  <si>
    <t>CPF 957</t>
  </si>
  <si>
    <t>CPF 958</t>
  </si>
  <si>
    <t>CPF 959</t>
  </si>
  <si>
    <t>CPF 960</t>
  </si>
  <si>
    <t>CPF 961</t>
  </si>
  <si>
    <t>CPF 962</t>
  </si>
  <si>
    <t>CPF 963</t>
  </si>
  <si>
    <t>CPF 964</t>
  </si>
  <si>
    <t>CPF 965</t>
  </si>
  <si>
    <t>CPF 966</t>
  </si>
  <si>
    <t>CPF 967</t>
  </si>
  <si>
    <t>CPF 968</t>
  </si>
  <si>
    <t>CPF 969</t>
  </si>
  <si>
    <t>CPF 970</t>
  </si>
  <si>
    <t>CPF 971</t>
  </si>
  <si>
    <t>CPF 972</t>
  </si>
  <si>
    <t>CPF 973</t>
  </si>
  <si>
    <t>CPF 974</t>
  </si>
  <si>
    <t>CPF 975</t>
  </si>
  <si>
    <t>CPF 976</t>
  </si>
  <si>
    <t>CPF 977</t>
  </si>
  <si>
    <t>CPF 978</t>
  </si>
  <si>
    <t>CPF 979</t>
  </si>
  <si>
    <t>CPF 980</t>
  </si>
  <si>
    <t>CPF 981</t>
  </si>
  <si>
    <t>CPF 982</t>
  </si>
  <si>
    <t>CPF 983</t>
  </si>
  <si>
    <t>CPF 984</t>
  </si>
  <si>
    <t>CPF 985</t>
  </si>
  <si>
    <t>CPF 986</t>
  </si>
  <si>
    <t>CPF 987</t>
  </si>
  <si>
    <t>CPF 988</t>
  </si>
  <si>
    <t>CPF 989</t>
  </si>
  <si>
    <t>CPF 990</t>
  </si>
  <si>
    <t>CPF 991</t>
  </si>
  <si>
    <t>CPF 992</t>
  </si>
  <si>
    <t>CPF 993</t>
  </si>
  <si>
    <t>CPF 994</t>
  </si>
  <si>
    <t>CPF 995</t>
  </si>
  <si>
    <t>CPF 996</t>
  </si>
  <si>
    <t>CPF 997</t>
  </si>
  <si>
    <t>CPF 998</t>
  </si>
  <si>
    <t>CPF 999</t>
  </si>
  <si>
    <t>CPF 1000</t>
  </si>
  <si>
    <t>CPF 1001</t>
  </si>
  <si>
    <t>CPF 1002</t>
  </si>
  <si>
    <t>CPF 1003</t>
  </si>
  <si>
    <t>CPF 1004</t>
  </si>
  <si>
    <t>CPF 1005</t>
  </si>
  <si>
    <t>CPF 1006</t>
  </si>
  <si>
    <t>CPF 1007</t>
  </si>
  <si>
    <t>CPF 1008</t>
  </si>
  <si>
    <t>CPF 1009</t>
  </si>
  <si>
    <t>CPF 1010</t>
  </si>
  <si>
    <t>CPF 1011</t>
  </si>
  <si>
    <t>CPF 1012</t>
  </si>
  <si>
    <t>CPF 1013</t>
  </si>
  <si>
    <t>CPF 1014</t>
  </si>
  <si>
    <t>CPF 1015</t>
  </si>
  <si>
    <t>CPF 1016</t>
  </si>
  <si>
    <t>CPF 1017</t>
  </si>
  <si>
    <t>CPF 1018</t>
  </si>
  <si>
    <t>CPF 1019</t>
  </si>
  <si>
    <t>CPF 1020</t>
  </si>
  <si>
    <t>CPF 1021</t>
  </si>
  <si>
    <t>CPF 1022</t>
  </si>
  <si>
    <t>CPF 1023</t>
  </si>
  <si>
    <t>CPF 1024</t>
  </si>
  <si>
    <t>CPF 1025</t>
  </si>
  <si>
    <t>CPF 1026</t>
  </si>
  <si>
    <t>CPF 1027</t>
  </si>
  <si>
    <t>CPF 1028</t>
  </si>
  <si>
    <t>CPF 1029</t>
  </si>
  <si>
    <t>CPF 1030</t>
  </si>
  <si>
    <t>CPF 1031</t>
  </si>
  <si>
    <t>CPF 1032</t>
  </si>
  <si>
    <t>CPF 1033</t>
  </si>
  <si>
    <t>CPF 1034</t>
  </si>
  <si>
    <t>CPF 1035</t>
  </si>
  <si>
    <t>CPF 1036</t>
  </si>
  <si>
    <t>CPF 1037</t>
  </si>
  <si>
    <t>CPF 1038</t>
  </si>
  <si>
    <t>CPF 1039</t>
  </si>
  <si>
    <t>CPF 1040</t>
  </si>
  <si>
    <t>CPF 1041</t>
  </si>
  <si>
    <t>CPF 1042</t>
  </si>
  <si>
    <t>CPF 1043</t>
  </si>
  <si>
    <t>CPF 1044</t>
  </si>
  <si>
    <t>CPF 1045</t>
  </si>
  <si>
    <t>CPF 1046</t>
  </si>
  <si>
    <t>CPF 1047</t>
  </si>
  <si>
    <t>CPF 1048</t>
  </si>
  <si>
    <t>CPF 1049</t>
  </si>
  <si>
    <t>CPF 1050</t>
  </si>
  <si>
    <t>CPF 1051</t>
  </si>
  <si>
    <t>CPF 1052</t>
  </si>
  <si>
    <t>CPF 1054</t>
  </si>
  <si>
    <t>CPF 1055</t>
  </si>
  <si>
    <t>CPF 1056</t>
  </si>
  <si>
    <t>CPF 1057</t>
  </si>
  <si>
    <t>CPF 1058</t>
  </si>
  <si>
    <t>CPF 1059</t>
  </si>
  <si>
    <t>CPF 1060</t>
  </si>
  <si>
    <t>CPF 1061</t>
  </si>
  <si>
    <t>CPF 1062</t>
  </si>
  <si>
    <t>CPF 1063</t>
  </si>
  <si>
    <t>CPF 1064</t>
  </si>
  <si>
    <t>CPF 1065</t>
  </si>
  <si>
    <t>CPF 1066</t>
  </si>
  <si>
    <t>CPF 1067</t>
  </si>
  <si>
    <t>CPF 1068</t>
  </si>
  <si>
    <t>CPF 1069</t>
  </si>
  <si>
    <t>CPF 1070</t>
  </si>
  <si>
    <t>CPF 1071</t>
  </si>
  <si>
    <t>CPF 1072</t>
  </si>
  <si>
    <t>CPF 1073</t>
  </si>
  <si>
    <t>CPF 1074</t>
  </si>
  <si>
    <t>CPF 1075</t>
  </si>
  <si>
    <t>CPF 1076</t>
  </si>
  <si>
    <t>CPF 1077</t>
  </si>
  <si>
    <t>CPF 1078</t>
  </si>
  <si>
    <t>CPF 1079</t>
  </si>
  <si>
    <t>CPF 1080</t>
  </si>
  <si>
    <t>CPF 1081</t>
  </si>
  <si>
    <t>CPF 1082</t>
  </si>
  <si>
    <t>CPF 1083</t>
  </si>
  <si>
    <t>CPF 1084</t>
  </si>
  <si>
    <t>CPF 1085</t>
  </si>
  <si>
    <t>CPF 1086</t>
  </si>
  <si>
    <t>CPF 1087</t>
  </si>
  <si>
    <t>CPF 1088</t>
  </si>
  <si>
    <t>CPF 1089</t>
  </si>
  <si>
    <t>CPF 1090</t>
  </si>
  <si>
    <t>CPF 1091</t>
  </si>
  <si>
    <t>CPF 1092</t>
  </si>
  <si>
    <t>CPF 1093</t>
  </si>
  <si>
    <t>CPF 1094</t>
  </si>
  <si>
    <t>CPF 1095</t>
  </si>
  <si>
    <t>CPF 1096</t>
  </si>
  <si>
    <t>CPF 1097</t>
  </si>
  <si>
    <t>CPF 1098</t>
  </si>
  <si>
    <t>CPF 1099</t>
  </si>
  <si>
    <t>CPF 1100</t>
  </si>
  <si>
    <t>CPF 1101</t>
  </si>
  <si>
    <t>CPF 1102</t>
  </si>
  <si>
    <t>CPF 1103</t>
  </si>
  <si>
    <t>CPF 1104</t>
  </si>
  <si>
    <t>CPF 1105</t>
  </si>
  <si>
    <t>CPF 1106</t>
  </si>
  <si>
    <t>CPF 1107</t>
  </si>
  <si>
    <t>CPF 1108</t>
  </si>
  <si>
    <t>CPF 1109</t>
  </si>
  <si>
    <t>CPF 1110</t>
  </si>
  <si>
    <t>CPF 1111</t>
  </si>
  <si>
    <t>CPF 1112</t>
  </si>
  <si>
    <t>CPF 1113</t>
  </si>
  <si>
    <t>CPF 1114</t>
  </si>
  <si>
    <t>CPF 1115</t>
  </si>
  <si>
    <t>CPF 1116</t>
  </si>
  <si>
    <t>CPF 1117</t>
  </si>
  <si>
    <t>CPF 1118</t>
  </si>
  <si>
    <t>CPF 1119</t>
  </si>
  <si>
    <t>CPF 1120</t>
  </si>
  <si>
    <t>CPF 1121</t>
  </si>
  <si>
    <t>CPF 1122</t>
  </si>
  <si>
    <t>CPF 1123</t>
  </si>
  <si>
    <t>CPF 1124</t>
  </si>
  <si>
    <t>CPF 1125</t>
  </si>
  <si>
    <t>CPF 1126</t>
  </si>
  <si>
    <t>CPF 1127</t>
  </si>
  <si>
    <t>CPF 1128</t>
  </si>
  <si>
    <t>CPF 1129</t>
  </si>
  <si>
    <t>CPF 1130</t>
  </si>
  <si>
    <t>CPF 1131</t>
  </si>
  <si>
    <t>CPF 1132</t>
  </si>
  <si>
    <t>CPF 1133</t>
  </si>
  <si>
    <t>CPF 1134</t>
  </si>
  <si>
    <t>CPF 1135</t>
  </si>
  <si>
    <t>CPF 1136</t>
  </si>
  <si>
    <t>CPF 1137</t>
  </si>
  <si>
    <t>CPF 1138</t>
  </si>
  <si>
    <t>CPF 1139</t>
  </si>
  <si>
    <t>CPF 1140</t>
  </si>
  <si>
    <t>CPF 1141</t>
  </si>
  <si>
    <t>CPF 1142</t>
  </si>
  <si>
    <t>CPF 1143</t>
  </si>
  <si>
    <t>CPF 1144</t>
  </si>
  <si>
    <t>CPF 1145</t>
  </si>
  <si>
    <t>CPF 1146</t>
  </si>
  <si>
    <t>CPF 1147</t>
  </si>
  <si>
    <t>CPF 1148</t>
  </si>
  <si>
    <t>CPF 1149</t>
  </si>
  <si>
    <t>CPF 1150</t>
  </si>
  <si>
    <t>CPF 1151</t>
  </si>
  <si>
    <t>CPF 1152</t>
  </si>
  <si>
    <t>CPF 1153</t>
  </si>
  <si>
    <t>CPF 1154</t>
  </si>
  <si>
    <t>CPF 1155</t>
  </si>
  <si>
    <t>CPF 1156</t>
  </si>
  <si>
    <t>CPF 1157</t>
  </si>
  <si>
    <t>CPF 1158</t>
  </si>
  <si>
    <t>CPF 1159</t>
  </si>
  <si>
    <t>CPF 1160</t>
  </si>
  <si>
    <t>CPF 1161</t>
  </si>
  <si>
    <t>CPF 1162</t>
  </si>
  <si>
    <t>CPF 1163</t>
  </si>
  <si>
    <t>CPF 1164</t>
  </si>
  <si>
    <t>CPF 1165</t>
  </si>
  <si>
    <t>CPF 1166</t>
  </si>
  <si>
    <t>CPF 1167</t>
  </si>
  <si>
    <t>CPF 1168</t>
  </si>
  <si>
    <t>CPF 1169</t>
  </si>
  <si>
    <t>CPF 1170</t>
  </si>
  <si>
    <t>CPF 1171</t>
  </si>
  <si>
    <t>CPF 1172</t>
  </si>
  <si>
    <t>CPF 1174</t>
  </si>
  <si>
    <t>CPF 1175</t>
  </si>
  <si>
    <t>CPF 1176</t>
  </si>
  <si>
    <t>CPF 1177</t>
  </si>
  <si>
    <t>CPF 1178</t>
  </si>
  <si>
    <t>CPF 1179</t>
  </si>
  <si>
    <t>CPF 1180</t>
  </si>
  <si>
    <t>CPF 1181</t>
  </si>
  <si>
    <t>CPF 1182</t>
  </si>
  <si>
    <t>CPF 1183</t>
  </si>
  <si>
    <t>CPF 1184</t>
  </si>
  <si>
    <t>CPF 1185</t>
  </si>
  <si>
    <t>CPF 1186</t>
  </si>
  <si>
    <t>CPF 1187</t>
  </si>
  <si>
    <t>CPF 1188</t>
  </si>
  <si>
    <t>CPF 1189</t>
  </si>
  <si>
    <t>CPF 1190</t>
  </si>
  <si>
    <t>CPF 1191</t>
  </si>
  <si>
    <t>CPF 1192</t>
  </si>
  <si>
    <t>CPF 1193</t>
  </si>
  <si>
    <t>CPF 1194</t>
  </si>
  <si>
    <t>CPF 1195</t>
  </si>
  <si>
    <t>CPF 1196</t>
  </si>
  <si>
    <t>CPF 1197</t>
  </si>
  <si>
    <t>CPF 1198</t>
  </si>
  <si>
    <t>CPF 1199</t>
  </si>
  <si>
    <t>CPF 1200</t>
  </si>
  <si>
    <t>CPF 1201</t>
  </si>
  <si>
    <t>CPF 1202</t>
  </si>
  <si>
    <t>CPF 1203</t>
  </si>
  <si>
    <t>CPF 1204</t>
  </si>
  <si>
    <t>CPF 1205</t>
  </si>
  <si>
    <t>CPF 1206</t>
  </si>
  <si>
    <t>CPF 1207</t>
  </si>
  <si>
    <t>CPF 1208</t>
  </si>
  <si>
    <t>CPF 1209</t>
  </si>
  <si>
    <t>CPF 1210</t>
  </si>
  <si>
    <t>CPF 1211</t>
  </si>
  <si>
    <t>CPF 1212</t>
  </si>
  <si>
    <t>CPF 1213</t>
  </si>
  <si>
    <t>CPF 1214</t>
  </si>
  <si>
    <t>CPF 1215</t>
  </si>
  <si>
    <t>CPF 1216</t>
  </si>
  <si>
    <t>CPF 1217</t>
  </si>
  <si>
    <t>CPF 1218</t>
  </si>
  <si>
    <t>CPF 1219</t>
  </si>
  <si>
    <t>CPF 1220</t>
  </si>
  <si>
    <t>CPF 1221</t>
  </si>
  <si>
    <t>CPF 1222</t>
  </si>
  <si>
    <t>CPF 1223</t>
  </si>
  <si>
    <t>CPF 1224</t>
  </si>
  <si>
    <t>CPF 1225</t>
  </si>
  <si>
    <t>CPF 1226</t>
  </si>
  <si>
    <t>CPF 1227</t>
  </si>
  <si>
    <t>CPF 1228</t>
  </si>
  <si>
    <t>CPF 1229</t>
  </si>
  <si>
    <t>CPF 1230</t>
  </si>
  <si>
    <t>CPF 1231</t>
  </si>
  <si>
    <t>CPF 1232</t>
  </si>
  <si>
    <t>CPF 1233</t>
  </si>
  <si>
    <t>CPF 1234</t>
  </si>
  <si>
    <t>CPF 1235</t>
  </si>
  <si>
    <t>CPF 1236</t>
  </si>
  <si>
    <t>CPF 1237</t>
  </si>
  <si>
    <t>CPF 1238</t>
  </si>
  <si>
    <t>CPF 1239</t>
  </si>
  <si>
    <t>CPF 1240</t>
  </si>
  <si>
    <t>CPF 1241</t>
  </si>
  <si>
    <t>CPF 1242</t>
  </si>
  <si>
    <t>CPF 1243</t>
  </si>
  <si>
    <t>CPF 1244</t>
  </si>
  <si>
    <t>CPF 1245</t>
  </si>
  <si>
    <t>CPF 1246</t>
  </si>
  <si>
    <t>CPF 1247</t>
  </si>
  <si>
    <t>CPF 1248</t>
  </si>
  <si>
    <t>CPF 1249</t>
  </si>
  <si>
    <t>CPF 1250</t>
  </si>
  <si>
    <t>CPF 1251</t>
  </si>
  <si>
    <t>CPF 1252</t>
  </si>
  <si>
    <t>CPF 1253</t>
  </si>
  <si>
    <t>CPF 1254</t>
  </si>
  <si>
    <t>CPF 1255</t>
  </si>
  <si>
    <t>CPF 1256</t>
  </si>
  <si>
    <t>CPF 1257</t>
  </si>
  <si>
    <t>CPF 1258</t>
  </si>
  <si>
    <t>CPF 1259</t>
  </si>
  <si>
    <t>CPF 1260</t>
  </si>
  <si>
    <t>CPF 1261</t>
  </si>
  <si>
    <t>CPF 1262</t>
  </si>
  <si>
    <t>CPF 1263</t>
  </si>
  <si>
    <t>CPF 1264</t>
  </si>
  <si>
    <t>CPF 1265</t>
  </si>
  <si>
    <t>CPF 1266</t>
  </si>
  <si>
    <t>CPF 1267</t>
  </si>
  <si>
    <t>CPF 1268</t>
  </si>
  <si>
    <t>CPF 1269</t>
  </si>
  <si>
    <t>CPF 1270</t>
  </si>
  <si>
    <t>CPF 1271</t>
  </si>
  <si>
    <t>CPF 1272</t>
  </si>
  <si>
    <t>CPF 1273</t>
  </si>
  <si>
    <t>CPF 1274</t>
  </si>
  <si>
    <t>CPF 1275</t>
  </si>
  <si>
    <t>CPF 1276</t>
  </si>
  <si>
    <t>CPF 1277</t>
  </si>
  <si>
    <t>CPF 1278</t>
  </si>
  <si>
    <t>CPF 1279</t>
  </si>
  <si>
    <t>CPF 1280</t>
  </si>
  <si>
    <t>CPF 1281</t>
  </si>
  <si>
    <t>CPF 1282</t>
  </si>
  <si>
    <t>CPF 1283</t>
  </si>
  <si>
    <t>CPF 1284</t>
  </si>
  <si>
    <t>CPF 1285</t>
  </si>
  <si>
    <t>CPF 1286</t>
  </si>
  <si>
    <t>CPF 1287</t>
  </si>
  <si>
    <t>CPF 1288</t>
  </si>
  <si>
    <t>CPF 1289</t>
  </si>
  <si>
    <t>CPF 1290</t>
  </si>
  <si>
    <t>CPF 1291</t>
  </si>
  <si>
    <t>CPF 1292</t>
  </si>
  <si>
    <t>CPF 1293</t>
  </si>
  <si>
    <t>CPF 1294</t>
  </si>
  <si>
    <t>CPF 1295</t>
  </si>
  <si>
    <t>CPF 1296</t>
  </si>
  <si>
    <t>CPF 1297</t>
  </si>
  <si>
    <t>CPF 1298</t>
  </si>
  <si>
    <t>CPF 1299</t>
  </si>
  <si>
    <t>CPF 1300</t>
  </si>
  <si>
    <t>CPF 1301</t>
  </si>
  <si>
    <t>CPF 1302</t>
  </si>
  <si>
    <t>CPF 1303</t>
  </si>
  <si>
    <t>CPF 1304</t>
  </si>
  <si>
    <t>CPF 1305</t>
  </si>
  <si>
    <t>CPF 1306</t>
  </si>
  <si>
    <t>CPF 1307</t>
  </si>
  <si>
    <t>CPF 1308</t>
  </si>
  <si>
    <t>CPF 1309</t>
  </si>
  <si>
    <t>CPF 1310</t>
  </si>
  <si>
    <t>CPF 1311</t>
  </si>
  <si>
    <t>CPF 1312</t>
  </si>
  <si>
    <t>CPF 1313</t>
  </si>
  <si>
    <t>CPF 1314</t>
  </si>
  <si>
    <t>CPF 1315</t>
  </si>
  <si>
    <t>CPF 1316</t>
  </si>
  <si>
    <t>CPF 1317</t>
  </si>
  <si>
    <t>CPF 1318</t>
  </si>
  <si>
    <t>CPF 1319</t>
  </si>
  <si>
    <t>CPF 1320</t>
  </si>
  <si>
    <t>CPF 1321</t>
  </si>
  <si>
    <t>CPF 1322</t>
  </si>
  <si>
    <t>CPF 1323</t>
  </si>
  <si>
    <t>CPF 1324</t>
  </si>
  <si>
    <t>CPF 1325</t>
  </si>
  <si>
    <t>CPF 1326</t>
  </si>
  <si>
    <t>CPF 1327</t>
  </si>
  <si>
    <t>CPF 1328</t>
  </si>
  <si>
    <t>CPF 1329</t>
  </si>
  <si>
    <t>CPF 1330</t>
  </si>
  <si>
    <t>CPF 1331</t>
  </si>
  <si>
    <t>CPF 1332</t>
  </si>
  <si>
    <t>CPF 1333</t>
  </si>
  <si>
    <t>CPF 1334</t>
  </si>
  <si>
    <t>CPF 1335</t>
  </si>
  <si>
    <t>CPF 1336</t>
  </si>
  <si>
    <t>CPF 1337</t>
  </si>
  <si>
    <t>CPF 1338</t>
  </si>
  <si>
    <t>CPF 1339</t>
  </si>
  <si>
    <t>CPF 1340</t>
  </si>
  <si>
    <t>CPF 1341</t>
  </si>
  <si>
    <t>CPF 1342</t>
  </si>
  <si>
    <t>CPF 1343</t>
  </si>
  <si>
    <t>CPF 1344</t>
  </si>
  <si>
    <t>CPF 1345</t>
  </si>
  <si>
    <t>CPF 1346</t>
  </si>
  <si>
    <t>CPF 1347</t>
  </si>
  <si>
    <t>CPF 1348</t>
  </si>
  <si>
    <t>CPF 1349</t>
  </si>
  <si>
    <t>CPF 1350</t>
  </si>
  <si>
    <t>CPF 1351</t>
  </si>
  <si>
    <t>CPF 1352</t>
  </si>
  <si>
    <t>CPF 1353</t>
  </si>
  <si>
    <t>CPF 1354</t>
  </si>
  <si>
    <t>CPF 1355</t>
  </si>
  <si>
    <t>CPF 1356</t>
  </si>
  <si>
    <t>CPF 1357</t>
  </si>
  <si>
    <t>CPF 1358</t>
  </si>
  <si>
    <t>CPF 1359</t>
  </si>
  <si>
    <t>CPF 1360</t>
  </si>
  <si>
    <t>CPF 1361</t>
  </si>
  <si>
    <t>CPF 1362</t>
  </si>
  <si>
    <t>CPF 1363</t>
  </si>
  <si>
    <t>CPF 1364</t>
  </si>
  <si>
    <t>CPF 1365</t>
  </si>
  <si>
    <t>CPF 1366</t>
  </si>
  <si>
    <t>CPF 1367</t>
  </si>
  <si>
    <t>CPF 1368</t>
  </si>
  <si>
    <t>CPF 1369</t>
  </si>
  <si>
    <t>CPF 1370</t>
  </si>
  <si>
    <t>CPF 1371</t>
  </si>
  <si>
    <t>CPF 1372</t>
  </si>
  <si>
    <t>CPF 1373</t>
  </si>
  <si>
    <t>CPF 1374</t>
  </si>
  <si>
    <t>CPF 1375</t>
  </si>
  <si>
    <t>CPF 1376</t>
  </si>
  <si>
    <t>CPF 1377</t>
  </si>
  <si>
    <t>CPF 1378</t>
  </si>
  <si>
    <t>CPF 1379</t>
  </si>
  <si>
    <t>CPF 1380</t>
  </si>
  <si>
    <t>CPF 1381</t>
  </si>
  <si>
    <t>CPF 1382</t>
  </si>
  <si>
    <t>CPF 1383</t>
  </si>
  <si>
    <t>CPF 1384</t>
  </si>
  <si>
    <t>CPF 1385</t>
  </si>
  <si>
    <t>CPF 1386</t>
  </si>
  <si>
    <t>CPF 1387</t>
  </si>
  <si>
    <t>CPF 1388</t>
  </si>
  <si>
    <t>CPF 1389</t>
  </si>
  <si>
    <t>CPF 1390</t>
  </si>
  <si>
    <t>CPF 1391</t>
  </si>
  <si>
    <t>CPF 1392</t>
  </si>
  <si>
    <t>CPF 1393</t>
  </si>
  <si>
    <t>CPF 1394</t>
  </si>
  <si>
    <t>CPF 1395</t>
  </si>
  <si>
    <t>CPF 1396</t>
  </si>
  <si>
    <t>CPF 1397</t>
  </si>
  <si>
    <t>CPF 1398</t>
  </si>
  <si>
    <t>CPF 1399</t>
  </si>
  <si>
    <t>CPF 1400</t>
  </si>
  <si>
    <t>CPF 1401</t>
  </si>
  <si>
    <t>CPF 1402</t>
  </si>
  <si>
    <t>CPF 1403</t>
  </si>
  <si>
    <t>CPF 1404</t>
  </si>
  <si>
    <t>CPF 1405</t>
  </si>
  <si>
    <t>CPF 1406</t>
  </si>
  <si>
    <t>CPF 1407</t>
  </si>
  <si>
    <t>CPF 1408</t>
  </si>
  <si>
    <t>CPF 1409</t>
  </si>
  <si>
    <t>CPF 1410</t>
  </si>
  <si>
    <t>CPF 1411</t>
  </si>
  <si>
    <t>CPF 1412</t>
  </si>
  <si>
    <t>CPF 1413</t>
  </si>
  <si>
    <t>CPF 1414</t>
  </si>
  <si>
    <t>CPF 1415</t>
  </si>
  <si>
    <t>CPF 1416</t>
  </si>
  <si>
    <t>CPF 1417</t>
  </si>
  <si>
    <t>CPF 1418</t>
  </si>
  <si>
    <t>CPF 1419</t>
  </si>
  <si>
    <t>CPF 1420</t>
  </si>
  <si>
    <t>CPF 1421</t>
  </si>
  <si>
    <t>CPF 1422</t>
  </si>
  <si>
    <t>CPF 1423</t>
  </si>
  <si>
    <t>CPF 1424</t>
  </si>
  <si>
    <t>CPF 1425</t>
  </si>
  <si>
    <t>CPF 1426</t>
  </si>
  <si>
    <t>CPF 1427</t>
  </si>
  <si>
    <t>CPF 1428</t>
  </si>
  <si>
    <t>CPF 1429</t>
  </si>
  <si>
    <t>CPF 1430</t>
  </si>
  <si>
    <t>CPF 1431</t>
  </si>
  <si>
    <t>CPF 1432</t>
  </si>
  <si>
    <t>CPF 1433</t>
  </si>
  <si>
    <t>CPF 1434</t>
  </si>
  <si>
    <t>CPF 1435</t>
  </si>
  <si>
    <t>CPF 1436</t>
  </si>
  <si>
    <t>CPF 1437</t>
  </si>
  <si>
    <t>CPF 1438</t>
  </si>
  <si>
    <t>CPF 1439</t>
  </si>
  <si>
    <t>CPF 1440</t>
  </si>
  <si>
    <t>CPF 1441</t>
  </si>
  <si>
    <t>CPF 1442</t>
  </si>
  <si>
    <t>CPF 1443</t>
  </si>
  <si>
    <t>CPF 1444</t>
  </si>
  <si>
    <t>CPF 1445</t>
  </si>
  <si>
    <t>CPF 1446</t>
  </si>
  <si>
    <t>CPF 1447</t>
  </si>
  <si>
    <t>CPF 1448</t>
  </si>
  <si>
    <t>CPF 1449</t>
  </si>
  <si>
    <t>CPF 1450</t>
  </si>
  <si>
    <t>CPF 1451</t>
  </si>
  <si>
    <t>CPF 1452</t>
  </si>
  <si>
    <t>CPF 1453</t>
  </si>
  <si>
    <t>CPF 1454</t>
  </si>
  <si>
    <t>CPF 1455</t>
  </si>
  <si>
    <t>CPF 1456</t>
  </si>
  <si>
    <t>CPF 1457</t>
  </si>
  <si>
    <t>CPF 1458</t>
  </si>
  <si>
    <t>CPF 1459</t>
  </si>
  <si>
    <t>CPF 1460</t>
  </si>
  <si>
    <t>CPF 1461</t>
  </si>
  <si>
    <t>CPF 1462</t>
  </si>
  <si>
    <t>CPF 1463</t>
  </si>
  <si>
    <t>CPF 1464</t>
  </si>
  <si>
    <t>CPF 1465</t>
  </si>
  <si>
    <t>CPF 1466</t>
  </si>
  <si>
    <t>CPF 1467</t>
  </si>
  <si>
    <t>CPF 1468</t>
  </si>
  <si>
    <t>CPF 1469</t>
  </si>
  <si>
    <t>CPF 1470</t>
  </si>
  <si>
    <t>CPF 1471</t>
  </si>
  <si>
    <t>CPF 1472</t>
  </si>
  <si>
    <t>CPF 1473</t>
  </si>
  <si>
    <t>CPF 1474</t>
  </si>
  <si>
    <t>CPF 1475</t>
  </si>
  <si>
    <t>CPF 1476</t>
  </si>
  <si>
    <t>CPF 1477</t>
  </si>
  <si>
    <t>CPF 1478</t>
  </si>
  <si>
    <t>CPF 1479</t>
  </si>
  <si>
    <t>CPF 1480</t>
  </si>
  <si>
    <t>CPF 1481</t>
  </si>
  <si>
    <t>CPF 1482</t>
  </si>
  <si>
    <t>CPF 1483</t>
  </si>
  <si>
    <t>CPF 1484</t>
  </si>
  <si>
    <t>CPF 1485</t>
  </si>
  <si>
    <t>CPF 1486</t>
  </si>
  <si>
    <t>CPF 1487</t>
  </si>
  <si>
    <t>CPF 1488</t>
  </si>
  <si>
    <t>CPF 1489</t>
  </si>
  <si>
    <t>CPF 1490</t>
  </si>
  <si>
    <t>CPF 1491</t>
  </si>
  <si>
    <t>CPF 1492</t>
  </si>
  <si>
    <t>CPF 1493</t>
  </si>
  <si>
    <t>CPF 1494</t>
  </si>
  <si>
    <t>CPF 1495</t>
  </si>
  <si>
    <t>CPF 1496</t>
  </si>
  <si>
    <t>CPF 1497</t>
  </si>
  <si>
    <t>CPF 1498</t>
  </si>
  <si>
    <t>CPF 1499</t>
  </si>
  <si>
    <t>CPF 1500</t>
  </si>
  <si>
    <t>CPF 1501</t>
  </si>
  <si>
    <t>CPF 1502</t>
  </si>
  <si>
    <t>CPF 1503</t>
  </si>
  <si>
    <t>CPF 1504</t>
  </si>
  <si>
    <t>CPF 1505</t>
  </si>
  <si>
    <t>CPF 1507</t>
  </si>
  <si>
    <t>CPF 1508</t>
  </si>
  <si>
    <t>CPF 1509</t>
  </si>
  <si>
    <t>CPF 1510</t>
  </si>
  <si>
    <t>CPF 1511</t>
  </si>
  <si>
    <t>CPF 1512</t>
  </si>
  <si>
    <t>CPF 1513</t>
  </si>
  <si>
    <t>CPF 1514</t>
  </si>
  <si>
    <t>CPF 1515</t>
  </si>
  <si>
    <t>CPF 1516</t>
  </si>
  <si>
    <t>CPF 1517</t>
  </si>
  <si>
    <t>CPF 1518</t>
  </si>
  <si>
    <t>CPF 1519</t>
  </si>
  <si>
    <t>CPF 1520</t>
  </si>
  <si>
    <t>CPF 1521</t>
  </si>
  <si>
    <t>CPF 1522</t>
  </si>
  <si>
    <t>CPF 1523</t>
  </si>
  <si>
    <t>CPF 1524</t>
  </si>
  <si>
    <t>CPF 1525</t>
  </si>
  <si>
    <t>CPF 1526</t>
  </si>
  <si>
    <t>CPF 1527</t>
  </si>
  <si>
    <t>CPF 1528</t>
  </si>
  <si>
    <t>CPF 1529</t>
  </si>
  <si>
    <t>CPF 1530</t>
  </si>
  <si>
    <t>CPF 1531</t>
  </si>
  <si>
    <t>CPF 1532</t>
  </si>
  <si>
    <t>CPF 1533</t>
  </si>
  <si>
    <t>CPF 1534</t>
  </si>
  <si>
    <t>CPF 1535</t>
  </si>
  <si>
    <t>CPF 1536</t>
  </si>
  <si>
    <t>CPF 1537</t>
  </si>
  <si>
    <t>CPF 1538</t>
  </si>
  <si>
    <t>CPF 1539</t>
  </si>
  <si>
    <t>CPF 1540</t>
  </si>
  <si>
    <t>CPF 1541</t>
  </si>
  <si>
    <t>CPF 1542</t>
  </si>
  <si>
    <t>CPF 1543</t>
  </si>
  <si>
    <t>CPF 1544</t>
  </si>
  <si>
    <t>CPF 1545</t>
  </si>
  <si>
    <t>CPF 1546</t>
  </si>
  <si>
    <t>CPF 1547</t>
  </si>
  <si>
    <t>CPF 1548</t>
  </si>
  <si>
    <t>CPF 1549</t>
  </si>
  <si>
    <t>CPF 1550</t>
  </si>
  <si>
    <t>CPF 1551</t>
  </si>
  <si>
    <t>CPF 1552</t>
  </si>
  <si>
    <t>CPF 1553</t>
  </si>
  <si>
    <t>CPF 1554</t>
  </si>
  <si>
    <t>CPF 1555</t>
  </si>
  <si>
    <t>CPF 1556</t>
  </si>
  <si>
    <t>CPF 1557</t>
  </si>
  <si>
    <t>CPF 1558</t>
  </si>
  <si>
    <t>CPF 1559</t>
  </si>
  <si>
    <t>CPF 1560</t>
  </si>
  <si>
    <t>CPF 1561</t>
  </si>
  <si>
    <t>CPF 1562</t>
  </si>
  <si>
    <t>CPF 1563</t>
  </si>
  <si>
    <t>CPF 1564</t>
  </si>
  <si>
    <t>CPF 1565</t>
  </si>
  <si>
    <t>CPF 1566</t>
  </si>
  <si>
    <t>CPF 1567</t>
  </si>
  <si>
    <t>CPF 1568</t>
  </si>
  <si>
    <t>CPF 1569</t>
  </si>
  <si>
    <t>CPF 1570</t>
  </si>
  <si>
    <t>CPF 1571</t>
  </si>
  <si>
    <t>CPF 1572</t>
  </si>
  <si>
    <t>CPF 1573</t>
  </si>
  <si>
    <t>CPF 1574</t>
  </si>
  <si>
    <t>CPF 1575</t>
  </si>
  <si>
    <t>CPF 1576</t>
  </si>
  <si>
    <t>CPF 1577</t>
  </si>
  <si>
    <t>CPF 1578</t>
  </si>
  <si>
    <t>CPF 1579</t>
  </si>
  <si>
    <t>CPF 1580</t>
  </si>
  <si>
    <t>CPF 1581</t>
  </si>
  <si>
    <t>CPF 1582</t>
  </si>
  <si>
    <t>CPF 1583</t>
  </si>
  <si>
    <t>CPF 1584</t>
  </si>
  <si>
    <t>CPF 1585</t>
  </si>
  <si>
    <t>CPF 1586</t>
  </si>
  <si>
    <t>CPF 1587</t>
  </si>
  <si>
    <t>CPF 1588</t>
  </si>
  <si>
    <t>CPF 1589</t>
  </si>
  <si>
    <t>CPF 1590</t>
  </si>
  <si>
    <t>CPF 1591</t>
  </si>
  <si>
    <t>CPF 1592</t>
  </si>
  <si>
    <t>CPF 1593</t>
  </si>
  <si>
    <t>CPF 1594</t>
  </si>
  <si>
    <t>CPF 1595</t>
  </si>
  <si>
    <t>CPF 1596</t>
  </si>
  <si>
    <t>CPF 1597</t>
  </si>
  <si>
    <t>CPF 1598</t>
  </si>
  <si>
    <t>CPF 1599</t>
  </si>
  <si>
    <t>CPF 1600</t>
  </si>
  <si>
    <t>CPF 1601</t>
  </si>
  <si>
    <t>CPF 1602</t>
  </si>
  <si>
    <t>CPF 1603</t>
  </si>
  <si>
    <t>CPF 1604</t>
  </si>
  <si>
    <t>CPF 1605</t>
  </si>
  <si>
    <t>CPF 1606</t>
  </si>
  <si>
    <t>CPF 1607</t>
  </si>
  <si>
    <t>CPF 1608</t>
  </si>
  <si>
    <t>CPF 1609</t>
  </si>
  <si>
    <t>CPF 1610</t>
  </si>
  <si>
    <t>CPF 1611</t>
  </si>
  <si>
    <t>CPF 1612</t>
  </si>
  <si>
    <t>CPF 1613</t>
  </si>
  <si>
    <t>CPF 1614</t>
  </si>
  <si>
    <t>CPF 1615</t>
  </si>
  <si>
    <t>CPF 1616</t>
  </si>
  <si>
    <t>CPF 1617</t>
  </si>
  <si>
    <t>CPF 1618</t>
  </si>
  <si>
    <t>CPF 1619</t>
  </si>
  <si>
    <t>CPF 1620</t>
  </si>
  <si>
    <t>CPF 1621</t>
  </si>
  <si>
    <t>CPF 1622</t>
  </si>
  <si>
    <t>CPF 1623</t>
  </si>
  <si>
    <t>CPF 1624</t>
  </si>
  <si>
    <t>CPF 1625</t>
  </si>
  <si>
    <t>CPF 1626</t>
  </si>
  <si>
    <t>CPF 1627</t>
  </si>
  <si>
    <t>CPF 1628</t>
  </si>
  <si>
    <t>CPF 1629</t>
  </si>
  <si>
    <t>CPF 1630</t>
  </si>
  <si>
    <t>CPF 1631</t>
  </si>
  <si>
    <t>CPF 1632</t>
  </si>
  <si>
    <t>CPF 1633</t>
  </si>
  <si>
    <t>CPF 1634</t>
  </si>
  <si>
    <t>CPF 1635</t>
  </si>
  <si>
    <t>CPF 1636</t>
  </si>
  <si>
    <t>CPF 1637</t>
  </si>
  <si>
    <t>CPF 1638</t>
  </si>
  <si>
    <t>CPF 1639</t>
  </si>
  <si>
    <t>CPF 1640</t>
  </si>
  <si>
    <t>CPF 1641</t>
  </si>
  <si>
    <t>CPF 1642</t>
  </si>
  <si>
    <t>CPF 1643</t>
  </si>
  <si>
    <t>CPF 1644</t>
  </si>
  <si>
    <t>CPF 1645</t>
  </si>
  <si>
    <t>CPF 1646</t>
  </si>
  <si>
    <t>CPF 1647</t>
  </si>
  <si>
    <t>CPF 1648</t>
  </si>
  <si>
    <t>CPF 1649</t>
  </si>
  <si>
    <t>CPF 1650</t>
  </si>
  <si>
    <t>CPF 1651</t>
  </si>
  <si>
    <t>CPF 1652</t>
  </si>
  <si>
    <t>CPF 1653</t>
  </si>
  <si>
    <t>CPF 1654</t>
  </si>
  <si>
    <t>CPF 1655</t>
  </si>
  <si>
    <t>CPF 1656</t>
  </si>
  <si>
    <t>CPF 1657</t>
  </si>
  <si>
    <t>CPF 1658</t>
  </si>
  <si>
    <t>CPF 1659</t>
  </si>
  <si>
    <t>CPF 1660</t>
  </si>
  <si>
    <t>CPF 1661</t>
  </si>
  <si>
    <t>CPF 1662</t>
  </si>
  <si>
    <t>CPF 1663</t>
  </si>
  <si>
    <t>CPF 1664</t>
  </si>
  <si>
    <t>CPF 1665</t>
  </si>
  <si>
    <t>CPF 1666</t>
  </si>
  <si>
    <t>CPF 1667</t>
  </si>
  <si>
    <t>CPF 1668</t>
  </si>
  <si>
    <t>CPF 1669</t>
  </si>
  <si>
    <t>CPF 1670</t>
  </si>
  <si>
    <t>CPF 1671</t>
  </si>
  <si>
    <t>CPF 1672</t>
  </si>
  <si>
    <t>CPF 1673</t>
  </si>
  <si>
    <t>CPF 1674</t>
  </si>
  <si>
    <t>CPF 1675</t>
  </si>
  <si>
    <t>CPF 1676</t>
  </si>
  <si>
    <t>CPF 1677</t>
  </si>
  <si>
    <t>CPF 1678</t>
  </si>
  <si>
    <t>CPF 1679</t>
  </si>
  <si>
    <t>CPF 1680</t>
  </si>
  <si>
    <t>CPF 1681</t>
  </si>
  <si>
    <t>CPF 1682</t>
  </si>
  <si>
    <t>CPF 1683</t>
  </si>
  <si>
    <t>CPF 1684</t>
  </si>
  <si>
    <t>CPF 1685</t>
  </si>
  <si>
    <t>CPF 1686</t>
  </si>
  <si>
    <t>CPF 1687</t>
  </si>
  <si>
    <t>CPF 1688</t>
  </si>
  <si>
    <t>CPF 1689</t>
  </si>
  <si>
    <t>CPF 1690</t>
  </si>
  <si>
    <t>CPF 1691</t>
  </si>
  <si>
    <t>CPF 1692</t>
  </si>
  <si>
    <t>CPF 1693</t>
  </si>
  <si>
    <t>CPF 1694</t>
  </si>
  <si>
    <t>CPF 1695</t>
  </si>
  <si>
    <t>CPF 1696</t>
  </si>
  <si>
    <t>CPF 1697</t>
  </si>
  <si>
    <t>CPF 1698</t>
  </si>
  <si>
    <t>CPF 1699</t>
  </si>
  <si>
    <t>CPF 1700</t>
  </si>
  <si>
    <t>CPF 1701</t>
  </si>
  <si>
    <t>CPF 1702</t>
  </si>
  <si>
    <t>CPF 1703</t>
  </si>
  <si>
    <t>CPF 1704</t>
  </si>
  <si>
    <t>CPF 1705</t>
  </si>
  <si>
    <t>CPF 1706</t>
  </si>
  <si>
    <t>CPF 1707</t>
  </si>
  <si>
    <t>CPF 1708</t>
  </si>
  <si>
    <t>CPF 1709</t>
  </si>
  <si>
    <t>CPF 1710</t>
  </si>
  <si>
    <t>CPF 1711</t>
  </si>
  <si>
    <t>CPF 1712</t>
  </si>
  <si>
    <t>CPF 1713</t>
  </si>
  <si>
    <t>CPF 1714</t>
  </si>
  <si>
    <t>CPF 1715</t>
  </si>
  <si>
    <t>CPF 1716</t>
  </si>
  <si>
    <t>CPF 1717</t>
  </si>
  <si>
    <t>CPF 1718</t>
  </si>
  <si>
    <t>CPF 1719</t>
  </si>
  <si>
    <t>CPF 1720</t>
  </si>
  <si>
    <t>CPF 1721</t>
  </si>
  <si>
    <t>CPF 1722</t>
  </si>
  <si>
    <t>CPF 1726</t>
  </si>
  <si>
    <t>CPF 1727</t>
  </si>
  <si>
    <t>CPF 1728</t>
  </si>
  <si>
    <t>CPF 1729</t>
  </si>
  <si>
    <t>CPF 1730</t>
  </si>
  <si>
    <t>CPF 1731</t>
  </si>
  <si>
    <t>CPF 1732</t>
  </si>
  <si>
    <t>CPF 1733</t>
  </si>
  <si>
    <t>CPF 1734</t>
  </si>
  <si>
    <t>CPF 1735</t>
  </si>
  <si>
    <t>CPF 1736</t>
  </si>
  <si>
    <t>CPF 1737</t>
  </si>
  <si>
    <t>CPF 1738</t>
  </si>
  <si>
    <t>CPF 1739</t>
  </si>
  <si>
    <t>CPF 1740</t>
  </si>
  <si>
    <t>CPF 1741</t>
  </si>
  <si>
    <t>CPF 1742</t>
  </si>
  <si>
    <t>CPF 1743</t>
  </si>
  <si>
    <t>CPF 1744</t>
  </si>
  <si>
    <t>CPF 1745</t>
  </si>
  <si>
    <t>CPF 1746</t>
  </si>
  <si>
    <t>CPF 1747</t>
  </si>
  <si>
    <t>CPF 1748</t>
  </si>
  <si>
    <t>CPF 1749</t>
  </si>
  <si>
    <t>CPF 1750</t>
  </si>
  <si>
    <t>CPF 1751</t>
  </si>
  <si>
    <t>CPF 1752</t>
  </si>
  <si>
    <t>CPF 1753</t>
  </si>
  <si>
    <t>CPF 1754</t>
  </si>
  <si>
    <t>CPF 1755</t>
  </si>
  <si>
    <t>CPF 1756</t>
  </si>
  <si>
    <t>CPF 1757</t>
  </si>
  <si>
    <t>CPF 1758</t>
  </si>
  <si>
    <t>CPF 1759</t>
  </si>
  <si>
    <t>CPF 1760</t>
  </si>
  <si>
    <t>CPF 1761</t>
  </si>
  <si>
    <t>CPF 1762</t>
  </si>
  <si>
    <t>CPF 1763</t>
  </si>
  <si>
    <t>CPF 1764</t>
  </si>
  <si>
    <t>CPF 1765</t>
  </si>
  <si>
    <t>CPF 1766</t>
  </si>
  <si>
    <t>CPF 1767</t>
  </si>
  <si>
    <t>CPF 1768</t>
  </si>
  <si>
    <t>CPF 1769</t>
  </si>
  <si>
    <t>CPF 1770</t>
  </si>
  <si>
    <t>CPF 1771</t>
  </si>
  <si>
    <t>CPF 1772</t>
  </si>
  <si>
    <t>CPF 1773</t>
  </si>
  <si>
    <t>CPF 1774</t>
  </si>
  <si>
    <t>CPF 1775</t>
  </si>
  <si>
    <t>CPF 1776</t>
  </si>
  <si>
    <t>CPF 1777</t>
  </si>
  <si>
    <t>CPF 1778</t>
  </si>
  <si>
    <t>CPF 1779</t>
  </si>
  <si>
    <t>CPF 1780</t>
  </si>
  <si>
    <t>CPF 1781</t>
  </si>
  <si>
    <t>CPF 1782</t>
  </si>
  <si>
    <t>CPF 1783</t>
  </si>
  <si>
    <t>CPF 1784</t>
  </si>
  <si>
    <t>CPF 1785</t>
  </si>
  <si>
    <t>CPF 1786</t>
  </si>
  <si>
    <t>CPF 1787</t>
  </si>
  <si>
    <t>CPF 1788</t>
  </si>
  <si>
    <t>CPF 1789</t>
  </si>
  <si>
    <t>CPF 1790</t>
  </si>
  <si>
    <t>CPF 1791</t>
  </si>
  <si>
    <t>CPF 1792</t>
  </si>
  <si>
    <t>CPF 1793</t>
  </si>
  <si>
    <t>CPF 1794</t>
  </si>
  <si>
    <t>CPF 1795</t>
  </si>
  <si>
    <t>CPF 1796</t>
  </si>
  <si>
    <t>CPF 1797</t>
  </si>
  <si>
    <t>CPF 1798</t>
  </si>
  <si>
    <t>CPF 1799</t>
  </si>
  <si>
    <t>CPF 1800</t>
  </si>
  <si>
    <t>CPF 1801</t>
  </si>
  <si>
    <t>CPF 1802</t>
  </si>
  <si>
    <t>CPF 1803</t>
  </si>
  <si>
    <t>CPF 1804</t>
  </si>
  <si>
    <t>CPF 1805</t>
  </si>
  <si>
    <t>CPF 1806</t>
  </si>
  <si>
    <t>CPF 1807</t>
  </si>
  <si>
    <t>CPF 1808</t>
  </si>
  <si>
    <t>CPF 1809</t>
  </si>
  <si>
    <t>CPF 1810</t>
  </si>
  <si>
    <t>CPF 1811</t>
  </si>
  <si>
    <t>CPF 1812</t>
  </si>
  <si>
    <t>CPF 1813</t>
  </si>
  <si>
    <t>CPF 1814</t>
  </si>
  <si>
    <t>CPF 1815</t>
  </si>
  <si>
    <t>CPF 1816</t>
  </si>
  <si>
    <t>CPF 1817</t>
  </si>
  <si>
    <t>CPF 1818</t>
  </si>
  <si>
    <t>CPF 1819</t>
  </si>
  <si>
    <t>CPF 1820</t>
  </si>
  <si>
    <t>CPF 1821</t>
  </si>
  <si>
    <t>CPF 1822</t>
  </si>
  <si>
    <t>CPF 1823</t>
  </si>
  <si>
    <t>CPF 1824</t>
  </si>
  <si>
    <t>CPF 1825</t>
  </si>
  <si>
    <t>CPF 1826</t>
  </si>
  <si>
    <t>CPF 1827</t>
  </si>
  <si>
    <t>CPF 1828</t>
  </si>
  <si>
    <t>CPF 1829</t>
  </si>
  <si>
    <t>CPF 1830</t>
  </si>
  <si>
    <t>CPF 1831</t>
  </si>
  <si>
    <t>CPF 1832</t>
  </si>
  <si>
    <t>CPF 1833</t>
  </si>
  <si>
    <t>CPF 1834</t>
  </si>
  <si>
    <t>CPF 1835</t>
  </si>
  <si>
    <t>CPF 1836</t>
  </si>
  <si>
    <t>CPF 1837</t>
  </si>
  <si>
    <t>CPF 1838</t>
  </si>
  <si>
    <t>CPF 1839</t>
  </si>
  <si>
    <t>CPF 1840</t>
  </si>
  <si>
    <t>CPF 1841</t>
  </si>
  <si>
    <t>CPF 1842</t>
  </si>
  <si>
    <t>CPF 1843</t>
  </si>
  <si>
    <t>CPF 1844</t>
  </si>
  <si>
    <t>CPF 1845</t>
  </si>
  <si>
    <t>CPF 1846</t>
  </si>
  <si>
    <t>CPF 1847</t>
  </si>
  <si>
    <t>CPF 1848</t>
  </si>
  <si>
    <t>CPF 1849</t>
  </si>
  <si>
    <t>CPF 1850</t>
  </si>
  <si>
    <t>CPF 1851</t>
  </si>
  <si>
    <t>CPF 1852</t>
  </si>
  <si>
    <t>CPF 1853</t>
  </si>
  <si>
    <t>CPF 1854</t>
  </si>
  <si>
    <t>CPF 1855</t>
  </si>
  <si>
    <t>CPF 1856</t>
  </si>
  <si>
    <t>CPF 1857</t>
  </si>
  <si>
    <t>CPF 1858</t>
  </si>
  <si>
    <t>CPF 1859</t>
  </si>
  <si>
    <t>CPF 1860</t>
  </si>
  <si>
    <t>CPF 1861</t>
  </si>
  <si>
    <t>CPF 1862</t>
  </si>
  <si>
    <t>CPF 1863</t>
  </si>
  <si>
    <t>CPF 1864</t>
  </si>
  <si>
    <t>CPF 1865</t>
  </si>
  <si>
    <t>CPF 1866</t>
  </si>
  <si>
    <t>CPF 1867</t>
  </si>
  <si>
    <t>CPF 1868</t>
  </si>
  <si>
    <t>CPF 1869</t>
  </si>
  <si>
    <t>CPF 1870</t>
  </si>
  <si>
    <t>CPF 1871</t>
  </si>
  <si>
    <t>CPF 1872</t>
  </si>
  <si>
    <t>CPF 1873</t>
  </si>
  <si>
    <t>CPF 1874</t>
  </si>
  <si>
    <t>CPF 1875</t>
  </si>
  <si>
    <t>CPF 1876</t>
  </si>
  <si>
    <t>CPF 1877</t>
  </si>
  <si>
    <t>CPF 1878</t>
  </si>
  <si>
    <t>CPF 1879</t>
  </si>
  <si>
    <t>CPF 1880</t>
  </si>
  <si>
    <t>CPF 1881</t>
  </si>
  <si>
    <t>CPF 1882</t>
  </si>
  <si>
    <t>CPF 1883</t>
  </si>
  <si>
    <t>CPF 1884</t>
  </si>
  <si>
    <t>CPF 1885</t>
  </si>
  <si>
    <t>CPF 1886</t>
  </si>
  <si>
    <t>CPF 1887</t>
  </si>
  <si>
    <t>CPF 1888</t>
  </si>
  <si>
    <t>CPF 1889</t>
  </si>
  <si>
    <t>CPF 1890</t>
  </si>
  <si>
    <t>CPF 1891</t>
  </si>
  <si>
    <t>CPF 1892</t>
  </si>
  <si>
    <t>CPF 1893</t>
  </si>
  <si>
    <t>CPF 1894</t>
  </si>
  <si>
    <t>CPF 1895</t>
  </si>
  <si>
    <t>CPF 1896</t>
  </si>
  <si>
    <t>CPF 1897</t>
  </si>
  <si>
    <t>CPF 1898</t>
  </si>
  <si>
    <t>CPF 1899</t>
  </si>
  <si>
    <t>CPF 1900</t>
  </si>
  <si>
    <t>CPF 1901</t>
  </si>
  <si>
    <t>CPF 1902</t>
  </si>
  <si>
    <t>CPF 1903</t>
  </si>
  <si>
    <t>CPF 1904</t>
  </si>
  <si>
    <t>CPF 1905</t>
  </si>
  <si>
    <t>CPF 1906</t>
  </si>
  <si>
    <t>CPF 1907</t>
  </si>
  <si>
    <t>CPF 1908</t>
  </si>
  <si>
    <t>CPF 1909</t>
  </si>
  <si>
    <t>CPF 1910</t>
  </si>
  <si>
    <t>CPF 1911</t>
  </si>
  <si>
    <t>CPF 1912</t>
  </si>
  <si>
    <t>CPF 1913</t>
  </si>
  <si>
    <t>CPF 1914</t>
  </si>
  <si>
    <t>CPF 1915</t>
  </si>
  <si>
    <t>CPF 1916</t>
  </si>
  <si>
    <t>CPF 1917</t>
  </si>
  <si>
    <t>CPF 1918</t>
  </si>
  <si>
    <t>CPF 1919</t>
  </si>
  <si>
    <t>CPF 1920</t>
  </si>
  <si>
    <t>CPF 1921</t>
  </si>
  <si>
    <t>CPF 1922</t>
  </si>
  <si>
    <t>CPF 1923</t>
  </si>
  <si>
    <t>CPF 1924</t>
  </si>
  <si>
    <t>CPF 1925</t>
  </si>
  <si>
    <t>CPF 1926</t>
  </si>
  <si>
    <t>CPF 1927</t>
  </si>
  <si>
    <t>CPF 1928</t>
  </si>
  <si>
    <t>CPF 1929</t>
  </si>
  <si>
    <t>CPF 1930</t>
  </si>
  <si>
    <t>CPF 1931</t>
  </si>
  <si>
    <t>CPF 1932</t>
  </si>
  <si>
    <t>CPF 1933</t>
  </si>
  <si>
    <t>CPF 1934</t>
  </si>
  <si>
    <t>CPF 1935</t>
  </si>
  <si>
    <t>CPF 1936</t>
  </si>
  <si>
    <t>CPF 1937</t>
  </si>
  <si>
    <t>CPF 1938</t>
  </si>
  <si>
    <t>CPF 1939</t>
  </si>
  <si>
    <t>CPF 1940</t>
  </si>
  <si>
    <t>CPF 1941</t>
  </si>
  <si>
    <t>CPF 1942</t>
  </si>
  <si>
    <t>CPF 1943</t>
  </si>
  <si>
    <t>CPF 1944</t>
  </si>
  <si>
    <t>CPF 1945</t>
  </si>
  <si>
    <t>CPF 1946</t>
  </si>
  <si>
    <t>CPF 1947</t>
  </si>
  <si>
    <t>CPF 1948</t>
  </si>
  <si>
    <t>CPF 1949</t>
  </si>
  <si>
    <t>CPF 1950</t>
  </si>
  <si>
    <t>CPF 1951</t>
  </si>
  <si>
    <t>CPF 1952</t>
  </si>
  <si>
    <t>CPF 1953</t>
  </si>
  <si>
    <t>CPF 1954</t>
  </si>
  <si>
    <t>CPF 1955</t>
  </si>
  <si>
    <t>CPF 1956</t>
  </si>
  <si>
    <t>CPF 1957</t>
  </si>
  <si>
    <t>CPF 1958</t>
  </si>
  <si>
    <t>CPF 1959</t>
  </si>
  <si>
    <t>CPF 1960</t>
  </si>
  <si>
    <t>CPF 1961</t>
  </si>
  <si>
    <t>CPF 1962</t>
  </si>
  <si>
    <t>CPF 1963</t>
  </si>
  <si>
    <t>CPF 1964</t>
  </si>
  <si>
    <t>CPF 1965</t>
  </si>
  <si>
    <t>CPF 1966</t>
  </si>
  <si>
    <t>CPF 1967</t>
  </si>
  <si>
    <t>CPF 1968</t>
  </si>
  <si>
    <t>CPF 1969</t>
  </si>
  <si>
    <t>CPF 1970</t>
  </si>
  <si>
    <t>CPF 1971</t>
  </si>
  <si>
    <t>CPF 1972</t>
  </si>
  <si>
    <t>CPF 1973</t>
  </si>
  <si>
    <t>CPF 1974</t>
  </si>
  <si>
    <t>CPF 1975</t>
  </si>
  <si>
    <t>CPF 1976</t>
  </si>
  <si>
    <t>CPF 1977</t>
  </si>
  <si>
    <t>CPF 1978</t>
  </si>
  <si>
    <t>CPF 1979</t>
  </si>
  <si>
    <t>CPF 1980</t>
  </si>
  <si>
    <t>CPF 1981</t>
  </si>
  <si>
    <t>CPF 1982</t>
  </si>
  <si>
    <t>CPF 1983</t>
  </si>
  <si>
    <t>CPF 1984</t>
  </si>
  <si>
    <t>CPF 1985</t>
  </si>
  <si>
    <t>CPF 1986</t>
  </si>
  <si>
    <t>CPF 1987</t>
  </si>
  <si>
    <t>CPF 1988</t>
  </si>
  <si>
    <t>CPF 1989</t>
  </si>
  <si>
    <t>CPF 1990</t>
  </si>
  <si>
    <t>CPF 1991</t>
  </si>
  <si>
    <t>CPF 1992</t>
  </si>
  <si>
    <t>CPF 1993</t>
  </si>
  <si>
    <t>CPF 1994</t>
  </si>
  <si>
    <t>CPF 1995</t>
  </si>
  <si>
    <t>CPF 1996</t>
  </si>
  <si>
    <t>CPF 1997</t>
  </si>
  <si>
    <t>CPF 1998</t>
  </si>
  <si>
    <t>CPF 1999</t>
  </si>
  <si>
    <t>CPF 2000</t>
  </si>
  <si>
    <t>CPF 2001</t>
  </si>
  <si>
    <t>CPF 2002</t>
  </si>
  <si>
    <t>CPF 2003</t>
  </si>
  <si>
    <t>CPF 2004</t>
  </si>
  <si>
    <t>CPF 2005</t>
  </si>
  <si>
    <t>CPF 2006</t>
  </si>
  <si>
    <t>CPF 2007</t>
  </si>
  <si>
    <t>CPF 2008</t>
  </si>
  <si>
    <t>CPF 2009</t>
  </si>
  <si>
    <t>CPF 2010</t>
  </si>
  <si>
    <t>CPF 2011</t>
  </si>
  <si>
    <t>CPF 2012</t>
  </si>
  <si>
    <t>CPF 2013</t>
  </si>
  <si>
    <t>CPF 2014</t>
  </si>
  <si>
    <t>CPF 2015</t>
  </si>
  <si>
    <t>CPF 2016</t>
  </si>
  <si>
    <t>CPF 2017</t>
  </si>
  <si>
    <t>CPF 2018</t>
  </si>
  <si>
    <t>CPF 2019</t>
  </si>
  <si>
    <t>CPF 2021</t>
  </si>
  <si>
    <t>CPF 2022</t>
  </si>
  <si>
    <t>CPF 2023</t>
  </si>
  <si>
    <t>CPF 2024</t>
  </si>
  <si>
    <t>CPF 2025</t>
  </si>
  <si>
    <t>CPF 2026</t>
  </si>
  <si>
    <t>CPF 2027</t>
  </si>
  <si>
    <t>CPF 2028</t>
  </si>
  <si>
    <t>CPF 2029</t>
  </si>
  <si>
    <t>CPF 2030</t>
  </si>
  <si>
    <t>CPF 2031</t>
  </si>
  <si>
    <t>CPF 2032</t>
  </si>
  <si>
    <t>CPF 2033</t>
  </si>
  <si>
    <t>CPF 2034</t>
  </si>
  <si>
    <t>CPF 2035</t>
  </si>
  <si>
    <t>CPF 2036</t>
  </si>
  <si>
    <t>CPF 2037</t>
  </si>
  <si>
    <t>CPF 2038</t>
  </si>
  <si>
    <t>CPF 2039</t>
  </si>
  <si>
    <t>CPF 2040</t>
  </si>
  <si>
    <t>CPF 2041</t>
  </si>
  <si>
    <t>CPF 2042</t>
  </si>
  <si>
    <t>CPF 2043</t>
  </si>
  <si>
    <t>CPF 2044</t>
  </si>
  <si>
    <t>CPF 2045</t>
  </si>
  <si>
    <t>CPF 2046</t>
  </si>
  <si>
    <t>CPF 2047</t>
  </si>
  <si>
    <t>CPF 2048</t>
  </si>
  <si>
    <t>CPF 2049</t>
  </si>
  <si>
    <t>CPF 2050</t>
  </si>
  <si>
    <t>CPF 2051</t>
  </si>
  <si>
    <t>CPF 2052</t>
  </si>
  <si>
    <t>CPF 2053</t>
  </si>
  <si>
    <t>CPF 2054</t>
  </si>
  <si>
    <t>CPF 2055</t>
  </si>
  <si>
    <t>CPF 2056</t>
  </si>
  <si>
    <t>CPF 2057</t>
  </si>
  <si>
    <t>CPF 2058</t>
  </si>
  <si>
    <t>CPF 2059</t>
  </si>
  <si>
    <t>CPF 2060</t>
  </si>
  <si>
    <t>CPF 2061</t>
  </si>
  <si>
    <t>CPF 2062</t>
  </si>
  <si>
    <t>Nome 3</t>
  </si>
  <si>
    <t>Nome 4</t>
  </si>
  <si>
    <t>Nome 5</t>
  </si>
  <si>
    <t>Nome 6</t>
  </si>
  <si>
    <t>Nome 7</t>
  </si>
  <si>
    <t>Nome 8</t>
  </si>
  <si>
    <t>Nome 9</t>
  </si>
  <si>
    <t>Nome 10</t>
  </si>
  <si>
    <t>Nome 11</t>
  </si>
  <si>
    <t>Nome 12</t>
  </si>
  <si>
    <t>Nome 13</t>
  </si>
  <si>
    <t>Nome 14</t>
  </si>
  <si>
    <t>Nome 15</t>
  </si>
  <si>
    <t>Nome 16</t>
  </si>
  <si>
    <t>Nome 17</t>
  </si>
  <si>
    <t>Nome 18</t>
  </si>
  <si>
    <t>Nome 19</t>
  </si>
  <si>
    <t>Nome 20</t>
  </si>
  <si>
    <t>Nome 21</t>
  </si>
  <si>
    <t>Nome 22</t>
  </si>
  <si>
    <t>Nome 23</t>
  </si>
  <si>
    <t>Nome 24</t>
  </si>
  <si>
    <t>Nome 25</t>
  </si>
  <si>
    <t>Nome 26</t>
  </si>
  <si>
    <t>Nome 27</t>
  </si>
  <si>
    <t>Nome 28</t>
  </si>
  <si>
    <t>Nome 29</t>
  </si>
  <si>
    <t>Nome 30</t>
  </si>
  <si>
    <t>Nome 31</t>
  </si>
  <si>
    <t>Nome 32</t>
  </si>
  <si>
    <t>Nome 33</t>
  </si>
  <si>
    <t>Nome 34</t>
  </si>
  <si>
    <t>Nome 35</t>
  </si>
  <si>
    <t>Nome 36</t>
  </si>
  <si>
    <t>Nome 37</t>
  </si>
  <si>
    <t>Nome 38</t>
  </si>
  <si>
    <t>Nome 39</t>
  </si>
  <si>
    <t>Nome 40</t>
  </si>
  <si>
    <t>Nome 41</t>
  </si>
  <si>
    <t>Nome 42</t>
  </si>
  <si>
    <t>Nome 43</t>
  </si>
  <si>
    <t>Nome 44</t>
  </si>
  <si>
    <t>Nome 45</t>
  </si>
  <si>
    <t>Nome 46</t>
  </si>
  <si>
    <t>Nome 47</t>
  </si>
  <si>
    <t>Nome 48</t>
  </si>
  <si>
    <t>Nome 49</t>
  </si>
  <si>
    <t>Nome 50</t>
  </si>
  <si>
    <t>Nome 51</t>
  </si>
  <si>
    <t>Nome 52</t>
  </si>
  <si>
    <t>Nome 53</t>
  </si>
  <si>
    <t>Nome 54</t>
  </si>
  <si>
    <t>Nome 55</t>
  </si>
  <si>
    <t>Nome 56</t>
  </si>
  <si>
    <t>Nome 57</t>
  </si>
  <si>
    <t>Nome 58</t>
  </si>
  <si>
    <t>Nome 59</t>
  </si>
  <si>
    <t>Nome 60</t>
  </si>
  <si>
    <t>Nome 61</t>
  </si>
  <si>
    <t>Nome 62</t>
  </si>
  <si>
    <t>Nome 63</t>
  </si>
  <si>
    <t>Nome 64</t>
  </si>
  <si>
    <t>Nome 65</t>
  </si>
  <si>
    <t>Nome 66</t>
  </si>
  <si>
    <t>Nome 67</t>
  </si>
  <si>
    <t>Nome 68</t>
  </si>
  <si>
    <t>Nome 69</t>
  </si>
  <si>
    <t>Nome 70</t>
  </si>
  <si>
    <t>Nome 71</t>
  </si>
  <si>
    <t>Nome 72</t>
  </si>
  <si>
    <t>Nome 73</t>
  </si>
  <si>
    <t>Nome 74</t>
  </si>
  <si>
    <t>Nome 75</t>
  </si>
  <si>
    <t>Nome 76</t>
  </si>
  <si>
    <t>Nome 77</t>
  </si>
  <si>
    <t>Nome 78</t>
  </si>
  <si>
    <t>Nome 79</t>
  </si>
  <si>
    <t>Nome 80</t>
  </si>
  <si>
    <t>Nome 81</t>
  </si>
  <si>
    <t>Nome 82</t>
  </si>
  <si>
    <t>Nome 83</t>
  </si>
  <si>
    <t>Nome 84</t>
  </si>
  <si>
    <t>Nome 85</t>
  </si>
  <si>
    <t>Nome 86</t>
  </si>
  <si>
    <t>Nome 87</t>
  </si>
  <si>
    <t>Nome 88</t>
  </si>
  <si>
    <t>Nome 89</t>
  </si>
  <si>
    <t>Nome 90</t>
  </si>
  <si>
    <t>Nome 91</t>
  </si>
  <si>
    <t>Nome 92</t>
  </si>
  <si>
    <t>Nome 93</t>
  </si>
  <si>
    <t>Nome 94</t>
  </si>
  <si>
    <t>Nome 95</t>
  </si>
  <si>
    <t>Nome 96</t>
  </si>
  <si>
    <t>Nome 97</t>
  </si>
  <si>
    <t>Nome 98</t>
  </si>
  <si>
    <t>Nome 99</t>
  </si>
  <si>
    <t>Nome 100</t>
  </si>
  <si>
    <t>Nome 101</t>
  </si>
  <si>
    <t>Nome 102</t>
  </si>
  <si>
    <t>Nome 103</t>
  </si>
  <si>
    <t>Nome 104</t>
  </si>
  <si>
    <t>Nome 105</t>
  </si>
  <si>
    <t>Nome 106</t>
  </si>
  <si>
    <t>Nome 107</t>
  </si>
  <si>
    <t>Nome 108</t>
  </si>
  <si>
    <t>Nome 109</t>
  </si>
  <si>
    <t>Nome 110</t>
  </si>
  <si>
    <t>Nome 111</t>
  </si>
  <si>
    <t>Nome 112</t>
  </si>
  <si>
    <t>Nome 113</t>
  </si>
  <si>
    <t>Nome 114</t>
  </si>
  <si>
    <t>Nome 115</t>
  </si>
  <si>
    <t>Nome 116</t>
  </si>
  <si>
    <t>Nome 117</t>
  </si>
  <si>
    <t>Nome 118</t>
  </si>
  <si>
    <t>Nome 119</t>
  </si>
  <si>
    <t>Nome 120</t>
  </si>
  <si>
    <t>Nome 121</t>
  </si>
  <si>
    <t>Nome 122</t>
  </si>
  <si>
    <t>Nome 123</t>
  </si>
  <si>
    <t>Nome 124</t>
  </si>
  <si>
    <t>Nome 125</t>
  </si>
  <si>
    <t>Nome 126</t>
  </si>
  <si>
    <t>Nome 127</t>
  </si>
  <si>
    <t>Nome 128</t>
  </si>
  <si>
    <t>Nome 129</t>
  </si>
  <si>
    <t>Nome 130</t>
  </si>
  <si>
    <t>Nome 131</t>
  </si>
  <si>
    <t>Nome 132</t>
  </si>
  <si>
    <t>Nome 133</t>
  </si>
  <si>
    <t>Nome 134</t>
  </si>
  <si>
    <t>Nome 135</t>
  </si>
  <si>
    <t>Nome 136</t>
  </si>
  <si>
    <t>Nome 137</t>
  </si>
  <si>
    <t>Nome 138</t>
  </si>
  <si>
    <t>Nome 139</t>
  </si>
  <si>
    <t>Nome 140</t>
  </si>
  <si>
    <t>Nome 141</t>
  </si>
  <si>
    <t>Nome 142</t>
  </si>
  <si>
    <t>Nome 143</t>
  </si>
  <si>
    <t>Nome 144</t>
  </si>
  <si>
    <t>Nome 145</t>
  </si>
  <si>
    <t>Nome 146</t>
  </si>
  <si>
    <t>Nome 147</t>
  </si>
  <si>
    <t>Nome 148</t>
  </si>
  <si>
    <t>Nome 149</t>
  </si>
  <si>
    <t>Nome 150</t>
  </si>
  <si>
    <t>Nome 151</t>
  </si>
  <si>
    <t>Nome 152</t>
  </si>
  <si>
    <t>Nome 153</t>
  </si>
  <si>
    <t>Nome 154</t>
  </si>
  <si>
    <t>Nome 155</t>
  </si>
  <si>
    <t>Nome 156</t>
  </si>
  <si>
    <t>Nome 157</t>
  </si>
  <si>
    <t>Nome 158</t>
  </si>
  <si>
    <t>Nome 159</t>
  </si>
  <si>
    <t>Nome 160</t>
  </si>
  <si>
    <t>Nome 161</t>
  </si>
  <si>
    <t>Nome 162</t>
  </si>
  <si>
    <t>Nome 163</t>
  </si>
  <si>
    <t>Nome 164</t>
  </si>
  <si>
    <t>Nome 165</t>
  </si>
  <si>
    <t>Nome 166</t>
  </si>
  <si>
    <t>Nome 167</t>
  </si>
  <si>
    <t>Nome 168</t>
  </si>
  <si>
    <t>Nome 169</t>
  </si>
  <si>
    <t>Nome 170</t>
  </si>
  <si>
    <t>Nome 171</t>
  </si>
  <si>
    <t>Nome 172</t>
  </si>
  <si>
    <t>Nome 173</t>
  </si>
  <si>
    <t>Nome 174</t>
  </si>
  <si>
    <t>Nome 175</t>
  </si>
  <si>
    <t>Nome 176</t>
  </si>
  <si>
    <t>Nome 177</t>
  </si>
  <si>
    <t>Nome 178</t>
  </si>
  <si>
    <t>Nome 179</t>
  </si>
  <si>
    <t>Nome 180</t>
  </si>
  <si>
    <t>Nome 181</t>
  </si>
  <si>
    <t>Nome 182</t>
  </si>
  <si>
    <t>Nome 183</t>
  </si>
  <si>
    <t>Nome 184</t>
  </si>
  <si>
    <t>Nome 185</t>
  </si>
  <si>
    <t>Nome 186</t>
  </si>
  <si>
    <t>Nome 187</t>
  </si>
  <si>
    <t>Nome 188</t>
  </si>
  <si>
    <t>Nome 189</t>
  </si>
  <si>
    <t>Nome 190</t>
  </si>
  <si>
    <t>Nome 191</t>
  </si>
  <si>
    <t>Nome 192</t>
  </si>
  <si>
    <t>Nome 193</t>
  </si>
  <si>
    <t>Nome 194</t>
  </si>
  <si>
    <t>Nome 195</t>
  </si>
  <si>
    <t>Nome 196</t>
  </si>
  <si>
    <t>Nome 197</t>
  </si>
  <si>
    <t>Nome 198</t>
  </si>
  <si>
    <t>Nome 199</t>
  </si>
  <si>
    <t>Nome 200</t>
  </si>
  <si>
    <t>Nome 201</t>
  </si>
  <si>
    <t>Nome 202</t>
  </si>
  <si>
    <t>Nome 203</t>
  </si>
  <si>
    <t>Nome 204</t>
  </si>
  <si>
    <t>Nome 205</t>
  </si>
  <si>
    <t>Nome 206</t>
  </si>
  <si>
    <t>Nome 207</t>
  </si>
  <si>
    <t>Nome 208</t>
  </si>
  <si>
    <t>Nome 209</t>
  </si>
  <si>
    <t>Nome 210</t>
  </si>
  <si>
    <t>Nome 211</t>
  </si>
  <si>
    <t>Nome 212</t>
  </si>
  <si>
    <t>Nome 213</t>
  </si>
  <si>
    <t>Nome 214</t>
  </si>
  <si>
    <t>Nome 215</t>
  </si>
  <si>
    <t>Nome 216</t>
  </si>
  <si>
    <t>Nome 217</t>
  </si>
  <si>
    <t>Nome 218</t>
  </si>
  <si>
    <t>Nome 219</t>
  </si>
  <si>
    <t>Nome 220</t>
  </si>
  <si>
    <t>Nome 221</t>
  </si>
  <si>
    <t>Nome 222</t>
  </si>
  <si>
    <t>Nome 223</t>
  </si>
  <si>
    <t>Nome 224</t>
  </si>
  <si>
    <t>Nome 225</t>
  </si>
  <si>
    <t>Nome 226</t>
  </si>
  <si>
    <t>Nome 227</t>
  </si>
  <si>
    <t>Nome 228</t>
  </si>
  <si>
    <t>Nome 229</t>
  </si>
  <si>
    <t>Nome 230</t>
  </si>
  <si>
    <t>Nome 231</t>
  </si>
  <si>
    <t>Nome 232</t>
  </si>
  <si>
    <t>Nome 233</t>
  </si>
  <si>
    <t>Nome 234</t>
  </si>
  <si>
    <t>Nome 235</t>
  </si>
  <si>
    <t>Nome 236</t>
  </si>
  <si>
    <t>Nome 237</t>
  </si>
  <si>
    <t>Nome 238</t>
  </si>
  <si>
    <t>Nome 239</t>
  </si>
  <si>
    <t>Nome 240</t>
  </si>
  <si>
    <t>Nome 241</t>
  </si>
  <si>
    <t>Nome 242</t>
  </si>
  <si>
    <t>Nome 243</t>
  </si>
  <si>
    <t>Nome 244</t>
  </si>
  <si>
    <t>Nome 245</t>
  </si>
  <si>
    <t>Nome 246</t>
  </si>
  <si>
    <t>Nome 247</t>
  </si>
  <si>
    <t>Nome 248</t>
  </si>
  <si>
    <t>Nome 249</t>
  </si>
  <si>
    <t>Nome 250</t>
  </si>
  <si>
    <t>Nome 251</t>
  </si>
  <si>
    <t>Nome 252</t>
  </si>
  <si>
    <t>Nome 253</t>
  </si>
  <si>
    <t>Nome 254</t>
  </si>
  <si>
    <t>Nome 255</t>
  </si>
  <si>
    <t>Nome 256</t>
  </si>
  <si>
    <t>Nome 257</t>
  </si>
  <si>
    <t>Nome 258</t>
  </si>
  <si>
    <t>Nome 259</t>
  </si>
  <si>
    <t>Nome 260</t>
  </si>
  <si>
    <t>Nome 261</t>
  </si>
  <si>
    <t>Nome 262</t>
  </si>
  <si>
    <t>Nome 263</t>
  </si>
  <si>
    <t>Nome 264</t>
  </si>
  <si>
    <t>Nome 265</t>
  </si>
  <si>
    <t>Nome 266</t>
  </si>
  <si>
    <t>Nome 267</t>
  </si>
  <si>
    <t>Nome 268</t>
  </si>
  <si>
    <t>Nome 269</t>
  </si>
  <si>
    <t>Nome 270</t>
  </si>
  <si>
    <t>Nome 271</t>
  </si>
  <si>
    <t>Nome 272</t>
  </si>
  <si>
    <t>Nome 273</t>
  </si>
  <si>
    <t>Nome 274</t>
  </si>
  <si>
    <t>Nome 275</t>
  </si>
  <si>
    <t>Nome 276</t>
  </si>
  <si>
    <t>Nome 277</t>
  </si>
  <si>
    <t>Nome 278</t>
  </si>
  <si>
    <t>Nome 279</t>
  </si>
  <si>
    <t>Nome 280</t>
  </si>
  <si>
    <t>Nome 281</t>
  </si>
  <si>
    <t>Nome 282</t>
  </si>
  <si>
    <t>Nome 283</t>
  </si>
  <si>
    <t>Nome 284</t>
  </si>
  <si>
    <t>Nome 285</t>
  </si>
  <si>
    <t>Nome 286</t>
  </si>
  <si>
    <t>Nome 287</t>
  </si>
  <si>
    <t>Nome 288</t>
  </si>
  <si>
    <t>Nome 289</t>
  </si>
  <si>
    <t>Nome 290</t>
  </si>
  <si>
    <t>Nome 291</t>
  </si>
  <si>
    <t>Nome 292</t>
  </si>
  <si>
    <t>Nome 293</t>
  </si>
  <si>
    <t>Nome 294</t>
  </si>
  <si>
    <t>Nome 295</t>
  </si>
  <si>
    <t>Nome 296</t>
  </si>
  <si>
    <t>Nome 297</t>
  </si>
  <si>
    <t>Nome 298</t>
  </si>
  <si>
    <t>Nome 299</t>
  </si>
  <si>
    <t>Nome 300</t>
  </si>
  <si>
    <t>Nome 301</t>
  </si>
  <si>
    <t>Nome 302</t>
  </si>
  <si>
    <t>Nome 303</t>
  </si>
  <si>
    <t>Nome 304</t>
  </si>
  <si>
    <t>Nome 305</t>
  </si>
  <si>
    <t>Nome 306</t>
  </si>
  <si>
    <t>Nome 307</t>
  </si>
  <si>
    <t>Nome 308</t>
  </si>
  <si>
    <t>Nome 309</t>
  </si>
  <si>
    <t>Nome 310</t>
  </si>
  <si>
    <t>Nome 311</t>
  </si>
  <si>
    <t>Nome 312</t>
  </si>
  <si>
    <t>Nome 313</t>
  </si>
  <si>
    <t>Nome 314</t>
  </si>
  <si>
    <t>Nome 315</t>
  </si>
  <si>
    <t>Nome 316</t>
  </si>
  <si>
    <t>Nome 317</t>
  </si>
  <si>
    <t>Nome 318</t>
  </si>
  <si>
    <t>Nome 319</t>
  </si>
  <si>
    <t>Nome 320</t>
  </si>
  <si>
    <t>Nome 321</t>
  </si>
  <si>
    <t>Nome 322</t>
  </si>
  <si>
    <t>Nome 323</t>
  </si>
  <si>
    <t>Nome 324</t>
  </si>
  <si>
    <t>Nome 325</t>
  </si>
  <si>
    <t>Nome 326</t>
  </si>
  <si>
    <t>Nome 327</t>
  </si>
  <si>
    <t>Nome 328</t>
  </si>
  <si>
    <t>Nome 329</t>
  </si>
  <si>
    <t>Nome 330</t>
  </si>
  <si>
    <t>Nome 331</t>
  </si>
  <si>
    <t>Nome 332</t>
  </si>
  <si>
    <t>Nome 333</t>
  </si>
  <si>
    <t>Nome 334</t>
  </si>
  <si>
    <t>Nome 335</t>
  </si>
  <si>
    <t>Nome 336</t>
  </si>
  <si>
    <t>Nome 337</t>
  </si>
  <si>
    <t>Nome 338</t>
  </si>
  <si>
    <t>Nome 339</t>
  </si>
  <si>
    <t>Nome 340</t>
  </si>
  <si>
    <t>Nome 341</t>
  </si>
  <si>
    <t>Nome 342</t>
  </si>
  <si>
    <t>Nome 343</t>
  </si>
  <si>
    <t>Nome 344</t>
  </si>
  <si>
    <t>Nome 345</t>
  </si>
  <si>
    <t>Nome 346</t>
  </si>
  <si>
    <t>Nome 347</t>
  </si>
  <si>
    <t>Nome 348</t>
  </si>
  <si>
    <t>Nome 349</t>
  </si>
  <si>
    <t>Nome 350</t>
  </si>
  <si>
    <t>Nome 351</t>
  </si>
  <si>
    <t>Nome 352</t>
  </si>
  <si>
    <t>Nome 353</t>
  </si>
  <si>
    <t>Nome 354</t>
  </si>
  <si>
    <t>Nome 355</t>
  </si>
  <si>
    <t>Nome 356</t>
  </si>
  <si>
    <t>Nome 357</t>
  </si>
  <si>
    <t>Nome 358</t>
  </si>
  <si>
    <t>Nome 359</t>
  </si>
  <si>
    <t>Nome 360</t>
  </si>
  <si>
    <t>Nome 361</t>
  </si>
  <si>
    <t>Nome 362</t>
  </si>
  <si>
    <t>Nome 363</t>
  </si>
  <si>
    <t>Nome 364</t>
  </si>
  <si>
    <t>Nome 365</t>
  </si>
  <si>
    <t>Nome 366</t>
  </si>
  <si>
    <t>Nome 367</t>
  </si>
  <si>
    <t>Nome 368</t>
  </si>
  <si>
    <t>Nome 369</t>
  </si>
  <si>
    <t>Nome 370</t>
  </si>
  <si>
    <t>Nome 371</t>
  </si>
  <si>
    <t>Nome 372</t>
  </si>
  <si>
    <t>Nome 373</t>
  </si>
  <si>
    <t>Nome 374</t>
  </si>
  <si>
    <t>Nome 375</t>
  </si>
  <si>
    <t>Nome 376</t>
  </si>
  <si>
    <t>Nome 377</t>
  </si>
  <si>
    <t>Nome 378</t>
  </si>
  <si>
    <t>Nome 379</t>
  </si>
  <si>
    <t>Nome 380</t>
  </si>
  <si>
    <t>Nome 381</t>
  </si>
  <si>
    <t>Nome 382</t>
  </si>
  <si>
    <t>Nome 383</t>
  </si>
  <si>
    <t>Nome 384</t>
  </si>
  <si>
    <t>Nome 385</t>
  </si>
  <si>
    <t>Nome 386</t>
  </si>
  <si>
    <t>Nome 387</t>
  </si>
  <si>
    <t>Nome 388</t>
  </si>
  <si>
    <t>Nome 389</t>
  </si>
  <si>
    <t>Nome 390</t>
  </si>
  <si>
    <t>Nome 391</t>
  </si>
  <si>
    <t>Nome 392</t>
  </si>
  <si>
    <t>Nome 393</t>
  </si>
  <si>
    <t>Nome 394</t>
  </si>
  <si>
    <t>Nome 395</t>
  </si>
  <si>
    <t>Nome 396</t>
  </si>
  <si>
    <t>Nome 397</t>
  </si>
  <si>
    <t>Nome 398</t>
  </si>
  <si>
    <t>Nome 399</t>
  </si>
  <si>
    <t>Nome 400</t>
  </si>
  <si>
    <t>Nome 401</t>
  </si>
  <si>
    <t>Nome 402</t>
  </si>
  <si>
    <t>Nome 403</t>
  </si>
  <si>
    <t>Nome 404</t>
  </si>
  <si>
    <t>Nome 405</t>
  </si>
  <si>
    <t>Nome 406</t>
  </si>
  <si>
    <t>Nome 407</t>
  </si>
  <si>
    <t>Nome 408</t>
  </si>
  <si>
    <t>Nome 409</t>
  </si>
  <si>
    <t>Nome 410</t>
  </si>
  <si>
    <t>Nome 411</t>
  </si>
  <si>
    <t>Nome 412</t>
  </si>
  <si>
    <t>Nome 413</t>
  </si>
  <si>
    <t>Nome 414</t>
  </si>
  <si>
    <t>Nome 415</t>
  </si>
  <si>
    <t>Nome 416</t>
  </si>
  <si>
    <t>Nome 417</t>
  </si>
  <si>
    <t>Nome 418</t>
  </si>
  <si>
    <t>Nome 419</t>
  </si>
  <si>
    <t>Nome 420</t>
  </si>
  <si>
    <t>Nome 421</t>
  </si>
  <si>
    <t>Nome 422</t>
  </si>
  <si>
    <t>Nome 423</t>
  </si>
  <si>
    <t>Nome 424</t>
  </si>
  <si>
    <t>Nome 425</t>
  </si>
  <si>
    <t>Nome 426</t>
  </si>
  <si>
    <t>Nome 427</t>
  </si>
  <si>
    <t>Nome 428</t>
  </si>
  <si>
    <t>Nome 429</t>
  </si>
  <si>
    <t>Nome 430</t>
  </si>
  <si>
    <t>Nome 431</t>
  </si>
  <si>
    <t>Nome 432</t>
  </si>
  <si>
    <t>Nome 433</t>
  </si>
  <si>
    <t>Nome 434</t>
  </si>
  <si>
    <t>Nome 435</t>
  </si>
  <si>
    <t>Nome 436</t>
  </si>
  <si>
    <t>Nome 437</t>
  </si>
  <si>
    <t>Nome 438</t>
  </si>
  <si>
    <t>Nome 439</t>
  </si>
  <si>
    <t>Nome 440</t>
  </si>
  <si>
    <t>Nome 441</t>
  </si>
  <si>
    <t>Nome 442</t>
  </si>
  <si>
    <t>Nome 443</t>
  </si>
  <si>
    <t>Nome 444</t>
  </si>
  <si>
    <t>Nome 445</t>
  </si>
  <si>
    <t>Nome 446</t>
  </si>
  <si>
    <t>Nome 447</t>
  </si>
  <si>
    <t>Nome 448</t>
  </si>
  <si>
    <t>Nome 449</t>
  </si>
  <si>
    <t>Nome 450</t>
  </si>
  <si>
    <t>Nome 451</t>
  </si>
  <si>
    <t>Nome 452</t>
  </si>
  <si>
    <t>Nome 453</t>
  </si>
  <si>
    <t>Nome 454</t>
  </si>
  <si>
    <t>Nome 455</t>
  </si>
  <si>
    <t>Nome 456</t>
  </si>
  <si>
    <t>Nome 457</t>
  </si>
  <si>
    <t>Nome 458</t>
  </si>
  <si>
    <t>Nome 459</t>
  </si>
  <si>
    <t>Nome 460</t>
  </si>
  <si>
    <t>Nome 461</t>
  </si>
  <si>
    <t>Nome 462</t>
  </si>
  <si>
    <t>Nome 463</t>
  </si>
  <si>
    <t>Nome 464</t>
  </si>
  <si>
    <t>Nome 465</t>
  </si>
  <si>
    <t>Nome 466</t>
  </si>
  <si>
    <t>Nome 467</t>
  </si>
  <si>
    <t>Nome 468</t>
  </si>
  <si>
    <t>Nome 469</t>
  </si>
  <si>
    <t>Nome 470</t>
  </si>
  <si>
    <t>Nome 471</t>
  </si>
  <si>
    <t>Nome 472</t>
  </si>
  <si>
    <t>Nome 473</t>
  </si>
  <si>
    <t>Nome 474</t>
  </si>
  <si>
    <t>Nome 475</t>
  </si>
  <si>
    <t>Nome 476</t>
  </si>
  <si>
    <t>Nome 477</t>
  </si>
  <si>
    <t>Nome 478</t>
  </si>
  <si>
    <t>Nome 479</t>
  </si>
  <si>
    <t>Nome 480</t>
  </si>
  <si>
    <t>Nome 481</t>
  </si>
  <si>
    <t>Nome 482</t>
  </si>
  <si>
    <t>Nome 483</t>
  </si>
  <si>
    <t>Nome 484</t>
  </si>
  <si>
    <t>Nome 485</t>
  </si>
  <si>
    <t>Nome 486</t>
  </si>
  <si>
    <t>Nome 487</t>
  </si>
  <si>
    <t>Nome 488</t>
  </si>
  <si>
    <t>Nome 489</t>
  </si>
  <si>
    <t>Nome 490</t>
  </si>
  <si>
    <t>Nome 491</t>
  </si>
  <si>
    <t>Nome 492</t>
  </si>
  <si>
    <t>Nome 493</t>
  </si>
  <si>
    <t>Nome 494</t>
  </si>
  <si>
    <t>Nome 495</t>
  </si>
  <si>
    <t>Nome 496</t>
  </si>
  <si>
    <t>Nome 497</t>
  </si>
  <si>
    <t>Nome 498</t>
  </si>
  <si>
    <t>Nome 499</t>
  </si>
  <si>
    <t>Nome 500</t>
  </si>
  <si>
    <t>Nome 501</t>
  </si>
  <si>
    <t>Nome 502</t>
  </si>
  <si>
    <t>Nome 503</t>
  </si>
  <si>
    <t>Nome 504</t>
  </si>
  <si>
    <t>Nome 505</t>
  </si>
  <si>
    <t>Nome 506</t>
  </si>
  <si>
    <t>Nome 507</t>
  </si>
  <si>
    <t>Nome 508</t>
  </si>
  <si>
    <t>Nome 509</t>
  </si>
  <si>
    <t>Nome 510</t>
  </si>
  <si>
    <t>Nome 511</t>
  </si>
  <si>
    <t>Nome 512</t>
  </si>
  <si>
    <t>Nome 513</t>
  </si>
  <si>
    <t>Nome 514</t>
  </si>
  <si>
    <t>Nome 515</t>
  </si>
  <si>
    <t>Nome 516</t>
  </si>
  <si>
    <t>Nome 517</t>
  </si>
  <si>
    <t>Nome 518</t>
  </si>
  <si>
    <t>Nome 519</t>
  </si>
  <si>
    <t>Nome 520</t>
  </si>
  <si>
    <t>Nome 521</t>
  </si>
  <si>
    <t>Nome 522</t>
  </si>
  <si>
    <t>Nome 523</t>
  </si>
  <si>
    <t>Nome 524</t>
  </si>
  <si>
    <t>Nome 525</t>
  </si>
  <si>
    <t>Nome 526</t>
  </si>
  <si>
    <t>Nome 527</t>
  </si>
  <si>
    <t>Nome 528</t>
  </si>
  <si>
    <t>Nome 529</t>
  </si>
  <si>
    <t>Nome 530</t>
  </si>
  <si>
    <t>Nome 531</t>
  </si>
  <si>
    <t>Nome 532</t>
  </si>
  <si>
    <t>Nome 533</t>
  </si>
  <si>
    <t>Nome 534</t>
  </si>
  <si>
    <t>Nome 535</t>
  </si>
  <si>
    <t>Nome 536</t>
  </si>
  <si>
    <t>Nome 537</t>
  </si>
  <si>
    <t>Nome 538</t>
  </si>
  <si>
    <t>Nome 539</t>
  </si>
  <si>
    <t>Nome 540</t>
  </si>
  <si>
    <t>Nome 541</t>
  </si>
  <si>
    <t>Nome 542</t>
  </si>
  <si>
    <t>Nome 543</t>
  </si>
  <si>
    <t>Nome 544</t>
  </si>
  <si>
    <t>Nome 545</t>
  </si>
  <si>
    <t>Nome 546</t>
  </si>
  <si>
    <t>Nome 547</t>
  </si>
  <si>
    <t>Nome 548</t>
  </si>
  <si>
    <t>Nome 549</t>
  </si>
  <si>
    <t>Nome 550</t>
  </si>
  <si>
    <t>Nome 551</t>
  </si>
  <si>
    <t>Nome 552</t>
  </si>
  <si>
    <t>Nome 553</t>
  </si>
  <si>
    <t>Nome 554</t>
  </si>
  <si>
    <t>Nome 555</t>
  </si>
  <si>
    <t>Nome 556</t>
  </si>
  <si>
    <t>Nome 557</t>
  </si>
  <si>
    <t>Nome 558</t>
  </si>
  <si>
    <t>Nome 559</t>
  </si>
  <si>
    <t>Nome 560</t>
  </si>
  <si>
    <t>Nome 561</t>
  </si>
  <si>
    <t>Nome 562</t>
  </si>
  <si>
    <t>Nome 563</t>
  </si>
  <si>
    <t>Nome 564</t>
  </si>
  <si>
    <t>Nome 565</t>
  </si>
  <si>
    <t>Nome 566</t>
  </si>
  <si>
    <t>Nome 567</t>
  </si>
  <si>
    <t>Nome 568</t>
  </si>
  <si>
    <t>Nome 569</t>
  </si>
  <si>
    <t>Nome 570</t>
  </si>
  <si>
    <t>Nome 571</t>
  </si>
  <si>
    <t>Nome 572</t>
  </si>
  <si>
    <t>Nome 573</t>
  </si>
  <si>
    <t>Nome 574</t>
  </si>
  <si>
    <t>Nome 575</t>
  </si>
  <si>
    <t>Nome 576</t>
  </si>
  <si>
    <t>Nome 577</t>
  </si>
  <si>
    <t>Nome 578</t>
  </si>
  <si>
    <t>Nome 579</t>
  </si>
  <si>
    <t>Nome 580</t>
  </si>
  <si>
    <t>Nome 581</t>
  </si>
  <si>
    <t>Nome 582</t>
  </si>
  <si>
    <t>Nome 583</t>
  </si>
  <si>
    <t>Nome 584</t>
  </si>
  <si>
    <t>Nome 585</t>
  </si>
  <si>
    <t>Nome 586</t>
  </si>
  <si>
    <t>Nome 587</t>
  </si>
  <si>
    <t>Nome 588</t>
  </si>
  <si>
    <t>Nome 589</t>
  </si>
  <si>
    <t>Nome 590</t>
  </si>
  <si>
    <t>Nome 591</t>
  </si>
  <si>
    <t>Nome 592</t>
  </si>
  <si>
    <t>Nome 593</t>
  </si>
  <si>
    <t>Nome 594</t>
  </si>
  <si>
    <t>Nome 595</t>
  </si>
  <si>
    <t>Nome 596</t>
  </si>
  <si>
    <t>Nome 597</t>
  </si>
  <si>
    <t>Nome 598</t>
  </si>
  <si>
    <t>Nome 599</t>
  </si>
  <si>
    <t>Nome 600</t>
  </si>
  <si>
    <t>Nome 601</t>
  </si>
  <si>
    <t>Nome 602</t>
  </si>
  <si>
    <t>Nome 603</t>
  </si>
  <si>
    <t>Nome 604</t>
  </si>
  <si>
    <t>Nome 605</t>
  </si>
  <si>
    <t>Nome 606</t>
  </si>
  <si>
    <t>Nome 607</t>
  </si>
  <si>
    <t>Nome 608</t>
  </si>
  <si>
    <t>Nome 609</t>
  </si>
  <si>
    <t>Nome 610</t>
  </si>
  <si>
    <t>Nome 611</t>
  </si>
  <si>
    <t>Nome 612</t>
  </si>
  <si>
    <t>Nome 613</t>
  </si>
  <si>
    <t>Nome 614</t>
  </si>
  <si>
    <t>Nome 615</t>
  </si>
  <si>
    <t>Nome 616</t>
  </si>
  <si>
    <t>Nome 617</t>
  </si>
  <si>
    <t>Nome 618</t>
  </si>
  <si>
    <t>Nome 619</t>
  </si>
  <si>
    <t>Nome 620</t>
  </si>
  <si>
    <t>Nome 621</t>
  </si>
  <si>
    <t>Nome 622</t>
  </si>
  <si>
    <t>Nome 623</t>
  </si>
  <si>
    <t>Nome 624</t>
  </si>
  <si>
    <t>Nome 625</t>
  </si>
  <si>
    <t>Nome 626</t>
  </si>
  <si>
    <t>Nome 627</t>
  </si>
  <si>
    <t>Nome 628</t>
  </si>
  <si>
    <t>Nome 629</t>
  </si>
  <si>
    <t>Nome 630</t>
  </si>
  <si>
    <t>Nome 631</t>
  </si>
  <si>
    <t>Nome 632</t>
  </si>
  <si>
    <t>Nome 633</t>
  </si>
  <si>
    <t>Nome 634</t>
  </si>
  <si>
    <t>Nome 635</t>
  </si>
  <si>
    <t>Nome 636</t>
  </si>
  <si>
    <t>Nome 637</t>
  </si>
  <si>
    <t>Nome 638</t>
  </si>
  <si>
    <t>Nome 639</t>
  </si>
  <si>
    <t>Nome 640</t>
  </si>
  <si>
    <t>Nome 641</t>
  </si>
  <si>
    <t>Nome 642</t>
  </si>
  <si>
    <t>Nome 643</t>
  </si>
  <si>
    <t>Nome 644</t>
  </si>
  <si>
    <t>Nome 645</t>
  </si>
  <si>
    <t>Nome 646</t>
  </si>
  <si>
    <t>Nome 647</t>
  </si>
  <si>
    <t>Nome 648</t>
  </si>
  <si>
    <t>Nome 649</t>
  </si>
  <si>
    <t>Nome 650</t>
  </si>
  <si>
    <t>Nome 651</t>
  </si>
  <si>
    <t>Nome 653</t>
  </si>
  <si>
    <t>Nome 654</t>
  </si>
  <si>
    <t>Nome 655</t>
  </si>
  <si>
    <t>Nome 656</t>
  </si>
  <si>
    <t>Nome 657</t>
  </si>
  <si>
    <t>Nome 658</t>
  </si>
  <si>
    <t>Nome 659</t>
  </si>
  <si>
    <t>Nome 660</t>
  </si>
  <si>
    <t>Nome 661</t>
  </si>
  <si>
    <t>Nome 662</t>
  </si>
  <si>
    <t>Nome 663</t>
  </si>
  <si>
    <t>Nome 664</t>
  </si>
  <si>
    <t>Nome 665</t>
  </si>
  <si>
    <t>Nome 666</t>
  </si>
  <si>
    <t>Nome 667</t>
  </si>
  <si>
    <t>Nome 668</t>
  </si>
  <si>
    <t>Nome 669</t>
  </si>
  <si>
    <t>Nome 670</t>
  </si>
  <si>
    <t>Nome 671</t>
  </si>
  <si>
    <t>Nome 672</t>
  </si>
  <si>
    <t>Nome 673</t>
  </si>
  <si>
    <t>Nome 674</t>
  </si>
  <si>
    <t>Nome 675</t>
  </si>
  <si>
    <t>Nome 676</t>
  </si>
  <si>
    <t>Nome 677</t>
  </si>
  <si>
    <t>Nome 678</t>
  </si>
  <si>
    <t>Nome 679</t>
  </si>
  <si>
    <t>Nome 680</t>
  </si>
  <si>
    <t>Nome 681</t>
  </si>
  <si>
    <t>Nome 682</t>
  </si>
  <si>
    <t>Nome 683</t>
  </si>
  <si>
    <t>Nome 684</t>
  </si>
  <si>
    <t>Nome 685</t>
  </si>
  <si>
    <t>Nome 686</t>
  </si>
  <si>
    <t>Nome 687</t>
  </si>
  <si>
    <t>Nome 688</t>
  </si>
  <si>
    <t>Nome 689</t>
  </si>
  <si>
    <t>Nome 690</t>
  </si>
  <si>
    <t>Nome 691</t>
  </si>
  <si>
    <t>Nome 692</t>
  </si>
  <si>
    <t>Nome 693</t>
  </si>
  <si>
    <t>Nome 694</t>
  </si>
  <si>
    <t>Nome 695</t>
  </si>
  <si>
    <t>Nome 696</t>
  </si>
  <si>
    <t>Nome 697</t>
  </si>
  <si>
    <t>Nome 698</t>
  </si>
  <si>
    <t>Nome 699</t>
  </si>
  <si>
    <t>Nome 700</t>
  </si>
  <si>
    <t>Nome 701</t>
  </si>
  <si>
    <t>Nome 702</t>
  </si>
  <si>
    <t>Nome 703</t>
  </si>
  <si>
    <t>Nome 704</t>
  </si>
  <si>
    <t>Nome 705</t>
  </si>
  <si>
    <t>Nome 706</t>
  </si>
  <si>
    <t>Nome 707</t>
  </si>
  <si>
    <t>Nome 708</t>
  </si>
  <si>
    <t>Nome 709</t>
  </si>
  <si>
    <t>Nome 710</t>
  </si>
  <si>
    <t>Nome 711</t>
  </si>
  <si>
    <t>Nome 712</t>
  </si>
  <si>
    <t>Nome 713</t>
  </si>
  <si>
    <t>Nome 714</t>
  </si>
  <si>
    <t>Nome 715</t>
  </si>
  <si>
    <t>Nome 716</t>
  </si>
  <si>
    <t>Nome 717</t>
  </si>
  <si>
    <t>Nome 718</t>
  </si>
  <si>
    <t>Nome 719</t>
  </si>
  <si>
    <t>Nome 720</t>
  </si>
  <si>
    <t>Nome 721</t>
  </si>
  <si>
    <t>Nome 722</t>
  </si>
  <si>
    <t>Nome 723</t>
  </si>
  <si>
    <t>Nome 724</t>
  </si>
  <si>
    <t>Nome 725</t>
  </si>
  <si>
    <t>Nome 726</t>
  </si>
  <si>
    <t>Nome 727</t>
  </si>
  <si>
    <t>Nome 728</t>
  </si>
  <si>
    <t>Nome 729</t>
  </si>
  <si>
    <t>Nome 730</t>
  </si>
  <si>
    <t>Nome 731</t>
  </si>
  <si>
    <t>Nome 732</t>
  </si>
  <si>
    <t>Nome 733</t>
  </si>
  <si>
    <t>Nome 734</t>
  </si>
  <si>
    <t>Nome 735</t>
  </si>
  <si>
    <t>Nome 736</t>
  </si>
  <si>
    <t>Nome 737</t>
  </si>
  <si>
    <t>Nome 738</t>
  </si>
  <si>
    <t>Nome 739</t>
  </si>
  <si>
    <t>Nome 740</t>
  </si>
  <si>
    <t>Nome 741</t>
  </si>
  <si>
    <t>Nome 742</t>
  </si>
  <si>
    <t>Nome 743</t>
  </si>
  <si>
    <t>Nome 744</t>
  </si>
  <si>
    <t>Nome 745</t>
  </si>
  <si>
    <t>Nome 746</t>
  </si>
  <si>
    <t>Nome 747</t>
  </si>
  <si>
    <t>Nome 748</t>
  </si>
  <si>
    <t>Nome 749</t>
  </si>
  <si>
    <t>Nome 750</t>
  </si>
  <si>
    <t>Nome 751</t>
  </si>
  <si>
    <t>Nome 752</t>
  </si>
  <si>
    <t>Nome 753</t>
  </si>
  <si>
    <t>Nome 754</t>
  </si>
  <si>
    <t>Nome 755</t>
  </si>
  <si>
    <t>Nome 756</t>
  </si>
  <si>
    <t>Nome 757</t>
  </si>
  <si>
    <t>Nome 758</t>
  </si>
  <si>
    <t>Nome 759</t>
  </si>
  <si>
    <t>Nome 760</t>
  </si>
  <si>
    <t>Nome 761</t>
  </si>
  <si>
    <t>Nome 762</t>
  </si>
  <si>
    <t>Nome 763</t>
  </si>
  <si>
    <t>Nome 764</t>
  </si>
  <si>
    <t>Nome 765</t>
  </si>
  <si>
    <t>Nome 766</t>
  </si>
  <si>
    <t>Nome 767</t>
  </si>
  <si>
    <t>Nome 768</t>
  </si>
  <si>
    <t>Nome 769</t>
  </si>
  <si>
    <t>Nome 770</t>
  </si>
  <si>
    <t>Nome 771</t>
  </si>
  <si>
    <t>Nome 772</t>
  </si>
  <si>
    <t>Nome 773</t>
  </si>
  <si>
    <t>Nome 774</t>
  </si>
  <si>
    <t>Nome 775</t>
  </si>
  <si>
    <t>Nome 776</t>
  </si>
  <si>
    <t>Nome 777</t>
  </si>
  <si>
    <t>Nome 778</t>
  </si>
  <si>
    <t>Nome 779</t>
  </si>
  <si>
    <t>Nome 780</t>
  </si>
  <si>
    <t>Nome 781</t>
  </si>
  <si>
    <t>Nome 782</t>
  </si>
  <si>
    <t>Nome 783</t>
  </si>
  <si>
    <t>Nome 784</t>
  </si>
  <si>
    <t>Nome 785</t>
  </si>
  <si>
    <t>Nome 786</t>
  </si>
  <si>
    <t>Nome 787</t>
  </si>
  <si>
    <t>Nome 788</t>
  </si>
  <si>
    <t>Nome 789</t>
  </si>
  <si>
    <t>Nome 790</t>
  </si>
  <si>
    <t>Nome 791</t>
  </si>
  <si>
    <t>Nome 792</t>
  </si>
  <si>
    <t>Nome 793</t>
  </si>
  <si>
    <t>Nome 794</t>
  </si>
  <si>
    <t>Nome 795</t>
  </si>
  <si>
    <t>Nome 796</t>
  </si>
  <si>
    <t>Nome 797</t>
  </si>
  <si>
    <t>Nome 798</t>
  </si>
  <si>
    <t>Nome 799</t>
  </si>
  <si>
    <t>Nome 800</t>
  </si>
  <si>
    <t>Nome 801</t>
  </si>
  <si>
    <t>Nome 802</t>
  </si>
  <si>
    <t>Nome 803</t>
  </si>
  <si>
    <t>Nome 804</t>
  </si>
  <si>
    <t>Nome 805</t>
  </si>
  <si>
    <t>Nome 806</t>
  </si>
  <si>
    <t>Nome 807</t>
  </si>
  <si>
    <t>Nome 808</t>
  </si>
  <si>
    <t>Nome 809</t>
  </si>
  <si>
    <t>Nome 810</t>
  </si>
  <si>
    <t>Nome 811</t>
  </si>
  <si>
    <t>Nome 812</t>
  </si>
  <si>
    <t>Nome 813</t>
  </si>
  <si>
    <t>Nome 814</t>
  </si>
  <si>
    <t>Nome 815</t>
  </si>
  <si>
    <t>Nome 816</t>
  </si>
  <si>
    <t>Nome 817</t>
  </si>
  <si>
    <t>Nome 818</t>
  </si>
  <si>
    <t>Nome 819</t>
  </si>
  <si>
    <t>Nome 820</t>
  </si>
  <si>
    <t>Nome 821</t>
  </si>
  <si>
    <t>Nome 822</t>
  </si>
  <si>
    <t>Nome 823</t>
  </si>
  <si>
    <t>Nome 824</t>
  </si>
  <si>
    <t>Nome 825</t>
  </si>
  <si>
    <t>Nome 826</t>
  </si>
  <si>
    <t>Nome 827</t>
  </si>
  <si>
    <t>Nome 828</t>
  </si>
  <si>
    <t>Nome 829</t>
  </si>
  <si>
    <t>Nome 830</t>
  </si>
  <si>
    <t>Nome 831</t>
  </si>
  <si>
    <t>Nome 832</t>
  </si>
  <si>
    <t>Nome 833</t>
  </si>
  <si>
    <t>Nome 834</t>
  </si>
  <si>
    <t>Nome 835</t>
  </si>
  <si>
    <t>Nome 836</t>
  </si>
  <si>
    <t>Nome 837</t>
  </si>
  <si>
    <t>Nome 838</t>
  </si>
  <si>
    <t>Nome 839</t>
  </si>
  <si>
    <t>Nome 840</t>
  </si>
  <si>
    <t>Nome 841</t>
  </si>
  <si>
    <t>Nome 842</t>
  </si>
  <si>
    <t>Nome 843</t>
  </si>
  <si>
    <t>Nome 844</t>
  </si>
  <si>
    <t>Nome 845</t>
  </si>
  <si>
    <t>Nome 846</t>
  </si>
  <si>
    <t>Nome 847</t>
  </si>
  <si>
    <t>Nome 848</t>
  </si>
  <si>
    <t>Nome 849</t>
  </si>
  <si>
    <t>Nome 850</t>
  </si>
  <si>
    <t>Nome 851</t>
  </si>
  <si>
    <t>Nome 852</t>
  </si>
  <si>
    <t>Nome 853</t>
  </si>
  <si>
    <t>Nome 854</t>
  </si>
  <si>
    <t>Nome 855</t>
  </si>
  <si>
    <t>Nome 856</t>
  </si>
  <si>
    <t>Nome 857</t>
  </si>
  <si>
    <t>Nome 858</t>
  </si>
  <si>
    <t>Nome 859</t>
  </si>
  <si>
    <t>Nome 860</t>
  </si>
  <si>
    <t>Nome 861</t>
  </si>
  <si>
    <t>Nome 862</t>
  </si>
  <si>
    <t>Nome 863</t>
  </si>
  <si>
    <t>Nome 864</t>
  </si>
  <si>
    <t>Nome 865</t>
  </si>
  <si>
    <t>Nome 866</t>
  </si>
  <si>
    <t>Nome 867</t>
  </si>
  <si>
    <t>Nome 868</t>
  </si>
  <si>
    <t>Nome 869</t>
  </si>
  <si>
    <t>Nome 870</t>
  </si>
  <si>
    <t>Nome 871</t>
  </si>
  <si>
    <t>Nome 872</t>
  </si>
  <si>
    <t>Nome 873</t>
  </si>
  <si>
    <t>Nome 874</t>
  </si>
  <si>
    <t>Nome 875</t>
  </si>
  <si>
    <t>Nome 876</t>
  </si>
  <si>
    <t>Nome 877</t>
  </si>
  <si>
    <t>Nome 878</t>
  </si>
  <si>
    <t>Nome 879</t>
  </si>
  <si>
    <t>Nome 880</t>
  </si>
  <si>
    <t>Nome 881</t>
  </si>
  <si>
    <t>Nome 882</t>
  </si>
  <si>
    <t>Nome 883</t>
  </si>
  <si>
    <t>Nome 884</t>
  </si>
  <si>
    <t>Nome 885</t>
  </si>
  <si>
    <t>Nome 886</t>
  </si>
  <si>
    <t>Nome 887</t>
  </si>
  <si>
    <t>Nome 888</t>
  </si>
  <si>
    <t>Nome 889</t>
  </si>
  <si>
    <t>Nome 890</t>
  </si>
  <si>
    <t>Nome 891</t>
  </si>
  <si>
    <t>Nome 892</t>
  </si>
  <si>
    <t>Nome 893</t>
  </si>
  <si>
    <t>Nome 894</t>
  </si>
  <si>
    <t>Nome 895</t>
  </si>
  <si>
    <t>Nome 896</t>
  </si>
  <si>
    <t>Nome 897</t>
  </si>
  <si>
    <t>Nome 898</t>
  </si>
  <si>
    <t>Nome 899</t>
  </si>
  <si>
    <t>Nome 900</t>
  </si>
  <si>
    <t>Nome 901</t>
  </si>
  <si>
    <t>Nome 902</t>
  </si>
  <si>
    <t>Nome 903</t>
  </si>
  <si>
    <t>Nome 904</t>
  </si>
  <si>
    <t>Nome 905</t>
  </si>
  <si>
    <t>Nome 906</t>
  </si>
  <si>
    <t>Nome 907</t>
  </si>
  <si>
    <t>Nome 908</t>
  </si>
  <si>
    <t>Nome 909</t>
  </si>
  <si>
    <t>Nome 910</t>
  </si>
  <si>
    <t>Nome 912</t>
  </si>
  <si>
    <t>Nome 913</t>
  </si>
  <si>
    <t>Nome 914</t>
  </si>
  <si>
    <t>Nome 915</t>
  </si>
  <si>
    <t>Nome 916</t>
  </si>
  <si>
    <t>Nome 917</t>
  </si>
  <si>
    <t>Nome 918</t>
  </si>
  <si>
    <t>Nome 920</t>
  </si>
  <si>
    <t>Nome 921</t>
  </si>
  <si>
    <t>Nome 922</t>
  </si>
  <si>
    <t>Nome 923</t>
  </si>
  <si>
    <t>Nome 924</t>
  </si>
  <si>
    <t>Nome 925</t>
  </si>
  <si>
    <t>Nome 927</t>
  </si>
  <si>
    <t>Nome 928</t>
  </si>
  <si>
    <t>Nome 929</t>
  </si>
  <si>
    <t>Nome 930</t>
  </si>
  <si>
    <t>Nome 931</t>
  </si>
  <si>
    <t>Nome 932</t>
  </si>
  <si>
    <t>Nome 933</t>
  </si>
  <si>
    <t>Nome 934</t>
  </si>
  <si>
    <t>Nome 935</t>
  </si>
  <si>
    <t>Nome 936</t>
  </si>
  <si>
    <t>Nome 937</t>
  </si>
  <si>
    <t>Nome 938</t>
  </si>
  <si>
    <t>Nome 939</t>
  </si>
  <si>
    <t>Nome 940</t>
  </si>
  <si>
    <t>Nome 941</t>
  </si>
  <si>
    <t>Nome 942</t>
  </si>
  <si>
    <t>Nome 943</t>
  </si>
  <si>
    <t>Nome 944</t>
  </si>
  <si>
    <t>Nome 945</t>
  </si>
  <si>
    <t>Nome 946</t>
  </si>
  <si>
    <t>Nome 947</t>
  </si>
  <si>
    <t>Nome 948</t>
  </si>
  <si>
    <t>Nome 949</t>
  </si>
  <si>
    <t>Nome 950</t>
  </si>
  <si>
    <t>Nome 951</t>
  </si>
  <si>
    <t>Nome 952</t>
  </si>
  <si>
    <t>Nome 953</t>
  </si>
  <si>
    <t>Nome 954</t>
  </si>
  <si>
    <t>Nome 955</t>
  </si>
  <si>
    <t>Nome 956</t>
  </si>
  <si>
    <t>Nome 957</t>
  </si>
  <si>
    <t>Nome 958</t>
  </si>
  <si>
    <t>Nome 959</t>
  </si>
  <si>
    <t>Nome 960</t>
  </si>
  <si>
    <t>Nome 961</t>
  </si>
  <si>
    <t>Nome 962</t>
  </si>
  <si>
    <t>Nome 963</t>
  </si>
  <si>
    <t>Nome 964</t>
  </si>
  <si>
    <t>Nome 965</t>
  </si>
  <si>
    <t>Nome 966</t>
  </si>
  <si>
    <t>Nome 967</t>
  </si>
  <si>
    <t>Nome 968</t>
  </si>
  <si>
    <t>Nome 969</t>
  </si>
  <si>
    <t>Nome 970</t>
  </si>
  <si>
    <t>Nome 971</t>
  </si>
  <si>
    <t>Nome 972</t>
  </si>
  <si>
    <t>Nome 973</t>
  </si>
  <si>
    <t>Nome 974</t>
  </si>
  <si>
    <t>Nome 975</t>
  </si>
  <si>
    <t>Nome 976</t>
  </si>
  <si>
    <t>Nome 977</t>
  </si>
  <si>
    <t>Nome 978</t>
  </si>
  <si>
    <t>Nome 979</t>
  </si>
  <si>
    <t>Nome 980</t>
  </si>
  <si>
    <t>Nome 981</t>
  </si>
  <si>
    <t>Nome 982</t>
  </si>
  <si>
    <t>Nome 983</t>
  </si>
  <si>
    <t>Nome 984</t>
  </si>
  <si>
    <t>Nome 985</t>
  </si>
  <si>
    <t>Nome 986</t>
  </si>
  <si>
    <t>Nome 987</t>
  </si>
  <si>
    <t>Nome 988</t>
  </si>
  <si>
    <t>Nome 989</t>
  </si>
  <si>
    <t>Nome 990</t>
  </si>
  <si>
    <t>Nome 991</t>
  </si>
  <si>
    <t>Nome 992</t>
  </si>
  <si>
    <t>Nome 993</t>
  </si>
  <si>
    <t>Nome 994</t>
  </si>
  <si>
    <t>Nome 995</t>
  </si>
  <si>
    <t>Nome 996</t>
  </si>
  <si>
    <t>Nome 997</t>
  </si>
  <si>
    <t>Nome 998</t>
  </si>
  <si>
    <t>Nome 999</t>
  </si>
  <si>
    <t>Nome 1000</t>
  </si>
  <si>
    <t>Nome 1001</t>
  </si>
  <si>
    <t>Nome 1002</t>
  </si>
  <si>
    <t>Nome 1003</t>
  </si>
  <si>
    <t>Nome 1004</t>
  </si>
  <si>
    <t>Nome 1005</t>
  </si>
  <si>
    <t>Nome 1006</t>
  </si>
  <si>
    <t>Nome 1007</t>
  </si>
  <si>
    <t>Nome 1008</t>
  </si>
  <si>
    <t>Nome 1009</t>
  </si>
  <si>
    <t>Nome 1010</t>
  </si>
  <si>
    <t>Nome 1011</t>
  </si>
  <si>
    <t>Nome 1012</t>
  </si>
  <si>
    <t>Nome 1013</t>
  </si>
  <si>
    <t>Nome 1014</t>
  </si>
  <si>
    <t>Nome 1015</t>
  </si>
  <si>
    <t>Nome 1016</t>
  </si>
  <si>
    <t>Nome 1017</t>
  </si>
  <si>
    <t>Nome 1018</t>
  </si>
  <si>
    <t>Nome 1019</t>
  </si>
  <si>
    <t>Nome 1020</t>
  </si>
  <si>
    <t>Nome 1021</t>
  </si>
  <si>
    <t>Nome 1022</t>
  </si>
  <si>
    <t>Nome 1023</t>
  </si>
  <si>
    <t>Nome 1024</t>
  </si>
  <si>
    <t>Nome 1025</t>
  </si>
  <si>
    <t>Nome 1026</t>
  </si>
  <si>
    <t>Nome 1027</t>
  </si>
  <si>
    <t>Nome 1028</t>
  </si>
  <si>
    <t>Nome 1029</t>
  </si>
  <si>
    <t>Nome 1030</t>
  </si>
  <si>
    <t>Nome 1031</t>
  </si>
  <si>
    <t>Nome 1032</t>
  </si>
  <si>
    <t>Nome 1033</t>
  </si>
  <si>
    <t>Nome 1034</t>
  </si>
  <si>
    <t>Nome 1035</t>
  </si>
  <si>
    <t>Nome 1036</t>
  </si>
  <si>
    <t>Nome 1037</t>
  </si>
  <si>
    <t>Nome 1038</t>
  </si>
  <si>
    <t>Nome 1039</t>
  </si>
  <si>
    <t>Nome 1040</t>
  </si>
  <si>
    <t>Nome 1041</t>
  </si>
  <si>
    <t>Nome 1042</t>
  </si>
  <si>
    <t>Nome 1043</t>
  </si>
  <si>
    <t>Nome 1044</t>
  </si>
  <si>
    <t>Nome 1045</t>
  </si>
  <si>
    <t>Nome 1046</t>
  </si>
  <si>
    <t>Nome 1047</t>
  </si>
  <si>
    <t>Nome 1048</t>
  </si>
  <si>
    <t>Nome 1049</t>
  </si>
  <si>
    <t>Nome 1050</t>
  </si>
  <si>
    <t>Nome 1051</t>
  </si>
  <si>
    <t>Nome 1052</t>
  </si>
  <si>
    <t>Nome 1054</t>
  </si>
  <si>
    <t>Nome 1055</t>
  </si>
  <si>
    <t>Nome 1056</t>
  </si>
  <si>
    <t>Nome 1057</t>
  </si>
  <si>
    <t>Nome 1058</t>
  </si>
  <si>
    <t>Nome 1059</t>
  </si>
  <si>
    <t>Nome 1060</t>
  </si>
  <si>
    <t>Nome 1061</t>
  </si>
  <si>
    <t>Nome 1062</t>
  </si>
  <si>
    <t>Nome 1063</t>
  </si>
  <si>
    <t>Nome 1064</t>
  </si>
  <si>
    <t>Nome 1065</t>
  </si>
  <si>
    <t>Nome 1066</t>
  </si>
  <si>
    <t>Nome 1067</t>
  </si>
  <si>
    <t>Nome 1068</t>
  </si>
  <si>
    <t>Nome 1069</t>
  </si>
  <si>
    <t>Nome 1070</t>
  </si>
  <si>
    <t>Nome 1071</t>
  </si>
  <si>
    <t>Nome 1072</t>
  </si>
  <si>
    <t>Nome 1073</t>
  </si>
  <si>
    <t>Nome 1074</t>
  </si>
  <si>
    <t>Nome 1075</t>
  </si>
  <si>
    <t>Nome 1076</t>
  </si>
  <si>
    <t>Nome 1077</t>
  </si>
  <si>
    <t>Nome 1078</t>
  </si>
  <si>
    <t>Nome 1079</t>
  </si>
  <si>
    <t>Nome 1080</t>
  </si>
  <si>
    <t>Nome 1081</t>
  </si>
  <si>
    <t>Nome 1082</t>
  </si>
  <si>
    <t>Nome 1083</t>
  </si>
  <si>
    <t>Nome 1084</t>
  </si>
  <si>
    <t>Nome 1085</t>
  </si>
  <si>
    <t>Nome 1086</t>
  </si>
  <si>
    <t>Nome 1087</t>
  </si>
  <si>
    <t>Nome 1088</t>
  </si>
  <si>
    <t>Nome 1089</t>
  </si>
  <si>
    <t>Nome 1090</t>
  </si>
  <si>
    <t>Nome 1091</t>
  </si>
  <si>
    <t>Nome 1092</t>
  </si>
  <si>
    <t>Nome 1093</t>
  </si>
  <si>
    <t>Nome 1094</t>
  </si>
  <si>
    <t>Nome 1095</t>
  </si>
  <si>
    <t>Nome 1096</t>
  </si>
  <si>
    <t>Nome 1097</t>
  </si>
  <si>
    <t>Nome 1098</t>
  </si>
  <si>
    <t>Nome 1099</t>
  </si>
  <si>
    <t>Nome 1100</t>
  </si>
  <si>
    <t>Nome 1101</t>
  </si>
  <si>
    <t>Nome 1102</t>
  </si>
  <si>
    <t>Nome 1103</t>
  </si>
  <si>
    <t>Nome 1104</t>
  </si>
  <si>
    <t>Nome 1105</t>
  </si>
  <si>
    <t>Nome 1106</t>
  </si>
  <si>
    <t>Nome 1107</t>
  </si>
  <si>
    <t>Nome 1108</t>
  </si>
  <si>
    <t>Nome 1109</t>
  </si>
  <si>
    <t>Nome 1110</t>
  </si>
  <si>
    <t>Nome 1111</t>
  </si>
  <si>
    <t>Nome 1112</t>
  </si>
  <si>
    <t>Nome 1113</t>
  </si>
  <si>
    <t>Nome 1114</t>
  </si>
  <si>
    <t>Nome 1115</t>
  </si>
  <si>
    <t>Nome 1116</t>
  </si>
  <si>
    <t>Nome 1117</t>
  </si>
  <si>
    <t>Nome 1118</t>
  </si>
  <si>
    <t>Nome 1119</t>
  </si>
  <si>
    <t>Nome 1120</t>
  </si>
  <si>
    <t>Nome 1121</t>
  </si>
  <si>
    <t>Nome 1122</t>
  </si>
  <si>
    <t>Nome 1123</t>
  </si>
  <si>
    <t>Nome 1124</t>
  </si>
  <si>
    <t>Nome 1125</t>
  </si>
  <si>
    <t>Nome 1126</t>
  </si>
  <si>
    <t>Nome 1127</t>
  </si>
  <si>
    <t>Nome 1128</t>
  </si>
  <si>
    <t>Nome 1129</t>
  </si>
  <si>
    <t>Nome 1130</t>
  </si>
  <si>
    <t>Nome 1131</t>
  </si>
  <si>
    <t>Nome 1132</t>
  </si>
  <si>
    <t>Nome 1133</t>
  </si>
  <si>
    <t>Nome 1134</t>
  </si>
  <si>
    <t>Nome 1135</t>
  </si>
  <si>
    <t>Nome 1136</t>
  </si>
  <si>
    <t>Nome 1137</t>
  </si>
  <si>
    <t>Nome 1138</t>
  </si>
  <si>
    <t>Nome 1139</t>
  </si>
  <si>
    <t>Nome 1140</t>
  </si>
  <si>
    <t>Nome 1141</t>
  </si>
  <si>
    <t>Nome 1142</t>
  </si>
  <si>
    <t>Nome 1143</t>
  </si>
  <si>
    <t>Nome 1144</t>
  </si>
  <si>
    <t>Nome 1145</t>
  </si>
  <si>
    <t>Nome 1146</t>
  </si>
  <si>
    <t>Nome 1147</t>
  </si>
  <si>
    <t>Nome 1148</t>
  </si>
  <si>
    <t>Nome 1149</t>
  </si>
  <si>
    <t>Nome 1150</t>
  </si>
  <si>
    <t>Nome 1151</t>
  </si>
  <si>
    <t>Nome 1152</t>
  </si>
  <si>
    <t>Nome 1153</t>
  </si>
  <si>
    <t>Nome 1154</t>
  </si>
  <si>
    <t>Nome 1155</t>
  </si>
  <si>
    <t>Nome 1156</t>
  </si>
  <si>
    <t>Nome 1157</t>
  </si>
  <si>
    <t>Nome 1158</t>
  </si>
  <si>
    <t>Nome 1159</t>
  </si>
  <si>
    <t>Nome 1160</t>
  </si>
  <si>
    <t>Nome 1161</t>
  </si>
  <si>
    <t>Nome 1162</t>
  </si>
  <si>
    <t>Nome 1163</t>
  </si>
  <si>
    <t>Nome 1164</t>
  </si>
  <si>
    <t>Nome 1165</t>
  </si>
  <si>
    <t>Nome 1166</t>
  </si>
  <si>
    <t>Nome 1167</t>
  </si>
  <si>
    <t>Nome 1168</t>
  </si>
  <si>
    <t>Nome 1169</t>
  </si>
  <si>
    <t>Nome 1170</t>
  </si>
  <si>
    <t>Nome 1171</t>
  </si>
  <si>
    <t>Nome 1172</t>
  </si>
  <si>
    <t>Nome 1174</t>
  </si>
  <si>
    <t>Nome 1175</t>
  </si>
  <si>
    <t>Nome 1176</t>
  </si>
  <si>
    <t>Nome 1177</t>
  </si>
  <si>
    <t>Nome 1178</t>
  </si>
  <si>
    <t>Nome 1179</t>
  </si>
  <si>
    <t>Nome 1180</t>
  </si>
  <si>
    <t>Nome 1181</t>
  </si>
  <si>
    <t>Nome 1182</t>
  </si>
  <si>
    <t>Nome 1183</t>
  </si>
  <si>
    <t>Nome 1184</t>
  </si>
  <si>
    <t>Nome 1185</t>
  </si>
  <si>
    <t>Nome 1186</t>
  </si>
  <si>
    <t>Nome 1187</t>
  </si>
  <si>
    <t>Nome 1188</t>
  </si>
  <si>
    <t>Nome 1189</t>
  </si>
  <si>
    <t>Nome 1190</t>
  </si>
  <si>
    <t>Nome 1191</t>
  </si>
  <si>
    <t>Nome 1192</t>
  </si>
  <si>
    <t>Nome 1193</t>
  </si>
  <si>
    <t>Nome 1194</t>
  </si>
  <si>
    <t>Nome 1195</t>
  </si>
  <si>
    <t>Nome 1196</t>
  </si>
  <si>
    <t>Nome 1197</t>
  </si>
  <si>
    <t>Nome 1198</t>
  </si>
  <si>
    <t>Nome 1199</t>
  </si>
  <si>
    <t>Nome 1200</t>
  </si>
  <si>
    <t>Nome 1201</t>
  </si>
  <si>
    <t>Nome 1202</t>
  </si>
  <si>
    <t>Nome 1203</t>
  </si>
  <si>
    <t>Nome 1204</t>
  </si>
  <si>
    <t>Nome 1205</t>
  </si>
  <si>
    <t>Nome 1206</t>
  </si>
  <si>
    <t>Nome 1207</t>
  </si>
  <si>
    <t>Nome 1208</t>
  </si>
  <si>
    <t>Nome 1209</t>
  </si>
  <si>
    <t>Nome 1210</t>
  </si>
  <si>
    <t>Nome 1211</t>
  </si>
  <si>
    <t>Nome 1212</t>
  </si>
  <si>
    <t>Nome 1213</t>
  </si>
  <si>
    <t>Nome 1214</t>
  </si>
  <si>
    <t>Nome 1215</t>
  </si>
  <si>
    <t>Nome 1216</t>
  </si>
  <si>
    <t>Nome 1217</t>
  </si>
  <si>
    <t>Nome 1218</t>
  </si>
  <si>
    <t>Nome 1219</t>
  </si>
  <si>
    <t>Nome 1220</t>
  </si>
  <si>
    <t>Nome 1221</t>
  </si>
  <si>
    <t>Nome 1222</t>
  </si>
  <si>
    <t>Nome 1223</t>
  </si>
  <si>
    <t>Nome 1224</t>
  </si>
  <si>
    <t>Nome 1225</t>
  </si>
  <si>
    <t>Nome 1226</t>
  </si>
  <si>
    <t>Nome 1227</t>
  </si>
  <si>
    <t>Nome 1228</t>
  </si>
  <si>
    <t>Nome 1229</t>
  </si>
  <si>
    <t>Nome 1230</t>
  </si>
  <si>
    <t>Nome 1231</t>
  </si>
  <si>
    <t>Nome 1232</t>
  </si>
  <si>
    <t>Nome 1233</t>
  </si>
  <si>
    <t>Nome 1234</t>
  </si>
  <si>
    <t>Nome 1235</t>
  </si>
  <si>
    <t>Nome 1236</t>
  </si>
  <si>
    <t>Nome 1237</t>
  </si>
  <si>
    <t>Nome 1238</t>
  </si>
  <si>
    <t>Nome 1239</t>
  </si>
  <si>
    <t>Nome 1240</t>
  </si>
  <si>
    <t>Nome 1241</t>
  </si>
  <si>
    <t>Nome 1242</t>
  </si>
  <si>
    <t>Nome 1243</t>
  </si>
  <si>
    <t>Nome 1244</t>
  </si>
  <si>
    <t>Nome 1245</t>
  </si>
  <si>
    <t>Nome 1246</t>
  </si>
  <si>
    <t>Nome 1247</t>
  </si>
  <si>
    <t>Nome 1248</t>
  </si>
  <si>
    <t>Nome 1249</t>
  </si>
  <si>
    <t>Nome 1250</t>
  </si>
  <si>
    <t>Nome 1251</t>
  </si>
  <si>
    <t>Nome 1252</t>
  </si>
  <si>
    <t>Nome 1253</t>
  </si>
  <si>
    <t>Nome 1254</t>
  </si>
  <si>
    <t>Nome 1255</t>
  </si>
  <si>
    <t>Nome 1256</t>
  </si>
  <si>
    <t>Nome 1257</t>
  </si>
  <si>
    <t>Nome 1258</t>
  </si>
  <si>
    <t>Nome 1259</t>
  </si>
  <si>
    <t>Nome 1260</t>
  </si>
  <si>
    <t>Nome 1261</t>
  </si>
  <si>
    <t>Nome 1262</t>
  </si>
  <si>
    <t>Nome 1263</t>
  </si>
  <si>
    <t>Nome 1264</t>
  </si>
  <si>
    <t>Nome 1265</t>
  </si>
  <si>
    <t>Nome 1266</t>
  </si>
  <si>
    <t>Nome 1267</t>
  </si>
  <si>
    <t>Nome 1268</t>
  </si>
  <si>
    <t>Nome 1269</t>
  </si>
  <si>
    <t>Nome 1270</t>
  </si>
  <si>
    <t>Nome 1271</t>
  </si>
  <si>
    <t>Nome 1272</t>
  </si>
  <si>
    <t>Nome 1273</t>
  </si>
  <si>
    <t>Nome 1274</t>
  </si>
  <si>
    <t>Nome 1275</t>
  </si>
  <si>
    <t>Nome 1276</t>
  </si>
  <si>
    <t>Nome 1277</t>
  </si>
  <si>
    <t>Nome 1278</t>
  </si>
  <si>
    <t>Nome 1279</t>
  </si>
  <si>
    <t>Nome 1280</t>
  </si>
  <si>
    <t>Nome 1281</t>
  </si>
  <si>
    <t>Nome 1282</t>
  </si>
  <si>
    <t>Nome 1283</t>
  </si>
  <si>
    <t>Nome 1284</t>
  </si>
  <si>
    <t>Nome 1285</t>
  </si>
  <si>
    <t>Nome 1286</t>
  </si>
  <si>
    <t>Nome 1287</t>
  </si>
  <si>
    <t>Nome 1288</t>
  </si>
  <si>
    <t>Nome 1289</t>
  </si>
  <si>
    <t>Nome 1290</t>
  </si>
  <si>
    <t>Nome 1291</t>
  </si>
  <si>
    <t>Nome 1292</t>
  </si>
  <si>
    <t>Nome 1293</t>
  </si>
  <si>
    <t>Nome 1294</t>
  </si>
  <si>
    <t>Nome 1295</t>
  </si>
  <si>
    <t>Nome 1296</t>
  </si>
  <si>
    <t>Nome 1297</t>
  </si>
  <si>
    <t>Nome 1298</t>
  </si>
  <si>
    <t>Nome 1299</t>
  </si>
  <si>
    <t>Nome 1300</t>
  </si>
  <si>
    <t>Nome 1301</t>
  </si>
  <si>
    <t>Nome 1302</t>
  </si>
  <si>
    <t>Nome 1303</t>
  </si>
  <si>
    <t>Nome 1304</t>
  </si>
  <si>
    <t>Nome 1305</t>
  </si>
  <si>
    <t>Nome 1306</t>
  </si>
  <si>
    <t>Nome 1307</t>
  </si>
  <si>
    <t>Nome 1308</t>
  </si>
  <si>
    <t>Nome 1309</t>
  </si>
  <si>
    <t>Nome 1310</t>
  </si>
  <si>
    <t>Nome 1311</t>
  </si>
  <si>
    <t>Nome 1312</t>
  </si>
  <si>
    <t>Nome 1313</t>
  </si>
  <si>
    <t>Nome 1314</t>
  </si>
  <si>
    <t>Nome 1315</t>
  </si>
  <si>
    <t>Nome 1316</t>
  </si>
  <si>
    <t>Nome 1317</t>
  </si>
  <si>
    <t>Nome 1318</t>
  </si>
  <si>
    <t>Nome 1319</t>
  </si>
  <si>
    <t>Nome 1320</t>
  </si>
  <si>
    <t>Nome 1321</t>
  </si>
  <si>
    <t>Nome 1322</t>
  </si>
  <si>
    <t>Nome 1323</t>
  </si>
  <si>
    <t>Nome 1324</t>
  </si>
  <si>
    <t>Nome 1325</t>
  </si>
  <si>
    <t>Nome 1326</t>
  </si>
  <si>
    <t>Nome 1327</t>
  </si>
  <si>
    <t>Nome 1328</t>
  </si>
  <si>
    <t>Nome 1329</t>
  </si>
  <si>
    <t>Nome 1330</t>
  </si>
  <si>
    <t>Nome 1331</t>
  </si>
  <si>
    <t>Nome 1332</t>
  </si>
  <si>
    <t>Nome 1333</t>
  </si>
  <si>
    <t>Nome 1334</t>
  </si>
  <si>
    <t>Nome 1335</t>
  </si>
  <si>
    <t>Nome 1336</t>
  </si>
  <si>
    <t>Nome 1337</t>
  </si>
  <si>
    <t>Nome 1338</t>
  </si>
  <si>
    <t>Nome 1339</t>
  </si>
  <si>
    <t>Nome 1340</t>
  </si>
  <si>
    <t>Nome 1341</t>
  </si>
  <si>
    <t>Nome 1342</t>
  </si>
  <si>
    <t>Nome 1343</t>
  </si>
  <si>
    <t>Nome 1344</t>
  </si>
  <si>
    <t>Nome 1345</t>
  </si>
  <si>
    <t>Nome 1346</t>
  </si>
  <si>
    <t>Nome 1347</t>
  </si>
  <si>
    <t>Nome 1348</t>
  </si>
  <si>
    <t>Nome 1349</t>
  </si>
  <si>
    <t>Nome 1350</t>
  </si>
  <si>
    <t>Nome 1351</t>
  </si>
  <si>
    <t>Nome 1352</t>
  </si>
  <si>
    <t>Nome 1353</t>
  </si>
  <si>
    <t>Nome 1354</t>
  </si>
  <si>
    <t>Nome 1355</t>
  </si>
  <si>
    <t>Nome 1356</t>
  </si>
  <si>
    <t>Nome 1357</t>
  </si>
  <si>
    <t>Nome 1358</t>
  </si>
  <si>
    <t>Nome 1359</t>
  </si>
  <si>
    <t>Nome 1360</t>
  </si>
  <si>
    <t>Nome 1361</t>
  </si>
  <si>
    <t>Nome 1362</t>
  </si>
  <si>
    <t>Nome 1363</t>
  </si>
  <si>
    <t>Nome 1364</t>
  </si>
  <si>
    <t>Nome 1365</t>
  </si>
  <si>
    <t>Nome 1366</t>
  </si>
  <si>
    <t>Nome 1367</t>
  </si>
  <si>
    <t>Nome 1368</t>
  </si>
  <si>
    <t>Nome 1369</t>
  </si>
  <si>
    <t>Nome 1370</t>
  </si>
  <si>
    <t>Nome 1371</t>
  </si>
  <si>
    <t>Nome 1372</t>
  </si>
  <si>
    <t>Nome 1373</t>
  </si>
  <si>
    <t>Nome 1374</t>
  </si>
  <si>
    <t>Nome 1375</t>
  </si>
  <si>
    <t>Nome 1376</t>
  </si>
  <si>
    <t>Nome 1377</t>
  </si>
  <si>
    <t>Nome 1378</t>
  </si>
  <si>
    <t>Nome 1379</t>
  </si>
  <si>
    <t>Nome 1380</t>
  </si>
  <si>
    <t>Nome 1381</t>
  </si>
  <si>
    <t>Nome 1382</t>
  </si>
  <si>
    <t>Nome 1383</t>
  </si>
  <si>
    <t>Nome 1384</t>
  </si>
  <si>
    <t>Nome 1385</t>
  </si>
  <si>
    <t>Nome 1386</t>
  </si>
  <si>
    <t>Nome 1387</t>
  </si>
  <si>
    <t>Nome 1388</t>
  </si>
  <si>
    <t>Nome 1389</t>
  </si>
  <si>
    <t>Nome 1390</t>
  </si>
  <si>
    <t>Nome 1391</t>
  </si>
  <si>
    <t>Nome 1392</t>
  </si>
  <si>
    <t>Nome 1393</t>
  </si>
  <si>
    <t>Nome 1394</t>
  </si>
  <si>
    <t>Nome 1395</t>
  </si>
  <si>
    <t>Nome 1396</t>
  </si>
  <si>
    <t>Nome 1397</t>
  </si>
  <si>
    <t>Nome 1398</t>
  </si>
  <si>
    <t>Nome 1399</t>
  </si>
  <si>
    <t>Nome 1400</t>
  </si>
  <si>
    <t>Nome 1401</t>
  </si>
  <si>
    <t>Nome 1402</t>
  </si>
  <si>
    <t>Nome 1403</t>
  </si>
  <si>
    <t>Nome 1404</t>
  </si>
  <si>
    <t>Nome 1405</t>
  </si>
  <si>
    <t>Nome 1406</t>
  </si>
  <si>
    <t>Nome 1407</t>
  </si>
  <si>
    <t>Nome 1408</t>
  </si>
  <si>
    <t>Nome 1409</t>
  </si>
  <si>
    <t>Nome 1410</t>
  </si>
  <si>
    <t>Nome 1411</t>
  </si>
  <si>
    <t>Nome 1412</t>
  </si>
  <si>
    <t>Nome 1413</t>
  </si>
  <si>
    <t>Nome 1414</t>
  </si>
  <si>
    <t>Nome 1415</t>
  </si>
  <si>
    <t>Nome 1416</t>
  </si>
  <si>
    <t>Nome 1417</t>
  </si>
  <si>
    <t>Nome 1418</t>
  </si>
  <si>
    <t>Nome 1419</t>
  </si>
  <si>
    <t>Nome 1420</t>
  </si>
  <si>
    <t>Nome 1421</t>
  </si>
  <si>
    <t>Nome 1422</t>
  </si>
  <si>
    <t>Nome 1423</t>
  </si>
  <si>
    <t>Nome 1424</t>
  </si>
  <si>
    <t>Nome 1425</t>
  </si>
  <si>
    <t>Nome 1426</t>
  </si>
  <si>
    <t>Nome 1427</t>
  </si>
  <si>
    <t>Nome 1428</t>
  </si>
  <si>
    <t>Nome 1429</t>
  </si>
  <si>
    <t>Nome 1430</t>
  </si>
  <si>
    <t>Nome 1431</t>
  </si>
  <si>
    <t>Nome 1432</t>
  </si>
  <si>
    <t>Nome 1433</t>
  </si>
  <si>
    <t>Nome 1434</t>
  </si>
  <si>
    <t>Nome 1435</t>
  </si>
  <si>
    <t>Nome 1436</t>
  </si>
  <si>
    <t>Nome 1437</t>
  </si>
  <si>
    <t>Nome 1438</t>
  </si>
  <si>
    <t>Nome 1439</t>
  </si>
  <si>
    <t>Nome 1440</t>
  </si>
  <si>
    <t>Nome 1441</t>
  </si>
  <si>
    <t>Nome 1442</t>
  </si>
  <si>
    <t>Nome 1443</t>
  </si>
  <si>
    <t>Nome 1444</t>
  </si>
  <si>
    <t>Nome 1445</t>
  </si>
  <si>
    <t>Nome 1446</t>
  </si>
  <si>
    <t>Nome 1447</t>
  </si>
  <si>
    <t>Nome 1448</t>
  </si>
  <si>
    <t>Nome 1449</t>
  </si>
  <si>
    <t>Nome 1450</t>
  </si>
  <si>
    <t>Nome 1451</t>
  </si>
  <si>
    <t>Nome 1452</t>
  </si>
  <si>
    <t>Nome 1453</t>
  </si>
  <si>
    <t>Nome 1454</t>
  </si>
  <si>
    <t>Nome 1455</t>
  </si>
  <si>
    <t>Nome 1456</t>
  </si>
  <si>
    <t>Nome 1457</t>
  </si>
  <si>
    <t>Nome 1458</t>
  </si>
  <si>
    <t>Nome 1459</t>
  </si>
  <si>
    <t>Nome 1460</t>
  </si>
  <si>
    <t>Nome 1461</t>
  </si>
  <si>
    <t>Nome 1462</t>
  </si>
  <si>
    <t>Nome 1463</t>
  </si>
  <si>
    <t>Nome 1464</t>
  </si>
  <si>
    <t>Nome 1465</t>
  </si>
  <si>
    <t>Nome 1466</t>
  </si>
  <si>
    <t>Nome 1467</t>
  </si>
  <si>
    <t>Nome 1468</t>
  </si>
  <si>
    <t>Nome 1469</t>
  </si>
  <si>
    <t>Nome 1470</t>
  </si>
  <si>
    <t>Nome 1471</t>
  </si>
  <si>
    <t>Nome 1472</t>
  </si>
  <si>
    <t>Nome 1473</t>
  </si>
  <si>
    <t>Nome 1474</t>
  </si>
  <si>
    <t>Nome 1475</t>
  </si>
  <si>
    <t>Nome 1476</t>
  </si>
  <si>
    <t>Nome 1477</t>
  </si>
  <si>
    <t>Nome 1478</t>
  </si>
  <si>
    <t>Nome 1479</t>
  </si>
  <si>
    <t>Nome 1480</t>
  </si>
  <si>
    <t>Nome 1481</t>
  </si>
  <si>
    <t>Nome 1482</t>
  </si>
  <si>
    <t>Nome 1483</t>
  </si>
  <si>
    <t>Nome 1484</t>
  </si>
  <si>
    <t>Nome 1485</t>
  </si>
  <si>
    <t>Nome 1486</t>
  </si>
  <si>
    <t>Nome 1487</t>
  </si>
  <si>
    <t>Nome 1488</t>
  </si>
  <si>
    <t>Nome 1489</t>
  </si>
  <si>
    <t>Nome 1490</t>
  </si>
  <si>
    <t>Nome 1491</t>
  </si>
  <si>
    <t>Nome 1492</t>
  </si>
  <si>
    <t>Nome 1493</t>
  </si>
  <si>
    <t>Nome 1494</t>
  </si>
  <si>
    <t>Nome 1495</t>
  </si>
  <si>
    <t>Nome 1496</t>
  </si>
  <si>
    <t>Nome 1497</t>
  </si>
  <si>
    <t>Nome 1498</t>
  </si>
  <si>
    <t>Nome 1499</t>
  </si>
  <si>
    <t>Nome 1500</t>
  </si>
  <si>
    <t>Nome 1501</t>
  </si>
  <si>
    <t>Nome 1502</t>
  </si>
  <si>
    <t>Nome 1503</t>
  </si>
  <si>
    <t>Nome 1504</t>
  </si>
  <si>
    <t>Nome 1505</t>
  </si>
  <si>
    <t>Nome 1507</t>
  </si>
  <si>
    <t>Nome 1508</t>
  </si>
  <si>
    <t>Nome 1509</t>
  </si>
  <si>
    <t>Nome 1510</t>
  </si>
  <si>
    <t>Nome 1511</t>
  </si>
  <si>
    <t>Nome 1512</t>
  </si>
  <si>
    <t>Nome 1513</t>
  </si>
  <si>
    <t>Nome 1514</t>
  </si>
  <si>
    <t>Nome 1515</t>
  </si>
  <si>
    <t>Nome 1516</t>
  </si>
  <si>
    <t>Nome 1517</t>
  </si>
  <si>
    <t>Nome 1518</t>
  </si>
  <si>
    <t>Nome 1519</t>
  </si>
  <si>
    <t>Nome 1520</t>
  </si>
  <si>
    <t>Nome 1521</t>
  </si>
  <si>
    <t>Nome 1522</t>
  </si>
  <si>
    <t>Nome 1523</t>
  </si>
  <si>
    <t>Nome 1524</t>
  </si>
  <si>
    <t>Nome 1525</t>
  </si>
  <si>
    <t>Nome 1526</t>
  </si>
  <si>
    <t>Nome 1527</t>
  </si>
  <si>
    <t>Nome 1528</t>
  </si>
  <si>
    <t>Nome 1529</t>
  </si>
  <si>
    <t>Nome 1530</t>
  </si>
  <si>
    <t>Nome 1531</t>
  </si>
  <si>
    <t>Nome 1532</t>
  </si>
  <si>
    <t>Nome 1533</t>
  </si>
  <si>
    <t>Nome 1534</t>
  </si>
  <si>
    <t>Nome 1535</t>
  </si>
  <si>
    <t>Nome 1536</t>
  </si>
  <si>
    <t>Nome 1537</t>
  </si>
  <si>
    <t>Nome 1538</t>
  </si>
  <si>
    <t>Nome 1539</t>
  </si>
  <si>
    <t>Nome 1540</t>
  </si>
  <si>
    <t>Nome 1541</t>
  </si>
  <si>
    <t>Nome 1542</t>
  </si>
  <si>
    <t>Nome 1543</t>
  </si>
  <si>
    <t>Nome 1544</t>
  </si>
  <si>
    <t>Nome 1545</t>
  </si>
  <si>
    <t>Nome 1546</t>
  </si>
  <si>
    <t>Nome 1547</t>
  </si>
  <si>
    <t>Nome 1548</t>
  </si>
  <si>
    <t>Nome 1549</t>
  </si>
  <si>
    <t>Nome 1550</t>
  </si>
  <si>
    <t>Nome 1551</t>
  </si>
  <si>
    <t>Nome 1552</t>
  </si>
  <si>
    <t>Nome 1553</t>
  </si>
  <si>
    <t>Nome 1554</t>
  </si>
  <si>
    <t>Nome 1555</t>
  </si>
  <si>
    <t>Nome 1556</t>
  </si>
  <si>
    <t>Nome 1557</t>
  </si>
  <si>
    <t>Nome 1558</t>
  </si>
  <si>
    <t>Nome 1559</t>
  </si>
  <si>
    <t>Nome 1560</t>
  </si>
  <si>
    <t>Nome 1561</t>
  </si>
  <si>
    <t>Nome 1562</t>
  </si>
  <si>
    <t>Nome 1563</t>
  </si>
  <si>
    <t>Nome 1564</t>
  </si>
  <si>
    <t>Nome 1565</t>
  </si>
  <si>
    <t>Nome 1566</t>
  </si>
  <si>
    <t>Nome 1567</t>
  </si>
  <si>
    <t>Nome 1568</t>
  </si>
  <si>
    <t>Nome 1569</t>
  </si>
  <si>
    <t>Nome 1570</t>
  </si>
  <si>
    <t>Nome 1571</t>
  </si>
  <si>
    <t>Nome 1572</t>
  </si>
  <si>
    <t>Nome 1573</t>
  </si>
  <si>
    <t>Nome 1574</t>
  </si>
  <si>
    <t>Nome 1575</t>
  </si>
  <si>
    <t>Nome 1576</t>
  </si>
  <si>
    <t>Nome 1577</t>
  </si>
  <si>
    <t>Nome 1578</t>
  </si>
  <si>
    <t>Nome 1579</t>
  </si>
  <si>
    <t>Nome 1580</t>
  </si>
  <si>
    <t>Nome 1581</t>
  </si>
  <si>
    <t>Nome 1582</t>
  </si>
  <si>
    <t>Nome 1583</t>
  </si>
  <si>
    <t>Nome 1584</t>
  </si>
  <si>
    <t>Nome 1585</t>
  </si>
  <si>
    <t>Nome 1586</t>
  </si>
  <si>
    <t>Nome 1587</t>
  </si>
  <si>
    <t>Nome 1588</t>
  </si>
  <si>
    <t>Nome 1589</t>
  </si>
  <si>
    <t>Nome 1590</t>
  </si>
  <si>
    <t>Nome 1591</t>
  </si>
  <si>
    <t>Nome 1592</t>
  </si>
  <si>
    <t>Nome 1593</t>
  </si>
  <si>
    <t>Nome 1594</t>
  </si>
  <si>
    <t>Nome 1595</t>
  </si>
  <si>
    <t>Nome 1596</t>
  </si>
  <si>
    <t>Nome 1597</t>
  </si>
  <si>
    <t>Nome 1598</t>
  </si>
  <si>
    <t>Nome 1599</t>
  </si>
  <si>
    <t>Nome 1600</t>
  </si>
  <si>
    <t>Nome 1601</t>
  </si>
  <si>
    <t>Nome 1602</t>
  </si>
  <si>
    <t>Nome 1603</t>
  </si>
  <si>
    <t>Nome 1604</t>
  </si>
  <si>
    <t>Nome 1605</t>
  </si>
  <si>
    <t>Nome 1606</t>
  </si>
  <si>
    <t>Nome 1607</t>
  </si>
  <si>
    <t>Nome 1608</t>
  </si>
  <si>
    <t>Nome 1609</t>
  </si>
  <si>
    <t>Nome 1610</t>
  </si>
  <si>
    <t>Nome 1611</t>
  </si>
  <si>
    <t>Nome 1612</t>
  </si>
  <si>
    <t>Nome 1613</t>
  </si>
  <si>
    <t>Nome 1614</t>
  </si>
  <si>
    <t>Nome 1615</t>
  </si>
  <si>
    <t>Nome 1616</t>
  </si>
  <si>
    <t>Nome 1617</t>
  </si>
  <si>
    <t>Nome 1618</t>
  </si>
  <si>
    <t>Nome 1619</t>
  </si>
  <si>
    <t>Nome 1620</t>
  </si>
  <si>
    <t>Nome 1621</t>
  </si>
  <si>
    <t>Nome 1622</t>
  </si>
  <si>
    <t>Nome 1623</t>
  </si>
  <si>
    <t>Nome 1624</t>
  </si>
  <si>
    <t>Nome 1625</t>
  </si>
  <si>
    <t>Nome 1626</t>
  </si>
  <si>
    <t>Nome 1627</t>
  </si>
  <si>
    <t>Nome 1628</t>
  </si>
  <si>
    <t>Nome 1629</t>
  </si>
  <si>
    <t>Nome 1630</t>
  </si>
  <si>
    <t>Nome 1631</t>
  </si>
  <si>
    <t>Nome 1632</t>
  </si>
  <si>
    <t>Nome 1633</t>
  </si>
  <si>
    <t>Nome 1634</t>
  </si>
  <si>
    <t>Nome 1635</t>
  </si>
  <si>
    <t>Nome 1636</t>
  </si>
  <si>
    <t>Nome 1637</t>
  </si>
  <si>
    <t>Nome 1638</t>
  </si>
  <si>
    <t>Nome 1639</t>
  </si>
  <si>
    <t>Nome 1640</t>
  </si>
  <si>
    <t>Nome 1641</t>
  </si>
  <si>
    <t>Nome 1642</t>
  </si>
  <si>
    <t>Nome 1643</t>
  </si>
  <si>
    <t>Nome 1644</t>
  </si>
  <si>
    <t>Nome 1645</t>
  </si>
  <si>
    <t>Nome 1646</t>
  </si>
  <si>
    <t>Nome 1647</t>
  </si>
  <si>
    <t>Nome 1648</t>
  </si>
  <si>
    <t>Nome 1649</t>
  </si>
  <si>
    <t>Nome 1650</t>
  </si>
  <si>
    <t>Nome 1651</t>
  </si>
  <si>
    <t>Nome 1652</t>
  </si>
  <si>
    <t>Nome 1653</t>
  </si>
  <si>
    <t>Nome 1654</t>
  </si>
  <si>
    <t>Nome 1655</t>
  </si>
  <si>
    <t>Nome 1656</t>
  </si>
  <si>
    <t>Nome 1657</t>
  </si>
  <si>
    <t>Nome 1658</t>
  </si>
  <si>
    <t>Nome 1659</t>
  </si>
  <si>
    <t>Nome 1660</t>
  </si>
  <si>
    <t>Nome 1661</t>
  </si>
  <si>
    <t>Nome 1662</t>
  </si>
  <si>
    <t>Nome 1663</t>
  </si>
  <si>
    <t>Nome 1664</t>
  </si>
  <si>
    <t>Nome 1665</t>
  </si>
  <si>
    <t>Nome 1666</t>
  </si>
  <si>
    <t>Nome 1667</t>
  </si>
  <si>
    <t>Nome 1668</t>
  </si>
  <si>
    <t>Nome 1669</t>
  </si>
  <si>
    <t>Nome 1670</t>
  </si>
  <si>
    <t>Nome 1671</t>
  </si>
  <si>
    <t>Nome 1672</t>
  </si>
  <si>
    <t>Nome 1673</t>
  </si>
  <si>
    <t>Nome 1674</t>
  </si>
  <si>
    <t>Nome 1675</t>
  </si>
  <si>
    <t>Nome 1676</t>
  </si>
  <si>
    <t>Nome 1677</t>
  </si>
  <si>
    <t>Nome 1678</t>
  </si>
  <si>
    <t>Nome 1679</t>
  </si>
  <si>
    <t>Nome 1680</t>
  </si>
  <si>
    <t>Nome 1681</t>
  </si>
  <si>
    <t>Nome 1682</t>
  </si>
  <si>
    <t>Nome 1683</t>
  </si>
  <si>
    <t>Nome 1684</t>
  </si>
  <si>
    <t>Nome 1685</t>
  </si>
  <si>
    <t>Nome 1686</t>
  </si>
  <si>
    <t>Nome 1687</t>
  </si>
  <si>
    <t>Nome 1688</t>
  </si>
  <si>
    <t>Nome 1689</t>
  </si>
  <si>
    <t>Nome 1690</t>
  </si>
  <si>
    <t>Nome 1691</t>
  </si>
  <si>
    <t>Nome 1692</t>
  </si>
  <si>
    <t>Nome 1693</t>
  </si>
  <si>
    <t>Nome 1694</t>
  </si>
  <si>
    <t>Nome 1695</t>
  </si>
  <si>
    <t>Nome 1696</t>
  </si>
  <si>
    <t>Nome 1697</t>
  </si>
  <si>
    <t>Nome 1698</t>
  </si>
  <si>
    <t>Nome 1699</t>
  </si>
  <si>
    <t>Nome 1700</t>
  </si>
  <si>
    <t>Nome 1701</t>
  </si>
  <si>
    <t>Nome 1702</t>
  </si>
  <si>
    <t>Nome 1703</t>
  </si>
  <si>
    <t>Nome 1704</t>
  </si>
  <si>
    <t>Nome 1705</t>
  </si>
  <si>
    <t>Nome 1706</t>
  </si>
  <si>
    <t>Nome 1707</t>
  </si>
  <si>
    <t>Nome 1708</t>
  </si>
  <si>
    <t>Nome 1709</t>
  </si>
  <si>
    <t>Nome 1710</t>
  </si>
  <si>
    <t>Nome 1711</t>
  </si>
  <si>
    <t>Nome 1712</t>
  </si>
  <si>
    <t>Nome 1713</t>
  </si>
  <si>
    <t>Nome 1714</t>
  </si>
  <si>
    <t>Nome 1715</t>
  </si>
  <si>
    <t>Nome 1716</t>
  </si>
  <si>
    <t>Nome 1717</t>
  </si>
  <si>
    <t>Nome 1718</t>
  </si>
  <si>
    <t>Nome 1719</t>
  </si>
  <si>
    <t>Nome 1720</t>
  </si>
  <si>
    <t>Nome 1721</t>
  </si>
  <si>
    <t>Nome 1722</t>
  </si>
  <si>
    <t>Nome 1726</t>
  </si>
  <si>
    <t>Nome 1727</t>
  </si>
  <si>
    <t>Nome 1728</t>
  </si>
  <si>
    <t>Nome 1729</t>
  </si>
  <si>
    <t>Nome 1730</t>
  </si>
  <si>
    <t>Nome 1731</t>
  </si>
  <si>
    <t>Nome 1732</t>
  </si>
  <si>
    <t>Nome 1733</t>
  </si>
  <si>
    <t>Nome 1734</t>
  </si>
  <si>
    <t>Nome 1735</t>
  </si>
  <si>
    <t>Nome 1736</t>
  </si>
  <si>
    <t>Nome 1737</t>
  </si>
  <si>
    <t>Nome 1738</t>
  </si>
  <si>
    <t>Nome 1739</t>
  </si>
  <si>
    <t>Nome 1740</t>
  </si>
  <si>
    <t>Nome 1741</t>
  </si>
  <si>
    <t>Nome 1742</t>
  </si>
  <si>
    <t>Nome 1743</t>
  </si>
  <si>
    <t>Nome 1744</t>
  </si>
  <si>
    <t>Nome 1745</t>
  </si>
  <si>
    <t>Nome 1746</t>
  </si>
  <si>
    <t>Nome 1747</t>
  </si>
  <si>
    <t>Nome 1748</t>
  </si>
  <si>
    <t>Nome 1749</t>
  </si>
  <si>
    <t>Nome 1750</t>
  </si>
  <si>
    <t>Nome 1751</t>
  </si>
  <si>
    <t>Nome 1752</t>
  </si>
  <si>
    <t>Nome 1753</t>
  </si>
  <si>
    <t>Nome 1754</t>
  </si>
  <si>
    <t>Nome 1755</t>
  </si>
  <si>
    <t>Nome 1756</t>
  </si>
  <si>
    <t>Nome 1757</t>
  </si>
  <si>
    <t>Nome 1758</t>
  </si>
  <si>
    <t>Nome 1759</t>
  </si>
  <si>
    <t>Nome 1760</t>
  </si>
  <si>
    <t>Nome 1761</t>
  </si>
  <si>
    <t>Nome 1762</t>
  </si>
  <si>
    <t>Nome 1763</t>
  </si>
  <si>
    <t>Nome 1764</t>
  </si>
  <si>
    <t>Nome 1765</t>
  </si>
  <si>
    <t>Nome 1766</t>
  </si>
  <si>
    <t>Nome 1767</t>
  </si>
  <si>
    <t>Nome 1768</t>
  </si>
  <si>
    <t>Nome 1769</t>
  </si>
  <si>
    <t>Nome 1770</t>
  </si>
  <si>
    <t>Nome 1771</t>
  </si>
  <si>
    <t>Nome 1772</t>
  </si>
  <si>
    <t>Nome 1773</t>
  </si>
  <si>
    <t>Nome 1774</t>
  </si>
  <si>
    <t>Nome 1775</t>
  </si>
  <si>
    <t>Nome 1776</t>
  </si>
  <si>
    <t>Nome 1777</t>
  </si>
  <si>
    <t>Nome 1778</t>
  </si>
  <si>
    <t>Nome 1779</t>
  </si>
  <si>
    <t>Nome 1780</t>
  </si>
  <si>
    <t>Nome 1781</t>
  </si>
  <si>
    <t>Nome 1782</t>
  </si>
  <si>
    <t>Nome 1783</t>
  </si>
  <si>
    <t>Nome 1784</t>
  </si>
  <si>
    <t>Nome 1785</t>
  </si>
  <si>
    <t>Nome 1786</t>
  </si>
  <si>
    <t>Nome 1787</t>
  </si>
  <si>
    <t>Nome 1788</t>
  </si>
  <si>
    <t>Nome 1789</t>
  </si>
  <si>
    <t>Nome 1790</t>
  </si>
  <si>
    <t>Nome 1791</t>
  </si>
  <si>
    <t>Nome 1792</t>
  </si>
  <si>
    <t>Nome 1793</t>
  </si>
  <si>
    <t>Nome 1794</t>
  </si>
  <si>
    <t>Nome 1795</t>
  </si>
  <si>
    <t>Nome 1796</t>
  </si>
  <si>
    <t>Nome 1797</t>
  </si>
  <si>
    <t>Nome 1798</t>
  </si>
  <si>
    <t>Nome 1799</t>
  </si>
  <si>
    <t>Nome 1800</t>
  </si>
  <si>
    <t>Nome 1801</t>
  </si>
  <si>
    <t>Nome 1802</t>
  </si>
  <si>
    <t>Nome 1803</t>
  </si>
  <si>
    <t>Nome 1804</t>
  </si>
  <si>
    <t>Nome 1805</t>
  </si>
  <si>
    <t>Nome 1806</t>
  </si>
  <si>
    <t>Nome 1807</t>
  </si>
  <si>
    <t>Nome 1808</t>
  </si>
  <si>
    <t>Nome 1809</t>
  </si>
  <si>
    <t>Nome 1810</t>
  </si>
  <si>
    <t>Nome 1811</t>
  </si>
  <si>
    <t>Nome 1812</t>
  </si>
  <si>
    <t>Nome 1813</t>
  </si>
  <si>
    <t>Nome 1814</t>
  </si>
  <si>
    <t>Nome 1815</t>
  </si>
  <si>
    <t>Nome 1816</t>
  </si>
  <si>
    <t>Nome 1817</t>
  </si>
  <si>
    <t>Nome 1818</t>
  </si>
  <si>
    <t>Nome 1819</t>
  </si>
  <si>
    <t>Nome 1820</t>
  </si>
  <si>
    <t>Nome 1821</t>
  </si>
  <si>
    <t>Nome 1822</t>
  </si>
  <si>
    <t>Nome 1823</t>
  </si>
  <si>
    <t>Nome 1824</t>
  </si>
  <si>
    <t>Nome 1825</t>
  </si>
  <si>
    <t>Nome 1826</t>
  </si>
  <si>
    <t>Nome 1827</t>
  </si>
  <si>
    <t>Nome 1828</t>
  </si>
  <si>
    <t>Nome 1829</t>
  </si>
  <si>
    <t>Nome 1830</t>
  </si>
  <si>
    <t>Nome 1831</t>
  </si>
  <si>
    <t>Nome 1832</t>
  </si>
  <si>
    <t>Nome 1833</t>
  </si>
  <si>
    <t>Nome 1834</t>
  </si>
  <si>
    <t>Nome 1835</t>
  </si>
  <si>
    <t>Nome 1836</t>
  </si>
  <si>
    <t>Nome 1837</t>
  </si>
  <si>
    <t>Nome 1838</t>
  </si>
  <si>
    <t>Nome 1839</t>
  </si>
  <si>
    <t>Nome 1840</t>
  </si>
  <si>
    <t>Nome 1841</t>
  </si>
  <si>
    <t>Nome 1842</t>
  </si>
  <si>
    <t>Nome 1843</t>
  </si>
  <si>
    <t>Nome 1844</t>
  </si>
  <si>
    <t>Nome 1845</t>
  </si>
  <si>
    <t>Nome 1846</t>
  </si>
  <si>
    <t>Nome 1847</t>
  </si>
  <si>
    <t>Nome 1848</t>
  </si>
  <si>
    <t>Nome 1849</t>
  </si>
  <si>
    <t>Nome 1850</t>
  </si>
  <si>
    <t>Nome 1851</t>
  </si>
  <si>
    <t>Nome 1852</t>
  </si>
  <si>
    <t>Nome 1853</t>
  </si>
  <si>
    <t>Nome 1854</t>
  </si>
  <si>
    <t>Nome 1855</t>
  </si>
  <si>
    <t>Nome 1856</t>
  </si>
  <si>
    <t>Nome 1857</t>
  </si>
  <si>
    <t>Nome 1858</t>
  </si>
  <si>
    <t>Nome 1859</t>
  </si>
  <si>
    <t>Nome 1860</t>
  </si>
  <si>
    <t>Nome 1861</t>
  </si>
  <si>
    <t>Nome 1862</t>
  </si>
  <si>
    <t>Nome 1863</t>
  </si>
  <si>
    <t>Nome 1864</t>
  </si>
  <si>
    <t>Nome 1865</t>
  </si>
  <si>
    <t>Nome 1866</t>
  </si>
  <si>
    <t>Nome 1867</t>
  </si>
  <si>
    <t>Nome 1868</t>
  </si>
  <si>
    <t>Nome 1869</t>
  </si>
  <si>
    <t>Nome 1870</t>
  </si>
  <si>
    <t>Nome 1871</t>
  </si>
  <si>
    <t>Nome 1872</t>
  </si>
  <si>
    <t>Nome 1873</t>
  </si>
  <si>
    <t>Nome 1874</t>
  </si>
  <si>
    <t>Nome 1875</t>
  </si>
  <si>
    <t>Nome 1876</t>
  </si>
  <si>
    <t>Nome 1877</t>
  </si>
  <si>
    <t>Nome 1878</t>
  </si>
  <si>
    <t>Nome 1879</t>
  </si>
  <si>
    <t>Nome 1880</t>
  </si>
  <si>
    <t>Nome 1881</t>
  </si>
  <si>
    <t>Nome 1882</t>
  </si>
  <si>
    <t>Nome 1883</t>
  </si>
  <si>
    <t>Nome 1884</t>
  </si>
  <si>
    <t>Nome 1885</t>
  </si>
  <si>
    <t>Nome 1886</t>
  </si>
  <si>
    <t>Nome 1887</t>
  </si>
  <si>
    <t>Nome 1888</t>
  </si>
  <si>
    <t>Nome 1889</t>
  </si>
  <si>
    <t>Nome 1890</t>
  </si>
  <si>
    <t>Nome 1891</t>
  </si>
  <si>
    <t>Nome 1892</t>
  </si>
  <si>
    <t>Nome 1893</t>
  </si>
  <si>
    <t>Nome 1894</t>
  </si>
  <si>
    <t>Nome 1895</t>
  </si>
  <si>
    <t>Nome 1896</t>
  </si>
  <si>
    <t>Nome 1897</t>
  </si>
  <si>
    <t>Nome 1898</t>
  </si>
  <si>
    <t>Nome 1899</t>
  </si>
  <si>
    <t>Nome 1900</t>
  </si>
  <si>
    <t>Nome 1901</t>
  </si>
  <si>
    <t>Nome 1902</t>
  </si>
  <si>
    <t>Nome 1903</t>
  </si>
  <si>
    <t>Nome 1904</t>
  </si>
  <si>
    <t>Nome 1905</t>
  </si>
  <si>
    <t>Nome 1906</t>
  </si>
  <si>
    <t>Nome 1907</t>
  </si>
  <si>
    <t>Nome 1908</t>
  </si>
  <si>
    <t>Nome 1909</t>
  </si>
  <si>
    <t>Nome 1910</t>
  </si>
  <si>
    <t>Nome 1911</t>
  </si>
  <si>
    <t>Nome 1912</t>
  </si>
  <si>
    <t>Nome 1913</t>
  </si>
  <si>
    <t>Nome 1914</t>
  </si>
  <si>
    <t>Nome 1915</t>
  </si>
  <si>
    <t>Nome 1916</t>
  </si>
  <si>
    <t>Nome 1917</t>
  </si>
  <si>
    <t>Nome 1918</t>
  </si>
  <si>
    <t>Nome 1919</t>
  </si>
  <si>
    <t>Nome 1920</t>
  </si>
  <si>
    <t>Nome 1921</t>
  </si>
  <si>
    <t>Nome 1922</t>
  </si>
  <si>
    <t>Nome 1923</t>
  </si>
  <si>
    <t>Nome 1924</t>
  </si>
  <si>
    <t>Nome 1925</t>
  </si>
  <si>
    <t>Nome 1926</t>
  </si>
  <si>
    <t>Nome 1927</t>
  </si>
  <si>
    <t>Nome 1928</t>
  </si>
  <si>
    <t>Nome 1929</t>
  </si>
  <si>
    <t>Nome 1930</t>
  </si>
  <si>
    <t>Nome 1931</t>
  </si>
  <si>
    <t>Nome 1932</t>
  </si>
  <si>
    <t>Nome 1933</t>
  </si>
  <si>
    <t>Nome 1934</t>
  </si>
  <si>
    <t>Nome 1935</t>
  </si>
  <si>
    <t>Nome 1936</t>
  </si>
  <si>
    <t>Nome 1937</t>
  </si>
  <si>
    <t>Nome 1938</t>
  </si>
  <si>
    <t>Nome 1939</t>
  </si>
  <si>
    <t>Nome 1940</t>
  </si>
  <si>
    <t>Nome 1941</t>
  </si>
  <si>
    <t>Nome 1942</t>
  </si>
  <si>
    <t>Nome 1943</t>
  </si>
  <si>
    <t>Nome 1944</t>
  </si>
  <si>
    <t>Nome 1945</t>
  </si>
  <si>
    <t>Nome 1946</t>
  </si>
  <si>
    <t>Nome 1947</t>
  </si>
  <si>
    <t>Nome 1948</t>
  </si>
  <si>
    <t>Nome 1949</t>
  </si>
  <si>
    <t>Nome 1950</t>
  </si>
  <si>
    <t>Nome 1951</t>
  </si>
  <si>
    <t>Nome 1952</t>
  </si>
  <si>
    <t>Nome 1953</t>
  </si>
  <si>
    <t>Nome 1954</t>
  </si>
  <si>
    <t>Nome 1955</t>
  </si>
  <si>
    <t>Nome 1956</t>
  </si>
  <si>
    <t>Nome 1957</t>
  </si>
  <si>
    <t>Nome 1958</t>
  </si>
  <si>
    <t>Nome 1959</t>
  </si>
  <si>
    <t>Nome 1960</t>
  </si>
  <si>
    <t>Nome 1961</t>
  </si>
  <si>
    <t>Nome 1962</t>
  </si>
  <si>
    <t>Nome 1963</t>
  </si>
  <si>
    <t>Nome 1964</t>
  </si>
  <si>
    <t>Nome 1965</t>
  </si>
  <si>
    <t>Nome 1966</t>
  </si>
  <si>
    <t>Nome 1967</t>
  </si>
  <si>
    <t>Nome 1968</t>
  </si>
  <si>
    <t>Nome 1969</t>
  </si>
  <si>
    <t>Nome 1970</t>
  </si>
  <si>
    <t>Nome 1971</t>
  </si>
  <si>
    <t>Nome 1972</t>
  </si>
  <si>
    <t>Nome 1973</t>
  </si>
  <si>
    <t>Nome 1974</t>
  </si>
  <si>
    <t>Nome 1975</t>
  </si>
  <si>
    <t>Nome 1976</t>
  </si>
  <si>
    <t>Nome 1977</t>
  </si>
  <si>
    <t>Nome 1978</t>
  </si>
  <si>
    <t>Nome 1979</t>
  </si>
  <si>
    <t>Nome 1980</t>
  </si>
  <si>
    <t>Nome 1981</t>
  </si>
  <si>
    <t>Nome 1982</t>
  </si>
  <si>
    <t>Nome 1983</t>
  </si>
  <si>
    <t>Nome 1984</t>
  </si>
  <si>
    <t>Nome 1985</t>
  </si>
  <si>
    <t>Nome 1986</t>
  </si>
  <si>
    <t>Nome 1987</t>
  </si>
  <si>
    <t>Nome 1988</t>
  </si>
  <si>
    <t>Nome 1989</t>
  </si>
  <si>
    <t>Nome 1990</t>
  </si>
  <si>
    <t>Nome 1991</t>
  </si>
  <si>
    <t>Nome 1992</t>
  </si>
  <si>
    <t>Nome 1993</t>
  </si>
  <si>
    <t>Nome 1994</t>
  </si>
  <si>
    <t>Nome 1995</t>
  </si>
  <si>
    <t>Nome 1996</t>
  </si>
  <si>
    <t>Nome 1997</t>
  </si>
  <si>
    <t>Nome 1998</t>
  </si>
  <si>
    <t>Nome 1999</t>
  </si>
  <si>
    <t>Nome 2000</t>
  </si>
  <si>
    <t>Nome 2001</t>
  </si>
  <si>
    <t>Nome 2002</t>
  </si>
  <si>
    <t>Nome 2003</t>
  </si>
  <si>
    <t>Nome 2004</t>
  </si>
  <si>
    <t>Nome 2005</t>
  </si>
  <si>
    <t>Nome 2006</t>
  </si>
  <si>
    <t>Nome 2007</t>
  </si>
  <si>
    <t>Nome 2008</t>
  </si>
  <si>
    <t>Nome 2009</t>
  </si>
  <si>
    <t>Nome 2010</t>
  </si>
  <si>
    <t>Nome 2011</t>
  </si>
  <si>
    <t>Nome 2012</t>
  </si>
  <si>
    <t>Nome 2013</t>
  </si>
  <si>
    <t>Nome 2014</t>
  </si>
  <si>
    <t>Nome 2015</t>
  </si>
  <si>
    <t>Nome 2016</t>
  </si>
  <si>
    <t>Nome 2017</t>
  </si>
  <si>
    <t>Nome 2018</t>
  </si>
  <si>
    <t>Nome 2019</t>
  </si>
  <si>
    <t>Nome 2021</t>
  </si>
  <si>
    <t>Nome 2022</t>
  </si>
  <si>
    <t>Nome 2023</t>
  </si>
  <si>
    <t>Nome 2024</t>
  </si>
  <si>
    <t>Nome 2025</t>
  </si>
  <si>
    <t>Nome 2026</t>
  </si>
  <si>
    <t>Nome 2027</t>
  </si>
  <si>
    <t>Nome 2028</t>
  </si>
  <si>
    <t>Nome 2029</t>
  </si>
  <si>
    <t>Nome 2030</t>
  </si>
  <si>
    <t>Nome 2031</t>
  </si>
  <si>
    <t>Nome 2032</t>
  </si>
  <si>
    <t>Nome 2033</t>
  </si>
  <si>
    <t>Nome 2034</t>
  </si>
  <si>
    <t>Nome 2035</t>
  </si>
  <si>
    <t>Nome 2036</t>
  </si>
  <si>
    <t>Nome 2037</t>
  </si>
  <si>
    <t>Nome 2038</t>
  </si>
  <si>
    <t>Nome 2039</t>
  </si>
  <si>
    <t>Nome 2040</t>
  </si>
  <si>
    <t>Nome 2041</t>
  </si>
  <si>
    <t>Nome 2042</t>
  </si>
  <si>
    <t>Nome 2043</t>
  </si>
  <si>
    <t>Nome 2044</t>
  </si>
  <si>
    <t>Nome 2045</t>
  </si>
  <si>
    <t>Nome 2046</t>
  </si>
  <si>
    <t>Nome 2047</t>
  </si>
  <si>
    <t>Nome 2048</t>
  </si>
  <si>
    <t>Nome 2049</t>
  </si>
  <si>
    <t>Nome 2050</t>
  </si>
  <si>
    <t>Nome 2051</t>
  </si>
  <si>
    <t>Nome 2052</t>
  </si>
  <si>
    <t>Nome 2053</t>
  </si>
  <si>
    <t>Nome 2054</t>
  </si>
  <si>
    <t>Nome 2055</t>
  </si>
  <si>
    <t>Nome 2056</t>
  </si>
  <si>
    <t>Nome 2057</t>
  </si>
  <si>
    <t>Nome 2058</t>
  </si>
  <si>
    <t>Nome 2059</t>
  </si>
  <si>
    <t>Nome 2060</t>
  </si>
  <si>
    <t>Nome 2061</t>
  </si>
  <si>
    <t>Nome 2062</t>
  </si>
  <si>
    <t>Cep 1</t>
  </si>
  <si>
    <t>Cep 2</t>
  </si>
  <si>
    <t>Cep 3</t>
  </si>
  <si>
    <t>Cep 4</t>
  </si>
  <si>
    <t>Cep 5</t>
  </si>
  <si>
    <t>Cep 6</t>
  </si>
  <si>
    <t>Cep 7</t>
  </si>
  <si>
    <t>Cep 8</t>
  </si>
  <si>
    <t>Cep 9</t>
  </si>
  <si>
    <t>Cep 10</t>
  </si>
  <si>
    <t>Cep 11</t>
  </si>
  <si>
    <t>Cep 12</t>
  </si>
  <si>
    <t>Cep 13</t>
  </si>
  <si>
    <t>Cep 14</t>
  </si>
  <si>
    <t>Cep 15</t>
  </si>
  <si>
    <t>Cep 16</t>
  </si>
  <si>
    <t>Cep 17</t>
  </si>
  <si>
    <t>Cep 18</t>
  </si>
  <si>
    <t>Cep 19</t>
  </si>
  <si>
    <t>Cep 20</t>
  </si>
  <si>
    <t>Cep 21</t>
  </si>
  <si>
    <t>Cep 22</t>
  </si>
  <si>
    <t>Cep 23</t>
  </si>
  <si>
    <t>Cep 24</t>
  </si>
  <si>
    <t>Cep 25</t>
  </si>
  <si>
    <t>Cep 26</t>
  </si>
  <si>
    <t>Cep 27</t>
  </si>
  <si>
    <t>Cep 28</t>
  </si>
  <si>
    <t>Cep 29</t>
  </si>
  <si>
    <t>Cep 30</t>
  </si>
  <si>
    <t>Cep 31</t>
  </si>
  <si>
    <t>Cep 32</t>
  </si>
  <si>
    <t>Cep 33</t>
  </si>
  <si>
    <t>Cep 34</t>
  </si>
  <si>
    <t>Cep 35</t>
  </si>
  <si>
    <t>Cep 36</t>
  </si>
  <si>
    <t>Cep 37</t>
  </si>
  <si>
    <t>Cep 38</t>
  </si>
  <si>
    <t>Cep 39</t>
  </si>
  <si>
    <t>Cep 40</t>
  </si>
  <si>
    <t>Cep 41</t>
  </si>
  <si>
    <t>Cep 42</t>
  </si>
  <si>
    <t>Cep 43</t>
  </si>
  <si>
    <t>Cep 44</t>
  </si>
  <si>
    <t>Cep 45</t>
  </si>
  <si>
    <t>Cep 46</t>
  </si>
  <si>
    <t>Cep 47</t>
  </si>
  <si>
    <t>Cep 48</t>
  </si>
  <si>
    <t>Cep 49</t>
  </si>
  <si>
    <t>Cep 50</t>
  </si>
  <si>
    <t>Cep 51</t>
  </si>
  <si>
    <t>Cep 52</t>
  </si>
  <si>
    <t>Cep 53</t>
  </si>
  <si>
    <t>Cep 54</t>
  </si>
  <si>
    <t>Cep 55</t>
  </si>
  <si>
    <t>Cep 56</t>
  </si>
  <si>
    <t>Cep 57</t>
  </si>
  <si>
    <t>Cep 58</t>
  </si>
  <si>
    <t>Cep 59</t>
  </si>
  <si>
    <t>Cep 60</t>
  </si>
  <si>
    <t>Cep 61</t>
  </si>
  <si>
    <t>Cep 62</t>
  </si>
  <si>
    <t>Cep 63</t>
  </si>
  <si>
    <t>Cep 64</t>
  </si>
  <si>
    <t>Cep 65</t>
  </si>
  <si>
    <t>Cep 66</t>
  </si>
  <si>
    <t>Cep 67</t>
  </si>
  <si>
    <t>Cep 68</t>
  </si>
  <si>
    <t>Cep 69</t>
  </si>
  <si>
    <t>Cep 70</t>
  </si>
  <si>
    <t>Cep 71</t>
  </si>
  <si>
    <t>Cep 72</t>
  </si>
  <si>
    <t>Cep 73</t>
  </si>
  <si>
    <t>Cep 74</t>
  </si>
  <si>
    <t>Cep 75</t>
  </si>
  <si>
    <t>Cep 76</t>
  </si>
  <si>
    <t>Cep 77</t>
  </si>
  <si>
    <t>Cep 78</t>
  </si>
  <si>
    <t>Cep 79</t>
  </si>
  <si>
    <t>Cep 80</t>
  </si>
  <si>
    <t>Cep 81</t>
  </si>
  <si>
    <t>Cep 82</t>
  </si>
  <si>
    <t>Cep 83</t>
  </si>
  <si>
    <t>Cep 84</t>
  </si>
  <si>
    <t>Cep 85</t>
  </si>
  <si>
    <t>Cep 86</t>
  </si>
  <si>
    <t>Cep 87</t>
  </si>
  <si>
    <t>Cep 88</t>
  </si>
  <si>
    <t>Cep 89</t>
  </si>
  <si>
    <t>Cep 90</t>
  </si>
  <si>
    <t>Cep 91</t>
  </si>
  <si>
    <t>Cep 92</t>
  </si>
  <si>
    <t>Cep 93</t>
  </si>
  <si>
    <t>Cep 94</t>
  </si>
  <si>
    <t>Cep 95</t>
  </si>
  <si>
    <t>Cep 96</t>
  </si>
  <si>
    <t>Cep 97</t>
  </si>
  <si>
    <t>Cep 98</t>
  </si>
  <si>
    <t>Cep 99</t>
  </si>
  <si>
    <t>Cep 100</t>
  </si>
  <si>
    <t>Cep 101</t>
  </si>
  <si>
    <t>Cep 102</t>
  </si>
  <si>
    <t>Cep 103</t>
  </si>
  <si>
    <t>Cep 104</t>
  </si>
  <si>
    <t>Cep 105</t>
  </si>
  <si>
    <t>Cep 106</t>
  </si>
  <si>
    <t>Cep 107</t>
  </si>
  <si>
    <t>Cep 108</t>
  </si>
  <si>
    <t>Cep 109</t>
  </si>
  <si>
    <t>Cep 110</t>
  </si>
  <si>
    <t>Cep 111</t>
  </si>
  <si>
    <t>Cep 112</t>
  </si>
  <si>
    <t>Cep 113</t>
  </si>
  <si>
    <t>Cep 114</t>
  </si>
  <si>
    <t>Cep 115</t>
  </si>
  <si>
    <t>Cep 116</t>
  </si>
  <si>
    <t>Cep 117</t>
  </si>
  <si>
    <t>Cep 118</t>
  </si>
  <si>
    <t>Cep 119</t>
  </si>
  <si>
    <t>Cep 120</t>
  </si>
  <si>
    <t>Cep 121</t>
  </si>
  <si>
    <t>Cep 122</t>
  </si>
  <si>
    <t>Cep 123</t>
  </si>
  <si>
    <t>Cep 124</t>
  </si>
  <si>
    <t>Cep 125</t>
  </si>
  <si>
    <t>Cep 126</t>
  </si>
  <si>
    <t>Cep 127</t>
  </si>
  <si>
    <t>Cep 128</t>
  </si>
  <si>
    <t>Cep 129</t>
  </si>
  <si>
    <t>Cep 130</t>
  </si>
  <si>
    <t>Cep 131</t>
  </si>
  <si>
    <t>Cep 132</t>
  </si>
  <si>
    <t>Cep 133</t>
  </si>
  <si>
    <t>Cep 134</t>
  </si>
  <si>
    <t>Cep 135</t>
  </si>
  <si>
    <t>Cep 136</t>
  </si>
  <si>
    <t>Cep 137</t>
  </si>
  <si>
    <t>Cep 138</t>
  </si>
  <si>
    <t>Cep 139</t>
  </si>
  <si>
    <t>Cep 140</t>
  </si>
  <si>
    <t>Cep 141</t>
  </si>
  <si>
    <t>Cep 142</t>
  </si>
  <si>
    <t>Cep 143</t>
  </si>
  <si>
    <t>Cep 144</t>
  </si>
  <si>
    <t>Cep 145</t>
  </si>
  <si>
    <t>Cep 146</t>
  </si>
  <si>
    <t>Cep 147</t>
  </si>
  <si>
    <t>Cep 148</t>
  </si>
  <si>
    <t>Cep 149</t>
  </si>
  <si>
    <t>Cep 150</t>
  </si>
  <si>
    <t>Cep 151</t>
  </si>
  <si>
    <t>Cep 152</t>
  </si>
  <si>
    <t>Cep 153</t>
  </si>
  <si>
    <t>Cep 154</t>
  </si>
  <si>
    <t>Cep 155</t>
  </si>
  <si>
    <t>Cep 156</t>
  </si>
  <si>
    <t>Cep 157</t>
  </si>
  <si>
    <t>Cep 158</t>
  </si>
  <si>
    <t>Cep 159</t>
  </si>
  <si>
    <t>Cep 160</t>
  </si>
  <si>
    <t>Cep 161</t>
  </si>
  <si>
    <t>Cep 162</t>
  </si>
  <si>
    <t>Cep 163</t>
  </si>
  <si>
    <t>Cep 164</t>
  </si>
  <si>
    <t>Cep 165</t>
  </si>
  <si>
    <t>Cep 166</t>
  </si>
  <si>
    <t>Cep 167</t>
  </si>
  <si>
    <t>Cep 168</t>
  </si>
  <si>
    <t>Cep 169</t>
  </si>
  <si>
    <t>Cep 170</t>
  </si>
  <si>
    <t>Cep 171</t>
  </si>
  <si>
    <t>Cep 172</t>
  </si>
  <si>
    <t>Cep 173</t>
  </si>
  <si>
    <t>Cep 174</t>
  </si>
  <si>
    <t>Cep 175</t>
  </si>
  <si>
    <t>Cep 176</t>
  </si>
  <si>
    <t>Cep 177</t>
  </si>
  <si>
    <t>Cep 178</t>
  </si>
  <si>
    <t>Cep 179</t>
  </si>
  <si>
    <t>Cep 180</t>
  </si>
  <si>
    <t>Cep 181</t>
  </si>
  <si>
    <t>Cep 182</t>
  </si>
  <si>
    <t>Cep 183</t>
  </si>
  <si>
    <t>Cep 184</t>
  </si>
  <si>
    <t>Cep 185</t>
  </si>
  <si>
    <t>Cep 186</t>
  </si>
  <si>
    <t>Cep 187</t>
  </si>
  <si>
    <t>Cep 188</t>
  </si>
  <si>
    <t>Cep 189</t>
  </si>
  <si>
    <t>Cep 190</t>
  </si>
  <si>
    <t>Cep 191</t>
  </si>
  <si>
    <t>Cep 192</t>
  </si>
  <si>
    <t>Cep 193</t>
  </si>
  <si>
    <t>Cep 194</t>
  </si>
  <si>
    <t>Cep 195</t>
  </si>
  <si>
    <t>Cep 196</t>
  </si>
  <si>
    <t>Cep 197</t>
  </si>
  <si>
    <t>Cep 198</t>
  </si>
  <si>
    <t>Cep 199</t>
  </si>
  <si>
    <t>Cep 200</t>
  </si>
  <si>
    <t>Cep 201</t>
  </si>
  <si>
    <t>Cep 202</t>
  </si>
  <si>
    <t>Cep 203</t>
  </si>
  <si>
    <t>Cep 204</t>
  </si>
  <si>
    <t>Cep 205</t>
  </si>
  <si>
    <t>Cep 206</t>
  </si>
  <si>
    <t>Cep 207</t>
  </si>
  <si>
    <t>Cep 208</t>
  </si>
  <si>
    <t>Cep 209</t>
  </si>
  <si>
    <t>Cep 210</t>
  </si>
  <si>
    <t>Cep 211</t>
  </si>
  <si>
    <t>Cep 212</t>
  </si>
  <si>
    <t>Cep 213</t>
  </si>
  <si>
    <t>Cep 214</t>
  </si>
  <si>
    <t>Cep 215</t>
  </si>
  <si>
    <t>Cep 216</t>
  </si>
  <si>
    <t>Cep 217</t>
  </si>
  <si>
    <t>Cep 218</t>
  </si>
  <si>
    <t>Cep 219</t>
  </si>
  <si>
    <t>Cep 220</t>
  </si>
  <si>
    <t>Cep 221</t>
  </si>
  <si>
    <t>Cep 222</t>
  </si>
  <si>
    <t>Cep 223</t>
  </si>
  <si>
    <t>Cep 224</t>
  </si>
  <si>
    <t>Cep 225</t>
  </si>
  <si>
    <t>Cep 226</t>
  </si>
  <si>
    <t>Cep 227</t>
  </si>
  <si>
    <t>Cep 228</t>
  </si>
  <si>
    <t>Cep 229</t>
  </si>
  <si>
    <t>Cep 230</t>
  </si>
  <si>
    <t>Cep 231</t>
  </si>
  <si>
    <t>Cep 232</t>
  </si>
  <si>
    <t>Cep 233</t>
  </si>
  <si>
    <t>Cep 234</t>
  </si>
  <si>
    <t>Cep 235</t>
  </si>
  <si>
    <t>Cep 236</t>
  </si>
  <si>
    <t>Cep 237</t>
  </si>
  <si>
    <t>Cep 238</t>
  </si>
  <si>
    <t>Cep 239</t>
  </si>
  <si>
    <t>Cep 240</t>
  </si>
  <si>
    <t>Cep 241</t>
  </si>
  <si>
    <t>Cep 242</t>
  </si>
  <si>
    <t>Cep 243</t>
  </si>
  <si>
    <t>Cep 244</t>
  </si>
  <si>
    <t>Cep 245</t>
  </si>
  <si>
    <t>Cep 246</t>
  </si>
  <si>
    <t>Cep 247</t>
  </si>
  <si>
    <t>Cep 248</t>
  </si>
  <si>
    <t>Cep 249</t>
  </si>
  <si>
    <t>Cep 250</t>
  </si>
  <si>
    <t>Cep 251</t>
  </si>
  <si>
    <t>Cep 252</t>
  </si>
  <si>
    <t>Cep 253</t>
  </si>
  <si>
    <t>Cep 254</t>
  </si>
  <si>
    <t>Cep 255</t>
  </si>
  <si>
    <t>Cep 256</t>
  </si>
  <si>
    <t>Cep 257</t>
  </si>
  <si>
    <t>Cep 258</t>
  </si>
  <si>
    <t>Cep 259</t>
  </si>
  <si>
    <t>Cep 260</t>
  </si>
  <si>
    <t>Cep 261</t>
  </si>
  <si>
    <t>Cep 262</t>
  </si>
  <si>
    <t>Cep 263</t>
  </si>
  <si>
    <t>Cep 264</t>
  </si>
  <si>
    <t>Cep 265</t>
  </si>
  <si>
    <t>Cep 266</t>
  </si>
  <si>
    <t>Cep 267</t>
  </si>
  <si>
    <t>Cep 268</t>
  </si>
  <si>
    <t>Cep 269</t>
  </si>
  <si>
    <t>Cep 270</t>
  </si>
  <si>
    <t>Cep 271</t>
  </si>
  <si>
    <t>Cep 272</t>
  </si>
  <si>
    <t>Cep 273</t>
  </si>
  <si>
    <t>Cep 274</t>
  </si>
  <si>
    <t>Cep 275</t>
  </si>
  <si>
    <t>Cep 276</t>
  </si>
  <si>
    <t>Cep 277</t>
  </si>
  <si>
    <t>Cep 278</t>
  </si>
  <si>
    <t>Cep 279</t>
  </si>
  <si>
    <t>Cep 280</t>
  </si>
  <si>
    <t>Cep 281</t>
  </si>
  <si>
    <t>Cep 282</t>
  </si>
  <si>
    <t>Cep 283</t>
  </si>
  <si>
    <t>Cep 284</t>
  </si>
  <si>
    <t>Cep 285</t>
  </si>
  <si>
    <t>Cep 286</t>
  </si>
  <si>
    <t>Cep 287</t>
  </si>
  <si>
    <t>Cep 288</t>
  </si>
  <si>
    <t>Cep 289</t>
  </si>
  <si>
    <t>Cep 290</t>
  </si>
  <si>
    <t>Cep 291</t>
  </si>
  <si>
    <t>Cep 292</t>
  </si>
  <si>
    <t>Cep 293</t>
  </si>
  <si>
    <t>Cep 294</t>
  </si>
  <si>
    <t>Cep 295</t>
  </si>
  <si>
    <t>Cep 296</t>
  </si>
  <si>
    <t>Cep 297</t>
  </si>
  <si>
    <t>Cep 298</t>
  </si>
  <si>
    <t>Cep 299</t>
  </si>
  <si>
    <t>Cep 300</t>
  </si>
  <si>
    <t>Cep 301</t>
  </si>
  <si>
    <t>Cep 302</t>
  </si>
  <si>
    <t>Cep 303</t>
  </si>
  <si>
    <t>Cep 304</t>
  </si>
  <si>
    <t>Cep 305</t>
  </si>
  <si>
    <t>Cep 306</t>
  </si>
  <si>
    <t>Cep 307</t>
  </si>
  <si>
    <t>Cep 308</t>
  </si>
  <si>
    <t>Cep 309</t>
  </si>
  <si>
    <t>Cep 310</t>
  </si>
  <si>
    <t>Cep 311</t>
  </si>
  <si>
    <t>Cep 312</t>
  </si>
  <si>
    <t>Cep 313</t>
  </si>
  <si>
    <t>Cep 314</t>
  </si>
  <si>
    <t>Cep 315</t>
  </si>
  <si>
    <t>Cep 316</t>
  </si>
  <si>
    <t>Cep 317</t>
  </si>
  <si>
    <t>Cep 318</t>
  </si>
  <si>
    <t>Cep 319</t>
  </si>
  <si>
    <t>Cep 320</t>
  </si>
  <si>
    <t>Cep 321</t>
  </si>
  <si>
    <t>Cep 322</t>
  </si>
  <si>
    <t>Cep 323</t>
  </si>
  <si>
    <t>Cep 324</t>
  </si>
  <si>
    <t>Cep 325</t>
  </si>
  <si>
    <t>Cep 326</t>
  </si>
  <si>
    <t>Cep 327</t>
  </si>
  <si>
    <t>Cep 328</t>
  </si>
  <si>
    <t>Cep 329</t>
  </si>
  <si>
    <t>Cep 330</t>
  </si>
  <si>
    <t>Cep 331</t>
  </si>
  <si>
    <t>Cep 332</t>
  </si>
  <si>
    <t>Cep 333</t>
  </si>
  <si>
    <t>Cep 334</t>
  </si>
  <si>
    <t>Cep 335</t>
  </si>
  <si>
    <t>Cep 336</t>
  </si>
  <si>
    <t>Cep 337</t>
  </si>
  <si>
    <t>Cep 338</t>
  </si>
  <si>
    <t>Cep 339</t>
  </si>
  <si>
    <t>Cep 340</t>
  </si>
  <si>
    <t>Cep 341</t>
  </si>
  <si>
    <t>Cep 342</t>
  </si>
  <si>
    <t>Cep 343</t>
  </si>
  <si>
    <t>Cep 344</t>
  </si>
  <si>
    <t>Cep 345</t>
  </si>
  <si>
    <t>Cep 346</t>
  </si>
  <si>
    <t>Cep 347</t>
  </si>
  <si>
    <t>Cep 348</t>
  </si>
  <si>
    <t>Cep 349</t>
  </si>
  <si>
    <t>Cep 350</t>
  </si>
  <si>
    <t>Cep 351</t>
  </si>
  <si>
    <t>Cep 352</t>
  </si>
  <si>
    <t>Cep 353</t>
  </si>
  <si>
    <t>Cep 354</t>
  </si>
  <si>
    <t>Cep 355</t>
  </si>
  <si>
    <t>Cep 356</t>
  </si>
  <si>
    <t>Cep 357</t>
  </si>
  <si>
    <t>Cep 358</t>
  </si>
  <si>
    <t>Cep 359</t>
  </si>
  <si>
    <t>Cep 360</t>
  </si>
  <si>
    <t>Cep 361</t>
  </si>
  <si>
    <t>Cep 362</t>
  </si>
  <si>
    <t>Cep 363</t>
  </si>
  <si>
    <t>Cep 364</t>
  </si>
  <si>
    <t>Cep 365</t>
  </si>
  <si>
    <t>Cep 366</t>
  </si>
  <si>
    <t>Cep 367</t>
  </si>
  <si>
    <t>Cep 368</t>
  </si>
  <si>
    <t>Cep 369</t>
  </si>
  <si>
    <t>Cep 370</t>
  </si>
  <si>
    <t>Cep 371</t>
  </si>
  <si>
    <t>Cep 372</t>
  </si>
  <si>
    <t>Cep 373</t>
  </si>
  <si>
    <t>Cep 374</t>
  </si>
  <si>
    <t>Cep 375</t>
  </si>
  <si>
    <t>Cep 376</t>
  </si>
  <si>
    <t>Cep 377</t>
  </si>
  <si>
    <t>Cep 378</t>
  </si>
  <si>
    <t>Cep 379</t>
  </si>
  <si>
    <t>Cep 380</t>
  </si>
  <si>
    <t>Cep 381</t>
  </si>
  <si>
    <t>Cep 382</t>
  </si>
  <si>
    <t>Cep 383</t>
  </si>
  <si>
    <t>Cep 384</t>
  </si>
  <si>
    <t>Cep 385</t>
  </si>
  <si>
    <t>Cep 386</t>
  </si>
  <si>
    <t>Cep 387</t>
  </si>
  <si>
    <t>Cep 388</t>
  </si>
  <si>
    <t>Cep 389</t>
  </si>
  <si>
    <t>Cep 390</t>
  </si>
  <si>
    <t>Cep 391</t>
  </si>
  <si>
    <t>Cep 392</t>
  </si>
  <si>
    <t>Cep 393</t>
  </si>
  <si>
    <t>Cep 394</t>
  </si>
  <si>
    <t>Cep 395</t>
  </si>
  <si>
    <t>Cep 396</t>
  </si>
  <si>
    <t>Cep 397</t>
  </si>
  <si>
    <t>Cep 398</t>
  </si>
  <si>
    <t>Cep 399</t>
  </si>
  <si>
    <t>Cep 400</t>
  </si>
  <si>
    <t>Cep 401</t>
  </si>
  <si>
    <t>Cep 402</t>
  </si>
  <si>
    <t>Cep 403</t>
  </si>
  <si>
    <t>Cep 404</t>
  </si>
  <si>
    <t>Cep 405</t>
  </si>
  <si>
    <t>Cep 406</t>
  </si>
  <si>
    <t>Cep 407</t>
  </si>
  <si>
    <t>Cep 408</t>
  </si>
  <si>
    <t>Cep 409</t>
  </si>
  <si>
    <t>Cep 410</t>
  </si>
  <si>
    <t>Cep 411</t>
  </si>
  <si>
    <t>Cep 412</t>
  </si>
  <si>
    <t>Cep 413</t>
  </si>
  <si>
    <t>Cep 414</t>
  </si>
  <si>
    <t>Cep 415</t>
  </si>
  <si>
    <t>Cep 416</t>
  </si>
  <si>
    <t>Cep 417</t>
  </si>
  <si>
    <t>Cep 418</t>
  </si>
  <si>
    <t>Cep 419</t>
  </si>
  <si>
    <t>Cep 420</t>
  </si>
  <si>
    <t>Cep 421</t>
  </si>
  <si>
    <t>Cep 422</t>
  </si>
  <si>
    <t>Cep 423</t>
  </si>
  <si>
    <t>Cep 424</t>
  </si>
  <si>
    <t>Cep 425</t>
  </si>
  <si>
    <t>Cep 426</t>
  </si>
  <si>
    <t>Cep 427</t>
  </si>
  <si>
    <t>Cep 428</t>
  </si>
  <si>
    <t>Cep 429</t>
  </si>
  <si>
    <t>Cep 430</t>
  </si>
  <si>
    <t>Cep 431</t>
  </si>
  <si>
    <t>Cep 432</t>
  </si>
  <si>
    <t>Cep 433</t>
  </si>
  <si>
    <t>Cep 434</t>
  </si>
  <si>
    <t>Cep 435</t>
  </si>
  <si>
    <t>Cep 436</t>
  </si>
  <si>
    <t>Cep 437</t>
  </si>
  <si>
    <t>Cep 438</t>
  </si>
  <si>
    <t>Cep 439</t>
  </si>
  <si>
    <t>Cep 440</t>
  </si>
  <si>
    <t>Cep 441</t>
  </si>
  <si>
    <t>Cep 442</t>
  </si>
  <si>
    <t>Cep 443</t>
  </si>
  <si>
    <t>Cep 444</t>
  </si>
  <si>
    <t>Cep 445</t>
  </si>
  <si>
    <t>Cep 446</t>
  </si>
  <si>
    <t>Cep 447</t>
  </si>
  <si>
    <t>Cep 448</t>
  </si>
  <si>
    <t>Cep 449</t>
  </si>
  <si>
    <t>Cep 450</t>
  </si>
  <si>
    <t>Cep 451</t>
  </si>
  <si>
    <t>Cep 452</t>
  </si>
  <si>
    <t>Cep 453</t>
  </si>
  <si>
    <t>Cep 454</t>
  </si>
  <si>
    <t>Cep 455</t>
  </si>
  <si>
    <t>Cep 456</t>
  </si>
  <si>
    <t>Cep 457</t>
  </si>
  <si>
    <t>Cep 458</t>
  </si>
  <si>
    <t>Cep 459</t>
  </si>
  <si>
    <t>Cep 460</t>
  </si>
  <si>
    <t>Cep 461</t>
  </si>
  <si>
    <t>Cep 462</t>
  </si>
  <si>
    <t>Cep 463</t>
  </si>
  <si>
    <t>Cep 464</t>
  </si>
  <si>
    <t>Cep 465</t>
  </si>
  <si>
    <t>Cep 466</t>
  </si>
  <si>
    <t>Cep 467</t>
  </si>
  <si>
    <t>Cep 468</t>
  </si>
  <si>
    <t>Cep 469</t>
  </si>
  <si>
    <t>Cep 470</t>
  </si>
  <si>
    <t>Cep 471</t>
  </si>
  <si>
    <t>Cep 472</t>
  </si>
  <si>
    <t>Cep 473</t>
  </si>
  <si>
    <t>Cep 474</t>
  </si>
  <si>
    <t>Cep 475</t>
  </si>
  <si>
    <t>Cep 476</t>
  </si>
  <si>
    <t>Cep 477</t>
  </si>
  <si>
    <t>Cep 478</t>
  </si>
  <si>
    <t>Cep 479</t>
  </si>
  <si>
    <t>Cep 480</t>
  </si>
  <si>
    <t>Cep 481</t>
  </si>
  <si>
    <t>Cep 482</t>
  </si>
  <si>
    <t>Cep 483</t>
  </si>
  <si>
    <t>Cep 484</t>
  </si>
  <si>
    <t>Cep 485</t>
  </si>
  <si>
    <t>Cep 486</t>
  </si>
  <si>
    <t>Cep 487</t>
  </si>
  <si>
    <t>Cep 488</t>
  </si>
  <si>
    <t>Cep 489</t>
  </si>
  <si>
    <t>Cep 490</t>
  </si>
  <si>
    <t>Cep 491</t>
  </si>
  <si>
    <t>Cep 492</t>
  </si>
  <si>
    <t>Cep 493</t>
  </si>
  <si>
    <t>Cep 494</t>
  </si>
  <si>
    <t>Cep 495</t>
  </si>
  <si>
    <t>Cep 496</t>
  </si>
  <si>
    <t>Cep 497</t>
  </si>
  <si>
    <t>Cep 498</t>
  </si>
  <si>
    <t>Cep 499</t>
  </si>
  <si>
    <t>Cep 500</t>
  </si>
  <si>
    <t>Cep 501</t>
  </si>
  <si>
    <t>Cep 502</t>
  </si>
  <si>
    <t>Cep 503</t>
  </si>
  <si>
    <t>Cep 504</t>
  </si>
  <si>
    <t>Cep 505</t>
  </si>
  <si>
    <t>Cep 506</t>
  </si>
  <si>
    <t>Cep 507</t>
  </si>
  <si>
    <t>Cep 508</t>
  </si>
  <si>
    <t>Cep 509</t>
  </si>
  <si>
    <t>Cep 510</t>
  </si>
  <si>
    <t>Cep 511</t>
  </si>
  <si>
    <t>Cep 512</t>
  </si>
  <si>
    <t>Cep 513</t>
  </si>
  <si>
    <t>Cep 514</t>
  </si>
  <si>
    <t>Cep 515</t>
  </si>
  <si>
    <t>Cep 516</t>
  </si>
  <si>
    <t>Cep 517</t>
  </si>
  <si>
    <t>Cep 518</t>
  </si>
  <si>
    <t>Cep 519</t>
  </si>
  <si>
    <t>Cep 520</t>
  </si>
  <si>
    <t>Cep 521</t>
  </si>
  <si>
    <t>Cep 522</t>
  </si>
  <si>
    <t>Cep 523</t>
  </si>
  <si>
    <t>Cep 524</t>
  </si>
  <si>
    <t>Cep 525</t>
  </si>
  <si>
    <t>Cep 526</t>
  </si>
  <si>
    <t>Cep 527</t>
  </si>
  <si>
    <t>Cep 528</t>
  </si>
  <si>
    <t>Cep 529</t>
  </si>
  <si>
    <t>Cep 530</t>
  </si>
  <si>
    <t>Cep 531</t>
  </si>
  <si>
    <t>Cep 532</t>
  </si>
  <si>
    <t>Cep 533</t>
  </si>
  <si>
    <t>Cep 534</t>
  </si>
  <si>
    <t>Cep 535</t>
  </si>
  <si>
    <t>Cep 536</t>
  </si>
  <si>
    <t>Cep 537</t>
  </si>
  <si>
    <t>Cep 538</t>
  </si>
  <si>
    <t>Cep 539</t>
  </si>
  <si>
    <t>Cep 540</t>
  </si>
  <si>
    <t>Cep 541</t>
  </si>
  <si>
    <t>Cep 542</t>
  </si>
  <si>
    <t>Cep 543</t>
  </si>
  <si>
    <t>Cep 544</t>
  </si>
  <si>
    <t>Cep 545</t>
  </si>
  <si>
    <t>Cep 546</t>
  </si>
  <si>
    <t>Cep 547</t>
  </si>
  <si>
    <t>Cep 548</t>
  </si>
  <si>
    <t>Cep 549</t>
  </si>
  <si>
    <t>Cep 550</t>
  </si>
  <si>
    <t>Cep 551</t>
  </si>
  <si>
    <t>Cep 552</t>
  </si>
  <si>
    <t>Cep 553</t>
  </si>
  <si>
    <t>Cep 554</t>
  </si>
  <si>
    <t>Cep 555</t>
  </si>
  <si>
    <t>Cep 556</t>
  </si>
  <si>
    <t>Cep 557</t>
  </si>
  <si>
    <t>Cep 558</t>
  </si>
  <si>
    <t>Cep 559</t>
  </si>
  <si>
    <t>Cep 560</t>
  </si>
  <si>
    <t>Cep 561</t>
  </si>
  <si>
    <t>Cep 562</t>
  </si>
  <si>
    <t>Cep 563</t>
  </si>
  <si>
    <t>Cep 564</t>
  </si>
  <si>
    <t>Cep 565</t>
  </si>
  <si>
    <t>Cep 566</t>
  </si>
  <si>
    <t>Cep 567</t>
  </si>
  <si>
    <t>Cep 568</t>
  </si>
  <si>
    <t>Cep 569</t>
  </si>
  <si>
    <t>Cep 570</t>
  </si>
  <si>
    <t>Cep 571</t>
  </si>
  <si>
    <t>Cep 572</t>
  </si>
  <si>
    <t>Cep 573</t>
  </si>
  <si>
    <t>Cep 574</t>
  </si>
  <si>
    <t>Cep 575</t>
  </si>
  <si>
    <t>Cep 576</t>
  </si>
  <si>
    <t>Cep 577</t>
  </si>
  <si>
    <t>Cep 578</t>
  </si>
  <si>
    <t>Cep 579</t>
  </si>
  <si>
    <t>Cep 580</t>
  </si>
  <si>
    <t>Cep 581</t>
  </si>
  <si>
    <t>Cep 582</t>
  </si>
  <si>
    <t>Cep 583</t>
  </si>
  <si>
    <t>Cep 584</t>
  </si>
  <si>
    <t>Cep 585</t>
  </si>
  <si>
    <t>Cep 586</t>
  </si>
  <si>
    <t>Cep 587</t>
  </si>
  <si>
    <t>Cep 588</t>
  </si>
  <si>
    <t>Cep 589</t>
  </si>
  <si>
    <t>Cep 590</t>
  </si>
  <si>
    <t>Cep 591</t>
  </si>
  <si>
    <t>Cep 592</t>
  </si>
  <si>
    <t>Cep 593</t>
  </si>
  <si>
    <t>Cep 594</t>
  </si>
  <si>
    <t>Cep 595</t>
  </si>
  <si>
    <t>Cep 596</t>
  </si>
  <si>
    <t>Cep 597</t>
  </si>
  <si>
    <t>Cep 598</t>
  </si>
  <si>
    <t>Cep 599</t>
  </si>
  <si>
    <t>Cep 600</t>
  </si>
  <si>
    <t>Cep 601</t>
  </si>
  <si>
    <t>Cep 602</t>
  </si>
  <si>
    <t>Cep 603</t>
  </si>
  <si>
    <t>Cep 604</t>
  </si>
  <si>
    <t>Cep 605</t>
  </si>
  <si>
    <t>Cep 606</t>
  </si>
  <si>
    <t>Cep 607</t>
  </si>
  <si>
    <t>Cep 608</t>
  </si>
  <si>
    <t>Cep 609</t>
  </si>
  <si>
    <t>Cep 610</t>
  </si>
  <si>
    <t>Cep 611</t>
  </si>
  <si>
    <t>Cep 612</t>
  </si>
  <si>
    <t>Cep 613</t>
  </si>
  <si>
    <t>Cep 614</t>
  </si>
  <si>
    <t>Cep 615</t>
  </si>
  <si>
    <t>Cep 616</t>
  </si>
  <si>
    <t>Cep 617</t>
  </si>
  <si>
    <t>Cep 618</t>
  </si>
  <si>
    <t>Cep 619</t>
  </si>
  <si>
    <t>Cep 620</t>
  </si>
  <si>
    <t>Cep 621</t>
  </si>
  <si>
    <t>Cep 622</t>
  </si>
  <si>
    <t>Cep 623</t>
  </si>
  <si>
    <t>Cep 624</t>
  </si>
  <si>
    <t>Cep 625</t>
  </si>
  <si>
    <t>Cep 626</t>
  </si>
  <si>
    <t>Cep 627</t>
  </si>
  <si>
    <t>Cep 628</t>
  </si>
  <si>
    <t>Cep 629</t>
  </si>
  <si>
    <t>Cep 630</t>
  </si>
  <si>
    <t>Cep 631</t>
  </si>
  <si>
    <t>Cep 632</t>
  </si>
  <si>
    <t>Cep 633</t>
  </si>
  <si>
    <t>Cep 634</t>
  </si>
  <si>
    <t>Cep 635</t>
  </si>
  <si>
    <t>Cep 636</t>
  </si>
  <si>
    <t>Cep 637</t>
  </si>
  <si>
    <t>Cep 638</t>
  </si>
  <si>
    <t>Cep 639</t>
  </si>
  <si>
    <t>Cep 640</t>
  </si>
  <si>
    <t>Cep 641</t>
  </si>
  <si>
    <t>Cep 642</t>
  </si>
  <si>
    <t>Cep 643</t>
  </si>
  <si>
    <t>Cep 644</t>
  </si>
  <si>
    <t>Cep 645</t>
  </si>
  <si>
    <t>Cep 646</t>
  </si>
  <si>
    <t>Cep 647</t>
  </si>
  <si>
    <t>Cep 648</t>
  </si>
  <si>
    <t>Cep 649</t>
  </si>
  <si>
    <t>Cep 650</t>
  </si>
  <si>
    <t>Cep 651</t>
  </si>
  <si>
    <t>Cep 653</t>
  </si>
  <si>
    <t>Cep 654</t>
  </si>
  <si>
    <t>Cep 655</t>
  </si>
  <si>
    <t>Cep 656</t>
  </si>
  <si>
    <t>Cep 657</t>
  </si>
  <si>
    <t>Cep 658</t>
  </si>
  <si>
    <t>Cep 659</t>
  </si>
  <si>
    <t>Cep 660</t>
  </si>
  <si>
    <t>Cep 661</t>
  </si>
  <si>
    <t>Cep 662</t>
  </si>
  <si>
    <t>Cep 663</t>
  </si>
  <si>
    <t>Cep 664</t>
  </si>
  <si>
    <t>Cep 665</t>
  </si>
  <si>
    <t>Cep 666</t>
  </si>
  <si>
    <t>Cep 667</t>
  </si>
  <si>
    <t>Cep 668</t>
  </si>
  <si>
    <t>Cep 669</t>
  </si>
  <si>
    <t>Cep 670</t>
  </si>
  <si>
    <t>Cep 671</t>
  </si>
  <si>
    <t>Cep 672</t>
  </si>
  <si>
    <t>Cep 673</t>
  </si>
  <si>
    <t>Cep 674</t>
  </si>
  <si>
    <t>Cep 675</t>
  </si>
  <si>
    <t>Cep 676</t>
  </si>
  <si>
    <t>Cep 677</t>
  </si>
  <si>
    <t>Cep 678</t>
  </si>
  <si>
    <t>Cep 679</t>
  </si>
  <si>
    <t>Cep 680</t>
  </si>
  <si>
    <t>Cep 681</t>
  </si>
  <si>
    <t>Cep 682</t>
  </si>
  <si>
    <t>Cep 683</t>
  </si>
  <si>
    <t>Cep 684</t>
  </si>
  <si>
    <t>Cep 685</t>
  </si>
  <si>
    <t>Cep 686</t>
  </si>
  <si>
    <t>Cep 687</t>
  </si>
  <si>
    <t>Cep 688</t>
  </si>
  <si>
    <t>Cep 689</t>
  </si>
  <si>
    <t>Cep 690</t>
  </si>
  <si>
    <t>Cep 691</t>
  </si>
  <si>
    <t>Cep 692</t>
  </si>
  <si>
    <t>Cep 693</t>
  </si>
  <si>
    <t>Cep 694</t>
  </si>
  <si>
    <t>Cep 695</t>
  </si>
  <si>
    <t>Cep 696</t>
  </si>
  <si>
    <t>Cep 697</t>
  </si>
  <si>
    <t>Cep 698</t>
  </si>
  <si>
    <t>Cep 699</t>
  </si>
  <si>
    <t>Cep 700</t>
  </si>
  <si>
    <t>Cep 701</t>
  </si>
  <si>
    <t>Cep 702</t>
  </si>
  <si>
    <t>Cep 703</t>
  </si>
  <si>
    <t>Cep 704</t>
  </si>
  <si>
    <t>Cep 705</t>
  </si>
  <si>
    <t>Cep 706</t>
  </si>
  <si>
    <t>Cep 707</t>
  </si>
  <si>
    <t>Cep 708</t>
  </si>
  <si>
    <t>Cep 709</t>
  </si>
  <si>
    <t>Cep 710</t>
  </si>
  <si>
    <t>Cep 711</t>
  </si>
  <si>
    <t>Cep 712</t>
  </si>
  <si>
    <t>Cep 713</t>
  </si>
  <si>
    <t>Cep 714</t>
  </si>
  <si>
    <t>Cep 715</t>
  </si>
  <si>
    <t>Cep 716</t>
  </si>
  <si>
    <t>Cep 717</t>
  </si>
  <si>
    <t>Cep 718</t>
  </si>
  <si>
    <t>Cep 719</t>
  </si>
  <si>
    <t>Cep 720</t>
  </si>
  <si>
    <t>Cep 721</t>
  </si>
  <si>
    <t>Cep 722</t>
  </si>
  <si>
    <t>Cep 723</t>
  </si>
  <si>
    <t>Cep 724</t>
  </si>
  <si>
    <t>Cep 725</t>
  </si>
  <si>
    <t>Cep 726</t>
  </si>
  <si>
    <t>Cep 727</t>
  </si>
  <si>
    <t>Cep 728</t>
  </si>
  <si>
    <t>Cep 729</t>
  </si>
  <si>
    <t>Cep 730</t>
  </si>
  <si>
    <t>Cep 731</t>
  </si>
  <si>
    <t>Cep 732</t>
  </si>
  <si>
    <t>Cep 733</t>
  </si>
  <si>
    <t>Cep 734</t>
  </si>
  <si>
    <t>Cep 735</t>
  </si>
  <si>
    <t>Cep 736</t>
  </si>
  <si>
    <t>Cep 737</t>
  </si>
  <si>
    <t>Cep 738</t>
  </si>
  <si>
    <t>Cep 739</t>
  </si>
  <si>
    <t>Cep 740</t>
  </si>
  <si>
    <t>Cep 741</t>
  </si>
  <si>
    <t>Cep 742</t>
  </si>
  <si>
    <t>Cep 743</t>
  </si>
  <si>
    <t>Cep 744</t>
  </si>
  <si>
    <t>Cep 745</t>
  </si>
  <si>
    <t>Cep 746</t>
  </si>
  <si>
    <t>Cep 747</t>
  </si>
  <si>
    <t>Cep 748</t>
  </si>
  <si>
    <t>Cep 749</t>
  </si>
  <si>
    <t>Cep 750</t>
  </si>
  <si>
    <t>Cep 751</t>
  </si>
  <si>
    <t>Cep 752</t>
  </si>
  <si>
    <t>Cep 753</t>
  </si>
  <si>
    <t>Cep 754</t>
  </si>
  <si>
    <t>Cep 755</t>
  </si>
  <si>
    <t>Cep 756</t>
  </si>
  <si>
    <t>Cep 757</t>
  </si>
  <si>
    <t>Cep 758</t>
  </si>
  <si>
    <t>Cep 759</t>
  </si>
  <si>
    <t>Cep 760</t>
  </si>
  <si>
    <t>Cep 761</t>
  </si>
  <si>
    <t>Cep 762</t>
  </si>
  <si>
    <t>Cep 763</t>
  </si>
  <si>
    <t>Cep 764</t>
  </si>
  <si>
    <t>Cep 765</t>
  </si>
  <si>
    <t>Cep 766</t>
  </si>
  <si>
    <t>Cep 767</t>
  </si>
  <si>
    <t>Cep 768</t>
  </si>
  <si>
    <t>Cep 769</t>
  </si>
  <si>
    <t>Cep 770</t>
  </si>
  <si>
    <t>Cep 771</t>
  </si>
  <si>
    <t>Cep 772</t>
  </si>
  <si>
    <t>Cep 773</t>
  </si>
  <si>
    <t>Cep 774</t>
  </si>
  <si>
    <t>Cep 775</t>
  </si>
  <si>
    <t>Cep 776</t>
  </si>
  <si>
    <t>Cep 777</t>
  </si>
  <si>
    <t>Cep 778</t>
  </si>
  <si>
    <t>Cep 779</t>
  </si>
  <si>
    <t>Cep 780</t>
  </si>
  <si>
    <t>Cep 781</t>
  </si>
  <si>
    <t>Cep 782</t>
  </si>
  <si>
    <t>Cep 783</t>
  </si>
  <si>
    <t>Cep 784</t>
  </si>
  <si>
    <t>Cep 785</t>
  </si>
  <si>
    <t>Cep 786</t>
  </si>
  <si>
    <t>Cep 787</t>
  </si>
  <si>
    <t>Cep 788</t>
  </si>
  <si>
    <t>Cep 789</t>
  </si>
  <si>
    <t>Cep 790</t>
  </si>
  <si>
    <t>Cep 791</t>
  </si>
  <si>
    <t>Cep 792</t>
  </si>
  <si>
    <t>Cep 793</t>
  </si>
  <si>
    <t>Cep 794</t>
  </si>
  <si>
    <t>Cep 795</t>
  </si>
  <si>
    <t>Cep 796</t>
  </si>
  <si>
    <t>Cep 797</t>
  </si>
  <si>
    <t>Cep 798</t>
  </si>
  <si>
    <t>Cep 799</t>
  </si>
  <si>
    <t>Cep 800</t>
  </si>
  <si>
    <t>Cep 801</t>
  </si>
  <si>
    <t>Cep 802</t>
  </si>
  <si>
    <t>Cep 803</t>
  </si>
  <si>
    <t>Cep 804</t>
  </si>
  <si>
    <t>Cep 805</t>
  </si>
  <si>
    <t>Cep 806</t>
  </si>
  <si>
    <t>Cep 807</t>
  </si>
  <si>
    <t>Cep 808</t>
  </si>
  <si>
    <t>Cep 809</t>
  </si>
  <si>
    <t>Cep 810</t>
  </si>
  <si>
    <t>Cep 811</t>
  </si>
  <si>
    <t>Cep 812</t>
  </si>
  <si>
    <t>Cep 813</t>
  </si>
  <si>
    <t>Cep 814</t>
  </si>
  <si>
    <t>Cep 815</t>
  </si>
  <si>
    <t>Cep 816</t>
  </si>
  <si>
    <t>Cep 817</t>
  </si>
  <si>
    <t>Cep 818</t>
  </si>
  <si>
    <t>Cep 819</t>
  </si>
  <si>
    <t>Cep 820</t>
  </si>
  <si>
    <t>Cep 821</t>
  </si>
  <si>
    <t>Cep 822</t>
  </si>
  <si>
    <t>Cep 823</t>
  </si>
  <si>
    <t>Cep 824</t>
  </si>
  <si>
    <t>Cep 825</t>
  </si>
  <si>
    <t>Cep 826</t>
  </si>
  <si>
    <t>Cep 827</t>
  </si>
  <si>
    <t>Cep 828</t>
  </si>
  <si>
    <t>Cep 829</t>
  </si>
  <si>
    <t>Cep 830</t>
  </si>
  <si>
    <t>Cep 831</t>
  </si>
  <si>
    <t>Cep 832</t>
  </si>
  <si>
    <t>Cep 833</t>
  </si>
  <si>
    <t>Cep 834</t>
  </si>
  <si>
    <t>Cep 835</t>
  </si>
  <si>
    <t>Cep 836</t>
  </si>
  <si>
    <t>Cep 837</t>
  </si>
  <si>
    <t>Cep 838</t>
  </si>
  <si>
    <t>Cep 839</t>
  </si>
  <si>
    <t>Cep 840</t>
  </si>
  <si>
    <t>Cep 841</t>
  </si>
  <si>
    <t>Cep 842</t>
  </si>
  <si>
    <t>Cep 843</t>
  </si>
  <si>
    <t>Cep 844</t>
  </si>
  <si>
    <t>Cep 845</t>
  </si>
  <si>
    <t>Cep 846</t>
  </si>
  <si>
    <t>Cep 847</t>
  </si>
  <si>
    <t>Cep 848</t>
  </si>
  <si>
    <t>Cep 849</t>
  </si>
  <si>
    <t>Cep 850</t>
  </si>
  <si>
    <t>Cep 851</t>
  </si>
  <si>
    <t>Cep 852</t>
  </si>
  <si>
    <t>Cep 853</t>
  </si>
  <si>
    <t>Cep 854</t>
  </si>
  <si>
    <t>Cep 855</t>
  </si>
  <si>
    <t>Cep 856</t>
  </si>
  <si>
    <t>Cep 857</t>
  </si>
  <si>
    <t>Cep 858</t>
  </si>
  <si>
    <t>Cep 859</t>
  </si>
  <si>
    <t>Cep 860</t>
  </si>
  <si>
    <t>Cep 861</t>
  </si>
  <si>
    <t>Cep 862</t>
  </si>
  <si>
    <t>Cep 863</t>
  </si>
  <si>
    <t>Cep 864</t>
  </si>
  <si>
    <t>Cep 865</t>
  </si>
  <si>
    <t>Cep 866</t>
  </si>
  <si>
    <t>Cep 867</t>
  </si>
  <si>
    <t>Cep 868</t>
  </si>
  <si>
    <t>Cep 869</t>
  </si>
  <si>
    <t>Cep 870</t>
  </si>
  <si>
    <t>Cep 871</t>
  </si>
  <si>
    <t>Cep 872</t>
  </si>
  <si>
    <t>Cep 873</t>
  </si>
  <si>
    <t>Cep 874</t>
  </si>
  <si>
    <t>Cep 875</t>
  </si>
  <si>
    <t>Cep 876</t>
  </si>
  <si>
    <t>Cep 877</t>
  </si>
  <si>
    <t>Cep 878</t>
  </si>
  <si>
    <t>Cep 879</t>
  </si>
  <si>
    <t>Cep 880</t>
  </si>
  <si>
    <t>Cep 881</t>
  </si>
  <si>
    <t>Cep 882</t>
  </si>
  <si>
    <t>Cep 883</t>
  </si>
  <si>
    <t>Cep 884</t>
  </si>
  <si>
    <t>Cep 885</t>
  </si>
  <si>
    <t>Cep 886</t>
  </si>
  <si>
    <t>Cep 887</t>
  </si>
  <si>
    <t>Cep 888</t>
  </si>
  <si>
    <t>Cep 889</t>
  </si>
  <si>
    <t>Cep 890</t>
  </si>
  <si>
    <t>Cep 891</t>
  </si>
  <si>
    <t>Cep 892</t>
  </si>
  <si>
    <t>Cep 893</t>
  </si>
  <si>
    <t>Cep 894</t>
  </si>
  <si>
    <t>Cep 895</t>
  </si>
  <si>
    <t>Cep 896</t>
  </si>
  <si>
    <t>Cep 897</t>
  </si>
  <si>
    <t>Cep 898</t>
  </si>
  <si>
    <t>Cep 899</t>
  </si>
  <si>
    <t>Cep 900</t>
  </si>
  <si>
    <t>Cep 901</t>
  </si>
  <si>
    <t>Cep 902</t>
  </si>
  <si>
    <t>Cep 903</t>
  </si>
  <si>
    <t>Cep 904</t>
  </si>
  <si>
    <t>Cep 905</t>
  </si>
  <si>
    <t>Cep 906</t>
  </si>
  <si>
    <t>Cep 907</t>
  </si>
  <si>
    <t>Cep 908</t>
  </si>
  <si>
    <t>Cep 909</t>
  </si>
  <si>
    <t>Cep 910</t>
  </si>
  <si>
    <t>Cep 912</t>
  </si>
  <si>
    <t>Cep 913</t>
  </si>
  <si>
    <t>Cep 914</t>
  </si>
  <si>
    <t>Cep 915</t>
  </si>
  <si>
    <t>Cep 916</t>
  </si>
  <si>
    <t>Cep 917</t>
  </si>
  <si>
    <t>Cep 918</t>
  </si>
  <si>
    <t>Cep 920</t>
  </si>
  <si>
    <t>Cep 921</t>
  </si>
  <si>
    <t>Cep 922</t>
  </si>
  <si>
    <t>Cep 923</t>
  </si>
  <si>
    <t>Cep 924</t>
  </si>
  <si>
    <t>Cep 925</t>
  </si>
  <si>
    <t>Cep 927</t>
  </si>
  <si>
    <t>Cep 928</t>
  </si>
  <si>
    <t>Cep 929</t>
  </si>
  <si>
    <t>Cep 930</t>
  </si>
  <si>
    <t>Cep 931</t>
  </si>
  <si>
    <t>Cep 932</t>
  </si>
  <si>
    <t>Cep 933</t>
  </si>
  <si>
    <t>Cep 934</t>
  </si>
  <si>
    <t>Cep 935</t>
  </si>
  <si>
    <t>Cep 936</t>
  </si>
  <si>
    <t>Cep 937</t>
  </si>
  <si>
    <t>Cep 938</t>
  </si>
  <si>
    <t>Cep 939</t>
  </si>
  <si>
    <t>Cep 940</t>
  </si>
  <si>
    <t>Cep 941</t>
  </si>
  <si>
    <t>Cep 942</t>
  </si>
  <si>
    <t>Cep 943</t>
  </si>
  <si>
    <t>Cep 944</t>
  </si>
  <si>
    <t>Cep 945</t>
  </si>
  <si>
    <t>Cep 946</t>
  </si>
  <si>
    <t>Cep 947</t>
  </si>
  <si>
    <t>Cep 948</t>
  </si>
  <si>
    <t>Cep 949</t>
  </si>
  <si>
    <t>Cep 950</t>
  </si>
  <si>
    <t>Cep 951</t>
  </si>
  <si>
    <t>Cep 952</t>
  </si>
  <si>
    <t>Cep 953</t>
  </si>
  <si>
    <t>Cep 954</t>
  </si>
  <si>
    <t>Cep 955</t>
  </si>
  <si>
    <t>Cep 956</t>
  </si>
  <si>
    <t>Cep 957</t>
  </si>
  <si>
    <t>Cep 958</t>
  </si>
  <si>
    <t>Cep 959</t>
  </si>
  <si>
    <t>Cep 960</t>
  </si>
  <si>
    <t>Cep 961</t>
  </si>
  <si>
    <t>Cep 962</t>
  </si>
  <si>
    <t>Cep 963</t>
  </si>
  <si>
    <t>Cep 964</t>
  </si>
  <si>
    <t>Cep 965</t>
  </si>
  <si>
    <t>Cep 966</t>
  </si>
  <si>
    <t>Cep 967</t>
  </si>
  <si>
    <t>Cep 968</t>
  </si>
  <si>
    <t>Cep 969</t>
  </si>
  <si>
    <t>Cep 970</t>
  </si>
  <si>
    <t>Cep 971</t>
  </si>
  <si>
    <t>Cep 972</t>
  </si>
  <si>
    <t>Cep 973</t>
  </si>
  <si>
    <t>Cep 974</t>
  </si>
  <si>
    <t>Cep 975</t>
  </si>
  <si>
    <t>Cep 976</t>
  </si>
  <si>
    <t>Cep 977</t>
  </si>
  <si>
    <t>Cep 978</t>
  </si>
  <si>
    <t>Cep 979</t>
  </si>
  <si>
    <t>Cep 980</t>
  </si>
  <si>
    <t>Cep 981</t>
  </si>
  <si>
    <t>Cep 982</t>
  </si>
  <si>
    <t>Cep 983</t>
  </si>
  <si>
    <t>Cep 984</t>
  </si>
  <si>
    <t>Cep 985</t>
  </si>
  <si>
    <t>Cep 986</t>
  </si>
  <si>
    <t>Cep 987</t>
  </si>
  <si>
    <t>Cep 988</t>
  </si>
  <si>
    <t>Cep 989</t>
  </si>
  <si>
    <t>Cep 990</t>
  </si>
  <si>
    <t>Cep 991</t>
  </si>
  <si>
    <t>Cep 992</t>
  </si>
  <si>
    <t>Cep 993</t>
  </si>
  <si>
    <t>Cep 994</t>
  </si>
  <si>
    <t>Cep 995</t>
  </si>
  <si>
    <t>Cep 996</t>
  </si>
  <si>
    <t>Cep 997</t>
  </si>
  <si>
    <t>Cep 998</t>
  </si>
  <si>
    <t>Cep 999</t>
  </si>
  <si>
    <t>Cep 1000</t>
  </si>
  <si>
    <t>Cep 1001</t>
  </si>
  <si>
    <t>Cep 1002</t>
  </si>
  <si>
    <t>Cep 1003</t>
  </si>
  <si>
    <t>Cep 1004</t>
  </si>
  <si>
    <t>Cep 1005</t>
  </si>
  <si>
    <t>Cep 1006</t>
  </si>
  <si>
    <t>Cep 1007</t>
  </si>
  <si>
    <t>Cep 1008</t>
  </si>
  <si>
    <t>Cep 1009</t>
  </si>
  <si>
    <t>Cep 1010</t>
  </si>
  <si>
    <t>Cep 1011</t>
  </si>
  <si>
    <t>Cep 1012</t>
  </si>
  <si>
    <t>Cep 1013</t>
  </si>
  <si>
    <t>Cep 1014</t>
  </si>
  <si>
    <t>Cep 1015</t>
  </si>
  <si>
    <t>Cep 1016</t>
  </si>
  <si>
    <t>Cep 1017</t>
  </si>
  <si>
    <t>Cep 1018</t>
  </si>
  <si>
    <t>Cep 1019</t>
  </si>
  <si>
    <t>Cep 1020</t>
  </si>
  <si>
    <t>Cep 1021</t>
  </si>
  <si>
    <t>Cep 1022</t>
  </si>
  <si>
    <t>Cep 1023</t>
  </si>
  <si>
    <t>Cep 1024</t>
  </si>
  <si>
    <t>Cep 1025</t>
  </si>
  <si>
    <t>Cep 1026</t>
  </si>
  <si>
    <t>Cep 1027</t>
  </si>
  <si>
    <t>Cep 1028</t>
  </si>
  <si>
    <t>Cep 1029</t>
  </si>
  <si>
    <t>Cep 1030</t>
  </si>
  <si>
    <t>Cep 1031</t>
  </si>
  <si>
    <t>Cep 1032</t>
  </si>
  <si>
    <t>Cep 1033</t>
  </si>
  <si>
    <t>Cep 1034</t>
  </si>
  <si>
    <t>Cep 1035</t>
  </si>
  <si>
    <t>Cep 1036</t>
  </si>
  <si>
    <t>Cep 1037</t>
  </si>
  <si>
    <t>Cep 1038</t>
  </si>
  <si>
    <t>Cep 1039</t>
  </si>
  <si>
    <t>Cep 1040</t>
  </si>
  <si>
    <t>Cep 1041</t>
  </si>
  <si>
    <t>Cep 1042</t>
  </si>
  <si>
    <t>Cep 1043</t>
  </si>
  <si>
    <t>Cep 1044</t>
  </si>
  <si>
    <t>Cep 1045</t>
  </si>
  <si>
    <t>Cep 1046</t>
  </si>
  <si>
    <t>Cep 1047</t>
  </si>
  <si>
    <t>Cep 1048</t>
  </si>
  <si>
    <t>Cep 1049</t>
  </si>
  <si>
    <t>Cep 1050</t>
  </si>
  <si>
    <t>Cep 1051</t>
  </si>
  <si>
    <t>Cep 1052</t>
  </si>
  <si>
    <t>Cep 1054</t>
  </si>
  <si>
    <t>Cep 1055</t>
  </si>
  <si>
    <t>Cep 1056</t>
  </si>
  <si>
    <t>Cep 1057</t>
  </si>
  <si>
    <t>Cep 1058</t>
  </si>
  <si>
    <t>Cep 1059</t>
  </si>
  <si>
    <t>Cep 1060</t>
  </si>
  <si>
    <t>Cep 1061</t>
  </si>
  <si>
    <t>Cep 1062</t>
  </si>
  <si>
    <t>Cep 1063</t>
  </si>
  <si>
    <t>Cep 1064</t>
  </si>
  <si>
    <t>Cep 1065</t>
  </si>
  <si>
    <t>Cep 1066</t>
  </si>
  <si>
    <t>Cep 1067</t>
  </si>
  <si>
    <t>Cep 1068</t>
  </si>
  <si>
    <t>Cep 1069</t>
  </si>
  <si>
    <t>Cep 1070</t>
  </si>
  <si>
    <t>Cep 1071</t>
  </si>
  <si>
    <t>Cep 1072</t>
  </si>
  <si>
    <t>Cep 1073</t>
  </si>
  <si>
    <t>Cep 1074</t>
  </si>
  <si>
    <t>Cep 1075</t>
  </si>
  <si>
    <t>Cep 1076</t>
  </si>
  <si>
    <t>Cep 1077</t>
  </si>
  <si>
    <t>Cep 1078</t>
  </si>
  <si>
    <t>Cep 1079</t>
  </si>
  <si>
    <t>Cep 1080</t>
  </si>
  <si>
    <t>Cep 1081</t>
  </si>
  <si>
    <t>Cep 1082</t>
  </si>
  <si>
    <t>Cep 1083</t>
  </si>
  <si>
    <t>Cep 1084</t>
  </si>
  <si>
    <t>Cep 1085</t>
  </si>
  <si>
    <t>Cep 1086</t>
  </si>
  <si>
    <t>Cep 1087</t>
  </si>
  <si>
    <t>Cep 1088</t>
  </si>
  <si>
    <t>Cep 1089</t>
  </si>
  <si>
    <t>Cep 1090</t>
  </si>
  <si>
    <t>Cep 1091</t>
  </si>
  <si>
    <t>Cep 1092</t>
  </si>
  <si>
    <t>Cep 1093</t>
  </si>
  <si>
    <t>Cep 1094</t>
  </si>
  <si>
    <t>Cep 1095</t>
  </si>
  <si>
    <t>Cep 1096</t>
  </si>
  <si>
    <t>Cep 1097</t>
  </si>
  <si>
    <t>Cep 1098</t>
  </si>
  <si>
    <t>Cep 1099</t>
  </si>
  <si>
    <t>Cep 1100</t>
  </si>
  <si>
    <t>Cep 1101</t>
  </si>
  <si>
    <t>Cep 1102</t>
  </si>
  <si>
    <t>Cep 1103</t>
  </si>
  <si>
    <t>Cep 1104</t>
  </si>
  <si>
    <t>Cep 1105</t>
  </si>
  <si>
    <t>Cep 1106</t>
  </si>
  <si>
    <t>Cep 1107</t>
  </si>
  <si>
    <t>Cep 1108</t>
  </si>
  <si>
    <t>Cep 1109</t>
  </si>
  <si>
    <t>Cep 1110</t>
  </si>
  <si>
    <t>Cep 1111</t>
  </si>
  <si>
    <t>Cep 1112</t>
  </si>
  <si>
    <t>Cep 1113</t>
  </si>
  <si>
    <t>Cep 1114</t>
  </si>
  <si>
    <t>Cep 1115</t>
  </si>
  <si>
    <t>Cep 1116</t>
  </si>
  <si>
    <t>Cep 1117</t>
  </si>
  <si>
    <t>Cep 1118</t>
  </si>
  <si>
    <t>Cep 1119</t>
  </si>
  <si>
    <t>Cep 1120</t>
  </si>
  <si>
    <t>Cep 1121</t>
  </si>
  <si>
    <t>Cep 1122</t>
  </si>
  <si>
    <t>Cep 1123</t>
  </si>
  <si>
    <t>Cep 1124</t>
  </si>
  <si>
    <t>Cep 1125</t>
  </si>
  <si>
    <t>Cep 1126</t>
  </si>
  <si>
    <t>Cep 1127</t>
  </si>
  <si>
    <t>Cep 1128</t>
  </si>
  <si>
    <t>Cep 1129</t>
  </si>
  <si>
    <t>Cep 1130</t>
  </si>
  <si>
    <t>Cep 1131</t>
  </si>
  <si>
    <t>Cep 1132</t>
  </si>
  <si>
    <t>Cep 1133</t>
  </si>
  <si>
    <t>Cep 1134</t>
  </si>
  <si>
    <t>Cep 1135</t>
  </si>
  <si>
    <t>Cep 1136</t>
  </si>
  <si>
    <t>Cep 1137</t>
  </si>
  <si>
    <t>Cep 1138</t>
  </si>
  <si>
    <t>Cep 1139</t>
  </si>
  <si>
    <t>Cep 1140</t>
  </si>
  <si>
    <t>Cep 1141</t>
  </si>
  <si>
    <t>Cep 1142</t>
  </si>
  <si>
    <t>Cep 1143</t>
  </si>
  <si>
    <t>Cep 1144</t>
  </si>
  <si>
    <t>Cep 1145</t>
  </si>
  <si>
    <t>Cep 1146</t>
  </si>
  <si>
    <t>Cep 1147</t>
  </si>
  <si>
    <t>Cep 1148</t>
  </si>
  <si>
    <t>Cep 1149</t>
  </si>
  <si>
    <t>Cep 1150</t>
  </si>
  <si>
    <t>Cep 1151</t>
  </si>
  <si>
    <t>Cep 1152</t>
  </si>
  <si>
    <t>Cep 1153</t>
  </si>
  <si>
    <t>Cep 1154</t>
  </si>
  <si>
    <t>Cep 1155</t>
  </si>
  <si>
    <t>Cep 1156</t>
  </si>
  <si>
    <t>Cep 1157</t>
  </si>
  <si>
    <t>Cep 1158</t>
  </si>
  <si>
    <t>Cep 1159</t>
  </si>
  <si>
    <t>Cep 1160</t>
  </si>
  <si>
    <t>Cep 1161</t>
  </si>
  <si>
    <t>Cep 1162</t>
  </si>
  <si>
    <t>Cep 1163</t>
  </si>
  <si>
    <t>Cep 1164</t>
  </si>
  <si>
    <t>Cep 1165</t>
  </si>
  <si>
    <t>Cep 1166</t>
  </si>
  <si>
    <t>Cep 1167</t>
  </si>
  <si>
    <t>Cep 1168</t>
  </si>
  <si>
    <t>Cep 1169</t>
  </si>
  <si>
    <t>Cep 1170</t>
  </si>
  <si>
    <t>Cep 1171</t>
  </si>
  <si>
    <t>Cep 1172</t>
  </si>
  <si>
    <t>Cep 1174</t>
  </si>
  <si>
    <t>Cep 1175</t>
  </si>
  <si>
    <t>Cep 1176</t>
  </si>
  <si>
    <t>Cep 1177</t>
  </si>
  <si>
    <t>Cep 1178</t>
  </si>
  <si>
    <t>Cep 1179</t>
  </si>
  <si>
    <t>Cep 1180</t>
  </si>
  <si>
    <t>Cep 1181</t>
  </si>
  <si>
    <t>Cep 1182</t>
  </si>
  <si>
    <t>Cep 1183</t>
  </si>
  <si>
    <t>Cep 1184</t>
  </si>
  <si>
    <t>Cep 1185</t>
  </si>
  <si>
    <t>Cep 1186</t>
  </si>
  <si>
    <t>Cep 1187</t>
  </si>
  <si>
    <t>Cep 1188</t>
  </si>
  <si>
    <t>Cep 1189</t>
  </si>
  <si>
    <t>Cep 1190</t>
  </si>
  <si>
    <t>Cep 1191</t>
  </si>
  <si>
    <t>Cep 1192</t>
  </si>
  <si>
    <t>Cep 1193</t>
  </si>
  <si>
    <t>Cep 1194</t>
  </si>
  <si>
    <t>Cep 1195</t>
  </si>
  <si>
    <t>Cep 1196</t>
  </si>
  <si>
    <t>Cep 1197</t>
  </si>
  <si>
    <t>Cep 1198</t>
  </si>
  <si>
    <t>Cep 1199</t>
  </si>
  <si>
    <t>Cep 1200</t>
  </si>
  <si>
    <t>Cep 1201</t>
  </si>
  <si>
    <t>Cep 1202</t>
  </si>
  <si>
    <t>Cep 1203</t>
  </si>
  <si>
    <t>Cep 1204</t>
  </si>
  <si>
    <t>Cep 1205</t>
  </si>
  <si>
    <t>Cep 1206</t>
  </si>
  <si>
    <t>Cep 1207</t>
  </si>
  <si>
    <t>Cep 1208</t>
  </si>
  <si>
    <t>Cep 1209</t>
  </si>
  <si>
    <t>Cep 1210</t>
  </si>
  <si>
    <t>Cep 1211</t>
  </si>
  <si>
    <t>Cep 1212</t>
  </si>
  <si>
    <t>Cep 1213</t>
  </si>
  <si>
    <t>Cep 1214</t>
  </si>
  <si>
    <t>Cep 1215</t>
  </si>
  <si>
    <t>Cep 1216</t>
  </si>
  <si>
    <t>Cep 1217</t>
  </si>
  <si>
    <t>Cep 1218</t>
  </si>
  <si>
    <t>Cep 1219</t>
  </si>
  <si>
    <t>Cep 1220</t>
  </si>
  <si>
    <t>Cep 1221</t>
  </si>
  <si>
    <t>Cep 1222</t>
  </si>
  <si>
    <t>Cep 1223</t>
  </si>
  <si>
    <t>Cep 1224</t>
  </si>
  <si>
    <t>Cep 1225</t>
  </si>
  <si>
    <t>Cep 1226</t>
  </si>
  <si>
    <t>Cep 1227</t>
  </si>
  <si>
    <t>Cep 1228</t>
  </si>
  <si>
    <t>Cep 1229</t>
  </si>
  <si>
    <t>Cep 1230</t>
  </si>
  <si>
    <t>Cep 1231</t>
  </si>
  <si>
    <t>Cep 1232</t>
  </si>
  <si>
    <t>Cep 1233</t>
  </si>
  <si>
    <t>Cep 1234</t>
  </si>
  <si>
    <t>Cep 1235</t>
  </si>
  <si>
    <t>Cep 1236</t>
  </si>
  <si>
    <t>Cep 1237</t>
  </si>
  <si>
    <t>Cep 1238</t>
  </si>
  <si>
    <t>Cep 1239</t>
  </si>
  <si>
    <t>Cep 1240</t>
  </si>
  <si>
    <t>Cep 1241</t>
  </si>
  <si>
    <t>Cep 1242</t>
  </si>
  <si>
    <t>Cep 1243</t>
  </si>
  <si>
    <t>Cep 1244</t>
  </si>
  <si>
    <t>Cep 1245</t>
  </si>
  <si>
    <t>Cep 1246</t>
  </si>
  <si>
    <t>Cep 1247</t>
  </si>
  <si>
    <t>Cep 1248</t>
  </si>
  <si>
    <t>Cep 1249</t>
  </si>
  <si>
    <t>Cep 1250</t>
  </si>
  <si>
    <t>Cep 1251</t>
  </si>
  <si>
    <t>Cep 1252</t>
  </si>
  <si>
    <t>Cep 1253</t>
  </si>
  <si>
    <t>Cep 1254</t>
  </si>
  <si>
    <t>Cep 1255</t>
  </si>
  <si>
    <t>Cep 1256</t>
  </si>
  <si>
    <t>Cep 1257</t>
  </si>
  <si>
    <t>Cep 1258</t>
  </si>
  <si>
    <t>Cep 1259</t>
  </si>
  <si>
    <t>Cep 1260</t>
  </si>
  <si>
    <t>Cep 1261</t>
  </si>
  <si>
    <t>Cep 1262</t>
  </si>
  <si>
    <t>Cep 1263</t>
  </si>
  <si>
    <t>Cep 1264</t>
  </si>
  <si>
    <t>Cep 1265</t>
  </si>
  <si>
    <t>Cep 1266</t>
  </si>
  <si>
    <t>Cep 1267</t>
  </si>
  <si>
    <t>Cep 1268</t>
  </si>
  <si>
    <t>Cep 1269</t>
  </si>
  <si>
    <t>Cep 1270</t>
  </si>
  <si>
    <t>Cep 1271</t>
  </si>
  <si>
    <t>Cep 1272</t>
  </si>
  <si>
    <t>Cep 1273</t>
  </si>
  <si>
    <t>Cep 1274</t>
  </si>
  <si>
    <t>Cep 1275</t>
  </si>
  <si>
    <t>Cep 1276</t>
  </si>
  <si>
    <t>Cep 1277</t>
  </si>
  <si>
    <t>Cep 1278</t>
  </si>
  <si>
    <t>Cep 1279</t>
  </si>
  <si>
    <t>Cep 1280</t>
  </si>
  <si>
    <t>Cep 1281</t>
  </si>
  <si>
    <t>Cep 1282</t>
  </si>
  <si>
    <t>Cep 1283</t>
  </si>
  <si>
    <t>Cep 1284</t>
  </si>
  <si>
    <t>Cep 1285</t>
  </si>
  <si>
    <t>Cep 1286</t>
  </si>
  <si>
    <t>Cep 1287</t>
  </si>
  <si>
    <t>Cep 1288</t>
  </si>
  <si>
    <t>Cep 1289</t>
  </si>
  <si>
    <t>Cep 1290</t>
  </si>
  <si>
    <t>Cep 1291</t>
  </si>
  <si>
    <t>Cep 1292</t>
  </si>
  <si>
    <t>Cep 1293</t>
  </si>
  <si>
    <t>Cep 1294</t>
  </si>
  <si>
    <t>Cep 1295</t>
  </si>
  <si>
    <t>Cep 1296</t>
  </si>
  <si>
    <t>Cep 1297</t>
  </si>
  <si>
    <t>Cep 1298</t>
  </si>
  <si>
    <t>Cep 1299</t>
  </si>
  <si>
    <t>Cep 1300</t>
  </si>
  <si>
    <t>Cep 1301</t>
  </si>
  <si>
    <t>Cep 1302</t>
  </si>
  <si>
    <t>Cep 1303</t>
  </si>
  <si>
    <t>Cep 1304</t>
  </si>
  <si>
    <t>Cep 1305</t>
  </si>
  <si>
    <t>Cep 1306</t>
  </si>
  <si>
    <t>Cep 1307</t>
  </si>
  <si>
    <t>Cep 1308</t>
  </si>
  <si>
    <t>Cep 1309</t>
  </si>
  <si>
    <t>Cep 1310</t>
  </si>
  <si>
    <t>Cep 1311</t>
  </si>
  <si>
    <t>Cep 1312</t>
  </si>
  <si>
    <t>Cep 1313</t>
  </si>
  <si>
    <t>Cep 1314</t>
  </si>
  <si>
    <t>Cep 1315</t>
  </si>
  <si>
    <t>Cep 1316</t>
  </si>
  <si>
    <t>Cep 1317</t>
  </si>
  <si>
    <t>Cep 1318</t>
  </si>
  <si>
    <t>Cep 1319</t>
  </si>
  <si>
    <t>Cep 1320</t>
  </si>
  <si>
    <t>Cep 1321</t>
  </si>
  <si>
    <t>Cep 1322</t>
  </si>
  <si>
    <t>Cep 1323</t>
  </si>
  <si>
    <t>Cep 1324</t>
  </si>
  <si>
    <t>Cep 1325</t>
  </si>
  <si>
    <t>Cep 1326</t>
  </si>
  <si>
    <t>Cep 1327</t>
  </si>
  <si>
    <t>Cep 1328</t>
  </si>
  <si>
    <t>Cep 1329</t>
  </si>
  <si>
    <t>Cep 1330</t>
  </si>
  <si>
    <t>Cep 1331</t>
  </si>
  <si>
    <t>Cep 1332</t>
  </si>
  <si>
    <t>Cep 1333</t>
  </si>
  <si>
    <t>Cep 1334</t>
  </si>
  <si>
    <t>Cep 1335</t>
  </si>
  <si>
    <t>Cep 1336</t>
  </si>
  <si>
    <t>Cep 1337</t>
  </si>
  <si>
    <t>Cep 1338</t>
  </si>
  <si>
    <t>Cep 1339</t>
  </si>
  <si>
    <t>Cep 1340</t>
  </si>
  <si>
    <t>Cep 1341</t>
  </si>
  <si>
    <t>Cep 1342</t>
  </si>
  <si>
    <t>Cep 1343</t>
  </si>
  <si>
    <t>Cep 1344</t>
  </si>
  <si>
    <t>Cep 1345</t>
  </si>
  <si>
    <t>Cep 1346</t>
  </si>
  <si>
    <t>Cep 1347</t>
  </si>
  <si>
    <t>Cep 1348</t>
  </si>
  <si>
    <t>Cep 1349</t>
  </si>
  <si>
    <t>Cep 1350</t>
  </si>
  <si>
    <t>Cep 1351</t>
  </si>
  <si>
    <t>Cep 1352</t>
  </si>
  <si>
    <t>Cep 1353</t>
  </si>
  <si>
    <t>Cep 1354</t>
  </si>
  <si>
    <t>Cep 1355</t>
  </si>
  <si>
    <t>Cep 1356</t>
  </si>
  <si>
    <t>Cep 1357</t>
  </si>
  <si>
    <t>Cep 1358</t>
  </si>
  <si>
    <t>Cep 1359</t>
  </si>
  <si>
    <t>Cep 1360</t>
  </si>
  <si>
    <t>Cep 1361</t>
  </si>
  <si>
    <t>Cep 1362</t>
  </si>
  <si>
    <t>Cep 1363</t>
  </si>
  <si>
    <t>Cep 1364</t>
  </si>
  <si>
    <t>Cep 1365</t>
  </si>
  <si>
    <t>Cep 1366</t>
  </si>
  <si>
    <t>Cep 1367</t>
  </si>
  <si>
    <t>Cep 1368</t>
  </si>
  <si>
    <t>Cep 1369</t>
  </si>
  <si>
    <t>Cep 1370</t>
  </si>
  <si>
    <t>Cep 1371</t>
  </si>
  <si>
    <t>Cep 1372</t>
  </si>
  <si>
    <t>Cep 1373</t>
  </si>
  <si>
    <t>Cep 1374</t>
  </si>
  <si>
    <t>Cep 1375</t>
  </si>
  <si>
    <t>Cep 1376</t>
  </si>
  <si>
    <t>Cep 1377</t>
  </si>
  <si>
    <t>Cep 1378</t>
  </si>
  <si>
    <t>Cep 1379</t>
  </si>
  <si>
    <t>Cep 1380</t>
  </si>
  <si>
    <t>Cep 1381</t>
  </si>
  <si>
    <t>Cep 1382</t>
  </si>
  <si>
    <t>Cep 1383</t>
  </si>
  <si>
    <t>Cep 1384</t>
  </si>
  <si>
    <t>Cep 1385</t>
  </si>
  <si>
    <t>Cep 1386</t>
  </si>
  <si>
    <t>Cep 1387</t>
  </si>
  <si>
    <t>Cep 1388</t>
  </si>
  <si>
    <t>Cep 1389</t>
  </si>
  <si>
    <t>Cep 1390</t>
  </si>
  <si>
    <t>Cep 1391</t>
  </si>
  <si>
    <t>Cep 1392</t>
  </si>
  <si>
    <t>Cep 1393</t>
  </si>
  <si>
    <t>Cep 1394</t>
  </si>
  <si>
    <t>Cep 1395</t>
  </si>
  <si>
    <t>Cep 1396</t>
  </si>
  <si>
    <t>Cep 1397</t>
  </si>
  <si>
    <t>Cep 1398</t>
  </si>
  <si>
    <t>Cep 1399</t>
  </si>
  <si>
    <t>Cep 1400</t>
  </si>
  <si>
    <t>Cep 1401</t>
  </si>
  <si>
    <t>Cep 1402</t>
  </si>
  <si>
    <t>Cep 1403</t>
  </si>
  <si>
    <t>Cep 1404</t>
  </si>
  <si>
    <t>Cep 1405</t>
  </si>
  <si>
    <t>Cep 1406</t>
  </si>
  <si>
    <t>Cep 1407</t>
  </si>
  <si>
    <t>Cep 1408</t>
  </si>
  <si>
    <t>Cep 1409</t>
  </si>
  <si>
    <t>Cep 1410</t>
  </si>
  <si>
    <t>Cep 1411</t>
  </si>
  <si>
    <t>Cep 1412</t>
  </si>
  <si>
    <t>Cep 1413</t>
  </si>
  <si>
    <t>Cep 1414</t>
  </si>
  <si>
    <t>Cep 1415</t>
  </si>
  <si>
    <t>Cep 1416</t>
  </si>
  <si>
    <t>Cep 1417</t>
  </si>
  <si>
    <t>Cep 1418</t>
  </si>
  <si>
    <t>Cep 1419</t>
  </si>
  <si>
    <t>Cep 1420</t>
  </si>
  <si>
    <t>Cep 1421</t>
  </si>
  <si>
    <t>Cep 1422</t>
  </si>
  <si>
    <t>Cep 1423</t>
  </si>
  <si>
    <t>Cep 1424</t>
  </si>
  <si>
    <t>Cep 1425</t>
  </si>
  <si>
    <t>Cep 1426</t>
  </si>
  <si>
    <t>Cep 1427</t>
  </si>
  <si>
    <t>Cep 1428</t>
  </si>
  <si>
    <t>Cep 1429</t>
  </si>
  <si>
    <t>Cep 1430</t>
  </si>
  <si>
    <t>Cep 1431</t>
  </si>
  <si>
    <t>Cep 1432</t>
  </si>
  <si>
    <t>Cep 1433</t>
  </si>
  <si>
    <t>Cep 1434</t>
  </si>
  <si>
    <t>Cep 1435</t>
  </si>
  <si>
    <t>Cep 1436</t>
  </si>
  <si>
    <t>Cep 1437</t>
  </si>
  <si>
    <t>Cep 1438</t>
  </si>
  <si>
    <t>Cep 1439</t>
  </si>
  <si>
    <t>Cep 1440</t>
  </si>
  <si>
    <t>Cep 1441</t>
  </si>
  <si>
    <t>Cep 1442</t>
  </si>
  <si>
    <t>Cep 1443</t>
  </si>
  <si>
    <t>Cep 1444</t>
  </si>
  <si>
    <t>Cep 1445</t>
  </si>
  <si>
    <t>Cep 1446</t>
  </si>
  <si>
    <t>Cep 1447</t>
  </si>
  <si>
    <t>Cep 1448</t>
  </si>
  <si>
    <t>Cep 1449</t>
  </si>
  <si>
    <t>Cep 1450</t>
  </si>
  <si>
    <t>Cep 1451</t>
  </si>
  <si>
    <t>Cep 1452</t>
  </si>
  <si>
    <t>Cep 1453</t>
  </si>
  <si>
    <t>Cep 1454</t>
  </si>
  <si>
    <t>Cep 1455</t>
  </si>
  <si>
    <t>Cep 1456</t>
  </si>
  <si>
    <t>Cep 1457</t>
  </si>
  <si>
    <t>Cep 1458</t>
  </si>
  <si>
    <t>Cep 1459</t>
  </si>
  <si>
    <t>Cep 1460</t>
  </si>
  <si>
    <t>Cep 1461</t>
  </si>
  <si>
    <t>Cep 1462</t>
  </si>
  <si>
    <t>Cep 1463</t>
  </si>
  <si>
    <t>Cep 1464</t>
  </si>
  <si>
    <t>Cep 1465</t>
  </si>
  <si>
    <t>Cep 1466</t>
  </si>
  <si>
    <t>Cep 1467</t>
  </si>
  <si>
    <t>Cep 1468</t>
  </si>
  <si>
    <t>Cep 1469</t>
  </si>
  <si>
    <t>Cep 1470</t>
  </si>
  <si>
    <t>Cep 1471</t>
  </si>
  <si>
    <t>Cep 1472</t>
  </si>
  <si>
    <t>Cep 1473</t>
  </si>
  <si>
    <t>Cep 1474</t>
  </si>
  <si>
    <t>Cep 1475</t>
  </si>
  <si>
    <t>Cep 1476</t>
  </si>
  <si>
    <t>Cep 1477</t>
  </si>
  <si>
    <t>Cep 1478</t>
  </si>
  <si>
    <t>Cep 1479</t>
  </si>
  <si>
    <t>Cep 1480</t>
  </si>
  <si>
    <t>Cep 1481</t>
  </si>
  <si>
    <t>Cep 1482</t>
  </si>
  <si>
    <t>Cep 1483</t>
  </si>
  <si>
    <t>Cep 1484</t>
  </si>
  <si>
    <t>Cep 1485</t>
  </si>
  <si>
    <t>Cep 1486</t>
  </si>
  <si>
    <t>Cep 1487</t>
  </si>
  <si>
    <t>Cep 1488</t>
  </si>
  <si>
    <t>Cep 1489</t>
  </si>
  <si>
    <t>Cep 1490</t>
  </si>
  <si>
    <t>Cep 1491</t>
  </si>
  <si>
    <t>Cep 1492</t>
  </si>
  <si>
    <t>Cep 1493</t>
  </si>
  <si>
    <t>Cep 1494</t>
  </si>
  <si>
    <t>Cep 1495</t>
  </si>
  <si>
    <t>Cep 1496</t>
  </si>
  <si>
    <t>Cep 1497</t>
  </si>
  <si>
    <t>Cep 1498</t>
  </si>
  <si>
    <t>Cep 1499</t>
  </si>
  <si>
    <t>Cep 1500</t>
  </si>
  <si>
    <t>Cep 1501</t>
  </si>
  <si>
    <t>Cep 1502</t>
  </si>
  <si>
    <t>Cep 1503</t>
  </si>
  <si>
    <t>Cep 1504</t>
  </si>
  <si>
    <t>Cep 1505</t>
  </si>
  <si>
    <t>Cep 1507</t>
  </si>
  <si>
    <t>Cep 1508</t>
  </si>
  <si>
    <t>Cep 1509</t>
  </si>
  <si>
    <t>Cep 1510</t>
  </si>
  <si>
    <t>Cep 1511</t>
  </si>
  <si>
    <t>Cep 1512</t>
  </si>
  <si>
    <t>Cep 1513</t>
  </si>
  <si>
    <t>Cep 1514</t>
  </si>
  <si>
    <t>Cep 1515</t>
  </si>
  <si>
    <t>Cep 1516</t>
  </si>
  <si>
    <t>Cep 1517</t>
  </si>
  <si>
    <t>Cep 1518</t>
  </si>
  <si>
    <t>Cep 1519</t>
  </si>
  <si>
    <t>Cep 1520</t>
  </si>
  <si>
    <t>Cep 1521</t>
  </si>
  <si>
    <t>Cep 1522</t>
  </si>
  <si>
    <t>Cep 1523</t>
  </si>
  <si>
    <t>Cep 1524</t>
  </si>
  <si>
    <t>Cep 1525</t>
  </si>
  <si>
    <t>Cep 1526</t>
  </si>
  <si>
    <t>Cep 1527</t>
  </si>
  <si>
    <t>Cep 1528</t>
  </si>
  <si>
    <t>Cep 1529</t>
  </si>
  <si>
    <t>Cep 1530</t>
  </si>
  <si>
    <t>Cep 1531</t>
  </si>
  <si>
    <t>Cep 1532</t>
  </si>
  <si>
    <t>Cep 1533</t>
  </si>
  <si>
    <t>Cep 1534</t>
  </si>
  <si>
    <t>Cep 1535</t>
  </si>
  <si>
    <t>Cep 1536</t>
  </si>
  <si>
    <t>Cep 1537</t>
  </si>
  <si>
    <t>Cep 1538</t>
  </si>
  <si>
    <t>Cep 1539</t>
  </si>
  <si>
    <t>Cep 1540</t>
  </si>
  <si>
    <t>Cep 1541</t>
  </si>
  <si>
    <t>Cep 1542</t>
  </si>
  <si>
    <t>Cep 1543</t>
  </si>
  <si>
    <t>Cep 1544</t>
  </si>
  <si>
    <t>Cep 1545</t>
  </si>
  <si>
    <t>Cep 1546</t>
  </si>
  <si>
    <t>Cep 1547</t>
  </si>
  <si>
    <t>Cep 1548</t>
  </si>
  <si>
    <t>Cep 1549</t>
  </si>
  <si>
    <t>Cep 1550</t>
  </si>
  <si>
    <t>Cep 1551</t>
  </si>
  <si>
    <t>Cep 1552</t>
  </si>
  <si>
    <t>Cep 1553</t>
  </si>
  <si>
    <t>Cep 1554</t>
  </si>
  <si>
    <t>Cep 1555</t>
  </si>
  <si>
    <t>Cep 1556</t>
  </si>
  <si>
    <t>Cep 1557</t>
  </si>
  <si>
    <t>Cep 1558</t>
  </si>
  <si>
    <t>Cep 1559</t>
  </si>
  <si>
    <t>Cep 1560</t>
  </si>
  <si>
    <t>Cep 1561</t>
  </si>
  <si>
    <t>Cep 1562</t>
  </si>
  <si>
    <t>Cep 1563</t>
  </si>
  <si>
    <t>Cep 1564</t>
  </si>
  <si>
    <t>Cep 1565</t>
  </si>
  <si>
    <t>Cep 1566</t>
  </si>
  <si>
    <t>Cep 1567</t>
  </si>
  <si>
    <t>Cep 1568</t>
  </si>
  <si>
    <t>Cep 1569</t>
  </si>
  <si>
    <t>Cep 1570</t>
  </si>
  <si>
    <t>Cep 1571</t>
  </si>
  <si>
    <t>Cep 1572</t>
  </si>
  <si>
    <t>Cep 1573</t>
  </si>
  <si>
    <t>Cep 1574</t>
  </si>
  <si>
    <t>Cep 1575</t>
  </si>
  <si>
    <t>Cep 1576</t>
  </si>
  <si>
    <t>Cep 1577</t>
  </si>
  <si>
    <t>Cep 1578</t>
  </si>
  <si>
    <t>Cep 1579</t>
  </si>
  <si>
    <t>Cep 1580</t>
  </si>
  <si>
    <t>Cep 1581</t>
  </si>
  <si>
    <t>Cep 1582</t>
  </si>
  <si>
    <t>Cep 1583</t>
  </si>
  <si>
    <t>Cep 1584</t>
  </si>
  <si>
    <t>Cep 1585</t>
  </si>
  <si>
    <t>Cep 1586</t>
  </si>
  <si>
    <t>Cep 1587</t>
  </si>
  <si>
    <t>Cep 1588</t>
  </si>
  <si>
    <t>Cep 1589</t>
  </si>
  <si>
    <t>Cep 1590</t>
  </si>
  <si>
    <t>Cep 1591</t>
  </si>
  <si>
    <t>Cep 1592</t>
  </si>
  <si>
    <t>Cep 1593</t>
  </si>
  <si>
    <t>Cep 1594</t>
  </si>
  <si>
    <t>Cep 1595</t>
  </si>
  <si>
    <t>Cep 1596</t>
  </si>
  <si>
    <t>Cep 1597</t>
  </si>
  <si>
    <t>Cep 1598</t>
  </si>
  <si>
    <t>Cep 1599</t>
  </si>
  <si>
    <t>Cep 1600</t>
  </si>
  <si>
    <t>Cep 1601</t>
  </si>
  <si>
    <t>Cep 1602</t>
  </si>
  <si>
    <t>Cep 1603</t>
  </si>
  <si>
    <t>Cep 1604</t>
  </si>
  <si>
    <t>Cep 1605</t>
  </si>
  <si>
    <t>Cep 1606</t>
  </si>
  <si>
    <t>Cep 1607</t>
  </si>
  <si>
    <t>Cep 1608</t>
  </si>
  <si>
    <t>Cep 1609</t>
  </si>
  <si>
    <t>Cep 1610</t>
  </si>
  <si>
    <t>Cep 1611</t>
  </si>
  <si>
    <t>Cep 1612</t>
  </si>
  <si>
    <t>Cep 1613</t>
  </si>
  <si>
    <t>Cep 1614</t>
  </si>
  <si>
    <t>Cep 1615</t>
  </si>
  <si>
    <t>Cep 1616</t>
  </si>
  <si>
    <t>Cep 1617</t>
  </si>
  <si>
    <t>Cep 1618</t>
  </si>
  <si>
    <t>Cep 1619</t>
  </si>
  <si>
    <t>Cep 1620</t>
  </si>
  <si>
    <t>Cep 1621</t>
  </si>
  <si>
    <t>Cep 1622</t>
  </si>
  <si>
    <t>Cep 1623</t>
  </si>
  <si>
    <t>Cep 1624</t>
  </si>
  <si>
    <t>Cep 1625</t>
  </si>
  <si>
    <t>Cep 1626</t>
  </si>
  <si>
    <t>Cep 1627</t>
  </si>
  <si>
    <t>Cep 1628</t>
  </si>
  <si>
    <t>Cep 1629</t>
  </si>
  <si>
    <t>Cep 1630</t>
  </si>
  <si>
    <t>Cep 1631</t>
  </si>
  <si>
    <t>Cep 1632</t>
  </si>
  <si>
    <t>Cep 1633</t>
  </si>
  <si>
    <t>Cep 1634</t>
  </si>
  <si>
    <t>Cep 1635</t>
  </si>
  <si>
    <t>Cep 1636</t>
  </si>
  <si>
    <t>Cep 1637</t>
  </si>
  <si>
    <t>Cep 1638</t>
  </si>
  <si>
    <t>Cep 1639</t>
  </si>
  <si>
    <t>Cep 1640</t>
  </si>
  <si>
    <t>Cep 1641</t>
  </si>
  <si>
    <t>Cep 1642</t>
  </si>
  <si>
    <t>Cep 1643</t>
  </si>
  <si>
    <t>Cep 1644</t>
  </si>
  <si>
    <t>Cep 1645</t>
  </si>
  <si>
    <t>Cep 1646</t>
  </si>
  <si>
    <t>Cep 1647</t>
  </si>
  <si>
    <t>Cep 1648</t>
  </si>
  <si>
    <t>Cep 1649</t>
  </si>
  <si>
    <t>Cep 1650</t>
  </si>
  <si>
    <t>Cep 1651</t>
  </si>
  <si>
    <t>Cep 1652</t>
  </si>
  <si>
    <t>Cep 1653</t>
  </si>
  <si>
    <t>Cep 1654</t>
  </si>
  <si>
    <t>Cep 1655</t>
  </si>
  <si>
    <t>Cep 1656</t>
  </si>
  <si>
    <t>Cep 1657</t>
  </si>
  <si>
    <t>Cep 1658</t>
  </si>
  <si>
    <t>Cep 1659</t>
  </si>
  <si>
    <t>Cep 1660</t>
  </si>
  <si>
    <t>Cep 1661</t>
  </si>
  <si>
    <t>Cep 1662</t>
  </si>
  <si>
    <t>Cep 1663</t>
  </si>
  <si>
    <t>Cep 1664</t>
  </si>
  <si>
    <t>Cep 1665</t>
  </si>
  <si>
    <t>Cep 1666</t>
  </si>
  <si>
    <t>Cep 1667</t>
  </si>
  <si>
    <t>Cep 1668</t>
  </si>
  <si>
    <t>Cep 1669</t>
  </si>
  <si>
    <t>Cep 1670</t>
  </si>
  <si>
    <t>Cep 1671</t>
  </si>
  <si>
    <t>Cep 1672</t>
  </si>
  <si>
    <t>Cep 1673</t>
  </si>
  <si>
    <t>Cep 1674</t>
  </si>
  <si>
    <t>Cep 1675</t>
  </si>
  <si>
    <t>Cep 1676</t>
  </si>
  <si>
    <t>Cep 1677</t>
  </si>
  <si>
    <t>Cep 1678</t>
  </si>
  <si>
    <t>Cep 1679</t>
  </si>
  <si>
    <t>Cep 1680</t>
  </si>
  <si>
    <t>Cep 1681</t>
  </si>
  <si>
    <t>Cep 1682</t>
  </si>
  <si>
    <t>Cep 1683</t>
  </si>
  <si>
    <t>Cep 1684</t>
  </si>
  <si>
    <t>Cep 1685</t>
  </si>
  <si>
    <t>Cep 1686</t>
  </si>
  <si>
    <t>Cep 1687</t>
  </si>
  <si>
    <t>Cep 1688</t>
  </si>
  <si>
    <t>Cep 1689</t>
  </si>
  <si>
    <t>Cep 1690</t>
  </si>
  <si>
    <t>Cep 1691</t>
  </si>
  <si>
    <t>Cep 1692</t>
  </si>
  <si>
    <t>Cep 1693</t>
  </si>
  <si>
    <t>Cep 1694</t>
  </si>
  <si>
    <t>Cep 1695</t>
  </si>
  <si>
    <t>Cep 1696</t>
  </si>
  <si>
    <t>Cep 1697</t>
  </si>
  <si>
    <t>Cep 1698</t>
  </si>
  <si>
    <t>Cep 1699</t>
  </si>
  <si>
    <t>Cep 1700</t>
  </si>
  <si>
    <t>Cep 1701</t>
  </si>
  <si>
    <t>Cep 1702</t>
  </si>
  <si>
    <t>Cep 1703</t>
  </si>
  <si>
    <t>Cep 1704</t>
  </si>
  <si>
    <t>Cep 1705</t>
  </si>
  <si>
    <t>Cep 1706</t>
  </si>
  <si>
    <t>Cep 1707</t>
  </si>
  <si>
    <t>Cep 1708</t>
  </si>
  <si>
    <t>Cep 1709</t>
  </si>
  <si>
    <t>Cep 1710</t>
  </si>
  <si>
    <t>Cep 1711</t>
  </si>
  <si>
    <t>Cep 1712</t>
  </si>
  <si>
    <t>Cep 1713</t>
  </si>
  <si>
    <t>Cep 1714</t>
  </si>
  <si>
    <t>Cep 1715</t>
  </si>
  <si>
    <t>Cep 1716</t>
  </si>
  <si>
    <t>Cep 1717</t>
  </si>
  <si>
    <t>Cep 1718</t>
  </si>
  <si>
    <t>Cep 1719</t>
  </si>
  <si>
    <t>Cep 1720</t>
  </si>
  <si>
    <t>Cep 1721</t>
  </si>
  <si>
    <t>Cep 1722</t>
  </si>
  <si>
    <t>Cep 1726</t>
  </si>
  <si>
    <t>Cep 1727</t>
  </si>
  <si>
    <t>Cep 1728</t>
  </si>
  <si>
    <t>Cep 1729</t>
  </si>
  <si>
    <t>Cep 1730</t>
  </si>
  <si>
    <t>Cep 1731</t>
  </si>
  <si>
    <t>Cep 1732</t>
  </si>
  <si>
    <t>Cep 1733</t>
  </si>
  <si>
    <t>Cep 1734</t>
  </si>
  <si>
    <t>Cep 1735</t>
  </si>
  <si>
    <t>Cep 1736</t>
  </si>
  <si>
    <t>Cep 1737</t>
  </si>
  <si>
    <t>Cep 1738</t>
  </si>
  <si>
    <t>Cep 1739</t>
  </si>
  <si>
    <t>Cep 1740</t>
  </si>
  <si>
    <t>Cep 1741</t>
  </si>
  <si>
    <t>Cep 1742</t>
  </si>
  <si>
    <t>Cep 1743</t>
  </si>
  <si>
    <t>Cep 1744</t>
  </si>
  <si>
    <t>Cep 1745</t>
  </si>
  <si>
    <t>Cep 1746</t>
  </si>
  <si>
    <t>Cep 1747</t>
  </si>
  <si>
    <t>Cep 1748</t>
  </si>
  <si>
    <t>Cep 1749</t>
  </si>
  <si>
    <t>Cep 1750</t>
  </si>
  <si>
    <t>Cep 1751</t>
  </si>
  <si>
    <t>Cep 1752</t>
  </si>
  <si>
    <t>Cep 1753</t>
  </si>
  <si>
    <t>Cep 1754</t>
  </si>
  <si>
    <t>Cep 1755</t>
  </si>
  <si>
    <t>Cep 1756</t>
  </si>
  <si>
    <t>Cep 1757</t>
  </si>
  <si>
    <t>Cep 1758</t>
  </si>
  <si>
    <t>Cep 1759</t>
  </si>
  <si>
    <t>Cep 1760</t>
  </si>
  <si>
    <t>Cep 1761</t>
  </si>
  <si>
    <t>Cep 1762</t>
  </si>
  <si>
    <t>Cep 1763</t>
  </si>
  <si>
    <t>Cep 1764</t>
  </si>
  <si>
    <t>Cep 1765</t>
  </si>
  <si>
    <t>Cep 1766</t>
  </si>
  <si>
    <t>Cep 1767</t>
  </si>
  <si>
    <t>Cep 1768</t>
  </si>
  <si>
    <t>Cep 1769</t>
  </si>
  <si>
    <t>Cep 1770</t>
  </si>
  <si>
    <t>Cep 1771</t>
  </si>
  <si>
    <t>Cep 1772</t>
  </si>
  <si>
    <t>Cep 1773</t>
  </si>
  <si>
    <t>Cep 1774</t>
  </si>
  <si>
    <t>Cep 1775</t>
  </si>
  <si>
    <t>Cep 1776</t>
  </si>
  <si>
    <t>Cep 1777</t>
  </si>
  <si>
    <t>Cep 1778</t>
  </si>
  <si>
    <t>Cep 1779</t>
  </si>
  <si>
    <t>Cep 1780</t>
  </si>
  <si>
    <t>Cep 1781</t>
  </si>
  <si>
    <t>Cep 1782</t>
  </si>
  <si>
    <t>Cep 1783</t>
  </si>
  <si>
    <t>Cep 1784</t>
  </si>
  <si>
    <t>Cep 1785</t>
  </si>
  <si>
    <t>Cep 1786</t>
  </si>
  <si>
    <t>Cep 1787</t>
  </si>
  <si>
    <t>Cep 1788</t>
  </si>
  <si>
    <t>Cep 1789</t>
  </si>
  <si>
    <t>Cep 1790</t>
  </si>
  <si>
    <t>Cep 1791</t>
  </si>
  <si>
    <t>Cep 1792</t>
  </si>
  <si>
    <t>Cep 1793</t>
  </si>
  <si>
    <t>Cep 1794</t>
  </si>
  <si>
    <t>Cep 1795</t>
  </si>
  <si>
    <t>Cep 1796</t>
  </si>
  <si>
    <t>Cep 1797</t>
  </si>
  <si>
    <t>Cep 1798</t>
  </si>
  <si>
    <t>Cep 1799</t>
  </si>
  <si>
    <t>Cep 1800</t>
  </si>
  <si>
    <t>Cep 1801</t>
  </si>
  <si>
    <t>Cep 1802</t>
  </si>
  <si>
    <t>Cep 1803</t>
  </si>
  <si>
    <t>Cep 1804</t>
  </si>
  <si>
    <t>Cep 1805</t>
  </si>
  <si>
    <t>Cep 1806</t>
  </si>
  <si>
    <t>Cep 1807</t>
  </si>
  <si>
    <t>Cep 1808</t>
  </si>
  <si>
    <t>Cep 1809</t>
  </si>
  <si>
    <t>Cep 1810</t>
  </si>
  <si>
    <t>Cep 1811</t>
  </si>
  <si>
    <t>Cep 1812</t>
  </si>
  <si>
    <t>Cep 1813</t>
  </si>
  <si>
    <t>Cep 1814</t>
  </si>
  <si>
    <t>Cep 1815</t>
  </si>
  <si>
    <t>Cep 1816</t>
  </si>
  <si>
    <t>Cep 1817</t>
  </si>
  <si>
    <t>Cep 1818</t>
  </si>
  <si>
    <t>Cep 1819</t>
  </si>
  <si>
    <t>Cep 1820</t>
  </si>
  <si>
    <t>Cep 1821</t>
  </si>
  <si>
    <t>Cep 1822</t>
  </si>
  <si>
    <t>Cep 1823</t>
  </si>
  <si>
    <t>Cep 1824</t>
  </si>
  <si>
    <t>Cep 1825</t>
  </si>
  <si>
    <t>Cep 1826</t>
  </si>
  <si>
    <t>Cep 1827</t>
  </si>
  <si>
    <t>Cep 1828</t>
  </si>
  <si>
    <t>Cep 1829</t>
  </si>
  <si>
    <t>Cep 1830</t>
  </si>
  <si>
    <t>Cep 1831</t>
  </si>
  <si>
    <t>Cep 1832</t>
  </si>
  <si>
    <t>Cep 1833</t>
  </si>
  <si>
    <t>Cep 1834</t>
  </si>
  <si>
    <t>Cep 1835</t>
  </si>
  <si>
    <t>Cep 1836</t>
  </si>
  <si>
    <t>Cep 1837</t>
  </si>
  <si>
    <t>Cep 1838</t>
  </si>
  <si>
    <t>Cep 1839</t>
  </si>
  <si>
    <t>Cep 1840</t>
  </si>
  <si>
    <t>Cep 1841</t>
  </si>
  <si>
    <t>Cep 1842</t>
  </si>
  <si>
    <t>Cep 1843</t>
  </si>
  <si>
    <t>Cep 1844</t>
  </si>
  <si>
    <t>Cep 1845</t>
  </si>
  <si>
    <t>Cep 1846</t>
  </si>
  <si>
    <t>Cep 1847</t>
  </si>
  <si>
    <t>Cep 1848</t>
  </si>
  <si>
    <t>Cep 1849</t>
  </si>
  <si>
    <t>Cep 1850</t>
  </si>
  <si>
    <t>Cep 1851</t>
  </si>
  <si>
    <t>Cep 1852</t>
  </si>
  <si>
    <t>Cep 1853</t>
  </si>
  <si>
    <t>Cep 1854</t>
  </si>
  <si>
    <t>Cep 1855</t>
  </si>
  <si>
    <t>Cep 1856</t>
  </si>
  <si>
    <t>Cep 1857</t>
  </si>
  <si>
    <t>Cep 1858</t>
  </si>
  <si>
    <t>Cep 1859</t>
  </si>
  <si>
    <t>Cep 1860</t>
  </si>
  <si>
    <t>Cep 1861</t>
  </si>
  <si>
    <t>Cep 1862</t>
  </si>
  <si>
    <t>Cep 1863</t>
  </si>
  <si>
    <t>Cep 1864</t>
  </si>
  <si>
    <t>Cep 1865</t>
  </si>
  <si>
    <t>Cep 1866</t>
  </si>
  <si>
    <t>Cep 1867</t>
  </si>
  <si>
    <t>Cep 1868</t>
  </si>
  <si>
    <t>Cep 1869</t>
  </si>
  <si>
    <t>Cep 1870</t>
  </si>
  <si>
    <t>Cep 1871</t>
  </si>
  <si>
    <t>Cep 1872</t>
  </si>
  <si>
    <t>Cep 1873</t>
  </si>
  <si>
    <t>Cep 1874</t>
  </si>
  <si>
    <t>Cep 1875</t>
  </si>
  <si>
    <t>Cep 1876</t>
  </si>
  <si>
    <t>Cep 1877</t>
  </si>
  <si>
    <t>Cep 1878</t>
  </si>
  <si>
    <t>Cep 1879</t>
  </si>
  <si>
    <t>Cep 1880</t>
  </si>
  <si>
    <t>Cep 1881</t>
  </si>
  <si>
    <t>Cep 1882</t>
  </si>
  <si>
    <t>Cep 1883</t>
  </si>
  <si>
    <t>Cep 1884</t>
  </si>
  <si>
    <t>Cep 1885</t>
  </si>
  <si>
    <t>Cep 1886</t>
  </si>
  <si>
    <t>Cep 1887</t>
  </si>
  <si>
    <t>Cep 1888</t>
  </si>
  <si>
    <t>Cep 1889</t>
  </si>
  <si>
    <t>Cep 1890</t>
  </si>
  <si>
    <t>Cep 1891</t>
  </si>
  <si>
    <t>Cep 1892</t>
  </si>
  <si>
    <t>Cep 1893</t>
  </si>
  <si>
    <t>Cep 1894</t>
  </si>
  <si>
    <t>Cep 1895</t>
  </si>
  <si>
    <t>Cep 1896</t>
  </si>
  <si>
    <t>Cep 1897</t>
  </si>
  <si>
    <t>Cep 1898</t>
  </si>
  <si>
    <t>Cep 1899</t>
  </si>
  <si>
    <t>Cep 1900</t>
  </si>
  <si>
    <t>Cep 1901</t>
  </si>
  <si>
    <t>Cep 1902</t>
  </si>
  <si>
    <t>Cep 1903</t>
  </si>
  <si>
    <t>Cep 1904</t>
  </si>
  <si>
    <t>Cep 1905</t>
  </si>
  <si>
    <t>Cep 1906</t>
  </si>
  <si>
    <t>Cep 1907</t>
  </si>
  <si>
    <t>Cep 1908</t>
  </si>
  <si>
    <t>Cep 1909</t>
  </si>
  <si>
    <t>Cep 1910</t>
  </si>
  <si>
    <t>Cep 1911</t>
  </si>
  <si>
    <t>Cep 1912</t>
  </si>
  <si>
    <t>Cep 1913</t>
  </si>
  <si>
    <t>Cep 1914</t>
  </si>
  <si>
    <t>Cep 1915</t>
  </si>
  <si>
    <t>Cep 1916</t>
  </si>
  <si>
    <t>Cep 1917</t>
  </si>
  <si>
    <t>Cep 1918</t>
  </si>
  <si>
    <t>Cep 1919</t>
  </si>
  <si>
    <t>Cep 1920</t>
  </si>
  <si>
    <t>Cep 1921</t>
  </si>
  <si>
    <t>Cep 1922</t>
  </si>
  <si>
    <t>Cep 1923</t>
  </si>
  <si>
    <t>Cep 1924</t>
  </si>
  <si>
    <t>Cep 1925</t>
  </si>
  <si>
    <t>Cep 1926</t>
  </si>
  <si>
    <t>Cep 1927</t>
  </si>
  <si>
    <t>Cep 1928</t>
  </si>
  <si>
    <t>Cep 1929</t>
  </si>
  <si>
    <t>Cep 1930</t>
  </si>
  <si>
    <t>Cep 1931</t>
  </si>
  <si>
    <t>Cep 1932</t>
  </si>
  <si>
    <t>Cep 1933</t>
  </si>
  <si>
    <t>Cep 1934</t>
  </si>
  <si>
    <t>Cep 1935</t>
  </si>
  <si>
    <t>Cep 1936</t>
  </si>
  <si>
    <t>Cep 1937</t>
  </si>
  <si>
    <t>Cep 1938</t>
  </si>
  <si>
    <t>Cep 1939</t>
  </si>
  <si>
    <t>Cep 1940</t>
  </si>
  <si>
    <t>Cep 1941</t>
  </si>
  <si>
    <t>Cep 1942</t>
  </si>
  <si>
    <t>Cep 1943</t>
  </si>
  <si>
    <t>Cep 1944</t>
  </si>
  <si>
    <t>Cep 1945</t>
  </si>
  <si>
    <t>Cep 1946</t>
  </si>
  <si>
    <t>Cep 1947</t>
  </si>
  <si>
    <t>Cep 1948</t>
  </si>
  <si>
    <t>Cep 1949</t>
  </si>
  <si>
    <t>Cep 1950</t>
  </si>
  <si>
    <t>Cep 1951</t>
  </si>
  <si>
    <t>Cep 1952</t>
  </si>
  <si>
    <t>Cep 1953</t>
  </si>
  <si>
    <t>Cep 1954</t>
  </si>
  <si>
    <t>Cep 1955</t>
  </si>
  <si>
    <t>Cep 1956</t>
  </si>
  <si>
    <t>Cep 1957</t>
  </si>
  <si>
    <t>Cep 1958</t>
  </si>
  <si>
    <t>Cep 1959</t>
  </si>
  <si>
    <t>Cep 1960</t>
  </si>
  <si>
    <t>Cep 1961</t>
  </si>
  <si>
    <t>Cep 1962</t>
  </si>
  <si>
    <t>Cep 1963</t>
  </si>
  <si>
    <t>Cep 1964</t>
  </si>
  <si>
    <t>Cep 1965</t>
  </si>
  <si>
    <t>Cep 1966</t>
  </si>
  <si>
    <t>Cep 1967</t>
  </si>
  <si>
    <t>Cep 1968</t>
  </si>
  <si>
    <t>Cep 1969</t>
  </si>
  <si>
    <t>Cep 1970</t>
  </si>
  <si>
    <t>Cep 1971</t>
  </si>
  <si>
    <t>Cep 1972</t>
  </si>
  <si>
    <t>Cep 1973</t>
  </si>
  <si>
    <t>Cep 1974</t>
  </si>
  <si>
    <t>Cep 1975</t>
  </si>
  <si>
    <t>Cep 1976</t>
  </si>
  <si>
    <t>Cep 1977</t>
  </si>
  <si>
    <t>Cep 1978</t>
  </si>
  <si>
    <t>Cep 1979</t>
  </si>
  <si>
    <t>Cep 1980</t>
  </si>
  <si>
    <t>Cep 1981</t>
  </si>
  <si>
    <t>Cep 1982</t>
  </si>
  <si>
    <t>Cep 1983</t>
  </si>
  <si>
    <t>Cep 1984</t>
  </si>
  <si>
    <t>Cep 1985</t>
  </si>
  <si>
    <t>Cep 1986</t>
  </si>
  <si>
    <t>Cep 1987</t>
  </si>
  <si>
    <t>Cep 1988</t>
  </si>
  <si>
    <t>Cep 1989</t>
  </si>
  <si>
    <t>Cep 1990</t>
  </si>
  <si>
    <t>Cep 1991</t>
  </si>
  <si>
    <t>Cep 1992</t>
  </si>
  <si>
    <t>Cep 1993</t>
  </si>
  <si>
    <t>Cep 1994</t>
  </si>
  <si>
    <t>Cep 1995</t>
  </si>
  <si>
    <t>Cep 1996</t>
  </si>
  <si>
    <t>Cep 1997</t>
  </si>
  <si>
    <t>Cep 1998</t>
  </si>
  <si>
    <t>Cep 1999</t>
  </si>
  <si>
    <t>Cep 2000</t>
  </si>
  <si>
    <t>Cep 2001</t>
  </si>
  <si>
    <t>Cep 2002</t>
  </si>
  <si>
    <t>Cep 2003</t>
  </si>
  <si>
    <t>Cep 2004</t>
  </si>
  <si>
    <t>Cep 2005</t>
  </si>
  <si>
    <t>Cep 2006</t>
  </si>
  <si>
    <t>Cep 2007</t>
  </si>
  <si>
    <t>Cep 2008</t>
  </si>
  <si>
    <t>Cep 2009</t>
  </si>
  <si>
    <t>Cep 2010</t>
  </si>
  <si>
    <t>Cep 2011</t>
  </si>
  <si>
    <t>Cep 2012</t>
  </si>
  <si>
    <t>Cep 2013</t>
  </si>
  <si>
    <t>Cep 2014</t>
  </si>
  <si>
    <t>Cep 2015</t>
  </si>
  <si>
    <t>Cep 2016</t>
  </si>
  <si>
    <t>Cep 2017</t>
  </si>
  <si>
    <t>Cep 2018</t>
  </si>
  <si>
    <t>Cep 2019</t>
  </si>
  <si>
    <t>Cep 2021</t>
  </si>
  <si>
    <t>Cep 2022</t>
  </si>
  <si>
    <t>Cep 2023</t>
  </si>
  <si>
    <t>Cep 2024</t>
  </si>
  <si>
    <t>Cep 2025</t>
  </si>
  <si>
    <t>Cep 2026</t>
  </si>
  <si>
    <t>Cep 2027</t>
  </si>
  <si>
    <t>Cep 2028</t>
  </si>
  <si>
    <t>Cep 2029</t>
  </si>
  <si>
    <t>Cep 2030</t>
  </si>
  <si>
    <t>Cep 2031</t>
  </si>
  <si>
    <t>Cep 2032</t>
  </si>
  <si>
    <t>Cep 2033</t>
  </si>
  <si>
    <t>Cep 2034</t>
  </si>
  <si>
    <t>Cep 2035</t>
  </si>
  <si>
    <t>Cep 2036</t>
  </si>
  <si>
    <t>Cep 2037</t>
  </si>
  <si>
    <t>Cep 2038</t>
  </si>
  <si>
    <t>Cep 2039</t>
  </si>
  <si>
    <t>Cep 2040</t>
  </si>
  <si>
    <t>Cep 2041</t>
  </si>
  <si>
    <t>Cep 2042</t>
  </si>
  <si>
    <t>Cep 2043</t>
  </si>
  <si>
    <t>Cep 2044</t>
  </si>
  <si>
    <t>Cep 2045</t>
  </si>
  <si>
    <t>Cep 2046</t>
  </si>
  <si>
    <t>Cep 2047</t>
  </si>
  <si>
    <t>Cep 2048</t>
  </si>
  <si>
    <t>Cep 2049</t>
  </si>
  <si>
    <t>Cep 2050</t>
  </si>
  <si>
    <t>Cep 2051</t>
  </si>
  <si>
    <t>Cep 2052</t>
  </si>
  <si>
    <t>Cep 2053</t>
  </si>
  <si>
    <t>Cep 2054</t>
  </si>
  <si>
    <t>Cep 2055</t>
  </si>
  <si>
    <t>Cep 2056</t>
  </si>
  <si>
    <t>Cep 2057</t>
  </si>
  <si>
    <t>Cep 2058</t>
  </si>
  <si>
    <t>Cep 2059</t>
  </si>
  <si>
    <t>Cep 2060</t>
  </si>
  <si>
    <t>Cep 2061</t>
  </si>
  <si>
    <t>Cep 2062</t>
  </si>
  <si>
    <t>Pedido 1</t>
  </si>
  <si>
    <t>Pedido 2</t>
  </si>
  <si>
    <t>Pedido 3</t>
  </si>
  <si>
    <t>Pedido 4</t>
  </si>
  <si>
    <t>Pedido 5</t>
  </si>
  <si>
    <t>Pedido 6</t>
  </si>
  <si>
    <t>Pedido 7</t>
  </si>
  <si>
    <t>Pedido 8</t>
  </si>
  <si>
    <t>Pedido 9</t>
  </si>
  <si>
    <t>Pedido 10</t>
  </si>
  <si>
    <t>Pedido 11</t>
  </si>
  <si>
    <t>Pedido 12</t>
  </si>
  <si>
    <t>Pedido 13</t>
  </si>
  <si>
    <t>Pedido 14</t>
  </si>
  <si>
    <t>Pedido 15</t>
  </si>
  <si>
    <t>Pedido 16</t>
  </si>
  <si>
    <t>Pedido 17</t>
  </si>
  <si>
    <t>Pedido 18</t>
  </si>
  <si>
    <t>Pedido 19</t>
  </si>
  <si>
    <t>Pedido 20</t>
  </si>
  <si>
    <t>Pedido 21</t>
  </si>
  <si>
    <t>Pedido 22</t>
  </si>
  <si>
    <t>Pedido 23</t>
  </si>
  <si>
    <t>Pedido 24</t>
  </si>
  <si>
    <t>Pedido 25</t>
  </si>
  <si>
    <t>Pedido 26</t>
  </si>
  <si>
    <t>Pedido 27</t>
  </si>
  <si>
    <t>Pedido 28</t>
  </si>
  <si>
    <t>Pedido 29</t>
  </si>
  <si>
    <t>Pedido 30</t>
  </si>
  <si>
    <t>Pedido 31</t>
  </si>
  <si>
    <t>Pedido 32</t>
  </si>
  <si>
    <t>Pedido 33</t>
  </si>
  <si>
    <t>Pedido 34</t>
  </si>
  <si>
    <t>Pedido 35</t>
  </si>
  <si>
    <t>Pedido 36</t>
  </si>
  <si>
    <t>Pedido 37</t>
  </si>
  <si>
    <t>Pedido 38</t>
  </si>
  <si>
    <t>Pedido 39</t>
  </si>
  <si>
    <t>Pedido 40</t>
  </si>
  <si>
    <t>Pedido 41</t>
  </si>
  <si>
    <t>Pedido 42</t>
  </si>
  <si>
    <t>Pedido 43</t>
  </si>
  <si>
    <t>Pedido 44</t>
  </si>
  <si>
    <t>Pedido 45</t>
  </si>
  <si>
    <t>Pedido 46</t>
  </si>
  <si>
    <t>Pedido 47</t>
  </si>
  <si>
    <t>Pedido 48</t>
  </si>
  <si>
    <t>Pedido 49</t>
  </si>
  <si>
    <t>Pedido 50</t>
  </si>
  <si>
    <t>Pedido 51</t>
  </si>
  <si>
    <t>Pedido 52</t>
  </si>
  <si>
    <t>Pedido 53</t>
  </si>
  <si>
    <t>Pedido 54</t>
  </si>
  <si>
    <t>Pedido 55</t>
  </si>
  <si>
    <t>Pedido 56</t>
  </si>
  <si>
    <t>Pedido 57</t>
  </si>
  <si>
    <t>Pedido 58</t>
  </si>
  <si>
    <t>Pedido 59</t>
  </si>
  <si>
    <t>Pedido 60</t>
  </si>
  <si>
    <t>Pedido 61</t>
  </si>
  <si>
    <t>Pedido 62</t>
  </si>
  <si>
    <t>Pedido 63</t>
  </si>
  <si>
    <t>Pedido 64</t>
  </si>
  <si>
    <t>Pedido 65</t>
  </si>
  <si>
    <t>Pedido 66</t>
  </si>
  <si>
    <t>Pedido 67</t>
  </si>
  <si>
    <t>Pedido 68</t>
  </si>
  <si>
    <t>Pedido 69</t>
  </si>
  <si>
    <t>Pedido 70</t>
  </si>
  <si>
    <t>Pedido 71</t>
  </si>
  <si>
    <t>Pedido 72</t>
  </si>
  <si>
    <t>Pedido 73</t>
  </si>
  <si>
    <t>Pedido 74</t>
  </si>
  <si>
    <t>Pedido 75</t>
  </si>
  <si>
    <t>Pedido 76</t>
  </si>
  <si>
    <t>Pedido 77</t>
  </si>
  <si>
    <t>Pedido 78</t>
  </si>
  <si>
    <t>Pedido 79</t>
  </si>
  <si>
    <t>Pedido 80</t>
  </si>
  <si>
    <t>Pedido 81</t>
  </si>
  <si>
    <t>Pedido 82</t>
  </si>
  <si>
    <t>Pedido 83</t>
  </si>
  <si>
    <t>Pedido 84</t>
  </si>
  <si>
    <t>Pedido 85</t>
  </si>
  <si>
    <t>Pedido 86</t>
  </si>
  <si>
    <t>Pedido 87</t>
  </si>
  <si>
    <t>Pedido 88</t>
  </si>
  <si>
    <t>Pedido 89</t>
  </si>
  <si>
    <t>Pedido 90</t>
  </si>
  <si>
    <t>Pedido 91</t>
  </si>
  <si>
    <t>Pedido 92</t>
  </si>
  <si>
    <t>Pedido 93</t>
  </si>
  <si>
    <t>Pedido 94</t>
  </si>
  <si>
    <t>Pedido 95</t>
  </si>
  <si>
    <t>Pedido 96</t>
  </si>
  <si>
    <t>Pedido 97</t>
  </si>
  <si>
    <t>Pedido 98</t>
  </si>
  <si>
    <t>Pedido 99</t>
  </si>
  <si>
    <t>Pedido 100</t>
  </si>
  <si>
    <t>Pedido 101</t>
  </si>
  <si>
    <t>Pedido 102</t>
  </si>
  <si>
    <t>Pedido 103</t>
  </si>
  <si>
    <t>Pedido 104</t>
  </si>
  <si>
    <t>Pedido 105</t>
  </si>
  <si>
    <t>Pedido 106</t>
  </si>
  <si>
    <t>Pedido 107</t>
  </si>
  <si>
    <t>Pedido 108</t>
  </si>
  <si>
    <t>Pedido 109</t>
  </si>
  <si>
    <t>Pedido 110</t>
  </si>
  <si>
    <t>Pedido 111</t>
  </si>
  <si>
    <t>Pedido 112</t>
  </si>
  <si>
    <t>Pedido 113</t>
  </si>
  <si>
    <t>Pedido 114</t>
  </si>
  <si>
    <t>Pedido 115</t>
  </si>
  <si>
    <t>Pedido 116</t>
  </si>
  <si>
    <t>Pedido 117</t>
  </si>
  <si>
    <t>Pedido 118</t>
  </si>
  <si>
    <t>Pedido 119</t>
  </si>
  <si>
    <t>Pedido 120</t>
  </si>
  <si>
    <t>Pedido 121</t>
  </si>
  <si>
    <t>Pedido 122</t>
  </si>
  <si>
    <t>Pedido 123</t>
  </si>
  <si>
    <t>Pedido 124</t>
  </si>
  <si>
    <t>Pedido 125</t>
  </si>
  <si>
    <t>Pedido 126</t>
  </si>
  <si>
    <t>Pedido 127</t>
  </si>
  <si>
    <t>Pedido 128</t>
  </si>
  <si>
    <t>Pedido 129</t>
  </si>
  <si>
    <t>Pedido 130</t>
  </si>
  <si>
    <t>Pedido 131</t>
  </si>
  <si>
    <t>Pedido 132</t>
  </si>
  <si>
    <t>Pedido 133</t>
  </si>
  <si>
    <t>Pedido 134</t>
  </si>
  <si>
    <t>Pedido 135</t>
  </si>
  <si>
    <t>Pedido 136</t>
  </si>
  <si>
    <t>Pedido 137</t>
  </si>
  <si>
    <t>Pedido 138</t>
  </si>
  <si>
    <t>Pedido 139</t>
  </si>
  <si>
    <t>Pedido 140</t>
  </si>
  <si>
    <t>Pedido 141</t>
  </si>
  <si>
    <t>Pedido 142</t>
  </si>
  <si>
    <t>Pedido 143</t>
  </si>
  <si>
    <t>Pedido 144</t>
  </si>
  <si>
    <t>Pedido 145</t>
  </si>
  <si>
    <t>Pedido 146</t>
  </si>
  <si>
    <t>Pedido 147</t>
  </si>
  <si>
    <t>Pedido 148</t>
  </si>
  <si>
    <t>Pedido 149</t>
  </si>
  <si>
    <t>Pedido 150</t>
  </si>
  <si>
    <t>Pedido 151</t>
  </si>
  <si>
    <t>Pedido 152</t>
  </si>
  <si>
    <t>Pedido 153</t>
  </si>
  <si>
    <t>Pedido 154</t>
  </si>
  <si>
    <t>Pedido 155</t>
  </si>
  <si>
    <t>Pedido 156</t>
  </si>
  <si>
    <t>Pedido 157</t>
  </si>
  <si>
    <t>Pedido 158</t>
  </si>
  <si>
    <t>Pedido 159</t>
  </si>
  <si>
    <t>Pedido 160</t>
  </si>
  <si>
    <t>Pedido 161</t>
  </si>
  <si>
    <t>Pedido 162</t>
  </si>
  <si>
    <t>Pedido 163</t>
  </si>
  <si>
    <t>Pedido 164</t>
  </si>
  <si>
    <t>Pedido 165</t>
  </si>
  <si>
    <t>Pedido 166</t>
  </si>
  <si>
    <t>Pedido 167</t>
  </si>
  <si>
    <t>Pedido 168</t>
  </si>
  <si>
    <t>Pedido 169</t>
  </si>
  <si>
    <t>Pedido 170</t>
  </si>
  <si>
    <t>Pedido 171</t>
  </si>
  <si>
    <t>Pedido 172</t>
  </si>
  <si>
    <t>Pedido 173</t>
  </si>
  <si>
    <t>Pedido 174</t>
  </si>
  <si>
    <t>Pedido 175</t>
  </si>
  <si>
    <t>Pedido 176</t>
  </si>
  <si>
    <t>Pedido 177</t>
  </si>
  <si>
    <t>Pedido 178</t>
  </si>
  <si>
    <t>Pedido 179</t>
  </si>
  <si>
    <t>Pedido 180</t>
  </si>
  <si>
    <t>Pedido 181</t>
  </si>
  <si>
    <t>Pedido 182</t>
  </si>
  <si>
    <t>Pedido 183</t>
  </si>
  <si>
    <t>Pedido 184</t>
  </si>
  <si>
    <t>Pedido 185</t>
  </si>
  <si>
    <t>Pedido 186</t>
  </si>
  <si>
    <t>Pedido 187</t>
  </si>
  <si>
    <t>Pedido 188</t>
  </si>
  <si>
    <t>Pedido 189</t>
  </si>
  <si>
    <t>Pedido 190</t>
  </si>
  <si>
    <t>Pedido 191</t>
  </si>
  <si>
    <t>Pedido 192</t>
  </si>
  <si>
    <t>Pedido 193</t>
  </si>
  <si>
    <t>Pedido 194</t>
  </si>
  <si>
    <t>Pedido 195</t>
  </si>
  <si>
    <t>Pedido 196</t>
  </si>
  <si>
    <t>Pedido 197</t>
  </si>
  <si>
    <t>Pedido 198</t>
  </si>
  <si>
    <t>Pedido 199</t>
  </si>
  <si>
    <t>Pedido 200</t>
  </si>
  <si>
    <t>Pedido 201</t>
  </si>
  <si>
    <t>Pedido 202</t>
  </si>
  <si>
    <t>Pedido 203</t>
  </si>
  <si>
    <t>Pedido 204</t>
  </si>
  <si>
    <t>Pedido 205</t>
  </si>
  <si>
    <t>Pedido 206</t>
  </si>
  <si>
    <t>Pedido 207</t>
  </si>
  <si>
    <t>Pedido 208</t>
  </si>
  <si>
    <t>Pedido 209</t>
  </si>
  <si>
    <t>Pedido 210</t>
  </si>
  <si>
    <t>Pedido 211</t>
  </si>
  <si>
    <t>Pedido 212</t>
  </si>
  <si>
    <t>Pedido 213</t>
  </si>
  <si>
    <t>Pedido 214</t>
  </si>
  <si>
    <t>Pedido 215</t>
  </si>
  <si>
    <t>Pedido 216</t>
  </si>
  <si>
    <t>Pedido 217</t>
  </si>
  <si>
    <t>Pedido 218</t>
  </si>
  <si>
    <t>Pedido 219</t>
  </si>
  <si>
    <t>Pedido 220</t>
  </si>
  <si>
    <t>Pedido 221</t>
  </si>
  <si>
    <t>Pedido 222</t>
  </si>
  <si>
    <t>Pedido 223</t>
  </si>
  <si>
    <t>Pedido 224</t>
  </si>
  <si>
    <t>Pedido 225</t>
  </si>
  <si>
    <t>Pedido 226</t>
  </si>
  <si>
    <t>Pedido 227</t>
  </si>
  <si>
    <t>Pedido 228</t>
  </si>
  <si>
    <t>Pedido 229</t>
  </si>
  <si>
    <t>Pedido 230</t>
  </si>
  <si>
    <t>Pedido 231</t>
  </si>
  <si>
    <t>Pedido 232</t>
  </si>
  <si>
    <t>Pedido 233</t>
  </si>
  <si>
    <t>Pedido 234</t>
  </si>
  <si>
    <t>Pedido 235</t>
  </si>
  <si>
    <t>Pedido 236</t>
  </si>
  <si>
    <t>Pedido 237</t>
  </si>
  <si>
    <t>Pedido 238</t>
  </si>
  <si>
    <t>Pedido 239</t>
  </si>
  <si>
    <t>Pedido 240</t>
  </si>
  <si>
    <t>Pedido 241</t>
  </si>
  <si>
    <t>Pedido 242</t>
  </si>
  <si>
    <t>Pedido 243</t>
  </si>
  <si>
    <t>Pedido 244</t>
  </si>
  <si>
    <t>Pedido 245</t>
  </si>
  <si>
    <t>Pedido 246</t>
  </si>
  <si>
    <t>Pedido 247</t>
  </si>
  <si>
    <t>Pedido 248</t>
  </si>
  <si>
    <t>Pedido 249</t>
  </si>
  <si>
    <t>Pedido 250</t>
  </si>
  <si>
    <t>Pedido 251</t>
  </si>
  <si>
    <t>Pedido 252</t>
  </si>
  <si>
    <t>Pedido 253</t>
  </si>
  <si>
    <t>Pedido 254</t>
  </si>
  <si>
    <t>Pedido 255</t>
  </si>
  <si>
    <t>Pedido 256</t>
  </si>
  <si>
    <t>Pedido 257</t>
  </si>
  <si>
    <t>Pedido 258</t>
  </si>
  <si>
    <t>Pedido 259</t>
  </si>
  <si>
    <t>Pedido 260</t>
  </si>
  <si>
    <t>Pedido 261</t>
  </si>
  <si>
    <t>Pedido 262</t>
  </si>
  <si>
    <t>Pedido 263</t>
  </si>
  <si>
    <t>Pedido 264</t>
  </si>
  <si>
    <t>Pedido 265</t>
  </si>
  <si>
    <t>Pedido 266</t>
  </si>
  <si>
    <t>Pedido 267</t>
  </si>
  <si>
    <t>Pedido 268</t>
  </si>
  <si>
    <t>Pedido 269</t>
  </si>
  <si>
    <t>Pedido 270</t>
  </si>
  <si>
    <t>Pedido 271</t>
  </si>
  <si>
    <t>Pedido 272</t>
  </si>
  <si>
    <t>Pedido 273</t>
  </si>
  <si>
    <t>Pedido 274</t>
  </si>
  <si>
    <t>Pedido 275</t>
  </si>
  <si>
    <t>Pedido 276</t>
  </si>
  <si>
    <t>Pedido 277</t>
  </si>
  <si>
    <t>Pedido 278</t>
  </si>
  <si>
    <t>Pedido 279</t>
  </si>
  <si>
    <t>Pedido 280</t>
  </si>
  <si>
    <t>Pedido 281</t>
  </si>
  <si>
    <t>Pedido 282</t>
  </si>
  <si>
    <t>Pedido 283</t>
  </si>
  <si>
    <t>Pedido 284</t>
  </si>
  <si>
    <t>Pedido 285</t>
  </si>
  <si>
    <t>Pedido 286</t>
  </si>
  <si>
    <t>Pedido 287</t>
  </si>
  <si>
    <t>Pedido 288</t>
  </si>
  <si>
    <t>Pedido 289</t>
  </si>
  <si>
    <t>Pedido 290</t>
  </si>
  <si>
    <t>Pedido 291</t>
  </si>
  <si>
    <t>Pedido 292</t>
  </si>
  <si>
    <t>Pedido 293</t>
  </si>
  <si>
    <t>Pedido 294</t>
  </si>
  <si>
    <t>Pedido 295</t>
  </si>
  <si>
    <t>Pedido 296</t>
  </si>
  <si>
    <t>Pedido 297</t>
  </si>
  <si>
    <t>Pedido 298</t>
  </si>
  <si>
    <t>Pedido 299</t>
  </si>
  <si>
    <t>Pedido 300</t>
  </si>
  <si>
    <t>Pedido 301</t>
  </si>
  <si>
    <t>Pedido 302</t>
  </si>
  <si>
    <t>Pedido 303</t>
  </si>
  <si>
    <t>Pedido 304</t>
  </si>
  <si>
    <t>Pedido 305</t>
  </si>
  <si>
    <t>Pedido 306</t>
  </si>
  <si>
    <t>Pedido 307</t>
  </si>
  <si>
    <t>Pedido 308</t>
  </si>
  <si>
    <t>Pedido 309</t>
  </si>
  <si>
    <t>Pedido 310</t>
  </si>
  <si>
    <t>Pedido 311</t>
  </si>
  <si>
    <t>Pedido 312</t>
  </si>
  <si>
    <t>Pedido 313</t>
  </si>
  <si>
    <t>Pedido 314</t>
  </si>
  <si>
    <t>Pedido 315</t>
  </si>
  <si>
    <t>Pedido 316</t>
  </si>
  <si>
    <t>Pedido 317</t>
  </si>
  <si>
    <t>Pedido 318</t>
  </si>
  <si>
    <t>Pedido 319</t>
  </si>
  <si>
    <t>Pedido 320</t>
  </si>
  <si>
    <t>Pedido 321</t>
  </si>
  <si>
    <t>Pedido 322</t>
  </si>
  <si>
    <t>Pedido 323</t>
  </si>
  <si>
    <t>Pedido 324</t>
  </si>
  <si>
    <t>Pedido 325</t>
  </si>
  <si>
    <t>Pedido 326</t>
  </si>
  <si>
    <t>Pedido 327</t>
  </si>
  <si>
    <t>Pedido 328</t>
  </si>
  <si>
    <t>Pedido 329</t>
  </si>
  <si>
    <t>Pedido 330</t>
  </si>
  <si>
    <t>Pedido 331</t>
  </si>
  <si>
    <t>Pedido 332</t>
  </si>
  <si>
    <t>Pedido 333</t>
  </si>
  <si>
    <t>Pedido 334</t>
  </si>
  <si>
    <t>Pedido 335</t>
  </si>
  <si>
    <t>Pedido 336</t>
  </si>
  <si>
    <t>Pedido 337</t>
  </si>
  <si>
    <t>Pedido 338</t>
  </si>
  <si>
    <t>Pedido 339</t>
  </si>
  <si>
    <t>Pedido 340</t>
  </si>
  <si>
    <t>Pedido 341</t>
  </si>
  <si>
    <t>Pedido 342</t>
  </si>
  <si>
    <t>Pedido 343</t>
  </si>
  <si>
    <t>Pedido 344</t>
  </si>
  <si>
    <t>Pedido 345</t>
  </si>
  <si>
    <t>Pedido 346</t>
  </si>
  <si>
    <t>Pedido 347</t>
  </si>
  <si>
    <t>Pedido 348</t>
  </si>
  <si>
    <t>Pedido 349</t>
  </si>
  <si>
    <t>Pedido 350</t>
  </si>
  <si>
    <t>Pedido 351</t>
  </si>
  <si>
    <t>Pedido 352</t>
  </si>
  <si>
    <t>Pedido 353</t>
  </si>
  <si>
    <t>Pedido 354</t>
  </si>
  <si>
    <t>Pedido 355</t>
  </si>
  <si>
    <t>Pedido 356</t>
  </si>
  <si>
    <t>Pedido 357</t>
  </si>
  <si>
    <t>Pedido 358</t>
  </si>
  <si>
    <t>Pedido 359</t>
  </si>
  <si>
    <t>Pedido 360</t>
  </si>
  <si>
    <t>Pedido 361</t>
  </si>
  <si>
    <t>Pedido 362</t>
  </si>
  <si>
    <t>Pedido 363</t>
  </si>
  <si>
    <t>Pedido 364</t>
  </si>
  <si>
    <t>Pedido 365</t>
  </si>
  <si>
    <t>Pedido 366</t>
  </si>
  <si>
    <t>Pedido 367</t>
  </si>
  <si>
    <t>Pedido 368</t>
  </si>
  <si>
    <t>Pedido 369</t>
  </si>
  <si>
    <t>Pedido 370</t>
  </si>
  <si>
    <t>Pedido 371</t>
  </si>
  <si>
    <t>Pedido 372</t>
  </si>
  <si>
    <t>Pedido 373</t>
  </si>
  <si>
    <t>Pedido 374</t>
  </si>
  <si>
    <t>Pedido 375</t>
  </si>
  <si>
    <t>Pedido 376</t>
  </si>
  <si>
    <t>Pedido 377</t>
  </si>
  <si>
    <t>Pedido 378</t>
  </si>
  <si>
    <t>Pedido 379</t>
  </si>
  <si>
    <t>Pedido 380</t>
  </si>
  <si>
    <t>Pedido 381</t>
  </si>
  <si>
    <t>Pedido 382</t>
  </si>
  <si>
    <t>Pedido 383</t>
  </si>
  <si>
    <t>Pedido 384</t>
  </si>
  <si>
    <t>Pedido 385</t>
  </si>
  <si>
    <t>Pedido 386</t>
  </si>
  <si>
    <t>Pedido 387</t>
  </si>
  <si>
    <t>Pedido 388</t>
  </si>
  <si>
    <t>Pedido 389</t>
  </si>
  <si>
    <t>Pedido 390</t>
  </si>
  <si>
    <t>Pedido 391</t>
  </si>
  <si>
    <t>Pedido 392</t>
  </si>
  <si>
    <t>Pedido 393</t>
  </si>
  <si>
    <t>Pedido 394</t>
  </si>
  <si>
    <t>Pedido 395</t>
  </si>
  <si>
    <t>Pedido 396</t>
  </si>
  <si>
    <t>Pedido 397</t>
  </si>
  <si>
    <t>Pedido 398</t>
  </si>
  <si>
    <t>Pedido 399</t>
  </si>
  <si>
    <t>Pedido 400</t>
  </si>
  <si>
    <t>Pedido 401</t>
  </si>
  <si>
    <t>Pedido 402</t>
  </si>
  <si>
    <t>Pedido 403</t>
  </si>
  <si>
    <t>Pedido 404</t>
  </si>
  <si>
    <t>Pedido 405</t>
  </si>
  <si>
    <t>Pedido 406</t>
  </si>
  <si>
    <t>Pedido 407</t>
  </si>
  <si>
    <t>Pedido 408</t>
  </si>
  <si>
    <t>Pedido 409</t>
  </si>
  <si>
    <t>Pedido 410</t>
  </si>
  <si>
    <t>Pedido 411</t>
  </si>
  <si>
    <t>Pedido 412</t>
  </si>
  <si>
    <t>Pedido 413</t>
  </si>
  <si>
    <t>Pedido 414</t>
  </si>
  <si>
    <t>Pedido 415</t>
  </si>
  <si>
    <t>Pedido 416</t>
  </si>
  <si>
    <t>Pedido 417</t>
  </si>
  <si>
    <t>Pedido 418</t>
  </si>
  <si>
    <t>Pedido 419</t>
  </si>
  <si>
    <t>Pedido 420</t>
  </si>
  <si>
    <t>Pedido 421</t>
  </si>
  <si>
    <t>Pedido 422</t>
  </si>
  <si>
    <t>Pedido 423</t>
  </si>
  <si>
    <t>Pedido 424</t>
  </si>
  <si>
    <t>Pedido 425</t>
  </si>
  <si>
    <t>Pedido 426</t>
  </si>
  <si>
    <t>Pedido 427</t>
  </si>
  <si>
    <t>Pedido 428</t>
  </si>
  <si>
    <t>Pedido 429</t>
  </si>
  <si>
    <t>Pedido 430</t>
  </si>
  <si>
    <t>Pedido 431</t>
  </si>
  <si>
    <t>Pedido 432</t>
  </si>
  <si>
    <t>Pedido 433</t>
  </si>
  <si>
    <t>Pedido 434</t>
  </si>
  <si>
    <t>Pedido 435</t>
  </si>
  <si>
    <t>Pedido 436</t>
  </si>
  <si>
    <t>Pedido 437</t>
  </si>
  <si>
    <t>Pedido 438</t>
  </si>
  <si>
    <t>Pedido 439</t>
  </si>
  <si>
    <t>Pedido 440</t>
  </si>
  <si>
    <t>Pedido 441</t>
  </si>
  <si>
    <t>Pedido 442</t>
  </si>
  <si>
    <t>Pedido 443</t>
  </si>
  <si>
    <t>Pedido 444</t>
  </si>
  <si>
    <t>Pedido 445</t>
  </si>
  <si>
    <t>Pedido 446</t>
  </si>
  <si>
    <t>Pedido 447</t>
  </si>
  <si>
    <t>Pedido 448</t>
  </si>
  <si>
    <t>Pedido 449</t>
  </si>
  <si>
    <t>Pedido 450</t>
  </si>
  <si>
    <t>Pedido 451</t>
  </si>
  <si>
    <t>Pedido 452</t>
  </si>
  <si>
    <t>Pedido 453</t>
  </si>
  <si>
    <t>Pedido 454</t>
  </si>
  <si>
    <t>Pedido 455</t>
  </si>
  <si>
    <t>Pedido 456</t>
  </si>
  <si>
    <t>Pedido 457</t>
  </si>
  <si>
    <t>Pedido 458</t>
  </si>
  <si>
    <t>Pedido 459</t>
  </si>
  <si>
    <t>Pedido 460</t>
  </si>
  <si>
    <t>Pedido 461</t>
  </si>
  <si>
    <t>Pedido 462</t>
  </si>
  <si>
    <t>Pedido 463</t>
  </si>
  <si>
    <t>Pedido 464</t>
  </si>
  <si>
    <t>Pedido 465</t>
  </si>
  <si>
    <t>Pedido 466</t>
  </si>
  <si>
    <t>Pedido 467</t>
  </si>
  <si>
    <t>Pedido 468</t>
  </si>
  <si>
    <t>Pedido 469</t>
  </si>
  <si>
    <t>Pedido 470</t>
  </si>
  <si>
    <t>Pedido 471</t>
  </si>
  <si>
    <t>Pedido 472</t>
  </si>
  <si>
    <t>Pedido 473</t>
  </si>
  <si>
    <t>Pedido 474</t>
  </si>
  <si>
    <t>Pedido 475</t>
  </si>
  <si>
    <t>Pedido 476</t>
  </si>
  <si>
    <t>Pedido 477</t>
  </si>
  <si>
    <t>Pedido 478</t>
  </si>
  <si>
    <t>Pedido 479</t>
  </si>
  <si>
    <t>Pedido 480</t>
  </si>
  <si>
    <t>Pedido 481</t>
  </si>
  <si>
    <t>Pedido 482</t>
  </si>
  <si>
    <t>Pedido 483</t>
  </si>
  <si>
    <t>Pedido 484</t>
  </si>
  <si>
    <t>Pedido 485</t>
  </si>
  <si>
    <t>Pedido 486</t>
  </si>
  <si>
    <t>Pedido 487</t>
  </si>
  <si>
    <t>Pedido 488</t>
  </si>
  <si>
    <t>Pedido 489</t>
  </si>
  <si>
    <t>Pedido 490</t>
  </si>
  <si>
    <t>Pedido 491</t>
  </si>
  <si>
    <t>Pedido 492</t>
  </si>
  <si>
    <t>Pedido 493</t>
  </si>
  <si>
    <t>Pedido 494</t>
  </si>
  <si>
    <t>Pedido 495</t>
  </si>
  <si>
    <t>Pedido 496</t>
  </si>
  <si>
    <t>Pedido 497</t>
  </si>
  <si>
    <t>Pedido 498</t>
  </si>
  <si>
    <t>Pedido 499</t>
  </si>
  <si>
    <t>Pedido 500</t>
  </si>
  <si>
    <t>Pedido 501</t>
  </si>
  <si>
    <t>Pedido 502</t>
  </si>
  <si>
    <t>Pedido 503</t>
  </si>
  <si>
    <t>Pedido 504</t>
  </si>
  <si>
    <t>Pedido 505</t>
  </si>
  <si>
    <t>Pedido 506</t>
  </si>
  <si>
    <t>Pedido 507</t>
  </si>
  <si>
    <t>Pedido 508</t>
  </si>
  <si>
    <t>Pedido 509</t>
  </si>
  <si>
    <t>Pedido 510</t>
  </si>
  <si>
    <t>Pedido 511</t>
  </si>
  <si>
    <t>Pedido 512</t>
  </si>
  <si>
    <t>Pedido 513</t>
  </si>
  <si>
    <t>Pedido 514</t>
  </si>
  <si>
    <t>Pedido 515</t>
  </si>
  <si>
    <t>Pedido 516</t>
  </si>
  <si>
    <t>Pedido 517</t>
  </si>
  <si>
    <t>Pedido 518</t>
  </si>
  <si>
    <t>Pedido 519</t>
  </si>
  <si>
    <t>Pedido 520</t>
  </si>
  <si>
    <t>Pedido 521</t>
  </si>
  <si>
    <t>Pedido 522</t>
  </si>
  <si>
    <t>Pedido 523</t>
  </si>
  <si>
    <t>Pedido 524</t>
  </si>
  <si>
    <t>Pedido 525</t>
  </si>
  <si>
    <t>Pedido 526</t>
  </si>
  <si>
    <t>Pedido 527</t>
  </si>
  <si>
    <t>Pedido 528</t>
  </si>
  <si>
    <t>Pedido 529</t>
  </si>
  <si>
    <t>Pedido 530</t>
  </si>
  <si>
    <t>Pedido 531</t>
  </si>
  <si>
    <t>Pedido 532</t>
  </si>
  <si>
    <t>Pedido 533</t>
  </si>
  <si>
    <t>Pedido 534</t>
  </si>
  <si>
    <t>Pedido 535</t>
  </si>
  <si>
    <t>Pedido 536</t>
  </si>
  <si>
    <t>Pedido 537</t>
  </si>
  <si>
    <t>Pedido 538</t>
  </si>
  <si>
    <t>Pedido 539</t>
  </si>
  <si>
    <t>Pedido 540</t>
  </si>
  <si>
    <t>Pedido 541</t>
  </si>
  <si>
    <t>Pedido 542</t>
  </si>
  <si>
    <t>Pedido 543</t>
  </si>
  <si>
    <t>Pedido 544</t>
  </si>
  <si>
    <t>Pedido 545</t>
  </si>
  <si>
    <t>Pedido 546</t>
  </si>
  <si>
    <t>Pedido 547</t>
  </si>
  <si>
    <t>Pedido 548</t>
  </si>
  <si>
    <t>Pedido 549</t>
  </si>
  <si>
    <t>Pedido 550</t>
  </si>
  <si>
    <t>Pedido 551</t>
  </si>
  <si>
    <t>Pedido 552</t>
  </si>
  <si>
    <t>Pedido 553</t>
  </si>
  <si>
    <t>Pedido 554</t>
  </si>
  <si>
    <t>Pedido 555</t>
  </si>
  <si>
    <t>Pedido 556</t>
  </si>
  <si>
    <t>Pedido 557</t>
  </si>
  <si>
    <t>Pedido 558</t>
  </si>
  <si>
    <t>Pedido 559</t>
  </si>
  <si>
    <t>Pedido 560</t>
  </si>
  <si>
    <t>Pedido 561</t>
  </si>
  <si>
    <t>Pedido 562</t>
  </si>
  <si>
    <t>Pedido 563</t>
  </si>
  <si>
    <t>Pedido 564</t>
  </si>
  <si>
    <t>Pedido 565</t>
  </si>
  <si>
    <t>Pedido 566</t>
  </si>
  <si>
    <t>Pedido 567</t>
  </si>
  <si>
    <t>Pedido 568</t>
  </si>
  <si>
    <t>Pedido 569</t>
  </si>
  <si>
    <t>Pedido 570</t>
  </si>
  <si>
    <t>Pedido 571</t>
  </si>
  <si>
    <t>Pedido 572</t>
  </si>
  <si>
    <t>Pedido 573</t>
  </si>
  <si>
    <t>Pedido 574</t>
  </si>
  <si>
    <t>Pedido 575</t>
  </si>
  <si>
    <t>Pedido 576</t>
  </si>
  <si>
    <t>Pedido 577</t>
  </si>
  <si>
    <t>Pedido 578</t>
  </si>
  <si>
    <t>Pedido 579</t>
  </si>
  <si>
    <t>Pedido 580</t>
  </si>
  <si>
    <t>Pedido 581</t>
  </si>
  <si>
    <t>Pedido 582</t>
  </si>
  <si>
    <t>Pedido 583</t>
  </si>
  <si>
    <t>Pedido 584</t>
  </si>
  <si>
    <t>Pedido 585</t>
  </si>
  <si>
    <t>Pedido 586</t>
  </si>
  <si>
    <t>Pedido 587</t>
  </si>
  <si>
    <t>Pedido 588</t>
  </si>
  <si>
    <t>Pedido 589</t>
  </si>
  <si>
    <t>Pedido 590</t>
  </si>
  <si>
    <t>Pedido 591</t>
  </si>
  <si>
    <t>Pedido 592</t>
  </si>
  <si>
    <t>Pedido 593</t>
  </si>
  <si>
    <t>Pedido 594</t>
  </si>
  <si>
    <t>Pedido 595</t>
  </si>
  <si>
    <t>Pedido 596</t>
  </si>
  <si>
    <t>Pedido 597</t>
  </si>
  <si>
    <t>Pedido 598</t>
  </si>
  <si>
    <t>Pedido 599</t>
  </si>
  <si>
    <t>Pedido 600</t>
  </si>
  <si>
    <t>Pedido 601</t>
  </si>
  <si>
    <t>Pedido 602</t>
  </si>
  <si>
    <t>Pedido 603</t>
  </si>
  <si>
    <t>Pedido 604</t>
  </si>
  <si>
    <t>Pedido 605</t>
  </si>
  <si>
    <t>Pedido 606</t>
  </si>
  <si>
    <t>Pedido 607</t>
  </si>
  <si>
    <t>Pedido 608</t>
  </si>
  <si>
    <t>Pedido 609</t>
  </si>
  <si>
    <t>Pedido 610</t>
  </si>
  <si>
    <t>Pedido 611</t>
  </si>
  <si>
    <t>Pedido 612</t>
  </si>
  <si>
    <t>Pedido 613</t>
  </si>
  <si>
    <t>Pedido 614</t>
  </si>
  <si>
    <t>Pedido 615</t>
  </si>
  <si>
    <t>Pedido 616</t>
  </si>
  <si>
    <t>Pedido 617</t>
  </si>
  <si>
    <t>Pedido 618</t>
  </si>
  <si>
    <t>Pedido 619</t>
  </si>
  <si>
    <t>Pedido 620</t>
  </si>
  <si>
    <t>Pedido 621</t>
  </si>
  <si>
    <t>Pedido 622</t>
  </si>
  <si>
    <t>Pedido 623</t>
  </si>
  <si>
    <t>Pedido 624</t>
  </si>
  <si>
    <t>Pedido 625</t>
  </si>
  <si>
    <t>Pedido 626</t>
  </si>
  <si>
    <t>Pedido 627</t>
  </si>
  <si>
    <t>Pedido 628</t>
  </si>
  <si>
    <t>Pedido 629</t>
  </si>
  <si>
    <t>Pedido 630</t>
  </si>
  <si>
    <t>Pedido 631</t>
  </si>
  <si>
    <t>Pedido 632</t>
  </si>
  <si>
    <t>Pedido 633</t>
  </si>
  <si>
    <t>Pedido 634</t>
  </si>
  <si>
    <t>Pedido 635</t>
  </si>
  <si>
    <t>Pedido 636</t>
  </si>
  <si>
    <t>Pedido 637</t>
  </si>
  <si>
    <t>Pedido 638</t>
  </si>
  <si>
    <t>Pedido 639</t>
  </si>
  <si>
    <t>Pedido 640</t>
  </si>
  <si>
    <t>Pedido 641</t>
  </si>
  <si>
    <t>Pedido 642</t>
  </si>
  <si>
    <t>Pedido 643</t>
  </si>
  <si>
    <t>Pedido 644</t>
  </si>
  <si>
    <t>Pedido 645</t>
  </si>
  <si>
    <t>Pedido 646</t>
  </si>
  <si>
    <t>Pedido 647</t>
  </si>
  <si>
    <t>Pedido 648</t>
  </si>
  <si>
    <t>Pedido 649</t>
  </si>
  <si>
    <t>Pedido 650</t>
  </si>
  <si>
    <t>Pedido 651</t>
  </si>
  <si>
    <t>Pedido 652</t>
  </si>
  <si>
    <t>Pedido 653</t>
  </si>
  <si>
    <t>Pedido 654</t>
  </si>
  <si>
    <t>Pedido 655</t>
  </si>
  <si>
    <t>Pedido 656</t>
  </si>
  <si>
    <t>Pedido 657</t>
  </si>
  <si>
    <t>Pedido 658</t>
  </si>
  <si>
    <t>Pedido 659</t>
  </si>
  <si>
    <t>Pedido 660</t>
  </si>
  <si>
    <t>Pedido 661</t>
  </si>
  <si>
    <t>Pedido 662</t>
  </si>
  <si>
    <t>Pedido 663</t>
  </si>
  <si>
    <t>Pedido 664</t>
  </si>
  <si>
    <t>Pedido 665</t>
  </si>
  <si>
    <t>Pedido 666</t>
  </si>
  <si>
    <t>Pedido 667</t>
  </si>
  <si>
    <t>Pedido 668</t>
  </si>
  <si>
    <t>Pedido 669</t>
  </si>
  <si>
    <t>Pedido 670</t>
  </si>
  <si>
    <t>Pedido 671</t>
  </si>
  <si>
    <t>Pedido 672</t>
  </si>
  <si>
    <t>Pedido 673</t>
  </si>
  <si>
    <t>Pedido 674</t>
  </si>
  <si>
    <t>Pedido 675</t>
  </si>
  <si>
    <t>Pedido 676</t>
  </si>
  <si>
    <t>Pedido 677</t>
  </si>
  <si>
    <t>Pedido 678</t>
  </si>
  <si>
    <t>Pedido 679</t>
  </si>
  <si>
    <t>Pedido 680</t>
  </si>
  <si>
    <t>Pedido 681</t>
  </si>
  <si>
    <t>Pedido 682</t>
  </si>
  <si>
    <t>Pedido 683</t>
  </si>
  <si>
    <t>Pedido 684</t>
  </si>
  <si>
    <t>Pedido 685</t>
  </si>
  <si>
    <t>Pedido 686</t>
  </si>
  <si>
    <t>Pedido 687</t>
  </si>
  <si>
    <t>Pedido 688</t>
  </si>
  <si>
    <t>Pedido 689</t>
  </si>
  <si>
    <t>Pedido 690</t>
  </si>
  <si>
    <t>Pedido 691</t>
  </si>
  <si>
    <t>Pedido 692</t>
  </si>
  <si>
    <t>Pedido 693</t>
  </si>
  <si>
    <t>Pedido 694</t>
  </si>
  <si>
    <t>Pedido 695</t>
  </si>
  <si>
    <t>Pedido 696</t>
  </si>
  <si>
    <t>Pedido 697</t>
  </si>
  <si>
    <t>Pedido 698</t>
  </si>
  <si>
    <t>Pedido 699</t>
  </si>
  <si>
    <t>Pedido 700</t>
  </si>
  <si>
    <t>Pedido 701</t>
  </si>
  <si>
    <t>Pedido 702</t>
  </si>
  <si>
    <t>Pedido 703</t>
  </si>
  <si>
    <t>Pedido 704</t>
  </si>
  <si>
    <t>Pedido 705</t>
  </si>
  <si>
    <t>Pedido 706</t>
  </si>
  <si>
    <t>Pedido 707</t>
  </si>
  <si>
    <t>Pedido 708</t>
  </si>
  <si>
    <t>Pedido 709</t>
  </si>
  <si>
    <t>Pedido 710</t>
  </si>
  <si>
    <t>Pedido 711</t>
  </si>
  <si>
    <t>Pedido 712</t>
  </si>
  <si>
    <t>Pedido 713</t>
  </si>
  <si>
    <t>Pedido 714</t>
  </si>
  <si>
    <t>Pedido 715</t>
  </si>
  <si>
    <t>Pedido 716</t>
  </si>
  <si>
    <t>Pedido 717</t>
  </si>
  <si>
    <t>Pedido 718</t>
  </si>
  <si>
    <t>Pedido 719</t>
  </si>
  <si>
    <t>Pedido 720</t>
  </si>
  <si>
    <t>Pedido 721</t>
  </si>
  <si>
    <t>Pedido 722</t>
  </si>
  <si>
    <t>Pedido 723</t>
  </si>
  <si>
    <t>Pedido 724</t>
  </si>
  <si>
    <t>Pedido 725</t>
  </si>
  <si>
    <t>Pedido 726</t>
  </si>
  <si>
    <t>Pedido 727</t>
  </si>
  <si>
    <t>Pedido 728</t>
  </si>
  <si>
    <t>Pedido 729</t>
  </si>
  <si>
    <t>Pedido 730</t>
  </si>
  <si>
    <t>Pedido 731</t>
  </si>
  <si>
    <t>Pedido 732</t>
  </si>
  <si>
    <t>Pedido 733</t>
  </si>
  <si>
    <t>Pedido 734</t>
  </si>
  <si>
    <t>Pedido 735</t>
  </si>
  <si>
    <t>Pedido 736</t>
  </si>
  <si>
    <t>Pedido 737</t>
  </si>
  <si>
    <t>Pedido 738</t>
  </si>
  <si>
    <t>Pedido 739</t>
  </si>
  <si>
    <t>Pedido 740</t>
  </si>
  <si>
    <t>Pedido 741</t>
  </si>
  <si>
    <t>Pedido 742</t>
  </si>
  <si>
    <t>Pedido 743</t>
  </si>
  <si>
    <t>Pedido 744</t>
  </si>
  <si>
    <t>Pedido 745</t>
  </si>
  <si>
    <t>Pedido 746</t>
  </si>
  <si>
    <t>Pedido 747</t>
  </si>
  <si>
    <t>Pedido 748</t>
  </si>
  <si>
    <t>Pedido 749</t>
  </si>
  <si>
    <t>Pedido 750</t>
  </si>
  <si>
    <t>Pedido 751</t>
  </si>
  <si>
    <t>Pedido 752</t>
  </si>
  <si>
    <t>Pedido 753</t>
  </si>
  <si>
    <t>Pedido 754</t>
  </si>
  <si>
    <t>Pedido 755</t>
  </si>
  <si>
    <t>Pedido 756</t>
  </si>
  <si>
    <t>Pedido 757</t>
  </si>
  <si>
    <t>Pedido 758</t>
  </si>
  <si>
    <t>Pedido 759</t>
  </si>
  <si>
    <t>Pedido 760</t>
  </si>
  <si>
    <t>Pedido 761</t>
  </si>
  <si>
    <t>Pedido 762</t>
  </si>
  <si>
    <t>Pedido 763</t>
  </si>
  <si>
    <t>Pedido 764</t>
  </si>
  <si>
    <t>Pedido 765</t>
  </si>
  <si>
    <t>Pedido 766</t>
  </si>
  <si>
    <t>Pedido 767</t>
  </si>
  <si>
    <t>Pedido 768</t>
  </si>
  <si>
    <t>Pedido 769</t>
  </si>
  <si>
    <t>Pedido 770</t>
  </si>
  <si>
    <t>Pedido 771</t>
  </si>
  <si>
    <t>Pedido 772</t>
  </si>
  <si>
    <t>Pedido 773</t>
  </si>
  <si>
    <t>Pedido 774</t>
  </si>
  <si>
    <t>Pedido 775</t>
  </si>
  <si>
    <t>Pedido 776</t>
  </si>
  <si>
    <t>Pedido 777</t>
  </si>
  <si>
    <t>Pedido 778</t>
  </si>
  <si>
    <t>Pedido 779</t>
  </si>
  <si>
    <t>Pedido 780</t>
  </si>
  <si>
    <t>Pedido 781</t>
  </si>
  <si>
    <t>Pedido 782</t>
  </si>
  <si>
    <t>Pedido 783</t>
  </si>
  <si>
    <t>Pedido 784</t>
  </si>
  <si>
    <t>Pedido 785</t>
  </si>
  <si>
    <t>Pedido 786</t>
  </si>
  <si>
    <t>Pedido 787</t>
  </si>
  <si>
    <t>Pedido 788</t>
  </si>
  <si>
    <t>Pedido 789</t>
  </si>
  <si>
    <t>Pedido 790</t>
  </si>
  <si>
    <t>Pedido 791</t>
  </si>
  <si>
    <t>Pedido 792</t>
  </si>
  <si>
    <t>Pedido 793</t>
  </si>
  <si>
    <t>Pedido 794</t>
  </si>
  <si>
    <t>Pedido 795</t>
  </si>
  <si>
    <t>Pedido 796</t>
  </si>
  <si>
    <t>Pedido 797</t>
  </si>
  <si>
    <t>Pedido 798</t>
  </si>
  <si>
    <t>Pedido 799</t>
  </si>
  <si>
    <t>Pedido 800</t>
  </si>
  <si>
    <t>Pedido 801</t>
  </si>
  <si>
    <t>Pedido 802</t>
  </si>
  <si>
    <t>Pedido 803</t>
  </si>
  <si>
    <t>Pedido 804</t>
  </si>
  <si>
    <t>Pedido 805</t>
  </si>
  <si>
    <t>Pedido 806</t>
  </si>
  <si>
    <t>Pedido 807</t>
  </si>
  <si>
    <t>Pedido 808</t>
  </si>
  <si>
    <t>Pedido 809</t>
  </si>
  <si>
    <t>Pedido 810</t>
  </si>
  <si>
    <t>Pedido 811</t>
  </si>
  <si>
    <t>Pedido 812</t>
  </si>
  <si>
    <t>Pedido 813</t>
  </si>
  <si>
    <t>Pedido 814</t>
  </si>
  <si>
    <t>Pedido 815</t>
  </si>
  <si>
    <t>Pedido 816</t>
  </si>
  <si>
    <t>Pedido 817</t>
  </si>
  <si>
    <t>Pedido 818</t>
  </si>
  <si>
    <t>Pedido 819</t>
  </si>
  <si>
    <t>Pedido 820</t>
  </si>
  <si>
    <t>Pedido 821</t>
  </si>
  <si>
    <t>Pedido 822</t>
  </si>
  <si>
    <t>Pedido 823</t>
  </si>
  <si>
    <t>Pedido 824</t>
  </si>
  <si>
    <t>Pedido 825</t>
  </si>
  <si>
    <t>Pedido 826</t>
  </si>
  <si>
    <t>Pedido 827</t>
  </si>
  <si>
    <t>Pedido 828</t>
  </si>
  <si>
    <t>Pedido 829</t>
  </si>
  <si>
    <t>Pedido 830</t>
  </si>
  <si>
    <t>Pedido 831</t>
  </si>
  <si>
    <t>Pedido 832</t>
  </si>
  <si>
    <t>Pedido 833</t>
  </si>
  <si>
    <t>Pedido 834</t>
  </si>
  <si>
    <t>Pedido 835</t>
  </si>
  <si>
    <t>Pedido 836</t>
  </si>
  <si>
    <t>Pedido 837</t>
  </si>
  <si>
    <t>Pedido 838</t>
  </si>
  <si>
    <t>Pedido 839</t>
  </si>
  <si>
    <t>Pedido 840</t>
  </si>
  <si>
    <t>Pedido 841</t>
  </si>
  <si>
    <t>Pedido 842</t>
  </si>
  <si>
    <t>Pedido 843</t>
  </si>
  <si>
    <t>Pedido 844</t>
  </si>
  <si>
    <t>Pedido 845</t>
  </si>
  <si>
    <t>Pedido 846</t>
  </si>
  <si>
    <t>Pedido 847</t>
  </si>
  <si>
    <t>Pedido 848</t>
  </si>
  <si>
    <t>Pedido 849</t>
  </si>
  <si>
    <t>Pedido 850</t>
  </si>
  <si>
    <t>Pedido 851</t>
  </si>
  <si>
    <t>Pedido 852</t>
  </si>
  <si>
    <t>Pedido 853</t>
  </si>
  <si>
    <t>Pedido 854</t>
  </si>
  <si>
    <t>Pedido 855</t>
  </si>
  <si>
    <t>Pedido 856</t>
  </si>
  <si>
    <t>Pedido 857</t>
  </si>
  <si>
    <t>Pedido 858</t>
  </si>
  <si>
    <t>Pedido 859</t>
  </si>
  <si>
    <t>Pedido 860</t>
  </si>
  <si>
    <t>Pedido 861</t>
  </si>
  <si>
    <t>Pedido 862</t>
  </si>
  <si>
    <t>Pedido 863</t>
  </si>
  <si>
    <t>Pedido 864</t>
  </si>
  <si>
    <t>Pedido 865</t>
  </si>
  <si>
    <t>Pedido 866</t>
  </si>
  <si>
    <t>Pedido 867</t>
  </si>
  <si>
    <t>Pedido 868</t>
  </si>
  <si>
    <t>Pedido 869</t>
  </si>
  <si>
    <t>Pedido 870</t>
  </si>
  <si>
    <t>Pedido 871</t>
  </si>
  <si>
    <t>Pedido 872</t>
  </si>
  <si>
    <t>Pedido 873</t>
  </si>
  <si>
    <t>Pedido 874</t>
  </si>
  <si>
    <t>Pedido 875</t>
  </si>
  <si>
    <t>Pedido 876</t>
  </si>
  <si>
    <t>Pedido 877</t>
  </si>
  <si>
    <t>Pedido 878</t>
  </si>
  <si>
    <t>Pedido 879</t>
  </si>
  <si>
    <t>Pedido 880</t>
  </si>
  <si>
    <t>Pedido 881</t>
  </si>
  <si>
    <t>Pedido 882</t>
  </si>
  <si>
    <t>Pedido 883</t>
  </si>
  <si>
    <t>Pedido 884</t>
  </si>
  <si>
    <t>Pedido 885</t>
  </si>
  <si>
    <t>Pedido 886</t>
  </si>
  <si>
    <t>Pedido 887</t>
  </si>
  <si>
    <t>Pedido 888</t>
  </si>
  <si>
    <t>Pedido 889</t>
  </si>
  <si>
    <t>Pedido 890</t>
  </si>
  <si>
    <t>Pedido 891</t>
  </si>
  <si>
    <t>Pedido 892</t>
  </si>
  <si>
    <t>Pedido 893</t>
  </si>
  <si>
    <t>Pedido 894</t>
  </si>
  <si>
    <t>Pedido 895</t>
  </si>
  <si>
    <t>Pedido 896</t>
  </si>
  <si>
    <t>Pedido 897</t>
  </si>
  <si>
    <t>Pedido 898</t>
  </si>
  <si>
    <t>Pedido 899</t>
  </si>
  <si>
    <t>Pedido 900</t>
  </si>
  <si>
    <t>Pedido 901</t>
  </si>
  <si>
    <t>Pedido 902</t>
  </si>
  <si>
    <t>Pedido 903</t>
  </si>
  <si>
    <t>Pedido 904</t>
  </si>
  <si>
    <t>Pedido 905</t>
  </si>
  <si>
    <t>Pedido 906</t>
  </si>
  <si>
    <t>Pedido 907</t>
  </si>
  <si>
    <t>Pedido 908</t>
  </si>
  <si>
    <t>Pedido 909</t>
  </si>
  <si>
    <t>Pedido 910</t>
  </si>
  <si>
    <t>Pedido 911</t>
  </si>
  <si>
    <t>Pedido 912</t>
  </si>
  <si>
    <t>Pedido 913</t>
  </si>
  <si>
    <t>Pedido 914</t>
  </si>
  <si>
    <t>Pedido 915</t>
  </si>
  <si>
    <t>Pedido 916</t>
  </si>
  <si>
    <t>Pedido 917</t>
  </si>
  <si>
    <t>Pedido 918</t>
  </si>
  <si>
    <t>Pedido 919</t>
  </si>
  <si>
    <t>Pedido 920</t>
  </si>
  <si>
    <t>Pedido 921</t>
  </si>
  <si>
    <t>Pedido 922</t>
  </si>
  <si>
    <t>Pedido 923</t>
  </si>
  <si>
    <t>Pedido 924</t>
  </si>
  <si>
    <t>Pedido 925</t>
  </si>
  <si>
    <t>Pedido 926</t>
  </si>
  <si>
    <t>Pedido 927</t>
  </si>
  <si>
    <t>Pedido 928</t>
  </si>
  <si>
    <t>Pedido 929</t>
  </si>
  <si>
    <t>Pedido 930</t>
  </si>
  <si>
    <t>Pedido 931</t>
  </si>
  <si>
    <t>Pedido 932</t>
  </si>
  <si>
    <t>Pedido 933</t>
  </si>
  <si>
    <t>Pedido 934</t>
  </si>
  <si>
    <t>Pedido 935</t>
  </si>
  <si>
    <t>Pedido 936</t>
  </si>
  <si>
    <t>Pedido 937</t>
  </si>
  <si>
    <t>Pedido 938</t>
  </si>
  <si>
    <t>Pedido 939</t>
  </si>
  <si>
    <t>Pedido 940</t>
  </si>
  <si>
    <t>Pedido 941</t>
  </si>
  <si>
    <t>Pedido 942</t>
  </si>
  <si>
    <t>Pedido 943</t>
  </si>
  <si>
    <t>Pedido 944</t>
  </si>
  <si>
    <t>Pedido 945</t>
  </si>
  <si>
    <t>Pedido 946</t>
  </si>
  <si>
    <t>Pedido 947</t>
  </si>
  <si>
    <t>Pedido 948</t>
  </si>
  <si>
    <t>Pedido 949</t>
  </si>
  <si>
    <t>Pedido 950</t>
  </si>
  <si>
    <t>Pedido 951</t>
  </si>
  <si>
    <t>Pedido 952</t>
  </si>
  <si>
    <t>Pedido 953</t>
  </si>
  <si>
    <t>Pedido 954</t>
  </si>
  <si>
    <t>Pedido 955</t>
  </si>
  <si>
    <t>Pedido 956</t>
  </si>
  <si>
    <t>Pedido 957</t>
  </si>
  <si>
    <t>Pedido 958</t>
  </si>
  <si>
    <t>Pedido 959</t>
  </si>
  <si>
    <t>Pedido 960</t>
  </si>
  <si>
    <t>Pedido 961</t>
  </si>
  <si>
    <t>Pedido 962</t>
  </si>
  <si>
    <t>Pedido 963</t>
  </si>
  <si>
    <t>Pedido 964</t>
  </si>
  <si>
    <t>Pedido 965</t>
  </si>
  <si>
    <t>Pedido 966</t>
  </si>
  <si>
    <t>Pedido 967</t>
  </si>
  <si>
    <t>Pedido 968</t>
  </si>
  <si>
    <t>Pedido 969</t>
  </si>
  <si>
    <t>Pedido 970</t>
  </si>
  <si>
    <t>Pedido 971</t>
  </si>
  <si>
    <t>Pedido 972</t>
  </si>
  <si>
    <t>Pedido 973</t>
  </si>
  <si>
    <t>Pedido 974</t>
  </si>
  <si>
    <t>Pedido 975</t>
  </si>
  <si>
    <t>Pedido 976</t>
  </si>
  <si>
    <t>Pedido 977</t>
  </si>
  <si>
    <t>Pedido 978</t>
  </si>
  <si>
    <t>Pedido 979</t>
  </si>
  <si>
    <t>Pedido 980</t>
  </si>
  <si>
    <t>Pedido 981</t>
  </si>
  <si>
    <t>Pedido 982</t>
  </si>
  <si>
    <t>Pedido 983</t>
  </si>
  <si>
    <t>Pedido 984</t>
  </si>
  <si>
    <t>Pedido 985</t>
  </si>
  <si>
    <t>Pedido 986</t>
  </si>
  <si>
    <t>Pedido 987</t>
  </si>
  <si>
    <t>Pedido 988</t>
  </si>
  <si>
    <t>Pedido 989</t>
  </si>
  <si>
    <t>Pedido 990</t>
  </si>
  <si>
    <t>Pedido 991</t>
  </si>
  <si>
    <t>Pedido 992</t>
  </si>
  <si>
    <t>Pedido 993</t>
  </si>
  <si>
    <t>Pedido 994</t>
  </si>
  <si>
    <t>Pedido 995</t>
  </si>
  <si>
    <t>Pedido 996</t>
  </si>
  <si>
    <t>Pedido 997</t>
  </si>
  <si>
    <t>Pedido 998</t>
  </si>
  <si>
    <t>Pedido 999</t>
  </si>
  <si>
    <t>Pedido 1000</t>
  </si>
  <si>
    <t>Pedido 1001</t>
  </si>
  <si>
    <t>Pedido 1002</t>
  </si>
  <si>
    <t>Pedido 1003</t>
  </si>
  <si>
    <t>Pedido 1004</t>
  </si>
  <si>
    <t>Pedido 1005</t>
  </si>
  <si>
    <t>Pedido 1006</t>
  </si>
  <si>
    <t>Pedido 1007</t>
  </si>
  <si>
    <t>Pedido 1008</t>
  </si>
  <si>
    <t>Pedido 1009</t>
  </si>
  <si>
    <t>Pedido 1010</t>
  </si>
  <si>
    <t>Pedido 1011</t>
  </si>
  <si>
    <t>Pedido 1012</t>
  </si>
  <si>
    <t>Pedido 1013</t>
  </si>
  <si>
    <t>Pedido 1014</t>
  </si>
  <si>
    <t>Pedido 1015</t>
  </si>
  <si>
    <t>Pedido 1016</t>
  </si>
  <si>
    <t>Pedido 1017</t>
  </si>
  <si>
    <t>Pedido 1018</t>
  </si>
  <si>
    <t>Pedido 1019</t>
  </si>
  <si>
    <t>Pedido 1020</t>
  </si>
  <si>
    <t>Pedido 1021</t>
  </si>
  <si>
    <t>Pedido 1022</t>
  </si>
  <si>
    <t>Pedido 1023</t>
  </si>
  <si>
    <t>Pedido 1024</t>
  </si>
  <si>
    <t>Pedido 1025</t>
  </si>
  <si>
    <t>Pedido 1026</t>
  </si>
  <si>
    <t>Pedido 1027</t>
  </si>
  <si>
    <t>Pedido 1028</t>
  </si>
  <si>
    <t>Pedido 1029</t>
  </si>
  <si>
    <t>Pedido 1030</t>
  </si>
  <si>
    <t>Pedido 1031</t>
  </si>
  <si>
    <t>Pedido 1032</t>
  </si>
  <si>
    <t>Pedido 1033</t>
  </si>
  <si>
    <t>Pedido 1034</t>
  </si>
  <si>
    <t>Pedido 1035</t>
  </si>
  <si>
    <t>Pedido 1036</t>
  </si>
  <si>
    <t>Pedido 1037</t>
  </si>
  <si>
    <t>Pedido 1038</t>
  </si>
  <si>
    <t>Pedido 1039</t>
  </si>
  <si>
    <t>Pedido 1040</t>
  </si>
  <si>
    <t>Pedido 1041</t>
  </si>
  <si>
    <t>Pedido 1042</t>
  </si>
  <si>
    <t>Pedido 1043</t>
  </si>
  <si>
    <t>Pedido 1044</t>
  </si>
  <si>
    <t>Pedido 1045</t>
  </si>
  <si>
    <t>Pedido 1046</t>
  </si>
  <si>
    <t>Pedido 1047</t>
  </si>
  <si>
    <t>Pedido 1048</t>
  </si>
  <si>
    <t>Pedido 1049</t>
  </si>
  <si>
    <t>Pedido 1050</t>
  </si>
  <si>
    <t>Pedido 1051</t>
  </si>
  <si>
    <t>Pedido 1052</t>
  </si>
  <si>
    <t>Pedido 1053</t>
  </si>
  <si>
    <t>Pedido 1054</t>
  </si>
  <si>
    <t>Pedido 1055</t>
  </si>
  <si>
    <t>Pedido 1056</t>
  </si>
  <si>
    <t>Pedido 1057</t>
  </si>
  <si>
    <t>Pedido 1058</t>
  </si>
  <si>
    <t>Pedido 1059</t>
  </si>
  <si>
    <t>Pedido 1060</t>
  </si>
  <si>
    <t>Pedido 1061</t>
  </si>
  <si>
    <t>Pedido 1062</t>
  </si>
  <si>
    <t>Pedido 1063</t>
  </si>
  <si>
    <t>Pedido 1064</t>
  </si>
  <si>
    <t>Pedido 1065</t>
  </si>
  <si>
    <t>Pedido 1066</t>
  </si>
  <si>
    <t>Pedido 1067</t>
  </si>
  <si>
    <t>Pedido 1068</t>
  </si>
  <si>
    <t>Pedido 1069</t>
  </si>
  <si>
    <t>Pedido 1070</t>
  </si>
  <si>
    <t>Pedido 1071</t>
  </si>
  <si>
    <t>Pedido 1072</t>
  </si>
  <si>
    <t>Pedido 1073</t>
  </si>
  <si>
    <t>Pedido 1074</t>
  </si>
  <si>
    <t>Pedido 1075</t>
  </si>
  <si>
    <t>Pedido 1076</t>
  </si>
  <si>
    <t>Pedido 1077</t>
  </si>
  <si>
    <t>Pedido 1078</t>
  </si>
  <si>
    <t>Pedido 1079</t>
  </si>
  <si>
    <t>Pedido 1080</t>
  </si>
  <si>
    <t>Pedido 1081</t>
  </si>
  <si>
    <t>Pedido 1082</t>
  </si>
  <si>
    <t>Pedido 1083</t>
  </si>
  <si>
    <t>Pedido 1084</t>
  </si>
  <si>
    <t>Pedido 1085</t>
  </si>
  <si>
    <t>Pedido 1086</t>
  </si>
  <si>
    <t>Pedido 1087</t>
  </si>
  <si>
    <t>Pedido 1088</t>
  </si>
  <si>
    <t>Pedido 1089</t>
  </si>
  <si>
    <t>Pedido 1090</t>
  </si>
  <si>
    <t>Pedido 1091</t>
  </si>
  <si>
    <t>Pedido 1092</t>
  </si>
  <si>
    <t>Pedido 1093</t>
  </si>
  <si>
    <t>Pedido 1094</t>
  </si>
  <si>
    <t>Pedido 1095</t>
  </si>
  <si>
    <t>Pedido 1096</t>
  </si>
  <si>
    <t>Pedido 1097</t>
  </si>
  <si>
    <t>Pedido 1098</t>
  </si>
  <si>
    <t>Pedido 1099</t>
  </si>
  <si>
    <t>Pedido 1100</t>
  </si>
  <si>
    <t>Pedido 1101</t>
  </si>
  <si>
    <t>Pedido 1102</t>
  </si>
  <si>
    <t>Pedido 1103</t>
  </si>
  <si>
    <t>Pedido 1104</t>
  </si>
  <si>
    <t>Pedido 1105</t>
  </si>
  <si>
    <t>Pedido 1106</t>
  </si>
  <si>
    <t>Pedido 1107</t>
  </si>
  <si>
    <t>Pedido 1108</t>
  </si>
  <si>
    <t>Pedido 1109</t>
  </si>
  <si>
    <t>Pedido 1110</t>
  </si>
  <si>
    <t>Pedido 1111</t>
  </si>
  <si>
    <t>Pedido 1112</t>
  </si>
  <si>
    <t>Pedido 1113</t>
  </si>
  <si>
    <t>Pedido 1114</t>
  </si>
  <si>
    <t>Pedido 1115</t>
  </si>
  <si>
    <t>Pedido 1116</t>
  </si>
  <si>
    <t>Pedido 1117</t>
  </si>
  <si>
    <t>Pedido 1118</t>
  </si>
  <si>
    <t>Pedido 1119</t>
  </si>
  <si>
    <t>Pedido 1120</t>
  </si>
  <si>
    <t>Pedido 1121</t>
  </si>
  <si>
    <t>Pedido 1122</t>
  </si>
  <si>
    <t>Pedido 1123</t>
  </si>
  <si>
    <t>Pedido 1124</t>
  </si>
  <si>
    <t>Pedido 1125</t>
  </si>
  <si>
    <t>Pedido 1126</t>
  </si>
  <si>
    <t>Pedido 1127</t>
  </si>
  <si>
    <t>Pedido 1128</t>
  </si>
  <si>
    <t>Pedido 1129</t>
  </si>
  <si>
    <t>Pedido 1130</t>
  </si>
  <si>
    <t>Pedido 1131</t>
  </si>
  <si>
    <t>Pedido 1132</t>
  </si>
  <si>
    <t>Pedido 1133</t>
  </si>
  <si>
    <t>Pedido 1134</t>
  </si>
  <si>
    <t>Pedido 1135</t>
  </si>
  <si>
    <t>Pedido 1136</t>
  </si>
  <si>
    <t>Pedido 1137</t>
  </si>
  <si>
    <t>Pedido 1138</t>
  </si>
  <si>
    <t>Pedido 1139</t>
  </si>
  <si>
    <t>Pedido 1140</t>
  </si>
  <si>
    <t>Pedido 1141</t>
  </si>
  <si>
    <t>Pedido 1142</t>
  </si>
  <si>
    <t>Pedido 1143</t>
  </si>
  <si>
    <t>Pedido 1144</t>
  </si>
  <si>
    <t>Pedido 1145</t>
  </si>
  <si>
    <t>Pedido 1146</t>
  </si>
  <si>
    <t>Pedido 1147</t>
  </si>
  <si>
    <t>Pedido 1148</t>
  </si>
  <si>
    <t>Pedido 1149</t>
  </si>
  <si>
    <t>Pedido 1150</t>
  </si>
  <si>
    <t>Pedido 1151</t>
  </si>
  <si>
    <t>Pedido 1152</t>
  </si>
  <si>
    <t>Pedido 1153</t>
  </si>
  <si>
    <t>Pedido 1154</t>
  </si>
  <si>
    <t>Pedido 1155</t>
  </si>
  <si>
    <t>Pedido 1156</t>
  </si>
  <si>
    <t>Pedido 1157</t>
  </si>
  <si>
    <t>Pedido 1158</t>
  </si>
  <si>
    <t>Pedido 1159</t>
  </si>
  <si>
    <t>Pedido 1160</t>
  </si>
  <si>
    <t>Pedido 1161</t>
  </si>
  <si>
    <t>Pedido 1162</t>
  </si>
  <si>
    <t>Pedido 1163</t>
  </si>
  <si>
    <t>Pedido 1164</t>
  </si>
  <si>
    <t>Pedido 1165</t>
  </si>
  <si>
    <t>Pedido 1166</t>
  </si>
  <si>
    <t>Pedido 1167</t>
  </si>
  <si>
    <t>Pedido 1168</t>
  </si>
  <si>
    <t>Pedido 1169</t>
  </si>
  <si>
    <t>Pedido 1170</t>
  </si>
  <si>
    <t>Pedido 1171</t>
  </si>
  <si>
    <t>Pedido 1172</t>
  </si>
  <si>
    <t>Pedido 1173</t>
  </si>
  <si>
    <t>Pedido 1174</t>
  </si>
  <si>
    <t>Pedido 1175</t>
  </si>
  <si>
    <t>Pedido 1176</t>
  </si>
  <si>
    <t>Pedido 1177</t>
  </si>
  <si>
    <t>Pedido 1178</t>
  </si>
  <si>
    <t>Pedido 1179</t>
  </si>
  <si>
    <t>Pedido 1180</t>
  </si>
  <si>
    <t>Pedido 1181</t>
  </si>
  <si>
    <t>Pedido 1182</t>
  </si>
  <si>
    <t>Pedido 1183</t>
  </si>
  <si>
    <t>Pedido 1184</t>
  </si>
  <si>
    <t>Pedido 1185</t>
  </si>
  <si>
    <t>Pedido 1186</t>
  </si>
  <si>
    <t>Pedido 1187</t>
  </si>
  <si>
    <t>Pedido 1188</t>
  </si>
  <si>
    <t>Pedido 1189</t>
  </si>
  <si>
    <t>Pedido 1190</t>
  </si>
  <si>
    <t>Pedido 1191</t>
  </si>
  <si>
    <t>Pedido 1192</t>
  </si>
  <si>
    <t>Pedido 1193</t>
  </si>
  <si>
    <t>Pedido 1194</t>
  </si>
  <si>
    <t>Pedido 1195</t>
  </si>
  <si>
    <t>Pedido 1196</t>
  </si>
  <si>
    <t>Pedido 1197</t>
  </si>
  <si>
    <t>Pedido 1198</t>
  </si>
  <si>
    <t>Pedido 1199</t>
  </si>
  <si>
    <t>Pedido 1200</t>
  </si>
  <si>
    <t>Pedido 1201</t>
  </si>
  <si>
    <t>Pedido 1202</t>
  </si>
  <si>
    <t>Pedido 1203</t>
  </si>
  <si>
    <t>Pedido 1204</t>
  </si>
  <si>
    <t>Pedido 1205</t>
  </si>
  <si>
    <t>Pedido 1206</t>
  </si>
  <si>
    <t>Pedido 1207</t>
  </si>
  <si>
    <t>Pedido 1208</t>
  </si>
  <si>
    <t>Pedido 1209</t>
  </si>
  <si>
    <t>Pedido 1210</t>
  </si>
  <si>
    <t>Pedido 1211</t>
  </si>
  <si>
    <t>Pedido 1212</t>
  </si>
  <si>
    <t>Pedido 1213</t>
  </si>
  <si>
    <t>Pedido 1214</t>
  </si>
  <si>
    <t>Pedido 1215</t>
  </si>
  <si>
    <t>Pedido 1216</t>
  </si>
  <si>
    <t>Pedido 1217</t>
  </si>
  <si>
    <t>Pedido 1218</t>
  </si>
  <si>
    <t>Pedido 1219</t>
  </si>
  <si>
    <t>Pedido 1220</t>
  </si>
  <si>
    <t>Pedido 1221</t>
  </si>
  <si>
    <t>Pedido 1222</t>
  </si>
  <si>
    <t>Pedido 1223</t>
  </si>
  <si>
    <t>Pedido 1224</t>
  </si>
  <si>
    <t>Pedido 1225</t>
  </si>
  <si>
    <t>Pedido 1226</t>
  </si>
  <si>
    <t>Pedido 1227</t>
  </si>
  <si>
    <t>Pedido 1228</t>
  </si>
  <si>
    <t>Pedido 1229</t>
  </si>
  <si>
    <t>Pedido 1230</t>
  </si>
  <si>
    <t>Pedido 1231</t>
  </si>
  <si>
    <t>Pedido 1232</t>
  </si>
  <si>
    <t>Pedido 1233</t>
  </si>
  <si>
    <t>Pedido 1234</t>
  </si>
  <si>
    <t>Pedido 1235</t>
  </si>
  <si>
    <t>Pedido 1236</t>
  </si>
  <si>
    <t>Pedido 1237</t>
  </si>
  <si>
    <t>Pedido 1238</t>
  </si>
  <si>
    <t>Pedido 1239</t>
  </si>
  <si>
    <t>Pedido 1240</t>
  </si>
  <si>
    <t>Pedido 1241</t>
  </si>
  <si>
    <t>Pedido 1242</t>
  </si>
  <si>
    <t>Pedido 1243</t>
  </si>
  <si>
    <t>Pedido 1244</t>
  </si>
  <si>
    <t>Pedido 1245</t>
  </si>
  <si>
    <t>Pedido 1246</t>
  </si>
  <si>
    <t>Pedido 1247</t>
  </si>
  <si>
    <t>Pedido 1248</t>
  </si>
  <si>
    <t>Pedido 1249</t>
  </si>
  <si>
    <t>Pedido 1250</t>
  </si>
  <si>
    <t>Pedido 1251</t>
  </si>
  <si>
    <t>Pedido 1252</t>
  </si>
  <si>
    <t>Pedido 1253</t>
  </si>
  <si>
    <t>Pedido 1254</t>
  </si>
  <si>
    <t>Pedido 1255</t>
  </si>
  <si>
    <t>Pedido 1256</t>
  </si>
  <si>
    <t>Pedido 1257</t>
  </si>
  <si>
    <t>Pedido 1258</t>
  </si>
  <si>
    <t>Pedido 1259</t>
  </si>
  <si>
    <t>Pedido 1260</t>
  </si>
  <si>
    <t>Pedido 1261</t>
  </si>
  <si>
    <t>Pedido 1262</t>
  </si>
  <si>
    <t>Pedido 1263</t>
  </si>
  <si>
    <t>Pedido 1264</t>
  </si>
  <si>
    <t>Pedido 1265</t>
  </si>
  <si>
    <t>Pedido 1266</t>
  </si>
  <si>
    <t>Pedido 1267</t>
  </si>
  <si>
    <t>Pedido 1268</t>
  </si>
  <si>
    <t>Pedido 1269</t>
  </si>
  <si>
    <t>Pedido 1270</t>
  </si>
  <si>
    <t>Pedido 1271</t>
  </si>
  <si>
    <t>Pedido 1272</t>
  </si>
  <si>
    <t>Pedido 1273</t>
  </si>
  <si>
    <t>Pedido 1274</t>
  </si>
  <si>
    <t>Pedido 1275</t>
  </si>
  <si>
    <t>Pedido 1276</t>
  </si>
  <si>
    <t>Pedido 1277</t>
  </si>
  <si>
    <t>Pedido 1278</t>
  </si>
  <si>
    <t>Pedido 1279</t>
  </si>
  <si>
    <t>Pedido 1280</t>
  </si>
  <si>
    <t>Pedido 1281</t>
  </si>
  <si>
    <t>Pedido 1282</t>
  </si>
  <si>
    <t>Pedido 1283</t>
  </si>
  <si>
    <t>Pedido 1284</t>
  </si>
  <si>
    <t>Pedido 1285</t>
  </si>
  <si>
    <t>Pedido 1286</t>
  </si>
  <si>
    <t>Pedido 1287</t>
  </si>
  <si>
    <t>Pedido 1288</t>
  </si>
  <si>
    <t>Pedido 1289</t>
  </si>
  <si>
    <t>Pedido 1290</t>
  </si>
  <si>
    <t>Pedido 1291</t>
  </si>
  <si>
    <t>Pedido 1292</t>
  </si>
  <si>
    <t>Pedido 1293</t>
  </si>
  <si>
    <t>Pedido 1294</t>
  </si>
  <si>
    <t>Pedido 1295</t>
  </si>
  <si>
    <t>Pedido 1296</t>
  </si>
  <si>
    <t>Pedido 1297</t>
  </si>
  <si>
    <t>Pedido 1298</t>
  </si>
  <si>
    <t>Pedido 1299</t>
  </si>
  <si>
    <t>Pedido 1300</t>
  </si>
  <si>
    <t>Pedido 1301</t>
  </si>
  <si>
    <t>Pedido 1302</t>
  </si>
  <si>
    <t>Pedido 1303</t>
  </si>
  <si>
    <t>Pedido 1304</t>
  </si>
  <si>
    <t>Pedido 1305</t>
  </si>
  <si>
    <t>Pedido 1306</t>
  </si>
  <si>
    <t>Pedido 1307</t>
  </si>
  <si>
    <t>Pedido 1308</t>
  </si>
  <si>
    <t>Pedido 1309</t>
  </si>
  <si>
    <t>Pedido 1310</t>
  </si>
  <si>
    <t>Pedido 1311</t>
  </si>
  <si>
    <t>Pedido 1312</t>
  </si>
  <si>
    <t>Pedido 1313</t>
  </si>
  <si>
    <t>Pedido 1314</t>
  </si>
  <si>
    <t>Pedido 1315</t>
  </si>
  <si>
    <t>Pedido 1316</t>
  </si>
  <si>
    <t>Pedido 1317</t>
  </si>
  <si>
    <t>Pedido 1318</t>
  </si>
  <si>
    <t>Pedido 1319</t>
  </si>
  <si>
    <t>Pedido 1320</t>
  </si>
  <si>
    <t>Pedido 1321</t>
  </si>
  <si>
    <t>Pedido 1322</t>
  </si>
  <si>
    <t>Pedido 1323</t>
  </si>
  <si>
    <t>Pedido 1324</t>
  </si>
  <si>
    <t>Pedido 1325</t>
  </si>
  <si>
    <t>Pedido 1326</t>
  </si>
  <si>
    <t>Pedido 1327</t>
  </si>
  <si>
    <t>Pedido 1328</t>
  </si>
  <si>
    <t>Pedido 1329</t>
  </si>
  <si>
    <t>Pedido 1330</t>
  </si>
  <si>
    <t>Pedido 1331</t>
  </si>
  <si>
    <t>Pedido 1332</t>
  </si>
  <si>
    <t>Pedido 1333</t>
  </si>
  <si>
    <t>Pedido 1334</t>
  </si>
  <si>
    <t>Pedido 1335</t>
  </si>
  <si>
    <t>Pedido 1336</t>
  </si>
  <si>
    <t>Pedido 1337</t>
  </si>
  <si>
    <t>Pedido 1338</t>
  </si>
  <si>
    <t>Pedido 1339</t>
  </si>
  <si>
    <t>Pedido 1340</t>
  </si>
  <si>
    <t>Pedido 1341</t>
  </si>
  <si>
    <t>Pedido 1342</t>
  </si>
  <si>
    <t>Pedido 1343</t>
  </si>
  <si>
    <t>Pedido 1344</t>
  </si>
  <si>
    <t>Pedido 1345</t>
  </si>
  <si>
    <t>Pedido 1346</t>
  </si>
  <si>
    <t>Pedido 1347</t>
  </si>
  <si>
    <t>Pedido 1348</t>
  </si>
  <si>
    <t>Pedido 1349</t>
  </si>
  <si>
    <t>Pedido 1350</t>
  </si>
  <si>
    <t>Pedido 1351</t>
  </si>
  <si>
    <t>Pedido 1352</t>
  </si>
  <si>
    <t>Pedido 1353</t>
  </si>
  <si>
    <t>Pedido 1354</t>
  </si>
  <si>
    <t>Pedido 1355</t>
  </si>
  <si>
    <t>Pedido 1356</t>
  </si>
  <si>
    <t>Pedido 1357</t>
  </si>
  <si>
    <t>Pedido 1358</t>
  </si>
  <si>
    <t>Pedido 1359</t>
  </si>
  <si>
    <t>Pedido 1360</t>
  </si>
  <si>
    <t>Pedido 1361</t>
  </si>
  <si>
    <t>Pedido 1362</t>
  </si>
  <si>
    <t>Pedido 1363</t>
  </si>
  <si>
    <t>Pedido 1364</t>
  </si>
  <si>
    <t>Pedido 1365</t>
  </si>
  <si>
    <t>Pedido 1366</t>
  </si>
  <si>
    <t>Pedido 1367</t>
  </si>
  <si>
    <t>Pedido 1368</t>
  </si>
  <si>
    <t>Pedido 1369</t>
  </si>
  <si>
    <t>Pedido 1370</t>
  </si>
  <si>
    <t>Pedido 1371</t>
  </si>
  <si>
    <t>Pedido 1372</t>
  </si>
  <si>
    <t>Pedido 1373</t>
  </si>
  <si>
    <t>Pedido 1374</t>
  </si>
  <si>
    <t>Pedido 1375</t>
  </si>
  <si>
    <t>Pedido 1376</t>
  </si>
  <si>
    <t>Pedido 1377</t>
  </si>
  <si>
    <t>Pedido 1378</t>
  </si>
  <si>
    <t>Pedido 1379</t>
  </si>
  <si>
    <t>Pedido 1380</t>
  </si>
  <si>
    <t>Pedido 1381</t>
  </si>
  <si>
    <t>Pedido 1382</t>
  </si>
  <si>
    <t>Pedido 1383</t>
  </si>
  <si>
    <t>Pedido 1384</t>
  </si>
  <si>
    <t>Pedido 1385</t>
  </si>
  <si>
    <t>Pedido 1386</t>
  </si>
  <si>
    <t>Pedido 1387</t>
  </si>
  <si>
    <t>Pedido 1388</t>
  </si>
  <si>
    <t>Pedido 1389</t>
  </si>
  <si>
    <t>Pedido 1390</t>
  </si>
  <si>
    <t>Pedido 1391</t>
  </si>
  <si>
    <t>Pedido 1392</t>
  </si>
  <si>
    <t>Pedido 1393</t>
  </si>
  <si>
    <t>Pedido 1394</t>
  </si>
  <si>
    <t>Pedido 1395</t>
  </si>
  <si>
    <t>Pedido 1396</t>
  </si>
  <si>
    <t>Pedido 1397</t>
  </si>
  <si>
    <t>Pedido 1398</t>
  </si>
  <si>
    <t>Pedido 1399</t>
  </si>
  <si>
    <t>Pedido 1400</t>
  </si>
  <si>
    <t>Pedido 1401</t>
  </si>
  <si>
    <t>Pedido 1402</t>
  </si>
  <si>
    <t>Pedido 1403</t>
  </si>
  <si>
    <t>Pedido 1404</t>
  </si>
  <si>
    <t>Pedido 1405</t>
  </si>
  <si>
    <t>Pedido 1406</t>
  </si>
  <si>
    <t>Pedido 1407</t>
  </si>
  <si>
    <t>Pedido 1408</t>
  </si>
  <si>
    <t>Pedido 1409</t>
  </si>
  <si>
    <t>Pedido 1410</t>
  </si>
  <si>
    <t>Pedido 1411</t>
  </si>
  <si>
    <t>Pedido 1412</t>
  </si>
  <si>
    <t>Pedido 1413</t>
  </si>
  <si>
    <t>Pedido 1414</t>
  </si>
  <si>
    <t>Pedido 1415</t>
  </si>
  <si>
    <t>Pedido 1416</t>
  </si>
  <si>
    <t>Pedido 1417</t>
  </si>
  <si>
    <t>Pedido 1418</t>
  </si>
  <si>
    <t>Pedido 1419</t>
  </si>
  <si>
    <t>Pedido 1420</t>
  </si>
  <si>
    <t>Pedido 1421</t>
  </si>
  <si>
    <t>Pedido 1422</t>
  </si>
  <si>
    <t>Pedido 1423</t>
  </si>
  <si>
    <t>Pedido 1424</t>
  </si>
  <si>
    <t>Pedido 1425</t>
  </si>
  <si>
    <t>Pedido 1426</t>
  </si>
  <si>
    <t>Pedido 1427</t>
  </si>
  <si>
    <t>Pedido 1428</t>
  </si>
  <si>
    <t>Pedido 1429</t>
  </si>
  <si>
    <t>Pedido 1430</t>
  </si>
  <si>
    <t>Pedido 1431</t>
  </si>
  <si>
    <t>Pedido 1432</t>
  </si>
  <si>
    <t>Pedido 1433</t>
  </si>
  <si>
    <t>Pedido 1434</t>
  </si>
  <si>
    <t>Pedido 1435</t>
  </si>
  <si>
    <t>Pedido 1436</t>
  </si>
  <si>
    <t>Pedido 1437</t>
  </si>
  <si>
    <t>Pedido 1438</t>
  </si>
  <si>
    <t>Pedido 1439</t>
  </si>
  <si>
    <t>Pedido 1440</t>
  </si>
  <si>
    <t>Pedido 1441</t>
  </si>
  <si>
    <t>Pedido 1442</t>
  </si>
  <si>
    <t>Pedido 1443</t>
  </si>
  <si>
    <t>Pedido 1444</t>
  </si>
  <si>
    <t>Pedido 1445</t>
  </si>
  <si>
    <t>Pedido 1446</t>
  </si>
  <si>
    <t>Pedido 1447</t>
  </si>
  <si>
    <t>Pedido 1448</t>
  </si>
  <si>
    <t>Pedido 1449</t>
  </si>
  <si>
    <t>Pedido 1450</t>
  </si>
  <si>
    <t>Pedido 1451</t>
  </si>
  <si>
    <t>Pedido 1452</t>
  </si>
  <si>
    <t>Pedido 1453</t>
  </si>
  <si>
    <t>Pedido 1454</t>
  </si>
  <si>
    <t>Pedido 1455</t>
  </si>
  <si>
    <t>Pedido 1456</t>
  </si>
  <si>
    <t>Pedido 1457</t>
  </si>
  <si>
    <t>Pedido 1458</t>
  </si>
  <si>
    <t>Pedido 1459</t>
  </si>
  <si>
    <t>Pedido 1460</t>
  </si>
  <si>
    <t>Pedido 1461</t>
  </si>
  <si>
    <t>Pedido 1462</t>
  </si>
  <si>
    <t>Pedido 1463</t>
  </si>
  <si>
    <t>Pedido 1464</t>
  </si>
  <si>
    <t>Pedido 1465</t>
  </si>
  <si>
    <t>Pedido 1466</t>
  </si>
  <si>
    <t>Pedido 1467</t>
  </si>
  <si>
    <t>Pedido 1468</t>
  </si>
  <si>
    <t>Pedido 1469</t>
  </si>
  <si>
    <t>Pedido 1470</t>
  </si>
  <si>
    <t>Pedido 1471</t>
  </si>
  <si>
    <t>Pedido 1472</t>
  </si>
  <si>
    <t>Pedido 1473</t>
  </si>
  <si>
    <t>Pedido 1474</t>
  </si>
  <si>
    <t>Pedido 1475</t>
  </si>
  <si>
    <t>Pedido 1476</t>
  </si>
  <si>
    <t>Pedido 1477</t>
  </si>
  <si>
    <t>Pedido 1478</t>
  </si>
  <si>
    <t>Pedido 1479</t>
  </si>
  <si>
    <t>Pedido 1480</t>
  </si>
  <si>
    <t>Pedido 1481</t>
  </si>
  <si>
    <t>Pedido 1482</t>
  </si>
  <si>
    <t>Pedido 1483</t>
  </si>
  <si>
    <t>Pedido 1484</t>
  </si>
  <si>
    <t>Pedido 1485</t>
  </si>
  <si>
    <t>Pedido 1486</t>
  </si>
  <si>
    <t>Pedido 1487</t>
  </si>
  <si>
    <t>Pedido 1488</t>
  </si>
  <si>
    <t>Pedido 1489</t>
  </si>
  <si>
    <t>Pedido 1490</t>
  </si>
  <si>
    <t>Pedido 1491</t>
  </si>
  <si>
    <t>Pedido 1492</t>
  </si>
  <si>
    <t>Pedido 1493</t>
  </si>
  <si>
    <t>Pedido 1494</t>
  </si>
  <si>
    <t>Pedido 1495</t>
  </si>
  <si>
    <t>Pedido 1496</t>
  </si>
  <si>
    <t>Pedido 1497</t>
  </si>
  <si>
    <t>Pedido 1498</t>
  </si>
  <si>
    <t>Pedido 1499</t>
  </si>
  <si>
    <t>Pedido 1500</t>
  </si>
  <si>
    <t>Pedido 1501</t>
  </si>
  <si>
    <t>Pedido 1502</t>
  </si>
  <si>
    <t>Pedido 1503</t>
  </si>
  <si>
    <t>Pedido 1504</t>
  </si>
  <si>
    <t>Pedido 1505</t>
  </si>
  <si>
    <t>Pedido 1506</t>
  </si>
  <si>
    <t>Pedido 1507</t>
  </si>
  <si>
    <t>Pedido 1508</t>
  </si>
  <si>
    <t>Pedido 1509</t>
  </si>
  <si>
    <t>Pedido 1510</t>
  </si>
  <si>
    <t>Pedido 1511</t>
  </si>
  <si>
    <t>Pedido 1512</t>
  </si>
  <si>
    <t>Pedido 1513</t>
  </si>
  <si>
    <t>Pedido 1514</t>
  </si>
  <si>
    <t>Pedido 1515</t>
  </si>
  <si>
    <t>Pedido 1516</t>
  </si>
  <si>
    <t>Pedido 1517</t>
  </si>
  <si>
    <t>Pedido 1518</t>
  </si>
  <si>
    <t>Pedido 1519</t>
  </si>
  <si>
    <t>Pedido 1520</t>
  </si>
  <si>
    <t>Pedido 1521</t>
  </si>
  <si>
    <t>Pedido 1522</t>
  </si>
  <si>
    <t>Pedido 1523</t>
  </si>
  <si>
    <t>Pedido 1524</t>
  </si>
  <si>
    <t>Pedido 1525</t>
  </si>
  <si>
    <t>Pedido 1526</t>
  </si>
  <si>
    <t>Pedido 1527</t>
  </si>
  <si>
    <t>Pedido 1528</t>
  </si>
  <si>
    <t>Pedido 1529</t>
  </si>
  <si>
    <t>Pedido 1530</t>
  </si>
  <si>
    <t>Pedido 1531</t>
  </si>
  <si>
    <t>Pedido 1532</t>
  </si>
  <si>
    <t>Pedido 1533</t>
  </si>
  <si>
    <t>Pedido 1534</t>
  </si>
  <si>
    <t>Pedido 1535</t>
  </si>
  <si>
    <t>Pedido 1536</t>
  </si>
  <si>
    <t>Pedido 1537</t>
  </si>
  <si>
    <t>Pedido 1538</t>
  </si>
  <si>
    <t>Pedido 1539</t>
  </si>
  <si>
    <t>Pedido 1540</t>
  </si>
  <si>
    <t>Pedido 1541</t>
  </si>
  <si>
    <t>Pedido 1542</t>
  </si>
  <si>
    <t>Pedido 1543</t>
  </si>
  <si>
    <t>Pedido 1544</t>
  </si>
  <si>
    <t>Pedido 1545</t>
  </si>
  <si>
    <t>Pedido 1546</t>
  </si>
  <si>
    <t>Pedido 1547</t>
  </si>
  <si>
    <t>Pedido 1548</t>
  </si>
  <si>
    <t>Pedido 1549</t>
  </si>
  <si>
    <t>Pedido 1550</t>
  </si>
  <si>
    <t>Pedido 1551</t>
  </si>
  <si>
    <t>Pedido 1552</t>
  </si>
  <si>
    <t>Pedido 1553</t>
  </si>
  <si>
    <t>Pedido 1554</t>
  </si>
  <si>
    <t>Pedido 1555</t>
  </si>
  <si>
    <t>Pedido 1556</t>
  </si>
  <si>
    <t>Pedido 1557</t>
  </si>
  <si>
    <t>Pedido 1558</t>
  </si>
  <si>
    <t>Pedido 1559</t>
  </si>
  <si>
    <t>Pedido 1560</t>
  </si>
  <si>
    <t>Pedido 1561</t>
  </si>
  <si>
    <t>Pedido 1562</t>
  </si>
  <si>
    <t>Pedido 1563</t>
  </si>
  <si>
    <t>Pedido 1564</t>
  </si>
  <si>
    <t>Pedido 1565</t>
  </si>
  <si>
    <t>Pedido 1566</t>
  </si>
  <si>
    <t>Pedido 1567</t>
  </si>
  <si>
    <t>Pedido 1568</t>
  </si>
  <si>
    <t>Pedido 1569</t>
  </si>
  <si>
    <t>Pedido 1570</t>
  </si>
  <si>
    <t>Pedido 1571</t>
  </si>
  <si>
    <t>Pedido 1572</t>
  </si>
  <si>
    <t>Pedido 1573</t>
  </si>
  <si>
    <t>Pedido 1574</t>
  </si>
  <si>
    <t>Pedido 1575</t>
  </si>
  <si>
    <t>Pedido 1576</t>
  </si>
  <si>
    <t>Pedido 1577</t>
  </si>
  <si>
    <t>Pedido 1578</t>
  </si>
  <si>
    <t>Pedido 1579</t>
  </si>
  <si>
    <t>Pedido 1580</t>
  </si>
  <si>
    <t>Pedido 1581</t>
  </si>
  <si>
    <t>Pedido 1582</t>
  </si>
  <si>
    <t>Pedido 1583</t>
  </si>
  <si>
    <t>Pedido 1584</t>
  </si>
  <si>
    <t>Pedido 1585</t>
  </si>
  <si>
    <t>Pedido 1586</t>
  </si>
  <si>
    <t>Pedido 1587</t>
  </si>
  <si>
    <t>Pedido 1588</t>
  </si>
  <si>
    <t>Pedido 1589</t>
  </si>
  <si>
    <t>Pedido 1590</t>
  </si>
  <si>
    <t>Pedido 1591</t>
  </si>
  <si>
    <t>Pedido 1592</t>
  </si>
  <si>
    <t>Pedido 1593</t>
  </si>
  <si>
    <t>Pedido 1594</t>
  </si>
  <si>
    <t>Pedido 1595</t>
  </si>
  <si>
    <t>Pedido 1596</t>
  </si>
  <si>
    <t>Pedido 1597</t>
  </si>
  <si>
    <t>Pedido 1598</t>
  </si>
  <si>
    <t>Pedido 1599</t>
  </si>
  <si>
    <t>Pedido 1600</t>
  </si>
  <si>
    <t>Pedido 1601</t>
  </si>
  <si>
    <t>Pedido 1602</t>
  </si>
  <si>
    <t>Pedido 1603</t>
  </si>
  <si>
    <t>Pedido 1604</t>
  </si>
  <si>
    <t>Pedido 1605</t>
  </si>
  <si>
    <t>Pedido 1606</t>
  </si>
  <si>
    <t>Pedido 1607</t>
  </si>
  <si>
    <t>Pedido 1608</t>
  </si>
  <si>
    <t>Pedido 1609</t>
  </si>
  <si>
    <t>Pedido 1610</t>
  </si>
  <si>
    <t>Pedido 1611</t>
  </si>
  <si>
    <t>Pedido 1612</t>
  </si>
  <si>
    <t>Pedido 1613</t>
  </si>
  <si>
    <t>Pedido 1614</t>
  </si>
  <si>
    <t>Pedido 1615</t>
  </si>
  <si>
    <t>Pedido 1616</t>
  </si>
  <si>
    <t>Pedido 1617</t>
  </si>
  <si>
    <t>Pedido 1618</t>
  </si>
  <si>
    <t>Pedido 1619</t>
  </si>
  <si>
    <t>Pedido 1620</t>
  </si>
  <si>
    <t>Pedido 1621</t>
  </si>
  <si>
    <t>Pedido 1622</t>
  </si>
  <si>
    <t>Pedido 1623</t>
  </si>
  <si>
    <t>Pedido 1624</t>
  </si>
  <si>
    <t>Pedido 1625</t>
  </si>
  <si>
    <t>Pedido 1626</t>
  </si>
  <si>
    <t>Pedido 1627</t>
  </si>
  <si>
    <t>Pedido 1628</t>
  </si>
  <si>
    <t>Pedido 1629</t>
  </si>
  <si>
    <t>Pedido 1630</t>
  </si>
  <si>
    <t>Pedido 1631</t>
  </si>
  <si>
    <t>Pedido 1632</t>
  </si>
  <si>
    <t>Pedido 1633</t>
  </si>
  <si>
    <t>Pedido 1634</t>
  </si>
  <si>
    <t>Pedido 1635</t>
  </si>
  <si>
    <t>Pedido 1636</t>
  </si>
  <si>
    <t>Pedido 1637</t>
  </si>
  <si>
    <t>Pedido 1638</t>
  </si>
  <si>
    <t>Pedido 1639</t>
  </si>
  <si>
    <t>Pedido 1640</t>
  </si>
  <si>
    <t>Pedido 1641</t>
  </si>
  <si>
    <t>Pedido 1642</t>
  </si>
  <si>
    <t>Pedido 1643</t>
  </si>
  <si>
    <t>Pedido 1644</t>
  </si>
  <si>
    <t>Pedido 1645</t>
  </si>
  <si>
    <t>Pedido 1646</t>
  </si>
  <si>
    <t>Pedido 1647</t>
  </si>
  <si>
    <t>Pedido 1648</t>
  </si>
  <si>
    <t>Pedido 1649</t>
  </si>
  <si>
    <t>Pedido 1650</t>
  </si>
  <si>
    <t>Pedido 1651</t>
  </si>
  <si>
    <t>Pedido 1652</t>
  </si>
  <si>
    <t>Pedido 1653</t>
  </si>
  <si>
    <t>Pedido 1654</t>
  </si>
  <si>
    <t>Pedido 1655</t>
  </si>
  <si>
    <t>Pedido 1656</t>
  </si>
  <si>
    <t>Pedido 1657</t>
  </si>
  <si>
    <t>Pedido 1658</t>
  </si>
  <si>
    <t>Pedido 1659</t>
  </si>
  <si>
    <t>Pedido 1660</t>
  </si>
  <si>
    <t>Pedido 1661</t>
  </si>
  <si>
    <t>Pedido 1662</t>
  </si>
  <si>
    <t>Pedido 1663</t>
  </si>
  <si>
    <t>Pedido 1664</t>
  </si>
  <si>
    <t>Pedido 1665</t>
  </si>
  <si>
    <t>Pedido 1666</t>
  </si>
  <si>
    <t>Pedido 1667</t>
  </si>
  <si>
    <t>Pedido 1668</t>
  </si>
  <si>
    <t>Pedido 1669</t>
  </si>
  <si>
    <t>Pedido 1670</t>
  </si>
  <si>
    <t>Pedido 1671</t>
  </si>
  <si>
    <t>Pedido 1672</t>
  </si>
  <si>
    <t>Pedido 1673</t>
  </si>
  <si>
    <t>Pedido 1674</t>
  </si>
  <si>
    <t>Pedido 1675</t>
  </si>
  <si>
    <t>Pedido 1676</t>
  </si>
  <si>
    <t>Pedido 1677</t>
  </si>
  <si>
    <t>Pedido 1678</t>
  </si>
  <si>
    <t>Pedido 1679</t>
  </si>
  <si>
    <t>Pedido 1680</t>
  </si>
  <si>
    <t>Pedido 1681</t>
  </si>
  <si>
    <t>Pedido 1682</t>
  </si>
  <si>
    <t>Pedido 1683</t>
  </si>
  <si>
    <t>Pedido 1684</t>
  </si>
  <si>
    <t>Pedido 1685</t>
  </si>
  <si>
    <t>Pedido 1686</t>
  </si>
  <si>
    <t>Pedido 1687</t>
  </si>
  <si>
    <t>Pedido 1688</t>
  </si>
  <si>
    <t>Pedido 1689</t>
  </si>
  <si>
    <t>Pedido 1690</t>
  </si>
  <si>
    <t>Pedido 1691</t>
  </si>
  <si>
    <t>Pedido 1692</t>
  </si>
  <si>
    <t>Pedido 1693</t>
  </si>
  <si>
    <t>Pedido 1694</t>
  </si>
  <si>
    <t>Pedido 1695</t>
  </si>
  <si>
    <t>Pedido 1696</t>
  </si>
  <si>
    <t>Pedido 1697</t>
  </si>
  <si>
    <t>Pedido 1698</t>
  </si>
  <si>
    <t>Pedido 1699</t>
  </si>
  <si>
    <t>Pedido 1700</t>
  </si>
  <si>
    <t>Pedido 1701</t>
  </si>
  <si>
    <t>Pedido 1702</t>
  </si>
  <si>
    <t>Pedido 1703</t>
  </si>
  <si>
    <t>Pedido 1704</t>
  </si>
  <si>
    <t>Pedido 1705</t>
  </si>
  <si>
    <t>Pedido 1706</t>
  </si>
  <si>
    <t>Pedido 1707</t>
  </si>
  <si>
    <t>Pedido 1708</t>
  </si>
  <si>
    <t>Pedido 1709</t>
  </si>
  <si>
    <t>Pedido 1710</t>
  </si>
  <si>
    <t>Pedido 1711</t>
  </si>
  <si>
    <t>Pedido 1712</t>
  </si>
  <si>
    <t>Pedido 1713</t>
  </si>
  <si>
    <t>Pedido 1714</t>
  </si>
  <si>
    <t>Pedido 1715</t>
  </si>
  <si>
    <t>Pedido 1716</t>
  </si>
  <si>
    <t>Pedido 1717</t>
  </si>
  <si>
    <t>Pedido 1718</t>
  </si>
  <si>
    <t>Pedido 1719</t>
  </si>
  <si>
    <t>Pedido 1720</t>
  </si>
  <si>
    <t>Pedido 1721</t>
  </si>
  <si>
    <t>Pedido 1722</t>
  </si>
  <si>
    <t>Pedido 1723</t>
  </si>
  <si>
    <t>Pedido 1724</t>
  </si>
  <si>
    <t>Pedido 1725</t>
  </si>
  <si>
    <t>Pedido 1726</t>
  </si>
  <si>
    <t>Pedido 1727</t>
  </si>
  <si>
    <t>Pedido 1728</t>
  </si>
  <si>
    <t>Pedido 1729</t>
  </si>
  <si>
    <t>Pedido 1730</t>
  </si>
  <si>
    <t>Pedido 1731</t>
  </si>
  <si>
    <t>Pedido 1732</t>
  </si>
  <si>
    <t>Pedido 1733</t>
  </si>
  <si>
    <t>Pedido 1734</t>
  </si>
  <si>
    <t>Pedido 1735</t>
  </si>
  <si>
    <t>Pedido 1736</t>
  </si>
  <si>
    <t>Pedido 1737</t>
  </si>
  <si>
    <t>Pedido 1738</t>
  </si>
  <si>
    <t>Pedido 1739</t>
  </si>
  <si>
    <t>Pedido 1740</t>
  </si>
  <si>
    <t>Pedido 1741</t>
  </si>
  <si>
    <t>Pedido 1742</t>
  </si>
  <si>
    <t>Pedido 1743</t>
  </si>
  <si>
    <t>Pedido 1744</t>
  </si>
  <si>
    <t>Pedido 1745</t>
  </si>
  <si>
    <t>Pedido 1746</t>
  </si>
  <si>
    <t>Pedido 1747</t>
  </si>
  <si>
    <t>Pedido 1748</t>
  </si>
  <si>
    <t>Pedido 1749</t>
  </si>
  <si>
    <t>Pedido 1750</t>
  </si>
  <si>
    <t>Pedido 1751</t>
  </si>
  <si>
    <t>Pedido 1752</t>
  </si>
  <si>
    <t>Pedido 1753</t>
  </si>
  <si>
    <t>Pedido 1754</t>
  </si>
  <si>
    <t>Pedido 1755</t>
  </si>
  <si>
    <t>Pedido 1756</t>
  </si>
  <si>
    <t>Pedido 1757</t>
  </si>
  <si>
    <t>Pedido 1758</t>
  </si>
  <si>
    <t>Pedido 1759</t>
  </si>
  <si>
    <t>Pedido 1760</t>
  </si>
  <si>
    <t>Pedido 1761</t>
  </si>
  <si>
    <t>Pedido 1762</t>
  </si>
  <si>
    <t>Pedido 1763</t>
  </si>
  <si>
    <t>Pedido 1764</t>
  </si>
  <si>
    <t>Pedido 1765</t>
  </si>
  <si>
    <t>Pedido 1766</t>
  </si>
  <si>
    <t>Pedido 1767</t>
  </si>
  <si>
    <t>Pedido 1768</t>
  </si>
  <si>
    <t>Pedido 1769</t>
  </si>
  <si>
    <t>Pedido 1770</t>
  </si>
  <si>
    <t>Pedido 1771</t>
  </si>
  <si>
    <t>Pedido 1772</t>
  </si>
  <si>
    <t>Pedido 1773</t>
  </si>
  <si>
    <t>Pedido 1774</t>
  </si>
  <si>
    <t>Pedido 1775</t>
  </si>
  <si>
    <t>Pedido 1776</t>
  </si>
  <si>
    <t>Pedido 1777</t>
  </si>
  <si>
    <t>Pedido 1778</t>
  </si>
  <si>
    <t>Pedido 1779</t>
  </si>
  <si>
    <t>Pedido 1780</t>
  </si>
  <si>
    <t>Pedido 1781</t>
  </si>
  <si>
    <t>Pedido 1782</t>
  </si>
  <si>
    <t>Pedido 1783</t>
  </si>
  <si>
    <t>Pedido 1784</t>
  </si>
  <si>
    <t>Pedido 1785</t>
  </si>
  <si>
    <t>Pedido 1786</t>
  </si>
  <si>
    <t>Pedido 1787</t>
  </si>
  <si>
    <t>Pedido 1788</t>
  </si>
  <si>
    <t>Pedido 1789</t>
  </si>
  <si>
    <t>Pedido 1790</t>
  </si>
  <si>
    <t>Pedido 1791</t>
  </si>
  <si>
    <t>Pedido 1792</t>
  </si>
  <si>
    <t>Pedido 1793</t>
  </si>
  <si>
    <t>Pedido 1794</t>
  </si>
  <si>
    <t>Pedido 1795</t>
  </si>
  <si>
    <t>Pedido 1796</t>
  </si>
  <si>
    <t>Pedido 1797</t>
  </si>
  <si>
    <t>Pedido 1798</t>
  </si>
  <si>
    <t>Pedido 1799</t>
  </si>
  <si>
    <t>Pedido 1800</t>
  </si>
  <si>
    <t>Pedido 1801</t>
  </si>
  <si>
    <t>Pedido 1802</t>
  </si>
  <si>
    <t>Pedido 1803</t>
  </si>
  <si>
    <t>Pedido 1804</t>
  </si>
  <si>
    <t>Pedido 1805</t>
  </si>
  <si>
    <t>Pedido 1806</t>
  </si>
  <si>
    <t>Pedido 1807</t>
  </si>
  <si>
    <t>Pedido 1808</t>
  </si>
  <si>
    <t>Pedido 1809</t>
  </si>
  <si>
    <t>Pedido 1810</t>
  </si>
  <si>
    <t>Pedido 1811</t>
  </si>
  <si>
    <t>Pedido 1812</t>
  </si>
  <si>
    <t>Pedido 1813</t>
  </si>
  <si>
    <t>Pedido 1814</t>
  </si>
  <si>
    <t>Pedido 1815</t>
  </si>
  <si>
    <t>Pedido 1816</t>
  </si>
  <si>
    <t>Pedido 1817</t>
  </si>
  <si>
    <t>Pedido 1818</t>
  </si>
  <si>
    <t>Pedido 1819</t>
  </si>
  <si>
    <t>Pedido 1820</t>
  </si>
  <si>
    <t>Pedido 1821</t>
  </si>
  <si>
    <t>Pedido 1822</t>
  </si>
  <si>
    <t>Pedido 1823</t>
  </si>
  <si>
    <t>Pedido 1824</t>
  </si>
  <si>
    <t>Pedido 1825</t>
  </si>
  <si>
    <t>Pedido 1826</t>
  </si>
  <si>
    <t>Pedido 1827</t>
  </si>
  <si>
    <t>Pedido 1828</t>
  </si>
  <si>
    <t>Pedido 1829</t>
  </si>
  <si>
    <t>Pedido 1830</t>
  </si>
  <si>
    <t>Pedido 1831</t>
  </si>
  <si>
    <t>Pedido 1832</t>
  </si>
  <si>
    <t>Pedido 1833</t>
  </si>
  <si>
    <t>Pedido 1834</t>
  </si>
  <si>
    <t>Pedido 1835</t>
  </si>
  <si>
    <t>Pedido 1836</t>
  </si>
  <si>
    <t>Pedido 1837</t>
  </si>
  <si>
    <t>Pedido 1838</t>
  </si>
  <si>
    <t>Pedido 1839</t>
  </si>
  <si>
    <t>Pedido 1840</t>
  </si>
  <si>
    <t>Pedido 1841</t>
  </si>
  <si>
    <t>Pedido 1842</t>
  </si>
  <si>
    <t>Pedido 1843</t>
  </si>
  <si>
    <t>Pedido 1844</t>
  </si>
  <si>
    <t>Pedido 1845</t>
  </si>
  <si>
    <t>Pedido 1846</t>
  </si>
  <si>
    <t>Pedido 1847</t>
  </si>
  <si>
    <t>Pedido 1848</t>
  </si>
  <si>
    <t>Pedido 1849</t>
  </si>
  <si>
    <t>Pedido 1850</t>
  </si>
  <si>
    <t>Pedido 1851</t>
  </si>
  <si>
    <t>Pedido 1852</t>
  </si>
  <si>
    <t>Pedido 1853</t>
  </si>
  <si>
    <t>Pedido 1854</t>
  </si>
  <si>
    <t>Pedido 1855</t>
  </si>
  <si>
    <t>Pedido 1856</t>
  </si>
  <si>
    <t>Pedido 1857</t>
  </si>
  <si>
    <t>Pedido 1858</t>
  </si>
  <si>
    <t>Pedido 1859</t>
  </si>
  <si>
    <t>Pedido 1860</t>
  </si>
  <si>
    <t>Pedido 1861</t>
  </si>
  <si>
    <t>Pedido 1862</t>
  </si>
  <si>
    <t>Pedido 1863</t>
  </si>
  <si>
    <t>Pedido 1864</t>
  </si>
  <si>
    <t>Pedido 1865</t>
  </si>
  <si>
    <t>Pedido 1866</t>
  </si>
  <si>
    <t>Pedido 1867</t>
  </si>
  <si>
    <t>Pedido 1868</t>
  </si>
  <si>
    <t>Pedido 1869</t>
  </si>
  <si>
    <t>Pedido 1870</t>
  </si>
  <si>
    <t>Pedido 1871</t>
  </si>
  <si>
    <t>Pedido 1872</t>
  </si>
  <si>
    <t>Pedido 1873</t>
  </si>
  <si>
    <t>Pedido 1874</t>
  </si>
  <si>
    <t>Pedido 1875</t>
  </si>
  <si>
    <t>Pedido 1876</t>
  </si>
  <si>
    <t>Pedido 1877</t>
  </si>
  <si>
    <t>Pedido 1878</t>
  </si>
  <si>
    <t>Pedido 1879</t>
  </si>
  <si>
    <t>Pedido 1880</t>
  </si>
  <si>
    <t>Pedido 1881</t>
  </si>
  <si>
    <t>Pedido 1882</t>
  </si>
  <si>
    <t>Pedido 1883</t>
  </si>
  <si>
    <t>Pedido 1884</t>
  </si>
  <si>
    <t>Pedido 1885</t>
  </si>
  <si>
    <t>Pedido 1886</t>
  </si>
  <si>
    <t>Pedido 1887</t>
  </si>
  <si>
    <t>Pedido 1888</t>
  </si>
  <si>
    <t>Pedido 1889</t>
  </si>
  <si>
    <t>Pedido 1890</t>
  </si>
  <si>
    <t>Pedido 1891</t>
  </si>
  <si>
    <t>Pedido 1892</t>
  </si>
  <si>
    <t>Pedido 1893</t>
  </si>
  <si>
    <t>Pedido 1894</t>
  </si>
  <si>
    <t>Pedido 1895</t>
  </si>
  <si>
    <t>Pedido 1896</t>
  </si>
  <si>
    <t>Pedido 1897</t>
  </si>
  <si>
    <t>Pedido 1898</t>
  </si>
  <si>
    <t>Pedido 1899</t>
  </si>
  <si>
    <t>Pedido 1900</t>
  </si>
  <si>
    <t>Pedido 1901</t>
  </si>
  <si>
    <t>Pedido 1902</t>
  </si>
  <si>
    <t>Pedido 1903</t>
  </si>
  <si>
    <t>Pedido 1904</t>
  </si>
  <si>
    <t>Pedido 1905</t>
  </si>
  <si>
    <t>Pedido 1906</t>
  </si>
  <si>
    <t>Pedido 1907</t>
  </si>
  <si>
    <t>Pedido 1908</t>
  </si>
  <si>
    <t>Pedido 1909</t>
  </si>
  <si>
    <t>Pedido 1910</t>
  </si>
  <si>
    <t>Pedido 1911</t>
  </si>
  <si>
    <t>Pedido 1912</t>
  </si>
  <si>
    <t>Pedido 1913</t>
  </si>
  <si>
    <t>Pedido 1914</t>
  </si>
  <si>
    <t>Pedido 1915</t>
  </si>
  <si>
    <t>Pedido 1916</t>
  </si>
  <si>
    <t>Pedido 1917</t>
  </si>
  <si>
    <t>Pedido 1918</t>
  </si>
  <si>
    <t>Pedido 1919</t>
  </si>
  <si>
    <t>Pedido 1920</t>
  </si>
  <si>
    <t>Pedido 1921</t>
  </si>
  <si>
    <t>Pedido 1922</t>
  </si>
  <si>
    <t>Pedido 1923</t>
  </si>
  <si>
    <t>Pedido 1924</t>
  </si>
  <si>
    <t>Pedido 1925</t>
  </si>
  <si>
    <t>Pedido 1926</t>
  </si>
  <si>
    <t>Pedido 1927</t>
  </si>
  <si>
    <t>Pedido 1928</t>
  </si>
  <si>
    <t>Pedido 1929</t>
  </si>
  <si>
    <t>Pedido 1930</t>
  </si>
  <si>
    <t>Pedido 1931</t>
  </si>
  <si>
    <t>Pedido 1932</t>
  </si>
  <si>
    <t>Pedido 1933</t>
  </si>
  <si>
    <t>Pedido 1934</t>
  </si>
  <si>
    <t>Pedido 1935</t>
  </si>
  <si>
    <t>Pedido 1936</t>
  </si>
  <si>
    <t>Pedido 1937</t>
  </si>
  <si>
    <t>Pedido 1938</t>
  </si>
  <si>
    <t>Pedido 1939</t>
  </si>
  <si>
    <t>Pedido 1940</t>
  </si>
  <si>
    <t>Pedido 1941</t>
  </si>
  <si>
    <t>Pedido 1942</t>
  </si>
  <si>
    <t>Pedido 1943</t>
  </si>
  <si>
    <t>Pedido 1944</t>
  </si>
  <si>
    <t>Pedido 1945</t>
  </si>
  <si>
    <t>Pedido 1946</t>
  </si>
  <si>
    <t>Pedido 1947</t>
  </si>
  <si>
    <t>Pedido 1948</t>
  </si>
  <si>
    <t>Pedido 1949</t>
  </si>
  <si>
    <t>Pedido 1950</t>
  </si>
  <si>
    <t>Pedido 1951</t>
  </si>
  <si>
    <t>Pedido 1952</t>
  </si>
  <si>
    <t>Pedido 1953</t>
  </si>
  <si>
    <t>Pedido 1954</t>
  </si>
  <si>
    <t>Pedido 1955</t>
  </si>
  <si>
    <t>Pedido 1956</t>
  </si>
  <si>
    <t>Pedido 1957</t>
  </si>
  <si>
    <t>Pedido 1958</t>
  </si>
  <si>
    <t>Pedido 1959</t>
  </si>
  <si>
    <t>Pedido 1960</t>
  </si>
  <si>
    <t>Pedido 1961</t>
  </si>
  <si>
    <t>Pedido 1962</t>
  </si>
  <si>
    <t>Pedido 1963</t>
  </si>
  <si>
    <t>Pedido 1964</t>
  </si>
  <si>
    <t>Pedido 1965</t>
  </si>
  <si>
    <t>Pedido 1966</t>
  </si>
  <si>
    <t>Pedido 1967</t>
  </si>
  <si>
    <t>Pedido 1968</t>
  </si>
  <si>
    <t>Pedido 1969</t>
  </si>
  <si>
    <t>Pedido 1970</t>
  </si>
  <si>
    <t>Pedido 1971</t>
  </si>
  <si>
    <t>Pedido 1972</t>
  </si>
  <si>
    <t>Pedido 1973</t>
  </si>
  <si>
    <t>Pedido 1974</t>
  </si>
  <si>
    <t>Pedido 1975</t>
  </si>
  <si>
    <t>Pedido 1976</t>
  </si>
  <si>
    <t>Pedido 1977</t>
  </si>
  <si>
    <t>Pedido 1978</t>
  </si>
  <si>
    <t>Pedido 1979</t>
  </si>
  <si>
    <t>Pedido 1980</t>
  </si>
  <si>
    <t>Pedido 1981</t>
  </si>
  <si>
    <t>Pedido 1982</t>
  </si>
  <si>
    <t>Pedido 1983</t>
  </si>
  <si>
    <t>Pedido 1984</t>
  </si>
  <si>
    <t>Pedido 1985</t>
  </si>
  <si>
    <t>Pedido 1986</t>
  </si>
  <si>
    <t>Pedido 1987</t>
  </si>
  <si>
    <t>Pedido 1988</t>
  </si>
  <si>
    <t>Pedido 1989</t>
  </si>
  <si>
    <t>Pedido 1990</t>
  </si>
  <si>
    <t>Pedido 1991</t>
  </si>
  <si>
    <t>Pedido 1992</t>
  </si>
  <si>
    <t>Pedido 1993</t>
  </si>
  <si>
    <t>Pedido 1994</t>
  </si>
  <si>
    <t>Pedido 1995</t>
  </si>
  <si>
    <t>Pedido 1996</t>
  </si>
  <si>
    <t>Pedido 1997</t>
  </si>
  <si>
    <t>Pedido 1998</t>
  </si>
  <si>
    <t>Pedido 1999</t>
  </si>
  <si>
    <t>Pedido 2000</t>
  </si>
  <si>
    <t>Pedido 2001</t>
  </si>
  <si>
    <t>Pedido 2002</t>
  </si>
  <si>
    <t>Pedido 2003</t>
  </si>
  <si>
    <t>Pedido 2004</t>
  </si>
  <si>
    <t>Pedido 2005</t>
  </si>
  <si>
    <t>Pedido 2006</t>
  </si>
  <si>
    <t>Pedido 2007</t>
  </si>
  <si>
    <t>Pedido 2008</t>
  </si>
  <si>
    <t>Pedido 2009</t>
  </si>
  <si>
    <t>Pedido 2010</t>
  </si>
  <si>
    <t>Pedido 2011</t>
  </si>
  <si>
    <t>Pedido 2012</t>
  </si>
  <si>
    <t>Pedido 2013</t>
  </si>
  <si>
    <t>Pedido 2014</t>
  </si>
  <si>
    <t>Pedido 2015</t>
  </si>
  <si>
    <t>Pedido 2016</t>
  </si>
  <si>
    <t>Pedido 2017</t>
  </si>
  <si>
    <t>Pedido 2018</t>
  </si>
  <si>
    <t>Pedido 2019</t>
  </si>
  <si>
    <t>Pedido 2020</t>
  </si>
  <si>
    <t>Pedido 2021</t>
  </si>
  <si>
    <t>Pedido 2022</t>
  </si>
  <si>
    <t>Pedido 2023</t>
  </si>
  <si>
    <t>Pedido 2024</t>
  </si>
  <si>
    <t>Pedido 2025</t>
  </si>
  <si>
    <t>Pedido 2026</t>
  </si>
  <si>
    <t>Pedido 2027</t>
  </si>
  <si>
    <t>Pedido 2028</t>
  </si>
  <si>
    <t>Pedido 2029</t>
  </si>
  <si>
    <t>Pedido 2030</t>
  </si>
  <si>
    <t>Pedido 2031</t>
  </si>
  <si>
    <t>Pedido 2032</t>
  </si>
  <si>
    <t>Pedido 2033</t>
  </si>
  <si>
    <t>Pedido 2034</t>
  </si>
  <si>
    <t>Pedido 2035</t>
  </si>
  <si>
    <t>Pedido 2036</t>
  </si>
  <si>
    <t>Pedido 2037</t>
  </si>
  <si>
    <t>Pedido 2038</t>
  </si>
  <si>
    <t>Pedido 2039</t>
  </si>
  <si>
    <t>Pedido 2040</t>
  </si>
  <si>
    <t>Pedido 2041</t>
  </si>
  <si>
    <t>Pedido 2042</t>
  </si>
  <si>
    <t>Pedido 2043</t>
  </si>
  <si>
    <t>Pedido 2044</t>
  </si>
  <si>
    <t>Pedido 2045</t>
  </si>
  <si>
    <t>Pedido 2046</t>
  </si>
  <si>
    <t>Pedido 2047</t>
  </si>
  <si>
    <t>Pedido 2048</t>
  </si>
  <si>
    <t>Pedido 2049</t>
  </si>
  <si>
    <t>Pedido 2050</t>
  </si>
  <si>
    <t>Pedido 2051</t>
  </si>
  <si>
    <t>Pedido 2052</t>
  </si>
  <si>
    <t>Pedido 2053</t>
  </si>
  <si>
    <t>Pedido 2054</t>
  </si>
  <si>
    <t>Pedido 2055</t>
  </si>
  <si>
    <t>Pedido 2056</t>
  </si>
  <si>
    <t>Pedido 2057</t>
  </si>
  <si>
    <t>Pedido 2058</t>
  </si>
  <si>
    <t>Pedido 2059</t>
  </si>
  <si>
    <t>Pedido 2060</t>
  </si>
  <si>
    <t>Pedido 2061</t>
  </si>
  <si>
    <t>Pedido 2062</t>
  </si>
  <si>
    <t>Pedido 2063</t>
  </si>
  <si>
    <t>Pedido 2064</t>
  </si>
  <si>
    <t>Pedido 2065</t>
  </si>
  <si>
    <t>Pedido 2066</t>
  </si>
  <si>
    <t>Pedido 2067</t>
  </si>
  <si>
    <t>Pedido 2068</t>
  </si>
  <si>
    <t>Pedido 2069</t>
  </si>
  <si>
    <t>Pedido 2070</t>
  </si>
  <si>
    <t>Pedido 2071</t>
  </si>
  <si>
    <t>Pedido 2072</t>
  </si>
  <si>
    <t>Pedido 2073</t>
  </si>
  <si>
    <t>Pedido 2074</t>
  </si>
  <si>
    <t>Pedido 2075</t>
  </si>
  <si>
    <t>Pedido 2076</t>
  </si>
  <si>
    <t>Pedido 2077</t>
  </si>
  <si>
    <t>Pedido 2078</t>
  </si>
  <si>
    <t>Pedido 2079</t>
  </si>
  <si>
    <t>Pedido 2080</t>
  </si>
  <si>
    <t>Pedido 2081</t>
  </si>
  <si>
    <t>Pedido 2082</t>
  </si>
  <si>
    <t>Pedido 2083</t>
  </si>
  <si>
    <t>Pedido 2084</t>
  </si>
  <si>
    <t>Pedido 2085</t>
  </si>
  <si>
    <t>Pedido 2086</t>
  </si>
  <si>
    <t>Pedido 2087</t>
  </si>
  <si>
    <t>Pedido 2088</t>
  </si>
  <si>
    <t>Pedido 2089</t>
  </si>
  <si>
    <t>Pedido 2090</t>
  </si>
  <si>
    <t>Pedido 2091</t>
  </si>
  <si>
    <t>Pedido 2092</t>
  </si>
  <si>
    <t>Pedido 2093</t>
  </si>
  <si>
    <t>Pedido 2094</t>
  </si>
  <si>
    <t>Pedido 2095</t>
  </si>
  <si>
    <t>Pedido 2096</t>
  </si>
  <si>
    <t>Pedido 2097</t>
  </si>
  <si>
    <t>Pedido 2098</t>
  </si>
  <si>
    <t>Pedido 2099</t>
  </si>
  <si>
    <t>Pedido 2100</t>
  </si>
  <si>
    <t>Pedido 2101</t>
  </si>
  <si>
    <t>Pedido 2102</t>
  </si>
  <si>
    <t>Pedido 2103</t>
  </si>
  <si>
    <t>Pedido 2104</t>
  </si>
  <si>
    <t>Pedido 2105</t>
  </si>
  <si>
    <t>Pedido 2106</t>
  </si>
  <si>
    <t>Pedido 2107</t>
  </si>
  <si>
    <t>Pedido 2108</t>
  </si>
  <si>
    <t>PedidoF1</t>
  </si>
  <si>
    <t>PedidoF2</t>
  </si>
  <si>
    <t>PedidoF3</t>
  </si>
  <si>
    <t>PedidoF4</t>
  </si>
  <si>
    <t>PedidoF5</t>
  </si>
  <si>
    <t>PedidoF6</t>
  </si>
  <si>
    <t>PedidoF7</t>
  </si>
  <si>
    <t>PedidoF8</t>
  </si>
  <si>
    <t>PedidoF9</t>
  </si>
  <si>
    <t>PedidoF10</t>
  </si>
  <si>
    <t>PedidoF11</t>
  </si>
  <si>
    <t>PedidoF12</t>
  </si>
  <si>
    <t>PedidoF13</t>
  </si>
  <si>
    <t>PedidoF14</t>
  </si>
  <si>
    <t>PedidoF15</t>
  </si>
  <si>
    <t>PedidoF16</t>
  </si>
  <si>
    <t>PedidoF17</t>
  </si>
  <si>
    <t>PedidoF18</t>
  </si>
  <si>
    <t>PedidoF19</t>
  </si>
  <si>
    <t>PedidoF20</t>
  </si>
  <si>
    <t>PedidoF21</t>
  </si>
  <si>
    <t>PedidoF22</t>
  </si>
  <si>
    <t>PedidoF23</t>
  </si>
  <si>
    <t>PedidoF24</t>
  </si>
  <si>
    <t>PedidoF25</t>
  </si>
  <si>
    <t>PedidoF26</t>
  </si>
  <si>
    <t>PedidoF27</t>
  </si>
  <si>
    <t>PedidoF28</t>
  </si>
  <si>
    <t>PedidoF29</t>
  </si>
  <si>
    <t>PedidoF30</t>
  </si>
  <si>
    <t>PedidoF31</t>
  </si>
  <si>
    <t>PedidoF32</t>
  </si>
  <si>
    <t>PedidoF33</t>
  </si>
  <si>
    <t>PedidoF34</t>
  </si>
  <si>
    <t>PedidoF35</t>
  </si>
  <si>
    <t>PedidoF36</t>
  </si>
  <si>
    <t>PedidoF37</t>
  </si>
  <si>
    <t>PedidoF38</t>
  </si>
  <si>
    <t>PedidoF39</t>
  </si>
  <si>
    <t>PedidoF40</t>
  </si>
  <si>
    <t>PedidoF41</t>
  </si>
  <si>
    <t>PedidoF42</t>
  </si>
  <si>
    <t>PedidoF43</t>
  </si>
  <si>
    <t>PedidoF44</t>
  </si>
  <si>
    <t>PedidoF45</t>
  </si>
  <si>
    <t>PedidoF46</t>
  </si>
  <si>
    <t>PedidoF47</t>
  </si>
  <si>
    <t>PedidoF48</t>
  </si>
  <si>
    <t>PedidoF49</t>
  </si>
  <si>
    <t>PedidoF50</t>
  </si>
  <si>
    <t>PedidoF51</t>
  </si>
  <si>
    <t>PedidoF52</t>
  </si>
  <si>
    <t>PedidoF53</t>
  </si>
  <si>
    <t>PedidoF54</t>
  </si>
  <si>
    <t>PedidoF55</t>
  </si>
  <si>
    <t>PedidoF56</t>
  </si>
  <si>
    <t>PedidoF57</t>
  </si>
  <si>
    <t>PedidoF58</t>
  </si>
  <si>
    <t>PedidoF59</t>
  </si>
  <si>
    <t>PedidoF60</t>
  </si>
  <si>
    <t>PedidoF61</t>
  </si>
  <si>
    <t>PedidoF62</t>
  </si>
  <si>
    <t>PedidoF63</t>
  </si>
  <si>
    <t>PedidoF64</t>
  </si>
  <si>
    <t>PedidoF65</t>
  </si>
  <si>
    <t>PedidoF66</t>
  </si>
  <si>
    <t>PedidoF67</t>
  </si>
  <si>
    <t>PedidoF68</t>
  </si>
  <si>
    <t>PedidoF69</t>
  </si>
  <si>
    <t>PedidoF70</t>
  </si>
  <si>
    <t>PedidoF71</t>
  </si>
  <si>
    <t>PedidoF72</t>
  </si>
  <si>
    <t>PedidoF73</t>
  </si>
  <si>
    <t>PedidoF74</t>
  </si>
  <si>
    <t>PedidoF75</t>
  </si>
  <si>
    <t>PedidoF76</t>
  </si>
  <si>
    <t>PedidoF77</t>
  </si>
  <si>
    <t>PedidoF78</t>
  </si>
  <si>
    <t>PedidoF79</t>
  </si>
  <si>
    <t>PedidoF80</t>
  </si>
  <si>
    <t>PedidoF81</t>
  </si>
  <si>
    <t>PedidoF82</t>
  </si>
  <si>
    <t>PedidoF83</t>
  </si>
  <si>
    <t>PedidoF84</t>
  </si>
  <si>
    <t>PedidoF85</t>
  </si>
  <si>
    <t>PedidoF86</t>
  </si>
  <si>
    <t>PedidoF87</t>
  </si>
  <si>
    <t>PedidoF88</t>
  </si>
  <si>
    <t>PedidoF89</t>
  </si>
  <si>
    <t>PedidoF90</t>
  </si>
  <si>
    <t>PedidoF91</t>
  </si>
  <si>
    <t>PedidoF92</t>
  </si>
  <si>
    <t>PedidoF93</t>
  </si>
  <si>
    <t>PedidoF94</t>
  </si>
  <si>
    <t>PedidoF95</t>
  </si>
  <si>
    <t>PedidoF96</t>
  </si>
  <si>
    <t>PedidoF97</t>
  </si>
  <si>
    <t>PedidoF98</t>
  </si>
  <si>
    <t>PedidoF99</t>
  </si>
  <si>
    <t>PedidoF100</t>
  </si>
  <si>
    <t>PedidoF101</t>
  </si>
  <si>
    <t>PedidoF102</t>
  </si>
  <si>
    <t>PedidoF103</t>
  </si>
  <si>
    <t>PedidoF104</t>
  </si>
  <si>
    <t>PedidoF105</t>
  </si>
  <si>
    <t>PedidoF106</t>
  </si>
  <si>
    <t>PedidoF107</t>
  </si>
  <si>
    <t>PedidoF108</t>
  </si>
  <si>
    <t>PedidoF109</t>
  </si>
  <si>
    <t>PedidoF110</t>
  </si>
  <si>
    <t>PedidoF111</t>
  </si>
  <si>
    <t>PedidoF112</t>
  </si>
  <si>
    <t>PedidoF113</t>
  </si>
  <si>
    <t>PedidoF114</t>
  </si>
  <si>
    <t>PedidoF115</t>
  </si>
  <si>
    <t>PedidoF116</t>
  </si>
  <si>
    <t>PedidoF117</t>
  </si>
  <si>
    <t>PedidoF118</t>
  </si>
  <si>
    <t>PedidoF119</t>
  </si>
  <si>
    <t>PedidoF120</t>
  </si>
  <si>
    <t>PedidoF121</t>
  </si>
  <si>
    <t>PedidoF122</t>
  </si>
  <si>
    <t>PedidoF123</t>
  </si>
  <si>
    <t>PedidoF124</t>
  </si>
  <si>
    <t>PedidoF125</t>
  </si>
  <si>
    <t>PedidoF126</t>
  </si>
  <si>
    <t>PedidoF127</t>
  </si>
  <si>
    <t>PedidoF128</t>
  </si>
  <si>
    <t>PedidoF129</t>
  </si>
  <si>
    <t>PedidoF130</t>
  </si>
  <si>
    <t>PedidoF131</t>
  </si>
  <si>
    <t>PedidoF132</t>
  </si>
  <si>
    <t>PedidoF133</t>
  </si>
  <si>
    <t>PedidoF134</t>
  </si>
  <si>
    <t>PedidoF135</t>
  </si>
  <si>
    <t>PedidoF136</t>
  </si>
  <si>
    <t>PedidoF137</t>
  </si>
  <si>
    <t>PedidoF138</t>
  </si>
  <si>
    <t>PedidoF139</t>
  </si>
  <si>
    <t>PedidoF140</t>
  </si>
  <si>
    <t>PedidoF141</t>
  </si>
  <si>
    <t>PedidoF142</t>
  </si>
  <si>
    <t>PedidoF143</t>
  </si>
  <si>
    <t>PedidoF144</t>
  </si>
  <si>
    <t>PedidoF145</t>
  </si>
  <si>
    <t>PedidoF146</t>
  </si>
  <si>
    <t>PedidoF147</t>
  </si>
  <si>
    <t>PedidoF148</t>
  </si>
  <si>
    <t>PedidoF149</t>
  </si>
  <si>
    <t>PedidoF150</t>
  </si>
  <si>
    <t>PedidoF151</t>
  </si>
  <si>
    <t>PedidoF152</t>
  </si>
  <si>
    <t>PedidoF153</t>
  </si>
  <si>
    <t>PedidoF154</t>
  </si>
  <si>
    <t>PedidoF155</t>
  </si>
  <si>
    <t>PedidoF156</t>
  </si>
  <si>
    <t>PedidoF157</t>
  </si>
  <si>
    <t>PedidoF158</t>
  </si>
  <si>
    <t>PedidoF159</t>
  </si>
  <si>
    <t>PedidoF160</t>
  </si>
  <si>
    <t>PedidoF161</t>
  </si>
  <si>
    <t>PedidoF162</t>
  </si>
  <si>
    <t>PedidoF163</t>
  </si>
  <si>
    <t>PedidoF164</t>
  </si>
  <si>
    <t>PedidoF165</t>
  </si>
  <si>
    <t>PedidoF166</t>
  </si>
  <si>
    <t>PedidoF167</t>
  </si>
  <si>
    <t>PedidoF168</t>
  </si>
  <si>
    <t>PedidoF169</t>
  </si>
  <si>
    <t>PedidoF170</t>
  </si>
  <si>
    <t>PedidoF171</t>
  </si>
  <si>
    <t>PedidoF172</t>
  </si>
  <si>
    <t>PedidoF173</t>
  </si>
  <si>
    <t>PedidoF174</t>
  </si>
  <si>
    <t>PedidoF175</t>
  </si>
  <si>
    <t>PedidoF176</t>
  </si>
  <si>
    <t>PedidoF177</t>
  </si>
  <si>
    <t>PedidoF178</t>
  </si>
  <si>
    <t>PedidoF179</t>
  </si>
  <si>
    <t>PedidoF180</t>
  </si>
  <si>
    <t>PedidoF181</t>
  </si>
  <si>
    <t>PedidoF182</t>
  </si>
  <si>
    <t>PedidoF183</t>
  </si>
  <si>
    <t>PedidoF184</t>
  </si>
  <si>
    <t>PedidoF185</t>
  </si>
  <si>
    <t>PedidoF186</t>
  </si>
  <si>
    <t>PedidoF187</t>
  </si>
  <si>
    <t>PedidoF188</t>
  </si>
  <si>
    <t>PedidoF189</t>
  </si>
  <si>
    <t>PedidoF190</t>
  </si>
  <si>
    <t>PedidoF191</t>
  </si>
  <si>
    <t>PedidoF192</t>
  </si>
  <si>
    <t>PedidoF193</t>
  </si>
  <si>
    <t>PedidoF194</t>
  </si>
  <si>
    <t>PedidoF195</t>
  </si>
  <si>
    <t>PedidoF196</t>
  </si>
  <si>
    <t>PedidoF197</t>
  </si>
  <si>
    <t>PedidoF198</t>
  </si>
  <si>
    <t>PedidoF199</t>
  </si>
  <si>
    <t>PedidoF200</t>
  </si>
  <si>
    <t>PedidoF201</t>
  </si>
  <si>
    <t>PedidoF202</t>
  </si>
  <si>
    <t>PedidoF203</t>
  </si>
  <si>
    <t>PedidoF204</t>
  </si>
  <si>
    <t>PedidoF205</t>
  </si>
  <si>
    <t>PedidoF206</t>
  </si>
  <si>
    <t>PedidoF207</t>
  </si>
  <si>
    <t>PedidoF208</t>
  </si>
  <si>
    <t>PedidoF209</t>
  </si>
  <si>
    <t>PedidoF210</t>
  </si>
  <si>
    <t>PedidoF211</t>
  </si>
  <si>
    <t>PedidoF212</t>
  </si>
  <si>
    <t>PedidoF213</t>
  </si>
  <si>
    <t>PedidoF214</t>
  </si>
  <si>
    <t>PedidoF215</t>
  </si>
  <si>
    <t>PedidoF216</t>
  </si>
  <si>
    <t>PedidoF217</t>
  </si>
  <si>
    <t>PedidoF218</t>
  </si>
  <si>
    <t>PedidoF219</t>
  </si>
  <si>
    <t>PedidoF220</t>
  </si>
  <si>
    <t>PedidoF221</t>
  </si>
  <si>
    <t>PedidoF222</t>
  </si>
  <si>
    <t>PedidoF223</t>
  </si>
  <si>
    <t>PedidoF224</t>
  </si>
  <si>
    <t>PedidoF225</t>
  </si>
  <si>
    <t>PedidoF226</t>
  </si>
  <si>
    <t>PedidoF227</t>
  </si>
  <si>
    <t>PedidoF228</t>
  </si>
  <si>
    <t>PedidoF229</t>
  </si>
  <si>
    <t>PedidoF230</t>
  </si>
  <si>
    <t>PedidoF231</t>
  </si>
  <si>
    <t>PedidoF232</t>
  </si>
  <si>
    <t>PedidoF233</t>
  </si>
  <si>
    <t>PedidoF234</t>
  </si>
  <si>
    <t>PedidoF235</t>
  </si>
  <si>
    <t>PedidoF236</t>
  </si>
  <si>
    <t>PedidoF237</t>
  </si>
  <si>
    <t>PedidoF238</t>
  </si>
  <si>
    <t>PedidoF239</t>
  </si>
  <si>
    <t>PedidoF240</t>
  </si>
  <si>
    <t>PedidoF241</t>
  </si>
  <si>
    <t>PedidoF242</t>
  </si>
  <si>
    <t>PedidoF243</t>
  </si>
  <si>
    <t>PedidoF244</t>
  </si>
  <si>
    <t>PedidoF245</t>
  </si>
  <si>
    <t>PedidoF246</t>
  </si>
  <si>
    <t>PedidoF247</t>
  </si>
  <si>
    <t>PedidoF248</t>
  </si>
  <si>
    <t>PedidoF249</t>
  </si>
  <si>
    <t>PedidoF250</t>
  </si>
  <si>
    <t>PedidoF251</t>
  </si>
  <si>
    <t>PedidoF252</t>
  </si>
  <si>
    <t>PedidoF253</t>
  </si>
  <si>
    <t>PedidoF254</t>
  </si>
  <si>
    <t>PedidoF255</t>
  </si>
  <si>
    <t>PedidoF256</t>
  </si>
  <si>
    <t>PedidoF257</t>
  </si>
  <si>
    <t>PedidoF258</t>
  </si>
  <si>
    <t>PedidoF259</t>
  </si>
  <si>
    <t>PedidoF260</t>
  </si>
  <si>
    <t>PedidoF261</t>
  </si>
  <si>
    <t>PedidoF262</t>
  </si>
  <si>
    <t>PedidoF263</t>
  </si>
  <si>
    <t>PedidoF264</t>
  </si>
  <si>
    <t>PedidoF265</t>
  </si>
  <si>
    <t>PedidoF266</t>
  </si>
  <si>
    <t>PedidoF267</t>
  </si>
  <si>
    <t>PedidoF268</t>
  </si>
  <si>
    <t>PedidoF269</t>
  </si>
  <si>
    <t>PedidoF270</t>
  </si>
  <si>
    <t>PedidoF271</t>
  </si>
  <si>
    <t>PedidoF272</t>
  </si>
  <si>
    <t>PedidoF273</t>
  </si>
  <si>
    <t>PedidoF274</t>
  </si>
  <si>
    <t>PedidoF275</t>
  </si>
  <si>
    <t>PedidoF276</t>
  </si>
  <si>
    <t>PedidoF277</t>
  </si>
  <si>
    <t>PedidoF278</t>
  </si>
  <si>
    <t>PedidoF279</t>
  </si>
  <si>
    <t>PedidoF280</t>
  </si>
  <si>
    <t>PedidoF281</t>
  </si>
  <si>
    <t>PedidoF282</t>
  </si>
  <si>
    <t>PedidoF283</t>
  </si>
  <si>
    <t>PedidoF284</t>
  </si>
  <si>
    <t>PedidoF285</t>
  </si>
  <si>
    <t>PedidoF286</t>
  </si>
  <si>
    <t>PedidoF287</t>
  </si>
  <si>
    <t>PedidoF288</t>
  </si>
  <si>
    <t>PedidoF289</t>
  </si>
  <si>
    <t>PedidoF290</t>
  </si>
  <si>
    <t>PedidoF291</t>
  </si>
  <si>
    <t>PedidoF292</t>
  </si>
  <si>
    <t>PedidoF293</t>
  </si>
  <si>
    <t>PedidoF294</t>
  </si>
  <si>
    <t>PedidoF295</t>
  </si>
  <si>
    <t>PedidoF296</t>
  </si>
  <si>
    <t>PedidoF297</t>
  </si>
  <si>
    <t>PedidoF298</t>
  </si>
  <si>
    <t>PedidoF299</t>
  </si>
  <si>
    <t>PedidoF300</t>
  </si>
  <si>
    <t>PedidoF301</t>
  </si>
  <si>
    <t>PedidoF302</t>
  </si>
  <si>
    <t>PedidoF303</t>
  </si>
  <si>
    <t>PedidoF304</t>
  </si>
  <si>
    <t>PedidoF305</t>
  </si>
  <si>
    <t>PedidoF306</t>
  </si>
  <si>
    <t>PedidoF307</t>
  </si>
  <si>
    <t>PedidoF308</t>
  </si>
  <si>
    <t>PedidoF309</t>
  </si>
  <si>
    <t>PedidoF310</t>
  </si>
  <si>
    <t>PedidoF311</t>
  </si>
  <si>
    <t>PedidoF312</t>
  </si>
  <si>
    <t>PedidoF313</t>
  </si>
  <si>
    <t>PedidoF314</t>
  </si>
  <si>
    <t>PedidoF315</t>
  </si>
  <si>
    <t>PedidoF316</t>
  </si>
  <si>
    <t>PedidoF317</t>
  </si>
  <si>
    <t>PedidoF318</t>
  </si>
  <si>
    <t>PedidoF319</t>
  </si>
  <si>
    <t>PedidoF320</t>
  </si>
  <si>
    <t>PedidoF321</t>
  </si>
  <si>
    <t>PedidoF322</t>
  </si>
  <si>
    <t>PedidoF323</t>
  </si>
  <si>
    <t>PedidoF324</t>
  </si>
  <si>
    <t>PedidoF325</t>
  </si>
  <si>
    <t>PedidoF326</t>
  </si>
  <si>
    <t>PedidoF327</t>
  </si>
  <si>
    <t>PedidoF328</t>
  </si>
  <si>
    <t>PedidoF329</t>
  </si>
  <si>
    <t>PedidoF330</t>
  </si>
  <si>
    <t>PedidoF331</t>
  </si>
  <si>
    <t>PedidoF332</t>
  </si>
  <si>
    <t>PedidoF333</t>
  </si>
  <si>
    <t>PedidoF334</t>
  </si>
  <si>
    <t>PedidoF335</t>
  </si>
  <si>
    <t>PedidoF336</t>
  </si>
  <si>
    <t>PedidoF337</t>
  </si>
  <si>
    <t>PedidoF338</t>
  </si>
  <si>
    <t>PedidoF339</t>
  </si>
  <si>
    <t>PedidoF340</t>
  </si>
  <si>
    <t>PedidoF341</t>
  </si>
  <si>
    <t>PedidoF342</t>
  </si>
  <si>
    <t>PedidoF343</t>
  </si>
  <si>
    <t>PedidoF344</t>
  </si>
  <si>
    <t>PedidoF345</t>
  </si>
  <si>
    <t>PedidoF346</t>
  </si>
  <si>
    <t>PedidoF347</t>
  </si>
  <si>
    <t>PedidoF348</t>
  </si>
  <si>
    <t>PedidoF349</t>
  </si>
  <si>
    <t>PedidoF350</t>
  </si>
  <si>
    <t>PedidoF351</t>
  </si>
  <si>
    <t>PedidoF352</t>
  </si>
  <si>
    <t>PedidoF353</t>
  </si>
  <si>
    <t>PedidoF354</t>
  </si>
  <si>
    <t>PedidoF355</t>
  </si>
  <si>
    <t>PedidoF356</t>
  </si>
  <si>
    <t>PedidoF357</t>
  </si>
  <si>
    <t>PedidoF358</t>
  </si>
  <si>
    <t>PedidoF359</t>
  </si>
  <si>
    <t>PedidoF360</t>
  </si>
  <si>
    <t>PedidoF361</t>
  </si>
  <si>
    <t>PedidoF362</t>
  </si>
  <si>
    <t>PedidoF363</t>
  </si>
  <si>
    <t>PedidoF364</t>
  </si>
  <si>
    <t>PedidoF365</t>
  </si>
  <si>
    <t>PedidoF366</t>
  </si>
  <si>
    <t>PedidoF367</t>
  </si>
  <si>
    <t>PedidoF368</t>
  </si>
  <si>
    <t>PedidoF369</t>
  </si>
  <si>
    <t>PedidoF370</t>
  </si>
  <si>
    <t>PedidoF371</t>
  </si>
  <si>
    <t>PedidoF372</t>
  </si>
  <si>
    <t>PedidoF373</t>
  </si>
  <si>
    <t>PedidoF374</t>
  </si>
  <si>
    <t>PedidoF375</t>
  </si>
  <si>
    <t>PedidoF376</t>
  </si>
  <si>
    <t>PedidoF377</t>
  </si>
  <si>
    <t>PedidoF378</t>
  </si>
  <si>
    <t>PedidoF379</t>
  </si>
  <si>
    <t>PedidoF380</t>
  </si>
  <si>
    <t>PedidoF381</t>
  </si>
  <si>
    <t>PedidoF382</t>
  </si>
  <si>
    <t>PedidoF383</t>
  </si>
  <si>
    <t>PedidoF384</t>
  </si>
  <si>
    <t>PedidoF385</t>
  </si>
  <si>
    <t>PedidoF386</t>
  </si>
  <si>
    <t>PedidoF387</t>
  </si>
  <si>
    <t>PedidoF388</t>
  </si>
  <si>
    <t>PedidoF389</t>
  </si>
  <si>
    <t>PedidoF390</t>
  </si>
  <si>
    <t>PedidoF391</t>
  </si>
  <si>
    <t>PedidoF392</t>
  </si>
  <si>
    <t>PedidoF393</t>
  </si>
  <si>
    <t>PedidoF394</t>
  </si>
  <si>
    <t>PedidoF395</t>
  </si>
  <si>
    <t>PedidoF396</t>
  </si>
  <si>
    <t>PedidoF397</t>
  </si>
  <si>
    <t>PedidoF398</t>
  </si>
  <si>
    <t>PedidoF399</t>
  </si>
  <si>
    <t>PedidoF400</t>
  </si>
  <si>
    <t>PedidoF401</t>
  </si>
  <si>
    <t>PedidoF402</t>
  </si>
  <si>
    <t>PedidoF403</t>
  </si>
  <si>
    <t>PedidoF404</t>
  </si>
  <si>
    <t>PedidoF405</t>
  </si>
  <si>
    <t>PedidoF406</t>
  </si>
  <si>
    <t>PedidoF407</t>
  </si>
  <si>
    <t>PedidoF408</t>
  </si>
  <si>
    <t>PedidoF409</t>
  </si>
  <si>
    <t>PedidoF410</t>
  </si>
  <si>
    <t>PedidoF411</t>
  </si>
  <si>
    <t>PedidoF412</t>
  </si>
  <si>
    <t>PedidoF413</t>
  </si>
  <si>
    <t>PedidoF414</t>
  </si>
  <si>
    <t>PedidoF415</t>
  </si>
  <si>
    <t>PedidoF416</t>
  </si>
  <si>
    <t>PedidoF417</t>
  </si>
  <si>
    <t>PedidoF418</t>
  </si>
  <si>
    <t>PedidoF419</t>
  </si>
  <si>
    <t>PedidoF420</t>
  </si>
  <si>
    <t>PedidoF421</t>
  </si>
  <si>
    <t>PedidoF422</t>
  </si>
  <si>
    <t>PedidoF423</t>
  </si>
  <si>
    <t>PedidoF424</t>
  </si>
  <si>
    <t>PedidoF425</t>
  </si>
  <si>
    <t>PedidoF426</t>
  </si>
  <si>
    <t>PedidoF427</t>
  </si>
  <si>
    <t>PedidoF428</t>
  </si>
  <si>
    <t>PedidoF429</t>
  </si>
  <si>
    <t>PedidoF430</t>
  </si>
  <si>
    <t>PedidoF431</t>
  </si>
  <si>
    <t>PedidoF432</t>
  </si>
  <si>
    <t>PedidoF433</t>
  </si>
  <si>
    <t>PedidoF434</t>
  </si>
  <si>
    <t>PedidoF435</t>
  </si>
  <si>
    <t>PedidoF436</t>
  </si>
  <si>
    <t>PedidoF437</t>
  </si>
  <si>
    <t>PedidoF438</t>
  </si>
  <si>
    <t>PedidoF439</t>
  </si>
  <si>
    <t>PedidoF440</t>
  </si>
  <si>
    <t>PedidoF441</t>
  </si>
  <si>
    <t>PedidoF442</t>
  </si>
  <si>
    <t>PedidoF443</t>
  </si>
  <si>
    <t>PedidoF444</t>
  </si>
  <si>
    <t>PedidoF445</t>
  </si>
  <si>
    <t>PedidoF446</t>
  </si>
  <si>
    <t>PedidoF447</t>
  </si>
  <si>
    <t>PedidoF448</t>
  </si>
  <si>
    <t>PedidoF449</t>
  </si>
  <si>
    <t>PedidoF450</t>
  </si>
  <si>
    <t>PedidoF451</t>
  </si>
  <si>
    <t>PedidoF452</t>
  </si>
  <si>
    <t>PedidoF453</t>
  </si>
  <si>
    <t>PedidoF454</t>
  </si>
  <si>
    <t>PedidoF455</t>
  </si>
  <si>
    <t>PedidoF456</t>
  </si>
  <si>
    <t>PedidoF457</t>
  </si>
  <si>
    <t>PedidoF458</t>
  </si>
  <si>
    <t>PedidoF459</t>
  </si>
  <si>
    <t>PedidoF460</t>
  </si>
  <si>
    <t>PedidoF461</t>
  </si>
  <si>
    <t>PedidoF462</t>
  </si>
  <si>
    <t>PedidoF463</t>
  </si>
  <si>
    <t>PedidoF464</t>
  </si>
  <si>
    <t>PedidoF465</t>
  </si>
  <si>
    <t>PedidoF466</t>
  </si>
  <si>
    <t>PedidoF467</t>
  </si>
  <si>
    <t>PedidoF468</t>
  </si>
  <si>
    <t>PedidoF469</t>
  </si>
  <si>
    <t>PedidoF470</t>
  </si>
  <si>
    <t>PedidoF471</t>
  </si>
  <si>
    <t>PedidoF472</t>
  </si>
  <si>
    <t>PedidoF473</t>
  </si>
  <si>
    <t>PedidoF474</t>
  </si>
  <si>
    <t>PedidoF475</t>
  </si>
  <si>
    <t>PedidoF476</t>
  </si>
  <si>
    <t>PedidoF477</t>
  </si>
  <si>
    <t>PedidoF478</t>
  </si>
  <si>
    <t>PedidoF479</t>
  </si>
  <si>
    <t>PedidoF480</t>
  </si>
  <si>
    <t>PedidoF481</t>
  </si>
  <si>
    <t>PedidoF482</t>
  </si>
  <si>
    <t>PedidoF483</t>
  </si>
  <si>
    <t>PedidoF484</t>
  </si>
  <si>
    <t>PedidoF485</t>
  </si>
  <si>
    <t>PedidoF486</t>
  </si>
  <si>
    <t>PedidoF487</t>
  </si>
  <si>
    <t>PedidoF488</t>
  </si>
  <si>
    <t>PedidoF489</t>
  </si>
  <si>
    <t>PedidoF490</t>
  </si>
  <si>
    <t>PedidoF491</t>
  </si>
  <si>
    <t>PedidoF492</t>
  </si>
  <si>
    <t>PedidoF493</t>
  </si>
  <si>
    <t>PedidoF494</t>
  </si>
  <si>
    <t>PedidoF495</t>
  </si>
  <si>
    <t>PedidoF496</t>
  </si>
  <si>
    <t>PedidoF497</t>
  </si>
  <si>
    <t>PedidoF498</t>
  </si>
  <si>
    <t>PedidoF499</t>
  </si>
  <si>
    <t>PedidoF500</t>
  </si>
  <si>
    <t>PedidoF501</t>
  </si>
  <si>
    <t>PedidoF502</t>
  </si>
  <si>
    <t>PedidoF503</t>
  </si>
  <si>
    <t>PedidoF504</t>
  </si>
  <si>
    <t>PedidoF505</t>
  </si>
  <si>
    <t>PedidoF506</t>
  </si>
  <si>
    <t>PedidoF507</t>
  </si>
  <si>
    <t>PedidoF508</t>
  </si>
  <si>
    <t>PedidoF509</t>
  </si>
  <si>
    <t>PedidoF510</t>
  </si>
  <si>
    <t>PedidoF511</t>
  </si>
  <si>
    <t>PedidoF512</t>
  </si>
  <si>
    <t>PedidoF513</t>
  </si>
  <si>
    <t>PedidoF514</t>
  </si>
  <si>
    <t>PedidoF515</t>
  </si>
  <si>
    <t>PedidoF516</t>
  </si>
  <si>
    <t>PedidoF517</t>
  </si>
  <si>
    <t>PedidoF518</t>
  </si>
  <si>
    <t>PedidoF519</t>
  </si>
  <si>
    <t>PedidoF520</t>
  </si>
  <si>
    <t>PedidoF521</t>
  </si>
  <si>
    <t>PedidoF522</t>
  </si>
  <si>
    <t>PedidoF523</t>
  </si>
  <si>
    <t>PedidoF524</t>
  </si>
  <si>
    <t>PedidoF525</t>
  </si>
  <si>
    <t>PedidoF526</t>
  </si>
  <si>
    <t>PedidoF527</t>
  </si>
  <si>
    <t>PedidoF528</t>
  </si>
  <si>
    <t>PedidoF529</t>
  </si>
  <si>
    <t>PedidoF530</t>
  </si>
  <si>
    <t>PedidoF531</t>
  </si>
  <si>
    <t>PedidoF532</t>
  </si>
  <si>
    <t>PedidoF533</t>
  </si>
  <si>
    <t>PedidoF534</t>
  </si>
  <si>
    <t>PedidoF535</t>
  </si>
  <si>
    <t>PedidoF536</t>
  </si>
  <si>
    <t>PedidoF537</t>
  </si>
  <si>
    <t>PedidoF538</t>
  </si>
  <si>
    <t>PedidoF539</t>
  </si>
  <si>
    <t>PedidoF540</t>
  </si>
  <si>
    <t>PedidoF541</t>
  </si>
  <si>
    <t>PedidoF542</t>
  </si>
  <si>
    <t>PedidoF543</t>
  </si>
  <si>
    <t>PedidoF544</t>
  </si>
  <si>
    <t>PedidoF545</t>
  </si>
  <si>
    <t>PedidoF546</t>
  </si>
  <si>
    <t>PedidoF547</t>
  </si>
  <si>
    <t>PedidoF548</t>
  </si>
  <si>
    <t>PedidoF549</t>
  </si>
  <si>
    <t>PedidoF550</t>
  </si>
  <si>
    <t>PedidoF551</t>
  </si>
  <si>
    <t>PedidoF552</t>
  </si>
  <si>
    <t>PedidoF553</t>
  </si>
  <si>
    <t>PedidoF554</t>
  </si>
  <si>
    <t>PedidoF555</t>
  </si>
  <si>
    <t>PedidoF556</t>
  </si>
  <si>
    <t>PedidoF557</t>
  </si>
  <si>
    <t>PedidoF558</t>
  </si>
  <si>
    <t>PedidoF559</t>
  </si>
  <si>
    <t>PedidoF560</t>
  </si>
  <si>
    <t>PedidoF561</t>
  </si>
  <si>
    <t>PedidoF562</t>
  </si>
  <si>
    <t>PedidoF563</t>
  </si>
  <si>
    <t>PedidoF564</t>
  </si>
  <si>
    <t>PedidoF565</t>
  </si>
  <si>
    <t>PedidoF566</t>
  </si>
  <si>
    <t>PedidoF567</t>
  </si>
  <si>
    <t>PedidoF568</t>
  </si>
  <si>
    <t>PedidoF569</t>
  </si>
  <si>
    <t>PedidoF570</t>
  </si>
  <si>
    <t>PedidoF571</t>
  </si>
  <si>
    <t>PedidoF572</t>
  </si>
  <si>
    <t>PedidoF573</t>
  </si>
  <si>
    <t>PedidoF574</t>
  </si>
  <si>
    <t>PedidoF575</t>
  </si>
  <si>
    <t>PedidoF576</t>
  </si>
  <si>
    <t>PedidoF577</t>
  </si>
  <si>
    <t>PedidoF578</t>
  </si>
  <si>
    <t>PedidoF579</t>
  </si>
  <si>
    <t>PedidoF580</t>
  </si>
  <si>
    <t>PedidoF581</t>
  </si>
  <si>
    <t>PedidoF582</t>
  </si>
  <si>
    <t>PedidoF583</t>
  </si>
  <si>
    <t>PedidoF584</t>
  </si>
  <si>
    <t>PedidoF585</t>
  </si>
  <si>
    <t>PedidoF586</t>
  </si>
  <si>
    <t>PedidoF587</t>
  </si>
  <si>
    <t>PedidoF588</t>
  </si>
  <si>
    <t>PedidoF589</t>
  </si>
  <si>
    <t>PedidoF590</t>
  </si>
  <si>
    <t>PedidoF591</t>
  </si>
  <si>
    <t>PedidoF592</t>
  </si>
  <si>
    <t>PedidoF593</t>
  </si>
  <si>
    <t>PedidoF594</t>
  </si>
  <si>
    <t>PedidoF595</t>
  </si>
  <si>
    <t>PedidoF596</t>
  </si>
  <si>
    <t>PedidoF597</t>
  </si>
  <si>
    <t>PedidoF598</t>
  </si>
  <si>
    <t>PedidoF599</t>
  </si>
  <si>
    <t>PedidoF600</t>
  </si>
  <si>
    <t>PedidoF601</t>
  </si>
  <si>
    <t>PedidoF602</t>
  </si>
  <si>
    <t>PedidoF603</t>
  </si>
  <si>
    <t>PedidoF604</t>
  </si>
  <si>
    <t>PedidoF605</t>
  </si>
  <si>
    <t>PedidoF606</t>
  </si>
  <si>
    <t>PedidoF607</t>
  </si>
  <si>
    <t>PedidoF608</t>
  </si>
  <si>
    <t>PedidoF609</t>
  </si>
  <si>
    <t>PedidoF610</t>
  </si>
  <si>
    <t>PedidoF611</t>
  </si>
  <si>
    <t>PedidoF612</t>
  </si>
  <si>
    <t>PedidoF613</t>
  </si>
  <si>
    <t>PedidoF614</t>
  </si>
  <si>
    <t>PedidoF615</t>
  </si>
  <si>
    <t>PedidoF616</t>
  </si>
  <si>
    <t>PedidoF617</t>
  </si>
  <si>
    <t>PedidoF618</t>
  </si>
  <si>
    <t>PedidoF619</t>
  </si>
  <si>
    <t>PedidoF620</t>
  </si>
  <si>
    <t>PedidoF621</t>
  </si>
  <si>
    <t>PedidoF622</t>
  </si>
  <si>
    <t>PedidoF623</t>
  </si>
  <si>
    <t>PedidoF624</t>
  </si>
  <si>
    <t>PedidoF625</t>
  </si>
  <si>
    <t>PedidoF626</t>
  </si>
  <si>
    <t>PedidoF627</t>
  </si>
  <si>
    <t>PedidoF628</t>
  </si>
  <si>
    <t>PedidoF629</t>
  </si>
  <si>
    <t>PedidoF630</t>
  </si>
  <si>
    <t>PedidoF631</t>
  </si>
  <si>
    <t>PedidoF632</t>
  </si>
  <si>
    <t>PedidoF633</t>
  </si>
  <si>
    <t>PedidoF634</t>
  </si>
  <si>
    <t>PedidoF635</t>
  </si>
  <si>
    <t>PedidoF636</t>
  </si>
  <si>
    <t>PedidoF637</t>
  </si>
  <si>
    <t>PedidoF638</t>
  </si>
  <si>
    <t>PedidoF639</t>
  </si>
  <si>
    <t>PedidoF640</t>
  </si>
  <si>
    <t>PedidoF641</t>
  </si>
  <si>
    <t>PedidoF642</t>
  </si>
  <si>
    <t>PedidoF643</t>
  </si>
  <si>
    <t>PedidoF644</t>
  </si>
  <si>
    <t>PedidoF645</t>
  </si>
  <si>
    <t>PedidoF646</t>
  </si>
  <si>
    <t>PedidoF647</t>
  </si>
  <si>
    <t>PedidoF648</t>
  </si>
  <si>
    <t>PedidoF649</t>
  </si>
  <si>
    <t>PedidoF650</t>
  </si>
  <si>
    <t>PedidoF651</t>
  </si>
  <si>
    <t>PedidoF652</t>
  </si>
  <si>
    <t>PedidoF653</t>
  </si>
  <si>
    <t>PedidoF654</t>
  </si>
  <si>
    <t>PedidoF655</t>
  </si>
  <si>
    <t>PedidoF656</t>
  </si>
  <si>
    <t>PedidoF657</t>
  </si>
  <si>
    <t>PedidoF658</t>
  </si>
  <si>
    <t>PedidoF659</t>
  </si>
  <si>
    <t>PedidoF660</t>
  </si>
  <si>
    <t>PedidoF661</t>
  </si>
  <si>
    <t>PedidoF662</t>
  </si>
  <si>
    <t>PedidoF663</t>
  </si>
  <si>
    <t>PedidoF664</t>
  </si>
  <si>
    <t>PedidoF665</t>
  </si>
  <si>
    <t>PedidoF666</t>
  </si>
  <si>
    <t>PedidoF667</t>
  </si>
  <si>
    <t>PedidoF668</t>
  </si>
  <si>
    <t>PedidoF669</t>
  </si>
  <si>
    <t>PedidoF670</t>
  </si>
  <si>
    <t>PedidoF671</t>
  </si>
  <si>
    <t>PedidoF672</t>
  </si>
  <si>
    <t>PedidoF673</t>
  </si>
  <si>
    <t>PedidoF674</t>
  </si>
  <si>
    <t>PedidoF675</t>
  </si>
  <si>
    <t>PedidoF676</t>
  </si>
  <si>
    <t>PedidoF677</t>
  </si>
  <si>
    <t>PedidoF678</t>
  </si>
  <si>
    <t>PedidoF679</t>
  </si>
  <si>
    <t>PedidoF680</t>
  </si>
  <si>
    <t>PedidoF681</t>
  </si>
  <si>
    <t>PedidoF682</t>
  </si>
  <si>
    <t>PedidoF683</t>
  </si>
  <si>
    <t>PedidoF684</t>
  </si>
  <si>
    <t>PedidoF685</t>
  </si>
  <si>
    <t>PedidoF686</t>
  </si>
  <si>
    <t>PedidoF687</t>
  </si>
  <si>
    <t>PedidoF688</t>
  </si>
  <si>
    <t>PedidoF689</t>
  </si>
  <si>
    <t>PedidoF690</t>
  </si>
  <si>
    <t>PedidoF691</t>
  </si>
  <si>
    <t>PedidoF692</t>
  </si>
  <si>
    <t>PedidoF693</t>
  </si>
  <si>
    <t>PedidoF694</t>
  </si>
  <si>
    <t>PedidoF695</t>
  </si>
  <si>
    <t>PedidoF696</t>
  </si>
  <si>
    <t>PedidoF697</t>
  </si>
  <si>
    <t>PedidoF698</t>
  </si>
  <si>
    <t>PedidoF699</t>
  </si>
  <si>
    <t>PedidoF700</t>
  </si>
  <si>
    <t>PedidoF701</t>
  </si>
  <si>
    <t>PedidoF702</t>
  </si>
  <si>
    <t>PedidoF703</t>
  </si>
  <si>
    <t>PedidoF704</t>
  </si>
  <si>
    <t>PedidoF705</t>
  </si>
  <si>
    <t>PedidoF706</t>
  </si>
  <si>
    <t>PedidoF707</t>
  </si>
  <si>
    <t>PedidoF708</t>
  </si>
  <si>
    <t>PedidoF709</t>
  </si>
  <si>
    <t>PedidoF710</t>
  </si>
  <si>
    <t>PedidoF711</t>
  </si>
  <si>
    <t>PedidoF712</t>
  </si>
  <si>
    <t>PedidoF713</t>
  </si>
  <si>
    <t>PedidoF714</t>
  </si>
  <si>
    <t>PedidoF715</t>
  </si>
  <si>
    <t>PedidoF716</t>
  </si>
  <si>
    <t>PedidoF717</t>
  </si>
  <si>
    <t>PedidoF718</t>
  </si>
  <si>
    <t>PedidoF719</t>
  </si>
  <si>
    <t>PedidoF720</t>
  </si>
  <si>
    <t>PedidoF721</t>
  </si>
  <si>
    <t>PedidoF722</t>
  </si>
  <si>
    <t>PedidoF723</t>
  </si>
  <si>
    <t>PedidoF724</t>
  </si>
  <si>
    <t>PedidoF725</t>
  </si>
  <si>
    <t>PedidoF726</t>
  </si>
  <si>
    <t>PedidoF727</t>
  </si>
  <si>
    <t>PedidoF728</t>
  </si>
  <si>
    <t>PedidoF729</t>
  </si>
  <si>
    <t>PedidoF730</t>
  </si>
  <si>
    <t>PedidoF731</t>
  </si>
  <si>
    <t>PedidoF732</t>
  </si>
  <si>
    <t>PedidoF733</t>
  </si>
  <si>
    <t>PedidoF734</t>
  </si>
  <si>
    <t>PedidoF735</t>
  </si>
  <si>
    <t>PedidoF736</t>
  </si>
  <si>
    <t>PedidoF737</t>
  </si>
  <si>
    <t>PedidoF738</t>
  </si>
  <si>
    <t>PedidoF739</t>
  </si>
  <si>
    <t>PedidoF740</t>
  </si>
  <si>
    <t>PedidoF741</t>
  </si>
  <si>
    <t>PedidoF742</t>
  </si>
  <si>
    <t>PedidoF743</t>
  </si>
  <si>
    <t>PedidoF744</t>
  </si>
  <si>
    <t>PedidoF745</t>
  </si>
  <si>
    <t>PedidoF746</t>
  </si>
  <si>
    <t>PedidoF747</t>
  </si>
  <si>
    <t>PedidoF748</t>
  </si>
  <si>
    <t>PedidoF749</t>
  </si>
  <si>
    <t>PedidoF750</t>
  </si>
  <si>
    <t>PedidoF751</t>
  </si>
  <si>
    <t>PedidoF752</t>
  </si>
  <si>
    <t>PedidoF753</t>
  </si>
  <si>
    <t>PedidoF754</t>
  </si>
  <si>
    <t>PedidoF755</t>
  </si>
  <si>
    <t>PedidoF756</t>
  </si>
  <si>
    <t>PedidoF757</t>
  </si>
  <si>
    <t>PedidoF758</t>
  </si>
  <si>
    <t>PedidoF759</t>
  </si>
  <si>
    <t>PedidoF760</t>
  </si>
  <si>
    <t>PedidoF761</t>
  </si>
  <si>
    <t>PedidoF762</t>
  </si>
  <si>
    <t>PedidoF763</t>
  </si>
  <si>
    <t>PedidoF764</t>
  </si>
  <si>
    <t>PedidoF765</t>
  </si>
  <si>
    <t>PedidoF766</t>
  </si>
  <si>
    <t>PedidoF767</t>
  </si>
  <si>
    <t>PedidoF768</t>
  </si>
  <si>
    <t>PedidoF769</t>
  </si>
  <si>
    <t>PedidoF770</t>
  </si>
  <si>
    <t>PedidoF771</t>
  </si>
  <si>
    <t>PedidoF772</t>
  </si>
  <si>
    <t>PedidoF773</t>
  </si>
  <si>
    <t>PedidoF774</t>
  </si>
  <si>
    <t>PedidoF775</t>
  </si>
  <si>
    <t>PedidoF776</t>
  </si>
  <si>
    <t>PedidoF777</t>
  </si>
  <si>
    <t>PedidoF778</t>
  </si>
  <si>
    <t>PedidoF779</t>
  </si>
  <si>
    <t>PedidoF780</t>
  </si>
  <si>
    <t>PedidoF781</t>
  </si>
  <si>
    <t>PedidoF782</t>
  </si>
  <si>
    <t>PedidoF783</t>
  </si>
  <si>
    <t>PedidoF784</t>
  </si>
  <si>
    <t>PedidoF785</t>
  </si>
  <si>
    <t>PedidoF786</t>
  </si>
  <si>
    <t>PedidoF787</t>
  </si>
  <si>
    <t>PedidoF788</t>
  </si>
  <si>
    <t>PedidoF789</t>
  </si>
  <si>
    <t>PedidoF790</t>
  </si>
  <si>
    <t>PedidoF791</t>
  </si>
  <si>
    <t>PedidoF792</t>
  </si>
  <si>
    <t>PedidoF793</t>
  </si>
  <si>
    <t>PedidoF794</t>
  </si>
  <si>
    <t>PedidoF795</t>
  </si>
  <si>
    <t>PedidoF796</t>
  </si>
  <si>
    <t>PedidoF797</t>
  </si>
  <si>
    <t>PedidoF798</t>
  </si>
  <si>
    <t>PedidoF799</t>
  </si>
  <si>
    <t>PedidoF800</t>
  </si>
  <si>
    <t>PedidoF801</t>
  </si>
  <si>
    <t>PedidoF802</t>
  </si>
  <si>
    <t>PedidoF803</t>
  </si>
  <si>
    <t>PedidoF804</t>
  </si>
  <si>
    <t>PedidoF805</t>
  </si>
  <si>
    <t>PedidoF806</t>
  </si>
  <si>
    <t>PedidoF807</t>
  </si>
  <si>
    <t>PedidoF808</t>
  </si>
  <si>
    <t>PedidoF809</t>
  </si>
  <si>
    <t>PedidoF810</t>
  </si>
  <si>
    <t>PedidoF811</t>
  </si>
  <si>
    <t>PedidoF812</t>
  </si>
  <si>
    <t>PedidoF813</t>
  </si>
  <si>
    <t>PedidoF814</t>
  </si>
  <si>
    <t>PedidoF815</t>
  </si>
  <si>
    <t>PedidoF816</t>
  </si>
  <si>
    <t>PedidoF817</t>
  </si>
  <si>
    <t>PedidoF818</t>
  </si>
  <si>
    <t>PedidoF819</t>
  </si>
  <si>
    <t>PedidoF820</t>
  </si>
  <si>
    <t>PedidoF821</t>
  </si>
  <si>
    <t>PedidoF822</t>
  </si>
  <si>
    <t>PedidoF823</t>
  </si>
  <si>
    <t>PedidoF824</t>
  </si>
  <si>
    <t>PedidoF825</t>
  </si>
  <si>
    <t>PedidoF826</t>
  </si>
  <si>
    <t>PedidoF827</t>
  </si>
  <si>
    <t>PedidoF828</t>
  </si>
  <si>
    <t>PedidoF829</t>
  </si>
  <si>
    <t>PedidoF830</t>
  </si>
  <si>
    <t>PedidoF831</t>
  </si>
  <si>
    <t>PedidoF832</t>
  </si>
  <si>
    <t>PedidoF833</t>
  </si>
  <si>
    <t>PedidoF834</t>
  </si>
  <si>
    <t>PedidoF835</t>
  </si>
  <si>
    <t>PedidoF836</t>
  </si>
  <si>
    <t>PedidoF837</t>
  </si>
  <si>
    <t>PedidoF838</t>
  </si>
  <si>
    <t>PedidoF839</t>
  </si>
  <si>
    <t>PedidoF840</t>
  </si>
  <si>
    <t>PedidoF841</t>
  </si>
  <si>
    <t>PedidoF842</t>
  </si>
  <si>
    <t>PedidoF843</t>
  </si>
  <si>
    <t>PedidoF844</t>
  </si>
  <si>
    <t>PedidoF845</t>
  </si>
  <si>
    <t>PedidoF846</t>
  </si>
  <si>
    <t>PedidoF847</t>
  </si>
  <si>
    <t>PedidoF848</t>
  </si>
  <si>
    <t>PedidoF849</t>
  </si>
  <si>
    <t>PedidoF850</t>
  </si>
  <si>
    <t>PedidoF851</t>
  </si>
  <si>
    <t>PedidoF852</t>
  </si>
  <si>
    <t>PedidoF853</t>
  </si>
  <si>
    <t>PedidoF854</t>
  </si>
  <si>
    <t>PedidoF855</t>
  </si>
  <si>
    <t>PedidoF856</t>
  </si>
  <si>
    <t>PedidoF857</t>
  </si>
  <si>
    <t>PedidoF858</t>
  </si>
  <si>
    <t>PedidoF859</t>
  </si>
  <si>
    <t>PedidoF860</t>
  </si>
  <si>
    <t>PedidoF861</t>
  </si>
  <si>
    <t>PedidoF862</t>
  </si>
  <si>
    <t>PedidoF863</t>
  </si>
  <si>
    <t>PedidoF864</t>
  </si>
  <si>
    <t>PedidoF865</t>
  </si>
  <si>
    <t>PedidoF866</t>
  </si>
  <si>
    <t>PedidoF867</t>
  </si>
  <si>
    <t>PedidoF868</t>
  </si>
  <si>
    <t>PedidoF869</t>
  </si>
  <si>
    <t>PedidoF870</t>
  </si>
  <si>
    <t>PedidoF871</t>
  </si>
  <si>
    <t>PedidoF872</t>
  </si>
  <si>
    <t>PedidoF873</t>
  </si>
  <si>
    <t>PedidoF874</t>
  </si>
  <si>
    <t>PedidoF875</t>
  </si>
  <si>
    <t>PedidoF876</t>
  </si>
  <si>
    <t>PedidoF877</t>
  </si>
  <si>
    <t>PedidoF878</t>
  </si>
  <si>
    <t>PedidoF879</t>
  </si>
  <si>
    <t>PedidoF880</t>
  </si>
  <si>
    <t>PedidoF881</t>
  </si>
  <si>
    <t>PedidoF882</t>
  </si>
  <si>
    <t>PedidoF883</t>
  </si>
  <si>
    <t>PedidoF884</t>
  </si>
  <si>
    <t>PedidoF885</t>
  </si>
  <si>
    <t>PedidoF886</t>
  </si>
  <si>
    <t>PedidoF887</t>
  </si>
  <si>
    <t>PedidoF888</t>
  </si>
  <si>
    <t>PedidoF889</t>
  </si>
  <si>
    <t>PedidoF890</t>
  </si>
  <si>
    <t>PedidoF891</t>
  </si>
  <si>
    <t>PedidoF892</t>
  </si>
  <si>
    <t>PedidoF893</t>
  </si>
  <si>
    <t>PedidoF894</t>
  </si>
  <si>
    <t>PedidoF895</t>
  </si>
  <si>
    <t>PedidoF896</t>
  </si>
  <si>
    <t>PedidoF897</t>
  </si>
  <si>
    <t>PedidoF898</t>
  </si>
  <si>
    <t>PedidoF899</t>
  </si>
  <si>
    <t>PedidoF900</t>
  </si>
  <si>
    <t>PedidoF901</t>
  </si>
  <si>
    <t>PedidoF902</t>
  </si>
  <si>
    <t>PedidoF903</t>
  </si>
  <si>
    <t>PedidoF904</t>
  </si>
  <si>
    <t>PedidoF905</t>
  </si>
  <si>
    <t>PedidoF906</t>
  </si>
  <si>
    <t>PedidoF907</t>
  </si>
  <si>
    <t>PedidoF908</t>
  </si>
  <si>
    <t>PedidoF909</t>
  </si>
  <si>
    <t>PedidoF910</t>
  </si>
  <si>
    <t>PedidoF911</t>
  </si>
  <si>
    <t>PedidoF912</t>
  </si>
  <si>
    <t>PedidoF913</t>
  </si>
  <si>
    <t>PedidoF914</t>
  </si>
  <si>
    <t>PedidoF915</t>
  </si>
  <si>
    <t>PedidoF916</t>
  </si>
  <si>
    <t>PedidoF917</t>
  </si>
  <si>
    <t>PedidoF918</t>
  </si>
  <si>
    <t>PedidoF919</t>
  </si>
  <si>
    <t>PedidoF920</t>
  </si>
  <si>
    <t>PedidoF921</t>
  </si>
  <si>
    <t>PedidoF922</t>
  </si>
  <si>
    <t>PedidoF923</t>
  </si>
  <si>
    <t>PedidoF924</t>
  </si>
  <si>
    <t>PedidoF925</t>
  </si>
  <si>
    <t>PedidoF926</t>
  </si>
  <si>
    <t>PedidoF927</t>
  </si>
  <si>
    <t>PedidoF928</t>
  </si>
  <si>
    <t>PedidoF929</t>
  </si>
  <si>
    <t>PedidoF930</t>
  </si>
  <si>
    <t>PedidoF931</t>
  </si>
  <si>
    <t>PedidoF932</t>
  </si>
  <si>
    <t>PedidoF933</t>
  </si>
  <si>
    <t>PedidoF934</t>
  </si>
  <si>
    <t>PedidoF935</t>
  </si>
  <si>
    <t>PedidoF936</t>
  </si>
  <si>
    <t>PedidoF937</t>
  </si>
  <si>
    <t>PedidoF938</t>
  </si>
  <si>
    <t>PedidoF939</t>
  </si>
  <si>
    <t>PedidoF940</t>
  </si>
  <si>
    <t>PedidoF941</t>
  </si>
  <si>
    <t>PedidoF942</t>
  </si>
  <si>
    <t>PedidoF943</t>
  </si>
  <si>
    <t>PedidoF944</t>
  </si>
  <si>
    <t>PedidoF945</t>
  </si>
  <si>
    <t>PedidoF946</t>
  </si>
  <si>
    <t>PedidoF947</t>
  </si>
  <si>
    <t>PedidoF948</t>
  </si>
  <si>
    <t>PedidoF949</t>
  </si>
  <si>
    <t>PedidoF950</t>
  </si>
  <si>
    <t>PedidoF951</t>
  </si>
  <si>
    <t>PedidoF952</t>
  </si>
  <si>
    <t>PedidoF953</t>
  </si>
  <si>
    <t>PedidoF954</t>
  </si>
  <si>
    <t>PedidoF955</t>
  </si>
  <si>
    <t>PedidoF956</t>
  </si>
  <si>
    <t>PedidoF957</t>
  </si>
  <si>
    <t>PedidoF958</t>
  </si>
  <si>
    <t>PedidoF959</t>
  </si>
  <si>
    <t>PedidoF960</t>
  </si>
  <si>
    <t>PedidoF961</t>
  </si>
  <si>
    <t>PedidoF962</t>
  </si>
  <si>
    <t>PedidoF963</t>
  </si>
  <si>
    <t>PedidoF964</t>
  </si>
  <si>
    <t>PedidoF965</t>
  </si>
  <si>
    <t>PedidoF966</t>
  </si>
  <si>
    <t>PedidoF967</t>
  </si>
  <si>
    <t>PedidoF968</t>
  </si>
  <si>
    <t>PedidoF969</t>
  </si>
  <si>
    <t>PedidoF970</t>
  </si>
  <si>
    <t>PedidoF971</t>
  </si>
  <si>
    <t>PedidoF972</t>
  </si>
  <si>
    <t>PedidoF973</t>
  </si>
  <si>
    <t>PedidoF974</t>
  </si>
  <si>
    <t>PedidoF975</t>
  </si>
  <si>
    <t>PedidoF976</t>
  </si>
  <si>
    <t>PedidoF977</t>
  </si>
  <si>
    <t>PedidoF978</t>
  </si>
  <si>
    <t>PedidoF979</t>
  </si>
  <si>
    <t>PedidoF980</t>
  </si>
  <si>
    <t>PedidoF981</t>
  </si>
  <si>
    <t>PedidoF982</t>
  </si>
  <si>
    <t>PedidoF983</t>
  </si>
  <si>
    <t>PedidoF984</t>
  </si>
  <si>
    <t>PedidoF985</t>
  </si>
  <si>
    <t>PedidoF986</t>
  </si>
  <si>
    <t>PedidoF987</t>
  </si>
  <si>
    <t>PedidoF988</t>
  </si>
  <si>
    <t>PedidoF989</t>
  </si>
  <si>
    <t>PedidoF990</t>
  </si>
  <si>
    <t>PedidoF991</t>
  </si>
  <si>
    <t>PedidoF992</t>
  </si>
  <si>
    <t>PedidoF993</t>
  </si>
  <si>
    <t>PedidoF994</t>
  </si>
  <si>
    <t>PedidoF995</t>
  </si>
  <si>
    <t>PedidoF996</t>
  </si>
  <si>
    <t>PedidoF997</t>
  </si>
  <si>
    <t>PedidoF998</t>
  </si>
  <si>
    <t>PedidoF999</t>
  </si>
  <si>
    <t>PedidoF1000</t>
  </si>
  <si>
    <t>PedidoF1001</t>
  </si>
  <si>
    <t>PedidoF1002</t>
  </si>
  <si>
    <t>PedidoF1003</t>
  </si>
  <si>
    <t>PedidoF1004</t>
  </si>
  <si>
    <t>PedidoF1005</t>
  </si>
  <si>
    <t>PedidoF1006</t>
  </si>
  <si>
    <t>PedidoF1007</t>
  </si>
  <si>
    <t>PedidoF1008</t>
  </si>
  <si>
    <t>PedidoF1009</t>
  </si>
  <si>
    <t>PedidoF1010</t>
  </si>
  <si>
    <t>PedidoF1011</t>
  </si>
  <si>
    <t>PedidoF1012</t>
  </si>
  <si>
    <t>PedidoF1013</t>
  </si>
  <si>
    <t>PedidoF1014</t>
  </si>
  <si>
    <t>PedidoF1015</t>
  </si>
  <si>
    <t>PedidoF1016</t>
  </si>
  <si>
    <t>PedidoF1017</t>
  </si>
  <si>
    <t>PedidoF1018</t>
  </si>
  <si>
    <t>PedidoF1019</t>
  </si>
  <si>
    <t>PedidoF1020</t>
  </si>
  <si>
    <t>PedidoF1021</t>
  </si>
  <si>
    <t>PedidoF1022</t>
  </si>
  <si>
    <t>PedidoF1023</t>
  </si>
  <si>
    <t>PedidoF1024</t>
  </si>
  <si>
    <t>PedidoF1025</t>
  </si>
  <si>
    <t>PedidoF1026</t>
  </si>
  <si>
    <t>PedidoF1027</t>
  </si>
  <si>
    <t>PedidoF1028</t>
  </si>
  <si>
    <t>PedidoF1029</t>
  </si>
  <si>
    <t>PedidoF1030</t>
  </si>
  <si>
    <t>PedidoF1031</t>
  </si>
  <si>
    <t>PedidoF1032</t>
  </si>
  <si>
    <t>PedidoF1033</t>
  </si>
  <si>
    <t>PedidoF1034</t>
  </si>
  <si>
    <t>PedidoF1035</t>
  </si>
  <si>
    <t>PedidoF1036</t>
  </si>
  <si>
    <t>PedidoF1037</t>
  </si>
  <si>
    <t>PedidoF1038</t>
  </si>
  <si>
    <t>PedidoF1039</t>
  </si>
  <si>
    <t>PedidoF1040</t>
  </si>
  <si>
    <t>PedidoF1041</t>
  </si>
  <si>
    <t>PedidoF1042</t>
  </si>
  <si>
    <t>PedidoF1043</t>
  </si>
  <si>
    <t>PedidoF1044</t>
  </si>
  <si>
    <t>PedidoF1045</t>
  </si>
  <si>
    <t>PedidoF1046</t>
  </si>
  <si>
    <t>PedidoF1047</t>
  </si>
  <si>
    <t>PedidoF1048</t>
  </si>
  <si>
    <t>PedidoF1049</t>
  </si>
  <si>
    <t>PedidoF1050</t>
  </si>
  <si>
    <t>PedidoF1051</t>
  </si>
  <si>
    <t>PedidoF1052</t>
  </si>
  <si>
    <t>PedidoF1053</t>
  </si>
  <si>
    <t>PedidoF1054</t>
  </si>
  <si>
    <t>PedidoF1055</t>
  </si>
  <si>
    <t>PedidoF1056</t>
  </si>
  <si>
    <t>PedidoF1057</t>
  </si>
  <si>
    <t>PedidoF1058</t>
  </si>
  <si>
    <t>PedidoF1059</t>
  </si>
  <si>
    <t>PedidoF1060</t>
  </si>
  <si>
    <t>PedidoF1061</t>
  </si>
  <si>
    <t>PedidoF1062</t>
  </si>
  <si>
    <t>PedidoF1063</t>
  </si>
  <si>
    <t>PedidoF1064</t>
  </si>
  <si>
    <t>PedidoF1065</t>
  </si>
  <si>
    <t>PedidoF1066</t>
  </si>
  <si>
    <t>PedidoF1067</t>
  </si>
  <si>
    <t>PedidoF1068</t>
  </si>
  <si>
    <t>PedidoF1069</t>
  </si>
  <si>
    <t>PedidoF1070</t>
  </si>
  <si>
    <t>PedidoF1071</t>
  </si>
  <si>
    <t>PedidoF1072</t>
  </si>
  <si>
    <t>PedidoF1073</t>
  </si>
  <si>
    <t>PedidoF1074</t>
  </si>
  <si>
    <t>PedidoF1075</t>
  </si>
  <si>
    <t>PedidoF1076</t>
  </si>
  <si>
    <t>PedidoF1077</t>
  </si>
  <si>
    <t>PedidoF1078</t>
  </si>
  <si>
    <t>PedidoF1079</t>
  </si>
  <si>
    <t>PedidoF1080</t>
  </si>
  <si>
    <t>PedidoF1081</t>
  </si>
  <si>
    <t>PedidoF1082</t>
  </si>
  <si>
    <t>PedidoF1083</t>
  </si>
  <si>
    <t>PedidoF1084</t>
  </si>
  <si>
    <t>PedidoF1085</t>
  </si>
  <si>
    <t>PedidoF1086</t>
  </si>
  <si>
    <t>PedidoF1087</t>
  </si>
  <si>
    <t>PedidoF1088</t>
  </si>
  <si>
    <t>PedidoF1089</t>
  </si>
  <si>
    <t>PedidoF1090</t>
  </si>
  <si>
    <t>PedidoF1091</t>
  </si>
  <si>
    <t>PedidoF1092</t>
  </si>
  <si>
    <t>PedidoF1093</t>
  </si>
  <si>
    <t>PedidoF1094</t>
  </si>
  <si>
    <t>PedidoF1095</t>
  </si>
  <si>
    <t>PedidoF1096</t>
  </si>
  <si>
    <t>PedidoF1097</t>
  </si>
  <si>
    <t>PedidoF1098</t>
  </si>
  <si>
    <t>PedidoF1099</t>
  </si>
  <si>
    <t>PedidoF1100</t>
  </si>
  <si>
    <t>PedidoF1101</t>
  </si>
  <si>
    <t>PedidoF1102</t>
  </si>
  <si>
    <t>PedidoF1103</t>
  </si>
  <si>
    <t>PedidoF1104</t>
  </si>
  <si>
    <t>PedidoF1105</t>
  </si>
  <si>
    <t>PedidoF1106</t>
  </si>
  <si>
    <t>PedidoF1107</t>
  </si>
  <si>
    <t>PedidoF1108</t>
  </si>
  <si>
    <t>PedidoF1109</t>
  </si>
  <si>
    <t>PedidoF1110</t>
  </si>
  <si>
    <t>PedidoF1111</t>
  </si>
  <si>
    <t>PedidoF1112</t>
  </si>
  <si>
    <t>PedidoF1113</t>
  </si>
  <si>
    <t>PedidoF1114</t>
  </si>
  <si>
    <t>PedidoF1115</t>
  </si>
  <si>
    <t>PedidoF1116</t>
  </si>
  <si>
    <t>PedidoF1117</t>
  </si>
  <si>
    <t>PedidoF1118</t>
  </si>
  <si>
    <t>PedidoF1119</t>
  </si>
  <si>
    <t>PedidoF1120</t>
  </si>
  <si>
    <t>PedidoF1121</t>
  </si>
  <si>
    <t>PedidoF1122</t>
  </si>
  <si>
    <t>PedidoF1123</t>
  </si>
  <si>
    <t>PedidoF1124</t>
  </si>
  <si>
    <t>PedidoF1125</t>
  </si>
  <si>
    <t>PedidoF1126</t>
  </si>
  <si>
    <t>PedidoF1127</t>
  </si>
  <si>
    <t>PedidoF1128</t>
  </si>
  <si>
    <t>PedidoF1129</t>
  </si>
  <si>
    <t>PedidoF1130</t>
  </si>
  <si>
    <t>PedidoF1131</t>
  </si>
  <si>
    <t>PedidoF1132</t>
  </si>
  <si>
    <t>PedidoF1133</t>
  </si>
  <si>
    <t>PedidoF1134</t>
  </si>
  <si>
    <t>PedidoF1135</t>
  </si>
  <si>
    <t>PedidoF1136</t>
  </si>
  <si>
    <t>PedidoF1137</t>
  </si>
  <si>
    <t>PedidoF1138</t>
  </si>
  <si>
    <t>PedidoF1139</t>
  </si>
  <si>
    <t>PedidoF1140</t>
  </si>
  <si>
    <t>PedidoF1141</t>
  </si>
  <si>
    <t>PedidoF1142</t>
  </si>
  <si>
    <t>PedidoF1143</t>
  </si>
  <si>
    <t>PedidoF1144</t>
  </si>
  <si>
    <t>PedidoF1145</t>
  </si>
  <si>
    <t>PedidoF1146</t>
  </si>
  <si>
    <t>PedidoF1147</t>
  </si>
  <si>
    <t>PedidoF1148</t>
  </si>
  <si>
    <t>PedidoF1149</t>
  </si>
  <si>
    <t>PedidoF1150</t>
  </si>
  <si>
    <t>PedidoF1151</t>
  </si>
  <si>
    <t>PedidoF1152</t>
  </si>
  <si>
    <t>PedidoF1153</t>
  </si>
  <si>
    <t>PedidoF1154</t>
  </si>
  <si>
    <t>PedidoF1155</t>
  </si>
  <si>
    <t>PedidoF1156</t>
  </si>
  <si>
    <t>PedidoF1157</t>
  </si>
  <si>
    <t>PedidoF1158</t>
  </si>
  <si>
    <t>PedidoF1159</t>
  </si>
  <si>
    <t>PedidoF1160</t>
  </si>
  <si>
    <t>PedidoF1161</t>
  </si>
  <si>
    <t>PedidoF1162</t>
  </si>
  <si>
    <t>PedidoF1163</t>
  </si>
  <si>
    <t>PedidoF1164</t>
  </si>
  <si>
    <t>PedidoF1165</t>
  </si>
  <si>
    <t>PedidoF1166</t>
  </si>
  <si>
    <t>PedidoF1167</t>
  </si>
  <si>
    <t>PedidoF1168</t>
  </si>
  <si>
    <t>PedidoF1169</t>
  </si>
  <si>
    <t>PedidoF1170</t>
  </si>
  <si>
    <t>PedidoF1171</t>
  </si>
  <si>
    <t>PedidoF1172</t>
  </si>
  <si>
    <t>PedidoF1173</t>
  </si>
  <si>
    <t>PedidoF1174</t>
  </si>
  <si>
    <t>PedidoF1175</t>
  </si>
  <si>
    <t>PedidoF1176</t>
  </si>
  <si>
    <t>PedidoF1177</t>
  </si>
  <si>
    <t>PedidoF1178</t>
  </si>
  <si>
    <t>PedidoF1179</t>
  </si>
  <si>
    <t>PedidoF1180</t>
  </si>
  <si>
    <t>PedidoF1181</t>
  </si>
  <si>
    <t>PedidoF1182</t>
  </si>
  <si>
    <t>PedidoF1183</t>
  </si>
  <si>
    <t>PedidoF1184</t>
  </si>
  <si>
    <t>PedidoF1185</t>
  </si>
  <si>
    <t>PedidoF1186</t>
  </si>
  <si>
    <t>PedidoF1187</t>
  </si>
  <si>
    <t>PedidoF1188</t>
  </si>
  <si>
    <t>PedidoF1189</t>
  </si>
  <si>
    <t>PedidoF1190</t>
  </si>
  <si>
    <t>PedidoF1191</t>
  </si>
  <si>
    <t>PedidoF1192</t>
  </si>
  <si>
    <t>PedidoF1193</t>
  </si>
  <si>
    <t>PedidoF1194</t>
  </si>
  <si>
    <t>PedidoF1195</t>
  </si>
  <si>
    <t>PedidoF1196</t>
  </si>
  <si>
    <t>PedidoF1197</t>
  </si>
  <si>
    <t>PedidoF1198</t>
  </si>
  <si>
    <t>PedidoF1199</t>
  </si>
  <si>
    <t>PedidoF1200</t>
  </si>
  <si>
    <t>PedidoF1201</t>
  </si>
  <si>
    <t>PedidoF1202</t>
  </si>
  <si>
    <t>PedidoF1203</t>
  </si>
  <si>
    <t>PedidoF1204</t>
  </si>
  <si>
    <t>PedidoF1205</t>
  </si>
  <si>
    <t>PedidoF1206</t>
  </si>
  <si>
    <t>PedidoF1207</t>
  </si>
  <si>
    <t>PedidoF1208</t>
  </si>
  <si>
    <t>PedidoF1209</t>
  </si>
  <si>
    <t>PedidoF1210</t>
  </si>
  <si>
    <t>PedidoF1211</t>
  </si>
  <si>
    <t>PedidoF1212</t>
  </si>
  <si>
    <t>PedidoF1213</t>
  </si>
  <si>
    <t>PedidoF1214</t>
  </si>
  <si>
    <t>PedidoF1215</t>
  </si>
  <si>
    <t>PedidoF1216</t>
  </si>
  <si>
    <t>PedidoF1217</t>
  </si>
  <si>
    <t>PedidoF1218</t>
  </si>
  <si>
    <t>PedidoF1219</t>
  </si>
  <si>
    <t>PedidoF1220</t>
  </si>
  <si>
    <t>PedidoF1221</t>
  </si>
  <si>
    <t>PedidoF1222</t>
  </si>
  <si>
    <t>PedidoF1223</t>
  </si>
  <si>
    <t>PedidoF1224</t>
  </si>
  <si>
    <t>PedidoF1225</t>
  </si>
  <si>
    <t>PedidoF1226</t>
  </si>
  <si>
    <t>PedidoF1227</t>
  </si>
  <si>
    <t>PedidoF1228</t>
  </si>
  <si>
    <t>PedidoF1229</t>
  </si>
  <si>
    <t>PedidoF1230</t>
  </si>
  <si>
    <t>PedidoF1231</t>
  </si>
  <si>
    <t>PedidoF1232</t>
  </si>
  <si>
    <t>PedidoF1233</t>
  </si>
  <si>
    <t>PedidoF1234</t>
  </si>
  <si>
    <t>PedidoF1235</t>
  </si>
  <si>
    <t>PedidoF1236</t>
  </si>
  <si>
    <t>PedidoF1237</t>
  </si>
  <si>
    <t>PedidoF1238</t>
  </si>
  <si>
    <t>PedidoF1239</t>
  </si>
  <si>
    <t>PedidoF1240</t>
  </si>
  <si>
    <t>PedidoF1241</t>
  </si>
  <si>
    <t>PedidoF1242</t>
  </si>
  <si>
    <t>PedidoF1243</t>
  </si>
  <si>
    <t>PedidoF1244</t>
  </si>
  <si>
    <t>PedidoF1245</t>
  </si>
  <si>
    <t>PedidoF1246</t>
  </si>
  <si>
    <t>PedidoF1247</t>
  </si>
  <si>
    <t>PedidoF1248</t>
  </si>
  <si>
    <t>PedidoF1249</t>
  </si>
  <si>
    <t>PedidoF1250</t>
  </si>
  <si>
    <t>PedidoF1251</t>
  </si>
  <si>
    <t>PedidoF1252</t>
  </si>
  <si>
    <t>PedidoF1253</t>
  </si>
  <si>
    <t>PedidoF1254</t>
  </si>
  <si>
    <t>PedidoF1255</t>
  </si>
  <si>
    <t>PedidoF1256</t>
  </si>
  <si>
    <t>PedidoF1257</t>
  </si>
  <si>
    <t>PedidoF1258</t>
  </si>
  <si>
    <t>PedidoF1259</t>
  </si>
  <si>
    <t>PedidoF1260</t>
  </si>
  <si>
    <t>PedidoF1261</t>
  </si>
  <si>
    <t>PedidoF1262</t>
  </si>
  <si>
    <t>PedidoF1263</t>
  </si>
  <si>
    <t>PedidoF1264</t>
  </si>
  <si>
    <t>PedidoF1265</t>
  </si>
  <si>
    <t>PedidoF1266</t>
  </si>
  <si>
    <t>PedidoF1267</t>
  </si>
  <si>
    <t>PedidoF1268</t>
  </si>
  <si>
    <t>PedidoF1269</t>
  </si>
  <si>
    <t>PedidoF1270</t>
  </si>
  <si>
    <t>PedidoF1271</t>
  </si>
  <si>
    <t>PedidoF1272</t>
  </si>
  <si>
    <t>PedidoF1273</t>
  </si>
  <si>
    <t>PedidoF1274</t>
  </si>
  <si>
    <t>PedidoF1275</t>
  </si>
  <si>
    <t>PedidoF1276</t>
  </si>
  <si>
    <t>PedidoF1277</t>
  </si>
  <si>
    <t>PedidoF1278</t>
  </si>
  <si>
    <t>PedidoF1279</t>
  </si>
  <si>
    <t>PedidoF1280</t>
  </si>
  <si>
    <t>PedidoF1281</t>
  </si>
  <si>
    <t>PedidoF1282</t>
  </si>
  <si>
    <t>PedidoF1283</t>
  </si>
  <si>
    <t>PedidoF1284</t>
  </si>
  <si>
    <t>PedidoF1285</t>
  </si>
  <si>
    <t>PedidoF1286</t>
  </si>
  <si>
    <t>PedidoF1287</t>
  </si>
  <si>
    <t>PedidoF1288</t>
  </si>
  <si>
    <t>PedidoF1289</t>
  </si>
  <si>
    <t>PedidoF1290</t>
  </si>
  <si>
    <t>PedidoF1291</t>
  </si>
  <si>
    <t>PedidoF1292</t>
  </si>
  <si>
    <t>PedidoF1293</t>
  </si>
  <si>
    <t>PedidoF1294</t>
  </si>
  <si>
    <t>PedidoF1295</t>
  </si>
  <si>
    <t>PedidoF1296</t>
  </si>
  <si>
    <t>PedidoF1297</t>
  </si>
  <si>
    <t>PedidoF1298</t>
  </si>
  <si>
    <t>PedidoF1299</t>
  </si>
  <si>
    <t>PedidoF1300</t>
  </si>
  <si>
    <t>PedidoF1301</t>
  </si>
  <si>
    <t>PedidoF1302</t>
  </si>
  <si>
    <t>PedidoF1303</t>
  </si>
  <si>
    <t>PedidoF1304</t>
  </si>
  <si>
    <t>PedidoF1305</t>
  </si>
  <si>
    <t>PedidoF1306</t>
  </si>
  <si>
    <t>PedidoF1307</t>
  </si>
  <si>
    <t>PedidoF1308</t>
  </si>
  <si>
    <t>PedidoF1309</t>
  </si>
  <si>
    <t>PedidoF1310</t>
  </si>
  <si>
    <t>PedidoF1311</t>
  </si>
  <si>
    <t>PedidoF1312</t>
  </si>
  <si>
    <t>PedidoF1313</t>
  </si>
  <si>
    <t>PedidoF1314</t>
  </si>
  <si>
    <t>PedidoF1315</t>
  </si>
  <si>
    <t>PedidoF1316</t>
  </si>
  <si>
    <t>PedidoF1317</t>
  </si>
  <si>
    <t>PedidoF1318</t>
  </si>
  <si>
    <t>PedidoF1319</t>
  </si>
  <si>
    <t>PedidoF1320</t>
  </si>
  <si>
    <t>PedidoF1321</t>
  </si>
  <si>
    <t>PedidoF1322</t>
  </si>
  <si>
    <t>PedidoF1323</t>
  </si>
  <si>
    <t>PedidoF1324</t>
  </si>
  <si>
    <t>PedidoF1325</t>
  </si>
  <si>
    <t>PedidoF1326</t>
  </si>
  <si>
    <t>PedidoF1327</t>
  </si>
  <si>
    <t>PedidoF1328</t>
  </si>
  <si>
    <t>PedidoF1329</t>
  </si>
  <si>
    <t>PedidoF1330</t>
  </si>
  <si>
    <t>PedidoF1331</t>
  </si>
  <si>
    <t>PedidoF1332</t>
  </si>
  <si>
    <t>PedidoF1333</t>
  </si>
  <si>
    <t>PedidoF1334</t>
  </si>
  <si>
    <t>PedidoF1335</t>
  </si>
  <si>
    <t>PedidoF1336</t>
  </si>
  <si>
    <t>PedidoF1337</t>
  </si>
  <si>
    <t>PedidoF1338</t>
  </si>
  <si>
    <t>PedidoF1339</t>
  </si>
  <si>
    <t>PedidoF1340</t>
  </si>
  <si>
    <t>PedidoF1341</t>
  </si>
  <si>
    <t>PedidoF1342</t>
  </si>
  <si>
    <t>PedidoF1343</t>
  </si>
  <si>
    <t>PedidoF1344</t>
  </si>
  <si>
    <t>PedidoF1345</t>
  </si>
  <si>
    <t>PedidoF1346</t>
  </si>
  <si>
    <t>PedidoF1347</t>
  </si>
  <si>
    <t>PedidoF1348</t>
  </si>
  <si>
    <t>PedidoF1349</t>
  </si>
  <si>
    <t>PedidoF1350</t>
  </si>
  <si>
    <t>PedidoF1351</t>
  </si>
  <si>
    <t>PedidoF1352</t>
  </si>
  <si>
    <t>PedidoF1353</t>
  </si>
  <si>
    <t>PedidoF1354</t>
  </si>
  <si>
    <t>PedidoF1355</t>
  </si>
  <si>
    <t>PedidoF1356</t>
  </si>
  <si>
    <t>PedidoF1357</t>
  </si>
  <si>
    <t>PedidoF1358</t>
  </si>
  <si>
    <t>PedidoF1359</t>
  </si>
  <si>
    <t>PedidoF1360</t>
  </si>
  <si>
    <t>PedidoF1361</t>
  </si>
  <si>
    <t>PedidoF1362</t>
  </si>
  <si>
    <t>PedidoF1363</t>
  </si>
  <si>
    <t>PedidoF1364</t>
  </si>
  <si>
    <t>PedidoF1365</t>
  </si>
  <si>
    <t>PedidoF1366</t>
  </si>
  <si>
    <t>PedidoF1367</t>
  </si>
  <si>
    <t>PedidoF1368</t>
  </si>
  <si>
    <t>PedidoF1369</t>
  </si>
  <si>
    <t>PedidoF1370</t>
  </si>
  <si>
    <t>PedidoF1371</t>
  </si>
  <si>
    <t>PedidoF1372</t>
  </si>
  <si>
    <t>PedidoF1373</t>
  </si>
  <si>
    <t>PedidoF1374</t>
  </si>
  <si>
    <t>PedidoF1375</t>
  </si>
  <si>
    <t>PedidoF1376</t>
  </si>
  <si>
    <t>PedidoF1377</t>
  </si>
  <si>
    <t>PedidoF1378</t>
  </si>
  <si>
    <t>PedidoF1379</t>
  </si>
  <si>
    <t>PedidoF1380</t>
  </si>
  <si>
    <t>PedidoF1381</t>
  </si>
  <si>
    <t>PedidoF1382</t>
  </si>
  <si>
    <t>PedidoF1383</t>
  </si>
  <si>
    <t>PedidoF1384</t>
  </si>
  <si>
    <t>PedidoF1385</t>
  </si>
  <si>
    <t>PedidoF1386</t>
  </si>
  <si>
    <t>PedidoF1387</t>
  </si>
  <si>
    <t>PedidoF1388</t>
  </si>
  <si>
    <t>PedidoF1389</t>
  </si>
  <si>
    <t>PedidoF1390</t>
  </si>
  <si>
    <t>PedidoF1391</t>
  </si>
  <si>
    <t>PedidoF1392</t>
  </si>
  <si>
    <t>PedidoF1393</t>
  </si>
  <si>
    <t>PedidoF1394</t>
  </si>
  <si>
    <t>PedidoF1395</t>
  </si>
  <si>
    <t>PedidoF1396</t>
  </si>
  <si>
    <t>PedidoF1397</t>
  </si>
  <si>
    <t>PedidoF1398</t>
  </si>
  <si>
    <t>PedidoF1399</t>
  </si>
  <si>
    <t>PedidoF1400</t>
  </si>
  <si>
    <t>PedidoF1401</t>
  </si>
  <si>
    <t>PedidoF1402</t>
  </si>
  <si>
    <t>PedidoF1403</t>
  </si>
  <si>
    <t>PedidoF1404</t>
  </si>
  <si>
    <t>PedidoF1405</t>
  </si>
  <si>
    <t>PedidoF1406</t>
  </si>
  <si>
    <t>PedidoF1407</t>
  </si>
  <si>
    <t>PedidoF1408</t>
  </si>
  <si>
    <t>PedidoF1409</t>
  </si>
  <si>
    <t>PedidoF1410</t>
  </si>
  <si>
    <t>PedidoF1411</t>
  </si>
  <si>
    <t>PedidoF1412</t>
  </si>
  <si>
    <t>PedidoF1413</t>
  </si>
  <si>
    <t>PedidoF1414</t>
  </si>
  <si>
    <t>PedidoF1415</t>
  </si>
  <si>
    <t>PedidoF1416</t>
  </si>
  <si>
    <t>PedidoF1417</t>
  </si>
  <si>
    <t>PedidoF1418</t>
  </si>
  <si>
    <t>PedidoF1419</t>
  </si>
  <si>
    <t>PedidoF1420</t>
  </si>
  <si>
    <t>PedidoF1421</t>
  </si>
  <si>
    <t>PedidoF1422</t>
  </si>
  <si>
    <t>PedidoF1423</t>
  </si>
  <si>
    <t>PedidoF1424</t>
  </si>
  <si>
    <t>PedidoF1425</t>
  </si>
  <si>
    <t>PedidoF1426</t>
  </si>
  <si>
    <t>PedidoF1427</t>
  </si>
  <si>
    <t>PedidoF1428</t>
  </si>
  <si>
    <t>PedidoF1429</t>
  </si>
  <si>
    <t>PedidoF1430</t>
  </si>
  <si>
    <t>PedidoF1431</t>
  </si>
  <si>
    <t>PedidoF1432</t>
  </si>
  <si>
    <t>PedidoF1433</t>
  </si>
  <si>
    <t>PedidoF1434</t>
  </si>
  <si>
    <t>PedidoF1435</t>
  </si>
  <si>
    <t>PedidoF1436</t>
  </si>
  <si>
    <t>PedidoF1437</t>
  </si>
  <si>
    <t>PedidoF1438</t>
  </si>
  <si>
    <t>PedidoF1439</t>
  </si>
  <si>
    <t>PedidoF1440</t>
  </si>
  <si>
    <t>PedidoF1441</t>
  </si>
  <si>
    <t>PedidoF1442</t>
  </si>
  <si>
    <t>PedidoF1443</t>
  </si>
  <si>
    <t>PedidoF1444</t>
  </si>
  <si>
    <t>PedidoF1445</t>
  </si>
  <si>
    <t>PedidoF1446</t>
  </si>
  <si>
    <t>PedidoF1447</t>
  </si>
  <si>
    <t>PedidoF1448</t>
  </si>
  <si>
    <t>PedidoF1449</t>
  </si>
  <si>
    <t>PedidoF1450</t>
  </si>
  <si>
    <t>PedidoF1451</t>
  </si>
  <si>
    <t>PedidoF1452</t>
  </si>
  <si>
    <t>PedidoF1453</t>
  </si>
  <si>
    <t>PedidoF1454</t>
  </si>
  <si>
    <t>PedidoF1455</t>
  </si>
  <si>
    <t>PedidoF1456</t>
  </si>
  <si>
    <t>PedidoF1457</t>
  </si>
  <si>
    <t>PedidoF1458</t>
  </si>
  <si>
    <t>PedidoF1459</t>
  </si>
  <si>
    <t>PedidoF1460</t>
  </si>
  <si>
    <t>PedidoF1461</t>
  </si>
  <si>
    <t>PedidoF1462</t>
  </si>
  <si>
    <t>PedidoF1463</t>
  </si>
  <si>
    <t>PedidoF1464</t>
  </si>
  <si>
    <t>PedidoF1465</t>
  </si>
  <si>
    <t>PedidoF1466</t>
  </si>
  <si>
    <t>PedidoF1467</t>
  </si>
  <si>
    <t>PedidoF1468</t>
  </si>
  <si>
    <t>PedidoF1469</t>
  </si>
  <si>
    <t>PedidoF1470</t>
  </si>
  <si>
    <t>PedidoF1471</t>
  </si>
  <si>
    <t>PedidoF1472</t>
  </si>
  <si>
    <t>PedidoF1473</t>
  </si>
  <si>
    <t>PedidoF1474</t>
  </si>
  <si>
    <t>PedidoF1475</t>
  </si>
  <si>
    <t>PedidoF1476</t>
  </si>
  <si>
    <t>PedidoF1477</t>
  </si>
  <si>
    <t>PedidoF1478</t>
  </si>
  <si>
    <t>PedidoF1479</t>
  </si>
  <si>
    <t>PedidoF1480</t>
  </si>
  <si>
    <t>PedidoF1481</t>
  </si>
  <si>
    <t>PedidoF1482</t>
  </si>
  <si>
    <t>PedidoF1483</t>
  </si>
  <si>
    <t>PedidoF1484</t>
  </si>
  <si>
    <t>PedidoF1485</t>
  </si>
  <si>
    <t>PedidoF1486</t>
  </si>
  <si>
    <t>PedidoF1487</t>
  </si>
  <si>
    <t>PedidoF1488</t>
  </si>
  <si>
    <t>PedidoF1489</t>
  </si>
  <si>
    <t>PedidoF1490</t>
  </si>
  <si>
    <t>PedidoF1491</t>
  </si>
  <si>
    <t>PedidoF1492</t>
  </si>
  <si>
    <t>PedidoF1493</t>
  </si>
  <si>
    <t>PedidoF1494</t>
  </si>
  <si>
    <t>PedidoF1495</t>
  </si>
  <si>
    <t>PedidoF1496</t>
  </si>
  <si>
    <t>PedidoF1497</t>
  </si>
  <si>
    <t>PedidoF1498</t>
  </si>
  <si>
    <t>PedidoF1499</t>
  </si>
  <si>
    <t>PedidoF1500</t>
  </si>
  <si>
    <t>PedidoF1501</t>
  </si>
  <si>
    <t>PedidoF1502</t>
  </si>
  <si>
    <t>PedidoF1503</t>
  </si>
  <si>
    <t>PedidoF1504</t>
  </si>
  <si>
    <t>PedidoF1505</t>
  </si>
  <si>
    <t>PedidoF1506</t>
  </si>
  <si>
    <t>PedidoF1507</t>
  </si>
  <si>
    <t>PedidoF1508</t>
  </si>
  <si>
    <t>PedidoF1509</t>
  </si>
  <si>
    <t>PedidoF1510</t>
  </si>
  <si>
    <t>PedidoF1511</t>
  </si>
  <si>
    <t>PedidoF1512</t>
  </si>
  <si>
    <t>PedidoF1513</t>
  </si>
  <si>
    <t>PedidoF1514</t>
  </si>
  <si>
    <t>PedidoF1515</t>
  </si>
  <si>
    <t>PedidoF1516</t>
  </si>
  <si>
    <t>PedidoF1517</t>
  </si>
  <si>
    <t>PedidoF1518</t>
  </si>
  <si>
    <t>PedidoF1519</t>
  </si>
  <si>
    <t>PedidoF1520</t>
  </si>
  <si>
    <t>PedidoF1521</t>
  </si>
  <si>
    <t>PedidoF1522</t>
  </si>
  <si>
    <t>PedidoF1523</t>
  </si>
  <si>
    <t>PedidoF1524</t>
  </si>
  <si>
    <t>PedidoF1525</t>
  </si>
  <si>
    <t>PedidoF1526</t>
  </si>
  <si>
    <t>PedidoF1527</t>
  </si>
  <si>
    <t>PedidoF1528</t>
  </si>
  <si>
    <t>PedidoF1529</t>
  </si>
  <si>
    <t>PedidoF1530</t>
  </si>
  <si>
    <t>PedidoF1531</t>
  </si>
  <si>
    <t>PedidoF1532</t>
  </si>
  <si>
    <t>PedidoF1533</t>
  </si>
  <si>
    <t>PedidoF1534</t>
  </si>
  <si>
    <t>PedidoF1535</t>
  </si>
  <si>
    <t>PedidoF1536</t>
  </si>
  <si>
    <t>PedidoF1537</t>
  </si>
  <si>
    <t>PedidoF1538</t>
  </si>
  <si>
    <t>PedidoF1539</t>
  </si>
  <si>
    <t>PedidoF1540</t>
  </si>
  <si>
    <t>PedidoF1541</t>
  </si>
  <si>
    <t>PedidoF1542</t>
  </si>
  <si>
    <t>PedidoF1543</t>
  </si>
  <si>
    <t>PedidoF1544</t>
  </si>
  <si>
    <t>PedidoF1545</t>
  </si>
  <si>
    <t>PedidoF1546</t>
  </si>
  <si>
    <t>PedidoF1547</t>
  </si>
  <si>
    <t>PedidoF1548</t>
  </si>
  <si>
    <t>PedidoF1549</t>
  </si>
  <si>
    <t>PedidoF1550</t>
  </si>
  <si>
    <t>PedidoF1551</t>
  </si>
  <si>
    <t>PedidoF1552</t>
  </si>
  <si>
    <t>PedidoF1553</t>
  </si>
  <si>
    <t>PedidoF1554</t>
  </si>
  <si>
    <t>PedidoF1555</t>
  </si>
  <si>
    <t>PedidoF1556</t>
  </si>
  <si>
    <t>PedidoF1557</t>
  </si>
  <si>
    <t>PedidoF1558</t>
  </si>
  <si>
    <t>PedidoF1559</t>
  </si>
  <si>
    <t>PedidoF1560</t>
  </si>
  <si>
    <t>PedidoF1561</t>
  </si>
  <si>
    <t>PedidoF1562</t>
  </si>
  <si>
    <t>PedidoF1563</t>
  </si>
  <si>
    <t>PedidoF1564</t>
  </si>
  <si>
    <t>PedidoF1565</t>
  </si>
  <si>
    <t>PedidoF1566</t>
  </si>
  <si>
    <t>PedidoF1567</t>
  </si>
  <si>
    <t>PedidoF1568</t>
  </si>
  <si>
    <t>PedidoF1569</t>
  </si>
  <si>
    <t>PedidoF1570</t>
  </si>
  <si>
    <t>PedidoF1571</t>
  </si>
  <si>
    <t>PedidoF1572</t>
  </si>
  <si>
    <t>PedidoF1573</t>
  </si>
  <si>
    <t>PedidoF1574</t>
  </si>
  <si>
    <t>PedidoF1575</t>
  </si>
  <si>
    <t>PedidoF1576</t>
  </si>
  <si>
    <t>PedidoF1577</t>
  </si>
  <si>
    <t>PedidoF1578</t>
  </si>
  <si>
    <t>PedidoF1579</t>
  </si>
  <si>
    <t>PedidoF1580</t>
  </si>
  <si>
    <t>PedidoF1581</t>
  </si>
  <si>
    <t>PedidoF1582</t>
  </si>
  <si>
    <t>PedidoF1583</t>
  </si>
  <si>
    <t>PedidoF1584</t>
  </si>
  <si>
    <t>PedidoF1585</t>
  </si>
  <si>
    <t>PedidoF1586</t>
  </si>
  <si>
    <t>PedidoF1587</t>
  </si>
  <si>
    <t>PedidoF1588</t>
  </si>
  <si>
    <t>PedidoF1589</t>
  </si>
  <si>
    <t>PedidoF1590</t>
  </si>
  <si>
    <t>PedidoF1591</t>
  </si>
  <si>
    <t>PedidoF1592</t>
  </si>
  <si>
    <t>PedidoF1593</t>
  </si>
  <si>
    <t>PedidoF1594</t>
  </si>
  <si>
    <t>PedidoF1595</t>
  </si>
  <si>
    <t>PedidoF1596</t>
  </si>
  <si>
    <t>PedidoF1597</t>
  </si>
  <si>
    <t>PedidoF1598</t>
  </si>
  <si>
    <t>PedidoF1599</t>
  </si>
  <si>
    <t>PedidoF1600</t>
  </si>
  <si>
    <t>PedidoF1601</t>
  </si>
  <si>
    <t>PedidoF1602</t>
  </si>
  <si>
    <t>PedidoF1603</t>
  </si>
  <si>
    <t>PedidoF1604</t>
  </si>
  <si>
    <t>PedidoF1605</t>
  </si>
  <si>
    <t>PedidoF1606</t>
  </si>
  <si>
    <t>PedidoF1607</t>
  </si>
  <si>
    <t>PedidoF1608</t>
  </si>
  <si>
    <t>PedidoF1609</t>
  </si>
  <si>
    <t>PedidoF1610</t>
  </si>
  <si>
    <t>PedidoF1611</t>
  </si>
  <si>
    <t>PedidoF1612</t>
  </si>
  <si>
    <t>PedidoF1613</t>
  </si>
  <si>
    <t>PedidoF1614</t>
  </si>
  <si>
    <t>PedidoF1615</t>
  </si>
  <si>
    <t>PedidoF1616</t>
  </si>
  <si>
    <t>PedidoF1617</t>
  </si>
  <si>
    <t>PedidoF1618</t>
  </si>
  <si>
    <t>PedidoF1619</t>
  </si>
  <si>
    <t>PedidoF1620</t>
  </si>
  <si>
    <t>PedidoF1621</t>
  </si>
  <si>
    <t>PedidoF1622</t>
  </si>
  <si>
    <t>PedidoF1623</t>
  </si>
  <si>
    <t>PedidoF1624</t>
  </si>
  <si>
    <t>PedidoF1625</t>
  </si>
  <si>
    <t>PedidoF1626</t>
  </si>
  <si>
    <t>PedidoF1627</t>
  </si>
  <si>
    <t>PedidoF1628</t>
  </si>
  <si>
    <t>PedidoF1629</t>
  </si>
  <si>
    <t>PedidoF1630</t>
  </si>
  <si>
    <t>PedidoF1631</t>
  </si>
  <si>
    <t>PedidoF1632</t>
  </si>
  <si>
    <t>PedidoF1633</t>
  </si>
  <si>
    <t>PedidoF1634</t>
  </si>
  <si>
    <t>PedidoF1635</t>
  </si>
  <si>
    <t>PedidoF1636</t>
  </si>
  <si>
    <t>PedidoF1637</t>
  </si>
  <si>
    <t>PedidoF1638</t>
  </si>
  <si>
    <t>PedidoF1639</t>
  </si>
  <si>
    <t>PedidoF1640</t>
  </si>
  <si>
    <t>PedidoF1641</t>
  </si>
  <si>
    <t>PedidoF1642</t>
  </si>
  <si>
    <t>PedidoF1643</t>
  </si>
  <si>
    <t>PedidoF1644</t>
  </si>
  <si>
    <t>PedidoF1645</t>
  </si>
  <si>
    <t>PedidoF1646</t>
  </si>
  <si>
    <t>PedidoF1647</t>
  </si>
  <si>
    <t>PedidoF1648</t>
  </si>
  <si>
    <t>PedidoF1649</t>
  </si>
  <si>
    <t>PedidoF1650</t>
  </si>
  <si>
    <t>PedidoF1651</t>
  </si>
  <si>
    <t>PedidoF1652</t>
  </si>
  <si>
    <t>PedidoF1653</t>
  </si>
  <si>
    <t>PedidoF1654</t>
  </si>
  <si>
    <t>PedidoF1655</t>
  </si>
  <si>
    <t>PedidoF1656</t>
  </si>
  <si>
    <t>PedidoF1657</t>
  </si>
  <si>
    <t>PedidoF1658</t>
  </si>
  <si>
    <t>PedidoF1659</t>
  </si>
  <si>
    <t>PedidoF1660</t>
  </si>
  <si>
    <t>PedidoF1661</t>
  </si>
  <si>
    <t>PedidoF1662</t>
  </si>
  <si>
    <t>PedidoF1663</t>
  </si>
  <si>
    <t>PedidoF1664</t>
  </si>
  <si>
    <t>PedidoF1665</t>
  </si>
  <si>
    <t>PedidoF1666</t>
  </si>
  <si>
    <t>PedidoF1667</t>
  </si>
  <si>
    <t>PedidoF1668</t>
  </si>
  <si>
    <t>PedidoF1669</t>
  </si>
  <si>
    <t>PedidoF1670</t>
  </si>
  <si>
    <t>PedidoF1671</t>
  </si>
  <si>
    <t>PedidoF1672</t>
  </si>
  <si>
    <t>PedidoF1673</t>
  </si>
  <si>
    <t>PedidoF1674</t>
  </si>
  <si>
    <t>PedidoF1675</t>
  </si>
  <si>
    <t>PedidoF1676</t>
  </si>
  <si>
    <t>PedidoF1677</t>
  </si>
  <si>
    <t>PedidoF1678</t>
  </si>
  <si>
    <t>PedidoF1679</t>
  </si>
  <si>
    <t>PedidoF1680</t>
  </si>
  <si>
    <t>PedidoF1681</t>
  </si>
  <si>
    <t>PedidoF1682</t>
  </si>
  <si>
    <t>PedidoF1683</t>
  </si>
  <si>
    <t>PedidoF1684</t>
  </si>
  <si>
    <t>PedidoF1685</t>
  </si>
  <si>
    <t>PedidoF1686</t>
  </si>
  <si>
    <t>PedidoF1687</t>
  </si>
  <si>
    <t>PedidoF1688</t>
  </si>
  <si>
    <t>PedidoF1689</t>
  </si>
  <si>
    <t>PedidoF1690</t>
  </si>
  <si>
    <t>PedidoF1691</t>
  </si>
  <si>
    <t>PedidoF1692</t>
  </si>
  <si>
    <t>PedidoF1693</t>
  </si>
  <si>
    <t>PedidoF1694</t>
  </si>
  <si>
    <t>PedidoF1695</t>
  </si>
  <si>
    <t>PedidoF1696</t>
  </si>
  <si>
    <t>PedidoF1697</t>
  </si>
  <si>
    <t>PedidoF1698</t>
  </si>
  <si>
    <t>PedidoF1699</t>
  </si>
  <si>
    <t>PedidoF1700</t>
  </si>
  <si>
    <t>PedidoF1701</t>
  </si>
  <si>
    <t>PedidoF1702</t>
  </si>
  <si>
    <t>PedidoF1703</t>
  </si>
  <si>
    <t>PedidoF1704</t>
  </si>
  <si>
    <t>PedidoF1705</t>
  </si>
  <si>
    <t>PedidoF1706</t>
  </si>
  <si>
    <t>PedidoF1707</t>
  </si>
  <si>
    <t>PedidoF1708</t>
  </si>
  <si>
    <t>PedidoF1709</t>
  </si>
  <si>
    <t>PedidoF1710</t>
  </si>
  <si>
    <t>PedidoF1711</t>
  </si>
  <si>
    <t>PedidoF1712</t>
  </si>
  <si>
    <t>PedidoF1713</t>
  </si>
  <si>
    <t>PedidoF1714</t>
  </si>
  <si>
    <t>PedidoF1715</t>
  </si>
  <si>
    <t>PedidoF1716</t>
  </si>
  <si>
    <t>PedidoF1717</t>
  </si>
  <si>
    <t>PedidoF1718</t>
  </si>
  <si>
    <t>PedidoF1719</t>
  </si>
  <si>
    <t>PedidoF1720</t>
  </si>
  <si>
    <t>PedidoF1721</t>
  </si>
  <si>
    <t>PedidoF1722</t>
  </si>
  <si>
    <t>PedidoF1723</t>
  </si>
  <si>
    <t>PedidoF1724</t>
  </si>
  <si>
    <t>PedidoF1725</t>
  </si>
  <si>
    <t>PedidoF1726</t>
  </si>
  <si>
    <t>PedidoF1727</t>
  </si>
  <si>
    <t>PedidoF1728</t>
  </si>
  <si>
    <t>PedidoF1729</t>
  </si>
  <si>
    <t>PedidoF1730</t>
  </si>
  <si>
    <t>PedidoF1731</t>
  </si>
  <si>
    <t>PedidoF1732</t>
  </si>
  <si>
    <t>PedidoF1733</t>
  </si>
  <si>
    <t>PedidoF1734</t>
  </si>
  <si>
    <t>PedidoF1735</t>
  </si>
  <si>
    <t>PedidoF1736</t>
  </si>
  <si>
    <t>PedidoF1737</t>
  </si>
  <si>
    <t>PedidoF1738</t>
  </si>
  <si>
    <t>PedidoF1739</t>
  </si>
  <si>
    <t>PedidoF1740</t>
  </si>
  <si>
    <t>PedidoF1741</t>
  </si>
  <si>
    <t>PedidoF1742</t>
  </si>
  <si>
    <t>PedidoF1743</t>
  </si>
  <si>
    <t>PedidoF1744</t>
  </si>
  <si>
    <t>PedidoF1745</t>
  </si>
  <si>
    <t>PedidoF1746</t>
  </si>
  <si>
    <t>PedidoF1747</t>
  </si>
  <si>
    <t>PedidoF1748</t>
  </si>
  <si>
    <t>PedidoF1749</t>
  </si>
  <si>
    <t>PedidoF1750</t>
  </si>
  <si>
    <t>PedidoF1751</t>
  </si>
  <si>
    <t>PedidoF1752</t>
  </si>
  <si>
    <t>PedidoF1753</t>
  </si>
  <si>
    <t>PedidoF1754</t>
  </si>
  <si>
    <t>PedidoF1755</t>
  </si>
  <si>
    <t>PedidoF1756</t>
  </si>
  <si>
    <t>PedidoF1757</t>
  </si>
  <si>
    <t>PedidoF1758</t>
  </si>
  <si>
    <t>PedidoF1759</t>
  </si>
  <si>
    <t>PedidoF1760</t>
  </si>
  <si>
    <t>PedidoF1761</t>
  </si>
  <si>
    <t>PedidoF1762</t>
  </si>
  <si>
    <t>PedidoF1763</t>
  </si>
  <si>
    <t>PedidoF1764</t>
  </si>
  <si>
    <t>PedidoF1765</t>
  </si>
  <si>
    <t>PedidoF1766</t>
  </si>
  <si>
    <t>PedidoF1767</t>
  </si>
  <si>
    <t>PedidoF1768</t>
  </si>
  <si>
    <t>PedidoF1769</t>
  </si>
  <si>
    <t>PedidoF1770</t>
  </si>
  <si>
    <t>PedidoF1771</t>
  </si>
  <si>
    <t>PedidoF1772</t>
  </si>
  <si>
    <t>PedidoF1773</t>
  </si>
  <si>
    <t>PedidoF1774</t>
  </si>
  <si>
    <t>PedidoF1775</t>
  </si>
  <si>
    <t>PedidoF1776</t>
  </si>
  <si>
    <t>PedidoF1777</t>
  </si>
  <si>
    <t>PedidoF1778</t>
  </si>
  <si>
    <t>PedidoF1779</t>
  </si>
  <si>
    <t>PedidoF1780</t>
  </si>
  <si>
    <t>PedidoF1781</t>
  </si>
  <si>
    <t>PedidoF1782</t>
  </si>
  <si>
    <t>PedidoF1783</t>
  </si>
  <si>
    <t>PedidoF1784</t>
  </si>
  <si>
    <t>PedidoF1785</t>
  </si>
  <si>
    <t>PedidoF1786</t>
  </si>
  <si>
    <t>PedidoF1787</t>
  </si>
  <si>
    <t>PedidoF1788</t>
  </si>
  <si>
    <t>PedidoF1789</t>
  </si>
  <si>
    <t>PedidoF1790</t>
  </si>
  <si>
    <t>PedidoF1791</t>
  </si>
  <si>
    <t>PedidoF1792</t>
  </si>
  <si>
    <t>PedidoF1793</t>
  </si>
  <si>
    <t>PedidoF1794</t>
  </si>
  <si>
    <t>PedidoF1795</t>
  </si>
  <si>
    <t>PedidoF1796</t>
  </si>
  <si>
    <t>PedidoF1797</t>
  </si>
  <si>
    <t>PedidoF1798</t>
  </si>
  <si>
    <t>PedidoF1799</t>
  </si>
  <si>
    <t>PedidoF1800</t>
  </si>
  <si>
    <t>PedidoF1801</t>
  </si>
  <si>
    <t>PedidoF1802</t>
  </si>
  <si>
    <t>PedidoF1803</t>
  </si>
  <si>
    <t>PedidoF1804</t>
  </si>
  <si>
    <t>PedidoF1805</t>
  </si>
  <si>
    <t>PedidoF1806</t>
  </si>
  <si>
    <t>PedidoF1807</t>
  </si>
  <si>
    <t>PedidoF1808</t>
  </si>
  <si>
    <t>PedidoF1809</t>
  </si>
  <si>
    <t>PedidoF1810</t>
  </si>
  <si>
    <t>PedidoF1811</t>
  </si>
  <si>
    <t>PedidoF1812</t>
  </si>
  <si>
    <t>PedidoF1813</t>
  </si>
  <si>
    <t>PedidoF1814</t>
  </si>
  <si>
    <t>PedidoF1815</t>
  </si>
  <si>
    <t>PedidoF1816</t>
  </si>
  <si>
    <t>PedidoF1817</t>
  </si>
  <si>
    <t>PedidoF1818</t>
  </si>
  <si>
    <t>PedidoF1819</t>
  </si>
  <si>
    <t>PedidoF1820</t>
  </si>
  <si>
    <t>PedidoF1821</t>
  </si>
  <si>
    <t>PedidoF1822</t>
  </si>
  <si>
    <t>PedidoF1823</t>
  </si>
  <si>
    <t>PedidoF1824</t>
  </si>
  <si>
    <t>PedidoF1825</t>
  </si>
  <si>
    <t>PedidoF1826</t>
  </si>
  <si>
    <t>PedidoF1827</t>
  </si>
  <si>
    <t>PedidoF1828</t>
  </si>
  <si>
    <t>PedidoF1829</t>
  </si>
  <si>
    <t>PedidoF1830</t>
  </si>
  <si>
    <t>PedidoF1831</t>
  </si>
  <si>
    <t>PedidoF1832</t>
  </si>
  <si>
    <t>PedidoF1833</t>
  </si>
  <si>
    <t>PedidoF1834</t>
  </si>
  <si>
    <t>PedidoF1835</t>
  </si>
  <si>
    <t>PedidoF1836</t>
  </si>
  <si>
    <t>PedidoF1837</t>
  </si>
  <si>
    <t>PedidoF1838</t>
  </si>
  <si>
    <t>PedidoF1839</t>
  </si>
  <si>
    <t>PedidoF1840</t>
  </si>
  <si>
    <t>PedidoF1841</t>
  </si>
  <si>
    <t>PedidoF1842</t>
  </si>
  <si>
    <t>PedidoF1843</t>
  </si>
  <si>
    <t>PedidoF1844</t>
  </si>
  <si>
    <t>PedidoF1845</t>
  </si>
  <si>
    <t>PedidoF1846</t>
  </si>
  <si>
    <t>PedidoF1847</t>
  </si>
  <si>
    <t>PedidoF1848</t>
  </si>
  <si>
    <t>PedidoF1849</t>
  </si>
  <si>
    <t>PedidoF1850</t>
  </si>
  <si>
    <t>PedidoF1851</t>
  </si>
  <si>
    <t>PedidoF1852</t>
  </si>
  <si>
    <t>PedidoF1853</t>
  </si>
  <si>
    <t>PedidoF1854</t>
  </si>
  <si>
    <t>PedidoF1855</t>
  </si>
  <si>
    <t>PedidoF1856</t>
  </si>
  <si>
    <t>PedidoF1857</t>
  </si>
  <si>
    <t>PedidoF1858</t>
  </si>
  <si>
    <t>PedidoF1859</t>
  </si>
  <si>
    <t>PedidoF1860</t>
  </si>
  <si>
    <t>PedidoF1861</t>
  </si>
  <si>
    <t>PedidoF1862</t>
  </si>
  <si>
    <t>PedidoF1863</t>
  </si>
  <si>
    <t>PedidoF1864</t>
  </si>
  <si>
    <t>PedidoF1865</t>
  </si>
  <si>
    <t>PedidoF1866</t>
  </si>
  <si>
    <t>PedidoF1867</t>
  </si>
  <si>
    <t>PedidoF1868</t>
  </si>
  <si>
    <t>PedidoF1869</t>
  </si>
  <si>
    <t>PedidoF1870</t>
  </si>
  <si>
    <t>PedidoF1871</t>
  </si>
  <si>
    <t>PedidoF1872</t>
  </si>
  <si>
    <t>PedidoF1873</t>
  </si>
  <si>
    <t>PedidoF1874</t>
  </si>
  <si>
    <t>PedidoF1875</t>
  </si>
  <si>
    <t>PedidoF1876</t>
  </si>
  <si>
    <t>PedidoF1877</t>
  </si>
  <si>
    <t>PedidoF1878</t>
  </si>
  <si>
    <t>PedidoF1879</t>
  </si>
  <si>
    <t>PedidoF1880</t>
  </si>
  <si>
    <t>PedidoF1881</t>
  </si>
  <si>
    <t>PedidoF1882</t>
  </si>
  <si>
    <t>PedidoF1883</t>
  </si>
  <si>
    <t>PedidoF1884</t>
  </si>
  <si>
    <t>PedidoF1885</t>
  </si>
  <si>
    <t>PedidoF1886</t>
  </si>
  <si>
    <t>PedidoF1887</t>
  </si>
  <si>
    <t>PedidoF1888</t>
  </si>
  <si>
    <t>PedidoF1889</t>
  </si>
  <si>
    <t>PedidoF1890</t>
  </si>
  <si>
    <t>PedidoF1891</t>
  </si>
  <si>
    <t>PedidoF1892</t>
  </si>
  <si>
    <t>PedidoF1893</t>
  </si>
  <si>
    <t>PedidoF1894</t>
  </si>
  <si>
    <t>PedidoF1895</t>
  </si>
  <si>
    <t>PedidoF1896</t>
  </si>
  <si>
    <t>PedidoF1897</t>
  </si>
  <si>
    <t>PedidoF1898</t>
  </si>
  <si>
    <t>PedidoF1899</t>
  </si>
  <si>
    <t>PedidoF1900</t>
  </si>
  <si>
    <t>PedidoF1901</t>
  </si>
  <si>
    <t>PedidoF1902</t>
  </si>
  <si>
    <t>PedidoF1903</t>
  </si>
  <si>
    <t>PedidoF1904</t>
  </si>
  <si>
    <t>PedidoF1905</t>
  </si>
  <si>
    <t>PedidoF1906</t>
  </si>
  <si>
    <t>PedidoF1907</t>
  </si>
  <si>
    <t>PedidoF1908</t>
  </si>
  <si>
    <t>PedidoF1909</t>
  </si>
  <si>
    <t>PedidoF1910</t>
  </si>
  <si>
    <t>PedidoF1911</t>
  </si>
  <si>
    <t>PedidoF1912</t>
  </si>
  <si>
    <t>PedidoF1913</t>
  </si>
  <si>
    <t>PedidoF1914</t>
  </si>
  <si>
    <t>PedidoF1915</t>
  </si>
  <si>
    <t>PedidoF1916</t>
  </si>
  <si>
    <t>PedidoF1917</t>
  </si>
  <si>
    <t>PedidoF1918</t>
  </si>
  <si>
    <t>PedidoF1919</t>
  </si>
  <si>
    <t>PedidoF1920</t>
  </si>
  <si>
    <t>PedidoF1921</t>
  </si>
  <si>
    <t>PedidoF1922</t>
  </si>
  <si>
    <t>PedidoF1923</t>
  </si>
  <si>
    <t>PedidoF1924</t>
  </si>
  <si>
    <t>PedidoF1925</t>
  </si>
  <si>
    <t>PedidoF1926</t>
  </si>
  <si>
    <t>PedidoF1927</t>
  </si>
  <si>
    <t>PedidoF1928</t>
  </si>
  <si>
    <t>PedidoF1929</t>
  </si>
  <si>
    <t>PedidoF1930</t>
  </si>
  <si>
    <t>PedidoF1931</t>
  </si>
  <si>
    <t>PedidoF1932</t>
  </si>
  <si>
    <t>PedidoF1933</t>
  </si>
  <si>
    <t>PedidoF1934</t>
  </si>
  <si>
    <t>PedidoF1935</t>
  </si>
  <si>
    <t>PedidoF1936</t>
  </si>
  <si>
    <t>PedidoF1937</t>
  </si>
  <si>
    <t>PedidoF1938</t>
  </si>
  <si>
    <t>PedidoF1939</t>
  </si>
  <si>
    <t>PedidoF1940</t>
  </si>
  <si>
    <t>PedidoF1941</t>
  </si>
  <si>
    <t>PedidoF1942</t>
  </si>
  <si>
    <t>PedidoF1943</t>
  </si>
  <si>
    <t>PedidoF1944</t>
  </si>
  <si>
    <t>PedidoF1945</t>
  </si>
  <si>
    <t>PedidoF1946</t>
  </si>
  <si>
    <t>PedidoF1947</t>
  </si>
  <si>
    <t>PedidoF1948</t>
  </si>
  <si>
    <t>PedidoF1949</t>
  </si>
  <si>
    <t>PedidoF1950</t>
  </si>
  <si>
    <t>PedidoF1951</t>
  </si>
  <si>
    <t>PedidoF1952</t>
  </si>
  <si>
    <t>PedidoF1953</t>
  </si>
  <si>
    <t>PedidoF1954</t>
  </si>
  <si>
    <t>PedidoF1955</t>
  </si>
  <si>
    <t>PedidoF1956</t>
  </si>
  <si>
    <t>PedidoF1957</t>
  </si>
  <si>
    <t>PedidoF1958</t>
  </si>
  <si>
    <t>PedidoF1959</t>
  </si>
  <si>
    <t>PedidoF1960</t>
  </si>
  <si>
    <t>PedidoF1961</t>
  </si>
  <si>
    <t>PedidoF1962</t>
  </si>
  <si>
    <t>PedidoF1963</t>
  </si>
  <si>
    <t>PedidoF1964</t>
  </si>
  <si>
    <t>PedidoF1965</t>
  </si>
  <si>
    <t>PedidoF1966</t>
  </si>
  <si>
    <t>PedidoF1967</t>
  </si>
  <si>
    <t>PedidoF1968</t>
  </si>
  <si>
    <t>PedidoF1969</t>
  </si>
  <si>
    <t>PedidoF1970</t>
  </si>
  <si>
    <t>PedidoF1971</t>
  </si>
  <si>
    <t>PedidoF1972</t>
  </si>
  <si>
    <t>PedidoF1973</t>
  </si>
  <si>
    <t>PedidoF1974</t>
  </si>
  <si>
    <t>PedidoF1975</t>
  </si>
  <si>
    <t>PedidoF1976</t>
  </si>
  <si>
    <t>PedidoF1977</t>
  </si>
  <si>
    <t>PedidoF1978</t>
  </si>
  <si>
    <t>PedidoF1979</t>
  </si>
  <si>
    <t>PedidoF1980</t>
  </si>
  <si>
    <t>PedidoF1981</t>
  </si>
  <si>
    <t>PedidoF1982</t>
  </si>
  <si>
    <t>PedidoF1983</t>
  </si>
  <si>
    <t>PedidoF1984</t>
  </si>
  <si>
    <t>PedidoF1985</t>
  </si>
  <si>
    <t>PedidoF1986</t>
  </si>
  <si>
    <t>PedidoF1987</t>
  </si>
  <si>
    <t>PedidoF1988</t>
  </si>
  <si>
    <t>PedidoF1989</t>
  </si>
  <si>
    <t>PedidoF1990</t>
  </si>
  <si>
    <t>PedidoF1991</t>
  </si>
  <si>
    <t>CódRastreio1</t>
  </si>
  <si>
    <t>CódRastreio2</t>
  </si>
  <si>
    <t>CódRastreio3</t>
  </si>
  <si>
    <t>CódRastreio4</t>
  </si>
  <si>
    <t>CódRastreio5</t>
  </si>
  <si>
    <t>CódRastreio6</t>
  </si>
  <si>
    <t>CódRastreio7</t>
  </si>
  <si>
    <t>CódRastreio8</t>
  </si>
  <si>
    <t>CódRastreio9</t>
  </si>
  <si>
    <t>CódRastreio10</t>
  </si>
  <si>
    <t>CódRastreio11</t>
  </si>
  <si>
    <t>CódRastreio12</t>
  </si>
  <si>
    <t>CódRastreio13</t>
  </si>
  <si>
    <t>CódRastreio14</t>
  </si>
  <si>
    <t>CódRastreio15</t>
  </si>
  <si>
    <t>CódRastreio16</t>
  </si>
  <si>
    <t>CódRastreio17</t>
  </si>
  <si>
    <t>CódRastreio18</t>
  </si>
  <si>
    <t>CódRastreio19</t>
  </si>
  <si>
    <t>CódRastreio20</t>
  </si>
  <si>
    <t>CódRastreio21</t>
  </si>
  <si>
    <t>CódRastreio22</t>
  </si>
  <si>
    <t>CódRastreio23</t>
  </si>
  <si>
    <t>CódRastreio24</t>
  </si>
  <si>
    <t>CódRastreio25</t>
  </si>
  <si>
    <t>CódRastreio26</t>
  </si>
  <si>
    <t>CódRastreio27</t>
  </si>
  <si>
    <t>CódRastreio28</t>
  </si>
  <si>
    <t>CódRastreio29</t>
  </si>
  <si>
    <t>CódRastreio30</t>
  </si>
  <si>
    <t>CódRastreio31</t>
  </si>
  <si>
    <t>CódRastreio32</t>
  </si>
  <si>
    <t>CódRastreio33</t>
  </si>
  <si>
    <t>CódRastreio34</t>
  </si>
  <si>
    <t>CódRastreio35</t>
  </si>
  <si>
    <t>CódRastreio36</t>
  </si>
  <si>
    <t>CódRastreio37</t>
  </si>
  <si>
    <t>CódRastreio38</t>
  </si>
  <si>
    <t>CódRastreio39</t>
  </si>
  <si>
    <t>CódRastreio40</t>
  </si>
  <si>
    <t>CódRastreio41</t>
  </si>
  <si>
    <t>CódRastreio42</t>
  </si>
  <si>
    <t>CódRastreio43</t>
  </si>
  <si>
    <t>CódRastreio44</t>
  </si>
  <si>
    <t>CódRastreio45</t>
  </si>
  <si>
    <t>CódRastreio46</t>
  </si>
  <si>
    <t>CódRastreio47</t>
  </si>
  <si>
    <t>CódRastreio48</t>
  </si>
  <si>
    <t>CódRastreio49</t>
  </si>
  <si>
    <t>CódRastreio50</t>
  </si>
  <si>
    <t>CódRastreio51</t>
  </si>
  <si>
    <t>CódRastreio52</t>
  </si>
  <si>
    <t>CódRastreio53</t>
  </si>
  <si>
    <t>CódRastreio54</t>
  </si>
  <si>
    <t>CódRastreio55</t>
  </si>
  <si>
    <t>CódRastreio56</t>
  </si>
  <si>
    <t>CódRastreio57</t>
  </si>
  <si>
    <t>CódRastreio58</t>
  </si>
  <si>
    <t>CódRastreio59</t>
  </si>
  <si>
    <t>CódRastreio60</t>
  </si>
  <si>
    <t>CódRastreio61</t>
  </si>
  <si>
    <t>CódRastreio62</t>
  </si>
  <si>
    <t>CódRastreio63</t>
  </si>
  <si>
    <t>CódRastreio64</t>
  </si>
  <si>
    <t>CódRastreio65</t>
  </si>
  <si>
    <t>CódRastreio66</t>
  </si>
  <si>
    <t>CódRastreio67</t>
  </si>
  <si>
    <t>CódRastreio68</t>
  </si>
  <si>
    <t>CódRastreio69</t>
  </si>
  <si>
    <t>CódRastreio70</t>
  </si>
  <si>
    <t>CódRastreio71</t>
  </si>
  <si>
    <t>CódRastreio72</t>
  </si>
  <si>
    <t>CódRastreio73</t>
  </si>
  <si>
    <t>CódRastreio74</t>
  </si>
  <si>
    <t>CódRastreio75</t>
  </si>
  <si>
    <t>CódRastreio76</t>
  </si>
  <si>
    <t>CódRastreio77</t>
  </si>
  <si>
    <t>CódRastreio78</t>
  </si>
  <si>
    <t>CódRastreio79</t>
  </si>
  <si>
    <t>CódRastreio80</t>
  </si>
  <si>
    <t>CódRastreio81</t>
  </si>
  <si>
    <t>CódRastreio82</t>
  </si>
  <si>
    <t>CódRastreio83</t>
  </si>
  <si>
    <t>CódRastreio84</t>
  </si>
  <si>
    <t>CódRastreio85</t>
  </si>
  <si>
    <t>CódRastreio86</t>
  </si>
  <si>
    <t>CódRastreio87</t>
  </si>
  <si>
    <t>CódRastreio88</t>
  </si>
  <si>
    <t>CódRastreio89</t>
  </si>
  <si>
    <t>CódRastreio90</t>
  </si>
  <si>
    <t>CódRastreio91</t>
  </si>
  <si>
    <t>CódRastreio92</t>
  </si>
  <si>
    <t>CódRastreio93</t>
  </si>
  <si>
    <t>CódRastreio94</t>
  </si>
  <si>
    <t>CódRastreio95</t>
  </si>
  <si>
    <t>CódRastreio96</t>
  </si>
  <si>
    <t>CódRastreio97</t>
  </si>
  <si>
    <t>CódRastreio98</t>
  </si>
  <si>
    <t>CódRastreio99</t>
  </si>
  <si>
    <t>CódRastreio100</t>
  </si>
  <si>
    <t>CódRastreio101</t>
  </si>
  <si>
    <t>CódRastreio102</t>
  </si>
  <si>
    <t>CódRastreio103</t>
  </si>
  <si>
    <t>CódRastreio104</t>
  </si>
  <si>
    <t>CódRastreio105</t>
  </si>
  <si>
    <t>CódRastreio106</t>
  </si>
  <si>
    <t>CódRastreio107</t>
  </si>
  <si>
    <t>CódRastreio108</t>
  </si>
  <si>
    <t>CódRastreio109</t>
  </si>
  <si>
    <t>CódRastreio110</t>
  </si>
  <si>
    <t>CódRastreio111</t>
  </si>
  <si>
    <t>CódRastreio112</t>
  </si>
  <si>
    <t>CódRastreio113</t>
  </si>
  <si>
    <t>CódRastreio114</t>
  </si>
  <si>
    <t>CódRastreio115</t>
  </si>
  <si>
    <t>CódRastreio116</t>
  </si>
  <si>
    <t>CódRastreio117</t>
  </si>
  <si>
    <t>CódRastreio118</t>
  </si>
  <si>
    <t>CódRastreio119</t>
  </si>
  <si>
    <t>CódRastreio120</t>
  </si>
  <si>
    <t>CódRastreio121</t>
  </si>
  <si>
    <t>CódRastreio122</t>
  </si>
  <si>
    <t>CódRastreio123</t>
  </si>
  <si>
    <t>CódRastreio124</t>
  </si>
  <si>
    <t>CódRastreio125</t>
  </si>
  <si>
    <t>CódRastreio126</t>
  </si>
  <si>
    <t>CódRastreio127</t>
  </si>
  <si>
    <t>CódRastreio128</t>
  </si>
  <si>
    <t>CódRastreio129</t>
  </si>
  <si>
    <t>CódRastreio130</t>
  </si>
  <si>
    <t>CódRastreio131</t>
  </si>
  <si>
    <t>CódRastreio132</t>
  </si>
  <si>
    <t>CódRastreio133</t>
  </si>
  <si>
    <t>CódRastreio134</t>
  </si>
  <si>
    <t>CódRastreio135</t>
  </si>
  <si>
    <t>CódRastreio136</t>
  </si>
  <si>
    <t>CódRastreio137</t>
  </si>
  <si>
    <t>CódRastreio138</t>
  </si>
  <si>
    <t>CódRastreio139</t>
  </si>
  <si>
    <t>CódRastreio140</t>
  </si>
  <si>
    <t>CódRastreio141</t>
  </si>
  <si>
    <t>CódRastreio142</t>
  </si>
  <si>
    <t>CódRastreio143</t>
  </si>
  <si>
    <t>CódRastreio144</t>
  </si>
  <si>
    <t>CódRastreio145</t>
  </si>
  <si>
    <t>CódRastreio146</t>
  </si>
  <si>
    <t>CódRastreio147</t>
  </si>
  <si>
    <t>CódRastreio148</t>
  </si>
  <si>
    <t>CódRastreio149</t>
  </si>
  <si>
    <t>CódRastreio150</t>
  </si>
  <si>
    <t>CódRastreio151</t>
  </si>
  <si>
    <t>CódRastreio152</t>
  </si>
  <si>
    <t>CódRastreio153</t>
  </si>
  <si>
    <t>CódRastreio154</t>
  </si>
  <si>
    <t>CódRastreio155</t>
  </si>
  <si>
    <t>CódRastreio156</t>
  </si>
  <si>
    <t>CódRastreio157</t>
  </si>
  <si>
    <t>CódRastreio158</t>
  </si>
  <si>
    <t>CódRastreio159</t>
  </si>
  <si>
    <t>CódRastreio160</t>
  </si>
  <si>
    <t>CódRastreio161</t>
  </si>
  <si>
    <t>CódRastreio162</t>
  </si>
  <si>
    <t>CódRastreio163</t>
  </si>
  <si>
    <t>CódRastreio164</t>
  </si>
  <si>
    <t>CódRastreio165</t>
  </si>
  <si>
    <t>CódRastreio166</t>
  </si>
  <si>
    <t>CódRastreio167</t>
  </si>
  <si>
    <t>CódRastreio168</t>
  </si>
  <si>
    <t>CódRastreio169</t>
  </si>
  <si>
    <t>CódRastreio170</t>
  </si>
  <si>
    <t>CódRastreio171</t>
  </si>
  <si>
    <t>CódRastreio172</t>
  </si>
  <si>
    <t>CódRastreio173</t>
  </si>
  <si>
    <t>CódRastreio174</t>
  </si>
  <si>
    <t>CódRastreio175</t>
  </si>
  <si>
    <t>CódRastreio176</t>
  </si>
  <si>
    <t>CódRastreio177</t>
  </si>
  <si>
    <t>CódRastreio178</t>
  </si>
  <si>
    <t>CódRastreio179</t>
  </si>
  <si>
    <t>CódRastreio180</t>
  </si>
  <si>
    <t>CódRastreio181</t>
  </si>
  <si>
    <t>CódRastreio182</t>
  </si>
  <si>
    <t>CódRastreio183</t>
  </si>
  <si>
    <t>CódRastreio184</t>
  </si>
  <si>
    <t>CódRastreio185</t>
  </si>
  <si>
    <t>CódRastreio186</t>
  </si>
  <si>
    <t>CódRastreio187</t>
  </si>
  <si>
    <t>CódRastreio188</t>
  </si>
  <si>
    <t>CódRastreio189</t>
  </si>
  <si>
    <t>CódRastreio190</t>
  </si>
  <si>
    <t>CódRastreio191</t>
  </si>
  <si>
    <t>CódRastreio192</t>
  </si>
  <si>
    <t>CódRastreio193</t>
  </si>
  <si>
    <t>CódRastreio194</t>
  </si>
  <si>
    <t>CódRastreio195</t>
  </si>
  <si>
    <t>CódRastreio196</t>
  </si>
  <si>
    <t>CódRastreio197</t>
  </si>
  <si>
    <t>CódRastreio198</t>
  </si>
  <si>
    <t>CódRastreio199</t>
  </si>
  <si>
    <t>CódRastreio200</t>
  </si>
  <si>
    <t>CódRastreio201</t>
  </si>
  <si>
    <t>CódRastreio202</t>
  </si>
  <si>
    <t>CódRastreio203</t>
  </si>
  <si>
    <t>CódRastreio204</t>
  </si>
  <si>
    <t>CódRastreio205</t>
  </si>
  <si>
    <t>CódRastreio206</t>
  </si>
  <si>
    <t>CódRastreio207</t>
  </si>
  <si>
    <t>CódRastreio208</t>
  </si>
  <si>
    <t>CódRastreio209</t>
  </si>
  <si>
    <t>CódRastreio210</t>
  </si>
  <si>
    <t>CódRastreio211</t>
  </si>
  <si>
    <t>CódRastreio212</t>
  </si>
  <si>
    <t>CódRastreio213</t>
  </si>
  <si>
    <t>CódRastreio214</t>
  </si>
  <si>
    <t>CódRastreio215</t>
  </si>
  <si>
    <t>CódRastreio216</t>
  </si>
  <si>
    <t>CódRastreio217</t>
  </si>
  <si>
    <t>CódRastreio218</t>
  </si>
  <si>
    <t>CódRastreio219</t>
  </si>
  <si>
    <t>CódRastreio220</t>
  </si>
  <si>
    <t>CódRastreio221</t>
  </si>
  <si>
    <t>CódRastreio222</t>
  </si>
  <si>
    <t>CódRastreio223</t>
  </si>
  <si>
    <t>CódRastreio224</t>
  </si>
  <si>
    <t>CódRastreio225</t>
  </si>
  <si>
    <t>CódRastreio226</t>
  </si>
  <si>
    <t>CódRastreio227</t>
  </si>
  <si>
    <t>CódRastreio228</t>
  </si>
  <si>
    <t>CódRastreio229</t>
  </si>
  <si>
    <t>CódRastreio230</t>
  </si>
  <si>
    <t>CódRastreio231</t>
  </si>
  <si>
    <t>CódRastreio232</t>
  </si>
  <si>
    <t>CódRastreio233</t>
  </si>
  <si>
    <t>CódRastreio234</t>
  </si>
  <si>
    <t>CódRastreio235</t>
  </si>
  <si>
    <t>CódRastreio236</t>
  </si>
  <si>
    <t>CódRastreio237</t>
  </si>
  <si>
    <t>CódRastreio238</t>
  </si>
  <si>
    <t>CódRastreio239</t>
  </si>
  <si>
    <t>CódRastreio240</t>
  </si>
  <si>
    <t>CódRastreio241</t>
  </si>
  <si>
    <t>CódRastreio242</t>
  </si>
  <si>
    <t>CódRastreio243</t>
  </si>
  <si>
    <t>CódRastreio244</t>
  </si>
  <si>
    <t>CódRastreio245</t>
  </si>
  <si>
    <t>CódRastreio246</t>
  </si>
  <si>
    <t>CódRastreio247</t>
  </si>
  <si>
    <t>CódRastreio248</t>
  </si>
  <si>
    <t>CódRastreio249</t>
  </si>
  <si>
    <t>CódRastreio250</t>
  </si>
  <si>
    <t>CódRastreio251</t>
  </si>
  <si>
    <t>CódRastreio252</t>
  </si>
  <si>
    <t>CódRastreio253</t>
  </si>
  <si>
    <t>CódRastreio254</t>
  </si>
  <si>
    <t>CódRastreio255</t>
  </si>
  <si>
    <t>CódRastreio256</t>
  </si>
  <si>
    <t>CódRastreio257</t>
  </si>
  <si>
    <t>CódRastreio258</t>
  </si>
  <si>
    <t>CódRastreio259</t>
  </si>
  <si>
    <t>CódRastreio260</t>
  </si>
  <si>
    <t>CódRastreio261</t>
  </si>
  <si>
    <t>CódRastreio262</t>
  </si>
  <si>
    <t>CódRastreio263</t>
  </si>
  <si>
    <t>CódRastreio264</t>
  </si>
  <si>
    <t>CódRastreio265</t>
  </si>
  <si>
    <t>CódRastreio266</t>
  </si>
  <si>
    <t>CódRastreio267</t>
  </si>
  <si>
    <t>CódRastreio268</t>
  </si>
  <si>
    <t>CódRastreio269</t>
  </si>
  <si>
    <t>CódRastreio270</t>
  </si>
  <si>
    <t>CódRastreio271</t>
  </si>
  <si>
    <t>CódRastreio272</t>
  </si>
  <si>
    <t>CódRastreio273</t>
  </si>
  <si>
    <t>CódRastreio274</t>
  </si>
  <si>
    <t>CódRastreio275</t>
  </si>
  <si>
    <t>CódRastreio276</t>
  </si>
  <si>
    <t>CódRastreio277</t>
  </si>
  <si>
    <t>CódRastreio278</t>
  </si>
  <si>
    <t>CódRastreio279</t>
  </si>
  <si>
    <t>CódRastreio280</t>
  </si>
  <si>
    <t>CódRastreio281</t>
  </si>
  <si>
    <t>CódRastreio282</t>
  </si>
  <si>
    <t>CódRastreio283</t>
  </si>
  <si>
    <t>CódRastreio284</t>
  </si>
  <si>
    <t>CódRastreio285</t>
  </si>
  <si>
    <t>CódRastreio286</t>
  </si>
  <si>
    <t>CódRastreio287</t>
  </si>
  <si>
    <t>CódRastreio288</t>
  </si>
  <si>
    <t>CódRastreio289</t>
  </si>
  <si>
    <t>CódRastreio290</t>
  </si>
  <si>
    <t>CódRastreio291</t>
  </si>
  <si>
    <t>CódRastreio292</t>
  </si>
  <si>
    <t>CódRastreio293</t>
  </si>
  <si>
    <t>CódRastreio294</t>
  </si>
  <si>
    <t>CódRastreio295</t>
  </si>
  <si>
    <t>CódRastreio296</t>
  </si>
  <si>
    <t>CódRastreio297</t>
  </si>
  <si>
    <t>CódRastreio298</t>
  </si>
  <si>
    <t>CódRastreio299</t>
  </si>
  <si>
    <t>CódRastreio300</t>
  </si>
  <si>
    <t>CódRastreio301</t>
  </si>
  <si>
    <t>CódRastreio302</t>
  </si>
  <si>
    <t>CódRastreio303</t>
  </si>
  <si>
    <t>CódRastreio304</t>
  </si>
  <si>
    <t>CódRastreio305</t>
  </si>
  <si>
    <t>CódRastreio306</t>
  </si>
  <si>
    <t>CódRastreio307</t>
  </si>
  <si>
    <t>CódRastreio308</t>
  </si>
  <si>
    <t>CódRastreio309</t>
  </si>
  <si>
    <t>CódRastreio310</t>
  </si>
  <si>
    <t>CódRastreio311</t>
  </si>
  <si>
    <t>CódRastreio312</t>
  </si>
  <si>
    <t>CódRastreio313</t>
  </si>
  <si>
    <t>CódRastreio314</t>
  </si>
  <si>
    <t>CódRastreio315</t>
  </si>
  <si>
    <t>CódRastreio316</t>
  </si>
  <si>
    <t>CódRastreio317</t>
  </si>
  <si>
    <t>CódRastreio318</t>
  </si>
  <si>
    <t>CódRastreio319</t>
  </si>
  <si>
    <t>CódRastreio320</t>
  </si>
  <si>
    <t>CódRastreio321</t>
  </si>
  <si>
    <t>CódRastreio322</t>
  </si>
  <si>
    <t>CódRastreio323</t>
  </si>
  <si>
    <t>CódRastreio324</t>
  </si>
  <si>
    <t>CódRastreio325</t>
  </si>
  <si>
    <t>CódRastreio326</t>
  </si>
  <si>
    <t>CódRastreio327</t>
  </si>
  <si>
    <t>CódRastreio328</t>
  </si>
  <si>
    <t>CódRastreio329</t>
  </si>
  <si>
    <t>CódRastreio330</t>
  </si>
  <si>
    <t>CódRastreio331</t>
  </si>
  <si>
    <t>CódRastreio332</t>
  </si>
  <si>
    <t>CódRastreio333</t>
  </si>
  <si>
    <t>CódRastreio334</t>
  </si>
  <si>
    <t>CódRastreio335</t>
  </si>
  <si>
    <t>CódRastreio336</t>
  </si>
  <si>
    <t>CódRastreio337</t>
  </si>
  <si>
    <t>CódRastreio338</t>
  </si>
  <si>
    <t>CódRastreio339</t>
  </si>
  <si>
    <t>CódRastreio340</t>
  </si>
  <si>
    <t>CódRastreio341</t>
  </si>
  <si>
    <t>CódRastreio342</t>
  </si>
  <si>
    <t>CódRastreio343</t>
  </si>
  <si>
    <t>CódRastreio344</t>
  </si>
  <si>
    <t>CódRastreio345</t>
  </si>
  <si>
    <t>CódRastreio346</t>
  </si>
  <si>
    <t>CódRastreio347</t>
  </si>
  <si>
    <t>CódRastreio348</t>
  </si>
  <si>
    <t>CódRastreio349</t>
  </si>
  <si>
    <t>CódRastreio350</t>
  </si>
  <si>
    <t>CódRastreio351</t>
  </si>
  <si>
    <t>CódRastreio352</t>
  </si>
  <si>
    <t>CódRastreio353</t>
  </si>
  <si>
    <t>CódRastreio354</t>
  </si>
  <si>
    <t>CódRastreio355</t>
  </si>
  <si>
    <t>CódRastreio356</t>
  </si>
  <si>
    <t>CódRastreio357</t>
  </si>
  <si>
    <t>CódRastreio358</t>
  </si>
  <si>
    <t>CódRastreio359</t>
  </si>
  <si>
    <t>CódRastreio360</t>
  </si>
  <si>
    <t>CódRastreio361</t>
  </si>
  <si>
    <t>CódRastreio362</t>
  </si>
  <si>
    <t>CódRastreio363</t>
  </si>
  <si>
    <t>CódRastreio364</t>
  </si>
  <si>
    <t>CódRastreio365</t>
  </si>
  <si>
    <t>CódRastreio366</t>
  </si>
  <si>
    <t>CódRastreio367</t>
  </si>
  <si>
    <t>CódRastreio368</t>
  </si>
  <si>
    <t>CódRastreio369</t>
  </si>
  <si>
    <t>CódRastreio370</t>
  </si>
  <si>
    <t>CódRastreio371</t>
  </si>
  <si>
    <t>CódRastreio372</t>
  </si>
  <si>
    <t>CódRastreio373</t>
  </si>
  <si>
    <t>CódRastreio374</t>
  </si>
  <si>
    <t>CódRastreio375</t>
  </si>
  <si>
    <t>CódRastreio376</t>
  </si>
  <si>
    <t>CódRastreio377</t>
  </si>
  <si>
    <t>CódRastreio378</t>
  </si>
  <si>
    <t>CódRastreio379</t>
  </si>
  <si>
    <t>CódRastreio380</t>
  </si>
  <si>
    <t>CódRastreio381</t>
  </si>
  <si>
    <t>CódRastreio382</t>
  </si>
  <si>
    <t>CódRastreio383</t>
  </si>
  <si>
    <t>CódRastreio384</t>
  </si>
  <si>
    <t>CódRastreio385</t>
  </si>
  <si>
    <t>CódRastreio386</t>
  </si>
  <si>
    <t>CódRastreio387</t>
  </si>
  <si>
    <t>CódRastreio388</t>
  </si>
  <si>
    <t>CódRastreio389</t>
  </si>
  <si>
    <t>CódRastreio390</t>
  </si>
  <si>
    <t>CódRastreio391</t>
  </si>
  <si>
    <t>CódRastreio392</t>
  </si>
  <si>
    <t>CódRastreio393</t>
  </si>
  <si>
    <t>CódRastreio394</t>
  </si>
  <si>
    <t>CódRastreio395</t>
  </si>
  <si>
    <t>CódRastreio396</t>
  </si>
  <si>
    <t>CódRastreio397</t>
  </si>
  <si>
    <t>CódRastreio398</t>
  </si>
  <si>
    <t>CódRastreio399</t>
  </si>
  <si>
    <t>CódRastreio400</t>
  </si>
  <si>
    <t>CódRastreio401</t>
  </si>
  <si>
    <t>CódRastreio402</t>
  </si>
  <si>
    <t>CódRastreio403</t>
  </si>
  <si>
    <t>CódRastreio404</t>
  </si>
  <si>
    <t>CódRastreio405</t>
  </si>
  <si>
    <t>CódRastreio406</t>
  </si>
  <si>
    <t>CódRastreio407</t>
  </si>
  <si>
    <t>CódRastreio408</t>
  </si>
  <si>
    <t>CódRastreio409</t>
  </si>
  <si>
    <t>CódRastreio410</t>
  </si>
  <si>
    <t>CódRastreio411</t>
  </si>
  <si>
    <t>CódRastreio412</t>
  </si>
  <si>
    <t>CódRastreio413</t>
  </si>
  <si>
    <t>CódRastreio414</t>
  </si>
  <si>
    <t>CódRastreio415</t>
  </si>
  <si>
    <t>CódRastreio416</t>
  </si>
  <si>
    <t>CódRastreio417</t>
  </si>
  <si>
    <t>CódRastreio418</t>
  </si>
  <si>
    <t>CódRastreio419</t>
  </si>
  <si>
    <t>CódRastreio420</t>
  </si>
  <si>
    <t>CódRastreio421</t>
  </si>
  <si>
    <t>CódRastreio422</t>
  </si>
  <si>
    <t>CódRastreio423</t>
  </si>
  <si>
    <t>CódRastreio424</t>
  </si>
  <si>
    <t>CódRastreio425</t>
  </si>
  <si>
    <t>CódRastreio426</t>
  </si>
  <si>
    <t>CódRastreio427</t>
  </si>
  <si>
    <t>CódRastreio428</t>
  </si>
  <si>
    <t>CódRastreio429</t>
  </si>
  <si>
    <t>CódRastreio430</t>
  </si>
  <si>
    <t>CódRastreio431</t>
  </si>
  <si>
    <t>CódRastreio432</t>
  </si>
  <si>
    <t>CódRastreio433</t>
  </si>
  <si>
    <t>CódRastreio434</t>
  </si>
  <si>
    <t>CódRastreio435</t>
  </si>
  <si>
    <t>CódRastreio436</t>
  </si>
  <si>
    <t>CódRastreio437</t>
  </si>
  <si>
    <t>CódRastreio438</t>
  </si>
  <si>
    <t>CódRastreio439</t>
  </si>
  <si>
    <t>CódRastreio440</t>
  </si>
  <si>
    <t>CódRastreio441</t>
  </si>
  <si>
    <t>CódRastreio442</t>
  </si>
  <si>
    <t>CódRastreio443</t>
  </si>
  <si>
    <t>CódRastreio444</t>
  </si>
  <si>
    <t>CódRastreio445</t>
  </si>
  <si>
    <t>CódRastreio446</t>
  </si>
  <si>
    <t>CódRastreio447</t>
  </si>
  <si>
    <t>CódRastreio448</t>
  </si>
  <si>
    <t>CódRastreio449</t>
  </si>
  <si>
    <t>CódRastreio450</t>
  </si>
  <si>
    <t>CódRastreio451</t>
  </si>
  <si>
    <t>CódRastreio452</t>
  </si>
  <si>
    <t>CódRastreio453</t>
  </si>
  <si>
    <t>CódRastreio454</t>
  </si>
  <si>
    <t>CódRastreio455</t>
  </si>
  <si>
    <t>CódRastreio456</t>
  </si>
  <si>
    <t>CódRastreio457</t>
  </si>
  <si>
    <t>CódRastreio458</t>
  </si>
  <si>
    <t>CódRastreio459</t>
  </si>
  <si>
    <t>CódRastreio460</t>
  </si>
  <si>
    <t>CódRastreio461</t>
  </si>
  <si>
    <t>CódRastreio462</t>
  </si>
  <si>
    <t>CódRastreio463</t>
  </si>
  <si>
    <t>CódRastreio464</t>
  </si>
  <si>
    <t>CódRastreio465</t>
  </si>
  <si>
    <t>CódRastreio466</t>
  </si>
  <si>
    <t>CódRastreio467</t>
  </si>
  <si>
    <t>CódRastreio468</t>
  </si>
  <si>
    <t>CódRastreio469</t>
  </si>
  <si>
    <t>CódRastreio470</t>
  </si>
  <si>
    <t>CódRastreio471</t>
  </si>
  <si>
    <t>CódRastreio472</t>
  </si>
  <si>
    <t>CódRastreio473</t>
  </si>
  <si>
    <t>CódRastreio474</t>
  </si>
  <si>
    <t>CódRastreio475</t>
  </si>
  <si>
    <t>CódRastreio476</t>
  </si>
  <si>
    <t>CódRastreio477</t>
  </si>
  <si>
    <t>CódRastreio478</t>
  </si>
  <si>
    <t>CódRastreio479</t>
  </si>
  <si>
    <t>CódRastreio480</t>
  </si>
  <si>
    <t>CódRastreio481</t>
  </si>
  <si>
    <t>CódRastreio482</t>
  </si>
  <si>
    <t>CódRastreio483</t>
  </si>
  <si>
    <t>CódRastreio484</t>
  </si>
  <si>
    <t>CódRastreio485</t>
  </si>
  <si>
    <t>CódRastreio486</t>
  </si>
  <si>
    <t>CódRastreio487</t>
  </si>
  <si>
    <t>CódRastreio488</t>
  </si>
  <si>
    <t>CódRastreio489</t>
  </si>
  <si>
    <t>CódRastreio490</t>
  </si>
  <si>
    <t>CódRastreio491</t>
  </si>
  <si>
    <t>CódRastreio492</t>
  </si>
  <si>
    <t>CódRastreio493</t>
  </si>
  <si>
    <t>CódRastreio494</t>
  </si>
  <si>
    <t>CódRastreio495</t>
  </si>
  <si>
    <t>CódRastreio496</t>
  </si>
  <si>
    <t>CódRastreio497</t>
  </si>
  <si>
    <t>CódRastreio498</t>
  </si>
  <si>
    <t>CódRastreio499</t>
  </si>
  <si>
    <t>CódRastreio500</t>
  </si>
  <si>
    <t>CódRastreio501</t>
  </si>
  <si>
    <t>CódRastreio502</t>
  </si>
  <si>
    <t>CódRastreio503</t>
  </si>
  <si>
    <t>CódRastreio504</t>
  </si>
  <si>
    <t>CódRastreio505</t>
  </si>
  <si>
    <t>CódRastreio506</t>
  </si>
  <si>
    <t>CódRastreio507</t>
  </si>
  <si>
    <t>CódRastreio508</t>
  </si>
  <si>
    <t>CódRastreio509</t>
  </si>
  <si>
    <t>CódRastreio510</t>
  </si>
  <si>
    <t>CódRastreio511</t>
  </si>
  <si>
    <t>CódRastreio512</t>
  </si>
  <si>
    <t>CódRastreio513</t>
  </si>
  <si>
    <t>CódRastreio514</t>
  </si>
  <si>
    <t>CódRastreio515</t>
  </si>
  <si>
    <t>CódRastreio516</t>
  </si>
  <si>
    <t>CódRastreio517</t>
  </si>
  <si>
    <t>CódRastreio518</t>
  </si>
  <si>
    <t>CódRastreio519</t>
  </si>
  <si>
    <t>CódRastreio520</t>
  </si>
  <si>
    <t>CódRastreio521</t>
  </si>
  <si>
    <t>CódRastreio522</t>
  </si>
  <si>
    <t>CódRastreio523</t>
  </si>
  <si>
    <t>CódRastreio524</t>
  </si>
  <si>
    <t>CódRastreio525</t>
  </si>
  <si>
    <t>CódRastreio526</t>
  </si>
  <si>
    <t>CódRastreio527</t>
  </si>
  <si>
    <t>CódRastreio528</t>
  </si>
  <si>
    <t>CódRastreio529</t>
  </si>
  <si>
    <t>CódRastreio530</t>
  </si>
  <si>
    <t>CódRastreio531</t>
  </si>
  <si>
    <t>CódRastreio532</t>
  </si>
  <si>
    <t>CódRastreio533</t>
  </si>
  <si>
    <t>CódRastreio534</t>
  </si>
  <si>
    <t>CódRastreio535</t>
  </si>
  <si>
    <t>CódRastreio536</t>
  </si>
  <si>
    <t>CódRastreio537</t>
  </si>
  <si>
    <t>CódRastreio538</t>
  </si>
  <si>
    <t>CódRastreio539</t>
  </si>
  <si>
    <t>CódRastreio540</t>
  </si>
  <si>
    <t>CódRastreio541</t>
  </si>
  <si>
    <t>CódRastreio542</t>
  </si>
  <si>
    <t>CódRastreio543</t>
  </si>
  <si>
    <t>CódRastreio544</t>
  </si>
  <si>
    <t>CódRastreio545</t>
  </si>
  <si>
    <t>CódRastreio546</t>
  </si>
  <si>
    <t>CódRastreio547</t>
  </si>
  <si>
    <t>CódRastreio548</t>
  </si>
  <si>
    <t>CódRastreio549</t>
  </si>
  <si>
    <t>CódRastreio550</t>
  </si>
  <si>
    <t>CódRastreio551</t>
  </si>
  <si>
    <t>CódRastreio552</t>
  </si>
  <si>
    <t>CódRastreio553</t>
  </si>
  <si>
    <t>CódRastreio554</t>
  </si>
  <si>
    <t>CódRastreio555</t>
  </si>
  <si>
    <t>CódRastreio556</t>
  </si>
  <si>
    <t>CódRastreio557</t>
  </si>
  <si>
    <t>CódRastreio558</t>
  </si>
  <si>
    <t>CódRastreio559</t>
  </si>
  <si>
    <t>CódRastreio560</t>
  </si>
  <si>
    <t>CódRastreio561</t>
  </si>
  <si>
    <t>CódRastreio562</t>
  </si>
  <si>
    <t>CódRastreio563</t>
  </si>
  <si>
    <t>CódRastreio564</t>
  </si>
  <si>
    <t>CódRastreio565</t>
  </si>
  <si>
    <t>CódRastreio566</t>
  </si>
  <si>
    <t>CódRastreio567</t>
  </si>
  <si>
    <t>CódRastreio568</t>
  </si>
  <si>
    <t>CódRastreio569</t>
  </si>
  <si>
    <t>CódRastreio570</t>
  </si>
  <si>
    <t>CódRastreio571</t>
  </si>
  <si>
    <t>CódRastreio572</t>
  </si>
  <si>
    <t>CódRastreio573</t>
  </si>
  <si>
    <t>CódRastreio574</t>
  </si>
  <si>
    <t>CódRastreio575</t>
  </si>
  <si>
    <t>CódRastreio576</t>
  </si>
  <si>
    <t>CódRastreio577</t>
  </si>
  <si>
    <t>CódRastreio578</t>
  </si>
  <si>
    <t>CódRastreio579</t>
  </si>
  <si>
    <t>CódRastreio580</t>
  </si>
  <si>
    <t>CódRastreio581</t>
  </si>
  <si>
    <t>CódRastreio582</t>
  </si>
  <si>
    <t>CódRastreio583</t>
  </si>
  <si>
    <t>CódRastreio584</t>
  </si>
  <si>
    <t>CódRastreio585</t>
  </si>
  <si>
    <t>CódRastreio586</t>
  </si>
  <si>
    <t>CódRastreio587</t>
  </si>
  <si>
    <t>CódRastreio588</t>
  </si>
  <si>
    <t>CódRastreio589</t>
  </si>
  <si>
    <t>CódRastreio590</t>
  </si>
  <si>
    <t>CódRastreio591</t>
  </si>
  <si>
    <t>CódRastreio592</t>
  </si>
  <si>
    <t>CódRastreio593</t>
  </si>
  <si>
    <t>CódRastreio594</t>
  </si>
  <si>
    <t>CódRastreio595</t>
  </si>
  <si>
    <t>CódRastreio596</t>
  </si>
  <si>
    <t>CódRastreio597</t>
  </si>
  <si>
    <t>CódRastreio598</t>
  </si>
  <si>
    <t>CódRastreio599</t>
  </si>
  <si>
    <t>CódRastreio600</t>
  </si>
  <si>
    <t>CódRastreio601</t>
  </si>
  <si>
    <t>CódRastreio602</t>
  </si>
  <si>
    <t>CódRastreio603</t>
  </si>
  <si>
    <t>CódRastreio604</t>
  </si>
  <si>
    <t>CódRastreio605</t>
  </si>
  <si>
    <t>CódRastreio606</t>
  </si>
  <si>
    <t>CódRastreio607</t>
  </si>
  <si>
    <t>CódRastreio608</t>
  </si>
  <si>
    <t>CódRastreio609</t>
  </si>
  <si>
    <t>CódRastreio610</t>
  </si>
  <si>
    <t>CódRastreio611</t>
  </si>
  <si>
    <t>CódRastreio612</t>
  </si>
  <si>
    <t>CódRastreio613</t>
  </si>
  <si>
    <t>CódRastreio614</t>
  </si>
  <si>
    <t>CódRastreio615</t>
  </si>
  <si>
    <t>CódRastreio616</t>
  </si>
  <si>
    <t>CódRastreio617</t>
  </si>
  <si>
    <t>CódRastreio618</t>
  </si>
  <si>
    <t>CódRastreio619</t>
  </si>
  <si>
    <t>CódRastreio620</t>
  </si>
  <si>
    <t>CódRastreio621</t>
  </si>
  <si>
    <t>CódRastreio622</t>
  </si>
  <si>
    <t>CódRastreio623</t>
  </si>
  <si>
    <t>CódRastreio624</t>
  </si>
  <si>
    <t>CódRastreio625</t>
  </si>
  <si>
    <t>CódRastreio626</t>
  </si>
  <si>
    <t>CódRastreio627</t>
  </si>
  <si>
    <t>CódRastreio628</t>
  </si>
  <si>
    <t>CódRastreio629</t>
  </si>
  <si>
    <t>CódRastreio630</t>
  </si>
  <si>
    <t>CódRastreio631</t>
  </si>
  <si>
    <t>CódRastreio632</t>
  </si>
  <si>
    <t>CódRastreio633</t>
  </si>
  <si>
    <t>CódRastreio634</t>
  </si>
  <si>
    <t>CódRastreio635</t>
  </si>
  <si>
    <t>CódRastreio636</t>
  </si>
  <si>
    <t>CódRastreio637</t>
  </si>
  <si>
    <t>CódRastreio638</t>
  </si>
  <si>
    <t>CódRastreio639</t>
  </si>
  <si>
    <t>CódRastreio640</t>
  </si>
  <si>
    <t>CódRastreio641</t>
  </si>
  <si>
    <t>CódRastreio642</t>
  </si>
  <si>
    <t>CódRastreio643</t>
  </si>
  <si>
    <t>CódRastreio644</t>
  </si>
  <si>
    <t>CódRastreio645</t>
  </si>
  <si>
    <t>CódRastreio646</t>
  </si>
  <si>
    <t>CódRastreio647</t>
  </si>
  <si>
    <t>CódRastreio648</t>
  </si>
  <si>
    <t>CódRastreio649</t>
  </si>
  <si>
    <t>CódRastreio650</t>
  </si>
  <si>
    <t>CódRastreio651</t>
  </si>
  <si>
    <t>CódRastreio652</t>
  </si>
  <si>
    <t>CódRastreio653</t>
  </si>
  <si>
    <t>CódRastreio654</t>
  </si>
  <si>
    <t>CódRastreio655</t>
  </si>
  <si>
    <t>CódRastreio656</t>
  </si>
  <si>
    <t>CódRastreio657</t>
  </si>
  <si>
    <t>CódRastreio658</t>
  </si>
  <si>
    <t>CódRastreio659</t>
  </si>
  <si>
    <t>CódRastreio660</t>
  </si>
  <si>
    <t>CódRastreio661</t>
  </si>
  <si>
    <t>CódRastreio662</t>
  </si>
  <si>
    <t>CódRastreio663</t>
  </si>
  <si>
    <t>CódRastreio664</t>
  </si>
  <si>
    <t>CódRastreio665</t>
  </si>
  <si>
    <t>CódRastreio666</t>
  </si>
  <si>
    <t>CódRastreio667</t>
  </si>
  <si>
    <t>CódRastreio668</t>
  </si>
  <si>
    <t>CódRastreio669</t>
  </si>
  <si>
    <t>CódRastreio670</t>
  </si>
  <si>
    <t>CódRastreio671</t>
  </si>
  <si>
    <t>CódRastreio672</t>
  </si>
  <si>
    <t>CódRastreio673</t>
  </si>
  <si>
    <t>CódRastreio674</t>
  </si>
  <si>
    <t>CódRastreio675</t>
  </si>
  <si>
    <t>CódRastreio676</t>
  </si>
  <si>
    <t>CódRastreio677</t>
  </si>
  <si>
    <t>CódRastreio678</t>
  </si>
  <si>
    <t>CódRastreio679</t>
  </si>
  <si>
    <t>CódRastreio680</t>
  </si>
  <si>
    <t>CódRastreio681</t>
  </si>
  <si>
    <t>CódRastreio682</t>
  </si>
  <si>
    <t>CódRastreio683</t>
  </si>
  <si>
    <t>CódRastreio684</t>
  </si>
  <si>
    <t>CódRastreio685</t>
  </si>
  <si>
    <t>CódRastreio686</t>
  </si>
  <si>
    <t>CódRastreio687</t>
  </si>
  <si>
    <t>CódRastreio688</t>
  </si>
  <si>
    <t>CódRastreio689</t>
  </si>
  <si>
    <t>CódRastreio690</t>
  </si>
  <si>
    <t>CódRastreio691</t>
  </si>
  <si>
    <t>CódRastreio692</t>
  </si>
  <si>
    <t>CódRastreio693</t>
  </si>
  <si>
    <t>CódRastreio694</t>
  </si>
  <si>
    <t>CódRastreio695</t>
  </si>
  <si>
    <t>CódRastreio696</t>
  </si>
  <si>
    <t>CódRastreio697</t>
  </si>
  <si>
    <t>CódRastreio698</t>
  </si>
  <si>
    <t>CódRastreio699</t>
  </si>
  <si>
    <t>CódRastreio700</t>
  </si>
  <si>
    <t>CódRastreio701</t>
  </si>
  <si>
    <t>CódRastreio702</t>
  </si>
  <si>
    <t>CódRastreio703</t>
  </si>
  <si>
    <t>CódRastreio704</t>
  </si>
  <si>
    <t>CódRastreio705</t>
  </si>
  <si>
    <t>CódRastreio706</t>
  </si>
  <si>
    <t>CódRastreio707</t>
  </si>
  <si>
    <t>CódRastreio708</t>
  </si>
  <si>
    <t>CódRastreio709</t>
  </si>
  <si>
    <t>CódRastreio710</t>
  </si>
  <si>
    <t>CódRastreio711</t>
  </si>
  <si>
    <t>CódRastreio712</t>
  </si>
  <si>
    <t>CódRastreio713</t>
  </si>
  <si>
    <t>CódRastreio714</t>
  </si>
  <si>
    <t>CódRastreio715</t>
  </si>
  <si>
    <t>CódRastreio716</t>
  </si>
  <si>
    <t>CódRastreio717</t>
  </si>
  <si>
    <t>CódRastreio718</t>
  </si>
  <si>
    <t>CódRastreio719</t>
  </si>
  <si>
    <t>CódRastreio720</t>
  </si>
  <si>
    <t>CódRastreio721</t>
  </si>
  <si>
    <t>CódRastreio722</t>
  </si>
  <si>
    <t>CódRastreio723</t>
  </si>
  <si>
    <t>CódRastreio724</t>
  </si>
  <si>
    <t>CódRastreio725</t>
  </si>
  <si>
    <t>CódRastreio726</t>
  </si>
  <si>
    <t>CódRastreio727</t>
  </si>
  <si>
    <t>CódRastreio728</t>
  </si>
  <si>
    <t>CódRastreio729</t>
  </si>
  <si>
    <t>CódRastreio730</t>
  </si>
  <si>
    <t>CódRastreio731</t>
  </si>
  <si>
    <t>CódRastreio732</t>
  </si>
  <si>
    <t>CódRastreio733</t>
  </si>
  <si>
    <t>CódRastreio734</t>
  </si>
  <si>
    <t>CódRastreio735</t>
  </si>
  <si>
    <t>CódRastreio736</t>
  </si>
  <si>
    <t>CódRastreio737</t>
  </si>
  <si>
    <t>CódRastreio738</t>
  </si>
  <si>
    <t>CódRastreio739</t>
  </si>
  <si>
    <t>CódRastreio740</t>
  </si>
  <si>
    <t>CódRastreio741</t>
  </si>
  <si>
    <t>CódRastreio742</t>
  </si>
  <si>
    <t>CódRastreio743</t>
  </si>
  <si>
    <t>CódRastreio744</t>
  </si>
  <si>
    <t>CódRastreio745</t>
  </si>
  <si>
    <t>CódRastreio746</t>
  </si>
  <si>
    <t>CódRastreio747</t>
  </si>
  <si>
    <t>CódRastreio748</t>
  </si>
  <si>
    <t>CódRastreio749</t>
  </si>
  <si>
    <t>CódRastreio750</t>
  </si>
  <si>
    <t>CódRastreio751</t>
  </si>
  <si>
    <t>CódRastreio752</t>
  </si>
  <si>
    <t>CódRastreio753</t>
  </si>
  <si>
    <t>CódRastreio754</t>
  </si>
  <si>
    <t>CódRastreio755</t>
  </si>
  <si>
    <t>CódRastreio756</t>
  </si>
  <si>
    <t>CódRastreio757</t>
  </si>
  <si>
    <t>CódRastreio758</t>
  </si>
  <si>
    <t>CódRastreio759</t>
  </si>
  <si>
    <t>CódRastreio760</t>
  </si>
  <si>
    <t>CódRastreio761</t>
  </si>
  <si>
    <t>CódRastreio762</t>
  </si>
  <si>
    <t>CódRastreio763</t>
  </si>
  <si>
    <t>CódRastreio764</t>
  </si>
  <si>
    <t>CódRastreio765</t>
  </si>
  <si>
    <t>CódRastreio766</t>
  </si>
  <si>
    <t>CódRastreio767</t>
  </si>
  <si>
    <t>CódRastreio768</t>
  </si>
  <si>
    <t>CódRastreio769</t>
  </si>
  <si>
    <t>CódRastreio770</t>
  </si>
  <si>
    <t>CódRastreio771</t>
  </si>
  <si>
    <t>CódRastreio772</t>
  </si>
  <si>
    <t>CódRastreio773</t>
  </si>
  <si>
    <t>CódRastreio774</t>
  </si>
  <si>
    <t>CódRastreio775</t>
  </si>
  <si>
    <t>CódRastreio776</t>
  </si>
  <si>
    <t>CódRastreio777</t>
  </si>
  <si>
    <t>CódRastreio778</t>
  </si>
  <si>
    <t>CódRastreio779</t>
  </si>
  <si>
    <t>CódRastreio780</t>
  </si>
  <si>
    <t>CódRastreio781</t>
  </si>
  <si>
    <t>CódRastreio782</t>
  </si>
  <si>
    <t>CódRastreio783</t>
  </si>
  <si>
    <t>CódRastreio784</t>
  </si>
  <si>
    <t>CódRastreio785</t>
  </si>
  <si>
    <t>CódRastreio786</t>
  </si>
  <si>
    <t>CódRastreio787</t>
  </si>
  <si>
    <t>CódRastreio788</t>
  </si>
  <si>
    <t>CódRastreio789</t>
  </si>
  <si>
    <t>CódRastreio790</t>
  </si>
  <si>
    <t>CódRastreio791</t>
  </si>
  <si>
    <t>CódRastreio792</t>
  </si>
  <si>
    <t>CódRastreio793</t>
  </si>
  <si>
    <t>CódRastreio794</t>
  </si>
  <si>
    <t>CódRastreio795</t>
  </si>
  <si>
    <t>CódRastreio796</t>
  </si>
  <si>
    <t>CódRastreio797</t>
  </si>
  <si>
    <t>CódRastreio798</t>
  </si>
  <si>
    <t>CódRastreio799</t>
  </si>
  <si>
    <t>CódRastreio800</t>
  </si>
  <si>
    <t>CódRastreio801</t>
  </si>
  <si>
    <t>CódRastreio802</t>
  </si>
  <si>
    <t>CódRastreio803</t>
  </si>
  <si>
    <t>CódRastreio804</t>
  </si>
  <si>
    <t>CódRastreio805</t>
  </si>
  <si>
    <t>CódRastreio806</t>
  </si>
  <si>
    <t>CódRastreio807</t>
  </si>
  <si>
    <t>CódRastreio808</t>
  </si>
  <si>
    <t>CódRastreio809</t>
  </si>
  <si>
    <t>CódRastreio810</t>
  </si>
  <si>
    <t>CódRastreio811</t>
  </si>
  <si>
    <t>CódRastreio812</t>
  </si>
  <si>
    <t>CódRastreio813</t>
  </si>
  <si>
    <t>CódRastreio814</t>
  </si>
  <si>
    <t>CódRastreio815</t>
  </si>
  <si>
    <t>CódRastreio816</t>
  </si>
  <si>
    <t>CódRastreio817</t>
  </si>
  <si>
    <t>CódRastreio818</t>
  </si>
  <si>
    <t>CódRastreio819</t>
  </si>
  <si>
    <t>CódRastreio820</t>
  </si>
  <si>
    <t>CódRastreio821</t>
  </si>
  <si>
    <t>CódRastreio822</t>
  </si>
  <si>
    <t>CódRastreio823</t>
  </si>
  <si>
    <t>CódRastreio824</t>
  </si>
  <si>
    <t>CódRastreio825</t>
  </si>
  <si>
    <t>CódRastreio826</t>
  </si>
  <si>
    <t>CódRastreio827</t>
  </si>
  <si>
    <t>CódRastreio828</t>
  </si>
  <si>
    <t>CódRastreio829</t>
  </si>
  <si>
    <t>CódRastreio830</t>
  </si>
  <si>
    <t>CódRastreio831</t>
  </si>
  <si>
    <t>CódRastreio832</t>
  </si>
  <si>
    <t>CódRastreio833</t>
  </si>
  <si>
    <t>CódRastreio834</t>
  </si>
  <si>
    <t>CódRastreio835</t>
  </si>
  <si>
    <t>CódRastreio836</t>
  </si>
  <si>
    <t>CódRastreio837</t>
  </si>
  <si>
    <t>CódRastreio838</t>
  </si>
  <si>
    <t>CódRastreio839</t>
  </si>
  <si>
    <t>CódRastreio840</t>
  </si>
  <si>
    <t>CódRastreio841</t>
  </si>
  <si>
    <t>CódRastreio842</t>
  </si>
  <si>
    <t>CódRastreio843</t>
  </si>
  <si>
    <t>CódRastreio844</t>
  </si>
  <si>
    <t>CódRastreio845</t>
  </si>
  <si>
    <t>CódRastreio846</t>
  </si>
  <si>
    <t>CódRastreio847</t>
  </si>
  <si>
    <t>CódRastreio848</t>
  </si>
  <si>
    <t>CódRastreio849</t>
  </si>
  <si>
    <t>CódRastreio850</t>
  </si>
  <si>
    <t>CódRastreio851</t>
  </si>
  <si>
    <t>CódRastreio852</t>
  </si>
  <si>
    <t>CódRastreio853</t>
  </si>
  <si>
    <t>CódRastreio854</t>
  </si>
  <si>
    <t>CódRastreio855</t>
  </si>
  <si>
    <t>CódRastreio856</t>
  </si>
  <si>
    <t>CódRastreio857</t>
  </si>
  <si>
    <t>CódRastreio858</t>
  </si>
  <si>
    <t>CódRastreio859</t>
  </si>
  <si>
    <t>CódRastreio860</t>
  </si>
  <si>
    <t>CódRastreio861</t>
  </si>
  <si>
    <t>CódRastreio862</t>
  </si>
  <si>
    <t>CódRastreio863</t>
  </si>
  <si>
    <t>CódRastreio864</t>
  </si>
  <si>
    <t>CódRastreio865</t>
  </si>
  <si>
    <t>CódRastreio866</t>
  </si>
  <si>
    <t>CódRastreio867</t>
  </si>
  <si>
    <t>CódRastreio868</t>
  </si>
  <si>
    <t>CódRastreio869</t>
  </si>
  <si>
    <t>CódRastreio870</t>
  </si>
  <si>
    <t>CódRastreio871</t>
  </si>
  <si>
    <t>CódRastreio872</t>
  </si>
  <si>
    <t>CódRastreio873</t>
  </si>
  <si>
    <t>CódRastreio874</t>
  </si>
  <si>
    <t>CódRastreio875</t>
  </si>
  <si>
    <t>CódRastreio876</t>
  </si>
  <si>
    <t>CódRastreio877</t>
  </si>
  <si>
    <t>CódRastreio878</t>
  </si>
  <si>
    <t>CódRastreio879</t>
  </si>
  <si>
    <t>CódRastreio880</t>
  </si>
  <si>
    <t>CódRastreio881</t>
  </si>
  <si>
    <t>CódRastreio882</t>
  </si>
  <si>
    <t>CódRastreio883</t>
  </si>
  <si>
    <t>CódRastreio884</t>
  </si>
  <si>
    <t>CódRastreio885</t>
  </si>
  <si>
    <t>CódRastreio886</t>
  </si>
  <si>
    <t>CódRastreio887</t>
  </si>
  <si>
    <t>CódRastreio888</t>
  </si>
  <si>
    <t>CódRastreio889</t>
  </si>
  <si>
    <t>CódRastreio890</t>
  </si>
  <si>
    <t>CódRastreio891</t>
  </si>
  <si>
    <t>CódRastreio892</t>
  </si>
  <si>
    <t>CódRastreio893</t>
  </si>
  <si>
    <t>CódRastreio894</t>
  </si>
  <si>
    <t>CódRastreio895</t>
  </si>
  <si>
    <t>CódRastreio896</t>
  </si>
  <si>
    <t>CódRastreio897</t>
  </si>
  <si>
    <t>CódRastreio898</t>
  </si>
  <si>
    <t>CódRastreio899</t>
  </si>
  <si>
    <t>CódRastreio900</t>
  </si>
  <si>
    <t>CódRastreio901</t>
  </si>
  <si>
    <t>CódRastreio902</t>
  </si>
  <si>
    <t>CódRastreio903</t>
  </si>
  <si>
    <t>CódRastreio904</t>
  </si>
  <si>
    <t>CódRastreio905</t>
  </si>
  <si>
    <t>CódRastreio906</t>
  </si>
  <si>
    <t>CódRastreio907</t>
  </si>
  <si>
    <t>CódRastreio908</t>
  </si>
  <si>
    <t>CódRastreio909</t>
  </si>
  <si>
    <t>CódRastreio910</t>
  </si>
  <si>
    <t>CódRastreio911</t>
  </si>
  <si>
    <t>CódRastreio912</t>
  </si>
  <si>
    <t>CódRastreio913</t>
  </si>
  <si>
    <t>CódRastreio914</t>
  </si>
  <si>
    <t>CódRastreio915</t>
  </si>
  <si>
    <t>CódRastreio916</t>
  </si>
  <si>
    <t>CódRastreio917</t>
  </si>
  <si>
    <t>CódRastreio918</t>
  </si>
  <si>
    <t>CódRastreio919</t>
  </si>
  <si>
    <t>CódRastreio920</t>
  </si>
  <si>
    <t>CódRastreio921</t>
  </si>
  <si>
    <t>CódRastreio922</t>
  </si>
  <si>
    <t>CódRastreio923</t>
  </si>
  <si>
    <t>CódRastreio924</t>
  </si>
  <si>
    <t>CódRastreio925</t>
  </si>
  <si>
    <t>CódRastreio926</t>
  </si>
  <si>
    <t>CódRastreio927</t>
  </si>
  <si>
    <t>CódRastreio928</t>
  </si>
  <si>
    <t>CódRastreio929</t>
  </si>
  <si>
    <t>CódRastreio930</t>
  </si>
  <si>
    <t>CódRastreio931</t>
  </si>
  <si>
    <t>CódRastreio932</t>
  </si>
  <si>
    <t>CódRastreio933</t>
  </si>
  <si>
    <t>CódRastreio934</t>
  </si>
  <si>
    <t>CódRastreio935</t>
  </si>
  <si>
    <t>CódRastreio936</t>
  </si>
  <si>
    <t>CódRastreio937</t>
  </si>
  <si>
    <t>CódRastreio938</t>
  </si>
  <si>
    <t>CódRastreio939</t>
  </si>
  <si>
    <t>CódRastreio940</t>
  </si>
  <si>
    <t>CódRastreio941</t>
  </si>
  <si>
    <t>CódRastreio942</t>
  </si>
  <si>
    <t>CódRastreio943</t>
  </si>
  <si>
    <t>CódRastreio944</t>
  </si>
  <si>
    <t>CódRastreio945</t>
  </si>
  <si>
    <t>CódRastreio946</t>
  </si>
  <si>
    <t>CódRastreio947</t>
  </si>
  <si>
    <t>CódRastreio948</t>
  </si>
  <si>
    <t>CódRastreio949</t>
  </si>
  <si>
    <t>CódRastreio950</t>
  </si>
  <si>
    <t>CódRastreio951</t>
  </si>
  <si>
    <t>CódRastreio952</t>
  </si>
  <si>
    <t>CódRastreio953</t>
  </si>
  <si>
    <t>CódRastreio954</t>
  </si>
  <si>
    <t>CódRastreio955</t>
  </si>
  <si>
    <t>CódRastreio956</t>
  </si>
  <si>
    <t>CódRastreio957</t>
  </si>
  <si>
    <t>CódRastreio958</t>
  </si>
  <si>
    <t>CódRastreio959</t>
  </si>
  <si>
    <t>CódRastreio960</t>
  </si>
  <si>
    <t>CódRastreio961</t>
  </si>
  <si>
    <t>CódRastreio962</t>
  </si>
  <si>
    <t>CódRastreio963</t>
  </si>
  <si>
    <t>CódRastreio964</t>
  </si>
  <si>
    <t>CódRastreio965</t>
  </si>
  <si>
    <t>CódRastreio966</t>
  </si>
  <si>
    <t>CódRastreio967</t>
  </si>
  <si>
    <t>CódRastreio968</t>
  </si>
  <si>
    <t>CódRastreio969</t>
  </si>
  <si>
    <t>CódRastreio970</t>
  </si>
  <si>
    <t>CódRastreio971</t>
  </si>
  <si>
    <t>CódRastreio972</t>
  </si>
  <si>
    <t>CódRastreio973</t>
  </si>
  <si>
    <t>CódRastreio974</t>
  </si>
  <si>
    <t>CódRastreio975</t>
  </si>
  <si>
    <t>CódRastreio976</t>
  </si>
  <si>
    <t>CódRastreio977</t>
  </si>
  <si>
    <t>CódRastreio978</t>
  </si>
  <si>
    <t>CódRastreio979</t>
  </si>
  <si>
    <t>CódRastreio980</t>
  </si>
  <si>
    <t>CódRastreio981</t>
  </si>
  <si>
    <t>CódRastreio982</t>
  </si>
  <si>
    <t>CódRastreio983</t>
  </si>
  <si>
    <t>CódRastreio984</t>
  </si>
  <si>
    <t>CódRastreio985</t>
  </si>
  <si>
    <t>CódRastreio986</t>
  </si>
  <si>
    <t>CódRastreio987</t>
  </si>
  <si>
    <t>CódRastreio988</t>
  </si>
  <si>
    <t>CódRastreio989</t>
  </si>
  <si>
    <t>CódRastreio990</t>
  </si>
  <si>
    <t>CódRastreio991</t>
  </si>
  <si>
    <t>CódRastreio992</t>
  </si>
  <si>
    <t>CódRastreio993</t>
  </si>
  <si>
    <t>CódRastreio994</t>
  </si>
  <si>
    <t>CódRastreio995</t>
  </si>
  <si>
    <t>CódRastreio996</t>
  </si>
  <si>
    <t>CódRastreio997</t>
  </si>
  <si>
    <t>CódRastreio998</t>
  </si>
  <si>
    <t>CódRastreio999</t>
  </si>
  <si>
    <t>CódRastreio1000</t>
  </si>
  <si>
    <t>CódRastreio1001</t>
  </si>
  <si>
    <t>CódRastreio1002</t>
  </si>
  <si>
    <t>CódRastreio1003</t>
  </si>
  <si>
    <t>CódRastreio1004</t>
  </si>
  <si>
    <t>CódRastreio1005</t>
  </si>
  <si>
    <t>CódRastreio1006</t>
  </si>
  <si>
    <t>CódRastreio1007</t>
  </si>
  <si>
    <t>CódRastreio1008</t>
  </si>
  <si>
    <t>CódRastreio1009</t>
  </si>
  <si>
    <t>CódRastreio1010</t>
  </si>
  <si>
    <t>CódRastreio1011</t>
  </si>
  <si>
    <t>CódRastreio1012</t>
  </si>
  <si>
    <t>CódRastreio1013</t>
  </si>
  <si>
    <t>CódRastreio1014</t>
  </si>
  <si>
    <t>CódRastreio1015</t>
  </si>
  <si>
    <t>CódRastreio1016</t>
  </si>
  <si>
    <t>CódRastreio1017</t>
  </si>
  <si>
    <t>CódRastreio1018</t>
  </si>
  <si>
    <t>CódRastreio1019</t>
  </si>
  <si>
    <t>CódRastreio1020</t>
  </si>
  <si>
    <t>CódRastreio1021</t>
  </si>
  <si>
    <t>CódRastreio1022</t>
  </si>
  <si>
    <t>CódRastreio1023</t>
  </si>
  <si>
    <t>CódRastreio1024</t>
  </si>
  <si>
    <t>CódRastreio1025</t>
  </si>
  <si>
    <t>CódRastreio1026</t>
  </si>
  <si>
    <t>CódRastreio1027</t>
  </si>
  <si>
    <t>CódRastreio1028</t>
  </si>
  <si>
    <t>CódRastreio1029</t>
  </si>
  <si>
    <t>CódRastreio1030</t>
  </si>
  <si>
    <t>CódRastreio1031</t>
  </si>
  <si>
    <t>CódRastreio1032</t>
  </si>
  <si>
    <t>CódRastreio1033</t>
  </si>
  <si>
    <t>CódRastreio1034</t>
  </si>
  <si>
    <t>CódRastreio1035</t>
  </si>
  <si>
    <t>CódRastreio1036</t>
  </si>
  <si>
    <t>CódRastreio1037</t>
  </si>
  <si>
    <t>CódRastreio1038</t>
  </si>
  <si>
    <t>CódRastreio1039</t>
  </si>
  <si>
    <t>CódRastreio1040</t>
  </si>
  <si>
    <t>CódRastreio1041</t>
  </si>
  <si>
    <t>CódRastreio1042</t>
  </si>
  <si>
    <t>CódRastreio1043</t>
  </si>
  <si>
    <t>CódRastreio1044</t>
  </si>
  <si>
    <t>CódRastreio1045</t>
  </si>
  <si>
    <t>CódRastreio1046</t>
  </si>
  <si>
    <t>CódRastreio1047</t>
  </si>
  <si>
    <t>CódRastreio1048</t>
  </si>
  <si>
    <t>CódRastreio1049</t>
  </si>
  <si>
    <t>CódRastreio1050</t>
  </si>
  <si>
    <t>CódRastreio1051</t>
  </si>
  <si>
    <t>CódRastreio1052</t>
  </si>
  <si>
    <t>CódRastreio1053</t>
  </si>
  <si>
    <t>CódRastreio1054</t>
  </si>
  <si>
    <t>CódRastreio1055</t>
  </si>
  <si>
    <t>CódRastreio1056</t>
  </si>
  <si>
    <t>CódRastreio1057</t>
  </si>
  <si>
    <t>CódRastreio1058</t>
  </si>
  <si>
    <t>CódRastreio1059</t>
  </si>
  <si>
    <t>CódRastreio1060</t>
  </si>
  <si>
    <t>CódRastreio1061</t>
  </si>
  <si>
    <t>CódRastreio1062</t>
  </si>
  <si>
    <t>CódRastreio1063</t>
  </si>
  <si>
    <t>CódRastreio1064</t>
  </si>
  <si>
    <t>CódRastreio1065</t>
  </si>
  <si>
    <t>CódRastreio1066</t>
  </si>
  <si>
    <t>CódRastreio1067</t>
  </si>
  <si>
    <t>CódRastreio1068</t>
  </si>
  <si>
    <t>CódRastreio1069</t>
  </si>
  <si>
    <t>CódRastreio1070</t>
  </si>
  <si>
    <t>CódRastreio1071</t>
  </si>
  <si>
    <t>CódRastreio1072</t>
  </si>
  <si>
    <t>CódRastreio1073</t>
  </si>
  <si>
    <t>CódRastreio1074</t>
  </si>
  <si>
    <t>CódRastreio1075</t>
  </si>
  <si>
    <t>CódRastreio1076</t>
  </si>
  <si>
    <t>CódRastreio1077</t>
  </si>
  <si>
    <t>CódRastreio1078</t>
  </si>
  <si>
    <t>CódRastreio1079</t>
  </si>
  <si>
    <t>CódRastreio1080</t>
  </si>
  <si>
    <t>CódRastreio1081</t>
  </si>
  <si>
    <t>CódRastreio1082</t>
  </si>
  <si>
    <t>CódRastreio1083</t>
  </si>
  <si>
    <t>CódRastreio1084</t>
  </si>
  <si>
    <t>CódRastreio1085</t>
  </si>
  <si>
    <t>CódRastreio1086</t>
  </si>
  <si>
    <t>CódRastreio1087</t>
  </si>
  <si>
    <t>CódRastreio1088</t>
  </si>
  <si>
    <t>CódRastreio1089</t>
  </si>
  <si>
    <t>CódRastreio1090</t>
  </si>
  <si>
    <t>CódRastreio1091</t>
  </si>
  <si>
    <t>CódRastreio1092</t>
  </si>
  <si>
    <t>CódRastreio1093</t>
  </si>
  <si>
    <t>CódRastreio1094</t>
  </si>
  <si>
    <t>CódRastreio1095</t>
  </si>
  <si>
    <t>CódRastreio1096</t>
  </si>
  <si>
    <t>CódRastreio1097</t>
  </si>
  <si>
    <t>CódRastreio1098</t>
  </si>
  <si>
    <t>CódRastreio1099</t>
  </si>
  <si>
    <t>CódRastreio1100</t>
  </si>
  <si>
    <t>CódRastreio1101</t>
  </si>
  <si>
    <t>CódRastreio1102</t>
  </si>
  <si>
    <t>CódRastreio1103</t>
  </si>
  <si>
    <t>CódRastreio1104</t>
  </si>
  <si>
    <t>CódRastreio1105</t>
  </si>
  <si>
    <t>CódRastreio1106</t>
  </si>
  <si>
    <t>CódRastreio1107</t>
  </si>
  <si>
    <t>CódRastreio1108</t>
  </si>
  <si>
    <t>CódRastreio1109</t>
  </si>
  <si>
    <t>CódRastreio1110</t>
  </si>
  <si>
    <t>CódRastreio1111</t>
  </si>
  <si>
    <t>CódRastreio1112</t>
  </si>
  <si>
    <t>CódRastreio1113</t>
  </si>
  <si>
    <t>CódRastreio1114</t>
  </si>
  <si>
    <t>CódRastreio1115</t>
  </si>
  <si>
    <t>CódRastreio1116</t>
  </si>
  <si>
    <t>CódRastreio1117</t>
  </si>
  <si>
    <t>CódRastreio1118</t>
  </si>
  <si>
    <t>CódRastreio1119</t>
  </si>
  <si>
    <t>CódRastreio1120</t>
  </si>
  <si>
    <t>CódRastreio1121</t>
  </si>
  <si>
    <t>CódRastreio1122</t>
  </si>
  <si>
    <t>CódRastreio1123</t>
  </si>
  <si>
    <t>CódRastreio1124</t>
  </si>
  <si>
    <t>CódRastreio1125</t>
  </si>
  <si>
    <t>CódRastreio1126</t>
  </si>
  <si>
    <t>CódRastreio1127</t>
  </si>
  <si>
    <t>CódRastreio1128</t>
  </si>
  <si>
    <t>CódRastreio1129</t>
  </si>
  <si>
    <t>CódRastreio1130</t>
  </si>
  <si>
    <t>CódRastreio1131</t>
  </si>
  <si>
    <t>CódRastreio1132</t>
  </si>
  <si>
    <t>CódRastreio1133</t>
  </si>
  <si>
    <t>CódRastreio1134</t>
  </si>
  <si>
    <t>CódRastreio1135</t>
  </si>
  <si>
    <t>CódRastreio1136</t>
  </si>
  <si>
    <t>CódRastreio1137</t>
  </si>
  <si>
    <t>CódRastreio1138</t>
  </si>
  <si>
    <t>CódRastreio1139</t>
  </si>
  <si>
    <t>CódRastreio1140</t>
  </si>
  <si>
    <t>CódRastreio1141</t>
  </si>
  <si>
    <t>CódRastreio1142</t>
  </si>
  <si>
    <t>CódRastreio1143</t>
  </si>
  <si>
    <t>CódRastreio1144</t>
  </si>
  <si>
    <t>CódRastreio1145</t>
  </si>
  <si>
    <t>CódRastreio1146</t>
  </si>
  <si>
    <t>CódRastreio1147</t>
  </si>
  <si>
    <t>CódRastreio1148</t>
  </si>
  <si>
    <t>CódRastreio1149</t>
  </si>
  <si>
    <t>CódRastreio1150</t>
  </si>
  <si>
    <t>CódRastreio1151</t>
  </si>
  <si>
    <t>CódRastreio1152</t>
  </si>
  <si>
    <t>CódRastreio1153</t>
  </si>
  <si>
    <t>CódRastreio1154</t>
  </si>
  <si>
    <t>CódRastreio1155</t>
  </si>
  <si>
    <t>CódRastreio1156</t>
  </si>
  <si>
    <t>CódRastreio1157</t>
  </si>
  <si>
    <t>CódRastreio1158</t>
  </si>
  <si>
    <t>CódRastreio1159</t>
  </si>
  <si>
    <t>CódRastreio1160</t>
  </si>
  <si>
    <t>CódRastreio1161</t>
  </si>
  <si>
    <t>CódRastreio1162</t>
  </si>
  <si>
    <t>CódRastreio1163</t>
  </si>
  <si>
    <t>CódRastreio1164</t>
  </si>
  <si>
    <t>CódRastreio1165</t>
  </si>
  <si>
    <t>CódRastreio1166</t>
  </si>
  <si>
    <t>CódRastreio1167</t>
  </si>
  <si>
    <t>CódRastreio1168</t>
  </si>
  <si>
    <t>CódRastreio1169</t>
  </si>
  <si>
    <t>CódRastreio1170</t>
  </si>
  <si>
    <t>CódRastreio1171</t>
  </si>
  <si>
    <t>CódRastreio1172</t>
  </si>
  <si>
    <t>CódRastreio1173</t>
  </si>
  <si>
    <t>CódRastreio1174</t>
  </si>
  <si>
    <t>CódRastreio1175</t>
  </si>
  <si>
    <t>CódRastreio1176</t>
  </si>
  <si>
    <t>CódRastreio1177</t>
  </si>
  <si>
    <t>CódRastreio1178</t>
  </si>
  <si>
    <t>CódRastreio1179</t>
  </si>
  <si>
    <t>CódRastreio1180</t>
  </si>
  <si>
    <t>CódRastreio1181</t>
  </si>
  <si>
    <t>CódRastreio1182</t>
  </si>
  <si>
    <t>CódRastreio1183</t>
  </si>
  <si>
    <t>CódRastreio1184</t>
  </si>
  <si>
    <t>CódRastreio1185</t>
  </si>
  <si>
    <t>CódRastreio1186</t>
  </si>
  <si>
    <t>CódRastreio1187</t>
  </si>
  <si>
    <t>CódRastreio1188</t>
  </si>
  <si>
    <t>CódRastreio1189</t>
  </si>
  <si>
    <t>CódRastreio1190</t>
  </si>
  <si>
    <t>CódRastreio1191</t>
  </si>
  <si>
    <t>CódRastreio1192</t>
  </si>
  <si>
    <t>CódRastreio1193</t>
  </si>
  <si>
    <t>CódRastreio1194</t>
  </si>
  <si>
    <t>CódRastreio1195</t>
  </si>
  <si>
    <t>CódRastreio1196</t>
  </si>
  <si>
    <t>CódRastreio1197</t>
  </si>
  <si>
    <t>CódRastreio1198</t>
  </si>
  <si>
    <t>CódRastreio1199</t>
  </si>
  <si>
    <t>CódRastreio1200</t>
  </si>
  <si>
    <t>CódRastreio1201</t>
  </si>
  <si>
    <t>CódRastreio1202</t>
  </si>
  <si>
    <t>CódRastreio1203</t>
  </si>
  <si>
    <t>CódRastreio1204</t>
  </si>
  <si>
    <t>CódRastreio1205</t>
  </si>
  <si>
    <t>CódRastreio1206</t>
  </si>
  <si>
    <t>CódRastreio1207</t>
  </si>
  <si>
    <t>CódRastreio1208</t>
  </si>
  <si>
    <t>CódRastreio1209</t>
  </si>
  <si>
    <t>CódRastreio1210</t>
  </si>
  <si>
    <t>CódRastreio1211</t>
  </si>
  <si>
    <t>CódRastreio1212</t>
  </si>
  <si>
    <t>CódRastreio1213</t>
  </si>
  <si>
    <t>CódRastreio1214</t>
  </si>
  <si>
    <t>CódRastreio1215</t>
  </si>
  <si>
    <t>CódRastreio1216</t>
  </si>
  <si>
    <t>CódRastreio1217</t>
  </si>
  <si>
    <t>CódRastreio1218</t>
  </si>
  <si>
    <t>CódRastreio1219</t>
  </si>
  <si>
    <t>CódRastreio1220</t>
  </si>
  <si>
    <t>CódRastreio1221</t>
  </si>
  <si>
    <t>CódRastreio1222</t>
  </si>
  <si>
    <t>CódRastreio1223</t>
  </si>
  <si>
    <t>CódRastreio1224</t>
  </si>
  <si>
    <t>CódRastreio1225</t>
  </si>
  <si>
    <t>CódRastreio1226</t>
  </si>
  <si>
    <t>CódRastreio1227</t>
  </si>
  <si>
    <t>CódRastreio1228</t>
  </si>
  <si>
    <t>CódRastreio1229</t>
  </si>
  <si>
    <t>CódRastreio1230</t>
  </si>
  <si>
    <t>CódRastreio1231</t>
  </si>
  <si>
    <t>CódRastreio1232</t>
  </si>
  <si>
    <t>CódRastreio1233</t>
  </si>
  <si>
    <t>CódRastreio1234</t>
  </si>
  <si>
    <t>CódRastreio1235</t>
  </si>
  <si>
    <t>CódRastreio1236</t>
  </si>
  <si>
    <t>CódRastreio1237</t>
  </si>
  <si>
    <t>CódRastreio1238</t>
  </si>
  <si>
    <t>CódRastreio1239</t>
  </si>
  <si>
    <t>CódRastreio1240</t>
  </si>
  <si>
    <t>CódRastreio1241</t>
  </si>
  <si>
    <t>CódRastreio1242</t>
  </si>
  <si>
    <t>CódRastreio1243</t>
  </si>
  <si>
    <t>CódRastreio1244</t>
  </si>
  <si>
    <t>CódRastreio1245</t>
  </si>
  <si>
    <t>CódRastreio1246</t>
  </si>
  <si>
    <t>CódRastreio1247</t>
  </si>
  <si>
    <t>CódRastreio1248</t>
  </si>
  <si>
    <t>CódRastreio1249</t>
  </si>
  <si>
    <t>CódRastreio1250</t>
  </si>
  <si>
    <t>CódRastreio1251</t>
  </si>
  <si>
    <t>CódRastreio1252</t>
  </si>
  <si>
    <t>CódRastreio1253</t>
  </si>
  <si>
    <t>CódRastreio1254</t>
  </si>
  <si>
    <t>CódRastreio1255</t>
  </si>
  <si>
    <t>CódRastreio1256</t>
  </si>
  <si>
    <t>CódRastreio1257</t>
  </si>
  <si>
    <t>CódRastreio1258</t>
  </si>
  <si>
    <t>CódRastreio1259</t>
  </si>
  <si>
    <t>CódRastreio1260</t>
  </si>
  <si>
    <t>CódRastreio1261</t>
  </si>
  <si>
    <t>CódRastreio1262</t>
  </si>
  <si>
    <t>CódRastreio1263</t>
  </si>
  <si>
    <t>CódRastreio1264</t>
  </si>
  <si>
    <t>CódRastreio1265</t>
  </si>
  <si>
    <t>CódRastreio1266</t>
  </si>
  <si>
    <t>CódRastreio1267</t>
  </si>
  <si>
    <t>CódRastreio1268</t>
  </si>
  <si>
    <t>CódRastreio1269</t>
  </si>
  <si>
    <t>CódRastreio1270</t>
  </si>
  <si>
    <t>CódRastreio1271</t>
  </si>
  <si>
    <t>CódRastreio1272</t>
  </si>
  <si>
    <t>CódRastreio1273</t>
  </si>
  <si>
    <t>CódRastreio1274</t>
  </si>
  <si>
    <t>CódRastreio1275</t>
  </si>
  <si>
    <t>CódRastreio1276</t>
  </si>
  <si>
    <t>CódRastreio1277</t>
  </si>
  <si>
    <t>CódRastreio1278</t>
  </si>
  <si>
    <t>CódRastreio1279</t>
  </si>
  <si>
    <t>CódRastreio1280</t>
  </si>
  <si>
    <t>CódRastreio1281</t>
  </si>
  <si>
    <t>CódRastreio1282</t>
  </si>
  <si>
    <t>CódRastreio1283</t>
  </si>
  <si>
    <t>CódRastreio1284</t>
  </si>
  <si>
    <t>CódRastreio1285</t>
  </si>
  <si>
    <t>CódRastreio1286</t>
  </si>
  <si>
    <t>CódRastreio1287</t>
  </si>
  <si>
    <t>CódRastreio1288</t>
  </si>
  <si>
    <t>CódRastreio1289</t>
  </si>
  <si>
    <t>CódRastreio1290</t>
  </si>
  <si>
    <t>CódRastreio1291</t>
  </si>
  <si>
    <t>CódRastreio1292</t>
  </si>
  <si>
    <t>CódRastreio1293</t>
  </si>
  <si>
    <t>CódRastreio1294</t>
  </si>
  <si>
    <t>CódRastreio1295</t>
  </si>
  <si>
    <t>CódRastreio1296</t>
  </si>
  <si>
    <t>CódRastreio1297</t>
  </si>
  <si>
    <t>CódRastreio1298</t>
  </si>
  <si>
    <t>CódRastreio1299</t>
  </si>
  <si>
    <t>CódRastreio1300</t>
  </si>
  <si>
    <t>CódRastreio1301</t>
  </si>
  <si>
    <t>CódRastreio1302</t>
  </si>
  <si>
    <t>CódRastreio1303</t>
  </si>
  <si>
    <t>CódRastreio1304</t>
  </si>
  <si>
    <t>CódRastreio1305</t>
  </si>
  <si>
    <t>CódRastreio1306</t>
  </si>
  <si>
    <t>CódRastreio1307</t>
  </si>
  <si>
    <t>CódRastreio1308</t>
  </si>
  <si>
    <t>CódRastreio1309</t>
  </si>
  <si>
    <t>CódRastreio1310</t>
  </si>
  <si>
    <t>CódRastreio1311</t>
  </si>
  <si>
    <t>CódRastreio1312</t>
  </si>
  <si>
    <t>CódRastreio1313</t>
  </si>
  <si>
    <t>CódRastreio1314</t>
  </si>
  <si>
    <t>CódRastreio1315</t>
  </si>
  <si>
    <t>CódRastreio1316</t>
  </si>
  <si>
    <t>CódRastreio1317</t>
  </si>
  <si>
    <t>CódRastreio1318</t>
  </si>
  <si>
    <t>CódRastreio1319</t>
  </si>
  <si>
    <t>CódRastreio1320</t>
  </si>
  <si>
    <t>CódRastreio1321</t>
  </si>
  <si>
    <t>CódRastreio1322</t>
  </si>
  <si>
    <t>CódRastreio1323</t>
  </si>
  <si>
    <t>CódRastreio1324</t>
  </si>
  <si>
    <t>CódRastreio1325</t>
  </si>
  <si>
    <t>CódRastreio1326</t>
  </si>
  <si>
    <t>CódRastreio1327</t>
  </si>
  <si>
    <t>CódRastreio1328</t>
  </si>
  <si>
    <t>CódRastreio1329</t>
  </si>
  <si>
    <t>CódRastreio1330</t>
  </si>
  <si>
    <t>CódRastreio1331</t>
  </si>
  <si>
    <t>CódRastreio1332</t>
  </si>
  <si>
    <t>CódRastreio1333</t>
  </si>
  <si>
    <t>CódRastreio1334</t>
  </si>
  <si>
    <t>CódRastreio1335</t>
  </si>
  <si>
    <t>CódRastreio1336</t>
  </si>
  <si>
    <t>CódRastreio1337</t>
  </si>
  <si>
    <t>CódRastreio1338</t>
  </si>
  <si>
    <t>CódRastreio1339</t>
  </si>
  <si>
    <t>CódRastreio1340</t>
  </si>
  <si>
    <t>CódRastreio1341</t>
  </si>
  <si>
    <t>CódRastreio1342</t>
  </si>
  <si>
    <t>CódRastreio1343</t>
  </si>
  <si>
    <t>CódRastreio1344</t>
  </si>
  <si>
    <t>CódRastreio1345</t>
  </si>
  <si>
    <t>CódRastreio1346</t>
  </si>
  <si>
    <t>CódRastreio1347</t>
  </si>
  <si>
    <t>CódRastreio1348</t>
  </si>
  <si>
    <t>CódRastreio1349</t>
  </si>
  <si>
    <t>CódRastreio1350</t>
  </si>
  <si>
    <t>CódRastreio1351</t>
  </si>
  <si>
    <t>CódRastreio1352</t>
  </si>
  <si>
    <t>CódRastreio1353</t>
  </si>
  <si>
    <t>CódRastreio1354</t>
  </si>
  <si>
    <t>CódRastreio1355</t>
  </si>
  <si>
    <t>CódRastreio1356</t>
  </si>
  <si>
    <t>CódRastreio1357</t>
  </si>
  <si>
    <t>CódRastreio1358</t>
  </si>
  <si>
    <t>CódRastreio1359</t>
  </si>
  <si>
    <t>CódRastreio1360</t>
  </si>
  <si>
    <t>CódRastreio1361</t>
  </si>
  <si>
    <t>CódRastreio1362</t>
  </si>
  <si>
    <t>CódRastreio1363</t>
  </si>
  <si>
    <t>CódRastreio1364</t>
  </si>
  <si>
    <t>CódRastreio1365</t>
  </si>
  <si>
    <t>CódRastreio1366</t>
  </si>
  <si>
    <t>CódRastreio1367</t>
  </si>
  <si>
    <t>CódRastreio1368</t>
  </si>
  <si>
    <t>CódRastreio1369</t>
  </si>
  <si>
    <t>CódRastreio1370</t>
  </si>
  <si>
    <t>CódRastreio1371</t>
  </si>
  <si>
    <t>CódRastreio1372</t>
  </si>
  <si>
    <t>CódRastreio1373</t>
  </si>
  <si>
    <t>CódRastreio1374</t>
  </si>
  <si>
    <t>CódRastreio1375</t>
  </si>
  <si>
    <t>CódRastreio1376</t>
  </si>
  <si>
    <t>CódRastreio1377</t>
  </si>
  <si>
    <t>CódRastreio1378</t>
  </si>
  <si>
    <t>CódRastreio1379</t>
  </si>
  <si>
    <t>CódRastreio1380</t>
  </si>
  <si>
    <t>CódRastreio1381</t>
  </si>
  <si>
    <t>CódRastreio1382</t>
  </si>
  <si>
    <t>CódRastreio1383</t>
  </si>
  <si>
    <t>CódRastreio1384</t>
  </si>
  <si>
    <t>CódRastreio1385</t>
  </si>
  <si>
    <t>CódRastreio1386</t>
  </si>
  <si>
    <t>CódRastreio1387</t>
  </si>
  <si>
    <t>CódRastreio1388</t>
  </si>
  <si>
    <t>CódRastreio1389</t>
  </si>
  <si>
    <t>CódRastreio1390</t>
  </si>
  <si>
    <t>CódRastreio1391</t>
  </si>
  <si>
    <t>CódRastreio1392</t>
  </si>
  <si>
    <t>CódRastreio1393</t>
  </si>
  <si>
    <t>CódRastreio1394</t>
  </si>
  <si>
    <t>CódRastreio1395</t>
  </si>
  <si>
    <t>CódRastreio1396</t>
  </si>
  <si>
    <t>CódRastreio1397</t>
  </si>
  <si>
    <t>CódRastreio1398</t>
  </si>
  <si>
    <t>CódRastreio1399</t>
  </si>
  <si>
    <t>CódRastreio1400</t>
  </si>
  <si>
    <t>CódRastreio1401</t>
  </si>
  <si>
    <t>CódRastreio1402</t>
  </si>
  <si>
    <t>CódRastreio1403</t>
  </si>
  <si>
    <t>CódRastreio1404</t>
  </si>
  <si>
    <t>CódRastreio1405</t>
  </si>
  <si>
    <t>CódRastreio1406</t>
  </si>
  <si>
    <t>CódRastreio1407</t>
  </si>
  <si>
    <t>CódRastreio1408</t>
  </si>
  <si>
    <t>CódRastreio1409</t>
  </si>
  <si>
    <t>CódRastreio1410</t>
  </si>
  <si>
    <t>CódRastreio1411</t>
  </si>
  <si>
    <t>CódRastreio1412</t>
  </si>
  <si>
    <t>CódRastreio1413</t>
  </si>
  <si>
    <t>CódRastreio1414</t>
  </si>
  <si>
    <t>CódRastreio1415</t>
  </si>
  <si>
    <t>CódRastreio1416</t>
  </si>
  <si>
    <t>CódRastreio1417</t>
  </si>
  <si>
    <t>CódRastreio1418</t>
  </si>
  <si>
    <t>CódRastreio1419</t>
  </si>
  <si>
    <t>CódRastreio1420</t>
  </si>
  <si>
    <t>CódRastreio1421</t>
  </si>
  <si>
    <t>CódRastreio1422</t>
  </si>
  <si>
    <t>CódRastreio1423</t>
  </si>
  <si>
    <t>CódRastreio1424</t>
  </si>
  <si>
    <t>CódRastreio1425</t>
  </si>
  <si>
    <t>CódRastreio1426</t>
  </si>
  <si>
    <t>CódRastreio1427</t>
  </si>
  <si>
    <t>CódRastreio1428</t>
  </si>
  <si>
    <t>CódRastreio1429</t>
  </si>
  <si>
    <t>CódRastreio1430</t>
  </si>
  <si>
    <t>CódRastreio1431</t>
  </si>
  <si>
    <t>CódRastreio1432</t>
  </si>
  <si>
    <t>CódRastreio1433</t>
  </si>
  <si>
    <t>CódRastreio1434</t>
  </si>
  <si>
    <t>CódRastreio1435</t>
  </si>
  <si>
    <t>CódRastreio1436</t>
  </si>
  <si>
    <t>CódRastreio1437</t>
  </si>
  <si>
    <t>CódRastreio1438</t>
  </si>
  <si>
    <t>CódRastreio1439</t>
  </si>
  <si>
    <t>CódRastreio1440</t>
  </si>
  <si>
    <t>CódRastreio1441</t>
  </si>
  <si>
    <t>CódRastreio1442</t>
  </si>
  <si>
    <t>CódRastreio1443</t>
  </si>
  <si>
    <t>CódRastreio1444</t>
  </si>
  <si>
    <t>CódRastreio1445</t>
  </si>
  <si>
    <t>CódRastreio1446</t>
  </si>
  <si>
    <t>CódRastreio1447</t>
  </si>
  <si>
    <t>CódRastreio1448</t>
  </si>
  <si>
    <t>CódRastreio1449</t>
  </si>
  <si>
    <t>CódRastreio1450</t>
  </si>
  <si>
    <t>CódRastreio1451</t>
  </si>
  <si>
    <t>CódRastreio1452</t>
  </si>
  <si>
    <t>CódRastreio1453</t>
  </si>
  <si>
    <t>CódRastreio1454</t>
  </si>
  <si>
    <t>CódRastreio1455</t>
  </si>
  <si>
    <t>CódRastreio1456</t>
  </si>
  <si>
    <t>CódRastreio1457</t>
  </si>
  <si>
    <t>CódRastreio1458</t>
  </si>
  <si>
    <t>CódRastreio1459</t>
  </si>
  <si>
    <t>CódRastreio1460</t>
  </si>
  <si>
    <t>CódRastreio1461</t>
  </si>
  <si>
    <t>CódRastreio1462</t>
  </si>
  <si>
    <t>CódRastreio1463</t>
  </si>
  <si>
    <t>CódRastreio1464</t>
  </si>
  <si>
    <t>CódRastreio1465</t>
  </si>
  <si>
    <t>CódRastreio1466</t>
  </si>
  <si>
    <t>CódRastreio1467</t>
  </si>
  <si>
    <t>CódRastreio1468</t>
  </si>
  <si>
    <t>CódRastreio1469</t>
  </si>
  <si>
    <t>CódRastreio1470</t>
  </si>
  <si>
    <t>CódRastreio1471</t>
  </si>
  <si>
    <t>CódRastreio1472</t>
  </si>
  <si>
    <t>CódRastreio1473</t>
  </si>
  <si>
    <t>CódRastreio1474</t>
  </si>
  <si>
    <t>CódRastreio1475</t>
  </si>
  <si>
    <t>CódRastreio1476</t>
  </si>
  <si>
    <t>CódRastreio1477</t>
  </si>
  <si>
    <t>CódRastreio1478</t>
  </si>
  <si>
    <t>CódRastreio1479</t>
  </si>
  <si>
    <t>CódRastreio1480</t>
  </si>
  <si>
    <t>CódRastreio1481</t>
  </si>
  <si>
    <t>CódRastreio1482</t>
  </si>
  <si>
    <t>CódRastreio1483</t>
  </si>
  <si>
    <t>CódRastreio1484</t>
  </si>
  <si>
    <t>CódRastreio1485</t>
  </si>
  <si>
    <t>CódRastreio1486</t>
  </si>
  <si>
    <t>CódRastreio1487</t>
  </si>
  <si>
    <t>CódRastreio1488</t>
  </si>
  <si>
    <t>CódRastreio1489</t>
  </si>
  <si>
    <t>CódRastreio1490</t>
  </si>
  <si>
    <t>CódRastreio1491</t>
  </si>
  <si>
    <t>CódRastreio1492</t>
  </si>
  <si>
    <t>CódRastreio1493</t>
  </si>
  <si>
    <t>CódRastreio1494</t>
  </si>
  <si>
    <t>CódRastreio1495</t>
  </si>
  <si>
    <t>CódRastreio1496</t>
  </si>
  <si>
    <t>CódRastreio1497</t>
  </si>
  <si>
    <t>CódRastreio1498</t>
  </si>
  <si>
    <t>CódRastreio1499</t>
  </si>
  <si>
    <t>CódRastreio1500</t>
  </si>
  <si>
    <t>CódRastreio1501</t>
  </si>
  <si>
    <t>CódRastreio1502</t>
  </si>
  <si>
    <t>CódRastreio1503</t>
  </si>
  <si>
    <t>CódRastreio1504</t>
  </si>
  <si>
    <t>CódRastreio1505</t>
  </si>
  <si>
    <t>CódRastreio1506</t>
  </si>
  <si>
    <t>CódRastreio1507</t>
  </si>
  <si>
    <t>CódRastreio1508</t>
  </si>
  <si>
    <t>CódRastreio1509</t>
  </si>
  <si>
    <t>CódRastreio1510</t>
  </si>
  <si>
    <t>CódRastreio1511</t>
  </si>
  <si>
    <t>CódRastreio1512</t>
  </si>
  <si>
    <t>CódRastreio1513</t>
  </si>
  <si>
    <t>CódRastreio1514</t>
  </si>
  <si>
    <t>CódRastreio1515</t>
  </si>
  <si>
    <t>CódRastreio1516</t>
  </si>
  <si>
    <t>CódRastreio1517</t>
  </si>
  <si>
    <t>CódRastreio1518</t>
  </si>
  <si>
    <t>CódRastreio1519</t>
  </si>
  <si>
    <t>CódRastreio1520</t>
  </si>
  <si>
    <t>CódRastreio1521</t>
  </si>
  <si>
    <t>CódRastreio1522</t>
  </si>
  <si>
    <t>CódRastreio1523</t>
  </si>
  <si>
    <t>CódRastreio1524</t>
  </si>
  <si>
    <t>CódRastreio1525</t>
  </si>
  <si>
    <t>CódRastreio1526</t>
  </si>
  <si>
    <t>CódRastreio1527</t>
  </si>
  <si>
    <t>CódRastreio1528</t>
  </si>
  <si>
    <t>CódRastreio1529</t>
  </si>
  <si>
    <t>CódRastreio1530</t>
  </si>
  <si>
    <t>CódRastreio1531</t>
  </si>
  <si>
    <t>CódRastreio1532</t>
  </si>
  <si>
    <t>CódRastreio1533</t>
  </si>
  <si>
    <t>CódRastreio1534</t>
  </si>
  <si>
    <t>CódRastreio1535</t>
  </si>
  <si>
    <t>CódRastreio1536</t>
  </si>
  <si>
    <t>CódRastreio1537</t>
  </si>
  <si>
    <t>CódRastreio1538</t>
  </si>
  <si>
    <t>CódRastreio1539</t>
  </si>
  <si>
    <t>CódRastreio1540</t>
  </si>
  <si>
    <t>CódRastreio1541</t>
  </si>
  <si>
    <t>CódRastreio1542</t>
  </si>
  <si>
    <t>CódRastreio1543</t>
  </si>
  <si>
    <t>CódRastreio1544</t>
  </si>
  <si>
    <t>CódRastreio1545</t>
  </si>
  <si>
    <t>CódRastreio1546</t>
  </si>
  <si>
    <t>CódRastreio1547</t>
  </si>
  <si>
    <t>CódRastreio1548</t>
  </si>
  <si>
    <t>CódRastreio1549</t>
  </si>
  <si>
    <t>CódRastreio1550</t>
  </si>
  <si>
    <t>CódRastreio1551</t>
  </si>
  <si>
    <t>CódRastreio1552</t>
  </si>
  <si>
    <t>CódRastreio1553</t>
  </si>
  <si>
    <t>CódRastreio1554</t>
  </si>
  <si>
    <t>CódRastreio1555</t>
  </si>
  <si>
    <t>CódRastreio1556</t>
  </si>
  <si>
    <t>CódRastreio1557</t>
  </si>
  <si>
    <t>CódRastreio1558</t>
  </si>
  <si>
    <t>CódRastreio1559</t>
  </si>
  <si>
    <t>CódRastreio1560</t>
  </si>
  <si>
    <t>CódRastreio1561</t>
  </si>
  <si>
    <t>CódRastreio1562</t>
  </si>
  <si>
    <t>CódRastreio1563</t>
  </si>
  <si>
    <t>CódRastreio1564</t>
  </si>
  <si>
    <t>CódRastreio1565</t>
  </si>
  <si>
    <t>CódRastreio1566</t>
  </si>
  <si>
    <t>CódRastreio1567</t>
  </si>
  <si>
    <t>CódRastreio1568</t>
  </si>
  <si>
    <t>CódRastreio1569</t>
  </si>
  <si>
    <t>CódRastreio1570</t>
  </si>
  <si>
    <t>CódRastreio1571</t>
  </si>
  <si>
    <t>CódRastreio1572</t>
  </si>
  <si>
    <t>CódRastreio1573</t>
  </si>
  <si>
    <t>CódRastreio1574</t>
  </si>
  <si>
    <t>CódRastreio1575</t>
  </si>
  <si>
    <t>CódRastreio1576</t>
  </si>
  <si>
    <t>CódRastreio1577</t>
  </si>
  <si>
    <t>CódRastreio1578</t>
  </si>
  <si>
    <t>CódRastreio1579</t>
  </si>
  <si>
    <t>CódRastreio1580</t>
  </si>
  <si>
    <t>CódRastreio1581</t>
  </si>
  <si>
    <t>CódRastreio1582</t>
  </si>
  <si>
    <t>CódRastreio1583</t>
  </si>
  <si>
    <t>CódRastreio1584</t>
  </si>
  <si>
    <t>CódRastreio1585</t>
  </si>
  <si>
    <t>CódRastreio1586</t>
  </si>
  <si>
    <t>CódRastreio1587</t>
  </si>
  <si>
    <t>CódRastreio1588</t>
  </si>
  <si>
    <t>CódRastreio1589</t>
  </si>
  <si>
    <t>CódRastreio1590</t>
  </si>
  <si>
    <t>CódRastreio1591</t>
  </si>
  <si>
    <t>CódRastreio1592</t>
  </si>
  <si>
    <t>CódRastreio1593</t>
  </si>
  <si>
    <t>CódRastreio1594</t>
  </si>
  <si>
    <t>CódRastreio1595</t>
  </si>
  <si>
    <t>CódRastreio1596</t>
  </si>
  <si>
    <t>CódRastreio1597</t>
  </si>
  <si>
    <t>CódRastreio1598</t>
  </si>
  <si>
    <t>CódRastreio1599</t>
  </si>
  <si>
    <t>CódRastreio1600</t>
  </si>
  <si>
    <t>CódRastreio1601</t>
  </si>
  <si>
    <t>CódRastreio1602</t>
  </si>
  <si>
    <t>CódRastreio1603</t>
  </si>
  <si>
    <t>CódRastreio1604</t>
  </si>
  <si>
    <t>CódRastreio1605</t>
  </si>
  <si>
    <t>CódRastreio1606</t>
  </si>
  <si>
    <t>CódRastreio1607</t>
  </si>
  <si>
    <t>CódRastreio1608</t>
  </si>
  <si>
    <t>CódRastreio1609</t>
  </si>
  <si>
    <t>CódRastreio1610</t>
  </si>
  <si>
    <t>CódRastreio1611</t>
  </si>
  <si>
    <t>CódRastreio1612</t>
  </si>
  <si>
    <t>CódRastreio1613</t>
  </si>
  <si>
    <t>CódRastreio1614</t>
  </si>
  <si>
    <t>CódRastreio1615</t>
  </si>
  <si>
    <t>CódRastreio1616</t>
  </si>
  <si>
    <t>CódRastreio1617</t>
  </si>
  <si>
    <t>CódRastreio1618</t>
  </si>
  <si>
    <t>CódRastreio1619</t>
  </si>
  <si>
    <t>CódRastreio1620</t>
  </si>
  <si>
    <t>CódRastreio1621</t>
  </si>
  <si>
    <t>CódRastreio1622</t>
  </si>
  <si>
    <t>CódRastreio1623</t>
  </si>
  <si>
    <t>CódRastreio1624</t>
  </si>
  <si>
    <t>CódRastreio1625</t>
  </si>
  <si>
    <t>CódRastreio1626</t>
  </si>
  <si>
    <t>CódRastreio1627</t>
  </si>
  <si>
    <t>CódRastreio1628</t>
  </si>
  <si>
    <t>CódRastreio1629</t>
  </si>
  <si>
    <t>CódRastreio1630</t>
  </si>
  <si>
    <t>CódRastreio1631</t>
  </si>
  <si>
    <t>CódRastreio1632</t>
  </si>
  <si>
    <t>CódRastreio1633</t>
  </si>
  <si>
    <t>CódRastreio1634</t>
  </si>
  <si>
    <t>CódRastreio1635</t>
  </si>
  <si>
    <t>CódRastreio1636</t>
  </si>
  <si>
    <t>CódRastreio1637</t>
  </si>
  <si>
    <t>CódRastreio1638</t>
  </si>
  <si>
    <t>CódRastreio1639</t>
  </si>
  <si>
    <t>CódRastreio1640</t>
  </si>
  <si>
    <t>CódRastreio1641</t>
  </si>
  <si>
    <t>CódRastreio1642</t>
  </si>
  <si>
    <t>CódRastreio1643</t>
  </si>
  <si>
    <t>CódRastreio1644</t>
  </si>
  <si>
    <t>CódRastreio1645</t>
  </si>
  <si>
    <t>CódRastreio1646</t>
  </si>
  <si>
    <t>CódRastreio1647</t>
  </si>
  <si>
    <t>CódRastreio1648</t>
  </si>
  <si>
    <t>CódRastreio1649</t>
  </si>
  <si>
    <t>CódRastreio1650</t>
  </si>
  <si>
    <t>CódRastreio1651</t>
  </si>
  <si>
    <t>CódRastreio1652</t>
  </si>
  <si>
    <t>CódRastreio1653</t>
  </si>
  <si>
    <t>CódRastreio1654</t>
  </si>
  <si>
    <t>CódRastreio1655</t>
  </si>
  <si>
    <t>CódRastreio1656</t>
  </si>
  <si>
    <t>CódRastreio1657</t>
  </si>
  <si>
    <t>CódRastreio1658</t>
  </si>
  <si>
    <t>CódRastreio1659</t>
  </si>
  <si>
    <t>CódRastreio1660</t>
  </si>
  <si>
    <t>CódRastreio1661</t>
  </si>
  <si>
    <t>CódRastreio1662</t>
  </si>
  <si>
    <t>CódRastreio1663</t>
  </si>
  <si>
    <t>CódRastreio1664</t>
  </si>
  <si>
    <t>CódRastreio1665</t>
  </si>
  <si>
    <t>CódRastreio1666</t>
  </si>
  <si>
    <t>CódRastreio1667</t>
  </si>
  <si>
    <t>CódRastreio1668</t>
  </si>
  <si>
    <t>CódRastreio1669</t>
  </si>
  <si>
    <t>CódRastreio1670</t>
  </si>
  <si>
    <t>CódRastreio1671</t>
  </si>
  <si>
    <t>CódRastreio1672</t>
  </si>
  <si>
    <t>CódRastreio1673</t>
  </si>
  <si>
    <t>CódRastreio1674</t>
  </si>
  <si>
    <t>CódRastreio1675</t>
  </si>
  <si>
    <t>CódRastreio1676</t>
  </si>
  <si>
    <t>CódRastreio1677</t>
  </si>
  <si>
    <t>CódRastreio1678</t>
  </si>
  <si>
    <t>CódRastreio1679</t>
  </si>
  <si>
    <t>CódRastreio1680</t>
  </si>
  <si>
    <t>CódRastreio1681</t>
  </si>
  <si>
    <t>CódRastreio1682</t>
  </si>
  <si>
    <t>CódRastreio1683</t>
  </si>
  <si>
    <t>CódRastreio1684</t>
  </si>
  <si>
    <t>CódRastreio1685</t>
  </si>
  <si>
    <t>CódRastreio1686</t>
  </si>
  <si>
    <t>CódRastreio1687</t>
  </si>
  <si>
    <t>CódRastreio1688</t>
  </si>
  <si>
    <t>CódRastreio1689</t>
  </si>
  <si>
    <t>CódRastreio1690</t>
  </si>
  <si>
    <t>CódRastreio1691</t>
  </si>
  <si>
    <t>CódRastreio1692</t>
  </si>
  <si>
    <t>CódRastreio1693</t>
  </si>
  <si>
    <t>CódRastreio1694</t>
  </si>
  <si>
    <t>CódRastreio1695</t>
  </si>
  <si>
    <t>CódRastreio1696</t>
  </si>
  <si>
    <t>CódRastreio1697</t>
  </si>
  <si>
    <t>CódRastreio1698</t>
  </si>
  <si>
    <t>CódRastreio1699</t>
  </si>
  <si>
    <t>CódRastreio1700</t>
  </si>
  <si>
    <t>CódRastreio1701</t>
  </si>
  <si>
    <t>CódRastreio1702</t>
  </si>
  <si>
    <t>CódRastreio1703</t>
  </si>
  <si>
    <t>CódRastreio1704</t>
  </si>
  <si>
    <t>CódRastreio1705</t>
  </si>
  <si>
    <t>CódRastreio1706</t>
  </si>
  <si>
    <t>CódRastreio1707</t>
  </si>
  <si>
    <t>CódRastreio1708</t>
  </si>
  <si>
    <t>CódRastreio1709</t>
  </si>
  <si>
    <t>CódRastreio1710</t>
  </si>
  <si>
    <t>CódRastreio1711</t>
  </si>
  <si>
    <t>CódRastreio1712</t>
  </si>
  <si>
    <t>CódRastreio1713</t>
  </si>
  <si>
    <t>CódRastreio1714</t>
  </si>
  <si>
    <t>CódRastreio1715</t>
  </si>
  <si>
    <t>CódRastreio1716</t>
  </si>
  <si>
    <t>CódRastreio1717</t>
  </si>
  <si>
    <t>CódRastreio1718</t>
  </si>
  <si>
    <t>CódRastreio1719</t>
  </si>
  <si>
    <t>CódRastreio1720</t>
  </si>
  <si>
    <t>CódRastreio1721</t>
  </si>
  <si>
    <t>CódRastreio1722</t>
  </si>
  <si>
    <t>CódRastreio1723</t>
  </si>
  <si>
    <t>CódRastreio1724</t>
  </si>
  <si>
    <t>CódRastreio1725</t>
  </si>
  <si>
    <t>CódRastreio1726</t>
  </si>
  <si>
    <t>CódRastreio1727</t>
  </si>
  <si>
    <t>CódRastreio1728</t>
  </si>
  <si>
    <t>CódRastreio1729</t>
  </si>
  <si>
    <t>CódRastreio1730</t>
  </si>
  <si>
    <t>CódRastreio1731</t>
  </si>
  <si>
    <t>CódRastreio1732</t>
  </si>
  <si>
    <t>CódRastreio1733</t>
  </si>
  <si>
    <t>CódRastreio1734</t>
  </si>
  <si>
    <t>CódRastreio1735</t>
  </si>
  <si>
    <t>CódRastreio1736</t>
  </si>
  <si>
    <t>CódRastreio1737</t>
  </si>
  <si>
    <t>CódRastreio1738</t>
  </si>
  <si>
    <t>CódRastreio1739</t>
  </si>
  <si>
    <t>CódRastreio1740</t>
  </si>
  <si>
    <t>CódRastreio1741</t>
  </si>
  <si>
    <t>CódRastreio1742</t>
  </si>
  <si>
    <t>CódRastreio1743</t>
  </si>
  <si>
    <t>CódRastreio1744</t>
  </si>
  <si>
    <t>CódRastreio1745</t>
  </si>
  <si>
    <t>CódRastreio1746</t>
  </si>
  <si>
    <t>CódRastreio1747</t>
  </si>
  <si>
    <t>CódRastreio1748</t>
  </si>
  <si>
    <t>CódRastreio1749</t>
  </si>
  <si>
    <t>CódRastreio1750</t>
  </si>
  <si>
    <t>CódRastreio1751</t>
  </si>
  <si>
    <t>CódRastreio1752</t>
  </si>
  <si>
    <t>CódRastreio1753</t>
  </si>
  <si>
    <t>CódRastreio1754</t>
  </si>
  <si>
    <t>CódRastreio1755</t>
  </si>
  <si>
    <t>CódRastreio1756</t>
  </si>
  <si>
    <t>CódRastreio1757</t>
  </si>
  <si>
    <t>CódRastreio1758</t>
  </si>
  <si>
    <t>CódRastreio1759</t>
  </si>
  <si>
    <t>CódRastreio1760</t>
  </si>
  <si>
    <t>CódRastreio1761</t>
  </si>
  <si>
    <t>CódRastreio1762</t>
  </si>
  <si>
    <t>CódRastreio1763</t>
  </si>
  <si>
    <t>CódRastreio1764</t>
  </si>
  <si>
    <t>CódRastreio1765</t>
  </si>
  <si>
    <t>CódRastreio1766</t>
  </si>
  <si>
    <t>CódRastreio1767</t>
  </si>
  <si>
    <t>CódRastreio1768</t>
  </si>
  <si>
    <t>CódRastreio1769</t>
  </si>
  <si>
    <t>CódRastreio1770</t>
  </si>
  <si>
    <t>CódRastreio1771</t>
  </si>
  <si>
    <t>CódRastreio1772</t>
  </si>
  <si>
    <t>CódRastreio1773</t>
  </si>
  <si>
    <t>CódRastreio1774</t>
  </si>
  <si>
    <t>CódRastreio1775</t>
  </si>
  <si>
    <t>CódRastreio1776</t>
  </si>
  <si>
    <t>CódRastreio1777</t>
  </si>
  <si>
    <t>CódRastreio1778</t>
  </si>
  <si>
    <t>CódRastreio1779</t>
  </si>
  <si>
    <t>CódRastreio1780</t>
  </si>
  <si>
    <t>CódRastreio1781</t>
  </si>
  <si>
    <t>CódRastreio1782</t>
  </si>
  <si>
    <t>CódRastreio1783</t>
  </si>
  <si>
    <t>CódRastreio1784</t>
  </si>
  <si>
    <t>CódRastreio1785</t>
  </si>
  <si>
    <t>CódRastreio1786</t>
  </si>
  <si>
    <t>CódRastreio1787</t>
  </si>
  <si>
    <t>CódRastreio1788</t>
  </si>
  <si>
    <t>CódRastreio1789</t>
  </si>
  <si>
    <t>CódRastreio1790</t>
  </si>
  <si>
    <t>CódRastreio1791</t>
  </si>
  <si>
    <t>CódRastreio1792</t>
  </si>
  <si>
    <t>CódRastreio1793</t>
  </si>
  <si>
    <t>CódRastreio1794</t>
  </si>
  <si>
    <t>CódRastreio1795</t>
  </si>
  <si>
    <t>CódRastreio1796</t>
  </si>
  <si>
    <t>CódRastreio1797</t>
  </si>
  <si>
    <t>CódRastreio1798</t>
  </si>
  <si>
    <t>CódRastreio1799</t>
  </si>
  <si>
    <t>CódRastreio1800</t>
  </si>
  <si>
    <t>CódRastreio1801</t>
  </si>
  <si>
    <t>CódRastreio1802</t>
  </si>
  <si>
    <t>CódRastreio1803</t>
  </si>
  <si>
    <t>CódRastreio1804</t>
  </si>
  <si>
    <t>CódRastreio1805</t>
  </si>
  <si>
    <t>CódRastreio1806</t>
  </si>
  <si>
    <t>CódRastreio1807</t>
  </si>
  <si>
    <t>CódRastreio1808</t>
  </si>
  <si>
    <t>CódRastreio1809</t>
  </si>
  <si>
    <t>CódRastreio1810</t>
  </si>
  <si>
    <t>CódRastreio1811</t>
  </si>
  <si>
    <t>CódRastreio1812</t>
  </si>
  <si>
    <t>CódRastreio1813</t>
  </si>
  <si>
    <t>CódRastreio1814</t>
  </si>
  <si>
    <t>CódRastreio1815</t>
  </si>
  <si>
    <t>CódRastreio1816</t>
  </si>
  <si>
    <t>CódRastreio1817</t>
  </si>
  <si>
    <t>CódRastreio1818</t>
  </si>
  <si>
    <t>CódRastreio1819</t>
  </si>
  <si>
    <t>CódRastreio1820</t>
  </si>
  <si>
    <t>CódRastreio1821</t>
  </si>
  <si>
    <t>CódRastreio1822</t>
  </si>
  <si>
    <t>CódRastreio1823</t>
  </si>
  <si>
    <t>CódRastreio1824</t>
  </si>
  <si>
    <t>CódRastreio1825</t>
  </si>
  <si>
    <t>CódRastreio1826</t>
  </si>
  <si>
    <t>CódRastreio1827</t>
  </si>
  <si>
    <t>CódRastreio1828</t>
  </si>
  <si>
    <t>CódRastreio1829</t>
  </si>
  <si>
    <t>CódRastreio1830</t>
  </si>
  <si>
    <t>CódRastreio1831</t>
  </si>
  <si>
    <t>CódRastreio1832</t>
  </si>
  <si>
    <t>CódRastreio1833</t>
  </si>
  <si>
    <t>CódRastreio1834</t>
  </si>
  <si>
    <t>CódRastreio1835</t>
  </si>
  <si>
    <t>CódRastreio1836</t>
  </si>
  <si>
    <t>CódRastreio1837</t>
  </si>
  <si>
    <t>CódRastreio1838</t>
  </si>
  <si>
    <t>CódRastreio1839</t>
  </si>
  <si>
    <t>CódRastreio1840</t>
  </si>
  <si>
    <t>CódRastreio1841</t>
  </si>
  <si>
    <t>CódRastreio1842</t>
  </si>
  <si>
    <t>CódRastreio1843</t>
  </si>
  <si>
    <t>CódRastreio1844</t>
  </si>
  <si>
    <t>CódRastreio1845</t>
  </si>
  <si>
    <t>CódRastreio1846</t>
  </si>
  <si>
    <t>CódRastreio1847</t>
  </si>
  <si>
    <t>CódRastreio1848</t>
  </si>
  <si>
    <t>CódRastreio1849</t>
  </si>
  <si>
    <t>CódRastreio1850</t>
  </si>
  <si>
    <t>CódRastreio1851</t>
  </si>
  <si>
    <t>CódRastreio1852</t>
  </si>
  <si>
    <t>CódRastreio1853</t>
  </si>
  <si>
    <t>CódRastreio1854</t>
  </si>
  <si>
    <t>CódRastreio1855</t>
  </si>
  <si>
    <t>CódRastreio1856</t>
  </si>
  <si>
    <t>CódRastreio1857</t>
  </si>
  <si>
    <t>CódRastreio1858</t>
  </si>
  <si>
    <t>CódRastreio1859</t>
  </si>
  <si>
    <t>CódRastreio1860</t>
  </si>
  <si>
    <t>CódRastreio1861</t>
  </si>
  <si>
    <t>CódRastreio1862</t>
  </si>
  <si>
    <t>CódRastreio1863</t>
  </si>
  <si>
    <t>CódRastreio1864</t>
  </si>
  <si>
    <t>CódRastreio1865</t>
  </si>
  <si>
    <t>CódRastreio1866</t>
  </si>
  <si>
    <t>CódRastreio1867</t>
  </si>
  <si>
    <t>CódRastreio1868</t>
  </si>
  <si>
    <t>CódRastreio1869</t>
  </si>
  <si>
    <t>CódRastreio1870</t>
  </si>
  <si>
    <t>CódRastreio1871</t>
  </si>
  <si>
    <t>CódRastreio1872</t>
  </si>
  <si>
    <t>CódRastreio1873</t>
  </si>
  <si>
    <t>CódRastreio1874</t>
  </si>
  <si>
    <t>CódRastreio1875</t>
  </si>
  <si>
    <t>CódRastreio1876</t>
  </si>
  <si>
    <t>CódRastreio1877</t>
  </si>
  <si>
    <t>CódRastreio1878</t>
  </si>
  <si>
    <t>CódRastreio1879</t>
  </si>
  <si>
    <t>CódRastreio1880</t>
  </si>
  <si>
    <t>CódRastreio1881</t>
  </si>
  <si>
    <t>CódRastreio1882</t>
  </si>
  <si>
    <t>CódRastreio1883</t>
  </si>
  <si>
    <t>CódRastreio1884</t>
  </si>
  <si>
    <t>CódRastreio1885</t>
  </si>
  <si>
    <t>CódRastreio1886</t>
  </si>
  <si>
    <t>CódRastreio1887</t>
  </si>
  <si>
    <t>CódRastreio1888</t>
  </si>
  <si>
    <t>CódRastreio1889</t>
  </si>
  <si>
    <t>CódRastreio1890</t>
  </si>
  <si>
    <t>CódRastreio1891</t>
  </si>
  <si>
    <t>CódRastreio1892</t>
  </si>
  <si>
    <t>CódRastreio1893</t>
  </si>
  <si>
    <t>CódRastreio1894</t>
  </si>
  <si>
    <t>CódRastreio1895</t>
  </si>
  <si>
    <t>CódRastreio1896</t>
  </si>
  <si>
    <t>CódRastreio1897</t>
  </si>
  <si>
    <t>CódRastreio1898</t>
  </si>
  <si>
    <t>CódRastreio1899</t>
  </si>
  <si>
    <t>CódRastreio1900</t>
  </si>
  <si>
    <t>CódRastreio1901</t>
  </si>
  <si>
    <t>CódRastreio1902</t>
  </si>
  <si>
    <t>CódRastreio1903</t>
  </si>
  <si>
    <t>CódRastreio1904</t>
  </si>
  <si>
    <t>CódRastreio1905</t>
  </si>
  <si>
    <t>CódRastreio1906</t>
  </si>
  <si>
    <t>CódRastreio1907</t>
  </si>
  <si>
    <t>CódRastreio1908</t>
  </si>
  <si>
    <t>CódRastreio1909</t>
  </si>
  <si>
    <t>CódRastreio1910</t>
  </si>
  <si>
    <t>CódRastreio1911</t>
  </si>
  <si>
    <t>CódRastreio1912</t>
  </si>
  <si>
    <t>CódRastreio1913</t>
  </si>
  <si>
    <t>CódRastreio1914</t>
  </si>
  <si>
    <t>CódRastreio1915</t>
  </si>
  <si>
    <t>CódRastreio1916</t>
  </si>
  <si>
    <t>CódRastreio1917</t>
  </si>
  <si>
    <t>CódRastreio1918</t>
  </si>
  <si>
    <t>CódRastreio1919</t>
  </si>
  <si>
    <t>CódRastreio1920</t>
  </si>
  <si>
    <t>CódRastreio1921</t>
  </si>
  <si>
    <t>CódRastreio1922</t>
  </si>
  <si>
    <t>CódRastreio1923</t>
  </si>
  <si>
    <t>CódRastreio1924</t>
  </si>
  <si>
    <t>CódRastreio1925</t>
  </si>
  <si>
    <t>CódRastreio1926</t>
  </si>
  <si>
    <t>CódRastreio1927</t>
  </si>
  <si>
    <t>CódRastreio1928</t>
  </si>
  <si>
    <t>CódRastreio1929</t>
  </si>
  <si>
    <t>CódRastreio1930</t>
  </si>
  <si>
    <t>CódRastreio1931</t>
  </si>
  <si>
    <t>CódRastreio1932</t>
  </si>
  <si>
    <t>CódRastreio1933</t>
  </si>
  <si>
    <t>CódRastreio1934</t>
  </si>
  <si>
    <t>CódRastreio1935</t>
  </si>
  <si>
    <t>CódRastreio1936</t>
  </si>
  <si>
    <t>CódRastreio1937</t>
  </si>
  <si>
    <t>CódRastreio1938</t>
  </si>
  <si>
    <t>CódRastreio1939</t>
  </si>
  <si>
    <t>CódRastreio1940</t>
  </si>
  <si>
    <t>CódRastreio1941</t>
  </si>
  <si>
    <t>CódRastreio1942</t>
  </si>
  <si>
    <t>CódRastreio1943</t>
  </si>
  <si>
    <t>CódRastreio1944</t>
  </si>
  <si>
    <t>CódRastreio1945</t>
  </si>
  <si>
    <t>CódRastreio1946</t>
  </si>
  <si>
    <t>CódRastreio1947</t>
  </si>
  <si>
    <t>CódRastreio1948</t>
  </si>
  <si>
    <t>CódRastreio1949</t>
  </si>
  <si>
    <t>CódRastreio1950</t>
  </si>
  <si>
    <t>CódRastreio1951</t>
  </si>
  <si>
    <t>CódRastreio1952</t>
  </si>
  <si>
    <t>CódRastreio1953</t>
  </si>
  <si>
    <t>CódRastreio1954</t>
  </si>
  <si>
    <t>CódRastreio1955</t>
  </si>
  <si>
    <t>CódRastreio1956</t>
  </si>
  <si>
    <t>CódRastreio1957</t>
  </si>
  <si>
    <t>CódRastreio1958</t>
  </si>
  <si>
    <t>CódRastreio1959</t>
  </si>
  <si>
    <t>CódRastreio1960</t>
  </si>
  <si>
    <t>CódRastreio1961</t>
  </si>
  <si>
    <t>CódRastreio1962</t>
  </si>
  <si>
    <t>CódRastreio1963</t>
  </si>
  <si>
    <t>CódRastreio1964</t>
  </si>
  <si>
    <t>CódRastreio1965</t>
  </si>
  <si>
    <t>CódRastreio1966</t>
  </si>
  <si>
    <t>CódRastreio1967</t>
  </si>
  <si>
    <t>CódRastreio1968</t>
  </si>
  <si>
    <t>CódRastreio1969</t>
  </si>
  <si>
    <t>CódRastreio1970</t>
  </si>
  <si>
    <t>CódRastreio1971</t>
  </si>
  <si>
    <t>CódRastreio1972</t>
  </si>
  <si>
    <t>CódRastreio1973</t>
  </si>
  <si>
    <t>CódRastreio1974</t>
  </si>
  <si>
    <t>CódRastreio1975</t>
  </si>
  <si>
    <t>CódRastreio1976</t>
  </si>
  <si>
    <t>CódRastreio1977</t>
  </si>
  <si>
    <t>CódRastreio1978</t>
  </si>
  <si>
    <t>CódRastreio1979</t>
  </si>
  <si>
    <t>CódRastreio1980</t>
  </si>
  <si>
    <t>CódRastreio1981</t>
  </si>
  <si>
    <t>CódRastreio1982</t>
  </si>
  <si>
    <t>CódRastreio1983</t>
  </si>
  <si>
    <t>CódRastreio1984</t>
  </si>
  <si>
    <t>CódRastreio1985</t>
  </si>
  <si>
    <t>CódRastreio1986</t>
  </si>
  <si>
    <t>CódRastreio1987</t>
  </si>
  <si>
    <t>CódRastreio1988</t>
  </si>
  <si>
    <t>CódRastreio1989</t>
  </si>
  <si>
    <t>Olá Nome,
Identificamos que o Item Ventilador Preto foi entregue no dia 18/12/2024, referente ao pedido Nº Pedido 363 Rastreio CódRastreio352, agradecemos a preferência e adoraríamos receber sua avaliação, tendo qualquer dúvida estamos à disposição.
Att
Tem tudo Shop</t>
  </si>
  <si>
    <t>Transp 1</t>
  </si>
  <si>
    <t>Transp 2</t>
  </si>
  <si>
    <t>Transp 3</t>
  </si>
  <si>
    <t>Transp 4</t>
  </si>
  <si>
    <t>Fornecedor Não vai reembolsar</t>
  </si>
  <si>
    <t>Fornecedor não vai Reembolsar</t>
  </si>
  <si>
    <t>Enviado Cód Temporário</t>
  </si>
  <si>
    <t>Pedido reembolsado pelo fornecedor</t>
  </si>
  <si>
    <t>CódRastreio413 2 Envio</t>
  </si>
  <si>
    <t>CódRastreio352 1 envio</t>
  </si>
  <si>
    <t>CódRastreio413 1 envio</t>
  </si>
  <si>
    <t>CódRastreio72 1 Envio</t>
  </si>
  <si>
    <t>CódRastreio72 2 Envio</t>
  </si>
  <si>
    <t>CódRastreio428 1 Envio</t>
  </si>
  <si>
    <t>CódRastreio473 1 Envio</t>
  </si>
  <si>
    <t>CódRastreio1622 1 Envio</t>
  </si>
  <si>
    <t>CódRastreio1632 1 Envio</t>
  </si>
  <si>
    <t>CódRastreio1641 1 Envio</t>
  </si>
  <si>
    <t>CódRastreio1721 1 Envio</t>
  </si>
  <si>
    <t>CódRastreio1928 1 Envio</t>
  </si>
  <si>
    <t>CODRASTREIO2</t>
  </si>
  <si>
    <t>Aguardando Retorno do Fornecedor</t>
  </si>
  <si>
    <t>Fornecedor não vai reembolsar</t>
  </si>
  <si>
    <t>Fornecedor não quis reembolsar, verificar se haverá reclamação</t>
  </si>
  <si>
    <t>Cliente descobriu que a compra foi realizada através do Fornecedor</t>
  </si>
  <si>
    <t>Barrado pela Alfandega, reembolsado pelo Fornecedor</t>
  </si>
  <si>
    <t>Foi devolvido e a fornecedor não quis reembolsar</t>
  </si>
  <si>
    <t>Fornecedor não enviou o produto / Reembolsado pelo fornecedor</t>
  </si>
  <si>
    <t>Recusado pelo alfandega  Reembolsado pelo fornecedor</t>
  </si>
  <si>
    <t>Reembolsado pelo fornecedor</t>
  </si>
  <si>
    <t>Não foi a Transp 1 que entregou / Aguardando reembolso no fornecedor</t>
  </si>
  <si>
    <t>Reembolso solicitado ao fornecedor</t>
  </si>
  <si>
    <t>Reinvidicação do Cliente</t>
  </si>
  <si>
    <t>Sobre a planilha.</t>
  </si>
  <si>
    <t>Essa planilha foi estruturada para automatizar cálculos e análises a partir de entradas controladas pelo usuário, garantindo mais segurança e evitando que fórmulas sejam alteradas ou quebradas.</t>
  </si>
  <si>
    <t>Motor da planilha (Banco de Dados).</t>
  </si>
  <si>
    <r>
      <t xml:space="preserve">A aba </t>
    </r>
    <r>
      <rPr>
        <b/>
        <sz val="11"/>
        <color theme="1"/>
        <rFont val="Aptos Narrow"/>
        <family val="2"/>
        <scheme val="minor"/>
      </rPr>
      <t>Banco de Dados</t>
    </r>
    <r>
      <rPr>
        <sz val="11"/>
        <color theme="1"/>
        <rFont val="Aptos Narrow"/>
        <family val="2"/>
        <scheme val="minor"/>
      </rPr>
      <t xml:space="preserve"> é o motor do sistema.</t>
    </r>
  </si>
  <si>
    <t>Ela concentra toda a lógica, cálculos e tratamento dos dados.</t>
  </si>
  <si>
    <t>Os dados inseridos pelo usuário são processados nessa aba, que por sua vez alimenta automaticamente todas as outras áreas da planilha.</t>
  </si>
  <si>
    <t>👉 Ou seja:</t>
  </si>
  <si>
    <r>
      <t xml:space="preserve">O usuário </t>
    </r>
    <r>
      <rPr>
        <b/>
        <sz val="11"/>
        <color theme="1"/>
        <rFont val="Aptos Narrow"/>
        <family val="2"/>
        <scheme val="minor"/>
      </rPr>
      <t>não trabalha diretamente no motor</t>
    </r>
    <r>
      <rPr>
        <sz val="11"/>
        <color theme="1"/>
        <rFont val="Aptos Narrow"/>
        <family val="2"/>
        <scheme val="minor"/>
      </rPr>
      <t>, apenas fornece os inputs.</t>
    </r>
  </si>
  <si>
    <t>Separação entre input e cálculo.</t>
  </si>
  <si>
    <t>A planilha foi pensada com separação clara entre:</t>
  </si>
  <si>
    <r>
      <t>Entradas (input humano)</t>
    </r>
    <r>
      <rPr>
        <sz val="11"/>
        <color theme="1"/>
        <rFont val="Aptos Narrow"/>
        <family val="2"/>
        <scheme val="minor"/>
      </rPr>
      <t xml:space="preserve"> → onde o usuário preenche informações</t>
    </r>
  </si>
  <si>
    <r>
      <t>Processamento (Banco de Dados)</t>
    </r>
    <r>
      <rPr>
        <sz val="11"/>
        <color theme="1"/>
        <rFont val="Aptos Narrow"/>
        <family val="2"/>
        <scheme val="minor"/>
      </rPr>
      <t xml:space="preserve"> → onde tudo é calculado automaticamente</t>
    </r>
  </si>
  <si>
    <t>Isso reduz erros, protege fórmulas e mantém a consistência dos dados.</t>
  </si>
  <si>
    <t>O que a planilha faz automaticamente.</t>
  </si>
  <si>
    <t>Processa os dados inseridos pelo usuário</t>
  </si>
  <si>
    <t>Atualiza faturamento diário, mensal e geral</t>
  </si>
  <si>
    <t>Gera previsões de faturamento</t>
  </si>
  <si>
    <t>Alimenta o fluxo de caixa</t>
  </si>
  <si>
    <t>Consolida informações de pedidos e produtos</t>
  </si>
  <si>
    <t>Apoia controle de reembolsos</t>
  </si>
  <si>
    <t>Organiza análises e indicadores</t>
  </si>
  <si>
    <t>Estrutura dados para visualização e tomada de decisão</t>
  </si>
  <si>
    <t>Abas e funções principais.</t>
  </si>
  <si>
    <r>
      <t>Controle Pedido:</t>
    </r>
    <r>
      <rPr>
        <sz val="11"/>
        <color theme="1"/>
        <rFont val="Aptos Narrow"/>
        <family val="2"/>
        <scheme val="minor"/>
      </rPr>
      <t xml:space="preserve"> entrada principal de dados</t>
    </r>
  </si>
  <si>
    <r>
      <t>Follow Up:</t>
    </r>
    <r>
      <rPr>
        <sz val="11"/>
        <color theme="1"/>
        <rFont val="Aptos Narrow"/>
        <family val="2"/>
        <scheme val="minor"/>
      </rPr>
      <t xml:space="preserve"> acompanhamento de status</t>
    </r>
  </si>
  <si>
    <r>
      <t>Ocorrências Pedidos:</t>
    </r>
    <r>
      <rPr>
        <sz val="11"/>
        <color theme="1"/>
        <rFont val="Aptos Narrow"/>
        <family val="2"/>
        <scheme val="minor"/>
      </rPr>
      <t xml:space="preserve"> registro de problemas</t>
    </r>
  </si>
  <si>
    <r>
      <t>Banco de Dados:</t>
    </r>
    <r>
      <rPr>
        <sz val="11"/>
        <color theme="1"/>
        <rFont val="Aptos Narrow"/>
        <family val="2"/>
        <scheme val="minor"/>
      </rPr>
      <t xml:space="preserve"> motor de cálculo (não editar manualmente)</t>
    </r>
  </si>
  <si>
    <r>
      <t>Fluxo de Caixa:</t>
    </r>
    <r>
      <rPr>
        <sz val="11"/>
        <color theme="1"/>
        <rFont val="Aptos Narrow"/>
        <family val="2"/>
        <scheme val="minor"/>
      </rPr>
      <t xml:space="preserve"> visão financeira consolidada</t>
    </r>
  </si>
  <si>
    <r>
      <t>Faturamento (Dia / Mês / Geral):</t>
    </r>
    <r>
      <rPr>
        <sz val="11"/>
        <color theme="1"/>
        <rFont val="Aptos Narrow"/>
        <family val="2"/>
        <scheme val="minor"/>
      </rPr>
      <t xml:space="preserve"> análise de receita</t>
    </r>
  </si>
  <si>
    <r>
      <t>Prev. Fat.:</t>
    </r>
    <r>
      <rPr>
        <sz val="11"/>
        <color theme="1"/>
        <rFont val="Aptos Narrow"/>
        <family val="2"/>
        <scheme val="minor"/>
      </rPr>
      <t xml:space="preserve"> projeções</t>
    </r>
  </si>
  <si>
    <r>
      <t>Reembolso:</t>
    </r>
    <r>
      <rPr>
        <sz val="11"/>
        <color theme="1"/>
        <rFont val="Aptos Narrow"/>
        <family val="2"/>
        <scheme val="minor"/>
      </rPr>
      <t xml:space="preserve"> controle financeiro</t>
    </r>
  </si>
  <si>
    <r>
      <t>Analise Itens:</t>
    </r>
    <r>
      <rPr>
        <sz val="11"/>
        <color theme="1"/>
        <rFont val="Aptos Narrow"/>
        <family val="2"/>
        <scheme val="minor"/>
      </rPr>
      <t xml:space="preserve"> desempenho por produto</t>
    </r>
  </si>
  <si>
    <t>Importante.</t>
  </si>
  <si>
    <r>
      <t xml:space="preserve">Não alterar fórmulas ou estrutura do </t>
    </r>
    <r>
      <rPr>
        <b/>
        <sz val="11"/>
        <color theme="1"/>
        <rFont val="Aptos Narrow"/>
        <family val="2"/>
        <scheme val="minor"/>
      </rPr>
      <t>Banco de Dados</t>
    </r>
  </si>
  <si>
    <t>Utilizar apenas as abas de entrada para inserir informações</t>
  </si>
  <si>
    <t>Toda a automação depende da integridade do motor</t>
  </si>
  <si>
    <t>Alterações indevidas podem comprometer toda a planilha</t>
  </si>
  <si>
    <t>Objetivo.</t>
  </si>
  <si>
    <t>Criar um sistema confiável, automatizado e resistente a erros humanos, facilitando o controle e a tomada de decisão.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</si>
</sst>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#,##0.00_ ;[Red]\-#,##0.00\ "/>
    <numFmt numFmtId="166" formatCode="h:mm;@"/>
    <numFmt numFmtId="167" formatCode="d/m/yy;@"/>
    <numFmt numFmtId="168" formatCode="#,##0.00_ ;\-#,##0.00\ "/>
    <numFmt numFmtId="169" formatCode="[$R$-416]\ #,##0.00;[Red]\-[$R$-416]\ #,##0.00"/>
  </numFmts>
  <fonts count="2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F1111"/>
      <name val="Amazon Ember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F1111"/>
      <name val="Arial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232F3E"/>
      <name val="Arial"/>
      <family val="2"/>
    </font>
    <font>
      <sz val="11"/>
      <color rgb="FFFF0000"/>
      <name val="Aptos Narrow"/>
      <family val="2"/>
      <scheme val="minor"/>
    </font>
    <font>
      <sz val="20"/>
      <color theme="4"/>
      <name val="Aptos Narrow"/>
      <family val="2"/>
      <scheme val="minor"/>
    </font>
    <font>
      <sz val="12"/>
      <color theme="4"/>
      <name val="Aptos Display"/>
      <family val="2"/>
      <scheme val="major"/>
    </font>
    <font>
      <sz val="24"/>
      <color theme="4"/>
      <name val="Aptos Display"/>
      <family val="2"/>
      <scheme val="maj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222222"/>
      <name val="Arial"/>
      <family val="2"/>
    </font>
    <font>
      <sz val="12"/>
      <color rgb="FF001D35"/>
      <name val="Arial"/>
      <family val="2"/>
    </font>
    <font>
      <b/>
      <sz val="12"/>
      <color rgb="FF001D35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>
      <alignment horizontal="left"/>
    </xf>
    <xf numFmtId="4" fontId="6" fillId="0" borderId="0" applyFont="0" applyFill="0" applyBorder="0" applyAlignment="0">
      <alignment horizontal="left"/>
    </xf>
    <xf numFmtId="166" fontId="6" fillId="0" borderId="0" applyFont="0" applyFill="0" applyBorder="0" applyAlignment="0">
      <alignment horizontal="left"/>
    </xf>
    <xf numFmtId="167" fontId="6" fillId="0" borderId="0" applyFont="0" applyFill="0" applyBorder="0" applyAlignment="0">
      <alignment horizontal="left"/>
    </xf>
    <xf numFmtId="168" fontId="14" fillId="0" borderId="0" applyFill="0" applyBorder="0" applyProtection="0">
      <alignment horizontal="left"/>
    </xf>
    <xf numFmtId="0" fontId="15" fillId="0" borderId="0" applyNumberFormat="0" applyFill="0" applyBorder="0" applyProtection="0">
      <alignment wrapText="1"/>
    </xf>
    <xf numFmtId="0" fontId="16" fillId="16" borderId="2" applyNumberFormat="0" applyProtection="0">
      <alignment horizontal="left"/>
    </xf>
    <xf numFmtId="0" fontId="6" fillId="0" borderId="0"/>
  </cellStyleXfs>
  <cellXfs count="236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horizontal="left" vertical="center"/>
    </xf>
    <xf numFmtId="1" fontId="0" fillId="0" borderId="0" xfId="0" quotePrefix="1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2" applyFont="1"/>
    <xf numFmtId="1" fontId="0" fillId="0" borderId="0" xfId="0" applyNumberFormat="1"/>
    <xf numFmtId="44" fontId="0" fillId="0" borderId="0" xfId="2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0" fillId="0" borderId="0" xfId="3" applyFont="1"/>
    <xf numFmtId="44" fontId="0" fillId="0" borderId="0" xfId="0" applyNumberFormat="1"/>
    <xf numFmtId="0" fontId="11" fillId="9" borderId="0" xfId="0" applyFont="1" applyFill="1" applyAlignment="1">
      <alignment horizontal="center" vertical="center" wrapText="1"/>
    </xf>
    <xf numFmtId="44" fontId="11" fillId="9" borderId="0" xfId="2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16" fontId="0" fillId="8" borderId="0" xfId="0" applyNumberFormat="1" applyFill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44" fontId="0" fillId="11" borderId="0" xfId="2" applyFont="1" applyFill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8" fontId="0" fillId="0" borderId="0" xfId="0" applyNumberFormat="1"/>
    <xf numFmtId="0" fontId="0" fillId="4" borderId="0" xfId="0" applyFill="1" applyAlignment="1">
      <alignment horizontal="center" vertical="center" wrapText="1"/>
    </xf>
    <xf numFmtId="44" fontId="0" fillId="8" borderId="1" xfId="2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0" borderId="0" xfId="0" applyNumberFormat="1"/>
    <xf numFmtId="14" fontId="0" fillId="0" borderId="0" xfId="2" applyNumberFormat="1" applyFont="1" applyFill="1" applyAlignment="1">
      <alignment horizontal="center" vertical="center"/>
    </xf>
    <xf numFmtId="14" fontId="0" fillId="0" borderId="0" xfId="2" applyNumberFormat="1" applyFont="1" applyAlignment="1">
      <alignment horizontal="center" vertical="center"/>
    </xf>
    <xf numFmtId="40" fontId="0" fillId="0" borderId="0" xfId="0" applyNumberFormat="1"/>
    <xf numFmtId="0" fontId="1" fillId="2" borderId="0" xfId="0" applyFont="1" applyFill="1"/>
    <xf numFmtId="0" fontId="5" fillId="13" borderId="0" xfId="0" applyFont="1" applyFill="1"/>
    <xf numFmtId="0" fontId="1" fillId="5" borderId="0" xfId="0" applyFont="1" applyFill="1"/>
    <xf numFmtId="8" fontId="0" fillId="0" borderId="0" xfId="2" applyNumberFormat="1" applyFont="1" applyAlignment="1">
      <alignment horizontal="center"/>
    </xf>
    <xf numFmtId="8" fontId="0" fillId="0" borderId="0" xfId="0" applyNumberFormat="1" applyAlignment="1">
      <alignment horizontal="center"/>
    </xf>
    <xf numFmtId="8" fontId="13" fillId="0" borderId="0" xfId="2" applyNumberFormat="1" applyFont="1" applyAlignment="1">
      <alignment horizontal="center"/>
    </xf>
    <xf numFmtId="44" fontId="13" fillId="0" borderId="0" xfId="2" applyFont="1" applyAlignment="1">
      <alignment horizontal="center"/>
    </xf>
    <xf numFmtId="44" fontId="0" fillId="12" borderId="0" xfId="2" applyFont="1" applyFill="1" applyBorder="1" applyAlignment="1">
      <alignment horizontal="center" vertical="center"/>
    </xf>
    <xf numFmtId="14" fontId="0" fillId="0" borderId="0" xfId="2" applyNumberFormat="1" applyFont="1" applyAlignment="1">
      <alignment horizontal="left" vertical="center"/>
    </xf>
    <xf numFmtId="8" fontId="0" fillId="0" borderId="0" xfId="2" applyNumberFormat="1" applyFont="1" applyFill="1" applyBorder="1" applyAlignment="1">
      <alignment horizontal="center" vertical="center"/>
    </xf>
    <xf numFmtId="8" fontId="0" fillId="0" borderId="0" xfId="2" applyNumberFormat="1" applyFont="1" applyFill="1" applyAlignment="1">
      <alignment horizontal="center" vertical="center"/>
    </xf>
    <xf numFmtId="8" fontId="0" fillId="8" borderId="0" xfId="0" applyNumberFormat="1" applyFill="1"/>
    <xf numFmtId="8" fontId="0" fillId="13" borderId="0" xfId="2" applyNumberFormat="1" applyFont="1" applyFill="1" applyAlignment="1">
      <alignment horizontal="center" vertical="center"/>
    </xf>
    <xf numFmtId="8" fontId="13" fillId="0" borderId="0" xfId="0" applyNumberFormat="1" applyFont="1"/>
    <xf numFmtId="0" fontId="0" fillId="0" borderId="0" xfId="0" applyAlignment="1">
      <alignment horizontal="left"/>
    </xf>
    <xf numFmtId="43" fontId="0" fillId="0" borderId="0" xfId="4" applyFont="1" applyAlignment="1">
      <alignment horizontal="left"/>
    </xf>
    <xf numFmtId="0" fontId="0" fillId="0" borderId="0" xfId="4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4" borderId="0" xfId="0" applyFill="1" applyAlignment="1">
      <alignment horizontal="left" vertical="center"/>
    </xf>
    <xf numFmtId="0" fontId="1" fillId="15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1" fillId="15" borderId="0" xfId="0" applyFont="1" applyFill="1" applyAlignment="1">
      <alignment horizontal="left" vertical="center"/>
    </xf>
    <xf numFmtId="14" fontId="1" fillId="6" borderId="0" xfId="0" applyNumberFormat="1" applyFont="1" applyFill="1" applyAlignment="1">
      <alignment horizontal="left" vertical="center"/>
    </xf>
    <xf numFmtId="0" fontId="1" fillId="6" borderId="0" xfId="0" applyFont="1" applyFill="1" applyAlignment="1">
      <alignment horizontal="left"/>
    </xf>
    <xf numFmtId="1" fontId="1" fillId="15" borderId="0" xfId="0" applyNumberFormat="1" applyFont="1" applyFill="1" applyAlignment="1">
      <alignment horizontal="left" vertical="center"/>
    </xf>
    <xf numFmtId="43" fontId="0" fillId="0" borderId="0" xfId="4" applyFont="1"/>
    <xf numFmtId="9" fontId="0" fillId="0" borderId="0" xfId="3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left"/>
    </xf>
    <xf numFmtId="0" fontId="6" fillId="0" borderId="0" xfId="12"/>
    <xf numFmtId="164" fontId="6" fillId="0" borderId="0" xfId="12" applyNumberFormat="1"/>
    <xf numFmtId="0" fontId="6" fillId="0" borderId="0" xfId="12" applyAlignment="1">
      <alignment horizontal="center"/>
    </xf>
    <xf numFmtId="164" fontId="6" fillId="0" borderId="0" xfId="12" applyNumberFormat="1" applyAlignment="1">
      <alignment horizontal="center"/>
    </xf>
    <xf numFmtId="14" fontId="6" fillId="0" borderId="0" xfId="12" applyNumberFormat="1" applyAlignment="1">
      <alignment horizontal="center"/>
    </xf>
    <xf numFmtId="164" fontId="5" fillId="4" borderId="0" xfId="12" applyNumberFormat="1" applyFont="1" applyFill="1"/>
    <xf numFmtId="164" fontId="1" fillId="3" borderId="0" xfId="12" applyNumberFormat="1" applyFont="1" applyFill="1" applyAlignment="1">
      <alignment horizontal="center"/>
    </xf>
    <xf numFmtId="0" fontId="1" fillId="3" borderId="0" xfId="12" applyFont="1" applyFill="1" applyAlignment="1">
      <alignment horizontal="center"/>
    </xf>
    <xf numFmtId="0" fontId="1" fillId="3" borderId="0" xfId="12" applyFont="1" applyFill="1"/>
    <xf numFmtId="164" fontId="5" fillId="4" borderId="0" xfId="12" applyNumberFormat="1" applyFont="1" applyFill="1" applyAlignment="1">
      <alignment horizontal="center"/>
    </xf>
    <xf numFmtId="164" fontId="5" fillId="17" borderId="3" xfId="12" applyNumberFormat="1" applyFont="1" applyFill="1" applyBorder="1"/>
    <xf numFmtId="169" fontId="5" fillId="17" borderId="4" xfId="12" applyNumberFormat="1" applyFont="1" applyFill="1" applyBorder="1"/>
    <xf numFmtId="164" fontId="5" fillId="17" borderId="5" xfId="12" applyNumberFormat="1" applyFont="1" applyFill="1" applyBorder="1"/>
    <xf numFmtId="164" fontId="6" fillId="0" borderId="6" xfId="12" applyNumberFormat="1" applyBorder="1"/>
    <xf numFmtId="0" fontId="6" fillId="0" borderId="7" xfId="12" applyBorder="1"/>
    <xf numFmtId="169" fontId="6" fillId="0" borderId="6" xfId="12" applyNumberFormat="1" applyBorder="1"/>
    <xf numFmtId="164" fontId="6" fillId="0" borderId="7" xfId="12" applyNumberFormat="1" applyBorder="1"/>
    <xf numFmtId="169" fontId="6" fillId="0" borderId="7" xfId="12" applyNumberFormat="1" applyBorder="1" applyAlignment="1">
      <alignment horizontal="left"/>
    </xf>
    <xf numFmtId="14" fontId="6" fillId="0" borderId="0" xfId="12" applyNumberFormat="1"/>
    <xf numFmtId="164" fontId="1" fillId="3" borderId="0" xfId="12" applyNumberFormat="1" applyFont="1" applyFill="1"/>
    <xf numFmtId="164" fontId="6" fillId="0" borderId="0" xfId="12" applyNumberFormat="1" applyAlignment="1">
      <alignment horizontal="center" vertical="center"/>
    </xf>
    <xf numFmtId="0" fontId="6" fillId="0" borderId="0" xfId="12" applyAlignment="1">
      <alignment horizontal="center" vertical="center"/>
    </xf>
    <xf numFmtId="2" fontId="6" fillId="0" borderId="0" xfId="12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7" fillId="4" borderId="0" xfId="0" applyNumberFormat="1" applyFont="1" applyFill="1" applyAlignment="1">
      <alignment horizontal="center"/>
    </xf>
    <xf numFmtId="0" fontId="1" fillId="3" borderId="0" xfId="0" applyFont="1" applyFill="1"/>
    <xf numFmtId="14" fontId="0" fillId="0" borderId="0" xfId="12" applyNumberFormat="1" applyFont="1"/>
    <xf numFmtId="164" fontId="0" fillId="0" borderId="0" xfId="0" applyNumberFormat="1"/>
    <xf numFmtId="0" fontId="10" fillId="4" borderId="0" xfId="0" applyFont="1" applyFill="1"/>
    <xf numFmtId="164" fontId="0" fillId="0" borderId="0" xfId="12" applyNumberFormat="1" applyFont="1"/>
    <xf numFmtId="44" fontId="0" fillId="0" borderId="11" xfId="2" applyFont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1" xfId="0" applyFill="1" applyBorder="1" applyAlignment="1">
      <alignment horizontal="right" vertical="center"/>
    </xf>
    <xf numFmtId="0" fontId="0" fillId="0" borderId="0" xfId="12" applyFont="1"/>
    <xf numFmtId="44" fontId="0" fillId="0" borderId="0" xfId="2" applyFont="1" applyFill="1" applyAlignment="1">
      <alignment horizontal="left" vertical="center"/>
    </xf>
    <xf numFmtId="0" fontId="10" fillId="5" borderId="0" xfId="0" applyFont="1" applyFill="1"/>
    <xf numFmtId="169" fontId="6" fillId="0" borderId="0" xfId="12" applyNumberFormat="1"/>
    <xf numFmtId="8" fontId="0" fillId="0" borderId="9" xfId="2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8" fontId="0" fillId="13" borderId="0" xfId="2" applyNumberFormat="1" applyFont="1" applyFill="1" applyBorder="1" applyAlignment="1">
      <alignment horizontal="center" vertical="center"/>
    </xf>
    <xf numFmtId="14" fontId="0" fillId="13" borderId="0" xfId="2" applyNumberFormat="1" applyFont="1" applyFill="1" applyBorder="1" applyAlignment="1">
      <alignment horizontal="center" vertical="center"/>
    </xf>
    <xf numFmtId="8" fontId="0" fillId="13" borderId="4" xfId="2" applyNumberFormat="1" applyFont="1" applyFill="1" applyBorder="1" applyAlignment="1">
      <alignment horizontal="center" vertical="center"/>
    </xf>
    <xf numFmtId="14" fontId="0" fillId="13" borderId="4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Alignment="1">
      <alignment horizontal="center"/>
    </xf>
    <xf numFmtId="2" fontId="0" fillId="0" borderId="0" xfId="2" applyNumberFormat="1" applyFont="1" applyAlignment="1">
      <alignment horizontal="center"/>
    </xf>
    <xf numFmtId="0" fontId="10" fillId="4" borderId="0" xfId="0" applyFont="1" applyFill="1" applyAlignment="1">
      <alignment horizontal="center" vertical="center"/>
    </xf>
    <xf numFmtId="14" fontId="0" fillId="13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left" vertical="center"/>
    </xf>
    <xf numFmtId="44" fontId="6" fillId="0" borderId="0" xfId="2" applyFill="1" applyAlignment="1">
      <alignment horizontal="center" vertical="center"/>
    </xf>
    <xf numFmtId="0" fontId="0" fillId="0" borderId="0" xfId="4" applyNumberFormat="1" applyFont="1" applyAlignment="1">
      <alignment horizontal="left" vertical="center"/>
    </xf>
    <xf numFmtId="0" fontId="1" fillId="6" borderId="0" xfId="4" applyNumberFormat="1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0" fillId="0" borderId="0" xfId="12" applyFont="1" applyAlignment="1">
      <alignment horizontal="center" vertical="center"/>
    </xf>
    <xf numFmtId="164" fontId="0" fillId="0" borderId="0" xfId="12" applyNumberFormat="1" applyFont="1" applyAlignment="1">
      <alignment horizontal="center" vertical="center"/>
    </xf>
    <xf numFmtId="164" fontId="0" fillId="0" borderId="7" xfId="12" applyNumberFormat="1" applyFont="1" applyBorder="1"/>
    <xf numFmtId="0" fontId="0" fillId="0" borderId="7" xfId="12" applyFont="1" applyBorder="1"/>
    <xf numFmtId="169" fontId="0" fillId="0" borderId="6" xfId="12" applyNumberFormat="1" applyFont="1" applyBorder="1"/>
    <xf numFmtId="14" fontId="0" fillId="0" borderId="0" xfId="2" applyNumberFormat="1" applyFont="1" applyFill="1" applyAlignment="1">
      <alignment horizontal="left" vertical="center"/>
    </xf>
    <xf numFmtId="44" fontId="0" fillId="0" borderId="0" xfId="2" applyFont="1" applyFill="1" applyAlignment="1">
      <alignment horizontal="center"/>
    </xf>
    <xf numFmtId="165" fontId="0" fillId="0" borderId="0" xfId="0" applyNumberFormat="1" applyAlignment="1">
      <alignment horizontal="center"/>
    </xf>
    <xf numFmtId="8" fontId="0" fillId="0" borderId="9" xfId="2" applyNumberFormat="1" applyFont="1" applyFill="1" applyBorder="1" applyAlignment="1">
      <alignment horizontal="center"/>
    </xf>
    <xf numFmtId="8" fontId="0" fillId="0" borderId="0" xfId="2" applyNumberFormat="1" applyFont="1" applyFill="1" applyBorder="1" applyAlignment="1">
      <alignment horizontal="center"/>
    </xf>
    <xf numFmtId="8" fontId="0" fillId="13" borderId="0" xfId="2" applyNumberFormat="1" applyFont="1" applyFill="1" applyBorder="1" applyAlignment="1">
      <alignment horizontal="center"/>
    </xf>
    <xf numFmtId="8" fontId="0" fillId="13" borderId="4" xfId="2" applyNumberFormat="1" applyFont="1" applyFill="1" applyBorder="1" applyAlignment="1">
      <alignment horizontal="center"/>
    </xf>
    <xf numFmtId="8" fontId="0" fillId="0" borderId="0" xfId="2" applyNumberFormat="1" applyFont="1" applyFill="1" applyAlignment="1">
      <alignment horizontal="center"/>
    </xf>
    <xf numFmtId="14" fontId="0" fillId="0" borderId="0" xfId="4" applyNumberFormat="1" applyFont="1" applyAlignment="1">
      <alignment horizontal="left"/>
    </xf>
    <xf numFmtId="169" fontId="0" fillId="0" borderId="0" xfId="12" applyNumberFormat="1" applyFont="1"/>
    <xf numFmtId="14" fontId="0" fillId="0" borderId="0" xfId="0" applyNumberFormat="1"/>
    <xf numFmtId="0" fontId="21" fillId="0" borderId="0" xfId="0" applyFont="1" applyAlignment="1">
      <alignment horizontal="left" vertical="center" indent="1"/>
    </xf>
    <xf numFmtId="14" fontId="0" fillId="0" borderId="0" xfId="4" applyNumberFormat="1" applyFont="1" applyAlignment="1">
      <alignment horizontal="left" vertical="center"/>
    </xf>
    <xf numFmtId="2" fontId="0" fillId="0" borderId="0" xfId="2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left" vertical="center"/>
    </xf>
    <xf numFmtId="44" fontId="0" fillId="0" borderId="13" xfId="2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 vertical="center"/>
    </xf>
    <xf numFmtId="44" fontId="0" fillId="0" borderId="13" xfId="2" applyFont="1" applyFill="1" applyBorder="1" applyAlignment="1">
      <alignment horizontal="center" vertical="center"/>
    </xf>
    <xf numFmtId="14" fontId="0" fillId="0" borderId="13" xfId="2" applyNumberFormat="1" applyFont="1" applyFill="1" applyBorder="1" applyAlignment="1">
      <alignment horizontal="left" vertical="center"/>
    </xf>
    <xf numFmtId="14" fontId="0" fillId="0" borderId="13" xfId="2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4" fontId="11" fillId="9" borderId="0" xfId="2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" fontId="0" fillId="8" borderId="20" xfId="0" applyNumberFormat="1" applyFill="1" applyBorder="1" applyAlignment="1">
      <alignment horizontal="center" vertical="center"/>
    </xf>
    <xf numFmtId="0" fontId="0" fillId="0" borderId="0" xfId="4" quotePrefix="1" applyNumberFormat="1" applyFont="1" applyAlignment="1">
      <alignment horizontal="left"/>
    </xf>
    <xf numFmtId="2" fontId="0" fillId="0" borderId="0" xfId="2" applyNumberFormat="1" applyFont="1" applyFill="1" applyAlignment="1">
      <alignment horizontal="center" wrapText="1"/>
    </xf>
    <xf numFmtId="8" fontId="0" fillId="0" borderId="20" xfId="2" applyNumberFormat="1" applyFont="1" applyFill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8" fontId="0" fillId="13" borderId="0" xfId="0" applyNumberFormat="1" applyFill="1" applyAlignment="1">
      <alignment horizontal="center" vertical="center"/>
    </xf>
    <xf numFmtId="8" fontId="0" fillId="0" borderId="0" xfId="2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13" borderId="0" xfId="0" applyNumberFormat="1" applyFill="1" applyAlignment="1">
      <alignment horizontal="center" vertical="center"/>
    </xf>
    <xf numFmtId="44" fontId="1" fillId="2" borderId="0" xfId="2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20" borderId="0" xfId="0" applyFont="1" applyFill="1" applyAlignment="1">
      <alignment horizontal="center" vertical="center"/>
    </xf>
    <xf numFmtId="14" fontId="1" fillId="20" borderId="0" xfId="0" applyNumberFormat="1" applyFont="1" applyFill="1" applyAlignment="1">
      <alignment horizontal="center" vertical="center"/>
    </xf>
    <xf numFmtId="1" fontId="1" fillId="20" borderId="0" xfId="0" applyNumberFormat="1" applyFont="1" applyFill="1" applyAlignment="1">
      <alignment horizontal="center" vertical="center"/>
    </xf>
    <xf numFmtId="9" fontId="0" fillId="0" borderId="0" xfId="0" applyNumberFormat="1"/>
    <xf numFmtId="14" fontId="0" fillId="0" borderId="0" xfId="0" applyNumberForma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1" fontId="3" fillId="0" borderId="0" xfId="0" quotePrefix="1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quotePrefix="1" applyAlignment="1">
      <alignment horizontal="left" vertical="center"/>
    </xf>
    <xf numFmtId="44" fontId="0" fillId="0" borderId="0" xfId="2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  <xf numFmtId="0" fontId="19" fillId="0" borderId="0" xfId="0" applyFont="1"/>
    <xf numFmtId="0" fontId="0" fillId="0" borderId="13" xfId="0" applyBorder="1" applyAlignment="1">
      <alignment horizontal="center" vertical="center"/>
    </xf>
    <xf numFmtId="14" fontId="3" fillId="0" borderId="13" xfId="0" applyNumberFormat="1" applyFont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1" fontId="0" fillId="0" borderId="13" xfId="0" applyNumberFormat="1" applyBorder="1" applyAlignment="1">
      <alignment horizontal="left" vertical="center"/>
    </xf>
    <xf numFmtId="1" fontId="3" fillId="0" borderId="13" xfId="0" applyNumberFormat="1" applyFont="1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1" fillId="18" borderId="0" xfId="0" applyNumberFormat="1" applyFont="1" applyFill="1" applyAlignment="1">
      <alignment horizontal="center" vertical="center"/>
    </xf>
    <xf numFmtId="14" fontId="1" fillId="18" borderId="0" xfId="0" applyNumberFormat="1" applyFont="1" applyFill="1" applyAlignment="1">
      <alignment horizontal="center" vertical="center"/>
    </xf>
    <xf numFmtId="44" fontId="1" fillId="18" borderId="0" xfId="2" applyFont="1" applyFill="1" applyAlignment="1">
      <alignment horizontal="center" vertical="center"/>
    </xf>
    <xf numFmtId="14" fontId="0" fillId="19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164" fontId="17" fillId="4" borderId="10" xfId="12" applyNumberFormat="1" applyFont="1" applyFill="1" applyBorder="1" applyAlignment="1">
      <alignment horizontal="center"/>
    </xf>
    <xf numFmtId="164" fontId="17" fillId="4" borderId="9" xfId="12" applyNumberFormat="1" applyFont="1" applyFill="1" applyBorder="1" applyAlignment="1">
      <alignment horizontal="center"/>
    </xf>
    <xf numFmtId="164" fontId="17" fillId="4" borderId="8" xfId="12" applyNumberFormat="1" applyFont="1" applyFill="1" applyBorder="1" applyAlignment="1">
      <alignment horizontal="center"/>
    </xf>
    <xf numFmtId="164" fontId="5" fillId="17" borderId="7" xfId="12" applyNumberFormat="1" applyFont="1" applyFill="1" applyBorder="1" applyAlignment="1">
      <alignment horizontal="center" vertical="center"/>
    </xf>
    <xf numFmtId="164" fontId="5" fillId="17" borderId="0" xfId="12" applyNumberFormat="1" applyFont="1" applyFill="1" applyAlignment="1">
      <alignment horizontal="center" vertical="center"/>
    </xf>
    <xf numFmtId="164" fontId="5" fillId="17" borderId="6" xfId="12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4" fontId="0" fillId="7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8" fontId="0" fillId="13" borderId="0" xfId="0" applyNumberFormat="1" applyFill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8" fontId="0" fillId="0" borderId="8" xfId="2" applyNumberFormat="1" applyFont="1" applyBorder="1" applyAlignment="1">
      <alignment horizontal="center" vertical="center"/>
    </xf>
    <xf numFmtId="8" fontId="0" fillId="0" borderId="6" xfId="2" applyNumberFormat="1" applyFont="1" applyBorder="1" applyAlignment="1">
      <alignment horizontal="center" vertical="center"/>
    </xf>
    <xf numFmtId="8" fontId="0" fillId="13" borderId="6" xfId="2" applyNumberFormat="1" applyFont="1" applyFill="1" applyBorder="1" applyAlignment="1">
      <alignment horizontal="center" vertical="center"/>
    </xf>
    <xf numFmtId="8" fontId="0" fillId="13" borderId="3" xfId="2" applyNumberFormat="1" applyFont="1" applyFill="1" applyBorder="1" applyAlignment="1">
      <alignment horizontal="center" vertical="center"/>
    </xf>
    <xf numFmtId="8" fontId="0" fillId="0" borderId="0" xfId="2" applyNumberFormat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8" fontId="0" fillId="7" borderId="18" xfId="0" applyNumberFormat="1" applyFill="1" applyBorder="1" applyAlignment="1">
      <alignment horizontal="center" vertical="center"/>
    </xf>
    <xf numFmtId="44" fontId="0" fillId="7" borderId="18" xfId="0" applyNumberFormat="1" applyFill="1" applyBorder="1" applyAlignment="1">
      <alignment horizontal="center" vertical="center"/>
    </xf>
    <xf numFmtId="44" fontId="0" fillId="7" borderId="2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3">
    <cellStyle name="Data" xfId="8" xr:uid="{624B3AC9-1BAC-4568-82D1-98FFC0B13463}"/>
    <cellStyle name="Hora" xfId="7" xr:uid="{41079D6C-5F02-43DC-AAF5-9BBECA32FE48}"/>
    <cellStyle name="Horas" xfId="6" xr:uid="{949C7F44-9010-4451-B87F-26BA76CADCB8}"/>
    <cellStyle name="Hyperlink" xfId="1" xr:uid="{00000000-000B-0000-0000-000008000000}"/>
    <cellStyle name="Moeda" xfId="2" builtinId="4"/>
    <cellStyle name="Normal" xfId="0" builtinId="0"/>
    <cellStyle name="Normal 2" xfId="5" xr:uid="{285CF12B-406C-4AF1-9AB3-0A30BFB4BA3B}"/>
    <cellStyle name="Normal 2 2" xfId="12" xr:uid="{2A94CC72-1279-4A17-BA5A-64DD649BE893}"/>
    <cellStyle name="Porcentagem" xfId="3" builtinId="5"/>
    <cellStyle name="Título 1 2" xfId="10" xr:uid="{38489B5C-81E3-44B7-89DB-C19E8F6A1149}"/>
    <cellStyle name="Título 4 2" xfId="9" xr:uid="{4EEB2C58-D394-4DBC-92E8-E3E09E4063D8}"/>
    <cellStyle name="Título 5" xfId="11" xr:uid="{B2D11240-1CA4-4A94-8632-252FBC76C6C1}"/>
    <cellStyle name="Vírgula" xfId="4" builtinId="3"/>
  </cellStyles>
  <dxfs count="19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right"/>
    </dxf>
    <dxf>
      <fill>
        <patternFill patternType="solid">
          <bgColor rgb="FFFFFF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</dxf>
    <dxf>
      <font>
        <color auto="1"/>
      </font>
    </dxf>
    <dxf>
      <fill>
        <patternFill patternType="solid">
          <bgColor theme="9" tint="0.39997558519241921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_-[$R$-416]\ * #,##0.00_-;\-[$R$-416]\ * #,##0.00_-;_-[$R$-416]\ * &quot;-&quot;??_-;_-@_-"/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4"/>
        </patternFill>
      </fill>
    </dxf>
    <dxf>
      <numFmt numFmtId="164" formatCode="_-[$R$-416]\ * #,##0.00_-;\-[$R$-416]\ * #,##0.00_-;_-[$R$-416]\ * &quot;-&quot;??_-;_-@_-"/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4"/>
        </patternFill>
      </fill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4"/>
        </patternFill>
      </fill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d/mm/yyyy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19" formatCode="dd/mm/yyyy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</font>
      <fill>
        <patternFill>
          <fgColor theme="9" tint="0.59996337778862885"/>
          <bgColor theme="9" tint="0.59996337778862885"/>
        </patternFill>
      </fill>
      <border>
        <left/>
        <right/>
        <top style="medium">
          <color theme="9" tint="-0.24994659260841701"/>
        </top>
        <bottom style="medium">
          <color theme="9" tint="-0.24994659260841701"/>
        </bottom>
        <vertical style="medium">
          <color theme="9" tint="-0.24994659260841701"/>
        </vertical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-0.24994659260841701"/>
        </top>
        <bottom style="thin">
          <color theme="9" tint="-0.24994659260841701"/>
        </bottom>
        <vertical style="medium">
          <color theme="9" tint="-0.24994659260841701"/>
        </vertical>
        <horizontal style="thin">
          <color theme="9" tint="-0.2499465926084170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2" defaultTableStyle="TableStyleMedium2" defaultPivotStyle="PivotStyleLight16">
    <tableStyle name="Estilo de Tabela 1" pivot="0" count="1" xr9:uid="{18B44763-0E0F-430F-A06C-881A0C5DD055}">
      <tableStyleElement type="wholeTable" dxfId="193"/>
    </tableStyle>
    <tableStyle name="Folha de Ponto" pivot="0" count="2" xr9:uid="{A753A685-EE74-423D-A98D-4ECA36905D92}">
      <tableStyleElement type="wholeTable" dxfId="192"/>
      <tableStyleElement type="headerRow" dxfId="19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árbara Perez" id="{17EE120A-5A71-42B7-942F-B49066A95ECD}" userId="7002b1b1ce15ebe1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" refreshedDate="46117.084300578703" createdVersion="8" refreshedVersion="8" minRefreshableVersion="3" recordCount="2122" xr:uid="{ADE624D8-94C2-4034-ADFE-D3D6760ABE13}">
  <cacheSource type="worksheet">
    <worksheetSource ref="A1:AQ2123" sheet="Banco de Dados"/>
  </cacheSource>
  <cacheFields count="43">
    <cacheField name="Loja" numFmtId="0">
      <sharedItems/>
    </cacheField>
    <cacheField name="Chave" numFmtId="0">
      <sharedItems/>
    </cacheField>
    <cacheField name="Pedido Cliente" numFmtId="0">
      <sharedItems/>
    </cacheField>
    <cacheField name="Data Pedido" numFmtId="14">
      <sharedItems containsSemiMixedTypes="0" containsNonDate="0" containsDate="1" containsString="0" minDate="2024-10-20T00:00:00" maxDate="2025-09-30T00:00:00"/>
    </cacheField>
    <cacheField name="Data Compra" numFmtId="14">
      <sharedItems containsDate="1" containsMixedTypes="1" minDate="2024-10-20T00:00:00" maxDate="2025-09-30T00:00:00"/>
    </cacheField>
    <cacheField name="Pedido Fornecedor" numFmtId="0">
      <sharedItems/>
    </cacheField>
    <cacheField name="Cód Rastreamento" numFmtId="0">
      <sharedItems/>
    </cacheField>
    <cacheField name="Qtd" numFmtId="0">
      <sharedItems containsSemiMixedTypes="0" containsString="0" containsNumber="1" containsInteger="1" minValue="1" maxValue="4"/>
    </cacheField>
    <cacheField name="CPF Cliente" numFmtId="1">
      <sharedItems/>
    </cacheField>
    <cacheField name="NOME" numFmtId="0">
      <sharedItems/>
    </cacheField>
    <cacheField name="Telefone" numFmtId="0">
      <sharedItems/>
    </cacheField>
    <cacheField name="Cep" numFmtId="0">
      <sharedItems/>
    </cacheField>
    <cacheField name="Rua" numFmtId="0">
      <sharedItems/>
    </cacheField>
    <cacheField name="Complemento" numFmtId="0">
      <sharedItems/>
    </cacheField>
    <cacheField name="Nome produto" numFmtId="0">
      <sharedItems count="37">
        <s v="Suporte de Celular Branco"/>
        <s v="Mini Liquidificador"/>
        <s v="Bomba d'agua"/>
        <s v="Ventilador Rosa"/>
        <s v="Suporte de Celular Preto"/>
        <s v="Balança"/>
        <s v="Copo Termico"/>
        <s v="Multi Processador 5 Laminas"/>
        <s v="Garrafa Termica"/>
        <s v="Suporte de Celular com Regulagem"/>
        <s v="Ventilador Preto"/>
        <s v="Ventilador de teto"/>
        <s v="Ventilador Azul"/>
        <s v="Adaptador Bluetooph"/>
        <s v="Ventilador Umidificador"/>
        <s v="Ventilador Umidificador Preto"/>
        <s v="Lampada Led"/>
        <s v="Ventilador Umidificador Branco"/>
        <s v="Mini Mixer Misturador"/>
        <s v="Karaoke portátil"/>
        <s v="Caixinha de som Preta"/>
        <s v="Escova Multifuncional"/>
        <s v="Kit Forma de Gelo c/ Tampa 4 un"/>
        <s v="Multi Processador USB 3 Laminas"/>
        <s v="Webcam"/>
        <s v="Relógio Smart"/>
        <s v="Maçarico Culinário Portátil"/>
        <s v="Hand Grip Fortalecedor"/>
        <s v="Brinquedo Bola Giratória voadora"/>
        <s v="Máquina de cortar cabelo dragão"/>
        <s v="Cortador de Legumes"/>
        <s v="Fone de ouvido XT60"/>
        <s v="Luminária Azul de mesa infantil"/>
        <s v="Bolsa térmica"/>
        <s v="Luminária Rosa de mesa infantil"/>
        <s v="   " u="1"/>
        <e v="#N/A" u="1"/>
      </sharedItems>
    </cacheField>
    <cacheField name="SKU" numFmtId="0">
      <sharedItems/>
    </cacheField>
    <cacheField name="Prazo Entrega" numFmtId="14">
      <sharedItems containsSemiMixedTypes="0" containsNonDate="0" containsDate="1" containsString="0" minDate="2024-11-02T00:00:00" maxDate="2025-10-26T00:00:00"/>
    </cacheField>
    <cacheField name="Valor Pedido" numFmtId="44">
      <sharedItems containsSemiMixedTypes="0" containsString="0" containsNumber="1" minValue="14.8" maxValue="123.88"/>
    </cacheField>
    <cacheField name="Valor Bruto" numFmtId="164">
      <sharedItems containsSemiMixedTypes="0" containsString="0" containsNumber="1" minValue="14.8" maxValue="123.88"/>
    </cacheField>
    <cacheField name="Taxa E-Commerce" numFmtId="44">
      <sharedItems containsSemiMixedTypes="0" containsString="0" containsNumber="1" minValue="1.98" maxValue="14.865599999999999"/>
    </cacheField>
    <cacheField name="E-Commerce Líquido" numFmtId="164">
      <sharedItems containsSemiMixedTypes="0" containsString="0" containsNumber="1" minValue="12.58" maxValue="109.01"/>
    </cacheField>
    <cacheField name="Valor Compra" numFmtId="164">
      <sharedItems containsSemiMixedTypes="0" containsString="0" containsNumber="1" minValue="0" maxValue="81.319999999999993"/>
    </cacheField>
    <cacheField name="SMS" numFmtId="164">
      <sharedItems containsSemiMixedTypes="0" containsString="0" containsNumber="1" minValue="0" maxValue="4.0999999999999996"/>
    </cacheField>
    <cacheField name="PROXY" numFmtId="164">
      <sharedItems containsSemiMixedTypes="0" containsString="0" containsNumber="1" minValue="0" maxValue="0.39877104377104378"/>
    </cacheField>
    <cacheField name="Frete" numFmtId="164">
      <sharedItems containsSemiMixedTypes="0" containsString="0" containsNumber="1" containsInteger="1" minValue="0" maxValue="15"/>
    </cacheField>
    <cacheField name="Valor Liquido" numFmtId="164">
      <sharedItems containsSemiMixedTypes="0" containsString="0" containsNumber="1" minValue="-11.578771043771042" maxValue="79.081228956228955"/>
    </cacheField>
    <cacheField name="Liquido Final" numFmtId="164">
      <sharedItems containsSemiMixedTypes="0" containsString="0" containsNumber="1" minValue="-5.7893855218855208" maxValue="74.671228956228958"/>
    </cacheField>
    <cacheField name="Prev. Fat" numFmtId="14">
      <sharedItems containsSemiMixedTypes="0" containsNonDate="0" containsDate="1" containsString="0" minDate="2024-11-09T00:00:00" maxDate="2025-11-02T00:00:00"/>
    </cacheField>
    <cacheField name="Data Liberação Pagto" numFmtId="14">
      <sharedItems containsDate="1" containsMixedTypes="1" minDate="2024-11-09T00:00:00" maxDate="2025-10-01T00:00:00"/>
    </cacheField>
    <cacheField name="Data Fechamento" numFmtId="14">
      <sharedItems containsDate="1" containsMixedTypes="1" minDate="2024-11-13T00:00:00" maxDate="2025-09-16T00:00:00"/>
    </cacheField>
    <cacheField name="Data Depósito" numFmtId="14">
      <sharedItems containsDate="1" containsMixedTypes="1" minDate="2024-11-22T00:00:00" maxDate="2025-09-16T00:00:00"/>
    </cacheField>
    <cacheField name="Mês Faturamento" numFmtId="14">
      <sharedItems/>
    </cacheField>
    <cacheField name="Fechamento" numFmtId="0">
      <sharedItems/>
    </cacheField>
    <cacheField name="Mês" numFmtId="0">
      <sharedItems/>
    </cacheField>
    <cacheField name="Status Entrega" numFmtId="14">
      <sharedItems/>
    </cacheField>
    <cacheField name="Data Entrega" numFmtId="14">
      <sharedItems containsDate="1" containsMixedTypes="1" minDate="2024-10-24T00:00:00" maxDate="2025-08-28T00:00:00"/>
    </cacheField>
    <cacheField name="Data Reembolso" numFmtId="14">
      <sharedItems/>
    </cacheField>
    <cacheField name="Fornecedor Reembolsou?" numFmtId="14">
      <sharedItems containsBlank="1"/>
    </cacheField>
    <cacheField name="Taxa Amazon Reembolso" numFmtId="44">
      <sharedItems containsSemiMixedTypes="0" containsString="0" containsNumber="1" minValue="0" maxValue="22.56"/>
    </cacheField>
    <cacheField name="Ferramentas Externas" numFmtId="44">
      <sharedItems containsSemiMixedTypes="0" containsString="0" containsNumber="1" containsInteger="1" minValue="0" maxValue="0"/>
    </cacheField>
    <cacheField name="VPN" numFmtId="44">
      <sharedItems containsMixedTypes="1" containsNumber="1" minValue="0" maxValue="0.4" longText="1"/>
    </cacheField>
    <cacheField name="Custo Compra" numFmtId="44">
      <sharedItems containsSemiMixedTypes="0" containsString="0" containsNumber="1" minValue="0" maxValue="45.29"/>
    </cacheField>
    <cacheField name="Valor Ocorrência" numFmtId="44">
      <sharedItems containsSemiMixedTypes="0" containsString="0" containsNumber="1" minValue="0" maxValue="45.29"/>
    </cacheField>
  </cacheFields>
  <extLst>
    <ext xmlns:x14="http://schemas.microsoft.com/office/spreadsheetml/2009/9/main" uri="{725AE2AE-9491-48be-B2B4-4EB974FC3084}">
      <x14:pivotCacheDefinition pivotCacheId="86314570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" refreshedDate="46117.084302314812" createdVersion="8" refreshedVersion="8" minRefreshableVersion="3" recordCount="1977" xr:uid="{8AF707D8-F33D-4B3E-9C35-3A7B45AA6E90}">
  <cacheSource type="worksheet">
    <worksheetSource name="Follow"/>
  </cacheSource>
  <cacheFields count="15">
    <cacheField name="Id Pedido" numFmtId="0">
      <sharedItems/>
    </cacheField>
    <cacheField name="CODRASTREIO" numFmtId="1">
      <sharedItems/>
    </cacheField>
    <cacheField name="CODRASTREIO2" numFmtId="1">
      <sharedItems containsMixedTypes="1" containsNumber="1" containsInteger="1" minValue="3320070004415" maxValue="8196495684770890"/>
    </cacheField>
    <cacheField name="Loja" numFmtId="0">
      <sharedItems/>
    </cacheField>
    <cacheField name="Prev Entrega" numFmtId="14">
      <sharedItems containsSemiMixedTypes="0" containsNonDate="0" containsDate="1" containsString="0" minDate="2024-11-02T00:00:00" maxDate="2025-09-26T00:00:00"/>
    </cacheField>
    <cacheField name="Transp" numFmtId="14">
      <sharedItems/>
    </cacheField>
    <cacheField name="Novo Cód de Rastreio" numFmtId="14">
      <sharedItems containsMixedTypes="1" containsNumber="1" containsInteger="1" minValue="888700152892295" maxValue="888700180740992"/>
    </cacheField>
    <cacheField name="PAISORIGEM" numFmtId="0">
      <sharedItems containsMixedTypes="1" containsNumber="1" containsInteger="1" minValue="0" maxValue="0" count="3">
        <s v="China"/>
        <s v="Brasil"/>
        <n v="0" u="1"/>
      </sharedItems>
    </cacheField>
    <cacheField name="PAISDESTINO" numFmtId="0">
      <sharedItems/>
    </cacheField>
    <cacheField name="DATAATUALIZAÇÃO" numFmtId="14">
      <sharedItems containsDate="1" containsMixedTypes="1" minDate="2024-10-24T00:00:00" maxDate="2025-09-05T00:00:00"/>
    </cacheField>
    <cacheField name="-" numFmtId="0">
      <sharedItems containsMixedTypes="1" containsNumber="1" containsInteger="1" minValue="0" maxValue="0"/>
    </cacheField>
    <cacheField name="STATUS" numFmtId="0">
      <sharedItems containsBlank="1" count="15">
        <s v="ENTREGUE"/>
        <s v="EM TRÂNSITO"/>
        <s v="RETORNANDO"/>
        <s v="RETIRADA"/>
        <s v="EM SEPARAÇÃO"/>
        <s v="OCORRÊNCIA" u="1"/>
        <m u="1"/>
        <s v="EM TRANSITO" u="1"/>
        <s v="-" u="1"/>
        <s v="ALFANDEGA" u="1"/>
        <s v="EM TRÂSITO" u="1"/>
        <s v="Acompanhar" u="1"/>
        <s v="REEMBOLSO SOLICITADO" u="1"/>
        <s v="DEVOLVIDO" u="1"/>
        <s v="REEMBOLSO" u="1"/>
      </sharedItems>
    </cacheField>
    <cacheField name="Obs" numFmtId="0">
      <sharedItems/>
    </cacheField>
    <cacheField name="Prazo" numFmtId="0">
      <sharedItems containsBlank="1" count="8">
        <s v="Dentro do Prazo"/>
        <s v="Fora do Prazo"/>
        <e v="#N/A" u="1"/>
        <e v="#REF!" u="1"/>
        <s v="Pedido Substituido" u="1"/>
        <e v="#VALUE!" u="1"/>
        <m u="1"/>
        <s v="-" u="1"/>
      </sharedItems>
    </cacheField>
    <cacheField name="MSG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árbara" refreshedDate="46117.084305208336" createdVersion="8" refreshedVersion="8" minRefreshableVersion="3" recordCount="2122" xr:uid="{E3BF83FC-F0A1-4100-AC64-82EF25A4DAB2}">
  <cacheSource type="worksheet">
    <worksheetSource ref="A1:AQ2123" sheet="Banco de Dados"/>
  </cacheSource>
  <cacheFields count="43">
    <cacheField name="Loja" numFmtId="0">
      <sharedItems count="3">
        <s v="BV"/>
        <s v="GO"/>
        <s v="MEI"/>
      </sharedItems>
    </cacheField>
    <cacheField name="Chave" numFmtId="0">
      <sharedItems/>
    </cacheField>
    <cacheField name="Pedido Cliente" numFmtId="0">
      <sharedItems/>
    </cacheField>
    <cacheField name="Data Pedido" numFmtId="14">
      <sharedItems containsSemiMixedTypes="0" containsNonDate="0" containsDate="1" containsString="0" minDate="2024-10-20T00:00:00" maxDate="2025-09-30T00:00:00"/>
    </cacheField>
    <cacheField name="Data Compra" numFmtId="14">
      <sharedItems containsDate="1" containsMixedTypes="1" minDate="2024-09-13T00:00:00" maxDate="2025-09-30T00:00:00" count="217">
        <s v="-"/>
        <d v="2024-10-20T00:00:00"/>
        <d v="2024-10-21T00:00:00"/>
        <d v="2024-10-22T00:00:00"/>
        <d v="2024-10-23T00:00:00"/>
        <d v="2024-10-24T00:00:00"/>
        <d v="2024-11-21T00:00:00"/>
        <d v="2024-10-25T00:00:00"/>
        <d v="2024-11-18T00:00:00"/>
        <d v="2024-10-26T00:00:00"/>
        <d v="2024-10-27T00:00:00"/>
        <d v="2024-10-28T00:00:00"/>
        <d v="2024-10-30T00:00:00"/>
        <d v="2024-11-07T00:00:00"/>
        <d v="2024-10-29T00:00:00"/>
        <d v="2024-10-31T00:00:00"/>
        <d v="2024-11-01T00:00:00"/>
        <d v="2024-11-02T00:00:00"/>
        <d v="2024-11-03T00:00:00"/>
        <d v="2024-11-04T00:00:00"/>
        <d v="2024-11-05T00:00:00"/>
        <d v="2024-11-08T00:00:00"/>
        <d v="2024-11-06T00:00:00"/>
        <d v="2024-11-09T00:00:00"/>
        <d v="2024-11-12T00:00:00"/>
        <d v="2024-11-11T00:00:00"/>
        <d v="2024-11-13T00:00:00"/>
        <d v="2024-11-14T00:00:00"/>
        <d v="2024-11-17T00:00:00"/>
        <d v="2024-11-19T00:00:00"/>
        <d v="2024-11-20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5T00:00:00"/>
        <d v="2024-12-17T00:00:00"/>
        <d v="2024-12-19T00:00:00"/>
        <d v="2024-12-21T00:00:00"/>
        <d v="2024-12-22T00:00:00"/>
        <d v="2024-12-27T00:00:00"/>
        <d v="2024-12-26T00:00:00"/>
        <d v="2024-12-30T00:00:00"/>
        <d v="2025-01-02T00:00:00"/>
        <d v="2025-01-03T00:00:00"/>
        <d v="2025-01-05T00:00:00"/>
        <d v="2025-01-06T00:00:00"/>
        <d v="2025-01-09T00:00:00"/>
        <d v="2025-01-10T00:00:00"/>
        <d v="2025-01-12T00:00:00"/>
        <d v="2025-01-11T00:00:00"/>
        <d v="2025-01-16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1T00:00:00"/>
        <d v="2025-02-03T00:00:00"/>
        <d v="2025-02-04T00:00:00"/>
        <d v="2025-02-07T00:00:00"/>
        <d v="2025-02-05T00:00:00"/>
        <d v="2025-01-15T00:00:00"/>
        <d v="2025-02-06T00:00:00"/>
        <d v="2025-02-09T00:00:00"/>
        <d v="2025-02-10T00:00:00"/>
        <d v="2025-02-11T00:00:00"/>
        <d v="2025-02-12T00:00:00"/>
        <d v="2025-02-13T00:00:00"/>
        <d v="2025-02-14T00:00:00"/>
        <d v="2025-02-17T00:00:00"/>
        <d v="2025-02-19T00:00:00"/>
        <d v="2025-02-18T00:00:00"/>
        <d v="2025-02-20T00:00:00"/>
        <d v="2025-02-22T00:00:00"/>
        <d v="2025-02-24T00:00:00"/>
        <d v="2025-02-28T00:00:00"/>
        <d v="2025-02-27T00:00:00"/>
        <d v="2025-02-26T00:00:00"/>
        <d v="2025-03-02T00:00:00"/>
        <d v="2025-03-06T00:00:00"/>
        <d v="2025-03-04T00:00:00"/>
        <d v="2025-03-05T00:00:00"/>
        <d v="2025-03-10T00:00:00"/>
        <d v="2025-03-07T00:00:00"/>
        <d v="2025-03-11T00:00:00"/>
        <d v="2025-03-13T00:00:00"/>
        <d v="2025-03-14T00:00:00"/>
        <d v="2025-03-12T00:00:00"/>
        <d v="2025-03-19T00:00:00"/>
        <d v="2025-03-17T00:00:00"/>
        <d v="2025-03-18T00:00:00"/>
        <d v="2025-03-16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30T00:00:00"/>
        <d v="2025-03-3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21T00:00:00"/>
        <d v="2025-04-22T00:00:00"/>
        <d v="2025-04-24T00:00:00"/>
        <d v="2025-04-23T00:00:00"/>
        <d v="2025-04-25T00:00:00"/>
        <d v="2025-04-28T00:00:00"/>
        <d v="2025-05-02T00:00:00"/>
        <d v="2025-04-29T00:00:00"/>
        <d v="2025-04-30T00:00:00"/>
        <d v="2025-05-06T00:00:00"/>
        <d v="2025-05-05T00:00:00"/>
        <d v="2025-05-07T00:00:00"/>
        <d v="2025-05-08T00:00:00"/>
        <d v="2025-05-12T00:00:00"/>
        <d v="2025-05-13T00:00:00"/>
        <d v="2025-05-14T00:00:00"/>
        <d v="2025-05-15T00:00:00"/>
        <d v="2025-05-16T00:00:00"/>
        <d v="2025-05-17T00:00:00"/>
        <d v="2025-05-30T00:00:00"/>
        <d v="2025-05-19T00:00:00"/>
        <d v="2025-05-20T00:00:00"/>
        <d v="2025-05-29T00:00:00"/>
        <d v="2025-05-26T00:00:00"/>
        <d v="2025-06-02T00:00:00"/>
        <d v="2025-06-03T00:00:00"/>
        <d v="2025-06-09T00:00:00"/>
        <d v="2025-06-04T00:00:00"/>
        <d v="2025-06-05T00:00:00"/>
        <d v="2025-06-11T00:00:00"/>
        <d v="2025-06-10T00:00:00"/>
        <d v="2025-06-16T00:00:00"/>
        <d v="2025-06-18T00:00:00"/>
        <d v="2025-06-13T00:00:00"/>
        <d v="2025-06-20T00:00:00"/>
        <d v="2025-06-23T00:00:00"/>
        <d v="2025-06-24T00:00:00"/>
        <d v="2025-06-25T00:00:00"/>
        <d v="2025-06-26T00:00:00"/>
        <d v="2025-06-27T00:00:00"/>
        <d v="2025-07-01T00:00:00"/>
        <d v="2025-07-03T00:00:00"/>
        <d v="2025-07-07T00:00:00"/>
        <d v="2025-07-08T00:00:00"/>
        <d v="2025-07-09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8T00:00:00"/>
        <d v="2025-08-06T00:00:00"/>
        <d v="2025-08-11T00:00:00"/>
        <d v="2025-08-13T00:00:00"/>
        <d v="2025-08-14T00:00:00"/>
        <d v="2025-08-18T00:00:00"/>
        <d v="2025-08-19T00:00:00"/>
        <d v="2025-08-25T00:00:00"/>
        <d v="2025-08-26T00:00:00"/>
        <d v="2025-08-28T00:00:00"/>
        <d v="2025-08-29T00:00:00"/>
        <d v="2025-09-02T00:00:00"/>
        <d v="2025-09-08T00:00:00"/>
        <d v="2025-09-10T00:00:00"/>
        <d v="2025-09-16T00:00:00"/>
        <d v="2025-09-15T00:00:00"/>
        <d v="2025-09-22T00:00:00"/>
        <d v="2025-09-29T00:00:00"/>
        <d v="2025-08-27T00:00:00" u="1"/>
        <d v="2025-08-04T00:00:00" u="1"/>
        <d v="2025-05-21T00:00:00" u="1"/>
        <d v="2025-04-01T00:00:00" u="1"/>
        <s v="Desconsiderar" u="1"/>
        <d v="2025-02-25T00:00:00" u="1"/>
        <d v="2025-01-01T00:00:00" u="1"/>
        <d v="2025-01-13T00:00:00" u="1"/>
        <d v="2025-01-08T00:00:00" u="1"/>
        <d v="2025-01-04T00:00:00" u="1"/>
        <d v="2024-12-05T00:00:00" u="1"/>
        <d v="2024-11-15T00:00:00" u="1"/>
        <d v="2024-09-13T00:00:00" u="1"/>
      </sharedItems>
    </cacheField>
    <cacheField name="Pedido Fornecedor" numFmtId="0">
      <sharedItems/>
    </cacheField>
    <cacheField name="Cód Rastreamento" numFmtId="0">
      <sharedItems/>
    </cacheField>
    <cacheField name="Qtd" numFmtId="0">
      <sharedItems containsSemiMixedTypes="0" containsString="0" containsNumber="1" containsInteger="1" minValue="1" maxValue="4"/>
    </cacheField>
    <cacheField name="CPF Cliente" numFmtId="1">
      <sharedItems/>
    </cacheField>
    <cacheField name="NOME" numFmtId="0">
      <sharedItems/>
    </cacheField>
    <cacheField name="Telefone" numFmtId="0">
      <sharedItems/>
    </cacheField>
    <cacheField name="Cep" numFmtId="0">
      <sharedItems/>
    </cacheField>
    <cacheField name="Rua" numFmtId="0">
      <sharedItems/>
    </cacheField>
    <cacheField name="Complemento" numFmtId="0">
      <sharedItems/>
    </cacheField>
    <cacheField name="Nome produto" numFmtId="0">
      <sharedItems/>
    </cacheField>
    <cacheField name="SKU" numFmtId="0">
      <sharedItems/>
    </cacheField>
    <cacheField name="Prazo Entrega" numFmtId="14">
      <sharedItems containsSemiMixedTypes="0" containsNonDate="0" containsDate="1" containsString="0" minDate="2024-11-02T00:00:00" maxDate="2025-10-26T00:00:00"/>
    </cacheField>
    <cacheField name="Valor Pedido" numFmtId="44">
      <sharedItems containsSemiMixedTypes="0" containsString="0" containsNumber="1" minValue="14.8" maxValue="123.88"/>
    </cacheField>
    <cacheField name="Valor Bruto" numFmtId="164">
      <sharedItems containsSemiMixedTypes="0" containsString="0" containsNumber="1" minValue="14.8" maxValue="123.88"/>
    </cacheField>
    <cacheField name="Taxa E-Commerce" numFmtId="44">
      <sharedItems containsSemiMixedTypes="0" containsString="0" containsNumber="1" minValue="1.98" maxValue="14.865599999999999"/>
    </cacheField>
    <cacheField name="E-Commerce Líquido" numFmtId="164">
      <sharedItems containsSemiMixedTypes="0" containsString="0" containsNumber="1" minValue="12.58" maxValue="109.01"/>
    </cacheField>
    <cacheField name="Valor Compra" numFmtId="164">
      <sharedItems containsSemiMixedTypes="0" containsString="0" containsNumber="1" minValue="0" maxValue="81.319999999999993"/>
    </cacheField>
    <cacheField name="SMS" numFmtId="164">
      <sharedItems containsSemiMixedTypes="0" containsString="0" containsNumber="1" minValue="0" maxValue="4.0999999999999996"/>
    </cacheField>
    <cacheField name="PROXY" numFmtId="164">
      <sharedItems containsSemiMixedTypes="0" containsString="0" containsNumber="1" minValue="0" maxValue="0.39877104377104378"/>
    </cacheField>
    <cacheField name="Frete" numFmtId="164">
      <sharedItems containsSemiMixedTypes="0" containsString="0" containsNumber="1" containsInteger="1" minValue="0" maxValue="15"/>
    </cacheField>
    <cacheField name="Valor Liquido" numFmtId="164">
      <sharedItems containsSemiMixedTypes="0" containsString="0" containsNumber="1" minValue="-11.578771043771042" maxValue="79.081228956228955"/>
    </cacheField>
    <cacheField name="Liquido Final" numFmtId="164">
      <sharedItems containsSemiMixedTypes="0" containsString="0" containsNumber="1" minValue="-5.7893855218855208" maxValue="74.671228956228958"/>
    </cacheField>
    <cacheField name="Prev. Fat" numFmtId="14">
      <sharedItems containsSemiMixedTypes="0" containsNonDate="0" containsDate="1" containsString="0" minDate="2024-01-14T00:00:00" maxDate="2025-11-02T00:00:00" count="217">
        <d v="2024-12-20T00:00:00"/>
        <d v="2024-12-19T00:00:00"/>
        <d v="2024-12-03T00:00:00"/>
        <d v="2024-12-07T00:00:00"/>
        <d v="2024-11-16T00:00:00"/>
        <d v="2024-11-21T00:00:00"/>
        <d v="2024-11-13T00:00:00"/>
        <d v="2024-11-22T00:00:00"/>
        <d v="2024-11-12T00:00:00"/>
        <d v="2024-11-09T00:00:00"/>
        <d v="2024-11-15T00:00:00"/>
        <d v="2024-11-19T00:00:00"/>
        <d v="2024-11-14T00:00:00"/>
        <d v="2024-11-26T00:00:00"/>
        <d v="2024-12-08T00:00:00"/>
        <d v="2024-11-20T00:00:00"/>
        <d v="2024-11-27T00:00:00"/>
        <d v="2024-12-05T00:00:00"/>
        <d v="2024-11-28T00:00:00"/>
        <d v="2024-11-29T00:00:00"/>
        <d v="2024-12-04T00:00:00"/>
        <d v="2024-11-30T00:00:00"/>
        <d v="2024-12-10T00:00:00"/>
        <d v="2024-12-14T00:00:00"/>
        <d v="2024-12-17T00:00:00"/>
        <d v="2024-12-11T00:00:00"/>
        <d v="2024-12-18T00:00:00"/>
        <d v="2024-12-06T00:00:00"/>
        <d v="2024-12-12T00:00:00"/>
        <d v="2024-12-13T00:00:00"/>
        <d v="2024-12-21T00:00:00"/>
        <d v="2024-12-26T00:00:00"/>
        <d v="2024-12-27T00:00:00"/>
        <d v="2024-12-24T00:00:00"/>
        <d v="2024-12-25T00:00:00"/>
        <d v="2025-01-03T00:00:00"/>
        <d v="2025-01-04T00:00:00"/>
        <d v="2024-12-28T00:00:00"/>
        <d v="2025-01-10T00:00:00"/>
        <d v="2024-12-31T00:00:00"/>
        <d v="2025-01-07T00:00:00"/>
        <d v="2025-01-16T00:00:00"/>
        <d v="2025-01-17T00:00:00"/>
        <d v="2025-01-11T00:00:00"/>
        <d v="2025-01-18T00:00:00"/>
        <d v="2025-01-15T00:00:00"/>
        <d v="2025-01-22T00:00:00"/>
        <d v="2025-01-23T00:00:00"/>
        <d v="2025-01-14T00:00:00"/>
        <d v="2025-01-25T00:00:00"/>
        <d v="2025-01-21T00:00:00"/>
        <d v="2025-01-29T00:00:00"/>
        <d v="2025-01-28T00:00:00"/>
        <d v="2025-02-05T00:00:00"/>
        <d v="2025-01-30T00:00:00"/>
        <d v="2025-01-24T00:00:00"/>
        <d v="2025-02-06T00:00:00"/>
        <d v="2025-01-31T00:00:00"/>
        <d v="2025-02-07T00:00:00"/>
        <d v="2025-02-01T00:00:00"/>
        <d v="2025-02-04T00:00:00"/>
        <d v="2025-02-12T00:00:00"/>
        <d v="2025-02-13T00:00:00"/>
        <d v="2025-02-08T00:00:00"/>
        <d v="2025-02-11T00:00:00"/>
        <d v="2025-02-18T00:00:00"/>
        <d v="2025-02-20T00:00:00"/>
        <d v="2025-02-14T00:00:00"/>
        <d v="2025-02-21T00:00:00"/>
        <d v="2025-02-15T00:00:00"/>
        <d v="2025-02-27T00:00:00"/>
        <d v="2025-02-28T00:00:00"/>
        <d v="2025-02-22T00:00:00"/>
        <d v="2025-02-19T00:00:00"/>
        <d v="2025-02-25T00:00:00"/>
        <d v="2025-02-26T00:00:00"/>
        <d v="2025-03-07T00:00:00"/>
        <d v="2025-03-04T00:00:00"/>
        <d v="2025-03-18T00:00:00"/>
        <d v="2025-03-06T00:00:00"/>
        <d v="2025-03-01T00:00:00"/>
        <d v="2025-03-08T00:00:00"/>
        <d v="2025-03-14T00:00:00"/>
        <d v="2025-03-05T00:00:00"/>
        <d v="2025-02-10T00:00:00"/>
        <d v="2025-03-21T00:00:00"/>
        <d v="2025-03-25T00:00:00"/>
        <d v="2025-03-19T00:00:00"/>
        <d v="2025-03-26T00:00:00"/>
        <d v="2025-03-20T00:00:00"/>
        <d v="2025-03-15T00:00:00"/>
        <d v="2025-03-22T00:00:00"/>
        <d v="2025-03-29T00:00:00"/>
        <d v="2025-04-01T00:00:00"/>
        <d v="2025-03-27T00:00:00"/>
        <d v="2025-04-08T00:00:00"/>
        <d v="2025-04-02T00:00:00"/>
        <d v="2025-04-04T00:00:00"/>
        <d v="2025-04-05T00:00:00"/>
        <d v="2025-04-15T00:00:00"/>
        <d v="2025-04-03T00:00:00"/>
        <d v="2025-04-16T00:00:00"/>
        <d v="2025-03-28T00:00:00"/>
        <d v="2025-04-09T00:00:00"/>
        <d v="2025-04-10T00:00:00"/>
        <d v="2025-04-17T00:00:00"/>
        <d v="2025-04-11T00:00:00"/>
        <d v="2025-04-12T00:00:00"/>
        <d v="2025-04-19T00:00:00"/>
        <d v="2025-04-24T00:00:00"/>
        <d v="2025-04-18T00:00:00"/>
        <d v="2025-04-25T00:00:00"/>
        <d v="2025-04-30T00:00:00"/>
        <d v="2025-05-06T00:00:00"/>
        <d v="2025-05-07T00:00:00"/>
        <d v="2025-05-08T00:00:00"/>
        <d v="2025-05-02T00:00:00"/>
        <d v="2025-05-03T00:00:00"/>
        <d v="2025-05-14T00:00:00"/>
        <d v="2025-05-15T00:00:00"/>
        <d v="2025-05-16T00:00:00"/>
        <d v="2025-05-10T00:00:00"/>
        <d v="2025-05-17T00:00:00"/>
        <d v="2025-05-13T00:00:00"/>
        <d v="2025-05-20T00:00:00"/>
        <d v="2025-05-21T00:00:00"/>
        <d v="2025-05-22T00:00:00"/>
        <d v="2025-05-23T00:00:00"/>
        <d v="2025-05-24T00:00:00"/>
        <d v="2025-05-27T00:00:00"/>
        <d v="2025-05-29T00:00:00"/>
        <d v="2025-05-31T00:00:00"/>
        <d v="2025-06-03T00:00:00"/>
        <d v="2025-05-28T00:00:00"/>
        <d v="2025-06-05T00:00:00"/>
        <d v="2025-05-30T00:00:00"/>
        <d v="2025-06-06T00:00:00"/>
        <d v="2025-06-07T00:00:00"/>
        <d v="2025-06-10T00:00:00"/>
        <d v="2025-06-04T00:00:00"/>
        <d v="2025-06-11T00:00:00"/>
        <d v="2025-06-12T00:00:00"/>
        <d v="2025-06-13T00:00:00"/>
        <d v="2025-06-14T00:00:00"/>
        <d v="2025-06-19T00:00:00"/>
        <d v="2025-06-20T00:00:00"/>
        <d v="2025-06-17T00:00:00"/>
        <d v="2025-06-24T00:00:00"/>
        <d v="2025-06-25T00:00:00"/>
        <d v="2025-06-18T00:00:00"/>
        <d v="2025-06-28T00:00:00"/>
        <d v="2025-07-01T00:00:00"/>
        <d v="2025-07-03T00:00:00"/>
        <d v="2025-06-26T00:00:00"/>
        <d v="2025-07-04T00:00:00"/>
        <d v="2025-07-09T00:00:00"/>
        <d v="2025-07-10T00:00:00"/>
        <d v="2025-07-08T00:00:00"/>
        <d v="2025-07-11T00:00:00"/>
        <d v="2025-07-05T00:00:00"/>
        <d v="2025-07-19T00:00:00"/>
        <d v="2025-07-22T00:00:00"/>
        <d v="2025-07-16T00:00:00"/>
        <d v="2025-07-23T00:00:00"/>
        <d v="2025-07-17T00:00:00"/>
        <d v="2025-07-12T00:00:00"/>
        <d v="2025-07-18T00:00:00"/>
        <d v="2025-07-25T00:00:00"/>
        <d v="2025-07-26T00:00:00"/>
        <d v="2025-07-15T00:00:00"/>
        <d v="2025-07-29T00:00:00"/>
        <d v="2025-07-30T00:00:00"/>
        <d v="2025-07-31T00:00:00"/>
        <d v="2025-07-24T00:00:00"/>
        <d v="2025-08-02T00:00:00"/>
        <d v="2025-08-06T00:00:00"/>
        <d v="2025-08-01T00:00:00"/>
        <d v="2025-08-05T00:00:00"/>
        <d v="2025-08-13T00:00:00"/>
        <d v="2025-08-20T00:00:00"/>
        <d v="2025-08-08T00:00:00"/>
        <d v="2025-08-09T00:00:00"/>
        <d v="2025-08-12T00:00:00"/>
        <d v="2025-08-07T00:00:00"/>
        <d v="2025-08-15T00:00:00"/>
        <d v="2025-08-14T00:00:00"/>
        <d v="2025-08-29T00:00:00"/>
        <d v="2025-08-16T00:00:00"/>
        <d v="2025-08-19T00:00:00"/>
        <d v="2025-08-27T00:00:00"/>
        <d v="2025-08-21T00:00:00"/>
        <d v="2025-08-23T00:00:00"/>
        <d v="2025-09-05T00:00:00"/>
        <d v="2025-09-06T00:00:00"/>
        <d v="2025-09-03T00:00:00"/>
        <d v="2025-09-10T00:00:00"/>
        <d v="2025-09-16T00:00:00"/>
        <d v="2025-09-19T00:00:00"/>
        <d v="2025-09-15T00:00:00"/>
        <d v="2025-10-02T00:00:00"/>
        <d v="2025-09-24T00:00:00"/>
        <d v="2025-09-30T00:00:00"/>
        <d v="2025-09-20T00:00:00"/>
        <d v="2025-09-23T00:00:00"/>
        <d v="2025-09-27T00:00:00"/>
        <d v="2025-10-17T00:00:00"/>
        <d v="2025-10-09T00:00:00"/>
        <d v="2025-10-15T00:00:00"/>
        <d v="2025-10-23T00:00:00"/>
        <d v="2025-10-10T00:00:00"/>
        <d v="2025-10-16T00:00:00"/>
        <d v="2025-10-24T00:00:00"/>
        <d v="2025-11-01T00:00:00"/>
        <d v="2025-10-22T00:00:00"/>
        <d v="2025-10-31T00:00:00"/>
        <d v="2025-09-17T00:00:00" u="1"/>
        <d v="2024-01-14T00:00:00" u="1"/>
      </sharedItems>
    </cacheField>
    <cacheField name="Data Liberação Pagto" numFmtId="14">
      <sharedItems containsDate="1" containsMixedTypes="1" minDate="2024-11-09T00:00:00" maxDate="2025-10-01T00:00:00" count="200">
        <d v="2024-12-20T00:00:00"/>
        <d v="2024-12-19T00:00:00"/>
        <d v="2024-12-03T00:00:00"/>
        <d v="2024-12-07T00:00:00"/>
        <d v="2024-11-16T00:00:00"/>
        <d v="2024-11-21T00:00:00"/>
        <d v="2024-11-13T00:00:00"/>
        <d v="2024-11-22T00:00:00"/>
        <d v="2024-11-12T00:00:00"/>
        <d v="2024-11-09T00:00:00"/>
        <d v="2024-11-15T00:00:00"/>
        <d v="2024-11-19T00:00:00"/>
        <d v="2024-11-14T00:00:00"/>
        <d v="2024-11-26T00:00:00"/>
        <d v="2024-11-20T00:00:00"/>
        <d v="2024-11-27T00:00:00"/>
        <d v="2024-12-05T00:00:00"/>
        <d v="2024-11-28T00:00:00"/>
        <d v="2024-11-29T00:00:00"/>
        <d v="2024-11-30T00:00:00"/>
        <d v="2024-12-04T00:00:00"/>
        <d v="2024-11-17T00:00:00"/>
        <d v="2024-11-25T00:00:00"/>
        <d v="2024-12-17T00:00:00"/>
        <d v="2024-12-09T00:00:00"/>
        <d v="2024-12-10T00:00:00"/>
        <d v="2024-12-14T00:00:00"/>
        <d v="2024-12-11T00:00:00"/>
        <d v="2024-12-18T00:00:00"/>
        <d v="2024-12-06T00:00:00"/>
        <d v="2024-12-12T00:00:00"/>
        <d v="2024-12-13T00:00:00"/>
        <d v="2024-12-21T00:00:00"/>
        <d v="2025-01-09T00:00:00"/>
        <d v="2024-12-26T00:00:00"/>
        <d v="2024-12-27T00:00:00"/>
        <d v="2025-01-03T00:00:00"/>
        <d v="2024-12-24T00:00:00"/>
        <d v="2024-12-25T00:00:00"/>
        <d v="2025-01-04T00:00:00"/>
        <d v="2024-12-28T00:00:00"/>
        <d v="2025-01-10T00:00:00"/>
        <d v="2024-12-31T00:00:00"/>
        <d v="2025-01-07T00:00:00"/>
        <d v="2025-01-16T00:00:00"/>
        <d v="2025-01-17T00:00:00"/>
        <d v="2025-01-11T00:00:00"/>
        <d v="2025-01-18T00:00:00"/>
        <d v="2025-01-15T00:00:00"/>
        <d v="2025-01-22T00:00:00"/>
        <d v="2025-01-23T00:00:00"/>
        <d v="2025-01-14T00:00:00"/>
        <d v="2025-01-25T00:00:00"/>
        <d v="2025-01-21T00:00:00"/>
        <d v="2025-01-29T00:00:00"/>
        <d v="2025-01-28T00:00:00"/>
        <d v="2025-02-05T00:00:00"/>
        <d v="2025-01-30T00:00:00"/>
        <d v="2025-01-24T00:00:00"/>
        <d v="2025-02-06T00:00:00"/>
        <d v="2025-01-31T00:00:00"/>
        <d v="2025-02-07T00:00:00"/>
        <d v="2025-02-01T00:00:00"/>
        <d v="2025-02-04T00:00:00"/>
        <d v="2025-02-12T00:00:00"/>
        <d v="2025-02-13T00:00:00"/>
        <d v="2025-02-08T00:00:00"/>
        <d v="2025-02-11T00:00:00"/>
        <d v="2025-02-18T00:00:00"/>
        <d v="2025-02-20T00:00:00"/>
        <d v="2025-02-14T00:00:00"/>
        <d v="2025-02-21T00:00:00"/>
        <d v="2025-02-15T00:00:00"/>
        <d v="2025-02-27T00:00:00"/>
        <d v="2025-02-28T00:00:00"/>
        <d v="2025-02-22T00:00:00"/>
        <d v="2025-02-19T00:00:00"/>
        <d v="2025-02-25T00:00:00"/>
        <d v="2025-02-26T00:00:00"/>
        <d v="2025-03-07T00:00:00"/>
        <d v="2025-03-04T00:00:00"/>
        <d v="2025-03-18T00:00:00"/>
        <d v="2025-03-06T00:00:00"/>
        <d v="2025-03-01T00:00:00"/>
        <d v="2025-03-08T00:00:00"/>
        <d v="2025-03-14T00:00:00"/>
        <d v="2025-03-05T00:00:00"/>
        <d v="2025-02-10T00:00:00"/>
        <d v="2025-03-21T00:00:00"/>
        <d v="2025-03-25T00:00:00"/>
        <d v="2025-03-19T00:00:00"/>
        <d v="2025-03-26T00:00:00"/>
        <d v="2025-03-20T00:00:00"/>
        <d v="2025-03-15T00:00:00"/>
        <d v="2025-03-22T00:00:00"/>
        <d v="2025-03-29T00:00:00"/>
        <d v="2025-04-01T00:00:00"/>
        <d v="2025-03-27T00:00:00"/>
        <d v="2025-04-08T00:00:00"/>
        <d v="2025-04-02T00:00:00"/>
        <d v="2025-04-04T00:00:00"/>
        <d v="2025-04-05T00:00:00"/>
        <d v="2025-04-15T00:00:00"/>
        <d v="2025-04-03T00:00:00"/>
        <d v="2025-04-16T00:00:00"/>
        <d v="2025-03-28T00:00:00"/>
        <d v="2025-04-09T00:00:00"/>
        <d v="2025-04-10T00:00:00"/>
        <d v="2025-04-17T00:00:00"/>
        <d v="2025-04-11T00:00:00"/>
        <d v="2025-04-12T00:00:00"/>
        <d v="2025-04-19T00:00:00"/>
        <d v="2025-04-24T00:00:00"/>
        <d v="2025-04-18T00:00:00"/>
        <d v="2025-04-25T00:00:00"/>
        <d v="2025-04-30T00:00:00"/>
        <d v="2025-05-06T00:00:00"/>
        <d v="2025-05-07T00:00:00"/>
        <d v="2025-05-08T00:00:00"/>
        <d v="2025-05-02T00:00:00"/>
        <d v="2025-05-03T00:00:00"/>
        <d v="2025-05-14T00:00:00"/>
        <d v="2025-05-15T00:00:00"/>
        <d v="2025-05-16T00:00:00"/>
        <d v="2025-05-10T00:00:00"/>
        <d v="2025-05-17T00:00:00"/>
        <d v="2025-05-13T00:00:00"/>
        <d v="2025-05-20T00:00:00"/>
        <d v="2025-05-21T00:00:00"/>
        <d v="2025-05-22T00:00:00"/>
        <d v="2025-05-23T00:00:00"/>
        <d v="2025-05-24T00:00:00"/>
        <d v="2025-05-27T00:00:00"/>
        <d v="2025-05-29T00:00:00"/>
        <d v="2025-05-31T00:00:00"/>
        <d v="2025-06-03T00:00:00"/>
        <d v="2025-05-28T00:00:00"/>
        <d v="2025-06-05T00:00:00"/>
        <d v="2025-05-30T00:00:00"/>
        <d v="2025-06-06T00:00:00"/>
        <d v="2025-06-07T00:00:00"/>
        <d v="2025-06-10T00:00:00"/>
        <d v="2025-06-04T00:00:00"/>
        <d v="2025-06-11T00:00:00"/>
        <d v="2025-06-12T00:00:00"/>
        <d v="2025-06-13T00:00:00"/>
        <d v="2025-06-14T00:00:00"/>
        <d v="2025-06-19T00:00:00"/>
        <d v="2025-06-20T00:00:00"/>
        <d v="2025-06-17T00:00:00"/>
        <d v="2025-06-24T00:00:00"/>
        <d v="2025-06-25T00:00:00"/>
        <d v="2025-06-18T00:00:00"/>
        <d v="2025-06-28T00:00:00"/>
        <d v="2025-07-01T00:00:00"/>
        <d v="2025-07-03T00:00:00"/>
        <d v="2025-06-26T00:00:00"/>
        <d v="2025-07-04T00:00:00"/>
        <d v="2025-07-09T00:00:00"/>
        <d v="2025-07-10T00:00:00"/>
        <d v="2025-07-08T00:00:00"/>
        <d v="2025-07-11T00:00:00"/>
        <d v="2025-07-05T00:00:00"/>
        <d v="2025-07-19T00:00:00"/>
        <d v="2025-07-22T00:00:00"/>
        <d v="2025-07-18T00:00:00"/>
        <d v="2025-07-23T00:00:00"/>
        <d v="2025-07-12T00:00:00"/>
        <d v="2025-07-25T00:00:00"/>
        <d v="2025-07-26T00:00:00"/>
        <d v="2025-07-15T00:00:00"/>
        <d v="2025-07-29T00:00:00"/>
        <d v="2025-07-30T00:00:00"/>
        <d v="2025-07-31T00:00:00"/>
        <d v="2025-07-24T00:00:00"/>
        <d v="2025-08-02T00:00:00"/>
        <d v="2025-08-06T00:00:00"/>
        <d v="2025-08-01T00:00:00"/>
        <d v="2025-08-05T00:00:00"/>
        <d v="2025-08-13T00:00:00"/>
        <d v="2025-08-20T00:00:00"/>
        <d v="2025-08-08T00:00:00"/>
        <d v="2025-08-09T00:00:00"/>
        <d v="2025-08-12T00:00:00"/>
        <d v="2025-08-07T00:00:00"/>
        <d v="2025-08-15T00:00:00"/>
        <d v="2025-08-14T00:00:00"/>
        <d v="2025-08-29T00:00:00"/>
        <d v="2025-08-16T00:00:00"/>
        <d v="2025-08-19T00:00:00"/>
        <d v="2025-08-27T00:00:00"/>
        <d v="2025-08-21T00:00:00"/>
        <d v="2025-08-23T00:00:00"/>
        <d v="2025-09-05T00:00:00"/>
        <d v="2025-09-06T00:00:00"/>
        <d v="2025-09-03T00:00:00"/>
        <d v="2025-09-10T00:00:00"/>
        <d v="2025-09-30T00:00:00"/>
        <d v="2025-09-15T00:00:00"/>
        <s v="-"/>
      </sharedItems>
    </cacheField>
    <cacheField name="Data Fechamento" numFmtId="14">
      <sharedItems containsDate="1" containsMixedTypes="1" minDate="2024-11-13T00:00:00" maxDate="2025-12-01T00:00:00" count="34">
        <d v="2024-12-25T00:00:00"/>
        <d v="2024-12-11T00:00:00"/>
        <d v="2024-11-21T00:00:00"/>
        <d v="2024-11-13T00:00:00"/>
        <d v="2024-11-22T00:00:00"/>
        <d v="2024-11-30T00:00:00"/>
        <d v="2024-11-29T00:00:00"/>
        <d v="2024-12-14T00:00:00"/>
        <d v="2024-12-30T00:00:00"/>
        <d v="2025-01-08T00:00:00"/>
        <d v="2025-01-16T00:00:00"/>
        <d v="2025-01-17T00:00:00"/>
        <d v="2025-01-22T00:00:00"/>
        <d v="2025-01-31T00:00:00"/>
        <d v="2025-02-05T00:00:00"/>
        <d v="2025-02-06T00:00:00"/>
        <d v="2025-02-11T00:00:00"/>
        <d v="2025-02-14T00:00:00"/>
        <d v="2025-03-05T00:00:00"/>
        <d v="2025-03-14T00:00:00"/>
        <d v="2025-03-31T00:00:00"/>
        <d v="2025-03-15T00:00:00"/>
        <d v="2025-04-15T00:00:00"/>
        <d v="2025-05-02T00:00:00"/>
        <d v="2025-05-16T00:00:00"/>
        <d v="2025-05-30T00:00:00"/>
        <d v="2025-06-16T00:00:00"/>
        <d v="2025-06-30T00:00:00"/>
        <d v="2025-07-15T00:00:00"/>
        <d v="2025-08-01T00:00:00"/>
        <d v="2025-08-18T00:00:00"/>
        <d v="2025-09-15T00:00:00"/>
        <s v="-"/>
        <d v="2025-11-30T00:00:00" u="1"/>
      </sharedItems>
    </cacheField>
    <cacheField name="Data Depósito" numFmtId="14">
      <sharedItems containsDate="1" containsMixedTypes="1" minDate="2024-11-22T00:00:00" maxDate="2025-09-16T00:00:00"/>
    </cacheField>
    <cacheField name="Mês Faturamento" numFmtId="14">
      <sharedItems count="14">
        <s v="2024 12"/>
        <s v="2024 11"/>
        <s v="2025 01"/>
        <s v="2025 02"/>
        <s v="2025 03"/>
        <s v="2025 04"/>
        <s v="2025 05"/>
        <s v="2025 06"/>
        <s v="2025 07"/>
        <s v="2025 08"/>
        <s v="2025 09"/>
        <s v="2025 10"/>
        <s v="2025 11"/>
        <s v="- -" u="1"/>
      </sharedItems>
    </cacheField>
    <cacheField name="Fechamento" numFmtId="0">
      <sharedItems count="8">
        <s v="Aguardando Liberação"/>
        <s v="Faturado" u="1"/>
        <s v="Aguardando Pix" u="1"/>
        <s v="Em processamento" u="1"/>
        <s v="Pendente" u="1"/>
        <s v="Não enviado" u="1"/>
        <s v="Aguardando Compra" u="1"/>
        <e v="#N/A" u="1"/>
      </sharedItems>
    </cacheField>
    <cacheField name="Mês" numFmtId="0">
      <sharedItems count="21">
        <s v="- -"/>
        <s v="2024 10"/>
        <s v="2024 11"/>
        <s v="2024 12"/>
        <s v="2025 01"/>
        <s v="2025 02"/>
        <s v="2025 03"/>
        <s v="2025 04"/>
        <s v="2025 05"/>
        <s v="2025 06"/>
        <s v="2025 07"/>
        <s v="2025 08"/>
        <s v="2025 09"/>
        <s v="Desconsiderar Desconsiderar" u="1"/>
        <s v="Novembro" u="1"/>
        <s v="Outubro" u="1"/>
        <s v="Dezembro" u="1"/>
        <s v="Janeiro" u="1"/>
        <s v="Fevereiro" u="1"/>
        <s v="-" u="1"/>
        <s v="Setembro" u="1"/>
      </sharedItems>
    </cacheField>
    <cacheField name="Status Entrega" numFmtId="14">
      <sharedItems/>
    </cacheField>
    <cacheField name="Data Entrega" numFmtId="14">
      <sharedItems containsDate="1" containsMixedTypes="1" minDate="2024-10-24T00:00:00" maxDate="2025-08-28T00:00:00"/>
    </cacheField>
    <cacheField name="Data Reembolso" numFmtId="14">
      <sharedItems containsDate="1" containsMixedTypes="1" minDate="2024-10-24T00:00:00" maxDate="2025-08-05T00:00:00" count="131">
        <s v="-"/>
        <d v="2024-11-08T00:00:00" u="1"/>
        <d v="2024-11-03T00:00:00" u="1"/>
        <d v="2024-11-01T00:00:00" u="1"/>
        <d v="2024-10-26T00:00:00" u="1"/>
        <d v="2024-10-24T00:00:00" u="1"/>
        <d v="2024-11-21T00:00:00" u="1"/>
        <d v="2024-11-29T00:00:00" u="1"/>
        <d v="2024-11-17T00:00:00" u="1"/>
        <d v="2024-11-25T00:00:00" u="1"/>
        <d v="2024-11-20T00:00:00" u="1"/>
        <d v="2024-12-16T00:00:00" u="1"/>
        <d v="2024-11-22T00:00:00" u="1"/>
        <d v="2024-11-13T00:00:00" u="1"/>
        <d v="2024-12-09T00:00:00" u="1"/>
        <d v="2024-11-26T00:00:00" u="1"/>
        <d v="2024-12-19T00:00:00" u="1"/>
        <d v="2025-01-09T00:00:00" u="1"/>
        <d v="2024-12-13T00:00:00" u="1"/>
        <d v="2024-11-14T00:00:00" u="1"/>
        <d v="2025-01-22T00:00:00" u="1"/>
        <d v="2024-11-28T00:00:00" u="1"/>
        <d v="2025-01-03T00:00:00" u="1"/>
        <d v="2024-12-03T00:00:00" u="1"/>
        <d v="2024-11-27T00:00:00" u="1"/>
        <d v="2025-01-01T00:00:00" u="1"/>
        <d v="2024-12-15T00:00:00" u="1"/>
        <d v="2024-12-06T00:00:00" u="1"/>
        <d v="2025-01-06T00:00:00" u="1"/>
        <d v="2025-01-10T00:00:00" u="1"/>
        <d v="2025-01-24T00:00:00" u="1"/>
        <d v="2025-01-13T00:00:00" u="1"/>
        <d v="2025-01-15T00:00:00" u="1"/>
        <d v="2024-12-30T00:00:00" u="1"/>
        <d v="2024-12-27T00:00:00" u="1"/>
        <d v="2025-01-23T00:00:00" u="1"/>
        <d v="2025-01-02T00:00:00" u="1"/>
        <d v="2025-01-08T00:00:00" u="1"/>
        <d v="2025-02-11T00:00:00" u="1"/>
        <d v="2025-02-12T00:00:00" u="1"/>
        <d v="2025-02-04T00:00:00" u="1"/>
        <d v="2025-02-05T00:00:00" u="1"/>
        <d v="2025-03-07T00:00:00" u="1"/>
        <d v="2025-02-21T00:00:00" u="1"/>
        <d v="2025-02-09T00:00:00" u="1"/>
        <d v="2025-03-13T00:00:00" u="1"/>
        <d v="2025-02-28T00:00:00" u="1"/>
        <d v="2025-02-20T00:00:00" u="1"/>
        <d v="2025-02-18T00:00:00" u="1"/>
        <d v="2025-03-12T00:00:00" u="1"/>
        <d v="2025-03-06T00:00:00" u="1"/>
        <d v="2025-03-21T00:00:00" u="1"/>
        <d v="2025-03-20T00:00:00" u="1"/>
        <d v="2025-03-18T00:00:00" u="1"/>
        <d v="2025-03-26T00:00:00" u="1"/>
        <d v="2025-03-31T00:00:00" u="1"/>
        <d v="2025-04-01T00:00:00" u="1"/>
        <d v="2025-03-24T00:00:00" u="1"/>
        <d v="2025-04-02T00:00:00" u="1"/>
        <d v="2025-04-21T00:00:00" u="1"/>
        <d v="2025-04-15T00:00:00" u="1"/>
        <d v="2025-04-04T00:00:00" u="1"/>
        <d v="2025-04-07T00:00:00" u="1"/>
        <d v="2025-03-10T00:00:00" u="1"/>
        <d v="2025-03-22T00:00:00" u="1"/>
        <d v="2025-04-08T00:00:00" u="1"/>
        <d v="2025-04-10T00:00:00" u="1"/>
        <d v="2025-03-25T00:00:00" u="1"/>
        <d v="2025-03-19T00:00:00" u="1"/>
        <d v="2025-03-27T00:00:00" u="1"/>
        <d v="2025-04-23T00:00:00" u="1"/>
        <d v="2025-04-18T00:00:00" u="1"/>
        <d v="2025-03-28T00:00:00" u="1"/>
        <d v="2025-04-03T00:00:00" u="1"/>
        <d v="2025-05-06T00:00:00" u="1"/>
        <d v="2025-04-11T00:00:00" u="1"/>
        <d v="2025-04-13T00:00:00" u="1"/>
        <d v="2025-04-28T00:00:00" u="1"/>
        <d v="2025-05-02T00:00:00" u="1"/>
        <d v="2025-05-19T00:00:00" u="1"/>
        <d v="2025-05-14T00:00:00" u="1"/>
        <d v="2025-05-16T00:00:00" u="1"/>
        <d v="2025-04-12T00:00:00" u="1"/>
        <d v="2025-05-12T00:00:00" u="1"/>
        <d v="2025-05-26T00:00:00" u="1"/>
        <d v="2025-04-17T00:00:00" u="1"/>
        <d v="2025-05-13T00:00:00" u="1"/>
        <d v="2025-05-08T00:00:00" u="1"/>
        <d v="2025-05-21T00:00:00" u="1"/>
        <d v="2025-04-22T00:00:00" u="1"/>
        <d v="2025-04-24T00:00:00" u="1"/>
        <d v="2025-06-02T00:00:00" u="1"/>
        <d v="2025-05-23T00:00:00" u="1"/>
        <d v="2025-05-29T00:00:00" u="1"/>
        <d v="2025-05-18T00:00:00" u="1"/>
        <d v="2025-05-15T00:00:00" u="1"/>
        <d v="2025-06-07T00:00:00" u="1"/>
        <d v="2025-05-05T00:00:00" u="1"/>
        <d v="2025-06-09T00:00:00" u="1"/>
        <d v="2025-06-14T00:00:00" u="1"/>
        <d v="2025-05-20T00:00:00" u="1"/>
        <d v="2025-05-17T00:00:00" u="1"/>
        <d v="2025-06-08T00:00:00" u="1"/>
        <d v="2025-05-31T00:00:00" u="1"/>
        <d v="2025-06-26T00:00:00" u="1"/>
        <d v="2025-04-30T00:00:00" u="1"/>
        <d v="2025-05-07T00:00:00" u="1"/>
        <d v="2025-05-22T00:00:00" u="1"/>
        <d v="2025-06-11T00:00:00" u="1"/>
        <d v="2025-06-24T00:00:00" u="1"/>
        <d v="2025-06-10T00:00:00" u="1"/>
        <d v="2025-05-27T00:00:00" u="1"/>
        <d v="2025-06-23T00:00:00" u="1"/>
        <d v="2025-05-30T00:00:00" u="1"/>
        <d v="2025-06-25T00:00:00" u="1"/>
        <d v="2025-06-20T00:00:00" u="1"/>
        <d v="2025-06-22T00:00:00" u="1"/>
        <d v="2025-07-06T00:00:00" u="1"/>
        <d v="2025-07-01T00:00:00" u="1"/>
        <d v="2025-07-23T00:00:00" u="1"/>
        <d v="2025-07-18T00:00:00" u="1"/>
        <d v="2025-06-18T00:00:00" u="1"/>
        <d v="2025-07-24T00:00:00" u="1"/>
        <d v="2025-06-30T00:00:00" u="1"/>
        <d v="2025-07-02T00:00:00" u="1"/>
        <d v="2025-07-03T00:00:00" u="1"/>
        <d v="2025-07-29T00:00:00" u="1"/>
        <d v="2025-07-21T00:00:00" u="1"/>
        <d v="2025-08-04T00:00:00" u="1"/>
        <d v="2025-08-01T00:00:00" u="1"/>
        <d v="2025-07-15T00:00:00" u="1"/>
      </sharedItems>
    </cacheField>
    <cacheField name="Fornecedor Reembolsou?" numFmtId="14">
      <sharedItems containsBlank="1"/>
    </cacheField>
    <cacheField name="Taxa Amazon Reembolso" numFmtId="44">
      <sharedItems containsSemiMixedTypes="0" containsString="0" containsNumber="1" minValue="0" maxValue="22.56"/>
    </cacheField>
    <cacheField name="Ferramentas Externas" numFmtId="44">
      <sharedItems containsSemiMixedTypes="0" containsString="0" containsNumber="1" containsInteger="1" minValue="0" maxValue="0"/>
    </cacheField>
    <cacheField name="VPN" numFmtId="44">
      <sharedItems containsMixedTypes="1" containsNumber="1" minValue="0" maxValue="0.4" longText="1"/>
    </cacheField>
    <cacheField name="Custo Compra" numFmtId="44">
      <sharedItems containsSemiMixedTypes="0" containsString="0" containsNumber="1" minValue="0" maxValue="45.29"/>
    </cacheField>
    <cacheField name="Valor Ocorrência" numFmtId="44">
      <sharedItems containsSemiMixedTypes="0" containsString="0" containsNumber="1" minValue="0" maxValue="45.29"/>
    </cacheField>
  </cacheFields>
  <extLst>
    <ext xmlns:x14="http://schemas.microsoft.com/office/spreadsheetml/2009/9/main" uri="{725AE2AE-9491-48be-B2B4-4EB974FC3084}">
      <x14:pivotCacheDefinition pivotCacheId="197843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2">
  <r>
    <s v="BV"/>
    <s v="BV-"/>
    <s v="Pedido 1"/>
    <d v="2024-12-01T00:00:00"/>
    <s v="-"/>
    <s v="-"/>
    <s v="-"/>
    <n v="1"/>
    <s v="CPF 1"/>
    <s v="Nome 1"/>
    <s v="Tel 1"/>
    <s v="Cep 1"/>
    <s v="Rua 1"/>
    <s v="Comp 1"/>
    <x v="0"/>
    <s v="16-4EDB-WMZF"/>
    <d v="2024-12-13T00:00:00"/>
    <n v="14.8"/>
    <n v="14.8"/>
    <n v="2.2200000000000002"/>
    <n v="12.58"/>
    <n v="0"/>
    <n v="0"/>
    <n v="0"/>
    <n v="0"/>
    <n v="12.58"/>
    <n v="6.29"/>
    <d v="2024-12-20T00:00:00"/>
    <d v="2024-12-20T00:00:00"/>
    <d v="2024-12-25T00:00:00"/>
    <d v="2025-01-02T00:00:00"/>
    <s v="2024 12"/>
    <s v="Aguardando Liberação"/>
    <s v="- -"/>
    <s v="-"/>
    <s v="-"/>
    <s v="-"/>
    <s v="NÃO"/>
    <n v="0"/>
    <n v="0"/>
    <n v="0"/>
    <n v="0"/>
    <n v="0"/>
  </r>
  <r>
    <s v="BV"/>
    <s v="BV-"/>
    <s v="Pedido 2"/>
    <d v="2024-12-01T00:00:00"/>
    <s v="-"/>
    <s v="-"/>
    <s v="-"/>
    <n v="1"/>
    <s v="CPF 2"/>
    <s v="Nome 2"/>
    <s v="Tel 2"/>
    <s v="Cep 2"/>
    <s v="Rua 2"/>
    <s v="Comp 2"/>
    <x v="0"/>
    <s v="16-4EDB-WMZF"/>
    <d v="2024-12-12T00:00:00"/>
    <n v="14.8"/>
    <n v="14.8"/>
    <n v="2.2200000000000002"/>
    <n v="12.58"/>
    <n v="0"/>
    <n v="0"/>
    <n v="0"/>
    <n v="0"/>
    <n v="12.58"/>
    <n v="6.29"/>
    <d v="2024-12-19T00:00:00"/>
    <d v="2024-12-19T00:00:00"/>
    <d v="2024-12-25T00:00:00"/>
    <d v="2025-01-02T00:00:00"/>
    <s v="2024 12"/>
    <s v="Aguardando Liberação"/>
    <s v="- -"/>
    <s v="-"/>
    <s v="-"/>
    <s v="-"/>
    <s v="NÃO"/>
    <n v="0"/>
    <n v="0"/>
    <n v="0"/>
    <n v="0"/>
    <n v="0"/>
  </r>
  <r>
    <s v="BV"/>
    <s v="BV-"/>
    <s v="Pedido 3"/>
    <d v="2024-12-01T00:00:00"/>
    <s v="-"/>
    <s v="-"/>
    <s v="-"/>
    <n v="1"/>
    <s v="CPF 3"/>
    <s v="Nome 3"/>
    <s v="Tel 3"/>
    <s v="Cep 3"/>
    <s v="Rua 3"/>
    <s v="Comp 3"/>
    <x v="1"/>
    <s v="CK-YL6M-P5Y6"/>
    <d v="2024-11-26T00:00:00"/>
    <n v="30.99"/>
    <n v="30.99"/>
    <n v="4.0286999999999997"/>
    <n v="26.96"/>
    <n v="0"/>
    <n v="0"/>
    <n v="0"/>
    <n v="0"/>
    <n v="26.96"/>
    <n v="13.48"/>
    <d v="2024-12-03T00:00:00"/>
    <d v="2024-12-03T00:00:00"/>
    <d v="2024-12-11T00:00:00"/>
    <d v="2024-12-16T00:00:00"/>
    <s v="2024 12"/>
    <s v="Aguardando Liberação"/>
    <s v="- -"/>
    <s v="-"/>
    <s v="-"/>
    <s v="-"/>
    <s v="NÃO"/>
    <n v="0.81"/>
    <n v="0"/>
    <n v="0"/>
    <n v="0"/>
    <n v="0.81"/>
  </r>
  <r>
    <s v="BV"/>
    <s v="BV-"/>
    <s v="Pedido 4"/>
    <d v="2024-12-01T00:00:00"/>
    <s v="-"/>
    <s v="-"/>
    <s v="-"/>
    <n v="1"/>
    <s v="CPF 4"/>
    <s v="Nome 4"/>
    <s v="Tel 4"/>
    <s v="Cep 4"/>
    <s v="Rua 4"/>
    <s v="Comp 4"/>
    <x v="2"/>
    <s v="DJ-RO5O-43GF"/>
    <d v="2024-11-30T00:00:00"/>
    <n v="16.5"/>
    <n v="16.5"/>
    <n v="2.31"/>
    <n v="14.19"/>
    <n v="0"/>
    <n v="0"/>
    <n v="0"/>
    <n v="0"/>
    <n v="14.19"/>
    <n v="7.0949999999999998"/>
    <d v="2024-12-07T00:00:00"/>
    <d v="2024-12-07T00:00:00"/>
    <d v="2024-12-11T00:00:00"/>
    <d v="2024-12-16T00:00:00"/>
    <s v="2024 12"/>
    <s v="Aguardando Liberação"/>
    <s v="- -"/>
    <s v="-"/>
    <s v="-"/>
    <s v="-"/>
    <s v="NÃO"/>
    <n v="0.46"/>
    <n v="0"/>
    <n v="0"/>
    <n v="0"/>
    <n v="0.46"/>
  </r>
  <r>
    <s v="BV"/>
    <s v="BV-"/>
    <s v="Pedido 5"/>
    <d v="2024-12-01T00:00:00"/>
    <s v="-"/>
    <s v="-"/>
    <s v="-"/>
    <n v="1"/>
    <s v="CPF 5"/>
    <s v="Nome 5"/>
    <s v="Tel 5"/>
    <s v="Cep 5"/>
    <s v="Rua 5"/>
    <s v="Comp 5"/>
    <x v="2"/>
    <s v="DJ-RO5O-43GF"/>
    <d v="2024-11-09T00:00:00"/>
    <n v="16.989999999999998"/>
    <n v="16.989999999999998"/>
    <n v="2.3786"/>
    <n v="14.61"/>
    <n v="0"/>
    <n v="0"/>
    <n v="0"/>
    <n v="0"/>
    <n v="14.61"/>
    <n v="7.3049999999999997"/>
    <d v="2024-11-16T00:00:00"/>
    <d v="2024-11-16T00:00:00"/>
    <d v="2024-11-21T00:00:00"/>
    <d v="2024-11-22T00:00:00"/>
    <s v="2024 11"/>
    <s v="Aguardando Liberação"/>
    <s v="- -"/>
    <s v="-"/>
    <s v="-"/>
    <s v="-"/>
    <s v="NÃO"/>
    <n v="0.48"/>
    <n v="0"/>
    <n v="0"/>
    <n v="0"/>
    <n v="0.48"/>
  </r>
  <r>
    <s v="BV"/>
    <s v="BV-"/>
    <s v="Pedido 6"/>
    <d v="2024-12-01T00:00:00"/>
    <s v="-"/>
    <s v="-"/>
    <s v="-"/>
    <n v="1"/>
    <s v="CPF 6"/>
    <s v="Nome 6"/>
    <s v="Tel 6"/>
    <s v="Cep 6"/>
    <s v="Rua 6"/>
    <s v="Comp 6"/>
    <x v="1"/>
    <s v="CK-YL6M-P5Y6"/>
    <d v="2024-11-14T00:00:00"/>
    <n v="31.99"/>
    <n v="31.99"/>
    <n v="4.1586999999999996"/>
    <n v="27.83"/>
    <n v="0"/>
    <n v="0"/>
    <n v="0"/>
    <n v="0"/>
    <n v="27.83"/>
    <n v="13.914999999999999"/>
    <d v="2024-11-21T00:00:00"/>
    <d v="2024-11-21T00:00:00"/>
    <d v="2024-11-21T00:00:00"/>
    <d v="2024-11-22T00:00:00"/>
    <s v="2024 11"/>
    <s v="Aguardando Liberação"/>
    <s v="- -"/>
    <s v="-"/>
    <s v="-"/>
    <s v="-"/>
    <s v="NÃO"/>
    <n v="0.83"/>
    <n v="0"/>
    <n v="0"/>
    <n v="0"/>
    <n v="0.83"/>
  </r>
  <r>
    <s v="BV"/>
    <s v="BV-"/>
    <s v="Pedido 7"/>
    <d v="2024-12-01T00:00:00"/>
    <s v="-"/>
    <s v="-"/>
    <s v="-"/>
    <n v="1"/>
    <s v="CPF 7"/>
    <s v="Nome 7"/>
    <s v="Tel 7"/>
    <s v="Cep 7"/>
    <s v="Rua 7"/>
    <s v="Comp 7"/>
    <x v="3"/>
    <s v="IF-G2ZQ-79FO"/>
    <d v="2024-11-14T00:00:00"/>
    <n v="59.99"/>
    <n v="59.99"/>
    <n v="7.7987000000000002"/>
    <n v="52.19"/>
    <n v="0"/>
    <n v="0"/>
    <n v="0"/>
    <n v="0"/>
    <n v="52.19"/>
    <n v="26.094999999999999"/>
    <d v="2024-11-21T00:00:00"/>
    <d v="2024-11-21T00:00:00"/>
    <d v="2024-11-21T00:00:00"/>
    <d v="2024-11-22T00:00:00"/>
    <s v="2024 11"/>
    <s v="Aguardando Liberação"/>
    <s v="- -"/>
    <s v="-"/>
    <s v="-"/>
    <s v="-"/>
    <s v="NÃO"/>
    <n v="1.56"/>
    <n v="0"/>
    <n v="0"/>
    <n v="0"/>
    <n v="1.56"/>
  </r>
  <r>
    <s v="BV"/>
    <s v="BV-"/>
    <s v="Pedido 8"/>
    <d v="2024-12-01T00:00:00"/>
    <s v="-"/>
    <s v="-"/>
    <s v="-"/>
    <n v="1"/>
    <s v="CPF 8"/>
    <s v="Nome 8"/>
    <s v="Tel 8"/>
    <s v="Cep 8"/>
    <s v="Rua 8"/>
    <s v="Comp 8"/>
    <x v="1"/>
    <s v="CK-YL6M-P5Y6"/>
    <d v="2024-11-06T00:00:00"/>
    <n v="26.99"/>
    <n v="26.99"/>
    <n v="3.5086999999999997"/>
    <n v="23.48"/>
    <n v="0"/>
    <n v="0"/>
    <n v="0"/>
    <n v="0"/>
    <n v="23.48"/>
    <n v="11.74"/>
    <d v="2024-11-13T00:00:00"/>
    <d v="2024-11-13T00:00:00"/>
    <d v="2024-11-13T00:00:00"/>
    <d v="2024-11-22T00:00:00"/>
    <s v="2024 11"/>
    <s v="Aguardando Liberação"/>
    <s v="- -"/>
    <s v="-"/>
    <s v="-"/>
    <s v="-"/>
    <s v="NÃO"/>
    <n v="0.7"/>
    <n v="0"/>
    <n v="0"/>
    <n v="0"/>
    <n v="0.7"/>
  </r>
  <r>
    <s v="BV"/>
    <s v="BV-"/>
    <s v="Pedido 9"/>
    <d v="2024-12-01T00:00:00"/>
    <s v="-"/>
    <s v="-"/>
    <s v="-"/>
    <n v="1"/>
    <s v="CPF 9"/>
    <s v="Nome 9"/>
    <s v="Tel 9"/>
    <s v="Cep 9"/>
    <s v="Rua 9"/>
    <s v="Comp 9"/>
    <x v="0"/>
    <s v="16-4EDB-WMZF"/>
    <d v="2024-11-15T00:00:00"/>
    <n v="14.99"/>
    <n v="14.99"/>
    <n v="2.2484999999999999"/>
    <n v="12.74"/>
    <n v="0"/>
    <n v="0"/>
    <n v="0"/>
    <n v="0"/>
    <n v="12.74"/>
    <n v="6.37"/>
    <d v="2024-11-22T00:00:00"/>
    <d v="2024-11-22T00:00:00"/>
    <d v="2024-11-22T00:00:00"/>
    <d v="2024-11-29T00:00:00"/>
    <s v="2024 11"/>
    <s v="Aguardando Liberação"/>
    <s v="- -"/>
    <s v="-"/>
    <s v="-"/>
    <s v="-"/>
    <s v="NÃO"/>
    <n v="0"/>
    <n v="0"/>
    <n v="0"/>
    <n v="0"/>
    <n v="0"/>
  </r>
  <r>
    <s v="BV"/>
    <s v="BV45585"/>
    <s v="Pedido 10"/>
    <d v="2024-10-20T00:00:00"/>
    <d v="2024-10-20T00:00:00"/>
    <s v="PedidoF1"/>
    <s v="CódRastreio1"/>
    <n v="1"/>
    <s v="CPF 10"/>
    <s v="Nome 10"/>
    <s v="Tel 10"/>
    <s v="Cep 10"/>
    <s v="Rua 10"/>
    <s v="Comp 10"/>
    <x v="0"/>
    <s v="16-4EDB-WMZF"/>
    <d v="2024-11-05T00:00:00"/>
    <n v="14.99"/>
    <n v="14.99"/>
    <n v="2.2484999999999999"/>
    <n v="12.74"/>
    <n v="4.99"/>
    <n v="0.6"/>
    <n v="0.39877104377104378"/>
    <n v="0"/>
    <n v="6.7512289562289567"/>
    <n v="3.3756144781144783"/>
    <d v="2024-11-12T00:00:00"/>
    <d v="2024-11-12T00:00:00"/>
    <d v="2024-11-13T00:00:00"/>
    <d v="2024-11-22T00:00:00"/>
    <s v="2024 11"/>
    <s v="Aguardando Liberação"/>
    <s v="2024 10"/>
    <s v="ENTREGUE"/>
    <d v="2024-10-29T00:00:00"/>
    <s v="-"/>
    <s v="-"/>
    <n v="0"/>
    <n v="0"/>
    <n v="0"/>
    <n v="0"/>
    <n v="0"/>
  </r>
  <r>
    <s v="BV"/>
    <s v="BV45586"/>
    <s v="Pedido 11"/>
    <d v="2024-10-21T00:00:00"/>
    <d v="2024-10-21T00:00:00"/>
    <s v="PedidoF2"/>
    <s v="CódRastreio2"/>
    <n v="1"/>
    <s v="CPF 11"/>
    <s v="Nome 11"/>
    <s v="Tel 11"/>
    <s v="Cep 11"/>
    <s v="Rua 11"/>
    <s v="Comp 11"/>
    <x v="4"/>
    <s v="9G-BN48-QAPH"/>
    <d v="2024-11-02T00:00:00"/>
    <n v="14.99"/>
    <n v="14.99"/>
    <n v="2.2484999999999999"/>
    <n v="12.74"/>
    <n v="4.99"/>
    <n v="0.56000000000000005"/>
    <n v="0.39877104377104378"/>
    <n v="0"/>
    <n v="6.7912289562289558"/>
    <n v="3.3956144781144779"/>
    <d v="2024-11-09T00:00:00"/>
    <d v="2024-11-09T00:00:00"/>
    <d v="2024-11-13T00:00:00"/>
    <d v="2024-11-22T00:00:00"/>
    <s v="2024 11"/>
    <s v="Aguardando Liberação"/>
    <s v="2024 10"/>
    <s v="ENTREGUE"/>
    <d v="2024-10-24T00:00:00"/>
    <s v="-"/>
    <s v="-"/>
    <n v="0"/>
    <n v="0"/>
    <n v="0"/>
    <n v="0"/>
    <n v="0"/>
  </r>
  <r>
    <s v="BV"/>
    <s v="BV45586"/>
    <s v="Pedido 12"/>
    <d v="2024-10-21T00:00:00"/>
    <d v="2024-10-21T00:00:00"/>
    <s v="PedidoF3"/>
    <s v="CódRastreio3"/>
    <n v="1"/>
    <s v="CPF 12"/>
    <s v="Nome 12"/>
    <s v="Tel 12"/>
    <s v="Cep 12"/>
    <s v="Rua 12"/>
    <s v="Comp 12"/>
    <x v="0"/>
    <s v="16-4EDB-WMZF"/>
    <d v="2024-11-08T00:00:00"/>
    <n v="14.99"/>
    <n v="14.99"/>
    <n v="2.2484999999999999"/>
    <n v="12.74"/>
    <n v="4.99"/>
    <n v="0.56000000000000005"/>
    <n v="0.39877104377104378"/>
    <n v="0"/>
    <n v="6.7912289562289558"/>
    <n v="3.3956144781144779"/>
    <d v="2024-11-15T00:00:00"/>
    <d v="2024-11-15T00:00:00"/>
    <d v="2024-11-21T00:00:00"/>
    <d v="2024-11-22T00:00:00"/>
    <s v="2024 11"/>
    <s v="Aguardando Liberação"/>
    <s v="2024 10"/>
    <s v="ENTREGUE"/>
    <d v="2024-10-28T00:00:00"/>
    <s v="-"/>
    <s v="-"/>
    <n v="0"/>
    <n v="0"/>
    <n v="0"/>
    <n v="0"/>
    <n v="0"/>
  </r>
  <r>
    <s v="BV"/>
    <s v="BV45586"/>
    <s v="Pedido 13"/>
    <d v="2024-10-21T00:00:00"/>
    <d v="2024-10-21T00:00:00"/>
    <s v="PedidoF4"/>
    <s v="CódRastreio4"/>
    <n v="1"/>
    <s v="CPF 13"/>
    <s v="Nome 13"/>
    <s v="Tel 13"/>
    <s v="Cep 13"/>
    <s v="Rua 13"/>
    <s v="Comp 13"/>
    <x v="4"/>
    <s v="9G-BN48-QAPH"/>
    <d v="2024-11-02T00:00:00"/>
    <n v="14.99"/>
    <n v="14.99"/>
    <n v="2.2484999999999999"/>
    <n v="12.74"/>
    <n v="4.99"/>
    <n v="0.56000000000000005"/>
    <n v="0.39877104377104378"/>
    <n v="0"/>
    <n v="6.7912289562289558"/>
    <n v="3.3956144781144779"/>
    <d v="2024-11-09T00:00:00"/>
    <d v="2024-11-09T00:00:00"/>
    <d v="2024-11-30T00:00:00"/>
    <d v="2024-11-22T00:00:00"/>
    <s v="2024 11"/>
    <s v="Aguardando Liberação"/>
    <s v="2024 10"/>
    <s v="ENTREGUE"/>
    <d v="2024-10-25T00:00:00"/>
    <s v="-"/>
    <s v="-"/>
    <n v="0"/>
    <n v="0"/>
    <n v="0"/>
    <n v="0"/>
    <n v="0"/>
  </r>
  <r>
    <s v="BV"/>
    <s v="BV45586"/>
    <s v="Pedido 14"/>
    <d v="2024-10-21T00:00:00"/>
    <d v="2024-10-21T00:00:00"/>
    <s v="PedidoF5"/>
    <s v="CódRastreio5"/>
    <n v="1"/>
    <s v="CPF 14"/>
    <s v="Nome 14"/>
    <s v="Tel 14"/>
    <s v="Cep 14"/>
    <s v="Rua 14"/>
    <s v="Comp 14"/>
    <x v="4"/>
    <s v="9G-BN48-QAPH"/>
    <d v="2024-11-14T00:00:00"/>
    <n v="14.99"/>
    <n v="14.99"/>
    <n v="2.2484999999999999"/>
    <n v="12.74"/>
    <n v="4.99"/>
    <n v="0.56000000000000005"/>
    <n v="0.39877104377104378"/>
    <n v="0"/>
    <n v="6.7912289562289558"/>
    <n v="3.3956144781144779"/>
    <d v="2024-11-21T00:00:00"/>
    <d v="2024-11-21T00:00:00"/>
    <d v="2024-11-21T00:00:00"/>
    <d v="2024-11-22T00:00:00"/>
    <s v="2024 11"/>
    <s v="Aguardando Liberação"/>
    <s v="2024 10"/>
    <s v="ENTREGUE"/>
    <d v="2024-11-28T00:00:00"/>
    <s v="-"/>
    <s v="-"/>
    <n v="0"/>
    <n v="0"/>
    <n v="0"/>
    <n v="0"/>
    <n v="0"/>
  </r>
  <r>
    <s v="BV"/>
    <s v="BV45586"/>
    <s v="Pedido 15"/>
    <d v="2024-10-21T00:00:00"/>
    <d v="2024-10-21T00:00:00"/>
    <s v="PedidoF6"/>
    <s v="CódRastreio6"/>
    <n v="1"/>
    <s v="CPF 15"/>
    <s v="Nome 15"/>
    <s v="Tel 15"/>
    <s v="Cep 15"/>
    <s v="Rua 15"/>
    <s v="Comp 15"/>
    <x v="2"/>
    <s v="DJ-RO5O-43GF"/>
    <d v="2024-11-14T00:00:00"/>
    <n v="17.329999999999998"/>
    <n v="17.329999999999998"/>
    <n v="2.4262000000000001"/>
    <n v="14.9"/>
    <n v="6.46"/>
    <n v="0.56000000000000005"/>
    <n v="0.39877104377104378"/>
    <n v="0"/>
    <n v="7.4812289562289571"/>
    <n v="3.7406144781144786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SIM"/>
    <n v="0"/>
    <n v="0"/>
    <n v="0"/>
    <n v="0"/>
    <n v="0"/>
  </r>
  <r>
    <s v="BV"/>
    <s v="BV45586"/>
    <s v="Pedido 16"/>
    <d v="2024-10-21T00:00:00"/>
    <d v="2024-10-21T00:00:00"/>
    <s v="PedidoF7"/>
    <s v="CódRastreio7"/>
    <n v="1"/>
    <s v="CPF 16"/>
    <s v="Nome 16"/>
    <s v="Tel 16"/>
    <s v="Cep 16"/>
    <s v="Rua 16"/>
    <s v="Comp 16"/>
    <x v="2"/>
    <s v="DJ-RO5O-43GF"/>
    <d v="2024-11-14T00:00:00"/>
    <n v="17.329999999999998"/>
    <n v="17.329999999999998"/>
    <n v="2.4262000000000001"/>
    <n v="14.9"/>
    <n v="6.46"/>
    <n v="0.56000000000000005"/>
    <n v="0.39877104377104378"/>
    <n v="0"/>
    <n v="7.4812289562289571"/>
    <n v="3.7406144781144786"/>
    <d v="2024-11-21T00:00:00"/>
    <d v="2024-11-21T00:00:00"/>
    <d v="2024-11-21T00:00:00"/>
    <d v="2024-11-22T00:00:00"/>
    <s v="2024 11"/>
    <s v="Aguardando Liberação"/>
    <s v="2024 10"/>
    <s v="ENTREGUE"/>
    <d v="2024-10-29T00:00:00"/>
    <s v="-"/>
    <s v="-"/>
    <n v="0"/>
    <n v="0"/>
    <n v="0"/>
    <n v="0"/>
    <n v="0"/>
  </r>
  <r>
    <s v="BV"/>
    <s v="BV45586"/>
    <s v="Pedido 17"/>
    <d v="2024-10-21T00:00:00"/>
    <d v="2024-10-21T00:00:00"/>
    <s v="PedidoF8"/>
    <s v="CódRastreio8"/>
    <n v="1"/>
    <s v="CPF 17"/>
    <s v="Nome 17"/>
    <s v="Tel 17"/>
    <s v="Cep 17"/>
    <s v="Rua 17"/>
    <s v="Comp 17"/>
    <x v="2"/>
    <s v="DJ-RO5O-43GF"/>
    <d v="2024-11-08T00:00:00"/>
    <n v="17.329999999999998"/>
    <n v="17.329999999999998"/>
    <n v="2.4262000000000001"/>
    <n v="14.9"/>
    <n v="6.46"/>
    <n v="0.56000000000000005"/>
    <n v="0.39877104377104378"/>
    <n v="0"/>
    <n v="7.4812289562289571"/>
    <n v="3.7406144781144786"/>
    <d v="2024-11-15T00:00:00"/>
    <d v="2024-11-15T00:00:00"/>
    <d v="2024-11-21T00:00:00"/>
    <d v="2024-11-22T00:00:00"/>
    <s v="2024 11"/>
    <s v="Aguardando Liberação"/>
    <s v="2024 10"/>
    <s v="ENTREGUE"/>
    <d v="2024-10-28T00:00:00"/>
    <s v="-"/>
    <s v="-"/>
    <n v="0"/>
    <n v="0"/>
    <n v="0"/>
    <n v="0"/>
    <n v="0"/>
  </r>
  <r>
    <s v="BV"/>
    <s v="BV45586"/>
    <s v="Pedido 18"/>
    <d v="2024-10-21T00:00:00"/>
    <d v="2024-10-21T00:00:00"/>
    <s v="PedidoF9"/>
    <s v="CódRastreio9"/>
    <n v="1"/>
    <s v="CPF 18"/>
    <s v="Nome 18"/>
    <s v="Tel 18"/>
    <s v="Cep 18"/>
    <s v="Rua 18"/>
    <s v="Comp 18"/>
    <x v="0"/>
    <s v="16-4EDB-WMZF"/>
    <d v="2024-11-14T00:00:00"/>
    <n v="14.99"/>
    <n v="14.99"/>
    <n v="2.2484999999999999"/>
    <n v="12.74"/>
    <n v="4.99"/>
    <n v="0.56000000000000005"/>
    <n v="0.39877104377104378"/>
    <n v="0"/>
    <n v="6.7912289562289558"/>
    <n v="3.3956144781144779"/>
    <d v="2024-11-21T00:00:00"/>
    <d v="2024-11-21T00:00:00"/>
    <d v="2024-11-21T00:00:00"/>
    <d v="2024-11-22T00:00:00"/>
    <s v="2024 11"/>
    <s v="Aguardando Liberação"/>
    <s v="2024 10"/>
    <s v="ENTREGUE"/>
    <d v="2024-10-30T00:00:00"/>
    <s v="-"/>
    <s v="-"/>
    <n v="0"/>
    <n v="0"/>
    <n v="0"/>
    <n v="0"/>
    <n v="0"/>
  </r>
  <r>
    <s v="BV"/>
    <s v="BV45587"/>
    <s v="Pedido 19"/>
    <d v="2024-10-22T00:00:00"/>
    <d v="2024-10-22T00:00:00"/>
    <s v="PedidoF10"/>
    <s v="CódRastreio10"/>
    <n v="1"/>
    <s v="CPF 19"/>
    <s v="Nome 19"/>
    <s v="Tel 19"/>
    <s v="Cep 19"/>
    <s v="Rua 19"/>
    <s v="Comp 19"/>
    <x v="2"/>
    <s v="DJ-RO5O-43GF"/>
    <d v="2024-11-09T00:00:00"/>
    <n v="17.329999999999998"/>
    <n v="17.329999999999998"/>
    <n v="2.4262000000000001"/>
    <n v="14.9"/>
    <n v="6.46"/>
    <n v="0.43"/>
    <n v="0.39877104377104378"/>
    <n v="0"/>
    <n v="7.611228956228957"/>
    <n v="3.8056144781144785"/>
    <d v="2024-11-16T00:00:00"/>
    <d v="2024-11-16T00:00:00"/>
    <d v="2024-11-21T00:00:00"/>
    <d v="2024-11-22T00:00:00"/>
    <s v="2024 11"/>
    <s v="Aguardando Liberação"/>
    <s v="2024 10"/>
    <s v="ENTREGUE"/>
    <d v="2024-10-25T00:00:00"/>
    <s v="-"/>
    <s v="NÃO"/>
    <n v="0"/>
    <n v="0"/>
    <n v="0"/>
    <n v="0"/>
    <n v="0"/>
  </r>
  <r>
    <s v="BV"/>
    <s v="BV45587"/>
    <s v="Pedido 20"/>
    <d v="2024-10-22T00:00:00"/>
    <d v="2024-10-22T00:00:00"/>
    <s v="PedidoF11"/>
    <s v="CódRastreio11"/>
    <n v="1"/>
    <s v="CPF 20"/>
    <s v="Nome 20"/>
    <s v="Tel 20"/>
    <s v="Cep 20"/>
    <s v="Rua 20"/>
    <s v="Comp 20"/>
    <x v="5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d v="2024-11-16T00:00:00"/>
    <d v="2024-11-16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87"/>
    <s v="Pedido 21"/>
    <d v="2024-10-22T00:00:00"/>
    <d v="2024-10-22T00:00:00"/>
    <s v="PedidoF12"/>
    <s v="CódRastreio12"/>
    <n v="1"/>
    <s v="CPF 21"/>
    <s v="Nome 21"/>
    <s v="Tel 21"/>
    <s v="Cep 21"/>
    <s v="Rua 21"/>
    <s v="Comp 21"/>
    <x v="4"/>
    <s v="9G-BN48-QAPH"/>
    <d v="2024-11-09T00:00:00"/>
    <n v="14.99"/>
    <n v="14.99"/>
    <n v="2.2484999999999999"/>
    <n v="12.74"/>
    <n v="4.99"/>
    <n v="0.43"/>
    <n v="0.39877104377104378"/>
    <n v="0"/>
    <n v="6.9212289562289566"/>
    <n v="3.4606144781144783"/>
    <d v="2024-11-16T00:00:00"/>
    <d v="2024-11-16T00:00:00"/>
    <d v="2024-11-21T00:00:00"/>
    <d v="2024-11-22T00:00:00"/>
    <s v="2024 11"/>
    <s v="Aguardando Liberação"/>
    <s v="2024 10"/>
    <s v="ENTREGUE"/>
    <d v="2024-10-25T00:00:00"/>
    <s v="-"/>
    <s v="SIM"/>
    <n v="0"/>
    <n v="0"/>
    <n v="0"/>
    <n v="0"/>
    <n v="0"/>
  </r>
  <r>
    <s v="BV"/>
    <s v="BV45587"/>
    <s v="Pedido 22"/>
    <d v="2024-10-22T00:00:00"/>
    <d v="2024-10-22T00:00:00"/>
    <s v="PedidoF13"/>
    <s v="CódRastreio13"/>
    <n v="1"/>
    <s v="CPF 22"/>
    <s v="Nome 22"/>
    <s v="Tel 22"/>
    <s v="Cep 22"/>
    <s v="Rua 22"/>
    <s v="Comp 22"/>
    <x v="5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d v="2024-11-16T00:00:00"/>
    <d v="2024-11-16T00:00:00"/>
    <d v="2024-11-21T00:00:00"/>
    <d v="2024-11-22T00:00:00"/>
    <s v="2024 11"/>
    <s v="Aguardando Liberação"/>
    <s v="2024 10"/>
    <s v="ENTREGUE"/>
    <d v="2024-10-26T00:00:00"/>
    <s v="-"/>
    <s v="NÃO"/>
    <n v="0"/>
    <n v="0"/>
    <n v="0"/>
    <n v="0"/>
    <n v="0"/>
  </r>
  <r>
    <s v="BV"/>
    <s v="BV45588"/>
    <s v="Pedido 23"/>
    <d v="2024-10-23T00:00:00"/>
    <d v="2024-10-23T00:00:00"/>
    <s v="PedidoF14"/>
    <s v="CódRastreio14"/>
    <n v="1"/>
    <s v="CPF 23"/>
    <s v="Nome 23"/>
    <s v="Tel 23"/>
    <s v="Cep 23"/>
    <s v="Rua 23"/>
    <s v="Comp 23"/>
    <x v="2"/>
    <s v="DJ-RO5O-43GF"/>
    <d v="2024-11-12T00:00:00"/>
    <n v="17.329999999999998"/>
    <n v="17.329999999999998"/>
    <n v="2.4262000000000001"/>
    <n v="14.9"/>
    <n v="4.99"/>
    <n v="0.57999999999999996"/>
    <n v="0.39877104377104378"/>
    <n v="0"/>
    <n v="8.9312289562289564"/>
    <n v="4.4656144781144782"/>
    <d v="2024-11-19T00:00:00"/>
    <d v="2024-11-19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7"/>
    <s v="Pedido 24"/>
    <d v="2024-10-22T00:00:00"/>
    <d v="2024-10-22T00:00:00"/>
    <s v="PedidoF15"/>
    <s v="CódRastreio15"/>
    <n v="1"/>
    <s v="CPF 9"/>
    <s v="Nome 9"/>
    <s v="Tel 9"/>
    <s v="Cep 9"/>
    <s v="Rua 9"/>
    <s v="Comp 9"/>
    <x v="0"/>
    <s v="16-4EDB-WMZF"/>
    <d v="2024-11-15T00:00:00"/>
    <n v="14.99"/>
    <n v="14.99"/>
    <n v="2.2484999999999999"/>
    <n v="12.74"/>
    <n v="4.99"/>
    <n v="0.43"/>
    <n v="0.39877104377104378"/>
    <n v="0"/>
    <n v="6.9212289562289566"/>
    <n v="3.4606144781144783"/>
    <d v="2024-11-22T00:00:00"/>
    <d v="2024-11-22T00:00:00"/>
    <d v="2024-11-22T00:00:00"/>
    <d v="2024-11-29T00:00:00"/>
    <s v="2024 11"/>
    <s v="Aguardando Liberação"/>
    <s v="2024 10"/>
    <s v="ENTREGUE"/>
    <d v="2024-10-29T00:00:00"/>
    <s v="-"/>
    <s v="SIM"/>
    <n v="0"/>
    <n v="0"/>
    <n v="0"/>
    <n v="0"/>
    <n v="0"/>
  </r>
  <r>
    <s v="BV"/>
    <s v="BV45587"/>
    <s v="Pedido 25"/>
    <d v="2024-10-22T00:00:00"/>
    <d v="2024-10-22T00:00:00"/>
    <s v="PedidoF16"/>
    <s v="CódRastreio16"/>
    <n v="1"/>
    <s v="CPF 9"/>
    <s v="Nome 9"/>
    <s v="Tel 9"/>
    <s v="Cep 9"/>
    <s v="Rua 9"/>
    <s v="Comp 9"/>
    <x v="0"/>
    <s v="16-4EDB-WMZF"/>
    <d v="2024-11-15T00:00:00"/>
    <n v="14.99"/>
    <n v="14.99"/>
    <n v="2.2484999999999999"/>
    <n v="12.74"/>
    <n v="4.99"/>
    <n v="0.43"/>
    <n v="0.39877104377104378"/>
    <n v="0"/>
    <n v="6.9212289562289566"/>
    <n v="3.4606144781144783"/>
    <d v="2024-11-22T00:00:00"/>
    <d v="2024-11-22T00:00:00"/>
    <d v="2024-11-22T00:00:00"/>
    <d v="2024-11-29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7"/>
    <s v="Pedido 26"/>
    <d v="2024-10-22T00:00:00"/>
    <d v="2024-10-22T00:00:00"/>
    <s v="PedidoF17"/>
    <s v="CódRastreio17"/>
    <n v="1"/>
    <s v="CPF 24"/>
    <s v="Nome 24"/>
    <s v="Tel 24"/>
    <s v="Cep 24"/>
    <s v="Rua 24"/>
    <s v="Comp 24"/>
    <x v="5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d v="2024-11-16T00:00:00"/>
    <d v="2024-11-16T00:00:00"/>
    <d v="2024-11-21T00:00:00"/>
    <d v="2024-11-22T00:00:00"/>
    <s v="2024 11"/>
    <s v="Aguardando Liberação"/>
    <s v="2024 10"/>
    <s v="ENTREGUE"/>
    <d v="2024-10-28T00:00:00"/>
    <s v="-"/>
    <s v="NÃO"/>
    <n v="0"/>
    <n v="0"/>
    <n v="0"/>
    <n v="0"/>
    <n v="0"/>
  </r>
  <r>
    <s v="BV"/>
    <s v="BV45587"/>
    <s v="Pedido 27"/>
    <d v="2024-10-22T00:00:00"/>
    <d v="2024-10-22T00:00:00"/>
    <s v="PedidoF18"/>
    <s v="CódRastreio18"/>
    <n v="1"/>
    <s v="CPF 25"/>
    <s v="Nome 25"/>
    <s v="Tel 25"/>
    <s v="Cep 25"/>
    <s v="Rua 25"/>
    <s v="Comp 25"/>
    <x v="2"/>
    <s v="DJ-RO5O-43GF"/>
    <d v="2024-11-09T00:00:00"/>
    <n v="17.329999999999998"/>
    <n v="17.329999999999998"/>
    <n v="2.4262000000000001"/>
    <n v="14.9"/>
    <n v="6.46"/>
    <n v="0.43"/>
    <n v="0.39877104377104378"/>
    <n v="0"/>
    <n v="7.611228956228957"/>
    <n v="3.8056144781144785"/>
    <d v="2024-11-16T00:00:00"/>
    <d v="2024-11-16T00:00:00"/>
    <d v="2024-11-21T00:00:00"/>
    <d v="2024-11-22T00:00:00"/>
    <s v="2024 11"/>
    <s v="Aguardando Liberação"/>
    <s v="2024 10"/>
    <s v="ENTREGUE"/>
    <d v="2024-10-26T00:00:00"/>
    <s v="-"/>
    <s v="NÃO"/>
    <n v="0"/>
    <n v="0"/>
    <n v="0"/>
    <n v="0"/>
    <n v="0"/>
  </r>
  <r>
    <s v="BV"/>
    <s v="BV45587"/>
    <s v="Pedido 28"/>
    <d v="2024-10-22T00:00:00"/>
    <d v="2024-10-22T00:00:00"/>
    <s v="PedidoF19"/>
    <s v="CódRastreio19"/>
    <n v="1"/>
    <s v="CPF 26"/>
    <s v="Nome 26"/>
    <s v="Tel 26"/>
    <s v="Cep 26"/>
    <s v="Rua 26"/>
    <s v="Comp 26"/>
    <x v="5"/>
    <s v="P4-K63S-8KOM"/>
    <d v="2024-11-05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d v="2024-11-12T00:00:00"/>
    <d v="2024-11-12T00:00:00"/>
    <d v="2024-11-13T00:00:00"/>
    <d v="2024-11-22T00:00:00"/>
    <s v="2024 11"/>
    <s v="Aguardando Liberação"/>
    <s v="2024 10"/>
    <s v="ENTREGUE"/>
    <d v="2024-10-25T00:00:00"/>
    <s v="-"/>
    <s v="-"/>
    <n v="0"/>
    <n v="0"/>
    <n v="0"/>
    <n v="0"/>
    <n v="0"/>
  </r>
  <r>
    <s v="BV"/>
    <s v="BV45587"/>
    <s v="Pedido 29"/>
    <d v="2024-10-22T00:00:00"/>
    <d v="2024-10-22T00:00:00"/>
    <s v="PedidoF20"/>
    <s v="CódRastreio20"/>
    <n v="1"/>
    <s v="CPF 27"/>
    <s v="Nome 27"/>
    <s v="Tel 27"/>
    <s v="Cep 27"/>
    <s v="Rua 27"/>
    <s v="Comp 27"/>
    <x v="5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d v="2024-11-16T00:00:00"/>
    <d v="2024-11-16T00:00:00"/>
    <d v="2024-11-21T00:00:00"/>
    <d v="2024-11-22T00:00:00"/>
    <s v="2024 11"/>
    <s v="Aguardando Liberação"/>
    <s v="2024 10"/>
    <s v="ENTREGUE"/>
    <d v="2024-10-29T00:00:00"/>
    <s v="-"/>
    <s v="-"/>
    <n v="0"/>
    <n v="0"/>
    <n v="0"/>
    <n v="0"/>
    <n v="0"/>
  </r>
  <r>
    <s v="BV"/>
    <s v="BV45587"/>
    <s v="Pedido 30"/>
    <d v="2024-10-22T00:00:00"/>
    <d v="2024-10-22T00:00:00"/>
    <s v="PedidoF21"/>
    <s v="CódRastreio21"/>
    <n v="1"/>
    <s v="CPF 28"/>
    <s v="Nome 28"/>
    <s v="Tel 28"/>
    <s v="Cep 28"/>
    <s v="Rua 28"/>
    <s v="Comp 28"/>
    <x v="0"/>
    <s v="16-4EDB-WMZF"/>
    <d v="2024-11-07T00:00:00"/>
    <n v="14.99"/>
    <n v="14.99"/>
    <n v="2.2484999999999999"/>
    <n v="12.74"/>
    <n v="4.99"/>
    <n v="0.43"/>
    <n v="0.39877104377104378"/>
    <n v="0"/>
    <n v="6.9212289562289566"/>
    <n v="3.4606144781144783"/>
    <d v="2024-11-14T00:00:00"/>
    <d v="2024-11-14T00:00:00"/>
    <d v="2024-11-21T00:00:00"/>
    <d v="2024-11-22T00:00:00"/>
    <s v="2024 11"/>
    <s v="Aguardando Liberação"/>
    <s v="2024 10"/>
    <s v="ENTREGUE"/>
    <d v="2024-10-28T00:00:00"/>
    <s v="-"/>
    <s v="-"/>
    <n v="0"/>
    <n v="0"/>
    <n v="0"/>
    <n v="0"/>
    <n v="0"/>
  </r>
  <r>
    <s v="BV"/>
    <s v="BV45587"/>
    <s v="Pedido 31"/>
    <d v="2024-10-22T00:00:00"/>
    <d v="2024-10-22T00:00:00"/>
    <s v="PedidoF22"/>
    <s v="CódRastreio22"/>
    <n v="1"/>
    <s v="CPF 29"/>
    <s v="Nome 29"/>
    <s v="Tel 29"/>
    <s v="Cep 29"/>
    <s v="Rua 29"/>
    <s v="Comp 29"/>
    <x v="5"/>
    <s v="P4-K63S-8KOM"/>
    <d v="2024-11-05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d v="2024-11-12T00:00:00"/>
    <d v="2024-11-12T00:00:00"/>
    <d v="2024-11-13T00:00:00"/>
    <d v="2024-11-22T00:00:00"/>
    <s v="2024 11"/>
    <s v="Aguardando Liberação"/>
    <s v="2024 10"/>
    <s v="ENTREGUE"/>
    <d v="2024-10-26T00:00:00"/>
    <s v="-"/>
    <s v="NÃO"/>
    <n v="0"/>
    <n v="0"/>
    <n v="0"/>
    <n v="0"/>
    <n v="0"/>
  </r>
  <r>
    <s v="BV"/>
    <s v="BV45587"/>
    <s v="Pedido 32"/>
    <d v="2024-10-22T00:00:00"/>
    <d v="2024-10-22T00:00:00"/>
    <s v="PedidoF23"/>
    <s v="CódRastreio23"/>
    <n v="1"/>
    <s v="CPF 30"/>
    <s v="Nome 30"/>
    <s v="Tel 30"/>
    <s v="Cep 30"/>
    <s v="Rua 30"/>
    <s v="Comp 30"/>
    <x v="2"/>
    <s v="DJ-RO5O-43GF"/>
    <d v="2024-11-05T00:00:00"/>
    <n v="19.329999999999998"/>
    <n v="19.329999999999998"/>
    <n v="2.7061999999999999"/>
    <n v="16.62"/>
    <n v="6.46"/>
    <n v="0.43"/>
    <n v="0.39877104377104378"/>
    <n v="0"/>
    <n v="9.3312289562289585"/>
    <n v="4.6656144781144793"/>
    <d v="2024-11-12T00:00:00"/>
    <d v="2024-11-12T00:00:00"/>
    <d v="2024-11-13T00:00:00"/>
    <d v="2024-11-22T00:00:00"/>
    <s v="2024 11"/>
    <s v="Aguardando Liberação"/>
    <s v="2024 10"/>
    <s v="ENTREGUE"/>
    <d v="2024-10-25T00:00:00"/>
    <s v="-"/>
    <s v="NÃO"/>
    <n v="0"/>
    <n v="0"/>
    <n v="0"/>
    <n v="0"/>
    <n v="0"/>
  </r>
  <r>
    <s v="BV"/>
    <s v="BV45587"/>
    <s v="Pedido 33"/>
    <d v="2024-10-22T00:00:00"/>
    <d v="2024-10-22T00:00:00"/>
    <s v="PedidoF24"/>
    <s v="CódRastreio24"/>
    <n v="1"/>
    <s v="CPF 31"/>
    <s v="Nome 31"/>
    <s v="Tel 31"/>
    <s v="Cep 31"/>
    <s v="Rua 31"/>
    <s v="Comp 31"/>
    <x v="0"/>
    <s v="16-4EDB-WMZF"/>
    <d v="2024-11-15T00:00:00"/>
    <n v="14.99"/>
    <n v="14.99"/>
    <n v="2.2484999999999999"/>
    <n v="12.74"/>
    <n v="4.99"/>
    <n v="0.43"/>
    <n v="0.39877104377104378"/>
    <n v="0"/>
    <n v="6.9212289562289566"/>
    <n v="3.4606144781144783"/>
    <d v="2024-11-22T00:00:00"/>
    <d v="2024-11-22T00:00:00"/>
    <d v="2024-11-22T00:00:00"/>
    <d v="2024-11-29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87"/>
    <s v="Pedido 34"/>
    <d v="2024-10-22T00:00:00"/>
    <d v="2024-10-22T00:00:00"/>
    <s v="PedidoF25"/>
    <s v="CódRastreio25"/>
    <n v="1"/>
    <s v="CPF 32"/>
    <s v="Nome 32"/>
    <s v="Tel 32"/>
    <s v="Cep 32"/>
    <s v="Rua 32"/>
    <s v="Comp 32"/>
    <x v="2"/>
    <s v="DJ-RO5O-43GF"/>
    <d v="2024-11-09T00:00:00"/>
    <n v="17.329999999999998"/>
    <n v="17.329999999999998"/>
    <n v="2.4262000000000001"/>
    <n v="14.9"/>
    <n v="6.46"/>
    <n v="0.43"/>
    <n v="0.39877104377104378"/>
    <n v="0"/>
    <n v="7.611228956228957"/>
    <n v="3.8056144781144785"/>
    <d v="2024-11-16T00:00:00"/>
    <d v="2024-11-16T00:00:00"/>
    <d v="2024-11-21T00:00:00"/>
    <d v="2024-11-22T00:00:00"/>
    <s v="2024 11"/>
    <s v="Aguardando Liberação"/>
    <s v="2024 10"/>
    <s v="ENTREGUE"/>
    <d v="2024-10-28T00:00:00"/>
    <s v="-"/>
    <s v="SIM"/>
    <n v="0"/>
    <n v="0"/>
    <n v="0"/>
    <n v="0"/>
    <n v="0"/>
  </r>
  <r>
    <s v="BV"/>
    <s v="BV45588"/>
    <s v="Pedido 35"/>
    <d v="2024-10-23T00:00:00"/>
    <d v="2024-10-23T00:00:00"/>
    <s v="PedidoF26"/>
    <s v="CódRastreio26"/>
    <n v="1"/>
    <s v="CPF 33"/>
    <s v="Nome 33"/>
    <s v="Tel 33"/>
    <s v="Cep 33"/>
    <s v="Rua 33"/>
    <s v="Comp 33"/>
    <x v="5"/>
    <s v="P4-K63S-8KOM"/>
    <d v="2024-11-09T00:00:00"/>
    <n v="17.989999999999998"/>
    <n v="17.989999999999998"/>
    <n v="2.3386999999999998"/>
    <n v="15.65"/>
    <n v="7.99"/>
    <n v="0.57999999999999996"/>
    <n v="0.39877104377104378"/>
    <n v="0"/>
    <n v="6.6812289562289564"/>
    <n v="3.3406144781144782"/>
    <d v="2024-11-16T00:00:00"/>
    <d v="2024-11-16T00:00:00"/>
    <d v="2024-11-21T00:00:00"/>
    <d v="2024-11-22T00:00:00"/>
    <s v="2024 11"/>
    <s v="Aguardando Liberação"/>
    <s v="2024 10"/>
    <s v="ENTREGUE"/>
    <d v="2024-10-25T00:00:00"/>
    <s v="-"/>
    <s v="SIM"/>
    <n v="0"/>
    <n v="0"/>
    <n v="0"/>
    <n v="0"/>
    <n v="0"/>
  </r>
  <r>
    <s v="BV"/>
    <s v="BV45588"/>
    <s v="Pedido 36"/>
    <d v="2024-10-23T00:00:00"/>
    <d v="2024-10-23T00:00:00"/>
    <s v="PedidoF27"/>
    <s v="CódRastreio27"/>
    <n v="1"/>
    <s v="CPF 34"/>
    <s v="Nome 34"/>
    <s v="Tel 34"/>
    <s v="Cep 34"/>
    <s v="Rua 34"/>
    <s v="Comp 34"/>
    <x v="5"/>
    <s v="P4-K63S-8KOM"/>
    <d v="2024-11-06T00:00:00"/>
    <n v="17.3"/>
    <n v="17.3"/>
    <n v="2.2490000000000001"/>
    <n v="15.05"/>
    <n v="7.99"/>
    <n v="0.57999999999999996"/>
    <n v="0.39877104377104378"/>
    <n v="0"/>
    <n v="6.0812289562289568"/>
    <n v="3.0406144781144784"/>
    <d v="2024-11-13T00:00:00"/>
    <d v="2024-11-13T00:00:00"/>
    <d v="2024-11-13T00:00:00"/>
    <d v="2024-11-22T00:00:00"/>
    <s v="2024 11"/>
    <s v="Aguardando Liberação"/>
    <s v="2024 10"/>
    <s v="ENTREGUE"/>
    <d v="2024-10-25T00:00:00"/>
    <s v="-"/>
    <s v="-"/>
    <n v="0"/>
    <n v="0"/>
    <n v="0"/>
    <n v="0"/>
    <n v="0"/>
  </r>
  <r>
    <s v="BV"/>
    <s v="BV45588"/>
    <s v="Pedido 37"/>
    <d v="2024-10-23T00:00:00"/>
    <d v="2024-10-23T00:00:00"/>
    <s v="PedidoF28"/>
    <s v="CódRastreio28"/>
    <n v="1"/>
    <s v="CPF 35"/>
    <s v="Nome 35"/>
    <s v="Tel 35"/>
    <s v="Cep 35"/>
    <s v="Rua 35"/>
    <s v="Comp 35"/>
    <x v="5"/>
    <s v="P4-K63S-8KOM"/>
    <d v="2024-11-09T00:00:00"/>
    <n v="17.3"/>
    <n v="17.3"/>
    <n v="2.2490000000000001"/>
    <n v="15.05"/>
    <n v="7.99"/>
    <n v="0.57999999999999996"/>
    <n v="0.39877104377104378"/>
    <n v="0"/>
    <n v="6.0812289562289568"/>
    <n v="3.0406144781144784"/>
    <d v="2024-11-16T00:00:00"/>
    <d v="2024-11-16T00:00:00"/>
    <d v="2024-11-21T00:00:00"/>
    <d v="2024-11-22T00:00:00"/>
    <s v="2024 11"/>
    <s v="Aguardando Liberação"/>
    <s v="2024 10"/>
    <s v="ENTREGUE"/>
    <d v="2024-10-29T00:00:00"/>
    <s v="-"/>
    <s v="SIM"/>
    <n v="0"/>
    <n v="0"/>
    <n v="0"/>
    <n v="0"/>
    <n v="0"/>
  </r>
  <r>
    <s v="BV"/>
    <s v="BV45588"/>
    <s v="Pedido 38"/>
    <d v="2024-10-23T00:00:00"/>
    <d v="2024-10-23T00:00:00"/>
    <s v="PedidoF29"/>
    <s v="CódRastreio29"/>
    <n v="1"/>
    <s v="CPF 36"/>
    <s v="Nome 36"/>
    <s v="Tel 36"/>
    <s v="Cep 36"/>
    <s v="Rua 36"/>
    <s v="Comp 36"/>
    <x v="0"/>
    <s v="16-4EDB-WMZF"/>
    <d v="2024-11-12T00:00:00"/>
    <n v="15.99"/>
    <n v="15.99"/>
    <n v="2.3984999999999999"/>
    <n v="13.59"/>
    <n v="4.99"/>
    <n v="0.57999999999999996"/>
    <n v="0.39877104377104378"/>
    <n v="0"/>
    <n v="7.6212289562289559"/>
    <n v="3.810614478114478"/>
    <d v="2024-11-19T00:00:00"/>
    <d v="2024-11-19T00:00:00"/>
    <d v="2024-11-21T00:00:00"/>
    <d v="2024-11-22T00:00:00"/>
    <s v="2024 11"/>
    <s v="Aguardando Liberação"/>
    <s v="2024 10"/>
    <s v="ENTREGUE"/>
    <d v="2024-10-31T00:00:00"/>
    <s v="-"/>
    <s v="SIM"/>
    <n v="0"/>
    <n v="0"/>
    <n v="0"/>
    <n v="0"/>
    <n v="0"/>
  </r>
  <r>
    <s v="BV"/>
    <s v="BV45588"/>
    <s v="Pedido 39"/>
    <d v="2024-10-23T00:00:00"/>
    <d v="2024-10-23T00:00:00"/>
    <s v="PedidoF30"/>
    <s v="CódRastreio30"/>
    <n v="1"/>
    <s v="CPF 37"/>
    <s v="Nome 37"/>
    <s v="Tel 37"/>
    <s v="Cep 37"/>
    <s v="Rua 37"/>
    <s v="Comp 37"/>
    <x v="5"/>
    <s v="P4-K63S-8KOM"/>
    <d v="2024-11-08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15T00:00:00"/>
    <d v="2024-11-15T00:00:00"/>
    <d v="2024-11-21T00:00:00"/>
    <d v="2024-11-22T00:00:00"/>
    <s v="2024 11"/>
    <s v="Aguardando Liberação"/>
    <s v="2024 10"/>
    <s v="ENTREGUE"/>
    <d v="2024-10-29T00:00:00"/>
    <s v="-"/>
    <s v="SIM"/>
    <n v="0"/>
    <n v="0"/>
    <n v="0"/>
    <n v="0"/>
    <n v="0"/>
  </r>
  <r>
    <s v="BV"/>
    <s v="BV45588"/>
    <s v="Pedido 40"/>
    <d v="2024-10-23T00:00:00"/>
    <d v="2024-10-23T00:00:00"/>
    <s v="PedidoF31"/>
    <s v="CódRastreio31"/>
    <n v="1"/>
    <s v="CPF 38"/>
    <s v="Nome 38"/>
    <s v="Tel 38"/>
    <s v="Cep 38"/>
    <s v="Rua 38"/>
    <s v="Comp 38"/>
    <x v="5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19T00:00:00"/>
    <d v="2024-11-19T00:00:00"/>
    <d v="2024-11-21T00:00:00"/>
    <d v="2024-11-22T00:00:00"/>
    <s v="2024 11"/>
    <s v="Aguardando Liberação"/>
    <s v="2024 10"/>
    <s v="ENTREGUE"/>
    <d v="2024-10-28T00:00:00"/>
    <s v="-"/>
    <s v="SIM"/>
    <n v="0"/>
    <n v="0"/>
    <n v="0"/>
    <n v="0"/>
    <n v="0"/>
  </r>
  <r>
    <s v="BV"/>
    <s v="BV45589"/>
    <s v="Pedido 41"/>
    <d v="2024-10-24T00:00:00"/>
    <d v="2024-10-24T00:00:00"/>
    <s v="PedidoF32"/>
    <s v="CódRastreio32"/>
    <n v="1"/>
    <s v="CPF 39"/>
    <s v="Nome 39"/>
    <s v="Tel 39"/>
    <s v="Cep 39"/>
    <s v="Rua 39"/>
    <s v="Comp 39"/>
    <x v="5"/>
    <s v="P4-K63S-8KOM"/>
    <d v="2024-11-08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d v="2024-11-15T00:00:00"/>
    <d v="2024-11-15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8"/>
    <s v="Pedido 42"/>
    <d v="2024-10-23T00:00:00"/>
    <d v="2024-10-23T00:00:00"/>
    <s v="PedidoF33"/>
    <s v="CódRastreio33"/>
    <n v="1"/>
    <s v="CPF 40"/>
    <s v="Nome 40"/>
    <s v="Tel 40"/>
    <s v="Cep 40"/>
    <s v="Rua 40"/>
    <s v="Comp 40"/>
    <x v="0"/>
    <s v="16-4EDB-WMZF"/>
    <d v="2024-11-19T00:00:00"/>
    <n v="15.99"/>
    <n v="15.99"/>
    <n v="2.3984999999999999"/>
    <n v="13.59"/>
    <n v="4.99"/>
    <n v="0.57999999999999996"/>
    <n v="0.39877104377104378"/>
    <n v="0"/>
    <n v="7.6212289562289559"/>
    <n v="3.810614478114478"/>
    <d v="2024-11-26T00:00:00"/>
    <d v="2024-11-26T00:00:00"/>
    <d v="2024-11-29T00:00:00"/>
    <d v="2024-11-29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9"/>
    <s v="Pedido 43"/>
    <d v="2024-10-24T00:00:00"/>
    <d v="2024-10-24T00:00:00"/>
    <s v="PedidoF34"/>
    <s v="CódRastreio34"/>
    <n v="1"/>
    <s v="CPF 41"/>
    <s v="Nome 41"/>
    <s v="Tel 41"/>
    <s v="Cep 41"/>
    <s v="Rua 41"/>
    <s v="Comp 41"/>
    <x v="5"/>
    <s v="P4-K63S-8KOM"/>
    <d v="2024-11-06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d v="2024-11-13T00:00:00"/>
    <d v="2024-11-13T00:00:00"/>
    <d v="2024-11-13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8"/>
    <s v="Pedido 44"/>
    <d v="2024-10-23T00:00:00"/>
    <d v="2024-10-23T00:00:00"/>
    <s v="PedidoF35"/>
    <s v="CódRastreio35"/>
    <n v="1"/>
    <s v="CPF 42"/>
    <s v="Nome 42"/>
    <s v="Tel 42"/>
    <s v="Cep 42"/>
    <s v="Rua 42"/>
    <s v="Comp 42"/>
    <x v="4"/>
    <s v="9G-BN48-QAPH"/>
    <d v="2024-11-12T00:00:00"/>
    <n v="15.99"/>
    <n v="15.99"/>
    <n v="2.3984999999999999"/>
    <n v="13.59"/>
    <n v="4.99"/>
    <n v="0.57999999999999996"/>
    <n v="0.39877104377104378"/>
    <n v="0"/>
    <n v="7.6212289562289559"/>
    <n v="3.810614478114478"/>
    <d v="2024-11-19T00:00:00"/>
    <d v="2024-11-19T00:00:00"/>
    <d v="2024-11-21T00:00:00"/>
    <d v="2024-11-22T00:00:00"/>
    <s v="2024 11"/>
    <s v="Aguardando Liberação"/>
    <s v="2024 10"/>
    <s v="ENTREGUE"/>
    <d v="2024-10-28T00:00:00"/>
    <s v="-"/>
    <s v="NÃO"/>
    <n v="0"/>
    <n v="0"/>
    <n v="0"/>
    <n v="0"/>
    <n v="0"/>
  </r>
  <r>
    <s v="BV"/>
    <s v="BV45588"/>
    <s v="Pedido 45"/>
    <d v="2024-10-23T00:00:00"/>
    <d v="2024-10-23T00:00:00"/>
    <s v="PedidoF36"/>
    <s v="CódRastreio36"/>
    <n v="1"/>
    <s v="CPF 43"/>
    <s v="Nome 43"/>
    <s v="Tel 43"/>
    <s v="Cep 43"/>
    <s v="Rua 43"/>
    <s v="Comp 43"/>
    <x v="0"/>
    <s v="16-4EDB-WMZF"/>
    <d v="2024-11-12T00:00:00"/>
    <n v="15.99"/>
    <n v="15.99"/>
    <n v="2.3984999999999999"/>
    <n v="13.59"/>
    <n v="4.99"/>
    <n v="0.57999999999999996"/>
    <n v="0.39877104377104378"/>
    <n v="0"/>
    <n v="7.6212289562289559"/>
    <n v="3.810614478114478"/>
    <d v="2024-11-19T00:00:00"/>
    <d v="2024-11-19T00:00:00"/>
    <d v="2024-11-21T00:00:00"/>
    <d v="2024-11-22T00:00:00"/>
    <s v="2024 11"/>
    <s v="Aguardando Liberação"/>
    <s v="2024 10"/>
    <s v="ENTREGUE"/>
    <d v="2024-10-28T00:00:00"/>
    <s v="-"/>
    <s v="NÃO"/>
    <n v="0"/>
    <n v="0"/>
    <n v="0"/>
    <n v="0"/>
    <n v="0"/>
  </r>
  <r>
    <s v="BV"/>
    <s v="BV45588"/>
    <s v="Pedido 46"/>
    <d v="2024-10-23T00:00:00"/>
    <d v="2024-10-23T00:00:00"/>
    <s v="PedidoF37"/>
    <s v="CódRastreio37"/>
    <n v="1"/>
    <s v="CPF 44"/>
    <s v="Nome 44"/>
    <s v="Tel 44"/>
    <s v="Cep 44"/>
    <s v="Rua 44"/>
    <s v="Comp 44"/>
    <x v="5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19T00:00:00"/>
    <d v="2024-11-19T00:00:00"/>
    <d v="2024-11-21T00:00:00"/>
    <d v="2024-11-22T00:00:00"/>
    <s v="2024 11"/>
    <s v="Aguardando Liberação"/>
    <s v="2024 10"/>
    <s v="ENTREGUE"/>
    <d v="2024-10-28T00:00:00"/>
    <s v="-"/>
    <s v="SIM"/>
    <n v="0"/>
    <n v="0"/>
    <n v="0"/>
    <n v="0"/>
    <n v="0"/>
  </r>
  <r>
    <s v="BV"/>
    <s v="BV45589"/>
    <s v="Pedido 47"/>
    <d v="2024-10-24T00:00:00"/>
    <d v="2024-10-24T00:00:00"/>
    <s v="PedidoF38"/>
    <s v="CódRastreio38"/>
    <n v="1"/>
    <s v="CPF 45"/>
    <s v="Nome 45"/>
    <s v="Tel 45"/>
    <s v="Cep 45"/>
    <s v="Rua 45"/>
    <s v="Comp 45"/>
    <x v="5"/>
    <s v="P4-K63S-8KOM"/>
    <d v="2024-11-06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d v="2024-11-13T00:00:00"/>
    <d v="2024-11-13T00:00:00"/>
    <d v="2024-11-13T00:00:00"/>
    <d v="2024-11-22T00:00:00"/>
    <s v="2024 11"/>
    <s v="Aguardando Liberação"/>
    <s v="2024 10"/>
    <s v="ENTREGUE"/>
    <d v="2024-10-28T00:00:00"/>
    <s v="-"/>
    <s v="-"/>
    <n v="0"/>
    <n v="0"/>
    <n v="0"/>
    <n v="0"/>
    <n v="0"/>
  </r>
  <r>
    <s v="BV"/>
    <s v="BV45588"/>
    <s v="Pedido 48"/>
    <d v="2024-10-23T00:00:00"/>
    <d v="2024-10-23T00:00:00"/>
    <s v="PedidoF39"/>
    <s v="CódRastreio39"/>
    <n v="1"/>
    <s v="CPF 46"/>
    <s v="Nome 46"/>
    <s v="Tel 46"/>
    <s v="Cep 46"/>
    <s v="Rua 46"/>
    <s v="Comp 46"/>
    <x v="5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19T00:00:00"/>
    <d v="2024-11-19T00:00:00"/>
    <d v="2024-11-21T00:00:00"/>
    <d v="2024-11-22T00:00:00"/>
    <s v="2024 11"/>
    <s v="Aguardando Liberação"/>
    <s v="2024 10"/>
    <s v="ENTREGUE"/>
    <d v="2024-10-30T00:00:00"/>
    <s v="-"/>
    <s v="SIM"/>
    <n v="0"/>
    <n v="0"/>
    <n v="0"/>
    <n v="0"/>
    <n v="0"/>
  </r>
  <r>
    <s v="BV"/>
    <s v="BV45588"/>
    <s v="Pedido 49"/>
    <d v="2024-10-23T00:00:00"/>
    <d v="2024-10-23T00:00:00"/>
    <s v="PedidoF40"/>
    <s v="CódRastreio40"/>
    <n v="1"/>
    <s v="CPF 47"/>
    <s v="Nome 47"/>
    <s v="Tel 47"/>
    <s v="Cep 47"/>
    <s v="Rua 47"/>
    <s v="Comp 47"/>
    <x v="5"/>
    <s v="P4-K63S-8KOM"/>
    <d v="2024-11-19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26T00:00:00"/>
    <d v="2024-11-26T00:00:00"/>
    <d v="2024-11-29T00:00:00"/>
    <d v="2024-11-29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88"/>
    <s v="Pedido 50"/>
    <d v="2024-10-23T00:00:00"/>
    <d v="2024-10-23T00:00:00"/>
    <s v="PedidoF41"/>
    <s v="CódRastreio41"/>
    <n v="1"/>
    <s v="CPF 48"/>
    <s v="Nome 48"/>
    <s v="Tel 48"/>
    <s v="Cep 48"/>
    <s v="Rua 48"/>
    <s v="Comp 48"/>
    <x v="5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19T00:00:00"/>
    <d v="2024-11-19T00:00:00"/>
    <d v="2024-11-21T00:00:00"/>
    <d v="2024-11-22T00:00:00"/>
    <s v="2024 11"/>
    <s v="Aguardando Liberação"/>
    <s v="2024 10"/>
    <s v="ENTREGUE"/>
    <d v="2024-10-28T00:00:00"/>
    <s v="-"/>
    <s v="NÃO"/>
    <n v="0"/>
    <n v="0"/>
    <n v="0"/>
    <n v="0"/>
    <n v="0"/>
  </r>
  <r>
    <s v="BV"/>
    <s v="BV45589"/>
    <s v="Pedido 51"/>
    <d v="2024-10-24T00:00:00"/>
    <d v="2024-10-24T00:00:00"/>
    <s v="PedidoF42"/>
    <s v="CódRastreio42"/>
    <n v="1"/>
    <s v="CPF 49"/>
    <s v="Nome 49"/>
    <s v="Tel 49"/>
    <s v="Cep 49"/>
    <s v="Rua 49"/>
    <s v="Comp 49"/>
    <x v="5"/>
    <s v="P4-K63S-8KOM"/>
    <d v="2024-11-19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d v="2024-11-26T00:00:00"/>
    <d v="2024-11-26T00:00:00"/>
    <d v="2024-11-29T00:00:00"/>
    <d v="2024-11-29T00:00:00"/>
    <s v="2024 11"/>
    <s v="Aguardando Liberação"/>
    <s v="2024 10"/>
    <s v="ENTREGUE"/>
    <d v="2024-11-03T00:00:00"/>
    <s v="-"/>
    <s v="-"/>
    <n v="0"/>
    <n v="0"/>
    <n v="0"/>
    <n v="0"/>
    <n v="0"/>
  </r>
  <r>
    <s v="BV"/>
    <s v="BV45588"/>
    <s v="Pedido 52"/>
    <d v="2024-10-23T00:00:00"/>
    <d v="2024-10-23T00:00:00"/>
    <s v="PedidoF43"/>
    <s v="CódRastreio43"/>
    <n v="1"/>
    <s v="CPF 50"/>
    <s v="Nome 50"/>
    <s v="Tel 50"/>
    <s v="Cep 50"/>
    <s v="Rua 50"/>
    <s v="Comp 50"/>
    <x v="5"/>
    <s v="P4-K63S-8KOM"/>
    <d v="2024-11-19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d v="2024-11-26T00:00:00"/>
    <d v="2024-11-26T00:00:00"/>
    <d v="2024-11-29T00:00:00"/>
    <d v="2024-11-29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8"/>
    <s v="Pedido 53"/>
    <d v="2024-10-23T00:00:00"/>
    <d v="2024-10-23T00:00:00"/>
    <s v="PedidoF44"/>
    <s v="CódRastreio44"/>
    <n v="1"/>
    <s v="CPF 51"/>
    <s v="Nome 51"/>
    <s v="Tel 51"/>
    <s v="Cep 51"/>
    <s v="Rua 51"/>
    <s v="Comp 51"/>
    <x v="2"/>
    <s v="DJ-RO5O-43GF"/>
    <d v="2024-11-19T00:00:00"/>
    <n v="18.2"/>
    <n v="18.2"/>
    <n v="2.548"/>
    <n v="15.65"/>
    <n v="4.99"/>
    <n v="0.57999999999999996"/>
    <n v="0.39877104377104378"/>
    <n v="0"/>
    <n v="9.6812289562289564"/>
    <n v="4.8406144781144782"/>
    <d v="2024-11-26T00:00:00"/>
    <d v="2024-11-26T00:00:00"/>
    <d v="2024-11-29T00:00:00"/>
    <d v="2024-11-29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617"/>
    <s v="Pedido 54"/>
    <d v="2024-11-21T00:00:00"/>
    <d v="2024-11-21T00:00:00"/>
    <s v="PedidoF45"/>
    <s v="CódRastreio45"/>
    <n v="1"/>
    <s v="CPF 52"/>
    <s v="Nome 52"/>
    <s v="Tel 52"/>
    <s v="Cep 52"/>
    <s v="Rua 52"/>
    <s v="Comp 52"/>
    <x v="1"/>
    <s v="CK-YL6M-P5Y6"/>
    <d v="2024-12-01T00:00:00"/>
    <n v="24.99"/>
    <n v="24.99"/>
    <n v="3.2486999999999999"/>
    <n v="21.74"/>
    <n v="14.99"/>
    <n v="0.21"/>
    <n v="0.39877104377104378"/>
    <n v="0"/>
    <n v="6.1412289562289537"/>
    <n v="3.0706144781144769"/>
    <d v="2024-12-08T00:00:00"/>
    <d v="2024-11-19T00:00:00"/>
    <d v="2024-11-21T00:00:00"/>
    <d v="2024-11-22T00:00:00"/>
    <s v="2024 12"/>
    <s v="Aguardando Liberação"/>
    <s v="2024 11"/>
    <s v="ENTREGUE"/>
    <d v="2024-12-06T19:56:37"/>
    <s v="-"/>
    <s v="NÃO"/>
    <n v="0"/>
    <n v="0"/>
    <n v="0"/>
    <n v="0"/>
    <n v="0"/>
  </r>
  <r>
    <s v="BV"/>
    <s v="BV45589"/>
    <s v="Pedido 55"/>
    <d v="2024-10-24T00:00:00"/>
    <d v="2024-10-24T00:00:00"/>
    <s v="PedidoF46"/>
    <s v="CódRastreio46"/>
    <n v="1"/>
    <s v="CPF 53"/>
    <s v="Nome 53"/>
    <s v="Tel 53"/>
    <s v="Cep 53"/>
    <s v="Rua 53"/>
    <s v="Comp 53"/>
    <x v="5"/>
    <s v="P4-K63S-8KOM"/>
    <d v="2024-11-12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d v="2024-11-19T00:00:00"/>
    <d v="2024-11-19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88"/>
    <s v="Pedido 56"/>
    <d v="2024-10-23T00:00:00"/>
    <d v="2024-10-23T00:00:00"/>
    <s v="PedidoF47"/>
    <s v="CódRastreio47"/>
    <n v="1"/>
    <s v="CPF 54"/>
    <s v="Nome 54"/>
    <s v="Tel 54"/>
    <s v="Cep 54"/>
    <s v="Rua 54"/>
    <s v="Comp 54"/>
    <x v="1"/>
    <s v="CK-YL6M-P5Y6"/>
    <d v="2024-11-06T00:00:00"/>
    <n v="24.99"/>
    <n v="24.99"/>
    <n v="3.2486999999999999"/>
    <n v="21.74"/>
    <n v="9.99"/>
    <n v="0.57999999999999996"/>
    <n v="0.39877104377104378"/>
    <n v="0"/>
    <n v="10.771228956228954"/>
    <n v="5.3856144781144772"/>
    <d v="2024-11-13T00:00:00"/>
    <d v="2024-11-13T00:00:00"/>
    <d v="2024-11-13T00:00:00"/>
    <d v="2024-11-22T00:00:00"/>
    <s v="2024 11"/>
    <s v="Aguardando Liberação"/>
    <s v="2024 10"/>
    <s v="ENTREGUE"/>
    <d v="2024-11-06T00:00:00"/>
    <s v="-"/>
    <s v="NÃO"/>
    <n v="0"/>
    <n v="0"/>
    <n v="0"/>
    <n v="0"/>
    <n v="0"/>
  </r>
  <r>
    <s v="BV"/>
    <s v="BV45588"/>
    <s v="Pedido 57"/>
    <d v="2024-10-23T00:00:00"/>
    <d v="2024-10-23T00:00:00"/>
    <s v="PedidoF48"/>
    <s v="CódRastreio48"/>
    <n v="1"/>
    <s v="CPF 55"/>
    <s v="Nome 55"/>
    <s v="Tel 55"/>
    <s v="Cep 55"/>
    <s v="Rua 55"/>
    <s v="Comp 55"/>
    <x v="1"/>
    <s v="CK-YL6M-P5Y6"/>
    <d v="2024-11-06T00:00:00"/>
    <n v="26.99"/>
    <n v="26.99"/>
    <n v="3.5086999999999997"/>
    <n v="23.48"/>
    <n v="9.99"/>
    <n v="0.57999999999999996"/>
    <n v="0.39877104377104378"/>
    <n v="0"/>
    <n v="12.511228956228956"/>
    <n v="6.2556144781144782"/>
    <d v="2024-11-13T00:00:00"/>
    <d v="2024-11-13T00:00:00"/>
    <d v="2024-11-13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89"/>
    <s v="Pedido 58"/>
    <d v="2024-10-24T00:00:00"/>
    <d v="2024-10-24T00:00:00"/>
    <s v="PedidoF49"/>
    <s v="CódRastreio49"/>
    <n v="1"/>
    <s v="CPF 56"/>
    <s v="Nome 56"/>
    <s v="Tel 56"/>
    <s v="Cep 56"/>
    <s v="Rua 56"/>
    <s v="Comp 56"/>
    <x v="5"/>
    <s v="P4-K63S-8KOM"/>
    <d v="2024-11-06T00:00:00"/>
    <n v="19.989999999999998"/>
    <n v="19.989999999999998"/>
    <n v="2.5987"/>
    <n v="17.39"/>
    <n v="8.74"/>
    <n v="0.52"/>
    <n v="0.39877104377104378"/>
    <n v="0"/>
    <n v="7.7312289562289571"/>
    <n v="3.8656144781144786"/>
    <d v="2024-11-13T00:00:00"/>
    <d v="2024-11-13T00:00:00"/>
    <d v="2024-11-13T00:00:00"/>
    <d v="2024-11-22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88"/>
    <s v="Pedido 59"/>
    <d v="2024-10-23T00:00:00"/>
    <d v="2024-10-23T00:00:00"/>
    <s v="PedidoF50"/>
    <s v="CódRastreio50"/>
    <n v="1"/>
    <s v="CPF 57"/>
    <s v="Nome 57"/>
    <s v="Tel 57"/>
    <s v="Cep 57"/>
    <s v="Rua 57"/>
    <s v="Comp 57"/>
    <x v="1"/>
    <s v="CK-YL6M-P5Y6"/>
    <d v="2024-11-08T00:00:00"/>
    <n v="26.99"/>
    <n v="26.99"/>
    <n v="3.5086999999999997"/>
    <n v="23.48"/>
    <n v="9.99"/>
    <n v="0.57999999999999996"/>
    <n v="0.39877104377104378"/>
    <n v="0"/>
    <n v="12.511228956228956"/>
    <n v="6.2556144781144782"/>
    <d v="2024-11-15T00:00:00"/>
    <d v="2024-11-15T00:00:00"/>
    <d v="2024-11-21T00:00:00"/>
    <d v="2024-11-22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89"/>
    <s v="Pedido 60"/>
    <d v="2024-10-24T00:00:00"/>
    <d v="2024-10-24T00:00:00"/>
    <s v="PedidoF51"/>
    <s v="CódRastreio51"/>
    <n v="1"/>
    <s v="CPF 58"/>
    <s v="Nome 58"/>
    <s v="Tel 58"/>
    <s v="Cep 58"/>
    <s v="Rua 58"/>
    <s v="Comp 58"/>
    <x v="4"/>
    <s v="9G-BN48-QAPH"/>
    <d v="2024-11-13T00:00:00"/>
    <n v="15.99"/>
    <n v="15.99"/>
    <n v="2.3984999999999999"/>
    <n v="13.59"/>
    <n v="4.99"/>
    <n v="0.52"/>
    <n v="0.39877104377104378"/>
    <n v="0"/>
    <n v="7.6812289562289564"/>
    <n v="3.8406144781144782"/>
    <d v="2024-11-20T00:00:00"/>
    <d v="2024-11-20T00:00:00"/>
    <d v="2024-11-21T00:00:00"/>
    <d v="2024-11-22T00:00:00"/>
    <s v="2024 11"/>
    <s v="Aguardando Liberação"/>
    <s v="2024 10"/>
    <s v="ENTREGUE"/>
    <d v="2024-10-29T00:00:00"/>
    <s v="-"/>
    <s v="SIM"/>
    <n v="0"/>
    <n v="0"/>
    <n v="0"/>
    <n v="0"/>
    <n v="0"/>
  </r>
  <r>
    <s v="BV"/>
    <s v="BV45589"/>
    <s v="Pedido 61"/>
    <d v="2024-10-24T00:00:00"/>
    <d v="2024-10-24T00:00:00"/>
    <s v="PedidoF52"/>
    <s v="CódRastreio52"/>
    <n v="1"/>
    <s v="CPF 59"/>
    <s v="Nome 59"/>
    <s v="Tel 59"/>
    <s v="Cep 59"/>
    <s v="Rua 59"/>
    <s v="Comp 59"/>
    <x v="1"/>
    <s v="CK-YL6M-P5Y6"/>
    <d v="2024-11-19T00:00:00"/>
    <n v="30"/>
    <n v="30"/>
    <n v="3.9000000000000004"/>
    <n v="26.1"/>
    <n v="9.99"/>
    <n v="0.52"/>
    <n v="0.39877104377104378"/>
    <n v="0"/>
    <n v="15.191228956228958"/>
    <n v="7.595614478114479"/>
    <d v="2024-11-26T00:00:00"/>
    <d v="2024-11-26T00:00:00"/>
    <d v="2024-11-29T00:00:00"/>
    <d v="2024-11-29T00:00:00"/>
    <s v="2024 11"/>
    <s v="Aguardando Liberação"/>
    <s v="2024 10"/>
    <s v="ENTREGUE"/>
    <d v="2024-11-01T00:00:00"/>
    <s v="-"/>
    <s v="-"/>
    <n v="0"/>
    <n v="0"/>
    <n v="0"/>
    <n v="0"/>
    <n v="0"/>
  </r>
  <r>
    <s v="BV"/>
    <s v="BV45589"/>
    <s v="Pedido 62"/>
    <d v="2024-10-24T00:00:00"/>
    <d v="2024-10-24T00:00:00"/>
    <s v="PedidoF53"/>
    <s v="CódRastreio53"/>
    <n v="1"/>
    <s v="CPF 60"/>
    <s v="Nome 60"/>
    <s v="Tel 60"/>
    <s v="Cep 60"/>
    <s v="Rua 60"/>
    <s v="Comp 60"/>
    <x v="3"/>
    <s v="IF-G2ZQ-79FO"/>
    <d v="2024-11-20T00:00:00"/>
    <n v="50.2"/>
    <n v="50.2"/>
    <n v="6.5260000000000007"/>
    <n v="43.67"/>
    <n v="10.34"/>
    <n v="0.52"/>
    <n v="0.39877104377104378"/>
    <n v="0"/>
    <n v="32.41122895622896"/>
    <n v="16.20561447811448"/>
    <d v="2024-11-27T00:00:00"/>
    <d v="2024-11-27T00:00:00"/>
    <d v="2024-11-29T00:00:00"/>
    <d v="2024-11-29T00:00:00"/>
    <s v="2024 11"/>
    <s v="Aguardando Liberação"/>
    <s v="2024 10"/>
    <s v="ENTREGUE"/>
    <d v="2024-11-06T00:00:00"/>
    <s v="-"/>
    <s v="-"/>
    <n v="0"/>
    <n v="0"/>
    <n v="0"/>
    <n v="0"/>
    <n v="0"/>
  </r>
  <r>
    <s v="BV"/>
    <s v="BV45589"/>
    <s v="Pedido 63"/>
    <d v="2024-10-24T00:00:00"/>
    <d v="2024-10-24T00:00:00"/>
    <s v="PedidoF54"/>
    <s v="CódRastreio54"/>
    <n v="1"/>
    <s v="CPF 61"/>
    <s v="Nome 61"/>
    <s v="Tel 61"/>
    <s v="Cep 61"/>
    <s v="Rua 61"/>
    <s v="Comp 61"/>
    <x v="0"/>
    <s v="16-4EDB-WMZF"/>
    <d v="2024-11-13T00:00:00"/>
    <n v="15.99"/>
    <n v="15.99"/>
    <n v="2.3984999999999999"/>
    <n v="13.59"/>
    <n v="4.99"/>
    <n v="0.52"/>
    <n v="0.39877104377104378"/>
    <n v="0"/>
    <n v="7.6812289562289564"/>
    <n v="3.8406144781144782"/>
    <d v="2024-11-20T00:00:00"/>
    <d v="2024-11-20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89"/>
    <s v="Pedido 64"/>
    <d v="2024-10-24T00:00:00"/>
    <d v="2024-10-24T00:00:00"/>
    <s v="PedidoF55"/>
    <s v="CódRastreio55"/>
    <n v="1"/>
    <s v="CPF 62"/>
    <s v="Nome 62"/>
    <s v="Tel 62"/>
    <s v="Cep 62"/>
    <s v="Rua 62"/>
    <s v="Comp 62"/>
    <x v="0"/>
    <s v="16-4EDB-WMZF"/>
    <d v="2024-11-20T00:00:00"/>
    <n v="15.99"/>
    <n v="15.99"/>
    <n v="2.3984999999999999"/>
    <n v="13.59"/>
    <n v="4.99"/>
    <n v="0.52"/>
    <n v="0.39877104377104378"/>
    <n v="0"/>
    <n v="7.6812289562289564"/>
    <n v="3.8406144781144782"/>
    <d v="2024-11-27T00:00:00"/>
    <d v="2024-11-27T00:00:00"/>
    <d v="2024-11-29T00:00:00"/>
    <d v="2024-11-29T00:00:00"/>
    <s v="2024 11"/>
    <s v="Aguardando Liberação"/>
    <s v="2024 10"/>
    <s v="ENTREGUE"/>
    <d v="2024-11-05T00:00:00"/>
    <s v="-"/>
    <s v="-"/>
    <n v="0"/>
    <n v="0"/>
    <n v="0"/>
    <n v="0"/>
    <n v="0"/>
  </r>
  <r>
    <s v="BV"/>
    <s v="BV45589"/>
    <s v="Pedido 65"/>
    <d v="2024-10-24T00:00:00"/>
    <d v="2024-10-24T00:00:00"/>
    <s v="PedidoF56"/>
    <s v="CódRastreio56"/>
    <n v="1"/>
    <s v="CPF 63"/>
    <s v="Nome 63"/>
    <s v="Tel 63"/>
    <s v="Cep 63"/>
    <s v="Rua 63"/>
    <s v="Comp 63"/>
    <x v="0"/>
    <s v="16-4EDB-WMZF"/>
    <d v="2024-11-20T00:00:00"/>
    <n v="15.99"/>
    <n v="15.99"/>
    <n v="2.3984999999999999"/>
    <n v="13.59"/>
    <n v="4.99"/>
    <n v="0.52"/>
    <n v="0.39877104377104378"/>
    <n v="0"/>
    <n v="7.6812289562289564"/>
    <n v="3.8406144781144782"/>
    <d v="2024-11-27T00:00:00"/>
    <d v="2024-11-27T00:00:00"/>
    <d v="2024-11-29T00:00:00"/>
    <d v="2024-11-29T00:00:00"/>
    <s v="2024 11"/>
    <s v="Aguardando Liberação"/>
    <s v="2024 10"/>
    <s v="ENTREGUE"/>
    <d v="2024-11-08T00:00:00"/>
    <s v="-"/>
    <s v="SIM"/>
    <n v="0"/>
    <n v="0"/>
    <n v="0"/>
    <n v="0"/>
    <n v="0"/>
  </r>
  <r>
    <s v="BV"/>
    <s v="BV45589"/>
    <s v="Pedido 66"/>
    <d v="2024-10-24T00:00:00"/>
    <d v="2024-10-24T00:00:00"/>
    <s v="PedidoF57"/>
    <s v="CódRastreio57"/>
    <n v="1"/>
    <s v="CPF 64"/>
    <s v="Nome 64"/>
    <s v="Tel 64"/>
    <s v="Cep 64"/>
    <s v="Rua 64"/>
    <s v="Comp 64"/>
    <x v="0"/>
    <s v="16-4EDB-WMZF"/>
    <d v="2024-11-07T00:00:00"/>
    <n v="15.99"/>
    <n v="15.99"/>
    <n v="2.3984999999999999"/>
    <n v="13.59"/>
    <n v="4.99"/>
    <n v="0.52"/>
    <n v="0.39877104377104378"/>
    <n v="0"/>
    <n v="7.6812289562289564"/>
    <n v="3.8406144781144782"/>
    <d v="2024-11-14T00:00:00"/>
    <d v="2024-11-14T00:00:00"/>
    <d v="2024-11-21T00:00:00"/>
    <d v="2024-11-22T00:00:00"/>
    <s v="2024 11"/>
    <s v="Aguardando Liberação"/>
    <s v="2024 10"/>
    <s v="ENTREGUE"/>
    <d v="2024-10-29T00:00:00"/>
    <s v="-"/>
    <s v="-"/>
    <n v="0"/>
    <n v="0"/>
    <n v="0"/>
    <n v="0"/>
    <n v="0"/>
  </r>
  <r>
    <s v="BV"/>
    <s v="BV45589"/>
    <s v="Pedido 67"/>
    <d v="2024-10-24T00:00:00"/>
    <d v="2024-10-24T00:00:00"/>
    <s v="PedidoF58"/>
    <s v="CódRastreio58"/>
    <n v="1"/>
    <s v="CPF 65"/>
    <s v="Nome 65"/>
    <s v="Tel 65"/>
    <s v="Cep 65"/>
    <s v="Rua 65"/>
    <s v="Comp 65"/>
    <x v="0"/>
    <s v="16-4EDB-WMZF"/>
    <d v="2024-11-13T00:00:00"/>
    <n v="15.99"/>
    <n v="15.99"/>
    <n v="2.3984999999999999"/>
    <n v="13.59"/>
    <n v="4.99"/>
    <n v="0.52"/>
    <n v="0.39877104377104378"/>
    <n v="0"/>
    <n v="7.6812289562289564"/>
    <n v="3.8406144781144782"/>
    <d v="2024-11-20T00:00:00"/>
    <d v="2024-11-20T00:00:00"/>
    <d v="2024-11-21T00:00:00"/>
    <d v="2024-11-22T00:00:00"/>
    <s v="2024 11"/>
    <s v="Aguardando Liberação"/>
    <s v="2024 10"/>
    <s v="ENTREGUE"/>
    <d v="2024-10-31T00:00:00"/>
    <s v="-"/>
    <s v="SIM"/>
    <n v="0"/>
    <n v="0"/>
    <n v="0"/>
    <n v="0"/>
    <n v="0"/>
  </r>
  <r>
    <s v="BV"/>
    <s v="BV45589"/>
    <s v="Pedido 68"/>
    <d v="2024-10-24T00:00:00"/>
    <d v="2024-10-24T00:00:00"/>
    <s v="PedidoF59"/>
    <s v="CódRastreio59"/>
    <n v="1"/>
    <s v="CPF 66"/>
    <s v="Nome 66"/>
    <s v="Tel 66"/>
    <s v="Cep 66"/>
    <s v="Rua 66"/>
    <s v="Comp 66"/>
    <x v="0"/>
    <s v="16-4EDB-WMZF"/>
    <d v="2024-11-07T00:00:00"/>
    <n v="15.99"/>
    <n v="15.99"/>
    <n v="2.3984999999999999"/>
    <n v="13.59"/>
    <n v="4.99"/>
    <n v="0.52"/>
    <n v="0.39877104377104378"/>
    <n v="0"/>
    <n v="7.6812289562289564"/>
    <n v="3.8406144781144782"/>
    <d v="2024-11-14T00:00:00"/>
    <d v="2024-11-14T00:00:00"/>
    <d v="2024-11-21T00:00:00"/>
    <d v="2024-11-22T00:00:00"/>
    <s v="2024 11"/>
    <s v="Aguardando Liberação"/>
    <s v="2024 10"/>
    <s v="ENTREGUE"/>
    <d v="2024-10-30T00:00:00"/>
    <s v="-"/>
    <s v="SIM"/>
    <n v="0"/>
    <n v="0"/>
    <n v="0"/>
    <n v="0"/>
    <n v="0"/>
  </r>
  <r>
    <s v="BV"/>
    <s v="BV45590"/>
    <s v="Pedido 69"/>
    <d v="2024-10-25T00:00:00"/>
    <d v="2024-10-25T00:00:00"/>
    <s v="PedidoF60"/>
    <s v="CódRastreio60"/>
    <n v="1"/>
    <s v="CPF 67"/>
    <s v="Nome 67"/>
    <s v="Tel 67"/>
    <s v="Cep 67"/>
    <s v="Rua 67"/>
    <s v="Comp 67"/>
    <x v="0"/>
    <s v="16-4EDB-WMZF"/>
    <d v="2024-11-09T00:00:00"/>
    <n v="15.99"/>
    <n v="15.99"/>
    <n v="2.3984999999999999"/>
    <n v="13.59"/>
    <n v="4.99"/>
    <n v="0.55000000000000004"/>
    <n v="0.39877104377104378"/>
    <n v="0"/>
    <n v="7.6512289562289562"/>
    <n v="3.8256144781144781"/>
    <d v="2024-11-16T00:00:00"/>
    <d v="2024-11-16T00:00:00"/>
    <d v="2024-11-21T00:00:00"/>
    <d v="2024-11-22T00:00:00"/>
    <s v="2024 11"/>
    <s v="Aguardando Liberação"/>
    <s v="2024 10"/>
    <s v="ENTREGUE"/>
    <d v="2024-10-30T00:00:00"/>
    <s v="-"/>
    <s v="SIM"/>
    <n v="0"/>
    <n v="0"/>
    <n v="0"/>
    <n v="0"/>
    <n v="0"/>
  </r>
  <r>
    <s v="BV"/>
    <s v="BV45589"/>
    <s v="Pedido 70"/>
    <d v="2024-10-24T00:00:00"/>
    <d v="2024-10-24T00:00:00"/>
    <s v="PedidoF61"/>
    <s v="CódRastreio61"/>
    <n v="1"/>
    <s v="CPF 68"/>
    <s v="Nome 68"/>
    <s v="Tel 68"/>
    <s v="Cep 68"/>
    <s v="Rua 68"/>
    <s v="Comp 68"/>
    <x v="0"/>
    <s v="16-4EDB-WMZF"/>
    <d v="2024-11-07T00:00:00"/>
    <n v="15.99"/>
    <n v="15.99"/>
    <n v="2.3984999999999999"/>
    <n v="13.59"/>
    <n v="4.99"/>
    <n v="0.52"/>
    <n v="0.39877104377104378"/>
    <n v="0"/>
    <n v="7.6812289562289564"/>
    <n v="3.8406144781144782"/>
    <d v="2024-11-14T00:00:00"/>
    <d v="2024-11-14T00:00:00"/>
    <d v="2024-11-21T00:00:00"/>
    <d v="2024-11-22T00:00:00"/>
    <s v="2024 11"/>
    <s v="Aguardando Liberação"/>
    <s v="2024 10"/>
    <s v="ENTREGUE"/>
    <d v="2024-10-29T00:00:00"/>
    <s v="-"/>
    <s v="SIM"/>
    <n v="0"/>
    <n v="0"/>
    <n v="0"/>
    <n v="0"/>
    <n v="0"/>
  </r>
  <r>
    <s v="BV"/>
    <s v="BV45589"/>
    <s v="Pedido 71"/>
    <d v="2024-10-24T00:00:00"/>
    <d v="2024-10-24T00:00:00"/>
    <s v="PedidoF62"/>
    <s v="CódRastreio62"/>
    <n v="1"/>
    <s v="CPF 69"/>
    <s v="Nome 69"/>
    <s v="Tel 69"/>
    <s v="Cep 69"/>
    <s v="Rua 69"/>
    <s v="Comp 69"/>
    <x v="0"/>
    <s v="16-4EDB-WMZF"/>
    <d v="2024-11-20T00:00:00"/>
    <n v="14.99"/>
    <n v="14.99"/>
    <n v="2.2484999999999999"/>
    <n v="12.74"/>
    <n v="4.99"/>
    <n v="0.52"/>
    <n v="0.39877104377104378"/>
    <n v="0"/>
    <n v="6.8312289562289568"/>
    <n v="3.4156144781144784"/>
    <d v="2024-11-27T00:00:00"/>
    <d v="2024-11-27T00:00:00"/>
    <d v="2024-11-29T00:00:00"/>
    <d v="2024-11-29T00:00:00"/>
    <s v="2024 11"/>
    <s v="Aguardando Liberação"/>
    <s v="2024 10"/>
    <s v="ENTREGUE"/>
    <d v="2024-11-01T00:00:00"/>
    <s v="-"/>
    <s v="SIM"/>
    <n v="0"/>
    <n v="0"/>
    <n v="0"/>
    <n v="0"/>
    <n v="0"/>
  </r>
  <r>
    <s v="BV"/>
    <s v="BV45590"/>
    <s v="Pedido 72"/>
    <d v="2024-10-25T00:00:00"/>
    <d v="2024-10-25T00:00:00"/>
    <s v="PedidoF63"/>
    <s v="CódRastreio63"/>
    <n v="1"/>
    <s v="CPF 70"/>
    <s v="Nome 70"/>
    <s v="Tel 70"/>
    <s v="Cep 70"/>
    <s v="Rua 70"/>
    <s v="Comp 70"/>
    <x v="1"/>
    <s v="CK-YL6M-P5Y6"/>
    <d v="2024-11-14T00:00:00"/>
    <n v="29.99"/>
    <n v="29.99"/>
    <n v="3.8986999999999998"/>
    <n v="26.09"/>
    <n v="9.99"/>
    <n v="0.55000000000000004"/>
    <n v="0.39877104377104378"/>
    <n v="0"/>
    <n v="15.151228956228955"/>
    <n v="7.5756144781144776"/>
    <d v="2024-11-21T00:00:00"/>
    <d v="2024-11-21T00:00:00"/>
    <d v="2024-11-21T00:00:00"/>
    <d v="2024-11-22T00:00:00"/>
    <s v="2024 11"/>
    <s v="Aguardando Liberação"/>
    <s v="2024 10"/>
    <s v="ENTREGUE"/>
    <d v="2024-11-12T00:00:00"/>
    <s v="-"/>
    <s v="SIM"/>
    <n v="0"/>
    <n v="0"/>
    <n v="0"/>
    <n v="0"/>
    <n v="0"/>
  </r>
  <r>
    <s v="BV"/>
    <s v="BV45590"/>
    <s v="Pedido 73"/>
    <d v="2024-10-25T00:00:00"/>
    <d v="2024-10-25T00:00:00"/>
    <s v="PedidoF64"/>
    <s v="CódRastreio64"/>
    <n v="1"/>
    <s v="CPF 71"/>
    <s v="Nome 71"/>
    <s v="Tel 71"/>
    <s v="Cep 71"/>
    <s v="Rua 71"/>
    <s v="Comp 71"/>
    <x v="2"/>
    <s v="DJ-RO5O-43GF"/>
    <d v="2024-11-20T00:00:00"/>
    <n v="18.2"/>
    <n v="18.2"/>
    <n v="2.548"/>
    <n v="15.65"/>
    <n v="4.99"/>
    <n v="0.55000000000000004"/>
    <n v="0.39877104377104378"/>
    <n v="0"/>
    <n v="9.7112289562289575"/>
    <n v="4.8556144781144788"/>
    <d v="2024-11-27T00:00:00"/>
    <d v="2024-11-27T00:00:00"/>
    <d v="2024-11-29T00:00:00"/>
    <d v="2024-11-29T00:00:00"/>
    <s v="2024 11"/>
    <s v="Aguardando Liberação"/>
    <s v="2024 10"/>
    <s v="ENTREGUE"/>
    <d v="2024-11-04T00:00:00"/>
    <s v="-"/>
    <s v="-"/>
    <n v="0"/>
    <n v="0"/>
    <n v="0"/>
    <n v="0"/>
    <n v="0"/>
  </r>
  <r>
    <s v="BV"/>
    <s v="BV45590"/>
    <s v="Pedido 74"/>
    <d v="2024-10-25T00:00:00"/>
    <d v="2024-10-25T00:00:00"/>
    <s v="PedidoF65"/>
    <s v="CódRastreio65"/>
    <n v="1"/>
    <s v="CPF 72"/>
    <s v="Nome 72"/>
    <s v="Tel 72"/>
    <s v="Cep 72"/>
    <s v="Rua 72"/>
    <s v="Comp 72"/>
    <x v="3"/>
    <s v="IF-G2ZQ-79FO"/>
    <d v="2024-11-28T00:00:00"/>
    <n v="59.99"/>
    <n v="59.99"/>
    <n v="7.7987000000000002"/>
    <n v="52.19"/>
    <n v="7.26"/>
    <n v="0.55000000000000004"/>
    <n v="0.39877104377104378"/>
    <n v="0"/>
    <n v="43.981228956228954"/>
    <n v="21.990614478114477"/>
    <d v="2024-12-05T00:00:00"/>
    <d v="2024-12-05T00:00:00"/>
    <d v="2024-12-11T00:00:00"/>
    <d v="2024-12-16T00:00:00"/>
    <s v="2024 12"/>
    <s v="Aguardando Liberação"/>
    <s v="2024 10"/>
    <s v="ENTREGUE"/>
    <d v="2024-11-27T00:00:00"/>
    <s v="-"/>
    <s v="-"/>
    <n v="0"/>
    <n v="0"/>
    <n v="0"/>
    <n v="0"/>
    <n v="0"/>
  </r>
  <r>
    <s v="BV"/>
    <s v="BV45590"/>
    <s v="Pedido 75"/>
    <d v="2024-10-25T00:00:00"/>
    <d v="2024-10-25T00:00:00"/>
    <s v="PedidoF66"/>
    <s v="CódRastreio66"/>
    <n v="1"/>
    <s v="CPF 73"/>
    <s v="Nome 73"/>
    <s v="Tel 73"/>
    <s v="Cep 73"/>
    <s v="Rua 73"/>
    <s v="Comp 73"/>
    <x v="4"/>
    <s v="9G-BN48-QAPH"/>
    <d v="2024-11-08T00:00:00"/>
    <n v="15.99"/>
    <n v="15.99"/>
    <n v="2.3984999999999999"/>
    <n v="13.59"/>
    <n v="4.99"/>
    <n v="0.55000000000000004"/>
    <n v="0.39877104377104378"/>
    <n v="0"/>
    <n v="7.6512289562289562"/>
    <n v="3.8256144781144781"/>
    <d v="2024-11-15T00:00:00"/>
    <d v="2024-11-15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90"/>
    <s v="Pedido 76"/>
    <d v="2024-10-25T00:00:00"/>
    <d v="2024-10-25T00:00:00"/>
    <s v="PedidoF67"/>
    <s v="CódRastreio67"/>
    <n v="1"/>
    <s v="CPF 74"/>
    <s v="Nome 74"/>
    <s v="Tel 74"/>
    <s v="Cep 74"/>
    <s v="Rua 74"/>
    <s v="Comp 74"/>
    <x v="0"/>
    <s v="16-4EDB-WMZF"/>
    <d v="2024-11-21T00:00:00"/>
    <n v="15.99"/>
    <n v="15.99"/>
    <n v="2.3984999999999999"/>
    <n v="13.59"/>
    <n v="4.99"/>
    <n v="0.55000000000000004"/>
    <n v="0.39877104377104378"/>
    <n v="0"/>
    <n v="7.6512289562289562"/>
    <n v="3.8256144781144781"/>
    <d v="2024-11-28T00:00:00"/>
    <d v="2024-11-28T00:00:00"/>
    <d v="2024-11-29T00:00:00"/>
    <d v="2024-11-29T00:00:00"/>
    <s v="2024 11"/>
    <s v="Aguardando Liberação"/>
    <s v="2024 10"/>
    <s v="ENTREGUE"/>
    <d v="2024-11-03T00:00:00"/>
    <s v="-"/>
    <s v="-"/>
    <n v="0"/>
    <n v="0"/>
    <n v="0"/>
    <n v="0"/>
    <n v="0"/>
  </r>
  <r>
    <s v="BV"/>
    <s v="BV45590"/>
    <s v="Pedido 77"/>
    <d v="2024-10-25T00:00:00"/>
    <d v="2024-10-25T00:00:00"/>
    <s v="PedidoF68"/>
    <s v="CódRastreio68"/>
    <n v="1"/>
    <s v="CPF 75"/>
    <s v="Nome 75"/>
    <s v="Tel 75"/>
    <s v="Cep 75"/>
    <s v="Rua 75"/>
    <s v="Comp 75"/>
    <x v="0"/>
    <s v="16-4EDB-WMZF"/>
    <d v="2024-11-14T00:00:00"/>
    <n v="15.99"/>
    <n v="15.99"/>
    <n v="2.3984999999999999"/>
    <n v="13.59"/>
    <n v="4.99"/>
    <n v="0.55000000000000004"/>
    <n v="0.39877104377104378"/>
    <n v="0"/>
    <n v="7.6512289562289562"/>
    <n v="3.8256144781144781"/>
    <d v="2024-11-21T00:00:00"/>
    <d v="2024-11-21T00:00:00"/>
    <d v="2024-11-21T00:00:00"/>
    <d v="2024-11-22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0"/>
    <s v="Pedido 78"/>
    <d v="2024-10-25T00:00:00"/>
    <d v="2024-10-25T00:00:00"/>
    <s v="PedidoF69"/>
    <s v="CódRastreio69"/>
    <n v="1"/>
    <s v="CPF 76"/>
    <s v="Nome 76"/>
    <s v="Tel 76"/>
    <s v="Cep 76"/>
    <s v="Rua 76"/>
    <s v="Comp 76"/>
    <x v="2"/>
    <s v="DJ-RO5O-43GF"/>
    <d v="2024-11-21T00:00:00"/>
    <n v="18.2"/>
    <n v="18.2"/>
    <n v="2.548"/>
    <n v="15.65"/>
    <n v="4.99"/>
    <n v="0.55000000000000004"/>
    <n v="0.39877104377104378"/>
    <n v="0"/>
    <n v="9.7112289562289575"/>
    <n v="4.8556144781144788"/>
    <d v="2024-11-28T00:00:00"/>
    <d v="2024-11-28T00:00:00"/>
    <d v="2024-11-29T00:00:00"/>
    <d v="2024-11-29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614"/>
    <s v="Pedido 79"/>
    <d v="2024-11-18T00:00:00"/>
    <d v="2024-11-18T00:00:00"/>
    <s v="PedidoF70"/>
    <s v="CódRastreio70"/>
    <n v="1"/>
    <s v="CPF 77"/>
    <s v="Nome 77"/>
    <s v="Tel 77"/>
    <s v="Cep 77"/>
    <s v="Rua 77"/>
    <s v="Comp 77"/>
    <x v="2"/>
    <s v="DJ-RO5O-43GF"/>
    <d v="2024-11-14T00:00:00"/>
    <n v="18.2"/>
    <n v="18.2"/>
    <n v="2.548"/>
    <n v="15.65"/>
    <n v="6.99"/>
    <n v="0.17"/>
    <n v="0.39877104377104378"/>
    <n v="0"/>
    <n v="8.0912289562289565"/>
    <n v="4.0456144781144783"/>
    <d v="2024-11-21T00:00:00"/>
    <d v="2024-11-21T00:00:00"/>
    <d v="2024-11-21T00:00:00"/>
    <d v="2024-11-22T00:00:00"/>
    <s v="2024 11"/>
    <s v="Aguardando Liberação"/>
    <s v="2024 11"/>
    <s v="ENTREGUE"/>
    <d v="2024-11-28T00:00:00"/>
    <s v="-"/>
    <s v="NÃO"/>
    <n v="0"/>
    <n v="0"/>
    <n v="0"/>
    <n v="0"/>
    <n v="0"/>
  </r>
  <r>
    <s v="BV"/>
    <s v="BV45590"/>
    <s v="Pedido 80"/>
    <d v="2024-10-25T00:00:00"/>
    <d v="2024-10-25T00:00:00"/>
    <s v="PedidoF71"/>
    <s v="CódRastreio71"/>
    <n v="1"/>
    <s v="CPF 78"/>
    <s v="Nome 78"/>
    <s v="Tel 78"/>
    <s v="Cep 78"/>
    <s v="Rua 78"/>
    <s v="Comp 78"/>
    <x v="4"/>
    <s v="9G-BN48-QAPH"/>
    <d v="2024-11-08T00:00:00"/>
    <n v="15.99"/>
    <n v="15.99"/>
    <n v="2.3984999999999999"/>
    <n v="13.59"/>
    <n v="4.99"/>
    <n v="0.55000000000000004"/>
    <n v="0.39877104377104378"/>
    <n v="0"/>
    <n v="7.6512289562289562"/>
    <n v="3.8256144781144781"/>
    <d v="2024-11-15T00:00:00"/>
    <d v="2024-11-15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90"/>
    <s v="Pedido 81"/>
    <d v="2024-10-25T00:00:00"/>
    <d v="2024-10-25T00:00:00"/>
    <s v="PedidoF72"/>
    <s v="CódRastreio72"/>
    <n v="1"/>
    <s v="CPF 79"/>
    <s v="Nome 79"/>
    <s v="Tel 79"/>
    <s v="Cep 79"/>
    <s v="Rua 79"/>
    <s v="Comp 79"/>
    <x v="6"/>
    <s v="KN-TBQL-K2MM"/>
    <d v="2024-11-21T00:00:00"/>
    <n v="22.99"/>
    <n v="22.99"/>
    <n v="2.9886999999999997"/>
    <n v="20"/>
    <n v="6.32"/>
    <n v="0.55000000000000004"/>
    <n v="0.39877104377104378"/>
    <n v="0"/>
    <n v="12.731228956228957"/>
    <n v="6.3656144781144786"/>
    <d v="2024-11-28T00:00:00"/>
    <d v="2024-11-28T00:00:00"/>
    <d v="2024-11-29T00:00:00"/>
    <d v="2024-11-29T00:00:00"/>
    <s v="2024 11"/>
    <s v="Aguardando Liberação"/>
    <s v="2024 10"/>
    <s v="ENTREGUE"/>
    <d v="2024-11-04T00:00:00"/>
    <s v="-"/>
    <s v="-"/>
    <n v="0"/>
    <n v="0"/>
    <n v="0"/>
    <n v="0"/>
    <n v="0"/>
  </r>
  <r>
    <s v="BV"/>
    <s v="BV45591"/>
    <s v="Pedido 81"/>
    <d v="2024-10-26T00:00:00"/>
    <d v="2024-10-26T00:00:00"/>
    <s v="PedidoF73"/>
    <s v="CódRastreio73"/>
    <n v="1"/>
    <s v="CPF 79"/>
    <s v="Nome 79"/>
    <s v="Tel 79"/>
    <s v="Cep 79"/>
    <s v="Rua 79"/>
    <s v="Comp 79"/>
    <x v="4"/>
    <s v="9G-BN48-QAPH"/>
    <d v="2024-11-21T00:00:00"/>
    <n v="15.99"/>
    <n v="15.99"/>
    <n v="2.3984999999999999"/>
    <n v="13.59"/>
    <n v="4.99"/>
    <n v="0.25"/>
    <n v="0.39877104377104378"/>
    <n v="0"/>
    <n v="7.951228956228956"/>
    <n v="3.975614478114478"/>
    <d v="2024-11-28T00:00:00"/>
    <d v="2024-11-28T00:00:00"/>
    <d v="2024-11-29T00:00:00"/>
    <d v="2024-11-29T00:00:00"/>
    <s v="2024 11"/>
    <s v="Aguardando Liberação"/>
    <s v="2024 10"/>
    <s v="-"/>
    <s v="-"/>
    <s v="-"/>
    <s v="NÃO"/>
    <n v="0"/>
    <n v="0"/>
    <n v="0"/>
    <n v="0"/>
    <n v="0"/>
  </r>
  <r>
    <s v="BV"/>
    <s v="BV45591"/>
    <s v="Pedido 81"/>
    <d v="2024-10-26T00:00:00"/>
    <d v="2024-10-26T00:00:00"/>
    <s v="PedidoF74"/>
    <s v="CódRastreio74"/>
    <n v="1"/>
    <s v="CPF 79"/>
    <s v="Nome 79"/>
    <s v="Tel 79"/>
    <s v="Cep 79"/>
    <s v="Rua 79"/>
    <s v="Comp 79"/>
    <x v="0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d v="2024-11-28T00:00:00"/>
    <d v="2024-11-28T00:00:00"/>
    <d v="2024-11-29T00:00:00"/>
    <d v="2024-11-29T00:00:00"/>
    <s v="2024 11"/>
    <s v="Aguardando Liberação"/>
    <s v="2024 10"/>
    <s v="-"/>
    <s v="-"/>
    <s v="-"/>
    <s v="SIM"/>
    <n v="0"/>
    <n v="0"/>
    <n v="0"/>
    <n v="0"/>
    <n v="0"/>
  </r>
  <r>
    <s v="BV"/>
    <s v="BV45590"/>
    <s v="Pedido 82"/>
    <d v="2024-10-25T00:00:00"/>
    <d v="2024-10-25T00:00:00"/>
    <s v="PedidoF75"/>
    <s v="CódRastreio75"/>
    <n v="1"/>
    <s v="CPF 80"/>
    <s v="Nome 80"/>
    <s v="Tel 80"/>
    <s v="Cep 80"/>
    <s v="Rua 80"/>
    <s v="Comp 80"/>
    <x v="2"/>
    <s v="DJ-RO5O-43GF"/>
    <d v="2024-11-21T00:00:00"/>
    <n v="18.2"/>
    <n v="18.2"/>
    <n v="2.548"/>
    <n v="15.65"/>
    <n v="4.99"/>
    <n v="0.55000000000000004"/>
    <n v="0.39877104377104378"/>
    <n v="0"/>
    <n v="9.7112289562289575"/>
    <n v="4.8556144781144788"/>
    <d v="2024-11-28T00:00:00"/>
    <d v="2024-11-28T00:00:00"/>
    <d v="2024-11-29T00:00:00"/>
    <d v="2024-11-29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0"/>
    <s v="Pedido 83"/>
    <d v="2024-10-25T00:00:00"/>
    <d v="2024-10-25T00:00:00"/>
    <s v="PedidoF76"/>
    <s v="CódRastreio76"/>
    <n v="1"/>
    <s v="CPF 81"/>
    <s v="Nome 81"/>
    <s v="Tel 81"/>
    <s v="Cep 81"/>
    <s v="Rua 81"/>
    <s v="Comp 81"/>
    <x v="0"/>
    <s v="16-4EDB-WMZF"/>
    <d v="2024-11-21T00:00:00"/>
    <n v="15.99"/>
    <n v="15.99"/>
    <n v="2.3984999999999999"/>
    <n v="13.59"/>
    <n v="4.99"/>
    <n v="0.55000000000000004"/>
    <n v="0.39877104377104378"/>
    <n v="0"/>
    <n v="7.6512289562289562"/>
    <n v="3.8256144781144781"/>
    <d v="2024-11-28T00:00:00"/>
    <d v="2024-11-28T00:00:00"/>
    <d v="2024-11-29T00:00:00"/>
    <d v="2024-11-29T00:00:00"/>
    <s v="2024 11"/>
    <s v="Aguardando Liberação"/>
    <s v="2024 10"/>
    <s v="ENTREGUE"/>
    <d v="2024-11-07T00:00:00"/>
    <s v="-"/>
    <s v="-"/>
    <n v="0"/>
    <n v="0"/>
    <n v="0"/>
    <n v="0"/>
    <n v="0"/>
  </r>
  <r>
    <s v="BV"/>
    <s v="BV45590"/>
    <s v="Pedido 84"/>
    <d v="2024-10-25T00:00:00"/>
    <d v="2024-10-25T00:00:00"/>
    <s v="PedidoF77"/>
    <s v="CódRastreio77"/>
    <n v="1"/>
    <s v="CPF 82"/>
    <s v="Nome 82"/>
    <s v="Tel 82"/>
    <s v="Cep 82"/>
    <s v="Rua 82"/>
    <s v="Comp 82"/>
    <x v="1"/>
    <s v="CK-YL6M-P5Y6"/>
    <d v="2024-11-21T00:00:00"/>
    <n v="38.99"/>
    <n v="38.99"/>
    <n v="5.0687000000000006"/>
    <n v="33.92"/>
    <n v="9.99"/>
    <n v="0.55000000000000004"/>
    <n v="0.39877104377104378"/>
    <n v="0"/>
    <n v="22.981228956228957"/>
    <n v="11.490614478114479"/>
    <d v="2024-11-28T00:00:00"/>
    <d v="2024-11-28T00:00:00"/>
    <d v="2024-11-29T00:00:00"/>
    <d v="2024-11-29T00:00:00"/>
    <s v="2024 11"/>
    <s v="Aguardando Liberação"/>
    <s v="2024 10"/>
    <s v="ENTREGUE"/>
    <d v="2024-11-08T00:00:00"/>
    <s v="-"/>
    <s v="NÃO"/>
    <n v="0"/>
    <n v="0"/>
    <n v="0"/>
    <n v="0"/>
    <n v="0"/>
  </r>
  <r>
    <s v="BV"/>
    <s v="BV45590"/>
    <s v="Pedido 85"/>
    <d v="2024-10-25T00:00:00"/>
    <d v="2024-10-25T00:00:00"/>
    <s v="PedidoF78"/>
    <s v="CódRastreio78"/>
    <n v="1"/>
    <s v="CPF 83"/>
    <s v="Nome 83"/>
    <s v="Tel 83"/>
    <s v="Cep 83"/>
    <s v="Rua 83"/>
    <s v="Comp 83"/>
    <x v="0"/>
    <s v="16-4EDB-WMZF"/>
    <d v="2024-11-14T00:00:00"/>
    <n v="25.99"/>
    <n v="25.99"/>
    <n v="3.8984999999999994"/>
    <n v="22.09"/>
    <n v="4.99"/>
    <n v="0.55000000000000004"/>
    <n v="0.39877104377104378"/>
    <n v="0"/>
    <n v="16.151228956228955"/>
    <n v="8.0756144781144776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-"/>
    <n v="0"/>
    <n v="0"/>
    <n v="0"/>
    <n v="0"/>
    <n v="0"/>
  </r>
  <r>
    <s v="BV"/>
    <s v="BV45591"/>
    <s v="Pedido 86"/>
    <d v="2024-10-26T00:00:00"/>
    <d v="2024-10-26T00:00:00"/>
    <s v="PedidoF79"/>
    <s v="CódRastreio79"/>
    <n v="1"/>
    <s v="CPF 84"/>
    <s v="Nome 84"/>
    <s v="Tel 84"/>
    <s v="Cep 84"/>
    <s v="Rua 84"/>
    <s v="Comp 84"/>
    <x v="3"/>
    <s v="IF-G2ZQ-79FO"/>
    <d v="2024-11-14T00:00:00"/>
    <n v="59.99"/>
    <n v="59.99"/>
    <n v="7.7987000000000002"/>
    <n v="52.19"/>
    <n v="7.25"/>
    <n v="0.25"/>
    <n v="0.39877104377104378"/>
    <n v="0"/>
    <n v="44.291228956228956"/>
    <n v="22.145614478114478"/>
    <d v="2024-11-21T00:00:00"/>
    <d v="2024-11-21T00:00:00"/>
    <d v="2024-11-21T00:00:00"/>
    <d v="2024-11-22T00:00:00"/>
    <s v="2024 11"/>
    <s v="Aguardando Liberação"/>
    <s v="2024 10"/>
    <s v="ENTREGUE"/>
    <d v="2024-11-05T00:00:00"/>
    <s v="-"/>
    <s v="-"/>
    <n v="0"/>
    <n v="0"/>
    <n v="0"/>
    <n v="0"/>
    <n v="0"/>
  </r>
  <r>
    <s v="BV"/>
    <s v="BV45591"/>
    <s v="Pedido 87"/>
    <d v="2024-10-26T00:00:00"/>
    <d v="2024-10-26T00:00:00"/>
    <s v="PedidoF80"/>
    <s v="CódRastreio80"/>
    <n v="1"/>
    <s v="CPF 85"/>
    <s v="Nome 85"/>
    <s v="Tel 85"/>
    <s v="Cep 85"/>
    <s v="Rua 85"/>
    <s v="Comp 85"/>
    <x v="0"/>
    <s v="16-4EDB-WMZF"/>
    <d v="2024-11-08T00:00:00"/>
    <n v="15.99"/>
    <n v="15.99"/>
    <n v="2.3984999999999999"/>
    <n v="13.59"/>
    <n v="4.99"/>
    <n v="0.25"/>
    <n v="0.39877104377104378"/>
    <n v="0"/>
    <n v="7.951228956228956"/>
    <n v="3.975614478114478"/>
    <d v="2024-11-15T00:00:00"/>
    <d v="2024-11-15T00:00:00"/>
    <d v="2024-11-21T00:00:00"/>
    <d v="2024-11-22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1"/>
    <s v="Pedido 88"/>
    <d v="2024-10-26T00:00:00"/>
    <d v="2024-10-26T00:00:00"/>
    <s v="PedidoF81"/>
    <s v="CódRastreio81"/>
    <n v="1"/>
    <s v="CPF 86"/>
    <s v="Nome 86"/>
    <s v="Tel 86"/>
    <s v="Cep 86"/>
    <s v="Rua 86"/>
    <s v="Comp 86"/>
    <x v="0"/>
    <s v="16-4EDB-WMZF"/>
    <d v="2024-11-12T00:00:00"/>
    <n v="15.99"/>
    <n v="15.99"/>
    <n v="2.3984999999999999"/>
    <n v="13.59"/>
    <n v="4.99"/>
    <n v="0.25"/>
    <n v="0.39877104377104378"/>
    <n v="0"/>
    <n v="7.951228956228956"/>
    <n v="3.975614478114478"/>
    <d v="2024-11-19T00:00:00"/>
    <d v="2024-11-19T00:00:00"/>
    <d v="2024-11-21T00:00:00"/>
    <d v="2024-11-22T00:00:00"/>
    <s v="2024 11"/>
    <s v="Aguardando Liberação"/>
    <s v="2024 10"/>
    <s v="ENTREGUE"/>
    <d v="2024-10-30T00:00:00"/>
    <s v="-"/>
    <s v="-"/>
    <n v="0"/>
    <n v="0"/>
    <n v="0"/>
    <n v="0"/>
    <n v="0"/>
  </r>
  <r>
    <s v="BV"/>
    <s v="BV45591"/>
    <s v="Pedido 89"/>
    <d v="2024-10-26T00:00:00"/>
    <d v="2024-10-26T00:00:00"/>
    <s v="PedidoF82"/>
    <s v="CódRastreio82"/>
    <n v="1"/>
    <s v="CPF 87"/>
    <s v="Nome 87"/>
    <s v="Tel 87"/>
    <s v="Cep 87"/>
    <s v="Rua 87"/>
    <s v="Comp 87"/>
    <x v="0"/>
    <s v="16-4EDB-WMZF"/>
    <d v="2024-11-14T00:00:00"/>
    <n v="15.99"/>
    <n v="15.99"/>
    <n v="2.3984999999999999"/>
    <n v="13.59"/>
    <n v="4.99"/>
    <n v="0.25"/>
    <n v="0.39877104377104378"/>
    <n v="0"/>
    <n v="7.951228956228956"/>
    <n v="3.975614478114478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-"/>
    <n v="0"/>
    <n v="0"/>
    <n v="0"/>
    <n v="0"/>
    <n v="0"/>
  </r>
  <r>
    <s v="BV"/>
    <s v="BV45591"/>
    <s v="Pedido 90"/>
    <d v="2024-10-26T00:00:00"/>
    <d v="2024-10-26T00:00:00"/>
    <s v="PedidoF83"/>
    <s v="CódRastreio83"/>
    <n v="1"/>
    <s v="CPF 88"/>
    <s v="Nome 88"/>
    <s v="Tel 88"/>
    <s v="Cep 88"/>
    <s v="Rua 88"/>
    <s v="Comp 88"/>
    <x v="2"/>
    <s v="DJ-RO5O-43GF"/>
    <d v="2024-11-14T00:00:00"/>
    <n v="18.3"/>
    <n v="18.3"/>
    <n v="2.5620000000000003"/>
    <n v="15.74"/>
    <n v="4.99"/>
    <n v="0.25"/>
    <n v="0.39877104377104378"/>
    <n v="0"/>
    <n v="10.101228956228956"/>
    <n v="5.0506144781144782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-"/>
    <n v="0"/>
    <n v="0"/>
    <n v="0"/>
    <n v="0"/>
    <n v="0"/>
  </r>
  <r>
    <s v="BV"/>
    <s v="BV45591"/>
    <s v="Pedido 91"/>
    <d v="2024-10-26T00:00:00"/>
    <d v="2024-10-26T00:00:00"/>
    <s v="PedidoF84"/>
    <s v="CódRastreio84"/>
    <n v="1"/>
    <s v="CPF 89"/>
    <s v="Nome 89"/>
    <s v="Tel 89"/>
    <s v="Cep 89"/>
    <s v="Rua 89"/>
    <s v="Comp 89"/>
    <x v="0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d v="2024-11-28T00:00:00"/>
    <d v="2024-11-28T00:00:00"/>
    <d v="2024-11-29T00:00:00"/>
    <d v="2024-11-29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1"/>
    <s v="Pedido 92"/>
    <d v="2024-10-26T00:00:00"/>
    <d v="2024-10-26T00:00:00"/>
    <s v="PedidoF85"/>
    <s v="CódRastreio85"/>
    <n v="1"/>
    <s v="CPF 90"/>
    <s v="Nome 90"/>
    <s v="Tel 90"/>
    <s v="Cep 90"/>
    <s v="Rua 90"/>
    <s v="Comp 90"/>
    <x v="2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d v="2024-11-28T00:00:00"/>
    <d v="2024-11-28T00:00:00"/>
    <d v="2024-11-29T00:00:00"/>
    <d v="2024-11-29T00:00:00"/>
    <s v="2024 11"/>
    <s v="Aguardando Liberação"/>
    <s v="2024 10"/>
    <s v="ENTREGUE"/>
    <d v="2024-11-02T00:00:00"/>
    <s v="-"/>
    <s v="NÃO"/>
    <n v="0"/>
    <n v="0"/>
    <n v="0"/>
    <n v="0"/>
    <n v="0"/>
  </r>
  <r>
    <s v="BV"/>
    <s v="BV45591"/>
    <s v="Pedido 93"/>
    <d v="2024-10-26T00:00:00"/>
    <d v="2024-10-26T00:00:00"/>
    <s v="PedidoF86"/>
    <s v="CódRastreio86"/>
    <n v="1"/>
    <s v="CPF 91"/>
    <s v="Nome 91"/>
    <s v="Tel 91"/>
    <s v="Cep 91"/>
    <s v="Rua 91"/>
    <s v="Comp 91"/>
    <x v="2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d v="2024-11-28T00:00:00"/>
    <d v="2024-11-28T00:00:00"/>
    <d v="2024-11-29T00:00:00"/>
    <d v="2024-11-29T00:00:00"/>
    <s v="2024 11"/>
    <s v="Aguardando Liberação"/>
    <s v="2024 10"/>
    <s v="ENTREGUE"/>
    <d v="2024-11-01T00:00:00"/>
    <s v="-"/>
    <s v="-"/>
    <n v="0"/>
    <n v="0"/>
    <n v="0"/>
    <n v="0"/>
    <n v="0"/>
  </r>
  <r>
    <s v="BV"/>
    <s v="BV45591"/>
    <s v="Pedido 94"/>
    <d v="2024-10-26T00:00:00"/>
    <d v="2024-10-26T00:00:00"/>
    <s v="PedidoF87"/>
    <s v="CódRastreio87"/>
    <n v="1"/>
    <s v="CPF 92"/>
    <s v="Nome 92"/>
    <s v="Tel 92"/>
    <s v="Cep 92"/>
    <s v="Rua 92"/>
    <s v="Comp 92"/>
    <x v="2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d v="2024-11-28T00:00:00"/>
    <d v="2024-11-28T00:00:00"/>
    <d v="2024-11-29T00:00:00"/>
    <d v="2024-11-29T00:00:00"/>
    <s v="2024 11"/>
    <s v="Aguardando Liberação"/>
    <s v="2024 10"/>
    <s v="ENTREGUE"/>
    <d v="2024-11-05T00:00:00"/>
    <s v="-"/>
    <s v="SIM"/>
    <n v="0"/>
    <n v="0"/>
    <n v="0"/>
    <n v="0"/>
    <n v="0"/>
  </r>
  <r>
    <s v="BV"/>
    <s v="BV45591"/>
    <s v="Pedido 95"/>
    <d v="2024-10-26T00:00:00"/>
    <d v="2024-10-26T00:00:00"/>
    <s v="PedidoF88"/>
    <s v="CódRastreio88"/>
    <n v="1"/>
    <s v="CPF 93"/>
    <s v="Nome 93"/>
    <s v="Tel 93"/>
    <s v="Cep 93"/>
    <s v="Rua 93"/>
    <s v="Comp 93"/>
    <x v="0"/>
    <s v="16-4EDB-WMZF"/>
    <d v="2024-11-14T00:00:00"/>
    <n v="15.99"/>
    <n v="15.99"/>
    <n v="2.3984999999999999"/>
    <n v="13.59"/>
    <n v="4.99"/>
    <n v="0.25"/>
    <n v="0.39877104377104378"/>
    <n v="0"/>
    <n v="7.951228956228956"/>
    <n v="3.975614478114478"/>
    <d v="2024-11-21T00:00:00"/>
    <d v="2024-11-21T00:00:00"/>
    <d v="2024-11-21T00:00:00"/>
    <d v="2024-11-22T00:00:00"/>
    <s v="2024 11"/>
    <s v="Aguardando Liberação"/>
    <s v="2024 10"/>
    <s v="ENTREGUE"/>
    <d v="2024-10-30T00:00:00"/>
    <s v="-"/>
    <s v="SIM"/>
    <n v="0"/>
    <n v="0"/>
    <n v="0"/>
    <n v="0"/>
    <n v="0"/>
  </r>
  <r>
    <s v="BV"/>
    <s v="BV45591"/>
    <s v="Pedido 96"/>
    <d v="2024-10-26T00:00:00"/>
    <d v="2024-10-26T00:00:00"/>
    <s v="PedidoF89"/>
    <s v="CódRastreio89"/>
    <n v="1"/>
    <s v="CPF 74"/>
    <s v="Nome 74"/>
    <s v="Tel 74"/>
    <s v="Cep 74"/>
    <s v="Rua 74"/>
    <s v="Comp 74"/>
    <x v="0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d v="2024-11-28T00:00:00"/>
    <d v="2024-11-28T00:00:00"/>
    <d v="2024-11-29T00:00:00"/>
    <d v="2024-11-29T00:00:00"/>
    <s v="2024 11"/>
    <s v="Aguardando Liberação"/>
    <s v="2024 10"/>
    <s v="ENTREGUE"/>
    <d v="2024-11-05T00:00:00"/>
    <s v="-"/>
    <s v="SIM"/>
    <n v="0"/>
    <n v="0"/>
    <n v="0"/>
    <n v="0"/>
    <n v="0"/>
  </r>
  <r>
    <s v="BV"/>
    <s v="BV45591"/>
    <s v="Pedido 97"/>
    <d v="2024-10-26T00:00:00"/>
    <d v="2024-10-26T00:00:00"/>
    <s v="PedidoF90"/>
    <s v="CódRastreio90"/>
    <n v="1"/>
    <s v="CPF 94"/>
    <s v="Nome 94"/>
    <s v="Tel 94"/>
    <s v="Cep 94"/>
    <s v="Rua 94"/>
    <s v="Comp 94"/>
    <x v="0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d v="2024-11-28T00:00:00"/>
    <d v="2024-11-28T00:00:00"/>
    <d v="2024-11-29T00:00:00"/>
    <d v="2024-11-29T00:00:00"/>
    <s v="2024 11"/>
    <s v="Aguardando Liberação"/>
    <s v="2024 10"/>
    <s v="ENTREGUE"/>
    <d v="2024-11-02T00:00:00"/>
    <s v="-"/>
    <s v="SIM"/>
    <n v="0"/>
    <n v="0"/>
    <n v="0"/>
    <n v="0"/>
    <n v="0"/>
  </r>
  <r>
    <s v="BV"/>
    <s v="BV45591"/>
    <s v="Pedido 98"/>
    <d v="2024-10-26T00:00:00"/>
    <d v="2024-10-26T00:00:00"/>
    <s v="PedidoF91"/>
    <s v="CódRastreio91"/>
    <n v="1"/>
    <s v="CPF 95"/>
    <s v="Nome 95"/>
    <s v="Tel 95"/>
    <s v="Cep 95"/>
    <s v="Rua 95"/>
    <s v="Comp 95"/>
    <x v="1"/>
    <s v="CK-YL6M-P5Y6"/>
    <d v="2024-11-14T00:00:00"/>
    <n v="33.99"/>
    <n v="33.99"/>
    <n v="4.4187000000000003"/>
    <n v="29.57"/>
    <n v="9.99"/>
    <n v="0.25"/>
    <n v="0.39877104377104378"/>
    <n v="0"/>
    <n v="18.931228956228956"/>
    <n v="9.4656144781144782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1"/>
    <s v="Pedido 99"/>
    <d v="2024-10-26T00:00:00"/>
    <d v="2024-10-26T00:00:00"/>
    <s v="PedidoF92"/>
    <s v="CódRastreio92"/>
    <n v="1"/>
    <s v="CPF 96"/>
    <s v="Nome 96"/>
    <s v="Tel 96"/>
    <s v="Cep 96"/>
    <s v="Rua 96"/>
    <s v="Comp 96"/>
    <x v="1"/>
    <s v="CK-YL6M-P5Y6"/>
    <d v="2024-11-12T00:00:00"/>
    <n v="23.99"/>
    <n v="23.99"/>
    <n v="3.1187"/>
    <n v="20.87"/>
    <n v="9.99"/>
    <n v="0.25"/>
    <n v="0.39877104377104378"/>
    <n v="0"/>
    <n v="10.231228956228957"/>
    <n v="5.1156144781144786"/>
    <d v="2024-11-19T00:00:00"/>
    <d v="2024-11-19T00:00:00"/>
    <d v="2024-11-21T00:00:00"/>
    <d v="2024-11-22T00:00:00"/>
    <s v="2024 11"/>
    <s v="Aguardando Liberação"/>
    <s v="2024 10"/>
    <s v="ENTREGUE"/>
    <d v="2024-10-30T00:00:00"/>
    <s v="-"/>
    <s v="-"/>
    <n v="0"/>
    <n v="0"/>
    <n v="0"/>
    <n v="0"/>
    <n v="0"/>
  </r>
  <r>
    <s v="BV"/>
    <s v="BV45591"/>
    <s v="Pedido 100"/>
    <d v="2024-10-26T00:00:00"/>
    <d v="2024-10-26T00:00:00"/>
    <s v="PedidoF93"/>
    <s v="CódRastreio93"/>
    <n v="1"/>
    <s v="CPF 97"/>
    <s v="Nome 97"/>
    <s v="Tel 97"/>
    <s v="Cep 97"/>
    <s v="Rua 97"/>
    <s v="Comp 97"/>
    <x v="4"/>
    <s v="9G-BN48-QAPH"/>
    <d v="2024-11-14T00:00:00"/>
    <n v="15.2"/>
    <n v="15.2"/>
    <n v="2.2799999999999998"/>
    <n v="12.92"/>
    <n v="4.99"/>
    <n v="0.25"/>
    <n v="0.39877104377104378"/>
    <n v="0"/>
    <n v="7.2812289562289561"/>
    <n v="3.640614478114478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-"/>
    <n v="0"/>
    <n v="0"/>
    <n v="0"/>
    <n v="0"/>
    <n v="0"/>
  </r>
  <r>
    <s v="BV"/>
    <s v="BV45591"/>
    <s v="Pedido 101"/>
    <d v="2024-10-26T00:00:00"/>
    <d v="2024-10-26T00:00:00"/>
    <s v="PedidoF94"/>
    <s v="CódRastreio94"/>
    <n v="1"/>
    <s v="CPF 98"/>
    <s v="Nome 98"/>
    <s v="Tel 98"/>
    <s v="Cep 98"/>
    <s v="Rua 98"/>
    <s v="Comp 98"/>
    <x v="4"/>
    <s v="9G-BN48-QAPH"/>
    <d v="2024-11-21T00:00:00"/>
    <n v="15.2"/>
    <n v="15.2"/>
    <n v="2.2799999999999998"/>
    <n v="12.92"/>
    <n v="4.99"/>
    <n v="0.25"/>
    <n v="0.39877104377104378"/>
    <n v="0"/>
    <n v="7.2812289562289561"/>
    <n v="3.640614478114478"/>
    <d v="2024-11-28T00:00:00"/>
    <d v="2024-11-28T00:00:00"/>
    <d v="2024-11-29T00:00:00"/>
    <d v="2024-11-29T00:00:00"/>
    <s v="2024 11"/>
    <s v="Aguardando Liberação"/>
    <s v="2024 10"/>
    <s v="ENTREGUE"/>
    <d v="2024-11-02T00:00:00"/>
    <s v="-"/>
    <s v="NÃO"/>
    <n v="0"/>
    <n v="0"/>
    <n v="0"/>
    <n v="0"/>
    <n v="0"/>
  </r>
  <r>
    <s v="BV"/>
    <s v="BV45591"/>
    <s v="Pedido 102"/>
    <d v="2024-10-26T00:00:00"/>
    <d v="2024-10-26T00:00:00"/>
    <s v="PedidoF95"/>
    <s v="CódRastreio95"/>
    <n v="1"/>
    <s v="CPF 99"/>
    <s v="Nome 99"/>
    <s v="Tel 99"/>
    <s v="Cep 99"/>
    <s v="Rua 99"/>
    <s v="Comp 99"/>
    <x v="5"/>
    <s v="P4-K63S-8KOM"/>
    <d v="2024-11-14T00:00:00"/>
    <n v="15.98"/>
    <n v="15.98"/>
    <n v="2.0773999999999999"/>
    <n v="13.9"/>
    <n v="8.74"/>
    <n v="0.25"/>
    <n v="0.39877104377104378"/>
    <n v="0"/>
    <n v="4.5112289562289565"/>
    <n v="2.2556144781144782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1"/>
    <s v="Pedido 103"/>
    <d v="2024-10-26T00:00:00"/>
    <d v="2024-10-26T00:00:00"/>
    <s v="PedidoF96"/>
    <s v="CódRastreio96"/>
    <n v="1"/>
    <s v="CPF 100"/>
    <s v="Nome 100"/>
    <s v="Tel 100"/>
    <s v="Cep 100"/>
    <s v="Rua 100"/>
    <s v="Comp 100"/>
    <x v="2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d v="2024-11-28T00:00:00"/>
    <d v="2024-11-28T00:00:00"/>
    <d v="2024-11-29T00:00:00"/>
    <d v="2024-11-29T00:00:00"/>
    <s v="2024 11"/>
    <s v="Aguardando Liberação"/>
    <s v="2024 10"/>
    <s v="ENTREGUE"/>
    <d v="2024-11-08T00:00:00"/>
    <s v="-"/>
    <s v="SIM"/>
    <n v="0"/>
    <n v="0"/>
    <n v="0"/>
    <n v="0"/>
    <n v="0"/>
  </r>
  <r>
    <s v="BV"/>
    <s v="BV45591"/>
    <s v="Pedido 104"/>
    <d v="2024-10-26T00:00:00"/>
    <d v="2024-10-26T00:00:00"/>
    <s v="PedidoF97"/>
    <s v="CódRastreio97"/>
    <n v="1"/>
    <s v="CPF 101"/>
    <s v="Nome 101"/>
    <s v="Tel 101"/>
    <s v="Cep 101"/>
    <s v="Rua 101"/>
    <s v="Comp 101"/>
    <x v="3"/>
    <s v="IF-G2ZQ-79FO"/>
    <d v="2024-11-28T00:00:00"/>
    <n v="59.99"/>
    <n v="59.99"/>
    <n v="7.7987000000000002"/>
    <n v="52.19"/>
    <n v="7.25"/>
    <n v="0.25"/>
    <n v="0.39877104377104378"/>
    <n v="0"/>
    <n v="44.291228956228956"/>
    <n v="22.145614478114478"/>
    <d v="2024-12-05T00:00:00"/>
    <d v="2024-12-05T00:00:00"/>
    <d v="2024-12-11T00:00:00"/>
    <d v="2024-12-16T00:00:00"/>
    <s v="2024 12"/>
    <s v="Aguardando Liberação"/>
    <s v="2024 10"/>
    <s v="ENTREGUE"/>
    <d v="2024-11-14T00:00:00"/>
    <s v="-"/>
    <s v="SIM"/>
    <n v="0"/>
    <n v="0"/>
    <n v="0"/>
    <n v="0"/>
    <n v="0"/>
  </r>
  <r>
    <s v="BV"/>
    <s v="BV45591"/>
    <s v="Pedido 105"/>
    <d v="2024-10-26T00:00:00"/>
    <d v="2024-10-26T00:00:00"/>
    <s v="PedidoF98"/>
    <s v="CódRastreio98"/>
    <n v="1"/>
    <s v="CPF 102"/>
    <s v="Nome 102"/>
    <s v="Tel 102"/>
    <s v="Cep 102"/>
    <s v="Rua 102"/>
    <s v="Comp 102"/>
    <x v="0"/>
    <s v="16-4EDB-WMZF"/>
    <d v="2024-11-14T00:00:00"/>
    <n v="30"/>
    <n v="30"/>
    <n v="4.5"/>
    <n v="25.5"/>
    <n v="0"/>
    <n v="0.25"/>
    <n v="0.39877104377104378"/>
    <n v="0"/>
    <n v="24.851228956228955"/>
    <n v="12.425614478114477"/>
    <d v="2024-11-21T00:00:00"/>
    <d v="2024-11-22T00:00:00"/>
    <d v="2024-11-21T00:00:00"/>
    <d v="2024-11-22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2"/>
    <s v="Pedido 106"/>
    <d v="2024-10-27T00:00:00"/>
    <d v="2024-10-27T00:00:00"/>
    <s v="PedidoF99"/>
    <s v="CódRastreio99"/>
    <n v="1"/>
    <s v="CPF 103"/>
    <s v="Nome 103"/>
    <s v="Tel 103"/>
    <s v="Cep 103"/>
    <s v="Rua 103"/>
    <s v="Comp 103"/>
    <x v="0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2"/>
    <s v="Pedido 107"/>
    <d v="2024-10-27T00:00:00"/>
    <d v="2024-10-27T00:00:00"/>
    <s v="PedidoF100"/>
    <s v="CódRastreio100"/>
    <n v="1"/>
    <s v="CPF 104"/>
    <s v="Nome 104"/>
    <s v="Tel 104"/>
    <s v="Cep 104"/>
    <s v="Rua 104"/>
    <s v="Comp 104"/>
    <x v="0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SIM"/>
    <n v="0"/>
    <n v="0"/>
    <n v="0"/>
    <n v="0"/>
    <n v="0"/>
  </r>
  <r>
    <s v="BV"/>
    <s v="BV45592"/>
    <s v="Pedido 108"/>
    <d v="2024-10-27T00:00:00"/>
    <d v="2024-10-27T00:00:00"/>
    <s v="PedidoF101"/>
    <s v="CódRastreio101"/>
    <n v="1"/>
    <s v="CPF 105"/>
    <s v="Nome 105"/>
    <s v="Tel 105"/>
    <s v="Cep 105"/>
    <s v="Rua 105"/>
    <s v="Comp 105"/>
    <x v="2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d v="2024-11-28T00:00:00"/>
    <d v="2024-11-28T00:00:00"/>
    <d v="2024-11-29T00:00:00"/>
    <d v="2024-11-29T00:00:00"/>
    <s v="2024 11"/>
    <s v="Aguardando Liberação"/>
    <s v="2024 10"/>
    <s v="ENTREGUE"/>
    <d v="2024-11-07T00:00:00"/>
    <s v="-"/>
    <s v="NÃO"/>
    <n v="0"/>
    <n v="0"/>
    <n v="0"/>
    <n v="0"/>
    <n v="0"/>
  </r>
  <r>
    <s v="BV"/>
    <s v="BV45592"/>
    <s v="Pedido 109"/>
    <d v="2024-10-27T00:00:00"/>
    <d v="2024-10-27T00:00:00"/>
    <s v="PedidoF102"/>
    <s v="CódRastreio102"/>
    <n v="1"/>
    <s v="CPF 106"/>
    <s v="Nome 106"/>
    <s v="Tel 106"/>
    <s v="Cep 106"/>
    <s v="Rua 106"/>
    <s v="Comp 106"/>
    <x v="2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d v="2024-11-28T00:00:00"/>
    <d v="2024-11-28T00:00:00"/>
    <d v="2024-11-29T00:00:00"/>
    <d v="2024-11-29T00:00:00"/>
    <s v="2024 11"/>
    <s v="Aguardando Liberação"/>
    <s v="2024 10"/>
    <s v="ENTREGUE"/>
    <d v="2024-11-04T00:00:00"/>
    <s v="-"/>
    <s v="-"/>
    <n v="0"/>
    <n v="0"/>
    <n v="0"/>
    <n v="0"/>
    <n v="0"/>
  </r>
  <r>
    <s v="BV"/>
    <s v="BV45592"/>
    <s v="Pedido 110"/>
    <d v="2024-10-27T00:00:00"/>
    <d v="2024-10-27T00:00:00"/>
    <s v="PedidoF103"/>
    <s v="CódRastreio103"/>
    <n v="1"/>
    <s v="CPF 107"/>
    <s v="Nome 107"/>
    <s v="Tel 107"/>
    <s v="Cep 107"/>
    <s v="Rua 107"/>
    <s v="Comp 107"/>
    <x v="2"/>
    <s v="DJ-RO5O-43GF"/>
    <d v="2024-11-14T00:00:00"/>
    <n v="18.2"/>
    <n v="18.2"/>
    <n v="2.548"/>
    <n v="15.65"/>
    <n v="4.99"/>
    <n v="0.32"/>
    <n v="0.39877104377104378"/>
    <n v="0"/>
    <n v="9.9412289562289562"/>
    <n v="4.9706144781144781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2"/>
    <s v="Pedido 111"/>
    <d v="2024-10-27T00:00:00"/>
    <d v="2024-10-27T00:00:00"/>
    <s v="PedidoF104"/>
    <s v="CódRastreio104"/>
    <n v="1"/>
    <s v="CPF 108"/>
    <s v="Nome 108"/>
    <s v="Tel 108"/>
    <s v="Cep 108"/>
    <s v="Rua 108"/>
    <s v="Comp 108"/>
    <x v="0"/>
    <s v="16-4EDB-WMZF"/>
    <d v="2024-11-12T00:00:00"/>
    <n v="15.99"/>
    <n v="15.99"/>
    <n v="2.3984999999999999"/>
    <n v="13.59"/>
    <n v="4.99"/>
    <n v="0.32"/>
    <n v="0.39877104377104378"/>
    <n v="0"/>
    <n v="7.8812289562289557"/>
    <n v="3.9406144781144778"/>
    <d v="2024-11-19T00:00:00"/>
    <d v="2024-11-19T00:00:00"/>
    <d v="2024-11-21T00:00:00"/>
    <d v="2024-11-22T00:00:00"/>
    <s v="2024 11"/>
    <s v="Aguardando Liberação"/>
    <s v="2024 10"/>
    <s v="ENTREGUE"/>
    <d v="2024-10-30T00:00:00"/>
    <s v="-"/>
    <s v="SIM"/>
    <n v="0"/>
    <n v="0"/>
    <n v="0"/>
    <n v="0"/>
    <n v="0"/>
  </r>
  <r>
    <s v="BV"/>
    <s v="BV45592"/>
    <s v="Pedido 112"/>
    <d v="2024-10-27T00:00:00"/>
    <d v="2024-10-27T00:00:00"/>
    <s v="PedidoF105"/>
    <s v="CódRastreio105"/>
    <n v="1"/>
    <s v="CPF 109"/>
    <s v="Nome 109"/>
    <s v="Tel 109"/>
    <s v="Cep 109"/>
    <s v="Rua 109"/>
    <s v="Comp 109"/>
    <x v="0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d v="2024-11-21T00:00:00"/>
    <d v="2024-11-21T00:00:00"/>
    <d v="2024-11-21T00:00:00"/>
    <d v="2024-11-22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92"/>
    <s v="Pedido 113"/>
    <d v="2024-10-27T00:00:00"/>
    <d v="2024-10-27T00:00:00"/>
    <s v="PedidoF106"/>
    <s v="CódRastreio106"/>
    <n v="1"/>
    <s v="CPF 110"/>
    <s v="Nome 110"/>
    <s v="Tel 110"/>
    <s v="Cep 110"/>
    <s v="Rua 110"/>
    <s v="Comp 110"/>
    <x v="1"/>
    <s v="CK-YL6M-P5Y6"/>
    <d v="2024-11-21T00:00:00"/>
    <n v="23.2"/>
    <n v="23.2"/>
    <n v="3.016"/>
    <n v="20.18"/>
    <n v="9.99"/>
    <n v="0.32"/>
    <n v="0.39877104377104378"/>
    <n v="0"/>
    <n v="9.4712289562289556"/>
    <n v="4.7356144781144778"/>
    <d v="2024-11-28T00:00:00"/>
    <d v="2024-11-28T00:00:00"/>
    <d v="2024-11-29T00:00:00"/>
    <d v="2024-11-29T00:00:00"/>
    <s v="2024 11"/>
    <s v="Aguardando Liberação"/>
    <s v="2024 10"/>
    <s v="ENTREGUE"/>
    <d v="2024-11-05T00:00:00"/>
    <s v="-"/>
    <s v="SIM"/>
    <n v="0"/>
    <n v="0"/>
    <n v="0"/>
    <n v="0"/>
    <n v="0"/>
  </r>
  <r>
    <s v="BV"/>
    <s v="BV45592"/>
    <s v="Pedido 114"/>
    <d v="2024-10-27T00:00:00"/>
    <d v="2024-10-27T00:00:00"/>
    <s v="PedidoF107"/>
    <s v="CódRastreio107"/>
    <n v="1"/>
    <s v="CPF 111"/>
    <s v="Nome 111"/>
    <s v="Tel 111"/>
    <s v="Cep 111"/>
    <s v="Rua 111"/>
    <s v="Comp 111"/>
    <x v="1"/>
    <s v="CK-YL6M-P5Y6"/>
    <d v="2024-11-21T00:00:00"/>
    <n v="23.2"/>
    <n v="23.2"/>
    <n v="3.016"/>
    <n v="20.18"/>
    <n v="9.99"/>
    <n v="0.32"/>
    <n v="0.39877104377104378"/>
    <n v="0"/>
    <n v="9.4712289562289556"/>
    <n v="4.7356144781144778"/>
    <d v="2024-11-28T00:00:00"/>
    <d v="2024-11-28T00:00:00"/>
    <d v="2024-11-29T00:00:00"/>
    <d v="2024-11-29T00:00:00"/>
    <s v="2024 11"/>
    <s v="Aguardando Liberação"/>
    <s v="2024 10"/>
    <s v="ENTREGUE"/>
    <d v="2024-11-09T00:00:00"/>
    <s v="-"/>
    <s v="SIM"/>
    <n v="0"/>
    <n v="0"/>
    <n v="0"/>
    <n v="0"/>
    <n v="0"/>
  </r>
  <r>
    <s v="BV"/>
    <s v="BV45592"/>
    <s v="Pedido 115"/>
    <d v="2024-10-27T00:00:00"/>
    <d v="2024-10-27T00:00:00"/>
    <s v="PedidoF108"/>
    <s v="CódRastreio108"/>
    <n v="1"/>
    <s v="CPF 112"/>
    <s v="Nome 112"/>
    <s v="Tel 112"/>
    <s v="Cep 112"/>
    <s v="Rua 112"/>
    <s v="Comp 112"/>
    <x v="0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d v="2024-11-21T00:00:00"/>
    <d v="2024-11-21T00:00:00"/>
    <d v="2024-11-21T00:00:00"/>
    <d v="2024-11-22T00:00:00"/>
    <s v="2024 11"/>
    <s v="Aguardando Liberação"/>
    <s v="2024 10"/>
    <s v="ENTREGUE"/>
    <d v="2024-11-12T00:00:00"/>
    <s v="-"/>
    <s v="-"/>
    <n v="0"/>
    <n v="0"/>
    <n v="0"/>
    <n v="0"/>
    <n v="0"/>
  </r>
  <r>
    <s v="BV"/>
    <s v="BV45592"/>
    <s v="Pedido 116"/>
    <d v="2024-10-27T00:00:00"/>
    <d v="2024-10-27T00:00:00"/>
    <s v="PedidoF109"/>
    <s v="CódRastreio109"/>
    <n v="1"/>
    <s v="CPF 113"/>
    <s v="Nome 113"/>
    <s v="Tel 113"/>
    <s v="Cep 113"/>
    <s v="Rua 113"/>
    <s v="Comp 113"/>
    <x v="2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d v="2024-11-28T00:00:00"/>
    <d v="2024-11-28T00:00:00"/>
    <d v="2024-11-29T00:00:00"/>
    <d v="2024-11-29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2"/>
    <s v="Pedido 117"/>
    <d v="2024-10-27T00:00:00"/>
    <d v="2024-10-27T00:00:00"/>
    <s v="PedidoF110"/>
    <s v="CódRastreio110"/>
    <n v="1"/>
    <s v="CPF 114"/>
    <s v="Nome 114"/>
    <s v="Tel 114"/>
    <s v="Cep 114"/>
    <s v="Rua 114"/>
    <s v="Comp 114"/>
    <x v="0"/>
    <s v="16-4EDB-WMZF"/>
    <d v="2024-11-08T00:00:00"/>
    <n v="15.99"/>
    <n v="15.99"/>
    <n v="2.3984999999999999"/>
    <n v="13.59"/>
    <n v="4.99"/>
    <n v="0.32"/>
    <n v="0.39877104377104378"/>
    <n v="0"/>
    <n v="7.8812289562289557"/>
    <n v="3.9406144781144778"/>
    <d v="2024-11-15T00:00:00"/>
    <d v="2024-11-15T00:00:00"/>
    <d v="2024-11-21T00:00:00"/>
    <d v="2024-11-22T00:00:00"/>
    <s v="2024 11"/>
    <s v="Aguardando Liberação"/>
    <s v="2024 10"/>
    <s v="ENTREGUE"/>
    <d v="2024-10-31T00:00:00"/>
    <s v="-"/>
    <s v="SIM"/>
    <n v="0"/>
    <n v="0"/>
    <n v="0"/>
    <n v="0"/>
    <n v="0"/>
  </r>
  <r>
    <s v="BV"/>
    <s v="BV45592"/>
    <s v="Pedido 118"/>
    <d v="2024-10-27T00:00:00"/>
    <d v="2024-10-27T00:00:00"/>
    <s v="PedidoF111"/>
    <s v="CódRastreio111"/>
    <n v="1"/>
    <s v="CPF 115"/>
    <s v="Nome 115"/>
    <s v="Tel 115"/>
    <s v="Cep 115"/>
    <s v="Rua 115"/>
    <s v="Comp 115"/>
    <x v="0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d v="2024-11-21T00:00:00"/>
    <d v="2024-11-21T00:00:00"/>
    <d v="2024-11-21T00:00:00"/>
    <d v="2024-11-22T00:00:00"/>
    <s v="2024 11"/>
    <s v="Aguardando Liberação"/>
    <s v="2024 10"/>
    <s v="ENTREGUE"/>
    <d v="2024-10-31T00:00:00"/>
    <s v="-"/>
    <s v="SIM"/>
    <n v="0"/>
    <n v="0"/>
    <n v="0"/>
    <n v="0"/>
    <n v="0"/>
  </r>
  <r>
    <s v="BV"/>
    <s v="BV45592"/>
    <s v="Pedido 119"/>
    <d v="2024-10-27T00:00:00"/>
    <d v="2024-10-27T00:00:00"/>
    <s v="PedidoF112"/>
    <s v="CódRastreio112"/>
    <n v="1"/>
    <s v="CPF 116"/>
    <s v="Nome 116"/>
    <s v="Tel 116"/>
    <s v="Cep 116"/>
    <s v="Rua 116"/>
    <s v="Comp 116"/>
    <x v="7"/>
    <s v="T9-P952-TL6A"/>
    <d v="2024-11-08T00:00:00"/>
    <n v="26.2"/>
    <n v="26.2"/>
    <n v="3.4060000000000001"/>
    <n v="22.79"/>
    <n v="9.59"/>
    <n v="0.32"/>
    <n v="0.39877104377104378"/>
    <n v="0"/>
    <n v="12.481228956228955"/>
    <n v="6.2406144781144777"/>
    <d v="2024-11-15T00:00:00"/>
    <d v="2024-11-15T00:00:00"/>
    <d v="2024-11-21T00:00:00"/>
    <d v="2024-11-22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92"/>
    <s v="Pedido 120"/>
    <d v="2024-10-27T00:00:00"/>
    <d v="2024-10-27T00:00:00"/>
    <s v="PedidoF113"/>
    <s v="CódRastreio113"/>
    <n v="1"/>
    <s v="CPF 117"/>
    <s v="Nome 117"/>
    <s v="Tel 117"/>
    <s v="Cep 117"/>
    <s v="Rua 117"/>
    <s v="Comp 117"/>
    <x v="1"/>
    <s v="CK-YL6M-P5Y6"/>
    <d v="2024-11-08T00:00:00"/>
    <n v="23.2"/>
    <n v="23.2"/>
    <n v="3.016"/>
    <n v="20.18"/>
    <n v="9.99"/>
    <n v="0.32"/>
    <n v="0.39877104377104378"/>
    <n v="0"/>
    <n v="9.4712289562289556"/>
    <n v="4.7356144781144778"/>
    <d v="2024-11-15T00:00:00"/>
    <d v="2024-11-15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92"/>
    <s v="Pedido 121"/>
    <d v="2024-10-27T00:00:00"/>
    <d v="2024-10-27T00:00:00"/>
    <s v="PedidoF114"/>
    <s v="CódRastreio114"/>
    <n v="1"/>
    <s v="CPF 118"/>
    <s v="Nome 118"/>
    <s v="Tel 118"/>
    <s v="Cep 118"/>
    <s v="Rua 118"/>
    <s v="Comp 118"/>
    <x v="3"/>
    <s v="IF-G2ZQ-79FO"/>
    <d v="2024-11-14T00:00:00"/>
    <n v="64.989999999999995"/>
    <n v="64.989999999999995"/>
    <n v="8.4486999999999988"/>
    <n v="56.54"/>
    <n v="7.25"/>
    <n v="0.32"/>
    <n v="0.39877104377104378"/>
    <n v="0"/>
    <n v="48.571228956228957"/>
    <n v="24.285614478114478"/>
    <d v="2024-11-21T00:00:00"/>
    <d v="2024-11-21T00:00:00"/>
    <d v="2024-11-21T00:00:00"/>
    <d v="2024-11-22T00:00:00"/>
    <s v="2024 11"/>
    <s v="Aguardando Liberação"/>
    <s v="2024 10"/>
    <s v="ENTREGUE"/>
    <d v="2024-11-07T00:00:00"/>
    <s v="-"/>
    <s v="NÃO"/>
    <n v="0"/>
    <n v="0"/>
    <n v="0"/>
    <n v="0"/>
    <n v="0"/>
  </r>
  <r>
    <s v="BV"/>
    <s v="BV45592"/>
    <s v="Pedido 122"/>
    <d v="2024-10-27T00:00:00"/>
    <d v="2024-10-27T00:00:00"/>
    <s v="PedidoF115"/>
    <s v="CódRastreio115"/>
    <n v="1"/>
    <s v="CPF 119"/>
    <s v="Nome 119"/>
    <s v="Tel 119"/>
    <s v="Cep 119"/>
    <s v="Rua 119"/>
    <s v="Comp 119"/>
    <x v="2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d v="2024-11-28T00:00:00"/>
    <d v="2024-11-28T00:00:00"/>
    <d v="2024-11-29T00:00:00"/>
    <d v="2024-11-29T00:00:00"/>
    <s v="2024 11"/>
    <s v="Aguardando Liberação"/>
    <s v="2024 10"/>
    <s v="ENTREGUE"/>
    <d v="2024-11-06T00:00:00"/>
    <s v="-"/>
    <s v="-"/>
    <n v="0"/>
    <n v="0"/>
    <n v="0"/>
    <n v="0"/>
    <n v="0"/>
  </r>
  <r>
    <s v="BV"/>
    <s v="BV45592"/>
    <s v="Pedido 123"/>
    <d v="2024-10-27T00:00:00"/>
    <d v="2024-10-27T00:00:00"/>
    <s v="PedidoF116"/>
    <s v="CódRastreio116"/>
    <n v="1"/>
    <s v="CPF 120"/>
    <s v="Nome 120"/>
    <s v="Tel 120"/>
    <s v="Cep 120"/>
    <s v="Rua 120"/>
    <s v="Comp 120"/>
    <x v="3"/>
    <s v="IF-G2ZQ-79FO"/>
    <d v="2024-11-28T00:00:00"/>
    <n v="64.989999999999995"/>
    <n v="64.989999999999995"/>
    <n v="8.4486999999999988"/>
    <n v="56.54"/>
    <n v="7.25"/>
    <n v="0.32"/>
    <n v="0.39877104377104378"/>
    <n v="0"/>
    <n v="48.571228956228957"/>
    <n v="24.285614478114478"/>
    <d v="2024-12-05T00:00:00"/>
    <d v="2024-12-05T00:00:00"/>
    <d v="2024-12-11T00:00:00"/>
    <d v="2024-12-16T00:00:00"/>
    <s v="2024 12"/>
    <s v="Aguardando Liberação"/>
    <s v="2024 10"/>
    <s v="ENTREGUE"/>
    <d v="2024-11-11T00:00:00"/>
    <s v="-"/>
    <s v="NÃO"/>
    <n v="0"/>
    <n v="0"/>
    <n v="0"/>
    <n v="0"/>
    <n v="0"/>
  </r>
  <r>
    <s v="BV"/>
    <s v="BV45593"/>
    <s v="Pedido 124"/>
    <d v="2024-10-28T00:00:00"/>
    <d v="2024-10-28T00:00:00"/>
    <s v="PedidoF117"/>
    <s v="CódRastreio117"/>
    <n v="1"/>
    <s v="CPF 121"/>
    <s v="Nome 121"/>
    <s v="Tel 121"/>
    <s v="Cep 121"/>
    <s v="Rua 121"/>
    <s v="Comp 121"/>
    <x v="0"/>
    <s v="16-4EDB-WMZF"/>
    <d v="2024-11-22T00:00:00"/>
    <n v="16.989999999999998"/>
    <n v="16.989999999999998"/>
    <n v="2.5484999999999998"/>
    <n v="14.44"/>
    <n v="4.99"/>
    <n v="0.34"/>
    <n v="0.39877104377104378"/>
    <n v="0"/>
    <n v="8.7112289562289558"/>
    <n v="4.3556144781144779"/>
    <d v="2024-11-29T00:00:00"/>
    <d v="2024-11-29T00:00:00"/>
    <d v="2024-11-29T00:00:00"/>
    <d v="2024-11-29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3"/>
    <s v="Pedido 125"/>
    <d v="2024-10-28T00:00:00"/>
    <d v="2024-10-28T00:00:00"/>
    <s v="PedidoF118"/>
    <s v="CódRastreio118"/>
    <n v="1"/>
    <s v="CPF 122"/>
    <s v="Nome 122"/>
    <s v="Tel 122"/>
    <s v="Cep 122"/>
    <s v="Rua 122"/>
    <s v="Comp 122"/>
    <x v="2"/>
    <s v="DJ-RO5O-43GF"/>
    <d v="2024-11-15T00:00:00"/>
    <n v="18.2"/>
    <n v="18.2"/>
    <n v="2.548"/>
    <n v="15.65"/>
    <n v="4.99"/>
    <n v="0.34"/>
    <n v="0.39877104377104378"/>
    <n v="0"/>
    <n v="9.9212289562289566"/>
    <n v="4.9606144781144783"/>
    <d v="2024-11-22T00:00:00"/>
    <d v="2024-11-22T00:00:00"/>
    <d v="2024-11-22T00:00:00"/>
    <d v="2024-11-29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93"/>
    <s v="Pedido 126"/>
    <d v="2024-10-28T00:00:00"/>
    <d v="2024-10-28T00:00:00"/>
    <s v="PedidoF119"/>
    <s v="CódRastreio119"/>
    <n v="1"/>
    <s v="CPF 123"/>
    <s v="Nome 123"/>
    <s v="Tel 123"/>
    <s v="Cep 123"/>
    <s v="Rua 123"/>
    <s v="Comp 123"/>
    <x v="0"/>
    <s v="16-4EDB-WMZF"/>
    <d v="2024-11-09T00:00:00"/>
    <n v="16.989999999999998"/>
    <n v="16.989999999999998"/>
    <n v="2.5484999999999998"/>
    <n v="14.44"/>
    <n v="4.99"/>
    <n v="0.34"/>
    <n v="0.39877104377104378"/>
    <n v="0"/>
    <n v="8.7112289562289558"/>
    <n v="4.3556144781144779"/>
    <d v="2024-11-16T00:00:00"/>
    <d v="2024-11-16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93"/>
    <s v="Pedido 127"/>
    <d v="2024-10-28T00:00:00"/>
    <d v="2024-10-28T00:00:00"/>
    <s v="PedidoF120"/>
    <s v="CódRastreio120"/>
    <n v="1"/>
    <s v="CPF 124"/>
    <s v="Nome 124"/>
    <s v="Tel 124"/>
    <s v="Cep 124"/>
    <s v="Rua 124"/>
    <s v="Comp 124"/>
    <x v="8"/>
    <s v="FM-QQ8Y-RZT4"/>
    <d v="2024-11-09T00:00:00"/>
    <n v="21.3"/>
    <n v="21.3"/>
    <n v="2.7690000000000001"/>
    <n v="18.53"/>
    <n v="6.97"/>
    <n v="0.34"/>
    <n v="0.39877104377104378"/>
    <n v="0"/>
    <n v="10.821228956228957"/>
    <n v="5.4106144781144785"/>
    <d v="2024-11-16T00:00:00"/>
    <d v="2024-11-16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3"/>
    <s v="Pedido 128"/>
    <d v="2024-10-28T00:00:00"/>
    <d v="2024-10-28T00:00:00"/>
    <s v="PedidoF121"/>
    <s v="CódRastreio121"/>
    <n v="1"/>
    <s v="CPF 125"/>
    <s v="Nome 125"/>
    <s v="Tel 125"/>
    <s v="Cep 125"/>
    <s v="Rua 125"/>
    <s v="Comp 125"/>
    <x v="2"/>
    <s v="DJ-RO5O-43GF"/>
    <d v="2024-11-09T00:00:00"/>
    <n v="18.2"/>
    <n v="18.2"/>
    <n v="2.548"/>
    <n v="15.65"/>
    <n v="4.99"/>
    <n v="0.34"/>
    <n v="0.39877104377104378"/>
    <n v="0"/>
    <n v="9.9212289562289566"/>
    <n v="4.9606144781144783"/>
    <d v="2024-11-16T00:00:00"/>
    <d v="2024-11-16T00:00:00"/>
    <d v="2024-11-21T00:00:00"/>
    <d v="2024-11-22T00:00:00"/>
    <s v="2024 11"/>
    <s v="Aguardando Liberação"/>
    <s v="2024 10"/>
    <s v="ENTREGUE"/>
    <d v="2024-10-29T00:00:00"/>
    <s v="-"/>
    <s v="NÃO"/>
    <n v="0"/>
    <n v="0"/>
    <n v="0"/>
    <n v="0"/>
    <n v="0"/>
  </r>
  <r>
    <s v="BV"/>
    <s v="BV45593"/>
    <s v="Pedido 129"/>
    <d v="2024-10-28T00:00:00"/>
    <d v="2024-10-28T00:00:00"/>
    <s v="PedidoF122"/>
    <s v="CódRastreio122"/>
    <n v="1"/>
    <s v="CPF 126"/>
    <s v="Nome 126"/>
    <s v="Tel 126"/>
    <s v="Cep 126"/>
    <s v="Rua 126"/>
    <s v="Comp 126"/>
    <x v="1"/>
    <s v="CK-YL6M-P5Y6"/>
    <d v="2024-11-09T00:00:00"/>
    <n v="23.2"/>
    <n v="23.2"/>
    <n v="3.016"/>
    <n v="20.18"/>
    <n v="9.99"/>
    <n v="0.34"/>
    <n v="0.39877104377104378"/>
    <n v="0"/>
    <n v="9.451228956228956"/>
    <n v="4.725614478114478"/>
    <d v="2024-11-16T00:00:00"/>
    <d v="2024-11-16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3"/>
    <s v="Pedido 130"/>
    <d v="2024-10-28T00:00:00"/>
    <d v="2024-10-28T00:00:00"/>
    <s v="PedidoF123"/>
    <s v="CódRastreio123"/>
    <n v="1"/>
    <s v="CPF 127"/>
    <s v="Nome 127"/>
    <s v="Tel 127"/>
    <s v="Cep 127"/>
    <s v="Rua 127"/>
    <s v="Comp 127"/>
    <x v="0"/>
    <s v="16-4EDB-WMZF"/>
    <d v="2024-11-15T00:00:00"/>
    <n v="15.99"/>
    <n v="15.99"/>
    <n v="2.3984999999999999"/>
    <n v="13.59"/>
    <n v="4.99"/>
    <n v="0.34"/>
    <n v="0.39877104377104378"/>
    <n v="0"/>
    <n v="7.8612289562289561"/>
    <n v="3.9306144781144781"/>
    <d v="2024-11-22T00:00:00"/>
    <d v="2024-11-22T00:00:00"/>
    <d v="2024-11-22T00:00:00"/>
    <d v="2024-11-29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3"/>
    <s v="Pedido 131"/>
    <d v="2024-10-28T00:00:00"/>
    <d v="2024-10-28T00:00:00"/>
    <s v="PedidoF124"/>
    <s v="CódRastreio124"/>
    <n v="1"/>
    <s v="CPF 128"/>
    <s v="Nome 128"/>
    <s v="Tel 128"/>
    <s v="Cep 128"/>
    <s v="Rua 128"/>
    <s v="Comp 128"/>
    <x v="2"/>
    <s v="DJ-RO5O-43GF"/>
    <d v="2024-11-22T00:00:00"/>
    <n v="18.2"/>
    <n v="18.2"/>
    <n v="2.548"/>
    <n v="15.65"/>
    <n v="0"/>
    <n v="0.34"/>
    <n v="0.39877104377104378"/>
    <n v="0"/>
    <n v="14.911228956228957"/>
    <n v="7.4556144781144784"/>
    <d v="2024-11-29T00:00:00"/>
    <d v="2024-11-30T00:00:00"/>
    <d v="2024-11-29T00:00:00"/>
    <d v="2024-11-29T00:00:00"/>
    <s v="2024 11"/>
    <s v="Aguardando Liberação"/>
    <s v="2024 10"/>
    <s v="ENTREGUE"/>
    <d v="2024-11-29T00:00:00"/>
    <s v="-"/>
    <s v="NÃO"/>
    <n v="0"/>
    <n v="0"/>
    <n v="0"/>
    <n v="0"/>
    <n v="0"/>
  </r>
  <r>
    <s v="BV"/>
    <s v="BV45595"/>
    <s v="Pedido 132"/>
    <d v="2024-10-30T00:00:00"/>
    <d v="2024-10-30T00:00:00"/>
    <s v="PedidoF125"/>
    <s v="CódRastreio125"/>
    <n v="1"/>
    <s v="CPF 129"/>
    <s v="Nome 129"/>
    <s v="Tel 129"/>
    <s v="Cep 129"/>
    <s v="Rua 129"/>
    <s v="Comp 129"/>
    <x v="2"/>
    <s v="DJ-RO5O-43GF"/>
    <d v="2024-11-27T00:00:00"/>
    <n v="18.2"/>
    <n v="18.2"/>
    <n v="2.548"/>
    <n v="15.65"/>
    <n v="4.99"/>
    <n v="0.35"/>
    <n v="0.39877104377104378"/>
    <n v="0"/>
    <n v="9.9112289562289568"/>
    <n v="4.9556144781144784"/>
    <d v="2024-12-04T00:00:00"/>
    <d v="2024-12-04T00:00:00"/>
    <d v="2024-12-11T00:00:00"/>
    <d v="2024-12-16T00:00:00"/>
    <s v="2024 12"/>
    <s v="Aguardando Liberação"/>
    <s v="2024 10"/>
    <s v="ENTREGUE"/>
    <d v="2024-11-06T00:00:00"/>
    <s v="-"/>
    <s v="NÃO"/>
    <n v="0"/>
    <n v="0"/>
    <n v="0"/>
    <n v="0"/>
    <n v="0"/>
  </r>
  <r>
    <s v="BV"/>
    <s v="BV45593"/>
    <s v="Pedido 133"/>
    <d v="2024-10-28T00:00:00"/>
    <d v="2024-10-28T00:00:00"/>
    <s v="PedidoF126"/>
    <s v="CódRastreio126"/>
    <n v="1"/>
    <s v="CPF 130"/>
    <s v="Nome 130"/>
    <s v="Tel 130"/>
    <s v="Cep 130"/>
    <s v="Rua 130"/>
    <s v="Comp 130"/>
    <x v="2"/>
    <s v="DJ-RO5O-43GF"/>
    <d v="2024-11-09T00:00:00"/>
    <n v="18.2"/>
    <n v="18.2"/>
    <n v="2.548"/>
    <n v="15.65"/>
    <n v="0"/>
    <n v="0.34"/>
    <n v="0.39877104377104378"/>
    <n v="0"/>
    <n v="14.911228956228957"/>
    <n v="7.4556144781144784"/>
    <d v="2024-11-16T00:00:00"/>
    <d v="2024-11-17T00:00:00"/>
    <d v="2024-11-21T00:00:00"/>
    <d v="2024-11-22T00:00:00"/>
    <s v="2024 11"/>
    <s v="Aguardando Liberação"/>
    <s v="2024 10"/>
    <s v="ENTREGUE"/>
    <d v="2024-11-09T00:00:00"/>
    <s v="-"/>
    <s v="SIM"/>
    <n v="0"/>
    <n v="0"/>
    <n v="0"/>
    <n v="0"/>
    <n v="0"/>
  </r>
  <r>
    <s v="BV"/>
    <s v="BV45603"/>
    <s v="Pedido 134"/>
    <d v="2024-11-07T00:00:00"/>
    <d v="2024-11-07T00:00:00"/>
    <s v="PedidoF127"/>
    <s v="CódRastreio127"/>
    <n v="1"/>
    <s v="CPF 131"/>
    <s v="Nome 131"/>
    <s v="Tel 131"/>
    <s v="Cep 131"/>
    <s v="Rua 131"/>
    <s v="Comp 131"/>
    <x v="1"/>
    <s v="CK-YL6M-P5Y6"/>
    <d v="2024-11-09T00:00:00"/>
    <n v="23.2"/>
    <n v="23.2"/>
    <n v="3.016"/>
    <n v="20.18"/>
    <n v="0"/>
    <n v="0.23"/>
    <n v="0.39877104377104378"/>
    <n v="0"/>
    <n v="19.551228956228957"/>
    <n v="9.7756144781144787"/>
    <d v="2024-11-16T00:00:00"/>
    <d v="2024-11-25T00:00:00"/>
    <d v="2024-11-21T00:00:00"/>
    <d v="2024-11-22T00:00:00"/>
    <s v="2024 11"/>
    <s v="Aguardando Liberação"/>
    <s v="2024 11"/>
    <s v="ENTREGUE"/>
    <d v="2024-12-07T00:00:00"/>
    <s v="-"/>
    <s v="NÃO"/>
    <n v="0"/>
    <n v="0"/>
    <n v="0"/>
    <n v="0"/>
    <n v="0"/>
  </r>
  <r>
    <s v="BV"/>
    <s v="BV45593"/>
    <s v="Pedido 135"/>
    <d v="2024-10-28T00:00:00"/>
    <d v="2024-10-28T00:00:00"/>
    <s v="PedidoF128"/>
    <s v="CódRastreio128"/>
    <n v="1"/>
    <s v="CPF 132"/>
    <s v="Nome 132"/>
    <s v="Tel 132"/>
    <s v="Cep 132"/>
    <s v="Rua 132"/>
    <s v="Comp 132"/>
    <x v="9"/>
    <s v="1H-DC27-8GP7"/>
    <d v="2024-11-09T00:00:00"/>
    <n v="16.989999999999998"/>
    <n v="16.989999999999998"/>
    <n v="2.5484999999999998"/>
    <n v="14.44"/>
    <n v="4.99"/>
    <n v="0.34"/>
    <n v="0.39877104377104378"/>
    <n v="0"/>
    <n v="8.7112289562289558"/>
    <n v="4.3556144781144779"/>
    <d v="2024-11-16T00:00:00"/>
    <d v="2024-11-16T00:00:00"/>
    <d v="2024-11-21T00:00:00"/>
    <d v="2024-11-22T00:00:00"/>
    <s v="2024 11"/>
    <s v="Aguardando Liberação"/>
    <s v="2024 10"/>
    <s v="ENTREGUE"/>
    <d v="2024-10-30T00:00:00"/>
    <s v="-"/>
    <s v="NÃO"/>
    <n v="0"/>
    <n v="0"/>
    <n v="0"/>
    <n v="0"/>
    <n v="0"/>
  </r>
  <r>
    <s v="BV"/>
    <s v="BV45593"/>
    <s v="Pedido 136"/>
    <d v="2024-10-28T00:00:00"/>
    <d v="2024-10-28T00:00:00"/>
    <s v="PedidoF129"/>
    <s v="CódRastreio129"/>
    <n v="1"/>
    <s v="CPF 133"/>
    <s v="Nome 133"/>
    <s v="Tel 133"/>
    <s v="Cep 133"/>
    <s v="Rua 133"/>
    <s v="Comp 133"/>
    <x v="2"/>
    <s v="DJ-RO5O-43GF"/>
    <d v="2024-11-22T00:00:00"/>
    <n v="18.2"/>
    <n v="18.2"/>
    <n v="2.548"/>
    <n v="15.65"/>
    <n v="0"/>
    <n v="0.34"/>
    <n v="0.39877104377104378"/>
    <n v="0"/>
    <n v="14.911228956228957"/>
    <n v="7.4556144781144784"/>
    <d v="2024-11-29T00:00:00"/>
    <d v="2024-11-29T00:00:00"/>
    <d v="2024-11-29T00:00:00"/>
    <d v="2024-11-29T00:00:00"/>
    <s v="2024 11"/>
    <s v="Aguardando Liberação"/>
    <s v="2024 10"/>
    <s v="ENTREGUE"/>
    <d v="2024-11-30T00:00:00"/>
    <s v="-"/>
    <s v="NÃO"/>
    <n v="0"/>
    <n v="0"/>
    <n v="0"/>
    <n v="0"/>
    <n v="0"/>
  </r>
  <r>
    <s v="BV"/>
    <s v="BV45593"/>
    <s v="Pedido 137"/>
    <d v="2024-10-28T00:00:00"/>
    <d v="2024-10-28T00:00:00"/>
    <s v="PedidoF130"/>
    <s v="CódRastreio130"/>
    <n v="1"/>
    <s v="CPF 134"/>
    <s v="Nome 134"/>
    <s v="Tel 134"/>
    <s v="Cep 134"/>
    <s v="Rua 134"/>
    <s v="Comp 134"/>
    <x v="0"/>
    <s v="16-4EDB-WMZF"/>
    <d v="2024-11-22T00:00:00"/>
    <n v="15.99"/>
    <n v="15.99"/>
    <n v="2.3984999999999999"/>
    <n v="13.59"/>
    <n v="4.99"/>
    <n v="0.34"/>
    <n v="0.39877104377104378"/>
    <n v="0"/>
    <n v="7.8612289562289561"/>
    <n v="3.9306144781144781"/>
    <d v="2024-11-29T00:00:00"/>
    <d v="2024-11-29T00:00:00"/>
    <d v="2024-11-29T00:00:00"/>
    <d v="2024-11-29T00:00:00"/>
    <s v="2024 11"/>
    <s v="Aguardando Liberação"/>
    <s v="2024 10"/>
    <s v="ENTREGUE"/>
    <d v="2024-11-05T00:00:00"/>
    <s v="-"/>
    <s v="-"/>
    <n v="0"/>
    <n v="0"/>
    <n v="0"/>
    <n v="0"/>
    <n v="0"/>
  </r>
  <r>
    <s v="BV"/>
    <s v="BV45593"/>
    <s v="Pedido 138"/>
    <d v="2024-10-28T00:00:00"/>
    <d v="2024-10-28T00:00:00"/>
    <s v="PedidoF131"/>
    <s v="CódRastreio131"/>
    <n v="1"/>
    <s v="CPF 135"/>
    <s v="Nome 135"/>
    <s v="Tel 135"/>
    <s v="Cep 135"/>
    <s v="Rua 135"/>
    <s v="Comp 135"/>
    <x v="0"/>
    <s v="16-4EDB-WMZF"/>
    <d v="2024-11-15T00:00:00"/>
    <n v="15.99"/>
    <n v="15.99"/>
    <n v="2.3984999999999999"/>
    <n v="13.59"/>
    <n v="4.99"/>
    <n v="0.34"/>
    <n v="0.39877104377104378"/>
    <n v="0"/>
    <n v="7.8612289562289561"/>
    <n v="3.9306144781144781"/>
    <d v="2024-11-22T00:00:00"/>
    <d v="2024-11-22T00:00:00"/>
    <d v="2024-11-22T00:00:00"/>
    <d v="2024-11-29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3"/>
    <s v="Pedido 139"/>
    <d v="2024-10-28T00:00:00"/>
    <d v="2024-10-28T00:00:00"/>
    <s v="PedidoF132"/>
    <s v="CódRastreio132"/>
    <n v="1"/>
    <s v="CPF 136"/>
    <s v="Nome 136"/>
    <s v="Tel 136"/>
    <s v="Cep 136"/>
    <s v="Rua 136"/>
    <s v="Comp 136"/>
    <x v="0"/>
    <s v="16-4EDB-WMZF"/>
    <d v="2024-11-13T00:00:00"/>
    <n v="40"/>
    <n v="40"/>
    <n v="6"/>
    <n v="34"/>
    <n v="4.99"/>
    <n v="0.34"/>
    <n v="0.39877104377104378"/>
    <n v="0"/>
    <n v="28.271228956228956"/>
    <n v="14.135614478114478"/>
    <d v="2024-11-20T00:00:00"/>
    <d v="2024-11-20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3"/>
    <s v="Pedido 140"/>
    <d v="2024-10-28T00:00:00"/>
    <d v="2024-10-28T00:00:00"/>
    <s v="PedidoF133"/>
    <s v="CódRastreio133"/>
    <n v="1"/>
    <s v="CPF 137"/>
    <s v="Nome 137"/>
    <s v="Tel 137"/>
    <s v="Cep 137"/>
    <s v="Rua 137"/>
    <s v="Comp 137"/>
    <x v="2"/>
    <s v="DJ-RO5O-43GF"/>
    <d v="2024-11-15T00:00:00"/>
    <n v="18.2"/>
    <n v="18.2"/>
    <n v="2.548"/>
    <n v="15.65"/>
    <n v="0"/>
    <n v="0.34"/>
    <n v="0.39877104377104378"/>
    <n v="0"/>
    <n v="14.911228956228957"/>
    <n v="7.4556144781144784"/>
    <d v="2024-11-22T00:00:00"/>
    <d v="2024-11-22T00:00:00"/>
    <d v="2024-11-22T00:00:00"/>
    <d v="2024-11-29T00:00:00"/>
    <s v="2024 11"/>
    <s v="Aguardando Liberação"/>
    <s v="2024 10"/>
    <s v="ENTREGUE"/>
    <d v="2024-11-15T00:00:00"/>
    <s v="-"/>
    <s v="NÃO"/>
    <n v="0"/>
    <n v="0"/>
    <n v="0"/>
    <n v="0"/>
    <n v="0"/>
  </r>
  <r>
    <s v="BV"/>
    <s v="BV45593"/>
    <s v="Pedido 141"/>
    <d v="2024-10-28T00:00:00"/>
    <d v="2024-10-28T00:00:00"/>
    <s v="PedidoF134"/>
    <s v="CódRastreio134"/>
    <n v="1"/>
    <s v="CPF 138"/>
    <s v="Nome 138"/>
    <s v="Tel 138"/>
    <s v="Cep 138"/>
    <s v="Rua 138"/>
    <s v="Comp 138"/>
    <x v="2"/>
    <s v="DJ-RO5O-43GF"/>
    <d v="2024-11-09T00:00:00"/>
    <n v="18.2"/>
    <n v="18.2"/>
    <n v="2.548"/>
    <n v="15.65"/>
    <n v="0"/>
    <n v="0.34"/>
    <n v="0.39877104377104378"/>
    <n v="0"/>
    <n v="14.911228956228957"/>
    <n v="7.4556144781144784"/>
    <d v="2024-11-16T00:00:00"/>
    <d v="2024-12-17T00:00:00"/>
    <d v="2024-11-21T00:00:00"/>
    <d v="2024-11-22T00:00:00"/>
    <s v="2024 11"/>
    <s v="Aguardando Liberação"/>
    <s v="2024 10"/>
    <s v="ENTREGUE"/>
    <d v="2024-11-09T00:00:00"/>
    <s v="-"/>
    <s v="NÃO"/>
    <n v="0"/>
    <n v="0"/>
    <n v="0"/>
    <n v="0"/>
    <n v="0"/>
  </r>
  <r>
    <s v="BV"/>
    <s v="BV45593"/>
    <s v="Pedido 142"/>
    <d v="2024-10-28T00:00:00"/>
    <d v="2024-10-28T00:00:00"/>
    <s v="PedidoF135"/>
    <s v="CódRastreio135"/>
    <n v="1"/>
    <s v="CPF 139"/>
    <s v="Nome 139"/>
    <s v="Tel 139"/>
    <s v="Cep 139"/>
    <s v="Rua 139"/>
    <s v="Comp 139"/>
    <x v="10"/>
    <s v="MU-J80P-95WF"/>
    <d v="2024-11-22T00:00:00"/>
    <n v="59.99"/>
    <n v="59.99"/>
    <n v="7.7987000000000002"/>
    <n v="52.19"/>
    <n v="7.26"/>
    <n v="0.34"/>
    <n v="0.39877104377104378"/>
    <n v="0"/>
    <n v="44.191228956228954"/>
    <n v="22.095614478114477"/>
    <d v="2024-11-29T00:00:00"/>
    <d v="2024-11-29T00:00:00"/>
    <d v="2024-11-29T00:00:00"/>
    <d v="2024-11-29T00:00:00"/>
    <s v="2024 11"/>
    <s v="Aguardando Liberação"/>
    <s v="2024 10"/>
    <s v="ENTREGUE"/>
    <d v="2024-11-13T00:00:00"/>
    <s v="-"/>
    <s v="NÃO"/>
    <n v="0"/>
    <n v="0"/>
    <n v="0"/>
    <n v="0"/>
    <n v="0"/>
  </r>
  <r>
    <s v="BV"/>
    <s v="BV45593"/>
    <s v="Pedido 143"/>
    <d v="2024-10-28T00:00:00"/>
    <d v="2024-10-28T00:00:00"/>
    <s v="PedidoF136"/>
    <s v="CódRastreio136"/>
    <n v="1"/>
    <s v="CPF 140"/>
    <s v="Nome 140"/>
    <s v="Tel 140"/>
    <s v="Cep 140"/>
    <s v="Rua 140"/>
    <s v="Comp 140"/>
    <x v="5"/>
    <s v="P4-K63S-8KOM"/>
    <d v="2024-11-09T00:00:00"/>
    <n v="17.989999999999998"/>
    <n v="17.989999999999998"/>
    <n v="2.3386999999999998"/>
    <n v="15.65"/>
    <n v="8.74"/>
    <n v="0.34"/>
    <n v="0.39877104377104378"/>
    <n v="0"/>
    <n v="6.1712289562289566"/>
    <n v="3.0856144781144783"/>
    <d v="2024-11-16T00:00:00"/>
    <d v="2024-11-16T00:00:00"/>
    <d v="2024-11-21T00:00:00"/>
    <d v="2024-11-22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3"/>
    <s v="Pedido 144"/>
    <d v="2024-10-28T00:00:00"/>
    <d v="2024-10-28T00:00:00"/>
    <s v="PedidoF137"/>
    <s v="CódRastreio137"/>
    <n v="1"/>
    <s v="CPF 141"/>
    <s v="Nome 141"/>
    <s v="Tel 141"/>
    <s v="Cep 141"/>
    <s v="Rua 141"/>
    <s v="Comp 141"/>
    <x v="1"/>
    <s v="CK-YL6M-P5Y6"/>
    <d v="2024-11-09T00:00:00"/>
    <n v="23.2"/>
    <n v="23.2"/>
    <n v="3.016"/>
    <n v="20.18"/>
    <n v="9.99"/>
    <n v="0.34"/>
    <n v="0.39877104377104378"/>
    <n v="0"/>
    <n v="9.451228956228956"/>
    <n v="4.725614478114478"/>
    <d v="2024-11-16T00:00:00"/>
    <d v="2024-11-16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3"/>
    <s v="Pedido 145"/>
    <d v="2024-10-28T00:00:00"/>
    <d v="2024-10-28T00:00:00"/>
    <s v="PedidoF138"/>
    <s v="CódRastreio138"/>
    <n v="1"/>
    <s v="CPF 142"/>
    <s v="Nome 142"/>
    <s v="Tel 142"/>
    <s v="Cep 142"/>
    <s v="Rua 142"/>
    <s v="Comp 142"/>
    <x v="1"/>
    <s v="CK-YL6M-P5Y6"/>
    <d v="2024-11-09T00:00:00"/>
    <n v="23.2"/>
    <n v="23.2"/>
    <n v="3.016"/>
    <n v="20.18"/>
    <n v="9.99"/>
    <n v="0.34"/>
    <n v="0.39877104377104378"/>
    <n v="0"/>
    <n v="9.451228956228956"/>
    <n v="4.725614478114478"/>
    <d v="2024-11-16T00:00:00"/>
    <d v="2024-11-16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4"/>
    <s v="Pedido 146"/>
    <d v="2024-10-29T00:00:00"/>
    <d v="2024-10-29T00:00:00"/>
    <s v="PedidoF139"/>
    <s v="CódRastreio139"/>
    <n v="1"/>
    <s v="CPF 143"/>
    <s v="Nome 143"/>
    <s v="Tel 143"/>
    <s v="Cep 143"/>
    <s v="Rua 143"/>
    <s v="Comp 143"/>
    <x v="2"/>
    <s v="DJ-RO5O-43GF"/>
    <d v="2024-11-19T00:00:00"/>
    <n v="18.2"/>
    <n v="18.2"/>
    <n v="2.548"/>
    <n v="15.65"/>
    <n v="4.99"/>
    <n v="0.39"/>
    <n v="0.39877104377104378"/>
    <n v="0"/>
    <n v="9.8712289562289577"/>
    <n v="4.9356144781144788"/>
    <d v="2024-11-26T00:00:00"/>
    <d v="2024-11-26T00:00:00"/>
    <d v="2024-11-29T00:00:00"/>
    <d v="2024-11-29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47"/>
    <d v="2024-10-30T00:00:00"/>
    <d v="2024-10-30T00:00:00"/>
    <s v="PedidoF140"/>
    <s v="CódRastreio140"/>
    <n v="1"/>
    <s v="CPF 144"/>
    <s v="Nome 144"/>
    <s v="Tel 144"/>
    <s v="Cep 144"/>
    <s v="Rua 144"/>
    <s v="Comp 144"/>
    <x v="5"/>
    <s v="P4-K63S-8KOM"/>
    <d v="2024-11-14T00:00:00"/>
    <n v="17.7"/>
    <n v="17.7"/>
    <n v="2.3010000000000002"/>
    <n v="15.4"/>
    <n v="9.73"/>
    <n v="0.35"/>
    <n v="0.39877104377104378"/>
    <n v="0"/>
    <n v="4.9212289562289566"/>
    <n v="2.4606144781144783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4"/>
    <s v="Pedido 148"/>
    <d v="2024-10-29T00:00:00"/>
    <d v="2024-10-29T00:00:00"/>
    <s v="PedidoF141"/>
    <s v="CódRastreio141"/>
    <n v="1"/>
    <s v="CPF 145"/>
    <s v="Nome 145"/>
    <s v="Tel 145"/>
    <s v="Cep 145"/>
    <s v="Rua 145"/>
    <s v="Comp 145"/>
    <x v="5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d v="2024-11-19T00:00:00"/>
    <d v="2024-11-19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4"/>
    <s v="Pedido 149"/>
    <d v="2024-10-29T00:00:00"/>
    <d v="2024-10-29T00:00:00"/>
    <s v="PedidoF142"/>
    <s v="CódRastreio142"/>
    <n v="1"/>
    <s v="CPF 146"/>
    <s v="Nome 146"/>
    <s v="Tel 146"/>
    <s v="Cep 146"/>
    <s v="Rua 146"/>
    <s v="Comp 146"/>
    <x v="5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d v="2024-11-19T00:00:00"/>
    <d v="2024-11-19T00:00:00"/>
    <d v="2024-11-21T00:00:00"/>
    <d v="2024-11-22T00:00:00"/>
    <s v="2024 11"/>
    <s v="Aguardando Liberação"/>
    <s v="2024 10"/>
    <s v="ENTREGUE"/>
    <d v="2024-10-31T00:00:00"/>
    <s v="-"/>
    <s v="NÃO"/>
    <n v="0"/>
    <n v="0"/>
    <n v="0"/>
    <n v="0"/>
    <n v="0"/>
  </r>
  <r>
    <s v="BV"/>
    <s v="BV45594"/>
    <s v="Pedido 150"/>
    <d v="2024-10-29T00:00:00"/>
    <d v="2024-10-29T00:00:00"/>
    <s v="PedidoF143"/>
    <s v="CódRastreio143"/>
    <n v="1"/>
    <s v="CPF 147"/>
    <s v="Nome 147"/>
    <s v="Tel 147"/>
    <s v="Cep 147"/>
    <s v="Rua 147"/>
    <s v="Comp 147"/>
    <x v="4"/>
    <s v="9G-BN48-QAPH"/>
    <d v="2024-11-23T00:00:00"/>
    <n v="15.99"/>
    <n v="15.99"/>
    <n v="2.3984999999999999"/>
    <n v="13.59"/>
    <n v="4.99"/>
    <n v="0.39"/>
    <n v="0.39877104377104378"/>
    <n v="0"/>
    <n v="7.8112289562289563"/>
    <n v="3.9056144781144781"/>
    <d v="2024-11-30T00:00:00"/>
    <d v="2024-11-30T00:00:00"/>
    <d v="2024-12-11T00:00:00"/>
    <d v="2024-12-16T00:00:00"/>
    <s v="2024 11"/>
    <s v="Aguardando Liberação"/>
    <s v="2024 10"/>
    <s v="ENTREGUE"/>
    <d v="2024-11-07T00:00:00"/>
    <s v="-"/>
    <s v="NÃO"/>
    <n v="0"/>
    <n v="0"/>
    <n v="0"/>
    <n v="0"/>
    <n v="0"/>
  </r>
  <r>
    <s v="BV"/>
    <s v="BV45594"/>
    <s v="Pedido 151"/>
    <d v="2024-10-29T00:00:00"/>
    <d v="2024-10-29T00:00:00"/>
    <s v="PedidoF144"/>
    <s v="CódRastreio144"/>
    <n v="1"/>
    <s v="CPF 148"/>
    <s v="Nome 148"/>
    <s v="Tel 148"/>
    <s v="Cep 148"/>
    <s v="Rua 148"/>
    <s v="Comp 148"/>
    <x v="2"/>
    <s v="DJ-RO5O-43GF"/>
    <d v="2024-11-23T00:00:00"/>
    <n v="18.2"/>
    <n v="18.2"/>
    <n v="2.548"/>
    <n v="15.65"/>
    <n v="4.99"/>
    <n v="0.39"/>
    <n v="0.39877104377104378"/>
    <n v="0"/>
    <n v="9.8712289562289577"/>
    <n v="4.9356144781144788"/>
    <d v="2024-11-30T00:00:00"/>
    <d v="2024-11-30T00:00:00"/>
    <d v="2024-12-11T00:00:00"/>
    <d v="2024-12-16T00:00:00"/>
    <s v="2024 11"/>
    <s v="Aguardando Liberação"/>
    <s v="2024 10"/>
    <s v="ENTREGUE"/>
    <d v="2024-11-06T00:00:00"/>
    <s v="-"/>
    <s v="NÃO"/>
    <n v="0"/>
    <n v="0"/>
    <n v="0"/>
    <n v="0"/>
    <n v="0"/>
  </r>
  <r>
    <s v="BV"/>
    <s v="BV45594"/>
    <s v="Pedido 152"/>
    <d v="2024-10-29T00:00:00"/>
    <d v="2024-10-29T00:00:00"/>
    <s v="PedidoF145"/>
    <s v="CódRastreio145"/>
    <n v="1"/>
    <s v="CPF 149"/>
    <s v="Nome 149"/>
    <s v="Tel 149"/>
    <s v="Cep 149"/>
    <s v="Rua 149"/>
    <s v="Comp 149"/>
    <x v="5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d v="2024-11-19T00:00:00"/>
    <d v="2024-11-19T00:00:00"/>
    <d v="2024-11-21T00:00:00"/>
    <d v="2024-11-22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4"/>
    <s v="Pedido 153"/>
    <d v="2024-10-29T00:00:00"/>
    <d v="2024-10-29T00:00:00"/>
    <s v="PedidoF146"/>
    <s v="CódRastreio146"/>
    <n v="1"/>
    <s v="CPF 150"/>
    <s v="Nome 150"/>
    <s v="Tel 150"/>
    <s v="Cep 150"/>
    <s v="Rua 150"/>
    <s v="Comp 150"/>
    <x v="11"/>
    <s v="ZO-J9IL-EN6L"/>
    <d v="2024-11-19T00:00:00"/>
    <n v="59.99"/>
    <n v="59.99"/>
    <n v="8.3986000000000018"/>
    <n v="51.59"/>
    <n v="0"/>
    <n v="0.39"/>
    <n v="0.39877104377104378"/>
    <n v="0"/>
    <n v="50.801228956228961"/>
    <n v="25.40061447811448"/>
    <d v="2024-11-26T00:00:00"/>
    <d v="2024-11-26T00:00:00"/>
    <d v="2024-11-29T00:00:00"/>
    <d v="2024-11-29T00:00:00"/>
    <s v="2024 11"/>
    <s v="Aguardando Liberação"/>
    <s v="2024 10"/>
    <s v="ENTREGUE"/>
    <d v="2024-11-19T00:00:00"/>
    <s v="-"/>
    <s v="NÃO"/>
    <n v="0"/>
    <n v="0"/>
    <n v="0"/>
    <n v="0.22"/>
    <n v="0.22"/>
  </r>
  <r>
    <s v="BV"/>
    <s v="BV45594"/>
    <s v="Pedido 154"/>
    <d v="2024-10-29T00:00:00"/>
    <d v="2024-10-29T00:00:00"/>
    <s v="PedidoF147"/>
    <s v="CódRastreio147"/>
    <n v="1"/>
    <s v="CPF 151"/>
    <s v="Nome 151"/>
    <s v="Tel 151"/>
    <s v="Cep 151"/>
    <s v="Rua 151"/>
    <s v="Comp 151"/>
    <x v="5"/>
    <s v="P4-K63S-8KOM"/>
    <d v="2024-11-23T00:00:00"/>
    <n v="17.7"/>
    <n v="17.7"/>
    <n v="2.3010000000000002"/>
    <n v="15.4"/>
    <n v="9"/>
    <n v="0.39"/>
    <n v="0.39877104377104378"/>
    <n v="0"/>
    <n v="5.6112289562289561"/>
    <n v="2.8056144781144781"/>
    <d v="2024-11-30T00:00:00"/>
    <d v="2024-11-30T00:00:00"/>
    <d v="2024-12-11T00:00:00"/>
    <d v="2024-12-16T00:00:00"/>
    <s v="2024 11"/>
    <s v="Aguardando Liberação"/>
    <s v="2024 10"/>
    <s v="ENTREGUE"/>
    <d v="2024-11-11T00:00:00"/>
    <s v="-"/>
    <s v="NÃO"/>
    <n v="0"/>
    <n v="0"/>
    <n v="0"/>
    <n v="0"/>
    <n v="0"/>
  </r>
  <r>
    <s v="BV"/>
    <s v="BV45594"/>
    <s v="Pedido 155"/>
    <d v="2024-10-29T00:00:00"/>
    <d v="2024-10-29T00:00:00"/>
    <s v="PedidoF148"/>
    <s v="CódRastreio148"/>
    <n v="1"/>
    <s v="CPF 152"/>
    <s v="Nome 152"/>
    <s v="Tel 152"/>
    <s v="Cep 152"/>
    <s v="Rua 152"/>
    <s v="Comp 152"/>
    <x v="0"/>
    <s v="16-4EDB-WMZF"/>
    <d v="2024-11-23T00:00:00"/>
    <n v="15.99"/>
    <n v="15.99"/>
    <n v="2.3984999999999999"/>
    <n v="13.59"/>
    <n v="4.99"/>
    <n v="0.39"/>
    <n v="0.39877104377104378"/>
    <n v="0"/>
    <n v="7.8112289562289563"/>
    <n v="3.9056144781144781"/>
    <d v="2024-11-30T00:00:00"/>
    <d v="2024-11-30T00:00:00"/>
    <d v="2024-12-11T00:00:00"/>
    <d v="2024-12-16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4"/>
    <s v="Pedido 156"/>
    <d v="2024-10-29T00:00:00"/>
    <d v="2024-10-29T00:00:00"/>
    <s v="PedidoF149"/>
    <s v="CódRastreio149"/>
    <n v="1"/>
    <s v="CPF 153"/>
    <s v="Nome 153"/>
    <s v="Tel 153"/>
    <s v="Cep 153"/>
    <s v="Rua 153"/>
    <s v="Comp 153"/>
    <x v="0"/>
    <s v="16-4EDB-WMZF"/>
    <d v="2024-11-19T00:00:00"/>
    <n v="15.99"/>
    <n v="15.99"/>
    <n v="2.3984999999999999"/>
    <n v="13.59"/>
    <n v="4.99"/>
    <n v="0.39"/>
    <n v="0.39877104377104378"/>
    <n v="0"/>
    <n v="7.8112289562289563"/>
    <n v="3.9056144781144781"/>
    <d v="2024-11-26T00:00:00"/>
    <d v="2024-11-26T00:00:00"/>
    <d v="2024-11-29T00:00:00"/>
    <d v="2024-11-29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4"/>
    <s v="Pedido 157"/>
    <d v="2024-10-29T00:00:00"/>
    <d v="2024-10-29T00:00:00"/>
    <s v="PedidoF150"/>
    <s v="CódRastreio150"/>
    <n v="1"/>
    <s v="CPF 154"/>
    <s v="Nome 154"/>
    <s v="Tel 154"/>
    <s v="Cep 154"/>
    <s v="Rua 154"/>
    <s v="Comp 154"/>
    <x v="3"/>
    <s v="IF-G2ZQ-79FO"/>
    <d v="2024-11-30T00:00:00"/>
    <n v="59.99"/>
    <n v="59.99"/>
    <n v="7.7987000000000002"/>
    <n v="52.19"/>
    <n v="7.26"/>
    <n v="0.39"/>
    <n v="0.39877104377104378"/>
    <n v="0"/>
    <n v="44.141228956228957"/>
    <n v="22.070614478114479"/>
    <d v="2024-12-07T00:00:00"/>
    <d v="2024-12-07T00:00:00"/>
    <d v="2024-12-11T00:00:00"/>
    <d v="2024-12-16T00:00:00"/>
    <s v="2024 12"/>
    <s v="Aguardando Liberação"/>
    <s v="2024 10"/>
    <s v="ENTREGUE"/>
    <d v="2024-12-03T00:00:00"/>
    <s v="-"/>
    <s v="NÃO"/>
    <n v="0"/>
    <n v="0"/>
    <n v="0"/>
    <n v="0"/>
    <n v="0"/>
  </r>
  <r>
    <s v="BV"/>
    <s v="BV45594"/>
    <s v="Pedido 158"/>
    <d v="2024-10-29T00:00:00"/>
    <d v="2024-10-29T00:00:00"/>
    <s v="PedidoF151"/>
    <s v="CódRastreio151"/>
    <n v="1"/>
    <s v="CPF 155"/>
    <s v="Nome 155"/>
    <s v="Tel 155"/>
    <s v="Cep 155"/>
    <s v="Rua 155"/>
    <s v="Comp 155"/>
    <x v="4"/>
    <s v="9G-BN48-QAPH"/>
    <d v="2024-11-23T00:00:00"/>
    <n v="15.99"/>
    <n v="15.99"/>
    <n v="2.3984999999999999"/>
    <n v="13.59"/>
    <n v="4.99"/>
    <n v="0.39"/>
    <n v="0.39877104377104378"/>
    <n v="0"/>
    <n v="7.8112289562289563"/>
    <n v="3.9056144781144781"/>
    <d v="2024-11-30T00:00:00"/>
    <d v="2024-11-30T00:00:00"/>
    <d v="2024-12-11T00:00:00"/>
    <d v="2024-12-16T00:00:00"/>
    <s v="2024 11"/>
    <s v="Aguardando Liberação"/>
    <s v="2024 10"/>
    <s v="ENTREGUE"/>
    <d v="2024-11-08T00:00:00"/>
    <s v="-"/>
    <s v="NÃO"/>
    <n v="0"/>
    <n v="0"/>
    <n v="0"/>
    <n v="0"/>
    <n v="0"/>
  </r>
  <r>
    <s v="BV"/>
    <s v="BV45595"/>
    <s v="Pedido 159"/>
    <d v="2024-10-30T00:00:00"/>
    <d v="2024-10-30T00:00:00"/>
    <s v="PedidoF152"/>
    <s v="CódRastreio152"/>
    <n v="1"/>
    <s v="CPF 156"/>
    <s v="Nome 156"/>
    <s v="Tel 156"/>
    <s v="Cep 156"/>
    <s v="Rua 156"/>
    <s v="Comp 156"/>
    <x v="5"/>
    <s v="P4-K63S-8KOM"/>
    <d v="2024-11-14T00:00:00"/>
    <n v="17.7"/>
    <n v="17.7"/>
    <n v="2.3010000000000002"/>
    <n v="15.4"/>
    <n v="9.73"/>
    <n v="0.35"/>
    <n v="0.39877104377104378"/>
    <n v="0"/>
    <n v="4.9212289562289566"/>
    <n v="2.4606144781144783"/>
    <d v="2024-11-21T00:00:00"/>
    <d v="2024-11-21T00:00:00"/>
    <d v="2024-11-21T00:00:00"/>
    <d v="2024-11-22T00:00:00"/>
    <s v="2024 11"/>
    <s v="Aguardando Liberação"/>
    <s v="2024 10"/>
    <s v="ENTREGUE"/>
    <d v="2024-11-02T00:00:00"/>
    <s v="-"/>
    <s v="NÃO"/>
    <n v="0"/>
    <n v="0"/>
    <n v="0"/>
    <n v="0"/>
    <n v="0"/>
  </r>
  <r>
    <s v="BV"/>
    <s v="BV45594"/>
    <s v="Pedido 160"/>
    <d v="2024-10-29T00:00:00"/>
    <d v="2024-10-29T00:00:00"/>
    <s v="PedidoF153"/>
    <s v="CódRastreio153"/>
    <n v="1"/>
    <s v="CPF 157"/>
    <s v="Nome 157"/>
    <s v="Tel 157"/>
    <s v="Cep 157"/>
    <s v="Rua 157"/>
    <s v="Comp 157"/>
    <x v="0"/>
    <s v="16-4EDB-WMZF"/>
    <d v="2024-11-14T00:00:00"/>
    <n v="15.99"/>
    <n v="15.99"/>
    <n v="2.3984999999999999"/>
    <n v="13.59"/>
    <n v="4.99"/>
    <n v="0.39"/>
    <n v="0.39877104377104378"/>
    <n v="0"/>
    <n v="7.8112289562289563"/>
    <n v="3.9056144781144781"/>
    <d v="2024-11-21T00:00:00"/>
    <d v="2024-11-21T00:00:00"/>
    <d v="2024-11-21T00:00:00"/>
    <d v="2024-11-22T00:00:00"/>
    <s v="2024 11"/>
    <s v="Aguardando Liberação"/>
    <s v="2024 10"/>
    <s v="ENTREGUE"/>
    <d v="2024-11-01T00:00:00"/>
    <s v="-"/>
    <s v="NÃO"/>
    <n v="0"/>
    <n v="0"/>
    <n v="0"/>
    <n v="0"/>
    <n v="0"/>
  </r>
  <r>
    <s v="BV"/>
    <s v="BV45594"/>
    <s v="Pedido 161"/>
    <d v="2024-10-29T00:00:00"/>
    <d v="2024-10-29T00:00:00"/>
    <s v="PedidoF154"/>
    <s v="CódRastreio154"/>
    <n v="1"/>
    <s v="CPF 158"/>
    <s v="Nome 158"/>
    <s v="Tel 158"/>
    <s v="Cep 158"/>
    <s v="Rua 158"/>
    <s v="Comp 158"/>
    <x v="2"/>
    <s v="DJ-RO5O-43GF"/>
    <d v="2024-11-23T00:00:00"/>
    <n v="18.2"/>
    <n v="18.2"/>
    <n v="2.548"/>
    <n v="15.65"/>
    <n v="4.99"/>
    <n v="0.39"/>
    <n v="0.39877104377104378"/>
    <n v="0"/>
    <n v="9.8712289562289577"/>
    <n v="4.9356144781144788"/>
    <d v="2024-11-30T00:00:00"/>
    <d v="2024-11-30T00:00:00"/>
    <d v="2024-12-11T00:00:00"/>
    <d v="2024-12-16T00:00:00"/>
    <s v="2024 11"/>
    <s v="Aguardando Liberação"/>
    <s v="2024 10"/>
    <s v="ENTREGUE"/>
    <d v="2024-11-08T00:00:00"/>
    <s v="-"/>
    <s v="NÃO"/>
    <n v="0"/>
    <n v="0"/>
    <n v="0"/>
    <n v="0"/>
    <n v="0"/>
  </r>
  <r>
    <s v="BV"/>
    <s v="BV45594"/>
    <s v="Pedido 162"/>
    <d v="2024-10-29T00:00:00"/>
    <d v="2024-10-29T00:00:00"/>
    <s v="PedidoF155"/>
    <s v="CódRastreio155"/>
    <n v="1"/>
    <s v="CPF 159"/>
    <s v="Nome 159"/>
    <s v="Tel 159"/>
    <s v="Cep 159"/>
    <s v="Rua 159"/>
    <s v="Comp 159"/>
    <x v="4"/>
    <s v="9G-BN48-QAPH"/>
    <d v="2024-11-23T00:00:00"/>
    <n v="15.99"/>
    <n v="15.99"/>
    <n v="2.3984999999999999"/>
    <n v="13.59"/>
    <n v="4.99"/>
    <n v="0.39"/>
    <n v="0.39877104377104378"/>
    <n v="0"/>
    <n v="7.8112289562289563"/>
    <n v="3.9056144781144781"/>
    <d v="2024-11-30T00:00:00"/>
    <d v="2024-11-30T00:00:00"/>
    <d v="2024-12-11T00:00:00"/>
    <d v="2024-12-16T00:00:00"/>
    <s v="2024 11"/>
    <s v="Aguardando Liberação"/>
    <s v="2024 10"/>
    <s v="ENTREGUE"/>
    <d v="2024-11-14T00:00:00"/>
    <s v="-"/>
    <s v="NÃO"/>
    <n v="0"/>
    <n v="0"/>
    <n v="0"/>
    <n v="0"/>
    <n v="0"/>
  </r>
  <r>
    <s v="BV"/>
    <s v="BV45594"/>
    <s v="Pedido 163"/>
    <d v="2024-10-29T00:00:00"/>
    <d v="2024-10-29T00:00:00"/>
    <s v="PedidoF156"/>
    <s v="CódRastreio156"/>
    <n v="1"/>
    <s v="CPF 160"/>
    <s v="Nome 160"/>
    <s v="Tel 160"/>
    <s v="Cep 160"/>
    <s v="Rua 160"/>
    <s v="Comp 160"/>
    <x v="5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d v="2024-11-19T00:00:00"/>
    <d v="2024-11-19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4"/>
    <s v="Pedido 164"/>
    <d v="2024-10-29T00:00:00"/>
    <d v="2024-10-29T00:00:00"/>
    <s v="PedidoF157"/>
    <s v="CódRastreio157"/>
    <n v="1"/>
    <s v="CPF 161"/>
    <s v="Nome 161"/>
    <s v="Tel 161"/>
    <s v="Cep 161"/>
    <s v="Rua 161"/>
    <s v="Comp 161"/>
    <x v="0"/>
    <s v="16-4EDB-WMZF"/>
    <d v="2024-11-19T00:00:00"/>
    <n v="15.99"/>
    <n v="15.99"/>
    <n v="2.3984999999999999"/>
    <n v="13.59"/>
    <n v="4.99"/>
    <n v="0.39"/>
    <n v="0.39877104377104378"/>
    <n v="0"/>
    <n v="7.8112289562289563"/>
    <n v="3.9056144781144781"/>
    <d v="2024-11-26T00:00:00"/>
    <d v="2024-11-26T00:00:00"/>
    <d v="2024-11-29T00:00:00"/>
    <d v="2024-11-29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4"/>
    <s v="Pedido 165"/>
    <d v="2024-10-29T00:00:00"/>
    <d v="2024-10-29T00:00:00"/>
    <s v="PedidoF158"/>
    <s v="CódRastreio158"/>
    <n v="1"/>
    <s v="CPF 162"/>
    <s v="Nome 162"/>
    <s v="Tel 162"/>
    <s v="Cep 162"/>
    <s v="Rua 162"/>
    <s v="Comp 162"/>
    <x v="11"/>
    <s v="ZO-J9IL-EN6L"/>
    <d v="2024-11-26T00:00:00"/>
    <n v="59.4"/>
    <n v="59.4"/>
    <n v="8.3160000000000007"/>
    <n v="51.08"/>
    <n v="7.26"/>
    <n v="0.39"/>
    <n v="0.39877104377104378"/>
    <n v="0"/>
    <n v="43.031228956228958"/>
    <n v="21.515614478114479"/>
    <d v="2024-12-03T00:00:00"/>
    <d v="2024-12-03T00:00:00"/>
    <d v="2024-12-11T00:00:00"/>
    <d v="2024-12-16T00:00:00"/>
    <s v="2024 12"/>
    <s v="Aguardando Liberação"/>
    <s v="2024 10"/>
    <s v="ENTREGUE"/>
    <d v="2024-11-11T00:00:00"/>
    <s v="-"/>
    <s v="SIM"/>
    <n v="0"/>
    <n v="0"/>
    <n v="0"/>
    <n v="0"/>
    <n v="0"/>
  </r>
  <r>
    <s v="BV"/>
    <s v="BV45594"/>
    <s v="Pedido 166"/>
    <d v="2024-10-29T00:00:00"/>
    <d v="2024-10-29T00:00:00"/>
    <s v="PedidoF159"/>
    <s v="CódRastreio159"/>
    <n v="1"/>
    <s v="CPF 163"/>
    <s v="Nome 163"/>
    <s v="Tel 163"/>
    <s v="Cep 163"/>
    <s v="Rua 163"/>
    <s v="Comp 163"/>
    <x v="11"/>
    <s v="ZO-J9IL-EN6L"/>
    <d v="2024-11-26T00:00:00"/>
    <n v="59.4"/>
    <n v="59.4"/>
    <n v="8.3160000000000007"/>
    <n v="51.08"/>
    <n v="7.26"/>
    <n v="0.39"/>
    <n v="0.39877104377104378"/>
    <n v="0"/>
    <n v="43.031228956228958"/>
    <n v="21.515614478114479"/>
    <d v="2024-12-03T00:00:00"/>
    <d v="2024-12-03T00:00:00"/>
    <d v="2024-12-11T00:00:00"/>
    <d v="2024-12-16T00:00:00"/>
    <s v="2024 12"/>
    <s v="Aguardando Liberação"/>
    <s v="2024 10"/>
    <s v="ENTREGUE"/>
    <d v="2024-11-14T00:00:00"/>
    <s v="-"/>
    <s v="NÃO"/>
    <n v="0"/>
    <n v="0"/>
    <n v="0"/>
    <n v="0"/>
    <n v="0"/>
  </r>
  <r>
    <s v="BV"/>
    <s v="BV45595"/>
    <s v="Pedido 167"/>
    <d v="2024-10-30T00:00:00"/>
    <d v="2024-10-30T00:00:00"/>
    <s v="PedidoF160"/>
    <s v="CódRastreio160"/>
    <n v="1"/>
    <s v="CPF 164"/>
    <s v="Nome 164"/>
    <s v="Tel 164"/>
    <s v="Cep 164"/>
    <s v="Rua 164"/>
    <s v="Comp 164"/>
    <x v="2"/>
    <s v="DJ-RO5O-43GF"/>
    <d v="2024-11-12T00:00:00"/>
    <n v="18.2"/>
    <n v="18.2"/>
    <n v="2.548"/>
    <n v="15.65"/>
    <n v="4.99"/>
    <n v="0.35"/>
    <n v="0.39877104377104378"/>
    <n v="0"/>
    <n v="9.9112289562289568"/>
    <n v="4.9556144781144784"/>
    <d v="2024-11-19T00:00:00"/>
    <d v="2024-11-19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68"/>
    <d v="2024-10-30T00:00:00"/>
    <d v="2024-10-30T00:00:00"/>
    <s v="PedidoF161"/>
    <s v="CódRastreio161"/>
    <n v="1"/>
    <s v="CPF 165"/>
    <s v="Nome 165"/>
    <s v="Tel 165"/>
    <s v="Cep 165"/>
    <s v="Rua 165"/>
    <s v="Comp 165"/>
    <x v="2"/>
    <s v="DJ-RO5O-43GF"/>
    <d v="2024-11-14T00:00:00"/>
    <n v="18.2"/>
    <n v="18.2"/>
    <n v="2.548"/>
    <n v="15.65"/>
    <n v="4.99"/>
    <n v="0.35"/>
    <n v="0.39877104377104378"/>
    <n v="0"/>
    <n v="9.9112289562289568"/>
    <n v="4.9556144781144784"/>
    <d v="2024-11-21T00:00:00"/>
    <d v="2024-11-21T00:00:00"/>
    <d v="2024-11-21T00:00:00"/>
    <d v="2024-11-22T00:00:00"/>
    <s v="2024 11"/>
    <s v="Aguardando Liberação"/>
    <s v="2024 10"/>
    <s v="ENTREGUE"/>
    <d v="2024-11-07T00:00:00"/>
    <s v="-"/>
    <s v="NÃO"/>
    <n v="0"/>
    <n v="0"/>
    <n v="0"/>
    <n v="0"/>
    <n v="0"/>
  </r>
  <r>
    <s v="BV"/>
    <s v="BV45595"/>
    <s v="Pedido 169"/>
    <d v="2024-10-30T00:00:00"/>
    <d v="2024-10-30T00:00:00"/>
    <s v="PedidoF162"/>
    <s v="CódRastreio162"/>
    <n v="1"/>
    <s v="CPF 166"/>
    <s v="Nome 166"/>
    <s v="Tel 166"/>
    <s v="Cep 166"/>
    <s v="Rua 166"/>
    <s v="Comp 166"/>
    <x v="0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d v="2024-11-21T00:00:00"/>
    <d v="2024-11-21T00:00:00"/>
    <d v="2024-11-21T00:00:00"/>
    <d v="2024-11-22T00:00:00"/>
    <s v="2024 11"/>
    <s v="Aguardando Liberação"/>
    <s v="2024 10"/>
    <s v="ENTREGUE"/>
    <d v="2024-11-02T00:00:00"/>
    <s v="-"/>
    <s v="NÃO"/>
    <n v="0"/>
    <n v="0"/>
    <n v="0"/>
    <n v="0"/>
    <n v="0"/>
  </r>
  <r>
    <s v="BV"/>
    <s v="BV45595"/>
    <s v="Pedido 170"/>
    <d v="2024-10-30T00:00:00"/>
    <d v="2024-10-30T00:00:00"/>
    <s v="PedidoF163"/>
    <s v="CódRastreio163"/>
    <n v="1"/>
    <s v="CPF 167"/>
    <s v="Nome 167"/>
    <s v="Tel 167"/>
    <s v="Cep 167"/>
    <s v="Rua 167"/>
    <s v="Comp 167"/>
    <x v="0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71"/>
    <d v="2024-10-30T00:00:00"/>
    <d v="2024-10-30T00:00:00"/>
    <s v="PedidoF164"/>
    <s v="CódRastreio164"/>
    <n v="1"/>
    <s v="CPF 168"/>
    <s v="Nome 168"/>
    <s v="Tel 168"/>
    <s v="Cep 168"/>
    <s v="Rua 168"/>
    <s v="Comp 168"/>
    <x v="2"/>
    <s v="DJ-RO5O-43GF"/>
    <d v="2024-11-14T00:00:00"/>
    <n v="18.2"/>
    <n v="18.2"/>
    <n v="2.548"/>
    <n v="15.65"/>
    <n v="4.99"/>
    <n v="0.35"/>
    <n v="0.39877104377104378"/>
    <n v="0"/>
    <n v="9.9112289562289568"/>
    <n v="4.9556144781144784"/>
    <d v="2024-11-21T00:00:00"/>
    <d v="2024-11-21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5"/>
    <s v="Pedido 172"/>
    <d v="2024-10-30T00:00:00"/>
    <d v="2024-10-30T00:00:00"/>
    <s v="PedidoF165"/>
    <s v="CódRastreio165"/>
    <n v="1"/>
    <s v="CPF 169"/>
    <s v="Nome 169"/>
    <s v="Tel 169"/>
    <s v="Cep 169"/>
    <s v="Rua 169"/>
    <s v="Comp 169"/>
    <x v="2"/>
    <s v="DJ-RO5O-43GF"/>
    <d v="2024-11-08T00:00:00"/>
    <n v="18.2"/>
    <n v="18.2"/>
    <n v="2.548"/>
    <n v="15.65"/>
    <n v="4.99"/>
    <n v="0.35"/>
    <n v="0.39877104377104378"/>
    <n v="0"/>
    <n v="9.9112289562289568"/>
    <n v="4.9556144781144784"/>
    <d v="2024-11-15T00:00:00"/>
    <d v="2024-11-15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5"/>
    <s v="Pedido 173"/>
    <d v="2024-10-30T00:00:00"/>
    <d v="2024-10-30T00:00:00"/>
    <s v="PedidoF166"/>
    <s v="CódRastreio166"/>
    <n v="1"/>
    <s v="CPF 170"/>
    <s v="Nome 170"/>
    <s v="Tel 170"/>
    <s v="Cep 170"/>
    <s v="Rua 170"/>
    <s v="Comp 170"/>
    <x v="0"/>
    <s v="16-4EDB-WMZF"/>
    <d v="2024-11-08T00:00:00"/>
    <n v="15.99"/>
    <n v="15.99"/>
    <n v="2.3984999999999999"/>
    <n v="13.59"/>
    <n v="4.99"/>
    <n v="0.35"/>
    <n v="0.39877104377104378"/>
    <n v="0"/>
    <n v="7.8512289562289563"/>
    <n v="3.9256144781144782"/>
    <d v="2024-11-15T00:00:00"/>
    <d v="2024-11-15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74"/>
    <d v="2024-10-30T00:00:00"/>
    <d v="2024-10-30T00:00:00"/>
    <s v="PedidoF167"/>
    <s v="CódRastreio167"/>
    <n v="1"/>
    <s v="CPF 171"/>
    <s v="Nome 171"/>
    <s v="Tel 171"/>
    <s v="Cep 171"/>
    <s v="Rua 171"/>
    <s v="Comp 171"/>
    <x v="0"/>
    <s v="16-4EDB-WMZF"/>
    <d v="2024-11-12T00:00:00"/>
    <n v="15.99"/>
    <n v="15.99"/>
    <n v="2.3984999999999999"/>
    <n v="13.59"/>
    <n v="4.99"/>
    <n v="0.35"/>
    <n v="0.39877104377104378"/>
    <n v="0"/>
    <n v="7.8512289562289563"/>
    <n v="3.9256144781144782"/>
    <d v="2024-11-19T00:00:00"/>
    <d v="2024-11-19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75"/>
    <d v="2024-10-30T00:00:00"/>
    <d v="2024-10-30T00:00:00"/>
    <s v="PedidoF168"/>
    <s v="CódRastreio168"/>
    <n v="1"/>
    <s v="CPF 172"/>
    <s v="Nome 172"/>
    <s v="Tel 172"/>
    <s v="Cep 172"/>
    <s v="Rua 172"/>
    <s v="Comp 172"/>
    <x v="2"/>
    <s v="DJ-RO5O-43GF"/>
    <d v="2024-11-14T00:00:00"/>
    <n v="18.2"/>
    <n v="18.2"/>
    <n v="2.548"/>
    <n v="15.65"/>
    <n v="4.99"/>
    <n v="0.35"/>
    <n v="0.39877104377104378"/>
    <n v="0"/>
    <n v="9.9112289562289568"/>
    <n v="4.9556144781144784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76"/>
    <d v="2024-10-30T00:00:00"/>
    <d v="2024-10-30T00:00:00"/>
    <s v="PedidoF169"/>
    <s v="CódRastreio169"/>
    <n v="1"/>
    <s v="CPF 173"/>
    <s v="Nome 173"/>
    <s v="Tel 173"/>
    <s v="Cep 173"/>
    <s v="Rua 173"/>
    <s v="Comp 173"/>
    <x v="0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d v="2024-11-21T00:00:00"/>
    <d v="2024-11-21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5"/>
    <s v="Pedido 177"/>
    <d v="2024-10-30T00:00:00"/>
    <d v="2024-10-30T00:00:00"/>
    <s v="PedidoF170"/>
    <s v="CódRastreio170"/>
    <n v="1"/>
    <s v="CPF 174"/>
    <s v="Nome 174"/>
    <s v="Tel 174"/>
    <s v="Cep 174"/>
    <s v="Rua 174"/>
    <s v="Comp 174"/>
    <x v="0"/>
    <s v="16-4EDB-WMZF"/>
    <d v="2024-11-22T00:00:00"/>
    <n v="15.99"/>
    <n v="15.99"/>
    <n v="2.3984999999999999"/>
    <n v="13.59"/>
    <n v="4.99"/>
    <n v="0.35"/>
    <n v="0.39877104377104378"/>
    <n v="0"/>
    <n v="7.8512289562289563"/>
    <n v="3.9256144781144782"/>
    <d v="2024-11-29T00:00:00"/>
    <d v="2024-11-29T00:00:00"/>
    <d v="2024-11-29T00:00:00"/>
    <d v="2024-11-29T00:00:00"/>
    <s v="2024 11"/>
    <s v="Aguardando Liberação"/>
    <s v="2024 10"/>
    <s v="ENTREGUE"/>
    <d v="2024-11-06T00:00:00"/>
    <s v="-"/>
    <s v="NÃO"/>
    <n v="0"/>
    <n v="0"/>
    <n v="0"/>
    <n v="0"/>
    <n v="0"/>
  </r>
  <r>
    <s v="BV"/>
    <s v="BV45595"/>
    <s v="Pedido 178"/>
    <d v="2024-10-30T00:00:00"/>
    <d v="2024-10-30T00:00:00"/>
    <s v="PedidoF171"/>
    <s v="CódRastreio171"/>
    <n v="1"/>
    <s v="CPF 175"/>
    <s v="Nome 175"/>
    <s v="Tel 175"/>
    <s v="Cep 175"/>
    <s v="Rua 175"/>
    <s v="Comp 175"/>
    <x v="10"/>
    <s v="MU-J80P-95WF"/>
    <d v="2024-11-14T00:00:00"/>
    <n v="59.99"/>
    <n v="59.99"/>
    <n v="7.7987000000000002"/>
    <n v="52.19"/>
    <n v="7.3"/>
    <n v="0.35"/>
    <n v="0.39877104377104378"/>
    <n v="0"/>
    <n v="44.141228956228957"/>
    <n v="22.070614478114479"/>
    <d v="2024-11-21T00:00:00"/>
    <d v="2024-11-21T00:00:00"/>
    <d v="2024-11-21T00:00:00"/>
    <d v="2024-11-22T00:00:00"/>
    <s v="2024 11"/>
    <s v="Aguardando Liberação"/>
    <s v="2024 10"/>
    <s v="ENTREGUE"/>
    <d v="2024-11-06T00:00:00"/>
    <s v="-"/>
    <s v="NÃO"/>
    <n v="0"/>
    <n v="0"/>
    <n v="0"/>
    <n v="0"/>
    <n v="0"/>
  </r>
  <r>
    <s v="BV"/>
    <s v="BV45595"/>
    <s v="Pedido 179"/>
    <d v="2024-10-30T00:00:00"/>
    <d v="2024-10-30T00:00:00"/>
    <s v="PedidoF172"/>
    <s v="CódRastreio172"/>
    <n v="1"/>
    <s v="CPF 176"/>
    <s v="Nome 176"/>
    <s v="Tel 176"/>
    <s v="Cep 176"/>
    <s v="Rua 176"/>
    <s v="Comp 176"/>
    <x v="11"/>
    <s v="ZO-J9IL-EN6L"/>
    <d v="2024-11-14T00:00:00"/>
    <n v="58.99"/>
    <n v="58.99"/>
    <n v="8.2586000000000013"/>
    <n v="50.73"/>
    <n v="0"/>
    <n v="0.35"/>
    <n v="0.39877104377104378"/>
    <n v="0"/>
    <n v="49.981228956228954"/>
    <n v="24.990614478114477"/>
    <d v="2024-11-21T00:00:00"/>
    <d v="2024-11-21T00:00:00"/>
    <d v="2024-11-21T00:00:00"/>
    <d v="2024-11-22T00:00:00"/>
    <s v="2024 11"/>
    <s v="Aguardando Liberação"/>
    <s v="2024 10"/>
    <s v="ENTREGUE"/>
    <d v="2024-11-08T00:00:00"/>
    <s v="-"/>
    <s v="NÃO"/>
    <n v="0"/>
    <n v="0"/>
    <n v="0"/>
    <n v="0"/>
    <n v="0"/>
  </r>
  <r>
    <s v="BV"/>
    <s v="BV45595"/>
    <s v="Pedido 180"/>
    <d v="2024-10-30T00:00:00"/>
    <d v="2024-10-30T00:00:00"/>
    <s v="PedidoF173"/>
    <s v="CódRastreio173"/>
    <n v="1"/>
    <s v="CPF 177"/>
    <s v="Nome 177"/>
    <s v="Tel 177"/>
    <s v="Cep 177"/>
    <s v="Rua 177"/>
    <s v="Comp 177"/>
    <x v="0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d v="2024-11-21T00:00:00"/>
    <d v="2024-11-21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5"/>
    <s v="Pedido 181"/>
    <d v="2024-10-30T00:00:00"/>
    <d v="2024-10-30T00:00:00"/>
    <s v="PedidoF174"/>
    <s v="CódRastreio174"/>
    <n v="1"/>
    <s v="CPF 178"/>
    <s v="Nome 178"/>
    <s v="Tel 178"/>
    <s v="Cep 178"/>
    <s v="Rua 178"/>
    <s v="Comp 178"/>
    <x v="0"/>
    <s v="16-4EDB-WMZF"/>
    <d v="2024-11-14T00:00:00"/>
    <n v="40"/>
    <n v="40"/>
    <n v="6"/>
    <n v="34"/>
    <n v="4.99"/>
    <n v="0.35"/>
    <n v="0.39877104377104378"/>
    <n v="0"/>
    <n v="28.261228956228955"/>
    <n v="14.130614478114477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82"/>
    <d v="2024-10-30T00:00:00"/>
    <d v="2024-10-30T00:00:00"/>
    <s v="PedidoF175"/>
    <s v="CódRastreio175"/>
    <n v="1"/>
    <s v="CPF 179"/>
    <s v="Nome 179"/>
    <s v="Tel 179"/>
    <s v="Cep 179"/>
    <s v="Rua 179"/>
    <s v="Comp 179"/>
    <x v="2"/>
    <s v="DJ-RO5O-43GF"/>
    <d v="2024-11-14T00:00:00"/>
    <n v="40"/>
    <n v="40"/>
    <n v="5.6000000000000005"/>
    <n v="34.4"/>
    <n v="4.99"/>
    <n v="0.35"/>
    <n v="0.39877104377104378"/>
    <n v="0"/>
    <n v="28.661228956228953"/>
    <n v="14.330614478114477"/>
    <d v="2024-11-21T00:00:00"/>
    <d v="2024-11-21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5"/>
    <s v="Pedido 183"/>
    <d v="2024-10-30T00:00:00"/>
    <d v="2024-10-30T00:00:00"/>
    <s v="PedidoF176"/>
    <s v="CódRastreio176"/>
    <n v="1"/>
    <s v="CPF 180"/>
    <s v="Nome 180"/>
    <s v="Tel 180"/>
    <s v="Cep 180"/>
    <s v="Rua 180"/>
    <s v="Comp 180"/>
    <x v="10"/>
    <s v="MU-J80P-95WF"/>
    <d v="2024-11-22T00:00:00"/>
    <n v="59.99"/>
    <n v="59.99"/>
    <n v="7.7987000000000002"/>
    <n v="52.19"/>
    <n v="7.3"/>
    <n v="0.35"/>
    <n v="0.39877104377104378"/>
    <n v="0"/>
    <n v="44.141228956228957"/>
    <n v="22.070614478114479"/>
    <d v="2024-11-29T00:00:00"/>
    <d v="2024-11-29T00:00:00"/>
    <d v="2024-11-29T00:00:00"/>
    <d v="2024-11-29T00:00:00"/>
    <s v="2024 11"/>
    <s v="Aguardando Liberação"/>
    <s v="2024 10"/>
    <s v="ENTREGUE"/>
    <d v="2024-11-12T00:00:00"/>
    <s v="-"/>
    <s v="NÃO"/>
    <n v="0"/>
    <n v="0"/>
    <n v="0"/>
    <n v="0"/>
    <n v="0"/>
  </r>
  <r>
    <s v="BV"/>
    <s v="BV45595"/>
    <s v="Pedido 184"/>
    <d v="2024-10-30T00:00:00"/>
    <d v="2024-10-30T00:00:00"/>
    <s v="PedidoF177"/>
    <s v="CódRastreio177"/>
    <n v="1"/>
    <s v="CPF 181"/>
    <s v="Nome 181"/>
    <s v="Tel 181"/>
    <s v="Cep 181"/>
    <s v="Rua 181"/>
    <s v="Comp 181"/>
    <x v="1"/>
    <s v="CK-YL6M-P5Y6"/>
    <d v="2024-11-22T00:00:00"/>
    <n v="31.99"/>
    <n v="31.99"/>
    <n v="4.1586999999999996"/>
    <n v="27.83"/>
    <n v="0"/>
    <n v="0.35"/>
    <n v="0.39877104377104378"/>
    <n v="0"/>
    <n v="27.081228956228955"/>
    <n v="13.540614478114477"/>
    <d v="2024-11-29T00:00:00"/>
    <d v="2024-12-09T00:00:00"/>
    <d v="2024-11-29T00:00:00"/>
    <d v="2024-11-29T00:00:00"/>
    <s v="2024 11"/>
    <s v="Aguardando Liberação"/>
    <s v="2024 10"/>
    <s v="ENTREGUE"/>
    <d v="2024-12-03T00:00:00"/>
    <s v="-"/>
    <s v="-"/>
    <n v="0"/>
    <n v="0"/>
    <n v="0"/>
    <n v="0"/>
    <n v="0"/>
  </r>
  <r>
    <s v="BV"/>
    <s v="BV45595"/>
    <s v="Pedido 185"/>
    <d v="2024-10-30T00:00:00"/>
    <d v="2024-10-30T00:00:00"/>
    <s v="PedidoF178"/>
    <s v="CódRastreio178"/>
    <n v="1"/>
    <s v="CPF 182"/>
    <s v="Nome 182"/>
    <s v="Tel 182"/>
    <s v="Cep 182"/>
    <s v="Rua 182"/>
    <s v="Comp 182"/>
    <x v="2"/>
    <s v="DJ-RO5O-43GF"/>
    <d v="2024-11-08T00:00:00"/>
    <n v="17.989999999999998"/>
    <n v="17.989999999999998"/>
    <n v="2.5186000000000002"/>
    <n v="15.47"/>
    <n v="4.99"/>
    <n v="0.35"/>
    <n v="0.39877104377104378"/>
    <n v="0"/>
    <n v="9.7312289562289571"/>
    <n v="4.8656144781144786"/>
    <d v="2024-11-15T00:00:00"/>
    <d v="2024-11-15T00:00:00"/>
    <d v="2024-11-21T00:00:00"/>
    <d v="2024-11-22T00:00:00"/>
    <s v="2024 11"/>
    <s v="Aguardando Liberação"/>
    <s v="2024 10"/>
    <s v="ENTREGUE"/>
    <d v="2024-11-03T00:00:00"/>
    <s v="-"/>
    <s v="NÃO"/>
    <n v="0"/>
    <n v="0"/>
    <n v="0"/>
    <n v="0"/>
    <n v="0"/>
  </r>
  <r>
    <s v="BV"/>
    <s v="BV45595"/>
    <s v="Pedido 186"/>
    <d v="2024-10-30T00:00:00"/>
    <d v="2024-10-30T00:00:00"/>
    <s v="PedidoF179"/>
    <s v="CódRastreio179"/>
    <n v="1"/>
    <s v="CPF 183"/>
    <s v="Nome 183"/>
    <s v="Tel 183"/>
    <s v="Cep 183"/>
    <s v="Rua 183"/>
    <s v="Comp 183"/>
    <x v="2"/>
    <s v="DJ-RO5O-43GF"/>
    <d v="2024-11-08T00:00:00"/>
    <n v="17.989999999999998"/>
    <n v="17.989999999999998"/>
    <n v="2.5186000000000002"/>
    <n v="15.47"/>
    <n v="4.99"/>
    <n v="0.35"/>
    <n v="0.39877104377104378"/>
    <n v="0"/>
    <n v="9.7312289562289571"/>
    <n v="4.8656144781144786"/>
    <d v="2024-11-15T00:00:00"/>
    <d v="2024-11-15T00:00:00"/>
    <d v="2024-11-21T00:00:00"/>
    <d v="2024-11-22T00:00:00"/>
    <s v="2024 11"/>
    <s v="Aguardando Liberação"/>
    <s v="2024 10"/>
    <s v="ENTREGUE"/>
    <d v="2024-11-02T00:00:00"/>
    <s v="-"/>
    <s v="NÃO"/>
    <n v="0"/>
    <n v="0"/>
    <n v="0"/>
    <n v="0"/>
    <n v="0"/>
  </r>
  <r>
    <s v="BV"/>
    <s v="BV45595"/>
    <s v="Pedido 187"/>
    <d v="2024-10-30T00:00:00"/>
    <d v="2024-10-30T00:00:00"/>
    <s v="PedidoF180"/>
    <s v="CódRastreio180"/>
    <n v="1"/>
    <s v="CPF 184"/>
    <s v="Nome 184"/>
    <s v="Tel 184"/>
    <s v="Cep 184"/>
    <s v="Rua 184"/>
    <s v="Comp 184"/>
    <x v="10"/>
    <s v="MU-J80P-95WF"/>
    <d v="2024-11-22T00:00:00"/>
    <n v="59.99"/>
    <n v="59.99"/>
    <n v="7.7987000000000002"/>
    <n v="52.19"/>
    <n v="7.3"/>
    <n v="0.35"/>
    <n v="0.39877104377104378"/>
    <n v="0"/>
    <n v="44.141228956228957"/>
    <n v="22.070614478114479"/>
    <d v="2024-11-29T00:00:00"/>
    <d v="2024-11-29T00:00:00"/>
    <d v="2024-11-29T00:00:00"/>
    <d v="2024-11-29T00:00:00"/>
    <s v="2024 11"/>
    <s v="Aguardando Liberação"/>
    <s v="2024 10"/>
    <s v="ENTREGUE"/>
    <d v="2024-11-11T00:00:00"/>
    <s v="-"/>
    <s v="NÃO"/>
    <n v="0"/>
    <n v="0"/>
    <n v="0"/>
    <n v="0"/>
    <n v="0"/>
  </r>
  <r>
    <s v="BV"/>
    <s v="BV45596"/>
    <s v="Pedido 188"/>
    <d v="2024-10-31T00:00:00"/>
    <d v="2024-10-31T00:00:00"/>
    <s v="PedidoF181"/>
    <s v="CódRastreio181"/>
    <n v="1"/>
    <s v="CPF 185"/>
    <s v="Nome 185"/>
    <s v="Tel 185"/>
    <s v="Cep 185"/>
    <s v="Rua 185"/>
    <s v="Comp 185"/>
    <x v="10"/>
    <s v="MU-J80P-95WF"/>
    <d v="2024-11-15T00:00:00"/>
    <n v="59.99"/>
    <n v="59.99"/>
    <n v="7.7987000000000002"/>
    <n v="52.19"/>
    <n v="9.11"/>
    <n v="0.36"/>
    <n v="0.39877104377104378"/>
    <n v="0"/>
    <n v="42.321228956228957"/>
    <n v="21.160614478114478"/>
    <d v="2024-11-22T00:00:00"/>
    <d v="2024-11-22T00:00:00"/>
    <d v="2024-11-22T00:00:00"/>
    <d v="2024-11-29T00:00:00"/>
    <s v="2024 11"/>
    <s v="Aguardando Liberação"/>
    <s v="2024 10"/>
    <s v="ENTREGUE"/>
    <d v="2024-11-11T00:00:00"/>
    <s v="-"/>
    <s v="NÃO"/>
    <n v="0"/>
    <n v="0"/>
    <n v="0"/>
    <n v="0"/>
    <n v="0"/>
  </r>
  <r>
    <s v="BV"/>
    <s v="BV45596"/>
    <s v="Pedido 189"/>
    <d v="2024-10-31T00:00:00"/>
    <d v="2024-10-31T00:00:00"/>
    <s v="PedidoF182"/>
    <s v="CódRastreio182"/>
    <n v="1"/>
    <s v="CPF 186"/>
    <s v="Nome 186"/>
    <s v="Tel 186"/>
    <s v="Cep 186"/>
    <s v="Rua 186"/>
    <s v="Comp 186"/>
    <x v="4"/>
    <s v="9G-BN48-QAPH"/>
    <d v="2024-11-09T00:00:00"/>
    <n v="18.989999999999998"/>
    <n v="18.989999999999998"/>
    <n v="2.8484999999999996"/>
    <n v="16.14"/>
    <n v="4.99"/>
    <n v="0.36"/>
    <n v="0.39877104377104378"/>
    <n v="0"/>
    <n v="10.391228956228957"/>
    <n v="5.1956144781144786"/>
    <d v="2024-11-16T00:00:00"/>
    <d v="2024-11-16T00:00:00"/>
    <d v="2024-11-21T00:00:00"/>
    <d v="2024-11-22T00:00:00"/>
    <s v="2024 11"/>
    <s v="Aguardando Liberação"/>
    <s v="2024 10"/>
    <s v="ENTREGUE"/>
    <d v="2024-11-04T00:00:00"/>
    <s v="-"/>
    <s v="NÃO"/>
    <n v="0"/>
    <n v="0"/>
    <n v="0"/>
    <n v="0"/>
    <n v="0"/>
  </r>
  <r>
    <s v="BV"/>
    <s v="BV45596"/>
    <s v="Pedido 190"/>
    <d v="2024-10-31T00:00:00"/>
    <d v="2024-10-31T00:00:00"/>
    <s v="PedidoF183"/>
    <s v="CódRastreio183"/>
    <n v="1"/>
    <s v="CPF 187"/>
    <s v="Nome 187"/>
    <s v="Tel 187"/>
    <s v="Cep 187"/>
    <s v="Rua 187"/>
    <s v="Comp 187"/>
    <x v="2"/>
    <s v="DJ-RO5O-43GF"/>
    <d v="2024-11-15T00:00:00"/>
    <n v="16.989999999999998"/>
    <n v="16.989999999999998"/>
    <n v="2.3786"/>
    <n v="14.61"/>
    <n v="4.99"/>
    <n v="0.36"/>
    <n v="0.39877104377104378"/>
    <n v="0"/>
    <n v="8.8612289562289561"/>
    <n v="4.4306144781144781"/>
    <d v="2024-11-22T00:00:00"/>
    <d v="2024-11-22T00:00:00"/>
    <d v="2024-11-22T00:00:00"/>
    <d v="2024-11-29T00:00:00"/>
    <s v="2024 11"/>
    <s v="Aguardando Liberação"/>
    <s v="2024 10"/>
    <s v="ENTREGUE"/>
    <d v="2024-11-08T00:00:00"/>
    <s v="-"/>
    <s v="NÃO"/>
    <n v="0"/>
    <n v="0"/>
    <n v="0"/>
    <n v="0"/>
    <n v="0"/>
  </r>
  <r>
    <s v="BV"/>
    <s v="BV45596"/>
    <s v="Pedido 191"/>
    <d v="2024-10-31T00:00:00"/>
    <d v="2024-10-31T00:00:00"/>
    <s v="PedidoF184"/>
    <s v="CódRastreio184"/>
    <n v="1"/>
    <s v="CPF 188"/>
    <s v="Nome 188"/>
    <s v="Tel 188"/>
    <s v="Cep 188"/>
    <s v="Rua 188"/>
    <s v="Comp 188"/>
    <x v="7"/>
    <s v="T9-P952-TL6A"/>
    <d v="2024-11-09T00:00:00"/>
    <n v="23.99"/>
    <n v="23.99"/>
    <n v="3.1187"/>
    <n v="20.87"/>
    <n v="9.59"/>
    <n v="0.36"/>
    <n v="0.39877104377104378"/>
    <n v="0"/>
    <n v="10.521228956228958"/>
    <n v="5.260614478114479"/>
    <d v="2024-11-16T00:00:00"/>
    <d v="2024-11-16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6"/>
    <s v="Pedido 192"/>
    <d v="2024-10-31T00:00:00"/>
    <d v="2024-10-31T00:00:00"/>
    <s v="PedidoF185"/>
    <s v="CódRastreio185"/>
    <n v="1"/>
    <s v="CPF 189"/>
    <s v="Nome 189"/>
    <s v="Tel 189"/>
    <s v="Cep 189"/>
    <s v="Rua 189"/>
    <s v="Comp 189"/>
    <x v="2"/>
    <s v="DJ-RO5O-43GF"/>
    <d v="2024-11-15T00:00:00"/>
    <n v="16.989999999999998"/>
    <n v="16.989999999999998"/>
    <n v="2.3786"/>
    <n v="14.61"/>
    <n v="4.99"/>
    <n v="0.36"/>
    <n v="0.39877104377104378"/>
    <n v="0"/>
    <n v="8.8612289562289561"/>
    <n v="4.4306144781144781"/>
    <d v="2024-11-22T00:00:00"/>
    <d v="2024-11-22T00:00:00"/>
    <d v="2024-11-22T00:00:00"/>
    <d v="2024-11-29T00:00:00"/>
    <s v="2024 11"/>
    <s v="Aguardando Liberação"/>
    <s v="2024 10"/>
    <s v="ENTREGUE"/>
    <d v="2024-11-11T00:00:00"/>
    <s v="-"/>
    <s v="NÃO"/>
    <n v="0"/>
    <n v="0"/>
    <n v="0"/>
    <n v="0"/>
    <n v="0"/>
  </r>
  <r>
    <s v="BV"/>
    <s v="BV45596"/>
    <s v="Pedido 193"/>
    <d v="2024-10-31T00:00:00"/>
    <d v="2024-10-31T00:00:00"/>
    <s v="PedidoF186"/>
    <s v="CódRastreio186"/>
    <n v="1"/>
    <s v="CPF 190"/>
    <s v="Nome 190"/>
    <s v="Tel 190"/>
    <s v="Cep 190"/>
    <s v="Rua 190"/>
    <s v="Comp 190"/>
    <x v="2"/>
    <s v="DJ-RO5O-43GF"/>
    <d v="2024-11-09T00:00:00"/>
    <n v="16.989999999999998"/>
    <n v="16.989999999999998"/>
    <n v="2.3786"/>
    <n v="14.61"/>
    <n v="4.99"/>
    <n v="0.36"/>
    <n v="0.39877104377104378"/>
    <n v="0"/>
    <n v="8.8612289562289561"/>
    <n v="4.4306144781144781"/>
    <d v="2024-11-16T00:00:00"/>
    <d v="2024-11-16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6"/>
    <s v="Pedido 194"/>
    <d v="2024-10-31T00:00:00"/>
    <d v="2024-10-31T00:00:00"/>
    <s v="PedidoF187"/>
    <s v="CódRastreio187"/>
    <n v="1"/>
    <s v="CPF 191"/>
    <s v="Nome 191"/>
    <s v="Tel 191"/>
    <s v="Cep 191"/>
    <s v="Rua 191"/>
    <s v="Comp 191"/>
    <x v="10"/>
    <s v="MU-J80P-95WF"/>
    <d v="2024-11-30T00:00:00"/>
    <n v="59.99"/>
    <n v="59.99"/>
    <n v="7.7987000000000002"/>
    <n v="52.19"/>
    <n v="9.11"/>
    <n v="0.36"/>
    <n v="0.39877104377104378"/>
    <n v="0"/>
    <n v="42.321228956228957"/>
    <n v="21.160614478114478"/>
    <d v="2024-12-07T00:00:00"/>
    <d v="2024-12-07T00:00:00"/>
    <d v="2024-12-11T00:00:00"/>
    <d v="2024-12-16T00:00:00"/>
    <s v="2024 12"/>
    <s v="Aguardando Liberação"/>
    <s v="2024 10"/>
    <s v="ENTREGUE"/>
    <d v="2024-12-02T00:00:00"/>
    <s v="-"/>
    <s v="SIM"/>
    <n v="0"/>
    <n v="0"/>
    <n v="0"/>
    <n v="0"/>
    <n v="0"/>
  </r>
  <r>
    <s v="BV"/>
    <s v="BV45596"/>
    <s v="Pedido 195"/>
    <d v="2024-10-31T00:00:00"/>
    <d v="2024-10-31T00:00:00"/>
    <s v="PedidoF188"/>
    <s v="CódRastreio188"/>
    <n v="1"/>
    <s v="CPF 192"/>
    <s v="Nome 192"/>
    <s v="Tel 192"/>
    <s v="Cep 192"/>
    <s v="Rua 192"/>
    <s v="Comp 192"/>
    <x v="2"/>
    <s v="DJ-RO5O-43GF"/>
    <d v="2024-11-09T00:00:00"/>
    <n v="16.989999999999998"/>
    <n v="16.989999999999998"/>
    <n v="2.3786"/>
    <n v="14.61"/>
    <n v="4.99"/>
    <n v="0.36"/>
    <n v="0.39877104377104378"/>
    <n v="0"/>
    <n v="8.8612289562289561"/>
    <n v="4.4306144781144781"/>
    <d v="2024-11-16T00:00:00"/>
    <d v="2024-11-16T00:00:00"/>
    <d v="2024-11-21T00:00:00"/>
    <d v="2024-11-22T00:00:00"/>
    <s v="2024 11"/>
    <s v="Aguardando Liberação"/>
    <s v="2024 10"/>
    <s v="ENTREGUE"/>
    <d v="2024-11-05T00:00:00"/>
    <s v="-"/>
    <s v="NÃO"/>
    <n v="0"/>
    <n v="0"/>
    <n v="0"/>
    <n v="0"/>
    <n v="0"/>
  </r>
  <r>
    <s v="BV"/>
    <s v="BV45596"/>
    <s v="Pedido 196"/>
    <d v="2024-10-31T00:00:00"/>
    <d v="2024-10-31T00:00:00"/>
    <s v="PedidoF189"/>
    <s v="CódRastreio189"/>
    <n v="1"/>
    <s v="CPF 193"/>
    <s v="Nome 193"/>
    <s v="Tel 193"/>
    <s v="Cep 193"/>
    <s v="Rua 193"/>
    <s v="Comp 193"/>
    <x v="11"/>
    <s v="ZO-J9IL-EN6L"/>
    <d v="2024-11-15T00:00:00"/>
    <n v="58.9"/>
    <n v="58.9"/>
    <n v="8.2460000000000004"/>
    <n v="50.65"/>
    <n v="7.29"/>
    <n v="0.36"/>
    <n v="0.39877104377104378"/>
    <n v="0"/>
    <n v="42.601228956228951"/>
    <n v="21.300614478114476"/>
    <d v="2024-11-22T00:00:00"/>
    <d v="2024-11-22T00:00:00"/>
    <d v="2024-11-22T00:00:00"/>
    <d v="2024-11-29T00:00:00"/>
    <s v="2024 11"/>
    <s v="Aguardando Liberação"/>
    <s v="2024 10"/>
    <s v="ENTREGUE"/>
    <d v="2024-11-15T00:00:00"/>
    <s v="-"/>
    <s v="NÃO"/>
    <n v="0"/>
    <n v="0"/>
    <n v="0"/>
    <n v="0"/>
    <n v="0"/>
  </r>
  <r>
    <s v="BV"/>
    <s v="BV45596"/>
    <s v="Pedido 197"/>
    <d v="2024-10-31T00:00:00"/>
    <d v="2024-10-31T00:00:00"/>
    <s v="PedidoF190"/>
    <s v="CódRastreio190"/>
    <n v="1"/>
    <s v="CPF 194"/>
    <s v="Nome 194"/>
    <s v="Tel 194"/>
    <s v="Cep 194"/>
    <s v="Rua 194"/>
    <s v="Comp 194"/>
    <x v="2"/>
    <s v="DJ-RO5O-43GF"/>
    <d v="2024-11-15T00:00:00"/>
    <n v="16.989999999999998"/>
    <n v="16.989999999999998"/>
    <n v="2.3786"/>
    <n v="14.61"/>
    <n v="4.99"/>
    <n v="0.36"/>
    <n v="0.39877104377104378"/>
    <n v="0"/>
    <n v="8.8612289562289561"/>
    <n v="4.4306144781144781"/>
    <d v="2024-11-22T00:00:00"/>
    <d v="2024-11-22T00:00:00"/>
    <d v="2024-11-22T00:00:00"/>
    <d v="2024-11-29T00:00:00"/>
    <s v="2024 11"/>
    <s v="Aguardando Liberação"/>
    <s v="2024 10"/>
    <s v="ENTREGUE"/>
    <d v="2024-11-07T00:00:00"/>
    <s v="-"/>
    <s v="NÃO"/>
    <n v="0"/>
    <n v="0"/>
    <n v="0"/>
    <n v="0"/>
    <n v="0"/>
  </r>
  <r>
    <s v="BV"/>
    <s v="BV45596"/>
    <s v="Pedido 198"/>
    <d v="2024-10-31T00:00:00"/>
    <d v="2024-10-31T00:00:00"/>
    <s v="PedidoF191"/>
    <s v="CódRastreio191"/>
    <n v="1"/>
    <s v="CPF 195"/>
    <s v="Nome 195"/>
    <s v="Tel 195"/>
    <s v="Cep 195"/>
    <s v="Rua 195"/>
    <s v="Comp 195"/>
    <x v="1"/>
    <s v="CK-YL6M-P5Y6"/>
    <d v="2024-11-15T00:00:00"/>
    <n v="31.99"/>
    <n v="31.99"/>
    <n v="4.1586999999999996"/>
    <n v="27.83"/>
    <n v="9.99"/>
    <n v="0.36"/>
    <n v="0.39877104377104378"/>
    <n v="0"/>
    <n v="17.081228956228955"/>
    <n v="8.5406144781144775"/>
    <d v="2024-11-22T00:00:00"/>
    <d v="2024-11-22T00:00:00"/>
    <d v="2024-11-22T00:00:00"/>
    <d v="2024-11-29T00:00:00"/>
    <s v="2024 11"/>
    <s v="Aguardando Liberação"/>
    <s v="2024 10"/>
    <s v="ENTREGUE"/>
    <d v="2024-11-11T00:00:00"/>
    <s v="-"/>
    <s v="NÃO"/>
    <n v="0"/>
    <n v="0"/>
    <n v="0"/>
    <n v="0"/>
    <n v="0"/>
  </r>
  <r>
    <s v="BV"/>
    <s v="BV45596"/>
    <s v="Pedido 199"/>
    <d v="2024-10-31T00:00:00"/>
    <d v="2024-10-31T00:00:00"/>
    <s v="PedidoF192"/>
    <s v="CódRastreio192"/>
    <n v="1"/>
    <s v="CPF 196"/>
    <s v="Nome 196"/>
    <s v="Tel 196"/>
    <s v="Cep 196"/>
    <s v="Rua 196"/>
    <s v="Comp 196"/>
    <x v="11"/>
    <s v="ZO-J9IL-EN6L"/>
    <d v="2024-11-15T00:00:00"/>
    <n v="58.9"/>
    <n v="58.9"/>
    <n v="8.2460000000000004"/>
    <n v="50.65"/>
    <n v="7.29"/>
    <n v="0.36"/>
    <n v="0.39877104377104378"/>
    <n v="0"/>
    <n v="42.601228956228951"/>
    <n v="21.300614478114476"/>
    <d v="2024-11-22T00:00:00"/>
    <d v="2024-11-22T00:00:00"/>
    <d v="2024-11-22T00:00:00"/>
    <d v="2024-11-29T00:00:00"/>
    <s v="2024 11"/>
    <s v="Aguardando Liberação"/>
    <s v="2024 10"/>
    <s v="ENTREGUE"/>
    <d v="2024-11-15T00:00:00"/>
    <s v="-"/>
    <s v="NÃO"/>
    <n v="0"/>
    <n v="0"/>
    <n v="0"/>
    <n v="0"/>
    <n v="0"/>
  </r>
  <r>
    <s v="BV"/>
    <s v="BV45597"/>
    <s v="Pedido 200"/>
    <d v="2024-11-01T00:00:00"/>
    <d v="2024-11-01T00:00:00"/>
    <s v="PedidoF193"/>
    <s v="CódRastreio193"/>
    <n v="1"/>
    <s v="CPF 197"/>
    <s v="Nome 197"/>
    <s v="Tel 197"/>
    <s v="Cep 197"/>
    <s v="Rua 197"/>
    <s v="Comp 197"/>
    <x v="2"/>
    <s v="DJ-RO5O-43GF"/>
    <d v="2024-11-22T00:00:00"/>
    <n v="16.5"/>
    <n v="16.5"/>
    <n v="2.31"/>
    <n v="14.19"/>
    <n v="6.57"/>
    <n v="0.43"/>
    <n v="0.39877104377104378"/>
    <n v="0"/>
    <n v="6.7912289562289558"/>
    <n v="3.3956144781144779"/>
    <d v="2024-11-29T00:00:00"/>
    <d v="2024-11-29T00:00:00"/>
    <d v="2024-11-29T00:00:00"/>
    <d v="2024-11-29T00:00:00"/>
    <s v="2024 11"/>
    <s v="Aguardando Liberação"/>
    <s v="2024 11"/>
    <s v="ENTREGUE"/>
    <d v="2024-11-06T00:00:00"/>
    <s v="-"/>
    <s v="NÃO"/>
    <n v="0"/>
    <n v="0"/>
    <n v="0"/>
    <n v="0"/>
    <n v="0"/>
  </r>
  <r>
    <s v="BV"/>
    <s v="BV45597"/>
    <s v="Pedido 201"/>
    <d v="2024-11-01T00:00:00"/>
    <d v="2024-11-01T00:00:00"/>
    <s v="PedidoF194"/>
    <s v="CódRastreio194"/>
    <n v="1"/>
    <s v="CPF 198"/>
    <s v="Nome 198"/>
    <s v="Tel 198"/>
    <s v="Cep 198"/>
    <s v="Rua 198"/>
    <s v="Comp 198"/>
    <x v="2"/>
    <s v="DJ-RO5O-43GF"/>
    <d v="2024-11-19T00:00:00"/>
    <n v="16.5"/>
    <n v="16.5"/>
    <n v="2.31"/>
    <n v="14.19"/>
    <n v="5.91"/>
    <n v="0.43"/>
    <n v="0.39877104377104378"/>
    <n v="0"/>
    <n v="7.451228956228956"/>
    <n v="3.725614478114478"/>
    <d v="2024-11-26T00:00:00"/>
    <d v="2024-11-26T00:00:00"/>
    <d v="2024-11-29T00:00:00"/>
    <d v="2024-11-29T00:00:00"/>
    <s v="2024 11"/>
    <s v="Aguardando Liberação"/>
    <s v="2024 11"/>
    <s v="ENTREGUE"/>
    <d v="2024-11-06T00:00:00"/>
    <s v="-"/>
    <s v="NÃO"/>
    <n v="0"/>
    <n v="0"/>
    <n v="0"/>
    <n v="0"/>
    <n v="0"/>
  </r>
  <r>
    <s v="BV"/>
    <s v="BV45597"/>
    <s v="Pedido 202"/>
    <d v="2024-11-01T00:00:00"/>
    <d v="2024-11-01T00:00:00"/>
    <s v="PedidoF195"/>
    <s v="CódRastreio195"/>
    <n v="1"/>
    <s v="CPF 199"/>
    <s v="Nome 199"/>
    <s v="Tel 199"/>
    <s v="Cep 199"/>
    <s v="Rua 199"/>
    <s v="Comp 199"/>
    <x v="2"/>
    <s v="DJ-RO5O-43GF"/>
    <d v="2024-11-19T00:00:00"/>
    <n v="16.5"/>
    <n v="16.5"/>
    <n v="2.31"/>
    <n v="14.19"/>
    <n v="5.91"/>
    <n v="0.43"/>
    <n v="0.39877104377104378"/>
    <n v="0"/>
    <n v="7.451228956228956"/>
    <n v="3.725614478114478"/>
    <d v="2024-11-26T00:00:00"/>
    <d v="2024-11-26T00:00:00"/>
    <d v="2024-11-29T00:00:00"/>
    <d v="2024-11-29T00:00:00"/>
    <s v="2024 11"/>
    <s v="Aguardando Liberação"/>
    <s v="2024 11"/>
    <s v="ENTREGUE"/>
    <d v="2024-11-05T00:00:00"/>
    <s v="-"/>
    <s v="NÃO"/>
    <n v="0"/>
    <n v="0"/>
    <n v="0"/>
    <n v="0"/>
    <n v="0"/>
  </r>
  <r>
    <s v="BV"/>
    <s v="BV45597"/>
    <s v="Pedido 203"/>
    <d v="2024-11-01T00:00:00"/>
    <d v="2024-11-01T00:00:00"/>
    <s v="PedidoF196"/>
    <s v="CódRastreio196"/>
    <n v="1"/>
    <s v="CPF 200"/>
    <s v="Nome 200"/>
    <s v="Tel 200"/>
    <s v="Cep 200"/>
    <s v="Rua 200"/>
    <s v="Comp 200"/>
    <x v="2"/>
    <s v="DJ-RO5O-43GF"/>
    <d v="2024-11-26T00:00:00"/>
    <n v="16.5"/>
    <n v="16.5"/>
    <n v="2.31"/>
    <n v="14.19"/>
    <n v="5.91"/>
    <n v="0.43"/>
    <n v="0.39877104377104378"/>
    <n v="0"/>
    <n v="7.451228956228956"/>
    <n v="3.725614478114478"/>
    <d v="2024-12-03T00:00:00"/>
    <d v="2024-12-03T00:00:00"/>
    <d v="2024-12-11T00:00:00"/>
    <d v="2024-12-16T00:00:00"/>
    <s v="2024 12"/>
    <s v="Aguardando Liberação"/>
    <s v="2024 11"/>
    <s v="ENTREGUE"/>
    <d v="2024-11-08T00:00:00"/>
    <s v="-"/>
    <s v="NÃO"/>
    <n v="0"/>
    <n v="0"/>
    <n v="0"/>
    <n v="0"/>
    <n v="0"/>
  </r>
  <r>
    <s v="BV"/>
    <s v="BV45597"/>
    <s v="Pedido 204"/>
    <d v="2024-11-01T00:00:00"/>
    <d v="2024-11-01T00:00:00"/>
    <s v="PedidoF197"/>
    <s v="CódRastreio197"/>
    <n v="1"/>
    <s v="CPF 201"/>
    <s v="Nome 201"/>
    <s v="Tel 201"/>
    <s v="Cep 201"/>
    <s v="Rua 201"/>
    <s v="Comp 201"/>
    <x v="2"/>
    <s v="DJ-RO5O-43GF"/>
    <d v="2024-11-19T00:00:00"/>
    <n v="16.5"/>
    <n v="16.5"/>
    <n v="2.31"/>
    <n v="14.19"/>
    <n v="5.91"/>
    <n v="0.43"/>
    <n v="0.39877104377104378"/>
    <n v="0"/>
    <n v="7.451228956228956"/>
    <n v="3.725614478114478"/>
    <d v="2024-11-26T00:00:00"/>
    <d v="2024-11-26T00:00:00"/>
    <d v="2024-11-29T00:00:00"/>
    <d v="2024-11-29T00:00:00"/>
    <s v="2024 11"/>
    <s v="Aguardando Liberação"/>
    <s v="2024 11"/>
    <s v="ENTREGUE"/>
    <d v="2024-11-05T00:00:00"/>
    <s v="-"/>
    <s v="NÃO"/>
    <n v="0"/>
    <n v="0"/>
    <n v="0"/>
    <n v="0"/>
    <n v="0"/>
  </r>
  <r>
    <s v="BV"/>
    <s v="BV45597"/>
    <s v="Pedido 205"/>
    <d v="2024-11-01T00:00:00"/>
    <d v="2024-11-01T00:00:00"/>
    <s v="PedidoF198"/>
    <s v="CódRastreio198"/>
    <n v="1"/>
    <s v="CPF 202"/>
    <s v="Nome 202"/>
    <s v="Tel 202"/>
    <s v="Cep 202"/>
    <s v="Rua 202"/>
    <s v="Comp 202"/>
    <x v="1"/>
    <s v="CK-YL6M-P5Y6"/>
    <d v="2024-11-30T00:00:00"/>
    <n v="31.5"/>
    <n v="31.5"/>
    <n v="4.0949999999999998"/>
    <n v="27.41"/>
    <n v="11.99"/>
    <n v="0.43"/>
    <n v="0.39877104377104378"/>
    <n v="0"/>
    <n v="14.591228956228957"/>
    <n v="7.2956144781144783"/>
    <d v="2024-12-07T00:00:00"/>
    <d v="2024-12-07T00:00:00"/>
    <d v="2024-12-11T00:00:00"/>
    <d v="2024-12-16T00:00:00"/>
    <s v="2024 12"/>
    <s v="Aguardando Liberação"/>
    <s v="2024 11"/>
    <s v="ENTREGUE"/>
    <d v="2024-11-15T00:00:00"/>
    <s v="-"/>
    <s v="NÃO"/>
    <n v="0"/>
    <n v="0"/>
    <n v="0"/>
    <n v="0"/>
    <n v="0"/>
  </r>
  <r>
    <s v="BV"/>
    <s v="BV45597"/>
    <s v="Pedido 206"/>
    <d v="2024-11-01T00:00:00"/>
    <d v="2024-11-01T00:00:00"/>
    <s v="PedidoF199"/>
    <s v="CódRastreio199"/>
    <n v="1"/>
    <s v="CPF 203"/>
    <s v="Nome 203"/>
    <s v="Tel 203"/>
    <s v="Cep 203"/>
    <s v="Rua 203"/>
    <s v="Comp 203"/>
    <x v="2"/>
    <s v="DJ-RO5O-43GF"/>
    <d v="2024-11-30T00:00:00"/>
    <n v="16.5"/>
    <n v="16.5"/>
    <n v="2.31"/>
    <n v="14.19"/>
    <n v="5.91"/>
    <n v="0.43"/>
    <n v="0.39877104377104378"/>
    <n v="0"/>
    <n v="7.451228956228956"/>
    <n v="3.725614478114478"/>
    <d v="2024-12-07T00:00:00"/>
    <d v="2024-12-07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7"/>
    <s v="Pedido 207"/>
    <d v="2024-11-01T00:00:00"/>
    <d v="2024-11-01T00:00:00"/>
    <s v="PedidoF200"/>
    <s v="CódRastreio200"/>
    <n v="1"/>
    <s v="CPF 204"/>
    <s v="Nome 204"/>
    <s v="Tel 204"/>
    <s v="Cep 204"/>
    <s v="Rua 204"/>
    <s v="Comp 204"/>
    <x v="12"/>
    <s v="U8-2VWS-OB6M"/>
    <d v="2024-11-26T00:00:00"/>
    <n v="64.989999999999995"/>
    <n v="64.989999999999995"/>
    <n v="8.4486999999999988"/>
    <n v="56.54"/>
    <n v="7.29"/>
    <n v="0.43"/>
    <n v="0.39877104377104378"/>
    <n v="0"/>
    <n v="48.421228956228958"/>
    <n v="24.210614478114479"/>
    <d v="2024-12-03T00:00:00"/>
    <d v="2024-12-03T00:00:00"/>
    <d v="2024-12-11T00:00:00"/>
    <d v="2024-12-16T00:00:00"/>
    <s v="2024 12"/>
    <s v="Aguardando Liberação"/>
    <s v="2024 11"/>
    <s v="ENTREGUE"/>
    <d v="2024-11-11T00:00:00"/>
    <s v="-"/>
    <s v="NÃO"/>
    <n v="0"/>
    <n v="0"/>
    <n v="0"/>
    <n v="0"/>
    <n v="0"/>
  </r>
  <r>
    <s v="BV"/>
    <s v="BV45597"/>
    <s v="Pedido 208"/>
    <d v="2024-11-01T00:00:00"/>
    <d v="2024-11-01T00:00:00"/>
    <s v="PedidoF201"/>
    <s v="CódRastreio201"/>
    <n v="1"/>
    <s v="CPF 205"/>
    <s v="Nome 205"/>
    <s v="Tel 205"/>
    <s v="Cep 205"/>
    <s v="Rua 205"/>
    <s v="Comp 205"/>
    <x v="13"/>
    <s v="YA-AG3H-SPUK"/>
    <d v="2024-11-19T00:00:00"/>
    <n v="17.989999999999998"/>
    <n v="17.989999999999998"/>
    <n v="2.1587999999999998"/>
    <n v="15.83"/>
    <n v="4.99"/>
    <n v="0.43"/>
    <n v="0.39877104377104378"/>
    <n v="0"/>
    <n v="10.011228956228956"/>
    <n v="5.0056144781144782"/>
    <d v="2024-11-26T00:00:00"/>
    <d v="2024-11-26T00:00:00"/>
    <d v="2024-11-29T00:00:00"/>
    <d v="2024-11-29T00:00:00"/>
    <s v="2024 11"/>
    <s v="Aguardando Liberação"/>
    <s v="2024 11"/>
    <s v="ENTREGUE"/>
    <d v="2024-11-14T00:00:00"/>
    <s v="-"/>
    <s v="NÃO"/>
    <n v="0"/>
    <n v="0"/>
    <n v="0"/>
    <n v="0"/>
    <n v="0"/>
  </r>
  <r>
    <s v="BV"/>
    <s v="BV45597"/>
    <s v="Pedido 209"/>
    <d v="2024-11-01T00:00:00"/>
    <d v="2024-11-01T00:00:00"/>
    <s v="PedidoF202"/>
    <s v="CódRastreio202"/>
    <n v="1"/>
    <s v="CPF 206"/>
    <s v="Nome 206"/>
    <s v="Tel 206"/>
    <s v="Cep 206"/>
    <s v="Rua 206"/>
    <s v="Comp 206"/>
    <x v="13"/>
    <s v="YA-AG3H-SPUK"/>
    <d v="2024-11-14T00:00:00"/>
    <n v="17.989999999999998"/>
    <n v="17.989999999999998"/>
    <n v="2.1587999999999998"/>
    <n v="15.83"/>
    <n v="4.99"/>
    <n v="0.43"/>
    <n v="0.39877104377104378"/>
    <n v="0"/>
    <n v="10.011228956228956"/>
    <n v="5.0056144781144782"/>
    <d v="2024-11-21T00:00:00"/>
    <d v="2024-11-21T00:00:00"/>
    <d v="2024-11-21T00:00:00"/>
    <d v="2024-11-22T00:00:00"/>
    <s v="2024 11"/>
    <s v="Aguardando Liberação"/>
    <s v="2024 11"/>
    <s v="ENTREGUE"/>
    <d v="2024-11-04T00:00:00"/>
    <s v="-"/>
    <s v="NÃO"/>
    <n v="0"/>
    <n v="0"/>
    <n v="0"/>
    <n v="0"/>
    <n v="0"/>
  </r>
  <r>
    <s v="BV"/>
    <s v="BV45597"/>
    <s v="Pedido 210"/>
    <d v="2024-11-01T00:00:00"/>
    <d v="2024-11-01T00:00:00"/>
    <s v="PedidoF203"/>
    <s v="CódRastreio203"/>
    <n v="1"/>
    <s v="CPF 207"/>
    <s v="Nome 207"/>
    <s v="Tel 207"/>
    <s v="Cep 207"/>
    <s v="Rua 207"/>
    <s v="Comp 207"/>
    <x v="5"/>
    <s v="P4-K63S-8KOM"/>
    <d v="2024-11-26T00:00:00"/>
    <n v="17.5"/>
    <n v="17.5"/>
    <n v="2.2749999999999999"/>
    <n v="15.23"/>
    <n v="10.49"/>
    <n v="0.43"/>
    <n v="0.39877104377104378"/>
    <n v="0"/>
    <n v="3.9112289562289568"/>
    <n v="1.9556144781144784"/>
    <d v="2024-12-03T00:00:00"/>
    <d v="2024-12-03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8"/>
    <s v="Pedido 211"/>
    <d v="2024-11-02T00:00:00"/>
    <d v="2024-11-02T00:00:00"/>
    <s v="PedidoF204"/>
    <s v="CódRastreio204"/>
    <n v="1"/>
    <s v="CPF 208"/>
    <s v="Nome 208"/>
    <s v="Tel 208"/>
    <s v="Cep 208"/>
    <s v="Rua 208"/>
    <s v="Comp 208"/>
    <x v="2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d v="2024-12-03T00:00:00"/>
    <d v="2024-12-03T00:00:00"/>
    <d v="2024-12-11T00:00:00"/>
    <d v="2024-12-16T00:00:00"/>
    <s v="2024 12"/>
    <s v="Aguardando Liberação"/>
    <s v="2024 11"/>
    <s v="ENTREGUE"/>
    <d v="2024-11-11T00:00:00"/>
    <s v="-"/>
    <s v="NÃO"/>
    <n v="0"/>
    <n v="0"/>
    <n v="0"/>
    <n v="0"/>
    <n v="0"/>
  </r>
  <r>
    <s v="BV"/>
    <s v="BV45599"/>
    <s v="Pedido 212"/>
    <d v="2024-11-03T00:00:00"/>
    <d v="2024-11-03T00:00:00"/>
    <s v="PedidoF205"/>
    <s v="CódRastreio205"/>
    <n v="1"/>
    <s v="CPF 209"/>
    <s v="Nome 209"/>
    <s v="Tel 209"/>
    <s v="Cep 209"/>
    <s v="Rua 209"/>
    <s v="Comp 209"/>
    <x v="2"/>
    <s v="DJ-RO5O-43GF"/>
    <d v="2024-11-30T00:00:00"/>
    <n v="16.5"/>
    <n v="16.5"/>
    <n v="2.31"/>
    <n v="14.19"/>
    <n v="4.99"/>
    <n v="0.43"/>
    <n v="0.39877104377104378"/>
    <n v="0"/>
    <n v="8.3712289562289559"/>
    <n v="4.185614478114478"/>
    <d v="2024-12-07T00:00:00"/>
    <d v="2024-12-07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597"/>
    <s v="Pedido 213"/>
    <d v="2024-11-01T00:00:00"/>
    <d v="2024-11-01T00:00:00"/>
    <s v="PedidoF206"/>
    <s v="CódRastreio206"/>
    <n v="1"/>
    <s v="CPF 210"/>
    <s v="Nome 210"/>
    <s v="Tel 210"/>
    <s v="Cep 210"/>
    <s v="Rua 210"/>
    <s v="Comp 210"/>
    <x v="5"/>
    <s v="P4-K63S-8KOM"/>
    <d v="2024-11-19T00:00:00"/>
    <n v="17.5"/>
    <n v="17.5"/>
    <n v="2.2749999999999999"/>
    <n v="15.23"/>
    <n v="11.73"/>
    <n v="0.43"/>
    <n v="0.39877104377104378"/>
    <n v="0"/>
    <n v="2.6712289562289566"/>
    <n v="1.3356144781144783"/>
    <d v="2024-11-26T00:00:00"/>
    <d v="2024-11-26T00:00:00"/>
    <d v="2024-11-29T00:00:00"/>
    <d v="2024-11-29T00:00:00"/>
    <s v="2024 11"/>
    <s v="Aguardando Liberação"/>
    <s v="2024 11"/>
    <s v="ENTREGUE"/>
    <d v="2024-11-06T00:00:00"/>
    <s v="-"/>
    <s v="NÃO"/>
    <n v="0"/>
    <n v="0"/>
    <n v="0"/>
    <n v="0"/>
    <n v="0"/>
  </r>
  <r>
    <s v="BV"/>
    <s v="BV45597"/>
    <s v="Pedido 214"/>
    <d v="2024-11-01T00:00:00"/>
    <d v="2024-11-01T00:00:00"/>
    <s v="PedidoF207"/>
    <s v="CódRastreio207"/>
    <n v="1"/>
    <s v="CPF 211"/>
    <s v="Nome 211"/>
    <s v="Tel 211"/>
    <s v="Cep 211"/>
    <s v="Rua 211"/>
    <s v="Comp 211"/>
    <x v="5"/>
    <s v="P4-K63S-8KOM"/>
    <d v="2024-11-26T00:00:00"/>
    <n v="17.5"/>
    <n v="17.5"/>
    <n v="2.2749999999999999"/>
    <n v="15.23"/>
    <n v="10.49"/>
    <n v="0.43"/>
    <n v="0.39877104377104378"/>
    <n v="0"/>
    <n v="3.9112289562289568"/>
    <n v="1.9556144781144784"/>
    <d v="2024-12-03T00:00:00"/>
    <d v="2024-12-03T00:00:00"/>
    <d v="2024-12-11T00:00:00"/>
    <d v="2024-12-16T00:00:00"/>
    <s v="2024 12"/>
    <s v="Aguardando Liberação"/>
    <s v="2024 11"/>
    <s v="ENTREGUE"/>
    <d v="2024-11-16T00:00:00"/>
    <s v="-"/>
    <s v="NÃO"/>
    <n v="0"/>
    <n v="0"/>
    <n v="0"/>
    <n v="0"/>
    <n v="0"/>
  </r>
  <r>
    <s v="BV"/>
    <s v="BV45597"/>
    <s v="Pedido 215"/>
    <d v="2024-11-01T00:00:00"/>
    <d v="2024-11-01T00:00:00"/>
    <s v="PedidoF208"/>
    <s v="CódRastreio208"/>
    <n v="1"/>
    <s v="CPF 212"/>
    <s v="Nome 212"/>
    <s v="Tel 212"/>
    <s v="Cep 212"/>
    <s v="Rua 212"/>
    <s v="Comp 212"/>
    <x v="2"/>
    <s v="DJ-RO5O-43GF"/>
    <d v="2024-11-30T00:00:00"/>
    <n v="16.5"/>
    <n v="16.5"/>
    <n v="2.31"/>
    <n v="14.19"/>
    <n v="4.99"/>
    <n v="0.43"/>
    <n v="0.39877104377104378"/>
    <n v="0"/>
    <n v="8.3712289562289559"/>
    <n v="4.185614478114478"/>
    <d v="2024-12-07T00:00:00"/>
    <d v="2024-12-07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8"/>
    <s v="Pedido 216"/>
    <d v="2024-11-02T00:00:00"/>
    <d v="2024-11-02T00:00:00"/>
    <s v="PedidoF209"/>
    <s v="CódRastreio209"/>
    <n v="1"/>
    <s v="CPF 213"/>
    <s v="Nome 213"/>
    <s v="Tel 213"/>
    <s v="Cep 213"/>
    <s v="Rua 213"/>
    <s v="Comp 213"/>
    <x v="5"/>
    <s v="P4-K63S-8KOM"/>
    <d v="2024-11-19T00:00:00"/>
    <n v="17.5"/>
    <n v="17.5"/>
    <n v="2.2749999999999999"/>
    <n v="15.23"/>
    <n v="10.49"/>
    <n v="0.36"/>
    <n v="0.39877104377104378"/>
    <n v="0"/>
    <n v="3.9812289562289571"/>
    <n v="1.9906144781144786"/>
    <d v="2024-11-26T00:00:00"/>
    <d v="2024-11-26T00:00:00"/>
    <d v="2024-11-29T00:00:00"/>
    <d v="2024-11-29T00:00:00"/>
    <s v="2024 11"/>
    <s v="Aguardando Liberação"/>
    <s v="2024 11"/>
    <s v="ENTREGUE"/>
    <d v="2024-11-08T00:00:00"/>
    <s v="-"/>
    <s v="NÃO"/>
    <n v="0"/>
    <n v="0"/>
    <n v="0"/>
    <n v="0"/>
    <n v="0"/>
  </r>
  <r>
    <s v="BV"/>
    <s v="BV45598"/>
    <s v="Pedido 217"/>
    <d v="2024-11-02T00:00:00"/>
    <d v="2024-11-02T00:00:00"/>
    <s v="PedidoF210"/>
    <s v="CódRastreio210"/>
    <n v="1"/>
    <s v="CPF 214"/>
    <s v="Nome 214"/>
    <s v="Tel 214"/>
    <s v="Cep 214"/>
    <s v="Rua 214"/>
    <s v="Comp 214"/>
    <x v="10"/>
    <s v="MU-J80P-95WF"/>
    <d v="2024-11-30T00:00:00"/>
    <n v="100"/>
    <n v="100"/>
    <n v="13"/>
    <n v="87"/>
    <n v="7.29"/>
    <n v="0.36"/>
    <n v="0.39877104377104378"/>
    <n v="0"/>
    <n v="78.95122895622896"/>
    <n v="39.47561447811448"/>
    <d v="2024-12-07T00:00:00"/>
    <d v="2024-12-07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8"/>
    <s v="Pedido 218"/>
    <d v="2024-11-02T00:00:00"/>
    <d v="2024-11-02T00:00:00"/>
    <s v="PedidoF211"/>
    <s v="CódRastreio211"/>
    <n v="1"/>
    <s v="CPF 215"/>
    <s v="Nome 215"/>
    <s v="Tel 215"/>
    <s v="Cep 215"/>
    <s v="Rua 215"/>
    <s v="Comp 215"/>
    <x v="2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d v="2024-12-03T00:00:00"/>
    <d v="2024-12-03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598"/>
    <s v="Pedido 219"/>
    <d v="2024-11-02T00:00:00"/>
    <d v="2024-11-02T00:00:00"/>
    <s v="PedidoF212"/>
    <s v="CódRastreio212"/>
    <n v="1"/>
    <s v="CPF 216"/>
    <s v="Nome 216"/>
    <s v="Tel 216"/>
    <s v="Cep 216"/>
    <s v="Rua 216"/>
    <s v="Comp 216"/>
    <x v="5"/>
    <s v="P4-K63S-8KOM"/>
    <d v="2024-11-26T00:00:00"/>
    <n v="17.5"/>
    <n v="17.5"/>
    <n v="2.2749999999999999"/>
    <n v="15.23"/>
    <n v="10.49"/>
    <n v="0.36"/>
    <n v="0.39877104377104378"/>
    <n v="0"/>
    <n v="3.9812289562289571"/>
    <n v="1.9906144781144786"/>
    <d v="2024-12-03T00:00:00"/>
    <d v="2024-12-03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598"/>
    <s v="Pedido 220"/>
    <d v="2024-11-02T00:00:00"/>
    <d v="2024-11-02T00:00:00"/>
    <s v="PedidoF213"/>
    <s v="CódRastreio213"/>
    <n v="1"/>
    <s v="CPF 217"/>
    <s v="Nome 217"/>
    <s v="Tel 217"/>
    <s v="Cep 217"/>
    <s v="Rua 217"/>
    <s v="Comp 217"/>
    <x v="11"/>
    <s v="ZO-J9IL-EN6L"/>
    <d v="2024-11-30T00:00:00"/>
    <n v="48.5"/>
    <n v="48.5"/>
    <n v="6.7900000000000009"/>
    <n v="41.71"/>
    <n v="7.29"/>
    <n v="0.36"/>
    <n v="0.39877104377104378"/>
    <n v="0"/>
    <n v="33.661228956228953"/>
    <n v="16.830614478114477"/>
    <d v="2024-12-07T00:00:00"/>
    <d v="2024-12-07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600"/>
    <s v="Pedido 221"/>
    <d v="2024-11-04T00:00:00"/>
    <d v="2024-11-04T00:00:00"/>
    <s v="PedidoF214"/>
    <s v="CódRastreio214"/>
    <n v="1"/>
    <s v="CPF 218"/>
    <s v="Nome 218"/>
    <s v="Tel 218"/>
    <s v="Cep 218"/>
    <s v="Rua 218"/>
    <s v="Comp 218"/>
    <x v="11"/>
    <s v="ZO-J9IL-EN6L"/>
    <d v="2024-12-03T00:00:00"/>
    <n v="48.5"/>
    <n v="48.5"/>
    <n v="6.7900000000000009"/>
    <n v="41.71"/>
    <n v="7.31"/>
    <n v="0.38"/>
    <n v="0.39877104377104378"/>
    <n v="0"/>
    <n v="33.621228956228961"/>
    <n v="16.810614478114481"/>
    <d v="2024-12-10T00:00:00"/>
    <d v="2024-12-10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598"/>
    <s v="Pedido 222"/>
    <d v="2024-11-02T00:00:00"/>
    <d v="2024-11-02T00:00:00"/>
    <s v="PedidoF215"/>
    <s v="CódRastreio215"/>
    <n v="1"/>
    <s v="CPF 219"/>
    <s v="Nome 219"/>
    <s v="Tel 219"/>
    <s v="Cep 219"/>
    <s v="Rua 219"/>
    <s v="Comp 219"/>
    <x v="2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d v="2024-12-03T00:00:00"/>
    <d v="2024-12-03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8"/>
    <s v="Pedido 223"/>
    <d v="2024-11-02T00:00:00"/>
    <d v="2024-11-02T00:00:00"/>
    <s v="PedidoF216"/>
    <s v="CódRastreio216"/>
    <n v="1"/>
    <s v="CPF 220"/>
    <s v="Nome 220"/>
    <s v="Tel 220"/>
    <s v="Cep 220"/>
    <s v="Rua 220"/>
    <s v="Comp 220"/>
    <x v="6"/>
    <s v="KN-TBQL-K2MM"/>
    <d v="2024-11-30T00:00:00"/>
    <n v="19.5"/>
    <n v="19.5"/>
    <n v="2.5350000000000001"/>
    <n v="16.97"/>
    <n v="6.62"/>
    <n v="0.36"/>
    <n v="0.39877104377104378"/>
    <n v="0"/>
    <n v="9.5912289562289548"/>
    <n v="4.7956144781144774"/>
    <d v="2024-12-07T00:00:00"/>
    <d v="2024-12-07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598"/>
    <s v="Pedido 224"/>
    <d v="2024-11-02T00:00:00"/>
    <d v="2024-11-02T00:00:00"/>
    <s v="PedidoF217"/>
    <s v="CódRastreio217"/>
    <n v="1"/>
    <s v="CPF 221"/>
    <s v="Nome 221"/>
    <s v="Tel 221"/>
    <s v="Cep 221"/>
    <s v="Rua 221"/>
    <s v="Comp 221"/>
    <x v="2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d v="2024-12-03T00:00:00"/>
    <d v="2024-12-03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598"/>
    <s v="Pedido 225"/>
    <d v="2024-11-02T00:00:00"/>
    <d v="2024-11-02T00:00:00"/>
    <s v="PedidoF218"/>
    <s v="CódRastreio218"/>
    <n v="1"/>
    <s v="CPF 222"/>
    <s v="Nome 222"/>
    <s v="Tel 222"/>
    <s v="Cep 222"/>
    <s v="Rua 222"/>
    <s v="Comp 222"/>
    <x v="2"/>
    <s v="DJ-RO5O-43GF"/>
    <d v="2024-11-30T00:00:00"/>
    <n v="16.5"/>
    <n v="16.5"/>
    <n v="2.31"/>
    <n v="14.19"/>
    <n v="4.99"/>
    <n v="0.36"/>
    <n v="0.39877104377104378"/>
    <n v="0"/>
    <n v="8.4412289562289544"/>
    <n v="4.2206144781144772"/>
    <d v="2024-12-07T00:00:00"/>
    <d v="2024-12-07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8"/>
    <s v="Pedido 226"/>
    <d v="2024-11-02T00:00:00"/>
    <d v="2024-11-02T00:00:00"/>
    <s v="PedidoF219"/>
    <s v="CódRastreio219"/>
    <n v="1"/>
    <s v="CPF 223"/>
    <s v="Nome 223"/>
    <s v="Tel 223"/>
    <s v="Cep 223"/>
    <s v="Rua 223"/>
    <s v="Comp 223"/>
    <x v="2"/>
    <s v="DJ-RO5O-43GF"/>
    <d v="2024-11-19T00:00:00"/>
    <n v="16.5"/>
    <n v="16.5"/>
    <n v="2.31"/>
    <n v="14.19"/>
    <n v="4.99"/>
    <n v="0.36"/>
    <n v="0.39877104377104378"/>
    <n v="0"/>
    <n v="8.4412289562289544"/>
    <n v="4.2206144781144772"/>
    <d v="2024-11-26T00:00:00"/>
    <d v="2024-11-26T00:00:00"/>
    <d v="2024-11-29T00:00:00"/>
    <d v="2024-11-29T00:00:00"/>
    <s v="2024 11"/>
    <s v="Aguardando Liberação"/>
    <s v="2024 11"/>
    <s v="ENTREGUE"/>
    <d v="2024-11-14T00:00:00"/>
    <s v="-"/>
    <s v="NÃO"/>
    <n v="0"/>
    <n v="0"/>
    <n v="0"/>
    <n v="0"/>
    <n v="0"/>
  </r>
  <r>
    <s v="BV"/>
    <s v="BV45598"/>
    <s v="Pedido 227"/>
    <d v="2024-11-02T00:00:00"/>
    <d v="2024-11-02T00:00:00"/>
    <s v="PedidoF220"/>
    <s v="CódRastreio220"/>
    <n v="1"/>
    <s v="CPF 224"/>
    <s v="Nome 224"/>
    <s v="Tel 224"/>
    <s v="Cep 224"/>
    <s v="Rua 224"/>
    <s v="Comp 224"/>
    <x v="2"/>
    <s v="DJ-RO5O-43GF"/>
    <d v="2024-11-19T00:00:00"/>
    <n v="16.5"/>
    <n v="16.5"/>
    <n v="2.31"/>
    <n v="14.19"/>
    <n v="4.99"/>
    <n v="0.36"/>
    <n v="0.39877104377104378"/>
    <n v="0"/>
    <n v="8.4412289562289544"/>
    <n v="4.2206144781144772"/>
    <d v="2024-11-26T00:00:00"/>
    <d v="2024-11-26T00:00:00"/>
    <d v="2024-11-29T00:00:00"/>
    <d v="2024-11-29T00:00:00"/>
    <s v="2024 11"/>
    <s v="Aguardando Liberação"/>
    <s v="2024 11"/>
    <s v="ENTREGUE"/>
    <d v="2024-11-08T00:00:00"/>
    <s v="-"/>
    <s v="NÃO"/>
    <n v="0"/>
    <n v="0"/>
    <n v="0"/>
    <n v="0"/>
    <n v="0"/>
  </r>
  <r>
    <s v="BV"/>
    <s v="BV45598"/>
    <s v="Pedido 228"/>
    <d v="2024-11-02T00:00:00"/>
    <d v="2024-11-02T00:00:00"/>
    <s v="PedidoF221"/>
    <s v="CódRastreio221"/>
    <n v="1"/>
    <s v="CPF 225"/>
    <s v="Nome 225"/>
    <s v="Tel 225"/>
    <s v="Cep 225"/>
    <s v="Rua 225"/>
    <s v="Comp 225"/>
    <x v="2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d v="2024-12-03T00:00:00"/>
    <d v="2024-12-03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8"/>
    <s v="Pedido 229"/>
    <d v="2024-11-02T00:00:00"/>
    <d v="2024-11-02T00:00:00"/>
    <s v="PedidoF222"/>
    <s v="CódRastreio222"/>
    <n v="1"/>
    <s v="CPF 226"/>
    <s v="Nome 226"/>
    <s v="Tel 226"/>
    <s v="Cep 226"/>
    <s v="Rua 226"/>
    <s v="Comp 226"/>
    <x v="11"/>
    <s v="ZO-J9IL-EN6L"/>
    <d v="2024-11-30T00:00:00"/>
    <n v="48.5"/>
    <n v="48.5"/>
    <n v="6.7900000000000009"/>
    <n v="41.71"/>
    <n v="7.29"/>
    <n v="0.36"/>
    <n v="0.39877104377104378"/>
    <n v="0"/>
    <n v="33.661228956228953"/>
    <n v="16.830614478114477"/>
    <d v="2024-12-07T00:00:00"/>
    <d v="2024-12-07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598"/>
    <s v="Pedido 230"/>
    <d v="2024-11-02T00:00:00"/>
    <d v="2024-11-02T00:00:00"/>
    <s v="PedidoF223"/>
    <s v="CódRastreio223"/>
    <n v="1"/>
    <s v="CPF 227"/>
    <s v="Nome 227"/>
    <s v="Tel 227"/>
    <s v="Cep 227"/>
    <s v="Rua 227"/>
    <s v="Comp 227"/>
    <x v="2"/>
    <s v="DJ-RO5O-43GF"/>
    <d v="2024-11-30T00:00:00"/>
    <n v="16.5"/>
    <n v="16.5"/>
    <n v="2.31"/>
    <n v="14.19"/>
    <n v="4.99"/>
    <n v="0.36"/>
    <n v="0.39877104377104378"/>
    <n v="0"/>
    <n v="8.4412289562289544"/>
    <n v="4.2206144781144772"/>
    <d v="2024-12-07T00:00:00"/>
    <d v="2024-12-07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599"/>
    <s v="Pedido 231"/>
    <d v="2024-11-03T00:00:00"/>
    <d v="2024-11-03T00:00:00"/>
    <s v="PedidoF224"/>
    <s v="CódRastreio224"/>
    <n v="1"/>
    <s v="CPF 228"/>
    <s v="Nome 228"/>
    <s v="Tel 228"/>
    <s v="Cep 228"/>
    <s v="Rua 228"/>
    <s v="Comp 228"/>
    <x v="1"/>
    <s v="CK-YL6M-P5Y6"/>
    <d v="2024-11-26T00:00:00"/>
    <n v="30.99"/>
    <n v="30.99"/>
    <n v="4.0286999999999997"/>
    <n v="26.96"/>
    <n v="11.99"/>
    <n v="0.43"/>
    <n v="0.39877104377104378"/>
    <n v="0"/>
    <n v="14.141228956228957"/>
    <n v="7.0706144781144786"/>
    <d v="2024-12-03T00:00:00"/>
    <d v="2024-12-03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598"/>
    <s v="Pedido 232"/>
    <d v="2024-11-02T00:00:00"/>
    <d v="2024-11-02T00:00:00"/>
    <s v="PedidoF225"/>
    <s v="CódRastreio225"/>
    <n v="1"/>
    <s v="CPF 229"/>
    <s v="Nome 229"/>
    <s v="Tel 229"/>
    <s v="Cep 229"/>
    <s v="Rua 229"/>
    <s v="Comp 229"/>
    <x v="1"/>
    <s v="CK-YL6M-P5Y6"/>
    <d v="2024-11-30T00:00:00"/>
    <n v="30.99"/>
    <n v="30.99"/>
    <n v="4.0286999999999997"/>
    <n v="26.96"/>
    <n v="11.99"/>
    <n v="0.36"/>
    <n v="0.39877104377104378"/>
    <n v="0"/>
    <n v="14.211228956228958"/>
    <n v="7.1056144781144788"/>
    <d v="2024-12-07T00:00:00"/>
    <d v="2024-12-07T00:00:00"/>
    <d v="2024-12-11T00:00:00"/>
    <d v="2024-12-16T00:00:00"/>
    <s v="2024 12"/>
    <s v="Aguardando Liberação"/>
    <s v="2024 11"/>
    <s v="ENTREGUE"/>
    <d v="2024-11-15T00:00:00"/>
    <s v="-"/>
    <s v="NÃO"/>
    <n v="0"/>
    <n v="0"/>
    <n v="0"/>
    <n v="0"/>
    <n v="0"/>
  </r>
  <r>
    <s v="BV"/>
    <s v="BV45598"/>
    <s v="Pedido 233"/>
    <d v="2024-11-02T00:00:00"/>
    <d v="2024-11-02T00:00:00"/>
    <s v="PedidoF226"/>
    <s v="CódRastreio226"/>
    <n v="1"/>
    <s v="CPF 230"/>
    <s v="Nome 230"/>
    <s v="Tel 230"/>
    <s v="Cep 230"/>
    <s v="Rua 230"/>
    <s v="Comp 230"/>
    <x v="11"/>
    <s v="ZO-J9IL-EN6L"/>
    <d v="2024-11-26T00:00:00"/>
    <n v="48.5"/>
    <n v="48.5"/>
    <n v="6.7900000000000009"/>
    <n v="41.71"/>
    <n v="7.29"/>
    <n v="0.36"/>
    <n v="0.39877104377104378"/>
    <n v="0"/>
    <n v="33.661228956228953"/>
    <n v="16.830614478114477"/>
    <d v="2024-12-03T00:00:00"/>
    <d v="2024-12-03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599"/>
    <s v="Pedido 234"/>
    <d v="2024-11-03T00:00:00"/>
    <d v="2024-11-03T00:00:00"/>
    <s v="PedidoF227"/>
    <s v="CódRastreio227"/>
    <n v="1"/>
    <s v="CPF 231"/>
    <s v="Nome 231"/>
    <s v="Tel 231"/>
    <s v="Cep 231"/>
    <s v="Rua 231"/>
    <s v="Comp 231"/>
    <x v="4"/>
    <s v="9G-BN48-QAPH"/>
    <d v="2024-11-26T00:00:00"/>
    <n v="15.5"/>
    <n v="15.5"/>
    <n v="2.3249999999999997"/>
    <n v="13.18"/>
    <n v="7.29"/>
    <n v="0.43"/>
    <n v="0.39877104377104378"/>
    <n v="0"/>
    <n v="5.0612289562289554"/>
    <n v="2.5306144781144777"/>
    <d v="2024-12-03T00:00:00"/>
    <d v="2024-12-03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0"/>
    <s v="Pedido 235"/>
    <d v="2024-11-04T00:00:00"/>
    <d v="2024-11-04T00:00:00"/>
    <s v="PedidoF228"/>
    <s v="CódRastreio228"/>
    <n v="1"/>
    <s v="CPF 232"/>
    <s v="Nome 232"/>
    <s v="Tel 232"/>
    <s v="Cep 232"/>
    <s v="Rua 232"/>
    <s v="Comp 232"/>
    <x v="2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d v="2024-12-04T00:00:00"/>
    <d v="2024-12-04T00:00:00"/>
    <d v="2024-12-11T00:00:00"/>
    <d v="2024-12-16T00:00:00"/>
    <s v="2024 12"/>
    <s v="Aguardando Liberação"/>
    <s v="2024 11"/>
    <s v="ENTREGUE"/>
    <d v="2024-11-19T00:00:00"/>
    <s v="-"/>
    <s v="NÃO"/>
    <n v="0"/>
    <n v="0"/>
    <n v="0"/>
    <n v="0"/>
    <n v="0"/>
  </r>
  <r>
    <s v="BV"/>
    <s v="BV45599"/>
    <s v="Pedido 236"/>
    <d v="2024-11-03T00:00:00"/>
    <d v="2024-11-03T00:00:00"/>
    <s v="PedidoF229"/>
    <s v="CódRastreio229"/>
    <n v="1"/>
    <s v="CPF 233"/>
    <s v="Nome 233"/>
    <s v="Tel 233"/>
    <s v="Cep 233"/>
    <s v="Rua 233"/>
    <s v="Comp 233"/>
    <x v="2"/>
    <s v="DJ-RO5O-43GF"/>
    <d v="2024-11-22T00:00:00"/>
    <n v="16.5"/>
    <n v="16.5"/>
    <n v="2.31"/>
    <n v="14.19"/>
    <n v="4.99"/>
    <n v="0.43"/>
    <n v="0.39877104377104378"/>
    <n v="0"/>
    <n v="8.3712289562289559"/>
    <n v="4.185614478114478"/>
    <d v="2024-11-29T00:00:00"/>
    <d v="2024-11-29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599"/>
    <s v="Pedido 237"/>
    <d v="2024-11-03T00:00:00"/>
    <d v="2024-11-03T00:00:00"/>
    <s v="PedidoF230"/>
    <s v="CódRastreio230"/>
    <n v="1"/>
    <s v="CPF 234"/>
    <s v="Nome 234"/>
    <s v="Tel 234"/>
    <s v="Cep 234"/>
    <s v="Rua 234"/>
    <s v="Comp 234"/>
    <x v="0"/>
    <s v="16-4EDB-WMZF"/>
    <d v="2024-12-07T00:00:00"/>
    <n v="15.5"/>
    <n v="15.5"/>
    <n v="2.3249999999999997"/>
    <n v="13.18"/>
    <n v="7.29"/>
    <n v="0.43"/>
    <n v="0.39877104377104378"/>
    <n v="0"/>
    <n v="5.0612289562289554"/>
    <n v="2.5306144781144777"/>
    <d v="2024-12-14T00:00:00"/>
    <d v="2024-12-14T00:00:00"/>
    <d v="2024-12-14T00:00:00"/>
    <d v="2024-12-16T00:00:00"/>
    <s v="2024 12"/>
    <s v="Aguardando Liberação"/>
    <s v="2024 11"/>
    <s v="ENTREGUE"/>
    <d v="2024-11-22T00:00:00"/>
    <s v="-"/>
    <s v="NÃO"/>
    <n v="0"/>
    <n v="0"/>
    <n v="0"/>
    <n v="0"/>
    <n v="0"/>
  </r>
  <r>
    <s v="BV"/>
    <s v="BV45599"/>
    <s v="Pedido 238"/>
    <d v="2024-11-03T00:00:00"/>
    <d v="2024-11-03T00:00:00"/>
    <s v="PedidoF231"/>
    <s v="CódRastreio231"/>
    <n v="1"/>
    <s v="CPF 235"/>
    <s v="Nome 235"/>
    <s v="Tel 235"/>
    <s v="Cep 235"/>
    <s v="Rua 235"/>
    <s v="Comp 235"/>
    <x v="2"/>
    <s v="DJ-RO5O-43GF"/>
    <d v="2024-11-30T00:00:00"/>
    <n v="16.5"/>
    <n v="16.5"/>
    <n v="2.31"/>
    <n v="14.19"/>
    <n v="4.99"/>
    <n v="0.43"/>
    <n v="0.39877104377104378"/>
    <n v="0"/>
    <n v="8.3712289562289559"/>
    <n v="4.185614478114478"/>
    <d v="2024-12-07T00:00:00"/>
    <d v="2024-12-07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599"/>
    <s v="Pedido 239"/>
    <d v="2024-11-03T00:00:00"/>
    <d v="2024-11-03T00:00:00"/>
    <s v="PedidoF232"/>
    <s v="CódRastreio232"/>
    <n v="1"/>
    <s v="CPF 236"/>
    <s v="Nome 236"/>
    <s v="Tel 236"/>
    <s v="Cep 236"/>
    <s v="Rua 236"/>
    <s v="Comp 236"/>
    <x v="0"/>
    <s v="16-4EDB-WMZF"/>
    <d v="2024-11-30T00:00:00"/>
    <n v="15.5"/>
    <n v="15.5"/>
    <n v="2.3249999999999997"/>
    <n v="13.18"/>
    <n v="7.29"/>
    <n v="0.43"/>
    <n v="0.39877104377104378"/>
    <n v="0"/>
    <n v="5.0612289562289554"/>
    <n v="2.5306144781144777"/>
    <d v="2024-12-07T00:00:00"/>
    <d v="2024-12-07T00:00:00"/>
    <d v="2024-12-11T00:00:00"/>
    <d v="2024-12-16T00:00:00"/>
    <s v="2024 12"/>
    <s v="Aguardando Liberação"/>
    <s v="2024 11"/>
    <s v="ENTREGUE"/>
    <d v="2024-11-21T00:00:00"/>
    <s v="-"/>
    <s v="NÃO"/>
    <n v="0"/>
    <n v="0"/>
    <n v="0"/>
    <n v="0"/>
    <n v="0"/>
  </r>
  <r>
    <s v="BV"/>
    <s v="BV45599"/>
    <s v="Pedido 240"/>
    <d v="2024-11-03T00:00:00"/>
    <d v="2024-11-03T00:00:00"/>
    <s v="PedidoF233"/>
    <s v="CódRastreio233"/>
    <n v="1"/>
    <s v="CPF 237"/>
    <s v="Nome 237"/>
    <s v="Tel 237"/>
    <s v="Cep 237"/>
    <s v="Rua 237"/>
    <s v="Comp 237"/>
    <x v="2"/>
    <s v="DJ-RO5O-43GF"/>
    <d v="2024-11-19T00:00:00"/>
    <n v="16.5"/>
    <n v="16.5"/>
    <n v="2.31"/>
    <n v="14.19"/>
    <n v="4.99"/>
    <n v="0.43"/>
    <n v="0.39877104377104378"/>
    <n v="0"/>
    <n v="8.3712289562289559"/>
    <n v="4.185614478114478"/>
    <d v="2024-11-26T00:00:00"/>
    <d v="2024-11-26T00:00:00"/>
    <d v="2024-11-29T00:00:00"/>
    <d v="2024-11-29T00:00:00"/>
    <s v="2024 11"/>
    <s v="Aguardando Liberação"/>
    <s v="2024 11"/>
    <s v="ENTREGUE"/>
    <d v="2024-11-08T00:00:00"/>
    <s v="-"/>
    <s v="NÃO"/>
    <n v="0"/>
    <n v="0"/>
    <n v="0"/>
    <n v="0"/>
    <n v="0"/>
  </r>
  <r>
    <s v="BV"/>
    <s v="BV45599"/>
    <s v="Pedido 241"/>
    <d v="2024-11-03T00:00:00"/>
    <d v="2024-11-03T00:00:00"/>
    <s v="PedidoF234"/>
    <s v="CódRastreio234"/>
    <n v="1"/>
    <s v="CPF 238"/>
    <s v="Nome 238"/>
    <s v="Tel 238"/>
    <s v="Cep 238"/>
    <s v="Rua 238"/>
    <s v="Comp 238"/>
    <x v="2"/>
    <s v="DJ-RO5O-43GF"/>
    <d v="2024-11-22T00:00:00"/>
    <n v="16.5"/>
    <n v="16.5"/>
    <n v="2.31"/>
    <n v="14.19"/>
    <n v="4.99"/>
    <n v="0.43"/>
    <n v="0.39877104377104378"/>
    <n v="0"/>
    <n v="8.3712289562289559"/>
    <n v="4.185614478114478"/>
    <d v="2024-11-29T00:00:00"/>
    <d v="2024-11-29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599"/>
    <s v="Pedido 242"/>
    <d v="2024-11-03T00:00:00"/>
    <d v="2024-11-03T00:00:00"/>
    <s v="PedidoF235"/>
    <s v="CódRastreio235"/>
    <n v="1"/>
    <s v="CPF 239"/>
    <s v="Nome 239"/>
    <s v="Tel 239"/>
    <s v="Cep 239"/>
    <s v="Rua 239"/>
    <s v="Comp 239"/>
    <x v="2"/>
    <s v="DJ-RO5O-43GF"/>
    <d v="2024-11-26T00:00:00"/>
    <n v="16.5"/>
    <n v="16.5"/>
    <n v="2.31"/>
    <n v="14.19"/>
    <n v="4.99"/>
    <n v="0.43"/>
    <n v="0.39877104377104378"/>
    <n v="0"/>
    <n v="8.3712289562289559"/>
    <n v="4.185614478114478"/>
    <d v="2024-12-03T00:00:00"/>
    <d v="2024-12-03T00:00:00"/>
    <d v="2024-12-11T00:00:00"/>
    <d v="2024-12-16T00:00:00"/>
    <s v="2024 12"/>
    <s v="Aguardando Liberação"/>
    <s v="2024 11"/>
    <s v="ENTREGUE"/>
    <d v="2024-11-09T00:00:00"/>
    <s v="-"/>
    <s v="NÃO"/>
    <n v="0"/>
    <n v="0"/>
    <n v="0"/>
    <n v="0"/>
    <n v="0"/>
  </r>
  <r>
    <s v="BV"/>
    <s v="BV45601"/>
    <s v="Pedido 243"/>
    <d v="2024-11-05T00:00:00"/>
    <d v="2024-11-05T00:00:00"/>
    <s v="PedidoF236"/>
    <s v="CódRastreio236"/>
    <n v="1"/>
    <s v="CPF 239"/>
    <s v="Nome 239"/>
    <s v="Tel 239"/>
    <s v="Cep 239"/>
    <s v="Rua 239"/>
    <s v="Comp 239"/>
    <x v="2"/>
    <s v="DJ-RO5O-43GF"/>
    <d v="2024-11-26T00:00:00"/>
    <n v="16.5"/>
    <n v="16.5"/>
    <n v="2.31"/>
    <n v="14.19"/>
    <n v="4.99"/>
    <n v="0.44"/>
    <n v="0.39877104377104378"/>
    <n v="0"/>
    <n v="8.3612289562289561"/>
    <n v="4.1806144781144781"/>
    <d v="2024-12-03T00:00:00"/>
    <d v="2024-12-03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599"/>
    <s v="Pedido 244"/>
    <d v="2024-11-03T00:00:00"/>
    <d v="2024-11-03T00:00:00"/>
    <s v="PedidoF237"/>
    <s v="CódRastreio237"/>
    <n v="1"/>
    <s v="CPF 240"/>
    <s v="Nome 240"/>
    <s v="Tel 240"/>
    <s v="Cep 240"/>
    <s v="Rua 240"/>
    <s v="Comp 240"/>
    <x v="4"/>
    <s v="9G-BN48-QAPH"/>
    <d v="2024-11-30T00:00:00"/>
    <n v="18.5"/>
    <n v="18.5"/>
    <n v="2.7749999999999999"/>
    <n v="15.73"/>
    <n v="7.29"/>
    <n v="0.43"/>
    <n v="0.39877104377104378"/>
    <n v="0"/>
    <n v="7.6112289562289561"/>
    <n v="3.8056144781144781"/>
    <d v="2024-12-07T00:00:00"/>
    <d v="2024-12-07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599"/>
    <s v="Pedido 245"/>
    <d v="2024-11-03T00:00:00"/>
    <d v="2024-11-03T00:00:00"/>
    <s v="PedidoF238"/>
    <s v="CódRastreio238"/>
    <n v="1"/>
    <s v="CPF 241"/>
    <s v="Nome 241"/>
    <s v="Tel 241"/>
    <s v="Cep 241"/>
    <s v="Rua 241"/>
    <s v="Comp 241"/>
    <x v="11"/>
    <s v="ZO-J9IL-EN6L"/>
    <d v="2024-11-30T00:00:00"/>
    <n v="54.5"/>
    <n v="54.5"/>
    <n v="7.6300000000000008"/>
    <n v="46.87"/>
    <n v="7.29"/>
    <n v="0.43"/>
    <n v="0.39877104377104378"/>
    <n v="0"/>
    <n v="38.751228956228957"/>
    <n v="19.375614478114478"/>
    <d v="2024-12-07T00:00:00"/>
    <d v="2024-12-07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599"/>
    <s v="Pedido 246"/>
    <d v="2024-11-03T00:00:00"/>
    <d v="2024-11-03T00:00:00"/>
    <s v="PedidoF239"/>
    <s v="CódRastreio239"/>
    <n v="1"/>
    <s v="CPF 242"/>
    <s v="Nome 242"/>
    <s v="Tel 242"/>
    <s v="Cep 242"/>
    <s v="Rua 242"/>
    <s v="Comp 242"/>
    <x v="11"/>
    <s v="ZO-J9IL-EN6L"/>
    <d v="2024-11-30T00:00:00"/>
    <n v="54.5"/>
    <n v="54.5"/>
    <n v="7.6300000000000008"/>
    <n v="46.87"/>
    <n v="7.29"/>
    <n v="0.43"/>
    <n v="0.39877104377104378"/>
    <n v="0"/>
    <n v="38.751228956228957"/>
    <n v="19.375614478114478"/>
    <d v="2024-12-07T00:00:00"/>
    <d v="2024-12-07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599"/>
    <s v="Pedido 247"/>
    <d v="2024-11-03T00:00:00"/>
    <d v="2024-11-03T00:00:00"/>
    <s v="PedidoF240"/>
    <s v="CódRastreio240"/>
    <n v="1"/>
    <s v="CPF 243"/>
    <s v="Nome 243"/>
    <s v="Tel 243"/>
    <s v="Cep 243"/>
    <s v="Rua 243"/>
    <s v="Comp 243"/>
    <x v="10"/>
    <s v="MU-J80P-95WF"/>
    <d v="2024-11-30T00:00:00"/>
    <n v="65.33"/>
    <n v="65.33"/>
    <n v="8.4929000000000006"/>
    <n v="56.84"/>
    <n v="7.29"/>
    <n v="0.43"/>
    <n v="0.39877104377104378"/>
    <n v="0"/>
    <n v="48.721228956228956"/>
    <n v="24.360614478114478"/>
    <d v="2024-12-07T00:00:00"/>
    <d v="2024-12-07T00:00:00"/>
    <d v="2024-12-11T00:00:00"/>
    <d v="2024-12-16T00:00:00"/>
    <s v="2024 12"/>
    <s v="Aguardando Liberação"/>
    <s v="2024 11"/>
    <s v="ENTREGUE"/>
    <d v="2024-11-16T00:00:00"/>
    <s v="-"/>
    <s v="NÃO"/>
    <n v="0"/>
    <n v="0"/>
    <n v="0"/>
    <n v="0"/>
    <n v="0"/>
  </r>
  <r>
    <s v="BV"/>
    <s v="BV45599"/>
    <s v="Pedido 248"/>
    <d v="2024-11-03T00:00:00"/>
    <d v="2024-11-03T00:00:00"/>
    <s v="PedidoF241"/>
    <s v="CódRastreio241"/>
    <n v="1"/>
    <s v="CPF 244"/>
    <s v="Nome 244"/>
    <s v="Tel 244"/>
    <s v="Cep 244"/>
    <s v="Rua 244"/>
    <s v="Comp 244"/>
    <x v="2"/>
    <s v="DJ-RO5O-43GF"/>
    <d v="2024-11-22T00:00:00"/>
    <n v="16.5"/>
    <n v="16.5"/>
    <n v="2.31"/>
    <n v="14.19"/>
    <n v="4.99"/>
    <n v="0.43"/>
    <n v="0.39877104377104378"/>
    <n v="0"/>
    <n v="8.3712289562289559"/>
    <n v="4.185614478114478"/>
    <d v="2024-11-29T00:00:00"/>
    <d v="2024-11-29T00:00:00"/>
    <d v="2024-11-29T00:00:00"/>
    <d v="2024-11-29T00:00:00"/>
    <s v="2024 11"/>
    <s v="Aguardando Liberação"/>
    <s v="2024 11"/>
    <s v="ENTREGUE"/>
    <d v="2024-11-14T00:00:00"/>
    <s v="-"/>
    <s v="NÃO"/>
    <n v="0"/>
    <n v="0"/>
    <n v="0"/>
    <n v="0"/>
    <n v="0"/>
  </r>
  <r>
    <s v="BV"/>
    <s v="BV45599"/>
    <s v="Pedido 249"/>
    <d v="2024-11-03T00:00:00"/>
    <d v="2024-11-03T00:00:00"/>
    <s v="PedidoF242"/>
    <s v="CódRastreio242"/>
    <n v="1"/>
    <s v="CPF 245"/>
    <s v="Nome 245"/>
    <s v="Tel 245"/>
    <s v="Cep 245"/>
    <s v="Rua 245"/>
    <s v="Comp 245"/>
    <x v="10"/>
    <s v="MU-J80P-95WF"/>
    <d v="2024-12-07T00:00:00"/>
    <n v="100"/>
    <n v="100"/>
    <n v="13"/>
    <n v="87"/>
    <n v="7.29"/>
    <n v="0.43"/>
    <n v="0.39877104377104378"/>
    <n v="0"/>
    <n v="78.881228956228952"/>
    <n v="39.440614478114476"/>
    <d v="2024-12-14T00:00:00"/>
    <d v="2024-12-14T00:00:00"/>
    <d v="2024-12-14T00:00:00"/>
    <d v="2024-12-16T00:00:00"/>
    <s v="2024 12"/>
    <s v="Aguardando Liberação"/>
    <s v="2024 11"/>
    <s v="ENTREGUE"/>
    <d v="2024-12-10T00:00:00"/>
    <s v="-"/>
    <s v="NÃO"/>
    <n v="0"/>
    <n v="0"/>
    <n v="0"/>
    <n v="0"/>
    <n v="0"/>
  </r>
  <r>
    <s v="BV"/>
    <s v="BV45600"/>
    <s v="Pedido 250"/>
    <d v="2024-11-04T00:00:00"/>
    <d v="2024-11-04T00:00:00"/>
    <s v="PedidoF243"/>
    <s v="CódRastreio243"/>
    <n v="1"/>
    <s v="CPF 246"/>
    <s v="Nome 246"/>
    <s v="Tel 246"/>
    <s v="Cep 246"/>
    <s v="Rua 246"/>
    <s v="Comp 246"/>
    <x v="2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d v="2024-12-10T00:00:00"/>
    <d v="2024-12-10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0"/>
    <s v="Pedido 251"/>
    <d v="2024-11-04T00:00:00"/>
    <d v="2024-11-04T00:00:00"/>
    <s v="PedidoF244"/>
    <s v="CódRastreio244"/>
    <n v="1"/>
    <s v="CPF 247"/>
    <s v="Nome 247"/>
    <s v="Tel 247"/>
    <s v="Cep 247"/>
    <s v="Rua 247"/>
    <s v="Comp 247"/>
    <x v="2"/>
    <s v="DJ-RO5O-43GF"/>
    <d v="2024-11-23T00:00:00"/>
    <n v="16.5"/>
    <n v="16.5"/>
    <n v="2.31"/>
    <n v="14.19"/>
    <n v="4.99"/>
    <n v="0.38"/>
    <n v="0.39877104377104378"/>
    <n v="0"/>
    <n v="8.4212289562289548"/>
    <n v="4.2106144781144774"/>
    <d v="2024-11-30T00:00:00"/>
    <d v="2024-11-30T00:00:00"/>
    <d v="2024-12-11T00:00:00"/>
    <d v="2024-12-16T00:00:00"/>
    <s v="2024 11"/>
    <s v="Aguardando Liberação"/>
    <s v="2024 11"/>
    <s v="ENTREGUE"/>
    <d v="2024-11-14T00:00:00"/>
    <s v="-"/>
    <s v="NÃO"/>
    <n v="0"/>
    <n v="0"/>
    <n v="0"/>
    <n v="0"/>
    <n v="0"/>
  </r>
  <r>
    <s v="BV"/>
    <s v="BV45600"/>
    <s v="Pedido 252"/>
    <d v="2024-11-04T00:00:00"/>
    <d v="2024-11-04T00:00:00"/>
    <s v="PedidoF245"/>
    <s v="CódRastreio245"/>
    <n v="1"/>
    <s v="CPF 248"/>
    <s v="Nome 248"/>
    <s v="Tel 248"/>
    <s v="Cep 248"/>
    <s v="Rua 248"/>
    <s v="Comp 248"/>
    <x v="2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d v="2024-12-04T00:00:00"/>
    <d v="2024-12-04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0"/>
    <s v="Pedido 253"/>
    <d v="2024-11-04T00:00:00"/>
    <d v="2024-11-04T00:00:00"/>
    <s v="PedidoF246"/>
    <s v="CódRastreio246"/>
    <n v="1"/>
    <s v="CPF 249"/>
    <s v="Nome 249"/>
    <s v="Tel 249"/>
    <s v="Cep 249"/>
    <s v="Rua 249"/>
    <s v="Comp 249"/>
    <x v="2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d v="2024-12-10T00:00:00"/>
    <d v="2024-12-10T00:00:00"/>
    <d v="2024-12-11T00:00:00"/>
    <d v="2024-12-16T00:00:00"/>
    <s v="2024 12"/>
    <s v="Aguardando Liberação"/>
    <s v="2024 11"/>
    <s v="ENTREGUE"/>
    <d v="2024-11-16T00:00:00"/>
    <s v="-"/>
    <s v="NÃO"/>
    <n v="0"/>
    <n v="0"/>
    <n v="0"/>
    <n v="0"/>
    <n v="0"/>
  </r>
  <r>
    <s v="BV"/>
    <s v="BV45600"/>
    <s v="Pedido 254"/>
    <d v="2024-11-04T00:00:00"/>
    <d v="2024-11-04T00:00:00"/>
    <s v="PedidoF247"/>
    <s v="CódRastreio247"/>
    <n v="1"/>
    <s v="CPF 250"/>
    <s v="Nome 250"/>
    <s v="Tel 250"/>
    <s v="Cep 250"/>
    <s v="Rua 250"/>
    <s v="Comp 250"/>
    <x v="0"/>
    <s v="16-4EDB-WMZF"/>
    <d v="2024-12-10T00:00:00"/>
    <n v="17.989999999999998"/>
    <n v="17.989999999999998"/>
    <n v="2.6984999999999997"/>
    <n v="15.29"/>
    <n v="7.31"/>
    <n v="0.38"/>
    <n v="0.39877104377104378"/>
    <n v="0"/>
    <n v="7.201228956228956"/>
    <n v="3.600614478114478"/>
    <d v="2024-12-17T00:00:00"/>
    <d v="2024-12-17T00:00:00"/>
    <d v="2024-12-25T00:00:00"/>
    <d v="2025-01-02T00:00:00"/>
    <s v="2024 12"/>
    <s v="Aguardando Liberação"/>
    <s v="2024 11"/>
    <s v="ENTREGUE"/>
    <d v="2024-11-28T00:00:00"/>
    <s v="-"/>
    <s v="NÃO"/>
    <n v="0"/>
    <n v="0"/>
    <n v="0"/>
    <n v="0"/>
    <n v="0"/>
  </r>
  <r>
    <s v="BV"/>
    <s v="BV45604"/>
    <s v="Pedido 255"/>
    <d v="2024-11-08T00:00:00"/>
    <d v="2024-11-08T00:00:00"/>
    <s v="PedidoF248"/>
    <s v="CódRastreio248"/>
    <n v="1"/>
    <s v="CPF 251"/>
    <s v="Nome 251"/>
    <s v="Tel 251"/>
    <s v="Cep 251"/>
    <s v="Rua 251"/>
    <s v="Comp 251"/>
    <x v="2"/>
    <s v="DJ-RO5O-43GF"/>
    <d v="2024-11-27T00:00:00"/>
    <n v="16.5"/>
    <n v="16.5"/>
    <n v="2.31"/>
    <n v="14.19"/>
    <n v="6.57"/>
    <n v="0.27"/>
    <n v="0.39877104377104378"/>
    <n v="0"/>
    <n v="6.951228956228956"/>
    <n v="3.475614478114478"/>
    <d v="2024-12-04T00:00:00"/>
    <d v="2024-12-04T00:00:00"/>
    <d v="2024-12-11T00:00:00"/>
    <d v="2024-12-16T00:00:00"/>
    <s v="2024 12"/>
    <s v="Aguardando Liberação"/>
    <s v="2024 11"/>
    <s v="ENTREGUE"/>
    <d v="2024-11-19T00:00:00"/>
    <s v="-"/>
    <s v="NÃO"/>
    <n v="0"/>
    <n v="0"/>
    <n v="0"/>
    <n v="0"/>
    <n v="0"/>
  </r>
  <r>
    <s v="BV"/>
    <s v="BV45600"/>
    <s v="Pedido 256"/>
    <d v="2024-11-04T00:00:00"/>
    <d v="2024-11-04T00:00:00"/>
    <s v="PedidoF249"/>
    <s v="CódRastreio249"/>
    <n v="1"/>
    <s v="CPF 252"/>
    <s v="Nome 252"/>
    <s v="Tel 252"/>
    <s v="Cep 252"/>
    <s v="Rua 252"/>
    <s v="Comp 252"/>
    <x v="2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d v="2024-12-10T00:00:00"/>
    <d v="2024-12-10T00:00:00"/>
    <d v="2024-12-11T00:00:00"/>
    <d v="2024-12-16T00:00:00"/>
    <s v="2024 12"/>
    <s v="Aguardando Liberação"/>
    <s v="2024 11"/>
    <s v="ENTREGUE"/>
    <d v="2024-11-16T00:00:00"/>
    <s v="-"/>
    <s v="NÃO"/>
    <n v="0"/>
    <n v="0"/>
    <n v="0"/>
    <n v="0"/>
    <n v="0"/>
  </r>
  <r>
    <s v="BV"/>
    <s v="BV45600"/>
    <s v="Pedido 257"/>
    <d v="2024-11-04T00:00:00"/>
    <d v="2024-11-04T00:00:00"/>
    <s v="PedidoF250"/>
    <s v="CódRastreio250"/>
    <n v="1"/>
    <s v="CPF 253"/>
    <s v="Nome 253"/>
    <s v="Tel 253"/>
    <s v="Cep 253"/>
    <s v="Rua 253"/>
    <s v="Comp 253"/>
    <x v="2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d v="2024-12-10T00:00:00"/>
    <d v="2024-12-10T00:00:00"/>
    <d v="2024-12-11T00:00:00"/>
    <d v="2024-12-16T00:00:00"/>
    <s v="2024 12"/>
    <s v="Aguardando Liberação"/>
    <s v="2024 11"/>
    <s v="ENTREGUE"/>
    <d v="2024-11-27T00:00:00"/>
    <s v="-"/>
    <s v="NÃO"/>
    <n v="0"/>
    <n v="0"/>
    <n v="0"/>
    <n v="0"/>
    <n v="0"/>
  </r>
  <r>
    <s v="BV"/>
    <s v="BV45600"/>
    <s v="Pedido 258"/>
    <d v="2024-11-04T00:00:00"/>
    <d v="2024-11-04T00:00:00"/>
    <s v="PedidoF251"/>
    <s v="CódRastreio251"/>
    <n v="1"/>
    <s v="CPF 254"/>
    <s v="Nome 254"/>
    <s v="Tel 254"/>
    <s v="Cep 254"/>
    <s v="Rua 254"/>
    <s v="Comp 254"/>
    <x v="2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d v="2024-12-04T00:00:00"/>
    <d v="2024-12-04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0"/>
    <s v="Pedido 259"/>
    <d v="2024-11-04T00:00:00"/>
    <d v="2024-11-04T00:00:00"/>
    <s v="PedidoF252"/>
    <s v="CódRastreio252"/>
    <n v="1"/>
    <s v="CPF 255"/>
    <s v="Nome 255"/>
    <s v="Tel 255"/>
    <s v="Cep 255"/>
    <s v="Rua 255"/>
    <s v="Comp 255"/>
    <x v="2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d v="2024-12-04T00:00:00"/>
    <d v="2024-12-04T00:00:00"/>
    <d v="2024-12-11T00:00:00"/>
    <d v="2024-12-16T00:00:00"/>
    <s v="2024 12"/>
    <s v="Aguardando Liberação"/>
    <s v="2024 11"/>
    <s v="ENTREGUE"/>
    <d v="2024-11-15T00:00:00"/>
    <s v="-"/>
    <s v="NÃO"/>
    <n v="0"/>
    <n v="0"/>
    <n v="0"/>
    <n v="0"/>
    <n v="0"/>
  </r>
  <r>
    <s v="BV"/>
    <s v="BV45601"/>
    <s v="Pedido 260"/>
    <d v="2024-11-05T00:00:00"/>
    <d v="2024-11-05T00:00:00"/>
    <s v="PedidoF253"/>
    <s v="CódRastreio253"/>
    <n v="1"/>
    <s v="CPF 255"/>
    <s v="Nome 255"/>
    <s v="Tel 255"/>
    <s v="Cep 255"/>
    <s v="Rua 255"/>
    <s v="Comp 255"/>
    <x v="2"/>
    <s v="DJ-RO5O-43GF"/>
    <d v="2024-11-27T00:00:00"/>
    <n v="16.5"/>
    <n v="16.5"/>
    <n v="2.31"/>
    <n v="14.19"/>
    <n v="4.99"/>
    <n v="0.44"/>
    <n v="0.39877104377104378"/>
    <n v="0"/>
    <n v="8.3612289562289561"/>
    <n v="4.1806144781144781"/>
    <d v="2024-12-04T00:00:00"/>
    <d v="2024-12-04T00:00:00"/>
    <d v="2024-12-11T00:00:00"/>
    <d v="2024-12-16T00:00:00"/>
    <s v="2024 12"/>
    <s v="Aguardando Liberação"/>
    <s v="2024 11"/>
    <s v="ENTREGUE"/>
    <d v="2024-11-15T00:00:00"/>
    <s v="-"/>
    <s v="NÃO"/>
    <n v="0"/>
    <n v="0"/>
    <n v="0"/>
    <n v="0"/>
    <n v="0"/>
  </r>
  <r>
    <s v="BV"/>
    <s v="BV45600"/>
    <s v="Pedido 261"/>
    <d v="2024-11-04T00:00:00"/>
    <d v="2024-11-04T00:00:00"/>
    <s v="PedidoF254"/>
    <s v="CódRastreio254"/>
    <n v="1"/>
    <s v="CPF 256"/>
    <s v="Nome 256"/>
    <s v="Tel 256"/>
    <s v="Cep 256"/>
    <s v="Rua 256"/>
    <s v="Comp 256"/>
    <x v="2"/>
    <s v="DJ-RO5O-43GF"/>
    <d v="2024-12-03T00:00:00"/>
    <n v="16.5"/>
    <n v="16.5"/>
    <n v="2.31"/>
    <n v="14.19"/>
    <n v="0"/>
    <n v="0.38"/>
    <n v="0.39877104377104378"/>
    <n v="0"/>
    <n v="13.411228956228955"/>
    <n v="6.7056144781144775"/>
    <d v="2024-12-10T00:00:00"/>
    <d v="2024-12-10T00:00:00"/>
    <d v="2024-12-11T00:00:00"/>
    <d v="2024-12-16T00:00:00"/>
    <s v="2024 12"/>
    <s v="Aguardando Liberação"/>
    <s v="2024 11"/>
    <s v="ENTREGUE"/>
    <d v="2024-11-16T00:00:00"/>
    <s v="-"/>
    <s v="NÃO"/>
    <n v="0"/>
    <n v="0"/>
    <n v="0"/>
    <n v="3.71"/>
    <n v="3.71"/>
  </r>
  <r>
    <s v="BV"/>
    <s v="BV45600"/>
    <s v="Pedido 262"/>
    <d v="2024-11-04T00:00:00"/>
    <d v="2024-11-04T00:00:00"/>
    <s v="PedidoF255"/>
    <s v="CódRastreio255"/>
    <n v="1"/>
    <s v="CPF 257"/>
    <s v="Nome 257"/>
    <s v="Tel 257"/>
    <s v="Cep 257"/>
    <s v="Rua 257"/>
    <s v="Comp 257"/>
    <x v="3"/>
    <s v="IF-G2ZQ-79FO"/>
    <d v="2024-11-27T00:00:00"/>
    <n v="44.5"/>
    <n v="44.5"/>
    <n v="5.7850000000000001"/>
    <n v="38.72"/>
    <n v="7.31"/>
    <n v="0.38"/>
    <n v="0.39877104377104378"/>
    <n v="0"/>
    <n v="30.631228956228956"/>
    <n v="15.315614478114478"/>
    <d v="2024-12-04T00:00:00"/>
    <d v="2024-12-04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601"/>
    <s v="Pedido 263"/>
    <d v="2024-11-05T00:00:00"/>
    <d v="2024-11-05T00:00:00"/>
    <s v="PedidoF256"/>
    <s v="CódRastreio256"/>
    <n v="1"/>
    <s v="CPF 258"/>
    <s v="Nome 258"/>
    <s v="Tel 258"/>
    <s v="Cep 258"/>
    <s v="Rua 258"/>
    <s v="Comp 258"/>
    <x v="8"/>
    <s v="FM-QQ8Y-RZT4"/>
    <d v="2024-11-20T00:00:00"/>
    <n v="18.5"/>
    <n v="18.5"/>
    <n v="2.4050000000000002"/>
    <n v="16.100000000000001"/>
    <n v="10.8"/>
    <n v="0.44"/>
    <n v="0.39877104377104378"/>
    <n v="0"/>
    <n v="4.4612289562289575"/>
    <n v="2.2306144781144788"/>
    <d v="2024-11-27T00:00:00"/>
    <d v="2024-11-27T00:00:00"/>
    <d v="2024-11-29T00:00:00"/>
    <d v="2024-11-29T00:00:00"/>
    <s v="2024 11"/>
    <s v="Aguardando Liberação"/>
    <s v="2024 11"/>
    <s v="ENTREGUE"/>
    <d v="2024-11-09T00:00:00"/>
    <s v="-"/>
    <s v="NÃO"/>
    <n v="0"/>
    <n v="0"/>
    <n v="0"/>
    <n v="0"/>
    <n v="0"/>
  </r>
  <r>
    <s v="BV"/>
    <s v="BV45600"/>
    <s v="Pedido 264"/>
    <d v="2024-11-04T00:00:00"/>
    <d v="2024-11-04T00:00:00"/>
    <s v="PedidoF257"/>
    <s v="CódRastreio257"/>
    <n v="1"/>
    <s v="CPF 259"/>
    <s v="Nome 259"/>
    <s v="Tel 259"/>
    <s v="Cep 259"/>
    <s v="Rua 259"/>
    <s v="Comp 259"/>
    <x v="7"/>
    <s v="T9-P952-TL6A"/>
    <d v="2024-12-03T00:00:00"/>
    <n v="23.8"/>
    <n v="23.8"/>
    <n v="3.0940000000000003"/>
    <n v="20.71"/>
    <n v="10.039999999999999"/>
    <n v="0.38"/>
    <n v="0.39877104377104378"/>
    <n v="0"/>
    <n v="9.8912289562289573"/>
    <n v="4.9456144781144786"/>
    <d v="2024-12-10T00:00:00"/>
    <d v="2024-12-10T00:00:00"/>
    <d v="2024-12-11T00:00:00"/>
    <d v="2024-12-16T00:00:00"/>
    <s v="2024 12"/>
    <s v="Aguardando Liberação"/>
    <s v="2024 11"/>
    <s v="ENTREGUE"/>
    <d v="2024-11-12T00:00:00"/>
    <s v="-"/>
    <s v="NÃO"/>
    <n v="0"/>
    <n v="0"/>
    <n v="0"/>
    <n v="0"/>
    <n v="0"/>
  </r>
  <r>
    <s v="BV"/>
    <s v="BV45600"/>
    <s v="Pedido 265"/>
    <d v="2024-11-04T00:00:00"/>
    <d v="2024-11-04T00:00:00"/>
    <s v="PedidoF258"/>
    <s v="CódRastreio258"/>
    <n v="1"/>
    <s v="CPF 260"/>
    <s v="Nome 260"/>
    <s v="Tel 260"/>
    <s v="Cep 260"/>
    <s v="Rua 260"/>
    <s v="Comp 260"/>
    <x v="1"/>
    <s v="CK-YL6M-P5Y6"/>
    <d v="2024-11-20T00:00:00"/>
    <n v="30.99"/>
    <n v="30.99"/>
    <n v="4.0286999999999997"/>
    <n v="26.96"/>
    <n v="11.99"/>
    <n v="0.38"/>
    <n v="0.39877104377104378"/>
    <n v="0"/>
    <n v="14.191228956228956"/>
    <n v="7.0956144781144781"/>
    <d v="2024-11-27T00:00:00"/>
    <d v="2024-11-27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600"/>
    <s v="Pedido 266"/>
    <d v="2024-11-04T00:00:00"/>
    <d v="2024-11-04T00:00:00"/>
    <s v="PedidoF259"/>
    <s v="CódRastreio259"/>
    <n v="1"/>
    <s v="CPF 261"/>
    <s v="Nome 261"/>
    <s v="Tel 261"/>
    <s v="Cep 261"/>
    <s v="Rua 261"/>
    <s v="Comp 261"/>
    <x v="2"/>
    <s v="DJ-RO5O-43GF"/>
    <d v="2024-11-20T00:00:00"/>
    <n v="16.989999999999998"/>
    <n v="16.989999999999998"/>
    <n v="2.3786"/>
    <n v="14.61"/>
    <n v="4.99"/>
    <n v="0.38"/>
    <n v="0.39877104377104378"/>
    <n v="0"/>
    <n v="8.8412289562289565"/>
    <n v="4.4206144781144783"/>
    <d v="2024-11-27T00:00:00"/>
    <d v="2024-11-27T00:00:00"/>
    <d v="2024-11-29T00:00:00"/>
    <d v="2024-11-29T00:00:00"/>
    <s v="2024 11"/>
    <s v="Aguardando Liberação"/>
    <s v="2024 11"/>
    <s v="ENTREGUE"/>
    <d v="2024-11-09T00:00:00"/>
    <s v="-"/>
    <s v="NÃO"/>
    <n v="0"/>
    <n v="0"/>
    <n v="0"/>
    <n v="0"/>
    <n v="0"/>
  </r>
  <r>
    <s v="BV"/>
    <s v="BV45600"/>
    <s v="Pedido 267"/>
    <d v="2024-11-04T00:00:00"/>
    <d v="2024-11-04T00:00:00"/>
    <s v="PedidoF260"/>
    <s v="CódRastreio260"/>
    <n v="1"/>
    <s v="CPF 262"/>
    <s v="Nome 262"/>
    <s v="Tel 262"/>
    <s v="Cep 262"/>
    <s v="Rua 262"/>
    <s v="Comp 262"/>
    <x v="2"/>
    <s v="DJ-RO5O-43GF"/>
    <d v="2024-11-20T00:00:00"/>
    <n v="16.989999999999998"/>
    <n v="16.989999999999998"/>
    <n v="2.3786"/>
    <n v="14.61"/>
    <n v="4.99"/>
    <n v="0.38"/>
    <n v="0.39877104377104378"/>
    <n v="0"/>
    <n v="8.8412289562289565"/>
    <n v="4.4206144781144783"/>
    <d v="2024-11-27T00:00:00"/>
    <d v="2024-11-27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601"/>
    <s v="Pedido 268"/>
    <d v="2024-11-05T00:00:00"/>
    <d v="2024-11-05T00:00:00"/>
    <s v="PedidoF261"/>
    <s v="CódRastreio261"/>
    <n v="1"/>
    <s v="CPF 263"/>
    <s v="Nome 263"/>
    <s v="Tel 263"/>
    <s v="Cep 263"/>
    <s v="Rua 263"/>
    <s v="Comp 263"/>
    <x v="11"/>
    <s v="ZO-J9IL-EN6L"/>
    <d v="2024-12-04T00:00:00"/>
    <n v="51.99"/>
    <n v="51.99"/>
    <n v="7.2786000000000008"/>
    <n v="44.71"/>
    <n v="7.3"/>
    <n v="0.44"/>
    <n v="0.39877104377104378"/>
    <n v="0"/>
    <n v="36.571228956228957"/>
    <n v="18.285614478114478"/>
    <d v="2024-12-11T00:00:00"/>
    <d v="2024-12-11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1"/>
    <s v="Pedido 269"/>
    <d v="2024-11-05T00:00:00"/>
    <d v="2024-11-05T00:00:00"/>
    <s v="PedidoF262"/>
    <s v="CódRastreio262"/>
    <n v="1"/>
    <s v="CPF 264"/>
    <s v="Nome 264"/>
    <s v="Tel 264"/>
    <s v="Cep 264"/>
    <s v="Rua 264"/>
    <s v="Comp 264"/>
    <x v="13"/>
    <s v="YA-AG3H-SPUK"/>
    <d v="2024-11-22T00:00:00"/>
    <n v="16.5"/>
    <n v="16.5"/>
    <n v="1.98"/>
    <n v="14.52"/>
    <n v="4.99"/>
    <n v="0.44"/>
    <n v="0.39877104377104378"/>
    <n v="0"/>
    <n v="8.6912289562289544"/>
    <n v="4.3456144781144772"/>
    <d v="2024-11-29T00:00:00"/>
    <d v="2024-11-29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601"/>
    <s v="Pedido 270"/>
    <d v="2024-11-05T00:00:00"/>
    <d v="2024-11-05T00:00:00"/>
    <s v="PedidoF263"/>
    <s v="CódRastreio263"/>
    <n v="1"/>
    <s v="CPF 265"/>
    <s v="Nome 265"/>
    <s v="Tel 265"/>
    <s v="Cep 265"/>
    <s v="Rua 265"/>
    <s v="Comp 265"/>
    <x v="4"/>
    <s v="9G-BN48-QAPH"/>
    <d v="2024-11-28T00:00:00"/>
    <n v="15.1"/>
    <n v="15.1"/>
    <n v="2.2649999999999997"/>
    <n v="12.84"/>
    <n v="4.99"/>
    <n v="0.44"/>
    <n v="0.39877104377104378"/>
    <n v="0"/>
    <n v="7.0112289562289556"/>
    <n v="3.5056144781144778"/>
    <d v="2024-12-05T00:00:00"/>
    <d v="2024-12-05T00:00:00"/>
    <d v="2024-12-11T00:00:00"/>
    <d v="2024-12-16T00:00:00"/>
    <s v="2024 12"/>
    <s v="Aguardando Liberação"/>
    <s v="2024 11"/>
    <s v="ENTREGUE"/>
    <d v="2024-11-09T00:00:00"/>
    <s v="-"/>
    <s v="NÃO"/>
    <n v="0"/>
    <n v="0"/>
    <n v="0"/>
    <n v="0"/>
    <n v="0"/>
  </r>
  <r>
    <s v="BV"/>
    <s v="BV45601"/>
    <s v="Pedido 271"/>
    <d v="2024-11-05T00:00:00"/>
    <d v="2024-11-05T00:00:00"/>
    <s v="PedidoF264"/>
    <s v="CódRastreio264"/>
    <n v="1"/>
    <s v="CPF 266"/>
    <s v="Nome 266"/>
    <s v="Tel 266"/>
    <s v="Cep 266"/>
    <s v="Rua 266"/>
    <s v="Comp 266"/>
    <x v="4"/>
    <s v="9G-BN48-QAPH"/>
    <d v="2024-12-04T00:00:00"/>
    <n v="15.1"/>
    <n v="15.1"/>
    <n v="2.2649999999999997"/>
    <n v="12.84"/>
    <n v="4.99"/>
    <n v="0.44"/>
    <n v="0.39877104377104378"/>
    <n v="0"/>
    <n v="7.0112289562289556"/>
    <n v="3.5056144781144778"/>
    <d v="2024-12-11T00:00:00"/>
    <d v="2024-12-11T00:00:00"/>
    <d v="2024-12-11T00:00:00"/>
    <d v="2024-12-16T00:00:00"/>
    <s v="2024 12"/>
    <s v="Aguardando Liberação"/>
    <s v="2024 11"/>
    <s v="ENTREGUE"/>
    <d v="2024-11-15T00:00:00"/>
    <s v="-"/>
    <s v="NÃO"/>
    <n v="0"/>
    <n v="0"/>
    <n v="0"/>
    <n v="0"/>
    <n v="0"/>
  </r>
  <r>
    <s v="BV"/>
    <s v="BV45604"/>
    <s v="Pedido 272"/>
    <d v="2024-11-08T00:00:00"/>
    <d v="2024-11-08T00:00:00"/>
    <s v="PedidoF265"/>
    <s v="CódRastreio265"/>
    <n v="1"/>
    <s v="CPF 267"/>
    <s v="Nome 267"/>
    <s v="Tel 267"/>
    <s v="Cep 267"/>
    <s v="Rua 267"/>
    <s v="Comp 267"/>
    <x v="0"/>
    <s v="16-4EDB-WMZF"/>
    <d v="2024-12-04T00:00:00"/>
    <n v="15.1"/>
    <n v="15.1"/>
    <n v="2.2649999999999997"/>
    <n v="12.84"/>
    <n v="4.99"/>
    <n v="0.27"/>
    <n v="0.39877104377104378"/>
    <n v="0"/>
    <n v="7.1812289562289564"/>
    <n v="3.5906144781144782"/>
    <d v="2024-12-11T00:00:00"/>
    <d v="2024-12-11T00:00:00"/>
    <d v="2024-12-11T00:00:00"/>
    <d v="2024-12-16T00:00:00"/>
    <s v="2024 12"/>
    <s v="Aguardando Liberação"/>
    <s v="2024 11"/>
    <s v="ENTREGUE"/>
    <d v="2024-11-28T00:00:00"/>
    <s v="-"/>
    <s v="NÃO"/>
    <n v="0"/>
    <n v="0"/>
    <n v="0"/>
    <n v="0"/>
    <n v="0"/>
  </r>
  <r>
    <s v="BV"/>
    <s v="BV45601"/>
    <s v="Pedido 273"/>
    <d v="2024-11-05T00:00:00"/>
    <d v="2024-11-05T00:00:00"/>
    <s v="PedidoF266"/>
    <s v="CódRastreio266"/>
    <n v="1"/>
    <s v="CPF 268"/>
    <s v="Nome 268"/>
    <s v="Tel 268"/>
    <s v="Cep 268"/>
    <s v="Rua 268"/>
    <s v="Comp 268"/>
    <x v="2"/>
    <s v="DJ-RO5O-43GF"/>
    <d v="2024-12-04T00:00:00"/>
    <n v="16.5"/>
    <n v="16.5"/>
    <n v="2.31"/>
    <n v="14.19"/>
    <n v="4.99"/>
    <n v="0.44"/>
    <n v="0.39877104377104378"/>
    <n v="0"/>
    <n v="8.3612289562289561"/>
    <n v="4.1806144781144781"/>
    <d v="2024-12-11T00:00:00"/>
    <d v="2024-12-11T00:00:00"/>
    <d v="2024-12-11T00:00:00"/>
    <d v="2024-12-16T00:00:00"/>
    <s v="2024 12"/>
    <s v="Aguardando Liberação"/>
    <s v="2024 11"/>
    <s v="ENTREGUE"/>
    <d v="2024-11-13T00:00:00"/>
    <s v="-"/>
    <s v="NÃO"/>
    <n v="0"/>
    <n v="0"/>
    <n v="0"/>
    <n v="0"/>
    <n v="0"/>
  </r>
  <r>
    <s v="BV"/>
    <s v="BV45601"/>
    <s v="Pedido 274"/>
    <d v="2024-11-05T00:00:00"/>
    <d v="2024-11-05T00:00:00"/>
    <s v="PedidoF267"/>
    <s v="CódRastreio267"/>
    <n v="1"/>
    <s v="CPF 269"/>
    <s v="Nome 269"/>
    <s v="Tel 269"/>
    <s v="Cep 269"/>
    <s v="Rua 269"/>
    <s v="Comp 269"/>
    <x v="7"/>
    <s v="T9-P952-TL6A"/>
    <d v="2024-12-04T00:00:00"/>
    <n v="23.8"/>
    <n v="23.8"/>
    <n v="3.0940000000000003"/>
    <n v="20.71"/>
    <n v="0"/>
    <n v="0.44"/>
    <n v="0.39877104377104378"/>
    <n v="0"/>
    <n v="19.871228956228958"/>
    <n v="9.9356144781144788"/>
    <d v="2024-12-11T00:00:00"/>
    <d v="2024-12-11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2"/>
    <s v="Pedido 275"/>
    <d v="2024-11-06T00:00:00"/>
    <d v="2024-11-06T00:00:00"/>
    <s v="PedidoF268"/>
    <s v="CódRastreio268"/>
    <n v="1"/>
    <s v="CPF 270"/>
    <s v="Nome 270"/>
    <s v="Tel 270"/>
    <s v="Cep 270"/>
    <s v="Rua 270"/>
    <s v="Comp 270"/>
    <x v="2"/>
    <s v="DJ-RO5O-43GF"/>
    <d v="2024-12-04T00:00:00"/>
    <n v="16.5"/>
    <n v="16.5"/>
    <n v="2.31"/>
    <n v="14.19"/>
    <n v="4.99"/>
    <n v="0.31"/>
    <n v="0.39877104377104378"/>
    <n v="0"/>
    <n v="8.4912289562289551"/>
    <n v="4.2456144781144776"/>
    <d v="2024-12-11T00:00:00"/>
    <d v="2024-12-11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4"/>
    <s v="Pedido 276"/>
    <d v="2024-11-08T00:00:00"/>
    <d v="2024-11-08T00:00:00"/>
    <s v="PedidoF269"/>
    <s v="CódRastreio269"/>
    <n v="1"/>
    <s v="CPF 271"/>
    <s v="Nome 271"/>
    <s v="Tel 271"/>
    <s v="Cep 271"/>
    <s v="Rua 271"/>
    <s v="Comp 271"/>
    <x v="2"/>
    <s v="DJ-RO5O-43GF"/>
    <d v="2024-11-26T00:00:00"/>
    <n v="16.5"/>
    <n v="16.5"/>
    <n v="2.31"/>
    <n v="14.19"/>
    <n v="6.57"/>
    <n v="0.27"/>
    <n v="0.39877104377104378"/>
    <n v="0"/>
    <n v="6.951228956228956"/>
    <n v="3.475614478114478"/>
    <d v="2024-12-03T00:00:00"/>
    <d v="2024-12-03T00:00:00"/>
    <d v="2024-12-11T00:00:00"/>
    <d v="2024-12-16T00:00:00"/>
    <s v="2024 12"/>
    <s v="Aguardando Liberação"/>
    <s v="2024 11"/>
    <s v="ENTREGUE"/>
    <d v="2024-11-16T00:00:00"/>
    <s v="-"/>
    <s v="NÃO"/>
    <n v="0"/>
    <n v="0"/>
    <n v="0"/>
    <n v="0"/>
    <n v="0"/>
  </r>
  <r>
    <s v="BV"/>
    <s v="BV45602"/>
    <s v="Pedido 277"/>
    <d v="2024-11-06T00:00:00"/>
    <d v="2024-11-06T00:00:00"/>
    <s v="PedidoF270"/>
    <s v="CódRastreio270"/>
    <n v="1"/>
    <s v="CPF 272"/>
    <s v="Nome 272"/>
    <s v="Tel 272"/>
    <s v="Cep 272"/>
    <s v="Rua 272"/>
    <s v="Comp 272"/>
    <x v="0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d v="2024-12-11T00:00:00"/>
    <d v="2024-12-11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2"/>
    <s v="Pedido 278"/>
    <d v="2024-11-06T00:00:00"/>
    <d v="2024-11-06T00:00:00"/>
    <s v="PedidoF271"/>
    <s v="CódRastreio271"/>
    <n v="1"/>
    <s v="CPF 273"/>
    <s v="Nome 273"/>
    <s v="Tel 273"/>
    <s v="Cep 273"/>
    <s v="Rua 273"/>
    <s v="Comp 273"/>
    <x v="2"/>
    <s v="DJ-RO5O-43GF"/>
    <d v="2024-11-22T00:00:00"/>
    <n v="16.5"/>
    <n v="16.5"/>
    <n v="2.31"/>
    <n v="14.19"/>
    <n v="4.99"/>
    <n v="0.31"/>
    <n v="0.39877104377104378"/>
    <n v="0"/>
    <n v="8.4912289562289551"/>
    <n v="4.2456144781144776"/>
    <d v="2024-11-29T00:00:00"/>
    <d v="2024-11-29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602"/>
    <s v="Pedido 279"/>
    <d v="2024-11-06T00:00:00"/>
    <d v="2024-11-06T00:00:00"/>
    <s v="PedidoF272"/>
    <s v="CódRastreio272"/>
    <n v="1"/>
    <s v="CPF 274"/>
    <s v="Nome 274"/>
    <s v="Tel 274"/>
    <s v="Cep 274"/>
    <s v="Rua 274"/>
    <s v="Comp 274"/>
    <x v="0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d v="2024-12-11T00:00:00"/>
    <d v="2024-12-11T00:00:00"/>
    <d v="2024-12-11T00:00:00"/>
    <d v="2024-12-16T00:00:00"/>
    <s v="2024 12"/>
    <s v="Aguardando Liberação"/>
    <s v="2024 11"/>
    <s v="ENTREGUE"/>
    <d v="2024-11-23T00:00:00"/>
    <s v="-"/>
    <s v="NÃO"/>
    <n v="0"/>
    <n v="0"/>
    <n v="0"/>
    <n v="0"/>
    <n v="0"/>
  </r>
  <r>
    <s v="BV"/>
    <s v="BV45602"/>
    <s v="Pedido 280"/>
    <d v="2024-11-06T00:00:00"/>
    <d v="2024-11-06T00:00:00"/>
    <s v="PedidoF273"/>
    <s v="CódRastreio273"/>
    <n v="1"/>
    <s v="CPF 275"/>
    <s v="Nome 275"/>
    <s v="Tel 275"/>
    <s v="Cep 275"/>
    <s v="Rua 275"/>
    <s v="Comp 275"/>
    <x v="0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d v="2024-12-11T00:00:00"/>
    <d v="2024-12-11T00:00:00"/>
    <d v="2024-12-11T00:00:00"/>
    <d v="2024-12-16T00:00:00"/>
    <s v="2024 12"/>
    <s v="Aguardando Liberação"/>
    <s v="2024 11"/>
    <s v="ENTREGUE"/>
    <d v="2024-11-19T00:00:00"/>
    <s v="-"/>
    <s v="NÃO"/>
    <n v="0"/>
    <n v="0"/>
    <n v="0"/>
    <n v="0"/>
    <n v="0"/>
  </r>
  <r>
    <s v="BV"/>
    <s v="BV45602"/>
    <s v="Pedido 281"/>
    <d v="2024-11-06T00:00:00"/>
    <d v="2024-11-06T00:00:00"/>
    <s v="PedidoF274"/>
    <s v="CódRastreio274"/>
    <n v="1"/>
    <s v="CPF 276"/>
    <s v="Nome 276"/>
    <s v="Tel 276"/>
    <s v="Cep 276"/>
    <s v="Rua 276"/>
    <s v="Comp 276"/>
    <x v="2"/>
    <s v="DJ-RO5O-43GF"/>
    <d v="2024-11-22T00:00:00"/>
    <n v="16.5"/>
    <n v="16.5"/>
    <n v="2.31"/>
    <n v="14.19"/>
    <n v="4.99"/>
    <n v="0.31"/>
    <n v="0.39877104377104378"/>
    <n v="0"/>
    <n v="8.4912289562289551"/>
    <n v="4.2456144781144776"/>
    <d v="2024-11-29T00:00:00"/>
    <d v="2024-11-29T00:00:00"/>
    <d v="2024-11-29T00:00:00"/>
    <d v="2024-11-29T00:00:00"/>
    <s v="2024 11"/>
    <s v="Aguardando Liberação"/>
    <s v="2024 11"/>
    <s v="ENTREGUE"/>
    <d v="2024-11-14T00:00:00"/>
    <s v="-"/>
    <s v="NÃO"/>
    <n v="0"/>
    <n v="0"/>
    <n v="0"/>
    <n v="0"/>
    <n v="0"/>
  </r>
  <r>
    <s v="BV"/>
    <s v="BV45602"/>
    <s v="Pedido 282"/>
    <d v="2024-11-06T00:00:00"/>
    <d v="2024-11-06T00:00:00"/>
    <s v="PedidoF275"/>
    <s v="CódRastreio275"/>
    <n v="1"/>
    <s v="CPF 277"/>
    <s v="Nome 277"/>
    <s v="Tel 277"/>
    <s v="Cep 277"/>
    <s v="Rua 277"/>
    <s v="Comp 277"/>
    <x v="7"/>
    <s v="T9-P952-TL6A"/>
    <d v="2024-11-22T00:00:00"/>
    <n v="23.8"/>
    <n v="23.8"/>
    <n v="3.0940000000000003"/>
    <n v="20.71"/>
    <n v="10.039999999999999"/>
    <n v="0.31"/>
    <n v="0.39877104377104378"/>
    <n v="0"/>
    <n v="9.9612289562289575"/>
    <n v="4.9806144781144788"/>
    <d v="2024-11-29T00:00:00"/>
    <d v="2024-11-29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602"/>
    <s v="Pedido 283"/>
    <d v="2024-11-06T00:00:00"/>
    <d v="2024-11-06T00:00:00"/>
    <s v="PedidoF276"/>
    <s v="CódRastreio276"/>
    <n v="1"/>
    <s v="CPF 278"/>
    <s v="Nome 278"/>
    <s v="Tel 278"/>
    <s v="Cep 278"/>
    <s v="Rua 278"/>
    <s v="Comp 278"/>
    <x v="13"/>
    <s v="YA-AG3H-SPUK"/>
    <d v="2024-11-22T00:00:00"/>
    <n v="16.5"/>
    <n v="16.5"/>
    <n v="1.98"/>
    <n v="14.52"/>
    <n v="5.48"/>
    <n v="0.31"/>
    <n v="0.39877104377104378"/>
    <n v="0"/>
    <n v="8.331228956228955"/>
    <n v="4.1656144781144775"/>
    <d v="2024-11-29T00:00:00"/>
    <d v="2024-11-29T00:00:00"/>
    <d v="2024-11-29T00:00:00"/>
    <d v="2024-11-29T00:00:00"/>
    <s v="2024 11"/>
    <s v="Aguardando Liberação"/>
    <s v="2024 11"/>
    <s v="ENTREGUE"/>
    <d v="2024-11-11T00:00:00"/>
    <s v="-"/>
    <s v="NÃO"/>
    <n v="0"/>
    <n v="0"/>
    <n v="0"/>
    <n v="0"/>
    <n v="0"/>
  </r>
  <r>
    <s v="BV"/>
    <s v="BV45602"/>
    <s v="Pedido 284"/>
    <d v="2024-11-06T00:00:00"/>
    <d v="2024-11-06T00:00:00"/>
    <s v="PedidoF277"/>
    <s v="CódRastreio277"/>
    <n v="1"/>
    <s v="CPF 279"/>
    <s v="Nome 279"/>
    <s v="Tel 279"/>
    <s v="Cep 279"/>
    <s v="Rua 279"/>
    <s v="Comp 279"/>
    <x v="2"/>
    <s v="DJ-RO5O-43GF"/>
    <d v="2024-12-04T00:00:00"/>
    <n v="16.5"/>
    <n v="16.5"/>
    <n v="2.31"/>
    <n v="14.19"/>
    <n v="4.99"/>
    <n v="0.31"/>
    <n v="0.39877104377104378"/>
    <n v="0"/>
    <n v="8.4912289562289551"/>
    <n v="4.2456144781144776"/>
    <d v="2024-12-11T00:00:00"/>
    <d v="2024-12-11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2"/>
    <s v="Pedido 285"/>
    <d v="2024-11-06T00:00:00"/>
    <d v="2024-11-06T00:00:00"/>
    <s v="PedidoF278"/>
    <s v="CódRastreio278"/>
    <n v="1"/>
    <s v="CPF 280"/>
    <s v="Nome 280"/>
    <s v="Tel 280"/>
    <s v="Cep 280"/>
    <s v="Rua 280"/>
    <s v="Comp 280"/>
    <x v="0"/>
    <s v="16-4EDB-WMZF"/>
    <d v="2024-12-11T00:00:00"/>
    <n v="15.1"/>
    <n v="15.1"/>
    <n v="2.2649999999999997"/>
    <n v="12.84"/>
    <n v="7.31"/>
    <n v="0.31"/>
    <n v="0.39877104377104378"/>
    <n v="0"/>
    <n v="4.821228956228957"/>
    <n v="2.4106144781144785"/>
    <d v="2024-12-18T00:00:00"/>
    <d v="2024-12-18T00:00:00"/>
    <d v="2024-12-25T00:00:00"/>
    <d v="2025-01-02T00:00:00"/>
    <s v="2024 12"/>
    <s v="Aguardando Liberação"/>
    <s v="2024 11"/>
    <s v="ENTREGUE"/>
    <d v="2024-11-25T00:00:00"/>
    <s v="-"/>
    <s v="NÃO"/>
    <n v="0"/>
    <n v="0"/>
    <n v="0"/>
    <n v="0"/>
    <n v="0"/>
  </r>
  <r>
    <s v="BV"/>
    <s v="BV45602"/>
    <s v="Pedido 286"/>
    <d v="2024-11-06T00:00:00"/>
    <d v="2024-11-06T00:00:00"/>
    <s v="PedidoF279"/>
    <s v="CódRastreio279"/>
    <n v="1"/>
    <s v="CPF 281"/>
    <s v="Nome 281"/>
    <s v="Tel 281"/>
    <s v="Cep 281"/>
    <s v="Rua 281"/>
    <s v="Comp 281"/>
    <x v="0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d v="2024-12-11T00:00:00"/>
    <d v="2024-12-11T00:00:00"/>
    <d v="2024-12-11T00:00:00"/>
    <d v="2024-12-16T00:00:00"/>
    <s v="2024 12"/>
    <s v="Aguardando Liberação"/>
    <s v="2024 11"/>
    <s v="ENTREGUE"/>
    <d v="2024-11-20T00:00:00"/>
    <s v="-"/>
    <s v="NÃO"/>
    <n v="0"/>
    <n v="0"/>
    <n v="0"/>
    <n v="0"/>
    <n v="0"/>
  </r>
  <r>
    <s v="BV"/>
    <s v="BV45602"/>
    <s v="Pedido 287"/>
    <d v="2024-11-06T00:00:00"/>
    <d v="2024-11-06T00:00:00"/>
    <s v="PedidoF280"/>
    <s v="CódRastreio280"/>
    <n v="1"/>
    <s v="CPF 282"/>
    <s v="Nome 282"/>
    <s v="Tel 282"/>
    <s v="Cep 282"/>
    <s v="Rua 282"/>
    <s v="Comp 282"/>
    <x v="0"/>
    <s v="16-4EDB-WMZF"/>
    <d v="2024-11-28T00:00:00"/>
    <n v="15.1"/>
    <n v="15.1"/>
    <n v="2.2649999999999997"/>
    <n v="12.84"/>
    <n v="4.99"/>
    <n v="0.31"/>
    <n v="0.39877104377104378"/>
    <n v="0"/>
    <n v="7.1412289562289564"/>
    <n v="3.5706144781144782"/>
    <d v="2024-12-05T00:00:00"/>
    <d v="2024-12-05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2"/>
    <s v="Pedido 288"/>
    <d v="2024-11-06T00:00:00"/>
    <d v="2024-11-06T00:00:00"/>
    <s v="PedidoF281"/>
    <s v="CódRastreio281"/>
    <n v="1"/>
    <s v="CPF 283"/>
    <s v="Nome 283"/>
    <s v="Tel 283"/>
    <s v="Cep 283"/>
    <s v="Rua 283"/>
    <s v="Comp 283"/>
    <x v="2"/>
    <s v="DJ-RO5O-43GF"/>
    <d v="2024-11-26T00:00:00"/>
    <n v="16.5"/>
    <n v="16.5"/>
    <n v="2.31"/>
    <n v="14.19"/>
    <n v="4.99"/>
    <n v="0.31"/>
    <n v="0.39877104377104378"/>
    <n v="0"/>
    <n v="8.4912289562289551"/>
    <n v="4.2456144781144776"/>
    <d v="2024-12-03T00:00:00"/>
    <d v="2024-12-03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2"/>
    <s v="Pedido 289"/>
    <d v="2024-11-06T00:00:00"/>
    <d v="2024-11-06T00:00:00"/>
    <s v="PedidoF282"/>
    <s v="CódRastreio282"/>
    <n v="1"/>
    <s v="CPF 284"/>
    <s v="Nome 284"/>
    <s v="Tel 284"/>
    <s v="Cep 284"/>
    <s v="Rua 284"/>
    <s v="Comp 284"/>
    <x v="11"/>
    <s v="ZO-J9IL-EN6L"/>
    <d v="2024-12-04T00:00:00"/>
    <n v="51.99"/>
    <n v="51.99"/>
    <n v="7.2786000000000008"/>
    <n v="44.71"/>
    <n v="7.29"/>
    <n v="0.31"/>
    <n v="0.39877104377104378"/>
    <n v="0"/>
    <n v="36.711228956228958"/>
    <n v="18.355614478114479"/>
    <d v="2024-12-11T00:00:00"/>
    <d v="2024-12-11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2"/>
    <s v="Pedido 290"/>
    <d v="2024-11-06T00:00:00"/>
    <d v="2024-11-06T00:00:00"/>
    <s v="PedidoF283"/>
    <s v="CódRastreio283"/>
    <n v="1"/>
    <s v="CPF 285"/>
    <s v="Nome 285"/>
    <s v="Tel 285"/>
    <s v="Cep 285"/>
    <s v="Rua 285"/>
    <s v="Comp 285"/>
    <x v="2"/>
    <s v="DJ-RO5O-43GF"/>
    <d v="2024-12-04T00:00:00"/>
    <n v="16.5"/>
    <n v="16.5"/>
    <n v="2.31"/>
    <n v="14.19"/>
    <n v="4.99"/>
    <n v="0.31"/>
    <n v="0.39877104377104378"/>
    <n v="0"/>
    <n v="8.4912289562289551"/>
    <n v="4.2456144781144776"/>
    <d v="2024-12-11T00:00:00"/>
    <d v="2024-12-11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2"/>
    <s v="Pedido 291"/>
    <d v="2024-11-06T00:00:00"/>
    <d v="2024-11-06T00:00:00"/>
    <s v="PedidoF284"/>
    <s v="CódRastreio284"/>
    <n v="1"/>
    <s v="CPF 286"/>
    <s v="Nome 286"/>
    <s v="Tel 286"/>
    <s v="Cep 286"/>
    <s v="Rua 286"/>
    <s v="Comp 286"/>
    <x v="2"/>
    <s v="DJ-RO5O-43GF"/>
    <d v="2024-11-28T00:00:00"/>
    <n v="16.5"/>
    <n v="16.5"/>
    <n v="2.31"/>
    <n v="14.19"/>
    <n v="4.99"/>
    <n v="0.31"/>
    <n v="0.39877104377104378"/>
    <n v="0"/>
    <n v="8.4912289562289551"/>
    <n v="4.2456144781144776"/>
    <d v="2024-12-05T00:00:00"/>
    <d v="2024-12-05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2"/>
    <s v="Pedido 292"/>
    <d v="2024-11-06T00:00:00"/>
    <d v="2024-11-06T00:00:00"/>
    <s v="PedidoF285"/>
    <s v="CódRastreio285"/>
    <n v="1"/>
    <s v="CPF 287"/>
    <s v="Nome 287"/>
    <s v="Tel 287"/>
    <s v="Cep 287"/>
    <s v="Rua 287"/>
    <s v="Comp 287"/>
    <x v="10"/>
    <s v="MU-J80P-95WF"/>
    <d v="2024-12-04T00:00:00"/>
    <n v="100"/>
    <n v="100"/>
    <n v="13"/>
    <n v="87"/>
    <n v="7.29"/>
    <n v="0.31"/>
    <n v="0.39877104377104378"/>
    <n v="0"/>
    <n v="79.001228956228957"/>
    <n v="39.500614478114478"/>
    <d v="2024-12-11T00:00:00"/>
    <d v="2024-12-11T00:00:00"/>
    <d v="2024-12-11T00:00:00"/>
    <d v="2024-12-16T00:00:00"/>
    <s v="2024 12"/>
    <s v="Aguardando Liberação"/>
    <s v="2024 11"/>
    <s v="ENTREGUE"/>
    <d v="2024-11-22T00:00:00"/>
    <s v="-"/>
    <s v="NÃO"/>
    <n v="0"/>
    <n v="0"/>
    <n v="0"/>
    <n v="0"/>
    <n v="0"/>
  </r>
  <r>
    <s v="BV"/>
    <s v="BV45602"/>
    <s v="Pedido 293"/>
    <d v="2024-11-06T00:00:00"/>
    <d v="2024-11-06T00:00:00"/>
    <s v="PedidoF286"/>
    <s v="CódRastreio286"/>
    <n v="1"/>
    <s v="CPF 288"/>
    <s v="Nome 288"/>
    <s v="Tel 288"/>
    <s v="Cep 288"/>
    <s v="Rua 288"/>
    <s v="Comp 288"/>
    <x v="10"/>
    <s v="MU-J80P-95WF"/>
    <d v="2024-11-28T00:00:00"/>
    <n v="100"/>
    <n v="100"/>
    <n v="13"/>
    <n v="87"/>
    <n v="7.29"/>
    <n v="0.31"/>
    <n v="0.39877104377104378"/>
    <n v="0"/>
    <n v="79.001228956228957"/>
    <n v="39.500614478114478"/>
    <d v="2024-12-05T00:00:00"/>
    <d v="2024-12-05T00:00:00"/>
    <d v="2024-12-11T00:00:00"/>
    <d v="2024-12-16T00:00:00"/>
    <s v="2024 12"/>
    <s v="Aguardando Liberação"/>
    <s v="2024 11"/>
    <s v="ENTREGUE"/>
    <d v="2024-11-14T00:00:00"/>
    <s v="-"/>
    <s v="-"/>
    <n v="0"/>
    <n v="0"/>
    <n v="0"/>
    <n v="0"/>
    <n v="0"/>
  </r>
  <r>
    <s v="BV"/>
    <s v="BV45603"/>
    <s v="Pedido 294"/>
    <d v="2024-11-07T00:00:00"/>
    <d v="2024-11-07T00:00:00"/>
    <s v="PedidoF287"/>
    <s v="CódRastreio287"/>
    <n v="1"/>
    <s v="CPF 289"/>
    <s v="Nome 289"/>
    <s v="Tel 289"/>
    <s v="Cep 289"/>
    <s v="Rua 289"/>
    <s v="Comp 289"/>
    <x v="1"/>
    <s v="CK-YL6M-P5Y6"/>
    <d v="2024-11-29T00:00:00"/>
    <n v="32.5"/>
    <n v="32.5"/>
    <n v="4.2250000000000005"/>
    <n v="28.28"/>
    <n v="0"/>
    <n v="0.23"/>
    <n v="0.39877104377104378"/>
    <n v="0"/>
    <n v="27.651228956228959"/>
    <n v="13.825614478114479"/>
    <d v="2024-12-06T00:00:00"/>
    <d v="2024-12-19T00:00:00"/>
    <d v="2024-12-11T00:00:00"/>
    <d v="2024-12-16T00:00:00"/>
    <s v="2024 12"/>
    <s v="Aguardando Liberação"/>
    <s v="2024 11"/>
    <s v="ENTREGUE"/>
    <d v="2024-12-11T00:00:00"/>
    <s v="-"/>
    <s v="NÃO"/>
    <n v="0"/>
    <n v="0"/>
    <n v="0"/>
    <n v="0"/>
    <n v="0"/>
  </r>
  <r>
    <s v="BV"/>
    <s v="BV45603"/>
    <s v="Pedido 295"/>
    <d v="2024-11-07T00:00:00"/>
    <d v="2024-11-07T00:00:00"/>
    <s v="PedidoF288"/>
    <s v="CódRastreio288"/>
    <n v="1"/>
    <s v="CPF 290"/>
    <s v="Nome 290"/>
    <s v="Tel 290"/>
    <s v="Cep 290"/>
    <s v="Rua 290"/>
    <s v="Comp 290"/>
    <x v="2"/>
    <s v="DJ-RO5O-43GF"/>
    <d v="2024-11-29T00:00:00"/>
    <n v="16.5"/>
    <n v="16.5"/>
    <n v="2.31"/>
    <n v="14.19"/>
    <n v="4.99"/>
    <n v="0.23"/>
    <n v="0.39877104377104378"/>
    <n v="0"/>
    <n v="8.5712289562289552"/>
    <n v="4.2856144781144776"/>
    <d v="2024-12-06T00:00:00"/>
    <d v="2024-12-06T00:00:00"/>
    <d v="2024-12-11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4"/>
    <s v="Pedido 296"/>
    <d v="2024-11-08T00:00:00"/>
    <d v="2024-11-08T00:00:00"/>
    <s v="PedidoF289"/>
    <s v="CódRastreio289"/>
    <n v="1"/>
    <s v="CPF 291"/>
    <s v="Nome 291"/>
    <s v="Tel 291"/>
    <s v="Cep 291"/>
    <s v="Rua 291"/>
    <s v="Comp 291"/>
    <x v="0"/>
    <s v="16-4EDB-WMZF"/>
    <d v="2024-12-05T00:00:00"/>
    <n v="14.8"/>
    <n v="14.8"/>
    <n v="2.2200000000000002"/>
    <n v="12.58"/>
    <n v="4.99"/>
    <n v="0.27"/>
    <n v="0.39877104377104378"/>
    <n v="0"/>
    <n v="6.9212289562289566"/>
    <n v="3.4606144781144783"/>
    <d v="2024-12-12T00:00:00"/>
    <d v="2024-12-12T00:00:00"/>
    <d v="2024-12-14T00:00:00"/>
    <d v="2024-12-16T00:00:00"/>
    <s v="2024 12"/>
    <s v="Aguardando Liberação"/>
    <s v="2024 11"/>
    <s v="ENTREGUE"/>
    <d v="2024-11-27T00:00:00"/>
    <s v="-"/>
    <s v="NÃO"/>
    <n v="0"/>
    <n v="0"/>
    <n v="0"/>
    <n v="0"/>
    <n v="0"/>
  </r>
  <r>
    <s v="BV"/>
    <s v="BV45603"/>
    <s v="Pedido 297"/>
    <d v="2024-11-07T00:00:00"/>
    <d v="2024-11-07T00:00:00"/>
    <s v="PedidoF290"/>
    <s v="CódRastreio290"/>
    <n v="1"/>
    <s v="CPF 292"/>
    <s v="Nome 292"/>
    <s v="Tel 292"/>
    <s v="Cep 292"/>
    <s v="Rua 292"/>
    <s v="Comp 292"/>
    <x v="0"/>
    <s v="16-4EDB-WMZF"/>
    <d v="2024-11-29T00:00:00"/>
    <n v="14.8"/>
    <n v="14.8"/>
    <n v="2.2200000000000002"/>
    <n v="12.58"/>
    <n v="0"/>
    <n v="0.23"/>
    <n v="0.39877104377104378"/>
    <n v="0"/>
    <n v="11.951228956228956"/>
    <n v="5.975614478114478"/>
    <d v="2024-12-06T00:00:00"/>
    <d v="2024-12-09T00:00:00"/>
    <d v="2024-12-11T00:00:00"/>
    <d v="2024-12-16T00:00:00"/>
    <s v="2024 12"/>
    <s v="Aguardando Liberação"/>
    <s v="2024 11"/>
    <s v="ENTREGUE"/>
    <d v="2024-11-29T00:00:00"/>
    <s v="-"/>
    <s v="NÃO"/>
    <n v="0"/>
    <n v="0"/>
    <n v="0"/>
    <n v="0"/>
    <n v="0"/>
  </r>
  <r>
    <s v="BV"/>
    <s v="BV45603"/>
    <s v="Pedido 298"/>
    <d v="2024-11-07T00:00:00"/>
    <d v="2024-11-07T00:00:00"/>
    <s v="PedidoF291"/>
    <s v="CódRastreio291"/>
    <n v="1"/>
    <s v="CPF 293"/>
    <s v="Nome 293"/>
    <s v="Tel 293"/>
    <s v="Cep 293"/>
    <s v="Rua 293"/>
    <s v="Comp 293"/>
    <x v="2"/>
    <s v="DJ-RO5O-43GF"/>
    <d v="2024-12-05T00:00:00"/>
    <n v="16.5"/>
    <n v="16.5"/>
    <n v="2.31"/>
    <n v="14.19"/>
    <n v="4.99"/>
    <n v="0.23"/>
    <n v="0.39877104377104378"/>
    <n v="0"/>
    <n v="8.5712289562289552"/>
    <n v="4.2856144781144776"/>
    <d v="2024-12-12T00:00:00"/>
    <d v="2024-12-12T00:00:00"/>
    <d v="2024-12-14T00:00:00"/>
    <d v="2024-12-16T00:00:00"/>
    <s v="2024 12"/>
    <s v="Aguardando Liberação"/>
    <s v="2024 11"/>
    <s v="ENTREGUE"/>
    <d v="2024-11-27T00:00:00"/>
    <s v="-"/>
    <s v="NÃO"/>
    <n v="0"/>
    <n v="0"/>
    <n v="0"/>
    <n v="0"/>
    <n v="0"/>
  </r>
  <r>
    <s v="BV"/>
    <s v="BV45605"/>
    <s v="Pedido 299"/>
    <d v="2024-11-09T00:00:00"/>
    <d v="2024-11-09T00:00:00"/>
    <s v="PedidoF292"/>
    <s v="CódRastreio292"/>
    <n v="1"/>
    <s v="CPF 293"/>
    <s v="Nome 293"/>
    <s v="Tel 293"/>
    <s v="Cep 293"/>
    <s v="Rua 293"/>
    <s v="Comp 293"/>
    <x v="2"/>
    <s v="DJ-RO5O-43GF"/>
    <d v="2024-12-05T00:00:00"/>
    <n v="16.5"/>
    <n v="16.5"/>
    <n v="2.31"/>
    <n v="14.19"/>
    <n v="6.57"/>
    <n v="0.2"/>
    <n v="0.39877104377104378"/>
    <n v="0"/>
    <n v="7.0212289562289554"/>
    <n v="3.5106144781144777"/>
    <d v="2024-12-12T00:00:00"/>
    <d v="2024-12-12T00:00:00"/>
    <d v="2024-12-14T00:00:00"/>
    <d v="2024-12-16T00:00:00"/>
    <s v="2024 12"/>
    <s v="Aguardando Liberação"/>
    <s v="2024 11"/>
    <s v="ENTREGUE"/>
    <d v="2024-11-27T00:00:00"/>
    <s v="-"/>
    <s v="NÃO"/>
    <n v="0"/>
    <n v="0"/>
    <n v="0"/>
    <n v="0"/>
    <n v="0"/>
  </r>
  <r>
    <s v="BV"/>
    <s v="BV45603"/>
    <s v="Pedido 300"/>
    <d v="2024-11-07T00:00:00"/>
    <d v="2024-11-07T00:00:00"/>
    <s v="PedidoF293"/>
    <s v="CódRastreio293"/>
    <n v="1"/>
    <s v="CPF 294"/>
    <s v="Nome 294"/>
    <s v="Tel 294"/>
    <s v="Cep 294"/>
    <s v="Rua 294"/>
    <s v="Comp 294"/>
    <x v="2"/>
    <s v="DJ-RO5O-43GF"/>
    <d v="2024-12-06T00:00:00"/>
    <n v="16.5"/>
    <n v="16.5"/>
    <n v="2.31"/>
    <n v="14.19"/>
    <n v="4.99"/>
    <n v="0.23"/>
    <n v="0.39877104377104378"/>
    <n v="0"/>
    <n v="8.5712289562289552"/>
    <n v="4.2856144781144776"/>
    <d v="2024-12-13T00:00:00"/>
    <d v="2024-12-13T00:00:00"/>
    <d v="2024-12-14T00:00:00"/>
    <d v="2024-12-16T00:00:00"/>
    <s v="2024 12"/>
    <s v="Aguardando Liberação"/>
    <s v="2024 11"/>
    <s v="ENTREGUE"/>
    <d v="2024-11-18T00:00:00"/>
    <s v="-"/>
    <s v="NÃO"/>
    <n v="0"/>
    <n v="0"/>
    <n v="0"/>
    <n v="0"/>
    <n v="0"/>
  </r>
  <r>
    <s v="BV"/>
    <s v="BV45603"/>
    <s v="Pedido 301"/>
    <d v="2024-11-07T00:00:00"/>
    <d v="2024-11-07T00:00:00"/>
    <s v="PedidoF294"/>
    <s v="CódRastreio294"/>
    <n v="1"/>
    <s v="CPF 295"/>
    <s v="Nome 295"/>
    <s v="Tel 295"/>
    <s v="Cep 295"/>
    <s v="Rua 295"/>
    <s v="Comp 295"/>
    <x v="11"/>
    <s v="ZO-J9IL-EN6L"/>
    <d v="2024-11-30T00:00:00"/>
    <n v="59.9"/>
    <n v="59.9"/>
    <n v="8.386000000000001"/>
    <n v="51.51"/>
    <n v="7.27"/>
    <n v="0.23"/>
    <n v="0.39877104377104378"/>
    <n v="0"/>
    <n v="43.611228956228956"/>
    <n v="21.805614478114478"/>
    <d v="2024-12-07T00:00:00"/>
    <d v="2024-12-07T00:00:00"/>
    <d v="2024-12-11T00:00:00"/>
    <d v="2024-12-16T00:00:00"/>
    <s v="2024 12"/>
    <s v="Aguardando Liberação"/>
    <s v="2024 11"/>
    <s v="ENTREGUE"/>
    <d v="2024-11-14T00:00:00"/>
    <s v="-"/>
    <s v="NÃO"/>
    <n v="0"/>
    <n v="0"/>
    <n v="0"/>
    <n v="0"/>
    <n v="0"/>
  </r>
  <r>
    <s v="BV"/>
    <s v="BV45603"/>
    <s v="Pedido 302"/>
    <d v="2024-11-07T00:00:00"/>
    <d v="2024-11-07T00:00:00"/>
    <s v="PedidoF295"/>
    <s v="CódRastreio295"/>
    <n v="1"/>
    <s v="CPF 296"/>
    <s v="Nome 296"/>
    <s v="Tel 296"/>
    <s v="Cep 296"/>
    <s v="Rua 296"/>
    <s v="Comp 296"/>
    <x v="0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d v="2024-12-13T00:00:00"/>
    <d v="2024-12-13T00:00:00"/>
    <d v="2024-12-14T00:00:00"/>
    <d v="2024-12-16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3"/>
    <s v="Pedido 303"/>
    <d v="2024-11-07T00:00:00"/>
    <d v="2024-11-07T00:00:00"/>
    <s v="PedidoF296"/>
    <s v="CódRastreio296"/>
    <n v="1"/>
    <s v="CPF 297"/>
    <s v="Nome 297"/>
    <s v="Tel 297"/>
    <s v="Cep 297"/>
    <s v="Rua 297"/>
    <s v="Comp 297"/>
    <x v="2"/>
    <s v="DJ-RO5O-43GF"/>
    <d v="2024-11-30T00:00:00"/>
    <n v="16.5"/>
    <n v="16.5"/>
    <n v="2.31"/>
    <n v="14.19"/>
    <n v="4.99"/>
    <n v="0.23"/>
    <n v="0.39877104377104378"/>
    <n v="0"/>
    <n v="8.5712289562289552"/>
    <n v="4.2856144781144776"/>
    <d v="2024-12-07T00:00:00"/>
    <d v="2024-12-07T00:00:00"/>
    <d v="2024-12-11T00:00:00"/>
    <d v="2024-12-16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3"/>
    <s v="Pedido 304"/>
    <d v="2024-11-07T00:00:00"/>
    <d v="2024-11-07T00:00:00"/>
    <s v="PedidoF297"/>
    <s v="CódRastreio297"/>
    <n v="1"/>
    <s v="CPF 298"/>
    <s v="Nome 298"/>
    <s v="Tel 298"/>
    <s v="Cep 298"/>
    <s v="Rua 298"/>
    <s v="Comp 298"/>
    <x v="0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d v="2024-12-13T00:00:00"/>
    <d v="2024-12-13T00:00:00"/>
    <d v="2024-12-14T00:00:00"/>
    <d v="2024-12-16T00:00:00"/>
    <s v="2024 12"/>
    <s v="Aguardando Liberação"/>
    <s v="2024 11"/>
    <s v="ENTREGUE"/>
    <d v="2024-11-15T00:00:00"/>
    <s v="-"/>
    <m/>
    <n v="0"/>
    <n v="0"/>
    <n v="0"/>
    <n v="0"/>
    <n v="0"/>
  </r>
  <r>
    <s v="BV"/>
    <s v="BV45603"/>
    <s v="Pedido 305"/>
    <d v="2024-11-07T00:00:00"/>
    <d v="2024-11-07T00:00:00"/>
    <s v="PedidoF298"/>
    <s v="CódRastreio298"/>
    <n v="1"/>
    <s v="CPF 299"/>
    <s v="Nome 299"/>
    <s v="Tel 299"/>
    <s v="Cep 299"/>
    <s v="Rua 299"/>
    <s v="Comp 299"/>
    <x v="0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d v="2024-12-13T00:00:00"/>
    <d v="2024-12-13T00:00:00"/>
    <d v="2024-12-14T00:00:00"/>
    <d v="2024-12-16T00:00:00"/>
    <s v="2024 12"/>
    <s v="Aguardando Liberação"/>
    <s v="2024 11"/>
    <s v="ENTREGUE"/>
    <d v="2024-11-15T00:00:00"/>
    <s v="-"/>
    <m/>
    <n v="0"/>
    <n v="0"/>
    <n v="0"/>
    <n v="0"/>
    <n v="0"/>
  </r>
  <r>
    <s v="BV"/>
    <s v="BV45603"/>
    <s v="Pedido 306"/>
    <d v="2024-11-07T00:00:00"/>
    <d v="2024-11-07T00:00:00"/>
    <s v="PedidoF299"/>
    <s v="CódRastreio299"/>
    <n v="1"/>
    <s v="CPF 300"/>
    <s v="Nome 300"/>
    <s v="Tel 300"/>
    <s v="Cep 300"/>
    <s v="Rua 300"/>
    <s v="Comp 300"/>
    <x v="0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d v="2024-12-13T00:00:00"/>
    <d v="2024-12-13T00:00:00"/>
    <d v="2024-12-14T00:00:00"/>
    <d v="2024-12-16T00:00:00"/>
    <s v="2024 12"/>
    <s v="Aguardando Liberação"/>
    <s v="2024 11"/>
    <s v="ENTREGUE"/>
    <d v="2024-11-18T00:00:00"/>
    <s v="-"/>
    <m/>
    <n v="0"/>
    <n v="0"/>
    <n v="0"/>
    <n v="0"/>
    <n v="0"/>
  </r>
  <r>
    <s v="BV"/>
    <s v="BV45603"/>
    <s v="Pedido 307"/>
    <d v="2024-11-07T00:00:00"/>
    <d v="2024-11-07T00:00:00"/>
    <s v="PedidoF300"/>
    <s v="CódRastreio300"/>
    <n v="1"/>
    <s v="CPF 301"/>
    <s v="Nome 301"/>
    <s v="Tel 301"/>
    <s v="Cep 301"/>
    <s v="Rua 301"/>
    <s v="Comp 301"/>
    <x v="0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d v="2024-12-13T00:00:00"/>
    <d v="2024-12-13T00:00:00"/>
    <d v="2024-12-14T00:00:00"/>
    <d v="2024-12-16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03"/>
    <s v="Pedido 308"/>
    <d v="2024-11-07T00:00:00"/>
    <d v="2024-11-07T00:00:00"/>
    <s v="PedidoF301"/>
    <s v="CódRastreio301"/>
    <n v="1"/>
    <s v="CPF 302"/>
    <s v="Nome 302"/>
    <s v="Tel 302"/>
    <s v="Cep 302"/>
    <s v="Rua 302"/>
    <s v="Comp 302"/>
    <x v="0"/>
    <s v="16-4EDB-WMZF"/>
    <d v="2024-11-30T00:00:00"/>
    <n v="14.8"/>
    <n v="14.8"/>
    <n v="2.2200000000000002"/>
    <n v="12.58"/>
    <n v="4.99"/>
    <n v="0.23"/>
    <n v="0.39877104377104378"/>
    <n v="0"/>
    <n v="6.9612289562289558"/>
    <n v="3.4806144781144779"/>
    <d v="2024-12-07T00:00:00"/>
    <d v="2024-12-07T00:00:00"/>
    <d v="2024-12-11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03"/>
    <s v="Pedido 309"/>
    <d v="2024-11-07T00:00:00"/>
    <d v="2024-11-07T00:00:00"/>
    <s v="PedidoF302"/>
    <s v="CódRastreio302"/>
    <n v="1"/>
    <s v="CPF 303"/>
    <s v="Nome 303"/>
    <s v="Tel 303"/>
    <s v="Cep 303"/>
    <s v="Rua 303"/>
    <s v="Comp 303"/>
    <x v="2"/>
    <s v="DJ-RO5O-43GF"/>
    <d v="2024-12-06T00:00:00"/>
    <n v="16.5"/>
    <n v="16.5"/>
    <n v="2.31"/>
    <n v="14.19"/>
    <n v="4.99"/>
    <n v="0.23"/>
    <n v="0.39877104377104378"/>
    <n v="0"/>
    <n v="8.5712289562289552"/>
    <n v="4.2856144781144776"/>
    <d v="2024-12-13T00:00:00"/>
    <d v="2024-12-13T00:00:00"/>
    <d v="2024-12-14T00:00:00"/>
    <d v="2024-12-16T00:00:00"/>
    <s v="2024 12"/>
    <s v="Aguardando Liberação"/>
    <s v="2024 11"/>
    <s v="ENTREGUE"/>
    <d v="2024-11-16T00:00:00"/>
    <s v="-"/>
    <m/>
    <n v="0"/>
    <n v="0"/>
    <n v="0"/>
    <n v="0"/>
    <n v="0"/>
  </r>
  <r>
    <s v="BV"/>
    <s v="BV45604"/>
    <s v="Pedido 310"/>
    <d v="2024-11-08T00:00:00"/>
    <d v="2024-11-08T00:00:00"/>
    <s v="PedidoF303"/>
    <s v="CódRastreio303"/>
    <n v="1"/>
    <s v="CPF 304"/>
    <s v="Nome 304"/>
    <s v="Tel 304"/>
    <s v="Cep 304"/>
    <s v="Rua 304"/>
    <s v="Comp 304"/>
    <x v="0"/>
    <s v="16-4EDB-WMZF"/>
    <d v="2024-12-06T00:00:00"/>
    <n v="14.8"/>
    <n v="14.8"/>
    <n v="2.2200000000000002"/>
    <n v="12.58"/>
    <n v="4.99"/>
    <n v="0.27"/>
    <n v="0.39877104377104378"/>
    <n v="0"/>
    <n v="6.9212289562289566"/>
    <n v="3.4606144781144783"/>
    <d v="2024-12-13T00:00:00"/>
    <d v="2024-12-13T00:00:00"/>
    <d v="2024-12-14T00:00:00"/>
    <d v="2024-12-16T00:00:00"/>
    <s v="2024 12"/>
    <s v="Aguardando Liberação"/>
    <s v="2024 11"/>
    <s v="ENTREGUE"/>
    <d v="2024-11-30T00:00:00"/>
    <s v="-"/>
    <m/>
    <n v="0"/>
    <n v="0"/>
    <n v="0"/>
    <n v="0"/>
    <n v="0"/>
  </r>
  <r>
    <s v="BV"/>
    <s v="BV45604"/>
    <s v="Pedido 311"/>
    <d v="2024-11-08T00:00:00"/>
    <d v="2024-11-08T00:00:00"/>
    <s v="PedidoF304"/>
    <s v="CódRastreio304"/>
    <n v="1"/>
    <s v="CPF 305"/>
    <s v="Nome 305"/>
    <s v="Tel 305"/>
    <s v="Cep 305"/>
    <s v="Rua 305"/>
    <s v="Comp 305"/>
    <x v="2"/>
    <s v="DJ-RO5O-43GF"/>
    <d v="2024-11-28T00:00:00"/>
    <n v="16.5"/>
    <n v="16.5"/>
    <n v="2.31"/>
    <n v="14.19"/>
    <n v="6.57"/>
    <n v="0.27"/>
    <n v="0.39877104377104378"/>
    <n v="0"/>
    <n v="6.951228956228956"/>
    <n v="3.475614478114478"/>
    <d v="2024-12-05T00:00:00"/>
    <d v="2024-12-05T00:00:00"/>
    <d v="2024-12-11T00:00:00"/>
    <d v="2024-12-16T00:00:00"/>
    <s v="2024 12"/>
    <s v="Aguardando Liberação"/>
    <s v="2024 11"/>
    <s v="ENTREGUE"/>
    <d v="2024-11-16T00:00:00"/>
    <s v="-"/>
    <m/>
    <n v="0"/>
    <n v="0"/>
    <n v="0"/>
    <n v="0"/>
    <n v="0"/>
  </r>
  <r>
    <s v="BV"/>
    <s v="BV45604"/>
    <s v="Pedido 312"/>
    <d v="2024-11-08T00:00:00"/>
    <d v="2024-11-08T00:00:00"/>
    <s v="PedidoF305"/>
    <s v="CódRastreio305"/>
    <n v="1"/>
    <s v="CPF 306"/>
    <s v="Nome 306"/>
    <s v="Tel 306"/>
    <s v="Cep 306"/>
    <s v="Rua 306"/>
    <s v="Comp 306"/>
    <x v="2"/>
    <s v="DJ-RO5O-43GF"/>
    <d v="2024-12-06T00:00:00"/>
    <n v="16.5"/>
    <n v="16.5"/>
    <n v="2.31"/>
    <n v="14.19"/>
    <n v="6.57"/>
    <n v="0.27"/>
    <n v="0.39877104377104378"/>
    <n v="0"/>
    <n v="6.951228956228956"/>
    <n v="3.475614478114478"/>
    <d v="2024-12-13T00:00:00"/>
    <d v="2024-12-13T00:00:00"/>
    <d v="2024-12-14T00:00:00"/>
    <d v="2024-12-16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4"/>
    <s v="Pedido 313"/>
    <d v="2024-11-08T00:00:00"/>
    <d v="2024-11-08T00:00:00"/>
    <s v="PedidoF306"/>
    <s v="CódRastreio306"/>
    <n v="1"/>
    <s v="CPF 307"/>
    <s v="Nome 307"/>
    <s v="Tel 307"/>
    <s v="Cep 307"/>
    <s v="Rua 307"/>
    <s v="Comp 307"/>
    <x v="0"/>
    <s v="16-4EDB-WMZF"/>
    <d v="2024-12-06T00:00:00"/>
    <n v="14.8"/>
    <n v="14.8"/>
    <n v="2.2200000000000002"/>
    <n v="12.58"/>
    <n v="4.99"/>
    <n v="0.27"/>
    <n v="0.39877104377104378"/>
    <n v="0"/>
    <n v="6.9212289562289566"/>
    <n v="3.4606144781144783"/>
    <d v="2024-12-13T00:00:00"/>
    <d v="2024-12-13T00:00:00"/>
    <d v="2024-12-14T00:00:00"/>
    <d v="2024-12-16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4"/>
    <s v="Pedido 314"/>
    <d v="2024-11-08T00:00:00"/>
    <d v="2024-11-08T00:00:00"/>
    <s v="PedidoF307"/>
    <s v="CódRastreio307"/>
    <n v="1"/>
    <s v="CPF 308"/>
    <s v="Nome 308"/>
    <s v="Tel 308"/>
    <s v="Cep 308"/>
    <s v="Rua 308"/>
    <s v="Comp 308"/>
    <x v="2"/>
    <s v="DJ-RO5O-43GF"/>
    <d v="2024-12-06T00:00:00"/>
    <n v="16.5"/>
    <n v="16.5"/>
    <n v="2.31"/>
    <n v="14.19"/>
    <n v="6.57"/>
    <n v="0.27"/>
    <n v="0.39877104377104378"/>
    <n v="0"/>
    <n v="6.951228956228956"/>
    <n v="3.475614478114478"/>
    <d v="2024-12-13T00:00:00"/>
    <d v="2024-12-13T00:00:00"/>
    <d v="2024-12-14T00:00:00"/>
    <d v="2024-12-16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4"/>
    <s v="Pedido 315"/>
    <d v="2024-11-08T00:00:00"/>
    <d v="2024-11-08T00:00:00"/>
    <s v="PedidoF308"/>
    <s v="CódRastreio308"/>
    <n v="1"/>
    <s v="CPF 309"/>
    <s v="Nome 309"/>
    <s v="Tel 309"/>
    <s v="Cep 309"/>
    <s v="Rua 309"/>
    <s v="Comp 309"/>
    <x v="2"/>
    <s v="DJ-RO5O-43GF"/>
    <d v="2024-11-26T00:00:00"/>
    <n v="16.5"/>
    <n v="16.5"/>
    <n v="2.31"/>
    <n v="14.19"/>
    <n v="6.57"/>
    <n v="0.27"/>
    <n v="0.39877104377104378"/>
    <n v="0"/>
    <n v="6.951228956228956"/>
    <n v="3.475614478114478"/>
    <d v="2024-12-03T00:00:00"/>
    <d v="2024-12-03T00:00:00"/>
    <d v="2024-12-11T00:00:00"/>
    <d v="2024-12-16T00:00:00"/>
    <s v="2024 12"/>
    <s v="Aguardando Liberação"/>
    <s v="2024 11"/>
    <s v="ENTREGUE"/>
    <d v="2024-11-14T00:00:00"/>
    <s v="-"/>
    <m/>
    <n v="0"/>
    <n v="0"/>
    <n v="0"/>
    <n v="0"/>
    <n v="0"/>
  </r>
  <r>
    <s v="BV"/>
    <s v="BV45604"/>
    <s v="Pedido 316"/>
    <d v="2024-11-08T00:00:00"/>
    <d v="2024-11-08T00:00:00"/>
    <s v="PedidoF309"/>
    <s v="CódRastreio309"/>
    <n v="1"/>
    <s v="CPF 310"/>
    <s v="Nome 310"/>
    <s v="Tel 310"/>
    <s v="Cep 310"/>
    <s v="Rua 310"/>
    <s v="Comp 310"/>
    <x v="2"/>
    <s v="DJ-RO5O-43GF"/>
    <d v="2024-12-06T00:00:00"/>
    <n v="16.5"/>
    <n v="16.5"/>
    <n v="2.31"/>
    <n v="14.19"/>
    <n v="6.57"/>
    <n v="0.27"/>
    <n v="0.39877104377104378"/>
    <n v="0"/>
    <n v="6.951228956228956"/>
    <n v="3.475614478114478"/>
    <d v="2024-12-13T00:00:00"/>
    <d v="2024-12-13T00:00:00"/>
    <d v="2024-12-14T00:00:00"/>
    <d v="2024-12-16T00:00:00"/>
    <s v="2024 12"/>
    <s v="Aguardando Liberação"/>
    <s v="2024 11"/>
    <s v="ENTREGUE"/>
    <d v="2024-11-14T00:00:00"/>
    <s v="-"/>
    <m/>
    <n v="0"/>
    <n v="0"/>
    <n v="0"/>
    <n v="0"/>
    <n v="0"/>
  </r>
  <r>
    <s v="BV"/>
    <s v="BV45604"/>
    <s v="Pedido 317"/>
    <d v="2024-11-08T00:00:00"/>
    <d v="2024-11-08T00:00:00"/>
    <s v="PedidoF310"/>
    <s v="CódRastreio310"/>
    <n v="1"/>
    <s v="CPF 311"/>
    <s v="Nome 311"/>
    <s v="Tel 311"/>
    <s v="Cep 311"/>
    <s v="Rua 311"/>
    <s v="Comp 311"/>
    <x v="2"/>
    <s v="DJ-RO5O-43GF"/>
    <d v="2024-11-28T00:00:00"/>
    <n v="16.5"/>
    <n v="16.5"/>
    <n v="2.31"/>
    <n v="14.19"/>
    <n v="6.57"/>
    <n v="0.27"/>
    <n v="0.39877104377104378"/>
    <n v="0"/>
    <n v="6.951228956228956"/>
    <n v="3.475614478114478"/>
    <d v="2024-12-05T00:00:00"/>
    <d v="2024-12-05T00:00:00"/>
    <d v="2024-12-11T00:00:00"/>
    <d v="2024-12-16T00:00:00"/>
    <s v="2024 12"/>
    <s v="Aguardando Liberação"/>
    <s v="2024 11"/>
    <s v="ENTREGUE"/>
    <d v="2024-11-14T00:00:00"/>
    <s v="-"/>
    <m/>
    <n v="0"/>
    <n v="0"/>
    <n v="0"/>
    <n v="0"/>
    <n v="0"/>
  </r>
  <r>
    <s v="BV"/>
    <s v="BV45604"/>
    <s v="Pedido 318"/>
    <d v="2024-11-08T00:00:00"/>
    <d v="2024-11-08T00:00:00"/>
    <s v="PedidoF311"/>
    <s v="CódRastreio311"/>
    <n v="1"/>
    <s v="CPF 312"/>
    <s v="Nome 312"/>
    <s v="Tel 312"/>
    <s v="Cep 312"/>
    <s v="Rua 312"/>
    <s v="Comp 312"/>
    <x v="0"/>
    <s v="16-4EDB-WMZF"/>
    <d v="2024-12-03T00:00:00"/>
    <n v="14.8"/>
    <n v="14.8"/>
    <n v="2.2200000000000002"/>
    <n v="12.58"/>
    <n v="4.99"/>
    <n v="0.27"/>
    <n v="0.39877104377104378"/>
    <n v="0"/>
    <n v="6.9212289562289566"/>
    <n v="3.4606144781144783"/>
    <d v="2024-12-10T00:00:00"/>
    <d v="2024-12-10T00:00:00"/>
    <d v="2024-12-11T00:00:00"/>
    <d v="2024-12-16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4"/>
    <s v="Pedido 319"/>
    <d v="2024-11-08T00:00:00"/>
    <d v="2024-11-08T00:00:00"/>
    <s v="PedidoF312"/>
    <s v="CódRastreio312"/>
    <n v="1"/>
    <s v="CPF 313"/>
    <s v="Nome 313"/>
    <s v="Tel 313"/>
    <s v="Cep 313"/>
    <s v="Rua 313"/>
    <s v="Comp 313"/>
    <x v="0"/>
    <s v="16-4EDB-WMZF"/>
    <d v="2024-11-27T00:00:00"/>
    <n v="19.3"/>
    <n v="19.3"/>
    <n v="2.895"/>
    <n v="16.41"/>
    <n v="4.99"/>
    <n v="0.27"/>
    <n v="0.39877104377104378"/>
    <n v="0"/>
    <n v="10.751228956228957"/>
    <n v="5.3756144781144783"/>
    <d v="2024-12-04T00:00:00"/>
    <d v="2024-12-04T00:00:00"/>
    <d v="2024-12-11T00:00:00"/>
    <d v="2024-12-16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04"/>
    <s v="Pedido 320"/>
    <d v="2024-11-08T00:00:00"/>
    <d v="2024-11-08T00:00:00"/>
    <s v="PedidoF313"/>
    <s v="CódRastreio313"/>
    <n v="1"/>
    <s v="CPF 314"/>
    <s v="Nome 314"/>
    <s v="Tel 314"/>
    <s v="Cep 314"/>
    <s v="Rua 314"/>
    <s v="Comp 314"/>
    <x v="1"/>
    <s v="CK-YL6M-P5Y6"/>
    <d v="2024-12-03T00:00:00"/>
    <n v="32.299999999999997"/>
    <n v="32.299999999999997"/>
    <n v="4.1989999999999998"/>
    <n v="28.1"/>
    <n v="11.99"/>
    <n v="0.27"/>
    <n v="0.39877104377104378"/>
    <n v="0"/>
    <n v="15.441228956228958"/>
    <n v="7.720614478114479"/>
    <d v="2024-12-10T00:00:00"/>
    <d v="2024-12-10T00:00:00"/>
    <d v="2024-12-11T00:00:00"/>
    <d v="2024-12-16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4"/>
    <s v="Pedido 321"/>
    <d v="2024-11-08T00:00:00"/>
    <d v="2024-11-08T00:00:00"/>
    <s v="PedidoF314"/>
    <s v="CódRastreio314"/>
    <n v="1"/>
    <s v="CPF 315"/>
    <s v="Nome 315"/>
    <s v="Tel 315"/>
    <s v="Cep 315"/>
    <s v="Rua 315"/>
    <s v="Comp 315"/>
    <x v="11"/>
    <s v="ZO-J9IL-EN6L"/>
    <d v="2024-12-07T00:00:00"/>
    <n v="49.99"/>
    <n v="49.99"/>
    <n v="6.9986000000000006"/>
    <n v="42.99"/>
    <n v="0"/>
    <n v="0.27"/>
    <n v="0.39877104377104378"/>
    <n v="0"/>
    <n v="42.321228956228957"/>
    <n v="21.160614478114478"/>
    <d v="2024-12-14T00:00:00"/>
    <d v="2024-12-19T00:00:00"/>
    <d v="2024-12-14T00:00:00"/>
    <d v="2024-12-16T00:00:00"/>
    <s v="2024 12"/>
    <s v="Aguardando Liberação"/>
    <s v="2024 11"/>
    <s v="ENTREGUE"/>
    <d v="2024-11-24T00:00:00"/>
    <s v="-"/>
    <m/>
    <n v="0"/>
    <n v="0"/>
    <n v="0"/>
    <n v="0"/>
    <n v="0"/>
  </r>
  <r>
    <s v="BV"/>
    <s v="BV45604"/>
    <s v="Pedido 322"/>
    <d v="2024-11-08T00:00:00"/>
    <d v="2024-11-08T00:00:00"/>
    <s v="PedidoF315"/>
    <s v="CódRastreio315"/>
    <n v="1"/>
    <s v="CPF 316"/>
    <s v="Nome 316"/>
    <s v="Tel 316"/>
    <s v="Cep 316"/>
    <s v="Rua 316"/>
    <s v="Comp 316"/>
    <x v="11"/>
    <s v="ZO-J9IL-EN6L"/>
    <d v="2024-12-03T00:00:00"/>
    <n v="49.99"/>
    <n v="49.99"/>
    <n v="6.9986000000000006"/>
    <n v="42.99"/>
    <n v="7.27"/>
    <n v="0.27"/>
    <n v="0.39877104377104378"/>
    <n v="0"/>
    <n v="35.051228956228961"/>
    <n v="17.52561447811448"/>
    <d v="2024-12-10T00:00:00"/>
    <d v="2024-12-10T00:00:00"/>
    <d v="2024-12-11T00:00:00"/>
    <d v="2024-12-16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4"/>
    <s v="Pedido 323"/>
    <d v="2024-11-08T00:00:00"/>
    <d v="2024-11-08T00:00:00"/>
    <s v="PedidoF316"/>
    <s v="CódRastreio316"/>
    <n v="1"/>
    <s v="CPF 317"/>
    <s v="Nome 317"/>
    <s v="Tel 317"/>
    <s v="Cep 317"/>
    <s v="Rua 317"/>
    <s v="Comp 317"/>
    <x v="1"/>
    <s v="CK-YL6M-P5Y6"/>
    <d v="2024-12-03T00:00:00"/>
    <n v="32.299999999999997"/>
    <n v="32.299999999999997"/>
    <n v="4.1989999999999998"/>
    <n v="28.1"/>
    <n v="11.99"/>
    <n v="0.27"/>
    <n v="0.39877104377104378"/>
    <n v="0"/>
    <n v="15.441228956228958"/>
    <n v="7.720614478114479"/>
    <d v="2024-12-10T00:00:00"/>
    <d v="2024-12-10T00:00:00"/>
    <d v="2024-12-11T00:00:00"/>
    <d v="2024-12-16T00:00:00"/>
    <s v="2024 12"/>
    <s v="Aguardando Liberação"/>
    <s v="2024 11"/>
    <s v="ENTREGUE"/>
    <d v="2024-11-15T00:00:00"/>
    <s v="-"/>
    <m/>
    <n v="0"/>
    <n v="0"/>
    <n v="0"/>
    <n v="0"/>
    <n v="0"/>
  </r>
  <r>
    <s v="BV"/>
    <s v="BV45604"/>
    <s v="Pedido 324"/>
    <d v="2024-11-08T00:00:00"/>
    <d v="2024-11-08T00:00:00"/>
    <s v="PedidoF317"/>
    <s v="CódRastreio317"/>
    <n v="1"/>
    <s v="CPF 318"/>
    <s v="Nome 318"/>
    <s v="Tel 318"/>
    <s v="Cep 318"/>
    <s v="Rua 318"/>
    <s v="Comp 318"/>
    <x v="11"/>
    <s v="ZO-J9IL-EN6L"/>
    <d v="2024-12-14T00:00:00"/>
    <n v="49.99"/>
    <n v="49.99"/>
    <n v="6.9986000000000006"/>
    <n v="42.99"/>
    <n v="7.27"/>
    <n v="0.27"/>
    <n v="0.39877104377104378"/>
    <n v="0"/>
    <n v="35.051228956228961"/>
    <n v="17.52561447811448"/>
    <d v="2024-12-21T00:00:00"/>
    <d v="2024-12-21T00:00:00"/>
    <d v="2024-12-25T00:00:00"/>
    <d v="2025-01-02T00:00:00"/>
    <s v="2024 12"/>
    <s v="Aguardando Liberação"/>
    <s v="2024 11"/>
    <s v="ENTREGUE"/>
    <d v="2024-12-10T00:00:00"/>
    <s v="-"/>
    <m/>
    <n v="0"/>
    <n v="0"/>
    <n v="0"/>
    <n v="0"/>
    <n v="0"/>
  </r>
  <r>
    <s v="BV"/>
    <s v="BV45604"/>
    <s v="Pedido 325"/>
    <d v="2024-11-08T00:00:00"/>
    <d v="2024-11-08T00:00:00"/>
    <s v="PedidoF318"/>
    <s v="CódRastreio318"/>
    <n v="1"/>
    <s v="CPF 319"/>
    <s v="Nome 319"/>
    <s v="Tel 319"/>
    <s v="Cep 319"/>
    <s v="Rua 319"/>
    <s v="Comp 319"/>
    <x v="2"/>
    <s v="DJ-RO5O-43GF"/>
    <d v="2024-11-27T00:00:00"/>
    <n v="18.5"/>
    <n v="18.5"/>
    <n v="2.5900000000000003"/>
    <n v="15.91"/>
    <n v="6.57"/>
    <n v="0.27"/>
    <n v="0.39877104377104378"/>
    <n v="0"/>
    <n v="8.6712289562289566"/>
    <n v="4.3356144781144783"/>
    <d v="2024-12-04T00:00:00"/>
    <d v="2024-12-04T00:00:00"/>
    <d v="2024-12-11T00:00:00"/>
    <d v="2024-12-16T00:00:00"/>
    <s v="2024 12"/>
    <s v="Aguardando Liberação"/>
    <s v="2024 11"/>
    <s v="ENTREGUE"/>
    <d v="2024-11-13T00:00:00"/>
    <s v="-"/>
    <m/>
    <n v="0"/>
    <n v="0"/>
    <n v="0"/>
    <n v="0"/>
    <n v="0"/>
  </r>
  <r>
    <s v="BV"/>
    <s v="BV45604"/>
    <s v="Pedido 326"/>
    <d v="2024-11-08T00:00:00"/>
    <d v="2024-11-08T00:00:00"/>
    <s v="PedidoF319"/>
    <s v="CódRastreio319"/>
    <n v="1"/>
    <s v="CPF 320"/>
    <s v="Nome 320"/>
    <s v="Tel 320"/>
    <s v="Cep 320"/>
    <s v="Rua 320"/>
    <s v="Comp 320"/>
    <x v="4"/>
    <s v="9G-BN48-QAPH"/>
    <d v="2024-11-29T00:00:00"/>
    <n v="19.3"/>
    <n v="19.3"/>
    <n v="2.895"/>
    <n v="16.41"/>
    <n v="4.99"/>
    <n v="0.27"/>
    <n v="0.39877104377104378"/>
    <n v="0"/>
    <n v="10.751228956228957"/>
    <n v="5.3756144781144783"/>
    <d v="2024-12-06T00:00:00"/>
    <d v="2024-12-06T00:00:00"/>
    <d v="2024-12-11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04"/>
    <s v="Pedido 327"/>
    <d v="2024-11-08T00:00:00"/>
    <d v="2024-11-08T00:00:00"/>
    <s v="PedidoF320"/>
    <s v="CódRastreio320"/>
    <n v="1"/>
    <s v="CPF 321"/>
    <s v="Nome 321"/>
    <s v="Tel 321"/>
    <s v="Cep 321"/>
    <s v="Rua 321"/>
    <s v="Comp 321"/>
    <x v="11"/>
    <s v="ZO-J9IL-EN6L"/>
    <d v="2024-12-07T00:00:00"/>
    <n v="49.99"/>
    <n v="49.99"/>
    <n v="6.9986000000000006"/>
    <n v="42.99"/>
    <n v="7.27"/>
    <n v="0.27"/>
    <n v="0.39877104377104378"/>
    <n v="0"/>
    <n v="35.051228956228961"/>
    <n v="17.52561447811448"/>
    <d v="2024-12-14T00:00:00"/>
    <d v="2024-12-14T00:00:00"/>
    <d v="2024-12-14T00:00:00"/>
    <d v="2024-12-16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4"/>
    <s v="Pedido 328"/>
    <d v="2024-11-08T00:00:00"/>
    <d v="2024-11-08T00:00:00"/>
    <s v="PedidoF321"/>
    <s v="CódRastreio321"/>
    <n v="1"/>
    <s v="CPF 322"/>
    <s v="Nome 322"/>
    <s v="Tel 322"/>
    <s v="Cep 322"/>
    <s v="Rua 322"/>
    <s v="Comp 322"/>
    <x v="11"/>
    <s v="ZO-J9IL-EN6L"/>
    <d v="2024-12-14T00:00:00"/>
    <n v="49.99"/>
    <n v="49.99"/>
    <n v="6.9986000000000006"/>
    <n v="42.99"/>
    <n v="7.27"/>
    <n v="0.27"/>
    <n v="0.39877104377104378"/>
    <n v="0"/>
    <n v="35.051228956228961"/>
    <n v="17.52561447811448"/>
    <d v="2024-12-21T00:00:00"/>
    <d v="2024-12-21T00:00:00"/>
    <d v="2024-12-25T00:00:00"/>
    <d v="2025-01-02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04"/>
    <s v="Pedido 329"/>
    <d v="2024-11-08T00:00:00"/>
    <d v="2024-11-08T00:00:00"/>
    <s v="PedidoF322"/>
    <s v="CódRastreio322"/>
    <n v="1"/>
    <s v="CPF 323"/>
    <s v="Nome 323"/>
    <s v="Tel 323"/>
    <s v="Cep 323"/>
    <s v="Rua 323"/>
    <s v="Comp 323"/>
    <x v="11"/>
    <s v="ZO-J9IL-EN6L"/>
    <d v="2024-12-03T00:00:00"/>
    <n v="49.99"/>
    <n v="49.99"/>
    <n v="6.9986000000000006"/>
    <n v="42.99"/>
    <n v="7.27"/>
    <n v="0.27"/>
    <n v="0.39877104377104378"/>
    <n v="0"/>
    <n v="35.051228956228961"/>
    <n v="17.52561447811448"/>
    <d v="2024-12-10T00:00:00"/>
    <d v="2024-12-10T00:00:00"/>
    <d v="2024-12-11T00:00:00"/>
    <d v="2024-12-16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08"/>
    <s v="Pedido 330"/>
    <d v="2024-11-12T00:00:00"/>
    <d v="2024-11-12T00:00:00"/>
    <s v="PedidoF323"/>
    <s v="CódRastreio323"/>
    <n v="1"/>
    <s v="CPF 324"/>
    <s v="Nome 324"/>
    <s v="Tel 324"/>
    <s v="Cep 324"/>
    <s v="Rua 324"/>
    <s v="Comp 324"/>
    <x v="11"/>
    <s v="ZO-J9IL-EN6L"/>
    <d v="2024-12-05T00:00:00"/>
    <n v="29.76"/>
    <n v="29.76"/>
    <n v="4.1664000000000003"/>
    <n v="25.59"/>
    <n v="7.29"/>
    <n v="0.2"/>
    <n v="0.39877104377104378"/>
    <n v="0"/>
    <n v="17.701228956228956"/>
    <n v="8.850614478114478"/>
    <d v="2024-12-12T00:00:00"/>
    <d v="2024-12-12T00:00:00"/>
    <d v="2024-12-14T00:00:00"/>
    <d v="2024-12-16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08"/>
    <s v="Pedido 330"/>
    <d v="2024-11-12T00:00:00"/>
    <d v="2024-11-12T00:00:00"/>
    <s v="PedidoF323"/>
    <s v="CódRastreio323"/>
    <n v="1"/>
    <s v="CPF 324"/>
    <s v="Nome 324"/>
    <s v="Tel 324"/>
    <s v="Cep 324"/>
    <s v="Rua 324"/>
    <s v="Comp 324"/>
    <x v="11"/>
    <s v="ZO-J9IL-EN6L"/>
    <d v="2024-12-05T00:00:00"/>
    <n v="29.75"/>
    <n v="29.75"/>
    <n v="4.165"/>
    <n v="25.59"/>
    <n v="0"/>
    <n v="0.2"/>
    <n v="0.39877104377104378"/>
    <n v="0"/>
    <n v="24.991228956228955"/>
    <n v="12.495614478114478"/>
    <d v="2024-12-12T00:00:00"/>
    <d v="2024-12-12T00:00:00"/>
    <d v="2024-12-14T00:00:00"/>
    <d v="2024-12-16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05"/>
    <s v="Pedido 331"/>
    <d v="2024-11-09T00:00:00"/>
    <d v="2024-11-09T00:00:00"/>
    <s v="PedidoF324"/>
    <s v="CódRastreio324"/>
    <n v="1"/>
    <s v="CPF 325"/>
    <s v="Nome 325"/>
    <s v="Tel 325"/>
    <s v="Cep 325"/>
    <s v="Rua 325"/>
    <s v="Comp 325"/>
    <x v="11"/>
    <s v="ZO-J9IL-EN6L"/>
    <d v="2024-12-03T00:00:00"/>
    <n v="59.5"/>
    <n v="59.5"/>
    <n v="8.33"/>
    <n v="51.17"/>
    <n v="7.27"/>
    <n v="0.2"/>
    <n v="0.39877104377104378"/>
    <n v="0"/>
    <n v="43.301228956228961"/>
    <n v="21.65061447811448"/>
    <d v="2024-12-10T00:00:00"/>
    <d v="2024-12-10T00:00:00"/>
    <d v="2024-12-11T00:00:00"/>
    <d v="2024-12-16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05"/>
    <s v="Pedido 332"/>
    <d v="2024-11-09T00:00:00"/>
    <d v="2024-11-09T00:00:00"/>
    <s v="PedidoF325"/>
    <s v="CódRastreio325"/>
    <n v="1"/>
    <s v="CPF 326"/>
    <s v="Nome 326"/>
    <s v="Tel 326"/>
    <s v="Cep 326"/>
    <s v="Rua 326"/>
    <s v="Comp 326"/>
    <x v="1"/>
    <s v="CK-YL6M-P5Y6"/>
    <d v="2024-12-03T00:00:00"/>
    <n v="32.299999999999997"/>
    <n v="32.299999999999997"/>
    <n v="4.1989999999999998"/>
    <n v="28.1"/>
    <n v="11.99"/>
    <n v="0.2"/>
    <n v="0.39877104377104378"/>
    <n v="0"/>
    <n v="15.511228956228958"/>
    <n v="7.7556144781144791"/>
    <d v="2024-12-10T00:00:00"/>
    <d v="2024-12-10T00:00:00"/>
    <d v="2024-12-11T00:00:00"/>
    <d v="2024-12-16T00:00:00"/>
    <s v="2024 12"/>
    <s v="Aguardando Liberação"/>
    <s v="2024 11"/>
    <s v="ENTREGUE"/>
    <d v="2024-11-16T00:00:00"/>
    <s v="-"/>
    <m/>
    <n v="0"/>
    <n v="0"/>
    <n v="0"/>
    <n v="0"/>
    <n v="0"/>
  </r>
  <r>
    <s v="BV"/>
    <s v="BV45605"/>
    <s v="Pedido 333"/>
    <d v="2024-11-09T00:00:00"/>
    <d v="2024-11-09T00:00:00"/>
    <s v="PedidoF326"/>
    <s v="CódRastreio326"/>
    <n v="1"/>
    <s v="CPF 327"/>
    <s v="Nome 327"/>
    <s v="Tel 327"/>
    <s v="Cep 327"/>
    <s v="Rua 327"/>
    <s v="Comp 327"/>
    <x v="11"/>
    <s v="ZO-J9IL-EN6L"/>
    <d v="2024-12-03T00:00:00"/>
    <n v="59.5"/>
    <n v="59.5"/>
    <n v="8.33"/>
    <n v="51.17"/>
    <n v="7.27"/>
    <n v="0.2"/>
    <n v="0.39877104377104378"/>
    <n v="0"/>
    <n v="43.301228956228961"/>
    <n v="21.65061447811448"/>
    <d v="2024-12-10T00:00:00"/>
    <d v="2024-12-10T00:00:00"/>
    <d v="2024-12-11T00:00:00"/>
    <d v="2024-12-16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5"/>
    <s v="Pedido 334"/>
    <d v="2024-11-09T00:00:00"/>
    <d v="2024-11-09T00:00:00"/>
    <s v="PedidoF327"/>
    <s v="CódRastreio327"/>
    <n v="1"/>
    <s v="CPF 328"/>
    <s v="Nome 328"/>
    <s v="Tel 328"/>
    <s v="Cep 328"/>
    <s v="Rua 328"/>
    <s v="Comp 328"/>
    <x v="11"/>
    <s v="ZO-J9IL-EN6L"/>
    <d v="2024-12-07T00:00:00"/>
    <n v="59.5"/>
    <n v="59.5"/>
    <n v="8.33"/>
    <n v="51.17"/>
    <n v="7.27"/>
    <n v="0.2"/>
    <n v="0.39877104377104378"/>
    <n v="0"/>
    <n v="43.301228956228961"/>
    <n v="21.65061447811448"/>
    <d v="2024-12-14T00:00:00"/>
    <d v="2024-12-14T00:00:00"/>
    <d v="2024-12-14T00:00:00"/>
    <d v="2024-12-16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05"/>
    <s v="Pedido 335"/>
    <d v="2024-11-09T00:00:00"/>
    <d v="2024-11-09T00:00:00"/>
    <s v="PedidoF328"/>
    <s v="CódRastreio328"/>
    <n v="1"/>
    <s v="CPF 329"/>
    <s v="Nome 329"/>
    <s v="Tel 329"/>
    <s v="Cep 329"/>
    <s v="Rua 329"/>
    <s v="Comp 329"/>
    <x v="1"/>
    <s v="CK-YL6M-P5Y6"/>
    <d v="2024-12-03T00:00:00"/>
    <n v="32.299999999999997"/>
    <n v="32.299999999999997"/>
    <n v="4.1989999999999998"/>
    <n v="28.1"/>
    <n v="11.99"/>
    <n v="0.2"/>
    <n v="0.39877104377104378"/>
    <n v="0"/>
    <n v="15.511228956228958"/>
    <n v="7.7556144781144791"/>
    <d v="2024-12-10T00:00:00"/>
    <d v="2024-12-10T00:00:00"/>
    <d v="2024-12-11T00:00:00"/>
    <d v="2024-12-16T00:00:00"/>
    <s v="2024 12"/>
    <s v="Aguardando Liberação"/>
    <s v="2024 11"/>
    <s v="ENTREGUE"/>
    <d v="2024-11-17T00:00:00"/>
    <s v="-"/>
    <m/>
    <n v="0"/>
    <n v="0"/>
    <n v="0"/>
    <n v="0"/>
    <n v="0"/>
  </r>
  <r>
    <s v="BV"/>
    <s v="BV45607"/>
    <s v="Pedido 336"/>
    <d v="2024-11-11T00:00:00"/>
    <d v="2024-11-11T00:00:00"/>
    <s v="PedidoF329"/>
    <s v="CódRastreio329"/>
    <n v="1"/>
    <s v="CPF 330"/>
    <s v="Nome 330"/>
    <s v="Tel 330"/>
    <s v="Cep 330"/>
    <s v="Rua 330"/>
    <s v="Comp 330"/>
    <x v="12"/>
    <s v="U8-2VWS-OB6M"/>
    <d v="2024-12-07T00:00:00"/>
    <n v="100"/>
    <n v="100"/>
    <n v="13"/>
    <n v="87"/>
    <n v="7.29"/>
    <n v="0.23"/>
    <n v="0.39877104377104378"/>
    <n v="0"/>
    <n v="79.081228956228955"/>
    <n v="39.540614478114477"/>
    <d v="2024-12-14T00:00:00"/>
    <d v="2024-12-14T00:00:00"/>
    <d v="2024-12-14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07"/>
    <s v="Pedido 337"/>
    <d v="2024-11-11T00:00:00"/>
    <d v="2024-11-11T00:00:00"/>
    <s v="PedidoF330"/>
    <s v="CódRastreio330"/>
    <n v="1"/>
    <s v="CPF 331"/>
    <s v="Nome 331"/>
    <s v="Tel 331"/>
    <s v="Cep 331"/>
    <s v="Rua 331"/>
    <s v="Comp 331"/>
    <x v="14"/>
    <s v="VF-9FSV-ZMGN"/>
    <d v="2024-12-14T00:00:00"/>
    <n v="60"/>
    <n v="60"/>
    <n v="8.4"/>
    <n v="51.6"/>
    <n v="7.29"/>
    <n v="0.23"/>
    <n v="0.39877104377104378"/>
    <n v="0"/>
    <n v="43.681228956228956"/>
    <n v="21.840614478114478"/>
    <d v="2024-12-21T00:00:00"/>
    <d v="2024-12-21T00:00:00"/>
    <d v="2024-12-25T00:00:00"/>
    <d v="2025-01-02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7"/>
    <s v="Pedido 338"/>
    <d v="2024-11-11T00:00:00"/>
    <d v="2024-11-11T00:00:00"/>
    <s v="PedidoF331"/>
    <s v="CódRastreio331"/>
    <n v="1"/>
    <s v="CPF 332"/>
    <s v="Nome 332"/>
    <s v="Tel 332"/>
    <s v="Cep 332"/>
    <s v="Rua 332"/>
    <s v="Comp 332"/>
    <x v="2"/>
    <s v="DJ-RO5O-43GF"/>
    <d v="2024-11-28T00:00:00"/>
    <n v="16.8"/>
    <n v="16.8"/>
    <n v="2.3520000000000003"/>
    <n v="14.45"/>
    <n v="6.57"/>
    <n v="0.23"/>
    <n v="0.39877104377104378"/>
    <n v="0"/>
    <n v="7.2512289562289549"/>
    <n v="3.6256144781144775"/>
    <d v="2024-12-05T00:00:00"/>
    <d v="2024-12-05T00:00:00"/>
    <d v="2024-12-11T00:00:00"/>
    <d v="2024-12-16T00:00:00"/>
    <s v="2024 12"/>
    <s v="Aguardando Liberação"/>
    <s v="2024 11"/>
    <s v="ENTREGUE"/>
    <d v="2024-11-15T00:00:00"/>
    <s v="-"/>
    <m/>
    <n v="0"/>
    <n v="0"/>
    <n v="0"/>
    <n v="0"/>
    <n v="0"/>
  </r>
  <r>
    <s v="BV"/>
    <s v="BV45607"/>
    <s v="Pedido 339"/>
    <d v="2024-11-11T00:00:00"/>
    <d v="2024-11-11T00:00:00"/>
    <s v="PedidoF332"/>
    <s v="CódRastreio332"/>
    <n v="1"/>
    <s v="CPF 333"/>
    <s v="Nome 333"/>
    <s v="Tel 333"/>
    <s v="Cep 333"/>
    <s v="Rua 333"/>
    <s v="Comp 333"/>
    <x v="11"/>
    <s v="ZO-J9IL-EN6L"/>
    <d v="2024-12-10T00:00:00"/>
    <n v="59.5"/>
    <n v="59.5"/>
    <n v="8.33"/>
    <n v="51.17"/>
    <n v="10.31"/>
    <n v="0.23"/>
    <n v="0.39877104377104378"/>
    <n v="0"/>
    <n v="40.231228956228961"/>
    <n v="20.11561447811448"/>
    <d v="2024-12-17T00:00:00"/>
    <d v="2024-12-17T00:00:00"/>
    <d v="2024-12-25T00:00:00"/>
    <d v="2025-01-02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8"/>
    <s v="Pedido 340"/>
    <d v="2024-11-12T00:00:00"/>
    <d v="2024-11-12T00:00:00"/>
    <s v="PedidoF333"/>
    <s v="CódRastreio333"/>
    <n v="1"/>
    <s v="CPF 334"/>
    <s v="Nome 334"/>
    <s v="Tel 334"/>
    <s v="Cep 334"/>
    <s v="Rua 334"/>
    <s v="Comp 334"/>
    <x v="11"/>
    <s v="ZO-J9IL-EN6L"/>
    <d v="2024-12-05T00:00:00"/>
    <n v="59.5"/>
    <n v="59.5"/>
    <n v="8.33"/>
    <n v="51.17"/>
    <n v="7.29"/>
    <n v="0.2"/>
    <n v="0.39877104377104378"/>
    <n v="0"/>
    <n v="43.281228956228958"/>
    <n v="21.640614478114479"/>
    <d v="2024-12-12T00:00:00"/>
    <d v="2024-12-12T00:00:00"/>
    <d v="2024-12-14T00:00:00"/>
    <d v="2024-12-16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07"/>
    <s v="Pedido 341"/>
    <d v="2024-11-11T00:00:00"/>
    <d v="2024-11-11T00:00:00"/>
    <s v="PedidoF334"/>
    <s v="CódRastreio334"/>
    <n v="1"/>
    <s v="CPF 335"/>
    <s v="Nome 335"/>
    <s v="Tel 335"/>
    <s v="Cep 335"/>
    <s v="Rua 335"/>
    <s v="Comp 335"/>
    <x v="2"/>
    <s v="DJ-RO5O-43GF"/>
    <d v="2024-11-28T00:00:00"/>
    <n v="16.8"/>
    <n v="16.8"/>
    <n v="2.3520000000000003"/>
    <n v="14.45"/>
    <n v="6.57"/>
    <n v="0.23"/>
    <n v="0.39877104377104378"/>
    <n v="0"/>
    <n v="7.2512289562289549"/>
    <n v="3.6256144781144775"/>
    <d v="2024-12-05T00:00:00"/>
    <d v="2024-12-05T00:00:00"/>
    <d v="2024-12-11T00:00:00"/>
    <d v="2024-12-16T00:00:00"/>
    <s v="2024 12"/>
    <s v="Aguardando Liberação"/>
    <s v="2024 11"/>
    <s v="ENTREGUE"/>
    <d v="2024-11-20T00:00:00"/>
    <s v="-"/>
    <m/>
    <n v="0"/>
    <n v="0"/>
    <n v="0"/>
    <n v="0"/>
    <n v="0"/>
  </r>
  <r>
    <s v="BV"/>
    <s v="BV45607"/>
    <s v="Pedido 342"/>
    <d v="2024-11-11T00:00:00"/>
    <d v="2024-11-11T00:00:00"/>
    <s v="PedidoF335"/>
    <s v="CódRastreio335"/>
    <n v="1"/>
    <s v="CPF 336"/>
    <s v="Nome 336"/>
    <s v="Tel 336"/>
    <s v="Cep 336"/>
    <s v="Rua 336"/>
    <s v="Comp 336"/>
    <x v="14"/>
    <s v="VF-9FSV-ZMGN"/>
    <d v="2024-12-10T00:00:00"/>
    <n v="65.989999999999995"/>
    <n v="65.989999999999995"/>
    <n v="9.2385999999999999"/>
    <n v="56.75"/>
    <n v="7.29"/>
    <n v="0.23"/>
    <n v="0.39877104377104378"/>
    <n v="0"/>
    <n v="48.831228956228955"/>
    <n v="24.415614478114477"/>
    <d v="2024-12-17T00:00:00"/>
    <d v="2024-12-17T00:00:00"/>
    <d v="2024-12-25T00:00:00"/>
    <d v="2025-01-02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07"/>
    <s v="Pedido 343"/>
    <d v="2024-11-11T00:00:00"/>
    <d v="2024-11-11T00:00:00"/>
    <s v="PedidoF336"/>
    <s v="CódRastreio336"/>
    <n v="1"/>
    <s v="CPF 337"/>
    <s v="Nome 337"/>
    <s v="Tel 337"/>
    <s v="Cep 337"/>
    <s v="Rua 337"/>
    <s v="Comp 337"/>
    <x v="14"/>
    <s v="VF-9FSV-ZMGN"/>
    <d v="2024-12-04T00:00:00"/>
    <n v="65.989999999999995"/>
    <n v="65.989999999999995"/>
    <n v="9.2385999999999999"/>
    <n v="56.75"/>
    <n v="0"/>
    <n v="0.23"/>
    <n v="0.39877104377104378"/>
    <n v="0"/>
    <n v="56.121228956228954"/>
    <n v="28.060614478114477"/>
    <d v="2024-12-11T00:00:00"/>
    <d v="2025-01-09T00:00:00"/>
    <d v="2024-12-11T00:00:00"/>
    <d v="2024-12-16T00:00:00"/>
    <s v="2024 12"/>
    <s v="Aguardando Liberação"/>
    <s v="2024 11"/>
    <s v="ENTREGUE"/>
    <d v="2025-01-10T00:00:00"/>
    <s v="-"/>
    <m/>
    <n v="0"/>
    <n v="0"/>
    <n v="0"/>
    <n v="0"/>
    <n v="0"/>
  </r>
  <r>
    <s v="BV"/>
    <s v="BV45607"/>
    <s v="Pedido 344"/>
    <d v="2024-11-11T00:00:00"/>
    <d v="2024-11-11T00:00:00"/>
    <s v="PedidoF337"/>
    <s v="CódRastreio337"/>
    <n v="1"/>
    <s v="CPF 338"/>
    <s v="Nome 338"/>
    <s v="Tel 338"/>
    <s v="Cep 338"/>
    <s v="Rua 338"/>
    <s v="Comp 338"/>
    <x v="10"/>
    <s v="MU-J80P-95WF"/>
    <d v="2024-12-04T00:00:00"/>
    <n v="65.989999999999995"/>
    <n v="65.989999999999995"/>
    <n v="8.5786999999999995"/>
    <n v="57.41"/>
    <n v="7.29"/>
    <n v="0.23"/>
    <n v="0.39877104377104378"/>
    <n v="0"/>
    <n v="49.491228956228952"/>
    <n v="24.745614478114476"/>
    <d v="2024-12-11T00:00:00"/>
    <d v="2024-12-11T00:00:00"/>
    <d v="2024-12-11T00:00:00"/>
    <d v="2024-12-16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8"/>
    <s v="Pedido 345"/>
    <d v="2024-11-12T00:00:00"/>
    <d v="2024-11-12T00:00:00"/>
    <s v="PedidoF338"/>
    <s v="CódRastreio338"/>
    <n v="1"/>
    <s v="CPF 339"/>
    <s v="Nome 339"/>
    <s v="Tel 339"/>
    <s v="Cep 339"/>
    <s v="Rua 339"/>
    <s v="Comp 339"/>
    <x v="6"/>
    <s v="KN-TBQL-K2MM"/>
    <d v="2024-12-11T00:00:00"/>
    <n v="17.399999999999999"/>
    <n v="17.399999999999999"/>
    <n v="2.262"/>
    <n v="15.14"/>
    <n v="5.2"/>
    <n v="0.2"/>
    <n v="0.39877104377104378"/>
    <n v="0"/>
    <n v="9.3412289562289565"/>
    <n v="4.6706144781144783"/>
    <d v="2024-12-18T00:00:00"/>
    <d v="2024-12-18T00:00:00"/>
    <d v="2024-12-25T00:00:00"/>
    <d v="2025-01-02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9"/>
    <s v="Pedido 346"/>
    <d v="2024-11-13T00:00:00"/>
    <d v="2024-11-13T00:00:00"/>
    <s v="PedidoF339"/>
    <s v="CódRastreio339"/>
    <n v="1"/>
    <s v="CPF 339"/>
    <s v="Nome 339"/>
    <s v="Tel 339"/>
    <s v="Cep 339"/>
    <s v="Rua 339"/>
    <s v="Comp 339"/>
    <x v="6"/>
    <s v="KN-TBQL-K2MM"/>
    <d v="2024-12-11T00:00:00"/>
    <n v="17.399999999999999"/>
    <n v="17.399999999999999"/>
    <n v="2.262"/>
    <n v="15.14"/>
    <n v="6.99"/>
    <n v="0.33"/>
    <n v="0.39877104377104378"/>
    <n v="0"/>
    <n v="7.4212289562289566"/>
    <n v="3.7106144781144783"/>
    <d v="2024-12-18T00:00:00"/>
    <d v="2024-12-18T00:00:00"/>
    <d v="2024-12-25T00:00:00"/>
    <d v="2025-01-02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8"/>
    <s v="Pedido 347"/>
    <d v="2024-11-12T00:00:00"/>
    <d v="2024-11-12T00:00:00"/>
    <s v="PedidoF340"/>
    <s v="CódRastreio340"/>
    <n v="1"/>
    <s v="CPF 340"/>
    <s v="Nome 340"/>
    <s v="Tel 340"/>
    <s v="Cep 340"/>
    <s v="Rua 340"/>
    <s v="Comp 340"/>
    <x v="15"/>
    <s v="HF-SI0F-XC7S"/>
    <d v="2024-12-05T00:00:00"/>
    <n v="54.5"/>
    <n v="54.5"/>
    <n v="7.6300000000000008"/>
    <n v="46.87"/>
    <n v="7.29"/>
    <n v="0.2"/>
    <n v="0.39877104377104378"/>
    <n v="0"/>
    <n v="38.981228956228954"/>
    <n v="19.490614478114477"/>
    <d v="2024-12-12T00:00:00"/>
    <d v="2024-12-12T00:00:00"/>
    <d v="2024-12-14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08"/>
    <s v="Pedido 348"/>
    <d v="2024-11-12T00:00:00"/>
    <d v="2024-11-12T00:00:00"/>
    <s v="PedidoF341"/>
    <s v="CódRastreio341"/>
    <n v="1"/>
    <s v="CPF 341"/>
    <s v="Nome 341"/>
    <s v="Tel 341"/>
    <s v="Cep 341"/>
    <s v="Rua 341"/>
    <s v="Comp 341"/>
    <x v="1"/>
    <s v="CK-YL6M-P5Y6"/>
    <d v="2024-12-11T00:00:00"/>
    <n v="31.5"/>
    <n v="31.5"/>
    <n v="4.0949999999999998"/>
    <n v="27.41"/>
    <n v="0"/>
    <n v="0.2"/>
    <n v="0.39877104377104378"/>
    <n v="0"/>
    <n v="26.811228956228955"/>
    <n v="13.405614478114478"/>
    <d v="2024-12-18T00:00:00"/>
    <d v="2024-12-19T00:00:00"/>
    <d v="2024-12-25T00:00:00"/>
    <d v="2025-01-02T00:00:00"/>
    <s v="2024 12"/>
    <s v="Aguardando Liberação"/>
    <s v="2024 11"/>
    <s v="ENTREGUE"/>
    <d v="2024-12-16T00:00:00"/>
    <s v="-"/>
    <m/>
    <n v="0"/>
    <n v="0"/>
    <n v="0"/>
    <n v="0"/>
    <n v="0"/>
  </r>
  <r>
    <s v="BV"/>
    <s v="BV45608"/>
    <s v="Pedido 349"/>
    <d v="2024-11-12T00:00:00"/>
    <d v="2024-11-12T00:00:00"/>
    <s v="PedidoF342"/>
    <s v="CódRastreio342"/>
    <n v="1"/>
    <s v="CPF 342"/>
    <s v="Nome 342"/>
    <s v="Tel 342"/>
    <s v="Cep 342"/>
    <s v="Rua 342"/>
    <s v="Comp 342"/>
    <x v="10"/>
    <s v="MU-J80P-95WF"/>
    <d v="2024-12-11T00:00:00"/>
    <n v="59.5"/>
    <n v="59.5"/>
    <n v="7.7350000000000003"/>
    <n v="51.77"/>
    <n v="7.29"/>
    <n v="0.2"/>
    <n v="0.39877104377104378"/>
    <n v="0"/>
    <n v="43.881228956228959"/>
    <n v="21.94061447811448"/>
    <d v="2024-12-18T00:00:00"/>
    <d v="2024-12-18T00:00:00"/>
    <d v="2024-12-25T00:00:00"/>
    <d v="2025-01-02T00:00:00"/>
    <s v="2024 12"/>
    <s v="Aguardando Liberação"/>
    <s v="2024 11"/>
    <s v="ENTREGUE"/>
    <d v="2024-12-05T10:15:38"/>
    <s v="-"/>
    <m/>
    <n v="0"/>
    <n v="0"/>
    <n v="0"/>
    <n v="0"/>
    <n v="0"/>
  </r>
  <r>
    <s v="BV"/>
    <s v="BV45608"/>
    <s v="Pedido 350"/>
    <d v="2024-11-12T00:00:00"/>
    <d v="2024-11-12T00:00:00"/>
    <s v="PedidoF343"/>
    <s v="CódRastreio343"/>
    <n v="1"/>
    <s v="CPF 343"/>
    <s v="Nome 343"/>
    <s v="Tel 343"/>
    <s v="Cep 343"/>
    <s v="Rua 343"/>
    <s v="Comp 343"/>
    <x v="10"/>
    <s v="MU-J80P-95WF"/>
    <d v="2024-12-05T00:00:00"/>
    <n v="59.5"/>
    <n v="59.5"/>
    <n v="7.7350000000000003"/>
    <n v="51.77"/>
    <n v="0"/>
    <n v="0.2"/>
    <n v="0.39877104377104378"/>
    <n v="0"/>
    <n v="51.171228956228958"/>
    <n v="25.585614478114479"/>
    <d v="2024-12-12T00:00:00"/>
    <d v="2024-12-13T00:00:00"/>
    <d v="2024-12-14T00:00:00"/>
    <d v="2024-12-16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08"/>
    <s v="Pedido 351"/>
    <d v="2024-11-12T00:00:00"/>
    <d v="2024-11-12T00:00:00"/>
    <s v="PedidoF344"/>
    <s v="CódRastreio344"/>
    <n v="1"/>
    <s v="CPF 344"/>
    <s v="Nome 344"/>
    <s v="Tel 344"/>
    <s v="Cep 344"/>
    <s v="Rua 344"/>
    <s v="Comp 344"/>
    <x v="0"/>
    <s v="16-4EDB-WMZF"/>
    <d v="2024-11-29T00:00:00"/>
    <n v="15.5"/>
    <n v="15.5"/>
    <n v="2.3249999999999997"/>
    <n v="13.18"/>
    <n v="4.99"/>
    <n v="0.2"/>
    <n v="0.39877104377104378"/>
    <n v="0"/>
    <n v="7.5912289562289557"/>
    <n v="3.7956144781144778"/>
    <d v="2024-12-06T00:00:00"/>
    <d v="2024-12-06T00:00:00"/>
    <d v="2024-12-11T00:00:00"/>
    <d v="2024-12-16T00:00:00"/>
    <s v="2024 12"/>
    <s v="Aguardando Liberação"/>
    <s v="2024 11"/>
    <s v="ENTREGUE"/>
    <d v="2024-11-24T00:00:00"/>
    <s v="-"/>
    <m/>
    <n v="0"/>
    <n v="0"/>
    <n v="0"/>
    <n v="0"/>
    <n v="0"/>
  </r>
  <r>
    <s v="BV"/>
    <s v="BV45608"/>
    <s v="Pedido 352"/>
    <d v="2024-11-12T00:00:00"/>
    <d v="2024-11-12T00:00:00"/>
    <s v="PedidoF345"/>
    <s v="CódRastreio345"/>
    <n v="1"/>
    <s v="CPF 345"/>
    <s v="Nome 345"/>
    <s v="Tel 345"/>
    <s v="Cep 345"/>
    <s v="Rua 345"/>
    <s v="Comp 345"/>
    <x v="13"/>
    <s v="YA-AG3H-SPUK"/>
    <d v="2024-12-05T00:00:00"/>
    <n v="16.989999999999998"/>
    <n v="16.989999999999998"/>
    <n v="2.0387999999999997"/>
    <n v="14.95"/>
    <n v="5.48"/>
    <n v="0.2"/>
    <n v="0.39877104377104378"/>
    <n v="0"/>
    <n v="8.8712289562289541"/>
    <n v="4.4356144781144771"/>
    <d v="2024-12-12T00:00:00"/>
    <d v="2024-12-12T00:00:00"/>
    <d v="2024-12-14T00:00:00"/>
    <d v="2024-12-16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8"/>
    <s v="Pedido 353"/>
    <d v="2024-11-12T00:00:00"/>
    <d v="2024-11-12T00:00:00"/>
    <s v="PedidoF346"/>
    <s v="CódRastreio346"/>
    <n v="1"/>
    <s v="CPF 346"/>
    <s v="Nome 346"/>
    <s v="Tel 346"/>
    <s v="Cep 346"/>
    <s v="Rua 346"/>
    <s v="Comp 346"/>
    <x v="0"/>
    <s v="16-4EDB-WMZF"/>
    <d v="2024-12-05T00:00:00"/>
    <n v="15.5"/>
    <n v="15.5"/>
    <n v="2.3249999999999997"/>
    <n v="13.18"/>
    <n v="4.99"/>
    <n v="0.2"/>
    <n v="0.39877104377104378"/>
    <n v="0"/>
    <n v="7.5912289562289557"/>
    <n v="3.7956144781144778"/>
    <d v="2024-12-12T00:00:00"/>
    <d v="2024-12-12T00:00:00"/>
    <d v="2024-12-14T00:00:00"/>
    <d v="2024-12-16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08"/>
    <s v="Pedido 354"/>
    <d v="2024-11-12T00:00:00"/>
    <d v="2024-11-12T00:00:00"/>
    <s v="PedidoF347"/>
    <s v="CódRastreio347"/>
    <n v="1"/>
    <s v="CPF 347"/>
    <s v="Nome 347"/>
    <s v="Tel 347"/>
    <s v="Cep 347"/>
    <s v="Rua 347"/>
    <s v="Comp 347"/>
    <x v="0"/>
    <s v="16-4EDB-WMZF"/>
    <d v="2024-12-05T00:00:00"/>
    <n v="15.5"/>
    <n v="15.5"/>
    <n v="2.3249999999999997"/>
    <n v="13.18"/>
    <n v="4.99"/>
    <n v="0.2"/>
    <n v="0.39877104377104378"/>
    <n v="0"/>
    <n v="7.5912289562289557"/>
    <n v="3.7956144781144778"/>
    <d v="2024-12-12T00:00:00"/>
    <d v="2024-12-12T00:00:00"/>
    <d v="2024-12-14T00:00:00"/>
    <d v="2024-12-16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8"/>
    <s v="Pedido 355"/>
    <d v="2024-11-12T00:00:00"/>
    <d v="2024-11-12T00:00:00"/>
    <s v="PedidoF348"/>
    <s v="CódRastreio348"/>
    <n v="1"/>
    <s v="CPF 348"/>
    <s v="Nome 348"/>
    <s v="Tel 348"/>
    <s v="Cep 348"/>
    <s v="Rua 348"/>
    <s v="Comp 348"/>
    <x v="11"/>
    <s v="BP-NHG2-B8C1"/>
    <d v="2024-12-11T00:00:00"/>
    <n v="49.5"/>
    <n v="49.5"/>
    <n v="6.4350000000000005"/>
    <n v="43.07"/>
    <n v="7.29"/>
    <n v="0.2"/>
    <n v="0.39877104377104378"/>
    <n v="0"/>
    <n v="35.181228956228956"/>
    <n v="17.590614478114478"/>
    <d v="2024-12-18T00:00:00"/>
    <d v="2024-12-18T00:00:00"/>
    <d v="2024-12-25T00:00:00"/>
    <d v="2025-01-02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8"/>
    <s v="Pedido 356"/>
    <d v="2024-11-12T00:00:00"/>
    <d v="2024-11-12T00:00:00"/>
    <s v="PedidoF349"/>
    <s v="CódRastreio349"/>
    <n v="1"/>
    <s v="CPF 349"/>
    <s v="Nome 349"/>
    <s v="Tel 349"/>
    <s v="Cep 349"/>
    <s v="Rua 349"/>
    <s v="Comp 349"/>
    <x v="13"/>
    <s v="YA-AG3H-SPUK"/>
    <d v="2024-12-05T00:00:00"/>
    <n v="16.989999999999998"/>
    <n v="16.989999999999998"/>
    <n v="2.0387999999999997"/>
    <n v="14.95"/>
    <n v="5.48"/>
    <n v="0.2"/>
    <n v="0.39877104377104378"/>
    <n v="0"/>
    <n v="8.8712289562289541"/>
    <n v="4.4356144781144771"/>
    <d v="2024-12-12T00:00:00"/>
    <d v="2024-12-12T00:00:00"/>
    <d v="2024-12-14T00:00:00"/>
    <d v="2024-12-16T00:00:00"/>
    <s v="2024 12"/>
    <s v="Aguardando Liberação"/>
    <s v="2024 11"/>
    <s v="ENTREGUE"/>
    <d v="2024-11-21T00:00:00"/>
    <s v="-"/>
    <m/>
    <n v="0"/>
    <n v="0"/>
    <n v="0"/>
    <n v="0"/>
    <n v="0"/>
  </r>
  <r>
    <s v="BV"/>
    <s v="BV45608"/>
    <s v="Pedido 357"/>
    <d v="2024-11-12T00:00:00"/>
    <d v="2024-11-12T00:00:00"/>
    <s v="PedidoF350"/>
    <s v="CódRastreio350"/>
    <n v="1"/>
    <s v="CPF 350"/>
    <s v="Nome 350"/>
    <s v="Tel 350"/>
    <s v="Cep 350"/>
    <s v="Rua 350"/>
    <s v="Comp 350"/>
    <x v="11"/>
    <s v="BP-NHG2-B8C1"/>
    <d v="2024-12-05T00:00:00"/>
    <n v="49.5"/>
    <n v="49.5"/>
    <n v="6.4350000000000005"/>
    <n v="43.07"/>
    <n v="7.29"/>
    <n v="0.2"/>
    <n v="0.39877104377104378"/>
    <n v="0"/>
    <n v="35.181228956228956"/>
    <n v="17.590614478114478"/>
    <d v="2024-12-12T00:00:00"/>
    <d v="2024-12-12T00:00:00"/>
    <d v="2024-12-14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08"/>
    <s v="Pedido 358"/>
    <d v="2024-11-12T00:00:00"/>
    <d v="2024-11-12T00:00:00"/>
    <s v="PedidoF351"/>
    <s v="CódRastreio351"/>
    <n v="1"/>
    <s v="CPF 351"/>
    <s v="Nome 351"/>
    <s v="Tel 351"/>
    <s v="Cep 351"/>
    <s v="Rua 351"/>
    <s v="Comp 351"/>
    <x v="0"/>
    <s v="16-4EDB-WMZF"/>
    <d v="2024-11-29T00:00:00"/>
    <n v="15.5"/>
    <n v="15.5"/>
    <n v="2.3249999999999997"/>
    <n v="13.18"/>
    <n v="4.99"/>
    <n v="0.2"/>
    <n v="0.39877104377104378"/>
    <n v="0"/>
    <n v="7.5912289562289557"/>
    <n v="3.7956144781144778"/>
    <d v="2024-12-06T00:00:00"/>
    <d v="2024-12-06T00:00:00"/>
    <d v="2024-12-11T00:00:00"/>
    <d v="2024-12-16T00:00:00"/>
    <s v="2024 12"/>
    <s v="Aguardando Liberação"/>
    <s v="2024 11"/>
    <s v="ENTREGUE"/>
    <d v="2024-11-23T00:00:00"/>
    <s v="-"/>
    <m/>
    <n v="0"/>
    <n v="0"/>
    <n v="0"/>
    <n v="0"/>
    <n v="0"/>
  </r>
  <r>
    <s v="BV"/>
    <s v="BV-"/>
    <s v="Pedido 359"/>
    <d v="2024-12-01T00:00:00"/>
    <s v="-"/>
    <s v="-"/>
    <s v="-"/>
    <n v="1"/>
    <s v="CPF 339"/>
    <s v="Nome 339"/>
    <s v="Tel 339"/>
    <s v="Cep 339"/>
    <s v="Rua 339"/>
    <s v="Comp 339"/>
    <x v="6"/>
    <s v="KN-TBQL-K2MM"/>
    <d v="2024-12-12T00:00:00"/>
    <n v="17.399999999999999"/>
    <n v="17.399999999999999"/>
    <n v="2.262"/>
    <n v="15.14"/>
    <n v="0"/>
    <n v="0"/>
    <n v="0"/>
    <n v="0"/>
    <n v="15.14"/>
    <n v="7.57"/>
    <d v="2024-12-19T00:00:00"/>
    <d v="2024-12-19T00:00:00"/>
    <d v="2024-12-25T00:00:00"/>
    <d v="2025-01-02T00:00:00"/>
    <s v="2024 12"/>
    <s v="Aguardando Liberação"/>
    <s v="- -"/>
    <s v="-"/>
    <s v="-"/>
    <s v="-"/>
    <m/>
    <n v="0.45"/>
    <n v="0"/>
    <n v="0"/>
    <n v="0"/>
    <n v="0.45"/>
  </r>
  <r>
    <s v="BV"/>
    <s v="BV-"/>
    <s v="Pedido 360"/>
    <d v="2024-12-01T00:00:00"/>
    <s v="-"/>
    <s v="-"/>
    <s v="-"/>
    <n v="1"/>
    <s v="CPF 339"/>
    <s v="Nome 339"/>
    <s v="Tel 339"/>
    <s v="Cep 339"/>
    <s v="Rua 339"/>
    <s v="Comp 339"/>
    <x v="6"/>
    <s v="KN-TBQL-K2MM"/>
    <d v="2024-12-12T00:00:00"/>
    <n v="17.399999999999999"/>
    <n v="17.399999999999999"/>
    <n v="2.262"/>
    <n v="15.14"/>
    <n v="0"/>
    <n v="0"/>
    <n v="0"/>
    <n v="0"/>
    <n v="15.14"/>
    <n v="7.57"/>
    <d v="2024-12-19T00:00:00"/>
    <d v="2024-12-19T00:00:00"/>
    <d v="2024-12-25T00:00:00"/>
    <d v="2025-01-02T00:00:00"/>
    <s v="2024 12"/>
    <s v="Aguardando Liberação"/>
    <s v="- -"/>
    <s v="-"/>
    <s v="-"/>
    <s v="-"/>
    <m/>
    <n v="0.45"/>
    <n v="0"/>
    <n v="0"/>
    <n v="0"/>
    <n v="0.45"/>
  </r>
  <r>
    <s v="BV"/>
    <s v="BV-"/>
    <s v="Pedido 361"/>
    <d v="2024-12-01T00:00:00"/>
    <s v="-"/>
    <s v="-"/>
    <s v="-"/>
    <n v="1"/>
    <s v="CPF 339"/>
    <s v="Nome 339"/>
    <s v="Tel 339"/>
    <s v="Cep 339"/>
    <s v="Rua 339"/>
    <s v="Comp 339"/>
    <x v="6"/>
    <s v="KN-TBQL-K2MM"/>
    <d v="2024-12-12T00:00:00"/>
    <n v="17.399999999999999"/>
    <n v="17.399999999999999"/>
    <n v="2.262"/>
    <n v="15.14"/>
    <n v="0"/>
    <n v="0"/>
    <n v="0"/>
    <n v="0"/>
    <n v="15.14"/>
    <n v="7.57"/>
    <d v="2024-12-19T00:00:00"/>
    <d v="2024-12-19T00:00:00"/>
    <d v="2024-12-25T00:00:00"/>
    <d v="2025-01-02T00:00:00"/>
    <s v="2024 12"/>
    <s v="Aguardando Liberação"/>
    <s v="- -"/>
    <s v="-"/>
    <s v="-"/>
    <s v="-"/>
    <m/>
    <n v="0.45"/>
    <n v="0"/>
    <n v="0"/>
    <n v="0"/>
    <n v="0.45"/>
  </r>
  <r>
    <s v="BV"/>
    <s v="BV-"/>
    <s v="Pedido 362"/>
    <d v="2024-12-01T00:00:00"/>
    <s v="-"/>
    <s v="-"/>
    <s v="-"/>
    <n v="1"/>
    <s v="CPF 339"/>
    <s v="Nome 339"/>
    <s v="Tel 339"/>
    <s v="Cep 339"/>
    <s v="Rua 339"/>
    <s v="Comp 339"/>
    <x v="6"/>
    <s v="KN-TBQL-K2MM"/>
    <d v="2024-12-12T00:00:00"/>
    <n v="17.399999999999999"/>
    <n v="17.399999999999999"/>
    <n v="2.262"/>
    <n v="15.14"/>
    <n v="0"/>
    <n v="0"/>
    <n v="0"/>
    <n v="0"/>
    <n v="15.14"/>
    <n v="7.57"/>
    <d v="2024-12-19T00:00:00"/>
    <d v="2024-12-19T00:00:00"/>
    <d v="2024-12-25T00:00:00"/>
    <d v="2025-01-02T00:00:00"/>
    <s v="2024 12"/>
    <s v="Aguardando Liberação"/>
    <s v="- -"/>
    <s v="-"/>
    <s v="-"/>
    <s v="-"/>
    <m/>
    <n v="0.45"/>
    <n v="0"/>
    <n v="0"/>
    <n v="0"/>
    <n v="0.45"/>
  </r>
  <r>
    <s v="BV"/>
    <s v="BV45610"/>
    <s v="Pedido 363"/>
    <d v="2024-11-14T00:00:00"/>
    <d v="2024-11-14T00:00:00"/>
    <s v="PedidoF352"/>
    <s v="CódRastreio352"/>
    <n v="1"/>
    <s v="CPF 352"/>
    <s v="Nome 352"/>
    <s v="Tel 352"/>
    <s v="Cep 352"/>
    <s v="Rua 352"/>
    <s v="Comp 352"/>
    <x v="10"/>
    <s v="MU-J80P-95WF"/>
    <d v="2024-12-19T00:00:00"/>
    <n v="59.5"/>
    <n v="59.5"/>
    <n v="7.7350000000000003"/>
    <n v="51.77"/>
    <n v="0"/>
    <n v="0.25"/>
    <n v="0.39877104377104378"/>
    <n v="0"/>
    <n v="51.121228956228961"/>
    <n v="25.560614478114481"/>
    <d v="2024-12-26T00:00:00"/>
    <d v="2024-12-26T00:00:00"/>
    <d v="2024-12-30T00:00:00"/>
    <d v="2025-01-02T00:00:00"/>
    <s v="2024 12"/>
    <s v="Aguardando Liberação"/>
    <s v="2024 11"/>
    <s v="ENTREGUE"/>
    <d v="2024-12-18T00:00:00"/>
    <s v="-"/>
    <m/>
    <n v="0"/>
    <n v="0"/>
    <n v="0"/>
    <n v="0"/>
    <n v="0"/>
  </r>
  <r>
    <s v="BV"/>
    <s v="BV45609"/>
    <s v="Pedido 363"/>
    <d v="2024-11-13T00:00:00"/>
    <d v="2024-11-13T00:00:00"/>
    <s v="PedidoF353"/>
    <s v="CódRastreio353"/>
    <n v="1"/>
    <s v="CPF 352"/>
    <s v="Nome 352"/>
    <s v="Tel 352"/>
    <s v="Cep 352"/>
    <s v="Rua 352"/>
    <s v="Comp 352"/>
    <x v="3"/>
    <s v="IF-G2ZQ-79FO"/>
    <d v="2024-12-19T00:00:00"/>
    <n v="59.5"/>
    <n v="59.5"/>
    <n v="7.7350000000000003"/>
    <n v="51.77"/>
    <n v="0"/>
    <n v="0.33"/>
    <n v="0.39877104377104378"/>
    <n v="0"/>
    <n v="51.041228956228963"/>
    <n v="25.520614478114481"/>
    <d v="2024-12-26T00:00:00"/>
    <d v="2024-12-26T00:00:00"/>
    <d v="2024-12-30T00:00:00"/>
    <d v="2025-01-02T00:00:00"/>
    <s v="2024 12"/>
    <s v="Aguardando Liberação"/>
    <s v="2024 11"/>
    <s v="-"/>
    <s v="-"/>
    <s v="-"/>
    <m/>
    <n v="0"/>
    <n v="0"/>
    <n v="0"/>
    <n v="0"/>
    <n v="0"/>
  </r>
  <r>
    <s v="BV"/>
    <s v="BV45609"/>
    <s v="Pedido 364"/>
    <d v="2024-11-13T00:00:00"/>
    <d v="2024-11-13T00:00:00"/>
    <s v="PedidoF354"/>
    <s v="CódRastreio354"/>
    <n v="1"/>
    <s v="CPF 353"/>
    <s v="Nome 353"/>
    <s v="Tel 353"/>
    <s v="Cep 353"/>
    <s v="Rua 353"/>
    <s v="Comp 353"/>
    <x v="4"/>
    <s v="9G-BN48-QAPH"/>
    <d v="2024-12-12T00:00:00"/>
    <n v="17.989999999999998"/>
    <n v="17.989999999999998"/>
    <n v="2.6984999999999997"/>
    <n v="15.29"/>
    <n v="0"/>
    <n v="0.33"/>
    <n v="0.39877104377104378"/>
    <n v="0"/>
    <n v="14.561228956228955"/>
    <n v="7.2806144781144777"/>
    <d v="2024-12-19T00:00:00"/>
    <d v="2024-12-19T00:00:00"/>
    <d v="2024-12-25T00:00:00"/>
    <d v="2025-01-02T00:00:00"/>
    <s v="2024 12"/>
    <s v="Aguardando Liberação"/>
    <s v="2024 11"/>
    <s v="ENTREGUE"/>
    <d v="2024-12-05T22:57:11"/>
    <s v="-"/>
    <m/>
    <n v="0"/>
    <n v="0"/>
    <n v="0"/>
    <n v="0"/>
    <n v="0"/>
  </r>
  <r>
    <s v="BV"/>
    <s v="BV45609"/>
    <s v="Pedido 365"/>
    <d v="2024-11-13T00:00:00"/>
    <d v="2024-11-13T00:00:00"/>
    <s v="PedidoF355"/>
    <s v="CódRastreio355"/>
    <n v="1"/>
    <s v="CPF 354"/>
    <s v="Nome 354"/>
    <s v="Tel 354"/>
    <s v="Cep 354"/>
    <s v="Rua 354"/>
    <s v="Comp 354"/>
    <x v="1"/>
    <s v="CK-YL6M-P5Y6"/>
    <d v="2024-12-12T00:00:00"/>
    <n v="31.5"/>
    <n v="31.5"/>
    <n v="4.0949999999999998"/>
    <n v="27.41"/>
    <n v="11.99"/>
    <n v="0.33"/>
    <n v="0.39877104377104378"/>
    <n v="0"/>
    <n v="14.691228956228956"/>
    <n v="7.3456144781144781"/>
    <d v="2024-12-19T00:00:00"/>
    <d v="2024-12-19T00:00:00"/>
    <d v="2024-12-25T00:00:00"/>
    <d v="2025-01-02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09"/>
    <s v="Pedido 366"/>
    <d v="2024-11-13T00:00:00"/>
    <d v="2024-11-13T00:00:00"/>
    <s v="PedidoF356"/>
    <s v="CódRastreio356"/>
    <n v="1"/>
    <s v="CPF 355"/>
    <s v="Nome 355"/>
    <s v="Tel 355"/>
    <s v="Cep 355"/>
    <s v="Rua 355"/>
    <s v="Comp 355"/>
    <x v="4"/>
    <s v="9G-BN48-QAPH"/>
    <d v="2024-12-06T00:00:00"/>
    <n v="17.989999999999998"/>
    <n v="17.989999999999998"/>
    <n v="2.6984999999999997"/>
    <n v="15.29"/>
    <n v="6.99"/>
    <n v="0.33"/>
    <n v="0.39877104377104378"/>
    <n v="0"/>
    <n v="7.5712289562289552"/>
    <n v="3.7856144781144776"/>
    <d v="2024-12-13T00:00:00"/>
    <d v="2024-12-13T00:00:00"/>
    <d v="2024-12-14T00:00:00"/>
    <d v="2024-12-16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9"/>
    <s v="Pedido 367"/>
    <d v="2024-11-13T00:00:00"/>
    <d v="2024-11-13T00:00:00"/>
    <s v="PedidoF357"/>
    <s v="CódRastreio357"/>
    <n v="1"/>
    <s v="CPF 356"/>
    <s v="Nome 356"/>
    <s v="Tel 356"/>
    <s v="Cep 356"/>
    <s v="Rua 356"/>
    <s v="Comp 356"/>
    <x v="11"/>
    <s v="BP-NHG2-B8C1"/>
    <d v="2024-12-12T00:00:00"/>
    <n v="49.5"/>
    <n v="49.5"/>
    <n v="6.4350000000000005"/>
    <n v="43.07"/>
    <n v="10.71"/>
    <n v="0.33"/>
    <n v="0.39877104377104378"/>
    <n v="0"/>
    <n v="31.631228956228956"/>
    <n v="15.815614478114478"/>
    <d v="2024-12-19T00:00:00"/>
    <d v="2024-12-19T00:00:00"/>
    <d v="2024-12-25T00:00:00"/>
    <d v="2025-01-02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9"/>
    <s v="Pedido 368"/>
    <d v="2024-11-13T00:00:00"/>
    <d v="2024-11-13T00:00:00"/>
    <s v="PedidoF358"/>
    <s v="CódRastreio358"/>
    <n v="1"/>
    <s v="CPF 357"/>
    <s v="Nome 357"/>
    <s v="Tel 357"/>
    <s v="Cep 357"/>
    <s v="Rua 357"/>
    <s v="Comp 357"/>
    <x v="6"/>
    <s v="KN-TBQL-K2MM"/>
    <d v="2024-12-12T00:00:00"/>
    <n v="17.399999999999999"/>
    <n v="17.399999999999999"/>
    <n v="2.262"/>
    <n v="15.14"/>
    <n v="6.99"/>
    <n v="0.33"/>
    <n v="0.39877104377104378"/>
    <n v="0"/>
    <n v="7.4212289562289566"/>
    <n v="3.7106144781144783"/>
    <d v="2024-12-19T00:00:00"/>
    <d v="2024-12-19T00:00:00"/>
    <d v="2024-12-25T00:00:00"/>
    <d v="2025-01-02T00:00:00"/>
    <s v="2024 12"/>
    <s v="Aguardando Liberação"/>
    <s v="2024 11"/>
    <s v="ENTREGUE"/>
    <d v="2024-11-19T00:00:00"/>
    <s v="-"/>
    <m/>
    <n v="0"/>
    <n v="0"/>
    <n v="0"/>
    <n v="0"/>
    <n v="0"/>
  </r>
  <r>
    <s v="BV"/>
    <s v="BV45609"/>
    <s v="Pedido 369"/>
    <d v="2024-11-13T00:00:00"/>
    <d v="2024-11-13T00:00:00"/>
    <s v="PedidoF359"/>
    <s v="CódRastreio359"/>
    <n v="1"/>
    <s v="CPF 358"/>
    <s v="Nome 358"/>
    <s v="Tel 358"/>
    <s v="Cep 358"/>
    <s v="Rua 358"/>
    <s v="Comp 358"/>
    <x v="1"/>
    <s v="CK-YL6M-P5Y6"/>
    <d v="2024-12-12T00:00:00"/>
    <n v="31.5"/>
    <n v="31.5"/>
    <n v="4.0949999999999998"/>
    <n v="27.41"/>
    <n v="11.99"/>
    <n v="0.33"/>
    <n v="0.39877104377104378"/>
    <n v="0"/>
    <n v="14.691228956228956"/>
    <n v="7.3456144781144781"/>
    <d v="2024-12-19T00:00:00"/>
    <d v="2024-12-19T00:00:00"/>
    <d v="2024-12-25T00:00:00"/>
    <d v="2025-01-02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09"/>
    <s v="Pedido 370"/>
    <d v="2024-11-13T00:00:00"/>
    <d v="2024-11-13T00:00:00"/>
    <s v="PedidoF360"/>
    <s v="CódRastreio360"/>
    <n v="1"/>
    <s v="CPF 359"/>
    <s v="Nome 359"/>
    <s v="Tel 359"/>
    <s v="Cep 359"/>
    <s v="Rua 359"/>
    <s v="Comp 359"/>
    <x v="12"/>
    <s v="U8-2VWS-OB6M"/>
    <d v="2024-12-12T00:00:00"/>
    <n v="59.5"/>
    <n v="59.5"/>
    <n v="7.7350000000000003"/>
    <n v="51.77"/>
    <n v="10.18"/>
    <n v="0.33"/>
    <n v="0.39877104377104378"/>
    <n v="0"/>
    <n v="40.861228956228956"/>
    <n v="20.430614478114478"/>
    <d v="2024-12-19T00:00:00"/>
    <d v="2024-12-19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0"/>
    <s v="Pedido 371"/>
    <d v="2024-11-14T00:00:00"/>
    <d v="2024-11-14T00:00:00"/>
    <s v="PedidoF361"/>
    <s v="CódRastreio361"/>
    <n v="1"/>
    <s v="CPF 360"/>
    <s v="Nome 360"/>
    <s v="Tel 360"/>
    <s v="Cep 360"/>
    <s v="Rua 360"/>
    <s v="Comp 360"/>
    <x v="4"/>
    <s v="9G-BN48-QAPH"/>
    <d v="2024-12-13T00:00:00"/>
    <n v="18.5"/>
    <n v="18.5"/>
    <n v="2.7749999999999999"/>
    <n v="15.73"/>
    <n v="6.99"/>
    <n v="0.25"/>
    <n v="0.39877104377104378"/>
    <n v="0"/>
    <n v="8.0912289562289565"/>
    <n v="4.0456144781144783"/>
    <d v="2024-12-20T00:00:00"/>
    <d v="2024-12-20T00:00:00"/>
    <d v="2024-12-25T00:00:00"/>
    <d v="2025-01-02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10"/>
    <s v="Pedido 372"/>
    <d v="2024-11-14T00:00:00"/>
    <d v="2024-11-14T00:00:00"/>
    <s v="PedidoF362"/>
    <s v="CódRastreio362"/>
    <n v="1"/>
    <s v="CPF 361"/>
    <s v="Nome 361"/>
    <s v="Tel 361"/>
    <s v="Cep 361"/>
    <s v="Rua 361"/>
    <s v="Comp 361"/>
    <x v="10"/>
    <s v="MU-J80P-95WF"/>
    <d v="2024-12-13T00:00:00"/>
    <n v="59.5"/>
    <n v="59.5"/>
    <n v="7.7350000000000003"/>
    <n v="51.77"/>
    <n v="10.23"/>
    <n v="0.25"/>
    <n v="0.39877104377104378"/>
    <n v="0"/>
    <n v="40.891228956228957"/>
    <n v="20.445614478114479"/>
    <d v="2024-12-20T00:00:00"/>
    <d v="2024-12-20T00:00:00"/>
    <d v="2024-12-25T00:00:00"/>
    <d v="2025-01-02T00:00:00"/>
    <s v="2024 12"/>
    <s v="Aguardando Liberação"/>
    <s v="2024 11"/>
    <s v="ENTREGUE"/>
    <d v="2024-12-13T00:00:00"/>
    <s v="-"/>
    <m/>
    <n v="0"/>
    <n v="0"/>
    <n v="0"/>
    <n v="0"/>
    <n v="0"/>
  </r>
  <r>
    <s v="BV"/>
    <s v="BV45610"/>
    <s v="Pedido 373"/>
    <d v="2024-11-14T00:00:00"/>
    <d v="2024-11-14T00:00:00"/>
    <s v="PedidoF363"/>
    <s v="CódRastreio363"/>
    <n v="1"/>
    <s v="CPF 362"/>
    <s v="Nome 362"/>
    <s v="Tel 362"/>
    <s v="Cep 362"/>
    <s v="Rua 362"/>
    <s v="Comp 362"/>
    <x v="1"/>
    <s v="CK-YL6M-P5Y6"/>
    <d v="2024-12-07T00:00:00"/>
    <n v="29.5"/>
    <n v="29.5"/>
    <n v="3.835"/>
    <n v="25.67"/>
    <n v="11.99"/>
    <n v="0.25"/>
    <n v="0.39877104377104378"/>
    <n v="0"/>
    <n v="13.031228956228958"/>
    <n v="6.5156144781144789"/>
    <d v="2024-12-14T00:00:00"/>
    <d v="2024-12-14T00:00:00"/>
    <d v="2024-12-14T00:00:00"/>
    <d v="2024-12-16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10"/>
    <s v="Pedido 374"/>
    <d v="2024-11-14T00:00:00"/>
    <d v="2024-11-14T00:00:00"/>
    <s v="PedidoF364"/>
    <s v="CódRastreio364"/>
    <n v="1"/>
    <s v="CPF 363"/>
    <s v="Nome 363"/>
    <s v="Tel 363"/>
    <s v="Cep 363"/>
    <s v="Rua 363"/>
    <s v="Comp 363"/>
    <x v="15"/>
    <s v="HF-SI0F-XC7S"/>
    <d v="2024-12-20T00:00:00"/>
    <n v="54.4"/>
    <n v="54.4"/>
    <n v="7.6160000000000005"/>
    <n v="46.78"/>
    <n v="10.23"/>
    <n v="0.25"/>
    <n v="0.39877104377104378"/>
    <n v="0"/>
    <n v="35.901228956228955"/>
    <n v="17.950614478114478"/>
    <d v="2024-12-27T00:00:00"/>
    <d v="2024-12-27T00:00:00"/>
    <d v="2024-12-30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10"/>
    <s v="Pedido 375"/>
    <d v="2024-11-14T00:00:00"/>
    <d v="2024-11-14T00:00:00"/>
    <s v="PedidoF365"/>
    <s v="CódRastreio365"/>
    <n v="1"/>
    <s v="CPF 364"/>
    <s v="Nome 364"/>
    <s v="Tel 364"/>
    <s v="Cep 364"/>
    <s v="Rua 364"/>
    <s v="Comp 364"/>
    <x v="1"/>
    <s v="CK-YL6M-P5Y6"/>
    <d v="2024-12-07T00:00:00"/>
    <n v="29.5"/>
    <n v="29.5"/>
    <n v="3.835"/>
    <n v="25.67"/>
    <n v="11.99"/>
    <n v="0.25"/>
    <n v="0.39877104377104378"/>
    <n v="0"/>
    <n v="13.031228956228958"/>
    <n v="6.5156144781144789"/>
    <d v="2024-12-14T00:00:00"/>
    <d v="2024-12-14T00:00:00"/>
    <d v="2024-12-14T00:00:00"/>
    <d v="2024-12-16T00:00:00"/>
    <s v="2024 12"/>
    <s v="Aguardando Liberação"/>
    <s v="2024 11"/>
    <s v="ENTREGUE"/>
    <d v="2024-11-23T00:00:00"/>
    <s v="-"/>
    <m/>
    <n v="0"/>
    <n v="0"/>
    <n v="0"/>
    <n v="0"/>
    <n v="0"/>
  </r>
  <r>
    <s v="BV"/>
    <s v="BV45610"/>
    <s v="Pedido 376"/>
    <d v="2024-11-14T00:00:00"/>
    <d v="2024-11-14T00:00:00"/>
    <s v="PedidoF366"/>
    <s v="CódRastreio366"/>
    <n v="1"/>
    <s v="CPF 365"/>
    <s v="Nome 365"/>
    <s v="Tel 365"/>
    <s v="Cep 365"/>
    <s v="Rua 365"/>
    <s v="Comp 365"/>
    <x v="1"/>
    <s v="CK-YL6M-P5Y6"/>
    <d v="2024-12-07T00:00:00"/>
    <n v="29.5"/>
    <n v="29.5"/>
    <n v="3.835"/>
    <n v="25.67"/>
    <n v="11.99"/>
    <n v="0.25"/>
    <n v="0.39877104377104378"/>
    <n v="0"/>
    <n v="13.031228956228958"/>
    <n v="6.5156144781144789"/>
    <d v="2024-12-14T00:00:00"/>
    <d v="2024-12-14T00:00:00"/>
    <d v="2024-12-14T00:00:00"/>
    <d v="2024-12-16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10"/>
    <s v="Pedido 377"/>
    <d v="2024-11-14T00:00:00"/>
    <d v="2024-11-14T00:00:00"/>
    <s v="PedidoF367"/>
    <s v="CódRastreio367"/>
    <n v="1"/>
    <s v="CPF 366"/>
    <s v="Nome 366"/>
    <s v="Tel 366"/>
    <s v="Cep 366"/>
    <s v="Rua 366"/>
    <s v="Comp 366"/>
    <x v="1"/>
    <s v="CK-YL6M-P5Y6"/>
    <d v="2024-12-03T00:00:00"/>
    <n v="29.5"/>
    <n v="29.5"/>
    <n v="3.835"/>
    <n v="25.67"/>
    <n v="11.99"/>
    <n v="0.25"/>
    <n v="0.39877104377104378"/>
    <n v="0"/>
    <n v="13.031228956228958"/>
    <n v="6.5156144781144789"/>
    <d v="2024-12-10T00:00:00"/>
    <d v="2024-12-10T00:00:00"/>
    <d v="2024-12-11T00:00:00"/>
    <d v="2024-12-16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13"/>
    <s v="Pedido 378"/>
    <d v="2024-11-17T00:00:00"/>
    <d v="2024-11-17T00:00:00"/>
    <s v="PedidoF368"/>
    <s v="CódRastreio368"/>
    <n v="1"/>
    <s v="CPF 367"/>
    <s v="Nome 367"/>
    <s v="Tel 367"/>
    <s v="Cep 367"/>
    <s v="Rua 367"/>
    <s v="Comp 367"/>
    <x v="12"/>
    <s v="U8-2VWS-OB6M"/>
    <d v="2024-12-20T00:00:00"/>
    <n v="100"/>
    <n v="100"/>
    <n v="13"/>
    <n v="87"/>
    <n v="10.220000000000001"/>
    <n v="0.4"/>
    <n v="0.39877104377104378"/>
    <n v="0"/>
    <n v="75.981228956228961"/>
    <n v="37.99061447811448"/>
    <d v="2024-12-27T00:00:00"/>
    <d v="2024-12-27T00:00:00"/>
    <d v="2024-12-30T00:00:00"/>
    <d v="2025-01-02T00:00:00"/>
    <s v="2024 12"/>
    <s v="Aguardando Liberação"/>
    <s v="2024 11"/>
    <s v="ENTREGUE"/>
    <d v="2024-12-17T00:00:00"/>
    <s v="-"/>
    <m/>
    <n v="0"/>
    <n v="0"/>
    <n v="0"/>
    <n v="0"/>
    <n v="0"/>
  </r>
  <r>
    <s v="BV"/>
    <s v="BV45614"/>
    <s v="Pedido 379"/>
    <d v="2024-11-18T00:00:00"/>
    <d v="2024-11-18T00:00:00"/>
    <s v="PedidoF369"/>
    <s v="CódRastreio369"/>
    <n v="1"/>
    <s v="CPF 368"/>
    <s v="Nome 368"/>
    <s v="Tel 368"/>
    <s v="Cep 368"/>
    <s v="Rua 368"/>
    <s v="Comp 368"/>
    <x v="3"/>
    <s v="IF-G2ZQ-79FO"/>
    <d v="2024-12-07T00:00:00"/>
    <n v="59.2"/>
    <n v="59.2"/>
    <n v="7.6960000000000006"/>
    <n v="51.5"/>
    <n v="10.199999999999999"/>
    <n v="0.17"/>
    <n v="0.39877104377104378"/>
    <n v="0"/>
    <n v="40.731228956228961"/>
    <n v="20.36561447811448"/>
    <d v="2024-12-14T00:00:00"/>
    <d v="2024-12-14T00:00:00"/>
    <d v="2024-12-14T00:00:00"/>
    <d v="2024-12-16T00:00:00"/>
    <s v="2024 12"/>
    <s v="Aguardando Liberação"/>
    <s v="2024 11"/>
    <s v="ENTREGUE"/>
    <d v="2024-12-05T12:31:34"/>
    <s v="-"/>
    <m/>
    <n v="0"/>
    <n v="0"/>
    <n v="0"/>
    <n v="0"/>
    <n v="0"/>
  </r>
  <r>
    <s v="BV"/>
    <s v="BV45614"/>
    <s v="Pedido 380"/>
    <d v="2024-11-18T00:00:00"/>
    <d v="2024-11-18T00:00:00"/>
    <s v="PedidoF370"/>
    <s v="CódRastreio370"/>
    <n v="1"/>
    <s v="CPF 369"/>
    <s v="Nome 369"/>
    <s v="Tel 369"/>
    <s v="Cep 369"/>
    <s v="Rua 369"/>
    <s v="Comp 369"/>
    <x v="12"/>
    <s v="U8-2VWS-OB6M"/>
    <d v="2024-12-13T00:00:00"/>
    <n v="59.2"/>
    <n v="59.2"/>
    <n v="7.6960000000000006"/>
    <n v="51.5"/>
    <n v="10.199999999999999"/>
    <n v="0.17"/>
    <n v="0.39877104377104378"/>
    <n v="0"/>
    <n v="40.731228956228961"/>
    <n v="20.36561447811448"/>
    <d v="2024-12-20T00:00:00"/>
    <d v="2024-12-20T00:00:00"/>
    <d v="2024-12-25T00:00:00"/>
    <d v="2025-01-02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14"/>
    <s v="Pedido 381"/>
    <d v="2024-11-18T00:00:00"/>
    <d v="2024-11-18T00:00:00"/>
    <s v="PedidoF371"/>
    <s v="CódRastreio371"/>
    <n v="1"/>
    <s v="CPF 370"/>
    <s v="Nome 370"/>
    <s v="Tel 370"/>
    <s v="Cep 370"/>
    <s v="Rua 370"/>
    <s v="Comp 370"/>
    <x v="1"/>
    <s v="CK-YL6M-P5Y6"/>
    <d v="2024-12-04T00:00:00"/>
    <n v="31.5"/>
    <n v="31.5"/>
    <n v="4.0949999999999998"/>
    <n v="27.41"/>
    <n v="11.99"/>
    <n v="0.17"/>
    <n v="0.39877104377104378"/>
    <n v="0"/>
    <n v="14.851228956228956"/>
    <n v="7.4256144781144782"/>
    <d v="2024-12-11T00:00:00"/>
    <d v="2024-12-11T00:00:00"/>
    <d v="2024-12-11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14"/>
    <s v="Pedido 382"/>
    <d v="2024-11-18T00:00:00"/>
    <d v="2024-11-18T00:00:00"/>
    <s v="PedidoF372"/>
    <s v="CódRastreio372"/>
    <n v="1"/>
    <s v="CPF 371"/>
    <s v="Nome 371"/>
    <s v="Tel 371"/>
    <s v="Cep 371"/>
    <s v="Rua 371"/>
    <s v="Comp 371"/>
    <x v="1"/>
    <s v="CK-YL6M-P5Y6"/>
    <d v="2024-12-10T00:00:00"/>
    <n v="31.5"/>
    <n v="31.5"/>
    <n v="4.0949999999999998"/>
    <n v="27.41"/>
    <n v="11.99"/>
    <n v="0.17"/>
    <n v="0.39877104377104378"/>
    <n v="0"/>
    <n v="14.851228956228956"/>
    <n v="7.4256144781144782"/>
    <d v="2024-12-17T00:00:00"/>
    <d v="2024-12-17T00:00:00"/>
    <d v="2024-12-25T00:00:00"/>
    <d v="2025-01-02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14"/>
    <s v="Pedido 383"/>
    <d v="2024-11-18T00:00:00"/>
    <d v="2024-11-18T00:00:00"/>
    <s v="PedidoF373"/>
    <s v="CódRastreio373"/>
    <n v="1"/>
    <s v="CPF 372"/>
    <s v="Nome 372"/>
    <s v="Tel 372"/>
    <s v="Cep 372"/>
    <s v="Rua 372"/>
    <s v="Comp 372"/>
    <x v="13"/>
    <s v="YA-AG3H-SPUK"/>
    <d v="2024-12-04T00:00:00"/>
    <n v="17.100000000000001"/>
    <n v="17.100000000000001"/>
    <n v="2.052"/>
    <n v="15.05"/>
    <n v="6.99"/>
    <n v="0.17"/>
    <n v="0.39877104377104378"/>
    <n v="0"/>
    <n v="7.4912289562289569"/>
    <n v="3.7456144781144785"/>
    <d v="2024-12-11T00:00:00"/>
    <d v="2024-12-11T00:00:00"/>
    <d v="2024-12-11T00:00:00"/>
    <d v="2024-12-16T00:00:00"/>
    <s v="2024 12"/>
    <s v="Aguardando Liberação"/>
    <s v="2024 11"/>
    <s v="ENTREGUE"/>
    <d v="2024-11-22T00:00:00"/>
    <s v="-"/>
    <m/>
    <n v="0"/>
    <n v="0"/>
    <n v="0"/>
    <n v="0"/>
    <n v="0"/>
  </r>
  <r>
    <s v="BV"/>
    <s v="BV45614"/>
    <s v="Pedido 384"/>
    <d v="2024-11-18T00:00:00"/>
    <d v="2024-11-18T00:00:00"/>
    <s v="PedidoF374"/>
    <s v="CódRastreio374"/>
    <n v="1"/>
    <s v="CPF 373"/>
    <s v="Nome 373"/>
    <s v="Tel 373"/>
    <s v="Cep 373"/>
    <s v="Rua 373"/>
    <s v="Comp 373"/>
    <x v="12"/>
    <s v="U8-2VWS-OB6M"/>
    <d v="2024-12-14T00:00:00"/>
    <n v="59.2"/>
    <n v="59.2"/>
    <n v="7.6960000000000006"/>
    <n v="51.5"/>
    <n v="0"/>
    <n v="0.17"/>
    <n v="0.39877104377104378"/>
    <n v="0"/>
    <n v="50.931228956228956"/>
    <n v="25.465614478114478"/>
    <d v="2024-12-21T00:00:00"/>
    <d v="2024-12-21T00:00:00"/>
    <d v="2024-12-25T00:00:00"/>
    <d v="2025-01-02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14"/>
    <s v="Pedido 385"/>
    <d v="2024-11-18T00:00:00"/>
    <d v="2024-11-18T00:00:00"/>
    <s v="PedidoF375"/>
    <s v="CódRastreio375"/>
    <n v="1"/>
    <s v="CPF 374"/>
    <s v="Nome 374"/>
    <s v="Tel 374"/>
    <s v="Cep 374"/>
    <s v="Rua 374"/>
    <s v="Comp 374"/>
    <x v="3"/>
    <s v="IF-G2ZQ-79FO"/>
    <d v="2024-12-10T00:00:00"/>
    <n v="59.2"/>
    <n v="59.2"/>
    <n v="7.6960000000000006"/>
    <n v="51.5"/>
    <n v="10.199999999999999"/>
    <n v="0.17"/>
    <n v="0.39877104377104378"/>
    <n v="0"/>
    <n v="40.731228956228961"/>
    <n v="20.36561447811448"/>
    <d v="2024-12-17T00:00:00"/>
    <d v="2024-12-17T00:00:00"/>
    <d v="2024-12-25T00:00:00"/>
    <d v="2025-01-02T00:00:00"/>
    <s v="2024 12"/>
    <s v="Aguardando Liberação"/>
    <s v="2024 11"/>
    <s v="ENTREGUE"/>
    <d v="2024-11-29T00:00:00"/>
    <s v="-"/>
    <m/>
    <n v="0"/>
    <n v="0"/>
    <n v="0"/>
    <n v="0"/>
    <n v="0"/>
  </r>
  <r>
    <s v="BV"/>
    <s v="BV45614"/>
    <s v="Pedido 386"/>
    <d v="2024-11-18T00:00:00"/>
    <d v="2024-11-18T00:00:00"/>
    <s v="PedidoF376"/>
    <s v="CódRastreio376"/>
    <n v="1"/>
    <s v="CPF 375"/>
    <s v="Nome 375"/>
    <s v="Tel 375"/>
    <s v="Cep 375"/>
    <s v="Rua 375"/>
    <s v="Comp 375"/>
    <x v="11"/>
    <s v="BP-NHG2-B8C1"/>
    <d v="2024-12-10T00:00:00"/>
    <n v="48.5"/>
    <n v="48.5"/>
    <n v="6.3050000000000006"/>
    <n v="42.2"/>
    <n v="10.199999999999999"/>
    <n v="0.17"/>
    <n v="0.39877104377104378"/>
    <n v="0"/>
    <n v="31.43122895622896"/>
    <n v="15.71561447811448"/>
    <d v="2024-12-17T00:00:00"/>
    <d v="2024-12-17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45614"/>
    <s v="Pedido 387"/>
    <d v="2024-11-18T00:00:00"/>
    <d v="2024-11-18T00:00:00"/>
    <s v="PedidoF377"/>
    <s v="CódRastreio377"/>
    <n v="1"/>
    <s v="CPF 376"/>
    <s v="Nome 376"/>
    <s v="Tel 376"/>
    <s v="Cep 376"/>
    <s v="Rua 376"/>
    <s v="Comp 376"/>
    <x v="3"/>
    <s v="IF-G2ZQ-79FO"/>
    <d v="2024-12-14T00:00:00"/>
    <n v="59.2"/>
    <n v="59.2"/>
    <n v="7.6960000000000006"/>
    <n v="51.5"/>
    <n v="10.199999999999999"/>
    <n v="0.17"/>
    <n v="0.39877104377104378"/>
    <n v="0"/>
    <n v="40.731228956228961"/>
    <n v="20.36561447811448"/>
    <d v="2024-12-21T00:00:00"/>
    <d v="2024-12-21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4"/>
    <s v="Pedido 388"/>
    <d v="2024-11-18T00:00:00"/>
    <d v="2024-11-18T00:00:00"/>
    <s v="PedidoF378"/>
    <s v="CódRastreio378"/>
    <n v="1"/>
    <s v="CPF 377"/>
    <s v="Nome 377"/>
    <s v="Tel 377"/>
    <s v="Cep 377"/>
    <s v="Rua 377"/>
    <s v="Comp 377"/>
    <x v="1"/>
    <s v="CK-YL6M-P5Y6"/>
    <d v="2024-12-06T00:00:00"/>
    <n v="31.5"/>
    <n v="31.5"/>
    <n v="4.0949999999999998"/>
    <n v="27.41"/>
    <n v="11.99"/>
    <n v="0.17"/>
    <n v="0.39877104377104378"/>
    <n v="0"/>
    <n v="14.851228956228956"/>
    <n v="7.4256144781144782"/>
    <d v="2024-12-13T00:00:00"/>
    <d v="2024-12-13T00:00:00"/>
    <d v="2024-12-14T00:00:00"/>
    <d v="2024-12-16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14"/>
    <s v="Pedido 389"/>
    <d v="2024-11-18T00:00:00"/>
    <d v="2024-11-18T00:00:00"/>
    <s v="PedidoF379"/>
    <s v="CódRastreio379"/>
    <n v="1"/>
    <s v="CPF 314"/>
    <s v="Nome 314"/>
    <s v="Tel 314"/>
    <s v="Cep 314"/>
    <s v="Rua 314"/>
    <s v="Comp 314"/>
    <x v="1"/>
    <s v="CK-YL6M-P5Y6"/>
    <d v="2024-12-10T00:00:00"/>
    <n v="31.5"/>
    <n v="31.5"/>
    <n v="4.0949999999999998"/>
    <n v="27.41"/>
    <n v="11.99"/>
    <n v="0.17"/>
    <n v="0.39877104377104378"/>
    <n v="0"/>
    <n v="14.851228956228956"/>
    <n v="7.4256144781144782"/>
    <d v="2024-12-17T00:00:00"/>
    <d v="2024-12-17T00:00:00"/>
    <d v="2024-12-25T00:00:00"/>
    <d v="2025-01-02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15"/>
    <s v="Pedido 390"/>
    <d v="2024-11-19T00:00:00"/>
    <d v="2024-11-19T00:00:00"/>
    <s v="PedidoF380"/>
    <s v="CódRastreio380"/>
    <n v="1"/>
    <s v="CPF 378"/>
    <s v="Nome 378"/>
    <s v="Tel 378"/>
    <s v="Cep 378"/>
    <s v="Rua 378"/>
    <s v="Comp 378"/>
    <x v="11"/>
    <s v="BP-NHG2-B8C1"/>
    <d v="2024-12-10T00:00:00"/>
    <n v="48.99"/>
    <n v="48.99"/>
    <n v="6.3687000000000005"/>
    <n v="42.62"/>
    <n v="10.199999999999999"/>
    <n v="0.21"/>
    <n v="0.39877104377104378"/>
    <n v="0"/>
    <n v="31.811228956228952"/>
    <n v="15.905614478114476"/>
    <d v="2024-12-17T00:00:00"/>
    <d v="2024-12-17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5"/>
    <s v="Pedido 391"/>
    <d v="2024-11-19T00:00:00"/>
    <d v="2024-11-19T00:00:00"/>
    <s v="PedidoF381"/>
    <s v="CódRastreio381"/>
    <n v="1"/>
    <s v="CPF 379"/>
    <s v="Nome 379"/>
    <s v="Tel 379"/>
    <s v="Cep 379"/>
    <s v="Rua 379"/>
    <s v="Comp 379"/>
    <x v="10"/>
    <s v="MU-J80P-95WF"/>
    <d v="2024-12-10T00:00:00"/>
    <n v="59.2"/>
    <n v="59.2"/>
    <n v="7.6960000000000006"/>
    <n v="51.5"/>
    <n v="0"/>
    <n v="0.21"/>
    <n v="0.39877104377104378"/>
    <n v="0"/>
    <n v="50.891228956228957"/>
    <n v="25.445614478114479"/>
    <d v="2024-12-17T00:00:00"/>
    <d v="2025-01-03T00:00:00"/>
    <d v="2024-12-25T00:00:00"/>
    <d v="2025-01-02T00:00:00"/>
    <s v="2024 12"/>
    <s v="Aguardando Liberação"/>
    <s v="2024 11"/>
    <s v="ENTREGUE"/>
    <d v="2024-11-29T00:00:00"/>
    <s v="-"/>
    <m/>
    <n v="0"/>
    <n v="0"/>
    <n v="0"/>
    <n v="0"/>
    <n v="0"/>
  </r>
  <r>
    <s v="BV"/>
    <s v="BV45615"/>
    <s v="Pedido 392"/>
    <d v="2024-11-19T00:00:00"/>
    <d v="2024-11-19T00:00:00"/>
    <s v="PedidoF382"/>
    <s v="CódRastreio382"/>
    <n v="1"/>
    <s v="CPF 380"/>
    <s v="Nome 380"/>
    <s v="Tel 380"/>
    <s v="Cep 380"/>
    <s v="Rua 380"/>
    <s v="Comp 380"/>
    <x v="11"/>
    <s v="BP-NHG2-B8C1"/>
    <d v="2024-12-10T00:00:00"/>
    <n v="48.99"/>
    <n v="48.99"/>
    <n v="6.3687000000000005"/>
    <n v="42.62"/>
    <n v="10.199999999999999"/>
    <n v="0.21"/>
    <n v="0.39877104377104378"/>
    <n v="0"/>
    <n v="31.811228956228952"/>
    <n v="15.905614478114476"/>
    <d v="2024-12-17T00:00:00"/>
    <d v="2024-12-17T00:00:00"/>
    <d v="2024-12-25T00:00:00"/>
    <d v="2025-01-02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15"/>
    <s v="Pedido 393"/>
    <d v="2024-11-19T00:00:00"/>
    <d v="2024-11-19T00:00:00"/>
    <s v="PedidoF383"/>
    <s v="CódRastreio383"/>
    <n v="1"/>
    <s v="CPF 378"/>
    <s v="Nome 378"/>
    <s v="Tel 378"/>
    <s v="Cep 378"/>
    <s v="Rua 378"/>
    <s v="Comp 378"/>
    <x v="11"/>
    <s v="BP-NHG2-B8C1"/>
    <d v="2024-12-10T00:00:00"/>
    <n v="48.99"/>
    <n v="48.99"/>
    <n v="6.3687000000000005"/>
    <n v="42.62"/>
    <n v="10.199999999999999"/>
    <n v="0.21"/>
    <n v="0.39877104377104378"/>
    <n v="0"/>
    <n v="31.811228956228952"/>
    <n v="15.905614478114476"/>
    <d v="2024-12-17T00:00:00"/>
    <d v="2024-12-17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5"/>
    <s v="Pedido 394"/>
    <d v="2024-11-19T00:00:00"/>
    <d v="2024-11-19T00:00:00"/>
    <s v="PedidoF384"/>
    <s v="CódRastreio384"/>
    <n v="1"/>
    <s v="CPF 381"/>
    <s v="Nome 381"/>
    <s v="Tel 381"/>
    <s v="Cep 381"/>
    <s v="Rua 381"/>
    <s v="Comp 381"/>
    <x v="16"/>
    <s v="RB-W251-UXV2"/>
    <d v="2024-12-17T00:00:00"/>
    <n v="27.99"/>
    <n v="27.99"/>
    <n v="3.6387"/>
    <n v="24.35"/>
    <n v="10.19"/>
    <n v="0.21"/>
    <n v="0.39877104377104378"/>
    <n v="0"/>
    <n v="13.551228956228957"/>
    <n v="6.7756144781144787"/>
    <d v="2024-12-24T00:00:00"/>
    <d v="2024-12-24T00:00:00"/>
    <d v="2024-12-25T00:00:00"/>
    <d v="2025-01-02T00:00:00"/>
    <s v="2024 12"/>
    <s v="Aguardando Liberação"/>
    <s v="2024 11"/>
    <s v="ENTREGUE"/>
    <d v="2024-12-06T09:47:38"/>
    <s v="-"/>
    <m/>
    <n v="0"/>
    <n v="0"/>
    <n v="0"/>
    <n v="0"/>
    <n v="0"/>
  </r>
  <r>
    <s v="BV"/>
    <s v="BV45615"/>
    <s v="Pedido 395"/>
    <d v="2024-11-19T00:00:00"/>
    <d v="2024-11-19T00:00:00"/>
    <s v="PedidoF385"/>
    <s v="CódRastreio385"/>
    <n v="1"/>
    <s v="CPF 382"/>
    <s v="Nome 382"/>
    <s v="Tel 382"/>
    <s v="Cep 382"/>
    <s v="Rua 382"/>
    <s v="Comp 382"/>
    <x v="1"/>
    <s v="CK-YL6M-P5Y6"/>
    <d v="2024-12-11T00:00:00"/>
    <n v="31.5"/>
    <n v="31.5"/>
    <n v="4.0949999999999998"/>
    <n v="27.41"/>
    <n v="11.99"/>
    <n v="0.21"/>
    <n v="0.39877104377104378"/>
    <n v="0"/>
    <n v="14.811228956228955"/>
    <n v="7.4056144781144777"/>
    <d v="2024-12-18T00:00:00"/>
    <d v="2024-12-18T00:00:00"/>
    <d v="2024-12-25T00:00:00"/>
    <d v="2025-01-02T00:00:00"/>
    <s v="2024 12"/>
    <s v="Aguardando Liberação"/>
    <s v="2024 11"/>
    <s v="ENTREGUE"/>
    <d v="2024-11-29T00:00:00"/>
    <s v="-"/>
    <m/>
    <n v="0"/>
    <n v="0"/>
    <n v="0"/>
    <n v="0"/>
    <n v="0"/>
  </r>
  <r>
    <s v="BV"/>
    <s v="BV45615"/>
    <s v="Pedido 396"/>
    <d v="2024-11-19T00:00:00"/>
    <d v="2024-11-19T00:00:00"/>
    <s v="PedidoF386"/>
    <s v="CódRastreio386"/>
    <n v="1"/>
    <s v="CPF 383"/>
    <s v="Nome 383"/>
    <s v="Tel 383"/>
    <s v="Cep 383"/>
    <s v="Rua 383"/>
    <s v="Comp 383"/>
    <x v="11"/>
    <s v="BP-NHG2-B8C1"/>
    <d v="2024-12-17T00:00:00"/>
    <n v="48.99"/>
    <n v="48.99"/>
    <n v="6.3687000000000005"/>
    <n v="42.62"/>
    <n v="10.19"/>
    <n v="0.21"/>
    <n v="0.39877104377104378"/>
    <n v="0"/>
    <n v="31.821228956228953"/>
    <n v="15.910614478114477"/>
    <d v="2024-12-24T00:00:00"/>
    <d v="2024-12-24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5"/>
    <s v="Pedido 397"/>
    <d v="2024-11-19T00:00:00"/>
    <d v="2024-11-19T00:00:00"/>
    <s v="PedidoF387"/>
    <s v="CódRastreio387"/>
    <n v="1"/>
    <s v="CPF 384"/>
    <s v="Nome 384"/>
    <s v="Tel 384"/>
    <s v="Cep 384"/>
    <s v="Rua 384"/>
    <s v="Comp 384"/>
    <x v="11"/>
    <s v="BP-NHG2-B8C1"/>
    <d v="2024-12-17T00:00:00"/>
    <n v="48.99"/>
    <n v="48.99"/>
    <n v="6.3687000000000005"/>
    <n v="42.62"/>
    <n v="10.19"/>
    <n v="0.21"/>
    <n v="0.39877104377104378"/>
    <n v="0"/>
    <n v="31.821228956228953"/>
    <n v="15.910614478114477"/>
    <d v="2024-12-24T00:00:00"/>
    <d v="2024-12-24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5"/>
    <s v="Pedido 398"/>
    <d v="2024-11-19T00:00:00"/>
    <d v="2024-11-19T00:00:00"/>
    <s v="PedidoF388"/>
    <s v="CódRastreio388"/>
    <n v="1"/>
    <s v="CPF 385"/>
    <s v="Nome 385"/>
    <s v="Tel 385"/>
    <s v="Cep 385"/>
    <s v="Rua 385"/>
    <s v="Comp 385"/>
    <x v="1"/>
    <s v="CK-YL6M-P5Y6"/>
    <d v="2024-12-17T00:00:00"/>
    <n v="31.5"/>
    <n v="31.5"/>
    <n v="4.0949999999999998"/>
    <n v="27.41"/>
    <n v="11.99"/>
    <n v="0.21"/>
    <n v="0.39877104377104378"/>
    <n v="0"/>
    <n v="14.811228956228955"/>
    <n v="7.4056144781144777"/>
    <d v="2024-12-24T00:00:00"/>
    <d v="2024-12-24T00:00:00"/>
    <d v="2024-12-25T00:00:00"/>
    <d v="2025-01-02T00:00:00"/>
    <s v="2024 12"/>
    <s v="Aguardando Liberação"/>
    <s v="2024 11"/>
    <s v="ENTREGUE"/>
    <d v="2024-11-29T00:00:00"/>
    <s v="-"/>
    <m/>
    <n v="0"/>
    <n v="0"/>
    <n v="0"/>
    <n v="0"/>
    <n v="0"/>
  </r>
  <r>
    <s v="BV"/>
    <s v="BV45615"/>
    <s v="Pedido 399"/>
    <d v="2024-11-19T00:00:00"/>
    <d v="2024-11-19T00:00:00"/>
    <s v="PedidoF389"/>
    <s v="CódRastreio389"/>
    <n v="1"/>
    <s v="CPF 386"/>
    <s v="Nome 386"/>
    <s v="Tel 386"/>
    <s v="Cep 386"/>
    <s v="Rua 386"/>
    <s v="Comp 386"/>
    <x v="1"/>
    <s v="CK-YL6M-P5Y6"/>
    <d v="2024-12-07T00:00:00"/>
    <n v="31.5"/>
    <n v="31.5"/>
    <n v="4.0949999999999998"/>
    <n v="27.41"/>
    <n v="11.99"/>
    <n v="0.21"/>
    <n v="0.39877104377104378"/>
    <n v="0"/>
    <n v="14.811228956228955"/>
    <n v="7.4056144781144777"/>
    <d v="2024-12-14T00:00:00"/>
    <d v="2024-12-14T00:00:00"/>
    <d v="2024-12-14T00:00:00"/>
    <d v="2024-12-16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15"/>
    <s v="Pedido 400"/>
    <d v="2024-11-19T00:00:00"/>
    <d v="2024-11-19T00:00:00"/>
    <s v="PedidoF390"/>
    <s v="CódRastreio390"/>
    <n v="1"/>
    <s v="CPF 387"/>
    <s v="Nome 387"/>
    <s v="Tel 387"/>
    <s v="Cep 387"/>
    <s v="Rua 387"/>
    <s v="Comp 387"/>
    <x v="10"/>
    <s v="MU-J80P-95WF"/>
    <d v="2024-12-17T00:00:00"/>
    <n v="59.2"/>
    <n v="59.2"/>
    <n v="7.6960000000000006"/>
    <n v="51.5"/>
    <n v="10.19"/>
    <n v="0.21"/>
    <n v="0.39877104377104378"/>
    <n v="0"/>
    <n v="40.70122895622896"/>
    <n v="20.35061447811448"/>
    <d v="2024-12-24T00:00:00"/>
    <d v="2024-12-24T00:00:00"/>
    <d v="2024-12-25T00:00:00"/>
    <d v="2025-01-02T00:00:00"/>
    <s v="2024 12"/>
    <s v="Aguardando Liberação"/>
    <s v="2024 11"/>
    <s v="ENTREGUE"/>
    <d v="2024-12-17T00:00:00"/>
    <s v="-"/>
    <m/>
    <n v="0"/>
    <n v="0"/>
    <n v="0"/>
    <n v="0"/>
    <n v="0"/>
  </r>
  <r>
    <s v="BV"/>
    <s v="BV45615"/>
    <s v="Pedido 401"/>
    <d v="2024-11-19T00:00:00"/>
    <d v="2024-11-19T00:00:00"/>
    <s v="PedidoF391"/>
    <s v="CódRastreio391"/>
    <n v="1"/>
    <s v="CPF 388"/>
    <s v="Nome 388"/>
    <s v="Tel 388"/>
    <s v="Cep 388"/>
    <s v="Rua 388"/>
    <s v="Comp 388"/>
    <x v="1"/>
    <s v="CK-YL6M-P5Y6"/>
    <d v="2024-12-11T00:00:00"/>
    <n v="31.5"/>
    <n v="31.5"/>
    <n v="4.0949999999999998"/>
    <n v="27.41"/>
    <n v="11.99"/>
    <n v="0.21"/>
    <n v="0.39877104377104378"/>
    <n v="0"/>
    <n v="14.811228956228955"/>
    <n v="7.4056144781144777"/>
    <d v="2024-12-18T00:00:00"/>
    <d v="2024-12-18T00:00:00"/>
    <d v="2024-12-25T00:00:00"/>
    <d v="2025-01-02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15"/>
    <s v="Pedido 402"/>
    <d v="2024-11-19T00:00:00"/>
    <d v="2024-11-19T00:00:00"/>
    <s v="PedidoF392"/>
    <s v="CódRastreio392"/>
    <n v="1"/>
    <s v="CPF 389"/>
    <s v="Nome 389"/>
    <s v="Tel 389"/>
    <s v="Cep 389"/>
    <s v="Rua 389"/>
    <s v="Comp 389"/>
    <x v="11"/>
    <s v="BP-NHG2-B8C1"/>
    <d v="2024-12-17T00:00:00"/>
    <n v="48.99"/>
    <n v="48.99"/>
    <n v="6.3687000000000005"/>
    <n v="42.62"/>
    <n v="10.19"/>
    <n v="0.21"/>
    <n v="0.39877104377104378"/>
    <n v="0"/>
    <n v="31.821228956228953"/>
    <n v="15.910614478114477"/>
    <d v="2024-12-24T00:00:00"/>
    <d v="2024-12-24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45615"/>
    <s v="Pedido 403"/>
    <d v="2024-11-19T00:00:00"/>
    <d v="2024-11-19T00:00:00"/>
    <s v="PedidoF393"/>
    <s v="CódRastreio393"/>
    <n v="1"/>
    <s v="CPF 390"/>
    <s v="Nome 390"/>
    <s v="Tel 390"/>
    <s v="Cep 390"/>
    <s v="Rua 390"/>
    <s v="Comp 390"/>
    <x v="8"/>
    <s v="FM-QQ8Y-RZT4"/>
    <d v="2024-12-05T00:00:00"/>
    <n v="22.5"/>
    <n v="22.5"/>
    <n v="2.9250000000000003"/>
    <n v="19.579999999999998"/>
    <n v="11.99"/>
    <n v="0.21"/>
    <n v="0.39877104377104378"/>
    <n v="0"/>
    <n v="6.9812289562289536"/>
    <n v="3.4906144781144768"/>
    <d v="2024-12-12T00:00:00"/>
    <d v="2024-12-12T00:00:00"/>
    <d v="2024-12-14T00:00:00"/>
    <d v="2024-12-16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16"/>
    <s v="Pedido 404"/>
    <d v="2024-11-20T00:00:00"/>
    <d v="2024-11-20T00:00:00"/>
    <s v="PedidoF394"/>
    <s v="CódRastreio394"/>
    <n v="1"/>
    <s v="CPF 391"/>
    <s v="Nome 391"/>
    <s v="Tel 391"/>
    <s v="Cep 391"/>
    <s v="Rua 391"/>
    <s v="Comp 391"/>
    <x v="17"/>
    <s v="IA-LLX9-MRV1"/>
    <d v="2024-12-17T00:00:00"/>
    <n v="52.99"/>
    <n v="52.99"/>
    <n v="7.4186000000000014"/>
    <n v="45.57"/>
    <n v="10.18"/>
    <n v="0.31"/>
    <n v="0.39877104377104378"/>
    <n v="0"/>
    <n v="34.681228956228956"/>
    <n v="17.340614478114478"/>
    <d v="2024-12-24T00:00:00"/>
    <d v="2024-12-24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-"/>
    <s v="Pedido 405"/>
    <d v="2024-12-01T00:00:00"/>
    <s v="-"/>
    <s v="-"/>
    <s v="-"/>
    <n v="1"/>
    <s v="CPF 392"/>
    <s v="Nome 392"/>
    <s v="Tel 392"/>
    <s v="Cep 392"/>
    <s v="Rua 392"/>
    <s v="Comp 392"/>
    <x v="11"/>
    <s v="BP-NHG2-B8C1"/>
    <d v="2024-12-11T00:00:00"/>
    <n v="48.99"/>
    <n v="48.99"/>
    <n v="6.3687000000000005"/>
    <n v="42.62"/>
    <n v="0"/>
    <n v="0"/>
    <n v="0"/>
    <n v="0"/>
    <n v="42.62"/>
    <n v="21.31"/>
    <d v="2024-12-18T00:00:00"/>
    <d v="2024-12-18T00:00:00"/>
    <d v="2024-12-25T00:00:00"/>
    <d v="2025-01-02T00:00:00"/>
    <s v="2024 12"/>
    <s v="Aguardando Liberação"/>
    <s v="- -"/>
    <s v="-"/>
    <s v="-"/>
    <s v="-"/>
    <m/>
    <n v="1.27"/>
    <n v="0"/>
    <n v="0"/>
    <n v="0"/>
    <n v="1.27"/>
  </r>
  <r>
    <s v="BV"/>
    <s v="BV45616"/>
    <s v="Pedido 406"/>
    <d v="2024-11-20T00:00:00"/>
    <d v="2024-11-20T00:00:00"/>
    <s v="PedidoF395"/>
    <s v="CódRastreio395"/>
    <n v="1"/>
    <s v="CPF 393"/>
    <s v="Nome 393"/>
    <s v="Tel 393"/>
    <s v="Cep 393"/>
    <s v="Rua 393"/>
    <s v="Comp 393"/>
    <x v="10"/>
    <s v="MU-J80P-95WF"/>
    <d v="2024-12-11T00:00:00"/>
    <n v="59.2"/>
    <n v="59.2"/>
    <n v="7.6960000000000006"/>
    <n v="51.5"/>
    <n v="10.81"/>
    <n v="0.31"/>
    <n v="0.39877104377104378"/>
    <n v="0"/>
    <n v="39.981228956228954"/>
    <n v="19.990614478114477"/>
    <d v="2024-12-18T00:00:00"/>
    <d v="2024-12-18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16"/>
    <s v="Pedido 407"/>
    <d v="2024-11-20T00:00:00"/>
    <d v="2024-11-20T00:00:00"/>
    <s v="PedidoF396"/>
    <s v="CódRastreio396"/>
    <n v="1"/>
    <s v="CPF 394"/>
    <s v="Nome 394"/>
    <s v="Tel 394"/>
    <s v="Cep 394"/>
    <s v="Rua 394"/>
    <s v="Comp 394"/>
    <x v="10"/>
    <s v="MU-J80P-95WF"/>
    <d v="2024-12-11T00:00:00"/>
    <n v="59.2"/>
    <n v="59.2"/>
    <n v="7.6960000000000006"/>
    <n v="51.5"/>
    <n v="11.14"/>
    <n v="0.31"/>
    <n v="0.39877104377104378"/>
    <n v="0"/>
    <n v="39.651228956228955"/>
    <n v="19.825614478114478"/>
    <d v="2024-12-18T00:00:00"/>
    <d v="2024-12-18T00:00:00"/>
    <d v="2024-12-25T00:00:00"/>
    <d v="2025-01-02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16"/>
    <s v="Pedido 408"/>
    <d v="2024-11-20T00:00:00"/>
    <d v="2024-11-20T00:00:00"/>
    <s v="PedidoF397"/>
    <s v="CódRastreio397"/>
    <n v="1"/>
    <s v="CPF 395"/>
    <s v="Nome 395"/>
    <s v="Tel 395"/>
    <s v="Cep 395"/>
    <s v="Rua 395"/>
    <s v="Comp 395"/>
    <x v="10"/>
    <s v="MU-J80P-95WF"/>
    <d v="2024-12-11T00:00:00"/>
    <n v="59.2"/>
    <n v="59.2"/>
    <n v="7.6960000000000006"/>
    <n v="51.5"/>
    <n v="11.14"/>
    <n v="0.31"/>
    <n v="0.39877104377104378"/>
    <n v="0"/>
    <n v="39.651228956228955"/>
    <n v="19.825614478114478"/>
    <d v="2024-12-18T00:00:00"/>
    <d v="2024-12-18T00:00:00"/>
    <d v="2024-12-25T00:00:00"/>
    <d v="2025-01-02T00:00:00"/>
    <s v="2024 12"/>
    <s v="Aguardando Liberação"/>
    <s v="2024 11"/>
    <s v="ENTREGUE"/>
    <d v="2024-12-06T14:25:07"/>
    <s v="-"/>
    <m/>
    <n v="0"/>
    <n v="0"/>
    <n v="0"/>
    <n v="0"/>
    <n v="0"/>
  </r>
  <r>
    <s v="BV"/>
    <s v="BV45616"/>
    <s v="Pedido 409"/>
    <d v="2024-11-20T00:00:00"/>
    <d v="2024-11-20T00:00:00"/>
    <s v="PedidoF398"/>
    <s v="CódRastreio398"/>
    <n v="1"/>
    <s v="CPF 396"/>
    <s v="Nome 396"/>
    <s v="Tel 396"/>
    <s v="Cep 396"/>
    <s v="Rua 396"/>
    <s v="Comp 396"/>
    <x v="8"/>
    <s v="FM-QQ8Y-RZT4"/>
    <d v="2024-12-05T00:00:00"/>
    <n v="22.5"/>
    <n v="22.5"/>
    <n v="2.9250000000000003"/>
    <n v="19.579999999999998"/>
    <n v="10.18"/>
    <n v="0.31"/>
    <n v="0.39877104377104378"/>
    <n v="0"/>
    <n v="8.6912289562289544"/>
    <n v="4.3456144781144772"/>
    <d v="2024-12-12T00:00:00"/>
    <d v="2024-12-12T00:00:00"/>
    <d v="2024-12-14T00:00:00"/>
    <d v="2024-12-16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45616"/>
    <s v="Pedido 410"/>
    <d v="2024-11-20T00:00:00"/>
    <d v="2024-11-20T00:00:00"/>
    <s v="PedidoF399"/>
    <s v="CódRastreio399"/>
    <n v="1"/>
    <s v="CPF 397"/>
    <s v="Nome 397"/>
    <s v="Tel 397"/>
    <s v="Cep 397"/>
    <s v="Rua 397"/>
    <s v="Comp 397"/>
    <x v="4"/>
    <s v="9G-BN48-QAPH"/>
    <d v="2024-12-11T00:00:00"/>
    <n v="18.100000000000001"/>
    <n v="18.100000000000001"/>
    <n v="2.7150000000000003"/>
    <n v="15.39"/>
    <n v="6.99"/>
    <n v="0.31"/>
    <n v="0.39877104377104378"/>
    <n v="0"/>
    <n v="7.6912289562289571"/>
    <n v="3.8456144781144785"/>
    <d v="2024-12-18T00:00:00"/>
    <d v="2024-12-18T00:00:00"/>
    <d v="2024-12-25T00:00:00"/>
    <d v="2025-01-02T00:00:00"/>
    <s v="2024 12"/>
    <s v="Aguardando Liberação"/>
    <s v="2024 11"/>
    <s v="ENTREGUE"/>
    <d v="2024-11-29T00:00:00"/>
    <s v="-"/>
    <m/>
    <n v="0"/>
    <n v="0"/>
    <n v="0"/>
    <n v="0"/>
    <n v="0"/>
  </r>
  <r>
    <s v="BV"/>
    <s v="BV45616"/>
    <s v="Pedido 411"/>
    <d v="2024-11-20T00:00:00"/>
    <d v="2024-11-20T00:00:00"/>
    <s v="PedidoF400"/>
    <s v="CódRastreio400"/>
    <n v="1"/>
    <s v="CPF 398"/>
    <s v="Nome 398"/>
    <s v="Tel 398"/>
    <s v="Cep 398"/>
    <s v="Rua 398"/>
    <s v="Comp 398"/>
    <x v="18"/>
    <s v="FK-T01D-KZC5"/>
    <d v="2024-12-17T00:00:00"/>
    <n v="18.989999999999998"/>
    <n v="18.989999999999998"/>
    <n v="2.4686999999999997"/>
    <n v="16.52"/>
    <n v="6.99"/>
    <n v="0.31"/>
    <n v="0.39877104377104378"/>
    <n v="0"/>
    <n v="8.821228956228957"/>
    <n v="4.4106144781144785"/>
    <d v="2024-12-24T00:00:00"/>
    <d v="2024-12-24T00:00:00"/>
    <d v="2024-12-25T00:00:00"/>
    <d v="2025-01-02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16"/>
    <s v="Pedido 412"/>
    <d v="2024-11-20T00:00:00"/>
    <d v="2024-11-20T00:00:00"/>
    <s v="PedidoF401"/>
    <s v="CódRastreio401"/>
    <n v="1"/>
    <s v="CPF 399"/>
    <s v="Nome 399"/>
    <s v="Tel 399"/>
    <s v="Cep 399"/>
    <s v="Rua 399"/>
    <s v="Comp 399"/>
    <x v="1"/>
    <s v="CK-YL6M-P5Y6"/>
    <d v="2024-12-11T00:00:00"/>
    <n v="31.5"/>
    <n v="31.5"/>
    <n v="4.0949999999999998"/>
    <n v="27.41"/>
    <n v="13.99"/>
    <n v="0.31"/>
    <n v="0.39877104377104378"/>
    <n v="0"/>
    <n v="12.711228956228956"/>
    <n v="6.3556144781144779"/>
    <d v="2024-12-18T00:00:00"/>
    <d v="2024-12-18T00:00:00"/>
    <d v="2024-12-25T00:00:00"/>
    <d v="2025-01-02T00:00:00"/>
    <s v="2024 12"/>
    <s v="Aguardando Liberação"/>
    <s v="2024 11"/>
    <s v="ENTREGUE"/>
    <d v="2024-11-28T00:00:00"/>
    <s v="-"/>
    <m/>
    <n v="0"/>
    <n v="0"/>
    <n v="0"/>
    <n v="0"/>
    <n v="0"/>
  </r>
  <r>
    <s v="BV"/>
    <s v="BV45616"/>
    <s v="Pedido 413"/>
    <d v="2024-11-20T00:00:00"/>
    <d v="2024-11-20T00:00:00"/>
    <s v="PedidoF402"/>
    <s v="CódRastreio402"/>
    <n v="1"/>
    <s v="CPF 400"/>
    <s v="Nome 400"/>
    <s v="Tel 400"/>
    <s v="Cep 400"/>
    <s v="Rua 400"/>
    <s v="Comp 400"/>
    <x v="3"/>
    <s v="IF-G2ZQ-79FO"/>
    <d v="2024-12-17T00:00:00"/>
    <n v="59.2"/>
    <n v="59.2"/>
    <n v="7.6960000000000006"/>
    <n v="51.5"/>
    <n v="10.59"/>
    <n v="0.31"/>
    <n v="0.39877104377104378"/>
    <n v="0"/>
    <n v="40.20122895622896"/>
    <n v="20.10061447811448"/>
    <d v="2024-12-24T00:00:00"/>
    <d v="2024-12-24T00:00:00"/>
    <d v="2024-12-25T00:00:00"/>
    <d v="2025-01-02T00:00:00"/>
    <s v="2024 12"/>
    <s v="Aguardando Liberação"/>
    <s v="2024 11"/>
    <s v="ENTREGUE"/>
    <d v="2024-12-03T00:00:00"/>
    <s v="-"/>
    <m/>
    <n v="0"/>
    <n v="0"/>
    <n v="0"/>
    <n v="0"/>
    <n v="0"/>
  </r>
  <r>
    <s v="BV"/>
    <s v="BV45616"/>
    <s v="Pedido 414"/>
    <d v="2024-11-20T00:00:00"/>
    <d v="2024-11-20T00:00:00"/>
    <s v="PedidoF403"/>
    <s v="CódRastreio403"/>
    <n v="1"/>
    <s v="CPF 401"/>
    <s v="Nome 401"/>
    <s v="Tel 401"/>
    <s v="Cep 401"/>
    <s v="Rua 401"/>
    <s v="Comp 401"/>
    <x v="18"/>
    <s v="FK-T01D-KZC5"/>
    <d v="2024-12-17T00:00:00"/>
    <n v="18.989999999999998"/>
    <n v="18.989999999999998"/>
    <n v="2.4686999999999997"/>
    <n v="16.52"/>
    <n v="6.99"/>
    <n v="0.31"/>
    <n v="0.39877104377104378"/>
    <n v="0"/>
    <n v="8.821228956228957"/>
    <n v="4.4106144781144785"/>
    <d v="2024-12-24T00:00:00"/>
    <d v="2024-12-24T00:00:00"/>
    <d v="2024-12-25T00:00:00"/>
    <d v="2025-01-02T00:00:00"/>
    <s v="2024 12"/>
    <s v="Aguardando Liberação"/>
    <s v="2024 11"/>
    <s v="ENTREGUE"/>
    <d v="2024-11-26T00:00:00"/>
    <s v="-"/>
    <m/>
    <n v="0"/>
    <n v="0"/>
    <n v="0"/>
    <n v="0"/>
    <n v="0"/>
  </r>
  <r>
    <s v="BV"/>
    <s v="BV45617"/>
    <s v="Pedido 415"/>
    <d v="2024-11-21T00:00:00"/>
    <d v="2024-11-21T00:00:00"/>
    <s v="PedidoF404"/>
    <s v="CódRastreio404"/>
    <n v="1"/>
    <s v="CPF 402"/>
    <s v="Nome 402"/>
    <s v="Tel 402"/>
    <s v="Cep 402"/>
    <s v="Rua 402"/>
    <s v="Comp 402"/>
    <x v="13"/>
    <s v="YA-AG3H-SPUK"/>
    <d v="2024-12-18T00:00:00"/>
    <n v="16.989999999999998"/>
    <n v="16.989999999999998"/>
    <n v="2.0387999999999997"/>
    <n v="14.95"/>
    <n v="6.99"/>
    <n v="0.21"/>
    <n v="0.39877104377104378"/>
    <n v="0"/>
    <n v="7.3512289562289554"/>
    <n v="3.6756144781144777"/>
    <d v="2024-12-25T00:00:00"/>
    <d v="2024-12-25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-"/>
    <s v="Pedido 415"/>
    <d v="2024-12-01T00:00:00"/>
    <s v="-"/>
    <s v="-"/>
    <s v="-"/>
    <n v="1"/>
    <s v="CPF 402"/>
    <s v="Nome 402"/>
    <s v="Tel 402"/>
    <s v="Cep 402"/>
    <s v="Rua 402"/>
    <s v="Comp 402"/>
    <x v="13"/>
    <s v="YA-AG3H-SPUK"/>
    <d v="2024-12-18T00:00:00"/>
    <n v="16.989999999999998"/>
    <n v="16.989999999999998"/>
    <n v="2.0387999999999997"/>
    <n v="14.95"/>
    <n v="0"/>
    <n v="0"/>
    <n v="0"/>
    <n v="0"/>
    <n v="14.95"/>
    <n v="7.4749999999999996"/>
    <d v="2024-12-25T00:00:00"/>
    <d v="2024-12-25T00:00:00"/>
    <d v="2024-12-25T00:00:00"/>
    <d v="2025-01-02T00:00:00"/>
    <s v="2024 12"/>
    <s v="Aguardando Liberação"/>
    <s v="- -"/>
    <s v="-"/>
    <s v="-"/>
    <s v="-"/>
    <m/>
    <n v="0"/>
    <n v="0"/>
    <n v="0"/>
    <n v="0"/>
    <n v="0"/>
  </r>
  <r>
    <s v="BV"/>
    <s v="BV45617"/>
    <s v="Pedido 416"/>
    <d v="2024-11-21T00:00:00"/>
    <d v="2024-11-21T00:00:00"/>
    <s v="PedidoF405"/>
    <s v="CódRastreio405"/>
    <n v="1"/>
    <s v="CPF 403"/>
    <s v="Nome 403"/>
    <s v="Tel 403"/>
    <s v="Cep 403"/>
    <s v="Rua 403"/>
    <s v="Comp 403"/>
    <x v="4"/>
    <s v="9G-BN48-QAPH"/>
    <d v="2024-12-06T00:00:00"/>
    <n v="18.100000000000001"/>
    <n v="18.100000000000001"/>
    <n v="2.7150000000000003"/>
    <n v="15.39"/>
    <n v="6.99"/>
    <n v="0.21"/>
    <n v="0.39877104377104378"/>
    <n v="0"/>
    <n v="7.7912289562289567"/>
    <n v="3.8956144781144784"/>
    <d v="2024-12-13T00:00:00"/>
    <d v="2024-12-13T00:00:00"/>
    <d v="2024-12-14T00:00:00"/>
    <d v="2024-12-16T00:00:00"/>
    <s v="2024 12"/>
    <s v="Aguardando Liberação"/>
    <s v="2024 11"/>
    <s v="ENTREGUE"/>
    <d v="2024-11-25T00:00:00"/>
    <s v="-"/>
    <m/>
    <n v="0"/>
    <n v="0"/>
    <n v="0"/>
    <n v="0"/>
    <n v="0"/>
  </r>
  <r>
    <s v="BV"/>
    <s v="BV45617"/>
    <s v="Pedido 417"/>
    <d v="2024-11-21T00:00:00"/>
    <d v="2024-11-21T00:00:00"/>
    <s v="PedidoF406"/>
    <s v="CódRastreio406"/>
    <n v="1"/>
    <s v="CPF 404"/>
    <s v="Nome 404"/>
    <s v="Tel 404"/>
    <s v="Cep 404"/>
    <s v="Rua 404"/>
    <s v="Comp 404"/>
    <x v="10"/>
    <s v="MU-J80P-95WF"/>
    <d v="2024-12-12T00:00:00"/>
    <n v="59.2"/>
    <n v="59.2"/>
    <n v="7.6960000000000006"/>
    <n v="51.5"/>
    <n v="16.010000000000002"/>
    <n v="0.21"/>
    <n v="0.39877104377104378"/>
    <n v="0"/>
    <n v="34.881228956228952"/>
    <n v="17.440614478114476"/>
    <d v="2024-12-19T00:00:00"/>
    <d v="2024-12-19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17"/>
    <s v="Pedido 418"/>
    <d v="2024-11-21T00:00:00"/>
    <d v="2024-11-21T00:00:00"/>
    <s v="PedidoF407"/>
    <s v="CódRastreio407"/>
    <n v="1"/>
    <s v="CPF 404"/>
    <s v="Nome 404"/>
    <s v="Tel 404"/>
    <s v="Cep 404"/>
    <s v="Rua 404"/>
    <s v="Comp 404"/>
    <x v="10"/>
    <s v="MU-J80P-95WF"/>
    <d v="2024-12-12T00:00:00"/>
    <n v="59.2"/>
    <n v="59.2"/>
    <n v="7.6960000000000006"/>
    <n v="51.5"/>
    <n v="16.010000000000002"/>
    <n v="0.21"/>
    <n v="0.39877104377104378"/>
    <n v="0"/>
    <n v="34.881228956228952"/>
    <n v="17.440614478114476"/>
    <d v="2024-12-19T00:00:00"/>
    <d v="2024-12-19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17"/>
    <s v="Pedido 419"/>
    <d v="2024-11-21T00:00:00"/>
    <d v="2024-11-21T00:00:00"/>
    <s v="PedidoF408"/>
    <s v="CódRastreio408"/>
    <n v="1"/>
    <s v="CPF 405"/>
    <s v="Nome 405"/>
    <s v="Tel 405"/>
    <s v="Cep 405"/>
    <s v="Rua 405"/>
    <s v="Comp 405"/>
    <x v="3"/>
    <s v="IF-G2ZQ-79FO"/>
    <d v="2024-12-27T00:00:00"/>
    <n v="59.2"/>
    <n v="59.2"/>
    <n v="7.6960000000000006"/>
    <n v="51.5"/>
    <n v="15.36"/>
    <n v="0.21"/>
    <n v="0.39877104377104378"/>
    <n v="0"/>
    <n v="35.531228956228958"/>
    <n v="17.765614478114479"/>
    <d v="2025-01-03T00:00:00"/>
    <d v="2025-01-03T00:00:00"/>
    <d v="2025-01-08T00:00:00"/>
    <d v="2025-01-16T00:00:00"/>
    <s v="2025 01"/>
    <s v="Aguardando Liberação"/>
    <s v="2024 11"/>
    <s v="ENTREGUE"/>
    <d v="2024-12-10T00:00:00"/>
    <s v="-"/>
    <m/>
    <n v="0"/>
    <n v="0"/>
    <n v="0"/>
    <n v="0"/>
    <n v="0"/>
  </r>
  <r>
    <s v="BV"/>
    <s v="BV45617"/>
    <s v="Pedido 420"/>
    <d v="2024-11-21T00:00:00"/>
    <d v="2024-11-21T00:00:00"/>
    <s v="PedidoF409"/>
    <s v="CódRastreio409"/>
    <n v="1"/>
    <s v="CPF 406"/>
    <s v="Nome 406"/>
    <s v="Tel 406"/>
    <s v="Cep 406"/>
    <s v="Rua 406"/>
    <s v="Comp 406"/>
    <x v="12"/>
    <s v="U8-2VWS-OB6M"/>
    <d v="2024-12-27T00:00:00"/>
    <n v="59.2"/>
    <n v="59.2"/>
    <n v="7.6960000000000006"/>
    <n v="51.5"/>
    <n v="15.36"/>
    <n v="0.21"/>
    <n v="0.39877104377104378"/>
    <n v="0"/>
    <n v="35.531228956228958"/>
    <n v="17.765614478114479"/>
    <d v="2025-01-03T00:00:00"/>
    <d v="2025-01-03T00:00:00"/>
    <d v="2025-01-08T00:00:00"/>
    <d v="2025-01-16T00:00:00"/>
    <s v="2025 01"/>
    <s v="Aguardando Liberação"/>
    <s v="2024 11"/>
    <s v="ENTREGUE"/>
    <d v="2024-12-03T00:00:00"/>
    <s v="-"/>
    <m/>
    <n v="0"/>
    <n v="0"/>
    <n v="0"/>
    <n v="0"/>
    <n v="0"/>
  </r>
  <r>
    <s v="BV"/>
    <s v="BV45617"/>
    <s v="Pedido 421"/>
    <d v="2024-11-21T00:00:00"/>
    <d v="2024-11-21T00:00:00"/>
    <s v="PedidoF410"/>
    <s v="CódRastreio410"/>
    <n v="1"/>
    <s v="CPF 407"/>
    <s v="Nome 407"/>
    <s v="Tel 407"/>
    <s v="Cep 407"/>
    <s v="Rua 407"/>
    <s v="Comp 407"/>
    <x v="3"/>
    <s v="IF-G2ZQ-79FO"/>
    <d v="2024-12-27T00:00:00"/>
    <n v="59.2"/>
    <n v="59.2"/>
    <n v="7.6960000000000006"/>
    <n v="51.5"/>
    <n v="15.36"/>
    <n v="0.21"/>
    <n v="0.39877104377104378"/>
    <n v="0"/>
    <n v="35.531228956228958"/>
    <n v="17.765614478114479"/>
    <d v="2025-01-03T00:00:00"/>
    <d v="2025-01-03T00:00:00"/>
    <d v="2025-01-08T00:00:00"/>
    <d v="2025-01-16T00:00:00"/>
    <s v="2025 01"/>
    <s v="Aguardando Liberação"/>
    <s v="2024 11"/>
    <s v="ENTREGUE"/>
    <d v="2024-12-20T00:00:00"/>
    <s v="-"/>
    <m/>
    <n v="0"/>
    <n v="0"/>
    <n v="0"/>
    <n v="0"/>
    <n v="0"/>
  </r>
  <r>
    <s v="BV"/>
    <s v="BV45617"/>
    <s v="Pedido 422"/>
    <d v="2024-11-21T00:00:00"/>
    <d v="2024-11-21T00:00:00"/>
    <s v="PedidoF411"/>
    <s v="CódRastreio411"/>
    <n v="1"/>
    <s v="CPF 408"/>
    <s v="Nome 408"/>
    <s v="Tel 408"/>
    <s v="Cep 408"/>
    <s v="Rua 408"/>
    <s v="Comp 408"/>
    <x v="10"/>
    <s v="MU-J80P-95WF"/>
    <d v="2024-12-12T00:00:00"/>
    <n v="59.2"/>
    <n v="59.2"/>
    <n v="7.6960000000000006"/>
    <n v="51.5"/>
    <n v="16.010000000000002"/>
    <n v="0.21"/>
    <n v="0.39877104377104378"/>
    <n v="0"/>
    <n v="34.881228956228952"/>
    <n v="17.440614478114476"/>
    <d v="2024-12-19T00:00:00"/>
    <d v="2024-12-19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-"/>
    <s v="Pedido 423"/>
    <d v="2024-12-01T00:00:00"/>
    <s v="-"/>
    <s v="-"/>
    <s v="-"/>
    <n v="1"/>
    <s v="CPF 409"/>
    <s v="Nome 409"/>
    <s v="Tel 409"/>
    <s v="Cep 409"/>
    <s v="Rua 409"/>
    <s v="Comp 409"/>
    <x v="2"/>
    <s v="DJ-RO5O-43GF"/>
    <d v="2024-12-06T00:00:00"/>
    <n v="18.5"/>
    <n v="18.5"/>
    <n v="2.5900000000000003"/>
    <n v="15.91"/>
    <n v="0"/>
    <n v="0"/>
    <n v="0"/>
    <n v="0"/>
    <n v="15.91"/>
    <n v="7.9550000000000001"/>
    <d v="2024-12-13T00:00:00"/>
    <d v="2024-12-13T00:00:00"/>
    <d v="2024-12-14T00:00:00"/>
    <d v="2024-12-16T00:00:00"/>
    <s v="2024 12"/>
    <s v="Aguardando Liberação"/>
    <s v="- -"/>
    <s v="-"/>
    <s v="-"/>
    <s v="-"/>
    <m/>
    <n v="0.52"/>
    <n v="0"/>
    <n v="0"/>
    <n v="0"/>
    <n v="0.52"/>
  </r>
  <r>
    <s v="BV"/>
    <s v="BV-"/>
    <s v="Pedido 424"/>
    <d v="2024-12-01T00:00:00"/>
    <s v="-"/>
    <s v="-"/>
    <s v="-"/>
    <n v="1"/>
    <s v="CPF 410"/>
    <s v="Nome 410"/>
    <s v="Tel 410"/>
    <s v="Cep 410"/>
    <s v="Rua 410"/>
    <s v="Comp 410"/>
    <x v="8"/>
    <s v="FM-QQ8Y-RZT4"/>
    <d v="2024-12-18T00:00:00"/>
    <n v="22.5"/>
    <n v="22.5"/>
    <n v="2.9250000000000003"/>
    <n v="19.579999999999998"/>
    <n v="0"/>
    <n v="0"/>
    <n v="0"/>
    <n v="0"/>
    <n v="19.579999999999998"/>
    <n v="9.7899999999999991"/>
    <d v="2024-12-25T00:00:00"/>
    <d v="2024-12-25T00:00:00"/>
    <d v="2024-12-25T00:00:00"/>
    <d v="2025-01-02T00:00:00"/>
    <s v="2024 12"/>
    <s v="Aguardando Liberação"/>
    <s v="- -"/>
    <s v="-"/>
    <s v="-"/>
    <s v="-"/>
    <m/>
    <n v="0.59"/>
    <n v="0"/>
    <n v="0"/>
    <n v="0"/>
    <n v="0.59"/>
  </r>
  <r>
    <s v="BV"/>
    <s v="BV45617"/>
    <s v="Pedido 425"/>
    <d v="2024-11-21T00:00:00"/>
    <d v="2024-11-21T00:00:00"/>
    <s v="PedidoF412"/>
    <s v="CódRastreio412"/>
    <n v="1"/>
    <s v="CPF 411"/>
    <s v="Nome 411"/>
    <s v="Tel 411"/>
    <s v="Cep 411"/>
    <s v="Rua 411"/>
    <s v="Comp 411"/>
    <x v="13"/>
    <s v="YA-AG3H-SPUK"/>
    <d v="2024-12-06T00:00:00"/>
    <n v="16.989999999999998"/>
    <n v="16.989999999999998"/>
    <n v="2.0387999999999997"/>
    <n v="14.95"/>
    <n v="6.99"/>
    <n v="0.21"/>
    <n v="0.39877104377104378"/>
    <n v="0"/>
    <n v="7.3512289562289554"/>
    <n v="3.6756144781144777"/>
    <d v="2024-12-13T00:00:00"/>
    <d v="2024-12-13T00:00:00"/>
    <d v="2024-12-14T00:00:00"/>
    <d v="2024-12-16T00:00:00"/>
    <s v="2024 12"/>
    <s v="Aguardando Liberação"/>
    <s v="2024 11"/>
    <s v="ENTREGUE"/>
    <d v="2024-11-27T00:00:00"/>
    <s v="-"/>
    <m/>
    <n v="0"/>
    <n v="0"/>
    <n v="0"/>
    <n v="0"/>
    <n v="0"/>
  </r>
  <r>
    <s v="BV"/>
    <s v="BV45618"/>
    <s v="Pedido 426"/>
    <d v="2024-11-22T00:00:00"/>
    <d v="2024-11-22T00:00:00"/>
    <s v="PedidoF413"/>
    <s v="CódRastreio413"/>
    <n v="1"/>
    <s v="CPF 412"/>
    <s v="Nome 412"/>
    <s v="Tel 412"/>
    <s v="Cep 412"/>
    <s v="Rua 412"/>
    <s v="Comp 412"/>
    <x v="13"/>
    <s v="YA-AG3H-SPUK"/>
    <d v="2024-12-19T00:00:00"/>
    <n v="16.990000000000002"/>
    <n v="16.990000000000002"/>
    <n v="2.0388000000000002"/>
    <n v="14.95"/>
    <n v="0"/>
    <n v="0.4"/>
    <n v="0.39877104377104378"/>
    <n v="0"/>
    <n v="14.151228956228955"/>
    <n v="7.0756144781144776"/>
    <d v="2024-12-26T00:00:00"/>
    <d v="2024-12-26T00:00:00"/>
    <d v="2024-12-30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21"/>
    <s v="Pedido 426"/>
    <d v="2024-11-25T00:00:00"/>
    <d v="2024-11-25T00:00:00"/>
    <s v="PedidoF414"/>
    <s v="CódRastreio414"/>
    <n v="1"/>
    <s v="CPF 412"/>
    <s v="Nome 412"/>
    <s v="Tel 412"/>
    <s v="Cep 412"/>
    <s v="Rua 412"/>
    <s v="Comp 412"/>
    <x v="13"/>
    <s v="YA-AG3H-SPUK"/>
    <d v="2024-12-19T00:00:00"/>
    <n v="16.990000000000002"/>
    <n v="16.990000000000002"/>
    <n v="2.0388000000000002"/>
    <n v="14.95"/>
    <n v="0"/>
    <n v="0.38"/>
    <n v="0.39877104377104378"/>
    <n v="0"/>
    <n v="14.171228956228955"/>
    <n v="7.0856144781144774"/>
    <d v="2024-12-26T00:00:00"/>
    <d v="2024-12-26T00:00:00"/>
    <d v="2024-12-30T00:00:00"/>
    <d v="2025-01-02T00:00:00"/>
    <s v="2024 12"/>
    <s v="Aguardando Liberação"/>
    <s v="2024 11"/>
    <s v="-"/>
    <s v="-"/>
    <s v="-"/>
    <m/>
    <n v="0"/>
    <n v="0"/>
    <n v="0"/>
    <n v="0"/>
    <n v="0"/>
  </r>
  <r>
    <s v="BV"/>
    <s v="BV45622"/>
    <s v="Pedido 426"/>
    <d v="2024-11-26T00:00:00"/>
    <d v="2024-11-26T00:00:00"/>
    <s v="PedidoF415"/>
    <s v="CódRastreio415"/>
    <n v="1"/>
    <s v="CPF 412"/>
    <s v="Nome 412"/>
    <s v="Tel 412"/>
    <s v="Cep 412"/>
    <s v="Rua 412"/>
    <s v="Comp 412"/>
    <x v="13"/>
    <s v="YA-AG3H-SPUK"/>
    <d v="2024-12-19T00:00:00"/>
    <n v="16.990000000000002"/>
    <n v="16.990000000000002"/>
    <n v="2.0388000000000002"/>
    <n v="14.95"/>
    <n v="0"/>
    <n v="0.35"/>
    <n v="0.39877104377104378"/>
    <n v="0"/>
    <n v="14.201228956228956"/>
    <n v="7.100614478114478"/>
    <d v="2024-12-26T00:00:00"/>
    <d v="2024-12-26T00:00:00"/>
    <d v="2024-12-30T00:00:00"/>
    <d v="2025-01-02T00:00:00"/>
    <s v="2024 12"/>
    <s v="Aguardando Liberação"/>
    <s v="2024 11"/>
    <s v="-"/>
    <s v="-"/>
    <s v="-"/>
    <m/>
    <n v="0"/>
    <n v="0"/>
    <n v="0"/>
    <n v="0"/>
    <n v="0"/>
  </r>
  <r>
    <s v="BV"/>
    <s v="BV-"/>
    <s v="Pedido 426"/>
    <d v="2024-12-01T00:00:00"/>
    <s v="-"/>
    <s v="-"/>
    <s v="-"/>
    <n v="1"/>
    <s v="CPF 412"/>
    <s v="Nome 412"/>
    <s v="Tel 412"/>
    <s v="Cep 412"/>
    <s v="Rua 412"/>
    <s v="Comp 412"/>
    <x v="13"/>
    <s v="YA-AG3H-SPUK"/>
    <d v="2024-12-19T00:00:00"/>
    <n v="16.990000000000002"/>
    <n v="16.990000000000002"/>
    <n v="2.0388000000000002"/>
    <n v="14.95"/>
    <n v="0"/>
    <n v="0"/>
    <n v="0"/>
    <n v="0"/>
    <n v="14.95"/>
    <n v="7.4749999999999996"/>
    <d v="2024-12-26T00:00:00"/>
    <d v="2024-12-26T00:00:00"/>
    <d v="2024-12-30T00:00:00"/>
    <d v="2025-01-02T00:00:00"/>
    <s v="2024 12"/>
    <s v="Aguardando Liberação"/>
    <s v="- -"/>
    <s v="-"/>
    <s v="-"/>
    <s v="-"/>
    <m/>
    <n v="0"/>
    <n v="0"/>
    <n v="0"/>
    <n v="0"/>
    <n v="0"/>
  </r>
  <r>
    <s v="BV"/>
    <s v="BV-"/>
    <s v="Pedido 426"/>
    <d v="2024-12-01T00:00:00"/>
    <s v="-"/>
    <s v="-"/>
    <s v="-"/>
    <n v="1"/>
    <s v="CPF 412"/>
    <s v="Nome 412"/>
    <s v="Tel 412"/>
    <s v="Cep 412"/>
    <s v="Rua 412"/>
    <s v="Comp 412"/>
    <x v="13"/>
    <s v="YA-AG3H-SPUK"/>
    <d v="2024-12-19T00:00:00"/>
    <n v="16.990000000000002"/>
    <n v="16.990000000000002"/>
    <n v="2.0388000000000002"/>
    <n v="14.95"/>
    <n v="0"/>
    <n v="0"/>
    <n v="0"/>
    <n v="0"/>
    <n v="14.95"/>
    <n v="7.4749999999999996"/>
    <d v="2024-12-26T00:00:00"/>
    <d v="2024-12-26T00:00:00"/>
    <d v="2024-12-30T00:00:00"/>
    <d v="2025-01-02T00:00:00"/>
    <s v="2024 12"/>
    <s v="Aguardando Liberação"/>
    <s v="- -"/>
    <s v="-"/>
    <s v="-"/>
    <s v="-"/>
    <m/>
    <n v="0"/>
    <n v="0"/>
    <n v="0"/>
    <n v="0"/>
    <n v="0"/>
  </r>
  <r>
    <s v="BV"/>
    <s v="BV-"/>
    <s v="Pedido 427"/>
    <d v="2024-12-01T00:00:00"/>
    <s v="-"/>
    <s v="-"/>
    <s v="-"/>
    <n v="1"/>
    <s v="CPF 413"/>
    <s v="Nome 413"/>
    <s v="Tel 413"/>
    <s v="Cep 413"/>
    <s v="Rua 413"/>
    <s v="Comp 413"/>
    <x v="10"/>
    <s v="MU-J80P-95WF"/>
    <d v="2024-12-19T00:00:00"/>
    <n v="65.989999999999995"/>
    <n v="65.989999999999995"/>
    <n v="8.5786999999999995"/>
    <n v="57.41"/>
    <n v="0"/>
    <n v="0"/>
    <n v="0"/>
    <n v="0"/>
    <n v="57.41"/>
    <n v="28.704999999999998"/>
    <d v="2024-12-26T00:00:00"/>
    <d v="2024-12-26T00:00:00"/>
    <d v="2024-12-30T00:00:00"/>
    <d v="2025-01-02T00:00:00"/>
    <s v="2024 12"/>
    <s v="Aguardando Liberação"/>
    <s v="- -"/>
    <s v="-"/>
    <s v="-"/>
    <s v="-"/>
    <m/>
    <n v="1.72"/>
    <n v="0"/>
    <n v="0"/>
    <n v="0"/>
    <n v="1.72"/>
  </r>
  <r>
    <s v="BV"/>
    <s v="BV-"/>
    <s v="Pedido 428"/>
    <d v="2024-12-01T00:00:00"/>
    <s v="-"/>
    <s v="-"/>
    <s v="-"/>
    <n v="1"/>
    <s v="CPF 414"/>
    <s v="Nome 414"/>
    <s v="Tel 414"/>
    <s v="Cep 414"/>
    <s v="Rua 414"/>
    <s v="Comp 414"/>
    <x v="6"/>
    <s v="KN-TBQL-K2MM"/>
    <d v="2024-12-28T00:00:00"/>
    <n v="28.2"/>
    <n v="28.2"/>
    <n v="3.6659999999999999"/>
    <n v="24.53"/>
    <n v="0"/>
    <n v="0"/>
    <n v="0"/>
    <n v="0"/>
    <n v="24.53"/>
    <n v="12.265000000000001"/>
    <d v="2025-01-04T00:00:00"/>
    <d v="2025-01-04T00:00:00"/>
    <d v="2025-01-08T00:00:00"/>
    <d v="2025-01-16T00:00:00"/>
    <s v="2025 01"/>
    <s v="Aguardando Liberação"/>
    <s v="- -"/>
    <s v="-"/>
    <s v="-"/>
    <s v="-"/>
    <m/>
    <n v="0.73"/>
    <n v="0"/>
    <n v="0"/>
    <n v="0"/>
    <n v="0.73"/>
  </r>
  <r>
    <s v="BV"/>
    <s v="BV-"/>
    <s v="Pedido 429"/>
    <d v="2024-12-01T00:00:00"/>
    <s v="-"/>
    <s v="-"/>
    <s v="-"/>
    <n v="1"/>
    <s v="CPF 414"/>
    <s v="Nome 414"/>
    <s v="Tel 414"/>
    <s v="Cep 414"/>
    <s v="Rua 414"/>
    <s v="Comp 414"/>
    <x v="6"/>
    <s v="KN-TBQL-K2MM"/>
    <d v="2024-12-28T00:00:00"/>
    <n v="28.2"/>
    <n v="28.2"/>
    <n v="3.6659999999999999"/>
    <n v="24.53"/>
    <n v="0"/>
    <n v="0"/>
    <n v="0"/>
    <n v="0"/>
    <n v="24.53"/>
    <n v="12.265000000000001"/>
    <d v="2025-01-04T00:00:00"/>
    <d v="2025-01-04T00:00:00"/>
    <d v="2025-01-08T00:00:00"/>
    <d v="2025-01-16T00:00:00"/>
    <s v="2025 01"/>
    <s v="Aguardando Liberação"/>
    <s v="- -"/>
    <s v="-"/>
    <s v="-"/>
    <s v="-"/>
    <m/>
    <n v="0.73"/>
    <n v="0"/>
    <n v="0"/>
    <n v="0"/>
    <n v="0.73"/>
  </r>
  <r>
    <s v="BV"/>
    <s v="BV45618"/>
    <s v="Pedido 430"/>
    <d v="2024-11-22T00:00:00"/>
    <d v="2024-11-22T00:00:00"/>
    <s v="PedidoF416"/>
    <s v="CódRastreio416"/>
    <n v="1"/>
    <s v="CPF 415"/>
    <s v="Nome 415"/>
    <s v="Tel 415"/>
    <s v="Cep 415"/>
    <s v="Rua 415"/>
    <s v="Comp 415"/>
    <x v="10"/>
    <s v="MU-J80P-95WF"/>
    <d v="2024-12-13T00:00:00"/>
    <n v="65.989999999999995"/>
    <n v="65.989999999999995"/>
    <n v="8.5786999999999995"/>
    <n v="57.41"/>
    <n v="10.210000000000001"/>
    <n v="0.4"/>
    <n v="0.39877104377104378"/>
    <n v="0"/>
    <n v="46.401228956228948"/>
    <n v="23.200614478114474"/>
    <d v="2024-12-20T00:00:00"/>
    <d v="2024-12-20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21"/>
    <s v="Pedido 431"/>
    <d v="2024-11-25T00:00:00"/>
    <d v="2024-11-25T00:00:00"/>
    <s v="PedidoF417"/>
    <s v="CódRastreio417"/>
    <n v="1"/>
    <s v="CPF 416"/>
    <s v="Nome 416"/>
    <s v="Tel 416"/>
    <s v="Cep 416"/>
    <s v="Rua 416"/>
    <s v="Comp 416"/>
    <x v="10"/>
    <s v="MU-J80P-95WF"/>
    <d v="2024-12-20T00:00:00"/>
    <n v="65.989999999999995"/>
    <n v="65.989999999999995"/>
    <n v="8.5786999999999995"/>
    <n v="57.41"/>
    <n v="10.220000000000001"/>
    <n v="0.38"/>
    <n v="0.39877104377104378"/>
    <n v="0"/>
    <n v="46.411228956228953"/>
    <n v="23.205614478114477"/>
    <d v="2024-12-27T00:00:00"/>
    <d v="2024-12-27T00:00:00"/>
    <d v="2024-12-30T00:00:00"/>
    <d v="2025-01-02T00:00:00"/>
    <s v="2024 12"/>
    <s v="Aguardando Liberação"/>
    <s v="2024 11"/>
    <s v="ENTREGUE"/>
    <d v="2024-12-12T00:00:00"/>
    <s v="-"/>
    <m/>
    <n v="0"/>
    <n v="0"/>
    <n v="0"/>
    <n v="0"/>
    <n v="0"/>
  </r>
  <r>
    <s v="BV"/>
    <s v="BV45621"/>
    <s v="Pedido 432"/>
    <d v="2024-11-25T00:00:00"/>
    <d v="2024-11-25T00:00:00"/>
    <s v="PedidoF418"/>
    <s v="CódRastreio418"/>
    <n v="1"/>
    <s v="CPF 417"/>
    <s v="Nome 417"/>
    <s v="Tel 417"/>
    <s v="Cep 417"/>
    <s v="Rua 417"/>
    <s v="Comp 417"/>
    <x v="10"/>
    <s v="MU-J80P-95WF"/>
    <d v="2024-12-20T00:00:00"/>
    <n v="65.989999999999995"/>
    <n v="65.989999999999995"/>
    <n v="8.5786999999999995"/>
    <n v="57.41"/>
    <n v="10.220000000000001"/>
    <n v="0.38"/>
    <n v="0.39877104377104378"/>
    <n v="0"/>
    <n v="46.411228956228953"/>
    <n v="23.205614478114477"/>
    <d v="2024-12-27T00:00:00"/>
    <d v="2024-12-27T00:00:00"/>
    <d v="2024-12-30T00:00:00"/>
    <d v="2025-01-02T00:00:00"/>
    <s v="2024 12"/>
    <s v="Aguardando Liberação"/>
    <s v="2024 11"/>
    <s v="ENTREGUE"/>
    <d v="2024-12-11T00:00:00"/>
    <s v="-"/>
    <m/>
    <n v="0"/>
    <n v="0"/>
    <n v="0"/>
    <n v="0"/>
    <n v="0"/>
  </r>
  <r>
    <s v="BV"/>
    <s v="BV45621"/>
    <s v="Pedido 433"/>
    <d v="2024-11-25T00:00:00"/>
    <d v="2024-11-25T00:00:00"/>
    <s v="PedidoF419"/>
    <s v="CódRastreio419"/>
    <n v="1"/>
    <s v="CPF 418"/>
    <s v="Nome 418"/>
    <s v="Tel 418"/>
    <s v="Cep 418"/>
    <s v="Rua 418"/>
    <s v="Comp 418"/>
    <x v="1"/>
    <s v="CK-YL6M-P5Y6"/>
    <d v="2024-12-14T00:00:00"/>
    <n v="39.99"/>
    <n v="39.99"/>
    <n v="5.1987000000000005"/>
    <n v="34.79"/>
    <n v="14.99"/>
    <n v="0.38"/>
    <n v="0.39877104377104378"/>
    <n v="0"/>
    <n v="19.021228956228953"/>
    <n v="9.5106144781144764"/>
    <d v="2024-12-21T00:00:00"/>
    <d v="2024-12-21T00:00:00"/>
    <d v="2024-12-25T00:00:00"/>
    <d v="2025-01-02T00:00:00"/>
    <s v="2024 12"/>
    <s v="Aguardando Liberação"/>
    <s v="2024 11"/>
    <s v="ENTREGUE"/>
    <d v="2024-12-06T19:51:39"/>
    <s v="-"/>
    <m/>
    <n v="0"/>
    <n v="0"/>
    <n v="0"/>
    <n v="0"/>
    <n v="0"/>
  </r>
  <r>
    <s v="BV"/>
    <s v="BV45621"/>
    <s v="Pedido 434"/>
    <d v="2024-11-25T00:00:00"/>
    <d v="2024-11-25T00:00:00"/>
    <s v="PedidoF420"/>
    <s v="CódRastreio420"/>
    <n v="1"/>
    <s v="CPF 419"/>
    <s v="Nome 419"/>
    <s v="Tel 419"/>
    <s v="Cep 419"/>
    <s v="Rua 419"/>
    <s v="Comp 419"/>
    <x v="10"/>
    <s v="MU-J80P-95WF"/>
    <d v="2024-12-20T00:00:00"/>
    <n v="65.989999999999995"/>
    <n v="65.989999999999995"/>
    <n v="8.5786999999999995"/>
    <n v="57.41"/>
    <n v="10.220000000000001"/>
    <n v="0.38"/>
    <n v="0.39877104377104378"/>
    <n v="0"/>
    <n v="46.411228956228953"/>
    <n v="23.205614478114477"/>
    <d v="2024-12-27T00:00:00"/>
    <d v="2024-12-27T00:00:00"/>
    <d v="2024-12-30T00:00:00"/>
    <d v="2025-01-02T00:00:00"/>
    <s v="2024 12"/>
    <s v="Aguardando Liberação"/>
    <s v="2024 11"/>
    <s v="ENTREGUE"/>
    <d v="2024-12-17T00:00:00"/>
    <s v="-"/>
    <m/>
    <n v="0"/>
    <n v="0"/>
    <n v="0"/>
    <n v="0"/>
    <n v="0"/>
  </r>
  <r>
    <s v="BV"/>
    <s v="BV45622"/>
    <s v="Pedido 435"/>
    <d v="2024-11-26T00:00:00"/>
    <d v="2024-11-26T00:00:00"/>
    <s v="PedidoF421"/>
    <s v="CódRastreio421"/>
    <n v="1"/>
    <s v="CPF 420"/>
    <s v="Nome 420"/>
    <s v="Tel 420"/>
    <s v="Cep 420"/>
    <s v="Rua 420"/>
    <s v="Comp 420"/>
    <x v="6"/>
    <s v="KN-TBQL-K2MM"/>
    <d v="2024-12-10T00:00:00"/>
    <n v="27.99"/>
    <n v="27.99"/>
    <n v="3.6387"/>
    <n v="24.35"/>
    <n v="10.119999999999999"/>
    <n v="0.35"/>
    <n v="0.39877104377104378"/>
    <n v="0"/>
    <n v="13.481228956228959"/>
    <n v="6.7406144781144794"/>
    <d v="2024-12-17T00:00:00"/>
    <d v="2024-12-17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45622"/>
    <s v="Pedido 436"/>
    <d v="2024-11-26T00:00:00"/>
    <d v="2024-11-26T00:00:00"/>
    <s v="PedidoF422"/>
    <s v="CódRastreio422"/>
    <n v="1"/>
    <s v="CPF 421"/>
    <s v="Nome 421"/>
    <s v="Tel 421"/>
    <s v="Cep 421"/>
    <s v="Rua 421"/>
    <s v="Comp 421"/>
    <x v="10"/>
    <s v="MU-J80P-95WF"/>
    <d v="2024-12-20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d v="2024-12-27T00:00:00"/>
    <d v="2024-12-27T00:00:00"/>
    <d v="2024-12-30T00:00:00"/>
    <d v="2025-01-02T00:00:00"/>
    <s v="2024 12"/>
    <s v="Aguardando Liberação"/>
    <s v="2024 11"/>
    <s v="ENTREGUE"/>
    <d v="2024-12-11T00:00:00"/>
    <s v="-"/>
    <m/>
    <n v="0"/>
    <n v="0"/>
    <n v="0"/>
    <n v="0"/>
    <n v="0"/>
  </r>
  <r>
    <s v="BV"/>
    <s v="BV45622"/>
    <s v="Pedido 437"/>
    <d v="2024-11-26T00:00:00"/>
    <d v="2024-11-26T00:00:00"/>
    <s v="PedidoF423"/>
    <s v="-"/>
    <n v="1"/>
    <s v="CPF 422"/>
    <s v="Nome 422"/>
    <s v="Tel 422"/>
    <s v="Cep 422"/>
    <s v="Rua 422"/>
    <s v="Comp 422"/>
    <x v="6"/>
    <s v="KN-TBQL-K2MM"/>
    <d v="2024-12-21T00:00:00"/>
    <n v="27.99"/>
    <n v="27.99"/>
    <n v="3.6387"/>
    <n v="24.35"/>
    <n v="0"/>
    <n v="0.35"/>
    <n v="0.39877104377104378"/>
    <n v="0"/>
    <n v="23.601228956228958"/>
    <n v="11.800614478114479"/>
    <d v="2024-12-28T00:00:00"/>
    <d v="2024-12-28T00:00:00"/>
    <d v="2024-12-30T00:00:00"/>
    <d v="2025-01-02T00:00:00"/>
    <s v="2024 12"/>
    <s v="Aguardando Liberação"/>
    <s v="2024 11"/>
    <s v="-"/>
    <s v="-"/>
    <s v="-"/>
    <m/>
    <n v="0"/>
    <n v="0"/>
    <n v="0"/>
    <n v="0"/>
    <n v="0"/>
  </r>
  <r>
    <s v="BV"/>
    <s v="BV45622"/>
    <s v="Pedido 438"/>
    <d v="2024-11-26T00:00:00"/>
    <d v="2024-11-26T00:00:00"/>
    <s v="PedidoF424"/>
    <s v="CódRastreio423"/>
    <n v="1"/>
    <s v="CPF 423"/>
    <s v="Nome 423"/>
    <s v="Tel 423"/>
    <s v="Cep 423"/>
    <s v="Rua 423"/>
    <s v="Comp 423"/>
    <x v="10"/>
    <s v="MU-J80P-95WF"/>
    <d v="2024-12-21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d v="2024-12-28T00:00:00"/>
    <d v="2024-12-28T00:00:00"/>
    <d v="2024-12-30T00:00:00"/>
    <d v="2025-01-02T00:00:00"/>
    <s v="2024 12"/>
    <s v="Aguardando Liberação"/>
    <s v="2024 11"/>
    <s v="ENTREGUE"/>
    <d v="2024-12-11T00:00:00"/>
    <s v="-"/>
    <m/>
    <n v="0"/>
    <n v="0"/>
    <n v="0"/>
    <n v="0"/>
    <n v="0"/>
  </r>
  <r>
    <s v="BV"/>
    <s v="BV45622"/>
    <s v="Pedido 439"/>
    <d v="2024-11-26T00:00:00"/>
    <d v="2024-11-26T00:00:00"/>
    <s v="PedidoF425"/>
    <s v="CódRastreio424"/>
    <n v="1"/>
    <s v="CPF 424"/>
    <s v="Nome 424"/>
    <s v="Tel 424"/>
    <s v="Cep 424"/>
    <s v="Rua 424"/>
    <s v="Comp 424"/>
    <x v="12"/>
    <s v="U8-2VWS-OB6M"/>
    <d v="2025-01-03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d v="2025-01-10T00:00:00"/>
    <d v="2025-01-10T00:00:00"/>
    <d v="2025-01-16T00:00:00"/>
    <d v="2025-01-16T00:00:00"/>
    <s v="2025 01"/>
    <s v="Aguardando Liberação"/>
    <s v="2024 11"/>
    <s v="ENTREGUE"/>
    <d v="2024-12-16T00:00:00"/>
    <s v="-"/>
    <m/>
    <n v="0"/>
    <n v="0"/>
    <n v="0"/>
    <n v="0"/>
    <n v="0"/>
  </r>
  <r>
    <s v="BV"/>
    <s v="BV45622"/>
    <s v="Pedido 440"/>
    <d v="2024-11-26T00:00:00"/>
    <d v="2024-11-26T00:00:00"/>
    <s v="PedidoF426"/>
    <s v="CódRastreio425"/>
    <n v="1"/>
    <s v="CPF 425"/>
    <s v="Nome 425"/>
    <s v="Tel 425"/>
    <s v="Cep 425"/>
    <s v="Rua 425"/>
    <s v="Comp 425"/>
    <x v="3"/>
    <s v="IF-G2ZQ-79FO"/>
    <d v="2024-12-21T00:00:00"/>
    <n v="65.989999999999995"/>
    <n v="65.989999999999995"/>
    <n v="8.5786999999999995"/>
    <n v="57.41"/>
    <n v="11.19"/>
    <n v="0.35"/>
    <n v="0.39877104377104378"/>
    <n v="0"/>
    <n v="45.471228956228956"/>
    <n v="22.735614478114478"/>
    <d v="2024-12-28T00:00:00"/>
    <d v="2024-12-28T00:00:00"/>
    <d v="2024-12-30T00:00:00"/>
    <d v="2025-01-02T00:00:00"/>
    <s v="2024 12"/>
    <s v="Aguardando Liberação"/>
    <s v="2024 11"/>
    <s v="ENTREGUE"/>
    <d v="2024-12-16T00:00:00"/>
    <s v="-"/>
    <m/>
    <n v="0"/>
    <n v="0"/>
    <n v="0"/>
    <n v="0"/>
    <n v="0"/>
  </r>
  <r>
    <s v="BV"/>
    <s v="BV45622"/>
    <s v="Pedido 441"/>
    <d v="2024-11-26T00:00:00"/>
    <d v="2024-11-26T00:00:00"/>
    <s v="PedidoF427"/>
    <s v="CódRastreio426"/>
    <n v="1"/>
    <s v="CPF 426"/>
    <s v="Nome 426"/>
    <s v="Tel 426"/>
    <s v="Cep 426"/>
    <s v="Rua 426"/>
    <s v="Comp 426"/>
    <x v="6"/>
    <s v="KN-TBQL-K2MM"/>
    <d v="2024-12-21T00:00:00"/>
    <n v="27.99"/>
    <n v="27.99"/>
    <n v="3.6387"/>
    <n v="24.35"/>
    <n v="8.1999999999999993"/>
    <n v="0.35"/>
    <n v="0.39877104377104378"/>
    <n v="0"/>
    <n v="15.401228956228959"/>
    <n v="7.7006144781144794"/>
    <d v="2024-12-28T00:00:00"/>
    <d v="2024-12-28T00:00:00"/>
    <d v="2024-12-30T00:00:00"/>
    <d v="2025-01-02T00:00:00"/>
    <s v="2024 12"/>
    <s v="Aguardando Liberação"/>
    <s v="2024 11"/>
    <s v="ENTREGUE"/>
    <d v="2024-12-07T15:30:24"/>
    <s v="-"/>
    <m/>
    <n v="0"/>
    <n v="0"/>
    <n v="0"/>
    <n v="0"/>
    <n v="0"/>
  </r>
  <r>
    <s v="BV"/>
    <s v="BV45622"/>
    <s v="Pedido 442"/>
    <d v="2024-11-26T00:00:00"/>
    <d v="2024-11-26T00:00:00"/>
    <s v="PedidoF428"/>
    <s v="CódRastreio427"/>
    <n v="1"/>
    <s v="CPF 427"/>
    <s v="Nome 427"/>
    <s v="Tel 427"/>
    <s v="Cep 427"/>
    <s v="Rua 427"/>
    <s v="Comp 427"/>
    <x v="6"/>
    <s v="KN-TBQL-K2MM"/>
    <d v="2024-12-17T00:00:00"/>
    <n v="27.99"/>
    <n v="27.99"/>
    <n v="3.6387"/>
    <n v="24.35"/>
    <n v="10.119999999999999"/>
    <n v="0.35"/>
    <n v="0.39877104377104378"/>
    <n v="0"/>
    <n v="13.481228956228959"/>
    <n v="6.7406144781144794"/>
    <d v="2024-12-24T00:00:00"/>
    <d v="2024-12-24T00:00:00"/>
    <d v="2024-12-25T00:00:00"/>
    <d v="2025-01-02T00:00:00"/>
    <s v="2024 12"/>
    <s v="Aguardando Liberação"/>
    <s v="2024 11"/>
    <s v="ENTREGUE"/>
    <d v="2024-12-05T16:17:40"/>
    <s v="-"/>
    <m/>
    <n v="0"/>
    <n v="0"/>
    <n v="0"/>
    <n v="0"/>
    <n v="0"/>
  </r>
  <r>
    <s v="BV"/>
    <s v="BV45622"/>
    <s v="Pedido 443"/>
    <d v="2024-11-26T00:00:00"/>
    <d v="2024-11-26T00:00:00"/>
    <s v="PedidoF429"/>
    <s v="CódRastreio428"/>
    <n v="1"/>
    <s v="CPF 428"/>
    <s v="Nome 428"/>
    <s v="Tel 428"/>
    <s v="Cep 428"/>
    <s v="Rua 428"/>
    <s v="Comp 428"/>
    <x v="12"/>
    <s v="U8-2VWS-OB6M"/>
    <d v="2024-12-17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d v="2024-12-24T00:00:00"/>
    <d v="2024-12-24T00:00:00"/>
    <d v="2024-12-25T00:00:00"/>
    <d v="2025-01-02T00:00:00"/>
    <s v="2024 12"/>
    <s v="Aguardando Liberação"/>
    <s v="2024 11"/>
    <s v="ENTREGUE"/>
    <d v="2024-12-05T17:48:27"/>
    <s v="-"/>
    <m/>
    <n v="0"/>
    <n v="0"/>
    <n v="0"/>
    <n v="0"/>
    <n v="0"/>
  </r>
  <r>
    <s v="BV"/>
    <s v="BV45622"/>
    <s v="Pedido 443"/>
    <d v="2024-11-26T00:00:00"/>
    <d v="2024-11-26T00:00:00"/>
    <s v="PedidoF430"/>
    <s v="CódRastreio429"/>
    <n v="1"/>
    <s v="CPF 428"/>
    <s v="Nome 428"/>
    <s v="Tel 428"/>
    <s v="Cep 428"/>
    <s v="Rua 428"/>
    <s v="Comp 428"/>
    <x v="10"/>
    <s v="MU-J80P-95WF"/>
    <d v="2024-12-17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d v="2024-12-24T00:00:00"/>
    <d v="2024-12-24T00:00:00"/>
    <d v="2024-12-25T00:00:00"/>
    <d v="2025-01-02T00:00:00"/>
    <s v="2024 12"/>
    <s v="Aguardando Liberação"/>
    <s v="2024 11"/>
    <s v="-"/>
    <s v="-"/>
    <s v="-"/>
    <m/>
    <n v="0"/>
    <n v="0"/>
    <n v="0"/>
    <n v="0"/>
    <n v="0"/>
  </r>
  <r>
    <s v="BV"/>
    <s v="BV45622"/>
    <s v="Pedido 444"/>
    <d v="2024-11-26T00:00:00"/>
    <d v="2024-11-26T00:00:00"/>
    <s v="PedidoF431"/>
    <s v="CódRastreio430"/>
    <n v="1"/>
    <s v="CPF 429"/>
    <s v="Nome 429"/>
    <s v="Tel 429"/>
    <s v="Cep 429"/>
    <s v="Rua 429"/>
    <s v="Comp 429"/>
    <x v="3"/>
    <s v="IF-G2ZQ-79FO"/>
    <d v="2025-01-03T00:00:00"/>
    <n v="65.989999999999995"/>
    <n v="65.989999999999995"/>
    <n v="8.5786999999999995"/>
    <n v="57.41"/>
    <n v="11.19"/>
    <n v="0.35"/>
    <n v="0.39877104377104378"/>
    <n v="0"/>
    <n v="45.471228956228956"/>
    <n v="22.735614478114478"/>
    <d v="2025-01-10T00:00:00"/>
    <d v="2025-01-10T00:00:00"/>
    <d v="2025-01-16T00:00:00"/>
    <d v="2025-01-16T00:00:00"/>
    <s v="2025 01"/>
    <s v="Aguardando Liberação"/>
    <s v="2024 11"/>
    <s v="ENTREGUE"/>
    <d v="2024-12-27T00:00:00"/>
    <s v="-"/>
    <m/>
    <n v="0"/>
    <n v="0"/>
    <n v="0"/>
    <n v="0"/>
    <n v="0"/>
  </r>
  <r>
    <s v="BV"/>
    <s v="BV45622"/>
    <s v="Pedido 445"/>
    <d v="2024-11-26T00:00:00"/>
    <d v="2024-11-26T00:00:00"/>
    <s v="PedidoF432"/>
    <s v="CódRastreio431"/>
    <n v="1"/>
    <s v="CPF 430"/>
    <s v="Nome 430"/>
    <s v="Tel 430"/>
    <s v="Cep 430"/>
    <s v="Rua 430"/>
    <s v="Comp 430"/>
    <x v="6"/>
    <s v="KN-TBQL-K2MM"/>
    <d v="2024-12-11T00:00:00"/>
    <n v="27.99"/>
    <n v="27.99"/>
    <n v="3.6387"/>
    <n v="24.35"/>
    <n v="10.119999999999999"/>
    <n v="0.35"/>
    <n v="0.39877104377104378"/>
    <n v="0"/>
    <n v="13.481228956228959"/>
    <n v="6.7406144781144794"/>
    <d v="2024-12-18T00:00:00"/>
    <d v="2024-12-18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22"/>
    <s v="Pedido 446"/>
    <d v="2024-11-26T00:00:00"/>
    <d v="2024-11-26T00:00:00"/>
    <s v="PedidoF433"/>
    <s v="CódRastreio432"/>
    <n v="1"/>
    <s v="CPF 431"/>
    <s v="Nome 431"/>
    <s v="Tel 431"/>
    <s v="Cep 431"/>
    <s v="Rua 431"/>
    <s v="Comp 431"/>
    <x v="6"/>
    <s v="KN-TBQL-K2MM"/>
    <d v="2024-12-21T00:00:00"/>
    <n v="27.99"/>
    <n v="27.99"/>
    <n v="3.6387"/>
    <n v="24.35"/>
    <n v="8.1999999999999993"/>
    <n v="0.35"/>
    <n v="0.39877104377104378"/>
    <n v="0"/>
    <n v="15.401228956228959"/>
    <n v="7.7006144781144794"/>
    <d v="2024-12-28T00:00:00"/>
    <d v="2024-12-28T00:00:00"/>
    <d v="2024-12-30T00:00:00"/>
    <d v="2025-01-02T00:00:00"/>
    <s v="2024 12"/>
    <s v="Aguardando Liberação"/>
    <s v="2024 11"/>
    <s v="ENTREGUE"/>
    <d v="2024-12-06T10:56:23"/>
    <s v="-"/>
    <m/>
    <n v="0"/>
    <n v="0"/>
    <s v="=SE([@[Data Reembolso]]&lt;&gt;&quot;-&quot;;SE([@AliExpress]&lt;&gt;&quot;-&quot;;SEERRO(PROCX(CONCAT([@Loja];SEERRO(SEERRO(VALOR(SUBSTITUIR(EXT,TEXTO(TEXTODEPOIS([@AliExpress];&quot;Data do Pedido:_x000a_&quot;;1);1;10);&quot;-&quot;;&quot;/&quot;));VALOR(SUBSTITUIR(EXT,TEXTO(TEXTODEPOIS([@AliExpress];&quot;Order date:_x000a_&quot;;1);1;10);&quot;-&quot;;&quot;/&quot;)));0));ProxyDD[Chave];ProxyDD[Valor por pedido]);PROXY!$P$2);0);0)"/>
    <n v="0"/>
    <n v="0"/>
  </r>
  <r>
    <s v="BV"/>
    <s v="BV45622"/>
    <s v="Pedido 447"/>
    <d v="2024-11-26T00:00:00"/>
    <d v="2024-11-26T00:00:00"/>
    <s v="PedidoF434"/>
    <s v="CódRastreio433"/>
    <n v="1"/>
    <s v="CPF 432"/>
    <s v="Nome 432"/>
    <s v="Tel 432"/>
    <s v="Cep 432"/>
    <s v="Rua 432"/>
    <s v="Comp 432"/>
    <x v="3"/>
    <s v="IF-G2ZQ-79FO"/>
    <d v="2024-12-17T00:00:00"/>
    <n v="65.989999999999995"/>
    <n v="65.989999999999995"/>
    <n v="8.5786999999999995"/>
    <n v="57.41"/>
    <n v="11.19"/>
    <n v="0.35"/>
    <n v="0.39877104377104378"/>
    <n v="0"/>
    <n v="45.471228956228956"/>
    <n v="22.735614478114478"/>
    <d v="2024-12-24T00:00:00"/>
    <d v="2024-12-24T00:00:00"/>
    <d v="2024-12-25T00:00:00"/>
    <d v="2025-01-02T00:00:00"/>
    <s v="2024 12"/>
    <s v="Aguardando Liberação"/>
    <s v="2024 11"/>
    <s v="ENTREGUE"/>
    <d v="2024-12-10T00:00:00"/>
    <s v="-"/>
    <m/>
    <n v="0"/>
    <n v="0"/>
    <n v="0"/>
    <n v="0"/>
    <n v="0"/>
  </r>
  <r>
    <s v="BV"/>
    <s v="BV45623"/>
    <s v="Pedido 448"/>
    <d v="2024-11-27T00:00:00"/>
    <d v="2024-11-27T00:00:00"/>
    <s v="PedidoF435"/>
    <s v="CódRastreio434"/>
    <n v="1"/>
    <s v="CPF 433"/>
    <s v="Nome 433"/>
    <s v="Tel 433"/>
    <s v="Cep 433"/>
    <s v="Rua 433"/>
    <s v="Comp 433"/>
    <x v="12"/>
    <s v="U8-2VWS-OB6M"/>
    <d v="2024-12-24T00:00:00"/>
    <n v="65.989999999999995"/>
    <n v="65.989999999999995"/>
    <n v="8.5786999999999995"/>
    <n v="57.41"/>
    <n v="10.52"/>
    <n v="0.34"/>
    <n v="0.39877104377104378"/>
    <n v="0"/>
    <n v="46.151228956228955"/>
    <n v="23.075614478114478"/>
    <d v="2024-12-31T00:00:00"/>
    <d v="2024-12-31T00:00:00"/>
    <d v="2025-01-08T00:00:00"/>
    <d v="2025-01-16T00:00:00"/>
    <s v="2024 12"/>
    <s v="Aguardando Liberação"/>
    <s v="2024 11"/>
    <s v="ENTREGUE"/>
    <d v="2024-12-13T00:00:00"/>
    <s v="-"/>
    <m/>
    <n v="0"/>
    <n v="0"/>
    <n v="0"/>
    <n v="0"/>
    <n v="0"/>
  </r>
  <r>
    <s v="BV"/>
    <s v="BV45623"/>
    <s v="Pedido 449"/>
    <d v="2024-11-27T00:00:00"/>
    <d v="2024-11-27T00:00:00"/>
    <s v="PedidoF436"/>
    <s v="CódRastreio435"/>
    <n v="1"/>
    <s v="CPF 434"/>
    <s v="Nome 434"/>
    <s v="Tel 434"/>
    <s v="Cep 434"/>
    <s v="Rua 434"/>
    <s v="Comp 434"/>
    <x v="6"/>
    <s v="KN-TBQL-K2MM"/>
    <d v="2024-12-12T00:00:00"/>
    <n v="27.99"/>
    <n v="27.99"/>
    <n v="3.6387"/>
    <n v="24.35"/>
    <n v="9.1999999999999993"/>
    <n v="0.34"/>
    <n v="0.39877104377104378"/>
    <n v="0"/>
    <n v="14.411228956228959"/>
    <n v="7.2056144781144793"/>
    <d v="2024-12-19T00:00:00"/>
    <d v="2024-12-19T00:00:00"/>
    <d v="2024-12-25T00:00:00"/>
    <d v="2025-01-02T00:00:00"/>
    <s v="2024 12"/>
    <s v="Aguardando Liberação"/>
    <s v="2024 11"/>
    <s v="ENTREGUE"/>
    <d v="2024-12-04T00:00:00"/>
    <s v="-"/>
    <m/>
    <n v="0"/>
    <n v="0"/>
    <n v="0"/>
    <n v="0"/>
    <n v="0"/>
  </r>
  <r>
    <s v="BV"/>
    <s v="BV45623"/>
    <s v="Pedido 450"/>
    <d v="2024-11-27T00:00:00"/>
    <d v="2024-11-27T00:00:00"/>
    <s v="PedidoF437"/>
    <s v="CódRastreio436"/>
    <n v="1"/>
    <s v="CPF 435"/>
    <s v="Nome 435"/>
    <s v="Tel 435"/>
    <s v="Cep 435"/>
    <s v="Rua 435"/>
    <s v="Comp 435"/>
    <x v="3"/>
    <s v="IF-G2ZQ-79FO"/>
    <d v="2024-12-18T00:00:00"/>
    <n v="65.989999999999995"/>
    <n v="65.989999999999995"/>
    <n v="8.5786999999999995"/>
    <n v="57.41"/>
    <n v="12.89"/>
    <n v="0.34"/>
    <n v="0.39877104377104378"/>
    <n v="0"/>
    <n v="43.781228956228951"/>
    <n v="21.890614478114475"/>
    <d v="2024-12-25T00:00:00"/>
    <d v="2024-12-25T00:00:00"/>
    <d v="2024-12-25T00:00:00"/>
    <d v="2025-01-02T00:00:00"/>
    <s v="2024 12"/>
    <s v="Aguardando Liberação"/>
    <s v="2024 11"/>
    <s v="ENTREGUE"/>
    <d v="2024-12-05T11:58:45"/>
    <s v="-"/>
    <m/>
    <n v="0"/>
    <n v="0"/>
    <n v="0"/>
    <n v="0"/>
    <n v="0"/>
  </r>
  <r>
    <s v="BV"/>
    <s v="BV-"/>
    <s v="Pedido 451"/>
    <d v="2024-12-01T00:00:00"/>
    <s v="-"/>
    <s v="-"/>
    <s v="-"/>
    <n v="1"/>
    <s v="CPF 436"/>
    <s v="Nome 436"/>
    <s v="Tel 436"/>
    <s v="Cep 436"/>
    <s v="Rua 436"/>
    <s v="Comp 436"/>
    <x v="6"/>
    <s v="KN-TBQL-K2MM"/>
    <d v="2024-12-18T00:00:00"/>
    <n v="27.99"/>
    <n v="27.99"/>
    <n v="3.6387"/>
    <n v="24.35"/>
    <n v="0"/>
    <n v="0"/>
    <n v="0"/>
    <n v="0"/>
    <n v="24.35"/>
    <n v="12.175000000000001"/>
    <d v="2024-12-25T00:00:00"/>
    <d v="2024-12-25T00:00:00"/>
    <d v="2024-12-25T00:00:00"/>
    <d v="2025-01-02T00:00:00"/>
    <s v="2024 12"/>
    <s v="Aguardando Liberação"/>
    <s v="- -"/>
    <s v="-"/>
    <s v="-"/>
    <s v="-"/>
    <m/>
    <n v="0.73"/>
    <n v="0"/>
    <n v="0"/>
    <n v="0"/>
    <n v="0.73"/>
  </r>
  <r>
    <s v="BV"/>
    <s v="BV45623"/>
    <s v="Pedido 452"/>
    <d v="2024-11-27T00:00:00"/>
    <d v="2024-11-27T00:00:00"/>
    <s v="PedidoF438"/>
    <s v="CódRastreio437"/>
    <n v="1"/>
    <s v="CPF 437"/>
    <s v="Nome 437"/>
    <s v="Tel 437"/>
    <s v="Cep 437"/>
    <s v="Rua 437"/>
    <s v="Comp 437"/>
    <x v="17"/>
    <s v="IA-LLX9-MRV1"/>
    <d v="2024-12-18T00:00:00"/>
    <n v="54.5"/>
    <n v="54.5"/>
    <n v="7.6300000000000008"/>
    <n v="46.87"/>
    <n v="10.17"/>
    <n v="0.34"/>
    <n v="0.39877104377104378"/>
    <n v="0"/>
    <n v="35.96122895622895"/>
    <n v="17.980614478114475"/>
    <d v="2024-12-25T00:00:00"/>
    <d v="2024-12-25T00:00:00"/>
    <d v="2024-12-25T00:00:00"/>
    <d v="2025-01-02T00:00:00"/>
    <s v="2024 12"/>
    <s v="Aguardando Liberação"/>
    <s v="2024 11"/>
    <s v="ENTREGUE"/>
    <d v="2024-12-10T00:00:00"/>
    <s v="-"/>
    <m/>
    <n v="0"/>
    <n v="0"/>
    <n v="0"/>
    <n v="0"/>
    <n v="0"/>
  </r>
  <r>
    <s v="BV"/>
    <s v="BV45623"/>
    <s v="Pedido 453"/>
    <d v="2024-11-27T00:00:00"/>
    <d v="2024-11-27T00:00:00"/>
    <s v="PedidoF439"/>
    <s v="CódRastreio438"/>
    <n v="1"/>
    <s v="CPF 438"/>
    <s v="Nome 438"/>
    <s v="Tel 438"/>
    <s v="Cep 438"/>
    <s v="Rua 438"/>
    <s v="Comp 438"/>
    <x v="18"/>
    <s v="FK-T01D-KZC5"/>
    <d v="2024-12-18T00:00:00"/>
    <n v="18.989999999999998"/>
    <n v="18.989999999999998"/>
    <n v="2.4686999999999997"/>
    <n v="16.52"/>
    <n v="6.99"/>
    <n v="0.34"/>
    <n v="0.39877104377104378"/>
    <n v="0"/>
    <n v="8.7912289562289558"/>
    <n v="4.3956144781144779"/>
    <d v="2024-12-25T00:00:00"/>
    <d v="2024-12-25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45624"/>
    <s v="Pedido 454"/>
    <d v="2024-11-28T00:00:00"/>
    <d v="2024-11-28T00:00:00"/>
    <s v="PedidoF440"/>
    <s v="CódRastreio439"/>
    <n v="1"/>
    <s v="CPF 439"/>
    <s v="Nome 439"/>
    <s v="Tel 439"/>
    <s v="Cep 439"/>
    <s v="Rua 439"/>
    <s v="Comp 439"/>
    <x v="17"/>
    <s v="IA-LLX9-MRV1"/>
    <d v="2024-12-19T00:00:00"/>
    <n v="54.5"/>
    <n v="54.5"/>
    <n v="7.6300000000000008"/>
    <n v="46.87"/>
    <n v="10.38"/>
    <n v="0.14000000000000001"/>
    <n v="0.39877104377104378"/>
    <n v="0"/>
    <n v="35.951228956228952"/>
    <n v="17.975614478114476"/>
    <d v="2024-12-26T00:00:00"/>
    <d v="2024-12-26T00:00:00"/>
    <d v="2024-12-30T00:00:00"/>
    <d v="2025-01-02T00:00:00"/>
    <s v="2024 12"/>
    <s v="Aguardando Liberação"/>
    <s v="2024 11"/>
    <s v="ENTREGUE"/>
    <d v="2024-12-06T10:16:41"/>
    <s v="-"/>
    <m/>
    <n v="0"/>
    <n v="0"/>
    <n v="0"/>
    <n v="0"/>
    <n v="0"/>
  </r>
  <r>
    <s v="BV"/>
    <s v="BV45624"/>
    <s v="Pedido 455"/>
    <d v="2024-11-28T00:00:00"/>
    <d v="2024-11-28T00:00:00"/>
    <s v="PedidoF441"/>
    <s v="CódRastreio440"/>
    <n v="1"/>
    <s v="CPF 440"/>
    <s v="Nome 440"/>
    <s v="Tel 440"/>
    <s v="Cep 440"/>
    <s v="Rua 440"/>
    <s v="Comp 440"/>
    <x v="10"/>
    <s v="MU-J80P-95WF"/>
    <d v="2024-12-19T00:00:00"/>
    <n v="65.989999999999995"/>
    <n v="65.989999999999995"/>
    <n v="8.5786999999999995"/>
    <n v="57.41"/>
    <n v="14.67"/>
    <n v="0.14000000000000001"/>
    <n v="0.39877104377104378"/>
    <n v="0"/>
    <n v="42.201228956228952"/>
    <n v="21.100614478114476"/>
    <d v="2024-12-26T00:00:00"/>
    <d v="2024-12-26T00:00:00"/>
    <d v="2024-12-30T00:00:00"/>
    <d v="2025-01-02T00:00:00"/>
    <s v="2024 12"/>
    <s v="Aguardando Liberação"/>
    <s v="2024 11"/>
    <s v="ENTREGUE"/>
    <d v="2024-12-06T13:48:26"/>
    <s v="-"/>
    <m/>
    <n v="0"/>
    <n v="0"/>
    <n v="0"/>
    <n v="0"/>
    <n v="0"/>
  </r>
  <r>
    <s v="BV"/>
    <s v="BV45624"/>
    <s v="Pedido 456"/>
    <d v="2024-11-28T00:00:00"/>
    <d v="2024-11-28T00:00:00"/>
    <s v="PedidoF442"/>
    <s v="CódRastreio441"/>
    <n v="1"/>
    <s v="CPF 441"/>
    <s v="Nome 441"/>
    <s v="Tel 441"/>
    <s v="Cep 441"/>
    <s v="Rua 441"/>
    <s v="Comp 441"/>
    <x v="10"/>
    <s v="MU-J80P-95WF"/>
    <d v="2024-12-19T00:00:00"/>
    <n v="65.989999999999995"/>
    <n v="65.989999999999995"/>
    <n v="8.5786999999999995"/>
    <n v="57.41"/>
    <n v="14.67"/>
    <n v="0.14000000000000001"/>
    <n v="0.39877104377104378"/>
    <n v="0"/>
    <n v="42.201228956228952"/>
    <n v="21.100614478114476"/>
    <d v="2024-12-26T00:00:00"/>
    <d v="2024-12-26T00:00:00"/>
    <d v="2024-12-30T00:00:00"/>
    <d v="2025-01-02T00:00:00"/>
    <s v="2024 12"/>
    <s v="Aguardando Liberação"/>
    <s v="2024 11"/>
    <s v="ENTREGUE"/>
    <d v="2024-12-10T00:00:00"/>
    <s v="-"/>
    <m/>
    <n v="0"/>
    <n v="0"/>
    <n v="0"/>
    <n v="0"/>
    <n v="0"/>
  </r>
  <r>
    <s v="BV"/>
    <s v="BV45624"/>
    <s v="Pedido 457"/>
    <d v="2024-11-28T00:00:00"/>
    <d v="2024-11-28T00:00:00"/>
    <s v="PedidoF443"/>
    <s v="CódRastreio442"/>
    <n v="1"/>
    <s v="CPF 442"/>
    <s v="Nome 442"/>
    <s v="Tel 442"/>
    <s v="Cep 442"/>
    <s v="Rua 442"/>
    <s v="Comp 442"/>
    <x v="1"/>
    <s v="CK-YL6M-P5Y6"/>
    <d v="2024-12-27T00:00:00"/>
    <n v="39.99"/>
    <n v="39.99"/>
    <n v="5.1987000000000005"/>
    <n v="34.79"/>
    <n v="17.989999999999998"/>
    <n v="0.14000000000000001"/>
    <n v="0.39877104377104378"/>
    <n v="0"/>
    <n v="16.261228956228955"/>
    <n v="8.1306144781144774"/>
    <d v="2025-01-03T00:00:00"/>
    <d v="2025-01-03T00:00:00"/>
    <d v="2025-01-08T00:00:00"/>
    <d v="2025-01-16T00:00:00"/>
    <s v="2025 01"/>
    <s v="Aguardando Liberação"/>
    <s v="2024 11"/>
    <s v="ENTREGUE"/>
    <d v="2024-12-12T00:00:00"/>
    <s v="-"/>
    <m/>
    <n v="0"/>
    <n v="0"/>
    <n v="0"/>
    <n v="0"/>
    <n v="0"/>
  </r>
  <r>
    <s v="BV"/>
    <s v="BV45624"/>
    <s v="Pedido 458"/>
    <d v="2024-11-28T00:00:00"/>
    <d v="2024-11-28T00:00:00"/>
    <s v="PedidoF444"/>
    <s v="CódRastreio443"/>
    <n v="1"/>
    <s v="CPF 443"/>
    <s v="Nome 443"/>
    <s v="Tel 443"/>
    <s v="Cep 443"/>
    <s v="Rua 443"/>
    <s v="Comp 443"/>
    <x v="10"/>
    <s v="MU-J80P-95WF"/>
    <d v="2024-12-19T00:00:00"/>
    <n v="65.989999999999995"/>
    <n v="65.989999999999995"/>
    <n v="8.5786999999999995"/>
    <n v="57.41"/>
    <n v="14.67"/>
    <n v="0.14000000000000001"/>
    <n v="0.39877104377104378"/>
    <n v="0"/>
    <n v="42.201228956228952"/>
    <n v="21.100614478114476"/>
    <d v="2024-12-26T00:00:00"/>
    <d v="2024-12-26T00:00:00"/>
    <d v="2024-12-30T00:00:00"/>
    <d v="2025-01-02T00:00:00"/>
    <s v="2024 12"/>
    <s v="Aguardando Liberação"/>
    <s v="2024 11"/>
    <s v="ENTREGUE"/>
    <d v="2024-12-09T16:43:28"/>
    <s v="-"/>
    <m/>
    <n v="0"/>
    <n v="0"/>
    <n v="0"/>
    <n v="0"/>
    <n v="0"/>
  </r>
  <r>
    <s v="BV"/>
    <s v="BV45624"/>
    <s v="Pedido 459"/>
    <d v="2024-11-28T00:00:00"/>
    <d v="2024-11-28T00:00:00"/>
    <s v="PedidoF445"/>
    <s v="CódRastreio444"/>
    <n v="1"/>
    <s v="CPF 444"/>
    <s v="Nome 444"/>
    <s v="Tel 444"/>
    <s v="Cep 444"/>
    <s v="Rua 444"/>
    <s v="Comp 444"/>
    <x v="13"/>
    <s v="YA-AG3H-SPUK"/>
    <d v="2024-12-17T00:00:00"/>
    <n v="18.5"/>
    <n v="18.5"/>
    <n v="2.2199999999999998"/>
    <n v="16.28"/>
    <n v="8.58"/>
    <n v="0.14000000000000001"/>
    <n v="0.39877104377104378"/>
    <n v="0"/>
    <n v="7.1612289562289568"/>
    <n v="3.5806144781144784"/>
    <d v="2024-12-24T00:00:00"/>
    <d v="2024-12-24T00:00:00"/>
    <d v="2024-12-25T00:00:00"/>
    <d v="2025-01-02T00:00:00"/>
    <s v="2024 12"/>
    <s v="Aguardando Liberação"/>
    <s v="2024 11"/>
    <s v="ENTREGUE"/>
    <d v="2024-12-02T00:00:00"/>
    <s v="-"/>
    <m/>
    <n v="0"/>
    <n v="0"/>
    <n v="0"/>
    <n v="0"/>
    <n v="0"/>
  </r>
  <r>
    <s v="BV"/>
    <s v="BV45624"/>
    <s v="Pedido 460"/>
    <d v="2024-11-28T00:00:00"/>
    <d v="2024-11-28T00:00:00"/>
    <s v="PedidoF446"/>
    <s v="CódRastreio445"/>
    <n v="1"/>
    <s v="CPF 445"/>
    <s v="Nome 445"/>
    <s v="Tel 445"/>
    <s v="Cep 445"/>
    <s v="Rua 445"/>
    <s v="Comp 445"/>
    <x v="13"/>
    <s v="YA-AG3H-SPUK"/>
    <d v="2024-12-19T00:00:00"/>
    <n v="18.5"/>
    <n v="18.5"/>
    <n v="2.2199999999999998"/>
    <n v="16.28"/>
    <n v="8.58"/>
    <n v="0.14000000000000001"/>
    <n v="0.39877104377104378"/>
    <n v="0"/>
    <n v="7.1612289562289568"/>
    <n v="3.5806144781144784"/>
    <d v="2024-12-26T00:00:00"/>
    <d v="2024-12-26T00:00:00"/>
    <d v="2024-12-30T00:00:00"/>
    <d v="2025-01-02T00:00:00"/>
    <s v="2024 12"/>
    <s v="Aguardando Liberação"/>
    <s v="2024 11"/>
    <s v="ENTREGUE"/>
    <d v="2024-12-06T16:09:22"/>
    <s v="-"/>
    <m/>
    <n v="0"/>
    <n v="0"/>
    <n v="0"/>
    <n v="0"/>
    <n v="0"/>
  </r>
  <r>
    <s v="BV"/>
    <s v="BV45624"/>
    <s v="Pedido 461"/>
    <d v="2024-11-28T00:00:00"/>
    <d v="2024-11-28T00:00:00"/>
    <s v="PedidoF447"/>
    <s v="CódRastreio446"/>
    <n v="1"/>
    <s v="CPF 446"/>
    <s v="Nome 446"/>
    <s v="Tel 446"/>
    <s v="Cep 446"/>
    <s v="Rua 446"/>
    <s v="Comp 446"/>
    <x v="17"/>
    <s v="IA-LLX9-MRV1"/>
    <d v="2024-12-27T00:00:00"/>
    <n v="54.5"/>
    <n v="54.5"/>
    <n v="7.6300000000000008"/>
    <n v="46.87"/>
    <n v="10.38"/>
    <n v="0.14000000000000001"/>
    <n v="0.39877104377104378"/>
    <n v="0"/>
    <n v="35.951228956228952"/>
    <n v="17.975614478114476"/>
    <d v="2025-01-03T00:00:00"/>
    <d v="2025-01-03T00:00:00"/>
    <d v="2025-01-08T00:00:00"/>
    <d v="2025-01-16T00:00:00"/>
    <s v="2025 01"/>
    <s v="Aguardando Liberação"/>
    <s v="2024 11"/>
    <s v="ENTREGUE"/>
    <d v="2024-12-12T00:00:00"/>
    <s v="-"/>
    <m/>
    <n v="0"/>
    <n v="0"/>
    <n v="0"/>
    <n v="0"/>
    <n v="0"/>
  </r>
  <r>
    <s v="BV"/>
    <s v="BV45625"/>
    <s v="Pedido 462"/>
    <d v="2024-11-29T00:00:00"/>
    <d v="2024-11-29T00:00:00"/>
    <s v="PedidoF448"/>
    <s v="CódRastreio447"/>
    <n v="1"/>
    <s v="CPF 447"/>
    <s v="Nome 447"/>
    <s v="Tel 447"/>
    <s v="Cep 447"/>
    <s v="Rua 447"/>
    <s v="Comp 447"/>
    <x v="2"/>
    <s v="DJ-RO5O-43GF"/>
    <d v="2024-12-17T00:00:00"/>
    <n v="25.99"/>
    <n v="25.99"/>
    <n v="3.6386000000000003"/>
    <n v="22.35"/>
    <n v="14.4"/>
    <n v="0.24"/>
    <n v="0.39877104377104378"/>
    <n v="0"/>
    <n v="7.3112289562289572"/>
    <n v="3.6556144781144786"/>
    <d v="2024-12-24T00:00:00"/>
    <d v="2024-12-24T00:00:00"/>
    <d v="2024-12-25T00:00:00"/>
    <d v="2025-01-02T00:00:00"/>
    <s v="2024 12"/>
    <s v="Aguardando Liberação"/>
    <s v="2024 11"/>
    <s v="ENTREGUE"/>
    <d v="2024-12-05T22:38:16"/>
    <s v="-"/>
    <m/>
    <n v="0"/>
    <n v="0"/>
    <n v="0"/>
    <n v="0"/>
    <n v="0"/>
  </r>
  <r>
    <s v="BV"/>
    <s v="BV45624"/>
    <s v="Pedido 463"/>
    <d v="2024-11-28T00:00:00"/>
    <d v="2024-11-28T00:00:00"/>
    <s v="PedidoF449"/>
    <s v="CódRastreio448"/>
    <n v="1"/>
    <s v="CPF 448"/>
    <s v="Nome 448"/>
    <s v="Tel 448"/>
    <s v="Cep 448"/>
    <s v="Rua 448"/>
    <s v="Comp 448"/>
    <x v="1"/>
    <s v="CK-YL6M-P5Y6"/>
    <d v="2024-12-27T00:00:00"/>
    <n v="39.99"/>
    <n v="39.99"/>
    <n v="5.1987000000000005"/>
    <n v="34.79"/>
    <n v="17.989999999999998"/>
    <n v="0.14000000000000001"/>
    <n v="0.39877104377104378"/>
    <n v="0"/>
    <n v="16.261228956228955"/>
    <n v="8.1306144781144774"/>
    <d v="2025-01-03T00:00:00"/>
    <d v="2025-01-03T00:00:00"/>
    <d v="2025-01-08T00:00:00"/>
    <d v="2025-01-16T00:00:00"/>
    <s v="2025 01"/>
    <s v="Aguardando Liberação"/>
    <s v="2024 11"/>
    <s v="ENTREGUE"/>
    <d v="2024-12-10T00:00:00"/>
    <s v="-"/>
    <m/>
    <n v="0"/>
    <n v="0"/>
    <n v="0"/>
    <n v="0"/>
    <n v="0"/>
  </r>
  <r>
    <s v="BV"/>
    <s v="BV45624"/>
    <s v="Pedido 464"/>
    <d v="2024-11-28T00:00:00"/>
    <d v="2024-11-28T00:00:00"/>
    <s v="PedidoF450"/>
    <s v="CódRastreio449"/>
    <n v="1"/>
    <s v="CPF 449"/>
    <s v="Nome 449"/>
    <s v="Tel 449"/>
    <s v="Cep 449"/>
    <s v="Rua 449"/>
    <s v="Comp 449"/>
    <x v="3"/>
    <s v="IF-G2ZQ-79FO"/>
    <d v="2024-12-19T00:00:00"/>
    <n v="65.989999999999995"/>
    <n v="65.989999999999995"/>
    <n v="8.5786999999999995"/>
    <n v="57.41"/>
    <n v="14.19"/>
    <n v="0.14000000000000001"/>
    <n v="0.39877104377104378"/>
    <n v="0"/>
    <n v="42.681228956228949"/>
    <n v="21.340614478114475"/>
    <d v="2024-12-26T00:00:00"/>
    <d v="2024-12-26T00:00:00"/>
    <d v="2024-12-30T00:00:00"/>
    <d v="2025-01-02T00:00:00"/>
    <s v="2024 12"/>
    <s v="Aguardando Liberação"/>
    <s v="2024 11"/>
    <s v="ENTREGUE"/>
    <d v="2024-12-06T13:55:56"/>
    <s v="-"/>
    <m/>
    <n v="0"/>
    <n v="0"/>
    <n v="0"/>
    <n v="0"/>
    <n v="0"/>
  </r>
  <r>
    <s v="BV"/>
    <s v="BV45625"/>
    <s v="Pedido 465"/>
    <d v="2024-11-29T00:00:00"/>
    <d v="2024-11-29T00:00:00"/>
    <s v="PedidoF451"/>
    <s v="CódRastreio450"/>
    <n v="1"/>
    <s v="CPF 450"/>
    <s v="Nome 450"/>
    <s v="Tel 450"/>
    <s v="Cep 450"/>
    <s v="Rua 450"/>
    <s v="Comp 450"/>
    <x v="10"/>
    <s v="MU-J80P-95WF"/>
    <d v="2024-12-20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d v="2024-12-27T00:00:00"/>
    <d v="2024-12-27T00:00:00"/>
    <d v="2024-12-30T00:00:00"/>
    <d v="2025-01-02T00:00:00"/>
    <s v="2024 12"/>
    <s v="Aguardando Liberação"/>
    <s v="2024 11"/>
    <s v="ENTREGUE"/>
    <d v="2024-12-10T00:00:00"/>
    <s v="-"/>
    <m/>
    <n v="0"/>
    <n v="0"/>
    <n v="0"/>
    <n v="0"/>
    <n v="0"/>
  </r>
  <r>
    <s v="BV"/>
    <s v="BV45625"/>
    <s v="Pedido 466"/>
    <d v="2024-11-29T00:00:00"/>
    <d v="2024-11-29T00:00:00"/>
    <s v="PedidoF452"/>
    <s v="CódRastreio451"/>
    <n v="1"/>
    <s v="CPF 451"/>
    <s v="Nome 451"/>
    <s v="Tel 451"/>
    <s v="Cep 451"/>
    <s v="Rua 451"/>
    <s v="Comp 451"/>
    <x v="12"/>
    <s v="U8-2VWS-OB6M"/>
    <d v="2024-12-20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d v="2024-12-27T00:00:00"/>
    <d v="2024-12-27T00:00:00"/>
    <d v="2024-12-30T00:00:00"/>
    <d v="2025-01-02T00:00:00"/>
    <s v="2024 12"/>
    <s v="Aguardando Liberação"/>
    <s v="2024 11"/>
    <s v="ENTREGUE"/>
    <d v="2024-12-15T00:00:00"/>
    <s v="-"/>
    <m/>
    <n v="0"/>
    <n v="0"/>
    <n v="0"/>
    <n v="0"/>
    <n v="0"/>
  </r>
  <r>
    <s v="BV"/>
    <s v="BV45625"/>
    <s v="Pedido 467"/>
    <d v="2024-11-29T00:00:00"/>
    <d v="2024-11-29T00:00:00"/>
    <s v="PedidoF453"/>
    <s v="CódRastreio452"/>
    <n v="1"/>
    <s v="CPF 452"/>
    <s v="Nome 452"/>
    <s v="Tel 452"/>
    <s v="Cep 452"/>
    <s v="Rua 452"/>
    <s v="Comp 452"/>
    <x v="12"/>
    <s v="U8-2VWS-OB6M"/>
    <d v="2024-12-28T00:00:00"/>
    <n v="65.989999999999995"/>
    <n v="65.989999999999995"/>
    <n v="8.5786999999999995"/>
    <n v="57.41"/>
    <n v="0"/>
    <n v="0.24"/>
    <n v="0.39877104377104378"/>
    <n v="0"/>
    <n v="56.771228956228953"/>
    <n v="28.385614478114476"/>
    <d v="2025-01-04T00:00:00"/>
    <d v="2025-01-04T00:00:00"/>
    <d v="2025-01-08T00:00:00"/>
    <d v="2025-01-16T00:00:00"/>
    <s v="2025 01"/>
    <s v="Aguardando Liberação"/>
    <s v="2024 11"/>
    <s v="ENTREGUE"/>
    <d v="2024-12-09T12:47:07"/>
    <s v="-"/>
    <m/>
    <n v="0"/>
    <n v="0"/>
    <n v="0"/>
    <n v="0"/>
    <n v="0"/>
  </r>
  <r>
    <s v="BV"/>
    <s v="BV45625"/>
    <s v="Pedido 468"/>
    <d v="2024-11-29T00:00:00"/>
    <d v="2024-11-29T00:00:00"/>
    <s v="PedidoF454"/>
    <s v="CódRastreio453"/>
    <n v="1"/>
    <s v="CPF 453"/>
    <s v="Nome 453"/>
    <s v="Tel 453"/>
    <s v="Cep 453"/>
    <s v="Rua 453"/>
    <s v="Comp 453"/>
    <x v="12"/>
    <s v="U8-2VWS-OB6M"/>
    <d v="2024-12-28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d v="2025-01-04T00:00:00"/>
    <d v="2025-01-04T00:00:00"/>
    <d v="2025-01-08T00:00:00"/>
    <d v="2025-01-16T00:00:00"/>
    <s v="2025 01"/>
    <s v="Aguardando Liberação"/>
    <s v="2024 11"/>
    <s v="ENTREGUE"/>
    <d v="2024-12-13T00:00:00"/>
    <s v="-"/>
    <m/>
    <n v="0"/>
    <n v="0"/>
    <n v="0"/>
    <n v="0"/>
    <n v="0"/>
  </r>
  <r>
    <s v="BV"/>
    <s v="BV45625"/>
    <s v="Pedido 469"/>
    <d v="2024-11-29T00:00:00"/>
    <d v="2024-11-29T00:00:00"/>
    <s v="PedidoF455"/>
    <s v="CódRastreio454"/>
    <n v="1"/>
    <s v="CPF 454"/>
    <s v="Nome 454"/>
    <s v="Tel 454"/>
    <s v="Cep 454"/>
    <s v="Rua 454"/>
    <s v="Comp 454"/>
    <x v="3"/>
    <s v="IF-G2ZQ-79FO"/>
    <d v="2024-12-20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d v="2024-12-27T00:00:00"/>
    <d v="2024-12-27T00:00:00"/>
    <d v="2024-12-30T00:00:00"/>
    <d v="2025-01-02T00:00:00"/>
    <s v="2024 12"/>
    <s v="Aguardando Liberação"/>
    <s v="2024 11"/>
    <s v="ENTREGUE"/>
    <d v="2024-12-10T00:00:00"/>
    <s v="-"/>
    <m/>
    <n v="0"/>
    <n v="0"/>
    <n v="0"/>
    <n v="0"/>
    <n v="0"/>
  </r>
  <r>
    <s v="BV"/>
    <s v="BV45628"/>
    <s v="Pedido 470"/>
    <d v="2024-12-02T00:00:00"/>
    <d v="2024-12-02T00:00:00"/>
    <s v="PedidoF456"/>
    <s v="CódRastreio455"/>
    <n v="1"/>
    <s v="CPF 455"/>
    <s v="Nome 455"/>
    <s v="Tel 455"/>
    <s v="Cep 455"/>
    <s v="Rua 455"/>
    <s v="Comp 455"/>
    <x v="13"/>
    <s v="YA-AG3H-SPUK"/>
    <d v="2024-12-18T00:00:00"/>
    <n v="22.5"/>
    <n v="22.5"/>
    <n v="2.6999999999999997"/>
    <n v="19.8"/>
    <n v="9.0399999999999991"/>
    <n v="0.21"/>
    <n v="0.39877104377104378"/>
    <n v="0"/>
    <n v="10.151228956228957"/>
    <n v="5.0756144781144785"/>
    <d v="2024-12-25T00:00:00"/>
    <d v="2024-12-25T00:00:00"/>
    <d v="2024-12-25T00:00:00"/>
    <d v="2025-01-02T00:00:00"/>
    <s v="2024 12"/>
    <s v="Aguardando Liberação"/>
    <s v="2024 12"/>
    <s v="ENTREGUE"/>
    <d v="2024-12-09T18:00:22"/>
    <s v="-"/>
    <m/>
    <n v="0"/>
    <n v="0"/>
    <n v="0"/>
    <n v="0"/>
    <n v="0"/>
  </r>
  <r>
    <s v="BV"/>
    <s v="BV45625"/>
    <s v="Pedido 471"/>
    <d v="2024-11-29T00:00:00"/>
    <d v="2024-11-29T00:00:00"/>
    <s v="PedidoF457"/>
    <s v="CódRastreio456"/>
    <n v="1"/>
    <s v="CPF 456"/>
    <s v="Nome 456"/>
    <s v="Tel 456"/>
    <s v="Cep 456"/>
    <s v="Rua 456"/>
    <s v="Comp 456"/>
    <x v="12"/>
    <s v="U8-2VWS-OB6M"/>
    <d v="2024-12-20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d v="2024-12-27T00:00:00"/>
    <d v="2024-12-27T00:00:00"/>
    <d v="2024-12-30T00:00:00"/>
    <d v="2025-01-02T00:00:00"/>
    <s v="2024 12"/>
    <s v="Aguardando Liberação"/>
    <s v="2024 11"/>
    <s v="ENTREGUE"/>
    <d v="2024-12-20T00:00:00"/>
    <s v="-"/>
    <m/>
    <n v="0"/>
    <n v="0"/>
    <n v="0"/>
    <n v="0"/>
    <n v="0"/>
  </r>
  <r>
    <s v="BV"/>
    <s v="BV45625"/>
    <s v="Pedido 472"/>
    <d v="2024-11-29T00:00:00"/>
    <d v="2024-11-29T00:00:00"/>
    <s v="PedidoF458"/>
    <s v="CódRastreio457"/>
    <n v="1"/>
    <s v="CPF 457"/>
    <s v="Nome 457"/>
    <s v="Tel 457"/>
    <s v="Cep 457"/>
    <s v="Rua 457"/>
    <s v="Comp 457"/>
    <x v="10"/>
    <s v="MU-J80P-95WF"/>
    <d v="2024-12-28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d v="2025-01-04T00:00:00"/>
    <d v="2025-01-04T00:00:00"/>
    <d v="2025-01-08T00:00:00"/>
    <d v="2025-01-16T00:00:00"/>
    <s v="2025 01"/>
    <s v="Aguardando Liberação"/>
    <s v="2024 11"/>
    <s v="ENTREGUE"/>
    <d v="2024-12-12T00:00:00"/>
    <s v="-"/>
    <m/>
    <n v="0"/>
    <n v="0"/>
    <n v="0"/>
    <n v="0"/>
    <n v="0"/>
  </r>
  <r>
    <s v="BV"/>
    <s v="BV45628"/>
    <s v="Pedido 473"/>
    <d v="2024-12-02T00:00:00"/>
    <d v="2024-12-02T00:00:00"/>
    <s v="PedidoF459"/>
    <s v="CódRastreio458"/>
    <n v="1"/>
    <s v="CPF 458"/>
    <s v="Nome 458"/>
    <s v="Tel 458"/>
    <s v="Cep 458"/>
    <s v="Rua 458"/>
    <s v="Comp 458"/>
    <x v="13"/>
    <s v="YA-AG3H-SPUK"/>
    <d v="2024-12-14T00:00:00"/>
    <n v="22.5"/>
    <n v="22.5"/>
    <n v="2.6999999999999997"/>
    <n v="19.8"/>
    <n v="9.0399999999999991"/>
    <n v="0.21"/>
    <n v="0.39877104377104378"/>
    <n v="0"/>
    <n v="10.151228956228957"/>
    <n v="5.0756144781144785"/>
    <d v="2024-12-21T00:00:00"/>
    <d v="2024-12-21T00:00:00"/>
    <d v="2024-12-25T00:00:00"/>
    <d v="2025-01-02T00:00:00"/>
    <s v="2024 12"/>
    <s v="Aguardando Liberação"/>
    <s v="2024 12"/>
    <s v="ENTREGUE"/>
    <d v="2024-12-07T17:51:55"/>
    <s v="-"/>
    <m/>
    <n v="0"/>
    <n v="0"/>
    <n v="0"/>
    <n v="0"/>
    <n v="0"/>
  </r>
  <r>
    <s v="BV"/>
    <s v="BV45625"/>
    <s v="Pedido 474"/>
    <d v="2024-11-29T00:00:00"/>
    <d v="2024-11-29T00:00:00"/>
    <s v="PedidoF460"/>
    <s v="CódRastreio459"/>
    <n v="1"/>
    <s v="CPF 459"/>
    <s v="Nome 459"/>
    <s v="Tel 459"/>
    <s v="Cep 459"/>
    <s v="Rua 459"/>
    <s v="Comp 459"/>
    <x v="10"/>
    <s v="MU-J80P-95WF"/>
    <d v="2024-12-20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d v="2024-12-27T00:00:00"/>
    <d v="2024-12-27T00:00:00"/>
    <d v="2024-12-30T00:00:00"/>
    <d v="2025-01-02T00:00:00"/>
    <s v="2024 12"/>
    <s v="Aguardando Liberação"/>
    <s v="2024 11"/>
    <s v="ENTREGUE"/>
    <d v="2024-12-11T00:00:00"/>
    <s v="-"/>
    <m/>
    <n v="0"/>
    <n v="0"/>
    <n v="0"/>
    <n v="0"/>
    <n v="0"/>
  </r>
  <r>
    <s v="BV"/>
    <s v="BV45625"/>
    <s v="Pedido 475"/>
    <d v="2024-11-29T00:00:00"/>
    <d v="2024-11-29T00:00:00"/>
    <s v="PedidoF461"/>
    <s v="CódRastreio460"/>
    <n v="1"/>
    <s v="CPF 460"/>
    <s v="Nome 460"/>
    <s v="Tel 460"/>
    <s v="Cep 460"/>
    <s v="Rua 460"/>
    <s v="Comp 460"/>
    <x v="10"/>
    <s v="MU-J80P-95WF"/>
    <d v="2024-12-20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d v="2024-12-27T00:00:00"/>
    <d v="2024-12-27T00:00:00"/>
    <d v="2024-12-30T00:00:00"/>
    <d v="2025-01-02T00:00:00"/>
    <s v="2024 12"/>
    <s v="Aguardando Liberação"/>
    <s v="2024 11"/>
    <s v="ENTREGUE"/>
    <d v="2024-12-09T13:09:11"/>
    <s v="-"/>
    <m/>
    <n v="0"/>
    <n v="0"/>
    <n v="0"/>
    <n v="0"/>
    <n v="0"/>
  </r>
  <r>
    <s v="BV"/>
    <s v="BV45628"/>
    <s v="Pedido 476"/>
    <d v="2024-12-02T00:00:00"/>
    <d v="2024-12-02T00:00:00"/>
    <s v="PedidoF462"/>
    <s v="CódRastreio461"/>
    <n v="1"/>
    <s v="CPF 461"/>
    <s v="Nome 461"/>
    <s v="Tel 461"/>
    <s v="Cep 461"/>
    <s v="Rua 461"/>
    <s v="Comp 461"/>
    <x v="13"/>
    <s v="YA-AG3H-SPUK"/>
    <d v="2024-12-20T00:00:00"/>
    <n v="60"/>
    <n v="60"/>
    <n v="7.1999999999999993"/>
    <n v="52.8"/>
    <n v="9.0399999999999991"/>
    <n v="0.21"/>
    <n v="0.39877104377104378"/>
    <n v="0"/>
    <n v="43.151228956228955"/>
    <n v="21.575614478114478"/>
    <d v="2024-12-27T00:00:00"/>
    <d v="2024-12-27T00:00:00"/>
    <d v="2024-12-30T00:00:00"/>
    <d v="2025-01-02T00:00:00"/>
    <s v="2024 12"/>
    <s v="Aguardando Liberação"/>
    <s v="2024 12"/>
    <s v="ENTREGUE"/>
    <d v="2024-12-10T00:00:00"/>
    <s v="-"/>
    <m/>
    <n v="0"/>
    <n v="0"/>
    <n v="0"/>
    <n v="0"/>
    <n v="0"/>
  </r>
  <r>
    <s v="BV"/>
    <s v="BV45628"/>
    <s v="Pedido 477"/>
    <d v="2024-12-02T00:00:00"/>
    <d v="2024-12-02T00:00:00"/>
    <s v="PedidoF463"/>
    <s v="CódRastreio462"/>
    <n v="1"/>
    <s v="CPF 462"/>
    <s v="Nome 462"/>
    <s v="Tel 462"/>
    <s v="Cep 462"/>
    <s v="Rua 462"/>
    <s v="Comp 462"/>
    <x v="3"/>
    <s v="IF-G2ZQ-79FO"/>
    <d v="2024-12-20T00:00:00"/>
    <n v="100"/>
    <n v="100"/>
    <n v="13"/>
    <n v="87"/>
    <n v="19.48"/>
    <n v="0.21"/>
    <n v="0.39877104377104378"/>
    <n v="0"/>
    <n v="66.911228956228953"/>
    <n v="33.455614478114477"/>
    <d v="2024-12-27T00:00:00"/>
    <d v="2024-12-27T00:00:00"/>
    <d v="2024-12-30T00:00:00"/>
    <d v="2025-01-02T00:00:00"/>
    <s v="2024 12"/>
    <s v="Aguardando Liberação"/>
    <s v="2024 12"/>
    <s v="ENTREGUE"/>
    <d v="2025-01-03T00:00:00"/>
    <s v="-"/>
    <m/>
    <n v="0"/>
    <n v="0"/>
    <n v="0"/>
    <n v="0"/>
    <n v="0"/>
  </r>
  <r>
    <s v="BV"/>
    <s v="BV45628"/>
    <s v="Pedido 478"/>
    <d v="2024-12-02T00:00:00"/>
    <d v="2024-12-02T00:00:00"/>
    <s v="PedidoF464"/>
    <s v="CódRastreio463"/>
    <n v="1"/>
    <s v="CPF 463"/>
    <s v="Nome 463"/>
    <s v="Tel 463"/>
    <s v="Cep 463"/>
    <s v="Rua 463"/>
    <s v="Comp 463"/>
    <x v="10"/>
    <s v="MU-J80P-95WF"/>
    <d v="2024-12-28T00:00:00"/>
    <n v="100"/>
    <n v="100"/>
    <n v="13"/>
    <n v="87"/>
    <n v="19.34"/>
    <n v="0.21"/>
    <n v="0.39877104377104378"/>
    <n v="0"/>
    <n v="67.051228956228954"/>
    <n v="33.525614478114477"/>
    <d v="2025-01-04T00:00:00"/>
    <d v="2025-01-04T00:00:00"/>
    <d v="2025-01-08T00:00:00"/>
    <d v="2025-01-1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28"/>
    <s v="Pedido 479"/>
    <d v="2024-12-02T00:00:00"/>
    <d v="2024-12-02T00:00:00"/>
    <s v="PedidoF465"/>
    <s v="CódRastreio464"/>
    <n v="1"/>
    <s v="CPF 464"/>
    <s v="Nome 464"/>
    <s v="Tel 464"/>
    <s v="Cep 464"/>
    <s v="Rua 464"/>
    <s v="Comp 464"/>
    <x v="10"/>
    <s v="MU-J80P-95WF"/>
    <d v="2024-12-31T00:00:00"/>
    <n v="100"/>
    <n v="100"/>
    <n v="13"/>
    <n v="87"/>
    <n v="19.34"/>
    <n v="0.21"/>
    <n v="0.39877104377104378"/>
    <n v="0"/>
    <n v="67.051228956228954"/>
    <n v="33.525614478114477"/>
    <d v="2025-01-07T00:00:00"/>
    <d v="2025-01-07T00:00:00"/>
    <d v="2025-01-08T00:00:00"/>
    <d v="2025-01-16T00:00:00"/>
    <s v="2025 01"/>
    <s v="Aguardando Liberação"/>
    <s v="2024 12"/>
    <s v="ENTREGUE"/>
    <d v="2024-12-17T00:00:00"/>
    <s v="-"/>
    <m/>
    <n v="0"/>
    <n v="0"/>
    <n v="0"/>
    <n v="0"/>
    <n v="0"/>
  </r>
  <r>
    <s v="BV"/>
    <s v="BV45628"/>
    <s v="Pedido 480"/>
    <d v="2024-12-02T00:00:00"/>
    <d v="2024-12-02T00:00:00"/>
    <s v="PedidoF466"/>
    <s v="CódRastreio465"/>
    <n v="1"/>
    <s v="CPF 465"/>
    <s v="Nome 465"/>
    <s v="Tel 465"/>
    <s v="Cep 465"/>
    <s v="Rua 465"/>
    <s v="Comp 465"/>
    <x v="12"/>
    <s v="U8-2VWS-OB6M"/>
    <d v="2024-12-21T00:00:00"/>
    <n v="65.989999999999995"/>
    <n v="65.989999999999995"/>
    <n v="8.5786999999999995"/>
    <n v="57.41"/>
    <n v="19.28"/>
    <n v="0.21"/>
    <n v="0.39877104377104378"/>
    <n v="0"/>
    <n v="37.521228956228953"/>
    <n v="18.760614478114476"/>
    <d v="2024-12-28T00:00:00"/>
    <d v="2024-12-28T00:00:00"/>
    <d v="2024-12-30T00:00:00"/>
    <d v="2025-01-02T00:00:00"/>
    <s v="2024 12"/>
    <s v="Aguardando Liberação"/>
    <s v="2024 12"/>
    <s v="ENTREGUE"/>
    <d v="2024-12-16T00:00:00"/>
    <s v="-"/>
    <m/>
    <n v="0"/>
    <n v="0"/>
    <n v="0"/>
    <n v="0"/>
    <n v="0"/>
  </r>
  <r>
    <s v="BV"/>
    <s v="BV45628"/>
    <s v="Pedido 481"/>
    <d v="2024-12-02T00:00:00"/>
    <d v="2024-12-02T00:00:00"/>
    <s v="PedidoF467"/>
    <s v="CódRastreio466"/>
    <n v="1"/>
    <s v="CPF 466"/>
    <s v="Nome 466"/>
    <s v="Tel 466"/>
    <s v="Cep 466"/>
    <s v="Rua 466"/>
    <s v="Comp 466"/>
    <x v="10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d v="2024-12-28T00:00:00"/>
    <d v="2024-12-28T00:00:00"/>
    <d v="2024-12-30T00:00:00"/>
    <d v="2025-01-02T00:00:00"/>
    <s v="2024 12"/>
    <s v="Aguardando Liberação"/>
    <s v="2024 12"/>
    <s v="ENTREGUE"/>
    <d v="2024-12-11T00:00:00"/>
    <s v="-"/>
    <m/>
    <n v="0"/>
    <n v="0"/>
    <n v="0"/>
    <n v="0"/>
    <n v="0"/>
  </r>
  <r>
    <s v="BV"/>
    <s v="BV45628"/>
    <s v="Pedido 482"/>
    <d v="2024-12-02T00:00:00"/>
    <d v="2024-12-02T00:00:00"/>
    <s v="PedidoF468"/>
    <s v="CódRastreio467"/>
    <n v="1"/>
    <s v="CPF 467"/>
    <s v="Nome 467"/>
    <s v="Tel 467"/>
    <s v="Cep 467"/>
    <s v="Rua 467"/>
    <s v="Comp 467"/>
    <x v="12"/>
    <s v="U8-2VWS-OB6M"/>
    <d v="2024-12-21T00:00:00"/>
    <n v="65.989999999999995"/>
    <n v="65.989999999999995"/>
    <n v="8.5786999999999995"/>
    <n v="57.41"/>
    <n v="19.28"/>
    <n v="0.21"/>
    <n v="0.39877104377104378"/>
    <n v="0"/>
    <n v="37.521228956228953"/>
    <n v="18.760614478114476"/>
    <d v="2024-12-28T00:00:00"/>
    <d v="2024-12-28T00:00:00"/>
    <d v="2024-12-30T00:00:00"/>
    <d v="2025-01-02T00:00:00"/>
    <s v="2024 12"/>
    <s v="Aguardando Liberação"/>
    <s v="2024 12"/>
    <s v="ENTREGUE"/>
    <d v="2024-12-11T00:00:00"/>
    <s v="-"/>
    <m/>
    <n v="0"/>
    <n v="0"/>
    <n v="0"/>
    <n v="0"/>
    <n v="0"/>
  </r>
  <r>
    <s v="BV"/>
    <s v="BV45628"/>
    <s v="Pedido 483"/>
    <d v="2024-12-02T00:00:00"/>
    <d v="2024-12-02T00:00:00"/>
    <s v="PedidoF469"/>
    <s v="CódRastreio468"/>
    <n v="1"/>
    <s v="CPF 468"/>
    <s v="Nome 468"/>
    <s v="Tel 468"/>
    <s v="Cep 468"/>
    <s v="Rua 468"/>
    <s v="Comp 468"/>
    <x v="13"/>
    <s v="YA-AG3H-SPUK"/>
    <d v="2024-12-31T00:00:00"/>
    <n v="23.9"/>
    <n v="23.9"/>
    <n v="2.8679999999999999"/>
    <n v="21.03"/>
    <n v="9.0399999999999991"/>
    <n v="0.21"/>
    <n v="0.39877104377104378"/>
    <n v="0"/>
    <n v="11.381228956228957"/>
    <n v="5.6906144781144787"/>
    <d v="2025-01-07T00:00:00"/>
    <d v="2025-01-07T00:00:00"/>
    <d v="2025-01-08T00:00:00"/>
    <d v="2025-01-1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28"/>
    <s v="Pedido 484"/>
    <d v="2024-12-02T00:00:00"/>
    <d v="2024-12-02T00:00:00"/>
    <s v="PedidoF470"/>
    <s v="CódRastreio469"/>
    <n v="1"/>
    <s v="CPF 469"/>
    <s v="Nome 469"/>
    <s v="Tel 469"/>
    <s v="Cep 469"/>
    <s v="Rua 469"/>
    <s v="Comp 469"/>
    <x v="3"/>
    <s v="IF-G2ZQ-79FO"/>
    <d v="2024-12-21T00:00:00"/>
    <n v="65.900000000000006"/>
    <n v="65.900000000000006"/>
    <n v="8.5670000000000002"/>
    <n v="57.33"/>
    <n v="0"/>
    <n v="0.21"/>
    <n v="0.39877104377104378"/>
    <n v="0"/>
    <n v="56.721228956228956"/>
    <n v="28.360614478114478"/>
    <d v="2024-12-28T00:00:00"/>
    <d v="2024-12-28T00:00:00"/>
    <d v="2024-12-30T00:00:00"/>
    <d v="2025-01-02T00:00:00"/>
    <s v="2024 12"/>
    <s v="Aguardando Liberação"/>
    <s v="2024 12"/>
    <s v="ENTREGUE"/>
    <d v="2024-12-13T00:00:00"/>
    <s v="-"/>
    <m/>
    <n v="0"/>
    <n v="0"/>
    <n v="0"/>
    <n v="0"/>
    <n v="0"/>
  </r>
  <r>
    <s v="BV"/>
    <s v="BV45628"/>
    <s v="Pedido 485"/>
    <d v="2024-12-02T00:00:00"/>
    <d v="2024-12-02T00:00:00"/>
    <s v="PedidoF471"/>
    <s v="CódRastreio470"/>
    <n v="1"/>
    <s v="CPF 470"/>
    <s v="Nome 470"/>
    <s v="Tel 470"/>
    <s v="Cep 470"/>
    <s v="Rua 470"/>
    <s v="Comp 470"/>
    <x v="13"/>
    <s v="YA-AG3H-SPUK"/>
    <d v="2024-12-21T00:00:00"/>
    <n v="23.9"/>
    <n v="23.9"/>
    <n v="2.8679999999999999"/>
    <n v="21.03"/>
    <n v="9.0399999999999991"/>
    <n v="0.21"/>
    <n v="0.39877104377104378"/>
    <n v="0"/>
    <n v="11.381228956228957"/>
    <n v="5.6906144781144787"/>
    <d v="2024-12-28T00:00:00"/>
    <d v="2024-12-28T00:00:00"/>
    <d v="2024-12-30T00:00:00"/>
    <d v="2025-01-02T00:00:00"/>
    <s v="2024 12"/>
    <s v="Aguardando Liberação"/>
    <s v="2024 12"/>
    <s v="ENTREGUE"/>
    <d v="2024-12-12T00:00:00"/>
    <s v="-"/>
    <m/>
    <n v="0"/>
    <n v="0"/>
    <n v="0"/>
    <n v="0"/>
    <n v="0"/>
  </r>
  <r>
    <s v="BV"/>
    <s v="BV45628"/>
    <s v="Pedido 486"/>
    <d v="2024-12-02T00:00:00"/>
    <d v="2024-12-02T00:00:00"/>
    <s v="PedidoF472"/>
    <s v="CódRastreio471"/>
    <n v="1"/>
    <s v="CPF 471"/>
    <s v="Nome 471"/>
    <s v="Tel 471"/>
    <s v="Cep 471"/>
    <s v="Rua 471"/>
    <s v="Comp 471"/>
    <x v="10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d v="2024-12-28T00:00:00"/>
    <d v="2024-12-28T00:00:00"/>
    <d v="2024-12-30T00:00:00"/>
    <d v="2025-01-02T00:00:00"/>
    <s v="2024 12"/>
    <s v="Aguardando Liberação"/>
    <s v="2024 12"/>
    <s v="ENTREGUE"/>
    <d v="2024-12-11T00:00:00"/>
    <s v="-"/>
    <m/>
    <n v="0"/>
    <n v="0"/>
    <n v="0"/>
    <n v="0"/>
    <n v="0"/>
  </r>
  <r>
    <s v="BV"/>
    <s v="BV45628"/>
    <s v="Pedido 487"/>
    <d v="2024-12-02T00:00:00"/>
    <d v="2024-12-02T00:00:00"/>
    <s v="PedidoF473"/>
    <s v="CódRastreio472"/>
    <n v="1"/>
    <s v="CPF 472"/>
    <s v="Nome 472"/>
    <s v="Tel 472"/>
    <s v="Cep 472"/>
    <s v="Rua 472"/>
    <s v="Comp 472"/>
    <x v="10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d v="2024-12-28T00:00:00"/>
    <d v="2024-12-28T00:00:00"/>
    <d v="2024-12-30T00:00:00"/>
    <d v="2025-01-02T00:00:00"/>
    <s v="2024 12"/>
    <s v="Aguardando Liberação"/>
    <s v="2024 12"/>
    <s v="ENTREGUE"/>
    <d v="2024-12-10T00:00:00"/>
    <s v="-"/>
    <m/>
    <n v="0"/>
    <n v="0"/>
    <n v="0"/>
    <n v="0"/>
    <n v="0"/>
  </r>
  <r>
    <s v="BV"/>
    <s v="BV45628"/>
    <s v="Pedido 488"/>
    <d v="2024-12-02T00:00:00"/>
    <d v="2024-12-02T00:00:00"/>
    <s v="PedidoF474"/>
    <s v="CódRastreio473"/>
    <n v="1"/>
    <s v="CPF 473"/>
    <s v="Nome 473"/>
    <s v="Tel 473"/>
    <s v="Cep 473"/>
    <s v="Rua 473"/>
    <s v="Comp 473"/>
    <x v="10"/>
    <s v="MU-J80P-95WF"/>
    <d v="2025-01-09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d v="2025-01-16T00:00:00"/>
    <d v="2025-01-16T00:00:00"/>
    <d v="2025-01-17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28"/>
    <s v="Pedido 488"/>
    <d v="2024-12-02T00:00:00"/>
    <d v="2024-12-02T00:00:00"/>
    <s v="PedidoF475"/>
    <s v="CódRastreio474"/>
    <n v="1"/>
    <s v="CPF 473"/>
    <s v="Nome 473"/>
    <s v="Tel 473"/>
    <s v="Cep 473"/>
    <s v="Rua 473"/>
    <s v="Comp 473"/>
    <x v="12"/>
    <s v="U8-2VWS-OB6M"/>
    <d v="2025-01-09T00:00:00"/>
    <n v="65.989999999999995"/>
    <n v="65.989999999999995"/>
    <n v="8.5786999999999995"/>
    <n v="57.41"/>
    <n v="19.28"/>
    <n v="0.21"/>
    <n v="0.39877104377104378"/>
    <n v="0"/>
    <n v="37.521228956228953"/>
    <n v="18.760614478114476"/>
    <d v="2025-01-16T00:00:00"/>
    <d v="2025-01-16T00:00:00"/>
    <d v="2025-01-17T00:00:00"/>
    <d v="2025-02-06T00:00:00"/>
    <s v="2025 01"/>
    <s v="Aguardando Liberação"/>
    <s v="2024 12"/>
    <s v="-"/>
    <s v="-"/>
    <s v="-"/>
    <m/>
    <n v="0"/>
    <n v="0"/>
    <n v="0"/>
    <n v="0"/>
    <n v="0"/>
  </r>
  <r>
    <s v="BV"/>
    <s v="BV45628"/>
    <s v="Pedido 489"/>
    <d v="2024-12-02T00:00:00"/>
    <d v="2024-12-02T00:00:00"/>
    <s v="PedidoF476"/>
    <s v="CódRastreio475"/>
    <n v="1"/>
    <s v="CPF 474"/>
    <s v="Nome 474"/>
    <s v="Tel 474"/>
    <s v="Cep 474"/>
    <s v="Rua 474"/>
    <s v="Comp 474"/>
    <x v="10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d v="2024-12-28T00:00:00"/>
    <d v="2024-12-28T00:00:00"/>
    <d v="2024-12-30T00:00:00"/>
    <d v="2025-01-02T00:00:00"/>
    <s v="2024 12"/>
    <s v="Aguardando Liberação"/>
    <s v="2024 12"/>
    <s v="ENTREGUE"/>
    <d v="2024-12-11T00:00:00"/>
    <s v="-"/>
    <m/>
    <n v="0"/>
    <n v="0"/>
    <n v="0"/>
    <n v="0"/>
    <n v="0"/>
  </r>
  <r>
    <s v="BV"/>
    <s v="BV45628"/>
    <s v="Pedido 490"/>
    <d v="2024-12-02T00:00:00"/>
    <d v="2024-12-02T00:00:00"/>
    <s v="PedidoF477"/>
    <s v="CódRastreio476"/>
    <n v="1"/>
    <s v="CPF 475"/>
    <s v="Nome 475"/>
    <s v="Tel 475"/>
    <s v="Cep 475"/>
    <s v="Rua 475"/>
    <s v="Comp 475"/>
    <x v="4"/>
    <s v="9G-BN48-QAPH"/>
    <d v="2024-12-31T00:00:00"/>
    <n v="21.99"/>
    <n v="21.99"/>
    <n v="3.2984999999999998"/>
    <n v="18.690000000000001"/>
    <n v="7.99"/>
    <n v="0.21"/>
    <n v="0.39877104377104378"/>
    <n v="0"/>
    <n v="10.091228956228957"/>
    <n v="5.0456144781144783"/>
    <d v="2025-01-07T00:00:00"/>
    <d v="2025-01-07T00:00:00"/>
    <d v="2025-01-08T00:00:00"/>
    <d v="2025-01-16T00:00:00"/>
    <s v="2025 01"/>
    <s v="Aguardando Liberação"/>
    <s v="2024 12"/>
    <s v="ENTREGUE"/>
    <d v="2024-12-10T00:00:00"/>
    <s v="-"/>
    <m/>
    <n v="0"/>
    <n v="0"/>
    <n v="0"/>
    <n v="0"/>
    <n v="0"/>
  </r>
  <r>
    <s v="BV"/>
    <s v="BV45629"/>
    <s v="Pedido 491"/>
    <d v="2024-12-03T00:00:00"/>
    <d v="2024-12-03T00:00:00"/>
    <s v="PedidoF478"/>
    <s v="CódRastreio477"/>
    <n v="1"/>
    <s v="CPF 476"/>
    <s v="Nome 476"/>
    <s v="Tel 476"/>
    <s v="Cep 476"/>
    <s v="Rua 476"/>
    <s v="Comp 476"/>
    <x v="10"/>
    <s v="MU-J80P-95WF"/>
    <d v="2024-12-21T00:00:00"/>
    <n v="65.989999999999995"/>
    <n v="65.989999999999995"/>
    <n v="8.5786999999999995"/>
    <n v="57.41"/>
    <n v="19.54"/>
    <n v="0.22"/>
    <n v="0.39877104377104378"/>
    <n v="0"/>
    <n v="37.251228956228957"/>
    <n v="18.625614478114478"/>
    <d v="2024-12-28T00:00:00"/>
    <d v="2024-12-28T00:00:00"/>
    <d v="2024-12-30T00:00:00"/>
    <d v="2025-01-02T00:00:00"/>
    <s v="2024 12"/>
    <s v="Aguardando Liberação"/>
    <s v="2024 12"/>
    <s v="ENTREGUE"/>
    <d v="2024-12-13T00:00:00"/>
    <s v="-"/>
    <m/>
    <n v="0"/>
    <n v="0"/>
    <n v="0"/>
    <n v="0"/>
    <n v="0"/>
  </r>
  <r>
    <s v="BV"/>
    <s v="BV45629"/>
    <s v="Pedido 492"/>
    <d v="2024-12-03T00:00:00"/>
    <d v="2024-12-03T00:00:00"/>
    <s v="PedidoF479"/>
    <s v="CódRastreio478"/>
    <n v="1"/>
    <s v="CPF 477"/>
    <s v="Nome 477"/>
    <s v="Tel 477"/>
    <s v="Cep 477"/>
    <s v="Rua 477"/>
    <s v="Comp 477"/>
    <x v="12"/>
    <s v="U8-2VWS-OB6M"/>
    <d v="2025-01-03T00:00:00"/>
    <n v="65.989999999999995"/>
    <n v="65.989999999999995"/>
    <n v="8.5786999999999995"/>
    <n v="57.41"/>
    <n v="19.399999999999999"/>
    <n v="0.22"/>
    <n v="0.39877104377104378"/>
    <n v="0"/>
    <n v="37.391228956228957"/>
    <n v="18.695614478114479"/>
    <d v="2025-01-10T00:00:00"/>
    <d v="2025-01-10T00:00:00"/>
    <d v="2025-01-16T00:00:00"/>
    <d v="2025-01-16T00:00:00"/>
    <s v="2025 01"/>
    <s v="Aguardando Liberação"/>
    <s v="2024 12"/>
    <s v="ENTREGUE"/>
    <d v="2024-12-12T00:00:00"/>
    <s v="-"/>
    <m/>
    <n v="0"/>
    <n v="0"/>
    <n v="0"/>
    <n v="0"/>
    <n v="0"/>
  </r>
  <r>
    <s v="BV"/>
    <s v="BV45629"/>
    <s v="Pedido 493"/>
    <d v="2024-12-03T00:00:00"/>
    <d v="2024-12-03T00:00:00"/>
    <s v="PedidoF480"/>
    <s v="CódRastreio479"/>
    <n v="1"/>
    <s v="CPF 478"/>
    <s v="Nome 478"/>
    <s v="Tel 478"/>
    <s v="Cep 478"/>
    <s v="Rua 478"/>
    <s v="Comp 478"/>
    <x v="11"/>
    <s v="BP-NHG2-B8C1"/>
    <d v="2025-01-03T00:00:00"/>
    <n v="65.989999999999995"/>
    <n v="65.989999999999995"/>
    <n v="8.5786999999999995"/>
    <n v="57.41"/>
    <n v="21.47"/>
    <n v="0.22"/>
    <n v="0.39877104377104378"/>
    <n v="0"/>
    <n v="35.32122895622895"/>
    <n v="17.660614478114475"/>
    <d v="2025-01-10T00:00:00"/>
    <d v="2025-01-10T00:00:00"/>
    <d v="2025-01-16T00:00:00"/>
    <d v="2025-01-16T00:00:00"/>
    <s v="2025 01"/>
    <s v="Aguardando Liberação"/>
    <s v="2024 12"/>
    <s v="ENTREGUE"/>
    <d v="2024-12-18T00:00:00"/>
    <s v="-"/>
    <m/>
    <n v="0"/>
    <n v="0"/>
    <n v="0"/>
    <n v="0"/>
    <n v="0"/>
  </r>
  <r>
    <s v="BV"/>
    <s v="BV45629"/>
    <s v="Pedido 494"/>
    <d v="2024-12-03T00:00:00"/>
    <d v="2024-12-03T00:00:00"/>
    <s v="PedidoF481"/>
    <s v="CódRastreio480"/>
    <n v="1"/>
    <s v="CPF 479"/>
    <s v="Nome 479"/>
    <s v="Tel 479"/>
    <s v="Cep 479"/>
    <s v="Rua 479"/>
    <s v="Comp 479"/>
    <x v="15"/>
    <s v="HF-SI0F-XC7S"/>
    <d v="2024-12-24T00:00:00"/>
    <n v="51.9"/>
    <n v="51.9"/>
    <n v="7.2660000000000009"/>
    <n v="44.63"/>
    <n v="13.57"/>
    <n v="0.22"/>
    <n v="0.39877104377104378"/>
    <n v="0"/>
    <n v="30.441228956228958"/>
    <n v="15.220614478114479"/>
    <d v="2024-12-31T00:00:00"/>
    <d v="2024-12-31T00:00:00"/>
    <d v="2025-01-08T00:00:00"/>
    <d v="2025-01-16T00:00:00"/>
    <s v="2024 12"/>
    <s v="Aguardando Liberação"/>
    <s v="2024 12"/>
    <s v="ENTREGUE"/>
    <d v="2024-12-18T00:00:00"/>
    <s v="-"/>
    <m/>
    <n v="0"/>
    <n v="0"/>
    <n v="0"/>
    <n v="0"/>
    <n v="0"/>
  </r>
  <r>
    <s v="BV"/>
    <s v="BV45629"/>
    <s v="Pedido 495"/>
    <d v="2024-12-03T00:00:00"/>
    <d v="2024-12-03T00:00:00"/>
    <s v="PedidoF482"/>
    <s v="CódRastreio481"/>
    <n v="1"/>
    <s v="CPF 471"/>
    <s v="Nome 471"/>
    <s v="Tel 471"/>
    <s v="Cep 471"/>
    <s v="Rua 471"/>
    <s v="Comp 471"/>
    <x v="12"/>
    <s v="U8-2VWS-OB6M"/>
    <d v="2024-12-24T00:00:00"/>
    <n v="65.989999999999995"/>
    <n v="65.989999999999995"/>
    <n v="8.5786999999999995"/>
    <n v="57.41"/>
    <n v="19.399999999999999"/>
    <n v="0.22"/>
    <n v="0.39877104377104378"/>
    <n v="0"/>
    <n v="37.391228956228957"/>
    <n v="18.695614478114479"/>
    <d v="2024-12-31T00:00:00"/>
    <d v="2024-12-31T00:00:00"/>
    <d v="2025-01-08T00:00:00"/>
    <d v="2025-01-16T00:00:00"/>
    <s v="2024 12"/>
    <s v="Aguardando Liberação"/>
    <s v="2024 12"/>
    <s v="ENTREGUE"/>
    <d v="2024-12-16T00:00:00"/>
    <s v="-"/>
    <m/>
    <n v="0"/>
    <n v="0"/>
    <n v="0"/>
    <n v="0"/>
    <n v="0"/>
  </r>
  <r>
    <s v="BV"/>
    <s v="BV45629"/>
    <s v="Pedido 496"/>
    <d v="2024-12-03T00:00:00"/>
    <d v="2024-12-03T00:00:00"/>
    <s v="PedidoF483"/>
    <s v="CódRastreio482"/>
    <n v="1"/>
    <s v="CPF 480"/>
    <s v="Nome 480"/>
    <s v="Tel 480"/>
    <s v="Cep 480"/>
    <s v="Rua 480"/>
    <s v="Comp 480"/>
    <x v="10"/>
    <s v="MU-J80P-95WF"/>
    <d v="2024-12-24T00:00:00"/>
    <n v="65.989999999999995"/>
    <n v="65.989999999999995"/>
    <n v="8.5786999999999995"/>
    <n v="57.41"/>
    <n v="19.54"/>
    <n v="0.22"/>
    <n v="0.39877104377104378"/>
    <n v="0"/>
    <n v="37.251228956228957"/>
    <n v="18.625614478114478"/>
    <d v="2024-12-31T00:00:00"/>
    <d v="2024-12-31T00:00:00"/>
    <d v="2025-01-08T00:00:00"/>
    <d v="2025-01-16T00:00:00"/>
    <s v="2024 12"/>
    <s v="Aguardando Liberação"/>
    <s v="2024 12"/>
    <s v="ENTREGUE"/>
    <d v="2024-12-13T00:00:00"/>
    <s v="-"/>
    <m/>
    <n v="0"/>
    <n v="0"/>
    <n v="0"/>
    <n v="0"/>
    <n v="0"/>
  </r>
  <r>
    <s v="BV"/>
    <s v="BV45629"/>
    <s v="Pedido 497"/>
    <d v="2024-12-03T00:00:00"/>
    <d v="2024-12-03T00:00:00"/>
    <s v="PedidoF484"/>
    <s v="CódRastreio483"/>
    <n v="1"/>
    <s v="CPF 481"/>
    <s v="Nome 481"/>
    <s v="Tel 481"/>
    <s v="Cep 481"/>
    <s v="Rua 481"/>
    <s v="Comp 481"/>
    <x v="10"/>
    <s v="MU-J80P-95WF"/>
    <d v="2024-12-24T00:00:00"/>
    <n v="65.989999999999995"/>
    <n v="65.989999999999995"/>
    <n v="8.5786999999999995"/>
    <n v="57.41"/>
    <n v="25.94"/>
    <n v="0.22"/>
    <n v="0.39877104377104378"/>
    <n v="0"/>
    <n v="30.851228956228951"/>
    <n v="15.425614478114476"/>
    <d v="2024-12-31T00:00:00"/>
    <d v="2024-12-31T00:00:00"/>
    <d v="2025-01-08T00:00:00"/>
    <d v="2025-01-16T00:00:00"/>
    <s v="2024 12"/>
    <s v="Aguardando Liberação"/>
    <s v="2024 12"/>
    <s v="ENTREGUE"/>
    <d v="2024-12-16T00:00:00"/>
    <s v="-"/>
    <m/>
    <n v="0"/>
    <n v="0"/>
    <n v="0"/>
    <n v="0"/>
    <n v="0"/>
  </r>
  <r>
    <s v="BV"/>
    <s v="BV45629"/>
    <s v="Pedido 498"/>
    <d v="2024-12-03T00:00:00"/>
    <d v="2024-12-03T00:00:00"/>
    <s v="PedidoF485"/>
    <s v="CódRastreio484"/>
    <n v="1"/>
    <s v="CPF 482"/>
    <s v="Nome 482"/>
    <s v="Tel 482"/>
    <s v="Cep 482"/>
    <s v="Rua 482"/>
    <s v="Comp 482"/>
    <x v="10"/>
    <s v="MU-J80P-95WF"/>
    <d v="2025-01-10T00:00:00"/>
    <n v="65.989999999999995"/>
    <n v="65.989999999999995"/>
    <n v="8.5786999999999995"/>
    <n v="57.41"/>
    <n v="19.54"/>
    <n v="0.22"/>
    <n v="0.39877104377104378"/>
    <n v="0"/>
    <n v="37.251228956228957"/>
    <n v="18.625614478114478"/>
    <d v="2025-01-17T00:00:00"/>
    <d v="2025-01-17T00:00:00"/>
    <d v="2025-01-17T00:00:00"/>
    <d v="2025-02-06T00:00:00"/>
    <s v="2025 01"/>
    <s v="Aguardando Liberação"/>
    <s v="2024 12"/>
    <s v="ENTREGUE"/>
    <d v="2024-12-26T00:00:00"/>
    <s v="-"/>
    <m/>
    <n v="0"/>
    <n v="0"/>
    <n v="0"/>
    <n v="0"/>
    <n v="0"/>
  </r>
  <r>
    <s v="BV"/>
    <s v="BV45629"/>
    <s v="Pedido 499"/>
    <d v="2024-12-03T00:00:00"/>
    <d v="2024-12-03T00:00:00"/>
    <s v="PedidoF486"/>
    <s v="CódRastreio485"/>
    <n v="1"/>
    <s v="CPF 483"/>
    <s v="Nome 483"/>
    <s v="Tel 483"/>
    <s v="Cep 483"/>
    <s v="Rua 483"/>
    <s v="Comp 483"/>
    <x v="3"/>
    <s v="IF-G2ZQ-79FO"/>
    <d v="2025-01-03T00:00:00"/>
    <n v="65.900000000000006"/>
    <n v="65.900000000000006"/>
    <n v="8.5670000000000002"/>
    <n v="57.33"/>
    <n v="26.11"/>
    <n v="0.22"/>
    <n v="0.39877104377104378"/>
    <n v="0"/>
    <n v="30.601228956228955"/>
    <n v="15.300614478114477"/>
    <d v="2025-01-10T00:00:00"/>
    <d v="2025-01-10T00:00:00"/>
    <d v="2025-01-16T00:00:00"/>
    <d v="2025-01-16T00:00:00"/>
    <s v="2025 01"/>
    <s v="Aguardando Liberação"/>
    <s v="2024 12"/>
    <s v="ENTREGUE"/>
    <d v="2024-12-23T00:00:00"/>
    <s v="-"/>
    <m/>
    <n v="0"/>
    <n v="0"/>
    <n v="0"/>
    <n v="0"/>
    <n v="0"/>
  </r>
  <r>
    <s v="BV"/>
    <s v="BV45629"/>
    <s v="Pedido 500"/>
    <d v="2024-12-03T00:00:00"/>
    <d v="2024-12-03T00:00:00"/>
    <s v="PedidoF487"/>
    <s v="CódRastreio486"/>
    <n v="1"/>
    <s v="CPF 484"/>
    <s v="Nome 484"/>
    <s v="Tel 484"/>
    <s v="Cep 484"/>
    <s v="Rua 484"/>
    <s v="Comp 484"/>
    <x v="12"/>
    <s v="U8-2VWS-OB6M"/>
    <d v="2024-12-24T00:00:00"/>
    <n v="65.989999999999995"/>
    <n v="65.989999999999995"/>
    <n v="8.5786999999999995"/>
    <n v="57.41"/>
    <n v="25.87"/>
    <n v="0.22"/>
    <n v="0.39877104377104378"/>
    <n v="0"/>
    <n v="30.921228956228951"/>
    <n v="15.460614478114476"/>
    <d v="2024-12-31T00:00:00"/>
    <d v="2024-12-31T00:00:00"/>
    <d v="2025-01-08T00:00:00"/>
    <d v="2025-01-16T00:00:00"/>
    <s v="2024 12"/>
    <s v="Aguardando Liberação"/>
    <s v="2024 12"/>
    <s v="ENTREGUE"/>
    <d v="2024-12-19T00:00:00"/>
    <s v="-"/>
    <m/>
    <n v="0"/>
    <n v="0"/>
    <n v="0"/>
    <n v="0"/>
    <n v="0"/>
  </r>
  <r>
    <s v="BV"/>
    <s v="BV45630"/>
    <s v="Pedido 501"/>
    <d v="2024-12-04T00:00:00"/>
    <d v="2024-12-04T00:00:00"/>
    <s v="PedidoF488"/>
    <s v="CódRastreio487"/>
    <n v="1"/>
    <s v="CPF 485"/>
    <s v="Nome 485"/>
    <s v="Tel 485"/>
    <s v="Cep 485"/>
    <s v="Rua 485"/>
    <s v="Comp 485"/>
    <x v="3"/>
    <s v="IF-G2ZQ-79FO"/>
    <d v="2025-01-04T00:00:00"/>
    <n v="65.900000000000006"/>
    <n v="65.900000000000006"/>
    <n v="8.5670000000000002"/>
    <n v="57.33"/>
    <n v="21.95"/>
    <n v="0.08"/>
    <n v="0.39877104377104378"/>
    <n v="0"/>
    <n v="34.901228956228955"/>
    <n v="17.450614478114478"/>
    <d v="2025-01-11T00:00:00"/>
    <d v="2025-01-11T00:00:00"/>
    <d v="2025-01-16T00:00:00"/>
    <d v="2025-01-16T00:00:00"/>
    <s v="2025 01"/>
    <s v="Aguardando Liberação"/>
    <s v="2024 12"/>
    <s v="ENTREGUE"/>
    <d v="2024-12-16T00:00:00"/>
    <s v="-"/>
    <m/>
    <n v="0"/>
    <n v="0"/>
    <n v="0"/>
    <n v="0"/>
    <n v="0"/>
  </r>
  <r>
    <s v="BV"/>
    <s v="BV45630"/>
    <s v="Pedido 502"/>
    <d v="2024-12-04T00:00:00"/>
    <d v="2024-12-04T00:00:00"/>
    <s v="PedidoF489"/>
    <s v="CódRastreio488"/>
    <n v="1"/>
    <s v="CPF 486"/>
    <s v="Nome 486"/>
    <s v="Tel 486"/>
    <s v="Cep 486"/>
    <s v="Rua 486"/>
    <s v="Comp 486"/>
    <x v="10"/>
    <s v="MU-J80P-95WF"/>
    <d v="2024-12-27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d v="2025-01-03T00:00:00"/>
    <d v="2025-01-03T00:00:00"/>
    <d v="2025-01-08T00:00:00"/>
    <d v="2025-01-16T00:00:00"/>
    <s v="2025 01"/>
    <s v="Aguardando Liberação"/>
    <s v="2024 12"/>
    <s v="ENTREGUE"/>
    <d v="2024-12-13T00:00:00"/>
    <s v="-"/>
    <m/>
    <n v="0"/>
    <n v="0"/>
    <n v="0"/>
    <n v="0"/>
    <n v="0"/>
  </r>
  <r>
    <s v="BV"/>
    <s v="BV45630"/>
    <s v="Pedido 503"/>
    <d v="2024-12-04T00:00:00"/>
    <d v="2024-12-04T00:00:00"/>
    <s v="PedidoF490"/>
    <s v="CódRastreio489"/>
    <n v="1"/>
    <s v="CPF 487"/>
    <s v="Nome 487"/>
    <s v="Tel 487"/>
    <s v="Cep 487"/>
    <s v="Rua 487"/>
    <s v="Comp 487"/>
    <x v="3"/>
    <s v="IF-G2ZQ-79FO"/>
    <d v="2024-12-27T00:00:00"/>
    <n v="65.900000000000006"/>
    <n v="65.900000000000006"/>
    <n v="8.5670000000000002"/>
    <n v="57.33"/>
    <n v="21.95"/>
    <n v="0.08"/>
    <n v="0.39877104377104378"/>
    <n v="0"/>
    <n v="34.901228956228955"/>
    <n v="17.450614478114478"/>
    <d v="2025-01-03T00:00:00"/>
    <d v="2025-01-03T00:00:00"/>
    <d v="2025-01-08T00:00:00"/>
    <d v="2025-01-16T00:00:00"/>
    <s v="2025 01"/>
    <s v="Aguardando Liberação"/>
    <s v="2024 12"/>
    <s v="ENTREGUE"/>
    <d v="2024-12-13T00:00:00"/>
    <s v="-"/>
    <m/>
    <n v="0"/>
    <n v="0"/>
    <n v="0"/>
    <n v="0"/>
    <n v="0"/>
  </r>
  <r>
    <s v="BV"/>
    <s v="BV45630"/>
    <s v="Pedido 504"/>
    <d v="2024-12-04T00:00:00"/>
    <d v="2024-12-04T00:00:00"/>
    <s v="PedidoF491"/>
    <s v="CódRastreio490"/>
    <n v="1"/>
    <s v="CPF 488"/>
    <s v="Nome 488"/>
    <s v="Tel 488"/>
    <s v="Cep 488"/>
    <s v="Rua 488"/>
    <s v="Comp 488"/>
    <x v="10"/>
    <s v="MU-J80P-95WF"/>
    <d v="2025-01-04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d v="2025-01-11T00:00:00"/>
    <d v="2025-01-11T00:00:00"/>
    <d v="2025-01-16T00:00:00"/>
    <d v="2025-01-16T00:00:00"/>
    <s v="2025 01"/>
    <s v="Aguardando Liberação"/>
    <s v="2024 12"/>
    <s v="ENTREGUE"/>
    <d v="2024-12-18T00:00:00"/>
    <s v="-"/>
    <m/>
    <n v="0"/>
    <n v="0"/>
    <n v="0"/>
    <n v="0"/>
    <n v="0"/>
  </r>
  <r>
    <s v="BV"/>
    <s v="BV45630"/>
    <s v="Pedido 505"/>
    <d v="2024-12-04T00:00:00"/>
    <d v="2024-12-04T00:00:00"/>
    <s v="PedidoF492"/>
    <s v="CódRastreio491"/>
    <n v="1"/>
    <s v="CPF 489"/>
    <s v="Nome 489"/>
    <s v="Tel 489"/>
    <s v="Cep 489"/>
    <s v="Rua 489"/>
    <s v="Comp 489"/>
    <x v="10"/>
    <s v="MU-J80P-95WF"/>
    <d v="2024-12-27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d v="2025-01-03T00:00:00"/>
    <d v="2025-01-03T00:00:00"/>
    <d v="2025-01-08T00:00:00"/>
    <d v="2025-01-16T00:00:00"/>
    <s v="2025 01"/>
    <s v="Aguardando Liberação"/>
    <s v="2024 12"/>
    <s v="ENTREGUE"/>
    <d v="2024-12-12T00:00:00"/>
    <s v="-"/>
    <m/>
    <n v="0"/>
    <n v="0"/>
    <n v="0"/>
    <n v="0"/>
    <n v="0"/>
  </r>
  <r>
    <s v="BV"/>
    <s v="BV45630"/>
    <s v="Pedido 506"/>
    <d v="2024-12-04T00:00:00"/>
    <d v="2024-12-04T00:00:00"/>
    <s v="PedidoF493"/>
    <s v="CódRastreio492"/>
    <n v="1"/>
    <s v="CPF 490"/>
    <s v="Nome 490"/>
    <s v="Tel 490"/>
    <s v="Cep 490"/>
    <s v="Rua 490"/>
    <s v="Comp 490"/>
    <x v="10"/>
    <s v="MU-J80P-95WF"/>
    <d v="2025-01-11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d v="2025-01-18T00:00:00"/>
    <d v="2025-01-18T00:00:00"/>
    <d v="2025-01-22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30"/>
    <s v="Pedido 507"/>
    <d v="2024-12-04T00:00:00"/>
    <d v="2024-12-04T00:00:00"/>
    <s v="PedidoF494"/>
    <s v="CódRastreio493"/>
    <n v="1"/>
    <s v="CPF 491"/>
    <s v="Nome 491"/>
    <s v="Tel 491"/>
    <s v="Cep 491"/>
    <s v="Rua 491"/>
    <s v="Comp 491"/>
    <x v="10"/>
    <s v="MU-J80P-95WF"/>
    <d v="2025-01-04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d v="2025-01-11T00:00:00"/>
    <d v="2025-01-11T00:00:00"/>
    <d v="2025-01-16T00:00:00"/>
    <d v="2025-01-16T00:00:00"/>
    <s v="2025 01"/>
    <s v="Aguardando Liberação"/>
    <s v="2024 12"/>
    <s v="ENTREGUE"/>
    <d v="2024-12-16T00:00:00"/>
    <s v="-"/>
    <m/>
    <n v="0"/>
    <n v="0"/>
    <n v="0"/>
    <n v="0"/>
    <n v="0"/>
  </r>
  <r>
    <s v="BV"/>
    <s v="BV45630"/>
    <s v="Pedido 508"/>
    <d v="2024-12-04T00:00:00"/>
    <d v="2024-12-04T00:00:00"/>
    <s v="PedidoF495"/>
    <s v="CódRastreio494"/>
    <n v="1"/>
    <s v="CPF 492"/>
    <s v="Nome 492"/>
    <s v="Tel 492"/>
    <s v="Cep 492"/>
    <s v="Rua 492"/>
    <s v="Comp 492"/>
    <x v="12"/>
    <s v="U8-2VWS-OB6M"/>
    <d v="2025-01-04T00:00:00"/>
    <n v="65.989999999999995"/>
    <n v="65.989999999999995"/>
    <n v="8.5786999999999995"/>
    <n v="57.41"/>
    <n v="21.95"/>
    <n v="0.08"/>
    <n v="0.39877104377104378"/>
    <n v="0"/>
    <n v="34.981228956228954"/>
    <n v="17.490614478114477"/>
    <d v="2025-01-11T00:00:00"/>
    <d v="2025-01-11T00:00:00"/>
    <d v="2025-01-16T00:00:00"/>
    <d v="2025-01-16T00:00:00"/>
    <s v="2025 01"/>
    <s v="Aguardando Liberação"/>
    <s v="2024 12"/>
    <s v="ENTREGUE"/>
    <d v="2024-12-26T00:00:00"/>
    <s v="-"/>
    <m/>
    <n v="0"/>
    <n v="0"/>
    <n v="0"/>
    <n v="0"/>
    <n v="0"/>
  </r>
  <r>
    <s v="BV"/>
    <s v="BV45632"/>
    <s v="Pedido 509"/>
    <d v="2024-12-06T00:00:00"/>
    <d v="2024-12-06T00:00:00"/>
    <s v="PedidoF496"/>
    <s v="-"/>
    <n v="1"/>
    <s v="CPF 493"/>
    <s v="Nome 493"/>
    <s v="Tel 493"/>
    <s v="Cep 493"/>
    <s v="Rua 493"/>
    <s v="Comp 493"/>
    <x v="12"/>
    <s v="U8-2VWS-OB6M"/>
    <d v="2024-12-28T00:00:00"/>
    <n v="65.989999999999995"/>
    <n v="65.989999999999995"/>
    <n v="8.5786999999999995"/>
    <n v="57.41"/>
    <n v="0"/>
    <n v="0.22"/>
    <n v="0.39877104377104378"/>
    <n v="0"/>
    <n v="56.791228956228956"/>
    <n v="28.395614478114478"/>
    <d v="2025-01-04T00:00:00"/>
    <d v="2025-01-04T00:00:00"/>
    <d v="2025-01-08T00:00:00"/>
    <d v="2025-01-16T00:00:00"/>
    <s v="2025 01"/>
    <s v="Aguardando Liberação"/>
    <s v="2024 12"/>
    <s v="-"/>
    <s v="-"/>
    <s v="-"/>
    <m/>
    <n v="0"/>
    <n v="0"/>
    <n v="0"/>
    <n v="0"/>
    <n v="0"/>
  </r>
  <r>
    <s v="BV"/>
    <s v="BV45632"/>
    <s v="Pedido 510"/>
    <d v="2024-12-06T00:00:00"/>
    <d v="2024-12-06T00:00:00"/>
    <s v="PedidoF497"/>
    <s v="CódRastreio495"/>
    <n v="1"/>
    <s v="CPF 494"/>
    <s v="Nome 494"/>
    <s v="Tel 494"/>
    <s v="Cep 494"/>
    <s v="Rua 494"/>
    <s v="Comp 494"/>
    <x v="17"/>
    <s v="IA-LLX9-MRV1"/>
    <d v="2024-12-31T00:00:00"/>
    <n v="54.2"/>
    <n v="54.2"/>
    <n v="7.588000000000001"/>
    <n v="46.61"/>
    <n v="0"/>
    <n v="0.22"/>
    <n v="0.39877104377104378"/>
    <n v="0"/>
    <n v="45.991228956228959"/>
    <n v="22.995614478114479"/>
    <d v="2025-01-07T00:00:00"/>
    <d v="2025-01-07T00:00:00"/>
    <d v="2025-01-08T00:00:00"/>
    <d v="2025-01-1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32"/>
    <s v="Pedido 511"/>
    <d v="2024-12-06T00:00:00"/>
    <d v="2024-12-06T00:00:00"/>
    <s v="PedidoF498"/>
    <s v="CódRastreio496"/>
    <n v="1"/>
    <s v="CPF 495"/>
    <s v="Nome 495"/>
    <s v="Tel 495"/>
    <s v="Cep 495"/>
    <s v="Rua 495"/>
    <s v="Comp 495"/>
    <x v="0"/>
    <s v="16-4EDB-WMZF"/>
    <d v="2025-01-08T00:00:00"/>
    <n v="18.899999999999999"/>
    <n v="18.899999999999999"/>
    <n v="2.8349999999999995"/>
    <n v="16.07"/>
    <n v="7.99"/>
    <n v="0.22"/>
    <n v="0.39877104377104378"/>
    <n v="0"/>
    <n v="7.4612289562289558"/>
    <n v="3.7306144781144779"/>
    <d v="2025-01-15T00:00:00"/>
    <d v="2025-01-15T00:00:00"/>
    <d v="2025-01-16T00:00:00"/>
    <d v="2025-01-16T00:00:00"/>
    <s v="2025 01"/>
    <s v="Aguardando Liberação"/>
    <s v="2024 12"/>
    <s v="ENTREGUE"/>
    <d v="2024-12-17T00:00:00"/>
    <s v="-"/>
    <m/>
    <n v="0"/>
    <n v="0"/>
    <n v="0"/>
    <n v="0"/>
    <n v="0"/>
  </r>
  <r>
    <s v="BV"/>
    <s v="BV45632"/>
    <s v="Pedido 512"/>
    <d v="2024-12-06T00:00:00"/>
    <d v="2024-12-06T00:00:00"/>
    <s v="PedidoF499"/>
    <s v="CódRastreio497"/>
    <n v="1"/>
    <s v="CPF 496"/>
    <s v="Nome 496"/>
    <s v="Tel 496"/>
    <s v="Cep 496"/>
    <s v="Rua 496"/>
    <s v="Comp 496"/>
    <x v="0"/>
    <s v="16-4EDB-WMZF"/>
    <d v="2024-12-31T00:00:00"/>
    <n v="18.899999999999999"/>
    <n v="18.899999999999999"/>
    <n v="2.8349999999999995"/>
    <n v="16.07"/>
    <n v="7.99"/>
    <n v="0.22"/>
    <n v="0.39877104377104378"/>
    <n v="0"/>
    <n v="7.4612289562289558"/>
    <n v="3.7306144781144779"/>
    <d v="2025-01-07T00:00:00"/>
    <d v="2025-01-07T00:00:00"/>
    <d v="2025-01-08T00:00:00"/>
    <d v="2025-01-16T00:00:00"/>
    <s v="2025 01"/>
    <s v="Aguardando Liberação"/>
    <s v="2024 12"/>
    <s v="ENTREGUE"/>
    <d v="2024-12-13T00:00:00"/>
    <s v="-"/>
    <m/>
    <n v="0"/>
    <n v="0"/>
    <n v="0"/>
    <n v="0"/>
    <n v="0"/>
  </r>
  <r>
    <s v="BV"/>
    <s v="BV45632"/>
    <s v="Pedido 513"/>
    <d v="2024-12-06T00:00:00"/>
    <d v="2024-12-06T00:00:00"/>
    <s v="PedidoF500"/>
    <s v="CódRastreio498"/>
    <n v="1"/>
    <s v="CPF 497"/>
    <s v="Nome 497"/>
    <s v="Tel 497"/>
    <s v="Cep 497"/>
    <s v="Rua 497"/>
    <s v="Comp 497"/>
    <x v="3"/>
    <s v="IF-G2ZQ-79FO"/>
    <d v="2024-12-31T00:00:00"/>
    <n v="39.799999999999997"/>
    <n v="39.799999999999997"/>
    <n v="5.1739999999999995"/>
    <n v="34.630000000000003"/>
    <n v="16.48"/>
    <n v="0.22"/>
    <n v="0.39877104377104378"/>
    <n v="0"/>
    <n v="17.531228956228958"/>
    <n v="8.7656144781144789"/>
    <d v="2025-01-07T00:00:00"/>
    <d v="2025-01-07T00:00:00"/>
    <d v="2025-01-08T00:00:00"/>
    <d v="2025-01-1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32"/>
    <s v="Pedido 514"/>
    <d v="2024-12-06T00:00:00"/>
    <d v="2024-12-06T00:00:00"/>
    <s v="PedidoF501"/>
    <s v="CódRastreio499"/>
    <n v="1"/>
    <s v="CPF 498"/>
    <s v="Nome 498"/>
    <s v="Tel 498"/>
    <s v="Cep 498"/>
    <s v="Rua 498"/>
    <s v="Comp 498"/>
    <x v="3"/>
    <s v="IF-G2ZQ-79FO"/>
    <d v="2025-01-08T00:00:00"/>
    <n v="39.799999999999997"/>
    <n v="39.799999999999997"/>
    <n v="5.1739999999999995"/>
    <n v="34.630000000000003"/>
    <n v="16.48"/>
    <n v="0.22"/>
    <n v="0.39877104377104378"/>
    <n v="0"/>
    <n v="17.531228956228958"/>
    <n v="8.7656144781144789"/>
    <d v="2025-01-15T00:00:00"/>
    <d v="2025-01-15T00:00:00"/>
    <d v="2025-01-16T00:00:00"/>
    <d v="2025-01-16T00:00:00"/>
    <s v="2025 01"/>
    <s v="Aguardando Liberação"/>
    <s v="2024 12"/>
    <s v="ENTREGUE"/>
    <d v="2024-12-23T00:00:00"/>
    <s v="-"/>
    <m/>
    <n v="0"/>
    <n v="0"/>
    <n v="0"/>
    <n v="0"/>
    <n v="0"/>
  </r>
  <r>
    <s v="BV"/>
    <s v="BV45632"/>
    <s v="Pedido 515"/>
    <d v="2024-12-06T00:00:00"/>
    <d v="2024-12-06T00:00:00"/>
    <s v="PedidoF502"/>
    <s v="CódRastreio500"/>
    <n v="1"/>
    <s v="CPF 499"/>
    <s v="Nome 499"/>
    <s v="Tel 499"/>
    <s v="Cep 499"/>
    <s v="Rua 499"/>
    <s v="Comp 499"/>
    <x v="10"/>
    <s v="MU-J80P-95WF"/>
    <d v="2024-12-31T00:00:00"/>
    <n v="65.7"/>
    <n v="65.7"/>
    <n v="8.5410000000000004"/>
    <n v="57.16"/>
    <n v="27.89"/>
    <n v="0.22"/>
    <n v="0.39877104377104378"/>
    <n v="0"/>
    <n v="28.651228956228952"/>
    <n v="14.325614478114476"/>
    <d v="2025-01-07T00:00:00"/>
    <d v="2025-01-07T00:00:00"/>
    <d v="2025-01-08T00:00:00"/>
    <d v="2025-01-16T00:00:00"/>
    <s v="2025 01"/>
    <s v="Aguardando Liberação"/>
    <s v="2024 12"/>
    <s v="ENTREGUE"/>
    <d v="2024-12-18T00:00:00"/>
    <s v="-"/>
    <m/>
    <n v="0"/>
    <n v="0"/>
    <n v="0"/>
    <n v="0"/>
    <n v="0"/>
  </r>
  <r>
    <s v="BV"/>
    <s v="BV45632"/>
    <s v="Pedido 516"/>
    <d v="2024-12-06T00:00:00"/>
    <d v="2024-12-06T00:00:00"/>
    <s v="PedidoF503"/>
    <s v="CódRastreio501"/>
    <n v="1"/>
    <s v="CPF 500"/>
    <s v="Nome 500"/>
    <s v="Tel 500"/>
    <s v="Cep 500"/>
    <s v="Rua 500"/>
    <s v="Comp 500"/>
    <x v="3"/>
    <s v="IF-G2ZQ-79FO"/>
    <d v="2025-01-15T00:00:00"/>
    <n v="42.8"/>
    <n v="42.8"/>
    <n v="5.5640000000000001"/>
    <n v="37.24"/>
    <n v="23.73"/>
    <n v="0.22"/>
    <n v="0.39877104377104378"/>
    <n v="0"/>
    <n v="12.891228956228957"/>
    <n v="6.4456144781144786"/>
    <d v="2025-01-22T00:00:00"/>
    <d v="2025-01-22T00:00:00"/>
    <d v="2025-01-22T00:00:00"/>
    <d v="2025-02-06T00:00:00"/>
    <s v="2025 01"/>
    <s v="Aguardando Liberação"/>
    <s v="2024 12"/>
    <s v="ENTREGUE"/>
    <d v="2024-12-24T00:00:00"/>
    <s v="-"/>
    <m/>
    <n v="0"/>
    <n v="0"/>
    <n v="0"/>
    <n v="0"/>
    <n v="0"/>
  </r>
  <r>
    <s v="BV"/>
    <s v="BV45632"/>
    <s v="Pedido 517"/>
    <d v="2024-12-06T00:00:00"/>
    <d v="2024-12-06T00:00:00"/>
    <s v="PedidoF504"/>
    <s v="CódRastreio502"/>
    <n v="1"/>
    <s v="CPF 501"/>
    <s v="Nome 501"/>
    <s v="Tel 501"/>
    <s v="Cep 501"/>
    <s v="Rua 501"/>
    <s v="Comp 501"/>
    <x v="11"/>
    <s v="BP-NHG2-B8C1"/>
    <d v="2025-01-08T00:00:00"/>
    <n v="56.99"/>
    <n v="56.99"/>
    <n v="7.4087000000000005"/>
    <n v="49.58"/>
    <n v="18.23"/>
    <n v="0.22"/>
    <n v="0.39877104377104378"/>
    <n v="0"/>
    <n v="30.731228956228954"/>
    <n v="15.365614478114477"/>
    <d v="2025-01-15T00:00:00"/>
    <d v="2025-01-15T00:00:00"/>
    <d v="2025-01-16T00:00:00"/>
    <d v="2025-01-1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32"/>
    <s v="Pedido 518"/>
    <d v="2024-12-06T00:00:00"/>
    <d v="2024-12-06T00:00:00"/>
    <s v="PedidoF505"/>
    <s v="CódRastreio503"/>
    <n v="1"/>
    <s v="CPF 502"/>
    <s v="Nome 502"/>
    <s v="Tel 502"/>
    <s v="Cep 502"/>
    <s v="Rua 502"/>
    <s v="Comp 502"/>
    <x v="12"/>
    <s v="U8-2VWS-OB6M"/>
    <d v="2024-12-31T00:00:00"/>
    <n v="65.7"/>
    <n v="65.7"/>
    <n v="8.5410000000000004"/>
    <n v="57.16"/>
    <n v="26.62"/>
    <n v="0.22"/>
    <n v="0.39877104377104378"/>
    <n v="0"/>
    <n v="29.921228956228951"/>
    <n v="14.960614478114476"/>
    <d v="2025-01-07T00:00:00"/>
    <d v="2025-01-07T00:00:00"/>
    <d v="2025-01-08T00:00:00"/>
    <d v="2025-01-1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2"/>
    <s v="Pedido 519"/>
    <d v="2024-12-06T00:00:00"/>
    <d v="2024-12-06T00:00:00"/>
    <s v="PedidoF506"/>
    <s v="CódRastreio504"/>
    <n v="1"/>
    <s v="CPF 503"/>
    <s v="Nome 503"/>
    <s v="Tel 503"/>
    <s v="Cep 503"/>
    <s v="Rua 503"/>
    <s v="Comp 503"/>
    <x v="3"/>
    <s v="IF-G2ZQ-79FO"/>
    <d v="2025-01-15T00:00:00"/>
    <n v="42.8"/>
    <n v="42.8"/>
    <n v="5.5640000000000001"/>
    <n v="37.24"/>
    <n v="23.73"/>
    <n v="0.22"/>
    <n v="0.39877104377104378"/>
    <n v="0"/>
    <n v="12.891228956228957"/>
    <n v="6.4456144781144786"/>
    <d v="2025-01-22T00:00:00"/>
    <d v="2025-01-22T00:00:00"/>
    <d v="2025-01-22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35"/>
    <s v="Pedido 520"/>
    <d v="2024-12-09T00:00:00"/>
    <d v="2024-12-09T00:00:00"/>
    <s v="PedidoF507"/>
    <s v="CódRastreio505"/>
    <n v="1"/>
    <s v="CPF 504"/>
    <s v="Nome 504"/>
    <s v="Tel 504"/>
    <s v="Cep 504"/>
    <s v="Rua 504"/>
    <s v="Comp 504"/>
    <x v="10"/>
    <s v="MU-J80P-95WF"/>
    <d v="2024-12-31T00:00:00"/>
    <n v="100"/>
    <n v="100"/>
    <n v="13"/>
    <n v="87"/>
    <n v="19.690000000000001"/>
    <n v="0.2"/>
    <n v="0.39877104377104378"/>
    <n v="0"/>
    <n v="66.71122895622895"/>
    <n v="33.355614478114475"/>
    <d v="2025-01-07T00:00:00"/>
    <d v="2025-01-07T00:00:00"/>
    <d v="2025-01-08T00:00:00"/>
    <d v="2025-01-1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5"/>
    <s v="Pedido 521"/>
    <d v="2024-12-09T00:00:00"/>
    <d v="2024-12-09T00:00:00"/>
    <s v="PedidoF508"/>
    <s v="CódRastreio506"/>
    <n v="1"/>
    <s v="CPF 505"/>
    <s v="Nome 505"/>
    <s v="Tel 505"/>
    <s v="Cep 505"/>
    <s v="Rua 505"/>
    <s v="Comp 505"/>
    <x v="10"/>
    <s v="MU-J80P-95WF"/>
    <d v="2025-01-09T00:00:00"/>
    <n v="65.599999999999994"/>
    <n v="65.599999999999994"/>
    <n v="8.5279999999999987"/>
    <n v="57.07"/>
    <n v="19.690000000000001"/>
    <n v="0.2"/>
    <n v="0.39877104377104378"/>
    <n v="0"/>
    <n v="36.781228956228958"/>
    <n v="18.390614478114479"/>
    <d v="2025-01-16T00:00:00"/>
    <d v="2025-01-16T00:00:00"/>
    <d v="2025-01-17T00:00:00"/>
    <d v="2025-02-06T00:00:00"/>
    <s v="2025 01"/>
    <s v="Aguardando Liberação"/>
    <s v="2024 12"/>
    <s v="ENTREGUE"/>
    <d v="2024-12-27T00:00:00"/>
    <s v="-"/>
    <m/>
    <n v="0"/>
    <n v="0"/>
    <n v="0"/>
    <n v="0"/>
    <n v="0"/>
  </r>
  <r>
    <s v="BV"/>
    <s v="BV45635"/>
    <s v="Pedido 522"/>
    <d v="2024-12-09T00:00:00"/>
    <d v="2024-12-09T00:00:00"/>
    <s v="PedidoF509"/>
    <s v="CódRastreio507"/>
    <n v="1"/>
    <s v="CPF 506"/>
    <s v="Nome 506"/>
    <s v="Tel 506"/>
    <s v="Cep 506"/>
    <s v="Rua 506"/>
    <s v="Comp 506"/>
    <x v="4"/>
    <s v="9G-BN48-QAPH"/>
    <d v="2024-12-2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04T00:00:00"/>
    <d v="2025-01-04T00:00:00"/>
    <d v="2025-01-08T00:00:00"/>
    <d v="2025-01-16T00:00:00"/>
    <s v="2025 01"/>
    <s v="Aguardando Liberação"/>
    <s v="2024 12"/>
    <s v="ENTREGUE"/>
    <d v="2024-12-15T00:00:00"/>
    <s v="-"/>
    <m/>
    <n v="0"/>
    <n v="0"/>
    <n v="0"/>
    <n v="0"/>
    <n v="0"/>
  </r>
  <r>
    <s v="BV"/>
    <s v="BV45635"/>
    <s v="Pedido 523"/>
    <d v="2024-12-09T00:00:00"/>
    <d v="2024-12-09T00:00:00"/>
    <s v="PedidoF510"/>
    <s v="CódRastreio508"/>
    <n v="1"/>
    <s v="CPF 507"/>
    <s v="Nome 507"/>
    <s v="Tel 507"/>
    <s v="Cep 507"/>
    <s v="Rua 507"/>
    <s v="Comp 507"/>
    <x v="12"/>
    <s v="U8-2VWS-OB6M"/>
    <d v="2025-01-09T00:00:00"/>
    <n v="65.599999999999994"/>
    <n v="65.599999999999994"/>
    <n v="8.5279999999999987"/>
    <n v="57.07"/>
    <n v="19.62"/>
    <n v="0.2"/>
    <n v="0.39877104377104378"/>
    <n v="0"/>
    <n v="36.851228956228951"/>
    <n v="18.425614478114476"/>
    <d v="2025-01-16T00:00:00"/>
    <d v="2025-01-16T00:00:00"/>
    <d v="2025-01-17T00:00:00"/>
    <d v="2025-02-06T00:00:00"/>
    <s v="2025 01"/>
    <s v="Aguardando Liberação"/>
    <s v="2024 12"/>
    <s v="ENTREGUE"/>
    <d v="2024-12-17T00:00:00"/>
    <s v="-"/>
    <m/>
    <n v="0"/>
    <n v="0"/>
    <n v="0"/>
    <n v="0"/>
    <n v="0"/>
  </r>
  <r>
    <s v="BV"/>
    <s v="BV45635"/>
    <s v="Pedido 524"/>
    <d v="2024-12-09T00:00:00"/>
    <d v="2024-12-09T00:00:00"/>
    <s v="PedidoF511"/>
    <s v="CódRastreio509"/>
    <n v="1"/>
    <s v="CPF 508"/>
    <s v="Nome 508"/>
    <s v="Tel 508"/>
    <s v="Cep 508"/>
    <s v="Rua 508"/>
    <s v="Comp 508"/>
    <x v="3"/>
    <s v="IF-G2ZQ-79FO"/>
    <d v="2025-01-16T00:00:00"/>
    <n v="54.8"/>
    <n v="54.8"/>
    <n v="7.1239999999999997"/>
    <n v="47.68"/>
    <n v="13.75"/>
    <n v="0.2"/>
    <n v="0.39877104377104378"/>
    <n v="0"/>
    <n v="33.331228956228955"/>
    <n v="16.665614478114477"/>
    <d v="2025-01-23T00:00:00"/>
    <d v="2025-01-23T00:00:00"/>
    <d v="2025-01-31T00:00:00"/>
    <d v="2025-02-0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35"/>
    <s v="Pedido 525"/>
    <d v="2024-12-09T00:00:00"/>
    <d v="2024-12-09T00:00:00"/>
    <s v="PedidoF512"/>
    <s v="CódRastreio510"/>
    <n v="1"/>
    <s v="CPF 509"/>
    <s v="Nome 509"/>
    <s v="Tel 509"/>
    <s v="Cep 509"/>
    <s v="Rua 509"/>
    <s v="Comp 509"/>
    <x v="10"/>
    <s v="MU-J80P-95WF"/>
    <d v="2025-01-03T00:00:00"/>
    <n v="65.599999999999994"/>
    <n v="65.599999999999994"/>
    <n v="8.5279999999999987"/>
    <n v="57.07"/>
    <n v="19.690000000000001"/>
    <n v="0.2"/>
    <n v="0.39877104377104378"/>
    <n v="0"/>
    <n v="36.781228956228958"/>
    <n v="18.390614478114479"/>
    <d v="2025-01-10T00:00:00"/>
    <d v="2025-01-10T00:00:00"/>
    <d v="2025-01-16T00:00:00"/>
    <d v="2025-01-16T00:00:00"/>
    <s v="2025 01"/>
    <s v="Aguardando Liberação"/>
    <s v="2024 12"/>
    <s v="ENTREGUE"/>
    <d v="2024-12-23T00:00:00"/>
    <s v="-"/>
    <m/>
    <n v="0"/>
    <n v="0"/>
    <n v="0"/>
    <n v="0"/>
    <n v="0"/>
  </r>
  <r>
    <s v="BV"/>
    <s v="BV45636"/>
    <s v="Pedido 526"/>
    <d v="2024-12-10T00:00:00"/>
    <d v="2024-12-10T00:00:00"/>
    <s v="PedidoF513"/>
    <s v="CódRastreio511"/>
    <n v="1"/>
    <s v="CPF 510"/>
    <s v="Nome 510"/>
    <s v="Tel 510"/>
    <s v="Cep 510"/>
    <s v="Rua 510"/>
    <s v="Comp 510"/>
    <x v="10"/>
    <s v="MU-J80P-95WF"/>
    <d v="2025-01-10T00:00:00"/>
    <n v="65.599999999999994"/>
    <n v="65.599999999999994"/>
    <n v="8.5279999999999987"/>
    <n v="57.07"/>
    <n v="19.809999999999999"/>
    <n v="0.2"/>
    <n v="0.39877104377104378"/>
    <n v="0"/>
    <n v="36.661228956228953"/>
    <n v="18.330614478114477"/>
    <d v="2025-01-17T00:00:00"/>
    <d v="2025-01-17T00:00:00"/>
    <d v="2025-01-17T00:00:00"/>
    <d v="2025-02-06T00:00:00"/>
    <s v="2025 01"/>
    <s v="Aguardando Liberação"/>
    <s v="2024 12"/>
    <s v="ENTREGUE"/>
    <d v="2024-12-27T00:00:00"/>
    <s v="-"/>
    <m/>
    <n v="0"/>
    <n v="0"/>
    <n v="0"/>
    <n v="0"/>
    <n v="0"/>
  </r>
  <r>
    <s v="BV"/>
    <s v="BV45636"/>
    <s v="Pedido 527"/>
    <d v="2024-12-10T00:00:00"/>
    <d v="2024-12-10T00:00:00"/>
    <s v="PedidoF514"/>
    <s v="CódRastreio512"/>
    <n v="1"/>
    <s v="CPF 511"/>
    <s v="Nome 511"/>
    <s v="Tel 511"/>
    <s v="Cep 511"/>
    <s v="Rua 511"/>
    <s v="Comp 511"/>
    <x v="13"/>
    <s v="YA-AG3H-SPUK"/>
    <d v="2025-01-10T00:00:00"/>
    <n v="18.989999999999998"/>
    <n v="18.989999999999998"/>
    <n v="2.2787999999999999"/>
    <n v="16.71"/>
    <n v="8.0399999999999991"/>
    <n v="0.2"/>
    <n v="0.39877104377104378"/>
    <n v="0"/>
    <n v="8.0712289562289588"/>
    <n v="4.0356144781144794"/>
    <d v="2025-01-17T00:00:00"/>
    <d v="2025-01-17T00:00:00"/>
    <d v="2025-01-17T00:00:00"/>
    <d v="2025-02-06T00:00:00"/>
    <s v="2025 01"/>
    <s v="Aguardando Liberação"/>
    <s v="2024 12"/>
    <s v="ENTREGUE"/>
    <d v="2024-12-26T00:00:00"/>
    <s v="-"/>
    <m/>
    <n v="0"/>
    <n v="0"/>
    <n v="0"/>
    <n v="0"/>
    <n v="0"/>
  </r>
  <r>
    <s v="BV"/>
    <s v="BV45636"/>
    <s v="Pedido 528"/>
    <d v="2024-12-10T00:00:00"/>
    <d v="2024-12-10T00:00:00"/>
    <s v="PedidoF515"/>
    <s v="CódRastreio513"/>
    <n v="1"/>
    <s v="CPF 512"/>
    <s v="Nome 512"/>
    <s v="Tel 512"/>
    <s v="Cep 512"/>
    <s v="Rua 512"/>
    <s v="Comp 512"/>
    <x v="10"/>
    <s v="MU-J80P-95WF"/>
    <d v="2025-01-10T00:00:00"/>
    <n v="65.599999999999994"/>
    <n v="65.599999999999994"/>
    <n v="8.5279999999999987"/>
    <n v="57.07"/>
    <n v="19.809999999999999"/>
    <n v="0.2"/>
    <n v="0.39877104377104378"/>
    <n v="0"/>
    <n v="36.661228956228953"/>
    <n v="18.330614478114477"/>
    <d v="2025-01-17T00:00:00"/>
    <d v="2025-01-17T00:00:00"/>
    <d v="2025-01-17T00:00:00"/>
    <d v="2025-02-06T00:00:00"/>
    <s v="2025 01"/>
    <s v="Aguardando Liberação"/>
    <s v="2024 12"/>
    <s v="ENTREGUE"/>
    <d v="2024-12-27T00:00:00"/>
    <s v="-"/>
    <m/>
    <n v="0"/>
    <n v="0"/>
    <n v="0"/>
    <n v="0"/>
    <n v="0"/>
  </r>
  <r>
    <s v="BV"/>
    <s v="BV45637"/>
    <s v="Pedido 529"/>
    <d v="2024-12-11T00:00:00"/>
    <d v="2024-12-11T00:00:00"/>
    <s v="PedidoF516"/>
    <s v="CódRastreio514"/>
    <n v="1"/>
    <s v="CPF 513"/>
    <s v="Nome 513"/>
    <s v="Tel 513"/>
    <s v="Cep 513"/>
    <s v="Rua 513"/>
    <s v="Comp 513"/>
    <x v="10"/>
    <s v="MU-J80P-95WF"/>
    <d v="2025-01-07T00:00:00"/>
    <n v="65.599999999999994"/>
    <n v="65.599999999999994"/>
    <n v="8.5279999999999987"/>
    <n v="57.07"/>
    <n v="19.809999999999999"/>
    <n v="0.31"/>
    <n v="0.39877104377104378"/>
    <n v="0"/>
    <n v="36.551228956228954"/>
    <n v="18.275614478114477"/>
    <d v="2025-01-14T00:00:00"/>
    <d v="2025-01-14T00:00:00"/>
    <d v="2025-01-16T00:00:00"/>
    <d v="2025-01-16T00:00:00"/>
    <s v="2025 01"/>
    <s v="Aguardando Liberação"/>
    <s v="2024 12"/>
    <s v="ENTREGUE"/>
    <d v="2024-12-23T00:00:00"/>
    <s v="-"/>
    <m/>
    <n v="0"/>
    <n v="0"/>
    <n v="0"/>
    <n v="0"/>
    <n v="0"/>
  </r>
  <r>
    <s v="BV"/>
    <s v="BV45637"/>
    <s v="Pedido 530"/>
    <d v="2024-12-11T00:00:00"/>
    <d v="2024-12-11T00:00:00"/>
    <s v="PedidoF517"/>
    <s v="CódRastreio515"/>
    <n v="1"/>
    <s v="CPF 514"/>
    <s v="Nome 514"/>
    <s v="Tel 514"/>
    <s v="Cep 514"/>
    <s v="Rua 514"/>
    <s v="Comp 514"/>
    <x v="13"/>
    <s v="YA-AG3H-SPUK"/>
    <d v="2025-01-11T00:00:00"/>
    <n v="18.989999999999998"/>
    <n v="18.989999999999998"/>
    <n v="2.2787999999999999"/>
    <n v="16.71"/>
    <n v="8.0399999999999991"/>
    <n v="0.31"/>
    <n v="0.39877104377104378"/>
    <n v="0"/>
    <n v="7.9612289562289575"/>
    <n v="3.9806144781144788"/>
    <d v="2025-01-18T00:00:00"/>
    <d v="2025-01-18T00:00:00"/>
    <d v="2025-01-22T00:00:00"/>
    <d v="2025-02-0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37"/>
    <s v="Pedido 531"/>
    <d v="2024-12-11T00:00:00"/>
    <d v="2024-12-11T00:00:00"/>
    <s v="PedidoF518"/>
    <s v="CódRastreio516"/>
    <n v="1"/>
    <s v="CPF 515"/>
    <s v="Nome 515"/>
    <s v="Tel 515"/>
    <s v="Cep 515"/>
    <s v="Rua 515"/>
    <s v="Comp 515"/>
    <x v="13"/>
    <s v="YA-AG3H-SPUK"/>
    <d v="2025-01-07T00:00:00"/>
    <n v="18.989999999999998"/>
    <n v="18.989999999999998"/>
    <n v="2.2787999999999999"/>
    <n v="16.71"/>
    <n v="8.0399999999999991"/>
    <n v="0.31"/>
    <n v="0.39877104377104378"/>
    <n v="0"/>
    <n v="7.9612289562289575"/>
    <n v="3.9806144781144788"/>
    <d v="2025-01-14T00:00:00"/>
    <d v="2025-01-14T00:00:00"/>
    <d v="2025-01-16T00:00:00"/>
    <d v="2025-01-1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7"/>
    <s v="Pedido 532"/>
    <d v="2024-12-11T00:00:00"/>
    <d v="2024-12-11T00:00:00"/>
    <s v="PedidoF519"/>
    <s v="CódRastreio517"/>
    <n v="1"/>
    <s v="CPF 516"/>
    <s v="Nome 516"/>
    <s v="Tel 516"/>
    <s v="Cep 516"/>
    <s v="Rua 516"/>
    <s v="Comp 516"/>
    <x v="3"/>
    <s v="IF-G2ZQ-79FO"/>
    <d v="2025-01-07T00:00:00"/>
    <n v="54.8"/>
    <n v="54.8"/>
    <n v="7.1239999999999997"/>
    <n v="47.68"/>
    <n v="13.87"/>
    <n v="0.31"/>
    <n v="0.39877104377104378"/>
    <n v="0"/>
    <n v="33.101228956228958"/>
    <n v="16.550614478114479"/>
    <d v="2025-01-14T00:00:00"/>
    <d v="2025-01-14T00:00:00"/>
    <d v="2025-01-16T00:00:00"/>
    <d v="2025-01-1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37"/>
    <s v="Pedido 533"/>
    <d v="2024-12-11T00:00:00"/>
    <d v="2024-12-11T00:00:00"/>
    <s v="PedidoF520"/>
    <s v="CódRastreio518"/>
    <n v="1"/>
    <s v="CPF 517"/>
    <s v="Nome 517"/>
    <s v="Tel 517"/>
    <s v="Cep 517"/>
    <s v="Rua 517"/>
    <s v="Comp 517"/>
    <x v="3"/>
    <s v="IF-G2ZQ-79FO"/>
    <d v="2025-01-18T00:00:00"/>
    <n v="54.8"/>
    <n v="54.8"/>
    <n v="7.1239999999999997"/>
    <n v="47.68"/>
    <n v="13.87"/>
    <n v="0.31"/>
    <n v="0.39877104377104378"/>
    <n v="0"/>
    <n v="33.101228956228958"/>
    <n v="16.550614478114479"/>
    <d v="2025-01-25T00:00:00"/>
    <d v="2025-01-25T00:00:00"/>
    <d v="2025-01-31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37"/>
    <s v="Pedido 534"/>
    <d v="2024-12-11T00:00:00"/>
    <d v="2024-12-11T00:00:00"/>
    <s v="PedidoF521"/>
    <s v="CódRastreio519"/>
    <n v="1"/>
    <s v="CPF 518"/>
    <s v="Nome 518"/>
    <s v="Tel 518"/>
    <s v="Cep 518"/>
    <s v="Rua 518"/>
    <s v="Comp 518"/>
    <x v="10"/>
    <s v="MU-J80P-95WF"/>
    <d v="2025-01-07T00:00:00"/>
    <n v="65.599999999999994"/>
    <n v="65.599999999999994"/>
    <n v="8.5279999999999987"/>
    <n v="57.07"/>
    <n v="19.809999999999999"/>
    <n v="0.31"/>
    <n v="0.39877104377104378"/>
    <n v="0"/>
    <n v="36.551228956228954"/>
    <n v="18.275614478114477"/>
    <d v="2025-01-14T00:00:00"/>
    <d v="2025-01-14T00:00:00"/>
    <d v="2025-01-16T00:00:00"/>
    <d v="2025-01-1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37"/>
    <s v="Pedido 535"/>
    <d v="2024-12-11T00:00:00"/>
    <d v="2024-12-11T00:00:00"/>
    <s v="PedidoF522"/>
    <s v="CódRastreio520"/>
    <n v="1"/>
    <s v="CPF 519"/>
    <s v="Nome 519"/>
    <s v="Tel 519"/>
    <s v="Cep 519"/>
    <s v="Rua 519"/>
    <s v="Comp 519"/>
    <x v="0"/>
    <s v="16-4EDB-WMZF"/>
    <d v="2025-01-07T00:00:00"/>
    <n v="17.899999999999999"/>
    <n v="17.899999999999999"/>
    <n v="2.6849999999999996"/>
    <n v="15.22"/>
    <n v="6.99"/>
    <n v="0.31"/>
    <n v="0.39877104377104378"/>
    <n v="0"/>
    <n v="7.5212289562289572"/>
    <n v="3.7606144781144786"/>
    <d v="2025-01-14T00:00:00"/>
    <d v="2025-01-14T00:00:00"/>
    <d v="2025-01-16T00:00:00"/>
    <d v="2025-01-16T00:00:00"/>
    <s v="2025 01"/>
    <s v="Aguardando Liberação"/>
    <s v="2024 12"/>
    <s v="ENTREGUE"/>
    <d v="2024-12-16T00:00:00"/>
    <s v="-"/>
    <m/>
    <n v="0"/>
    <n v="0"/>
    <n v="0"/>
    <n v="0"/>
    <n v="0"/>
  </r>
  <r>
    <s v="BV"/>
    <s v="BV45637"/>
    <s v="Pedido 536"/>
    <d v="2024-12-11T00:00:00"/>
    <d v="2024-12-11T00:00:00"/>
    <s v="PedidoF523"/>
    <s v="CódRastreio521"/>
    <n v="1"/>
    <s v="CPF 520"/>
    <s v="Nome 520"/>
    <s v="Tel 520"/>
    <s v="Cep 520"/>
    <s v="Rua 520"/>
    <s v="Comp 520"/>
    <x v="0"/>
    <s v="16-4EDB-WMZF"/>
    <d v="2025-01-07T00:00:00"/>
    <n v="17.899999999999999"/>
    <n v="17.899999999999999"/>
    <n v="2.6849999999999996"/>
    <n v="15.22"/>
    <n v="6.99"/>
    <n v="0.31"/>
    <n v="0.39877104377104378"/>
    <n v="0"/>
    <n v="7.5212289562289572"/>
    <n v="3.7606144781144786"/>
    <d v="2025-01-14T00:00:00"/>
    <d v="2025-01-14T00:00:00"/>
    <d v="2025-01-16T00:00:00"/>
    <d v="2025-01-16T00:00:00"/>
    <s v="2025 01"/>
    <s v="Aguardando Liberação"/>
    <s v="2024 12"/>
    <s v="ENTREGUE"/>
    <d v="2024-12-25T00:00:00"/>
    <s v="-"/>
    <m/>
    <n v="0"/>
    <n v="0"/>
    <n v="0"/>
    <n v="0"/>
    <n v="0"/>
  </r>
  <r>
    <s v="BV"/>
    <s v="BV45637"/>
    <s v="Pedido 537"/>
    <d v="2024-12-11T00:00:00"/>
    <d v="2024-12-11T00:00:00"/>
    <s v="PedidoF524"/>
    <s v="CódRastreio522"/>
    <n v="1"/>
    <s v="CPF 521"/>
    <s v="Nome 521"/>
    <s v="Tel 521"/>
    <s v="Cep 521"/>
    <s v="Rua 521"/>
    <s v="Comp 521"/>
    <x v="10"/>
    <s v="MU-J80P-95WF"/>
    <d v="2025-01-07T00:00:00"/>
    <n v="65.599999999999994"/>
    <n v="65.599999999999994"/>
    <n v="8.5279999999999987"/>
    <n v="57.07"/>
    <n v="19.809999999999999"/>
    <n v="0.31"/>
    <n v="0.39877104377104378"/>
    <n v="0"/>
    <n v="36.551228956228954"/>
    <n v="18.275614478114477"/>
    <d v="2025-01-14T00:00:00"/>
    <d v="2025-01-14T00:00:00"/>
    <d v="2025-01-16T00:00:00"/>
    <d v="2025-01-16T00:00:00"/>
    <s v="2025 01"/>
    <s v="Aguardando Liberação"/>
    <s v="2024 12"/>
    <s v="ENTREGUE"/>
    <d v="2024-12-20T00:00:00"/>
    <s v="-"/>
    <m/>
    <n v="0"/>
    <n v="0"/>
    <n v="0"/>
    <n v="0"/>
    <n v="0"/>
  </r>
  <r>
    <s v="BV"/>
    <s v="BV45638"/>
    <s v="Pedido 538"/>
    <d v="2024-12-12T00:00:00"/>
    <d v="2024-12-12T00:00:00"/>
    <s v="PedidoF525"/>
    <s v="CódRastreio523"/>
    <n v="1"/>
    <s v="CPF 522"/>
    <s v="Nome 522"/>
    <s v="Tel 522"/>
    <s v="Cep 522"/>
    <s v="Rua 522"/>
    <s v="Comp 522"/>
    <x v="3"/>
    <s v="IF-G2ZQ-79FO"/>
    <d v="2025-01-18T00:00:00"/>
    <n v="54.8"/>
    <n v="54.8"/>
    <n v="7.1239999999999997"/>
    <n v="47.68"/>
    <n v="11.5"/>
    <n v="0.2"/>
    <n v="0.39877104377104378"/>
    <n v="0"/>
    <n v="35.581228956228955"/>
    <n v="17.790614478114477"/>
    <d v="2025-01-25T00:00:00"/>
    <d v="2025-01-25T00:00:00"/>
    <d v="2025-01-31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38"/>
    <s v="Pedido 539"/>
    <d v="2024-12-12T00:00:00"/>
    <d v="2024-12-12T00:00:00"/>
    <s v="PedidoF526"/>
    <s v="CódRastreio524"/>
    <n v="1"/>
    <s v="CPF 523"/>
    <s v="Nome 523"/>
    <s v="Tel 523"/>
    <s v="Cep 523"/>
    <s v="Rua 523"/>
    <s v="Comp 523"/>
    <x v="0"/>
    <s v="16-4EDB-WMZF"/>
    <d v="2025-01-14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21T00:00:00"/>
    <d v="2025-01-21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38"/>
    <s v="Pedido 540"/>
    <d v="2024-12-12T00:00:00"/>
    <d v="2024-12-12T00:00:00"/>
    <s v="PedidoF527"/>
    <s v="CódRastreio525"/>
    <n v="1"/>
    <s v="CPF 524"/>
    <s v="Nome 524"/>
    <s v="Tel 524"/>
    <s v="Cep 524"/>
    <s v="Rua 524"/>
    <s v="Comp 524"/>
    <x v="0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5T00:00:00"/>
    <d v="2025-01-15T00:00:00"/>
    <d v="2025-01-16T00:00:00"/>
    <d v="2025-01-1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8"/>
    <s v="Pedido 541"/>
    <d v="2024-12-12T00:00:00"/>
    <d v="2024-12-12T00:00:00"/>
    <s v="PedidoF528"/>
    <s v="CódRastreio526"/>
    <n v="1"/>
    <s v="CPF 524"/>
    <s v="Nome 524"/>
    <s v="Tel 524"/>
    <s v="Cep 524"/>
    <s v="Rua 524"/>
    <s v="Comp 524"/>
    <x v="0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5T00:00:00"/>
    <d v="2025-01-15T00:00:00"/>
    <d v="2025-01-16T00:00:00"/>
    <d v="2025-01-1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8"/>
    <s v="Pedido 542"/>
    <d v="2024-12-12T00:00:00"/>
    <d v="2024-12-12T00:00:00"/>
    <s v="PedidoF529"/>
    <s v="CódRastreio527"/>
    <n v="1"/>
    <s v="CPF 525"/>
    <s v="Nome 525"/>
    <s v="Tel 525"/>
    <s v="Cep 525"/>
    <s v="Rua 525"/>
    <s v="Comp 525"/>
    <x v="0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5T00:00:00"/>
    <d v="2025-01-15T00:00:00"/>
    <d v="2025-01-16T00:00:00"/>
    <d v="2025-01-16T00:00:00"/>
    <s v="2025 01"/>
    <s v="Aguardando Liberação"/>
    <s v="2024 12"/>
    <s v="ENTREGUE"/>
    <d v="2024-12-26T00:00:00"/>
    <s v="-"/>
    <m/>
    <n v="0"/>
    <n v="0"/>
    <n v="0"/>
    <n v="0"/>
    <n v="0"/>
  </r>
  <r>
    <s v="BV"/>
    <s v="BV45638"/>
    <s v="Pedido 543"/>
    <d v="2024-12-12T00:00:00"/>
    <d v="2024-12-12T00:00:00"/>
    <s v="PedidoF530"/>
    <s v="CódRastreio528"/>
    <n v="1"/>
    <s v="CPF 526"/>
    <s v="Nome 526"/>
    <s v="Tel 526"/>
    <s v="Cep 526"/>
    <s v="Rua 526"/>
    <s v="Comp 526"/>
    <x v="0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5T00:00:00"/>
    <d v="2025-01-15T00:00:00"/>
    <d v="2025-01-16T00:00:00"/>
    <d v="2025-01-16T00:00:00"/>
    <s v="2025 01"/>
    <s v="Aguardando Liberação"/>
    <s v="2024 12"/>
    <s v="ENTREGUE"/>
    <d v="2025-01-22T00:00:00"/>
    <s v="-"/>
    <m/>
    <n v="0"/>
    <n v="0"/>
    <n v="0"/>
    <n v="0"/>
    <n v="0"/>
  </r>
  <r>
    <s v="BV"/>
    <s v="BV45638"/>
    <s v="Pedido 544"/>
    <d v="2024-12-12T00:00:00"/>
    <d v="2024-12-12T00:00:00"/>
    <s v="PedidoF531"/>
    <s v="CódRastreio529"/>
    <n v="1"/>
    <s v="CPF 527"/>
    <s v="Nome 527"/>
    <s v="Tel 527"/>
    <s v="Cep 527"/>
    <s v="Rua 527"/>
    <s v="Comp 527"/>
    <x v="3"/>
    <s v="IF-G2ZQ-79FO"/>
    <d v="2025-01-08T00:00:00"/>
    <n v="54.8"/>
    <n v="54.8"/>
    <n v="7.1239999999999997"/>
    <n v="47.68"/>
    <n v="11.5"/>
    <n v="0.2"/>
    <n v="0.39877104377104378"/>
    <n v="0"/>
    <n v="35.581228956228955"/>
    <n v="17.790614478114477"/>
    <d v="2025-01-15T00:00:00"/>
    <d v="2025-01-15T00:00:00"/>
    <d v="2025-01-16T00:00:00"/>
    <d v="2025-01-1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38"/>
    <s v="Pedido 545"/>
    <d v="2024-12-12T00:00:00"/>
    <d v="2024-12-12T00:00:00"/>
    <s v="PedidoF532"/>
    <s v="CódRastreio530"/>
    <n v="1"/>
    <s v="CPF 528"/>
    <s v="Nome 528"/>
    <s v="Tel 528"/>
    <s v="Cep 528"/>
    <s v="Rua 528"/>
    <s v="Comp 528"/>
    <x v="12"/>
    <s v="U8-2VWS-OB6M"/>
    <d v="2025-01-14T00:00:00"/>
    <n v="65.599999999999994"/>
    <n v="65.599999999999994"/>
    <n v="8.5279999999999987"/>
    <n v="57.07"/>
    <n v="16.579999999999998"/>
    <n v="0.2"/>
    <n v="0.39877104377104378"/>
    <n v="0"/>
    <n v="39.891228956228957"/>
    <n v="19.945614478114479"/>
    <d v="2025-01-21T00:00:00"/>
    <d v="2025-01-21T00:00:00"/>
    <d v="2025-01-22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38"/>
    <s v="Pedido 546"/>
    <d v="2024-12-12T00:00:00"/>
    <d v="2024-12-12T00:00:00"/>
    <s v="PedidoF533"/>
    <s v="CódRastreio531"/>
    <n v="1"/>
    <s v="CPF 529"/>
    <s v="Nome 529"/>
    <s v="Tel 529"/>
    <s v="Cep 529"/>
    <s v="Rua 529"/>
    <s v="Comp 529"/>
    <x v="0"/>
    <s v="16-4EDB-WMZF"/>
    <d v="2025-01-04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1T00:00:00"/>
    <d v="2025-01-11T00:00:00"/>
    <d v="2025-01-16T00:00:00"/>
    <d v="2025-01-16T00:00:00"/>
    <s v="2025 01"/>
    <s v="Aguardando Liberação"/>
    <s v="2024 12"/>
    <s v="ENTREGUE"/>
    <d v="2024-12-18T00:00:00"/>
    <s v="-"/>
    <m/>
    <n v="0"/>
    <n v="0"/>
    <n v="0"/>
    <n v="0"/>
    <n v="0"/>
  </r>
  <r>
    <s v="BV"/>
    <s v="BV45638"/>
    <s v="Pedido 547"/>
    <d v="2024-12-12T00:00:00"/>
    <d v="2024-12-12T00:00:00"/>
    <s v="PedidoF534"/>
    <s v="CódRastreio532"/>
    <n v="1"/>
    <s v="CPF 530"/>
    <s v="Nome 530"/>
    <s v="Tel 530"/>
    <s v="Cep 530"/>
    <s v="Rua 530"/>
    <s v="Comp 530"/>
    <x v="13"/>
    <s v="YA-AG3H-SPUK"/>
    <d v="2025-01-14T00:00:00"/>
    <n v="18.989999999999998"/>
    <n v="18.989999999999998"/>
    <n v="2.2787999999999999"/>
    <n v="16.71"/>
    <n v="0"/>
    <n v="0.2"/>
    <n v="0.39877104377104378"/>
    <n v="0"/>
    <n v="16.111228956228956"/>
    <n v="8.0556144781144781"/>
    <d v="2025-01-21T00:00:00"/>
    <d v="2025-01-21T00:00:00"/>
    <d v="2025-01-22T00:00:00"/>
    <d v="2025-02-06T00:00:00"/>
    <s v="2025 01"/>
    <s v="Aguardando Liberação"/>
    <s v="2024 12"/>
    <s v="ENTREGUE"/>
    <d v="2025-01-09T00:00:00"/>
    <s v="-"/>
    <m/>
    <n v="0"/>
    <n v="0"/>
    <n v="0"/>
    <n v="0"/>
    <n v="0"/>
  </r>
  <r>
    <s v="BV"/>
    <s v="BV45638"/>
    <s v="Pedido 548"/>
    <d v="2024-12-12T00:00:00"/>
    <d v="2024-12-12T00:00:00"/>
    <s v="PedidoF535"/>
    <s v="CódRastreio533"/>
    <n v="1"/>
    <s v="CPF 531"/>
    <s v="Nome 531"/>
    <s v="Tel 531"/>
    <s v="Cep 531"/>
    <s v="Rua 531"/>
    <s v="Comp 531"/>
    <x v="10"/>
    <s v="MU-J80P-95WF"/>
    <d v="2025-01-14T00:00:00"/>
    <n v="65.599999999999994"/>
    <n v="65.599999999999994"/>
    <n v="8.5279999999999987"/>
    <n v="57.07"/>
    <n v="17.27"/>
    <n v="0.2"/>
    <n v="0.39877104377104378"/>
    <n v="0"/>
    <n v="39.20122895622896"/>
    <n v="19.60061447811448"/>
    <d v="2025-01-21T00:00:00"/>
    <d v="2025-01-21T00:00:00"/>
    <d v="2025-01-22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38"/>
    <s v="Pedido 549"/>
    <d v="2024-12-12T00:00:00"/>
    <d v="2024-12-12T00:00:00"/>
    <s v="PedidoF536"/>
    <s v="CódRastreio534"/>
    <n v="1"/>
    <s v="CPF 532"/>
    <s v="Nome 532"/>
    <s v="Tel 532"/>
    <s v="Cep 532"/>
    <s v="Rua 532"/>
    <s v="Comp 532"/>
    <x v="10"/>
    <s v="MU-J80P-95WF"/>
    <d v="2025-01-14T00:00:00"/>
    <n v="65.599999999999994"/>
    <n v="65.599999999999994"/>
    <n v="8.5279999999999987"/>
    <n v="57.07"/>
    <n v="17.27"/>
    <n v="0.2"/>
    <n v="0.39877104377104378"/>
    <n v="0"/>
    <n v="39.20122895622896"/>
    <n v="19.60061447811448"/>
    <d v="2025-01-21T00:00:00"/>
    <d v="2025-01-21T00:00:00"/>
    <d v="2025-01-22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39"/>
    <s v="Pedido 550"/>
    <d v="2024-12-13T00:00:00"/>
    <d v="2024-12-13T00:00:00"/>
    <s v="PedidoF537"/>
    <s v="CódRastreio535"/>
    <n v="1"/>
    <s v="CPF 533"/>
    <s v="Nome 533"/>
    <s v="Tel 533"/>
    <s v="Cep 533"/>
    <s v="Rua 533"/>
    <s v="Comp 533"/>
    <x v="0"/>
    <s v="16-4EDB-WMZF"/>
    <d v="2025-01-15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22T00:00:00"/>
    <d v="2025-01-22T00:00:00"/>
    <d v="2025-01-22T00:00:00"/>
    <d v="2025-02-06T00:00:00"/>
    <s v="2025 01"/>
    <s v="Aguardando Liberação"/>
    <s v="2024 12"/>
    <s v="ENTREGUE"/>
    <d v="2024-12-21T00:00:00"/>
    <s v="-"/>
    <m/>
    <n v="0"/>
    <n v="0"/>
    <n v="0"/>
    <n v="0"/>
    <n v="0"/>
  </r>
  <r>
    <s v="BV"/>
    <s v="BV45639"/>
    <s v="Pedido 551"/>
    <d v="2024-12-13T00:00:00"/>
    <d v="2024-12-13T00:00:00"/>
    <s v="PedidoF538"/>
    <s v="CódRastreio536"/>
    <n v="1"/>
    <s v="CPF 534"/>
    <s v="Nome 534"/>
    <s v="Tel 534"/>
    <s v="Cep 534"/>
    <s v="Rua 534"/>
    <s v="Comp 534"/>
    <x v="0"/>
    <s v="16-4EDB-WMZF"/>
    <d v="2025-01-15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22T00:00:00"/>
    <d v="2025-01-22T00:00:00"/>
    <d v="2025-01-22T00:00:00"/>
    <d v="2025-02-06T00:00:00"/>
    <s v="2025 01"/>
    <s v="Aguardando Liberação"/>
    <s v="2024 12"/>
    <s v="ENTREGUE"/>
    <d v="2024-12-21T00:00:00"/>
    <s v="-"/>
    <m/>
    <n v="0"/>
    <n v="0"/>
    <n v="0"/>
    <n v="0"/>
    <n v="0"/>
  </r>
  <r>
    <s v="BV"/>
    <s v="BV45639"/>
    <s v="Pedido 552"/>
    <d v="2024-12-13T00:00:00"/>
    <d v="2024-12-13T00:00:00"/>
    <s v="PedidoF539"/>
    <s v="CódRastreio537"/>
    <n v="1"/>
    <s v="CPF 535"/>
    <s v="Nome 535"/>
    <s v="Tel 535"/>
    <s v="Cep 535"/>
    <s v="Rua 535"/>
    <s v="Comp 535"/>
    <x v="16"/>
    <s v="RB-W251-UXV2"/>
    <d v="2025-01-15T00:00:00"/>
    <n v="34.1"/>
    <n v="34.1"/>
    <n v="4.4330000000000007"/>
    <n v="29.67"/>
    <n v="14.18"/>
    <n v="0.2"/>
    <n v="0.39877104377104378"/>
    <n v="0"/>
    <n v="14.891228956228959"/>
    <n v="7.4456144781144795"/>
    <d v="2025-01-22T00:00:00"/>
    <d v="2025-01-22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39"/>
    <s v="Pedido 553"/>
    <d v="2024-12-13T00:00:00"/>
    <d v="2024-12-13T00:00:00"/>
    <s v="PedidoF540"/>
    <s v="CódRastreio538"/>
    <n v="1"/>
    <s v="CPF 536"/>
    <s v="Nome 536"/>
    <s v="Tel 536"/>
    <s v="Cep 536"/>
    <s v="Rua 536"/>
    <s v="Comp 536"/>
    <x v="0"/>
    <s v="16-4EDB-WMZF"/>
    <d v="2025-01-15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22T00:00:00"/>
    <d v="2025-01-22T00:00:00"/>
    <d v="2025-01-22T00:00:00"/>
    <d v="2025-02-06T00:00:00"/>
    <s v="2025 01"/>
    <s v="Aguardando Liberação"/>
    <s v="2024 12"/>
    <s v="ENTREGUE"/>
    <d v="2024-12-26T00:00:00"/>
    <s v="-"/>
    <m/>
    <n v="0"/>
    <n v="0"/>
    <n v="0"/>
    <n v="0"/>
    <n v="0"/>
  </r>
  <r>
    <s v="BV"/>
    <s v="BV45639"/>
    <s v="Pedido 554"/>
    <d v="2024-12-13T00:00:00"/>
    <d v="2024-12-13T00:00:00"/>
    <s v="PedidoF541"/>
    <s v="CódRastreio539"/>
    <n v="1"/>
    <s v="CPF 537"/>
    <s v="Nome 537"/>
    <s v="Tel 537"/>
    <s v="Cep 537"/>
    <s v="Rua 537"/>
    <s v="Comp 537"/>
    <x v="3"/>
    <s v="IF-G2ZQ-79FO"/>
    <d v="2025-01-09T00:00:00"/>
    <n v="54.8"/>
    <n v="54.8"/>
    <n v="7.1239999999999997"/>
    <n v="47.68"/>
    <n v="12.19"/>
    <n v="0.2"/>
    <n v="0.39877104377104378"/>
    <n v="0"/>
    <n v="34.891228956228957"/>
    <n v="17.445614478114479"/>
    <d v="2025-01-16T00:00:00"/>
    <d v="2025-01-16T00:00:00"/>
    <d v="2025-01-17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2"/>
    <s v="Pedido 555"/>
    <d v="2024-12-16T00:00:00"/>
    <d v="2024-12-16T00:00:00"/>
    <s v="PedidoF542"/>
    <s v="CódRastreio540"/>
    <n v="1"/>
    <s v="CPF 538"/>
    <s v="Nome 538"/>
    <s v="Tel 538"/>
    <s v="Cep 538"/>
    <s v="Rua 538"/>
    <s v="Comp 538"/>
    <x v="11"/>
    <s v="BP-NHG2-B8C1"/>
    <d v="2025-01-09T00:00:00"/>
    <n v="53.9"/>
    <n v="53.9"/>
    <n v="7.0069999999999997"/>
    <n v="46.89"/>
    <n v="0"/>
    <n v="0.15"/>
    <n v="0.39877104377104378"/>
    <n v="0"/>
    <n v="46.34122895622896"/>
    <n v="23.17061447811448"/>
    <d v="2025-01-16T00:00:00"/>
    <d v="2025-01-16T00:00:00"/>
    <d v="2025-01-17T00:00:00"/>
    <d v="2025-02-06T00:00:00"/>
    <s v="2025 01"/>
    <s v="Aguardando Liberação"/>
    <s v="2024 12"/>
    <s v="ENTREGUE"/>
    <d v="2025-01-07T00:00:00"/>
    <s v="-"/>
    <m/>
    <n v="1.4"/>
    <n v="0"/>
    <n v="0"/>
    <n v="0"/>
    <n v="1.4"/>
  </r>
  <r>
    <s v="BV"/>
    <s v="BV45639"/>
    <s v="Pedido 556"/>
    <d v="2024-12-13T00:00:00"/>
    <d v="2024-12-13T00:00:00"/>
    <s v="PedidoF543"/>
    <s v="CódRastreio541"/>
    <n v="1"/>
    <s v="CPF 539"/>
    <s v="Nome 539"/>
    <s v="Tel 539"/>
    <s v="Cep 539"/>
    <s v="Rua 539"/>
    <s v="Comp 539"/>
    <x v="0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6T00:00:00"/>
    <d v="2025-01-16T00:00:00"/>
    <d v="2025-01-17T00:00:00"/>
    <d v="2025-02-0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9"/>
    <s v="Pedido 557"/>
    <d v="2024-12-13T00:00:00"/>
    <d v="2024-12-13T00:00:00"/>
    <s v="PedidoF544"/>
    <s v="CódRastreio542"/>
    <n v="1"/>
    <s v="CPF 540"/>
    <s v="Nome 540"/>
    <s v="Tel 540"/>
    <s v="Cep 540"/>
    <s v="Rua 540"/>
    <s v="Comp 540"/>
    <x v="6"/>
    <s v="KN-TBQL-K2MM"/>
    <d v="2025-01-09T00:00:00"/>
    <n v="32.9"/>
    <n v="32.9"/>
    <n v="4.2770000000000001"/>
    <n v="28.62"/>
    <n v="11.2"/>
    <n v="0.2"/>
    <n v="0.39877104377104378"/>
    <n v="0"/>
    <n v="16.821228956228957"/>
    <n v="8.4106144781144785"/>
    <d v="2025-01-16T00:00:00"/>
    <d v="2025-01-16T00:00:00"/>
    <d v="2025-01-17T00:00:00"/>
    <d v="2025-02-06T00:00:00"/>
    <s v="2025 01"/>
    <s v="Aguardando Liberação"/>
    <s v="2024 12"/>
    <s v="ENTREGUE"/>
    <d v="2024-12-18T00:00:00"/>
    <s v="-"/>
    <m/>
    <n v="0"/>
    <n v="0"/>
    <n v="0"/>
    <n v="0"/>
    <n v="0"/>
  </r>
  <r>
    <s v="BV"/>
    <s v="BV45639"/>
    <s v="Pedido 558"/>
    <d v="2024-12-13T00:00:00"/>
    <d v="2024-12-13T00:00:00"/>
    <s v="PedidoF545"/>
    <s v="CódRastreio543"/>
    <n v="1"/>
    <s v="CPF 541"/>
    <s v="Nome 541"/>
    <s v="Tel 541"/>
    <s v="Cep 541"/>
    <s v="Rua 541"/>
    <s v="Comp 541"/>
    <x v="0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6T00:00:00"/>
    <d v="2025-01-16T00:00:00"/>
    <d v="2025-01-17T00:00:00"/>
    <d v="2025-02-06T00:00:00"/>
    <s v="2025 01"/>
    <s v="Aguardando Liberação"/>
    <s v="2024 12"/>
    <s v="ENTREGUE"/>
    <d v="2024-12-21T00:00:00"/>
    <s v="-"/>
    <m/>
    <n v="0"/>
    <n v="0"/>
    <n v="0"/>
    <n v="0"/>
    <n v="0"/>
  </r>
  <r>
    <s v="BV"/>
    <s v="BV45639"/>
    <s v="Pedido 559"/>
    <d v="2024-12-13T00:00:00"/>
    <d v="2024-12-13T00:00:00"/>
    <s v="PedidoF546"/>
    <s v="CódRastreio544"/>
    <n v="1"/>
    <s v="CPF 542"/>
    <s v="Nome 542"/>
    <s v="Tel 542"/>
    <s v="Cep 542"/>
    <s v="Rua 542"/>
    <s v="Comp 542"/>
    <x v="3"/>
    <s v="IF-G2ZQ-79FO"/>
    <d v="2025-01-22T00:00:00"/>
    <n v="54.8"/>
    <n v="54.8"/>
    <n v="7.1239999999999997"/>
    <n v="47.68"/>
    <n v="12.19"/>
    <n v="0.2"/>
    <n v="0.39877104377104378"/>
    <n v="0"/>
    <n v="34.891228956228957"/>
    <n v="17.445614478114479"/>
    <d v="2025-01-29T00:00:00"/>
    <d v="2025-01-29T00:00:00"/>
    <d v="2025-01-31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39"/>
    <s v="Pedido 560"/>
    <d v="2024-12-13T00:00:00"/>
    <d v="2024-12-13T00:00:00"/>
    <s v="PedidoF547"/>
    <s v="CódRastreio545"/>
    <n v="1"/>
    <s v="CPF 543"/>
    <s v="Nome 543"/>
    <s v="Tel 543"/>
    <s v="Cep 543"/>
    <s v="Rua 543"/>
    <s v="Comp 543"/>
    <x v="3"/>
    <s v="IF-G2ZQ-79FO"/>
    <d v="2025-01-09T00:00:00"/>
    <n v="54.8"/>
    <n v="54.8"/>
    <n v="7.1239999999999997"/>
    <n v="47.68"/>
    <n v="0"/>
    <n v="0.2"/>
    <n v="0.39877104377104378"/>
    <n v="0"/>
    <n v="47.081228956228955"/>
    <n v="23.540614478114477"/>
    <d v="2025-01-16T00:00:00"/>
    <d v="2025-01-16T00:00:00"/>
    <d v="2025-01-17T00:00:00"/>
    <d v="2025-02-0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39"/>
    <s v="Pedido 561"/>
    <d v="2024-12-13T00:00:00"/>
    <d v="2024-12-13T00:00:00"/>
    <s v="PedidoF548"/>
    <s v="CódRastreio546"/>
    <n v="1"/>
    <s v="CPF 544"/>
    <s v="Nome 544"/>
    <s v="Tel 544"/>
    <s v="Cep 544"/>
    <s v="Rua 544"/>
    <s v="Comp 544"/>
    <x v="3"/>
    <s v="IF-G2ZQ-79FO"/>
    <d v="2025-01-09T00:00:00"/>
    <n v="54.8"/>
    <n v="54.8"/>
    <n v="7.1239999999999997"/>
    <n v="47.68"/>
    <n v="12.19"/>
    <n v="0.2"/>
    <n v="0.39877104377104378"/>
    <n v="0"/>
    <n v="34.891228956228957"/>
    <n v="17.445614478114479"/>
    <d v="2025-01-16T00:00:00"/>
    <d v="2025-01-16T00:00:00"/>
    <d v="2025-01-17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2"/>
    <s v="Pedido 562"/>
    <d v="2024-12-16T00:00:00"/>
    <d v="2024-12-16T00:00:00"/>
    <s v="PedidoF549"/>
    <s v="CódRastreio547"/>
    <n v="1"/>
    <s v="CPF 545"/>
    <s v="Nome 545"/>
    <s v="Tel 545"/>
    <s v="Cep 545"/>
    <s v="Rua 545"/>
    <s v="Comp 545"/>
    <x v="11"/>
    <s v="BP-NHG2-B8C1"/>
    <d v="2025-01-15T00:00:00"/>
    <n v="53.9"/>
    <n v="53.9"/>
    <n v="7.0069999999999997"/>
    <n v="46.89"/>
    <n v="32.42"/>
    <n v="0.15"/>
    <n v="0.39877104377104378"/>
    <n v="0"/>
    <n v="13.921228956228958"/>
    <n v="6.9606144781144792"/>
    <d v="2025-01-22T00:00:00"/>
    <d v="2025-01-22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39"/>
    <s v="Pedido 563"/>
    <d v="2024-12-13T00:00:00"/>
    <d v="2024-12-13T00:00:00"/>
    <s v="PedidoF550"/>
    <s v="CódRastreio548"/>
    <n v="1"/>
    <s v="CPF 546"/>
    <s v="Nome 546"/>
    <s v="Tel 546"/>
    <s v="Cep 546"/>
    <s v="Rua 546"/>
    <s v="Comp 546"/>
    <x v="0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6T00:00:00"/>
    <d v="2025-01-16T00:00:00"/>
    <d v="2025-01-17T00:00:00"/>
    <d v="2025-02-06T00:00:00"/>
    <s v="2025 01"/>
    <s v="Aguardando Liberação"/>
    <s v="2024 12"/>
    <s v="ENTREGUE"/>
    <d v="2024-12-21T00:00:00"/>
    <s v="-"/>
    <m/>
    <n v="0"/>
    <n v="0"/>
    <n v="0"/>
    <n v="0"/>
    <n v="0"/>
  </r>
  <r>
    <s v="BV"/>
    <s v="BV45639"/>
    <s v="Pedido 564"/>
    <d v="2024-12-13T00:00:00"/>
    <d v="2024-12-13T00:00:00"/>
    <s v="PedidoF551"/>
    <s v="CódRastreio549"/>
    <n v="1"/>
    <s v="CPF 547"/>
    <s v="Nome 547"/>
    <s v="Tel 547"/>
    <s v="Cep 547"/>
    <s v="Rua 547"/>
    <s v="Comp 547"/>
    <x v="10"/>
    <s v="MU-J80P-95WF"/>
    <d v="2025-01-09T00:00:00"/>
    <n v="65.599999999999994"/>
    <n v="65.599999999999994"/>
    <n v="8.5279999999999987"/>
    <n v="57.07"/>
    <n v="23.93"/>
    <n v="0.2"/>
    <n v="0.39877104377104378"/>
    <n v="0"/>
    <n v="32.541228956228956"/>
    <n v="16.270614478114478"/>
    <d v="2025-01-16T00:00:00"/>
    <d v="2025-01-16T00:00:00"/>
    <d v="2025-01-17T00:00:00"/>
    <d v="2025-02-06T00:00:00"/>
    <s v="2025 01"/>
    <s v="Aguardando Liberação"/>
    <s v="2024 12"/>
    <s v="ENTREGUE"/>
    <d v="2024-12-23T00:00:00"/>
    <s v="-"/>
    <m/>
    <n v="0"/>
    <n v="0"/>
    <n v="0"/>
    <n v="0"/>
    <n v="0"/>
  </r>
  <r>
    <s v="BV"/>
    <s v="BV45639"/>
    <s v="Pedido 565"/>
    <d v="2024-12-13T00:00:00"/>
    <d v="2024-12-13T00:00:00"/>
    <s v="PedidoF552"/>
    <s v="CódRastreio550"/>
    <n v="1"/>
    <s v="CPF 548"/>
    <s v="Nome 548"/>
    <s v="Tel 548"/>
    <s v="Cep 548"/>
    <s v="Rua 548"/>
    <s v="Comp 548"/>
    <x v="0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6T00:00:00"/>
    <d v="2025-01-16T00:00:00"/>
    <d v="2025-01-17T00:00:00"/>
    <d v="2025-02-06T00:00:00"/>
    <s v="2025 01"/>
    <s v="Aguardando Liberação"/>
    <s v="2024 12"/>
    <s v="ENTREGUE"/>
    <d v="2024-12-23T00:00:00"/>
    <s v="-"/>
    <m/>
    <n v="0"/>
    <n v="0"/>
    <n v="0"/>
    <n v="0"/>
    <n v="0"/>
  </r>
  <r>
    <s v="BV"/>
    <s v="BV45639"/>
    <s v="Pedido 566"/>
    <d v="2024-12-13T00:00:00"/>
    <d v="2024-12-13T00:00:00"/>
    <s v="PedidoF553"/>
    <s v="CódRastreio551"/>
    <n v="1"/>
    <s v="CPF 549"/>
    <s v="Nome 549"/>
    <s v="Tel 549"/>
    <s v="Cep 549"/>
    <s v="Rua 549"/>
    <s v="Comp 549"/>
    <x v="0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d v="2025-01-16T00:00:00"/>
    <d v="2025-01-16T00:00:00"/>
    <d v="2025-01-17T00:00:00"/>
    <d v="2025-02-0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41"/>
    <s v="Pedido 567"/>
    <d v="2024-12-15T00:00:00"/>
    <d v="2024-12-15T00:00:00"/>
    <s v="PedidoF554"/>
    <s v="CódRastreio552"/>
    <n v="1"/>
    <s v="CPF 550"/>
    <s v="Nome 550"/>
    <s v="Tel 550"/>
    <s v="Cep 550"/>
    <s v="Rua 550"/>
    <s v="Comp 550"/>
    <x v="11"/>
    <s v="BP-NHG2-B8C1"/>
    <d v="2025-01-15T00:00:00"/>
    <n v="72.989999999999995"/>
    <n v="72.989999999999995"/>
    <n v="9.4886999999999997"/>
    <n v="63.5"/>
    <n v="31.75"/>
    <n v="0.31"/>
    <n v="0.39877104377104378"/>
    <n v="0"/>
    <n v="31.041228956228956"/>
    <n v="15.520614478114478"/>
    <d v="2025-01-22T00:00:00"/>
    <d v="2025-01-22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1"/>
    <s v="Pedido 568"/>
    <d v="2024-12-15T00:00:00"/>
    <d v="2024-12-15T00:00:00"/>
    <s v="PedidoF555"/>
    <s v="CódRastreio553"/>
    <n v="1"/>
    <s v="CPF 551"/>
    <s v="Nome 551"/>
    <s v="Tel 551"/>
    <s v="Cep 551"/>
    <s v="Rua 551"/>
    <s v="Comp 551"/>
    <x v="3"/>
    <s v="IF-G2ZQ-79FO"/>
    <d v="2025-01-15T00:00:00"/>
    <n v="54.8"/>
    <n v="54.8"/>
    <n v="7.1239999999999997"/>
    <n v="47.68"/>
    <n v="12.2"/>
    <n v="0.31"/>
    <n v="0.39877104377104378"/>
    <n v="0"/>
    <n v="34.771228956228953"/>
    <n v="17.385614478114476"/>
    <d v="2025-01-22T00:00:00"/>
    <d v="2025-01-22T00:00:00"/>
    <d v="2025-01-22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41"/>
    <s v="Pedido 569"/>
    <d v="2024-12-15T00:00:00"/>
    <d v="2024-12-15T00:00:00"/>
    <s v="PedidoF556"/>
    <s v="CódRastreio554"/>
    <n v="1"/>
    <s v="CPF 552"/>
    <s v="Nome 552"/>
    <s v="Tel 552"/>
    <s v="Cep 552"/>
    <s v="Rua 552"/>
    <s v="Comp 552"/>
    <x v="6"/>
    <s v="KN-TBQL-K2MM"/>
    <d v="2025-01-09T00:00:00"/>
    <n v="32.9"/>
    <n v="32.9"/>
    <n v="4.2770000000000001"/>
    <n v="28.62"/>
    <n v="11.2"/>
    <n v="0.31"/>
    <n v="0.39877104377104378"/>
    <n v="0"/>
    <n v="16.711228956228958"/>
    <n v="8.3556144781144788"/>
    <d v="2025-01-16T00:00:00"/>
    <d v="2025-01-16T00:00:00"/>
    <d v="2025-01-17T00:00:00"/>
    <d v="2025-02-0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41"/>
    <s v="Pedido 570"/>
    <d v="2024-12-15T00:00:00"/>
    <d v="2024-12-15T00:00:00"/>
    <s v="PedidoF557"/>
    <s v="CódRastreio555"/>
    <n v="1"/>
    <s v="CPF 553"/>
    <s v="Nome 553"/>
    <s v="Tel 553"/>
    <s v="Cep 553"/>
    <s v="Rua 553"/>
    <s v="Comp 553"/>
    <x v="12"/>
    <s v="U8-2VWS-OB6M"/>
    <d v="2025-01-09T00:00:00"/>
    <n v="65.599999999999994"/>
    <n v="65.599999999999994"/>
    <n v="8.5279999999999987"/>
    <n v="57.07"/>
    <n v="17.350000000000001"/>
    <n v="0.31"/>
    <n v="0.39877104377104378"/>
    <n v="0"/>
    <n v="39.011228956228955"/>
    <n v="19.505614478114477"/>
    <d v="2025-01-16T00:00:00"/>
    <d v="2025-01-16T00:00:00"/>
    <d v="2025-01-17T00:00:00"/>
    <d v="2025-02-06T00:00:00"/>
    <s v="2025 01"/>
    <s v="Aguardando Liberação"/>
    <s v="2024 12"/>
    <s v="ENTREGUE"/>
    <d v="2024-12-27T00:00:00"/>
    <s v="-"/>
    <m/>
    <n v="0"/>
    <n v="0"/>
    <n v="0"/>
    <n v="0"/>
    <n v="0"/>
  </r>
  <r>
    <s v="BV"/>
    <s v="BV45641"/>
    <s v="Pedido 571"/>
    <d v="2024-12-15T00:00:00"/>
    <d v="2024-12-15T00:00:00"/>
    <s v="PedidoF558"/>
    <s v="CódRastreio556"/>
    <n v="1"/>
    <s v="CPF 554"/>
    <s v="Nome 554"/>
    <s v="Tel 554"/>
    <s v="Cep 554"/>
    <s v="Rua 554"/>
    <s v="Comp 554"/>
    <x v="8"/>
    <s v="FM-QQ8Y-RZT4"/>
    <d v="2025-01-09T00:00:00"/>
    <n v="34.9"/>
    <n v="34.9"/>
    <n v="4.5369999999999999"/>
    <n v="30.36"/>
    <n v="13"/>
    <n v="0.31"/>
    <n v="0.39877104377104378"/>
    <n v="0"/>
    <n v="16.651228956228955"/>
    <n v="8.3256144781144776"/>
    <d v="2025-01-16T00:00:00"/>
    <d v="2025-01-16T00:00:00"/>
    <d v="2025-01-17T00:00:00"/>
    <d v="2025-02-06T00:00:00"/>
    <s v="2025 01"/>
    <s v="Aguardando Liberação"/>
    <s v="2024 12"/>
    <s v="ENTREGUE"/>
    <d v="2024-12-19T00:00:00"/>
    <s v="-"/>
    <m/>
    <n v="0"/>
    <n v="0"/>
    <n v="0"/>
    <n v="0"/>
    <n v="0"/>
  </r>
  <r>
    <s v="BV"/>
    <s v="BV45641"/>
    <s v="Pedido 572"/>
    <d v="2024-12-15T00:00:00"/>
    <d v="2024-12-15T00:00:00"/>
    <s v="PedidoF559"/>
    <s v="CódRastreio557"/>
    <n v="1"/>
    <s v="CPF 555"/>
    <s v="Nome 555"/>
    <s v="Tel 555"/>
    <s v="Cep 555"/>
    <s v="Rua 555"/>
    <s v="Comp 555"/>
    <x v="1"/>
    <s v="CK-YL6M-P5Y6"/>
    <d v="2025-01-07T00:00:00"/>
    <n v="33.9"/>
    <n v="33.9"/>
    <n v="4.407"/>
    <n v="29.49"/>
    <n v="13.9"/>
    <n v="0.31"/>
    <n v="0.39877104377104378"/>
    <n v="0"/>
    <n v="14.881228956228954"/>
    <n v="7.440614478114477"/>
    <d v="2025-01-14T00:00:00"/>
    <d v="2025-01-14T00:00:00"/>
    <d v="2025-01-16T00:00:00"/>
    <d v="2025-01-1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41"/>
    <s v="Pedido 573"/>
    <d v="2024-12-15T00:00:00"/>
    <d v="2024-12-15T00:00:00"/>
    <s v="PedidoF560"/>
    <s v="CódRastreio558"/>
    <n v="1"/>
    <s v="CPF 556"/>
    <s v="Nome 556"/>
    <s v="Tel 556"/>
    <s v="Cep 556"/>
    <s v="Rua 556"/>
    <s v="Comp 556"/>
    <x v="3"/>
    <s v="IF-G2ZQ-79FO"/>
    <d v="2025-01-15T00:00:00"/>
    <n v="54.8"/>
    <n v="54.8"/>
    <n v="7.1239999999999997"/>
    <n v="47.68"/>
    <n v="12.2"/>
    <n v="0.31"/>
    <n v="0.39877104377104378"/>
    <n v="0"/>
    <n v="34.771228956228953"/>
    <n v="17.385614478114476"/>
    <d v="2025-01-22T00:00:00"/>
    <d v="2025-01-22T00:00:00"/>
    <d v="2025-01-22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1"/>
    <s v="Pedido 574"/>
    <d v="2024-12-15T00:00:00"/>
    <d v="2024-12-15T00:00:00"/>
    <s v="PedidoF561"/>
    <s v="CódRastreio559"/>
    <n v="1"/>
    <s v="CPF 557"/>
    <s v="Nome 557"/>
    <s v="Tel 557"/>
    <s v="Cep 557"/>
    <s v="Rua 557"/>
    <s v="Comp 557"/>
    <x v="10"/>
    <s v="MU-J80P-95WF"/>
    <d v="2025-01-09T00:00:00"/>
    <n v="65.599999999999994"/>
    <n v="65.599999999999994"/>
    <n v="8.5279999999999987"/>
    <n v="57.07"/>
    <n v="0"/>
    <n v="0.31"/>
    <n v="0.39877104377104378"/>
    <n v="0"/>
    <n v="56.361228956228956"/>
    <n v="28.180614478114478"/>
    <d v="2025-01-16T00:00:00"/>
    <d v="2025-01-16T00:00:00"/>
    <d v="2025-01-17T00:00:00"/>
    <d v="2025-02-06T00:00:00"/>
    <s v="2025 01"/>
    <s v="Aguardando Liberação"/>
    <s v="2024 12"/>
    <s v="ENTREGUE"/>
    <d v="2024-12-20T00:00:00"/>
    <s v="-"/>
    <m/>
    <n v="1.71"/>
    <n v="0"/>
    <n v="0"/>
    <n v="0"/>
    <n v="1.71"/>
  </r>
  <r>
    <s v="BV"/>
    <s v="BV45641"/>
    <s v="Pedido 575"/>
    <d v="2024-12-15T00:00:00"/>
    <d v="2024-12-15T00:00:00"/>
    <s v="PedidoF562"/>
    <s v="CódRastreio560"/>
    <n v="1"/>
    <s v="CPF 558"/>
    <s v="Nome 558"/>
    <s v="Tel 558"/>
    <s v="Cep 558"/>
    <s v="Rua 558"/>
    <s v="Comp 558"/>
    <x v="12"/>
    <s v="U8-2VWS-OB6M"/>
    <d v="2025-01-09T00:00:00"/>
    <n v="65.599999999999994"/>
    <n v="65.599999999999994"/>
    <n v="8.5279999999999987"/>
    <n v="57.07"/>
    <n v="17.350000000000001"/>
    <n v="0.31"/>
    <n v="0.39877104377104378"/>
    <n v="0"/>
    <n v="39.011228956228955"/>
    <n v="19.505614478114477"/>
    <d v="2025-01-16T00:00:00"/>
    <d v="2025-01-16T00:00:00"/>
    <d v="2025-01-17T00:00:00"/>
    <d v="2025-02-06T00:00:00"/>
    <s v="2025 01"/>
    <s v="Aguardando Liberação"/>
    <s v="2024 12"/>
    <s v="ENTREGUE"/>
    <d v="2024-12-27T00:00:00"/>
    <s v="-"/>
    <m/>
    <n v="0"/>
    <n v="0"/>
    <n v="0"/>
    <n v="0"/>
    <n v="0"/>
  </r>
  <r>
    <s v="BV"/>
    <s v="BV45642"/>
    <s v="Pedido 576"/>
    <d v="2024-12-16T00:00:00"/>
    <d v="2024-12-16T00:00:00"/>
    <s v="PedidoF563"/>
    <s v="CódRastreio561"/>
    <n v="1"/>
    <s v="CPF 559"/>
    <s v="Nome 559"/>
    <s v="Tel 559"/>
    <s v="Cep 559"/>
    <s v="Rua 559"/>
    <s v="Comp 559"/>
    <x v="10"/>
    <s v="MU-J80P-95WF"/>
    <d v="2025-01-10T00:00:00"/>
    <n v="65.599999999999994"/>
    <n v="65.599999999999994"/>
    <n v="8.5279999999999987"/>
    <n v="57.07"/>
    <n v="19.52"/>
    <n v="0.15"/>
    <n v="0.39877104377104378"/>
    <n v="0"/>
    <n v="37.001228956228957"/>
    <n v="18.500614478114478"/>
    <d v="2025-01-17T00:00:00"/>
    <d v="2025-01-17T00:00:00"/>
    <d v="2025-01-17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2"/>
    <s v="Pedido 577"/>
    <d v="2024-12-16T00:00:00"/>
    <d v="2024-12-16T00:00:00"/>
    <s v="PedidoF564"/>
    <s v="CódRastreio562"/>
    <n v="1"/>
    <s v="CPF 560"/>
    <s v="Nome 560"/>
    <s v="Tel 560"/>
    <s v="Cep 560"/>
    <s v="Rua 560"/>
    <s v="Comp 560"/>
    <x v="3"/>
    <s v="IF-G2ZQ-79FO"/>
    <d v="2025-01-16T00:00:00"/>
    <n v="54.8"/>
    <n v="54.8"/>
    <n v="7.1239999999999997"/>
    <n v="47.68"/>
    <n v="18.940000000000001"/>
    <n v="0.15"/>
    <n v="0.39877104377104378"/>
    <n v="0"/>
    <n v="28.191228956228954"/>
    <n v="14.095614478114477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2"/>
    <s v="Pedido 578"/>
    <d v="2024-12-16T00:00:00"/>
    <d v="2024-12-16T00:00:00"/>
    <s v="PedidoF565"/>
    <s v="CódRastreio563"/>
    <n v="1"/>
    <s v="CPF 504"/>
    <s v="Nome 504"/>
    <s v="Tel 504"/>
    <s v="Cep 504"/>
    <s v="Rua 504"/>
    <s v="Comp 504"/>
    <x v="10"/>
    <s v="MU-J80P-95WF"/>
    <d v="2025-01-10T00:00:00"/>
    <n v="65.599999999999994"/>
    <n v="65.599999999999994"/>
    <n v="8.5279999999999987"/>
    <n v="57.07"/>
    <n v="19.52"/>
    <n v="0.15"/>
    <n v="0.39877104377104378"/>
    <n v="0"/>
    <n v="37.001228956228957"/>
    <n v="18.500614478114478"/>
    <d v="2025-01-17T00:00:00"/>
    <d v="2025-01-17T00:00:00"/>
    <d v="2025-01-17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2"/>
    <s v="Pedido 579"/>
    <d v="2024-12-16T00:00:00"/>
    <d v="2024-12-16T00:00:00"/>
    <s v="PedidoF566"/>
    <s v="CódRastreio564"/>
    <n v="1"/>
    <s v="CPF 561"/>
    <s v="Nome 561"/>
    <s v="Tel 561"/>
    <s v="Cep 561"/>
    <s v="Rua 561"/>
    <s v="Comp 561"/>
    <x v="10"/>
    <s v="MU-J80P-95WF"/>
    <d v="2025-01-10T00:00:00"/>
    <n v="65.599999999999994"/>
    <n v="65.599999999999994"/>
    <n v="8.5279999999999987"/>
    <n v="57.07"/>
    <n v="19.53"/>
    <n v="0.15"/>
    <n v="0.39877104377104378"/>
    <n v="0"/>
    <n v="36.991228956228952"/>
    <n v="18.495614478114476"/>
    <d v="2025-01-17T00:00:00"/>
    <d v="2025-01-17T00:00:00"/>
    <d v="2025-01-17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2"/>
    <s v="Pedido 580"/>
    <d v="2024-12-16T00:00:00"/>
    <d v="2024-12-16T00:00:00"/>
    <s v="PedidoF567"/>
    <s v="CódRastreio565"/>
    <n v="1"/>
    <s v="CPF 562"/>
    <s v="Nome 562"/>
    <s v="Tel 562"/>
    <s v="Cep 562"/>
    <s v="Rua 562"/>
    <s v="Comp 562"/>
    <x v="10"/>
    <s v="MU-J80P-95WF"/>
    <d v="2025-01-16T00:00:00"/>
    <n v="65.599999999999994"/>
    <n v="65.599999999999994"/>
    <n v="8.5279999999999987"/>
    <n v="57.07"/>
    <n v="19.53"/>
    <n v="0.15"/>
    <n v="0.39877104377104378"/>
    <n v="0"/>
    <n v="36.991228956228952"/>
    <n v="18.495614478114476"/>
    <d v="2025-01-23T00:00:00"/>
    <d v="2025-01-23T00:00:00"/>
    <d v="2025-01-31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2"/>
    <s v="Pedido 581"/>
    <d v="2024-12-16T00:00:00"/>
    <d v="2024-12-16T00:00:00"/>
    <s v="PedidoF568"/>
    <s v="CódRastreio566"/>
    <n v="1"/>
    <s v="CPF 563"/>
    <s v="Nome 563"/>
    <s v="Tel 563"/>
    <s v="Cep 563"/>
    <s v="Rua 563"/>
    <s v="Comp 563"/>
    <x v="12"/>
    <s v="U8-2VWS-OB6M"/>
    <d v="2025-01-10T00:00:00"/>
    <n v="65.599999999999994"/>
    <n v="65.599999999999994"/>
    <n v="8.5279999999999987"/>
    <n v="57.07"/>
    <n v="18.940000000000001"/>
    <n v="0.15"/>
    <n v="0.39877104377104378"/>
    <n v="0"/>
    <n v="37.581228956228955"/>
    <n v="18.790614478114477"/>
    <d v="2025-01-17T00:00:00"/>
    <d v="2025-01-17T00:00:00"/>
    <d v="2025-01-17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2"/>
    <s v="Pedido 582"/>
    <d v="2024-12-16T00:00:00"/>
    <d v="2024-12-16T00:00:00"/>
    <s v="PedidoF569"/>
    <s v="CódRastreio567"/>
    <n v="1"/>
    <s v="CPF 564"/>
    <s v="Nome 564"/>
    <s v="Tel 564"/>
    <s v="Cep 564"/>
    <s v="Rua 564"/>
    <s v="Comp 564"/>
    <x v="3"/>
    <s v="IF-G2ZQ-79FO"/>
    <d v="2025-01-16T00:00:00"/>
    <n v="54.8"/>
    <n v="54.8"/>
    <n v="7.1239999999999997"/>
    <n v="47.68"/>
    <n v="18.940000000000001"/>
    <n v="0.15"/>
    <n v="0.39877104377104378"/>
    <n v="0"/>
    <n v="28.191228956228954"/>
    <n v="14.095614478114477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2"/>
    <s v="Pedido 583"/>
    <d v="2024-12-16T00:00:00"/>
    <d v="2024-12-16T00:00:00"/>
    <s v="PedidoF570"/>
    <s v="CódRastreio568"/>
    <n v="1"/>
    <s v="CPF 565"/>
    <s v="Nome 565"/>
    <s v="Tel 565"/>
    <s v="Cep 565"/>
    <s v="Rua 565"/>
    <s v="Comp 565"/>
    <x v="3"/>
    <s v="IF-G2ZQ-79FO"/>
    <d v="2025-01-16T00:00:00"/>
    <n v="54.8"/>
    <n v="54.8"/>
    <n v="7.1239999999999997"/>
    <n v="47.68"/>
    <n v="18.940000000000001"/>
    <n v="0.15"/>
    <n v="0.39877104377104378"/>
    <n v="0"/>
    <n v="28.191228956228954"/>
    <n v="14.095614478114477"/>
    <d v="2025-01-23T00:00:00"/>
    <d v="2025-01-23T00:00:00"/>
    <d v="2025-01-31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2"/>
    <s v="Pedido 584"/>
    <d v="2024-12-16T00:00:00"/>
    <d v="2024-12-16T00:00:00"/>
    <s v="PedidoF571"/>
    <s v="CódRastreio569"/>
    <n v="1"/>
    <s v="CPF 566"/>
    <s v="Nome 566"/>
    <s v="Tel 566"/>
    <s v="Cep 566"/>
    <s v="Rua 566"/>
    <s v="Comp 566"/>
    <x v="10"/>
    <s v="MU-J80P-95WF"/>
    <d v="2025-01-10T00:00:00"/>
    <n v="65.599999999999994"/>
    <n v="65.599999999999994"/>
    <n v="8.5279999999999987"/>
    <n v="57.07"/>
    <n v="19.53"/>
    <n v="0.15"/>
    <n v="0.39877104377104378"/>
    <n v="0"/>
    <n v="36.991228956228952"/>
    <n v="18.495614478114476"/>
    <d v="2025-01-17T00:00:00"/>
    <d v="2025-01-17T00:00:00"/>
    <d v="2025-01-17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3"/>
    <s v="Pedido 585"/>
    <d v="2024-12-17T00:00:00"/>
    <d v="2024-12-17T00:00:00"/>
    <s v="PedidoF572"/>
    <s v="CódRastreio570"/>
    <n v="1"/>
    <s v="CPF 567"/>
    <s v="Nome 567"/>
    <s v="Tel 567"/>
    <s v="Cep 567"/>
    <s v="Rua 567"/>
    <s v="Comp 567"/>
    <x v="10"/>
    <s v="MU-J80P-95WF"/>
    <d v="2025-01-11T00:00:00"/>
    <n v="65.599999999999994"/>
    <n v="65.599999999999994"/>
    <n v="8.5279999999999987"/>
    <n v="57.07"/>
    <n v="17.14"/>
    <n v="0.2"/>
    <n v="0.39877104377104378"/>
    <n v="0"/>
    <n v="39.331228956228955"/>
    <n v="19.665614478114477"/>
    <d v="2025-01-18T00:00:00"/>
    <d v="2025-01-18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3"/>
    <s v="Pedido 586"/>
    <d v="2024-12-17T00:00:00"/>
    <d v="2024-12-17T00:00:00"/>
    <s v="PedidoF573"/>
    <s v="CódRastreio571"/>
    <n v="1"/>
    <s v="CPF 568"/>
    <s v="Nome 568"/>
    <s v="Tel 568"/>
    <s v="Cep 568"/>
    <s v="Rua 568"/>
    <s v="Comp 568"/>
    <x v="10"/>
    <s v="MU-J80P-95WF"/>
    <d v="2025-01-11T00:00:00"/>
    <n v="65.599999999999994"/>
    <n v="65.599999999999994"/>
    <n v="8.5279999999999987"/>
    <n v="57.07"/>
    <n v="17.14"/>
    <n v="0.2"/>
    <n v="0.39877104377104378"/>
    <n v="0"/>
    <n v="39.331228956228955"/>
    <n v="19.665614478114477"/>
    <d v="2025-01-18T00:00:00"/>
    <d v="2025-01-18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3"/>
    <s v="Pedido 587"/>
    <d v="2024-12-17T00:00:00"/>
    <d v="2024-12-17T00:00:00"/>
    <s v="PedidoF574"/>
    <s v="CódRastreio572"/>
    <n v="1"/>
    <s v="CPF 569"/>
    <s v="Nome 569"/>
    <s v="Tel 569"/>
    <s v="Cep 569"/>
    <s v="Rua 569"/>
    <s v="Comp 569"/>
    <x v="10"/>
    <s v="MU-J80P-95WF"/>
    <d v="2025-01-11T00:00:00"/>
    <n v="65.599999999999994"/>
    <n v="65.599999999999994"/>
    <n v="8.5279999999999987"/>
    <n v="57.07"/>
    <n v="17.14"/>
    <n v="0.2"/>
    <n v="0.39877104377104378"/>
    <n v="0"/>
    <n v="39.331228956228955"/>
    <n v="19.665614478114477"/>
    <d v="2025-01-18T00:00:00"/>
    <d v="2025-01-18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5"/>
    <s v="Pedido 588"/>
    <d v="2024-12-19T00:00:00"/>
    <d v="2024-12-19T00:00:00"/>
    <s v="PedidoF575"/>
    <s v="CódRastreio573"/>
    <n v="1"/>
    <s v="CPF 570"/>
    <s v="Nome 570"/>
    <s v="Tel 570"/>
    <s v="Cep 570"/>
    <s v="Rua 570"/>
    <s v="Comp 570"/>
    <x v="10"/>
    <s v="MU-J80P-95WF"/>
    <d v="2025-01-14T00:00:00"/>
    <n v="65.599999999999994"/>
    <n v="65.599999999999994"/>
    <n v="8.5279999999999987"/>
    <n v="57.07"/>
    <n v="17.86"/>
    <n v="0.34"/>
    <n v="0.39877104377104378"/>
    <n v="0"/>
    <n v="38.471228956228956"/>
    <n v="19.235614478114478"/>
    <d v="2025-01-21T00:00:00"/>
    <d v="2025-01-21T00:00:00"/>
    <d v="2025-01-22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5"/>
    <s v="Pedido 589"/>
    <d v="2024-12-19T00:00:00"/>
    <d v="2024-12-19T00:00:00"/>
    <s v="PedidoF576"/>
    <s v="CódRastreio574"/>
    <n v="1"/>
    <s v="CPF 571"/>
    <s v="Nome 571"/>
    <s v="Tel 571"/>
    <s v="Cep 571"/>
    <s v="Rua 571"/>
    <s v="Comp 571"/>
    <x v="13"/>
    <s v="YA-AG3H-SPUK"/>
    <d v="2025-01-18T00:00:00"/>
    <n v="21.99"/>
    <n v="21.99"/>
    <n v="2.6387999999999998"/>
    <n v="19.350000000000001"/>
    <n v="6.99"/>
    <n v="0.34"/>
    <n v="0.39877104377104378"/>
    <n v="0"/>
    <n v="11.621228956228958"/>
    <n v="5.8106144781144788"/>
    <d v="2025-01-25T00:00:00"/>
    <d v="2025-01-25T00:00:00"/>
    <d v="2025-01-31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5"/>
    <s v="Pedido 590"/>
    <d v="2024-12-19T00:00:00"/>
    <d v="2024-12-19T00:00:00"/>
    <s v="PedidoF577"/>
    <s v="CódRastreio575"/>
    <n v="1"/>
    <s v="CPF 572"/>
    <s v="Nome 572"/>
    <s v="Tel 572"/>
    <s v="Cep 572"/>
    <s v="Rua 572"/>
    <s v="Comp 572"/>
    <x v="10"/>
    <s v="MU-J80P-95WF"/>
    <d v="2025-01-14T00:00:00"/>
    <n v="65.599999999999994"/>
    <n v="65.599999999999994"/>
    <n v="8.5279999999999987"/>
    <n v="57.07"/>
    <n v="17.86"/>
    <n v="0.34"/>
    <n v="0.39877104377104378"/>
    <n v="0"/>
    <n v="38.471228956228956"/>
    <n v="19.235614478114478"/>
    <d v="2025-01-21T00:00:00"/>
    <d v="2025-01-21T00:00:00"/>
    <d v="2025-01-22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5"/>
    <s v="Pedido 591"/>
    <d v="2024-12-19T00:00:00"/>
    <d v="2024-12-19T00:00:00"/>
    <s v="PedidoF578"/>
    <s v="CódRastreio576"/>
    <n v="1"/>
    <s v="CPF 573"/>
    <s v="Nome 573"/>
    <s v="Tel 573"/>
    <s v="Cep 573"/>
    <s v="Rua 573"/>
    <s v="Comp 573"/>
    <x v="11"/>
    <s v="BP-NHG2-B8C1"/>
    <d v="2025-01-21T00:00:00"/>
    <n v="74.989999999999995"/>
    <n v="74.989999999999995"/>
    <n v="9.7486999999999995"/>
    <n v="65.239999999999995"/>
    <n v="34.42"/>
    <n v="0.34"/>
    <n v="0.39877104377104378"/>
    <n v="0"/>
    <n v="30.081228956228948"/>
    <n v="15.040614478114474"/>
    <d v="2025-01-28T00:00:00"/>
    <d v="2025-01-28T00:00:00"/>
    <d v="2025-01-31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5"/>
    <s v="Pedido 592"/>
    <d v="2024-12-19T00:00:00"/>
    <d v="2024-12-19T00:00:00"/>
    <s v="PedidoF579"/>
    <s v="CódRastreio577"/>
    <n v="1"/>
    <s v="CPF 574"/>
    <s v="Nome 574"/>
    <s v="Tel 574"/>
    <s v="Cep 574"/>
    <s v="Rua 574"/>
    <s v="Comp 574"/>
    <x v="13"/>
    <s v="YA-AG3H-SPUK"/>
    <d v="2025-01-09T00:00:00"/>
    <n v="21.99"/>
    <n v="21.99"/>
    <n v="2.6387999999999998"/>
    <n v="19.350000000000001"/>
    <n v="6.99"/>
    <n v="0.34"/>
    <n v="0.39877104377104378"/>
    <n v="0"/>
    <n v="11.621228956228958"/>
    <n v="5.8106144781144788"/>
    <d v="2025-01-16T00:00:00"/>
    <d v="2025-01-16T00:00:00"/>
    <d v="2025-01-17T00:00:00"/>
    <d v="2025-02-06T00:00:00"/>
    <s v="2025 01"/>
    <s v="Aguardando Liberação"/>
    <s v="2024 12"/>
    <s v="ENTREGUE"/>
    <d v="2024-12-26T00:00:00"/>
    <s v="-"/>
    <m/>
    <n v="0"/>
    <n v="0"/>
    <n v="0"/>
    <n v="0"/>
    <n v="0"/>
  </r>
  <r>
    <s v="BV"/>
    <s v="BV45645"/>
    <s v="Pedido 593"/>
    <d v="2024-12-19T00:00:00"/>
    <d v="2024-12-19T00:00:00"/>
    <s v="PedidoF580"/>
    <s v="CódRastreio578"/>
    <n v="1"/>
    <s v="CPF 575"/>
    <s v="Nome 575"/>
    <s v="Tel 575"/>
    <s v="Cep 575"/>
    <s v="Rua 575"/>
    <s v="Comp 575"/>
    <x v="13"/>
    <s v="YA-AG3H-SPUK"/>
    <d v="2025-01-15T00:00:00"/>
    <n v="21.99"/>
    <n v="21.99"/>
    <n v="2.6387999999999998"/>
    <n v="19.350000000000001"/>
    <n v="6.99"/>
    <n v="0.34"/>
    <n v="0.39877104377104378"/>
    <n v="0"/>
    <n v="11.621228956228958"/>
    <n v="5.8106144781144788"/>
    <d v="2025-01-22T00:00:00"/>
    <d v="2025-01-22T00:00:00"/>
    <d v="2025-01-22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5"/>
    <s v="Pedido 594"/>
    <d v="2024-12-19T00:00:00"/>
    <d v="2024-12-19T00:00:00"/>
    <s v="PedidoF581"/>
    <s v="CódRastreio579"/>
    <n v="1"/>
    <s v="CPF 576"/>
    <s v="Nome 576"/>
    <s v="Tel 576"/>
    <s v="Cep 576"/>
    <s v="Rua 576"/>
    <s v="Comp 576"/>
    <x v="13"/>
    <s v="YA-AG3H-SPUK"/>
    <d v="2025-01-09T00:00:00"/>
    <n v="21.99"/>
    <n v="21.99"/>
    <n v="2.6387999999999998"/>
    <n v="19.350000000000001"/>
    <n v="6.99"/>
    <n v="0.34"/>
    <n v="0.39877104377104378"/>
    <n v="0"/>
    <n v="11.621228956228958"/>
    <n v="5.8106144781144788"/>
    <d v="2025-01-16T00:00:00"/>
    <d v="2025-01-16T00:00:00"/>
    <d v="2025-01-17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5"/>
    <s v="Pedido 595"/>
    <d v="2024-12-19T00:00:00"/>
    <d v="2024-12-19T00:00:00"/>
    <s v="PedidoF582"/>
    <s v="CódRastreio580"/>
    <n v="1"/>
    <s v="CPF 577"/>
    <s v="Nome 577"/>
    <s v="Tel 577"/>
    <s v="Cep 577"/>
    <s v="Rua 577"/>
    <s v="Comp 577"/>
    <x v="1"/>
    <s v="CK-YL6M-P5Y6"/>
    <d v="2025-01-09T00:00:00"/>
    <n v="33.9"/>
    <n v="33.9"/>
    <n v="4.407"/>
    <n v="29.49"/>
    <n v="6.99"/>
    <n v="0.34"/>
    <n v="0.39877104377104378"/>
    <n v="0"/>
    <n v="21.761228956228955"/>
    <n v="10.880614478114477"/>
    <d v="2025-01-16T00:00:00"/>
    <d v="2025-01-16T00:00:00"/>
    <d v="2025-01-17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7"/>
    <s v="Pedido 596"/>
    <d v="2024-12-21T00:00:00"/>
    <d v="2024-12-21T00:00:00"/>
    <s v="PedidoF583"/>
    <s v="CódRastreio581"/>
    <n v="1"/>
    <s v="CPF 578"/>
    <s v="Nome 578"/>
    <s v="Tel 578"/>
    <s v="Cep 578"/>
    <s v="Rua 578"/>
    <s v="Comp 578"/>
    <x v="12"/>
    <s v="U8-2VWS-OB6M"/>
    <d v="2025-01-22T00:00:00"/>
    <n v="65.599999999999994"/>
    <n v="65.599999999999994"/>
    <n v="8.5279999999999987"/>
    <n v="57.07"/>
    <n v="16.05"/>
    <n v="0.24"/>
    <n v="0.39877104377104378"/>
    <n v="0"/>
    <n v="40.381228956228952"/>
    <n v="20.190614478114476"/>
    <d v="2025-01-29T00:00:00"/>
    <d v="2025-01-29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7"/>
    <s v="Pedido 597"/>
    <d v="2024-12-21T00:00:00"/>
    <d v="2024-12-21T00:00:00"/>
    <s v="PedidoF584"/>
    <s v="CódRastreio582"/>
    <n v="1"/>
    <s v="CPF 579"/>
    <s v="Nome 579"/>
    <s v="Tel 579"/>
    <s v="Cep 579"/>
    <s v="Rua 579"/>
    <s v="Comp 579"/>
    <x v="10"/>
    <s v="MU-J80P-95WF"/>
    <d v="2025-01-29T00:00:00"/>
    <n v="65.599999999999994"/>
    <n v="65.599999999999994"/>
    <n v="8.5279999999999987"/>
    <n v="57.07"/>
    <n v="16.7"/>
    <n v="0.24"/>
    <n v="0.39877104377104378"/>
    <n v="0"/>
    <n v="39.731228956228961"/>
    <n v="19.86561447811448"/>
    <d v="2025-02-05T00:00:00"/>
    <d v="2025-02-05T00:00:00"/>
    <d v="2025-02-05T00:00:00"/>
    <d v="2025-02-17T00:00:00"/>
    <s v="2025 02"/>
    <s v="Aguardando Liberação"/>
    <s v="2024 12"/>
    <s v="ENTREGUE"/>
    <d v="2025-02-04T00:00:00"/>
    <s v="-"/>
    <m/>
    <n v="0"/>
    <n v="0"/>
    <n v="0"/>
    <n v="0"/>
    <n v="0"/>
  </r>
  <r>
    <s v="BV"/>
    <s v="BV45647"/>
    <s v="Pedido 598"/>
    <d v="2024-12-21T00:00:00"/>
    <d v="2024-12-21T00:00:00"/>
    <s v="PedidoF585"/>
    <s v="CódRastreio583"/>
    <n v="1"/>
    <s v="CPF 580"/>
    <s v="Nome 580"/>
    <s v="Tel 580"/>
    <s v="Cep 580"/>
    <s v="Rua 580"/>
    <s v="Comp 580"/>
    <x v="18"/>
    <s v="FK-T01D-KZC5"/>
    <d v="2025-01-16T00:00:00"/>
    <n v="21.99"/>
    <n v="21.99"/>
    <n v="2.8586999999999998"/>
    <n v="19.13"/>
    <n v="6.99"/>
    <n v="0.24"/>
    <n v="0.39877104377104378"/>
    <n v="0"/>
    <n v="11.501228956228955"/>
    <n v="5.7506144781144775"/>
    <d v="2025-01-23T00:00:00"/>
    <d v="2025-01-23T00:00:00"/>
    <d v="2025-01-31T00:00:00"/>
    <d v="2025-02-06T00:00:00"/>
    <s v="2025 01"/>
    <s v="Aguardando Liberação"/>
    <s v="2024 12"/>
    <s v="ENTREGUE"/>
    <d v="2025-01-02T00:00:00"/>
    <s v="-"/>
    <m/>
    <n v="0"/>
    <n v="0"/>
    <n v="0"/>
    <n v="0"/>
    <n v="0"/>
  </r>
  <r>
    <s v="BV"/>
    <s v="BV45647"/>
    <s v="Pedido 599"/>
    <d v="2024-12-21T00:00:00"/>
    <d v="2024-12-21T00:00:00"/>
    <s v="PedidoF586"/>
    <s v="CódRastreio584"/>
    <n v="1"/>
    <s v="CPF 581"/>
    <s v="Nome 581"/>
    <s v="Tel 581"/>
    <s v="Cep 581"/>
    <s v="Rua 581"/>
    <s v="Comp 581"/>
    <x v="13"/>
    <s v="YA-AG3H-SPUK"/>
    <d v="2025-01-16T00:00:00"/>
    <n v="21.99"/>
    <n v="21.99"/>
    <n v="2.6387999999999998"/>
    <n v="19.350000000000001"/>
    <n v="6.99"/>
    <n v="0.24"/>
    <n v="0.39877104377104378"/>
    <n v="0"/>
    <n v="11.721228956228957"/>
    <n v="5.8606144781144787"/>
    <d v="2025-01-23T00:00:00"/>
    <d v="2025-01-23T00:00:00"/>
    <d v="2025-01-31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7"/>
    <s v="Pedido 600"/>
    <d v="2024-12-21T00:00:00"/>
    <d v="2024-12-21T00:00:00"/>
    <s v="PedidoF587"/>
    <s v="CódRastreio585"/>
    <n v="1"/>
    <s v="CPF 582"/>
    <s v="Nome 582"/>
    <s v="Tel 582"/>
    <s v="Cep 582"/>
    <s v="Rua 582"/>
    <s v="Comp 582"/>
    <x v="13"/>
    <s v="YA-AG3H-SPUK"/>
    <d v="2025-01-16T00:00:00"/>
    <n v="21.99"/>
    <n v="21.99"/>
    <n v="2.6387999999999998"/>
    <n v="19.350000000000001"/>
    <n v="6.99"/>
    <n v="0.24"/>
    <n v="0.39877104377104378"/>
    <n v="0"/>
    <n v="11.721228956228957"/>
    <n v="5.8606144781144787"/>
    <d v="2025-01-23T00:00:00"/>
    <d v="2025-01-23T00:00:00"/>
    <d v="2025-01-31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48"/>
    <s v="Pedido 601"/>
    <d v="2024-12-22T00:00:00"/>
    <d v="2024-12-22T00:00:00"/>
    <s v="PedidoF588"/>
    <s v="CódRastreio586"/>
    <n v="1"/>
    <s v="CPF 583"/>
    <s v="Nome 583"/>
    <s v="Tel 583"/>
    <s v="Cep 583"/>
    <s v="Rua 583"/>
    <s v="Comp 583"/>
    <x v="3"/>
    <s v="IF-G2ZQ-79FO"/>
    <d v="2025-01-22T00:00:00"/>
    <n v="49.4"/>
    <n v="49.4"/>
    <n v="6.4219999999999997"/>
    <n v="42.98"/>
    <n v="16.05"/>
    <n v="0.3"/>
    <n v="0.39877104377104378"/>
    <n v="0"/>
    <n v="26.23122895622895"/>
    <n v="13.115614478114475"/>
    <d v="2025-01-29T00:00:00"/>
    <d v="2025-01-29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8"/>
    <s v="Pedido 602"/>
    <d v="2024-12-22T00:00:00"/>
    <d v="2024-12-22T00:00:00"/>
    <s v="PedidoF589"/>
    <s v="CódRastreio587"/>
    <n v="1"/>
    <s v="CPF 584"/>
    <s v="Nome 584"/>
    <s v="Tel 584"/>
    <s v="Cep 584"/>
    <s v="Rua 584"/>
    <s v="Comp 584"/>
    <x v="3"/>
    <s v="IF-G2ZQ-79FO"/>
    <d v="2025-01-22T00:00:00"/>
    <n v="49.4"/>
    <n v="49.4"/>
    <n v="6.4219999999999997"/>
    <n v="42.98"/>
    <n v="16.05"/>
    <n v="0.3"/>
    <n v="0.39877104377104378"/>
    <n v="0"/>
    <n v="26.23122895622895"/>
    <n v="13.115614478114475"/>
    <d v="2025-01-29T00:00:00"/>
    <d v="2025-01-29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3"/>
    <s v="Pedido 603"/>
    <d v="2024-12-27T00:00:00"/>
    <d v="2024-12-27T00:00:00"/>
    <s v="PedidoF590"/>
    <s v="CódRastreio588"/>
    <n v="1"/>
    <s v="CPF 585"/>
    <s v="Nome 585"/>
    <s v="Tel 585"/>
    <s v="Cep 585"/>
    <s v="Rua 585"/>
    <s v="Comp 585"/>
    <x v="10"/>
    <s v="MU-J80P-95WF"/>
    <d v="2025-01-16T00:00:00"/>
    <n v="65.599999999999994"/>
    <n v="65.599999999999994"/>
    <n v="8.5279999999999987"/>
    <n v="57.07"/>
    <n v="17.399999999999999"/>
    <n v="0.25"/>
    <n v="0.39877104377104378"/>
    <n v="0"/>
    <n v="39.021228956228953"/>
    <n v="19.510614478114476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-"/>
    <s v="Pedido 604"/>
    <d v="2024-12-01T00:00:00"/>
    <s v="-"/>
    <s v="-"/>
    <s v="-"/>
    <n v="1"/>
    <s v="CPF 586"/>
    <s v="Nome 586"/>
    <s v="Tel 586"/>
    <s v="Cep 586"/>
    <s v="Rua 586"/>
    <s v="Comp 586"/>
    <x v="12"/>
    <s v="U8-2VWS-OB6M"/>
    <d v="2025-01-22T00:00:00"/>
    <n v="65.599999999999994"/>
    <n v="65.599999999999994"/>
    <n v="8.5279999999999987"/>
    <n v="57.07"/>
    <n v="0"/>
    <n v="0"/>
    <n v="0"/>
    <n v="0"/>
    <n v="57.07"/>
    <n v="28.535"/>
    <d v="2025-01-29T00:00:00"/>
    <d v="2025-01-29T00:00:00"/>
    <d v="2025-01-31T00:00:00"/>
    <d v="2025-02-06T00:00:00"/>
    <s v="2025 01"/>
    <s v="Aguardando Liberação"/>
    <s v="- -"/>
    <s v="-"/>
    <s v="-"/>
    <s v="-"/>
    <m/>
    <n v="1.49"/>
    <n v="0"/>
    <n v="0"/>
    <n v="0"/>
    <n v="1.49"/>
  </r>
  <r>
    <s v="BV"/>
    <s v="BV-"/>
    <s v="Pedido 604"/>
    <d v="2024-12-01T00:00:00"/>
    <s v="-"/>
    <s v="-"/>
    <s v="-"/>
    <n v="1"/>
    <s v="CPF 586"/>
    <s v="Nome 586"/>
    <s v="Tel 586"/>
    <s v="Cep 586"/>
    <s v="Rua 586"/>
    <s v="Comp 586"/>
    <x v="3"/>
    <s v="IF-G2ZQ-79FO"/>
    <d v="2025-01-22T00:00:00"/>
    <n v="49.4"/>
    <n v="49.4"/>
    <n v="6.4219999999999997"/>
    <n v="42.98"/>
    <n v="0"/>
    <n v="0"/>
    <n v="0"/>
    <n v="0"/>
    <n v="42.98"/>
    <n v="21.49"/>
    <d v="2025-01-29T00:00:00"/>
    <d v="2025-01-29T00:00:00"/>
    <d v="2025-01-31T00:00:00"/>
    <d v="2025-02-06T00:00:00"/>
    <s v="2025 01"/>
    <s v="Aguardando Liberação"/>
    <s v="- -"/>
    <s v="-"/>
    <s v="-"/>
    <s v="-"/>
    <m/>
    <n v="1.5"/>
    <n v="0"/>
    <n v="0"/>
    <n v="0"/>
    <n v="1.5"/>
  </r>
  <r>
    <s v="BV"/>
    <s v="BV45648"/>
    <s v="Pedido 605"/>
    <d v="2024-12-22T00:00:00"/>
    <d v="2024-12-22T00:00:00"/>
    <s v="PedidoF591"/>
    <s v="CódRastreio589"/>
    <n v="1"/>
    <s v="CPF 481"/>
    <s v="Nome 481"/>
    <s v="Tel 481"/>
    <s v="Cep 481"/>
    <s v="Rua 481"/>
    <s v="Comp 481"/>
    <x v="10"/>
    <s v="MU-J80P-95WF"/>
    <d v="2025-01-16T00:00:00"/>
    <n v="65.599999999999994"/>
    <n v="65.599999999999994"/>
    <n v="8.5279999999999987"/>
    <n v="57.07"/>
    <n v="16.7"/>
    <n v="0.3"/>
    <n v="0.39877104377104378"/>
    <n v="0"/>
    <n v="39.671228956228958"/>
    <n v="19.835614478114479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8"/>
    <s v="Pedido 606"/>
    <d v="2024-12-22T00:00:00"/>
    <d v="2024-12-22T00:00:00"/>
    <s v="PedidoF592"/>
    <s v="CódRastreio590"/>
    <n v="1"/>
    <s v="CPF 587"/>
    <s v="Nome 587"/>
    <s v="Tel 587"/>
    <s v="Cep 587"/>
    <s v="Rua 587"/>
    <s v="Comp 587"/>
    <x v="3"/>
    <s v="IF-G2ZQ-79FO"/>
    <d v="2025-01-16T00:00:00"/>
    <n v="49.4"/>
    <n v="49.4"/>
    <n v="6.4219999999999997"/>
    <n v="42.98"/>
    <n v="16.05"/>
    <n v="0.3"/>
    <n v="0.39877104377104378"/>
    <n v="0"/>
    <n v="26.23122895622895"/>
    <n v="13.115614478114475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8"/>
    <s v="Pedido 607"/>
    <d v="2024-12-22T00:00:00"/>
    <d v="2024-12-22T00:00:00"/>
    <s v="PedidoF593"/>
    <s v="CódRastreio591"/>
    <n v="1"/>
    <s v="CPF 588"/>
    <s v="Nome 588"/>
    <s v="Tel 588"/>
    <s v="Cep 588"/>
    <s v="Rua 588"/>
    <s v="Comp 588"/>
    <x v="6"/>
    <s v="KN-TBQL-K2MM"/>
    <d v="2025-01-16T00:00:00"/>
    <n v="24.8"/>
    <n v="24.8"/>
    <n v="3.2240000000000002"/>
    <n v="21.58"/>
    <n v="9.1999999999999993"/>
    <n v="0.3"/>
    <n v="0.39877104377104378"/>
    <n v="0"/>
    <n v="11.681228956228955"/>
    <n v="5.8406144781144773"/>
    <d v="2025-01-23T00:00:00"/>
    <d v="2025-01-23T00:00:00"/>
    <d v="2025-01-31T00:00:00"/>
    <d v="2025-02-06T00:00:00"/>
    <s v="2025 01"/>
    <s v="Aguardando Liberação"/>
    <s v="2024 12"/>
    <s v="ENTREGUE"/>
    <d v="2024-12-30T00:00:00"/>
    <s v="-"/>
    <m/>
    <n v="0"/>
    <n v="0"/>
    <n v="0"/>
    <n v="0"/>
    <n v="0"/>
  </r>
  <r>
    <s v="BV"/>
    <s v="BV45648"/>
    <s v="Pedido 608"/>
    <d v="2024-12-22T00:00:00"/>
    <d v="2024-12-22T00:00:00"/>
    <s v="PedidoF594"/>
    <s v="CódRastreio592"/>
    <n v="1"/>
    <s v="CPF 589"/>
    <s v="Nome 589"/>
    <s v="Tel 589"/>
    <s v="Cep 589"/>
    <s v="Rua 589"/>
    <s v="Comp 589"/>
    <x v="3"/>
    <s v="IF-G2ZQ-79FO"/>
    <d v="2025-01-16T00:00:00"/>
    <n v="49.4"/>
    <n v="49.4"/>
    <n v="6.4219999999999997"/>
    <n v="42.98"/>
    <n v="16.05"/>
    <n v="0.3"/>
    <n v="0.39877104377104378"/>
    <n v="0"/>
    <n v="26.23122895622895"/>
    <n v="13.115614478114475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48"/>
    <s v="Pedido 609"/>
    <d v="2024-12-22T00:00:00"/>
    <d v="2024-12-22T00:00:00"/>
    <s v="PedidoF595"/>
    <s v="CódRastreio593"/>
    <n v="1"/>
    <s v="CPF 590"/>
    <s v="Nome 590"/>
    <s v="Tel 590"/>
    <s v="Cep 590"/>
    <s v="Rua 590"/>
    <s v="Comp 590"/>
    <x v="10"/>
    <s v="MU-J80P-95WF"/>
    <d v="2025-01-16T00:00:00"/>
    <n v="65.599999999999994"/>
    <n v="65.599999999999994"/>
    <n v="8.5279999999999987"/>
    <n v="57.07"/>
    <n v="16.7"/>
    <n v="0.3"/>
    <n v="0.39877104377104378"/>
    <n v="0"/>
    <n v="39.671228956228958"/>
    <n v="19.835614478114479"/>
    <d v="2025-01-23T00:00:00"/>
    <d v="2025-01-23T00:00:00"/>
    <d v="2025-01-31T00:00:00"/>
    <d v="2025-02-0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-"/>
    <s v="Pedido 610"/>
    <d v="2024-12-01T00:00:00"/>
    <s v="-"/>
    <s v="-"/>
    <s v="-"/>
    <n v="1"/>
    <s v="CPF 591"/>
    <s v="Nome 591"/>
    <s v="Tel 591"/>
    <s v="Cep 591"/>
    <s v="Rua 591"/>
    <s v="Comp 591"/>
    <x v="1"/>
    <s v="CK-YL6M-P5Y6"/>
    <d v="2025-01-10T00:00:00"/>
    <n v="33.9"/>
    <n v="33.9"/>
    <n v="4.407"/>
    <n v="29.49"/>
    <n v="0"/>
    <n v="0"/>
    <n v="0"/>
    <n v="0"/>
    <n v="29.49"/>
    <n v="14.744999999999999"/>
    <d v="2025-01-17T00:00:00"/>
    <d v="2025-01-17T00:00:00"/>
    <d v="2025-01-17T00:00:00"/>
    <d v="2025-02-06T00:00:00"/>
    <s v="2025 01"/>
    <s v="Aguardando Liberação"/>
    <s v="- -"/>
    <s v="-"/>
    <s v="-"/>
    <s v="-"/>
    <m/>
    <n v="0.95"/>
    <n v="0"/>
    <n v="0"/>
    <n v="0"/>
    <n v="0.95"/>
  </r>
  <r>
    <s v="BV"/>
    <s v="BV45648"/>
    <s v="Pedido 611"/>
    <d v="2024-12-22T00:00:00"/>
    <d v="2024-12-22T00:00:00"/>
    <s v="PedidoF596"/>
    <s v="CódRastreio594"/>
    <n v="1"/>
    <s v="CPF 592"/>
    <s v="Nome 592"/>
    <s v="Tel 592"/>
    <s v="Cep 592"/>
    <s v="Rua 592"/>
    <s v="Comp 592"/>
    <x v="10"/>
    <s v="MU-J80P-95WF"/>
    <d v="2025-01-29T00:00:00"/>
    <n v="65.599999999999994"/>
    <n v="65.599999999999994"/>
    <n v="8.5279999999999987"/>
    <n v="57.07"/>
    <n v="16.7"/>
    <n v="0.3"/>
    <n v="0.39877104377104378"/>
    <n v="0"/>
    <n v="39.671228956228958"/>
    <n v="19.835614478114479"/>
    <d v="2025-02-05T00:00:00"/>
    <d v="2025-02-05T00:00:00"/>
    <d v="2025-02-05T00:00:00"/>
    <d v="2025-02-17T00:00:00"/>
    <s v="2025 02"/>
    <s v="Aguardando Liberação"/>
    <s v="2024 12"/>
    <s v="ENTREGUE"/>
    <d v="2025-01-29T00:00:00"/>
    <s v="-"/>
    <m/>
    <n v="0"/>
    <n v="0"/>
    <n v="0"/>
    <n v="0"/>
    <n v="0"/>
  </r>
  <r>
    <s v="BV"/>
    <s v="BV45652"/>
    <s v="Pedido 612"/>
    <d v="2024-12-26T00:00:00"/>
    <d v="2024-12-26T00:00:00"/>
    <s v="PedidoF597"/>
    <s v="CódRastreio595"/>
    <n v="1"/>
    <s v="CPF 593"/>
    <s v="Nome 593"/>
    <s v="Tel 593"/>
    <s v="Cep 593"/>
    <s v="Rua 593"/>
    <s v="Comp 593"/>
    <x v="3"/>
    <s v="IF-G2ZQ-79FO"/>
    <d v="2025-01-29T00:00:00"/>
    <n v="49.4"/>
    <n v="49.4"/>
    <n v="6.4219999999999997"/>
    <n v="42.98"/>
    <n v="16.64"/>
    <n v="0.17"/>
    <n v="0.39877104377104378"/>
    <n v="0"/>
    <n v="25.771228956228949"/>
    <n v="12.885614478114475"/>
    <d v="2025-02-05T00:00:00"/>
    <d v="2025-02-05T00:00:00"/>
    <d v="2025-02-05T00:00:00"/>
    <d v="2025-02-17T00:00:00"/>
    <s v="2025 02"/>
    <s v="Aguardando Liberação"/>
    <s v="2024 12"/>
    <s v="ENTREGUE"/>
    <d v="2025-01-14T00:00:00"/>
    <s v="-"/>
    <m/>
    <n v="0"/>
    <n v="0"/>
    <n v="0"/>
    <n v="0"/>
    <n v="0"/>
  </r>
  <r>
    <s v="BV"/>
    <s v="BV45652"/>
    <s v="Pedido 613"/>
    <d v="2024-12-26T00:00:00"/>
    <d v="2024-12-26T00:00:00"/>
    <s v="PedidoF598"/>
    <s v="CódRastreio596"/>
    <n v="1"/>
    <s v="CPF 594"/>
    <s v="Nome 594"/>
    <s v="Tel 594"/>
    <s v="Cep 594"/>
    <s v="Rua 594"/>
    <s v="Comp 594"/>
    <x v="10"/>
    <s v="MU-J80P-95WF"/>
    <d v="2025-01-29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2-05T00:00:00"/>
    <d v="2025-02-05T00:00:00"/>
    <d v="2025-02-05T00:00:00"/>
    <d v="2025-02-17T00:00:00"/>
    <s v="2025 02"/>
    <s v="Aguardando Liberação"/>
    <s v="2024 12"/>
    <s v="ENTREGUE"/>
    <d v="2025-01-15T00:00:00"/>
    <s v="-"/>
    <m/>
    <n v="0"/>
    <n v="0"/>
    <n v="0"/>
    <n v="0"/>
    <n v="0"/>
  </r>
  <r>
    <s v="BV"/>
    <s v="BV45652"/>
    <s v="Pedido 614"/>
    <d v="2024-12-26T00:00:00"/>
    <d v="2024-12-26T00:00:00"/>
    <s v="PedidoF599"/>
    <s v="CódRastreio597"/>
    <n v="1"/>
    <s v="CPF 595"/>
    <s v="Nome 595"/>
    <s v="Tel 595"/>
    <s v="Cep 595"/>
    <s v="Rua 595"/>
    <s v="Comp 595"/>
    <x v="6"/>
    <s v="KN-TBQL-K2MM"/>
    <d v="2025-01-10T00:00:00"/>
    <n v="24.8"/>
    <n v="24.8"/>
    <n v="3.2240000000000002"/>
    <n v="21.58"/>
    <n v="11.9"/>
    <n v="0.17"/>
    <n v="0.39877104377104378"/>
    <n v="0"/>
    <n v="9.1112289562289543"/>
    <n v="4.5556144781144772"/>
    <d v="2025-01-17T00:00:00"/>
    <d v="2025-01-17T00:00:00"/>
    <d v="2025-01-17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52"/>
    <s v="Pedido 615"/>
    <d v="2024-12-26T00:00:00"/>
    <d v="2024-12-26T00:00:00"/>
    <s v="PedidoF600"/>
    <s v="CódRastreio598"/>
    <n v="1"/>
    <s v="CPF 596"/>
    <s v="Nome 596"/>
    <s v="Tel 596"/>
    <s v="Cep 596"/>
    <s v="Rua 596"/>
    <s v="Comp 596"/>
    <x v="3"/>
    <s v="IF-G2ZQ-79FO"/>
    <d v="2025-01-16T00:00:00"/>
    <n v="49.4"/>
    <n v="49.4"/>
    <n v="6.4219999999999997"/>
    <n v="42.98"/>
    <n v="16.64"/>
    <n v="0.17"/>
    <n v="0.39877104377104378"/>
    <n v="0"/>
    <n v="25.771228956228949"/>
    <n v="12.885614478114475"/>
    <d v="2025-01-23T00:00:00"/>
    <d v="2025-01-23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2"/>
    <s v="Pedido 616"/>
    <d v="2024-12-26T00:00:00"/>
    <d v="2024-12-26T00:00:00"/>
    <s v="PedidoF601"/>
    <s v="CódRastreio599"/>
    <n v="1"/>
    <s v="CPF 419"/>
    <s v="Nome 419"/>
    <s v="Tel 419"/>
    <s v="Cep 419"/>
    <s v="Rua 419"/>
    <s v="Comp 419"/>
    <x v="10"/>
    <s v="MU-J80P-95WF"/>
    <d v="2025-01-23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1-30T00:00:00"/>
    <d v="2025-01-30T00:00:00"/>
    <d v="2025-01-31T00:00:00"/>
    <d v="2025-02-06T00:00:00"/>
    <s v="2025 01"/>
    <s v="Aguardando Liberação"/>
    <s v="2024 12"/>
    <s v="ENTREGUE"/>
    <d v="2025-01-11T00:00:00"/>
    <s v="-"/>
    <m/>
    <n v="0"/>
    <n v="0"/>
    <n v="0"/>
    <n v="0"/>
    <n v="0"/>
  </r>
  <r>
    <s v="BV"/>
    <s v="BV45652"/>
    <s v="Pedido 617"/>
    <d v="2024-12-26T00:00:00"/>
    <d v="2024-12-26T00:00:00"/>
    <s v="PedidoF602"/>
    <s v="CódRastreio600"/>
    <n v="1"/>
    <s v="CPF 597"/>
    <s v="Nome 597"/>
    <s v="Tel 597"/>
    <s v="Cep 597"/>
    <s v="Rua 597"/>
    <s v="Comp 597"/>
    <x v="10"/>
    <s v="MU-J80P-95WF"/>
    <d v="2025-01-23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1-30T00:00:00"/>
    <d v="2025-01-30T00:00:00"/>
    <d v="2025-01-31T00:00:00"/>
    <d v="2025-02-06T00:00:00"/>
    <s v="2025 01"/>
    <s v="Aguardando Liberação"/>
    <s v="2024 12"/>
    <s v="ENTREGUE"/>
    <d v="2025-01-13T00:00:00"/>
    <s v="-"/>
    <m/>
    <n v="0"/>
    <n v="0"/>
    <n v="0"/>
    <n v="0"/>
    <n v="0"/>
  </r>
  <r>
    <s v="BV"/>
    <s v="BV45652"/>
    <s v="Pedido 618"/>
    <d v="2024-12-26T00:00:00"/>
    <d v="2024-12-26T00:00:00"/>
    <s v="PedidoF603"/>
    <s v="CódRastreio601"/>
    <n v="1"/>
    <s v="CPF 598"/>
    <s v="Nome 598"/>
    <s v="Tel 598"/>
    <s v="Cep 598"/>
    <s v="Rua 598"/>
    <s v="Comp 598"/>
    <x v="3"/>
    <s v="IF-G2ZQ-79FO"/>
    <d v="2025-01-23T00:00:00"/>
    <n v="49.4"/>
    <n v="49.4"/>
    <n v="6.4219999999999997"/>
    <n v="42.98"/>
    <n v="16.64"/>
    <n v="0.17"/>
    <n v="0.39877104377104378"/>
    <n v="0"/>
    <n v="25.771228956228949"/>
    <n v="12.885614478114475"/>
    <d v="2025-01-30T00:00:00"/>
    <d v="2025-01-30T00:00:00"/>
    <d v="2025-01-31T00:00:00"/>
    <d v="2025-02-06T00:00:00"/>
    <s v="2025 01"/>
    <s v="Aguardando Liberação"/>
    <s v="2024 12"/>
    <s v="ENTREGUE"/>
    <d v="2025-01-11T00:00:00"/>
    <s v="-"/>
    <m/>
    <n v="0"/>
    <n v="0"/>
    <n v="0"/>
    <n v="0"/>
    <n v="0"/>
  </r>
  <r>
    <s v="BV"/>
    <s v="BV45652"/>
    <s v="Pedido 619"/>
    <d v="2024-12-26T00:00:00"/>
    <d v="2024-12-26T00:00:00"/>
    <s v="PedidoF604"/>
    <s v="CódRastreio602"/>
    <n v="1"/>
    <s v="CPF 599"/>
    <s v="Nome 599"/>
    <s v="Tel 599"/>
    <s v="Cep 599"/>
    <s v="Rua 599"/>
    <s v="Comp 599"/>
    <x v="10"/>
    <s v="MU-J80P-95WF"/>
    <d v="2025-01-17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1-24T00:00:00"/>
    <d v="2025-01-24T00:00:00"/>
    <d v="2025-01-31T00:00:00"/>
    <d v="2025-02-0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52"/>
    <s v="Pedido 620"/>
    <d v="2024-12-26T00:00:00"/>
    <d v="2024-12-26T00:00:00"/>
    <s v="PedidoF605"/>
    <s v="CódRastreio603"/>
    <n v="1"/>
    <s v="CPF 600"/>
    <s v="Nome 600"/>
    <s v="Tel 600"/>
    <s v="Cep 600"/>
    <s v="Rua 600"/>
    <s v="Comp 600"/>
    <x v="10"/>
    <s v="MU-J80P-95WF"/>
    <d v="2025-01-30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2-06T00:00:00"/>
    <d v="2025-02-06T00:00:00"/>
    <d v="2025-02-06T00:00:00"/>
    <d v="2025-02-17T00:00:00"/>
    <s v="2025 02"/>
    <s v="Aguardando Liberação"/>
    <s v="2024 12"/>
    <s v="ENTREGUE"/>
    <d v="2025-01-15T00:00:00"/>
    <s v="-"/>
    <m/>
    <n v="0"/>
    <n v="0"/>
    <n v="0"/>
    <n v="0"/>
    <n v="0"/>
  </r>
  <r>
    <s v="BV"/>
    <s v="BV45652"/>
    <s v="Pedido 621"/>
    <d v="2024-12-26T00:00:00"/>
    <d v="2024-12-26T00:00:00"/>
    <s v="PedidoF606"/>
    <s v="CódRastreio604"/>
    <n v="1"/>
    <s v="CPF 601"/>
    <s v="Nome 601"/>
    <s v="Tel 601"/>
    <s v="Cep 601"/>
    <s v="Rua 601"/>
    <s v="Comp 601"/>
    <x v="3"/>
    <s v="IF-G2ZQ-79FO"/>
    <d v="2025-01-23T00:00:00"/>
    <n v="49.4"/>
    <n v="49.4"/>
    <n v="6.4219999999999997"/>
    <n v="42.98"/>
    <n v="16.64"/>
    <n v="0.17"/>
    <n v="0.39877104377104378"/>
    <n v="0"/>
    <n v="25.771228956228949"/>
    <n v="12.885614478114475"/>
    <d v="2025-01-30T00:00:00"/>
    <d v="2025-01-30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2"/>
    <s v="Pedido 622"/>
    <d v="2024-12-26T00:00:00"/>
    <d v="2024-12-26T00:00:00"/>
    <s v="PedidoF607"/>
    <s v="CódRastreio605"/>
    <n v="1"/>
    <s v="CPF 602"/>
    <s v="Nome 602"/>
    <s v="Tel 602"/>
    <s v="Cep 602"/>
    <s v="Rua 602"/>
    <s v="Comp 602"/>
    <x v="10"/>
    <s v="MU-J80P-95WF"/>
    <d v="2025-01-17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1-24T00:00:00"/>
    <d v="2025-01-24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2"/>
    <s v="Pedido 623"/>
    <d v="2024-12-26T00:00:00"/>
    <d v="2024-12-26T00:00:00"/>
    <s v="PedidoF608"/>
    <s v="CódRastreio606"/>
    <n v="1"/>
    <s v="CPF 603"/>
    <s v="Nome 603"/>
    <s v="Tel 603"/>
    <s v="Cep 603"/>
    <s v="Rua 603"/>
    <s v="Comp 603"/>
    <x v="3"/>
    <s v="IF-G2ZQ-79FO"/>
    <d v="2025-01-23T00:00:00"/>
    <n v="49.4"/>
    <n v="49.4"/>
    <n v="6.4219999999999997"/>
    <n v="42.98"/>
    <n v="16.64"/>
    <n v="0.17"/>
    <n v="0.39877104377104378"/>
    <n v="0"/>
    <n v="25.771228956228949"/>
    <n v="12.885614478114475"/>
    <d v="2025-01-30T00:00:00"/>
    <d v="2025-01-30T00:00:00"/>
    <d v="2025-01-31T00:00:00"/>
    <d v="2025-02-06T00:00:00"/>
    <s v="2025 01"/>
    <s v="Aguardando Liberação"/>
    <s v="2024 12"/>
    <s v="ENTREGUE"/>
    <d v="2025-01-13T00:00:00"/>
    <s v="-"/>
    <m/>
    <n v="0"/>
    <n v="0"/>
    <n v="0"/>
    <n v="0"/>
    <n v="0"/>
  </r>
  <r>
    <s v="BV"/>
    <s v="BV45652"/>
    <s v="Pedido 624"/>
    <d v="2024-12-26T00:00:00"/>
    <d v="2024-12-26T00:00:00"/>
    <s v="PedidoF609"/>
    <s v="CódRastreio607"/>
    <n v="1"/>
    <s v="CPF 604"/>
    <s v="Nome 604"/>
    <s v="Tel 604"/>
    <s v="Cep 604"/>
    <s v="Rua 604"/>
    <s v="Comp 604"/>
    <x v="10"/>
    <s v="MU-J80P-95WF"/>
    <d v="2025-01-30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d v="2025-02-06T00:00:00"/>
    <d v="2025-02-06T00:00:00"/>
    <d v="2025-02-06T00:00:00"/>
    <d v="2025-02-17T00:00:00"/>
    <s v="2025 02"/>
    <s v="Aguardando Liberação"/>
    <s v="2024 12"/>
    <s v="ENTREGUE"/>
    <d v="2025-01-10T00:00:00"/>
    <s v="-"/>
    <m/>
    <n v="0"/>
    <n v="0"/>
    <n v="0"/>
    <n v="0"/>
    <n v="0"/>
  </r>
  <r>
    <s v="BV"/>
    <s v="BV-"/>
    <s v="Pedido 625"/>
    <d v="2024-12-01T00:00:00"/>
    <s v="-"/>
    <s v="-"/>
    <s v="-"/>
    <n v="1"/>
    <s v="CPF 605"/>
    <s v="Nome 605"/>
    <s v="Tel 605"/>
    <s v="Cep 605"/>
    <s v="Rua 605"/>
    <s v="Comp 605"/>
    <x v="6"/>
    <s v="KN-TBQL-K2MM"/>
    <d v="2025-01-17T00:00:00"/>
    <n v="24.8"/>
    <n v="24.8"/>
    <n v="3.2240000000000002"/>
    <n v="21.58"/>
    <n v="0"/>
    <n v="0"/>
    <n v="0"/>
    <n v="0"/>
    <n v="21.58"/>
    <n v="10.79"/>
    <d v="2025-01-24T00:00:00"/>
    <d v="2025-01-24T00:00:00"/>
    <d v="2025-01-31T00:00:00"/>
    <d v="2025-02-06T00:00:00"/>
    <s v="2025 01"/>
    <s v="Aguardando Liberação"/>
    <s v="- -"/>
    <s v="-"/>
    <s v="-"/>
    <s v="-"/>
    <m/>
    <n v="0.64"/>
    <n v="0"/>
    <n v="0"/>
    <n v="0"/>
    <n v="0.64"/>
  </r>
  <r>
    <s v="BV"/>
    <s v="BV45652"/>
    <s v="Pedido 626"/>
    <d v="2024-12-26T00:00:00"/>
    <d v="2024-12-26T00:00:00"/>
    <s v="PedidoF610"/>
    <s v="CódRastreio608"/>
    <n v="1"/>
    <s v="CPF 606"/>
    <s v="Nome 606"/>
    <s v="Tel 606"/>
    <s v="Cep 606"/>
    <s v="Rua 606"/>
    <s v="Comp 606"/>
    <x v="3"/>
    <s v="IF-G2ZQ-79FO"/>
    <d v="2025-01-17T00:00:00"/>
    <n v="49.4"/>
    <n v="49.4"/>
    <n v="6.4219999999999997"/>
    <n v="42.98"/>
    <n v="16.64"/>
    <n v="0.17"/>
    <n v="0.39877104377104378"/>
    <n v="0"/>
    <n v="25.771228956228949"/>
    <n v="12.885614478114475"/>
    <d v="2025-01-24T00:00:00"/>
    <d v="2025-01-24T00:00:00"/>
    <d v="2025-01-31T00:00:00"/>
    <d v="2025-02-0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52"/>
    <s v="Pedido 627"/>
    <d v="2024-12-26T00:00:00"/>
    <d v="2024-12-26T00:00:00"/>
    <s v="PedidoF611"/>
    <s v="CódRastreio609"/>
    <n v="1"/>
    <s v="CPF 607"/>
    <s v="Nome 607"/>
    <s v="Tel 607"/>
    <s v="Cep 607"/>
    <s v="Rua 607"/>
    <s v="Comp 607"/>
    <x v="3"/>
    <s v="IF-G2ZQ-79FO"/>
    <d v="2025-01-17T00:00:00"/>
    <n v="49.4"/>
    <n v="49.4"/>
    <n v="6.4219999999999997"/>
    <n v="42.98"/>
    <n v="16.64"/>
    <n v="0.17"/>
    <n v="0.39877104377104378"/>
    <n v="0"/>
    <n v="25.771228956228949"/>
    <n v="12.885614478114475"/>
    <d v="2025-01-24T00:00:00"/>
    <d v="2025-01-24T00:00:00"/>
    <d v="2025-01-31T00:00:00"/>
    <d v="2025-02-0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52"/>
    <s v="Pedido 628"/>
    <d v="2024-12-26T00:00:00"/>
    <d v="2024-12-26T00:00:00"/>
    <s v="PedidoF612"/>
    <s v="CódRastreio610"/>
    <n v="1"/>
    <s v="CPF 608"/>
    <s v="Nome 608"/>
    <s v="Tel 608"/>
    <s v="Cep 608"/>
    <s v="Rua 608"/>
    <s v="Comp 608"/>
    <x v="6"/>
    <s v="KN-TBQL-K2MM"/>
    <d v="2025-01-14T00:00:00"/>
    <n v="24.8"/>
    <n v="24.8"/>
    <n v="3.2240000000000002"/>
    <n v="21.58"/>
    <n v="11.9"/>
    <n v="0.17"/>
    <n v="0.39877104377104378"/>
    <n v="0"/>
    <n v="9.1112289562289543"/>
    <n v="4.5556144781144772"/>
    <d v="2025-01-21T00:00:00"/>
    <d v="2025-01-21T00:00:00"/>
    <d v="2025-01-22T00:00:00"/>
    <d v="2025-02-06T00:00:00"/>
    <s v="2025 01"/>
    <s v="Aguardando Liberação"/>
    <s v="2024 12"/>
    <s v="ENTREGUE"/>
    <d v="2025-01-03T00:00:00"/>
    <s v="-"/>
    <m/>
    <n v="0"/>
    <n v="0"/>
    <n v="0"/>
    <n v="0"/>
    <n v="0"/>
  </r>
  <r>
    <s v="BV"/>
    <s v="BV45652"/>
    <s v="Pedido 629"/>
    <d v="2024-12-26T00:00:00"/>
    <d v="2024-12-26T00:00:00"/>
    <s v="PedidoF613"/>
    <s v="CódRastreio611"/>
    <n v="1"/>
    <s v="CPF 609"/>
    <s v="Nome 609"/>
    <s v="Tel 609"/>
    <s v="Cep 609"/>
    <s v="Rua 609"/>
    <s v="Comp 609"/>
    <x v="3"/>
    <s v="IF-G2ZQ-79FO"/>
    <d v="2025-01-24T00:00:00"/>
    <n v="49.4"/>
    <n v="49.4"/>
    <n v="6.4219999999999997"/>
    <n v="42.98"/>
    <n v="16.64"/>
    <n v="0.17"/>
    <n v="0.39877104377104378"/>
    <n v="0"/>
    <n v="25.771228956228949"/>
    <n v="12.885614478114475"/>
    <d v="2025-01-31T00:00:00"/>
    <d v="2025-01-31T00:00:00"/>
    <d v="2025-01-31T00:00:00"/>
    <d v="2025-02-06T00:00:00"/>
    <s v="2025 01"/>
    <s v="Aguardando Liberação"/>
    <s v="2024 12"/>
    <s v="ENTREGUE"/>
    <d v="2025-01-13T00:00:00"/>
    <s v="-"/>
    <m/>
    <n v="0"/>
    <n v="0"/>
    <n v="0"/>
    <n v="0"/>
    <n v="0"/>
  </r>
  <r>
    <s v="BV"/>
    <s v="BV45652"/>
    <s v="Pedido 630"/>
    <d v="2024-12-26T00:00:00"/>
    <d v="2024-12-26T00:00:00"/>
    <s v="PedidoF614"/>
    <s v="CódRastreio612"/>
    <n v="1"/>
    <s v="CPF 610"/>
    <s v="Nome 610"/>
    <s v="Tel 610"/>
    <s v="Cep 610"/>
    <s v="Rua 610"/>
    <s v="Comp 610"/>
    <x v="12"/>
    <s v="U8-2VWS-OB6M"/>
    <d v="2025-01-18T00:00:00"/>
    <n v="65.599999999999994"/>
    <n v="65.599999999999994"/>
    <n v="8.5279999999999987"/>
    <n v="57.07"/>
    <n v="16.64"/>
    <n v="0.17"/>
    <n v="0.39877104377104378"/>
    <n v="0"/>
    <n v="39.861228956228956"/>
    <n v="19.930614478114478"/>
    <d v="2025-01-25T00:00:00"/>
    <d v="2025-01-25T00:00:00"/>
    <d v="2025-01-31T00:00:00"/>
    <d v="2025-02-06T00:00:00"/>
    <s v="2025 01"/>
    <s v="Aguardando Liberação"/>
    <s v="2024 12"/>
    <s v="ENTREGUE"/>
    <d v="2025-01-11T00:00:00"/>
    <s v="-"/>
    <m/>
    <n v="0"/>
    <n v="0"/>
    <n v="0"/>
    <n v="0"/>
    <n v="0"/>
  </r>
  <r>
    <s v="BV"/>
    <s v="BV45653"/>
    <s v="Pedido 631"/>
    <d v="2024-12-27T00:00:00"/>
    <d v="2024-12-27T00:00:00"/>
    <s v="PedidoF615"/>
    <s v="CódRastreio613"/>
    <n v="1"/>
    <s v="CPF 611"/>
    <s v="Nome 611"/>
    <s v="Tel 611"/>
    <s v="Cep 611"/>
    <s v="Rua 611"/>
    <s v="Comp 611"/>
    <x v="6"/>
    <s v="KN-TBQL-K2MM"/>
    <d v="2025-01-18T00:00:00"/>
    <n v="24.8"/>
    <n v="24.8"/>
    <n v="3.2240000000000002"/>
    <n v="21.58"/>
    <n v="11.9"/>
    <n v="0.25"/>
    <n v="0.39877104377104378"/>
    <n v="0"/>
    <n v="9.0312289562289543"/>
    <n v="4.5156144781144771"/>
    <d v="2025-01-25T00:00:00"/>
    <d v="2025-01-25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2"/>
    <s v="Pedido 632"/>
    <d v="2024-12-26T00:00:00"/>
    <d v="2024-12-26T00:00:00"/>
    <s v="PedidoF616"/>
    <s v="CódRastreio614"/>
    <n v="1"/>
    <s v="CPF 612"/>
    <s v="Nome 612"/>
    <s v="Tel 612"/>
    <s v="Cep 612"/>
    <s v="Rua 612"/>
    <s v="Comp 612"/>
    <x v="3"/>
    <s v="IF-G2ZQ-79FO"/>
    <d v="2025-01-31T00:00:00"/>
    <n v="49.4"/>
    <n v="49.4"/>
    <n v="6.4219999999999997"/>
    <n v="42.98"/>
    <n v="16.64"/>
    <n v="0.17"/>
    <n v="0.39877104377104378"/>
    <n v="0"/>
    <n v="25.771228956228949"/>
    <n v="12.885614478114475"/>
    <d v="2025-02-07T00:00:00"/>
    <d v="2025-02-07T00:00:00"/>
    <d v="2025-02-11T00:00:00"/>
    <d v="2025-02-17T00:00:00"/>
    <s v="2025 02"/>
    <s v="Aguardando Liberação"/>
    <s v="2024 12"/>
    <s v="ENTREGUE"/>
    <d v="2025-01-17T00:00:00"/>
    <s v="-"/>
    <m/>
    <n v="0"/>
    <n v="0"/>
    <n v="0"/>
    <n v="0"/>
    <n v="0"/>
  </r>
  <r>
    <s v="BV"/>
    <s v="BV45652"/>
    <s v="Pedido 633"/>
    <d v="2024-12-26T00:00:00"/>
    <d v="2024-12-26T00:00:00"/>
    <s v="PedidoF617"/>
    <s v="CódRastreio615"/>
    <n v="1"/>
    <s v="CPF 613"/>
    <s v="Nome 613"/>
    <s v="Tel 613"/>
    <s v="Cep 613"/>
    <s v="Rua 613"/>
    <s v="Comp 613"/>
    <x v="3"/>
    <s v="IF-G2ZQ-79FO"/>
    <d v="2025-01-24T00:00:00"/>
    <n v="49.4"/>
    <n v="49.4"/>
    <n v="6.4219999999999997"/>
    <n v="42.98"/>
    <n v="16.64"/>
    <n v="0.17"/>
    <n v="0.39877104377104378"/>
    <n v="0"/>
    <n v="25.771228956228949"/>
    <n v="12.885614478114475"/>
    <d v="2025-01-31T00:00:00"/>
    <d v="2025-01-31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2"/>
    <s v="Pedido 634"/>
    <d v="2024-12-26T00:00:00"/>
    <d v="2024-12-26T00:00:00"/>
    <s v="PedidoF618"/>
    <s v="CódRastreio616"/>
    <n v="1"/>
    <s v="CPF 614"/>
    <s v="Nome 614"/>
    <s v="Tel 614"/>
    <s v="Cep 614"/>
    <s v="Rua 614"/>
    <s v="Comp 614"/>
    <x v="12"/>
    <s v="U8-2VWS-OB6M"/>
    <d v="2025-01-24T00:00:00"/>
    <n v="65.599999999999994"/>
    <n v="65.599999999999994"/>
    <n v="8.5279999999999987"/>
    <n v="57.07"/>
    <n v="16.64"/>
    <n v="0.17"/>
    <n v="0.39877104377104378"/>
    <n v="0"/>
    <n v="39.861228956228956"/>
    <n v="19.930614478114478"/>
    <d v="2025-01-31T00:00:00"/>
    <d v="2025-01-31T00:00:00"/>
    <d v="2025-01-31T00:00:00"/>
    <d v="2025-02-06T00:00:00"/>
    <s v="2025 01"/>
    <s v="Aguardando Liberação"/>
    <s v="2024 12"/>
    <s v="ENTREGUE"/>
    <d v="2025-01-10T00:00:00"/>
    <s v="-"/>
    <m/>
    <n v="0"/>
    <n v="0"/>
    <n v="0"/>
    <n v="0"/>
    <n v="0"/>
  </r>
  <r>
    <s v="BV"/>
    <s v="BV45653"/>
    <s v="Pedido 635"/>
    <d v="2024-12-27T00:00:00"/>
    <d v="2024-12-27T00:00:00"/>
    <s v="PedidoF619"/>
    <s v="CódRastreio617"/>
    <n v="1"/>
    <s v="CPF 615"/>
    <s v="Nome 615"/>
    <s v="Tel 615"/>
    <s v="Cep 615"/>
    <s v="Rua 615"/>
    <s v="Comp 615"/>
    <x v="10"/>
    <s v="MU-J80P-95WF"/>
    <d v="2025-01-24T00:00:00"/>
    <n v="65.599999999999994"/>
    <n v="65.599999999999994"/>
    <n v="8.5279999999999987"/>
    <n v="57.07"/>
    <n v="17.399999999999999"/>
    <n v="0.25"/>
    <n v="0.39877104377104378"/>
    <n v="0"/>
    <n v="39.021228956228953"/>
    <n v="19.510614478114476"/>
    <d v="2025-01-31T00:00:00"/>
    <d v="2025-01-31T00:00:00"/>
    <d v="2025-01-31T00:00:00"/>
    <d v="2025-02-06T00:00:00"/>
    <s v="2025 01"/>
    <s v="Aguardando Liberação"/>
    <s v="2024 12"/>
    <s v="ENTREGUE"/>
    <d v="2025-01-13T00:00:00"/>
    <s v="-"/>
    <m/>
    <n v="0"/>
    <n v="0"/>
    <n v="0"/>
    <n v="0"/>
    <n v="0"/>
  </r>
  <r>
    <s v="BV"/>
    <s v="BV45653"/>
    <s v="Pedido 636"/>
    <d v="2024-12-27T00:00:00"/>
    <d v="2024-12-27T00:00:00"/>
    <s v="PedidoF620"/>
    <s v="CódRastreio618"/>
    <n v="1"/>
    <s v="CPF 616"/>
    <s v="Nome 616"/>
    <s v="Tel 616"/>
    <s v="Cep 616"/>
    <s v="Rua 616"/>
    <s v="Comp 616"/>
    <x v="13"/>
    <s v="YA-AG3H-SPUK"/>
    <d v="2025-01-25T00:00:00"/>
    <n v="21.99"/>
    <n v="21.99"/>
    <n v="2.6387999999999998"/>
    <n v="19.350000000000001"/>
    <n v="6.99"/>
    <n v="0.25"/>
    <n v="0.39877104377104378"/>
    <n v="0"/>
    <n v="11.711228956228958"/>
    <n v="5.8556144781144788"/>
    <d v="2025-02-01T00:00:00"/>
    <d v="2025-02-01T00:00:00"/>
    <d v="2025-02-05T00:00:00"/>
    <d v="2025-02-17T00:00:00"/>
    <s v="2025 02"/>
    <s v="Aguardando Liberação"/>
    <s v="2024 12"/>
    <s v="ENTREGUE"/>
    <d v="2025-01-08T00:00:00"/>
    <s v="-"/>
    <m/>
    <n v="0"/>
    <n v="0"/>
    <n v="0"/>
    <n v="0"/>
    <n v="0"/>
  </r>
  <r>
    <s v="BV"/>
    <s v="BV45653"/>
    <s v="Pedido 637"/>
    <d v="2024-12-27T00:00:00"/>
    <d v="2024-12-27T00:00:00"/>
    <s v="PedidoF621"/>
    <s v="CódRastreio619"/>
    <n v="1"/>
    <s v="CPF 617"/>
    <s v="Nome 617"/>
    <s v="Tel 617"/>
    <s v="Cep 617"/>
    <s v="Rua 617"/>
    <s v="Comp 617"/>
    <x v="3"/>
    <s v="IF-G2ZQ-79FO"/>
    <d v="2025-01-25T00:00:00"/>
    <n v="49.4"/>
    <n v="49.4"/>
    <n v="6.4219999999999997"/>
    <n v="42.98"/>
    <n v="16.809999999999999"/>
    <n v="0.25"/>
    <n v="0.39877104377104378"/>
    <n v="0"/>
    <n v="25.521228956228953"/>
    <n v="12.760614478114476"/>
    <d v="2025-02-01T00:00:00"/>
    <d v="2025-02-01T00:00:00"/>
    <d v="2025-02-05T00:00:00"/>
    <d v="2025-02-17T00:00:00"/>
    <s v="2025 02"/>
    <s v="Aguardando Liberação"/>
    <s v="2024 12"/>
    <s v="ENTREGUE"/>
    <d v="2025-01-08T00:00:00"/>
    <s v="-"/>
    <m/>
    <n v="0"/>
    <n v="0"/>
    <n v="0"/>
    <n v="0"/>
    <n v="0"/>
  </r>
  <r>
    <s v="BV"/>
    <s v="BV45653"/>
    <s v="Pedido 638"/>
    <d v="2024-12-27T00:00:00"/>
    <d v="2024-12-27T00:00:00"/>
    <s v="PedidoF622"/>
    <s v="CódRastreio620"/>
    <n v="1"/>
    <s v="CPF 618"/>
    <s v="Nome 618"/>
    <s v="Tel 618"/>
    <s v="Cep 618"/>
    <s v="Rua 618"/>
    <s v="Comp 618"/>
    <x v="3"/>
    <s v="IF-G2ZQ-79FO"/>
    <d v="2025-01-25T00:00:00"/>
    <n v="49.4"/>
    <n v="49.4"/>
    <n v="6.4219999999999997"/>
    <n v="42.98"/>
    <n v="16.809999999999999"/>
    <n v="0.25"/>
    <n v="0.39877104377104378"/>
    <n v="0"/>
    <n v="25.521228956228953"/>
    <n v="12.760614478114476"/>
    <d v="2025-02-01T00:00:00"/>
    <d v="2025-02-01T00:00:00"/>
    <d v="2025-02-05T00:00:00"/>
    <d v="2025-02-17T00:00:00"/>
    <s v="2025 02"/>
    <s v="Aguardando Liberação"/>
    <s v="2024 12"/>
    <s v="ENTREGUE"/>
    <d v="2025-01-08T00:00:00"/>
    <s v="-"/>
    <m/>
    <n v="0"/>
    <n v="0"/>
    <n v="0"/>
    <n v="0"/>
    <n v="0"/>
  </r>
  <r>
    <s v="BV"/>
    <s v="BV45653"/>
    <s v="Pedido 639"/>
    <d v="2024-12-27T00:00:00"/>
    <d v="2024-12-27T00:00:00"/>
    <s v="PedidoF623"/>
    <s v="CódRastreio621"/>
    <n v="1"/>
    <s v="CPF 619"/>
    <s v="Nome 619"/>
    <s v="Tel 619"/>
    <s v="Cep 619"/>
    <s v="Rua 619"/>
    <s v="Comp 619"/>
    <x v="13"/>
    <s v="YA-AG3H-SPUK"/>
    <d v="2025-01-25T00:00:00"/>
    <n v="21.99"/>
    <n v="21.99"/>
    <n v="2.6387999999999998"/>
    <n v="19.350000000000001"/>
    <n v="6.99"/>
    <n v="0.25"/>
    <n v="0.39877104377104378"/>
    <n v="0"/>
    <n v="11.711228956228958"/>
    <n v="5.8556144781144788"/>
    <d v="2025-02-01T00:00:00"/>
    <d v="2025-02-01T00:00:00"/>
    <d v="2025-02-05T00:00:00"/>
    <d v="2025-02-17T00:00:00"/>
    <s v="2025 02"/>
    <s v="Aguardando Liberação"/>
    <s v="2024 12"/>
    <s v="ENTREGUE"/>
    <d v="2025-01-15T00:00:00"/>
    <s v="-"/>
    <m/>
    <n v="0"/>
    <n v="0"/>
    <n v="0"/>
    <n v="0"/>
    <n v="0"/>
  </r>
  <r>
    <s v="BV"/>
    <s v="BV45653"/>
    <s v="Pedido 640"/>
    <d v="2024-12-27T00:00:00"/>
    <d v="2024-12-27T00:00:00"/>
    <s v="PedidoF624"/>
    <s v="CódRastreio622"/>
    <n v="1"/>
    <s v="CPF 620"/>
    <s v="Nome 620"/>
    <s v="Tel 620"/>
    <s v="Cep 620"/>
    <s v="Rua 620"/>
    <s v="Comp 620"/>
    <x v="1"/>
    <s v="CK-YL6M-P5Y6"/>
    <d v="2025-01-17T00:00:00"/>
    <n v="33.9"/>
    <n v="33.9"/>
    <n v="4.407"/>
    <n v="29.49"/>
    <n v="15.99"/>
    <n v="0.25"/>
    <n v="0.39877104377104378"/>
    <n v="0"/>
    <n v="12.851228956228951"/>
    <n v="6.4256144781144755"/>
    <d v="2025-01-24T00:00:00"/>
    <d v="2025-01-24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-"/>
    <s v="Pedido 641"/>
    <d v="2024-12-01T00:00:00"/>
    <s v="-"/>
    <s v="-"/>
    <s v="-"/>
    <n v="1"/>
    <s v="CPF 621"/>
    <s v="Nome 621"/>
    <s v="Tel 621"/>
    <s v="Cep 621"/>
    <s v="Rua 621"/>
    <s v="Comp 621"/>
    <x v="3"/>
    <s v="IF-G2ZQ-79FO"/>
    <d v="2025-01-25T00:00:00"/>
    <n v="49.4"/>
    <n v="49.4"/>
    <n v="6.4219999999999997"/>
    <n v="42.98"/>
    <n v="0"/>
    <n v="0"/>
    <n v="0"/>
    <n v="0"/>
    <n v="42.98"/>
    <n v="21.49"/>
    <d v="2025-02-01T00:00:00"/>
    <d v="2025-02-01T00:00:00"/>
    <d v="2025-02-05T00:00:00"/>
    <d v="2025-02-17T00:00:00"/>
    <s v="2025 02"/>
    <s v="Aguardando Liberação"/>
    <s v="- -"/>
    <s v="-"/>
    <s v="-"/>
    <s v="-"/>
    <m/>
    <n v="1.28"/>
    <n v="0"/>
    <n v="0"/>
    <n v="0"/>
    <n v="1.28"/>
  </r>
  <r>
    <s v="BV"/>
    <s v="BV45656"/>
    <s v="Pedido 642"/>
    <d v="2024-12-30T00:00:00"/>
    <d v="2024-12-30T00:00:00"/>
    <s v="PedidoF625"/>
    <s v="CódRastreio623"/>
    <n v="1"/>
    <s v="CPF 622"/>
    <s v="Nome 622"/>
    <s v="Tel 622"/>
    <s v="Cep 622"/>
    <s v="Rua 622"/>
    <s v="Comp 622"/>
    <x v="10"/>
    <s v="MU-J80P-95WF"/>
    <d v="2025-01-25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d v="2025-02-01T00:00:00"/>
    <d v="2025-02-01T00:00:00"/>
    <d v="2025-02-05T00:00:00"/>
    <d v="2025-02-17T00:00:00"/>
    <s v="2025 02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43"/>
    <d v="2024-12-30T00:00:00"/>
    <d v="2024-12-30T00:00:00"/>
    <s v="PedidoF626"/>
    <s v="CódRastreio624"/>
    <n v="1"/>
    <s v="CPF 623"/>
    <s v="Nome 623"/>
    <s v="Tel 623"/>
    <s v="Cep 623"/>
    <s v="Rua 623"/>
    <s v="Comp 623"/>
    <x v="8"/>
    <s v="FM-QQ8Y-RZT4"/>
    <d v="2025-01-25T00:00:00"/>
    <n v="34.9"/>
    <n v="34.9"/>
    <n v="4.5369999999999999"/>
    <n v="30.36"/>
    <n v="15.97"/>
    <n v="0.24"/>
    <n v="0.39877104377104378"/>
    <n v="0"/>
    <n v="13.751228956228953"/>
    <n v="6.8756144781144766"/>
    <d v="2025-02-01T00:00:00"/>
    <d v="2025-02-01T00:00:00"/>
    <d v="2025-02-05T00:00:00"/>
    <d v="2025-02-17T00:00:00"/>
    <s v="2025 02"/>
    <s v="Aguardando Liberação"/>
    <s v="2024 12"/>
    <s v="ENTREGUE"/>
    <d v="2025-01-10T00:00:00"/>
    <s v="-"/>
    <m/>
    <n v="0"/>
    <n v="0"/>
    <n v="0"/>
    <n v="0"/>
    <n v="0"/>
  </r>
  <r>
    <s v="BV"/>
    <s v="BV45656"/>
    <s v="Pedido 644"/>
    <d v="2024-12-30T00:00:00"/>
    <d v="2024-12-30T00:00:00"/>
    <s v="PedidoF627"/>
    <s v="CódRastreio625"/>
    <n v="1"/>
    <s v="CPF 624"/>
    <s v="Nome 624"/>
    <s v="Tel 624"/>
    <s v="Cep 624"/>
    <s v="Rua 624"/>
    <s v="Comp 624"/>
    <x v="13"/>
    <s v="YA-AG3H-SPUK"/>
    <d v="2025-01-25T00:00:00"/>
    <n v="21.99"/>
    <n v="21.99"/>
    <n v="2.6387999999999998"/>
    <n v="19.350000000000001"/>
    <n v="6.99"/>
    <n v="0.24"/>
    <n v="0.39877104377104378"/>
    <n v="0"/>
    <n v="11.721228956228957"/>
    <n v="5.8606144781144787"/>
    <d v="2025-02-01T00:00:00"/>
    <d v="2025-02-01T00:00:00"/>
    <d v="2025-02-05T00:00:00"/>
    <d v="2025-02-17T00:00:00"/>
    <s v="2025 02"/>
    <s v="Aguardando Liberação"/>
    <s v="2024 12"/>
    <s v="ENTREGUE"/>
    <d v="2025-01-16T00:00:00"/>
    <s v="-"/>
    <m/>
    <n v="0"/>
    <n v="0"/>
    <n v="0"/>
    <n v="0"/>
    <n v="0"/>
  </r>
  <r>
    <s v="BV"/>
    <s v="BV45659"/>
    <s v="Pedido 645"/>
    <d v="2025-01-02T00:00:00"/>
    <d v="2025-01-02T00:00:00"/>
    <s v="PedidoF628"/>
    <s v="CódRastreio626"/>
    <n v="1"/>
    <s v="CPF 625"/>
    <s v="Nome 625"/>
    <s v="Tel 625"/>
    <s v="Cep 625"/>
    <s v="Rua 625"/>
    <s v="Comp 625"/>
    <x v="6"/>
    <s v="KN-TBQL-K2MM"/>
    <d v="2025-01-17T00:00:00"/>
    <n v="27.99"/>
    <n v="27.99"/>
    <n v="3.6387"/>
    <n v="24.35"/>
    <n v="0"/>
    <n v="0.16"/>
    <n v="0.39877104377104378"/>
    <n v="0"/>
    <n v="23.791228956228956"/>
    <n v="11.895614478114478"/>
    <d v="2025-01-24T00:00:00"/>
    <d v="2025-01-24T00:00:00"/>
    <d v="2025-01-31T00:00:00"/>
    <d v="2025-02-06T00:00:00"/>
    <s v="2025 01"/>
    <s v="Aguardando Liberação"/>
    <s v="2025 01"/>
    <s v="ENTREGUE"/>
    <d v="2025-01-08T00:00:00"/>
    <s v="-"/>
    <m/>
    <n v="0.73"/>
    <n v="0"/>
    <n v="0"/>
    <n v="0"/>
    <n v="0.73"/>
  </r>
  <r>
    <s v="BV"/>
    <s v="BV45659"/>
    <s v="Pedido 646"/>
    <d v="2025-01-02T00:00:00"/>
    <d v="2025-01-02T00:00:00"/>
    <s v="PedidoF629"/>
    <s v="CódRastreio627"/>
    <n v="1"/>
    <s v="CPF 626"/>
    <s v="Nome 626"/>
    <s v="Tel 626"/>
    <s v="Cep 626"/>
    <s v="Rua 626"/>
    <s v="Comp 626"/>
    <x v="13"/>
    <s v="YA-AG3H-SPUK"/>
    <d v="2025-01-21T00:00:00"/>
    <n v="21.99"/>
    <n v="21.99"/>
    <n v="2.6387999999999998"/>
    <n v="19.350000000000001"/>
    <n v="6.99"/>
    <n v="0.16"/>
    <n v="0.39877104377104378"/>
    <n v="0"/>
    <n v="11.801228956228957"/>
    <n v="5.9006144781144787"/>
    <d v="2025-01-28T00:00:00"/>
    <d v="2025-01-28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56"/>
    <s v="Pedido 647"/>
    <d v="2024-12-30T00:00:00"/>
    <d v="2024-12-30T00:00:00"/>
    <s v="PedidoF630"/>
    <s v="CódRastreio628"/>
    <n v="1"/>
    <s v="CPF 627"/>
    <s v="Nome 627"/>
    <s v="Tel 627"/>
    <s v="Cep 627"/>
    <s v="Rua 627"/>
    <s v="Comp 627"/>
    <x v="10"/>
    <s v="MU-J80P-95WF"/>
    <d v="2025-01-21T00:00:00"/>
    <n v="65.599999999999994"/>
    <n v="65.599999999999994"/>
    <n v="8.5279999999999987"/>
    <n v="57.07"/>
    <n v="19.100000000000001"/>
    <n v="0.24"/>
    <n v="0.39877104377104378"/>
    <n v="0"/>
    <n v="37.331228956228955"/>
    <n v="18.665614478114477"/>
    <d v="2025-01-28T00:00:00"/>
    <d v="2025-01-28T00:00:00"/>
    <d v="2025-01-31T00:00:00"/>
    <d v="2025-02-06T00:00:00"/>
    <s v="2025 01"/>
    <s v="Aguardando Liberação"/>
    <s v="2024 12"/>
    <s v="ENTREGUE"/>
    <d v="2025-01-14T00:00:00"/>
    <s v="-"/>
    <m/>
    <n v="0"/>
    <n v="0"/>
    <n v="0"/>
    <n v="0"/>
    <n v="0"/>
  </r>
  <r>
    <s v="BV"/>
    <s v="BV45659"/>
    <s v="Pedido 648"/>
    <d v="2025-01-02T00:00:00"/>
    <d v="2025-01-02T00:00:00"/>
    <s v="PedidoF631"/>
    <s v="CódRastreio629"/>
    <n v="1"/>
    <s v="CPF 628"/>
    <s v="Nome 628"/>
    <s v="Tel 628"/>
    <s v="Cep 628"/>
    <s v="Rua 628"/>
    <s v="Comp 628"/>
    <x v="13"/>
    <s v="YA-AG3H-SPUK"/>
    <d v="2025-01-21T00:00:00"/>
    <n v="21.99"/>
    <n v="21.99"/>
    <n v="2.6387999999999998"/>
    <n v="19.350000000000001"/>
    <n v="6.99"/>
    <n v="0.16"/>
    <n v="0.39877104377104378"/>
    <n v="0"/>
    <n v="11.801228956228957"/>
    <n v="5.9006144781144787"/>
    <d v="2025-01-28T00:00:00"/>
    <d v="2025-01-28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56"/>
    <s v="Pedido 649"/>
    <d v="2024-12-30T00:00:00"/>
    <d v="2024-12-30T00:00:00"/>
    <s v="PedidoF632"/>
    <s v="CódRastreio630"/>
    <n v="1"/>
    <s v="CPF 629"/>
    <s v="Nome 629"/>
    <s v="Tel 629"/>
    <s v="Cep 629"/>
    <s v="Rua 629"/>
    <s v="Comp 629"/>
    <x v="3"/>
    <s v="IF-G2ZQ-79FO"/>
    <d v="2025-01-21T00:00:00"/>
    <n v="49.4"/>
    <n v="49.4"/>
    <n v="6.4219999999999997"/>
    <n v="42.98"/>
    <n v="18.510000000000002"/>
    <n v="0.24"/>
    <n v="0.39877104377104378"/>
    <n v="0"/>
    <n v="23.831228956228951"/>
    <n v="11.915614478114476"/>
    <d v="2025-01-28T00:00:00"/>
    <d v="2025-01-28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50"/>
    <d v="2024-12-30T00:00:00"/>
    <d v="2024-12-30T00:00:00"/>
    <s v="PedidoF633"/>
    <s v="CódRastreio631"/>
    <n v="1"/>
    <s v="CPF 630"/>
    <s v="Nome 630"/>
    <s v="Tel 630"/>
    <s v="Cep 630"/>
    <s v="Rua 630"/>
    <s v="Comp 630"/>
    <x v="10"/>
    <s v="MU-J80P-95WF"/>
    <d v="2025-01-21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d v="2025-01-28T00:00:00"/>
    <d v="2025-01-28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51"/>
    <d v="2024-12-30T00:00:00"/>
    <d v="2024-12-30T00:00:00"/>
    <s v="PedidoF634"/>
    <s v="CódRastreio632"/>
    <n v="1"/>
    <s v="CPF 631"/>
    <s v="Nome 631"/>
    <s v="Tel 631"/>
    <s v="Cep 631"/>
    <s v="Rua 631"/>
    <s v="Comp 631"/>
    <x v="12"/>
    <s v="U8-2VWS-OB6M"/>
    <d v="2025-01-25T00:00:00"/>
    <n v="64.989999999999995"/>
    <n v="64.989999999999995"/>
    <n v="8.4486999999999988"/>
    <n v="56.54"/>
    <n v="18.510000000000002"/>
    <n v="0.24"/>
    <n v="0.39877104377104378"/>
    <n v="0"/>
    <n v="37.391228956228957"/>
    <n v="18.695614478114479"/>
    <d v="2025-02-01T00:00:00"/>
    <d v="2025-02-01T00:00:00"/>
    <d v="2025-02-05T00:00:00"/>
    <d v="2025-02-17T00:00:00"/>
    <s v="2025 02"/>
    <s v="Aguardando Liberação"/>
    <s v="2024 12"/>
    <s v="ENTREGUE"/>
    <d v="2025-01-10T00:00:00"/>
    <s v="-"/>
    <m/>
    <n v="0"/>
    <n v="0"/>
    <n v="0"/>
    <n v="0"/>
    <n v="0"/>
  </r>
  <r>
    <s v="BV"/>
    <s v="BV45656"/>
    <s v="Pedido 652"/>
    <d v="2024-12-30T00:00:00"/>
    <d v="2024-12-30T00:00:00"/>
    <s v="PedidoF635"/>
    <s v="CódRastreio633"/>
    <n v="1"/>
    <s v="CPF 632"/>
    <s v="Nome 632"/>
    <s v="Tel 632"/>
    <s v="Cep 632"/>
    <s v="Rua 632"/>
    <s v="Comp 632"/>
    <x v="10"/>
    <s v="MU-J80P-95WF"/>
    <d v="2025-01-21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d v="2025-01-28T00:00:00"/>
    <d v="2025-01-28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53"/>
    <d v="2024-12-30T00:00:00"/>
    <d v="2024-12-30T00:00:00"/>
    <s v="PedidoF636"/>
    <s v="CódRastreio634"/>
    <n v="1"/>
    <s v="CPF 633"/>
    <s v="Nome 633"/>
    <s v="Tel 633"/>
    <s v="Cep 633"/>
    <s v="Rua 633"/>
    <s v="Comp 633"/>
    <x v="3"/>
    <s v="IF-G2ZQ-79FO"/>
    <d v="2025-01-25T00:00:00"/>
    <n v="49.4"/>
    <n v="49.4"/>
    <n v="6.4219999999999997"/>
    <n v="42.98"/>
    <n v="18.510000000000002"/>
    <n v="0.24"/>
    <n v="0.39877104377104378"/>
    <n v="0"/>
    <n v="23.831228956228951"/>
    <n v="11.915614478114476"/>
    <d v="2025-02-01T00:00:00"/>
    <d v="2025-02-01T00:00:00"/>
    <d v="2025-02-05T00:00:00"/>
    <d v="2025-02-17T00:00:00"/>
    <s v="2025 02"/>
    <s v="Aguardando Liberação"/>
    <s v="2024 12"/>
    <s v="ENTREGUE"/>
    <d v="2025-01-10T00:00:00"/>
    <s v="-"/>
    <m/>
    <n v="0"/>
    <n v="0"/>
    <n v="0"/>
    <n v="0"/>
    <n v="0"/>
  </r>
  <r>
    <s v="BV"/>
    <s v="BV-"/>
    <s v="Pedido 654"/>
    <d v="2024-12-01T00:00:00"/>
    <s v="-"/>
    <s v="-"/>
    <s v="-"/>
    <n v="1"/>
    <s v="CPF 634"/>
    <s v="Nome 634"/>
    <s v="Tel 634"/>
    <s v="Cep 634"/>
    <s v="Rua 634"/>
    <s v="Comp 634"/>
    <x v="19"/>
    <s v="08-PAJ9-YM9P"/>
    <d v="2025-01-25T00:00:00"/>
    <n v="62.9"/>
    <n v="62.9"/>
    <n v="9.4349999999999987"/>
    <n v="53.47"/>
    <n v="0"/>
    <n v="0"/>
    <n v="0"/>
    <n v="0"/>
    <n v="53.47"/>
    <n v="26.734999999999999"/>
    <d v="2025-02-01T00:00:00"/>
    <d v="2025-02-01T00:00:00"/>
    <d v="2025-02-05T00:00:00"/>
    <d v="2025-02-17T00:00:00"/>
    <s v="2025 02"/>
    <s v="Aguardando Liberação"/>
    <s v="- -"/>
    <s v="-"/>
    <s v="-"/>
    <s v="-"/>
    <m/>
    <n v="0"/>
    <n v="0"/>
    <n v="0"/>
    <n v="0"/>
    <n v="0"/>
  </r>
  <r>
    <s v="BV"/>
    <s v="BV45656"/>
    <s v="Pedido 655"/>
    <d v="2024-12-30T00:00:00"/>
    <d v="2024-12-30T00:00:00"/>
    <s v="PedidoF637"/>
    <s v="CódRastreio635"/>
    <n v="1"/>
    <s v="CPF 635"/>
    <s v="Nome 635"/>
    <s v="Tel 635"/>
    <s v="Cep 635"/>
    <s v="Rua 635"/>
    <s v="Comp 635"/>
    <x v="3"/>
    <s v="IF-G2ZQ-79FO"/>
    <d v="2025-01-25T00:00:00"/>
    <n v="49.4"/>
    <n v="49.4"/>
    <n v="6.4219999999999997"/>
    <n v="42.98"/>
    <n v="18.510000000000002"/>
    <n v="0.24"/>
    <n v="0.39877104377104378"/>
    <n v="0"/>
    <n v="23.831228956228951"/>
    <n v="11.915614478114476"/>
    <d v="2025-02-01T00:00:00"/>
    <d v="2025-02-01T00:00:00"/>
    <d v="2025-02-05T00:00:00"/>
    <d v="2025-02-17T00:00:00"/>
    <s v="2025 02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56"/>
    <d v="2024-12-30T00:00:00"/>
    <d v="2024-12-30T00:00:00"/>
    <s v="PedidoF638"/>
    <s v="CódRastreio636"/>
    <n v="1"/>
    <s v="CPF 636"/>
    <s v="Nome 636"/>
    <s v="Tel 636"/>
    <s v="Cep 636"/>
    <s v="Rua 636"/>
    <s v="Comp 636"/>
    <x v="10"/>
    <s v="MU-J80P-95WF"/>
    <d v="2025-01-22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d v="2025-01-29T00:00:00"/>
    <d v="2025-01-29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57"/>
    <d v="2024-12-30T00:00:00"/>
    <d v="2024-12-30T00:00:00"/>
    <s v="PedidoF639"/>
    <s v="CódRastreio637"/>
    <n v="1"/>
    <s v="CPF 637"/>
    <s v="Nome 637"/>
    <s v="Tel 637"/>
    <s v="Cep 637"/>
    <s v="Rua 637"/>
    <s v="Comp 637"/>
    <x v="11"/>
    <s v="BP-NHG2-B8C1"/>
    <d v="2025-01-22T00:00:00"/>
    <n v="76.989999999999995"/>
    <n v="76.989999999999995"/>
    <n v="10.008699999999999"/>
    <n v="66.98"/>
    <n v="34.25"/>
    <n v="0.24"/>
    <n v="0.39877104377104378"/>
    <n v="0"/>
    <n v="32.09122895622896"/>
    <n v="16.04561447811448"/>
    <d v="2025-01-29T00:00:00"/>
    <d v="2025-01-29T00:00:00"/>
    <d v="2025-01-31T00:00:00"/>
    <d v="2025-02-06T00:00:00"/>
    <s v="2025 01"/>
    <s v="Aguardando Liberação"/>
    <s v="2024 12"/>
    <s v="ENTREGUE"/>
    <d v="2025-01-09T00:00:00"/>
    <s v="-"/>
    <m/>
    <n v="0"/>
    <n v="0"/>
    <n v="0"/>
    <n v="0"/>
    <n v="0"/>
  </r>
  <r>
    <s v="BV"/>
    <s v="BV45656"/>
    <s v="Pedido 658"/>
    <d v="2024-12-30T00:00:00"/>
    <d v="2024-12-30T00:00:00"/>
    <s v="PedidoF640"/>
    <s v="CódRastreio638"/>
    <n v="1"/>
    <s v="CPF 638"/>
    <s v="Nome 638"/>
    <s v="Tel 638"/>
    <s v="Cep 638"/>
    <s v="Rua 638"/>
    <s v="Comp 638"/>
    <x v="10"/>
    <s v="MU-J80P-95WF"/>
    <d v="2025-01-28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d v="2025-02-04T00:00:00"/>
    <d v="2025-02-04T00:00:00"/>
    <d v="2025-02-05T00:00:00"/>
    <d v="2025-02-17T00:00:00"/>
    <s v="2025 02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59"/>
    <d v="2024-12-30T00:00:00"/>
    <d v="2024-12-30T00:00:00"/>
    <s v="PedidoF641"/>
    <s v="CódRastreio639"/>
    <n v="1"/>
    <s v="CPF 639"/>
    <s v="Nome 639"/>
    <s v="Tel 639"/>
    <s v="Cep 639"/>
    <s v="Rua 639"/>
    <s v="Comp 639"/>
    <x v="3"/>
    <s v="IF-G2ZQ-79FO"/>
    <d v="2025-01-22T00:00:00"/>
    <n v="49.4"/>
    <n v="49.4"/>
    <n v="6.4219999999999997"/>
    <n v="42.98"/>
    <n v="18.510000000000002"/>
    <n v="0.24"/>
    <n v="0.39877104377104378"/>
    <n v="0"/>
    <n v="23.831228956228951"/>
    <n v="11.915614478114476"/>
    <d v="2025-01-29T00:00:00"/>
    <d v="2025-01-29T00:00:00"/>
    <d v="2025-01-31T00:00:00"/>
    <d v="2025-02-06T00:00:00"/>
    <s v="2025 01"/>
    <s v="Aguardando Liberação"/>
    <s v="2024 12"/>
    <s v="ENTREGUE"/>
    <d v="2025-01-08T00:00:00"/>
    <s v="-"/>
    <m/>
    <n v="0"/>
    <n v="0"/>
    <n v="0"/>
    <n v="0"/>
    <n v="0"/>
  </r>
  <r>
    <s v="BV"/>
    <s v="BV45656"/>
    <s v="Pedido 660"/>
    <d v="2024-12-30T00:00:00"/>
    <d v="2024-12-30T00:00:00"/>
    <s v="PedidoF642"/>
    <s v="CódRastreio640"/>
    <n v="1"/>
    <s v="CPF 640"/>
    <s v="Nome 640"/>
    <s v="Tel 640"/>
    <s v="Cep 640"/>
    <s v="Rua 640"/>
    <s v="Comp 640"/>
    <x v="3"/>
    <s v="IF-G2ZQ-79FO"/>
    <d v="2025-01-28T00:00:00"/>
    <n v="49.4"/>
    <n v="49.4"/>
    <n v="6.4219999999999997"/>
    <n v="42.98"/>
    <n v="18.510000000000002"/>
    <n v="0.24"/>
    <n v="0.39877104377104378"/>
    <n v="0"/>
    <n v="23.831228956228951"/>
    <n v="11.915614478114476"/>
    <d v="2025-02-04T00:00:00"/>
    <d v="2025-02-04T00:00:00"/>
    <d v="2025-02-05T00:00:00"/>
    <d v="2025-02-17T00:00:00"/>
    <s v="2025 02"/>
    <s v="Aguardando Liberação"/>
    <s v="2024 12"/>
    <s v="ENTREGUE"/>
    <d v="2025-01-10T00:00:00"/>
    <s v="-"/>
    <m/>
    <n v="0"/>
    <n v="0"/>
    <n v="0"/>
    <n v="0"/>
    <n v="0"/>
  </r>
  <r>
    <s v="BV"/>
    <s v="BV45656"/>
    <s v="Pedido 661"/>
    <d v="2024-12-30T00:00:00"/>
    <d v="2024-12-30T00:00:00"/>
    <s v="PedidoF643"/>
    <s v="CódRastreio641"/>
    <n v="1"/>
    <s v="CPF 641"/>
    <s v="Nome 641"/>
    <s v="Tel 641"/>
    <s v="Cep 641"/>
    <s v="Rua 641"/>
    <s v="Comp 641"/>
    <x v="16"/>
    <s v="RB-W251-UXV2"/>
    <d v="2025-01-22T00:00:00"/>
    <n v="32.4"/>
    <n v="32.4"/>
    <n v="4.2119999999999997"/>
    <n v="28.19"/>
    <n v="0"/>
    <n v="0.24"/>
    <n v="0.39877104377104378"/>
    <n v="0"/>
    <n v="27.551228956228957"/>
    <n v="13.775614478114479"/>
    <d v="2025-01-29T00:00:00"/>
    <d v="2025-01-29T00:00:00"/>
    <d v="2025-01-31T00:00:00"/>
    <d v="2025-02-06T00:00:00"/>
    <s v="2025 01"/>
    <s v="Aguardando Liberação"/>
    <s v="2024 12"/>
    <s v="ENTREGUE"/>
    <d v="2025-01-08T00:00:00"/>
    <s v="-"/>
    <m/>
    <n v="0.84"/>
    <n v="0"/>
    <n v="0"/>
    <n v="0"/>
    <n v="0.84"/>
  </r>
  <r>
    <s v="BV"/>
    <s v="BV45659"/>
    <s v="Pedido 662"/>
    <d v="2025-01-02T00:00:00"/>
    <d v="2025-01-02T00:00:00"/>
    <s v="PedidoF644"/>
    <s v="CódRastreio642"/>
    <n v="1"/>
    <s v="CPF 642"/>
    <s v="Nome 642"/>
    <s v="Tel 642"/>
    <s v="Cep 642"/>
    <s v="Rua 642"/>
    <s v="Comp 642"/>
    <x v="0"/>
    <s v="16-4EDB-WMZF"/>
    <d v="2025-01-28T00:00:00"/>
    <n v="21.99"/>
    <n v="21.99"/>
    <n v="3.2984999999999998"/>
    <n v="18.690000000000001"/>
    <n v="6.99"/>
    <n v="0.16"/>
    <n v="0.39877104377104378"/>
    <n v="0"/>
    <n v="11.141228956228957"/>
    <n v="5.5706144781144786"/>
    <d v="2025-02-04T00:00:00"/>
    <d v="2025-02-04T00:00:00"/>
    <d v="2025-02-05T00:00:00"/>
    <d v="2025-02-17T00:00:00"/>
    <s v="2025 02"/>
    <s v="Aguardando Liberação"/>
    <s v="2025 01"/>
    <s v="ENTREGUE"/>
    <d v="2025-01-12T00:00:00"/>
    <s v="-"/>
    <m/>
    <n v="0"/>
    <n v="0"/>
    <n v="0"/>
    <n v="0"/>
    <n v="0"/>
  </r>
  <r>
    <s v="BV"/>
    <s v="BV45659"/>
    <s v="Pedido 663"/>
    <d v="2025-01-02T00:00:00"/>
    <d v="2025-01-02T00:00:00"/>
    <s v="PedidoF645"/>
    <s v="CódRastreio643"/>
    <n v="1"/>
    <s v="CPF 643"/>
    <s v="Nome 643"/>
    <s v="Tel 643"/>
    <s v="Cep 643"/>
    <s v="Rua 643"/>
    <s v="Comp 643"/>
    <x v="1"/>
    <s v="CK-YL6M-P5Y6"/>
    <d v="2025-01-28T00:00:00"/>
    <n v="33.9"/>
    <n v="33.9"/>
    <n v="4.407"/>
    <n v="29.49"/>
    <n v="15.99"/>
    <n v="0.16"/>
    <n v="0.39877104377104378"/>
    <n v="0"/>
    <n v="12.941228956228954"/>
    <n v="6.4706144781144772"/>
    <d v="2025-02-04T00:00:00"/>
    <d v="2025-02-04T00:00:00"/>
    <d v="2025-02-05T00:00:00"/>
    <d v="2025-02-17T00:00:00"/>
    <s v="2025 02"/>
    <s v="Aguardando Liberação"/>
    <s v="2025 01"/>
    <s v="ENTREGUE"/>
    <d v="2025-01-13T00:00:00"/>
    <s v="-"/>
    <m/>
    <n v="0"/>
    <n v="0"/>
    <n v="0"/>
    <n v="0"/>
    <n v="0"/>
  </r>
  <r>
    <s v="BV"/>
    <s v="BV45659"/>
    <s v="Pedido 664"/>
    <d v="2025-01-02T00:00:00"/>
    <d v="2025-01-02T00:00:00"/>
    <s v="PedidoF646"/>
    <s v="CódRastreio644"/>
    <n v="1"/>
    <s v="CPF 644"/>
    <s v="Nome 644"/>
    <s v="Tel 644"/>
    <s v="Cep 644"/>
    <s v="Rua 644"/>
    <s v="Comp 644"/>
    <x v="0"/>
    <s v="16-4EDB-WMZF"/>
    <d v="2025-01-28T00:00:00"/>
    <n v="21.99"/>
    <n v="21.99"/>
    <n v="3.2984999999999998"/>
    <n v="18.690000000000001"/>
    <n v="6.99"/>
    <n v="0.16"/>
    <n v="0.39877104377104378"/>
    <n v="0"/>
    <n v="11.141228956228957"/>
    <n v="5.5706144781144786"/>
    <d v="2025-02-04T00:00:00"/>
    <d v="2025-02-04T00:00:00"/>
    <d v="2025-02-05T00:00:00"/>
    <d v="2025-02-17T00:00:00"/>
    <s v="2025 02"/>
    <s v="Aguardando Liberação"/>
    <s v="2025 01"/>
    <s v="ENTREGUE"/>
    <d v="2025-01-14T00:00:00"/>
    <s v="-"/>
    <m/>
    <n v="0"/>
    <n v="0"/>
    <n v="0"/>
    <n v="0"/>
    <n v="0"/>
  </r>
  <r>
    <s v="BV"/>
    <s v="BV45659"/>
    <s v="Pedido 665"/>
    <d v="2025-01-02T00:00:00"/>
    <d v="2025-01-02T00:00:00"/>
    <s v="PedidoF647"/>
    <s v="CódRastreio645"/>
    <n v="1"/>
    <s v="CPF 645"/>
    <s v="Nome 645"/>
    <s v="Tel 645"/>
    <s v="Cep 645"/>
    <s v="Rua 645"/>
    <s v="Comp 645"/>
    <x v="19"/>
    <s v="08-PAJ9-YM9P"/>
    <d v="2025-01-28T00:00:00"/>
    <n v="62.9"/>
    <n v="62.9"/>
    <n v="9.4349999999999987"/>
    <n v="53.47"/>
    <n v="16.57"/>
    <n v="0.16"/>
    <n v="0.39877104377104378"/>
    <n v="0"/>
    <n v="36.341228956228953"/>
    <n v="18.170614478114476"/>
    <d v="2025-02-04T00:00:00"/>
    <d v="2025-02-04T00:00:00"/>
    <d v="2025-02-05T00:00:00"/>
    <d v="2025-02-17T00:00:00"/>
    <s v="2025 02"/>
    <s v="Aguardando Liberação"/>
    <s v="2025 01"/>
    <s v="ENTREGUE"/>
    <d v="2025-01-22T00:00:00"/>
    <s v="-"/>
    <m/>
    <n v="0"/>
    <n v="0"/>
    <n v="0"/>
    <n v="0"/>
    <n v="0"/>
  </r>
  <r>
    <s v="BV"/>
    <s v="BV45659"/>
    <s v="Pedido 666"/>
    <d v="2025-01-02T00:00:00"/>
    <d v="2025-01-02T00:00:00"/>
    <s v="PedidoF648"/>
    <s v="CódRastreio646"/>
    <n v="1"/>
    <s v="CPF 646"/>
    <s v="Nome 646"/>
    <s v="Tel 646"/>
    <s v="Cep 646"/>
    <s v="Rua 646"/>
    <s v="Comp 646"/>
    <x v="3"/>
    <s v="IF-G2ZQ-79FO"/>
    <d v="2025-01-22T00:00:00"/>
    <n v="49.4"/>
    <n v="49.4"/>
    <n v="6.4219999999999997"/>
    <n v="42.98"/>
    <n v="10.18"/>
    <n v="0.16"/>
    <n v="0.39877104377104378"/>
    <n v="0"/>
    <n v="32.241228956228952"/>
    <n v="16.120614478114476"/>
    <d v="2025-01-29T00:00:00"/>
    <d v="2025-01-29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59"/>
    <s v="Pedido 667"/>
    <d v="2025-01-02T00:00:00"/>
    <d v="2025-01-02T00:00:00"/>
    <s v="PedidoF649"/>
    <s v="CódRastreio647"/>
    <n v="1"/>
    <s v="CPF 647"/>
    <s v="Nome 647"/>
    <s v="Tel 647"/>
    <s v="Cep 647"/>
    <s v="Rua 647"/>
    <s v="Comp 647"/>
    <x v="3"/>
    <s v="IF-G2ZQ-79FO"/>
    <d v="2025-01-22T00:00:00"/>
    <n v="49.4"/>
    <n v="49.4"/>
    <n v="6.4219999999999997"/>
    <n v="42.98"/>
    <n v="10.18"/>
    <n v="0.16"/>
    <n v="0.39877104377104378"/>
    <n v="0"/>
    <n v="32.241228956228952"/>
    <n v="16.120614478114476"/>
    <d v="2025-01-29T00:00:00"/>
    <d v="2025-01-29T00:00:00"/>
    <d v="2025-01-31T00:00:00"/>
    <d v="2025-02-06T00:00:00"/>
    <s v="2025 01"/>
    <s v="Aguardando Liberação"/>
    <s v="2025 01"/>
    <s v="ENTREGUE"/>
    <d v="2025-01-13T00:00:00"/>
    <s v="-"/>
    <m/>
    <n v="0"/>
    <n v="0"/>
    <n v="0"/>
    <n v="0"/>
    <n v="0"/>
  </r>
  <r>
    <s v="BV"/>
    <s v="BV45659"/>
    <s v="Pedido 668"/>
    <d v="2025-01-02T00:00:00"/>
    <d v="2025-01-02T00:00:00"/>
    <s v="PedidoF650"/>
    <s v="CódRastreio648"/>
    <n v="1"/>
    <s v="CPF 648"/>
    <s v="Nome 648"/>
    <s v="Tel 648"/>
    <s v="Cep 648"/>
    <s v="Rua 648"/>
    <s v="Comp 648"/>
    <x v="8"/>
    <s v="FM-QQ8Y-RZT4"/>
    <d v="2025-01-22T00:00:00"/>
    <n v="34.9"/>
    <n v="34.9"/>
    <n v="4.5369999999999999"/>
    <n v="30.36"/>
    <n v="6.99"/>
    <n v="0.16"/>
    <n v="0.39877104377104378"/>
    <n v="0"/>
    <n v="22.811228956228955"/>
    <n v="11.405614478114478"/>
    <d v="2025-01-29T00:00:00"/>
    <d v="2025-01-29T00:00:00"/>
    <d v="2025-01-31T00:00:00"/>
    <d v="2025-02-06T00:00:00"/>
    <s v="2025 01"/>
    <s v="Aguardando Liberação"/>
    <s v="2025 01"/>
    <s v="ENTREGUE"/>
    <d v="2025-01-08T00:00:00"/>
    <s v="-"/>
    <m/>
    <n v="0"/>
    <n v="0"/>
    <n v="0"/>
    <n v="0"/>
    <n v="0"/>
  </r>
  <r>
    <s v="BV"/>
    <s v="BV45659"/>
    <s v="Pedido 669"/>
    <d v="2025-01-02T00:00:00"/>
    <d v="2025-01-02T00:00:00"/>
    <s v="PedidoF651"/>
    <s v="CódRastreio649"/>
    <n v="1"/>
    <s v="CPF 649"/>
    <s v="Nome 649"/>
    <s v="Tel 649"/>
    <s v="Cep 649"/>
    <s v="Rua 649"/>
    <s v="Comp 649"/>
    <x v="1"/>
    <s v="CK-YL6M-P5Y6"/>
    <d v="2025-01-16T00:00:00"/>
    <n v="33.9"/>
    <n v="33.9"/>
    <n v="4.407"/>
    <n v="29.49"/>
    <n v="15.99"/>
    <n v="0.16"/>
    <n v="0.39877104377104378"/>
    <n v="0"/>
    <n v="12.941228956228954"/>
    <n v="6.4706144781144772"/>
    <d v="2025-01-23T00:00:00"/>
    <d v="2025-01-23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59"/>
    <s v="Pedido 670"/>
    <d v="2025-01-02T00:00:00"/>
    <d v="2025-01-02T00:00:00"/>
    <s v="PedidoF652"/>
    <s v="CódRastreio650"/>
    <n v="1"/>
    <s v="CPF 650"/>
    <s v="Nome 650"/>
    <s v="Tel 650"/>
    <s v="Cep 650"/>
    <s v="Rua 650"/>
    <s v="Comp 650"/>
    <x v="19"/>
    <s v="08-PAJ9-YM9P"/>
    <d v="2025-01-22T00:00:00"/>
    <n v="62.9"/>
    <n v="62.9"/>
    <n v="9.4349999999999987"/>
    <n v="53.47"/>
    <n v="16.57"/>
    <n v="0.16"/>
    <n v="0.39877104377104378"/>
    <n v="0"/>
    <n v="36.341228956228953"/>
    <n v="18.170614478114476"/>
    <d v="2025-01-29T00:00:00"/>
    <d v="2025-01-29T00:00:00"/>
    <d v="2025-01-31T00:00:00"/>
    <d v="2025-02-06T00:00:00"/>
    <s v="2025 01"/>
    <s v="Aguardando Liberação"/>
    <s v="2025 01"/>
    <s v="ENTREGUE"/>
    <d v="2025-01-14T00:00:00"/>
    <s v="-"/>
    <m/>
    <n v="0"/>
    <n v="0"/>
    <n v="0"/>
    <n v="0"/>
    <n v="0"/>
  </r>
  <r>
    <s v="BV"/>
    <s v="BV45659"/>
    <s v="Pedido 671"/>
    <d v="2025-01-02T00:00:00"/>
    <d v="2025-01-02T00:00:00"/>
    <s v="PedidoF653"/>
    <s v="CódRastreio651"/>
    <n v="1"/>
    <s v="CPF 651"/>
    <s v="Nome 651"/>
    <s v="Tel 651"/>
    <s v="Cep 651"/>
    <s v="Rua 651"/>
    <s v="Comp 651"/>
    <x v="10"/>
    <s v="MU-J80P-95WF"/>
    <d v="2025-01-28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d v="2025-02-04T00:00:00"/>
    <d v="2025-02-04T00:00:00"/>
    <d v="2025-02-05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59"/>
    <s v="Pedido 672"/>
    <d v="2025-01-02T00:00:00"/>
    <d v="2025-01-02T00:00:00"/>
    <s v="PedidoF654"/>
    <s v="CódRastreio652"/>
    <n v="1"/>
    <s v="CPF 645"/>
    <s v="Nome 645"/>
    <s v="Tel 645"/>
    <s v="Cep 645"/>
    <s v="Rua 645"/>
    <s v="Comp 645"/>
    <x v="19"/>
    <s v="08-PAJ9-YM9P"/>
    <d v="2025-01-28T00:00:00"/>
    <n v="62.9"/>
    <n v="62.9"/>
    <n v="9.4349999999999987"/>
    <n v="53.47"/>
    <n v="16.57"/>
    <n v="0.16"/>
    <n v="0.39877104377104378"/>
    <n v="0"/>
    <n v="36.341228956228953"/>
    <n v="18.170614478114476"/>
    <d v="2025-02-04T00:00:00"/>
    <d v="2025-02-04T00:00:00"/>
    <d v="2025-02-05T00:00:00"/>
    <d v="2025-02-17T00:00:00"/>
    <s v="2025 02"/>
    <s v="Aguardando Liberação"/>
    <s v="2025 01"/>
    <s v="ENTREGUE"/>
    <d v="2025-01-14T00:00:00"/>
    <s v="-"/>
    <m/>
    <n v="0"/>
    <n v="0"/>
    <n v="0"/>
    <n v="0"/>
    <n v="0"/>
  </r>
  <r>
    <s v="BV"/>
    <s v="BV45659"/>
    <s v="Pedido 673"/>
    <d v="2025-01-02T00:00:00"/>
    <d v="2025-01-02T00:00:00"/>
    <s v="PedidoF655"/>
    <s v="CódRastreio653"/>
    <n v="1"/>
    <s v="CPF 653"/>
    <s v="Nome 653"/>
    <s v="Tel 653"/>
    <s v="Cep 653"/>
    <s v="Rua 653"/>
    <s v="Comp 653"/>
    <x v="1"/>
    <s v="CK-YL6M-P5Y6"/>
    <d v="2025-01-18T00:00:00"/>
    <n v="33.9"/>
    <n v="33.9"/>
    <n v="4.407"/>
    <n v="29.49"/>
    <n v="15.99"/>
    <n v="0.16"/>
    <n v="0.39877104377104378"/>
    <n v="0"/>
    <n v="12.941228956228954"/>
    <n v="6.4706144781144772"/>
    <d v="2025-01-25T00:00:00"/>
    <d v="2025-01-25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59"/>
    <s v="Pedido 674"/>
    <d v="2025-01-02T00:00:00"/>
    <d v="2025-01-02T00:00:00"/>
    <s v="PedidoF656"/>
    <s v="CódRastreio654"/>
    <n v="1"/>
    <s v="CPF 651"/>
    <s v="Nome 651"/>
    <s v="Tel 651"/>
    <s v="Cep 651"/>
    <s v="Rua 651"/>
    <s v="Comp 651"/>
    <x v="10"/>
    <s v="MU-J80P-95WF"/>
    <d v="2025-01-28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d v="2025-02-04T00:00:00"/>
    <d v="2025-02-04T00:00:00"/>
    <d v="2025-02-05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59"/>
    <s v="Pedido 675"/>
    <d v="2025-01-02T00:00:00"/>
    <d v="2025-01-02T00:00:00"/>
    <s v="PedidoF657"/>
    <s v="CódRastreio655"/>
    <n v="1"/>
    <s v="CPF 654"/>
    <s v="Nome 654"/>
    <s v="Tel 654"/>
    <s v="Cep 654"/>
    <s v="Rua 654"/>
    <s v="Comp 654"/>
    <x v="3"/>
    <s v="IF-G2ZQ-79FO"/>
    <d v="2025-01-22T00:00:00"/>
    <n v="49.4"/>
    <n v="49.4"/>
    <n v="6.4219999999999997"/>
    <n v="42.98"/>
    <n v="10.18"/>
    <n v="0.16"/>
    <n v="0.39877104377104378"/>
    <n v="0"/>
    <n v="32.241228956228952"/>
    <n v="16.120614478114476"/>
    <d v="2025-01-29T00:00:00"/>
    <d v="2025-01-29T00:00:00"/>
    <d v="2025-01-31T00:00:00"/>
    <d v="2025-02-06T00:00:00"/>
    <s v="2025 01"/>
    <s v="Aguardando Liberação"/>
    <s v="2025 01"/>
    <s v="ENTREGUE"/>
    <d v="2025-01-13T00:00:00"/>
    <s v="-"/>
    <m/>
    <n v="0"/>
    <n v="0"/>
    <n v="0"/>
    <n v="0"/>
    <n v="0"/>
  </r>
  <r>
    <s v="BV"/>
    <s v="BV45659"/>
    <s v="Pedido 676"/>
    <d v="2025-01-02T00:00:00"/>
    <d v="2025-01-02T00:00:00"/>
    <s v="PedidoF658"/>
    <s v="CódRastreio656"/>
    <n v="1"/>
    <s v="CPF 655"/>
    <s v="Nome 655"/>
    <s v="Tel 655"/>
    <s v="Cep 655"/>
    <s v="Rua 655"/>
    <s v="Comp 655"/>
    <x v="13"/>
    <s v="YA-AG3H-SPUK"/>
    <d v="2025-01-28T00:00:00"/>
    <n v="21.99"/>
    <n v="21.99"/>
    <n v="2.6387999999999998"/>
    <n v="19.350000000000001"/>
    <n v="6.99"/>
    <n v="0.16"/>
    <n v="0.39877104377104378"/>
    <n v="0"/>
    <n v="11.801228956228957"/>
    <n v="5.9006144781144787"/>
    <d v="2025-02-04T00:00:00"/>
    <d v="2025-02-04T00:00:00"/>
    <d v="2025-02-05T00:00:00"/>
    <d v="2025-02-17T00:00:00"/>
    <s v="2025 02"/>
    <s v="Aguardando Liberação"/>
    <s v="2025 01"/>
    <s v="ENTREGUE"/>
    <d v="2025-01-11T00:00:00"/>
    <s v="-"/>
    <m/>
    <n v="0"/>
    <n v="0"/>
    <n v="0"/>
    <n v="0"/>
    <n v="0"/>
  </r>
  <r>
    <s v="BV"/>
    <s v="BV45659"/>
    <s v="Pedido 677"/>
    <d v="2025-01-02T00:00:00"/>
    <d v="2025-01-02T00:00:00"/>
    <s v="PedidoF659"/>
    <s v="CódRastreio657"/>
    <n v="1"/>
    <s v="CPF 656"/>
    <s v="Nome 656"/>
    <s v="Tel 656"/>
    <s v="Cep 656"/>
    <s v="Rua 656"/>
    <s v="Comp 656"/>
    <x v="13"/>
    <s v="YA-AG3H-SPUK"/>
    <d v="2025-01-29T00:00:00"/>
    <n v="21.99"/>
    <n v="21.99"/>
    <n v="2.6387999999999998"/>
    <n v="19.350000000000001"/>
    <n v="6.99"/>
    <n v="0.16"/>
    <n v="0.39877104377104378"/>
    <n v="0"/>
    <n v="11.801228956228957"/>
    <n v="5.9006144781144787"/>
    <d v="2025-02-05T00:00:00"/>
    <d v="2025-02-05T00:00:00"/>
    <d v="2025-02-05T00:00:00"/>
    <d v="2025-02-17T00:00:00"/>
    <s v="2025 02"/>
    <s v="Aguardando Liberação"/>
    <s v="2025 01"/>
    <s v="ENTREGUE"/>
    <d v="2025-01-16T00:00:00"/>
    <s v="-"/>
    <m/>
    <n v="0"/>
    <n v="0"/>
    <n v="0"/>
    <n v="0"/>
    <n v="0"/>
  </r>
  <r>
    <s v="BV"/>
    <s v="BV45659"/>
    <s v="Pedido 678"/>
    <d v="2025-01-02T00:00:00"/>
    <d v="2025-01-02T00:00:00"/>
    <s v="PedidoF660"/>
    <s v="CódRastreio658"/>
    <n v="1"/>
    <s v="CPF 657"/>
    <s v="Nome 657"/>
    <s v="Tel 657"/>
    <s v="Cep 657"/>
    <s v="Rua 657"/>
    <s v="Comp 657"/>
    <x v="13"/>
    <s v="YA-AG3H-SPUK"/>
    <d v="2025-01-29T00:00:00"/>
    <n v="21.99"/>
    <n v="21.99"/>
    <n v="2.6387999999999998"/>
    <n v="19.350000000000001"/>
    <n v="6.99"/>
    <n v="0.16"/>
    <n v="0.39877104377104378"/>
    <n v="0"/>
    <n v="11.801228956228957"/>
    <n v="5.9006144781144787"/>
    <d v="2025-02-05T00:00:00"/>
    <d v="2025-02-05T00:00:00"/>
    <d v="2025-02-05T00:00:00"/>
    <d v="2025-02-17T00:00:00"/>
    <s v="2025 02"/>
    <s v="Aguardando Liberação"/>
    <s v="2025 01"/>
    <s v="ENTREGUE"/>
    <d v="2025-01-14T00:00:00"/>
    <s v="-"/>
    <m/>
    <n v="0"/>
    <n v="0"/>
    <n v="0"/>
    <n v="0"/>
    <n v="0"/>
  </r>
  <r>
    <s v="BV"/>
    <s v="BV45659"/>
    <s v="Pedido 679"/>
    <d v="2025-01-02T00:00:00"/>
    <d v="2025-01-02T00:00:00"/>
    <s v="PedidoF661"/>
    <s v="CódRastreio659"/>
    <n v="1"/>
    <s v="CPF 658"/>
    <s v="Nome 658"/>
    <s v="Tel 658"/>
    <s v="Cep 658"/>
    <s v="Rua 658"/>
    <s v="Comp 658"/>
    <x v="3"/>
    <s v="IF-G2ZQ-79FO"/>
    <d v="2025-01-29T00:00:00"/>
    <n v="49.4"/>
    <n v="49.4"/>
    <n v="6.4219999999999997"/>
    <n v="42.98"/>
    <n v="10.18"/>
    <n v="0.16"/>
    <n v="0.39877104377104378"/>
    <n v="0"/>
    <n v="32.241228956228952"/>
    <n v="16.120614478114476"/>
    <d v="2025-02-05T00:00:00"/>
    <d v="2025-02-05T00:00:00"/>
    <d v="2025-02-05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59"/>
    <s v="Pedido 680"/>
    <d v="2025-01-02T00:00:00"/>
    <d v="2025-01-02T00:00:00"/>
    <s v="PedidoF662"/>
    <s v="CódRastreio660"/>
    <n v="1"/>
    <s v="CPF 659"/>
    <s v="Nome 659"/>
    <s v="Tel 659"/>
    <s v="Cep 659"/>
    <s v="Rua 659"/>
    <s v="Comp 659"/>
    <x v="3"/>
    <s v="IF-G2ZQ-79FO"/>
    <d v="2025-01-29T00:00:00"/>
    <n v="49.4"/>
    <n v="49.4"/>
    <n v="6.4219999999999997"/>
    <n v="42.98"/>
    <n v="10.18"/>
    <n v="0.16"/>
    <n v="0.39877104377104378"/>
    <n v="0"/>
    <n v="32.241228956228952"/>
    <n v="16.120614478114476"/>
    <d v="2025-02-05T00:00:00"/>
    <d v="2025-02-05T00:00:00"/>
    <d v="2025-02-05T00:00:00"/>
    <d v="2025-02-17T00:00:00"/>
    <s v="2025 02"/>
    <s v="Aguardando Liberação"/>
    <s v="2025 01"/>
    <s v="ENTREGUE"/>
    <d v="2025-01-16T00:00:00"/>
    <s v="-"/>
    <m/>
    <n v="0"/>
    <n v="0"/>
    <n v="0"/>
    <n v="0"/>
    <n v="0"/>
  </r>
  <r>
    <s v="BV"/>
    <s v="BV45659"/>
    <s v="Pedido 681"/>
    <d v="2025-01-02T00:00:00"/>
    <d v="2025-01-02T00:00:00"/>
    <s v="PedidoF663"/>
    <s v="CódRastreio661"/>
    <n v="1"/>
    <s v="CPF 660"/>
    <s v="Nome 660"/>
    <s v="Tel 660"/>
    <s v="Cep 660"/>
    <s v="Rua 660"/>
    <s v="Comp 660"/>
    <x v="10"/>
    <s v="MU-J80P-95WF"/>
    <d v="2025-02-05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d v="2025-02-12T00:00:00"/>
    <d v="2025-02-12T00:00:00"/>
    <d v="2025-02-14T00:00:00"/>
    <d v="2025-02-17T00:00:00"/>
    <s v="2025 02"/>
    <s v="Aguardando Liberação"/>
    <s v="2025 01"/>
    <s v="ENTREGUE"/>
    <d v="2025-01-25T00:00:00"/>
    <s v="-"/>
    <m/>
    <n v="0"/>
    <n v="0"/>
    <n v="0"/>
    <n v="0"/>
    <n v="0"/>
  </r>
  <r>
    <s v="BV"/>
    <s v="BV45659"/>
    <s v="Pedido 682"/>
    <d v="2025-01-02T00:00:00"/>
    <d v="2025-01-02T00:00:00"/>
    <s v="PedidoF664"/>
    <s v="CódRastreio662"/>
    <n v="1"/>
    <s v="CPF 661"/>
    <s v="Nome 661"/>
    <s v="Tel 661"/>
    <s v="Cep 661"/>
    <s v="Rua 661"/>
    <s v="Comp 661"/>
    <x v="19"/>
    <s v="08-PAJ9-YM9P"/>
    <d v="2025-01-29T00:00:00"/>
    <n v="62.9"/>
    <n v="62.9"/>
    <n v="9.4349999999999987"/>
    <n v="53.47"/>
    <n v="16.57"/>
    <n v="0.16"/>
    <n v="0.39877104377104378"/>
    <n v="0"/>
    <n v="36.341228956228953"/>
    <n v="18.170614478114476"/>
    <d v="2025-02-05T00:00:00"/>
    <d v="2025-02-05T00:00:00"/>
    <d v="2025-02-05T00:00:00"/>
    <d v="2025-02-17T00:00:00"/>
    <s v="2025 02"/>
    <s v="Aguardando Liberação"/>
    <s v="2025 01"/>
    <s v="ENTREGUE"/>
    <d v="2025-01-17T00:00:00"/>
    <s v="-"/>
    <m/>
    <n v="0"/>
    <n v="0"/>
    <n v="0"/>
    <n v="0"/>
    <n v="0"/>
  </r>
  <r>
    <s v="BV"/>
    <s v="BV45659"/>
    <s v="Pedido 683"/>
    <d v="2025-01-02T00:00:00"/>
    <d v="2025-01-02T00:00:00"/>
    <s v="PedidoF665"/>
    <s v="CódRastreio663"/>
    <n v="1"/>
    <s v="CPF 662"/>
    <s v="Nome 662"/>
    <s v="Tel 662"/>
    <s v="Cep 662"/>
    <s v="Rua 662"/>
    <s v="Comp 662"/>
    <x v="3"/>
    <s v="IF-G2ZQ-79FO"/>
    <d v="2025-01-29T00:00:00"/>
    <n v="49.4"/>
    <n v="49.4"/>
    <n v="6.4219999999999997"/>
    <n v="42.98"/>
    <n v="10.18"/>
    <n v="0.16"/>
    <n v="0.39877104377104378"/>
    <n v="0"/>
    <n v="32.241228956228952"/>
    <n v="16.120614478114476"/>
    <d v="2025-02-05T00:00:00"/>
    <d v="2025-02-05T00:00:00"/>
    <d v="2025-02-05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59"/>
    <s v="Pedido 684"/>
    <d v="2025-01-02T00:00:00"/>
    <d v="2025-01-02T00:00:00"/>
    <s v="PedidoF666"/>
    <s v="CódRastreio664"/>
    <n v="1"/>
    <s v="CPF 663"/>
    <s v="Nome 663"/>
    <s v="Tel 663"/>
    <s v="Cep 663"/>
    <s v="Rua 663"/>
    <s v="Comp 663"/>
    <x v="10"/>
    <s v="MU-J80P-95WF"/>
    <d v="2025-02-05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d v="2025-02-12T00:00:00"/>
    <d v="2025-02-12T00:00:00"/>
    <d v="2025-02-14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60"/>
    <s v="Pedido 685"/>
    <d v="2025-01-03T00:00:00"/>
    <d v="2025-01-03T00:00:00"/>
    <s v="PedidoF667"/>
    <s v="CódRastreio665"/>
    <n v="1"/>
    <s v="CPF 664"/>
    <s v="Nome 664"/>
    <s v="Tel 664"/>
    <s v="Cep 664"/>
    <s v="Rua 664"/>
    <s v="Comp 664"/>
    <x v="10"/>
    <s v="MU-J80P-95WF"/>
    <d v="2025-01-23T00:00:00"/>
    <n v="65.599999999999994"/>
    <n v="65.599999999999994"/>
    <n v="8.5279999999999987"/>
    <n v="57.07"/>
    <n v="10.15"/>
    <n v="0.23"/>
    <n v="0.39877104377104378"/>
    <n v="0"/>
    <n v="46.291228956228956"/>
    <n v="23.145614478114478"/>
    <d v="2025-01-30T00:00:00"/>
    <d v="2025-01-30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60"/>
    <s v="Pedido 686"/>
    <d v="2025-01-03T00:00:00"/>
    <d v="2025-01-03T00:00:00"/>
    <s v="PedidoF668"/>
    <s v="CódRastreio666"/>
    <n v="1"/>
    <s v="CPF 665"/>
    <s v="Nome 665"/>
    <s v="Tel 665"/>
    <s v="Cep 665"/>
    <s v="Rua 665"/>
    <s v="Comp 665"/>
    <x v="3"/>
    <s v="IF-G2ZQ-79FO"/>
    <d v="2025-01-29T00:00:00"/>
    <n v="46.9"/>
    <n v="46.9"/>
    <n v="6.0970000000000004"/>
    <n v="40.799999999999997"/>
    <n v="13.25"/>
    <n v="0.23"/>
    <n v="0.39877104377104378"/>
    <n v="0"/>
    <n v="26.921228956228951"/>
    <n v="13.460614478114476"/>
    <d v="2025-02-05T00:00:00"/>
    <d v="2025-02-05T00:00:00"/>
    <d v="2025-02-05T00:00:00"/>
    <d v="2025-02-17T00:00:00"/>
    <s v="2025 02"/>
    <s v="Aguardando Liberação"/>
    <s v="2025 01"/>
    <s v="ENTREGUE"/>
    <d v="2025-01-20T00:00:00"/>
    <s v="-"/>
    <m/>
    <n v="0"/>
    <n v="0"/>
    <n v="0"/>
    <n v="0"/>
    <n v="0"/>
  </r>
  <r>
    <s v="BV"/>
    <s v="BV45660"/>
    <s v="Pedido 687"/>
    <d v="2025-01-03T00:00:00"/>
    <d v="2025-01-03T00:00:00"/>
    <s v="PedidoF669"/>
    <s v="CódRastreio667"/>
    <n v="1"/>
    <s v="CPF 666"/>
    <s v="Nome 666"/>
    <s v="Tel 666"/>
    <s v="Cep 666"/>
    <s v="Rua 666"/>
    <s v="Comp 666"/>
    <x v="10"/>
    <s v="MU-J80P-95WF"/>
    <d v="2025-01-30T00:00:00"/>
    <n v="65.599999999999994"/>
    <n v="65.599999999999994"/>
    <n v="8.5279999999999987"/>
    <n v="57.07"/>
    <n v="10.15"/>
    <n v="0.23"/>
    <n v="0.39877104377104378"/>
    <n v="0"/>
    <n v="46.291228956228956"/>
    <n v="23.145614478114478"/>
    <d v="2025-02-06T00:00:00"/>
    <d v="2025-02-06T00:00:00"/>
    <d v="2025-02-06T00:00:00"/>
    <d v="2025-02-17T00:00:00"/>
    <s v="2025 02"/>
    <s v="Aguardando Liberação"/>
    <s v="2025 01"/>
    <s v="ENTREGUE"/>
    <d v="2025-01-20T00:00:00"/>
    <s v="-"/>
    <m/>
    <n v="0"/>
    <n v="0"/>
    <n v="0"/>
    <n v="0"/>
    <n v="0"/>
  </r>
  <r>
    <s v="BV"/>
    <s v="BV45660"/>
    <s v="Pedido 688"/>
    <d v="2025-01-03T00:00:00"/>
    <d v="2025-01-03T00:00:00"/>
    <s v="PedidoF670"/>
    <s v="CódRastreio668"/>
    <n v="1"/>
    <s v="CPF 667"/>
    <s v="Nome 667"/>
    <s v="Tel 667"/>
    <s v="Cep 667"/>
    <s v="Rua 667"/>
    <s v="Comp 667"/>
    <x v="0"/>
    <s v="16-4EDB-WMZF"/>
    <d v="2025-01-30T00:00:00"/>
    <n v="21.99"/>
    <n v="21.99"/>
    <n v="3.2984999999999998"/>
    <n v="18.690000000000001"/>
    <n v="6.99"/>
    <n v="0.23"/>
    <n v="0.39877104377104378"/>
    <n v="0"/>
    <n v="11.071228956228957"/>
    <n v="5.5356144781144785"/>
    <d v="2025-02-06T00:00:00"/>
    <d v="2025-02-06T00:00:00"/>
    <d v="2025-02-06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60"/>
    <s v="Pedido 689"/>
    <d v="2025-01-03T00:00:00"/>
    <d v="2025-01-03T00:00:00"/>
    <s v="PedidoF671"/>
    <s v="CódRastreio669"/>
    <n v="1"/>
    <s v="CPF 668"/>
    <s v="Nome 668"/>
    <s v="Tel 668"/>
    <s v="Cep 668"/>
    <s v="Rua 668"/>
    <s v="Comp 668"/>
    <x v="3"/>
    <s v="IF-G2ZQ-79FO"/>
    <d v="2025-01-30T00:00:00"/>
    <n v="46.9"/>
    <n v="46.9"/>
    <n v="6.0970000000000004"/>
    <n v="40.799999999999997"/>
    <n v="10.15"/>
    <n v="0.23"/>
    <n v="0.39877104377104378"/>
    <n v="0"/>
    <n v="30.021228956228953"/>
    <n v="15.010614478114476"/>
    <d v="2025-02-06T00:00:00"/>
    <d v="2025-02-06T00:00:00"/>
    <d v="2025-02-06T00:00:00"/>
    <d v="2025-02-17T00:00:00"/>
    <s v="2025 02"/>
    <s v="Aguardando Liberação"/>
    <s v="2025 01"/>
    <s v="ENTREGUE"/>
    <d v="2025-01-08T00:00:00"/>
    <s v="-"/>
    <m/>
    <n v="0"/>
    <n v="0"/>
    <n v="0"/>
    <n v="0"/>
    <n v="0"/>
  </r>
  <r>
    <s v="BV"/>
    <s v="BV45660"/>
    <s v="Pedido 690"/>
    <d v="2025-01-03T00:00:00"/>
    <d v="2025-01-03T00:00:00"/>
    <s v="PedidoF672"/>
    <s v="CódRastreio670"/>
    <n v="1"/>
    <s v="CPF 669"/>
    <s v="Nome 669"/>
    <s v="Tel 669"/>
    <s v="Cep 669"/>
    <s v="Rua 669"/>
    <s v="Comp 669"/>
    <x v="13"/>
    <s v="YA-AG3H-SPUK"/>
    <d v="2025-01-30T00:00:00"/>
    <n v="21.99"/>
    <n v="21.99"/>
    <n v="2.6387999999999998"/>
    <n v="19.350000000000001"/>
    <n v="6.99"/>
    <n v="0.23"/>
    <n v="0.39877104377104378"/>
    <n v="0"/>
    <n v="11.731228956228957"/>
    <n v="5.8656144781144786"/>
    <d v="2025-02-06T00:00:00"/>
    <d v="2025-02-06T00:00:00"/>
    <d v="2025-02-06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60"/>
    <s v="Pedido 691"/>
    <d v="2025-01-03T00:00:00"/>
    <d v="2025-01-03T00:00:00"/>
    <s v="PedidoF673"/>
    <s v="CódRastreio671"/>
    <n v="1"/>
    <s v="CPF 670"/>
    <s v="Nome 670"/>
    <s v="Tel 670"/>
    <s v="Cep 670"/>
    <s v="Rua 670"/>
    <s v="Comp 670"/>
    <x v="3"/>
    <s v="IF-G2ZQ-79FO"/>
    <d v="2025-01-30T00:00:00"/>
    <n v="46.9"/>
    <n v="46.9"/>
    <n v="6.0970000000000004"/>
    <n v="40.799999999999997"/>
    <n v="10.15"/>
    <n v="0.23"/>
    <n v="0.39877104377104378"/>
    <n v="0"/>
    <n v="30.021228956228953"/>
    <n v="15.010614478114476"/>
    <d v="2025-02-06T00:00:00"/>
    <d v="2025-02-06T00:00:00"/>
    <d v="2025-02-06T00:00:00"/>
    <d v="2025-02-17T00:00:00"/>
    <s v="2025 02"/>
    <s v="Aguardando Liberação"/>
    <s v="2025 01"/>
    <s v="ENTREGUE"/>
    <d v="2025-01-21T00:00:00"/>
    <s v="-"/>
    <m/>
    <n v="0"/>
    <n v="0"/>
    <n v="0"/>
    <n v="0"/>
    <n v="0"/>
  </r>
  <r>
    <s v="BV"/>
    <s v="BV45660"/>
    <s v="Pedido 692"/>
    <d v="2025-01-03T00:00:00"/>
    <d v="2025-01-03T00:00:00"/>
    <s v="PedidoF674"/>
    <s v="CódRastreio672"/>
    <n v="1"/>
    <s v="CPF 671"/>
    <s v="Nome 671"/>
    <s v="Tel 671"/>
    <s v="Cep 671"/>
    <s v="Rua 671"/>
    <s v="Comp 671"/>
    <x v="3"/>
    <s v="IF-G2ZQ-79FO"/>
    <d v="2025-02-06T00:00:00"/>
    <n v="46.9"/>
    <n v="46.9"/>
    <n v="6.0970000000000004"/>
    <n v="40.799999999999997"/>
    <n v="10.15"/>
    <n v="0.23"/>
    <n v="0.39877104377104378"/>
    <n v="0"/>
    <n v="30.021228956228953"/>
    <n v="15.010614478114476"/>
    <d v="2025-02-13T00:00:00"/>
    <d v="2025-02-13T00:00:00"/>
    <d v="2025-02-14T00:00:00"/>
    <d v="2025-02-17T00:00:00"/>
    <s v="2025 02"/>
    <s v="Aguardando Liberação"/>
    <s v="2025 01"/>
    <s v="ENTREGUE"/>
    <d v="2025-01-21T00:00:00"/>
    <s v="-"/>
    <m/>
    <n v="0"/>
    <n v="0"/>
    <n v="0"/>
    <n v="0"/>
    <n v="0"/>
  </r>
  <r>
    <s v="BV"/>
    <s v="BV45660"/>
    <s v="Pedido 693"/>
    <d v="2025-01-03T00:00:00"/>
    <d v="2025-01-03T00:00:00"/>
    <s v="PedidoF675"/>
    <s v="CódRastreio673"/>
    <n v="1"/>
    <s v="CPF 672"/>
    <s v="Nome 672"/>
    <s v="Tel 672"/>
    <s v="Cep 672"/>
    <s v="Rua 672"/>
    <s v="Comp 672"/>
    <x v="13"/>
    <s v="YA-AG3H-SPUK"/>
    <d v="2025-01-24T00:00:00"/>
    <n v="21.99"/>
    <n v="21.99"/>
    <n v="2.6387999999999998"/>
    <n v="19.350000000000001"/>
    <n v="6.99"/>
    <n v="0.23"/>
    <n v="0.39877104377104378"/>
    <n v="0"/>
    <n v="11.731228956228957"/>
    <n v="5.8656144781144786"/>
    <d v="2025-01-31T00:00:00"/>
    <d v="2025-01-31T00:00:00"/>
    <d v="2025-01-31T00:00:00"/>
    <d v="2025-02-06T00:00:00"/>
    <s v="2025 01"/>
    <s v="Aguardando Liberação"/>
    <s v="2025 01"/>
    <s v="ENTREGUE"/>
    <d v="2025-01-16T00:00:00"/>
    <s v="-"/>
    <m/>
    <n v="0"/>
    <n v="0"/>
    <n v="0"/>
    <n v="0"/>
    <n v="0"/>
  </r>
  <r>
    <s v="BV"/>
    <s v="BV45660"/>
    <s v="Pedido 694"/>
    <d v="2025-01-03T00:00:00"/>
    <d v="2025-01-03T00:00:00"/>
    <s v="PedidoF676"/>
    <s v="CódRastreio674"/>
    <n v="1"/>
    <s v="CPF 673"/>
    <s v="Nome 673"/>
    <s v="Tel 673"/>
    <s v="Cep 673"/>
    <s v="Rua 673"/>
    <s v="Comp 673"/>
    <x v="13"/>
    <s v="YA-AG3H-SPUK"/>
    <d v="2025-01-24T00:00:00"/>
    <n v="21.99"/>
    <n v="21.99"/>
    <n v="2.6387999999999998"/>
    <n v="19.350000000000001"/>
    <n v="6.99"/>
    <n v="0.23"/>
    <n v="0.39877104377104378"/>
    <n v="0"/>
    <n v="11.731228956228957"/>
    <n v="5.8656144781144786"/>
    <d v="2025-01-31T00:00:00"/>
    <d v="2025-01-31T00:00:00"/>
    <d v="2025-01-31T00:00:00"/>
    <d v="2025-02-06T00:00:00"/>
    <s v="2025 01"/>
    <s v="Aguardando Liberação"/>
    <s v="2025 01"/>
    <s v="ENTREGUE"/>
    <d v="2025-01-16T00:00:00"/>
    <s v="-"/>
    <m/>
    <n v="0"/>
    <n v="0"/>
    <n v="0"/>
    <n v="0"/>
    <n v="0"/>
  </r>
  <r>
    <s v="BV"/>
    <s v="BV45660"/>
    <s v="Pedido 695"/>
    <d v="2025-01-03T00:00:00"/>
    <d v="2025-01-03T00:00:00"/>
    <s v="PedidoF677"/>
    <s v="CódRastreio675"/>
    <n v="1"/>
    <s v="CPF 674"/>
    <s v="Nome 674"/>
    <s v="Tel 674"/>
    <s v="Cep 674"/>
    <s v="Rua 674"/>
    <s v="Comp 674"/>
    <x v="3"/>
    <s v="IF-G2ZQ-79FO"/>
    <d v="2025-01-30T00:00:00"/>
    <n v="46.9"/>
    <n v="46.9"/>
    <n v="6.0970000000000004"/>
    <n v="40.799999999999997"/>
    <n v="10.15"/>
    <n v="0.23"/>
    <n v="0.39877104377104378"/>
    <n v="0"/>
    <n v="30.021228956228953"/>
    <n v="15.010614478114476"/>
    <d v="2025-02-06T00:00:00"/>
    <d v="2025-02-06T00:00:00"/>
    <d v="2025-02-06T00:00:00"/>
    <d v="2025-02-17T00:00:00"/>
    <s v="2025 02"/>
    <s v="Aguardando Liberação"/>
    <s v="2025 01"/>
    <s v="ENTREGUE"/>
    <d v="2025-01-23T00:00:00"/>
    <s v="-"/>
    <m/>
    <n v="0"/>
    <n v="0"/>
    <n v="0"/>
    <n v="0"/>
    <n v="0"/>
  </r>
  <r>
    <s v="BV"/>
    <s v="BV45660"/>
    <s v="Pedido 696"/>
    <d v="2025-01-03T00:00:00"/>
    <d v="2025-01-03T00:00:00"/>
    <s v="PedidoF678"/>
    <s v="CódRastreio676"/>
    <n v="1"/>
    <s v="CPF 675"/>
    <s v="Nome 675"/>
    <s v="Tel 675"/>
    <s v="Cep 675"/>
    <s v="Rua 675"/>
    <s v="Comp 675"/>
    <x v="1"/>
    <s v="CK-YL6M-P5Y6"/>
    <d v="2025-01-18T00:00:00"/>
    <n v="33.9"/>
    <n v="33.9"/>
    <n v="4.407"/>
    <n v="29.49"/>
    <n v="15.99"/>
    <n v="0.23"/>
    <n v="0.39877104377104378"/>
    <n v="0"/>
    <n v="12.871228956228954"/>
    <n v="6.4356144781144771"/>
    <d v="2025-01-25T00:00:00"/>
    <d v="2025-01-25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60"/>
    <s v="Pedido 697"/>
    <d v="2025-01-03T00:00:00"/>
    <d v="2025-01-03T00:00:00"/>
    <s v="PedidoF679"/>
    <s v="CódRastreio677"/>
    <n v="1"/>
    <s v="CPF 676"/>
    <s v="Nome 676"/>
    <s v="Tel 676"/>
    <s v="Cep 676"/>
    <s v="Rua 676"/>
    <s v="Comp 676"/>
    <x v="13"/>
    <s v="YA-AG3H-SPUK"/>
    <d v="2025-01-24T00:00:00"/>
    <n v="21.99"/>
    <n v="21.99"/>
    <n v="2.6387999999999998"/>
    <n v="19.350000000000001"/>
    <n v="6.99"/>
    <n v="0.23"/>
    <n v="0.39877104377104378"/>
    <n v="0"/>
    <n v="11.731228956228957"/>
    <n v="5.8656144781144786"/>
    <d v="2025-01-31T00:00:00"/>
    <d v="2025-01-31T00:00:00"/>
    <d v="2025-01-31T00:00:00"/>
    <d v="2025-02-06T00:00:00"/>
    <s v="2025 01"/>
    <s v="Aguardando Liberação"/>
    <s v="2025 01"/>
    <s v="ENTREGUE"/>
    <d v="2025-01-11T00:00:00"/>
    <s v="-"/>
    <m/>
    <n v="0"/>
    <n v="0"/>
    <n v="0"/>
    <n v="0"/>
    <n v="0"/>
  </r>
  <r>
    <s v="BV"/>
    <s v="BV45660"/>
    <s v="Pedido 698"/>
    <d v="2025-01-03T00:00:00"/>
    <d v="2025-01-03T00:00:00"/>
    <s v="PedidoF680"/>
    <s v="CódRastreio678"/>
    <n v="1"/>
    <s v="CPF 677"/>
    <s v="Nome 677"/>
    <s v="Tel 677"/>
    <s v="Cep 677"/>
    <s v="Rua 677"/>
    <s v="Comp 677"/>
    <x v="3"/>
    <s v="IF-G2ZQ-79FO"/>
    <d v="2025-01-24T00:00:00"/>
    <n v="46.9"/>
    <n v="46.9"/>
    <n v="6.0970000000000004"/>
    <n v="40.799999999999997"/>
    <n v="10.15"/>
    <n v="0.23"/>
    <n v="0.39877104377104378"/>
    <n v="0"/>
    <n v="30.021228956228953"/>
    <n v="15.010614478114476"/>
    <d v="2025-01-31T00:00:00"/>
    <d v="2025-01-31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-"/>
    <s v="Pedido 699"/>
    <d v="2024-12-01T00:00:00"/>
    <s v="-"/>
    <s v="-"/>
    <s v="-"/>
    <n v="1"/>
    <s v="CPF 678"/>
    <s v="Nome 678"/>
    <s v="Tel 678"/>
    <s v="Cep 678"/>
    <s v="Rua 678"/>
    <s v="Comp 678"/>
    <x v="10"/>
    <s v="MU-J80P-95WF"/>
    <d v="2025-01-24T00:00:00"/>
    <n v="65.599999999999994"/>
    <n v="65.599999999999994"/>
    <n v="8.5279999999999987"/>
    <n v="57.07"/>
    <n v="0"/>
    <n v="0"/>
    <n v="0"/>
    <n v="0"/>
    <n v="57.07"/>
    <n v="28.535"/>
    <d v="2025-01-31T00:00:00"/>
    <d v="2025-01-31T00:00:00"/>
    <d v="2025-01-31T00:00:00"/>
    <d v="2025-02-06T00:00:00"/>
    <s v="2025 01"/>
    <s v="Aguardando Liberação"/>
    <s v="- -"/>
    <s v="-"/>
    <s v="-"/>
    <s v="-"/>
    <m/>
    <n v="1.71"/>
    <n v="0"/>
    <n v="0"/>
    <n v="0"/>
    <n v="1.71"/>
  </r>
  <r>
    <s v="BV"/>
    <s v="BV45660"/>
    <s v="Pedido 700"/>
    <d v="2025-01-03T00:00:00"/>
    <d v="2025-01-03T00:00:00"/>
    <s v="PedidoF681"/>
    <s v="CódRastreio679"/>
    <n v="1"/>
    <s v="CPF 679"/>
    <s v="Nome 679"/>
    <s v="Tel 679"/>
    <s v="Cep 679"/>
    <s v="Rua 679"/>
    <s v="Comp 679"/>
    <x v="1"/>
    <s v="CK-YL6M-P5Y6"/>
    <d v="2025-01-30T00:00:00"/>
    <n v="33.9"/>
    <n v="33.9"/>
    <n v="4.407"/>
    <n v="29.49"/>
    <n v="15.99"/>
    <n v="0.23"/>
    <n v="0.39877104377104378"/>
    <n v="0"/>
    <n v="12.871228956228954"/>
    <n v="6.4356144781144771"/>
    <d v="2025-02-06T00:00:00"/>
    <d v="2025-02-06T00:00:00"/>
    <d v="2025-02-06T00:00:00"/>
    <d v="2025-02-17T00:00:00"/>
    <s v="2025 02"/>
    <s v="Aguardando Liberação"/>
    <s v="2025 01"/>
    <s v="ENTREGUE"/>
    <d v="2025-01-11T00:00:00"/>
    <s v="-"/>
    <m/>
    <n v="0"/>
    <n v="0"/>
    <n v="0"/>
    <n v="0"/>
    <n v="0"/>
  </r>
  <r>
    <s v="BV"/>
    <s v="BV45662"/>
    <s v="Pedido 701"/>
    <d v="2025-01-05T00:00:00"/>
    <d v="2025-01-05T00:00:00"/>
    <s v="PedidoF682"/>
    <s v="CódRastreio680"/>
    <n v="1"/>
    <s v="CPF 680"/>
    <s v="Nome 680"/>
    <s v="Tel 680"/>
    <s v="Cep 680"/>
    <s v="Rua 680"/>
    <s v="Comp 680"/>
    <x v="13"/>
    <s v="YA-AG3H-SPUK"/>
    <d v="2025-01-18T00:00:00"/>
    <n v="21.99"/>
    <n v="21.99"/>
    <n v="2.6387999999999998"/>
    <n v="19.350000000000001"/>
    <n v="6.99"/>
    <n v="0.22"/>
    <n v="0.39877104377104378"/>
    <n v="0"/>
    <n v="11.741228956228959"/>
    <n v="5.8706144781144793"/>
    <d v="2025-01-25T00:00:00"/>
    <d v="2025-01-25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62"/>
    <s v="Pedido 702"/>
    <d v="2025-01-05T00:00:00"/>
    <d v="2025-01-05T00:00:00"/>
    <s v="PedidoF683"/>
    <s v="CódRastreio681"/>
    <n v="1"/>
    <s v="CPF 681"/>
    <s v="Nome 681"/>
    <s v="Tel 681"/>
    <s v="Cep 681"/>
    <s v="Rua 681"/>
    <s v="Comp 681"/>
    <x v="3"/>
    <s v="IF-G2ZQ-79FO"/>
    <d v="2025-02-06T00:00:00"/>
    <n v="46.9"/>
    <n v="46.9"/>
    <n v="6.0970000000000004"/>
    <n v="40.799999999999997"/>
    <n v="10.15"/>
    <n v="0.22"/>
    <n v="0.39877104377104378"/>
    <n v="0"/>
    <n v="30.031228956228951"/>
    <n v="15.015614478114475"/>
    <d v="2025-02-13T00:00:00"/>
    <d v="2025-02-13T00:00:00"/>
    <d v="2025-02-14T00:00:00"/>
    <d v="2025-02-17T00:00:00"/>
    <s v="2025 02"/>
    <s v="Aguardando Liberação"/>
    <s v="2025 01"/>
    <s v="ENTREGUE"/>
    <d v="2025-01-21T00:00:00"/>
    <s v="-"/>
    <m/>
    <n v="0"/>
    <n v="0"/>
    <n v="0"/>
    <n v="0"/>
    <n v="0"/>
  </r>
  <r>
    <s v="BV"/>
    <s v="BV45662"/>
    <s v="Pedido 703"/>
    <d v="2025-01-05T00:00:00"/>
    <d v="2025-01-05T00:00:00"/>
    <s v="PedidoF684"/>
    <s v="CódRastreio682"/>
    <n v="1"/>
    <s v="CPF 682"/>
    <s v="Nome 682"/>
    <s v="Tel 682"/>
    <s v="Cep 682"/>
    <s v="Rua 682"/>
    <s v="Comp 682"/>
    <x v="8"/>
    <s v="FM-QQ8Y-RZT4"/>
    <d v="2025-01-22T00:00:00"/>
    <n v="34.9"/>
    <n v="34.9"/>
    <n v="4.5369999999999999"/>
    <n v="30.36"/>
    <n v="6.99"/>
    <n v="0.22"/>
    <n v="0.39877104377104378"/>
    <n v="0"/>
    <n v="22.751228956228957"/>
    <n v="11.375614478114478"/>
    <d v="2025-01-29T00:00:00"/>
    <d v="2025-01-29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62"/>
    <s v="Pedido 704"/>
    <d v="2025-01-05T00:00:00"/>
    <d v="2025-01-05T00:00:00"/>
    <s v="PedidoF685"/>
    <s v="CódRastreio683"/>
    <n v="1"/>
    <s v="CPF 683"/>
    <s v="Nome 683"/>
    <s v="Tel 683"/>
    <s v="Cep 683"/>
    <s v="Rua 683"/>
    <s v="Comp 683"/>
    <x v="10"/>
    <s v="MU-J80P-95WF"/>
    <d v="2025-01-24T00:00:00"/>
    <n v="65.599999999999994"/>
    <n v="65.599999999999994"/>
    <n v="8.5279999999999987"/>
    <n v="57.07"/>
    <n v="10.15"/>
    <n v="0.22"/>
    <n v="0.39877104377104378"/>
    <n v="0"/>
    <n v="46.301228956228954"/>
    <n v="23.150614478114477"/>
    <d v="2025-01-31T00:00:00"/>
    <d v="2025-01-31T00:00:00"/>
    <d v="2025-01-31T00:00:00"/>
    <d v="2025-02-06T00:00:00"/>
    <s v="2025 01"/>
    <s v="Aguardando Liberação"/>
    <s v="2025 01"/>
    <s v="ENTREGUE"/>
    <d v="2025-01-11T00:00:00"/>
    <s v="-"/>
    <m/>
    <n v="0"/>
    <n v="0"/>
    <n v="0"/>
    <n v="0"/>
    <n v="0"/>
  </r>
  <r>
    <s v="BV"/>
    <s v="BV45662"/>
    <s v="Pedido 705"/>
    <d v="2025-01-05T00:00:00"/>
    <d v="2025-01-05T00:00:00"/>
    <s v="PedidoF686"/>
    <s v="CódRastreio684"/>
    <n v="1"/>
    <s v="CPF 684"/>
    <s v="Nome 684"/>
    <s v="Tel 684"/>
    <s v="Cep 684"/>
    <s v="Rua 684"/>
    <s v="Comp 684"/>
    <x v="13"/>
    <s v="YA-AG3H-SPUK"/>
    <d v="2025-01-24T00:00:00"/>
    <n v="21.99"/>
    <n v="21.99"/>
    <n v="2.6387999999999998"/>
    <n v="19.350000000000001"/>
    <n v="6.99"/>
    <n v="0.22"/>
    <n v="0.39877104377104378"/>
    <n v="0"/>
    <n v="11.741228956228959"/>
    <n v="5.8706144781144793"/>
    <d v="2025-01-31T00:00:00"/>
    <d v="2025-01-31T00:00:00"/>
    <d v="2025-01-31T00:00:00"/>
    <d v="2025-02-06T00:00:00"/>
    <s v="2025 01"/>
    <s v="Aguardando Liberação"/>
    <s v="2025 01"/>
    <s v="ENTREGUE"/>
    <d v="2025-01-13T00:00:00"/>
    <s v="-"/>
    <m/>
    <n v="0"/>
    <n v="0"/>
    <n v="0"/>
    <n v="0"/>
    <n v="0"/>
  </r>
  <r>
    <s v="BV"/>
    <s v="BV45662"/>
    <s v="Pedido 706"/>
    <d v="2025-01-05T00:00:00"/>
    <d v="2025-01-05T00:00:00"/>
    <s v="PedidoF687"/>
    <s v="CódRastreio685"/>
    <n v="1"/>
    <s v="CPF 658"/>
    <s v="Nome 658"/>
    <s v="Tel 658"/>
    <s v="Cep 658"/>
    <s v="Rua 658"/>
    <s v="Comp 658"/>
    <x v="3"/>
    <s v="IF-G2ZQ-79FO"/>
    <d v="2025-01-30T00:00:00"/>
    <n v="49.4"/>
    <n v="49.4"/>
    <n v="6.4219999999999997"/>
    <n v="42.98"/>
    <n v="10.15"/>
    <n v="0.22"/>
    <n v="0.39877104377104378"/>
    <n v="0"/>
    <n v="32.21122895622895"/>
    <n v="16.105614478114475"/>
    <d v="2025-02-06T00:00:00"/>
    <d v="2025-02-06T00:00:00"/>
    <d v="2025-02-06T00:00:00"/>
    <d v="2025-02-17T00:00:00"/>
    <s v="2025 02"/>
    <s v="Aguardando Liberação"/>
    <s v="2025 01"/>
    <s v="ENTREGUE"/>
    <d v="2025-01-16T00:00:00"/>
    <s v="-"/>
    <m/>
    <n v="0"/>
    <n v="0"/>
    <n v="0"/>
    <n v="0"/>
    <n v="0"/>
  </r>
  <r>
    <s v="BV"/>
    <s v="BV45662"/>
    <s v="Pedido 707"/>
    <d v="2025-01-05T00:00:00"/>
    <d v="2025-01-05T00:00:00"/>
    <s v="PedidoF688"/>
    <s v="CódRastreio686"/>
    <n v="1"/>
    <s v="CPF 685"/>
    <s v="Nome 685"/>
    <s v="Tel 685"/>
    <s v="Cep 685"/>
    <s v="Rua 685"/>
    <s v="Comp 685"/>
    <x v="0"/>
    <s v="16-4EDB-WMZF"/>
    <d v="2025-01-24T00:00:00"/>
    <n v="21.99"/>
    <n v="21.99"/>
    <n v="3.2984999999999998"/>
    <n v="18.690000000000001"/>
    <n v="6.99"/>
    <n v="0.22"/>
    <n v="0.39877104377104378"/>
    <n v="0"/>
    <n v="11.081228956228959"/>
    <n v="5.5406144781144793"/>
    <d v="2025-01-31T00:00:00"/>
    <d v="2025-01-31T00:00:00"/>
    <d v="2025-01-31T00:00:00"/>
    <d v="2025-02-06T00:00:00"/>
    <s v="2025 01"/>
    <s v="Aguardando Liberação"/>
    <s v="2025 01"/>
    <s v="ENTREGUE"/>
    <d v="2025-01-15T00:00:00"/>
    <s v="-"/>
    <m/>
    <n v="0"/>
    <n v="0"/>
    <n v="0"/>
    <n v="0"/>
    <n v="0"/>
  </r>
  <r>
    <s v="BV"/>
    <s v="BV45662"/>
    <s v="Pedido 708"/>
    <d v="2025-01-05T00:00:00"/>
    <d v="2025-01-05T00:00:00"/>
    <s v="PedidoF689"/>
    <s v="CódRastreio687"/>
    <n v="1"/>
    <s v="CPF 686"/>
    <s v="Nome 686"/>
    <s v="Tel 686"/>
    <s v="Cep 686"/>
    <s v="Rua 686"/>
    <s v="Comp 686"/>
    <x v="13"/>
    <s v="YA-AG3H-SPUK"/>
    <d v="2025-01-18T00:00:00"/>
    <n v="21.99"/>
    <n v="21.99"/>
    <n v="2.6387999999999998"/>
    <n v="19.350000000000001"/>
    <n v="6.99"/>
    <n v="0.22"/>
    <n v="0.39877104377104378"/>
    <n v="0"/>
    <n v="11.741228956228959"/>
    <n v="5.8706144781144793"/>
    <d v="2025-01-25T00:00:00"/>
    <d v="2025-01-25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62"/>
    <s v="Pedido 709"/>
    <d v="2025-01-05T00:00:00"/>
    <d v="2025-01-05T00:00:00"/>
    <s v="PedidoF690"/>
    <s v="CódRastreio688"/>
    <n v="1"/>
    <s v="CPF 687"/>
    <s v="Nome 687"/>
    <s v="Tel 687"/>
    <s v="Cep 687"/>
    <s v="Rua 687"/>
    <s v="Comp 687"/>
    <x v="13"/>
    <s v="YA-AG3H-SPUK"/>
    <d v="2025-01-24T00:00:00"/>
    <n v="21.99"/>
    <n v="21.99"/>
    <n v="2.6387999999999998"/>
    <n v="19.350000000000001"/>
    <n v="6.99"/>
    <n v="0.22"/>
    <n v="0.39877104377104378"/>
    <n v="0"/>
    <n v="11.741228956228959"/>
    <n v="5.8706144781144793"/>
    <d v="2025-01-31T00:00:00"/>
    <d v="2025-01-31T00:00:00"/>
    <d v="2025-01-31T00:00:00"/>
    <d v="2025-02-06T00:00:00"/>
    <s v="2025 01"/>
    <s v="Aguardando Liberação"/>
    <s v="2025 01"/>
    <s v="ENTREGUE"/>
    <d v="2025-01-13T00:00:00"/>
    <s v="-"/>
    <m/>
    <n v="0"/>
    <n v="0"/>
    <n v="0"/>
    <n v="0"/>
    <n v="0"/>
  </r>
  <r>
    <s v="BV"/>
    <s v="BV45662"/>
    <s v="Pedido 710"/>
    <d v="2025-01-05T00:00:00"/>
    <d v="2025-01-05T00:00:00"/>
    <s v="PedidoF691"/>
    <s v="CódRastreio689"/>
    <n v="1"/>
    <s v="CPF 688"/>
    <s v="Nome 688"/>
    <s v="Tel 688"/>
    <s v="Cep 688"/>
    <s v="Rua 688"/>
    <s v="Comp 688"/>
    <x v="10"/>
    <s v="MU-J80P-95WF"/>
    <d v="2025-01-24T00:00:00"/>
    <n v="65.599999999999994"/>
    <n v="65.599999999999994"/>
    <n v="8.5279999999999987"/>
    <n v="57.07"/>
    <n v="10.15"/>
    <n v="0.22"/>
    <n v="0.39877104377104378"/>
    <n v="0"/>
    <n v="46.301228956228954"/>
    <n v="23.150614478114477"/>
    <d v="2025-01-31T00:00:00"/>
    <d v="2025-01-31T00:00:00"/>
    <d v="2025-01-31T00:00:00"/>
    <d v="2025-02-06T00:00:00"/>
    <s v="2025 01"/>
    <s v="Aguardando Liberação"/>
    <s v="2025 01"/>
    <s v="ENTREGUE"/>
    <d v="2025-01-13T00:00:00"/>
    <s v="-"/>
    <m/>
    <n v="0"/>
    <n v="0"/>
    <n v="0"/>
    <n v="0"/>
    <n v="0"/>
  </r>
  <r>
    <s v="BV"/>
    <s v="BV45662"/>
    <s v="Pedido 711"/>
    <d v="2025-01-05T00:00:00"/>
    <d v="2025-01-05T00:00:00"/>
    <s v="PedidoF692"/>
    <s v="CódRastreio690"/>
    <n v="1"/>
    <s v="CPF 689"/>
    <s v="Nome 689"/>
    <s v="Tel 689"/>
    <s v="Cep 689"/>
    <s v="Rua 689"/>
    <s v="Comp 689"/>
    <x v="3"/>
    <s v="IF-G2ZQ-79FO"/>
    <d v="2025-02-06T00:00:00"/>
    <n v="46.9"/>
    <n v="46.9"/>
    <n v="6.0970000000000004"/>
    <n v="40.799999999999997"/>
    <n v="10.15"/>
    <n v="0.22"/>
    <n v="0.39877104377104378"/>
    <n v="0"/>
    <n v="30.031228956228951"/>
    <n v="15.015614478114475"/>
    <d v="2025-02-13T00:00:00"/>
    <d v="2025-02-13T00:00:00"/>
    <d v="2025-02-14T00:00:00"/>
    <d v="2025-02-17T00:00:00"/>
    <s v="2025 02"/>
    <s v="Aguardando Liberação"/>
    <s v="2025 01"/>
    <s v="ENTREGUE"/>
    <d v="2025-01-21T00:00:00"/>
    <s v="-"/>
    <m/>
    <n v="0"/>
    <n v="0"/>
    <n v="0"/>
    <n v="0"/>
    <n v="0"/>
  </r>
  <r>
    <s v="BV"/>
    <s v="BV45662"/>
    <s v="Pedido 712"/>
    <d v="2025-01-05T00:00:00"/>
    <d v="2025-01-05T00:00:00"/>
    <s v="PedidoF693"/>
    <s v="CódRastreio691"/>
    <n v="1"/>
    <s v="CPF 690"/>
    <s v="Nome 690"/>
    <s v="Tel 690"/>
    <s v="Cep 690"/>
    <s v="Rua 690"/>
    <s v="Comp 690"/>
    <x v="2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d v="2025-02-06T00:00:00"/>
    <d v="2025-02-06T00:00:00"/>
    <d v="2025-02-06T00:00:00"/>
    <d v="2025-02-17T00:00:00"/>
    <s v="2025 02"/>
    <s v="Aguardando Liberação"/>
    <s v="2025 01"/>
    <s v="ENTREGUE"/>
    <d v="2025-01-13T00:00:00"/>
    <s v="-"/>
    <m/>
    <n v="0"/>
    <n v="0"/>
    <n v="0"/>
    <n v="0"/>
    <n v="0"/>
  </r>
  <r>
    <s v="BV"/>
    <s v="BV45662"/>
    <s v="Pedido 713"/>
    <d v="2025-01-05T00:00:00"/>
    <d v="2025-01-05T00:00:00"/>
    <s v="PedidoF694"/>
    <s v="CódRastreio692"/>
    <n v="1"/>
    <s v="CPF 691"/>
    <s v="Nome 691"/>
    <s v="Tel 691"/>
    <s v="Cep 691"/>
    <s v="Rua 691"/>
    <s v="Comp 691"/>
    <x v="2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d v="2025-02-06T00:00:00"/>
    <d v="2025-02-06T00:00:00"/>
    <d v="2025-02-06T00:00:00"/>
    <d v="2025-02-17T00:00:00"/>
    <s v="2025 02"/>
    <s v="Aguardando Liberação"/>
    <s v="2025 01"/>
    <s v="ENTREGUE"/>
    <d v="2025-01-13T00:00:00"/>
    <s v="-"/>
    <m/>
    <n v="0"/>
    <n v="0"/>
    <n v="0"/>
    <n v="0"/>
    <n v="0"/>
  </r>
  <r>
    <s v="BV"/>
    <s v="BV45662"/>
    <s v="Pedido 714"/>
    <d v="2025-01-05T00:00:00"/>
    <d v="2025-01-05T00:00:00"/>
    <s v="PedidoF695"/>
    <s v="CódRastreio693"/>
    <n v="1"/>
    <s v="CPF 692"/>
    <s v="Nome 692"/>
    <s v="Tel 692"/>
    <s v="Cep 692"/>
    <s v="Rua 692"/>
    <s v="Comp 692"/>
    <x v="2"/>
    <s v="DJ-RO5O-43GF"/>
    <d v="2025-01-24T00:00:00"/>
    <n v="22.99"/>
    <n v="22.99"/>
    <n v="3.2185999999999999"/>
    <n v="19.77"/>
    <n v="6.99"/>
    <n v="0.22"/>
    <n v="0.39877104377104378"/>
    <n v="0"/>
    <n v="12.161228956228957"/>
    <n v="6.0806144781144784"/>
    <d v="2025-01-31T00:00:00"/>
    <d v="2025-01-31T00:00:00"/>
    <d v="2025-01-31T00:00:00"/>
    <d v="2025-02-06T00:00:00"/>
    <s v="2025 01"/>
    <s v="Aguardando Liberação"/>
    <s v="2025 01"/>
    <s v="ENTREGUE"/>
    <d v="2025-01-10T00:00:00"/>
    <s v="-"/>
    <m/>
    <n v="0"/>
    <n v="0"/>
    <n v="0"/>
    <n v="0"/>
    <n v="0"/>
  </r>
  <r>
    <s v="BV"/>
    <s v="BV45662"/>
    <s v="Pedido 715"/>
    <d v="2025-01-05T00:00:00"/>
    <d v="2025-01-05T00:00:00"/>
    <s v="PedidoF696"/>
    <s v="CódRastreio694"/>
    <n v="1"/>
    <s v="CPF 693"/>
    <s v="Nome 693"/>
    <s v="Tel 693"/>
    <s v="Cep 693"/>
    <s v="Rua 693"/>
    <s v="Comp 693"/>
    <x v="2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d v="2025-02-06T00:00:00"/>
    <d v="2025-02-06T00:00:00"/>
    <d v="2025-02-06T00:00:00"/>
    <d v="2025-02-17T00:00:00"/>
    <s v="2025 02"/>
    <s v="Aguardando Liberação"/>
    <s v="2025 01"/>
    <s v="ENTREGUE"/>
    <d v="2025-01-13T00:00:00"/>
    <s v="-"/>
    <m/>
    <n v="0"/>
    <n v="0"/>
    <n v="0"/>
    <n v="0"/>
    <n v="0"/>
  </r>
  <r>
    <s v="BV"/>
    <s v="BV45663"/>
    <s v="Pedido 716"/>
    <d v="2025-01-06T00:00:00"/>
    <d v="2025-01-06T00:00:00"/>
    <s v="PedidoF697"/>
    <s v="CódRastreio695"/>
    <n v="1"/>
    <s v="CPF 694"/>
    <s v="Nome 694"/>
    <s v="Tel 694"/>
    <s v="Cep 694"/>
    <s v="Rua 694"/>
    <s v="Comp 694"/>
    <x v="2"/>
    <s v="DJ-RO5O-43GF"/>
    <d v="2025-01-30T00:00:00"/>
    <n v="22.99"/>
    <n v="22.99"/>
    <n v="3.2185999999999999"/>
    <n v="19.77"/>
    <n v="6.99"/>
    <n v="0.2"/>
    <n v="0.39877104377104378"/>
    <n v="0"/>
    <n v="12.181228956228956"/>
    <n v="6.0906144781144782"/>
    <d v="2025-02-06T00:00:00"/>
    <d v="2025-02-06T00:00:00"/>
    <d v="2025-02-06T00:00:00"/>
    <d v="2025-02-17T00:00:00"/>
    <s v="2025 02"/>
    <s v="Aguardando Liberação"/>
    <s v="2025 01"/>
    <s v="ENTREGUE"/>
    <d v="2025-01-13T00:00:00"/>
    <s v="-"/>
    <m/>
    <n v="0"/>
    <n v="0"/>
    <n v="0"/>
    <n v="0"/>
    <n v="0"/>
  </r>
  <r>
    <s v="BV"/>
    <s v="BV45662"/>
    <s v="Pedido 717"/>
    <d v="2025-01-05T00:00:00"/>
    <d v="2025-01-05T00:00:00"/>
    <s v="PedidoF698"/>
    <s v="CódRastreio696"/>
    <n v="1"/>
    <s v="CPF 695"/>
    <s v="Nome 695"/>
    <s v="Tel 695"/>
    <s v="Cep 695"/>
    <s v="Rua 695"/>
    <s v="Comp 695"/>
    <x v="2"/>
    <s v="DJ-RO5O-43GF"/>
    <d v="2025-01-24T00:00:00"/>
    <n v="22.99"/>
    <n v="22.99"/>
    <n v="3.2185999999999999"/>
    <n v="19.77"/>
    <n v="6.99"/>
    <n v="0.22"/>
    <n v="0.39877104377104378"/>
    <n v="0"/>
    <n v="12.161228956228957"/>
    <n v="6.0806144781144784"/>
    <d v="2025-01-31T00:00:00"/>
    <d v="2025-01-31T00:00:00"/>
    <d v="2025-01-31T00:00:00"/>
    <d v="2025-02-06T00:00:00"/>
    <s v="2025 01"/>
    <s v="Aguardando Liberação"/>
    <s v="2025 01"/>
    <s v="ENTREGUE"/>
    <d v="2025-01-15T00:00:00"/>
    <s v="-"/>
    <m/>
    <n v="0"/>
    <n v="0"/>
    <n v="0"/>
    <n v="0"/>
    <n v="0"/>
  </r>
  <r>
    <s v="BV"/>
    <s v="BV45662"/>
    <s v="Pedido 718"/>
    <d v="2025-01-05T00:00:00"/>
    <d v="2025-01-05T00:00:00"/>
    <s v="PedidoF699"/>
    <s v="CódRastreio697"/>
    <n v="1"/>
    <s v="CPF 696"/>
    <s v="Nome 696"/>
    <s v="Tel 696"/>
    <s v="Cep 696"/>
    <s v="Rua 696"/>
    <s v="Comp 696"/>
    <x v="2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d v="2025-02-06T00:00:00"/>
    <d v="2025-02-06T00:00:00"/>
    <d v="2025-02-06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62"/>
    <s v="Pedido 719"/>
    <d v="2025-01-05T00:00:00"/>
    <d v="2025-01-05T00:00:00"/>
    <s v="PedidoF700"/>
    <s v="CódRastreio698"/>
    <n v="1"/>
    <s v="CPF 697"/>
    <s v="Nome 697"/>
    <s v="Tel 697"/>
    <s v="Cep 697"/>
    <s v="Rua 697"/>
    <s v="Comp 697"/>
    <x v="2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d v="2025-02-06T00:00:00"/>
    <d v="2025-02-06T00:00:00"/>
    <d v="2025-02-06T00:00:00"/>
    <d v="2025-02-17T00:00:00"/>
    <s v="2025 02"/>
    <s v="Aguardando Liberação"/>
    <s v="2025 01"/>
    <s v="ENTREGUE"/>
    <d v="2025-01-15T00:00:00"/>
    <s v="-"/>
    <m/>
    <n v="0"/>
    <n v="0"/>
    <n v="0"/>
    <n v="0"/>
    <n v="0"/>
  </r>
  <r>
    <s v="BV"/>
    <s v="BV45662"/>
    <s v="Pedido 720"/>
    <d v="2025-01-05T00:00:00"/>
    <d v="2025-01-05T00:00:00"/>
    <s v="PedidoF701"/>
    <s v="CódRastreio699"/>
    <n v="1"/>
    <s v="CPF 698"/>
    <s v="Nome 698"/>
    <s v="Tel 698"/>
    <s v="Cep 698"/>
    <s v="Rua 698"/>
    <s v="Comp 698"/>
    <x v="3"/>
    <s v="IF-G2ZQ-79FO"/>
    <d v="2025-01-24T00:00:00"/>
    <n v="46.9"/>
    <n v="46.9"/>
    <n v="6.0970000000000004"/>
    <n v="40.799999999999997"/>
    <n v="10.15"/>
    <n v="0.22"/>
    <n v="0.39877104377104378"/>
    <n v="0"/>
    <n v="30.031228956228951"/>
    <n v="15.015614478114475"/>
    <d v="2025-01-31T00:00:00"/>
    <d v="2025-01-31T00:00:00"/>
    <d v="2025-01-31T00:00:00"/>
    <d v="2025-02-06T00:00:00"/>
    <s v="2025 01"/>
    <s v="Aguardando Liberação"/>
    <s v="2025 01"/>
    <s v="ENTREGUE"/>
    <d v="2025-01-11T00:00:00"/>
    <s v="-"/>
    <m/>
    <n v="0"/>
    <n v="0"/>
    <n v="0"/>
    <n v="0"/>
    <n v="0"/>
  </r>
  <r>
    <s v="BV"/>
    <s v="BV45666"/>
    <s v="Pedido 721"/>
    <d v="2025-01-09T00:00:00"/>
    <d v="2025-01-09T00:00:00"/>
    <s v="PedidoF702"/>
    <s v="CódRastreio700"/>
    <n v="1"/>
    <s v="CPF 699"/>
    <s v="Nome 699"/>
    <s v="Tel 699"/>
    <s v="Cep 699"/>
    <s v="Rua 699"/>
    <s v="Comp 699"/>
    <x v="3"/>
    <s v="IF-G2ZQ-79FO"/>
    <d v="2025-01-30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06T00:00:00"/>
    <d v="2025-02-06T00:00:00"/>
    <d v="2025-02-06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66"/>
    <s v="Pedido 722"/>
    <d v="2025-01-09T00:00:00"/>
    <d v="2025-01-09T00:00:00"/>
    <s v="PedidoF703"/>
    <s v="CódRastreio701"/>
    <n v="1"/>
    <s v="CPF 700"/>
    <s v="Nome 700"/>
    <s v="Tel 700"/>
    <s v="Cep 700"/>
    <s v="Rua 700"/>
    <s v="Comp 700"/>
    <x v="3"/>
    <s v="IF-G2ZQ-79FO"/>
    <d v="2025-01-30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06T00:00:00"/>
    <d v="2025-02-06T00:00:00"/>
    <d v="2025-02-06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66"/>
    <s v="Pedido 723"/>
    <d v="2025-01-09T00:00:00"/>
    <d v="2025-01-09T00:00:00"/>
    <s v="PedidoF704"/>
    <s v="CódRastreio702"/>
    <n v="1"/>
    <s v="CPF 701"/>
    <s v="Nome 701"/>
    <s v="Tel 701"/>
    <s v="Cep 701"/>
    <s v="Rua 701"/>
    <s v="Comp 701"/>
    <x v="3"/>
    <s v="IF-G2ZQ-79FO"/>
    <d v="2025-02-06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13T00:00:00"/>
    <d v="2025-02-13T00:00:00"/>
    <d v="2025-02-14T00:00:00"/>
    <d v="2025-02-17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-"/>
    <s v="Pedido 724"/>
    <d v="2024-12-01T00:00:00"/>
    <s v="-"/>
    <s v="-"/>
    <s v="-"/>
    <n v="1"/>
    <s v="CPF 702"/>
    <s v="Nome 702"/>
    <s v="Tel 702"/>
    <s v="Cep 702"/>
    <s v="Rua 702"/>
    <s v="Comp 702"/>
    <x v="20"/>
    <s v="5D-KKPK-K70I"/>
    <d v="2025-01-24T00:00:00"/>
    <n v="23.8"/>
    <n v="23.8"/>
    <n v="3.57"/>
    <n v="20.23"/>
    <n v="0"/>
    <n v="0"/>
    <n v="0"/>
    <n v="0"/>
    <n v="20.23"/>
    <n v="10.115"/>
    <d v="2025-01-31T00:00:00"/>
    <d v="2025-01-31T00:00:00"/>
    <d v="2025-01-31T00:00:00"/>
    <d v="2025-02-06T00:00:00"/>
    <s v="2025 01"/>
    <s v="Aguardando Liberação"/>
    <s v="- -"/>
    <s v="-"/>
    <s v="-"/>
    <s v="-"/>
    <m/>
    <n v="0"/>
    <n v="0"/>
    <n v="0"/>
    <n v="0"/>
    <n v="0"/>
  </r>
  <r>
    <s v="BV"/>
    <s v="BV45666"/>
    <s v="Pedido 725"/>
    <d v="2025-01-09T00:00:00"/>
    <d v="2025-01-09T00:00:00"/>
    <s v="PedidoF705"/>
    <s v="CódRastreio703"/>
    <n v="1"/>
    <s v="CPF 703"/>
    <s v="Nome 703"/>
    <s v="Tel 703"/>
    <s v="Cep 703"/>
    <s v="Rua 703"/>
    <s v="Comp 703"/>
    <x v="3"/>
    <s v="IF-G2ZQ-79FO"/>
    <d v="2025-02-06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13T00:00:00"/>
    <d v="2025-02-13T00:00:00"/>
    <d v="2025-02-14T00:00:00"/>
    <d v="2025-02-17T00:00:00"/>
    <s v="2025 02"/>
    <s v="Aguardando Liberação"/>
    <s v="2025 01"/>
    <s v="ENTREGUE"/>
    <d v="2025-02-03T00:00:00"/>
    <s v="-"/>
    <m/>
    <n v="0"/>
    <n v="0"/>
    <n v="0"/>
    <n v="0"/>
    <n v="0"/>
  </r>
  <r>
    <s v="BV"/>
    <s v="BV-"/>
    <s v="Pedido 726"/>
    <d v="2024-12-01T00:00:00"/>
    <s v="-"/>
    <s v="-"/>
    <s v="-"/>
    <n v="1"/>
    <s v="CPF 704"/>
    <s v="Nome 704"/>
    <s v="Tel 704"/>
    <s v="Cep 704"/>
    <s v="Rua 704"/>
    <s v="Comp 704"/>
    <x v="10"/>
    <s v="MU-J80P-95WF"/>
    <d v="2025-02-06T00:00:00"/>
    <n v="65.599999999999994"/>
    <n v="65.599999999999994"/>
    <n v="8.5279999999999987"/>
    <n v="57.07"/>
    <n v="0"/>
    <n v="0"/>
    <n v="0"/>
    <n v="0"/>
    <n v="57.07"/>
    <n v="28.535"/>
    <d v="2025-02-13T00:00:00"/>
    <d v="2025-02-13T00:00:00"/>
    <d v="2025-02-14T00:00:00"/>
    <d v="2025-02-17T00:00:00"/>
    <s v="2025 02"/>
    <s v="Aguardando Liberação"/>
    <s v="- -"/>
    <s v="-"/>
    <s v="-"/>
    <s v="-"/>
    <m/>
    <n v="1.71"/>
    <n v="0"/>
    <n v="0"/>
    <n v="0"/>
    <n v="1.71"/>
  </r>
  <r>
    <s v="BV"/>
    <s v="BV45666"/>
    <s v="Pedido 727"/>
    <d v="2025-01-09T00:00:00"/>
    <d v="2025-01-09T00:00:00"/>
    <s v="PedidoF706"/>
    <s v="CódRastreio704"/>
    <n v="1"/>
    <s v="CPF 705"/>
    <s v="Nome 705"/>
    <s v="Tel 705"/>
    <s v="Cep 705"/>
    <s v="Rua 705"/>
    <s v="Comp 705"/>
    <x v="13"/>
    <s v="YA-AG3H-SPUK"/>
    <d v="2025-01-24T00:00:00"/>
    <n v="21.99"/>
    <n v="21.99"/>
    <n v="2.6387999999999998"/>
    <n v="19.350000000000001"/>
    <n v="11.72"/>
    <n v="0.66"/>
    <n v="0.39877104377104378"/>
    <n v="0"/>
    <n v="6.571228956228957"/>
    <n v="3.2856144781144785"/>
    <d v="2025-01-31T00:00:00"/>
    <d v="2025-01-31T00:00:00"/>
    <d v="2025-01-31T00:00:00"/>
    <d v="2025-02-06T00:00:00"/>
    <s v="2025 01"/>
    <s v="Aguardando Liberação"/>
    <s v="2025 01"/>
    <s v="ENTREGUE"/>
    <d v="2025-01-17T00:00:00"/>
    <s v="-"/>
    <m/>
    <n v="0"/>
    <n v="0"/>
    <n v="0"/>
    <n v="0"/>
    <n v="0"/>
  </r>
  <r>
    <s v="BV"/>
    <s v="BV45666"/>
    <s v="Pedido 728"/>
    <d v="2025-01-09T00:00:00"/>
    <d v="2025-01-09T00:00:00"/>
    <s v="PedidoF707"/>
    <s v="CódRastreio705"/>
    <n v="1"/>
    <s v="CPF 706"/>
    <s v="Nome 706"/>
    <s v="Tel 706"/>
    <s v="Cep 706"/>
    <s v="Rua 706"/>
    <s v="Comp 706"/>
    <x v="3"/>
    <s v="IF-G2ZQ-79FO"/>
    <d v="2025-01-31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07T00:00:00"/>
    <d v="2025-02-07T00:00:00"/>
    <d v="2025-02-11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66"/>
    <s v="Pedido 729"/>
    <d v="2025-01-09T00:00:00"/>
    <d v="2025-01-09T00:00:00"/>
    <s v="PedidoF708"/>
    <s v="CódRastreio706"/>
    <n v="1"/>
    <s v="CPF 707"/>
    <s v="Nome 707"/>
    <s v="Tel 707"/>
    <s v="Cep 707"/>
    <s v="Rua 707"/>
    <s v="Comp 707"/>
    <x v="3"/>
    <s v="IF-G2ZQ-79FO"/>
    <d v="2025-01-25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01T00:00:00"/>
    <d v="2025-02-01T00:00:00"/>
    <d v="2025-02-05T00:00:00"/>
    <d v="2025-02-17T00:00:00"/>
    <s v="2025 02"/>
    <s v="Aguardando Liberação"/>
    <s v="2025 01"/>
    <s v="ENTREGUE"/>
    <d v="2025-01-28T00:00:00"/>
    <s v="-"/>
    <m/>
    <n v="0"/>
    <n v="0"/>
    <n v="0"/>
    <n v="0"/>
    <n v="0"/>
  </r>
  <r>
    <s v="BV"/>
    <s v="BV45666"/>
    <s v="Pedido 730"/>
    <d v="2025-01-09T00:00:00"/>
    <d v="2025-01-09T00:00:00"/>
    <s v="PedidoF709"/>
    <s v="CódRastreio707"/>
    <n v="1"/>
    <s v="CPF 708"/>
    <s v="Nome 708"/>
    <s v="Tel 708"/>
    <s v="Cep 708"/>
    <s v="Rua 708"/>
    <s v="Comp 708"/>
    <x v="3"/>
    <s v="IF-G2ZQ-79FO"/>
    <d v="2025-01-31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07T00:00:00"/>
    <d v="2025-02-07T00:00:00"/>
    <d v="2025-02-11T00:00:00"/>
    <d v="2025-02-17T00:00:00"/>
    <s v="2025 02"/>
    <s v="Aguardando Liberação"/>
    <s v="2025 01"/>
    <s v="ENTREGUE"/>
    <d v="2025-01-28T00:00:00"/>
    <s v="-"/>
    <m/>
    <n v="0"/>
    <n v="0"/>
    <n v="0"/>
    <n v="0"/>
    <n v="0"/>
  </r>
  <r>
    <s v="BV"/>
    <s v="BV45666"/>
    <s v="Pedido 731"/>
    <d v="2025-01-09T00:00:00"/>
    <d v="2025-01-09T00:00:00"/>
    <s v="PedidoF710"/>
    <s v="CódRastreio708"/>
    <n v="1"/>
    <s v="CPF 709"/>
    <s v="Nome 709"/>
    <s v="Tel 709"/>
    <s v="Cep 709"/>
    <s v="Rua 709"/>
    <s v="Comp 709"/>
    <x v="3"/>
    <s v="IF-G2ZQ-79FO"/>
    <d v="2025-01-31T00:00:00"/>
    <n v="46.9"/>
    <n v="46.9"/>
    <n v="6.0970000000000004"/>
    <n v="40.799999999999997"/>
    <n v="19.510000000000002"/>
    <n v="0.66"/>
    <n v="0.39877104377104378"/>
    <n v="0"/>
    <n v="20.23122895622895"/>
    <n v="10.115614478114475"/>
    <d v="2025-02-07T00:00:00"/>
    <d v="2025-02-07T00:00:00"/>
    <d v="2025-02-11T00:00:00"/>
    <d v="2025-02-17T00:00:00"/>
    <s v="2025 02"/>
    <s v="Aguardando Liberação"/>
    <s v="2025 01"/>
    <s v="ENTREGUE"/>
    <d v="2025-01-28T00:00:00"/>
    <s v="-"/>
    <m/>
    <n v="0"/>
    <n v="0"/>
    <n v="0"/>
    <n v="0"/>
    <n v="0"/>
  </r>
  <r>
    <s v="BV"/>
    <s v="BV45667"/>
    <s v="Pedido 732"/>
    <d v="2025-01-10T00:00:00"/>
    <d v="2025-01-10T00:00:00"/>
    <s v="PedidoF711"/>
    <s v="CódRastreio709"/>
    <n v="1"/>
    <s v="CPF 710"/>
    <s v="Nome 710"/>
    <s v="Tel 710"/>
    <s v="Cep 710"/>
    <s v="Rua 710"/>
    <s v="Comp 710"/>
    <x v="13"/>
    <s v="YA-AG3H-SPUK"/>
    <d v="2025-01-25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2-01T00:00:00"/>
    <d v="2025-02-01T00:00:00"/>
    <d v="2025-02-05T00:00:00"/>
    <d v="2025-02-17T00:00:00"/>
    <s v="2025 02"/>
    <s v="Aguardando Liberação"/>
    <s v="2025 01"/>
    <s v="ENTREGUE"/>
    <d v="2025-01-16T00:00:00"/>
    <s v="-"/>
    <m/>
    <n v="0"/>
    <n v="0"/>
    <n v="0"/>
    <n v="0"/>
    <n v="0"/>
  </r>
  <r>
    <s v="BV"/>
    <s v="BV45667"/>
    <s v="Pedido 733"/>
    <d v="2025-01-10T00:00:00"/>
    <d v="2025-01-10T00:00:00"/>
    <s v="PedidoF712"/>
    <s v="CódRastreio710"/>
    <n v="1"/>
    <s v="CPF 711"/>
    <s v="Nome 711"/>
    <s v="Tel 711"/>
    <s v="Cep 711"/>
    <s v="Rua 711"/>
    <s v="Comp 711"/>
    <x v="13"/>
    <s v="YA-AG3H-SPUK"/>
    <d v="2025-01-23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1-30T00:00:00"/>
    <d v="2025-01-30T00:00:00"/>
    <d v="2025-01-31T00:00:00"/>
    <d v="2025-02-06T00:00:00"/>
    <s v="2025 01"/>
    <s v="Aguardando Liberação"/>
    <s v="2025 01"/>
    <s v="ENTREGUE"/>
    <d v="2025-01-16T00:00:00"/>
    <s v="-"/>
    <m/>
    <n v="0"/>
    <n v="0"/>
    <n v="0"/>
    <n v="0"/>
    <n v="0"/>
  </r>
  <r>
    <s v="BV"/>
    <s v="BV45667"/>
    <s v="Pedido 734"/>
    <d v="2025-01-10T00:00:00"/>
    <d v="2025-01-10T00:00:00"/>
    <s v="PedidoF713"/>
    <s v="CódRastreio711"/>
    <n v="1"/>
    <s v="CPF 712"/>
    <s v="Nome 712"/>
    <s v="Tel 712"/>
    <s v="Cep 712"/>
    <s v="Rua 712"/>
    <s v="Comp 712"/>
    <x v="3"/>
    <s v="IF-G2ZQ-79FO"/>
    <d v="2025-01-31T00:00:00"/>
    <n v="46.9"/>
    <n v="46.9"/>
    <n v="6.0970000000000004"/>
    <n v="40.799999999999997"/>
    <n v="19.510000000000002"/>
    <n v="0.21"/>
    <n v="0.39877104377104378"/>
    <n v="0"/>
    <n v="20.681228956228949"/>
    <n v="10.340614478114475"/>
    <d v="2025-02-07T00:00:00"/>
    <d v="2025-02-07T00:00:00"/>
    <d v="2025-02-11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67"/>
    <s v="Pedido 735"/>
    <d v="2025-01-10T00:00:00"/>
    <d v="2025-01-10T00:00:00"/>
    <s v="PedidoF714"/>
    <s v="CódRastreio712"/>
    <n v="1"/>
    <s v="CPF 713"/>
    <s v="Nome 713"/>
    <s v="Tel 713"/>
    <s v="Cep 713"/>
    <s v="Rua 713"/>
    <s v="Comp 713"/>
    <x v="1"/>
    <s v="CK-YL6M-P5Y6"/>
    <d v="2025-01-25T00:00:00"/>
    <n v="33.9"/>
    <n v="33.9"/>
    <n v="4.407"/>
    <n v="29.49"/>
    <n v="15.99"/>
    <n v="0.21"/>
    <n v="0.39877104377104378"/>
    <n v="0"/>
    <n v="12.891228956228954"/>
    <n v="6.4456144781144769"/>
    <d v="2025-02-01T00:00:00"/>
    <d v="2025-02-01T00:00:00"/>
    <d v="2025-02-05T00:00:00"/>
    <d v="2025-02-17T00:00:00"/>
    <s v="2025 02"/>
    <s v="Aguardando Liberação"/>
    <s v="2025 01"/>
    <s v="ENTREGUE"/>
    <d v="2025-01-17T00:00:00"/>
    <s v="-"/>
    <m/>
    <n v="0"/>
    <n v="0"/>
    <n v="0"/>
    <n v="0"/>
    <n v="0"/>
  </r>
  <r>
    <s v="BV"/>
    <s v="BV45667"/>
    <s v="Pedido 736"/>
    <d v="2025-01-10T00:00:00"/>
    <d v="2025-01-10T00:00:00"/>
    <s v="PedidoF715"/>
    <s v="CódRastreio713"/>
    <n v="1"/>
    <s v="CPF 714"/>
    <s v="Nome 714"/>
    <s v="Tel 714"/>
    <s v="Cep 714"/>
    <s v="Rua 714"/>
    <s v="Comp 714"/>
    <x v="13"/>
    <s v="YA-AG3H-SPUK"/>
    <d v="2025-01-25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2-01T00:00:00"/>
    <d v="2025-02-01T00:00:00"/>
    <d v="2025-02-05T00:00:00"/>
    <d v="2025-02-17T00:00:00"/>
    <s v="2025 02"/>
    <s v="Aguardando Liberação"/>
    <s v="2025 01"/>
    <s v="ENTREGUE"/>
    <d v="2025-01-21T00:00:00"/>
    <s v="-"/>
    <m/>
    <n v="0"/>
    <n v="0"/>
    <n v="0"/>
    <n v="0"/>
    <n v="0"/>
  </r>
  <r>
    <s v="BV"/>
    <s v="BV45667"/>
    <s v="Pedido 737"/>
    <d v="2025-01-10T00:00:00"/>
    <d v="2025-01-10T00:00:00"/>
    <s v="PedidoF716"/>
    <s v="CódRastreio714"/>
    <n v="1"/>
    <s v="CPF 715"/>
    <s v="Nome 715"/>
    <s v="Tel 715"/>
    <s v="Cep 715"/>
    <s v="Rua 715"/>
    <s v="Comp 715"/>
    <x v="3"/>
    <s v="IF-G2ZQ-79FO"/>
    <d v="2025-01-31T00:00:00"/>
    <n v="46.9"/>
    <n v="46.9"/>
    <n v="6.0970000000000004"/>
    <n v="40.799999999999997"/>
    <n v="19.510000000000002"/>
    <n v="0.21"/>
    <n v="0.39877104377104378"/>
    <n v="0"/>
    <n v="20.681228956228949"/>
    <n v="10.340614478114475"/>
    <d v="2025-02-07T00:00:00"/>
    <d v="2025-02-07T00:00:00"/>
    <d v="2025-02-11T00:00:00"/>
    <d v="2025-02-17T00:00:00"/>
    <s v="2025 02"/>
    <s v="Aguardando Liberação"/>
    <s v="2025 01"/>
    <s v="ENTREGUE"/>
    <d v="2025-01-28T00:00:00"/>
    <s v="-"/>
    <m/>
    <n v="0"/>
    <n v="0"/>
    <n v="0"/>
    <n v="0"/>
    <n v="0"/>
  </r>
  <r>
    <s v="BV"/>
    <s v="BV45667"/>
    <s v="Pedido 738"/>
    <d v="2025-01-10T00:00:00"/>
    <d v="2025-01-10T00:00:00"/>
    <s v="PedidoF717"/>
    <s v="CódRastreio715"/>
    <n v="1"/>
    <s v="CPF 716"/>
    <s v="Nome 716"/>
    <s v="Tel 716"/>
    <s v="Cep 716"/>
    <s v="Rua 716"/>
    <s v="Comp 716"/>
    <x v="13"/>
    <s v="YA-AG3H-SPUK"/>
    <d v="2025-01-28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2-04T00:00:00"/>
    <d v="2025-02-04T00:00:00"/>
    <d v="2025-02-05T00:00:00"/>
    <d v="2025-02-17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67"/>
    <s v="Pedido 739"/>
    <d v="2025-01-10T00:00:00"/>
    <d v="2025-01-10T00:00:00"/>
    <s v="PedidoF718"/>
    <s v="CódRastreio716"/>
    <n v="1"/>
    <s v="CPF 717"/>
    <s v="Nome 717"/>
    <s v="Tel 717"/>
    <s v="Cep 717"/>
    <s v="Rua 717"/>
    <s v="Comp 717"/>
    <x v="3"/>
    <s v="IF-G2ZQ-79FO"/>
    <d v="2025-02-01T00:00:00"/>
    <n v="46.9"/>
    <n v="46.9"/>
    <n v="6.0970000000000004"/>
    <n v="40.799999999999997"/>
    <n v="19.190000000000001"/>
    <n v="0.21"/>
    <n v="0.39877104377104378"/>
    <n v="0"/>
    <n v="21.00122895622895"/>
    <n v="10.500614478114475"/>
    <d v="2025-02-08T00:00:00"/>
    <d v="2025-02-08T00:00:00"/>
    <d v="2025-02-11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67"/>
    <s v="Pedido 740"/>
    <d v="2025-01-10T00:00:00"/>
    <d v="2025-01-10T00:00:00"/>
    <s v="PedidoF719"/>
    <s v="CódRastreio717"/>
    <n v="1"/>
    <s v="CPF 718"/>
    <s v="Nome 718"/>
    <s v="Tel 718"/>
    <s v="Cep 718"/>
    <s v="Rua 718"/>
    <s v="Comp 718"/>
    <x v="10"/>
    <s v="MU-J80P-95WF"/>
    <d v="2025-02-01T00:00:00"/>
    <n v="65.599999999999994"/>
    <n v="65.599999999999994"/>
    <n v="8.5279999999999987"/>
    <n v="57.07"/>
    <n v="19.64"/>
    <n v="0.21"/>
    <n v="0.39877104377104378"/>
    <n v="0"/>
    <n v="36.82122895622895"/>
    <n v="18.410614478114475"/>
    <d v="2025-02-08T00:00:00"/>
    <d v="2025-02-08T00:00:00"/>
    <d v="2025-02-11T00:00:00"/>
    <d v="2025-02-17T00:00:00"/>
    <s v="2025 02"/>
    <s v="Aguardando Liberação"/>
    <s v="2025 01"/>
    <s v="ENTREGUE"/>
    <d v="2025-01-25T00:00:00"/>
    <s v="-"/>
    <m/>
    <n v="0"/>
    <n v="0"/>
    <n v="0"/>
    <n v="0"/>
    <n v="0"/>
  </r>
  <r>
    <s v="BV"/>
    <s v="BV45667"/>
    <s v="Pedido 741"/>
    <d v="2025-01-10T00:00:00"/>
    <d v="2025-01-10T00:00:00"/>
    <s v="PedidoF720"/>
    <s v="CódRastreio718"/>
    <n v="1"/>
    <s v="CPF 719"/>
    <s v="Nome 719"/>
    <s v="Tel 719"/>
    <s v="Cep 719"/>
    <s v="Rua 719"/>
    <s v="Comp 719"/>
    <x v="3"/>
    <s v="IF-G2ZQ-79FO"/>
    <d v="2025-02-01T00:00:00"/>
    <n v="46.9"/>
    <n v="46.9"/>
    <n v="6.0970000000000004"/>
    <n v="40.799999999999997"/>
    <n v="19.510000000000002"/>
    <n v="0.21"/>
    <n v="0.39877104377104378"/>
    <n v="0"/>
    <n v="20.681228956228949"/>
    <n v="10.340614478114475"/>
    <d v="2025-02-08T00:00:00"/>
    <d v="2025-02-08T00:00:00"/>
    <d v="2025-02-11T00:00:00"/>
    <d v="2025-02-17T00:00:00"/>
    <s v="2025 02"/>
    <s v="Aguardando Liberação"/>
    <s v="2025 01"/>
    <s v="ENTREGUE"/>
    <d v="2025-01-29T00:00:00"/>
    <s v="-"/>
    <m/>
    <n v="0"/>
    <n v="0"/>
    <n v="0"/>
    <n v="0"/>
    <n v="0"/>
  </r>
  <r>
    <s v="BV"/>
    <s v="BV45667"/>
    <s v="Pedido 742"/>
    <d v="2025-01-10T00:00:00"/>
    <d v="2025-01-10T00:00:00"/>
    <s v="PedidoF721"/>
    <s v="CódRastreio719"/>
    <n v="1"/>
    <s v="CPF 720"/>
    <s v="Nome 720"/>
    <s v="Tel 720"/>
    <s v="Cep 720"/>
    <s v="Rua 720"/>
    <s v="Comp 720"/>
    <x v="6"/>
    <s v="KN-TBQL-K2MM"/>
    <d v="2025-01-22T00:00:00"/>
    <n v="27.99"/>
    <n v="27.99"/>
    <n v="3.6387"/>
    <n v="24.35"/>
    <n v="9.1999999999999993"/>
    <n v="0.21"/>
    <n v="0.39877104377104378"/>
    <n v="0"/>
    <n v="14.541228956228958"/>
    <n v="7.2706144781144788"/>
    <d v="2025-01-29T00:00:00"/>
    <d v="2025-01-29T00:00:00"/>
    <d v="2025-01-31T00:00:00"/>
    <d v="2025-02-06T00:00:00"/>
    <s v="2025 01"/>
    <s v="Aguardando Liberação"/>
    <s v="2025 01"/>
    <s v="ENTREGUE"/>
    <d v="2025-01-14T00:00:00"/>
    <s v="-"/>
    <m/>
    <n v="0"/>
    <n v="0"/>
    <n v="0"/>
    <n v="0"/>
    <n v="0"/>
  </r>
  <r>
    <s v="BV"/>
    <s v="BV45667"/>
    <s v="Pedido 743"/>
    <d v="2025-01-10T00:00:00"/>
    <d v="2025-01-10T00:00:00"/>
    <s v="PedidoF722"/>
    <s v="CódRastreio720"/>
    <n v="1"/>
    <s v="CPF 721"/>
    <s v="Nome 721"/>
    <s v="Tel 721"/>
    <s v="Cep 721"/>
    <s v="Rua 721"/>
    <s v="Comp 721"/>
    <x v="13"/>
    <s v="YA-AG3H-SPUK"/>
    <d v="2025-02-01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2-08T00:00:00"/>
    <d v="2025-02-08T00:00:00"/>
    <d v="2025-02-11T00:00:00"/>
    <d v="2025-02-17T00:00:00"/>
    <s v="2025 02"/>
    <s v="Aguardando Liberação"/>
    <s v="2025 01"/>
    <s v="ENTREGUE"/>
    <d v="2025-01-17T00:00:00"/>
    <s v="-"/>
    <m/>
    <n v="0"/>
    <n v="0"/>
    <n v="0"/>
    <n v="0"/>
    <n v="0"/>
  </r>
  <r>
    <s v="BV"/>
    <s v="BV45667"/>
    <s v="Pedido 744"/>
    <d v="2025-01-10T00:00:00"/>
    <d v="2025-01-10T00:00:00"/>
    <s v="PedidoF723"/>
    <s v="CódRastreio721"/>
    <n v="1"/>
    <s v="CPF 722"/>
    <s v="Nome 722"/>
    <s v="Tel 722"/>
    <s v="Cep 722"/>
    <s v="Rua 722"/>
    <s v="Comp 722"/>
    <x v="13"/>
    <s v="YA-AG3H-SPUK"/>
    <d v="2025-01-22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1-29T00:00:00"/>
    <d v="2025-01-29T00:00:00"/>
    <d v="2025-01-31T00:00:00"/>
    <d v="2025-02-06T00:00:00"/>
    <s v="2025 01"/>
    <s v="Aguardando Liberação"/>
    <s v="2025 01"/>
    <s v="ENTREGUE"/>
    <d v="2025-01-14T00:00:00"/>
    <s v="-"/>
    <m/>
    <n v="0"/>
    <n v="0"/>
    <n v="0"/>
    <n v="0"/>
    <n v="0"/>
  </r>
  <r>
    <s v="BV"/>
    <s v="BV45667"/>
    <s v="Pedido 745"/>
    <d v="2025-01-10T00:00:00"/>
    <d v="2025-01-10T00:00:00"/>
    <s v="PedidoF724"/>
    <s v="CódRastreio722"/>
    <n v="1"/>
    <s v="CPF 723"/>
    <s v="Nome 723"/>
    <s v="Tel 723"/>
    <s v="Cep 723"/>
    <s v="Rua 723"/>
    <s v="Comp 723"/>
    <x v="13"/>
    <s v="YA-AG3H-SPUK"/>
    <d v="2025-02-01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2-08T00:00:00"/>
    <d v="2025-02-08T00:00:00"/>
    <d v="2025-02-11T00:00:00"/>
    <d v="2025-02-17T00:00:00"/>
    <s v="2025 02"/>
    <s v="Aguardando Liberação"/>
    <s v="2025 01"/>
    <s v="ENTREGUE"/>
    <d v="2025-01-17T00:00:00"/>
    <s v="-"/>
    <m/>
    <n v="0"/>
    <n v="0"/>
    <n v="0"/>
    <n v="0"/>
    <n v="0"/>
  </r>
  <r>
    <s v="BV"/>
    <s v="BV45667"/>
    <s v="Pedido 746"/>
    <d v="2025-01-10T00:00:00"/>
    <d v="2025-01-10T00:00:00"/>
    <s v="PedidoF725"/>
    <s v="CódRastreio723"/>
    <n v="1"/>
    <s v="CPF 724"/>
    <s v="Nome 724"/>
    <s v="Tel 724"/>
    <s v="Cep 724"/>
    <s v="Rua 724"/>
    <s v="Comp 724"/>
    <x v="0"/>
    <s v="16-4EDB-WMZF"/>
    <d v="2025-02-01T00:00:00"/>
    <n v="21.99"/>
    <n v="21.99"/>
    <n v="3.2984999999999998"/>
    <n v="18.690000000000001"/>
    <n v="9.99"/>
    <n v="0.21"/>
    <n v="0.39877104377104378"/>
    <n v="0"/>
    <n v="8.0912289562289565"/>
    <n v="4.0456144781144783"/>
    <d v="2025-02-08T00:00:00"/>
    <d v="2025-02-08T00:00:00"/>
    <d v="2025-02-11T00:00:00"/>
    <d v="2025-02-17T00:00:00"/>
    <s v="2025 02"/>
    <s v="Aguardando Liberação"/>
    <s v="2025 01"/>
    <s v="ENTREGUE"/>
    <d v="2025-01-20T00:00:00"/>
    <s v="-"/>
    <m/>
    <n v="0"/>
    <n v="0"/>
    <n v="0"/>
    <n v="0"/>
    <n v="0"/>
  </r>
  <r>
    <s v="BV"/>
    <s v="BV45667"/>
    <s v="Pedido 747"/>
    <d v="2025-01-10T00:00:00"/>
    <d v="2025-01-10T00:00:00"/>
    <s v="PedidoF726"/>
    <s v="CódRastreio724"/>
    <n v="1"/>
    <s v="CPF 725"/>
    <s v="Nome 725"/>
    <s v="Tel 725"/>
    <s v="Cep 725"/>
    <s v="Rua 725"/>
    <s v="Comp 725"/>
    <x v="10"/>
    <s v="MU-J80P-95WF"/>
    <d v="2025-02-01T00:00:00"/>
    <n v="65.599999999999994"/>
    <n v="65.599999999999994"/>
    <n v="8.5279999999999987"/>
    <n v="57.07"/>
    <n v="19.64"/>
    <n v="0.21"/>
    <n v="0.39877104377104378"/>
    <n v="0"/>
    <n v="36.82122895622895"/>
    <n v="18.410614478114475"/>
    <d v="2025-02-08T00:00:00"/>
    <d v="2025-02-08T00:00:00"/>
    <d v="2025-02-11T00:00:00"/>
    <d v="2025-02-17T00:00:00"/>
    <s v="2025 02"/>
    <s v="Aguardando Liberação"/>
    <s v="2025 01"/>
    <s v="ENTREGUE"/>
    <d v="2025-01-29T00:00:00"/>
    <s v="-"/>
    <m/>
    <n v="0"/>
    <n v="0"/>
    <n v="0"/>
    <n v="0"/>
    <n v="0"/>
  </r>
  <r>
    <s v="BV"/>
    <s v="BV45667"/>
    <s v="Pedido 748"/>
    <d v="2025-01-10T00:00:00"/>
    <d v="2025-01-10T00:00:00"/>
    <s v="PedidoF727"/>
    <s v="CódRastreio725"/>
    <n v="1"/>
    <s v="CPF 726"/>
    <s v="Nome 726"/>
    <s v="Tel 726"/>
    <s v="Cep 726"/>
    <s v="Rua 726"/>
    <s v="Comp 726"/>
    <x v="0"/>
    <s v="16-4EDB-WMZF"/>
    <d v="2025-02-01T00:00:00"/>
    <n v="21.99"/>
    <n v="21.99"/>
    <n v="3.2984999999999998"/>
    <n v="18.690000000000001"/>
    <n v="9.99"/>
    <n v="0.21"/>
    <n v="0.39877104377104378"/>
    <n v="0"/>
    <n v="8.0912289562289565"/>
    <n v="4.0456144781144783"/>
    <d v="2025-02-08T00:00:00"/>
    <d v="2025-02-08T00:00:00"/>
    <d v="2025-02-11T00:00:00"/>
    <d v="2025-02-17T00:00:00"/>
    <s v="2025 02"/>
    <s v="Aguardando Liberação"/>
    <s v="2025 01"/>
    <s v="ENTREGUE"/>
    <d v="2025-01-25T00:00:00"/>
    <s v="-"/>
    <m/>
    <n v="0"/>
    <n v="0"/>
    <n v="0"/>
    <n v="0"/>
    <n v="0"/>
  </r>
  <r>
    <s v="BV"/>
    <s v="BV45667"/>
    <s v="Pedido 749"/>
    <d v="2025-01-10T00:00:00"/>
    <d v="2025-01-10T00:00:00"/>
    <s v="PedidoF728"/>
    <s v="CódRastreio726"/>
    <n v="1"/>
    <s v="CPF 727"/>
    <s v="Nome 727"/>
    <s v="Tel 727"/>
    <s v="Cep 727"/>
    <s v="Rua 727"/>
    <s v="Comp 727"/>
    <x v="13"/>
    <s v="YA-AG3H-SPUK"/>
    <d v="2025-01-28T00:00:00"/>
    <n v="21.99"/>
    <n v="21.99"/>
    <n v="2.6387999999999998"/>
    <n v="19.350000000000001"/>
    <n v="11.72"/>
    <n v="0.21"/>
    <n v="0.39877104377104378"/>
    <n v="0"/>
    <n v="7.0212289562289563"/>
    <n v="3.5106144781144781"/>
    <d v="2025-02-04T00:00:00"/>
    <d v="2025-02-04T00:00:00"/>
    <d v="2025-02-05T00:00:00"/>
    <d v="2025-02-17T00:00:00"/>
    <s v="2025 02"/>
    <s v="Aguardando Liberação"/>
    <s v="2025 01"/>
    <s v="ENTREGUE"/>
    <d v="2025-01-16T00:00:00"/>
    <s v="-"/>
    <m/>
    <n v="0"/>
    <n v="0"/>
    <n v="0"/>
    <n v="0"/>
    <n v="0"/>
  </r>
  <r>
    <s v="BV"/>
    <s v="BV45667"/>
    <s v="Pedido 750"/>
    <d v="2025-01-10T00:00:00"/>
    <d v="2025-01-10T00:00:00"/>
    <s v="PedidoF729"/>
    <s v="CódRastreio727"/>
    <n v="1"/>
    <s v="CPF 728"/>
    <s v="Nome 728"/>
    <s v="Tel 728"/>
    <s v="Cep 728"/>
    <s v="Rua 728"/>
    <s v="Comp 728"/>
    <x v="10"/>
    <s v="MU-J80P-95WF"/>
    <d v="2025-02-04T00:00:00"/>
    <n v="66.989999999999995"/>
    <n v="66.989999999999995"/>
    <n v="8.7087000000000003"/>
    <n v="58.28"/>
    <n v="0"/>
    <n v="0.21"/>
    <n v="0.39877104377104378"/>
    <n v="0"/>
    <n v="57.671228956228958"/>
    <n v="28.835614478114479"/>
    <d v="2025-02-11T00:00:00"/>
    <d v="2025-02-11T00:00:00"/>
    <d v="2025-02-14T00:00:00"/>
    <d v="2025-02-17T00:00:00"/>
    <s v="2025 02"/>
    <s v="Aguardando Liberação"/>
    <s v="2025 01"/>
    <s v="ENTREGUE"/>
    <d v="2025-02-01T00:00:00"/>
    <s v="-"/>
    <m/>
    <n v="1.74"/>
    <n v="0"/>
    <n v="0"/>
    <n v="0"/>
    <n v="1.74"/>
  </r>
  <r>
    <s v="BV"/>
    <s v="BV45667"/>
    <s v="Pedido 751"/>
    <d v="2025-01-10T00:00:00"/>
    <d v="2025-01-10T00:00:00"/>
    <s v="PedidoF730"/>
    <s v="CódRastreio728"/>
    <n v="1"/>
    <s v="CPF 729"/>
    <s v="Nome 729"/>
    <s v="Tel 729"/>
    <s v="Cep 729"/>
    <s v="Rua 729"/>
    <s v="Comp 729"/>
    <x v="16"/>
    <s v="RB-W251-UXV2"/>
    <d v="2025-02-04T00:00:00"/>
    <n v="34.99"/>
    <n v="34.99"/>
    <n v="4.5487000000000002"/>
    <n v="30.44"/>
    <n v="15.4"/>
    <n v="0.21"/>
    <n v="0.39877104377104378"/>
    <n v="0"/>
    <n v="14.431228956228956"/>
    <n v="7.2156144781144782"/>
    <d v="2025-02-11T00:00:00"/>
    <d v="2025-02-11T00:00:00"/>
    <d v="2025-02-14T00:00:00"/>
    <d v="2025-02-17T00:00:00"/>
    <s v="2025 02"/>
    <s v="Aguardando Liberação"/>
    <s v="2025 01"/>
    <s v="ENTREGUE"/>
    <d v="2025-01-18T00:00:00"/>
    <s v="-"/>
    <m/>
    <n v="0"/>
    <n v="0"/>
    <n v="0"/>
    <n v="0"/>
    <n v="0"/>
  </r>
  <r>
    <s v="BV"/>
    <s v="BV45667"/>
    <s v="Pedido 752"/>
    <d v="2025-01-10T00:00:00"/>
    <d v="2025-01-10T00:00:00"/>
    <s v="PedidoF731"/>
    <s v="CódRastreio729"/>
    <n v="1"/>
    <s v="CPF 730"/>
    <s v="Nome 730"/>
    <s v="Tel 730"/>
    <s v="Cep 730"/>
    <s v="Rua 730"/>
    <s v="Comp 730"/>
    <x v="10"/>
    <s v="MU-J80P-95WF"/>
    <d v="2025-02-11T00:00:00"/>
    <n v="66.989999999999995"/>
    <n v="66.989999999999995"/>
    <n v="8.7087000000000003"/>
    <n v="58.28"/>
    <n v="19.64"/>
    <n v="0.21"/>
    <n v="0.39877104377104378"/>
    <n v="0"/>
    <n v="38.031228956228958"/>
    <n v="19.015614478114479"/>
    <d v="2025-02-18T00:00:00"/>
    <d v="2025-02-18T00:00:00"/>
    <d v="2025-03-05T00:00:00"/>
    <d v="2025-03-05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69"/>
    <s v="Pedido 753"/>
    <d v="2025-01-12T00:00:00"/>
    <d v="2025-01-12T00:00:00"/>
    <s v="PedidoF732"/>
    <s v="CódRastreio730"/>
    <n v="1"/>
    <s v="CPF 731"/>
    <s v="Nome 731"/>
    <s v="Tel 731"/>
    <s v="Cep 731"/>
    <s v="Rua 731"/>
    <s v="Comp 731"/>
    <x v="12"/>
    <s v="U8-2VWS-OB6M"/>
    <d v="2025-02-05T00:00:00"/>
    <n v="66.989999999999995"/>
    <n v="66.989999999999995"/>
    <n v="8.7087000000000003"/>
    <n v="58.28"/>
    <n v="0"/>
    <n v="0.26"/>
    <n v="0.39877104377104378"/>
    <n v="0"/>
    <n v="57.621228956228954"/>
    <n v="28.810614478114477"/>
    <d v="2025-02-12T00:00:00"/>
    <d v="2025-02-12T00:00:00"/>
    <d v="2025-02-14T00:00:00"/>
    <d v="2025-02-17T00:00:00"/>
    <s v="2025 02"/>
    <s v="Aguardando Liberação"/>
    <s v="2025 01"/>
    <s v="ENTREGUE"/>
    <d v="2025-01-23T00:00:00"/>
    <s v="-"/>
    <m/>
    <n v="1.74"/>
    <n v="0"/>
    <n v="0"/>
    <n v="0"/>
    <n v="1.74"/>
  </r>
  <r>
    <s v="BV"/>
    <s v="BV45667"/>
    <s v="Pedido 754"/>
    <d v="2025-01-10T00:00:00"/>
    <d v="2025-01-10T00:00:00"/>
    <s v="PedidoF733"/>
    <s v="CódRastreio731"/>
    <n v="1"/>
    <s v="CPF 732"/>
    <s v="Nome 732"/>
    <s v="Tel 732"/>
    <s v="Cep 732"/>
    <s v="Rua 732"/>
    <s v="Comp 732"/>
    <x v="12"/>
    <s v="U8-2VWS-OB6M"/>
    <d v="2025-01-30T00:00:00"/>
    <n v="66.989999999999995"/>
    <n v="66.989999999999995"/>
    <n v="8.7087000000000003"/>
    <n v="58.28"/>
    <n v="19.64"/>
    <n v="0.21"/>
    <n v="0.39877104377104378"/>
    <n v="0"/>
    <n v="38.031228956228958"/>
    <n v="19.015614478114479"/>
    <d v="2025-02-06T00:00:00"/>
    <d v="2025-02-06T00:00:00"/>
    <d v="2025-02-06T00:00:00"/>
    <d v="2025-02-17T00:00:00"/>
    <s v="2025 02"/>
    <s v="Aguardando Liberação"/>
    <s v="2025 01"/>
    <s v="ENTREGUE"/>
    <d v="2025-01-23T00:00:00"/>
    <s v="-"/>
    <m/>
    <n v="0"/>
    <n v="0"/>
    <n v="0"/>
    <n v="0"/>
    <n v="0"/>
  </r>
  <r>
    <s v="BV"/>
    <s v="BV45668"/>
    <s v="Pedido 755"/>
    <d v="2025-01-11T00:00:00"/>
    <d v="2025-01-11T00:00:00"/>
    <s v="PedidoF734"/>
    <s v="CódRastreio732"/>
    <n v="1"/>
    <s v="CPF 733"/>
    <s v="Nome 733"/>
    <s v="Tel 733"/>
    <s v="Cep 733"/>
    <s v="Rua 733"/>
    <s v="Comp 733"/>
    <x v="10"/>
    <s v="MU-J80P-95WF"/>
    <d v="2025-02-06T00:00:00"/>
    <n v="66.989999999999995"/>
    <n v="66.989999999999995"/>
    <n v="8.7087000000000003"/>
    <n v="58.28"/>
    <n v="19.329999999999998"/>
    <n v="0.4"/>
    <n v="0.39877104377104378"/>
    <n v="0"/>
    <n v="38.151228956228962"/>
    <n v="19.075614478114481"/>
    <d v="2025-02-13T00:00:00"/>
    <d v="2025-02-13T00:00:00"/>
    <d v="2025-02-14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69"/>
    <s v="Pedido 756"/>
    <d v="2025-01-12T00:00:00"/>
    <d v="2025-01-12T00:00:00"/>
    <s v="PedidoF735"/>
    <s v="CódRastreio733"/>
    <n v="1"/>
    <s v="CPF 734"/>
    <s v="Nome 734"/>
    <s v="Tel 734"/>
    <s v="Cep 734"/>
    <s v="Rua 734"/>
    <s v="Comp 734"/>
    <x v="11"/>
    <s v="BP-NHG2-B8C1"/>
    <d v="2025-01-31T00:00:00"/>
    <n v="75.989999999999995"/>
    <n v="75.989999999999995"/>
    <n v="9.8787000000000003"/>
    <n v="66.11"/>
    <n v="34.39"/>
    <n v="0.26"/>
    <n v="0.39877104377104378"/>
    <n v="0"/>
    <n v="31.061228956228959"/>
    <n v="15.530614478114479"/>
    <d v="2025-02-07T00:00:00"/>
    <d v="2025-02-07T00:00:00"/>
    <d v="2025-02-11T00:00:00"/>
    <d v="2025-02-17T00:00:00"/>
    <s v="2025 02"/>
    <s v="Aguardando Liberação"/>
    <s v="2025 01"/>
    <s v="ENTREGUE"/>
    <d v="2025-01-24T00:00:00"/>
    <s v="-"/>
    <m/>
    <n v="0"/>
    <n v="0"/>
    <n v="0"/>
    <n v="0"/>
    <n v="0"/>
  </r>
  <r>
    <s v="BV"/>
    <s v="BV45667"/>
    <s v="Pedido 757"/>
    <d v="2025-01-10T00:00:00"/>
    <d v="2025-01-10T00:00:00"/>
    <s v="PedidoF736"/>
    <s v="CódRastreio734"/>
    <n v="1"/>
    <s v="CPF 735"/>
    <s v="Nome 735"/>
    <s v="Tel 735"/>
    <s v="Cep 735"/>
    <s v="Rua 735"/>
    <s v="Comp 735"/>
    <x v="16"/>
    <s v="RB-W251-UXV2"/>
    <d v="2025-01-31T00:00:00"/>
    <n v="33.99"/>
    <n v="33.99"/>
    <n v="4.4187000000000003"/>
    <n v="29.57"/>
    <n v="15.4"/>
    <n v="0.21"/>
    <n v="0.39877104377104378"/>
    <n v="0"/>
    <n v="13.561228956228955"/>
    <n v="6.7806144781144777"/>
    <d v="2025-02-07T00:00:00"/>
    <d v="2025-02-07T00:00:00"/>
    <d v="2025-02-11T00:00:00"/>
    <d v="2025-02-17T00:00:00"/>
    <s v="2025 02"/>
    <s v="Aguardando Liberação"/>
    <s v="2025 01"/>
    <s v="ENTREGUE"/>
    <d v="2025-01-17T00:00:00"/>
    <s v="-"/>
    <m/>
    <n v="0"/>
    <n v="0"/>
    <n v="0"/>
    <n v="0"/>
    <n v="0"/>
  </r>
  <r>
    <s v="BV"/>
    <s v="BV45668"/>
    <s v="Pedido 758"/>
    <d v="2025-01-11T00:00:00"/>
    <d v="2025-01-11T00:00:00"/>
    <s v="PedidoF737"/>
    <s v="CódRastreio735"/>
    <n v="1"/>
    <s v="CPF 736"/>
    <s v="Nome 736"/>
    <s v="Tel 736"/>
    <s v="Cep 736"/>
    <s v="Rua 736"/>
    <s v="Comp 736"/>
    <x v="12"/>
    <s v="U8-2VWS-OB6M"/>
    <d v="2025-02-06T00:00:00"/>
    <n v="66.989999999999995"/>
    <n v="66.989999999999995"/>
    <n v="8.7087000000000003"/>
    <n v="58.28"/>
    <n v="19.329999999999998"/>
    <n v="0.4"/>
    <n v="0.39877104377104378"/>
    <n v="0"/>
    <n v="38.151228956228962"/>
    <n v="19.075614478114481"/>
    <d v="2025-02-13T00:00:00"/>
    <d v="2025-02-13T00:00:00"/>
    <d v="2025-02-14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69"/>
    <s v="Pedido 759"/>
    <d v="2025-01-12T00:00:00"/>
    <d v="2025-01-12T00:00:00"/>
    <s v="PedidoF738"/>
    <s v="CódRastreio736"/>
    <n v="1"/>
    <s v="CPF 737"/>
    <s v="Nome 737"/>
    <s v="Tel 737"/>
    <s v="Cep 737"/>
    <s v="Rua 737"/>
    <s v="Comp 737"/>
    <x v="10"/>
    <s v="MU-J80P-95WF"/>
    <d v="2025-01-31T00:00:00"/>
    <n v="66.989999999999995"/>
    <n v="66.989999999999995"/>
    <n v="8.7087000000000003"/>
    <n v="58.28"/>
    <n v="19.2"/>
    <n v="0.26"/>
    <n v="0.39877104377104378"/>
    <n v="0"/>
    <n v="38.421228956228958"/>
    <n v="19.210614478114479"/>
    <d v="2025-02-07T00:00:00"/>
    <d v="2025-02-07T00:00:00"/>
    <d v="2025-02-11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69"/>
    <s v="Pedido 760"/>
    <d v="2025-01-12T00:00:00"/>
    <d v="2025-01-12T00:00:00"/>
    <s v="PedidoF739"/>
    <s v="CódRastreio737"/>
    <n v="1"/>
    <s v="CPF 738"/>
    <s v="Nome 738"/>
    <s v="Tel 738"/>
    <s v="Cep 738"/>
    <s v="Rua 738"/>
    <s v="Comp 738"/>
    <x v="10"/>
    <s v="MU-J80P-95WF"/>
    <d v="2025-02-13T00:00:00"/>
    <n v="66.989999999999995"/>
    <n v="66.989999999999995"/>
    <n v="8.7087000000000003"/>
    <n v="58.28"/>
    <n v="19.2"/>
    <n v="0.26"/>
    <n v="0.39877104377104378"/>
    <n v="0"/>
    <n v="38.421228956228958"/>
    <n v="19.210614478114479"/>
    <d v="2025-02-20T00:00:00"/>
    <d v="2025-02-20T00:00:00"/>
    <d v="2025-03-05T00:00:00"/>
    <d v="2025-03-05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69"/>
    <s v="Pedido 761"/>
    <d v="2025-01-12T00:00:00"/>
    <d v="2025-01-12T00:00:00"/>
    <s v="PedidoF740"/>
    <s v="CódRastreio738"/>
    <n v="1"/>
    <s v="CPF 739"/>
    <s v="Nome 739"/>
    <s v="Tel 739"/>
    <s v="Cep 739"/>
    <s v="Rua 739"/>
    <s v="Comp 739"/>
    <x v="12"/>
    <s v="U8-2VWS-OB6M"/>
    <d v="2025-02-06T00:00:00"/>
    <n v="66.989999999999995"/>
    <n v="66.989999999999995"/>
    <n v="8.7087000000000003"/>
    <n v="58.28"/>
    <n v="19.2"/>
    <n v="0.26"/>
    <n v="0.39877104377104378"/>
    <n v="0"/>
    <n v="38.421228956228958"/>
    <n v="19.210614478114479"/>
    <d v="2025-02-13T00:00:00"/>
    <d v="2025-02-13T00:00:00"/>
    <d v="2025-02-14T00:00:00"/>
    <d v="2025-02-17T00:00:00"/>
    <s v="2025 02"/>
    <s v="Aguardando Liberação"/>
    <s v="2025 01"/>
    <s v="ENTREGUE"/>
    <d v="2025-01-31T00:00:00"/>
    <s v="-"/>
    <m/>
    <n v="0"/>
    <n v="0"/>
    <n v="0"/>
    <n v="0"/>
    <n v="0"/>
  </r>
  <r>
    <s v="BV"/>
    <s v="BV45669"/>
    <s v="Pedido 762"/>
    <d v="2025-01-12T00:00:00"/>
    <d v="2025-01-12T00:00:00"/>
    <s v="PedidoF741"/>
    <s v="CódRastreio739"/>
    <n v="1"/>
    <s v="CPF 740"/>
    <s v="Nome 740"/>
    <s v="Tel 740"/>
    <s v="Cep 740"/>
    <s v="Rua 740"/>
    <s v="Comp 740"/>
    <x v="1"/>
    <s v="CK-YL6M-P5Y6"/>
    <d v="2025-01-31T00:00:00"/>
    <n v="35.99"/>
    <n v="35.99"/>
    <n v="4.6787000000000001"/>
    <n v="31.31"/>
    <n v="0"/>
    <n v="0.26"/>
    <n v="0.39877104377104378"/>
    <n v="0"/>
    <n v="30.651228956228955"/>
    <n v="15.325614478114478"/>
    <d v="2025-02-07T00:00:00"/>
    <d v="2025-02-07T00:00:00"/>
    <d v="2025-02-11T00:00:00"/>
    <d v="2025-02-17T00:00:00"/>
    <s v="2025 02"/>
    <s v="Aguardando Liberação"/>
    <s v="2025 01"/>
    <s v="ENTREGUE"/>
    <d v="2025-01-31T00:00:00"/>
    <s v="-"/>
    <m/>
    <n v="1.01"/>
    <n v="0"/>
    <n v="0"/>
    <n v="0"/>
    <n v="1.01"/>
  </r>
  <r>
    <s v="BV"/>
    <s v="BV45673"/>
    <s v="Pedido 763"/>
    <d v="2025-01-16T00:00:00"/>
    <d v="2025-01-16T00:00:00"/>
    <s v="PedidoF742"/>
    <s v="CódRastreio740"/>
    <n v="1"/>
    <s v="CPF 741"/>
    <s v="Nome 741"/>
    <s v="Tel 741"/>
    <s v="Cep 741"/>
    <s v="Rua 741"/>
    <s v="Comp 741"/>
    <x v="10"/>
    <s v="MU-J80P-95WF"/>
    <d v="2025-01-31T00:00:00"/>
    <n v="66.989999999999995"/>
    <n v="66.989999999999995"/>
    <n v="8.7087000000000003"/>
    <n v="58.28"/>
    <n v="0"/>
    <n v="0.17"/>
    <n v="0.39877104377104378"/>
    <n v="0"/>
    <n v="57.711228956228958"/>
    <n v="28.855614478114479"/>
    <d v="2025-02-07T00:00:00"/>
    <d v="2025-02-07T00:00:00"/>
    <d v="2025-02-11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69"/>
    <s v="Pedido 764"/>
    <d v="2025-01-12T00:00:00"/>
    <d v="2025-01-12T00:00:00"/>
    <s v="PedidoF743"/>
    <s v="CódRastreio741"/>
    <n v="1"/>
    <s v="CPF 742"/>
    <s v="Nome 742"/>
    <s v="Tel 742"/>
    <s v="Cep 742"/>
    <s v="Rua 742"/>
    <s v="Comp 742"/>
    <x v="8"/>
    <s v="FM-QQ8Y-RZT4"/>
    <d v="2025-01-31T00:00:00"/>
    <n v="34.9"/>
    <n v="34.9"/>
    <n v="4.5369999999999999"/>
    <n v="30.36"/>
    <n v="14.8"/>
    <n v="0.26"/>
    <n v="0.39877104377104378"/>
    <n v="0"/>
    <n v="14.901228956228955"/>
    <n v="7.4506144781144776"/>
    <d v="2025-02-07T00:00:00"/>
    <d v="2025-02-07T00:00:00"/>
    <d v="2025-02-11T00:00:00"/>
    <d v="2025-02-17T00:00:00"/>
    <s v="2025 02"/>
    <s v="Aguardando Liberação"/>
    <s v="2025 01"/>
    <s v="ENTREGUE"/>
    <d v="2025-01-18T00:00:00"/>
    <s v="-"/>
    <m/>
    <n v="0"/>
    <n v="0"/>
    <n v="0"/>
    <n v="0"/>
    <n v="0"/>
  </r>
  <r>
    <s v="BV"/>
    <s v="BV45673"/>
    <s v="Pedido 765"/>
    <d v="2025-01-16T00:00:00"/>
    <d v="2025-01-16T00:00:00"/>
    <s v="PedidoF744"/>
    <s v="CódRastreio742"/>
    <n v="1"/>
    <s v="CPF 743"/>
    <s v="Nome 743"/>
    <s v="Tel 743"/>
    <s v="Cep 743"/>
    <s v="Rua 743"/>
    <s v="Comp 743"/>
    <x v="10"/>
    <s v="MU-J80P-95WF"/>
    <d v="2025-02-06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d v="2025-02-13T00:00:00"/>
    <d v="2025-02-13T00:00:00"/>
    <d v="2025-02-14T00:00:00"/>
    <d v="2025-02-17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73"/>
    <s v="Pedido 766"/>
    <d v="2025-01-12T00:00:00"/>
    <d v="2025-01-16T00:00:00"/>
    <s v="PedidoF745"/>
    <s v="CódRastreio743"/>
    <n v="1"/>
    <s v="CPF 744"/>
    <s v="Nome 744"/>
    <s v="Tel 744"/>
    <s v="Cep 744"/>
    <s v="Rua 744"/>
    <s v="Comp 744"/>
    <x v="10"/>
    <s v="MU-J80P-95WF"/>
    <d v="2025-02-06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d v="2025-02-13T00:00:00"/>
    <d v="2025-02-13T00:00:00"/>
    <d v="2025-02-14T00:00:00"/>
    <d v="2025-02-17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3"/>
    <s v="Pedido 767"/>
    <d v="2025-01-12T00:00:00"/>
    <d v="2025-01-16T00:00:00"/>
    <s v="PedidoF746"/>
    <s v="CódRastreio744"/>
    <n v="1"/>
    <s v="CPF 745"/>
    <s v="Nome 745"/>
    <s v="Tel 745"/>
    <s v="Cep 745"/>
    <s v="Rua 745"/>
    <s v="Comp 745"/>
    <x v="10"/>
    <s v="MU-J80P-95WF"/>
    <d v="2025-01-31T00:00:00"/>
    <n v="66.989999999999995"/>
    <n v="66.989999999999995"/>
    <n v="8.7087000000000003"/>
    <n v="58.28"/>
    <n v="0"/>
    <n v="0.17"/>
    <n v="0.39877104377104378"/>
    <n v="0"/>
    <n v="57.711228956228958"/>
    <n v="28.855614478114479"/>
    <d v="2025-02-07T00:00:00"/>
    <d v="2025-02-07T00:00:00"/>
    <d v="2025-02-11T00:00:00"/>
    <d v="2025-02-17T00:00:00"/>
    <s v="2025 02"/>
    <s v="Aguardando Liberação"/>
    <s v="2025 01"/>
    <s v="ENTREGUE"/>
    <d v="2025-02-06T00:00:00"/>
    <s v="-"/>
    <m/>
    <n v="1.74"/>
    <n v="0"/>
    <n v="0"/>
    <n v="0"/>
    <n v="1.74"/>
  </r>
  <r>
    <s v="BV"/>
    <s v="BV45673"/>
    <s v="Pedido 768"/>
    <d v="2025-01-12T00:00:00"/>
    <d v="2025-01-16T00:00:00"/>
    <s v="PedidoF747"/>
    <s v="CódRastreio745"/>
    <n v="1"/>
    <s v="CPF 746"/>
    <s v="Nome 746"/>
    <s v="Tel 746"/>
    <s v="Cep 746"/>
    <s v="Rua 746"/>
    <s v="Comp 746"/>
    <x v="12"/>
    <s v="U8-2VWS-OB6M"/>
    <d v="2025-02-13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d v="2025-02-20T00:00:00"/>
    <d v="2025-02-20T00:00:00"/>
    <d v="2025-03-05T00:00:00"/>
    <d v="2025-03-05T00:00:00"/>
    <s v="2025 02"/>
    <s v="Aguardando Liberação"/>
    <s v="2025 01"/>
    <s v="ENTREGUE"/>
    <d v="2025-02-14T00:00:00"/>
    <s v="-"/>
    <m/>
    <n v="0"/>
    <n v="0"/>
    <n v="0"/>
    <n v="0"/>
    <n v="0"/>
  </r>
  <r>
    <s v="BV"/>
    <s v="BV45673"/>
    <s v="Pedido 769"/>
    <d v="2025-01-12T00:00:00"/>
    <d v="2025-01-16T00:00:00"/>
    <s v="PedidoF748"/>
    <s v="CódRastreio746"/>
    <n v="1"/>
    <s v="CPF 747"/>
    <s v="Nome 747"/>
    <s v="Tel 747"/>
    <s v="Cep 747"/>
    <s v="Rua 747"/>
    <s v="Comp 747"/>
    <x v="3"/>
    <s v="IF-G2ZQ-79FO"/>
    <d v="2025-01-31T00:00:00"/>
    <n v="66.989999999999995"/>
    <n v="66.989999999999995"/>
    <n v="8.7087000000000003"/>
    <n v="58.28"/>
    <n v="24.8"/>
    <n v="0.17"/>
    <n v="0.39877104377104378"/>
    <n v="0"/>
    <n v="32.911228956228953"/>
    <n v="16.455614478114477"/>
    <d v="2025-02-07T00:00:00"/>
    <d v="2025-02-07T00:00:00"/>
    <d v="2025-02-11T00:00:00"/>
    <d v="2025-02-17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3"/>
    <s v="Pedido 770"/>
    <d v="2025-01-13T00:00:00"/>
    <d v="2025-01-16T00:00:00"/>
    <s v="PedidoF749"/>
    <s v="CódRastreio747"/>
    <n v="1"/>
    <s v="CPF 748"/>
    <s v="Nome 748"/>
    <s v="Tel 748"/>
    <s v="Cep 748"/>
    <s v="Rua 748"/>
    <s v="Comp 748"/>
    <x v="12"/>
    <s v="U8-2VWS-OB6M"/>
    <d v="2025-01-31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d v="2025-02-07T00:00:00"/>
    <d v="2025-02-07T00:00:00"/>
    <d v="2025-02-11T00:00:00"/>
    <d v="2025-02-17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73"/>
    <s v="Pedido 771"/>
    <d v="2025-01-13T00:00:00"/>
    <d v="2025-01-16T00:00:00"/>
    <s v="PedidoF750"/>
    <s v="CódRastreio748"/>
    <n v="1"/>
    <s v="CPF 749"/>
    <s v="Nome 749"/>
    <s v="Tel 749"/>
    <s v="Cep 749"/>
    <s v="Rua 749"/>
    <s v="Comp 749"/>
    <x v="1"/>
    <s v="CK-YL6M-P5Y6"/>
    <d v="2025-02-01T00:00:00"/>
    <n v="35.99"/>
    <n v="35.99"/>
    <n v="4.6787000000000001"/>
    <n v="31.31"/>
    <n v="19.989999999999998"/>
    <n v="0.17"/>
    <n v="0.39877104377104378"/>
    <n v="0"/>
    <n v="10.751228956228953"/>
    <n v="5.3756144781144766"/>
    <d v="2025-02-08T00:00:00"/>
    <d v="2025-02-08T00:00:00"/>
    <d v="2025-02-11T00:00:00"/>
    <d v="2025-02-17T00:00:00"/>
    <s v="2025 02"/>
    <s v="Aguardando Liberação"/>
    <s v="2025 01"/>
    <s v="ENTREGUE"/>
    <d v="2025-01-22T00:00:00"/>
    <s v="-"/>
    <m/>
    <n v="0"/>
    <n v="0"/>
    <n v="0"/>
    <n v="0"/>
    <n v="0"/>
  </r>
  <r>
    <s v="BV"/>
    <s v="BV45673"/>
    <s v="Pedido 772"/>
    <d v="2025-01-13T00:00:00"/>
    <d v="2025-01-16T00:00:00"/>
    <s v="PedidoF751"/>
    <s v="CódRastreio749"/>
    <n v="1"/>
    <s v="CPF 750"/>
    <s v="Nome 750"/>
    <s v="Tel 750"/>
    <s v="Cep 750"/>
    <s v="Rua 750"/>
    <s v="Comp 750"/>
    <x v="10"/>
    <s v="MU-J80P-95WF"/>
    <d v="2025-02-07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d v="2025-02-14T00:00:00"/>
    <d v="2025-02-14T00:00:00"/>
    <d v="2025-02-14T00:00:00"/>
    <d v="2025-02-17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73"/>
    <s v="Pedido 773"/>
    <d v="2025-01-13T00:00:00"/>
    <d v="2025-01-16T00:00:00"/>
    <s v="PedidoF752"/>
    <s v="CódRastreio750"/>
    <n v="1"/>
    <s v="CPF 751"/>
    <s v="Nome 751"/>
    <s v="Tel 751"/>
    <s v="Cep 751"/>
    <s v="Rua 751"/>
    <s v="Comp 751"/>
    <x v="12"/>
    <s v="U8-2VWS-OB6M"/>
    <d v="2025-02-14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d v="2025-02-21T00:00:00"/>
    <d v="2025-02-21T00:00:00"/>
    <d v="2025-03-05T00:00:00"/>
    <d v="2025-03-05T00:00:00"/>
    <s v="2025 02"/>
    <s v="Aguardando Liberação"/>
    <s v="2025 01"/>
    <s v="ENTREGUE"/>
    <d v="2025-02-03T00:00:00"/>
    <s v="-"/>
    <m/>
    <n v="0"/>
    <n v="0"/>
    <n v="0"/>
    <n v="0"/>
    <n v="0"/>
  </r>
  <r>
    <s v="BV"/>
    <s v="BV45673"/>
    <s v="Pedido 774"/>
    <d v="2025-01-13T00:00:00"/>
    <d v="2025-01-16T00:00:00"/>
    <s v="PedidoF753"/>
    <s v="CódRastreio751"/>
    <n v="1"/>
    <s v="CPF 752"/>
    <s v="Nome 752"/>
    <s v="Tel 752"/>
    <s v="Cep 752"/>
    <s v="Rua 752"/>
    <s v="Comp 752"/>
    <x v="11"/>
    <s v="BP-NHG2-B8C1"/>
    <d v="2025-02-07T00:00:00"/>
    <n v="75.989999999999995"/>
    <n v="75.989999999999995"/>
    <n v="9.8787000000000003"/>
    <n v="66.11"/>
    <n v="39.97"/>
    <n v="0.17"/>
    <n v="0.39877104377104378"/>
    <n v="0"/>
    <n v="25.571228956228957"/>
    <n v="12.785614478114478"/>
    <d v="2025-02-14T00:00:00"/>
    <d v="2025-02-14T00:00:00"/>
    <d v="2025-02-14T00:00:00"/>
    <d v="2025-02-17T00:00:00"/>
    <s v="2025 02"/>
    <s v="Aguardando Liberação"/>
    <s v="2025 01"/>
    <s v="ENTREGUE"/>
    <d v="2025-02-03T00:00:00"/>
    <s v="-"/>
    <m/>
    <n v="0"/>
    <n v="0"/>
    <n v="0"/>
    <n v="0"/>
    <n v="0"/>
  </r>
  <r>
    <s v="BV"/>
    <s v="BV45677"/>
    <s v="Pedido 775"/>
    <d v="2025-01-14T00:00:00"/>
    <d v="2025-01-20T00:00:00"/>
    <s v="PedidoF754"/>
    <s v="CódRastreio752"/>
    <n v="1"/>
    <s v="CPF 753"/>
    <s v="Nome 753"/>
    <s v="Tel 753"/>
    <s v="Cep 753"/>
    <s v="Rua 753"/>
    <s v="Comp 753"/>
    <x v="12"/>
    <s v="U8-2VWS-OB6M"/>
    <d v="2025-02-07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d v="2025-02-14T00:00:00"/>
    <d v="2025-02-14T00:00:00"/>
    <d v="2025-02-14T00:00:00"/>
    <d v="2025-02-17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73"/>
    <s v="Pedido 776"/>
    <d v="2025-01-14T00:00:00"/>
    <d v="2025-01-16T00:00:00"/>
    <s v="PedidoF755"/>
    <s v="CódRastreio753"/>
    <n v="1"/>
    <s v="CPF 754"/>
    <s v="Nome 754"/>
    <s v="Tel 754"/>
    <s v="Cep 754"/>
    <s v="Rua 754"/>
    <s v="Comp 754"/>
    <x v="8"/>
    <s v="FM-QQ8Y-RZT4"/>
    <d v="2025-02-04T00:00:00"/>
    <n v="34.9"/>
    <n v="34.9"/>
    <n v="4.5369999999999999"/>
    <n v="30.36"/>
    <n v="18.8"/>
    <n v="0.17"/>
    <n v="0.39877104377104378"/>
    <n v="0"/>
    <n v="10.991228956228952"/>
    <n v="5.4956144781144758"/>
    <d v="2025-02-11T00:00:00"/>
    <d v="2025-02-11T00:00:00"/>
    <d v="2025-02-14T00:00:00"/>
    <d v="2025-02-17T00:00:00"/>
    <s v="2025 02"/>
    <s v="Aguardando Liberação"/>
    <s v="2025 01"/>
    <s v="ENTREGUE"/>
    <d v="2025-01-25T00:00:00"/>
    <s v="-"/>
    <m/>
    <n v="0"/>
    <n v="0"/>
    <n v="0"/>
    <n v="0"/>
    <n v="0"/>
  </r>
  <r>
    <s v="BV"/>
    <s v="BV45677"/>
    <s v="Pedido 777"/>
    <d v="2025-01-14T00:00:00"/>
    <d v="2025-01-20T00:00:00"/>
    <s v="PedidoF756"/>
    <s v="CódRastreio754"/>
    <n v="1"/>
    <s v="CPF 755"/>
    <s v="Nome 755"/>
    <s v="Tel 755"/>
    <s v="Cep 755"/>
    <s v="Rua 755"/>
    <s v="Comp 755"/>
    <x v="12"/>
    <s v="U8-2VWS-OB6M"/>
    <d v="2025-02-08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d v="2025-02-15T00:00:00"/>
    <d v="2025-02-15T00:00:00"/>
    <d v="2025-03-05T00:00:00"/>
    <d v="2025-03-05T00:00:00"/>
    <s v="2025 02"/>
    <s v="Aguardando Liberação"/>
    <s v="2025 01"/>
    <s v="ENTREGUE"/>
    <d v="2025-02-10T00:00:00"/>
    <s v="-"/>
    <m/>
    <n v="0"/>
    <n v="0"/>
    <n v="0"/>
    <n v="0"/>
    <n v="0"/>
  </r>
  <r>
    <s v="BV"/>
    <s v="BV45677"/>
    <s v="Pedido 778"/>
    <d v="2025-01-14T00:00:00"/>
    <d v="2025-01-20T00:00:00"/>
    <s v="PedidoF757"/>
    <s v="CódRastreio755"/>
    <n v="1"/>
    <s v="CPF 756"/>
    <s v="Nome 756"/>
    <s v="Tel 756"/>
    <s v="Cep 756"/>
    <s v="Rua 756"/>
    <s v="Comp 756"/>
    <x v="12"/>
    <s v="U8-2VWS-OB6M"/>
    <d v="2025-02-08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d v="2025-02-15T00:00:00"/>
    <d v="2025-02-15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77"/>
    <s v="Pedido 779"/>
    <d v="2025-01-15T00:00:00"/>
    <d v="2025-01-20T00:00:00"/>
    <s v="PedidoF758"/>
    <s v="CódRastreio756"/>
    <n v="1"/>
    <s v="CPF 757"/>
    <s v="Nome 757"/>
    <s v="Tel 757"/>
    <s v="Cep 757"/>
    <s v="Rua 757"/>
    <s v="Comp 757"/>
    <x v="16"/>
    <s v="RB-W251-UXV2"/>
    <d v="2025-01-29T00:00:00"/>
    <n v="33.99"/>
    <n v="33.99"/>
    <n v="4.4187000000000003"/>
    <n v="29.57"/>
    <n v="15.4"/>
    <n v="0.19"/>
    <n v="0.39877104377104378"/>
    <n v="0"/>
    <n v="13.581228956228957"/>
    <n v="6.7906144781144784"/>
    <d v="2025-02-05T00:00:00"/>
    <d v="2025-02-05T00:00:00"/>
    <d v="2025-02-05T00:00:00"/>
    <d v="2025-02-17T00:00:00"/>
    <s v="2025 02"/>
    <s v="Aguardando Liberação"/>
    <s v="2025 01"/>
    <s v="ENTREGUE"/>
    <d v="2025-01-23T00:00:00"/>
    <s v="-"/>
    <m/>
    <n v="0"/>
    <n v="0"/>
    <n v="0"/>
    <n v="0"/>
    <n v="0"/>
  </r>
  <r>
    <s v="BV"/>
    <s v="BV45677"/>
    <s v="Pedido 780"/>
    <d v="2025-01-15T00:00:00"/>
    <d v="2025-01-20T00:00:00"/>
    <s v="PedidoF759"/>
    <s v="CódRastreio757"/>
    <n v="1"/>
    <s v="CPF 758"/>
    <s v="Nome 758"/>
    <s v="Tel 758"/>
    <s v="Cep 758"/>
    <s v="Rua 758"/>
    <s v="Comp 758"/>
    <x v="10"/>
    <s v="MU-J80P-95WF"/>
    <d v="2025-02-11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8T00:00:00"/>
    <d v="2025-02-18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77"/>
    <s v="Pedido 781"/>
    <d v="2025-01-15T00:00:00"/>
    <d v="2025-01-20T00:00:00"/>
    <s v="PedidoF760"/>
    <s v="CódRastreio758"/>
    <n v="1"/>
    <s v="CPF 759"/>
    <s v="Nome 759"/>
    <s v="Tel 759"/>
    <s v="Cep 759"/>
    <s v="Rua 759"/>
    <s v="Comp 759"/>
    <x v="10"/>
    <s v="MU-J80P-95WF"/>
    <d v="2025-02-05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2T00:00:00"/>
    <d v="2025-02-12T00:00:00"/>
    <d v="2025-02-14T00:00:00"/>
    <d v="2025-02-17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77"/>
    <s v="Pedido 782"/>
    <d v="2025-01-15T00:00:00"/>
    <d v="2025-01-20T00:00:00"/>
    <s v="PedidoF761"/>
    <s v="CódRastreio759"/>
    <n v="1"/>
    <s v="CPF 760"/>
    <s v="Nome 760"/>
    <s v="Tel 760"/>
    <s v="Cep 760"/>
    <s v="Rua 760"/>
    <s v="Comp 760"/>
    <x v="1"/>
    <s v="CK-YL6M-P5Y6"/>
    <d v="2025-02-05T00:00:00"/>
    <n v="35.99"/>
    <n v="35.99"/>
    <n v="4.6787000000000001"/>
    <n v="31.31"/>
    <n v="15.99"/>
    <n v="0.19"/>
    <n v="0.39877104377104378"/>
    <n v="0"/>
    <n v="14.731228956228954"/>
    <n v="7.3656144781144768"/>
    <d v="2025-02-12T00:00:00"/>
    <d v="2025-02-12T00:00:00"/>
    <d v="2025-02-14T00:00:00"/>
    <d v="2025-02-17T00:00:00"/>
    <s v="2025 02"/>
    <s v="Aguardando Liberação"/>
    <s v="2025 01"/>
    <s v="ENTREGUE"/>
    <d v="2025-02-10T00:00:00"/>
    <s v="-"/>
    <m/>
    <n v="0"/>
    <n v="0"/>
    <n v="0"/>
    <n v="0"/>
    <n v="0"/>
  </r>
  <r>
    <s v="BV"/>
    <s v="BV45677"/>
    <s v="Pedido 783"/>
    <d v="2025-01-16T00:00:00"/>
    <d v="2025-01-20T00:00:00"/>
    <s v="PedidoF762"/>
    <s v="CódRastreio760"/>
    <n v="1"/>
    <s v="CPF 761"/>
    <s v="Nome 761"/>
    <s v="Tel 761"/>
    <s v="Cep 761"/>
    <s v="Rua 761"/>
    <s v="Comp 761"/>
    <x v="10"/>
    <s v="MU-J80P-95WF"/>
    <d v="2025-02-06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3T00:00:00"/>
    <d v="2025-02-13T00:00:00"/>
    <d v="2025-02-14T00:00:00"/>
    <d v="2025-02-17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77"/>
    <s v="Pedido 784"/>
    <d v="2025-01-16T00:00:00"/>
    <d v="2025-01-20T00:00:00"/>
    <s v="PedidoF763"/>
    <s v="CódRastreio761"/>
    <n v="1"/>
    <s v="CPF 762"/>
    <s v="Nome 762"/>
    <s v="Tel 762"/>
    <s v="Cep 762"/>
    <s v="Rua 762"/>
    <s v="Comp 762"/>
    <x v="16"/>
    <s v="RB-W251-UXV2"/>
    <d v="2025-02-04T00:00:00"/>
    <n v="34.99"/>
    <n v="34.99"/>
    <n v="4.5487000000000002"/>
    <n v="30.44"/>
    <n v="15.4"/>
    <n v="0.19"/>
    <n v="0.39877104377104378"/>
    <n v="0"/>
    <n v="14.451228956228958"/>
    <n v="7.2256144781144789"/>
    <d v="2025-02-11T00:00:00"/>
    <d v="2025-02-11T00:00:00"/>
    <d v="2025-02-14T00:00:00"/>
    <d v="2025-02-17T00:00:00"/>
    <s v="2025 02"/>
    <s v="Aguardando Liberação"/>
    <s v="2025 01"/>
    <s v="ENTREGUE"/>
    <d v="2025-01-25T00:00:00"/>
    <s v="-"/>
    <m/>
    <n v="0"/>
    <n v="0"/>
    <n v="0"/>
    <n v="0"/>
    <n v="0"/>
  </r>
  <r>
    <s v="BV"/>
    <s v="BV45677"/>
    <s v="Pedido 785"/>
    <d v="2025-01-17T00:00:00"/>
    <d v="2025-01-20T00:00:00"/>
    <s v="PedidoF764"/>
    <s v="CódRastreio762"/>
    <n v="1"/>
    <s v="CPF 763"/>
    <s v="Nome 763"/>
    <s v="Tel 763"/>
    <s v="Cep 763"/>
    <s v="Rua 763"/>
    <s v="Comp 763"/>
    <x v="1"/>
    <s v="CK-YL6M-P5Y6"/>
    <d v="2025-02-06T00:00:00"/>
    <n v="35.99"/>
    <n v="35.99"/>
    <n v="4.6787000000000001"/>
    <n v="31.31"/>
    <n v="15.99"/>
    <n v="0.19"/>
    <n v="0.39877104377104378"/>
    <n v="0"/>
    <n v="14.731228956228954"/>
    <n v="7.3656144781144768"/>
    <d v="2025-02-13T00:00:00"/>
    <d v="2025-02-13T00:00:00"/>
    <d v="2025-02-14T00:00:00"/>
    <d v="2025-02-17T00:00:00"/>
    <s v="2025 02"/>
    <s v="Aguardando Liberação"/>
    <s v="2025 01"/>
    <s v="ENTREGUE"/>
    <d v="2025-01-28T00:00:00"/>
    <s v="-"/>
    <m/>
    <n v="0"/>
    <n v="0"/>
    <n v="0"/>
    <n v="0"/>
    <n v="0"/>
  </r>
  <r>
    <s v="BV"/>
    <s v="BV45677"/>
    <s v="Pedido 786"/>
    <d v="2025-01-17T00:00:00"/>
    <d v="2025-01-20T00:00:00"/>
    <s v="PedidoF765"/>
    <s v="CódRastreio763"/>
    <n v="1"/>
    <s v="CPF 764"/>
    <s v="Nome 764"/>
    <s v="Tel 764"/>
    <s v="Cep 764"/>
    <s v="Rua 764"/>
    <s v="Comp 764"/>
    <x v="10"/>
    <s v="MU-J80P-95WF"/>
    <d v="2025-02-20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27T00:00:00"/>
    <d v="2025-02-27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7"/>
    <s v="Pedido 787"/>
    <d v="2025-01-17T00:00:00"/>
    <d v="2025-01-20T00:00:00"/>
    <s v="PedidoF766"/>
    <s v="CódRastreio764"/>
    <n v="1"/>
    <s v="CPF 765"/>
    <s v="Nome 765"/>
    <s v="Tel 765"/>
    <s v="Cep 765"/>
    <s v="Rua 765"/>
    <s v="Comp 765"/>
    <x v="1"/>
    <s v="CK-YL6M-P5Y6"/>
    <d v="2025-02-13T00:00:00"/>
    <n v="35.99"/>
    <n v="35.99"/>
    <n v="4.6787000000000001"/>
    <n v="31.31"/>
    <n v="15.99"/>
    <n v="0.19"/>
    <n v="0.39877104377104378"/>
    <n v="0"/>
    <n v="14.731228956228954"/>
    <n v="7.3656144781144768"/>
    <d v="2025-02-20T00:00:00"/>
    <d v="2025-02-20T00:00:00"/>
    <d v="2025-03-05T00:00:00"/>
    <d v="2025-03-05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7"/>
    <s v="Pedido 788"/>
    <d v="2025-01-18T00:00:00"/>
    <d v="2025-01-20T00:00:00"/>
    <s v="PedidoF767"/>
    <s v="CódRastreio765"/>
    <n v="1"/>
    <s v="CPF 766"/>
    <s v="Nome 766"/>
    <s v="Tel 766"/>
    <s v="Cep 766"/>
    <s v="Rua 766"/>
    <s v="Comp 766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7"/>
    <s v="Pedido 789"/>
    <d v="2025-01-18T00:00:00"/>
    <d v="2025-01-20T00:00:00"/>
    <s v="PedidoF768"/>
    <s v="CódRastreio766"/>
    <n v="1"/>
    <s v="CPF 767"/>
    <s v="Nome 767"/>
    <s v="Tel 767"/>
    <s v="Cep 767"/>
    <s v="Rua 767"/>
    <s v="Comp 767"/>
    <x v="10"/>
    <s v="MU-J80P-95WF"/>
    <d v="2025-02-13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20T00:00:00"/>
    <d v="2025-02-20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7"/>
    <s v="Pedido 790"/>
    <d v="2025-01-18T00:00:00"/>
    <d v="2025-01-20T00:00:00"/>
    <s v="PedidoF769"/>
    <s v="CódRastreio767"/>
    <n v="1"/>
    <s v="CPF 768"/>
    <s v="Nome 768"/>
    <s v="Tel 768"/>
    <s v="Cep 768"/>
    <s v="Rua 768"/>
    <s v="Comp 768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8"/>
    <s v="Pedido 791"/>
    <d v="2025-01-18T00:00:00"/>
    <d v="2025-01-21T00:00:00"/>
    <s v="PedidoF770"/>
    <s v="CódRastreio768"/>
    <n v="1"/>
    <s v="CPF 768"/>
    <s v="Nome 768"/>
    <s v="Tel 768"/>
    <s v="Cep 768"/>
    <s v="Rua 768"/>
    <s v="Comp 768"/>
    <x v="10"/>
    <s v="MU-J80P-95WF"/>
    <d v="2025-02-07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d v="2025-02-14T00:00:00"/>
    <d v="2025-02-14T00:00:00"/>
    <d v="2025-02-14T00:00:00"/>
    <d v="2025-02-17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7"/>
    <s v="Pedido 792"/>
    <d v="2025-01-18T00:00:00"/>
    <d v="2025-01-20T00:00:00"/>
    <s v="PedidoF771"/>
    <s v="CódRastreio769"/>
    <n v="1"/>
    <s v="CPF 769"/>
    <s v="Nome 769"/>
    <s v="Tel 769"/>
    <s v="Cep 769"/>
    <s v="Rua 769"/>
    <s v="Comp 769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1-31T00:00:00"/>
    <s v="-"/>
    <m/>
    <n v="0"/>
    <n v="0"/>
    <n v="0"/>
    <n v="0"/>
    <n v="0"/>
  </r>
  <r>
    <s v="BV"/>
    <s v="BV45677"/>
    <s v="Pedido 793"/>
    <d v="2025-01-18T00:00:00"/>
    <d v="2025-01-20T00:00:00"/>
    <s v="PedidoF772"/>
    <s v="CódRastreio770"/>
    <n v="1"/>
    <s v="CPF 770"/>
    <s v="Nome 770"/>
    <s v="Tel 770"/>
    <s v="Cep 770"/>
    <s v="Rua 770"/>
    <s v="Comp 770"/>
    <x v="10"/>
    <s v="MU-J80P-95WF"/>
    <d v="2025-02-13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20T00:00:00"/>
    <d v="2025-02-20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7"/>
    <s v="Pedido 794"/>
    <d v="2025-01-19T00:00:00"/>
    <d v="2025-01-20T00:00:00"/>
    <s v="PedidoF773"/>
    <s v="CódRastreio771"/>
    <n v="1"/>
    <s v="CPF 771"/>
    <s v="Nome 771"/>
    <s v="Tel 771"/>
    <s v="Cep 771"/>
    <s v="Rua 771"/>
    <s v="Comp 771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77"/>
    <s v="Pedido 795"/>
    <d v="2025-01-19T00:00:00"/>
    <d v="2025-01-20T00:00:00"/>
    <s v="PedidoF774"/>
    <s v="CódRastreio772"/>
    <n v="1"/>
    <s v="CPF 772"/>
    <s v="Nome 772"/>
    <s v="Tel 772"/>
    <s v="Cep 772"/>
    <s v="Rua 772"/>
    <s v="Comp 772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7"/>
    <s v="Pedido 796"/>
    <d v="2025-01-19T00:00:00"/>
    <d v="2025-01-20T00:00:00"/>
    <s v="PedidoF775"/>
    <s v="CódRastreio773"/>
    <n v="1"/>
    <s v="CPF 773"/>
    <s v="Nome 773"/>
    <s v="Tel 773"/>
    <s v="Cep 773"/>
    <s v="Rua 773"/>
    <s v="Comp 773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77"/>
    <s v="Pedido 797"/>
    <d v="2025-01-19T00:00:00"/>
    <d v="2025-01-20T00:00:00"/>
    <s v="PedidoF776"/>
    <s v="CódRastreio774"/>
    <n v="1"/>
    <s v="CPF 774"/>
    <s v="Nome 774"/>
    <s v="Tel 774"/>
    <s v="Cep 774"/>
    <s v="Rua 774"/>
    <s v="Comp 774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18T00:00:00"/>
    <s v="-"/>
    <m/>
    <n v="0"/>
    <n v="0"/>
    <n v="0"/>
    <n v="0"/>
    <n v="0"/>
  </r>
  <r>
    <s v="BV"/>
    <s v="BV45677"/>
    <s v="Pedido 798"/>
    <d v="2025-01-19T00:00:00"/>
    <d v="2025-01-20T00:00:00"/>
    <s v="PedidoF777"/>
    <s v="CódRastreio775"/>
    <n v="1"/>
    <s v="CPF 775"/>
    <s v="Nome 775"/>
    <s v="Tel 775"/>
    <s v="Cep 775"/>
    <s v="Rua 775"/>
    <s v="Comp 775"/>
    <x v="8"/>
    <s v="FM-QQ8Y-RZT4"/>
    <d v="2025-02-05T00:00:00"/>
    <n v="34.9"/>
    <n v="34.9"/>
    <n v="4.5369999999999999"/>
    <n v="30.36"/>
    <n v="14.8"/>
    <n v="0.19"/>
    <n v="0.39877104377104378"/>
    <n v="0"/>
    <n v="14.971228956228956"/>
    <n v="7.4856144781144778"/>
    <d v="2025-02-12T00:00:00"/>
    <d v="2025-02-12T00:00:00"/>
    <d v="2025-02-14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77"/>
    <s v="Pedido 799"/>
    <d v="2025-01-19T00:00:00"/>
    <d v="2025-01-20T00:00:00"/>
    <s v="PedidoF778"/>
    <s v="CódRastreio776"/>
    <n v="1"/>
    <s v="CPF 776"/>
    <s v="Nome 776"/>
    <s v="Tel 776"/>
    <s v="Cep 776"/>
    <s v="Rua 776"/>
    <s v="Comp 776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77"/>
    <s v="Pedido 800"/>
    <d v="2025-01-19T00:00:00"/>
    <d v="2025-01-20T00:00:00"/>
    <s v="PedidoF779"/>
    <s v="CódRastreio777"/>
    <n v="1"/>
    <s v="CPF 777"/>
    <s v="Nome 777"/>
    <s v="Tel 777"/>
    <s v="Cep 777"/>
    <s v="Rua 777"/>
    <s v="Comp 777"/>
    <x v="10"/>
    <s v="MU-J80P-95WF"/>
    <d v="2025-02-20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27T00:00:00"/>
    <d v="2025-02-27T00:00:00"/>
    <d v="2025-03-05T00:00:00"/>
    <d v="2025-03-05T00:00:00"/>
    <s v="2025 02"/>
    <s v="Aguardando Liberação"/>
    <s v="2025 01"/>
    <s v="ENTREGUE"/>
    <d v="2025-02-08T00:00:00"/>
    <s v="-"/>
    <m/>
    <n v="0"/>
    <n v="0"/>
    <n v="0"/>
    <n v="0"/>
    <n v="0"/>
  </r>
  <r>
    <s v="BV"/>
    <s v="BV45677"/>
    <s v="Pedido 801"/>
    <d v="2025-01-20T00:00:00"/>
    <d v="2025-01-20T00:00:00"/>
    <s v="PedidoF780"/>
    <s v="CódRastreio778"/>
    <n v="1"/>
    <s v="CPF 778"/>
    <s v="Nome 778"/>
    <s v="Tel 778"/>
    <s v="Cep 778"/>
    <s v="Rua 778"/>
    <s v="Comp 778"/>
    <x v="1"/>
    <s v="CK-YL6M-P5Y6"/>
    <d v="2025-02-05T00:00:00"/>
    <n v="35.99"/>
    <n v="35.99"/>
    <n v="4.6787000000000001"/>
    <n v="31.31"/>
    <n v="15.99"/>
    <n v="0.19"/>
    <n v="0.39877104377104378"/>
    <n v="0"/>
    <n v="14.731228956228954"/>
    <n v="7.3656144781144768"/>
    <d v="2025-02-12T00:00:00"/>
    <d v="2025-02-12T00:00:00"/>
    <d v="2025-02-14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77"/>
    <s v="Pedido 802"/>
    <d v="2025-01-20T00:00:00"/>
    <d v="2025-01-20T00:00:00"/>
    <s v="PedidoF781"/>
    <s v="CódRastreio779"/>
    <n v="1"/>
    <s v="CPF 779"/>
    <s v="Nome 779"/>
    <s v="Tel 779"/>
    <s v="Cep 779"/>
    <s v="Rua 779"/>
    <s v="Comp 779"/>
    <x v="10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4T00:00:00"/>
    <d v="2025-02-14T00:00:00"/>
    <d v="2025-02-14T00:00:00"/>
    <d v="2025-02-17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7"/>
    <s v="Pedido 803"/>
    <d v="2025-01-20T00:00:00"/>
    <d v="2025-01-20T00:00:00"/>
    <s v="PedidoF782"/>
    <s v="CódRastreio780"/>
    <n v="1"/>
    <s v="CPF 780"/>
    <s v="Nome 780"/>
    <s v="Tel 780"/>
    <s v="Cep 780"/>
    <s v="Rua 780"/>
    <s v="Comp 780"/>
    <x v="3"/>
    <s v="IF-G2ZQ-79FO"/>
    <d v="2025-02-14T00:00:00"/>
    <n v="66.989999999999995"/>
    <n v="66.989999999999995"/>
    <n v="8.7087000000000003"/>
    <n v="58.28"/>
    <n v="18.23"/>
    <n v="0.19"/>
    <n v="0.39877104377104378"/>
    <n v="0"/>
    <n v="39.46122895622895"/>
    <n v="19.730614478114475"/>
    <d v="2025-02-21T00:00:00"/>
    <d v="2025-02-21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77"/>
    <s v="Pedido 804"/>
    <d v="2025-01-20T00:00:00"/>
    <d v="2025-01-20T00:00:00"/>
    <s v="PedidoF783"/>
    <s v="CódRastreio781"/>
    <n v="1"/>
    <s v="CPF 781"/>
    <s v="Nome 781"/>
    <s v="Tel 781"/>
    <s v="Cep 781"/>
    <s v="Rua 781"/>
    <s v="Comp 781"/>
    <x v="10"/>
    <s v="MU-J80P-95WF"/>
    <d v="2025-02-08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5T00:00:00"/>
    <d v="2025-02-15T00:00:00"/>
    <d v="2025-03-05T00:00:00"/>
    <d v="2025-03-05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77"/>
    <s v="Pedido 805"/>
    <d v="2025-01-20T00:00:00"/>
    <d v="2025-01-20T00:00:00"/>
    <s v="PedidoF784"/>
    <s v="CódRastreio782"/>
    <n v="1"/>
    <s v="CPF 782"/>
    <s v="Nome 782"/>
    <s v="Tel 782"/>
    <s v="Cep 782"/>
    <s v="Rua 782"/>
    <s v="Comp 782"/>
    <x v="10"/>
    <s v="MU-J80P-95WF"/>
    <d v="2025-02-08T00:00:00"/>
    <n v="66.989999999999995"/>
    <n v="66.989999999999995"/>
    <n v="8.7087000000000003"/>
    <n v="58.28"/>
    <n v="0"/>
    <n v="0.19"/>
    <n v="0.39877104377104378"/>
    <n v="0"/>
    <n v="57.691228956228954"/>
    <n v="28.845614478114477"/>
    <d v="2025-02-15T00:00:00"/>
    <d v="2025-02-15T00:00:00"/>
    <d v="2025-03-05T00:00:00"/>
    <d v="2025-03-05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7"/>
    <s v="Pedido 806"/>
    <d v="2025-01-20T00:00:00"/>
    <d v="2025-01-20T00:00:00"/>
    <s v="PedidoF785"/>
    <s v="CódRastreio783"/>
    <n v="1"/>
    <s v="CPF 783"/>
    <s v="Nome 783"/>
    <s v="Tel 783"/>
    <s v="Cep 783"/>
    <s v="Rua 783"/>
    <s v="Comp 783"/>
    <x v="10"/>
    <s v="MU-J80P-95WF"/>
    <d v="2025-02-21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28T00:00:00"/>
    <d v="2025-02-28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77"/>
    <s v="Pedido 807"/>
    <d v="2025-01-20T00:00:00"/>
    <d v="2025-01-20T00:00:00"/>
    <s v="PedidoF786"/>
    <s v="CódRastreio784"/>
    <n v="1"/>
    <s v="CPF 784"/>
    <s v="Nome 784"/>
    <s v="Tel 784"/>
    <s v="Cep 784"/>
    <s v="Rua 784"/>
    <s v="Comp 784"/>
    <x v="10"/>
    <s v="MU-J80P-95WF"/>
    <d v="2025-02-08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5T00:00:00"/>
    <d v="2025-02-15T00:00:00"/>
    <d v="2025-03-05T00:00:00"/>
    <d v="2025-03-05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7"/>
    <s v="Pedido 808"/>
    <d v="2025-01-20T00:00:00"/>
    <d v="2025-01-20T00:00:00"/>
    <s v="PedidoF787"/>
    <s v="CódRastreio785"/>
    <n v="1"/>
    <s v="CPF 785"/>
    <s v="Nome 785"/>
    <s v="Tel 785"/>
    <s v="Cep 785"/>
    <s v="Rua 785"/>
    <s v="Comp 785"/>
    <x v="10"/>
    <s v="MU-J80P-95WF"/>
    <d v="2025-02-08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d v="2025-02-15T00:00:00"/>
    <d v="2025-02-15T00:00:00"/>
    <d v="2025-03-05T00:00:00"/>
    <d v="2025-03-05T00:00:00"/>
    <s v="2025 02"/>
    <s v="Aguardando Liberação"/>
    <s v="2025 01"/>
    <s v="ENTREGUE"/>
    <d v="2025-02-01T00:00:00"/>
    <s v="-"/>
    <m/>
    <n v="0"/>
    <n v="0"/>
    <n v="0"/>
    <n v="0"/>
    <n v="0"/>
  </r>
  <r>
    <s v="BV"/>
    <s v="BV45677"/>
    <s v="Pedido 809"/>
    <d v="2025-01-20T00:00:00"/>
    <d v="2025-01-20T00:00:00"/>
    <s v="PedidoF788"/>
    <s v="CódRastreio786"/>
    <n v="1"/>
    <s v="CPF 786"/>
    <s v="Nome 786"/>
    <s v="Tel 786"/>
    <s v="Cep 786"/>
    <s v="Rua 786"/>
    <s v="Comp 786"/>
    <x v="12"/>
    <s v="U8-2VWS-OB6M"/>
    <d v="2025-02-14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d v="2025-02-21T00:00:00"/>
    <d v="2025-02-21T00:00:00"/>
    <d v="2025-03-05T00:00:00"/>
    <d v="2025-03-05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78"/>
    <s v="Pedido 810"/>
    <d v="2025-01-21T00:00:00"/>
    <d v="2025-01-21T00:00:00"/>
    <s v="PedidoF789"/>
    <s v="CódRastreio787"/>
    <n v="1"/>
    <s v="CPF 787"/>
    <s v="Nome 787"/>
    <s v="Tel 787"/>
    <s v="Cep 787"/>
    <s v="Rua 787"/>
    <s v="Comp 787"/>
    <x v="8"/>
    <s v="FM-QQ8Y-RZT4"/>
    <d v="2025-02-06T00:00:00"/>
    <n v="34.9"/>
    <n v="34.9"/>
    <n v="4.5369999999999999"/>
    <n v="30.36"/>
    <n v="14.8"/>
    <n v="0.22"/>
    <n v="0.39877104377104378"/>
    <n v="0"/>
    <n v="14.941228956228954"/>
    <n v="7.4706144781144772"/>
    <d v="2025-02-13T00:00:00"/>
    <d v="2025-02-13T00:00:00"/>
    <d v="2025-02-14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78"/>
    <s v="Pedido 811"/>
    <d v="2025-01-21T00:00:00"/>
    <d v="2025-01-21T00:00:00"/>
    <s v="PedidoF790"/>
    <s v="CódRastreio788"/>
    <n v="1"/>
    <s v="CPF 788"/>
    <s v="Nome 788"/>
    <s v="Tel 788"/>
    <s v="Cep 788"/>
    <s v="Rua 788"/>
    <s v="Comp 788"/>
    <x v="10"/>
    <s v="MU-J80P-95WF"/>
    <d v="2025-02-14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d v="2025-02-21T00:00:00"/>
    <d v="2025-02-21T00:00:00"/>
    <d v="2025-03-05T00:00:00"/>
    <d v="2025-03-05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78"/>
    <s v="Pedido 812"/>
    <d v="2025-01-21T00:00:00"/>
    <d v="2025-01-21T00:00:00"/>
    <s v="PedidoF791"/>
    <s v="CódRastreio789"/>
    <n v="1"/>
    <s v="CPF 789"/>
    <s v="Nome 789"/>
    <s v="Tel 789"/>
    <s v="Cep 789"/>
    <s v="Rua 789"/>
    <s v="Comp 789"/>
    <x v="12"/>
    <s v="U8-2VWS-OB6M"/>
    <d v="2025-02-15T00:00:00"/>
    <n v="66.989999999999995"/>
    <n v="66.989999999999995"/>
    <n v="8.7087000000000003"/>
    <n v="58.28"/>
    <n v="0"/>
    <n v="0.22"/>
    <n v="0.39877104377104378"/>
    <n v="0"/>
    <n v="57.66122895622896"/>
    <n v="28.83061447811448"/>
    <d v="2025-02-22T00:00:00"/>
    <d v="2025-02-22T00:00:00"/>
    <d v="2025-03-05T00:00:00"/>
    <d v="2025-03-05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8"/>
    <s v="Pedido 813"/>
    <d v="2025-01-21T00:00:00"/>
    <d v="2025-01-21T00:00:00"/>
    <s v="PedidoF792"/>
    <s v="CódRastreio790"/>
    <n v="1"/>
    <s v="CPF 790"/>
    <s v="Nome 790"/>
    <s v="Tel 790"/>
    <s v="Cep 790"/>
    <s v="Rua 790"/>
    <s v="Comp 790"/>
    <x v="10"/>
    <s v="MU-J80P-95WF"/>
    <d v="2025-02-11T00:00:00"/>
    <n v="66.989999999999995"/>
    <n v="66.989999999999995"/>
    <n v="8.7087000000000003"/>
    <n v="58.28"/>
    <n v="0"/>
    <n v="0.22"/>
    <n v="0.39877104377104378"/>
    <n v="0"/>
    <n v="57.66122895622896"/>
    <n v="28.83061447811448"/>
    <d v="2025-02-18T00:00:00"/>
    <d v="2025-02-18T00:00:00"/>
    <d v="2025-03-05T00:00:00"/>
    <d v="2025-03-05T00:00:00"/>
    <s v="2025 02"/>
    <s v="Aguardando Liberação"/>
    <s v="2025 01"/>
    <s v="ENTREGUE"/>
    <d v="2025-02-10T00:00:00"/>
    <s v="-"/>
    <m/>
    <n v="0"/>
    <n v="0"/>
    <n v="0"/>
    <n v="0"/>
    <n v="0"/>
  </r>
  <r>
    <s v="BV"/>
    <s v="BV45678"/>
    <s v="Pedido 814"/>
    <d v="2025-01-21T00:00:00"/>
    <d v="2025-01-21T00:00:00"/>
    <s v="PedidoF793"/>
    <s v="CódRastreio791"/>
    <n v="1"/>
    <s v="CPF 791"/>
    <s v="Nome 791"/>
    <s v="Tel 791"/>
    <s v="Cep 791"/>
    <s v="Rua 791"/>
    <s v="Comp 791"/>
    <x v="10"/>
    <s v="MU-J80P-95WF"/>
    <d v="2025-02-11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d v="2025-02-18T00:00:00"/>
    <d v="2025-02-18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8"/>
    <s v="Pedido 815"/>
    <d v="2025-01-21T00:00:00"/>
    <d v="2025-01-21T00:00:00"/>
    <s v="PedidoF794"/>
    <s v="CódRastreio792"/>
    <n v="1"/>
    <s v="CPF 792"/>
    <s v="Nome 792"/>
    <s v="Tel 792"/>
    <s v="Cep 792"/>
    <s v="Rua 792"/>
    <s v="Comp 792"/>
    <x v="10"/>
    <s v="MU-J80P-95WF"/>
    <d v="2025-02-11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d v="2025-02-18T00:00:00"/>
    <d v="2025-02-18T00:00:00"/>
    <d v="2025-03-05T00:00:00"/>
    <d v="2025-03-05T00:00:00"/>
    <s v="2025 02"/>
    <s v="Aguardando Liberação"/>
    <s v="2025 01"/>
    <s v="ENTREGUE"/>
    <d v="2025-02-03T00:00:00"/>
    <s v="-"/>
    <m/>
    <n v="0"/>
    <n v="0"/>
    <n v="0"/>
    <n v="0"/>
    <n v="0"/>
  </r>
  <r>
    <s v="BV"/>
    <s v="BV45678"/>
    <s v="Pedido 816"/>
    <d v="2025-01-21T00:00:00"/>
    <d v="2025-01-21T00:00:00"/>
    <s v="PedidoF795"/>
    <s v="CódRastreio793"/>
    <n v="1"/>
    <s v="CPF 793"/>
    <s v="Nome 793"/>
    <s v="Tel 793"/>
    <s v="Cep 793"/>
    <s v="Rua 793"/>
    <s v="Comp 793"/>
    <x v="12"/>
    <s v="U8-2VWS-OB6M"/>
    <d v="2025-02-11T00:00:00"/>
    <n v="66.989999999999995"/>
    <n v="66.989999999999995"/>
    <n v="8.7087000000000003"/>
    <n v="58.28"/>
    <n v="0"/>
    <n v="0.22"/>
    <n v="0.39877104377104378"/>
    <n v="0"/>
    <n v="57.66122895622896"/>
    <n v="28.83061447811448"/>
    <d v="2025-02-18T00:00:00"/>
    <d v="2025-02-18T00:00:00"/>
    <d v="2025-03-05T00:00:00"/>
    <d v="2025-03-05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78"/>
    <s v="Pedido 817"/>
    <d v="2025-01-21T00:00:00"/>
    <d v="2025-01-21T00:00:00"/>
    <s v="PedidoF796"/>
    <s v="CódRastreio794"/>
    <n v="1"/>
    <s v="CPF 794"/>
    <s v="Nome 794"/>
    <s v="Tel 794"/>
    <s v="Cep 794"/>
    <s v="Rua 794"/>
    <s v="Comp 794"/>
    <x v="10"/>
    <s v="MU-J80P-95WF"/>
    <d v="2025-02-11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d v="2025-02-18T00:00:00"/>
    <d v="2025-02-18T00:00:00"/>
    <d v="2025-03-05T00:00:00"/>
    <d v="2025-03-05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79"/>
    <s v="Pedido 818"/>
    <d v="2025-01-22T00:00:00"/>
    <d v="2025-01-22T00:00:00"/>
    <s v="PedidoF797"/>
    <s v="CódRastreio795"/>
    <n v="1"/>
    <s v="CPF 795"/>
    <s v="Nome 795"/>
    <s v="Tel 795"/>
    <s v="Cep 795"/>
    <s v="Rua 795"/>
    <s v="Comp 795"/>
    <x v="10"/>
    <s v="MU-J80P-95WF"/>
    <d v="2025-02-12T00:00:00"/>
    <n v="66.989999999999995"/>
    <n v="66.989999999999995"/>
    <n v="8.7087000000000003"/>
    <n v="58.28"/>
    <n v="13.93"/>
    <n v="0.2"/>
    <n v="0.39877104377104378"/>
    <n v="0"/>
    <n v="43.751228956228957"/>
    <n v="21.875614478114478"/>
    <d v="2025-02-19T00:00:00"/>
    <d v="2025-02-19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79"/>
    <s v="Pedido 819"/>
    <d v="2025-01-22T00:00:00"/>
    <d v="2025-01-22T00:00:00"/>
    <s v="PedidoF798"/>
    <s v="CódRastreio796"/>
    <n v="1"/>
    <s v="CPF 796"/>
    <s v="Nome 796"/>
    <s v="Tel 796"/>
    <s v="Cep 796"/>
    <s v="Rua 796"/>
    <s v="Comp 796"/>
    <x v="12"/>
    <s v="U8-2VWS-OB6M"/>
    <d v="2025-02-18T00:00:00"/>
    <n v="66.989999999999995"/>
    <n v="66.989999999999995"/>
    <n v="8.7087000000000003"/>
    <n v="58.28"/>
    <n v="19.329999999999998"/>
    <n v="0.2"/>
    <n v="0.39877104377104378"/>
    <n v="0"/>
    <n v="38.351228956228958"/>
    <n v="19.175614478114479"/>
    <d v="2025-02-25T00:00:00"/>
    <d v="2025-02-25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79"/>
    <s v="Pedido 820"/>
    <d v="2025-01-22T00:00:00"/>
    <d v="2025-01-22T00:00:00"/>
    <s v="PedidoF799"/>
    <s v="CódRastreio797"/>
    <n v="1"/>
    <s v="CPF 797"/>
    <s v="Nome 797"/>
    <s v="Tel 797"/>
    <s v="Cep 797"/>
    <s v="Rua 797"/>
    <s v="Comp 797"/>
    <x v="10"/>
    <s v="MU-J80P-95WF"/>
    <d v="2025-02-12T00:00:00"/>
    <n v="66.989999999999995"/>
    <n v="66.989999999999995"/>
    <n v="8.7087000000000003"/>
    <n v="58.28"/>
    <n v="0"/>
    <n v="0.2"/>
    <n v="0.39877104377104378"/>
    <n v="0"/>
    <n v="57.681228956228956"/>
    <n v="28.840614478114478"/>
    <d v="2025-02-19T00:00:00"/>
    <d v="2025-02-19T00:00:00"/>
    <d v="2025-03-05T00:00:00"/>
    <d v="2025-03-05T00:00:00"/>
    <s v="2025 02"/>
    <s v="Aguardando Liberação"/>
    <s v="2025 01"/>
    <s v="ENTREGUE"/>
    <d v="2025-01-31T00:00:00"/>
    <s v="-"/>
    <m/>
    <n v="0"/>
    <n v="0"/>
    <n v="0"/>
    <n v="0"/>
    <n v="0"/>
  </r>
  <r>
    <s v="BV"/>
    <s v="BV45679"/>
    <s v="Pedido 821"/>
    <d v="2025-01-22T00:00:00"/>
    <d v="2025-01-22T00:00:00"/>
    <s v="PedidoF800"/>
    <s v="CódRastreio798"/>
    <n v="1"/>
    <s v="CPF 798"/>
    <s v="Nome 798"/>
    <s v="Tel 798"/>
    <s v="Cep 798"/>
    <s v="Rua 798"/>
    <s v="Comp 798"/>
    <x v="10"/>
    <s v="MU-J80P-95WF"/>
    <d v="2025-02-12T00:00:00"/>
    <n v="66.989999999999995"/>
    <n v="66.989999999999995"/>
    <n v="8.7087000000000003"/>
    <n v="58.28"/>
    <n v="0"/>
    <n v="0.2"/>
    <n v="0.39877104377104378"/>
    <n v="0"/>
    <n v="57.681228956228956"/>
    <n v="28.840614478114478"/>
    <d v="2025-02-19T00:00:00"/>
    <d v="2025-02-19T00:00:00"/>
    <d v="2025-03-05T00:00:00"/>
    <d v="2025-03-05T00:00:00"/>
    <s v="2025 02"/>
    <s v="Aguardando Liberação"/>
    <s v="2025 01"/>
    <s v="ENTREGUE"/>
    <d v="2025-01-31T00:00:00"/>
    <s v="-"/>
    <m/>
    <n v="0"/>
    <n v="0"/>
    <n v="0"/>
    <n v="0"/>
    <n v="0"/>
  </r>
  <r>
    <s v="BV"/>
    <s v="BV45679"/>
    <s v="Pedido 822"/>
    <d v="2025-01-22T00:00:00"/>
    <d v="2025-01-22T00:00:00"/>
    <s v="PedidoF801"/>
    <s v="CódRastreio799"/>
    <n v="1"/>
    <s v="CPF 487"/>
    <s v="Nome 487"/>
    <s v="Tel 487"/>
    <s v="Cep 487"/>
    <s v="Rua 487"/>
    <s v="Comp 487"/>
    <x v="12"/>
    <s v="U8-2VWS-OB6M"/>
    <d v="2025-02-12T00:00:00"/>
    <n v="66.989999999999995"/>
    <n v="66.989999999999995"/>
    <n v="8.7087000000000003"/>
    <n v="58.28"/>
    <n v="19.329999999999998"/>
    <n v="0.2"/>
    <n v="0.39877104377104378"/>
    <n v="0"/>
    <n v="38.351228956228958"/>
    <n v="19.175614478114479"/>
    <d v="2025-02-19T00:00:00"/>
    <d v="2025-02-19T00:00:00"/>
    <d v="2025-03-05T00:00:00"/>
    <d v="2025-03-05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80"/>
    <s v="Pedido 823"/>
    <d v="2025-01-23T00:00:00"/>
    <d v="2025-01-23T00:00:00"/>
    <s v="PedidoF802"/>
    <s v="CódRastreio800"/>
    <n v="1"/>
    <s v="CPF 799"/>
    <s v="Nome 799"/>
    <s v="Tel 799"/>
    <s v="Cep 799"/>
    <s v="Rua 799"/>
    <s v="Comp 799"/>
    <x v="13"/>
    <s v="YA-AG3H-SPUK"/>
    <d v="2025-02-06T00:00:00"/>
    <n v="22.99"/>
    <n v="22.99"/>
    <n v="2.7587999999999999"/>
    <n v="20.23"/>
    <n v="6.99"/>
    <n v="0.3"/>
    <n v="0.39877104377104378"/>
    <n v="0"/>
    <n v="12.541228956228956"/>
    <n v="6.2706144781144779"/>
    <d v="2025-02-13T00:00:00"/>
    <d v="2025-02-13T00:00:00"/>
    <d v="2025-02-14T00:00:00"/>
    <d v="2025-02-17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80"/>
    <s v="Pedido 824"/>
    <d v="2025-01-23T00:00:00"/>
    <d v="2025-01-23T00:00:00"/>
    <s v="PedidoF803"/>
    <s v="CódRastreio801"/>
    <n v="1"/>
    <s v="CPF 800"/>
    <s v="Nome 800"/>
    <s v="Tel 800"/>
    <s v="Cep 800"/>
    <s v="Rua 800"/>
    <s v="Comp 800"/>
    <x v="13"/>
    <s v="YA-AG3H-SPUK"/>
    <d v="2025-02-12T00:00:00"/>
    <n v="22.99"/>
    <n v="22.99"/>
    <n v="2.7587999999999999"/>
    <n v="20.23"/>
    <n v="6.99"/>
    <n v="0.3"/>
    <n v="0.39877104377104378"/>
    <n v="0"/>
    <n v="12.541228956228956"/>
    <n v="6.2706144781144779"/>
    <d v="2025-02-19T00:00:00"/>
    <d v="2025-02-19T00:00:00"/>
    <d v="2025-03-05T00:00:00"/>
    <d v="2025-03-05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80"/>
    <s v="Pedido 825"/>
    <d v="2025-01-23T00:00:00"/>
    <d v="2025-01-23T00:00:00"/>
    <s v="PedidoF804"/>
    <s v="CódRastreio802"/>
    <n v="1"/>
    <s v="CPF 801"/>
    <s v="Nome 801"/>
    <s v="Tel 801"/>
    <s v="Cep 801"/>
    <s v="Rua 801"/>
    <s v="Comp 801"/>
    <x v="1"/>
    <s v="CK-YL6M-P5Y6"/>
    <d v="2025-02-08T00:00:00"/>
    <n v="32.99"/>
    <n v="32.99"/>
    <n v="4.2887000000000004"/>
    <n v="28.7"/>
    <n v="14.99"/>
    <n v="0.3"/>
    <n v="0.39877104377104378"/>
    <n v="0"/>
    <n v="13.011228956228955"/>
    <n v="6.5056144781144774"/>
    <d v="2025-02-15T00:00:00"/>
    <d v="2025-02-15T00:00:00"/>
    <d v="2025-03-05T00:00:00"/>
    <d v="2025-03-05T00:00:00"/>
    <s v="2025 02"/>
    <s v="Aguardando Liberação"/>
    <s v="2025 01"/>
    <s v="ENTREGUE"/>
    <d v="2025-01-27T00:00:00"/>
    <s v="-"/>
    <m/>
    <n v="0"/>
    <n v="0"/>
    <n v="0"/>
    <n v="0"/>
    <n v="0"/>
  </r>
  <r>
    <s v="BV"/>
    <s v="BV45681"/>
    <s v="Pedido 826"/>
    <d v="2025-01-23T00:00:00"/>
    <d v="2025-01-24T00:00:00"/>
    <s v="PedidoF805"/>
    <s v="CódRastreio803"/>
    <n v="1"/>
    <s v="CPF 802"/>
    <s v="Nome 802"/>
    <s v="Tel 802"/>
    <s v="Cep 802"/>
    <s v="Rua 802"/>
    <s v="Comp 802"/>
    <x v="3"/>
    <s v="IF-G2ZQ-79FO"/>
    <d v="2025-02-13T00:00:00"/>
    <n v="59.8"/>
    <n v="59.8"/>
    <n v="7.774"/>
    <n v="52.03"/>
    <n v="18.62"/>
    <n v="0.23"/>
    <n v="0.39877104377104378"/>
    <n v="0"/>
    <n v="32.781228956228958"/>
    <n v="16.390614478114479"/>
    <d v="2025-02-20T00:00:00"/>
    <d v="2025-02-20T00:00:00"/>
    <d v="2025-03-05T00:00:00"/>
    <d v="2025-03-05T00:00:00"/>
    <s v="2025 02"/>
    <s v="Aguardando Liberação"/>
    <s v="2025 01"/>
    <s v="ENTREGUE"/>
    <d v="2025-01-30T00:00:00"/>
    <s v="-"/>
    <m/>
    <n v="0"/>
    <n v="0"/>
    <n v="0"/>
    <n v="0"/>
    <n v="0"/>
  </r>
  <r>
    <s v="BV"/>
    <s v="BV45680"/>
    <s v="Pedido 827"/>
    <d v="2025-01-23T00:00:00"/>
    <d v="2025-01-23T00:00:00"/>
    <s v="PedidoF806"/>
    <s v="CódRastreio804"/>
    <n v="1"/>
    <s v="CPF 803"/>
    <s v="Nome 803"/>
    <s v="Tel 803"/>
    <s v="Cep 803"/>
    <s v="Rua 803"/>
    <s v="Comp 803"/>
    <x v="10"/>
    <s v="MU-J80P-95WF"/>
    <d v="2025-02-19T00:00:00"/>
    <n v="65.989999999999995"/>
    <n v="65.989999999999995"/>
    <n v="8.5786999999999995"/>
    <n v="57.41"/>
    <n v="17.309999999999999"/>
    <n v="0.3"/>
    <n v="0.39877104377104378"/>
    <n v="0"/>
    <n v="39.401228956228948"/>
    <n v="19.700614478114474"/>
    <d v="2025-02-26T00:00:00"/>
    <d v="2025-02-26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81"/>
    <s v="Pedido 828"/>
    <d v="2025-01-24T00:00:00"/>
    <d v="2025-01-24T00:00:00"/>
    <s v="PedidoF807"/>
    <s v="CódRastreio805"/>
    <n v="1"/>
    <s v="CPF 804"/>
    <s v="Nome 804"/>
    <s v="Tel 804"/>
    <s v="Cep 804"/>
    <s v="Rua 804"/>
    <s v="Comp 804"/>
    <x v="12"/>
    <s v="U8-2VWS-OB6M"/>
    <d v="2025-02-14T00:00:00"/>
    <n v="66.989999999999995"/>
    <n v="66.989999999999995"/>
    <n v="8.7087000000000003"/>
    <n v="58.28"/>
    <n v="17.36"/>
    <n v="0.23"/>
    <n v="0.39877104377104378"/>
    <n v="0"/>
    <n v="40.291228956228956"/>
    <n v="20.145614478114478"/>
    <d v="2025-02-21T00:00:00"/>
    <d v="2025-02-21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81"/>
    <s v="Pedido 829"/>
    <d v="2025-01-24T00:00:00"/>
    <d v="2025-01-24T00:00:00"/>
    <s v="PedidoF808"/>
    <s v="CódRastreio806"/>
    <n v="1"/>
    <s v="CPF 805"/>
    <s v="Nome 805"/>
    <s v="Tel 805"/>
    <s v="Cep 805"/>
    <s v="Rua 805"/>
    <s v="Comp 805"/>
    <x v="12"/>
    <s v="U8-2VWS-OB6M"/>
    <d v="2025-02-14T00:00:00"/>
    <n v="66.989999999999995"/>
    <n v="66.989999999999995"/>
    <n v="8.7087000000000003"/>
    <n v="58.28"/>
    <n v="17.36"/>
    <n v="0.23"/>
    <n v="0.39877104377104378"/>
    <n v="0"/>
    <n v="40.291228956228956"/>
    <n v="20.145614478114478"/>
    <d v="2025-02-21T00:00:00"/>
    <d v="2025-02-21T00:00:00"/>
    <d v="2025-03-05T00:00:00"/>
    <d v="2025-03-05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81"/>
    <s v="Pedido 830"/>
    <d v="2025-01-24T00:00:00"/>
    <d v="2025-01-24T00:00:00"/>
    <s v="PedidoF809"/>
    <s v="CódRastreio807"/>
    <n v="1"/>
    <s v="CPF 806"/>
    <s v="Nome 806"/>
    <s v="Tel 806"/>
    <s v="Cep 806"/>
    <s v="Rua 806"/>
    <s v="Comp 806"/>
    <x v="1"/>
    <s v="CK-YL6M-P5Y6"/>
    <d v="2025-02-08T00:00:00"/>
    <n v="32.99"/>
    <n v="32.99"/>
    <n v="4.2887000000000004"/>
    <n v="28.7"/>
    <n v="14.99"/>
    <n v="0.23"/>
    <n v="0.39877104377104378"/>
    <n v="0"/>
    <n v="13.081228956228955"/>
    <n v="6.5406144781144775"/>
    <d v="2025-02-15T00:00:00"/>
    <d v="2025-02-15T00:00:00"/>
    <d v="2025-03-05T00:00:00"/>
    <d v="2025-03-05T00:00:00"/>
    <s v="2025 02"/>
    <s v="Aguardando Liberação"/>
    <s v="2025 01"/>
    <s v="ENTREGUE"/>
    <d v="2025-01-29T00:00:00"/>
    <s v="-"/>
    <m/>
    <n v="0"/>
    <n v="0"/>
    <n v="0"/>
    <n v="0"/>
    <n v="0"/>
  </r>
  <r>
    <s v="BV"/>
    <s v="BV45684"/>
    <s v="Pedido 831"/>
    <d v="2025-01-25T00:00:00"/>
    <d v="2025-01-27T00:00:00"/>
    <s v="PedidoF810"/>
    <s v="CódRastreio808"/>
    <n v="1"/>
    <s v="CPF 807"/>
    <s v="Nome 807"/>
    <s v="Tel 807"/>
    <s v="Cep 807"/>
    <s v="Rua 807"/>
    <s v="Comp 807"/>
    <x v="15"/>
    <s v="HF-SI0F-XC7S"/>
    <d v="2025-02-14T00:00:00"/>
    <n v="64.900000000000006"/>
    <n v="64.900000000000006"/>
    <n v="9.0860000000000021"/>
    <n v="55.81"/>
    <n v="19.34"/>
    <n v="0.2"/>
    <n v="0.39877104377104378"/>
    <n v="0"/>
    <n v="35.871228956228961"/>
    <n v="17.935614478114481"/>
    <d v="2025-02-21T00:00:00"/>
    <d v="2025-02-21T00:00:00"/>
    <d v="2025-03-05T00:00:00"/>
    <d v="2025-03-05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84"/>
    <s v="Pedido 832"/>
    <d v="2025-01-25T00:00:00"/>
    <d v="2025-01-27T00:00:00"/>
    <s v="PedidoF811"/>
    <s v="CódRastreio809"/>
    <n v="1"/>
    <s v="CPF 808"/>
    <s v="Nome 808"/>
    <s v="Tel 808"/>
    <s v="Cep 808"/>
    <s v="Rua 808"/>
    <s v="Comp 808"/>
    <x v="12"/>
    <s v="U8-2VWS-OB6M"/>
    <d v="2025-02-14T00:00:00"/>
    <n v="66.989999999999995"/>
    <n v="66.989999999999995"/>
    <n v="8.7087000000000003"/>
    <n v="58.28"/>
    <n v="17.420000000000002"/>
    <n v="0.2"/>
    <n v="0.39877104377104378"/>
    <n v="0"/>
    <n v="40.261228956228955"/>
    <n v="20.130614478114477"/>
    <d v="2025-02-21T00:00:00"/>
    <d v="2025-02-21T00:00:00"/>
    <d v="2025-03-05T00:00:00"/>
    <d v="2025-03-05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84"/>
    <s v="Pedido 833"/>
    <d v="2025-01-21T00:00:00"/>
    <d v="2025-01-27T00:00:00"/>
    <s v="PedidoF812"/>
    <s v="CódRastreio810"/>
    <n v="1"/>
    <s v="CPF 809"/>
    <s v="Nome 809"/>
    <s v="Tel 809"/>
    <s v="Cep 809"/>
    <s v="Rua 809"/>
    <s v="Comp 809"/>
    <x v="10"/>
    <s v="MU-J80P-95WF"/>
    <d v="2025-02-14T00:00:00"/>
    <n v="66.989999999999995"/>
    <n v="66.989999999999995"/>
    <n v="8.7087000000000003"/>
    <n v="58.28"/>
    <n v="10.61"/>
    <n v="0.2"/>
    <n v="0.39877104377104378"/>
    <n v="0"/>
    <n v="47.071228956228957"/>
    <n v="23.535614478114478"/>
    <d v="2025-02-21T00:00:00"/>
    <d v="2025-02-21T00:00:00"/>
    <d v="2025-03-05T00:00:00"/>
    <d v="2025-03-05T00:00:00"/>
    <s v="2025 02"/>
    <s v="Aguardando Liberação"/>
    <s v="2025 01"/>
    <s v="ENTREGUE"/>
    <d v="2025-02-07T00:00:00"/>
    <s v="-"/>
    <m/>
    <n v="0"/>
    <n v="0"/>
    <n v="0"/>
    <n v="0"/>
    <n v="0"/>
  </r>
  <r>
    <s v="BV"/>
    <s v="BV45684"/>
    <s v="Pedido 834"/>
    <d v="2025-01-26T00:00:00"/>
    <d v="2025-01-27T00:00:00"/>
    <s v="PedidoF813"/>
    <s v="CódRastreio811"/>
    <n v="1"/>
    <s v="CPF 810"/>
    <s v="Nome 810"/>
    <s v="Tel 810"/>
    <s v="Cep 810"/>
    <s v="Rua 810"/>
    <s v="Comp 810"/>
    <x v="15"/>
    <s v="HF-SI0F-XC7S"/>
    <d v="2025-02-14T00:00:00"/>
    <n v="64.900000000000006"/>
    <n v="64.900000000000006"/>
    <n v="9.0860000000000021"/>
    <n v="55.81"/>
    <n v="0"/>
    <n v="0.2"/>
    <n v="0.39877104377104378"/>
    <n v="0"/>
    <n v="55.211228956228958"/>
    <n v="27.605614478114479"/>
    <d v="2025-02-21T00:00:00"/>
    <d v="2025-02-21T00:00:00"/>
    <d v="2025-03-05T00:00:00"/>
    <d v="2025-03-05T00:00:00"/>
    <s v="2025 02"/>
    <s v="Aguardando Liberação"/>
    <s v="2025 01"/>
    <s v="ENTREGUE"/>
    <d v="2025-02-08T00:00:00"/>
    <s v="-"/>
    <m/>
    <n v="0"/>
    <n v="0"/>
    <n v="0"/>
    <n v="0"/>
    <n v="0"/>
  </r>
  <r>
    <s v="BV"/>
    <s v="BV45684"/>
    <s v="Pedido 835"/>
    <d v="2025-01-26T00:00:00"/>
    <d v="2025-01-27T00:00:00"/>
    <s v="PedidoF814"/>
    <s v="CódRastreio812"/>
    <n v="1"/>
    <s v="CPF 811"/>
    <s v="Nome 811"/>
    <s v="Tel 811"/>
    <s v="Cep 811"/>
    <s v="Rua 811"/>
    <s v="Comp 811"/>
    <x v="12"/>
    <s v="U8-2VWS-OB6M"/>
    <d v="2025-02-14T00:00:00"/>
    <n v="66.989999999999995"/>
    <n v="66.989999999999995"/>
    <n v="8.7087000000000003"/>
    <n v="58.28"/>
    <n v="17.420000000000002"/>
    <n v="0.2"/>
    <n v="0.39877104377104378"/>
    <n v="0"/>
    <n v="40.261228956228955"/>
    <n v="20.130614478114477"/>
    <d v="2025-02-21T00:00:00"/>
    <d v="2025-02-21T00:00:00"/>
    <d v="2025-03-05T00:00:00"/>
    <d v="2025-03-05T00:00:00"/>
    <s v="2025 02"/>
    <s v="Aguardando Liberação"/>
    <s v="2025 01"/>
    <s v="ENTREGUE"/>
    <d v="2025-02-10T00:00:00"/>
    <s v="-"/>
    <m/>
    <n v="0"/>
    <n v="0"/>
    <n v="0"/>
    <n v="0"/>
    <n v="0"/>
  </r>
  <r>
    <s v="BV"/>
    <s v="BV45684"/>
    <s v="Pedido 836"/>
    <d v="2025-01-27T00:00:00"/>
    <d v="2025-01-27T00:00:00"/>
    <s v="PedidoF815"/>
    <s v="CódRastreio813"/>
    <n v="1"/>
    <s v="CPF 812"/>
    <s v="Nome 812"/>
    <s v="Tel 812"/>
    <s v="Cep 812"/>
    <s v="Rua 812"/>
    <s v="Comp 812"/>
    <x v="3"/>
    <s v="IF-G2ZQ-79FO"/>
    <d v="2025-02-21T00:00:00"/>
    <n v="59.8"/>
    <n v="59.8"/>
    <n v="7.774"/>
    <n v="52.03"/>
    <n v="17.78"/>
    <n v="0.2"/>
    <n v="0.39877104377104378"/>
    <n v="0"/>
    <n v="33.651228956228955"/>
    <n v="16.825614478114478"/>
    <d v="2025-02-28T00:00:00"/>
    <d v="2025-02-28T00:00:00"/>
    <d v="2025-03-05T00:00:00"/>
    <d v="2025-03-05T00:00:00"/>
    <s v="2025 02"/>
    <s v="Aguardando Liberação"/>
    <s v="2025 01"/>
    <s v="ENTREGUE"/>
    <d v="2025-02-12T00:00:00"/>
    <s v="-"/>
    <m/>
    <n v="0"/>
    <n v="0"/>
    <n v="0"/>
    <n v="0"/>
    <n v="0"/>
  </r>
  <r>
    <s v="BV"/>
    <s v="BV45684"/>
    <s v="Pedido 837"/>
    <d v="2025-01-27T00:00:00"/>
    <d v="2025-01-27T00:00:00"/>
    <s v="PedidoF816"/>
    <s v="CódRastreio814"/>
    <n v="1"/>
    <s v="CPF 813"/>
    <s v="Nome 813"/>
    <s v="Tel 813"/>
    <s v="Cep 813"/>
    <s v="Rua 813"/>
    <s v="Comp 813"/>
    <x v="1"/>
    <s v="CK-YL6M-P5Y6"/>
    <d v="2025-02-21T00:00:00"/>
    <n v="32.99"/>
    <n v="32.99"/>
    <n v="4.6186000000000007"/>
    <n v="28.37"/>
    <n v="14.99"/>
    <n v="0.2"/>
    <n v="0.39877104377104378"/>
    <n v="0"/>
    <n v="12.781228956228958"/>
    <n v="6.3906144781144789"/>
    <d v="2025-02-28T00:00:00"/>
    <d v="2025-02-28T00:00:00"/>
    <d v="2025-03-05T00:00:00"/>
    <d v="2025-03-05T00:00:00"/>
    <s v="2025 02"/>
    <s v="Aguardando Liberação"/>
    <s v="2025 01"/>
    <s v="ENTREGUE"/>
    <d v="2025-02-04T00:00:00"/>
    <s v="-"/>
    <m/>
    <n v="0"/>
    <n v="0"/>
    <n v="0"/>
    <n v="0"/>
    <n v="0"/>
  </r>
  <r>
    <s v="BV"/>
    <s v="BV45685"/>
    <s v="Pedido 838"/>
    <d v="2025-01-28T00:00:00"/>
    <d v="2025-01-28T00:00:00"/>
    <s v="PedidoF817"/>
    <s v="CódRastreio815"/>
    <n v="1"/>
    <s v="CPF 814"/>
    <s v="Nome 814"/>
    <s v="Tel 814"/>
    <s v="Cep 814"/>
    <s v="Rua 814"/>
    <s v="Comp 814"/>
    <x v="12"/>
    <s v="U8-2VWS-OB6M"/>
    <d v="2025-02-28T00:00:00"/>
    <n v="66.989999999999995"/>
    <n v="66.989999999999995"/>
    <n v="8.7087000000000003"/>
    <n v="58.28"/>
    <n v="17.190000000000001"/>
    <n v="0.2"/>
    <n v="0.39877104377104378"/>
    <n v="0"/>
    <n v="40.491228956228952"/>
    <n v="20.245614478114476"/>
    <d v="2025-03-07T00:00:00"/>
    <d v="2025-03-07T00:00:00"/>
    <d v="2025-03-14T00:00:00"/>
    <d v="2025-03-17T00:00:00"/>
    <s v="2025 03"/>
    <s v="Aguardando Liberação"/>
    <s v="2025 01"/>
    <s v="ENTREGUE"/>
    <d v="2025-02-21T00:00:00"/>
    <s v="-"/>
    <m/>
    <n v="0"/>
    <n v="0"/>
    <n v="0"/>
    <n v="0"/>
    <n v="0"/>
  </r>
  <r>
    <s v="BV"/>
    <s v="BV45686"/>
    <s v="Pedido 839"/>
    <d v="2025-01-29T00:00:00"/>
    <d v="2025-01-29T00:00:00"/>
    <s v="PedidoF818"/>
    <s v="CódRastreio816"/>
    <n v="1"/>
    <s v="CPF 815"/>
    <s v="Nome 815"/>
    <s v="Tel 815"/>
    <s v="Cep 815"/>
    <s v="Rua 815"/>
    <s v="Comp 815"/>
    <x v="10"/>
    <s v="MU-J80P-95WF"/>
    <d v="2025-02-25T00:00:00"/>
    <n v="65.989999999999995"/>
    <n v="65.989999999999995"/>
    <n v="8.5786999999999995"/>
    <n v="57.41"/>
    <n v="10.17"/>
    <n v="0.2"/>
    <n v="0.39877104377104378"/>
    <n v="0"/>
    <n v="46.641228956228957"/>
    <n v="23.320614478114479"/>
    <d v="2025-03-04T00:00:00"/>
    <d v="2025-03-04T00:00:00"/>
    <d v="2025-03-14T00:00:00"/>
    <d v="2025-03-17T00:00:00"/>
    <s v="2025 03"/>
    <s v="Aguardando Liberação"/>
    <s v="2025 01"/>
    <s v="ENTREGUE"/>
    <d v="2025-02-13T00:00:00"/>
    <s v="-"/>
    <m/>
    <n v="0"/>
    <n v="0"/>
    <n v="0"/>
    <n v="0"/>
    <n v="0"/>
  </r>
  <r>
    <s v="BV"/>
    <s v="BV45686"/>
    <s v="Pedido 840"/>
    <d v="2025-01-29T00:00:00"/>
    <d v="2025-01-29T00:00:00"/>
    <s v="PedidoF819"/>
    <s v="CódRastreio817"/>
    <n v="1"/>
    <s v="CPF 816"/>
    <s v="Nome 816"/>
    <s v="Tel 816"/>
    <s v="Cep 816"/>
    <s v="Rua 816"/>
    <s v="Comp 816"/>
    <x v="11"/>
    <s v="BP-NHG2-B8C1"/>
    <d v="2025-02-19T00:00:00"/>
    <n v="75.989999999999995"/>
    <n v="75.989999999999995"/>
    <n v="9.8787000000000003"/>
    <n v="66.11"/>
    <n v="0"/>
    <n v="0.2"/>
    <n v="0.39877104377104378"/>
    <n v="0"/>
    <n v="65.511228956228962"/>
    <n v="32.755614478114481"/>
    <d v="2025-02-26T00:00:00"/>
    <d v="2025-02-26T00:00:00"/>
    <d v="2025-03-05T00:00:00"/>
    <d v="2025-03-05T00:00:00"/>
    <s v="2025 02"/>
    <s v="Aguardando Liberação"/>
    <s v="2025 01"/>
    <s v="ENTREGUE"/>
    <d v="2025-02-08T00:00:00"/>
    <s v="-"/>
    <m/>
    <n v="1.82"/>
    <n v="0"/>
    <n v="0"/>
    <n v="0"/>
    <n v="1.82"/>
  </r>
  <r>
    <s v="BV"/>
    <s v="BV45688"/>
    <s v="Pedido 841"/>
    <d v="2025-01-30T00:00:00"/>
    <d v="2025-01-31T00:00:00"/>
    <s v="PedidoF820"/>
    <s v="CódRastreio818"/>
    <n v="1"/>
    <s v="CPF 817"/>
    <s v="Nome 817"/>
    <s v="Tel 817"/>
    <s v="Cep 817"/>
    <s v="Rua 817"/>
    <s v="Comp 817"/>
    <x v="10"/>
    <s v="MU-J80P-95WF"/>
    <d v="2025-02-20T00:00:00"/>
    <n v="65.989999999999995"/>
    <n v="65.989999999999995"/>
    <n v="8.5786999999999995"/>
    <n v="57.41"/>
    <n v="10.18"/>
    <n v="0.27"/>
    <n v="0.39877104377104378"/>
    <n v="0"/>
    <n v="46.561228956228952"/>
    <n v="23.280614478114476"/>
    <d v="2025-02-27T00:00:00"/>
    <d v="2025-02-27T00:00:00"/>
    <d v="2025-03-05T00:00:00"/>
    <d v="2025-03-05T00:00:00"/>
    <s v="2025 02"/>
    <s v="Aguardando Liberação"/>
    <s v="2025 01"/>
    <s v="ENTREGUE"/>
    <d v="2025-02-11T00:00:00"/>
    <s v="-"/>
    <m/>
    <n v="0"/>
    <n v="0"/>
    <n v="0"/>
    <n v="0"/>
    <n v="0"/>
  </r>
  <r>
    <s v="BV"/>
    <s v="BV45688"/>
    <s v="Pedido 842"/>
    <d v="2025-01-30T00:00:00"/>
    <d v="2025-01-31T00:00:00"/>
    <s v="PedidoF821"/>
    <s v="CódRastreio819"/>
    <n v="1"/>
    <s v="CPF 818"/>
    <s v="Nome 818"/>
    <s v="Tel 818"/>
    <s v="Cep 818"/>
    <s v="Rua 818"/>
    <s v="Comp 818"/>
    <x v="1"/>
    <s v="CK-YL6M-P5Y6"/>
    <d v="2025-02-18T00:00:00"/>
    <n v="32.99"/>
    <n v="32.99"/>
    <n v="4.6186000000000007"/>
    <n v="28.37"/>
    <n v="14.99"/>
    <n v="0.27"/>
    <n v="0.39877104377104378"/>
    <n v="0"/>
    <n v="12.711228956228958"/>
    <n v="6.3556144781144788"/>
    <d v="2025-02-25T00:00:00"/>
    <d v="2025-02-25T00:00:00"/>
    <d v="2025-03-05T00:00:00"/>
    <d v="2025-03-05T00:00:00"/>
    <s v="2025 02"/>
    <s v="Aguardando Liberação"/>
    <s v="2025 01"/>
    <s v="ENTREGUE"/>
    <d v="2025-02-06T00:00:00"/>
    <s v="-"/>
    <m/>
    <n v="0"/>
    <n v="0"/>
    <n v="0"/>
    <n v="0"/>
    <n v="0"/>
  </r>
  <r>
    <s v="BV"/>
    <s v="BV45688"/>
    <s v="Pedido 843"/>
    <d v="2025-01-31T00:00:00"/>
    <d v="2025-01-31T00:00:00"/>
    <s v="PedidoF822"/>
    <s v="CódRastreio820"/>
    <n v="1"/>
    <s v="CPF 819"/>
    <s v="Nome 819"/>
    <s v="Tel 819"/>
    <s v="Cep 819"/>
    <s v="Rua 819"/>
    <s v="Comp 819"/>
    <x v="1"/>
    <s v="CK-YL6M-P5Y6"/>
    <d v="2025-02-15T00:00:00"/>
    <n v="32.99"/>
    <n v="32.99"/>
    <n v="4.6186000000000007"/>
    <n v="28.37"/>
    <n v="14.99"/>
    <n v="0.27"/>
    <n v="0.39877104377104378"/>
    <n v="0"/>
    <n v="12.711228956228958"/>
    <n v="6.3556144781144788"/>
    <d v="2025-02-22T00:00:00"/>
    <d v="2025-02-22T00:00:00"/>
    <d v="2025-03-05T00:00:00"/>
    <d v="2025-03-05T00:00:00"/>
    <s v="2025 02"/>
    <s v="Aguardando Liberação"/>
    <s v="2025 01"/>
    <s v="ENTREGUE"/>
    <d v="2025-02-05T00:00:00"/>
    <s v="-"/>
    <m/>
    <n v="0"/>
    <n v="0"/>
    <n v="0"/>
    <n v="0"/>
    <n v="0"/>
  </r>
  <r>
    <s v="BV"/>
    <s v="BV45691"/>
    <s v="Pedido 844"/>
    <d v="2025-02-01T00:00:00"/>
    <d v="2025-02-03T00:00:00"/>
    <s v="PedidoF823"/>
    <s v="CódRastreio821"/>
    <n v="1"/>
    <s v="CPF 820"/>
    <s v="Nome 820"/>
    <s v="Tel 820"/>
    <s v="Cep 820"/>
    <s v="Rua 820"/>
    <s v="Comp 820"/>
    <x v="0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2-28T00:00:00"/>
    <d v="2025-02-28T00:00:00"/>
    <d v="2025-03-05T00:00:00"/>
    <d v="2025-03-05T00:00:00"/>
    <s v="2025 02"/>
    <s v="Aguardando Liberação"/>
    <s v="2025 02"/>
    <s v="ENTREGUE"/>
    <d v="2025-02-06T00:00:00"/>
    <s v="-"/>
    <m/>
    <n v="0"/>
    <n v="0"/>
    <n v="0"/>
    <n v="0"/>
    <n v="0"/>
  </r>
  <r>
    <s v="BV"/>
    <s v="BV45691"/>
    <s v="Pedido 845"/>
    <d v="2025-02-01T00:00:00"/>
    <d v="2025-02-03T00:00:00"/>
    <s v="PedidoF824"/>
    <s v="CódRastreio822"/>
    <n v="1"/>
    <s v="CPF 821"/>
    <s v="Nome 821"/>
    <s v="Tel 821"/>
    <s v="Cep 821"/>
    <s v="Rua 821"/>
    <s v="Comp 821"/>
    <x v="0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2-28T00:00:00"/>
    <d v="2025-02-28T00:00:00"/>
    <d v="2025-03-05T00:00:00"/>
    <d v="2025-03-05T00:00:00"/>
    <s v="2025 02"/>
    <s v="Aguardando Liberação"/>
    <s v="2025 02"/>
    <s v="ENTREGUE"/>
    <d v="2025-02-06T00:00:00"/>
    <s v="-"/>
    <m/>
    <n v="0"/>
    <n v="0"/>
    <n v="0"/>
    <n v="0"/>
    <n v="0"/>
  </r>
  <r>
    <s v="BV"/>
    <s v="BV45691"/>
    <s v="Pedido 846"/>
    <d v="2025-02-01T00:00:00"/>
    <d v="2025-02-03T00:00:00"/>
    <s v="PedidoF825"/>
    <s v="CódRastreio823"/>
    <n v="1"/>
    <s v="CPF 822"/>
    <s v="Nome 822"/>
    <s v="Tel 822"/>
    <s v="Cep 822"/>
    <s v="Rua 822"/>
    <s v="Comp 822"/>
    <x v="0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2-28T00:00:00"/>
    <d v="2025-02-28T00:00:00"/>
    <d v="2025-03-05T00:00:00"/>
    <d v="2025-03-05T00:00:00"/>
    <s v="2025 02"/>
    <s v="Aguardando Liberação"/>
    <s v="2025 02"/>
    <s v="ENTREGUE"/>
    <d v="2025-02-06T00:00:00"/>
    <s v="-"/>
    <m/>
    <n v="0"/>
    <n v="0"/>
    <n v="0"/>
    <n v="0"/>
    <n v="0"/>
  </r>
  <r>
    <s v="BV"/>
    <s v="BV45691"/>
    <s v="Pedido 847"/>
    <d v="2025-02-01T00:00:00"/>
    <d v="2025-02-03T00:00:00"/>
    <s v="PedidoF826"/>
    <s v="CódRastreio824"/>
    <n v="1"/>
    <s v="CPF 823"/>
    <s v="Nome 823"/>
    <s v="Tel 823"/>
    <s v="Cep 823"/>
    <s v="Rua 823"/>
    <s v="Comp 823"/>
    <x v="20"/>
    <s v="5D-KKPK-K70I"/>
    <d v="2025-02-15T00:00:00"/>
    <n v="29.99"/>
    <n v="29.99"/>
    <n v="4.4984999999999999"/>
    <n v="25.49"/>
    <n v="13.3"/>
    <n v="0.17"/>
    <n v="0.39877104377104378"/>
    <n v="0"/>
    <n v="11.621228956228954"/>
    <n v="5.8106144781144771"/>
    <d v="2025-02-22T00:00:00"/>
    <d v="2025-02-22T00:00:00"/>
    <d v="2025-03-05T00:00:00"/>
    <d v="2025-03-05T00:00:00"/>
    <s v="2025 02"/>
    <s v="Aguardando Liberação"/>
    <s v="2025 02"/>
    <s v="ENTREGUE"/>
    <d v="2025-02-08T00:00:00"/>
    <s v="-"/>
    <m/>
    <n v="0"/>
    <n v="0"/>
    <n v="0"/>
    <n v="0"/>
    <n v="0"/>
  </r>
  <r>
    <s v="BV"/>
    <s v="BV45691"/>
    <s v="Pedido 848"/>
    <d v="2025-02-01T00:00:00"/>
    <d v="2025-02-03T00:00:00"/>
    <s v="PedidoF827"/>
    <s v="CódRastreio825"/>
    <n v="1"/>
    <s v="CPF 824"/>
    <s v="Nome 824"/>
    <s v="Tel 824"/>
    <s v="Cep 824"/>
    <s v="Rua 824"/>
    <s v="Comp 824"/>
    <x v="3"/>
    <s v="IF-G2ZQ-79FO"/>
    <d v="2025-02-21T00:00:00"/>
    <n v="52.7"/>
    <n v="52.7"/>
    <n v="6.8510000000000009"/>
    <n v="45.85"/>
    <n v="16.57"/>
    <n v="0.17"/>
    <n v="0.39877104377104378"/>
    <n v="0"/>
    <n v="28.711228956228954"/>
    <n v="14.355614478114477"/>
    <d v="2025-02-28T00:00:00"/>
    <d v="2025-02-28T00:00:00"/>
    <d v="2025-03-05T00:00:00"/>
    <d v="2025-03-05T00:00:00"/>
    <s v="2025 02"/>
    <s v="Aguardando Liberação"/>
    <s v="2025 02"/>
    <s v="ENTREGUE"/>
    <d v="2025-02-17T00:00:00"/>
    <s v="-"/>
    <m/>
    <n v="0"/>
    <n v="0"/>
    <n v="0"/>
    <n v="0"/>
    <n v="0"/>
  </r>
  <r>
    <s v="BV"/>
    <s v="BV45691"/>
    <s v="Pedido 849"/>
    <d v="2025-02-02T00:00:00"/>
    <d v="2025-02-03T00:00:00"/>
    <s v="PedidoF828"/>
    <s v="CódRastreio826"/>
    <n v="1"/>
    <s v="CPF 825"/>
    <s v="Nome 825"/>
    <s v="Tel 825"/>
    <s v="Cep 825"/>
    <s v="Rua 825"/>
    <s v="Comp 825"/>
    <x v="16"/>
    <s v="RB-W251-UXV2"/>
    <d v="2025-02-21T00:00:00"/>
    <n v="32.99"/>
    <n v="32.99"/>
    <n v="4.2887000000000004"/>
    <n v="28.7"/>
    <n v="14.4"/>
    <n v="0.17"/>
    <n v="0.39877104377104378"/>
    <n v="0"/>
    <n v="13.731228956228955"/>
    <n v="6.8656144781144777"/>
    <d v="2025-02-28T00:00:00"/>
    <d v="2025-02-28T00:00:00"/>
    <d v="2025-03-05T00:00:00"/>
    <d v="2025-03-05T00:00:00"/>
    <s v="2025 02"/>
    <s v="Aguardando Liberação"/>
    <s v="2025 02"/>
    <s v="ENTREGUE"/>
    <d v="2025-02-17T00:00:00"/>
    <s v="-"/>
    <m/>
    <n v="0"/>
    <n v="0"/>
    <n v="0"/>
    <n v="0"/>
    <n v="0"/>
  </r>
  <r>
    <s v="BV"/>
    <s v="BV45691"/>
    <s v="Pedido 850"/>
    <d v="2025-02-02T00:00:00"/>
    <d v="2025-02-03T00:00:00"/>
    <s v="PedidoF829"/>
    <s v="CódRastreio827"/>
    <n v="1"/>
    <s v="CPF 826"/>
    <s v="Nome 826"/>
    <s v="Tel 826"/>
    <s v="Cep 826"/>
    <s v="Rua 826"/>
    <s v="Comp 826"/>
    <x v="3"/>
    <s v="IF-G2ZQ-79FO"/>
    <d v="2025-03-11T00:00:00"/>
    <n v="52.7"/>
    <n v="52.7"/>
    <n v="6.8510000000000009"/>
    <n v="45.85"/>
    <n v="16.57"/>
    <n v="0.17"/>
    <n v="0.39877104377104378"/>
    <n v="0"/>
    <n v="28.711228956228954"/>
    <n v="14.355614478114477"/>
    <d v="2025-03-18T00:00:00"/>
    <d v="2025-03-18T00:00:00"/>
    <d v="2025-03-31T00:00:00"/>
    <d v="2025-04-02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691"/>
    <s v="Pedido 851"/>
    <d v="2025-02-02T00:00:00"/>
    <d v="2025-02-03T00:00:00"/>
    <s v="PedidoF830"/>
    <s v="CódRastreio828"/>
    <n v="1"/>
    <s v="CPF 827"/>
    <s v="Nome 827"/>
    <s v="Tel 827"/>
    <s v="Cep 827"/>
    <s v="Rua 827"/>
    <s v="Comp 827"/>
    <x v="0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2-28T00:00:00"/>
    <d v="2025-02-28T00:00:00"/>
    <d v="2025-03-05T00:00:00"/>
    <d v="2025-03-05T00:00:00"/>
    <s v="2025 02"/>
    <s v="Aguardando Liberação"/>
    <s v="2025 02"/>
    <s v="ENTREGUE"/>
    <d v="2025-02-07T00:00:00"/>
    <s v="-"/>
    <m/>
    <n v="0"/>
    <n v="0"/>
    <n v="0"/>
    <n v="0"/>
    <n v="0"/>
  </r>
  <r>
    <s v="BV"/>
    <s v="BV45691"/>
    <s v="Pedido 852"/>
    <d v="2025-02-02T00:00:00"/>
    <d v="2025-02-03T00:00:00"/>
    <s v="PedidoF831"/>
    <s v="CódRastreio829"/>
    <n v="1"/>
    <s v="CPF 828"/>
    <s v="Nome 828"/>
    <s v="Tel 828"/>
    <s v="Cep 828"/>
    <s v="Rua 828"/>
    <s v="Comp 828"/>
    <x v="0"/>
    <s v="16-4EDB-WMZF"/>
    <d v="2025-02-27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3-06T00:00:00"/>
    <d v="2025-03-06T00:00:00"/>
    <d v="2025-03-14T00:00:00"/>
    <d v="2025-03-17T00:00:00"/>
    <s v="2025 03"/>
    <s v="Aguardando Liberação"/>
    <s v="2025 02"/>
    <s v="ENTREGUE"/>
    <d v="2025-02-08T00:00:00"/>
    <s v="-"/>
    <m/>
    <n v="0"/>
    <n v="0"/>
    <n v="0"/>
    <n v="0"/>
    <n v="0"/>
  </r>
  <r>
    <s v="BV"/>
    <s v="BV45691"/>
    <s v="Pedido 853"/>
    <d v="2025-02-02T00:00:00"/>
    <d v="2025-02-03T00:00:00"/>
    <s v="PedidoF832"/>
    <s v="CódRastreio830"/>
    <n v="1"/>
    <s v="CPF 829"/>
    <s v="Nome 829"/>
    <s v="Tel 829"/>
    <s v="Cep 829"/>
    <s v="Rua 829"/>
    <s v="Comp 829"/>
    <x v="3"/>
    <s v="IF-G2ZQ-79FO"/>
    <d v="2025-02-21T00:00:00"/>
    <n v="52.7"/>
    <n v="52.7"/>
    <n v="6.8510000000000009"/>
    <n v="45.85"/>
    <n v="16.57"/>
    <n v="0.17"/>
    <n v="0.39877104377104378"/>
    <n v="0"/>
    <n v="28.711228956228954"/>
    <n v="14.355614478114477"/>
    <d v="2025-02-28T00:00:00"/>
    <d v="2025-02-28T00:00:00"/>
    <d v="2025-03-05T00:00:00"/>
    <d v="2025-03-05T00:00:00"/>
    <s v="2025 02"/>
    <s v="Aguardando Liberação"/>
    <s v="2025 02"/>
    <s v="ENTREGUE"/>
    <d v="2025-02-14T00:00:00"/>
    <s v="-"/>
    <m/>
    <n v="0"/>
    <n v="0"/>
    <n v="0"/>
    <n v="0"/>
    <n v="0"/>
  </r>
  <r>
    <s v="BV"/>
    <s v="BV45691"/>
    <s v="Pedido 854"/>
    <d v="2025-02-02T00:00:00"/>
    <d v="2025-02-03T00:00:00"/>
    <s v="PedidoF833"/>
    <s v="CódRastreio831"/>
    <n v="1"/>
    <s v="CPF 830"/>
    <s v="Nome 830"/>
    <s v="Tel 830"/>
    <s v="Cep 830"/>
    <s v="Rua 830"/>
    <s v="Comp 830"/>
    <x v="1"/>
    <s v="CK-YL6M-P5Y6"/>
    <d v="2025-02-19T00:00:00"/>
    <n v="32.99"/>
    <n v="32.99"/>
    <n v="4.6186000000000007"/>
    <n v="28.37"/>
    <n v="14.99"/>
    <n v="0.17"/>
    <n v="0.39877104377104378"/>
    <n v="0"/>
    <n v="12.811228956228957"/>
    <n v="6.4056144781144786"/>
    <d v="2025-02-26T00:00:00"/>
    <d v="2025-02-26T00:00:00"/>
    <d v="2025-03-05T00:00:00"/>
    <d v="2025-03-05T00:00:00"/>
    <s v="2025 02"/>
    <s v="Aguardando Liberação"/>
    <s v="2025 02"/>
    <s v="ENTREGUE"/>
    <d v="2025-02-11T00:00:00"/>
    <s v="-"/>
    <m/>
    <n v="0"/>
    <n v="0"/>
    <n v="0"/>
    <n v="0"/>
    <n v="0"/>
  </r>
  <r>
    <s v="BV"/>
    <s v="BV45691"/>
    <s v="Pedido 855"/>
    <d v="2025-02-02T00:00:00"/>
    <d v="2025-02-03T00:00:00"/>
    <s v="PedidoF834"/>
    <s v="CódRastreio832"/>
    <n v="1"/>
    <s v="CPF 831"/>
    <s v="Nome 831"/>
    <s v="Tel 831"/>
    <s v="Cep 831"/>
    <s v="Rua 831"/>
    <s v="Comp 831"/>
    <x v="11"/>
    <s v="BP-NHG2-B8C1"/>
    <d v="2025-02-21T00:00:00"/>
    <n v="74.989999999999995"/>
    <n v="74.989999999999995"/>
    <n v="9.7486999999999995"/>
    <n v="65.239999999999995"/>
    <n v="0"/>
    <n v="0.17"/>
    <n v="0.39877104377104378"/>
    <n v="0"/>
    <n v="64.671228956228944"/>
    <n v="32.335614478114472"/>
    <d v="2025-02-28T00:00:00"/>
    <d v="2025-02-28T00:00:00"/>
    <d v="2025-03-05T00:00:00"/>
    <d v="2025-03-05T00:00:00"/>
    <s v="2025 02"/>
    <s v="Aguardando Liberação"/>
    <s v="2025 02"/>
    <s v="ENTREGUE"/>
    <d v="2025-02-27T00:00:00"/>
    <s v="-"/>
    <m/>
    <n v="0"/>
    <n v="0"/>
    <n v="0"/>
    <n v="0"/>
    <n v="0"/>
  </r>
  <r>
    <s v="BV"/>
    <s v="BV45691"/>
    <s v="Pedido 856"/>
    <d v="2025-02-02T00:00:00"/>
    <d v="2025-02-03T00:00:00"/>
    <s v="PedidoF835"/>
    <s v="CódRastreio833"/>
    <n v="1"/>
    <s v="CPF 832"/>
    <s v="Nome 832"/>
    <s v="Tel 832"/>
    <s v="Cep 832"/>
    <s v="Rua 832"/>
    <s v="Comp 832"/>
    <x v="0"/>
    <s v="16-4EDB-WMZF"/>
    <d v="2025-02-27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3-06T00:00:00"/>
    <d v="2025-03-06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BV"/>
    <s v="BV45691"/>
    <s v="Pedido 857"/>
    <d v="2025-02-03T00:00:00"/>
    <d v="2025-02-03T00:00:00"/>
    <s v="PedidoF836"/>
    <s v="CódRastreio834"/>
    <n v="1"/>
    <s v="CPF 833"/>
    <s v="Nome 833"/>
    <s v="Tel 833"/>
    <s v="Cep 833"/>
    <s v="Rua 833"/>
    <s v="Comp 833"/>
    <x v="8"/>
    <s v="FM-QQ8Y-RZT4"/>
    <d v="2025-02-27T00:00:00"/>
    <n v="34.5"/>
    <n v="34.5"/>
    <n v="4.4850000000000003"/>
    <n v="30.02"/>
    <n v="17"/>
    <n v="0.17"/>
    <n v="0.39877104377104378"/>
    <n v="0"/>
    <n v="12.451228956228952"/>
    <n v="6.2256144781144762"/>
    <d v="2025-03-06T00:00:00"/>
    <d v="2025-03-06T00:00:00"/>
    <d v="2025-03-14T00:00:00"/>
    <d v="2025-03-17T00:00:00"/>
    <s v="2025 03"/>
    <s v="Aguardando Liberação"/>
    <s v="2025 02"/>
    <s v="ENTREGUE"/>
    <d v="2025-02-12T00:00:00"/>
    <s v="-"/>
    <m/>
    <n v="0"/>
    <n v="0"/>
    <n v="0"/>
    <n v="0"/>
    <n v="0"/>
  </r>
  <r>
    <s v="BV"/>
    <s v="BV45691"/>
    <s v="Pedido 858"/>
    <d v="2025-02-03T00:00:00"/>
    <d v="2025-02-03T00:00:00"/>
    <s v="PedidoF837"/>
    <s v="CódRastreio835"/>
    <n v="1"/>
    <s v="CPF 834"/>
    <s v="Nome 834"/>
    <s v="Tel 834"/>
    <s v="Cep 834"/>
    <s v="Rua 834"/>
    <s v="Comp 834"/>
    <x v="0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2-28T00:00:00"/>
    <d v="2025-02-28T00:00:00"/>
    <d v="2025-03-05T00:00:00"/>
    <d v="2025-03-05T00:00:00"/>
    <s v="2025 02"/>
    <s v="Aguardando Liberação"/>
    <s v="2025 02"/>
    <s v="ENTREGUE"/>
    <d v="2025-02-06T00:00:00"/>
    <s v="-"/>
    <m/>
    <n v="0"/>
    <n v="0"/>
    <n v="0"/>
    <n v="0"/>
    <n v="0"/>
  </r>
  <r>
    <s v="BV"/>
    <s v="BV45691"/>
    <s v="Pedido 859"/>
    <d v="2025-02-03T00:00:00"/>
    <d v="2025-02-03T00:00:00"/>
    <s v="PedidoF838"/>
    <s v="CódRastreio836"/>
    <n v="1"/>
    <s v="CPF 835"/>
    <s v="Nome 835"/>
    <s v="Tel 835"/>
    <s v="Cep 835"/>
    <s v="Rua 835"/>
    <s v="Comp 835"/>
    <x v="1"/>
    <s v="CK-YL6M-P5Y6"/>
    <d v="2025-02-28T00:00:00"/>
    <n v="32.99"/>
    <n v="32.99"/>
    <n v="4.6186000000000007"/>
    <n v="28.37"/>
    <n v="14.99"/>
    <n v="0.17"/>
    <n v="0.39877104377104378"/>
    <n v="0"/>
    <n v="12.811228956228957"/>
    <n v="6.4056144781144786"/>
    <d v="2025-03-07T00:00:00"/>
    <d v="2025-03-07T00:00:00"/>
    <d v="2025-03-14T00:00:00"/>
    <d v="2025-03-17T00:00:00"/>
    <s v="2025 03"/>
    <s v="Aguardando Liberação"/>
    <s v="2025 02"/>
    <s v="ENTREGUE"/>
    <d v="2025-02-11T00:00:00"/>
    <s v="-"/>
    <m/>
    <n v="0"/>
    <n v="0"/>
    <n v="0"/>
    <n v="0"/>
    <n v="0"/>
  </r>
  <r>
    <s v="BV"/>
    <s v="BV45691"/>
    <s v="Pedido 860"/>
    <d v="2025-02-03T00:00:00"/>
    <d v="2025-02-03T00:00:00"/>
    <s v="PedidoF839"/>
    <s v="CódRastreio837"/>
    <n v="1"/>
    <s v="CPF 836"/>
    <s v="Nome 836"/>
    <s v="Tel 836"/>
    <s v="Cep 836"/>
    <s v="Rua 836"/>
    <s v="Comp 836"/>
    <x v="0"/>
    <s v="16-4EDB-WMZF"/>
    <d v="2025-02-22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3-01T00:00:00"/>
    <d v="2025-03-01T00:00:00"/>
    <d v="2025-03-14T00:00:00"/>
    <d v="2025-03-17T00:00:00"/>
    <s v="2025 03"/>
    <s v="Aguardando Liberação"/>
    <s v="2025 02"/>
    <s v="ENTREGUE"/>
    <d v="2025-02-07T00:00:00"/>
    <s v="-"/>
    <m/>
    <n v="0"/>
    <n v="0"/>
    <n v="0"/>
    <n v="0"/>
    <n v="0"/>
  </r>
  <r>
    <s v="BV"/>
    <s v="BV45691"/>
    <s v="Pedido 861"/>
    <d v="2025-02-03T00:00:00"/>
    <d v="2025-02-03T00:00:00"/>
    <s v="PedidoF840"/>
    <s v="CódRastreio838"/>
    <n v="1"/>
    <s v="CPF 837"/>
    <s v="Nome 837"/>
    <s v="Tel 837"/>
    <s v="Cep 837"/>
    <s v="Rua 837"/>
    <s v="Comp 837"/>
    <x v="1"/>
    <s v="CK-YL6M-P5Y6"/>
    <d v="2025-02-20T00:00:00"/>
    <n v="32.99"/>
    <n v="32.99"/>
    <n v="4.6186000000000007"/>
    <n v="28.37"/>
    <n v="14.99"/>
    <n v="0.17"/>
    <n v="0.39877104377104378"/>
    <n v="0"/>
    <n v="12.811228956228957"/>
    <n v="6.4056144781144786"/>
    <d v="2025-02-27T00:00:00"/>
    <d v="2025-02-27T00:00:00"/>
    <d v="2025-03-05T00:00:00"/>
    <d v="2025-03-05T00:00:00"/>
    <s v="2025 02"/>
    <s v="Aguardando Liberação"/>
    <s v="2025 02"/>
    <s v="ENTREGUE"/>
    <d v="2025-02-07T00:00:00"/>
    <s v="-"/>
    <m/>
    <n v="0"/>
    <n v="0"/>
    <n v="0"/>
    <n v="0"/>
    <n v="0"/>
  </r>
  <r>
    <s v="BV"/>
    <s v="BV45691"/>
    <s v="Pedido 862"/>
    <d v="2025-02-03T00:00:00"/>
    <d v="2025-02-03T00:00:00"/>
    <s v="PedidoF841"/>
    <s v="CódRastreio839"/>
    <n v="1"/>
    <s v="CPF 838"/>
    <s v="Nome 838"/>
    <s v="Tel 838"/>
    <s v="Cep 838"/>
    <s v="Rua 838"/>
    <s v="Comp 838"/>
    <x v="10"/>
    <s v="MU-J80P-95WF"/>
    <d v="2025-02-22T00:00:00"/>
    <n v="65.989999999999995"/>
    <n v="65.989999999999995"/>
    <n v="8.5786999999999995"/>
    <n v="57.41"/>
    <n v="10.19"/>
    <n v="0.17"/>
    <n v="0.39877104377104378"/>
    <n v="0"/>
    <n v="46.651228956228955"/>
    <n v="23.325614478114478"/>
    <d v="2025-03-01T00:00:00"/>
    <d v="2025-03-01T00:00:00"/>
    <d v="2025-03-14T00:00:00"/>
    <d v="2025-03-17T00:00:00"/>
    <s v="2025 03"/>
    <s v="Aguardando Liberação"/>
    <s v="2025 02"/>
    <s v="ENTREGUE"/>
    <d v="2025-02-10T00:00:00"/>
    <s v="-"/>
    <m/>
    <n v="0"/>
    <n v="0"/>
    <n v="0"/>
    <n v="0"/>
    <n v="0"/>
  </r>
  <r>
    <s v="BV"/>
    <s v="BV45691"/>
    <s v="Pedido 863"/>
    <d v="2025-02-03T00:00:00"/>
    <d v="2025-02-03T00:00:00"/>
    <s v="PedidoF842"/>
    <s v="CódRastreio840"/>
    <n v="1"/>
    <s v="CPF 839"/>
    <s v="Nome 839"/>
    <s v="Tel 839"/>
    <s v="Cep 839"/>
    <s v="Rua 839"/>
    <s v="Comp 839"/>
    <x v="0"/>
    <s v="16-4EDB-WMZF"/>
    <d v="2025-02-22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3-01T00:00:00"/>
    <d v="2025-03-01T00:00:00"/>
    <d v="2025-03-14T00:00:00"/>
    <d v="2025-03-17T00:00:00"/>
    <s v="2025 03"/>
    <s v="Aguardando Liberação"/>
    <s v="2025 02"/>
    <s v="ENTREGUE"/>
    <d v="2025-02-10T00:00:00"/>
    <s v="-"/>
    <m/>
    <n v="0"/>
    <n v="0"/>
    <n v="0"/>
    <n v="0"/>
    <n v="0"/>
  </r>
  <r>
    <s v="BV"/>
    <s v="BV45691"/>
    <s v="Pedido 864"/>
    <d v="2025-02-03T00:00:00"/>
    <d v="2025-02-03T00:00:00"/>
    <s v="PedidoF843"/>
    <s v="CódRastreio841"/>
    <n v="1"/>
    <s v="CPF 840"/>
    <s v="Nome 840"/>
    <s v="Tel 840"/>
    <s v="Cep 840"/>
    <s v="Rua 840"/>
    <s v="Comp 840"/>
    <x v="0"/>
    <s v="16-4EDB-WMZF"/>
    <d v="2025-02-28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d v="2025-03-07T00:00:00"/>
    <d v="2025-03-07T00:00:00"/>
    <d v="2025-03-14T00:00:00"/>
    <d v="2025-03-17T00:00:00"/>
    <s v="2025 03"/>
    <s v="Aguardando Liberação"/>
    <s v="2025 02"/>
    <s v="ENTREGUE"/>
    <d v="2025-02-10T00:00:00"/>
    <s v="-"/>
    <m/>
    <n v="0"/>
    <n v="0"/>
    <n v="0"/>
    <n v="0"/>
    <n v="0"/>
  </r>
  <r>
    <s v="BV"/>
    <s v="BV45692"/>
    <s v="Pedido 865"/>
    <d v="2025-02-04T00:00:00"/>
    <d v="2025-02-04T00:00:00"/>
    <s v="PedidoF844"/>
    <s v="CódRastreio842"/>
    <n v="1"/>
    <s v="CPF 841"/>
    <s v="Nome 841"/>
    <s v="Tel 841"/>
    <s v="Cep 841"/>
    <s v="Rua 841"/>
    <s v="Comp 841"/>
    <x v="0"/>
    <s v="16-4EDB-WMZF"/>
    <d v="2025-02-22T00:00:00"/>
    <n v="18.899999999999999"/>
    <n v="18.899999999999999"/>
    <n v="2.8349999999999995"/>
    <n v="16.07"/>
    <n v="6.99"/>
    <n v="0.19"/>
    <n v="0.39877104377104378"/>
    <n v="0"/>
    <n v="8.4912289562289551"/>
    <n v="4.2456144781144776"/>
    <d v="2025-03-01T00:00:00"/>
    <d v="2025-03-01T00:00:00"/>
    <d v="2025-03-14T00:00:00"/>
    <d v="2025-03-17T00:00:00"/>
    <s v="2025 03"/>
    <s v="Aguardando Liberação"/>
    <s v="2025 02"/>
    <s v="ENTREGUE"/>
    <d v="2025-02-10T00:00:00"/>
    <s v="-"/>
    <m/>
    <n v="0"/>
    <n v="0"/>
    <n v="0"/>
    <n v="0"/>
    <n v="0"/>
  </r>
  <r>
    <s v="BV"/>
    <s v="BV45692"/>
    <s v="Pedido 866"/>
    <d v="2025-02-04T00:00:00"/>
    <d v="2025-02-04T00:00:00"/>
    <s v="PedidoF845"/>
    <s v="CódRastreio843"/>
    <n v="1"/>
    <s v="CPF 842"/>
    <s v="Nome 842"/>
    <s v="Tel 842"/>
    <s v="Cep 842"/>
    <s v="Rua 842"/>
    <s v="Comp 842"/>
    <x v="0"/>
    <s v="16-4EDB-WMZF"/>
    <d v="2025-02-22T00:00:00"/>
    <n v="18.899999999999999"/>
    <n v="18.899999999999999"/>
    <n v="2.8349999999999995"/>
    <n v="16.07"/>
    <n v="6.99"/>
    <n v="0.19"/>
    <n v="0.39877104377104378"/>
    <n v="0"/>
    <n v="8.4912289562289551"/>
    <n v="4.2456144781144776"/>
    <d v="2025-03-01T00:00:00"/>
    <d v="2025-03-01T00:00:00"/>
    <d v="2025-03-14T00:00:00"/>
    <d v="2025-03-17T00:00:00"/>
    <s v="2025 03"/>
    <s v="Aguardando Liberação"/>
    <s v="2025 02"/>
    <s v="ENTREGUE"/>
    <d v="2025-02-08T00:00:00"/>
    <s v="-"/>
    <m/>
    <n v="0"/>
    <n v="0"/>
    <n v="0"/>
    <n v="0"/>
    <n v="0"/>
  </r>
  <r>
    <s v="BV"/>
    <s v="BV45692"/>
    <s v="Pedido 867"/>
    <d v="2025-02-04T00:00:00"/>
    <d v="2025-02-04T00:00:00"/>
    <s v="PedidoF846"/>
    <s v="CódRastreio844"/>
    <n v="1"/>
    <s v="CPF 843"/>
    <s v="Nome 843"/>
    <s v="Tel 843"/>
    <s v="Cep 843"/>
    <s v="Rua 843"/>
    <s v="Comp 843"/>
    <x v="3"/>
    <s v="IF-G2ZQ-79FO"/>
    <d v="2025-03-01T00:00:00"/>
    <n v="52.7"/>
    <n v="52.7"/>
    <n v="6.8510000000000009"/>
    <n v="45.85"/>
    <n v="16.440000000000001"/>
    <n v="0.19"/>
    <n v="0.39877104377104378"/>
    <n v="0"/>
    <n v="28.821228956228953"/>
    <n v="14.410614478114477"/>
    <d v="2025-03-08T00:00:00"/>
    <d v="2025-03-08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BV"/>
    <s v="BV45692"/>
    <s v="Pedido 868"/>
    <d v="2025-02-04T00:00:00"/>
    <d v="2025-02-04T00:00:00"/>
    <s v="PedidoF847"/>
    <s v="CódRastreio845"/>
    <n v="1"/>
    <s v="CPF 844"/>
    <s v="Nome 844"/>
    <s v="Tel 844"/>
    <s v="Cep 844"/>
    <s v="Rua 844"/>
    <s v="Comp 844"/>
    <x v="1"/>
    <s v="CK-YL6M-P5Y6"/>
    <d v="2025-02-21T00:00:00"/>
    <n v="33.99"/>
    <n v="33.99"/>
    <n v="4.7586000000000004"/>
    <n v="29.23"/>
    <n v="14.99"/>
    <n v="0.19"/>
    <n v="0.39877104377104378"/>
    <n v="0"/>
    <n v="13.651228956228957"/>
    <n v="6.8256144781144785"/>
    <d v="2025-02-28T00:00:00"/>
    <d v="2025-02-28T00:00:00"/>
    <d v="2025-03-05T00:00:00"/>
    <d v="2025-03-05T00:00:00"/>
    <s v="2025 02"/>
    <s v="Aguardando Liberação"/>
    <s v="2025 02"/>
    <s v="ENTREGUE"/>
    <d v="2025-02-10T00:00:00"/>
    <s v="-"/>
    <m/>
    <n v="0"/>
    <n v="0"/>
    <n v="0"/>
    <n v="0"/>
    <n v="0"/>
  </r>
  <r>
    <s v="BV"/>
    <s v="BV45692"/>
    <s v="Pedido 869"/>
    <d v="2025-02-04T00:00:00"/>
    <d v="2025-02-04T00:00:00"/>
    <s v="PedidoF848"/>
    <s v="CódRastreio846"/>
    <n v="1"/>
    <s v="CPF 845"/>
    <s v="Nome 845"/>
    <s v="Tel 845"/>
    <s v="Cep 845"/>
    <s v="Rua 845"/>
    <s v="Comp 845"/>
    <x v="0"/>
    <s v="16-4EDB-WMZF"/>
    <d v="2025-03-01T00:00:00"/>
    <n v="19.600000000000001"/>
    <n v="19.600000000000001"/>
    <n v="2.94"/>
    <n v="16.66"/>
    <n v="6.99"/>
    <n v="0.19"/>
    <n v="0.39877104377104378"/>
    <n v="0"/>
    <n v="9.081228956228955"/>
    <n v="4.5406144781144775"/>
    <d v="2025-03-08T00:00:00"/>
    <d v="2025-03-08T00:00:00"/>
    <d v="2025-03-14T00:00:00"/>
    <d v="2025-03-17T00:00:00"/>
    <s v="2025 03"/>
    <s v="Aguardando Liberação"/>
    <s v="2025 02"/>
    <s v="ENTREGUE"/>
    <d v="2025-02-12T00:00:00"/>
    <s v="-"/>
    <m/>
    <n v="0"/>
    <n v="0"/>
    <n v="0"/>
    <n v="0"/>
    <n v="0"/>
  </r>
  <r>
    <s v="BV"/>
    <s v="BV45692"/>
    <s v="Pedido 870"/>
    <d v="2025-02-04T00:00:00"/>
    <d v="2025-02-04T00:00:00"/>
    <s v="PedidoF849"/>
    <s v="CódRastreio847"/>
    <n v="1"/>
    <s v="CPF 846"/>
    <s v="Nome 846"/>
    <s v="Tel 846"/>
    <s v="Cep 846"/>
    <s v="Rua 846"/>
    <s v="Comp 846"/>
    <x v="0"/>
    <s v="16-4EDB-WMZF"/>
    <d v="2025-02-25T00:00:00"/>
    <n v="19.600000000000001"/>
    <n v="19.600000000000001"/>
    <n v="2.94"/>
    <n v="16.66"/>
    <n v="6.99"/>
    <n v="0.19"/>
    <n v="0.39877104377104378"/>
    <n v="0"/>
    <n v="9.081228956228955"/>
    <n v="4.5406144781144775"/>
    <d v="2025-03-04T00:00:00"/>
    <d v="2025-03-04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692"/>
    <s v="Pedido 871"/>
    <d v="2025-02-04T00:00:00"/>
    <d v="2025-02-04T00:00:00"/>
    <s v="PedidoF850"/>
    <s v="CódRastreio848"/>
    <n v="1"/>
    <s v="CPF 847"/>
    <s v="Nome 847"/>
    <s v="Tel 847"/>
    <s v="Cep 847"/>
    <s v="Rua 847"/>
    <s v="Comp 847"/>
    <x v="10"/>
    <s v="MU-J80P-95WF"/>
    <d v="2025-02-25T00:00:00"/>
    <n v="65.989999999999995"/>
    <n v="65.989999999999995"/>
    <n v="8.5786999999999995"/>
    <n v="57.41"/>
    <n v="10.16"/>
    <n v="0.19"/>
    <n v="0.39877104377104378"/>
    <n v="0"/>
    <n v="46.661228956228953"/>
    <n v="23.330614478114477"/>
    <d v="2025-03-04T00:00:00"/>
    <d v="2025-03-04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BV"/>
    <s v="BV45692"/>
    <s v="Pedido 872"/>
    <d v="2025-02-04T00:00:00"/>
    <d v="2025-02-04T00:00:00"/>
    <s v="PedidoF851"/>
    <s v="CódRastreio849"/>
    <n v="1"/>
    <s v="CPF 848"/>
    <s v="Nome 848"/>
    <s v="Tel 848"/>
    <s v="Cep 848"/>
    <s v="Rua 848"/>
    <s v="Comp 848"/>
    <x v="10"/>
    <s v="MU-J80P-95WF"/>
    <d v="2025-02-25T00:00:00"/>
    <n v="65.989999999999995"/>
    <n v="65.989999999999995"/>
    <n v="8.5786999999999995"/>
    <n v="57.41"/>
    <n v="10.16"/>
    <n v="0.19"/>
    <n v="0.39877104377104378"/>
    <n v="0"/>
    <n v="46.661228956228953"/>
    <n v="23.330614478114477"/>
    <d v="2025-03-04T00:00:00"/>
    <d v="2025-03-04T00:00:00"/>
    <d v="2025-03-14T00:00:00"/>
    <d v="2025-03-17T00:00:00"/>
    <s v="2025 03"/>
    <s v="Aguardando Liberação"/>
    <s v="2025 02"/>
    <s v="ENTREGUE"/>
    <d v="2025-02-12T00:00:00"/>
    <s v="-"/>
    <m/>
    <n v="0"/>
    <n v="0"/>
    <n v="0"/>
    <n v="0"/>
    <n v="0"/>
  </r>
  <r>
    <s v="BV"/>
    <s v="BV45695"/>
    <s v="Pedido 873"/>
    <d v="2025-02-05T00:00:00"/>
    <d v="2025-02-07T00:00:00"/>
    <s v="PedidoF852"/>
    <s v="CódRastreio850"/>
    <n v="1"/>
    <s v="CPF 849"/>
    <s v="Nome 849"/>
    <s v="Tel 849"/>
    <s v="Cep 849"/>
    <s v="Rua 849"/>
    <s v="Comp 849"/>
    <x v="10"/>
    <s v="MU-J80P-95WF"/>
    <d v="2025-03-01T00:00:00"/>
    <n v="75.989999999999995"/>
    <n v="75.989999999999995"/>
    <n v="9.8787000000000003"/>
    <n v="66.11"/>
    <n v="14.65"/>
    <n v="0.2"/>
    <n v="0.39877104377104378"/>
    <n v="0"/>
    <n v="50.861228956228956"/>
    <n v="25.430614478114478"/>
    <d v="2025-03-08T00:00:00"/>
    <d v="2025-03-08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BV"/>
    <s v="BV45693"/>
    <s v="Pedido 874"/>
    <d v="2025-02-05T00:00:00"/>
    <d v="2025-02-05T00:00:00"/>
    <s v="PedidoF853"/>
    <s v="CódRastreio851"/>
    <n v="1"/>
    <s v="CPF 850"/>
    <s v="Nome 850"/>
    <s v="Tel 850"/>
    <s v="Cep 850"/>
    <s v="Rua 850"/>
    <s v="Comp 850"/>
    <x v="12"/>
    <s v="U8-2VWS-OB6M"/>
    <d v="2025-03-07T00:00:00"/>
    <n v="65.989999999999995"/>
    <n v="65.989999999999995"/>
    <n v="8.5786999999999995"/>
    <n v="57.41"/>
    <n v="10.68"/>
    <n v="0.24"/>
    <n v="0.39877104377104378"/>
    <n v="0"/>
    <n v="46.091228956228953"/>
    <n v="23.045614478114476"/>
    <d v="2025-03-14T00:00:00"/>
    <d v="2025-03-14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BV"/>
    <s v="BV45693"/>
    <s v="Pedido 875"/>
    <d v="2025-02-05T00:00:00"/>
    <d v="2025-02-05T00:00:00"/>
    <s v="PedidoF854"/>
    <s v="CódRastreio852"/>
    <n v="1"/>
    <s v="CPF 851"/>
    <s v="Nome 851"/>
    <s v="Tel 851"/>
    <s v="Cep 851"/>
    <s v="Rua 851"/>
    <s v="Comp 851"/>
    <x v="1"/>
    <s v="CK-YL6M-P5Y6"/>
    <d v="2025-02-22T00:00:00"/>
    <n v="33.99"/>
    <n v="33.99"/>
    <n v="4.7586000000000004"/>
    <n v="29.23"/>
    <n v="14.99"/>
    <n v="0.24"/>
    <n v="0.39877104377104378"/>
    <n v="0"/>
    <n v="13.601228956228956"/>
    <n v="6.8006144781144782"/>
    <d v="2025-03-01T00:00:00"/>
    <d v="2025-03-01T00:00:00"/>
    <d v="2025-03-14T00:00:00"/>
    <d v="2025-03-17T00:00:00"/>
    <s v="2025 03"/>
    <s v="Aguardando Liberação"/>
    <s v="2025 02"/>
    <s v="ENTREGUE"/>
    <d v="2025-02-10T00:00:00"/>
    <s v="-"/>
    <m/>
    <n v="0"/>
    <n v="0"/>
    <n v="0"/>
    <n v="0"/>
    <n v="0"/>
  </r>
  <r>
    <s v="BV"/>
    <s v="BV45693"/>
    <s v="Pedido 876"/>
    <d v="2025-02-05T00:00:00"/>
    <d v="2025-02-05T00:00:00"/>
    <s v="PedidoF855"/>
    <s v="CódRastreio853"/>
    <n v="1"/>
    <s v="CPF 852"/>
    <s v="Nome 852"/>
    <s v="Tel 852"/>
    <s v="Cep 852"/>
    <s v="Rua 852"/>
    <s v="Comp 852"/>
    <x v="11"/>
    <s v="BP-NHG2-B8C1"/>
    <d v="2025-02-26T00:00:00"/>
    <n v="74.989999999999995"/>
    <n v="74.989999999999995"/>
    <n v="9.7486999999999995"/>
    <n v="65.239999999999995"/>
    <n v="27.94"/>
    <n v="0.24"/>
    <n v="0.39877104377104378"/>
    <n v="0"/>
    <n v="36.661228956228953"/>
    <n v="18.330614478114477"/>
    <d v="2025-03-05T00:00:00"/>
    <d v="2025-03-05T00:00:00"/>
    <d v="2025-03-14T00:00:00"/>
    <d v="2025-03-17T00:00:00"/>
    <s v="2025 03"/>
    <s v="Aguardando Liberação"/>
    <s v="2025 02"/>
    <s v="ENTREGUE"/>
    <d v="2025-02-13T00:00:00"/>
    <s v="-"/>
    <m/>
    <n v="0"/>
    <n v="0"/>
    <n v="0"/>
    <n v="0"/>
    <n v="0"/>
  </r>
  <r>
    <s v="BV"/>
    <s v="BV45693"/>
    <s v="Pedido 877"/>
    <d v="2025-02-05T00:00:00"/>
    <d v="2025-02-05T00:00:00"/>
    <s v="PedidoF856"/>
    <s v="CódRastreio854"/>
    <n v="1"/>
    <s v="CPF 853"/>
    <s v="Nome 853"/>
    <s v="Tel 853"/>
    <s v="Cep 853"/>
    <s v="Rua 853"/>
    <s v="Comp 853"/>
    <x v="12"/>
    <s v="U8-2VWS-OB6M"/>
    <d v="2025-02-26T00:00:00"/>
    <n v="65.989999999999995"/>
    <n v="65.989999999999995"/>
    <n v="8.5786999999999995"/>
    <n v="57.41"/>
    <n v="10.68"/>
    <n v="0.24"/>
    <n v="0.39877104377104378"/>
    <n v="0"/>
    <n v="46.091228956228953"/>
    <n v="23.045614478114476"/>
    <d v="2025-03-05T00:00:00"/>
    <d v="2025-03-05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GO"/>
    <s v="GO45672"/>
    <s v="Pedido 878"/>
    <d v="2025-01-15T00:00:00"/>
    <d v="2025-01-15T00:00:00"/>
    <s v="PedidoF857"/>
    <s v="CódRastreio855"/>
    <n v="1"/>
    <s v="CPF 854"/>
    <s v="Nome 854"/>
    <s v="Tel 854"/>
    <s v="Cep 854"/>
    <s v="Rua 854"/>
    <s v="Comp 854"/>
    <x v="4"/>
    <s v="K0-RMF0-V1YC"/>
    <d v="2025-02-03T00:00:00"/>
    <n v="19.78"/>
    <n v="19.78"/>
    <n v="2.9670000000000001"/>
    <n v="16.809999999999999"/>
    <n v="11.99"/>
    <n v="0.2"/>
    <n v="0.39877104377104378"/>
    <n v="0"/>
    <n v="4.2212289562289556"/>
    <n v="4.2212289562289556"/>
    <d v="2025-02-10T00:00:00"/>
    <d v="2025-02-10T00:00:00"/>
    <d v="2025-02-14T00:00:00"/>
    <d v="2025-02-17T00:00:00"/>
    <s v="2025 02"/>
    <s v="Aguardando Liberação"/>
    <s v="2025 01"/>
    <s v="ENTREGUE"/>
    <d v="2025-01-21T00:00:00"/>
    <s v="-"/>
    <m/>
    <n v="0"/>
    <n v="0"/>
    <n v="0"/>
    <n v="0"/>
    <n v="0"/>
  </r>
  <r>
    <s v="GO"/>
    <s v="GO45678"/>
    <s v="Pedido 879"/>
    <d v="2025-01-21T00:00:00"/>
    <d v="2025-01-21T00:00:00"/>
    <s v="PedidoF858"/>
    <s v="CódRastreio856"/>
    <n v="1"/>
    <s v="CPF 855"/>
    <s v="Nome 855"/>
    <s v="Tel 855"/>
    <s v="Cep 855"/>
    <s v="Rua 855"/>
    <s v="Comp 855"/>
    <x v="21"/>
    <s v="E7-FW3C-EHOL"/>
    <d v="2025-02-11T00:00:00"/>
    <n v="41.4"/>
    <n v="41.4"/>
    <n v="6.21"/>
    <n v="35.19"/>
    <n v="21.89"/>
    <n v="0.2"/>
    <n v="0.39877104377104378"/>
    <n v="0"/>
    <n v="12.701228956228952"/>
    <n v="12.701228956228952"/>
    <d v="2025-02-18T00:00:00"/>
    <d v="2025-02-18T00:00:00"/>
    <d v="2025-03-05T00:00:00"/>
    <d v="2025-03-17T00:00:00"/>
    <s v="2025 02"/>
    <s v="Aguardando Liberação"/>
    <s v="2025 01"/>
    <s v="ENTREGUE"/>
    <d v="2025-02-06T00:00:00"/>
    <s v="-"/>
    <m/>
    <n v="0"/>
    <n v="0"/>
    <n v="0"/>
    <n v="0"/>
    <n v="0"/>
  </r>
  <r>
    <s v="GO"/>
    <s v="GO45681"/>
    <s v="Pedido 880"/>
    <d v="2025-01-24T00:00:00"/>
    <d v="2025-01-24T00:00:00"/>
    <s v="PedidoF859"/>
    <s v="CódRastreio857"/>
    <n v="1"/>
    <s v="CPF 856"/>
    <s v="Nome 856"/>
    <s v="Tel 856"/>
    <s v="Cep 856"/>
    <s v="Rua 856"/>
    <s v="Comp 856"/>
    <x v="10"/>
    <s v="EP-9PIR-BWXH"/>
    <d v="2025-02-14T00:00:00"/>
    <n v="64"/>
    <n v="64"/>
    <n v="8.32"/>
    <n v="55.68"/>
    <n v="17.02"/>
    <n v="0.15"/>
    <n v="0.39877104377104378"/>
    <n v="0"/>
    <n v="38.111228956228956"/>
    <n v="38.111228956228956"/>
    <d v="2025-02-21T00:00:00"/>
    <d v="2025-02-21T00:00:00"/>
    <d v="2025-03-05T00:00:00"/>
    <d v="2025-03-17T00:00:00"/>
    <s v="2025 02"/>
    <s v="Aguardando Liberação"/>
    <s v="2025 01"/>
    <s v="ENTREGUE"/>
    <d v="2025-02-05T00:00:00"/>
    <s v="-"/>
    <m/>
    <n v="0"/>
    <n v="0"/>
    <n v="0"/>
    <n v="0"/>
    <n v="0"/>
  </r>
  <r>
    <s v="GO"/>
    <s v="GO45681"/>
    <s v="Pedido 881"/>
    <d v="2025-01-24T00:00:00"/>
    <d v="2025-01-24T00:00:00"/>
    <s v="PedidoF860"/>
    <s v="CódRastreio858"/>
    <n v="1"/>
    <s v="CPF 857"/>
    <s v="Nome 857"/>
    <s v="Tel 857"/>
    <s v="Cep 857"/>
    <s v="Rua 857"/>
    <s v="Comp 857"/>
    <x v="10"/>
    <s v="EP-9PIR-BWXH"/>
    <d v="2025-02-14T00:00:00"/>
    <n v="64"/>
    <n v="64"/>
    <n v="8.32"/>
    <n v="55.68"/>
    <n v="17.02"/>
    <n v="0.15"/>
    <n v="0.39877104377104378"/>
    <n v="0"/>
    <n v="38.111228956228956"/>
    <n v="38.111228956228956"/>
    <d v="2025-02-21T00:00:00"/>
    <d v="2025-02-21T00:00:00"/>
    <d v="2025-03-05T00:00:00"/>
    <d v="2025-03-17T00:00:00"/>
    <s v="2025 02"/>
    <s v="Aguardando Liberação"/>
    <s v="2025 01"/>
    <s v="ENTREGUE"/>
    <d v="2025-02-08T00:00:00"/>
    <s v="-"/>
    <m/>
    <n v="0"/>
    <n v="0"/>
    <n v="0"/>
    <n v="0"/>
    <n v="0"/>
  </r>
  <r>
    <s v="GO"/>
    <s v="GO45684"/>
    <s v="Pedido 882"/>
    <d v="2025-01-25T00:00:00"/>
    <d v="2025-01-27T00:00:00"/>
    <s v="PedidoF861"/>
    <s v="CódRastreio859"/>
    <n v="1"/>
    <s v="CPF 858"/>
    <s v="Nome 858"/>
    <s v="Tel 858"/>
    <s v="Cep 858"/>
    <s v="Rua 858"/>
    <s v="Comp 858"/>
    <x v="10"/>
    <s v="EP-9PIR-BWXH"/>
    <d v="2025-02-20T00:00:00"/>
    <n v="64"/>
    <n v="64"/>
    <n v="8.32"/>
    <n v="55.68"/>
    <n v="17.329999999999998"/>
    <n v="0.2"/>
    <n v="0.39877104377104378"/>
    <n v="0"/>
    <n v="37.751228956228957"/>
    <n v="37.751228956228957"/>
    <d v="2025-02-27T00:00:00"/>
    <d v="2025-02-27T00:00:00"/>
    <d v="2025-03-05T00:00:00"/>
    <d v="2025-03-17T00:00:00"/>
    <s v="2025 02"/>
    <s v="Aguardando Liberação"/>
    <s v="2025 01"/>
    <s v="ENTREGUE"/>
    <d v="2025-02-13T00:00:00"/>
    <s v="-"/>
    <m/>
    <n v="0"/>
    <n v="0"/>
    <n v="0"/>
    <n v="0"/>
    <n v="0"/>
  </r>
  <r>
    <s v="GO"/>
    <s v="GO45684"/>
    <s v="Pedido 883"/>
    <d v="2025-01-25T00:00:00"/>
    <d v="2025-01-27T00:00:00"/>
    <s v="PedidoF862"/>
    <s v="CódRastreio860"/>
    <n v="1"/>
    <s v="CPF 859"/>
    <s v="Nome 859"/>
    <s v="Tel 859"/>
    <s v="Cep 859"/>
    <s v="Rua 859"/>
    <s v="Comp 859"/>
    <x v="10"/>
    <s v="EP-9PIR-BWXH"/>
    <d v="2025-02-14T00:00:00"/>
    <n v="64"/>
    <n v="64"/>
    <n v="8.32"/>
    <n v="55.68"/>
    <n v="17.329999999999998"/>
    <n v="0.2"/>
    <n v="0.39877104377104378"/>
    <n v="0"/>
    <n v="37.751228956228957"/>
    <n v="37.751228956228957"/>
    <d v="2025-02-21T00:00:00"/>
    <d v="2025-02-21T00:00:00"/>
    <d v="2025-03-05T00:00:00"/>
    <d v="2025-03-17T00:00:00"/>
    <s v="2025 02"/>
    <s v="Aguardando Liberação"/>
    <s v="2025 01"/>
    <s v="ENTREGUE"/>
    <d v="2025-02-07T00:00:00"/>
    <s v="-"/>
    <m/>
    <n v="0"/>
    <n v="0"/>
    <n v="0"/>
    <n v="0"/>
    <n v="0"/>
  </r>
  <r>
    <s v="GO"/>
    <s v="GO45684"/>
    <s v="Pedido 884"/>
    <d v="2025-01-26T00:00:00"/>
    <d v="2025-01-27T00:00:00"/>
    <s v="PedidoF863"/>
    <s v="CódRastreio861"/>
    <n v="1"/>
    <s v="CPF 860"/>
    <s v="Nome 860"/>
    <s v="Tel 860"/>
    <s v="Cep 860"/>
    <s v="Rua 860"/>
    <s v="Comp 860"/>
    <x v="10"/>
    <s v="EP-9PIR-BWXH"/>
    <d v="2025-02-14T00:00:00"/>
    <n v="63.6"/>
    <n v="63.6"/>
    <n v="8.2680000000000007"/>
    <n v="55.33"/>
    <n v="17.329999999999998"/>
    <n v="0.2"/>
    <n v="0.39877104377104378"/>
    <n v="0"/>
    <n v="37.401228956228955"/>
    <n v="37.401228956228955"/>
    <d v="2025-02-21T00:00:00"/>
    <d v="2025-02-21T00:00:00"/>
    <d v="2025-03-05T00:00:00"/>
    <d v="2025-03-17T00:00:00"/>
    <s v="2025 02"/>
    <s v="Aguardando Liberação"/>
    <s v="2025 01"/>
    <s v="ENTREGUE"/>
    <d v="2025-02-06T00:00:00"/>
    <s v="-"/>
    <m/>
    <n v="0"/>
    <n v="0"/>
    <n v="0"/>
    <n v="0"/>
    <n v="0"/>
  </r>
  <r>
    <s v="GO"/>
    <s v="GO45684"/>
    <s v="Pedido 885"/>
    <d v="2025-01-26T00:00:00"/>
    <d v="2025-01-27T00:00:00"/>
    <s v="PedidoF864"/>
    <s v="CódRastreio862"/>
    <n v="1"/>
    <s v="CPF 861"/>
    <s v="Nome 861"/>
    <s v="Tel 861"/>
    <s v="Cep 861"/>
    <s v="Rua 861"/>
    <s v="Comp 861"/>
    <x v="10"/>
    <s v="EP-9PIR-BWXH"/>
    <d v="2025-02-20T00:00:00"/>
    <n v="63.6"/>
    <n v="63.6"/>
    <n v="8.2680000000000007"/>
    <n v="55.33"/>
    <n v="17.329999999999998"/>
    <n v="0.2"/>
    <n v="0.39877104377104378"/>
    <n v="0"/>
    <n v="37.401228956228955"/>
    <n v="37.401228956228955"/>
    <d v="2025-02-27T00:00:00"/>
    <d v="2025-02-27T00:00:00"/>
    <d v="2025-03-05T00:00:00"/>
    <d v="2025-03-17T00:00:00"/>
    <s v="2025 02"/>
    <s v="Aguardando Liberação"/>
    <s v="2025 01"/>
    <s v="ENTREGUE"/>
    <d v="2025-02-08T00:00:00"/>
    <s v="-"/>
    <m/>
    <n v="0"/>
    <n v="0"/>
    <n v="0"/>
    <n v="0"/>
    <n v="0"/>
  </r>
  <r>
    <s v="GO"/>
    <s v="GO45684"/>
    <s v="Pedido 886"/>
    <d v="2025-01-26T00:00:00"/>
    <d v="2025-01-27T00:00:00"/>
    <s v="PedidoF865"/>
    <s v="CódRastreio863"/>
    <n v="1"/>
    <s v="CPF 862"/>
    <s v="Nome 862"/>
    <s v="Tel 862"/>
    <s v="Cep 862"/>
    <s v="Rua 862"/>
    <s v="Comp 862"/>
    <x v="10"/>
    <s v="EP-9PIR-BWXH"/>
    <d v="2025-02-20T00:00:00"/>
    <n v="63.6"/>
    <n v="63.6"/>
    <n v="8.2680000000000007"/>
    <n v="55.33"/>
    <n v="10.61"/>
    <n v="0.2"/>
    <n v="0.39877104377104378"/>
    <n v="0"/>
    <n v="44.121228956228954"/>
    <n v="44.121228956228954"/>
    <d v="2025-02-27T00:00:00"/>
    <d v="2025-02-27T00:00:00"/>
    <d v="2025-03-05T00:00:00"/>
    <d v="2025-03-17T00:00:00"/>
    <s v="2025 02"/>
    <s v="Aguardando Liberação"/>
    <s v="2025 01"/>
    <s v="ENTREGUE"/>
    <d v="2025-02-07T00:00:00"/>
    <s v="-"/>
    <m/>
    <n v="0"/>
    <n v="0"/>
    <n v="0"/>
    <n v="0"/>
    <n v="0"/>
  </r>
  <r>
    <s v="GO"/>
    <s v="GO45684"/>
    <s v="Pedido 887"/>
    <d v="2025-01-26T00:00:00"/>
    <d v="2025-01-27T00:00:00"/>
    <s v="PedidoF866"/>
    <s v="CódRastreio864"/>
    <n v="1"/>
    <s v="CPF 863"/>
    <s v="Nome 863"/>
    <s v="Tel 863"/>
    <s v="Cep 863"/>
    <s v="Rua 863"/>
    <s v="Comp 863"/>
    <x v="10"/>
    <s v="EP-9PIR-BWXH"/>
    <d v="2025-02-14T00:00:00"/>
    <n v="63.6"/>
    <n v="63.6"/>
    <n v="8.2680000000000007"/>
    <n v="55.33"/>
    <n v="10.61"/>
    <n v="0.2"/>
    <n v="0.39877104377104378"/>
    <n v="0"/>
    <n v="44.121228956228954"/>
    <n v="44.121228956228954"/>
    <d v="2025-02-21T00:00:00"/>
    <d v="2025-02-21T00:00:00"/>
    <d v="2025-03-05T00:00:00"/>
    <d v="2025-03-17T00:00:00"/>
    <s v="2025 02"/>
    <s v="Aguardando Liberação"/>
    <s v="2025 01"/>
    <s v="ENTREGUE"/>
    <d v="2025-02-07T00:00:00"/>
    <s v="-"/>
    <m/>
    <n v="0"/>
    <n v="0"/>
    <n v="0"/>
    <n v="0"/>
    <n v="0"/>
  </r>
  <r>
    <s v="GO"/>
    <s v="GO45684"/>
    <s v="Pedido 888"/>
    <d v="2025-01-26T00:00:00"/>
    <d v="2025-01-27T00:00:00"/>
    <s v="PedidoF867"/>
    <s v="CódRastreio865"/>
    <n v="1"/>
    <s v="CPF 864"/>
    <s v="Nome 864"/>
    <s v="Tel 864"/>
    <s v="Cep 864"/>
    <s v="Rua 864"/>
    <s v="Comp 864"/>
    <x v="10"/>
    <s v="EP-9PIR-BWXH"/>
    <d v="2025-02-14T00:00:00"/>
    <n v="63.6"/>
    <n v="63.6"/>
    <n v="8.2680000000000007"/>
    <n v="55.33"/>
    <n v="10.61"/>
    <n v="0.2"/>
    <n v="0.39877104377104378"/>
    <n v="0"/>
    <n v="44.121228956228954"/>
    <n v="44.121228956228954"/>
    <d v="2025-02-21T00:00:00"/>
    <d v="2025-02-21T00:00:00"/>
    <d v="2025-03-05T00:00:00"/>
    <d v="2025-03-17T00:00:00"/>
    <s v="2025 02"/>
    <s v="Aguardando Liberação"/>
    <s v="2025 01"/>
    <s v="ENTREGUE"/>
    <d v="2025-02-04T00:00:00"/>
    <s v="-"/>
    <m/>
    <n v="0"/>
    <n v="0"/>
    <n v="0"/>
    <n v="0"/>
    <n v="0"/>
  </r>
  <r>
    <s v="GO"/>
    <s v="GO45684"/>
    <s v="Pedido 889"/>
    <d v="2025-01-27T00:00:00"/>
    <d v="2025-01-27T00:00:00"/>
    <s v="PedidoF868"/>
    <s v="CódRastreio866"/>
    <n v="1"/>
    <s v="CPF 865"/>
    <s v="Nome 865"/>
    <s v="Tel 865"/>
    <s v="Cep 865"/>
    <s v="Rua 865"/>
    <s v="Comp 865"/>
    <x v="10"/>
    <s v="EP-9PIR-BWXH"/>
    <d v="2025-02-21T00:00:00"/>
    <n v="63.6"/>
    <n v="63.6"/>
    <n v="8.2680000000000007"/>
    <n v="55.33"/>
    <n v="10.61"/>
    <n v="0.2"/>
    <n v="0.39877104377104378"/>
    <n v="0"/>
    <n v="44.121228956228954"/>
    <n v="44.121228956228954"/>
    <d v="2025-02-28T00:00:00"/>
    <d v="2025-02-28T00:00:00"/>
    <d v="2025-03-05T00:00:00"/>
    <d v="2025-03-17T00:00:00"/>
    <s v="2025 02"/>
    <s v="Aguardando Liberação"/>
    <s v="2025 01"/>
    <s v="ENTREGUE"/>
    <d v="2025-02-11T00:00:00"/>
    <s v="-"/>
    <m/>
    <n v="0"/>
    <n v="0"/>
    <n v="0"/>
    <n v="0"/>
    <n v="0"/>
  </r>
  <r>
    <s v="GO"/>
    <s v="GO45684"/>
    <s v="Pedido 890"/>
    <d v="2025-01-27T00:00:00"/>
    <d v="2025-01-27T00:00:00"/>
    <s v="PedidoF869"/>
    <s v="CódRastreio867"/>
    <n v="1"/>
    <s v="CPF 866"/>
    <s v="Nome 866"/>
    <s v="Tel 866"/>
    <s v="Cep 866"/>
    <s v="Rua 866"/>
    <s v="Comp 866"/>
    <x v="10"/>
    <s v="EP-9PIR-BWXH"/>
    <d v="2025-02-15T00:00:00"/>
    <n v="63.6"/>
    <n v="63.6"/>
    <n v="8.2680000000000007"/>
    <n v="55.33"/>
    <n v="10.61"/>
    <n v="0.2"/>
    <n v="0.39877104377104378"/>
    <n v="0"/>
    <n v="44.121228956228954"/>
    <n v="44.121228956228954"/>
    <d v="2025-02-22T00:00:00"/>
    <d v="2025-02-22T00:00:00"/>
    <d v="2025-03-05T00:00:00"/>
    <d v="2025-03-17T00:00:00"/>
    <s v="2025 02"/>
    <s v="Aguardando Liberação"/>
    <s v="2025 01"/>
    <s v="ENTREGUE"/>
    <d v="2025-02-07T00:00:00"/>
    <s v="-"/>
    <m/>
    <n v="0"/>
    <n v="0"/>
    <n v="0"/>
    <n v="0"/>
    <n v="0"/>
  </r>
  <r>
    <s v="GO"/>
    <s v="GO45685"/>
    <s v="Pedido 891"/>
    <d v="2025-01-28T00:00:00"/>
    <d v="2025-01-28T00:00:00"/>
    <s v="PedidoF870"/>
    <s v="CódRastreio868"/>
    <n v="1"/>
    <s v="CPF 867"/>
    <s v="Nome 867"/>
    <s v="Tel 867"/>
    <s v="Cep 867"/>
    <s v="Rua 867"/>
    <s v="Comp 867"/>
    <x v="10"/>
    <s v="EP-9PIR-BWXH"/>
    <d v="2025-02-18T00:00:00"/>
    <n v="65.900000000000006"/>
    <n v="65.900000000000006"/>
    <n v="8.5670000000000002"/>
    <n v="57.33"/>
    <n v="10.4"/>
    <n v="0.2"/>
    <n v="0.39877104377104378"/>
    <n v="0"/>
    <n v="46.331228956228955"/>
    <n v="46.331228956228955"/>
    <d v="2025-02-25T00:00:00"/>
    <d v="2025-02-25T00:00:00"/>
    <d v="2025-03-05T00:00:00"/>
    <d v="2025-03-17T00:00:00"/>
    <s v="2025 02"/>
    <s v="Aguardando Liberação"/>
    <s v="2025 01"/>
    <s v="ENTREGUE"/>
    <d v="2025-02-07T00:00:00"/>
    <s v="-"/>
    <m/>
    <n v="0"/>
    <n v="0"/>
    <n v="0"/>
    <n v="0"/>
    <n v="0"/>
  </r>
  <r>
    <s v="GO"/>
    <s v="GO45685"/>
    <s v="Pedido 892"/>
    <d v="2025-01-28T00:00:00"/>
    <d v="2025-01-28T00:00:00"/>
    <s v="PedidoF871"/>
    <s v="CódRastreio869"/>
    <n v="1"/>
    <s v="CPF 868"/>
    <s v="Nome 868"/>
    <s v="Tel 868"/>
    <s v="Cep 868"/>
    <s v="Rua 868"/>
    <s v="Comp 868"/>
    <x v="10"/>
    <s v="EP-9PIR-BWXH"/>
    <d v="2025-02-22T00:00:00"/>
    <n v="65.900000000000006"/>
    <n v="65.900000000000006"/>
    <n v="8.5670000000000002"/>
    <n v="57.33"/>
    <n v="0"/>
    <n v="0.2"/>
    <n v="0.39877104377104378"/>
    <n v="0"/>
    <n v="56.731228956228954"/>
    <n v="56.731228956228954"/>
    <d v="2025-03-01T00:00:00"/>
    <d v="2025-03-01T00:00:00"/>
    <d v="2025-03-14T00:00:00"/>
    <d v="2025-03-17T00:00:00"/>
    <s v="2025 03"/>
    <s v="Aguardando Liberação"/>
    <s v="2025 01"/>
    <s v="ENTREGUE"/>
    <d v="2025-02-05T00:00:00"/>
    <s v="-"/>
    <m/>
    <n v="0"/>
    <n v="0"/>
    <n v="0"/>
    <n v="0"/>
    <n v="0"/>
  </r>
  <r>
    <s v="GO"/>
    <s v="GO45685"/>
    <s v="Pedido 893"/>
    <d v="2025-01-28T00:00:00"/>
    <d v="2025-01-28T00:00:00"/>
    <s v="PedidoF872"/>
    <s v="CódRastreio870"/>
    <n v="1"/>
    <s v="CPF 869"/>
    <s v="Nome 869"/>
    <s v="Tel 869"/>
    <s v="Cep 869"/>
    <s v="Rua 869"/>
    <s v="Comp 869"/>
    <x v="10"/>
    <s v="EP-9PIR-BWXH"/>
    <d v="2025-02-18T00:00:00"/>
    <n v="65.900000000000006"/>
    <n v="65.900000000000006"/>
    <n v="8.5670000000000002"/>
    <n v="57.33"/>
    <n v="10.4"/>
    <n v="0.2"/>
    <n v="0.39877104377104378"/>
    <n v="0"/>
    <n v="46.331228956228955"/>
    <n v="46.331228956228955"/>
    <d v="2025-02-25T00:00:00"/>
    <d v="2025-02-25T00:00:00"/>
    <d v="2025-03-05T00:00:00"/>
    <d v="2025-03-17T00:00:00"/>
    <s v="2025 02"/>
    <s v="Aguardando Liberação"/>
    <s v="2025 01"/>
    <s v="ENTREGUE"/>
    <d v="2025-02-10T00:00:00"/>
    <s v="-"/>
    <m/>
    <n v="0"/>
    <n v="0"/>
    <n v="0"/>
    <n v="0"/>
    <n v="0"/>
  </r>
  <r>
    <s v="GO"/>
    <s v="GO45686"/>
    <s v="Pedido 894"/>
    <d v="2025-01-29T00:00:00"/>
    <d v="2025-01-29T00:00:00"/>
    <s v="PedidoF873"/>
    <s v="CódRastreio871"/>
    <n v="1"/>
    <s v="CPF 870"/>
    <s v="Nome 870"/>
    <s v="Tel 870"/>
    <s v="Cep 870"/>
    <s v="Rua 870"/>
    <s v="Comp 870"/>
    <x v="10"/>
    <s v="EP-9PIR-BWXH"/>
    <d v="2025-02-19T00:00:00"/>
    <n v="64.989999999999995"/>
    <n v="64.989999999999995"/>
    <n v="8.4486999999999988"/>
    <n v="56.54"/>
    <n v="10.17"/>
    <n v="0.2"/>
    <n v="0.39877104377104378"/>
    <n v="0"/>
    <n v="45.771228956228953"/>
    <n v="45.771228956228953"/>
    <d v="2025-02-26T00:00:00"/>
    <d v="2025-02-26T00:00:00"/>
    <d v="2025-03-05T00:00:00"/>
    <d v="2025-03-17T00:00:00"/>
    <s v="2025 02"/>
    <s v="Aguardando Liberação"/>
    <s v="2025 01"/>
    <s v="ENTREGUE"/>
    <d v="2025-02-10T00:00:00"/>
    <s v="-"/>
    <m/>
    <n v="0"/>
    <n v="0"/>
    <n v="0"/>
    <n v="0"/>
    <n v="0"/>
  </r>
  <r>
    <s v="GO"/>
    <s v="GO45688"/>
    <s v="Pedido 895"/>
    <d v="2025-01-30T00:00:00"/>
    <d v="2025-01-31T00:00:00"/>
    <s v="PedidoF874"/>
    <s v="CódRastreio872"/>
    <n v="1"/>
    <s v="CPF 871"/>
    <s v="Nome 871"/>
    <s v="Tel 871"/>
    <s v="Cep 871"/>
    <s v="Rua 871"/>
    <s v="Comp 871"/>
    <x v="10"/>
    <s v="EP-9PIR-BWXH"/>
    <d v="2025-02-20T00:00:00"/>
    <n v="64.989999999999995"/>
    <n v="64.989999999999995"/>
    <n v="8.4486999999999988"/>
    <n v="56.54"/>
    <n v="10.18"/>
    <n v="0.3"/>
    <n v="0.39877104377104378"/>
    <n v="0"/>
    <n v="45.661228956228953"/>
    <n v="45.661228956228953"/>
    <d v="2025-02-27T00:00:00"/>
    <d v="2025-02-27T00:00:00"/>
    <d v="2025-03-05T00:00:00"/>
    <d v="2025-03-17T00:00:00"/>
    <s v="2025 02"/>
    <s v="Aguardando Liberação"/>
    <s v="2025 01"/>
    <s v="ENTREGUE"/>
    <d v="2025-02-12T00:00:00"/>
    <s v="-"/>
    <m/>
    <n v="0"/>
    <n v="0"/>
    <n v="0"/>
    <n v="0"/>
    <n v="0"/>
  </r>
  <r>
    <s v="GO"/>
    <s v="GO45688"/>
    <s v="Pedido 896"/>
    <d v="2025-01-31T00:00:00"/>
    <d v="2025-01-31T00:00:00"/>
    <s v="PedidoF875"/>
    <s v="CódRastreio873"/>
    <n v="1"/>
    <s v="CPF 872"/>
    <s v="Nome 872"/>
    <s v="Tel 872"/>
    <s v="Cep 872"/>
    <s v="Rua 872"/>
    <s v="Comp 872"/>
    <x v="10"/>
    <s v="EP-9PIR-BWXH"/>
    <d v="2025-02-21T00:00:00"/>
    <n v="64.989999999999995"/>
    <n v="64.989999999999995"/>
    <n v="8.4486999999999988"/>
    <n v="56.54"/>
    <n v="10.18"/>
    <n v="0.3"/>
    <n v="0.39877104377104378"/>
    <n v="0"/>
    <n v="45.661228956228953"/>
    <n v="45.661228956228953"/>
    <d v="2025-02-28T00:00:00"/>
    <d v="2025-02-28T00:00:00"/>
    <d v="2025-03-05T00:00:00"/>
    <d v="2025-03-17T00:00:00"/>
    <s v="2025 02"/>
    <s v="Aguardando Liberação"/>
    <s v="2025 01"/>
    <s v="ENTREGUE"/>
    <d v="2025-02-18T00:00:00"/>
    <s v="-"/>
    <m/>
    <n v="0"/>
    <n v="0"/>
    <n v="0"/>
    <n v="0"/>
    <n v="0"/>
  </r>
  <r>
    <s v="GO"/>
    <s v="GO45691"/>
    <s v="Pedido 897"/>
    <d v="2025-01-31T00:00:00"/>
    <d v="2025-02-03T00:00:00"/>
    <s v="PedidoF876"/>
    <s v="CódRastreio874"/>
    <n v="1"/>
    <s v="CPF 872"/>
    <s v="Nome 872"/>
    <s v="Tel 872"/>
    <s v="Cep 872"/>
    <s v="Rua 872"/>
    <s v="Comp 872"/>
    <x v="10"/>
    <s v="EP-9PIR-BWXH"/>
    <d v="2025-02-21T00:00:00"/>
    <n v="64.989999999999995"/>
    <n v="64.989999999999995"/>
    <n v="8.4486999999999988"/>
    <n v="56.54"/>
    <n v="10.199999999999999"/>
    <n v="0.18"/>
    <n v="0.39877104377104378"/>
    <n v="0"/>
    <n v="45.761228956228955"/>
    <n v="45.761228956228955"/>
    <d v="2025-02-28T00:00:00"/>
    <d v="2025-02-28T00:00:00"/>
    <d v="2025-03-05T00:00:00"/>
    <d v="2025-03-17T00:00:00"/>
    <s v="2025 02"/>
    <s v="Aguardando Liberação"/>
    <s v="2025 02"/>
    <s v="ENTREGUE"/>
    <d v="2025-02-10T00:00:00"/>
    <s v="-"/>
    <m/>
    <n v="0"/>
    <n v="0"/>
    <n v="0"/>
    <n v="0"/>
    <n v="0"/>
  </r>
  <r>
    <s v="GO"/>
    <s v="GO45691"/>
    <s v="Pedido 898"/>
    <d v="2025-02-01T00:00:00"/>
    <d v="2025-02-03T00:00:00"/>
    <s v="PedidoF877"/>
    <s v="CódRastreio875"/>
    <n v="1"/>
    <s v="CPF 873"/>
    <s v="Nome 873"/>
    <s v="Tel 873"/>
    <s v="Cep 873"/>
    <s v="Rua 873"/>
    <s v="Comp 873"/>
    <x v="10"/>
    <s v="EP-9PIR-BWXH"/>
    <d v="2025-02-21T00:00:00"/>
    <n v="64.989999999999995"/>
    <n v="64.989999999999995"/>
    <n v="8.4486999999999988"/>
    <n v="56.54"/>
    <n v="10.199999999999999"/>
    <n v="0.18"/>
    <n v="0.39877104377104378"/>
    <n v="0"/>
    <n v="45.761228956228955"/>
    <n v="45.761228956228955"/>
    <d v="2025-02-28T00:00:00"/>
    <d v="2025-02-28T00:00:00"/>
    <d v="2025-03-05T00:00:00"/>
    <d v="2025-03-17T00:00:00"/>
    <s v="2025 02"/>
    <s v="Aguardando Liberação"/>
    <s v="2025 02"/>
    <s v="ENTREGUE"/>
    <d v="2025-02-12T00:00:00"/>
    <s v="-"/>
    <m/>
    <n v="0"/>
    <n v="0"/>
    <n v="0"/>
    <n v="0"/>
    <n v="0"/>
  </r>
  <r>
    <s v="GO"/>
    <s v="GO45691"/>
    <s v="Pedido 899"/>
    <d v="2025-02-01T00:00:00"/>
    <d v="2025-02-03T00:00:00"/>
    <s v="PedidoF878"/>
    <s v="CódRastreio876"/>
    <n v="1"/>
    <s v="CPF 874"/>
    <s v="Nome 874"/>
    <s v="Tel 874"/>
    <s v="Cep 874"/>
    <s v="Rua 874"/>
    <s v="Comp 874"/>
    <x v="10"/>
    <s v="EP-9PIR-BWXH"/>
    <d v="2025-02-21T00:00:00"/>
    <n v="64.989999999999995"/>
    <n v="64.989999999999995"/>
    <n v="8.4486999999999988"/>
    <n v="56.54"/>
    <n v="10.199999999999999"/>
    <n v="0.18"/>
    <n v="0.39877104377104378"/>
    <n v="0"/>
    <n v="45.761228956228955"/>
    <n v="45.761228956228955"/>
    <d v="2025-02-28T00:00:00"/>
    <d v="2025-02-28T00:00:00"/>
    <d v="2025-03-05T00:00:00"/>
    <d v="2025-03-17T00:00:00"/>
    <s v="2025 02"/>
    <s v="Aguardando Liberação"/>
    <s v="2025 02"/>
    <s v="ENTREGUE"/>
    <d v="2025-02-10T00:00:00"/>
    <s v="-"/>
    <m/>
    <n v="0"/>
    <n v="0"/>
    <n v="0"/>
    <n v="0"/>
    <n v="0"/>
  </r>
  <r>
    <s v="GO"/>
    <s v="GO45693"/>
    <s v="Pedido 900"/>
    <d v="2025-02-05T00:00:00"/>
    <d v="2025-02-05T00:00:00"/>
    <s v="PedidoF879"/>
    <s v="CódRastreio877"/>
    <n v="1"/>
    <s v="CPF 875"/>
    <s v="Nome 875"/>
    <s v="Tel 875"/>
    <s v="Cep 875"/>
    <s v="Rua 875"/>
    <s v="Comp 875"/>
    <x v="10"/>
    <s v="EP-9PIR-BWXH"/>
    <d v="2025-03-07T00:00:00"/>
    <n v="65.989999999999995"/>
    <n v="65.989999999999995"/>
    <n v="8.5786999999999995"/>
    <n v="57.41"/>
    <n v="10.210000000000001"/>
    <n v="0.25"/>
    <n v="0.39877104377104378"/>
    <n v="0"/>
    <n v="46.551228956228954"/>
    <n v="46.551228956228954"/>
    <d v="2025-03-14T00:00:00"/>
    <d v="2025-03-14T00:00:00"/>
    <d v="2025-03-14T00:00:00"/>
    <d v="2025-03-17T00:00:00"/>
    <s v="2025 03"/>
    <s v="Aguardando Liberação"/>
    <s v="2025 02"/>
    <s v="ENTREGUE"/>
    <d v="2025-02-13T00:00:00"/>
    <s v="-"/>
    <m/>
    <n v="0"/>
    <n v="0"/>
    <n v="0"/>
    <n v="0"/>
    <n v="0"/>
  </r>
  <r>
    <s v="GO"/>
    <s v="GO45693"/>
    <s v="Pedido 901"/>
    <d v="2025-02-06T00:00:00"/>
    <d v="2025-02-05T00:00:00"/>
    <s v="PedidoF880"/>
    <s v="CódRastreio878"/>
    <n v="1"/>
    <s v="CPF 674"/>
    <s v="Nome 674"/>
    <s v="Tel 674"/>
    <s v="Cep 674"/>
    <s v="Rua 674"/>
    <s v="Comp 674"/>
    <x v="10"/>
    <s v="EP-9PIR-BWXH"/>
    <d v="2025-03-07T00:00:00"/>
    <n v="65.989999999999995"/>
    <n v="65.989999999999995"/>
    <n v="8.5786999999999995"/>
    <n v="57.41"/>
    <n v="16.510000000000002"/>
    <n v="0.25"/>
    <n v="0.39877104377104378"/>
    <n v="0"/>
    <n v="40.25122895622895"/>
    <n v="40.25122895622895"/>
    <d v="2025-03-14T00:00:00"/>
    <d v="2025-03-14T00:00:00"/>
    <d v="2025-03-14T00:00:00"/>
    <d v="2025-03-17T00:00:00"/>
    <s v="2025 03"/>
    <s v="Aguardando Liberação"/>
    <s v="2025 02"/>
    <s v="ENTREGUE"/>
    <d v="2025-02-25T00:00:00"/>
    <s v="-"/>
    <m/>
    <n v="0"/>
    <n v="0"/>
    <n v="0"/>
    <n v="0"/>
    <n v="0"/>
  </r>
  <r>
    <s v="MEI"/>
    <s v="MEI45694"/>
    <s v="Pedido 902"/>
    <d v="2025-02-05T00:00:00"/>
    <d v="2025-02-06T00:00:00"/>
    <s v="PedidoF881"/>
    <s v="CódRastreio879"/>
    <n v="1"/>
    <s v="CPF 876"/>
    <s v="Nome 876"/>
    <s v="Tel 876"/>
    <s v="Cep 876"/>
    <s v="Rua 876"/>
    <s v="Comp 876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19T00:00:00"/>
    <s v="-"/>
    <m/>
    <n v="0"/>
    <n v="0"/>
    <n v="0"/>
    <n v="0"/>
    <n v="0"/>
  </r>
  <r>
    <s v="MEI"/>
    <s v="MEI45694"/>
    <s v="Pedido 903"/>
    <d v="2025-02-05T00:00:00"/>
    <d v="2025-02-06T00:00:00"/>
    <s v="PedidoF882"/>
    <s v="CódRastreio880"/>
    <n v="1"/>
    <s v="CPF 877"/>
    <s v="Nome 877"/>
    <s v="Tel 877"/>
    <s v="Cep 877"/>
    <s v="Rua 877"/>
    <s v="Comp 877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MEI"/>
    <s v="MEI45694"/>
    <s v="Pedido 904"/>
    <d v="2025-02-05T00:00:00"/>
    <d v="2025-02-06T00:00:00"/>
    <s v="PedidoF883"/>
    <s v="CódRastreio881"/>
    <n v="1"/>
    <s v="CPF 878"/>
    <s v="Nome 878"/>
    <s v="Tel 878"/>
    <s v="Cep 878"/>
    <s v="Rua 878"/>
    <s v="Comp 878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22T00:00:00"/>
    <s v="-"/>
    <m/>
    <n v="0"/>
    <n v="0"/>
    <n v="0"/>
    <n v="0"/>
    <n v="0"/>
  </r>
  <r>
    <s v="MEI"/>
    <s v="MEI45694"/>
    <s v="Pedido 905"/>
    <d v="2025-02-05T00:00:00"/>
    <d v="2025-02-06T00:00:00"/>
    <s v="PedidoF884"/>
    <s v="CódRastreio882"/>
    <n v="1"/>
    <s v="CPF 879"/>
    <s v="Nome 879"/>
    <s v="Tel 879"/>
    <s v="Cep 879"/>
    <s v="Rua 879"/>
    <s v="Comp 879"/>
    <x v="22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d v="2025-03-14T00:00:00"/>
    <d v="2025-03-14T00:00:00"/>
    <d v="2025-03-14T00:00:00"/>
    <d v="2025-03-17T00:00:00"/>
    <s v="2025 03"/>
    <s v="Aguardando Liberação"/>
    <s v="2025 02"/>
    <s v="ENTREGUE"/>
    <d v="2025-02-26T00:00:00"/>
    <s v="-"/>
    <m/>
    <n v="0"/>
    <n v="0"/>
    <n v="0"/>
    <n v="0"/>
    <n v="0"/>
  </r>
  <r>
    <s v="MEI"/>
    <s v="MEI45694"/>
    <s v="Pedido 906"/>
    <d v="2025-02-05T00:00:00"/>
    <d v="2025-02-06T00:00:00"/>
    <s v="PedidoF885"/>
    <s v="CódRastreio883"/>
    <n v="1"/>
    <s v="CPF 880"/>
    <s v="Nome 880"/>
    <s v="Tel 880"/>
    <s v="Cep 880"/>
    <s v="Rua 880"/>
    <s v="Comp 880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21T00:00:00"/>
    <s v="-"/>
    <m/>
    <n v="0"/>
    <n v="0"/>
    <n v="0"/>
    <n v="0"/>
    <n v="0"/>
  </r>
  <r>
    <s v="MEI"/>
    <s v="MEI45694"/>
    <s v="Pedido 907"/>
    <d v="2025-02-05T00:00:00"/>
    <d v="2025-02-06T00:00:00"/>
    <s v="PedidoF886"/>
    <s v="CódRastreio884"/>
    <n v="1"/>
    <s v="CPF 881"/>
    <s v="Nome 881"/>
    <s v="Tel 881"/>
    <s v="Cep 881"/>
    <s v="Rua 881"/>
    <s v="Comp 881"/>
    <x v="22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d v="2025-03-14T00:00:00"/>
    <d v="2025-03-14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694"/>
    <s v="Pedido 908"/>
    <d v="2025-02-05T00:00:00"/>
    <d v="2025-02-06T00:00:00"/>
    <s v="PedidoF887"/>
    <s v="CódRastreio885"/>
    <n v="1"/>
    <s v="CPF 882"/>
    <s v="Nome 882"/>
    <s v="Tel 882"/>
    <s v="Cep 882"/>
    <s v="Rua 882"/>
    <s v="Comp 882"/>
    <x v="22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d v="2025-03-14T00:00:00"/>
    <d v="2025-03-14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694"/>
    <s v="Pedido 909"/>
    <d v="2025-02-05T00:00:00"/>
    <d v="2025-02-06T00:00:00"/>
    <s v="PedidoF888"/>
    <s v="CódRastreio886"/>
    <n v="1"/>
    <s v="CPF 883"/>
    <s v="Nome 883"/>
    <s v="Tel 883"/>
    <s v="Cep 883"/>
    <s v="Rua 883"/>
    <s v="Comp 883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694"/>
    <s v="Pedido 910"/>
    <d v="2025-02-05T00:00:00"/>
    <d v="2025-02-06T00:00:00"/>
    <s v="PedidoF889"/>
    <s v="CódRastreio887"/>
    <n v="1"/>
    <s v="CPF 884"/>
    <s v="Nome 884"/>
    <s v="Tel 884"/>
    <s v="Cep 884"/>
    <s v="Rua 884"/>
    <s v="Comp 884"/>
    <x v="22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d v="2025-03-14T00:00:00"/>
    <d v="2025-03-14T00:00:00"/>
    <d v="2025-03-14T00:00:00"/>
    <d v="2025-03-17T00:00:00"/>
    <s v="2025 03"/>
    <s v="Aguardando Liberação"/>
    <s v="2025 02"/>
    <s v="ENTREGUE"/>
    <d v="2025-02-27T00:00:00"/>
    <s v="-"/>
    <m/>
    <n v="0"/>
    <n v="0"/>
    <n v="0"/>
    <n v="0"/>
    <n v="0"/>
  </r>
  <r>
    <s v="MEI"/>
    <s v="MEI45694"/>
    <s v="Pedido 911"/>
    <d v="2025-02-05T00:00:00"/>
    <d v="2025-02-06T00:00:00"/>
    <s v="PedidoF890"/>
    <s v="CódRastreio888"/>
    <n v="1"/>
    <s v="CPF 885"/>
    <s v="Nome 885"/>
    <s v="Tel 885"/>
    <s v="Cep 885"/>
    <s v="Rua 885"/>
    <s v="Comp 885"/>
    <x v="22"/>
    <s v="MZ-PGT3-IKGF"/>
    <d v="2025-03-14T00:00:00"/>
    <n v="34.99"/>
    <n v="34.99"/>
    <n v="4.1988000000000003"/>
    <n v="30.79"/>
    <n v="30.4"/>
    <n v="0.2"/>
    <n v="0.39877104377104378"/>
    <n v="0"/>
    <n v="-0.20877104377104416"/>
    <n v="-0.10438552188552208"/>
    <d v="2025-03-21T00:00:00"/>
    <d v="2025-03-21T00:00:00"/>
    <d v="2025-03-31T00:00:00"/>
    <d v="2025-04-02T00:00:00"/>
    <s v="2025 03"/>
    <s v="Aguardando Liberação"/>
    <s v="2025 02"/>
    <s v="ENTREGUE"/>
    <d v="2025-02-21T00:00:00"/>
    <s v="-"/>
    <m/>
    <n v="0"/>
    <n v="0"/>
    <n v="0"/>
    <n v="0"/>
    <n v="0"/>
  </r>
  <r>
    <s v="MEI"/>
    <s v="MEI45694"/>
    <s v="Pedido 912"/>
    <d v="2025-02-05T00:00:00"/>
    <d v="2025-02-06T00:00:00"/>
    <s v="PedidoF891"/>
    <s v="CódRastreio889"/>
    <n v="1"/>
    <s v="CPF 886"/>
    <s v="Nome 886"/>
    <s v="Tel 886"/>
    <s v="Cep 886"/>
    <s v="Rua 886"/>
    <s v="Comp 886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MEI"/>
    <s v="MEI45694"/>
    <s v="Pedido 913"/>
    <d v="2025-02-06T00:00:00"/>
    <d v="2025-02-06T00:00:00"/>
    <s v="PedidoF892"/>
    <s v="CódRastreio890"/>
    <n v="1"/>
    <s v="CPF 887"/>
    <s v="Nome 887"/>
    <s v="Tel 887"/>
    <s v="Cep 887"/>
    <s v="Rua 887"/>
    <s v="Comp 887"/>
    <x v="22"/>
    <s v="MZ-PGT3-IKGF"/>
    <d v="2025-03-14T00:00:00"/>
    <n v="34.99"/>
    <n v="34.99"/>
    <n v="4.1988000000000003"/>
    <n v="30.79"/>
    <n v="30.4"/>
    <n v="0.2"/>
    <n v="0.39877104377104378"/>
    <n v="0"/>
    <n v="-0.20877104377104416"/>
    <n v="-0.10438552188552208"/>
    <d v="2025-03-21T00:00:00"/>
    <d v="2025-03-21T00:00:00"/>
    <d v="2025-03-31T00:00:00"/>
    <d v="2025-04-02T00:00:00"/>
    <s v="2025 03"/>
    <s v="Aguardando Liberação"/>
    <s v="2025 02"/>
    <s v="ENTREGUE"/>
    <d v="2025-03-13T00:00:00"/>
    <s v="-"/>
    <m/>
    <n v="0"/>
    <n v="0"/>
    <n v="0"/>
    <n v="0"/>
    <n v="0"/>
  </r>
  <r>
    <s v="MEI"/>
    <s v="MEI45694"/>
    <s v="Pedido 914"/>
    <d v="2025-02-06T00:00:00"/>
    <d v="2025-02-06T00:00:00"/>
    <s v="PedidoF893"/>
    <s v="CódRastreio891"/>
    <n v="1"/>
    <s v="CPF 888"/>
    <s v="Nome 888"/>
    <s v="Tel 888"/>
    <s v="Cep 888"/>
    <s v="Rua 888"/>
    <s v="Comp 888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MEI"/>
    <s v="MEI45694"/>
    <s v="Pedido 915"/>
    <d v="2025-02-06T00:00:00"/>
    <d v="2025-02-06T00:00:00"/>
    <s v="PedidoF894"/>
    <s v="CódRastreio892"/>
    <n v="1"/>
    <s v="CPF 889"/>
    <s v="Nome 889"/>
    <s v="Tel 889"/>
    <s v="Cep 889"/>
    <s v="Rua 889"/>
    <s v="Comp 889"/>
    <x v="22"/>
    <s v="MZ-PGT3-IKGF"/>
    <d v="2025-03-07T00:00:00"/>
    <n v="34.99"/>
    <n v="34.99"/>
    <n v="4.1988000000000003"/>
    <n v="30.79"/>
    <n v="0"/>
    <n v="0.2"/>
    <n v="0.39877104377104378"/>
    <n v="0"/>
    <n v="30.191228956228954"/>
    <n v="15.095614478114477"/>
    <d v="2025-03-14T00:00:00"/>
    <d v="2025-03-14T00:00:00"/>
    <d v="2025-03-14T00:00:00"/>
    <d v="2025-03-17T00:00:00"/>
    <s v="2025 03"/>
    <s v="Aguardando Liberação"/>
    <s v="2025 02"/>
    <s v="ENTREGUE"/>
    <d v="2025-02-27T09:26:37"/>
    <s v="-"/>
    <m/>
    <n v="0"/>
    <n v="0"/>
    <n v="0"/>
    <n v="0"/>
    <n v="0"/>
  </r>
  <r>
    <s v="MEI"/>
    <s v="MEI45694"/>
    <s v="Pedido 916"/>
    <d v="2025-02-06T00:00:00"/>
    <d v="2025-02-06T00:00:00"/>
    <s v="PedidoF895"/>
    <s v="CódRastreio893"/>
    <n v="1"/>
    <s v="CPF 890"/>
    <s v="Nome 890"/>
    <s v="Tel 890"/>
    <s v="Cep 890"/>
    <s v="Rua 890"/>
    <s v="Comp 890"/>
    <x v="22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d v="2025-03-14T00:00:00"/>
    <d v="2025-03-14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MEI"/>
    <s v="MEI45694"/>
    <s v="Pedido 917"/>
    <d v="2025-02-06T00:00:00"/>
    <d v="2025-02-06T00:00:00"/>
    <s v="PedidoF896"/>
    <s v="CódRastreio894"/>
    <n v="1"/>
    <s v="CPF 891"/>
    <s v="Nome 891"/>
    <s v="Tel 891"/>
    <s v="Cep 891"/>
    <s v="Rua 891"/>
    <s v="Comp 891"/>
    <x v="22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d v="2025-03-14T00:00:00"/>
    <d v="2025-03-14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MEI"/>
    <s v="MEI45694"/>
    <s v="Pedido 918"/>
    <d v="2025-02-06T00:00:00"/>
    <d v="2025-02-06T00:00:00"/>
    <s v="PedidoF897"/>
    <s v="CódRastreio895"/>
    <n v="1"/>
    <s v="CPF 892"/>
    <s v="Nome 892"/>
    <s v="Tel 892"/>
    <s v="Cep 892"/>
    <s v="Rua 892"/>
    <s v="Comp 892"/>
    <x v="22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d v="2025-03-05T00:00:00"/>
    <d v="2025-03-05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MEI"/>
    <s v="MEI45694"/>
    <s v="Pedido 919"/>
    <d v="2025-02-06T00:00:00"/>
    <d v="2025-02-06T00:00:00"/>
    <s v="PedidoF898"/>
    <s v="CódRastreio896"/>
    <n v="1"/>
    <s v="CPF 893"/>
    <s v="Nome 893"/>
    <s v="Tel 893"/>
    <s v="Cep 893"/>
    <s v="Rua 893"/>
    <s v="Comp 893"/>
    <x v="22"/>
    <s v="MZ-PGT3-IKGF"/>
    <d v="2025-02-27T00:00:00"/>
    <n v="65.989999999999995"/>
    <n v="65.989999999999995"/>
    <n v="7.9187999999999992"/>
    <n v="58.07"/>
    <n v="30.4"/>
    <n v="0.2"/>
    <n v="0.39877104377104378"/>
    <n v="0"/>
    <n v="27.071228956228957"/>
    <n v="13.535614478114478"/>
    <d v="2025-03-06T00:00:00"/>
    <d v="2025-03-06T00:00:00"/>
    <d v="2025-03-14T00:00:00"/>
    <d v="2025-03-17T00:00:00"/>
    <s v="2025 03"/>
    <s v="Aguardando Liberação"/>
    <s v="2025 02"/>
    <s v="ENTREGUE"/>
    <d v="2025-02-13T00:00:00"/>
    <s v="-"/>
    <m/>
    <n v="0"/>
    <n v="0"/>
    <n v="0"/>
    <n v="0"/>
    <n v="0"/>
  </r>
  <r>
    <s v="MEI"/>
    <s v="MEI45694"/>
    <s v="Pedido 920"/>
    <d v="2025-02-06T00:00:00"/>
    <d v="2025-02-06T00:00:00"/>
    <s v="PedidoF899"/>
    <s v="CódRastreio897"/>
    <n v="1"/>
    <s v="CPF 894"/>
    <s v="Nome 894"/>
    <s v="Tel 894"/>
    <s v="Cep 894"/>
    <s v="Rua 894"/>
    <s v="Comp 894"/>
    <x v="22"/>
    <s v="MZ-PGT3-IKGF"/>
    <d v="2025-02-27T00:00:00"/>
    <n v="65.989999999999995"/>
    <n v="65.989999999999995"/>
    <n v="7.9187999999999992"/>
    <n v="58.07"/>
    <n v="30.4"/>
    <n v="0.2"/>
    <n v="0.39877104377104378"/>
    <n v="0"/>
    <n v="27.071228956228957"/>
    <n v="13.535614478114478"/>
    <d v="2025-03-06T00:00:00"/>
    <d v="2025-03-06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BV"/>
    <s v="BV45695"/>
    <s v="Pedido 921"/>
    <d v="2025-02-07T00:00:00"/>
    <d v="2025-02-07T00:00:00"/>
    <s v="PedidoF900"/>
    <s v="CódRastreio898"/>
    <n v="1"/>
    <s v="CPF 895"/>
    <s v="Nome 895"/>
    <s v="Tel 895"/>
    <s v="Cep 895"/>
    <s v="Rua 895"/>
    <s v="Comp 895"/>
    <x v="0"/>
    <s v="16-4EDB-WMZF"/>
    <d v="2025-02-27T00:00:00"/>
    <n v="19.600000000000001"/>
    <n v="19.600000000000001"/>
    <n v="2.94"/>
    <n v="16.66"/>
    <n v="6.99"/>
    <n v="0.2"/>
    <n v="0.39877104377104378"/>
    <n v="0"/>
    <n v="9.071228956228957"/>
    <n v="4.5356144781144785"/>
    <d v="2025-03-06T00:00:00"/>
    <d v="2025-03-06T00:00:00"/>
    <d v="2025-03-14T00:00:00"/>
    <d v="2025-03-17T00:00:00"/>
    <s v="2025 03"/>
    <s v="Aguardando Liberação"/>
    <s v="2025 02"/>
    <s v="ENTREGUE"/>
    <d v="2025-02-13T00:00:00"/>
    <s v="-"/>
    <m/>
    <n v="0"/>
    <n v="0"/>
    <n v="0"/>
    <n v="0"/>
    <n v="0"/>
  </r>
  <r>
    <s v="BV"/>
    <s v="BV45695"/>
    <s v="Pedido 922"/>
    <d v="2025-02-07T00:00:00"/>
    <d v="2025-02-07T00:00:00"/>
    <s v="PedidoF901"/>
    <s v="CódRastreio899"/>
    <n v="1"/>
    <s v="CPF 896"/>
    <s v="Nome 896"/>
    <s v="Tel 896"/>
    <s v="Cep 896"/>
    <s v="Rua 896"/>
    <s v="Comp 896"/>
    <x v="3"/>
    <s v="IF-G2ZQ-79FO"/>
    <d v="2025-02-27T00:00:00"/>
    <n v="52.7"/>
    <n v="52.7"/>
    <n v="6.8510000000000009"/>
    <n v="45.85"/>
    <n v="16.16"/>
    <n v="0.2"/>
    <n v="0.39877104377104378"/>
    <n v="0"/>
    <n v="29.091228956228957"/>
    <n v="14.545614478114478"/>
    <d v="2025-03-06T00:00:00"/>
    <d v="2025-03-06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BV"/>
    <s v="BV45695"/>
    <s v="Pedido 923"/>
    <d v="2025-02-07T00:00:00"/>
    <d v="2025-02-07T00:00:00"/>
    <s v="PedidoF902"/>
    <s v="CódRastreio900"/>
    <n v="1"/>
    <s v="CPF 897"/>
    <s v="Nome 897"/>
    <s v="Tel 897"/>
    <s v="Cep 897"/>
    <s v="Rua 897"/>
    <s v="Comp 897"/>
    <x v="3"/>
    <s v="IF-G2ZQ-79FO"/>
    <d v="2025-02-28T00:00:00"/>
    <n v="52.7"/>
    <n v="52.7"/>
    <n v="6.8510000000000009"/>
    <n v="45.85"/>
    <n v="16.16"/>
    <n v="0.2"/>
    <n v="0.39877104377104378"/>
    <n v="0"/>
    <n v="29.091228956228957"/>
    <n v="14.545614478114478"/>
    <d v="2025-03-07T00:00:00"/>
    <d v="2025-03-07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BV"/>
    <s v="BV45695"/>
    <s v="Pedido 924"/>
    <d v="2025-02-07T00:00:00"/>
    <d v="2025-02-07T00:00:00"/>
    <s v="PedidoF903"/>
    <s v="CódRastreio901"/>
    <n v="1"/>
    <s v="CPF 898"/>
    <s v="Nome 898"/>
    <s v="Tel 898"/>
    <s v="Cep 898"/>
    <s v="Rua 898"/>
    <s v="Comp 898"/>
    <x v="1"/>
    <s v="CK-YL6M-P5Y6"/>
    <d v="2025-02-28T00:00:00"/>
    <n v="33.99"/>
    <n v="33.99"/>
    <n v="4.7586000000000004"/>
    <n v="29.23"/>
    <n v="14.99"/>
    <n v="0.2"/>
    <n v="0.39877104377104378"/>
    <n v="0"/>
    <n v="13.641228956228957"/>
    <n v="6.8206144781144786"/>
    <d v="2025-03-07T00:00:00"/>
    <d v="2025-03-07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695"/>
    <s v="Pedido 925"/>
    <d v="2025-02-07T00:00:00"/>
    <d v="2025-02-07T00:00:00"/>
    <s v="PedidoF904"/>
    <s v="CódRastreio902"/>
    <n v="1"/>
    <s v="CPF 899"/>
    <s v="Nome 899"/>
    <s v="Tel 899"/>
    <s v="Cep 899"/>
    <s v="Rua 899"/>
    <s v="Comp 899"/>
    <x v="3"/>
    <s v="IF-G2ZQ-79FO"/>
    <d v="2025-02-28T00:00:00"/>
    <n v="52.7"/>
    <n v="52.7"/>
    <n v="6.8510000000000009"/>
    <n v="45.85"/>
    <n v="16.16"/>
    <n v="0.2"/>
    <n v="0.39877104377104378"/>
    <n v="0"/>
    <n v="29.091228956228957"/>
    <n v="14.545614478114478"/>
    <d v="2025-03-07T00:00:00"/>
    <d v="2025-03-07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MEI"/>
    <s v="MEI45695"/>
    <s v="Pedido 926"/>
    <d v="2025-02-07T00:00:00"/>
    <d v="2025-02-07T00:00:00"/>
    <s v="PedidoF905"/>
    <s v="CódRastreio903"/>
    <n v="1"/>
    <s v="CPF 900"/>
    <s v="Nome 900"/>
    <s v="Tel 900"/>
    <s v="Cep 900"/>
    <s v="Rua 900"/>
    <s v="Comp 900"/>
    <x v="1"/>
    <s v="A4-5W51-K3HF"/>
    <d v="2025-02-22T00:00:00"/>
    <n v="32.99"/>
    <n v="32.99"/>
    <n v="4.6186000000000007"/>
    <n v="28.37"/>
    <n v="14.99"/>
    <n v="0.2"/>
    <n v="0.39877104377104378"/>
    <n v="0"/>
    <n v="12.781228956228958"/>
    <n v="6.3906144781144789"/>
    <d v="2025-03-01T00:00:00"/>
    <d v="2025-03-01T00:00:00"/>
    <d v="2025-03-14T00:00:00"/>
    <d v="2025-03-17T00:00:00"/>
    <s v="2025 03"/>
    <s v="Aguardando Liberação"/>
    <s v="2025 02"/>
    <s v="ENTREGUE"/>
    <d v="2025-02-13T00:00:00"/>
    <s v="-"/>
    <m/>
    <n v="0"/>
    <n v="0"/>
    <n v="0"/>
    <n v="0"/>
    <n v="0"/>
  </r>
  <r>
    <s v="MEI"/>
    <s v="MEI45695"/>
    <s v="Pedido 927"/>
    <d v="2025-02-08T00:00:00"/>
    <d v="2025-02-07T00:00:00"/>
    <s v="PedidoF906"/>
    <s v="CódRastreio904"/>
    <n v="1"/>
    <s v="CPF 901"/>
    <s v="Nome 901"/>
    <s v="Tel 901"/>
    <s v="Cep 901"/>
    <s v="Rua 901"/>
    <s v="Comp 901"/>
    <x v="1"/>
    <s v="A4-5W51-K3HF"/>
    <d v="2025-02-28T00:00:00"/>
    <n v="32.99"/>
    <n v="32.99"/>
    <n v="4.6186000000000007"/>
    <n v="28.37"/>
    <n v="14.99"/>
    <n v="0.2"/>
    <n v="0.39877104377104378"/>
    <n v="0"/>
    <n v="12.781228956228958"/>
    <n v="6.3906144781144789"/>
    <d v="2025-03-07T00:00:00"/>
    <d v="2025-03-07T00:00:00"/>
    <d v="2025-03-14T00:00:00"/>
    <d v="2025-03-17T00:00:00"/>
    <s v="2025 03"/>
    <s v="Aguardando Liberação"/>
    <s v="2025 02"/>
    <s v="ENTREGUE"/>
    <d v="2025-02-14T00:00:00"/>
    <s v="-"/>
    <m/>
    <n v="0"/>
    <n v="0"/>
    <n v="0"/>
    <n v="0"/>
    <n v="0"/>
  </r>
  <r>
    <s v="BV"/>
    <s v="BV45697"/>
    <s v="Pedido 928"/>
    <d v="2025-02-08T00:00:00"/>
    <d v="2025-02-09T00:00:00"/>
    <s v="PedidoF907"/>
    <s v="CódRastreio905"/>
    <n v="1"/>
    <s v="CPF 902"/>
    <s v="Nome 902"/>
    <s v="Tel 902"/>
    <s v="Cep 902"/>
    <s v="Rua 902"/>
    <s v="Comp 902"/>
    <x v="0"/>
    <s v="16-4EDB-WMZF"/>
    <d v="2025-02-26T00:00:00"/>
    <n v="24.99"/>
    <n v="24.99"/>
    <n v="3.7484999999999995"/>
    <n v="21.24"/>
    <n v="6.99"/>
    <n v="0.26"/>
    <n v="0.39877104377104378"/>
    <n v="0"/>
    <n v="13.591228956228955"/>
    <n v="6.7956144781144774"/>
    <d v="2025-03-05T00:00:00"/>
    <d v="2025-03-05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BV"/>
    <s v="BV45697"/>
    <s v="Pedido 929"/>
    <d v="2025-02-08T00:00:00"/>
    <d v="2025-02-09T00:00:00"/>
    <s v="PedidoF908"/>
    <s v="CódRastreio906"/>
    <n v="1"/>
    <s v="CPF 903"/>
    <s v="Nome 903"/>
    <s v="Tel 903"/>
    <s v="Cep 903"/>
    <s v="Rua 903"/>
    <s v="Comp 903"/>
    <x v="12"/>
    <s v="U8-2VWS-OB6M"/>
    <d v="2025-02-28T00:00:00"/>
    <n v="61.99"/>
    <n v="61.99"/>
    <n v="8.0587"/>
    <n v="53.93"/>
    <n v="0"/>
    <n v="0.26"/>
    <n v="0.39877104377104378"/>
    <n v="0"/>
    <n v="53.271228956228953"/>
    <n v="26.635614478114476"/>
    <d v="2025-03-07T00:00:00"/>
    <d v="2025-03-07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BV"/>
    <s v="BV45697"/>
    <s v="Pedido 930"/>
    <d v="2025-02-08T00:00:00"/>
    <d v="2025-02-09T00:00:00"/>
    <s v="PedidoF909"/>
    <s v="CódRastreio907"/>
    <n v="1"/>
    <s v="CPF 904"/>
    <s v="Nome 904"/>
    <s v="Tel 904"/>
    <s v="Cep 904"/>
    <s v="Rua 904"/>
    <s v="Comp 904"/>
    <x v="10"/>
    <s v="MU-J80P-95WF"/>
    <d v="2025-02-28T00:00:00"/>
    <n v="66.989999999999995"/>
    <n v="66.989999999999995"/>
    <n v="8.7087000000000003"/>
    <n v="58.28"/>
    <n v="16.260000000000002"/>
    <n v="0.26"/>
    <n v="0.39877104377104378"/>
    <n v="0"/>
    <n v="41.361228956228956"/>
    <n v="20.680614478114478"/>
    <d v="2025-03-07T00:00:00"/>
    <d v="2025-03-07T00:00:00"/>
    <d v="2025-03-14T00:00:00"/>
    <d v="2025-03-17T00:00:00"/>
    <s v="2025 03"/>
    <s v="Aguardando Liberação"/>
    <s v="2025 02"/>
    <s v="ENTREGUE"/>
    <d v="2025-02-21T00:00:00"/>
    <s v="-"/>
    <m/>
    <n v="0"/>
    <n v="0"/>
    <n v="0"/>
    <n v="0"/>
    <n v="0"/>
  </r>
  <r>
    <s v="BV"/>
    <s v="BV45697"/>
    <s v="Pedido 931"/>
    <d v="2025-02-09T00:00:00"/>
    <d v="2025-02-09T00:00:00"/>
    <s v="PedidoF910"/>
    <s v="CódRastreio908"/>
    <n v="1"/>
    <s v="CPF 905"/>
    <s v="Nome 905"/>
    <s v="Tel 905"/>
    <s v="Cep 905"/>
    <s v="Rua 905"/>
    <s v="Comp 905"/>
    <x v="13"/>
    <s v="YA-AG3H-SPUK"/>
    <d v="2025-02-22T00:00:00"/>
    <n v="19.989999999999998"/>
    <n v="19.989999999999998"/>
    <n v="2.3987999999999996"/>
    <n v="17.59"/>
    <n v="6.99"/>
    <n v="0.26"/>
    <n v="0.39877104377104378"/>
    <n v="0"/>
    <n v="9.9412289562289562"/>
    <n v="4.9706144781144781"/>
    <d v="2025-03-01T00:00:00"/>
    <d v="2025-03-01T00:00:00"/>
    <d v="2025-03-14T00:00:00"/>
    <d v="2025-03-17T00:00:00"/>
    <s v="2025 03"/>
    <s v="Aguardando Liberação"/>
    <s v="2025 02"/>
    <s v="ENTREGUE"/>
    <d v="2025-02-14T00:00:00"/>
    <s v="-"/>
    <m/>
    <n v="0"/>
    <n v="0"/>
    <n v="0"/>
    <n v="0"/>
    <n v="0"/>
  </r>
  <r>
    <s v="BV"/>
    <s v="BV45698"/>
    <s v="Pedido 932"/>
    <d v="2025-02-09T00:00:00"/>
    <d v="2025-02-10T00:00:00"/>
    <s v="PedidoF911"/>
    <s v="CódRastreio909"/>
    <n v="1"/>
    <s v="CPF 906"/>
    <s v="Nome 906"/>
    <s v="Tel 906"/>
    <s v="Cep 906"/>
    <s v="Rua 906"/>
    <s v="Comp 906"/>
    <x v="12"/>
    <s v="U8-2VWS-OB6M"/>
    <d v="2025-03-11T00:00:00"/>
    <n v="61.99"/>
    <n v="61.99"/>
    <n v="8.0587"/>
    <n v="53.93"/>
    <n v="16.64"/>
    <n v="0.18"/>
    <n v="0.39877104377104378"/>
    <n v="0"/>
    <n v="36.71122895622895"/>
    <n v="18.355614478114475"/>
    <d v="2025-03-18T00:00:00"/>
    <d v="2025-03-18T00:00:00"/>
    <d v="2025-03-31T00:00:00"/>
    <d v="2025-04-02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697"/>
    <s v="Pedido 933"/>
    <d v="2025-02-09T00:00:00"/>
    <d v="2025-02-09T00:00:00"/>
    <s v="PedidoF912"/>
    <s v="CódRastreio910"/>
    <n v="1"/>
    <s v="CPF 907"/>
    <s v="Nome 907"/>
    <s v="Tel 907"/>
    <s v="Cep 907"/>
    <s v="Rua 907"/>
    <s v="Comp 907"/>
    <x v="3"/>
    <s v="IF-G2ZQ-79FO"/>
    <d v="2025-02-28T00:00:00"/>
    <n v="55.99"/>
    <n v="55.99"/>
    <n v="7.2787000000000006"/>
    <n v="48.71"/>
    <n v="16.899999999999999"/>
    <n v="0.26"/>
    <n v="0.39877104377104378"/>
    <n v="0"/>
    <n v="31.151228956228955"/>
    <n v="15.575614478114478"/>
    <d v="2025-03-07T00:00:00"/>
    <d v="2025-03-07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BV"/>
    <s v="BV45697"/>
    <s v="Pedido 934"/>
    <d v="2025-02-09T00:00:00"/>
    <d v="2025-02-09T00:00:00"/>
    <s v="PedidoF913"/>
    <s v="CódRastreio911"/>
    <n v="1"/>
    <s v="CPF 908"/>
    <s v="Nome 908"/>
    <s v="Tel 908"/>
    <s v="Cep 908"/>
    <s v="Rua 908"/>
    <s v="Comp 908"/>
    <x v="3"/>
    <s v="IF-G2ZQ-79FO"/>
    <d v="2025-02-28T00:00:00"/>
    <n v="55.99"/>
    <n v="55.99"/>
    <n v="7.2787000000000006"/>
    <n v="48.71"/>
    <n v="16.899999999999999"/>
    <n v="0.26"/>
    <n v="0.39877104377104378"/>
    <n v="0"/>
    <n v="31.151228956228955"/>
    <n v="15.575614478114478"/>
    <d v="2025-03-07T00:00:00"/>
    <d v="2025-03-07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BV"/>
    <s v="BV45697"/>
    <s v="Pedido 935"/>
    <d v="2025-02-10T00:00:00"/>
    <d v="2025-02-09T00:00:00"/>
    <s v="PedidoF914"/>
    <s v="CódRastreio912"/>
    <n v="1"/>
    <s v="CPF 909"/>
    <s v="Nome 909"/>
    <s v="Tel 909"/>
    <s v="Cep 909"/>
    <s v="Rua 909"/>
    <s v="Comp 909"/>
    <x v="3"/>
    <s v="IF-G2ZQ-79FO"/>
    <d v="2025-02-28T00:00:00"/>
    <n v="55.99"/>
    <n v="55.99"/>
    <n v="7.2787000000000006"/>
    <n v="48.71"/>
    <n v="16.899999999999999"/>
    <n v="0.26"/>
    <n v="0.39877104377104378"/>
    <n v="0"/>
    <n v="31.151228956228955"/>
    <n v="15.575614478114478"/>
    <d v="2025-03-07T00:00:00"/>
    <d v="2025-03-07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BV"/>
    <s v="BV45698"/>
    <s v="Pedido 936"/>
    <d v="2025-02-10T00:00:00"/>
    <d v="2025-02-10T00:00:00"/>
    <s v="PedidoF915"/>
    <s v="CódRastreio913"/>
    <n v="1"/>
    <s v="CPF 910"/>
    <s v="Nome 910"/>
    <s v="Tel 910"/>
    <s v="Cep 910"/>
    <s v="Rua 910"/>
    <s v="Comp 910"/>
    <x v="12"/>
    <s v="U8-2VWS-OB6M"/>
    <d v="2025-03-18T00:00:00"/>
    <n v="61.99"/>
    <n v="61.99"/>
    <n v="8.0587"/>
    <n v="53.93"/>
    <n v="16.64"/>
    <n v="0.18"/>
    <n v="0.39877104377104378"/>
    <n v="0"/>
    <n v="36.71122895622895"/>
    <n v="18.355614478114475"/>
    <d v="2025-03-25T00:00:00"/>
    <d v="2025-03-25T00:00:00"/>
    <d v="2025-03-31T00:00:00"/>
    <d v="2025-04-02T00:00:00"/>
    <s v="2025 03"/>
    <s v="Aguardando Liberação"/>
    <s v="2025 02"/>
    <s v="ENTREGUE"/>
    <d v="2025-03-01T00:00:00"/>
    <s v="-"/>
    <m/>
    <n v="0"/>
    <n v="0"/>
    <n v="0"/>
    <n v="0"/>
    <n v="0"/>
  </r>
  <r>
    <s v="GO"/>
    <s v="GO45697"/>
    <s v="Pedido 937"/>
    <d v="2025-02-08T00:00:00"/>
    <d v="2025-02-09T00:00:00"/>
    <s v="PedidoF916"/>
    <s v="CódRastreio914"/>
    <n v="1"/>
    <s v="CPF 856"/>
    <s v="Nome 856"/>
    <s v="Tel 856"/>
    <s v="Cep 856"/>
    <s v="Rua 856"/>
    <s v="Comp 856"/>
    <x v="10"/>
    <s v="EP-9PIR-BWXH"/>
    <d v="2025-02-28T00:00:00"/>
    <n v="61.99"/>
    <n v="61.99"/>
    <n v="8.0587"/>
    <n v="53.93"/>
    <n v="12.96"/>
    <n v="0.2"/>
    <n v="0.39877104377104378"/>
    <n v="0"/>
    <n v="40.371228956228954"/>
    <n v="40.371228956228954"/>
    <d v="2025-03-07T00:00:00"/>
    <d v="2025-03-07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GO"/>
    <s v="GO45697"/>
    <s v="Pedido 938"/>
    <d v="2025-02-08T00:00:00"/>
    <d v="2025-02-09T00:00:00"/>
    <s v="PedidoF917"/>
    <s v="CódRastreio915"/>
    <n v="1"/>
    <s v="CPF 912"/>
    <s v="Nome 912"/>
    <s v="Tel 912"/>
    <s v="Cep 912"/>
    <s v="Rua 912"/>
    <s v="Comp 912"/>
    <x v="10"/>
    <s v="EP-9PIR-BWXH"/>
    <d v="2025-03-18T00:00:00"/>
    <n v="61.99"/>
    <n v="61.99"/>
    <n v="8.0587"/>
    <n v="53.93"/>
    <n v="12.96"/>
    <n v="0.2"/>
    <n v="0.39877104377104378"/>
    <n v="0"/>
    <n v="40.371228956228954"/>
    <n v="40.371228956228954"/>
    <d v="2025-03-25T00:00:00"/>
    <d v="2025-03-25T00:00:00"/>
    <d v="2025-03-31T00:00:00"/>
    <d v="2025-04-02T00:00:00"/>
    <s v="2025 03"/>
    <s v="Aguardando Liberação"/>
    <s v="2025 02"/>
    <s v="ENTREGUE"/>
    <d v="2025-03-11T00:00:00"/>
    <s v="-"/>
    <m/>
    <n v="0"/>
    <n v="0"/>
    <n v="0"/>
    <n v="0"/>
    <n v="0"/>
  </r>
  <r>
    <s v="GO"/>
    <s v="GO45697"/>
    <s v="Pedido 939"/>
    <d v="2025-02-08T00:00:00"/>
    <d v="2025-02-09T00:00:00"/>
    <s v="PedidoF918"/>
    <s v="CódRastreio916"/>
    <n v="1"/>
    <s v="CPF 913"/>
    <s v="Nome 913"/>
    <s v="Tel 913"/>
    <s v="Cep 913"/>
    <s v="Rua 913"/>
    <s v="Comp 913"/>
    <x v="10"/>
    <s v="EP-9PIR-BWXH"/>
    <d v="2025-02-28T00:00:00"/>
    <n v="61.99"/>
    <n v="61.99"/>
    <n v="8.0587"/>
    <n v="53.93"/>
    <n v="12.96"/>
    <n v="0.2"/>
    <n v="0.39877104377104378"/>
    <n v="0"/>
    <n v="40.371228956228954"/>
    <n v="40.371228956228954"/>
    <d v="2025-03-07T00:00:00"/>
    <d v="2025-03-07T00:00:00"/>
    <d v="2025-03-14T00:00:00"/>
    <d v="2025-03-17T00:00:00"/>
    <s v="2025 03"/>
    <s v="Aguardando Liberação"/>
    <s v="2025 02"/>
    <s v="ENTREGUE"/>
    <d v="2025-02-17T00:00:00"/>
    <s v="-"/>
    <m/>
    <n v="0"/>
    <n v="0"/>
    <n v="0"/>
    <n v="0"/>
    <n v="0"/>
  </r>
  <r>
    <s v="GO"/>
    <s v="GO45697"/>
    <s v="Pedido 940"/>
    <d v="2025-02-08T00:00:00"/>
    <d v="2025-02-09T00:00:00"/>
    <s v="PedidoF919"/>
    <s v="CódRastreio917"/>
    <n v="1"/>
    <s v="CPF 914"/>
    <s v="Nome 914"/>
    <s v="Tel 914"/>
    <s v="Cep 914"/>
    <s v="Rua 914"/>
    <s v="Comp 914"/>
    <x v="10"/>
    <s v="EP-9PIR-BWXH"/>
    <d v="2025-03-18T00:00:00"/>
    <n v="61.99"/>
    <n v="61.99"/>
    <n v="8.0587"/>
    <n v="53.93"/>
    <n v="16.760000000000002"/>
    <n v="0.2"/>
    <n v="0.39877104377104378"/>
    <n v="0"/>
    <n v="36.57122895622895"/>
    <n v="36.57122895622895"/>
    <d v="2025-03-25T00:00:00"/>
    <d v="2025-03-25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GO"/>
    <s v="GO45697"/>
    <s v="Pedido 941"/>
    <d v="2025-02-08T00:00:00"/>
    <d v="2025-02-09T00:00:00"/>
    <s v="PedidoF920"/>
    <s v="CódRastreio918"/>
    <n v="1"/>
    <s v="CPF 915"/>
    <s v="Nome 915"/>
    <s v="Tel 915"/>
    <s v="Cep 915"/>
    <s v="Rua 915"/>
    <s v="Comp 915"/>
    <x v="10"/>
    <s v="EP-9PIR-BWXH"/>
    <d v="2025-03-11T00:00:00"/>
    <n v="61.99"/>
    <n v="61.99"/>
    <n v="8.0587"/>
    <n v="53.93"/>
    <n v="16.760000000000002"/>
    <n v="0.2"/>
    <n v="0.39877104377104378"/>
    <n v="0"/>
    <n v="36.57122895622895"/>
    <n v="36.57122895622895"/>
    <d v="2025-03-18T00:00:00"/>
    <d v="2025-03-18T00:00:00"/>
    <d v="2025-03-31T00:00:00"/>
    <d v="2025-04-02T00:00:00"/>
    <s v="2025 03"/>
    <s v="Aguardando Liberação"/>
    <s v="2025 02"/>
    <s v="ENTREGUE"/>
    <d v="2025-02-20T00:00:00"/>
    <s v="-"/>
    <m/>
    <n v="0"/>
    <n v="0"/>
    <n v="0"/>
    <n v="0"/>
    <n v="0"/>
  </r>
  <r>
    <s v="GO"/>
    <s v="GO45697"/>
    <s v="Pedido 942"/>
    <d v="2025-02-09T00:00:00"/>
    <d v="2025-02-09T00:00:00"/>
    <s v="PedidoF921"/>
    <s v="CódRastreio919"/>
    <n v="1"/>
    <s v="CPF 916"/>
    <s v="Nome 916"/>
    <s v="Tel 916"/>
    <s v="Cep 916"/>
    <s v="Rua 916"/>
    <s v="Comp 916"/>
    <x v="10"/>
    <s v="EP-9PIR-BWXH"/>
    <d v="2025-03-11T00:00:00"/>
    <n v="61.99"/>
    <n v="61.99"/>
    <n v="8.0587"/>
    <n v="53.93"/>
    <n v="16.760000000000002"/>
    <n v="0.2"/>
    <n v="0.39877104377104378"/>
    <n v="0"/>
    <n v="36.57122895622895"/>
    <n v="36.57122895622895"/>
    <d v="2025-03-18T00:00:00"/>
    <d v="2025-03-18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GO"/>
    <s v="GO45697"/>
    <s v="Pedido 943"/>
    <d v="2025-02-09T00:00:00"/>
    <d v="2025-02-09T00:00:00"/>
    <s v="PedidoF922"/>
    <s v="CódRastreio920"/>
    <n v="1"/>
    <s v="CPF 917"/>
    <s v="Nome 917"/>
    <s v="Tel 917"/>
    <s v="Cep 917"/>
    <s v="Rua 917"/>
    <s v="Comp 917"/>
    <x v="10"/>
    <s v="EP-9PIR-BWXH"/>
    <d v="2025-02-28T00:00:00"/>
    <n v="61.99"/>
    <n v="61.99"/>
    <n v="8.0587"/>
    <n v="53.93"/>
    <n v="16.760000000000002"/>
    <n v="0.2"/>
    <n v="0.39877104377104378"/>
    <n v="0"/>
    <n v="36.57122895622895"/>
    <n v="36.57122895622895"/>
    <d v="2025-03-07T00:00:00"/>
    <d v="2025-03-07T00:00:00"/>
    <d v="2025-03-14T00:00:00"/>
    <d v="2025-03-17T00:00:00"/>
    <s v="2025 03"/>
    <s v="Aguardando Liberação"/>
    <s v="2025 02"/>
    <s v="ENTREGUE"/>
    <d v="2025-02-18T00:00:00"/>
    <s v="-"/>
    <m/>
    <n v="0"/>
    <n v="0"/>
    <n v="0"/>
    <n v="0"/>
    <n v="0"/>
  </r>
  <r>
    <s v="GO"/>
    <s v="GO45698"/>
    <s v="Pedido 944"/>
    <d v="2025-02-10T00:00:00"/>
    <d v="2025-02-10T00:00:00"/>
    <s v="PedidoF923"/>
    <s v="CódRastreio921"/>
    <n v="1"/>
    <s v="CPF 918"/>
    <s v="Nome 918"/>
    <s v="Tel 918"/>
    <s v="Cep 918"/>
    <s v="Rua 918"/>
    <s v="Comp 918"/>
    <x v="10"/>
    <s v="EP-9PIR-BWXH"/>
    <d v="2025-03-11T00:00:00"/>
    <n v="61.99"/>
    <n v="61.99"/>
    <n v="8.0587"/>
    <n v="53.93"/>
    <n v="16.34"/>
    <n v="0.23"/>
    <n v="0.39877104377104378"/>
    <n v="0"/>
    <n v="36.96122895622895"/>
    <n v="36.96122895622895"/>
    <d v="2025-03-18T00:00:00"/>
    <d v="2025-03-18T00:00:00"/>
    <d v="2025-03-31T00:00:00"/>
    <d v="2025-04-02T00:00:00"/>
    <s v="2025 03"/>
    <s v="Aguardando Liberação"/>
    <s v="2025 02"/>
    <s v="ENTREGUE"/>
    <d v="2025-03-08T00:00:00"/>
    <s v="-"/>
    <m/>
    <n v="0"/>
    <n v="0"/>
    <n v="0"/>
    <n v="0"/>
    <n v="0"/>
  </r>
  <r>
    <s v="GO"/>
    <s v="GO45698"/>
    <s v="Pedido 945"/>
    <d v="2025-02-10T00:00:00"/>
    <d v="2025-02-10T00:00:00"/>
    <s v="PedidoF924"/>
    <s v="CódRastreio922"/>
    <n v="1"/>
    <s v="CPF 683"/>
    <s v="Nome 683"/>
    <s v="Tel 683"/>
    <s v="Cep 683"/>
    <s v="Rua 683"/>
    <s v="Comp 683"/>
    <x v="10"/>
    <s v="EP-9PIR-BWXH"/>
    <d v="2025-02-28T00:00:00"/>
    <n v="61.99"/>
    <n v="61.99"/>
    <n v="8.0587"/>
    <n v="53.93"/>
    <n v="16.34"/>
    <n v="0.23"/>
    <n v="0.39877104377104378"/>
    <n v="0"/>
    <n v="36.96122895622895"/>
    <n v="36.96122895622895"/>
    <d v="2025-03-07T00:00:00"/>
    <d v="2025-03-07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GO"/>
    <s v="GO45698"/>
    <s v="Pedido 946"/>
    <d v="2025-02-10T00:00:00"/>
    <d v="2025-02-10T00:00:00"/>
    <s v="PedidoF925"/>
    <s v="CódRastreio923"/>
    <n v="1"/>
    <s v="CPF 920"/>
    <s v="Nome 920"/>
    <s v="Tel 920"/>
    <s v="Cep 920"/>
    <s v="Rua 920"/>
    <s v="Comp 920"/>
    <x v="10"/>
    <s v="EP-9PIR-BWXH"/>
    <d v="2025-02-28T00:00:00"/>
    <n v="61.99"/>
    <n v="61.99"/>
    <n v="8.0587"/>
    <n v="53.93"/>
    <n v="16.34"/>
    <n v="0.23"/>
    <n v="0.39877104377104378"/>
    <n v="0"/>
    <n v="36.96122895622895"/>
    <n v="36.96122895622895"/>
    <d v="2025-03-07T00:00:00"/>
    <d v="2025-03-07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698"/>
    <s v="Pedido 947"/>
    <d v="2025-02-10T00:00:00"/>
    <d v="2025-02-10T00:00:00"/>
    <s v="PedidoF926"/>
    <s v="CódRastreio924"/>
    <n v="1"/>
    <s v="CPF 921"/>
    <s v="Nome 921"/>
    <s v="Tel 921"/>
    <s v="Cep 921"/>
    <s v="Rua 921"/>
    <s v="Comp 921"/>
    <x v="3"/>
    <s v="IF-G2ZQ-79FO"/>
    <d v="2025-03-01T00:00:00"/>
    <n v="55.99"/>
    <n v="55.99"/>
    <n v="7.2787000000000006"/>
    <n v="48.71"/>
    <n v="16.989999999999998"/>
    <n v="0.18"/>
    <n v="0.39877104377104378"/>
    <n v="0"/>
    <n v="31.141228956228957"/>
    <n v="15.570614478114479"/>
    <d v="2025-03-08T00:00:00"/>
    <d v="2025-03-08T00:00:00"/>
    <d v="2025-03-14T00:00:00"/>
    <d v="2025-03-17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698"/>
    <s v="Pedido 948"/>
    <d v="2025-02-10T00:00:00"/>
    <d v="2025-02-10T00:00:00"/>
    <s v="PedidoF927"/>
    <s v="CódRastreio925"/>
    <n v="1"/>
    <s v="CPF 922"/>
    <s v="Nome 922"/>
    <s v="Tel 922"/>
    <s v="Cep 922"/>
    <s v="Rua 922"/>
    <s v="Comp 922"/>
    <x v="3"/>
    <s v="IF-G2ZQ-79FO"/>
    <d v="2025-03-12T00:00:00"/>
    <n v="55.99"/>
    <n v="55.99"/>
    <n v="7.2787000000000006"/>
    <n v="48.71"/>
    <n v="16.989999999999998"/>
    <n v="0.18"/>
    <n v="0.39877104377104378"/>
    <n v="0"/>
    <n v="31.141228956228957"/>
    <n v="15.570614478114479"/>
    <d v="2025-03-19T00:00:00"/>
    <d v="2025-03-19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BV"/>
    <s v="BV45698"/>
    <s v="Pedido 949"/>
    <d v="2025-02-10T00:00:00"/>
    <d v="2025-02-10T00:00:00"/>
    <s v="PedidoF928"/>
    <s v="CódRastreio926"/>
    <n v="1"/>
    <s v="CPF 923"/>
    <s v="Nome 923"/>
    <s v="Tel 923"/>
    <s v="Cep 923"/>
    <s v="Rua 923"/>
    <s v="Comp 923"/>
    <x v="3"/>
    <s v="IF-G2ZQ-79FO"/>
    <d v="2025-03-01T00:00:00"/>
    <n v="55.99"/>
    <n v="55.99"/>
    <n v="7.2787000000000006"/>
    <n v="48.71"/>
    <n v="16.989999999999998"/>
    <n v="0.18"/>
    <n v="0.39877104377104378"/>
    <n v="0"/>
    <n v="31.141228956228957"/>
    <n v="15.570614478114479"/>
    <d v="2025-03-08T00:00:00"/>
    <d v="2025-03-08T00:00:00"/>
    <d v="2025-03-14T00:00:00"/>
    <d v="2025-03-17T00:00:00"/>
    <s v="2025 03"/>
    <s v="Aguardando Liberação"/>
    <s v="2025 02"/>
    <s v="ENTREGUE"/>
    <d v="2025-03-06T00:00:00"/>
    <s v="-"/>
    <m/>
    <n v="0"/>
    <n v="0"/>
    <n v="0"/>
    <n v="0"/>
    <n v="0"/>
  </r>
  <r>
    <s v="BV"/>
    <s v="BV45698"/>
    <s v="Pedido 950"/>
    <d v="2025-02-10T00:00:00"/>
    <d v="2025-02-10T00:00:00"/>
    <s v="PedidoF929"/>
    <s v="CódRastreio927"/>
    <n v="1"/>
    <s v="CPF 924"/>
    <s v="Nome 924"/>
    <s v="Tel 924"/>
    <s v="Cep 924"/>
    <s v="Rua 924"/>
    <s v="Comp 924"/>
    <x v="12"/>
    <s v="U8-2VWS-OB6M"/>
    <d v="2025-03-12T00:00:00"/>
    <n v="61.99"/>
    <n v="61.99"/>
    <n v="8.0587"/>
    <n v="53.93"/>
    <n v="16.64"/>
    <n v="0.18"/>
    <n v="0.39877104377104378"/>
    <n v="0"/>
    <n v="36.71122895622895"/>
    <n v="18.355614478114475"/>
    <d v="2025-03-19T00:00:00"/>
    <d v="2025-03-19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698"/>
    <s v="Pedido 951"/>
    <d v="2025-02-10T00:00:00"/>
    <d v="2025-02-10T00:00:00"/>
    <s v="PedidoF930"/>
    <s v="CódRastreio928"/>
    <n v="1"/>
    <s v="CPF 925"/>
    <s v="Nome 925"/>
    <s v="Tel 925"/>
    <s v="Cep 925"/>
    <s v="Rua 925"/>
    <s v="Comp 925"/>
    <x v="12"/>
    <s v="U8-2VWS-OB6M"/>
    <d v="2025-03-01T00:00:00"/>
    <n v="61.99"/>
    <n v="61.99"/>
    <n v="8.0587"/>
    <n v="53.93"/>
    <n v="16.64"/>
    <n v="0.18"/>
    <n v="0.39877104377104378"/>
    <n v="0"/>
    <n v="36.71122895622895"/>
    <n v="18.355614478114475"/>
    <d v="2025-03-08T00:00:00"/>
    <d v="2025-03-08T00:00:00"/>
    <d v="2025-03-14T00:00:00"/>
    <d v="2025-03-17T00:00:00"/>
    <s v="2025 03"/>
    <s v="Aguardando Liberação"/>
    <s v="2025 02"/>
    <s v="ENTREGUE"/>
    <d v="2025-02-21T00:00:00"/>
    <s v="-"/>
    <m/>
    <n v="0"/>
    <n v="0"/>
    <n v="0"/>
    <n v="0"/>
    <n v="0"/>
  </r>
  <r>
    <s v="BV"/>
    <s v="BV45698"/>
    <s v="Pedido 952"/>
    <d v="2025-02-10T00:00:00"/>
    <d v="2025-02-10T00:00:00"/>
    <s v="PedidoF931"/>
    <s v="CódRastreio929"/>
    <n v="1"/>
    <s v="CPF 925"/>
    <s v="Nome 925"/>
    <s v="Tel 925"/>
    <s v="Cep 925"/>
    <s v="Rua 925"/>
    <s v="Comp 925"/>
    <x v="12"/>
    <s v="U8-2VWS-OB6M"/>
    <d v="2025-03-01T00:00:00"/>
    <n v="61.99"/>
    <n v="61.99"/>
    <n v="8.0587"/>
    <n v="53.93"/>
    <n v="16.64"/>
    <n v="0.18"/>
    <n v="0.39877104377104378"/>
    <n v="0"/>
    <n v="36.71122895622895"/>
    <n v="18.355614478114475"/>
    <d v="2025-03-08T00:00:00"/>
    <d v="2025-03-08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GO"/>
    <s v="GO45698"/>
    <s v="Pedido 953"/>
    <d v="2025-02-10T00:00:00"/>
    <d v="2025-02-10T00:00:00"/>
    <s v="PedidoF932"/>
    <s v="CódRastreio930"/>
    <n v="1"/>
    <s v="CPF 927"/>
    <s v="Nome 927"/>
    <s v="Tel 927"/>
    <s v="Cep 927"/>
    <s v="Rua 927"/>
    <s v="Comp 927"/>
    <x v="10"/>
    <s v="EP-9PIR-BWXH"/>
    <d v="2025-03-12T00:00:00"/>
    <n v="61.99"/>
    <n v="61.99"/>
    <n v="8.0587"/>
    <n v="53.93"/>
    <n v="16.34"/>
    <n v="0.23"/>
    <n v="0.39877104377104378"/>
    <n v="0"/>
    <n v="36.96122895622895"/>
    <n v="36.96122895622895"/>
    <d v="2025-03-19T00:00:00"/>
    <d v="2025-03-19T00:00:00"/>
    <d v="2025-03-31T00:00:00"/>
    <d v="2025-04-02T00:00:00"/>
    <s v="2025 03"/>
    <s v="Aguardando Liberação"/>
    <s v="2025 02"/>
    <s v="ENTREGUE"/>
    <d v="2025-02-25T00:00:00"/>
    <s v="-"/>
    <m/>
    <n v="0"/>
    <n v="0"/>
    <n v="0"/>
    <n v="0"/>
    <n v="0"/>
  </r>
  <r>
    <s v="GO"/>
    <s v="GO45698"/>
    <s v="Pedido 954"/>
    <d v="2025-02-10T00:00:00"/>
    <d v="2025-02-10T00:00:00"/>
    <s v="PedidoF933"/>
    <s v="CódRastreio931"/>
    <n v="1"/>
    <s v="CPF 928"/>
    <s v="Nome 928"/>
    <s v="Tel 928"/>
    <s v="Cep 928"/>
    <s v="Rua 928"/>
    <s v="Comp 928"/>
    <x v="10"/>
    <s v="EP-9PIR-BWXH"/>
    <d v="2025-03-01T00:00:00"/>
    <n v="61.99"/>
    <n v="61.99"/>
    <n v="8.0587"/>
    <n v="53.93"/>
    <n v="16.34"/>
    <n v="0.23"/>
    <n v="0.39877104377104378"/>
    <n v="0"/>
    <n v="36.96122895622895"/>
    <n v="36.96122895622895"/>
    <d v="2025-03-08T00:00:00"/>
    <d v="2025-03-08T00:00:00"/>
    <d v="2025-03-14T00:00:00"/>
    <d v="2025-03-17T00:00:00"/>
    <s v="2025 03"/>
    <s v="Aguardando Liberação"/>
    <s v="2025 02"/>
    <s v="ENTREGUE"/>
    <d v="2025-03-07T00:00:00"/>
    <s v="-"/>
    <m/>
    <n v="0"/>
    <n v="0"/>
    <n v="0"/>
    <n v="0"/>
    <n v="0"/>
  </r>
  <r>
    <s v="GO"/>
    <s v="GO45698"/>
    <s v="Pedido 955"/>
    <d v="2025-02-10T00:00:00"/>
    <d v="2025-02-10T00:00:00"/>
    <s v="PedidoF934"/>
    <s v="CódRastreio932"/>
    <n v="1"/>
    <s v="CPF 929"/>
    <s v="Nome 929"/>
    <s v="Tel 929"/>
    <s v="Cep 929"/>
    <s v="Rua 929"/>
    <s v="Comp 929"/>
    <x v="10"/>
    <s v="EP-9PIR-BWXH"/>
    <d v="2025-03-19T00:00:00"/>
    <n v="61.99"/>
    <n v="61.99"/>
    <n v="8.0587"/>
    <n v="53.93"/>
    <n v="18.82"/>
    <n v="0.23"/>
    <n v="0.39877104377104378"/>
    <n v="0"/>
    <n v="34.481228956228954"/>
    <n v="34.481228956228954"/>
    <d v="2025-03-26T00:00:00"/>
    <d v="2025-03-26T00:00:00"/>
    <d v="2025-03-31T00:00:00"/>
    <d v="2025-04-02T00:00:00"/>
    <s v="2025 03"/>
    <s v="Aguardando Liberação"/>
    <s v="2025 02"/>
    <s v="ENTREGUE"/>
    <d v="2025-02-25T00:00:00"/>
    <s v="-"/>
    <m/>
    <n v="0"/>
    <n v="0"/>
    <n v="0"/>
    <n v="0"/>
    <n v="0"/>
  </r>
  <r>
    <s v="GO"/>
    <s v="GO45698"/>
    <s v="Pedido 956"/>
    <d v="2025-02-10T00:00:00"/>
    <d v="2025-02-10T00:00:00"/>
    <s v="PedidoF935"/>
    <s v="CódRastreio933"/>
    <n v="1"/>
    <s v="CPF 930"/>
    <s v="Nome 930"/>
    <s v="Tel 930"/>
    <s v="Cep 930"/>
    <s v="Rua 930"/>
    <s v="Comp 930"/>
    <x v="10"/>
    <s v="EP-9PIR-BWXH"/>
    <d v="2025-03-19T00:00:00"/>
    <n v="66.989999999999995"/>
    <n v="66.989999999999995"/>
    <n v="8.7087000000000003"/>
    <n v="58.28"/>
    <n v="18.82"/>
    <n v="0.23"/>
    <n v="0.39877104377104378"/>
    <n v="0"/>
    <n v="38.831228956228955"/>
    <n v="38.831228956228955"/>
    <d v="2025-03-26T00:00:00"/>
    <d v="2025-03-26T00:00:00"/>
    <d v="2025-03-31T00:00:00"/>
    <d v="2025-04-02T00:00:00"/>
    <s v="2025 03"/>
    <s v="Aguardando Liberação"/>
    <s v="2025 02"/>
    <s v="ENTREGUE"/>
    <d v="2025-03-10T00:00:00"/>
    <s v="-"/>
    <m/>
    <n v="0"/>
    <n v="0"/>
    <n v="0"/>
    <n v="0"/>
    <n v="0"/>
  </r>
  <r>
    <s v="BV"/>
    <s v="BV45699"/>
    <s v="Pedido 957"/>
    <d v="2025-02-11T00:00:00"/>
    <d v="2025-02-11T00:00:00"/>
    <s v="PedidoF936"/>
    <s v="CódRastreio934"/>
    <n v="1"/>
    <s v="CPF 931"/>
    <s v="Nome 931"/>
    <s v="Tel 931"/>
    <s v="Cep 931"/>
    <s v="Rua 931"/>
    <s v="Comp 931"/>
    <x v="3"/>
    <s v="IF-G2ZQ-79FO"/>
    <d v="2025-03-07T00:00:00"/>
    <n v="55.99"/>
    <n v="55.99"/>
    <n v="7.2787000000000006"/>
    <n v="48.71"/>
    <n v="16.97"/>
    <n v="0.2"/>
    <n v="0.39877104377104378"/>
    <n v="0"/>
    <n v="31.141228956228957"/>
    <n v="15.570614478114479"/>
    <d v="2025-03-14T00:00:00"/>
    <d v="2025-03-14T00:00:00"/>
    <d v="2025-03-14T00:00:00"/>
    <d v="2025-03-17T00:00:00"/>
    <s v="2025 03"/>
    <s v="Aguardando Liberação"/>
    <s v="2025 02"/>
    <s v="ENTREGUE"/>
    <d v="2025-03-04T00:00:00"/>
    <s v="-"/>
    <m/>
    <n v="0"/>
    <n v="0"/>
    <n v="0"/>
    <n v="0"/>
    <n v="0"/>
  </r>
  <r>
    <s v="MEI"/>
    <s v="MEI45699"/>
    <s v="Pedido 958"/>
    <d v="2025-02-11T00:00:00"/>
    <d v="2025-02-11T00:00:00"/>
    <s v="PedidoF937"/>
    <s v="CódRastreio935"/>
    <n v="1"/>
    <s v="CPF 932"/>
    <s v="Nome 932"/>
    <s v="Tel 932"/>
    <s v="Cep 932"/>
    <s v="Rua 932"/>
    <s v="Comp 932"/>
    <x v="10"/>
    <s v="WU-SS4J-LFOH"/>
    <d v="2025-03-07T00:00:00"/>
    <n v="61.99"/>
    <n v="61.99"/>
    <n v="8.0587"/>
    <n v="53.93"/>
    <n v="16.829999999999998"/>
    <n v="0.3"/>
    <n v="0.39877104377104378"/>
    <n v="0"/>
    <n v="36.401228956228955"/>
    <n v="18.200614478114478"/>
    <d v="2025-03-14T00:00:00"/>
    <d v="2025-03-14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699"/>
    <s v="Pedido 959"/>
    <d v="2025-02-11T00:00:00"/>
    <d v="2025-02-11T00:00:00"/>
    <s v="PedidoF938"/>
    <s v="CódRastreio936"/>
    <n v="1"/>
    <s v="CPF 933"/>
    <s v="Nome 933"/>
    <s v="Tel 933"/>
    <s v="Cep 933"/>
    <s v="Rua 933"/>
    <s v="Comp 933"/>
    <x v="10"/>
    <s v="WU-SS4J-LFOH"/>
    <d v="2025-03-07T00:00:00"/>
    <n v="61.99"/>
    <n v="61.99"/>
    <n v="8.0587"/>
    <n v="53.93"/>
    <n v="16.829999999999998"/>
    <n v="0.3"/>
    <n v="0.39877104377104378"/>
    <n v="0"/>
    <n v="36.401228956228955"/>
    <n v="18.200614478114478"/>
    <d v="2025-03-14T00:00:00"/>
    <d v="2025-03-14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699"/>
    <s v="Pedido 960"/>
    <d v="2025-02-11T00:00:00"/>
    <d v="2025-02-11T00:00:00"/>
    <s v="PedidoF939"/>
    <s v="CódRastreio937"/>
    <n v="1"/>
    <s v="CPF 934"/>
    <s v="Nome 934"/>
    <s v="Tel 934"/>
    <s v="Cep 934"/>
    <s v="Rua 934"/>
    <s v="Comp 934"/>
    <x v="1"/>
    <s v="A4-5W51-K3HF"/>
    <d v="2025-02-26T00:00:00"/>
    <n v="30.99"/>
    <n v="30.99"/>
    <n v="4.3386000000000005"/>
    <n v="26.65"/>
    <n v="14.99"/>
    <n v="0.3"/>
    <n v="0.39877104377104378"/>
    <n v="0"/>
    <n v="10.961228956228954"/>
    <n v="5.480614478114477"/>
    <d v="2025-03-05T00:00:00"/>
    <d v="2025-03-05T00:00:00"/>
    <d v="2025-03-14T00:00:00"/>
    <d v="2025-03-17T00:00:00"/>
    <s v="2025 03"/>
    <s v="Aguardando Liberação"/>
    <s v="2025 02"/>
    <s v="ENTREGUE"/>
    <d v="2025-02-14T00:00:00"/>
    <s v="-"/>
    <m/>
    <n v="0"/>
    <n v="0"/>
    <n v="0"/>
    <n v="0"/>
    <n v="0"/>
  </r>
  <r>
    <s v="MEI"/>
    <s v="MEI45699"/>
    <s v="Pedido 961"/>
    <d v="2025-02-11T00:00:00"/>
    <d v="2025-02-11T00:00:00"/>
    <s v="PedidoF940"/>
    <s v="CódRastreio938"/>
    <n v="1"/>
    <s v="CPF 935"/>
    <s v="Nome 935"/>
    <s v="Tel 935"/>
    <s v="Cep 935"/>
    <s v="Rua 935"/>
    <s v="Comp 935"/>
    <x v="1"/>
    <s v="A4-5W51-K3HF"/>
    <d v="2025-02-28T00:00:00"/>
    <n v="30.99"/>
    <n v="30.99"/>
    <n v="4.3386000000000005"/>
    <n v="26.65"/>
    <n v="14.99"/>
    <n v="0.3"/>
    <n v="0.39877104377104378"/>
    <n v="0"/>
    <n v="10.961228956228954"/>
    <n v="5.480614478114477"/>
    <d v="2025-03-07T00:00:00"/>
    <d v="2025-03-07T00:00:00"/>
    <d v="2025-03-14T00:00:00"/>
    <d v="2025-03-17T00:00:00"/>
    <s v="2025 03"/>
    <s v="Aguardando Liberação"/>
    <s v="2025 02"/>
    <s v="ENTREGUE"/>
    <d v="2025-02-15T00:00:00"/>
    <s v="-"/>
    <m/>
    <n v="0"/>
    <n v="0"/>
    <n v="0"/>
    <n v="0"/>
    <n v="0"/>
  </r>
  <r>
    <s v="MEI"/>
    <s v="MEI45699"/>
    <s v="Pedido 962"/>
    <d v="2025-02-11T00:00:00"/>
    <d v="2025-02-11T00:00:00"/>
    <s v="PedidoF941"/>
    <s v="CódRastreio939"/>
    <n v="1"/>
    <s v="CPF 936"/>
    <s v="Nome 936"/>
    <s v="Tel 936"/>
    <s v="Cep 936"/>
    <s v="Rua 936"/>
    <s v="Comp 936"/>
    <x v="1"/>
    <s v="A4-5W51-K3HF"/>
    <d v="2025-02-26T00:00:00"/>
    <n v="30.99"/>
    <n v="30.99"/>
    <n v="4.3386000000000005"/>
    <n v="26.65"/>
    <n v="0"/>
    <n v="0.3"/>
    <n v="0.39877104377104378"/>
    <n v="0"/>
    <n v="25.951228956228956"/>
    <n v="12.975614478114478"/>
    <d v="2025-03-05T00:00:00"/>
    <d v="2025-03-05T00:00:00"/>
    <d v="2025-03-14T00:00:00"/>
    <d v="2025-03-17T00:00:00"/>
    <s v="2025 03"/>
    <s v="Aguardando Liberação"/>
    <s v="2025 02"/>
    <s v="ENTREGUE"/>
    <d v="2025-02-14T00:00:00"/>
    <s v="-"/>
    <m/>
    <n v="0"/>
    <n v="0"/>
    <n v="0"/>
    <n v="0"/>
    <n v="0"/>
  </r>
  <r>
    <s v="MEI"/>
    <s v="MEI45699"/>
    <s v="Pedido 963"/>
    <d v="2025-02-11T00:00:00"/>
    <d v="2025-02-11T00:00:00"/>
    <s v="PedidoF942"/>
    <s v="CódRastreio940"/>
    <n v="1"/>
    <s v="CPF 937"/>
    <s v="Nome 937"/>
    <s v="Tel 937"/>
    <s v="Cep 937"/>
    <s v="Rua 937"/>
    <s v="Comp 937"/>
    <x v="10"/>
    <s v="WU-SS4J-LFOH"/>
    <d v="2025-03-13T00:00:00"/>
    <n v="61.99"/>
    <n v="61.99"/>
    <n v="8.0587"/>
    <n v="53.93"/>
    <n v="16.829999999999998"/>
    <n v="0.3"/>
    <n v="0.39877104377104378"/>
    <n v="0"/>
    <n v="36.401228956228955"/>
    <n v="18.200614478114478"/>
    <d v="2025-03-20T00:00:00"/>
    <d v="2025-03-20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MEI"/>
    <s v="MEI45699"/>
    <s v="Pedido 964"/>
    <d v="2025-02-11T00:00:00"/>
    <d v="2025-02-11T00:00:00"/>
    <s v="PedidoF943"/>
    <s v="CódRastreio941"/>
    <n v="1"/>
    <s v="CPF 938"/>
    <s v="Nome 938"/>
    <s v="Tel 938"/>
    <s v="Cep 938"/>
    <s v="Rua 938"/>
    <s v="Comp 938"/>
    <x v="10"/>
    <s v="WU-SS4J-LFOH"/>
    <d v="2025-03-07T00:00:00"/>
    <n v="61.99"/>
    <n v="61.99"/>
    <n v="8.0587"/>
    <n v="53.93"/>
    <n v="16.829999999999998"/>
    <n v="0.3"/>
    <n v="0.39877104377104378"/>
    <n v="0"/>
    <n v="36.401228956228955"/>
    <n v="18.200614478114478"/>
    <d v="2025-03-14T00:00:00"/>
    <d v="2025-03-14T00:00:00"/>
    <d v="2025-03-14T00:00:00"/>
    <d v="2025-03-17T00:00:00"/>
    <s v="2025 03"/>
    <s v="Aguardando Liberação"/>
    <s v="2025 02"/>
    <s v="ENTREGUE"/>
    <d v="2025-02-25T00:00:00"/>
    <s v="-"/>
    <m/>
    <n v="0"/>
    <n v="0"/>
    <n v="0"/>
    <n v="0"/>
    <n v="0"/>
  </r>
  <r>
    <s v="MEI"/>
    <s v="MEI45699"/>
    <s v="Pedido 965"/>
    <d v="2025-02-11T00:00:00"/>
    <d v="2025-02-11T00:00:00"/>
    <s v="PedidoF944"/>
    <s v="CódRastreio942"/>
    <n v="1"/>
    <s v="CPF 939"/>
    <s v="Nome 939"/>
    <s v="Tel 939"/>
    <s v="Cep 939"/>
    <s v="Rua 939"/>
    <s v="Comp 939"/>
    <x v="1"/>
    <s v="A4-5W51-K3HF"/>
    <d v="2025-03-07T00:00:00"/>
    <n v="30.99"/>
    <n v="30.99"/>
    <n v="4.3386000000000005"/>
    <n v="26.65"/>
    <n v="14.99"/>
    <n v="0.3"/>
    <n v="0.39877104377104378"/>
    <n v="0"/>
    <n v="10.961228956228954"/>
    <n v="5.480614478114477"/>
    <d v="2025-03-14T00:00:00"/>
    <d v="2025-03-14T00:00:00"/>
    <d v="2025-03-14T00:00:00"/>
    <d v="2025-03-17T00:00:00"/>
    <s v="2025 03"/>
    <s v="Aguardando Liberação"/>
    <s v="2025 02"/>
    <s v="ENTREGUE"/>
    <d v="2025-02-15T00:00:00"/>
    <s v="-"/>
    <m/>
    <n v="0"/>
    <n v="0"/>
    <n v="0"/>
    <n v="0"/>
    <n v="0"/>
  </r>
  <r>
    <s v="MEI"/>
    <s v="MEI45700"/>
    <s v="Pedido 966"/>
    <d v="2025-02-11T00:00:00"/>
    <d v="2025-02-12T00:00:00"/>
    <s v="PedidoF945"/>
    <s v="CódRastreio943"/>
    <n v="1"/>
    <s v="CPF 940"/>
    <s v="Nome 940"/>
    <s v="Tel 940"/>
    <s v="Cep 940"/>
    <s v="Rua 940"/>
    <s v="Comp 940"/>
    <x v="10"/>
    <s v="WU-SS4J-LFOH"/>
    <d v="2025-03-07T00:00:00"/>
    <n v="61.99"/>
    <n v="61.99"/>
    <n v="8.0587"/>
    <n v="53.93"/>
    <n v="16.64"/>
    <n v="0.26"/>
    <n v="0.39877104377104378"/>
    <n v="0"/>
    <n v="36.631228956228952"/>
    <n v="18.315614478114476"/>
    <d v="2025-03-14T00:00:00"/>
    <d v="2025-03-14T00:00:00"/>
    <d v="2025-03-14T00:00:00"/>
    <d v="2025-03-17T00:00:00"/>
    <s v="2025 03"/>
    <s v="Aguardando Liberação"/>
    <s v="2025 02"/>
    <s v="ENTREGUE"/>
    <d v="2025-02-23T00:00:00"/>
    <s v="-"/>
    <m/>
    <n v="0"/>
    <n v="0"/>
    <n v="0"/>
    <n v="0"/>
    <n v="0"/>
  </r>
  <r>
    <s v="GO"/>
    <s v="GO45700"/>
    <s v="Pedido 967"/>
    <d v="2025-02-11T00:00:00"/>
    <d v="2025-02-12T00:00:00"/>
    <s v="PedidoF946"/>
    <s v="CódRastreio944"/>
    <n v="1"/>
    <s v="CPF 941"/>
    <s v="Nome 941"/>
    <s v="Tel 941"/>
    <s v="Cep 941"/>
    <s v="Rua 941"/>
    <s v="Comp 941"/>
    <x v="10"/>
    <s v="EP-9PIR-BWXH"/>
    <d v="2025-03-07T00:00:00"/>
    <n v="66.989999999999995"/>
    <n v="66.989999999999995"/>
    <n v="8.7087000000000003"/>
    <n v="58.28"/>
    <n v="16.64"/>
    <n v="0.2"/>
    <n v="0.39877104377104378"/>
    <n v="0"/>
    <n v="41.041228956228956"/>
    <n v="41.041228956228956"/>
    <d v="2025-03-14T00:00:00"/>
    <d v="2025-03-14T00:00:00"/>
    <d v="2025-03-14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GO"/>
    <s v="GO45699"/>
    <s v="Pedido 968"/>
    <d v="2025-02-11T00:00:00"/>
    <d v="2025-02-11T00:00:00"/>
    <s v="PedidoF947"/>
    <s v="CódRastreio945"/>
    <n v="1"/>
    <s v="CPF 942"/>
    <s v="Nome 942"/>
    <s v="Tel 942"/>
    <s v="Cep 942"/>
    <s v="Rua 942"/>
    <s v="Comp 942"/>
    <x v="10"/>
    <s v="EP-9PIR-BWXH"/>
    <d v="2025-03-13T00:00:00"/>
    <n v="66.989999999999995"/>
    <n v="66.989999999999995"/>
    <n v="8.7087000000000003"/>
    <n v="58.28"/>
    <n v="16.829999999999998"/>
    <n v="0.6"/>
    <n v="0.39877104377104378"/>
    <n v="0"/>
    <n v="40.45122895622896"/>
    <n v="40.45122895622896"/>
    <d v="2025-03-20T00:00:00"/>
    <d v="2025-03-20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0"/>
    <s v="Pedido 969"/>
    <d v="2025-02-12T00:00:00"/>
    <d v="2025-02-12T00:00:00"/>
    <s v="PedidoF948"/>
    <s v="CódRastreio946"/>
    <n v="1"/>
    <s v="CPF 943"/>
    <s v="Nome 943"/>
    <s v="Tel 943"/>
    <s v="Cep 943"/>
    <s v="Rua 943"/>
    <s v="Comp 943"/>
    <x v="3"/>
    <s v="IF-G2ZQ-79FO"/>
    <d v="2025-03-14T00:00:00"/>
    <n v="55.99"/>
    <n v="55.99"/>
    <n v="7.2787000000000006"/>
    <n v="48.71"/>
    <n v="16.86"/>
    <n v="0.26"/>
    <n v="0.39877104377104378"/>
    <n v="0"/>
    <n v="31.191228956228954"/>
    <n v="15.595614478114477"/>
    <d v="2025-03-21T00:00:00"/>
    <d v="2025-03-21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0"/>
    <s v="Pedido 970"/>
    <d v="2025-02-12T00:00:00"/>
    <d v="2025-02-12T00:00:00"/>
    <s v="PedidoF949"/>
    <s v="CódRastreio947"/>
    <n v="1"/>
    <s v="CPF 944"/>
    <s v="Nome 944"/>
    <s v="Tel 944"/>
    <s v="Cep 944"/>
    <s v="Rua 944"/>
    <s v="Comp 944"/>
    <x v="3"/>
    <s v="IF-G2ZQ-79FO"/>
    <d v="2025-03-08T00:00:00"/>
    <n v="55.99"/>
    <n v="55.99"/>
    <n v="7.2787000000000006"/>
    <n v="48.71"/>
    <n v="16.86"/>
    <n v="0.26"/>
    <n v="0.39877104377104378"/>
    <n v="0"/>
    <n v="31.191228956228954"/>
    <n v="15.595614478114477"/>
    <d v="2025-03-15T00:00:00"/>
    <d v="2025-03-15T00:00:00"/>
    <d v="2025-03-15T00:00:00"/>
    <d v="2025-03-17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700"/>
    <s v="Pedido 971"/>
    <d v="2025-02-12T00:00:00"/>
    <d v="2025-02-12T00:00:00"/>
    <s v="PedidoF950"/>
    <s v="CódRastreio948"/>
    <n v="1"/>
    <s v="CPF 945"/>
    <s v="Nome 945"/>
    <s v="Tel 945"/>
    <s v="Cep 945"/>
    <s v="Rua 945"/>
    <s v="Comp 945"/>
    <x v="12"/>
    <s v="U8-2VWS-OB6M"/>
    <d v="2025-03-14T00:00:00"/>
    <n v="61.99"/>
    <n v="61.99"/>
    <n v="8.0587"/>
    <n v="53.93"/>
    <n v="17.649999999999999"/>
    <n v="0.26"/>
    <n v="0.39877104377104378"/>
    <n v="0"/>
    <n v="35.621228956228954"/>
    <n v="17.810614478114477"/>
    <d v="2025-03-21T00:00:00"/>
    <d v="2025-03-21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0"/>
    <s v="Pedido 972"/>
    <d v="2025-02-12T00:00:00"/>
    <d v="2025-02-12T00:00:00"/>
    <s v="PedidoF951"/>
    <s v="CódRastreio949"/>
    <n v="1"/>
    <s v="CPF 946"/>
    <s v="Nome 946"/>
    <s v="Tel 946"/>
    <s v="Cep 946"/>
    <s v="Rua 946"/>
    <s v="Comp 946"/>
    <x v="11"/>
    <s v="BP-NHG2-B8C1"/>
    <d v="2025-03-08T00:00:00"/>
    <n v="74.989999999999995"/>
    <n v="74.989999999999995"/>
    <n v="9.7486999999999995"/>
    <n v="65.239999999999995"/>
    <n v="45"/>
    <n v="0.26"/>
    <n v="0.39877104377104378"/>
    <n v="0"/>
    <n v="19.581228956228955"/>
    <n v="9.7906144781144775"/>
    <d v="2025-03-15T00:00:00"/>
    <d v="2025-03-15T00:00:00"/>
    <d v="2025-03-15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0"/>
    <s v="Pedido 973"/>
    <d v="2025-02-12T00:00:00"/>
    <d v="2025-02-12T00:00:00"/>
    <s v="PedidoF952"/>
    <s v="CódRastreio950"/>
    <n v="1"/>
    <s v="CPF 947"/>
    <s v="Nome 947"/>
    <s v="Tel 947"/>
    <s v="Cep 947"/>
    <s v="Rua 947"/>
    <s v="Comp 947"/>
    <x v="12"/>
    <s v="U8-2VWS-OB6M"/>
    <d v="2025-03-08T00:00:00"/>
    <n v="61.99"/>
    <n v="61.99"/>
    <n v="8.0587"/>
    <n v="53.93"/>
    <n v="17.649999999999999"/>
    <n v="0.26"/>
    <n v="0.39877104377104378"/>
    <n v="0"/>
    <n v="35.621228956228954"/>
    <n v="17.810614478114477"/>
    <d v="2025-03-15T00:00:00"/>
    <d v="2025-03-15T00:00:00"/>
    <d v="2025-03-15T00:00:00"/>
    <d v="2025-03-17T00:00:00"/>
    <s v="2025 03"/>
    <s v="Aguardando Liberação"/>
    <s v="2025 02"/>
    <s v="ENTREGUE"/>
    <d v="2025-02-25T00:00:00"/>
    <s v="-"/>
    <m/>
    <n v="0"/>
    <n v="0"/>
    <n v="0"/>
    <n v="0"/>
    <n v="0"/>
  </r>
  <r>
    <s v="MEI"/>
    <s v="MEI45700"/>
    <s v="Pedido 974"/>
    <d v="2025-02-12T00:00:00"/>
    <d v="2025-02-12T00:00:00"/>
    <s v="PedidoF953"/>
    <s v="CódRastreio951"/>
    <n v="1"/>
    <s v="CPF 948"/>
    <s v="Nome 948"/>
    <s v="Tel 948"/>
    <s v="Cep 948"/>
    <s v="Rua 948"/>
    <s v="Comp 948"/>
    <x v="10"/>
    <s v="WU-SS4J-LFOH"/>
    <d v="2025-03-08T00:00:00"/>
    <n v="61.99"/>
    <n v="61.99"/>
    <n v="8.0587"/>
    <n v="53.93"/>
    <n v="16.64"/>
    <n v="0.26"/>
    <n v="0.39877104377104378"/>
    <n v="0"/>
    <n v="36.631228956228952"/>
    <n v="18.315614478114476"/>
    <d v="2025-03-15T00:00:00"/>
    <d v="2025-03-15T00:00:00"/>
    <d v="2025-03-15T00:00:00"/>
    <d v="2025-03-17T00:00:00"/>
    <s v="2025 03"/>
    <s v="Aguardando Liberação"/>
    <s v="2025 02"/>
    <s v="ENTREGUE"/>
    <d v="2025-02-22T00:00:00"/>
    <s v="-"/>
    <m/>
    <n v="0"/>
    <n v="0"/>
    <n v="0"/>
    <n v="0"/>
    <n v="0"/>
  </r>
  <r>
    <s v="MEI"/>
    <s v="MEI45701"/>
    <s v="Pedido 975"/>
    <d v="2025-02-12T00:00:00"/>
    <d v="2025-02-13T00:00:00"/>
    <s v="PedidoF954"/>
    <s v="CódRastreio952"/>
    <n v="1"/>
    <s v="CPF 949"/>
    <s v="Nome 949"/>
    <s v="Tel 949"/>
    <s v="Cep 949"/>
    <s v="Rua 949"/>
    <s v="Comp 949"/>
    <x v="1"/>
    <s v="A4-5W51-K3HF"/>
    <d v="2025-03-14T00:00:00"/>
    <n v="30.99"/>
    <n v="30.99"/>
    <n v="4.3386000000000005"/>
    <n v="26.65"/>
    <n v="14.99"/>
    <n v="0.15"/>
    <n v="0.39877104377104378"/>
    <n v="0"/>
    <n v="11.111228956228954"/>
    <n v="5.5556144781144772"/>
    <d v="2025-03-21T00:00:00"/>
    <d v="2025-03-21T00:00:00"/>
    <d v="2025-03-31T00:00:00"/>
    <d v="2025-04-02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701"/>
    <s v="Pedido 976"/>
    <d v="2025-02-13T00:00:00"/>
    <d v="2025-02-13T00:00:00"/>
    <s v="PedidoF955"/>
    <s v="CódRastreio953"/>
    <n v="1"/>
    <s v="CPF 950"/>
    <s v="Nome 950"/>
    <s v="Tel 950"/>
    <s v="Cep 950"/>
    <s v="Rua 950"/>
    <s v="Comp 950"/>
    <x v="12"/>
    <s v="U8-2VWS-OB6M"/>
    <d v="2025-03-15T00:00:00"/>
    <n v="61.99"/>
    <n v="61.99"/>
    <n v="8.0587"/>
    <n v="53.93"/>
    <n v="13.69"/>
    <n v="0.25"/>
    <n v="0.39877104377104378"/>
    <n v="0"/>
    <n v="39.59122895622896"/>
    <n v="19.79561447811448"/>
    <d v="2025-03-22T00:00:00"/>
    <d v="2025-03-22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BV"/>
    <s v="BV45701"/>
    <s v="Pedido 977"/>
    <d v="2025-02-13T00:00:00"/>
    <d v="2025-02-13T00:00:00"/>
    <s v="PedidoF956"/>
    <s v="CódRastreio954"/>
    <n v="1"/>
    <s v="CPF 951"/>
    <s v="Nome 951"/>
    <s v="Tel 951"/>
    <s v="Cep 951"/>
    <s v="Rua 951"/>
    <s v="Comp 951"/>
    <x v="3"/>
    <s v="IF-G2ZQ-79FO"/>
    <d v="2025-03-11T00:00:00"/>
    <n v="55.99"/>
    <n v="55.99"/>
    <n v="7.2787000000000006"/>
    <n v="48.71"/>
    <n v="13.69"/>
    <n v="0.25"/>
    <n v="0.39877104377104378"/>
    <n v="0"/>
    <n v="34.371228956228961"/>
    <n v="17.185614478114481"/>
    <d v="2025-03-18T00:00:00"/>
    <d v="2025-03-18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BV"/>
    <s v="BV45701"/>
    <s v="Pedido 978"/>
    <d v="2025-02-13T00:00:00"/>
    <d v="2025-02-13T00:00:00"/>
    <s v="PedidoF957"/>
    <s v="CódRastreio955"/>
    <n v="1"/>
    <s v="CPF 952"/>
    <s v="Nome 952"/>
    <s v="Tel 952"/>
    <s v="Cep 952"/>
    <s v="Rua 952"/>
    <s v="Comp 952"/>
    <x v="12"/>
    <s v="U8-2VWS-OB6M"/>
    <d v="2025-03-11T00:00:00"/>
    <n v="61.99"/>
    <n v="61.99"/>
    <n v="8.0587"/>
    <n v="53.93"/>
    <n v="13.69"/>
    <n v="0.25"/>
    <n v="0.39877104377104378"/>
    <n v="0"/>
    <n v="39.59122895622896"/>
    <n v="19.79561447811448"/>
    <d v="2025-03-18T00:00:00"/>
    <d v="2025-03-18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BV"/>
    <s v="BV45701"/>
    <s v="Pedido 979"/>
    <d v="2025-02-13T00:00:00"/>
    <d v="2025-02-13T00:00:00"/>
    <s v="PedidoF958"/>
    <s v="CódRastreio956"/>
    <n v="1"/>
    <s v="CPF 953"/>
    <s v="Nome 953"/>
    <s v="Tel 953"/>
    <s v="Cep 953"/>
    <s v="Rua 953"/>
    <s v="Comp 953"/>
    <x v="3"/>
    <s v="IF-G2ZQ-79FO"/>
    <d v="2025-03-11T00:00:00"/>
    <n v="55.99"/>
    <n v="55.99"/>
    <n v="7.2787000000000006"/>
    <n v="48.71"/>
    <n v="13.69"/>
    <n v="0.25"/>
    <n v="0.39877104377104378"/>
    <n v="0"/>
    <n v="34.371228956228961"/>
    <n v="17.185614478114481"/>
    <d v="2025-03-18T00:00:00"/>
    <d v="2025-03-18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701"/>
    <s v="Pedido 980"/>
    <d v="2025-02-13T00:00:00"/>
    <d v="2025-02-13T00:00:00"/>
    <s v="PedidoF959"/>
    <s v="CódRastreio957"/>
    <n v="1"/>
    <s v="CPF 954"/>
    <s v="Nome 954"/>
    <s v="Tel 954"/>
    <s v="Cep 954"/>
    <s v="Rua 954"/>
    <s v="Comp 954"/>
    <x v="1"/>
    <s v="A4-5W51-K3HF"/>
    <d v="2025-03-08T00:00:00"/>
    <n v="30.99"/>
    <n v="30.99"/>
    <n v="4.3386000000000005"/>
    <n v="26.65"/>
    <n v="14.99"/>
    <n v="0.15"/>
    <n v="0.39877104377104378"/>
    <n v="0"/>
    <n v="11.111228956228954"/>
    <n v="5.5556144781144772"/>
    <d v="2025-03-15T00:00:00"/>
    <d v="2025-03-15T00:00:00"/>
    <d v="2025-03-15T00:00:00"/>
    <d v="2025-03-17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701"/>
    <s v="Pedido 981"/>
    <d v="2025-02-13T00:00:00"/>
    <d v="2025-02-13T00:00:00"/>
    <s v="PedidoF960"/>
    <s v="CódRastreio958"/>
    <n v="1"/>
    <s v="CPF 955"/>
    <s v="Nome 955"/>
    <s v="Tel 955"/>
    <s v="Cep 955"/>
    <s v="Rua 955"/>
    <s v="Comp 955"/>
    <x v="1"/>
    <s v="A4-5W51-K3HF"/>
    <d v="2025-03-15T00:00:00"/>
    <n v="30.99"/>
    <n v="30.99"/>
    <n v="4.3386000000000005"/>
    <n v="26.65"/>
    <n v="0"/>
    <n v="0.15"/>
    <n v="0.39877104377104378"/>
    <n v="0"/>
    <n v="26.101228956228955"/>
    <n v="13.050614478114477"/>
    <d v="2025-03-22T00:00:00"/>
    <d v="2025-03-22T00:00:00"/>
    <d v="2025-03-31T00:00:00"/>
    <d v="2025-04-02T00:00:00"/>
    <s v="2025 03"/>
    <s v="Aguardando Liberação"/>
    <s v="2025 02"/>
    <s v="ENTREGUE"/>
    <d v="2025-03-21T00:00:00"/>
    <s v="-"/>
    <m/>
    <n v="0"/>
    <n v="0"/>
    <n v="0"/>
    <n v="0"/>
    <n v="0"/>
  </r>
  <r>
    <s v="MEI"/>
    <s v="MEI45701"/>
    <s v="Pedido 982"/>
    <d v="2025-02-13T00:00:00"/>
    <d v="2025-02-13T00:00:00"/>
    <s v="PedidoF961"/>
    <s v="CódRastreio959"/>
    <n v="1"/>
    <s v="CPF 956"/>
    <s v="Nome 956"/>
    <s v="Tel 956"/>
    <s v="Cep 956"/>
    <s v="Rua 956"/>
    <s v="Comp 956"/>
    <x v="1"/>
    <s v="A4-5W51-K3HF"/>
    <d v="2025-03-11T00:00:00"/>
    <n v="30.99"/>
    <n v="30.99"/>
    <n v="4.3386000000000005"/>
    <n v="26.65"/>
    <n v="14.99"/>
    <n v="0.15"/>
    <n v="0.39877104377104378"/>
    <n v="0"/>
    <n v="11.111228956228954"/>
    <n v="5.5556144781144772"/>
    <d v="2025-03-18T00:00:00"/>
    <d v="2025-03-18T00:00:00"/>
    <d v="2025-03-31T00:00:00"/>
    <d v="2025-04-02T00:00:00"/>
    <s v="2025 03"/>
    <s v="Aguardando Liberação"/>
    <s v="2025 02"/>
    <s v="ENTREGUE"/>
    <d v="2025-02-20T00:00:00"/>
    <s v="-"/>
    <m/>
    <n v="0"/>
    <n v="0"/>
    <n v="0"/>
    <n v="0"/>
    <n v="0"/>
  </r>
  <r>
    <s v="BV"/>
    <s v="BV45702"/>
    <s v="Pedido 983"/>
    <d v="2025-02-14T00:00:00"/>
    <d v="2025-02-14T00:00:00"/>
    <s v="PedidoF962"/>
    <s v="CódRastreio960"/>
    <n v="1"/>
    <s v="CPF 957"/>
    <s v="Nome 957"/>
    <s v="Tel 957"/>
    <s v="Cep 957"/>
    <s v="Rua 957"/>
    <s v="Comp 957"/>
    <x v="13"/>
    <s v="YA-AG3H-SPUK"/>
    <d v="2025-03-12T00:00:00"/>
    <n v="19.989999999999998"/>
    <n v="19.989999999999998"/>
    <n v="2.3987999999999996"/>
    <n v="17.59"/>
    <n v="6.99"/>
    <n v="0.2"/>
    <n v="0.39877104377104378"/>
    <n v="0"/>
    <n v="10.001228956228957"/>
    <n v="5.0006144781144783"/>
    <d v="2025-03-19T00:00:00"/>
    <d v="2025-03-19T00:00:00"/>
    <d v="2025-03-31T00:00:00"/>
    <d v="2025-04-02T00:00:00"/>
    <s v="2025 03"/>
    <s v="Aguardando Liberação"/>
    <s v="2025 02"/>
    <s v="ENTREGUE"/>
    <d v="2025-02-21T00:00:00"/>
    <s v="-"/>
    <m/>
    <n v="0"/>
    <n v="0"/>
    <n v="0"/>
    <n v="0"/>
    <n v="0"/>
  </r>
  <r>
    <s v="BV"/>
    <s v="BV45702"/>
    <s v="Pedido 984"/>
    <d v="2025-02-14T00:00:00"/>
    <d v="2025-02-14T00:00:00"/>
    <s v="PedidoF963"/>
    <s v="CódRastreio961"/>
    <n v="1"/>
    <s v="CPF 958"/>
    <s v="Nome 958"/>
    <s v="Tel 958"/>
    <s v="Cep 958"/>
    <s v="Rua 958"/>
    <s v="Comp 958"/>
    <x v="11"/>
    <s v="BP-NHG2-B8C1"/>
    <d v="2025-03-12T00:00:00"/>
    <n v="74.989999999999995"/>
    <n v="74.989999999999995"/>
    <n v="9.7486999999999995"/>
    <n v="65.239999999999995"/>
    <n v="45.11"/>
    <n v="0.2"/>
    <n v="0.39877104377104378"/>
    <n v="0"/>
    <n v="19.531228956228951"/>
    <n v="9.7656144781144754"/>
    <d v="2025-03-19T00:00:00"/>
    <d v="2025-03-19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MEI"/>
    <s v="MEI45702"/>
    <s v="Pedido 985"/>
    <d v="2025-02-14T00:00:00"/>
    <d v="2025-02-14T00:00:00"/>
    <s v="PedidoF964"/>
    <s v="CódRastreio962"/>
    <n v="1"/>
    <s v="CPF 959"/>
    <s v="Nome 959"/>
    <s v="Tel 959"/>
    <s v="Cep 959"/>
    <s v="Rua 959"/>
    <s v="Comp 959"/>
    <x v="10"/>
    <s v="WU-SS4J-LFOH"/>
    <d v="2025-03-22T00:00:00"/>
    <n v="61.99"/>
    <n v="61.99"/>
    <n v="8.0587"/>
    <n v="53.93"/>
    <n v="35.83"/>
    <n v="0.2"/>
    <n v="0.39877104377104378"/>
    <n v="0"/>
    <n v="17.501228956228957"/>
    <n v="8.7506144781144783"/>
    <d v="2025-03-29T00:00:00"/>
    <d v="2025-03-29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MEI"/>
    <s v="MEI45702"/>
    <s v="Pedido 986"/>
    <d v="2025-02-14T00:00:00"/>
    <d v="2025-02-14T00:00:00"/>
    <s v="PedidoF965"/>
    <s v="CódRastreio963"/>
    <n v="1"/>
    <s v="CPF 960"/>
    <s v="Nome 960"/>
    <s v="Tel 960"/>
    <s v="Cep 960"/>
    <s v="Rua 960"/>
    <s v="Comp 960"/>
    <x v="1"/>
    <s v="A4-5W51-K3HF"/>
    <d v="2025-03-12T00:00:00"/>
    <n v="30.99"/>
    <n v="30.99"/>
    <n v="4.3386000000000005"/>
    <n v="26.65"/>
    <n v="14.99"/>
    <n v="0.2"/>
    <n v="0.39877104377104378"/>
    <n v="0"/>
    <n v="11.061228956228955"/>
    <n v="5.5306144781144777"/>
    <d v="2025-03-19T00:00:00"/>
    <d v="2025-03-19T00:00:00"/>
    <d v="2025-03-31T00:00:00"/>
    <d v="2025-04-02T00:00:00"/>
    <s v="2025 03"/>
    <s v="Aguardando Liberação"/>
    <s v="2025 02"/>
    <s v="ENTREGUE"/>
    <d v="2025-02-21T00:00:00"/>
    <s v="-"/>
    <m/>
    <n v="0"/>
    <n v="0"/>
    <n v="0"/>
    <n v="0"/>
    <n v="0"/>
  </r>
  <r>
    <s v="MEI"/>
    <s v="MEI45702"/>
    <s v="Pedido 987"/>
    <d v="2025-02-14T00:00:00"/>
    <d v="2025-02-14T00:00:00"/>
    <s v="PedidoF966"/>
    <s v="CódRastreio964"/>
    <n v="1"/>
    <s v="CPF 961"/>
    <s v="Nome 961"/>
    <s v="Tel 961"/>
    <s v="Cep 961"/>
    <s v="Rua 961"/>
    <s v="Comp 961"/>
    <x v="10"/>
    <s v="WU-SS4J-LFOH"/>
    <d v="2025-03-25T00:00:00"/>
    <n v="59.99"/>
    <n v="59.99"/>
    <n v="7.7987000000000002"/>
    <n v="52.19"/>
    <n v="36.68"/>
    <n v="0.2"/>
    <n v="0.39877104377104378"/>
    <n v="0"/>
    <n v="14.911228956228953"/>
    <n v="7.4556144781144766"/>
    <d v="2025-04-01T00:00:00"/>
    <d v="2025-04-01T00:00:00"/>
    <d v="2025-04-15T00:00:00"/>
    <d v="2025-04-16T00:00:00"/>
    <s v="2025 04"/>
    <s v="Aguardando Liberação"/>
    <s v="2025 02"/>
    <s v="ENTREGUE"/>
    <d v="2025-03-12T14:24:08"/>
    <s v="-"/>
    <m/>
    <n v="0"/>
    <n v="0"/>
    <n v="0"/>
    <n v="0"/>
    <n v="0"/>
  </r>
  <r>
    <s v="MEI"/>
    <s v="MEI45705"/>
    <s v="Pedido 988"/>
    <d v="2025-02-14T00:00:00"/>
    <d v="2025-02-17T00:00:00"/>
    <s v="PedidoF967"/>
    <s v="CódRastreio965"/>
    <n v="1"/>
    <s v="CPF 962"/>
    <s v="Nome 962"/>
    <s v="Tel 962"/>
    <s v="Cep 962"/>
    <s v="Rua 962"/>
    <s v="Comp 962"/>
    <x v="10"/>
    <s v="WU-SS4J-LFOH"/>
    <d v="2025-03-12T00:00:00"/>
    <n v="59.99"/>
    <n v="59.99"/>
    <n v="7.7987000000000002"/>
    <n v="52.19"/>
    <n v="13.21"/>
    <n v="0.2"/>
    <n v="0.39877104377104378"/>
    <n v="0"/>
    <n v="38.381228956228952"/>
    <n v="19.190614478114476"/>
    <d v="2025-03-19T00:00:00"/>
    <d v="2025-03-19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MEI"/>
    <s v="MEI45705"/>
    <s v="Pedido 989"/>
    <d v="2025-02-14T00:00:00"/>
    <d v="2025-02-17T00:00:00"/>
    <s v="PedidoF968"/>
    <s v="CódRastreio966"/>
    <n v="1"/>
    <s v="CPF 963"/>
    <s v="Nome 963"/>
    <s v="Tel 963"/>
    <s v="Cep 963"/>
    <s v="Rua 963"/>
    <s v="Comp 963"/>
    <x v="10"/>
    <s v="WU-SS4J-LFOH"/>
    <d v="2025-03-12T00:00:00"/>
    <n v="59.99"/>
    <n v="59.99"/>
    <n v="7.7987000000000002"/>
    <n v="52.19"/>
    <n v="13.21"/>
    <n v="0.2"/>
    <n v="0.39877104377104378"/>
    <n v="0"/>
    <n v="38.381228956228952"/>
    <n v="19.190614478114476"/>
    <d v="2025-03-19T00:00:00"/>
    <d v="2025-03-19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BV"/>
    <s v="BV45705"/>
    <s v="Pedido 990"/>
    <d v="2025-02-15T00:00:00"/>
    <d v="2025-02-17T00:00:00"/>
    <s v="PedidoF969"/>
    <s v="CódRastreio967"/>
    <n v="1"/>
    <s v="CPF 964"/>
    <s v="Nome 964"/>
    <s v="Tel 964"/>
    <s v="Cep 964"/>
    <s v="Rua 964"/>
    <s v="Comp 964"/>
    <x v="11"/>
    <s v="BP-NHG2-B8C1"/>
    <d v="2025-03-18T00:00:00"/>
    <n v="74.989999999999995"/>
    <n v="74.989999999999995"/>
    <n v="9.7486999999999995"/>
    <n v="65.239999999999995"/>
    <n v="26.37"/>
    <n v="0.24"/>
    <n v="0.39877104377104378"/>
    <n v="0"/>
    <n v="38.231228956228946"/>
    <n v="19.115614478114473"/>
    <d v="2025-03-25T00:00:00"/>
    <d v="2025-03-25T00:00:00"/>
    <d v="2025-03-31T00:00:00"/>
    <d v="2025-04-02T00:00:00"/>
    <s v="2025 03"/>
    <s v="Aguardando Liberação"/>
    <s v="2025 02"/>
    <s v="ENTREGUE"/>
    <d v="2025-03-10T00:00:00"/>
    <s v="-"/>
    <m/>
    <n v="0"/>
    <n v="0"/>
    <n v="0"/>
    <n v="0"/>
    <n v="0"/>
  </r>
  <r>
    <s v="BV"/>
    <s v="BV45705"/>
    <s v="Pedido 991"/>
    <d v="2025-02-15T00:00:00"/>
    <d v="2025-02-17T00:00:00"/>
    <s v="PedidoF970"/>
    <s v="CódRastreio968"/>
    <n v="1"/>
    <s v="CPF 965"/>
    <s v="Nome 965"/>
    <s v="Tel 965"/>
    <s v="Cep 965"/>
    <s v="Rua 965"/>
    <s v="Comp 965"/>
    <x v="13"/>
    <s v="YA-AG3H-SPUK"/>
    <d v="2025-03-01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d v="2025-03-08T00:00:00"/>
    <d v="2025-03-08T00:00:00"/>
    <d v="2025-03-14T00:00:00"/>
    <d v="2025-03-17T00:00:00"/>
    <s v="2025 03"/>
    <s v="Aguardando Liberação"/>
    <s v="2025 02"/>
    <s v="ENTREGUE"/>
    <d v="2025-02-20T00:00:00"/>
    <s v="-"/>
    <m/>
    <n v="0"/>
    <n v="0"/>
    <n v="0"/>
    <n v="0"/>
    <n v="0"/>
  </r>
  <r>
    <s v="BV"/>
    <s v="BV45705"/>
    <s v="Pedido 992"/>
    <d v="2025-02-15T00:00:00"/>
    <d v="2025-02-17T00:00:00"/>
    <s v="PedidoF971"/>
    <s v="CódRastreio969"/>
    <n v="1"/>
    <s v="CPF 966"/>
    <s v="Nome 966"/>
    <s v="Tel 966"/>
    <s v="Cep 966"/>
    <s v="Rua 966"/>
    <s v="Comp 966"/>
    <x v="13"/>
    <s v="YA-AG3H-SPUK"/>
    <d v="2025-03-12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d v="2025-03-19T00:00:00"/>
    <d v="2025-03-19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5"/>
    <s v="Pedido 993"/>
    <d v="2025-02-15T00:00:00"/>
    <d v="2025-02-17T00:00:00"/>
    <s v="PedidoF972"/>
    <s v="CódRastreio970"/>
    <n v="1"/>
    <s v="CPF 967"/>
    <s v="Nome 967"/>
    <s v="Tel 967"/>
    <s v="Cep 967"/>
    <s v="Rua 967"/>
    <s v="Comp 967"/>
    <x v="13"/>
    <s v="YA-AG3H-SPUK"/>
    <d v="2025-03-12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d v="2025-03-19T00:00:00"/>
    <d v="2025-03-19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5"/>
    <s v="Pedido 994"/>
    <d v="2025-02-15T00:00:00"/>
    <d v="2025-02-17T00:00:00"/>
    <s v="PedidoF973"/>
    <s v="CódRastreio971"/>
    <n v="1"/>
    <s v="CPF 968"/>
    <s v="Nome 968"/>
    <s v="Tel 968"/>
    <s v="Cep 968"/>
    <s v="Rua 968"/>
    <s v="Comp 968"/>
    <x v="13"/>
    <s v="YA-AG3H-SPUK"/>
    <d v="2025-03-12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d v="2025-03-19T00:00:00"/>
    <d v="2025-03-19T00:00:00"/>
    <d v="2025-03-31T00:00:00"/>
    <d v="2025-04-02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705"/>
    <s v="Pedido 995"/>
    <d v="2025-02-15T00:00:00"/>
    <d v="2025-02-17T00:00:00"/>
    <s v="PedidoF974"/>
    <s v="CódRastreio972"/>
    <n v="1"/>
    <s v="CPF 969"/>
    <s v="Nome 969"/>
    <s v="Tel 969"/>
    <s v="Cep 969"/>
    <s v="Rua 969"/>
    <s v="Comp 969"/>
    <x v="9"/>
    <s v="1H-DC27-8GP7"/>
    <d v="2025-03-12T00:00:00"/>
    <n v="21.99"/>
    <n v="21.99"/>
    <n v="3.2984999999999998"/>
    <n v="18.690000000000001"/>
    <n v="6.99"/>
    <n v="0.24"/>
    <n v="0.39877104377104378"/>
    <n v="0"/>
    <n v="11.061228956228957"/>
    <n v="5.5306144781144786"/>
    <d v="2025-03-19T00:00:00"/>
    <d v="2025-03-19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5"/>
    <s v="Pedido 996"/>
    <d v="2025-02-15T00:00:00"/>
    <d v="2025-02-17T00:00:00"/>
    <s v="PedidoF975"/>
    <s v="CódRastreio973"/>
    <n v="1"/>
    <s v="CPF 970"/>
    <s v="Nome 970"/>
    <s v="Tel 970"/>
    <s v="Cep 970"/>
    <s v="Rua 970"/>
    <s v="Comp 970"/>
    <x v="3"/>
    <s v="IF-G2ZQ-79FO"/>
    <d v="2025-03-12T00:00:00"/>
    <n v="78.989999999999995"/>
    <n v="78.989999999999995"/>
    <n v="10.268699999999999"/>
    <n v="68.72"/>
    <n v="13.5"/>
    <n v="0.24"/>
    <n v="0.39877104377104378"/>
    <n v="0"/>
    <n v="54.581228956228955"/>
    <n v="27.290614478114477"/>
    <d v="2025-03-19T00:00:00"/>
    <d v="2025-03-19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BV"/>
    <s v="BV45705"/>
    <s v="Pedido 997"/>
    <d v="2025-02-16T00:00:00"/>
    <d v="2025-02-17T00:00:00"/>
    <s v="PedidoF976"/>
    <s v="CódRastreio974"/>
    <n v="1"/>
    <s v="CPF 971"/>
    <s v="Nome 971"/>
    <s v="Tel 971"/>
    <s v="Cep 971"/>
    <s v="Rua 971"/>
    <s v="Comp 971"/>
    <x v="13"/>
    <s v="YA-AG3H-SPUK"/>
    <d v="2025-03-18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d v="2025-03-25T00:00:00"/>
    <d v="2025-03-25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BV"/>
    <s v="BV45705"/>
    <s v="Pedido 998"/>
    <d v="2025-02-16T00:00:00"/>
    <d v="2025-02-17T00:00:00"/>
    <s v="PedidoF977"/>
    <s v="CódRastreio975"/>
    <n v="1"/>
    <s v="CPF 972"/>
    <s v="Nome 972"/>
    <s v="Tel 972"/>
    <s v="Cep 972"/>
    <s v="Rua 972"/>
    <s v="Comp 972"/>
    <x v="8"/>
    <s v="FM-QQ8Y-RZT4"/>
    <d v="2025-03-12T00:00:00"/>
    <n v="33.99"/>
    <n v="33.99"/>
    <n v="4.4187000000000003"/>
    <n v="29.57"/>
    <n v="13.8"/>
    <n v="0.24"/>
    <n v="0.39877104377104378"/>
    <n v="0"/>
    <n v="15.131228956228956"/>
    <n v="7.5656144781144778"/>
    <d v="2025-03-19T00:00:00"/>
    <d v="2025-03-19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5"/>
    <s v="Pedido 999"/>
    <d v="2025-02-16T00:00:00"/>
    <d v="2025-02-17T00:00:00"/>
    <s v="PedidoF978"/>
    <s v="CódRastreio976"/>
    <n v="1"/>
    <s v="CPF 973"/>
    <s v="Nome 973"/>
    <s v="Tel 973"/>
    <s v="Cep 973"/>
    <s v="Rua 973"/>
    <s v="Comp 973"/>
    <x v="3"/>
    <s v="IF-G2ZQ-79FO"/>
    <d v="2025-03-18T00:00:00"/>
    <n v="78.989999999999995"/>
    <n v="78.989999999999995"/>
    <n v="10.268699999999999"/>
    <n v="68.72"/>
    <n v="13.5"/>
    <n v="0.24"/>
    <n v="0.39877104377104378"/>
    <n v="0"/>
    <n v="54.581228956228955"/>
    <n v="27.290614478114477"/>
    <d v="2025-03-25T00:00:00"/>
    <d v="2025-03-25T00:00:00"/>
    <d v="2025-03-31T00:00:00"/>
    <d v="2025-04-02T00:00:00"/>
    <s v="2025 03"/>
    <s v="Aguardando Liberação"/>
    <s v="2025 02"/>
    <s v="ENTREGUE"/>
    <d v="2025-03-01T00:00:00"/>
    <s v="-"/>
    <m/>
    <n v="0"/>
    <n v="0"/>
    <n v="0"/>
    <n v="0"/>
    <n v="0"/>
  </r>
  <r>
    <s v="BV"/>
    <s v="BV45705"/>
    <s v="Pedido 1000"/>
    <d v="2025-02-16T00:00:00"/>
    <d v="2025-02-17T00:00:00"/>
    <s v="PedidoF979"/>
    <s v="CódRastreio977"/>
    <n v="1"/>
    <s v="CPF 974"/>
    <s v="Nome 974"/>
    <s v="Tel 974"/>
    <s v="Cep 974"/>
    <s v="Rua 974"/>
    <s v="Comp 974"/>
    <x v="16"/>
    <s v="RB-W251-UXV2"/>
    <d v="2025-03-01T00:00:00"/>
    <n v="30.99"/>
    <n v="30.99"/>
    <n v="4.0286999999999997"/>
    <n v="26.96"/>
    <n v="13.2"/>
    <n v="0.24"/>
    <n v="0.39877104377104378"/>
    <n v="0"/>
    <n v="13.121228956228958"/>
    <n v="6.5606144781144788"/>
    <d v="2025-03-08T00:00:00"/>
    <d v="2025-03-08T00:00:00"/>
    <d v="2025-03-14T00:00:00"/>
    <d v="2025-03-17T00:00:00"/>
    <s v="2025 03"/>
    <s v="Aguardando Liberação"/>
    <s v="2025 02"/>
    <s v="ENTREGUE"/>
    <d v="2025-02-21T00:00:00"/>
    <s v="-"/>
    <m/>
    <n v="0"/>
    <n v="0"/>
    <n v="0"/>
    <n v="0"/>
    <n v="0"/>
  </r>
  <r>
    <s v="MEI"/>
    <s v="MEI45705"/>
    <s v="Pedido 1001"/>
    <d v="2025-02-15T00:00:00"/>
    <d v="2025-02-17T00:00:00"/>
    <s v="PedidoF980"/>
    <s v="CódRastreio978"/>
    <n v="1"/>
    <s v="CPF 975"/>
    <s v="Nome 975"/>
    <s v="Tel 975"/>
    <s v="Cep 975"/>
    <s v="Rua 975"/>
    <s v="Comp 975"/>
    <x v="10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19T00:00:00"/>
    <d v="2025-03-19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05"/>
    <s v="Pedido 1002"/>
    <d v="2025-02-15T00:00:00"/>
    <d v="2025-02-17T00:00:00"/>
    <s v="PedidoF981"/>
    <s v="CódRastreio979"/>
    <n v="1"/>
    <s v="CPF 976"/>
    <s v="Nome 976"/>
    <s v="Tel 976"/>
    <s v="Cep 976"/>
    <s v="Rua 976"/>
    <s v="Comp 976"/>
    <x v="10"/>
    <s v="WU-SS4J-LFOH"/>
    <d v="2025-03-12T00:00:00"/>
    <n v="65.989999999999995"/>
    <n v="65.989999999999995"/>
    <n v="8.5786999999999995"/>
    <n v="57.41"/>
    <n v="0"/>
    <n v="0.2"/>
    <n v="0.39877104377104378"/>
    <n v="0"/>
    <n v="56.811228956228952"/>
    <n v="28.405614478114476"/>
    <d v="2025-03-19T00:00:00"/>
    <d v="2025-03-19T00:00:00"/>
    <d v="2025-03-31T00:00:00"/>
    <d v="2025-04-02T00:00:00"/>
    <s v="2025 03"/>
    <s v="Aguardando Liberação"/>
    <s v="2025 02"/>
    <s v="ENTREGUE"/>
    <d v="2025-03-01T00:00:00"/>
    <s v="-"/>
    <m/>
    <n v="0"/>
    <n v="0"/>
    <n v="0"/>
    <n v="0"/>
    <n v="0"/>
  </r>
  <r>
    <s v="MEI"/>
    <s v="MEI45705"/>
    <s v="Pedido 1003"/>
    <d v="2025-02-15T00:00:00"/>
    <d v="2025-02-17T00:00:00"/>
    <s v="PedidoF982"/>
    <s v="CódRastreio980"/>
    <n v="1"/>
    <s v="CPF 977"/>
    <s v="Nome 977"/>
    <s v="Tel 977"/>
    <s v="Cep 977"/>
    <s v="Rua 977"/>
    <s v="Comp 977"/>
    <x v="10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25T00:00:00"/>
    <d v="2025-03-25T00:00:00"/>
    <d v="2025-03-31T00:00:00"/>
    <d v="2025-04-02T00:00:00"/>
    <s v="2025 03"/>
    <s v="Aguardando Liberação"/>
    <s v="2025 02"/>
    <s v="ENTREGUE"/>
    <d v="2025-03-14T00:00:00"/>
    <s v="-"/>
    <m/>
    <n v="0"/>
    <n v="0"/>
    <n v="0"/>
    <n v="0"/>
    <n v="0"/>
  </r>
  <r>
    <s v="MEI"/>
    <s v="MEI45705"/>
    <s v="Pedido 1004"/>
    <d v="2025-02-15T00:00:00"/>
    <d v="2025-02-17T00:00:00"/>
    <s v="PedidoF983"/>
    <s v="CódRastreio981"/>
    <n v="1"/>
    <s v="CPF 978"/>
    <s v="Nome 978"/>
    <s v="Tel 978"/>
    <s v="Cep 978"/>
    <s v="Rua 978"/>
    <s v="Comp 978"/>
    <x v="10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25T00:00:00"/>
    <d v="2025-03-25T00:00:00"/>
    <d v="2025-03-31T00:00:00"/>
    <d v="2025-04-02T00:00:00"/>
    <s v="2025 03"/>
    <s v="Aguardando Liberação"/>
    <s v="2025 02"/>
    <s v="ENTREGUE"/>
    <d v="2025-03-01T00:00:00"/>
    <s v="-"/>
    <m/>
    <n v="0"/>
    <n v="0"/>
    <n v="0"/>
    <n v="0"/>
    <n v="0"/>
  </r>
  <r>
    <s v="MEI"/>
    <s v="MEI45707"/>
    <s v="Pedido 1005"/>
    <d v="2025-02-15T00:00:00"/>
    <d v="2025-02-19T00:00:00"/>
    <s v="PedidoF984"/>
    <s v="CódRastreio982"/>
    <n v="1"/>
    <s v="CPF 978"/>
    <s v="Nome 978"/>
    <s v="Tel 978"/>
    <s v="Cep 978"/>
    <s v="Rua 978"/>
    <s v="Comp 978"/>
    <x v="10"/>
    <s v="WU-SS4J-LFOH"/>
    <d v="2025-03-18T00:00:00"/>
    <n v="65.989999999999995"/>
    <n v="65.989999999999995"/>
    <n v="8.5786999999999995"/>
    <n v="57.41"/>
    <n v="14.35"/>
    <n v="0.25"/>
    <n v="0.39877104377104378"/>
    <n v="0"/>
    <n v="42.411228956228953"/>
    <n v="21.205614478114477"/>
    <d v="2025-03-25T00:00:00"/>
    <d v="2025-03-25T00:00:00"/>
    <d v="2025-03-31T00:00:00"/>
    <d v="2025-04-02T00:00:00"/>
    <s v="2025 03"/>
    <s v="Aguardando Liberação"/>
    <s v="2025 02"/>
    <s v="ENTREGUE"/>
    <d v="2025-03-07T00:00:00"/>
    <s v="-"/>
    <m/>
    <n v="0"/>
    <n v="0"/>
    <n v="0"/>
    <n v="0"/>
    <n v="0"/>
  </r>
  <r>
    <s v="MEI"/>
    <s v="MEI45705"/>
    <s v="Pedido 1006"/>
    <d v="2025-02-15T00:00:00"/>
    <d v="2025-02-17T00:00:00"/>
    <s v="PedidoF985"/>
    <s v="CódRastreio983"/>
    <n v="1"/>
    <s v="CPF 979"/>
    <s v="Nome 979"/>
    <s v="Tel 979"/>
    <s v="Cep 979"/>
    <s v="Rua 979"/>
    <s v="Comp 979"/>
    <x v="10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25T00:00:00"/>
    <d v="2025-03-25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05"/>
    <s v="Pedido 1007"/>
    <d v="2025-02-16T00:00:00"/>
    <d v="2025-02-17T00:00:00"/>
    <s v="PedidoF986"/>
    <s v="CódRastreio984"/>
    <n v="1"/>
    <s v="CPF 408"/>
    <s v="Nome 408"/>
    <s v="Tel 408"/>
    <s v="Cep 408"/>
    <s v="Rua 408"/>
    <s v="Comp 408"/>
    <x v="10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19T00:00:00"/>
    <d v="2025-03-19T00:00:00"/>
    <d v="2025-03-31T00:00:00"/>
    <d v="2025-04-02T00:00:00"/>
    <s v="2025 03"/>
    <s v="Aguardando Liberação"/>
    <s v="2025 02"/>
    <s v="ENTREGUE"/>
    <d v="2025-03-05T00:00:00"/>
    <s v="-"/>
    <m/>
    <n v="0"/>
    <n v="0"/>
    <n v="0"/>
    <n v="0"/>
    <n v="0"/>
  </r>
  <r>
    <s v="MEI"/>
    <s v="MEI45705"/>
    <s v="Pedido 1008"/>
    <d v="2025-02-16T00:00:00"/>
    <d v="2025-02-17T00:00:00"/>
    <s v="PedidoF987"/>
    <s v="CódRastreio985"/>
    <n v="1"/>
    <s v="CPF 980"/>
    <s v="Nome 980"/>
    <s v="Tel 980"/>
    <s v="Cep 980"/>
    <s v="Rua 980"/>
    <s v="Comp 980"/>
    <x v="10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25T00:00:00"/>
    <d v="2025-03-25T00:00:00"/>
    <d v="2025-03-31T00:00:00"/>
    <d v="2025-04-02T00:00:00"/>
    <s v="2025 03"/>
    <s v="Aguardando Liberação"/>
    <s v="2025 02"/>
    <s v="ENTREGUE"/>
    <d v="2025-03-04T00:00:00"/>
    <s v="-"/>
    <m/>
    <n v="0"/>
    <n v="0"/>
    <n v="0"/>
    <n v="0"/>
    <n v="0"/>
  </r>
  <r>
    <s v="MEI"/>
    <s v="MEI45705"/>
    <s v="Pedido 1009"/>
    <d v="2025-02-16T00:00:00"/>
    <d v="2025-02-17T00:00:00"/>
    <s v="PedidoF988"/>
    <s v="CódRastreio986"/>
    <n v="1"/>
    <s v="CPF 981"/>
    <s v="Nome 981"/>
    <s v="Tel 981"/>
    <s v="Cep 981"/>
    <s v="Rua 981"/>
    <s v="Comp 981"/>
    <x v="10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19T00:00:00"/>
    <d v="2025-03-19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MEI"/>
    <s v="MEI45705"/>
    <s v="Pedido 1010"/>
    <d v="2025-02-16T00:00:00"/>
    <d v="2025-02-17T00:00:00"/>
    <s v="PedidoF989"/>
    <s v="CódRastreio987"/>
    <n v="1"/>
    <s v="CPF 982"/>
    <s v="Nome 982"/>
    <s v="Tel 982"/>
    <s v="Cep 982"/>
    <s v="Rua 982"/>
    <s v="Comp 982"/>
    <x v="10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d v="2025-03-19T00:00:00"/>
    <d v="2025-03-19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MEI"/>
    <s v="MEI45705"/>
    <s v="Pedido 1011"/>
    <d v="2025-02-16T00:00:00"/>
    <d v="2025-02-17T00:00:00"/>
    <s v="PedidoF990"/>
    <s v="CódRastreio988"/>
    <n v="1"/>
    <s v="CPF 983"/>
    <s v="Nome 983"/>
    <s v="Tel 983"/>
    <s v="Cep 983"/>
    <s v="Rua 983"/>
    <s v="Comp 983"/>
    <x v="1"/>
    <s v="A4-5W51-K3HF"/>
    <d v="2025-03-12T00:00:00"/>
    <n v="30.99"/>
    <n v="30.99"/>
    <n v="4.3386000000000005"/>
    <n v="26.65"/>
    <n v="14.99"/>
    <n v="0.2"/>
    <n v="0.39877104377104378"/>
    <n v="0"/>
    <n v="11.061228956228955"/>
    <n v="5.5306144781144777"/>
    <d v="2025-03-19T00:00:00"/>
    <d v="2025-03-19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MEI"/>
    <s v="MEI45705"/>
    <s v="Pedido 1012"/>
    <d v="2025-02-17T00:00:00"/>
    <d v="2025-02-17T00:00:00"/>
    <s v="PedidoF991"/>
    <s v="CódRastreio989"/>
    <n v="1"/>
    <s v="CPF 984"/>
    <s v="Nome 984"/>
    <s v="Tel 984"/>
    <s v="Cep 984"/>
    <s v="Rua 984"/>
    <s v="Comp 984"/>
    <x v="10"/>
    <s v="WU-SS4J-LFOH"/>
    <d v="2025-03-13T00:00:00"/>
    <n v="65.989999999999995"/>
    <n v="65.989999999999995"/>
    <n v="8.5786999999999995"/>
    <n v="57.41"/>
    <n v="0"/>
    <n v="0.2"/>
    <n v="0.39877104377104378"/>
    <n v="0"/>
    <n v="56.811228956228952"/>
    <n v="28.405614478114476"/>
    <d v="2025-03-20T00:00:00"/>
    <d v="2025-03-20T00:00:00"/>
    <d v="2025-03-31T00:00:00"/>
    <d v="2025-04-02T00:00:00"/>
    <s v="2025 03"/>
    <s v="Aguardando Liberação"/>
    <s v="2025 02"/>
    <s v="ENTREGUE"/>
    <d v="2025-04-01T00:00:00"/>
    <s v="-"/>
    <m/>
    <n v="0"/>
    <n v="0"/>
    <n v="0"/>
    <n v="0"/>
    <n v="0"/>
  </r>
  <r>
    <s v="BV"/>
    <s v="BV45706"/>
    <s v="Pedido 1013"/>
    <d v="2025-02-17T00:00:00"/>
    <d v="2025-02-18T00:00:00"/>
    <s v="PedidoF992"/>
    <s v="CódRastreio990"/>
    <n v="1"/>
    <s v="CPF 985"/>
    <s v="Nome 985"/>
    <s v="Tel 985"/>
    <s v="Cep 985"/>
    <s v="Rua 985"/>
    <s v="Comp 985"/>
    <x v="3"/>
    <s v="IF-G2ZQ-79FO"/>
    <d v="2025-03-19T00:00:00"/>
    <n v="78.989999999999995"/>
    <n v="78.989999999999995"/>
    <n v="10.268699999999999"/>
    <n v="68.72"/>
    <n v="13.29"/>
    <n v="0.2"/>
    <n v="0.39877104377104378"/>
    <n v="0"/>
    <n v="54.831228956228955"/>
    <n v="27.415614478114477"/>
    <d v="2025-03-26T00:00:00"/>
    <d v="2025-03-26T00:00:00"/>
    <d v="2025-03-31T00:00:00"/>
    <d v="2025-04-02T00:00:00"/>
    <s v="2025 03"/>
    <s v="Aguardando Liberação"/>
    <s v="2025 02"/>
    <s v="ENTREGUE"/>
    <d v="2025-03-07T00:00:00"/>
    <s v="-"/>
    <m/>
    <n v="0"/>
    <n v="0"/>
    <n v="0"/>
    <n v="0"/>
    <n v="0"/>
  </r>
  <r>
    <s v="MEI"/>
    <s v="MEI45706"/>
    <s v="Pedido 1014"/>
    <d v="2025-02-17T00:00:00"/>
    <d v="2025-02-18T00:00:00"/>
    <s v="PedidoF993"/>
    <s v="CódRastreio991"/>
    <n v="1"/>
    <s v="CPF 986"/>
    <s v="Nome 986"/>
    <s v="Tel 986"/>
    <s v="Cep 986"/>
    <s v="Rua 986"/>
    <s v="Comp 986"/>
    <x v="10"/>
    <s v="WU-SS4J-LFOH"/>
    <d v="2025-03-19T00:00:00"/>
    <n v="65.989999999999995"/>
    <n v="65.989999999999995"/>
    <n v="8.5786999999999995"/>
    <n v="57.41"/>
    <n v="10.15"/>
    <n v="0.2"/>
    <n v="0.39877104377104378"/>
    <n v="0"/>
    <n v="46.661228956228953"/>
    <n v="23.330614478114477"/>
    <d v="2025-03-26T00:00:00"/>
    <d v="2025-03-26T00:00:00"/>
    <d v="2025-03-31T00:00:00"/>
    <d v="2025-04-02T00:00:00"/>
    <s v="2025 03"/>
    <s v="Aguardando Liberação"/>
    <s v="2025 02"/>
    <s v="ENTREGUE"/>
    <d v="2025-03-08T00:00:00"/>
    <s v="-"/>
    <m/>
    <n v="0"/>
    <n v="0"/>
    <n v="0"/>
    <n v="0"/>
    <n v="0"/>
  </r>
  <r>
    <s v="MEI"/>
    <s v="MEI45706"/>
    <s v="Pedido 1015"/>
    <d v="2025-02-17T00:00:00"/>
    <d v="2025-02-18T00:00:00"/>
    <s v="PedidoF994"/>
    <s v="CódRastreio992"/>
    <n v="1"/>
    <s v="CPF 987"/>
    <s v="Nome 987"/>
    <s v="Tel 987"/>
    <s v="Cep 987"/>
    <s v="Rua 987"/>
    <s v="Comp 987"/>
    <x v="1"/>
    <s v="A4-5W51-K3HF"/>
    <d v="2025-03-19T00:00:00"/>
    <n v="30.99"/>
    <n v="30.99"/>
    <n v="4.3386000000000005"/>
    <n v="26.65"/>
    <n v="14.99"/>
    <n v="0.2"/>
    <n v="0.39877104377104378"/>
    <n v="0"/>
    <n v="11.061228956228955"/>
    <n v="5.5306144781144777"/>
    <d v="2025-03-26T00:00:00"/>
    <d v="2025-03-26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MEI"/>
    <s v="MEI45706"/>
    <s v="Pedido 1016"/>
    <d v="2025-02-17T00:00:00"/>
    <d v="2025-02-18T00:00:00"/>
    <s v="PedidoF995"/>
    <s v="CódRastreio993"/>
    <n v="1"/>
    <s v="CPF 988"/>
    <s v="Nome 988"/>
    <s v="Tel 988"/>
    <s v="Cep 988"/>
    <s v="Rua 988"/>
    <s v="Comp 988"/>
    <x v="1"/>
    <s v="A4-5W51-K3HF"/>
    <d v="2025-03-13T00:00:00"/>
    <n v="30.99"/>
    <n v="30.99"/>
    <n v="4.3386000000000005"/>
    <n v="26.65"/>
    <n v="14.99"/>
    <n v="0.2"/>
    <n v="0.39877104377104378"/>
    <n v="0"/>
    <n v="11.061228956228955"/>
    <n v="5.5306144781144777"/>
    <d v="2025-03-20T00:00:00"/>
    <d v="2025-03-20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MEI"/>
    <s v="MEI45706"/>
    <s v="Pedido 1017"/>
    <d v="2025-02-17T00:00:00"/>
    <d v="2025-02-18T00:00:00"/>
    <s v="PedidoF996"/>
    <s v="CódRastreio994"/>
    <n v="1"/>
    <s v="CPF 989"/>
    <s v="Nome 989"/>
    <s v="Tel 989"/>
    <s v="Cep 989"/>
    <s v="Rua 989"/>
    <s v="Comp 989"/>
    <x v="1"/>
    <s v="A4-5W51-K3HF"/>
    <d v="2025-03-13T00:00:00"/>
    <n v="30.99"/>
    <n v="30.99"/>
    <n v="4.3386000000000005"/>
    <n v="26.65"/>
    <n v="14.99"/>
    <n v="0.2"/>
    <n v="0.39877104377104378"/>
    <n v="0"/>
    <n v="11.061228956228955"/>
    <n v="5.5306144781144777"/>
    <d v="2025-03-20T00:00:00"/>
    <d v="2025-03-20T00:00:00"/>
    <d v="2025-03-31T00:00:00"/>
    <d v="2025-04-02T00:00:00"/>
    <s v="2025 03"/>
    <s v="Aguardando Liberação"/>
    <s v="2025 02"/>
    <s v="ENTREGUE"/>
    <d v="2025-02-22T00:00:00"/>
    <s v="-"/>
    <m/>
    <n v="0"/>
    <n v="0"/>
    <n v="0"/>
    <n v="0"/>
    <n v="0"/>
  </r>
  <r>
    <s v="MEI"/>
    <s v="MEI45706"/>
    <s v="Pedido 1018"/>
    <d v="2025-02-18T00:00:00"/>
    <d v="2025-02-18T00:00:00"/>
    <s v="PedidoF997"/>
    <s v="CódRastreio995"/>
    <n v="1"/>
    <s v="CPF 990"/>
    <s v="Nome 990"/>
    <s v="Tel 990"/>
    <s v="Cep 990"/>
    <s v="Rua 990"/>
    <s v="Comp 990"/>
    <x v="10"/>
    <s v="WU-SS4J-LFOH"/>
    <d v="2025-03-13T00:00:00"/>
    <n v="65.989999999999995"/>
    <n v="65.989999999999995"/>
    <n v="8.5786999999999995"/>
    <n v="57.41"/>
    <n v="10.15"/>
    <n v="0.2"/>
    <n v="0.39877104377104378"/>
    <n v="0"/>
    <n v="46.661228956228953"/>
    <n v="23.330614478114477"/>
    <d v="2025-03-20T00:00:00"/>
    <d v="2025-03-20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06"/>
    <s v="Pedido 1019"/>
    <d v="2025-02-18T00:00:00"/>
    <d v="2025-02-18T00:00:00"/>
    <s v="PedidoF998"/>
    <s v="CódRastreio996"/>
    <n v="1"/>
    <s v="CPF 991"/>
    <s v="Nome 991"/>
    <s v="Tel 991"/>
    <s v="Cep 991"/>
    <s v="Rua 991"/>
    <s v="Comp 991"/>
    <x v="1"/>
    <s v="A4-5W51-K3HF"/>
    <d v="2025-03-14T00:00:00"/>
    <n v="30.99"/>
    <n v="30.99"/>
    <n v="4.3386000000000005"/>
    <n v="26.65"/>
    <n v="14.99"/>
    <n v="0.2"/>
    <n v="0.39877104377104378"/>
    <n v="0"/>
    <n v="11.061228956228955"/>
    <n v="5.5306144781144777"/>
    <d v="2025-03-21T00:00:00"/>
    <d v="2025-03-21T00:00:00"/>
    <d v="2025-03-31T00:00:00"/>
    <d v="2025-04-02T00:00:00"/>
    <s v="2025 03"/>
    <s v="Aguardando Liberação"/>
    <s v="2025 02"/>
    <s v="ENTREGUE"/>
    <d v="2025-02-22T00:00:00"/>
    <s v="-"/>
    <m/>
    <n v="0"/>
    <n v="0"/>
    <n v="0"/>
    <n v="0"/>
    <n v="0"/>
  </r>
  <r>
    <s v="BV"/>
    <s v="BV45707"/>
    <s v="Pedido 1020"/>
    <d v="2025-02-19T00:00:00"/>
    <d v="2025-02-19T00:00:00"/>
    <s v="PedidoF999"/>
    <s v="CódRastreio997"/>
    <n v="1"/>
    <s v="CPF 992"/>
    <s v="Nome 992"/>
    <s v="Tel 992"/>
    <s v="Cep 992"/>
    <s v="Rua 992"/>
    <s v="Comp 992"/>
    <x v="8"/>
    <s v="FM-QQ8Y-RZT4"/>
    <d v="2025-03-14T00:00:00"/>
    <n v="33.99"/>
    <n v="33.99"/>
    <n v="4.4187000000000003"/>
    <n v="29.57"/>
    <n v="13.8"/>
    <n v="0.2"/>
    <n v="0.39877104377104378"/>
    <n v="0"/>
    <n v="15.171228956228957"/>
    <n v="7.5856144781144783"/>
    <d v="2025-03-21T00:00:00"/>
    <d v="2025-03-21T00:00:00"/>
    <d v="2025-03-31T00:00:00"/>
    <d v="2025-04-02T00:00:00"/>
    <s v="2025 03"/>
    <s v="Aguardando Liberação"/>
    <s v="2025 02"/>
    <s v="ENTREGUE"/>
    <d v="2025-02-24T00:00:00"/>
    <s v="-"/>
    <m/>
    <n v="0"/>
    <n v="0"/>
    <n v="0"/>
    <n v="0"/>
    <n v="0"/>
  </r>
  <r>
    <s v="BV"/>
    <s v="BV45707"/>
    <s v="Pedido 1021"/>
    <d v="2025-02-19T00:00:00"/>
    <d v="2025-02-19T00:00:00"/>
    <s v="PedidoF1000"/>
    <s v="CódRastreio998"/>
    <n v="1"/>
    <s v="CPF 993"/>
    <s v="Nome 993"/>
    <s v="Tel 993"/>
    <s v="Cep 993"/>
    <s v="Rua 993"/>
    <s v="Comp 993"/>
    <x v="3"/>
    <s v="IF-G2ZQ-79FO"/>
    <d v="2025-03-15T00:00:00"/>
    <n v="78.989999999999995"/>
    <n v="78.989999999999995"/>
    <n v="10.268699999999999"/>
    <n v="68.72"/>
    <n v="13.43"/>
    <n v="0.2"/>
    <n v="0.39877104377104378"/>
    <n v="0"/>
    <n v="54.691228956228954"/>
    <n v="27.345614478114477"/>
    <d v="2025-03-22T00:00:00"/>
    <d v="2025-03-22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07"/>
    <s v="Pedido 1022"/>
    <d v="2025-02-19T00:00:00"/>
    <d v="2025-02-19T00:00:00"/>
    <s v="PedidoF1001"/>
    <s v="CódRastreio999"/>
    <n v="1"/>
    <s v="CPF 994"/>
    <s v="Nome 994"/>
    <s v="Tel 994"/>
    <s v="Cep 994"/>
    <s v="Rua 994"/>
    <s v="Comp 994"/>
    <x v="10"/>
    <s v="WU-SS4J-LFOH"/>
    <d v="2025-03-14T00:00:00"/>
    <n v="65.989999999999995"/>
    <n v="65.989999999999995"/>
    <n v="8.5786999999999995"/>
    <n v="57.41"/>
    <n v="0"/>
    <n v="0.25"/>
    <n v="0.39877104377104378"/>
    <n v="0"/>
    <n v="56.761228956228955"/>
    <n v="28.380614478114477"/>
    <d v="2025-03-21T00:00:00"/>
    <d v="2025-03-21T00:00:00"/>
    <d v="2025-03-31T00:00:00"/>
    <d v="2025-04-02T00:00:00"/>
    <s v="2025 03"/>
    <s v="Aguardando Liberação"/>
    <s v="2025 02"/>
    <s v="ENTREGUE"/>
    <d v="2025-03-03T00:00:00"/>
    <s v="-"/>
    <m/>
    <n v="0"/>
    <n v="0"/>
    <n v="0"/>
    <n v="0"/>
    <n v="0"/>
  </r>
  <r>
    <s v="MEI"/>
    <s v="MEI45707"/>
    <s v="Pedido 1023"/>
    <d v="2025-02-19T00:00:00"/>
    <d v="2025-02-19T00:00:00"/>
    <s v="PedidoF1002"/>
    <s v="CódRastreio1000"/>
    <n v="1"/>
    <s v="CPF 995"/>
    <s v="Nome 995"/>
    <s v="Tel 995"/>
    <s v="Cep 995"/>
    <s v="Rua 995"/>
    <s v="Comp 995"/>
    <x v="10"/>
    <s v="WU-SS4J-LFOH"/>
    <d v="2025-03-20T00:00:00"/>
    <n v="65.989999999999995"/>
    <n v="65.989999999999995"/>
    <n v="8.5786999999999995"/>
    <n v="57.41"/>
    <n v="14.35"/>
    <n v="0.25"/>
    <n v="0.39877104377104378"/>
    <n v="0"/>
    <n v="42.411228956228953"/>
    <n v="21.205614478114477"/>
    <d v="2025-03-27T00:00:00"/>
    <d v="2025-03-27T00:00:00"/>
    <d v="2025-03-31T00:00:00"/>
    <d v="2025-04-02T00:00:00"/>
    <s v="2025 03"/>
    <s v="Aguardando Liberação"/>
    <s v="2025 02"/>
    <s v="ENTREGUE"/>
    <d v="2025-03-13T00:00:00"/>
    <s v="-"/>
    <m/>
    <n v="0"/>
    <n v="0"/>
    <n v="0"/>
    <n v="0"/>
    <n v="0"/>
  </r>
  <r>
    <s v="MEI"/>
    <s v="MEI45708"/>
    <s v="Pedido 1024"/>
    <d v="2025-02-19T00:00:00"/>
    <d v="2025-02-20T00:00:00"/>
    <s v="PedidoF1003"/>
    <s v="CódRastreio1001"/>
    <n v="1"/>
    <s v="CPF 996"/>
    <s v="Nome 996"/>
    <s v="Tel 996"/>
    <s v="Cep 996"/>
    <s v="Rua 996"/>
    <s v="Comp 996"/>
    <x v="10"/>
    <s v="WU-SS4J-LFOH"/>
    <d v="2025-03-14T00:00:00"/>
    <n v="65.989999999999995"/>
    <n v="65.989999999999995"/>
    <n v="8.5786999999999995"/>
    <n v="57.41"/>
    <n v="0"/>
    <n v="0.2"/>
    <n v="0.39877104377104378"/>
    <n v="0"/>
    <n v="56.811228956228952"/>
    <n v="28.405614478114476"/>
    <d v="2025-03-21T00:00:00"/>
    <d v="2025-03-21T00:00:00"/>
    <d v="2025-03-31T00:00:00"/>
    <d v="2025-04-02T00:00:00"/>
    <s v="2025 03"/>
    <s v="Aguardando Liberação"/>
    <s v="2025 02"/>
    <s v="ENTREGUE"/>
    <d v="2025-04-03T00:00:00"/>
    <s v="-"/>
    <m/>
    <n v="0"/>
    <n v="0"/>
    <n v="0"/>
    <n v="0"/>
    <n v="0"/>
  </r>
  <r>
    <s v="MEI"/>
    <s v="MEI45707"/>
    <s v="Pedido 1025"/>
    <d v="2025-02-19T00:00:00"/>
    <d v="2025-02-19T00:00:00"/>
    <s v="PedidoF1004"/>
    <s v="CódRastreio1002"/>
    <n v="1"/>
    <s v="CPF 997"/>
    <s v="Nome 997"/>
    <s v="Tel 997"/>
    <s v="Cep 997"/>
    <s v="Rua 997"/>
    <s v="Comp 997"/>
    <x v="10"/>
    <s v="WU-SS4J-LFOH"/>
    <d v="2025-03-15T00:00:00"/>
    <n v="65.989999999999995"/>
    <n v="65.989999999999995"/>
    <n v="8.5786999999999995"/>
    <n v="57.41"/>
    <n v="14.35"/>
    <n v="0.25"/>
    <n v="0.39877104377104378"/>
    <n v="0"/>
    <n v="42.411228956228953"/>
    <n v="21.205614478114477"/>
    <d v="2025-03-22T00:00:00"/>
    <d v="2025-03-22T00:00:00"/>
    <d v="2025-03-31T00:00:00"/>
    <d v="2025-04-02T00:00:00"/>
    <s v="2025 03"/>
    <s v="Aguardando Liberação"/>
    <s v="2025 02"/>
    <s v="ENTREGUE"/>
    <d v="2025-03-05T00:00:00"/>
    <s v="-"/>
    <m/>
    <n v="0"/>
    <n v="0"/>
    <n v="0"/>
    <n v="0"/>
    <n v="0"/>
  </r>
  <r>
    <s v="BV"/>
    <s v="BV45708"/>
    <s v="Pedido 1026"/>
    <d v="2025-02-20T00:00:00"/>
    <d v="2025-02-20T00:00:00"/>
    <s v="PedidoF1005"/>
    <s v="CódRastreio1003"/>
    <n v="1"/>
    <s v="CPF 998"/>
    <s v="Nome 998"/>
    <s v="Tel 998"/>
    <s v="Cep 998"/>
    <s v="Rua 998"/>
    <s v="Comp 998"/>
    <x v="3"/>
    <s v="IF-G2ZQ-79FO"/>
    <d v="2025-03-22T00:00:00"/>
    <n v="65.989999999999995"/>
    <n v="65.989999999999995"/>
    <n v="8.5786999999999995"/>
    <n v="57.41"/>
    <n v="13.47"/>
    <n v="0.4"/>
    <n v="0.39877104377104378"/>
    <n v="0"/>
    <n v="43.14122895622895"/>
    <n v="21.570614478114475"/>
    <d v="2025-03-29T00:00:00"/>
    <d v="2025-03-29T00:00:00"/>
    <d v="2025-03-31T00:00:00"/>
    <d v="2025-04-02T00:00:00"/>
    <s v="2025 03"/>
    <s v="Aguardando Liberação"/>
    <s v="2025 02"/>
    <s v="ENTREGUE"/>
    <d v="2025-03-07T00:00:00"/>
    <s v="-"/>
    <m/>
    <n v="0"/>
    <n v="0"/>
    <n v="0"/>
    <n v="0"/>
    <n v="0"/>
  </r>
  <r>
    <s v="MEI"/>
    <s v="MEI45710"/>
    <s v="Pedido 1027"/>
    <d v="2025-02-20T00:00:00"/>
    <d v="2025-02-22T00:00:00"/>
    <s v="PedidoF1006"/>
    <s v="CódRastreio1004"/>
    <n v="1"/>
    <s v="CPF 999"/>
    <s v="Nome 999"/>
    <s v="Tel 999"/>
    <s v="Cep 999"/>
    <s v="Rua 999"/>
    <s v="Comp 999"/>
    <x v="10"/>
    <s v="WU-SS4J-LFOH"/>
    <d v="2025-03-18T00:00:00"/>
    <n v="65.989999999999995"/>
    <n v="65.989999999999995"/>
    <n v="8.5786999999999995"/>
    <n v="57.41"/>
    <n v="16.05"/>
    <n v="0.2"/>
    <n v="0.39877104377104378"/>
    <n v="0"/>
    <n v="40.761228956228948"/>
    <n v="20.380614478114474"/>
    <d v="2025-03-25T00:00:00"/>
    <d v="2025-03-25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BV"/>
    <s v="BV45710"/>
    <s v="Pedido 1028"/>
    <d v="2025-02-20T00:00:00"/>
    <d v="2025-02-22T00:00:00"/>
    <s v="PedidoF1007"/>
    <s v="CódRastreio1005"/>
    <n v="1"/>
    <s v="CPF 1000"/>
    <s v="Nome 1000"/>
    <s v="Tel 1000"/>
    <s v="Cep 1000"/>
    <s v="Rua 1000"/>
    <s v="Comp 1000"/>
    <x v="8"/>
    <s v="FM-QQ8Y-RZT4"/>
    <d v="2025-03-12T00:00:00"/>
    <n v="23.5"/>
    <n v="23.5"/>
    <n v="3.0550000000000002"/>
    <n v="20.45"/>
    <n v="6.99"/>
    <n v="0.2"/>
    <n v="0.39877104377104378"/>
    <n v="0"/>
    <n v="12.861228956228956"/>
    <n v="6.4306144781144781"/>
    <d v="2025-03-19T00:00:00"/>
    <d v="2025-03-19T00:00:00"/>
    <d v="2025-03-31T00:00:00"/>
    <d v="2025-04-02T00:00:00"/>
    <s v="2025 03"/>
    <s v="Aguardando Liberação"/>
    <s v="2025 02"/>
    <s v="ENTREGUE"/>
    <d v="2025-02-27T00:00:00"/>
    <s v="-"/>
    <m/>
    <n v="0"/>
    <n v="0"/>
    <n v="0"/>
    <n v="0"/>
    <n v="0"/>
  </r>
  <r>
    <s v="BV"/>
    <s v="BV45710"/>
    <s v="Pedido 1029"/>
    <d v="2025-02-20T00:00:00"/>
    <d v="2025-02-22T00:00:00"/>
    <s v="PedidoF1008"/>
    <s v="CódRastreio1006"/>
    <n v="1"/>
    <s v="CPF 1001"/>
    <s v="Nome 1001"/>
    <s v="Tel 1001"/>
    <s v="Cep 1001"/>
    <s v="Rua 1001"/>
    <s v="Comp 1001"/>
    <x v="3"/>
    <s v="IF-G2ZQ-79FO"/>
    <d v="2025-03-18T00:00:00"/>
    <n v="65.989999999999995"/>
    <n v="65.989999999999995"/>
    <n v="8.5786999999999995"/>
    <n v="57.41"/>
    <n v="15.28"/>
    <n v="0.2"/>
    <n v="0.39877104377104378"/>
    <n v="0"/>
    <n v="41.531228956228958"/>
    <n v="20.765614478114479"/>
    <d v="2025-03-25T00:00:00"/>
    <d v="2025-03-25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BV"/>
    <s v="BV45710"/>
    <s v="Pedido 1030"/>
    <d v="2025-02-21T00:00:00"/>
    <d v="2025-02-22T00:00:00"/>
    <s v="PedidoF1009"/>
    <s v="CódRastreio1007"/>
    <n v="1"/>
    <s v="CPF 1002"/>
    <s v="Nome 1002"/>
    <s v="Tel 1002"/>
    <s v="Cep 1002"/>
    <s v="Rua 1002"/>
    <s v="Comp 1002"/>
    <x v="20"/>
    <s v="5D-KKPK-K70I"/>
    <d v="2025-03-25T00:00:00"/>
    <n v="25.99"/>
    <n v="25.99"/>
    <n v="3.8984999999999994"/>
    <n v="22.09"/>
    <n v="12.05"/>
    <n v="0.2"/>
    <n v="0.39877104377104378"/>
    <n v="0"/>
    <n v="9.4412289562289562"/>
    <n v="4.7206144781144781"/>
    <d v="2025-04-01T00:00:00"/>
    <d v="2025-04-01T00:00:00"/>
    <d v="2025-04-15T00:00:00"/>
    <d v="2025-04-16T00:00:00"/>
    <s v="2025 04"/>
    <s v="Aguardando Liberação"/>
    <s v="2025 02"/>
    <s v="ENTREGUE"/>
    <d v="2025-03-18T00:00:00"/>
    <s v="-"/>
    <m/>
    <n v="0"/>
    <n v="0"/>
    <n v="0"/>
    <n v="0"/>
    <n v="0"/>
  </r>
  <r>
    <s v="BV"/>
    <s v="BV45710"/>
    <s v="Pedido 1031"/>
    <d v="2025-02-21T00:00:00"/>
    <d v="2025-02-22T00:00:00"/>
    <s v="PedidoF1010"/>
    <s v="CódRastreio1008"/>
    <n v="1"/>
    <s v="CPF 1003"/>
    <s v="Nome 1003"/>
    <s v="Tel 1003"/>
    <s v="Cep 1003"/>
    <s v="Rua 1003"/>
    <s v="Comp 1003"/>
    <x v="8"/>
    <s v="FM-QQ8Y-RZT4"/>
    <d v="2025-03-13T00:00:00"/>
    <n v="23.5"/>
    <n v="23.5"/>
    <n v="3.0550000000000002"/>
    <n v="20.45"/>
    <n v="6.99"/>
    <n v="0.2"/>
    <n v="0.39877104377104378"/>
    <n v="0"/>
    <n v="12.861228956228956"/>
    <n v="6.4306144781144781"/>
    <d v="2025-03-20T00:00:00"/>
    <d v="2025-03-20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BV"/>
    <s v="BV45710"/>
    <s v="Pedido 1032"/>
    <d v="2025-02-21T00:00:00"/>
    <d v="2025-02-22T00:00:00"/>
    <s v="PedidoF1011"/>
    <s v="CódRastreio1009"/>
    <n v="1"/>
    <s v="CPF 1004"/>
    <s v="Nome 1004"/>
    <s v="Tel 1004"/>
    <s v="Cep 1004"/>
    <s v="Rua 1004"/>
    <s v="Comp 1004"/>
    <x v="23"/>
    <s v="QH-IFCI-7SW7"/>
    <d v="2025-03-11T00:00:00"/>
    <n v="26.99"/>
    <n v="26.99"/>
    <n v="3.5086999999999997"/>
    <n v="23.48"/>
    <n v="10.5"/>
    <n v="0.2"/>
    <n v="0.39877104377104378"/>
    <n v="0"/>
    <n v="12.381228956228957"/>
    <n v="6.1906144781144787"/>
    <d v="2025-03-18T00:00:00"/>
    <d v="2025-03-18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BV"/>
    <s v="BV45710"/>
    <s v="Pedido 1033"/>
    <d v="2025-02-21T00:00:00"/>
    <d v="2025-02-22T00:00:00"/>
    <s v="PedidoF1012"/>
    <s v="CódRastreio1010"/>
    <n v="1"/>
    <s v="CPF 1005"/>
    <s v="Nome 1005"/>
    <s v="Tel 1005"/>
    <s v="Cep 1005"/>
    <s v="Rua 1005"/>
    <s v="Comp 1005"/>
    <x v="8"/>
    <s v="FM-QQ8Y-RZT4"/>
    <d v="2025-03-19T00:00:00"/>
    <n v="23.5"/>
    <n v="23.5"/>
    <n v="3.0550000000000002"/>
    <n v="20.45"/>
    <n v="29.01"/>
    <n v="0.2"/>
    <n v="0.39877104377104378"/>
    <n v="0"/>
    <n v="-9.158771043771047"/>
    <n v="-4.5793855218855235"/>
    <d v="2025-03-26T00:00:00"/>
    <d v="2025-03-26T00:00:00"/>
    <d v="2025-03-31T00:00:00"/>
    <d v="2025-04-02T00:00:00"/>
    <s v="2025 03"/>
    <s v="Aguardando Liberação"/>
    <s v="2025 02"/>
    <s v="ENTREGUE"/>
    <d v="2025-03-05T00:00:00"/>
    <s v="-"/>
    <m/>
    <n v="0"/>
    <n v="0"/>
    <n v="0"/>
    <n v="0"/>
    <n v="0"/>
  </r>
  <r>
    <s v="GO"/>
    <s v="GO45710"/>
    <s v="Pedido 1034"/>
    <d v="2025-02-21T00:00:00"/>
    <d v="2025-02-22T00:00:00"/>
    <s v="PedidoF1013"/>
    <s v="CódRastreio1011"/>
    <n v="1"/>
    <s v="CPF 1006"/>
    <s v="Nome 1006"/>
    <s v="Tel 1006"/>
    <s v="Cep 1006"/>
    <s v="Rua 1006"/>
    <s v="Comp 1006"/>
    <x v="24"/>
    <s v="HL-E4X9-IHLB"/>
    <d v="2025-03-25T00:00:00"/>
    <n v="51.99"/>
    <n v="51.99"/>
    <n v="7.7984999999999998"/>
    <n v="44.19"/>
    <n v="21.75"/>
    <n v="0.2"/>
    <n v="0.39877104377104378"/>
    <n v="0"/>
    <n v="21.841228956228953"/>
    <n v="21.841228956228953"/>
    <d v="2025-04-01T00:00:00"/>
    <d v="2025-04-01T00:00:00"/>
    <d v="2025-04-15T00:00:00"/>
    <d v="2025-04-16T00:00:00"/>
    <s v="2025 04"/>
    <s v="Aguardando Liberação"/>
    <s v="2025 02"/>
    <s v="ENTREGUE"/>
    <d v="2025-03-07T00:00:00"/>
    <s v="-"/>
    <m/>
    <n v="0"/>
    <n v="0"/>
    <n v="0"/>
    <n v="0"/>
    <n v="0"/>
  </r>
  <r>
    <s v="BV"/>
    <s v="BV45712"/>
    <s v="Pedido 1035"/>
    <d v="2025-02-22T00:00:00"/>
    <d v="2025-02-24T00:00:00"/>
    <s v="PedidoF1014"/>
    <s v="CódRastreio1012"/>
    <n v="1"/>
    <s v="CPF 1007"/>
    <s v="Nome 1007"/>
    <s v="Tel 1007"/>
    <s v="Cep 1007"/>
    <s v="Rua 1007"/>
    <s v="Comp 1007"/>
    <x v="6"/>
    <s v="KN-TBQL-K2MM"/>
    <d v="2025-03-13T00:00:00"/>
    <n v="23.9"/>
    <n v="23.9"/>
    <n v="3.1069999999999998"/>
    <n v="20.79"/>
    <n v="6.99"/>
    <n v="0.23"/>
    <n v="0.39877104377104378"/>
    <n v="0"/>
    <n v="13.171228956228955"/>
    <n v="6.5856144781144774"/>
    <d v="2025-03-20T00:00:00"/>
    <d v="2025-03-20T00:00:00"/>
    <d v="2025-03-31T00:00:00"/>
    <d v="2025-04-02T00:00:00"/>
    <s v="2025 03"/>
    <s v="Aguardando Liberação"/>
    <s v="2025 02"/>
    <s v="ENTREGUE"/>
    <d v="2025-03-07T00:00:00"/>
    <s v="-"/>
    <m/>
    <n v="0"/>
    <n v="0"/>
    <n v="0"/>
    <n v="0"/>
    <n v="0"/>
  </r>
  <r>
    <s v="BV"/>
    <s v="BV45712"/>
    <s v="Pedido 1036"/>
    <d v="2025-02-23T00:00:00"/>
    <d v="2025-02-24T00:00:00"/>
    <s v="PedidoF1015"/>
    <s v="CódRastreio1013"/>
    <n v="1"/>
    <s v="CPF 1008"/>
    <s v="Nome 1008"/>
    <s v="Tel 1008"/>
    <s v="Cep 1008"/>
    <s v="Rua 1008"/>
    <s v="Comp 1008"/>
    <x v="0"/>
    <s v="16-4EDB-WMZF"/>
    <d v="2025-03-19T00:00:00"/>
    <n v="24.99"/>
    <n v="24.99"/>
    <n v="3.7484999999999995"/>
    <n v="21.24"/>
    <n v="0"/>
    <n v="0.23"/>
    <n v="0.39877104377104378"/>
    <n v="0"/>
    <n v="20.611228956228956"/>
    <n v="10.305614478114478"/>
    <d v="2025-03-26T00:00:00"/>
    <d v="2025-03-26T00:00:00"/>
    <d v="2025-03-31T00:00:00"/>
    <d v="2025-04-02T00:00:00"/>
    <s v="2025 03"/>
    <s v="Aguardando Liberação"/>
    <s v="2025 02"/>
    <s v="ENTREGUE"/>
    <d v="2025-03-29T00:00:00"/>
    <s v="-"/>
    <m/>
    <n v="0"/>
    <n v="0"/>
    <n v="0"/>
    <n v="0"/>
    <n v="0"/>
  </r>
  <r>
    <s v="BV"/>
    <s v="BV45712"/>
    <s v="Pedido 1037"/>
    <d v="2025-02-23T00:00:00"/>
    <d v="2025-02-24T00:00:00"/>
    <s v="PedidoF1016"/>
    <s v="CódRastreio1014"/>
    <n v="1"/>
    <s v="CPF 1009"/>
    <s v="Nome 1009"/>
    <s v="Tel 1009"/>
    <s v="Cep 1009"/>
    <s v="Rua 1009"/>
    <s v="Comp 1009"/>
    <x v="8"/>
    <s v="FM-QQ8Y-RZT4"/>
    <d v="2025-03-19T00:00:00"/>
    <n v="23.5"/>
    <n v="23.5"/>
    <n v="3.0550000000000002"/>
    <n v="20.45"/>
    <n v="15.8"/>
    <n v="0.23"/>
    <n v="0.39877104377104378"/>
    <n v="0"/>
    <n v="4.0212289562289527"/>
    <n v="2.0106144781144764"/>
    <d v="2025-03-26T00:00:00"/>
    <d v="2025-03-26T00:00:00"/>
    <d v="2025-03-31T00:00:00"/>
    <d v="2025-04-02T00:00:00"/>
    <s v="2025 03"/>
    <s v="Aguardando Liberação"/>
    <s v="2025 02"/>
    <s v="ENTREGUE"/>
    <d v="2025-03-01T00:00:00"/>
    <s v="-"/>
    <m/>
    <n v="0"/>
    <n v="0"/>
    <n v="0"/>
    <n v="0"/>
    <n v="0"/>
  </r>
  <r>
    <s v="BV"/>
    <s v="BV45716"/>
    <s v="Pedido 1038"/>
    <d v="2025-02-23T00:00:00"/>
    <d v="2025-02-28T00:00:00"/>
    <s v="PedidoF1017"/>
    <s v="CódRastreio1015"/>
    <n v="1"/>
    <s v="CPF 1010"/>
    <s v="Nome 1010"/>
    <s v="Tel 1010"/>
    <s v="Cep 1010"/>
    <s v="Rua 1010"/>
    <s v="Comp 1010"/>
    <x v="17"/>
    <s v="IA-LLX9-MRV1"/>
    <d v="2025-04-01T00:00:00"/>
    <n v="65.989999999999995"/>
    <n v="65.989999999999995"/>
    <n v="9.2385999999999999"/>
    <n v="56.75"/>
    <n v="36.869999999999997"/>
    <n v="0.2"/>
    <n v="0.39877104377104378"/>
    <n v="0"/>
    <n v="19.281228956228958"/>
    <n v="9.6406144781144789"/>
    <d v="2025-04-08T00:00:00"/>
    <d v="2025-04-08T00:00:00"/>
    <d v="2025-04-15T00:00:00"/>
    <d v="2025-04-16T00:00:00"/>
    <s v="2025 04"/>
    <s v="Aguardando Liberação"/>
    <s v="2025 02"/>
    <s v="ENTREGUE"/>
    <d v="2025-04-03T00:00:00"/>
    <s v="-"/>
    <m/>
    <n v="0"/>
    <n v="0"/>
    <n v="0"/>
    <n v="0"/>
    <n v="0"/>
  </r>
  <r>
    <s v="BV"/>
    <s v="BV45712"/>
    <s v="Pedido 1039"/>
    <d v="2025-02-24T00:00:00"/>
    <d v="2025-02-24T00:00:00"/>
    <s v="PedidoF1018"/>
    <s v="CódRastreio1016"/>
    <n v="1"/>
    <s v="CPF 1011"/>
    <s v="Nome 1011"/>
    <s v="Tel 1011"/>
    <s v="Cep 1011"/>
    <s v="Rua 1011"/>
    <s v="Comp 1011"/>
    <x v="6"/>
    <s v="KN-TBQL-K2MM"/>
    <d v="2025-03-13T00:00:00"/>
    <n v="23.9"/>
    <n v="23.9"/>
    <n v="3.1069999999999998"/>
    <n v="20.79"/>
    <n v="6.99"/>
    <n v="0.23"/>
    <n v="0.39877104377104378"/>
    <n v="0"/>
    <n v="13.171228956228955"/>
    <n v="6.5856144781144774"/>
    <d v="2025-03-20T00:00:00"/>
    <d v="2025-03-20T00:00:00"/>
    <d v="2025-03-31T00:00:00"/>
    <d v="2025-04-02T00:00:00"/>
    <s v="2025 03"/>
    <s v="Aguardando Liberação"/>
    <s v="2025 02"/>
    <s v="ENTREGUE"/>
    <d v="2025-02-26T00:00:00"/>
    <s v="-"/>
    <m/>
    <n v="0"/>
    <n v="0"/>
    <n v="0"/>
    <n v="0"/>
    <n v="0"/>
  </r>
  <r>
    <s v="BV"/>
    <s v="BV45712"/>
    <s v="Pedido 1040"/>
    <d v="2025-02-24T00:00:00"/>
    <d v="2025-02-24T00:00:00"/>
    <s v="PedidoF1019"/>
    <s v="CódRastreio1017"/>
    <n v="1"/>
    <s v="CPF 1012"/>
    <s v="Nome 1012"/>
    <s v="Tel 1012"/>
    <s v="Cep 1012"/>
    <s v="Rua 1012"/>
    <s v="Comp 1012"/>
    <x v="6"/>
    <s v="KN-TBQL-K2MM"/>
    <d v="2025-03-26T00:00:00"/>
    <n v="23.9"/>
    <n v="23.9"/>
    <n v="3.1069999999999998"/>
    <n v="20.79"/>
    <n v="16.989999999999998"/>
    <n v="0.23"/>
    <n v="0.39877104377104378"/>
    <n v="0"/>
    <n v="3.1712289562289548"/>
    <n v="1.5856144781144774"/>
    <d v="2025-04-02T00:00:00"/>
    <d v="2025-04-02T00:00:00"/>
    <d v="2025-04-15T00:00:00"/>
    <d v="2025-04-16T00:00:00"/>
    <s v="2025 04"/>
    <s v="Aguardando Liberação"/>
    <s v="2025 02"/>
    <s v="ENTREGUE"/>
    <d v="2025-03-03T00:00:00"/>
    <s v="-"/>
    <m/>
    <n v="0"/>
    <n v="0"/>
    <n v="0"/>
    <n v="0"/>
    <n v="0"/>
  </r>
  <r>
    <s v="BV"/>
    <s v="BV45712"/>
    <s v="Pedido 1041"/>
    <d v="2025-02-24T00:00:00"/>
    <d v="2025-02-24T00:00:00"/>
    <s v="PedidoF1020"/>
    <s v="CódRastreio1018"/>
    <n v="1"/>
    <s v="CPF 1013"/>
    <s v="Nome 1013"/>
    <s v="Tel 1013"/>
    <s v="Cep 1013"/>
    <s v="Rua 1013"/>
    <s v="Comp 1013"/>
    <x v="6"/>
    <s v="KN-TBQL-K2MM"/>
    <d v="2025-03-14T00:00:00"/>
    <n v="23.9"/>
    <n v="23.9"/>
    <n v="3.1069999999999998"/>
    <n v="20.79"/>
    <n v="13.63"/>
    <n v="0.23"/>
    <n v="0.39877104377104378"/>
    <n v="0"/>
    <n v="6.5312289562289543"/>
    <n v="3.2656144781144771"/>
    <d v="2025-03-21T00:00:00"/>
    <d v="2025-03-21T00:00:00"/>
    <d v="2025-03-31T00:00:00"/>
    <d v="2025-04-02T00:00:00"/>
    <s v="2025 03"/>
    <s v="Aguardando Liberação"/>
    <s v="2025 02"/>
    <s v="ENTREGUE"/>
    <d v="2025-03-07T00:00:00"/>
    <s v="-"/>
    <m/>
    <n v="0"/>
    <n v="0"/>
    <n v="0"/>
    <n v="0"/>
    <n v="0"/>
  </r>
  <r>
    <s v="BV"/>
    <s v="BV45712"/>
    <s v="Pedido 1042"/>
    <d v="2025-02-24T00:00:00"/>
    <d v="2025-02-24T00:00:00"/>
    <s v="PedidoF1021"/>
    <s v="CódRastreio1019"/>
    <n v="1"/>
    <s v="CPF 1014"/>
    <s v="Nome 1014"/>
    <s v="Tel 1014"/>
    <s v="Cep 1014"/>
    <s v="Rua 1014"/>
    <s v="Comp 1014"/>
    <x v="3"/>
    <s v="IF-G2ZQ-79FO"/>
    <d v="2025-03-20T00:00:00"/>
    <n v="65.989999999999995"/>
    <n v="65.989999999999995"/>
    <n v="8.5786999999999995"/>
    <n v="57.41"/>
    <n v="14.53"/>
    <n v="0.23"/>
    <n v="0.39877104377104378"/>
    <n v="0"/>
    <n v="42.251228956228957"/>
    <n v="21.125614478114478"/>
    <d v="2025-03-27T00:00:00"/>
    <d v="2025-03-27T00:00:00"/>
    <d v="2025-03-31T00:00:00"/>
    <d v="2025-04-02T00:00:00"/>
    <s v="2025 03"/>
    <s v="Aguardando Liberação"/>
    <s v="2025 02"/>
    <s v="ENTREGUE"/>
    <d v="2025-03-10T00:00:00"/>
    <s v="-"/>
    <m/>
    <n v="0"/>
    <n v="0"/>
    <n v="0"/>
    <n v="0"/>
    <n v="0"/>
  </r>
  <r>
    <s v="MEI"/>
    <s v="MEI45712"/>
    <s v="Pedido 1043"/>
    <d v="2025-02-22T00:00:00"/>
    <d v="2025-02-24T00:00:00"/>
    <s v="PedidoF1022"/>
    <s v="CódRastreio1020"/>
    <n v="1"/>
    <s v="CPF 408"/>
    <s v="Nome 408"/>
    <s v="Tel 408"/>
    <s v="Cep 408"/>
    <s v="Rua 408"/>
    <s v="Comp 408"/>
    <x v="10"/>
    <s v="WU-SS4J-LFOH"/>
    <d v="2025-03-19T00:00:00"/>
    <n v="65.75"/>
    <n v="65.75"/>
    <n v="8.5474999999999994"/>
    <n v="57.2"/>
    <n v="12.08"/>
    <n v="0.2"/>
    <n v="0.39877104377104378"/>
    <n v="0"/>
    <n v="44.52122895622896"/>
    <n v="22.26061447811448"/>
    <d v="2025-03-26T00:00:00"/>
    <d v="2025-03-26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12"/>
    <s v="Pedido 1044"/>
    <d v="2025-02-22T00:00:00"/>
    <d v="2025-02-24T00:00:00"/>
    <s v="PedidoF1023"/>
    <s v="CódRastreio1021"/>
    <n v="1"/>
    <s v="CPF 1015"/>
    <s v="Nome 1015"/>
    <s v="Tel 1015"/>
    <s v="Cep 1015"/>
    <s v="Rua 1015"/>
    <s v="Comp 1015"/>
    <x v="10"/>
    <s v="WU-SS4J-LFOH"/>
    <d v="2025-03-19T00:00:00"/>
    <n v="65.75"/>
    <n v="65.75"/>
    <n v="8.5474999999999994"/>
    <n v="57.2"/>
    <n v="12.08"/>
    <n v="0.2"/>
    <n v="0.39877104377104378"/>
    <n v="0"/>
    <n v="44.52122895622896"/>
    <n v="22.26061447811448"/>
    <d v="2025-03-26T00:00:00"/>
    <d v="2025-03-26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12"/>
    <s v="Pedido 1045"/>
    <d v="2025-02-22T00:00:00"/>
    <d v="2025-02-24T00:00:00"/>
    <s v="PedidoF1024"/>
    <s v="CódRastreio1022"/>
    <n v="1"/>
    <s v="CPF 1016"/>
    <s v="Nome 1016"/>
    <s v="Tel 1016"/>
    <s v="Cep 1016"/>
    <s v="Rua 1016"/>
    <s v="Comp 1016"/>
    <x v="10"/>
    <s v="WU-SS4J-LFOH"/>
    <d v="2025-03-19T00:00:00"/>
    <n v="65.75"/>
    <n v="65.75"/>
    <n v="8.5474999999999994"/>
    <n v="57.2"/>
    <n v="12.08"/>
    <n v="0.2"/>
    <n v="0.39877104377104378"/>
    <n v="0"/>
    <n v="44.52122895622896"/>
    <n v="22.26061447811448"/>
    <d v="2025-03-26T00:00:00"/>
    <d v="2025-03-26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12"/>
    <s v="Pedido 1046"/>
    <d v="2025-02-24T00:00:00"/>
    <d v="2025-02-24T00:00:00"/>
    <s v="PedidoF1025"/>
    <s v="CódRastreio1023"/>
    <n v="1"/>
    <s v="CPF 1017"/>
    <s v="Nome 1017"/>
    <s v="Tel 1017"/>
    <s v="Cep 1017"/>
    <s v="Rua 1017"/>
    <s v="Comp 1017"/>
    <x v="10"/>
    <s v="WU-SS4J-LFOH"/>
    <d v="2025-03-25T00:00:00"/>
    <n v="65.75"/>
    <n v="65.75"/>
    <n v="8.5474999999999994"/>
    <n v="57.2"/>
    <n v="12.08"/>
    <n v="0.2"/>
    <n v="0.39877104377104378"/>
    <n v="0"/>
    <n v="44.52122895622896"/>
    <n v="22.26061447811448"/>
    <d v="2025-04-01T00:00:00"/>
    <d v="2025-04-01T00:00:00"/>
    <d v="2025-04-15T00:00:00"/>
    <d v="2025-04-16T00:00:00"/>
    <s v="2025 04"/>
    <s v="Aguardando Liberação"/>
    <s v="2025 02"/>
    <s v="ENTREGUE"/>
    <d v="2025-03-14T00:00:00"/>
    <s v="-"/>
    <m/>
    <n v="0"/>
    <n v="0"/>
    <n v="0"/>
    <n v="0"/>
    <n v="0"/>
  </r>
  <r>
    <s v="MEI"/>
    <s v="MEI45712"/>
    <s v="Pedido 1047"/>
    <d v="2025-02-24T00:00:00"/>
    <d v="2025-02-24T00:00:00"/>
    <s v="PedidoF1026"/>
    <s v="CódRastreio1024"/>
    <n v="1"/>
    <s v="CPF 1018"/>
    <s v="Nome 1018"/>
    <s v="Tel 1018"/>
    <s v="Cep 1018"/>
    <s v="Rua 1018"/>
    <s v="Comp 1018"/>
    <x v="10"/>
    <s v="WU-SS4J-LFOH"/>
    <d v="2025-03-20T00:00:00"/>
    <n v="65.75"/>
    <n v="65.75"/>
    <n v="8.5474999999999994"/>
    <n v="57.2"/>
    <n v="12.08"/>
    <n v="0.2"/>
    <n v="0.39877104377104378"/>
    <n v="0"/>
    <n v="44.52122895622896"/>
    <n v="22.26061447811448"/>
    <d v="2025-03-27T00:00:00"/>
    <d v="2025-03-27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MEI"/>
    <s v="MEI45712"/>
    <s v="Pedido 1048"/>
    <d v="2025-02-24T00:00:00"/>
    <d v="2025-02-24T00:00:00"/>
    <s v="PedidoF1027"/>
    <s v="CódRastreio1025"/>
    <n v="1"/>
    <s v="CPF 1019"/>
    <s v="Nome 1019"/>
    <s v="Tel 1019"/>
    <s v="Cep 1019"/>
    <s v="Rua 1019"/>
    <s v="Comp 1019"/>
    <x v="10"/>
    <s v="WU-SS4J-LFOH"/>
    <d v="2025-03-20T00:00:00"/>
    <n v="65.75"/>
    <n v="65.75"/>
    <n v="8.5474999999999994"/>
    <n v="57.2"/>
    <n v="12.08"/>
    <n v="0.2"/>
    <n v="0.39877104377104378"/>
    <n v="0"/>
    <n v="44.52122895622896"/>
    <n v="22.26061447811448"/>
    <d v="2025-03-27T00:00:00"/>
    <d v="2025-03-27T00:00:00"/>
    <d v="2025-03-31T00:00:00"/>
    <d v="2025-04-02T00:00:00"/>
    <s v="2025 03"/>
    <s v="Aguardando Liberação"/>
    <s v="2025 02"/>
    <s v="ENTREGUE"/>
    <d v="2025-03-10T00:00:00"/>
    <s v="-"/>
    <m/>
    <n v="0"/>
    <n v="0"/>
    <n v="0"/>
    <n v="0"/>
    <n v="0"/>
  </r>
  <r>
    <s v="MEI"/>
    <s v="MEI45712"/>
    <s v="Pedido 1049"/>
    <d v="2025-02-24T00:00:00"/>
    <d v="2025-02-24T00:00:00"/>
    <s v="PedidoF1028"/>
    <s v="CódRastreio1026"/>
    <n v="1"/>
    <s v="CPF 1020"/>
    <s v="Nome 1020"/>
    <s v="Tel 1020"/>
    <s v="Cep 1020"/>
    <s v="Rua 1020"/>
    <s v="Comp 1020"/>
    <x v="10"/>
    <s v="WU-SS4J-LFOH"/>
    <d v="2025-03-20T00:00:00"/>
    <n v="65.75"/>
    <n v="65.75"/>
    <n v="8.5474999999999994"/>
    <n v="57.2"/>
    <n v="12.08"/>
    <n v="0.2"/>
    <n v="0.39877104377104378"/>
    <n v="0"/>
    <n v="44.52122895622896"/>
    <n v="22.26061447811448"/>
    <d v="2025-03-27T00:00:00"/>
    <d v="2025-03-27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BV"/>
    <s v="BV45715"/>
    <s v="Pedido 1050"/>
    <d v="2025-02-25T00:00:00"/>
    <d v="2025-02-27T00:00:00"/>
    <s v="PedidoF1029"/>
    <s v="CódRastreio1027"/>
    <n v="1"/>
    <s v="CPF 1021"/>
    <s v="Nome 1021"/>
    <s v="Tel 1021"/>
    <s v="Cep 1021"/>
    <s v="Rua 1021"/>
    <s v="Comp 1021"/>
    <x v="8"/>
    <s v="FM-QQ8Y-RZT4"/>
    <d v="2025-03-20T00:00:00"/>
    <n v="23.5"/>
    <n v="23.5"/>
    <n v="3.0550000000000002"/>
    <n v="20.45"/>
    <n v="13.8"/>
    <n v="0.31"/>
    <n v="0.39877104377104378"/>
    <n v="0"/>
    <n v="5.9412289562289544"/>
    <n v="2.9706144781144772"/>
    <d v="2025-03-27T00:00:00"/>
    <d v="2025-03-27T00:00:00"/>
    <d v="2025-03-31T00:00:00"/>
    <d v="2025-04-02T00:00:00"/>
    <s v="2025 03"/>
    <s v="Aguardando Liberação"/>
    <s v="2025 02"/>
    <s v="ENTREGUE"/>
    <d v="2025-03-10T00:00:00"/>
    <s v="-"/>
    <m/>
    <n v="0"/>
    <n v="0"/>
    <n v="0"/>
    <n v="0"/>
    <n v="0"/>
  </r>
  <r>
    <s v="BV"/>
    <s v="BV45714"/>
    <s v="Pedido 1051"/>
    <d v="2025-02-25T00:00:00"/>
    <d v="2025-02-26T00:00:00"/>
    <s v="PedidoF1030"/>
    <s v="CódRastreio1028"/>
    <n v="1"/>
    <s v="CPF 1022"/>
    <s v="Nome 1022"/>
    <s v="Tel 1022"/>
    <s v="Cep 1022"/>
    <s v="Rua 1022"/>
    <s v="Comp 1022"/>
    <x v="6"/>
    <s v="KN-TBQL-K2MM"/>
    <d v="2025-03-15T00:00:00"/>
    <n v="23.9"/>
    <n v="23.9"/>
    <n v="3.1069999999999998"/>
    <n v="20.79"/>
    <n v="6.99"/>
    <n v="0.25"/>
    <n v="0.39877104377104378"/>
    <n v="0"/>
    <n v="13.151228956228955"/>
    <n v="6.5756144781144776"/>
    <d v="2025-03-22T00:00:00"/>
    <d v="2025-03-22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BV"/>
    <s v="BV45714"/>
    <s v="Pedido 1052"/>
    <d v="2025-02-25T00:00:00"/>
    <d v="2025-02-26T00:00:00"/>
    <s v="PedidoF1031"/>
    <s v="CódRastreio1029"/>
    <n v="1"/>
    <s v="CPF 1023"/>
    <s v="Nome 1023"/>
    <s v="Tel 1023"/>
    <s v="Cep 1023"/>
    <s v="Rua 1023"/>
    <s v="Comp 1023"/>
    <x v="16"/>
    <s v="RB-W251-UXV2"/>
    <d v="2025-03-15T00:00:00"/>
    <n v="26.99"/>
    <n v="26.99"/>
    <n v="3.5086999999999997"/>
    <n v="23.48"/>
    <n v="14.4"/>
    <n v="0.25"/>
    <n v="0.39877104377104378"/>
    <n v="0"/>
    <n v="8.4312289562289564"/>
    <n v="4.2156144781144782"/>
    <d v="2025-03-22T00:00:00"/>
    <d v="2025-03-22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BV"/>
    <s v="BV45714"/>
    <s v="Pedido 1053"/>
    <d v="2025-02-26T00:00:00"/>
    <d v="2025-02-26T00:00:00"/>
    <s v="PedidoF1032"/>
    <s v="CódRastreio1030"/>
    <n v="1"/>
    <s v="CPF 1024"/>
    <s v="Nome 1024"/>
    <s v="Tel 1024"/>
    <s v="Cep 1024"/>
    <s v="Rua 1024"/>
    <s v="Comp 1024"/>
    <x v="11"/>
    <s v="BP-NHG2-B8C1"/>
    <d v="2025-03-22T00:00:00"/>
    <n v="70.5"/>
    <n v="70.5"/>
    <n v="9.1650000000000009"/>
    <n v="61.34"/>
    <n v="31.47"/>
    <n v="0.25"/>
    <n v="0.39877104377104378"/>
    <n v="0"/>
    <n v="29.221228956228963"/>
    <n v="14.610614478114481"/>
    <d v="2025-03-29T00:00:00"/>
    <d v="2025-03-29T00:00:00"/>
    <d v="2025-03-31T00:00:00"/>
    <d v="2025-04-02T00:00:00"/>
    <s v="2025 03"/>
    <s v="Aguardando Liberação"/>
    <s v="2025 02"/>
    <s v="ENTREGUE"/>
    <d v="2025-03-13T00:00:00"/>
    <s v="-"/>
    <m/>
    <n v="0"/>
    <n v="0"/>
    <n v="0"/>
    <n v="0"/>
    <n v="0"/>
  </r>
  <r>
    <s v="BV"/>
    <s v="BV45714"/>
    <s v="Pedido 1054"/>
    <d v="2025-02-26T00:00:00"/>
    <d v="2025-02-26T00:00:00"/>
    <s v="PedidoF1033"/>
    <s v="CódRastreio1031"/>
    <n v="1"/>
    <s v="CPF 1025"/>
    <s v="Nome 1025"/>
    <s v="Tel 1025"/>
    <s v="Cep 1025"/>
    <s v="Rua 1025"/>
    <s v="Comp 1025"/>
    <x v="3"/>
    <s v="IF-G2ZQ-79FO"/>
    <d v="2025-03-22T00:00:00"/>
    <n v="61.8"/>
    <n v="61.8"/>
    <n v="8.0340000000000007"/>
    <n v="53.77"/>
    <n v="13.16"/>
    <n v="0.25"/>
    <n v="0.39877104377104378"/>
    <n v="0"/>
    <n v="39.961228956228958"/>
    <n v="19.980614478114479"/>
    <d v="2025-03-29T00:00:00"/>
    <d v="2025-03-29T00:00:00"/>
    <d v="2025-03-31T00:00:00"/>
    <d v="2025-04-02T00:00:00"/>
    <s v="2025 03"/>
    <s v="Aguardando Liberação"/>
    <s v="2025 02"/>
    <s v="ENTREGUE"/>
    <d v="2025-03-12T14:37:02"/>
    <s v="-"/>
    <m/>
    <n v="0"/>
    <n v="0"/>
    <n v="0"/>
    <n v="0"/>
    <n v="0"/>
  </r>
  <r>
    <s v="MEI"/>
    <s v="MEI45714"/>
    <s v="Pedido 1055"/>
    <d v="2025-02-26T00:00:00"/>
    <d v="2025-02-26T00:00:00"/>
    <s v="PedidoF1034"/>
    <s v="CódRastreio1032"/>
    <n v="1"/>
    <s v="CPF 1026"/>
    <s v="Nome 1026"/>
    <s v="Tel 1026"/>
    <s v="Cep 1026"/>
    <s v="Rua 1026"/>
    <s v="Comp 1026"/>
    <x v="1"/>
    <s v="A4-5W51-K3HF"/>
    <d v="2025-03-15T00:00:00"/>
    <n v="30.95"/>
    <n v="30.95"/>
    <n v="4.3330000000000002"/>
    <n v="26.62"/>
    <n v="14.99"/>
    <n v="0.25"/>
    <n v="0.39877104377104378"/>
    <n v="0"/>
    <n v="10.981228956228957"/>
    <n v="5.4906144781144786"/>
    <d v="2025-03-22T00:00:00"/>
    <d v="2025-03-22T00:00:00"/>
    <d v="2025-03-31T00:00:00"/>
    <d v="2025-04-02T00:00:00"/>
    <s v="2025 03"/>
    <s v="Aguardando Liberação"/>
    <s v="2025 02"/>
    <s v="ENTREGUE"/>
    <d v="2025-02-28T00:00:00"/>
    <s v="-"/>
    <m/>
    <n v="0"/>
    <n v="0"/>
    <n v="0"/>
    <n v="0"/>
    <n v="0"/>
  </r>
  <r>
    <s v="MEI"/>
    <s v="MEI45714"/>
    <s v="Pedido 1056"/>
    <d v="2025-02-26T00:00:00"/>
    <d v="2025-02-26T00:00:00"/>
    <s v="PedidoF1035"/>
    <s v="CódRastreio1033"/>
    <n v="1"/>
    <s v="CPF 1027"/>
    <s v="Nome 1027"/>
    <s v="Tel 1027"/>
    <s v="Cep 1027"/>
    <s v="Rua 1027"/>
    <s v="Comp 1027"/>
    <x v="1"/>
    <s v="A4-5W51-K3HF"/>
    <d v="2025-03-28T00:00:00"/>
    <n v="30.95"/>
    <n v="30.95"/>
    <n v="4.3330000000000002"/>
    <n v="26.62"/>
    <n v="14.99"/>
    <n v="0.25"/>
    <n v="0.39877104377104378"/>
    <n v="0"/>
    <n v="10.981228956228957"/>
    <n v="5.4906144781144786"/>
    <d v="2025-04-04T00:00:00"/>
    <d v="2025-04-04T00:00:00"/>
    <d v="2025-04-15T00:00:00"/>
    <d v="2025-04-16T00:00:00"/>
    <s v="2025 04"/>
    <s v="Aguardando Liberação"/>
    <s v="2025 02"/>
    <s v="ENTREGUE"/>
    <d v="2025-03-05T00:00:00"/>
    <s v="-"/>
    <m/>
    <n v="0"/>
    <n v="0"/>
    <n v="0"/>
    <n v="0"/>
    <n v="0"/>
  </r>
  <r>
    <s v="MEI"/>
    <s v="MEI45714"/>
    <s v="Pedido 1057"/>
    <d v="2025-02-26T00:00:00"/>
    <d v="2025-02-26T00:00:00"/>
    <s v="PedidoF1036"/>
    <s v="CódRastreio1034"/>
    <n v="1"/>
    <s v="CPF 1028"/>
    <s v="Nome 1028"/>
    <s v="Tel 1028"/>
    <s v="Cep 1028"/>
    <s v="Rua 1028"/>
    <s v="Comp 1028"/>
    <x v="1"/>
    <s v="A4-5W51-K3HF"/>
    <d v="2025-03-28T00:00:00"/>
    <n v="30.95"/>
    <n v="30.95"/>
    <n v="4.3330000000000002"/>
    <n v="26.62"/>
    <n v="14.99"/>
    <n v="0.25"/>
    <n v="0.39877104377104378"/>
    <n v="0"/>
    <n v="10.981228956228957"/>
    <n v="5.4906144781144786"/>
    <d v="2025-04-04T00:00:00"/>
    <d v="2025-04-04T00:00:00"/>
    <d v="2025-04-15T00:00:00"/>
    <d v="2025-04-16T00:00:00"/>
    <s v="2025 04"/>
    <s v="Aguardando Liberação"/>
    <s v="2025 02"/>
    <s v="ENTREGUE"/>
    <d v="2025-03-14T00:00:00"/>
    <s v="-"/>
    <m/>
    <n v="0"/>
    <n v="0"/>
    <n v="0"/>
    <n v="0"/>
    <n v="0"/>
  </r>
  <r>
    <s v="MEI"/>
    <s v="MEI45714"/>
    <s v="Pedido 1058"/>
    <d v="2025-02-26T00:00:00"/>
    <d v="2025-02-26T00:00:00"/>
    <s v="PedidoF1037"/>
    <s v="CódRastreio1035"/>
    <n v="1"/>
    <s v="CPF 1029"/>
    <s v="Nome 1029"/>
    <s v="Tel 1029"/>
    <s v="Cep 1029"/>
    <s v="Rua 1029"/>
    <s v="Comp 1029"/>
    <x v="1"/>
    <s v="A4-5W51-K3HF"/>
    <d v="2025-03-18T00:00:00"/>
    <n v="30.95"/>
    <n v="30.95"/>
    <n v="4.3330000000000002"/>
    <n v="26.62"/>
    <n v="14.99"/>
    <n v="0.25"/>
    <n v="0.39877104377104378"/>
    <n v="0"/>
    <n v="10.981228956228957"/>
    <n v="5.4906144781144786"/>
    <d v="2025-03-25T00:00:00"/>
    <d v="2025-03-25T00:00:00"/>
    <d v="2025-03-31T00:00:00"/>
    <d v="2025-04-02T00:00:00"/>
    <s v="2025 03"/>
    <s v="Aguardando Liberação"/>
    <s v="2025 02"/>
    <s v="ENTREGUE"/>
    <d v="2025-03-06T00:00:00"/>
    <s v="-"/>
    <m/>
    <n v="0"/>
    <n v="0"/>
    <n v="0"/>
    <n v="0"/>
    <n v="0"/>
  </r>
  <r>
    <s v="BV"/>
    <s v="BV45715"/>
    <s v="Pedido 1059"/>
    <d v="2025-02-27T00:00:00"/>
    <d v="2025-02-27T00:00:00"/>
    <s v="PedidoF1038"/>
    <s v="CódRastreio1036"/>
    <n v="1"/>
    <s v="CPF 1030"/>
    <s v="Nome 1030"/>
    <s v="Tel 1030"/>
    <s v="Cep 1030"/>
    <s v="Rua 1030"/>
    <s v="Comp 1030"/>
    <x v="10"/>
    <s v="MU-J80P-95WF"/>
    <d v="2025-03-25T00:00:00"/>
    <n v="70.989999999999995"/>
    <n v="70.989999999999995"/>
    <n v="9.2286999999999999"/>
    <n v="61.76"/>
    <n v="12.59"/>
    <n v="0.31"/>
    <n v="0.39877104377104378"/>
    <n v="0"/>
    <n v="48.46122895622895"/>
    <n v="24.230614478114475"/>
    <d v="2025-04-01T00:00:00"/>
    <d v="2025-04-01T00:00:00"/>
    <d v="2025-04-15T00:00:00"/>
    <d v="2025-04-16T00:00:00"/>
    <s v="2025 04"/>
    <s v="Aguardando Liberação"/>
    <s v="2025 02"/>
    <s v="ENTREGUE"/>
    <d v="2025-03-11T00:00:00"/>
    <s v="-"/>
    <m/>
    <n v="0"/>
    <n v="0"/>
    <n v="0"/>
    <n v="0"/>
    <n v="0"/>
  </r>
  <r>
    <s v="BV"/>
    <s v="BV45715"/>
    <s v="Pedido 1060"/>
    <d v="2025-02-27T00:00:00"/>
    <d v="2025-02-27T00:00:00"/>
    <s v="PedidoF1039"/>
    <s v="CódRastreio1037"/>
    <n v="1"/>
    <s v="CPF 1031"/>
    <s v="Nome 1031"/>
    <s v="Tel 1031"/>
    <s v="Cep 1031"/>
    <s v="Rua 1031"/>
    <s v="Comp 1031"/>
    <x v="8"/>
    <s v="FM-QQ8Y-RZT4"/>
    <d v="2025-03-29T00:00:00"/>
    <n v="23.5"/>
    <n v="23.5"/>
    <n v="3.0550000000000002"/>
    <n v="20.45"/>
    <n v="0"/>
    <n v="0.31"/>
    <n v="0.39877104377104378"/>
    <n v="0"/>
    <n v="19.741228956228955"/>
    <n v="9.8706144781144776"/>
    <d v="2025-04-05T00:00:00"/>
    <d v="2025-04-05T00:00:00"/>
    <d v="2025-04-15T00:00:00"/>
    <d v="2025-04-16T00:00:00"/>
    <s v="2025 04"/>
    <s v="Aguardando Liberação"/>
    <s v="2025 02"/>
    <s v="ENTREGUE"/>
    <d v="2025-03-20T00:00:00"/>
    <s v="-"/>
    <m/>
    <n v="0"/>
    <n v="0"/>
    <n v="0"/>
    <n v="0"/>
    <n v="0"/>
  </r>
  <r>
    <s v="BV"/>
    <s v="BV45716"/>
    <s v="Pedido 1061"/>
    <d v="2025-02-27T00:00:00"/>
    <d v="2025-02-28T00:00:00"/>
    <s v="PedidoF1040"/>
    <s v="CódRastreio1038"/>
    <n v="1"/>
    <s v="CPF 1032"/>
    <s v="Nome 1032"/>
    <s v="Tel 1032"/>
    <s v="Cep 1032"/>
    <s v="Rua 1032"/>
    <s v="Comp 1032"/>
    <x v="8"/>
    <s v="FM-QQ8Y-RZT4"/>
    <d v="2025-03-25T00:00:00"/>
    <n v="23.5"/>
    <n v="23.5"/>
    <n v="3.0550000000000002"/>
    <n v="20.45"/>
    <n v="13.8"/>
    <n v="0.2"/>
    <n v="0.39877104377104378"/>
    <n v="0"/>
    <n v="6.0512289562289556"/>
    <n v="3.0256144781144778"/>
    <d v="2025-04-01T00:00:00"/>
    <d v="2025-04-01T00:00:00"/>
    <d v="2025-04-15T00:00:00"/>
    <d v="2025-04-16T00:00:00"/>
    <s v="2025 04"/>
    <s v="Aguardando Liberação"/>
    <s v="2025 02"/>
    <s v="ENTREGUE"/>
    <d v="2025-03-13T00:00:00"/>
    <s v="-"/>
    <m/>
    <n v="0"/>
    <n v="0"/>
    <n v="0"/>
    <n v="0"/>
    <n v="0"/>
  </r>
  <r>
    <s v="BV"/>
    <s v="BV45715"/>
    <s v="Pedido 1062"/>
    <d v="2025-02-27T00:00:00"/>
    <d v="2025-02-27T00:00:00"/>
    <s v="PedidoF1041"/>
    <s v="CódRastreio1039"/>
    <n v="1"/>
    <s v="CPF 1033"/>
    <s v="Nome 1033"/>
    <s v="Tel 1033"/>
    <s v="Cep 1033"/>
    <s v="Rua 1033"/>
    <s v="Comp 1033"/>
    <x v="8"/>
    <s v="FM-QQ8Y-RZT4"/>
    <d v="2025-03-19T00:00:00"/>
    <n v="23.5"/>
    <n v="23.5"/>
    <n v="3.0550000000000002"/>
    <n v="20.45"/>
    <n v="0"/>
    <n v="0.31"/>
    <n v="0.39877104377104378"/>
    <n v="0"/>
    <n v="19.741228956228955"/>
    <n v="9.8706144781144776"/>
    <d v="2025-03-26T00:00:00"/>
    <d v="2025-03-26T00:00:00"/>
    <d v="2025-03-31T00:00:00"/>
    <d v="2025-04-02T00:00:00"/>
    <s v="2025 03"/>
    <s v="Aguardando Liberação"/>
    <s v="2025 02"/>
    <s v="ENTREGUE"/>
    <d v="2025-04-22T00:00:00"/>
    <s v="-"/>
    <m/>
    <n v="0"/>
    <n v="0"/>
    <n v="0"/>
    <n v="0"/>
    <n v="0"/>
  </r>
  <r>
    <s v="BV"/>
    <s v="BV45716"/>
    <s v="Pedido 1063"/>
    <d v="2025-02-27T00:00:00"/>
    <d v="2025-02-28T00:00:00"/>
    <s v="PedidoF1042"/>
    <s v="CódRastreio1040"/>
    <n v="1"/>
    <s v="CPF 1034"/>
    <s v="Nome 1034"/>
    <s v="Tel 1034"/>
    <s v="Cep 1034"/>
    <s v="Rua 1034"/>
    <s v="Comp 1034"/>
    <x v="20"/>
    <s v="5D-KKPK-K70I"/>
    <d v="2025-03-29T00:00:00"/>
    <n v="25.99"/>
    <n v="25.99"/>
    <n v="3.8984999999999994"/>
    <n v="22.09"/>
    <n v="13.3"/>
    <n v="0.2"/>
    <n v="0.39877104377104378"/>
    <n v="0"/>
    <n v="8.1912289562289562"/>
    <n v="4.0956144781144781"/>
    <d v="2025-04-05T00:00:00"/>
    <d v="2025-04-05T00:00:00"/>
    <d v="2025-04-15T00:00:00"/>
    <d v="2025-04-16T00:00:00"/>
    <s v="2025 04"/>
    <s v="Aguardando Liberação"/>
    <s v="2025 02"/>
    <s v="ENTREGUE"/>
    <d v="2025-03-12T19:44:40"/>
    <s v="-"/>
    <m/>
    <n v="0"/>
    <n v="0"/>
    <n v="0"/>
    <n v="0"/>
    <n v="0"/>
  </r>
  <r>
    <s v="BV"/>
    <s v="BV45715"/>
    <s v="Pedido 1064"/>
    <d v="2025-02-27T00:00:00"/>
    <d v="2025-02-27T00:00:00"/>
    <s v="PedidoF1043"/>
    <s v="CódRastreio1041"/>
    <n v="1"/>
    <s v="CPF 1035"/>
    <s v="Nome 1035"/>
    <s v="Tel 1035"/>
    <s v="Cep 1035"/>
    <s v="Rua 1035"/>
    <s v="Comp 1035"/>
    <x v="10"/>
    <s v="MU-J80P-95WF"/>
    <d v="2025-03-25T00:00:00"/>
    <n v="65.599999999999994"/>
    <n v="65.599999999999994"/>
    <n v="8.5279999999999987"/>
    <n v="57.07"/>
    <n v="12.54"/>
    <n v="0.31"/>
    <n v="0.39877104377104378"/>
    <n v="0"/>
    <n v="43.821228956228957"/>
    <n v="21.910614478114478"/>
    <d v="2025-04-01T00:00:00"/>
    <d v="2025-04-01T00:00:00"/>
    <d v="2025-04-15T00:00:00"/>
    <d v="2025-04-16T00:00:00"/>
    <s v="2025 04"/>
    <s v="Aguardando Liberação"/>
    <s v="2025 02"/>
    <s v="ENTREGUE"/>
    <d v="2025-03-07T00:00:00"/>
    <s v="-"/>
    <m/>
    <n v="0"/>
    <n v="0"/>
    <n v="0"/>
    <n v="0"/>
    <n v="0"/>
  </r>
  <r>
    <s v="GO"/>
    <s v="GO45715"/>
    <s v="Pedido 1065"/>
    <d v="2025-02-27T00:00:00"/>
    <d v="2025-02-27T00:00:00"/>
    <s v="PedidoF1044"/>
    <s v="CódRastreio1042"/>
    <n v="1"/>
    <s v="CPF 1036"/>
    <s v="Nome 1036"/>
    <s v="Tel 1036"/>
    <s v="Cep 1036"/>
    <s v="Rua 1036"/>
    <s v="Comp 1036"/>
    <x v="21"/>
    <s v="E7-FW3C-EHOL"/>
    <d v="2025-03-19T00:00:00"/>
    <n v="35.99"/>
    <n v="35.99"/>
    <n v="5.3985000000000003"/>
    <n v="30.59"/>
    <n v="22.2"/>
    <n v="0.2"/>
    <n v="0.39877104377104378"/>
    <n v="0"/>
    <n v="7.7912289562289558"/>
    <n v="7.7912289562289558"/>
    <d v="2025-03-26T00:00:00"/>
    <d v="2025-03-26T00:00:00"/>
    <d v="2025-03-31T00:00:00"/>
    <d v="2025-04-02T00:00:00"/>
    <s v="2025 03"/>
    <s v="Aguardando Liberação"/>
    <s v="2025 02"/>
    <s v="ENTREGUE"/>
    <d v="2025-03-17T00:00:00"/>
    <s v="-"/>
    <m/>
    <n v="0"/>
    <n v="0"/>
    <n v="0"/>
    <n v="0"/>
    <n v="0"/>
  </r>
  <r>
    <s v="BV"/>
    <s v="BV45716"/>
    <s v="Pedido 1066"/>
    <d v="2025-02-28T00:00:00"/>
    <d v="2025-02-28T00:00:00"/>
    <s v="PedidoF1045"/>
    <s v="CódRastreio1043"/>
    <n v="1"/>
    <s v="CPF 1037"/>
    <s v="Nome 1037"/>
    <s v="Tel 1037"/>
    <s v="Cep 1037"/>
    <s v="Rua 1037"/>
    <s v="Comp 1037"/>
    <x v="10"/>
    <s v="MU-J80P-95WF"/>
    <d v="2025-03-25T00:00:00"/>
    <n v="65.599999999999994"/>
    <n v="65.599999999999994"/>
    <n v="8.5279999999999987"/>
    <n v="57.07"/>
    <n v="14.26"/>
    <n v="0.2"/>
    <n v="0.39877104377104378"/>
    <n v="0"/>
    <n v="42.211228956228958"/>
    <n v="21.105614478114479"/>
    <d v="2025-04-01T00:00:00"/>
    <d v="2025-04-01T00:00:00"/>
    <d v="2025-04-15T00:00:00"/>
    <d v="2025-04-16T00:00:00"/>
    <s v="2025 04"/>
    <s v="Aguardando Liberação"/>
    <s v="2025 02"/>
    <s v="ENTREGUE"/>
    <d v="2025-03-10T00:00:00"/>
    <s v="-"/>
    <m/>
    <n v="0"/>
    <n v="0"/>
    <n v="0"/>
    <n v="0"/>
    <n v="0"/>
  </r>
  <r>
    <s v="BV"/>
    <s v="BV45716"/>
    <s v="Pedido 1067"/>
    <d v="2025-02-28T00:00:00"/>
    <d v="2025-02-28T00:00:00"/>
    <s v="PedidoF1046"/>
    <s v="CódRastreio1044"/>
    <n v="1"/>
    <s v="CPF 1038"/>
    <s v="Nome 1038"/>
    <s v="Tel 1038"/>
    <s v="Cep 1038"/>
    <s v="Rua 1038"/>
    <s v="Comp 1038"/>
    <x v="10"/>
    <s v="MU-J80P-95WF"/>
    <d v="2025-03-26T00:00:00"/>
    <n v="65.599999999999994"/>
    <n v="65.599999999999994"/>
    <n v="8.5279999999999987"/>
    <n v="57.07"/>
    <n v="14.26"/>
    <n v="0.2"/>
    <n v="0.39877104377104378"/>
    <n v="0"/>
    <n v="42.211228956228958"/>
    <n v="21.105614478114479"/>
    <d v="2025-04-02T00:00:00"/>
    <d v="2025-04-02T00:00:00"/>
    <d v="2025-04-15T00:00:00"/>
    <d v="2025-04-16T00:00:00"/>
    <s v="2025 04"/>
    <s v="Aguardando Liberação"/>
    <s v="2025 02"/>
    <s v="ENTREGUE"/>
    <d v="2025-03-10T00:00:00"/>
    <s v="-"/>
    <m/>
    <n v="0"/>
    <n v="0"/>
    <n v="0"/>
    <n v="0"/>
    <n v="0"/>
  </r>
  <r>
    <s v="BV"/>
    <s v="BV45716"/>
    <s v="Pedido 1068"/>
    <d v="2025-02-28T00:00:00"/>
    <d v="2025-02-28T00:00:00"/>
    <s v="PedidoF1047"/>
    <s v="CódRastreio1045"/>
    <n v="1"/>
    <s v="CPF 1039"/>
    <s v="Nome 1039"/>
    <s v="Tel 1039"/>
    <s v="Cep 1039"/>
    <s v="Rua 1039"/>
    <s v="Comp 1039"/>
    <x v="8"/>
    <s v="FM-QQ8Y-RZT4"/>
    <d v="2025-03-26T00:00:00"/>
    <n v="23.5"/>
    <n v="23.5"/>
    <n v="3.0550000000000002"/>
    <n v="20.45"/>
    <n v="13.8"/>
    <n v="0.2"/>
    <n v="0.39877104377104378"/>
    <n v="0"/>
    <n v="6.0512289562289556"/>
    <n v="3.0256144781144778"/>
    <d v="2025-04-02T00:00:00"/>
    <d v="2025-04-02T00:00:00"/>
    <d v="2025-04-15T00:00:00"/>
    <d v="2025-04-16T00:00:00"/>
    <s v="2025 04"/>
    <s v="Aguardando Liberação"/>
    <s v="2025 02"/>
    <s v="ENTREGUE"/>
    <d v="2025-03-14T00:00:00"/>
    <s v="-"/>
    <m/>
    <n v="0"/>
    <n v="0"/>
    <n v="0"/>
    <n v="0"/>
    <n v="0"/>
  </r>
  <r>
    <s v="BV"/>
    <s v="BV45716"/>
    <s v="Pedido 1069"/>
    <d v="2025-02-28T00:00:00"/>
    <d v="2025-02-28T00:00:00"/>
    <s v="PedidoF1048"/>
    <s v="CódRastreio1046"/>
    <n v="1"/>
    <s v="CPF 1040"/>
    <s v="Nome 1040"/>
    <s v="Tel 1040"/>
    <s v="Cep 1040"/>
    <s v="Rua 1040"/>
    <s v="Comp 1040"/>
    <x v="19"/>
    <s v="08-PAJ9-YM9P"/>
    <d v="2025-04-01T00:00:00"/>
    <n v="55.99"/>
    <n v="55.99"/>
    <n v="8.3985000000000003"/>
    <n v="47.59"/>
    <n v="0"/>
    <n v="0.2"/>
    <n v="0.39877104377104378"/>
    <n v="0"/>
    <n v="46.991228956228959"/>
    <n v="23.495614478114479"/>
    <d v="2025-04-08T00:00:00"/>
    <d v="2025-04-08T00:00:00"/>
    <d v="2025-04-15T00:00:00"/>
    <d v="2025-04-16T00:00:00"/>
    <s v="2025 04"/>
    <s v="Aguardando Liberação"/>
    <s v="2025 02"/>
    <s v="ENTREGUE"/>
    <d v="2025-03-13T00:00:00"/>
    <s v="-"/>
    <m/>
    <n v="0"/>
    <n v="0"/>
    <n v="0"/>
    <n v="0"/>
    <n v="0"/>
  </r>
  <r>
    <s v="BV"/>
    <s v="BV45716"/>
    <s v="Pedido 1070"/>
    <d v="2025-02-28T00:00:00"/>
    <d v="2025-02-28T00:00:00"/>
    <s v="PedidoF1049"/>
    <s v="CódRastreio1047"/>
    <n v="1"/>
    <s v="CPF 1041"/>
    <s v="Nome 1041"/>
    <s v="Tel 1041"/>
    <s v="Cep 1041"/>
    <s v="Rua 1041"/>
    <s v="Comp 1041"/>
    <x v="10"/>
    <s v="MU-J80P-95WF"/>
    <d v="2025-04-01T00:00:00"/>
    <n v="65.599999999999994"/>
    <n v="65.599999999999994"/>
    <n v="8.5279999999999987"/>
    <n v="57.07"/>
    <n v="14.8"/>
    <n v="0.2"/>
    <n v="0.39877104377104378"/>
    <n v="0"/>
    <n v="41.671228956228958"/>
    <n v="20.835614478114479"/>
    <d v="2025-04-08T00:00:00"/>
    <d v="2025-04-08T00:00:00"/>
    <d v="2025-04-15T00:00:00"/>
    <d v="2025-04-16T00:00:00"/>
    <s v="2025 04"/>
    <s v="Aguardando Liberação"/>
    <s v="2025 02"/>
    <s v="ENTREGUE"/>
    <d v="2025-03-20T00:00:00"/>
    <s v="-"/>
    <m/>
    <n v="0"/>
    <n v="0"/>
    <n v="0"/>
    <n v="0"/>
    <n v="0"/>
  </r>
  <r>
    <s v="BV"/>
    <s v="BV45716"/>
    <s v="Pedido 1071"/>
    <d v="2025-02-28T00:00:00"/>
    <d v="2025-02-28T00:00:00"/>
    <s v="PedidoF1050"/>
    <s v="CódRastreio1048"/>
    <n v="1"/>
    <s v="CPF 1042"/>
    <s v="Nome 1042"/>
    <s v="Tel 1042"/>
    <s v="Cep 1042"/>
    <s v="Rua 1042"/>
    <s v="Comp 1042"/>
    <x v="8"/>
    <s v="FM-QQ8Y-RZT4"/>
    <d v="2025-04-01T00:00:00"/>
    <n v="23.5"/>
    <n v="23.5"/>
    <n v="3.0550000000000002"/>
    <n v="20.45"/>
    <n v="13.8"/>
    <n v="0.2"/>
    <n v="0.39877104377104378"/>
    <n v="0"/>
    <n v="6.0512289562289556"/>
    <n v="3.0256144781144778"/>
    <d v="2025-04-08T00:00:00"/>
    <d v="2025-04-08T00:00:00"/>
    <d v="2025-04-15T00:00:00"/>
    <d v="2025-04-16T00:00:00"/>
    <s v="2025 04"/>
    <s v="Aguardando Liberação"/>
    <s v="2025 02"/>
    <s v="ENTREGUE"/>
    <d v="2025-03-15T00:00:00"/>
    <s v="-"/>
    <m/>
    <n v="0"/>
    <n v="0"/>
    <n v="0"/>
    <n v="0"/>
    <n v="0"/>
  </r>
  <r>
    <s v="BV"/>
    <s v="BV45716"/>
    <s v="Pedido 1072"/>
    <d v="2025-02-28T00:00:00"/>
    <d v="2025-02-28T00:00:00"/>
    <s v="PedidoF1051"/>
    <s v="CódRastreio1049"/>
    <n v="1"/>
    <s v="CPF 1043"/>
    <s v="Nome 1043"/>
    <s v="Tel 1043"/>
    <s v="Cep 1043"/>
    <s v="Rua 1043"/>
    <s v="Comp 1043"/>
    <x v="19"/>
    <s v="08-PAJ9-YM9P"/>
    <d v="2025-03-26T00:00:00"/>
    <n v="55.99"/>
    <n v="55.99"/>
    <n v="8.3985000000000003"/>
    <n v="47.59"/>
    <n v="18.25"/>
    <n v="0.2"/>
    <n v="0.39877104377104378"/>
    <n v="0"/>
    <n v="28.741228956228959"/>
    <n v="14.370614478114479"/>
    <d v="2025-04-02T00:00:00"/>
    <d v="2025-04-02T00:00:00"/>
    <d v="2025-04-15T00:00:00"/>
    <d v="2025-04-16T00:00:00"/>
    <s v="2025 04"/>
    <s v="Aguardando Liberação"/>
    <s v="2025 02"/>
    <s v="ENTREGUE"/>
    <d v="2025-03-10T00:00:00"/>
    <s v="-"/>
    <m/>
    <n v="0"/>
    <n v="0"/>
    <n v="0"/>
    <n v="0"/>
    <n v="0"/>
  </r>
  <r>
    <s v="BV"/>
    <s v="BV45718"/>
    <s v="Pedido 1073"/>
    <d v="2025-03-01T00:00:00"/>
    <d v="2025-03-02T00:00:00"/>
    <s v="PedidoF1052"/>
    <s v="CódRastreio1050"/>
    <n v="1"/>
    <s v="CPF 1044"/>
    <s v="Nome 1044"/>
    <s v="Tel 1044"/>
    <s v="Cep 1044"/>
    <s v="Rua 1044"/>
    <s v="Comp 1044"/>
    <x v="19"/>
    <s v="08-PAJ9-YM9P"/>
    <d v="2025-04-01T00:00:00"/>
    <n v="55.99"/>
    <n v="55.99"/>
    <n v="8.3985000000000003"/>
    <n v="47.59"/>
    <n v="0"/>
    <n v="0.28000000000000003"/>
    <n v="0.39877104377104378"/>
    <n v="0"/>
    <n v="46.91122895622896"/>
    <n v="23.45561447811448"/>
    <d v="2025-04-08T00:00:00"/>
    <d v="2025-04-08T00:00:00"/>
    <d v="2025-04-15T00:00:00"/>
    <d v="2025-04-16T00:00:00"/>
    <s v="2025 04"/>
    <s v="Aguardando Liberação"/>
    <s v="2025 03"/>
    <s v="ENTREGUE"/>
    <d v="2025-04-24T00:00:00"/>
    <s v="-"/>
    <m/>
    <n v="0"/>
    <n v="0"/>
    <n v="0"/>
    <n v="0"/>
    <n v="0"/>
  </r>
  <r>
    <s v="BV"/>
    <s v="BV45722"/>
    <s v="Pedido 1074"/>
    <d v="2025-03-01T00:00:00"/>
    <d v="2025-03-06T00:00:00"/>
    <s v="PedidoF1053"/>
    <s v="CódRastreio1051"/>
    <n v="1"/>
    <s v="CPF 1045"/>
    <s v="Nome 1045"/>
    <s v="Tel 1045"/>
    <s v="Cep 1045"/>
    <s v="Rua 1045"/>
    <s v="Comp 1045"/>
    <x v="8"/>
    <s v="FM-QQ8Y-RZT4"/>
    <d v="2025-03-20T00:00:00"/>
    <n v="23.5"/>
    <n v="23.5"/>
    <n v="3.0550000000000002"/>
    <n v="20.45"/>
    <n v="12.8"/>
    <n v="0.19"/>
    <n v="0.39877104377104378"/>
    <n v="0"/>
    <n v="7.0612289562289554"/>
    <n v="3.5306144781144777"/>
    <d v="2025-03-27T00:00:00"/>
    <d v="2025-03-27T00:00:00"/>
    <d v="2025-03-31T00:00:00"/>
    <d v="2025-04-02T00:00:00"/>
    <s v="2025 03"/>
    <s v="Aguardando Liberação"/>
    <s v="2025 03"/>
    <s v="ENTREGUE"/>
    <d v="2025-03-13T00:00:00"/>
    <s v="-"/>
    <m/>
    <n v="0"/>
    <n v="0"/>
    <n v="0"/>
    <n v="0"/>
    <n v="0"/>
  </r>
  <r>
    <s v="BV"/>
    <s v="BV45718"/>
    <s v="Pedido 1075"/>
    <d v="2025-03-01T00:00:00"/>
    <d v="2025-03-02T00:00:00"/>
    <s v="PedidoF1054"/>
    <s v="CódRastreio1052"/>
    <n v="1"/>
    <s v="CPF 1046"/>
    <s v="Nome 1046"/>
    <s v="Tel 1046"/>
    <s v="Cep 1046"/>
    <s v="Rua 1046"/>
    <s v="Comp 1046"/>
    <x v="20"/>
    <s v="5D-KKPK-K70I"/>
    <d v="2025-04-01T00:00:00"/>
    <n v="25.99"/>
    <n v="25.99"/>
    <n v="3.8984999999999994"/>
    <n v="22.09"/>
    <n v="13.3"/>
    <n v="0.28000000000000003"/>
    <n v="0.39877104377104378"/>
    <n v="0"/>
    <n v="8.1112289562289561"/>
    <n v="4.0556144781144781"/>
    <d v="2025-04-08T00:00:00"/>
    <d v="2025-04-08T00:00:00"/>
    <d v="2025-04-15T00:00:00"/>
    <d v="2025-04-16T00:00:00"/>
    <s v="2025 04"/>
    <s v="Aguardando Liberação"/>
    <s v="2025 03"/>
    <s v="ENTREGUE"/>
    <d v="2025-03-13T00:00:00"/>
    <s v="-"/>
    <m/>
    <n v="0"/>
    <n v="0"/>
    <n v="0"/>
    <n v="0"/>
    <n v="0"/>
  </r>
  <r>
    <s v="BV"/>
    <s v="BV45718"/>
    <s v="Pedido 1076"/>
    <d v="2025-03-01T00:00:00"/>
    <d v="2025-03-02T00:00:00"/>
    <s v="PedidoF1055"/>
    <s v="CódRastreio1053"/>
    <n v="1"/>
    <s v="CPF 1047"/>
    <s v="Nome 1047"/>
    <s v="Tel 1047"/>
    <s v="Cep 1047"/>
    <s v="Rua 1047"/>
    <s v="Comp 1047"/>
    <x v="11"/>
    <s v="BP-NHG2-B8C1"/>
    <d v="2025-04-01T00:00:00"/>
    <n v="70.5"/>
    <n v="70.5"/>
    <n v="9.1650000000000009"/>
    <n v="61.34"/>
    <n v="28.91"/>
    <n v="0.28000000000000003"/>
    <n v="0.39877104377104378"/>
    <n v="0"/>
    <n v="31.751228956228957"/>
    <n v="15.875614478114478"/>
    <d v="2025-04-08T00:00:00"/>
    <d v="2025-04-08T00:00:00"/>
    <d v="2025-04-15T00:00:00"/>
    <d v="2025-04-16T00:00:00"/>
    <s v="2025 04"/>
    <s v="Aguardando Liberação"/>
    <s v="2025 03"/>
    <s v="ENTREGUE"/>
    <d v="2025-03-12T15:59:37"/>
    <s v="-"/>
    <m/>
    <n v="0"/>
    <n v="0"/>
    <n v="0"/>
    <n v="0"/>
    <n v="0"/>
  </r>
  <r>
    <s v="BV"/>
    <s v="BV45718"/>
    <s v="Pedido 1077"/>
    <d v="2025-03-01T00:00:00"/>
    <d v="2025-03-02T00:00:00"/>
    <s v="PedidoF1056"/>
    <s v="CódRastreio1054"/>
    <n v="1"/>
    <s v="CPF 1048"/>
    <s v="Nome 1048"/>
    <s v="Tel 1048"/>
    <s v="Cep 1048"/>
    <s v="Rua 1048"/>
    <s v="Comp 1048"/>
    <x v="10"/>
    <s v="MU-J80P-95WF"/>
    <d v="2025-04-01T00:00:00"/>
    <n v="65.599999999999994"/>
    <n v="65.599999999999994"/>
    <n v="8.5279999999999987"/>
    <n v="57.07"/>
    <n v="10.17"/>
    <n v="0.28000000000000003"/>
    <n v="0.39877104377104378"/>
    <n v="0"/>
    <n v="46.221228956228956"/>
    <n v="23.110614478114478"/>
    <d v="2025-04-08T00:00:00"/>
    <d v="2025-04-08T00:00:00"/>
    <d v="2025-04-15T00:00:00"/>
    <d v="2025-04-16T00:00:00"/>
    <s v="2025 04"/>
    <s v="Aguardando Liberação"/>
    <s v="2025 03"/>
    <s v="ENTREGUE"/>
    <d v="2025-03-17T00:00:00"/>
    <s v="-"/>
    <m/>
    <n v="0"/>
    <n v="0"/>
    <n v="0"/>
    <n v="0"/>
    <n v="0"/>
  </r>
  <r>
    <s v="BV"/>
    <s v="BV45722"/>
    <s v="Pedido 1078"/>
    <d v="2025-03-01T00:00:00"/>
    <d v="2025-03-06T00:00:00"/>
    <s v="PedidoF1057"/>
    <s v="CódRastreio1055"/>
    <n v="1"/>
    <s v="CPF 1049"/>
    <s v="Nome 1049"/>
    <s v="Tel 1049"/>
    <s v="Cep 1049"/>
    <s v="Rua 1049"/>
    <s v="Comp 1049"/>
    <x v="8"/>
    <s v="FM-QQ8Y-RZT4"/>
    <d v="2025-03-20T00:00:00"/>
    <n v="23.5"/>
    <n v="23.5"/>
    <n v="3.0550000000000002"/>
    <n v="20.45"/>
    <n v="0"/>
    <n v="0.19"/>
    <n v="0.39877104377104378"/>
    <n v="0"/>
    <n v="19.861228956228956"/>
    <n v="9.9306144781144781"/>
    <d v="2025-03-27T00:00:00"/>
    <d v="2025-03-27T00:00:00"/>
    <d v="2025-03-31T00:00:00"/>
    <d v="2025-04-02T00:00:00"/>
    <s v="2025 03"/>
    <s v="Aguardando Liberação"/>
    <s v="2025 03"/>
    <s v="ENTREGUE"/>
    <d v="2025-03-17T00:00:00"/>
    <s v="-"/>
    <m/>
    <n v="22.56"/>
    <n v="0"/>
    <n v="0"/>
    <n v="0"/>
    <n v="22.56"/>
  </r>
  <r>
    <s v="BV"/>
    <s v="BV45718"/>
    <s v="Pedido 1079"/>
    <d v="2025-03-01T00:00:00"/>
    <d v="2025-03-02T00:00:00"/>
    <s v="PedidoF1058"/>
    <s v="CódRastreio1056"/>
    <n v="1"/>
    <s v="CPF 1050"/>
    <s v="Nome 1050"/>
    <s v="Tel 1050"/>
    <s v="Cep 1050"/>
    <s v="Rua 1050"/>
    <s v="Comp 1050"/>
    <x v="10"/>
    <s v="MU-J80P-95WF"/>
    <d v="2025-04-01T00:00:00"/>
    <n v="65.599999999999994"/>
    <n v="65.599999999999994"/>
    <n v="8.5279999999999987"/>
    <n v="57.07"/>
    <n v="10.17"/>
    <n v="0.28000000000000003"/>
    <n v="0.39877104377104378"/>
    <n v="0"/>
    <n v="46.221228956228956"/>
    <n v="23.110614478114478"/>
    <d v="2025-04-08T00:00:00"/>
    <d v="2025-04-08T00:00:00"/>
    <d v="2025-04-15T00:00:00"/>
    <d v="2025-04-16T00:00:00"/>
    <s v="2025 04"/>
    <s v="Aguardando Liberação"/>
    <s v="2025 03"/>
    <s v="ENTREGUE"/>
    <d v="2025-03-18T00:00:00"/>
    <s v="-"/>
    <m/>
    <n v="0"/>
    <n v="0"/>
    <n v="0"/>
    <n v="0"/>
    <n v="0"/>
  </r>
  <r>
    <s v="BV"/>
    <s v="BV45720"/>
    <s v="Pedido 1080"/>
    <d v="2025-03-01T00:00:00"/>
    <d v="2025-03-04T00:00:00"/>
    <s v="PedidoF1059"/>
    <s v="CódRastreio1057"/>
    <n v="1"/>
    <s v="CPF 1050"/>
    <s v="Nome 1050"/>
    <s v="Tel 1050"/>
    <s v="Cep 1050"/>
    <s v="Rua 1050"/>
    <s v="Comp 1050"/>
    <x v="10"/>
    <s v="MU-J80P-95WF"/>
    <d v="2025-04-01T00:00:00"/>
    <n v="65.599999999999994"/>
    <n v="65.599999999999994"/>
    <n v="8.5279999999999987"/>
    <n v="57.07"/>
    <n v="10.52"/>
    <n v="0.25"/>
    <n v="0.39877104377104378"/>
    <n v="0"/>
    <n v="45.901228956228955"/>
    <n v="22.950614478114478"/>
    <d v="2025-04-08T00:00:00"/>
    <d v="2025-04-08T00:00:00"/>
    <d v="2025-04-15T00:00:00"/>
    <d v="2025-04-16T00:00:00"/>
    <s v="2025 04"/>
    <s v="Aguardando Liberação"/>
    <s v="2025 03"/>
    <s v="ENTREGUE"/>
    <d v="2025-03-20T00:00:00"/>
    <s v="-"/>
    <m/>
    <n v="0"/>
    <n v="0"/>
    <n v="0"/>
    <n v="0"/>
    <n v="0"/>
  </r>
  <r>
    <s v="BV"/>
    <s v="BV45718"/>
    <s v="Pedido 1081"/>
    <d v="2025-03-01T00:00:00"/>
    <d v="2025-03-02T00:00:00"/>
    <s v="PedidoF1060"/>
    <s v="CódRastreio1058"/>
    <n v="1"/>
    <s v="CPF 1051"/>
    <s v="Nome 1051"/>
    <s v="Tel 1051"/>
    <s v="Cep 1051"/>
    <s v="Rua 1051"/>
    <s v="Comp 1051"/>
    <x v="19"/>
    <s v="08-PAJ9-YM9P"/>
    <d v="2025-04-01T00:00:00"/>
    <n v="55.99"/>
    <n v="55.99"/>
    <n v="8.3985000000000003"/>
    <n v="47.59"/>
    <n v="12.77"/>
    <n v="0.28000000000000003"/>
    <n v="0.39877104377104378"/>
    <n v="0"/>
    <n v="34.141228956228957"/>
    <n v="17.070614478114479"/>
    <d v="2025-04-08T00:00:00"/>
    <d v="2025-04-08T00:00:00"/>
    <d v="2025-04-15T00:00:00"/>
    <d v="2025-04-16T00:00:00"/>
    <s v="2025 04"/>
    <s v="Aguardando Liberação"/>
    <s v="2025 03"/>
    <s v="ENTREGUE"/>
    <d v="2025-03-14T00:00:00"/>
    <s v="-"/>
    <m/>
    <n v="0"/>
    <n v="0"/>
    <n v="0"/>
    <n v="0"/>
    <n v="0"/>
  </r>
  <r>
    <s v="BV"/>
    <s v="BV45720"/>
    <s v="Pedido 1082"/>
    <d v="2025-03-02T00:00:00"/>
    <d v="2025-03-04T00:00:00"/>
    <s v="PedidoF1061"/>
    <s v="CódRastreio1059"/>
    <n v="1"/>
    <s v="CPF 1052"/>
    <s v="Nome 1052"/>
    <s v="Tel 1052"/>
    <s v="Cep 1052"/>
    <s v="Rua 1052"/>
    <s v="Comp 1052"/>
    <x v="6"/>
    <s v="KN-TBQL-K2MM"/>
    <d v="2025-03-20T00:00:00"/>
    <n v="23.9"/>
    <n v="23.9"/>
    <n v="3.1069999999999998"/>
    <n v="20.79"/>
    <n v="6.99"/>
    <n v="0.25"/>
    <n v="0.39877104377104378"/>
    <n v="0"/>
    <n v="13.151228956228955"/>
    <n v="6.5756144781144776"/>
    <d v="2025-03-27T00:00:00"/>
    <d v="2025-03-27T00:00:00"/>
    <d v="2025-03-31T00:00:00"/>
    <d v="2025-04-02T00:00:00"/>
    <s v="2025 03"/>
    <s v="Aguardando Liberação"/>
    <s v="2025 03"/>
    <s v="ENTREGUE"/>
    <d v="2025-03-07T00:00:00"/>
    <s v="-"/>
    <m/>
    <n v="0"/>
    <n v="0"/>
    <n v="0"/>
    <n v="0"/>
    <n v="0"/>
  </r>
  <r>
    <s v="BV"/>
    <s v="BV45718"/>
    <s v="Pedido 1083"/>
    <d v="2025-03-02T00:00:00"/>
    <d v="2025-03-02T00:00:00"/>
    <s v="PedidoF1062"/>
    <s v="CódRastreio1060"/>
    <n v="1"/>
    <s v="CPF 1022"/>
    <s v="Nome 1022"/>
    <s v="Tel 1022"/>
    <s v="Cep 1022"/>
    <s v="Rua 1022"/>
    <s v="Comp 1022"/>
    <x v="6"/>
    <s v="KN-TBQL-K2MM"/>
    <d v="2025-03-20T00:00:00"/>
    <n v="23.9"/>
    <n v="23.9"/>
    <n v="3.1069999999999998"/>
    <n v="20.79"/>
    <n v="6.99"/>
    <n v="0.28000000000000003"/>
    <n v="0.39877104377104378"/>
    <n v="0"/>
    <n v="13.121228956228954"/>
    <n v="6.5606144781144771"/>
    <d v="2025-03-27T00:00:00"/>
    <d v="2025-03-27T00:00:00"/>
    <d v="2025-03-31T00:00:00"/>
    <d v="2025-04-02T00:00:00"/>
    <s v="2025 03"/>
    <s v="Aguardando Liberação"/>
    <s v="2025 03"/>
    <s v="ENTREGUE"/>
    <d v="2025-03-06T00:00:00"/>
    <s v="-"/>
    <m/>
    <n v="0"/>
    <n v="0"/>
    <n v="0"/>
    <n v="0"/>
    <n v="0"/>
  </r>
  <r>
    <s v="BV"/>
    <s v="BV45718"/>
    <s v="Pedido 1084"/>
    <d v="2025-03-02T00:00:00"/>
    <d v="2025-03-02T00:00:00"/>
    <s v="PedidoF1063"/>
    <s v="CódRastreio1061"/>
    <n v="1"/>
    <s v="CPF 1054"/>
    <s v="Nome 1054"/>
    <s v="Tel 1054"/>
    <s v="Cep 1054"/>
    <s v="Rua 1054"/>
    <s v="Comp 1054"/>
    <x v="10"/>
    <s v="MU-J80P-95WF"/>
    <d v="2025-04-08T00:00:00"/>
    <n v="65.599999999999994"/>
    <n v="65.599999999999994"/>
    <n v="8.5279999999999987"/>
    <n v="57.07"/>
    <n v="12.69"/>
    <n v="0.28000000000000003"/>
    <n v="0.39877104377104378"/>
    <n v="0"/>
    <n v="43.70122895622896"/>
    <n v="21.85061447811448"/>
    <d v="2025-04-15T00:00:00"/>
    <d v="2025-04-15T00:00:00"/>
    <d v="2025-04-15T00:00:00"/>
    <d v="2025-04-16T00:00:00"/>
    <s v="2025 04"/>
    <s v="Aguardando Liberação"/>
    <s v="2025 03"/>
    <s v="ENTREGUE"/>
    <d v="2025-03-17T00:00:00"/>
    <s v="-"/>
    <m/>
    <n v="0"/>
    <n v="0"/>
    <n v="0"/>
    <n v="0"/>
    <n v="0"/>
  </r>
  <r>
    <s v="MEI"/>
    <s v="MEI45718"/>
    <s v="Pedido 1085"/>
    <d v="2025-03-01T00:00:00"/>
    <d v="2025-03-02T00:00:00"/>
    <s v="PedidoF1064"/>
    <s v="CódRastreio1062"/>
    <n v="1"/>
    <s v="CPF 1055"/>
    <s v="Nome 1055"/>
    <s v="Tel 1055"/>
    <s v="Cep 1055"/>
    <s v="Rua 1055"/>
    <s v="Comp 1055"/>
    <x v="1"/>
    <s v="A4-5W51-K3HF"/>
    <d v="2025-03-26T00:00:00"/>
    <n v="30.95"/>
    <n v="30.95"/>
    <n v="4.3330000000000002"/>
    <n v="26.62"/>
    <n v="14.99"/>
    <n v="0.2"/>
    <n v="0.39877104377104378"/>
    <n v="0"/>
    <n v="11.031228956228958"/>
    <n v="5.5156144781144789"/>
    <d v="2025-04-02T00:00:00"/>
    <d v="2025-04-02T00:00:00"/>
    <d v="2025-04-15T00:00:00"/>
    <d v="2025-04-16T00:00:00"/>
    <s v="2025 04"/>
    <s v="Aguardando Liberação"/>
    <s v="2025 03"/>
    <s v="ENTREGUE"/>
    <d v="2025-03-11T00:00:00"/>
    <s v="-"/>
    <m/>
    <n v="0"/>
    <n v="0"/>
    <n v="0"/>
    <n v="0"/>
    <n v="0"/>
  </r>
  <r>
    <s v="MEI"/>
    <s v="MEI45718"/>
    <s v="Pedido 1086"/>
    <d v="2025-03-01T00:00:00"/>
    <d v="2025-03-02T00:00:00"/>
    <s v="PedidoF1065"/>
    <s v="CódRastreio1063"/>
    <n v="1"/>
    <s v="CPF 1056"/>
    <s v="Nome 1056"/>
    <s v="Tel 1056"/>
    <s v="Cep 1056"/>
    <s v="Rua 1056"/>
    <s v="Comp 1056"/>
    <x v="1"/>
    <s v="A4-5W51-K3HF"/>
    <d v="2025-03-20T00:00:00"/>
    <n v="30.95"/>
    <n v="30.95"/>
    <n v="4.3330000000000002"/>
    <n v="26.62"/>
    <n v="14.99"/>
    <n v="0.2"/>
    <n v="0.39877104377104378"/>
    <n v="0"/>
    <n v="11.031228956228958"/>
    <n v="5.5156144781144789"/>
    <d v="2025-03-27T00:00:00"/>
    <d v="2025-03-27T00:00:00"/>
    <d v="2025-03-31T00:00:00"/>
    <d v="2025-04-02T00:00:00"/>
    <s v="2025 03"/>
    <s v="Aguardando Liberação"/>
    <s v="2025 03"/>
    <s v="ENTREGUE"/>
    <d v="2025-03-07T00:00:00"/>
    <s v="-"/>
    <m/>
    <n v="0"/>
    <n v="0"/>
    <n v="0"/>
    <n v="0"/>
    <n v="0"/>
  </r>
  <r>
    <s v="MEI"/>
    <s v="MEI45718"/>
    <s v="Pedido 1087"/>
    <d v="2025-03-01T00:00:00"/>
    <d v="2025-03-02T00:00:00"/>
    <s v="PedidoF1066"/>
    <s v="CódRastreio1064"/>
    <n v="1"/>
    <s v="CPF 1057"/>
    <s v="Nome 1057"/>
    <s v="Tel 1057"/>
    <s v="Cep 1057"/>
    <s v="Rua 1057"/>
    <s v="Comp 1057"/>
    <x v="1"/>
    <s v="A4-5W51-K3HF"/>
    <d v="2025-03-20T00:00:00"/>
    <n v="30.95"/>
    <n v="30.95"/>
    <n v="4.3330000000000002"/>
    <n v="26.62"/>
    <n v="14.99"/>
    <n v="0.2"/>
    <n v="0.39877104377104378"/>
    <n v="0"/>
    <n v="11.031228956228958"/>
    <n v="5.5156144781144789"/>
    <d v="2025-03-27T00:00:00"/>
    <d v="2025-03-27T00:00:00"/>
    <d v="2025-03-31T00:00:00"/>
    <d v="2025-04-02T00:00:00"/>
    <s v="2025 03"/>
    <s v="Aguardando Liberação"/>
    <s v="2025 03"/>
    <s v="ENTREGUE"/>
    <d v="2025-03-07T00:00:00"/>
    <s v="-"/>
    <m/>
    <n v="0"/>
    <n v="0"/>
    <n v="0"/>
    <n v="0"/>
    <n v="0"/>
  </r>
  <r>
    <s v="MEI"/>
    <s v="MEI45718"/>
    <s v="Pedido 1088"/>
    <d v="2025-03-02T00:00:00"/>
    <d v="2025-03-02T00:00:00"/>
    <s v="PedidoF1067"/>
    <s v="CódRastreio1065"/>
    <n v="1"/>
    <s v="CPF 1058"/>
    <s v="Nome 1058"/>
    <s v="Tel 1058"/>
    <s v="Cep 1058"/>
    <s v="Rua 1058"/>
    <s v="Comp 1058"/>
    <x v="10"/>
    <s v="WU-SS4J-LFOH"/>
    <d v="2025-04-01T00:00:00"/>
    <n v="65.599999999999994"/>
    <n v="65.599999999999994"/>
    <n v="8.5279999999999987"/>
    <n v="57.07"/>
    <n v="10.17"/>
    <n v="0.2"/>
    <n v="0.39877104377104378"/>
    <n v="0"/>
    <n v="46.301228956228954"/>
    <n v="23.150614478114477"/>
    <d v="2025-04-08T00:00:00"/>
    <d v="2025-04-08T00:00:00"/>
    <d v="2025-04-15T00:00:00"/>
    <d v="2025-04-16T00:00:00"/>
    <s v="2025 04"/>
    <s v="Aguardando Liberação"/>
    <s v="2025 03"/>
    <s v="ENTREGUE"/>
    <d v="2025-03-13T00:00:00"/>
    <s v="-"/>
    <m/>
    <n v="0"/>
    <n v="0"/>
    <n v="0"/>
    <n v="0"/>
    <n v="0"/>
  </r>
  <r>
    <s v="GO"/>
    <s v="GO45718"/>
    <s v="Pedido 1089"/>
    <d v="2025-03-02T00:00:00"/>
    <d v="2025-03-02T00:00:00"/>
    <s v="PedidoF1068"/>
    <s v="CódRastreio1066"/>
    <n v="1"/>
    <s v="CPF 1059"/>
    <s v="Nome 1059"/>
    <s v="Tel 1059"/>
    <s v="Cep 1059"/>
    <s v="Rua 1059"/>
    <s v="Comp 1059"/>
    <x v="10"/>
    <s v="EP-9PIR-BWXH"/>
    <d v="2025-03-26T00:00:00"/>
    <n v="70.989999999999995"/>
    <n v="70.989999999999995"/>
    <n v="9.2286999999999999"/>
    <n v="61.76"/>
    <n v="10.17"/>
    <n v="0.2"/>
    <n v="0.39877104377104378"/>
    <n v="0"/>
    <n v="50.991228956228952"/>
    <n v="50.991228956228952"/>
    <d v="2025-04-02T00:00:00"/>
    <d v="2025-04-02T00:00:00"/>
    <d v="2025-04-15T00:00:00"/>
    <d v="2025-04-16T00:00:00"/>
    <s v="2025 04"/>
    <s v="Aguardando Liberação"/>
    <s v="2025 03"/>
    <s v="ENTREGUE"/>
    <d v="2025-03-10T00:00:00"/>
    <s v="-"/>
    <m/>
    <n v="0"/>
    <n v="0"/>
    <n v="0"/>
    <n v="0"/>
    <n v="0"/>
  </r>
  <r>
    <s v="BV"/>
    <s v="BV45721"/>
    <s v="Pedido 1090"/>
    <d v="2025-03-02T00:00:00"/>
    <d v="2025-03-05T00:00:00"/>
    <s v="PedidoF1069"/>
    <s v="CódRastreio1067"/>
    <n v="1"/>
    <s v="CPF 1060"/>
    <s v="Nome 1060"/>
    <s v="Tel 1060"/>
    <s v="Cep 1060"/>
    <s v="Rua 1060"/>
    <s v="Comp 1060"/>
    <x v="8"/>
    <s v="FM-QQ8Y-RZT4"/>
    <d v="2025-03-26T00:00:00"/>
    <n v="23.5"/>
    <n v="23.5"/>
    <n v="3.0550000000000002"/>
    <n v="20.45"/>
    <n v="12.8"/>
    <n v="0.2"/>
    <n v="0.39877104377104378"/>
    <n v="0"/>
    <n v="7.0512289562289556"/>
    <n v="3.5256144781144778"/>
    <d v="2025-04-02T00:00:00"/>
    <d v="2025-04-02T00:00:00"/>
    <d v="2025-04-15T00:00:00"/>
    <d v="2025-04-16T00:00:00"/>
    <s v="2025 04"/>
    <s v="Aguardando Liberação"/>
    <s v="2025 03"/>
    <s v="ENTREGUE"/>
    <d v="2025-03-19T00:00:00"/>
    <s v="-"/>
    <m/>
    <n v="0"/>
    <n v="0"/>
    <n v="0"/>
    <n v="0"/>
    <n v="0"/>
  </r>
  <r>
    <s v="BV"/>
    <s v="BV45720"/>
    <s v="Pedido 1091"/>
    <d v="2025-03-03T00:00:00"/>
    <d v="2025-03-04T00:00:00"/>
    <s v="PedidoF1070"/>
    <s v="CódRastreio1068"/>
    <n v="1"/>
    <s v="CPF 1061"/>
    <s v="Nome 1061"/>
    <s v="Tel 1061"/>
    <s v="Cep 1061"/>
    <s v="Rua 1061"/>
    <s v="Comp 1061"/>
    <x v="6"/>
    <s v="KN-TBQL-K2MM"/>
    <d v="2025-03-20T00:00:00"/>
    <n v="23.9"/>
    <n v="23.9"/>
    <n v="3.1069999999999998"/>
    <n v="20.79"/>
    <n v="6.99"/>
    <n v="0.25"/>
    <n v="0.39877104377104378"/>
    <n v="0"/>
    <n v="13.151228956228955"/>
    <n v="6.5756144781144776"/>
    <d v="2025-03-27T00:00:00"/>
    <d v="2025-03-27T00:00:00"/>
    <d v="2025-03-31T00:00:00"/>
    <d v="2025-04-02T00:00:00"/>
    <s v="2025 03"/>
    <s v="Aguardando Liberação"/>
    <s v="2025 03"/>
    <s v="ENTREGUE"/>
    <d v="2025-03-13T00:00:00"/>
    <s v="-"/>
    <m/>
    <n v="0"/>
    <n v="0"/>
    <n v="0"/>
    <n v="0"/>
    <n v="0"/>
  </r>
  <r>
    <s v="BV"/>
    <s v="BV45720"/>
    <s v="Pedido 1092"/>
    <d v="2025-03-03T00:00:00"/>
    <d v="2025-03-04T00:00:00"/>
    <s v="PedidoF1071"/>
    <s v="CódRastreio1069"/>
    <n v="1"/>
    <s v="CPF 1062"/>
    <s v="Nome 1062"/>
    <s v="Tel 1062"/>
    <s v="Cep 1062"/>
    <s v="Rua 1062"/>
    <s v="Comp 1062"/>
    <x v="6"/>
    <s v="KN-TBQL-K2MM"/>
    <d v="2025-03-20T00:00:00"/>
    <n v="23.9"/>
    <n v="23.9"/>
    <n v="3.1069999999999998"/>
    <n v="20.79"/>
    <n v="6.99"/>
    <n v="0.25"/>
    <n v="0.39877104377104378"/>
    <n v="0"/>
    <n v="13.151228956228955"/>
    <n v="6.5756144781144776"/>
    <d v="2025-03-27T00:00:00"/>
    <d v="2025-03-27T00:00:00"/>
    <d v="2025-03-31T00:00:00"/>
    <d v="2025-04-02T00:00:00"/>
    <s v="2025 03"/>
    <s v="Aguardando Liberação"/>
    <s v="2025 03"/>
    <s v="ENTREGUE"/>
    <d v="2025-03-06T00:00:00"/>
    <s v="-"/>
    <m/>
    <n v="0"/>
    <n v="0"/>
    <n v="0"/>
    <n v="0"/>
    <n v="0"/>
  </r>
  <r>
    <s v="BV"/>
    <s v="BV45720"/>
    <s v="Pedido 1093"/>
    <d v="2025-03-03T00:00:00"/>
    <d v="2025-03-04T00:00:00"/>
    <s v="PedidoF1072"/>
    <s v="CódRastreio1070"/>
    <n v="1"/>
    <s v="CPF 1063"/>
    <s v="Nome 1063"/>
    <s v="Tel 1063"/>
    <s v="Cep 1063"/>
    <s v="Rua 1063"/>
    <s v="Comp 1063"/>
    <x v="19"/>
    <s v="08-PAJ9-YM9P"/>
    <d v="2025-04-08T00:00:00"/>
    <n v="55.99"/>
    <n v="55.99"/>
    <n v="8.3985000000000003"/>
    <n v="47.59"/>
    <n v="0"/>
    <n v="0.25"/>
    <n v="0.39877104377104378"/>
    <n v="0"/>
    <n v="46.941228956228962"/>
    <n v="23.470614478114481"/>
    <d v="2025-04-15T00:00:00"/>
    <d v="2025-04-15T00:00:00"/>
    <d v="2025-04-15T00:00:00"/>
    <d v="2025-04-16T00:00:00"/>
    <s v="2025 04"/>
    <s v="Aguardando Liberação"/>
    <s v="2025 03"/>
    <s v="ENTREGUE"/>
    <d v="2025-04-16T00:00:00"/>
    <s v="-"/>
    <m/>
    <n v="0"/>
    <n v="0"/>
    <n v="0"/>
    <n v="0"/>
    <n v="0"/>
  </r>
  <r>
    <s v="BV"/>
    <s v="BV45720"/>
    <s v="Pedido 1094"/>
    <d v="2025-03-04T00:00:00"/>
    <d v="2025-03-04T00:00:00"/>
    <s v="PedidoF1073"/>
    <s v="CódRastreio1071"/>
    <n v="1"/>
    <s v="CPF 1064"/>
    <s v="Nome 1064"/>
    <s v="Tel 1064"/>
    <s v="Cep 1064"/>
    <s v="Rua 1064"/>
    <s v="Comp 1064"/>
    <x v="10"/>
    <s v="MU-J80P-95WF"/>
    <d v="2025-04-01T00:00:00"/>
    <n v="65.599999999999994"/>
    <n v="65.599999999999994"/>
    <n v="8.5279999999999987"/>
    <n v="57.07"/>
    <n v="10.52"/>
    <n v="0.25"/>
    <n v="0.39877104377104378"/>
    <n v="0"/>
    <n v="45.901228956228955"/>
    <n v="22.950614478114478"/>
    <d v="2025-04-08T00:00:00"/>
    <d v="2025-04-08T00:00:00"/>
    <d v="2025-04-15T00:00:00"/>
    <d v="2025-04-16T00:00:00"/>
    <s v="2025 04"/>
    <s v="Aguardando Liberação"/>
    <s v="2025 03"/>
    <s v="ENTREGUE"/>
    <d v="2025-03-21T00:00:00"/>
    <s v="-"/>
    <m/>
    <n v="0"/>
    <n v="0"/>
    <n v="0"/>
    <n v="0"/>
    <n v="0"/>
  </r>
  <r>
    <s v="BV"/>
    <s v="BV45720"/>
    <s v="Pedido 1095"/>
    <d v="2025-03-04T00:00:00"/>
    <d v="2025-03-04T00:00:00"/>
    <s v="PedidoF1074"/>
    <s v="CódRastreio1072"/>
    <n v="1"/>
    <s v="CPF 1065"/>
    <s v="Nome 1065"/>
    <s v="Tel 1065"/>
    <s v="Cep 1065"/>
    <s v="Rua 1065"/>
    <s v="Comp 1065"/>
    <x v="8"/>
    <s v="FM-QQ8Y-RZT4"/>
    <d v="2025-03-20T00:00:00"/>
    <n v="23.5"/>
    <n v="23.5"/>
    <n v="3.0550000000000002"/>
    <n v="20.45"/>
    <n v="13.8"/>
    <n v="0.25"/>
    <n v="0.39877104377104378"/>
    <n v="0"/>
    <n v="6.0012289562289549"/>
    <n v="3.0006144781144775"/>
    <d v="2025-03-27T00:00:00"/>
    <d v="2025-03-27T00:00:00"/>
    <d v="2025-03-31T00:00:00"/>
    <d v="2025-04-02T00:00:00"/>
    <s v="2025 03"/>
    <s v="Aguardando Liberação"/>
    <s v="2025 03"/>
    <s v="ENTREGUE"/>
    <d v="2025-03-08T00:00:00"/>
    <s v="-"/>
    <m/>
    <n v="0"/>
    <n v="0"/>
    <n v="0"/>
    <n v="0"/>
    <n v="0"/>
  </r>
  <r>
    <s v="BV"/>
    <s v="BV45721"/>
    <s v="Pedido 1096"/>
    <d v="2025-03-04T00:00:00"/>
    <d v="2025-03-05T00:00:00"/>
    <s v="PedidoF1075"/>
    <s v="CódRastreio1073"/>
    <n v="1"/>
    <s v="CPF 1066"/>
    <s v="Nome 1066"/>
    <s v="Tel 1066"/>
    <s v="Cep 1066"/>
    <s v="Rua 1066"/>
    <s v="Comp 1066"/>
    <x v="16"/>
    <s v="RB-W251-UXV2"/>
    <d v="2025-03-20T00:00:00"/>
    <n v="26.99"/>
    <n v="26.99"/>
    <n v="3.5086999999999997"/>
    <n v="23.48"/>
    <n v="13.4"/>
    <n v="0.2"/>
    <n v="0.39877104377104378"/>
    <n v="0"/>
    <n v="9.4812289562289571"/>
    <n v="4.7406144781144786"/>
    <d v="2025-03-27T00:00:00"/>
    <d v="2025-03-27T00:00:00"/>
    <d v="2025-03-31T00:00:00"/>
    <d v="2025-04-02T00:00:00"/>
    <s v="2025 03"/>
    <s v="Aguardando Liberação"/>
    <s v="2025 03"/>
    <s v="ENTREGUE"/>
    <d v="2025-03-13T00:00:00"/>
    <s v="-"/>
    <m/>
    <n v="0"/>
    <n v="0"/>
    <n v="0"/>
    <n v="0"/>
    <n v="0"/>
  </r>
  <r>
    <s v="BV"/>
    <s v="BV45721"/>
    <s v="Pedido 1097"/>
    <d v="2025-03-04T00:00:00"/>
    <d v="2025-03-05T00:00:00"/>
    <s v="PedidoF1076"/>
    <s v="CódRastreio1074"/>
    <n v="1"/>
    <s v="CPF 1067"/>
    <s v="Nome 1067"/>
    <s v="Tel 1067"/>
    <s v="Cep 1067"/>
    <s v="Rua 1067"/>
    <s v="Comp 1067"/>
    <x v="8"/>
    <s v="FM-QQ8Y-RZT4"/>
    <d v="2025-03-26T00:00:00"/>
    <n v="23.5"/>
    <n v="23.5"/>
    <n v="3.0550000000000002"/>
    <n v="20.45"/>
    <n v="12.8"/>
    <n v="0.2"/>
    <n v="0.39877104377104378"/>
    <n v="0"/>
    <n v="7.0512289562289556"/>
    <n v="3.5256144781144778"/>
    <d v="2025-04-02T00:00:00"/>
    <d v="2025-04-02T00:00:00"/>
    <d v="2025-04-15T00:00:00"/>
    <d v="2025-04-16T00:00:00"/>
    <s v="2025 04"/>
    <s v="Aguardando Liberação"/>
    <s v="2025 03"/>
    <s v="ENTREGUE"/>
    <d v="2025-03-17T00:00:00"/>
    <s v="-"/>
    <m/>
    <n v="0"/>
    <n v="0"/>
    <n v="0"/>
    <n v="0"/>
    <n v="0"/>
  </r>
  <r>
    <s v="BV"/>
    <s v="BV45721"/>
    <s v="Pedido 1098"/>
    <d v="2025-03-04T00:00:00"/>
    <d v="2025-03-05T00:00:00"/>
    <s v="PedidoF1077"/>
    <s v="CódRastreio1075"/>
    <n v="1"/>
    <s v="CPF 1068"/>
    <s v="Nome 1068"/>
    <s v="Tel 1068"/>
    <s v="Cep 1068"/>
    <s v="Rua 1068"/>
    <s v="Comp 1068"/>
    <x v="19"/>
    <s v="08-PAJ9-YM9P"/>
    <d v="2025-04-01T00:00:00"/>
    <n v="55.99"/>
    <n v="55.99"/>
    <n v="8.3985000000000003"/>
    <n v="47.59"/>
    <n v="0"/>
    <n v="0.2"/>
    <n v="0.39877104377104378"/>
    <n v="0"/>
    <n v="46.991228956228959"/>
    <n v="23.495614478114479"/>
    <d v="2025-04-08T00:00:00"/>
    <d v="2025-04-08T00:00:00"/>
    <d v="2025-04-15T00:00:00"/>
    <d v="2025-04-16T00:00:00"/>
    <s v="2025 04"/>
    <s v="Aguardando Liberação"/>
    <s v="2025 03"/>
    <s v="ENTREGUE"/>
    <d v="2025-04-23T00:00:00"/>
    <s v="-"/>
    <m/>
    <n v="0"/>
    <n v="0"/>
    <n v="0"/>
    <n v="0"/>
    <n v="0"/>
  </r>
  <r>
    <s v="BV"/>
    <s v="BV45721"/>
    <s v="Pedido 1099"/>
    <d v="2025-03-04T00:00:00"/>
    <d v="2025-03-05T00:00:00"/>
    <s v="PedidoF1078"/>
    <s v="CódRastreio1076"/>
    <n v="1"/>
    <s v="CPF 1069"/>
    <s v="Nome 1069"/>
    <s v="Tel 1069"/>
    <s v="Cep 1069"/>
    <s v="Rua 1069"/>
    <s v="Comp 1069"/>
    <x v="19"/>
    <s v="08-PAJ9-YM9P"/>
    <d v="2025-04-01T00:00:00"/>
    <n v="55.99"/>
    <n v="55.99"/>
    <n v="8.3985000000000003"/>
    <n v="47.59"/>
    <n v="0"/>
    <n v="0.2"/>
    <n v="0.39877104377104378"/>
    <n v="0"/>
    <n v="46.991228956228959"/>
    <n v="23.495614478114479"/>
    <d v="2025-04-08T00:00:00"/>
    <d v="2025-04-08T00:00:00"/>
    <d v="2025-04-15T00:00:00"/>
    <d v="2025-04-16T00:00:00"/>
    <s v="2025 04"/>
    <s v="Aguardando Liberação"/>
    <s v="2025 03"/>
    <s v="ENTREGUE"/>
    <d v="2025-04-17T00:00:00"/>
    <s v="-"/>
    <m/>
    <n v="0"/>
    <n v="0"/>
    <n v="0"/>
    <n v="0"/>
    <n v="0"/>
  </r>
  <r>
    <s v="MEI"/>
    <s v="MEI45721"/>
    <s v="Pedido 1100"/>
    <d v="2025-03-04T00:00:00"/>
    <d v="2025-03-05T00:00:00"/>
    <s v="PedidoF1079"/>
    <s v="CódRastreio1077"/>
    <n v="1"/>
    <s v="CPF 1070"/>
    <s v="Nome 1070"/>
    <s v="Tel 1070"/>
    <s v="Cep 1070"/>
    <s v="Rua 1070"/>
    <s v="Comp 1070"/>
    <x v="1"/>
    <s v="A4-5W51-K3HF"/>
    <d v="2025-03-26T00:00:00"/>
    <n v="30.95"/>
    <n v="30.95"/>
    <n v="4.3330000000000002"/>
    <n v="26.62"/>
    <n v="13.99"/>
    <n v="0.15"/>
    <n v="0.39877104377104378"/>
    <n v="0"/>
    <n v="12.081228956228957"/>
    <n v="6.0406144781144784"/>
    <d v="2025-04-02T00:00:00"/>
    <d v="2025-04-02T00:00:00"/>
    <d v="2025-04-15T00:00:00"/>
    <d v="2025-04-16T00:00:00"/>
    <s v="2025 04"/>
    <s v="Aguardando Liberação"/>
    <s v="2025 03"/>
    <s v="ENTREGUE"/>
    <d v="2025-03-18T00:00:00"/>
    <s v="-"/>
    <m/>
    <n v="0"/>
    <n v="0"/>
    <n v="0"/>
    <n v="0"/>
    <n v="0"/>
  </r>
  <r>
    <s v="GO"/>
    <s v="GO45721"/>
    <s v="Pedido 1101"/>
    <d v="2025-03-04T00:00:00"/>
    <d v="2025-03-05T00:00:00"/>
    <s v="PedidoF1080"/>
    <s v="CódRastreio1078"/>
    <n v="1"/>
    <s v="CPF 1017"/>
    <s v="Nome 1017"/>
    <s v="Tel 1017"/>
    <s v="Cep 1017"/>
    <s v="Rua 1017"/>
    <s v="Comp 1017"/>
    <x v="10"/>
    <s v="EP-9PIR-BWXH"/>
    <d v="2025-04-01T00:00:00"/>
    <n v="70.989999999999995"/>
    <n v="70.989999999999995"/>
    <n v="9.2286999999999999"/>
    <n v="61.76"/>
    <n v="14.7"/>
    <n v="0.15"/>
    <n v="0.39877104377104378"/>
    <n v="0"/>
    <n v="46.511228956228955"/>
    <n v="46.511228956228955"/>
    <d v="2025-04-08T00:00:00"/>
    <d v="2025-04-08T00:00:00"/>
    <d v="2025-04-15T00:00:00"/>
    <d v="2025-04-16T00:00:00"/>
    <s v="2025 04"/>
    <s v="Aguardando Liberação"/>
    <s v="2025 03"/>
    <s v="ENTREGUE"/>
    <d v="2025-03-19T00:00:00"/>
    <s v="-"/>
    <m/>
    <n v="0"/>
    <n v="0"/>
    <n v="0"/>
    <n v="0"/>
    <n v="0"/>
  </r>
  <r>
    <s v="BV"/>
    <s v="BV45721"/>
    <s v="Pedido 1102"/>
    <d v="2025-03-05T00:00:00"/>
    <d v="2025-03-05T00:00:00"/>
    <s v="PedidoF1081"/>
    <s v="CódRastreio1079"/>
    <n v="1"/>
    <s v="CPF 1071"/>
    <s v="Nome 1071"/>
    <s v="Tel 1071"/>
    <s v="Cep 1071"/>
    <s v="Rua 1071"/>
    <s v="Comp 1071"/>
    <x v="10"/>
    <s v="MU-J80P-95WF"/>
    <d v="2025-04-01T00:00:00"/>
    <n v="65.599999999999994"/>
    <n v="65.599999999999994"/>
    <n v="8.5279999999999987"/>
    <n v="57.07"/>
    <n v="10.15"/>
    <n v="0.2"/>
    <n v="0.39877104377104378"/>
    <n v="0"/>
    <n v="46.321228956228957"/>
    <n v="23.160614478114478"/>
    <d v="2025-04-08T00:00:00"/>
    <d v="2025-04-08T00:00:00"/>
    <d v="2025-04-15T00:00:00"/>
    <d v="2025-04-16T00:00:00"/>
    <s v="2025 04"/>
    <s v="Aguardando Liberação"/>
    <s v="2025 03"/>
    <s v="ENTREGUE"/>
    <d v="2025-03-14T00:00:00"/>
    <s v="-"/>
    <m/>
    <n v="0"/>
    <n v="0"/>
    <n v="0"/>
    <n v="0"/>
    <n v="0"/>
  </r>
  <r>
    <s v="BV"/>
    <s v="BV45721"/>
    <s v="Pedido 1103"/>
    <d v="2025-03-05T00:00:00"/>
    <d v="2025-03-05T00:00:00"/>
    <s v="PedidoF1082"/>
    <s v="CódRastreio1080"/>
    <n v="1"/>
    <s v="CPF 1072"/>
    <s v="Nome 1072"/>
    <s v="Tel 1072"/>
    <s v="Cep 1072"/>
    <s v="Rua 1072"/>
    <s v="Comp 1072"/>
    <x v="10"/>
    <s v="MU-J80P-95WF"/>
    <d v="2025-03-26T00:00:00"/>
    <n v="70.599999999999994"/>
    <n v="70.599999999999994"/>
    <n v="9.177999999999999"/>
    <n v="61.42"/>
    <n v="10.15"/>
    <n v="0.2"/>
    <n v="0.39877104377104378"/>
    <n v="0"/>
    <n v="50.671228956228958"/>
    <n v="25.335614478114479"/>
    <d v="2025-04-02T00:00:00"/>
    <d v="2025-04-02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BV"/>
    <s v="BV45721"/>
    <s v="Pedido 1104"/>
    <d v="2025-03-05T00:00:00"/>
    <d v="2025-03-05T00:00:00"/>
    <s v="PedidoF1083"/>
    <s v="CódRastreio1081"/>
    <n v="1"/>
    <s v="CPF 1073"/>
    <s v="Nome 1073"/>
    <s v="Tel 1073"/>
    <s v="Cep 1073"/>
    <s v="Rua 1073"/>
    <s v="Comp 1073"/>
    <x v="20"/>
    <s v="5D-KKPK-K70I"/>
    <d v="2025-03-20T00:00:00"/>
    <n v="25.99"/>
    <n v="25.99"/>
    <n v="3.8984999999999994"/>
    <n v="22.09"/>
    <n v="12.3"/>
    <n v="0.2"/>
    <n v="0.39877104377104378"/>
    <n v="0"/>
    <n v="9.1912289562289562"/>
    <n v="4.5956144781144781"/>
    <d v="2025-03-27T00:00:00"/>
    <d v="2025-03-27T00:00:00"/>
    <d v="2025-03-31T00:00:00"/>
    <d v="2025-04-02T00:00:00"/>
    <s v="2025 03"/>
    <s v="Aguardando Liberação"/>
    <s v="2025 03"/>
    <s v="ENTREGUE"/>
    <d v="2025-03-13T00:00:00"/>
    <s v="-"/>
    <m/>
    <n v="0"/>
    <n v="0"/>
    <n v="0"/>
    <n v="0"/>
    <n v="0"/>
  </r>
  <r>
    <s v="BV"/>
    <s v="BV-"/>
    <s v="Pedido 1105"/>
    <d v="2025-03-05T00:00:00"/>
    <s v="-"/>
    <s v="-"/>
    <s v="-"/>
    <n v="1"/>
    <s v="CPF 1074"/>
    <s v="Nome 1074"/>
    <s v="Tel 1074"/>
    <s v="Cep 1074"/>
    <s v="Rua 1074"/>
    <s v="Comp 1074"/>
    <x v="3"/>
    <s v="IF-G2ZQ-79FO"/>
    <d v="2025-04-01T00:00:00"/>
    <n v="61.5"/>
    <n v="61.5"/>
    <n v="7.9950000000000001"/>
    <n v="53.51"/>
    <n v="0"/>
    <n v="0"/>
    <n v="0"/>
    <n v="0"/>
    <n v="53.51"/>
    <n v="26.754999999999999"/>
    <d v="2025-04-08T00:00:00"/>
    <d v="2025-04-08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21"/>
    <s v="Pedido 1106"/>
    <d v="2025-03-04T00:00:00"/>
    <d v="2025-03-05T00:00:00"/>
    <s v="PedidoF1084"/>
    <s v="CódRastreio1082"/>
    <n v="1"/>
    <s v="CPF 1075"/>
    <s v="Nome 1075"/>
    <s v="Tel 1075"/>
    <s v="Cep 1075"/>
    <s v="Rua 1075"/>
    <s v="Comp 1075"/>
    <x v="3"/>
    <s v="IF-G2ZQ-79FO"/>
    <d v="2025-03-26T00:00:00"/>
    <n v="61.5"/>
    <n v="61.5"/>
    <n v="7.9950000000000001"/>
    <n v="53.51"/>
    <n v="13.36"/>
    <n v="0.2"/>
    <n v="0.39877104377104378"/>
    <n v="0"/>
    <n v="39.551228956228954"/>
    <n v="19.775614478114477"/>
    <d v="2025-04-02T00:00:00"/>
    <d v="2025-04-02T00:00:00"/>
    <d v="2025-04-15T00:00:00"/>
    <d v="2025-04-16T00:00:00"/>
    <s v="2025 04"/>
    <s v="Aguardando Liberação"/>
    <s v="2025 03"/>
    <s v="ENTREGUE"/>
    <d v="2025-03-20T00:00:00"/>
    <s v="-"/>
    <m/>
    <n v="0"/>
    <n v="0"/>
    <n v="0"/>
    <n v="0"/>
    <n v="0"/>
  </r>
  <r>
    <s v="BV"/>
    <s v="BV45721"/>
    <s v="Pedido 1107"/>
    <d v="2025-03-05T00:00:00"/>
    <d v="2025-03-05T00:00:00"/>
    <s v="PedidoF1085"/>
    <s v="CódRastreio1083"/>
    <n v="1"/>
    <s v="CPF 1076"/>
    <s v="Nome 1076"/>
    <s v="Tel 1076"/>
    <s v="Cep 1076"/>
    <s v="Rua 1076"/>
    <s v="Comp 1076"/>
    <x v="0"/>
    <s v="16-4EDB-WMZF"/>
    <d v="2025-03-26T00:00:00"/>
    <n v="24.99"/>
    <n v="24.99"/>
    <n v="3.7484999999999995"/>
    <n v="21.24"/>
    <n v="0"/>
    <n v="0.2"/>
    <n v="0.39877104377104378"/>
    <n v="0"/>
    <n v="20.641228956228954"/>
    <n v="10.320614478114477"/>
    <d v="2025-04-02T00:00:00"/>
    <d v="2025-04-02T00:00:00"/>
    <d v="2025-04-15T00:00:00"/>
    <d v="2025-04-16T00:00:00"/>
    <s v="2025 04"/>
    <s v="Aguardando Liberação"/>
    <s v="2025 03"/>
    <s v="ENTREGUE"/>
    <d v="2025-04-22T00:00:00"/>
    <s v="-"/>
    <m/>
    <n v="0"/>
    <n v="0"/>
    <n v="0"/>
    <n v="0"/>
    <n v="0"/>
  </r>
  <r>
    <s v="MEI"/>
    <s v="MEI45721"/>
    <s v="Pedido 1108"/>
    <d v="2025-03-05T00:00:00"/>
    <d v="2025-03-05T00:00:00"/>
    <s v="PedidoF1086"/>
    <s v="CódRastreio1084"/>
    <n v="1"/>
    <s v="CPF 1077"/>
    <s v="Nome 1077"/>
    <s v="Tel 1077"/>
    <s v="Cep 1077"/>
    <s v="Rua 1077"/>
    <s v="Comp 1077"/>
    <x v="10"/>
    <s v="WU-SS4J-LFOH"/>
    <d v="2025-04-01T00:00:00"/>
    <n v="65.599999999999994"/>
    <n v="65.599999999999994"/>
    <n v="8.5279999999999987"/>
    <n v="57.07"/>
    <n v="14.7"/>
    <n v="0.15"/>
    <n v="0.39877104377104378"/>
    <n v="0"/>
    <n v="41.821228956228957"/>
    <n v="20.910614478114478"/>
    <d v="2025-04-08T00:00:00"/>
    <d v="2025-04-08T00:00:00"/>
    <d v="2025-04-15T00:00:00"/>
    <d v="2025-04-16T00:00:00"/>
    <s v="2025 04"/>
    <s v="Aguardando Liberação"/>
    <s v="2025 03"/>
    <s v="ENTREGUE"/>
    <d v="2025-03-13T00:00:00"/>
    <s v="-"/>
    <m/>
    <n v="0"/>
    <n v="0"/>
    <n v="0"/>
    <n v="0"/>
    <n v="0"/>
  </r>
  <r>
    <s v="MEI"/>
    <s v="MEI45721"/>
    <s v="Pedido 1109"/>
    <d v="2025-03-06T00:00:00"/>
    <d v="2025-03-05T00:00:00"/>
    <s v="PedidoF1087"/>
    <s v="CódRastreio1085"/>
    <n v="1"/>
    <s v="CPF 1078"/>
    <s v="Nome 1078"/>
    <s v="Tel 1078"/>
    <s v="Cep 1078"/>
    <s v="Rua 1078"/>
    <s v="Comp 1078"/>
    <x v="1"/>
    <s v="A4-5W51-K3HF"/>
    <d v="2025-03-20T00:00:00"/>
    <n v="30.95"/>
    <n v="30.95"/>
    <n v="4.3330000000000002"/>
    <n v="26.62"/>
    <n v="13.99"/>
    <n v="0.15"/>
    <n v="0.39877104377104378"/>
    <n v="0"/>
    <n v="12.081228956228957"/>
    <n v="6.0406144781144784"/>
    <d v="2025-03-27T00:00:00"/>
    <d v="2025-03-27T00:00:00"/>
    <d v="2025-03-31T00:00:00"/>
    <d v="2025-04-02T00:00:00"/>
    <s v="2025 03"/>
    <s v="Aguardando Liberação"/>
    <s v="2025 03"/>
    <s v="ENTREGUE"/>
    <d v="2025-03-13T00:00:00"/>
    <s v="-"/>
    <m/>
    <n v="0"/>
    <n v="0"/>
    <n v="0"/>
    <n v="0"/>
    <n v="0"/>
  </r>
  <r>
    <s v="BV"/>
    <s v="BV45722"/>
    <s v="Pedido 1110"/>
    <d v="2025-03-06T00:00:00"/>
    <d v="2025-03-06T00:00:00"/>
    <s v="PedidoF1088"/>
    <s v="CódRastreio1086"/>
    <n v="1"/>
    <s v="CPF 1079"/>
    <s v="Nome 1079"/>
    <s v="Tel 1079"/>
    <s v="Cep 1079"/>
    <s v="Rua 1079"/>
    <s v="Comp 1079"/>
    <x v="8"/>
    <s v="FM-QQ8Y-RZT4"/>
    <d v="2025-03-27T00:00:00"/>
    <n v="23.5"/>
    <n v="23.5"/>
    <n v="3.0550000000000002"/>
    <n v="20.45"/>
    <n v="0"/>
    <n v="0.19"/>
    <n v="0.39877104377104378"/>
    <n v="0"/>
    <n v="19.861228956228956"/>
    <n v="9.9306144781144781"/>
    <d v="2025-04-03T00:00:00"/>
    <d v="2025-04-03T00:00:00"/>
    <d v="2025-04-15T00:00:00"/>
    <d v="2025-04-16T00:00:00"/>
    <s v="2025 04"/>
    <s v="Aguardando Liberação"/>
    <s v="2025 03"/>
    <s v="ENTREGUE"/>
    <d v="2025-03-26T00:00:00"/>
    <s v="-"/>
    <m/>
    <n v="0"/>
    <n v="0"/>
    <n v="0"/>
    <n v="0"/>
    <n v="0"/>
  </r>
  <r>
    <s v="BV"/>
    <s v="BV45722"/>
    <s v="Pedido 1111"/>
    <d v="2025-03-06T00:00:00"/>
    <d v="2025-03-06T00:00:00"/>
    <s v="PedidoF1089"/>
    <s v="CódRastreio1087"/>
    <n v="1"/>
    <s v="CPF 1080"/>
    <s v="Nome 1080"/>
    <s v="Tel 1080"/>
    <s v="Cep 1080"/>
    <s v="Rua 1080"/>
    <s v="Comp 1080"/>
    <x v="19"/>
    <s v="08-PAJ9-YM9P"/>
    <d v="2025-04-09T00:00:00"/>
    <n v="55.99"/>
    <n v="55.99"/>
    <n v="8.3985000000000003"/>
    <n v="47.59"/>
    <n v="14.07"/>
    <n v="0.19"/>
    <n v="0.39877104377104378"/>
    <n v="0"/>
    <n v="32.931228956228964"/>
    <n v="16.465614478114482"/>
    <d v="2025-04-16T00:00:00"/>
    <d v="2025-04-16T00:00:00"/>
    <d v="2025-05-02T00:00:00"/>
    <d v="2025-05-06T00:00:00"/>
    <s v="2025 04"/>
    <s v="Aguardando Liberação"/>
    <s v="2025 03"/>
    <s v="ENTREGUE"/>
    <d v="2025-03-27T00:00:00"/>
    <s v="-"/>
    <m/>
    <n v="0"/>
    <n v="0"/>
    <n v="0"/>
    <n v="0"/>
    <n v="0"/>
  </r>
  <r>
    <s v="MEI"/>
    <s v="MEI45722"/>
    <s v="Pedido 1112"/>
    <d v="2025-03-06T00:00:00"/>
    <d v="2025-03-06T00:00:00"/>
    <s v="PedidoF1090"/>
    <s v="CódRastreio1088"/>
    <n v="1"/>
    <s v="CPF 1081"/>
    <s v="Nome 1081"/>
    <s v="Tel 1081"/>
    <s v="Cep 1081"/>
    <s v="Rua 1081"/>
    <s v="Comp 1081"/>
    <x v="10"/>
    <s v="WU-SS4J-LFOH"/>
    <d v="2025-03-29T00:00:00"/>
    <n v="65.599999999999994"/>
    <n v="65.599999999999994"/>
    <n v="8.5279999999999987"/>
    <n v="57.07"/>
    <n v="11.74"/>
    <n v="0.2"/>
    <n v="0.39877104377104378"/>
    <n v="0"/>
    <n v="44.731228956228961"/>
    <n v="22.36561447811448"/>
    <d v="2025-04-05T00:00:00"/>
    <d v="2025-04-05T00:00:00"/>
    <d v="2025-04-15T00:00:00"/>
    <d v="2025-04-16T00:00:00"/>
    <s v="2025 04"/>
    <s v="Aguardando Liberação"/>
    <s v="2025 03"/>
    <s v="ENTREGUE"/>
    <d v="2025-03-18T00:00:00"/>
    <s v="-"/>
    <m/>
    <n v="0"/>
    <n v="0"/>
    <n v="0"/>
    <n v="0"/>
    <n v="0"/>
  </r>
  <r>
    <s v="MEI"/>
    <s v="MEI45722"/>
    <s v="Pedido 1113"/>
    <d v="2025-03-06T00:00:00"/>
    <d v="2025-03-06T00:00:00"/>
    <s v="PedidoF1091"/>
    <s v="CódRastreio1089"/>
    <n v="1"/>
    <s v="CPF 1082"/>
    <s v="Nome 1082"/>
    <s v="Tel 1082"/>
    <s v="Cep 1082"/>
    <s v="Rua 1082"/>
    <s v="Comp 1082"/>
    <x v="1"/>
    <s v="A4-5W51-K3HF"/>
    <d v="2025-03-21T00:00:00"/>
    <n v="30.95"/>
    <n v="30.95"/>
    <n v="4.3330000000000002"/>
    <n v="26.62"/>
    <n v="13.99"/>
    <n v="0.2"/>
    <n v="0.39877104377104378"/>
    <n v="0"/>
    <n v="12.031228956228958"/>
    <n v="6.0156144781144789"/>
    <d v="2025-03-28T00:00:00"/>
    <d v="2025-03-28T00:00:00"/>
    <d v="2025-03-31T00:00:00"/>
    <d v="2025-04-02T00:00:00"/>
    <s v="2025 03"/>
    <s v="Aguardando Liberação"/>
    <s v="2025 03"/>
    <s v="ENTREGUE"/>
    <d v="2025-03-13T00:00:00"/>
    <s v="-"/>
    <m/>
    <n v="0"/>
    <n v="0"/>
    <n v="0"/>
    <n v="0"/>
    <n v="0"/>
  </r>
  <r>
    <s v="MEI"/>
    <s v="MEI45722"/>
    <s v="Pedido 1114"/>
    <d v="2025-03-06T00:00:00"/>
    <d v="2025-03-06T00:00:00"/>
    <s v="PedidoF1092"/>
    <s v="CódRastreio1090"/>
    <n v="1"/>
    <s v="CPF 1083"/>
    <s v="Nome 1083"/>
    <s v="Tel 1083"/>
    <s v="Cep 1083"/>
    <s v="Rua 1083"/>
    <s v="Comp 1083"/>
    <x v="10"/>
    <s v="WU-SS4J-LFOH"/>
    <d v="2025-04-02T00:00:00"/>
    <n v="65.599999999999994"/>
    <n v="65.599999999999994"/>
    <n v="8.5279999999999987"/>
    <n v="57.07"/>
    <n v="11.74"/>
    <n v="0.2"/>
    <n v="0.39877104377104378"/>
    <n v="0"/>
    <n v="44.731228956228961"/>
    <n v="22.36561447811448"/>
    <d v="2025-04-09T00:00:00"/>
    <d v="2025-04-09T00:00:00"/>
    <d v="2025-04-15T00:00:00"/>
    <d v="2025-04-16T00:00:00"/>
    <s v="2025 04"/>
    <s v="Aguardando Liberação"/>
    <s v="2025 03"/>
    <s v="ENTREGUE"/>
    <d v="2025-03-18T00:00:00"/>
    <s v="-"/>
    <m/>
    <n v="0"/>
    <n v="0"/>
    <n v="0"/>
    <n v="0"/>
    <n v="0"/>
  </r>
  <r>
    <s v="GO"/>
    <s v="GO45722"/>
    <s v="Pedido 1115"/>
    <d v="2025-03-06T00:00:00"/>
    <d v="2025-03-06T00:00:00"/>
    <s v="PedidoF1093"/>
    <s v="CódRastreio1091"/>
    <n v="1"/>
    <s v="CPF 1084"/>
    <s v="Nome 1084"/>
    <s v="Tel 1084"/>
    <s v="Cep 1084"/>
    <s v="Rua 1084"/>
    <s v="Comp 1084"/>
    <x v="25"/>
    <s v="AS-2K35-YDQV"/>
    <d v="2025-04-02T00:00:00"/>
    <n v="31.99"/>
    <n v="31.99"/>
    <n v="4.7984999999999998"/>
    <n v="27.19"/>
    <n v="10.17"/>
    <n v="0.2"/>
    <n v="0.39877104377104378"/>
    <n v="0"/>
    <n v="16.421228956228958"/>
    <n v="16.421228956228958"/>
    <d v="2025-04-09T00:00:00"/>
    <d v="2025-04-09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BV"/>
    <s v="BV45726"/>
    <s v="Pedido 1116"/>
    <d v="2025-03-07T00:00:00"/>
    <d v="2025-03-10T00:00:00"/>
    <s v="PedidoF1094"/>
    <s v="CódRastreio1092"/>
    <n v="1"/>
    <s v="CPF 1085"/>
    <s v="Nome 1085"/>
    <s v="Tel 1085"/>
    <s v="Cep 1085"/>
    <s v="Rua 1085"/>
    <s v="Comp 1085"/>
    <x v="3"/>
    <s v="IF-G2ZQ-79FO"/>
    <d v="2025-03-28T00:00:00"/>
    <n v="61.5"/>
    <n v="61.5"/>
    <n v="7.9950000000000001"/>
    <n v="53.51"/>
    <n v="12.74"/>
    <n v="0.2"/>
    <n v="0.39877104377104378"/>
    <n v="0"/>
    <n v="40.171228956228958"/>
    <n v="20.085614478114479"/>
    <d v="2025-04-04T00:00:00"/>
    <d v="2025-04-04T00:00:00"/>
    <d v="2025-04-15T00:00:00"/>
    <d v="2025-04-16T00:00:00"/>
    <s v="2025 04"/>
    <s v="Aguardando Liberação"/>
    <s v="2025 03"/>
    <s v="ENTREGUE"/>
    <d v="2025-03-22T00:00:00"/>
    <s v="-"/>
    <m/>
    <n v="0"/>
    <n v="0"/>
    <n v="0"/>
    <n v="0"/>
    <n v="0"/>
  </r>
  <r>
    <s v="BV"/>
    <s v="BV45723"/>
    <s v="Pedido 1117"/>
    <d v="2025-03-07T00:00:00"/>
    <d v="2025-03-07T00:00:00"/>
    <s v="PedidoF1095"/>
    <s v="CódRastreio1093"/>
    <n v="1"/>
    <s v="CPF 1086"/>
    <s v="Nome 1086"/>
    <s v="Tel 1086"/>
    <s v="Cep 1086"/>
    <s v="Rua 1086"/>
    <s v="Comp 1086"/>
    <x v="3"/>
    <s v="IF-G2ZQ-79FO"/>
    <d v="2025-03-28T00:00:00"/>
    <n v="61.5"/>
    <n v="61.5"/>
    <n v="7.9950000000000001"/>
    <n v="53.51"/>
    <n v="13.46"/>
    <n v="0.4"/>
    <n v="0.39877104377104378"/>
    <n v="0"/>
    <n v="39.251228956228957"/>
    <n v="19.625614478114478"/>
    <d v="2025-04-04T00:00:00"/>
    <d v="2025-04-04T00:00:00"/>
    <d v="2025-04-15T00:00:00"/>
    <d v="2025-04-16T00:00:00"/>
    <s v="2025 04"/>
    <s v="Aguardando Liberação"/>
    <s v="2025 03"/>
    <s v="ENTREGUE"/>
    <d v="2025-03-23T00:00:00"/>
    <s v="-"/>
    <m/>
    <n v="0"/>
    <n v="0"/>
    <n v="0"/>
    <n v="0"/>
    <n v="0"/>
  </r>
  <r>
    <s v="MEI"/>
    <s v="MEI45723"/>
    <s v="Pedido 1118"/>
    <d v="2025-03-07T00:00:00"/>
    <d v="2025-03-07T00:00:00"/>
    <s v="PedidoF1096"/>
    <s v="CódRastreio1094"/>
    <n v="1"/>
    <s v="CPF 1087"/>
    <s v="Nome 1087"/>
    <s v="Tel 1087"/>
    <s v="Cep 1087"/>
    <s v="Rua 1087"/>
    <s v="Comp 1087"/>
    <x v="1"/>
    <s v="A4-5W51-K3HF"/>
    <d v="2025-03-28T00:00:00"/>
    <n v="30.95"/>
    <n v="30.95"/>
    <n v="4.3330000000000002"/>
    <n v="26.62"/>
    <n v="13.99"/>
    <n v="0.2"/>
    <n v="0.39877104377104378"/>
    <n v="0"/>
    <n v="12.031228956228958"/>
    <n v="6.0156144781144789"/>
    <d v="2025-04-04T00:00:00"/>
    <d v="2025-04-04T00:00:00"/>
    <d v="2025-04-15T00:00:00"/>
    <d v="2025-04-16T00:00:00"/>
    <s v="2025 04"/>
    <s v="Aguardando Liberação"/>
    <s v="2025 03"/>
    <s v="ENTREGUE"/>
    <d v="2025-03-19T00:00:00"/>
    <s v="-"/>
    <m/>
    <n v="0"/>
    <n v="0"/>
    <n v="0"/>
    <n v="0"/>
    <n v="0"/>
  </r>
  <r>
    <s v="MEI"/>
    <s v="MEI45723"/>
    <s v="Pedido 1119"/>
    <d v="2025-03-07T00:00:00"/>
    <d v="2025-03-07T00:00:00"/>
    <s v="PedidoF1097"/>
    <s v="CódRastreio1095"/>
    <n v="1"/>
    <s v="CPF 1088"/>
    <s v="Nome 1088"/>
    <s v="Tel 1088"/>
    <s v="Cep 1088"/>
    <s v="Rua 1088"/>
    <s v="Comp 1088"/>
    <x v="1"/>
    <s v="A4-5W51-K3HF"/>
    <d v="2025-04-03T00:00:00"/>
    <n v="30.95"/>
    <n v="30.95"/>
    <n v="4.3330000000000002"/>
    <n v="26.62"/>
    <n v="13.99"/>
    <n v="0.2"/>
    <n v="0.39877104377104378"/>
    <n v="0"/>
    <n v="12.031228956228958"/>
    <n v="6.0156144781144789"/>
    <d v="2025-04-10T00:00:00"/>
    <d v="2025-04-10T00:00:00"/>
    <d v="2025-04-15T00:00:00"/>
    <d v="2025-04-16T00:00:00"/>
    <s v="2025 04"/>
    <s v="Aguardando Liberação"/>
    <s v="2025 03"/>
    <s v="ENTREGUE"/>
    <d v="2025-03-22T00:00:00"/>
    <s v="-"/>
    <m/>
    <n v="0"/>
    <n v="0"/>
    <n v="0"/>
    <n v="0"/>
    <n v="0"/>
  </r>
  <r>
    <s v="MEI"/>
    <s v="MEI45723"/>
    <s v="Pedido 1120"/>
    <d v="2025-03-07T00:00:00"/>
    <d v="2025-03-07T00:00:00"/>
    <s v="PedidoF1098"/>
    <s v="CódRastreio1096"/>
    <n v="1"/>
    <s v="CPF 1089"/>
    <s v="Nome 1089"/>
    <s v="Tel 1089"/>
    <s v="Cep 1089"/>
    <s v="Rua 1089"/>
    <s v="Comp 1089"/>
    <x v="1"/>
    <s v="A4-5W51-K3HF"/>
    <d v="2025-04-03T00:00:00"/>
    <n v="30.95"/>
    <n v="30.95"/>
    <n v="4.3330000000000002"/>
    <n v="26.62"/>
    <n v="13.99"/>
    <n v="0.2"/>
    <n v="0.39877104377104378"/>
    <n v="0"/>
    <n v="12.031228956228958"/>
    <n v="6.0156144781144789"/>
    <d v="2025-04-10T00:00:00"/>
    <d v="2025-04-10T00:00:00"/>
    <d v="2025-04-15T00:00:00"/>
    <d v="2025-04-16T00:00:00"/>
    <s v="2025 04"/>
    <s v="Aguardando Liberação"/>
    <s v="2025 03"/>
    <s v="ENTREGUE"/>
    <d v="2025-03-17T00:00:00"/>
    <s v="-"/>
    <m/>
    <n v="0"/>
    <n v="0"/>
    <n v="0"/>
    <n v="0"/>
    <n v="0"/>
  </r>
  <r>
    <s v="MEI"/>
    <s v="MEI45723"/>
    <s v="Pedido 1121"/>
    <d v="2025-03-07T00:00:00"/>
    <d v="2025-03-07T00:00:00"/>
    <s v="PedidoF1099"/>
    <s v="CódRastreio1097"/>
    <n v="1"/>
    <s v="CPF 1090"/>
    <s v="Nome 1090"/>
    <s v="Tel 1090"/>
    <s v="Cep 1090"/>
    <s v="Rua 1090"/>
    <s v="Comp 1090"/>
    <x v="1"/>
    <s v="A4-5W51-K3HF"/>
    <d v="2025-03-22T00:00:00"/>
    <n v="30.95"/>
    <n v="30.95"/>
    <n v="4.3330000000000002"/>
    <n v="26.62"/>
    <n v="13.99"/>
    <n v="0.2"/>
    <n v="0.39877104377104378"/>
    <n v="0"/>
    <n v="12.031228956228958"/>
    <n v="6.0156144781144789"/>
    <d v="2025-03-29T00:00:00"/>
    <d v="2025-03-29T00:00:00"/>
    <d v="2025-03-31T00:00:00"/>
    <d v="2025-04-02T00:00:00"/>
    <s v="2025 03"/>
    <s v="Aguardando Liberação"/>
    <s v="2025 03"/>
    <s v="ENTREGUE"/>
    <d v="2025-03-12T13:54:37"/>
    <s v="-"/>
    <m/>
    <n v="0"/>
    <n v="0"/>
    <n v="0"/>
    <n v="0"/>
    <n v="0"/>
  </r>
  <r>
    <s v="BV"/>
    <s v="BV45726"/>
    <s v="Pedido 1122"/>
    <d v="2025-03-08T00:00:00"/>
    <d v="2025-03-10T00:00:00"/>
    <s v="PedidoF1100"/>
    <s v="CódRastreio1098"/>
    <n v="1"/>
    <s v="CPF 1091"/>
    <s v="Nome 1091"/>
    <s v="Tel 1091"/>
    <s v="Cep 1091"/>
    <s v="Rua 1091"/>
    <s v="Comp 1091"/>
    <x v="3"/>
    <s v="IF-G2ZQ-79FO"/>
    <d v="2025-04-10T00:00:00"/>
    <n v="61.5"/>
    <n v="61.5"/>
    <n v="7.9950000000000001"/>
    <n v="53.51"/>
    <n v="12.74"/>
    <n v="0.2"/>
    <n v="0.39877104377104378"/>
    <n v="0"/>
    <n v="40.171228956228958"/>
    <n v="20.085614478114479"/>
    <d v="2025-04-17T00:00:00"/>
    <d v="2025-04-17T00:00:00"/>
    <d v="2025-05-02T00:00:00"/>
    <d v="2025-05-06T00:00:00"/>
    <s v="2025 04"/>
    <s v="Aguardando Liberação"/>
    <s v="2025 03"/>
    <s v="ENTREGUE"/>
    <d v="2025-03-31T00:00:00"/>
    <s v="-"/>
    <m/>
    <n v="0"/>
    <n v="0"/>
    <n v="0"/>
    <n v="0"/>
    <n v="0"/>
  </r>
  <r>
    <s v="BV"/>
    <s v="BV45726"/>
    <s v="Pedido 1123"/>
    <d v="2025-03-08T00:00:00"/>
    <d v="2025-03-10T00:00:00"/>
    <s v="PedidoF1101"/>
    <s v="CódRastreio1099"/>
    <n v="1"/>
    <s v="CPF 1092"/>
    <s v="Nome 1092"/>
    <s v="Tel 1092"/>
    <s v="Cep 1092"/>
    <s v="Rua 1092"/>
    <s v="Comp 1092"/>
    <x v="3"/>
    <s v="IF-G2ZQ-79FO"/>
    <d v="2025-04-03T00:00:00"/>
    <n v="61.5"/>
    <n v="61.5"/>
    <n v="7.9950000000000001"/>
    <n v="53.51"/>
    <n v="12.74"/>
    <n v="0.2"/>
    <n v="0.39877104377104378"/>
    <n v="0"/>
    <n v="40.171228956228958"/>
    <n v="20.085614478114479"/>
    <d v="2025-04-10T00:00:00"/>
    <d v="2025-04-10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45726"/>
    <s v="Pedido 1124"/>
    <d v="2025-03-09T00:00:00"/>
    <d v="2025-03-10T00:00:00"/>
    <s v="PedidoF1102"/>
    <s v="CódRastreio1100"/>
    <n v="1"/>
    <s v="CPF 1093"/>
    <s v="Nome 1093"/>
    <s v="Tel 1093"/>
    <s v="Cep 1093"/>
    <s v="Rua 1093"/>
    <s v="Comp 1093"/>
    <x v="8"/>
    <s v="FM-QQ8Y-RZT4"/>
    <d v="2025-04-03T00:00:00"/>
    <n v="23.5"/>
    <n v="23.5"/>
    <n v="3.0550000000000002"/>
    <n v="20.45"/>
    <n v="12"/>
    <n v="0.2"/>
    <n v="0.39877104377104378"/>
    <n v="0"/>
    <n v="7.8512289562289563"/>
    <n v="3.9256144781144782"/>
    <d v="2025-04-10T00:00:00"/>
    <d v="2025-04-10T00:00:00"/>
    <d v="2025-04-15T00:00:00"/>
    <d v="2025-04-16T00:00:00"/>
    <s v="2025 04"/>
    <s v="Aguardando Liberação"/>
    <s v="2025 03"/>
    <s v="ENTREGUE"/>
    <d v="2025-03-19T00:00:00"/>
    <s v="-"/>
    <m/>
    <n v="0"/>
    <n v="0"/>
    <n v="0"/>
    <n v="0"/>
    <n v="0"/>
  </r>
  <r>
    <s v="BV"/>
    <s v="BV45726"/>
    <s v="Pedido 1125"/>
    <d v="2025-03-09T00:00:00"/>
    <d v="2025-03-10T00:00:00"/>
    <s v="PedidoF1103"/>
    <s v="CódRastreio1101"/>
    <n v="1"/>
    <s v="CPF 1094"/>
    <s v="Nome 1094"/>
    <s v="Tel 1094"/>
    <s v="Cep 1094"/>
    <s v="Rua 1094"/>
    <s v="Comp 1094"/>
    <x v="8"/>
    <s v="FM-QQ8Y-RZT4"/>
    <d v="2025-03-22T00:00:00"/>
    <n v="23.5"/>
    <n v="23.5"/>
    <n v="3.0550000000000002"/>
    <n v="20.45"/>
    <n v="12"/>
    <n v="0.2"/>
    <n v="0.39877104377104378"/>
    <n v="0"/>
    <n v="7.8512289562289563"/>
    <n v="3.9256144781144782"/>
    <d v="2025-03-29T00:00:00"/>
    <d v="2025-03-29T00:00:00"/>
    <d v="2025-03-31T00:00:00"/>
    <d v="2025-04-02T00:00:00"/>
    <s v="2025 03"/>
    <s v="Aguardando Liberação"/>
    <s v="2025 03"/>
    <s v="ENTREGUE"/>
    <d v="2025-03-12T18:24:17"/>
    <s v="-"/>
    <m/>
    <n v="0"/>
    <n v="0"/>
    <n v="0"/>
    <n v="0"/>
    <n v="0"/>
  </r>
  <r>
    <s v="BV"/>
    <s v="BV45726"/>
    <s v="Pedido 1126"/>
    <d v="2025-03-10T00:00:00"/>
    <d v="2025-03-10T00:00:00"/>
    <s v="PedidoF1104"/>
    <s v="CódRastreio1102"/>
    <n v="1"/>
    <s v="CPF 1095"/>
    <s v="Nome 1095"/>
    <s v="Tel 1095"/>
    <s v="Cep 1095"/>
    <s v="Rua 1095"/>
    <s v="Comp 1095"/>
    <x v="16"/>
    <s v="RB-W251-UXV2"/>
    <d v="2025-03-25T00:00:00"/>
    <n v="26.99"/>
    <n v="26.99"/>
    <n v="3.5086999999999997"/>
    <n v="23.48"/>
    <n v="11.28"/>
    <n v="0.2"/>
    <n v="0.39877104377104378"/>
    <n v="0"/>
    <n v="11.601228956228958"/>
    <n v="5.8006144781144791"/>
    <d v="2025-04-01T00:00:00"/>
    <d v="2025-04-01T00:00:00"/>
    <d v="2025-04-15T00:00:00"/>
    <d v="2025-04-16T00:00:00"/>
    <s v="2025 04"/>
    <s v="Aguardando Liberação"/>
    <s v="2025 03"/>
    <s v="ENTREGUE"/>
    <d v="2025-03-14T00:00:00"/>
    <s v="-"/>
    <m/>
    <n v="0"/>
    <n v="0"/>
    <n v="0"/>
    <n v="0"/>
    <n v="0"/>
  </r>
  <r>
    <s v="BV"/>
    <s v="BV45726"/>
    <s v="Pedido 1127"/>
    <d v="2025-03-10T00:00:00"/>
    <d v="2025-03-10T00:00:00"/>
    <s v="PedidoF1105"/>
    <s v="CódRastreio1103"/>
    <n v="1"/>
    <s v="CPF 1096"/>
    <s v="Nome 1096"/>
    <s v="Tel 1096"/>
    <s v="Cep 1096"/>
    <s v="Rua 1096"/>
    <s v="Comp 1096"/>
    <x v="10"/>
    <s v="MU-J80P-95WF"/>
    <d v="2025-03-29T00:00:00"/>
    <n v="65.599999999999994"/>
    <n v="65.599999999999994"/>
    <n v="8.5279999999999987"/>
    <n v="57.07"/>
    <n v="12.05"/>
    <n v="0.2"/>
    <n v="0.39877104377104378"/>
    <n v="0"/>
    <n v="44.421228956228958"/>
    <n v="22.210614478114479"/>
    <d v="2025-04-05T00:00:00"/>
    <d v="2025-04-05T00:00:00"/>
    <d v="2025-04-15T00:00:00"/>
    <d v="2025-04-16T00:00:00"/>
    <s v="2025 04"/>
    <s v="Aguardando Liberação"/>
    <s v="2025 03"/>
    <s v="ENTREGUE"/>
    <d v="2025-03-25T00:00:00"/>
    <s v="-"/>
    <m/>
    <n v="0"/>
    <n v="0"/>
    <n v="0"/>
    <n v="0"/>
    <n v="0"/>
  </r>
  <r>
    <s v="MEI"/>
    <s v="MEI45726"/>
    <s v="Pedido 1128"/>
    <d v="2025-03-08T00:00:00"/>
    <d v="2025-03-10T00:00:00"/>
    <s v="PedidoF1106"/>
    <s v="CódRastreio1104"/>
    <n v="1"/>
    <s v="CPF 1097"/>
    <s v="Nome 1097"/>
    <s v="Tel 1097"/>
    <s v="Cep 1097"/>
    <s v="Rua 1097"/>
    <s v="Comp 1097"/>
    <x v="10"/>
    <s v="WU-SS4J-LFOH"/>
    <d v="2025-03-28T00:00:00"/>
    <n v="65.599999999999994"/>
    <n v="65.599999999999994"/>
    <n v="8.5279999999999987"/>
    <n v="57.07"/>
    <n v="0"/>
    <n v="0.23"/>
    <n v="0.39877104377104378"/>
    <n v="0"/>
    <n v="56.441228956228954"/>
    <n v="28.220614478114477"/>
    <d v="2025-04-04T00:00:00"/>
    <d v="2025-04-04T00:00:00"/>
    <d v="2025-04-15T00:00:00"/>
    <d v="2025-04-16T00:00:00"/>
    <s v="2025 04"/>
    <s v="Aguardando Liberação"/>
    <s v="2025 03"/>
    <s v="ENTREGUE"/>
    <d v="2025-03-21T00:00:00"/>
    <s v="-"/>
    <m/>
    <n v="0"/>
    <n v="0"/>
    <n v="0"/>
    <n v="0"/>
    <n v="0"/>
  </r>
  <r>
    <s v="MEI"/>
    <s v="MEI45727"/>
    <s v="Pedido 1129"/>
    <d v="2025-03-06T00:00:00"/>
    <d v="2025-03-11T00:00:00"/>
    <s v="PedidoF1107"/>
    <s v="CódRastreio1105"/>
    <n v="1"/>
    <s v="CPF 1098"/>
    <s v="Nome 1098"/>
    <s v="Tel 1098"/>
    <s v="Cep 1098"/>
    <s v="Rua 1098"/>
    <s v="Comp 1098"/>
    <x v="10"/>
    <s v="WU-SS4J-LFOH"/>
    <d v="2025-03-28T00:00:00"/>
    <n v="65.599999999999994"/>
    <n v="65.599999999999994"/>
    <n v="8.5279999999999987"/>
    <n v="57.07"/>
    <n v="12.38"/>
    <n v="0.2"/>
    <n v="0.39877104377104378"/>
    <n v="0"/>
    <n v="44.09122895622896"/>
    <n v="22.04561447811448"/>
    <d v="2025-04-04T00:00:00"/>
    <d v="2025-04-04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MEI"/>
    <s v="MEI45726"/>
    <s v="Pedido 1130"/>
    <d v="2025-03-08T00:00:00"/>
    <d v="2025-03-10T00:00:00"/>
    <s v="PedidoF1108"/>
    <s v="CódRastreio1106"/>
    <n v="1"/>
    <s v="CPF 1099"/>
    <s v="Nome 1099"/>
    <s v="Tel 1099"/>
    <s v="Cep 1099"/>
    <s v="Rua 1099"/>
    <s v="Comp 1099"/>
    <x v="10"/>
    <s v="WU-SS4J-LFOH"/>
    <d v="2025-04-03T00:00:00"/>
    <n v="65.599999999999994"/>
    <n v="65.599999999999994"/>
    <n v="8.5279999999999987"/>
    <n v="57.07"/>
    <n v="12.05"/>
    <n v="0.23"/>
    <n v="0.39877104377104378"/>
    <n v="0"/>
    <n v="44.391228956228957"/>
    <n v="22.195614478114479"/>
    <d v="2025-04-10T00:00:00"/>
    <d v="2025-04-10T00:00:00"/>
    <d v="2025-04-15T00:00:00"/>
    <d v="2025-04-16T00:00:00"/>
    <s v="2025 04"/>
    <s v="Aguardando Liberação"/>
    <s v="2025 03"/>
    <s v="ENTREGUE"/>
    <d v="2025-03-26T00:00:00"/>
    <s v="-"/>
    <m/>
    <n v="0"/>
    <n v="0"/>
    <n v="0"/>
    <n v="0"/>
    <n v="0"/>
  </r>
  <r>
    <s v="MEI"/>
    <s v="MEI45726"/>
    <s v="Pedido 1131"/>
    <d v="2025-03-09T00:00:00"/>
    <d v="2025-03-10T00:00:00"/>
    <s v="PedidoF1109"/>
    <s v="CódRastreio1107"/>
    <n v="1"/>
    <s v="CPF 1100"/>
    <s v="Nome 1100"/>
    <s v="Tel 1100"/>
    <s v="Cep 1100"/>
    <s v="Rua 1100"/>
    <s v="Comp 1100"/>
    <x v="1"/>
    <s v="A4-5W51-K3HF"/>
    <d v="2025-03-28T00:00:00"/>
    <n v="30.95"/>
    <n v="30.95"/>
    <n v="4.3330000000000002"/>
    <n v="26.62"/>
    <n v="11.68"/>
    <n v="0.23"/>
    <n v="0.39877104377104378"/>
    <n v="0"/>
    <n v="14.311228956228957"/>
    <n v="7.1556144781144786"/>
    <d v="2025-04-04T00:00:00"/>
    <d v="2025-04-04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MEI"/>
    <s v="MEI45726"/>
    <s v="Pedido 1132"/>
    <d v="2025-03-09T00:00:00"/>
    <d v="2025-03-10T00:00:00"/>
    <s v="PedidoF1110"/>
    <s v="CódRastreio1108"/>
    <n v="1"/>
    <s v="CPF 1101"/>
    <s v="Nome 1101"/>
    <s v="Tel 1101"/>
    <s v="Cep 1101"/>
    <s v="Rua 1101"/>
    <s v="Comp 1101"/>
    <x v="1"/>
    <s v="A4-5W51-K3HF"/>
    <d v="2025-03-26T00:00:00"/>
    <n v="30.95"/>
    <n v="30.95"/>
    <n v="4.3330000000000002"/>
    <n v="26.62"/>
    <n v="11.68"/>
    <n v="0.23"/>
    <n v="0.39877104377104378"/>
    <n v="0"/>
    <n v="14.311228956228957"/>
    <n v="7.1556144781144786"/>
    <d v="2025-04-02T00:00:00"/>
    <d v="2025-04-02T00:00:00"/>
    <d v="2025-04-15T00:00:00"/>
    <d v="2025-04-16T00:00:00"/>
    <s v="2025 04"/>
    <s v="Aguardando Liberação"/>
    <s v="2025 03"/>
    <s v="ENTREGUE"/>
    <d v="2025-03-22T00:00:00"/>
    <s v="-"/>
    <m/>
    <n v="0"/>
    <n v="0"/>
    <n v="0"/>
    <n v="0"/>
    <n v="0"/>
  </r>
  <r>
    <s v="MEI"/>
    <s v="MEI45726"/>
    <s v="Pedido 1133"/>
    <d v="2025-03-10T00:00:00"/>
    <d v="2025-03-10T00:00:00"/>
    <s v="PedidoF1111"/>
    <s v="CódRastreio1109"/>
    <n v="1"/>
    <s v="CPF 1102"/>
    <s v="Nome 1102"/>
    <s v="Tel 1102"/>
    <s v="Cep 1102"/>
    <s v="Rua 1102"/>
    <s v="Comp 1102"/>
    <x v="10"/>
    <s v="WU-SS4J-LFOH"/>
    <d v="2025-04-04T00:00:00"/>
    <n v="65.599999999999994"/>
    <n v="65.599999999999994"/>
    <n v="8.5279999999999987"/>
    <n v="57.07"/>
    <n v="12.05"/>
    <n v="0.23"/>
    <n v="0.39877104377104378"/>
    <n v="0"/>
    <n v="44.391228956228957"/>
    <n v="22.195614478114479"/>
    <d v="2025-04-11T00:00:00"/>
    <d v="2025-04-11T00:00:00"/>
    <d v="2025-04-15T00:00:00"/>
    <d v="2025-04-16T00:00:00"/>
    <s v="2025 04"/>
    <s v="Aguardando Liberação"/>
    <s v="2025 03"/>
    <s v="ENTREGUE"/>
    <d v="2025-03-26T00:00:00"/>
    <s v="-"/>
    <m/>
    <n v="0"/>
    <n v="0"/>
    <n v="0"/>
    <n v="0"/>
    <n v="0"/>
  </r>
  <r>
    <s v="MEI"/>
    <s v="MEI45726"/>
    <s v="Pedido 1134"/>
    <d v="2025-03-10T00:00:00"/>
    <d v="2025-03-10T00:00:00"/>
    <s v="PedidoF1112"/>
    <s v="CódRastreio1110"/>
    <n v="1"/>
    <s v="CPF 1103"/>
    <s v="Nome 1103"/>
    <s v="Tel 1103"/>
    <s v="Cep 1103"/>
    <s v="Rua 1103"/>
    <s v="Comp 1103"/>
    <x v="1"/>
    <s v="A4-5W51-K3HF"/>
    <d v="2025-04-04T00:00:00"/>
    <n v="30.95"/>
    <n v="30.95"/>
    <n v="4.3330000000000002"/>
    <n v="26.62"/>
    <n v="11.68"/>
    <n v="0.23"/>
    <n v="0.39877104377104378"/>
    <n v="0"/>
    <n v="14.311228956228957"/>
    <n v="7.1556144781144786"/>
    <d v="2025-04-11T00:00:00"/>
    <d v="2025-04-11T00:00:00"/>
    <d v="2025-04-15T00:00:00"/>
    <d v="2025-04-16T00:00:00"/>
    <s v="2025 04"/>
    <s v="Aguardando Liberação"/>
    <s v="2025 03"/>
    <s v="ENTREGUE"/>
    <d v="2025-03-26T00:00:00"/>
    <s v="-"/>
    <m/>
    <n v="0"/>
    <n v="0"/>
    <n v="0"/>
    <n v="0"/>
    <n v="0"/>
  </r>
  <r>
    <s v="MEI"/>
    <s v="MEI45726"/>
    <s v="Pedido 1135"/>
    <d v="2025-03-10T00:00:00"/>
    <d v="2025-03-10T00:00:00"/>
    <s v="PedidoF1113"/>
    <s v="CódRastreio1111"/>
    <n v="1"/>
    <s v="CPF 1104"/>
    <s v="Nome 1104"/>
    <s v="Tel 1104"/>
    <s v="Cep 1104"/>
    <s v="Rua 1104"/>
    <s v="Comp 1104"/>
    <x v="1"/>
    <s v="A4-5W51-K3HF"/>
    <d v="2025-03-25T00:00:00"/>
    <n v="30.95"/>
    <n v="30.95"/>
    <n v="4.3330000000000002"/>
    <n v="26.62"/>
    <n v="11.68"/>
    <n v="0.23"/>
    <n v="0.39877104377104378"/>
    <n v="0"/>
    <n v="14.311228956228957"/>
    <n v="7.1556144781144786"/>
    <d v="2025-04-01T00:00:00"/>
    <d v="2025-04-01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GO"/>
    <s v="GO45726"/>
    <s v="Pedido 1136"/>
    <d v="2025-03-09T00:00:00"/>
    <d v="2025-03-10T00:00:00"/>
    <s v="PedidoF1114"/>
    <s v="CódRastreio1112"/>
    <n v="1"/>
    <s v="CPF 1105"/>
    <s v="Nome 1105"/>
    <s v="Tel 1105"/>
    <s v="Cep 1105"/>
    <s v="Rua 1105"/>
    <s v="Comp 1105"/>
    <x v="10"/>
    <s v="EP-9PIR-BWXH"/>
    <d v="2025-03-28T00:00:00"/>
    <n v="70.989999999999995"/>
    <n v="70.989999999999995"/>
    <n v="9.2286999999999999"/>
    <n v="61.76"/>
    <n v="12.05"/>
    <n v="0.2"/>
    <n v="0.39877104377104378"/>
    <n v="0"/>
    <n v="49.111228956228956"/>
    <n v="49.111228956228956"/>
    <d v="2025-04-04T00:00:00"/>
    <d v="2025-04-04T00:00:00"/>
    <d v="2025-04-15T00:00:00"/>
    <d v="2025-04-16T00:00:00"/>
    <s v="2025 04"/>
    <s v="Aguardando Liberação"/>
    <s v="2025 03"/>
    <s v="ENTREGUE"/>
    <d v="2025-03-28T00:00:00"/>
    <s v="-"/>
    <m/>
    <n v="0"/>
    <n v="0"/>
    <n v="0"/>
    <n v="0"/>
    <n v="0"/>
  </r>
  <r>
    <s v="BV"/>
    <s v="BV45729"/>
    <s v="Pedido 1137"/>
    <d v="2025-03-11T00:00:00"/>
    <d v="2025-03-13T00:00:00"/>
    <s v="PedidoF1115"/>
    <s v="CódRastreio1113"/>
    <n v="1"/>
    <s v="CPF 1106"/>
    <s v="Nome 1106"/>
    <s v="Tel 1106"/>
    <s v="Cep 1106"/>
    <s v="Rua 1106"/>
    <s v="Comp 1106"/>
    <x v="16"/>
    <s v="RB-W251-UXV2"/>
    <d v="2025-03-25T00:00:00"/>
    <n v="26.99"/>
    <n v="26.99"/>
    <n v="3.5086999999999997"/>
    <n v="23.48"/>
    <n v="10.210000000000001"/>
    <n v="0.4"/>
    <n v="0.39877104377104378"/>
    <n v="0"/>
    <n v="12.471228956228956"/>
    <n v="6.2356144781144778"/>
    <d v="2025-04-01T00:00:00"/>
    <d v="2025-04-01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BV"/>
    <s v="BV45727"/>
    <s v="Pedido 1138"/>
    <d v="2025-03-11T00:00:00"/>
    <d v="2025-03-11T00:00:00"/>
    <s v="PedidoF1116"/>
    <s v="CódRastreio1114"/>
    <n v="1"/>
    <s v="CPF 1107"/>
    <s v="Nome 1107"/>
    <s v="Tel 1107"/>
    <s v="Cep 1107"/>
    <s v="Rua 1107"/>
    <s v="Comp 1107"/>
    <x v="3"/>
    <s v="IF-G2ZQ-79FO"/>
    <d v="2025-03-29T00:00:00"/>
    <n v="61.5"/>
    <n v="61.5"/>
    <n v="7.9950000000000001"/>
    <n v="53.51"/>
    <n v="13.15"/>
    <n v="0.6"/>
    <n v="0.39877104377104378"/>
    <n v="0"/>
    <n v="39.361228956228956"/>
    <n v="19.680614478114478"/>
    <d v="2025-04-05T00:00:00"/>
    <d v="2025-04-05T00:00:00"/>
    <d v="2025-04-15T00:00:00"/>
    <d v="2025-04-16T00:00:00"/>
    <s v="2025 04"/>
    <s v="Aguardando Liberação"/>
    <s v="2025 03"/>
    <s v="ENTREGUE"/>
    <d v="2025-03-20T00:00:00"/>
    <s v="-"/>
    <m/>
    <n v="0"/>
    <n v="0"/>
    <n v="0"/>
    <n v="0"/>
    <n v="0"/>
  </r>
  <r>
    <s v="BV"/>
    <s v="BV-"/>
    <s v="Pedido 1139"/>
    <d v="2025-03-11T00:00:00"/>
    <s v="-"/>
    <s v="-"/>
    <s v="-"/>
    <n v="1"/>
    <s v="CPF 1108"/>
    <s v="Nome 1108"/>
    <s v="Tel 1108"/>
    <s v="Cep 1108"/>
    <s v="Rua 1108"/>
    <s v="Comp 1108"/>
    <x v="8"/>
    <s v="FM-QQ8Y-RZT4"/>
    <d v="2025-04-01T00:00:00"/>
    <n v="23.5"/>
    <n v="23.5"/>
    <n v="3.0550000000000002"/>
    <n v="20.45"/>
    <n v="0"/>
    <n v="0"/>
    <n v="0"/>
    <n v="0"/>
    <n v="20.45"/>
    <n v="10.225"/>
    <d v="2025-04-08T00:00:00"/>
    <d v="2025-04-08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27"/>
    <s v="Pedido 1140"/>
    <d v="2025-03-11T00:00:00"/>
    <d v="2025-03-11T00:00:00"/>
    <s v="PedidoF1117"/>
    <s v="CódRastreio1115"/>
    <n v="1"/>
    <s v="CPF 1109"/>
    <s v="Nome 1109"/>
    <s v="Tel 1109"/>
    <s v="Cep 1109"/>
    <s v="Rua 1109"/>
    <s v="Comp 1109"/>
    <x v="12"/>
    <s v="U8-2VWS-OB6M"/>
    <d v="2025-04-05T00:00:00"/>
    <n v="65.989999999999995"/>
    <n v="65.989999999999995"/>
    <n v="8.5786999999999995"/>
    <n v="57.41"/>
    <n v="15.29"/>
    <n v="0.6"/>
    <n v="0.39877104377104378"/>
    <n v="0"/>
    <n v="41.121228956228954"/>
    <n v="20.560614478114477"/>
    <d v="2025-04-12T00:00:00"/>
    <d v="2025-04-12T00:00:00"/>
    <d v="2025-04-15T00:00:00"/>
    <d v="2025-04-16T00:00:00"/>
    <s v="2025 04"/>
    <s v="Aguardando Liberação"/>
    <s v="2025 03"/>
    <s v="ENTREGUE"/>
    <d v="2025-03-25T00:00:00"/>
    <s v="-"/>
    <m/>
    <n v="0"/>
    <n v="0"/>
    <n v="0"/>
    <n v="0"/>
    <n v="0"/>
  </r>
  <r>
    <s v="MEI"/>
    <s v="MEI45727"/>
    <s v="Pedido 1141"/>
    <d v="2025-03-11T00:00:00"/>
    <d v="2025-03-11T00:00:00"/>
    <s v="PedidoF1118"/>
    <s v="CódRastreio1116"/>
    <n v="1"/>
    <s v="CPF 1110"/>
    <s v="Nome 1110"/>
    <s v="Tel 1110"/>
    <s v="Cep 1110"/>
    <s v="Rua 1110"/>
    <s v="Comp 1110"/>
    <x v="1"/>
    <s v="A4-5W51-K3HF"/>
    <d v="2025-03-28T00:00:00"/>
    <n v="30.95"/>
    <n v="30.95"/>
    <n v="4.3330000000000002"/>
    <n v="26.62"/>
    <n v="12.07"/>
    <n v="0.2"/>
    <n v="0.39877104377104378"/>
    <n v="0"/>
    <n v="13.951228956228958"/>
    <n v="6.9756144781144789"/>
    <d v="2025-04-04T00:00:00"/>
    <d v="2025-04-04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MEI"/>
    <s v="MEI45727"/>
    <s v="Pedido 1142"/>
    <d v="2025-03-11T00:00:00"/>
    <d v="2025-03-11T00:00:00"/>
    <s v="PedidoF1119"/>
    <s v="CódRastreio1117"/>
    <n v="1"/>
    <s v="CPF 1111"/>
    <s v="Nome 1111"/>
    <s v="Tel 1111"/>
    <s v="Cep 1111"/>
    <s v="Rua 1111"/>
    <s v="Comp 1111"/>
    <x v="1"/>
    <s v="A4-5W51-K3HF"/>
    <d v="2025-04-01T00:00:00"/>
    <n v="30.95"/>
    <n v="30.95"/>
    <n v="4.3330000000000002"/>
    <n v="26.62"/>
    <n v="12.07"/>
    <n v="0.2"/>
    <n v="0.39877104377104378"/>
    <n v="0"/>
    <n v="13.951228956228958"/>
    <n v="6.9756144781144789"/>
    <d v="2025-04-08T00:00:00"/>
    <d v="2025-04-08T00:00:00"/>
    <d v="2025-04-15T00:00:00"/>
    <d v="2025-04-16T00:00:00"/>
    <s v="2025 04"/>
    <s v="Aguardando Liberação"/>
    <s v="2025 03"/>
    <s v="ENTREGUE"/>
    <d v="2025-03-26T00:00:00"/>
    <s v="-"/>
    <m/>
    <n v="0"/>
    <n v="0"/>
    <n v="0"/>
    <n v="0"/>
    <n v="0"/>
  </r>
  <r>
    <s v="MEI"/>
    <s v="MEI45727"/>
    <s v="Pedido 1143"/>
    <d v="2025-03-11T00:00:00"/>
    <d v="2025-03-11T00:00:00"/>
    <s v="PedidoF1120"/>
    <s v="CódRastreio1118"/>
    <n v="1"/>
    <s v="CPF 1112"/>
    <s v="Nome 1112"/>
    <s v="Tel 1112"/>
    <s v="Cep 1112"/>
    <s v="Rua 1112"/>
    <s v="Comp 1112"/>
    <x v="10"/>
    <s v="WU-SS4J-LFOH"/>
    <d v="2025-04-12T00:00:00"/>
    <n v="65.599999999999994"/>
    <n v="65.599999999999994"/>
    <n v="8.5279999999999987"/>
    <n v="57.07"/>
    <n v="12.38"/>
    <n v="0.2"/>
    <n v="0.39877104377104378"/>
    <n v="0"/>
    <n v="44.09122895622896"/>
    <n v="22.04561447811448"/>
    <d v="2025-04-19T00:00:00"/>
    <d v="2025-04-19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BV"/>
    <s v="BV45730"/>
    <s v="Pedido 1144"/>
    <d v="2025-03-12T00:00:00"/>
    <d v="2025-03-14T00:00:00"/>
    <s v="PedidoF1121"/>
    <s v="CódRastreio1119"/>
    <n v="1"/>
    <s v="CPF 1113"/>
    <s v="Nome 1113"/>
    <s v="Tel 1113"/>
    <s v="Cep 1113"/>
    <s v="Rua 1113"/>
    <s v="Comp 1113"/>
    <x v="9"/>
    <s v="1H-DC27-8GP7"/>
    <d v="2025-04-02T00:00:00"/>
    <n v="21.99"/>
    <n v="21.99"/>
    <n v="3.2984999999999998"/>
    <n v="18.690000000000001"/>
    <n v="7.99"/>
    <n v="0.23"/>
    <n v="0.39877104377104378"/>
    <n v="0"/>
    <n v="10.071228956228957"/>
    <n v="5.0356144781144785"/>
    <d v="2025-04-09T00:00:00"/>
    <d v="2025-04-09T00:00:00"/>
    <d v="2025-04-15T00:00:00"/>
    <d v="2025-04-16T00:00:00"/>
    <s v="2025 04"/>
    <s v="Aguardando Liberação"/>
    <s v="2025 03"/>
    <s v="ENTREGUE"/>
    <d v="2025-03-25T00:00:00"/>
    <s v="-"/>
    <m/>
    <n v="0"/>
    <n v="0"/>
    <n v="0"/>
    <n v="0"/>
    <n v="0"/>
  </r>
  <r>
    <s v="BV"/>
    <s v="BV45730"/>
    <s v="Pedido 1145"/>
    <d v="2025-03-12T00:00:00"/>
    <d v="2025-03-14T00:00:00"/>
    <s v="PedidoF1122"/>
    <s v="CódRastreio1120"/>
    <n v="1"/>
    <s v="CPF 1114"/>
    <s v="Nome 1114"/>
    <s v="Tel 1114"/>
    <s v="Cep 1114"/>
    <s v="Rua 1114"/>
    <s v="Comp 1114"/>
    <x v="9"/>
    <s v="1H-DC27-8GP7"/>
    <d v="2025-03-27T00:00:00"/>
    <n v="21.99"/>
    <n v="21.99"/>
    <n v="3.2984999999999998"/>
    <n v="18.690000000000001"/>
    <n v="7.99"/>
    <n v="0.23"/>
    <n v="0.39877104377104378"/>
    <n v="0"/>
    <n v="10.071228956228957"/>
    <n v="5.0356144781144785"/>
    <d v="2025-04-03T00:00:00"/>
    <d v="2025-04-03T00:00:00"/>
    <d v="2025-04-15T00:00:00"/>
    <d v="2025-04-16T00:00:00"/>
    <s v="2025 04"/>
    <s v="Aguardando Liberação"/>
    <s v="2025 03"/>
    <s v="ENTREGUE"/>
    <d v="2025-03-21T00:00:00"/>
    <s v="-"/>
    <m/>
    <n v="0"/>
    <n v="0"/>
    <n v="0"/>
    <n v="0"/>
    <n v="0"/>
  </r>
  <r>
    <s v="BV"/>
    <s v="BV45728"/>
    <s v="Pedido 1146"/>
    <d v="2025-03-12T00:00:00"/>
    <d v="2025-03-12T00:00:00"/>
    <s v="PedidoF1123"/>
    <s v="CódRastreio1121"/>
    <n v="1"/>
    <s v="CPF 1115"/>
    <s v="Nome 1115"/>
    <s v="Tel 1115"/>
    <s v="Cep 1115"/>
    <s v="Rua 1115"/>
    <s v="Comp 1115"/>
    <x v="6"/>
    <s v="KN-TBQL-K2MM"/>
    <d v="2025-04-08T00:00:00"/>
    <n v="23.9"/>
    <n v="23.9"/>
    <n v="3.1069999999999998"/>
    <n v="20.79"/>
    <n v="13.71"/>
    <n v="0.8"/>
    <n v="0.39877104377104378"/>
    <n v="0"/>
    <n v="5.8812289562289539"/>
    <n v="2.940614478114477"/>
    <d v="2025-04-15T00:00:00"/>
    <d v="2025-04-15T00:00:00"/>
    <d v="2025-04-15T00:00:00"/>
    <d v="2025-04-16T00:00:00"/>
    <s v="2025 04"/>
    <s v="Aguardando Liberação"/>
    <s v="2025 03"/>
    <s v="ENTREGUE"/>
    <d v="2025-03-26T00:00:00"/>
    <s v="-"/>
    <m/>
    <n v="0"/>
    <n v="0"/>
    <n v="0"/>
    <n v="0"/>
    <n v="0"/>
  </r>
  <r>
    <s v="MEI"/>
    <s v="MEI45728"/>
    <s v="Pedido 1147"/>
    <d v="2025-03-12T00:00:00"/>
    <d v="2025-03-12T00:00:00"/>
    <s v="PedidoF1124"/>
    <s v="CódRastreio1122"/>
    <n v="1"/>
    <s v="CPF 1116"/>
    <s v="Nome 1116"/>
    <s v="Tel 1116"/>
    <s v="Cep 1116"/>
    <s v="Rua 1116"/>
    <s v="Comp 1116"/>
    <x v="1"/>
    <s v="A4-5W51-K3HF"/>
    <d v="2025-04-02T00:00:00"/>
    <n v="30.95"/>
    <n v="30.95"/>
    <n v="4.3330000000000002"/>
    <n v="26.62"/>
    <n v="12.04"/>
    <n v="0.2"/>
    <n v="0.39877104377104378"/>
    <n v="0"/>
    <n v="13.981228956228959"/>
    <n v="6.9906144781144794"/>
    <d v="2025-04-09T00:00:00"/>
    <d v="2025-04-09T00:00:00"/>
    <d v="2025-04-15T00:00:00"/>
    <d v="2025-04-16T00:00:00"/>
    <s v="2025 04"/>
    <s v="Aguardando Liberação"/>
    <s v="2025 03"/>
    <s v="ENTREGUE"/>
    <d v="2025-04-05T00:00:00"/>
    <s v="-"/>
    <m/>
    <n v="0"/>
    <n v="0"/>
    <n v="0"/>
    <n v="0"/>
    <n v="0"/>
  </r>
  <r>
    <s v="MEI"/>
    <s v="MEI45728"/>
    <s v="Pedido 1148"/>
    <d v="2025-03-12T00:00:00"/>
    <d v="2025-03-12T00:00:00"/>
    <s v="PedidoF1125"/>
    <s v="CódRastreio1123"/>
    <n v="1"/>
    <s v="CPF 1117"/>
    <s v="Nome 1117"/>
    <s v="Tel 1117"/>
    <s v="Cep 1117"/>
    <s v="Rua 1117"/>
    <s v="Comp 1117"/>
    <x v="1"/>
    <s v="A4-5W51-K3HF"/>
    <d v="2025-04-08T00:00:00"/>
    <n v="30.95"/>
    <n v="30.95"/>
    <n v="4.3330000000000002"/>
    <n v="26.62"/>
    <n v="12.04"/>
    <n v="0.2"/>
    <n v="0.39877104377104378"/>
    <n v="0"/>
    <n v="13.981228956228959"/>
    <n v="6.9906144781144794"/>
    <d v="2025-04-15T00:00:00"/>
    <d v="2025-04-15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28"/>
    <s v="Pedido 1149"/>
    <d v="2025-03-12T00:00:00"/>
    <d v="2025-03-12T00:00:00"/>
    <s v="PedidoF1126"/>
    <s v="CódRastreio1124"/>
    <n v="1"/>
    <s v="CPF 1118"/>
    <s v="Nome 1118"/>
    <s v="Tel 1118"/>
    <s v="Cep 1118"/>
    <s v="Rua 1118"/>
    <s v="Comp 1118"/>
    <x v="10"/>
    <s v="WU-SS4J-LFOH"/>
    <d v="2025-04-02T00:00:00"/>
    <n v="65.599999999999994"/>
    <n v="65.599999999999994"/>
    <n v="8.5279999999999987"/>
    <n v="57.07"/>
    <n v="13.48"/>
    <n v="0.2"/>
    <n v="0.39877104377104378"/>
    <n v="0"/>
    <n v="42.991228956228959"/>
    <n v="21.495614478114479"/>
    <d v="2025-04-09T00:00:00"/>
    <d v="2025-04-09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MEI"/>
    <s v="MEI45728"/>
    <s v="Pedido 1150"/>
    <d v="2025-03-12T00:00:00"/>
    <d v="2025-03-12T00:00:00"/>
    <s v="PedidoF1127"/>
    <s v="CódRastreio1125"/>
    <n v="1"/>
    <s v="CPF 1119"/>
    <s v="Nome 1119"/>
    <s v="Tel 1119"/>
    <s v="Cep 1119"/>
    <s v="Rua 1119"/>
    <s v="Comp 1119"/>
    <x v="1"/>
    <s v="A4-5W51-K3HF"/>
    <d v="2025-04-02T00:00:00"/>
    <n v="30.95"/>
    <n v="30.95"/>
    <n v="4.3330000000000002"/>
    <n v="26.62"/>
    <n v="12.04"/>
    <n v="0.2"/>
    <n v="0.39877104377104378"/>
    <n v="0"/>
    <n v="13.981228956228959"/>
    <n v="6.9906144781144794"/>
    <d v="2025-04-09T00:00:00"/>
    <d v="2025-04-09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28"/>
    <s v="Pedido 1151"/>
    <d v="2025-03-12T00:00:00"/>
    <d v="2025-03-12T00:00:00"/>
    <s v="PedidoF1128"/>
    <s v="CódRastreio1126"/>
    <n v="1"/>
    <s v="CPF 1120"/>
    <s v="Nome 1120"/>
    <s v="Tel 1120"/>
    <s v="Cep 1120"/>
    <s v="Rua 1120"/>
    <s v="Comp 1120"/>
    <x v="1"/>
    <s v="A4-5W51-K3HF"/>
    <d v="2025-04-02T00:00:00"/>
    <n v="30.95"/>
    <n v="30.95"/>
    <n v="4.3330000000000002"/>
    <n v="26.62"/>
    <n v="12.04"/>
    <n v="0.2"/>
    <n v="0.39877104377104378"/>
    <n v="0"/>
    <n v="13.981228956228959"/>
    <n v="6.9906144781144794"/>
    <d v="2025-04-09T00:00:00"/>
    <d v="2025-04-09T00:00:00"/>
    <d v="2025-04-15T00:00:00"/>
    <d v="2025-04-16T00:00:00"/>
    <s v="2025 04"/>
    <s v="Aguardando Liberação"/>
    <s v="2025 03"/>
    <s v="ENTREGUE"/>
    <d v="2025-04-02T00:00:00"/>
    <s v="-"/>
    <m/>
    <n v="0"/>
    <n v="0"/>
    <n v="0"/>
    <n v="0"/>
    <n v="0"/>
  </r>
  <r>
    <s v="BV"/>
    <s v="BV45730"/>
    <s v="Pedido 1152"/>
    <d v="2025-03-13T00:00:00"/>
    <d v="2025-03-14T00:00:00"/>
    <s v="PedidoF1129"/>
    <s v="CódRastreio1127"/>
    <n v="1"/>
    <s v="CPF 1121"/>
    <s v="Nome 1121"/>
    <s v="Tel 1121"/>
    <s v="Cep 1121"/>
    <s v="Rua 1121"/>
    <s v="Comp 1121"/>
    <x v="8"/>
    <s v="FM-QQ8Y-RZT4"/>
    <d v="2025-04-09T00:00:00"/>
    <n v="23.5"/>
    <n v="23.5"/>
    <n v="3.0550000000000002"/>
    <n v="20.45"/>
    <n v="16.8"/>
    <n v="0.23"/>
    <n v="0.39877104377104378"/>
    <n v="0"/>
    <n v="3.0212289562289527"/>
    <n v="1.5106144781144764"/>
    <d v="2025-04-16T00:00:00"/>
    <d v="2025-04-16T00:00:00"/>
    <d v="2025-05-02T00:00:00"/>
    <d v="2025-05-0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45730"/>
    <s v="Pedido 1153"/>
    <d v="2025-03-13T00:00:00"/>
    <d v="2025-03-14T00:00:00"/>
    <s v="PedidoF1130"/>
    <s v="CódRastreio1128"/>
    <n v="1"/>
    <s v="CPF 1122"/>
    <s v="Nome 1122"/>
    <s v="Tel 1122"/>
    <s v="Cep 1122"/>
    <s v="Rua 1122"/>
    <s v="Comp 1122"/>
    <x v="8"/>
    <s v="FM-QQ8Y-RZT4"/>
    <d v="2025-04-09T00:00:00"/>
    <n v="23.5"/>
    <n v="23.5"/>
    <n v="3.0550000000000002"/>
    <n v="20.45"/>
    <n v="16.8"/>
    <n v="0.23"/>
    <n v="0.39877104377104378"/>
    <n v="0"/>
    <n v="3.0212289562289527"/>
    <n v="1.5106144781144764"/>
    <d v="2025-04-16T00:00:00"/>
    <d v="2025-04-16T00:00:00"/>
    <d v="2025-05-02T00:00:00"/>
    <d v="2025-05-0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45729"/>
    <s v="Pedido 1154"/>
    <d v="2025-03-13T00:00:00"/>
    <d v="2025-03-13T00:00:00"/>
    <s v="PedidoF1131"/>
    <s v="CódRastreio1129"/>
    <n v="1"/>
    <s v="CPF 1123"/>
    <s v="Nome 1123"/>
    <s v="Tel 1123"/>
    <s v="Cep 1123"/>
    <s v="Rua 1123"/>
    <s v="Comp 1123"/>
    <x v="16"/>
    <s v="RB-W251-UXV2"/>
    <d v="2025-04-03T00:00:00"/>
    <n v="26.99"/>
    <n v="26.99"/>
    <n v="3.5086999999999997"/>
    <n v="23.48"/>
    <n v="10.220000000000001"/>
    <n v="0.4"/>
    <n v="0.39877104377104378"/>
    <n v="0"/>
    <n v="12.461228956228956"/>
    <n v="6.2306144781144779"/>
    <d v="2025-04-10T00:00:00"/>
    <d v="2025-04-10T00:00:00"/>
    <d v="2025-04-15T00:00:00"/>
    <d v="2025-04-16T00:00:00"/>
    <s v="2025 04"/>
    <s v="Aguardando Liberação"/>
    <s v="2025 03"/>
    <s v="ENTREGUE"/>
    <d v="2025-03-25T00:00:00"/>
    <s v="-"/>
    <m/>
    <n v="0"/>
    <n v="0"/>
    <n v="0"/>
    <n v="0"/>
    <n v="0"/>
  </r>
  <r>
    <s v="BV"/>
    <s v="BV45729"/>
    <s v="Pedido 1155"/>
    <d v="2025-03-13T00:00:00"/>
    <d v="2025-03-13T00:00:00"/>
    <s v="PedidoF1132"/>
    <s v="CódRastreio1130"/>
    <n v="1"/>
    <s v="CPF 1124"/>
    <s v="Nome 1124"/>
    <s v="Tel 1124"/>
    <s v="Cep 1124"/>
    <s v="Rua 1124"/>
    <s v="Comp 1124"/>
    <x v="8"/>
    <s v="FM-QQ8Y-RZT4"/>
    <d v="2025-04-01T00:00:00"/>
    <n v="23.5"/>
    <n v="23.5"/>
    <n v="3.0550000000000002"/>
    <n v="20.45"/>
    <n v="0"/>
    <n v="0.4"/>
    <n v="0.39877104377104378"/>
    <n v="0"/>
    <n v="19.651228956228955"/>
    <n v="9.8256144781144776"/>
    <d v="2025-04-08T00:00:00"/>
    <d v="2025-04-08T00:00:00"/>
    <d v="2025-04-15T00:00:00"/>
    <d v="2025-04-16T00:00:00"/>
    <s v="2025 04"/>
    <s v="Aguardando Liberação"/>
    <s v="2025 03"/>
    <s v="ENTREGUE"/>
    <d v="2025-04-28T00:00:00"/>
    <s v="-"/>
    <m/>
    <n v="0"/>
    <n v="0"/>
    <n v="0"/>
    <n v="0"/>
    <n v="0"/>
  </r>
  <r>
    <s v="BV"/>
    <s v="BV45729"/>
    <s v="Pedido 1156"/>
    <d v="2025-03-13T00:00:00"/>
    <d v="2025-03-13T00:00:00"/>
    <s v="PedidoF1133"/>
    <s v="CódRastreio1131"/>
    <n v="1"/>
    <s v="CPF 1125"/>
    <s v="Nome 1125"/>
    <s v="Tel 1125"/>
    <s v="Cep 1125"/>
    <s v="Rua 1125"/>
    <s v="Comp 1125"/>
    <x v="8"/>
    <s v="FM-QQ8Y-RZT4"/>
    <d v="2025-04-09T00:00:00"/>
    <n v="23.5"/>
    <n v="23.5"/>
    <n v="3.0550000000000002"/>
    <n v="20.45"/>
    <n v="13.77"/>
    <n v="0.4"/>
    <n v="0.39877104377104378"/>
    <n v="0"/>
    <n v="5.8812289562289557"/>
    <n v="2.9406144781144778"/>
    <d v="2025-04-16T00:00:00"/>
    <d v="2025-04-16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-"/>
    <s v="Pedido 1157"/>
    <d v="2025-03-12T00:00:00"/>
    <s v="-"/>
    <s v="PedidoF1134"/>
    <s v="CódRastreio1132"/>
    <n v="1"/>
    <s v="CPF 1126"/>
    <s v="Nome 1126"/>
    <s v="Tel 1126"/>
    <s v="Cep 1126"/>
    <s v="Rua 1126"/>
    <s v="Comp 1126"/>
    <x v="4"/>
    <s v="WI-HK5U-ED8J"/>
    <d v="2025-03-21T00:00:00"/>
    <n v="19.989999999999998"/>
    <n v="19.989999999999998"/>
    <n v="2.9984999999999995"/>
    <n v="16.989999999999998"/>
    <n v="0"/>
    <n v="0"/>
    <n v="0.39877104377104378"/>
    <n v="0"/>
    <n v="16.591228956228953"/>
    <n v="8.2956144781144765"/>
    <d v="2025-03-28T00:00:00"/>
    <d v="2025-03-28T00:00:00"/>
    <d v="2025-03-31T00:00:00"/>
    <d v="2025-04-02T00:00:00"/>
    <s v="2025 03"/>
    <s v="Aguardando Liberação"/>
    <s v="2025 03"/>
    <s v="ENTREGUE"/>
    <s v="-"/>
    <s v="-"/>
    <m/>
    <n v="0"/>
    <n v="0"/>
    <n v="0"/>
    <n v="0"/>
    <n v="0"/>
  </r>
  <r>
    <s v="MEI"/>
    <s v="MEI45729"/>
    <s v="Pedido 1158"/>
    <d v="2025-03-13T00:00:00"/>
    <d v="2025-03-13T00:00:00"/>
    <s v="PedidoF1135"/>
    <s v="CódRastreio1133"/>
    <n v="1"/>
    <s v="CPF 1127"/>
    <s v="Nome 1127"/>
    <s v="Tel 1127"/>
    <s v="Cep 1127"/>
    <s v="Rua 1127"/>
    <s v="Comp 1127"/>
    <x v="26"/>
    <s v="BG-DHRO-FAEE"/>
    <d v="2025-04-03T00:00:00"/>
    <n v="24.99"/>
    <n v="24.99"/>
    <n v="2.7488999999999999"/>
    <n v="22.24"/>
    <n v="11.69"/>
    <n v="0.23"/>
    <n v="0.39877104377104378"/>
    <n v="0"/>
    <n v="9.9212289562289548"/>
    <n v="4.9606144781144774"/>
    <d v="2025-04-10T00:00:00"/>
    <d v="2025-04-10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29"/>
    <s v="Pedido 1159"/>
    <d v="2025-03-13T00:00:00"/>
    <d v="2025-03-13T00:00:00"/>
    <s v="PedidoF1136"/>
    <s v="CódRastreio1134"/>
    <n v="1"/>
    <s v="CPF 1128"/>
    <s v="Nome 1128"/>
    <s v="Tel 1128"/>
    <s v="Cep 1128"/>
    <s v="Rua 1128"/>
    <s v="Comp 1128"/>
    <x v="27"/>
    <s v="OV-P9KI-A5LS"/>
    <d v="2025-04-03T00:00:00"/>
    <n v="18.3"/>
    <n v="18.3"/>
    <n v="2.1960000000000002"/>
    <n v="16.100000000000001"/>
    <n v="6.99"/>
    <n v="0.23"/>
    <n v="0.39877104377104378"/>
    <n v="0"/>
    <n v="8.4812289562289571"/>
    <n v="4.2406144781144786"/>
    <d v="2025-04-10T00:00:00"/>
    <d v="2025-04-10T00:00:00"/>
    <d v="2025-04-15T00:00:00"/>
    <d v="2025-04-16T00:00:00"/>
    <s v="2025 04"/>
    <s v="Aguardando Liberação"/>
    <s v="2025 03"/>
    <s v="ENTREGUE"/>
    <d v="2025-03-21T00:00:00"/>
    <s v="-"/>
    <m/>
    <n v="0"/>
    <n v="0"/>
    <n v="0"/>
    <n v="0"/>
    <n v="0"/>
  </r>
  <r>
    <s v="MEI"/>
    <s v="MEI45729"/>
    <s v="Pedido 1160"/>
    <d v="2025-03-13T00:00:00"/>
    <d v="2025-03-13T00:00:00"/>
    <s v="PedidoF1137"/>
    <s v="CódRastreio1135"/>
    <n v="1"/>
    <s v="CPF 1129"/>
    <s v="Nome 1129"/>
    <s v="Tel 1129"/>
    <s v="Cep 1129"/>
    <s v="Rua 1129"/>
    <s v="Comp 1129"/>
    <x v="1"/>
    <s v="A4-5W51-K3HF"/>
    <d v="2025-04-03T00:00:00"/>
    <n v="30.95"/>
    <n v="30.95"/>
    <n v="4.3330000000000002"/>
    <n v="26.62"/>
    <n v="16.88"/>
    <n v="0.23"/>
    <n v="0.39877104377104378"/>
    <n v="0"/>
    <n v="9.1112289562289561"/>
    <n v="4.5556144781144781"/>
    <d v="2025-04-10T00:00:00"/>
    <d v="2025-04-10T00:00:00"/>
    <d v="2025-04-15T00:00:00"/>
    <d v="2025-04-16T00:00:00"/>
    <s v="2025 04"/>
    <s v="Aguardando Liberação"/>
    <s v="2025 03"/>
    <s v="ENTREGUE"/>
    <d v="2025-03-29T00:00:00"/>
    <s v="-"/>
    <m/>
    <n v="0"/>
    <n v="0"/>
    <n v="0"/>
    <n v="0"/>
    <n v="0"/>
  </r>
  <r>
    <s v="MEI"/>
    <s v="MEI45729"/>
    <s v="Pedido 1161"/>
    <d v="2025-03-13T00:00:00"/>
    <d v="2025-03-13T00:00:00"/>
    <s v="PedidoF1138"/>
    <s v="CódRastreio1136"/>
    <n v="1"/>
    <s v="CPF 1130"/>
    <s v="Nome 1130"/>
    <s v="Tel 1130"/>
    <s v="Cep 1130"/>
    <s v="Rua 1130"/>
    <s v="Comp 1130"/>
    <x v="26"/>
    <s v="BG-DHRO-FAEE"/>
    <d v="2025-04-03T00:00:00"/>
    <n v="24.99"/>
    <n v="24.99"/>
    <n v="2.7488999999999999"/>
    <n v="22.24"/>
    <n v="11.69"/>
    <n v="0.23"/>
    <n v="0.39877104377104378"/>
    <n v="0"/>
    <n v="9.9212289562289548"/>
    <n v="4.9606144781144774"/>
    <d v="2025-04-10T00:00:00"/>
    <d v="2025-04-10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MEI"/>
    <s v="MEI45729"/>
    <s v="Pedido 1162"/>
    <d v="2025-03-13T00:00:00"/>
    <d v="2025-03-13T00:00:00"/>
    <s v="PedidoF1139"/>
    <s v="CódRastreio1137"/>
    <n v="1"/>
    <s v="CPF 1131"/>
    <s v="Nome 1131"/>
    <s v="Tel 1131"/>
    <s v="Cep 1131"/>
    <s v="Rua 1131"/>
    <s v="Comp 1131"/>
    <x v="10"/>
    <s v="WU-SS4J-LFOH"/>
    <d v="2025-04-03T00:00:00"/>
    <n v="65.599999999999994"/>
    <n v="65.599999999999994"/>
    <n v="8.5279999999999987"/>
    <n v="57.07"/>
    <n v="14.04"/>
    <n v="0.23"/>
    <n v="0.39877104377104378"/>
    <n v="0"/>
    <n v="42.401228956228955"/>
    <n v="21.200614478114478"/>
    <d v="2025-04-10T00:00:00"/>
    <d v="2025-04-10T00:00:00"/>
    <d v="2025-04-15T00:00:00"/>
    <d v="2025-04-16T00:00:00"/>
    <s v="2025 04"/>
    <s v="Aguardando Liberação"/>
    <s v="2025 03"/>
    <s v="ENTREGUE"/>
    <d v="2025-03-25T00:00:00"/>
    <s v="-"/>
    <m/>
    <n v="0"/>
    <n v="0"/>
    <n v="0"/>
    <n v="0"/>
    <n v="0"/>
  </r>
  <r>
    <s v="MEI"/>
    <s v="MEI45729"/>
    <s v="Pedido 1163"/>
    <d v="2025-03-13T00:00:00"/>
    <d v="2025-03-13T00:00:00"/>
    <s v="PedidoF1140"/>
    <s v="CódRastreio1138"/>
    <n v="1"/>
    <s v="CPF 1132"/>
    <s v="Nome 1132"/>
    <s v="Tel 1132"/>
    <s v="Cep 1132"/>
    <s v="Rua 1132"/>
    <s v="Comp 1132"/>
    <x v="1"/>
    <s v="A4-5W51-K3HF"/>
    <d v="2025-03-28T00:00:00"/>
    <n v="30.95"/>
    <n v="30.95"/>
    <n v="4.3330000000000002"/>
    <n v="26.62"/>
    <n v="16.88"/>
    <n v="0.23"/>
    <n v="0.39877104377104378"/>
    <n v="0"/>
    <n v="9.1112289562289561"/>
    <n v="4.5556144781144781"/>
    <d v="2025-04-04T00:00:00"/>
    <d v="2025-04-04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0"/>
    <s v="Pedido 1164"/>
    <d v="2025-03-13T00:00:00"/>
    <d v="2025-03-14T00:00:00"/>
    <s v="PedidoF1141"/>
    <s v="CódRastreio1139"/>
    <n v="1"/>
    <s v="CPF 1133"/>
    <s v="Nome 1133"/>
    <s v="Tel 1133"/>
    <s v="Cep 1133"/>
    <s v="Rua 1133"/>
    <s v="Comp 1133"/>
    <x v="1"/>
    <s v="A4-5W51-K3HF"/>
    <d v="2025-04-03T00:00:00"/>
    <n v="30.95"/>
    <n v="30.95"/>
    <n v="4.3330000000000002"/>
    <n v="26.62"/>
    <n v="16.48"/>
    <n v="0.33"/>
    <n v="0.39877104377104378"/>
    <n v="0"/>
    <n v="9.4112289562289568"/>
    <n v="4.7056144781144784"/>
    <d v="2025-04-10T00:00:00"/>
    <d v="2025-04-10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MEI"/>
    <s v="MEI45735"/>
    <s v="Pedido 1165"/>
    <d v="2025-03-13T00:00:00"/>
    <d v="2025-03-19T00:00:00"/>
    <s v="PedidoF1142"/>
    <s v="CódRastreio1140"/>
    <n v="1"/>
    <s v="CPF 1134"/>
    <s v="Nome 1134"/>
    <s v="Tel 1134"/>
    <s v="Cep 1134"/>
    <s v="Rua 1134"/>
    <s v="Comp 1134"/>
    <x v="27"/>
    <s v="OV-P9KI-A5LS"/>
    <d v="2025-04-09T00:00:00"/>
    <n v="18.3"/>
    <n v="18.3"/>
    <n v="2.1960000000000002"/>
    <n v="16.100000000000001"/>
    <n v="10.199999999999999"/>
    <n v="0.2"/>
    <n v="0.39877104377104378"/>
    <n v="0"/>
    <n v="5.3012289562289592"/>
    <n v="2.6506144781144796"/>
    <d v="2025-04-16T00:00:00"/>
    <d v="2025-04-16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MEI"/>
    <s v="MEI45730"/>
    <s v="Pedido 1166"/>
    <d v="2025-03-13T00:00:00"/>
    <d v="2025-03-14T00:00:00"/>
    <s v="PedidoF1143"/>
    <s v="CódRastreio1141"/>
    <n v="1"/>
    <s v="CPF 1135"/>
    <s v="Nome 1135"/>
    <s v="Tel 1135"/>
    <s v="Cep 1135"/>
    <s v="Rua 1135"/>
    <s v="Comp 1135"/>
    <x v="28"/>
    <s v="Z0-F6CI-18CL"/>
    <d v="2025-04-09T00:00:00"/>
    <n v="45.9"/>
    <n v="45.9"/>
    <n v="5.508"/>
    <n v="40.39"/>
    <n v="12.61"/>
    <n v="0.33"/>
    <n v="0.39877104377104378"/>
    <n v="0"/>
    <n v="27.051228956228957"/>
    <n v="13.525614478114479"/>
    <d v="2025-04-16T00:00:00"/>
    <d v="2025-04-16T00:00:00"/>
    <d v="2025-05-02T00:00:00"/>
    <d v="2025-05-06T00:00:00"/>
    <s v="2025 04"/>
    <s v="Aguardando Liberação"/>
    <s v="2025 03"/>
    <s v="ENTREGUE"/>
    <d v="2025-04-04T00:00:00"/>
    <s v="-"/>
    <m/>
    <n v="0"/>
    <n v="0"/>
    <n v="0"/>
    <n v="0"/>
    <n v="0"/>
  </r>
  <r>
    <s v="BV"/>
    <s v="BV-"/>
    <s v="Pedido 1167"/>
    <d v="2025-03-14T00:00:00"/>
    <s v="-"/>
    <s v="-"/>
    <s v="-"/>
    <n v="1"/>
    <s v="CPF 1136"/>
    <s v="Nome 1136"/>
    <s v="Tel 1136"/>
    <s v="Cep 1136"/>
    <s v="Rua 1136"/>
    <s v="Comp 1136"/>
    <x v="17"/>
    <s v="IA-LLX9-MRV1"/>
    <d v="2025-04-04T00:00:00"/>
    <n v="65.989999999999995"/>
    <n v="65.989999999999995"/>
    <n v="9.2385999999999999"/>
    <n v="56.75"/>
    <n v="0"/>
    <n v="0"/>
    <n v="0"/>
    <n v="0"/>
    <n v="56.75"/>
    <n v="28.37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30"/>
    <s v="Pedido 1168"/>
    <d v="2025-03-14T00:00:00"/>
    <d v="2025-03-14T00:00:00"/>
    <s v="PedidoF1144"/>
    <s v="CódRastreio1142"/>
    <n v="1"/>
    <s v="CPF 1137"/>
    <s v="Nome 1137"/>
    <s v="Tel 1137"/>
    <s v="Cep 1137"/>
    <s v="Rua 1137"/>
    <s v="Comp 1137"/>
    <x v="8"/>
    <s v="FM-QQ8Y-RZT4"/>
    <d v="2025-04-04T00:00:00"/>
    <n v="28.5"/>
    <n v="28.5"/>
    <n v="3.7050000000000001"/>
    <n v="24.8"/>
    <n v="16.8"/>
    <n v="0.23"/>
    <n v="0.39877104377104378"/>
    <n v="0"/>
    <n v="7.3712289562289541"/>
    <n v="3.6856144781144771"/>
    <d v="2025-04-11T00:00:00"/>
    <d v="2025-04-11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BV"/>
    <s v="BV45730"/>
    <s v="Pedido 1169"/>
    <d v="2025-03-14T00:00:00"/>
    <d v="2025-03-14T00:00:00"/>
    <s v="PedidoF1145"/>
    <s v="CódRastreio1143"/>
    <n v="1"/>
    <s v="CPF 1138"/>
    <s v="Nome 1138"/>
    <s v="Tel 1138"/>
    <s v="Cep 1138"/>
    <s v="Rua 1138"/>
    <s v="Comp 1138"/>
    <x v="16"/>
    <s v="RB-W251-UXV2"/>
    <d v="2025-04-04T00:00:00"/>
    <n v="26.99"/>
    <n v="26.99"/>
    <n v="3.5086999999999997"/>
    <n v="23.48"/>
    <n v="10.199999999999999"/>
    <n v="0.23"/>
    <n v="0.39877104377104378"/>
    <n v="0"/>
    <n v="12.651228956228957"/>
    <n v="6.3256144781144785"/>
    <d v="2025-04-11T00:00:00"/>
    <d v="2025-04-11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3"/>
    <s v="Pedido 1170"/>
    <d v="2025-03-14T00:00:00"/>
    <d v="2025-03-17T00:00:00"/>
    <s v="PedidoF1146"/>
    <s v="CódRastreio1144"/>
    <n v="1"/>
    <s v="CPF 1139"/>
    <s v="Nome 1139"/>
    <s v="Tel 1139"/>
    <s v="Cep 1139"/>
    <s v="Rua 1139"/>
    <s v="Comp 1139"/>
    <x v="27"/>
    <s v="OV-P9KI-A5LS"/>
    <d v="2025-04-09T00:00:00"/>
    <n v="18.3"/>
    <n v="18.3"/>
    <n v="2.1960000000000002"/>
    <n v="16.100000000000001"/>
    <n v="10.16"/>
    <n v="0.46"/>
    <n v="0.39877104377104378"/>
    <n v="0"/>
    <n v="5.0812289562289568"/>
    <n v="2.5406144781144784"/>
    <d v="2025-04-16T00:00:00"/>
    <d v="2025-04-16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45730"/>
    <s v="Pedido 1171"/>
    <d v="2025-03-14T00:00:00"/>
    <d v="2025-03-14T00:00:00"/>
    <s v="PedidoF1147"/>
    <s v="CódRastreio1145"/>
    <n v="1"/>
    <s v="CPF 1140"/>
    <s v="Nome 1140"/>
    <s v="Tel 1140"/>
    <s v="Cep 1140"/>
    <s v="Rua 1140"/>
    <s v="Comp 1140"/>
    <x v="26"/>
    <s v="BG-DHRO-FAEE"/>
    <d v="2025-04-17T00:00:00"/>
    <n v="24.99"/>
    <n v="24.99"/>
    <n v="2.7488999999999999"/>
    <n v="22.24"/>
    <n v="11.46"/>
    <n v="0.33"/>
    <n v="0.39877104377104378"/>
    <n v="0"/>
    <n v="10.051228956228954"/>
    <n v="5.0256144781144769"/>
    <d v="2025-04-24T00:00:00"/>
    <d v="2025-04-24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0"/>
    <s v="Pedido 1172"/>
    <d v="2025-03-14T00:00:00"/>
    <d v="2025-03-14T00:00:00"/>
    <s v="PedidoF1148"/>
    <s v="CódRastreio1146"/>
    <n v="1"/>
    <s v="CPF 1141"/>
    <s v="Nome 1141"/>
    <s v="Tel 1141"/>
    <s v="Cep 1141"/>
    <s v="Rua 1141"/>
    <s v="Comp 1141"/>
    <x v="1"/>
    <s v="A4-5W51-K3HF"/>
    <d v="2025-04-04T00:00:00"/>
    <n v="30.95"/>
    <n v="30.95"/>
    <n v="4.3330000000000002"/>
    <n v="26.62"/>
    <n v="16.48"/>
    <n v="0.33"/>
    <n v="0.39877104377104378"/>
    <n v="0"/>
    <n v="9.4112289562289568"/>
    <n v="4.7056144781144784"/>
    <d v="2025-04-11T00:00:00"/>
    <d v="2025-04-11T00:00:00"/>
    <d v="2025-04-15T00:00:00"/>
    <d v="2025-04-16T00:00:00"/>
    <s v="2025 04"/>
    <s v="Aguardando Liberação"/>
    <s v="2025 03"/>
    <s v="ENTREGUE"/>
    <d v="2025-03-22T00:00:00"/>
    <s v="-"/>
    <m/>
    <n v="0"/>
    <n v="0"/>
    <n v="0"/>
    <n v="0"/>
    <n v="0"/>
  </r>
  <r>
    <s v="MEI"/>
    <s v="MEI45730"/>
    <s v="Pedido 1173"/>
    <d v="2025-03-14T00:00:00"/>
    <d v="2025-03-14T00:00:00"/>
    <s v="PedidoF1149"/>
    <s v="CódRastreio1147"/>
    <n v="1"/>
    <s v="CPF 1142"/>
    <s v="Nome 1142"/>
    <s v="Tel 1142"/>
    <s v="Cep 1142"/>
    <s v="Rua 1142"/>
    <s v="Comp 1142"/>
    <x v="26"/>
    <s v="BG-DHRO-FAEE"/>
    <d v="2025-04-10T00:00:00"/>
    <n v="24.99"/>
    <n v="24.99"/>
    <n v="2.7488999999999999"/>
    <n v="22.24"/>
    <n v="11.46"/>
    <n v="0.33"/>
    <n v="0.39877104377104378"/>
    <n v="0"/>
    <n v="10.051228956228954"/>
    <n v="5.0256144781144769"/>
    <d v="2025-04-17T00:00:00"/>
    <d v="2025-04-17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4"/>
    <s v="Pedido 1174"/>
    <d v="2025-03-14T00:00:00"/>
    <d v="2025-03-18T00:00:00"/>
    <s v="PedidoF1150"/>
    <s v="CódRastreio1148"/>
    <n v="1"/>
    <s v="CPF 1143"/>
    <s v="Nome 1143"/>
    <s v="Tel 1143"/>
    <s v="Cep 1143"/>
    <s v="Rua 1143"/>
    <s v="Comp 1143"/>
    <x v="2"/>
    <s v="U1-D95R-HYRT"/>
    <d v="2025-04-04T00:00:00"/>
    <n v="21"/>
    <n v="21"/>
    <n v="2.9400000000000004"/>
    <n v="18.059999999999999"/>
    <n v="0"/>
    <n v="0.42"/>
    <n v="0.39877104377104378"/>
    <n v="0"/>
    <n v="17.241228956228955"/>
    <n v="8.6206144781144776"/>
    <d v="2025-04-11T00:00:00"/>
    <d v="2025-04-11T00:00:00"/>
    <d v="2025-04-15T00:00:00"/>
    <d v="2025-04-16T00:00:00"/>
    <s v="2025 04"/>
    <s v="Aguardando Liberação"/>
    <s v="2025 03"/>
    <s v="ENTREGUE"/>
    <d v="2025-04-11T00:00:00"/>
    <s v="-"/>
    <m/>
    <n v="0"/>
    <n v="0"/>
    <n v="0"/>
    <n v="0"/>
    <n v="0"/>
  </r>
  <r>
    <s v="MEI"/>
    <s v="MEI45730"/>
    <s v="Pedido 1175"/>
    <d v="2025-03-14T00:00:00"/>
    <d v="2025-03-14T00:00:00"/>
    <s v="PedidoF1151"/>
    <s v="CódRastreio1149"/>
    <n v="1"/>
    <s v="CPF 1144"/>
    <s v="Nome 1144"/>
    <s v="Tel 1144"/>
    <s v="Cep 1144"/>
    <s v="Rua 1144"/>
    <s v="Comp 1144"/>
    <x v="26"/>
    <s v="BG-DHRO-FAEE"/>
    <d v="2025-04-04T00:00:00"/>
    <n v="24.99"/>
    <n v="24.99"/>
    <n v="2.7488999999999999"/>
    <n v="22.24"/>
    <n v="11.46"/>
    <n v="0.33"/>
    <n v="0.39877104377104378"/>
    <n v="0"/>
    <n v="10.051228956228954"/>
    <n v="5.0256144781144769"/>
    <d v="2025-04-11T00:00:00"/>
    <d v="2025-04-11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4"/>
    <s v="Pedido 1176"/>
    <d v="2025-03-14T00:00:00"/>
    <d v="2025-03-18T00:00:00"/>
    <s v="PedidoF1152"/>
    <s v="CódRastreio1150"/>
    <n v="1"/>
    <s v="CPF 1145"/>
    <s v="Nome 1145"/>
    <s v="Tel 1145"/>
    <s v="Cep 1145"/>
    <s v="Rua 1145"/>
    <s v="Comp 1145"/>
    <x v="29"/>
    <s v="RX-DD1P-P5U2"/>
    <d v="2025-04-04T00:00:00"/>
    <n v="24.8"/>
    <n v="24.8"/>
    <n v="2.976"/>
    <n v="21.82"/>
    <n v="10.210000000000001"/>
    <n v="0.42"/>
    <n v="0.39877104377104378"/>
    <n v="0"/>
    <n v="10.791228956228956"/>
    <n v="5.3956144781144779"/>
    <d v="2025-04-11T00:00:00"/>
    <d v="2025-04-11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BV"/>
    <s v="BV-"/>
    <s v="Pedido 1177"/>
    <d v="2025-03-15T00:00:00"/>
    <s v="-"/>
    <s v="-"/>
    <s v="-"/>
    <n v="1"/>
    <s v="CPF 1146"/>
    <s v="Nome 1146"/>
    <s v="Tel 1146"/>
    <s v="Cep 1146"/>
    <s v="Rua 1146"/>
    <s v="Comp 1146"/>
    <x v="15"/>
    <s v="HF-SI0F-XC7S"/>
    <d v="2025-04-10T00:00:00"/>
    <n v="44.9"/>
    <n v="44.9"/>
    <n v="6.2860000000000005"/>
    <n v="38.61"/>
    <n v="0"/>
    <n v="0"/>
    <n v="0"/>
    <n v="0"/>
    <n v="38.61"/>
    <n v="19.305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2"/>
    <s v="Pedido 1178"/>
    <d v="2025-03-15T00:00:00"/>
    <d v="2025-03-16T00:00:00"/>
    <s v="PedidoF1153"/>
    <s v="CódRastreio1151"/>
    <n v="1"/>
    <s v="CPF 1147"/>
    <s v="Nome 1147"/>
    <s v="Tel 1147"/>
    <s v="Cep 1147"/>
    <s v="Rua 1147"/>
    <s v="Comp 1147"/>
    <x v="12"/>
    <s v="U8-2VWS-OB6M"/>
    <d v="2025-04-10T00:00:00"/>
    <n v="50.45"/>
    <n v="50.45"/>
    <n v="6.5585000000000004"/>
    <n v="43.89"/>
    <n v="13.7"/>
    <n v="0.82"/>
    <n v="0.39877104377104378"/>
    <n v="0"/>
    <n v="28.971228956228956"/>
    <n v="14.485614478114478"/>
    <d v="2025-04-17T00:00:00"/>
    <d v="2025-04-17T00:00:00"/>
    <d v="2025-05-02T00:00:00"/>
    <d v="2025-05-06T00:00:00"/>
    <s v="2025 04"/>
    <s v="Aguardando Liberação"/>
    <s v="2025 03"/>
    <s v="ENTREGUE"/>
    <d v="2025-04-05T00:00:00"/>
    <s v="-"/>
    <m/>
    <n v="0"/>
    <n v="0"/>
    <n v="0"/>
    <n v="0"/>
    <n v="0"/>
  </r>
  <r>
    <s v="BV"/>
    <s v="BV-"/>
    <s v="Pedido 1179"/>
    <d v="2025-03-15T00:00:00"/>
    <s v="-"/>
    <s v="-"/>
    <s v="-"/>
    <n v="1"/>
    <s v="CPF 1148"/>
    <s v="Nome 1148"/>
    <s v="Tel 1148"/>
    <s v="Cep 1148"/>
    <s v="Rua 1148"/>
    <s v="Comp 1148"/>
    <x v="0"/>
    <s v="16-4EDB-WMZF"/>
    <d v="2025-04-04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35"/>
    <s v="Pedido 1180"/>
    <d v="2025-03-15T00:00:00"/>
    <d v="2025-03-19T00:00:00"/>
    <s v="PedidoF1154"/>
    <s v="CódRastreio1152"/>
    <n v="1"/>
    <s v="CPF 1149"/>
    <s v="Nome 1149"/>
    <s v="Tel 1149"/>
    <s v="Cep 1149"/>
    <s v="Rua 1149"/>
    <s v="Comp 1149"/>
    <x v="0"/>
    <s v="16-4EDB-WMZF"/>
    <d v="2025-04-04T00:00:00"/>
    <n v="19.989999999999998"/>
    <n v="19.989999999999998"/>
    <n v="2.9984999999999995"/>
    <n v="16.989999999999998"/>
    <n v="9.94"/>
    <n v="2.72"/>
    <n v="0.39877104377104378"/>
    <n v="0"/>
    <n v="3.9312289562289546"/>
    <n v="1.9656144781144773"/>
    <d v="2025-04-11T00:00:00"/>
    <d v="2025-04-11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-"/>
    <s v="Pedido 1181"/>
    <d v="2025-03-15T00:00:00"/>
    <s v="-"/>
    <s v="-"/>
    <s v="-"/>
    <n v="1"/>
    <s v="CPF 1150"/>
    <s v="Nome 1150"/>
    <s v="Tel 1150"/>
    <s v="Cep 1150"/>
    <s v="Rua 1150"/>
    <s v="Comp 1150"/>
    <x v="16"/>
    <s v="RB-W251-UXV2"/>
    <d v="2025-04-10T00:00:00"/>
    <n v="26.99"/>
    <n v="26.99"/>
    <n v="3.5086999999999997"/>
    <n v="23.48"/>
    <n v="0"/>
    <n v="0"/>
    <n v="0"/>
    <n v="0"/>
    <n v="23.48"/>
    <n v="11.74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5"/>
    <s v="Pedido 1182"/>
    <d v="2025-03-15T00:00:00"/>
    <d v="2025-03-19T00:00:00"/>
    <s v="PedidoF1155"/>
    <s v="CódRastreio1153"/>
    <n v="1"/>
    <s v="CPF 1151"/>
    <s v="Nome 1151"/>
    <s v="Tel 1151"/>
    <s v="Cep 1151"/>
    <s v="Rua 1151"/>
    <s v="Comp 1151"/>
    <x v="0"/>
    <s v="16-4EDB-WMZF"/>
    <d v="2025-04-04T00:00:00"/>
    <n v="19.989999999999998"/>
    <n v="19.989999999999998"/>
    <n v="2.9984999999999995"/>
    <n v="16.989999999999998"/>
    <n v="9.94"/>
    <n v="2.72"/>
    <n v="0.39877104377104378"/>
    <n v="0"/>
    <n v="3.9312289562289546"/>
    <n v="1.9656144781144773"/>
    <d v="2025-04-11T00:00:00"/>
    <d v="2025-04-11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BV"/>
    <s v="BV45736"/>
    <s v="Pedido 1183"/>
    <d v="2025-03-15T00:00:00"/>
    <d v="2025-03-20T00:00:00"/>
    <s v="PedidoF1156"/>
    <s v="CódRastreio1154"/>
    <n v="1"/>
    <s v="CPF 1152"/>
    <s v="Nome 1152"/>
    <s v="Tel 1152"/>
    <s v="Cep 1152"/>
    <s v="Rua 1152"/>
    <s v="Comp 1152"/>
    <x v="0"/>
    <s v="16-4EDB-WMZF"/>
    <d v="2025-04-10T00:00:00"/>
    <n v="19.989999999999998"/>
    <n v="19.989999999999998"/>
    <n v="2.9984999999999995"/>
    <n v="16.989999999999998"/>
    <n v="9"/>
    <n v="0.33"/>
    <n v="0.39877104377104378"/>
    <n v="0"/>
    <n v="7.2612289562289547"/>
    <n v="3.6306144781144774"/>
    <d v="2025-04-17T00:00:00"/>
    <d v="2025-04-17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BV"/>
    <s v="BV-"/>
    <s v="Pedido 1184"/>
    <d v="2025-03-15T00:00:00"/>
    <s v="-"/>
    <s v="-"/>
    <s v="-"/>
    <n v="1"/>
    <s v="CPF 1153"/>
    <s v="Nome 1153"/>
    <s v="Tel 1153"/>
    <s v="Cep 1153"/>
    <s v="Rua 1153"/>
    <s v="Comp 1153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185"/>
    <d v="2025-03-15T00:00:00"/>
    <s v="-"/>
    <s v="-"/>
    <s v="-"/>
    <n v="1"/>
    <s v="CPF 1154"/>
    <s v="Nome 1154"/>
    <s v="Tel 1154"/>
    <s v="Cep 1154"/>
    <s v="Rua 1154"/>
    <s v="Comp 1154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32"/>
    <s v="Pedido 1186"/>
    <d v="2025-03-15T00:00:00"/>
    <d v="2025-03-16T00:00:00"/>
    <s v="PedidoF1157"/>
    <s v="CódRastreio1155"/>
    <n v="1"/>
    <s v="CPF 1155"/>
    <s v="Nome 1155"/>
    <s v="Tel 1155"/>
    <s v="Cep 1155"/>
    <s v="Rua 1155"/>
    <s v="Comp 1155"/>
    <x v="12"/>
    <s v="U8-2VWS-OB6M"/>
    <d v="2025-04-10T00:00:00"/>
    <n v="50.45"/>
    <n v="50.45"/>
    <n v="6.5585000000000004"/>
    <n v="43.89"/>
    <n v="13.7"/>
    <n v="0.82"/>
    <n v="0.39877104377104378"/>
    <n v="0"/>
    <n v="28.971228956228956"/>
    <n v="14.485614478114478"/>
    <d v="2025-04-17T00:00:00"/>
    <d v="2025-04-17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BV"/>
    <s v="BV-"/>
    <s v="Pedido 1187"/>
    <d v="2025-03-15T00:00:00"/>
    <s v="-"/>
    <s v="-"/>
    <s v="-"/>
    <n v="1"/>
    <s v="CPF 1156"/>
    <s v="Nome 1156"/>
    <s v="Tel 1156"/>
    <s v="Cep 1156"/>
    <s v="Rua 1156"/>
    <s v="Comp 1156"/>
    <x v="0"/>
    <s v="16-4EDB-WMZF"/>
    <d v="2025-04-04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188"/>
    <d v="2025-03-15T00:00:00"/>
    <s v="-"/>
    <s v="-"/>
    <s v="-"/>
    <n v="1"/>
    <s v="CPF 1157"/>
    <s v="Nome 1157"/>
    <s v="Tel 1157"/>
    <s v="Cep 1157"/>
    <s v="Rua 1157"/>
    <s v="Comp 1157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677"/>
    <s v="Pedido 1189"/>
    <d v="2025-03-15T00:00:00"/>
    <d v="2025-01-20T00:00:00"/>
    <s v="PedidoF1158"/>
    <s v="CódRastreio1156"/>
    <n v="1"/>
    <s v="CPF 1158"/>
    <s v="Nome 1158"/>
    <s v="Tel 1158"/>
    <s v="Cep 1158"/>
    <s v="Rua 1158"/>
    <s v="Comp 1158"/>
    <x v="0"/>
    <s v="16-4EDB-WMZF"/>
    <d v="2025-04-04T00:00:00"/>
    <n v="19.989999999999998"/>
    <n v="19.989999999999998"/>
    <n v="2.9984999999999995"/>
    <n v="16.989999999999998"/>
    <n v="13.59"/>
    <n v="0.19"/>
    <n v="0.39877104377104378"/>
    <n v="0"/>
    <n v="2.8112289562289554"/>
    <n v="1.4056144781144777"/>
    <d v="2025-04-11T00:00:00"/>
    <d v="2025-04-11T00:00:00"/>
    <d v="2025-04-15T00:00:00"/>
    <d v="2025-04-16T00:00:00"/>
    <s v="2025 04"/>
    <s v="Aguardando Liberação"/>
    <s v="2025 01"/>
    <s v="ENTREGUE"/>
    <d v="2025-04-05T00:00:00"/>
    <s v="-"/>
    <m/>
    <n v="0"/>
    <n v="0"/>
    <n v="0"/>
    <n v="0"/>
    <n v="0"/>
  </r>
  <r>
    <s v="BV"/>
    <s v="BV45677"/>
    <s v="Pedido 1190"/>
    <d v="2025-03-15T00:00:00"/>
    <d v="2025-01-20T00:00:00"/>
    <s v="PedidoF1159"/>
    <s v="CódRastreio1157"/>
    <n v="1"/>
    <s v="CPF 1159"/>
    <s v="Nome 1159"/>
    <s v="Tel 1159"/>
    <s v="Cep 1159"/>
    <s v="Rua 1159"/>
    <s v="Comp 1159"/>
    <x v="0"/>
    <s v="16-4EDB-WMZF"/>
    <d v="2025-04-04T00:00:00"/>
    <n v="19.989999999999998"/>
    <n v="19.989999999999998"/>
    <n v="2.9984999999999995"/>
    <n v="16.989999999999998"/>
    <n v="13.59"/>
    <n v="0.19"/>
    <n v="0.39877104377104378"/>
    <n v="0"/>
    <n v="2.8112289562289554"/>
    <n v="1.4056144781144777"/>
    <d v="2025-04-11T00:00:00"/>
    <d v="2025-04-11T00:00:00"/>
    <d v="2025-04-15T00:00:00"/>
    <d v="2025-04-16T00:00:00"/>
    <s v="2025 04"/>
    <s v="Aguardando Liberação"/>
    <s v="2025 01"/>
    <s v="ENTREGUE"/>
    <d v="2025-04-09T00:00:00"/>
    <s v="-"/>
    <m/>
    <n v="0"/>
    <n v="0"/>
    <n v="0"/>
    <n v="0"/>
    <n v="0"/>
  </r>
  <r>
    <s v="BV"/>
    <s v="BV45732"/>
    <s v="Pedido 1191"/>
    <d v="2025-03-15T00:00:00"/>
    <d v="2025-03-16T00:00:00"/>
    <s v="PedidoF1160"/>
    <s v="CódRastreio1158"/>
    <n v="1"/>
    <s v="CPF 1160"/>
    <s v="Nome 1160"/>
    <s v="Tel 1160"/>
    <s v="Cep 1160"/>
    <s v="Rua 1160"/>
    <s v="Comp 1160"/>
    <x v="3"/>
    <s v="IF-G2ZQ-79FO"/>
    <d v="2025-04-04T00:00:00"/>
    <n v="59.9"/>
    <n v="59.9"/>
    <n v="7.7869999999999999"/>
    <n v="52.11"/>
    <n v="13.98"/>
    <n v="0.82"/>
    <n v="0.39877104377104378"/>
    <n v="0"/>
    <n v="36.911228956228953"/>
    <n v="18.455614478114477"/>
    <d v="2025-04-11T00:00:00"/>
    <d v="2025-04-11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BV"/>
    <s v="BV45732"/>
    <s v="Pedido 1192"/>
    <d v="2025-03-15T00:00:00"/>
    <d v="2025-03-16T00:00:00"/>
    <s v="PedidoF1161"/>
    <s v="CódRastreio1159"/>
    <n v="1"/>
    <s v="CPF 1161"/>
    <s v="Nome 1161"/>
    <s v="Tel 1161"/>
    <s v="Cep 1161"/>
    <s v="Rua 1161"/>
    <s v="Comp 1161"/>
    <x v="12"/>
    <s v="U8-2VWS-OB6M"/>
    <d v="2025-04-04T00:00:00"/>
    <n v="50.45"/>
    <n v="50.45"/>
    <n v="6.5585000000000004"/>
    <n v="43.89"/>
    <n v="13.7"/>
    <n v="0.82"/>
    <n v="0.39877104377104378"/>
    <n v="0"/>
    <n v="28.971228956228956"/>
    <n v="14.485614478114478"/>
    <d v="2025-04-11T00:00:00"/>
    <d v="2025-04-11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BV"/>
    <s v="BV45732"/>
    <s v="Pedido 1193"/>
    <d v="2025-03-15T00:00:00"/>
    <d v="2025-03-16T00:00:00"/>
    <s v="PedidoF1162"/>
    <s v="CódRastreio1160"/>
    <n v="1"/>
    <s v="CPF 1162"/>
    <s v="Nome 1162"/>
    <s v="Tel 1162"/>
    <s v="Cep 1162"/>
    <s v="Rua 1162"/>
    <s v="Comp 1162"/>
    <x v="3"/>
    <s v="IF-G2ZQ-79FO"/>
    <d v="2025-04-04T00:00:00"/>
    <n v="59.9"/>
    <n v="59.9"/>
    <n v="7.7869999999999999"/>
    <n v="52.11"/>
    <n v="13.98"/>
    <n v="0.82"/>
    <n v="0.39877104377104378"/>
    <n v="0"/>
    <n v="36.911228956228953"/>
    <n v="18.455614478114477"/>
    <d v="2025-04-11T00:00:00"/>
    <d v="2025-04-11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BV"/>
    <s v="BV-"/>
    <s v="Pedido 1194"/>
    <d v="2025-03-15T00:00:00"/>
    <s v="-"/>
    <s v="-"/>
    <s v="-"/>
    <n v="1"/>
    <s v="CPF 1163"/>
    <s v="Nome 1163"/>
    <s v="Tel 1163"/>
    <s v="Cep 1163"/>
    <s v="Rua 1163"/>
    <s v="Comp 1163"/>
    <x v="15"/>
    <s v="HF-SI0F-XC7S"/>
    <d v="2025-04-10T00:00:00"/>
    <n v="44.9"/>
    <n v="44.9"/>
    <n v="6.2860000000000005"/>
    <n v="38.61"/>
    <n v="0"/>
    <n v="0"/>
    <n v="0"/>
    <n v="0"/>
    <n v="38.61"/>
    <n v="19.305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2"/>
    <s v="Pedido 1195"/>
    <d v="2025-03-15T00:00:00"/>
    <d v="2025-03-16T00:00:00"/>
    <s v="PedidoF1163"/>
    <s v="CódRastreio1161"/>
    <n v="1"/>
    <s v="CPF 1164"/>
    <s v="Nome 1164"/>
    <s v="Tel 1164"/>
    <s v="Cep 1164"/>
    <s v="Rua 1164"/>
    <s v="Comp 1164"/>
    <x v="12"/>
    <s v="U8-2VWS-OB6M"/>
    <d v="2025-04-17T00:00:00"/>
    <n v="50.45"/>
    <n v="50.45"/>
    <n v="6.5585000000000004"/>
    <n v="43.89"/>
    <n v="13.7"/>
    <n v="0.82"/>
    <n v="0.39877104377104378"/>
    <n v="0"/>
    <n v="28.971228956228956"/>
    <n v="14.485614478114478"/>
    <d v="2025-04-24T00:00:00"/>
    <d v="2025-04-24T00:00:00"/>
    <d v="2025-05-02T00:00:00"/>
    <d v="2025-05-06T00:00:00"/>
    <s v="2025 04"/>
    <s v="Aguardando Liberação"/>
    <s v="2025 03"/>
    <s v="ENTREGUE"/>
    <d v="2025-04-10T00:00:00"/>
    <s v="-"/>
    <m/>
    <n v="0"/>
    <n v="0"/>
    <n v="0"/>
    <n v="0"/>
    <n v="0"/>
  </r>
  <r>
    <s v="BV"/>
    <s v="BV45732"/>
    <s v="Pedido 1196"/>
    <d v="2025-03-16T00:00:00"/>
    <d v="2025-03-16T00:00:00"/>
    <s v="PedidoF1164"/>
    <s v="CódRastreio1162"/>
    <n v="1"/>
    <s v="CPF 1165"/>
    <s v="Nome 1165"/>
    <s v="Tel 1165"/>
    <s v="Cep 1165"/>
    <s v="Rua 1165"/>
    <s v="Comp 1165"/>
    <x v="16"/>
    <s v="RB-W251-UXV2"/>
    <d v="2025-04-04T00:00:00"/>
    <n v="26.99"/>
    <n v="26.99"/>
    <n v="3.5086999999999997"/>
    <n v="23.48"/>
    <n v="10.199999999999999"/>
    <n v="0.82"/>
    <n v="0.39877104377104378"/>
    <n v="0"/>
    <n v="12.061228956228957"/>
    <n v="6.0306144781144786"/>
    <d v="2025-04-11T00:00:00"/>
    <d v="2025-04-11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BV"/>
    <s v="BV-"/>
    <s v="Pedido 1197"/>
    <d v="2025-03-16T00:00:00"/>
    <s v="-"/>
    <s v="-"/>
    <s v="-"/>
    <n v="1"/>
    <s v="CPF 1166"/>
    <s v="Nome 1166"/>
    <s v="Tel 1166"/>
    <s v="Cep 1166"/>
    <s v="Rua 1166"/>
    <s v="Comp 1166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677"/>
    <s v="Pedido 1198"/>
    <d v="2025-03-16T00:00:00"/>
    <d v="2025-01-20T00:00:00"/>
    <s v="PedidoF1165"/>
    <s v="CódRastreio1163"/>
    <n v="1"/>
    <s v="CPF 1167"/>
    <s v="Nome 1167"/>
    <s v="Tel 1167"/>
    <s v="Cep 1167"/>
    <s v="Rua 1167"/>
    <s v="Comp 1167"/>
    <x v="0"/>
    <s v="16-4EDB-WMZF"/>
    <d v="2025-04-04T00:00:00"/>
    <n v="19.989999999999998"/>
    <n v="19.989999999999998"/>
    <n v="2.9984999999999995"/>
    <n v="16.989999999999998"/>
    <n v="13.59"/>
    <n v="0.19"/>
    <n v="0.39877104377104378"/>
    <n v="0"/>
    <n v="2.8112289562289554"/>
    <n v="1.4056144781144777"/>
    <d v="2025-04-11T00:00:00"/>
    <d v="2025-04-11T00:00:00"/>
    <d v="2025-04-15T00:00:00"/>
    <d v="2025-04-16T00:00:00"/>
    <s v="2025 04"/>
    <s v="Aguardando Liberação"/>
    <s v="2025 01"/>
    <s v="ENTREGUE"/>
    <d v="2025-04-09T00:00:00"/>
    <s v="-"/>
    <m/>
    <n v="0"/>
    <n v="0"/>
    <n v="0"/>
    <n v="0"/>
    <n v="0"/>
  </r>
  <r>
    <s v="BV"/>
    <s v="BV-"/>
    <s v="Pedido 1199"/>
    <d v="2025-03-16T00:00:00"/>
    <s v="-"/>
    <s v="-"/>
    <s v="-"/>
    <n v="1"/>
    <s v="CPF 1168"/>
    <s v="Nome 1168"/>
    <s v="Tel 1168"/>
    <s v="Cep 1168"/>
    <s v="Rua 1168"/>
    <s v="Comp 1168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00"/>
    <d v="2025-03-16T00:00:00"/>
    <s v="-"/>
    <s v="-"/>
    <s v="-"/>
    <n v="1"/>
    <s v="CPF 1169"/>
    <s v="Nome 1169"/>
    <s v="Tel 1169"/>
    <s v="Cep 1169"/>
    <s v="Rua 1169"/>
    <s v="Comp 1169"/>
    <x v="15"/>
    <s v="HF-SI0F-XC7S"/>
    <d v="2025-04-17T00:00:00"/>
    <n v="44.9"/>
    <n v="44.9"/>
    <n v="6.2860000000000005"/>
    <n v="38.61"/>
    <n v="0"/>
    <n v="0"/>
    <n v="0"/>
    <n v="0"/>
    <n v="38.61"/>
    <n v="19.305"/>
    <d v="2025-04-24T00:00:00"/>
    <d v="2025-04-24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01"/>
    <d v="2025-03-16T00:00:00"/>
    <s v="-"/>
    <s v="-"/>
    <s v="-"/>
    <n v="1"/>
    <s v="CPF 1169"/>
    <s v="Nome 1169"/>
    <s v="Tel 1169"/>
    <s v="Cep 1169"/>
    <s v="Rua 1169"/>
    <s v="Comp 1169"/>
    <x v="15"/>
    <s v="HF-SI0F-XC7S"/>
    <d v="2025-04-17T00:00:00"/>
    <n v="44.9"/>
    <n v="44.9"/>
    <n v="6.2860000000000005"/>
    <n v="38.61"/>
    <n v="0"/>
    <n v="0"/>
    <n v="0"/>
    <n v="0"/>
    <n v="38.61"/>
    <n v="19.305"/>
    <d v="2025-04-24T00:00:00"/>
    <d v="2025-04-24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4"/>
    <s v="Pedido 1202"/>
    <d v="2025-03-16T00:00:00"/>
    <d v="2025-03-18T00:00:00"/>
    <s v="PedidoF1166"/>
    <s v="CódRastreio1164"/>
    <n v="1"/>
    <s v="CPF 1170"/>
    <s v="Nome 1170"/>
    <s v="Tel 1170"/>
    <s v="Cep 1170"/>
    <s v="Rua 1170"/>
    <s v="Comp 1170"/>
    <x v="0"/>
    <s v="16-4EDB-WMZF"/>
    <d v="2025-04-10T00:00:00"/>
    <n v="19.989999999999998"/>
    <n v="19.989999999999998"/>
    <n v="2.9984999999999995"/>
    <n v="16.989999999999998"/>
    <n v="7.94"/>
    <n v="1.1499999999999999"/>
    <n v="0.39877104377104378"/>
    <n v="0"/>
    <n v="7.5012289562289549"/>
    <n v="3.7506144781144775"/>
    <d v="2025-04-17T00:00:00"/>
    <d v="2025-04-17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BV"/>
    <s v="BV-"/>
    <s v="Pedido 1203"/>
    <d v="2025-03-16T00:00:00"/>
    <s v="-"/>
    <s v="-"/>
    <s v="-"/>
    <n v="1"/>
    <s v="CPF 1169"/>
    <s v="Nome 1169"/>
    <s v="Tel 1169"/>
    <s v="Cep 1169"/>
    <s v="Rua 1169"/>
    <s v="Comp 1169"/>
    <x v="15"/>
    <s v="HF-SI0F-XC7S"/>
    <d v="2025-04-17T00:00:00"/>
    <n v="44.9"/>
    <n v="44.9"/>
    <n v="6.2860000000000005"/>
    <n v="38.61"/>
    <n v="0"/>
    <n v="0"/>
    <n v="0"/>
    <n v="0"/>
    <n v="38.61"/>
    <n v="19.305"/>
    <d v="2025-04-24T00:00:00"/>
    <d v="2025-04-24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04"/>
    <d v="2025-03-16T00:00:00"/>
    <s v="-"/>
    <s v="-"/>
    <s v="-"/>
    <n v="1"/>
    <s v="CPF 1169"/>
    <s v="Nome 1169"/>
    <s v="Tel 1169"/>
    <s v="Cep 1169"/>
    <s v="Rua 1169"/>
    <s v="Comp 1169"/>
    <x v="15"/>
    <s v="HF-SI0F-XC7S"/>
    <d v="2025-04-17T00:00:00"/>
    <n v="44.9"/>
    <n v="44.9"/>
    <n v="6.2860000000000005"/>
    <n v="38.61"/>
    <n v="29.98"/>
    <n v="0"/>
    <n v="0"/>
    <n v="0"/>
    <n v="8.629999999999999"/>
    <n v="4.3149999999999995"/>
    <d v="2025-04-24T00:00:00"/>
    <d v="2025-04-24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4"/>
    <s v="Pedido 1205"/>
    <d v="2025-03-16T00:00:00"/>
    <d v="2025-03-18T00:00:00"/>
    <s v="PedidoF1167"/>
    <s v="CódRastreio1165"/>
    <n v="1"/>
    <s v="CPF 1171"/>
    <s v="Nome 1171"/>
    <s v="Tel 1171"/>
    <s v="Cep 1171"/>
    <s v="Rua 1171"/>
    <s v="Comp 1171"/>
    <x v="0"/>
    <s v="16-4EDB-WMZF"/>
    <d v="2025-04-04T00:00:00"/>
    <n v="19.989999999999998"/>
    <n v="19.989999999999998"/>
    <n v="2.9984999999999995"/>
    <n v="16.989999999999998"/>
    <n v="7.94"/>
    <n v="1.1499999999999999"/>
    <n v="0.39877104377104378"/>
    <n v="0"/>
    <n v="7.5012289562289549"/>
    <n v="3.7506144781144775"/>
    <d v="2025-04-11T00:00:00"/>
    <d v="2025-04-11T00:00:00"/>
    <d v="2025-04-15T00:00:00"/>
    <d v="2025-04-16T00:00:00"/>
    <s v="2025 04"/>
    <s v="Aguardando Liberação"/>
    <s v="2025 03"/>
    <s v="ENTREGUE"/>
    <d v="2025-03-24T00:00:00"/>
    <s v="-"/>
    <m/>
    <n v="0"/>
    <n v="0"/>
    <n v="0"/>
    <n v="0"/>
    <n v="0"/>
  </r>
  <r>
    <s v="BV"/>
    <s v="BV-"/>
    <s v="Pedido 1206"/>
    <d v="2025-03-16T00:00:00"/>
    <s v="-"/>
    <s v="-"/>
    <s v="-"/>
    <n v="1"/>
    <s v="CPF 1172"/>
    <s v="Nome 1172"/>
    <s v="Tel 1172"/>
    <s v="Cep 1172"/>
    <s v="Rua 1172"/>
    <s v="Comp 1172"/>
    <x v="0"/>
    <s v="16-4EDB-WMZF"/>
    <d v="2025-04-10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07"/>
    <d v="2025-03-16T00:00:00"/>
    <s v="-"/>
    <s v="-"/>
    <s v="-"/>
    <n v="1"/>
    <s v="CPF 1169"/>
    <s v="Nome 1169"/>
    <s v="Tel 1169"/>
    <s v="Cep 1169"/>
    <s v="Rua 1169"/>
    <s v="Comp 1169"/>
    <x v="15"/>
    <s v="HF-SI0F-XC7S"/>
    <d v="2025-04-17T00:00:00"/>
    <n v="44.9"/>
    <n v="44.9"/>
    <n v="6.2860000000000005"/>
    <n v="38.61"/>
    <n v="0"/>
    <n v="0"/>
    <n v="0"/>
    <n v="0"/>
    <n v="38.61"/>
    <n v="19.305"/>
    <d v="2025-04-24T00:00:00"/>
    <d v="2025-04-24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2"/>
    <s v="Pedido 1208"/>
    <d v="2025-03-16T00:00:00"/>
    <d v="2025-03-16T00:00:00"/>
    <s v="PedidoF1168"/>
    <s v="CódRastreio1166"/>
    <n v="1"/>
    <s v="CPF 1174"/>
    <s v="Nome 1174"/>
    <s v="Tel 1174"/>
    <s v="Cep 1174"/>
    <s v="Rua 1174"/>
    <s v="Comp 1174"/>
    <x v="3"/>
    <s v="IF-G2ZQ-79FO"/>
    <d v="2025-04-04T00:00:00"/>
    <n v="59.9"/>
    <n v="59.9"/>
    <n v="7.7869999999999999"/>
    <n v="52.11"/>
    <n v="13.98"/>
    <n v="0.82"/>
    <n v="0.39877104377104378"/>
    <n v="0"/>
    <n v="36.911228956228953"/>
    <n v="18.455614478114477"/>
    <d v="2025-04-11T00:00:00"/>
    <d v="2025-04-11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BV"/>
    <s v="BV45732"/>
    <s v="Pedido 1209"/>
    <d v="2025-03-16T00:00:00"/>
    <d v="2025-03-16T00:00:00"/>
    <s v="PedidoF1169"/>
    <s v="CódRastreio1167"/>
    <n v="1"/>
    <s v="CPF 1175"/>
    <s v="Nome 1175"/>
    <s v="Tel 1175"/>
    <s v="Cep 1175"/>
    <s v="Rua 1175"/>
    <s v="Comp 1175"/>
    <x v="12"/>
    <s v="U8-2VWS-OB6M"/>
    <d v="2025-04-04T00:00:00"/>
    <n v="50.45"/>
    <n v="50.45"/>
    <n v="6.5585000000000004"/>
    <n v="43.89"/>
    <n v="13.7"/>
    <n v="0.82"/>
    <n v="0.39877104377104378"/>
    <n v="0"/>
    <n v="28.971228956228956"/>
    <n v="14.485614478114478"/>
    <d v="2025-04-11T00:00:00"/>
    <d v="2025-04-11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BV"/>
    <s v="BV-"/>
    <s v="Pedido 1210"/>
    <d v="2025-03-16T00:00:00"/>
    <s v="-"/>
    <s v="-"/>
    <s v="-"/>
    <n v="1"/>
    <s v="CPF 1176"/>
    <s v="Nome 1176"/>
    <s v="Tel 1176"/>
    <s v="Cep 1176"/>
    <s v="Rua 1176"/>
    <s v="Comp 1176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32"/>
    <s v="Pedido 1211"/>
    <d v="2025-03-16T00:00:00"/>
    <d v="2025-03-16T00:00:00"/>
    <s v="PedidoF1170"/>
    <s v="CódRastreio1168"/>
    <n v="1"/>
    <s v="CPF 1177"/>
    <s v="Nome 1177"/>
    <s v="Tel 1177"/>
    <s v="Cep 1177"/>
    <s v="Rua 1177"/>
    <s v="Comp 1177"/>
    <x v="16"/>
    <s v="RB-W251-UXV2"/>
    <d v="2025-04-04T00:00:00"/>
    <n v="26.99"/>
    <n v="26.99"/>
    <n v="3.5086999999999997"/>
    <n v="23.48"/>
    <n v="10.199999999999999"/>
    <n v="0.82"/>
    <n v="0.39877104377104378"/>
    <n v="0"/>
    <n v="12.061228956228957"/>
    <n v="6.0306144781144786"/>
    <d v="2025-04-11T00:00:00"/>
    <d v="2025-04-11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2"/>
    <s v="Pedido 1212"/>
    <d v="2025-03-14T00:00:00"/>
    <d v="2025-03-16T00:00:00"/>
    <s v="PedidoF1171"/>
    <s v="CódRastreio1169"/>
    <n v="1"/>
    <s v="CPF 1178"/>
    <s v="Nome 1178"/>
    <s v="Tel 1178"/>
    <s v="Cep 1178"/>
    <s v="Rua 1178"/>
    <s v="Comp 1178"/>
    <x v="28"/>
    <s v="Z0-F6CI-18CL"/>
    <d v="2025-04-04T00:00:00"/>
    <n v="45.9"/>
    <n v="45.9"/>
    <n v="5.508"/>
    <n v="40.39"/>
    <n v="12.63"/>
    <n v="0.73"/>
    <n v="0.39877104377104378"/>
    <n v="0"/>
    <n v="26.631228956228956"/>
    <n v="13.315614478114478"/>
    <d v="2025-04-11T00:00:00"/>
    <d v="2025-04-11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MEI"/>
    <s v="MEI45732"/>
    <s v="Pedido 1213"/>
    <d v="2025-03-14T00:00:00"/>
    <d v="2025-03-16T00:00:00"/>
    <s v="PedidoF1172"/>
    <s v="CódRastreio1170"/>
    <n v="1"/>
    <s v="CPF 1179"/>
    <s v="Nome 1179"/>
    <s v="Tel 1179"/>
    <s v="Cep 1179"/>
    <s v="Rua 1179"/>
    <s v="Comp 1179"/>
    <x v="1"/>
    <s v="A4-5W51-K3HF"/>
    <d v="2025-04-10T00:00:00"/>
    <n v="30.95"/>
    <n v="30.95"/>
    <n v="4.3330000000000002"/>
    <n v="26.62"/>
    <n v="16.489999999999998"/>
    <n v="0.73"/>
    <n v="0.39877104377104378"/>
    <n v="0"/>
    <n v="9.0012289562289567"/>
    <n v="4.5006144781144783"/>
    <d v="2025-04-17T00:00:00"/>
    <d v="2025-04-17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MEI"/>
    <s v="MEI45733"/>
    <s v="Pedido 1214"/>
    <d v="2025-03-14T00:00:00"/>
    <d v="2025-03-17T00:00:00"/>
    <s v="PedidoF1173"/>
    <s v="CódRastreio1171"/>
    <n v="1"/>
    <s v="CPF 1180"/>
    <s v="Nome 1180"/>
    <s v="Tel 1180"/>
    <s v="Cep 1180"/>
    <s v="Rua 1180"/>
    <s v="Comp 1180"/>
    <x v="29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d v="2025-04-11T00:00:00"/>
    <d v="2025-04-11T00:00:00"/>
    <d v="2025-04-15T00:00:00"/>
    <d v="2025-04-1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45732"/>
    <s v="Pedido 1215"/>
    <d v="2025-03-15T00:00:00"/>
    <d v="2025-03-16T00:00:00"/>
    <s v="PedidoF1174"/>
    <s v="CódRastreio1172"/>
    <n v="1"/>
    <s v="CPF 1181"/>
    <s v="Nome 1181"/>
    <s v="Tel 1181"/>
    <s v="Cep 1181"/>
    <s v="Rua 1181"/>
    <s v="Comp 1181"/>
    <x v="1"/>
    <s v="A4-5W51-K3HF"/>
    <d v="2025-04-10T00:00:00"/>
    <n v="30.95"/>
    <n v="30.95"/>
    <n v="4.3330000000000002"/>
    <n v="26.62"/>
    <n v="16.489999999999998"/>
    <n v="0.73"/>
    <n v="0.39877104377104378"/>
    <n v="0"/>
    <n v="9.0012289562289567"/>
    <n v="4.5006144781144783"/>
    <d v="2025-04-17T00:00:00"/>
    <d v="2025-04-17T00:00:00"/>
    <d v="2025-05-02T00:00:00"/>
    <d v="2025-05-06T00:00:00"/>
    <s v="2025 04"/>
    <s v="Aguardando Liberação"/>
    <s v="2025 03"/>
    <s v="ENTREGUE"/>
    <d v="2025-04-05T00:00:00"/>
    <s v="-"/>
    <m/>
    <n v="0"/>
    <n v="0"/>
    <n v="0"/>
    <n v="0"/>
    <n v="0"/>
  </r>
  <r>
    <s v="MEI"/>
    <s v="MEI45732"/>
    <s v="Pedido 1216"/>
    <d v="2025-03-14T00:00:00"/>
    <d v="2025-03-16T00:00:00"/>
    <s v="PedidoF1175"/>
    <s v="CódRastreio1173"/>
    <n v="1"/>
    <s v="CPF 1182"/>
    <s v="Nome 1182"/>
    <s v="Tel 1182"/>
    <s v="Cep 1182"/>
    <s v="Rua 1182"/>
    <s v="Comp 1182"/>
    <x v="26"/>
    <s v="BG-DHRO-FAEE"/>
    <d v="2025-04-10T00:00:00"/>
    <n v="24.99"/>
    <n v="24.99"/>
    <n v="2.7488999999999999"/>
    <n v="22.24"/>
    <n v="11.49"/>
    <n v="0.73"/>
    <n v="0.39877104377104378"/>
    <n v="0"/>
    <n v="9.6212289562289541"/>
    <n v="4.8106144781144771"/>
    <d v="2025-04-17T00:00:00"/>
    <d v="2025-04-17T00:00:00"/>
    <d v="2025-05-02T00:00:00"/>
    <d v="2025-05-0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3"/>
    <s v="Pedido 1217"/>
    <d v="2025-03-15T00:00:00"/>
    <d v="2025-03-17T00:00:00"/>
    <s v="PedidoF1176"/>
    <s v="CódRastreio1174"/>
    <n v="1"/>
    <s v="CPF 1183"/>
    <s v="Nome 1183"/>
    <s v="Tel 1183"/>
    <s v="Cep 1183"/>
    <s v="Rua 1183"/>
    <s v="Comp 1183"/>
    <x v="1"/>
    <s v="A4-5W51-K3HF"/>
    <d v="2025-04-04T00:00:00"/>
    <n v="30.95"/>
    <n v="30.95"/>
    <n v="4.3330000000000002"/>
    <n v="26.62"/>
    <n v="12.82"/>
    <n v="0.46"/>
    <n v="0.39877104377104378"/>
    <n v="0"/>
    <n v="12.941228956228956"/>
    <n v="6.4706144781144781"/>
    <d v="2025-04-11T00:00:00"/>
    <d v="2025-04-11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4"/>
    <s v="Pedido 1218"/>
    <d v="2025-03-15T00:00:00"/>
    <d v="2025-03-18T00:00:00"/>
    <s v="PedidoF1177"/>
    <s v="CódRastreio1175"/>
    <n v="1"/>
    <s v="CPF 1184"/>
    <s v="Nome 1184"/>
    <s v="Tel 1184"/>
    <s v="Cep 1184"/>
    <s v="Rua 1184"/>
    <s v="Comp 1184"/>
    <x v="2"/>
    <s v="U1-D95R-HYRT"/>
    <d v="2025-04-02T00:00:00"/>
    <n v="21"/>
    <n v="21"/>
    <n v="2.9400000000000004"/>
    <n v="18.059999999999999"/>
    <n v="13.65"/>
    <n v="0.42"/>
    <n v="0.39877104377104378"/>
    <n v="0"/>
    <n v="3.5912289562289548"/>
    <n v="1.7956144781144774"/>
    <d v="2025-04-09T00:00:00"/>
    <d v="2025-04-09T00:00:00"/>
    <d v="2025-04-15T00:00:00"/>
    <d v="2025-04-16T00:00:00"/>
    <s v="2025 04"/>
    <s v="Aguardando Liberação"/>
    <s v="2025 03"/>
    <s v="ENTREGUE"/>
    <d v="2025-03-28T00:00:00"/>
    <s v="-"/>
    <m/>
    <n v="0"/>
    <n v="0"/>
    <n v="0"/>
    <n v="0"/>
    <n v="0"/>
  </r>
  <r>
    <s v="MEI"/>
    <s v="MEI45733"/>
    <s v="Pedido 1219"/>
    <d v="2025-03-15T00:00:00"/>
    <d v="2025-03-17T00:00:00"/>
    <s v="PedidoF1178"/>
    <s v="CódRastreio1176"/>
    <n v="1"/>
    <s v="CPF 1185"/>
    <s v="Nome 1185"/>
    <s v="Tel 1185"/>
    <s v="Cep 1185"/>
    <s v="Rua 1185"/>
    <s v="Comp 1185"/>
    <x v="29"/>
    <s v="RX-DD1P-P5U2"/>
    <d v="2025-04-10T00:00:00"/>
    <n v="24.8"/>
    <n v="24.8"/>
    <n v="2.976"/>
    <n v="21.82"/>
    <n v="10.16"/>
    <n v="0.46"/>
    <n v="0.39877104377104378"/>
    <n v="0"/>
    <n v="10.801228956228956"/>
    <n v="5.4006144781144778"/>
    <d v="2025-04-17T00:00:00"/>
    <d v="2025-04-17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3"/>
    <s v="Pedido 1220"/>
    <d v="2025-03-15T00:00:00"/>
    <d v="2025-03-17T00:00:00"/>
    <s v="PedidoF1179"/>
    <s v="CódRastreio1177"/>
    <n v="1"/>
    <s v="CPF 1186"/>
    <s v="Nome 1186"/>
    <s v="Tel 1186"/>
    <s v="Cep 1186"/>
    <s v="Rua 1186"/>
    <s v="Comp 1186"/>
    <x v="26"/>
    <s v="BG-DHRO-FAEE"/>
    <d v="2025-04-04T00:00:00"/>
    <n v="24.99"/>
    <n v="24.99"/>
    <n v="2.7488999999999999"/>
    <n v="22.24"/>
    <n v="10.16"/>
    <n v="0.46"/>
    <n v="0.39877104377104378"/>
    <n v="0"/>
    <n v="11.221228956228954"/>
    <n v="5.6106144781144769"/>
    <d v="2025-04-11T00:00:00"/>
    <d v="2025-04-11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MEI"/>
    <s v="MEI45733"/>
    <s v="Pedido 1221"/>
    <d v="2025-03-15T00:00:00"/>
    <d v="2025-03-17T00:00:00"/>
    <s v="PedidoF1180"/>
    <s v="CódRastreio1178"/>
    <n v="1"/>
    <s v="CPF 1187"/>
    <s v="Nome 1187"/>
    <s v="Tel 1187"/>
    <s v="Cep 1187"/>
    <s v="Rua 1187"/>
    <s v="Comp 1187"/>
    <x v="29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d v="2025-04-11T00:00:00"/>
    <d v="2025-04-11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4"/>
    <s v="Pedido 1222"/>
    <d v="2025-03-15T00:00:00"/>
    <d v="2025-03-18T00:00:00"/>
    <s v="PedidoF1181"/>
    <s v="CódRastreio1179"/>
    <n v="1"/>
    <s v="CPF 1188"/>
    <s v="Nome 1188"/>
    <s v="Tel 1188"/>
    <s v="Cep 1188"/>
    <s v="Rua 1188"/>
    <s v="Comp 1188"/>
    <x v="29"/>
    <s v="RX-DD1P-P5U2"/>
    <d v="2025-04-04T00:00:00"/>
    <n v="24.8"/>
    <n v="24.8"/>
    <n v="2.976"/>
    <n v="21.82"/>
    <n v="10.210000000000001"/>
    <n v="0.42"/>
    <n v="0.39877104377104378"/>
    <n v="0"/>
    <n v="10.791228956228956"/>
    <n v="5.3956144781144779"/>
    <d v="2025-04-11T00:00:00"/>
    <d v="2025-04-11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3"/>
    <s v="Pedido 1223"/>
    <d v="2025-03-15T00:00:00"/>
    <d v="2025-03-17T00:00:00"/>
    <s v="PedidoF1182"/>
    <s v="CódRastreio1180"/>
    <n v="1"/>
    <s v="CPF 1189"/>
    <s v="Nome 1189"/>
    <s v="Tel 1189"/>
    <s v="Cep 1189"/>
    <s v="Rua 1189"/>
    <s v="Comp 1189"/>
    <x v="2"/>
    <s v="U1-D95R-HYRT"/>
    <d v="2025-04-04T00:00:00"/>
    <n v="21"/>
    <n v="21"/>
    <n v="2.9400000000000004"/>
    <n v="18.059999999999999"/>
    <n v="13.78"/>
    <n v="0.46"/>
    <n v="0.39877104377104378"/>
    <n v="0"/>
    <n v="3.4212289562289548"/>
    <n v="1.7106144781144774"/>
    <d v="2025-04-11T00:00:00"/>
    <d v="2025-04-11T00:00:00"/>
    <d v="2025-04-15T00:00:00"/>
    <d v="2025-04-16T00:00:00"/>
    <s v="2025 04"/>
    <s v="Aguardando Liberação"/>
    <s v="2025 03"/>
    <s v="ENTREGUE"/>
    <d v="2025-03-28T00:00:00"/>
    <s v="-"/>
    <m/>
    <n v="0"/>
    <n v="0"/>
    <n v="0"/>
    <n v="0"/>
    <n v="0"/>
  </r>
  <r>
    <s v="MEI"/>
    <s v="MEI45734"/>
    <s v="Pedido 1224"/>
    <d v="2025-03-15T00:00:00"/>
    <d v="2025-03-18T00:00:00"/>
    <s v="PedidoF1183"/>
    <s v="CódRastreio1181"/>
    <n v="1"/>
    <s v="CPF 1190"/>
    <s v="Nome 1190"/>
    <s v="Tel 1190"/>
    <s v="Cep 1190"/>
    <s v="Rua 1190"/>
    <s v="Comp 1190"/>
    <x v="26"/>
    <s v="BG-DHRO-FAEE"/>
    <d v="2025-04-04T00:00:00"/>
    <n v="24.99"/>
    <n v="24.99"/>
    <n v="2.7488999999999999"/>
    <n v="22.24"/>
    <n v="15.82"/>
    <n v="0.42"/>
    <n v="0.39877104377104378"/>
    <n v="0"/>
    <n v="5.601228956228951"/>
    <n v="2.8006144781144755"/>
    <d v="2025-04-11T00:00:00"/>
    <d v="2025-04-11T00:00:00"/>
    <d v="2025-04-15T00:00:00"/>
    <d v="2025-04-1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33"/>
    <s v="Pedido 1225"/>
    <d v="2025-03-15T00:00:00"/>
    <d v="2025-03-17T00:00:00"/>
    <s v="PedidoF1184"/>
    <s v="CódRastreio1182"/>
    <n v="1"/>
    <s v="CPF 1191"/>
    <s v="Nome 1191"/>
    <s v="Tel 1191"/>
    <s v="Cep 1191"/>
    <s v="Rua 1191"/>
    <s v="Comp 1191"/>
    <x v="1"/>
    <s v="A4-5W51-K3HF"/>
    <d v="2025-04-10T00:00:00"/>
    <n v="30.95"/>
    <n v="30.95"/>
    <n v="4.3330000000000002"/>
    <n v="26.62"/>
    <n v="12.82"/>
    <n v="0.46"/>
    <n v="0.39877104377104378"/>
    <n v="0"/>
    <n v="12.941228956228956"/>
    <n v="6.4706144781144781"/>
    <d v="2025-04-17T00:00:00"/>
    <d v="2025-04-17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3"/>
    <s v="Pedido 1226"/>
    <d v="2025-03-15T00:00:00"/>
    <d v="2025-03-17T00:00:00"/>
    <s v="PedidoF1185"/>
    <s v="CódRastreio1183"/>
    <n v="1"/>
    <s v="CPF 1192"/>
    <s v="Nome 1192"/>
    <s v="Tel 1192"/>
    <s v="Cep 1192"/>
    <s v="Rua 1192"/>
    <s v="Comp 1192"/>
    <x v="2"/>
    <s v="U1-D95R-HYRT"/>
    <d v="2025-04-02T00:00:00"/>
    <n v="21"/>
    <n v="21"/>
    <n v="2.9400000000000004"/>
    <n v="18.059999999999999"/>
    <n v="13.78"/>
    <n v="0.46"/>
    <n v="0.39877104377104378"/>
    <n v="0"/>
    <n v="3.4212289562289548"/>
    <n v="1.7106144781144774"/>
    <d v="2025-04-09T00:00:00"/>
    <d v="2025-04-09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MEI"/>
    <s v="MEI45733"/>
    <s v="Pedido 1227"/>
    <d v="2025-03-16T00:00:00"/>
    <d v="2025-03-17T00:00:00"/>
    <s v="PedidoF1186"/>
    <s v="CódRastreio1184"/>
    <n v="1"/>
    <s v="CPF 1193"/>
    <s v="Nome 1193"/>
    <s v="Tel 1193"/>
    <s v="Cep 1193"/>
    <s v="Rua 1193"/>
    <s v="Comp 1193"/>
    <x v="1"/>
    <s v="A4-5W51-K3HF"/>
    <d v="2025-04-17T00:00:00"/>
    <n v="30.95"/>
    <n v="30.95"/>
    <n v="4.3330000000000002"/>
    <n v="26.62"/>
    <n v="0"/>
    <n v="0.46"/>
    <n v="0.39877104377104378"/>
    <n v="0"/>
    <n v="25.761228956228958"/>
    <n v="12.880614478114479"/>
    <d v="2025-04-24T00:00:00"/>
    <d v="2025-04-24T00:00:00"/>
    <d v="2025-05-02T00:00:00"/>
    <d v="2025-05-06T00:00:00"/>
    <s v="2025 04"/>
    <s v="Aguardando Liberação"/>
    <s v="2025 03"/>
    <s v="ENTREGUE"/>
    <d v="2025-04-28T00:00:00"/>
    <s v="-"/>
    <m/>
    <n v="0"/>
    <n v="0"/>
    <n v="0"/>
    <n v="0"/>
    <n v="0"/>
  </r>
  <r>
    <s v="MEI"/>
    <s v="MEI45733"/>
    <s v="Pedido 1228"/>
    <d v="2025-03-16T00:00:00"/>
    <d v="2025-03-17T00:00:00"/>
    <s v="PedidoF1187"/>
    <s v="CódRastreio1185"/>
    <n v="1"/>
    <s v="CPF 1194"/>
    <s v="Nome 1194"/>
    <s v="Tel 1194"/>
    <s v="Cep 1194"/>
    <s v="Rua 1194"/>
    <s v="Comp 1194"/>
    <x v="28"/>
    <s v="Z0-F6CI-18CL"/>
    <d v="2025-04-10T00:00:00"/>
    <n v="44.95"/>
    <n v="44.95"/>
    <n v="5.3940000000000001"/>
    <n v="39.56"/>
    <n v="10.16"/>
    <n v="0.46"/>
    <n v="0.39877104377104378"/>
    <n v="0"/>
    <n v="28.541228956228956"/>
    <n v="14.270614478114478"/>
    <d v="2025-04-17T00:00:00"/>
    <d v="2025-04-17T00:00:00"/>
    <d v="2025-05-02T00:00:00"/>
    <d v="2025-05-0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34"/>
    <s v="Pedido 1229"/>
    <d v="2025-03-16T00:00:00"/>
    <d v="2025-03-18T00:00:00"/>
    <s v="PedidoF1188"/>
    <s v="CódRastreio1186"/>
    <n v="1"/>
    <s v="CPF 1195"/>
    <s v="Nome 1195"/>
    <s v="Tel 1195"/>
    <s v="Cep 1195"/>
    <s v="Rua 1195"/>
    <s v="Comp 1195"/>
    <x v="29"/>
    <s v="RX-DD1P-P5U2"/>
    <d v="2025-04-10T00:00:00"/>
    <n v="24.8"/>
    <n v="24.8"/>
    <n v="2.976"/>
    <n v="21.82"/>
    <n v="10.210000000000001"/>
    <n v="0.42"/>
    <n v="0.39877104377104378"/>
    <n v="0"/>
    <n v="10.791228956228956"/>
    <n v="5.3956144781144779"/>
    <d v="2025-04-17T00:00:00"/>
    <d v="2025-04-17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45733"/>
    <s v="Pedido 1230"/>
    <d v="2025-03-16T00:00:00"/>
    <d v="2025-03-17T00:00:00"/>
    <s v="PedidoF1189"/>
    <s v="CódRastreio1187"/>
    <n v="1"/>
    <s v="CPF 1196"/>
    <s v="Nome 1196"/>
    <s v="Tel 1196"/>
    <s v="Cep 1196"/>
    <s v="Rua 1196"/>
    <s v="Comp 1196"/>
    <x v="26"/>
    <s v="BG-DHRO-FAEE"/>
    <d v="2025-04-04T00:00:00"/>
    <n v="24.99"/>
    <n v="24.99"/>
    <n v="2.7488999999999999"/>
    <n v="22.24"/>
    <n v="10.16"/>
    <n v="0.46"/>
    <n v="0.39877104377104378"/>
    <n v="0"/>
    <n v="11.221228956228954"/>
    <n v="5.6106144781144769"/>
    <d v="2025-04-11T00:00:00"/>
    <d v="2025-04-11T00:00:00"/>
    <d v="2025-04-15T00:00:00"/>
    <d v="2025-04-1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3"/>
    <s v="Pedido 1231"/>
    <d v="2025-03-16T00:00:00"/>
    <d v="2025-03-17T00:00:00"/>
    <s v="PedidoF1190"/>
    <s v="CódRastreio1188"/>
    <n v="1"/>
    <s v="CPF 1197"/>
    <s v="Nome 1197"/>
    <s v="Tel 1197"/>
    <s v="Cep 1197"/>
    <s v="Rua 1197"/>
    <s v="Comp 1197"/>
    <x v="10"/>
    <s v="WU-SS4J-LFOH"/>
    <d v="2025-04-10T00:00:00"/>
    <n v="65.599999999999994"/>
    <n v="65.599999999999994"/>
    <n v="8.5279999999999987"/>
    <n v="57.07"/>
    <n v="10.16"/>
    <n v="0.46"/>
    <n v="0.39877104377104378"/>
    <n v="0"/>
    <n v="46.051228956228954"/>
    <n v="23.025614478114477"/>
    <d v="2025-04-17T00:00:00"/>
    <d v="2025-04-17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3"/>
    <s v="Pedido 1232"/>
    <d v="2025-03-16T00:00:00"/>
    <d v="2025-03-17T00:00:00"/>
    <s v="PedidoF1191"/>
    <s v="CódRastreio1189"/>
    <n v="1"/>
    <s v="CPF 1198"/>
    <s v="Nome 1198"/>
    <s v="Tel 1198"/>
    <s v="Cep 1198"/>
    <s v="Rua 1198"/>
    <s v="Comp 1198"/>
    <x v="28"/>
    <s v="Z0-F6CI-18CL"/>
    <d v="2025-04-04T00:00:00"/>
    <n v="44.95"/>
    <n v="44.95"/>
    <n v="5.3940000000000001"/>
    <n v="39.56"/>
    <n v="10.16"/>
    <n v="0.46"/>
    <n v="0.39877104377104378"/>
    <n v="0"/>
    <n v="28.541228956228956"/>
    <n v="14.270614478114478"/>
    <d v="2025-04-11T00:00:00"/>
    <d v="2025-04-11T00:00:00"/>
    <d v="2025-04-15T00:00:00"/>
    <d v="2025-04-16T00:00:00"/>
    <s v="2025 04"/>
    <s v="Aguardando Liberação"/>
    <s v="2025 03"/>
    <s v="ENTREGUE"/>
    <d v="2025-04-02T00:00:00"/>
    <s v="-"/>
    <m/>
    <n v="0"/>
    <n v="0"/>
    <n v="0"/>
    <n v="0"/>
    <n v="0"/>
  </r>
  <r>
    <s v="GO"/>
    <s v="GO45732"/>
    <s v="Pedido 1233"/>
    <d v="2025-03-16T00:00:00"/>
    <d v="2025-03-16T00:00:00"/>
    <s v="PedidoF1192"/>
    <s v="CódRastreio1190"/>
    <n v="1"/>
    <s v="CPF 1199"/>
    <s v="Nome 1199"/>
    <s v="Tel 1199"/>
    <s v="Cep 1199"/>
    <s v="Rua 1199"/>
    <s v="Comp 1199"/>
    <x v="30"/>
    <s v="33-SVS5-1AWY"/>
    <d v="2025-04-10T00:00:00"/>
    <n v="67.599999999999994"/>
    <n v="67.599999999999994"/>
    <n v="10.139999999999999"/>
    <n v="57.46"/>
    <n v="23.92"/>
    <n v="0.28999999999999998"/>
    <n v="0.39877104377104378"/>
    <n v="0"/>
    <n v="32.851228956228951"/>
    <n v="32.851228956228951"/>
    <d v="2025-04-17T00:00:00"/>
    <d v="2025-04-17T00:00:00"/>
    <d v="2025-05-02T00:00:00"/>
    <d v="2025-05-06T00:00:00"/>
    <s v="2025 04"/>
    <s v="Aguardando Liberação"/>
    <s v="2025 03"/>
    <s v="ENTREGUE"/>
    <d v="2025-04-05T00:00:00"/>
    <s v="-"/>
    <m/>
    <n v="0"/>
    <n v="0"/>
    <n v="0"/>
    <n v="0"/>
    <n v="0"/>
  </r>
  <r>
    <s v="BV"/>
    <s v="BV45736"/>
    <s v="Pedido 1234"/>
    <d v="2025-03-16T00:00:00"/>
    <d v="2025-03-20T00:00:00"/>
    <s v="PedidoF1193"/>
    <s v="CódRastreio1191"/>
    <n v="1"/>
    <s v="CPF 1200"/>
    <s v="Nome 1200"/>
    <s v="Tel 1200"/>
    <s v="Cep 1200"/>
    <s v="Rua 1200"/>
    <s v="Comp 1200"/>
    <x v="12"/>
    <s v="U8-2VWS-OB6M"/>
    <d v="2025-04-04T00:00:00"/>
    <n v="50.45"/>
    <n v="50.45"/>
    <n v="6.5585000000000004"/>
    <n v="43.89"/>
    <n v="40"/>
    <n v="0.33"/>
    <n v="0.39877104377104378"/>
    <n v="0"/>
    <n v="3.1612289562289604"/>
    <n v="1.5806144781144802"/>
    <d v="2025-04-11T00:00:00"/>
    <d v="2025-04-11T00:00:00"/>
    <d v="2025-04-15T00:00:00"/>
    <d v="2025-04-16T00:00:00"/>
    <s v="2025 04"/>
    <s v="Aguardando Liberação"/>
    <s v="2025 03"/>
    <s v="ENTREGUE"/>
    <d v="2025-04-10T00:00:00"/>
    <s v="-"/>
    <m/>
    <n v="0"/>
    <n v="0"/>
    <n v="0"/>
    <n v="0"/>
    <n v="0"/>
  </r>
  <r>
    <s v="BV"/>
    <s v="BV45734"/>
    <s v="Pedido 1235"/>
    <d v="2025-03-16T00:00:00"/>
    <d v="2025-03-18T00:00:00"/>
    <s v="PedidoF1194"/>
    <s v="CódRastreio1192"/>
    <n v="1"/>
    <s v="CPF 1201"/>
    <s v="Nome 1201"/>
    <s v="Tel 1201"/>
    <s v="Cep 1201"/>
    <s v="Rua 1201"/>
    <s v="Comp 1201"/>
    <x v="16"/>
    <s v="RB-W251-UXV2"/>
    <d v="2025-04-04T00:00:00"/>
    <n v="26.99"/>
    <n v="26.99"/>
    <n v="3.5086999999999997"/>
    <n v="23.48"/>
    <n v="10.210000000000001"/>
    <n v="1.1499999999999999"/>
    <n v="0.39877104377104378"/>
    <n v="0"/>
    <n v="11.721228956228956"/>
    <n v="5.8606144781144778"/>
    <d v="2025-04-11T00:00:00"/>
    <d v="2025-04-11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BV"/>
    <s v="BV-"/>
    <s v="Pedido 1236"/>
    <d v="2025-03-16T00:00:00"/>
    <s v="-"/>
    <s v="-"/>
    <s v="-"/>
    <n v="1"/>
    <s v="CPF 1202"/>
    <s v="Nome 1202"/>
    <s v="Tel 1202"/>
    <s v="Cep 1202"/>
    <s v="Rua 1202"/>
    <s v="Comp 1202"/>
    <x v="15"/>
    <s v="HF-SI0F-XC7S"/>
    <d v="2025-04-04T00:00:00"/>
    <n v="44.9"/>
    <n v="44.9"/>
    <n v="6.2860000000000005"/>
    <n v="38.61"/>
    <n v="0"/>
    <n v="0"/>
    <n v="0"/>
    <n v="0"/>
    <n v="38.61"/>
    <n v="19.305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37"/>
    <d v="2025-03-16T00:00:00"/>
    <s v="-"/>
    <s v="-"/>
    <s v="-"/>
    <n v="1"/>
    <s v="CPF 1203"/>
    <s v="Nome 1203"/>
    <s v="Tel 1203"/>
    <s v="Cep 1203"/>
    <s v="Rua 1203"/>
    <s v="Comp 1203"/>
    <x v="15"/>
    <s v="HF-SI0F-XC7S"/>
    <d v="2025-04-10T00:00:00"/>
    <n v="44.9"/>
    <n v="44.9"/>
    <n v="6.2860000000000005"/>
    <n v="38.61"/>
    <n v="0"/>
    <n v="0"/>
    <n v="0"/>
    <n v="0"/>
    <n v="38.61"/>
    <n v="19.305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38"/>
    <d v="2025-03-16T00:00:00"/>
    <s v="-"/>
    <s v="-"/>
    <s v="-"/>
    <n v="1"/>
    <s v="CPF 1204"/>
    <s v="Nome 1204"/>
    <s v="Tel 1204"/>
    <s v="Cep 1204"/>
    <s v="Rua 1204"/>
    <s v="Comp 1204"/>
    <x v="15"/>
    <s v="HF-SI0F-XC7S"/>
    <d v="2025-04-10T00:00:00"/>
    <n v="44.9"/>
    <n v="44.9"/>
    <n v="6.2860000000000005"/>
    <n v="38.61"/>
    <n v="0"/>
    <n v="0"/>
    <n v="0"/>
    <n v="0"/>
    <n v="38.61"/>
    <n v="19.305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39"/>
    <d v="2025-03-16T00:00:00"/>
    <s v="-"/>
    <s v="-"/>
    <s v="-"/>
    <n v="1"/>
    <s v="CPF 1205"/>
    <s v="Nome 1205"/>
    <s v="Tel 1205"/>
    <s v="Cep 1205"/>
    <s v="Rua 1205"/>
    <s v="Comp 1205"/>
    <x v="15"/>
    <s v="HF-SI0F-XC7S"/>
    <d v="2025-04-10T00:00:00"/>
    <n v="44.9"/>
    <n v="44.9"/>
    <n v="6.2860000000000005"/>
    <n v="38.61"/>
    <n v="0"/>
    <n v="0"/>
    <n v="0"/>
    <n v="0"/>
    <n v="38.61"/>
    <n v="19.305"/>
    <d v="2025-04-17T00:00:00"/>
    <d v="2025-04-17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6"/>
    <s v="Pedido 1240"/>
    <d v="2025-03-16T00:00:00"/>
    <d v="2025-03-20T00:00:00"/>
    <s v="PedidoF1195"/>
    <s v="CódRastreio1193"/>
    <n v="1"/>
    <s v="CPF 1206"/>
    <s v="Nome 1206"/>
    <s v="Tel 1206"/>
    <s v="Cep 1206"/>
    <s v="Rua 1206"/>
    <s v="Comp 1206"/>
    <x v="5"/>
    <s v="P4-K63S-8KOM"/>
    <d v="2025-03-29T00:00:00"/>
    <n v="28.99"/>
    <n v="28.99"/>
    <n v="3.7686999999999999"/>
    <n v="25.22"/>
    <n v="14.8"/>
    <n v="0.33"/>
    <n v="0.39877104377104378"/>
    <n v="0"/>
    <n v="9.6912289562289544"/>
    <n v="4.8456144781144772"/>
    <d v="2025-04-05T00:00:00"/>
    <d v="2025-04-05T00:00:00"/>
    <d v="2025-04-15T00:00:00"/>
    <d v="2025-04-16T00:00:00"/>
    <s v="2025 04"/>
    <s v="Aguardando Liberação"/>
    <s v="2025 03"/>
    <s v="ENTREGUE"/>
    <d v="2025-03-25T00:00:00"/>
    <s v="-"/>
    <m/>
    <n v="0"/>
    <n v="0"/>
    <n v="0"/>
    <n v="0"/>
    <n v="0"/>
  </r>
  <r>
    <s v="BV"/>
    <s v="BV45734"/>
    <s v="Pedido 1241"/>
    <d v="2025-03-17T00:00:00"/>
    <d v="2025-03-18T00:00:00"/>
    <s v="PedidoF1196"/>
    <s v="CódRastreio1194"/>
    <n v="1"/>
    <s v="CPF 1207"/>
    <s v="Nome 1207"/>
    <s v="Tel 1207"/>
    <s v="Cep 1207"/>
    <s v="Rua 1207"/>
    <s v="Comp 1207"/>
    <x v="15"/>
    <s v="HF-SI0F-XC7S"/>
    <d v="2025-04-10T00:00:00"/>
    <n v="44.9"/>
    <n v="44.9"/>
    <n v="6.2860000000000005"/>
    <n v="38.61"/>
    <n v="0"/>
    <n v="1.1499999999999999"/>
    <n v="0.39877104377104378"/>
    <n v="0"/>
    <n v="37.061228956228959"/>
    <n v="18.530614478114479"/>
    <d v="2025-04-17T00:00:00"/>
    <d v="2025-04-17T00:00:00"/>
    <d v="2025-05-02T00:00:00"/>
    <d v="2025-05-06T00:00:00"/>
    <s v="2025 04"/>
    <s v="Aguardando Liberação"/>
    <s v="2025 03"/>
    <s v="ENTREGUE"/>
    <d v="2025-03-29T00:00:00"/>
    <s v="-"/>
    <m/>
    <n v="0"/>
    <n v="0"/>
    <n v="0"/>
    <n v="0"/>
    <n v="0"/>
  </r>
  <r>
    <s v="BV"/>
    <s v="BV45734"/>
    <s v="Pedido 1242"/>
    <d v="2025-03-17T00:00:00"/>
    <d v="2025-03-18T00:00:00"/>
    <s v="PedidoF1197"/>
    <s v="CódRastreio1195"/>
    <n v="1"/>
    <s v="CPF 1208"/>
    <s v="Nome 1208"/>
    <s v="Tel 1208"/>
    <s v="Cep 1208"/>
    <s v="Rua 1208"/>
    <s v="Comp 1208"/>
    <x v="15"/>
    <s v="HF-SI0F-XC7S"/>
    <d v="2025-04-10T00:00:00"/>
    <n v="44.9"/>
    <n v="44.9"/>
    <n v="6.2860000000000005"/>
    <n v="38.61"/>
    <n v="19.14"/>
    <n v="1.1499999999999999"/>
    <n v="0.39877104377104378"/>
    <n v="0"/>
    <n v="17.921228956228955"/>
    <n v="8.9606144781144774"/>
    <d v="2025-04-17T00:00:00"/>
    <d v="2025-04-17T00:00:00"/>
    <d v="2025-05-02T00:00:00"/>
    <d v="2025-05-06T00:00:00"/>
    <s v="2025 04"/>
    <s v="Aguardando Liberação"/>
    <s v="2025 03"/>
    <s v="ENTREGUE"/>
    <d v="2025-03-31T00:00:00"/>
    <s v="-"/>
    <m/>
    <n v="0"/>
    <n v="0"/>
    <n v="0"/>
    <n v="0"/>
    <n v="0"/>
  </r>
  <r>
    <s v="BV"/>
    <s v="BV45736"/>
    <s v="Pedido 1243"/>
    <d v="2025-03-17T00:00:00"/>
    <d v="2025-03-20T00:00:00"/>
    <s v="PedidoF1198"/>
    <s v="CódRastreio1196"/>
    <n v="1"/>
    <s v="CPF 1209"/>
    <s v="Nome 1209"/>
    <s v="Tel 1209"/>
    <s v="Cep 1209"/>
    <s v="Rua 1209"/>
    <s v="Comp 1209"/>
    <x v="5"/>
    <s v="P4-K63S-8KOM"/>
    <d v="2025-04-04T00:00:00"/>
    <n v="28.99"/>
    <n v="28.99"/>
    <n v="3.7686999999999999"/>
    <n v="25.22"/>
    <n v="14.8"/>
    <n v="0.33"/>
    <n v="0.39877104377104378"/>
    <n v="0"/>
    <n v="9.6912289562289544"/>
    <n v="4.8456144781144772"/>
    <d v="2025-04-11T00:00:00"/>
    <d v="2025-04-11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-"/>
    <s v="Pedido 1244"/>
    <d v="2025-03-17T00:00:00"/>
    <s v="-"/>
    <s v="-"/>
    <s v="-"/>
    <n v="1"/>
    <s v="CPF 1210"/>
    <s v="Nome 1210"/>
    <s v="Tel 1210"/>
    <s v="Cep 1210"/>
    <s v="Rua 1210"/>
    <s v="Comp 1210"/>
    <x v="0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8T00:00:00"/>
    <d v="2025-04-18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6"/>
    <s v="Pedido 1245"/>
    <d v="2025-03-17T00:00:00"/>
    <d v="2025-03-20T00:00:00"/>
    <s v="PedidoF1199"/>
    <s v="CódRastreio1197"/>
    <n v="1"/>
    <s v="CPF 1211"/>
    <s v="Nome 1211"/>
    <s v="Tel 1211"/>
    <s v="Cep 1211"/>
    <s v="Rua 1211"/>
    <s v="Comp 1211"/>
    <x v="5"/>
    <s v="P4-K63S-8KOM"/>
    <d v="2025-04-11T00:00:00"/>
    <n v="28.99"/>
    <n v="28.99"/>
    <n v="3.7686999999999999"/>
    <n v="25.22"/>
    <n v="14.8"/>
    <n v="0.33"/>
    <n v="0.39877104377104378"/>
    <n v="0"/>
    <n v="9.6912289562289544"/>
    <n v="4.8456144781144772"/>
    <d v="2025-04-18T00:00:00"/>
    <d v="2025-04-18T00:00:00"/>
    <d v="2025-05-02T00:00:00"/>
    <d v="2025-05-06T00:00:00"/>
    <s v="2025 04"/>
    <s v="Aguardando Liberação"/>
    <s v="2025 03"/>
    <s v="ENTREGUE"/>
    <d v="2025-03-29T00:00:00"/>
    <s v="-"/>
    <m/>
    <n v="0"/>
    <n v="0"/>
    <n v="0"/>
    <n v="0"/>
    <n v="0"/>
  </r>
  <r>
    <s v="BV"/>
    <s v="BV45736"/>
    <s v="Pedido 1246"/>
    <d v="2025-03-17T00:00:00"/>
    <d v="2025-03-20T00:00:00"/>
    <s v="PedidoF1200"/>
    <s v="CódRastreio1198"/>
    <n v="1"/>
    <s v="CPF 1212"/>
    <s v="Nome 1212"/>
    <s v="Tel 1212"/>
    <s v="Cep 1212"/>
    <s v="Rua 1212"/>
    <s v="Comp 1212"/>
    <x v="5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d v="2025-04-12T00:00:00"/>
    <d v="2025-04-12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BV"/>
    <s v="BV45734"/>
    <s v="Pedido 1247"/>
    <d v="2025-03-17T00:00:00"/>
    <d v="2025-03-18T00:00:00"/>
    <s v="PedidoF1201"/>
    <s v="CódRastreio1199"/>
    <n v="1"/>
    <s v="CPF 1213"/>
    <s v="Nome 1213"/>
    <s v="Tel 1213"/>
    <s v="Cep 1213"/>
    <s v="Rua 1213"/>
    <s v="Comp 1213"/>
    <x v="15"/>
    <s v="HF-SI0F-XC7S"/>
    <d v="2025-04-05T00:00:00"/>
    <n v="44.9"/>
    <n v="44.9"/>
    <n v="6.2860000000000005"/>
    <n v="38.61"/>
    <n v="0"/>
    <n v="1.1499999999999999"/>
    <n v="0.39877104377104378"/>
    <n v="0"/>
    <n v="37.061228956228959"/>
    <n v="18.530614478114479"/>
    <d v="2025-04-12T00:00:00"/>
    <d v="2025-04-12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-"/>
    <s v="Pedido 1248"/>
    <d v="2025-03-17T00:00:00"/>
    <s v="-"/>
    <s v="-"/>
    <s v="-"/>
    <n v="1"/>
    <s v="CPF 1214"/>
    <s v="Nome 1214"/>
    <s v="Tel 1214"/>
    <s v="Cep 1214"/>
    <s v="Rua 1214"/>
    <s v="Comp 1214"/>
    <x v="0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8T00:00:00"/>
    <d v="2025-04-18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6"/>
    <s v="Pedido 1249"/>
    <d v="2025-03-17T00:00:00"/>
    <d v="2025-03-20T00:00:00"/>
    <s v="PedidoF1202"/>
    <s v="CódRastreio1200"/>
    <n v="1"/>
    <s v="CPF 1215"/>
    <s v="Nome 1215"/>
    <s v="Tel 1215"/>
    <s v="Cep 1215"/>
    <s v="Rua 1215"/>
    <s v="Comp 1215"/>
    <x v="5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d v="2025-04-12T00:00:00"/>
    <d v="2025-04-12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BV"/>
    <s v="BV-"/>
    <s v="Pedido 1250"/>
    <d v="2025-03-17T00:00:00"/>
    <s v="-"/>
    <s v="-"/>
    <s v="-"/>
    <n v="1"/>
    <s v="CPF 1216"/>
    <s v="Nome 1216"/>
    <s v="Tel 1216"/>
    <s v="Cep 1216"/>
    <s v="Rua 1216"/>
    <s v="Comp 1216"/>
    <x v="0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8T00:00:00"/>
    <d v="2025-04-18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51"/>
    <d v="2025-03-17T00:00:00"/>
    <s v="-"/>
    <s v="-"/>
    <s v="-"/>
    <n v="1"/>
    <s v="CPF 1217"/>
    <s v="Nome 1217"/>
    <s v="Tel 1217"/>
    <s v="Cep 1217"/>
    <s v="Rua 1217"/>
    <s v="Comp 1217"/>
    <x v="0"/>
    <s v="16-4EDB-WMZF"/>
    <d v="2025-04-05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2T00:00:00"/>
    <d v="2025-04-12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36"/>
    <s v="Pedido 1252"/>
    <d v="2025-03-17T00:00:00"/>
    <d v="2025-03-20T00:00:00"/>
    <s v="PedidoF1203"/>
    <s v="CódRastreio1201"/>
    <n v="1"/>
    <s v="CPF 1218"/>
    <s v="Nome 1218"/>
    <s v="Tel 1218"/>
    <s v="Cep 1218"/>
    <s v="Rua 1218"/>
    <s v="Comp 1218"/>
    <x v="5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d v="2025-04-12T00:00:00"/>
    <d v="2025-04-12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-"/>
    <s v="Pedido 1253"/>
    <d v="2025-03-17T00:00:00"/>
    <s v="-"/>
    <s v="-"/>
    <s v="-"/>
    <n v="1"/>
    <s v="CPF 1219"/>
    <s v="Nome 1219"/>
    <s v="Tel 1219"/>
    <s v="Cep 1219"/>
    <s v="Rua 1219"/>
    <s v="Comp 1219"/>
    <x v="15"/>
    <s v="HF-SI0F-XC7S"/>
    <d v="2025-04-11T00:00:00"/>
    <n v="44.9"/>
    <n v="44.9"/>
    <n v="6.2860000000000005"/>
    <n v="38.61"/>
    <n v="0"/>
    <n v="0"/>
    <n v="0"/>
    <n v="0"/>
    <n v="38.61"/>
    <n v="19.305"/>
    <d v="2025-04-18T00:00:00"/>
    <d v="2025-04-18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54"/>
    <d v="2025-03-17T00:00:00"/>
    <s v="-"/>
    <s v="-"/>
    <s v="-"/>
    <n v="1"/>
    <s v="CPF 1220"/>
    <s v="Nome 1220"/>
    <s v="Tel 1220"/>
    <s v="Cep 1220"/>
    <s v="Rua 1220"/>
    <s v="Comp 1220"/>
    <x v="15"/>
    <s v="HF-SI0F-XC7S"/>
    <d v="2025-04-05T00:00:00"/>
    <n v="44.9"/>
    <n v="44.9"/>
    <n v="6.2860000000000005"/>
    <n v="38.61"/>
    <n v="0"/>
    <n v="0"/>
    <n v="0"/>
    <n v="0"/>
    <n v="38.61"/>
    <n v="19.305"/>
    <d v="2025-04-12T00:00:00"/>
    <d v="2025-04-12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45734"/>
    <s v="Pedido 1255"/>
    <d v="2025-03-17T00:00:00"/>
    <d v="2025-03-18T00:00:00"/>
    <s v="PedidoF1204"/>
    <s v="CódRastreio1202"/>
    <n v="1"/>
    <s v="CPF 1221"/>
    <s v="Nome 1221"/>
    <s v="Tel 1221"/>
    <s v="Cep 1221"/>
    <s v="Rua 1221"/>
    <s v="Comp 1221"/>
    <x v="5"/>
    <s v="P4-K63S-8KOM"/>
    <d v="2025-04-11T00:00:00"/>
    <n v="28.99"/>
    <n v="28.99"/>
    <n v="3.7686999999999999"/>
    <n v="25.22"/>
    <n v="15.99"/>
    <n v="1.1499999999999999"/>
    <n v="0.39877104377104378"/>
    <n v="0"/>
    <n v="7.6812289562289529"/>
    <n v="3.8406144781144764"/>
    <d v="2025-04-18T00:00:00"/>
    <d v="2025-04-18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BV"/>
    <s v="BV45736"/>
    <s v="Pedido 1256"/>
    <d v="2025-03-17T00:00:00"/>
    <d v="2025-03-20T00:00:00"/>
    <s v="PedidoF1205"/>
    <s v="CódRastreio1203"/>
    <n v="1"/>
    <s v="CPF 1222"/>
    <s v="Nome 1222"/>
    <s v="Tel 1222"/>
    <s v="Cep 1222"/>
    <s v="Rua 1222"/>
    <s v="Comp 1222"/>
    <x v="5"/>
    <s v="P4-K63S-8KOM"/>
    <d v="2025-04-03T00:00:00"/>
    <n v="28.99"/>
    <n v="28.99"/>
    <n v="3.7686999999999999"/>
    <n v="25.22"/>
    <n v="14.8"/>
    <n v="0.33"/>
    <n v="0.39877104377104378"/>
    <n v="0"/>
    <n v="9.6912289562289544"/>
    <n v="4.8456144781144772"/>
    <d v="2025-04-10T00:00:00"/>
    <d v="2025-04-10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BV"/>
    <s v="BV45736"/>
    <s v="Pedido 1257"/>
    <d v="2025-03-17T00:00:00"/>
    <d v="2025-03-20T00:00:00"/>
    <s v="PedidoF1206"/>
    <s v="CódRastreio1204"/>
    <n v="1"/>
    <s v="CPF 1223"/>
    <s v="Nome 1223"/>
    <s v="Tel 1223"/>
    <s v="Cep 1223"/>
    <s v="Rua 1223"/>
    <s v="Comp 1223"/>
    <x v="5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d v="2025-04-12T00:00:00"/>
    <d v="2025-04-12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-"/>
    <s v="Pedido 1258"/>
    <d v="2025-03-17T00:00:00"/>
    <s v="-"/>
    <s v="-"/>
    <s v="-"/>
    <n v="1"/>
    <s v="CPF 1224"/>
    <s v="Nome 1224"/>
    <s v="Tel 1224"/>
    <s v="Cep 1224"/>
    <s v="Rua 1224"/>
    <s v="Comp 1224"/>
    <x v="0"/>
    <s v="16-4EDB-WMZF"/>
    <d v="2025-04-05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2T00:00:00"/>
    <d v="2025-04-12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59"/>
    <d v="2025-03-17T00:00:00"/>
    <s v="-"/>
    <s v="-"/>
    <s v="-"/>
    <n v="1"/>
    <s v="CPF 1225"/>
    <s v="Nome 1225"/>
    <s v="Tel 1225"/>
    <s v="Cep 1225"/>
    <s v="Rua 1225"/>
    <s v="Comp 1225"/>
    <x v="0"/>
    <s v="16-4EDB-WMZF"/>
    <d v="2025-04-05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2T00:00:00"/>
    <d v="2025-04-12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BV"/>
    <s v="BV-"/>
    <s v="Pedido 1260"/>
    <d v="2025-03-17T00:00:00"/>
    <s v="-"/>
    <s v="-"/>
    <s v="-"/>
    <n v="1"/>
    <s v="CPF 1226"/>
    <s v="Nome 1226"/>
    <s v="Tel 1226"/>
    <s v="Cep 1226"/>
    <s v="Rua 1226"/>
    <s v="Comp 1226"/>
    <x v="0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d v="2025-04-18T00:00:00"/>
    <d v="2025-04-18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BV"/>
    <s v="BV45734"/>
    <s v="Pedido 1261"/>
    <d v="2025-03-17T00:00:00"/>
    <d v="2025-03-18T00:00:00"/>
    <s v="PedidoF1207"/>
    <s v="CódRastreio1205"/>
    <n v="1"/>
    <s v="CPF 1227"/>
    <s v="Nome 1227"/>
    <s v="Tel 1227"/>
    <s v="Cep 1227"/>
    <s v="Rua 1227"/>
    <s v="Comp 1227"/>
    <x v="12"/>
    <s v="U8-2VWS-OB6M"/>
    <d v="2025-04-11T00:00:00"/>
    <n v="50.45"/>
    <n v="50.45"/>
    <n v="6.5585000000000004"/>
    <n v="43.89"/>
    <n v="0"/>
    <n v="1.1499999999999999"/>
    <n v="0.39877104377104378"/>
    <n v="0"/>
    <n v="42.34122895622896"/>
    <n v="21.17061447811448"/>
    <d v="2025-04-18T00:00:00"/>
    <d v="2025-04-18T00:00:00"/>
    <d v="2025-05-02T00:00:00"/>
    <d v="2025-05-06T00:00:00"/>
    <s v="2025 04"/>
    <s v="Aguardando Liberação"/>
    <s v="2025 03"/>
    <s v="ENTREGUE"/>
    <d v="2025-04-22T00:00:00"/>
    <s v="-"/>
    <m/>
    <n v="0"/>
    <n v="0"/>
    <n v="0"/>
    <n v="0"/>
    <n v="0"/>
  </r>
  <r>
    <s v="BV"/>
    <s v="BV45734"/>
    <s v="Pedido 1262"/>
    <d v="2025-03-17T00:00:00"/>
    <d v="2025-03-18T00:00:00"/>
    <s v="PedidoF1208"/>
    <s v="CódRastreio1206"/>
    <n v="1"/>
    <s v="CPF 1228"/>
    <s v="Nome 1228"/>
    <s v="Tel 1228"/>
    <s v="Cep 1228"/>
    <s v="Rua 1228"/>
    <s v="Comp 1228"/>
    <x v="16"/>
    <s v="RB-W251-UXV2"/>
    <d v="2025-04-05T00:00:00"/>
    <n v="26.99"/>
    <n v="26.99"/>
    <n v="3.5086999999999997"/>
    <n v="23.48"/>
    <n v="10.210000000000001"/>
    <n v="1.1499999999999999"/>
    <n v="0.39877104377104378"/>
    <n v="0"/>
    <n v="11.721228956228956"/>
    <n v="5.8606144781144778"/>
    <d v="2025-04-12T00:00:00"/>
    <d v="2025-04-12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BV"/>
    <s v="BV45736"/>
    <s v="Pedido 1263"/>
    <d v="2025-03-17T00:00:00"/>
    <d v="2025-03-20T00:00:00"/>
    <s v="PedidoF1209"/>
    <s v="CódRastreio1207"/>
    <n v="1"/>
    <s v="CPF 1229"/>
    <s v="Nome 1229"/>
    <s v="Tel 1229"/>
    <s v="Cep 1229"/>
    <s v="Rua 1229"/>
    <s v="Comp 1229"/>
    <x v="5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d v="2025-04-12T00:00:00"/>
    <d v="2025-04-12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MEI"/>
    <s v="MEI45734"/>
    <s v="Pedido 1264"/>
    <d v="2025-03-16T00:00:00"/>
    <d v="2025-03-18T00:00:00"/>
    <s v="PedidoF1210"/>
    <s v="CódRastreio1208"/>
    <n v="1"/>
    <s v="CPF 1230"/>
    <s v="Nome 1230"/>
    <s v="Tel 1230"/>
    <s v="Cep 1230"/>
    <s v="Rua 1230"/>
    <s v="Comp 1230"/>
    <x v="29"/>
    <s v="RX-DD1P-P5U2"/>
    <d v="2025-04-10T00:00:00"/>
    <n v="24.8"/>
    <n v="24.8"/>
    <n v="2.976"/>
    <n v="21.82"/>
    <n v="10.210000000000001"/>
    <n v="0.42"/>
    <n v="0.39877104377104378"/>
    <n v="0"/>
    <n v="10.791228956228956"/>
    <n v="5.3956144781144779"/>
    <d v="2025-04-17T00:00:00"/>
    <d v="2025-04-17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MEI"/>
    <s v="MEI45734"/>
    <s v="Pedido 1265"/>
    <d v="2025-03-16T00:00:00"/>
    <d v="2025-03-18T00:00:00"/>
    <s v="PedidoF1211"/>
    <s v="CódRastreio1209"/>
    <n v="1"/>
    <s v="CPF 1231"/>
    <s v="Nome 1231"/>
    <s v="Tel 1231"/>
    <s v="Cep 1231"/>
    <s v="Rua 1231"/>
    <s v="Comp 1231"/>
    <x v="26"/>
    <s v="BG-DHRO-FAEE"/>
    <d v="2025-04-10T00:00:00"/>
    <n v="24.99"/>
    <n v="24.99"/>
    <n v="2.7488999999999999"/>
    <n v="22.24"/>
    <n v="10.15"/>
    <n v="0.42"/>
    <n v="0.39877104377104378"/>
    <n v="0"/>
    <n v="11.271228956228954"/>
    <n v="5.6356144781144772"/>
    <d v="2025-04-17T00:00:00"/>
    <d v="2025-04-17T00:00:00"/>
    <d v="2025-05-02T00:00:00"/>
    <d v="2025-05-0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6"/>
    <s v="Pedido 1266"/>
    <d v="2025-03-16T00:00:00"/>
    <d v="2025-03-20T00:00:00"/>
    <s v="PedidoF1212"/>
    <s v="CódRastreio1210"/>
    <n v="1"/>
    <s v="CPF 1232"/>
    <s v="Nome 1232"/>
    <s v="Tel 1232"/>
    <s v="Cep 1232"/>
    <s v="Rua 1232"/>
    <s v="Comp 1232"/>
    <x v="29"/>
    <s v="RX-DD1P-P5U2"/>
    <d v="2025-04-10T00:00:00"/>
    <n v="24.8"/>
    <n v="24.8"/>
    <n v="2.976"/>
    <n v="21.82"/>
    <n v="10.54"/>
    <n v="0.47"/>
    <n v="0.39877104377104378"/>
    <n v="0"/>
    <n v="10.411228956228957"/>
    <n v="5.2056144781144784"/>
    <d v="2025-04-17T00:00:00"/>
    <d v="2025-04-17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45736"/>
    <s v="Pedido 1267"/>
    <d v="2025-03-16T00:00:00"/>
    <d v="2025-03-20T00:00:00"/>
    <s v="PedidoF1213"/>
    <s v="CódRastreio1211"/>
    <n v="1"/>
    <s v="CPF 1233"/>
    <s v="Nome 1233"/>
    <s v="Tel 1233"/>
    <s v="Cep 1233"/>
    <s v="Rua 1233"/>
    <s v="Comp 1233"/>
    <x v="2"/>
    <s v="U1-D95R-HYRT"/>
    <d v="2025-04-04T00:00:00"/>
    <n v="21"/>
    <n v="21"/>
    <n v="2.9400000000000004"/>
    <n v="18.059999999999999"/>
    <n v="16.190000000000001"/>
    <n v="0.47"/>
    <n v="0.39877104377104378"/>
    <n v="0"/>
    <n v="1.0012289562289531"/>
    <n v="0.50061447811447657"/>
    <d v="2025-04-11T00:00:00"/>
    <d v="2025-04-11T00:00:00"/>
    <d v="2025-04-15T00:00:00"/>
    <d v="2025-04-1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33"/>
    <s v="Pedido 1268"/>
    <d v="2025-03-16T00:00:00"/>
    <d v="2025-03-17T00:00:00"/>
    <s v="PedidoF1214"/>
    <s v="CódRastreio1212"/>
    <n v="1"/>
    <s v="CPF 1234"/>
    <s v="Nome 1234"/>
    <s v="Tel 1234"/>
    <s v="Cep 1234"/>
    <s v="Rua 1234"/>
    <s v="Comp 1234"/>
    <x v="29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d v="2025-04-11T00:00:00"/>
    <d v="2025-04-11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-"/>
    <s v="Pedido 1269"/>
    <d v="2025-03-16T00:00:00"/>
    <s v="-"/>
    <s v="-"/>
    <s v="-"/>
    <n v="1"/>
    <s v="CPF 1235"/>
    <s v="Nome 1235"/>
    <s v="Tel 1235"/>
    <s v="Cep 1235"/>
    <s v="Rua 1235"/>
    <s v="Comp 1235"/>
    <x v="29"/>
    <s v="RX-DD1P-P5U2"/>
    <d v="2025-04-04T00:00:00"/>
    <n v="24.8"/>
    <n v="24.8"/>
    <n v="2.976"/>
    <n v="21.82"/>
    <n v="0"/>
    <n v="0"/>
    <n v="0"/>
    <n v="0"/>
    <n v="21.82"/>
    <n v="10.91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MEI"/>
    <s v="MEI-"/>
    <s v="Pedido 1270"/>
    <d v="2025-03-16T00:00:00"/>
    <s v="-"/>
    <s v="-"/>
    <s v="-"/>
    <n v="1"/>
    <s v="CPF 1236"/>
    <s v="Nome 1236"/>
    <s v="Tel 1236"/>
    <s v="Cep 1236"/>
    <s v="Rua 1236"/>
    <s v="Comp 1236"/>
    <x v="29"/>
    <s v="RX-DD1P-P5U2"/>
    <d v="2025-04-04T00:00:00"/>
    <n v="24.8"/>
    <n v="24.8"/>
    <n v="2.976"/>
    <n v="21.82"/>
    <n v="0"/>
    <n v="0"/>
    <n v="0"/>
    <n v="0"/>
    <n v="21.82"/>
    <n v="10.91"/>
    <d v="2025-04-11T00:00:00"/>
    <d v="2025-04-11T00:00:00"/>
    <d v="2025-04-15T00:00:00"/>
    <d v="2025-04-16T00:00:00"/>
    <s v="2025 04"/>
    <s v="Aguardando Liberação"/>
    <s v="- -"/>
    <s v="-"/>
    <s v="-"/>
    <s v="-"/>
    <m/>
    <n v="0"/>
    <n v="0"/>
    <n v="0"/>
    <n v="0"/>
    <n v="0"/>
  </r>
  <r>
    <s v="MEI"/>
    <s v="MEI45733"/>
    <s v="Pedido 1271"/>
    <d v="2025-03-16T00:00:00"/>
    <d v="2025-03-17T00:00:00"/>
    <s v="PedidoF1215"/>
    <s v="CódRastreio1213"/>
    <n v="1"/>
    <s v="CPF 1237"/>
    <s v="Nome 1237"/>
    <s v="Tel 1237"/>
    <s v="Cep 1237"/>
    <s v="Rua 1237"/>
    <s v="Comp 1237"/>
    <x v="29"/>
    <s v="RX-DD1P-P5U2"/>
    <d v="2025-04-10T00:00:00"/>
    <n v="24.8"/>
    <n v="24.8"/>
    <n v="2.976"/>
    <n v="21.82"/>
    <n v="10.16"/>
    <n v="0.46"/>
    <n v="0.39877104377104378"/>
    <n v="0"/>
    <n v="10.801228956228956"/>
    <n v="5.4006144781144778"/>
    <d v="2025-04-17T00:00:00"/>
    <d v="2025-04-17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6"/>
    <s v="Pedido 1272"/>
    <d v="2025-03-16T00:00:00"/>
    <d v="2025-03-20T00:00:00"/>
    <s v="PedidoF1216"/>
    <s v="CódRastreio1214"/>
    <n v="1"/>
    <s v="CPF 1238"/>
    <s v="Nome 1238"/>
    <s v="Tel 1238"/>
    <s v="Cep 1238"/>
    <s v="Rua 1238"/>
    <s v="Comp 1238"/>
    <x v="29"/>
    <s v="RX-DD1P-P5U2"/>
    <d v="2025-04-02T00:00:00"/>
    <n v="24.8"/>
    <n v="24.8"/>
    <n v="2.976"/>
    <n v="21.82"/>
    <n v="10.19"/>
    <n v="0.47"/>
    <n v="0.39877104377104378"/>
    <n v="0"/>
    <n v="10.761228956228956"/>
    <n v="5.3806144781144782"/>
    <d v="2025-04-09T00:00:00"/>
    <d v="2025-04-09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MEI"/>
    <s v="MEI45737"/>
    <s v="Pedido 1273"/>
    <d v="2025-03-17T00:00:00"/>
    <d v="2025-03-21T00:00:00"/>
    <s v="PedidoF1217"/>
    <s v="CódRastreio1215"/>
    <n v="1"/>
    <s v="CPF 1239"/>
    <s v="Nome 1239"/>
    <s v="Tel 1239"/>
    <s v="Cep 1239"/>
    <s v="Rua 1239"/>
    <s v="Comp 1239"/>
    <x v="29"/>
    <s v="RX-DD1P-P5U2"/>
    <d v="2025-04-10T00:00:00"/>
    <n v="24.8"/>
    <n v="24.8"/>
    <n v="2.976"/>
    <n v="21.82"/>
    <n v="10.58"/>
    <n v="0.2"/>
    <n v="0.39877104377104378"/>
    <n v="0"/>
    <n v="10.641228956228957"/>
    <n v="5.3206144781144786"/>
    <d v="2025-04-17T00:00:00"/>
    <d v="2025-04-17T00:00:00"/>
    <d v="2025-05-02T00:00:00"/>
    <d v="2025-05-06T00:00:00"/>
    <s v="2025 04"/>
    <s v="Aguardando Liberação"/>
    <s v="2025 03"/>
    <s v="ENTREGUE"/>
    <d v="2025-04-15T00:00:00"/>
    <s v="-"/>
    <m/>
    <n v="0"/>
    <n v="0"/>
    <n v="0"/>
    <n v="0"/>
    <n v="0"/>
  </r>
  <r>
    <s v="MEI"/>
    <s v="MEI45737"/>
    <s v="Pedido 1274"/>
    <d v="2025-03-17T00:00:00"/>
    <d v="2025-03-21T00:00:00"/>
    <s v="PedidoF1218"/>
    <s v="CódRastreio1216"/>
    <n v="1"/>
    <s v="CPF 1240"/>
    <s v="Nome 1240"/>
    <s v="Tel 1240"/>
    <s v="Cep 1240"/>
    <s v="Rua 1240"/>
    <s v="Comp 1240"/>
    <x v="29"/>
    <s v="RX-DD1P-P5U2"/>
    <d v="2025-04-04T00:00:00"/>
    <n v="24.8"/>
    <n v="24.8"/>
    <n v="2.976"/>
    <n v="21.82"/>
    <n v="10.17"/>
    <n v="0.2"/>
    <n v="0.39877104377104378"/>
    <n v="0"/>
    <n v="11.051228956228957"/>
    <n v="5.5256144781144787"/>
    <d v="2025-04-11T00:00:00"/>
    <d v="2025-04-11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33"/>
    <s v="Pedido 1275"/>
    <d v="2025-03-17T00:00:00"/>
    <d v="2025-03-17T00:00:00"/>
    <s v="PedidoF1219"/>
    <s v="CódRastreio1217"/>
    <n v="1"/>
    <s v="CPF 1241"/>
    <s v="Nome 1241"/>
    <s v="Tel 1241"/>
    <s v="Cep 1241"/>
    <s v="Rua 1241"/>
    <s v="Comp 1241"/>
    <x v="29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d v="2025-04-11T00:00:00"/>
    <d v="2025-04-11T00:00:00"/>
    <d v="2025-04-15T00:00:00"/>
    <d v="2025-04-16T00:00:00"/>
    <s v="2025 04"/>
    <s v="Aguardando Liberação"/>
    <s v="2025 03"/>
    <s v="ENTREGUE"/>
    <d v="2025-04-05T00:00:00"/>
    <s v="-"/>
    <m/>
    <n v="0"/>
    <n v="0"/>
    <n v="0"/>
    <n v="0"/>
    <n v="0"/>
  </r>
  <r>
    <s v="MEI"/>
    <s v="MEI45733"/>
    <s v="Pedido 1276"/>
    <d v="2025-03-17T00:00:00"/>
    <d v="2025-03-17T00:00:00"/>
    <s v="PedidoF1220"/>
    <s v="CódRastreio1218"/>
    <n v="1"/>
    <s v="CPF 1242"/>
    <s v="Nome 1242"/>
    <s v="Tel 1242"/>
    <s v="Cep 1242"/>
    <s v="Rua 1242"/>
    <s v="Comp 1242"/>
    <x v="29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d v="2025-04-11T00:00:00"/>
    <d v="2025-04-11T00:00:00"/>
    <d v="2025-04-15T00:00:00"/>
    <d v="2025-04-1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7"/>
    <s v="Pedido 1277"/>
    <d v="2025-03-17T00:00:00"/>
    <d v="2025-03-21T00:00:00"/>
    <s v="PedidoF1221"/>
    <s v="CódRastreio1219"/>
    <n v="1"/>
    <s v="CPF 1243"/>
    <s v="Nome 1243"/>
    <s v="Tel 1243"/>
    <s v="Cep 1243"/>
    <s v="Rua 1243"/>
    <s v="Comp 1243"/>
    <x v="29"/>
    <s v="RX-DD1P-P5U2"/>
    <d v="2025-04-10T00:00:00"/>
    <n v="24.8"/>
    <n v="24.8"/>
    <n v="2.976"/>
    <n v="21.82"/>
    <n v="10.17"/>
    <n v="0.2"/>
    <n v="0.39877104377104378"/>
    <n v="0"/>
    <n v="11.051228956228957"/>
    <n v="5.5256144781144787"/>
    <d v="2025-04-17T00:00:00"/>
    <d v="2025-04-17T00:00:00"/>
    <d v="2025-05-02T00:00:00"/>
    <d v="2025-05-0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7"/>
    <s v="Pedido 1278"/>
    <d v="2025-03-17T00:00:00"/>
    <d v="2025-03-21T00:00:00"/>
    <s v="PedidoF1222"/>
    <s v="CódRastreio1220"/>
    <n v="1"/>
    <s v="CPF 1244"/>
    <s v="Nome 1244"/>
    <s v="Tel 1244"/>
    <s v="Cep 1244"/>
    <s v="Rua 1244"/>
    <s v="Comp 1244"/>
    <x v="29"/>
    <s v="RX-DD1P-P5U2"/>
    <d v="2025-04-04T00:00:00"/>
    <n v="24.8"/>
    <n v="24.8"/>
    <n v="2.976"/>
    <n v="21.82"/>
    <n v="10.17"/>
    <n v="0.2"/>
    <n v="0.39877104377104378"/>
    <n v="0"/>
    <n v="11.051228956228957"/>
    <n v="5.5256144781144787"/>
    <d v="2025-04-11T00:00:00"/>
    <d v="2025-04-11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MEI"/>
    <s v="MEI45737"/>
    <s v="Pedido 1279"/>
    <d v="2025-03-17T00:00:00"/>
    <d v="2025-03-21T00:00:00"/>
    <s v="PedidoF1223"/>
    <s v="CódRastreio1221"/>
    <n v="1"/>
    <s v="CPF 1245"/>
    <s v="Nome 1245"/>
    <s v="Tel 1245"/>
    <s v="Cep 1245"/>
    <s v="Rua 1245"/>
    <s v="Comp 1245"/>
    <x v="29"/>
    <s v="RX-DD1P-P5U2"/>
    <d v="2025-04-02T00:00:00"/>
    <n v="24.8"/>
    <n v="24.8"/>
    <n v="2.976"/>
    <n v="21.82"/>
    <n v="10.17"/>
    <n v="0.2"/>
    <n v="0.39877104377104378"/>
    <n v="0"/>
    <n v="11.051228956228957"/>
    <n v="5.5256144781144787"/>
    <d v="2025-04-09T00:00:00"/>
    <d v="2025-04-09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3"/>
    <s v="Pedido 1280"/>
    <d v="2025-03-17T00:00:00"/>
    <d v="2025-03-17T00:00:00"/>
    <s v="PedidoF1224"/>
    <s v="CódRastreio1222"/>
    <n v="1"/>
    <s v="CPF 1246"/>
    <s v="Nome 1246"/>
    <s v="Tel 1246"/>
    <s v="Cep 1246"/>
    <s v="Rua 1246"/>
    <s v="Comp 1246"/>
    <x v="29"/>
    <s v="RX-DD1P-P5U2"/>
    <d v="2025-04-10T00:00:00"/>
    <n v="24.8"/>
    <n v="24.8"/>
    <n v="2.976"/>
    <n v="21.82"/>
    <n v="10.16"/>
    <n v="0.46"/>
    <n v="0.39877104377104378"/>
    <n v="0"/>
    <n v="10.801228956228956"/>
    <n v="5.4006144781144778"/>
    <d v="2025-04-17T00:00:00"/>
    <d v="2025-04-17T00:00:00"/>
    <d v="2025-05-02T00:00:00"/>
    <d v="2025-05-06T00:00:00"/>
    <s v="2025 04"/>
    <s v="Aguardando Liberação"/>
    <s v="2025 03"/>
    <s v="ENTREGUE"/>
    <d v="2025-04-10T00:00:00"/>
    <s v="-"/>
    <m/>
    <n v="0"/>
    <n v="0"/>
    <n v="0"/>
    <n v="0"/>
    <n v="0"/>
  </r>
  <r>
    <s v="MEI"/>
    <s v="MEI45737"/>
    <s v="Pedido 1281"/>
    <d v="2025-03-17T00:00:00"/>
    <d v="2025-03-21T00:00:00"/>
    <s v="PedidoF1225"/>
    <s v="CódRastreio1223"/>
    <n v="1"/>
    <s v="CPF 1247"/>
    <s v="Nome 1247"/>
    <s v="Tel 1247"/>
    <s v="Cep 1247"/>
    <s v="Rua 1247"/>
    <s v="Comp 1247"/>
    <x v="29"/>
    <s v="RX-DD1P-P5U2"/>
    <d v="2025-04-10T00:00:00"/>
    <n v="24.8"/>
    <n v="24.8"/>
    <n v="2.976"/>
    <n v="21.82"/>
    <n v="10.17"/>
    <n v="0.2"/>
    <n v="0.39877104377104378"/>
    <n v="0"/>
    <n v="11.051228956228957"/>
    <n v="5.5256144781144787"/>
    <d v="2025-04-17T00:00:00"/>
    <d v="2025-04-17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45737"/>
    <s v="Pedido 1282"/>
    <d v="2025-03-17T00:00:00"/>
    <d v="2025-03-21T00:00:00"/>
    <s v="PedidoF1226"/>
    <s v="CódRastreio1224"/>
    <n v="1"/>
    <s v="CPF 1248"/>
    <s v="Nome 1248"/>
    <s v="Tel 1248"/>
    <s v="Cep 1248"/>
    <s v="Rua 1248"/>
    <s v="Comp 1248"/>
    <x v="29"/>
    <s v="RX-DD1P-P5U2"/>
    <d v="2025-04-11T00:00:00"/>
    <n v="24.8"/>
    <n v="24.8"/>
    <n v="2.976"/>
    <n v="21.82"/>
    <n v="10.17"/>
    <n v="0.2"/>
    <n v="0.39877104377104378"/>
    <n v="0"/>
    <n v="11.051228956228957"/>
    <n v="5.5256144781144787"/>
    <d v="2025-04-18T00:00:00"/>
    <d v="2025-04-18T00:00:00"/>
    <d v="2025-05-02T00:00:00"/>
    <d v="2025-05-0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37"/>
    <s v="Pedido 1283"/>
    <d v="2025-03-17T00:00:00"/>
    <d v="2025-03-21T00:00:00"/>
    <s v="PedidoF1227"/>
    <s v="CódRastreio1225"/>
    <n v="1"/>
    <s v="CPF 1249"/>
    <s v="Nome 1249"/>
    <s v="Tel 1249"/>
    <s v="Cep 1249"/>
    <s v="Rua 1249"/>
    <s v="Comp 1249"/>
    <x v="29"/>
    <s v="RX-DD1P-P5U2"/>
    <d v="2025-04-11T00:00:00"/>
    <n v="24.8"/>
    <n v="24.8"/>
    <n v="2.976"/>
    <n v="21.82"/>
    <n v="10.58"/>
    <n v="0.2"/>
    <n v="0.39877104377104378"/>
    <n v="0"/>
    <n v="10.641228956228957"/>
    <n v="5.3206144781144786"/>
    <d v="2025-04-18T00:00:00"/>
    <d v="2025-04-18T00:00:00"/>
    <d v="2025-05-02T00:00:00"/>
    <d v="2025-05-06T00:00:00"/>
    <s v="2025 04"/>
    <s v="Aguardando Liberação"/>
    <s v="2025 03"/>
    <s v="ENTREGUE"/>
    <d v="2025-04-15T00:00:00"/>
    <s v="-"/>
    <m/>
    <n v="0"/>
    <n v="0"/>
    <n v="0"/>
    <n v="0"/>
    <n v="0"/>
  </r>
  <r>
    <s v="MEI"/>
    <s v="MEI45737"/>
    <s v="Pedido 1284"/>
    <d v="2025-03-17T00:00:00"/>
    <d v="2025-03-21T00:00:00"/>
    <s v="PedidoF1228"/>
    <s v="CódRastreio1226"/>
    <n v="1"/>
    <s v="CPF 1250"/>
    <s v="Nome 1250"/>
    <s v="Tel 1250"/>
    <s v="Cep 1250"/>
    <s v="Rua 1250"/>
    <s v="Comp 1250"/>
    <x v="2"/>
    <s v="U1-D95R-HYRT"/>
    <d v="2025-04-11T00:00:00"/>
    <n v="21"/>
    <n v="21"/>
    <n v="2.9400000000000004"/>
    <n v="18.059999999999999"/>
    <n v="15.36"/>
    <n v="0.2"/>
    <n v="0.39877104377104378"/>
    <n v="0"/>
    <n v="2.1012289562289563"/>
    <n v="1.0506144781144782"/>
    <d v="2025-04-18T00:00:00"/>
    <d v="2025-04-18T00:00:00"/>
    <d v="2025-05-02T00:00:00"/>
    <d v="2025-05-06T00:00:00"/>
    <s v="2025 04"/>
    <s v="Aguardando Liberação"/>
    <s v="2025 03"/>
    <s v="ENTREGUE"/>
    <d v="2025-04-05T00:00:00"/>
    <s v="-"/>
    <m/>
    <n v="0"/>
    <n v="0"/>
    <n v="0"/>
    <n v="0"/>
    <n v="0"/>
  </r>
  <r>
    <s v="MEI"/>
    <s v="MEI45737"/>
    <s v="Pedido 1285"/>
    <d v="2025-03-17T00:00:00"/>
    <d v="2025-03-21T00:00:00"/>
    <s v="PedidoF1229"/>
    <s v="CódRastreio1227"/>
    <n v="1"/>
    <s v="CPF 1251"/>
    <s v="Nome 1251"/>
    <s v="Tel 1251"/>
    <s v="Cep 1251"/>
    <s v="Rua 1251"/>
    <s v="Comp 1251"/>
    <x v="2"/>
    <s v="U1-D95R-HYRT"/>
    <d v="2025-04-05T00:00:00"/>
    <n v="21"/>
    <n v="21"/>
    <n v="2.9400000000000004"/>
    <n v="18.059999999999999"/>
    <n v="15.33"/>
    <n v="0.2"/>
    <n v="0.39877104377104378"/>
    <n v="0"/>
    <n v="2.1312289562289557"/>
    <n v="1.0656144781144778"/>
    <d v="2025-04-12T00:00:00"/>
    <d v="2025-04-12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37"/>
    <s v="Pedido 1286"/>
    <d v="2025-03-17T00:00:00"/>
    <d v="2025-03-21T00:00:00"/>
    <s v="PedidoF1230"/>
    <s v="CódRastreio1228"/>
    <n v="1"/>
    <s v="CPF 1252"/>
    <s v="Nome 1252"/>
    <s v="Tel 1252"/>
    <s v="Cep 1252"/>
    <s v="Rua 1252"/>
    <s v="Comp 1252"/>
    <x v="26"/>
    <s v="BG-DHRO-FAEE"/>
    <d v="2025-04-05T00:00:00"/>
    <n v="24.99"/>
    <n v="24.99"/>
    <n v="2.7488999999999999"/>
    <n v="22.24"/>
    <n v="0"/>
    <n v="0.2"/>
    <n v="0.39877104377104378"/>
    <n v="0"/>
    <n v="21.641228956228954"/>
    <n v="10.820614478114477"/>
    <d v="2025-04-12T00:00:00"/>
    <d v="2025-04-12T00:00:00"/>
    <d v="2025-04-15T00:00:00"/>
    <d v="2025-04-16T00:00:00"/>
    <s v="2025 04"/>
    <s v="Aguardando Liberação"/>
    <s v="2025 03"/>
    <s v="ENTREGUE"/>
    <d v="2025-04-15T00:00:00"/>
    <s v="-"/>
    <m/>
    <n v="0"/>
    <n v="0"/>
    <n v="0"/>
    <n v="0"/>
    <n v="0"/>
  </r>
  <r>
    <s v="MEI"/>
    <s v="MEI45737"/>
    <s v="Pedido 1287"/>
    <d v="2025-03-17T00:00:00"/>
    <d v="2025-03-21T00:00:00"/>
    <s v="PedidoF1231"/>
    <s v="CódRastreio1229"/>
    <n v="1"/>
    <s v="CPF 1253"/>
    <s v="Nome 1253"/>
    <s v="Tel 1253"/>
    <s v="Cep 1253"/>
    <s v="Rua 1253"/>
    <s v="Comp 1253"/>
    <x v="2"/>
    <s v="U1-D95R-HYRT"/>
    <d v="2025-04-05T00:00:00"/>
    <n v="21"/>
    <n v="21"/>
    <n v="2.9400000000000004"/>
    <n v="18.059999999999999"/>
    <n v="15.92"/>
    <n v="0.2"/>
    <n v="0.39877104377104378"/>
    <n v="0"/>
    <n v="1.5412289562289523"/>
    <n v="0.77061447811447614"/>
    <d v="2025-04-12T00:00:00"/>
    <d v="2025-04-12T00:00:00"/>
    <d v="2025-04-15T00:00:00"/>
    <d v="2025-04-1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7"/>
    <s v="Pedido 1288"/>
    <d v="2025-03-17T00:00:00"/>
    <d v="2025-03-21T00:00:00"/>
    <s v="PedidoF1232"/>
    <s v="CódRastreio1230"/>
    <n v="1"/>
    <s v="CPF 1254"/>
    <s v="Nome 1254"/>
    <s v="Tel 1254"/>
    <s v="Cep 1254"/>
    <s v="Rua 1254"/>
    <s v="Comp 1254"/>
    <x v="2"/>
    <s v="U1-D95R-HYRT"/>
    <d v="2025-04-11T00:00:00"/>
    <n v="21"/>
    <n v="21"/>
    <n v="2.9400000000000004"/>
    <n v="18.059999999999999"/>
    <n v="15.92"/>
    <n v="0.2"/>
    <n v="0.39877104377104378"/>
    <n v="0"/>
    <n v="1.5412289562289523"/>
    <n v="0.77061447811447614"/>
    <d v="2025-04-18T00:00:00"/>
    <d v="2025-04-18T00:00:00"/>
    <d v="2025-05-02T00:00:00"/>
    <d v="2025-05-06T00:00:00"/>
    <s v="2025 04"/>
    <s v="Aguardando Liberação"/>
    <s v="2025 03"/>
    <s v="ENTREGUE"/>
    <d v="2025-04-05T00:00:00"/>
    <s v="-"/>
    <m/>
    <n v="0"/>
    <n v="0"/>
    <n v="0"/>
    <n v="0"/>
    <n v="0"/>
  </r>
  <r>
    <s v="MEI"/>
    <s v="MEI45737"/>
    <s v="Pedido 1289"/>
    <d v="2025-03-17T00:00:00"/>
    <d v="2025-03-21T00:00:00"/>
    <s v="PedidoF1233"/>
    <s v="CódRastreio1231"/>
    <n v="1"/>
    <s v="CPF 1255"/>
    <s v="Nome 1255"/>
    <s v="Tel 1255"/>
    <s v="Cep 1255"/>
    <s v="Rua 1255"/>
    <s v="Comp 1255"/>
    <x v="2"/>
    <s v="U1-D95R-HYRT"/>
    <d v="2025-04-05T00:00:00"/>
    <n v="21"/>
    <n v="21"/>
    <n v="2.9400000000000004"/>
    <n v="18.059999999999999"/>
    <n v="15.33"/>
    <n v="0.2"/>
    <n v="0.39877104377104378"/>
    <n v="0"/>
    <n v="2.1312289562289557"/>
    <n v="1.0656144781144778"/>
    <d v="2025-04-12T00:00:00"/>
    <d v="2025-04-12T00:00:00"/>
    <d v="2025-04-15T00:00:00"/>
    <d v="2025-04-16T00:00:00"/>
    <s v="2025 04"/>
    <s v="Aguardando Liberação"/>
    <s v="2025 03"/>
    <s v="ENTREGUE"/>
    <d v="2025-04-02T00:00:00"/>
    <s v="-"/>
    <m/>
    <n v="0"/>
    <n v="0"/>
    <n v="0"/>
    <n v="0"/>
    <n v="0"/>
  </r>
  <r>
    <s v="MEI"/>
    <s v="MEI45737"/>
    <s v="Pedido 1290"/>
    <d v="2025-03-17T00:00:00"/>
    <d v="2025-03-21T00:00:00"/>
    <s v="PedidoF1234"/>
    <s v="CódRastreio1232"/>
    <n v="1"/>
    <s v="CPF 1256"/>
    <s v="Nome 1256"/>
    <s v="Tel 1256"/>
    <s v="Cep 1256"/>
    <s v="Rua 1256"/>
    <s v="Comp 1256"/>
    <x v="28"/>
    <s v="Z0-F6CI-18CL"/>
    <d v="2025-04-05T00:00:00"/>
    <n v="44.95"/>
    <n v="44.95"/>
    <n v="5.3940000000000001"/>
    <n v="39.56"/>
    <n v="11.21"/>
    <n v="0.2"/>
    <n v="0.39877104377104378"/>
    <n v="0"/>
    <n v="27.751228956228957"/>
    <n v="13.875614478114478"/>
    <d v="2025-04-12T00:00:00"/>
    <d v="2025-04-12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MEI"/>
    <s v="MEI45737"/>
    <s v="Pedido 1291"/>
    <d v="2025-03-17T00:00:00"/>
    <d v="2025-03-21T00:00:00"/>
    <s v="PedidoF1235"/>
    <s v="CódRastreio1233"/>
    <n v="1"/>
    <s v="CPF 1257"/>
    <s v="Nome 1257"/>
    <s v="Tel 1257"/>
    <s v="Cep 1257"/>
    <s v="Rua 1257"/>
    <s v="Comp 1257"/>
    <x v="2"/>
    <s v="U1-D95R-HYRT"/>
    <d v="2025-04-11T00:00:00"/>
    <n v="21"/>
    <n v="21"/>
    <n v="2.9400000000000004"/>
    <n v="18.059999999999999"/>
    <n v="15.92"/>
    <n v="0.2"/>
    <n v="0.39877104377104378"/>
    <n v="0"/>
    <n v="1.5412289562289523"/>
    <n v="0.77061447811447614"/>
    <d v="2025-04-18T00:00:00"/>
    <d v="2025-04-18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7"/>
    <s v="Pedido 1292"/>
    <d v="2025-03-17T00:00:00"/>
    <d v="2025-03-21T00:00:00"/>
    <s v="PedidoF1236"/>
    <s v="CódRastreio1234"/>
    <n v="1"/>
    <s v="CPF 1258"/>
    <s v="Nome 1258"/>
    <s v="Tel 1258"/>
    <s v="Cep 1258"/>
    <s v="Rua 1258"/>
    <s v="Comp 1258"/>
    <x v="2"/>
    <s v="U1-D95R-HYRT"/>
    <d v="2025-04-05T00:00:00"/>
    <n v="21"/>
    <n v="21"/>
    <n v="2.9400000000000004"/>
    <n v="18.059999999999999"/>
    <n v="15.33"/>
    <n v="0.2"/>
    <n v="0.39877104377104378"/>
    <n v="0"/>
    <n v="2.1312289562289557"/>
    <n v="1.0656144781144778"/>
    <d v="2025-04-12T00:00:00"/>
    <d v="2025-04-12T00:00:00"/>
    <d v="2025-04-15T00:00:00"/>
    <d v="2025-04-1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7"/>
    <s v="Pedido 1293"/>
    <d v="2025-03-17T00:00:00"/>
    <d v="2025-03-21T00:00:00"/>
    <s v="PedidoF1237"/>
    <s v="CódRastreio1235"/>
    <n v="1"/>
    <s v="CPF 1259"/>
    <s v="Nome 1259"/>
    <s v="Tel 1259"/>
    <s v="Cep 1259"/>
    <s v="Rua 1259"/>
    <s v="Comp 1259"/>
    <x v="26"/>
    <s v="BG-DHRO-FAEE"/>
    <d v="2025-04-11T00:00:00"/>
    <n v="24.99"/>
    <n v="24.99"/>
    <n v="2.7488999999999999"/>
    <n v="22.24"/>
    <n v="10.58"/>
    <n v="0.2"/>
    <n v="0.39877104377104378"/>
    <n v="0"/>
    <n v="11.061228956228955"/>
    <n v="5.5306144781144777"/>
    <d v="2025-04-18T00:00:00"/>
    <d v="2025-04-18T00:00:00"/>
    <d v="2025-05-02T00:00:00"/>
    <d v="2025-05-06T00:00:00"/>
    <s v="2025 04"/>
    <s v="Aguardando Liberação"/>
    <s v="2025 03"/>
    <s v="ENTREGUE"/>
    <d v="2025-04-15T00:00:00"/>
    <s v="-"/>
    <m/>
    <n v="0"/>
    <n v="0"/>
    <n v="0"/>
    <n v="0"/>
    <n v="0"/>
  </r>
  <r>
    <s v="MEI"/>
    <s v="MEI45737"/>
    <s v="Pedido 1294"/>
    <d v="2025-03-17T00:00:00"/>
    <d v="2025-03-21T00:00:00"/>
    <s v="PedidoF1238"/>
    <s v="CódRastreio1236"/>
    <n v="1"/>
    <s v="CPF 1260"/>
    <s v="Nome 1260"/>
    <s v="Tel 1260"/>
    <s v="Cep 1260"/>
    <s v="Rua 1260"/>
    <s v="Comp 1260"/>
    <x v="2"/>
    <s v="U1-D95R-HYRT"/>
    <d v="2025-04-11T00:00:00"/>
    <n v="21"/>
    <n v="21"/>
    <n v="2.9400000000000004"/>
    <n v="18.059999999999999"/>
    <n v="15.33"/>
    <n v="0.2"/>
    <n v="0.39877104377104378"/>
    <n v="0"/>
    <n v="2.1312289562289557"/>
    <n v="1.0656144781144778"/>
    <d v="2025-04-18T00:00:00"/>
    <d v="2025-04-18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7"/>
    <s v="Pedido 1295"/>
    <d v="2025-03-17T00:00:00"/>
    <d v="2025-03-21T00:00:00"/>
    <s v="PedidoF1239"/>
    <s v="CódRastreio1237"/>
    <n v="1"/>
    <s v="CPF 1261"/>
    <s v="Nome 1261"/>
    <s v="Tel 1261"/>
    <s v="Cep 1261"/>
    <s v="Rua 1261"/>
    <s v="Comp 1261"/>
    <x v="1"/>
    <s v="A4-5W51-K3HF"/>
    <d v="2025-04-05T00:00:00"/>
    <n v="30.95"/>
    <n v="30.95"/>
    <n v="4.3330000000000002"/>
    <n v="26.62"/>
    <n v="15.7"/>
    <n v="0.2"/>
    <n v="0.39877104377104378"/>
    <n v="0"/>
    <n v="10.321228956228957"/>
    <n v="5.1606144781144785"/>
    <d v="2025-04-12T00:00:00"/>
    <d v="2025-04-12T00:00:00"/>
    <d v="2025-04-15T00:00:00"/>
    <d v="2025-04-1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37"/>
    <s v="Pedido 1296"/>
    <d v="2025-03-17T00:00:00"/>
    <d v="2025-03-21T00:00:00"/>
    <s v="PedidoF1240"/>
    <s v="CódRastreio1238"/>
    <n v="1"/>
    <s v="CPF 1262"/>
    <s v="Nome 1262"/>
    <s v="Tel 1262"/>
    <s v="Cep 1262"/>
    <s v="Rua 1262"/>
    <s v="Comp 1262"/>
    <x v="2"/>
    <s v="U1-D95R-HYRT"/>
    <d v="2025-04-11T00:00:00"/>
    <n v="21"/>
    <n v="21"/>
    <n v="2.9400000000000004"/>
    <n v="18.059999999999999"/>
    <n v="15.92"/>
    <n v="0.2"/>
    <n v="0.39877104377104378"/>
    <n v="0"/>
    <n v="1.5412289562289523"/>
    <n v="0.77061447811447614"/>
    <d v="2025-04-18T00:00:00"/>
    <d v="2025-04-18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7"/>
    <s v="Pedido 1297"/>
    <d v="2025-03-17T00:00:00"/>
    <d v="2025-03-21T00:00:00"/>
    <s v="PedidoF1241"/>
    <s v="CódRastreio1239"/>
    <n v="1"/>
    <s v="CPF 1263"/>
    <s v="Nome 1263"/>
    <s v="Tel 1263"/>
    <s v="Cep 1263"/>
    <s v="Rua 1263"/>
    <s v="Comp 1263"/>
    <x v="2"/>
    <s v="U1-D95R-HYRT"/>
    <d v="2025-04-11T00:00:00"/>
    <n v="21"/>
    <n v="21"/>
    <n v="2.9400000000000004"/>
    <n v="18.059999999999999"/>
    <n v="15.35"/>
    <n v="0.2"/>
    <n v="0.39877104377104378"/>
    <n v="0"/>
    <n v="2.1112289562289561"/>
    <n v="1.0556144781144781"/>
    <d v="2025-04-18T00:00:00"/>
    <d v="2025-04-18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BV"/>
    <s v="BV45736"/>
    <s v="Pedido 1298"/>
    <d v="2025-03-18T00:00:00"/>
    <d v="2025-03-20T00:00:00"/>
    <s v="PedidoF1242"/>
    <s v="CódRastreio1240"/>
    <n v="1"/>
    <s v="CPF 1264"/>
    <s v="Nome 1264"/>
    <s v="Tel 1264"/>
    <s v="Cep 1264"/>
    <s v="Rua 1264"/>
    <s v="Comp 1264"/>
    <x v="5"/>
    <s v="P4-K63S-8KOM"/>
    <d v="2025-04-03T00:00:00"/>
    <n v="28.99"/>
    <n v="28.99"/>
    <n v="3.7686999999999999"/>
    <n v="25.22"/>
    <n v="14.8"/>
    <n v="0.33"/>
    <n v="0.39877104377104378"/>
    <n v="0"/>
    <n v="9.6912289562289544"/>
    <n v="4.8456144781144772"/>
    <d v="2025-04-10T00:00:00"/>
    <d v="2025-04-10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BV"/>
    <s v="BV45736"/>
    <s v="Pedido 1299"/>
    <d v="2025-03-18T00:00:00"/>
    <d v="2025-03-20T00:00:00"/>
    <s v="PedidoF1243"/>
    <s v="CódRastreio1241"/>
    <n v="1"/>
    <s v="CPF 1265"/>
    <s v="Nome 1265"/>
    <s v="Tel 1265"/>
    <s v="Cep 1265"/>
    <s v="Rua 1265"/>
    <s v="Comp 1265"/>
    <x v="15"/>
    <s v="HF-SI0F-XC7S"/>
    <d v="2025-04-11T00:00:00"/>
    <n v="44.9"/>
    <n v="44.9"/>
    <n v="6.2860000000000005"/>
    <n v="38.61"/>
    <n v="21.62"/>
    <n v="0.33"/>
    <n v="0.39877104377104378"/>
    <n v="0"/>
    <n v="16.261228956228955"/>
    <n v="8.1306144781144774"/>
    <d v="2025-04-18T00:00:00"/>
    <d v="2025-04-18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BV"/>
    <s v="BV45736"/>
    <s v="Pedido 1300"/>
    <d v="2025-03-18T00:00:00"/>
    <d v="2025-03-20T00:00:00"/>
    <s v="PedidoF1244"/>
    <s v="CódRastreio1242"/>
    <n v="1"/>
    <s v="CPF 1266"/>
    <s v="Nome 1266"/>
    <s v="Tel 1266"/>
    <s v="Cep 1266"/>
    <s v="Rua 1266"/>
    <s v="Comp 1266"/>
    <x v="16"/>
    <s v="RB-W251-UXV2"/>
    <d v="2025-04-18T00:00:00"/>
    <n v="26.99"/>
    <n v="26.99"/>
    <n v="3.5086999999999997"/>
    <n v="23.48"/>
    <n v="10.18"/>
    <n v="0.33"/>
    <n v="0.39877104377104378"/>
    <n v="0"/>
    <n v="12.571228956228957"/>
    <n v="6.2856144781144785"/>
    <d v="2025-04-25T00:00:00"/>
    <d v="2025-04-25T00:00:00"/>
    <d v="2025-05-02T00:00:00"/>
    <d v="2025-05-06T00:00:00"/>
    <s v="2025 04"/>
    <s v="Aguardando Liberação"/>
    <s v="2025 03"/>
    <s v="ENTREGUE"/>
    <d v="2025-05-02T00:00:00"/>
    <s v="-"/>
    <m/>
    <n v="0"/>
    <n v="0"/>
    <n v="0"/>
    <n v="0"/>
    <n v="0"/>
  </r>
  <r>
    <s v="BV"/>
    <s v="BV45736"/>
    <s v="Pedido 1301"/>
    <d v="2025-03-17T00:00:00"/>
    <d v="2025-03-20T00:00:00"/>
    <s v="PedidoF1245"/>
    <s v="CódRastreio1243"/>
    <n v="1"/>
    <s v="CPF 1267"/>
    <s v="Nome 1267"/>
    <s v="Tel 1267"/>
    <s v="Cep 1267"/>
    <s v="Rua 1267"/>
    <s v="Comp 1267"/>
    <x v="5"/>
    <s v="P4-K63S-8KOM"/>
    <d v="2025-04-12T00:00:00"/>
    <n v="28.99"/>
    <n v="28.99"/>
    <n v="3.7686999999999999"/>
    <n v="25.22"/>
    <n v="14.8"/>
    <n v="0.33"/>
    <n v="0.39877104377104378"/>
    <n v="0"/>
    <n v="9.6912289562289544"/>
    <n v="4.8456144781144772"/>
    <d v="2025-04-19T00:00:00"/>
    <d v="2025-04-19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BV"/>
    <s v="BV45736"/>
    <s v="Pedido 1302"/>
    <d v="2025-03-18T00:00:00"/>
    <d v="2025-03-20T00:00:00"/>
    <s v="PedidoF1246"/>
    <s v="CódRastreio1244"/>
    <n v="1"/>
    <s v="CPF 1268"/>
    <s v="Nome 1268"/>
    <s v="Tel 1268"/>
    <s v="Cep 1268"/>
    <s v="Rua 1268"/>
    <s v="Comp 1268"/>
    <x v="15"/>
    <s v="HF-SI0F-XC7S"/>
    <d v="2025-04-12T00:00:00"/>
    <n v="44.9"/>
    <n v="44.9"/>
    <n v="6.2860000000000005"/>
    <n v="38.61"/>
    <n v="21.62"/>
    <n v="0.33"/>
    <n v="0.39877104377104378"/>
    <n v="0"/>
    <n v="16.261228956228955"/>
    <n v="8.1306144781144774"/>
    <d v="2025-04-19T00:00:00"/>
    <d v="2025-04-19T00:00:00"/>
    <d v="2025-05-02T00:00:00"/>
    <d v="2025-05-06T00:00:00"/>
    <s v="2025 04"/>
    <s v="Aguardando Liberação"/>
    <s v="2025 03"/>
    <s v="ENTREGUE"/>
    <d v="2025-04-15T00:00:00"/>
    <s v="-"/>
    <m/>
    <n v="0"/>
    <n v="0"/>
    <n v="0"/>
    <n v="0"/>
    <n v="0"/>
  </r>
  <r>
    <s v="BV"/>
    <s v="BV45736"/>
    <s v="Pedido 1303"/>
    <d v="2025-03-18T00:00:00"/>
    <d v="2025-03-20T00:00:00"/>
    <s v="PedidoF1247"/>
    <s v="CódRastreio1245"/>
    <n v="1"/>
    <s v="CPF 1269"/>
    <s v="Nome 1269"/>
    <s v="Tel 1269"/>
    <s v="Cep 1269"/>
    <s v="Rua 1269"/>
    <s v="Comp 1269"/>
    <x v="5"/>
    <s v="P4-K63S-8KOM"/>
    <d v="2025-04-08T00:00:00"/>
    <n v="28.99"/>
    <n v="28.99"/>
    <n v="3.7686999999999999"/>
    <n v="25.22"/>
    <n v="14.8"/>
    <n v="0.33"/>
    <n v="0.39877104377104378"/>
    <n v="0"/>
    <n v="9.6912289562289544"/>
    <n v="4.8456144781144772"/>
    <d v="2025-04-15T00:00:00"/>
    <d v="2025-04-15T00:00:00"/>
    <d v="2025-04-15T00:00:00"/>
    <d v="2025-04-16T00:00:00"/>
    <s v="2025 04"/>
    <s v="Aguardando Liberação"/>
    <s v="2025 03"/>
    <s v="ENTREGUE"/>
    <d v="2025-03-28T00:00:00"/>
    <s v="-"/>
    <m/>
    <n v="0"/>
    <n v="0"/>
    <n v="0"/>
    <n v="0"/>
    <n v="0"/>
  </r>
  <r>
    <s v="BV"/>
    <s v="BV45736"/>
    <s v="Pedido 1304"/>
    <d v="2025-03-17T00:00:00"/>
    <d v="2025-03-20T00:00:00"/>
    <s v="PedidoF1248"/>
    <s v="CódRastreio1246"/>
    <n v="1"/>
    <s v="CPF 1270"/>
    <s v="Nome 1270"/>
    <s v="Tel 1270"/>
    <s v="Cep 1270"/>
    <s v="Rua 1270"/>
    <s v="Comp 1270"/>
    <x v="16"/>
    <s v="RB-W251-UXV2"/>
    <d v="2025-04-08T00:00:00"/>
    <n v="26.99"/>
    <n v="26.99"/>
    <n v="3.5086999999999997"/>
    <n v="23.48"/>
    <n v="10.18"/>
    <n v="0.33"/>
    <n v="0.39877104377104378"/>
    <n v="0"/>
    <n v="12.571228956228957"/>
    <n v="6.2856144781144785"/>
    <d v="2025-04-15T00:00:00"/>
    <d v="2025-04-15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7"/>
    <s v="Pedido 1305"/>
    <d v="2025-03-18T00:00:00"/>
    <d v="2025-03-21T00:00:00"/>
    <s v="PedidoF1249"/>
    <s v="CódRastreio1247"/>
    <n v="1"/>
    <s v="CPF 1271"/>
    <s v="Nome 1271"/>
    <s v="Tel 1271"/>
    <s v="Cep 1271"/>
    <s v="Rua 1271"/>
    <s v="Comp 1271"/>
    <x v="29"/>
    <s v="RX-DD1P-P5U2"/>
    <d v="2025-04-18T00:00:00"/>
    <n v="24.8"/>
    <n v="24.8"/>
    <n v="2.976"/>
    <n v="21.82"/>
    <n v="10.17"/>
    <n v="0.2"/>
    <n v="0.39877104377104378"/>
    <n v="0"/>
    <n v="11.051228956228957"/>
    <n v="5.5256144781144787"/>
    <d v="2025-04-25T00:00:00"/>
    <d v="2025-04-25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7"/>
    <s v="Pedido 1306"/>
    <d v="2025-03-18T00:00:00"/>
    <d v="2025-03-21T00:00:00"/>
    <s v="PedidoF1250"/>
    <s v="CódRastreio1248"/>
    <n v="1"/>
    <s v="CPF 1272"/>
    <s v="Nome 1272"/>
    <s v="Tel 1272"/>
    <s v="Cep 1272"/>
    <s v="Rua 1272"/>
    <s v="Comp 1272"/>
    <x v="29"/>
    <s v="RX-DD1P-P5U2"/>
    <d v="2025-04-05T00:00:00"/>
    <n v="24.8"/>
    <n v="24.8"/>
    <n v="2.976"/>
    <n v="21.82"/>
    <n v="10.17"/>
    <n v="0.2"/>
    <n v="0.39877104377104378"/>
    <n v="0"/>
    <n v="11.051228956228957"/>
    <n v="5.5256144781144787"/>
    <d v="2025-04-12T00:00:00"/>
    <d v="2025-04-12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37"/>
    <s v="Pedido 1307"/>
    <d v="2025-03-18T00:00:00"/>
    <d v="2025-03-21T00:00:00"/>
    <s v="PedidoF1251"/>
    <s v="CódRastreio1249"/>
    <n v="1"/>
    <s v="CPF 1273"/>
    <s v="Nome 1273"/>
    <s v="Tel 1273"/>
    <s v="Cep 1273"/>
    <s v="Rua 1273"/>
    <s v="Comp 1273"/>
    <x v="29"/>
    <s v="RX-DD1P-P5U2"/>
    <d v="2025-04-23T00:00:00"/>
    <n v="24.8"/>
    <n v="24.8"/>
    <n v="2.976"/>
    <n v="21.82"/>
    <n v="10.58"/>
    <n v="0.2"/>
    <n v="0.39877104377104378"/>
    <n v="0"/>
    <n v="10.641228956228957"/>
    <n v="5.3206144781144786"/>
    <d v="2025-04-30T00:00:00"/>
    <d v="2025-04-30T00:00:00"/>
    <d v="2025-05-02T00:00:00"/>
    <d v="2025-05-06T00:00:00"/>
    <s v="2025 04"/>
    <s v="Aguardando Liberação"/>
    <s v="2025 03"/>
    <s v="ENTREGUE"/>
    <d v="2025-04-10T00:00:00"/>
    <s v="-"/>
    <m/>
    <n v="0"/>
    <n v="0"/>
    <n v="0"/>
    <n v="0"/>
    <n v="0"/>
  </r>
  <r>
    <s v="MEI"/>
    <s v="MEI45737"/>
    <s v="Pedido 1308"/>
    <d v="2025-03-18T00:00:00"/>
    <d v="2025-03-21T00:00:00"/>
    <s v="PedidoF1252"/>
    <s v="CódRastreio1250"/>
    <n v="1"/>
    <s v="CPF 1274"/>
    <s v="Nome 1274"/>
    <s v="Tel 1274"/>
    <s v="Cep 1274"/>
    <s v="Rua 1274"/>
    <s v="Comp 1274"/>
    <x v="29"/>
    <s v="RX-DD1P-P5U2"/>
    <d v="2025-04-12T00:00:00"/>
    <n v="24.8"/>
    <n v="24.8"/>
    <n v="2.976"/>
    <n v="21.82"/>
    <n v="10.17"/>
    <n v="0.2"/>
    <n v="0.39877104377104378"/>
    <n v="0"/>
    <n v="11.051228956228957"/>
    <n v="5.5256144781144787"/>
    <d v="2025-04-19T00:00:00"/>
    <d v="2025-04-19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MEI"/>
    <s v="MEI45737"/>
    <s v="Pedido 1309"/>
    <d v="2025-03-18T00:00:00"/>
    <d v="2025-03-21T00:00:00"/>
    <s v="PedidoF1253"/>
    <s v="CódRastreio1251"/>
    <n v="1"/>
    <s v="CPF 1275"/>
    <s v="Nome 1275"/>
    <s v="Tel 1275"/>
    <s v="Cep 1275"/>
    <s v="Rua 1275"/>
    <s v="Comp 1275"/>
    <x v="26"/>
    <s v="BG-DHRO-FAEE"/>
    <d v="2025-04-08T00:00:00"/>
    <n v="100"/>
    <n v="100"/>
    <n v="11"/>
    <n v="89"/>
    <n v="10.17"/>
    <n v="0.2"/>
    <n v="0.39877104377104378"/>
    <n v="0"/>
    <n v="78.231228956228961"/>
    <n v="39.11561447811448"/>
    <d v="2025-04-15T00:00:00"/>
    <d v="2025-04-15T00:00:00"/>
    <d v="2025-04-15T00:00:00"/>
    <d v="2025-04-16T00:00:00"/>
    <s v="2025 04"/>
    <s v="Aguardando Liberação"/>
    <s v="2025 03"/>
    <s v="ENTREGUE"/>
    <d v="2025-04-14T00:00:00"/>
    <s v="-"/>
    <m/>
    <n v="0"/>
    <n v="0"/>
    <n v="0"/>
    <n v="0"/>
    <n v="0"/>
  </r>
  <r>
    <s v="GO"/>
    <s v="GO45734"/>
    <s v="Pedido 1310"/>
    <d v="2025-03-18T00:00:00"/>
    <d v="2025-03-18T00:00:00"/>
    <s v="PedidoF1254"/>
    <s v="CódRastreio1252"/>
    <n v="1"/>
    <s v="CPF 1276"/>
    <s v="Nome 1276"/>
    <s v="Tel 1276"/>
    <s v="Cep 1276"/>
    <s v="Rua 1276"/>
    <s v="Comp 1276"/>
    <x v="15"/>
    <s v="K9-YV2I-FO7H"/>
    <d v="2025-04-08T00:00:00"/>
    <n v="44.9"/>
    <n v="44.9"/>
    <n v="6.2860000000000005"/>
    <n v="38.61"/>
    <n v="19.14"/>
    <n v="0.2"/>
    <n v="0.39877104377104378"/>
    <n v="0"/>
    <n v="18.871228956228954"/>
    <n v="18.871228956228954"/>
    <d v="2025-04-15T00:00:00"/>
    <d v="2025-04-15T00:00:00"/>
    <d v="2025-04-15T00:00:00"/>
    <d v="2025-04-16T00:00:00"/>
    <s v="2025 04"/>
    <s v="Aguardando Liberação"/>
    <s v="2025 03"/>
    <s v="ENTREGUE"/>
    <d v="2025-03-27T00:00:00"/>
    <s v="-"/>
    <m/>
    <n v="0"/>
    <n v="0"/>
    <n v="0"/>
    <n v="0"/>
    <n v="0"/>
  </r>
  <r>
    <s v="GO"/>
    <s v="GO45734"/>
    <s v="Pedido 1311"/>
    <d v="2025-03-18T00:00:00"/>
    <d v="2025-03-18T00:00:00"/>
    <s v="PedidoF1255"/>
    <s v="CódRastreio1253"/>
    <n v="1"/>
    <s v="CPF 1277"/>
    <s v="Nome 1277"/>
    <s v="Tel 1277"/>
    <s v="Cep 1277"/>
    <s v="Rua 1277"/>
    <s v="Comp 1277"/>
    <x v="29"/>
    <s v="6G-56LI-EPD4"/>
    <d v="2025-04-12T00:00:00"/>
    <n v="24.8"/>
    <n v="24.8"/>
    <n v="2.976"/>
    <n v="21.82"/>
    <n v="10.210000000000001"/>
    <n v="0.2"/>
    <n v="0.39877104377104378"/>
    <n v="0"/>
    <n v="11.011228956228956"/>
    <n v="11.011228956228956"/>
    <d v="2025-04-19T00:00:00"/>
    <d v="2025-04-19T00:00:00"/>
    <d v="2025-05-02T00:00:00"/>
    <d v="2025-05-06T00:00:00"/>
    <s v="2025 04"/>
    <s v="Aguardando Liberação"/>
    <s v="2025 03"/>
    <s v="ENTREGUE"/>
    <d v="2025-03-31T00:00:00"/>
    <s v="-"/>
    <m/>
    <n v="0"/>
    <n v="0"/>
    <n v="0"/>
    <n v="0"/>
    <n v="0"/>
  </r>
  <r>
    <s v="GO"/>
    <s v="GO45734"/>
    <s v="Pedido 1312"/>
    <d v="2025-03-18T00:00:00"/>
    <d v="2025-03-18T00:00:00"/>
    <s v="PedidoF1256"/>
    <s v="CódRastreio1254"/>
    <n v="1"/>
    <s v="CPF 1278"/>
    <s v="Nome 1278"/>
    <s v="Tel 1278"/>
    <s v="Cep 1278"/>
    <s v="Rua 1278"/>
    <s v="Comp 1278"/>
    <x v="29"/>
    <s v="6G-56LI-EPD4"/>
    <d v="2025-04-23T00:00:00"/>
    <n v="24.8"/>
    <n v="24.8"/>
    <n v="2.976"/>
    <n v="21.82"/>
    <n v="10.210000000000001"/>
    <n v="0.2"/>
    <n v="0.39877104377104378"/>
    <n v="0"/>
    <n v="11.011228956228956"/>
    <n v="11.011228956228956"/>
    <d v="2025-04-30T00:00:00"/>
    <d v="2025-04-30T00:00:00"/>
    <d v="2025-05-02T00:00:00"/>
    <d v="2025-05-06T00:00:00"/>
    <s v="2025 04"/>
    <s v="Aguardando Liberação"/>
    <s v="2025 03"/>
    <s v="ENTREGUE"/>
    <d v="2025-04-10T00:00:00"/>
    <s v="-"/>
    <m/>
    <n v="0"/>
    <n v="0"/>
    <n v="0"/>
    <n v="0"/>
    <n v="0"/>
  </r>
  <r>
    <s v="GO"/>
    <s v="GO45734"/>
    <s v="Pedido 1313"/>
    <d v="2025-03-18T00:00:00"/>
    <d v="2025-03-18T00:00:00"/>
    <s v="PedidoF1257"/>
    <s v="CódRastreio1255"/>
    <n v="1"/>
    <s v="CPF 1279"/>
    <s v="Nome 1279"/>
    <s v="Tel 1279"/>
    <s v="Cep 1279"/>
    <s v="Rua 1279"/>
    <s v="Comp 1279"/>
    <x v="29"/>
    <s v="6G-56LI-EPD4"/>
    <d v="2025-04-23T00:00:00"/>
    <n v="24.8"/>
    <n v="24.8"/>
    <n v="2.976"/>
    <n v="21.82"/>
    <n v="10.210000000000001"/>
    <n v="0.2"/>
    <n v="0.39877104377104378"/>
    <n v="0"/>
    <n v="11.011228956228956"/>
    <n v="11.011228956228956"/>
    <d v="2025-04-30T00:00:00"/>
    <d v="2025-04-30T00:00:00"/>
    <d v="2025-05-02T00:00:00"/>
    <d v="2025-05-06T00:00:00"/>
    <s v="2025 04"/>
    <s v="Aguardando Liberação"/>
    <s v="2025 03"/>
    <s v="ENTREGUE"/>
    <d v="2025-04-17T09:20:24"/>
    <s v="-"/>
    <m/>
    <n v="0"/>
    <n v="0"/>
    <n v="0"/>
    <n v="0"/>
    <n v="0"/>
  </r>
  <r>
    <s v="GO"/>
    <s v="GO45734"/>
    <s v="Pedido 1314"/>
    <d v="2025-03-18T00:00:00"/>
    <d v="2025-03-18T00:00:00"/>
    <s v="PedidoF1258"/>
    <s v="CódRastreio1256"/>
    <n v="1"/>
    <s v="CPF 1280"/>
    <s v="Nome 1280"/>
    <s v="Tel 1280"/>
    <s v="Cep 1280"/>
    <s v="Rua 1280"/>
    <s v="Comp 1280"/>
    <x v="15"/>
    <s v="K9-YV2I-FO7H"/>
    <d v="2025-04-12T00:00:00"/>
    <n v="44.9"/>
    <n v="44.9"/>
    <n v="6.2860000000000005"/>
    <n v="38.61"/>
    <n v="19.14"/>
    <n v="0.2"/>
    <n v="0.39877104377104378"/>
    <n v="0"/>
    <n v="18.871228956228954"/>
    <n v="18.871228956228954"/>
    <d v="2025-04-19T00:00:00"/>
    <d v="2025-04-19T00:00:00"/>
    <d v="2025-05-02T00:00:00"/>
    <d v="2025-05-06T00:00:00"/>
    <s v="2025 04"/>
    <s v="Aguardando Liberação"/>
    <s v="2025 03"/>
    <s v="ENTREGUE"/>
    <d v="2025-03-28T00:00:00"/>
    <s v="-"/>
    <m/>
    <n v="0"/>
    <n v="0"/>
    <n v="0"/>
    <n v="0"/>
    <n v="0"/>
  </r>
  <r>
    <s v="GO"/>
    <s v="GO45734"/>
    <s v="Pedido 1315"/>
    <d v="2025-03-18T00:00:00"/>
    <d v="2025-03-18T00:00:00"/>
    <s v="PedidoF1259"/>
    <s v="CódRastreio1257"/>
    <n v="1"/>
    <s v="CPF 1281"/>
    <s v="Nome 1281"/>
    <s v="Tel 1281"/>
    <s v="Cep 1281"/>
    <s v="Rua 1281"/>
    <s v="Comp 1281"/>
    <x v="29"/>
    <s v="6G-56LI-EPD4"/>
    <d v="2025-04-12T00:00:00"/>
    <n v="24.17"/>
    <n v="24.17"/>
    <n v="2.9004000000000003"/>
    <n v="21.27"/>
    <n v="10.210000000000001"/>
    <n v="0.2"/>
    <n v="0.39877104377104378"/>
    <n v="0"/>
    <n v="10.461228956228956"/>
    <n v="10.461228956228956"/>
    <d v="2025-04-19T00:00:00"/>
    <d v="2025-04-19T00:00:00"/>
    <d v="2025-05-02T00:00:00"/>
    <d v="2025-05-06T00:00:00"/>
    <s v="2025 04"/>
    <s v="Aguardando Liberação"/>
    <s v="2025 03"/>
    <s v="ENTREGUE"/>
    <d v="2025-04-02T00:00:00"/>
    <s v="-"/>
    <m/>
    <n v="0"/>
    <n v="0"/>
    <n v="0"/>
    <n v="0"/>
    <n v="0"/>
  </r>
  <r>
    <s v="GO"/>
    <s v="GO45735"/>
    <s v="Pedido 1316"/>
    <d v="2025-03-18T00:00:00"/>
    <d v="2025-03-19T00:00:00"/>
    <s v="PedidoF1260"/>
    <s v="CódRastreio1258"/>
    <n v="1"/>
    <s v="CPF 1282"/>
    <s v="Nome 1282"/>
    <s v="Tel 1282"/>
    <s v="Cep 1282"/>
    <s v="Rua 1282"/>
    <s v="Comp 1282"/>
    <x v="16"/>
    <s v="U9-32BU-7J5P"/>
    <d v="2025-04-08T00:00:00"/>
    <n v="26.99"/>
    <n v="26.99"/>
    <n v="3.5086999999999997"/>
    <n v="23.48"/>
    <n v="10.199999999999999"/>
    <n v="0"/>
    <n v="0.39877104377104378"/>
    <n v="0"/>
    <n v="12.881228956228957"/>
    <n v="12.881228956228957"/>
    <d v="2025-04-15T00:00:00"/>
    <d v="2025-04-15T00:00:00"/>
    <d v="2025-04-15T00:00:00"/>
    <d v="2025-04-16T00:00:00"/>
    <s v="2025 04"/>
    <s v="Aguardando Liberação"/>
    <s v="2025 03"/>
    <s v="ENTREGUE"/>
    <d v="2025-03-31T00:00:00"/>
    <s v="-"/>
    <m/>
    <n v="0"/>
    <n v="0"/>
    <n v="0"/>
    <n v="0"/>
    <n v="0"/>
  </r>
  <r>
    <s v="GO"/>
    <s v="GO45738"/>
    <s v="Pedido 1317"/>
    <d v="2025-03-18T00:00:00"/>
    <d v="2025-03-22T00:00:00"/>
    <s v="PedidoF1261"/>
    <s v="CódRastreio1259"/>
    <n v="1"/>
    <s v="CPF 1283"/>
    <s v="Nome 1283"/>
    <s v="Tel 1283"/>
    <s v="Cep 1283"/>
    <s v="Rua 1283"/>
    <s v="Comp 1283"/>
    <x v="29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d v="2025-04-19T00:00:00"/>
    <d v="2025-04-19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GO"/>
    <s v="GO45738"/>
    <s v="Pedido 1318"/>
    <d v="2025-03-18T00:00:00"/>
    <d v="2025-03-22T00:00:00"/>
    <s v="PedidoF1262"/>
    <s v="CódRastreio1260"/>
    <n v="1"/>
    <s v="CPF 1284"/>
    <s v="Nome 1284"/>
    <s v="Tel 1284"/>
    <s v="Cep 1284"/>
    <s v="Rua 1284"/>
    <s v="Comp 1284"/>
    <x v="29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d v="2025-04-19T00:00:00"/>
    <d v="2025-04-19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GO"/>
    <s v="GO45738"/>
    <s v="Pedido 1319"/>
    <d v="2025-03-18T00:00:00"/>
    <d v="2025-03-22T00:00:00"/>
    <s v="PedidoF1263"/>
    <s v="CódRastreio1261"/>
    <n v="1"/>
    <s v="CPF 1285"/>
    <s v="Nome 1285"/>
    <s v="Tel 1285"/>
    <s v="Cep 1285"/>
    <s v="Rua 1285"/>
    <s v="Comp 1285"/>
    <x v="29"/>
    <s v="6G-56LI-EPD4"/>
    <d v="2025-04-23T00:00:00"/>
    <n v="24.17"/>
    <n v="24.17"/>
    <n v="2.9004000000000003"/>
    <n v="21.27"/>
    <n v="0"/>
    <n v="0.27"/>
    <n v="0.39877104377104378"/>
    <n v="0"/>
    <n v="20.601228956228955"/>
    <n v="20.601228956228955"/>
    <d v="2025-04-30T00:00:00"/>
    <d v="2025-04-30T00:00:00"/>
    <d v="2025-05-02T00:00:00"/>
    <d v="2025-05-06T00:00:00"/>
    <s v="2025 04"/>
    <s v="Aguardando Liberação"/>
    <s v="2025 03"/>
    <s v="ENTREGUE"/>
    <d v="2025-05-13T00:00:00"/>
    <s v="-"/>
    <m/>
    <n v="0"/>
    <n v="0"/>
    <n v="0"/>
    <n v="0"/>
    <n v="0"/>
  </r>
  <r>
    <s v="GO"/>
    <s v="GO45740"/>
    <s v="Pedido 1320"/>
    <d v="2025-03-18T00:00:00"/>
    <d v="2025-03-24T00:00:00"/>
    <s v="PedidoF1264"/>
    <s v="CódRastreio1262"/>
    <n v="1"/>
    <s v="CPF 1286"/>
    <s v="Nome 1286"/>
    <s v="Tel 1286"/>
    <s v="Cep 1286"/>
    <s v="Rua 1286"/>
    <s v="Comp 1286"/>
    <x v="16"/>
    <s v="U9-32BU-7J5P"/>
    <d v="2025-04-08T00:00:00"/>
    <n v="26.99"/>
    <n v="26.99"/>
    <n v="3.5086999999999997"/>
    <n v="23.48"/>
    <n v="10.19"/>
    <n v="0.2"/>
    <n v="0.39877104377104378"/>
    <n v="0"/>
    <n v="12.691228956228958"/>
    <n v="12.691228956228958"/>
    <d v="2025-04-15T00:00:00"/>
    <d v="2025-04-15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GO"/>
    <s v="GO45738"/>
    <s v="Pedido 1321"/>
    <d v="2025-03-18T00:00:00"/>
    <d v="2025-03-22T00:00:00"/>
    <s v="PedidoF1265"/>
    <s v="CódRastreio1263"/>
    <n v="1"/>
    <s v="CPF 1283"/>
    <s v="Nome 1283"/>
    <s v="Tel 1283"/>
    <s v="Cep 1283"/>
    <s v="Rua 1283"/>
    <s v="Comp 1283"/>
    <x v="29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d v="2025-04-19T00:00:00"/>
    <d v="2025-04-19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GO"/>
    <s v="GO45738"/>
    <s v="Pedido 1322"/>
    <d v="2025-03-18T00:00:00"/>
    <d v="2025-03-22T00:00:00"/>
    <s v="PedidoF1266"/>
    <s v="CódRastreio1264"/>
    <n v="1"/>
    <s v="CPF 1287"/>
    <s v="Nome 1287"/>
    <s v="Tel 1287"/>
    <s v="Cep 1287"/>
    <s v="Rua 1287"/>
    <s v="Comp 1287"/>
    <x v="26"/>
    <s v="WS-5LUS-APOT"/>
    <d v="2025-04-23T00:00:00"/>
    <n v="25.99"/>
    <n v="25.99"/>
    <n v="2.8588999999999998"/>
    <n v="23.13"/>
    <n v="10.17"/>
    <n v="0.27"/>
    <n v="0.39877104377104378"/>
    <n v="0"/>
    <n v="12.291228956228956"/>
    <n v="12.291228956228956"/>
    <d v="2025-04-30T00:00:00"/>
    <d v="2025-04-30T00:00:00"/>
    <d v="2025-05-02T00:00:00"/>
    <d v="2025-05-06T00:00:00"/>
    <s v="2025 04"/>
    <s v="Aguardando Liberação"/>
    <s v="2025 03"/>
    <s v="ENTREGUE"/>
    <d v="2025-04-24T00:00:00"/>
    <s v="-"/>
    <m/>
    <n v="0"/>
    <n v="0"/>
    <n v="0"/>
    <n v="0"/>
    <n v="0"/>
  </r>
  <r>
    <s v="GO"/>
    <s v="GO45738"/>
    <s v="Pedido 1323"/>
    <d v="2025-03-18T00:00:00"/>
    <d v="2025-03-22T00:00:00"/>
    <s v="PedidoF1267"/>
    <s v="CódRastreio1265"/>
    <n v="1"/>
    <s v="CPF 1288"/>
    <s v="Nome 1288"/>
    <s v="Tel 1288"/>
    <s v="Cep 1288"/>
    <s v="Rua 1288"/>
    <s v="Comp 1288"/>
    <x v="29"/>
    <s v="6G-56LI-EPD4"/>
    <d v="2025-04-08T00:00:00"/>
    <n v="24.17"/>
    <n v="24.17"/>
    <n v="2.9004000000000003"/>
    <n v="21.27"/>
    <n v="10.17"/>
    <n v="0.27"/>
    <n v="0.39877104377104378"/>
    <n v="0"/>
    <n v="10.431228956228956"/>
    <n v="10.431228956228956"/>
    <d v="2025-04-15T00:00:00"/>
    <d v="2025-04-15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GO"/>
    <s v="GO45738"/>
    <s v="Pedido 1324"/>
    <d v="2025-03-18T00:00:00"/>
    <d v="2025-03-22T00:00:00"/>
    <s v="PedidoF1268"/>
    <s v="CódRastreio1266"/>
    <n v="1"/>
    <s v="CPF 1289"/>
    <s v="Nome 1289"/>
    <s v="Tel 1289"/>
    <s v="Cep 1289"/>
    <s v="Rua 1289"/>
    <s v="Comp 1289"/>
    <x v="15"/>
    <s v="K9-YV2I-FO7H"/>
    <d v="2025-04-08T00:00:00"/>
    <n v="44.9"/>
    <n v="44.9"/>
    <n v="6.2860000000000005"/>
    <n v="38.61"/>
    <n v="22.88"/>
    <n v="0.27"/>
    <n v="0.39877104377104378"/>
    <n v="0"/>
    <n v="15.061228956228955"/>
    <n v="15.061228956228955"/>
    <d v="2025-04-15T00:00:00"/>
    <d v="2025-04-15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GO"/>
    <s v="GO45738"/>
    <s v="Pedido 1325"/>
    <d v="2025-03-18T00:00:00"/>
    <d v="2025-03-22T00:00:00"/>
    <s v="PedidoF1269"/>
    <s v="CódRastreio1267"/>
    <n v="1"/>
    <s v="CPF 1290"/>
    <s v="Nome 1290"/>
    <s v="Tel 1290"/>
    <s v="Cep 1290"/>
    <s v="Rua 1290"/>
    <s v="Comp 1290"/>
    <x v="29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d v="2025-04-19T00:00:00"/>
    <d v="2025-04-19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GO"/>
    <s v="GO45738"/>
    <s v="Pedido 1326"/>
    <d v="2025-03-18T00:00:00"/>
    <d v="2025-03-22T00:00:00"/>
    <s v="PedidoF1270"/>
    <s v="CódRastreio1268"/>
    <n v="1"/>
    <s v="CPF 1291"/>
    <s v="Nome 1291"/>
    <s v="Tel 1291"/>
    <s v="Cep 1291"/>
    <s v="Rua 1291"/>
    <s v="Comp 1291"/>
    <x v="26"/>
    <s v="WS-5LUS-APOT"/>
    <d v="2025-04-08T00:00:00"/>
    <n v="25.99"/>
    <n v="25.99"/>
    <n v="2.8588999999999998"/>
    <n v="23.13"/>
    <n v="10.58"/>
    <n v="0.27"/>
    <n v="0.39877104377104378"/>
    <n v="0"/>
    <n v="11.881228956228956"/>
    <n v="11.881228956228956"/>
    <d v="2025-04-15T00:00:00"/>
    <d v="2025-04-15T00:00:00"/>
    <d v="2025-04-15T00:00:00"/>
    <d v="2025-04-16T00:00:00"/>
    <s v="2025 04"/>
    <s v="Aguardando Liberação"/>
    <s v="2025 03"/>
    <s v="ENTREGUE"/>
    <d v="2025-04-16T00:00:00"/>
    <s v="-"/>
    <m/>
    <n v="0"/>
    <n v="0"/>
    <n v="0"/>
    <n v="0"/>
    <n v="0"/>
  </r>
  <r>
    <s v="GO"/>
    <s v="GO45740"/>
    <s v="Pedido 1327"/>
    <d v="2025-03-18T00:00:00"/>
    <d v="2025-03-24T00:00:00"/>
    <s v="PedidoF1271"/>
    <s v="CódRastreio1269"/>
    <n v="1"/>
    <s v="CPF 1292"/>
    <s v="Nome 1292"/>
    <s v="Tel 1292"/>
    <s v="Cep 1292"/>
    <s v="Rua 1292"/>
    <s v="Comp 1292"/>
    <x v="29"/>
    <s v="6G-56LI-EPD4"/>
    <d v="2025-04-08T00:00:00"/>
    <n v="24.17"/>
    <n v="24.17"/>
    <n v="2.9004000000000003"/>
    <n v="21.27"/>
    <n v="10.61"/>
    <n v="0.2"/>
    <n v="0.39877104377104378"/>
    <n v="0"/>
    <n v="10.061228956228957"/>
    <n v="10.061228956228957"/>
    <d v="2025-04-15T00:00:00"/>
    <d v="2025-04-15T00:00:00"/>
    <d v="2025-04-15T00:00:00"/>
    <d v="2025-04-16T00:00:00"/>
    <s v="2025 04"/>
    <s v="Aguardando Liberação"/>
    <s v="2025 03"/>
    <s v="ENTREGUE"/>
    <d v="2025-04-03T00:00:00"/>
    <s v="-"/>
    <m/>
    <n v="0"/>
    <n v="0"/>
    <n v="0"/>
    <n v="0"/>
    <n v="0"/>
  </r>
  <r>
    <s v="GO"/>
    <s v="GO45738"/>
    <s v="Pedido 1328"/>
    <d v="2025-03-18T00:00:00"/>
    <d v="2025-03-22T00:00:00"/>
    <s v="PedidoF1272"/>
    <s v="CódRastreio1270"/>
    <n v="1"/>
    <s v="CPF 1293"/>
    <s v="Nome 1293"/>
    <s v="Tel 1293"/>
    <s v="Cep 1293"/>
    <s v="Rua 1293"/>
    <s v="Comp 1293"/>
    <x v="29"/>
    <s v="6G-56LI-EPD4"/>
    <d v="2025-04-08T00:00:00"/>
    <n v="24.17"/>
    <n v="24.17"/>
    <n v="2.9004000000000003"/>
    <n v="21.27"/>
    <n v="10.58"/>
    <n v="0.27"/>
    <n v="0.39877104377104378"/>
    <n v="0"/>
    <n v="10.021228956228956"/>
    <n v="10.021228956228956"/>
    <d v="2025-04-15T00:00:00"/>
    <d v="2025-04-15T00:00:00"/>
    <d v="2025-04-15T00:00:00"/>
    <d v="2025-04-16T00:00:00"/>
    <s v="2025 04"/>
    <s v="Aguardando Liberação"/>
    <s v="2025 03"/>
    <s v="ENTREGUE"/>
    <d v="2025-04-07T00:00:00"/>
    <s v="-"/>
    <m/>
    <n v="0"/>
    <n v="0"/>
    <n v="0"/>
    <n v="0"/>
    <n v="0"/>
  </r>
  <r>
    <s v="GO"/>
    <s v="GO45740"/>
    <s v="Pedido 1329"/>
    <d v="2025-03-18T00:00:00"/>
    <d v="2025-03-24T00:00:00"/>
    <s v="PedidoF1273"/>
    <s v="CódRastreio1271"/>
    <n v="1"/>
    <s v="CPF 1294"/>
    <s v="Nome 1294"/>
    <s v="Tel 1294"/>
    <s v="Cep 1294"/>
    <s v="Rua 1294"/>
    <s v="Comp 1294"/>
    <x v="29"/>
    <s v="6G-56LI-EPD4"/>
    <d v="2025-04-23T00:00:00"/>
    <n v="24.17"/>
    <n v="24.17"/>
    <n v="2.9004000000000003"/>
    <n v="21.27"/>
    <n v="10.19"/>
    <n v="0.2"/>
    <n v="0.39877104377104378"/>
    <n v="0"/>
    <n v="10.481228956228957"/>
    <n v="10.481228956228957"/>
    <d v="2025-04-30T00:00:00"/>
    <d v="2025-04-30T00:00:00"/>
    <d v="2025-05-02T00:00:00"/>
    <d v="2025-05-06T00:00:00"/>
    <s v="2025 04"/>
    <s v="Aguardando Liberação"/>
    <s v="2025 03"/>
    <s v="ENTREGUE"/>
    <d v="2025-04-11T00:00:00"/>
    <s v="-"/>
    <m/>
    <n v="0"/>
    <n v="0"/>
    <n v="0"/>
    <n v="0"/>
    <n v="0"/>
  </r>
  <r>
    <s v="GO"/>
    <s v="GO45738"/>
    <s v="Pedido 1330"/>
    <d v="2025-03-18T00:00:00"/>
    <d v="2025-03-22T00:00:00"/>
    <s v="PedidoF1274"/>
    <s v="CódRastreio1272"/>
    <n v="1"/>
    <s v="CPF 1295"/>
    <s v="Nome 1295"/>
    <s v="Tel 1295"/>
    <s v="Cep 1295"/>
    <s v="Rua 1295"/>
    <s v="Comp 1295"/>
    <x v="26"/>
    <s v="WS-5LUS-APOT"/>
    <d v="2025-04-12T00:00:00"/>
    <n v="25.99"/>
    <n v="25.99"/>
    <n v="2.8588999999999998"/>
    <n v="23.13"/>
    <n v="10.17"/>
    <n v="0.27"/>
    <n v="0.39877104377104378"/>
    <n v="0"/>
    <n v="12.291228956228956"/>
    <n v="12.291228956228956"/>
    <d v="2025-04-19T00:00:00"/>
    <d v="2025-04-19T00:00:00"/>
    <d v="2025-05-02T00:00:00"/>
    <d v="2025-05-06T00:00:00"/>
    <s v="2025 04"/>
    <s v="Aguardando Liberação"/>
    <s v="2025 03"/>
    <s v="ENTREGUE"/>
    <d v="2025-04-16T00:00:00"/>
    <s v="-"/>
    <m/>
    <n v="0"/>
    <n v="0"/>
    <n v="0"/>
    <n v="0"/>
    <n v="0"/>
  </r>
  <r>
    <s v="GO"/>
    <s v="GO45738"/>
    <s v="Pedido 1331"/>
    <d v="2025-03-18T00:00:00"/>
    <d v="2025-03-22T00:00:00"/>
    <s v="PedidoF1275"/>
    <s v="CódRastreio1273"/>
    <n v="1"/>
    <s v="CPF 1296"/>
    <s v="Nome 1296"/>
    <s v="Tel 1296"/>
    <s v="Cep 1296"/>
    <s v="Rua 1296"/>
    <s v="Comp 1296"/>
    <x v="29"/>
    <s v="6G-56LI-EPD4"/>
    <d v="2025-04-12T00:00:00"/>
    <n v="24.17"/>
    <n v="24.17"/>
    <n v="2.9004000000000003"/>
    <n v="21.27"/>
    <n v="10.58"/>
    <n v="0.27"/>
    <n v="0.39877104377104378"/>
    <n v="0"/>
    <n v="10.021228956228956"/>
    <n v="10.021228956228956"/>
    <d v="2025-04-19T00:00:00"/>
    <d v="2025-04-19T00:00:00"/>
    <d v="2025-05-02T00:00:00"/>
    <d v="2025-05-06T00:00:00"/>
    <s v="2025 04"/>
    <s v="Aguardando Liberação"/>
    <s v="2025 03"/>
    <s v="ENTREGUE"/>
    <d v="2025-04-16T00:00:00"/>
    <s v="-"/>
    <m/>
    <n v="0"/>
    <n v="0"/>
    <n v="0"/>
    <n v="0"/>
    <n v="0"/>
  </r>
  <r>
    <s v="GO"/>
    <s v="GO45738"/>
    <s v="Pedido 1332"/>
    <d v="2025-03-18T00:00:00"/>
    <d v="2025-03-22T00:00:00"/>
    <s v="PedidoF1276"/>
    <s v="CódRastreio1274"/>
    <n v="1"/>
    <s v="CPF 1297"/>
    <s v="Nome 1297"/>
    <s v="Tel 1297"/>
    <s v="Cep 1297"/>
    <s v="Rua 1297"/>
    <s v="Comp 1297"/>
    <x v="29"/>
    <s v="6G-56LI-EPD4"/>
    <d v="2025-04-12T00:00:00"/>
    <n v="24.17"/>
    <n v="24.17"/>
    <n v="2.9004000000000003"/>
    <n v="21.27"/>
    <n v="10.58"/>
    <n v="0.27"/>
    <n v="0.39877104377104378"/>
    <n v="0"/>
    <n v="10.021228956228956"/>
    <n v="10.021228956228956"/>
    <d v="2025-04-19T00:00:00"/>
    <d v="2025-04-19T00:00:00"/>
    <d v="2025-05-02T00:00:00"/>
    <d v="2025-05-06T00:00:00"/>
    <s v="2025 04"/>
    <s v="Aguardando Liberação"/>
    <s v="2025 03"/>
    <s v="ENTREGUE"/>
    <d v="2025-04-16T00:00:00"/>
    <s v="-"/>
    <m/>
    <n v="0"/>
    <n v="0"/>
    <n v="0"/>
    <n v="0"/>
    <n v="0"/>
  </r>
  <r>
    <s v="GO"/>
    <s v="GO45738"/>
    <s v="Pedido 1333"/>
    <d v="2025-03-18T00:00:00"/>
    <d v="2025-03-22T00:00:00"/>
    <s v="PedidoF1277"/>
    <s v="CódRastreio1275"/>
    <n v="1"/>
    <s v="CPF 1298"/>
    <s v="Nome 1298"/>
    <s v="Tel 1298"/>
    <s v="Cep 1298"/>
    <s v="Rua 1298"/>
    <s v="Comp 1298"/>
    <x v="1"/>
    <s v="Q3-ZLM0-OEUO"/>
    <d v="2025-04-12T00:00:00"/>
    <n v="30.95"/>
    <n v="30.95"/>
    <n v="4.3330000000000002"/>
    <n v="26.62"/>
    <n v="16.3"/>
    <n v="0.27"/>
    <n v="0.39877104377104378"/>
    <n v="0"/>
    <n v="9.6512289562289553"/>
    <n v="9.6512289562289553"/>
    <d v="2025-04-19T00:00:00"/>
    <d v="2025-04-19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GO"/>
    <s v="GO45738"/>
    <s v="Pedido 1334"/>
    <d v="2025-03-18T00:00:00"/>
    <d v="2025-03-22T00:00:00"/>
    <s v="PedidoF1278"/>
    <s v="CódRastreio1276"/>
    <n v="1"/>
    <s v="CPF 1299"/>
    <s v="Nome 1299"/>
    <s v="Tel 1299"/>
    <s v="Cep 1299"/>
    <s v="Rua 1299"/>
    <s v="Comp 1299"/>
    <x v="29"/>
    <s v="6G-56LI-EPD4"/>
    <d v="2025-04-23T00:00:00"/>
    <n v="24.17"/>
    <n v="24.17"/>
    <n v="2.9004000000000003"/>
    <n v="21.27"/>
    <n v="0"/>
    <n v="0.27"/>
    <n v="0.39877104377104378"/>
    <n v="0"/>
    <n v="20.601228956228955"/>
    <n v="20.601228956228955"/>
    <d v="2025-04-30T00:00:00"/>
    <d v="2025-04-30T00:00:00"/>
    <d v="2025-05-02T00:00:00"/>
    <d v="2025-05-06T00:00:00"/>
    <s v="2025 04"/>
    <s v="Aguardando Liberação"/>
    <s v="2025 03"/>
    <s v="ENTREGUE"/>
    <d v="2025-05-13T00:00:00"/>
    <s v="-"/>
    <m/>
    <n v="0"/>
    <n v="0"/>
    <n v="0"/>
    <n v="0"/>
    <n v="0"/>
  </r>
  <r>
    <s v="GO"/>
    <s v="GO45740"/>
    <s v="Pedido 1335"/>
    <d v="2025-03-18T00:00:00"/>
    <d v="2025-03-24T00:00:00"/>
    <s v="PedidoF1279"/>
    <s v="CódRastreio1277"/>
    <n v="1"/>
    <s v="CPF 1300"/>
    <s v="Nome 1300"/>
    <s v="Tel 1300"/>
    <s v="Cep 1300"/>
    <s v="Rua 1300"/>
    <s v="Comp 1300"/>
    <x v="29"/>
    <s v="6G-56LI-EPD4"/>
    <d v="2025-04-12T00:00:00"/>
    <n v="24.17"/>
    <n v="24.17"/>
    <n v="2.9004000000000003"/>
    <n v="21.27"/>
    <n v="10.19"/>
    <n v="0.2"/>
    <n v="0.39877104377104378"/>
    <n v="0"/>
    <n v="10.481228956228957"/>
    <n v="10.481228956228957"/>
    <d v="2025-04-19T00:00:00"/>
    <d v="2025-04-19T00:00:00"/>
    <d v="2025-05-02T00:00:00"/>
    <d v="2025-05-06T00:00:00"/>
    <s v="2025 04"/>
    <s v="Aguardando Liberação"/>
    <s v="2025 03"/>
    <s v="ENTREGUE"/>
    <d v="2025-04-15T00:00:00"/>
    <s v="-"/>
    <m/>
    <n v="0"/>
    <n v="0"/>
    <n v="0"/>
    <n v="0"/>
    <n v="0"/>
  </r>
  <r>
    <s v="GO"/>
    <s v="GO45738"/>
    <s v="Pedido 1336"/>
    <d v="2025-03-18T00:00:00"/>
    <d v="2025-03-22T00:00:00"/>
    <s v="PedidoF1280"/>
    <s v="CódRastreio1278"/>
    <n v="1"/>
    <s v="CPF 1301"/>
    <s v="Nome 1301"/>
    <s v="Tel 1301"/>
    <s v="Cep 1301"/>
    <s v="Rua 1301"/>
    <s v="Comp 1301"/>
    <x v="29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d v="2025-04-19T00:00:00"/>
    <d v="2025-04-19T00:00:00"/>
    <d v="2025-05-02T00:00:00"/>
    <d v="2025-05-06T00:00:00"/>
    <s v="2025 04"/>
    <s v="Aguardando Liberação"/>
    <s v="2025 03"/>
    <s v="ENTREGUE"/>
    <d v="2025-04-11T00:00:00"/>
    <s v="-"/>
    <m/>
    <n v="0"/>
    <n v="0"/>
    <n v="0"/>
    <n v="0"/>
    <n v="0"/>
  </r>
  <r>
    <s v="GO"/>
    <s v="GO45738"/>
    <s v="Pedido 1337"/>
    <d v="2025-03-18T00:00:00"/>
    <d v="2025-03-22T00:00:00"/>
    <s v="PedidoF1281"/>
    <s v="CódRastreio1279"/>
    <n v="1"/>
    <s v="CPF 1302"/>
    <s v="Nome 1302"/>
    <s v="Tel 1302"/>
    <s v="Cep 1302"/>
    <s v="Rua 1302"/>
    <s v="Comp 1302"/>
    <x v="29"/>
    <s v="6G-56LI-EPD4"/>
    <d v="2025-04-12T00:00:00"/>
    <n v="24.17"/>
    <n v="24.17"/>
    <n v="2.9004000000000003"/>
    <n v="21.27"/>
    <n v="10.58"/>
    <n v="0.27"/>
    <n v="0.39877104377104378"/>
    <n v="0"/>
    <n v="10.021228956228956"/>
    <n v="10.021228956228956"/>
    <d v="2025-04-19T00:00:00"/>
    <d v="2025-04-19T00:00:00"/>
    <d v="2025-05-02T00:00:00"/>
    <d v="2025-05-06T00:00:00"/>
    <s v="2025 04"/>
    <s v="Aguardando Liberação"/>
    <s v="2025 03"/>
    <s v="ENTREGUE"/>
    <d v="2025-04-08T00:00:00"/>
    <s v="-"/>
    <m/>
    <n v="0"/>
    <n v="0"/>
    <n v="0"/>
    <n v="0"/>
    <n v="0"/>
  </r>
  <r>
    <s v="GO"/>
    <s v="GO45740"/>
    <s v="Pedido 1338"/>
    <d v="2025-03-18T00:00:00"/>
    <d v="2025-03-24T00:00:00"/>
    <s v="PedidoF1282"/>
    <s v="CódRastreio1280"/>
    <n v="1"/>
    <s v="CPF 1303"/>
    <s v="Nome 1303"/>
    <s v="Tel 1303"/>
    <s v="Cep 1303"/>
    <s v="Rua 1303"/>
    <s v="Comp 1303"/>
    <x v="29"/>
    <s v="6G-56LI-EPD4"/>
    <d v="2025-04-12T00:00:00"/>
    <n v="24.17"/>
    <n v="24.17"/>
    <n v="2.9004000000000003"/>
    <n v="21.27"/>
    <n v="10.19"/>
    <n v="0.2"/>
    <n v="0.39877104377104378"/>
    <n v="0"/>
    <n v="10.481228956228957"/>
    <n v="10.481228956228957"/>
    <d v="2025-04-19T00:00:00"/>
    <d v="2025-04-19T00:00:00"/>
    <d v="2025-05-02T00:00:00"/>
    <d v="2025-05-06T00:00:00"/>
    <s v="2025 04"/>
    <s v="Aguardando Liberação"/>
    <s v="2025 03"/>
    <s v="ENTREGUE"/>
    <d v="2025-04-04T00:00:00"/>
    <s v="-"/>
    <m/>
    <n v="0"/>
    <n v="0"/>
    <n v="0"/>
    <n v="0"/>
    <n v="0"/>
  </r>
  <r>
    <s v="GO"/>
    <s v="GO45740"/>
    <s v="Pedido 1339"/>
    <d v="2025-03-18T00:00:00"/>
    <d v="2025-03-24T00:00:00"/>
    <s v="PedidoF1283"/>
    <s v="CódRastreio1281"/>
    <n v="1"/>
    <s v="CPF 1304"/>
    <s v="Nome 1304"/>
    <s v="Tel 1304"/>
    <s v="Cep 1304"/>
    <s v="Rua 1304"/>
    <s v="Comp 1304"/>
    <x v="10"/>
    <s v="EP-9PIR-BWXH"/>
    <d v="2025-04-12T00:00:00"/>
    <n v="100"/>
    <n v="100"/>
    <n v="13"/>
    <n v="87"/>
    <n v="12.3"/>
    <n v="0.2"/>
    <n v="0.39877104377104378"/>
    <n v="0"/>
    <n v="74.101228956228951"/>
    <n v="74.101228956228951"/>
    <d v="2025-04-19T00:00:00"/>
    <d v="2025-04-19T00:00:00"/>
    <d v="2025-05-02T00:00:00"/>
    <d v="2025-05-06T00:00:00"/>
    <s v="2025 04"/>
    <s v="Aguardando Liberação"/>
    <s v="2025 03"/>
    <s v="ENTREGUE"/>
    <d v="2025-04-10T00:00:00"/>
    <s v="-"/>
    <m/>
    <n v="0"/>
    <n v="0"/>
    <n v="0"/>
    <n v="0"/>
    <n v="0"/>
  </r>
  <r>
    <s v="GO"/>
    <s v="GO45738"/>
    <s v="Pedido 1340"/>
    <d v="2025-03-19T00:00:00"/>
    <d v="2025-03-22T00:00:00"/>
    <s v="PedidoF1284"/>
    <s v="CódRastreio1282"/>
    <n v="1"/>
    <s v="CPF 1305"/>
    <s v="Nome 1305"/>
    <s v="Tel 1305"/>
    <s v="Cep 1305"/>
    <s v="Rua 1305"/>
    <s v="Comp 1305"/>
    <x v="10"/>
    <s v="EP-9PIR-BWXH"/>
    <d v="2025-04-08T00:00:00"/>
    <n v="100"/>
    <n v="100"/>
    <n v="13"/>
    <n v="87"/>
    <n v="11.66"/>
    <n v="0.27"/>
    <n v="0.39877104377104378"/>
    <n v="0"/>
    <n v="74.671228956228958"/>
    <n v="74.671228956228958"/>
    <d v="2025-04-15T00:00:00"/>
    <d v="2025-04-15T00:00:00"/>
    <d v="2025-04-15T00:00:00"/>
    <d v="2025-04-1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40"/>
    <s v="Pedido 1341"/>
    <d v="2025-03-23T00:00:00"/>
    <d v="2025-03-24T00:00:00"/>
    <s v="PedidoF1285"/>
    <s v="CódRastreio1283"/>
    <n v="1"/>
    <s v="CPF 1306"/>
    <s v="Nome 1306"/>
    <s v="Tel 1306"/>
    <s v="Cep 1306"/>
    <s v="Rua 1306"/>
    <s v="Comp 1306"/>
    <x v="12"/>
    <s v="PK-L2Z7-MQRQ"/>
    <d v="2025-04-11T00:00:00"/>
    <n v="49.9"/>
    <n v="49.9"/>
    <n v="6.4870000000000001"/>
    <n v="43.41"/>
    <n v="11.77"/>
    <n v="0.24"/>
    <n v="0.39877104377104378"/>
    <n v="0"/>
    <n v="31.001228956228953"/>
    <n v="15.500614478114477"/>
    <d v="2025-04-18T00:00:00"/>
    <d v="2025-04-18T00:00:00"/>
    <d v="2025-05-02T00:00:00"/>
    <d v="2025-05-0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-"/>
    <s v="Pedido 1342"/>
    <d v="2025-03-23T00:00:00"/>
    <s v="-"/>
    <s v="-"/>
    <s v="-"/>
    <n v="1"/>
    <s v="CPF 1307"/>
    <s v="Nome 1307"/>
    <s v="Tel 1307"/>
    <s v="Cep 1307"/>
    <s v="Rua 1307"/>
    <s v="Comp 1307"/>
    <x v="12"/>
    <s v="PK-L2Z7-MQRQ"/>
    <d v="2025-04-11T00:00:00"/>
    <n v="49.9"/>
    <n v="49.9"/>
    <n v="6.4870000000000001"/>
    <n v="43.41"/>
    <n v="0"/>
    <n v="0"/>
    <n v="0"/>
    <n v="0"/>
    <n v="43.41"/>
    <n v="21.704999999999998"/>
    <d v="2025-04-18T00:00:00"/>
    <d v="2025-04-18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MEI"/>
    <s v="MEI45740"/>
    <s v="Pedido 1343"/>
    <d v="2025-03-23T00:00:00"/>
    <d v="2025-03-24T00:00:00"/>
    <s v="PedidoF1286"/>
    <s v="CódRastreio1284"/>
    <n v="1"/>
    <s v="CPF 1308"/>
    <s v="Nome 1308"/>
    <s v="Tel 1308"/>
    <s v="Cep 1308"/>
    <s v="Rua 1308"/>
    <s v="Comp 1308"/>
    <x v="16"/>
    <s v="T1-SWVB-UPOW"/>
    <d v="2025-04-17T00:00:00"/>
    <n v="29.99"/>
    <n v="29.99"/>
    <n v="3.8986999999999998"/>
    <n v="26.09"/>
    <n v="10.61"/>
    <n v="0.24"/>
    <n v="0.39877104377104378"/>
    <n v="0"/>
    <n v="14.841228956228957"/>
    <n v="7.4206144781144783"/>
    <d v="2025-04-24T00:00:00"/>
    <d v="2025-04-24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40"/>
    <s v="Pedido 1344"/>
    <d v="2025-03-24T00:00:00"/>
    <d v="2025-03-24T00:00:00"/>
    <s v="PedidoF1287"/>
    <s v="CódRastreio1285"/>
    <n v="1"/>
    <s v="CPF 1309"/>
    <s v="Nome 1309"/>
    <s v="Tel 1309"/>
    <s v="Cep 1309"/>
    <s v="Rua 1309"/>
    <s v="Comp 1309"/>
    <x v="28"/>
    <s v="Z0-F6CI-18CL"/>
    <d v="2025-04-11T00:00:00"/>
    <n v="44.95"/>
    <n v="44.95"/>
    <n v="5.3940000000000001"/>
    <n v="39.56"/>
    <n v="11.48"/>
    <n v="0.24"/>
    <n v="0.39877104377104378"/>
    <n v="0"/>
    <n v="27.441228956228958"/>
    <n v="13.720614478114479"/>
    <d v="2025-04-18T00:00:00"/>
    <d v="2025-04-18T00:00:00"/>
    <d v="2025-05-02T00:00:00"/>
    <d v="2025-05-06T00:00:00"/>
    <s v="2025 04"/>
    <s v="Aguardando Liberação"/>
    <s v="2025 03"/>
    <s v="ENTREGUE"/>
    <d v="2025-04-03T00:00:00"/>
    <s v="-"/>
    <m/>
    <n v="0"/>
    <n v="0"/>
    <n v="0"/>
    <n v="0"/>
    <n v="0"/>
  </r>
  <r>
    <s v="MEI"/>
    <s v="MEI45740"/>
    <s v="Pedido 1345"/>
    <d v="2025-03-24T00:00:00"/>
    <d v="2025-03-24T00:00:00"/>
    <s v="PedidoF1288"/>
    <s v="CódRastreio1286"/>
    <n v="1"/>
    <s v="CPF 1310"/>
    <s v="Nome 1310"/>
    <s v="Tel 1310"/>
    <s v="Cep 1310"/>
    <s v="Rua 1310"/>
    <s v="Comp 1310"/>
    <x v="3"/>
    <s v="WR-82Y0-OV27"/>
    <d v="2025-04-17T00:00:00"/>
    <n v="59.89"/>
    <n v="59.89"/>
    <n v="7.7857000000000003"/>
    <n v="52.1"/>
    <n v="12.49"/>
    <n v="0.24"/>
    <n v="0.39877104377104378"/>
    <n v="0"/>
    <n v="38.971228956228956"/>
    <n v="19.485614478114478"/>
    <d v="2025-04-24T00:00:00"/>
    <d v="2025-04-24T00:00:00"/>
    <d v="2025-05-02T00:00:00"/>
    <d v="2025-05-06T00:00:00"/>
    <s v="2025 04"/>
    <s v="Aguardando Liberação"/>
    <s v="2025 03"/>
    <s v="ENTREGUE"/>
    <d v="2025-04-11T00:00:00"/>
    <s v="-"/>
    <m/>
    <n v="0"/>
    <n v="0"/>
    <n v="0"/>
    <n v="0"/>
    <n v="0"/>
  </r>
  <r>
    <s v="MEI"/>
    <s v="MEI45740"/>
    <s v="Pedido 1346"/>
    <d v="2025-03-24T00:00:00"/>
    <d v="2025-03-24T00:00:00"/>
    <s v="PedidoF1289"/>
    <s v="CódRastreio1287"/>
    <n v="1"/>
    <s v="CPF 1311"/>
    <s v="Nome 1311"/>
    <s v="Tel 1311"/>
    <s v="Cep 1311"/>
    <s v="Rua 1311"/>
    <s v="Comp 1311"/>
    <x v="12"/>
    <s v="PK-L2Z7-MQRQ"/>
    <d v="2025-04-11T00:00:00"/>
    <n v="49.9"/>
    <n v="49.9"/>
    <n v="6.4870000000000001"/>
    <n v="43.41"/>
    <n v="11.77"/>
    <n v="0.24"/>
    <n v="0.39877104377104378"/>
    <n v="0"/>
    <n v="31.001228956228953"/>
    <n v="15.500614478114477"/>
    <d v="2025-04-18T00:00:00"/>
    <d v="2025-04-18T00:00:00"/>
    <d v="2025-05-02T00:00:00"/>
    <d v="2025-05-06T00:00:00"/>
    <s v="2025 04"/>
    <s v="Aguardando Liberação"/>
    <s v="2025 03"/>
    <s v="ENTREGUE"/>
    <d v="2025-04-04T00:00:00"/>
    <s v="-"/>
    <m/>
    <n v="0"/>
    <n v="0"/>
    <n v="0"/>
    <n v="0"/>
    <n v="0"/>
  </r>
  <r>
    <s v="MEI"/>
    <s v="MEI45740"/>
    <s v="Pedido 1347"/>
    <d v="2025-03-24T00:00:00"/>
    <d v="2025-03-24T00:00:00"/>
    <s v="PedidoF1290"/>
    <s v="CódRastreio1288"/>
    <n v="1"/>
    <s v="CPF 1312"/>
    <s v="Nome 1312"/>
    <s v="Tel 1312"/>
    <s v="Cep 1312"/>
    <s v="Rua 1312"/>
    <s v="Comp 1312"/>
    <x v="16"/>
    <s v="T1-SWVB-UPOW"/>
    <d v="2025-04-29T00:00:00"/>
    <n v="29.99"/>
    <n v="29.99"/>
    <n v="3.8986999999999998"/>
    <n v="26.09"/>
    <n v="10.19"/>
    <n v="0.24"/>
    <n v="0.39877104377104378"/>
    <n v="0"/>
    <n v="15.261228956228956"/>
    <n v="7.6306144781144782"/>
    <d v="2025-05-06T00:00:00"/>
    <d v="2025-05-06T00:00:00"/>
    <d v="2025-05-16T00:00:00"/>
    <d v="2025-05-20T00:00:00"/>
    <s v="2025 05"/>
    <s v="Aguardando Liberação"/>
    <s v="2025 03"/>
    <s v="ENTREGUE"/>
    <d v="2025-04-08T00:00:00"/>
    <s v="-"/>
    <m/>
    <n v="0"/>
    <n v="0"/>
    <n v="0"/>
    <n v="0"/>
    <n v="0"/>
  </r>
  <r>
    <s v="MEI"/>
    <s v="MEI45740"/>
    <s v="Pedido 1348"/>
    <d v="2025-03-24T00:00:00"/>
    <d v="2025-03-24T00:00:00"/>
    <s v="PedidoF1291"/>
    <s v="CódRastreio1289"/>
    <n v="1"/>
    <s v="CPF 1313"/>
    <s v="Nome 1313"/>
    <s v="Tel 1313"/>
    <s v="Cep 1313"/>
    <s v="Rua 1313"/>
    <s v="Comp 1313"/>
    <x v="29"/>
    <s v="RX-DD1P-P5U2"/>
    <d v="2025-04-29T00:00:00"/>
    <n v="32.99"/>
    <n v="32.99"/>
    <n v="3.9588000000000001"/>
    <n v="29.03"/>
    <n v="10.19"/>
    <n v="0.24"/>
    <n v="0.39877104377104378"/>
    <n v="0"/>
    <n v="18.20122895622896"/>
    <n v="9.1006144781144798"/>
    <d v="2025-05-06T00:00:00"/>
    <d v="2025-05-06T00:00:00"/>
    <d v="2025-05-16T00:00:00"/>
    <d v="2025-05-20T00:00:00"/>
    <s v="2025 05"/>
    <s v="Aguardando Liberação"/>
    <s v="2025 03"/>
    <s v="ENTREGUE"/>
    <d v="2025-04-09T00:00:00"/>
    <s v="-"/>
    <m/>
    <n v="0"/>
    <n v="0"/>
    <n v="0"/>
    <n v="0"/>
    <n v="0"/>
  </r>
  <r>
    <s v="MEI"/>
    <s v="MEI45740"/>
    <s v="Pedido 1349"/>
    <d v="2025-03-24T00:00:00"/>
    <d v="2025-03-24T00:00:00"/>
    <s v="PedidoF1292"/>
    <s v="CódRastreio1290"/>
    <n v="1"/>
    <s v="CPF 1314"/>
    <s v="Nome 1314"/>
    <s v="Tel 1314"/>
    <s v="Cep 1314"/>
    <s v="Rua 1314"/>
    <s v="Comp 1314"/>
    <x v="12"/>
    <s v="PK-L2Z7-MQRQ"/>
    <d v="2025-04-12T00:00:00"/>
    <n v="49.9"/>
    <n v="49.9"/>
    <n v="6.4870000000000001"/>
    <n v="43.41"/>
    <n v="11.77"/>
    <n v="0.24"/>
    <n v="0.39877104377104378"/>
    <n v="0"/>
    <n v="31.001228956228953"/>
    <n v="15.500614478114477"/>
    <d v="2025-04-19T00:00:00"/>
    <d v="2025-04-19T00:00:00"/>
    <d v="2025-05-02T00:00:00"/>
    <d v="2025-05-06T00:00:00"/>
    <s v="2025 04"/>
    <s v="Aguardando Liberação"/>
    <s v="2025 03"/>
    <s v="ENTREGUE"/>
    <d v="2025-04-01T00:00:00"/>
    <s v="-"/>
    <m/>
    <n v="0"/>
    <n v="0"/>
    <n v="0"/>
    <n v="0"/>
    <n v="0"/>
  </r>
  <r>
    <s v="MEI"/>
    <s v="MEI45740"/>
    <s v="Pedido 1350"/>
    <d v="2025-03-24T00:00:00"/>
    <d v="2025-03-24T00:00:00"/>
    <s v="PedidoF1293"/>
    <s v="CódRastreio1291"/>
    <n v="1"/>
    <s v="CPF 1315"/>
    <s v="Nome 1315"/>
    <s v="Tel 1315"/>
    <s v="Cep 1315"/>
    <s v="Rua 1315"/>
    <s v="Comp 1315"/>
    <x v="11"/>
    <s v="JV-A3YY-I7XH"/>
    <d v="2025-04-12T00:00:00"/>
    <n v="70.489999999999995"/>
    <n v="70.489999999999995"/>
    <n v="9.1637000000000004"/>
    <n v="61.33"/>
    <n v="34.24"/>
    <n v="0.24"/>
    <n v="0.39877104377104378"/>
    <n v="0"/>
    <n v="26.451228956228952"/>
    <n v="13.225614478114476"/>
    <d v="2025-04-19T00:00:00"/>
    <d v="2025-04-19T00:00:00"/>
    <d v="2025-05-02T00:00:00"/>
    <d v="2025-05-06T00:00:00"/>
    <s v="2025 04"/>
    <s v="Aguardando Liberação"/>
    <s v="2025 03"/>
    <s v="ENTREGUE"/>
    <d v="2025-04-10T00:00:00"/>
    <s v="-"/>
    <m/>
    <n v="0"/>
    <n v="0"/>
    <n v="0"/>
    <n v="0"/>
    <n v="0"/>
  </r>
  <r>
    <s v="MEI"/>
    <s v="MEI45741"/>
    <s v="Pedido 1351"/>
    <d v="2025-03-24T00:00:00"/>
    <d v="2025-03-25T00:00:00"/>
    <s v="PedidoF1294"/>
    <s v="CódRastreio1292"/>
    <n v="1"/>
    <s v="CPF 1316"/>
    <s v="Nome 1316"/>
    <s v="Tel 1316"/>
    <s v="Cep 1316"/>
    <s v="Rua 1316"/>
    <s v="Comp 1316"/>
    <x v="29"/>
    <s v="RX-DD1P-P5U2"/>
    <d v="2025-04-29T00:00:00"/>
    <n v="32.99"/>
    <n v="32.99"/>
    <n v="3.9588000000000001"/>
    <n v="29.03"/>
    <n v="10.17"/>
    <n v="0.25"/>
    <n v="0.39877104377104378"/>
    <n v="0"/>
    <n v="18.211228956228958"/>
    <n v="9.1056144781144788"/>
    <d v="2025-05-06T00:00:00"/>
    <d v="2025-05-06T00:00:00"/>
    <d v="2025-05-16T00:00:00"/>
    <d v="2025-05-20T00:00:00"/>
    <s v="2025 05"/>
    <s v="Aguardando Liberação"/>
    <s v="2025 03"/>
    <s v="ENTREGUE"/>
    <d v="2025-04-25T00:00:00"/>
    <s v="-"/>
    <m/>
    <n v="0"/>
    <n v="0"/>
    <n v="0"/>
    <n v="0"/>
    <n v="0"/>
  </r>
  <r>
    <s v="MEI"/>
    <s v="MEI45741"/>
    <s v="Pedido 1352"/>
    <d v="2025-03-25T00:00:00"/>
    <d v="2025-03-25T00:00:00"/>
    <s v="PedidoF1295"/>
    <s v="CódRastreio1293"/>
    <n v="1"/>
    <s v="CPF 1317"/>
    <s v="Nome 1317"/>
    <s v="Tel 1317"/>
    <s v="Cep 1317"/>
    <s v="Rua 1317"/>
    <s v="Comp 1317"/>
    <x v="15"/>
    <s v="71-KHMZ-MLQW"/>
    <d v="2025-04-23T00:00:00"/>
    <n v="53"/>
    <n v="53"/>
    <n v="5.83"/>
    <n v="47.17"/>
    <n v="22.33"/>
    <n v="0.25"/>
    <n v="0.39877104377104378"/>
    <n v="0"/>
    <n v="24.191228956228958"/>
    <n v="12.095614478114479"/>
    <d v="2025-04-30T00:00:00"/>
    <d v="2025-04-30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41"/>
    <s v="Pedido 1353"/>
    <d v="2025-03-25T00:00:00"/>
    <d v="2025-03-25T00:00:00"/>
    <s v="PedidoF1296"/>
    <s v="CódRastreio1294"/>
    <n v="1"/>
    <s v="CPF 1318"/>
    <s v="Nome 1318"/>
    <s v="Tel 1318"/>
    <s v="Cep 1318"/>
    <s v="Rua 1318"/>
    <s v="Comp 1318"/>
    <x v="26"/>
    <s v="BG-DHRO-FAEE"/>
    <d v="2025-04-30T00:00:00"/>
    <n v="32.99"/>
    <n v="32.99"/>
    <n v="3.6289000000000002"/>
    <n v="29.36"/>
    <n v="0"/>
    <n v="0.25"/>
    <n v="0.39877104377104378"/>
    <n v="0"/>
    <n v="28.711228956228954"/>
    <n v="14.355614478114477"/>
    <d v="2025-05-07T00:00:00"/>
    <d v="2025-05-07T00:00:00"/>
    <d v="2025-05-16T00:00:00"/>
    <d v="2025-05-20T00:00:00"/>
    <s v="2025 05"/>
    <s v="Aguardando Liberação"/>
    <s v="2025 03"/>
    <s v="ENTREGUE"/>
    <d v="2025-05-20T00:00:00"/>
    <s v="-"/>
    <m/>
    <n v="0"/>
    <n v="0"/>
    <n v="0"/>
    <n v="0"/>
    <n v="0"/>
  </r>
  <r>
    <s v="MEI"/>
    <s v="MEI45741"/>
    <s v="Pedido 1354"/>
    <d v="2025-03-25T00:00:00"/>
    <d v="2025-03-25T00:00:00"/>
    <s v="PedidoF1297"/>
    <s v="CódRastreio1295"/>
    <n v="1"/>
    <s v="CPF 1319"/>
    <s v="Nome 1319"/>
    <s v="Tel 1319"/>
    <s v="Cep 1319"/>
    <s v="Rua 1319"/>
    <s v="Comp 1319"/>
    <x v="12"/>
    <s v="PK-L2Z7-MQRQ"/>
    <d v="2025-04-30T00:00:00"/>
    <n v="49.9"/>
    <n v="49.9"/>
    <n v="5.9879999999999995"/>
    <n v="43.91"/>
    <n v="11.57"/>
    <n v="0.25"/>
    <n v="0.39877104377104378"/>
    <n v="0"/>
    <n v="31.691228956228954"/>
    <n v="15.845614478114477"/>
    <d v="2025-05-07T00:00:00"/>
    <d v="2025-05-07T00:00:00"/>
    <d v="2025-05-16T00:00:00"/>
    <d v="2025-05-20T00:00:00"/>
    <s v="2025 05"/>
    <s v="Aguardando Liberação"/>
    <s v="2025 03"/>
    <s v="ENTREGUE"/>
    <d v="2025-04-15T00:00:00"/>
    <s v="-"/>
    <m/>
    <n v="0"/>
    <n v="0"/>
    <n v="0"/>
    <n v="0"/>
    <n v="0"/>
  </r>
  <r>
    <s v="MEI"/>
    <s v="MEI45742"/>
    <s v="Pedido 1355"/>
    <d v="2025-03-26T00:00:00"/>
    <d v="2025-03-26T00:00:00"/>
    <s v="PedidoF1298"/>
    <s v="CódRastreio1296"/>
    <n v="1"/>
    <s v="CPF 1320"/>
    <s v="Nome 1320"/>
    <s v="Tel 1320"/>
    <s v="Cep 1320"/>
    <s v="Rua 1320"/>
    <s v="Comp 1320"/>
    <x v="26"/>
    <s v="BG-DHRO-FAEE"/>
    <d v="2025-04-23T00:00:00"/>
    <n v="32.99"/>
    <n v="32.99"/>
    <n v="3.6289000000000002"/>
    <n v="29.36"/>
    <n v="10.16"/>
    <n v="0.6"/>
    <n v="0.39877104377104378"/>
    <n v="0"/>
    <n v="18.201228956228956"/>
    <n v="9.100614478114478"/>
    <d v="2025-04-30T00:00:00"/>
    <d v="2025-04-30T00:00:00"/>
    <d v="2025-05-02T00:00:00"/>
    <d v="2025-05-06T00:00:00"/>
    <s v="2025 04"/>
    <s v="Aguardando Liberação"/>
    <s v="2025 03"/>
    <s v="ENTREGUE"/>
    <d v="2025-04-17T00:00:00"/>
    <s v="-"/>
    <m/>
    <n v="0"/>
    <n v="0"/>
    <n v="0"/>
    <n v="0"/>
    <n v="0"/>
  </r>
  <r>
    <s v="MEI"/>
    <s v="MEI45743"/>
    <s v="Pedido 1356"/>
    <d v="2025-03-26T00:00:00"/>
    <d v="2025-03-27T00:00:00"/>
    <s v="PedidoF1299"/>
    <s v="CódRastreio1297"/>
    <n v="1"/>
    <s v="CPF 1321"/>
    <s v="Nome 1321"/>
    <s v="Tel 1321"/>
    <s v="Cep 1321"/>
    <s v="Rua 1321"/>
    <s v="Comp 1321"/>
    <x v="15"/>
    <s v="71-KHMZ-MLQW"/>
    <d v="2025-04-23T00:00:00"/>
    <n v="53"/>
    <n v="53"/>
    <n v="5.83"/>
    <n v="47.17"/>
    <n v="22.44"/>
    <n v="0.2"/>
    <n v="0.39877104377104378"/>
    <n v="0"/>
    <n v="24.131228956228956"/>
    <n v="12.065614478114478"/>
    <d v="2025-04-30T00:00:00"/>
    <d v="2025-04-30T00:00:00"/>
    <d v="2025-05-02T00:00:00"/>
    <d v="2025-05-06T00:00:00"/>
    <s v="2025 04"/>
    <s v="Aguardando Liberação"/>
    <s v="2025 03"/>
    <s v="ENTREGUE"/>
    <d v="2025-04-11T00:00:00"/>
    <s v="-"/>
    <m/>
    <n v="0"/>
    <n v="0"/>
    <n v="0"/>
    <n v="0"/>
    <n v="0"/>
  </r>
  <r>
    <s v="MEI"/>
    <s v="MEI45743"/>
    <s v="Pedido 1357"/>
    <d v="2025-03-26T00:00:00"/>
    <d v="2025-03-27T00:00:00"/>
    <s v="PedidoF1300"/>
    <s v="CódRastreio1298"/>
    <n v="1"/>
    <s v="CPF 1322"/>
    <s v="Nome 1322"/>
    <s v="Tel 1322"/>
    <s v="Cep 1322"/>
    <s v="Rua 1322"/>
    <s v="Comp 1322"/>
    <x v="15"/>
    <s v="71-KHMZ-MLQW"/>
    <d v="2025-05-01T00:00:00"/>
    <n v="53"/>
    <n v="53"/>
    <n v="5.83"/>
    <n v="47.17"/>
    <n v="21.66"/>
    <n v="0.2"/>
    <n v="0.39877104377104378"/>
    <n v="0"/>
    <n v="24.911228956228957"/>
    <n v="12.455614478114478"/>
    <d v="2025-05-08T00:00:00"/>
    <d v="2025-05-08T00:00:00"/>
    <d v="2025-05-16T00:00:00"/>
    <d v="2025-05-20T00:00:00"/>
    <s v="2025 05"/>
    <s v="Aguardando Liberação"/>
    <s v="2025 03"/>
    <s v="ENTREGUE"/>
    <d v="2025-04-14T00:00:00"/>
    <s v="-"/>
    <m/>
    <n v="0"/>
    <n v="0"/>
    <n v="0"/>
    <n v="0"/>
    <n v="0"/>
  </r>
  <r>
    <s v="MEI"/>
    <s v="MEI45743"/>
    <s v="Pedido 1358"/>
    <d v="2025-03-27T00:00:00"/>
    <d v="2025-03-27T00:00:00"/>
    <s v="PedidoF1301"/>
    <s v="CódRastreio1299"/>
    <n v="1"/>
    <s v="CPF 1323"/>
    <s v="Nome 1323"/>
    <s v="Tel 1323"/>
    <s v="Cep 1323"/>
    <s v="Rua 1323"/>
    <s v="Comp 1323"/>
    <x v="10"/>
    <s v="WU-SS4J-LFOH"/>
    <d v="2025-04-17T00:00:00"/>
    <n v="65.75"/>
    <n v="65.75"/>
    <n v="7.89"/>
    <n v="57.86"/>
    <n v="17.22"/>
    <n v="0.2"/>
    <n v="0.39877104377104378"/>
    <n v="0"/>
    <n v="40.041228956228956"/>
    <n v="20.020614478114478"/>
    <d v="2025-04-24T00:00:00"/>
    <d v="2025-04-24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43"/>
    <s v="Pedido 1359"/>
    <d v="2025-03-27T00:00:00"/>
    <d v="2025-03-27T00:00:00"/>
    <s v="PedidoF1302"/>
    <s v="CódRastreio1300"/>
    <n v="1"/>
    <s v="CPF 1324"/>
    <s v="Nome 1324"/>
    <s v="Tel 1324"/>
    <s v="Cep 1324"/>
    <s v="Rua 1324"/>
    <s v="Comp 1324"/>
    <x v="31"/>
    <s v="FM-VW6E-NXCZ"/>
    <d v="2025-04-17T00:00:00"/>
    <n v="99.77"/>
    <n v="99.77"/>
    <n v="12.9701"/>
    <n v="86.8"/>
    <n v="44.65"/>
    <n v="0.2"/>
    <n v="0.39877104377104378"/>
    <n v="0"/>
    <n v="41.551228956228954"/>
    <n v="20.775614478114477"/>
    <d v="2025-04-24T00:00:00"/>
    <d v="2025-04-24T00:00:00"/>
    <d v="2025-05-02T00:00:00"/>
    <d v="2025-05-06T00:00:00"/>
    <s v="2025 04"/>
    <s v="Aguardando Liberação"/>
    <s v="2025 03"/>
    <s v="ENTREGUE"/>
    <d v="2025-04-07T00:00:00"/>
    <s v="-"/>
    <m/>
    <n v="0"/>
    <n v="0"/>
    <n v="0"/>
    <n v="0"/>
    <n v="0"/>
  </r>
  <r>
    <s v="MEI"/>
    <s v="MEI45743"/>
    <s v="Pedido 1360"/>
    <d v="2025-03-27T00:00:00"/>
    <d v="2025-03-27T00:00:00"/>
    <s v="PedidoF1303"/>
    <s v="CódRastreio1301"/>
    <n v="1"/>
    <s v="CPF 1325"/>
    <s v="Nome 1325"/>
    <s v="Tel 1325"/>
    <s v="Cep 1325"/>
    <s v="Rua 1325"/>
    <s v="Comp 1325"/>
    <x v="3"/>
    <s v="WR-82Y0-OV27"/>
    <d v="2025-04-25T00:00:00"/>
    <n v="59.69"/>
    <n v="59.69"/>
    <n v="7.1627999999999998"/>
    <n v="52.53"/>
    <n v="17.440000000000001"/>
    <n v="0.2"/>
    <n v="0.39877104377104378"/>
    <n v="0"/>
    <n v="34.491228956228952"/>
    <n v="17.245614478114476"/>
    <d v="2025-05-02T00:00:00"/>
    <d v="2025-05-02T00:00:00"/>
    <d v="2025-05-02T00:00:00"/>
    <d v="2025-05-06T00:00:00"/>
    <s v="2025 05"/>
    <s v="Aguardando Liberação"/>
    <s v="2025 03"/>
    <s v="ENTREGUE"/>
    <d v="2025-04-10T00:00:00"/>
    <s v="-"/>
    <m/>
    <n v="0"/>
    <n v="0"/>
    <n v="0"/>
    <n v="0"/>
    <n v="0"/>
  </r>
  <r>
    <s v="MEI"/>
    <s v="MEI45743"/>
    <s v="Pedido 1361"/>
    <d v="2025-03-27T00:00:00"/>
    <d v="2025-03-27T00:00:00"/>
    <s v="PedidoF1304"/>
    <s v="CódRastreio1302"/>
    <n v="1"/>
    <s v="CPF 1326"/>
    <s v="Nome 1326"/>
    <s v="Tel 1326"/>
    <s v="Cep 1326"/>
    <s v="Rua 1326"/>
    <s v="Comp 1326"/>
    <x v="15"/>
    <s v="71-KHMZ-MLQW"/>
    <d v="2025-04-25T00:00:00"/>
    <n v="53"/>
    <n v="53"/>
    <n v="5.83"/>
    <n v="47.17"/>
    <n v="21.66"/>
    <n v="0.2"/>
    <n v="0.39877104377104378"/>
    <n v="0"/>
    <n v="24.911228956228957"/>
    <n v="12.455614478114478"/>
    <d v="2025-05-02T00:00:00"/>
    <d v="2025-05-02T00:00:00"/>
    <d v="2025-05-02T00:00:00"/>
    <d v="2025-05-06T00:00:00"/>
    <s v="2025 05"/>
    <s v="Aguardando Liberação"/>
    <s v="2025 03"/>
    <s v="ENTREGUE"/>
    <d v="2025-04-08T00:00:00"/>
    <s v="-"/>
    <m/>
    <n v="0"/>
    <n v="0"/>
    <n v="0"/>
    <n v="0"/>
    <n v="0"/>
  </r>
  <r>
    <s v="MEI"/>
    <s v="MEI45744"/>
    <s v="Pedido 1362"/>
    <d v="2025-03-28T00:00:00"/>
    <d v="2025-03-28T00:00:00"/>
    <s v="PedidoF1305"/>
    <s v="CódRastreio1303"/>
    <n v="1"/>
    <s v="CPF 1327"/>
    <s v="Nome 1327"/>
    <s v="Tel 1327"/>
    <s v="Cep 1327"/>
    <s v="Rua 1327"/>
    <s v="Comp 1327"/>
    <x v="8"/>
    <s v="LF-R6MC-WKWP"/>
    <d v="2025-04-18T00:00:00"/>
    <n v="32.67"/>
    <n v="32.67"/>
    <n v="3.9203999999999999"/>
    <n v="28.75"/>
    <n v="17.899999999999999"/>
    <n v="0.2"/>
    <n v="0.39877104377104378"/>
    <n v="0"/>
    <n v="10.251228956228957"/>
    <n v="5.1256144781144783"/>
    <d v="2025-04-25T00:00:00"/>
    <d v="2025-04-25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46"/>
    <s v="Pedido 1363"/>
    <d v="2025-03-28T00:00:00"/>
    <d v="2025-03-30T00:00:00"/>
    <s v="PedidoF1306"/>
    <s v="CódRastreio1304"/>
    <n v="1"/>
    <s v="CPF 1327"/>
    <s v="Nome 1327"/>
    <s v="Tel 1327"/>
    <s v="Cep 1327"/>
    <s v="Rua 1327"/>
    <s v="Comp 1327"/>
    <x v="8"/>
    <s v="LF-R6MC-WKWP"/>
    <d v="2025-04-18T00:00:00"/>
    <n v="32.67"/>
    <n v="32.67"/>
    <n v="3.9203999999999999"/>
    <n v="28.75"/>
    <n v="13.3"/>
    <n v="0.35"/>
    <n v="0.39877104377104378"/>
    <n v="0"/>
    <n v="14.701228956228956"/>
    <n v="7.350614478114478"/>
    <d v="2025-04-25T00:00:00"/>
    <d v="2025-04-25T00:00:00"/>
    <d v="2025-05-02T00:00:00"/>
    <d v="2025-05-06T00:00:00"/>
    <s v="2025 04"/>
    <s v="Aguardando Liberação"/>
    <s v="2025 03"/>
    <s v="ENTREGUE"/>
    <d v="2025-04-16T00:00:00"/>
    <s v="-"/>
    <m/>
    <n v="0"/>
    <n v="0"/>
    <n v="0"/>
    <n v="0"/>
    <n v="0"/>
  </r>
  <r>
    <s v="MEI"/>
    <s v="MEI45747"/>
    <s v="Pedido 1364"/>
    <d v="2025-03-29T00:00:00"/>
    <d v="2025-03-31T00:00:00"/>
    <s v="PedidoF1307"/>
    <s v="CódRastreio1305"/>
    <n v="1"/>
    <s v="CPF 1328"/>
    <s v="Nome 1328"/>
    <s v="Tel 1328"/>
    <s v="Cep 1328"/>
    <s v="Rua 1328"/>
    <s v="Comp 1328"/>
    <x v="16"/>
    <s v="T1-SWVB-UPOW"/>
    <d v="2025-04-26T00:00:00"/>
    <n v="29.99"/>
    <n v="29.99"/>
    <n v="3.5987999999999998"/>
    <n v="26.39"/>
    <n v="12.73"/>
    <n v="0.27"/>
    <n v="0.39877104377104378"/>
    <n v="0"/>
    <n v="12.991228956228957"/>
    <n v="6.4956144781144785"/>
    <d v="2025-05-03T00:00:00"/>
    <d v="2025-05-03T00:00:00"/>
    <d v="2025-05-16T00:00:00"/>
    <d v="2025-05-20T00:00:00"/>
    <s v="2025 05"/>
    <s v="Aguardando Liberação"/>
    <s v="2025 03"/>
    <s v="ENTREGUE"/>
    <d v="2025-04-09T00:00:00"/>
    <s v="-"/>
    <m/>
    <n v="0"/>
    <n v="0"/>
    <n v="0"/>
    <n v="0"/>
    <n v="0"/>
  </r>
  <r>
    <s v="MEI"/>
    <s v="MEI-"/>
    <s v="Pedido 1365"/>
    <d v="2025-03-29T00:00:00"/>
    <s v="-"/>
    <s v="-"/>
    <s v="-"/>
    <n v="1"/>
    <s v="CPF 1329"/>
    <s v="Nome 1329"/>
    <s v="Tel 1329"/>
    <s v="Cep 1329"/>
    <s v="Rua 1329"/>
    <s v="Comp 1329"/>
    <x v="3"/>
    <s v="WR-82Y0-OV27"/>
    <d v="2025-04-18T00:00:00"/>
    <n v="59.69"/>
    <n v="59.69"/>
    <n v="7.1627999999999998"/>
    <n v="52.53"/>
    <n v="0"/>
    <n v="0"/>
    <n v="0"/>
    <n v="0"/>
    <n v="52.53"/>
    <n v="26.265000000000001"/>
    <d v="2025-04-25T00:00:00"/>
    <d v="2025-04-25T00:00:00"/>
    <d v="2025-05-02T00:00:00"/>
    <d v="2025-05-06T00:00:00"/>
    <s v="2025 04"/>
    <s v="Aguardando Liberação"/>
    <s v="- -"/>
    <s v="-"/>
    <s v="-"/>
    <s v="-"/>
    <m/>
    <n v="0"/>
    <n v="0"/>
    <n v="0"/>
    <n v="0"/>
    <n v="0"/>
  </r>
  <r>
    <s v="MEI"/>
    <s v="MEI45747"/>
    <s v="Pedido 1366"/>
    <d v="2025-03-29T00:00:00"/>
    <d v="2025-03-31T00:00:00"/>
    <s v="PedidoF1308"/>
    <s v="CódRastreio1306"/>
    <n v="1"/>
    <s v="CPF 1330"/>
    <s v="Nome 1330"/>
    <s v="Tel 1330"/>
    <s v="Cep 1330"/>
    <s v="Rua 1330"/>
    <s v="Comp 1330"/>
    <x v="19"/>
    <s v="1I-EZPV-2Q78"/>
    <d v="2025-04-18T00:00:00"/>
    <n v="52.95"/>
    <n v="52.95"/>
    <n v="7.9424999999999999"/>
    <n v="45.01"/>
    <n v="23.28"/>
    <n v="0.27"/>
    <n v="0.39877104377104378"/>
    <n v="0"/>
    <n v="21.061228956228952"/>
    <n v="10.530614478114476"/>
    <d v="2025-04-25T00:00:00"/>
    <d v="2025-04-25T00:00:00"/>
    <d v="2025-05-02T00:00:00"/>
    <d v="2025-05-06T00:00:00"/>
    <s v="2025 04"/>
    <s v="Aguardando Liberação"/>
    <s v="2025 03"/>
    <s v="ENTREGUE"/>
    <d v="2025-04-14T00:00:00"/>
    <s v="-"/>
    <m/>
    <n v="0"/>
    <n v="0"/>
    <n v="0"/>
    <n v="0"/>
    <n v="0"/>
  </r>
  <r>
    <s v="MEI"/>
    <s v="MEI45747"/>
    <s v="Pedido 1367"/>
    <d v="2025-03-30T00:00:00"/>
    <d v="2025-03-31T00:00:00"/>
    <s v="PedidoF1309"/>
    <s v="CódRastreio1307"/>
    <n v="1"/>
    <s v="CPF 1331"/>
    <s v="Nome 1331"/>
    <s v="Tel 1331"/>
    <s v="Cep 1331"/>
    <s v="Rua 1331"/>
    <s v="Comp 1331"/>
    <x v="16"/>
    <s v="T1-SWVB-UPOW"/>
    <d v="2025-04-18T00:00:00"/>
    <n v="29.99"/>
    <n v="29.99"/>
    <n v="3.5987999999999998"/>
    <n v="26.39"/>
    <n v="11.12"/>
    <n v="0.27"/>
    <n v="0.39877104377104378"/>
    <n v="0"/>
    <n v="14.601228956228958"/>
    <n v="7.3006144781144791"/>
    <d v="2025-04-25T00:00:00"/>
    <d v="2025-04-25T00:00:00"/>
    <d v="2025-05-02T00:00:00"/>
    <d v="2025-05-06T00:00:00"/>
    <s v="2025 04"/>
    <s v="Aguardando Liberação"/>
    <s v="2025 03"/>
    <s v="ENTREGUE"/>
    <d v="2025-04-15T00:00:00"/>
    <s v="-"/>
    <m/>
    <n v="0"/>
    <n v="0"/>
    <n v="0"/>
    <n v="0"/>
    <n v="0"/>
  </r>
  <r>
    <s v="MEI"/>
    <s v="MEI45747"/>
    <s v="Pedido 1368"/>
    <d v="2025-03-30T00:00:00"/>
    <d v="2025-03-31T00:00:00"/>
    <s v="PedidoF1310"/>
    <s v="CódRastreio1308"/>
    <n v="1"/>
    <s v="CPF 1332"/>
    <s v="Nome 1332"/>
    <s v="Tel 1332"/>
    <s v="Cep 1332"/>
    <s v="Rua 1332"/>
    <s v="Comp 1332"/>
    <x v="19"/>
    <s v="1I-EZPV-2Q78"/>
    <d v="2025-04-18T00:00:00"/>
    <n v="52.95"/>
    <n v="52.95"/>
    <n v="7.9424999999999999"/>
    <n v="45.01"/>
    <n v="23.28"/>
    <n v="0.27"/>
    <n v="0.39877104377104378"/>
    <n v="0"/>
    <n v="21.061228956228952"/>
    <n v="10.530614478114476"/>
    <d v="2025-04-25T00:00:00"/>
    <d v="2025-04-25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47"/>
    <s v="Pedido 1369"/>
    <d v="2025-03-30T00:00:00"/>
    <d v="2025-03-31T00:00:00"/>
    <s v="PedidoF1311"/>
    <s v="CódRastreio1309"/>
    <n v="1"/>
    <s v="CPF 1333"/>
    <s v="Nome 1333"/>
    <s v="Tel 1333"/>
    <s v="Cep 1333"/>
    <s v="Rua 1333"/>
    <s v="Comp 1333"/>
    <x v="15"/>
    <s v="71-KHMZ-MLQW"/>
    <d v="2025-04-26T00:00:00"/>
    <n v="53"/>
    <n v="53"/>
    <n v="5.83"/>
    <n v="47.17"/>
    <n v="33.11"/>
    <n v="0.27"/>
    <n v="0.39877104377104378"/>
    <n v="0"/>
    <n v="13.391228956228957"/>
    <n v="6.6956144781144786"/>
    <d v="2025-05-03T00:00:00"/>
    <d v="2025-05-03T00:00:00"/>
    <d v="2025-05-16T00:00:00"/>
    <d v="2025-05-20T00:00:00"/>
    <s v="2025 05"/>
    <s v="Aguardando Liberação"/>
    <s v="2025 03"/>
    <s v="ENTREGUE"/>
    <d v="2025-04-22T00:00:00"/>
    <s v="-"/>
    <m/>
    <n v="0"/>
    <n v="0"/>
    <n v="0"/>
    <n v="0"/>
    <n v="0"/>
  </r>
  <r>
    <s v="MEI"/>
    <s v="MEI45747"/>
    <s v="Pedido 1370"/>
    <d v="2025-03-30T00:00:00"/>
    <d v="2025-03-31T00:00:00"/>
    <s v="PedidoF1312"/>
    <s v="CódRastreio1310"/>
    <n v="1"/>
    <s v="CPF 1334"/>
    <s v="Nome 1334"/>
    <s v="Tel 1334"/>
    <s v="Cep 1334"/>
    <s v="Rua 1334"/>
    <s v="Comp 1334"/>
    <x v="10"/>
    <s v="WU-SS4J-LFOH"/>
    <d v="2025-04-26T00:00:00"/>
    <n v="65.75"/>
    <n v="65.75"/>
    <n v="7.89"/>
    <n v="57.86"/>
    <n v="20.93"/>
    <n v="0.27"/>
    <n v="0.39877104377104378"/>
    <n v="0"/>
    <n v="36.261228956228955"/>
    <n v="18.130614478114477"/>
    <d v="2025-05-03T00:00:00"/>
    <d v="2025-05-03T00:00:00"/>
    <d v="2025-05-16T00:00:00"/>
    <d v="2025-05-20T00:00:00"/>
    <s v="2025 05"/>
    <s v="Aguardando Liberação"/>
    <s v="2025 03"/>
    <s v="ENTREGUE"/>
    <d v="2025-04-11T00:00:00"/>
    <s v="-"/>
    <m/>
    <n v="0"/>
    <n v="0"/>
    <n v="0"/>
    <n v="0"/>
    <n v="0"/>
  </r>
  <r>
    <s v="MEI"/>
    <s v="MEI45747"/>
    <s v="Pedido 1371"/>
    <d v="2025-03-30T00:00:00"/>
    <d v="2025-03-31T00:00:00"/>
    <s v="PedidoF1313"/>
    <s v="CódRastreio1311"/>
    <n v="1"/>
    <s v="CPF 1335"/>
    <s v="Nome 1335"/>
    <s v="Tel 1335"/>
    <s v="Cep 1335"/>
    <s v="Rua 1335"/>
    <s v="Comp 1335"/>
    <x v="10"/>
    <s v="WU-SS4J-LFOH"/>
    <d v="2025-04-18T00:00:00"/>
    <n v="65.75"/>
    <n v="65.75"/>
    <n v="7.89"/>
    <n v="57.86"/>
    <n v="17.48"/>
    <n v="0.27"/>
    <n v="0.39877104377104378"/>
    <n v="0"/>
    <n v="39.71122895622895"/>
    <n v="19.855614478114475"/>
    <d v="2025-04-25T00:00:00"/>
    <d v="2025-04-25T00:00:00"/>
    <d v="2025-05-02T00:00:00"/>
    <d v="2025-05-06T00:00:00"/>
    <s v="2025 04"/>
    <s v="Aguardando Liberação"/>
    <s v="2025 03"/>
    <s v="ENTREGUE"/>
    <d v="2025-04-09T00:00:00"/>
    <s v="-"/>
    <m/>
    <n v="0"/>
    <n v="0"/>
    <n v="0"/>
    <n v="0"/>
    <n v="0"/>
  </r>
  <r>
    <s v="MEI"/>
    <s v="MEI45747"/>
    <s v="Pedido 1372"/>
    <d v="2025-03-31T00:00:00"/>
    <d v="2025-03-31T00:00:00"/>
    <s v="PedidoF1314"/>
    <s v="CódRastreio1312"/>
    <n v="1"/>
    <s v="CPF 1336"/>
    <s v="Nome 1336"/>
    <s v="Tel 1336"/>
    <s v="Cep 1336"/>
    <s v="Rua 1336"/>
    <s v="Comp 1336"/>
    <x v="15"/>
    <s v="71-KHMZ-MLQW"/>
    <d v="2025-04-26T00:00:00"/>
    <n v="53"/>
    <n v="53"/>
    <n v="5.83"/>
    <n v="47.17"/>
    <n v="34.26"/>
    <n v="0.27"/>
    <n v="0.39877104377104378"/>
    <n v="0"/>
    <n v="12.241228956228959"/>
    <n v="6.1206144781144793"/>
    <d v="2025-05-03T00:00:00"/>
    <d v="2025-05-03T00:00:00"/>
    <d v="2025-05-16T00:00:00"/>
    <d v="2025-05-20T00:00:00"/>
    <s v="2025 05"/>
    <s v="Aguardando Liberação"/>
    <s v="2025 03"/>
    <s v="ENTREGUE"/>
    <d v="2025-04-17T00:00:00"/>
    <s v="-"/>
    <m/>
    <n v="0"/>
    <n v="0"/>
    <n v="0"/>
    <n v="0"/>
    <n v="0"/>
  </r>
  <r>
    <s v="MEI"/>
    <s v="MEI45749"/>
    <s v="Pedido 1373"/>
    <d v="2025-03-31T00:00:00"/>
    <d v="2025-04-02T00:00:00"/>
    <s v="PedidoF1315"/>
    <s v="CódRastreio1313"/>
    <n v="1"/>
    <s v="CPF 1337"/>
    <s v="Nome 1337"/>
    <s v="Tel 1337"/>
    <s v="Cep 1337"/>
    <s v="Rua 1337"/>
    <s v="Comp 1337"/>
    <x v="26"/>
    <s v="BG-DHRO-FAEE"/>
    <d v="2025-04-26T00:00:00"/>
    <n v="26.99"/>
    <n v="26.99"/>
    <n v="2.9688999999999997"/>
    <n v="24.02"/>
    <n v="10.56"/>
    <n v="0.2"/>
    <n v="0.39877104377104378"/>
    <n v="0"/>
    <n v="12.861228956228956"/>
    <n v="6.4306144781144781"/>
    <d v="2025-05-03T00:00:00"/>
    <d v="2025-05-03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47"/>
    <s v="Pedido 1374"/>
    <d v="2025-03-31T00:00:00"/>
    <d v="2025-03-31T00:00:00"/>
    <s v="PedidoF1316"/>
    <s v="CódRastreio1314"/>
    <n v="1"/>
    <s v="CPF 1338"/>
    <s v="Nome 1338"/>
    <s v="Tel 1338"/>
    <s v="Cep 1338"/>
    <s v="Rua 1338"/>
    <s v="Comp 1338"/>
    <x v="26"/>
    <s v="BG-DHRO-FAEE"/>
    <d v="2025-04-29T00:00:00"/>
    <n v="26.99"/>
    <n v="26.99"/>
    <n v="2.9688999999999997"/>
    <n v="24.02"/>
    <n v="10.210000000000001"/>
    <n v="0.27"/>
    <n v="0.39877104377104378"/>
    <n v="0"/>
    <n v="13.141228956228955"/>
    <n v="6.5706144781144777"/>
    <d v="2025-05-06T00:00:00"/>
    <d v="2025-05-06T00:00:00"/>
    <d v="2025-05-16T00:00:00"/>
    <d v="2025-05-20T00:00:00"/>
    <s v="2025 05"/>
    <s v="Aguardando Liberação"/>
    <s v="2025 03"/>
    <s v="ENTREGUE"/>
    <d v="2025-04-22T00:00:00"/>
    <s v="-"/>
    <m/>
    <n v="0"/>
    <n v="0"/>
    <n v="0"/>
    <n v="0"/>
    <n v="0"/>
  </r>
  <r>
    <s v="MEI"/>
    <s v="MEI45747"/>
    <s v="Pedido 1375"/>
    <d v="2025-03-31T00:00:00"/>
    <d v="2025-03-31T00:00:00"/>
    <s v="PedidoF1317"/>
    <s v="CódRastreio1315"/>
    <n v="1"/>
    <s v="CPF 1339"/>
    <s v="Nome 1339"/>
    <s v="Tel 1339"/>
    <s v="Cep 1339"/>
    <s v="Rua 1339"/>
    <s v="Comp 1339"/>
    <x v="32"/>
    <s v="NO-Z0ZJ-Z61M"/>
    <d v="2025-04-29T00:00:00"/>
    <n v="49.99"/>
    <n v="49.99"/>
    <n v="5.9988000000000001"/>
    <n v="43.99"/>
    <n v="17.09"/>
    <n v="0.27"/>
    <n v="0.39877104377104378"/>
    <n v="0"/>
    <n v="26.231228956228957"/>
    <n v="13.115614478114479"/>
    <d v="2025-05-06T00:00:00"/>
    <d v="2025-05-06T00:00:00"/>
    <d v="2025-05-16T00:00:00"/>
    <d v="2025-05-20T00:00:00"/>
    <s v="2025 05"/>
    <s v="Aguardando Liberação"/>
    <s v="2025 03"/>
    <s v="ENTREGUE"/>
    <d v="2025-04-16T00:00:00"/>
    <s v="-"/>
    <m/>
    <n v="0"/>
    <n v="0"/>
    <n v="0"/>
    <n v="0"/>
    <n v="0"/>
  </r>
  <r>
    <s v="MEI"/>
    <s v="MEI45749"/>
    <s v="Pedido 1376"/>
    <d v="2025-03-31T00:00:00"/>
    <d v="2025-04-02T00:00:00"/>
    <s v="PedidoF1318"/>
    <s v="CódRastreio1316"/>
    <n v="1"/>
    <s v="CPF 1340"/>
    <s v="Nome 1340"/>
    <s v="Tel 1340"/>
    <s v="Cep 1340"/>
    <s v="Rua 1340"/>
    <s v="Comp 1340"/>
    <x v="26"/>
    <s v="BG-DHRO-FAEE"/>
    <d v="2025-04-29T00:00:00"/>
    <n v="26.99"/>
    <n v="26.99"/>
    <n v="2.9688999999999997"/>
    <n v="24.02"/>
    <n v="10.210000000000001"/>
    <n v="0.2"/>
    <n v="0.39877104377104378"/>
    <n v="0"/>
    <n v="13.211228956228956"/>
    <n v="6.6056144781144779"/>
    <d v="2025-05-06T00:00:00"/>
    <d v="2025-05-06T00:00:00"/>
    <d v="2025-05-16T00:00:00"/>
    <d v="2025-05-20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47"/>
    <s v="Pedido 1377"/>
    <d v="2025-03-31T00:00:00"/>
    <d v="2025-03-31T00:00:00"/>
    <s v="PedidoF1319"/>
    <s v="CódRastreio1317"/>
    <n v="1"/>
    <s v="CPF 1341"/>
    <s v="Nome 1341"/>
    <s v="Tel 1341"/>
    <s v="Cep 1341"/>
    <s v="Rua 1341"/>
    <s v="Comp 1341"/>
    <x v="20"/>
    <s v="K9-7YJH-TT9R"/>
    <d v="2025-04-29T00:00:00"/>
    <n v="25.88"/>
    <n v="25.88"/>
    <n v="3.8819999999999997"/>
    <n v="22"/>
    <n v="12.5"/>
    <n v="0.27"/>
    <n v="0.39877104377104378"/>
    <n v="0"/>
    <n v="8.8312289562289568"/>
    <n v="4.4156144781144784"/>
    <d v="2025-05-06T00:00:00"/>
    <d v="2025-05-06T00:00:00"/>
    <d v="2025-05-16T00:00:00"/>
    <d v="2025-05-20T00:00:00"/>
    <s v="2025 05"/>
    <s v="Aguardando Liberação"/>
    <s v="2025 03"/>
    <s v="ENTREGUE"/>
    <d v="2025-04-07T00:00:00"/>
    <s v="-"/>
    <m/>
    <n v="0"/>
    <n v="0"/>
    <n v="0"/>
    <n v="0"/>
    <n v="0"/>
  </r>
  <r>
    <s v="MEI"/>
    <s v="MEI45749"/>
    <s v="Pedido 1378"/>
    <d v="2025-03-31T00:00:00"/>
    <d v="2025-04-02T00:00:00"/>
    <s v="PedidoF1320"/>
    <s v="CódRastreio1318"/>
    <n v="1"/>
    <s v="CPF 1342"/>
    <s v="Nome 1342"/>
    <s v="Tel 1342"/>
    <s v="Cep 1342"/>
    <s v="Rua 1342"/>
    <s v="Comp 1342"/>
    <x v="16"/>
    <s v="T1-SWVB-UPOW"/>
    <d v="2025-04-29T00:00:00"/>
    <n v="29.99"/>
    <n v="29.99"/>
    <n v="3.5987999999999998"/>
    <n v="26.39"/>
    <n v="10.56"/>
    <n v="0.2"/>
    <n v="0.39877104377104378"/>
    <n v="0"/>
    <n v="15.231228956228957"/>
    <n v="7.6156144781144786"/>
    <d v="2025-05-06T00:00:00"/>
    <d v="2025-05-06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47"/>
    <s v="Pedido 1379"/>
    <d v="2025-03-30T00:00:00"/>
    <d v="2025-03-31T00:00:00"/>
    <s v="PedidoF1321"/>
    <s v="CódRastreio1319"/>
    <n v="1"/>
    <s v="CPF 1343"/>
    <s v="Nome 1343"/>
    <s v="Tel 1343"/>
    <s v="Cep 1343"/>
    <s v="Rua 1343"/>
    <s v="Comp 1343"/>
    <x v="15"/>
    <s v="71-KHMZ-MLQW"/>
    <d v="2025-04-23T00:00:00"/>
    <n v="53"/>
    <n v="53"/>
    <n v="5.83"/>
    <n v="47.17"/>
    <n v="31.96"/>
    <n v="0.27"/>
    <n v="0.39877104377104378"/>
    <n v="0"/>
    <n v="14.541228956228956"/>
    <n v="7.2706144781144779"/>
    <d v="2025-04-30T00:00:00"/>
    <d v="2025-04-30T00:00:00"/>
    <d v="2025-05-02T00:00:00"/>
    <d v="2025-05-06T00:00:00"/>
    <s v="2025 04"/>
    <s v="Aguardando Liberação"/>
    <s v="2025 03"/>
    <s v="ENTREGUE"/>
    <d v="2025-04-16T00:00:00"/>
    <s v="-"/>
    <m/>
    <n v="0"/>
    <n v="0"/>
    <n v="0"/>
    <n v="0"/>
    <n v="0"/>
  </r>
  <r>
    <s v="MEI"/>
    <s v="MEI45749"/>
    <s v="Pedido 1380"/>
    <d v="2025-04-01T00:00:00"/>
    <d v="2025-04-02T00:00:00"/>
    <s v="PedidoF1322"/>
    <s v="CódRastreio1320"/>
    <n v="1"/>
    <s v="CPF 1344"/>
    <s v="Nome 1344"/>
    <s v="Tel 1344"/>
    <s v="Cep 1344"/>
    <s v="Rua 1344"/>
    <s v="Comp 1344"/>
    <x v="11"/>
    <s v="JV-A3YY-I7XH"/>
    <d v="2025-04-23T00:00:00"/>
    <n v="70.489999999999995"/>
    <n v="70.489999999999995"/>
    <n v="8.4587999999999983"/>
    <n v="62.03"/>
    <n v="43.94"/>
    <n v="0.2"/>
    <n v="0.39877104377104378"/>
    <n v="0"/>
    <n v="17.491228956228959"/>
    <n v="8.7456144781144793"/>
    <d v="2025-04-30T00:00:00"/>
    <d v="2025-04-30T00:00:00"/>
    <d v="2025-05-02T00:00:00"/>
    <d v="2025-05-06T00:00:00"/>
    <s v="2025 04"/>
    <s v="Aguardando Liberação"/>
    <s v="2025 04"/>
    <s v="ENTREGUE"/>
    <d v="2025-04-11T00:00:00"/>
    <s v="-"/>
    <m/>
    <n v="0"/>
    <n v="0"/>
    <n v="0"/>
    <n v="0"/>
    <n v="0"/>
  </r>
  <r>
    <s v="MEI"/>
    <s v="MEI45749"/>
    <s v="Pedido 1381"/>
    <d v="2025-04-01T00:00:00"/>
    <d v="2025-04-02T00:00:00"/>
    <s v="PedidoF1323"/>
    <s v="CódRastreio1321"/>
    <n v="1"/>
    <s v="CPF 1345"/>
    <s v="Nome 1345"/>
    <s v="Tel 1345"/>
    <s v="Cep 1345"/>
    <s v="Rua 1345"/>
    <s v="Comp 1345"/>
    <x v="16"/>
    <s v="T1-SWVB-UPOW"/>
    <d v="2025-05-07T00:00:00"/>
    <n v="29.99"/>
    <n v="29.99"/>
    <n v="3.5987999999999998"/>
    <n v="26.39"/>
    <n v="10.210000000000001"/>
    <n v="0.2"/>
    <n v="0.39877104377104378"/>
    <n v="0"/>
    <n v="15.581228956228957"/>
    <n v="7.7906144781144784"/>
    <d v="2025-05-14T00:00:00"/>
    <d v="2025-05-14T00:00:00"/>
    <d v="2025-05-16T00:00:00"/>
    <d v="2025-05-20T00:00:00"/>
    <s v="2025 05"/>
    <s v="Aguardando Liberação"/>
    <s v="2025 04"/>
    <s v="ENTREGUE"/>
    <d v="2025-05-06T00:00:00"/>
    <s v="-"/>
    <m/>
    <n v="0"/>
    <n v="0"/>
    <n v="0"/>
    <n v="0"/>
    <n v="0"/>
  </r>
  <r>
    <s v="MEI"/>
    <s v="MEI45750"/>
    <s v="Pedido 1382"/>
    <d v="2025-04-01T00:00:00"/>
    <d v="2025-04-03T00:00:00"/>
    <s v="PedidoF1324"/>
    <s v="CódRastreio1322"/>
    <n v="1"/>
    <s v="CPF 1346"/>
    <s v="Nome 1346"/>
    <s v="Tel 1346"/>
    <s v="Cep 1346"/>
    <s v="Rua 1346"/>
    <s v="Comp 1346"/>
    <x v="20"/>
    <s v="K9-7YJH-TT9R"/>
    <d v="2025-04-29T00:00:00"/>
    <n v="25.88"/>
    <n v="25.88"/>
    <n v="3.8819999999999997"/>
    <n v="22"/>
    <n v="11.8"/>
    <n v="0.25"/>
    <n v="0.39877104377104378"/>
    <n v="0"/>
    <n v="9.5512289562289556"/>
    <n v="4.7756144781144778"/>
    <d v="2025-05-06T00:00:00"/>
    <d v="2025-05-06T00:00:00"/>
    <d v="2025-05-16T00:00:00"/>
    <d v="2025-05-20T00:00:00"/>
    <s v="2025 05"/>
    <s v="Aguardando Liberação"/>
    <s v="2025 04"/>
    <s v="ENTREGUE"/>
    <d v="2025-04-07T00:00:00"/>
    <s v="-"/>
    <m/>
    <n v="0"/>
    <n v="0"/>
    <n v="0"/>
    <n v="0"/>
    <n v="0"/>
  </r>
  <r>
    <s v="MEI"/>
    <s v="MEI45750"/>
    <s v="Pedido 1383"/>
    <d v="2025-04-01T00:00:00"/>
    <d v="2025-04-03T00:00:00"/>
    <s v="PedidoF1325"/>
    <s v="CódRastreio1323"/>
    <n v="1"/>
    <s v="CPF 1347"/>
    <s v="Nome 1347"/>
    <s v="Tel 1347"/>
    <s v="Cep 1347"/>
    <s v="Rua 1347"/>
    <s v="Comp 1347"/>
    <x v="20"/>
    <s v="K9-7YJH-TT9R"/>
    <d v="2025-04-30T00:00:00"/>
    <n v="25.88"/>
    <n v="25.88"/>
    <n v="3.8819999999999997"/>
    <n v="22"/>
    <n v="11.8"/>
    <n v="0.25"/>
    <n v="0.39877104377104378"/>
    <n v="0"/>
    <n v="9.5512289562289556"/>
    <n v="4.7756144781144778"/>
    <d v="2025-05-07T00:00:00"/>
    <d v="2025-05-07T00:00:00"/>
    <d v="2025-05-16T00:00:00"/>
    <d v="2025-05-20T00:00:00"/>
    <s v="2025 05"/>
    <s v="Aguardando Liberação"/>
    <s v="2025 04"/>
    <s v="ENTREGUE"/>
    <d v="2025-04-08T00:00:00"/>
    <s v="-"/>
    <m/>
    <n v="0"/>
    <n v="0"/>
    <n v="0"/>
    <n v="0"/>
    <n v="0"/>
  </r>
  <r>
    <s v="MEI"/>
    <s v="MEI45750"/>
    <s v="Pedido 1384"/>
    <d v="2025-04-01T00:00:00"/>
    <d v="2025-04-03T00:00:00"/>
    <s v="PedidoF1326"/>
    <s v="CódRastreio1324"/>
    <n v="1"/>
    <s v="CPF 1348"/>
    <s v="Nome 1348"/>
    <s v="Tel 1348"/>
    <s v="Cep 1348"/>
    <s v="Rua 1348"/>
    <s v="Comp 1348"/>
    <x v="10"/>
    <s v="WU-SS4J-LFOH"/>
    <d v="2025-04-30T00:00:00"/>
    <n v="65.75"/>
    <n v="65.75"/>
    <n v="7.89"/>
    <n v="57.86"/>
    <n v="16.489999999999998"/>
    <n v="0.25"/>
    <n v="0.39877104377104378"/>
    <n v="0"/>
    <n v="40.721228956228956"/>
    <n v="20.360614478114478"/>
    <d v="2025-05-07T00:00:00"/>
    <d v="2025-05-07T00:00:00"/>
    <d v="2025-05-16T00:00:00"/>
    <d v="2025-05-20T00:00:00"/>
    <s v="2025 05"/>
    <s v="Aguardando Liberação"/>
    <s v="2025 04"/>
    <s v="ENTREGUE"/>
    <d v="2025-04-12T00:00:00"/>
    <s v="-"/>
    <m/>
    <n v="0"/>
    <n v="0"/>
    <n v="0"/>
    <n v="0"/>
    <n v="0"/>
  </r>
  <r>
    <s v="MEI"/>
    <s v="MEI45750"/>
    <s v="Pedido 1385"/>
    <d v="2025-04-01T00:00:00"/>
    <d v="2025-04-03T00:00:00"/>
    <s v="PedidoF1327"/>
    <s v="CódRastreio1325"/>
    <n v="1"/>
    <s v="CPF 1349"/>
    <s v="Nome 1349"/>
    <s v="Tel 1349"/>
    <s v="Cep 1349"/>
    <s v="Rua 1349"/>
    <s v="Comp 1349"/>
    <x v="15"/>
    <s v="71-KHMZ-MLQW"/>
    <d v="2025-04-30T00:00:00"/>
    <n v="53"/>
    <n v="53"/>
    <n v="5.83"/>
    <n v="47.17"/>
    <n v="29.75"/>
    <n v="0.25"/>
    <n v="0.39877104377104378"/>
    <n v="0"/>
    <n v="16.771228956228956"/>
    <n v="8.3856144781144781"/>
    <d v="2025-05-07T00:00:00"/>
    <d v="2025-05-07T00:00:00"/>
    <d v="2025-05-16T00:00:00"/>
    <d v="2025-05-20T00:00:00"/>
    <s v="2025 05"/>
    <s v="Aguardando Liberação"/>
    <s v="2025 04"/>
    <s v="ENTREGUE"/>
    <d v="2025-04-16T00:00:00"/>
    <s v="-"/>
    <m/>
    <n v="0"/>
    <n v="0"/>
    <n v="0"/>
    <n v="0"/>
    <n v="0"/>
  </r>
  <r>
    <s v="MEI"/>
    <s v="MEI-"/>
    <s v="Pedido 1386"/>
    <d v="2025-04-02T00:00:00"/>
    <s v="-"/>
    <s v="-"/>
    <s v="-"/>
    <n v="1"/>
    <s v="CPF 1350"/>
    <s v="Nome 1350"/>
    <s v="Tel 1350"/>
    <s v="Cep 1350"/>
    <s v="Rua 1350"/>
    <s v="Comp 1350"/>
    <x v="26"/>
    <s v="BG-DHRO-FAEE"/>
    <d v="2025-04-30T00:00:00"/>
    <n v="26.99"/>
    <n v="26.99"/>
    <n v="2.9688999999999997"/>
    <n v="24.02"/>
    <n v="0"/>
    <n v="0"/>
    <n v="0"/>
    <n v="0"/>
    <n v="24.02"/>
    <n v="12.01"/>
    <d v="2025-05-07T00:00:00"/>
    <d v="2025-05-07T00:00:00"/>
    <d v="2025-05-16T00:00:00"/>
    <d v="2025-05-20T00:00:00"/>
    <s v="2025 05"/>
    <s v="Aguardando Liberação"/>
    <s v="- -"/>
    <s v="-"/>
    <s v="-"/>
    <s v="-"/>
    <m/>
    <n v="0"/>
    <n v="0"/>
    <n v="0"/>
    <n v="0"/>
    <n v="0"/>
  </r>
  <r>
    <s v="MEI"/>
    <s v="MEI45750"/>
    <s v="Pedido 1387"/>
    <d v="2025-04-02T00:00:00"/>
    <d v="2025-04-03T00:00:00"/>
    <s v="PedidoF1328"/>
    <s v="CódRastreio1326"/>
    <n v="1"/>
    <s v="CPF 1351"/>
    <s v="Nome 1351"/>
    <s v="Tel 1351"/>
    <s v="Cep 1351"/>
    <s v="Rua 1351"/>
    <s v="Comp 1351"/>
    <x v="16"/>
    <s v="T1-SWVB-UPOW"/>
    <d v="2025-04-30T00:00:00"/>
    <n v="29.99"/>
    <n v="29.99"/>
    <n v="3.5987999999999998"/>
    <n v="26.39"/>
    <n v="18.32"/>
    <n v="0.25"/>
    <n v="0.39877104377104378"/>
    <n v="0"/>
    <n v="7.4212289562289548"/>
    <n v="3.7106144781144774"/>
    <d v="2025-05-07T00:00:00"/>
    <d v="2025-05-07T00:00:00"/>
    <d v="2025-05-16T00:00:00"/>
    <d v="2025-05-20T00:00:00"/>
    <s v="2025 05"/>
    <s v="Aguardando Liberação"/>
    <s v="2025 04"/>
    <s v="ENTREGUE"/>
    <d v="2025-04-14T00:00:00"/>
    <s v="-"/>
    <m/>
    <n v="0"/>
    <n v="0"/>
    <n v="0"/>
    <n v="0"/>
    <n v="0"/>
  </r>
  <r>
    <s v="MEI"/>
    <s v="MEI45750"/>
    <s v="Pedido 1388"/>
    <d v="2025-04-02T00:00:00"/>
    <d v="2025-04-03T00:00:00"/>
    <s v="PedidoF1329"/>
    <s v="CódRastreio1327"/>
    <n v="1"/>
    <s v="CPF 1352"/>
    <s v="Nome 1352"/>
    <s v="Tel 1352"/>
    <s v="Cep 1352"/>
    <s v="Rua 1352"/>
    <s v="Comp 1352"/>
    <x v="10"/>
    <s v="WU-SS4J-LFOH"/>
    <d v="2025-04-30T00:00:00"/>
    <n v="65.75"/>
    <n v="65.75"/>
    <n v="7.89"/>
    <n v="57.86"/>
    <n v="16.11"/>
    <n v="0.25"/>
    <n v="0.39877104377104378"/>
    <n v="0"/>
    <n v="41.101228956228951"/>
    <n v="20.550614478114476"/>
    <d v="2025-05-07T00:00:00"/>
    <d v="2025-05-07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0"/>
    <s v="Pedido 1389"/>
    <d v="2025-04-02T00:00:00"/>
    <d v="2025-04-03T00:00:00"/>
    <s v="PedidoF1330"/>
    <s v="CódRastreio1328"/>
    <n v="1"/>
    <s v="CPF 1353"/>
    <s v="Nome 1353"/>
    <s v="Tel 1353"/>
    <s v="Cep 1353"/>
    <s v="Rua 1353"/>
    <s v="Comp 1353"/>
    <x v="1"/>
    <s v="A4-5W51-K3HF"/>
    <d v="2025-05-08T00:00:00"/>
    <n v="36.950000000000003"/>
    <n v="36.950000000000003"/>
    <n v="4.4340000000000002"/>
    <n v="32.520000000000003"/>
    <n v="26.86"/>
    <n v="0.25"/>
    <n v="0.39877104377104378"/>
    <n v="0"/>
    <n v="5.0112289562289583"/>
    <n v="2.5056144781144791"/>
    <d v="2025-05-15T00:00:00"/>
    <d v="2025-05-15T00:00:00"/>
    <d v="2025-05-16T00:00:00"/>
    <d v="2025-05-20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50"/>
    <s v="Pedido 1390"/>
    <d v="2025-04-02T00:00:00"/>
    <d v="2025-04-03T00:00:00"/>
    <s v="PedidoF1331"/>
    <s v="CódRastreio1329"/>
    <n v="1"/>
    <s v="CPF 1354"/>
    <s v="Nome 1354"/>
    <s v="Tel 1354"/>
    <s v="Cep 1354"/>
    <s v="Rua 1354"/>
    <s v="Comp 1354"/>
    <x v="12"/>
    <s v="PK-L2Z7-MQRQ"/>
    <d v="2025-04-25T00:00:00"/>
    <n v="49.9"/>
    <n v="49.9"/>
    <n v="5.9879999999999995"/>
    <n v="43.91"/>
    <n v="36.5"/>
    <n v="0.25"/>
    <n v="0.39877104377104378"/>
    <n v="0"/>
    <n v="6.7612289562289547"/>
    <n v="3.3806144781144774"/>
    <d v="2025-05-02T00:00:00"/>
    <d v="2025-05-02T00:00:00"/>
    <d v="2025-05-02T00:00:00"/>
    <d v="2025-05-06T00:00:00"/>
    <s v="2025 05"/>
    <s v="Aguardando Liberação"/>
    <s v="2025 04"/>
    <s v="ENTREGUE"/>
    <d v="2025-04-11T00:00:00"/>
    <s v="-"/>
    <m/>
    <n v="0"/>
    <n v="0"/>
    <n v="0"/>
    <n v="0"/>
    <n v="0"/>
  </r>
  <r>
    <s v="MEI"/>
    <s v="MEI45750"/>
    <s v="Pedido 1391"/>
    <d v="2025-04-02T00:00:00"/>
    <d v="2025-04-03T00:00:00"/>
    <s v="PedidoF1332"/>
    <s v="CódRastreio1330"/>
    <n v="1"/>
    <s v="CPF 1355"/>
    <s v="Nome 1355"/>
    <s v="Tel 1355"/>
    <s v="Cep 1355"/>
    <s v="Rua 1355"/>
    <s v="Comp 1355"/>
    <x v="12"/>
    <s v="PK-L2Z7-MQRQ"/>
    <d v="2025-05-01T00:00:00"/>
    <n v="49.9"/>
    <n v="49.9"/>
    <n v="5.9879999999999995"/>
    <n v="43.91"/>
    <n v="15.51"/>
    <n v="0.25"/>
    <n v="0.39877104377104378"/>
    <n v="0"/>
    <n v="27.751228956228953"/>
    <n v="13.875614478114477"/>
    <d v="2025-05-08T00:00:00"/>
    <d v="2025-05-08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1"/>
    <s v="Pedido 1392"/>
    <d v="2025-04-02T00:00:00"/>
    <d v="2025-04-04T00:00:00"/>
    <s v="PedidoF1333"/>
    <s v="CódRastreio1331"/>
    <n v="1"/>
    <s v="CPF 1355"/>
    <s v="Nome 1355"/>
    <s v="Tel 1355"/>
    <s v="Cep 1355"/>
    <s v="Rua 1355"/>
    <s v="Comp 1355"/>
    <x v="12"/>
    <s v="PK-L2Z7-MQRQ"/>
    <d v="2025-05-01T00:00:00"/>
    <n v="49.9"/>
    <n v="49.9"/>
    <n v="5.9879999999999995"/>
    <n v="43.91"/>
    <n v="15.95"/>
    <n v="0.24"/>
    <n v="0.39877104377104378"/>
    <n v="0"/>
    <n v="27.321228956228953"/>
    <n v="13.660614478114477"/>
    <d v="2025-05-08T00:00:00"/>
    <d v="2025-05-08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4"/>
    <s v="Pedido 1393"/>
    <d v="2025-04-02T00:00:00"/>
    <d v="2025-04-07T00:00:00"/>
    <s v="PedidoF1334"/>
    <s v="CódRastreio1332"/>
    <n v="1"/>
    <s v="CPF 1355"/>
    <s v="Nome 1355"/>
    <s v="Tel 1355"/>
    <s v="Cep 1355"/>
    <s v="Rua 1355"/>
    <s v="Comp 1355"/>
    <x v="3"/>
    <s v="WR-82Y0-OV27"/>
    <d v="2025-05-01T00:00:00"/>
    <n v="59.69"/>
    <n v="59.69"/>
    <n v="7.1627999999999998"/>
    <n v="52.53"/>
    <n v="14.17"/>
    <n v="0.24"/>
    <n v="0.39877104377104378"/>
    <n v="0"/>
    <n v="37.721228956228956"/>
    <n v="18.860614478114478"/>
    <d v="2025-05-08T00:00:00"/>
    <d v="2025-05-08T00:00:00"/>
    <d v="2025-05-16T00:00:00"/>
    <d v="2025-05-20T00:00:00"/>
    <s v="2025 05"/>
    <s v="Aguardando Liberação"/>
    <s v="2025 04"/>
    <s v="ENTREGUE"/>
    <d v="2025-04-19T00:00:00"/>
    <s v="-"/>
    <m/>
    <n v="0"/>
    <n v="0"/>
    <n v="0"/>
    <n v="0"/>
    <n v="0"/>
  </r>
  <r>
    <s v="MEI"/>
    <s v="MEI45750"/>
    <s v="Pedido 1394"/>
    <d v="2025-04-02T00:00:00"/>
    <d v="2025-04-03T00:00:00"/>
    <s v="PedidoF1335"/>
    <s v="CódRastreio1333"/>
    <n v="1"/>
    <s v="CPF 1356"/>
    <s v="Nome 1356"/>
    <s v="Tel 1356"/>
    <s v="Cep 1356"/>
    <s v="Rua 1356"/>
    <s v="Comp 1356"/>
    <x v="11"/>
    <s v="JV-A3YY-I7XH"/>
    <d v="2025-04-25T00:00:00"/>
    <n v="70.489999999999995"/>
    <n v="70.489999999999995"/>
    <n v="8.4587999999999983"/>
    <n v="62.03"/>
    <n v="48.97"/>
    <n v="0.25"/>
    <n v="0.39877104377104378"/>
    <n v="0"/>
    <n v="12.41122895622896"/>
    <n v="6.2056144781144802"/>
    <d v="2025-05-02T00:00:00"/>
    <d v="2025-05-02T00:00:00"/>
    <d v="2025-05-02T00:00:00"/>
    <d v="2025-05-06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50"/>
    <s v="Pedido 1395"/>
    <d v="2025-04-02T00:00:00"/>
    <d v="2025-04-03T00:00:00"/>
    <s v="PedidoF1336"/>
    <s v="CódRastreio1334"/>
    <n v="1"/>
    <s v="CPF 1357"/>
    <s v="Nome 1357"/>
    <s v="Tel 1357"/>
    <s v="Cep 1357"/>
    <s v="Rua 1357"/>
    <s v="Comp 1357"/>
    <x v="28"/>
    <s v="Z0-F6CI-18CL"/>
    <d v="2025-04-25T00:00:00"/>
    <n v="42.87"/>
    <n v="42.87"/>
    <n v="5.1443999999999992"/>
    <n v="37.729999999999997"/>
    <n v="15.21"/>
    <n v="0.25"/>
    <n v="0.39877104377104378"/>
    <n v="0"/>
    <n v="21.871228956228954"/>
    <n v="10.935614478114477"/>
    <d v="2025-05-02T00:00:00"/>
    <d v="2025-05-02T00:00:00"/>
    <d v="2025-05-02T00:00:00"/>
    <d v="2025-05-06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51"/>
    <s v="Pedido 1396"/>
    <d v="2025-04-02T00:00:00"/>
    <d v="2025-04-04T00:00:00"/>
    <s v="PedidoF1337"/>
    <s v="CódRastreio1335"/>
    <n v="1"/>
    <s v="CPF 1358"/>
    <s v="Nome 1358"/>
    <s v="Tel 1358"/>
    <s v="Cep 1358"/>
    <s v="Rua 1358"/>
    <s v="Comp 1358"/>
    <x v="16"/>
    <s v="T1-SWVB-UPOW"/>
    <d v="2025-05-01T00:00:00"/>
    <n v="29.99"/>
    <n v="29.99"/>
    <n v="3.5987999999999998"/>
    <n v="26.39"/>
    <n v="12.82"/>
    <n v="0.24"/>
    <n v="0.39877104377104378"/>
    <n v="0"/>
    <n v="12.931228956228956"/>
    <n v="6.4656144781144782"/>
    <d v="2025-05-08T00:00:00"/>
    <d v="2025-05-08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4"/>
    <s v="Pedido 1397"/>
    <d v="2025-04-02T00:00:00"/>
    <d v="2025-04-07T00:00:00"/>
    <s v="PedidoF1338"/>
    <s v="CódRastreio1336"/>
    <n v="1"/>
    <s v="CPF 1359"/>
    <s v="Nome 1359"/>
    <s v="Tel 1359"/>
    <s v="Cep 1359"/>
    <s v="Rua 1359"/>
    <s v="Comp 1359"/>
    <x v="16"/>
    <s v="T1-SWVB-UPOW"/>
    <d v="2025-05-01T00:00:00"/>
    <n v="29.99"/>
    <n v="29.99"/>
    <n v="3.5987999999999998"/>
    <n v="26.39"/>
    <n v="10.19"/>
    <n v="0.24"/>
    <n v="0.39877104377104378"/>
    <n v="0"/>
    <n v="15.561228956228957"/>
    <n v="7.7806144781144786"/>
    <d v="2025-05-08T00:00:00"/>
    <d v="2025-05-08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4"/>
    <s v="Pedido 1398"/>
    <d v="2025-04-02T00:00:00"/>
    <d v="2025-04-07T00:00:00"/>
    <s v="PedidoF1339"/>
    <s v="CódRastreio1337"/>
    <n v="1"/>
    <s v="CPF 1360"/>
    <s v="Nome 1360"/>
    <s v="Tel 1360"/>
    <s v="Cep 1360"/>
    <s v="Rua 1360"/>
    <s v="Comp 1360"/>
    <x v="8"/>
    <s v="LF-R6MC-WKWP"/>
    <d v="2025-05-09T00:00:00"/>
    <n v="32.67"/>
    <n v="32.67"/>
    <n v="3.9203999999999999"/>
    <n v="28.75"/>
    <n v="15.39"/>
    <n v="0.24"/>
    <n v="0.39877104377104378"/>
    <n v="0"/>
    <n v="12.721228956228956"/>
    <n v="6.3606144781144778"/>
    <d v="2025-05-16T00:00:00"/>
    <d v="2025-05-16T00:00:00"/>
    <d v="2025-05-16T00:00:00"/>
    <d v="2025-05-20T00:00:00"/>
    <s v="2025 05"/>
    <s v="Aguardando Liberação"/>
    <s v="2025 04"/>
    <s v="ENTREGUE"/>
    <d v="2025-05-14T00:00:00"/>
    <s v="-"/>
    <m/>
    <n v="0"/>
    <n v="0"/>
    <n v="0"/>
    <n v="0"/>
    <n v="0"/>
  </r>
  <r>
    <s v="MEI"/>
    <s v="MEI45751"/>
    <s v="Pedido 1399"/>
    <d v="2025-04-02T00:00:00"/>
    <d v="2025-04-04T00:00:00"/>
    <s v="PedidoF1340"/>
    <s v="CódRastreio1338"/>
    <n v="1"/>
    <s v="CPF 1361"/>
    <s v="Nome 1361"/>
    <s v="Tel 1361"/>
    <s v="Cep 1361"/>
    <s v="Rua 1361"/>
    <s v="Comp 1361"/>
    <x v="16"/>
    <s v="T1-SWVB-UPOW"/>
    <d v="2025-05-01T00:00:00"/>
    <n v="29.99"/>
    <n v="29.99"/>
    <n v="3.5987999999999998"/>
    <n v="26.39"/>
    <n v="12.2"/>
    <n v="0.24"/>
    <n v="0.39877104377104378"/>
    <n v="0"/>
    <n v="13.551228956228957"/>
    <n v="6.7756144781144787"/>
    <d v="2025-05-08T00:00:00"/>
    <d v="2025-05-08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1"/>
    <s v="Pedido 1400"/>
    <d v="2025-04-02T00:00:00"/>
    <d v="2025-04-04T00:00:00"/>
    <s v="PedidoF1341"/>
    <s v="CódRastreio1339"/>
    <n v="1"/>
    <s v="CPF 1362"/>
    <s v="Nome 1362"/>
    <s v="Tel 1362"/>
    <s v="Cep 1362"/>
    <s v="Rua 1362"/>
    <s v="Comp 1362"/>
    <x v="26"/>
    <s v="BG-DHRO-FAEE"/>
    <d v="2025-05-01T00:00:00"/>
    <n v="26.99"/>
    <n v="26.99"/>
    <n v="2.9688999999999997"/>
    <n v="24.02"/>
    <n v="10.16"/>
    <n v="0.24"/>
    <n v="0.39877104377104378"/>
    <n v="0"/>
    <n v="13.221228956228956"/>
    <n v="6.6106144781144778"/>
    <d v="2025-05-08T00:00:00"/>
    <d v="2025-05-08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1"/>
    <s v="Pedido 1401"/>
    <d v="2025-04-02T00:00:00"/>
    <d v="2025-04-04T00:00:00"/>
    <s v="PedidoF1342"/>
    <s v="CódRastreio1340"/>
    <n v="1"/>
    <s v="CPF 1363"/>
    <s v="Nome 1363"/>
    <s v="Tel 1363"/>
    <s v="Cep 1363"/>
    <s v="Rua 1363"/>
    <s v="Comp 1363"/>
    <x v="26"/>
    <s v="BG-DHRO-FAEE"/>
    <d v="2025-05-01T00:00:00"/>
    <n v="26.99"/>
    <n v="26.99"/>
    <n v="2.9688999999999997"/>
    <n v="24.02"/>
    <n v="10.16"/>
    <n v="0.24"/>
    <n v="0.39877104377104378"/>
    <n v="0"/>
    <n v="13.221228956228956"/>
    <n v="6.6106144781144778"/>
    <d v="2025-05-08T00:00:00"/>
    <d v="2025-05-08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1"/>
    <s v="Pedido 1402"/>
    <d v="2025-04-02T00:00:00"/>
    <d v="2025-04-04T00:00:00"/>
    <s v="PedidoF1343"/>
    <s v="CódRastreio1341"/>
    <n v="1"/>
    <s v="CPF 1364"/>
    <s v="Nome 1364"/>
    <s v="Tel 1364"/>
    <s v="Cep 1364"/>
    <s v="Rua 1364"/>
    <s v="Comp 1364"/>
    <x v="15"/>
    <s v="71-KHMZ-MLQW"/>
    <d v="2025-05-09T00:00:00"/>
    <n v="53"/>
    <n v="53"/>
    <n v="5.83"/>
    <n v="47.17"/>
    <n v="29.2"/>
    <n v="0.24"/>
    <n v="0.39877104377104378"/>
    <n v="0"/>
    <n v="17.331228956228959"/>
    <n v="8.6656144781144793"/>
    <d v="2025-05-16T00:00:00"/>
    <d v="2025-05-16T00:00:00"/>
    <d v="2025-05-16T00:00:00"/>
    <d v="2025-05-20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51"/>
    <s v="Pedido 1403"/>
    <d v="2025-04-02T00:00:00"/>
    <d v="2025-04-04T00:00:00"/>
    <s v="PedidoF1344"/>
    <s v="CódRastreio1342"/>
    <n v="1"/>
    <s v="CPF 1365"/>
    <s v="Nome 1365"/>
    <s v="Tel 1365"/>
    <s v="Cep 1365"/>
    <s v="Rua 1365"/>
    <s v="Comp 1365"/>
    <x v="15"/>
    <s v="71-KHMZ-MLQW"/>
    <d v="2025-05-01T00:00:00"/>
    <n v="53"/>
    <n v="53"/>
    <n v="5.83"/>
    <n v="47.17"/>
    <n v="30.31"/>
    <n v="0.24"/>
    <n v="0.39877104377104378"/>
    <n v="0"/>
    <n v="16.221228956228959"/>
    <n v="8.1106144781144796"/>
    <d v="2025-05-08T00:00:00"/>
    <d v="2025-05-08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4"/>
    <s v="Pedido 1404"/>
    <d v="2025-04-02T00:00:00"/>
    <d v="2025-04-07T00:00:00"/>
    <s v="PedidoF1345"/>
    <s v="CódRastreio1343"/>
    <n v="1"/>
    <s v="CPF 1366"/>
    <s v="Nome 1366"/>
    <s v="Tel 1366"/>
    <s v="Cep 1366"/>
    <s v="Rua 1366"/>
    <s v="Comp 1366"/>
    <x v="26"/>
    <s v="BG-DHRO-FAEE"/>
    <d v="2025-04-25T00:00:00"/>
    <n v="26.99"/>
    <n v="26.99"/>
    <n v="2.9688999999999997"/>
    <n v="24.02"/>
    <n v="11.1"/>
    <n v="0.24"/>
    <n v="0.39877104377104378"/>
    <n v="0"/>
    <n v="12.281228956228956"/>
    <n v="6.140614478114478"/>
    <d v="2025-05-02T00:00:00"/>
    <d v="2025-05-02T00:00:00"/>
    <d v="2025-05-02T00:00:00"/>
    <d v="2025-05-06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4"/>
    <s v="Pedido 1405"/>
    <d v="2025-04-02T00:00:00"/>
    <d v="2025-04-07T00:00:00"/>
    <s v="PedidoF1346"/>
    <s v="CódRastreio1344"/>
    <n v="1"/>
    <s v="CPF 1367"/>
    <s v="Nome 1367"/>
    <s v="Tel 1367"/>
    <s v="Cep 1367"/>
    <s v="Rua 1367"/>
    <s v="Comp 1367"/>
    <x v="10"/>
    <s v="WU-SS4J-LFOH"/>
    <d v="2025-04-25T00:00:00"/>
    <n v="65.75"/>
    <n v="65.75"/>
    <n v="7.89"/>
    <n v="57.86"/>
    <n v="15.51"/>
    <n v="0.24"/>
    <n v="0.39877104377104378"/>
    <n v="0"/>
    <n v="41.71122895622895"/>
    <n v="20.855614478114475"/>
    <d v="2025-05-02T00:00:00"/>
    <d v="2025-05-02T00:00:00"/>
    <d v="2025-05-02T00:00:00"/>
    <d v="2025-05-06T00:00:00"/>
    <s v="2025 05"/>
    <s v="Aguardando Liberação"/>
    <s v="2025 04"/>
    <s v="ENTREGUE"/>
    <d v="2025-04-19T00:00:00"/>
    <s v="-"/>
    <m/>
    <n v="0"/>
    <n v="0"/>
    <n v="0"/>
    <n v="0"/>
    <n v="0"/>
  </r>
  <r>
    <s v="GO"/>
    <s v="GO45749"/>
    <s v="Pedido 1406"/>
    <d v="2025-03-31T00:00:00"/>
    <d v="2025-04-02T00:00:00"/>
    <s v="PedidoF1347"/>
    <s v="CódRastreio1345"/>
    <n v="1"/>
    <s v="CPF 1368"/>
    <s v="Nome 1368"/>
    <s v="Tel 1368"/>
    <s v="Cep 1368"/>
    <s v="Rua 1368"/>
    <s v="Comp 1368"/>
    <x v="30"/>
    <s v="33-SVS5-1AWY"/>
    <d v="2025-04-30T00:00:00"/>
    <n v="67.599999999999994"/>
    <n v="67.599999999999994"/>
    <n v="8.1119999999999983"/>
    <n v="59.49"/>
    <n v="34.659999999999997"/>
    <n v="0.2"/>
    <n v="0.39877104377104378"/>
    <n v="0"/>
    <n v="24.231228956228961"/>
    <n v="24.231228956228961"/>
    <d v="2025-05-07T00:00:00"/>
    <d v="2025-05-07T00:00:00"/>
    <d v="2025-05-16T00:00:00"/>
    <d v="2025-05-20T00:00:00"/>
    <s v="2025 05"/>
    <s v="Aguardando Liberação"/>
    <s v="2025 04"/>
    <s v="ENTREGUE"/>
    <d v="2025-04-16T00:00:00"/>
    <s v="-"/>
    <m/>
    <n v="0"/>
    <n v="0"/>
    <n v="0"/>
    <n v="0"/>
    <n v="0"/>
  </r>
  <r>
    <s v="GO"/>
    <s v="GO45749"/>
    <s v="Pedido 1407"/>
    <d v="2025-04-01T00:00:00"/>
    <d v="2025-04-02T00:00:00"/>
    <s v="PedidoF1348"/>
    <s v="CódRastreio1346"/>
    <n v="1"/>
    <s v="CPF 1369"/>
    <s v="Nome 1369"/>
    <s v="Tel 1369"/>
    <s v="Cep 1369"/>
    <s v="Rua 1369"/>
    <s v="Comp 1369"/>
    <x v="21"/>
    <s v="E7-FW3C-EHOL"/>
    <d v="2025-05-08T00:00:00"/>
    <n v="40.4"/>
    <n v="40.4"/>
    <n v="4.8479999999999999"/>
    <n v="35.549999999999997"/>
    <n v="24.03"/>
    <n v="0.2"/>
    <n v="0.39877104377104378"/>
    <n v="0"/>
    <n v="10.921228956228951"/>
    <n v="10.921228956228951"/>
    <d v="2025-05-15T00:00:00"/>
    <d v="2025-05-15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1"/>
    <s v="Pedido 1408"/>
    <d v="2025-04-03T00:00:00"/>
    <d v="2025-04-04T00:00:00"/>
    <s v="PedidoF1349"/>
    <s v="CódRastreio1347"/>
    <n v="1"/>
    <s v="CPF 1370"/>
    <s v="Nome 1370"/>
    <s v="Tel 1370"/>
    <s v="Cep 1370"/>
    <s v="Rua 1370"/>
    <s v="Comp 1370"/>
    <x v="6"/>
    <s v="VI-4RT5-1FFO"/>
    <d v="2025-04-25T00:00:00"/>
    <n v="22.7"/>
    <n v="22.7"/>
    <n v="2.7239999999999998"/>
    <n v="19.98"/>
    <n v="12.91"/>
    <n v="0.24"/>
    <n v="0.39877104377104378"/>
    <n v="0"/>
    <n v="6.4312289562289564"/>
    <n v="3.2156144781144782"/>
    <d v="2025-05-02T00:00:00"/>
    <d v="2025-05-02T00:00:00"/>
    <d v="2025-05-02T00:00:00"/>
    <d v="2025-05-06T00:00:00"/>
    <s v="2025 05"/>
    <s v="Aguardando Liberação"/>
    <s v="2025 04"/>
    <s v="ENTREGUE"/>
    <d v="2025-04-10T00:00:00"/>
    <s v="-"/>
    <m/>
    <n v="0"/>
    <n v="0"/>
    <n v="0"/>
    <n v="0"/>
    <n v="0"/>
  </r>
  <r>
    <s v="MEI"/>
    <s v="MEI45754"/>
    <s v="Pedido 1409"/>
    <d v="2025-04-03T00:00:00"/>
    <d v="2025-04-07T00:00:00"/>
    <s v="PedidoF1350"/>
    <s v="CódRastreio1348"/>
    <n v="1"/>
    <s v="CPF 1371"/>
    <s v="Nome 1371"/>
    <s v="Tel 1371"/>
    <s v="Cep 1371"/>
    <s v="Rua 1371"/>
    <s v="Comp 1371"/>
    <x v="6"/>
    <s v="VI-4RT5-1FFO"/>
    <d v="2025-05-01T00:00:00"/>
    <n v="22.7"/>
    <n v="22.7"/>
    <n v="2.7239999999999998"/>
    <n v="19.98"/>
    <n v="10.1"/>
    <n v="0.24"/>
    <n v="0.39877104377104378"/>
    <n v="0"/>
    <n v="9.2412289562289569"/>
    <n v="4.6206144781144785"/>
    <d v="2025-05-08T00:00:00"/>
    <d v="2025-05-08T00:00:00"/>
    <d v="2025-05-16T00:00:00"/>
    <d v="2025-05-20T00:00:00"/>
    <s v="2025 05"/>
    <s v="Aguardando Liberação"/>
    <s v="2025 04"/>
    <s v="ENTREGUE"/>
    <d v="2025-04-16T00:00:00"/>
    <s v="-"/>
    <m/>
    <n v="0"/>
    <n v="0"/>
    <n v="0"/>
    <n v="0"/>
    <n v="0"/>
  </r>
  <r>
    <s v="MEI"/>
    <s v="MEI45754"/>
    <s v="Pedido 1410"/>
    <d v="2025-04-03T00:00:00"/>
    <d v="2025-04-07T00:00:00"/>
    <s v="PedidoF1351"/>
    <s v="CódRastreio1349"/>
    <n v="1"/>
    <s v="CPF 1372"/>
    <s v="Nome 1372"/>
    <s v="Tel 1372"/>
    <s v="Cep 1372"/>
    <s v="Rua 1372"/>
    <s v="Comp 1372"/>
    <x v="3"/>
    <s v="WR-82Y0-OV27"/>
    <d v="2025-05-03T00:00:00"/>
    <n v="59.69"/>
    <n v="59.69"/>
    <n v="7.1627999999999998"/>
    <n v="52.53"/>
    <n v="14.17"/>
    <n v="0.24"/>
    <n v="0.39877104377104378"/>
    <n v="0"/>
    <n v="37.721228956228956"/>
    <n v="18.860614478114478"/>
    <d v="2025-05-10T00:00:00"/>
    <d v="2025-05-10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4"/>
    <s v="Pedido 1411"/>
    <d v="2025-04-03T00:00:00"/>
    <d v="2025-04-07T00:00:00"/>
    <s v="PedidoF1352"/>
    <s v="CódRastreio1350"/>
    <n v="1"/>
    <s v="CPF 1373"/>
    <s v="Nome 1373"/>
    <s v="Tel 1373"/>
    <s v="Cep 1373"/>
    <s v="Rua 1373"/>
    <s v="Comp 1373"/>
    <x v="6"/>
    <s v="VI-4RT5-1FFO"/>
    <d v="2025-04-26T00:00:00"/>
    <n v="22.7"/>
    <n v="22.7"/>
    <n v="2.7239999999999998"/>
    <n v="19.98"/>
    <n v="6.99"/>
    <n v="0.24"/>
    <n v="0.39877104377104378"/>
    <n v="0"/>
    <n v="12.351228956228956"/>
    <n v="6.1756144781144782"/>
    <d v="2025-05-03T00:00:00"/>
    <d v="2025-05-03T00:00:00"/>
    <d v="2025-05-16T00:00:00"/>
    <d v="2025-05-20T00:00:00"/>
    <s v="2025 05"/>
    <s v="Aguardando Liberação"/>
    <s v="2025 04"/>
    <s v="ENTREGUE"/>
    <d v="2025-04-09T00:00:00"/>
    <s v="-"/>
    <m/>
    <n v="0"/>
    <n v="0"/>
    <n v="0"/>
    <n v="0"/>
    <n v="0"/>
  </r>
  <r>
    <s v="MEI"/>
    <s v="MEI45754"/>
    <s v="Pedido 1412"/>
    <d v="2025-04-03T00:00:00"/>
    <d v="2025-04-07T00:00:00"/>
    <s v="PedidoF1353"/>
    <s v="CódRastreio1351"/>
    <n v="1"/>
    <s v="CPF 1374"/>
    <s v="Nome 1374"/>
    <s v="Tel 1374"/>
    <s v="Cep 1374"/>
    <s v="Rua 1374"/>
    <s v="Comp 1374"/>
    <x v="26"/>
    <s v="BG-DHRO-FAEE"/>
    <d v="2025-05-03T00:00:00"/>
    <n v="26.99"/>
    <n v="26.99"/>
    <n v="2.9688999999999997"/>
    <n v="24.02"/>
    <n v="11.53"/>
    <n v="0.24"/>
    <n v="0.39877104377104378"/>
    <n v="0"/>
    <n v="11.851228956228956"/>
    <n v="5.9256144781144782"/>
    <d v="2025-05-10T00:00:00"/>
    <d v="2025-05-10T00:00:00"/>
    <d v="2025-05-16T00:00:00"/>
    <d v="2025-05-20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4"/>
    <s v="Pedido 1413"/>
    <d v="2025-04-03T00:00:00"/>
    <d v="2025-04-07T00:00:00"/>
    <s v="PedidoF1354"/>
    <s v="CódRastreio1352"/>
    <n v="1"/>
    <s v="CPF 1375"/>
    <s v="Nome 1375"/>
    <s v="Tel 1375"/>
    <s v="Cep 1375"/>
    <s v="Rua 1375"/>
    <s v="Comp 1375"/>
    <x v="15"/>
    <s v="71-KHMZ-MLQW"/>
    <d v="2025-05-10T00:00:00"/>
    <n v="53"/>
    <n v="53"/>
    <n v="5.83"/>
    <n v="47.17"/>
    <n v="31.7"/>
    <n v="0.24"/>
    <n v="0.39877104377104378"/>
    <n v="0"/>
    <n v="14.831228956228962"/>
    <n v="7.415614478114481"/>
    <d v="2025-05-17T00:00:00"/>
    <d v="2025-05-17T00:00:00"/>
    <d v="2025-05-30T00:00:00"/>
    <d v="2025-06-02T00:00:00"/>
    <s v="2025 05"/>
    <s v="Aguardando Liberação"/>
    <s v="2025 04"/>
    <s v="ENTREGUE"/>
    <d v="2025-04-24T00:00:00"/>
    <s v="-"/>
    <m/>
    <n v="0"/>
    <n v="0"/>
    <n v="0"/>
    <n v="0"/>
    <n v="0"/>
  </r>
  <r>
    <s v="GO"/>
    <s v="GO45754"/>
    <s v="Pedido 1414"/>
    <d v="2025-04-03T00:00:00"/>
    <d v="2025-04-07T00:00:00"/>
    <s v="PedidoF1355"/>
    <s v="CódRastreio1353"/>
    <n v="1"/>
    <s v="CPF 1376"/>
    <s v="Nome 1376"/>
    <s v="Tel 1376"/>
    <s v="Cep 1376"/>
    <s v="Rua 1376"/>
    <s v="Comp 1376"/>
    <x v="30"/>
    <s v="33-SVS5-1AWY"/>
    <d v="2025-05-01T00:00:00"/>
    <n v="67.599999999999994"/>
    <n v="67.599999999999994"/>
    <n v="8.1119999999999983"/>
    <n v="59.49"/>
    <n v="37.25"/>
    <n v="0.2"/>
    <n v="0.39877104377104378"/>
    <n v="0"/>
    <n v="21.641228956228957"/>
    <n v="21.641228956228957"/>
    <d v="2025-05-08T00:00:00"/>
    <d v="2025-05-08T00:00:00"/>
    <d v="2025-05-16T00:00:00"/>
    <d v="2025-05-20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4"/>
    <s v="Pedido 1415"/>
    <d v="2025-04-03T00:00:00"/>
    <d v="2025-04-07T00:00:00"/>
    <s v="PedidoF1356"/>
    <s v="CódRastreio1354"/>
    <n v="1"/>
    <s v="CPF 1377"/>
    <s v="Nome 1377"/>
    <s v="Tel 1377"/>
    <s v="Cep 1377"/>
    <s v="Rua 1377"/>
    <s v="Comp 1377"/>
    <x v="26"/>
    <s v="BG-DHRO-FAEE"/>
    <d v="2025-04-26T00:00:00"/>
    <n v="26.99"/>
    <n v="26.99"/>
    <n v="2.9688999999999997"/>
    <n v="24.02"/>
    <n v="11.11"/>
    <n v="0.24"/>
    <n v="0.39877104377104378"/>
    <n v="0"/>
    <n v="12.271228956228956"/>
    <n v="6.1356144781144781"/>
    <d v="2025-05-03T00:00:00"/>
    <d v="2025-05-03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54"/>
    <s v="Pedido 1416"/>
    <d v="2025-04-03T00:00:00"/>
    <d v="2025-04-07T00:00:00"/>
    <s v="PedidoF1357"/>
    <s v="CódRastreio1355"/>
    <n v="1"/>
    <s v="CPF 1378"/>
    <s v="Nome 1378"/>
    <s v="Tel 1378"/>
    <s v="Cep 1378"/>
    <s v="Rua 1378"/>
    <s v="Comp 1378"/>
    <x v="8"/>
    <s v="LF-R6MC-WKWP"/>
    <d v="2025-05-03T00:00:00"/>
    <n v="32.67"/>
    <n v="32.67"/>
    <n v="3.9203999999999999"/>
    <n v="28.75"/>
    <n v="12.3"/>
    <n v="0.24"/>
    <n v="0.39877104377104378"/>
    <n v="0"/>
    <n v="15.811228956228955"/>
    <n v="7.9056144781144777"/>
    <d v="2025-05-10T00:00:00"/>
    <d v="2025-05-10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4"/>
    <s v="Pedido 1417"/>
    <d v="2025-04-04T00:00:00"/>
    <d v="2025-04-07T00:00:00"/>
    <s v="PedidoF1358"/>
    <s v="CódRastreio1356"/>
    <n v="1"/>
    <s v="CPF 1379"/>
    <s v="Nome 1379"/>
    <s v="Tel 1379"/>
    <s v="Cep 1379"/>
    <s v="Rua 1379"/>
    <s v="Comp 1379"/>
    <x v="6"/>
    <s v="VI-4RT5-1FFO"/>
    <d v="2025-04-26T00:00:00"/>
    <n v="22.7"/>
    <n v="22.7"/>
    <n v="2.7239999999999998"/>
    <n v="19.98"/>
    <n v="6.99"/>
    <n v="0.24"/>
    <n v="0.39877104377104378"/>
    <n v="0"/>
    <n v="12.351228956228956"/>
    <n v="6.1756144781144782"/>
    <d v="2025-05-03T00:00:00"/>
    <d v="2025-05-03T00:00:00"/>
    <d v="2025-05-16T00:00:00"/>
    <d v="2025-05-20T00:00:00"/>
    <s v="2025 05"/>
    <s v="Aguardando Liberação"/>
    <s v="2025 04"/>
    <s v="ENTREGUE"/>
    <d v="2025-04-10T00:00:00"/>
    <s v="-"/>
    <m/>
    <n v="0"/>
    <n v="0"/>
    <n v="0"/>
    <n v="0"/>
    <n v="0"/>
  </r>
  <r>
    <s v="MEI"/>
    <s v="MEI45755"/>
    <s v="Pedido 1418"/>
    <d v="2025-04-04T00:00:00"/>
    <d v="2025-04-08T00:00:00"/>
    <s v="PedidoF1359"/>
    <s v="CódRastreio1357"/>
    <n v="1"/>
    <s v="CPF 1380"/>
    <s v="Nome 1380"/>
    <s v="Tel 1380"/>
    <s v="Cep 1380"/>
    <s v="Rua 1380"/>
    <s v="Comp 1380"/>
    <x v="26"/>
    <s v="BG-DHRO-FAEE"/>
    <d v="2025-05-06T00:00:00"/>
    <n v="26.99"/>
    <n v="26.99"/>
    <n v="2.9688999999999997"/>
    <n v="24.02"/>
    <n v="11.13"/>
    <n v="0.25"/>
    <n v="0.39877104377104378"/>
    <n v="0"/>
    <n v="12.241228956228955"/>
    <n v="6.1206144781144776"/>
    <d v="2025-05-13T00:00:00"/>
    <d v="2025-05-13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56"/>
    <s v="Pedido 1419"/>
    <d v="2025-04-04T00:00:00"/>
    <d v="2025-04-09T00:00:00"/>
    <s v="PedidoF1360"/>
    <s v="CódRastreio1358"/>
    <n v="1"/>
    <s v="CPF 1381"/>
    <s v="Nome 1381"/>
    <s v="Tel 1381"/>
    <s v="Cep 1381"/>
    <s v="Rua 1381"/>
    <s v="Comp 1381"/>
    <x v="6"/>
    <s v="VI-4RT5-1FFO"/>
    <d v="2025-05-13T00:00:00"/>
    <n v="22.7"/>
    <n v="22.7"/>
    <n v="2.7239999999999998"/>
    <n v="19.98"/>
    <n v="14.71"/>
    <n v="0.2"/>
    <n v="0.39877104377104378"/>
    <n v="0"/>
    <n v="4.6712289562289566"/>
    <n v="2.3356144781144783"/>
    <d v="2025-05-20T00:00:00"/>
    <d v="2025-05-20T00:00:00"/>
    <d v="2025-05-30T00:00:00"/>
    <d v="2025-06-02T00:00:00"/>
    <s v="2025 05"/>
    <s v="Aguardando Liberação"/>
    <s v="2025 04"/>
    <s v="ENTREGUE"/>
    <d v="2025-04-19T00:00:00"/>
    <s v="-"/>
    <m/>
    <n v="0"/>
    <n v="0"/>
    <n v="0"/>
    <n v="0"/>
    <n v="0"/>
  </r>
  <r>
    <s v="MEI"/>
    <s v="MEI45755"/>
    <s v="Pedido 1420"/>
    <d v="2025-04-04T00:00:00"/>
    <d v="2025-04-08T00:00:00"/>
    <s v="PedidoF1361"/>
    <s v="CódRastreio1359"/>
    <n v="1"/>
    <s v="CPF 1382"/>
    <s v="Nome 1382"/>
    <s v="Tel 1382"/>
    <s v="Cep 1382"/>
    <s v="Rua 1382"/>
    <s v="Comp 1382"/>
    <x v="16"/>
    <s v="T1-SWVB-UPOW"/>
    <d v="2025-05-13T00:00:00"/>
    <n v="29.99"/>
    <n v="29.99"/>
    <n v="3.5987999999999998"/>
    <n v="26.39"/>
    <n v="10.14"/>
    <n v="0.25"/>
    <n v="0.39877104377104378"/>
    <n v="0"/>
    <n v="15.601228956228956"/>
    <n v="7.8006144781144782"/>
    <d v="2025-05-20T00:00:00"/>
    <d v="2025-05-20T00:00:00"/>
    <d v="2025-05-30T00:00:00"/>
    <d v="2025-06-02T00:00:00"/>
    <s v="2025 05"/>
    <s v="Aguardando Liberação"/>
    <s v="2025 04"/>
    <s v="ENTREGUE"/>
    <d v="2025-05-06T00:00:00"/>
    <s v="-"/>
    <m/>
    <n v="0"/>
    <n v="0"/>
    <n v="0"/>
    <n v="0"/>
    <n v="0"/>
  </r>
  <r>
    <s v="MEI"/>
    <s v="MEI45755"/>
    <s v="Pedido 1421"/>
    <d v="2025-04-04T00:00:00"/>
    <d v="2025-04-08T00:00:00"/>
    <s v="PedidoF1362"/>
    <s v="CódRastreio1360"/>
    <n v="1"/>
    <s v="CPF 1383"/>
    <s v="Nome 1383"/>
    <s v="Tel 1383"/>
    <s v="Cep 1383"/>
    <s v="Rua 1383"/>
    <s v="Comp 1383"/>
    <x v="11"/>
    <s v="JV-A3YY-I7XH"/>
    <d v="2025-05-06T00:00:00"/>
    <n v="70.489999999999995"/>
    <n v="70.489999999999995"/>
    <n v="8.4587999999999983"/>
    <n v="62.03"/>
    <n v="47.66"/>
    <n v="0.25"/>
    <n v="0.39877104377104378"/>
    <n v="0"/>
    <n v="13.721228956228963"/>
    <n v="6.8606144781144813"/>
    <d v="2025-05-13T00:00:00"/>
    <d v="2025-05-13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5"/>
    <s v="Pedido 1422"/>
    <d v="2025-04-04T00:00:00"/>
    <d v="2025-04-08T00:00:00"/>
    <s v="PedidoF1363"/>
    <s v="CódRastreio1361"/>
    <n v="1"/>
    <s v="CPF 1384"/>
    <s v="Nome 1384"/>
    <s v="Tel 1384"/>
    <s v="Cep 1384"/>
    <s v="Rua 1384"/>
    <s v="Comp 1384"/>
    <x v="6"/>
    <s v="VI-4RT5-1FFO"/>
    <d v="2025-04-29T00:00:00"/>
    <n v="22.7"/>
    <n v="22.7"/>
    <n v="2.7239999999999998"/>
    <n v="19.98"/>
    <n v="11.77"/>
    <n v="0.25"/>
    <n v="0.39877104377104378"/>
    <n v="0"/>
    <n v="7.5612289562289572"/>
    <n v="3.7806144781144786"/>
    <d v="2025-05-06T00:00:00"/>
    <d v="2025-05-06T00:00:00"/>
    <d v="2025-05-16T00:00:00"/>
    <d v="2025-05-20T00:00:00"/>
    <s v="2025 05"/>
    <s v="Aguardando Liberação"/>
    <s v="2025 04"/>
    <s v="ENTREGUE"/>
    <d v="2025-04-16T00:00:00"/>
    <s v="-"/>
    <m/>
    <n v="0"/>
    <n v="0"/>
    <n v="0"/>
    <n v="0"/>
    <n v="0"/>
  </r>
  <r>
    <s v="MEI"/>
    <s v="MEI45755"/>
    <s v="Pedido 1423"/>
    <d v="2025-04-04T00:00:00"/>
    <d v="2025-04-08T00:00:00"/>
    <s v="PedidoF1364"/>
    <s v="CódRastreio1362"/>
    <n v="1"/>
    <s v="CPF 1385"/>
    <s v="Nome 1385"/>
    <s v="Tel 1385"/>
    <s v="Cep 1385"/>
    <s v="Rua 1385"/>
    <s v="Comp 1385"/>
    <x v="16"/>
    <s v="T1-SWVB-UPOW"/>
    <d v="2025-04-29T00:00:00"/>
    <n v="29.99"/>
    <n v="29.99"/>
    <n v="3.5987999999999998"/>
    <n v="26.39"/>
    <n v="10.14"/>
    <n v="0.25"/>
    <n v="0.39877104377104378"/>
    <n v="0"/>
    <n v="15.601228956228956"/>
    <n v="7.8006144781144782"/>
    <d v="2025-05-06T00:00:00"/>
    <d v="2025-05-06T00:00:00"/>
    <d v="2025-05-16T00:00:00"/>
    <d v="2025-05-20T00:00:00"/>
    <s v="2025 05"/>
    <s v="Aguardando Liberação"/>
    <s v="2025 04"/>
    <s v="ENTREGUE"/>
    <d v="2025-04-26T00:00:00"/>
    <s v="-"/>
    <m/>
    <n v="0"/>
    <n v="0"/>
    <n v="0"/>
    <n v="0"/>
    <n v="0"/>
  </r>
  <r>
    <s v="MEI"/>
    <s v="MEI45755"/>
    <s v="Pedido 1424"/>
    <d v="2025-04-04T00:00:00"/>
    <d v="2025-04-08T00:00:00"/>
    <s v="PedidoF1365"/>
    <s v="CódRastreio1363"/>
    <n v="1"/>
    <s v="CPF 1386"/>
    <s v="Nome 1386"/>
    <s v="Tel 1386"/>
    <s v="Cep 1386"/>
    <s v="Rua 1386"/>
    <s v="Comp 1386"/>
    <x v="16"/>
    <s v="T1-SWVB-UPOW"/>
    <d v="2025-04-29T00:00:00"/>
    <n v="29.99"/>
    <n v="29.99"/>
    <n v="3.5987999999999998"/>
    <n v="26.39"/>
    <n v="10.14"/>
    <n v="0.25"/>
    <n v="0.39877104377104378"/>
    <n v="0"/>
    <n v="15.601228956228956"/>
    <n v="7.8006144781144782"/>
    <d v="2025-05-06T00:00:00"/>
    <d v="2025-05-06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5"/>
    <s v="Pedido 1425"/>
    <d v="2025-04-04T00:00:00"/>
    <d v="2025-04-08T00:00:00"/>
    <s v="PedidoF1366"/>
    <s v="CódRastreio1364"/>
    <n v="1"/>
    <s v="CPF 1387"/>
    <s v="Nome 1387"/>
    <s v="Tel 1387"/>
    <s v="Cep 1387"/>
    <s v="Rua 1387"/>
    <s v="Comp 1387"/>
    <x v="15"/>
    <s v="71-KHMZ-MLQW"/>
    <d v="2025-04-29T00:00:00"/>
    <n v="53"/>
    <n v="53"/>
    <n v="5.83"/>
    <n v="47.17"/>
    <n v="31.78"/>
    <n v="0.25"/>
    <n v="0.39877104377104378"/>
    <n v="0"/>
    <n v="14.741228956228959"/>
    <n v="7.3706144781144793"/>
    <d v="2025-05-06T00:00:00"/>
    <d v="2025-05-06T00:00:00"/>
    <d v="2025-05-16T00:00:00"/>
    <d v="2025-05-20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-"/>
    <s v="Pedido 1426"/>
    <d v="2025-04-05T00:00:00"/>
    <s v="-"/>
    <s v="-"/>
    <s v="-"/>
    <n v="1"/>
    <s v="CPF 1388"/>
    <s v="Nome 1388"/>
    <s v="Tel 1388"/>
    <s v="Cep 1388"/>
    <s v="Rua 1388"/>
    <s v="Comp 1388"/>
    <x v="28"/>
    <s v="Z0-F6CI-18CL"/>
    <d v="2025-05-06T00:00:00"/>
    <n v="42.87"/>
    <n v="42.87"/>
    <n v="5.1443999999999992"/>
    <n v="37.729999999999997"/>
    <n v="0"/>
    <n v="0"/>
    <n v="0"/>
    <n v="0"/>
    <n v="37.729999999999997"/>
    <n v="18.864999999999998"/>
    <d v="2025-05-13T00:00:00"/>
    <d v="2025-05-13T00:00:00"/>
    <d v="2025-05-16T00:00:00"/>
    <d v="2025-05-20T00:00:00"/>
    <s v="2025 05"/>
    <s v="Aguardando Liberação"/>
    <s v="- -"/>
    <s v="-"/>
    <s v="-"/>
    <s v="-"/>
    <m/>
    <n v="0"/>
    <n v="0"/>
    <n v="0"/>
    <n v="0"/>
    <n v="0"/>
  </r>
  <r>
    <s v="MEI"/>
    <s v="MEI45755"/>
    <s v="Pedido 1427"/>
    <d v="2025-04-05T00:00:00"/>
    <d v="2025-04-08T00:00:00"/>
    <s v="PedidoF1367"/>
    <s v="CódRastreio1365"/>
    <n v="1"/>
    <s v="CPF 1389"/>
    <s v="Nome 1389"/>
    <s v="Tel 1389"/>
    <s v="Cep 1389"/>
    <s v="Rua 1389"/>
    <s v="Comp 1389"/>
    <x v="12"/>
    <s v="PK-L2Z7-MQRQ"/>
    <d v="2025-05-06T00:00:00"/>
    <n v="49.9"/>
    <n v="49.9"/>
    <n v="5.9879999999999995"/>
    <n v="43.91"/>
    <n v="0"/>
    <n v="0.25"/>
    <n v="0.39877104377104378"/>
    <n v="0"/>
    <n v="43.261228956228955"/>
    <n v="21.630614478114477"/>
    <d v="2025-05-13T00:00:00"/>
    <d v="2025-05-13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5"/>
    <s v="Pedido 1428"/>
    <d v="2025-04-05T00:00:00"/>
    <d v="2025-04-08T00:00:00"/>
    <s v="PedidoF1368"/>
    <s v="CódRastreio1366"/>
    <n v="1"/>
    <s v="CPF 1390"/>
    <s v="Nome 1390"/>
    <s v="Tel 1390"/>
    <s v="Cep 1390"/>
    <s v="Rua 1390"/>
    <s v="Comp 1390"/>
    <x v="0"/>
    <s v="IQ-LISQ-0D65"/>
    <d v="2025-05-06T00:00:00"/>
    <n v="21.99"/>
    <n v="21.99"/>
    <n v="3.2984999999999998"/>
    <n v="18.690000000000001"/>
    <n v="6.99"/>
    <n v="0.25"/>
    <n v="0.39877104377104378"/>
    <n v="0"/>
    <n v="11.051228956228957"/>
    <n v="5.5256144781144787"/>
    <d v="2025-05-13T00:00:00"/>
    <d v="2025-05-13T00:00:00"/>
    <d v="2025-05-16T00:00:00"/>
    <d v="2025-05-20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55"/>
    <s v="Pedido 1429"/>
    <d v="2025-04-06T00:00:00"/>
    <d v="2025-04-08T00:00:00"/>
    <s v="PedidoF1369"/>
    <s v="CódRastreio1367"/>
    <n v="1"/>
    <s v="CPF 1391"/>
    <s v="Nome 1391"/>
    <s v="Tel 1391"/>
    <s v="Cep 1391"/>
    <s v="Rua 1391"/>
    <s v="Comp 1391"/>
    <x v="16"/>
    <s v="T1-SWVB-UPOW"/>
    <d v="2025-04-29T00:00:00"/>
    <n v="29.99"/>
    <n v="29.99"/>
    <n v="3.5987999999999998"/>
    <n v="26.39"/>
    <n v="10.15"/>
    <n v="0.25"/>
    <n v="0.39877104377104378"/>
    <n v="0"/>
    <n v="15.591228956228957"/>
    <n v="7.7956144781144783"/>
    <d v="2025-05-06T00:00:00"/>
    <d v="2025-05-06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5"/>
    <s v="Pedido 1430"/>
    <d v="2025-04-06T00:00:00"/>
    <d v="2025-04-08T00:00:00"/>
    <s v="PedidoF1370"/>
    <s v="CódRastreio1368"/>
    <n v="1"/>
    <s v="CPF 1392"/>
    <s v="Nome 1392"/>
    <s v="Tel 1392"/>
    <s v="Cep 1392"/>
    <s v="Rua 1392"/>
    <s v="Comp 1392"/>
    <x v="0"/>
    <s v="IQ-LISQ-0D65"/>
    <d v="2025-05-06T00:00:00"/>
    <n v="21.99"/>
    <n v="21.99"/>
    <n v="3.2984999999999998"/>
    <n v="18.690000000000001"/>
    <n v="6.99"/>
    <n v="0.25"/>
    <n v="0.39877104377104378"/>
    <n v="0"/>
    <n v="11.051228956228957"/>
    <n v="5.5256144781144787"/>
    <d v="2025-05-13T00:00:00"/>
    <d v="2025-05-13T00:00:00"/>
    <d v="2025-05-16T00:00:00"/>
    <d v="2025-05-20T00:00:00"/>
    <s v="2025 05"/>
    <s v="Aguardando Liberação"/>
    <s v="2025 04"/>
    <s v="ENTREGUE"/>
    <d v="2025-04-19T00:00:00"/>
    <s v="-"/>
    <m/>
    <n v="0"/>
    <n v="0"/>
    <n v="0"/>
    <n v="0"/>
    <n v="0"/>
  </r>
  <r>
    <s v="MEI"/>
    <s v="MEI45755"/>
    <s v="Pedido 1431"/>
    <d v="2025-04-06T00:00:00"/>
    <d v="2025-04-08T00:00:00"/>
    <s v="PedidoF1371"/>
    <s v="CódRastreio1369"/>
    <n v="1"/>
    <s v="CPF 1393"/>
    <s v="Nome 1393"/>
    <s v="Tel 1393"/>
    <s v="Cep 1393"/>
    <s v="Rua 1393"/>
    <s v="Comp 1393"/>
    <x v="0"/>
    <s v="IQ-LISQ-0D65"/>
    <d v="2025-04-29T00:00:00"/>
    <n v="21.99"/>
    <n v="21.99"/>
    <n v="3.2984999999999998"/>
    <n v="18.690000000000001"/>
    <n v="6.99"/>
    <n v="0.25"/>
    <n v="0.39877104377104378"/>
    <n v="0"/>
    <n v="11.051228956228957"/>
    <n v="5.5256144781144787"/>
    <d v="2025-05-06T00:00:00"/>
    <d v="2025-05-06T00:00:00"/>
    <d v="2025-05-16T00:00:00"/>
    <d v="2025-05-20T00:00:00"/>
    <s v="2025 05"/>
    <s v="Aguardando Liberação"/>
    <s v="2025 04"/>
    <s v="ENTREGUE"/>
    <d v="2025-04-16T00:00:00"/>
    <s v="-"/>
    <m/>
    <n v="0"/>
    <n v="0"/>
    <n v="0"/>
    <n v="0"/>
    <n v="0"/>
  </r>
  <r>
    <s v="MEI"/>
    <s v="MEI45755"/>
    <s v="Pedido 1432"/>
    <d v="2025-04-06T00:00:00"/>
    <d v="2025-04-08T00:00:00"/>
    <s v="PedidoF1372"/>
    <s v="CódRastreio1370"/>
    <n v="1"/>
    <s v="CPF 1394"/>
    <s v="Nome 1394"/>
    <s v="Tel 1394"/>
    <s v="Cep 1394"/>
    <s v="Rua 1394"/>
    <s v="Comp 1394"/>
    <x v="3"/>
    <s v="WR-82Y0-OV27"/>
    <d v="2025-05-06T00:00:00"/>
    <n v="59.69"/>
    <n v="59.69"/>
    <n v="7.1627999999999998"/>
    <n v="52.53"/>
    <n v="14.72"/>
    <n v="0.25"/>
    <n v="0.39877104377104378"/>
    <n v="0"/>
    <n v="37.161228956228953"/>
    <n v="18.580614478114477"/>
    <d v="2025-05-13T00:00:00"/>
    <d v="2025-05-13T00:00:00"/>
    <d v="2025-05-16T00:00:00"/>
    <d v="2025-05-20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56"/>
    <s v="Pedido 1433"/>
    <d v="2025-04-06T00:00:00"/>
    <d v="2025-04-09T00:00:00"/>
    <s v="PedidoF1373"/>
    <s v="CódRastreio1371"/>
    <n v="1"/>
    <s v="CPF 1395"/>
    <s v="Nome 1395"/>
    <s v="Tel 1395"/>
    <s v="Cep 1395"/>
    <s v="Rua 1395"/>
    <s v="Comp 1395"/>
    <x v="26"/>
    <s v="BG-DHRO-FAEE"/>
    <d v="2025-05-06T00:00:00"/>
    <n v="26.99"/>
    <n v="26.99"/>
    <n v="2.9688999999999997"/>
    <n v="24.02"/>
    <n v="19.71"/>
    <n v="0.2"/>
    <n v="0.39877104377104378"/>
    <n v="0"/>
    <n v="3.711228956228954"/>
    <n v="1.855614478114477"/>
    <d v="2025-05-13T00:00:00"/>
    <d v="2025-05-13T00:00:00"/>
    <d v="2025-05-16T00:00:00"/>
    <d v="2025-05-20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56"/>
    <s v="Pedido 1434"/>
    <d v="2025-04-06T00:00:00"/>
    <d v="2025-04-09T00:00:00"/>
    <s v="PedidoF1374"/>
    <s v="CódRastreio1372"/>
    <n v="1"/>
    <s v="CPF 1396"/>
    <s v="Nome 1396"/>
    <s v="Tel 1396"/>
    <s v="Cep 1396"/>
    <s v="Rua 1396"/>
    <s v="Comp 1396"/>
    <x v="26"/>
    <s v="BG-DHRO-FAEE"/>
    <d v="2025-05-06T00:00:00"/>
    <n v="26.99"/>
    <n v="26.99"/>
    <n v="2.9688999999999997"/>
    <n v="24.02"/>
    <n v="15.56"/>
    <n v="0.2"/>
    <n v="0.39877104377104378"/>
    <n v="0"/>
    <n v="7.8612289562289561"/>
    <n v="3.9306144781144781"/>
    <d v="2025-05-13T00:00:00"/>
    <d v="2025-05-13T00:00:00"/>
    <d v="2025-05-16T00:00:00"/>
    <d v="2025-05-20T00:00:00"/>
    <s v="2025 05"/>
    <s v="Aguardando Liberação"/>
    <s v="2025 04"/>
    <s v="ENTREGUE"/>
    <d v="2025-05-08T00:00:00"/>
    <s v="-"/>
    <m/>
    <n v="0"/>
    <n v="0"/>
    <n v="0"/>
    <n v="0"/>
    <n v="0"/>
  </r>
  <r>
    <s v="MEI"/>
    <s v="MEI45756"/>
    <s v="Pedido 1435"/>
    <d v="2025-04-06T00:00:00"/>
    <d v="2025-04-09T00:00:00"/>
    <s v="PedidoF1375"/>
    <s v="CódRastreio1373"/>
    <n v="1"/>
    <s v="CPF 872"/>
    <s v="Nome 872"/>
    <s v="Tel 872"/>
    <s v="Cep 872"/>
    <s v="Rua 872"/>
    <s v="Comp 872"/>
    <x v="10"/>
    <s v="WU-SS4J-LFOH"/>
    <d v="2025-04-29T00:00:00"/>
    <n v="65.75"/>
    <n v="65.75"/>
    <n v="7.89"/>
    <n v="57.86"/>
    <n v="16.66"/>
    <n v="0.2"/>
    <n v="0.39877104377104378"/>
    <n v="0"/>
    <n v="40.601228956228951"/>
    <n v="20.300614478114476"/>
    <d v="2025-05-06T00:00:00"/>
    <d v="2025-05-06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6"/>
    <s v="Pedido 1436"/>
    <d v="2025-04-06T00:00:00"/>
    <d v="2025-04-09T00:00:00"/>
    <s v="PedidoF1376"/>
    <s v="CódRastreio1374"/>
    <n v="1"/>
    <s v="CPF 1397"/>
    <s v="Nome 1397"/>
    <s v="Tel 1397"/>
    <s v="Cep 1397"/>
    <s v="Rua 1397"/>
    <s v="Comp 1397"/>
    <x v="0"/>
    <s v="IQ-LISQ-0D65"/>
    <d v="2025-04-29T00:00:00"/>
    <n v="21.99"/>
    <n v="21.99"/>
    <n v="3.2984999999999998"/>
    <n v="18.690000000000001"/>
    <n v="9.99"/>
    <n v="0.2"/>
    <n v="0.39877104377104378"/>
    <n v="0"/>
    <n v="8.1012289562289581"/>
    <n v="4.0506144781144791"/>
    <d v="2025-05-06T00:00:00"/>
    <d v="2025-05-06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6"/>
    <s v="Pedido 1437"/>
    <d v="2025-04-06T00:00:00"/>
    <d v="2025-04-09T00:00:00"/>
    <s v="PedidoF1377"/>
    <s v="CódRastreio1375"/>
    <n v="1"/>
    <s v="CPF 1398"/>
    <s v="Nome 1398"/>
    <s v="Tel 1398"/>
    <s v="Cep 1398"/>
    <s v="Rua 1398"/>
    <s v="Comp 1398"/>
    <x v="0"/>
    <s v="IQ-LISQ-0D65"/>
    <d v="2025-04-29T00:00:00"/>
    <n v="21.99"/>
    <n v="21.99"/>
    <n v="3.2984999999999998"/>
    <n v="18.690000000000001"/>
    <n v="9.99"/>
    <n v="0.2"/>
    <n v="0.39877104377104378"/>
    <n v="0"/>
    <n v="8.1012289562289581"/>
    <n v="4.0506144781144791"/>
    <d v="2025-05-06T00:00:00"/>
    <d v="2025-05-06T00:00:00"/>
    <d v="2025-05-16T00:00:00"/>
    <d v="2025-05-20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56"/>
    <s v="Pedido 1438"/>
    <d v="2025-04-06T00:00:00"/>
    <d v="2025-04-09T00:00:00"/>
    <s v="PedidoF1378"/>
    <s v="CódRastreio1376"/>
    <n v="1"/>
    <s v="CPF 1399"/>
    <s v="Nome 1399"/>
    <s v="Tel 1399"/>
    <s v="Cep 1399"/>
    <s v="Rua 1399"/>
    <s v="Comp 1399"/>
    <x v="19"/>
    <s v="1I-EZPV-2Q78"/>
    <d v="2025-05-06T00:00:00"/>
    <n v="52.93"/>
    <n v="52.93"/>
    <n v="7.9394999999999998"/>
    <n v="44.99"/>
    <n v="0"/>
    <n v="0.2"/>
    <n v="0.39877104377104378"/>
    <n v="0"/>
    <n v="44.391228956228957"/>
    <n v="22.195614478114479"/>
    <d v="2025-05-13T00:00:00"/>
    <d v="2025-05-13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6"/>
    <s v="Pedido 1439"/>
    <d v="2025-04-06T00:00:00"/>
    <d v="2025-04-09T00:00:00"/>
    <s v="PedidoF1379"/>
    <s v="CódRastreio1377"/>
    <n v="1"/>
    <s v="CPF 1400"/>
    <s v="Nome 1400"/>
    <s v="Tel 1400"/>
    <s v="Cep 1400"/>
    <s v="Rua 1400"/>
    <s v="Comp 1400"/>
    <x v="0"/>
    <s v="IQ-LISQ-0D65"/>
    <d v="2025-05-06T00:00:00"/>
    <n v="21.99"/>
    <n v="21.99"/>
    <n v="3.2984999999999998"/>
    <n v="18.690000000000001"/>
    <n v="9.99"/>
    <n v="0.2"/>
    <n v="0.39877104377104378"/>
    <n v="0"/>
    <n v="8.1012289562289581"/>
    <n v="4.0506144781144791"/>
    <d v="2025-05-13T00:00:00"/>
    <d v="2025-05-13T00:00:00"/>
    <d v="2025-05-16T00:00:00"/>
    <d v="2025-05-20T00:00:00"/>
    <s v="2025 05"/>
    <s v="Aguardando Liberação"/>
    <s v="2025 04"/>
    <s v="ENTREGUE"/>
    <d v="2025-04-18T00:00:00"/>
    <s v="-"/>
    <m/>
    <n v="0"/>
    <n v="0"/>
    <n v="0"/>
    <n v="0"/>
    <n v="0"/>
  </r>
  <r>
    <s v="MEI"/>
    <s v="MEI45756"/>
    <s v="Pedido 1440"/>
    <d v="2025-04-06T00:00:00"/>
    <d v="2025-04-09T00:00:00"/>
    <s v="PedidoF1380"/>
    <s v="CódRastreio1378"/>
    <n v="1"/>
    <s v="CPF 1401"/>
    <s v="Nome 1401"/>
    <s v="Tel 1401"/>
    <s v="Cep 1401"/>
    <s v="Rua 1401"/>
    <s v="Comp 1401"/>
    <x v="0"/>
    <s v="IQ-LISQ-0D65"/>
    <d v="2025-04-29T00:00:00"/>
    <n v="21.99"/>
    <n v="21.99"/>
    <n v="3.2984999999999998"/>
    <n v="18.690000000000001"/>
    <n v="9.99"/>
    <n v="0.2"/>
    <n v="0.39877104377104378"/>
    <n v="0"/>
    <n v="8.1012289562289581"/>
    <n v="4.0506144781144791"/>
    <d v="2025-05-06T00:00:00"/>
    <d v="2025-05-06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6"/>
    <s v="Pedido 1441"/>
    <d v="2025-04-06T00:00:00"/>
    <d v="2025-04-09T00:00:00"/>
    <s v="PedidoF1381"/>
    <s v="CódRastreio1379"/>
    <n v="1"/>
    <s v="CPF 1402"/>
    <s v="Nome 1402"/>
    <s v="Tel 1402"/>
    <s v="Cep 1402"/>
    <s v="Rua 1402"/>
    <s v="Comp 1402"/>
    <x v="6"/>
    <s v="VI-4RT5-1FFO"/>
    <d v="2025-05-06T00:00:00"/>
    <n v="22.7"/>
    <n v="22.7"/>
    <n v="2.7239999999999998"/>
    <n v="19.98"/>
    <n v="18.3"/>
    <n v="0.2"/>
    <n v="0.39877104377104378"/>
    <n v="0"/>
    <n v="1.081228956228955"/>
    <n v="0.54061447811447749"/>
    <d v="2025-05-13T00:00:00"/>
    <d v="2025-05-13T00:00:00"/>
    <d v="2025-05-16T00:00:00"/>
    <d v="2025-05-20T00:00:00"/>
    <s v="2025 05"/>
    <s v="Aguardando Liberação"/>
    <s v="2025 04"/>
    <s v="ENTREGUE"/>
    <d v="2025-04-15T00:00:00"/>
    <s v="-"/>
    <m/>
    <n v="0"/>
    <n v="0"/>
    <n v="0"/>
    <n v="0"/>
    <n v="0"/>
  </r>
  <r>
    <s v="MEI"/>
    <s v="MEI45756"/>
    <s v="Pedido 1442"/>
    <d v="2025-04-06T00:00:00"/>
    <d v="2025-04-09T00:00:00"/>
    <s v="PedidoF1382"/>
    <s v="CódRastreio1380"/>
    <n v="1"/>
    <s v="CPF 1403"/>
    <s v="Nome 1403"/>
    <s v="Tel 1403"/>
    <s v="Cep 1403"/>
    <s v="Rua 1403"/>
    <s v="Comp 1403"/>
    <x v="12"/>
    <s v="PK-L2Z7-MQRQ"/>
    <d v="2025-04-29T00:00:00"/>
    <n v="49.9"/>
    <n v="49.9"/>
    <n v="5.9879999999999995"/>
    <n v="43.91"/>
    <n v="15.28"/>
    <n v="0.2"/>
    <n v="0.39877104377104378"/>
    <n v="0"/>
    <n v="28.031228956228954"/>
    <n v="14.015614478114477"/>
    <d v="2025-05-06T00:00:00"/>
    <d v="2025-05-06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6"/>
    <s v="Pedido 1443"/>
    <d v="2025-04-06T00:00:00"/>
    <d v="2025-04-09T00:00:00"/>
    <s v="PedidoF1383"/>
    <s v="CódRastreio1381"/>
    <n v="1"/>
    <s v="CPF 1404"/>
    <s v="Nome 1404"/>
    <s v="Tel 1404"/>
    <s v="Cep 1404"/>
    <s v="Rua 1404"/>
    <s v="Comp 1404"/>
    <x v="16"/>
    <s v="T1-SWVB-UPOW"/>
    <d v="2025-04-29T00:00:00"/>
    <n v="29.99"/>
    <n v="29.99"/>
    <n v="3.5987999999999998"/>
    <n v="26.39"/>
    <n v="12.32"/>
    <n v="0.2"/>
    <n v="0.39877104377104378"/>
    <n v="0"/>
    <n v="13.471228956228957"/>
    <n v="6.7356144781144787"/>
    <d v="2025-05-06T00:00:00"/>
    <d v="2025-05-06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6"/>
    <s v="Pedido 1444"/>
    <d v="2025-04-06T00:00:00"/>
    <d v="2025-04-09T00:00:00"/>
    <s v="PedidoF1384"/>
    <s v="CódRastreio1382"/>
    <n v="1"/>
    <s v="CPF 1405"/>
    <s v="Nome 1405"/>
    <s v="Tel 1405"/>
    <s v="Cep 1405"/>
    <s v="Rua 1405"/>
    <s v="Comp 1405"/>
    <x v="12"/>
    <s v="PK-L2Z7-MQRQ"/>
    <d v="2025-05-06T00:00:00"/>
    <n v="49.9"/>
    <n v="49.9"/>
    <n v="5.9879999999999995"/>
    <n v="43.91"/>
    <n v="23.33"/>
    <n v="0.2"/>
    <n v="0.39877104377104378"/>
    <n v="0"/>
    <n v="19.981228956228954"/>
    <n v="9.9906144781144768"/>
    <d v="2025-05-13T00:00:00"/>
    <d v="2025-05-13T00:00:00"/>
    <d v="2025-05-16T00:00:00"/>
    <d v="2025-05-20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56"/>
    <s v="Pedido 1445"/>
    <d v="2025-04-06T00:00:00"/>
    <d v="2025-04-09T00:00:00"/>
    <s v="PedidoF1385"/>
    <s v="CódRastreio1383"/>
    <n v="1"/>
    <s v="CPF 1406"/>
    <s v="Nome 1406"/>
    <s v="Tel 1406"/>
    <s v="Cep 1406"/>
    <s v="Rua 1406"/>
    <s v="Comp 1406"/>
    <x v="0"/>
    <s v="IQ-LISQ-0D65"/>
    <d v="2025-05-06T00:00:00"/>
    <n v="21.99"/>
    <n v="21.99"/>
    <n v="3.2984999999999998"/>
    <n v="18.690000000000001"/>
    <n v="6.99"/>
    <n v="0.2"/>
    <n v="0.39877104377104378"/>
    <n v="0"/>
    <n v="11.101228956228958"/>
    <n v="5.5506144781144791"/>
    <d v="2025-05-13T00:00:00"/>
    <d v="2025-05-13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6"/>
    <s v="Pedido 1446"/>
    <d v="2025-04-07T00:00:00"/>
    <d v="2025-04-09T00:00:00"/>
    <s v="PedidoF1386"/>
    <s v="CódRastreio1384"/>
    <n v="1"/>
    <s v="CPF 1407"/>
    <s v="Nome 1407"/>
    <s v="Tel 1407"/>
    <s v="Cep 1407"/>
    <s v="Rua 1407"/>
    <s v="Comp 1407"/>
    <x v="16"/>
    <s v="T1-SWVB-UPOW"/>
    <d v="2025-04-29T00:00:00"/>
    <n v="29.99"/>
    <n v="29.99"/>
    <n v="3.5987999999999998"/>
    <n v="26.39"/>
    <n v="12.32"/>
    <n v="0.2"/>
    <n v="0.39877104377104378"/>
    <n v="0"/>
    <n v="13.471228956228957"/>
    <n v="6.7356144781144787"/>
    <d v="2025-05-06T00:00:00"/>
    <d v="2025-05-06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6"/>
    <s v="Pedido 1447"/>
    <d v="2025-04-07T00:00:00"/>
    <d v="2025-04-09T00:00:00"/>
    <s v="PedidoF1387"/>
    <s v="CódRastreio1385"/>
    <n v="1"/>
    <s v="CPF 1408"/>
    <s v="Nome 1408"/>
    <s v="Tel 1408"/>
    <s v="Cep 1408"/>
    <s v="Rua 1408"/>
    <s v="Comp 1408"/>
    <x v="16"/>
    <s v="T1-SWVB-UPOW"/>
    <d v="2025-05-06T00:00:00"/>
    <n v="29.99"/>
    <n v="29.99"/>
    <n v="3.5987999999999998"/>
    <n v="26.39"/>
    <n v="19.59"/>
    <n v="0.2"/>
    <n v="0.39877104377104378"/>
    <n v="0"/>
    <n v="6.201228956228956"/>
    <n v="3.100614478114478"/>
    <d v="2025-05-13T00:00:00"/>
    <d v="2025-05-13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7"/>
    <s v="Pedido 1448"/>
    <d v="2025-04-07T00:00:00"/>
    <d v="2025-04-10T00:00:00"/>
    <s v="PedidoF1388"/>
    <s v="CódRastreio1386"/>
    <n v="1"/>
    <s v="CPF 1409"/>
    <s v="Nome 1409"/>
    <s v="Tel 1409"/>
    <s v="Cep 1409"/>
    <s v="Rua 1409"/>
    <s v="Comp 1409"/>
    <x v="12"/>
    <s v="PK-L2Z7-MQRQ"/>
    <d v="2025-05-13T00:00:00"/>
    <n v="49.9"/>
    <n v="49.9"/>
    <n v="5.9879999999999995"/>
    <n v="43.91"/>
    <n v="22.38"/>
    <n v="0.2"/>
    <n v="0.39877104377104378"/>
    <n v="0"/>
    <n v="20.931228956228953"/>
    <n v="10.465614478114476"/>
    <d v="2025-05-20T00:00:00"/>
    <d v="2025-05-20T00:00:00"/>
    <d v="2025-05-30T00:00:00"/>
    <d v="2025-06-02T00:00:00"/>
    <s v="2025 05"/>
    <s v="Aguardando Liberação"/>
    <s v="2025 04"/>
    <s v="ENTREGUE"/>
    <d v="2025-04-26T00:00:00"/>
    <s v="-"/>
    <m/>
    <n v="0"/>
    <n v="0"/>
    <n v="0"/>
    <n v="0"/>
    <n v="0"/>
  </r>
  <r>
    <s v="MEI"/>
    <s v="MEI45757"/>
    <s v="Pedido 1449"/>
    <d v="2025-04-07T00:00:00"/>
    <d v="2025-04-10T00:00:00"/>
    <s v="PedidoF1389"/>
    <s v="CódRastreio1387"/>
    <n v="1"/>
    <s v="CPF 1410"/>
    <s v="Nome 1410"/>
    <s v="Tel 1410"/>
    <s v="Cep 1410"/>
    <s v="Rua 1410"/>
    <s v="Comp 1410"/>
    <x v="16"/>
    <s v="T1-SWVB-UPOW"/>
    <d v="2025-05-13T00:00:00"/>
    <n v="29.99"/>
    <n v="29.99"/>
    <n v="3.5987999999999998"/>
    <n v="26.39"/>
    <n v="0"/>
    <n v="0.2"/>
    <n v="0.39877104377104378"/>
    <n v="0"/>
    <n v="25.791228956228956"/>
    <n v="12.895614478114478"/>
    <d v="2025-05-20T00:00:00"/>
    <d v="2025-05-20T00:00:00"/>
    <d v="2025-05-30T00:00:00"/>
    <d v="2025-06-02T00:00:00"/>
    <s v="2025 05"/>
    <s v="Aguardando Liberação"/>
    <s v="2025 04"/>
    <s v="ENTREGUE"/>
    <d v="2025-05-16T00:00:00"/>
    <s v="-"/>
    <m/>
    <n v="0"/>
    <n v="0"/>
    <n v="0"/>
    <n v="0"/>
    <n v="0"/>
  </r>
  <r>
    <s v="MEI"/>
    <s v="MEI45757"/>
    <s v="Pedido 1450"/>
    <d v="2025-04-04T00:00:00"/>
    <d v="2025-04-10T00:00:00"/>
    <s v="PedidoF1390"/>
    <s v="CódRastreio1388"/>
    <n v="1"/>
    <s v="CPF 1411"/>
    <s v="Nome 1411"/>
    <s v="Tel 1411"/>
    <s v="Cep 1411"/>
    <s v="Rua 1411"/>
    <s v="Comp 1411"/>
    <x v="19"/>
    <s v="1I-EZPV-2Q78"/>
    <d v="2025-05-14T00:00:00"/>
    <n v="52.93"/>
    <n v="52.93"/>
    <n v="7.9394999999999998"/>
    <n v="44.99"/>
    <n v="15.98"/>
    <n v="0.2"/>
    <n v="0.39877104377104378"/>
    <n v="0"/>
    <n v="28.411228956228957"/>
    <n v="14.205614478114478"/>
    <d v="2025-05-21T00:00:00"/>
    <d v="2025-05-21T00:00:00"/>
    <d v="2025-05-30T00:00:00"/>
    <d v="2025-06-02T00:00:00"/>
    <s v="2025 05"/>
    <s v="Aguardando Liberação"/>
    <s v="2025 04"/>
    <s v="ENTREGUE"/>
    <d v="2025-05-02T00:00:00"/>
    <s v="-"/>
    <m/>
    <n v="0"/>
    <n v="0"/>
    <n v="0"/>
    <n v="0"/>
    <n v="0"/>
  </r>
  <r>
    <s v="MEI"/>
    <s v="MEI45757"/>
    <s v="Pedido 1451"/>
    <d v="2025-04-07T00:00:00"/>
    <d v="2025-04-10T00:00:00"/>
    <s v="PedidoF1391"/>
    <s v="CódRastreio1389"/>
    <n v="1"/>
    <s v="CPF 1412"/>
    <s v="Nome 1412"/>
    <s v="Tel 1412"/>
    <s v="Cep 1412"/>
    <s v="Rua 1412"/>
    <s v="Comp 1412"/>
    <x v="28"/>
    <s v="Z0-F6CI-18CL"/>
    <d v="2025-05-07T00:00:00"/>
    <n v="42.87"/>
    <n v="42.87"/>
    <n v="5.1443999999999992"/>
    <n v="37.729999999999997"/>
    <n v="18"/>
    <n v="0.2"/>
    <n v="0.39877104377104378"/>
    <n v="0"/>
    <n v="19.131228956228952"/>
    <n v="9.5656144781144761"/>
    <d v="2025-05-14T00:00:00"/>
    <d v="2025-05-14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58"/>
    <s v="Pedido 1452"/>
    <d v="2025-04-07T00:00:00"/>
    <d v="2025-04-11T00:00:00"/>
    <s v="PedidoF1392"/>
    <s v="CódRastreio1390"/>
    <n v="1"/>
    <s v="CPF 1413"/>
    <s v="Nome 1413"/>
    <s v="Tel 1413"/>
    <s v="Cep 1413"/>
    <s v="Rua 1413"/>
    <s v="Comp 1413"/>
    <x v="16"/>
    <s v="T1-SWVB-UPOW"/>
    <d v="2025-05-07T00:00:00"/>
    <n v="29.99"/>
    <n v="29.99"/>
    <n v="3.5987999999999998"/>
    <n v="26.39"/>
    <n v="11.87"/>
    <n v="0.28999999999999998"/>
    <n v="0.39877104377104378"/>
    <n v="0"/>
    <n v="13.831228956228959"/>
    <n v="6.9156144781144793"/>
    <d v="2025-05-14T00:00:00"/>
    <d v="2025-05-14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58"/>
    <s v="Pedido 1453"/>
    <d v="2025-04-07T00:00:00"/>
    <d v="2025-04-11T00:00:00"/>
    <s v="PedidoF1393"/>
    <s v="CódRastreio1391"/>
    <n v="1"/>
    <s v="CPF 1414"/>
    <s v="Nome 1414"/>
    <s v="Tel 1414"/>
    <s v="Cep 1414"/>
    <s v="Rua 1414"/>
    <s v="Comp 1414"/>
    <x v="12"/>
    <s v="PK-L2Z7-MQRQ"/>
    <d v="2025-05-07T00:00:00"/>
    <n v="49.9"/>
    <n v="49.9"/>
    <n v="5.9879999999999995"/>
    <n v="43.91"/>
    <n v="22.36"/>
    <n v="0.28999999999999998"/>
    <n v="0.39877104377104378"/>
    <n v="0"/>
    <n v="20.861228956228953"/>
    <n v="10.430614478114476"/>
    <d v="2025-05-14T00:00:00"/>
    <d v="2025-05-14T00:00:00"/>
    <d v="2025-05-16T00:00:00"/>
    <d v="2025-05-20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8"/>
    <s v="Pedido 1454"/>
    <d v="2025-04-07T00:00:00"/>
    <d v="2025-04-11T00:00:00"/>
    <s v="PedidoF1394"/>
    <s v="CódRastreio1392"/>
    <n v="1"/>
    <s v="CPF 1415"/>
    <s v="Nome 1415"/>
    <s v="Tel 1415"/>
    <s v="Cep 1415"/>
    <s v="Rua 1415"/>
    <s v="Comp 1415"/>
    <x v="26"/>
    <s v="BG-DHRO-FAEE"/>
    <d v="2025-05-07T00:00:00"/>
    <n v="26.99"/>
    <n v="26.99"/>
    <n v="2.9688999999999997"/>
    <n v="24.02"/>
    <n v="10.19"/>
    <n v="0.28999999999999998"/>
    <n v="0.39877104377104378"/>
    <n v="0"/>
    <n v="13.141228956228957"/>
    <n v="6.5706144781144786"/>
    <d v="2025-05-14T00:00:00"/>
    <d v="2025-05-14T00:00:00"/>
    <d v="2025-05-16T00:00:00"/>
    <d v="2025-05-20T00:00:00"/>
    <s v="2025 05"/>
    <s v="Aguardando Liberação"/>
    <s v="2025 04"/>
    <s v="ENTREGUE"/>
    <d v="2025-05-05T00:00:00"/>
    <s v="-"/>
    <m/>
    <n v="0"/>
    <n v="0"/>
    <n v="0"/>
    <n v="0"/>
    <n v="0"/>
  </r>
  <r>
    <s v="MEI"/>
    <s v="MEI-"/>
    <s v="Pedido 1455"/>
    <d v="2025-04-07T00:00:00"/>
    <s v="-"/>
    <s v="-"/>
    <s v="-"/>
    <n v="1"/>
    <s v="CPF 1416"/>
    <s v="Nome 1416"/>
    <s v="Tel 1416"/>
    <s v="Cep 1416"/>
    <s v="Rua 1416"/>
    <s v="Comp 1416"/>
    <x v="12"/>
    <s v="PK-L2Z7-MQRQ"/>
    <d v="2025-05-07T00:00:00"/>
    <n v="49.9"/>
    <n v="49.9"/>
    <n v="5.9879999999999995"/>
    <n v="43.91"/>
    <n v="0"/>
    <n v="0"/>
    <n v="0"/>
    <n v="0"/>
    <n v="43.91"/>
    <n v="21.954999999999998"/>
    <d v="2025-05-14T00:00:00"/>
    <d v="2025-05-14T00:00:00"/>
    <d v="2025-05-16T00:00:00"/>
    <d v="2025-05-20T00:00:00"/>
    <s v="2025 05"/>
    <s v="Aguardando Liberação"/>
    <s v="- -"/>
    <s v="-"/>
    <s v="-"/>
    <s v="-"/>
    <m/>
    <n v="0"/>
    <n v="0"/>
    <n v="0"/>
    <n v="0"/>
    <n v="0"/>
  </r>
  <r>
    <s v="MEI"/>
    <s v="MEI45758"/>
    <s v="Pedido 1456"/>
    <d v="2025-04-07T00:00:00"/>
    <d v="2025-04-11T00:00:00"/>
    <s v="PedidoF1395"/>
    <s v="CódRastreio1393"/>
    <n v="1"/>
    <s v="CPF 1417"/>
    <s v="Nome 1417"/>
    <s v="Tel 1417"/>
    <s v="Cep 1417"/>
    <s v="Rua 1417"/>
    <s v="Comp 1417"/>
    <x v="26"/>
    <s v="BG-DHRO-FAEE"/>
    <d v="2025-05-07T00:00:00"/>
    <n v="26.99"/>
    <n v="26.99"/>
    <n v="2.9688999999999997"/>
    <n v="24.02"/>
    <n v="10.55"/>
    <n v="0.28999999999999998"/>
    <n v="0.39877104377104378"/>
    <n v="0"/>
    <n v="12.781228956228956"/>
    <n v="6.390614478114478"/>
    <d v="2025-05-14T00:00:00"/>
    <d v="2025-05-14T00:00:00"/>
    <d v="2025-05-16T00:00:00"/>
    <d v="2025-05-20T00:00:00"/>
    <s v="2025 05"/>
    <s v="Aguardando Liberação"/>
    <s v="2025 04"/>
    <s v="ENTREGUE"/>
    <d v="2025-05-08T00:00:00"/>
    <s v="-"/>
    <m/>
    <n v="0"/>
    <n v="0"/>
    <n v="0"/>
    <n v="0"/>
    <n v="0"/>
  </r>
  <r>
    <s v="MEI"/>
    <s v="MEI-"/>
    <s v="Pedido 1457"/>
    <d v="2025-04-07T00:00:00"/>
    <s v="-"/>
    <s v="-"/>
    <s v="-"/>
    <n v="1"/>
    <s v="CPF 1418"/>
    <s v="Nome 1418"/>
    <s v="Tel 1418"/>
    <s v="Cep 1418"/>
    <s v="Rua 1418"/>
    <s v="Comp 1418"/>
    <x v="16"/>
    <s v="T1-SWVB-UPOW"/>
    <d v="2025-05-07T00:00:00"/>
    <n v="29.99"/>
    <n v="29.99"/>
    <n v="3.5987999999999998"/>
    <n v="26.39"/>
    <n v="0"/>
    <n v="0"/>
    <n v="0"/>
    <n v="0"/>
    <n v="26.39"/>
    <n v="13.195"/>
    <d v="2025-05-14T00:00:00"/>
    <d v="2025-05-14T00:00:00"/>
    <d v="2025-05-16T00:00:00"/>
    <d v="2025-05-20T00:00:00"/>
    <s v="2025 05"/>
    <s v="Aguardando Liberação"/>
    <s v="- -"/>
    <s v="-"/>
    <s v="-"/>
    <s v="-"/>
    <m/>
    <n v="0"/>
    <n v="0"/>
    <n v="0"/>
    <n v="0"/>
    <n v="0"/>
  </r>
  <r>
    <s v="MEI"/>
    <s v="MEI45758"/>
    <s v="Pedido 1458"/>
    <d v="2025-04-06T00:00:00"/>
    <d v="2025-04-11T00:00:00"/>
    <s v="PedidoF1396"/>
    <s v="CódRastreio1394"/>
    <n v="1"/>
    <s v="CPF 1419"/>
    <s v="Nome 1419"/>
    <s v="Tel 1419"/>
    <s v="Cep 1419"/>
    <s v="Rua 1419"/>
    <s v="Comp 1419"/>
    <x v="0"/>
    <s v="IQ-LISQ-0D65"/>
    <d v="2025-04-30T00:00:00"/>
    <n v="21.99"/>
    <n v="21.99"/>
    <n v="3.2984999999999998"/>
    <n v="18.690000000000001"/>
    <n v="9.99"/>
    <n v="0.28999999999999998"/>
    <n v="0.39877104377104378"/>
    <n v="0"/>
    <n v="8.0112289562289583"/>
    <n v="4.0056144781144791"/>
    <d v="2025-05-07T00:00:00"/>
    <d v="2025-05-07T00:00:00"/>
    <d v="2025-05-16T00:00:00"/>
    <d v="2025-05-20T00:00:00"/>
    <s v="2025 05"/>
    <s v="Aguardando Liberação"/>
    <s v="2025 04"/>
    <s v="ENTREGUE"/>
    <d v="2025-04-19T00:00:00"/>
    <s v="-"/>
    <m/>
    <n v="0"/>
    <n v="0"/>
    <n v="0"/>
    <n v="0"/>
    <n v="0"/>
  </r>
  <r>
    <s v="MEI"/>
    <s v="MEI45758"/>
    <s v="Pedido 1459"/>
    <d v="2025-04-07T00:00:00"/>
    <d v="2025-04-11T00:00:00"/>
    <s v="PedidoF1397"/>
    <s v="CódRastreio1395"/>
    <n v="1"/>
    <s v="CPF 1420"/>
    <s v="Nome 1420"/>
    <s v="Tel 1420"/>
    <s v="Cep 1420"/>
    <s v="Rua 1420"/>
    <s v="Comp 1420"/>
    <x v="19"/>
    <s v="1I-EZPV-2Q78"/>
    <d v="2025-04-30T00:00:00"/>
    <n v="52.93"/>
    <n v="52.93"/>
    <n v="7.9394999999999998"/>
    <n v="44.99"/>
    <n v="14.62"/>
    <n v="0.28999999999999998"/>
    <n v="0.39877104377104378"/>
    <n v="0"/>
    <n v="29.68122895622896"/>
    <n v="14.84061447811448"/>
    <d v="2025-05-07T00:00:00"/>
    <d v="2025-05-07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BV"/>
    <s v="BV45758"/>
    <s v="Pedido 1460"/>
    <d v="2025-04-04T00:00:00"/>
    <d v="2025-04-11T00:00:00"/>
    <s v="PedidoF1398"/>
    <s v="CódRastreio1396"/>
    <n v="1"/>
    <s v="CPF 1421"/>
    <s v="Nome 1421"/>
    <s v="Tel 1421"/>
    <s v="Cep 1421"/>
    <s v="Rua 1421"/>
    <s v="Comp 1421"/>
    <x v="12"/>
    <s v="U8-2VWS-OB6M"/>
    <d v="2025-05-06T00:00:00"/>
    <n v="54.9"/>
    <n v="54.9"/>
    <n v="6.5879999999999992"/>
    <n v="48.31"/>
    <n v="15.09"/>
    <n v="0.2"/>
    <n v="0.39877104377104378"/>
    <n v="0"/>
    <n v="32.621228956228961"/>
    <n v="16.310614478114481"/>
    <d v="2025-05-13T00:00:00"/>
    <d v="2025-05-13T00:00:00"/>
    <d v="2025-05-16T00:00:00"/>
    <d v="2025-05-20T00:00:00"/>
    <s v="2025 05"/>
    <s v="Aguardando Liberação"/>
    <s v="2025 04"/>
    <s v="ENTREGUE"/>
    <d v="2025-05-05T00:00:00"/>
    <s v="-"/>
    <m/>
    <n v="0"/>
    <n v="0"/>
    <n v="0"/>
    <n v="0"/>
    <n v="0"/>
  </r>
  <r>
    <s v="BV"/>
    <s v="BV45758"/>
    <s v="Pedido 1461"/>
    <d v="2025-04-06T00:00:00"/>
    <d v="2025-04-11T00:00:00"/>
    <s v="PedidoF1399"/>
    <s v="CódRastreio1397"/>
    <n v="1"/>
    <s v="CPF 1422"/>
    <s v="Nome 1422"/>
    <s v="Tel 1422"/>
    <s v="Cep 1422"/>
    <s v="Rua 1422"/>
    <s v="Comp 1422"/>
    <x v="12"/>
    <s v="U8-2VWS-OB6M"/>
    <d v="2025-05-13T00:00:00"/>
    <n v="54.9"/>
    <n v="54.9"/>
    <n v="6.5879999999999992"/>
    <n v="48.31"/>
    <n v="15.09"/>
    <n v="0.2"/>
    <n v="0.39877104377104378"/>
    <n v="0"/>
    <n v="32.621228956228961"/>
    <n v="16.310614478114481"/>
    <d v="2025-05-20T00:00:00"/>
    <d v="2025-05-20T00:00:00"/>
    <d v="2025-05-30T00:00:00"/>
    <d v="2025-06-02T00:00:00"/>
    <s v="2025 05"/>
    <s v="Aguardando Liberação"/>
    <s v="2025 04"/>
    <s v="ENTREGUE"/>
    <d v="2025-05-12T00:00:00"/>
    <s v="-"/>
    <m/>
    <n v="0"/>
    <n v="0"/>
    <n v="0"/>
    <n v="0"/>
    <n v="0"/>
  </r>
  <r>
    <s v="MEI"/>
    <s v="MEI45758"/>
    <s v="Pedido 1462"/>
    <d v="2025-04-07T00:00:00"/>
    <d v="2025-04-11T00:00:00"/>
    <s v="PedidoF1400"/>
    <s v="CódRastreio1398"/>
    <n v="1"/>
    <s v="CPF 1423"/>
    <s v="Nome 1423"/>
    <s v="Tel 1423"/>
    <s v="Cep 1423"/>
    <s v="Rua 1423"/>
    <s v="Comp 1423"/>
    <x v="19"/>
    <s v="1I-EZPV-2Q78"/>
    <d v="2025-05-07T00:00:00"/>
    <n v="52.93"/>
    <n v="52.93"/>
    <n v="7.9394999999999998"/>
    <n v="44.99"/>
    <n v="21.89"/>
    <n v="0.28999999999999998"/>
    <n v="0.39877104377104378"/>
    <n v="0"/>
    <n v="22.411228956228957"/>
    <n v="11.205614478114478"/>
    <d v="2025-05-14T00:00:00"/>
    <d v="2025-05-14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58"/>
    <s v="Pedido 1463"/>
    <d v="2025-04-08T00:00:00"/>
    <d v="2025-04-11T00:00:00"/>
    <s v="PedidoF1401"/>
    <s v="CódRastreio1399"/>
    <n v="1"/>
    <s v="CPF 1424"/>
    <s v="Nome 1424"/>
    <s v="Tel 1424"/>
    <s v="Cep 1424"/>
    <s v="Rua 1424"/>
    <s v="Comp 1424"/>
    <x v="28"/>
    <s v="Z0-F6CI-18CL"/>
    <d v="2025-05-07T00:00:00"/>
    <n v="42.87"/>
    <n v="42.87"/>
    <n v="5.1443999999999992"/>
    <n v="37.729999999999997"/>
    <n v="17.170000000000002"/>
    <n v="0.28999999999999998"/>
    <n v="0.39877104377104378"/>
    <n v="0"/>
    <n v="19.871228956228951"/>
    <n v="9.9356144781144753"/>
    <d v="2025-05-14T00:00:00"/>
    <d v="2025-05-14T00:00:00"/>
    <d v="2025-05-16T00:00:00"/>
    <d v="2025-05-20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58"/>
    <s v="Pedido 1464"/>
    <d v="2025-04-08T00:00:00"/>
    <d v="2025-04-11T00:00:00"/>
    <s v="PedidoF1402"/>
    <s v="CódRastreio1400"/>
    <n v="1"/>
    <s v="CPF 1425"/>
    <s v="Nome 1425"/>
    <s v="Tel 1425"/>
    <s v="Cep 1425"/>
    <s v="Rua 1425"/>
    <s v="Comp 1425"/>
    <x v="6"/>
    <s v="VI-4RT5-1FFO"/>
    <d v="2025-05-14T00:00:00"/>
    <n v="22.7"/>
    <n v="22.7"/>
    <n v="2.7239999999999998"/>
    <n v="19.98"/>
    <n v="16.649999999999999"/>
    <n v="0.28999999999999998"/>
    <n v="0.39877104377104378"/>
    <n v="0"/>
    <n v="2.6412289562289573"/>
    <n v="1.3206144781144786"/>
    <d v="2025-05-21T00:00:00"/>
    <d v="2025-05-21T00:00:00"/>
    <d v="2025-05-30T00:00:00"/>
    <d v="2025-06-02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58"/>
    <s v="Pedido 1465"/>
    <d v="2025-04-07T00:00:00"/>
    <d v="2025-04-11T00:00:00"/>
    <s v="PedidoF1403"/>
    <s v="CódRastreio1401"/>
    <n v="1"/>
    <s v="CPF 1426"/>
    <s v="Nome 1426"/>
    <s v="Tel 1426"/>
    <s v="Cep 1426"/>
    <s v="Rua 1426"/>
    <s v="Comp 1426"/>
    <x v="6"/>
    <s v="VI-4RT5-1FFO"/>
    <d v="2025-05-07T00:00:00"/>
    <n v="22.7"/>
    <n v="22.7"/>
    <n v="2.7239999999999998"/>
    <n v="19.98"/>
    <n v="14.41"/>
    <n v="0.28999999999999998"/>
    <n v="0.39877104377104378"/>
    <n v="0"/>
    <n v="4.8812289562289575"/>
    <n v="2.4406144781144787"/>
    <d v="2025-05-14T00:00:00"/>
    <d v="2025-05-14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59"/>
    <s v="Pedido 1466"/>
    <d v="2025-04-08T00:00:00"/>
    <d v="2025-04-12T00:00:00"/>
    <s v="PedidoF1404"/>
    <s v="CódRastreio1402"/>
    <n v="1"/>
    <s v="CPF 1427"/>
    <s v="Nome 1427"/>
    <s v="Tel 1427"/>
    <s v="Cep 1427"/>
    <s v="Rua 1427"/>
    <s v="Comp 1427"/>
    <x v="6"/>
    <s v="VI-4RT5-1FFO"/>
    <d v="2025-05-07T00:00:00"/>
    <n v="22.7"/>
    <n v="22.7"/>
    <n v="2.7239999999999998"/>
    <n v="19.98"/>
    <n v="11.92"/>
    <n v="0.15"/>
    <n v="0.39877104377104378"/>
    <n v="0"/>
    <n v="7.5112289562289565"/>
    <n v="3.7556144781144782"/>
    <d v="2025-05-14T00:00:00"/>
    <d v="2025-05-14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8"/>
    <s v="Pedido 1467"/>
    <d v="2025-04-08T00:00:00"/>
    <d v="2025-04-11T00:00:00"/>
    <s v="PedidoF1405"/>
    <s v="CódRastreio1403"/>
    <n v="1"/>
    <s v="CPF 1428"/>
    <s v="Nome 1428"/>
    <s v="Tel 1428"/>
    <s v="Cep 1428"/>
    <s v="Rua 1428"/>
    <s v="Comp 1428"/>
    <x v="28"/>
    <s v="Z0-F6CI-18CL"/>
    <d v="2025-05-01T00:00:00"/>
    <n v="42.87"/>
    <n v="42.87"/>
    <n v="5.1443999999999992"/>
    <n v="37.729999999999997"/>
    <n v="24.38"/>
    <n v="0.28999999999999998"/>
    <n v="0.39877104377104378"/>
    <n v="0"/>
    <n v="12.661228956228953"/>
    <n v="6.3306144781144766"/>
    <d v="2025-05-08T00:00:00"/>
    <d v="2025-05-08T00:00:00"/>
    <d v="2025-05-16T00:00:00"/>
    <d v="2025-05-20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8"/>
    <s v="Pedido 1468"/>
    <d v="2025-04-08T00:00:00"/>
    <d v="2025-04-11T00:00:00"/>
    <s v="PedidoF1406"/>
    <s v="CódRastreio1404"/>
    <n v="1"/>
    <s v="CPF 1428"/>
    <s v="Nome 1428"/>
    <s v="Tel 1428"/>
    <s v="Cep 1428"/>
    <s v="Rua 1428"/>
    <s v="Comp 1428"/>
    <x v="28"/>
    <s v="Z0-F6CI-18CL"/>
    <d v="2025-05-01T00:00:00"/>
    <n v="42.87"/>
    <n v="42.87"/>
    <n v="5.1443999999999992"/>
    <n v="37.729999999999997"/>
    <n v="24.38"/>
    <n v="0.28999999999999998"/>
    <n v="0.39877104377104378"/>
    <n v="0"/>
    <n v="12.661228956228953"/>
    <n v="6.3306144781144766"/>
    <d v="2025-05-08T00:00:00"/>
    <d v="2025-05-08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8"/>
    <s v="Pedido 1469"/>
    <d v="2025-04-08T00:00:00"/>
    <d v="2025-04-11T00:00:00"/>
    <s v="PedidoF1407"/>
    <s v="CódRastreio1405"/>
    <n v="1"/>
    <s v="CPF 1429"/>
    <s v="Nome 1429"/>
    <s v="Tel 1429"/>
    <s v="Cep 1429"/>
    <s v="Rua 1429"/>
    <s v="Comp 1429"/>
    <x v="10"/>
    <s v="WU-SS4J-LFOH"/>
    <d v="2025-05-15T00:00:00"/>
    <n v="65.75"/>
    <n v="65.75"/>
    <n v="7.89"/>
    <n v="57.86"/>
    <n v="22.15"/>
    <n v="0.28999999999999998"/>
    <n v="0.39877104377104378"/>
    <n v="0"/>
    <n v="35.021228956228953"/>
    <n v="17.510614478114476"/>
    <d v="2025-05-22T00:00:00"/>
    <d v="2025-05-22T00:00:00"/>
    <d v="2025-05-30T00:00:00"/>
    <d v="2025-06-02T00:00:00"/>
    <s v="2025 05"/>
    <s v="Aguardando Liberação"/>
    <s v="2025 04"/>
    <s v="ENTREGUE"/>
    <d v="2025-05-13T00:00:00"/>
    <s v="-"/>
    <m/>
    <n v="0"/>
    <n v="0"/>
    <n v="0"/>
    <n v="0"/>
    <n v="0"/>
  </r>
  <r>
    <s v="MEI"/>
    <s v="MEI45758"/>
    <s v="Pedido 1470"/>
    <d v="2025-04-08T00:00:00"/>
    <d v="2025-04-11T00:00:00"/>
    <s v="PedidoF1408"/>
    <s v="CódRastreio1406"/>
    <n v="1"/>
    <s v="CPF 1430"/>
    <s v="Nome 1430"/>
    <s v="Tel 1430"/>
    <s v="Cep 1430"/>
    <s v="Rua 1430"/>
    <s v="Comp 1430"/>
    <x v="16"/>
    <s v="T1-SWVB-UPOW"/>
    <d v="2025-05-08T00:00:00"/>
    <n v="29.99"/>
    <n v="29.99"/>
    <n v="3.5987999999999998"/>
    <n v="26.39"/>
    <n v="19.29"/>
    <n v="0.28999999999999998"/>
    <n v="0.39877104377104378"/>
    <n v="0"/>
    <n v="6.4112289562289568"/>
    <n v="3.2056144781144784"/>
    <d v="2025-05-15T00:00:00"/>
    <d v="2025-05-15T00:00:00"/>
    <d v="2025-05-16T00:00:00"/>
    <d v="2025-05-20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58"/>
    <s v="Pedido 1471"/>
    <d v="2025-04-08T00:00:00"/>
    <d v="2025-04-11T00:00:00"/>
    <s v="PedidoF1409"/>
    <s v="CódRastreio1407"/>
    <n v="1"/>
    <s v="CPF 1431"/>
    <s v="Nome 1431"/>
    <s v="Tel 1431"/>
    <s v="Cep 1431"/>
    <s v="Rua 1431"/>
    <s v="Comp 1431"/>
    <x v="26"/>
    <s v="BG-DHRO-FAEE"/>
    <d v="2025-05-08T00:00:00"/>
    <n v="26.99"/>
    <n v="26.99"/>
    <n v="2.9688999999999997"/>
    <n v="24.02"/>
    <n v="14.22"/>
    <n v="0.28999999999999998"/>
    <n v="0.39877104377104378"/>
    <n v="0"/>
    <n v="9.1112289562289561"/>
    <n v="4.5556144781144781"/>
    <d v="2025-05-15T00:00:00"/>
    <d v="2025-05-15T00:00:00"/>
    <d v="2025-05-16T00:00:00"/>
    <d v="2025-05-20T00:00:00"/>
    <s v="2025 05"/>
    <s v="Aguardando Liberação"/>
    <s v="2025 04"/>
    <s v="ENTREGUE"/>
    <d v="2025-05-05T00:00:00"/>
    <s v="-"/>
    <m/>
    <n v="0"/>
    <n v="0"/>
    <n v="0"/>
    <n v="0"/>
    <n v="0"/>
  </r>
  <r>
    <s v="MEI"/>
    <s v="MEI45759"/>
    <s v="Pedido 1472"/>
    <d v="2025-04-08T00:00:00"/>
    <d v="2025-04-12T00:00:00"/>
    <s v="PedidoF1410"/>
    <s v="CódRastreio1408"/>
    <n v="1"/>
    <s v="CPF 1432"/>
    <s v="Nome 1432"/>
    <s v="Tel 1432"/>
    <s v="Cep 1432"/>
    <s v="Rua 1432"/>
    <s v="Comp 1432"/>
    <x v="20"/>
    <s v="K9-7YJH-TT9R"/>
    <d v="2025-05-01T00:00:00"/>
    <n v="25.88"/>
    <n v="25.88"/>
    <n v="3.8819999999999997"/>
    <n v="22"/>
    <n v="11.5"/>
    <n v="0.15"/>
    <n v="0.39877104377104378"/>
    <n v="0"/>
    <n v="9.951228956228956"/>
    <n v="4.975614478114478"/>
    <d v="2025-05-08T00:00:00"/>
    <d v="2025-05-08T00:00:00"/>
    <d v="2025-05-16T00:00:00"/>
    <d v="2025-05-20T00:00:00"/>
    <s v="2025 05"/>
    <s v="Aguardando Liberação"/>
    <s v="2025 04"/>
    <s v="ENTREGUE"/>
    <d v="2025-04-17T00:00:00"/>
    <s v="-"/>
    <m/>
    <n v="0"/>
    <n v="0"/>
    <n v="0"/>
    <n v="0"/>
    <n v="0"/>
  </r>
  <r>
    <s v="MEI"/>
    <s v="MEI45758"/>
    <s v="Pedido 1473"/>
    <d v="2025-04-08T00:00:00"/>
    <d v="2025-04-11T00:00:00"/>
    <s v="PedidoF1411"/>
    <s v="CódRastreio1409"/>
    <n v="1"/>
    <s v="CPF 1433"/>
    <s v="Nome 1433"/>
    <s v="Tel 1433"/>
    <s v="Cep 1433"/>
    <s v="Rua 1433"/>
    <s v="Comp 1433"/>
    <x v="6"/>
    <s v="VI-4RT5-1FFO"/>
    <d v="2025-05-01T00:00:00"/>
    <n v="22.7"/>
    <n v="22.7"/>
    <n v="2.7239999999999998"/>
    <n v="19.98"/>
    <n v="10.1"/>
    <n v="0.28999999999999998"/>
    <n v="0.39877104377104378"/>
    <n v="0"/>
    <n v="9.191228956228958"/>
    <n v="4.595614478114479"/>
    <d v="2025-05-08T00:00:00"/>
    <d v="2025-05-08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8"/>
    <s v="Pedido 1474"/>
    <d v="2025-04-08T00:00:00"/>
    <d v="2025-04-11T00:00:00"/>
    <s v="PedidoF1412"/>
    <s v="CódRastreio1410"/>
    <n v="1"/>
    <s v="CPF 1434"/>
    <s v="Nome 1434"/>
    <s v="Tel 1434"/>
    <s v="Cep 1434"/>
    <s v="Rua 1434"/>
    <s v="Comp 1434"/>
    <x v="10"/>
    <s v="WU-SS4J-LFOH"/>
    <d v="2025-05-01T00:00:00"/>
    <n v="65.75"/>
    <n v="65.75"/>
    <n v="7.89"/>
    <n v="57.86"/>
    <n v="22.15"/>
    <n v="0.28999999999999998"/>
    <n v="0.39877104377104378"/>
    <n v="0"/>
    <n v="35.021228956228953"/>
    <n v="17.510614478114476"/>
    <d v="2025-05-08T00:00:00"/>
    <d v="2025-05-08T00:00:00"/>
    <d v="2025-05-16T00:00:00"/>
    <d v="2025-05-20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9"/>
    <s v="Pedido 1475"/>
    <d v="2025-04-09T00:00:00"/>
    <d v="2025-04-12T00:00:00"/>
    <s v="PedidoF1413"/>
    <s v="CódRastreio1411"/>
    <n v="1"/>
    <s v="CPF 1435"/>
    <s v="Nome 1435"/>
    <s v="Tel 1435"/>
    <s v="Cep 1435"/>
    <s v="Rua 1435"/>
    <s v="Comp 1435"/>
    <x v="1"/>
    <s v="A4-5W51-K3HF"/>
    <d v="2025-05-09T00:00:00"/>
    <n v="36.950000000000003"/>
    <n v="36.950000000000003"/>
    <n v="4.4340000000000002"/>
    <n v="32.520000000000003"/>
    <n v="19.989999999999998"/>
    <n v="0.15"/>
    <n v="0.39877104377104378"/>
    <n v="0"/>
    <n v="11.981228956228961"/>
    <n v="5.9906144781144803"/>
    <d v="2025-05-16T00:00:00"/>
    <d v="2025-05-16T00:00:00"/>
    <d v="2025-05-16T00:00:00"/>
    <d v="2025-05-20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9"/>
    <s v="Pedido 1476"/>
    <d v="2025-04-09T00:00:00"/>
    <d v="2025-04-12T00:00:00"/>
    <s v="PedidoF1414"/>
    <s v="CódRastreio1412"/>
    <n v="1"/>
    <s v="CPF 1436"/>
    <s v="Nome 1436"/>
    <s v="Tel 1436"/>
    <s v="Cep 1436"/>
    <s v="Rua 1436"/>
    <s v="Comp 1436"/>
    <x v="26"/>
    <s v="BG-DHRO-FAEE"/>
    <d v="2025-05-09T00:00:00"/>
    <n v="26.99"/>
    <n v="26.99"/>
    <n v="2.9688999999999997"/>
    <n v="24.02"/>
    <n v="14.35"/>
    <n v="0.15"/>
    <n v="0.39877104377104378"/>
    <n v="0"/>
    <n v="9.1212289562289559"/>
    <n v="4.560614478114478"/>
    <d v="2025-05-16T00:00:00"/>
    <d v="2025-05-16T00:00:00"/>
    <d v="2025-05-16T00:00:00"/>
    <d v="2025-05-20T00:00:00"/>
    <s v="2025 05"/>
    <s v="Aguardando Liberação"/>
    <s v="2025 04"/>
    <s v="ENTREGUE"/>
    <d v="2025-05-06T00:00:00"/>
    <s v="-"/>
    <m/>
    <n v="0"/>
    <n v="0"/>
    <n v="0"/>
    <n v="0"/>
    <n v="0"/>
  </r>
  <r>
    <s v="MEI"/>
    <s v="MEI45759"/>
    <s v="Pedido 1477"/>
    <d v="2025-04-09T00:00:00"/>
    <d v="2025-04-12T00:00:00"/>
    <s v="PedidoF1415"/>
    <s v="CódRastreio1413"/>
    <n v="1"/>
    <s v="CPF 1437"/>
    <s v="Nome 1437"/>
    <s v="Tel 1437"/>
    <s v="Cep 1437"/>
    <s v="Rua 1437"/>
    <s v="Comp 1437"/>
    <x v="16"/>
    <s v="T1-SWVB-UPOW"/>
    <d v="2025-05-03T00:00:00"/>
    <n v="29.99"/>
    <n v="29.99"/>
    <n v="3.5987999999999998"/>
    <n v="26.39"/>
    <n v="11.5"/>
    <n v="0.15"/>
    <n v="0.39877104377104378"/>
    <n v="0"/>
    <n v="14.341228956228957"/>
    <n v="7.1706144781144783"/>
    <d v="2025-05-10T00:00:00"/>
    <d v="2025-05-10T00:00:00"/>
    <d v="2025-05-16T00:00:00"/>
    <d v="2025-05-20T00:00:00"/>
    <s v="2025 05"/>
    <s v="Aguardando Liberação"/>
    <s v="2025 04"/>
    <s v="ENTREGUE"/>
    <d v="2025-04-18T00:00:00"/>
    <s v="-"/>
    <m/>
    <n v="0"/>
    <n v="0"/>
    <n v="0"/>
    <n v="0"/>
    <n v="0"/>
  </r>
  <r>
    <s v="MEI"/>
    <s v="MEI45759"/>
    <s v="Pedido 1478"/>
    <d v="2025-04-09T00:00:00"/>
    <d v="2025-04-12T00:00:00"/>
    <s v="PedidoF1416"/>
    <s v="CódRastreio1414"/>
    <n v="1"/>
    <s v="CPF 1438"/>
    <s v="Nome 1438"/>
    <s v="Tel 1438"/>
    <s v="Cep 1438"/>
    <s v="Rua 1438"/>
    <s v="Comp 1438"/>
    <x v="12"/>
    <s v="PK-L2Z7-MQRQ"/>
    <d v="2025-05-09T00:00:00"/>
    <n v="49.9"/>
    <n v="49.9"/>
    <n v="5.9879999999999995"/>
    <n v="43.91"/>
    <n v="23.31"/>
    <n v="0.15"/>
    <n v="0.39877104377104378"/>
    <n v="0"/>
    <n v="20.051228956228954"/>
    <n v="10.025614478114477"/>
    <d v="2025-05-16T00:00:00"/>
    <d v="2025-05-16T00:00:00"/>
    <d v="2025-05-16T00:00:00"/>
    <d v="2025-05-20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60"/>
    <s v="Pedido 1479"/>
    <d v="2025-04-09T00:00:00"/>
    <d v="2025-04-13T00:00:00"/>
    <s v="PedidoF1417"/>
    <s v="CódRastreio1415"/>
    <n v="1"/>
    <s v="CPF 1439"/>
    <s v="Nome 1439"/>
    <s v="Tel 1439"/>
    <s v="Cep 1439"/>
    <s v="Rua 1439"/>
    <s v="Comp 1439"/>
    <x v="20"/>
    <s v="K9-7YJH-TT9R"/>
    <d v="2025-05-09T00:00:00"/>
    <n v="25.88"/>
    <n v="25.88"/>
    <n v="3.8819999999999997"/>
    <n v="22"/>
    <n v="16.5"/>
    <n v="0.25"/>
    <n v="0.39877104377104378"/>
    <n v="0"/>
    <n v="4.8512289562289546"/>
    <n v="2.4256144781144773"/>
    <d v="2025-05-16T00:00:00"/>
    <d v="2025-05-16T00:00:00"/>
    <d v="2025-05-16T00:00:00"/>
    <d v="2025-05-20T00:00:00"/>
    <s v="2025 05"/>
    <s v="Aguardando Liberação"/>
    <s v="2025 04"/>
    <s v="ENTREGUE"/>
    <d v="2025-04-21T00:00:00"/>
    <s v="-"/>
    <m/>
    <n v="0"/>
    <n v="0"/>
    <n v="0"/>
    <n v="0"/>
    <n v="0"/>
  </r>
  <r>
    <s v="MEI"/>
    <s v="MEI45759"/>
    <s v="Pedido 1480"/>
    <d v="2025-04-09T00:00:00"/>
    <d v="2025-04-12T00:00:00"/>
    <s v="PedidoF1418"/>
    <s v="CódRastreio1416"/>
    <n v="1"/>
    <s v="CPF 1440"/>
    <s v="Nome 1440"/>
    <s v="Tel 1440"/>
    <s v="Cep 1440"/>
    <s v="Rua 1440"/>
    <s v="Comp 1440"/>
    <x v="28"/>
    <s v="Z0-F6CI-18CL"/>
    <d v="2025-05-09T00:00:00"/>
    <n v="42.87"/>
    <n v="42.87"/>
    <n v="5.1443999999999992"/>
    <n v="37.729999999999997"/>
    <n v="24.48"/>
    <n v="0.15"/>
    <n v="0.39877104377104378"/>
    <n v="0"/>
    <n v="12.701228956228952"/>
    <n v="6.3506144781144762"/>
    <d v="2025-05-16T00:00:00"/>
    <d v="2025-05-16T00:00:00"/>
    <d v="2025-05-16T00:00:00"/>
    <d v="2025-05-20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59"/>
    <s v="Pedido 1481"/>
    <d v="2025-04-09T00:00:00"/>
    <d v="2025-04-12T00:00:00"/>
    <s v="PedidoF1419"/>
    <s v="CódRastreio1417"/>
    <n v="1"/>
    <s v="CPF 1441"/>
    <s v="Nome 1441"/>
    <s v="Tel 1441"/>
    <s v="Cep 1441"/>
    <s v="Rua 1441"/>
    <s v="Comp 1441"/>
    <x v="26"/>
    <s v="BG-DHRO-FAEE"/>
    <d v="2025-05-03T00:00:00"/>
    <n v="26.99"/>
    <n v="26.99"/>
    <n v="2.9688999999999997"/>
    <n v="24.02"/>
    <n v="0"/>
    <n v="0.15"/>
    <n v="0.39877104377104378"/>
    <n v="0"/>
    <n v="23.471228956228956"/>
    <n v="11.735614478114478"/>
    <d v="2025-05-10T00:00:00"/>
    <d v="2025-05-10T00:00:00"/>
    <d v="2025-05-16T00:00:00"/>
    <d v="2025-05-20T00:00:00"/>
    <s v="2025 05"/>
    <s v="Aguardando Liberação"/>
    <s v="2025 04"/>
    <s v="ENTREGUE"/>
    <d v="2025-05-08T00:00:00"/>
    <s v="-"/>
    <m/>
    <n v="0"/>
    <n v="0"/>
    <n v="0"/>
    <n v="0"/>
    <n v="0"/>
  </r>
  <r>
    <s v="MEI"/>
    <s v="MEI45761"/>
    <s v="Pedido 1482"/>
    <d v="2025-04-09T00:00:00"/>
    <d v="2025-04-14T00:00:00"/>
    <s v="PedidoF1420"/>
    <s v="CódRastreio1418"/>
    <n v="1"/>
    <s v="CPF 1442"/>
    <s v="Nome 1442"/>
    <s v="Tel 1442"/>
    <s v="Cep 1442"/>
    <s v="Rua 1442"/>
    <s v="Comp 1442"/>
    <x v="26"/>
    <s v="BG-DHRO-FAEE"/>
    <d v="2025-05-09T00:00:00"/>
    <n v="26.99"/>
    <n v="26.99"/>
    <n v="2.9688999999999997"/>
    <n v="24.02"/>
    <n v="14.14"/>
    <n v="0.43"/>
    <n v="0.39877104377104378"/>
    <n v="0"/>
    <n v="9.0512289562289556"/>
    <n v="4.5256144781144778"/>
    <d v="2025-05-16T00:00:00"/>
    <d v="2025-05-16T00:00:00"/>
    <d v="2025-05-16T00:00:00"/>
    <d v="2025-05-20T00:00:00"/>
    <s v="2025 05"/>
    <s v="Aguardando Liberação"/>
    <s v="2025 04"/>
    <s v="ENTREGUE"/>
    <d v="2025-05-07T00:00:00"/>
    <s v="-"/>
    <m/>
    <n v="0"/>
    <n v="0"/>
    <n v="0"/>
    <n v="0"/>
    <n v="0"/>
  </r>
  <r>
    <s v="MEI"/>
    <s v="MEI45760"/>
    <s v="Pedido 1483"/>
    <d v="2025-04-09T00:00:00"/>
    <d v="2025-04-13T00:00:00"/>
    <s v="PedidoF1421"/>
    <s v="CódRastreio1419"/>
    <n v="1"/>
    <s v="CPF 1443"/>
    <s v="Nome 1443"/>
    <s v="Tel 1443"/>
    <s v="Cep 1443"/>
    <s v="Rua 1443"/>
    <s v="Comp 1443"/>
    <x v="12"/>
    <s v="PK-L2Z7-MQRQ"/>
    <d v="2025-05-03T00:00:00"/>
    <n v="49.9"/>
    <n v="49.9"/>
    <n v="5.9879999999999995"/>
    <n v="43.91"/>
    <n v="36.880000000000003"/>
    <n v="0.25"/>
    <n v="0.39877104377104378"/>
    <n v="0"/>
    <n v="6.3812289562289521"/>
    <n v="3.1906144781144761"/>
    <d v="2025-05-10T00:00:00"/>
    <d v="2025-05-10T00:00:00"/>
    <d v="2025-05-16T00:00:00"/>
    <d v="2025-05-20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60"/>
    <s v="Pedido 1484"/>
    <d v="2025-04-10T00:00:00"/>
    <d v="2025-04-13T00:00:00"/>
    <s v="PedidoF1422"/>
    <s v="CódRastreio1420"/>
    <n v="1"/>
    <s v="CPF 1444"/>
    <s v="Nome 1444"/>
    <s v="Tel 1444"/>
    <s v="Cep 1444"/>
    <s v="Rua 1444"/>
    <s v="Comp 1444"/>
    <x v="6"/>
    <s v="VI-4RT5-1FFO"/>
    <d v="2025-05-09T00:00:00"/>
    <n v="22.7"/>
    <n v="22.7"/>
    <n v="2.7239999999999998"/>
    <n v="19.98"/>
    <n v="14.71"/>
    <n v="0.25"/>
    <n v="0.39877104377104378"/>
    <n v="0"/>
    <n v="4.6212289562289559"/>
    <n v="2.310614478114478"/>
    <d v="2025-05-16T00:00:00"/>
    <d v="2025-05-16T00:00:00"/>
    <d v="2025-05-16T00:00:00"/>
    <d v="2025-05-20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60"/>
    <s v="Pedido 1485"/>
    <d v="2025-04-10T00:00:00"/>
    <d v="2025-04-13T00:00:00"/>
    <s v="PedidoF1423"/>
    <s v="CódRastreio1421"/>
    <n v="1"/>
    <s v="CPF 1445"/>
    <s v="Nome 1445"/>
    <s v="Tel 1445"/>
    <s v="Cep 1445"/>
    <s v="Rua 1445"/>
    <s v="Comp 1445"/>
    <x v="26"/>
    <s v="BG-DHRO-FAEE"/>
    <d v="2025-05-16T00:00:00"/>
    <n v="26.99"/>
    <n v="26.99"/>
    <n v="2.9688999999999997"/>
    <n v="24.02"/>
    <n v="0"/>
    <n v="0.25"/>
    <n v="0.39877104377104378"/>
    <n v="0"/>
    <n v="23.371228956228954"/>
    <n v="11.685614478114477"/>
    <d v="2025-05-23T00:00:00"/>
    <d v="2025-05-23T00:00:00"/>
    <d v="2025-05-30T00:00:00"/>
    <d v="2025-06-02T00:00:00"/>
    <s v="2025 05"/>
    <s v="Aguardando Liberação"/>
    <s v="2025 04"/>
    <s v="ENTREGUE"/>
    <d v="2025-05-26T00:00:00"/>
    <s v="-"/>
    <m/>
    <n v="0"/>
    <n v="0"/>
    <n v="0"/>
    <n v="0"/>
    <n v="0"/>
  </r>
  <r>
    <s v="MEI"/>
    <s v="MEI45760"/>
    <s v="Pedido 1486"/>
    <d v="2025-04-10T00:00:00"/>
    <d v="2025-04-13T00:00:00"/>
    <s v="PedidoF1424"/>
    <s v="CódRastreio1422"/>
    <n v="1"/>
    <s v="CPF 1446"/>
    <s v="Nome 1446"/>
    <s v="Tel 1446"/>
    <s v="Cep 1446"/>
    <s v="Rua 1446"/>
    <s v="Comp 1446"/>
    <x v="26"/>
    <s v="BG-DHRO-FAEE"/>
    <d v="2025-05-10T00:00:00"/>
    <n v="26.99"/>
    <n v="26.99"/>
    <n v="2.9688999999999997"/>
    <n v="24.02"/>
    <n v="14.35"/>
    <n v="0.25"/>
    <n v="0.39877104377104378"/>
    <n v="0"/>
    <n v="9.0212289562289563"/>
    <n v="4.5106144781144781"/>
    <d v="2025-05-17T00:00:00"/>
    <d v="2025-05-17T00:00:00"/>
    <d v="2025-05-30T00:00:00"/>
    <d v="2025-06-02T00:00:00"/>
    <s v="2025 05"/>
    <s v="Aguardando Liberação"/>
    <s v="2025 04"/>
    <s v="ENTREGUE"/>
    <d v="2025-05-05T00:00:00"/>
    <s v="-"/>
    <m/>
    <n v="0"/>
    <n v="0"/>
    <n v="0"/>
    <n v="0"/>
    <n v="0"/>
  </r>
  <r>
    <s v="MEI"/>
    <s v="MEI45761"/>
    <s v="Pedido 1487"/>
    <d v="2025-04-10T00:00:00"/>
    <d v="2025-04-14T00:00:00"/>
    <s v="PedidoF1425"/>
    <s v="CódRastreio1423"/>
    <n v="1"/>
    <s v="CPF 1447"/>
    <s v="Nome 1447"/>
    <s v="Tel 1447"/>
    <s v="Cep 1447"/>
    <s v="Rua 1447"/>
    <s v="Comp 1447"/>
    <x v="16"/>
    <s v="T1-SWVB-UPOW"/>
    <d v="2025-05-10T00:00:00"/>
    <n v="29.99"/>
    <n v="29.99"/>
    <n v="3.5987999999999998"/>
    <n v="26.39"/>
    <n v="15.42"/>
    <n v="0.43"/>
    <n v="0.39877104377104378"/>
    <n v="0"/>
    <n v="10.141228956228957"/>
    <n v="5.0706144781144786"/>
    <d v="2025-05-17T00:00:00"/>
    <d v="2025-05-17T00:00:00"/>
    <d v="2025-05-30T00:00:00"/>
    <d v="2025-06-02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60"/>
    <s v="Pedido 1488"/>
    <d v="2025-04-10T00:00:00"/>
    <d v="2025-04-13T00:00:00"/>
    <s v="PedidoF1426"/>
    <s v="CódRastreio1424"/>
    <n v="1"/>
    <s v="CPF 1448"/>
    <s v="Nome 1448"/>
    <s v="Tel 1448"/>
    <s v="Cep 1448"/>
    <s v="Rua 1448"/>
    <s v="Comp 1448"/>
    <x v="12"/>
    <s v="PK-L2Z7-MQRQ"/>
    <d v="2025-05-10T00:00:00"/>
    <n v="49.9"/>
    <n v="49.9"/>
    <n v="5.9879999999999995"/>
    <n v="43.91"/>
    <n v="22.51"/>
    <n v="0.25"/>
    <n v="0.39877104377104378"/>
    <n v="0"/>
    <n v="20.75122895622895"/>
    <n v="10.375614478114475"/>
    <d v="2025-05-17T00:00:00"/>
    <d v="2025-05-17T00:00:00"/>
    <d v="2025-05-30T00:00:00"/>
    <d v="2025-06-02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60"/>
    <s v="Pedido 1489"/>
    <d v="2025-04-10T00:00:00"/>
    <d v="2025-04-13T00:00:00"/>
    <s v="PedidoF1427"/>
    <s v="CódRastreio1425"/>
    <n v="1"/>
    <s v="CPF 1449"/>
    <s v="Nome 1449"/>
    <s v="Tel 1449"/>
    <s v="Cep 1449"/>
    <s v="Rua 1449"/>
    <s v="Comp 1449"/>
    <x v="29"/>
    <s v="RX-DD1P-P5U2"/>
    <d v="2025-05-17T00:00:00"/>
    <n v="26.99"/>
    <n v="26.99"/>
    <n v="3.2387999999999999"/>
    <n v="23.75"/>
    <n v="10.130000000000001"/>
    <n v="0.25"/>
    <n v="0.39877104377104378"/>
    <n v="0"/>
    <n v="12.971228956228956"/>
    <n v="6.4856144781144778"/>
    <d v="2025-05-24T00:00:00"/>
    <d v="2025-05-24T00:00:00"/>
    <d v="2025-05-30T00:00:00"/>
    <d v="2025-06-02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60"/>
    <s v="Pedido 1490"/>
    <d v="2025-04-10T00:00:00"/>
    <d v="2025-04-13T00:00:00"/>
    <s v="PedidoF1428"/>
    <s v="CódRastreio1426"/>
    <n v="1"/>
    <s v="CPF 1450"/>
    <s v="Nome 1450"/>
    <s v="Tel 1450"/>
    <s v="Cep 1450"/>
    <s v="Rua 1450"/>
    <s v="Comp 1450"/>
    <x v="29"/>
    <s v="RX-DD1P-P5U2"/>
    <d v="2025-05-17T00:00:00"/>
    <n v="26.99"/>
    <n v="26.99"/>
    <n v="3.2387999999999999"/>
    <n v="23.75"/>
    <n v="10.130000000000001"/>
    <n v="0.25"/>
    <n v="0.39877104377104378"/>
    <n v="0"/>
    <n v="12.971228956228956"/>
    <n v="6.4856144781144778"/>
    <d v="2025-05-24T00:00:00"/>
    <d v="2025-05-24T00:00:00"/>
    <d v="2025-05-30T00:00:00"/>
    <d v="2025-06-02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-"/>
    <s v="Pedido 1491"/>
    <d v="2025-04-10T00:00:00"/>
    <s v="-"/>
    <s v="-"/>
    <s v="-"/>
    <n v="1"/>
    <s v="CPF 1451"/>
    <s v="Nome 1451"/>
    <s v="Tel 1451"/>
    <s v="Cep 1451"/>
    <s v="Rua 1451"/>
    <s v="Comp 1451"/>
    <x v="12"/>
    <s v="PK-L2Z7-MQRQ"/>
    <d v="2025-05-10T00:00:00"/>
    <n v="49.9"/>
    <n v="49.9"/>
    <n v="5.9879999999999995"/>
    <n v="43.91"/>
    <n v="0"/>
    <n v="0"/>
    <n v="0"/>
    <n v="0"/>
    <n v="43.91"/>
    <n v="21.954999999999998"/>
    <d v="2025-05-17T00:00:00"/>
    <d v="2025-05-17T00:00:00"/>
    <d v="2025-05-30T00:00:00"/>
    <d v="2025-06-02T00:00:00"/>
    <s v="2025 05"/>
    <s v="Aguardando Liberação"/>
    <s v="- -"/>
    <s v="-"/>
    <s v="-"/>
    <s v="-"/>
    <m/>
    <n v="0"/>
    <n v="0"/>
    <n v="0"/>
    <n v="0"/>
    <n v="0"/>
  </r>
  <r>
    <s v="MEI"/>
    <s v="MEI45760"/>
    <s v="Pedido 1492"/>
    <d v="2025-04-10T00:00:00"/>
    <d v="2025-04-13T00:00:00"/>
    <s v="PedidoF1429"/>
    <s v="CódRastreio1427"/>
    <n v="1"/>
    <s v="CPF 1452"/>
    <s v="Nome 1452"/>
    <s v="Tel 1452"/>
    <s v="Cep 1452"/>
    <s v="Rua 1452"/>
    <s v="Comp 1452"/>
    <x v="12"/>
    <s v="PK-L2Z7-MQRQ"/>
    <d v="2025-05-10T00:00:00"/>
    <n v="49.9"/>
    <n v="49.9"/>
    <n v="5.9879999999999995"/>
    <n v="43.91"/>
    <n v="22.51"/>
    <n v="0.25"/>
    <n v="0.39877104377104378"/>
    <n v="0"/>
    <n v="20.75122895622895"/>
    <n v="10.375614478114475"/>
    <d v="2025-05-17T00:00:00"/>
    <d v="2025-05-17T00:00:00"/>
    <d v="2025-05-30T00:00:00"/>
    <d v="2025-06-02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60"/>
    <s v="Pedido 1493"/>
    <d v="2025-04-10T00:00:00"/>
    <d v="2025-04-13T00:00:00"/>
    <s v="PedidoF1430"/>
    <s v="CódRastreio1428"/>
    <n v="1"/>
    <s v="CPF 1453"/>
    <s v="Nome 1453"/>
    <s v="Tel 1453"/>
    <s v="Cep 1453"/>
    <s v="Rua 1453"/>
    <s v="Comp 1453"/>
    <x v="1"/>
    <s v="A4-5W51-K3HF"/>
    <d v="2025-05-10T00:00:00"/>
    <n v="36.950000000000003"/>
    <n v="36.950000000000003"/>
    <n v="4.4340000000000002"/>
    <n v="32.520000000000003"/>
    <n v="0"/>
    <n v="0.25"/>
    <n v="0.39877104377104378"/>
    <n v="0"/>
    <n v="31.871228956228958"/>
    <n v="15.935614478114479"/>
    <d v="2025-05-17T00:00:00"/>
    <d v="2025-05-17T00:00:00"/>
    <d v="2025-05-30T00:00:00"/>
    <d v="2025-06-02T00:00:00"/>
    <s v="2025 05"/>
    <s v="Aguardando Liberação"/>
    <s v="2025 04"/>
    <s v="ENTREGUE"/>
    <d v="2025-04-27T00:00:00"/>
    <s v="-"/>
    <m/>
    <n v="0"/>
    <n v="0"/>
    <n v="0"/>
    <n v="0"/>
    <n v="0"/>
  </r>
  <r>
    <s v="MEI"/>
    <s v="MEI45760"/>
    <s v="Pedido 1494"/>
    <d v="2025-04-11T00:00:00"/>
    <d v="2025-04-13T00:00:00"/>
    <s v="PedidoF1431"/>
    <s v="CódRastreio1429"/>
    <n v="1"/>
    <s v="CPF 1454"/>
    <s v="Nome 1454"/>
    <s v="Tel 1454"/>
    <s v="Cep 1454"/>
    <s v="Rua 1454"/>
    <s v="Comp 1454"/>
    <x v="6"/>
    <s v="VI-4RT5-1FFO"/>
    <d v="2025-05-06T00:00:00"/>
    <n v="22.7"/>
    <n v="22.7"/>
    <n v="2.7239999999999998"/>
    <n v="19.98"/>
    <n v="14.73"/>
    <n v="0.25"/>
    <n v="0.39877104377104378"/>
    <n v="0"/>
    <n v="4.6012289562289563"/>
    <n v="2.3006144781144782"/>
    <d v="2025-05-13T00:00:00"/>
    <d v="2025-05-13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-"/>
    <s v="Pedido 1495"/>
    <d v="2025-04-11T00:00:00"/>
    <s v="-"/>
    <s v="-"/>
    <s v="-"/>
    <n v="1"/>
    <s v="CPF 1455"/>
    <s v="Nome 1455"/>
    <s v="Tel 1455"/>
    <s v="Cep 1455"/>
    <s v="Rua 1455"/>
    <s v="Comp 1455"/>
    <x v="29"/>
    <s v="RX-DD1P-P5U2"/>
    <d v="2025-05-17T00:00:00"/>
    <n v="26.99"/>
    <n v="26.99"/>
    <n v="3.2387999999999999"/>
    <n v="23.75"/>
    <n v="0"/>
    <n v="0"/>
    <n v="0"/>
    <n v="0"/>
    <n v="23.75"/>
    <n v="11.875"/>
    <d v="2025-05-24T00:00:00"/>
    <d v="2025-05-24T00:00:00"/>
    <d v="2025-05-30T00:00:00"/>
    <d v="2025-06-02T00:00:00"/>
    <s v="2025 05"/>
    <s v="Aguardando Liberação"/>
    <s v="- -"/>
    <s v="-"/>
    <s v="-"/>
    <s v="-"/>
    <m/>
    <n v="0"/>
    <n v="0"/>
    <n v="0"/>
    <n v="0"/>
    <n v="0"/>
  </r>
  <r>
    <s v="MEI"/>
    <s v="MEI45762"/>
    <s v="Pedido 1496"/>
    <d v="2025-04-11T00:00:00"/>
    <d v="2025-04-15T00:00:00"/>
    <s v="PedidoF1432"/>
    <s v="CódRastreio1430"/>
    <n v="1"/>
    <s v="CPF 1456"/>
    <s v="Nome 1456"/>
    <s v="Tel 1456"/>
    <s v="Cep 1456"/>
    <s v="Rua 1456"/>
    <s v="Comp 1456"/>
    <x v="26"/>
    <s v="BG-DHRO-FAEE"/>
    <d v="2025-05-10T00:00:00"/>
    <n v="26.99"/>
    <n v="26.99"/>
    <n v="2.9688999999999997"/>
    <n v="24.02"/>
    <n v="15.77"/>
    <n v="0.2"/>
    <n v="0.39877104377104378"/>
    <n v="0"/>
    <n v="7.6512289562289553"/>
    <n v="3.8256144781144776"/>
    <d v="2025-05-17T00:00:00"/>
    <d v="2025-05-17T00:00:00"/>
    <d v="2025-05-30T00:00:00"/>
    <d v="2025-06-02T00:00:00"/>
    <s v="2025 05"/>
    <s v="Aguardando Liberação"/>
    <s v="2025 04"/>
    <s v="ENTREGUE"/>
    <d v="2025-05-14T00:00:00"/>
    <s v="-"/>
    <m/>
    <n v="0"/>
    <n v="0"/>
    <n v="0"/>
    <n v="0"/>
    <n v="0"/>
  </r>
  <r>
    <s v="MEI"/>
    <s v="MEI45762"/>
    <s v="Pedido 1497"/>
    <d v="2025-04-11T00:00:00"/>
    <d v="2025-04-15T00:00:00"/>
    <s v="PedidoF1433"/>
    <s v="CódRastreio1431"/>
    <n v="1"/>
    <s v="CPF 1457"/>
    <s v="Nome 1457"/>
    <s v="Tel 1457"/>
    <s v="Cep 1457"/>
    <s v="Rua 1457"/>
    <s v="Comp 1457"/>
    <x v="16"/>
    <s v="T1-SWVB-UPOW"/>
    <d v="2025-05-17T00:00:00"/>
    <n v="29.99"/>
    <n v="29.99"/>
    <n v="3.5987999999999998"/>
    <n v="26.39"/>
    <n v="17.55"/>
    <n v="0.2"/>
    <n v="0.39877104377104378"/>
    <n v="0"/>
    <n v="8.2412289562289551"/>
    <n v="4.1206144781144776"/>
    <d v="2025-05-24T00:00:00"/>
    <d v="2025-05-24T00:00:00"/>
    <d v="2025-05-30T00:00:00"/>
    <d v="2025-06-02T00:00:00"/>
    <s v="2025 05"/>
    <s v="Aguardando Liberação"/>
    <s v="2025 04"/>
    <s v="ENTREGUE"/>
    <d v="2025-05-23T00:00:00"/>
    <s v="-"/>
    <m/>
    <n v="0"/>
    <n v="0"/>
    <n v="0"/>
    <n v="0"/>
    <n v="0"/>
  </r>
  <r>
    <s v="MEI"/>
    <s v="MEI45762"/>
    <s v="Pedido 1498"/>
    <d v="2025-04-11T00:00:00"/>
    <d v="2025-04-15T00:00:00"/>
    <s v="PedidoF1434"/>
    <s v="CódRastreio1432"/>
    <n v="1"/>
    <s v="CPF 1458"/>
    <s v="Nome 1458"/>
    <s v="Tel 1458"/>
    <s v="Cep 1458"/>
    <s v="Rua 1458"/>
    <s v="Comp 1458"/>
    <x v="26"/>
    <s v="BG-DHRO-FAEE"/>
    <d v="2025-05-06T00:00:00"/>
    <n v="26.99"/>
    <n v="26.99"/>
    <n v="2.9688999999999997"/>
    <n v="24.02"/>
    <n v="14.84"/>
    <n v="0.2"/>
    <n v="0.39877104377104378"/>
    <n v="0"/>
    <n v="8.5812289562289568"/>
    <n v="4.2906144781144784"/>
    <d v="2025-05-13T00:00:00"/>
    <d v="2025-05-13T00:00:00"/>
    <d v="2025-05-16T00:00:00"/>
    <d v="2025-05-20T00:00:00"/>
    <s v="2025 05"/>
    <s v="Aguardando Liberação"/>
    <s v="2025 04"/>
    <s v="ENTREGUE"/>
    <d v="2025-05-05T00:00:00"/>
    <s v="-"/>
    <m/>
    <n v="0"/>
    <n v="0"/>
    <n v="0"/>
    <n v="0"/>
    <n v="0"/>
  </r>
  <r>
    <s v="MEI"/>
    <s v="MEI45762"/>
    <s v="Pedido 1499"/>
    <d v="2025-04-11T00:00:00"/>
    <d v="2025-04-15T00:00:00"/>
    <s v="PedidoF1435"/>
    <s v="CódRastreio1433"/>
    <n v="1"/>
    <s v="CPF 789"/>
    <s v="Nome 789"/>
    <s v="Tel 789"/>
    <s v="Cep 789"/>
    <s v="Rua 789"/>
    <s v="Comp 789"/>
    <x v="12"/>
    <s v="PK-L2Z7-MQRQ"/>
    <d v="2025-05-10T00:00:00"/>
    <n v="49.9"/>
    <n v="49.9"/>
    <n v="5.9879999999999995"/>
    <n v="43.91"/>
    <n v="22.31"/>
    <n v="0.2"/>
    <n v="0.39877104377104378"/>
    <n v="0"/>
    <n v="21.001228956228953"/>
    <n v="10.500614478114477"/>
    <d v="2025-05-17T00:00:00"/>
    <d v="2025-05-17T00:00:00"/>
    <d v="2025-05-30T00:00:00"/>
    <d v="2025-06-02T00:00:00"/>
    <s v="2025 05"/>
    <s v="Aguardando Liberação"/>
    <s v="2025 04"/>
    <s v="ENTREGUE"/>
    <d v="2025-05-02T00:00:00"/>
    <s v="-"/>
    <m/>
    <n v="0"/>
    <n v="0"/>
    <n v="0"/>
    <n v="0"/>
    <n v="0"/>
  </r>
  <r>
    <s v="MEI"/>
    <s v="MEI45763"/>
    <s v="Pedido 1500"/>
    <d v="2025-04-11T00:00:00"/>
    <d v="2025-04-16T00:00:00"/>
    <s v="PedidoF1436"/>
    <s v="CódRastreio1434"/>
    <n v="1"/>
    <s v="CPF 1459"/>
    <s v="Nome 1459"/>
    <s v="Tel 1459"/>
    <s v="Cep 1459"/>
    <s v="Rua 1459"/>
    <s v="Comp 1459"/>
    <x v="29"/>
    <s v="RX-DD1P-P5U2"/>
    <d v="2025-05-13T00:00:00"/>
    <n v="26.99"/>
    <n v="26.99"/>
    <n v="3.2387999999999999"/>
    <n v="23.75"/>
    <n v="22.92"/>
    <n v="0.25"/>
    <n v="0.39877104377104378"/>
    <n v="0"/>
    <n v="0.18122895622895285"/>
    <n v="9.0614478114476427E-2"/>
    <d v="2025-05-20T00:00:00"/>
    <d v="2025-05-20T00:00:00"/>
    <d v="2025-05-30T00:00:00"/>
    <d v="2025-06-02T00:00:00"/>
    <s v="2025 05"/>
    <s v="Aguardando Liberação"/>
    <s v="2025 04"/>
    <s v="ENTREGUE"/>
    <d v="2025-05-30T00:00:00"/>
    <s v="-"/>
    <m/>
    <n v="0"/>
    <n v="0"/>
    <n v="0"/>
    <n v="0"/>
    <n v="0"/>
  </r>
  <r>
    <s v="MEI"/>
    <s v="MEI45763"/>
    <s v="Pedido 1501"/>
    <d v="2025-04-11T00:00:00"/>
    <d v="2025-04-16T00:00:00"/>
    <s v="PedidoF1437"/>
    <s v="CódRastreio1435"/>
    <n v="1"/>
    <s v="CPF 1460"/>
    <s v="Nome 1460"/>
    <s v="Tel 1460"/>
    <s v="Cep 1460"/>
    <s v="Rua 1460"/>
    <s v="Comp 1460"/>
    <x v="29"/>
    <s v="RX-DD1P-P5U2"/>
    <d v="2025-05-13T00:00:00"/>
    <n v="26.99"/>
    <n v="26.99"/>
    <n v="3.2387999999999999"/>
    <n v="23.75"/>
    <n v="0"/>
    <n v="0.25"/>
    <n v="0.39877104377104378"/>
    <n v="0"/>
    <n v="23.101228956228955"/>
    <n v="11.550614478114477"/>
    <d v="2025-05-20T00:00:00"/>
    <d v="2025-05-20T00:00:00"/>
    <d v="2025-05-30T00:00:00"/>
    <d v="2025-06-02T00:00:00"/>
    <s v="2025 05"/>
    <s v="Aguardando Liberação"/>
    <s v="2025 04"/>
    <s v="ENTREGUE"/>
    <d v="2025-05-06T00:00:00"/>
    <s v="-"/>
    <m/>
    <n v="0"/>
    <n v="0"/>
    <n v="0"/>
    <n v="0"/>
    <n v="0"/>
  </r>
  <r>
    <s v="MEI"/>
    <s v="MEI45763"/>
    <s v="Pedido 1502"/>
    <d v="2025-04-11T00:00:00"/>
    <d v="2025-04-16T00:00:00"/>
    <s v="PedidoF1438"/>
    <s v="CódRastreio1436"/>
    <n v="1"/>
    <s v="CPF 1461"/>
    <s v="Nome 1461"/>
    <s v="Tel 1461"/>
    <s v="Cep 1461"/>
    <s v="Rua 1461"/>
    <s v="Comp 1461"/>
    <x v="20"/>
    <s v="K9-7YJH-TT9R"/>
    <d v="2025-05-07T00:00:00"/>
    <n v="25.88"/>
    <n v="25.88"/>
    <n v="3.8819999999999997"/>
    <n v="22"/>
    <n v="22.58"/>
    <n v="0.25"/>
    <n v="0.39877104377104378"/>
    <n v="0"/>
    <n v="-1.2287710437710437"/>
    <n v="-0.61438552188552187"/>
    <d v="2025-05-14T00:00:00"/>
    <d v="2025-05-14T00:00:00"/>
    <d v="2025-05-16T00:00:00"/>
    <d v="2025-05-20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63"/>
    <s v="Pedido 1503"/>
    <d v="2025-04-11T00:00:00"/>
    <d v="2025-04-16T00:00:00"/>
    <s v="PedidoF1439"/>
    <s v="CódRastreio1437"/>
    <n v="1"/>
    <s v="CPF 1462"/>
    <s v="Nome 1462"/>
    <s v="Tel 1462"/>
    <s v="Cep 1462"/>
    <s v="Rua 1462"/>
    <s v="Comp 1462"/>
    <x v="29"/>
    <s v="RX-DD1P-P5U2"/>
    <d v="2025-05-13T00:00:00"/>
    <n v="26.99"/>
    <n v="26.99"/>
    <n v="3.2387999999999999"/>
    <n v="23.75"/>
    <n v="10.16"/>
    <n v="0.25"/>
    <n v="0.39877104377104378"/>
    <n v="0"/>
    <n v="12.941228956228956"/>
    <n v="6.4706144781144781"/>
    <d v="2025-05-20T00:00:00"/>
    <d v="2025-05-20T00:00:00"/>
    <d v="2025-05-30T00:00:00"/>
    <d v="2025-06-02T00:00:00"/>
    <s v="2025 05"/>
    <s v="Aguardando Liberação"/>
    <s v="2025 04"/>
    <s v="ENTREGUE"/>
    <d v="2025-06-03T00:00:00"/>
    <s v="-"/>
    <m/>
    <n v="0"/>
    <n v="0"/>
    <n v="0"/>
    <n v="0"/>
    <n v="0"/>
  </r>
  <r>
    <s v="MEI"/>
    <s v="MEI45763"/>
    <s v="Pedido 1504"/>
    <d v="2025-04-11T00:00:00"/>
    <d v="2025-04-16T00:00:00"/>
    <s v="PedidoF1440"/>
    <s v="CódRastreio1438"/>
    <n v="1"/>
    <s v="CPF 1463"/>
    <s v="Nome 1463"/>
    <s v="Tel 1463"/>
    <s v="Cep 1463"/>
    <s v="Rua 1463"/>
    <s v="Comp 1463"/>
    <x v="29"/>
    <s v="RX-DD1P-P5U2"/>
    <d v="2025-05-13T00:00:00"/>
    <n v="26.99"/>
    <n v="26.99"/>
    <n v="3.2387999999999999"/>
    <n v="23.75"/>
    <n v="0"/>
    <n v="0.25"/>
    <n v="0.39877104377104378"/>
    <n v="0"/>
    <n v="23.101228956228955"/>
    <n v="11.550614478114477"/>
    <d v="2025-05-20T00:00:00"/>
    <d v="2025-05-20T00:00:00"/>
    <d v="2025-05-30T00:00:00"/>
    <d v="2025-06-02T00:00:00"/>
    <s v="2025 05"/>
    <s v="Aguardando Liberação"/>
    <s v="2025 04"/>
    <s v="ENTREGUE"/>
    <d v="2025-05-23T00:00:00"/>
    <s v="-"/>
    <m/>
    <n v="0"/>
    <n v="0"/>
    <n v="0"/>
    <n v="0"/>
    <n v="0"/>
  </r>
  <r>
    <s v="MEI"/>
    <s v="MEI45763"/>
    <s v="Pedido 1505"/>
    <d v="2025-04-11T00:00:00"/>
    <d v="2025-04-16T00:00:00"/>
    <s v="PedidoF1441"/>
    <s v="CódRastreio1439"/>
    <n v="1"/>
    <s v="CPF 1464"/>
    <s v="Nome 1464"/>
    <s v="Tel 1464"/>
    <s v="Cep 1464"/>
    <s v="Rua 1464"/>
    <s v="Comp 1464"/>
    <x v="1"/>
    <s v="A4-5W51-K3HF"/>
    <d v="2025-05-13T00:00:00"/>
    <n v="36.950000000000003"/>
    <n v="36.950000000000003"/>
    <n v="4.4340000000000002"/>
    <n v="32.520000000000003"/>
    <n v="14.99"/>
    <n v="0.25"/>
    <n v="0.39877104377104378"/>
    <n v="0"/>
    <n v="16.881228956228959"/>
    <n v="8.4406144781144796"/>
    <d v="2025-05-20T00:00:00"/>
    <d v="2025-05-20T00:00:00"/>
    <d v="2025-05-30T00:00:00"/>
    <d v="2025-06-02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63"/>
    <s v="Pedido 1506"/>
    <d v="2025-04-11T00:00:00"/>
    <d v="2025-04-16T00:00:00"/>
    <s v="PedidoF1442"/>
    <s v="CódRastreio1440"/>
    <n v="1"/>
    <s v="CPF 1465"/>
    <s v="Nome 1465"/>
    <s v="Tel 1465"/>
    <s v="Cep 1465"/>
    <s v="Rua 1465"/>
    <s v="Comp 1465"/>
    <x v="16"/>
    <s v="T1-SWVB-UPOW"/>
    <d v="2025-05-07T00:00:00"/>
    <n v="29.99"/>
    <n v="29.99"/>
    <n v="3.5987999999999998"/>
    <n v="26.39"/>
    <n v="17.829999999999998"/>
    <n v="0.25"/>
    <n v="0.39877104377104378"/>
    <n v="0"/>
    <n v="7.9112289562289568"/>
    <n v="3.9556144781144784"/>
    <d v="2025-05-14T00:00:00"/>
    <d v="2025-05-14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GO"/>
    <s v="GO45758"/>
    <s v="Pedido 1507"/>
    <d v="2025-04-10T00:00:00"/>
    <d v="2025-04-11T00:00:00"/>
    <s v="PedidoF1443"/>
    <s v="CódRastreio1441"/>
    <n v="1"/>
    <s v="CPF 1466"/>
    <s v="Nome 1466"/>
    <s v="Tel 1466"/>
    <s v="Cep 1466"/>
    <s v="Rua 1466"/>
    <s v="Comp 1466"/>
    <x v="30"/>
    <s v="33-SVS5-1AWY"/>
    <d v="2025-05-10T00:00:00"/>
    <n v="67.599999999999994"/>
    <n v="67.599999999999994"/>
    <n v="8.1119999999999983"/>
    <n v="59.49"/>
    <n v="44.86"/>
    <n v="0.2"/>
    <n v="0.39877104377104378"/>
    <n v="0"/>
    <n v="14.031228956228958"/>
    <n v="14.031228956228958"/>
    <d v="2025-05-17T00:00:00"/>
    <d v="2025-05-17T00:00:00"/>
    <d v="2025-05-30T00:00:00"/>
    <d v="2025-06-02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45763"/>
    <s v="Pedido 1508"/>
    <d v="2025-04-11T00:00:00"/>
    <d v="2025-04-16T00:00:00"/>
    <s v="PedidoF1444"/>
    <s v="CódRastreio1442"/>
    <n v="1"/>
    <s v="CPF 1467"/>
    <s v="Nome 1467"/>
    <s v="Tel 1467"/>
    <s v="Cep 1467"/>
    <s v="Rua 1467"/>
    <s v="Comp 1467"/>
    <x v="29"/>
    <s v="RX-DD1P-P5U2"/>
    <d v="2025-05-13T00:00:00"/>
    <n v="26.99"/>
    <n v="26.99"/>
    <n v="3.2387999999999999"/>
    <n v="23.75"/>
    <n v="0"/>
    <n v="0.25"/>
    <n v="0.39877104377104378"/>
    <n v="0"/>
    <n v="23.101228956228955"/>
    <n v="11.550614478114477"/>
    <d v="2025-05-20T00:00:00"/>
    <d v="2025-05-20T00:00:00"/>
    <d v="2025-05-30T00:00:00"/>
    <d v="2025-06-02T00:00:00"/>
    <s v="2025 05"/>
    <s v="Aguardando Liberação"/>
    <s v="2025 04"/>
    <s v="ENTREGUE"/>
    <d v="2025-05-22T00:00:00"/>
    <s v="-"/>
    <m/>
    <n v="0"/>
    <n v="0"/>
    <n v="0"/>
    <n v="0"/>
    <n v="0"/>
  </r>
  <r>
    <s v="MEI"/>
    <s v="MEI45763"/>
    <s v="Pedido 1509"/>
    <d v="2025-04-11T00:00:00"/>
    <d v="2025-04-16T00:00:00"/>
    <s v="PedidoF1445"/>
    <s v="CódRastreio1443"/>
    <n v="1"/>
    <s v="CPF 1468"/>
    <s v="Nome 1468"/>
    <s v="Tel 1468"/>
    <s v="Cep 1468"/>
    <s v="Rua 1468"/>
    <s v="Comp 1468"/>
    <x v="29"/>
    <s v="RX-DD1P-P5U2"/>
    <d v="2025-05-13T00:00:00"/>
    <n v="26.99"/>
    <n v="26.99"/>
    <n v="3.2387999999999999"/>
    <n v="23.75"/>
    <n v="10.16"/>
    <n v="0.25"/>
    <n v="0.39877104377104378"/>
    <n v="0"/>
    <n v="12.941228956228956"/>
    <n v="6.4706144781144781"/>
    <d v="2025-05-20T00:00:00"/>
    <d v="2025-05-20T00:00:00"/>
    <d v="2025-05-30T00:00:00"/>
    <d v="2025-06-02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63"/>
    <s v="Pedido 1510"/>
    <d v="2025-04-11T00:00:00"/>
    <d v="2025-04-16T00:00:00"/>
    <s v="PedidoF1446"/>
    <s v="CódRastreio1444"/>
    <n v="1"/>
    <s v="CPF 1469"/>
    <s v="Nome 1469"/>
    <s v="Tel 1469"/>
    <s v="Cep 1469"/>
    <s v="Rua 1469"/>
    <s v="Comp 1469"/>
    <x v="29"/>
    <s v="RX-DD1P-P5U2"/>
    <d v="2025-05-13T00:00:00"/>
    <n v="26.99"/>
    <n v="26.99"/>
    <n v="3.2387999999999999"/>
    <n v="23.75"/>
    <n v="10.16"/>
    <n v="0.25"/>
    <n v="0.39877104377104378"/>
    <n v="0"/>
    <n v="12.941228956228956"/>
    <n v="6.4706144781144781"/>
    <d v="2025-05-20T00:00:00"/>
    <d v="2025-05-20T00:00:00"/>
    <d v="2025-05-30T00:00:00"/>
    <d v="2025-06-02T00:00:00"/>
    <s v="2025 05"/>
    <s v="Aguardando Liberação"/>
    <s v="2025 04"/>
    <s v="ENTREGUE"/>
    <d v="2025-05-22T00:00:00"/>
    <s v="-"/>
    <m/>
    <n v="0"/>
    <n v="0"/>
    <n v="0"/>
    <n v="0"/>
    <n v="0"/>
  </r>
  <r>
    <s v="MEI"/>
    <s v="MEI45759"/>
    <s v="Pedido 1511"/>
    <d v="2025-04-12T00:00:00"/>
    <d v="2025-04-12T00:00:00"/>
    <s v="PedidoF1447"/>
    <s v="CódRastreio1445"/>
    <n v="1"/>
    <s v="CPF 1470"/>
    <s v="Nome 1470"/>
    <s v="Tel 1470"/>
    <s v="Cep 1470"/>
    <s v="Rua 1470"/>
    <s v="Comp 1470"/>
    <x v="29"/>
    <s v="RX-DD1P-P5U2"/>
    <d v="2025-05-13T00:00:00"/>
    <n v="26.99"/>
    <n v="26.99"/>
    <n v="3.2387999999999999"/>
    <n v="23.75"/>
    <n v="10.56"/>
    <n v="0.15"/>
    <n v="0.39877104377104378"/>
    <n v="0"/>
    <n v="12.641228956228955"/>
    <n v="6.3206144781144777"/>
    <d v="2025-05-20T00:00:00"/>
    <d v="2025-05-20T00:00:00"/>
    <d v="2025-05-30T00:00:00"/>
    <d v="2025-06-02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59"/>
    <s v="Pedido 1512"/>
    <d v="2025-04-12T00:00:00"/>
    <d v="2025-04-12T00:00:00"/>
    <s v="PedidoF1448"/>
    <s v="CódRastreio1446"/>
    <n v="1"/>
    <s v="CPF 1471"/>
    <s v="Nome 1471"/>
    <s v="Tel 1471"/>
    <s v="Cep 1471"/>
    <s v="Rua 1471"/>
    <s v="Comp 1471"/>
    <x v="29"/>
    <s v="RX-DD1P-P5U2"/>
    <d v="2025-05-20T00:00:00"/>
    <n v="26.99"/>
    <n v="26.99"/>
    <n v="3.2387999999999999"/>
    <n v="23.75"/>
    <n v="10.130000000000001"/>
    <n v="0.15"/>
    <n v="0.39877104377104378"/>
    <n v="0"/>
    <n v="13.071228956228955"/>
    <n v="6.5356144781144776"/>
    <d v="2025-05-27T00:00:00"/>
    <d v="2025-05-27T00:00:00"/>
    <d v="2025-05-30T00:00:00"/>
    <d v="2025-06-02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59"/>
    <s v="Pedido 1513"/>
    <d v="2025-04-12T00:00:00"/>
    <d v="2025-04-12T00:00:00"/>
    <s v="PedidoF1449"/>
    <s v="CódRastreio1447"/>
    <n v="1"/>
    <s v="CPF 1472"/>
    <s v="Nome 1472"/>
    <s v="Tel 1472"/>
    <s v="Cep 1472"/>
    <s v="Rua 1472"/>
    <s v="Comp 1472"/>
    <x v="29"/>
    <s v="RX-DD1P-P5U2"/>
    <d v="2025-05-13T00:00:00"/>
    <n v="26.99"/>
    <n v="26.99"/>
    <n v="3.2387999999999999"/>
    <n v="23.75"/>
    <n v="10.56"/>
    <n v="0.15"/>
    <n v="0.39877104377104378"/>
    <n v="0"/>
    <n v="12.641228956228955"/>
    <n v="6.3206144781144777"/>
    <d v="2025-05-20T00:00:00"/>
    <d v="2025-05-20T00:00:00"/>
    <d v="2025-05-30T00:00:00"/>
    <d v="2025-06-02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59"/>
    <s v="Pedido 1514"/>
    <d v="2025-04-12T00:00:00"/>
    <d v="2025-04-12T00:00:00"/>
    <s v="PedidoF1450"/>
    <s v="CódRastreio1448"/>
    <n v="1"/>
    <s v="CPF 1473"/>
    <s v="Nome 1473"/>
    <s v="Tel 1473"/>
    <s v="Cep 1473"/>
    <s v="Rua 1473"/>
    <s v="Comp 1473"/>
    <x v="19"/>
    <s v="1I-EZPV-2Q78"/>
    <d v="2025-05-20T00:00:00"/>
    <n v="52.9"/>
    <n v="52.9"/>
    <n v="7.9349999999999996"/>
    <n v="44.97"/>
    <n v="22.92"/>
    <n v="0.15"/>
    <n v="0.39877104377104378"/>
    <n v="0"/>
    <n v="21.501228956228953"/>
    <n v="10.750614478114477"/>
    <d v="2025-05-27T00:00:00"/>
    <d v="2025-05-27T00:00:00"/>
    <d v="2025-05-30T00:00:00"/>
    <d v="2025-06-02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45759"/>
    <s v="Pedido 1515"/>
    <d v="2025-04-12T00:00:00"/>
    <d v="2025-04-12T00:00:00"/>
    <s v="PedidoF1451"/>
    <s v="CódRastreio1449"/>
    <n v="1"/>
    <s v="CPF 1474"/>
    <s v="Nome 1474"/>
    <s v="Tel 1474"/>
    <s v="Cep 1474"/>
    <s v="Rua 1474"/>
    <s v="Comp 1474"/>
    <x v="20"/>
    <s v="K9-7YJH-TT9R"/>
    <d v="2025-05-07T00:00:00"/>
    <n v="25.88"/>
    <n v="25.88"/>
    <n v="3.8819999999999997"/>
    <n v="22"/>
    <n v="16.5"/>
    <n v="0.15"/>
    <n v="0.39877104377104378"/>
    <n v="0"/>
    <n v="4.951228956228956"/>
    <n v="2.475614478114478"/>
    <d v="2025-05-14T00:00:00"/>
    <d v="2025-05-14T00:00:00"/>
    <d v="2025-05-16T00:00:00"/>
    <d v="2025-05-20T00:00:00"/>
    <s v="2025 05"/>
    <s v="Aguardando Liberação"/>
    <s v="2025 04"/>
    <s v="ENTREGUE"/>
    <d v="2025-04-19T00:00:00"/>
    <s v="-"/>
    <m/>
    <n v="0"/>
    <n v="0"/>
    <n v="0"/>
    <n v="0"/>
    <n v="0"/>
  </r>
  <r>
    <s v="MEI"/>
    <s v="MEI45759"/>
    <s v="Pedido 1516"/>
    <d v="2025-04-12T00:00:00"/>
    <d v="2025-04-12T00:00:00"/>
    <s v="PedidoF1452"/>
    <s v="CódRastreio1450"/>
    <n v="1"/>
    <s v="CPF 1475"/>
    <s v="Nome 1475"/>
    <s v="Tel 1475"/>
    <s v="Cep 1475"/>
    <s v="Rua 1475"/>
    <s v="Comp 1475"/>
    <x v="26"/>
    <s v="BG-DHRO-FAEE"/>
    <d v="2025-05-20T00:00:00"/>
    <n v="26.99"/>
    <n v="26.99"/>
    <n v="2.9688999999999997"/>
    <n v="24.02"/>
    <n v="10.130000000000001"/>
    <n v="0.15"/>
    <n v="0.39877104377104378"/>
    <n v="0"/>
    <n v="13.341228956228955"/>
    <n v="6.6706144781144774"/>
    <d v="2025-05-27T00:00:00"/>
    <d v="2025-05-27T00:00:00"/>
    <d v="2025-05-30T00:00:00"/>
    <d v="2025-06-02T00:00:00"/>
    <s v="2025 05"/>
    <s v="Aguardando Liberação"/>
    <s v="2025 04"/>
    <s v="ENTREGUE"/>
    <d v="2025-06-02T00:00:00"/>
    <s v="-"/>
    <m/>
    <n v="0"/>
    <n v="0"/>
    <n v="0"/>
    <n v="0"/>
    <n v="0"/>
  </r>
  <r>
    <s v="GO"/>
    <s v="GO45759"/>
    <s v="Pedido 1517"/>
    <d v="2025-04-12T00:00:00"/>
    <d v="2025-04-12T00:00:00"/>
    <s v="PedidoF1453"/>
    <s v="CódRastreio1451"/>
    <n v="1"/>
    <s v="CPF 1476"/>
    <s v="Nome 1476"/>
    <s v="Tel 1476"/>
    <s v="Cep 1476"/>
    <s v="Rua 1476"/>
    <s v="Comp 1476"/>
    <x v="12"/>
    <s v="H8-IH9B-M87L"/>
    <d v="2025-05-13T00:00:00"/>
    <n v="54.9"/>
    <n v="54.9"/>
    <n v="6.5879999999999992"/>
    <n v="48.31"/>
    <n v="15.84"/>
    <n v="0.25"/>
    <n v="0.39877104377104378"/>
    <n v="0"/>
    <n v="31.821228956228957"/>
    <n v="31.821228956228957"/>
    <d v="2025-05-20T00:00:00"/>
    <d v="2025-05-20T00:00:00"/>
    <d v="2025-05-30T00:00:00"/>
    <d v="2025-06-02T00:00:00"/>
    <s v="2025 05"/>
    <s v="Aguardando Liberação"/>
    <s v="2025 04"/>
    <s v="ENTREGUE"/>
    <d v="2025-04-28T00:00:00"/>
    <s v="-"/>
    <m/>
    <n v="0"/>
    <n v="0"/>
    <n v="0"/>
    <n v="0"/>
    <n v="0"/>
  </r>
  <r>
    <s v="GO"/>
    <s v="GO45759"/>
    <s v="Pedido 1518"/>
    <d v="2025-04-12T00:00:00"/>
    <d v="2025-04-12T00:00:00"/>
    <s v="PedidoF1454"/>
    <s v="CódRastreio1452"/>
    <n v="1"/>
    <s v="CPF 1477"/>
    <s v="Nome 1477"/>
    <s v="Tel 1477"/>
    <s v="Cep 1477"/>
    <s v="Rua 1477"/>
    <s v="Comp 1477"/>
    <x v="10"/>
    <s v="EP-9PIR-BWXH"/>
    <d v="2025-05-20T00:00:00"/>
    <n v="65.739999999999995"/>
    <n v="65.739999999999995"/>
    <n v="7.8887999999999989"/>
    <n v="57.85"/>
    <n v="22.24"/>
    <n v="0.25"/>
    <n v="0.39877104377104378"/>
    <n v="0"/>
    <n v="34.961228956228958"/>
    <n v="34.961228956228958"/>
    <d v="2025-05-27T00:00:00"/>
    <d v="2025-05-27T00:00:00"/>
    <d v="2025-05-30T00:00:00"/>
    <d v="2025-06-02T00:00:00"/>
    <s v="2025 05"/>
    <s v="Aguardando Liberação"/>
    <s v="2025 04"/>
    <s v="ENTREGUE"/>
    <d v="2025-05-06T00:00:00"/>
    <s v="-"/>
    <m/>
    <n v="0"/>
    <n v="0"/>
    <n v="0"/>
    <n v="0"/>
    <n v="0"/>
  </r>
  <r>
    <s v="MEI"/>
    <s v="MEI45760"/>
    <s v="Pedido 1519"/>
    <d v="2025-04-12T00:00:00"/>
    <d v="2025-04-13T00:00:00"/>
    <s v="PedidoF1455"/>
    <s v="CódRastreio1453"/>
    <n v="1"/>
    <s v="CPF 1478"/>
    <s v="Nome 1478"/>
    <s v="Tel 1478"/>
    <s v="Cep 1478"/>
    <s v="Rua 1478"/>
    <s v="Comp 1478"/>
    <x v="1"/>
    <s v="A4-5W51-K3HF"/>
    <d v="2025-05-07T00:00:00"/>
    <n v="36.950000000000003"/>
    <n v="36.950000000000003"/>
    <n v="4.4340000000000002"/>
    <n v="32.520000000000003"/>
    <n v="14.99"/>
    <n v="0.25"/>
    <n v="0.39877104377104378"/>
    <n v="0"/>
    <n v="16.881228956228959"/>
    <n v="8.4406144781144796"/>
    <d v="2025-05-14T00:00:00"/>
    <d v="2025-05-14T00:00:00"/>
    <d v="2025-05-16T00:00:00"/>
    <d v="2025-05-20T00:00:00"/>
    <s v="2025 05"/>
    <s v="Aguardando Liberação"/>
    <s v="2025 04"/>
    <s v="ENTREGUE"/>
    <d v="2025-04-22T00:00:00"/>
    <s v="-"/>
    <m/>
    <n v="0"/>
    <n v="0"/>
    <n v="0"/>
    <n v="0"/>
    <n v="0"/>
  </r>
  <r>
    <s v="MEI"/>
    <s v="MEI45760"/>
    <s v="Pedido 1520"/>
    <d v="2025-04-12T00:00:00"/>
    <d v="2025-04-13T00:00:00"/>
    <s v="PedidoF1456"/>
    <s v="CódRastreio1454"/>
    <n v="1"/>
    <s v="CPF 1479"/>
    <s v="Nome 1479"/>
    <s v="Tel 1479"/>
    <s v="Cep 1479"/>
    <s v="Rua 1479"/>
    <s v="Comp 1479"/>
    <x v="29"/>
    <s v="RX-DD1P-P5U2"/>
    <d v="2025-05-13T00:00:00"/>
    <n v="36.99"/>
    <n v="36.99"/>
    <n v="4.4387999999999996"/>
    <n v="32.549999999999997"/>
    <n v="10.56"/>
    <n v="0.25"/>
    <n v="0.39877104377104378"/>
    <n v="0"/>
    <n v="21.341228956228953"/>
    <n v="10.670614478114476"/>
    <d v="2025-05-20T00:00:00"/>
    <d v="2025-05-20T00:00:00"/>
    <d v="2025-05-30T00:00:00"/>
    <d v="2025-06-02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60"/>
    <s v="Pedido 1521"/>
    <d v="2025-04-13T00:00:00"/>
    <d v="2025-04-13T00:00:00"/>
    <s v="PedidoF1457"/>
    <s v="CódRastreio1455"/>
    <n v="1"/>
    <s v="CPF 1480"/>
    <s v="Nome 1480"/>
    <s v="Tel 1480"/>
    <s v="Cep 1480"/>
    <s v="Rua 1480"/>
    <s v="Comp 1480"/>
    <x v="0"/>
    <s v="IQ-LISQ-0D65"/>
    <d v="2025-05-07T00:00:00"/>
    <n v="21.99"/>
    <n v="21.99"/>
    <n v="3.2984999999999998"/>
    <n v="18.690000000000001"/>
    <n v="9.99"/>
    <n v="0.25"/>
    <n v="0.39877104377104378"/>
    <n v="0"/>
    <n v="8.0512289562289574"/>
    <n v="4.0256144781144787"/>
    <d v="2025-05-14T00:00:00"/>
    <d v="2025-05-14T00:00:00"/>
    <d v="2025-05-16T00:00:00"/>
    <d v="2025-05-20T00:00:00"/>
    <s v="2025 05"/>
    <s v="Aguardando Liberação"/>
    <s v="2025 04"/>
    <s v="ENTREGUE"/>
    <d v="2025-04-21T00:00:00"/>
    <s v="-"/>
    <m/>
    <n v="0"/>
    <n v="0"/>
    <n v="0"/>
    <n v="0"/>
    <n v="0"/>
  </r>
  <r>
    <s v="MEI"/>
    <s v="MEI45760"/>
    <s v="Pedido 1522"/>
    <d v="2025-04-13T00:00:00"/>
    <d v="2025-04-13T00:00:00"/>
    <s v="PedidoF1458"/>
    <s v="CódRastreio1456"/>
    <n v="1"/>
    <s v="CPF 1481"/>
    <s v="Nome 1481"/>
    <s v="Tel 1481"/>
    <s v="Cep 1481"/>
    <s v="Rua 1481"/>
    <s v="Comp 1481"/>
    <x v="0"/>
    <s v="IQ-LISQ-0D65"/>
    <d v="2025-05-13T00:00:00"/>
    <n v="21.99"/>
    <n v="21.99"/>
    <n v="3.2984999999999998"/>
    <n v="18.690000000000001"/>
    <n v="6.99"/>
    <n v="0.25"/>
    <n v="0.39877104377104378"/>
    <n v="0"/>
    <n v="11.051228956228957"/>
    <n v="5.5256144781144787"/>
    <d v="2025-05-20T00:00:00"/>
    <d v="2025-05-20T00:00:00"/>
    <d v="2025-05-30T00:00:00"/>
    <d v="2025-06-02T00:00:00"/>
    <s v="2025 05"/>
    <s v="Aguardando Liberação"/>
    <s v="2025 04"/>
    <s v="ENTREGUE"/>
    <d v="2025-04-25T00:00:00"/>
    <s v="-"/>
    <m/>
    <n v="0"/>
    <n v="0"/>
    <n v="0"/>
    <n v="0"/>
    <n v="0"/>
  </r>
  <r>
    <s v="GO"/>
    <s v="GO45760"/>
    <s v="Pedido 1523"/>
    <d v="2025-04-12T00:00:00"/>
    <d v="2025-04-13T00:00:00"/>
    <s v="PedidoF1459"/>
    <s v="CódRastreio1457"/>
    <n v="1"/>
    <s v="CPF 1482"/>
    <s v="Nome 1482"/>
    <s v="Tel 1482"/>
    <s v="Cep 1482"/>
    <s v="Rua 1482"/>
    <s v="Comp 1482"/>
    <x v="12"/>
    <s v="H8-IH9B-M87L"/>
    <d v="2025-05-13T00:00:00"/>
    <n v="54.9"/>
    <n v="54.9"/>
    <n v="6.5879999999999992"/>
    <n v="48.31"/>
    <n v="22.51"/>
    <n v="0.21"/>
    <n v="0.39877104377104378"/>
    <n v="0"/>
    <n v="25.191228956228954"/>
    <n v="25.191228956228954"/>
    <d v="2025-05-20T00:00:00"/>
    <d v="2025-05-20T00:00:00"/>
    <d v="2025-05-30T00:00:00"/>
    <d v="2025-06-02T00:00:00"/>
    <s v="2025 05"/>
    <s v="Aguardando Liberação"/>
    <s v="2025 04"/>
    <s v="ENTREGUE"/>
    <d v="2025-04-28T00:00:00"/>
    <s v="-"/>
    <m/>
    <n v="0"/>
    <n v="0"/>
    <n v="0"/>
    <n v="0"/>
    <n v="0"/>
  </r>
  <r>
    <s v="GO"/>
    <s v="GO45760"/>
    <s v="Pedido 1524"/>
    <d v="2025-04-12T00:00:00"/>
    <d v="2025-04-13T00:00:00"/>
    <s v="PedidoF1460"/>
    <s v="CódRastreio1458"/>
    <n v="1"/>
    <s v="CPF 1483"/>
    <s v="Nome 1483"/>
    <s v="Tel 1483"/>
    <s v="Cep 1483"/>
    <s v="Rua 1483"/>
    <s v="Comp 1483"/>
    <x v="3"/>
    <s v="MK-OUQW-7L3Z"/>
    <d v="2025-05-13T00:00:00"/>
    <n v="64.89"/>
    <n v="64.89"/>
    <n v="7.7867999999999995"/>
    <n v="57.1"/>
    <n v="22.17"/>
    <n v="0.21"/>
    <n v="0.39877104377104378"/>
    <n v="0"/>
    <n v="34.32122895622895"/>
    <n v="34.32122895622895"/>
    <d v="2025-05-20T00:00:00"/>
    <d v="2025-05-20T00:00:00"/>
    <d v="2025-05-30T00:00:00"/>
    <d v="2025-06-02T00:00:00"/>
    <s v="2025 05"/>
    <s v="Aguardando Liberação"/>
    <s v="2025 04"/>
    <s v="ENTREGUE"/>
    <d v="2025-04-28T00:00:00"/>
    <s v="-"/>
    <m/>
    <n v="0"/>
    <n v="0"/>
    <n v="0"/>
    <n v="0"/>
    <n v="0"/>
  </r>
  <r>
    <s v="GO"/>
    <s v="GO45761"/>
    <s v="Pedido 1525"/>
    <d v="2025-04-13T00:00:00"/>
    <d v="2025-04-14T00:00:00"/>
    <s v="PedidoF1461"/>
    <s v="CódRastreio1459"/>
    <n v="1"/>
    <s v="CPF 1484"/>
    <s v="Nome 1484"/>
    <s v="Tel 1484"/>
    <s v="Cep 1484"/>
    <s v="Rua 1484"/>
    <s v="Comp 1484"/>
    <x v="12"/>
    <s v="H8-IH9B-M87L"/>
    <d v="2025-05-07T00:00:00"/>
    <n v="64.89"/>
    <n v="64.89"/>
    <n v="7.7867999999999995"/>
    <n v="57.1"/>
    <n v="22.25"/>
    <n v="0.38"/>
    <n v="0.39877104377104378"/>
    <n v="0"/>
    <n v="34.071228956228957"/>
    <n v="34.071228956228957"/>
    <d v="2025-05-14T00:00:00"/>
    <d v="2025-05-14T00:00:00"/>
    <d v="2025-05-16T00:00:00"/>
    <d v="2025-05-20T00:00:00"/>
    <s v="2025 05"/>
    <s v="Aguardando Liberação"/>
    <s v="2025 04"/>
    <s v="ENTREGUE"/>
    <d v="2025-04-28T00:00:00"/>
    <s v="-"/>
    <m/>
    <n v="0"/>
    <n v="0"/>
    <n v="0"/>
    <n v="0"/>
    <n v="0"/>
  </r>
  <r>
    <s v="MEI"/>
    <s v="MEI-"/>
    <s v="Pedido 1526"/>
    <d v="2025-04-12T00:00:00"/>
    <s v="-"/>
    <s v="-"/>
    <s v="-"/>
    <n v="1"/>
    <s v="CPF 1485"/>
    <s v="Nome 1485"/>
    <s v="Tel 1485"/>
    <s v="Cep 1485"/>
    <s v="Rua 1485"/>
    <s v="Comp 1485"/>
    <x v="6"/>
    <s v="VI-4RT5-1FFO"/>
    <d v="2025-05-07T00:00:00"/>
    <n v="22.7"/>
    <n v="22.7"/>
    <n v="2.7239999999999998"/>
    <n v="19.98"/>
    <n v="0"/>
    <n v="0"/>
    <n v="0"/>
    <n v="0"/>
    <n v="19.98"/>
    <n v="9.99"/>
    <d v="2025-05-14T00:00:00"/>
    <d v="2025-05-14T00:00:00"/>
    <d v="2025-05-16T00:00:00"/>
    <d v="2025-05-20T00:00:00"/>
    <s v="2025 05"/>
    <s v="Aguardando Liberação"/>
    <s v="- -"/>
    <s v="-"/>
    <s v="-"/>
    <s v="-"/>
    <m/>
    <n v="0"/>
    <n v="0"/>
    <n v="0"/>
    <n v="0"/>
    <n v="0"/>
  </r>
  <r>
    <s v="MEI"/>
    <s v="MEI45761"/>
    <s v="Pedido 1527"/>
    <d v="2025-04-13T00:00:00"/>
    <d v="2025-04-14T00:00:00"/>
    <s v="PedidoF1462"/>
    <s v="CódRastreio1460"/>
    <n v="1"/>
    <s v="CPF 1486"/>
    <s v="Nome 1486"/>
    <s v="Tel 1486"/>
    <s v="Cep 1486"/>
    <s v="Rua 1486"/>
    <s v="Comp 1486"/>
    <x v="0"/>
    <s v="IQ-LISQ-0D65"/>
    <d v="2025-05-07T00:00:00"/>
    <n v="21.99"/>
    <n v="21.99"/>
    <n v="3.2984999999999998"/>
    <n v="18.690000000000001"/>
    <n v="9.99"/>
    <n v="0.43"/>
    <n v="0.39877104377104378"/>
    <n v="0"/>
    <n v="7.8712289562289577"/>
    <n v="3.9356144781144788"/>
    <d v="2025-05-14T00:00:00"/>
    <d v="2025-05-14T00:00:00"/>
    <d v="2025-05-16T00:00:00"/>
    <d v="2025-05-20T00:00:00"/>
    <s v="2025 05"/>
    <s v="Aguardando Liberação"/>
    <s v="2025 04"/>
    <s v="ENTREGUE"/>
    <d v="2025-04-23T00:00:00"/>
    <s v="-"/>
    <m/>
    <n v="0"/>
    <n v="0"/>
    <n v="0"/>
    <n v="0"/>
    <n v="0"/>
  </r>
  <r>
    <s v="MEI"/>
    <s v="MEI45761"/>
    <s v="Pedido 1528"/>
    <d v="2025-04-13T00:00:00"/>
    <d v="2025-04-14T00:00:00"/>
    <s v="PedidoF1463"/>
    <s v="CódRastreio1461"/>
    <n v="1"/>
    <s v="CPF 1487"/>
    <s v="Nome 1487"/>
    <s v="Tel 1487"/>
    <s v="Cep 1487"/>
    <s v="Rua 1487"/>
    <s v="Comp 1487"/>
    <x v="0"/>
    <s v="IQ-LISQ-0D65"/>
    <d v="2025-05-07T00:00:00"/>
    <n v="21.99"/>
    <n v="21.99"/>
    <n v="3.2984999999999998"/>
    <n v="18.690000000000001"/>
    <n v="9.99"/>
    <n v="0.43"/>
    <n v="0.39877104377104378"/>
    <n v="0"/>
    <n v="7.8712289562289577"/>
    <n v="3.9356144781144788"/>
    <d v="2025-05-14T00:00:00"/>
    <d v="2025-05-14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61"/>
    <s v="Pedido 1529"/>
    <d v="2025-04-13T00:00:00"/>
    <d v="2025-04-14T00:00:00"/>
    <s v="PedidoF1464"/>
    <s v="CódRastreio1462"/>
    <n v="1"/>
    <s v="CPF 1488"/>
    <s v="Nome 1488"/>
    <s v="Tel 1488"/>
    <s v="Cep 1488"/>
    <s v="Rua 1488"/>
    <s v="Comp 1488"/>
    <x v="0"/>
    <s v="IQ-LISQ-0D65"/>
    <d v="2025-05-13T00:00:00"/>
    <n v="21.99"/>
    <n v="21.99"/>
    <n v="3.2984999999999998"/>
    <n v="18.690000000000001"/>
    <n v="6.99"/>
    <n v="0.43"/>
    <n v="0.39877104377104378"/>
    <n v="0"/>
    <n v="10.871228956228958"/>
    <n v="5.4356144781144788"/>
    <d v="2025-05-20T00:00:00"/>
    <d v="2025-05-20T00:00:00"/>
    <d v="2025-05-30T00:00:00"/>
    <d v="2025-06-02T00:00:00"/>
    <s v="2025 05"/>
    <s v="Aguardando Liberação"/>
    <s v="2025 04"/>
    <s v="ENTREGUE"/>
    <d v="2025-04-24T00:00:00"/>
    <s v="-"/>
    <m/>
    <n v="0"/>
    <n v="0"/>
    <n v="0"/>
    <n v="0"/>
    <n v="0"/>
  </r>
  <r>
    <s v="MEI"/>
    <s v="MEI-"/>
    <s v="Pedido 1530"/>
    <d v="2025-04-14T00:00:00"/>
    <s v="-"/>
    <s v="-"/>
    <s v="-"/>
    <n v="1"/>
    <s v="CPF 1489"/>
    <s v="Nome 1489"/>
    <s v="Tel 1489"/>
    <s v="Cep 1489"/>
    <s v="Rua 1489"/>
    <s v="Comp 1489"/>
    <x v="1"/>
    <s v="A4-5W51-K3HF"/>
    <d v="2025-05-20T00:00:00"/>
    <n v="36.950000000000003"/>
    <n v="36.950000000000003"/>
    <n v="4.4340000000000002"/>
    <n v="32.520000000000003"/>
    <n v="0"/>
    <n v="0"/>
    <n v="0"/>
    <n v="0"/>
    <n v="32.520000000000003"/>
    <n v="16.260000000000002"/>
    <d v="2025-05-27T00:00:00"/>
    <d v="2025-05-27T00:00:00"/>
    <d v="2025-05-30T00:00:00"/>
    <d v="2025-06-02T00:00:00"/>
    <s v="2025 05"/>
    <s v="Aguardando Liberação"/>
    <s v="- -"/>
    <s v="-"/>
    <s v="-"/>
    <s v="-"/>
    <m/>
    <n v="0"/>
    <n v="0"/>
    <n v="0"/>
    <n v="0"/>
    <n v="0"/>
  </r>
  <r>
    <s v="MEI"/>
    <s v="MEI45761"/>
    <s v="Pedido 1531"/>
    <d v="2025-04-14T00:00:00"/>
    <d v="2025-04-14T00:00:00"/>
    <s v="PedidoF1465"/>
    <s v="CódRastreio1463"/>
    <n v="1"/>
    <s v="CPF 1490"/>
    <s v="Nome 1490"/>
    <s v="Tel 1490"/>
    <s v="Cep 1490"/>
    <s v="Rua 1490"/>
    <s v="Comp 1490"/>
    <x v="26"/>
    <s v="BG-DHRO-FAEE"/>
    <d v="2025-05-14T00:00:00"/>
    <n v="26.99"/>
    <n v="26.99"/>
    <n v="2.9688999999999997"/>
    <n v="24.02"/>
    <n v="14.44"/>
    <n v="0.43"/>
    <n v="0.39877104377104378"/>
    <n v="0"/>
    <n v="8.7512289562289567"/>
    <n v="4.3756144781144783"/>
    <d v="2025-05-21T00:00:00"/>
    <d v="2025-05-21T00:00:00"/>
    <d v="2025-05-30T00:00:00"/>
    <d v="2025-06-02T00:00:00"/>
    <s v="2025 05"/>
    <s v="Aguardando Liberação"/>
    <s v="2025 04"/>
    <s v="ENTREGUE"/>
    <d v="2025-06-17T00:00:00"/>
    <s v="-"/>
    <m/>
    <n v="0"/>
    <n v="0"/>
    <n v="0"/>
    <n v="0"/>
    <n v="0"/>
  </r>
  <r>
    <s v="MEI"/>
    <s v="MEI45761"/>
    <s v="Pedido 1532"/>
    <d v="2025-04-14T00:00:00"/>
    <d v="2025-04-14T00:00:00"/>
    <s v="PedidoF1466"/>
    <s v="CódRastreio1464"/>
    <n v="1"/>
    <s v="CPF 1491"/>
    <s v="Nome 1491"/>
    <s v="Tel 1491"/>
    <s v="Cep 1491"/>
    <s v="Rua 1491"/>
    <s v="Comp 1491"/>
    <x v="26"/>
    <s v="BG-DHRO-FAEE"/>
    <d v="2025-05-14T00:00:00"/>
    <n v="26.99"/>
    <n v="26.99"/>
    <n v="2.9688999999999997"/>
    <n v="24.02"/>
    <n v="0"/>
    <n v="0.43"/>
    <n v="0.39877104377104378"/>
    <n v="0"/>
    <n v="23.191228956228954"/>
    <n v="11.595614478114477"/>
    <d v="2025-05-21T00:00:00"/>
    <d v="2025-05-21T00:00:00"/>
    <d v="2025-05-30T00:00:00"/>
    <d v="2025-06-02T00:00:00"/>
    <s v="2025 05"/>
    <s v="Aguardando Liberação"/>
    <s v="2025 04"/>
    <s v="ENTREGUE"/>
    <d v="2025-06-05T00:00:00"/>
    <s v="-"/>
    <m/>
    <n v="0"/>
    <n v="0"/>
    <n v="0"/>
    <n v="0"/>
    <n v="0"/>
  </r>
  <r>
    <s v="GO"/>
    <s v="GO45761"/>
    <s v="Pedido 1533"/>
    <d v="2025-04-13T00:00:00"/>
    <d v="2025-04-14T00:00:00"/>
    <s v="PedidoF1467"/>
    <s v="CódRastreio1465"/>
    <n v="1"/>
    <s v="CPF 1492"/>
    <s v="Nome 1492"/>
    <s v="Tel 1492"/>
    <s v="Cep 1492"/>
    <s v="Rua 1492"/>
    <s v="Comp 1492"/>
    <x v="10"/>
    <s v="EP-9PIR-BWXH"/>
    <d v="2025-05-13T00:00:00"/>
    <n v="65.739999999999995"/>
    <n v="65.739999999999995"/>
    <n v="7.8887999999999989"/>
    <n v="57.85"/>
    <n v="37.85"/>
    <n v="0.38"/>
    <n v="0.39877104377104378"/>
    <n v="0"/>
    <n v="19.221228956228956"/>
    <n v="19.221228956228956"/>
    <d v="2025-05-20T00:00:00"/>
    <d v="2025-05-20T00:00:00"/>
    <d v="2025-05-30T00:00:00"/>
    <d v="2025-06-02T00:00:00"/>
    <s v="2025 05"/>
    <s v="Aguardando Liberação"/>
    <s v="2025 04"/>
    <s v="ENTREGUE"/>
    <d v="2025-05-02T00:00:00"/>
    <s v="-"/>
    <m/>
    <n v="0"/>
    <n v="0"/>
    <n v="0"/>
    <n v="0"/>
    <n v="0"/>
  </r>
  <r>
    <s v="GO"/>
    <s v="GO45761"/>
    <s v="Pedido 1534"/>
    <d v="2025-04-14T00:00:00"/>
    <d v="2025-04-14T00:00:00"/>
    <s v="PedidoF1468"/>
    <s v="CódRastreio1466"/>
    <n v="1"/>
    <s v="CPF 1493"/>
    <s v="Nome 1493"/>
    <s v="Tel 1493"/>
    <s v="Cep 1493"/>
    <s v="Rua 1493"/>
    <s v="Comp 1493"/>
    <x v="3"/>
    <s v="MK-OUQW-7L3Z"/>
    <d v="2025-05-14T00:00:00"/>
    <n v="64.89"/>
    <n v="64.89"/>
    <n v="7.7867999999999995"/>
    <n v="57.1"/>
    <n v="22.77"/>
    <n v="0.38"/>
    <n v="0.39877104377104378"/>
    <n v="0"/>
    <n v="33.551228956228954"/>
    <n v="33.551228956228954"/>
    <d v="2025-05-21T00:00:00"/>
    <d v="2025-05-21T00:00:00"/>
    <d v="2025-05-30T00:00:00"/>
    <d v="2025-06-02T00:00:00"/>
    <s v="2025 05"/>
    <s v="Aguardando Liberação"/>
    <s v="2025 04"/>
    <s v="ENTREGUE"/>
    <d v="2025-05-05T00:00:00"/>
    <s v="-"/>
    <m/>
    <n v="0"/>
    <n v="0"/>
    <n v="0"/>
    <n v="0"/>
    <n v="0"/>
  </r>
  <r>
    <s v="GO"/>
    <s v="GO45761"/>
    <s v="Pedido 1535"/>
    <d v="2025-04-14T00:00:00"/>
    <d v="2025-04-14T00:00:00"/>
    <s v="PedidoF1469"/>
    <s v="CódRastreio1467"/>
    <n v="1"/>
    <s v="CPF 1494"/>
    <s v="Nome 1494"/>
    <s v="Tel 1494"/>
    <s v="Cep 1494"/>
    <s v="Rua 1494"/>
    <s v="Comp 1494"/>
    <x v="10"/>
    <s v="EP-9PIR-BWXH"/>
    <d v="2025-05-08T00:00:00"/>
    <n v="65.739999999999995"/>
    <n v="65.739999999999995"/>
    <n v="7.8887999999999989"/>
    <n v="57.85"/>
    <n v="14.85"/>
    <n v="0.38"/>
    <n v="0.39877104377104378"/>
    <n v="0"/>
    <n v="42.221228956228956"/>
    <n v="42.221228956228956"/>
    <d v="2025-05-15T00:00:00"/>
    <d v="2025-05-15T00:00:00"/>
    <d v="2025-05-16T00:00:00"/>
    <d v="2025-05-20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62"/>
    <s v="Pedido 1536"/>
    <d v="2025-04-15T00:00:00"/>
    <d v="2025-04-15T00:00:00"/>
    <s v="PedidoF1470"/>
    <s v="CódRastreio1468"/>
    <n v="1"/>
    <s v="CPF 1495"/>
    <s v="Nome 1495"/>
    <s v="Tel 1495"/>
    <s v="Cep 1495"/>
    <s v="Rua 1495"/>
    <s v="Comp 1495"/>
    <x v="6"/>
    <s v="VI-4RT5-1FFO"/>
    <d v="2025-05-09T00:00:00"/>
    <n v="22.7"/>
    <n v="22.7"/>
    <n v="2.7239999999999998"/>
    <n v="19.98"/>
    <n v="10.1"/>
    <n v="0.2"/>
    <n v="0.39877104377104378"/>
    <n v="0"/>
    <n v="9.2812289562289578"/>
    <n v="4.6406144781144789"/>
    <d v="2025-05-16T00:00:00"/>
    <d v="2025-05-16T00:00:00"/>
    <d v="2025-05-16T00:00:00"/>
    <d v="2025-05-20T00:00:00"/>
    <s v="2025 05"/>
    <s v="Aguardando Liberação"/>
    <s v="2025 04"/>
    <s v="ENTREGUE"/>
    <d v="2025-04-25T00:00:00"/>
    <s v="-"/>
    <m/>
    <n v="0"/>
    <n v="0"/>
    <n v="0"/>
    <n v="0"/>
    <n v="0"/>
  </r>
  <r>
    <s v="MEI"/>
    <s v="MEI45762"/>
    <s v="Pedido 1537"/>
    <d v="2025-04-15T00:00:00"/>
    <d v="2025-04-15T00:00:00"/>
    <s v="PedidoF1471"/>
    <s v="CódRastreio1469"/>
    <n v="1"/>
    <s v="CPF 1496"/>
    <s v="Nome 1496"/>
    <s v="Tel 1496"/>
    <s v="Cep 1496"/>
    <s v="Rua 1496"/>
    <s v="Comp 1496"/>
    <x v="26"/>
    <s v="BG-DHRO-FAEE"/>
    <d v="2025-05-15T00:00:00"/>
    <n v="26.99"/>
    <n v="26.99"/>
    <n v="2.9688999999999997"/>
    <n v="24.02"/>
    <n v="14.84"/>
    <n v="0.2"/>
    <n v="0.39877104377104378"/>
    <n v="0"/>
    <n v="8.5812289562289568"/>
    <n v="4.2906144781144784"/>
    <d v="2025-05-22T00:00:00"/>
    <d v="2025-05-22T00:00:00"/>
    <d v="2025-05-30T00:00:00"/>
    <d v="2025-06-02T00:00:00"/>
    <s v="2025 05"/>
    <s v="Aguardando Liberação"/>
    <s v="2025 04"/>
    <s v="ENTREGUE"/>
    <d v="2025-05-14T00:00:00"/>
    <s v="-"/>
    <m/>
    <n v="0"/>
    <n v="0"/>
    <n v="0"/>
    <n v="0"/>
    <n v="0"/>
  </r>
  <r>
    <s v="MEI"/>
    <s v="MEI-"/>
    <s v="Pedido 1538"/>
    <d v="2025-04-15T00:00:00"/>
    <s v="-"/>
    <s v="-"/>
    <s v="-"/>
    <n v="1"/>
    <s v="CPF 1497"/>
    <s v="Nome 1497"/>
    <s v="Tel 1497"/>
    <s v="Cep 1497"/>
    <s v="Rua 1497"/>
    <s v="Comp 1497"/>
    <x v="26"/>
    <s v="BG-DHRO-FAEE"/>
    <d v="2025-05-09T00:00:00"/>
    <n v="26.99"/>
    <n v="26.99"/>
    <n v="2.9688999999999997"/>
    <n v="24.02"/>
    <n v="0"/>
    <n v="0"/>
    <n v="0"/>
    <n v="0"/>
    <n v="24.02"/>
    <n v="12.01"/>
    <d v="2025-05-16T00:00:00"/>
    <d v="2025-05-16T00:00:00"/>
    <d v="2025-05-16T00:00:00"/>
    <d v="2025-05-20T00:00:00"/>
    <s v="2025 05"/>
    <s v="Aguardando Liberação"/>
    <s v="- -"/>
    <s v="-"/>
    <s v="-"/>
    <s v="-"/>
    <m/>
    <n v="0"/>
    <n v="0"/>
    <n v="0"/>
    <n v="0"/>
    <n v="0"/>
  </r>
  <r>
    <s v="MEI"/>
    <s v="MEI-"/>
    <s v="Pedido 1539"/>
    <d v="2025-04-15T00:00:00"/>
    <s v="-"/>
    <s v="-"/>
    <s v="-"/>
    <n v="1"/>
    <s v="CPF 1498"/>
    <s v="Nome 1498"/>
    <s v="Tel 1498"/>
    <s v="Cep 1498"/>
    <s v="Rua 1498"/>
    <s v="Comp 1498"/>
    <x v="1"/>
    <s v="A4-5W51-K3HF"/>
    <d v="2025-05-22T00:00:00"/>
    <n v="36.950000000000003"/>
    <n v="36.950000000000003"/>
    <n v="4.4340000000000002"/>
    <n v="32.520000000000003"/>
    <n v="0"/>
    <n v="0"/>
    <n v="0"/>
    <n v="0"/>
    <n v="32.520000000000003"/>
    <n v="16.260000000000002"/>
    <d v="2025-05-29T00:00:00"/>
    <d v="2025-05-29T00:00:00"/>
    <d v="2025-05-30T00:00:00"/>
    <d v="2025-06-02T00:00:00"/>
    <s v="2025 05"/>
    <s v="Aguardando Liberação"/>
    <s v="- -"/>
    <s v="-"/>
    <s v="-"/>
    <s v="-"/>
    <m/>
    <n v="0"/>
    <n v="0"/>
    <n v="0"/>
    <n v="0"/>
    <n v="0"/>
  </r>
  <r>
    <s v="MEI"/>
    <s v="MEI45768"/>
    <s v="Pedido 1540"/>
    <d v="2025-04-16T00:00:00"/>
    <d v="2025-04-21T00:00:00"/>
    <s v="PedidoF1472"/>
    <s v="CódRastreio1470"/>
    <n v="1"/>
    <s v="CPF 1499"/>
    <s v="Nome 1499"/>
    <s v="Tel 1499"/>
    <s v="Cep 1499"/>
    <s v="Rua 1499"/>
    <s v="Comp 1499"/>
    <x v="6"/>
    <s v="VI-4RT5-1FFO"/>
    <d v="2025-05-09T00:00:00"/>
    <n v="22.7"/>
    <n v="22.7"/>
    <n v="2.7239999999999998"/>
    <n v="19.98"/>
    <n v="11.92"/>
    <n v="1.17"/>
    <n v="0.39877104377104378"/>
    <n v="0"/>
    <n v="6.4912289562289569"/>
    <n v="3.2456144781144785"/>
    <d v="2025-05-16T00:00:00"/>
    <d v="2025-05-16T00:00:00"/>
    <d v="2025-05-16T00:00:00"/>
    <d v="2025-05-20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69"/>
    <s v="Pedido 1541"/>
    <d v="2025-04-16T00:00:00"/>
    <d v="2025-04-22T00:00:00"/>
    <s v="PedidoF1473"/>
    <s v="CódRastreio1471"/>
    <n v="1"/>
    <s v="CPF 1500"/>
    <s v="Nome 1500"/>
    <s v="Tel 1500"/>
    <s v="Cep 1500"/>
    <s v="Rua 1500"/>
    <s v="Comp 1500"/>
    <x v="26"/>
    <s v="BG-DHRO-FAEE"/>
    <d v="2025-05-16T00:00:00"/>
    <n v="26.99"/>
    <n v="26.99"/>
    <n v="2.9688999999999997"/>
    <n v="24.02"/>
    <n v="16.5"/>
    <n v="0.18"/>
    <n v="0.39877104377104378"/>
    <n v="0"/>
    <n v="6.9412289562289544"/>
    <n v="3.4706144781144772"/>
    <d v="2025-05-23T00:00:00"/>
    <d v="2025-05-23T00:00:00"/>
    <d v="2025-05-30T00:00:00"/>
    <d v="2025-06-02T00:00:00"/>
    <s v="2025 05"/>
    <s v="Aguardando Liberação"/>
    <s v="2025 04"/>
    <s v="ENTREGUE"/>
    <d v="2025-05-13T00:00:00"/>
    <s v="-"/>
    <m/>
    <n v="0"/>
    <n v="0"/>
    <n v="0"/>
    <n v="0"/>
    <n v="0"/>
  </r>
  <r>
    <s v="MEI"/>
    <s v="MEI45769"/>
    <s v="Pedido 1542"/>
    <d v="2025-04-16T00:00:00"/>
    <d v="2025-04-22T00:00:00"/>
    <s v="PedidoF1474"/>
    <s v="CódRastreio1472"/>
    <n v="1"/>
    <s v="CPF 1501"/>
    <s v="Nome 1501"/>
    <s v="Tel 1501"/>
    <s v="Cep 1501"/>
    <s v="Rua 1501"/>
    <s v="Comp 1501"/>
    <x v="26"/>
    <s v="BG-DHRO-FAEE"/>
    <d v="2025-05-16T00:00:00"/>
    <n v="26.99"/>
    <n v="26.99"/>
    <n v="2.9688999999999997"/>
    <n v="24.02"/>
    <n v="0"/>
    <n v="0.18"/>
    <n v="0.39877104377104378"/>
    <n v="0"/>
    <n v="23.441228956228954"/>
    <n v="11.720614478114477"/>
    <d v="2025-05-23T00:00:00"/>
    <d v="2025-05-23T00:00:00"/>
    <d v="2025-05-30T00:00:00"/>
    <d v="2025-06-02T00:00:00"/>
    <s v="2025 05"/>
    <s v="Aguardando Liberação"/>
    <s v="2025 04"/>
    <s v="ENTREGUE"/>
    <d v="2025-06-17T00:00:00"/>
    <s v="-"/>
    <m/>
    <n v="0"/>
    <n v="0"/>
    <n v="0"/>
    <n v="0"/>
    <n v="0"/>
  </r>
  <r>
    <s v="MEI"/>
    <s v="MEI45768"/>
    <s v="Pedido 1543"/>
    <d v="2025-04-16T00:00:00"/>
    <d v="2025-04-21T00:00:00"/>
    <s v="PedidoF1475"/>
    <s v="CódRastreio1473"/>
    <n v="1"/>
    <s v="CPF 1502"/>
    <s v="Nome 1502"/>
    <s v="Tel 1502"/>
    <s v="Cep 1502"/>
    <s v="Rua 1502"/>
    <s v="Comp 1502"/>
    <x v="3"/>
    <s v="WR-82Y0-OV27"/>
    <d v="2025-05-16T00:00:00"/>
    <n v="64.89"/>
    <n v="64.89"/>
    <n v="7.7867999999999995"/>
    <n v="57.1"/>
    <n v="22.62"/>
    <n v="1.17"/>
    <n v="0.39877104377104378"/>
    <n v="0"/>
    <n v="32.911228956228953"/>
    <n v="16.455614478114477"/>
    <d v="2025-05-23T00:00:00"/>
    <d v="2025-05-23T00:00:00"/>
    <d v="2025-05-30T00:00:00"/>
    <d v="2025-06-02T00:00:00"/>
    <s v="2025 05"/>
    <s v="Aguardando Liberação"/>
    <s v="2025 04"/>
    <s v="ENTREGUE"/>
    <d v="2025-05-09T00:00:00"/>
    <s v="-"/>
    <m/>
    <n v="0"/>
    <n v="0"/>
    <n v="0"/>
    <n v="0"/>
    <n v="0"/>
  </r>
  <r>
    <s v="MEI"/>
    <s v="MEI45769"/>
    <s v="Pedido 1544"/>
    <d v="2025-04-16T00:00:00"/>
    <d v="2025-04-22T00:00:00"/>
    <s v="PedidoF1476"/>
    <s v="CódRastreio1474"/>
    <n v="1"/>
    <s v="CPF 1503"/>
    <s v="Nome 1503"/>
    <s v="Tel 1503"/>
    <s v="Cep 1503"/>
    <s v="Rua 1503"/>
    <s v="Comp 1503"/>
    <x v="26"/>
    <s v="BG-DHRO-FAEE"/>
    <d v="2025-05-16T00:00:00"/>
    <n v="26.99"/>
    <n v="26.99"/>
    <n v="2.9688999999999997"/>
    <n v="24.02"/>
    <n v="16.5"/>
    <n v="0.18"/>
    <n v="0.39877104377104378"/>
    <n v="0"/>
    <n v="6.9412289562289544"/>
    <n v="3.4706144781144772"/>
    <d v="2025-05-23T00:00:00"/>
    <d v="2025-05-23T00:00:00"/>
    <d v="2025-05-30T00:00:00"/>
    <d v="2025-06-02T00:00:00"/>
    <s v="2025 05"/>
    <s v="Aguardando Liberação"/>
    <s v="2025 04"/>
    <s v="ENTREGUE"/>
    <d v="2025-05-27T00:00:00"/>
    <s v="-"/>
    <m/>
    <n v="0"/>
    <n v="0"/>
    <n v="0"/>
    <n v="0"/>
    <n v="0"/>
  </r>
  <r>
    <s v="GO"/>
    <s v="GO45768"/>
    <s v="Pedido 1545"/>
    <d v="2025-04-16T00:00:00"/>
    <d v="2025-04-21T00:00:00"/>
    <s v="PedidoF1477"/>
    <s v="CódRastreio1475"/>
    <n v="1"/>
    <s v="CPF 1504"/>
    <s v="Nome 1504"/>
    <s v="Tel 1504"/>
    <s v="Cep 1504"/>
    <s v="Rua 1504"/>
    <s v="Comp 1504"/>
    <x v="12"/>
    <s v="H8-IH9B-M87L"/>
    <d v="2025-05-22T00:00:00"/>
    <n v="64.89"/>
    <n v="64.89"/>
    <n v="7.7867999999999995"/>
    <n v="57.1"/>
    <n v="22.11"/>
    <n v="0.25"/>
    <n v="0.39877104377104378"/>
    <n v="0"/>
    <n v="34.34122895622896"/>
    <n v="34.34122895622896"/>
    <d v="2025-05-29T00:00:00"/>
    <d v="2025-05-29T00:00:00"/>
    <d v="2025-05-30T00:00:00"/>
    <d v="2025-06-02T00:00:00"/>
    <s v="2025 05"/>
    <s v="Aguardando Liberação"/>
    <s v="2025 04"/>
    <s v="ENTREGUE"/>
    <d v="2025-05-26T00:00:00"/>
    <s v="-"/>
    <m/>
    <n v="0"/>
    <n v="0"/>
    <n v="0"/>
    <n v="0"/>
    <n v="0"/>
  </r>
  <r>
    <s v="MEI"/>
    <s v="MEI45771"/>
    <s v="Pedido 1546"/>
    <d v="2025-04-16T00:00:00"/>
    <d v="2025-04-24T00:00:00"/>
    <s v="PedidoF1478"/>
    <s v="CódRastreio1476"/>
    <n v="1"/>
    <s v="CPF 1505"/>
    <s v="Nome 1505"/>
    <s v="Tel 1505"/>
    <s v="Cep 1505"/>
    <s v="Rua 1505"/>
    <s v="Comp 1505"/>
    <x v="26"/>
    <s v="BG-DHRO-FAEE"/>
    <d v="2025-05-16T00:00:00"/>
    <n v="26.99"/>
    <n v="26.99"/>
    <n v="2.9688999999999997"/>
    <n v="24.02"/>
    <n v="10.210000000000001"/>
    <n v="0.28999999999999998"/>
    <n v="0.39877104377104378"/>
    <n v="0"/>
    <n v="13.121228956228956"/>
    <n v="6.560614478114478"/>
    <d v="2025-05-23T00:00:00"/>
    <d v="2025-05-23T00:00:00"/>
    <d v="2025-05-30T00:00:00"/>
    <d v="2025-06-02T00:00:00"/>
    <s v="2025 05"/>
    <s v="Aguardando Liberação"/>
    <s v="2025 04"/>
    <s v="ENTREGUE"/>
    <d v="2025-05-13T00:00:00"/>
    <s v="-"/>
    <m/>
    <n v="0"/>
    <n v="0"/>
    <n v="0"/>
    <n v="0"/>
    <n v="0"/>
  </r>
  <r>
    <s v="MEI"/>
    <s v="MEI45771"/>
    <s v="Pedido 1547"/>
    <d v="2025-04-16T00:00:00"/>
    <d v="2025-04-24T00:00:00"/>
    <s v="PedidoF1479"/>
    <s v="CódRastreio1477"/>
    <n v="1"/>
    <s v="CPF 1505"/>
    <s v="Nome 1505"/>
    <s v="Tel 1505"/>
    <s v="Cep 1505"/>
    <s v="Rua 1505"/>
    <s v="Comp 1505"/>
    <x v="26"/>
    <s v="BG-DHRO-FAEE"/>
    <d v="2025-05-16T00:00:00"/>
    <n v="26.99"/>
    <n v="26.99"/>
    <n v="2.9688999999999997"/>
    <n v="24.02"/>
    <n v="16.149999999999999"/>
    <n v="0.28999999999999998"/>
    <n v="0.39877104377104378"/>
    <n v="0"/>
    <n v="7.1812289562289564"/>
    <n v="3.5906144781144782"/>
    <d v="2025-05-23T00:00:00"/>
    <d v="2025-05-23T00:00:00"/>
    <d v="2025-05-30T00:00:00"/>
    <d v="2025-06-02T00:00:00"/>
    <s v="2025 05"/>
    <s v="Aguardando Liberação"/>
    <s v="2025 04"/>
    <s v="ENTREGUE"/>
    <d v="2025-05-12T00:00:00"/>
    <s v="-"/>
    <m/>
    <n v="0"/>
    <n v="0"/>
    <n v="0"/>
    <n v="0"/>
    <n v="0"/>
  </r>
  <r>
    <s v="GO"/>
    <s v="GO-"/>
    <s v="Pedido 1548"/>
    <d v="2025-04-17T00:00:00"/>
    <s v="-"/>
    <s v="-"/>
    <s v="-"/>
    <n v="1"/>
    <s v="CPF 1507"/>
    <s v="Nome 1507"/>
    <s v="Tel 1507"/>
    <s v="Cep 1507"/>
    <s v="Rua 1507"/>
    <s v="Comp 1507"/>
    <x v="10"/>
    <s v="EP-9PIR-BWXH"/>
    <d v="2025-05-24T00:00:00"/>
    <n v="65.739999999999995"/>
    <n v="65.739999999999995"/>
    <n v="7.8887999999999989"/>
    <n v="57.85"/>
    <n v="0"/>
    <n v="0"/>
    <n v="0"/>
    <n v="0"/>
    <n v="57.85"/>
    <n v="57.85"/>
    <d v="2025-05-31T00:00:00"/>
    <d v="2025-05-31T00:00:00"/>
    <d v="2025-06-16T00:00:00"/>
    <d v="2025-06-20T00:00:00"/>
    <s v="2025 05"/>
    <s v="Aguardando Liberação"/>
    <s v="- -"/>
    <s v="-"/>
    <s v="-"/>
    <s v="-"/>
    <m/>
    <n v="0"/>
    <n v="0"/>
    <n v="0"/>
    <n v="0"/>
    <n v="0"/>
  </r>
  <r>
    <s v="GO"/>
    <s v="GO45768"/>
    <s v="Pedido 1549"/>
    <d v="2025-04-17T00:00:00"/>
    <d v="2025-04-21T00:00:00"/>
    <s v="PedidoF1480"/>
    <s v="CódRastreio1478"/>
    <n v="1"/>
    <s v="CPF 1508"/>
    <s v="Nome 1508"/>
    <s v="Tel 1508"/>
    <s v="Cep 1508"/>
    <s v="Rua 1508"/>
    <s v="Comp 1508"/>
    <x v="30"/>
    <s v="33-SVS5-1AWY"/>
    <d v="2025-05-13T00:00:00"/>
    <n v="67.599999999999994"/>
    <n v="67.599999999999994"/>
    <n v="8.1119999999999983"/>
    <n v="59.49"/>
    <n v="44.03"/>
    <n v="0.25"/>
    <n v="0.39877104377104378"/>
    <n v="0"/>
    <n v="14.811228956228959"/>
    <n v="14.811228956228959"/>
    <d v="2025-05-20T00:00:00"/>
    <d v="2025-05-20T00:00:00"/>
    <d v="2025-05-30T00:00:00"/>
    <d v="2025-06-02T00:00:00"/>
    <s v="2025 05"/>
    <s v="Aguardando Liberação"/>
    <s v="2025 04"/>
    <s v="ENTREGUE"/>
    <d v="2025-04-29T00:00:00"/>
    <s v="-"/>
    <m/>
    <n v="0"/>
    <n v="0"/>
    <n v="0"/>
    <n v="0"/>
    <n v="0"/>
  </r>
  <r>
    <s v="GO"/>
    <s v="GO45768"/>
    <s v="Pedido 1550"/>
    <d v="2025-04-17T00:00:00"/>
    <d v="2025-04-21T00:00:00"/>
    <s v="PedidoF1481"/>
    <s v="CódRastreio1479"/>
    <n v="1"/>
    <s v="CPF 1509"/>
    <s v="Nome 1509"/>
    <s v="Tel 1509"/>
    <s v="Cep 1509"/>
    <s v="Rua 1509"/>
    <s v="Comp 1509"/>
    <x v="3"/>
    <s v="MK-OUQW-7L3Z"/>
    <d v="2025-05-13T00:00:00"/>
    <n v="64.89"/>
    <n v="64.89"/>
    <n v="7.7867999999999995"/>
    <n v="57.1"/>
    <n v="21.77"/>
    <n v="0.25"/>
    <n v="0.39877104377104378"/>
    <n v="0"/>
    <n v="34.681228956228956"/>
    <n v="34.681228956228956"/>
    <d v="2025-05-20T00:00:00"/>
    <d v="2025-05-20T00:00:00"/>
    <d v="2025-05-30T00:00:00"/>
    <d v="2025-06-02T00:00:00"/>
    <s v="2025 05"/>
    <s v="Aguardando Liberação"/>
    <s v="2025 04"/>
    <s v="ENTREGUE"/>
    <d v="2025-05-13T00:00:00"/>
    <s v="-"/>
    <m/>
    <n v="0"/>
    <n v="0"/>
    <n v="0"/>
    <n v="0"/>
    <n v="0"/>
  </r>
  <r>
    <s v="MEI"/>
    <s v="MEI45768"/>
    <s v="Pedido 1551"/>
    <d v="2025-04-21T00:00:00"/>
    <d v="2025-04-21T00:00:00"/>
    <s v="PedidoF1482"/>
    <s v="CódRastreio1480"/>
    <n v="1"/>
    <s v="CPF 1510"/>
    <s v="Nome 1510"/>
    <s v="Tel 1510"/>
    <s v="Cep 1510"/>
    <s v="Rua 1510"/>
    <s v="Comp 1510"/>
    <x v="3"/>
    <s v="WR-82Y0-OV27"/>
    <d v="2025-05-24T00:00:00"/>
    <n v="64.89"/>
    <n v="64.89"/>
    <n v="7.7867999999999995"/>
    <n v="57.1"/>
    <n v="0"/>
    <n v="1.17"/>
    <n v="0.39877104377104378"/>
    <n v="0"/>
    <n v="55.531228956228958"/>
    <n v="27.765614478114479"/>
    <d v="2025-05-31T00:00:00"/>
    <d v="2025-05-31T00:00:00"/>
    <d v="2025-06-16T00:00:00"/>
    <d v="2025-06-20T00:00:00"/>
    <s v="2025 05"/>
    <s v="Aguardando Liberação"/>
    <s v="2025 04"/>
    <s v="ENTREGUE"/>
    <d v="2025-06-23T10:04:30"/>
    <s v="-"/>
    <m/>
    <n v="0"/>
    <n v="0"/>
    <n v="0"/>
    <n v="0"/>
    <n v="0"/>
  </r>
  <r>
    <s v="MEI"/>
    <s v="MEI45769"/>
    <s v="Pedido 1552"/>
    <d v="2025-04-21T00:00:00"/>
    <d v="2025-04-22T00:00:00"/>
    <s v="PedidoF1483"/>
    <s v="CódRastreio1481"/>
    <n v="1"/>
    <s v="CPF 1511"/>
    <s v="Nome 1511"/>
    <s v="Tel 1511"/>
    <s v="Cep 1511"/>
    <s v="Rua 1511"/>
    <s v="Comp 1511"/>
    <x v="26"/>
    <s v="BG-DHRO-FAEE"/>
    <d v="2025-05-13T00:00:00"/>
    <n v="26.99"/>
    <n v="26.99"/>
    <n v="2.9688999999999997"/>
    <n v="24.02"/>
    <n v="10.19"/>
    <n v="0.18"/>
    <n v="0.39877104377104378"/>
    <n v="0"/>
    <n v="13.251228956228957"/>
    <n v="6.6256144781144783"/>
    <d v="2025-05-20T00:00:00"/>
    <d v="2025-05-20T00:00:00"/>
    <d v="2025-05-30T00:00:00"/>
    <d v="2025-06-02T00:00:00"/>
    <s v="2025 05"/>
    <s v="Aguardando Liberação"/>
    <s v="2025 04"/>
    <s v="ENTREGUE"/>
    <d v="2025-05-26T00:00:00"/>
    <s v="-"/>
    <m/>
    <n v="0"/>
    <n v="0"/>
    <n v="0"/>
    <n v="0"/>
    <n v="0"/>
  </r>
  <r>
    <s v="BV"/>
    <s v="BV45768"/>
    <s v="Pedido 1553"/>
    <d v="2025-04-19T00:00:00"/>
    <d v="2025-04-21T00:00:00"/>
    <s v="PedidoF1484"/>
    <s v="CódRastreio1482"/>
    <n v="1"/>
    <s v="CPF 1512"/>
    <s v="Nome 1512"/>
    <s v="Tel 1512"/>
    <s v="Cep 1512"/>
    <s v="Rua 1512"/>
    <s v="Comp 1512"/>
    <x v="6"/>
    <s v="KN-TBQL-K2MM"/>
    <d v="2025-05-13T00:00:00"/>
    <n v="22.7"/>
    <n v="22.7"/>
    <n v="2.7239999999999998"/>
    <n v="19.98"/>
    <n v="11.92"/>
    <n v="0.25"/>
    <n v="0.39877104377104378"/>
    <n v="0"/>
    <n v="7.4112289562289568"/>
    <n v="3.7056144781144784"/>
    <d v="2025-05-20T00:00:00"/>
    <d v="2025-05-20T00:00:00"/>
    <d v="2025-05-30T00:00:00"/>
    <d v="2025-06-02T00:00:00"/>
    <s v="2025 05"/>
    <s v="Aguardando Liberação"/>
    <s v="2025 04"/>
    <s v="ENTREGUE"/>
    <d v="2025-04-30T00:00:00"/>
    <s v="-"/>
    <m/>
    <n v="0"/>
    <n v="0"/>
    <n v="0"/>
    <n v="0"/>
    <n v="0"/>
  </r>
  <r>
    <s v="BV"/>
    <s v="BV45768"/>
    <s v="Pedido 1554"/>
    <d v="2025-04-20T00:00:00"/>
    <d v="2025-04-21T00:00:00"/>
    <s v="PedidoF1485"/>
    <s v="CódRastreio1483"/>
    <n v="1"/>
    <s v="CPF 1513"/>
    <s v="Nome 1513"/>
    <s v="Tel 1513"/>
    <s v="Cep 1513"/>
    <s v="Rua 1513"/>
    <s v="Comp 1513"/>
    <x v="15"/>
    <s v="HF-SI0F-XC7S"/>
    <d v="2025-05-17T00:00:00"/>
    <n v="51"/>
    <n v="51"/>
    <n v="5.61"/>
    <n v="45.39"/>
    <n v="38.450000000000003"/>
    <n v="0.25"/>
    <n v="0.39877104377104378"/>
    <n v="0"/>
    <n v="6.2912289562289558"/>
    <n v="3.1456144781144779"/>
    <d v="2025-05-24T00:00:00"/>
    <d v="2025-05-24T00:00:00"/>
    <d v="2025-05-30T00:00:00"/>
    <d v="2025-06-02T00:00:00"/>
    <s v="2025 05"/>
    <s v="Aguardando Liberação"/>
    <s v="2025 04"/>
    <s v="ENTREGUE"/>
    <d v="2025-06-18T00:00:00"/>
    <s v="-"/>
    <m/>
    <n v="0"/>
    <n v="0"/>
    <n v="0"/>
    <n v="0"/>
    <n v="0"/>
  </r>
  <r>
    <s v="GO"/>
    <s v="GO45768"/>
    <s v="Pedido 1555"/>
    <d v="2025-04-19T00:00:00"/>
    <d v="2025-04-21T00:00:00"/>
    <s v="PedidoF1486"/>
    <s v="CódRastreio1484"/>
    <n v="1"/>
    <s v="CPF 1514"/>
    <s v="Nome 1514"/>
    <s v="Tel 1514"/>
    <s v="Cep 1514"/>
    <s v="Rua 1514"/>
    <s v="Comp 1514"/>
    <x v="10"/>
    <s v="EP-9PIR-BWXH"/>
    <d v="2025-05-13T00:00:00"/>
    <n v="65.739999999999995"/>
    <n v="65.739999999999995"/>
    <n v="7.8887999999999989"/>
    <n v="57.85"/>
    <n v="21.89"/>
    <n v="0.25"/>
    <n v="0.39877104377104378"/>
    <n v="0"/>
    <n v="35.311228956228959"/>
    <n v="35.311228956228959"/>
    <d v="2025-05-20T00:00:00"/>
    <d v="2025-05-20T00:00:00"/>
    <d v="2025-05-30T00:00:00"/>
    <d v="2025-06-02T00:00:00"/>
    <s v="2025 05"/>
    <s v="Aguardando Liberação"/>
    <s v="2025 04"/>
    <s v="ENTREGUE"/>
    <d v="2025-05-24T00:00:00"/>
    <s v="-"/>
    <m/>
    <n v="0"/>
    <n v="0"/>
    <n v="0"/>
    <n v="0"/>
    <n v="0"/>
  </r>
  <r>
    <s v="GO"/>
    <s v="GO45768"/>
    <s v="Pedido 1556"/>
    <d v="2025-04-21T00:00:00"/>
    <d v="2025-04-21T00:00:00"/>
    <s v="PedidoF1487"/>
    <s v="CódRastreio1485"/>
    <n v="1"/>
    <s v="CPF 1515"/>
    <s v="Nome 1515"/>
    <s v="Tel 1515"/>
    <s v="Cep 1515"/>
    <s v="Rua 1515"/>
    <s v="Comp 1515"/>
    <x v="3"/>
    <s v="MK-OUQW-7L3Z"/>
    <d v="2025-05-24T00:00:00"/>
    <n v="64.89"/>
    <n v="64.89"/>
    <n v="7.7867999999999995"/>
    <n v="57.1"/>
    <n v="0"/>
    <n v="0.25"/>
    <n v="0.39877104377104378"/>
    <n v="0"/>
    <n v="56.45122895622896"/>
    <n v="56.45122895622896"/>
    <d v="2025-05-31T00:00:00"/>
    <d v="2025-05-31T00:00:00"/>
    <d v="2025-06-16T00:00:00"/>
    <d v="2025-06-20T00:00:00"/>
    <s v="2025 05"/>
    <s v="Aguardando Liberação"/>
    <s v="2025 04"/>
    <s v="ENTREGUE"/>
    <d v="2025-06-10T00:00:00"/>
    <s v="-"/>
    <m/>
    <n v="0"/>
    <n v="0"/>
    <n v="0"/>
    <n v="0"/>
    <n v="0"/>
  </r>
  <r>
    <s v="GO"/>
    <s v="GO45768"/>
    <s v="Pedido 1557"/>
    <d v="2025-04-21T00:00:00"/>
    <d v="2025-04-21T00:00:00"/>
    <s v="PedidoF1488"/>
    <s v="CódRastreio1486"/>
    <n v="1"/>
    <s v="CPF 1516"/>
    <s v="Nome 1516"/>
    <s v="Tel 1516"/>
    <s v="Cep 1516"/>
    <s v="Rua 1516"/>
    <s v="Comp 1516"/>
    <x v="30"/>
    <s v="33-SVS5-1AWY"/>
    <d v="2025-05-24T00:00:00"/>
    <n v="67.599999999999994"/>
    <n v="67.599999999999994"/>
    <n v="8.1119999999999983"/>
    <n v="59.49"/>
    <n v="0"/>
    <n v="0.25"/>
    <n v="0.39877104377104378"/>
    <n v="0"/>
    <n v="58.84122895622896"/>
    <n v="58.84122895622896"/>
    <d v="2025-05-31T00:00:00"/>
    <d v="2025-05-31T00:00:00"/>
    <d v="2025-06-16T00:00:00"/>
    <d v="2025-06-20T00:00:00"/>
    <s v="2025 05"/>
    <s v="Aguardando Liberação"/>
    <s v="2025 04"/>
    <s v="ENTREGUE"/>
    <d v="2025-06-03T00:00:00"/>
    <s v="-"/>
    <m/>
    <n v="0"/>
    <n v="0"/>
    <n v="0"/>
    <n v="0"/>
    <n v="0"/>
  </r>
  <r>
    <s v="MEI"/>
    <s v="MEI45769"/>
    <s v="Pedido 1558"/>
    <d v="2025-04-21T00:00:00"/>
    <d v="2025-04-22T00:00:00"/>
    <s v="PedidoF1489"/>
    <s v="CódRastreio1487"/>
    <n v="1"/>
    <s v="CPF 1517"/>
    <s v="Nome 1517"/>
    <s v="Tel 1517"/>
    <s v="Cep 1517"/>
    <s v="Rua 1517"/>
    <s v="Comp 1517"/>
    <x v="26"/>
    <s v="BG-DHRO-FAEE"/>
    <d v="2025-05-17T00:00:00"/>
    <n v="26.99"/>
    <n v="26.99"/>
    <n v="2.9688999999999997"/>
    <n v="24.02"/>
    <n v="0"/>
    <n v="0.18"/>
    <n v="0.39877104377104378"/>
    <n v="0"/>
    <n v="23.441228956228954"/>
    <n v="11.720614478114477"/>
    <d v="2025-05-24T00:00:00"/>
    <d v="2025-05-24T00:00:00"/>
    <d v="2025-05-30T00:00:00"/>
    <d v="2025-06-02T00:00:00"/>
    <s v="2025 05"/>
    <s v="Aguardando Liberação"/>
    <s v="2025 04"/>
    <s v="ENTREGUE"/>
    <d v="2025-05-29T00:00:00"/>
    <s v="-"/>
    <m/>
    <n v="0"/>
    <n v="0"/>
    <n v="0"/>
    <n v="0"/>
    <n v="0"/>
  </r>
  <r>
    <s v="MEI"/>
    <s v="MEI45769"/>
    <s v="Pedido 1559"/>
    <d v="2025-04-22T00:00:00"/>
    <d v="2025-04-22T00:00:00"/>
    <s v="PedidoF1490"/>
    <s v="CódRastreio1488"/>
    <n v="1"/>
    <s v="CPF 1518"/>
    <s v="Nome 1518"/>
    <s v="Tel 1518"/>
    <s v="Cep 1518"/>
    <s v="Rua 1518"/>
    <s v="Comp 1518"/>
    <x v="26"/>
    <s v="BG-DHRO-FAEE"/>
    <d v="2025-05-17T00:00:00"/>
    <n v="26.99"/>
    <n v="26.99"/>
    <n v="2.9688999999999997"/>
    <n v="24.02"/>
    <n v="10.55"/>
    <n v="0.18"/>
    <n v="0.39877104377104378"/>
    <n v="0"/>
    <n v="12.891228956228955"/>
    <n v="6.4456144781144777"/>
    <d v="2025-05-24T00:00:00"/>
    <d v="2025-05-24T00:00:00"/>
    <d v="2025-05-30T00:00:00"/>
    <d v="2025-06-02T00:00:00"/>
    <s v="2025 05"/>
    <s v="Aguardando Liberação"/>
    <s v="2025 04"/>
    <s v="ENTREGUE"/>
    <d v="2025-05-28T00:00:00"/>
    <s v="-"/>
    <m/>
    <n v="0"/>
    <n v="0"/>
    <n v="0"/>
    <n v="0"/>
    <n v="0"/>
  </r>
  <r>
    <s v="MEI"/>
    <s v="MEI45770"/>
    <s v="Pedido 1560"/>
    <d v="2025-04-22T00:00:00"/>
    <d v="2025-04-23T00:00:00"/>
    <s v="PedidoF1491"/>
    <s v="CódRastreio1489"/>
    <n v="1"/>
    <s v="CPF 1519"/>
    <s v="Nome 1519"/>
    <s v="Tel 1519"/>
    <s v="Cep 1519"/>
    <s v="Rua 1519"/>
    <s v="Comp 1519"/>
    <x v="6"/>
    <s v="VI-4RT5-1FFO"/>
    <d v="2025-05-20T00:00:00"/>
    <n v="22.7"/>
    <n v="22.7"/>
    <n v="2.7239999999999998"/>
    <n v="19.98"/>
    <n v="19.57"/>
    <n v="0.12"/>
    <n v="0.39877104377104378"/>
    <n v="0"/>
    <n v="-0.10877104377104629"/>
    <n v="-5.4385521885523147E-2"/>
    <d v="2025-05-27T00:00:00"/>
    <d v="2025-05-27T00:00:00"/>
    <d v="2025-05-30T00:00:00"/>
    <d v="2025-06-02T00:00:00"/>
    <s v="2025 05"/>
    <s v="Aguardando Liberação"/>
    <s v="2025 04"/>
    <s v="ENTREGUE"/>
    <d v="2025-04-30T00:00:00"/>
    <s v="-"/>
    <m/>
    <n v="0"/>
    <n v="0"/>
    <n v="0"/>
    <n v="0"/>
    <n v="0"/>
  </r>
  <r>
    <s v="MEI"/>
    <s v="MEI45770"/>
    <s v="Pedido 1561"/>
    <d v="2025-04-22T00:00:00"/>
    <d v="2025-04-23T00:00:00"/>
    <s v="PedidoF1492"/>
    <s v="CódRastreio1490"/>
    <n v="1"/>
    <s v="CPF 1520"/>
    <s v="Nome 1520"/>
    <s v="Tel 1520"/>
    <s v="Cep 1520"/>
    <s v="Rua 1520"/>
    <s v="Comp 1520"/>
    <x v="15"/>
    <s v="71-KHMZ-MLQW"/>
    <d v="2025-05-20T00:00:00"/>
    <n v="52.99"/>
    <n v="52.99"/>
    <n v="5.8289"/>
    <n v="47.16"/>
    <n v="39.26"/>
    <n v="0.12"/>
    <n v="0.39877104377104378"/>
    <n v="0"/>
    <n v="7.3812289562289592"/>
    <n v="3.6906144781144796"/>
    <d v="2025-05-27T00:00:00"/>
    <d v="2025-05-27T00:00:00"/>
    <d v="2025-05-30T00:00:00"/>
    <d v="2025-06-02T00:00:00"/>
    <s v="2025 05"/>
    <s v="Aguardando Liberação"/>
    <s v="2025 04"/>
    <s v="ENTREGUE"/>
    <d v="2025-05-15T00:00:00"/>
    <s v="-"/>
    <m/>
    <n v="0"/>
    <n v="0"/>
    <n v="0"/>
    <n v="0"/>
    <n v="0"/>
  </r>
  <r>
    <s v="MEI"/>
    <s v="MEI45770"/>
    <s v="Pedido 1562"/>
    <d v="2025-04-22T00:00:00"/>
    <d v="2025-04-23T00:00:00"/>
    <s v="PedidoF1493"/>
    <s v="CódRastreio1491"/>
    <n v="1"/>
    <s v="CPF 1521"/>
    <s v="Nome 1521"/>
    <s v="Tel 1521"/>
    <s v="Cep 1521"/>
    <s v="Rua 1521"/>
    <s v="Comp 1521"/>
    <x v="26"/>
    <s v="BG-DHRO-FAEE"/>
    <d v="2025-05-20T00:00:00"/>
    <n v="26.99"/>
    <n v="26.99"/>
    <n v="2.9688999999999997"/>
    <n v="24.02"/>
    <n v="16.190000000000001"/>
    <n v="0.12"/>
    <n v="0.39877104377104378"/>
    <n v="0"/>
    <n v="7.3112289562289519"/>
    <n v="3.6556144781144759"/>
    <d v="2025-05-27T00:00:00"/>
    <d v="2025-05-27T00:00:00"/>
    <d v="2025-05-30T00:00:00"/>
    <d v="2025-06-02T00:00:00"/>
    <s v="2025 05"/>
    <s v="Aguardando Liberação"/>
    <s v="2025 04"/>
    <s v="ENTREGUE"/>
    <d v="2025-06-04T00:00:00"/>
    <s v="-"/>
    <m/>
    <n v="0"/>
    <n v="0"/>
    <n v="0"/>
    <n v="0"/>
    <n v="0"/>
  </r>
  <r>
    <s v="MEI"/>
    <s v="MEI45770"/>
    <s v="Pedido 1563"/>
    <d v="2025-04-22T00:00:00"/>
    <d v="2025-04-23T00:00:00"/>
    <s v="PedidoF1494"/>
    <s v="CódRastreio1492"/>
    <n v="1"/>
    <s v="CPF 1522"/>
    <s v="Nome 1522"/>
    <s v="Tel 1522"/>
    <s v="Cep 1522"/>
    <s v="Rua 1522"/>
    <s v="Comp 1522"/>
    <x v="8"/>
    <s v="LF-R6MC-WKWP"/>
    <d v="2025-05-20T00:00:00"/>
    <n v="32.67"/>
    <n v="32.67"/>
    <n v="3.9203999999999999"/>
    <n v="28.75"/>
    <n v="17.3"/>
    <n v="0.12"/>
    <n v="0.39877104377104378"/>
    <n v="0"/>
    <n v="10.931228956228953"/>
    <n v="5.4656144781144764"/>
    <d v="2025-05-27T00:00:00"/>
    <d v="2025-05-27T00:00:00"/>
    <d v="2025-05-30T00:00:00"/>
    <d v="2025-06-02T00:00:00"/>
    <s v="2025 05"/>
    <s v="Aguardando Liberação"/>
    <s v="2025 04"/>
    <s v="ENTREGUE"/>
    <d v="2025-05-06T00:00:00"/>
    <s v="-"/>
    <m/>
    <n v="0"/>
    <n v="0"/>
    <n v="0"/>
    <n v="0"/>
    <n v="0"/>
  </r>
  <r>
    <s v="BV"/>
    <s v="BV45769"/>
    <s v="Pedido 1564"/>
    <d v="2025-04-22T00:00:00"/>
    <d v="2025-04-22T00:00:00"/>
    <s v="PedidoF1495"/>
    <s v="CódRastreio1493"/>
    <n v="1"/>
    <s v="CPF 1523"/>
    <s v="Nome 1523"/>
    <s v="Tel 1523"/>
    <s v="Cep 1523"/>
    <s v="Rua 1523"/>
    <s v="Comp 1523"/>
    <x v="10"/>
    <s v="MU-J80P-95WF"/>
    <d v="2025-05-14T00:00:00"/>
    <n v="65.739999999999995"/>
    <n v="65.739999999999995"/>
    <n v="7.8887999999999989"/>
    <n v="57.85"/>
    <n v="36.049999999999997"/>
    <n v="0.25"/>
    <n v="0.39877104377104378"/>
    <n v="0"/>
    <n v="21.151228956228962"/>
    <n v="10.575614478114481"/>
    <d v="2025-05-21T00:00:00"/>
    <d v="2025-05-21T00:00:00"/>
    <d v="2025-05-30T00:00:00"/>
    <d v="2025-06-02T00:00:00"/>
    <s v="2025 05"/>
    <s v="Aguardando Liberação"/>
    <s v="2025 04"/>
    <s v="ENTREGUE"/>
    <d v="2025-05-06T00:00:00"/>
    <s v="-"/>
    <m/>
    <n v="0"/>
    <n v="0"/>
    <n v="0"/>
    <n v="0"/>
    <n v="0"/>
  </r>
  <r>
    <s v="GO"/>
    <s v="GO45769"/>
    <s v="Pedido 1565"/>
    <d v="2025-04-21T00:00:00"/>
    <d v="2025-04-22T00:00:00"/>
    <s v="PedidoF1496"/>
    <s v="CódRastreio1494"/>
    <n v="1"/>
    <s v="CPF 1524"/>
    <s v="Nome 1524"/>
    <s v="Tel 1524"/>
    <s v="Cep 1524"/>
    <s v="Rua 1524"/>
    <s v="Comp 1524"/>
    <x v="10"/>
    <s v="EP-9PIR-BWXH"/>
    <d v="2025-05-17T00:00:00"/>
    <n v="65.739999999999995"/>
    <n v="65.739999999999995"/>
    <n v="7.8887999999999989"/>
    <n v="57.85"/>
    <n v="22.4"/>
    <n v="0.5"/>
    <n v="0.39877104377104378"/>
    <n v="0"/>
    <n v="34.551228956228954"/>
    <n v="34.551228956228954"/>
    <d v="2025-05-24T00:00:00"/>
    <d v="2025-05-24T00:00:00"/>
    <d v="2025-05-30T00:00:00"/>
    <d v="2025-06-02T00:00:00"/>
    <s v="2025 05"/>
    <s v="Aguardando Liberação"/>
    <s v="2025 04"/>
    <s v="ENTREGUE"/>
    <d v="2025-05-22T00:00:00"/>
    <s v="-"/>
    <m/>
    <n v="0"/>
    <n v="0"/>
    <n v="0"/>
    <n v="0"/>
    <n v="0"/>
  </r>
  <r>
    <s v="MEI"/>
    <s v="MEI45770"/>
    <s v="Pedido 1566"/>
    <d v="2025-04-22T00:00:00"/>
    <d v="2025-04-23T00:00:00"/>
    <s v="PedidoF1497"/>
    <s v="CódRastreio1495"/>
    <n v="1"/>
    <s v="CPF 1525"/>
    <s v="Nome 1525"/>
    <s v="Tel 1525"/>
    <s v="Cep 1525"/>
    <s v="Rua 1525"/>
    <s v="Comp 1525"/>
    <x v="26"/>
    <s v="BG-DHRO-FAEE"/>
    <d v="2025-05-14T00:00:00"/>
    <n v="26.99"/>
    <n v="26.99"/>
    <n v="2.9688999999999997"/>
    <n v="24.02"/>
    <n v="0"/>
    <n v="0.12"/>
    <n v="0.39877104377104378"/>
    <n v="0"/>
    <n v="23.501228956228957"/>
    <n v="11.750614478114478"/>
    <d v="2025-05-21T00:00:00"/>
    <d v="2025-05-21T00:00:00"/>
    <d v="2025-05-30T00:00:00"/>
    <d v="2025-06-02T00:00:00"/>
    <s v="2025 05"/>
    <s v="Aguardando Liberação"/>
    <s v="2025 04"/>
    <s v="ENTREGUE"/>
    <d v="2025-05-27T00:00:00"/>
    <s v="-"/>
    <m/>
    <n v="0"/>
    <n v="0"/>
    <n v="0"/>
    <n v="0"/>
    <n v="0"/>
  </r>
  <r>
    <s v="MEI"/>
    <s v="MEI45770"/>
    <s v="Pedido 1567"/>
    <d v="2025-04-22T00:00:00"/>
    <d v="2025-04-23T00:00:00"/>
    <s v="PedidoF1498"/>
    <s v="CódRastreio1496"/>
    <n v="1"/>
    <s v="CPF 1526"/>
    <s v="Nome 1526"/>
    <s v="Tel 1526"/>
    <s v="Cep 1526"/>
    <s v="Rua 1526"/>
    <s v="Comp 1526"/>
    <x v="26"/>
    <s v="BG-DHRO-FAEE"/>
    <d v="2025-05-20T00:00:00"/>
    <n v="26.99"/>
    <n v="26.99"/>
    <n v="2.9688999999999997"/>
    <n v="24.02"/>
    <n v="10.57"/>
    <n v="0.12"/>
    <n v="0.39877104377104378"/>
    <n v="0"/>
    <n v="12.931228956228956"/>
    <n v="6.4656144781144782"/>
    <d v="2025-05-27T00:00:00"/>
    <d v="2025-05-27T00:00:00"/>
    <d v="2025-05-30T00:00:00"/>
    <d v="2025-06-02T00:00:00"/>
    <s v="2025 05"/>
    <s v="Aguardando Liberação"/>
    <s v="2025 04"/>
    <s v="ENTREGUE"/>
    <d v="2025-05-14T00:00:00"/>
    <s v="-"/>
    <m/>
    <n v="0"/>
    <n v="0"/>
    <n v="0"/>
    <n v="0"/>
    <n v="0"/>
  </r>
  <r>
    <s v="MEI"/>
    <s v="MEI45770"/>
    <s v="Pedido 1568"/>
    <d v="2025-04-23T00:00:00"/>
    <d v="2025-04-23T00:00:00"/>
    <s v="PedidoF1499"/>
    <s v="CódRastreio1497"/>
    <n v="1"/>
    <s v="CPF 1527"/>
    <s v="Nome 1527"/>
    <s v="Tel 1527"/>
    <s v="Cep 1527"/>
    <s v="Rua 1527"/>
    <s v="Comp 1527"/>
    <x v="26"/>
    <s v="BG-DHRO-FAEE"/>
    <d v="2025-05-20T00:00:00"/>
    <n v="26.99"/>
    <n v="26.99"/>
    <n v="2.9688999999999997"/>
    <n v="24.02"/>
    <n v="16.190000000000001"/>
    <n v="0.12"/>
    <n v="0.39877104377104378"/>
    <n v="0"/>
    <n v="7.3112289562289519"/>
    <n v="3.6556144781144759"/>
    <d v="2025-05-27T00:00:00"/>
    <d v="2025-05-27T00:00:00"/>
    <d v="2025-05-30T00:00:00"/>
    <d v="2025-06-02T00:00:00"/>
    <s v="2025 05"/>
    <s v="Aguardando Liberação"/>
    <s v="2025 04"/>
    <s v="ENTREGUE"/>
    <d v="2025-05-26T00:00:00"/>
    <s v="-"/>
    <m/>
    <n v="0"/>
    <n v="0"/>
    <n v="0"/>
    <n v="0"/>
    <n v="0"/>
  </r>
  <r>
    <s v="MEI"/>
    <s v="MEI45770"/>
    <s v="Pedido 1569"/>
    <d v="2025-04-23T00:00:00"/>
    <d v="2025-04-23T00:00:00"/>
    <s v="PedidoF1500"/>
    <s v="CódRastreio1498"/>
    <n v="1"/>
    <s v="CPF 1528"/>
    <s v="Nome 1528"/>
    <s v="Tel 1528"/>
    <s v="Cep 1528"/>
    <s v="Rua 1528"/>
    <s v="Comp 1528"/>
    <x v="32"/>
    <s v="NO-Z0ZJ-Z61M"/>
    <d v="2025-05-27T00:00:00"/>
    <n v="49.99"/>
    <n v="49.99"/>
    <n v="5.9988000000000001"/>
    <n v="43.99"/>
    <n v="0"/>
    <n v="0.12"/>
    <n v="0.39877104377104378"/>
    <n v="0"/>
    <n v="43.471228956228956"/>
    <n v="21.735614478114478"/>
    <d v="2025-06-03T00:00:00"/>
    <d v="2025-06-03T00:00:00"/>
    <d v="2025-06-16T00:00:00"/>
    <d v="2025-06-20T00:00:00"/>
    <s v="2025 06"/>
    <s v="Aguardando Liberação"/>
    <s v="2025 04"/>
    <s v="ENTREGUE"/>
    <d v="2025-06-12T08:38:40"/>
    <s v="-"/>
    <m/>
    <n v="0"/>
    <n v="0"/>
    <n v="0"/>
    <n v="0"/>
    <n v="0"/>
  </r>
  <r>
    <s v="MEI"/>
    <s v="MEI45770"/>
    <s v="Pedido 1570"/>
    <d v="2025-04-23T00:00:00"/>
    <d v="2025-04-23T00:00:00"/>
    <s v="PedidoF1501"/>
    <s v="CódRastreio1499"/>
    <n v="1"/>
    <s v="CPF 1529"/>
    <s v="Nome 1529"/>
    <s v="Tel 1529"/>
    <s v="Cep 1529"/>
    <s v="Rua 1529"/>
    <s v="Comp 1529"/>
    <x v="6"/>
    <s v="VI-4RT5-1FFO"/>
    <d v="2025-05-14T00:00:00"/>
    <n v="22.7"/>
    <n v="22.7"/>
    <n v="2.7239999999999998"/>
    <n v="19.98"/>
    <n v="0"/>
    <n v="0.12"/>
    <n v="0.39877104377104378"/>
    <n v="0"/>
    <n v="19.461228956228958"/>
    <n v="9.7306144781144788"/>
    <d v="2025-05-21T00:00:00"/>
    <d v="2025-05-21T00:00:00"/>
    <d v="2025-05-30T00:00:00"/>
    <d v="2025-06-02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70"/>
    <s v="Pedido 1571"/>
    <d v="2025-04-23T00:00:00"/>
    <d v="2025-04-23T00:00:00"/>
    <s v="PedidoF1502"/>
    <s v="CódRastreio1500"/>
    <n v="1"/>
    <s v="CPF 1530"/>
    <s v="Nome 1530"/>
    <s v="Tel 1530"/>
    <s v="Cep 1530"/>
    <s v="Rua 1530"/>
    <s v="Comp 1530"/>
    <x v="6"/>
    <s v="VI-4RT5-1FFO"/>
    <d v="2025-05-15T00:00:00"/>
    <n v="22.7"/>
    <n v="22.7"/>
    <n v="2.7239999999999998"/>
    <n v="19.98"/>
    <n v="11.92"/>
    <n v="0.12"/>
    <n v="0.39877104377104378"/>
    <n v="0"/>
    <n v="7.5412289562289576"/>
    <n v="3.7706144781144788"/>
    <d v="2025-05-22T00:00:00"/>
    <d v="2025-05-22T00:00:00"/>
    <d v="2025-05-30T00:00:00"/>
    <d v="2025-06-02T00:00:00"/>
    <s v="2025 05"/>
    <s v="Aguardando Liberação"/>
    <s v="2025 04"/>
    <s v="ENTREGUE"/>
    <d v="2025-04-29T00:00:00"/>
    <s v="-"/>
    <m/>
    <n v="0"/>
    <n v="0"/>
    <n v="0"/>
    <n v="0"/>
    <n v="0"/>
  </r>
  <r>
    <s v="MEI"/>
    <s v="MEI45770"/>
    <s v="Pedido 1572"/>
    <d v="2025-04-23T00:00:00"/>
    <d v="2025-04-23T00:00:00"/>
    <s v="PedidoF1503"/>
    <s v="CódRastreio1501"/>
    <n v="1"/>
    <s v="CPF 1531"/>
    <s v="Nome 1531"/>
    <s v="Tel 1531"/>
    <s v="Cep 1531"/>
    <s v="Rua 1531"/>
    <s v="Comp 1531"/>
    <x v="26"/>
    <s v="BG-DHRO-FAEE"/>
    <d v="2025-05-21T00:00:00"/>
    <n v="26.99"/>
    <n v="26.99"/>
    <n v="2.9688999999999997"/>
    <n v="24.02"/>
    <n v="16.190000000000001"/>
    <n v="0.12"/>
    <n v="0.39877104377104378"/>
    <n v="0"/>
    <n v="7.3112289562289519"/>
    <n v="3.6556144781144759"/>
    <d v="2025-05-28T00:00:00"/>
    <d v="2025-05-28T00:00:00"/>
    <d v="2025-05-30T00:00:00"/>
    <d v="2025-06-02T00:00:00"/>
    <s v="2025 05"/>
    <s v="Aguardando Liberação"/>
    <s v="2025 04"/>
    <s v="ENTREGUE"/>
    <d v="2025-05-16T00:00:00"/>
    <s v="-"/>
    <m/>
    <n v="0"/>
    <n v="0"/>
    <n v="0"/>
    <n v="0"/>
    <n v="0"/>
  </r>
  <r>
    <s v="MEI"/>
    <s v="MEI45770"/>
    <s v="Pedido 1573"/>
    <d v="2025-04-23T00:00:00"/>
    <d v="2025-04-23T00:00:00"/>
    <s v="PedidoF1504"/>
    <s v="CódRastreio1502"/>
    <n v="1"/>
    <s v="CPF 1532"/>
    <s v="Nome 1532"/>
    <s v="Tel 1532"/>
    <s v="Cep 1532"/>
    <s v="Rua 1532"/>
    <s v="Comp 1532"/>
    <x v="6"/>
    <s v="VI-4RT5-1FFO"/>
    <d v="2025-05-21T00:00:00"/>
    <n v="22.7"/>
    <n v="22.7"/>
    <n v="2.7239999999999998"/>
    <n v="19.98"/>
    <n v="14.71"/>
    <n v="0.12"/>
    <n v="0.39877104377104378"/>
    <n v="0"/>
    <n v="4.7512289562289567"/>
    <n v="2.3756144781144783"/>
    <d v="2025-05-28T00:00:00"/>
    <d v="2025-05-28T00:00:00"/>
    <d v="2025-05-30T00:00:00"/>
    <d v="2025-06-02T00:00:00"/>
    <s v="2025 05"/>
    <s v="Aguardando Liberação"/>
    <s v="2025 04"/>
    <s v="ENTREGUE"/>
    <d v="2025-05-05T00:00:00"/>
    <s v="-"/>
    <m/>
    <n v="0"/>
    <n v="0"/>
    <n v="0"/>
    <n v="0"/>
    <n v="0"/>
  </r>
  <r>
    <s v="MEI"/>
    <s v="MEI45770"/>
    <s v="Pedido 1574"/>
    <d v="2025-04-23T00:00:00"/>
    <d v="2025-04-23T00:00:00"/>
    <s v="PedidoF1505"/>
    <s v="CódRastreio1503"/>
    <n v="1"/>
    <s v="CPF 1533"/>
    <s v="Nome 1533"/>
    <s v="Tel 1533"/>
    <s v="Cep 1533"/>
    <s v="Rua 1533"/>
    <s v="Comp 1533"/>
    <x v="15"/>
    <s v="71-KHMZ-MLQW"/>
    <d v="2025-05-21T00:00:00"/>
    <n v="52.99"/>
    <n v="52.99"/>
    <n v="5.8289"/>
    <n v="47.16"/>
    <n v="30.69"/>
    <n v="0.12"/>
    <n v="0.39877104377104378"/>
    <n v="0"/>
    <n v="15.951228956228949"/>
    <n v="7.9756144781144744"/>
    <d v="2025-05-28T00:00:00"/>
    <d v="2025-05-28T00:00:00"/>
    <d v="2025-05-30T00:00:00"/>
    <d v="2025-06-02T00:00:00"/>
    <s v="2025 05"/>
    <s v="Aguardando Liberação"/>
    <s v="2025 04"/>
    <s v="ENTREGUE"/>
    <d v="2025-05-09T00:00:00"/>
    <s v="-"/>
    <m/>
    <n v="0"/>
    <n v="0"/>
    <n v="0"/>
    <n v="0"/>
    <n v="0"/>
  </r>
  <r>
    <s v="MEI"/>
    <s v="MEI45770"/>
    <s v="Pedido 1575"/>
    <d v="2025-04-23T00:00:00"/>
    <d v="2025-04-23T00:00:00"/>
    <s v="PedidoF1506"/>
    <s v="CódRastreio1504"/>
    <n v="1"/>
    <s v="CPF 1534"/>
    <s v="Nome 1534"/>
    <s v="Tel 1534"/>
    <s v="Cep 1534"/>
    <s v="Rua 1534"/>
    <s v="Comp 1534"/>
    <x v="26"/>
    <s v="BG-DHRO-FAEE"/>
    <d v="2025-05-15T00:00:00"/>
    <n v="26.99"/>
    <n v="26.99"/>
    <n v="2.9688999999999997"/>
    <n v="24.02"/>
    <n v="0"/>
    <n v="0.12"/>
    <n v="0.39877104377104378"/>
    <n v="0"/>
    <n v="23.501228956228957"/>
    <n v="11.750614478114478"/>
    <d v="2025-05-22T00:00:00"/>
    <d v="2025-05-22T00:00:00"/>
    <d v="2025-05-30T00:00:00"/>
    <d v="2025-06-02T00:00:00"/>
    <s v="2025 05"/>
    <s v="Aguardando Liberação"/>
    <s v="2025 04"/>
    <s v="ENTREGUE"/>
    <d v="2025-05-19T00:00:00"/>
    <s v="-"/>
    <m/>
    <n v="0"/>
    <n v="0"/>
    <n v="0"/>
    <n v="0"/>
    <n v="0"/>
  </r>
  <r>
    <s v="GO"/>
    <s v="GO45770"/>
    <s v="Pedido 1576"/>
    <d v="2025-04-23T00:00:00"/>
    <d v="2025-04-23T00:00:00"/>
    <s v="PedidoF1507"/>
    <s v="CódRastreio1505"/>
    <n v="1"/>
    <s v="CPF 1535"/>
    <s v="Nome 1535"/>
    <s v="Tel 1535"/>
    <s v="Cep 1535"/>
    <s v="Rua 1535"/>
    <s v="Comp 1535"/>
    <x v="10"/>
    <s v="EP-9PIR-BWXH"/>
    <d v="2025-05-21T00:00:00"/>
    <n v="65.739999999999995"/>
    <n v="65.739999999999995"/>
    <n v="7.8887999999999989"/>
    <n v="57.85"/>
    <n v="0"/>
    <n v="0.1"/>
    <n v="0.39877104377104378"/>
    <n v="0"/>
    <n v="57.351228956228958"/>
    <n v="57.351228956228958"/>
    <d v="2025-05-28T00:00:00"/>
    <d v="2025-05-28T00:00:00"/>
    <d v="2025-05-30T00:00:00"/>
    <d v="2025-06-02T00:00:00"/>
    <s v="2025 05"/>
    <s v="Aguardando Liberação"/>
    <s v="2025 04"/>
    <s v="ENTREGUE"/>
    <d v="2025-05-09T00:00:00"/>
    <s v="-"/>
    <m/>
    <n v="0"/>
    <n v="0"/>
    <n v="0"/>
    <n v="0"/>
    <n v="0"/>
  </r>
  <r>
    <s v="MEI"/>
    <s v="MEI45771"/>
    <s v="Pedido 1577"/>
    <d v="2025-04-23T00:00:00"/>
    <d v="2025-04-24T00:00:00"/>
    <s v="PedidoF1508"/>
    <s v="CódRastreio1506"/>
    <n v="1"/>
    <s v="CPF 1536"/>
    <s v="Nome 1536"/>
    <s v="Tel 1536"/>
    <s v="Cep 1536"/>
    <s v="Rua 1536"/>
    <s v="Comp 1536"/>
    <x v="26"/>
    <s v="BG-DHRO-FAEE"/>
    <d v="2025-05-21T00:00:00"/>
    <n v="26.99"/>
    <n v="26.99"/>
    <n v="2.9688999999999997"/>
    <n v="24.02"/>
    <n v="16.149999999999999"/>
    <n v="0.28999999999999998"/>
    <n v="0.39877104377104378"/>
    <n v="0"/>
    <n v="7.1812289562289564"/>
    <n v="3.5906144781144782"/>
    <d v="2025-05-28T00:00:00"/>
    <d v="2025-05-28T00:00:00"/>
    <d v="2025-05-30T00:00:00"/>
    <d v="2025-06-02T00:00:00"/>
    <s v="2025 05"/>
    <s v="Aguardando Liberação"/>
    <s v="2025 04"/>
    <s v="ENTREGUE"/>
    <d v="2025-06-11T14:20:27"/>
    <s v="-"/>
    <m/>
    <n v="0"/>
    <n v="0"/>
    <n v="0"/>
    <n v="0"/>
    <n v="0"/>
  </r>
  <r>
    <s v="MEI"/>
    <s v="MEI45771"/>
    <s v="Pedido 1578"/>
    <d v="2025-04-23T00:00:00"/>
    <d v="2025-04-24T00:00:00"/>
    <s v="PedidoF1509"/>
    <s v="CódRastreio1507"/>
    <n v="1"/>
    <s v="CPF 1537"/>
    <s v="Nome 1537"/>
    <s v="Tel 1537"/>
    <s v="Cep 1537"/>
    <s v="Rua 1537"/>
    <s v="Comp 1537"/>
    <x v="3"/>
    <s v="WR-82Y0-OV27"/>
    <d v="2025-05-21T00:00:00"/>
    <n v="64.89"/>
    <n v="64.89"/>
    <n v="7.7867999999999995"/>
    <n v="57.1"/>
    <n v="36.04"/>
    <n v="0.28999999999999998"/>
    <n v="0.39877104377104378"/>
    <n v="0"/>
    <n v="20.371228956228961"/>
    <n v="10.185614478114481"/>
    <d v="2025-05-28T00:00:00"/>
    <d v="2025-05-28T00:00:00"/>
    <d v="2025-05-30T00:00:00"/>
    <d v="2025-06-02T00:00:00"/>
    <s v="2025 05"/>
    <s v="Aguardando Liberação"/>
    <s v="2025 04"/>
    <s v="ENTREGUE"/>
    <d v="2025-05-22T00:00:00"/>
    <s v="-"/>
    <m/>
    <n v="0"/>
    <n v="0"/>
    <n v="0"/>
    <n v="0"/>
    <n v="0"/>
  </r>
  <r>
    <s v="MEI"/>
    <s v="MEI45771"/>
    <s v="Pedido 1579"/>
    <d v="2025-04-23T00:00:00"/>
    <d v="2025-04-24T00:00:00"/>
    <s v="PedidoF1510"/>
    <s v="CódRastreio1508"/>
    <n v="1"/>
    <s v="CPF 1538"/>
    <s v="Nome 1538"/>
    <s v="Tel 1538"/>
    <s v="Cep 1538"/>
    <s v="Rua 1538"/>
    <s v="Comp 1538"/>
    <x v="15"/>
    <s v="71-KHMZ-MLQW"/>
    <d v="2025-05-21T00:00:00"/>
    <n v="52.99"/>
    <n v="52.99"/>
    <n v="5.8289"/>
    <n v="47.16"/>
    <n v="31.74"/>
    <n v="0.28999999999999998"/>
    <n v="0.39877104377104378"/>
    <n v="0"/>
    <n v="14.731228956228954"/>
    <n v="7.3656144781144768"/>
    <d v="2025-05-28T00:00:00"/>
    <d v="2025-05-28T00:00:00"/>
    <d v="2025-05-30T00:00:00"/>
    <d v="2025-06-02T00:00:00"/>
    <s v="2025 05"/>
    <s v="Aguardando Liberação"/>
    <s v="2025 04"/>
    <s v="ENTREGUE"/>
    <d v="2025-05-29T00:00:00"/>
    <s v="-"/>
    <m/>
    <n v="0"/>
    <n v="0"/>
    <n v="0"/>
    <n v="0"/>
    <n v="0"/>
  </r>
  <r>
    <s v="MEI"/>
    <s v="MEI45771"/>
    <s v="Pedido 1580"/>
    <d v="2025-04-24T00:00:00"/>
    <d v="2025-04-24T00:00:00"/>
    <s v="PedidoF1511"/>
    <s v="CódRastreio1509"/>
    <n v="1"/>
    <s v="CPF 1539"/>
    <s v="Nome 1539"/>
    <s v="Tel 1539"/>
    <s v="Cep 1539"/>
    <s v="Rua 1539"/>
    <s v="Comp 1539"/>
    <x v="12"/>
    <s v="PK-L2Z7-MQRQ"/>
    <d v="2025-05-22T00:00:00"/>
    <n v="49.9"/>
    <n v="49.9"/>
    <n v="5.9879999999999995"/>
    <n v="43.91"/>
    <n v="21.28"/>
    <n v="0.28999999999999998"/>
    <n v="0.39877104377104378"/>
    <n v="0"/>
    <n v="21.941228956228951"/>
    <n v="10.970614478114475"/>
    <d v="2025-05-29T00:00:00"/>
    <d v="2025-05-29T00:00:00"/>
    <d v="2025-05-30T00:00:00"/>
    <d v="2025-06-02T00:00:00"/>
    <s v="2025 05"/>
    <s v="Aguardando Liberação"/>
    <s v="2025 04"/>
    <s v="ENTREGUE"/>
    <d v="2025-06-21T09:58:33"/>
    <s v="-"/>
    <m/>
    <n v="0"/>
    <n v="0"/>
    <n v="0"/>
    <n v="0"/>
    <n v="0"/>
  </r>
  <r>
    <s v="MEI"/>
    <s v="MEI45771"/>
    <s v="Pedido 1581"/>
    <d v="2025-04-24T00:00:00"/>
    <d v="2025-04-24T00:00:00"/>
    <s v="PedidoF1512"/>
    <s v="CódRastreio1510"/>
    <n v="1"/>
    <s v="CPF 1540"/>
    <s v="Nome 1540"/>
    <s v="Tel 1540"/>
    <s v="Cep 1540"/>
    <s v="Rua 1540"/>
    <s v="Comp 1540"/>
    <x v="12"/>
    <s v="PK-L2Z7-MQRQ"/>
    <d v="2025-05-22T00:00:00"/>
    <n v="49.9"/>
    <n v="49.9"/>
    <n v="5.9879999999999995"/>
    <n v="43.91"/>
    <n v="22.12"/>
    <n v="0.28999999999999998"/>
    <n v="0.39877104377104378"/>
    <n v="0"/>
    <n v="21.101228956228951"/>
    <n v="10.550614478114476"/>
    <d v="2025-05-29T00:00:00"/>
    <d v="2025-05-29T00:00:00"/>
    <d v="2025-05-30T00:00:00"/>
    <d v="2025-06-02T00:00:00"/>
    <s v="2025 05"/>
    <s v="Aguardando Liberação"/>
    <s v="2025 04"/>
    <s v="ENTREGUE"/>
    <d v="2025-05-10T00:00:00"/>
    <s v="-"/>
    <m/>
    <n v="0"/>
    <n v="0"/>
    <n v="0"/>
    <n v="0"/>
    <n v="0"/>
  </r>
  <r>
    <s v="MEI"/>
    <s v="MEI45772"/>
    <s v="Pedido 1582"/>
    <d v="2025-04-24T00:00:00"/>
    <d v="2025-04-25T00:00:00"/>
    <s v="PedidoF1513"/>
    <s v="CódRastreio1511"/>
    <n v="1"/>
    <s v="CPF 1541"/>
    <s v="Nome 1541"/>
    <s v="Tel 1541"/>
    <s v="Cep 1541"/>
    <s v="Rua 1541"/>
    <s v="Comp 1541"/>
    <x v="26"/>
    <s v="BG-DHRO-FAEE"/>
    <d v="2025-05-16T00:00:00"/>
    <n v="26.99"/>
    <n v="26.99"/>
    <n v="2.9688999999999997"/>
    <n v="24.02"/>
    <n v="10.15"/>
    <n v="0.1"/>
    <n v="0.39877104377104378"/>
    <n v="0"/>
    <n v="13.371228956228956"/>
    <n v="6.685614478114478"/>
    <d v="2025-05-23T00:00:00"/>
    <d v="2025-05-23T00:00:00"/>
    <d v="2025-05-30T00:00:00"/>
    <d v="2025-06-02T00:00:00"/>
    <s v="2025 05"/>
    <s v="Aguardando Liberação"/>
    <s v="2025 04"/>
    <s v="ENTREGUE"/>
    <d v="2025-05-13T00:00:00"/>
    <s v="-"/>
    <m/>
    <n v="0"/>
    <n v="0"/>
    <n v="0"/>
    <n v="0"/>
    <n v="0"/>
  </r>
  <r>
    <s v="MEI"/>
    <s v="MEI45772"/>
    <s v="Pedido 1583"/>
    <d v="2025-04-24T00:00:00"/>
    <d v="2025-04-25T00:00:00"/>
    <s v="PedidoF1514"/>
    <s v="CódRastreio1512"/>
    <n v="1"/>
    <s v="CPF 1542"/>
    <s v="Nome 1542"/>
    <s v="Tel 1542"/>
    <s v="Cep 1542"/>
    <s v="Rua 1542"/>
    <s v="Comp 1542"/>
    <x v="16"/>
    <s v="T1-SWVB-UPOW"/>
    <d v="2025-05-29T00:00:00"/>
    <n v="29.95"/>
    <n v="29.95"/>
    <n v="3.5939999999999999"/>
    <n v="26.36"/>
    <n v="18.75"/>
    <n v="0.1"/>
    <n v="0.39877104377104378"/>
    <n v="0"/>
    <n v="7.1112289562289526"/>
    <n v="3.5556144781144763"/>
    <d v="2025-06-05T00:00:00"/>
    <d v="2025-06-05T00:00:00"/>
    <d v="2025-06-16T00:00:00"/>
    <d v="2025-06-20T00:00:00"/>
    <s v="2025 06"/>
    <s v="Aguardando Liberação"/>
    <s v="2025 04"/>
    <s v="ENTREGUE"/>
    <d v="2025-06-09T00:00:00"/>
    <s v="-"/>
    <m/>
    <n v="0"/>
    <n v="0"/>
    <n v="0"/>
    <n v="0"/>
    <n v="0"/>
  </r>
  <r>
    <s v="MEI"/>
    <s v="MEI45772"/>
    <s v="Pedido 1584"/>
    <d v="2025-04-25T00:00:00"/>
    <d v="2025-04-25T00:00:00"/>
    <s v="PedidoF1515"/>
    <s v="CódRastreio1513"/>
    <n v="1"/>
    <s v="CPF 1543"/>
    <s v="Nome 1543"/>
    <s v="Tel 1543"/>
    <s v="Cep 1543"/>
    <s v="Rua 1543"/>
    <s v="Comp 1543"/>
    <x v="15"/>
    <s v="71-KHMZ-MLQW"/>
    <d v="2025-05-23T00:00:00"/>
    <n v="52.99"/>
    <n v="52.99"/>
    <n v="5.8289"/>
    <n v="47.16"/>
    <n v="37.880000000000003"/>
    <n v="0.1"/>
    <n v="0.39877104377104378"/>
    <n v="0"/>
    <n v="8.7812289562289507"/>
    <n v="4.3906144781144754"/>
    <d v="2025-05-30T00:00:00"/>
    <d v="2025-05-30T00:00:00"/>
    <d v="2025-05-30T00:00:00"/>
    <d v="2025-06-02T00:00:00"/>
    <s v="2025 05"/>
    <s v="Aguardando Liberação"/>
    <s v="2025 04"/>
    <s v="ENTREGUE"/>
    <d v="2025-06-13T12:07:12"/>
    <s v="-"/>
    <m/>
    <n v="0"/>
    <n v="0"/>
    <n v="0"/>
    <n v="0"/>
    <n v="0"/>
  </r>
  <r>
    <s v="MEI"/>
    <s v="MEI45772"/>
    <s v="Pedido 1585"/>
    <d v="2025-04-25T00:00:00"/>
    <d v="2025-04-25T00:00:00"/>
    <s v="PedidoF1516"/>
    <s v="CódRastreio1514"/>
    <n v="1"/>
    <s v="CPF 1544"/>
    <s v="Nome 1544"/>
    <s v="Tel 1544"/>
    <s v="Cep 1544"/>
    <s v="Rua 1544"/>
    <s v="Comp 1544"/>
    <x v="12"/>
    <s v="PK-L2Z7-MQRQ"/>
    <d v="2025-05-30T00:00:00"/>
    <n v="49.9"/>
    <n v="49.9"/>
    <n v="5.9879999999999995"/>
    <n v="43.91"/>
    <n v="14.14"/>
    <n v="0.1"/>
    <n v="0.39877104377104378"/>
    <n v="0"/>
    <n v="29.271228956228953"/>
    <n v="14.635614478114476"/>
    <d v="2025-06-06T00:00:00"/>
    <d v="2025-06-06T00:00:00"/>
    <d v="2025-06-16T00:00:00"/>
    <d v="2025-06-20T00:00:00"/>
    <s v="2025 06"/>
    <s v="Aguardando Liberação"/>
    <s v="2025 04"/>
    <s v="ENTREGUE"/>
    <d v="2025-05-19T00:00:00"/>
    <s v="-"/>
    <m/>
    <n v="0"/>
    <n v="0"/>
    <n v="0"/>
    <n v="0"/>
    <n v="0"/>
  </r>
  <r>
    <s v="MEI"/>
    <s v="MEI45775"/>
    <s v="Pedido 1586"/>
    <d v="2025-04-26T00:00:00"/>
    <d v="2025-04-28T00:00:00"/>
    <s v="PedidoF1517"/>
    <s v="CódRastreio1515"/>
    <n v="1"/>
    <s v="CPF 1545"/>
    <s v="Nome 1545"/>
    <s v="Tel 1545"/>
    <s v="Cep 1545"/>
    <s v="Rua 1545"/>
    <s v="Comp 1545"/>
    <x v="12"/>
    <s v="PK-L2Z7-MQRQ"/>
    <d v="2025-05-23T00:00:00"/>
    <n v="49.9"/>
    <n v="49.9"/>
    <n v="5.9879999999999995"/>
    <n v="43.91"/>
    <n v="0"/>
    <n v="0.18"/>
    <n v="0.39877104377104378"/>
    <n v="0"/>
    <n v="43.331228956228955"/>
    <n v="21.665614478114477"/>
    <d v="2025-05-30T00:00:00"/>
    <d v="2025-05-30T00:00:00"/>
    <d v="2025-05-30T00:00:00"/>
    <d v="2025-06-02T00:00:00"/>
    <s v="2025 05"/>
    <s v="Aguardando Liberação"/>
    <s v="2025 04"/>
    <s v="ENTREGUE"/>
    <d v="2025-06-12T13:56:28"/>
    <s v="-"/>
    <m/>
    <n v="0"/>
    <n v="0"/>
    <n v="0"/>
    <n v="0"/>
    <n v="0"/>
  </r>
  <r>
    <s v="MEI"/>
    <s v="MEI-"/>
    <s v="Pedido 1587"/>
    <d v="2025-04-26T00:00:00"/>
    <s v="-"/>
    <s v="-"/>
    <s v="-"/>
    <n v="1"/>
    <s v="CPF 1546"/>
    <s v="Nome 1546"/>
    <s v="Tel 1546"/>
    <s v="Cep 1546"/>
    <s v="Rua 1546"/>
    <s v="Comp 1546"/>
    <x v="26"/>
    <s v="BG-DHRO-FAEE"/>
    <d v="2025-05-23T00:00:00"/>
    <n v="23.99"/>
    <n v="23.99"/>
    <n v="2.6389"/>
    <n v="21.35"/>
    <n v="18.8"/>
    <n v="0"/>
    <n v="0"/>
    <n v="0"/>
    <n v="2.5500000000000007"/>
    <n v="1.2750000000000004"/>
    <d v="2025-05-30T00:00:00"/>
    <d v="2025-05-30T00:00:00"/>
    <d v="2025-05-30T00:00:00"/>
    <d v="2025-06-02T00:00:00"/>
    <s v="2025 05"/>
    <s v="Aguardando Liberação"/>
    <s v="- -"/>
    <s v="-"/>
    <s v="-"/>
    <s v="-"/>
    <m/>
    <n v="0"/>
    <n v="0"/>
    <n v="0"/>
    <n v="0"/>
    <n v="0"/>
  </r>
  <r>
    <s v="MEI"/>
    <s v="MEI45775"/>
    <s v="Pedido 1588"/>
    <d v="2025-04-26T00:00:00"/>
    <d v="2025-04-28T00:00:00"/>
    <s v="PedidoF1518"/>
    <s v="CódRastreio1516"/>
    <n v="1"/>
    <s v="CPF 1547"/>
    <s v="Nome 1547"/>
    <s v="Tel 1547"/>
    <s v="Cep 1547"/>
    <s v="Rua 1547"/>
    <s v="Comp 1547"/>
    <x v="15"/>
    <s v="71-KHMZ-MLQW"/>
    <d v="2025-05-30T00:00:00"/>
    <n v="49.99"/>
    <n v="49.99"/>
    <n v="5.4988999999999999"/>
    <n v="44.49"/>
    <n v="0"/>
    <n v="0.18"/>
    <n v="0.39877104377104378"/>
    <n v="0"/>
    <n v="43.91122895622896"/>
    <n v="21.95561447811448"/>
    <d v="2025-06-06T00:00:00"/>
    <d v="2025-06-06T00:00:00"/>
    <d v="2025-06-16T00:00:00"/>
    <d v="2025-06-20T00:00:00"/>
    <s v="2025 06"/>
    <s v="Aguardando Liberação"/>
    <s v="2025 04"/>
    <s v="ENTREGUE"/>
    <d v="2025-07-02T00:00:00"/>
    <s v="-"/>
    <m/>
    <n v="0"/>
    <n v="0"/>
    <n v="0"/>
    <n v="0"/>
    <n v="0"/>
  </r>
  <r>
    <s v="MEI"/>
    <s v="MEI45779"/>
    <s v="Pedido 1589"/>
    <d v="2025-04-26T00:00:00"/>
    <d v="2025-05-02T00:00:00"/>
    <s v="PedidoF1519"/>
    <s v="CódRastreio1517"/>
    <n v="1"/>
    <s v="CPF 1548"/>
    <s v="Nome 1548"/>
    <s v="Tel 1548"/>
    <s v="Cep 1548"/>
    <s v="Rua 1548"/>
    <s v="Comp 1548"/>
    <x v="26"/>
    <s v="BG-DHRO-FAEE"/>
    <d v="2025-05-23T00:00:00"/>
    <n v="23.99"/>
    <n v="23.99"/>
    <n v="2.6389"/>
    <n v="21.35"/>
    <n v="19.309999999999999"/>
    <n v="0.11"/>
    <n v="0.39877104377104378"/>
    <n v="0"/>
    <n v="1.5312289562289578"/>
    <n v="0.76561447811447891"/>
    <d v="2025-05-30T00:00:00"/>
    <d v="2025-05-30T00:00:00"/>
    <d v="2025-05-30T00:00:00"/>
    <d v="2025-06-02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5"/>
    <s v="Pedido 1590"/>
    <d v="2025-04-27T00:00:00"/>
    <d v="2025-04-28T00:00:00"/>
    <s v="PedidoF1520"/>
    <s v="CódRastreio1518"/>
    <n v="1"/>
    <s v="CPF 1549"/>
    <s v="Nome 1549"/>
    <s v="Tel 1549"/>
    <s v="Cep 1549"/>
    <s v="Rua 1549"/>
    <s v="Comp 1549"/>
    <x v="3"/>
    <s v="WR-82Y0-OV27"/>
    <d v="2025-05-23T00:00:00"/>
    <n v="49.9"/>
    <n v="49.9"/>
    <n v="5.9879999999999995"/>
    <n v="43.91"/>
    <n v="22.48"/>
    <n v="0.18"/>
    <n v="0.39877104377104378"/>
    <n v="0"/>
    <n v="20.851228956228951"/>
    <n v="10.425614478114476"/>
    <d v="2025-05-30T00:00:00"/>
    <d v="2025-05-30T00:00:00"/>
    <d v="2025-05-30T00:00:00"/>
    <d v="2025-06-02T00:00:00"/>
    <s v="2025 05"/>
    <s v="Aguardando Liberação"/>
    <s v="2025 04"/>
    <s v="ENTREGUE"/>
    <d v="2025-05-17T00:00:00"/>
    <s v="-"/>
    <m/>
    <n v="0"/>
    <n v="0"/>
    <n v="0"/>
    <n v="0"/>
    <n v="0"/>
  </r>
  <r>
    <s v="MEI"/>
    <s v="MEI45775"/>
    <s v="Pedido 1591"/>
    <d v="2025-04-27T00:00:00"/>
    <d v="2025-04-28T00:00:00"/>
    <s v="PedidoF1521"/>
    <s v="CódRastreio1519"/>
    <n v="1"/>
    <s v="CPF 1550"/>
    <s v="Nome 1550"/>
    <s v="Tel 1550"/>
    <s v="Cep 1550"/>
    <s v="Rua 1550"/>
    <s v="Comp 1550"/>
    <x v="3"/>
    <s v="WR-82Y0-OV27"/>
    <d v="2025-05-23T00:00:00"/>
    <n v="49.9"/>
    <n v="49.9"/>
    <n v="5.9879999999999995"/>
    <n v="43.91"/>
    <n v="0"/>
    <n v="0.18"/>
    <n v="0.39877104377104378"/>
    <n v="0"/>
    <n v="43.331228956228955"/>
    <n v="21.665614478114477"/>
    <d v="2025-05-30T00:00:00"/>
    <d v="2025-05-30T00:00:00"/>
    <d v="2025-05-30T00:00:00"/>
    <d v="2025-06-02T00:00:00"/>
    <s v="2025 05"/>
    <s v="Aguardando Liberação"/>
    <s v="2025 04"/>
    <s v="ENTREGUE"/>
    <d v="2025-06-04T00:00:00"/>
    <s v="-"/>
    <m/>
    <n v="0"/>
    <n v="0"/>
    <n v="0"/>
    <n v="0"/>
    <n v="0"/>
  </r>
  <r>
    <s v="MEI"/>
    <s v="MEI45775"/>
    <s v="Pedido 1592"/>
    <d v="2025-04-27T00:00:00"/>
    <d v="2025-04-28T00:00:00"/>
    <s v="PedidoF1522"/>
    <s v="CódRastreio1520"/>
    <n v="1"/>
    <s v="CPF 1551"/>
    <s v="Nome 1551"/>
    <s v="Tel 1551"/>
    <s v="Cep 1551"/>
    <s v="Rua 1551"/>
    <s v="Comp 1551"/>
    <x v="32"/>
    <s v="NO-Z0ZJ-Z61M"/>
    <d v="2025-05-23T00:00:00"/>
    <n v="49.99"/>
    <n v="49.99"/>
    <n v="5.9988000000000001"/>
    <n v="43.99"/>
    <n v="17.78"/>
    <n v="0.18"/>
    <n v="0.39877104377104378"/>
    <n v="0"/>
    <n v="25.631228956228956"/>
    <n v="12.815614478114478"/>
    <d v="2025-05-30T00:00:00"/>
    <d v="2025-05-30T00:00:00"/>
    <d v="2025-05-30T00:00:00"/>
    <d v="2025-06-02T00:00:00"/>
    <s v="2025 05"/>
    <s v="Aguardando Liberação"/>
    <s v="2025 04"/>
    <s v="ENTREGUE"/>
    <d v="2025-05-07T00:00:00"/>
    <s v="-"/>
    <m/>
    <n v="0"/>
    <n v="0"/>
    <n v="0"/>
    <n v="0"/>
    <n v="0"/>
  </r>
  <r>
    <s v="MEI"/>
    <s v="MEI45776"/>
    <s v="Pedido 1593"/>
    <d v="2025-04-27T00:00:00"/>
    <d v="2025-04-29T00:00:00"/>
    <s v="PedidoF1523"/>
    <s v="CódRastreio1521"/>
    <n v="1"/>
    <s v="CPF 1552"/>
    <s v="Nome 1552"/>
    <s v="Tel 1552"/>
    <s v="Cep 1552"/>
    <s v="Rua 1552"/>
    <s v="Comp 1552"/>
    <x v="16"/>
    <s v="T1-SWVB-UPOW"/>
    <d v="2025-05-23T00:00:00"/>
    <n v="35.99"/>
    <n v="35.99"/>
    <n v="4.3188000000000004"/>
    <n v="31.67"/>
    <n v="21.22"/>
    <n v="0.14000000000000001"/>
    <n v="0.39877104377104378"/>
    <n v="0"/>
    <n v="9.9112289562289568"/>
    <n v="4.9556144781144784"/>
    <d v="2025-05-30T00:00:00"/>
    <d v="2025-05-30T00:00:00"/>
    <d v="2025-05-30T00:00:00"/>
    <d v="2025-06-02T00:00:00"/>
    <s v="2025 05"/>
    <s v="Aguardando Liberação"/>
    <s v="2025 04"/>
    <s v="ENTREGUE"/>
    <d v="2025-05-15T00:00:00"/>
    <s v="-"/>
    <m/>
    <n v="0"/>
    <n v="0"/>
    <n v="0"/>
    <n v="0"/>
    <n v="0"/>
  </r>
  <r>
    <s v="MEI"/>
    <s v="MEI45779"/>
    <s v="Pedido 1594"/>
    <d v="2025-04-27T00:00:00"/>
    <d v="2025-05-02T00:00:00"/>
    <s v="PedidoF1524"/>
    <s v="CódRastreio1522"/>
    <n v="1"/>
    <s v="CPF 1553"/>
    <s v="Nome 1553"/>
    <s v="Tel 1553"/>
    <s v="Cep 1553"/>
    <s v="Rua 1553"/>
    <s v="Comp 1553"/>
    <x v="26"/>
    <s v="BG-DHRO-FAEE"/>
    <d v="2025-05-17T00:00:00"/>
    <n v="23.99"/>
    <n v="23.99"/>
    <n v="2.6389"/>
    <n v="21.35"/>
    <n v="0"/>
    <n v="0.11"/>
    <n v="0.39877104377104378"/>
    <n v="0"/>
    <n v="20.841228956228957"/>
    <n v="10.420614478114478"/>
    <d v="2025-05-24T00:00:00"/>
    <d v="2025-05-24T00:00:00"/>
    <d v="2025-05-30T00:00:00"/>
    <d v="2025-06-02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5"/>
    <s v="Pedido 1595"/>
    <d v="2025-04-27T00:00:00"/>
    <d v="2025-04-28T00:00:00"/>
    <s v="PedidoF1525"/>
    <s v="CódRastreio1523"/>
    <n v="1"/>
    <s v="CPF 1554"/>
    <s v="Nome 1554"/>
    <s v="Tel 1554"/>
    <s v="Cep 1554"/>
    <s v="Rua 1554"/>
    <s v="Comp 1554"/>
    <x v="12"/>
    <s v="PK-L2Z7-MQRQ"/>
    <d v="2025-05-17T00:00:00"/>
    <n v="49.9"/>
    <n v="49.9"/>
    <n v="5.9879999999999995"/>
    <n v="43.91"/>
    <n v="0"/>
    <n v="0.18"/>
    <n v="0.39877104377104378"/>
    <n v="0"/>
    <n v="43.331228956228955"/>
    <n v="21.665614478114477"/>
    <d v="2025-05-24T00:00:00"/>
    <d v="2025-05-24T00:00:00"/>
    <d v="2025-05-30T00:00:00"/>
    <d v="2025-06-02T00:00:00"/>
    <s v="2025 05"/>
    <s v="Aguardando Liberação"/>
    <s v="2025 04"/>
    <s v="ENTREGUE"/>
    <d v="2025-06-24T00:00:00"/>
    <s v="-"/>
    <m/>
    <n v="0"/>
    <n v="0"/>
    <n v="0"/>
    <n v="0"/>
    <n v="0"/>
  </r>
  <r>
    <s v="MEI"/>
    <s v="MEI45775"/>
    <s v="Pedido 1596"/>
    <d v="2025-04-27T00:00:00"/>
    <d v="2025-04-28T00:00:00"/>
    <s v="PedidoF1526"/>
    <s v="CódRastreio1524"/>
    <n v="1"/>
    <s v="CPF 1555"/>
    <s v="Nome 1555"/>
    <s v="Tel 1555"/>
    <s v="Cep 1555"/>
    <s v="Rua 1555"/>
    <s v="Comp 1555"/>
    <x v="3"/>
    <s v="WR-82Y0-OV27"/>
    <d v="2025-05-23T00:00:00"/>
    <n v="49.9"/>
    <n v="49.9"/>
    <n v="5.9879999999999995"/>
    <n v="43.91"/>
    <n v="0"/>
    <n v="0.18"/>
    <n v="0.39877104377104378"/>
    <n v="0"/>
    <n v="43.331228956228955"/>
    <n v="21.665614478114477"/>
    <d v="2025-05-30T00:00:00"/>
    <d v="2025-05-30T00:00:00"/>
    <d v="2025-05-30T00:00:00"/>
    <d v="2025-06-02T00:00:00"/>
    <s v="2025 05"/>
    <s v="Aguardando Liberação"/>
    <s v="2025 04"/>
    <s v="ENTREGUE"/>
    <d v="2025-07-02T00:00:00"/>
    <s v="-"/>
    <m/>
    <n v="0"/>
    <n v="0"/>
    <n v="0"/>
    <n v="0"/>
    <n v="0"/>
  </r>
  <r>
    <s v="MEI"/>
    <s v="MEI45779"/>
    <s v="Pedido 1597"/>
    <d v="2025-04-27T00:00:00"/>
    <d v="2025-05-02T00:00:00"/>
    <s v="PedidoF1527"/>
    <s v="CódRastreio1525"/>
    <n v="1"/>
    <s v="CPF 1556"/>
    <s v="Nome 1556"/>
    <s v="Tel 1556"/>
    <s v="Cep 1556"/>
    <s v="Rua 1556"/>
    <s v="Comp 1556"/>
    <x v="26"/>
    <s v="BG-DHRO-FAEE"/>
    <d v="2025-05-17T00:00:00"/>
    <n v="23.99"/>
    <n v="23.99"/>
    <n v="2.6389"/>
    <n v="21.35"/>
    <n v="0"/>
    <n v="0.11"/>
    <n v="0.39877104377104378"/>
    <n v="0"/>
    <n v="20.841228956228957"/>
    <n v="10.420614478114478"/>
    <d v="2025-05-24T00:00:00"/>
    <d v="2025-05-24T00:00:00"/>
    <d v="2025-05-30T00:00:00"/>
    <d v="2025-06-02T00:00:00"/>
    <s v="2025 05"/>
    <s v="Aguardando Liberação"/>
    <s v="2025 05"/>
    <s v="ENTREGUE"/>
    <d v="2025-05-09T00:00:00"/>
    <s v="-"/>
    <m/>
    <n v="0"/>
    <n v="0"/>
    <n v="0"/>
    <n v="0"/>
    <n v="0"/>
  </r>
  <r>
    <s v="MEI"/>
    <s v="MEI45775"/>
    <s v="Pedido 1598"/>
    <d v="2025-04-27T00:00:00"/>
    <d v="2025-04-28T00:00:00"/>
    <s v="PedidoF1528"/>
    <s v="CódRastreio1526"/>
    <n v="1"/>
    <s v="CPF 1557"/>
    <s v="Nome 1557"/>
    <s v="Tel 1557"/>
    <s v="Cep 1557"/>
    <s v="Rua 1557"/>
    <s v="Comp 1557"/>
    <x v="3"/>
    <s v="WR-82Y0-OV27"/>
    <d v="2025-05-17T00:00:00"/>
    <n v="49.9"/>
    <n v="49.9"/>
    <n v="5.9879999999999995"/>
    <n v="43.91"/>
    <n v="22.48"/>
    <n v="0.18"/>
    <n v="0.39877104377104378"/>
    <n v="0"/>
    <n v="20.851228956228951"/>
    <n v="10.425614478114476"/>
    <d v="2025-05-24T00:00:00"/>
    <d v="2025-05-24T00:00:00"/>
    <d v="2025-05-30T00:00:00"/>
    <d v="2025-06-02T00:00:00"/>
    <s v="2025 05"/>
    <s v="Aguardando Liberação"/>
    <s v="2025 04"/>
    <s v="ENTREGUE"/>
    <d v="2025-05-09T00:00:00"/>
    <s v="-"/>
    <m/>
    <n v="0"/>
    <n v="0"/>
    <n v="0"/>
    <n v="0"/>
    <n v="0"/>
  </r>
  <r>
    <s v="MEI"/>
    <s v="MEI45779"/>
    <s v="Pedido 1599"/>
    <d v="2025-04-27T00:00:00"/>
    <d v="2025-05-02T00:00:00"/>
    <s v="PedidoF1529"/>
    <s v="CódRastreio1527"/>
    <n v="1"/>
    <s v="CPF 1558"/>
    <s v="Nome 1558"/>
    <s v="Tel 1558"/>
    <s v="Cep 1558"/>
    <s v="Rua 1558"/>
    <s v="Comp 1558"/>
    <x v="26"/>
    <s v="BG-DHRO-FAEE"/>
    <d v="2025-05-23T00:00:00"/>
    <n v="23.99"/>
    <n v="23.99"/>
    <n v="2.6389"/>
    <n v="21.35"/>
    <n v="0"/>
    <n v="0.11"/>
    <n v="0.39877104377104378"/>
    <n v="0"/>
    <n v="20.841228956228957"/>
    <n v="10.420614478114478"/>
    <d v="2025-05-30T00:00:00"/>
    <d v="2025-05-30T00:00:00"/>
    <d v="2025-05-30T00:00:00"/>
    <d v="2025-06-02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9"/>
    <s v="Pedido 1600"/>
    <d v="2025-04-27T00:00:00"/>
    <d v="2025-05-02T00:00:00"/>
    <s v="PedidoF1530"/>
    <s v="CódRastreio1528"/>
    <n v="1"/>
    <s v="CPF 1559"/>
    <s v="Nome 1559"/>
    <s v="Tel 1559"/>
    <s v="Cep 1559"/>
    <s v="Rua 1559"/>
    <s v="Comp 1559"/>
    <x v="26"/>
    <s v="BG-DHRO-FAEE"/>
    <d v="2025-05-17T00:00:00"/>
    <n v="23.99"/>
    <n v="23.99"/>
    <n v="2.6389"/>
    <n v="21.35"/>
    <n v="0"/>
    <n v="0.11"/>
    <n v="0.39877104377104378"/>
    <n v="0"/>
    <n v="20.841228956228957"/>
    <n v="10.420614478114478"/>
    <d v="2025-05-24T00:00:00"/>
    <d v="2025-05-24T00:00:00"/>
    <d v="2025-05-30T00:00:00"/>
    <d v="2025-06-02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5"/>
    <s v="Pedido 1601"/>
    <d v="2025-04-27T00:00:00"/>
    <d v="2025-04-28T00:00:00"/>
    <s v="PedidoF1531"/>
    <s v="CódRastreio1529"/>
    <n v="1"/>
    <s v="CPF 1560"/>
    <s v="Nome 1560"/>
    <s v="Tel 1560"/>
    <s v="Cep 1560"/>
    <s v="Rua 1560"/>
    <s v="Comp 1560"/>
    <x v="3"/>
    <s v="WR-82Y0-OV27"/>
    <d v="2025-05-23T00:00:00"/>
    <n v="49.9"/>
    <n v="49.9"/>
    <n v="5.9879999999999995"/>
    <n v="43.91"/>
    <n v="22.48"/>
    <n v="0.18"/>
    <n v="0.39877104377104378"/>
    <n v="0"/>
    <n v="20.851228956228951"/>
    <n v="10.425614478114476"/>
    <d v="2025-05-30T00:00:00"/>
    <d v="2025-05-30T00:00:00"/>
    <d v="2025-05-30T00:00:00"/>
    <d v="2025-06-02T00:00:00"/>
    <s v="2025 05"/>
    <s v="Aguardando Liberação"/>
    <s v="2025 04"/>
    <s v="ENTREGUE"/>
    <d v="2025-05-23T00:00:00"/>
    <s v="-"/>
    <m/>
    <n v="0"/>
    <n v="0"/>
    <n v="0"/>
    <n v="0"/>
    <n v="0"/>
  </r>
  <r>
    <s v="MEI"/>
    <s v="MEI45779"/>
    <s v="Pedido 1602"/>
    <d v="2025-04-28T00:00:00"/>
    <d v="2025-05-02T00:00:00"/>
    <s v="PedidoF1532"/>
    <s v="CódRastreio1530"/>
    <n v="1"/>
    <s v="CPF 1561"/>
    <s v="Nome 1561"/>
    <s v="Tel 1561"/>
    <s v="Cep 1561"/>
    <s v="Rua 1561"/>
    <s v="Comp 1561"/>
    <x v="26"/>
    <s v="BG-DHRO-FAEE"/>
    <d v="2025-05-17T00:00:00"/>
    <n v="23.99"/>
    <n v="23.99"/>
    <n v="2.6389"/>
    <n v="21.35"/>
    <n v="19.309999999999999"/>
    <n v="0.11"/>
    <n v="0.39877104377104378"/>
    <n v="0"/>
    <n v="1.5312289562289578"/>
    <n v="0.76561447811447891"/>
    <d v="2025-05-24T00:00:00"/>
    <d v="2025-05-24T00:00:00"/>
    <d v="2025-05-30T00:00:00"/>
    <d v="2025-06-02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5"/>
    <s v="Pedido 1603"/>
    <d v="2025-04-28T00:00:00"/>
    <d v="2025-04-28T00:00:00"/>
    <s v="PedidoF1533"/>
    <s v="CódRastreio1531"/>
    <n v="1"/>
    <s v="CPF 1562"/>
    <s v="Nome 1562"/>
    <s v="Tel 1562"/>
    <s v="Cep 1562"/>
    <s v="Rua 1562"/>
    <s v="Comp 1562"/>
    <x v="6"/>
    <s v="VI-4RT5-1FFO"/>
    <d v="2025-05-17T00:00:00"/>
    <n v="22.7"/>
    <n v="22.7"/>
    <n v="2.7239999999999998"/>
    <n v="19.98"/>
    <n v="12.91"/>
    <n v="0.18"/>
    <n v="0.39877104377104378"/>
    <n v="0"/>
    <n v="6.4912289562289569"/>
    <n v="3.2456144781144785"/>
    <d v="2025-05-24T00:00:00"/>
    <d v="2025-05-24T00:00:00"/>
    <d v="2025-05-30T00:00:00"/>
    <d v="2025-06-02T00:00:00"/>
    <s v="2025 05"/>
    <s v="Aguardando Liberação"/>
    <s v="2025 04"/>
    <s v="ENTREGUE"/>
    <d v="2025-05-20T00:00:00"/>
    <s v="-"/>
    <m/>
    <n v="0"/>
    <n v="0"/>
    <n v="0"/>
    <n v="0"/>
    <n v="0"/>
  </r>
  <r>
    <s v="MEI"/>
    <s v="MEI45779"/>
    <s v="Pedido 1604"/>
    <d v="2025-04-28T00:00:00"/>
    <d v="2025-05-02T00:00:00"/>
    <s v="PedidoF1534"/>
    <s v="CódRastreio1532"/>
    <n v="1"/>
    <s v="CPF 1563"/>
    <s v="Nome 1563"/>
    <s v="Tel 1563"/>
    <s v="Cep 1563"/>
    <s v="Rua 1563"/>
    <s v="Comp 1563"/>
    <x v="26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d v="2025-05-31T00:00:00"/>
    <d v="2025-05-31T00:00:00"/>
    <d v="2025-06-16T00:00:00"/>
    <d v="2025-06-20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5"/>
    <s v="Pedido 1605"/>
    <d v="2025-04-28T00:00:00"/>
    <d v="2025-04-28T00:00:00"/>
    <s v="PedidoF1535"/>
    <s v="CódRastreio1533"/>
    <n v="1"/>
    <s v="CPF 1564"/>
    <s v="Nome 1564"/>
    <s v="Tel 1564"/>
    <s v="Cep 1564"/>
    <s v="Rua 1564"/>
    <s v="Comp 1564"/>
    <x v="3"/>
    <s v="WR-82Y0-OV27"/>
    <d v="2025-05-31T00:00:00"/>
    <n v="49.9"/>
    <n v="49.9"/>
    <n v="5.9879999999999995"/>
    <n v="43.91"/>
    <n v="0"/>
    <n v="0.18"/>
    <n v="0.39877104377104378"/>
    <n v="0"/>
    <n v="43.331228956228955"/>
    <n v="21.665614478114477"/>
    <d v="2025-06-07T00:00:00"/>
    <d v="2025-06-07T00:00:00"/>
    <d v="2025-06-16T00:00:00"/>
    <d v="2025-06-20T00:00:00"/>
    <s v="2025 06"/>
    <s v="Aguardando Liberação"/>
    <s v="2025 04"/>
    <s v="ENTREGUE"/>
    <d v="2025-06-25T00:00:00"/>
    <s v="-"/>
    <m/>
    <n v="0"/>
    <n v="0"/>
    <n v="0"/>
    <n v="0"/>
    <n v="0"/>
  </r>
  <r>
    <s v="MEI"/>
    <s v="MEI45775"/>
    <s v="Pedido 1606"/>
    <d v="2025-04-28T00:00:00"/>
    <d v="2025-04-28T00:00:00"/>
    <s v="PedidoF1536"/>
    <s v="CódRastreio1534"/>
    <n v="1"/>
    <s v="CPF 1565"/>
    <s v="Nome 1565"/>
    <s v="Tel 1565"/>
    <s v="Cep 1565"/>
    <s v="Rua 1565"/>
    <s v="Comp 1565"/>
    <x v="3"/>
    <s v="WR-82Y0-OV27"/>
    <d v="2025-05-24T00:00:00"/>
    <n v="49.9"/>
    <n v="49.9"/>
    <n v="5.9879999999999995"/>
    <n v="43.91"/>
    <n v="22.48"/>
    <n v="0.18"/>
    <n v="0.39877104377104378"/>
    <n v="0"/>
    <n v="20.851228956228951"/>
    <n v="10.425614478114476"/>
    <d v="2025-05-31T00:00:00"/>
    <d v="2025-05-31T00:00:00"/>
    <d v="2025-06-16T00:00:00"/>
    <d v="2025-06-20T00:00:00"/>
    <s v="2025 05"/>
    <s v="Aguardando Liberação"/>
    <s v="2025 04"/>
    <s v="ENTREGUE"/>
    <d v="2025-06-04T00:00:00"/>
    <s v="-"/>
    <m/>
    <n v="0"/>
    <n v="0"/>
    <n v="0"/>
    <n v="0"/>
    <n v="0"/>
  </r>
  <r>
    <s v="MEI"/>
    <s v="MEI45775"/>
    <s v="Pedido 1607"/>
    <d v="2025-04-28T00:00:00"/>
    <d v="2025-04-28T00:00:00"/>
    <s v="PedidoF1537"/>
    <s v="CódRastreio1535"/>
    <n v="1"/>
    <s v="CPF 1566"/>
    <s v="Nome 1566"/>
    <s v="Tel 1566"/>
    <s v="Cep 1566"/>
    <s v="Rua 1566"/>
    <s v="Comp 1566"/>
    <x v="12"/>
    <s v="PK-L2Z7-MQRQ"/>
    <d v="2025-05-20T00:00:00"/>
    <n v="49.9"/>
    <n v="49.9"/>
    <n v="5.9879999999999995"/>
    <n v="43.91"/>
    <n v="14.03"/>
    <n v="0.18"/>
    <n v="0.39877104377104378"/>
    <n v="0"/>
    <n v="29.301228956228954"/>
    <n v="14.650614478114477"/>
    <d v="2025-05-27T00:00:00"/>
    <d v="2025-05-27T00:00:00"/>
    <d v="2025-05-30T00:00:00"/>
    <d v="2025-06-02T00:00:00"/>
    <s v="2025 05"/>
    <s v="Aguardando Liberação"/>
    <s v="2025 04"/>
    <s v="ENTREGUE"/>
    <d v="2025-05-28T00:00:00"/>
    <s v="-"/>
    <m/>
    <n v="0"/>
    <n v="0"/>
    <n v="0"/>
    <n v="0"/>
    <n v="0"/>
  </r>
  <r>
    <s v="MEI"/>
    <s v="MEI45779"/>
    <s v="Pedido 1608"/>
    <d v="2025-04-28T00:00:00"/>
    <d v="2025-05-02T00:00:00"/>
    <s v="PedidoF1538"/>
    <s v="CódRastreio1536"/>
    <n v="1"/>
    <s v="CPF 1567"/>
    <s v="Nome 1567"/>
    <s v="Tel 1567"/>
    <s v="Cep 1567"/>
    <s v="Rua 1567"/>
    <s v="Comp 1567"/>
    <x v="26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d v="2025-05-31T00:00:00"/>
    <d v="2025-05-31T00:00:00"/>
    <d v="2025-06-16T00:00:00"/>
    <d v="2025-06-20T00:00:00"/>
    <s v="2025 05"/>
    <s v="Aguardando Liberação"/>
    <s v="2025 05"/>
    <s v="ENTREGUE"/>
    <d v="2025-05-10T00:00:00"/>
    <s v="-"/>
    <m/>
    <n v="0"/>
    <n v="0"/>
    <n v="0"/>
    <n v="0"/>
    <n v="0"/>
  </r>
  <r>
    <s v="MEI"/>
    <s v="MEI45775"/>
    <s v="Pedido 1609"/>
    <d v="2025-04-28T00:00:00"/>
    <d v="2025-04-28T00:00:00"/>
    <s v="PedidoF1539"/>
    <s v="CódRastreio1537"/>
    <n v="1"/>
    <s v="CPF 1568"/>
    <s v="Nome 1568"/>
    <s v="Tel 1568"/>
    <s v="Cep 1568"/>
    <s v="Rua 1568"/>
    <s v="Comp 1568"/>
    <x v="12"/>
    <s v="PK-L2Z7-MQRQ"/>
    <d v="2025-05-31T00:00:00"/>
    <n v="49.9"/>
    <n v="49.9"/>
    <n v="5.9879999999999995"/>
    <n v="43.91"/>
    <n v="0"/>
    <n v="0.18"/>
    <n v="0.39877104377104378"/>
    <n v="0"/>
    <n v="43.331228956228955"/>
    <n v="21.665614478114477"/>
    <d v="2025-06-07T00:00:00"/>
    <d v="2025-06-07T00:00:00"/>
    <d v="2025-06-16T00:00:00"/>
    <d v="2025-06-20T00:00:00"/>
    <s v="2025 06"/>
    <s v="Aguardando Liberação"/>
    <s v="2025 04"/>
    <s v="ENTREGUE"/>
    <d v="2025-06-25T00:00:00"/>
    <s v="-"/>
    <m/>
    <n v="0"/>
    <n v="0"/>
    <n v="0"/>
    <n v="0"/>
    <n v="0"/>
  </r>
  <r>
    <s v="MEI"/>
    <s v="MEI45779"/>
    <s v="Pedido 1610"/>
    <d v="2025-04-28T00:00:00"/>
    <d v="2025-05-02T00:00:00"/>
    <s v="PedidoF1540"/>
    <s v="CódRastreio1538"/>
    <n v="1"/>
    <s v="CPF 1569"/>
    <s v="Nome 1569"/>
    <s v="Tel 1569"/>
    <s v="Cep 1569"/>
    <s v="Rua 1569"/>
    <s v="Comp 1569"/>
    <x v="26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d v="2025-05-31T00:00:00"/>
    <d v="2025-05-31T00:00:00"/>
    <d v="2025-06-16T00:00:00"/>
    <d v="2025-06-20T00:00:00"/>
    <s v="2025 05"/>
    <s v="Aguardando Liberação"/>
    <s v="2025 05"/>
    <s v="ENTREGUE"/>
    <d v="2025-05-09T00:00:00"/>
    <s v="-"/>
    <m/>
    <n v="0"/>
    <n v="0"/>
    <n v="0"/>
    <n v="0"/>
    <n v="0"/>
  </r>
  <r>
    <s v="MEI"/>
    <s v="MEI45777"/>
    <s v="Pedido 1611"/>
    <d v="2025-04-28T00:00:00"/>
    <d v="2025-04-30T00:00:00"/>
    <s v="PedidoF1541"/>
    <s v="CódRastreio1539"/>
    <n v="1"/>
    <s v="CPF 1570"/>
    <s v="Nome 1570"/>
    <s v="Tel 1570"/>
    <s v="Cep 1570"/>
    <s v="Rua 1570"/>
    <s v="Comp 1570"/>
    <x v="6"/>
    <s v="VI-4RT5-1FFO"/>
    <d v="2025-05-24T00:00:00"/>
    <n v="22.7"/>
    <n v="22.7"/>
    <n v="2.7239999999999998"/>
    <n v="19.98"/>
    <n v="17.170000000000002"/>
    <n v="0.12"/>
    <n v="0.39877104377104378"/>
    <n v="0"/>
    <n v="2.2912289562289523"/>
    <n v="1.1456144781144761"/>
    <d v="2025-05-31T00:00:00"/>
    <d v="2025-05-31T00:00:00"/>
    <d v="2025-06-16T00:00:00"/>
    <d v="2025-06-20T00:00:00"/>
    <s v="2025 05"/>
    <s v="Aguardando Liberação"/>
    <s v="2025 04"/>
    <s v="ENTREGUE"/>
    <d v="2025-05-14T00:00:00"/>
    <s v="-"/>
    <m/>
    <n v="0"/>
    <n v="0"/>
    <n v="0"/>
    <n v="0"/>
    <n v="0"/>
  </r>
  <r>
    <s v="GO"/>
    <s v="GO45775"/>
    <s v="Pedido 1612"/>
    <d v="2025-04-25T00:00:00"/>
    <d v="2025-04-28T00:00:00"/>
    <s v="PedidoF1542"/>
    <s v="CódRastreio1540"/>
    <n v="1"/>
    <s v="CPF 1571"/>
    <s v="Nome 1571"/>
    <s v="Tel 1571"/>
    <s v="Cep 1571"/>
    <s v="Rua 1571"/>
    <s v="Comp 1571"/>
    <x v="10"/>
    <s v="EP-9PIR-BWXH"/>
    <d v="2025-05-23T00:00:00"/>
    <n v="65.739999999999995"/>
    <n v="65.739999999999995"/>
    <n v="7.8887999999999989"/>
    <n v="57.85"/>
    <n v="13.82"/>
    <n v="0.1"/>
    <n v="0.39877104377104378"/>
    <n v="0"/>
    <n v="43.531228956228958"/>
    <n v="43.531228956228958"/>
    <d v="2025-05-30T00:00:00"/>
    <d v="2025-05-30T00:00:00"/>
    <d v="2025-05-30T00:00:00"/>
    <d v="2025-06-02T00:00:00"/>
    <s v="2025 05"/>
    <s v="Aguardando Liberação"/>
    <s v="2025 04"/>
    <s v="ENTREGUE"/>
    <d v="2025-05-13T00:00:00"/>
    <s v="-"/>
    <m/>
    <n v="0"/>
    <n v="0"/>
    <n v="0"/>
    <n v="0"/>
    <n v="0"/>
  </r>
  <r>
    <s v="MEI"/>
    <s v="MEI45776"/>
    <s v="Pedido 1613"/>
    <d v="2025-04-28T00:00:00"/>
    <d v="2025-04-29T00:00:00"/>
    <s v="PedidoF1543"/>
    <s v="CódRastreio1541"/>
    <n v="1"/>
    <s v="CPF 1572"/>
    <s v="Nome 1572"/>
    <s v="Tel 1572"/>
    <s v="Cep 1572"/>
    <s v="Rua 1572"/>
    <s v="Comp 1572"/>
    <x v="3"/>
    <s v="WR-82Y0-OV27"/>
    <d v="2025-05-24T00:00:00"/>
    <n v="49.9"/>
    <n v="49.9"/>
    <n v="5.9879999999999995"/>
    <n v="43.91"/>
    <n v="23.3"/>
    <n v="0.14000000000000001"/>
    <n v="0.39877104377104378"/>
    <n v="0"/>
    <n v="20.07122895622895"/>
    <n v="10.035614478114475"/>
    <d v="2025-05-31T00:00:00"/>
    <d v="2025-05-31T00:00:00"/>
    <d v="2025-06-16T00:00:00"/>
    <d v="2025-06-20T00:00:00"/>
    <s v="2025 05"/>
    <s v="Aguardando Liberação"/>
    <s v="2025 04"/>
    <s v="ENTREGUE"/>
    <d v="2025-06-02T00:00:00"/>
    <s v="-"/>
    <m/>
    <n v="0"/>
    <n v="0"/>
    <n v="0"/>
    <n v="0"/>
    <n v="0"/>
  </r>
  <r>
    <s v="MEI"/>
    <s v="MEI45777"/>
    <s v="Pedido 1614"/>
    <d v="2025-04-28T00:00:00"/>
    <d v="2025-04-30T00:00:00"/>
    <s v="PedidoF1544"/>
    <s v="CódRastreio1542"/>
    <n v="1"/>
    <s v="CPF 1573"/>
    <s v="Nome 1573"/>
    <s v="Tel 1573"/>
    <s v="Cep 1573"/>
    <s v="Rua 1573"/>
    <s v="Comp 1573"/>
    <x v="3"/>
    <s v="WR-82Y0-OV27"/>
    <d v="2025-05-24T00:00:00"/>
    <n v="49.9"/>
    <n v="49.9"/>
    <n v="5.9879999999999995"/>
    <n v="43.91"/>
    <n v="20.71"/>
    <n v="0.12"/>
    <n v="0.39877104377104378"/>
    <n v="0"/>
    <n v="22.681228956228949"/>
    <n v="11.340614478114475"/>
    <d v="2025-05-31T00:00:00"/>
    <d v="2025-05-31T00:00:00"/>
    <d v="2025-06-16T00:00:00"/>
    <d v="2025-06-20T00:00:00"/>
    <s v="2025 05"/>
    <s v="Aguardando Liberação"/>
    <s v="2025 04"/>
    <s v="ENTREGUE"/>
    <d v="2025-05-30T00:00:00"/>
    <s v="-"/>
    <m/>
    <n v="0"/>
    <n v="0"/>
    <n v="0"/>
    <n v="0"/>
    <n v="0"/>
  </r>
  <r>
    <s v="MEI"/>
    <s v="MEI45779"/>
    <s v="Pedido 1615"/>
    <d v="2025-04-28T00:00:00"/>
    <d v="2025-05-02T00:00:00"/>
    <s v="PedidoF1545"/>
    <s v="CódRastreio1543"/>
    <n v="1"/>
    <s v="CPF 1574"/>
    <s v="Nome 1574"/>
    <s v="Tel 1574"/>
    <s v="Cep 1574"/>
    <s v="Rua 1574"/>
    <s v="Comp 1574"/>
    <x v="26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d v="2025-05-31T00:00:00"/>
    <d v="2025-05-31T00:00:00"/>
    <d v="2025-06-16T00:00:00"/>
    <d v="2025-06-20T00:00:00"/>
    <s v="2025 05"/>
    <s v="Aguardando Liberação"/>
    <s v="2025 05"/>
    <s v="ENTREGUE"/>
    <d v="2025-05-11T00:00:00"/>
    <s v="-"/>
    <m/>
    <n v="0"/>
    <n v="0"/>
    <n v="0"/>
    <n v="0"/>
    <n v="0"/>
  </r>
  <r>
    <s v="MEI"/>
    <s v="MEI-"/>
    <s v="Pedido 1616"/>
    <d v="2025-04-28T00:00:00"/>
    <s v="-"/>
    <s v="-"/>
    <s v="-"/>
    <n v="1"/>
    <s v="CPF 1575"/>
    <s v="Nome 1575"/>
    <s v="Tel 1575"/>
    <s v="Cep 1575"/>
    <s v="Rua 1575"/>
    <s v="Comp 1575"/>
    <x v="3"/>
    <s v="WR-82Y0-OV27"/>
    <d v="2025-05-24T00:00:00"/>
    <n v="49.9"/>
    <n v="49.9"/>
    <n v="5.9879999999999995"/>
    <n v="43.91"/>
    <n v="0"/>
    <n v="0"/>
    <n v="0"/>
    <n v="0"/>
    <n v="43.91"/>
    <n v="21.954999999999998"/>
    <d v="2025-05-31T00:00:00"/>
    <d v="2025-05-31T00:00:00"/>
    <d v="2025-06-16T00:00:00"/>
    <d v="2025-06-20T00:00:00"/>
    <s v="2025 05"/>
    <s v="Aguardando Liberação"/>
    <s v="- -"/>
    <s v="-"/>
    <s v="-"/>
    <s v="-"/>
    <m/>
    <n v="0"/>
    <n v="0"/>
    <n v="0"/>
    <n v="0"/>
    <n v="0"/>
  </r>
  <r>
    <s v="MEI"/>
    <s v="MEI45776"/>
    <s v="Pedido 1617"/>
    <d v="2025-04-29T00:00:00"/>
    <d v="2025-04-29T00:00:00"/>
    <s v="PedidoF1546"/>
    <s v="CódRastreio1544"/>
    <n v="1"/>
    <s v="CPF 1576"/>
    <s v="Nome 1576"/>
    <s v="Tel 1576"/>
    <s v="Cep 1576"/>
    <s v="Rua 1576"/>
    <s v="Comp 1576"/>
    <x v="15"/>
    <s v="71-KHMZ-MLQW"/>
    <d v="2025-05-24T00:00:00"/>
    <n v="49.99"/>
    <n v="49.99"/>
    <n v="5.4988999999999999"/>
    <n v="44.49"/>
    <n v="0"/>
    <n v="0.14000000000000001"/>
    <n v="0.39877104377104378"/>
    <n v="0"/>
    <n v="43.95122895622896"/>
    <n v="21.97561447811448"/>
    <d v="2025-05-31T00:00:00"/>
    <d v="2025-05-31T00:00:00"/>
    <d v="2025-06-16T00:00:00"/>
    <d v="2025-06-20T00:00:00"/>
    <s v="2025 05"/>
    <s v="Aguardando Liberação"/>
    <s v="2025 04"/>
    <s v="ENTREGUE"/>
    <d v="2025-05-07T00:00:00"/>
    <s v="-"/>
    <m/>
    <n v="0"/>
    <n v="0"/>
    <n v="0"/>
    <n v="0"/>
    <n v="0"/>
  </r>
  <r>
    <s v="MEI"/>
    <s v="MEI-"/>
    <s v="Pedido 1618"/>
    <d v="2025-04-29T00:00:00"/>
    <s v="-"/>
    <s v="-"/>
    <s v="-"/>
    <n v="1"/>
    <s v="CPF 1577"/>
    <s v="Nome 1577"/>
    <s v="Tel 1577"/>
    <s v="Cep 1577"/>
    <s v="Rua 1577"/>
    <s v="Comp 1577"/>
    <x v="26"/>
    <s v="BG-DHRO-FAEE"/>
    <d v="2025-05-24T00:00:00"/>
    <n v="23.99"/>
    <n v="23.99"/>
    <n v="2.6389"/>
    <n v="21.35"/>
    <n v="0"/>
    <n v="0"/>
    <n v="0"/>
    <n v="0"/>
    <n v="21.35"/>
    <n v="10.675000000000001"/>
    <d v="2025-05-31T00:00:00"/>
    <d v="2025-05-31T00:00:00"/>
    <d v="2025-06-16T00:00:00"/>
    <d v="2025-06-20T00:00:00"/>
    <s v="2025 05"/>
    <s v="Aguardando Liberação"/>
    <s v="- -"/>
    <s v="-"/>
    <s v="-"/>
    <s v="-"/>
    <m/>
    <n v="0"/>
    <n v="0"/>
    <n v="0"/>
    <n v="0"/>
    <n v="0"/>
  </r>
  <r>
    <s v="MEI"/>
    <s v="MEI45776"/>
    <s v="Pedido 1619"/>
    <d v="2025-04-29T00:00:00"/>
    <d v="2025-04-29T00:00:00"/>
    <s v="PedidoF1547"/>
    <s v="CódRastreio1545"/>
    <n v="1"/>
    <s v="CPF 1578"/>
    <s v="Nome 1578"/>
    <s v="Tel 1578"/>
    <s v="Cep 1578"/>
    <s v="Rua 1578"/>
    <s v="Comp 1578"/>
    <x v="12"/>
    <s v="PK-L2Z7-MQRQ"/>
    <d v="2025-05-31T00:00:00"/>
    <n v="49.9"/>
    <n v="49.9"/>
    <n v="5.9879999999999995"/>
    <n v="43.91"/>
    <n v="0"/>
    <n v="0.14000000000000001"/>
    <n v="0.39877104377104378"/>
    <n v="0"/>
    <n v="43.371228956228954"/>
    <n v="21.685614478114477"/>
    <d v="2025-06-07T00:00:00"/>
    <d v="2025-06-07T00:00:00"/>
    <d v="2025-06-16T00:00:00"/>
    <d v="2025-06-20T00:00:00"/>
    <s v="2025 06"/>
    <s v="Aguardando Liberação"/>
    <s v="2025 04"/>
    <s v="ENTREGUE"/>
    <d v="2025-06-24T00:00:00"/>
    <s v="-"/>
    <m/>
    <n v="0"/>
    <n v="0"/>
    <n v="0"/>
    <n v="0"/>
    <n v="0"/>
  </r>
  <r>
    <s v="MEI"/>
    <s v="MEI45777"/>
    <s v="Pedido 1620"/>
    <d v="2025-04-29T00:00:00"/>
    <d v="2025-04-30T00:00:00"/>
    <s v="PedidoF1548"/>
    <s v="CódRastreio1546"/>
    <n v="1"/>
    <s v="CPF 1579"/>
    <s v="Nome 1579"/>
    <s v="Tel 1579"/>
    <s v="Cep 1579"/>
    <s v="Rua 1579"/>
    <s v="Comp 1579"/>
    <x v="6"/>
    <s v="VI-4RT5-1FFO"/>
    <d v="2025-05-24T00:00:00"/>
    <n v="22.7"/>
    <n v="22.7"/>
    <n v="2.7239999999999998"/>
    <n v="19.98"/>
    <n v="12.17"/>
    <n v="0.12"/>
    <n v="0.39877104377104378"/>
    <n v="0"/>
    <n v="7.2912289562289576"/>
    <n v="3.6456144781144788"/>
    <d v="2025-05-31T00:00:00"/>
    <d v="2025-05-31T00:00:00"/>
    <d v="2025-06-16T00:00:00"/>
    <d v="2025-06-20T00:00:00"/>
    <s v="2025 05"/>
    <s v="Aguardando Liberação"/>
    <s v="2025 04"/>
    <s v="ENTREGUE"/>
    <d v="2025-05-10T00:00:00"/>
    <s v="-"/>
    <m/>
    <n v="0"/>
    <n v="0"/>
    <n v="0"/>
    <n v="0"/>
    <n v="0"/>
  </r>
  <r>
    <s v="MEI"/>
    <s v="MEI45783"/>
    <s v="Pedido 1621"/>
    <d v="2025-04-29T00:00:00"/>
    <d v="2025-05-06T00:00:00"/>
    <s v="PedidoF1549"/>
    <s v="CódRastreio1547"/>
    <n v="1"/>
    <s v="CPF 1580"/>
    <s v="Nome 1580"/>
    <s v="Tel 1580"/>
    <s v="Cep 1580"/>
    <s v="Rua 1580"/>
    <s v="Comp 1580"/>
    <x v="26"/>
    <s v="BG-DHRO-FAEE"/>
    <d v="2025-05-24T00:00:00"/>
    <n v="23.99"/>
    <n v="23.99"/>
    <n v="2.6389"/>
    <n v="21.35"/>
    <n v="0"/>
    <n v="0.12"/>
    <n v="0.39877104377104378"/>
    <n v="0"/>
    <n v="20.831228956228959"/>
    <n v="10.415614478114479"/>
    <d v="2025-05-31T00:00:00"/>
    <d v="2025-05-31T00:00:00"/>
    <d v="2025-06-16T00:00:00"/>
    <d v="2025-06-20T00:00:00"/>
    <s v="2025 05"/>
    <s v="Aguardando Liberação"/>
    <s v="2025 05"/>
    <s v="ENTREGUE"/>
    <d v="2025-05-12T00:00:00"/>
    <s v="-"/>
    <m/>
    <n v="0"/>
    <n v="0"/>
    <n v="0"/>
    <n v="0"/>
    <n v="0"/>
  </r>
  <r>
    <s v="MEI"/>
    <s v="MEI45776"/>
    <s v="Pedido 1622"/>
    <d v="2025-04-29T00:00:00"/>
    <d v="2025-04-29T00:00:00"/>
    <s v="PedidoF1550"/>
    <s v="CódRastreio1548"/>
    <n v="1"/>
    <s v="CPF 1581"/>
    <s v="Nome 1581"/>
    <s v="Tel 1581"/>
    <s v="Cep 1581"/>
    <s v="Rua 1581"/>
    <s v="Comp 1581"/>
    <x v="3"/>
    <s v="WR-82Y0-OV27"/>
    <d v="2025-05-27T00:00:00"/>
    <n v="49.9"/>
    <n v="49.9"/>
    <n v="5.9879999999999995"/>
    <n v="43.91"/>
    <n v="0"/>
    <n v="0.14000000000000001"/>
    <n v="0.39877104377104378"/>
    <n v="0"/>
    <n v="43.371228956228954"/>
    <n v="21.685614478114477"/>
    <d v="2025-06-03T00:00:00"/>
    <d v="2025-06-03T00:00:00"/>
    <d v="2025-06-16T00:00:00"/>
    <d v="2025-06-20T00:00:00"/>
    <s v="2025 06"/>
    <s v="Aguardando Liberação"/>
    <s v="2025 04"/>
    <s v="ENTREGUE"/>
    <d v="2025-05-14T00:00:00"/>
    <s v="-"/>
    <m/>
    <n v="0"/>
    <n v="0"/>
    <n v="0"/>
    <n v="0"/>
    <n v="0"/>
  </r>
  <r>
    <s v="MEI"/>
    <s v="MEI45776"/>
    <s v="Pedido 1623"/>
    <d v="2025-04-29T00:00:00"/>
    <d v="2025-04-29T00:00:00"/>
    <s v="PedidoF1551"/>
    <s v="CódRastreio1549"/>
    <n v="1"/>
    <s v="CPF 1582"/>
    <s v="Nome 1582"/>
    <s v="Tel 1582"/>
    <s v="Cep 1582"/>
    <s v="Rua 1582"/>
    <s v="Comp 1582"/>
    <x v="12"/>
    <s v="PK-L2Z7-MQRQ"/>
    <d v="2025-05-27T00:00:00"/>
    <n v="49.9"/>
    <n v="49.9"/>
    <n v="5.9879999999999995"/>
    <n v="43.91"/>
    <n v="22.03"/>
    <n v="0.14000000000000001"/>
    <n v="0.39877104377104378"/>
    <n v="0"/>
    <n v="21.341228956228949"/>
    <n v="10.670614478114475"/>
    <d v="2025-06-03T00:00:00"/>
    <d v="2025-06-03T00:00:00"/>
    <d v="2025-06-16T00:00:00"/>
    <d v="2025-06-20T00:00:00"/>
    <s v="2025 06"/>
    <s v="Aguardando Liberação"/>
    <s v="2025 04"/>
    <s v="ENTREGUE"/>
    <d v="2025-05-12T00:00:00"/>
    <s v="-"/>
    <m/>
    <n v="0"/>
    <n v="0"/>
    <n v="0"/>
    <n v="0"/>
    <n v="0"/>
  </r>
  <r>
    <s v="MEI"/>
    <s v="MEI45776"/>
    <s v="Pedido 1624"/>
    <d v="2025-04-29T00:00:00"/>
    <d v="2025-04-29T00:00:00"/>
    <s v="PedidoF1552"/>
    <s v="CódRastreio1550"/>
    <n v="1"/>
    <s v="CPF 1583"/>
    <s v="Nome 1583"/>
    <s v="Tel 1583"/>
    <s v="Cep 1583"/>
    <s v="Rua 1583"/>
    <s v="Comp 1583"/>
    <x v="15"/>
    <s v="71-KHMZ-MLQW"/>
    <d v="2025-05-27T00:00:00"/>
    <n v="49.99"/>
    <n v="49.99"/>
    <n v="5.4988999999999999"/>
    <n v="44.49"/>
    <n v="0"/>
    <n v="0.14000000000000001"/>
    <n v="0.39877104377104378"/>
    <n v="0"/>
    <n v="43.95122895622896"/>
    <n v="21.97561447811448"/>
    <d v="2025-06-03T00:00:00"/>
    <d v="2025-06-03T00:00:00"/>
    <d v="2025-06-16T00:00:00"/>
    <d v="2025-06-20T00:00:00"/>
    <s v="2025 06"/>
    <s v="Aguardando Liberação"/>
    <s v="2025 04"/>
    <s v="ENTREGUE"/>
    <d v="2025-07-30T00:00:00"/>
    <s v="-"/>
    <m/>
    <n v="0"/>
    <n v="0"/>
    <n v="0"/>
    <n v="0"/>
    <n v="0"/>
  </r>
  <r>
    <s v="MEI"/>
    <s v="MEI45783"/>
    <s v="Pedido 1625"/>
    <d v="2025-04-29T00:00:00"/>
    <d v="2025-05-06T00:00:00"/>
    <s v="PedidoF1553"/>
    <s v="CódRastreio1551"/>
    <n v="1"/>
    <s v="CPF 1584"/>
    <s v="Nome 1584"/>
    <s v="Tel 1584"/>
    <s v="Cep 1584"/>
    <s v="Rua 1584"/>
    <s v="Comp 1584"/>
    <x v="26"/>
    <s v="BG-DHRO-FAEE"/>
    <d v="2025-05-27T00:00:00"/>
    <n v="23.99"/>
    <n v="23.99"/>
    <n v="2.6389"/>
    <n v="21.35"/>
    <n v="14.52"/>
    <n v="0.12"/>
    <n v="0.39877104377104378"/>
    <n v="0"/>
    <n v="6.311228956228959"/>
    <n v="3.1556144781144795"/>
    <d v="2025-06-03T00:00:00"/>
    <d v="2025-06-03T00:00:00"/>
    <d v="2025-06-16T00:00:00"/>
    <d v="2025-06-20T00:00:00"/>
    <s v="2025 06"/>
    <s v="Aguardando Liberação"/>
    <s v="2025 05"/>
    <s v="ENTREGUE"/>
    <d v="2025-05-13T00:00:00"/>
    <s v="-"/>
    <m/>
    <n v="0"/>
    <n v="0"/>
    <n v="0"/>
    <n v="0"/>
    <n v="0"/>
  </r>
  <r>
    <s v="MEI"/>
    <s v="MEI45776"/>
    <s v="Pedido 1626"/>
    <d v="2025-04-29T00:00:00"/>
    <d v="2025-04-29T00:00:00"/>
    <s v="PedidoF1554"/>
    <s v="CódRastreio1552"/>
    <n v="1"/>
    <s v="CPF 1585"/>
    <s v="Nome 1585"/>
    <s v="Tel 1585"/>
    <s v="Cep 1585"/>
    <s v="Rua 1585"/>
    <s v="Comp 1585"/>
    <x v="12"/>
    <s v="PK-L2Z7-MQRQ"/>
    <d v="2025-06-03T00:00:00"/>
    <n v="49.9"/>
    <n v="49.9"/>
    <n v="5.9879999999999995"/>
    <n v="43.91"/>
    <n v="14.02"/>
    <n v="0.14000000000000001"/>
    <n v="0.39877104377104378"/>
    <n v="0"/>
    <n v="29.351228956228951"/>
    <n v="14.675614478114476"/>
    <d v="2025-06-10T00:00:00"/>
    <d v="2025-06-10T00:00:00"/>
    <d v="2025-06-16T00:00:00"/>
    <d v="2025-06-20T00:00:00"/>
    <s v="2025 06"/>
    <s v="Aguardando Liberação"/>
    <s v="2025 04"/>
    <s v="ENTREGUE"/>
    <d v="2025-05-23T00:00:00"/>
    <s v="-"/>
    <m/>
    <n v="0"/>
    <n v="0"/>
    <n v="0"/>
    <n v="0"/>
    <n v="0"/>
  </r>
  <r>
    <s v="MEI"/>
    <s v="MEI45776"/>
    <s v="Pedido 1627"/>
    <d v="2025-04-29T00:00:00"/>
    <d v="2025-04-29T00:00:00"/>
    <s v="PedidoF1555"/>
    <s v="CódRastreio1553"/>
    <n v="1"/>
    <s v="CPF 1586"/>
    <s v="Nome 1586"/>
    <s v="Tel 1586"/>
    <s v="Cep 1586"/>
    <s v="Rua 1586"/>
    <s v="Comp 1586"/>
    <x v="3"/>
    <s v="WR-82Y0-OV27"/>
    <d v="2025-05-27T00:00:00"/>
    <n v="49.9"/>
    <n v="49.9"/>
    <n v="5.9879999999999995"/>
    <n v="43.91"/>
    <n v="22.47"/>
    <n v="0.14000000000000001"/>
    <n v="0.39877104377104378"/>
    <n v="0"/>
    <n v="20.901228956228952"/>
    <n v="10.450614478114476"/>
    <d v="2025-06-03T00:00:00"/>
    <d v="2025-06-03T00:00:00"/>
    <d v="2025-06-16T00:00:00"/>
    <d v="2025-06-20T00:00:00"/>
    <s v="2025 06"/>
    <s v="Aguardando Liberação"/>
    <s v="2025 04"/>
    <s v="ENTREGUE"/>
    <d v="2025-05-13T00:00:00"/>
    <s v="-"/>
    <m/>
    <n v="0"/>
    <n v="0"/>
    <n v="0"/>
    <n v="0"/>
    <n v="0"/>
  </r>
  <r>
    <s v="MEI"/>
    <s v="MEI-"/>
    <s v="Pedido 1628"/>
    <d v="2025-04-29T00:00:00"/>
    <s v="-"/>
    <s v="-"/>
    <s v="-"/>
    <n v="1"/>
    <s v="CPF 1587"/>
    <s v="Nome 1587"/>
    <s v="Tel 1587"/>
    <s v="Cep 1587"/>
    <s v="Rua 1587"/>
    <s v="Comp 1587"/>
    <x v="15"/>
    <s v="71-KHMZ-MLQW"/>
    <d v="2025-06-03T00:00:00"/>
    <n v="49.99"/>
    <n v="49.99"/>
    <n v="5.4988999999999999"/>
    <n v="44.49"/>
    <n v="0"/>
    <n v="0"/>
    <n v="0"/>
    <n v="0"/>
    <n v="44.49"/>
    <n v="22.245000000000001"/>
    <d v="2025-06-10T00:00:00"/>
    <d v="2025-06-10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77"/>
    <s v="Pedido 1629"/>
    <d v="2025-04-29T00:00:00"/>
    <d v="2025-04-30T00:00:00"/>
    <s v="PedidoF1556"/>
    <s v="CódRastreio1554"/>
    <n v="1"/>
    <s v="CPF 1588"/>
    <s v="Nome 1588"/>
    <s v="Tel 1588"/>
    <s v="Cep 1588"/>
    <s v="Rua 1588"/>
    <s v="Comp 1588"/>
    <x v="15"/>
    <s v="71-KHMZ-MLQW"/>
    <d v="2025-06-03T00:00:00"/>
    <n v="49.99"/>
    <n v="49.99"/>
    <n v="5.4988999999999999"/>
    <n v="44.49"/>
    <n v="24.58"/>
    <n v="0.12"/>
    <n v="0.39877104377104378"/>
    <n v="0"/>
    <n v="19.391228956228957"/>
    <n v="9.6956144781144786"/>
    <d v="2025-06-10T00:00:00"/>
    <d v="2025-06-10T00:00:00"/>
    <d v="2025-06-16T00:00:00"/>
    <d v="2025-06-20T00:00:00"/>
    <s v="2025 06"/>
    <s v="Aguardando Liberação"/>
    <s v="2025 04"/>
    <s v="ENTREGUE"/>
    <d v="2025-05-20T00:00:00"/>
    <s v="-"/>
    <m/>
    <n v="0"/>
    <n v="0"/>
    <n v="0"/>
    <n v="0"/>
    <n v="0"/>
  </r>
  <r>
    <s v="MEI"/>
    <s v="MEI45777"/>
    <s v="Pedido 1630"/>
    <d v="2025-04-29T00:00:00"/>
    <d v="2025-04-30T00:00:00"/>
    <s v="PedidoF1557"/>
    <s v="CódRastreio1555"/>
    <n v="1"/>
    <s v="CPF 1589"/>
    <s v="Nome 1589"/>
    <s v="Tel 1589"/>
    <s v="Cep 1589"/>
    <s v="Rua 1589"/>
    <s v="Comp 1589"/>
    <x v="10"/>
    <s v="WU-SS4J-LFOH"/>
    <d v="2025-05-21T00:00:00"/>
    <n v="65.7"/>
    <n v="65.7"/>
    <n v="7.8840000000000003"/>
    <n v="57.82"/>
    <n v="20.91"/>
    <n v="0.12"/>
    <n v="0.39877104377104378"/>
    <n v="0"/>
    <n v="36.391228956228957"/>
    <n v="18.195614478114479"/>
    <d v="2025-05-28T00:00:00"/>
    <d v="2025-05-28T00:00:00"/>
    <d v="2025-05-30T00:00:00"/>
    <d v="2025-06-02T00:00:00"/>
    <s v="2025 05"/>
    <s v="Aguardando Liberação"/>
    <s v="2025 04"/>
    <s v="ENTREGUE"/>
    <d v="2025-05-08T00:00:00"/>
    <s v="-"/>
    <m/>
    <n v="0"/>
    <n v="0"/>
    <n v="0"/>
    <n v="0"/>
    <n v="0"/>
  </r>
  <r>
    <s v="MEI"/>
    <s v="MEI-"/>
    <s v="Pedido 1631"/>
    <d v="2025-04-30T00:00:00"/>
    <s v="-"/>
    <s v="-"/>
    <s v="-"/>
    <n v="1"/>
    <s v="CPF 1590"/>
    <s v="Nome 1590"/>
    <s v="Tel 1590"/>
    <s v="Cep 1590"/>
    <s v="Rua 1590"/>
    <s v="Comp 1590"/>
    <x v="26"/>
    <s v="BG-DHRO-FAEE"/>
    <d v="2025-06-03T00:00:00"/>
    <n v="23.99"/>
    <n v="23.99"/>
    <n v="2.6389"/>
    <n v="21.35"/>
    <n v="0"/>
    <n v="0"/>
    <n v="0"/>
    <n v="0"/>
    <n v="21.35"/>
    <n v="10.675000000000001"/>
    <d v="2025-06-10T00:00:00"/>
    <d v="2025-06-10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77"/>
    <s v="Pedido 1632"/>
    <d v="2025-04-30T00:00:00"/>
    <d v="2025-04-30T00:00:00"/>
    <s v="PedidoF1558"/>
    <s v="CódRastreio1556"/>
    <n v="1"/>
    <s v="CPF 1591"/>
    <s v="Nome 1591"/>
    <s v="Tel 1591"/>
    <s v="Cep 1591"/>
    <s v="Rua 1591"/>
    <s v="Comp 1591"/>
    <x v="6"/>
    <s v="VI-4RT5-1FFO"/>
    <d v="2025-05-21T00:00:00"/>
    <n v="22.7"/>
    <n v="22.7"/>
    <n v="2.7239999999999998"/>
    <n v="19.98"/>
    <n v="16.2"/>
    <n v="0.12"/>
    <n v="0.39877104377104378"/>
    <n v="0"/>
    <n v="3.2612289562289547"/>
    <n v="1.6306144781144774"/>
    <d v="2025-05-28T00:00:00"/>
    <d v="2025-05-28T00:00:00"/>
    <d v="2025-05-30T00:00:00"/>
    <d v="2025-06-02T00:00:00"/>
    <s v="2025 05"/>
    <s v="Aguardando Liberação"/>
    <s v="2025 04"/>
    <s v="ENTREGUE"/>
    <d v="2025-05-28T00:00:00"/>
    <s v="-"/>
    <m/>
    <n v="0"/>
    <n v="0"/>
    <n v="0"/>
    <n v="0"/>
    <n v="0"/>
  </r>
  <r>
    <s v="MEI"/>
    <s v="MEI-"/>
    <s v="Pedido 1633"/>
    <d v="2025-04-30T00:00:00"/>
    <s v="-"/>
    <s v="-"/>
    <s v="-"/>
    <n v="1"/>
    <s v="CPF 1592"/>
    <s v="Nome 1592"/>
    <s v="Tel 1592"/>
    <s v="Cep 1592"/>
    <s v="Rua 1592"/>
    <s v="Comp 1592"/>
    <x v="26"/>
    <s v="BG-DHRO-FAEE"/>
    <d v="2025-05-22T00:00:00"/>
    <n v="23.99"/>
    <n v="23.99"/>
    <n v="2.6389"/>
    <n v="21.35"/>
    <n v="0"/>
    <n v="0"/>
    <n v="0"/>
    <n v="0"/>
    <n v="21.35"/>
    <n v="10.675000000000001"/>
    <d v="2025-05-29T00:00:00"/>
    <d v="2025-05-29T00:00:00"/>
    <d v="2025-05-30T00:00:00"/>
    <d v="2025-06-02T00:00:00"/>
    <s v="2025 05"/>
    <s v="Aguardando Liberação"/>
    <s v="- -"/>
    <s v="-"/>
    <s v="-"/>
    <s v="-"/>
    <m/>
    <n v="0"/>
    <n v="0"/>
    <n v="0"/>
    <n v="0"/>
    <n v="0"/>
  </r>
  <r>
    <s v="MEI"/>
    <s v="MEI45777"/>
    <s v="Pedido 1634"/>
    <d v="2025-04-30T00:00:00"/>
    <d v="2025-04-30T00:00:00"/>
    <s v="PedidoF1559"/>
    <s v="CódRastreio1557"/>
    <n v="1"/>
    <s v="CPF 1593"/>
    <s v="Nome 1593"/>
    <s v="Tel 1593"/>
    <s v="Cep 1593"/>
    <s v="Rua 1593"/>
    <s v="Comp 1593"/>
    <x v="15"/>
    <s v="71-KHMZ-MLQW"/>
    <d v="2025-05-28T00:00:00"/>
    <n v="49.99"/>
    <n v="49.99"/>
    <n v="5.4988999999999999"/>
    <n v="44.49"/>
    <n v="0"/>
    <n v="0.12"/>
    <n v="0.39877104377104378"/>
    <n v="0"/>
    <n v="43.971228956228956"/>
    <n v="21.985614478114478"/>
    <d v="2025-06-04T00:00:00"/>
    <d v="2025-06-04T00:00:00"/>
    <d v="2025-06-16T00:00:00"/>
    <d v="2025-06-20T00:00:00"/>
    <s v="2025 06"/>
    <s v="Aguardando Liberação"/>
    <s v="2025 04"/>
    <s v="ENTREGUE"/>
    <d v="2025-06-21T00:00:00"/>
    <s v="-"/>
    <m/>
    <n v="0"/>
    <n v="0"/>
    <n v="0"/>
    <n v="0"/>
    <n v="0"/>
  </r>
  <r>
    <s v="MEI"/>
    <s v="MEI45783"/>
    <s v="Pedido 1635"/>
    <d v="2025-04-30T00:00:00"/>
    <d v="2025-05-06T00:00:00"/>
    <s v="PedidoF1560"/>
    <s v="CódRastreio1558"/>
    <n v="1"/>
    <s v="CPF 1594"/>
    <s v="Nome 1594"/>
    <s v="Tel 1594"/>
    <s v="Cep 1594"/>
    <s v="Rua 1594"/>
    <s v="Comp 1594"/>
    <x v="26"/>
    <s v="BG-DHRO-FAEE"/>
    <d v="2025-05-22T00:00:00"/>
    <n v="23.99"/>
    <n v="23.99"/>
    <n v="2.6389"/>
    <n v="21.35"/>
    <n v="14.52"/>
    <n v="0.12"/>
    <n v="0.39877104377104378"/>
    <n v="0"/>
    <n v="6.311228956228959"/>
    <n v="3.1556144781144795"/>
    <d v="2025-05-29T00:00:00"/>
    <d v="2025-05-29T00:00:00"/>
    <d v="2025-05-30T00:00:00"/>
    <d v="2025-06-02T00:00:00"/>
    <s v="2025 05"/>
    <s v="Aguardando Liberação"/>
    <s v="2025 05"/>
    <s v="ENTREGUE"/>
    <d v="2025-05-16T00:00:00"/>
    <s v="-"/>
    <m/>
    <n v="0"/>
    <n v="0"/>
    <n v="0"/>
    <n v="0"/>
    <n v="0"/>
  </r>
  <r>
    <s v="MEI"/>
    <s v="MEI45777"/>
    <s v="Pedido 1636"/>
    <d v="2025-04-30T00:00:00"/>
    <d v="2025-04-30T00:00:00"/>
    <s v="PedidoF1561"/>
    <s v="CódRastreio1559"/>
    <n v="1"/>
    <s v="CPF 1595"/>
    <s v="Nome 1595"/>
    <s v="Tel 1595"/>
    <s v="Cep 1595"/>
    <s v="Rua 1595"/>
    <s v="Comp 1595"/>
    <x v="12"/>
    <s v="PK-L2Z7-MQRQ"/>
    <d v="2025-05-28T00:00:00"/>
    <n v="49.9"/>
    <n v="49.9"/>
    <n v="5.9879999999999995"/>
    <n v="43.91"/>
    <n v="21.11"/>
    <n v="0.12"/>
    <n v="0.39877104377104378"/>
    <n v="0"/>
    <n v="22.281228956228951"/>
    <n v="11.140614478114475"/>
    <d v="2025-06-04T00:00:00"/>
    <d v="2025-06-04T00:00:00"/>
    <d v="2025-06-16T00:00:00"/>
    <d v="2025-06-20T00:00:00"/>
    <s v="2025 06"/>
    <s v="Aguardando Liberação"/>
    <s v="2025 04"/>
    <s v="ENTREGUE"/>
    <d v="2025-05-28T00:00:00"/>
    <s v="-"/>
    <m/>
    <n v="0"/>
    <n v="0"/>
    <n v="0"/>
    <n v="0"/>
    <n v="0"/>
  </r>
  <r>
    <s v="MEI"/>
    <s v="MEI45783"/>
    <s v="Pedido 1637"/>
    <d v="2025-04-30T00:00:00"/>
    <d v="2025-05-06T00:00:00"/>
    <s v="PedidoF1562"/>
    <s v="CódRastreio1560"/>
    <n v="1"/>
    <s v="CPF 1596"/>
    <s v="Nome 1596"/>
    <s v="Tel 1596"/>
    <s v="Cep 1596"/>
    <s v="Rua 1596"/>
    <s v="Comp 1596"/>
    <x v="26"/>
    <s v="BG-DHRO-FAEE"/>
    <d v="2025-05-28T00:00:00"/>
    <n v="23.99"/>
    <n v="23.99"/>
    <n v="2.6389"/>
    <n v="21.35"/>
    <n v="14.52"/>
    <n v="0.12"/>
    <n v="0.39877104377104378"/>
    <n v="0"/>
    <n v="6.311228956228959"/>
    <n v="3.1556144781144795"/>
    <d v="2025-06-04T00:00:00"/>
    <d v="2025-06-04T00:00:00"/>
    <d v="2025-06-16T00:00:00"/>
    <d v="2025-06-20T00:00:00"/>
    <s v="2025 06"/>
    <s v="Aguardando Liberação"/>
    <s v="2025 05"/>
    <s v="ENTREGUE"/>
    <d v="2025-05-12T00:00:00"/>
    <s v="-"/>
    <m/>
    <n v="0"/>
    <n v="0"/>
    <n v="0"/>
    <n v="0"/>
    <n v="0"/>
  </r>
  <r>
    <s v="MEI"/>
    <s v="MEI45777"/>
    <s v="Pedido 1638"/>
    <d v="2025-04-30T00:00:00"/>
    <d v="2025-04-30T00:00:00"/>
    <s v="PedidoF1563"/>
    <s v="CódRastreio1561"/>
    <n v="1"/>
    <s v="CPF 1597"/>
    <s v="Nome 1597"/>
    <s v="Tel 1597"/>
    <s v="Cep 1597"/>
    <s v="Rua 1597"/>
    <s v="Comp 1597"/>
    <x v="12"/>
    <s v="PK-L2Z7-MQRQ"/>
    <d v="2025-05-28T00:00:00"/>
    <n v="49.9"/>
    <n v="49.9"/>
    <n v="5.9879999999999995"/>
    <n v="43.91"/>
    <n v="21.94"/>
    <n v="0.12"/>
    <n v="0.39877104377104378"/>
    <n v="0"/>
    <n v="21.451228956228949"/>
    <n v="10.725614478114474"/>
    <d v="2025-06-04T00:00:00"/>
    <d v="2025-06-04T00:00:00"/>
    <d v="2025-06-16T00:00:00"/>
    <d v="2025-06-20T00:00:00"/>
    <s v="2025 06"/>
    <s v="Aguardando Liberação"/>
    <s v="2025 04"/>
    <s v="ENTREGUE"/>
    <d v="2025-05-28T00:00:00"/>
    <s v="-"/>
    <m/>
    <n v="0"/>
    <n v="0"/>
    <n v="0"/>
    <n v="0"/>
    <n v="0"/>
  </r>
  <r>
    <s v="MEI"/>
    <s v="MEI45777"/>
    <s v="Pedido 1639"/>
    <d v="2025-04-30T00:00:00"/>
    <d v="2025-04-30T00:00:00"/>
    <s v="PedidoF1564"/>
    <s v="CódRastreio1562"/>
    <n v="1"/>
    <s v="CPF 1598"/>
    <s v="Nome 1598"/>
    <s v="Tel 1598"/>
    <s v="Cep 1598"/>
    <s v="Rua 1598"/>
    <s v="Comp 1598"/>
    <x v="1"/>
    <s v="A4-5W51-K3HF"/>
    <d v="2025-05-22T00:00:00"/>
    <n v="35.799999999999997"/>
    <n v="35.799999999999997"/>
    <n v="4.2959999999999994"/>
    <n v="31.5"/>
    <n v="19.989999999999998"/>
    <n v="0.12"/>
    <n v="0.39877104377104378"/>
    <n v="0"/>
    <n v="10.991228956228955"/>
    <n v="5.4956144781144776"/>
    <d v="2025-05-29T00:00:00"/>
    <d v="2025-05-29T00:00:00"/>
    <d v="2025-05-30T00:00:00"/>
    <d v="2025-06-02T00:00:00"/>
    <s v="2025 05"/>
    <s v="Aguardando Liberação"/>
    <s v="2025 04"/>
    <s v="ENTREGUE"/>
    <d v="2025-05-10T00:00:00"/>
    <s v="-"/>
    <m/>
    <n v="0"/>
    <n v="0"/>
    <n v="0"/>
    <n v="0"/>
    <n v="0"/>
  </r>
  <r>
    <s v="MEI"/>
    <s v="MEI45783"/>
    <s v="Pedido 1640"/>
    <d v="2025-05-01T00:00:00"/>
    <d v="2025-05-06T00:00:00"/>
    <s v="PedidoF1565"/>
    <s v="CódRastreio1563"/>
    <n v="1"/>
    <s v="CPF 1599"/>
    <s v="Nome 1599"/>
    <s v="Tel 1599"/>
    <s v="Cep 1599"/>
    <s v="Rua 1599"/>
    <s v="Comp 1599"/>
    <x v="26"/>
    <s v="BG-DHRO-FAEE"/>
    <d v="2025-05-28T00:00:00"/>
    <n v="31.99"/>
    <n v="31.99"/>
    <n v="3.5188999999999999"/>
    <n v="28.47"/>
    <n v="0"/>
    <n v="0.12"/>
    <n v="0.39877104377104378"/>
    <n v="0"/>
    <n v="27.951228956228956"/>
    <n v="13.975614478114478"/>
    <d v="2025-06-04T00:00:00"/>
    <d v="2025-06-04T00:00:00"/>
    <d v="2025-06-16T00:00:00"/>
    <d v="2025-06-20T00:00:00"/>
    <s v="2025 06"/>
    <s v="Aguardando Liberação"/>
    <s v="2025 05"/>
    <s v="ENTREGUE"/>
    <d v="2025-05-12T00:00:00"/>
    <s v="-"/>
    <m/>
    <n v="0"/>
    <n v="0"/>
    <n v="0"/>
    <n v="0"/>
    <n v="0"/>
  </r>
  <r>
    <s v="MEI"/>
    <s v="MEI-"/>
    <s v="Pedido 1641"/>
    <d v="2025-05-01T00:00:00"/>
    <s v="-"/>
    <s v="-"/>
    <s v="-"/>
    <n v="1"/>
    <s v="CPF 1600"/>
    <s v="Nome 1600"/>
    <s v="Tel 1600"/>
    <s v="Cep 1600"/>
    <s v="Rua 1600"/>
    <s v="Comp 1600"/>
    <x v="26"/>
    <s v="BG-DHRO-FAEE"/>
    <d v="2025-06-04T00:00:00"/>
    <n v="31.99"/>
    <n v="31.99"/>
    <n v="3.5188999999999999"/>
    <n v="28.47"/>
    <n v="0"/>
    <n v="0"/>
    <n v="0"/>
    <n v="0"/>
    <n v="28.47"/>
    <n v="14.234999999999999"/>
    <d v="2025-06-11T00:00:00"/>
    <d v="2025-06-11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79"/>
    <s v="Pedido 1642"/>
    <d v="2025-05-01T00:00:00"/>
    <d v="2025-05-02T00:00:00"/>
    <s v="PedidoF1566"/>
    <s v="CódRastreio1564"/>
    <n v="1"/>
    <s v="CPF 1601"/>
    <s v="Nome 1601"/>
    <s v="Tel 1601"/>
    <s v="Cep 1601"/>
    <s v="Rua 1601"/>
    <s v="Comp 1601"/>
    <x v="12"/>
    <s v="PK-L2Z7-MQRQ"/>
    <d v="2025-05-22T00:00:00"/>
    <n v="48.9"/>
    <n v="48.9"/>
    <n v="5.8679999999999994"/>
    <n v="43.03"/>
    <n v="21.44"/>
    <n v="0.11"/>
    <n v="0.39877104377104378"/>
    <n v="0"/>
    <n v="21.081228956228955"/>
    <n v="10.540614478114477"/>
    <d v="2025-05-29T00:00:00"/>
    <d v="2025-05-29T00:00:00"/>
    <d v="2025-05-30T00:00:00"/>
    <d v="2025-06-02T00:00:00"/>
    <s v="2025 05"/>
    <s v="Aguardando Liberação"/>
    <s v="2025 05"/>
    <s v="ENTREGUE"/>
    <d v="2025-05-19T00:00:00"/>
    <s v="-"/>
    <m/>
    <n v="0"/>
    <n v="0"/>
    <n v="0"/>
    <n v="0"/>
    <n v="0"/>
  </r>
  <r>
    <s v="MEI"/>
    <s v="MEI-"/>
    <s v="Pedido 1643"/>
    <d v="2025-05-01T00:00:00"/>
    <s v="-"/>
    <s v="-"/>
    <s v="-"/>
    <n v="1"/>
    <s v="CPF 1602"/>
    <s v="Nome 1602"/>
    <s v="Tel 1602"/>
    <s v="Cep 1602"/>
    <s v="Rua 1602"/>
    <s v="Comp 1602"/>
    <x v="12"/>
    <s v="PK-L2Z7-MQRQ"/>
    <d v="2025-06-04T00:00:00"/>
    <n v="48.9"/>
    <n v="48.9"/>
    <n v="5.8679999999999994"/>
    <n v="43.03"/>
    <n v="0"/>
    <n v="0"/>
    <n v="0"/>
    <n v="0"/>
    <n v="43.03"/>
    <n v="21.515000000000001"/>
    <d v="2025-06-11T00:00:00"/>
    <d v="2025-06-11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79"/>
    <s v="Pedido 1644"/>
    <d v="2025-05-02T00:00:00"/>
    <d v="2025-05-02T00:00:00"/>
    <s v="PedidoF1567"/>
    <s v="CódRastreio1565"/>
    <n v="1"/>
    <s v="CPF 1603"/>
    <s v="Nome 1603"/>
    <s v="Tel 1603"/>
    <s v="Cep 1603"/>
    <s v="Rua 1603"/>
    <s v="Comp 1603"/>
    <x v="6"/>
    <s v="VI-4RT5-1FFO"/>
    <d v="2025-05-20T00:00:00"/>
    <n v="22.7"/>
    <n v="22.7"/>
    <n v="2.7239999999999998"/>
    <n v="19.98"/>
    <n v="11.92"/>
    <n v="0.11"/>
    <n v="0.39877104377104378"/>
    <n v="0"/>
    <n v="7.5512289562289574"/>
    <n v="3.7756144781144787"/>
    <d v="2025-05-27T00:00:00"/>
    <d v="2025-05-27T00:00:00"/>
    <d v="2025-05-30T00:00:00"/>
    <d v="2025-06-02T00:00:00"/>
    <s v="2025 05"/>
    <s v="Aguardando Liberação"/>
    <s v="2025 05"/>
    <s v="ENTREGUE"/>
    <d v="2025-05-16T00:00:00"/>
    <s v="-"/>
    <m/>
    <n v="0"/>
    <n v="0"/>
    <n v="0"/>
    <n v="0"/>
    <n v="0"/>
  </r>
  <r>
    <s v="MEI"/>
    <s v="MEI45779"/>
    <s v="Pedido 1645"/>
    <d v="2025-04-29T00:00:00"/>
    <d v="2025-05-02T00:00:00"/>
    <s v="PedidoF1568"/>
    <s v="CódRastreio1566"/>
    <n v="1"/>
    <s v="CPF 1604"/>
    <s v="Nome 1604"/>
    <s v="Tel 1604"/>
    <s v="Cep 1604"/>
    <s v="Rua 1604"/>
    <s v="Comp 1604"/>
    <x v="1"/>
    <s v="A4-5W51-K3HF"/>
    <d v="2025-05-22T00:00:00"/>
    <n v="35.799999999999997"/>
    <n v="35.799999999999997"/>
    <n v="4.2959999999999994"/>
    <n v="31.5"/>
    <n v="0"/>
    <n v="0.11"/>
    <n v="0.39877104377104378"/>
    <n v="0"/>
    <n v="30.991228956228955"/>
    <n v="15.495614478114478"/>
    <d v="2025-05-29T00:00:00"/>
    <d v="2025-05-29T00:00:00"/>
    <d v="2025-05-30T00:00:00"/>
    <d v="2025-06-02T00:00:00"/>
    <s v="2025 05"/>
    <s v="Aguardando Liberação"/>
    <s v="2025 05"/>
    <s v="ENTREGUE"/>
    <d v="2025-06-06T00:00:00"/>
    <s v="-"/>
    <m/>
    <n v="0"/>
    <n v="0"/>
    <n v="0"/>
    <n v="0"/>
    <n v="0"/>
  </r>
  <r>
    <s v="MEI"/>
    <s v="MEI45779"/>
    <s v="Pedido 1646"/>
    <d v="2025-05-02T00:00:00"/>
    <d v="2025-05-02T00:00:00"/>
    <s v="PedidoF1569"/>
    <s v="CódRastreio1567"/>
    <n v="1"/>
    <s v="CPF 1605"/>
    <s v="Nome 1605"/>
    <s v="Tel 1605"/>
    <s v="Cep 1605"/>
    <s v="Rua 1605"/>
    <s v="Comp 1605"/>
    <x v="10"/>
    <s v="WU-SS4J-LFOH"/>
    <d v="2025-05-29T00:00:00"/>
    <n v="65.7"/>
    <n v="65.7"/>
    <n v="7.8840000000000003"/>
    <n v="57.82"/>
    <n v="14.51"/>
    <n v="0.11"/>
    <n v="0.39877104377104378"/>
    <n v="0"/>
    <n v="42.801228956228954"/>
    <n v="21.400614478114477"/>
    <d v="2025-06-05T00:00:00"/>
    <d v="2025-06-05T00:00:00"/>
    <d v="2025-06-16T00:00:00"/>
    <d v="2025-06-20T00:00:00"/>
    <s v="2025 06"/>
    <s v="Aguardando Liberação"/>
    <s v="2025 05"/>
    <s v="ENTREGUE"/>
    <d v="2025-05-15T00:00:00"/>
    <s v="-"/>
    <m/>
    <n v="0"/>
    <n v="0"/>
    <n v="0"/>
    <n v="0"/>
    <n v="0"/>
  </r>
  <r>
    <s v="GO"/>
    <s v="GO45779"/>
    <s v="Pedido 1647"/>
    <d v="2025-05-02T00:00:00"/>
    <d v="2025-05-02T00:00:00"/>
    <s v="PedidoF1570"/>
    <s v="CódRastreio1568"/>
    <n v="1"/>
    <s v="CPF 1606"/>
    <s v="Nome 1606"/>
    <s v="Tel 1606"/>
    <s v="Cep 1606"/>
    <s v="Rua 1606"/>
    <s v="Comp 1606"/>
    <x v="3"/>
    <s v="MK-OUQW-7L3Z"/>
    <d v="2025-05-29T00:00:00"/>
    <n v="54.9"/>
    <n v="54.9"/>
    <n v="6.5879999999999992"/>
    <n v="48.31"/>
    <n v="13.85"/>
    <n v="0.1"/>
    <n v="0.39877104377104378"/>
    <n v="0"/>
    <n v="33.961228956228958"/>
    <n v="33.961228956228958"/>
    <d v="2025-06-05T00:00:00"/>
    <d v="2025-06-05T00:00:00"/>
    <d v="2025-06-16T00:00:00"/>
    <d v="2025-06-20T00:00:00"/>
    <s v="2025 06"/>
    <s v="Aguardando Liberação"/>
    <s v="2025 05"/>
    <s v="ENTREGUE"/>
    <d v="2025-05-22T00:00:00"/>
    <s v="-"/>
    <m/>
    <n v="0"/>
    <n v="0"/>
    <n v="0"/>
    <n v="0"/>
    <n v="0"/>
  </r>
  <r>
    <s v="MEI"/>
    <s v="MEI45782"/>
    <s v="Pedido 1648"/>
    <d v="2025-05-02T00:00:00"/>
    <d v="2025-05-05T00:00:00"/>
    <s v="PedidoF1571"/>
    <s v="CódRastreio1569"/>
    <n v="1"/>
    <s v="CPF 1607"/>
    <s v="Nome 1607"/>
    <s v="Tel 1607"/>
    <s v="Cep 1607"/>
    <s v="Rua 1607"/>
    <s v="Comp 1607"/>
    <x v="8"/>
    <s v="LF-R6MC-WKWP"/>
    <d v="2025-05-29T00:00:00"/>
    <n v="32.67"/>
    <n v="32.67"/>
    <n v="3.9203999999999999"/>
    <n v="28.75"/>
    <n v="17.3"/>
    <n v="0.23"/>
    <n v="0.39877104377104378"/>
    <n v="0"/>
    <n v="10.821228956228953"/>
    <n v="5.4106144781144767"/>
    <d v="2025-06-05T00:00:00"/>
    <d v="2025-06-05T00:00:00"/>
    <d v="2025-06-16T00:00:00"/>
    <d v="2025-06-20T00:00:00"/>
    <s v="2025 06"/>
    <s v="Aguardando Liberação"/>
    <s v="2025 05"/>
    <s v="ENTREGUE"/>
    <d v="2025-05-23T00:00:00"/>
    <s v="-"/>
    <m/>
    <n v="0"/>
    <n v="0"/>
    <n v="0"/>
    <n v="0"/>
    <n v="0"/>
  </r>
  <r>
    <s v="MEI"/>
    <s v="MEI45782"/>
    <s v="Pedido 1649"/>
    <d v="2025-05-02T00:00:00"/>
    <d v="2025-05-05T00:00:00"/>
    <s v="PedidoF1572"/>
    <s v="CódRastreio1570"/>
    <n v="1"/>
    <s v="CPF 1608"/>
    <s v="Nome 1608"/>
    <s v="Tel 1608"/>
    <s v="Cep 1608"/>
    <s v="Rua 1608"/>
    <s v="Comp 1608"/>
    <x v="3"/>
    <s v="WR-82Y0-OV27"/>
    <d v="2025-06-05T00:00:00"/>
    <n v="49.9"/>
    <n v="49.9"/>
    <n v="5.9879999999999995"/>
    <n v="43.91"/>
    <n v="21.12"/>
    <n v="0.23"/>
    <n v="0.39877104377104378"/>
    <n v="0"/>
    <n v="22.16122895622895"/>
    <n v="11.080614478114475"/>
    <d v="2025-06-12T00:00:00"/>
    <d v="2025-06-12T00:00:00"/>
    <d v="2025-06-16T00:00:00"/>
    <d v="2025-06-20T00:00:00"/>
    <s v="2025 06"/>
    <s v="Aguardando Liberação"/>
    <s v="2025 05"/>
    <s v="ENTREGUE"/>
    <d v="2025-06-24T00:00:00"/>
    <s v="-"/>
    <m/>
    <n v="0"/>
    <n v="0"/>
    <n v="0"/>
    <n v="0"/>
    <n v="0"/>
  </r>
  <r>
    <s v="MEI"/>
    <s v="MEI45782"/>
    <s v="Pedido 1650"/>
    <d v="2025-05-02T00:00:00"/>
    <d v="2025-05-05T00:00:00"/>
    <s v="PedidoF1573"/>
    <s v="CódRastreio1571"/>
    <n v="1"/>
    <s v="CPF 1609"/>
    <s v="Nome 1609"/>
    <s v="Tel 1609"/>
    <s v="Cep 1609"/>
    <s v="Rua 1609"/>
    <s v="Comp 1609"/>
    <x v="12"/>
    <s v="PK-L2Z7-MQRQ"/>
    <d v="2025-05-29T00:00:00"/>
    <n v="48.9"/>
    <n v="48.9"/>
    <n v="5.8679999999999994"/>
    <n v="43.03"/>
    <n v="24.46"/>
    <n v="0.23"/>
    <n v="0.39877104377104378"/>
    <n v="0"/>
    <n v="17.941228956228954"/>
    <n v="8.9706144781144772"/>
    <d v="2025-06-05T00:00:00"/>
    <d v="2025-06-05T00:00:00"/>
    <d v="2025-06-16T00:00:00"/>
    <d v="2025-06-20T00:00:00"/>
    <s v="2025 06"/>
    <s v="Aguardando Liberação"/>
    <s v="2025 05"/>
    <s v="ENTREGUE"/>
    <d v="2025-05-19T00:00:00"/>
    <s v="-"/>
    <m/>
    <n v="0"/>
    <n v="0"/>
    <n v="0"/>
    <n v="0"/>
    <n v="0"/>
  </r>
  <r>
    <s v="MEI"/>
    <s v="MEI45782"/>
    <s v="Pedido 1651"/>
    <d v="2025-05-03T00:00:00"/>
    <d v="2025-05-05T00:00:00"/>
    <s v="PedidoF1574"/>
    <s v="CódRastreio1572"/>
    <n v="1"/>
    <s v="CPF 1610"/>
    <s v="Nome 1610"/>
    <s v="Tel 1610"/>
    <s v="Cep 1610"/>
    <s v="Rua 1610"/>
    <s v="Comp 1610"/>
    <x v="3"/>
    <s v="WR-82Y0-OV27"/>
    <d v="2025-05-29T00:00:00"/>
    <n v="49.9"/>
    <n v="49.9"/>
    <n v="5.9879999999999995"/>
    <n v="43.91"/>
    <n v="14.41"/>
    <n v="0.23"/>
    <n v="0.39877104377104378"/>
    <n v="0"/>
    <n v="28.871228956228954"/>
    <n v="14.435614478114477"/>
    <d v="2025-06-05T00:00:00"/>
    <d v="2025-06-05T00:00:00"/>
    <d v="2025-06-16T00:00:00"/>
    <d v="2025-06-20T00:00:00"/>
    <s v="2025 06"/>
    <s v="Aguardando Liberação"/>
    <s v="2025 05"/>
    <s v="ENTREGUE"/>
    <d v="2025-05-20T00:00:00"/>
    <s v="-"/>
    <m/>
    <n v="0"/>
    <n v="0"/>
    <n v="0"/>
    <n v="0"/>
    <n v="0"/>
  </r>
  <r>
    <s v="MEI"/>
    <s v="MEI45782"/>
    <s v="Pedido 1652"/>
    <d v="2025-05-03T00:00:00"/>
    <d v="2025-05-05T00:00:00"/>
    <s v="PedidoF1575"/>
    <s v="CódRastreio1573"/>
    <n v="1"/>
    <s v="CPF 1611"/>
    <s v="Nome 1611"/>
    <s v="Tel 1611"/>
    <s v="Cep 1611"/>
    <s v="Rua 1611"/>
    <s v="Comp 1611"/>
    <x v="12"/>
    <s v="PK-L2Z7-MQRQ"/>
    <d v="2025-05-29T00:00:00"/>
    <n v="48.9"/>
    <n v="48.9"/>
    <n v="5.8679999999999994"/>
    <n v="43.03"/>
    <n v="14.88"/>
    <n v="0.23"/>
    <n v="0.39877104377104378"/>
    <n v="0"/>
    <n v="27.521228956228956"/>
    <n v="13.760614478114478"/>
    <d v="2025-06-05T00:00:00"/>
    <d v="2025-06-05T00:00:00"/>
    <d v="2025-06-16T00:00:00"/>
    <d v="2025-06-20T00:00:00"/>
    <s v="2025 06"/>
    <s v="Aguardando Liberação"/>
    <s v="2025 05"/>
    <s v="ENTREGUE"/>
    <d v="2025-05-23T00:00:00"/>
    <s v="-"/>
    <m/>
    <n v="0"/>
    <n v="0"/>
    <n v="0"/>
    <n v="0"/>
    <n v="0"/>
  </r>
  <r>
    <s v="MEI"/>
    <s v="MEI45782"/>
    <s v="Pedido 1653"/>
    <d v="2025-05-03T00:00:00"/>
    <d v="2025-05-05T00:00:00"/>
    <s v="PedidoF1576"/>
    <s v="CódRastreio1574"/>
    <n v="1"/>
    <s v="CPF 1612"/>
    <s v="Nome 1612"/>
    <s v="Tel 1612"/>
    <s v="Cep 1612"/>
    <s v="Rua 1612"/>
    <s v="Comp 1612"/>
    <x v="3"/>
    <s v="WR-82Y0-OV27"/>
    <d v="2025-06-05T00:00:00"/>
    <n v="49.9"/>
    <n v="49.9"/>
    <n v="5.9879999999999995"/>
    <n v="43.91"/>
    <n v="21.12"/>
    <n v="0.23"/>
    <n v="0.39877104377104378"/>
    <n v="0"/>
    <n v="22.16122895622895"/>
    <n v="11.080614478114475"/>
    <d v="2025-06-12T00:00:00"/>
    <d v="2025-06-12T00:00:00"/>
    <d v="2025-06-16T00:00:00"/>
    <d v="2025-06-20T00:00:00"/>
    <s v="2025 06"/>
    <s v="Aguardando Liberação"/>
    <s v="2025 05"/>
    <s v="ENTREGUE"/>
    <d v="2025-06-06T00:00:00"/>
    <s v="-"/>
    <m/>
    <n v="0"/>
    <n v="0"/>
    <n v="0"/>
    <n v="0"/>
    <n v="0"/>
  </r>
  <r>
    <s v="MEI"/>
    <s v="MEI45782"/>
    <s v="Pedido 1654"/>
    <d v="2025-05-03T00:00:00"/>
    <d v="2025-05-05T00:00:00"/>
    <s v="PedidoF1577"/>
    <s v="CódRastreio1575"/>
    <n v="1"/>
    <s v="CPF 1613"/>
    <s v="Nome 1613"/>
    <s v="Tel 1613"/>
    <s v="Cep 1613"/>
    <s v="Rua 1613"/>
    <s v="Comp 1613"/>
    <x v="3"/>
    <s v="WR-82Y0-OV27"/>
    <d v="2025-05-29T00:00:00"/>
    <n v="49.9"/>
    <n v="49.9"/>
    <n v="5.9879999999999995"/>
    <n v="43.91"/>
    <n v="24.95"/>
    <n v="0.23"/>
    <n v="0.39877104377104378"/>
    <n v="0"/>
    <n v="18.331228956228951"/>
    <n v="9.1656144781144757"/>
    <d v="2025-06-05T00:00:00"/>
    <d v="2025-06-05T00:00:00"/>
    <d v="2025-06-16T00:00:00"/>
    <d v="2025-06-20T00:00:00"/>
    <s v="2025 06"/>
    <s v="Aguardando Liberação"/>
    <s v="2025 05"/>
    <s v="ENTREGUE"/>
    <d v="2025-05-21T00:00:00"/>
    <s v="-"/>
    <m/>
    <n v="0"/>
    <n v="0"/>
    <n v="0"/>
    <n v="0"/>
    <n v="0"/>
  </r>
  <r>
    <s v="MEI"/>
    <s v="MEI45782"/>
    <s v="Pedido 1655"/>
    <d v="2025-05-03T00:00:00"/>
    <d v="2025-05-05T00:00:00"/>
    <s v="PedidoF1578"/>
    <s v="CódRastreio1576"/>
    <n v="1"/>
    <s v="CPF 1614"/>
    <s v="Nome 1614"/>
    <s v="Tel 1614"/>
    <s v="Cep 1614"/>
    <s v="Rua 1614"/>
    <s v="Comp 1614"/>
    <x v="6"/>
    <s v="VI-4RT5-1FFO"/>
    <d v="2025-05-23T00:00:00"/>
    <n v="22.7"/>
    <n v="22.7"/>
    <n v="2.7239999999999998"/>
    <n v="19.98"/>
    <n v="19.71"/>
    <n v="0.23"/>
    <n v="0.39877104377104378"/>
    <n v="0"/>
    <n v="-0.35877104377104629"/>
    <n v="-0.17938552188552315"/>
    <d v="2025-05-30T00:00:00"/>
    <d v="2025-05-30T00:00:00"/>
    <d v="2025-05-30T00:00:00"/>
    <d v="2025-06-02T00:00:00"/>
    <s v="2025 05"/>
    <s v="Aguardando Liberação"/>
    <s v="2025 05"/>
    <s v="ENTREGUE"/>
    <d v="2025-05-13T00:00:00"/>
    <s v="-"/>
    <m/>
    <n v="0"/>
    <n v="0"/>
    <n v="0"/>
    <n v="0"/>
    <n v="0"/>
  </r>
  <r>
    <s v="MEI"/>
    <s v="MEI45782"/>
    <s v="Pedido 1656"/>
    <d v="2025-05-03T00:00:00"/>
    <d v="2025-05-05T00:00:00"/>
    <s v="PedidoF1579"/>
    <s v="CódRastreio1577"/>
    <n v="1"/>
    <s v="CPF 1615"/>
    <s v="Nome 1615"/>
    <s v="Tel 1615"/>
    <s v="Cep 1615"/>
    <s v="Rua 1615"/>
    <s v="Comp 1615"/>
    <x v="15"/>
    <s v="71-KHMZ-MLQW"/>
    <d v="2025-05-29T00:00:00"/>
    <n v="49.99"/>
    <n v="49.99"/>
    <n v="5.4988999999999999"/>
    <n v="44.49"/>
    <n v="40.22"/>
    <n v="0.23"/>
    <n v="0.39877104377104378"/>
    <n v="0"/>
    <n v="3.6412289562289644"/>
    <n v="1.8206144781144822"/>
    <d v="2025-06-05T00:00:00"/>
    <d v="2025-06-05T00:00:00"/>
    <d v="2025-06-16T00:00:00"/>
    <d v="2025-06-20T00:00:00"/>
    <s v="2025 06"/>
    <s v="Aguardando Liberação"/>
    <s v="2025 05"/>
    <s v="ENTREGUE"/>
    <d v="2025-05-23T00:00:00"/>
    <s v="-"/>
    <m/>
    <n v="0"/>
    <n v="0"/>
    <n v="0"/>
    <n v="0"/>
    <n v="0"/>
  </r>
  <r>
    <s v="MEI"/>
    <s v="MEI45782"/>
    <s v="Pedido 1657"/>
    <d v="2025-05-03T00:00:00"/>
    <d v="2025-05-05T00:00:00"/>
    <s v="PedidoF1580"/>
    <s v="CódRastreio1578"/>
    <n v="1"/>
    <s v="CPF 1616"/>
    <s v="Nome 1616"/>
    <s v="Tel 1616"/>
    <s v="Cep 1616"/>
    <s v="Rua 1616"/>
    <s v="Comp 1616"/>
    <x v="3"/>
    <s v="WR-82Y0-OV27"/>
    <d v="2025-05-29T00:00:00"/>
    <n v="49.9"/>
    <n v="49.9"/>
    <n v="5.9879999999999995"/>
    <n v="43.91"/>
    <n v="14.41"/>
    <n v="0.23"/>
    <n v="0.39877104377104378"/>
    <n v="0"/>
    <n v="28.871228956228954"/>
    <n v="14.435614478114477"/>
    <d v="2025-06-05T00:00:00"/>
    <d v="2025-06-05T00:00:00"/>
    <d v="2025-06-16T00:00:00"/>
    <d v="2025-06-20T00:00:00"/>
    <s v="2025 06"/>
    <s v="Aguardando Liberação"/>
    <s v="2025 05"/>
    <s v="ENTREGUE"/>
    <d v="2025-05-29T00:00:00"/>
    <s v="-"/>
    <m/>
    <n v="0"/>
    <n v="0"/>
    <n v="0"/>
    <n v="0"/>
    <n v="0"/>
  </r>
  <r>
    <s v="MEI"/>
    <s v="MEI45782"/>
    <s v="Pedido 1658"/>
    <d v="2025-05-03T00:00:00"/>
    <d v="2025-05-05T00:00:00"/>
    <s v="PedidoF1581"/>
    <s v="CódRastreio1579"/>
    <n v="1"/>
    <s v="CPF 1617"/>
    <s v="Nome 1617"/>
    <s v="Tel 1617"/>
    <s v="Cep 1617"/>
    <s v="Rua 1617"/>
    <s v="Comp 1617"/>
    <x v="10"/>
    <s v="WU-SS4J-LFOH"/>
    <d v="2025-05-29T00:00:00"/>
    <n v="65.7"/>
    <n v="65.7"/>
    <n v="7.8840000000000003"/>
    <n v="57.82"/>
    <n v="21.94"/>
    <n v="0.23"/>
    <n v="0.39877104377104378"/>
    <n v="0"/>
    <n v="35.251228956228957"/>
    <n v="17.625614478114478"/>
    <d v="2025-06-05T00:00:00"/>
    <d v="2025-06-05T00:00:00"/>
    <d v="2025-06-16T00:00:00"/>
    <d v="2025-06-20T00:00:00"/>
    <s v="2025 06"/>
    <s v="Aguardando Liberação"/>
    <s v="2025 05"/>
    <s v="ENTREGUE"/>
    <d v="2025-05-26T00:00:00"/>
    <s v="-"/>
    <m/>
    <n v="0"/>
    <n v="0"/>
    <n v="0"/>
    <n v="0"/>
    <n v="0"/>
  </r>
  <r>
    <s v="MEI"/>
    <s v="MEI45783"/>
    <s v="Pedido 1659"/>
    <d v="2025-05-03T00:00:00"/>
    <d v="2025-05-06T00:00:00"/>
    <s v="PedidoF1582"/>
    <s v="CódRastreio1580"/>
    <n v="1"/>
    <s v="CPF 1618"/>
    <s v="Nome 1618"/>
    <s v="Tel 1618"/>
    <s v="Cep 1618"/>
    <s v="Rua 1618"/>
    <s v="Comp 1618"/>
    <x v="26"/>
    <s v="BG-DHRO-FAEE"/>
    <d v="2025-05-29T00:00:00"/>
    <n v="31.99"/>
    <n v="31.99"/>
    <n v="3.5188999999999999"/>
    <n v="28.47"/>
    <n v="14.52"/>
    <n v="0.12"/>
    <n v="0.39877104377104378"/>
    <n v="0"/>
    <n v="13.431228956228956"/>
    <n v="6.7156144781144782"/>
    <d v="2025-06-05T00:00:00"/>
    <d v="2025-06-05T00:00:00"/>
    <d v="2025-06-16T00:00:00"/>
    <d v="2025-06-20T00:00:00"/>
    <s v="2025 06"/>
    <s v="Aguardando Liberação"/>
    <s v="2025 05"/>
    <s v="ENTREGUE"/>
    <d v="2025-05-10T00:00:00"/>
    <s v="-"/>
    <m/>
    <n v="0"/>
    <n v="0"/>
    <n v="0"/>
    <n v="0"/>
    <n v="0"/>
  </r>
  <r>
    <s v="MEI"/>
    <s v="MEI45783"/>
    <s v="Pedido 1660"/>
    <d v="2025-05-04T00:00:00"/>
    <d v="2025-05-06T00:00:00"/>
    <s v="PedidoF1583"/>
    <s v="CódRastreio1581"/>
    <n v="1"/>
    <s v="CPF 1619"/>
    <s v="Nome 1619"/>
    <s v="Tel 1619"/>
    <s v="Cep 1619"/>
    <s v="Rua 1619"/>
    <s v="Comp 1619"/>
    <x v="3"/>
    <s v="WR-82Y0-OV27"/>
    <d v="2025-05-29T00:00:00"/>
    <n v="49.9"/>
    <n v="49.9"/>
    <n v="5.9879999999999995"/>
    <n v="43.91"/>
    <n v="21.44"/>
    <n v="0.12"/>
    <n v="0.39877104377104378"/>
    <n v="0"/>
    <n v="21.951228956228949"/>
    <n v="10.975614478114474"/>
    <d v="2025-06-05T00:00:00"/>
    <d v="2025-06-05T00:00:00"/>
    <d v="2025-06-16T00:00:00"/>
    <d v="2025-06-20T00:00:00"/>
    <s v="2025 06"/>
    <s v="Aguardando Liberação"/>
    <s v="2025 05"/>
    <s v="ENTREGUE"/>
    <d v="2025-05-21T00:00:00"/>
    <s v="-"/>
    <m/>
    <n v="0"/>
    <n v="0"/>
    <n v="0"/>
    <n v="0"/>
    <n v="0"/>
  </r>
  <r>
    <s v="MEI"/>
    <s v="MEI45784"/>
    <s v="Pedido 1661"/>
    <d v="2025-05-04T00:00:00"/>
    <d v="2025-05-07T00:00:00"/>
    <s v="PedidoF1584"/>
    <s v="CódRastreio1582"/>
    <n v="1"/>
    <s v="CPF 1620"/>
    <s v="Nome 1620"/>
    <s v="Tel 1620"/>
    <s v="Cep 1620"/>
    <s v="Rua 1620"/>
    <s v="Comp 1620"/>
    <x v="15"/>
    <s v="71-KHMZ-MLQW"/>
    <d v="2025-06-05T00:00:00"/>
    <n v="49.99"/>
    <n v="49.99"/>
    <n v="5.4988999999999999"/>
    <n v="44.49"/>
    <n v="24.03"/>
    <n v="0.12"/>
    <n v="0.39877104377104378"/>
    <n v="0"/>
    <n v="19.941228956228954"/>
    <n v="9.9706144781144772"/>
    <d v="2025-06-12T00:00:00"/>
    <d v="2025-06-12T00:00:00"/>
    <d v="2025-06-16T00:00:00"/>
    <d v="2025-06-20T00:00:00"/>
    <s v="2025 06"/>
    <s v="Aguardando Liberação"/>
    <s v="2025 05"/>
    <s v="ENTREGUE"/>
    <d v="2025-06-13T13:53:42"/>
    <s v="-"/>
    <m/>
    <n v="0"/>
    <n v="0"/>
    <n v="0"/>
    <n v="0"/>
    <n v="0"/>
  </r>
  <r>
    <s v="MEI"/>
    <s v="MEI45784"/>
    <s v="Pedido 1662"/>
    <d v="2025-05-04T00:00:00"/>
    <d v="2025-05-07T00:00:00"/>
    <s v="PedidoF1585"/>
    <s v="CódRastreio1583"/>
    <n v="1"/>
    <s v="CPF 1621"/>
    <s v="Nome 1621"/>
    <s v="Tel 1621"/>
    <s v="Cep 1621"/>
    <s v="Rua 1621"/>
    <s v="Comp 1621"/>
    <x v="6"/>
    <s v="VI-4RT5-1FFO"/>
    <d v="2025-05-23T00:00:00"/>
    <n v="22.7"/>
    <n v="22.7"/>
    <n v="2.7239999999999998"/>
    <n v="19.98"/>
    <n v="14.71"/>
    <n v="0.12"/>
    <n v="0.39877104377104378"/>
    <n v="0"/>
    <n v="4.7512289562289567"/>
    <n v="2.3756144781144783"/>
    <d v="2025-05-30T00:00:00"/>
    <d v="2025-05-30T00:00:00"/>
    <d v="2025-05-30T00:00:00"/>
    <d v="2025-06-02T00:00:00"/>
    <s v="2025 05"/>
    <s v="Aguardando Liberação"/>
    <s v="2025 05"/>
    <s v="ENTREGUE"/>
    <d v="2025-05-17T00:00:00"/>
    <s v="-"/>
    <m/>
    <n v="0"/>
    <n v="0"/>
    <n v="0"/>
    <n v="0"/>
    <n v="0"/>
  </r>
  <r>
    <s v="MEI"/>
    <s v="MEI45784"/>
    <s v="Pedido 1663"/>
    <d v="2025-05-04T00:00:00"/>
    <d v="2025-05-07T00:00:00"/>
    <s v="PedidoF1586"/>
    <s v="CódRastreio1584"/>
    <n v="1"/>
    <s v="CPF 1622"/>
    <s v="Nome 1622"/>
    <s v="Tel 1622"/>
    <s v="Cep 1622"/>
    <s v="Rua 1622"/>
    <s v="Comp 1622"/>
    <x v="15"/>
    <s v="71-KHMZ-MLQW"/>
    <d v="2025-05-29T00:00:00"/>
    <n v="49.99"/>
    <n v="49.99"/>
    <n v="5.4988999999999999"/>
    <n v="44.49"/>
    <n v="0"/>
    <n v="0.12"/>
    <n v="0.39877104377104378"/>
    <n v="0"/>
    <n v="43.971228956228956"/>
    <n v="21.985614478114478"/>
    <d v="2025-06-05T00:00:00"/>
    <d v="2025-06-05T00:00:00"/>
    <d v="2025-06-16T00:00:00"/>
    <d v="2025-06-20T00:00:00"/>
    <s v="2025 06"/>
    <s v="Aguardando Liberação"/>
    <s v="2025 05"/>
    <s v="ENTREGUE"/>
    <d v="2025-06-12T15:06:19"/>
    <s v="-"/>
    <m/>
    <n v="0"/>
    <n v="0"/>
    <n v="0"/>
    <n v="0"/>
    <n v="0"/>
  </r>
  <r>
    <s v="MEI"/>
    <s v="MEI45784"/>
    <s v="Pedido 1664"/>
    <d v="2025-05-04T00:00:00"/>
    <d v="2025-05-07T00:00:00"/>
    <s v="PedidoF1587"/>
    <s v="CódRastreio1585"/>
    <n v="1"/>
    <s v="CPF 1623"/>
    <s v="Nome 1623"/>
    <s v="Tel 1623"/>
    <s v="Cep 1623"/>
    <s v="Rua 1623"/>
    <s v="Comp 1623"/>
    <x v="12"/>
    <s v="PK-L2Z7-MQRQ"/>
    <d v="2025-05-23T00:00:00"/>
    <n v="48.9"/>
    <n v="48.9"/>
    <n v="5.8679999999999994"/>
    <n v="43.03"/>
    <n v="22.01"/>
    <n v="0.12"/>
    <n v="0.39877104377104378"/>
    <n v="0"/>
    <n v="20.501228956228953"/>
    <n v="10.250614478114477"/>
    <d v="2025-05-30T00:00:00"/>
    <d v="2025-05-30T00:00:00"/>
    <d v="2025-05-30T00:00:00"/>
    <d v="2025-06-02T00:00:00"/>
    <s v="2025 05"/>
    <s v="Aguardando Liberação"/>
    <s v="2025 05"/>
    <s v="ENTREGUE"/>
    <d v="2025-05-22T00:00:00"/>
    <s v="-"/>
    <m/>
    <n v="0"/>
    <n v="0"/>
    <n v="0"/>
    <n v="0"/>
    <n v="0"/>
  </r>
  <r>
    <s v="MEI"/>
    <s v="MEI45784"/>
    <s v="Pedido 1665"/>
    <d v="2025-05-05T00:00:00"/>
    <d v="2025-05-07T00:00:00"/>
    <s v="PedidoF1588"/>
    <s v="CódRastreio1586"/>
    <n v="1"/>
    <s v="CPF 1624"/>
    <s v="Nome 1624"/>
    <s v="Tel 1624"/>
    <s v="Cep 1624"/>
    <s v="Rua 1624"/>
    <s v="Comp 1624"/>
    <x v="15"/>
    <s v="71-KHMZ-MLQW"/>
    <d v="2025-05-29T00:00:00"/>
    <n v="49.99"/>
    <n v="49.99"/>
    <n v="5.4988999999999999"/>
    <n v="44.49"/>
    <n v="39.94"/>
    <n v="0.12"/>
    <n v="0.39877104377104378"/>
    <n v="0"/>
    <n v="4.0312289562289649"/>
    <n v="2.0156144781144825"/>
    <d v="2025-06-05T00:00:00"/>
    <d v="2025-06-05T00:00:00"/>
    <d v="2025-06-16T00:00:00"/>
    <d v="2025-06-20T00:00:00"/>
    <s v="2025 06"/>
    <s v="Aguardando Liberação"/>
    <s v="2025 05"/>
    <s v="ENTREGUE"/>
    <d v="2025-05-23T00:00:00"/>
    <s v="-"/>
    <m/>
    <n v="0"/>
    <n v="0"/>
    <n v="0"/>
    <n v="0"/>
    <n v="0"/>
  </r>
  <r>
    <s v="MEI"/>
    <s v="MEI45784"/>
    <s v="Pedido 1666"/>
    <d v="2025-05-05T00:00:00"/>
    <d v="2025-05-07T00:00:00"/>
    <s v="PedidoF1589"/>
    <s v="CódRastreio1587"/>
    <n v="1"/>
    <s v="CPF 1625"/>
    <s v="Nome 1625"/>
    <s v="Tel 1625"/>
    <s v="Cep 1625"/>
    <s v="Rua 1625"/>
    <s v="Comp 1625"/>
    <x v="15"/>
    <s v="71-KHMZ-MLQW"/>
    <d v="2025-06-05T00:00:00"/>
    <n v="49.99"/>
    <n v="49.99"/>
    <n v="5.4988999999999999"/>
    <n v="44.49"/>
    <n v="16.739999999999998"/>
    <n v="0.12"/>
    <n v="0.39877104377104378"/>
    <n v="0"/>
    <n v="27.231228956228957"/>
    <n v="13.615614478114479"/>
    <d v="2025-06-12T00:00:00"/>
    <d v="2025-06-12T00:00:00"/>
    <d v="2025-06-16T00:00:00"/>
    <d v="2025-06-20T00:00:00"/>
    <s v="2025 06"/>
    <s v="Aguardando Liberação"/>
    <s v="2025 05"/>
    <s v="ENTREGUE"/>
    <d v="2025-06-20T13:29:23"/>
    <s v="-"/>
    <m/>
    <n v="0"/>
    <n v="0"/>
    <n v="0"/>
    <n v="0"/>
    <n v="0"/>
  </r>
  <r>
    <s v="MEI"/>
    <s v="MEI45784"/>
    <s v="Pedido 1667"/>
    <d v="2025-05-05T00:00:00"/>
    <d v="2025-05-07T00:00:00"/>
    <s v="PedidoF1590"/>
    <s v="CódRastreio1588"/>
    <n v="1"/>
    <s v="CPF 1626"/>
    <s v="Nome 1626"/>
    <s v="Tel 1626"/>
    <s v="Cep 1626"/>
    <s v="Rua 1626"/>
    <s v="Comp 1626"/>
    <x v="32"/>
    <s v="NO-Z0ZJ-Z61M"/>
    <d v="2025-06-06T00:00:00"/>
    <n v="49.99"/>
    <n v="49.99"/>
    <n v="5.9988000000000001"/>
    <n v="43.99"/>
    <n v="0"/>
    <n v="0.12"/>
    <n v="0.39877104377104378"/>
    <n v="0"/>
    <n v="43.471228956228956"/>
    <n v="21.735614478114478"/>
    <d v="2025-06-13T00:00:00"/>
    <d v="2025-06-13T00:00:00"/>
    <d v="2025-06-16T00:00:00"/>
    <d v="2025-06-20T00:00:00"/>
    <s v="2025 06"/>
    <s v="Aguardando Liberação"/>
    <s v="2025 05"/>
    <s v="ENTREGUE"/>
    <d v="2025-06-27T00:00:00"/>
    <s v="-"/>
    <m/>
    <n v="0"/>
    <n v="0"/>
    <n v="0"/>
    <n v="0"/>
    <n v="0"/>
  </r>
  <r>
    <s v="MEI"/>
    <s v="MEI45784"/>
    <s v="Pedido 1668"/>
    <d v="2025-05-05T00:00:00"/>
    <d v="2025-05-07T00:00:00"/>
    <s v="PedidoF1591"/>
    <s v="CódRastreio1589"/>
    <n v="1"/>
    <s v="CPF 1627"/>
    <s v="Nome 1627"/>
    <s v="Tel 1627"/>
    <s v="Cep 1627"/>
    <s v="Rua 1627"/>
    <s v="Comp 1627"/>
    <x v="12"/>
    <s v="PK-L2Z7-MQRQ"/>
    <d v="2025-05-24T00:00:00"/>
    <n v="48.9"/>
    <n v="48.9"/>
    <n v="5.8679999999999994"/>
    <n v="43.03"/>
    <n v="22.01"/>
    <n v="0.12"/>
    <n v="0.39877104377104378"/>
    <n v="0"/>
    <n v="20.501228956228953"/>
    <n v="10.250614478114477"/>
    <d v="2025-05-31T00:00:00"/>
    <d v="2025-05-31T00:00:00"/>
    <d v="2025-06-16T00:00:00"/>
    <d v="2025-06-20T00:00:00"/>
    <s v="2025 05"/>
    <s v="Aguardando Liberação"/>
    <s v="2025 05"/>
    <s v="ENTREGUE"/>
    <d v="2025-05-20T00:00:00"/>
    <s v="-"/>
    <m/>
    <n v="0"/>
    <n v="0"/>
    <n v="0"/>
    <n v="0"/>
    <n v="0"/>
  </r>
  <r>
    <s v="MEI"/>
    <s v="MEI45784"/>
    <s v="Pedido 1669"/>
    <d v="2025-05-05T00:00:00"/>
    <d v="2025-05-07T00:00:00"/>
    <s v="PedidoF1592"/>
    <s v="CódRastreio1590"/>
    <n v="1"/>
    <s v="CPF 1628"/>
    <s v="Nome 1628"/>
    <s v="Tel 1628"/>
    <s v="Cep 1628"/>
    <s v="Rua 1628"/>
    <s v="Comp 1628"/>
    <x v="6"/>
    <s v="VI-4RT5-1FFO"/>
    <d v="2025-05-30T00:00:00"/>
    <n v="22.7"/>
    <n v="22.7"/>
    <n v="2.7239999999999998"/>
    <n v="19.98"/>
    <n v="17.170000000000002"/>
    <n v="0.12"/>
    <n v="0.39877104377104378"/>
    <n v="0"/>
    <n v="2.2912289562289523"/>
    <n v="1.1456144781144761"/>
    <d v="2025-06-06T00:00:00"/>
    <d v="2025-06-06T00:00:00"/>
    <d v="2025-06-16T00:00:00"/>
    <d v="2025-06-20T00:00:00"/>
    <s v="2025 06"/>
    <s v="Aguardando Liberação"/>
    <s v="2025 05"/>
    <s v="ENTREGUE"/>
    <d v="2025-05-23T00:00:00"/>
    <s v="-"/>
    <m/>
    <n v="0"/>
    <n v="0"/>
    <n v="0"/>
    <n v="0"/>
    <n v="0"/>
  </r>
  <r>
    <s v="MEI"/>
    <s v="MEI45785"/>
    <s v="Pedido 1670"/>
    <d v="2025-05-05T00:00:00"/>
    <d v="2025-05-08T00:00:00"/>
    <s v="PedidoF1593"/>
    <s v="CódRastreio1591"/>
    <n v="1"/>
    <s v="CPF 1629"/>
    <s v="Nome 1629"/>
    <s v="Tel 1629"/>
    <s v="Cep 1629"/>
    <s v="Rua 1629"/>
    <s v="Comp 1629"/>
    <x v="26"/>
    <s v="BG-DHRO-FAEE"/>
    <d v="2025-05-24T00:00:00"/>
    <n v="31.99"/>
    <n v="31.99"/>
    <n v="3.5188999999999999"/>
    <n v="28.47"/>
    <n v="14.52"/>
    <n v="0.14000000000000001"/>
    <n v="0.39877104377104378"/>
    <n v="0"/>
    <n v="13.411228956228955"/>
    <n v="6.7056144781144775"/>
    <d v="2025-05-31T00:00:00"/>
    <d v="2025-05-31T00:00:00"/>
    <d v="2025-06-16T00:00:00"/>
    <d v="2025-06-20T00:00:00"/>
    <s v="2025 05"/>
    <s v="Aguardando Liberação"/>
    <s v="2025 05"/>
    <s v="ENTREGUE"/>
    <d v="2025-05-14T00:00:00"/>
    <s v="-"/>
    <m/>
    <n v="0"/>
    <n v="0"/>
    <n v="0"/>
    <n v="0"/>
    <n v="0"/>
  </r>
  <r>
    <s v="MEI"/>
    <s v="MEI45784"/>
    <s v="Pedido 1671"/>
    <d v="2025-05-05T00:00:00"/>
    <d v="2025-05-07T00:00:00"/>
    <s v="PedidoF1594"/>
    <s v="CódRastreio1592"/>
    <n v="1"/>
    <s v="CPF 1630"/>
    <s v="Nome 1630"/>
    <s v="Tel 1630"/>
    <s v="Cep 1630"/>
    <s v="Rua 1630"/>
    <s v="Comp 1630"/>
    <x v="31"/>
    <s v="FM-VW6E-NXCZ"/>
    <d v="2025-05-24T00:00:00"/>
    <n v="96.87"/>
    <n v="96.87"/>
    <n v="12.593100000000002"/>
    <n v="84.28"/>
    <n v="63.83"/>
    <n v="0.12"/>
    <n v="0.39877104377104378"/>
    <n v="0"/>
    <n v="19.931228956228964"/>
    <n v="9.9656144781144818"/>
    <d v="2025-05-31T00:00:00"/>
    <d v="2025-05-31T00:00:00"/>
    <d v="2025-06-16T00:00:00"/>
    <d v="2025-06-20T00:00:00"/>
    <s v="2025 05"/>
    <s v="Aguardando Liberação"/>
    <s v="2025 05"/>
    <s v="ENTREGUE"/>
    <d v="2025-05-20T00:00:00"/>
    <s v="-"/>
    <m/>
    <n v="0"/>
    <n v="0"/>
    <n v="0"/>
    <n v="0"/>
    <n v="0"/>
  </r>
  <r>
    <s v="MEI"/>
    <s v="MEI45784"/>
    <s v="Pedido 1672"/>
    <d v="2025-05-06T00:00:00"/>
    <d v="2025-05-07T00:00:00"/>
    <s v="PedidoF1595"/>
    <s v="CódRastreio1593"/>
    <n v="1"/>
    <s v="CPF 1631"/>
    <s v="Nome 1631"/>
    <s v="Tel 1631"/>
    <s v="Cep 1631"/>
    <s v="Rua 1631"/>
    <s v="Comp 1631"/>
    <x v="12"/>
    <s v="PK-L2Z7-MQRQ"/>
    <d v="2025-05-30T00:00:00"/>
    <n v="48.9"/>
    <n v="48.9"/>
    <n v="5.8679999999999994"/>
    <n v="43.03"/>
    <n v="15.27"/>
    <n v="0.12"/>
    <n v="0.39877104377104378"/>
    <n v="0"/>
    <n v="27.241228956228959"/>
    <n v="13.620614478114479"/>
    <d v="2025-06-06T00:00:00"/>
    <d v="2025-06-06T00:00:00"/>
    <d v="2025-06-16T00:00:00"/>
    <d v="2025-06-20T00:00:00"/>
    <s v="2025 06"/>
    <s v="Aguardando Liberação"/>
    <s v="2025 05"/>
    <s v="ENTREGUE"/>
    <d v="2025-05-21T00:00:00"/>
    <s v="-"/>
    <m/>
    <n v="0"/>
    <n v="0"/>
    <n v="0"/>
    <n v="0"/>
    <n v="0"/>
  </r>
  <r>
    <s v="MEI"/>
    <s v="MEI45785"/>
    <s v="Pedido 1673"/>
    <d v="2025-05-05T00:00:00"/>
    <d v="2025-05-08T00:00:00"/>
    <s v="PedidoF1596"/>
    <s v="CódRastreio1594"/>
    <n v="1"/>
    <s v="CPF 1632"/>
    <s v="Nome 1632"/>
    <s v="Tel 1632"/>
    <s v="Cep 1632"/>
    <s v="Rua 1632"/>
    <s v="Comp 1632"/>
    <x v="8"/>
    <s v="LF-R6MC-WKWP"/>
    <d v="2025-05-24T00:00:00"/>
    <n v="32.67"/>
    <n v="32.67"/>
    <n v="3.9203999999999999"/>
    <n v="28.75"/>
    <n v="12.3"/>
    <n v="0.14000000000000001"/>
    <n v="0.39877104377104378"/>
    <n v="0"/>
    <n v="15.911228956228955"/>
    <n v="7.9556144781144775"/>
    <d v="2025-05-31T00:00:00"/>
    <d v="2025-05-31T00:00:00"/>
    <d v="2025-06-16T00:00:00"/>
    <d v="2025-06-20T00:00:00"/>
    <s v="2025 05"/>
    <s v="Aguardando Liberação"/>
    <s v="2025 05"/>
    <s v="ENTREGUE"/>
    <d v="2025-05-20T00:00:00"/>
    <s v="-"/>
    <m/>
    <n v="0"/>
    <n v="0"/>
    <n v="0"/>
    <n v="0"/>
    <n v="0"/>
  </r>
  <r>
    <s v="MEI"/>
    <s v="MEI45784"/>
    <s v="Pedido 1674"/>
    <d v="2025-05-06T00:00:00"/>
    <d v="2025-05-07T00:00:00"/>
    <s v="PedidoF1597"/>
    <s v="CódRastreio1595"/>
    <n v="1"/>
    <s v="CPF 1633"/>
    <s v="Nome 1633"/>
    <s v="Tel 1633"/>
    <s v="Cep 1633"/>
    <s v="Rua 1633"/>
    <s v="Comp 1633"/>
    <x v="12"/>
    <s v="PK-L2Z7-MQRQ"/>
    <d v="2025-05-31T00:00:00"/>
    <n v="48.9"/>
    <n v="48.9"/>
    <n v="5.8679999999999994"/>
    <n v="43.03"/>
    <n v="0"/>
    <n v="0.12"/>
    <n v="0.39877104377104378"/>
    <n v="0"/>
    <n v="42.511228956228955"/>
    <n v="21.255614478114477"/>
    <d v="2025-06-07T00:00:00"/>
    <d v="2025-06-07T00:00:00"/>
    <d v="2025-06-16T00:00:00"/>
    <d v="2025-06-20T00:00:00"/>
    <s v="2025 06"/>
    <s v="Aguardando Liberação"/>
    <s v="2025 05"/>
    <s v="ENTREGUE"/>
    <d v="2025-06-11T14:23:53"/>
    <s v="-"/>
    <m/>
    <n v="0"/>
    <n v="0"/>
    <n v="0"/>
    <n v="0"/>
    <n v="0"/>
  </r>
  <r>
    <s v="MEI"/>
    <s v="MEI45785"/>
    <s v="Pedido 1675"/>
    <d v="2025-05-06T00:00:00"/>
    <d v="2025-05-08T00:00:00"/>
    <s v="PedidoF1598"/>
    <s v="CódRastreio1596"/>
    <n v="1"/>
    <s v="CPF 1634"/>
    <s v="Nome 1634"/>
    <s v="Tel 1634"/>
    <s v="Cep 1634"/>
    <s v="Rua 1634"/>
    <s v="Comp 1634"/>
    <x v="10"/>
    <s v="WU-SS4J-LFOH"/>
    <d v="2025-05-27T00:00:00"/>
    <n v="65.7"/>
    <n v="65.7"/>
    <n v="7.8840000000000003"/>
    <n v="57.82"/>
    <n v="14.3"/>
    <n v="0.14000000000000001"/>
    <n v="0.39877104377104378"/>
    <n v="0"/>
    <n v="42.981228956228954"/>
    <n v="21.490614478114477"/>
    <d v="2025-06-03T00:00:00"/>
    <d v="2025-06-03T00:00:00"/>
    <d v="2025-06-16T00:00:00"/>
    <d v="2025-06-20T00:00:00"/>
    <s v="2025 06"/>
    <s v="Aguardando Liberação"/>
    <s v="2025 05"/>
    <s v="ENTREGUE"/>
    <d v="2025-05-20T00:00:00"/>
    <s v="-"/>
    <m/>
    <n v="0"/>
    <n v="0"/>
    <n v="0"/>
    <n v="0"/>
    <n v="0"/>
  </r>
  <r>
    <s v="MEI"/>
    <s v="MEI45785"/>
    <s v="Pedido 1676"/>
    <d v="2025-05-07T00:00:00"/>
    <d v="2025-05-08T00:00:00"/>
    <s v="PedidoF1599"/>
    <s v="CódRastreio1597"/>
    <n v="1"/>
    <s v="CPF 1635"/>
    <s v="Nome 1635"/>
    <s v="Tel 1635"/>
    <s v="Cep 1635"/>
    <s v="Rua 1635"/>
    <s v="Comp 1635"/>
    <x v="12"/>
    <s v="PK-L2Z7-MQRQ"/>
    <d v="2025-06-07T00:00:00"/>
    <n v="48.9"/>
    <n v="48.9"/>
    <n v="5.8679999999999994"/>
    <n v="43.03"/>
    <n v="21.72"/>
    <n v="0.14000000000000001"/>
    <n v="0.39877104377104378"/>
    <n v="0"/>
    <n v="20.771228956228956"/>
    <n v="10.385614478114478"/>
    <d v="2025-06-14T00:00:00"/>
    <d v="2025-06-14T00:00:00"/>
    <d v="2025-06-16T00:00:00"/>
    <d v="2025-06-20T00:00:00"/>
    <s v="2025 06"/>
    <s v="Aguardando Liberação"/>
    <s v="2025 05"/>
    <s v="ENTREGUE"/>
    <d v="2025-06-22T13:49:49"/>
    <s v="-"/>
    <m/>
    <n v="0"/>
    <n v="0"/>
    <n v="0"/>
    <n v="0"/>
    <n v="0"/>
  </r>
  <r>
    <s v="MEI"/>
    <s v="MEI45789"/>
    <s v="Pedido 1677"/>
    <d v="2025-05-07T00:00:00"/>
    <d v="2025-05-12T00:00:00"/>
    <s v="PedidoF1600"/>
    <s v="CódRastreio1598"/>
    <n v="1"/>
    <s v="CPF 1636"/>
    <s v="Nome 1636"/>
    <s v="Tel 1636"/>
    <s v="Cep 1636"/>
    <s v="Rua 1636"/>
    <s v="Comp 1636"/>
    <x v="15"/>
    <s v="71-KHMZ-MLQW"/>
    <d v="2025-06-03T00:00:00"/>
    <n v="49.99"/>
    <n v="49.99"/>
    <n v="5.4988999999999999"/>
    <n v="44.49"/>
    <n v="0"/>
    <n v="1.2"/>
    <n v="0.39877104377104378"/>
    <n v="0"/>
    <n v="42.891228956228957"/>
    <n v="21.445614478114479"/>
    <d v="2025-06-10T00:00:00"/>
    <d v="2025-06-10T00:00:00"/>
    <d v="2025-06-16T00:00:00"/>
    <d v="2025-06-20T00:00:00"/>
    <s v="2025 06"/>
    <s v="Aguardando Liberação"/>
    <s v="2025 05"/>
    <s v="ENTREGUE"/>
    <d v="2025-06-25T00:00:00"/>
    <s v="-"/>
    <m/>
    <n v="0"/>
    <n v="0"/>
    <n v="0"/>
    <n v="0"/>
    <n v="0"/>
  </r>
  <r>
    <s v="MEI"/>
    <s v="MEI45785"/>
    <s v="Pedido 1678"/>
    <d v="2025-05-07T00:00:00"/>
    <d v="2025-05-08T00:00:00"/>
    <s v="PedidoF1601"/>
    <s v="CódRastreio1599"/>
    <n v="1"/>
    <s v="CPF 1637"/>
    <s v="Nome 1637"/>
    <s v="Tel 1637"/>
    <s v="Cep 1637"/>
    <s v="Rua 1637"/>
    <s v="Comp 1637"/>
    <x v="16"/>
    <s v="T1-SWVB-UPOW"/>
    <d v="2025-06-03T00:00:00"/>
    <n v="35.99"/>
    <n v="35.99"/>
    <n v="4.3188000000000004"/>
    <n v="31.67"/>
    <n v="19.11"/>
    <n v="0.14000000000000001"/>
    <n v="0.39877104377104378"/>
    <n v="0"/>
    <n v="12.021228956228956"/>
    <n v="6.0106144781144781"/>
    <d v="2025-06-10T00:00:00"/>
    <d v="2025-06-10T00:00:00"/>
    <d v="2025-06-16T00:00:00"/>
    <d v="2025-06-20T00:00:00"/>
    <s v="2025 06"/>
    <s v="Aguardando Liberação"/>
    <s v="2025 05"/>
    <s v="ENTREGUE"/>
    <d v="2025-07-03T00:00:00"/>
    <s v="-"/>
    <m/>
    <n v="0"/>
    <n v="0"/>
    <n v="0"/>
    <n v="0"/>
    <n v="0"/>
  </r>
  <r>
    <s v="MEI"/>
    <s v="MEI45785"/>
    <s v="Pedido 1679"/>
    <d v="2025-05-07T00:00:00"/>
    <d v="2025-05-08T00:00:00"/>
    <s v="PedidoF1602"/>
    <s v="CódRastreio1600"/>
    <n v="1"/>
    <s v="CPF 1638"/>
    <s v="Nome 1638"/>
    <s v="Tel 1638"/>
    <s v="Cep 1638"/>
    <s v="Rua 1638"/>
    <s v="Comp 1638"/>
    <x v="3"/>
    <s v="WR-82Y0-OV27"/>
    <d v="2025-05-28T00:00:00"/>
    <n v="49.9"/>
    <n v="49.9"/>
    <n v="5.9879999999999995"/>
    <n v="43.91"/>
    <n v="14.1"/>
    <n v="0.14000000000000001"/>
    <n v="0.39877104377104378"/>
    <n v="0"/>
    <n v="29.271228956228953"/>
    <n v="14.635614478114476"/>
    <d v="2025-06-04T00:00:00"/>
    <d v="2025-06-04T00:00:00"/>
    <d v="2025-06-16T00:00:00"/>
    <d v="2025-06-20T00:00:00"/>
    <s v="2025 06"/>
    <s v="Aguardando Liberação"/>
    <s v="2025 05"/>
    <s v="ENTREGUE"/>
    <d v="2025-05-20T00:00:00"/>
    <s v="-"/>
    <m/>
    <n v="0"/>
    <n v="0"/>
    <n v="0"/>
    <n v="0"/>
    <n v="0"/>
  </r>
  <r>
    <s v="MEI"/>
    <s v="MEI-"/>
    <s v="Pedido 1680"/>
    <d v="2025-05-07T00:00:00"/>
    <s v="-"/>
    <s v="-"/>
    <s v="-"/>
    <n v="1"/>
    <s v="CPF 1639"/>
    <s v="Nome 1639"/>
    <s v="Tel 1639"/>
    <s v="Cep 1639"/>
    <s v="Rua 1639"/>
    <s v="Comp 1639"/>
    <x v="12"/>
    <s v="PK-L2Z7-MQRQ"/>
    <d v="2025-05-28T00:00:00"/>
    <n v="48.9"/>
    <n v="48.9"/>
    <n v="5.8679999999999994"/>
    <n v="43.03"/>
    <n v="0"/>
    <n v="0"/>
    <n v="0"/>
    <n v="0"/>
    <n v="43.03"/>
    <n v="21.515000000000001"/>
    <d v="2025-06-04T00:00:00"/>
    <d v="2025-06-04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81"/>
    <d v="2025-05-07T00:00:00"/>
    <s v="-"/>
    <s v="-"/>
    <s v="-"/>
    <n v="1"/>
    <s v="CPF 1640"/>
    <s v="Nome 1640"/>
    <s v="Tel 1640"/>
    <s v="Cep 1640"/>
    <s v="Rua 1640"/>
    <s v="Comp 1640"/>
    <x v="28"/>
    <s v="Z0-F6CI-18CL"/>
    <d v="2025-06-03T00:00:00"/>
    <n v="39.47"/>
    <n v="39.47"/>
    <n v="4.7363999999999997"/>
    <n v="34.729999999999997"/>
    <n v="0"/>
    <n v="0"/>
    <n v="0"/>
    <n v="0"/>
    <n v="34.729999999999997"/>
    <n v="17.364999999999998"/>
    <d v="2025-06-10T00:00:00"/>
    <d v="2025-06-10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82"/>
    <d v="2025-05-07T00:00:00"/>
    <s v="-"/>
    <s v="-"/>
    <s v="-"/>
    <n v="1"/>
    <s v="CPF 1641"/>
    <s v="Nome 1641"/>
    <s v="Tel 1641"/>
    <s v="Cep 1641"/>
    <s v="Rua 1641"/>
    <s v="Comp 1641"/>
    <x v="3"/>
    <s v="WR-82Y0-OV27"/>
    <d v="2025-05-28T00:00:00"/>
    <n v="49.9"/>
    <n v="49.9"/>
    <n v="5.9879999999999995"/>
    <n v="43.91"/>
    <n v="0"/>
    <n v="0"/>
    <n v="0"/>
    <n v="0"/>
    <n v="43.91"/>
    <n v="21.954999999999998"/>
    <d v="2025-06-04T00:00:00"/>
    <d v="2025-06-04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85"/>
    <s v="Pedido 1683"/>
    <d v="2025-05-07T00:00:00"/>
    <d v="2025-05-08T00:00:00"/>
    <s v="PedidoF1603"/>
    <s v="CódRastreio1601"/>
    <n v="1"/>
    <s v="CPF 1642"/>
    <s v="Nome 1642"/>
    <s v="Tel 1642"/>
    <s v="Cep 1642"/>
    <s v="Rua 1642"/>
    <s v="Comp 1642"/>
    <x v="3"/>
    <s v="WR-82Y0-OV27"/>
    <d v="2025-06-03T00:00:00"/>
    <n v="49.9"/>
    <n v="49.9"/>
    <n v="5.9879999999999995"/>
    <n v="43.91"/>
    <n v="14.58"/>
    <n v="0.14000000000000001"/>
    <n v="0.39877104377104378"/>
    <n v="0"/>
    <n v="28.791228956228952"/>
    <n v="14.395614478114476"/>
    <d v="2025-06-10T00:00:00"/>
    <d v="2025-06-10T00:00:00"/>
    <d v="2025-06-16T00:00:00"/>
    <d v="2025-06-20T00:00:00"/>
    <s v="2025 06"/>
    <s v="Aguardando Liberação"/>
    <s v="2025 05"/>
    <s v="ENTREGUE"/>
    <d v="2025-06-03T00:00:00"/>
    <s v="-"/>
    <m/>
    <n v="0"/>
    <n v="0"/>
    <n v="0"/>
    <n v="0"/>
    <n v="0"/>
  </r>
  <r>
    <s v="MEI"/>
    <s v="MEI45785"/>
    <s v="Pedido 1684"/>
    <d v="2025-05-08T00:00:00"/>
    <d v="2025-05-08T00:00:00"/>
    <s v="PedidoF1604"/>
    <s v="CódRastreio1602"/>
    <n v="1"/>
    <s v="CPF 1643"/>
    <s v="Nome 1643"/>
    <s v="Tel 1643"/>
    <s v="Cep 1643"/>
    <s v="Rua 1643"/>
    <s v="Comp 1643"/>
    <x v="10"/>
    <s v="WU-SS4J-LFOH"/>
    <d v="2025-05-29T00:00:00"/>
    <n v="65.7"/>
    <n v="65.7"/>
    <n v="7.8840000000000003"/>
    <n v="57.82"/>
    <n v="21.51"/>
    <n v="0.14000000000000001"/>
    <n v="0.39877104377104378"/>
    <n v="0"/>
    <n v="35.771228956228953"/>
    <n v="17.885614478114476"/>
    <d v="2025-06-05T00:00:00"/>
    <d v="2025-06-05T00:00:00"/>
    <d v="2025-06-16T00:00:00"/>
    <d v="2025-06-20T00:00:00"/>
    <s v="2025 06"/>
    <s v="Aguardando Liberação"/>
    <s v="2025 05"/>
    <s v="ENTREGUE"/>
    <d v="2025-05-20T00:00:00"/>
    <s v="-"/>
    <m/>
    <n v="0"/>
    <n v="0"/>
    <n v="0"/>
    <n v="0"/>
    <n v="0"/>
  </r>
  <r>
    <s v="MEI"/>
    <s v="MEI45785"/>
    <s v="Pedido 1685"/>
    <d v="2025-05-08T00:00:00"/>
    <d v="2025-05-08T00:00:00"/>
    <s v="PedidoF1605"/>
    <s v="CódRastreio1603"/>
    <n v="1"/>
    <s v="CPF 1644"/>
    <s v="Nome 1644"/>
    <s v="Tel 1644"/>
    <s v="Cep 1644"/>
    <s v="Rua 1644"/>
    <s v="Comp 1644"/>
    <x v="19"/>
    <s v="1I-EZPV-2Q78"/>
    <d v="2025-06-04T00:00:00"/>
    <n v="52.73"/>
    <n v="52.73"/>
    <n v="7.9094999999999995"/>
    <n v="44.82"/>
    <n v="22.29"/>
    <n v="0.14000000000000001"/>
    <n v="0.39877104377104378"/>
    <n v="0"/>
    <n v="21.991228956228955"/>
    <n v="10.995614478114478"/>
    <d v="2025-06-11T00:00:00"/>
    <d v="2025-06-11T00:00:00"/>
    <d v="2025-06-16T00:00:00"/>
    <d v="2025-06-20T00:00:00"/>
    <s v="2025 06"/>
    <s v="Aguardando Liberação"/>
    <s v="2025 05"/>
    <s v="ENTREGUE"/>
    <d v="2025-05-22T00:00:00"/>
    <s v="-"/>
    <m/>
    <n v="0"/>
    <n v="0"/>
    <n v="0"/>
    <n v="0"/>
    <n v="0"/>
  </r>
  <r>
    <s v="MEI"/>
    <s v="MEI-"/>
    <s v="Pedido 1686"/>
    <d v="2025-05-08T00:00:00"/>
    <s v="-"/>
    <s v="-"/>
    <s v="-"/>
    <n v="1"/>
    <s v="CPF 1645"/>
    <s v="Nome 1645"/>
    <s v="Tel 1645"/>
    <s v="Cep 1645"/>
    <s v="Rua 1645"/>
    <s v="Comp 1645"/>
    <x v="3"/>
    <s v="WR-82Y0-OV27"/>
    <d v="2025-06-04T00:00:00"/>
    <n v="49.9"/>
    <n v="49.9"/>
    <n v="5.9879999999999995"/>
    <n v="43.91"/>
    <n v="0"/>
    <n v="0"/>
    <n v="0"/>
    <n v="0"/>
    <n v="43.91"/>
    <n v="21.954999999999998"/>
    <d v="2025-06-11T00:00:00"/>
    <d v="2025-06-11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87"/>
    <d v="2025-05-09T00:00:00"/>
    <s v="-"/>
    <s v="-"/>
    <s v="-"/>
    <n v="1"/>
    <s v="CPF 1646"/>
    <s v="Nome 1646"/>
    <s v="Tel 1646"/>
    <s v="Cep 1646"/>
    <s v="Rua 1646"/>
    <s v="Comp 1646"/>
    <x v="32"/>
    <s v="NO-Z0ZJ-Z61M"/>
    <d v="2025-06-05T00:00:00"/>
    <n v="49.99"/>
    <n v="49.99"/>
    <n v="5.9988000000000001"/>
    <n v="43.99"/>
    <n v="0"/>
    <n v="0"/>
    <n v="0"/>
    <n v="0"/>
    <n v="43.99"/>
    <n v="21.995000000000001"/>
    <d v="2025-06-12T00:00:00"/>
    <d v="2025-06-12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88"/>
    <d v="2025-05-09T00:00:00"/>
    <s v="-"/>
    <s v="-"/>
    <s v="-"/>
    <n v="1"/>
    <s v="CPF 1647"/>
    <s v="Nome 1647"/>
    <s v="Tel 1647"/>
    <s v="Cep 1647"/>
    <s v="Rua 1647"/>
    <s v="Comp 1647"/>
    <x v="3"/>
    <s v="WR-82Y0-OV27"/>
    <d v="2025-06-05T00:00:00"/>
    <n v="49.9"/>
    <n v="49.9"/>
    <n v="5.9879999999999995"/>
    <n v="43.91"/>
    <n v="0"/>
    <n v="0"/>
    <n v="0"/>
    <n v="0"/>
    <n v="43.91"/>
    <n v="21.954999999999998"/>
    <d v="2025-06-12T00:00:00"/>
    <d v="2025-06-12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89"/>
    <d v="2025-05-09T00:00:00"/>
    <s v="-"/>
    <s v="-"/>
    <s v="-"/>
    <n v="1"/>
    <s v="CPF 1648"/>
    <s v="Nome 1648"/>
    <s v="Tel 1648"/>
    <s v="Cep 1648"/>
    <s v="Rua 1648"/>
    <s v="Comp 1648"/>
    <x v="3"/>
    <s v="WR-82Y0-OV27"/>
    <d v="2025-06-05T00:00:00"/>
    <n v="49.9"/>
    <n v="49.9"/>
    <n v="5.9879999999999995"/>
    <n v="43.91"/>
    <n v="0"/>
    <n v="0"/>
    <n v="0"/>
    <n v="0"/>
    <n v="43.91"/>
    <n v="21.954999999999998"/>
    <d v="2025-06-12T00:00:00"/>
    <d v="2025-06-12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90"/>
    <d v="2025-05-09T00:00:00"/>
    <s v="-"/>
    <s v="-"/>
    <s v="-"/>
    <n v="1"/>
    <s v="CPF 1649"/>
    <s v="Nome 1649"/>
    <s v="Tel 1649"/>
    <s v="Cep 1649"/>
    <s v="Rua 1649"/>
    <s v="Comp 1649"/>
    <x v="32"/>
    <s v="NO-Z0ZJ-Z61M"/>
    <d v="2025-05-30T00:00:00"/>
    <n v="49.99"/>
    <n v="49.99"/>
    <n v="5.9988000000000001"/>
    <n v="43.99"/>
    <n v="0"/>
    <n v="0"/>
    <n v="0"/>
    <n v="0"/>
    <n v="43.99"/>
    <n v="21.995000000000001"/>
    <d v="2025-06-06T00:00:00"/>
    <d v="2025-06-06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91"/>
    <d v="2025-05-09T00:00:00"/>
    <s v="-"/>
    <s v="-"/>
    <s v="-"/>
    <n v="1"/>
    <s v="CPF 1650"/>
    <s v="Nome 1650"/>
    <s v="Tel 1650"/>
    <s v="Cep 1650"/>
    <s v="Rua 1650"/>
    <s v="Comp 1650"/>
    <x v="12"/>
    <s v="PK-L2Z7-MQRQ"/>
    <d v="2025-05-30T00:00:00"/>
    <n v="48.9"/>
    <n v="48.9"/>
    <n v="5.8679999999999994"/>
    <n v="43.03"/>
    <n v="0"/>
    <n v="0"/>
    <n v="0"/>
    <n v="0"/>
    <n v="43.03"/>
    <n v="21.515000000000001"/>
    <d v="2025-06-06T00:00:00"/>
    <d v="2025-06-06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90"/>
    <s v="Pedido 1692"/>
    <d v="2025-05-10T00:00:00"/>
    <d v="2025-05-13T00:00:00"/>
    <s v="PedidoF1606"/>
    <s v="CódRastreio1604"/>
    <n v="1"/>
    <s v="CPF 1651"/>
    <s v="Nome 1651"/>
    <s v="Tel 1651"/>
    <s v="Cep 1651"/>
    <s v="Rua 1651"/>
    <s v="Comp 1651"/>
    <x v="15"/>
    <s v="71-KHMZ-MLQW"/>
    <d v="2025-06-05T00:00:00"/>
    <n v="49.99"/>
    <n v="49.99"/>
    <n v="5.4988999999999999"/>
    <n v="44.49"/>
    <n v="37.64"/>
    <n v="0.45"/>
    <n v="0.39877104377104378"/>
    <n v="0"/>
    <n v="6.0012289562289567"/>
    <n v="3.0006144781144783"/>
    <d v="2025-06-12T00:00:00"/>
    <d v="2025-06-12T00:00:00"/>
    <d v="2025-06-16T00:00:00"/>
    <d v="2025-06-20T00:00:00"/>
    <s v="2025 06"/>
    <s v="Aguardando Liberação"/>
    <s v="2025 05"/>
    <s v="EM TRÂNSITO"/>
    <s v="-"/>
    <s v="-"/>
    <m/>
    <n v="0"/>
    <n v="0"/>
    <n v="0"/>
    <n v="0"/>
    <n v="0"/>
  </r>
  <r>
    <s v="MEI"/>
    <s v="MEI45791"/>
    <s v="Pedido 1693"/>
    <d v="2025-05-10T00:00:00"/>
    <d v="2025-05-14T00:00:00"/>
    <s v="PedidoF1607"/>
    <s v="CódRastreio1605"/>
    <n v="1"/>
    <s v="CPF 1652"/>
    <s v="Nome 1652"/>
    <s v="Tel 1652"/>
    <s v="Cep 1652"/>
    <s v="Rua 1652"/>
    <s v="Comp 1652"/>
    <x v="29"/>
    <s v="RX-DD1P-P5U2"/>
    <d v="2025-06-05T00:00:00"/>
    <n v="26.99"/>
    <n v="26.99"/>
    <n v="3.2387999999999999"/>
    <n v="23.75"/>
    <n v="0"/>
    <n v="0.64"/>
    <n v="0.39877104377104378"/>
    <n v="0"/>
    <n v="22.711228956228958"/>
    <n v="11.355614478114479"/>
    <d v="2025-06-12T00:00:00"/>
    <d v="2025-06-12T00:00:00"/>
    <d v="2025-06-16T00:00:00"/>
    <d v="2025-06-20T00:00:00"/>
    <s v="2025 06"/>
    <s v="Aguardando Liberação"/>
    <s v="2025 05"/>
    <s v="ENTREGUE"/>
    <d v="2025-06-23T09:54:13"/>
    <s v="-"/>
    <m/>
    <n v="0"/>
    <n v="0"/>
    <n v="0"/>
    <n v="0"/>
    <n v="0"/>
  </r>
  <r>
    <s v="MEI"/>
    <s v="MEI45790"/>
    <s v="Pedido 1694"/>
    <d v="2025-05-10T00:00:00"/>
    <d v="2025-05-13T00:00:00"/>
    <s v="PedidoF1608"/>
    <s v="CódRastreio1606"/>
    <n v="1"/>
    <s v="CPF 1653"/>
    <s v="Nome 1653"/>
    <s v="Tel 1653"/>
    <s v="Cep 1653"/>
    <s v="Rua 1653"/>
    <s v="Comp 1653"/>
    <x v="6"/>
    <s v="VI-4RT5-1FFO"/>
    <d v="2025-05-24T00:00:00"/>
    <n v="22.7"/>
    <n v="22.7"/>
    <n v="2.7239999999999998"/>
    <n v="19.98"/>
    <n v="14.71"/>
    <n v="0.45"/>
    <n v="0.39877104377104378"/>
    <n v="0"/>
    <n v="4.4212289562289566"/>
    <n v="2.2106144781144783"/>
    <d v="2025-05-31T00:00:00"/>
    <d v="2025-05-31T00:00:00"/>
    <d v="2025-06-16T00:00:00"/>
    <d v="2025-06-20T00:00:00"/>
    <s v="2025 05"/>
    <s v="Aguardando Liberação"/>
    <s v="2025 05"/>
    <s v="ENTREGUE"/>
    <d v="2025-05-16T00:00:00"/>
    <s v="-"/>
    <m/>
    <n v="0"/>
    <n v="0"/>
    <n v="0"/>
    <n v="0"/>
    <n v="0"/>
  </r>
  <r>
    <s v="MEI"/>
    <s v="MEI45791"/>
    <s v="Pedido 1695"/>
    <d v="2025-05-10T00:00:00"/>
    <d v="2025-05-14T00:00:00"/>
    <s v="PedidoF1609"/>
    <s v="CódRastreio1607"/>
    <n v="1"/>
    <s v="CPF 1654"/>
    <s v="Nome 1654"/>
    <s v="Tel 1654"/>
    <s v="Cep 1654"/>
    <s v="Rua 1654"/>
    <s v="Comp 1654"/>
    <x v="15"/>
    <s v="71-KHMZ-MLQW"/>
    <d v="2025-05-30T00:00:00"/>
    <n v="49.99"/>
    <n v="49.99"/>
    <n v="5.4988999999999999"/>
    <n v="44.49"/>
    <n v="36.659999999999997"/>
    <n v="0.64"/>
    <n v="0.39877104377104378"/>
    <n v="0"/>
    <n v="6.7912289562289629"/>
    <n v="3.3956144781144815"/>
    <d v="2025-06-06T00:00:00"/>
    <d v="2025-06-06T00:00:00"/>
    <d v="2025-06-16T00:00:00"/>
    <d v="2025-06-20T00:00:00"/>
    <s v="2025 06"/>
    <s v="Aguardando Liberação"/>
    <s v="2025 05"/>
    <s v="ENTREGUE"/>
    <d v="2025-06-11T17:10:36"/>
    <s v="-"/>
    <m/>
    <n v="0"/>
    <n v="0"/>
    <n v="0"/>
    <n v="0"/>
    <n v="0"/>
  </r>
  <r>
    <s v="MEI"/>
    <s v="MEI-"/>
    <s v="Pedido 1696"/>
    <d v="2025-05-11T00:00:00"/>
    <s v="-"/>
    <s v="-"/>
    <s v="-"/>
    <n v="1"/>
    <s v="CPF 1655"/>
    <s v="Nome 1655"/>
    <s v="Tel 1655"/>
    <s v="Cep 1655"/>
    <s v="Rua 1655"/>
    <s v="Comp 1655"/>
    <x v="12"/>
    <s v="PK-L2Z7-MQRQ"/>
    <d v="2025-06-12T00:00:00"/>
    <n v="48.9"/>
    <n v="48.9"/>
    <n v="5.8679999999999994"/>
    <n v="43.03"/>
    <n v="0"/>
    <n v="0"/>
    <n v="0"/>
    <n v="0"/>
    <n v="43.03"/>
    <n v="21.515000000000001"/>
    <d v="2025-06-19T00:00:00"/>
    <d v="2025-06-19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697"/>
    <d v="2025-05-11T00:00:00"/>
    <s v="-"/>
    <s v="-"/>
    <s v="-"/>
    <n v="1"/>
    <s v="CPF 1656"/>
    <s v="Nome 1656"/>
    <s v="Tel 1656"/>
    <s v="Cep 1656"/>
    <s v="Rua 1656"/>
    <s v="Comp 1656"/>
    <x v="3"/>
    <s v="WR-82Y0-OV27"/>
    <d v="2025-05-30T00:00:00"/>
    <n v="49.9"/>
    <n v="49.9"/>
    <n v="5.9879999999999995"/>
    <n v="43.91"/>
    <n v="0"/>
    <n v="0"/>
    <n v="0"/>
    <n v="0"/>
    <n v="43.91"/>
    <n v="21.954999999999998"/>
    <d v="2025-06-06T00:00:00"/>
    <d v="2025-06-06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45791"/>
    <s v="Pedido 1698"/>
    <d v="2025-05-11T00:00:00"/>
    <d v="2025-05-14T00:00:00"/>
    <s v="PedidoF1610"/>
    <s v="CódRastreio1608"/>
    <n v="1"/>
    <s v="CPF 1657"/>
    <s v="Nome 1657"/>
    <s v="Tel 1657"/>
    <s v="Cep 1657"/>
    <s v="Rua 1657"/>
    <s v="Comp 1657"/>
    <x v="6"/>
    <s v="VI-4RT5-1FFO"/>
    <d v="2025-06-05T00:00:00"/>
    <n v="22.7"/>
    <n v="22.7"/>
    <n v="2.7239999999999998"/>
    <n v="19.98"/>
    <n v="14.71"/>
    <n v="0.64"/>
    <n v="0.39877104377104378"/>
    <n v="0"/>
    <n v="4.2312289562289553"/>
    <n v="2.1156144781144777"/>
    <d v="2025-06-12T00:00:00"/>
    <d v="2025-06-12T00:00:00"/>
    <d v="2025-06-16T00:00:00"/>
    <d v="2025-06-20T00:00:00"/>
    <s v="2025 06"/>
    <s v="Aguardando Liberação"/>
    <s v="2025 05"/>
    <s v="ENTREGUE"/>
    <d v="2025-05-22T00:00:00"/>
    <s v="-"/>
    <m/>
    <n v="0"/>
    <n v="0"/>
    <n v="0"/>
    <n v="0"/>
    <n v="0"/>
  </r>
  <r>
    <s v="MEI"/>
    <s v="MEI45792"/>
    <s v="Pedido 1699"/>
    <d v="2025-05-11T00:00:00"/>
    <d v="2025-05-15T00:00:00"/>
    <s v="PedidoF1611"/>
    <s v="CódRastreio1609"/>
    <n v="1"/>
    <s v="CPF 1658"/>
    <s v="Nome 1658"/>
    <s v="Tel 1658"/>
    <s v="Cep 1658"/>
    <s v="Rua 1658"/>
    <s v="Comp 1658"/>
    <x v="12"/>
    <s v="PK-L2Z7-MQRQ"/>
    <d v="2025-06-12T00:00:00"/>
    <n v="48.9"/>
    <n v="48.9"/>
    <n v="5.8679999999999994"/>
    <n v="43.03"/>
    <n v="28.88"/>
    <n v="4.0999999999999996"/>
    <n v="0.39877104377104378"/>
    <n v="0"/>
    <n v="9.6512289562289624"/>
    <n v="4.8256144781144812"/>
    <d v="2025-06-19T00:00:00"/>
    <d v="2025-06-19T00:00:00"/>
    <d v="2025-06-30T00:00:00"/>
    <d v="2025-07-01T00:00:00"/>
    <s v="2025 06"/>
    <s v="Aguardando Liberação"/>
    <s v="2025 05"/>
    <s v="ENTREGUE"/>
    <d v="2025-06-04T00:00:00"/>
    <s v="-"/>
    <m/>
    <n v="0"/>
    <n v="0"/>
    <n v="0"/>
    <n v="0"/>
    <n v="0"/>
  </r>
  <r>
    <s v="MEI"/>
    <s v="MEI-"/>
    <s v="Pedido 1700"/>
    <d v="2025-05-11T00:00:00"/>
    <s v="-"/>
    <s v="-"/>
    <s v="-"/>
    <n v="1"/>
    <s v="CPF 1659"/>
    <s v="Nome 1659"/>
    <s v="Tel 1659"/>
    <s v="Cep 1659"/>
    <s v="Rua 1659"/>
    <s v="Comp 1659"/>
    <x v="3"/>
    <s v="WR-82Y0-OV27"/>
    <d v="2025-06-05T00:00:00"/>
    <n v="49.9"/>
    <n v="49.9"/>
    <n v="5.9879999999999995"/>
    <n v="43.91"/>
    <n v="0"/>
    <n v="0"/>
    <n v="0"/>
    <n v="0"/>
    <n v="43.91"/>
    <n v="21.954999999999998"/>
    <d v="2025-06-12T00:00:00"/>
    <d v="2025-06-12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701"/>
    <d v="2025-05-11T00:00:00"/>
    <s v="-"/>
    <s v="-"/>
    <s v="-"/>
    <n v="1"/>
    <s v="CPF 1660"/>
    <s v="Nome 1660"/>
    <s v="Tel 1660"/>
    <s v="Cep 1660"/>
    <s v="Rua 1660"/>
    <s v="Comp 1660"/>
    <x v="12"/>
    <s v="PK-L2Z7-MQRQ"/>
    <d v="2025-06-12T00:00:00"/>
    <n v="48.9"/>
    <n v="48.9"/>
    <n v="5.8679999999999994"/>
    <n v="43.03"/>
    <n v="0"/>
    <n v="0"/>
    <n v="0"/>
    <n v="0"/>
    <n v="43.03"/>
    <n v="21.515000000000001"/>
    <d v="2025-06-19T00:00:00"/>
    <d v="2025-06-19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702"/>
    <d v="2025-05-11T00:00:00"/>
    <s v="-"/>
    <s v="-"/>
    <s v="-"/>
    <n v="1"/>
    <s v="CPF 1661"/>
    <s v="Nome 1661"/>
    <s v="Tel 1661"/>
    <s v="Cep 1661"/>
    <s v="Rua 1661"/>
    <s v="Comp 1661"/>
    <x v="12"/>
    <s v="PK-L2Z7-MQRQ"/>
    <d v="2025-06-12T00:00:00"/>
    <n v="48.9"/>
    <n v="48.9"/>
    <n v="5.8679999999999994"/>
    <n v="43.03"/>
    <n v="0"/>
    <n v="0"/>
    <n v="0"/>
    <n v="0"/>
    <n v="43.03"/>
    <n v="21.515000000000001"/>
    <d v="2025-06-19T00:00:00"/>
    <d v="2025-06-19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791"/>
    <s v="Pedido 1703"/>
    <d v="2025-05-11T00:00:00"/>
    <d v="2025-05-14T00:00:00"/>
    <s v="PedidoF1612"/>
    <s v="CódRastreio1610"/>
    <n v="1"/>
    <s v="CPF 1662"/>
    <s v="Nome 1662"/>
    <s v="Tel 1662"/>
    <s v="Cep 1662"/>
    <s v="Rua 1662"/>
    <s v="Comp 1662"/>
    <x v="15"/>
    <s v="71-KHMZ-MLQW"/>
    <d v="2025-06-12T00:00:00"/>
    <n v="49.99"/>
    <n v="49.99"/>
    <n v="5.4988999999999999"/>
    <n v="44.49"/>
    <n v="0"/>
    <n v="0.64"/>
    <n v="0.39877104377104378"/>
    <n v="0"/>
    <n v="43.45122895622896"/>
    <n v="21.72561447811448"/>
    <d v="2025-06-19T00:00:00"/>
    <d v="2025-06-19T00:00:00"/>
    <d v="2025-06-30T00:00:00"/>
    <d v="2025-07-01T00:00:00"/>
    <s v="2025 06"/>
    <s v="Aguardando Liberação"/>
    <s v="2025 05"/>
    <s v="ENTREGUE"/>
    <d v="2025-07-09T00:00:00"/>
    <s v="-"/>
    <m/>
    <n v="0"/>
    <n v="0"/>
    <n v="0"/>
    <n v="0"/>
    <n v="0"/>
  </r>
  <r>
    <s v="MEI"/>
    <s v="MEI-"/>
    <s v="Pedido 1704"/>
    <d v="2025-05-11T00:00:00"/>
    <s v="-"/>
    <s v="-"/>
    <s v="-"/>
    <n v="1"/>
    <s v="CPF 1663"/>
    <s v="Nome 1663"/>
    <s v="Tel 1663"/>
    <s v="Cep 1663"/>
    <s v="Rua 1663"/>
    <s v="Comp 1663"/>
    <x v="6"/>
    <s v="VI-4RT5-1FFO"/>
    <d v="2025-05-30T00:00:00"/>
    <n v="22.7"/>
    <n v="22.7"/>
    <n v="2.7239999999999998"/>
    <n v="19.98"/>
    <n v="0"/>
    <n v="0"/>
    <n v="0"/>
    <n v="0"/>
    <n v="19.98"/>
    <n v="9.99"/>
    <d v="2025-06-06T00:00:00"/>
    <d v="2025-06-06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705"/>
    <d v="2025-05-11T00:00:00"/>
    <s v="-"/>
    <s v="-"/>
    <s v="-"/>
    <n v="1"/>
    <s v="CPF 1664"/>
    <s v="Nome 1664"/>
    <s v="Tel 1664"/>
    <s v="Cep 1664"/>
    <s v="Rua 1664"/>
    <s v="Comp 1664"/>
    <x v="10"/>
    <s v="WU-SS4J-LFOH"/>
    <d v="2025-06-12T00:00:00"/>
    <n v="65.7"/>
    <n v="65.7"/>
    <n v="7.8840000000000003"/>
    <n v="57.82"/>
    <n v="0"/>
    <n v="0"/>
    <n v="0"/>
    <n v="0"/>
    <n v="57.82"/>
    <n v="28.91"/>
    <d v="2025-06-19T00:00:00"/>
    <d v="2025-06-19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793"/>
    <s v="Pedido 1706"/>
    <d v="2025-05-12T00:00:00"/>
    <d v="2025-05-16T00:00:00"/>
    <s v="PedidoF1613"/>
    <s v="CódRastreio1611"/>
    <n v="1"/>
    <s v="CPF 1665"/>
    <s v="Nome 1665"/>
    <s v="Tel 1665"/>
    <s v="Cep 1665"/>
    <s v="Rua 1665"/>
    <s v="Comp 1665"/>
    <x v="12"/>
    <s v="PK-L2Z7-MQRQ"/>
    <d v="2025-06-06T00:00:00"/>
    <n v="48.9"/>
    <n v="48.9"/>
    <n v="5.8679999999999994"/>
    <n v="43.03"/>
    <n v="22.66"/>
    <n v="0.2"/>
    <n v="0.39877104377104378"/>
    <n v="0"/>
    <n v="19.771228956228956"/>
    <n v="9.8856144781144781"/>
    <d v="2025-06-13T00:00:00"/>
    <d v="2025-06-13T00:00:00"/>
    <d v="2025-06-16T00:00:00"/>
    <d v="2025-06-20T00:00:00"/>
    <s v="2025 06"/>
    <s v="Aguardando Liberação"/>
    <s v="2025 05"/>
    <s v="ENTREGUE"/>
    <d v="2025-05-30T00:00:00"/>
    <s v="-"/>
    <m/>
    <n v="0"/>
    <n v="0"/>
    <n v="0"/>
    <n v="0"/>
    <n v="0"/>
  </r>
  <r>
    <s v="MEI"/>
    <s v="MEI45794"/>
    <s v="Pedido 1707"/>
    <d v="2025-05-12T00:00:00"/>
    <d v="2025-05-17T00:00:00"/>
    <s v="PedidoF1614"/>
    <s v="CódRastreio1612"/>
    <n v="1"/>
    <s v="CPF 1666"/>
    <s v="Nome 1666"/>
    <s v="Tel 1666"/>
    <s v="Cep 1666"/>
    <s v="Rua 1666"/>
    <s v="Comp 1666"/>
    <x v="12"/>
    <s v="PK-L2Z7-MQRQ"/>
    <d v="2025-06-13T00:00:00"/>
    <n v="48.9"/>
    <n v="48.9"/>
    <n v="5.8679999999999994"/>
    <n v="43.03"/>
    <n v="12.56"/>
    <n v="0.3"/>
    <n v="0.39877104377104378"/>
    <n v="0"/>
    <n v="29.771228956228956"/>
    <n v="14.885614478114478"/>
    <d v="2025-06-20T00:00:00"/>
    <d v="2025-06-20T00:00:00"/>
    <d v="2025-06-30T00:00:00"/>
    <d v="2025-07-01T00:00:00"/>
    <s v="2025 06"/>
    <s v="Aguardando Liberação"/>
    <s v="2025 05"/>
    <s v="ENTREGUE"/>
    <d v="2025-06-26T00:00:00"/>
    <s v="-"/>
    <m/>
    <n v="0"/>
    <n v="0"/>
    <n v="0"/>
    <n v="0"/>
    <n v="0"/>
  </r>
  <r>
    <s v="MEI"/>
    <s v="MEI45793"/>
    <s v="Pedido 1708"/>
    <d v="2025-05-12T00:00:00"/>
    <d v="2025-05-16T00:00:00"/>
    <s v="PedidoF1615"/>
    <s v="CódRastreio1613"/>
    <n v="1"/>
    <s v="CPF 1667"/>
    <s v="Nome 1667"/>
    <s v="Tel 1667"/>
    <s v="Cep 1667"/>
    <s v="Rua 1667"/>
    <s v="Comp 1667"/>
    <x v="3"/>
    <s v="WR-82Y0-OV27"/>
    <d v="2025-06-06T00:00:00"/>
    <n v="49.9"/>
    <n v="49.9"/>
    <n v="5.9879999999999995"/>
    <n v="43.91"/>
    <n v="12.73"/>
    <n v="0.2"/>
    <n v="0.39877104377104378"/>
    <n v="0"/>
    <n v="30.581228956228955"/>
    <n v="15.290614478114477"/>
    <d v="2025-06-13T00:00:00"/>
    <d v="2025-06-13T00:00:00"/>
    <d v="2025-06-16T00:00:00"/>
    <d v="2025-06-20T00:00:00"/>
    <s v="2025 06"/>
    <s v="Aguardando Liberação"/>
    <s v="2025 05"/>
    <s v="ENTREGUE"/>
    <d v="2025-06-02T00:00:00"/>
    <s v="-"/>
    <m/>
    <n v="0"/>
    <n v="0"/>
    <n v="0"/>
    <n v="0"/>
    <n v="0"/>
  </r>
  <r>
    <s v="MEI"/>
    <s v="MEI-"/>
    <s v="Pedido 1709"/>
    <d v="2025-05-12T00:00:00"/>
    <s v="-"/>
    <s v="-"/>
    <s v="-"/>
    <n v="1"/>
    <s v="CPF 1668"/>
    <s v="Nome 1668"/>
    <s v="Tel 1668"/>
    <s v="Cep 1668"/>
    <s v="Rua 1668"/>
    <s v="Comp 1668"/>
    <x v="16"/>
    <s v="T1-SWVB-UPOW"/>
    <d v="2025-06-13T00:00:00"/>
    <n v="35.99"/>
    <n v="35.99"/>
    <n v="4.3188000000000004"/>
    <n v="31.67"/>
    <n v="0"/>
    <n v="0"/>
    <n v="0"/>
    <n v="0"/>
    <n v="31.67"/>
    <n v="15.835000000000001"/>
    <d v="2025-06-20T00:00:00"/>
    <d v="2025-06-20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GO"/>
    <s v="GO-"/>
    <s v="Pedido 1710"/>
    <d v="2025-05-10T00:00:00"/>
    <s v="-"/>
    <s v="-"/>
    <s v="-"/>
    <n v="1"/>
    <s v="CPF 1669"/>
    <s v="Nome 1669"/>
    <s v="Tel 1669"/>
    <s v="Cep 1669"/>
    <s v="Rua 1669"/>
    <s v="Comp 1669"/>
    <x v="26"/>
    <s v="WS-5LUS-APOT"/>
    <d v="2025-06-12T00:00:00"/>
    <n v="36.99"/>
    <n v="36.99"/>
    <n v="4.0689000000000002"/>
    <n v="32.92"/>
    <n v="0"/>
    <n v="0"/>
    <n v="0"/>
    <n v="0"/>
    <n v="32.92"/>
    <n v="32.92"/>
    <d v="2025-06-19T00:00:00"/>
    <d v="2025-06-19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807"/>
    <s v="Pedido 1711"/>
    <d v="2025-05-14T00:00:00"/>
    <d v="2025-05-30T00:00:00"/>
    <s v="PedidoF1616"/>
    <s v="CódRastreio1614"/>
    <n v="1"/>
    <s v="CPF 1670"/>
    <s v="Nome 1670"/>
    <s v="Tel 1670"/>
    <s v="Cep 1670"/>
    <s v="Rua 1670"/>
    <s v="Comp 1670"/>
    <x v="19"/>
    <s v="1I-EZPV-2Q78"/>
    <d v="2025-06-10T00:00:00"/>
    <n v="52.73"/>
    <n v="52.73"/>
    <n v="7.9094999999999995"/>
    <n v="44.82"/>
    <n v="33.99"/>
    <n v="0"/>
    <n v="0.39877104377104378"/>
    <n v="0"/>
    <n v="10.431228956228956"/>
    <n v="5.2156144781144782"/>
    <d v="2025-06-17T00:00:00"/>
    <d v="2025-06-17T00:00:00"/>
    <d v="2025-06-30T00:00:00"/>
    <d v="2025-07-01T00:00:00"/>
    <s v="2025 06"/>
    <s v="Aguardando Liberação"/>
    <s v="2025 05"/>
    <s v="ENTREGUE"/>
    <d v="2025-06-08T00:00:00"/>
    <s v="-"/>
    <m/>
    <n v="0"/>
    <n v="0"/>
    <n v="0"/>
    <n v="0"/>
    <n v="0"/>
  </r>
  <r>
    <s v="MEI"/>
    <s v="MEI45796"/>
    <s v="Pedido 1712"/>
    <d v="2025-05-14T00:00:00"/>
    <d v="2025-05-19T00:00:00"/>
    <s v="PedidoF1617"/>
    <s v="CódRastreio1615"/>
    <n v="1"/>
    <s v="CPF 1671"/>
    <s v="Nome 1671"/>
    <s v="Tel 1671"/>
    <s v="Cep 1671"/>
    <s v="Rua 1671"/>
    <s v="Comp 1671"/>
    <x v="3"/>
    <s v="WR-82Y0-OV27"/>
    <d v="2025-06-10T00:00:00"/>
    <n v="49.9"/>
    <n v="49.9"/>
    <n v="5.9879999999999995"/>
    <n v="43.91"/>
    <n v="16.18"/>
    <n v="0.75"/>
    <n v="0.39877104377104378"/>
    <n v="0"/>
    <n v="26.581228956228951"/>
    <n v="13.290614478114476"/>
    <d v="2025-06-17T00:00:00"/>
    <d v="2025-06-17T00:00:00"/>
    <d v="2025-06-30T00:00:00"/>
    <d v="2025-07-01T00:00:00"/>
    <s v="2025 06"/>
    <s v="Aguardando Liberação"/>
    <s v="2025 05"/>
    <s v="ENTREGUE"/>
    <d v="2025-06-04T00:00:00"/>
    <s v="-"/>
    <m/>
    <n v="0"/>
    <n v="0"/>
    <n v="0"/>
    <n v="0"/>
    <n v="0"/>
  </r>
  <r>
    <s v="MEI"/>
    <s v="MEI45797"/>
    <s v="Pedido 1713"/>
    <d v="2025-05-14T00:00:00"/>
    <d v="2025-05-20T00:00:00"/>
    <s v="PedidoF1618"/>
    <s v="CódRastreio1616"/>
    <n v="1"/>
    <s v="CPF 1672"/>
    <s v="Nome 1672"/>
    <s v="Tel 1672"/>
    <s v="Cep 1672"/>
    <s v="Rua 1672"/>
    <s v="Comp 1672"/>
    <x v="10"/>
    <s v="WU-SS4J-LFOH"/>
    <d v="2025-06-17T00:00:00"/>
    <n v="65.7"/>
    <n v="65.7"/>
    <n v="7.8840000000000003"/>
    <n v="57.82"/>
    <n v="24.6"/>
    <n v="0.9"/>
    <n v="0.39877104377104378"/>
    <n v="0"/>
    <n v="31.921228956228955"/>
    <n v="15.960614478114477"/>
    <d v="2025-06-24T00:00:00"/>
    <d v="2025-06-24T00:00:00"/>
    <d v="2025-06-30T00:00:00"/>
    <d v="2025-07-01T00:00:00"/>
    <s v="2025 06"/>
    <s v="Aguardando Liberação"/>
    <s v="2025 05"/>
    <s v="ENTREGUE"/>
    <d v="2025-06-25T00:00:00"/>
    <s v="-"/>
    <m/>
    <n v="0"/>
    <n v="0"/>
    <n v="0"/>
    <n v="0"/>
    <n v="0"/>
  </r>
  <r>
    <s v="MEI"/>
    <s v="MEI45796"/>
    <s v="Pedido 1714"/>
    <d v="2025-05-14T00:00:00"/>
    <d v="2025-05-19T00:00:00"/>
    <s v="PedidoF1619"/>
    <s v="CódRastreio1617"/>
    <n v="1"/>
    <s v="CPF 1673"/>
    <s v="Nome 1673"/>
    <s v="Tel 1673"/>
    <s v="Cep 1673"/>
    <s v="Rua 1673"/>
    <s v="Comp 1673"/>
    <x v="15"/>
    <s v="71-KHMZ-MLQW"/>
    <d v="2025-06-10T00:00:00"/>
    <n v="49.99"/>
    <n v="49.99"/>
    <n v="5.4988999999999999"/>
    <n v="44.49"/>
    <n v="40.049999999999997"/>
    <n v="0.75"/>
    <n v="0.39877104377104378"/>
    <n v="0"/>
    <n v="3.2912289562289629"/>
    <n v="1.6456144781144815"/>
    <d v="2025-06-17T00:00:00"/>
    <d v="2025-06-17T00:00:00"/>
    <d v="2025-06-30T00:00:00"/>
    <d v="2025-07-01T00:00:00"/>
    <s v="2025 06"/>
    <s v="Aguardando Liberação"/>
    <s v="2025 05"/>
    <s v="ENTREGUE"/>
    <d v="2025-06-02T00:00:00"/>
    <s v="-"/>
    <m/>
    <n v="0"/>
    <n v="0"/>
    <n v="0"/>
    <n v="0"/>
    <n v="0"/>
  </r>
  <r>
    <s v="MEI"/>
    <s v="MEI45806"/>
    <s v="Pedido 1715"/>
    <d v="2025-05-15T00:00:00"/>
    <d v="2025-05-29T00:00:00"/>
    <s v="PedidoF1620"/>
    <s v="CódRastreio1618"/>
    <n v="1"/>
    <s v="CPF 1674"/>
    <s v="Nome 1674"/>
    <s v="Tel 1674"/>
    <s v="Cep 1674"/>
    <s v="Rua 1674"/>
    <s v="Comp 1674"/>
    <x v="15"/>
    <s v="71-KHMZ-MLQW"/>
    <d v="2025-06-05T00:00:00"/>
    <n v="49.99"/>
    <n v="49.99"/>
    <n v="5.4988999999999999"/>
    <n v="44.49"/>
    <n v="36.72"/>
    <n v="0"/>
    <n v="0.39877104377104378"/>
    <n v="0"/>
    <n v="7.3712289562289612"/>
    <n v="3.6856144781144806"/>
    <d v="2025-06-12T00:00:00"/>
    <d v="2025-06-12T00:00:00"/>
    <d v="2025-06-16T00:00:00"/>
    <d v="2025-06-20T00:00:00"/>
    <s v="2025 06"/>
    <s v="Aguardando Liberação"/>
    <s v="2025 05"/>
    <s v="ENTREGUE"/>
    <d v="2025-06-11T00:00:00"/>
    <s v="-"/>
    <m/>
    <n v="0"/>
    <n v="0"/>
    <n v="0"/>
    <n v="0"/>
    <n v="0"/>
  </r>
  <r>
    <s v="MEI"/>
    <s v="MEI-"/>
    <s v="Pedido 1716"/>
    <d v="2025-05-15T00:00:00"/>
    <s v="-"/>
    <s v="-"/>
    <s v="-"/>
    <n v="1"/>
    <s v="CPF 1675"/>
    <s v="Nome 1675"/>
    <s v="Tel 1675"/>
    <s v="Cep 1675"/>
    <s v="Rua 1675"/>
    <s v="Comp 1675"/>
    <x v="15"/>
    <s v="71-KHMZ-MLQW"/>
    <d v="2025-06-18T00:00:00"/>
    <n v="49.99"/>
    <n v="49.99"/>
    <n v="5.4988999999999999"/>
    <n v="44.49"/>
    <n v="0"/>
    <n v="0"/>
    <n v="0"/>
    <n v="0"/>
    <n v="44.49"/>
    <n v="22.245000000000001"/>
    <d v="2025-06-25T00:00:00"/>
    <d v="2025-06-25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807"/>
    <s v="Pedido 1717"/>
    <d v="2025-05-15T00:00:00"/>
    <d v="2025-05-30T00:00:00"/>
    <s v="PedidoF1621"/>
    <s v="CódRastreio1619"/>
    <n v="1"/>
    <s v="CPF 1676"/>
    <s v="Nome 1676"/>
    <s v="Tel 1676"/>
    <s v="Cep 1676"/>
    <s v="Rua 1676"/>
    <s v="Comp 1676"/>
    <x v="28"/>
    <s v="Z0-F6CI-18CL"/>
    <d v="2025-06-18T00:00:00"/>
    <n v="39.47"/>
    <n v="39.47"/>
    <n v="4.7363999999999997"/>
    <n v="34.729999999999997"/>
    <n v="33.119999999999997"/>
    <n v="0"/>
    <n v="0.39877104377104378"/>
    <n v="0"/>
    <n v="1.2112289562289575"/>
    <n v="0.60561447811447877"/>
    <d v="2025-06-25T00:00:00"/>
    <d v="2025-06-25T00:00:00"/>
    <d v="2025-06-30T00:00:00"/>
    <d v="2025-07-01T00:00:00"/>
    <s v="2025 06"/>
    <s v="Aguardando Liberação"/>
    <s v="2025 05"/>
    <s v="ENTREGUE"/>
    <d v="2025-06-09T00:00:00"/>
    <s v="-"/>
    <m/>
    <n v="0"/>
    <n v="0"/>
    <n v="0"/>
    <n v="0"/>
    <n v="0"/>
  </r>
  <r>
    <s v="MEI"/>
    <s v="MEI45797"/>
    <s v="Pedido 1718"/>
    <d v="2025-05-16T00:00:00"/>
    <d v="2025-05-20T00:00:00"/>
    <s v="PedidoF1622"/>
    <s v="CódRastreio1620"/>
    <n v="1"/>
    <s v="CPF 1677"/>
    <s v="Nome 1677"/>
    <s v="Tel 1677"/>
    <s v="Cep 1677"/>
    <s v="Rua 1677"/>
    <s v="Comp 1677"/>
    <x v="8"/>
    <s v="LF-R6MC-WKWP"/>
    <d v="2025-06-12T00:00:00"/>
    <n v="32.67"/>
    <n v="32.67"/>
    <n v="3.9203999999999999"/>
    <n v="28.75"/>
    <n v="0"/>
    <n v="0.9"/>
    <n v="0.39877104377104378"/>
    <n v="0"/>
    <n v="27.451228956228956"/>
    <n v="13.725614478114478"/>
    <d v="2025-06-19T00:00:00"/>
    <d v="2025-06-19T00:00:00"/>
    <d v="2025-06-30T00:00:00"/>
    <d v="2025-07-01T00:00:00"/>
    <s v="2025 06"/>
    <s v="Aguardando Liberação"/>
    <s v="2025 05"/>
    <s v="ENTREGUE"/>
    <d v="2025-07-18T00:00:00"/>
    <s v="-"/>
    <m/>
    <n v="0"/>
    <n v="0"/>
    <n v="0"/>
    <n v="0"/>
    <n v="0"/>
  </r>
  <r>
    <s v="MEI"/>
    <s v="MEI45803"/>
    <s v="Pedido 1719"/>
    <d v="2025-05-16T00:00:00"/>
    <d v="2025-05-26T00:00:00"/>
    <s v="PedidoF1623"/>
    <s v="CódRastreio1621"/>
    <n v="1"/>
    <s v="CPF 1678"/>
    <s v="Nome 1678"/>
    <s v="Tel 1678"/>
    <s v="Cep 1678"/>
    <s v="Rua 1678"/>
    <s v="Comp 1678"/>
    <x v="27"/>
    <s v="OV-P9KI-A5LS"/>
    <d v="2025-06-12T00:00:00"/>
    <n v="26.99"/>
    <n v="26.99"/>
    <n v="3.2387999999999999"/>
    <n v="23.75"/>
    <n v="12.49"/>
    <n v="0"/>
    <n v="0.39877104377104378"/>
    <n v="0"/>
    <n v="10.861228956228956"/>
    <n v="5.4306144781144781"/>
    <d v="2025-06-19T00:00:00"/>
    <d v="2025-06-19T00:00:00"/>
    <d v="2025-06-30T00:00:00"/>
    <d v="2025-07-01T00:00:00"/>
    <s v="2025 06"/>
    <s v="Aguardando Liberação"/>
    <s v="2025 05"/>
    <s v="ENTREGUE"/>
    <d v="2025-06-07T00:00:00"/>
    <s v="-"/>
    <m/>
    <n v="0"/>
    <n v="0"/>
    <n v="0"/>
    <n v="0"/>
    <n v="0"/>
  </r>
  <r>
    <s v="GO"/>
    <s v="GO-"/>
    <s v="Pedido 1720"/>
    <d v="2025-05-13T00:00:00"/>
    <s v="-"/>
    <s v="-"/>
    <s v="-"/>
    <n v="1"/>
    <s v="CPF 1679"/>
    <s v="Nome 1679"/>
    <s v="Tel 1679"/>
    <s v="Cep 1679"/>
    <s v="Rua 1679"/>
    <s v="Comp 1679"/>
    <x v="10"/>
    <s v="EP-9PIR-BWXH"/>
    <d v="2025-06-11T00:00:00"/>
    <n v="70.7"/>
    <n v="70.7"/>
    <n v="8.484"/>
    <n v="62.22"/>
    <n v="0"/>
    <n v="0"/>
    <n v="0"/>
    <n v="0"/>
    <n v="62.22"/>
    <n v="62.22"/>
    <d v="2025-06-18T00:00:00"/>
    <d v="2025-06-18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803"/>
    <s v="Pedido 1721"/>
    <d v="2025-05-17T00:00:00"/>
    <d v="2025-05-26T00:00:00"/>
    <s v="PedidoF1624"/>
    <s v="CódRastreio1622"/>
    <n v="1"/>
    <s v="CPF 1680"/>
    <s v="Nome 1680"/>
    <s v="Tel 1680"/>
    <s v="Cep 1680"/>
    <s v="Rua 1680"/>
    <s v="Comp 1680"/>
    <x v="28"/>
    <s v="Z0-F6CI-18CL"/>
    <d v="2025-06-06T00:00:00"/>
    <n v="39.47"/>
    <n v="39.47"/>
    <n v="4.7363999999999997"/>
    <n v="34.729999999999997"/>
    <n v="30.99"/>
    <n v="0"/>
    <n v="0.39877104377104378"/>
    <n v="0"/>
    <n v="3.341228956228953"/>
    <n v="1.6706144781144765"/>
    <d v="2025-06-13T00:00:00"/>
    <d v="2025-06-13T00:00:00"/>
    <d v="2025-06-16T00:00:00"/>
    <d v="2025-06-20T00:00:00"/>
    <s v="2025 06"/>
    <s v="Aguardando Liberação"/>
    <s v="2025 05"/>
    <s v="ENTREGUE"/>
    <d v="2025-05-29T00:00:00"/>
    <s v="-"/>
    <m/>
    <n v="0"/>
    <n v="0"/>
    <n v="0"/>
    <n v="0"/>
    <n v="0"/>
  </r>
  <r>
    <s v="MEI"/>
    <s v="MEI45803"/>
    <s v="Pedido 1722"/>
    <d v="2025-05-17T00:00:00"/>
    <d v="2025-05-26T00:00:00"/>
    <s v="PedidoF1624"/>
    <s v="CódRastreio1622"/>
    <n v="1"/>
    <s v="CPF 1680"/>
    <s v="Nome 1680"/>
    <s v="Tel 1680"/>
    <s v="Cep 1680"/>
    <s v="Rua 1680"/>
    <s v="Comp 1680"/>
    <x v="28"/>
    <s v="Z0-F6CI-18CL"/>
    <d v="2025-06-06T00:00:00"/>
    <n v="39.47"/>
    <n v="39.47"/>
    <n v="4.7363999999999997"/>
    <n v="34.729999999999997"/>
    <n v="30.99"/>
    <n v="0"/>
    <n v="0.39877104377104378"/>
    <n v="0"/>
    <n v="3.341228956228953"/>
    <n v="1.6706144781144765"/>
    <d v="2025-06-13T00:00:00"/>
    <d v="2025-06-13T00:00:00"/>
    <d v="2025-06-16T00:00:00"/>
    <d v="2025-06-20T00:00:00"/>
    <s v="2025 06"/>
    <s v="Aguardando Liberação"/>
    <s v="2025 05"/>
    <s v="ENTREGUE"/>
    <d v="2025-05-29T00:00:00"/>
    <s v="-"/>
    <m/>
    <n v="0"/>
    <n v="0"/>
    <n v="0"/>
    <n v="0"/>
    <n v="0"/>
  </r>
  <r>
    <s v="MEI"/>
    <s v="MEI45803"/>
    <s v="Pedido 1723"/>
    <d v="2025-05-17T00:00:00"/>
    <d v="2025-05-26T00:00:00"/>
    <s v="PedidoF1625"/>
    <s v="CódRastreio1623"/>
    <n v="1"/>
    <s v="CPF 1681"/>
    <s v="Nome 1681"/>
    <s v="Tel 1681"/>
    <s v="Cep 1681"/>
    <s v="Rua 1681"/>
    <s v="Comp 1681"/>
    <x v="3"/>
    <s v="WR-82Y0-OV27"/>
    <d v="2025-06-12T00:00:00"/>
    <n v="54"/>
    <n v="54"/>
    <n v="6.4799999999999995"/>
    <n v="47.52"/>
    <n v="38.799999999999997"/>
    <n v="0"/>
    <n v="0.39877104377104378"/>
    <n v="0"/>
    <n v="8.3212289562289641"/>
    <n v="4.160614478114482"/>
    <d v="2025-06-19T00:00:00"/>
    <d v="2025-06-19T00:00:00"/>
    <d v="2025-06-30T00:00:00"/>
    <d v="2025-07-01T00:00:00"/>
    <s v="2025 06"/>
    <s v="Aguardando Liberação"/>
    <s v="2025 05"/>
    <s v="RETORNANDO"/>
    <s v="-"/>
    <s v="-"/>
    <m/>
    <n v="0"/>
    <n v="0"/>
    <n v="0"/>
    <n v="0"/>
    <n v="0"/>
  </r>
  <r>
    <s v="MEI"/>
    <s v="MEI45803"/>
    <s v="Pedido 1724"/>
    <d v="2025-05-16T00:00:00"/>
    <d v="2025-05-26T00:00:00"/>
    <s v="PedidoF1626"/>
    <s v="CódRastreio1624"/>
    <n v="1"/>
    <s v="CPF 1682"/>
    <s v="Nome 1682"/>
    <s v="Tel 1682"/>
    <s v="Cep 1682"/>
    <s v="Rua 1682"/>
    <s v="Comp 1682"/>
    <x v="10"/>
    <s v="WU-SS4J-LFOH"/>
    <d v="2025-06-06T00:00:00"/>
    <n v="65.7"/>
    <n v="65.7"/>
    <n v="7.8840000000000003"/>
    <n v="57.82"/>
    <n v="57.4"/>
    <n v="0"/>
    <n v="0.39877104377104378"/>
    <n v="0"/>
    <n v="2.1228956228959817E-2"/>
    <n v="1.0614478114479908E-2"/>
    <d v="2025-06-13T00:00:00"/>
    <d v="2025-06-13T00:00:00"/>
    <d v="2025-06-16T00:00:00"/>
    <d v="2025-06-20T00:00:00"/>
    <s v="2025 06"/>
    <s v="Aguardando Liberação"/>
    <s v="2025 05"/>
    <s v="ENTREGUE"/>
    <d v="2025-06-06T00:00:00"/>
    <s v="-"/>
    <m/>
    <n v="0"/>
    <n v="0"/>
    <n v="0"/>
    <n v="0"/>
    <n v="0"/>
  </r>
  <r>
    <s v="MEI"/>
    <s v="MEI45803"/>
    <s v="Pedido 1725"/>
    <d v="2025-05-18T00:00:00"/>
    <d v="2025-05-26T00:00:00"/>
    <s v="PedidoF1627"/>
    <s v="CódRastreio1625"/>
    <n v="1"/>
    <s v="CPF 1683"/>
    <s v="Nome 1683"/>
    <s v="Tel 1683"/>
    <s v="Cep 1683"/>
    <s v="Rua 1683"/>
    <s v="Comp 1683"/>
    <x v="15"/>
    <s v="71-KHMZ-MLQW"/>
    <d v="2025-06-12T00:00:00"/>
    <n v="49.99"/>
    <n v="49.99"/>
    <n v="5.4988999999999999"/>
    <n v="44.49"/>
    <n v="36.72"/>
    <n v="0"/>
    <n v="0.39877104377104378"/>
    <n v="0"/>
    <n v="7.3712289562289612"/>
    <n v="3.6856144781144806"/>
    <d v="2025-06-19T00:00:00"/>
    <d v="2025-06-19T00:00:00"/>
    <d v="2025-06-30T00:00:00"/>
    <d v="2025-07-01T00:00:00"/>
    <s v="2025 06"/>
    <s v="Aguardando Liberação"/>
    <s v="2025 05"/>
    <s v="ENTREGUE"/>
    <d v="2025-06-02T00:00:00"/>
    <s v="-"/>
    <m/>
    <n v="0"/>
    <n v="0"/>
    <n v="0"/>
    <n v="0"/>
    <n v="0"/>
  </r>
  <r>
    <s v="MEI"/>
    <s v="MEI45803"/>
    <s v="Pedido 1726"/>
    <d v="2025-05-18T00:00:00"/>
    <d v="2025-05-26T00:00:00"/>
    <s v="PedidoF1628"/>
    <s v="CódRastreio1626"/>
    <n v="1"/>
    <s v="CPF 1684"/>
    <s v="Nome 1684"/>
    <s v="Tel 1684"/>
    <s v="Cep 1684"/>
    <s v="Rua 1684"/>
    <s v="Comp 1684"/>
    <x v="15"/>
    <s v="71-KHMZ-MLQW"/>
    <d v="2025-06-12T00:00:00"/>
    <n v="49.99"/>
    <n v="49.99"/>
    <n v="5.4988999999999999"/>
    <n v="44.49"/>
    <n v="0"/>
    <n v="0"/>
    <n v="0.39877104377104378"/>
    <n v="0"/>
    <n v="44.09122895622896"/>
    <n v="22.04561447811448"/>
    <d v="2025-06-19T00:00:00"/>
    <d v="2025-06-19T00:00:00"/>
    <d v="2025-06-30T00:00:00"/>
    <d v="2025-07-01T00:00:00"/>
    <s v="2025 06"/>
    <s v="Aguardando Liberação"/>
    <s v="2025 05"/>
    <s v="ENTREGUE"/>
    <d v="2025-07-07T00:00:00"/>
    <s v="-"/>
    <m/>
    <n v="0"/>
    <n v="0"/>
    <n v="0"/>
    <n v="0"/>
    <n v="0"/>
  </r>
  <r>
    <s v="MEI"/>
    <s v="MEI-"/>
    <s v="Pedido 1727"/>
    <d v="2025-05-18T00:00:00"/>
    <s v="-"/>
    <s v="-"/>
    <s v="-"/>
    <n v="1"/>
    <s v="CPF 1685"/>
    <s v="Nome 1685"/>
    <s v="Tel 1685"/>
    <s v="Cep 1685"/>
    <s v="Rua 1685"/>
    <s v="Comp 1685"/>
    <x v="32"/>
    <s v="NO-Z0ZJ-Z61M"/>
    <d v="2025-06-12T00:00:00"/>
    <n v="49.99"/>
    <n v="49.99"/>
    <n v="5.9988000000000001"/>
    <n v="43.99"/>
    <n v="0"/>
    <n v="0"/>
    <n v="0"/>
    <n v="0"/>
    <n v="43.99"/>
    <n v="21.995000000000001"/>
    <d v="2025-06-19T00:00:00"/>
    <d v="2025-06-19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807"/>
    <s v="Pedido 1728"/>
    <d v="2025-05-18T00:00:00"/>
    <d v="2025-05-30T00:00:00"/>
    <s v="PedidoF1629"/>
    <s v="CódRastreio1627"/>
    <n v="1"/>
    <s v="CPF 1686"/>
    <s v="Nome 1686"/>
    <s v="Tel 1686"/>
    <s v="Cep 1686"/>
    <s v="Rua 1686"/>
    <s v="Comp 1686"/>
    <x v="19"/>
    <s v="1I-EZPV-2Q78"/>
    <d v="2025-06-06T00:00:00"/>
    <n v="52.73"/>
    <n v="52.73"/>
    <n v="7.9094999999999995"/>
    <n v="44.82"/>
    <n v="29.74"/>
    <n v="0"/>
    <n v="0.39877104377104378"/>
    <n v="0"/>
    <n v="14.681228956228956"/>
    <n v="7.3406144781144782"/>
    <d v="2025-06-13T00:00:00"/>
    <d v="2025-06-13T00:00:00"/>
    <d v="2025-06-16T00:00:00"/>
    <d v="2025-06-20T00:00:00"/>
    <s v="2025 06"/>
    <s v="Aguardando Liberação"/>
    <s v="2025 05"/>
    <s v="ENTREGUE"/>
    <d v="2025-06-04T00:00:00"/>
    <s v="-"/>
    <m/>
    <n v="0"/>
    <n v="0"/>
    <n v="0"/>
    <n v="0"/>
    <n v="0"/>
  </r>
  <r>
    <s v="MEI"/>
    <s v="MEI45807"/>
    <s v="Pedido 1729"/>
    <d v="2025-05-19T00:00:00"/>
    <d v="2025-05-30T00:00:00"/>
    <s v="PedidoF1630"/>
    <s v="CódRastreio1628"/>
    <n v="1"/>
    <s v="CPF 1687"/>
    <s v="Nome 1687"/>
    <s v="Tel 1687"/>
    <s v="Cep 1687"/>
    <s v="Rua 1687"/>
    <s v="Comp 1687"/>
    <x v="26"/>
    <s v="BG-DHRO-FAEE"/>
    <d v="2025-06-07T00:00:00"/>
    <n v="31.99"/>
    <n v="31.99"/>
    <n v="3.5188999999999999"/>
    <n v="28.47"/>
    <n v="17.16"/>
    <n v="0"/>
    <n v="0.39877104377104378"/>
    <n v="0"/>
    <n v="10.911228956228953"/>
    <n v="5.4556144781144766"/>
    <d v="2025-06-14T00:00:00"/>
    <d v="2025-06-14T00:00:00"/>
    <d v="2025-06-16T00:00:00"/>
    <d v="2025-06-20T00:00:00"/>
    <s v="2025 06"/>
    <s v="Aguardando Liberação"/>
    <s v="2025 05"/>
    <s v="ENTREGUE"/>
    <d v="2025-06-06T00:00:00"/>
    <s v="-"/>
    <m/>
    <n v="0"/>
    <n v="0"/>
    <n v="0"/>
    <n v="0"/>
    <n v="0"/>
  </r>
  <r>
    <s v="MEI"/>
    <s v="MEI45803"/>
    <s v="Pedido 1730"/>
    <d v="2025-05-19T00:00:00"/>
    <d v="2025-05-26T00:00:00"/>
    <s v="PedidoF1631"/>
    <s v="CódRastreio1629"/>
    <n v="1"/>
    <s v="CPF 1688"/>
    <s v="Nome 1688"/>
    <s v="Tel 1688"/>
    <s v="Cep 1688"/>
    <s v="Rua 1688"/>
    <s v="Comp 1688"/>
    <x v="15"/>
    <s v="71-KHMZ-MLQW"/>
    <d v="2025-06-13T00:00:00"/>
    <n v="49.99"/>
    <n v="49.99"/>
    <n v="5.4988999999999999"/>
    <n v="44.49"/>
    <n v="37.729999999999997"/>
    <n v="0"/>
    <n v="0.39877104377104378"/>
    <n v="0"/>
    <n v="6.3612289562289632"/>
    <n v="3.1806144781144816"/>
    <d v="2025-06-20T00:00:00"/>
    <d v="2025-06-20T00:00:00"/>
    <d v="2025-06-30T00:00:00"/>
    <d v="2025-07-01T00:00:00"/>
    <s v="2025 06"/>
    <s v="Aguardando Liberação"/>
    <s v="2025 05"/>
    <s v="ENTREGUE"/>
    <d v="2025-06-02T00:00:00"/>
    <s v="-"/>
    <m/>
    <n v="0"/>
    <n v="0"/>
    <n v="0"/>
    <n v="0"/>
    <n v="0"/>
  </r>
  <r>
    <s v="MEI"/>
    <s v="MEI-"/>
    <s v="Pedido 1731"/>
    <d v="2025-05-19T00:00:00"/>
    <s v="-"/>
    <s v="-"/>
    <s v="-"/>
    <n v="1"/>
    <s v="CPF 1689"/>
    <s v="Nome 1689"/>
    <s v="Tel 1689"/>
    <s v="Cep 1689"/>
    <s v="Rua 1689"/>
    <s v="Comp 1689"/>
    <x v="32"/>
    <s v="NO-Z0ZJ-Z61M"/>
    <d v="2025-06-07T00:00:00"/>
    <n v="49.99"/>
    <n v="49.99"/>
    <n v="5.9988000000000001"/>
    <n v="43.99"/>
    <n v="0"/>
    <n v="0"/>
    <n v="0"/>
    <n v="0"/>
    <n v="43.99"/>
    <n v="21.995000000000001"/>
    <d v="2025-06-14T00:00:00"/>
    <d v="2025-06-14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732"/>
    <d v="2025-05-19T00:00:00"/>
    <s v="-"/>
    <s v="-"/>
    <s v="-"/>
    <n v="1"/>
    <s v="CPF 1690"/>
    <s v="Nome 1690"/>
    <s v="Tel 1690"/>
    <s v="Cep 1690"/>
    <s v="Rua 1690"/>
    <s v="Comp 1690"/>
    <x v="6"/>
    <s v="VI-4RT5-1FFO"/>
    <d v="2025-06-05T00:00:00"/>
    <n v="22.7"/>
    <n v="22.7"/>
    <n v="2.7239999999999998"/>
    <n v="19.98"/>
    <n v="0"/>
    <n v="0"/>
    <n v="0"/>
    <n v="0"/>
    <n v="19.98"/>
    <n v="9.99"/>
    <d v="2025-06-12T00:00:00"/>
    <d v="2025-06-12T00:00:00"/>
    <d v="2025-06-16T00:00:00"/>
    <d v="2025-06-20T00:00:00"/>
    <s v="2025 06"/>
    <s v="Aguardando Liberação"/>
    <s v="- -"/>
    <s v="-"/>
    <s v="-"/>
    <s v="-"/>
    <m/>
    <n v="0"/>
    <n v="0"/>
    <n v="0"/>
    <n v="0"/>
    <n v="0"/>
  </r>
  <r>
    <s v="MEI"/>
    <s v="MEI-"/>
    <s v="Pedido 1733"/>
    <d v="2025-05-20T00:00:00"/>
    <s v="-"/>
    <s v="-"/>
    <s v="-"/>
    <n v="1"/>
    <s v="CPF 1691"/>
    <s v="Nome 1691"/>
    <s v="Tel 1691"/>
    <s v="Cep 1691"/>
    <s v="Rua 1691"/>
    <s v="Comp 1691"/>
    <x v="16"/>
    <s v="T1-SWVB-UPOW"/>
    <d v="2025-06-21T00:00:00"/>
    <n v="35"/>
    <n v="35"/>
    <n v="4.2"/>
    <n v="30.8"/>
    <n v="0"/>
    <n v="0"/>
    <n v="0"/>
    <n v="0"/>
    <n v="30.8"/>
    <n v="15.4"/>
    <d v="2025-06-28T00:00:00"/>
    <d v="2025-06-28T00:00:00"/>
    <d v="2025-06-30T00:00:00"/>
    <d v="2025-07-01T00:00:00"/>
    <s v="2025 06"/>
    <s v="Aguardando Liberação"/>
    <s v="- -"/>
    <s v="-"/>
    <s v="-"/>
    <s v="-"/>
    <m/>
    <n v="0"/>
    <n v="0"/>
    <n v="0"/>
    <n v="0"/>
    <n v="0"/>
  </r>
  <r>
    <s v="MEI"/>
    <s v="MEI45806"/>
    <s v="Pedido 1734"/>
    <d v="2025-05-20T00:00:00"/>
    <d v="2025-05-29T00:00:00"/>
    <s v="PedidoF1632"/>
    <s v="CódRastreio1630"/>
    <n v="1"/>
    <s v="CPF 1692"/>
    <s v="Nome 1692"/>
    <s v="Tel 1692"/>
    <s v="Cep 1692"/>
    <s v="Rua 1692"/>
    <s v="Comp 1692"/>
    <x v="3"/>
    <s v="WR-82Y0-OV27"/>
    <d v="2025-06-24T00:00:00"/>
    <n v="54"/>
    <n v="54"/>
    <n v="6.4799999999999995"/>
    <n v="47.52"/>
    <n v="43.12"/>
    <n v="0"/>
    <n v="0.39877104377104378"/>
    <n v="0"/>
    <n v="4.0012289562289638"/>
    <n v="2.0006144781144819"/>
    <d v="2025-07-01T00:00:00"/>
    <d v="2025-07-01T00:00:00"/>
    <d v="2025-07-15T00:00:00"/>
    <d v="2025-08-04T00:00:00"/>
    <s v="2025 07"/>
    <s v="Aguardando Liberação"/>
    <s v="2025 05"/>
    <s v="ENTREGUE"/>
    <d v="2025-06-11T00:00:00"/>
    <s v="-"/>
    <m/>
    <n v="0"/>
    <n v="0"/>
    <n v="0"/>
    <n v="0"/>
    <n v="0"/>
  </r>
  <r>
    <s v="MEI"/>
    <s v="MEI45806"/>
    <s v="Pedido 1735"/>
    <d v="2025-05-21T00:00:00"/>
    <d v="2025-05-29T00:00:00"/>
    <s v="PedidoF1633"/>
    <s v="CódRastreio1631"/>
    <n v="1"/>
    <s v="CPF 1693"/>
    <s v="Nome 1693"/>
    <s v="Tel 1693"/>
    <s v="Cep 1693"/>
    <s v="Rua 1693"/>
    <s v="Comp 1693"/>
    <x v="3"/>
    <s v="WR-82Y0-OV27"/>
    <d v="2025-06-17T00:00:00"/>
    <n v="54"/>
    <n v="54"/>
    <n v="6.4799999999999995"/>
    <n v="47.52"/>
    <n v="44.73"/>
    <n v="0"/>
    <n v="0.39877104377104378"/>
    <n v="0"/>
    <n v="2.3912289562289644"/>
    <n v="1.1956144781144822"/>
    <d v="2025-06-24T00:00:00"/>
    <d v="2025-06-24T00:00:00"/>
    <d v="2025-06-30T00:00:00"/>
    <d v="2025-07-01T00:00:00"/>
    <s v="2025 06"/>
    <s v="Aguardando Liberação"/>
    <s v="2025 05"/>
    <s v="ENTREGUE"/>
    <d v="2025-06-11T00:00:00"/>
    <s v="-"/>
    <m/>
    <n v="0"/>
    <n v="0"/>
    <n v="0"/>
    <n v="0"/>
    <n v="0"/>
  </r>
  <r>
    <s v="MEI"/>
    <s v="MEI45807"/>
    <s v="Pedido 1736"/>
    <d v="2025-05-22T00:00:00"/>
    <d v="2025-05-30T00:00:00"/>
    <s v="PedidoF1634"/>
    <s v="CódRastreio1632"/>
    <n v="1"/>
    <s v="CPF 1694"/>
    <s v="Nome 1694"/>
    <s v="Tel 1694"/>
    <s v="Cep 1694"/>
    <s v="Rua 1694"/>
    <s v="Comp 1694"/>
    <x v="12"/>
    <s v="PK-L2Z7-MQRQ"/>
    <d v="2025-06-26T00:00:00"/>
    <n v="54"/>
    <n v="54"/>
    <n v="6.4799999999999995"/>
    <n v="47.52"/>
    <n v="0"/>
    <n v="0"/>
    <n v="0.39877104377104378"/>
    <n v="0"/>
    <n v="47.121228956228961"/>
    <n v="23.560614478114481"/>
    <d v="2025-07-03T00:00:00"/>
    <d v="2025-07-03T00:00:00"/>
    <d v="2025-07-15T00:00:00"/>
    <d v="2025-08-04T00:00:00"/>
    <s v="2025 07"/>
    <s v="Aguardando Liberação"/>
    <s v="2025 05"/>
    <s v="ENTREGUE"/>
    <d v="2025-06-11T00:00:00"/>
    <s v="-"/>
    <m/>
    <n v="0"/>
    <n v="0"/>
    <n v="0"/>
    <n v="0"/>
    <n v="0"/>
  </r>
  <r>
    <s v="MEI"/>
    <s v="MEI45806"/>
    <s v="Pedido 1736"/>
    <d v="2025-05-22T00:00:00"/>
    <d v="2025-05-29T00:00:00"/>
    <s v="PedidoF1635"/>
    <s v="CódRastreio1633"/>
    <n v="1"/>
    <s v="CPF 1694"/>
    <s v="Nome 1694"/>
    <s v="Tel 1694"/>
    <s v="Cep 1694"/>
    <s v="Rua 1694"/>
    <s v="Comp 1694"/>
    <x v="2"/>
    <s v="U1-D95R-HYRT"/>
    <d v="2025-06-26T00:00:00"/>
    <n v="35.99"/>
    <n v="35.99"/>
    <n v="4.3188000000000004"/>
    <n v="31.67"/>
    <n v="0"/>
    <n v="0"/>
    <n v="0.39877104377104378"/>
    <n v="0"/>
    <n v="31.271228956228956"/>
    <n v="15.635614478114478"/>
    <d v="2025-07-03T00:00:00"/>
    <d v="2025-07-03T00:00:00"/>
    <d v="2025-07-15T00:00:00"/>
    <d v="2025-08-04T00:00:00"/>
    <s v="2025 07"/>
    <s v="Aguardando Liberação"/>
    <s v="2025 05"/>
    <s v="-"/>
    <s v="-"/>
    <s v="-"/>
    <m/>
    <n v="0"/>
    <n v="0"/>
    <n v="0"/>
    <n v="0"/>
    <n v="0"/>
  </r>
  <r>
    <s v="MEI"/>
    <s v="MEI45806"/>
    <s v="Pedido 1737"/>
    <d v="2025-05-24T00:00:00"/>
    <d v="2025-05-29T00:00:00"/>
    <s v="PedidoF1636"/>
    <s v="CódRastreio1634"/>
    <n v="1"/>
    <s v="CPF 1695"/>
    <s v="Nome 1695"/>
    <s v="Tel 1695"/>
    <s v="Cep 1695"/>
    <s v="Rua 1695"/>
    <s v="Comp 1695"/>
    <x v="3"/>
    <s v="WR-82Y0-OV27"/>
    <d v="2025-06-19T00:00:00"/>
    <n v="54"/>
    <n v="54"/>
    <n v="6.4799999999999995"/>
    <n v="47.52"/>
    <n v="43.12"/>
    <n v="0"/>
    <n v="0.39877104377104378"/>
    <n v="0"/>
    <n v="4.0012289562289638"/>
    <n v="2.0006144781144819"/>
    <d v="2025-06-26T00:00:00"/>
    <d v="2025-06-26T00:00:00"/>
    <d v="2025-06-30T00:00:00"/>
    <d v="2025-07-01T00:00:00"/>
    <s v="2025 06"/>
    <s v="Aguardando Liberação"/>
    <s v="2025 05"/>
    <s v="ENTREGUE"/>
    <d v="2025-06-10T00:00:00"/>
    <s v="-"/>
    <m/>
    <n v="0"/>
    <n v="0"/>
    <n v="0"/>
    <n v="0"/>
    <n v="0"/>
  </r>
  <r>
    <s v="GO"/>
    <s v="GO45806"/>
    <s v="Pedido 1738"/>
    <d v="2025-05-24T00:00:00"/>
    <d v="2025-05-29T00:00:00"/>
    <s v="PedidoF1637"/>
    <s v="CódRastreio1635"/>
    <n v="1"/>
    <s v="CPF 1696"/>
    <s v="Nome 1696"/>
    <s v="Tel 1696"/>
    <s v="Cep 1696"/>
    <s v="Rua 1696"/>
    <s v="Comp 1696"/>
    <x v="1"/>
    <s v="Q3-ZLM0-OEUO"/>
    <d v="2025-06-19T00:00:00"/>
    <n v="40.799999999999997"/>
    <n v="40.799999999999997"/>
    <n v="4.8959999999999999"/>
    <n v="35.9"/>
    <n v="29.51"/>
    <n v="0"/>
    <n v="0.39877104377104378"/>
    <n v="0"/>
    <n v="5.9912289562289516"/>
    <n v="5.9912289562289516"/>
    <d v="2025-06-26T00:00:00"/>
    <d v="2025-06-26T00:00:00"/>
    <d v="2025-06-30T00:00:00"/>
    <d v="2025-07-01T00:00:00"/>
    <s v="2025 06"/>
    <s v="Aguardando Liberação"/>
    <s v="2025 05"/>
    <s v="ENTREGUE"/>
    <d v="2025-06-10T00:00:00"/>
    <s v="-"/>
    <m/>
    <n v="0"/>
    <n v="0"/>
    <n v="0"/>
    <n v="0"/>
    <n v="0"/>
  </r>
  <r>
    <s v="GO"/>
    <s v="GO45806"/>
    <s v="Pedido 1739"/>
    <d v="2025-05-24T00:00:00"/>
    <d v="2025-05-29T00:00:00"/>
    <s v="PedidoF1638"/>
    <s v="CódRastreio1636"/>
    <n v="1"/>
    <s v="CPF 1697"/>
    <s v="Nome 1697"/>
    <s v="Tel 1697"/>
    <s v="Cep 1697"/>
    <s v="Rua 1697"/>
    <s v="Comp 1697"/>
    <x v="1"/>
    <s v="Q3-ZLM0-OEUO"/>
    <d v="2025-06-27T00:00:00"/>
    <n v="40.799999999999997"/>
    <n v="40.799999999999997"/>
    <n v="4.8959999999999999"/>
    <n v="35.9"/>
    <n v="22.99"/>
    <n v="0"/>
    <n v="0.39877104377104378"/>
    <n v="0"/>
    <n v="12.511228956228955"/>
    <n v="12.511228956228955"/>
    <d v="2025-07-04T00:00:00"/>
    <d v="2025-07-04T00:00:00"/>
    <d v="2025-07-15T00:00:00"/>
    <d v="2025-08-04T00:00:00"/>
    <s v="2025 07"/>
    <s v="Aguardando Liberação"/>
    <s v="2025 05"/>
    <s v="ENTREGUE"/>
    <d v="2025-06-09T00:00:00"/>
    <s v="-"/>
    <m/>
    <n v="0"/>
    <n v="0"/>
    <n v="0"/>
    <n v="0"/>
    <n v="0"/>
  </r>
  <r>
    <s v="MEI"/>
    <s v="MEI45806"/>
    <s v="Pedido 1740"/>
    <d v="2025-05-28T00:00:00"/>
    <d v="2025-05-29T00:00:00"/>
    <s v="PedidoF1639"/>
    <s v="CódRastreio1637"/>
    <n v="1"/>
    <s v="CPF 1698"/>
    <s v="Nome 1698"/>
    <s v="Tel 1698"/>
    <s v="Cep 1698"/>
    <s v="Rua 1698"/>
    <s v="Comp 1698"/>
    <x v="3"/>
    <s v="WR-82Y0-OV27"/>
    <d v="2025-07-02T00:00:00"/>
    <n v="65.989999999999995"/>
    <n v="65.989999999999995"/>
    <n v="7.9187999999999992"/>
    <n v="58.07"/>
    <n v="33.81"/>
    <n v="0"/>
    <n v="0.39877104377104378"/>
    <n v="0"/>
    <n v="23.861228956228956"/>
    <n v="11.930614478114478"/>
    <d v="2025-07-09T00:00:00"/>
    <d v="2025-07-09T00:00:00"/>
    <d v="2025-07-15T00:00:00"/>
    <d v="2025-08-04T00:00:00"/>
    <s v="2025 07"/>
    <s v="Aguardando Liberação"/>
    <s v="2025 05"/>
    <s v="ENTREGUE"/>
    <d v="2025-07-21T00:00:00"/>
    <s v="-"/>
    <m/>
    <n v="0"/>
    <n v="0"/>
    <n v="0"/>
    <n v="0"/>
    <n v="0"/>
  </r>
  <r>
    <s v="GO"/>
    <s v="GO45806"/>
    <s v="Pedido 1741"/>
    <d v="2025-05-29T00:00:00"/>
    <d v="2025-05-29T00:00:00"/>
    <s v="PedidoF1640"/>
    <s v="CódRastreio1638"/>
    <n v="1"/>
    <s v="CPF 1699"/>
    <s v="Nome 1699"/>
    <s v="Tel 1699"/>
    <s v="Cep 1699"/>
    <s v="Rua 1699"/>
    <s v="Comp 1699"/>
    <x v="1"/>
    <s v="Q3-ZLM0-OEUO"/>
    <d v="2025-07-03T00:00:00"/>
    <n v="40.799999999999997"/>
    <n v="40.799999999999997"/>
    <n v="4.8959999999999999"/>
    <n v="35.9"/>
    <n v="30.38"/>
    <n v="0"/>
    <n v="0.39877104377104378"/>
    <n v="0"/>
    <n v="5.1212289562289541"/>
    <n v="5.1212289562289541"/>
    <d v="2025-07-10T00:00:00"/>
    <d v="2025-07-10T00:00:00"/>
    <d v="2025-07-15T00:00:00"/>
    <d v="2025-08-04T00:00:00"/>
    <s v="2025 07"/>
    <s v="Aguardando Liberação"/>
    <s v="2025 05"/>
    <s v="ENTREGUE"/>
    <d v="2025-06-15T00:00:00"/>
    <s v="-"/>
    <m/>
    <n v="0"/>
    <n v="0"/>
    <n v="0"/>
    <n v="0"/>
    <n v="0"/>
  </r>
  <r>
    <s v="GO"/>
    <s v="GO45810"/>
    <s v="Pedido 1742"/>
    <d v="2025-06-01T00:00:00"/>
    <d v="2025-06-02T00:00:00"/>
    <s v="PedidoF1641"/>
    <s v="CódRastreio1639"/>
    <n v="1"/>
    <s v="CPF 1700"/>
    <s v="Nome 1700"/>
    <s v="Tel 1700"/>
    <s v="Cep 1700"/>
    <s v="Rua 1700"/>
    <s v="Comp 1700"/>
    <x v="21"/>
    <s v="E7-FW3C-EHOL"/>
    <d v="2025-06-27T00:00:00"/>
    <n v="40.200000000000003"/>
    <n v="40.200000000000003"/>
    <n v="4.8239999999999998"/>
    <n v="35.380000000000003"/>
    <n v="22.99"/>
    <n v="0"/>
    <n v="0.39877104377104378"/>
    <n v="0"/>
    <n v="11.991228956228959"/>
    <n v="11.991228956228959"/>
    <d v="2025-07-04T00:00:00"/>
    <d v="2025-07-04T00:00:00"/>
    <d v="2025-07-15T00:00:00"/>
    <d v="2025-08-04T00:00:00"/>
    <s v="2025 07"/>
    <s v="Aguardando Liberação"/>
    <s v="2025 06"/>
    <s v="ENTREGUE"/>
    <d v="2025-06-11T00:00:00"/>
    <s v="-"/>
    <m/>
    <n v="0"/>
    <n v="0"/>
    <n v="0"/>
    <n v="0"/>
    <n v="0"/>
  </r>
  <r>
    <s v="BV"/>
    <s v="BV-"/>
    <s v="Pedido 1743"/>
    <d v="2025-06-03T00:00:00"/>
    <s v="-"/>
    <s v="-"/>
    <s v="CódRastreio1640"/>
    <n v="1"/>
    <s v="CPF 1701"/>
    <s v="Nome 1701"/>
    <s v="Tel 1701"/>
    <s v="Cep 1701"/>
    <s v="Rua 1701"/>
    <s v="Comp 1701"/>
    <x v="29"/>
    <s v="HG-2FNR-01A9"/>
    <d v="2025-06-24T00:00:00"/>
    <n v="25.99"/>
    <n v="25.99"/>
    <n v="3.1187999999999998"/>
    <n v="22.87"/>
    <n v="0"/>
    <n v="0"/>
    <n v="0"/>
    <n v="0"/>
    <n v="22.87"/>
    <n v="11.435"/>
    <d v="2025-07-01T00:00:00"/>
    <d v="2025-07-01T00:00:00"/>
    <d v="2025-07-15T00:00:00"/>
    <d v="2025-08-04T00:00:00"/>
    <s v="2025 07"/>
    <s v="Aguardando Liberação"/>
    <s v="- -"/>
    <s v="ENTREGUE"/>
    <d v="2025-06-07T00:00:00"/>
    <s v="-"/>
    <m/>
    <n v="0"/>
    <n v="0"/>
    <n v="0"/>
    <n v="0"/>
    <n v="0"/>
  </r>
  <r>
    <s v="BV"/>
    <s v="BV45811"/>
    <s v="Pedido 1744"/>
    <d v="2025-06-03T00:00:00"/>
    <d v="2025-06-03T00:00:00"/>
    <s v="PedidoF1642"/>
    <s v="CódRastreio1641"/>
    <n v="1"/>
    <s v="CPF 1702"/>
    <s v="Nome 1702"/>
    <s v="Tel 1702"/>
    <s v="Cep 1702"/>
    <s v="Rua 1702"/>
    <s v="Comp 1702"/>
    <x v="29"/>
    <s v="HG-2FNR-01A9"/>
    <d v="2025-07-01T00:00:00"/>
    <n v="25.99"/>
    <n v="25.99"/>
    <n v="3.1187999999999998"/>
    <n v="22.87"/>
    <n v="16.8"/>
    <n v="0"/>
    <n v="0.39877104377104378"/>
    <n v="0"/>
    <n v="5.6712289562289548"/>
    <n v="2.8356144781144774"/>
    <d v="2025-07-08T00:00:00"/>
    <d v="2025-07-08T00:00:00"/>
    <d v="2025-07-15T00:00:00"/>
    <d v="2025-08-04T00:00:00"/>
    <s v="2025 07"/>
    <s v="Aguardando Liberação"/>
    <s v="2025 06"/>
    <s v="ENTREGUE"/>
    <d v="2025-06-10T00:00:00"/>
    <s v="-"/>
    <m/>
    <n v="0"/>
    <n v="0"/>
    <n v="0"/>
    <n v="0"/>
    <n v="0"/>
  </r>
  <r>
    <s v="BV"/>
    <s v="BV45811"/>
    <s v="Pedido 1745"/>
    <d v="2025-06-03T00:00:00"/>
    <d v="2025-06-03T00:00:00"/>
    <s v="PedidoF1643"/>
    <s v="CódRastreio1641"/>
    <n v="1"/>
    <s v="CPF 1702"/>
    <s v="Nome 1702"/>
    <s v="Tel 1702"/>
    <s v="Cep 1702"/>
    <s v="Rua 1702"/>
    <s v="Comp 1702"/>
    <x v="29"/>
    <s v="HG-2FNR-01A9"/>
    <d v="2025-07-01T00:00:00"/>
    <n v="25.99"/>
    <n v="25.99"/>
    <n v="3.1187999999999998"/>
    <n v="22.87"/>
    <n v="16.809999999999999"/>
    <n v="0"/>
    <n v="0.39877104377104378"/>
    <n v="0"/>
    <n v="5.6612289562289568"/>
    <n v="2.8306144781144784"/>
    <d v="2025-07-08T00:00:00"/>
    <d v="2025-07-08T00:00:00"/>
    <d v="2025-07-15T00:00:00"/>
    <d v="2025-08-04T00:00:00"/>
    <s v="2025 07"/>
    <s v="Aguardando Liberação"/>
    <s v="2025 06"/>
    <s v="ENTREGUE"/>
    <d v="2025-06-10T00:00:00"/>
    <s v="-"/>
    <m/>
    <n v="0"/>
    <n v="0"/>
    <n v="0"/>
    <n v="0"/>
    <n v="0"/>
  </r>
  <r>
    <s v="BV"/>
    <s v="BV45817"/>
    <s v="Pedido 1746"/>
    <d v="2025-06-03T00:00:00"/>
    <d v="2025-06-09T00:00:00"/>
    <s v="PedidoF1644"/>
    <s v="CódRastreio1642"/>
    <n v="1"/>
    <s v="CPF 1703"/>
    <s v="Nome 1703"/>
    <s v="Tel 1703"/>
    <s v="Cep 1703"/>
    <s v="Rua 1703"/>
    <s v="Comp 1703"/>
    <x v="29"/>
    <s v="HG-2FNR-01A9"/>
    <d v="2025-07-01T00:00:00"/>
    <n v="25.99"/>
    <n v="25.99"/>
    <n v="3.1187999999999998"/>
    <n v="22.87"/>
    <n v="10.199999999999999"/>
    <n v="0.67"/>
    <n v="0.39877104377104378"/>
    <n v="0"/>
    <n v="11.601228956228958"/>
    <n v="5.8006144781144791"/>
    <d v="2025-07-08T00:00:00"/>
    <d v="2025-07-08T00:00:00"/>
    <d v="2025-07-15T00:00:00"/>
    <d v="2025-08-04T00:00:00"/>
    <s v="2025 07"/>
    <s v="Aguardando Liberação"/>
    <s v="2025 06"/>
    <s v="ENTREGUE"/>
    <d v="2025-07-01T00:00:00"/>
    <s v="-"/>
    <m/>
    <n v="0"/>
    <n v="0"/>
    <n v="0"/>
    <n v="0"/>
    <n v="0"/>
  </r>
  <r>
    <s v="BV"/>
    <s v="BV45812"/>
    <s v="Pedido 1747"/>
    <d v="2025-06-04T00:00:00"/>
    <d v="2025-06-04T00:00:00"/>
    <s v="PedidoF1645"/>
    <s v="CódRastreio1643"/>
    <n v="1"/>
    <s v="CPF 1704"/>
    <s v="Nome 1704"/>
    <s v="Tel 1704"/>
    <s v="Cep 1704"/>
    <s v="Rua 1704"/>
    <s v="Comp 1704"/>
    <x v="29"/>
    <s v="HG-2FNR-01A9"/>
    <d v="2025-07-02T00:00:00"/>
    <n v="25.99"/>
    <n v="25.99"/>
    <n v="3.1187999999999998"/>
    <n v="22.87"/>
    <n v="18.649999999999999"/>
    <n v="0"/>
    <n v="0.39877104377104378"/>
    <n v="0"/>
    <n v="3.821228956228957"/>
    <n v="1.9106144781144785"/>
    <d v="2025-07-09T00:00:00"/>
    <d v="2025-07-09T00:00:00"/>
    <d v="2025-07-15T00:00:00"/>
    <d v="2025-08-04T00:00:00"/>
    <s v="2025 07"/>
    <s v="Aguardando Liberação"/>
    <s v="2025 06"/>
    <s v="ENTREGUE"/>
    <d v="2025-06-12T00:00:00"/>
    <s v="-"/>
    <m/>
    <n v="0"/>
    <n v="0"/>
    <n v="0"/>
    <n v="0"/>
    <n v="0"/>
  </r>
  <r>
    <s v="BV"/>
    <s v="BV45813"/>
    <s v="Pedido 1748"/>
    <d v="2025-06-05T00:00:00"/>
    <d v="2025-06-05T00:00:00"/>
    <s v="PedidoF1646"/>
    <s v="CódRastreio1644"/>
    <n v="1"/>
    <s v="CPF 1705"/>
    <s v="Nome 1705"/>
    <s v="Tel 1705"/>
    <s v="Cep 1705"/>
    <s v="Rua 1705"/>
    <s v="Comp 1705"/>
    <x v="29"/>
    <s v="HG-2FNR-01A9"/>
    <d v="2025-07-02T00:00:00"/>
    <n v="25.99"/>
    <n v="25.99"/>
    <n v="3.1187999999999998"/>
    <n v="22.87"/>
    <n v="18.95"/>
    <n v="7.0000000000000007E-2"/>
    <n v="0.39877104377104378"/>
    <n v="0"/>
    <n v="3.451228956228956"/>
    <n v="1.725614478114478"/>
    <d v="2025-07-09T00:00:00"/>
    <d v="2025-07-09T00:00:00"/>
    <d v="2025-07-15T00:00:00"/>
    <d v="2025-08-04T00:00:00"/>
    <s v="2025 07"/>
    <s v="Aguardando Liberação"/>
    <s v="2025 06"/>
    <s v="ENTREGUE"/>
    <d v="2025-06-23T00:00:00"/>
    <s v="-"/>
    <m/>
    <n v="0"/>
    <n v="0"/>
    <n v="0"/>
    <n v="0"/>
    <n v="0"/>
  </r>
  <r>
    <s v="BV"/>
    <s v="BV45813"/>
    <s v="Pedido 1749"/>
    <d v="2025-06-05T00:00:00"/>
    <d v="2025-06-05T00:00:00"/>
    <s v="PedidoF1647"/>
    <s v="CódRastreio1645"/>
    <n v="1"/>
    <s v="CPF 1706"/>
    <s v="Nome 1706"/>
    <s v="Tel 1706"/>
    <s v="Cep 1706"/>
    <s v="Rua 1706"/>
    <s v="Comp 1706"/>
    <x v="29"/>
    <s v="HG-2FNR-01A9"/>
    <d v="2025-07-03T00:00:00"/>
    <n v="25.99"/>
    <n v="25.99"/>
    <n v="3.1187999999999998"/>
    <n v="22.87"/>
    <n v="17.45"/>
    <n v="7.0000000000000007E-2"/>
    <n v="0.39877104377104378"/>
    <n v="0"/>
    <n v="4.951228956228956"/>
    <n v="2.475614478114478"/>
    <d v="2025-07-10T00:00:00"/>
    <d v="2025-07-10T00:00:00"/>
    <d v="2025-07-15T00:00:00"/>
    <d v="2025-08-04T00:00:00"/>
    <s v="2025 07"/>
    <s v="Aguardando Liberação"/>
    <s v="2025 06"/>
    <s v="ENTREGUE"/>
    <d v="2025-06-13T00:00:00"/>
    <s v="-"/>
    <m/>
    <n v="0"/>
    <n v="0"/>
    <n v="0"/>
    <n v="0"/>
    <n v="0"/>
  </r>
  <r>
    <s v="BV"/>
    <s v="BV45817"/>
    <s v="Pedido 1750"/>
    <d v="2025-06-05T00:00:00"/>
    <d v="2025-06-09T00:00:00"/>
    <s v="PedidoF1648"/>
    <s v="CódRastreio1646"/>
    <n v="1"/>
    <s v="CPF 1707"/>
    <s v="Nome 1707"/>
    <s v="Tel 1707"/>
    <s v="Cep 1707"/>
    <s v="Rua 1707"/>
    <s v="Comp 1707"/>
    <x v="12"/>
    <s v="U8-2VWS-OB6M"/>
    <d v="2025-06-21T00:00:00"/>
    <n v="96.91"/>
    <n v="96.91"/>
    <n v="11.629199999999999"/>
    <n v="85.28"/>
    <n v="25.79"/>
    <n v="0.67"/>
    <n v="0.39877104377104378"/>
    <n v="0"/>
    <n v="58.421228956228958"/>
    <n v="29.210614478114479"/>
    <d v="2025-06-28T00:00:00"/>
    <d v="2025-06-28T00:00:00"/>
    <d v="2025-06-30T00:00:00"/>
    <d v="2025-07-01T00:00:00"/>
    <s v="2025 06"/>
    <s v="Aguardando Liberação"/>
    <s v="2025 06"/>
    <s v="ENTREGUE"/>
    <d v="2025-06-18T15:24:32"/>
    <s v="-"/>
    <m/>
    <n v="0"/>
    <n v="0"/>
    <n v="0"/>
    <n v="0"/>
    <n v="0"/>
  </r>
  <r>
    <s v="BV"/>
    <s v="BV45817"/>
    <s v="Pedido 1751"/>
    <d v="2025-06-06T00:00:00"/>
    <d v="2025-06-09T00:00:00"/>
    <s v="PedidoF1649"/>
    <s v="CódRastreio1647"/>
    <n v="1"/>
    <s v="CPF 1708"/>
    <s v="Nome 1708"/>
    <s v="Tel 1708"/>
    <s v="Cep 1708"/>
    <s v="Rua 1708"/>
    <s v="Comp 1708"/>
    <x v="29"/>
    <s v="HG-2FNR-01A9"/>
    <d v="2025-07-04T00:00:00"/>
    <n v="25.99"/>
    <n v="25.99"/>
    <n v="3.1187999999999998"/>
    <n v="22.87"/>
    <n v="10.61"/>
    <n v="0.67"/>
    <n v="0.39877104377104378"/>
    <n v="0"/>
    <n v="11.191228956228958"/>
    <n v="5.595614478114479"/>
    <d v="2025-07-11T00:00:00"/>
    <d v="2025-07-11T00:00:00"/>
    <d v="2025-07-15T00:00:00"/>
    <d v="2025-08-04T00:00:00"/>
    <s v="2025 07"/>
    <s v="Aguardando Liberação"/>
    <s v="2025 06"/>
    <s v="ENTREGUE"/>
    <d v="2025-07-03T00:00:00"/>
    <s v="-"/>
    <m/>
    <n v="0"/>
    <n v="0"/>
    <n v="0"/>
    <n v="0"/>
    <n v="0"/>
  </r>
  <r>
    <s v="BV"/>
    <s v="BV45819"/>
    <s v="Pedido 1752"/>
    <d v="2025-06-06T00:00:00"/>
    <d v="2025-06-11T00:00:00"/>
    <s v="PedidoF1650"/>
    <s v="CódRastreio1648"/>
    <n v="1"/>
    <s v="CPF 1709"/>
    <s v="Nome 1709"/>
    <s v="Tel 1709"/>
    <s v="Cep 1709"/>
    <s v="Rua 1709"/>
    <s v="Comp 1709"/>
    <x v="29"/>
    <s v="HG-2FNR-01A9"/>
    <d v="2025-06-28T00:00:00"/>
    <n v="25.99"/>
    <n v="25.99"/>
    <n v="3.1187999999999998"/>
    <n v="22.87"/>
    <n v="10.18"/>
    <n v="0.6"/>
    <n v="0.39877104377104378"/>
    <n v="0"/>
    <n v="11.691228956228958"/>
    <n v="5.845614478114479"/>
    <d v="2025-07-05T00:00:00"/>
    <d v="2025-07-05T00:00:00"/>
    <d v="2025-07-15T00:00:00"/>
    <d v="2025-08-04T00:00:00"/>
    <s v="2025 07"/>
    <s v="Aguardando Liberação"/>
    <s v="2025 06"/>
    <s v="ENTREGUE"/>
    <d v="2025-07-04T00:00:00"/>
    <s v="-"/>
    <m/>
    <n v="0"/>
    <n v="0"/>
    <n v="0"/>
    <n v="0"/>
    <n v="0"/>
  </r>
  <r>
    <s v="GO"/>
    <s v="GO45813"/>
    <s v="Pedido 1753"/>
    <d v="2025-06-05T00:00:00"/>
    <d v="2025-06-05T00:00:00"/>
    <s v="PedidoF1651"/>
    <s v="CódRastreio1649"/>
    <n v="1"/>
    <s v="CPF 1710"/>
    <s v="Nome 1710"/>
    <s v="Tel 1710"/>
    <s v="Cep 1710"/>
    <s v="Rua 1710"/>
    <s v="Comp 1710"/>
    <x v="21"/>
    <s v="E7-FW3C-EHOL"/>
    <d v="2025-07-02T00:00:00"/>
    <n v="40.200000000000003"/>
    <n v="40.200000000000003"/>
    <n v="4.8239999999999998"/>
    <n v="35.380000000000003"/>
    <n v="24.99"/>
    <n v="0"/>
    <n v="0.39877104377104378"/>
    <n v="0"/>
    <n v="9.9912289562289587"/>
    <n v="9.9912289562289587"/>
    <d v="2025-07-09T00:00:00"/>
    <d v="2025-07-09T00:00:00"/>
    <d v="2025-07-15T00:00:00"/>
    <d v="2025-08-04T00:00:00"/>
    <s v="2025 07"/>
    <s v="Aguardando Liberação"/>
    <s v="2025 06"/>
    <s v="ENTREGUE"/>
    <d v="2025-06-11T00:00:00"/>
    <s v="-"/>
    <m/>
    <n v="0"/>
    <n v="0"/>
    <n v="0"/>
    <n v="0"/>
    <n v="0"/>
  </r>
  <r>
    <s v="BV"/>
    <s v="BV45818"/>
    <s v="Pedido 1754"/>
    <d v="2025-06-07T00:00:00"/>
    <d v="2025-06-10T00:00:00"/>
    <s v="PedidoF1652"/>
    <s v="CódRastreio1650"/>
    <n v="1"/>
    <s v="CPF 1711"/>
    <s v="Nome 1711"/>
    <s v="Tel 1711"/>
    <s v="Cep 1711"/>
    <s v="Rua 1711"/>
    <s v="Comp 1711"/>
    <x v="29"/>
    <s v="HG-2FNR-01A9"/>
    <d v="2025-07-04T00:00:00"/>
    <n v="25.99"/>
    <n v="25.99"/>
    <n v="3.1187999999999998"/>
    <n v="22.87"/>
    <n v="10.59"/>
    <n v="0.8"/>
    <n v="0.39877104377104378"/>
    <n v="0"/>
    <n v="11.081228956228957"/>
    <n v="5.5406144781144784"/>
    <d v="2025-07-11T00:00:00"/>
    <d v="2025-07-11T00:00:00"/>
    <d v="2025-07-15T00:00:00"/>
    <d v="2025-08-04T00:00:00"/>
    <s v="2025 07"/>
    <s v="Aguardando Liberação"/>
    <s v="2025 06"/>
    <s v="ENTREGUE"/>
    <d v="2025-06-30T00:00:00"/>
    <s v="-"/>
    <m/>
    <n v="0"/>
    <n v="0"/>
    <n v="0"/>
    <n v="0"/>
    <n v="0"/>
  </r>
  <r>
    <s v="BV"/>
    <s v="BV45819"/>
    <s v="Pedido 1755"/>
    <d v="2025-06-10T00:00:00"/>
    <d v="2025-06-11T00:00:00"/>
    <s v="PedidoF1653"/>
    <s v="CódRastreio1651"/>
    <n v="1"/>
    <s v="CPF 1712"/>
    <s v="Nome 1712"/>
    <s v="Tel 1712"/>
    <s v="Cep 1712"/>
    <s v="Rua 1712"/>
    <s v="Comp 1712"/>
    <x v="29"/>
    <s v="NQ-IMR8-W6Q4"/>
    <d v="2025-07-12T00:00:00"/>
    <n v="25.99"/>
    <n v="25.99"/>
    <n v="3.1187999999999998"/>
    <n v="22.87"/>
    <n v="0"/>
    <n v="0.6"/>
    <n v="0.39877104377104378"/>
    <n v="0"/>
    <n v="21.871228956228958"/>
    <n v="10.935614478114479"/>
    <d v="2025-07-19T00:00:00"/>
    <d v="2025-07-19T00:00:00"/>
    <d v="2025-08-01T00:00:00"/>
    <d v="2025-08-04T00:00:00"/>
    <s v="2025 07"/>
    <s v="Aguardando Liberação"/>
    <s v="2025 06"/>
    <s v="RETORNANDO"/>
    <s v="-"/>
    <s v="-"/>
    <m/>
    <n v="0"/>
    <n v="0"/>
    <n v="0"/>
    <n v="0"/>
    <n v="0"/>
  </r>
  <r>
    <s v="BV"/>
    <s v="BV45824"/>
    <s v="Pedido 1756"/>
    <d v="2025-06-10T00:00:00"/>
    <d v="2025-06-16T00:00:00"/>
    <s v="PedidoF1654"/>
    <s v="CódRastreio1652"/>
    <n v="1"/>
    <s v="CPF 1713"/>
    <s v="Nome 1713"/>
    <s v="Tel 1713"/>
    <s v="Cep 1713"/>
    <s v="Rua 1713"/>
    <s v="Comp 1713"/>
    <x v="29"/>
    <s v="NQ-IMR8-W6Q4"/>
    <d v="2025-07-15T00:00:00"/>
    <n v="25.99"/>
    <n v="25.99"/>
    <n v="3.1187999999999998"/>
    <n v="22.87"/>
    <n v="10.17"/>
    <n v="0.3"/>
    <n v="0.39877104377104378"/>
    <n v="0"/>
    <n v="12.001228956228957"/>
    <n v="6.0006144781144783"/>
    <d v="2025-07-22T00:00:00"/>
    <d v="2025-07-22T00:00:00"/>
    <d v="2025-08-01T00:00:00"/>
    <d v="2025-08-04T00:00:00"/>
    <s v="2025 07"/>
    <s v="Aguardando Liberação"/>
    <s v="2025 06"/>
    <s v="ENTREGUE"/>
    <d v="2025-07-28T00:00:00"/>
    <s v="-"/>
    <m/>
    <n v="0"/>
    <n v="0"/>
    <n v="0"/>
    <n v="0"/>
    <n v="0"/>
  </r>
  <r>
    <s v="BV"/>
    <s v="BV45819"/>
    <s v="Pedido 1757"/>
    <d v="2025-06-10T00:00:00"/>
    <d v="2025-06-11T00:00:00"/>
    <s v="PedidoF1655"/>
    <s v="CódRastreio1653"/>
    <n v="1"/>
    <s v="CPF 1714"/>
    <s v="Nome 1714"/>
    <s v="Tel 1714"/>
    <s v="Cep 1714"/>
    <s v="Rua 1714"/>
    <s v="Comp 1714"/>
    <x v="29"/>
    <s v="NQ-IMR8-W6Q4"/>
    <d v="2025-07-15T00:00:00"/>
    <n v="25.99"/>
    <n v="25.99"/>
    <n v="3.1187999999999998"/>
    <n v="22.87"/>
    <n v="10.18"/>
    <n v="0.6"/>
    <n v="0.39877104377104378"/>
    <n v="0"/>
    <n v="11.691228956228958"/>
    <n v="5.845614478114479"/>
    <d v="2025-07-22T00:00:00"/>
    <d v="2025-07-22T00:00:00"/>
    <d v="2025-08-01T00:00:00"/>
    <d v="2025-08-04T00:00:00"/>
    <s v="2025 07"/>
    <s v="Aguardando Liberação"/>
    <s v="2025 06"/>
    <s v="ENTREGUE"/>
    <d v="2025-07-09T00:00:00"/>
    <s v="-"/>
    <m/>
    <n v="0"/>
    <n v="0"/>
    <n v="0"/>
    <n v="0"/>
    <n v="0"/>
  </r>
  <r>
    <s v="BV"/>
    <s v="BV45819"/>
    <s v="Pedido 1758"/>
    <d v="2025-06-11T00:00:00"/>
    <d v="2025-06-11T00:00:00"/>
    <s v="PedidoF1656"/>
    <s v="CódRastreio1654"/>
    <n v="1"/>
    <s v="CPF 1715"/>
    <s v="Nome 1715"/>
    <s v="Tel 1715"/>
    <s v="Cep 1715"/>
    <s v="Rua 1715"/>
    <s v="Comp 1715"/>
    <x v="29"/>
    <s v="HG-2FNR-01A9"/>
    <d v="2025-07-09T00:00:00"/>
    <n v="23.79"/>
    <n v="23.79"/>
    <n v="2.8548"/>
    <n v="20.94"/>
    <n v="10.59"/>
    <n v="0.6"/>
    <n v="0.39877104377104378"/>
    <n v="0"/>
    <n v="9.3512289562289581"/>
    <n v="4.6756144781144791"/>
    <d v="2025-07-16T00:00:00"/>
    <d v="2025-07-18T00:00:00"/>
    <d v="2025-08-01T00:00:00"/>
    <d v="2025-08-04T00:00:00"/>
    <s v="2025 07"/>
    <s v="Aguardando Liberação"/>
    <s v="2025 06"/>
    <s v="ENTREGUE"/>
    <d v="2025-07-03T00:00:00"/>
    <s v="-"/>
    <m/>
    <n v="0"/>
    <n v="0"/>
    <n v="0"/>
    <n v="0"/>
    <n v="0"/>
  </r>
  <r>
    <s v="BV"/>
    <s v="BV-"/>
    <s v="Pedido 1759"/>
    <d v="2025-06-11T00:00:00"/>
    <s v="-"/>
    <s v="-"/>
    <s v="-"/>
    <n v="1"/>
    <s v="CPF 1716"/>
    <s v="Nome 1716"/>
    <s v="Tel 1716"/>
    <s v="Cep 1716"/>
    <s v="Rua 1716"/>
    <s v="Comp 1716"/>
    <x v="29"/>
    <s v="HG-2FNR-01A9"/>
    <d v="2025-07-16T00:00:00"/>
    <n v="23.79"/>
    <n v="23.79"/>
    <n v="2.8548"/>
    <n v="20.94"/>
    <n v="0"/>
    <n v="0"/>
    <n v="0"/>
    <n v="0"/>
    <n v="20.94"/>
    <n v="10.47"/>
    <d v="2025-07-23T00:00:00"/>
    <d v="2025-07-23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45826"/>
    <s v="Pedido 1760"/>
    <d v="2025-06-11T00:00:00"/>
    <d v="2025-06-18T00:00:00"/>
    <s v="PedidoF1657"/>
    <s v="CódRastreio1655"/>
    <n v="1"/>
    <s v="CPF 1717"/>
    <s v="Nome 1717"/>
    <s v="Tel 1717"/>
    <s v="Cep 1717"/>
    <s v="Rua 1717"/>
    <s v="Comp 1717"/>
    <x v="29"/>
    <s v="HG-2FNR-01A9"/>
    <d v="2025-07-16T00:00:00"/>
    <n v="23.79"/>
    <n v="23.79"/>
    <n v="2.8548"/>
    <n v="20.94"/>
    <n v="10.210000000000001"/>
    <n v="0.49"/>
    <n v="0.39877104377104378"/>
    <n v="0"/>
    <n v="9.8412289562289565"/>
    <n v="4.9206144781144783"/>
    <d v="2025-07-23T00:00:00"/>
    <d v="2025-07-23T00:00:00"/>
    <d v="2025-08-01T00:00:00"/>
    <d v="2025-08-04T00:00:00"/>
    <s v="2025 07"/>
    <s v="Aguardando Liberação"/>
    <s v="2025 06"/>
    <s v="ENTREGUE"/>
    <d v="2025-06-30T00:00:00"/>
    <s v="-"/>
    <m/>
    <n v="0"/>
    <n v="0"/>
    <n v="0"/>
    <n v="0"/>
    <n v="0"/>
  </r>
  <r>
    <s v="BV"/>
    <s v="BV45824"/>
    <s v="Pedido 1761"/>
    <d v="2025-06-12T00:00:00"/>
    <d v="2025-06-16T00:00:00"/>
    <s v="PedidoF1658"/>
    <s v="CódRastreio1656"/>
    <n v="1"/>
    <s v="CPF 1718"/>
    <s v="Nome 1718"/>
    <s v="Tel 1718"/>
    <s v="Cep 1718"/>
    <s v="Rua 1718"/>
    <s v="Comp 1718"/>
    <x v="29"/>
    <s v="HG-2FNR-01A9"/>
    <d v="2025-07-10T00:00:00"/>
    <n v="23.79"/>
    <n v="23.79"/>
    <n v="2.8548"/>
    <n v="20.94"/>
    <n v="15.37"/>
    <n v="0.3"/>
    <n v="0.39877104377104378"/>
    <n v="0"/>
    <n v="4.8712289562289577"/>
    <n v="2.4356144781144788"/>
    <d v="2025-07-17T00:00:00"/>
    <d v="2025-07-18T00:00:00"/>
    <d v="2025-08-01T00:00:00"/>
    <d v="2025-08-04T00:00:00"/>
    <s v="2025 07"/>
    <s v="Aguardando Liberação"/>
    <s v="2025 06"/>
    <s v="ENTREGUE"/>
    <d v="2025-06-23T00:00:00"/>
    <s v="-"/>
    <m/>
    <n v="0"/>
    <n v="0"/>
    <n v="0"/>
    <n v="0"/>
    <n v="0"/>
  </r>
  <r>
    <s v="BV"/>
    <s v="BV45821"/>
    <s v="Pedido 1762"/>
    <d v="2025-06-12T00:00:00"/>
    <d v="2025-06-13T00:00:00"/>
    <s v="PedidoF1659"/>
    <s v="CódRastreio1657"/>
    <n v="1"/>
    <s v="CPF 1719"/>
    <s v="Nome 1719"/>
    <s v="Tel 1719"/>
    <s v="Cep 1719"/>
    <s v="Rua 1719"/>
    <s v="Comp 1719"/>
    <x v="29"/>
    <s v="HG-2FNR-01A9"/>
    <d v="2025-07-04T00:00:00"/>
    <n v="23.79"/>
    <n v="23.79"/>
    <n v="2.8548"/>
    <n v="20.94"/>
    <n v="17.96"/>
    <n v="0.8"/>
    <n v="0.39877104377104378"/>
    <n v="0"/>
    <n v="1.7812289562289543"/>
    <n v="0.89061447811447714"/>
    <d v="2025-07-11T00:00:00"/>
    <d v="2025-07-11T00:00:00"/>
    <d v="2025-07-15T00:00:00"/>
    <d v="2025-08-04T00:00:00"/>
    <s v="2025 07"/>
    <s v="Aguardando Liberação"/>
    <s v="2025 06"/>
    <s v="ENTREGUE"/>
    <d v="2025-06-23T12:43:50"/>
    <s v="-"/>
    <m/>
    <n v="0"/>
    <n v="0"/>
    <n v="0"/>
    <n v="0"/>
    <n v="0"/>
  </r>
  <r>
    <s v="BV"/>
    <s v="BV45826"/>
    <s v="Pedido 1763"/>
    <d v="2025-06-12T00:00:00"/>
    <d v="2025-06-18T00:00:00"/>
    <s v="PedidoF1660"/>
    <s v="CódRastreio1658"/>
    <n v="1"/>
    <s v="CPF 1720"/>
    <s v="Nome 1720"/>
    <s v="Tel 1720"/>
    <s v="Cep 1720"/>
    <s v="Rua 1720"/>
    <s v="Comp 1720"/>
    <x v="29"/>
    <s v="HG-2FNR-01A9"/>
    <d v="2025-07-10T00:00:00"/>
    <n v="23.79"/>
    <n v="23.79"/>
    <n v="2.8548"/>
    <n v="20.94"/>
    <n v="10.210000000000001"/>
    <n v="0.49"/>
    <n v="0.39877104377104378"/>
    <n v="0"/>
    <n v="9.8412289562289565"/>
    <n v="4.9206144781144783"/>
    <d v="2025-07-17T00:00:00"/>
    <d v="2025-07-18T00:00:00"/>
    <d v="2025-08-01T00:00:00"/>
    <d v="2025-08-04T00:00:00"/>
    <s v="2025 07"/>
    <s v="Aguardando Liberação"/>
    <s v="2025 06"/>
    <s v="ENTREGUE"/>
    <d v="2025-06-28T00:00:00"/>
    <s v="-"/>
    <m/>
    <n v="0"/>
    <n v="0"/>
    <n v="0"/>
    <n v="0"/>
    <n v="0"/>
  </r>
  <r>
    <s v="BV"/>
    <s v="BV45824"/>
    <s v="Pedido 1764"/>
    <d v="2025-06-13T00:00:00"/>
    <d v="2025-06-16T00:00:00"/>
    <s v="PedidoF1661"/>
    <s v="CódRastreio1659"/>
    <n v="1"/>
    <s v="CPF 1721"/>
    <s v="Nome 1721"/>
    <s v="Tel 1721"/>
    <s v="Cep 1721"/>
    <s v="Rua 1721"/>
    <s v="Comp 1721"/>
    <x v="29"/>
    <s v="HG-2FNR-01A9"/>
    <d v="2025-07-05T00:00:00"/>
    <n v="23.79"/>
    <n v="23.79"/>
    <n v="2.8548"/>
    <n v="20.94"/>
    <n v="15.76"/>
    <n v="0.3"/>
    <n v="0.39877104377104378"/>
    <n v="0"/>
    <n v="4.4812289562289571"/>
    <n v="2.2406144781144786"/>
    <d v="2025-07-12T00:00:00"/>
    <d v="2025-07-12T00:00:00"/>
    <d v="2025-07-15T00:00:00"/>
    <d v="2025-08-04T00:00:00"/>
    <s v="2025 07"/>
    <s v="Aguardando Liberação"/>
    <s v="2025 06"/>
    <s v="ENTREGUE"/>
    <d v="2025-06-21T00:00:00"/>
    <s v="-"/>
    <m/>
    <n v="0"/>
    <n v="0"/>
    <n v="0"/>
    <n v="0"/>
    <n v="0"/>
  </r>
  <r>
    <s v="BV"/>
    <s v="BV45824"/>
    <s v="Pedido 1765"/>
    <d v="2025-06-13T00:00:00"/>
    <d v="2025-06-16T00:00:00"/>
    <s v="PedidoF1662"/>
    <s v="CódRastreio1660"/>
    <n v="1"/>
    <s v="CPF 1722"/>
    <s v="Nome 1722"/>
    <s v="Tel 1722"/>
    <s v="Cep 1722"/>
    <s v="Rua 1722"/>
    <s v="Comp 1722"/>
    <x v="29"/>
    <s v="HG-2FNR-01A9"/>
    <d v="2025-07-05T00:00:00"/>
    <n v="23.79"/>
    <n v="23.79"/>
    <n v="2.8548"/>
    <n v="20.94"/>
    <n v="14.95"/>
    <n v="0.3"/>
    <n v="0.39877104377104378"/>
    <n v="0"/>
    <n v="5.2912289562289576"/>
    <n v="2.6456144781144788"/>
    <d v="2025-07-12T00:00:00"/>
    <d v="2025-07-12T00:00:00"/>
    <d v="2025-07-15T00:00:00"/>
    <d v="2025-08-04T00:00:00"/>
    <s v="2025 07"/>
    <s v="Aguardando Liberação"/>
    <s v="2025 06"/>
    <s v="ENTREGUE"/>
    <d v="2025-06-20T00:00:00"/>
    <s v="-"/>
    <m/>
    <n v="0"/>
    <n v="0"/>
    <n v="0"/>
    <n v="0"/>
    <n v="0"/>
  </r>
  <r>
    <s v="BV"/>
    <s v="BV45826"/>
    <s v="Pedido 1766"/>
    <d v="2025-06-13T00:00:00"/>
    <d v="2025-06-18T00:00:00"/>
    <s v="PedidoF1663"/>
    <s v="CódRastreio1661"/>
    <n v="1"/>
    <s v="CPF 1722"/>
    <s v="Nome 1722"/>
    <s v="Tel 1722"/>
    <s v="Cep 1722"/>
    <s v="Rua 1722"/>
    <s v="Comp 1722"/>
    <x v="29"/>
    <s v="HG-2FNR-01A9"/>
    <d v="2025-07-11T00:00:00"/>
    <n v="23.79"/>
    <n v="23.79"/>
    <n v="2.8548"/>
    <n v="20.94"/>
    <n v="10.56"/>
    <n v="0.49"/>
    <n v="0.39877104377104378"/>
    <n v="0"/>
    <n v="9.4912289562289569"/>
    <n v="4.7456144781144785"/>
    <d v="2025-07-18T00:00:00"/>
    <d v="2025-07-18T00:00:00"/>
    <d v="2025-08-01T00:00:00"/>
    <d v="2025-08-04T00:00:00"/>
    <s v="2025 07"/>
    <s v="Aguardando Liberação"/>
    <s v="2025 06"/>
    <s v="ENTREGUE"/>
    <d v="2025-07-07T00:00:00"/>
    <s v="-"/>
    <m/>
    <n v="0"/>
    <n v="0"/>
    <n v="0"/>
    <n v="0"/>
    <n v="0"/>
  </r>
  <r>
    <s v="BV"/>
    <s v="BV45824"/>
    <s v="Pedido 1767"/>
    <d v="2025-06-13T00:00:00"/>
    <d v="2025-06-16T00:00:00"/>
    <s v="PedidoF1664"/>
    <s v="CódRastreio1662"/>
    <n v="1"/>
    <s v="CPF 1722"/>
    <s v="Nome 1722"/>
    <s v="Tel 1722"/>
    <s v="Cep 1722"/>
    <s v="Rua 1722"/>
    <s v="Comp 1722"/>
    <x v="29"/>
    <s v="HG-2FNR-01A9"/>
    <d v="2025-07-05T00:00:00"/>
    <n v="23.79"/>
    <n v="23.79"/>
    <n v="2.8548"/>
    <n v="20.94"/>
    <n v="14.9"/>
    <n v="0.3"/>
    <n v="0.39877104377104378"/>
    <n v="0"/>
    <n v="5.3412289562289565"/>
    <n v="2.6706144781144783"/>
    <d v="2025-07-12T00:00:00"/>
    <d v="2025-07-12T00:00:00"/>
    <d v="2025-07-15T00:00:00"/>
    <d v="2025-08-04T00:00:00"/>
    <s v="2025 07"/>
    <s v="Aguardando Liberação"/>
    <s v="2025 06"/>
    <s v="ENTREGUE"/>
    <d v="2025-06-21T00:00:00"/>
    <s v="-"/>
    <m/>
    <n v="0"/>
    <n v="0"/>
    <n v="0"/>
    <n v="0"/>
    <n v="0"/>
  </r>
  <r>
    <s v="BV"/>
    <s v="BV45824"/>
    <s v="Pedido 1768"/>
    <d v="2025-06-13T00:00:00"/>
    <d v="2025-06-16T00:00:00"/>
    <s v="PedidoF1665"/>
    <s v="CódRastreio1663"/>
    <n v="1"/>
    <s v="CPF 1722"/>
    <s v="Nome 1722"/>
    <s v="Tel 1722"/>
    <s v="Cep 1722"/>
    <s v="Rua 1722"/>
    <s v="Comp 1722"/>
    <x v="29"/>
    <s v="HG-2FNR-01A9"/>
    <d v="2025-07-11T00:00:00"/>
    <n v="23.79"/>
    <n v="23.79"/>
    <n v="2.8548"/>
    <n v="20.94"/>
    <n v="15.11"/>
    <n v="0.3"/>
    <n v="0.39877104377104378"/>
    <n v="0"/>
    <n v="5.1312289562289575"/>
    <n v="2.5656144781144787"/>
    <d v="2025-07-18T00:00:00"/>
    <d v="2025-07-18T00:00:00"/>
    <d v="2025-08-01T00:00:00"/>
    <d v="2025-08-04T00:00:00"/>
    <s v="2025 07"/>
    <s v="Aguardando Liberação"/>
    <s v="2025 06"/>
    <s v="ENTREGUE"/>
    <d v="2025-06-23T00:00:00"/>
    <s v="-"/>
    <m/>
    <n v="0"/>
    <n v="0"/>
    <n v="0"/>
    <n v="0"/>
    <n v="0"/>
  </r>
  <r>
    <s v="BV"/>
    <s v="BV45826"/>
    <s v="Pedido 1769"/>
    <d v="2025-06-13T00:00:00"/>
    <d v="2025-06-18T00:00:00"/>
    <s v="PedidoF1666"/>
    <s v="CódRastreio1664"/>
    <n v="1"/>
    <s v="CPF 1726"/>
    <s v="Nome 1726"/>
    <s v="Tel 1726"/>
    <s v="Cep 1726"/>
    <s v="Rua 1726"/>
    <s v="Comp 1726"/>
    <x v="29"/>
    <s v="NQ-IMR8-W6Q4"/>
    <d v="2025-07-18T00:00:00"/>
    <n v="25.99"/>
    <n v="25.99"/>
    <n v="3.1187999999999998"/>
    <n v="22.87"/>
    <n v="10.210000000000001"/>
    <n v="0.49"/>
    <n v="0.39877104377104378"/>
    <n v="0"/>
    <n v="11.771228956228956"/>
    <n v="5.8856144781144781"/>
    <d v="2025-07-25T00:00:00"/>
    <d v="2025-07-25T00:00:00"/>
    <d v="2025-08-01T00:00:00"/>
    <d v="2025-08-04T00:00:00"/>
    <s v="2025 07"/>
    <s v="Aguardando Liberação"/>
    <s v="2025 06"/>
    <s v="ENTREGUE"/>
    <d v="2025-06-30T00:00:00"/>
    <s v="-"/>
    <m/>
    <n v="0"/>
    <n v="0"/>
    <n v="0"/>
    <n v="0"/>
    <n v="0"/>
  </r>
  <r>
    <s v="BV"/>
    <s v="BV45826"/>
    <s v="Pedido 1770"/>
    <d v="2025-06-14T00:00:00"/>
    <d v="2025-06-18T00:00:00"/>
    <s v="PedidoF1667"/>
    <s v="CódRastreio1665"/>
    <n v="1"/>
    <s v="CPF 1727"/>
    <s v="Nome 1727"/>
    <s v="Tel 1727"/>
    <s v="Cep 1727"/>
    <s v="Rua 1727"/>
    <s v="Comp 1727"/>
    <x v="29"/>
    <s v="HG-2FNR-01A9"/>
    <d v="2025-07-05T00:00:00"/>
    <n v="23.79"/>
    <n v="23.79"/>
    <n v="2.8548"/>
    <n v="20.94"/>
    <n v="10.210000000000001"/>
    <n v="0.49"/>
    <n v="0.39877104377104378"/>
    <n v="0"/>
    <n v="9.8412289562289565"/>
    <n v="4.9206144781144783"/>
    <d v="2025-07-12T00:00:00"/>
    <d v="2025-07-12T00:00:00"/>
    <d v="2025-07-15T00:00:00"/>
    <d v="2025-08-04T00:00:00"/>
    <s v="2025 07"/>
    <s v="Aguardando Liberação"/>
    <s v="2025 06"/>
    <s v="ENTREGUE"/>
    <d v="2025-06-26T00:00:00"/>
    <s v="-"/>
    <m/>
    <n v="0"/>
    <n v="0"/>
    <n v="0"/>
    <n v="0"/>
    <n v="0"/>
  </r>
  <r>
    <s v="BV"/>
    <s v="BV45824"/>
    <s v="Pedido 1771"/>
    <d v="2025-06-14T00:00:00"/>
    <d v="2025-06-16T00:00:00"/>
    <s v="PedidoF1668"/>
    <s v="CódRastreio1666"/>
    <n v="1"/>
    <s v="CPF 1728"/>
    <s v="Nome 1728"/>
    <s v="Tel 1728"/>
    <s v="Cep 1728"/>
    <s v="Rua 1728"/>
    <s v="Comp 1728"/>
    <x v="29"/>
    <s v="HG-2FNR-01A9"/>
    <d v="2025-07-11T00:00:00"/>
    <n v="23.79"/>
    <n v="23.79"/>
    <n v="2.8548"/>
    <n v="20.94"/>
    <n v="14.9"/>
    <n v="0.3"/>
    <n v="0.39877104377104378"/>
    <n v="0"/>
    <n v="5.3412289562289565"/>
    <n v="2.6706144781144783"/>
    <d v="2025-07-18T00:00:00"/>
    <d v="2025-07-18T00:00:00"/>
    <d v="2025-08-01T00:00:00"/>
    <d v="2025-08-04T00:00:00"/>
    <s v="2025 07"/>
    <s v="Aguardando Liberação"/>
    <s v="2025 06"/>
    <s v="ENTREGUE"/>
    <d v="2025-06-26T00:00:00"/>
    <s v="-"/>
    <m/>
    <n v="0"/>
    <n v="0"/>
    <n v="0"/>
    <n v="0"/>
    <n v="0"/>
  </r>
  <r>
    <s v="BV"/>
    <s v="BV45826"/>
    <s v="Pedido 1772"/>
    <d v="2025-06-14T00:00:00"/>
    <d v="2025-06-18T00:00:00"/>
    <s v="PedidoF1669"/>
    <s v="CódRastreio1667"/>
    <n v="1"/>
    <s v="CPF 1729"/>
    <s v="Nome 1729"/>
    <s v="Tel 1729"/>
    <s v="Cep 1729"/>
    <s v="Rua 1729"/>
    <s v="Comp 1729"/>
    <x v="29"/>
    <s v="HG-2FNR-01A9"/>
    <d v="2025-07-11T00:00:00"/>
    <n v="23.79"/>
    <n v="23.79"/>
    <n v="2.8548"/>
    <n v="20.94"/>
    <n v="10.210000000000001"/>
    <n v="0.49"/>
    <n v="0.39877104377104378"/>
    <n v="0"/>
    <n v="9.8412289562289565"/>
    <n v="4.9206144781144783"/>
    <d v="2025-07-18T00:00:00"/>
    <d v="2025-07-18T00:00:00"/>
    <d v="2025-08-01T00:00:00"/>
    <d v="2025-08-04T00:00:00"/>
    <s v="2025 07"/>
    <s v="Aguardando Liberação"/>
    <s v="2025 06"/>
    <s v="ENTREGUE"/>
    <d v="2025-06-27T00:00:00"/>
    <s v="-"/>
    <m/>
    <n v="0"/>
    <n v="0"/>
    <n v="0"/>
    <n v="0"/>
    <n v="0"/>
  </r>
  <r>
    <s v="BV"/>
    <s v="BV45824"/>
    <s v="Pedido 1773"/>
    <d v="2025-06-15T00:00:00"/>
    <d v="2025-06-16T00:00:00"/>
    <s v="PedidoF1670"/>
    <s v="CódRastreio1668"/>
    <n v="1"/>
    <s v="CPF 1730"/>
    <s v="Nome 1730"/>
    <s v="Tel 1730"/>
    <s v="Cep 1730"/>
    <s v="Rua 1730"/>
    <s v="Comp 1730"/>
    <x v="29"/>
    <s v="HG-2FNR-01A9"/>
    <d v="2025-07-11T00:00:00"/>
    <n v="23.79"/>
    <n v="23.79"/>
    <n v="2.8548"/>
    <n v="20.94"/>
    <n v="14.9"/>
    <n v="0.3"/>
    <n v="0.39877104377104378"/>
    <n v="0"/>
    <n v="5.3412289562289565"/>
    <n v="2.6706144781144783"/>
    <d v="2025-07-18T00:00:00"/>
    <d v="2025-07-18T00:00:00"/>
    <d v="2025-08-01T00:00:00"/>
    <d v="2025-08-04T00:00:00"/>
    <s v="2025 07"/>
    <s v="Aguardando Liberação"/>
    <s v="2025 06"/>
    <s v="ENTREGUE"/>
    <d v="2025-06-23T00:00:00"/>
    <s v="-"/>
    <m/>
    <n v="0"/>
    <n v="0"/>
    <n v="0"/>
    <n v="0"/>
    <n v="0"/>
  </r>
  <r>
    <s v="BV"/>
    <s v="BV45826"/>
    <s v="Pedido 1774"/>
    <d v="2025-06-16T00:00:00"/>
    <d v="2025-06-18T00:00:00"/>
    <s v="PedidoF1671"/>
    <s v="CódRastreio1669"/>
    <n v="1"/>
    <s v="CPF 1731"/>
    <s v="Nome 1731"/>
    <s v="Tel 1731"/>
    <s v="Cep 1731"/>
    <s v="Rua 1731"/>
    <s v="Comp 1731"/>
    <x v="29"/>
    <s v="HG-2FNR-01A9"/>
    <d v="2025-07-05T00:00:00"/>
    <n v="23.79"/>
    <n v="23.79"/>
    <n v="2.8548"/>
    <n v="20.94"/>
    <n v="10.210000000000001"/>
    <n v="0.49"/>
    <n v="0.39877104377104378"/>
    <n v="0"/>
    <n v="9.8412289562289565"/>
    <n v="4.9206144781144783"/>
    <d v="2025-07-12T00:00:00"/>
    <d v="2025-07-12T00:00:00"/>
    <d v="2025-07-15T00:00:00"/>
    <d v="2025-08-04T00:00:00"/>
    <s v="2025 07"/>
    <s v="Aguardando Liberação"/>
    <s v="2025 06"/>
    <s v="ENTREGUE"/>
    <d v="2025-06-30T00:00:00"/>
    <s v="-"/>
    <m/>
    <n v="0"/>
    <n v="0"/>
    <n v="0"/>
    <n v="0"/>
    <n v="0"/>
  </r>
  <r>
    <s v="BV"/>
    <s v="BV45826"/>
    <s v="Pedido 1775"/>
    <d v="2025-06-16T00:00:00"/>
    <d v="2025-06-18T00:00:00"/>
    <s v="PedidoF1672"/>
    <s v="CódRastreio1670"/>
    <n v="1"/>
    <s v="CPF 1732"/>
    <s v="Nome 1732"/>
    <s v="Tel 1732"/>
    <s v="Cep 1732"/>
    <s v="Rua 1732"/>
    <s v="Comp 1732"/>
    <x v="29"/>
    <s v="NQ-IMR8-W6Q4"/>
    <d v="2025-07-18T00:00:00"/>
    <n v="25.99"/>
    <n v="25.99"/>
    <n v="3.1187999999999998"/>
    <n v="22.87"/>
    <n v="10.56"/>
    <n v="0.49"/>
    <n v="0.39877104377104378"/>
    <n v="0"/>
    <n v="11.421228956228957"/>
    <n v="5.7106144781144783"/>
    <d v="2025-07-25T00:00:00"/>
    <d v="2025-07-25T00:00:00"/>
    <d v="2025-08-01T00:00:00"/>
    <d v="2025-08-04T00:00:00"/>
    <s v="2025 07"/>
    <s v="Aguardando Liberação"/>
    <s v="2025 06"/>
    <s v="ENTREGUE"/>
    <d v="2025-07-07T00:00:00"/>
    <s v="-"/>
    <m/>
    <n v="0"/>
    <n v="0"/>
    <n v="0"/>
    <n v="0"/>
    <n v="0"/>
  </r>
  <r>
    <s v="BV"/>
    <s v="BV45826"/>
    <s v="Pedido 1776"/>
    <d v="2025-06-15T00:00:00"/>
    <d v="2025-06-18T00:00:00"/>
    <s v="PedidoF1673"/>
    <s v="CódRastreio1671"/>
    <n v="1"/>
    <s v="CPF 1733"/>
    <s v="Nome 1733"/>
    <s v="Tel 1733"/>
    <s v="Cep 1733"/>
    <s v="Rua 1733"/>
    <s v="Comp 1733"/>
    <x v="29"/>
    <s v="HG-2FNR-01A9"/>
    <d v="2025-07-11T00:00:00"/>
    <n v="23.79"/>
    <n v="23.79"/>
    <n v="2.8548"/>
    <n v="20.94"/>
    <n v="10.56"/>
    <n v="0.49"/>
    <n v="0.39877104377104378"/>
    <n v="0"/>
    <n v="9.4912289562289569"/>
    <n v="4.7456144781144785"/>
    <d v="2025-07-18T00:00:00"/>
    <d v="2025-07-18T00:00:00"/>
    <d v="2025-08-01T00:00:00"/>
    <d v="2025-08-04T00:00:00"/>
    <s v="2025 07"/>
    <s v="Aguardando Liberação"/>
    <s v="2025 06"/>
    <s v="ENTREGUE"/>
    <d v="2025-07-03T00:00:00"/>
    <s v="-"/>
    <m/>
    <n v="0"/>
    <n v="0"/>
    <n v="0"/>
    <n v="0"/>
    <n v="0"/>
  </r>
  <r>
    <s v="BV"/>
    <s v="BV45828"/>
    <s v="Pedido 1777"/>
    <d v="2025-06-16T00:00:00"/>
    <d v="2025-06-20T00:00:00"/>
    <s v="PedidoF1674"/>
    <s v="CódRastreio1672"/>
    <n v="1"/>
    <s v="CPF 1734"/>
    <s v="Nome 1734"/>
    <s v="Tel 1734"/>
    <s v="Cep 1734"/>
    <s v="Rua 1734"/>
    <s v="Comp 1734"/>
    <x v="29"/>
    <s v="HG-2FNR-01A9"/>
    <d v="2025-07-12T00:00:00"/>
    <n v="23.79"/>
    <n v="23.79"/>
    <n v="2.8548"/>
    <n v="20.94"/>
    <n v="10.56"/>
    <n v="0"/>
    <n v="0.39877104377104378"/>
    <n v="0"/>
    <n v="9.9812289562289571"/>
    <n v="4.9906144781144786"/>
    <d v="2025-07-19T00:00:00"/>
    <d v="2025-07-19T00:00:00"/>
    <d v="2025-08-01T00:00:00"/>
    <d v="2025-08-04T00:00:00"/>
    <s v="2025 07"/>
    <s v="Aguardando Liberação"/>
    <s v="2025 06"/>
    <s v="ENTREGUE"/>
    <d v="2025-07-01T00:00:00"/>
    <s v="-"/>
    <m/>
    <n v="0"/>
    <n v="0"/>
    <n v="0"/>
    <n v="0"/>
    <n v="0"/>
  </r>
  <r>
    <s v="BV"/>
    <s v="BV45828"/>
    <s v="Pedido 1778"/>
    <d v="2025-06-16T00:00:00"/>
    <d v="2025-06-20T00:00:00"/>
    <s v="PedidoF1675"/>
    <s v="CódRastreio1673"/>
    <n v="1"/>
    <s v="CPF 1735"/>
    <s v="Nome 1735"/>
    <s v="Tel 1735"/>
    <s v="Cep 1735"/>
    <s v="Rua 1735"/>
    <s v="Comp 1735"/>
    <x v="29"/>
    <s v="HG-2FNR-01A9"/>
    <d v="2025-07-12T00:00:00"/>
    <n v="23.79"/>
    <n v="23.79"/>
    <n v="2.8548"/>
    <n v="20.94"/>
    <n v="11.43"/>
    <n v="0"/>
    <n v="0.39877104377104378"/>
    <n v="0"/>
    <n v="9.1112289562289579"/>
    <n v="4.5556144781144789"/>
    <d v="2025-07-19T00:00:00"/>
    <d v="2025-07-19T00:00:00"/>
    <d v="2025-08-01T00:00:00"/>
    <d v="2025-08-04T00:00:00"/>
    <s v="2025 07"/>
    <s v="Aguardando Liberação"/>
    <s v="2025 06"/>
    <s v="ENTREGUE"/>
    <d v="2025-07-03T00:00:00"/>
    <s v="-"/>
    <m/>
    <n v="0"/>
    <n v="0"/>
    <n v="0"/>
    <n v="0"/>
    <n v="0"/>
  </r>
  <r>
    <s v="BV"/>
    <s v="BV45828"/>
    <s v="Pedido 1779"/>
    <d v="2025-06-16T00:00:00"/>
    <d v="2025-06-20T00:00:00"/>
    <s v="PedidoF1676"/>
    <s v="CódRastreio1674"/>
    <n v="1"/>
    <s v="CPF 1736"/>
    <s v="Nome 1736"/>
    <s v="Tel 1736"/>
    <s v="Cep 1736"/>
    <s v="Rua 1736"/>
    <s v="Comp 1736"/>
    <x v="29"/>
    <s v="NQ-IMR8-W6Q4"/>
    <d v="2025-07-12T00:00:00"/>
    <n v="25.99"/>
    <n v="25.99"/>
    <n v="3.1187999999999998"/>
    <n v="22.87"/>
    <n v="10.220000000000001"/>
    <n v="0"/>
    <n v="0.39877104377104378"/>
    <n v="0"/>
    <n v="12.251228956228957"/>
    <n v="6.1256144781144783"/>
    <d v="2025-07-19T00:00:00"/>
    <d v="2025-07-19T00:00:00"/>
    <d v="2025-08-01T00:00:00"/>
    <d v="2025-08-04T00:00:00"/>
    <s v="2025 07"/>
    <s v="Aguardando Liberação"/>
    <s v="2025 06"/>
    <s v="ENTREGUE"/>
    <d v="2025-07-09T00:00:00"/>
    <s v="-"/>
    <m/>
    <n v="0"/>
    <n v="0"/>
    <n v="0"/>
    <n v="0"/>
    <n v="0"/>
  </r>
  <r>
    <s v="BV"/>
    <s v="BV45828"/>
    <s v="Pedido 1780"/>
    <d v="2025-06-16T00:00:00"/>
    <d v="2025-06-20T00:00:00"/>
    <s v="PedidoF1677"/>
    <s v="CódRastreio1675"/>
    <n v="1"/>
    <s v="CPF 1737"/>
    <s v="Nome 1737"/>
    <s v="Tel 1737"/>
    <s v="Cep 1737"/>
    <s v="Rua 1737"/>
    <s v="Comp 1737"/>
    <x v="29"/>
    <s v="NQ-IMR8-W6Q4"/>
    <d v="2025-07-19T00:00:00"/>
    <n v="25.99"/>
    <n v="25.99"/>
    <n v="3.1187999999999998"/>
    <n v="22.87"/>
    <n v="10.220000000000001"/>
    <n v="0"/>
    <n v="0.39877104377104378"/>
    <n v="0"/>
    <n v="12.251228956228957"/>
    <n v="6.1256144781144783"/>
    <d v="2025-07-26T00:00:00"/>
    <d v="2025-07-26T00:00:00"/>
    <d v="2025-08-01T00:00:00"/>
    <d v="2025-08-04T00:00:00"/>
    <s v="2025 07"/>
    <s v="Aguardando Liberação"/>
    <s v="2025 06"/>
    <s v="ENTREGUE"/>
    <d v="2025-07-01T00:00:00"/>
    <s v="-"/>
    <m/>
    <n v="0"/>
    <n v="0"/>
    <n v="0"/>
    <n v="0"/>
    <n v="0"/>
  </r>
  <r>
    <s v="BV"/>
    <s v="BV45828"/>
    <s v="Pedido 1781"/>
    <d v="2025-06-16T00:00:00"/>
    <d v="2025-06-20T00:00:00"/>
    <s v="PedidoF1678"/>
    <s v="CódRastreio1676"/>
    <n v="1"/>
    <s v="CPF 1738"/>
    <s v="Nome 1738"/>
    <s v="Tel 1738"/>
    <s v="Cep 1738"/>
    <s v="Rua 1738"/>
    <s v="Comp 1738"/>
    <x v="29"/>
    <s v="NQ-IMR8-W6Q4"/>
    <d v="2025-07-19T00:00:00"/>
    <n v="25.99"/>
    <n v="25.99"/>
    <n v="3.1187999999999998"/>
    <n v="22.87"/>
    <n v="10.220000000000001"/>
    <n v="0"/>
    <n v="0.39877104377104378"/>
    <n v="0"/>
    <n v="12.251228956228957"/>
    <n v="6.1256144781144783"/>
    <d v="2025-07-26T00:00:00"/>
    <d v="2025-07-26T00:00:00"/>
    <d v="2025-08-01T00:00:00"/>
    <d v="2025-08-04T00:00:00"/>
    <s v="2025 07"/>
    <s v="Aguardando Liberação"/>
    <s v="2025 06"/>
    <s v="ENTREGUE"/>
    <d v="2025-07-01T00:00:00"/>
    <s v="-"/>
    <m/>
    <n v="0"/>
    <n v="0"/>
    <n v="0"/>
    <n v="0"/>
    <n v="0"/>
  </r>
  <r>
    <s v="BV"/>
    <s v="BV45824"/>
    <s v="Pedido 1782"/>
    <d v="2025-06-16T00:00:00"/>
    <d v="2025-06-16T00:00:00"/>
    <s v="PedidoF1679"/>
    <s v="CódRastreio1677"/>
    <n v="1"/>
    <s v="CPF 1739"/>
    <s v="Nome 1739"/>
    <s v="Tel 1739"/>
    <s v="Cep 1739"/>
    <s v="Rua 1739"/>
    <s v="Comp 1739"/>
    <x v="29"/>
    <s v="HG-2FNR-01A9"/>
    <d v="2025-07-12T00:00:00"/>
    <n v="23.79"/>
    <n v="23.79"/>
    <n v="2.8548"/>
    <n v="20.94"/>
    <n v="15.01"/>
    <n v="0.3"/>
    <n v="0.39877104377104378"/>
    <n v="0"/>
    <n v="5.2312289562289571"/>
    <n v="2.6156144781144786"/>
    <d v="2025-07-19T00:00:00"/>
    <d v="2025-07-19T00:00:00"/>
    <d v="2025-08-01T00:00:00"/>
    <d v="2025-08-04T00:00:00"/>
    <s v="2025 07"/>
    <s v="Aguardando Liberação"/>
    <s v="2025 06"/>
    <s v="ENTREGUE"/>
    <d v="2025-06-23T00:00:00"/>
    <s v="-"/>
    <m/>
    <n v="0"/>
    <n v="0"/>
    <n v="0"/>
    <n v="0"/>
    <n v="0"/>
  </r>
  <r>
    <s v="BV"/>
    <s v="BV45824"/>
    <s v="Pedido 1783"/>
    <d v="2025-06-16T00:00:00"/>
    <d v="2025-06-16T00:00:00"/>
    <s v="PedidoF1680"/>
    <s v="CódRastreio1678"/>
    <n v="1"/>
    <s v="CPF 1740"/>
    <s v="Nome 1740"/>
    <s v="Tel 1740"/>
    <s v="Cep 1740"/>
    <s v="Rua 1740"/>
    <s v="Comp 1740"/>
    <x v="29"/>
    <s v="HG-2FNR-01A9"/>
    <d v="2025-07-08T00:00:00"/>
    <n v="23.79"/>
    <n v="23.79"/>
    <n v="2.8548"/>
    <n v="20.94"/>
    <n v="15.55"/>
    <n v="0.3"/>
    <n v="0.39877104377104378"/>
    <n v="0"/>
    <n v="4.6912289562289544"/>
    <n v="2.3456144781144772"/>
    <d v="2025-07-15T00:00:00"/>
    <d v="2025-07-15T00:00:00"/>
    <d v="2025-07-15T00:00:00"/>
    <d v="2025-08-04T00:00:00"/>
    <s v="2025 07"/>
    <s v="Aguardando Liberação"/>
    <s v="2025 06"/>
    <s v="ENTREGUE"/>
    <d v="2025-06-20T00:00:00"/>
    <s v="-"/>
    <m/>
    <n v="0"/>
    <n v="0"/>
    <n v="0"/>
    <n v="0"/>
    <n v="0"/>
  </r>
  <r>
    <s v="BV"/>
    <s v="BV45828"/>
    <s v="Pedido 1784"/>
    <d v="2025-06-16T00:00:00"/>
    <d v="2025-06-20T00:00:00"/>
    <s v="PedidoF1681"/>
    <s v="CódRastreio1679"/>
    <n v="1"/>
    <s v="CPF 1741"/>
    <s v="Nome 1741"/>
    <s v="Tel 1741"/>
    <s v="Cep 1741"/>
    <s v="Rua 1741"/>
    <s v="Comp 1741"/>
    <x v="29"/>
    <s v="HG-2FNR-01A9"/>
    <d v="2025-07-19T00:00:00"/>
    <n v="25.99"/>
    <n v="25.99"/>
    <n v="3.1187999999999998"/>
    <n v="22.87"/>
    <n v="10.220000000000001"/>
    <n v="0"/>
    <n v="0.39877104377104378"/>
    <n v="0"/>
    <n v="12.251228956228957"/>
    <n v="6.1256144781144783"/>
    <d v="2025-07-26T00:00:00"/>
    <d v="2025-07-26T00:00:00"/>
    <d v="2025-08-01T00:00:00"/>
    <d v="2025-08-04T00:00:00"/>
    <s v="2025 07"/>
    <s v="Aguardando Liberação"/>
    <s v="2025 06"/>
    <s v="ENTREGUE"/>
    <d v="2025-07-08T00:00:00"/>
    <s v="-"/>
    <m/>
    <n v="0"/>
    <n v="0"/>
    <n v="0"/>
    <n v="0"/>
    <n v="0"/>
  </r>
  <r>
    <s v="GO"/>
    <s v="GO45824"/>
    <s v="Pedido 1785"/>
    <d v="2025-06-13T00:00:00"/>
    <d v="2025-06-16T00:00:00"/>
    <s v="PedidoF1682"/>
    <s v="CódRastreio1680"/>
    <n v="1"/>
    <s v="CPF 1742"/>
    <s v="Nome 1742"/>
    <s v="Tel 1742"/>
    <s v="Cep 1742"/>
    <s v="Rua 1742"/>
    <s v="Comp 1742"/>
    <x v="30"/>
    <s v="33-SVS5-1AWY"/>
    <d v="2025-07-11T00:00:00"/>
    <n v="67.599999999999994"/>
    <n v="67.599999999999994"/>
    <n v="8.1119999999999983"/>
    <n v="59.49"/>
    <n v="38.4"/>
    <n v="0"/>
    <n v="0.39877104377104378"/>
    <n v="0"/>
    <n v="20.691228956228962"/>
    <n v="20.691228956228962"/>
    <d v="2025-07-18T00:00:00"/>
    <d v="2025-07-18T00:00:00"/>
    <d v="2025-08-01T00:00:00"/>
    <d v="2025-08-04T00:00:00"/>
    <s v="2025 07"/>
    <s v="Aguardando Liberação"/>
    <s v="2025 06"/>
    <s v="ENTREGUE"/>
    <d v="2025-06-26T00:00:00"/>
    <s v="-"/>
    <m/>
    <n v="0"/>
    <n v="0"/>
    <n v="0"/>
    <n v="0"/>
    <n v="0"/>
  </r>
  <r>
    <s v="GO"/>
    <s v="GO45824"/>
    <s v="Pedido 1786"/>
    <d v="2025-06-16T00:00:00"/>
    <d v="2025-06-16T00:00:00"/>
    <s v="PedidoF1683"/>
    <s v="CódRastreio1681"/>
    <n v="1"/>
    <s v="CPF 1743"/>
    <s v="Nome 1743"/>
    <s v="Tel 1743"/>
    <s v="Cep 1743"/>
    <s v="Rua 1743"/>
    <s v="Comp 1743"/>
    <x v="15"/>
    <s v="K9-YV2I-FO7H"/>
    <d v="2025-07-12T00:00:00"/>
    <n v="54.99"/>
    <n v="54.99"/>
    <n v="6.0489000000000006"/>
    <n v="48.94"/>
    <n v="38.46"/>
    <n v="0"/>
    <n v="0.39877104377104378"/>
    <n v="0"/>
    <n v="10.081228956228955"/>
    <n v="10.081228956228955"/>
    <d v="2025-07-19T00:00:00"/>
    <d v="2025-07-19T00:00:00"/>
    <d v="2025-08-01T00:00:00"/>
    <d v="2025-08-04T00:00:00"/>
    <s v="2025 07"/>
    <s v="Aguardando Liberação"/>
    <s v="2025 06"/>
    <s v="ENTREGUE"/>
    <d v="2025-06-24T00:00:00"/>
    <s v="-"/>
    <m/>
    <n v="0"/>
    <n v="0"/>
    <n v="0"/>
    <n v="0"/>
    <n v="0"/>
  </r>
  <r>
    <s v="BV"/>
    <s v="BV45831"/>
    <s v="Pedido 1787"/>
    <d v="2025-06-17T00:00:00"/>
    <d v="2025-06-23T00:00:00"/>
    <s v="PedidoF1684"/>
    <s v="CódRastreio1682"/>
    <n v="1"/>
    <s v="CPF 1744"/>
    <s v="Nome 1744"/>
    <s v="Tel 1744"/>
    <s v="Cep 1744"/>
    <s v="Rua 1744"/>
    <s v="Comp 1744"/>
    <x v="29"/>
    <s v="HG-2FNR-01A9"/>
    <d v="2025-07-22T00:00:00"/>
    <n v="25.65"/>
    <n v="25.65"/>
    <n v="3.0779999999999998"/>
    <n v="22.57"/>
    <n v="10.17"/>
    <n v="0"/>
    <n v="0.39877104377104378"/>
    <n v="0"/>
    <n v="12.001228956228957"/>
    <n v="6.0006144781144783"/>
    <d v="2025-07-29T00:00:00"/>
    <d v="2025-07-29T00:00:00"/>
    <d v="2025-08-01T00:00:00"/>
    <d v="2025-08-04T00:00:00"/>
    <s v="2025 07"/>
    <s v="Aguardando Liberação"/>
    <s v="2025 06"/>
    <s v="ENTREGUE"/>
    <d v="2025-07-11T00:00:00"/>
    <s v="-"/>
    <m/>
    <n v="0"/>
    <n v="0"/>
    <n v="0"/>
    <n v="0"/>
    <n v="0"/>
  </r>
  <r>
    <s v="BV"/>
    <s v="BV45831"/>
    <s v="Pedido 1788"/>
    <d v="2025-06-18T00:00:00"/>
    <d v="2025-06-23T00:00:00"/>
    <s v="PedidoF1685"/>
    <s v="CódRastreio1683"/>
    <n v="1"/>
    <s v="CPF 1745"/>
    <s v="Nome 1745"/>
    <s v="Tel 1745"/>
    <s v="Cep 1745"/>
    <s v="Rua 1745"/>
    <s v="Comp 1745"/>
    <x v="29"/>
    <s v="HG-2FNR-01A9"/>
    <d v="2025-07-16T00:00:00"/>
    <n v="23.9"/>
    <n v="23.9"/>
    <n v="2.8679999999999999"/>
    <n v="21.03"/>
    <n v="9.4"/>
    <n v="0"/>
    <n v="0.39877104377104378"/>
    <n v="0"/>
    <n v="11.231228956228957"/>
    <n v="5.6156144781144786"/>
    <d v="2025-07-23T00:00:00"/>
    <d v="2025-07-23T00:00:00"/>
    <d v="2025-08-01T00:00:00"/>
    <d v="2025-08-04T00:00:00"/>
    <s v="2025 07"/>
    <s v="Aguardando Liberação"/>
    <s v="2025 06"/>
    <s v="ENTREGUE"/>
    <d v="2025-07-02T00:00:00"/>
    <s v="-"/>
    <m/>
    <n v="0"/>
    <n v="0"/>
    <n v="0"/>
    <n v="0"/>
    <n v="0"/>
  </r>
  <r>
    <s v="BV"/>
    <s v="BV45831"/>
    <s v="Pedido 1789"/>
    <d v="2025-06-18T00:00:00"/>
    <d v="2025-06-23T00:00:00"/>
    <s v="PedidoF1686"/>
    <s v="CódRastreio1684"/>
    <n v="1"/>
    <s v="CPF 1746"/>
    <s v="Nome 1746"/>
    <s v="Tel 1746"/>
    <s v="Cep 1746"/>
    <s v="Rua 1746"/>
    <s v="Comp 1746"/>
    <x v="29"/>
    <s v="HG-2FNR-01A9"/>
    <d v="2025-07-10T00:00:00"/>
    <n v="23.9"/>
    <n v="23.9"/>
    <n v="2.8679999999999999"/>
    <n v="21.03"/>
    <n v="10.17"/>
    <n v="0"/>
    <n v="0.39877104377104378"/>
    <n v="0"/>
    <n v="10.461228956228958"/>
    <n v="5.2306144781144788"/>
    <d v="2025-07-17T00:00:00"/>
    <d v="2025-07-18T00:00:00"/>
    <d v="2025-08-01T00:00:00"/>
    <d v="2025-08-04T00:00:00"/>
    <s v="2025 07"/>
    <s v="Aguardando Liberação"/>
    <s v="2025 06"/>
    <s v="ENTREGUE"/>
    <d v="2025-07-02T00:00:00"/>
    <s v="-"/>
    <m/>
    <n v="0"/>
    <n v="0"/>
    <n v="0"/>
    <n v="0"/>
    <n v="0"/>
  </r>
  <r>
    <s v="BV"/>
    <s v="BV45831"/>
    <s v="Pedido 1790"/>
    <d v="2025-06-18T00:00:00"/>
    <d v="2025-06-23T00:00:00"/>
    <s v="PedidoF1687"/>
    <s v="CódRastreio1685"/>
    <n v="1"/>
    <s v="CPF 1747"/>
    <s v="Nome 1747"/>
    <s v="Tel 1747"/>
    <s v="Cep 1747"/>
    <s v="Rua 1747"/>
    <s v="Comp 1747"/>
    <x v="29"/>
    <s v="HG-2FNR-01A9"/>
    <d v="2025-07-16T00:00:00"/>
    <n v="23.9"/>
    <n v="23.9"/>
    <n v="2.8679999999999999"/>
    <n v="21.03"/>
    <n v="10.57"/>
    <n v="0"/>
    <n v="0.39877104377104378"/>
    <n v="0"/>
    <n v="10.061228956228957"/>
    <n v="5.0306144781144786"/>
    <d v="2025-07-23T00:00:00"/>
    <d v="2025-07-23T00:00:00"/>
    <d v="2025-08-01T00:00:00"/>
    <d v="2025-08-04T00:00:00"/>
    <s v="2025 07"/>
    <s v="Aguardando Liberação"/>
    <s v="2025 06"/>
    <s v="ENTREGUE"/>
    <d v="2025-07-07T00:00:00"/>
    <s v="-"/>
    <m/>
    <n v="0"/>
    <n v="0"/>
    <n v="0"/>
    <n v="0"/>
    <n v="0"/>
  </r>
  <r>
    <s v="BV"/>
    <s v="BV45831"/>
    <s v="Pedido 1791"/>
    <d v="2025-06-19T00:00:00"/>
    <d v="2025-06-23T00:00:00"/>
    <s v="PedidoF1688"/>
    <s v="CódRastreio1686"/>
    <n v="1"/>
    <s v="CPF 1748"/>
    <s v="Nome 1748"/>
    <s v="Tel 1748"/>
    <s v="Cep 1748"/>
    <s v="Rua 1748"/>
    <s v="Comp 1748"/>
    <x v="29"/>
    <s v="HG-2FNR-01A9"/>
    <d v="2025-07-10T00:00:00"/>
    <n v="23.9"/>
    <n v="23.9"/>
    <n v="2.8679999999999999"/>
    <n v="21.03"/>
    <n v="10.17"/>
    <n v="0"/>
    <n v="0.39877104377104378"/>
    <n v="0"/>
    <n v="10.461228956228958"/>
    <n v="5.2306144781144788"/>
    <d v="2025-07-17T00:00:00"/>
    <d v="2025-07-18T00:00:00"/>
    <d v="2025-08-01T00:00:00"/>
    <d v="2025-08-04T00:00:00"/>
    <s v="2025 07"/>
    <s v="Aguardando Liberação"/>
    <s v="2025 06"/>
    <s v="ENTREGUE"/>
    <d v="2025-07-03T00:00:00"/>
    <s v="-"/>
    <m/>
    <n v="0"/>
    <n v="0"/>
    <n v="0"/>
    <n v="0"/>
    <n v="0"/>
  </r>
  <r>
    <s v="BV"/>
    <s v="BV45831"/>
    <s v="Pedido 1792"/>
    <d v="2025-06-19T00:00:00"/>
    <d v="2025-06-23T00:00:00"/>
    <s v="PedidoF1689"/>
    <s v="CódRastreio1687"/>
    <n v="1"/>
    <s v="CPF 1749"/>
    <s v="Nome 1749"/>
    <s v="Tel 1749"/>
    <s v="Cep 1749"/>
    <s v="Rua 1749"/>
    <s v="Comp 1749"/>
    <x v="29"/>
    <s v="HG-2FNR-01A9"/>
    <d v="2025-07-16T00:00:00"/>
    <n v="23.9"/>
    <n v="23.9"/>
    <n v="2.8679999999999999"/>
    <n v="21.03"/>
    <n v="15.16"/>
    <n v="0"/>
    <n v="0.39877104377104378"/>
    <n v="0"/>
    <n v="5.4712289562289573"/>
    <n v="2.7356144781144787"/>
    <d v="2025-07-23T00:00:00"/>
    <d v="2025-07-23T00:00:00"/>
    <d v="2025-08-01T00:00:00"/>
    <d v="2025-08-04T00:00:00"/>
    <s v="2025 07"/>
    <s v="Aguardando Liberação"/>
    <s v="2025 06"/>
    <s v="ENTREGUE"/>
    <d v="2025-07-07T00:00:00"/>
    <s v="-"/>
    <m/>
    <n v="0"/>
    <n v="0"/>
    <n v="0"/>
    <n v="0"/>
    <n v="0"/>
  </r>
  <r>
    <s v="BV"/>
    <s v="BV45831"/>
    <s v="Pedido 1793"/>
    <d v="2025-06-19T00:00:00"/>
    <d v="2025-06-23T00:00:00"/>
    <s v="PedidoF1690"/>
    <s v="CódRastreio1688"/>
    <n v="1"/>
    <s v="CPF 1750"/>
    <s v="Nome 1750"/>
    <s v="Tel 1750"/>
    <s v="Cep 1750"/>
    <s v="Rua 1750"/>
    <s v="Comp 1750"/>
    <x v="29"/>
    <s v="HG-2FNR-01A9"/>
    <d v="2025-07-16T00:00:00"/>
    <n v="23.9"/>
    <n v="23.9"/>
    <n v="2.8679999999999999"/>
    <n v="21.03"/>
    <n v="10.57"/>
    <n v="0"/>
    <n v="0.39877104377104378"/>
    <n v="0"/>
    <n v="10.061228956228957"/>
    <n v="5.0306144781144786"/>
    <d v="2025-07-23T00:00:00"/>
    <d v="2025-07-23T00:00:00"/>
    <d v="2025-08-01T00:00:00"/>
    <d v="2025-08-04T00:00:00"/>
    <s v="2025 07"/>
    <s v="Aguardando Liberação"/>
    <s v="2025 06"/>
    <s v="ENTREGUE"/>
    <d v="2025-07-14T00:00:00"/>
    <s v="-"/>
    <m/>
    <n v="0"/>
    <n v="0"/>
    <n v="0"/>
    <n v="0"/>
    <n v="0"/>
  </r>
  <r>
    <s v="BV"/>
    <s v="BV45831"/>
    <s v="Pedido 1794"/>
    <d v="2025-06-19T00:00:00"/>
    <d v="2025-06-23T00:00:00"/>
    <s v="PedidoF1691"/>
    <s v="CódRastreio1689"/>
    <n v="1"/>
    <s v="CPF 1751"/>
    <s v="Nome 1751"/>
    <s v="Tel 1751"/>
    <s v="Cep 1751"/>
    <s v="Rua 1751"/>
    <s v="Comp 1751"/>
    <x v="29"/>
    <s v="HG-2FNR-01A9"/>
    <d v="2025-07-10T00:00:00"/>
    <n v="23.9"/>
    <n v="23.9"/>
    <n v="2.8679999999999999"/>
    <n v="21.03"/>
    <n v="12.27"/>
    <n v="0"/>
    <n v="0.39877104377104378"/>
    <n v="0"/>
    <n v="8.3612289562289579"/>
    <n v="4.1806144781144789"/>
    <d v="2025-07-17T00:00:00"/>
    <d v="2025-07-18T00:00:00"/>
    <d v="2025-08-01T00:00:00"/>
    <d v="2025-08-04T00:00:00"/>
    <s v="2025 07"/>
    <s v="Aguardando Liberação"/>
    <s v="2025 06"/>
    <s v="ENTREGUE"/>
    <d v="2025-07-02T00:00:00"/>
    <s v="-"/>
    <m/>
    <n v="0"/>
    <n v="0"/>
    <n v="0"/>
    <n v="0"/>
    <n v="0"/>
  </r>
  <r>
    <s v="BV"/>
    <s v="BV45831"/>
    <s v="Pedido 1795"/>
    <d v="2025-06-20T00:00:00"/>
    <d v="2025-06-23T00:00:00"/>
    <s v="PedidoF1692"/>
    <s v="CódRastreio1690"/>
    <n v="1"/>
    <s v="CPF 1752"/>
    <s v="Nome 1752"/>
    <s v="Tel 1752"/>
    <s v="Cep 1752"/>
    <s v="Rua 1752"/>
    <s v="Comp 1752"/>
    <x v="29"/>
    <s v="HG-2FNR-01A9"/>
    <d v="2025-07-16T00:00:00"/>
    <n v="23.9"/>
    <n v="23.9"/>
    <n v="2.8679999999999999"/>
    <n v="21.03"/>
    <n v="9.4"/>
    <n v="0"/>
    <n v="0.39877104377104378"/>
    <n v="0"/>
    <n v="11.231228956228957"/>
    <n v="5.6156144781144786"/>
    <d v="2025-07-23T00:00:00"/>
    <d v="2025-07-23T00:00:00"/>
    <d v="2025-08-01T00:00:00"/>
    <d v="2025-08-04T00:00:00"/>
    <s v="2025 07"/>
    <s v="Aguardando Liberação"/>
    <s v="2025 06"/>
    <s v="ENTREGUE"/>
    <d v="2025-07-01T00:00:00"/>
    <s v="-"/>
    <m/>
    <n v="0"/>
    <n v="0"/>
    <n v="0"/>
    <n v="0"/>
    <n v="0"/>
  </r>
  <r>
    <s v="BV"/>
    <s v="BV45831"/>
    <s v="Pedido 1796"/>
    <d v="2025-06-20T00:00:00"/>
    <d v="2025-06-23T00:00:00"/>
    <s v="PedidoF1693"/>
    <s v="CódRastreio1691"/>
    <n v="1"/>
    <s v="CPF 1753"/>
    <s v="Nome 1753"/>
    <s v="Tel 1753"/>
    <s v="Cep 1753"/>
    <s v="Rua 1753"/>
    <s v="Comp 1753"/>
    <x v="29"/>
    <s v="HG-2FNR-01A9"/>
    <d v="2025-07-10T00:00:00"/>
    <n v="23.9"/>
    <n v="23.9"/>
    <n v="2.8679999999999999"/>
    <n v="21.03"/>
    <n v="10.17"/>
    <n v="0"/>
    <n v="0.39877104377104378"/>
    <n v="0"/>
    <n v="10.461228956228958"/>
    <n v="5.2306144781144788"/>
    <d v="2025-07-17T00:00:00"/>
    <d v="2025-07-18T00:00:00"/>
    <d v="2025-08-01T00:00:00"/>
    <d v="2025-08-04T00:00:00"/>
    <s v="2025 07"/>
    <s v="Aguardando Liberação"/>
    <s v="2025 06"/>
    <s v="ENTREGUE"/>
    <d v="2025-07-08T00:00:00"/>
    <s v="-"/>
    <m/>
    <n v="0"/>
    <n v="0"/>
    <n v="0"/>
    <n v="0"/>
    <n v="0"/>
  </r>
  <r>
    <s v="BV"/>
    <s v="BV45832"/>
    <s v="Pedido 1797"/>
    <d v="2025-06-20T00:00:00"/>
    <d v="2025-06-24T00:00:00"/>
    <s v="PedidoF1694"/>
    <s v="CódRastreio1692"/>
    <n v="1"/>
    <s v="CPF 1754"/>
    <s v="Nome 1754"/>
    <s v="Tel 1754"/>
    <s v="Cep 1754"/>
    <s v="Rua 1754"/>
    <s v="Comp 1754"/>
    <x v="29"/>
    <s v="NQ-IMR8-W6Q4"/>
    <d v="2025-07-23T00:00:00"/>
    <n v="23.9"/>
    <n v="23.9"/>
    <n v="2.8679999999999999"/>
    <n v="21.03"/>
    <n v="10.220000000000001"/>
    <n v="0"/>
    <n v="0.39877104377104378"/>
    <n v="0"/>
    <n v="10.411228956228957"/>
    <n v="5.2056144781144784"/>
    <d v="2025-07-30T00:00:00"/>
    <d v="2025-07-30T00:00:00"/>
    <d v="2025-08-01T00:00:00"/>
    <d v="2025-08-04T00:00:00"/>
    <s v="2025 07"/>
    <s v="Aguardando Liberação"/>
    <s v="2025 06"/>
    <s v="ENTREGUE"/>
    <d v="2025-07-12T00:00:00"/>
    <s v="-"/>
    <m/>
    <n v="0"/>
    <n v="0"/>
    <n v="0"/>
    <n v="0"/>
    <n v="0"/>
  </r>
  <r>
    <s v="BV"/>
    <s v="BV45832"/>
    <s v="Pedido 1798"/>
    <d v="2025-06-20T00:00:00"/>
    <d v="2025-06-24T00:00:00"/>
    <s v="PedidoF1695"/>
    <s v="CódRastreio1693"/>
    <n v="1"/>
    <s v="CPF 1755"/>
    <s v="Nome 1755"/>
    <s v="Tel 1755"/>
    <s v="Cep 1755"/>
    <s v="Rua 1755"/>
    <s v="Comp 1755"/>
    <x v="29"/>
    <s v="NQ-IMR8-W6Q4"/>
    <d v="2025-07-23T00:00:00"/>
    <n v="23.9"/>
    <n v="23.9"/>
    <n v="2.8679999999999999"/>
    <n v="21.03"/>
    <n v="10.220000000000001"/>
    <n v="0"/>
    <n v="0.39877104377104378"/>
    <n v="0"/>
    <n v="10.411228956228957"/>
    <n v="5.2056144781144784"/>
    <d v="2025-07-30T00:00:00"/>
    <d v="2025-07-30T00:00:00"/>
    <d v="2025-08-01T00:00:00"/>
    <d v="2025-08-04T00:00:00"/>
    <s v="2025 07"/>
    <s v="Aguardando Liberação"/>
    <s v="2025 06"/>
    <s v="ENTREGUE"/>
    <d v="2025-07-09T00:00:00"/>
    <s v="-"/>
    <m/>
    <n v="0"/>
    <n v="0"/>
    <n v="0"/>
    <n v="0"/>
    <n v="0"/>
  </r>
  <r>
    <s v="BV"/>
    <s v="BV45832"/>
    <s v="Pedido 1799"/>
    <d v="2025-06-20T00:00:00"/>
    <d v="2025-06-24T00:00:00"/>
    <s v="PedidoF1696"/>
    <s v="CódRastreio1694"/>
    <n v="1"/>
    <s v="CPF 1756"/>
    <s v="Nome 1756"/>
    <s v="Tel 1756"/>
    <s v="Cep 1756"/>
    <s v="Rua 1756"/>
    <s v="Comp 1756"/>
    <x v="29"/>
    <s v="NQ-IMR8-W6Q4"/>
    <d v="2025-07-10T00:00:00"/>
    <n v="23.9"/>
    <n v="23.9"/>
    <n v="2.8679999999999999"/>
    <n v="21.03"/>
    <n v="13.4"/>
    <n v="0"/>
    <n v="0.39877104377104378"/>
    <n v="0"/>
    <n v="7.2312289562289571"/>
    <n v="3.6156144781144786"/>
    <d v="2025-07-17T00:00:00"/>
    <d v="2025-07-18T00:00:00"/>
    <d v="2025-08-01T00:00:00"/>
    <d v="2025-08-04T00:00:00"/>
    <s v="2025 07"/>
    <s v="Aguardando Liberação"/>
    <s v="2025 06"/>
    <s v="ENTREGUE"/>
    <d v="2025-07-01T00:00:00"/>
    <s v="-"/>
    <m/>
    <n v="0"/>
    <n v="0"/>
    <n v="0"/>
    <n v="0"/>
    <n v="0"/>
  </r>
  <r>
    <s v="BV"/>
    <s v="BV45832"/>
    <s v="Pedido 1800"/>
    <d v="2025-06-22T00:00:00"/>
    <d v="2025-06-24T00:00:00"/>
    <s v="PedidoF1697"/>
    <s v="CódRastreio1695"/>
    <n v="1"/>
    <s v="CPF 1757"/>
    <s v="Nome 1757"/>
    <s v="Tel 1757"/>
    <s v="Cep 1757"/>
    <s v="Rua 1757"/>
    <s v="Comp 1757"/>
    <x v="29"/>
    <s v="HG-2FNR-01A9"/>
    <d v="2025-07-24T00:00:00"/>
    <n v="22.79"/>
    <n v="22.79"/>
    <n v="2.7347999999999999"/>
    <n v="20.059999999999999"/>
    <n v="10.220000000000001"/>
    <n v="0"/>
    <n v="0.39877104377104378"/>
    <n v="0"/>
    <n v="9.4412289562289544"/>
    <n v="4.7206144781144772"/>
    <d v="2025-07-31T00:00:00"/>
    <d v="2025-07-31T00:00:00"/>
    <d v="2025-08-01T00:00:00"/>
    <d v="2025-08-04T00:00:00"/>
    <s v="2025 07"/>
    <s v="Aguardando Liberação"/>
    <s v="2025 06"/>
    <s v="ENTREGUE"/>
    <d v="2025-07-09T00:00:00"/>
    <s v="-"/>
    <m/>
    <n v="0"/>
    <n v="0"/>
    <n v="0"/>
    <n v="0"/>
    <n v="0"/>
  </r>
  <r>
    <s v="BV"/>
    <s v="BV45832"/>
    <s v="Pedido 1801"/>
    <d v="2025-06-22T00:00:00"/>
    <d v="2025-06-24T00:00:00"/>
    <s v="PedidoF1698"/>
    <s v="CódRastreio1696"/>
    <n v="1"/>
    <s v="CPF 1758"/>
    <s v="Nome 1758"/>
    <s v="Tel 1758"/>
    <s v="Cep 1758"/>
    <s v="Rua 1758"/>
    <s v="Comp 1758"/>
    <x v="29"/>
    <s v="HG-2FNR-01A9"/>
    <d v="2025-07-11T00:00:00"/>
    <n v="22.79"/>
    <n v="22.79"/>
    <n v="2.7347999999999999"/>
    <n v="20.059999999999999"/>
    <n v="10.220000000000001"/>
    <n v="0"/>
    <n v="0.39877104377104378"/>
    <n v="0"/>
    <n v="9.4412289562289544"/>
    <n v="4.7206144781144772"/>
    <d v="2025-07-18T00:00:00"/>
    <d v="2025-07-18T00:00:00"/>
    <d v="2025-08-01T00:00:00"/>
    <d v="2025-08-04T00:00:00"/>
    <s v="2025 07"/>
    <s v="Aguardando Liberação"/>
    <s v="2025 06"/>
    <s v="ENTREGUE"/>
    <d v="2025-07-03T00:00:00"/>
    <s v="-"/>
    <m/>
    <n v="0"/>
    <n v="0"/>
    <n v="0"/>
    <n v="0"/>
    <n v="0"/>
  </r>
  <r>
    <s v="BV"/>
    <s v="BV45832"/>
    <s v="Pedido 1802"/>
    <d v="2025-06-22T00:00:00"/>
    <d v="2025-06-24T00:00:00"/>
    <s v="PedidoF1699"/>
    <s v="CódRastreio1697"/>
    <n v="1"/>
    <s v="CPF 1759"/>
    <s v="Nome 1759"/>
    <s v="Tel 1759"/>
    <s v="Cep 1759"/>
    <s v="Rua 1759"/>
    <s v="Comp 1759"/>
    <x v="29"/>
    <s v="HG-2FNR-01A9"/>
    <d v="2025-07-17T00:00:00"/>
    <n v="22.79"/>
    <n v="22.79"/>
    <n v="2.7347999999999999"/>
    <n v="20.059999999999999"/>
    <n v="9.4"/>
    <n v="0"/>
    <n v="0.39877104377104378"/>
    <n v="0"/>
    <n v="10.261228956228955"/>
    <n v="5.1306144781144774"/>
    <d v="2025-07-24T00:00:00"/>
    <d v="2025-07-24T00:00:00"/>
    <d v="2025-08-01T00:00:00"/>
    <d v="2025-08-04T00:00:00"/>
    <s v="2025 07"/>
    <s v="Aguardando Liberação"/>
    <s v="2025 06"/>
    <s v="ENTREGUE"/>
    <d v="2025-07-05T00:00:00"/>
    <s v="-"/>
    <m/>
    <n v="0"/>
    <n v="0"/>
    <n v="0"/>
    <n v="0"/>
    <n v="0"/>
  </r>
  <r>
    <s v="BV"/>
    <s v="BV45832"/>
    <s v="Pedido 1803"/>
    <d v="2025-06-22T00:00:00"/>
    <d v="2025-06-24T00:00:00"/>
    <s v="PedidoF1700"/>
    <s v="CódRastreio1698"/>
    <n v="1"/>
    <s v="CPF 1760"/>
    <s v="Nome 1760"/>
    <s v="Tel 1760"/>
    <s v="Cep 1760"/>
    <s v="Rua 1760"/>
    <s v="Comp 1760"/>
    <x v="29"/>
    <s v="HG-2FNR-01A9"/>
    <d v="2025-07-17T00:00:00"/>
    <n v="22.79"/>
    <n v="22.79"/>
    <n v="2.7347999999999999"/>
    <n v="20.059999999999999"/>
    <n v="10.56"/>
    <n v="0"/>
    <n v="0.39877104377104378"/>
    <n v="0"/>
    <n v="9.1012289562289546"/>
    <n v="4.5506144781144773"/>
    <d v="2025-07-24T00:00:00"/>
    <d v="2025-07-24T00:00:00"/>
    <d v="2025-08-01T00:00:00"/>
    <d v="2025-08-04T00:00:00"/>
    <s v="2025 07"/>
    <s v="Aguardando Liberação"/>
    <s v="2025 06"/>
    <s v="ENTREGUE"/>
    <d v="2025-07-04T00:00:00"/>
    <s v="-"/>
    <m/>
    <n v="0"/>
    <n v="0"/>
    <n v="0"/>
    <n v="0"/>
    <n v="0"/>
  </r>
  <r>
    <s v="BV"/>
    <s v="BV45833"/>
    <s v="Pedido 1804"/>
    <d v="2025-06-22T00:00:00"/>
    <d v="2025-06-25T00:00:00"/>
    <s v="PedidoF1701"/>
    <s v="CódRastreio1699"/>
    <n v="1"/>
    <s v="CPF 1761"/>
    <s v="Nome 1761"/>
    <s v="Tel 1761"/>
    <s v="Cep 1761"/>
    <s v="Rua 1761"/>
    <s v="Comp 1761"/>
    <x v="29"/>
    <s v="HG-2FNR-01A9"/>
    <d v="2025-07-11T00:00:00"/>
    <n v="22.79"/>
    <n v="22.79"/>
    <n v="2.7347999999999999"/>
    <n v="20.059999999999999"/>
    <n v="10.17"/>
    <n v="0"/>
    <n v="0.39877104377104378"/>
    <n v="0"/>
    <n v="9.4912289562289551"/>
    <n v="4.7456144781144776"/>
    <d v="2025-07-18T00:00:00"/>
    <d v="2025-07-18T00:00:00"/>
    <d v="2025-08-01T00:00:00"/>
    <d v="2025-08-04T00:00:00"/>
    <s v="2025 07"/>
    <s v="Aguardando Liberação"/>
    <s v="2025 06"/>
    <s v="ENTREGUE"/>
    <d v="2025-07-09T00:00:00"/>
    <s v="-"/>
    <m/>
    <n v="0"/>
    <n v="0"/>
    <n v="0"/>
    <n v="0"/>
    <n v="0"/>
  </r>
  <r>
    <s v="BV"/>
    <s v="BV45833"/>
    <s v="Pedido 1805"/>
    <d v="2025-06-22T00:00:00"/>
    <d v="2025-06-25T00:00:00"/>
    <s v="PedidoF1702"/>
    <s v="CódRastreio1700"/>
    <n v="1"/>
    <s v="CPF 1762"/>
    <s v="Nome 1762"/>
    <s v="Tel 1762"/>
    <s v="Cep 1762"/>
    <s v="Rua 1762"/>
    <s v="Comp 1762"/>
    <x v="29"/>
    <s v="HG-2FNR-01A9"/>
    <d v="2025-07-17T00:00:00"/>
    <n v="22.79"/>
    <n v="22.79"/>
    <n v="2.7347999999999999"/>
    <n v="20.059999999999999"/>
    <n v="10.57"/>
    <n v="0"/>
    <n v="0.39877104377104378"/>
    <n v="0"/>
    <n v="9.0912289562289548"/>
    <n v="4.5456144781144774"/>
    <d v="2025-07-24T00:00:00"/>
    <d v="2025-07-24T00:00:00"/>
    <d v="2025-08-01T00:00:00"/>
    <d v="2025-08-04T00:00:00"/>
    <s v="2025 07"/>
    <s v="Aguardando Liberação"/>
    <s v="2025 06"/>
    <s v="ENTREGUE"/>
    <d v="2025-07-08T00:00:00"/>
    <s v="-"/>
    <m/>
    <n v="0"/>
    <n v="0"/>
    <n v="0"/>
    <n v="0"/>
    <n v="0"/>
  </r>
  <r>
    <s v="BV"/>
    <s v="BV45833"/>
    <s v="Pedido 1806"/>
    <d v="2025-06-22T00:00:00"/>
    <d v="2025-06-25T00:00:00"/>
    <s v="PedidoF1703"/>
    <s v="CódRastreio1701"/>
    <n v="1"/>
    <s v="CPF 1763"/>
    <s v="Nome 1763"/>
    <s v="Tel 1763"/>
    <s v="Cep 1763"/>
    <s v="Rua 1763"/>
    <s v="Comp 1763"/>
    <x v="29"/>
    <s v="HG-2FNR-01A9"/>
    <d v="2025-07-17T00:00:00"/>
    <n v="22.79"/>
    <n v="22.79"/>
    <n v="2.7347999999999999"/>
    <n v="20.059999999999999"/>
    <n v="10.17"/>
    <n v="0"/>
    <n v="0.39877104377104378"/>
    <n v="0"/>
    <n v="9.4912289562289551"/>
    <n v="4.7456144781144776"/>
    <d v="2025-07-24T00:00:00"/>
    <d v="2025-07-24T00:00:00"/>
    <d v="2025-08-01T00:00:00"/>
    <d v="2025-08-04T00:00:00"/>
    <s v="2025 07"/>
    <s v="Aguardando Liberação"/>
    <s v="2025 06"/>
    <s v="ENTREGUE"/>
    <d v="2025-07-09T00:00:00"/>
    <s v="-"/>
    <m/>
    <n v="0"/>
    <n v="0"/>
    <n v="0"/>
    <n v="0"/>
    <n v="0"/>
  </r>
  <r>
    <s v="BV"/>
    <s v="BV45833"/>
    <s v="Pedido 1807"/>
    <d v="2025-06-23T00:00:00"/>
    <d v="2025-06-25T00:00:00"/>
    <s v="PedidoF1704"/>
    <s v="CódRastreio1702"/>
    <n v="1"/>
    <s v="CPF 1764"/>
    <s v="Nome 1764"/>
    <s v="Tel 1764"/>
    <s v="Cep 1764"/>
    <s v="Rua 1764"/>
    <s v="Comp 1764"/>
    <x v="29"/>
    <s v="HG-2FNR-01A9"/>
    <d v="2025-07-17T00:00:00"/>
    <n v="22.79"/>
    <n v="22.79"/>
    <n v="2.7347999999999999"/>
    <n v="20.059999999999999"/>
    <n v="10.57"/>
    <n v="0"/>
    <n v="0.39877104377104378"/>
    <n v="0"/>
    <n v="9.0912289562289548"/>
    <n v="4.5456144781144774"/>
    <d v="2025-07-24T00:00:00"/>
    <d v="2025-07-24T00:00:00"/>
    <d v="2025-08-01T00:00:00"/>
    <d v="2025-08-04T00:00:00"/>
    <s v="2025 07"/>
    <s v="Aguardando Liberação"/>
    <s v="2025 06"/>
    <s v="ENTREGUE"/>
    <d v="2025-07-11T00:00:00"/>
    <s v="-"/>
    <m/>
    <n v="0"/>
    <n v="0"/>
    <n v="0"/>
    <n v="0"/>
    <n v="0"/>
  </r>
  <r>
    <s v="BV"/>
    <s v="BV45833"/>
    <s v="Pedido 1808"/>
    <d v="2025-06-22T00:00:00"/>
    <d v="2025-06-25T00:00:00"/>
    <s v="PedidoF1705"/>
    <s v="CódRastreio1703"/>
    <n v="1"/>
    <s v="CPF 1765"/>
    <s v="Nome 1765"/>
    <s v="Tel 1765"/>
    <s v="Cep 1765"/>
    <s v="Rua 1765"/>
    <s v="Comp 1765"/>
    <x v="29"/>
    <s v="HG-2FNR-01A9"/>
    <d v="2025-07-17T00:00:00"/>
    <n v="22.79"/>
    <n v="22.79"/>
    <n v="2.7347999999999999"/>
    <n v="20.059999999999999"/>
    <n v="10.17"/>
    <n v="0"/>
    <n v="0.39877104377104378"/>
    <n v="0"/>
    <n v="9.4912289562289551"/>
    <n v="4.7456144781144776"/>
    <d v="2025-07-24T00:00:00"/>
    <d v="2025-07-24T00:00:00"/>
    <d v="2025-08-01T00:00:00"/>
    <d v="2025-08-04T00:00:00"/>
    <s v="2025 07"/>
    <s v="Aguardando Liberação"/>
    <s v="2025 06"/>
    <s v="ENTREGUE"/>
    <d v="2025-07-07T00:00:00"/>
    <s v="-"/>
    <m/>
    <n v="0"/>
    <n v="0"/>
    <n v="0"/>
    <n v="0"/>
    <n v="0"/>
  </r>
  <r>
    <s v="BV"/>
    <s v="BV45834"/>
    <s v="Pedido 1809"/>
    <d v="2025-06-22T00:00:00"/>
    <d v="2025-06-26T00:00:00"/>
    <s v="PedidoF1706"/>
    <s v="CódRastreio1704"/>
    <n v="1"/>
    <s v="CPF 1766"/>
    <s v="Nome 1766"/>
    <s v="Tel 1766"/>
    <s v="Cep 1766"/>
    <s v="Rua 1766"/>
    <s v="Comp 1766"/>
    <x v="29"/>
    <s v="HG-2FNR-01A9"/>
    <d v="2025-07-11T00:00:00"/>
    <n v="22.79"/>
    <n v="22.79"/>
    <n v="2.7347999999999999"/>
    <n v="20.059999999999999"/>
    <n v="10.18"/>
    <n v="0"/>
    <n v="0.39877104377104378"/>
    <n v="0"/>
    <n v="9.4812289562289553"/>
    <n v="4.7406144781144777"/>
    <d v="2025-07-18T00:00:00"/>
    <d v="2025-07-18T00:00:00"/>
    <d v="2025-08-01T00:00:00"/>
    <d v="2025-08-04T00:00:00"/>
    <s v="2025 07"/>
    <s v="Aguardando Liberação"/>
    <s v="2025 06"/>
    <s v="ENTREGUE"/>
    <d v="2025-07-11T00:00:00"/>
    <s v="-"/>
    <m/>
    <n v="0"/>
    <n v="0"/>
    <n v="0"/>
    <n v="0"/>
    <n v="0"/>
  </r>
  <r>
    <s v="BV"/>
    <s v="BV45833"/>
    <s v="Pedido 1810"/>
    <d v="2025-06-22T00:00:00"/>
    <d v="2025-06-25T00:00:00"/>
    <s v="PedidoF1707"/>
    <s v="CódRastreio1705"/>
    <n v="1"/>
    <s v="CPF 1767"/>
    <s v="Nome 1767"/>
    <s v="Tel 1767"/>
    <s v="Cep 1767"/>
    <s v="Rua 1767"/>
    <s v="Comp 1767"/>
    <x v="29"/>
    <s v="HG-2FNR-01A9"/>
    <d v="2025-07-11T00:00:00"/>
    <n v="22.79"/>
    <n v="22.79"/>
    <n v="2.7347999999999999"/>
    <n v="20.059999999999999"/>
    <n v="14.43"/>
    <n v="0"/>
    <n v="0.39877104377104378"/>
    <n v="0"/>
    <n v="5.2312289562289553"/>
    <n v="2.6156144781144777"/>
    <d v="2025-07-18T00:00:00"/>
    <d v="2025-07-18T00:00:00"/>
    <d v="2025-08-01T00:00:00"/>
    <d v="2025-08-04T00:00:00"/>
    <s v="2025 07"/>
    <s v="Aguardando Liberação"/>
    <s v="2025 06"/>
    <s v="ENTREGUE"/>
    <d v="2025-07-08T00:00:00"/>
    <s v="-"/>
    <m/>
    <n v="0"/>
    <n v="0"/>
    <n v="0"/>
    <n v="0"/>
    <n v="0"/>
  </r>
  <r>
    <s v="BV"/>
    <s v="BV45834"/>
    <s v="Pedido 1811"/>
    <d v="2025-06-22T00:00:00"/>
    <d v="2025-06-26T00:00:00"/>
    <s v="PedidoF1708"/>
    <s v="CódRastreio1706"/>
    <n v="1"/>
    <s v="CPF 1768"/>
    <s v="Nome 1768"/>
    <s v="Tel 1768"/>
    <s v="Cep 1768"/>
    <s v="Rua 1768"/>
    <s v="Comp 1768"/>
    <x v="29"/>
    <s v="HG-2FNR-01A9"/>
    <d v="2025-07-17T00:00:00"/>
    <n v="22.79"/>
    <n v="22.79"/>
    <n v="2.7347999999999999"/>
    <n v="20.059999999999999"/>
    <n v="10.18"/>
    <n v="0"/>
    <n v="0.39877104377104378"/>
    <n v="0"/>
    <n v="9.4812289562289553"/>
    <n v="4.7406144781144777"/>
    <d v="2025-07-24T00:00:00"/>
    <d v="2025-07-24T00:00:00"/>
    <d v="2025-08-01T00:00:00"/>
    <d v="2025-08-04T00:00:00"/>
    <s v="2025 07"/>
    <s v="Aguardando Liberação"/>
    <s v="2025 06"/>
    <s v="ENTREGUE"/>
    <d v="2025-07-14T00:00:00"/>
    <s v="-"/>
    <m/>
    <n v="0"/>
    <n v="0"/>
    <n v="0"/>
    <n v="0"/>
    <n v="0"/>
  </r>
  <r>
    <s v="BV"/>
    <s v="BV45834"/>
    <s v="Pedido 1812"/>
    <d v="2025-06-23T00:00:00"/>
    <d v="2025-06-26T00:00:00"/>
    <s v="PedidoF1709"/>
    <s v="CódRastreio1707"/>
    <n v="1"/>
    <s v="CPF 1769"/>
    <s v="Nome 1769"/>
    <s v="Tel 1769"/>
    <s v="Cep 1769"/>
    <s v="Rua 1769"/>
    <s v="Comp 1769"/>
    <x v="29"/>
    <s v="HG-2FNR-01A9"/>
    <d v="2025-07-18T00:00:00"/>
    <n v="22.79"/>
    <n v="22.79"/>
    <n v="2.7347999999999999"/>
    <n v="20.059999999999999"/>
    <n v="0"/>
    <n v="0"/>
    <n v="0.39877104377104378"/>
    <n v="0"/>
    <n v="19.661228956228953"/>
    <n v="9.8306144781144766"/>
    <d v="2025-07-25T00:00:00"/>
    <d v="2025-07-25T00:00:00"/>
    <d v="2025-08-01T00:00:00"/>
    <d v="2025-08-04T00:00:00"/>
    <s v="2025 07"/>
    <s v="Aguardando Liberação"/>
    <s v="2025 06"/>
    <s v="ENTREGUE"/>
    <s v="-"/>
    <s v="-"/>
    <m/>
    <n v="0"/>
    <n v="0"/>
    <n v="0"/>
    <n v="13.16"/>
    <n v="13.16"/>
  </r>
  <r>
    <s v="BV"/>
    <s v="BV45834"/>
    <s v="Pedido 1813"/>
    <d v="2025-06-23T00:00:00"/>
    <d v="2025-06-26T00:00:00"/>
    <s v="PedidoF1710"/>
    <s v="CódRastreio1708"/>
    <n v="1"/>
    <s v="CPF 1770"/>
    <s v="Nome 1770"/>
    <s v="Tel 1770"/>
    <s v="Cep 1770"/>
    <s v="Rua 1770"/>
    <s v="Comp 1770"/>
    <x v="29"/>
    <s v="HG-2FNR-01A9"/>
    <d v="2025-07-18T00:00:00"/>
    <n v="22.79"/>
    <n v="22.79"/>
    <n v="2.7347999999999999"/>
    <n v="20.059999999999999"/>
    <n v="10.18"/>
    <n v="0"/>
    <n v="0.39877104377104378"/>
    <n v="0"/>
    <n v="9.4812289562289553"/>
    <n v="4.7406144781144777"/>
    <d v="2025-07-25T00:00:00"/>
    <d v="2025-07-25T00:00:00"/>
    <d v="2025-08-01T00:00:00"/>
    <d v="2025-08-04T00:00:00"/>
    <s v="2025 07"/>
    <s v="Aguardando Liberação"/>
    <s v="2025 06"/>
    <s v="ENTREGUE"/>
    <d v="2025-07-14T00:00:00"/>
    <s v="-"/>
    <m/>
    <n v="0"/>
    <n v="0"/>
    <n v="0"/>
    <n v="0"/>
    <n v="0"/>
  </r>
  <r>
    <s v="BV"/>
    <s v="BV45834"/>
    <s v="Pedido 1814"/>
    <d v="2025-06-23T00:00:00"/>
    <d v="2025-06-26T00:00:00"/>
    <s v="PedidoF1711"/>
    <s v="CódRastreio1709"/>
    <n v="1"/>
    <s v="CPF 1771"/>
    <s v="Nome 1771"/>
    <s v="Tel 1771"/>
    <s v="Cep 1771"/>
    <s v="Rua 1771"/>
    <s v="Comp 1771"/>
    <x v="29"/>
    <s v="HG-2FNR-01A9"/>
    <d v="2025-07-18T00:00:00"/>
    <n v="22.79"/>
    <n v="22.79"/>
    <n v="2.7347999999999999"/>
    <n v="20.059999999999999"/>
    <n v="10.18"/>
    <n v="0"/>
    <n v="0.39877104377104378"/>
    <n v="0"/>
    <n v="9.4812289562289553"/>
    <n v="4.7406144781144777"/>
    <d v="2025-07-25T00:00:00"/>
    <d v="2025-07-25T00:00:00"/>
    <d v="2025-08-01T00:00:00"/>
    <d v="2025-08-04T00:00:00"/>
    <s v="2025 07"/>
    <s v="Aguardando Liberação"/>
    <s v="2025 06"/>
    <s v="ENTREGUE"/>
    <d v="2025-07-14T00:00:00"/>
    <s v="-"/>
    <m/>
    <n v="0"/>
    <n v="0"/>
    <n v="0"/>
    <n v="0"/>
    <n v="0"/>
  </r>
  <r>
    <s v="BV"/>
    <s v="BV45834"/>
    <s v="Pedido 1815"/>
    <d v="2025-06-23T00:00:00"/>
    <d v="2025-06-26T00:00:00"/>
    <s v="PedidoF1712"/>
    <s v="CódRastreio1710"/>
    <n v="1"/>
    <s v="CPF 1772"/>
    <s v="Nome 1772"/>
    <s v="Tel 1772"/>
    <s v="Cep 1772"/>
    <s v="Rua 1772"/>
    <s v="Comp 1772"/>
    <x v="29"/>
    <s v="HG-2FNR-01A9"/>
    <d v="2025-07-12T00:00:00"/>
    <n v="22.79"/>
    <n v="22.79"/>
    <n v="2.7347999999999999"/>
    <n v="20.059999999999999"/>
    <n v="0"/>
    <n v="0"/>
    <n v="0.39877104377104378"/>
    <n v="0"/>
    <n v="19.661228956228953"/>
    <n v="9.8306144781144766"/>
    <d v="2025-07-19T00:00:00"/>
    <d v="2025-07-19T00:00:00"/>
    <d v="2025-08-01T00:00:00"/>
    <d v="2025-08-04T00:00:00"/>
    <s v="2025 07"/>
    <s v="Aguardando Liberação"/>
    <s v="2025 06"/>
    <s v="ENTREGUE"/>
    <d v="2025-08-18T00:00:00"/>
    <s v="-"/>
    <m/>
    <n v="0"/>
    <n v="0"/>
    <n v="0"/>
    <n v="0"/>
    <n v="0"/>
  </r>
  <r>
    <s v="BV"/>
    <s v="BV45834"/>
    <s v="Pedido 1816"/>
    <d v="2025-06-23T00:00:00"/>
    <d v="2025-06-26T00:00:00"/>
    <s v="PedidoF1713"/>
    <s v="CódRastreio1711"/>
    <n v="1"/>
    <s v="CPF 1773"/>
    <s v="Nome 1773"/>
    <s v="Tel 1773"/>
    <s v="Cep 1773"/>
    <s v="Rua 1773"/>
    <s v="Comp 1773"/>
    <x v="29"/>
    <s v="NQ-IMR8-W6Q4"/>
    <d v="2025-07-12T00:00:00"/>
    <n v="21.9"/>
    <n v="21.9"/>
    <n v="2.6279999999999997"/>
    <n v="19.27"/>
    <n v="16.16"/>
    <n v="0"/>
    <n v="0.39877104377104378"/>
    <n v="0"/>
    <n v="2.711228956228954"/>
    <n v="1.355614478114477"/>
    <d v="2025-07-19T00:00:00"/>
    <d v="2025-07-19T00:00:00"/>
    <d v="2025-08-01T00:00:00"/>
    <d v="2025-08-04T00:00:00"/>
    <s v="2025 07"/>
    <s v="Aguardando Liberação"/>
    <s v="2025 06"/>
    <s v="ENTREGUE"/>
    <s v="-"/>
    <s v="-"/>
    <m/>
    <n v="0"/>
    <n v="0"/>
    <n v="0"/>
    <n v="0"/>
    <n v="0"/>
  </r>
  <r>
    <s v="BV"/>
    <s v="BV45834"/>
    <s v="Pedido 1817"/>
    <d v="2025-06-23T00:00:00"/>
    <d v="2025-06-26T00:00:00"/>
    <s v="PedidoF1714"/>
    <s v="CódRastreio1712"/>
    <n v="1"/>
    <s v="CPF 1774"/>
    <s v="Nome 1774"/>
    <s v="Tel 1774"/>
    <s v="Cep 1774"/>
    <s v="Rua 1774"/>
    <s v="Comp 1774"/>
    <x v="29"/>
    <s v="HG-2FNR-01A9"/>
    <d v="2025-07-18T00:00:00"/>
    <n v="22.79"/>
    <n v="22.79"/>
    <n v="2.7347999999999999"/>
    <n v="20.059999999999999"/>
    <n v="10.18"/>
    <n v="0"/>
    <n v="0.39877104377104378"/>
    <n v="0"/>
    <n v="9.4812289562289553"/>
    <n v="4.7406144781144777"/>
    <d v="2025-07-25T00:00:00"/>
    <d v="2025-07-25T00:00:00"/>
    <d v="2025-08-01T00:00:00"/>
    <d v="2025-08-04T00:00:00"/>
    <s v="2025 07"/>
    <s v="Aguardando Liberação"/>
    <s v="2025 06"/>
    <s v="ENTREGUE"/>
    <d v="2025-07-15T00:00:00"/>
    <s v="-"/>
    <m/>
    <n v="0"/>
    <n v="0"/>
    <n v="0"/>
    <n v="0"/>
    <n v="0"/>
  </r>
  <r>
    <s v="BV"/>
    <s v="BV45834"/>
    <s v="Pedido 1818"/>
    <d v="2025-06-23T00:00:00"/>
    <d v="2025-06-26T00:00:00"/>
    <s v="PedidoF1715"/>
    <s v="CódRastreio1713"/>
    <n v="1"/>
    <s v="CPF 1775"/>
    <s v="Nome 1775"/>
    <s v="Tel 1775"/>
    <s v="Cep 1775"/>
    <s v="Rua 1775"/>
    <s v="Comp 1775"/>
    <x v="29"/>
    <s v="HG-2FNR-01A9"/>
    <d v="2025-07-12T00:00:00"/>
    <n v="22.79"/>
    <n v="22.79"/>
    <n v="2.7347999999999999"/>
    <n v="20.059999999999999"/>
    <n v="10.18"/>
    <n v="0"/>
    <n v="0.39877104377104378"/>
    <n v="0"/>
    <n v="9.4812289562289553"/>
    <n v="4.7406144781144777"/>
    <d v="2025-07-19T00:00:00"/>
    <d v="2025-07-19T00:00:00"/>
    <d v="2025-08-01T00:00:00"/>
    <d v="2025-08-04T00:00:00"/>
    <s v="2025 07"/>
    <s v="Aguardando Liberação"/>
    <s v="2025 06"/>
    <s v="ENTREGUE"/>
    <d v="2025-08-12T00:00:00"/>
    <s v="-"/>
    <m/>
    <n v="0"/>
    <n v="0"/>
    <n v="0"/>
    <n v="0"/>
    <n v="0"/>
  </r>
  <r>
    <s v="BV"/>
    <s v="BV45835"/>
    <s v="Pedido 1819"/>
    <d v="2025-06-23T00:00:00"/>
    <d v="2025-06-27T00:00:00"/>
    <s v="PedidoF1716"/>
    <s v="CódRastreio1714"/>
    <n v="1"/>
    <s v="CPF 1776"/>
    <s v="Nome 1776"/>
    <s v="Tel 1776"/>
    <s v="Cep 1776"/>
    <s v="Rua 1776"/>
    <s v="Comp 1776"/>
    <x v="29"/>
    <s v="HG-2FNR-01A9"/>
    <d v="2025-07-18T00:00:00"/>
    <n v="22.79"/>
    <n v="22.79"/>
    <n v="2.7347999999999999"/>
    <n v="20.059999999999999"/>
    <n v="10.53"/>
    <n v="0"/>
    <n v="0.39877104377104378"/>
    <n v="0"/>
    <n v="9.1312289562289557"/>
    <n v="4.5656144781144778"/>
    <d v="2025-07-25T00:00:00"/>
    <d v="2025-07-25T00:00:00"/>
    <d v="2025-08-01T00:00:00"/>
    <d v="2025-08-04T00:00:00"/>
    <s v="2025 07"/>
    <s v="Aguardando Liberação"/>
    <s v="2025 06"/>
    <s v="EM TRÂNSITO"/>
    <s v="-"/>
    <s v="-"/>
    <m/>
    <n v="0"/>
    <n v="0"/>
    <n v="0"/>
    <n v="0"/>
    <n v="0"/>
  </r>
  <r>
    <s v="BV"/>
    <s v="BV-"/>
    <s v="Pedido 1820"/>
    <d v="2025-06-23T00:00:00"/>
    <s v="-"/>
    <s v="-"/>
    <s v="-"/>
    <n v="1"/>
    <s v="CPF 1777"/>
    <s v="Nome 1777"/>
    <s v="Tel 1777"/>
    <s v="Cep 1777"/>
    <s v="Rua 1777"/>
    <s v="Comp 1777"/>
    <x v="29"/>
    <s v="HG-2FNR-01A9"/>
    <d v="2025-07-18T00:00:00"/>
    <n v="22.79"/>
    <n v="22.79"/>
    <n v="2.7347999999999999"/>
    <n v="20.059999999999999"/>
    <n v="0"/>
    <n v="0"/>
    <n v="0"/>
    <n v="0"/>
    <n v="20.059999999999999"/>
    <n v="10.029999999999999"/>
    <d v="2025-07-25T00:00:00"/>
    <d v="2025-07-25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-"/>
    <s v="Pedido 1821"/>
    <d v="2025-06-24T00:00:00"/>
    <s v="-"/>
    <s v="-"/>
    <s v="-"/>
    <n v="1"/>
    <s v="CPF 1778"/>
    <s v="Nome 1778"/>
    <s v="Tel 1778"/>
    <s v="Cep 1778"/>
    <s v="Rua 1778"/>
    <s v="Comp 1778"/>
    <x v="29"/>
    <s v="HG-2FNR-01A9"/>
    <d v="2025-07-18T00:00:00"/>
    <n v="22.79"/>
    <n v="22.79"/>
    <n v="2.7347999999999999"/>
    <n v="20.059999999999999"/>
    <n v="0"/>
    <n v="0"/>
    <n v="0"/>
    <n v="0"/>
    <n v="20.059999999999999"/>
    <n v="10.029999999999999"/>
    <d v="2025-07-25T00:00:00"/>
    <d v="2025-07-25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45835"/>
    <s v="Pedido 1822"/>
    <d v="2025-06-24T00:00:00"/>
    <d v="2025-06-27T00:00:00"/>
    <s v="PedidoF1717"/>
    <s v="CódRastreio1715"/>
    <n v="1"/>
    <s v="CPF 1779"/>
    <s v="Nome 1779"/>
    <s v="Tel 1779"/>
    <s v="Cep 1779"/>
    <s v="Rua 1779"/>
    <s v="Comp 1779"/>
    <x v="29"/>
    <s v="NQ-IMR8-W6Q4"/>
    <d v="2025-07-18T00:00:00"/>
    <n v="21.19"/>
    <n v="21.19"/>
    <n v="2.5428000000000002"/>
    <n v="18.649999999999999"/>
    <n v="10.17"/>
    <n v="0"/>
    <n v="0.39877104377104378"/>
    <n v="0"/>
    <n v="8.081228956228955"/>
    <n v="4.0406144781144775"/>
    <d v="2025-07-25T00:00:00"/>
    <d v="2025-07-25T00:00:00"/>
    <d v="2025-08-01T00:00:00"/>
    <d v="2025-08-04T00:00:00"/>
    <s v="2025 07"/>
    <s v="Aguardando Liberação"/>
    <s v="2025 06"/>
    <s v="ENTREGUE"/>
    <d v="2025-07-17T00:00:00"/>
    <s v="-"/>
    <m/>
    <n v="0"/>
    <n v="0"/>
    <n v="0"/>
    <n v="0"/>
    <n v="0"/>
  </r>
  <r>
    <s v="BV"/>
    <s v="BV45835"/>
    <s v="Pedido 1823"/>
    <d v="2025-06-24T00:00:00"/>
    <d v="2025-06-27T00:00:00"/>
    <s v="PedidoF1718"/>
    <s v="CódRastreio1716"/>
    <n v="1"/>
    <s v="CPF 1780"/>
    <s v="Nome 1780"/>
    <s v="Tel 1780"/>
    <s v="Cep 1780"/>
    <s v="Rua 1780"/>
    <s v="Comp 1780"/>
    <x v="29"/>
    <s v="NQ-IMR8-W6Q4"/>
    <d v="2025-07-19T00:00:00"/>
    <n v="21.19"/>
    <n v="21.19"/>
    <n v="2.5428000000000002"/>
    <n v="18.649999999999999"/>
    <n v="10.53"/>
    <n v="0"/>
    <n v="0.39877104377104378"/>
    <n v="0"/>
    <n v="7.7212289562289556"/>
    <n v="3.8606144781144778"/>
    <d v="2025-07-26T00:00:00"/>
    <d v="2025-07-26T00:00:00"/>
    <d v="2025-08-01T00:00:00"/>
    <d v="2025-08-04T00:00:00"/>
    <s v="2025 07"/>
    <s v="Aguardando Liberação"/>
    <s v="2025 06"/>
    <s v="ENTREGUE"/>
    <d v="2025-07-17T00:00:00"/>
    <s v="-"/>
    <m/>
    <n v="0"/>
    <n v="0"/>
    <n v="0"/>
    <n v="0"/>
    <n v="0"/>
  </r>
  <r>
    <s v="BV"/>
    <s v="BV45835"/>
    <s v="Pedido 1824"/>
    <d v="2025-06-24T00:00:00"/>
    <d v="2025-06-27T00:00:00"/>
    <s v="PedidoF1719"/>
    <s v="CódRastreio1717"/>
    <n v="1"/>
    <s v="CPF 1781"/>
    <s v="Nome 1781"/>
    <s v="Tel 1781"/>
    <s v="Cep 1781"/>
    <s v="Rua 1781"/>
    <s v="Comp 1781"/>
    <x v="29"/>
    <s v="HG-2FNR-01A9"/>
    <d v="2025-07-15T00:00:00"/>
    <n v="21.99"/>
    <n v="21.99"/>
    <n v="2.6387999999999998"/>
    <n v="19.350000000000001"/>
    <n v="10.17"/>
    <n v="0"/>
    <n v="0.39877104377104378"/>
    <n v="0"/>
    <n v="8.7812289562289578"/>
    <n v="4.3906144781144789"/>
    <d v="2025-07-22T00:00:00"/>
    <d v="2025-07-22T00:00:00"/>
    <d v="2025-08-01T00:00:00"/>
    <d v="2025-08-04T00:00:00"/>
    <s v="2025 07"/>
    <s v="Aguardando Liberação"/>
    <s v="2025 06"/>
    <s v="ENTREGUE"/>
    <d v="2025-07-14T00:00:00"/>
    <s v="-"/>
    <m/>
    <n v="0"/>
    <n v="0"/>
    <n v="0"/>
    <n v="0"/>
    <n v="0"/>
  </r>
  <r>
    <s v="BV"/>
    <s v="BV45835"/>
    <s v="Pedido 1825"/>
    <d v="2025-06-24T00:00:00"/>
    <d v="2025-06-27T00:00:00"/>
    <s v="PedidoF1720"/>
    <s v="CódRastreio1718"/>
    <n v="1"/>
    <s v="CPF 1782"/>
    <s v="Nome 1782"/>
    <s v="Tel 1782"/>
    <s v="Cep 1782"/>
    <s v="Rua 1782"/>
    <s v="Comp 1782"/>
    <x v="29"/>
    <s v="NQ-IMR8-W6Q4"/>
    <d v="2025-07-26T00:00:00"/>
    <n v="21.19"/>
    <n v="21.19"/>
    <n v="2.5428000000000002"/>
    <n v="18.649999999999999"/>
    <n v="10.17"/>
    <n v="0"/>
    <n v="0.39877104377104378"/>
    <n v="0"/>
    <n v="8.081228956228955"/>
    <n v="4.0406144781144775"/>
    <d v="2025-08-02T00:00:00"/>
    <d v="2025-08-02T00:00:00"/>
    <d v="2025-08-18T00:00:00"/>
    <d v="2025-08-19T00:00:00"/>
    <s v="2025 08"/>
    <s v="Aguardando Liberação"/>
    <s v="2025 06"/>
    <s v="ENTREGUE"/>
    <d v="2025-07-18T00:00:00"/>
    <s v="-"/>
    <m/>
    <n v="0"/>
    <n v="0"/>
    <n v="0"/>
    <n v="0"/>
    <n v="0"/>
  </r>
  <r>
    <s v="BV"/>
    <s v="BV45835"/>
    <s v="Pedido 1826"/>
    <d v="2025-06-24T00:00:00"/>
    <d v="2025-06-27T00:00:00"/>
    <s v="PedidoF1721"/>
    <s v="CódRastreio1719"/>
    <n v="1"/>
    <s v="CPF 1783"/>
    <s v="Nome 1783"/>
    <s v="Tel 1783"/>
    <s v="Cep 1783"/>
    <s v="Rua 1783"/>
    <s v="Comp 1783"/>
    <x v="29"/>
    <s v="NQ-IMR8-W6Q4"/>
    <d v="2025-07-19T00:00:00"/>
    <n v="21.19"/>
    <n v="21.19"/>
    <n v="2.5428000000000002"/>
    <n v="18.649999999999999"/>
    <n v="10.53"/>
    <n v="0"/>
    <n v="0.39877104377104378"/>
    <n v="0"/>
    <n v="7.7212289562289556"/>
    <n v="3.8606144781144778"/>
    <d v="2025-07-26T00:00:00"/>
    <d v="2025-07-26T00:00:00"/>
    <d v="2025-08-01T00:00:00"/>
    <d v="2025-08-04T00:00:00"/>
    <s v="2025 07"/>
    <s v="Aguardando Liberação"/>
    <s v="2025 06"/>
    <s v="ENTREGUE"/>
    <d v="2025-07-12T00:00:00"/>
    <s v="-"/>
    <m/>
    <n v="0"/>
    <n v="0"/>
    <n v="0"/>
    <n v="0"/>
    <n v="0"/>
  </r>
  <r>
    <s v="BV"/>
    <s v="BV-"/>
    <s v="Pedido 1827"/>
    <d v="2025-06-24T00:00:00"/>
    <s v="-"/>
    <s v="-"/>
    <s v="-"/>
    <n v="1"/>
    <s v="CPF 1784"/>
    <s v="Nome 1784"/>
    <s v="Tel 1784"/>
    <s v="Cep 1784"/>
    <s v="Rua 1784"/>
    <s v="Comp 1784"/>
    <x v="29"/>
    <s v="HG-2FNR-01A9"/>
    <d v="2025-07-15T00:00:00"/>
    <n v="21.99"/>
    <n v="21.99"/>
    <n v="2.6387999999999998"/>
    <n v="19.350000000000001"/>
    <n v="0"/>
    <n v="0"/>
    <n v="0"/>
    <n v="0"/>
    <n v="19.350000000000001"/>
    <n v="9.6750000000000007"/>
    <d v="2025-07-22T00:00:00"/>
    <d v="2025-07-22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45835"/>
    <s v="Pedido 1828"/>
    <d v="2025-06-24T00:00:00"/>
    <d v="2025-06-27T00:00:00"/>
    <s v="PedidoF1722"/>
    <s v="CódRastreio1720"/>
    <n v="1"/>
    <s v="CPF 1785"/>
    <s v="Nome 1785"/>
    <s v="Tel 1785"/>
    <s v="Cep 1785"/>
    <s v="Rua 1785"/>
    <s v="Comp 1785"/>
    <x v="29"/>
    <s v="HG-2FNR-01A9"/>
    <d v="2025-07-19T00:00:00"/>
    <n v="21.99"/>
    <n v="21.99"/>
    <n v="2.6387999999999998"/>
    <n v="19.350000000000001"/>
    <n v="10.17"/>
    <n v="0"/>
    <n v="0.39877104377104378"/>
    <n v="0"/>
    <n v="8.7812289562289578"/>
    <n v="4.3906144781144789"/>
    <d v="2025-07-26T00:00:00"/>
    <d v="2025-07-26T00:00:00"/>
    <d v="2025-08-01T00:00:00"/>
    <d v="2025-08-04T00:00:00"/>
    <s v="2025 07"/>
    <s v="Aguardando Liberação"/>
    <s v="2025 06"/>
    <s v="ENTREGUE"/>
    <d v="2025-07-15T00:00:00"/>
    <s v="-"/>
    <m/>
    <n v="0"/>
    <n v="0"/>
    <n v="0"/>
    <n v="0"/>
    <n v="0"/>
  </r>
  <r>
    <s v="BV"/>
    <s v="BV-"/>
    <s v="Pedido 1829"/>
    <d v="2025-06-24T00:00:00"/>
    <s v="-"/>
    <s v="-"/>
    <s v="-"/>
    <n v="1"/>
    <s v="CPF 1786"/>
    <s v="Nome 1786"/>
    <s v="Tel 1786"/>
    <s v="Cep 1786"/>
    <s v="Rua 1786"/>
    <s v="Comp 1786"/>
    <x v="29"/>
    <s v="HG-2FNR-01A9"/>
    <d v="2025-07-15T00:00:00"/>
    <n v="21.99"/>
    <n v="21.99"/>
    <n v="2.6387999999999998"/>
    <n v="19.350000000000001"/>
    <n v="0"/>
    <n v="0"/>
    <n v="0"/>
    <n v="0"/>
    <n v="19.350000000000001"/>
    <n v="9.6750000000000007"/>
    <d v="2025-07-22T00:00:00"/>
    <d v="2025-07-22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45835"/>
    <s v="Pedido 1830"/>
    <d v="2025-06-24T00:00:00"/>
    <d v="2025-06-27T00:00:00"/>
    <s v="PedidoF1723"/>
    <s v="CódRastreio1721"/>
    <n v="1"/>
    <s v="CPF 1787"/>
    <s v="Nome 1787"/>
    <s v="Tel 1787"/>
    <s v="Cep 1787"/>
    <s v="Rua 1787"/>
    <s v="Comp 1787"/>
    <x v="29"/>
    <s v="NQ-IMR8-W6Q4"/>
    <d v="2025-07-26T00:00:00"/>
    <n v="21.19"/>
    <n v="21.19"/>
    <n v="2.5428000000000002"/>
    <n v="18.649999999999999"/>
    <n v="16.16"/>
    <n v="0"/>
    <n v="0.39877104377104378"/>
    <n v="0"/>
    <n v="2.091228956228953"/>
    <n v="1.0456144781144765"/>
    <d v="2025-08-02T00:00:00"/>
    <d v="2025-08-02T00:00:00"/>
    <d v="2025-08-18T00:00:00"/>
    <d v="2025-08-19T00:00:00"/>
    <s v="2025 08"/>
    <s v="Aguardando Liberação"/>
    <s v="2025 06"/>
    <s v="ENTREGUE"/>
    <d v="2025-07-03T00:00:00"/>
    <s v="-"/>
    <m/>
    <n v="0"/>
    <n v="0"/>
    <n v="0"/>
    <n v="0"/>
    <n v="0"/>
  </r>
  <r>
    <s v="BV"/>
    <s v="BV45835"/>
    <s v="Pedido 1831"/>
    <d v="2025-06-24T00:00:00"/>
    <d v="2025-06-27T00:00:00"/>
    <s v="PedidoF1723"/>
    <s v="CódRastreio1721"/>
    <n v="1"/>
    <s v="CPF 1787"/>
    <s v="Nome 1787"/>
    <s v="Tel 1787"/>
    <s v="Cep 1787"/>
    <s v="Rua 1787"/>
    <s v="Comp 1787"/>
    <x v="29"/>
    <s v="NQ-IMR8-W6Q4"/>
    <d v="2025-07-26T00:00:00"/>
    <n v="21.19"/>
    <n v="21.19"/>
    <n v="2.5428000000000002"/>
    <n v="18.649999999999999"/>
    <n v="16.16"/>
    <n v="0"/>
    <n v="0.39877104377104378"/>
    <n v="0"/>
    <n v="2.091228956228953"/>
    <n v="1.0456144781144765"/>
    <d v="2025-08-02T00:00:00"/>
    <d v="2025-08-02T00:00:00"/>
    <d v="2025-08-18T00:00:00"/>
    <d v="2025-08-19T00:00:00"/>
    <s v="2025 08"/>
    <s v="Aguardando Liberação"/>
    <s v="2025 06"/>
    <s v="ENTREGUE"/>
    <d v="2025-07-03T00:00:00"/>
    <s v="-"/>
    <m/>
    <n v="0"/>
    <n v="0"/>
    <n v="0"/>
    <n v="0"/>
    <n v="0"/>
  </r>
  <r>
    <s v="BV"/>
    <s v="BV45835"/>
    <s v="Pedido 1832"/>
    <d v="2025-06-24T00:00:00"/>
    <d v="2025-06-27T00:00:00"/>
    <s v="PedidoF1724"/>
    <s v="CódRastreio1722"/>
    <n v="1"/>
    <s v="CPF 1788"/>
    <s v="Nome 1788"/>
    <s v="Tel 1788"/>
    <s v="Cep 1788"/>
    <s v="Rua 1788"/>
    <s v="Comp 1788"/>
    <x v="29"/>
    <s v="NQ-IMR8-W6Q4"/>
    <d v="2025-07-19T00:00:00"/>
    <n v="21.19"/>
    <n v="21.19"/>
    <n v="2.5428000000000002"/>
    <n v="18.649999999999999"/>
    <n v="10.17"/>
    <n v="0"/>
    <n v="0.39877104377104378"/>
    <n v="0"/>
    <n v="8.081228956228955"/>
    <n v="4.0406144781144775"/>
    <d v="2025-07-26T00:00:00"/>
    <d v="2025-07-26T00:00:00"/>
    <d v="2025-08-01T00:00:00"/>
    <d v="2025-08-04T00:00:00"/>
    <s v="2025 07"/>
    <s v="Aguardando Liberação"/>
    <s v="2025 06"/>
    <s v="ENTREGUE"/>
    <d v="2025-07-17T00:00:00"/>
    <s v="-"/>
    <m/>
    <n v="0"/>
    <n v="0"/>
    <n v="0"/>
    <n v="0"/>
    <n v="0"/>
  </r>
  <r>
    <s v="BV"/>
    <s v="BV-"/>
    <s v="Pedido 1833"/>
    <d v="2025-06-24T00:00:00"/>
    <s v="-"/>
    <s v="-"/>
    <s v="-"/>
    <n v="1"/>
    <s v="CPF 1789"/>
    <s v="Nome 1789"/>
    <s v="Tel 1789"/>
    <s v="Cep 1789"/>
    <s v="Rua 1789"/>
    <s v="Comp 1789"/>
    <x v="29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45835"/>
    <s v="Pedido 1834"/>
    <d v="2025-06-24T00:00:00"/>
    <d v="2025-06-27T00:00:00"/>
    <s v="PedidoF1725"/>
    <s v="CódRastreio1723"/>
    <n v="1"/>
    <s v="CPF 1790"/>
    <s v="Nome 1790"/>
    <s v="Tel 1790"/>
    <s v="Cep 1790"/>
    <s v="Rua 1790"/>
    <s v="Comp 1790"/>
    <x v="29"/>
    <s v="NQ-IMR8-W6Q4"/>
    <d v="2025-07-26T00:00:00"/>
    <n v="21.19"/>
    <n v="21.19"/>
    <n v="2.5428000000000002"/>
    <n v="18.649999999999999"/>
    <n v="10.17"/>
    <n v="0"/>
    <n v="0.39877104377104378"/>
    <n v="0"/>
    <n v="8.081228956228955"/>
    <n v="4.0406144781144775"/>
    <d v="2025-08-02T00:00:00"/>
    <d v="2025-08-02T00:00:00"/>
    <d v="2025-08-18T00:00:00"/>
    <d v="2025-08-19T00:00:00"/>
    <s v="2025 08"/>
    <s v="Aguardando Liberação"/>
    <s v="2025 06"/>
    <s v="ENTREGUE"/>
    <d v="2025-08-04T00:00:00"/>
    <s v="-"/>
    <m/>
    <n v="0"/>
    <n v="0"/>
    <n v="0"/>
    <n v="0"/>
    <n v="0"/>
  </r>
  <r>
    <s v="BV"/>
    <s v="BV-"/>
    <s v="Pedido 1835"/>
    <d v="2025-06-24T00:00:00"/>
    <s v="-"/>
    <s v="-"/>
    <s v="-"/>
    <n v="1"/>
    <s v="CPF 1791"/>
    <s v="Nome 1791"/>
    <s v="Tel 1791"/>
    <s v="Cep 1791"/>
    <s v="Rua 1791"/>
    <s v="Comp 1791"/>
    <x v="29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-"/>
    <s v="Pedido 1836"/>
    <d v="2025-06-24T00:00:00"/>
    <s v="-"/>
    <s v="-"/>
    <s v="-"/>
    <n v="1"/>
    <s v="CPF 1792"/>
    <s v="Nome 1792"/>
    <s v="Tel 1792"/>
    <s v="Cep 1792"/>
    <s v="Rua 1792"/>
    <s v="Comp 1792"/>
    <x v="29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-"/>
    <s v="Pedido 1837"/>
    <d v="2025-06-24T00:00:00"/>
    <s v="-"/>
    <s v="-"/>
    <s v="-"/>
    <n v="1"/>
    <s v="CPF 1793"/>
    <s v="Nome 1793"/>
    <s v="Tel 1793"/>
    <s v="Cep 1793"/>
    <s v="Rua 1793"/>
    <s v="Comp 1793"/>
    <x v="29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-"/>
    <s v="Pedido 1838"/>
    <d v="2025-06-24T00:00:00"/>
    <s v="-"/>
    <s v="-"/>
    <s v="-"/>
    <n v="1"/>
    <s v="CPF 1794"/>
    <s v="Nome 1794"/>
    <s v="Tel 1794"/>
    <s v="Cep 1794"/>
    <s v="Rua 1794"/>
    <s v="Comp 1794"/>
    <x v="29"/>
    <s v="HG-2FNR-01A9"/>
    <d v="2025-07-19T00:00:00"/>
    <n v="21.99"/>
    <n v="21.99"/>
    <n v="2.6387999999999998"/>
    <n v="19.350000000000001"/>
    <n v="0"/>
    <n v="0"/>
    <n v="0"/>
    <n v="0"/>
    <n v="19.350000000000001"/>
    <n v="9.6750000000000007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-"/>
    <s v="Pedido 1839"/>
    <d v="2025-06-25T00:00:00"/>
    <s v="-"/>
    <s v="-"/>
    <s v="-"/>
    <n v="1"/>
    <s v="CPF 1795"/>
    <s v="Nome 1795"/>
    <s v="Tel 1795"/>
    <s v="Cep 1795"/>
    <s v="Rua 1795"/>
    <s v="Comp 1795"/>
    <x v="29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-"/>
    <s v="Pedido 1840"/>
    <d v="2025-06-25T00:00:00"/>
    <s v="-"/>
    <s v="-"/>
    <s v="-"/>
    <n v="1"/>
    <s v="CPF 1796"/>
    <s v="Nome 1796"/>
    <s v="Tel 1796"/>
    <s v="Cep 1796"/>
    <s v="Rua 1796"/>
    <s v="Comp 1796"/>
    <x v="29"/>
    <s v="NQ-IMR8-W6Q4"/>
    <d v="2025-07-19T00:00:00"/>
    <n v="23.9"/>
    <n v="23.9"/>
    <n v="2.8679999999999999"/>
    <n v="21.03"/>
    <n v="0"/>
    <n v="0"/>
    <n v="0"/>
    <n v="0"/>
    <n v="21.03"/>
    <n v="10.515000000000001"/>
    <d v="2025-07-26T00:00:00"/>
    <d v="2025-07-26T00:00:00"/>
    <d v="2025-08-01T00:00:00"/>
    <d v="2025-08-04T00:00:00"/>
    <s v="2025 07"/>
    <s v="Aguardando Liberação"/>
    <s v="- -"/>
    <s v="-"/>
    <s v="-"/>
    <s v="-"/>
    <m/>
    <n v="0"/>
    <n v="0"/>
    <n v="0"/>
    <n v="0"/>
    <n v="0"/>
  </r>
  <r>
    <s v="BV"/>
    <s v="BV45839"/>
    <s v="Pedido 1841"/>
    <d v="2025-06-25T00:00:00"/>
    <d v="2025-07-01T00:00:00"/>
    <s v="PedidoF1726"/>
    <s v="CódRastreio1724"/>
    <n v="1"/>
    <s v="CPF 1797"/>
    <s v="Nome 1797"/>
    <s v="Tel 1797"/>
    <s v="Cep 1797"/>
    <s v="Rua 1797"/>
    <s v="Comp 1797"/>
    <x v="29"/>
    <s v="HG-2FNR-01A9"/>
    <d v="2025-07-22T00:00:00"/>
    <n v="23.9"/>
    <n v="23.9"/>
    <n v="2.8679999999999999"/>
    <n v="21.03"/>
    <n v="0"/>
    <n v="0"/>
    <n v="0.39877104377104378"/>
    <n v="0"/>
    <n v="20.631228956228956"/>
    <n v="10.315614478114478"/>
    <d v="2025-07-29T00:00:00"/>
    <d v="2025-07-29T00:00:00"/>
    <d v="2025-08-01T00:00:00"/>
    <d v="2025-08-04T00:00:00"/>
    <s v="2025 07"/>
    <s v="Aguardando Liberação"/>
    <s v="2025 07"/>
    <s v="ENTREGUE"/>
    <d v="2025-07-29T00:00:00"/>
    <s v="-"/>
    <m/>
    <n v="0"/>
    <n v="0"/>
    <n v="0"/>
    <n v="0"/>
    <n v="0"/>
  </r>
  <r>
    <s v="BV"/>
    <s v="BV45839"/>
    <s v="Pedido 1842"/>
    <d v="2025-06-25T00:00:00"/>
    <d v="2025-07-01T00:00:00"/>
    <s v="PedidoF1727"/>
    <s v="CódRastreio1725"/>
    <n v="1"/>
    <s v="CPF 1798"/>
    <s v="Nome 1798"/>
    <s v="Tel 1798"/>
    <s v="Cep 1798"/>
    <s v="Rua 1798"/>
    <s v="Comp 1798"/>
    <x v="29"/>
    <s v="HG-2FNR-01A9"/>
    <d v="2025-07-16T00:00:00"/>
    <n v="21.99"/>
    <n v="21.99"/>
    <n v="2.6387999999999998"/>
    <n v="19.350000000000001"/>
    <n v="10.15"/>
    <n v="0"/>
    <n v="0.39877104377104378"/>
    <n v="0"/>
    <n v="8.8012289562289574"/>
    <n v="4.4006144781144787"/>
    <d v="2025-07-23T00:00:00"/>
    <d v="2025-07-23T00:00:00"/>
    <d v="2025-08-01T00:00:00"/>
    <d v="2025-08-04T00:00:00"/>
    <s v="2025 07"/>
    <s v="Aguardando Liberação"/>
    <s v="2025 07"/>
    <s v="ENTREGUE"/>
    <d v="2025-08-01T00:00:00"/>
    <s v="-"/>
    <m/>
    <n v="0"/>
    <n v="0"/>
    <n v="0"/>
    <n v="0"/>
    <n v="0"/>
  </r>
  <r>
    <s v="BV"/>
    <s v="BV45839"/>
    <s v="Pedido 1843"/>
    <d v="2025-06-25T00:00:00"/>
    <d v="2025-07-01T00:00:00"/>
    <s v="PedidoF1728"/>
    <s v="CódRastreio1726"/>
    <n v="1"/>
    <s v="CPF 1799"/>
    <s v="Nome 1799"/>
    <s v="Tel 1799"/>
    <s v="Cep 1799"/>
    <s v="Rua 1799"/>
    <s v="Comp 1799"/>
    <x v="29"/>
    <s v="NQ-IMR8-W6Q4"/>
    <d v="2025-07-22T00:00:00"/>
    <n v="23.9"/>
    <n v="23.9"/>
    <n v="2.8679999999999999"/>
    <n v="21.03"/>
    <n v="0"/>
    <n v="0"/>
    <n v="0.39877104377104378"/>
    <n v="0"/>
    <n v="20.631228956228956"/>
    <n v="10.315614478114478"/>
    <d v="2025-07-29T00:00:00"/>
    <d v="2025-07-29T00:00:00"/>
    <d v="2025-08-01T00:00:00"/>
    <d v="2025-08-04T00:00:00"/>
    <s v="2025 07"/>
    <s v="Aguardando Liberação"/>
    <s v="2025 07"/>
    <s v="ENTREGUE"/>
    <d v="2025-07-15T00:00:00"/>
    <s v="-"/>
    <m/>
    <n v="0"/>
    <n v="0"/>
    <n v="0"/>
    <n v="0"/>
    <n v="0"/>
  </r>
  <r>
    <s v="BV"/>
    <s v="BV45841"/>
    <s v="Pedido 1844"/>
    <d v="2025-06-26T00:00:00"/>
    <d v="2025-07-03T00:00:00"/>
    <s v="PedidoF1729"/>
    <s v="CódRastreio1727"/>
    <n v="1"/>
    <s v="CPF 1800"/>
    <s v="Nome 1800"/>
    <s v="Tel 1800"/>
    <s v="Cep 1800"/>
    <s v="Rua 1800"/>
    <s v="Comp 1800"/>
    <x v="29"/>
    <s v="HG-2FNR-01A9"/>
    <d v="2025-07-23T00:00:00"/>
    <n v="23.9"/>
    <n v="23.9"/>
    <n v="2.8679999999999999"/>
    <n v="21.03"/>
    <n v="17.14"/>
    <n v="0"/>
    <n v="0.39877104377104378"/>
    <n v="0"/>
    <n v="3.4912289562289551"/>
    <n v="1.7456144781144776"/>
    <d v="2025-07-30T00:00:00"/>
    <d v="2025-07-30T00:00:00"/>
    <d v="2025-08-01T00:00:00"/>
    <d v="2025-08-04T00:00:00"/>
    <s v="2025 07"/>
    <s v="Aguardando Liberação"/>
    <s v="2025 07"/>
    <s v="ENTREGUE"/>
    <d v="2025-08-01T00:00:00"/>
    <s v="-"/>
    <m/>
    <n v="0"/>
    <n v="0"/>
    <n v="0"/>
    <n v="0"/>
    <n v="0"/>
  </r>
  <r>
    <s v="BV"/>
    <s v="BV45839"/>
    <s v="Pedido 1845"/>
    <d v="2025-06-26T00:00:00"/>
    <d v="2025-07-01T00:00:00"/>
    <s v="PedidoF1730"/>
    <s v="CódRastreio1728"/>
    <n v="1"/>
    <s v="CPF 1801"/>
    <s v="Nome 1801"/>
    <s v="Tel 1801"/>
    <s v="Cep 1801"/>
    <s v="Rua 1801"/>
    <s v="Comp 1801"/>
    <x v="29"/>
    <s v="HG-2FNR-01A9"/>
    <d v="2025-07-30T00:00:00"/>
    <n v="23.9"/>
    <n v="23.9"/>
    <n v="2.8679999999999999"/>
    <n v="21.03"/>
    <n v="10.15"/>
    <n v="0"/>
    <n v="0.39877104377104378"/>
    <n v="0"/>
    <n v="10.481228956228957"/>
    <n v="5.2406144781144786"/>
    <d v="2025-08-06T00:00:00"/>
    <d v="2025-08-06T00:00:00"/>
    <d v="2025-08-18T00:00:00"/>
    <d v="2025-08-19T00:00:00"/>
    <s v="2025 08"/>
    <s v="Aguardando Liberação"/>
    <s v="2025 07"/>
    <s v="ENTREGUE"/>
    <d v="2025-07-18T00:00:00"/>
    <s v="-"/>
    <m/>
    <n v="0"/>
    <n v="0"/>
    <n v="0"/>
    <n v="0"/>
    <n v="0"/>
  </r>
  <r>
    <s v="BV"/>
    <s v="BV45841"/>
    <s v="Pedido 1846"/>
    <d v="2025-06-28T00:00:00"/>
    <d v="2025-07-03T00:00:00"/>
    <s v="PedidoF1731"/>
    <s v="CódRastreio1729"/>
    <n v="1"/>
    <s v="CPF 1802"/>
    <s v="Nome 1802"/>
    <s v="Tel 1802"/>
    <s v="Cep 1802"/>
    <s v="Rua 1802"/>
    <s v="Comp 1802"/>
    <x v="29"/>
    <s v="NQ-IMR8-W6Q4"/>
    <d v="2025-07-24T00:00:00"/>
    <n v="23.9"/>
    <n v="23.9"/>
    <n v="2.8679999999999999"/>
    <n v="21.03"/>
    <n v="17.8"/>
    <n v="0"/>
    <n v="0.39877104377104378"/>
    <n v="0"/>
    <n v="2.831228956228955"/>
    <n v="1.4156144781144775"/>
    <d v="2025-07-31T00:00:00"/>
    <d v="2025-07-31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1"/>
    <s v="Pedido 1847"/>
    <d v="2025-06-29T00:00:00"/>
    <d v="2025-07-03T00:00:00"/>
    <s v="PedidoF1732"/>
    <s v="CódRastreio1730"/>
    <n v="1"/>
    <s v="CPF 1803"/>
    <s v="Nome 1803"/>
    <s v="Tel 1803"/>
    <s v="Cep 1803"/>
    <s v="Rua 1803"/>
    <s v="Comp 1803"/>
    <x v="29"/>
    <s v="HG-2FNR-01A9"/>
    <d v="2025-07-25T00:00:00"/>
    <n v="23"/>
    <n v="23"/>
    <n v="2.76"/>
    <n v="20.239999999999998"/>
    <n v="16.78"/>
    <n v="0"/>
    <n v="0.39877104377104378"/>
    <n v="0"/>
    <n v="3.0612289562289519"/>
    <n v="1.5306144781144759"/>
    <d v="2025-08-01T00:00:00"/>
    <d v="2025-08-01T00:00:00"/>
    <d v="2025-08-01T00:00:00"/>
    <d v="2025-08-04T00:00:00"/>
    <s v="2025 08"/>
    <s v="Aguardando Liberação"/>
    <s v="2025 07"/>
    <s v="ENTREGUE"/>
    <d v="2025-07-10T00:00:00"/>
    <s v="-"/>
    <m/>
    <n v="0"/>
    <n v="0"/>
    <n v="0"/>
    <n v="0"/>
    <n v="0"/>
  </r>
  <r>
    <s v="BV"/>
    <s v="BV45839"/>
    <s v="Pedido 1848"/>
    <d v="2025-07-01T00:00:00"/>
    <d v="2025-07-01T00:00:00"/>
    <s v="PedidoF1733"/>
    <s v="CódRastreio1731"/>
    <n v="1"/>
    <s v="CPF 1804"/>
    <s v="Nome 1804"/>
    <s v="Tel 1804"/>
    <s v="Cep 1804"/>
    <s v="Rua 1804"/>
    <s v="Comp 1804"/>
    <x v="29"/>
    <s v="HG-2FNR-01A9"/>
    <d v="2025-07-25T00:00:00"/>
    <n v="23"/>
    <n v="23"/>
    <n v="2.76"/>
    <n v="20.239999999999998"/>
    <n v="10.51"/>
    <n v="0"/>
    <n v="0.39877104377104378"/>
    <n v="0"/>
    <n v="9.331228956228955"/>
    <n v="4.6656144781144775"/>
    <d v="2025-08-01T00:00:00"/>
    <d v="2025-08-01T00:00:00"/>
    <d v="2025-08-01T00:00:00"/>
    <d v="2025-08-04T00:00:00"/>
    <s v="2025 08"/>
    <s v="Aguardando Liberação"/>
    <s v="2025 07"/>
    <s v="ENTREGUE"/>
    <d v="2025-07-15T00:00:00"/>
    <s v="-"/>
    <m/>
    <n v="0"/>
    <n v="0"/>
    <n v="0"/>
    <n v="0"/>
    <n v="0"/>
  </r>
  <r>
    <s v="BV"/>
    <s v="BV45841"/>
    <s v="Pedido 1849"/>
    <d v="2025-07-01T00:00:00"/>
    <d v="2025-07-03T00:00:00"/>
    <s v="PedidoF1734"/>
    <s v="CódRastreio1732"/>
    <n v="1"/>
    <s v="CPF 1805"/>
    <s v="Nome 1805"/>
    <s v="Tel 1805"/>
    <s v="Cep 1805"/>
    <s v="Rua 1805"/>
    <s v="Comp 1805"/>
    <x v="29"/>
    <s v="HG-2FNR-01A9"/>
    <d v="2025-07-25T00:00:00"/>
    <n v="23"/>
    <n v="23"/>
    <n v="2.76"/>
    <n v="20.239999999999998"/>
    <n v="17.89"/>
    <n v="0"/>
    <n v="0.39877104377104378"/>
    <n v="0"/>
    <n v="1.9512289562289524"/>
    <n v="0.97561447811447621"/>
    <d v="2025-08-01T00:00:00"/>
    <d v="2025-08-01T00:00:00"/>
    <d v="2025-08-01T00:00:00"/>
    <d v="2025-08-04T00:00:00"/>
    <s v="2025 08"/>
    <s v="Aguardando Liberação"/>
    <s v="2025 07"/>
    <s v="ENTREGUE"/>
    <d v="2025-07-09T00:00:00"/>
    <s v="-"/>
    <m/>
    <n v="0"/>
    <n v="0"/>
    <n v="0"/>
    <n v="0"/>
    <n v="0"/>
  </r>
  <r>
    <s v="BV"/>
    <s v="BV45839"/>
    <s v="Pedido 1850"/>
    <d v="2025-07-01T00:00:00"/>
    <d v="2025-07-01T00:00:00"/>
    <s v="PedidoF1735"/>
    <s v="CódRastreio1733"/>
    <n v="1"/>
    <s v="CPF 1806"/>
    <s v="Nome 1806"/>
    <s v="Tel 1806"/>
    <s v="Cep 1806"/>
    <s v="Rua 1806"/>
    <s v="Comp 1806"/>
    <x v="29"/>
    <s v="HG-2FNR-01A9"/>
    <d v="2025-07-19T00:00:00"/>
    <n v="23"/>
    <n v="23"/>
    <n v="2.76"/>
    <n v="20.239999999999998"/>
    <n v="10.15"/>
    <n v="0"/>
    <n v="0.39877104377104378"/>
    <n v="0"/>
    <n v="9.6912289562289544"/>
    <n v="4.8456144781144772"/>
    <d v="2025-07-26T00:00:00"/>
    <d v="2025-07-26T00:00:00"/>
    <d v="2025-08-01T00:00:00"/>
    <d v="2025-08-04T00:00:00"/>
    <s v="2025 07"/>
    <s v="Aguardando Liberação"/>
    <s v="2025 07"/>
    <s v="ENTREGUE"/>
    <d v="2025-07-14T00:00:00"/>
    <s v="-"/>
    <m/>
    <n v="0"/>
    <n v="0"/>
    <n v="0"/>
    <n v="0"/>
    <n v="0"/>
  </r>
  <r>
    <s v="BV"/>
    <s v="BV45841"/>
    <s v="Pedido 1851"/>
    <d v="2025-07-01T00:00:00"/>
    <d v="2025-07-03T00:00:00"/>
    <s v="PedidoF1736"/>
    <s v="CódRastreio1734"/>
    <n v="1"/>
    <s v="CPF 1807"/>
    <s v="Nome 1807"/>
    <s v="Tel 1807"/>
    <s v="Cep 1807"/>
    <s v="Rua 1807"/>
    <s v="Comp 1807"/>
    <x v="29"/>
    <s v="HG-2FNR-01A9"/>
    <d v="2025-07-25T00:00:00"/>
    <n v="23"/>
    <n v="23"/>
    <n v="2.76"/>
    <n v="20.239999999999998"/>
    <n v="20.49"/>
    <n v="0"/>
    <n v="0.39877104377104378"/>
    <n v="0"/>
    <n v="-0.64877104377104544"/>
    <n v="-0.32438552188552272"/>
    <d v="2025-08-01T00:00:00"/>
    <d v="2025-08-01T00:00:00"/>
    <d v="2025-08-01T00:00:00"/>
    <d v="2025-08-04T00:00:00"/>
    <s v="2025 08"/>
    <s v="Aguardando Liberação"/>
    <s v="2025 07"/>
    <s v="ENTREGUE"/>
    <d v="2025-07-11T00:00:00"/>
    <s v="-"/>
    <m/>
    <n v="0"/>
    <n v="0"/>
    <n v="0"/>
    <n v="0"/>
    <n v="0"/>
  </r>
  <r>
    <s v="BV"/>
    <s v="BV45841"/>
    <s v="Pedido 1852"/>
    <d v="2025-07-01T00:00:00"/>
    <d v="2025-07-03T00:00:00"/>
    <s v="PedidoF1737"/>
    <s v="CódRastreio1735"/>
    <n v="1"/>
    <s v="CPF 1808"/>
    <s v="Nome 1808"/>
    <s v="Tel 1808"/>
    <s v="Cep 1808"/>
    <s v="Rua 1808"/>
    <s v="Comp 1808"/>
    <x v="29"/>
    <s v="HG-2FNR-01A9"/>
    <d v="2025-07-26T00:00:00"/>
    <n v="23"/>
    <n v="23"/>
    <n v="2.76"/>
    <n v="20.239999999999998"/>
    <n v="14.9"/>
    <n v="0"/>
    <n v="0.39877104377104378"/>
    <n v="0"/>
    <n v="4.9412289562289544"/>
    <n v="2.4706144781144772"/>
    <d v="2025-08-02T00:00:00"/>
    <d v="2025-08-02T00:00:00"/>
    <d v="2025-08-18T00:00:00"/>
    <d v="2025-08-19T00:00:00"/>
    <s v="2025 08"/>
    <s v="Aguardando Liberação"/>
    <s v="2025 07"/>
    <s v="ENTREGUE"/>
    <d v="2025-07-10T00:00:00"/>
    <s v="-"/>
    <m/>
    <n v="0"/>
    <n v="0"/>
    <n v="0"/>
    <n v="0"/>
    <n v="0"/>
  </r>
  <r>
    <s v="BV"/>
    <s v="BV45841"/>
    <s v="Pedido 1853"/>
    <d v="2025-07-01T00:00:00"/>
    <d v="2025-07-03T00:00:00"/>
    <s v="PedidoF1738"/>
    <s v="CódRastreio1736"/>
    <n v="1"/>
    <s v="CPF 1809"/>
    <s v="Nome 1809"/>
    <s v="Tel 1809"/>
    <s v="Cep 1809"/>
    <s v="Rua 1809"/>
    <s v="Comp 1809"/>
    <x v="29"/>
    <s v="HG-2FNR-01A9"/>
    <d v="2025-07-26T00:00:00"/>
    <n v="23"/>
    <n v="23"/>
    <n v="2.76"/>
    <n v="20.239999999999998"/>
    <n v="15.65"/>
    <n v="0"/>
    <n v="0.39877104377104378"/>
    <n v="0"/>
    <n v="4.1912289562289544"/>
    <n v="2.0956144781144772"/>
    <d v="2025-08-02T00:00:00"/>
    <d v="2025-08-02T00:00:00"/>
    <d v="2025-08-18T00:00:00"/>
    <d v="2025-08-19T00:00:00"/>
    <s v="2025 08"/>
    <s v="Aguardando Liberação"/>
    <s v="2025 07"/>
    <s v="ENTREGUE"/>
    <d v="2025-07-08T00:00:00"/>
    <s v="-"/>
    <m/>
    <n v="0"/>
    <n v="0"/>
    <n v="0"/>
    <n v="0"/>
    <n v="0"/>
  </r>
  <r>
    <s v="BV"/>
    <s v="BV45841"/>
    <s v="Pedido 1854"/>
    <d v="2025-07-01T00:00:00"/>
    <d v="2025-07-03T00:00:00"/>
    <s v="PedidoF1739"/>
    <s v="CódRastreio1737"/>
    <n v="1"/>
    <s v="CPF 1810"/>
    <s v="Nome 1810"/>
    <s v="Tel 1810"/>
    <s v="Cep 1810"/>
    <s v="Rua 1810"/>
    <s v="Comp 1810"/>
    <x v="29"/>
    <s v="HG-2FNR-01A9"/>
    <d v="2025-07-26T00:00:00"/>
    <n v="23"/>
    <n v="23"/>
    <n v="2.76"/>
    <n v="20.239999999999998"/>
    <n v="21.5"/>
    <n v="0"/>
    <n v="0.39877104377104378"/>
    <n v="0"/>
    <n v="-1.658771043771047"/>
    <n v="-0.8293855218855235"/>
    <d v="2025-08-02T00:00:00"/>
    <d v="2025-08-02T00:00:00"/>
    <d v="2025-08-18T00:00:00"/>
    <d v="2025-08-19T00:00:00"/>
    <s v="2025 08"/>
    <s v="Aguardando Liberação"/>
    <s v="2025 07"/>
    <s v="ENTREGUE"/>
    <d v="2025-07-12T00:00:00"/>
    <s v="-"/>
    <m/>
    <n v="0"/>
    <n v="0"/>
    <n v="0"/>
    <n v="0"/>
    <n v="0"/>
  </r>
  <r>
    <s v="BV"/>
    <s v="BV45841"/>
    <s v="Pedido 1855"/>
    <d v="2025-07-01T00:00:00"/>
    <d v="2025-07-03T00:00:00"/>
    <s v="PedidoF1740"/>
    <s v="CódRastreio1738"/>
    <n v="1"/>
    <s v="CPF 1811"/>
    <s v="Nome 1811"/>
    <s v="Tel 1811"/>
    <s v="Cep 1811"/>
    <s v="Rua 1811"/>
    <s v="Comp 1811"/>
    <x v="29"/>
    <s v="HG-2FNR-01A9"/>
    <d v="2025-07-22T00:00:00"/>
    <n v="23"/>
    <n v="23"/>
    <n v="2.76"/>
    <n v="20.239999999999998"/>
    <n v="14.9"/>
    <n v="0"/>
    <n v="0.39877104377104378"/>
    <n v="0"/>
    <n v="4.9412289562289544"/>
    <n v="2.4706144781144772"/>
    <d v="2025-07-29T00:00:00"/>
    <d v="2025-07-29T00:00:00"/>
    <d v="2025-08-01T00:00:00"/>
    <d v="2025-08-04T00:00:00"/>
    <s v="2025 07"/>
    <s v="Aguardando Liberação"/>
    <s v="2025 07"/>
    <s v="ENTREGUE"/>
    <d v="2025-07-07T00:00:00"/>
    <s v="-"/>
    <m/>
    <n v="0"/>
    <n v="0"/>
    <n v="0"/>
    <n v="0"/>
    <n v="0"/>
  </r>
  <r>
    <s v="BV"/>
    <s v="BV45841"/>
    <s v="Pedido 1856"/>
    <d v="2025-07-01T00:00:00"/>
    <d v="2025-07-03T00:00:00"/>
    <s v="PedidoF1741"/>
    <s v="CódRastreio1739"/>
    <n v="1"/>
    <s v="CPF 1812"/>
    <s v="Nome 1812"/>
    <s v="Tel 1812"/>
    <s v="Cep 1812"/>
    <s v="Rua 1812"/>
    <s v="Comp 1812"/>
    <x v="29"/>
    <s v="HG-2FNR-01A9"/>
    <d v="2025-07-22T00:00:00"/>
    <n v="23"/>
    <n v="23"/>
    <n v="2.76"/>
    <n v="20.239999999999998"/>
    <n v="14.9"/>
    <n v="0"/>
    <n v="0.39877104377104378"/>
    <n v="0"/>
    <n v="4.9412289562289544"/>
    <n v="2.4706144781144772"/>
    <d v="2025-07-29T00:00:00"/>
    <d v="2025-07-29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1"/>
    <s v="Pedido 1857"/>
    <d v="2025-07-01T00:00:00"/>
    <d v="2025-07-03T00:00:00"/>
    <s v="PedidoF1742"/>
    <s v="CódRastreio1740"/>
    <n v="1"/>
    <s v="CPF 1813"/>
    <s v="Nome 1813"/>
    <s v="Tel 1813"/>
    <s v="Cep 1813"/>
    <s v="Rua 1813"/>
    <s v="Comp 1813"/>
    <x v="29"/>
    <s v="HG-2FNR-01A9"/>
    <d v="2025-07-26T00:00:00"/>
    <n v="23"/>
    <n v="23"/>
    <n v="2.76"/>
    <n v="20.239999999999998"/>
    <n v="23.73"/>
    <n v="0"/>
    <n v="0.39877104377104378"/>
    <n v="0"/>
    <n v="-3.8887710437710474"/>
    <n v="-1.9443855218855237"/>
    <d v="2025-08-02T00:00:00"/>
    <d v="2025-08-02T00:00:00"/>
    <d v="2025-08-18T00:00:00"/>
    <d v="2025-08-19T00:00:00"/>
    <s v="2025 08"/>
    <s v="Aguardando Liberação"/>
    <s v="2025 07"/>
    <s v="EM TRÂNSITO"/>
    <s v="-"/>
    <s v="-"/>
    <m/>
    <n v="0"/>
    <n v="0"/>
    <n v="0"/>
    <n v="0"/>
    <n v="0"/>
  </r>
  <r>
    <s v="BV"/>
    <s v="BV45841"/>
    <s v="Pedido 1858"/>
    <d v="2025-07-01T00:00:00"/>
    <d v="2025-07-03T00:00:00"/>
    <s v="PedidoF1743"/>
    <s v="CódRastreio1741"/>
    <n v="1"/>
    <s v="CPF 1814"/>
    <s v="Nome 1814"/>
    <s v="Tel 1814"/>
    <s v="Cep 1814"/>
    <s v="Rua 1814"/>
    <s v="Comp 1814"/>
    <x v="29"/>
    <s v="HG-2FNR-01A9"/>
    <d v="2025-07-26T00:00:00"/>
    <n v="23"/>
    <n v="23"/>
    <n v="2.76"/>
    <n v="20.239999999999998"/>
    <n v="14.9"/>
    <n v="0"/>
    <n v="0.39877104377104378"/>
    <n v="0"/>
    <n v="4.9412289562289544"/>
    <n v="2.4706144781144772"/>
    <d v="2025-08-02T00:00:00"/>
    <d v="2025-08-02T00:00:00"/>
    <d v="2025-08-18T00:00:00"/>
    <d v="2025-08-19T00:00:00"/>
    <s v="2025 08"/>
    <s v="Aguardando Liberação"/>
    <s v="2025 07"/>
    <s v="ENTREGUE"/>
    <d v="2025-07-07T00:00:00"/>
    <s v="-"/>
    <m/>
    <n v="0"/>
    <n v="0"/>
    <n v="0"/>
    <n v="0"/>
    <n v="0"/>
  </r>
  <r>
    <s v="BV"/>
    <s v="BV45841"/>
    <s v="Pedido 1859"/>
    <d v="2025-07-01T00:00:00"/>
    <d v="2025-07-03T00:00:00"/>
    <s v="PedidoF1744"/>
    <s v="CódRastreio1742"/>
    <n v="1"/>
    <s v="CPF 1815"/>
    <s v="Nome 1815"/>
    <s v="Tel 1815"/>
    <s v="Cep 1815"/>
    <s v="Rua 1815"/>
    <s v="Comp 1815"/>
    <x v="29"/>
    <s v="HG-2FNR-01A9"/>
    <d v="2025-07-26T00:00:00"/>
    <n v="23"/>
    <n v="23"/>
    <n v="2.76"/>
    <n v="20.239999999999998"/>
    <n v="14.9"/>
    <n v="0"/>
    <n v="0.39877104377104378"/>
    <n v="0"/>
    <n v="4.9412289562289544"/>
    <n v="2.4706144781144772"/>
    <d v="2025-08-02T00:00:00"/>
    <d v="2025-08-02T00:00:00"/>
    <d v="2025-08-18T00:00:00"/>
    <d v="2025-08-19T00:00:00"/>
    <s v="2025 08"/>
    <s v="Aguardando Liberação"/>
    <s v="2025 07"/>
    <s v="ENTREGUE"/>
    <d v="2025-07-14T00:00:00"/>
    <s v="-"/>
    <m/>
    <n v="0"/>
    <n v="0"/>
    <n v="0"/>
    <n v="0"/>
    <n v="0"/>
  </r>
  <r>
    <s v="BV"/>
    <s v="BV45841"/>
    <s v="Pedido 1860"/>
    <d v="2025-07-02T00:00:00"/>
    <d v="2025-07-03T00:00:00"/>
    <s v="PedidoF1745"/>
    <s v="CódRastreio1743"/>
    <n v="1"/>
    <s v="CPF 1816"/>
    <s v="Nome 1816"/>
    <s v="Tel 1816"/>
    <s v="Cep 1816"/>
    <s v="Rua 1816"/>
    <s v="Comp 1816"/>
    <x v="29"/>
    <s v="HG-2FNR-01A9"/>
    <d v="2025-07-29T00:00:00"/>
    <n v="23"/>
    <n v="23"/>
    <n v="2.76"/>
    <n v="20.239999999999998"/>
    <n v="14.9"/>
    <n v="0"/>
    <n v="0.39877104377104378"/>
    <n v="0"/>
    <n v="4.9412289562289544"/>
    <n v="2.4706144781144772"/>
    <d v="2025-08-05T00:00:00"/>
    <d v="2025-08-05T00:00:00"/>
    <d v="2025-08-18T00:00:00"/>
    <d v="2025-08-19T00:00:00"/>
    <s v="2025 08"/>
    <s v="Aguardando Liberação"/>
    <s v="2025 07"/>
    <s v="ENTREGUE"/>
    <d v="2025-07-09T00:00:00"/>
    <s v="-"/>
    <m/>
    <n v="0"/>
    <n v="0"/>
    <n v="0"/>
    <n v="0"/>
    <n v="0"/>
  </r>
  <r>
    <s v="BV"/>
    <s v="BV45841"/>
    <s v="Pedido 1861"/>
    <d v="2025-07-02T00:00:00"/>
    <d v="2025-07-03T00:00:00"/>
    <s v="PedidoF1746"/>
    <s v="CódRastreio1744"/>
    <n v="1"/>
    <s v="CPF 1817"/>
    <s v="Nome 1817"/>
    <s v="Tel 1817"/>
    <s v="Cep 1817"/>
    <s v="Rua 1817"/>
    <s v="Comp 1817"/>
    <x v="29"/>
    <s v="HG-2FNR-01A9"/>
    <d v="2025-07-29T00:00:00"/>
    <n v="23"/>
    <n v="23"/>
    <n v="2.76"/>
    <n v="20.239999999999998"/>
    <n v="15.68"/>
    <n v="0"/>
    <n v="0.39877104377104378"/>
    <n v="0"/>
    <n v="4.1612289562289533"/>
    <n v="2.0806144781144766"/>
    <d v="2025-08-05T00:00:00"/>
    <d v="2025-08-05T00:00:00"/>
    <d v="2025-08-18T00:00:00"/>
    <d v="2025-08-19T00:00:00"/>
    <s v="2025 08"/>
    <s v="Aguardando Liberação"/>
    <s v="2025 07"/>
    <s v="ENTREGUE"/>
    <d v="2025-07-07T00:00:00"/>
    <s v="-"/>
    <m/>
    <n v="0"/>
    <n v="0"/>
    <n v="0"/>
    <n v="0"/>
    <n v="0"/>
  </r>
  <r>
    <s v="BV"/>
    <s v="BV45841"/>
    <s v="Pedido 1862"/>
    <d v="2025-07-03T00:00:00"/>
    <d v="2025-07-03T00:00:00"/>
    <s v="PedidoF1747"/>
    <s v="CódRastreio1745"/>
    <n v="1"/>
    <s v="CPF 1818"/>
    <s v="Nome 1818"/>
    <s v="Tel 1818"/>
    <s v="Cep 1818"/>
    <s v="Rua 1818"/>
    <s v="Comp 1818"/>
    <x v="29"/>
    <s v="HG-2FNR-01A9"/>
    <d v="2025-07-23T00:00:00"/>
    <n v="23"/>
    <n v="23"/>
    <n v="2.76"/>
    <n v="20.239999999999998"/>
    <n v="14.9"/>
    <n v="0"/>
    <n v="0.39877104377104378"/>
    <n v="0"/>
    <n v="4.9412289562289544"/>
    <n v="2.4706144781144772"/>
    <d v="2025-07-30T00:00:00"/>
    <d v="2025-07-30T00:00:00"/>
    <d v="2025-08-01T00:00:00"/>
    <d v="2025-08-04T00:00:00"/>
    <s v="2025 07"/>
    <s v="Aguardando Liberação"/>
    <s v="2025 07"/>
    <s v="ENTREGUE"/>
    <d v="2025-07-08T00:00:00"/>
    <s v="-"/>
    <m/>
    <n v="0"/>
    <n v="0"/>
    <n v="0"/>
    <n v="0"/>
    <n v="0"/>
  </r>
  <r>
    <s v="BV"/>
    <s v="BV45841"/>
    <s v="Pedido 1863"/>
    <d v="2025-07-03T00:00:00"/>
    <d v="2025-07-03T00:00:00"/>
    <s v="PedidoF1748"/>
    <s v="CódRastreio1746"/>
    <n v="1"/>
    <s v="CPF 1819"/>
    <s v="Nome 1819"/>
    <s v="Tel 1819"/>
    <s v="Cep 1819"/>
    <s v="Rua 1819"/>
    <s v="Comp 1819"/>
    <x v="29"/>
    <s v="HG-2FNR-01A9"/>
    <d v="2025-07-23T00:00:00"/>
    <n v="23"/>
    <n v="23"/>
    <n v="2.76"/>
    <n v="20.239999999999998"/>
    <n v="14.9"/>
    <n v="0"/>
    <n v="0.39877104377104378"/>
    <n v="0"/>
    <n v="4.9412289562289544"/>
    <n v="2.4706144781144772"/>
    <d v="2025-07-30T00:00:00"/>
    <d v="2025-07-30T00:00:00"/>
    <d v="2025-08-01T00:00:00"/>
    <d v="2025-08-04T00:00:00"/>
    <s v="2025 07"/>
    <s v="Aguardando Liberação"/>
    <s v="2025 07"/>
    <s v="ENTREGUE"/>
    <d v="2025-07-07T00:00:00"/>
    <s v="-"/>
    <m/>
    <n v="0"/>
    <n v="0"/>
    <n v="0"/>
    <n v="0"/>
    <n v="0"/>
  </r>
  <r>
    <s v="BV"/>
    <s v="BV45841"/>
    <s v="Pedido 1864"/>
    <d v="2025-07-03T00:00:00"/>
    <d v="2025-07-03T00:00:00"/>
    <s v="PedidoF1749"/>
    <s v="CódRastreio1747"/>
    <n v="1"/>
    <s v="CPF 1820"/>
    <s v="Nome 1820"/>
    <s v="Tel 1820"/>
    <s v="Cep 1820"/>
    <s v="Rua 1820"/>
    <s v="Comp 1820"/>
    <x v="29"/>
    <s v="HG-2FNR-01A9"/>
    <d v="2025-08-06T00:00:00"/>
    <n v="23"/>
    <n v="23"/>
    <n v="2.76"/>
    <n v="20.239999999999998"/>
    <n v="19.27"/>
    <n v="0"/>
    <n v="0.39877104377104378"/>
    <n v="0"/>
    <n v="0.57122895622895342"/>
    <n v="0.28561447811447671"/>
    <d v="2025-08-13T00:00:00"/>
    <d v="2025-08-13T00:00:00"/>
    <d v="2025-08-18T00:00:00"/>
    <d v="2025-08-19T00:00:00"/>
    <s v="2025 08"/>
    <s v="Aguardando Liberação"/>
    <s v="2025 07"/>
    <s v="ENTREGUE"/>
    <d v="2025-07-05T00:00:00"/>
    <s v="-"/>
    <m/>
    <n v="0"/>
    <n v="0"/>
    <n v="0"/>
    <n v="0"/>
    <n v="0"/>
  </r>
  <r>
    <s v="BV"/>
    <s v="BV45845"/>
    <s v="Pedido 1865"/>
    <d v="2025-07-05T00:00:00"/>
    <d v="2025-07-07T00:00:00"/>
    <s v="PedidoF1750"/>
    <s v="CódRastreio1748"/>
    <n v="1"/>
    <s v="CPF 1821"/>
    <s v="Nome 1821"/>
    <s v="Tel 1821"/>
    <s v="Cep 1821"/>
    <s v="Rua 1821"/>
    <s v="Comp 1821"/>
    <x v="29"/>
    <s v="HG-2FNR-01A9"/>
    <d v="2025-07-19T00:00:00"/>
    <n v="23"/>
    <n v="23"/>
    <n v="2.76"/>
    <n v="20.239999999999998"/>
    <n v="13.41"/>
    <n v="0"/>
    <n v="0.39877104377104378"/>
    <n v="0"/>
    <n v="6.4312289562289546"/>
    <n v="3.2156144781144773"/>
    <d v="2025-07-26T00:00:00"/>
    <d v="2025-07-26T00:00:00"/>
    <d v="2025-08-01T00:00:00"/>
    <d v="2025-08-04T00:00:00"/>
    <s v="2025 07"/>
    <s v="Aguardando Liberação"/>
    <s v="2025 07"/>
    <s v="ENTREGUE"/>
    <d v="2025-07-09T00:00:00"/>
    <s v="-"/>
    <m/>
    <n v="0"/>
    <n v="0"/>
    <n v="0"/>
    <n v="0"/>
    <n v="0"/>
  </r>
  <r>
    <s v="BV"/>
    <s v="BV45845"/>
    <s v="Pedido 1866"/>
    <d v="2025-07-05T00:00:00"/>
    <d v="2025-07-07T00:00:00"/>
    <s v="PedidoF1751"/>
    <s v="CódRastreio1749"/>
    <n v="1"/>
    <s v="CPF 1822"/>
    <s v="Nome 1822"/>
    <s v="Tel 1822"/>
    <s v="Cep 1822"/>
    <s v="Rua 1822"/>
    <s v="Comp 1822"/>
    <x v="29"/>
    <s v="NQ-IMR8-W6Q4"/>
    <d v="2025-08-13T00:00:00"/>
    <n v="23.9"/>
    <n v="23.9"/>
    <n v="2.8679999999999999"/>
    <n v="21.03"/>
    <n v="17.21"/>
    <n v="0"/>
    <n v="0.39877104377104378"/>
    <n v="15"/>
    <n v="-11.578771043771042"/>
    <n v="-5.7893855218855208"/>
    <d v="2025-08-20T00:00:00"/>
    <d v="2025-08-20T00:00:00"/>
    <d v="2025-09-15T00:00:00"/>
    <d v="2025-08-19T00:00:00"/>
    <s v="2025 08"/>
    <s v="Aguardando Liberação"/>
    <s v="2025 07"/>
    <s v="ENTREGUE"/>
    <d v="2025-07-16T00:00:00"/>
    <s v="-"/>
    <m/>
    <n v="0"/>
    <n v="0"/>
    <n v="0"/>
    <n v="0"/>
    <n v="0"/>
  </r>
  <r>
    <s v="BV"/>
    <s v="BV45845"/>
    <s v="Pedido 1867"/>
    <d v="2025-07-05T00:00:00"/>
    <d v="2025-07-07T00:00:00"/>
    <s v="PedidoF1752"/>
    <s v="CódRastreio1750"/>
    <n v="1"/>
    <s v="CPF 1823"/>
    <s v="Nome 1823"/>
    <s v="Tel 1823"/>
    <s v="Cep 1823"/>
    <s v="Rua 1823"/>
    <s v="Comp 1823"/>
    <x v="29"/>
    <s v="HG-2FNR-01A9"/>
    <d v="2025-07-19T00:00:00"/>
    <n v="23"/>
    <n v="23"/>
    <n v="2.76"/>
    <n v="20.239999999999998"/>
    <n v="13.41"/>
    <n v="0"/>
    <n v="0.39877104377104378"/>
    <n v="0"/>
    <n v="6.4312289562289546"/>
    <n v="3.2156144781144773"/>
    <d v="2025-07-26T00:00:00"/>
    <d v="2025-07-26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68"/>
    <d v="2025-07-06T00:00:00"/>
    <d v="2025-07-07T00:00:00"/>
    <s v="PedidoF1753"/>
    <s v="CódRastreio1751"/>
    <n v="1"/>
    <s v="CPF 1824"/>
    <s v="Nome 1824"/>
    <s v="Tel 1824"/>
    <s v="Cep 1824"/>
    <s v="Rua 1824"/>
    <s v="Comp 1824"/>
    <x v="33"/>
    <s v="6I-CK1S-8HYZ"/>
    <d v="2025-07-25T00:00:00"/>
    <n v="28.5"/>
    <n v="28.5"/>
    <n v="3.42"/>
    <n v="25.08"/>
    <n v="18.940000000000001"/>
    <n v="0"/>
    <n v="0.39877104377104378"/>
    <n v="0"/>
    <n v="5.7412289562289516"/>
    <n v="2.8706144781144758"/>
    <d v="2025-08-01T00:00:00"/>
    <d v="2025-08-01T00:00:00"/>
    <d v="2025-08-01T00:00:00"/>
    <d v="2025-08-04T00:00:00"/>
    <s v="2025 08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69"/>
    <d v="2025-07-06T00:00:00"/>
    <d v="2025-07-07T00:00:00"/>
    <s v="PedidoF1754"/>
    <s v="CódRastreio1752"/>
    <n v="1"/>
    <s v="CPF 1825"/>
    <s v="Nome 1825"/>
    <s v="Tel 1825"/>
    <s v="Cep 1825"/>
    <s v="Rua 1825"/>
    <s v="Comp 1825"/>
    <x v="29"/>
    <s v="HG-2FNR-01A9"/>
    <d v="2025-07-23T00:00:00"/>
    <n v="23"/>
    <n v="23"/>
    <n v="2.76"/>
    <n v="20.239999999999998"/>
    <n v="15.37"/>
    <n v="0"/>
    <n v="0.39877104377104378"/>
    <n v="0"/>
    <n v="4.4712289562289556"/>
    <n v="2.2356144781144778"/>
    <d v="2025-07-30T00:00:00"/>
    <d v="2025-07-30T00:00:00"/>
    <d v="2025-08-01T00:00:00"/>
    <d v="2025-08-04T00:00:00"/>
    <s v="2025 07"/>
    <s v="Aguardando Liberação"/>
    <s v="2025 07"/>
    <s v="ENTREGUE"/>
    <d v="2025-07-11T00:00:00"/>
    <s v="-"/>
    <m/>
    <n v="0"/>
    <n v="0"/>
    <n v="0"/>
    <n v="0"/>
    <n v="0"/>
  </r>
  <r>
    <s v="BV"/>
    <s v="BV45845"/>
    <s v="Pedido 1870"/>
    <d v="2025-07-06T00:00:00"/>
    <d v="2025-07-07T00:00:00"/>
    <s v="PedidoF1755"/>
    <s v="CódRastreio1753"/>
    <n v="1"/>
    <s v="CPF 1826"/>
    <s v="Nome 1826"/>
    <s v="Tel 1826"/>
    <s v="Cep 1826"/>
    <s v="Rua 1826"/>
    <s v="Comp 1826"/>
    <x v="29"/>
    <s v="HG-2FNR-01A9"/>
    <d v="2025-07-25T00:00:00"/>
    <n v="23"/>
    <n v="23"/>
    <n v="2.76"/>
    <n v="20.239999999999998"/>
    <n v="16.63"/>
    <n v="0"/>
    <n v="0.39877104377104378"/>
    <n v="0"/>
    <n v="3.211228956228954"/>
    <n v="1.605614478114477"/>
    <d v="2025-08-01T00:00:00"/>
    <d v="2025-08-01T00:00:00"/>
    <d v="2025-08-01T00:00:00"/>
    <d v="2025-08-04T00:00:00"/>
    <s v="2025 08"/>
    <s v="Aguardando Liberação"/>
    <s v="2025 07"/>
    <s v="ENTREGUE"/>
    <d v="2025-07-12T00:00:00"/>
    <s v="-"/>
    <m/>
    <n v="0"/>
    <n v="0"/>
    <n v="0"/>
    <n v="0"/>
    <n v="0"/>
  </r>
  <r>
    <s v="BV"/>
    <s v="BV45845"/>
    <s v="Pedido 1871"/>
    <d v="2025-07-06T00:00:00"/>
    <d v="2025-07-07T00:00:00"/>
    <s v="PedidoF1756"/>
    <s v="CódRastreio1754"/>
    <n v="1"/>
    <s v="CPF 1827"/>
    <s v="Nome 1827"/>
    <s v="Tel 1827"/>
    <s v="Cep 1827"/>
    <s v="Rua 1827"/>
    <s v="Comp 1827"/>
    <x v="33"/>
    <s v="6I-CK1S-8HYZ"/>
    <d v="2025-07-25T00:00:00"/>
    <n v="28.5"/>
    <n v="28.5"/>
    <n v="3.42"/>
    <n v="25.08"/>
    <n v="18.57"/>
    <n v="0"/>
    <n v="0.39877104377104378"/>
    <n v="0"/>
    <n v="6.1112289562289526"/>
    <n v="3.0556144781144763"/>
    <d v="2025-08-01T00:00:00"/>
    <d v="2025-08-01T00:00:00"/>
    <d v="2025-08-01T00:00:00"/>
    <d v="2025-08-04T00:00:00"/>
    <s v="2025 08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72"/>
    <d v="2025-07-06T00:00:00"/>
    <d v="2025-07-07T00:00:00"/>
    <s v="PedidoF1757"/>
    <s v="CódRastreio1755"/>
    <n v="1"/>
    <s v="CPF 1828"/>
    <s v="Nome 1828"/>
    <s v="Tel 1828"/>
    <s v="Cep 1828"/>
    <s v="Rua 1828"/>
    <s v="Comp 1828"/>
    <x v="33"/>
    <s v="6I-CK1S-8HYZ"/>
    <d v="2025-07-19T00:00:00"/>
    <n v="28.5"/>
    <n v="28.5"/>
    <n v="3.42"/>
    <n v="25.08"/>
    <n v="18.420000000000002"/>
    <n v="0"/>
    <n v="0.39877104377104378"/>
    <n v="0"/>
    <n v="6.2612289562289511"/>
    <n v="3.1306144781144756"/>
    <d v="2025-07-26T00:00:00"/>
    <d v="2025-07-26T00:00:00"/>
    <d v="2025-08-01T00:00:00"/>
    <d v="2025-08-04T00:00:00"/>
    <s v="2025 07"/>
    <s v="Aguardando Liberação"/>
    <s v="2025 07"/>
    <s v="ENTREGUE"/>
    <d v="2025-07-09T00:00:00"/>
    <s v="-"/>
    <m/>
    <n v="0"/>
    <n v="0"/>
    <n v="0"/>
    <n v="0"/>
    <n v="0"/>
  </r>
  <r>
    <s v="BV"/>
    <s v="BV45845"/>
    <s v="Pedido 1873"/>
    <d v="2025-07-06T00:00:00"/>
    <d v="2025-07-07T00:00:00"/>
    <s v="PedidoF1758"/>
    <s v="CódRastreio1756"/>
    <n v="1"/>
    <s v="CPF 1829"/>
    <s v="Nome 1829"/>
    <s v="Tel 1829"/>
    <s v="Cep 1829"/>
    <s v="Rua 1829"/>
    <s v="Comp 1829"/>
    <x v="29"/>
    <s v="HG-2FNR-01A9"/>
    <d v="2025-07-19T00:00:00"/>
    <n v="23"/>
    <n v="23"/>
    <n v="2.76"/>
    <n v="20.239999999999998"/>
    <n v="14.42"/>
    <n v="0"/>
    <n v="0.39877104377104378"/>
    <n v="0"/>
    <n v="5.4212289562289548"/>
    <n v="2.7106144781144774"/>
    <d v="2025-07-26T00:00:00"/>
    <d v="2025-07-26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74"/>
    <d v="2025-07-06T00:00:00"/>
    <d v="2025-07-07T00:00:00"/>
    <s v="PedidoF1759"/>
    <s v="CódRastreio1757"/>
    <n v="1"/>
    <s v="CPF 1830"/>
    <s v="Nome 1830"/>
    <s v="Tel 1830"/>
    <s v="Cep 1830"/>
    <s v="Rua 1830"/>
    <s v="Comp 1830"/>
    <x v="33"/>
    <s v="6I-CK1S-8HYZ"/>
    <d v="2025-07-23T00:00:00"/>
    <n v="28.5"/>
    <n v="28.5"/>
    <n v="3.42"/>
    <n v="25.08"/>
    <n v="19.309999999999999"/>
    <n v="0"/>
    <n v="0.39877104377104378"/>
    <n v="0"/>
    <n v="5.3712289562289541"/>
    <n v="2.6856144781144771"/>
    <d v="2025-07-30T00:00:00"/>
    <d v="2025-07-30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75"/>
    <d v="2025-07-06T00:00:00"/>
    <d v="2025-07-07T00:00:00"/>
    <s v="PedidoF1760"/>
    <s v="CódRastreio1758"/>
    <n v="1"/>
    <s v="CPF 1831"/>
    <s v="Nome 1831"/>
    <s v="Tel 1831"/>
    <s v="Cep 1831"/>
    <s v="Rua 1831"/>
    <s v="Comp 1831"/>
    <x v="33"/>
    <s v="6I-CK1S-8HYZ"/>
    <d v="2025-07-25T00:00:00"/>
    <n v="28.5"/>
    <n v="28.5"/>
    <n v="3.42"/>
    <n v="25.08"/>
    <n v="20.09"/>
    <n v="0"/>
    <n v="0.39877104377104378"/>
    <n v="0"/>
    <n v="4.591228956228953"/>
    <n v="2.2956144781144765"/>
    <d v="2025-08-01T00:00:00"/>
    <d v="2025-08-01T00:00:00"/>
    <d v="2025-08-01T00:00:00"/>
    <d v="2025-08-04T00:00:00"/>
    <s v="2025 08"/>
    <s v="Aguardando Liberação"/>
    <s v="2025 07"/>
    <s v="ENTREGUE"/>
    <d v="2025-07-11T00:00:00"/>
    <s v="-"/>
    <m/>
    <n v="0"/>
    <n v="0"/>
    <n v="0"/>
    <n v="0"/>
    <n v="0"/>
  </r>
  <r>
    <s v="BV"/>
    <s v="BV45845"/>
    <s v="Pedido 1876"/>
    <d v="2025-07-07T00:00:00"/>
    <d v="2025-07-07T00:00:00"/>
    <s v="PedidoF1761"/>
    <s v="CódRastreio1759"/>
    <n v="2"/>
    <s v="CPF 1832"/>
    <s v="Nome 1832"/>
    <s v="Tel 1832"/>
    <s v="Cep 1832"/>
    <s v="Rua 1832"/>
    <s v="Comp 1832"/>
    <x v="33"/>
    <s v="6I-CK1S-8HYZ"/>
    <d v="2025-07-23T00:00:00"/>
    <n v="57"/>
    <n v="57"/>
    <n v="6.84"/>
    <n v="50.16"/>
    <n v="36.96"/>
    <n v="0"/>
    <n v="0.39877104377104378"/>
    <n v="0"/>
    <n v="12.801228956228954"/>
    <n v="6.4006144781144769"/>
    <d v="2025-07-30T00:00:00"/>
    <d v="2025-07-30T00:00:00"/>
    <d v="2025-08-01T00:00:00"/>
    <d v="2025-08-04T00:00:00"/>
    <s v="2025 07"/>
    <s v="Aguardando Liberação"/>
    <s v="2025 07"/>
    <s v="ENTREGUE"/>
    <d v="2025-07-11T00:00:00"/>
    <s v="-"/>
    <m/>
    <n v="0"/>
    <n v="0"/>
    <n v="0"/>
    <n v="0"/>
    <n v="0"/>
  </r>
  <r>
    <s v="BV"/>
    <s v="BV45845"/>
    <s v="Pedido 1877"/>
    <d v="2025-07-07T00:00:00"/>
    <d v="2025-07-07T00:00:00"/>
    <s v="PedidoF1762"/>
    <s v="CódRastreio1760"/>
    <n v="1"/>
    <s v="CPF 1833"/>
    <s v="Nome 1833"/>
    <s v="Tel 1833"/>
    <s v="Cep 1833"/>
    <s v="Rua 1833"/>
    <s v="Comp 1833"/>
    <x v="33"/>
    <s v="6I-CK1S-8HYZ"/>
    <d v="2025-07-19T00:00:00"/>
    <n v="28.5"/>
    <n v="28.5"/>
    <n v="3.42"/>
    <n v="25.08"/>
    <n v="19.989999999999998"/>
    <n v="0"/>
    <n v="0.39877104377104378"/>
    <n v="0"/>
    <n v="4.6912289562289544"/>
    <n v="2.3456144781144772"/>
    <d v="2025-07-26T00:00:00"/>
    <d v="2025-07-26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78"/>
    <d v="2025-07-06T00:00:00"/>
    <d v="2025-07-07T00:00:00"/>
    <s v="PedidoF1763"/>
    <s v="CódRastreio1761"/>
    <n v="1"/>
    <s v="CPF 1834"/>
    <s v="Nome 1834"/>
    <s v="Tel 1834"/>
    <s v="Cep 1834"/>
    <s v="Rua 1834"/>
    <s v="Comp 1834"/>
    <x v="33"/>
    <s v="6I-CK1S-8HYZ"/>
    <d v="2025-07-19T00:00:00"/>
    <n v="28.5"/>
    <n v="28.5"/>
    <n v="3.42"/>
    <n v="25.08"/>
    <n v="18.38"/>
    <n v="0"/>
    <n v="0.39877104377104378"/>
    <n v="0"/>
    <n v="6.3012289562289538"/>
    <n v="3.1506144781144769"/>
    <d v="2025-07-26T00:00:00"/>
    <d v="2025-07-26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79"/>
    <d v="2025-07-07T00:00:00"/>
    <d v="2025-07-07T00:00:00"/>
    <s v="PedidoF1764"/>
    <s v="CódRastreio1762"/>
    <n v="1"/>
    <s v="CPF 1835"/>
    <s v="Nome 1835"/>
    <s v="Tel 1835"/>
    <s v="Cep 1835"/>
    <s v="Rua 1835"/>
    <s v="Comp 1835"/>
    <x v="33"/>
    <s v="6I-CK1S-8HYZ"/>
    <d v="2025-07-22T00:00:00"/>
    <n v="28.5"/>
    <n v="28.5"/>
    <n v="3.42"/>
    <n v="25.08"/>
    <n v="18"/>
    <n v="0"/>
    <n v="0.39877104377104378"/>
    <n v="0"/>
    <n v="6.6812289562289529"/>
    <n v="3.3406144781144764"/>
    <d v="2025-07-29T00:00:00"/>
    <d v="2025-07-29T00:00:00"/>
    <d v="2025-08-01T00:00:00"/>
    <d v="2025-08-04T00:00:00"/>
    <s v="2025 07"/>
    <s v="Aguardando Liberação"/>
    <s v="2025 07"/>
    <s v="ENTREGUE"/>
    <d v="2025-07-10T00:00:00"/>
    <s v="-"/>
    <m/>
    <n v="0"/>
    <n v="0"/>
    <n v="0"/>
    <n v="0"/>
    <n v="0"/>
  </r>
  <r>
    <s v="BV"/>
    <s v="BV45845"/>
    <s v="Pedido 1880"/>
    <d v="2025-07-07T00:00:00"/>
    <d v="2025-07-07T00:00:00"/>
    <s v="PedidoF1765"/>
    <s v="CódRastreio1763"/>
    <n v="1"/>
    <s v="CPF 1836"/>
    <s v="Nome 1836"/>
    <s v="Tel 1836"/>
    <s v="Cep 1836"/>
    <s v="Rua 1836"/>
    <s v="Comp 1836"/>
    <x v="33"/>
    <s v="6I-CK1S-8HYZ"/>
    <d v="2025-07-26T00:00:00"/>
    <n v="28.5"/>
    <n v="28.5"/>
    <n v="3.42"/>
    <n v="25.08"/>
    <n v="18.649999999999999"/>
    <n v="0"/>
    <n v="0.39877104377104378"/>
    <n v="0"/>
    <n v="6.0312289562289543"/>
    <n v="3.0156144781144771"/>
    <d v="2025-08-02T00:00:00"/>
    <d v="2025-08-02T00:00:00"/>
    <d v="2025-08-18T00:00:00"/>
    <d v="2025-08-19T00:00:00"/>
    <s v="2025 08"/>
    <s v="Aguardando Liberação"/>
    <s v="2025 07"/>
    <s v="ENTREGUE"/>
    <d v="2025-07-11T00:00:00"/>
    <s v="-"/>
    <m/>
    <n v="0"/>
    <n v="0"/>
    <n v="0"/>
    <n v="0"/>
    <n v="0"/>
  </r>
  <r>
    <s v="BV"/>
    <s v="BV45845"/>
    <s v="Pedido 1881"/>
    <d v="2025-07-07T00:00:00"/>
    <d v="2025-07-07T00:00:00"/>
    <s v="PedidoF1766"/>
    <s v="CódRastreio1764"/>
    <n v="1"/>
    <s v="CPF 1837"/>
    <s v="Nome 1837"/>
    <s v="Tel 1837"/>
    <s v="Cep 1837"/>
    <s v="Rua 1837"/>
    <s v="Comp 1837"/>
    <x v="33"/>
    <s v="6I-CK1S-8HYZ"/>
    <d v="2025-07-24T00:00:00"/>
    <n v="28.5"/>
    <n v="28.5"/>
    <n v="3.42"/>
    <n v="25.08"/>
    <n v="20.05"/>
    <n v="0"/>
    <n v="0.39877104377104378"/>
    <n v="0"/>
    <n v="4.6312289562289521"/>
    <n v="2.3156144781144761"/>
    <d v="2025-07-31T00:00:00"/>
    <d v="2025-07-31T00:00:00"/>
    <d v="2025-08-01T00:00:00"/>
    <d v="2025-08-04T00:00:00"/>
    <s v="2025 07"/>
    <s v="Aguardando Liberação"/>
    <s v="2025 07"/>
    <s v="ENTREGUE"/>
    <d v="2025-07-12T00:00:00"/>
    <s v="-"/>
    <m/>
    <n v="0"/>
    <n v="0"/>
    <n v="0"/>
    <n v="0"/>
    <n v="0"/>
  </r>
  <r>
    <s v="BV"/>
    <s v="BV45845"/>
    <s v="Pedido 1882"/>
    <d v="2025-07-07T00:00:00"/>
    <d v="2025-07-07T00:00:00"/>
    <s v="PedidoF1767"/>
    <s v="CódRastreio1765"/>
    <n v="1"/>
    <s v="CPF 1838"/>
    <s v="Nome 1838"/>
    <s v="Tel 1838"/>
    <s v="Cep 1838"/>
    <s v="Rua 1838"/>
    <s v="Comp 1838"/>
    <x v="28"/>
    <s v="ZV-W7II-K7TO"/>
    <d v="2025-07-22T00:00:00"/>
    <n v="41.9"/>
    <n v="41.9"/>
    <n v="5.0279999999999996"/>
    <n v="36.869999999999997"/>
    <n v="33.299999999999997"/>
    <n v="0"/>
    <n v="0.39877104377104378"/>
    <n v="0"/>
    <n v="3.1712289562289584"/>
    <n v="1.5856144781144792"/>
    <d v="2025-07-29T00:00:00"/>
    <d v="2025-07-29T00:00:00"/>
    <d v="2025-08-01T00:00:00"/>
    <d v="2025-08-04T00:00:00"/>
    <s v="2025 07"/>
    <s v="Aguardando Liberação"/>
    <s v="2025 07"/>
    <s v="ENTREGUE"/>
    <d v="2025-07-11T00:00:00"/>
    <s v="-"/>
    <m/>
    <n v="0"/>
    <n v="0"/>
    <n v="0"/>
    <n v="0"/>
    <n v="0"/>
  </r>
  <r>
    <s v="BV"/>
    <s v="BV45845"/>
    <s v="Pedido 1883"/>
    <d v="2025-07-07T00:00:00"/>
    <d v="2025-07-07T00:00:00"/>
    <s v="PedidoF1768"/>
    <s v="CódRastreio1766"/>
    <n v="1"/>
    <s v="CPF 1839"/>
    <s v="Nome 1839"/>
    <s v="Tel 1839"/>
    <s v="Cep 1839"/>
    <s v="Rua 1839"/>
    <s v="Comp 1839"/>
    <x v="33"/>
    <s v="6I-CK1S-8HYZ"/>
    <d v="2025-07-26T00:00:00"/>
    <n v="28.5"/>
    <n v="28.5"/>
    <n v="3.42"/>
    <n v="25.08"/>
    <n v="21.27"/>
    <n v="0"/>
    <n v="0.39877104377104378"/>
    <n v="1"/>
    <n v="2.4112289562289533"/>
    <n v="1.2056144781144766"/>
    <d v="2025-08-02T00:00:00"/>
    <d v="2025-08-02T00:00:00"/>
    <d v="2025-08-18T00:00:00"/>
    <d v="2025-08-19T00:00:00"/>
    <s v="2025 08"/>
    <s v="Aguardando Liberação"/>
    <s v="2025 07"/>
    <s v="ENTREGUE"/>
    <d v="2025-07-12T00:00:00"/>
    <s v="-"/>
    <m/>
    <n v="0"/>
    <n v="0"/>
    <n v="0"/>
    <n v="0"/>
    <n v="0"/>
  </r>
  <r>
    <s v="BV"/>
    <s v="BV45845"/>
    <s v="Pedido 1884"/>
    <d v="2025-07-07T00:00:00"/>
    <d v="2025-07-07T00:00:00"/>
    <s v="PedidoF1769"/>
    <s v="CódRastreio1767"/>
    <n v="1"/>
    <s v="CPF 1840"/>
    <s v="Nome 1840"/>
    <s v="Tel 1840"/>
    <s v="Cep 1840"/>
    <s v="Rua 1840"/>
    <s v="Comp 1840"/>
    <x v="33"/>
    <s v="6I-CK1S-8HYZ"/>
    <d v="2025-07-26T00:00:00"/>
    <n v="28.5"/>
    <n v="28.5"/>
    <n v="3.42"/>
    <n v="25.08"/>
    <n v="18.920000000000002"/>
    <n v="0"/>
    <n v="0.39877104377104378"/>
    <n v="0"/>
    <n v="5.7612289562289511"/>
    <n v="2.8806144781144756"/>
    <d v="2025-08-02T00:00:00"/>
    <d v="2025-08-02T00:00:00"/>
    <d v="2025-08-18T00:00:00"/>
    <d v="2025-08-19T00:00:00"/>
    <s v="2025 08"/>
    <s v="Aguardando Liberação"/>
    <s v="2025 07"/>
    <s v="ENTREGUE"/>
    <d v="2025-07-15T00:00:00"/>
    <s v="-"/>
    <m/>
    <n v="0"/>
    <n v="0"/>
    <n v="0"/>
    <n v="0"/>
    <n v="0"/>
  </r>
  <r>
    <s v="BV"/>
    <s v="BV45845"/>
    <s v="Pedido 1885"/>
    <d v="2025-07-07T00:00:00"/>
    <d v="2025-07-07T00:00:00"/>
    <s v="PedidoF1770"/>
    <s v="CódRastreio1768"/>
    <n v="1"/>
    <s v="CPF 1841"/>
    <s v="Nome 1841"/>
    <s v="Tel 1841"/>
    <s v="Cep 1841"/>
    <s v="Rua 1841"/>
    <s v="Comp 1841"/>
    <x v="33"/>
    <s v="6I-CK1S-8HYZ"/>
    <d v="2025-08-01T00:00:00"/>
    <n v="28.5"/>
    <n v="28.5"/>
    <n v="3.42"/>
    <n v="25.08"/>
    <n v="20.75"/>
    <n v="0"/>
    <n v="0.39877104377104378"/>
    <n v="3"/>
    <n v="0.93122895622895285"/>
    <n v="0.46561447811447643"/>
    <d v="2025-08-08T00:00:00"/>
    <d v="2025-08-08T00:00:00"/>
    <d v="2025-08-18T00:00:00"/>
    <d v="2025-08-19T00:00:00"/>
    <s v="2025 08"/>
    <s v="Aguardando Liberação"/>
    <s v="2025 07"/>
    <s v="ENTREGUE"/>
    <d v="2025-07-11T00:00:00"/>
    <s v="-"/>
    <m/>
    <n v="0"/>
    <n v="0"/>
    <n v="0"/>
    <n v="0"/>
    <n v="0"/>
  </r>
  <r>
    <s v="BV"/>
    <s v="BV45845"/>
    <s v="Pedido 1886"/>
    <d v="2025-07-07T00:00:00"/>
    <d v="2025-07-07T00:00:00"/>
    <s v="PedidoF1771"/>
    <s v="CódRastreio1769"/>
    <n v="1"/>
    <s v="CPF 1842"/>
    <s v="Nome 1842"/>
    <s v="Tel 1842"/>
    <s v="Cep 1842"/>
    <s v="Rua 1842"/>
    <s v="Comp 1842"/>
    <x v="33"/>
    <s v="6I-CK1S-8HYZ"/>
    <d v="2025-07-24T00:00:00"/>
    <n v="28.5"/>
    <n v="28.5"/>
    <n v="3.42"/>
    <n v="25.08"/>
    <n v="22.56"/>
    <n v="0"/>
    <n v="0.39877104377104378"/>
    <n v="0"/>
    <n v="2.1212289562289541"/>
    <n v="1.0606144781144771"/>
    <d v="2025-07-31T00:00:00"/>
    <d v="2025-07-31T00:00:00"/>
    <d v="2025-08-01T00:00:00"/>
    <d v="2025-08-04T00:00:00"/>
    <s v="2025 07"/>
    <s v="Aguardando Liberação"/>
    <s v="2025 07"/>
    <s v="EM TRÂNSITO"/>
    <s v="-"/>
    <s v="-"/>
    <m/>
    <n v="0"/>
    <n v="0"/>
    <n v="0"/>
    <n v="0"/>
    <n v="0"/>
  </r>
  <r>
    <s v="BV"/>
    <s v="BV45845"/>
    <s v="Pedido 1887"/>
    <d v="2025-07-07T00:00:00"/>
    <d v="2025-07-07T00:00:00"/>
    <s v="PedidoF1772"/>
    <s v="CódRastreio1770"/>
    <n v="1"/>
    <s v="CPF 1843"/>
    <s v="Nome 1843"/>
    <s v="Tel 1843"/>
    <s v="Cep 1843"/>
    <s v="Rua 1843"/>
    <s v="Comp 1843"/>
    <x v="33"/>
    <s v="6I-CK1S-8HYZ"/>
    <d v="2025-07-24T00:00:00"/>
    <n v="28.5"/>
    <n v="28.5"/>
    <n v="3.42"/>
    <n v="25.08"/>
    <n v="22.73"/>
    <n v="0"/>
    <n v="0.39877104377104378"/>
    <n v="0"/>
    <n v="1.9512289562289524"/>
    <n v="0.97561447811447621"/>
    <d v="2025-07-31T00:00:00"/>
    <d v="2025-07-31T00:00:00"/>
    <d v="2025-08-01T00:00:00"/>
    <d v="2025-08-04T00:00:00"/>
    <s v="2025 07"/>
    <s v="Aguardando Liberação"/>
    <s v="2025 07"/>
    <s v="ENTREGUE"/>
    <d v="2025-07-11T00:00:00"/>
    <s v="-"/>
    <m/>
    <n v="0"/>
    <n v="0"/>
    <n v="0"/>
    <n v="0"/>
    <n v="0"/>
  </r>
  <r>
    <s v="BV"/>
    <s v="BV45846"/>
    <s v="Pedido 1888"/>
    <d v="2025-07-07T00:00:00"/>
    <d v="2025-07-08T00:00:00"/>
    <s v="PedidoF1773"/>
    <s v="CódRastreio1771"/>
    <n v="1"/>
    <s v="CPF 1844"/>
    <s v="Nome 1844"/>
    <s v="Tel 1844"/>
    <s v="Cep 1844"/>
    <s v="Rua 1844"/>
    <s v="Comp 1844"/>
    <x v="28"/>
    <s v="ZV-W7II-K7TO"/>
    <d v="2025-07-26T00:00:00"/>
    <n v="41.9"/>
    <n v="41.9"/>
    <n v="5.0279999999999996"/>
    <n v="36.869999999999997"/>
    <n v="40.369999999999997"/>
    <n v="0"/>
    <n v="0.39877104377104378"/>
    <n v="1"/>
    <n v="-4.8987710437710419"/>
    <n v="-2.4493855218855209"/>
    <d v="2025-08-02T00:00:00"/>
    <d v="2025-08-02T00:00:00"/>
    <d v="2025-08-18T00:00:00"/>
    <d v="2025-08-19T00:00:00"/>
    <s v="2025 08"/>
    <s v="Aguardando Liberação"/>
    <s v="2025 07"/>
    <s v="ENTREGUE"/>
    <d v="2025-07-14T00:00:00"/>
    <s v="-"/>
    <m/>
    <n v="0"/>
    <n v="0"/>
    <n v="0"/>
    <n v="0"/>
    <n v="0"/>
  </r>
  <r>
    <s v="BV"/>
    <s v="BV45846"/>
    <s v="Pedido 1889"/>
    <d v="2025-07-07T00:00:00"/>
    <d v="2025-07-08T00:00:00"/>
    <s v="PedidoF1774"/>
    <s v="CódRastreio1772"/>
    <n v="1"/>
    <s v="CPF 1845"/>
    <s v="Nome 1845"/>
    <s v="Tel 1845"/>
    <s v="Cep 1845"/>
    <s v="Rua 1845"/>
    <s v="Comp 1845"/>
    <x v="28"/>
    <s v="ZV-W7II-K7TO"/>
    <d v="2025-07-24T00:00:00"/>
    <n v="41.9"/>
    <n v="41.9"/>
    <n v="5.0279999999999996"/>
    <n v="36.869999999999997"/>
    <n v="40.799999999999997"/>
    <n v="0"/>
    <n v="0.39877104377104378"/>
    <n v="0"/>
    <n v="-4.3287710437710416"/>
    <n v="-2.1643855218855208"/>
    <d v="2025-07-31T00:00:00"/>
    <d v="2025-07-31T00:00:00"/>
    <d v="2025-08-01T00:00:00"/>
    <d v="2025-08-04T00:00:00"/>
    <s v="2025 07"/>
    <s v="Aguardando Liberação"/>
    <s v="2025 07"/>
    <s v="ENTREGUE"/>
    <d v="2025-07-13T00:00:00"/>
    <s v="-"/>
    <m/>
    <n v="0"/>
    <n v="0"/>
    <n v="0"/>
    <n v="0"/>
    <n v="0"/>
  </r>
  <r>
    <s v="BV"/>
    <s v="BV45847"/>
    <s v="Pedido 1890"/>
    <d v="2025-07-07T00:00:00"/>
    <d v="2025-07-09T00:00:00"/>
    <s v="PedidoF1775"/>
    <s v="CódRastreio1773"/>
    <n v="1"/>
    <s v="CPF 1846"/>
    <s v="Nome 1846"/>
    <s v="Tel 1846"/>
    <s v="Cep 1846"/>
    <s v="Rua 1846"/>
    <s v="Comp 1846"/>
    <x v="29"/>
    <s v="HG-2FNR-01A9"/>
    <d v="2025-07-24T00:00:00"/>
    <n v="23"/>
    <n v="23"/>
    <n v="2.76"/>
    <n v="20.239999999999998"/>
    <n v="16.93"/>
    <n v="0"/>
    <n v="0.39877104377104378"/>
    <n v="0"/>
    <n v="2.9112289562289533"/>
    <n v="1.4556144781144766"/>
    <d v="2025-07-31T00:00:00"/>
    <d v="2025-07-31T00:00:00"/>
    <d v="2025-08-01T00:00:00"/>
    <d v="2025-08-04T00:00:00"/>
    <s v="2025 07"/>
    <s v="Aguardando Liberação"/>
    <s v="2025 07"/>
    <s v="ENTREGUE"/>
    <d v="2025-07-18T00:00:00"/>
    <s v="-"/>
    <m/>
    <n v="0"/>
    <n v="0"/>
    <n v="0"/>
    <n v="0"/>
    <n v="0"/>
  </r>
  <r>
    <s v="BV"/>
    <s v="BV45847"/>
    <s v="Pedido 1891"/>
    <d v="2025-07-08T00:00:00"/>
    <d v="2025-07-09T00:00:00"/>
    <s v="PedidoF1776"/>
    <s v="CódRastreio1774"/>
    <n v="1"/>
    <s v="CPF 1847"/>
    <s v="Nome 1847"/>
    <s v="Tel 1847"/>
    <s v="Cep 1847"/>
    <s v="Rua 1847"/>
    <s v="Comp 1847"/>
    <x v="29"/>
    <s v="HG-2FNR-01A9"/>
    <d v="2025-07-26T00:00:00"/>
    <n v="23"/>
    <n v="23"/>
    <n v="2.76"/>
    <n v="20.239999999999998"/>
    <n v="17.03"/>
    <n v="0"/>
    <n v="0.39877104377104378"/>
    <n v="0"/>
    <n v="2.8112289562289519"/>
    <n v="1.4056144781144759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892"/>
    <d v="2025-07-08T00:00:00"/>
    <d v="2025-07-11T00:00:00"/>
    <s v="PedidoF1777"/>
    <s v="CódRastreio1775"/>
    <n v="1"/>
    <s v="CPF 1848"/>
    <s v="Nome 1848"/>
    <s v="Tel 1848"/>
    <s v="Cep 1848"/>
    <s v="Rua 1848"/>
    <s v="Comp 1848"/>
    <x v="33"/>
    <s v="6I-CK1S-8HYZ"/>
    <d v="2025-07-26T00:00:00"/>
    <n v="28.5"/>
    <n v="28.5"/>
    <n v="3.42"/>
    <n v="25.08"/>
    <n v="20"/>
    <n v="0"/>
    <n v="0.39877104377104378"/>
    <n v="0"/>
    <n v="4.6812289562289529"/>
    <n v="2.3406144781144764"/>
    <d v="2025-08-02T00:00:00"/>
    <d v="2025-08-02T00:00:00"/>
    <d v="2025-08-18T00:00:00"/>
    <d v="2025-08-19T00:00:00"/>
    <s v="2025 08"/>
    <s v="Aguardando Liberação"/>
    <s v="2025 07"/>
    <s v="ENTREGUE"/>
    <d v="2025-07-14T00:00:00"/>
    <s v="-"/>
    <m/>
    <n v="0"/>
    <n v="0"/>
    <n v="0"/>
    <n v="0"/>
    <n v="0"/>
  </r>
  <r>
    <s v="BV"/>
    <s v="BV45849"/>
    <s v="Pedido 1893"/>
    <d v="2025-07-08T00:00:00"/>
    <d v="2025-07-11T00:00:00"/>
    <s v="PedidoF1778"/>
    <s v="CódRastreio1776"/>
    <n v="1"/>
    <s v="CPF 1849"/>
    <s v="Nome 1849"/>
    <s v="Tel 1849"/>
    <s v="Cep 1849"/>
    <s v="Rua 1849"/>
    <s v="Comp 1849"/>
    <x v="33"/>
    <s v="6I-CK1S-8HYZ"/>
    <d v="2025-07-26T00:00:00"/>
    <n v="28.5"/>
    <n v="28.5"/>
    <n v="3.42"/>
    <n v="25.08"/>
    <n v="20.190000000000001"/>
    <n v="0"/>
    <n v="0.39877104377104378"/>
    <n v="0"/>
    <n v="4.4912289562289516"/>
    <n v="2.2456144781144758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894"/>
    <d v="2025-07-08T00:00:00"/>
    <d v="2025-07-11T00:00:00"/>
    <s v="PedidoF1779"/>
    <s v="CódRastreio1777"/>
    <n v="1"/>
    <s v="CPF 1850"/>
    <s v="Nome 1850"/>
    <s v="Tel 1850"/>
    <s v="Cep 1850"/>
    <s v="Rua 1850"/>
    <s v="Comp 1850"/>
    <x v="33"/>
    <s v="6I-CK1S-8HYZ"/>
    <d v="2025-07-26T00:00:00"/>
    <n v="28.5"/>
    <n v="28.5"/>
    <n v="3.42"/>
    <n v="25.08"/>
    <n v="20.3"/>
    <n v="0"/>
    <n v="0.39877104377104378"/>
    <n v="0"/>
    <n v="4.3812289562289521"/>
    <n v="2.1906144781144761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895"/>
    <d v="2025-07-08T00:00:00"/>
    <d v="2025-07-11T00:00:00"/>
    <s v="PedidoF1780"/>
    <s v="CódRastreio1778"/>
    <n v="1"/>
    <s v="CPF 1851"/>
    <s v="Nome 1851"/>
    <s v="Tel 1851"/>
    <s v="Cep 1851"/>
    <s v="Rua 1851"/>
    <s v="Comp 1851"/>
    <x v="33"/>
    <s v="6I-CK1S-8HYZ"/>
    <d v="2025-07-29T00:00:00"/>
    <n v="28.5"/>
    <n v="28.5"/>
    <n v="3.42"/>
    <n v="25.08"/>
    <n v="19.7"/>
    <n v="0"/>
    <n v="0.39877104377104378"/>
    <n v="1"/>
    <n v="3.9812289562289536"/>
    <n v="1.9906144781144768"/>
    <d v="2025-08-05T00:00:00"/>
    <d v="2025-08-05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49"/>
    <s v="Pedido 1896"/>
    <d v="2025-07-08T00:00:00"/>
    <d v="2025-07-11T00:00:00"/>
    <s v="PedidoF1781"/>
    <s v="CódRastreio1779"/>
    <n v="2"/>
    <s v="CPF 1852"/>
    <s v="Nome 1852"/>
    <s v="Tel 1852"/>
    <s v="Cep 1852"/>
    <s v="Rua 1852"/>
    <s v="Comp 1852"/>
    <x v="33"/>
    <s v="6I-CK1S-8HYZ"/>
    <d v="2025-07-25T00:00:00"/>
    <n v="57"/>
    <n v="57"/>
    <n v="6.84"/>
    <n v="50.16"/>
    <n v="39.950000000000003"/>
    <n v="0"/>
    <n v="0.39877104377104378"/>
    <n v="0"/>
    <n v="9.8112289562289519"/>
    <n v="4.9056144781144759"/>
    <d v="2025-08-01T00:00:00"/>
    <d v="2025-08-01T00:00:00"/>
    <d v="2025-08-01T00:00:00"/>
    <d v="2025-08-04T00:00:00"/>
    <s v="2025 08"/>
    <s v="Aguardando Liberação"/>
    <s v="2025 07"/>
    <s v="ENTREGUE"/>
    <d v="2025-07-15T00:00:00"/>
    <s v="-"/>
    <m/>
    <n v="0"/>
    <n v="0"/>
    <n v="0"/>
    <n v="0"/>
    <n v="0"/>
  </r>
  <r>
    <s v="BV"/>
    <s v="BV45847"/>
    <s v="Pedido 1897"/>
    <d v="2025-07-08T00:00:00"/>
    <d v="2025-07-09T00:00:00"/>
    <s v="PedidoF1782"/>
    <s v="CódRastreio1780"/>
    <n v="1"/>
    <s v="CPF 1853"/>
    <s v="Nome 1853"/>
    <s v="Tel 1853"/>
    <s v="Cep 1853"/>
    <s v="Rua 1853"/>
    <s v="Comp 1853"/>
    <x v="28"/>
    <s v="ZV-W7II-K7TO"/>
    <d v="2025-07-25T00:00:00"/>
    <n v="43.99"/>
    <n v="43.99"/>
    <n v="5.2788000000000004"/>
    <n v="38.71"/>
    <n v="33.630000000000003"/>
    <n v="0"/>
    <n v="0.39877104377104378"/>
    <n v="0"/>
    <n v="4.6812289562289564"/>
    <n v="2.3406144781144782"/>
    <d v="2025-08-01T00:00:00"/>
    <d v="2025-08-01T00:00:00"/>
    <d v="2025-08-01T00:00:00"/>
    <d v="2025-08-04T00:00:00"/>
    <s v="2025 08"/>
    <s v="Aguardando Liberação"/>
    <s v="2025 07"/>
    <s v="ENTREGUE"/>
    <d v="2025-07-13T00:00:00"/>
    <s v="-"/>
    <m/>
    <n v="0"/>
    <n v="0"/>
    <n v="0"/>
    <n v="0"/>
    <n v="0"/>
  </r>
  <r>
    <s v="BV"/>
    <s v="BV45849"/>
    <s v="Pedido 1898"/>
    <d v="2025-07-08T00:00:00"/>
    <d v="2025-07-11T00:00:00"/>
    <s v="PedidoF1783"/>
    <s v="CódRastreio1781"/>
    <n v="1"/>
    <s v="CPF 1854"/>
    <s v="Nome 1854"/>
    <s v="Tel 1854"/>
    <s v="Cep 1854"/>
    <s v="Rua 1854"/>
    <s v="Comp 1854"/>
    <x v="33"/>
    <s v="6I-CK1S-8HYZ"/>
    <d v="2025-07-25T00:00:00"/>
    <n v="28.5"/>
    <n v="28.5"/>
    <n v="3.42"/>
    <n v="25.08"/>
    <n v="20.260000000000002"/>
    <n v="0"/>
    <n v="0.39877104377104378"/>
    <n v="0"/>
    <n v="4.4212289562289513"/>
    <n v="2.2106144781144756"/>
    <d v="2025-08-01T00:00:00"/>
    <d v="2025-08-01T00:00:00"/>
    <d v="2025-08-01T00:00:00"/>
    <d v="2025-08-04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899"/>
    <d v="2025-07-08T00:00:00"/>
    <d v="2025-07-11T00:00:00"/>
    <s v="PedidoF1784"/>
    <s v="CódRastreio1782"/>
    <n v="1"/>
    <s v="CPF 1855"/>
    <s v="Nome 1855"/>
    <s v="Tel 1855"/>
    <s v="Cep 1855"/>
    <s v="Rua 1855"/>
    <s v="Comp 1855"/>
    <x v="33"/>
    <s v="6I-CK1S-8HYZ"/>
    <d v="2025-07-25T00:00:00"/>
    <n v="28.5"/>
    <n v="28.5"/>
    <n v="3.42"/>
    <n v="25.08"/>
    <n v="20.16"/>
    <n v="0"/>
    <n v="0.39877104377104378"/>
    <n v="0"/>
    <n v="4.5212289562289527"/>
    <n v="2.2606144781144764"/>
    <d v="2025-08-01T00:00:00"/>
    <d v="2025-08-01T00:00:00"/>
    <d v="2025-08-01T00:00:00"/>
    <d v="2025-08-04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900"/>
    <d v="2025-07-08T00:00:00"/>
    <d v="2025-07-11T00:00:00"/>
    <s v="PedidoF1785"/>
    <s v="CódRastreio1783"/>
    <n v="1"/>
    <s v="CPF 1856"/>
    <s v="Nome 1856"/>
    <s v="Tel 1856"/>
    <s v="Cep 1856"/>
    <s v="Rua 1856"/>
    <s v="Comp 1856"/>
    <x v="33"/>
    <s v="6I-CK1S-8HYZ"/>
    <d v="2025-07-25T00:00:00"/>
    <n v="28.5"/>
    <n v="28.5"/>
    <n v="3.42"/>
    <n v="25.08"/>
    <n v="20.239999999999998"/>
    <n v="0"/>
    <n v="0.39877104377104378"/>
    <n v="0"/>
    <n v="4.4412289562289544"/>
    <n v="2.2206144781144772"/>
    <d v="2025-08-01T00:00:00"/>
    <d v="2025-08-01T00:00:00"/>
    <d v="2025-08-01T00:00:00"/>
    <d v="2025-08-04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901"/>
    <d v="2025-07-08T00:00:00"/>
    <d v="2025-07-11T00:00:00"/>
    <s v="PedidoF1786"/>
    <s v="CódRastreio1784"/>
    <n v="1"/>
    <s v="CPF 1857"/>
    <s v="Nome 1857"/>
    <s v="Tel 1857"/>
    <s v="Cep 1857"/>
    <s v="Rua 1857"/>
    <s v="Comp 1857"/>
    <x v="33"/>
    <s v="6I-CK1S-8HYZ"/>
    <d v="2025-07-29T00:00:00"/>
    <n v="28.5"/>
    <n v="28.5"/>
    <n v="3.42"/>
    <n v="25.08"/>
    <n v="20.37"/>
    <n v="0"/>
    <n v="0.39877104377104378"/>
    <n v="0"/>
    <n v="4.3112289562289519"/>
    <n v="2.1556144781144759"/>
    <d v="2025-08-05T00:00:00"/>
    <d v="2025-08-05T00:00:00"/>
    <d v="2025-08-18T00:00:00"/>
    <d v="2025-08-19T00:00:00"/>
    <s v="2025 08"/>
    <s v="Aguardando Liberação"/>
    <s v="2025 07"/>
    <s v="ENTREGUE"/>
    <d v="2025-07-20T00:00:00"/>
    <s v="-"/>
    <m/>
    <n v="0"/>
    <n v="0"/>
    <n v="0"/>
    <n v="0"/>
    <n v="0"/>
  </r>
  <r>
    <s v="BV"/>
    <s v="BV45849"/>
    <s v="Pedido 1902"/>
    <d v="2025-07-08T00:00:00"/>
    <d v="2025-07-11T00:00:00"/>
    <s v="PedidoF1787"/>
    <s v="CódRastreio1785"/>
    <n v="1"/>
    <s v="CPF 1858"/>
    <s v="Nome 1858"/>
    <s v="Tel 1858"/>
    <s v="Cep 1858"/>
    <s v="Rua 1858"/>
    <s v="Comp 1858"/>
    <x v="33"/>
    <s v="6I-CK1S-8HYZ"/>
    <d v="2025-07-29T00:00:00"/>
    <n v="28.5"/>
    <n v="28.5"/>
    <n v="3.42"/>
    <n v="25.08"/>
    <n v="19.5"/>
    <n v="0"/>
    <n v="0.39877104377104378"/>
    <n v="0"/>
    <n v="5.1812289562289529"/>
    <n v="2.5906144781144764"/>
    <d v="2025-08-05T00:00:00"/>
    <d v="2025-08-05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49"/>
    <s v="Pedido 1903"/>
    <d v="2025-07-08T00:00:00"/>
    <d v="2025-07-11T00:00:00"/>
    <s v="PedidoF1788"/>
    <s v="CódRastreio1786"/>
    <n v="1"/>
    <s v="CPF 1859"/>
    <s v="Nome 1859"/>
    <s v="Tel 1859"/>
    <s v="Cep 1859"/>
    <s v="Rua 1859"/>
    <s v="Comp 1859"/>
    <x v="33"/>
    <s v="6I-CK1S-8HYZ"/>
    <d v="2025-07-29T00:00:00"/>
    <n v="28.5"/>
    <n v="28.5"/>
    <n v="3.42"/>
    <n v="25.08"/>
    <n v="20.29"/>
    <n v="0"/>
    <n v="0.39877104377104378"/>
    <n v="0"/>
    <n v="4.3912289562289537"/>
    <n v="2.1956144781144769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2"/>
    <s v="Pedido 1904"/>
    <d v="2025-07-08T00:00:00"/>
    <d v="2025-07-14T00:00:00"/>
    <s v="PedidoF1789"/>
    <s v="CódRastreio1787"/>
    <n v="1"/>
    <s v="CPF 1860"/>
    <s v="Nome 1860"/>
    <s v="Tel 1860"/>
    <s v="Cep 1860"/>
    <s v="Rua 1860"/>
    <s v="Comp 1860"/>
    <x v="29"/>
    <s v="HG-2FNR-01A9"/>
    <d v="2025-08-02T00:00:00"/>
    <n v="23.9"/>
    <n v="23.9"/>
    <n v="2.8679999999999999"/>
    <n v="21.03"/>
    <n v="20.170000000000002"/>
    <n v="0"/>
    <n v="0.39877104377104378"/>
    <n v="5"/>
    <n v="-4.538771043771046"/>
    <n v="-2.269385521885523"/>
    <d v="2025-08-09T00:00:00"/>
    <d v="2025-08-09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49"/>
    <s v="Pedido 1905"/>
    <d v="2025-07-08T00:00:00"/>
    <d v="2025-07-11T00:00:00"/>
    <s v="PedidoF1790"/>
    <s v="CódRastreio1788"/>
    <n v="1"/>
    <s v="CPF 1861"/>
    <s v="Nome 1861"/>
    <s v="Tel 1861"/>
    <s v="Cep 1861"/>
    <s v="Rua 1861"/>
    <s v="Comp 1861"/>
    <x v="33"/>
    <s v="6I-CK1S-8HYZ"/>
    <d v="2025-07-29T00:00:00"/>
    <n v="28.5"/>
    <n v="28.5"/>
    <n v="3.42"/>
    <n v="25.08"/>
    <n v="19.89"/>
    <n v="0"/>
    <n v="0.39877104377104378"/>
    <n v="0"/>
    <n v="4.7912289562289523"/>
    <n v="2.3956144781144761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906"/>
    <d v="2025-07-08T00:00:00"/>
    <d v="2025-07-11T00:00:00"/>
    <s v="PedidoF1791"/>
    <s v="CódRastreio1789"/>
    <n v="1"/>
    <s v="CPF 1862"/>
    <s v="Nome 1862"/>
    <s v="Tel 1862"/>
    <s v="Cep 1862"/>
    <s v="Rua 1862"/>
    <s v="Comp 1862"/>
    <x v="33"/>
    <s v="6I-CK1S-8HYZ"/>
    <d v="2025-07-25T00:00:00"/>
    <n v="28.5"/>
    <n v="28.5"/>
    <n v="3.42"/>
    <n v="25.08"/>
    <n v="20.32"/>
    <n v="0"/>
    <n v="0.39877104377104378"/>
    <n v="0"/>
    <n v="4.3612289562289526"/>
    <n v="2.1806144781144763"/>
    <d v="2025-08-01T00:00:00"/>
    <d v="2025-08-01T00:00:00"/>
    <d v="2025-08-01T00:00:00"/>
    <d v="2025-08-04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907"/>
    <d v="2025-07-09T00:00:00"/>
    <d v="2025-07-11T00:00:00"/>
    <s v="PedidoF1792"/>
    <s v="CódRastreio1790"/>
    <n v="1"/>
    <s v="CPF 1863"/>
    <s v="Nome 1863"/>
    <s v="Tel 1863"/>
    <s v="Cep 1863"/>
    <s v="Rua 1863"/>
    <s v="Comp 1863"/>
    <x v="33"/>
    <s v="6I-CK1S-8HYZ"/>
    <d v="2025-07-30T00:00:00"/>
    <n v="28.5"/>
    <n v="28.5"/>
    <n v="3.42"/>
    <n v="25.08"/>
    <n v="19.5"/>
    <n v="0"/>
    <n v="0.39877104377104378"/>
    <n v="0"/>
    <n v="5.1812289562289529"/>
    <n v="2.5906144781144764"/>
    <d v="2025-08-06T00:00:00"/>
    <d v="2025-08-06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49"/>
    <s v="Pedido 1908"/>
    <d v="2025-07-09T00:00:00"/>
    <d v="2025-07-11T00:00:00"/>
    <s v="PedidoF1793"/>
    <s v="CódRastreio1791"/>
    <n v="1"/>
    <s v="CPF 1864"/>
    <s v="Nome 1864"/>
    <s v="Tel 1864"/>
    <s v="Cep 1864"/>
    <s v="Rua 1864"/>
    <s v="Comp 1864"/>
    <x v="33"/>
    <s v="6I-CK1S-8HYZ"/>
    <d v="2025-08-05T00:00:00"/>
    <n v="28.5"/>
    <n v="28.5"/>
    <n v="3.42"/>
    <n v="25.08"/>
    <n v="20.18"/>
    <n v="0"/>
    <n v="0.39877104377104378"/>
    <n v="3"/>
    <n v="1.5012289562289531"/>
    <n v="0.75061447811447657"/>
    <d v="2025-08-12T00:00:00"/>
    <d v="2025-08-12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2"/>
    <s v="Pedido 1909"/>
    <d v="2025-07-09T00:00:00"/>
    <d v="2025-07-14T00:00:00"/>
    <s v="PedidoF1794"/>
    <s v="CódRastreio1792"/>
    <n v="1"/>
    <s v="CPF 1865"/>
    <s v="Nome 1865"/>
    <s v="Tel 1865"/>
    <s v="Cep 1865"/>
    <s v="Rua 1865"/>
    <s v="Comp 1865"/>
    <x v="29"/>
    <s v="HG-2FNR-01A9"/>
    <d v="2025-08-05T00:00:00"/>
    <n v="23.9"/>
    <n v="23.9"/>
    <n v="2.8679999999999999"/>
    <n v="21.03"/>
    <n v="22.78"/>
    <n v="0"/>
    <n v="0.39877104377104378"/>
    <n v="5"/>
    <n v="-7.1487710437710454"/>
    <n v="-3.5743855218855227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2"/>
    <s v="Pedido 1910"/>
    <d v="2025-07-09T00:00:00"/>
    <d v="2025-07-14T00:00:00"/>
    <s v="PedidoF1795"/>
    <s v="CódRastreio1793"/>
    <n v="1"/>
    <s v="CPF 1866"/>
    <s v="Nome 1866"/>
    <s v="Tel 1866"/>
    <s v="Cep 1866"/>
    <s v="Rua 1866"/>
    <s v="Comp 1866"/>
    <x v="29"/>
    <s v="HG-2FNR-01A9"/>
    <d v="2025-08-05T00:00:00"/>
    <n v="23.9"/>
    <n v="23.9"/>
    <n v="2.8679999999999999"/>
    <n v="21.03"/>
    <n v="16.98"/>
    <n v="0"/>
    <n v="0.39877104377104378"/>
    <n v="3"/>
    <n v="0.65122895622895527"/>
    <n v="0.32561447811447763"/>
    <d v="2025-08-12T00:00:00"/>
    <d v="2025-08-12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49"/>
    <s v="Pedido 1911"/>
    <d v="2025-07-09T00:00:00"/>
    <d v="2025-07-11T00:00:00"/>
    <s v="PedidoF1796"/>
    <s v="CódRastreio1794"/>
    <n v="1"/>
    <s v="CPF 1867"/>
    <s v="Nome 1867"/>
    <s v="Tel 1867"/>
    <s v="Cep 1867"/>
    <s v="Rua 1867"/>
    <s v="Comp 1867"/>
    <x v="33"/>
    <s v="6I-CK1S-8HYZ"/>
    <d v="2025-07-30T00:00:00"/>
    <n v="28.5"/>
    <n v="28.5"/>
    <n v="3.42"/>
    <n v="25.08"/>
    <n v="20.41"/>
    <n v="0"/>
    <n v="0.39877104377104378"/>
    <n v="0"/>
    <n v="4.2712289562289527"/>
    <n v="2.1356144781144764"/>
    <d v="2025-08-06T00:00:00"/>
    <d v="2025-08-06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49"/>
    <s v="Pedido 1912"/>
    <d v="2025-07-09T00:00:00"/>
    <d v="2025-07-11T00:00:00"/>
    <s v="PedidoF1797"/>
    <s v="CódRastreio1795"/>
    <n v="1"/>
    <s v="CPF 1868"/>
    <s v="Nome 1868"/>
    <s v="Tel 1868"/>
    <s v="Cep 1868"/>
    <s v="Rua 1868"/>
    <s v="Comp 1868"/>
    <x v="33"/>
    <s v="6I-CK1S-8HYZ"/>
    <d v="2025-07-30T00:00:00"/>
    <n v="28.5"/>
    <n v="28.5"/>
    <n v="3.42"/>
    <n v="25.08"/>
    <n v="19.5"/>
    <n v="0"/>
    <n v="0.39877104377104378"/>
    <n v="0"/>
    <n v="5.1812289562289529"/>
    <n v="2.5906144781144764"/>
    <d v="2025-08-06T00:00:00"/>
    <d v="2025-08-06T00:00:00"/>
    <d v="2025-08-18T00:00:00"/>
    <d v="2025-08-19T00:00:00"/>
    <s v="2025 08"/>
    <s v="Aguardando Liberação"/>
    <s v="2025 07"/>
    <s v="ENTREGUE"/>
    <d v="2025-07-16T00:00:00"/>
    <s v="-"/>
    <m/>
    <n v="0"/>
    <n v="0"/>
    <n v="0"/>
    <n v="0"/>
    <n v="0"/>
  </r>
  <r>
    <s v="BV"/>
    <s v="BV45849"/>
    <s v="Pedido 1913"/>
    <d v="2025-07-09T00:00:00"/>
    <d v="2025-07-11T00:00:00"/>
    <s v="PedidoF1798"/>
    <s v="CódRastreio1796"/>
    <n v="1"/>
    <s v="CPF 1869"/>
    <s v="Nome 1869"/>
    <s v="Tel 1869"/>
    <s v="Cep 1869"/>
    <s v="Rua 1869"/>
    <s v="Comp 1869"/>
    <x v="33"/>
    <s v="6I-CK1S-8HYZ"/>
    <d v="2025-07-30T00:00:00"/>
    <n v="28.5"/>
    <n v="28.5"/>
    <n v="3.42"/>
    <n v="25.08"/>
    <n v="20.53"/>
    <n v="0"/>
    <n v="0.39877104377104378"/>
    <n v="0"/>
    <n v="4.1512289562289517"/>
    <n v="2.0756144781144759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49"/>
    <s v="Pedido 1914"/>
    <d v="2025-07-09T00:00:00"/>
    <d v="2025-07-11T00:00:00"/>
    <s v="PedidoF1799"/>
    <s v="CódRastreio1797"/>
    <n v="1"/>
    <s v="CPF 1870"/>
    <s v="Nome 1870"/>
    <s v="Tel 1870"/>
    <s v="Cep 1870"/>
    <s v="Rua 1870"/>
    <s v="Comp 1870"/>
    <x v="33"/>
    <s v="6I-CK1S-8HYZ"/>
    <d v="2025-07-30T00:00:00"/>
    <n v="28.5"/>
    <n v="28.5"/>
    <n v="3.42"/>
    <n v="25.08"/>
    <n v="20.58"/>
    <n v="0"/>
    <n v="0.39877104377104378"/>
    <n v="0"/>
    <n v="4.1012289562289546"/>
    <n v="2.0506144781144773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2"/>
    <s v="Pedido 1915"/>
    <d v="2025-07-09T00:00:00"/>
    <d v="2025-07-14T00:00:00"/>
    <s v="PedidoF1800"/>
    <s v="CódRastreio1798"/>
    <n v="1"/>
    <s v="CPF 1871"/>
    <s v="Nome 1871"/>
    <s v="Tel 1871"/>
    <s v="Cep 1871"/>
    <s v="Rua 1871"/>
    <s v="Comp 1871"/>
    <x v="29"/>
    <s v="HG-2FNR-01A9"/>
    <d v="2025-08-05T00:00:00"/>
    <n v="23.9"/>
    <n v="23.9"/>
    <n v="2.8679999999999999"/>
    <n v="21.03"/>
    <n v="16.98"/>
    <n v="0"/>
    <n v="0.39877104377104378"/>
    <n v="3"/>
    <n v="0.65122895622895527"/>
    <n v="0.32561447811447763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3"/>
    <s v="Pedido 1916"/>
    <d v="2025-07-09T00:00:00"/>
    <d v="2025-07-15T00:00:00"/>
    <s v="PedidoF1801"/>
    <s v="CódRastreio1799"/>
    <n v="1"/>
    <s v="CPF 1872"/>
    <s v="Nome 1872"/>
    <s v="Tel 1872"/>
    <s v="Cep 1872"/>
    <s v="Rua 1872"/>
    <s v="Comp 1872"/>
    <x v="33"/>
    <s v="6I-CK1S-8HYZ"/>
    <d v="2025-07-30T00:00:00"/>
    <n v="28.5"/>
    <n v="28.5"/>
    <n v="3.42"/>
    <n v="25.08"/>
    <n v="14.38"/>
    <n v="0"/>
    <n v="0.39877104377104378"/>
    <n v="0"/>
    <n v="10.301228956228954"/>
    <n v="5.1506144781144769"/>
    <d v="2025-08-06T00:00:00"/>
    <d v="2025-08-06T00:00:00"/>
    <d v="2025-08-18T00:00:00"/>
    <d v="2025-08-19T00:00:00"/>
    <s v="2025 08"/>
    <s v="Aguardando Liberação"/>
    <s v="2025 07"/>
    <s v="ENTREGUE"/>
    <d v="2025-08-05T00:00:00"/>
    <s v="-"/>
    <m/>
    <n v="0"/>
    <n v="0"/>
    <n v="0"/>
    <n v="0"/>
    <n v="0"/>
  </r>
  <r>
    <s v="BV"/>
    <s v="BV45853"/>
    <s v="Pedido 1917"/>
    <d v="2025-07-09T00:00:00"/>
    <d v="2025-07-15T00:00:00"/>
    <s v="PedidoF1802"/>
    <s v="CódRastreio1800"/>
    <n v="1"/>
    <s v="CPF 1873"/>
    <s v="Nome 1873"/>
    <s v="Tel 1873"/>
    <s v="Cep 1873"/>
    <s v="Rua 1873"/>
    <s v="Comp 1873"/>
    <x v="33"/>
    <s v="6I-CK1S-8HYZ"/>
    <d v="2025-07-30T00:00:00"/>
    <n v="28.5"/>
    <n v="28.5"/>
    <n v="3.42"/>
    <n v="25.08"/>
    <n v="18.25"/>
    <n v="0"/>
    <n v="0.39877104377104378"/>
    <n v="0"/>
    <n v="6.4312289562289529"/>
    <n v="3.2156144781144764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3"/>
    <s v="Pedido 1918"/>
    <d v="2025-07-09T00:00:00"/>
    <d v="2025-07-15T00:00:00"/>
    <s v="PedidoF1803"/>
    <s v="CódRastreio1801"/>
    <n v="1"/>
    <s v="CPF 1874"/>
    <s v="Nome 1874"/>
    <s v="Tel 1874"/>
    <s v="Cep 1874"/>
    <s v="Rua 1874"/>
    <s v="Comp 1874"/>
    <x v="33"/>
    <s v="6I-CK1S-8HYZ"/>
    <d v="2025-07-30T00:00:00"/>
    <n v="28.5"/>
    <n v="28.5"/>
    <n v="3.42"/>
    <n v="25.08"/>
    <n v="20.03"/>
    <n v="0"/>
    <n v="0.39877104377104378"/>
    <n v="0"/>
    <n v="4.6512289562289517"/>
    <n v="2.3256144781144759"/>
    <d v="2025-08-06T00:00:00"/>
    <d v="2025-08-06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3"/>
    <s v="Pedido 1919"/>
    <d v="2025-07-09T00:00:00"/>
    <d v="2025-07-15T00:00:00"/>
    <s v="PedidoF1804"/>
    <s v="CódRastreio1802"/>
    <n v="1"/>
    <s v="CPF 1875"/>
    <s v="Nome 1875"/>
    <s v="Tel 1875"/>
    <s v="Cep 1875"/>
    <s v="Rua 1875"/>
    <s v="Comp 1875"/>
    <x v="33"/>
    <s v="6I-CK1S-8HYZ"/>
    <d v="2025-07-30T00:00:00"/>
    <n v="28.5"/>
    <n v="28.5"/>
    <n v="3.42"/>
    <n v="25.08"/>
    <n v="19.579999999999998"/>
    <n v="0"/>
    <n v="0.39877104377104378"/>
    <n v="0"/>
    <n v="5.1012289562289546"/>
    <n v="2.5506144781144773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2"/>
    <s v="Pedido 1920"/>
    <d v="2025-07-10T00:00:00"/>
    <d v="2025-07-14T00:00:00"/>
    <s v="PedidoF1805"/>
    <s v="CódRastreio1803"/>
    <n v="1"/>
    <s v="CPF 1876"/>
    <s v="Nome 1876"/>
    <s v="Tel 1876"/>
    <s v="Cep 1876"/>
    <s v="Rua 1876"/>
    <s v="Comp 1876"/>
    <x v="29"/>
    <s v="HG-2FNR-01A9"/>
    <d v="2025-07-24T00:00:00"/>
    <n v="23.9"/>
    <n v="23.9"/>
    <n v="2.8679999999999999"/>
    <n v="21.03"/>
    <n v="16.98"/>
    <n v="0"/>
    <n v="0.39877104377104378"/>
    <n v="0"/>
    <n v="3.6512289562289553"/>
    <n v="1.8256144781144776"/>
    <d v="2025-07-31T00:00:00"/>
    <d v="2025-07-31T00:00:00"/>
    <d v="2025-08-01T00:00:00"/>
    <d v="2025-08-04T00:00:00"/>
    <s v="2025 07"/>
    <s v="Aguardando Liberação"/>
    <s v="2025 07"/>
    <s v="ENTREGUE"/>
    <d v="2025-07-26T00:00:00"/>
    <s v="-"/>
    <m/>
    <n v="0"/>
    <n v="0"/>
    <n v="0"/>
    <n v="0"/>
    <n v="0"/>
  </r>
  <r>
    <s v="BV"/>
    <s v="BV45852"/>
    <s v="Pedido 1921"/>
    <d v="2025-07-10T00:00:00"/>
    <d v="2025-07-14T00:00:00"/>
    <s v="PedidoF1806"/>
    <s v="CódRastreio1804"/>
    <n v="1"/>
    <s v="CPF 1877"/>
    <s v="Nome 1877"/>
    <s v="Tel 1877"/>
    <s v="Cep 1877"/>
    <s v="Rua 1877"/>
    <s v="Comp 1877"/>
    <x v="29"/>
    <s v="HG-2FNR-01A9"/>
    <d v="2025-08-06T00:00:00"/>
    <n v="23.9"/>
    <n v="23.9"/>
    <n v="2.8679999999999999"/>
    <n v="21.03"/>
    <n v="21.23"/>
    <n v="0"/>
    <n v="0.39877104377104378"/>
    <n v="5"/>
    <n v="-5.5987710437710447"/>
    <n v="-2.7993855218855224"/>
    <d v="2025-08-13T00:00:00"/>
    <d v="2025-08-13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3"/>
    <s v="Pedido 1922"/>
    <d v="2025-07-10T00:00:00"/>
    <d v="2025-07-15T00:00:00"/>
    <s v="PedidoF1807"/>
    <s v="CódRastreio1805"/>
    <n v="2"/>
    <s v="CPF 1878"/>
    <s v="Nome 1878"/>
    <s v="Tel 1878"/>
    <s v="Cep 1878"/>
    <s v="Rua 1878"/>
    <s v="Comp 1878"/>
    <x v="33"/>
    <s v="6I-CK1S-8HYZ"/>
    <d v="2025-07-31T00:00:00"/>
    <n v="57"/>
    <n v="57"/>
    <n v="6.84"/>
    <n v="50.16"/>
    <n v="35.86"/>
    <n v="0"/>
    <n v="0.39877104377104378"/>
    <n v="0"/>
    <n v="13.901228956228955"/>
    <n v="6.9506144781144776"/>
    <d v="2025-08-07T00:00:00"/>
    <d v="2025-08-07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3"/>
    <s v="Pedido 1923"/>
    <d v="2025-07-10T00:00:00"/>
    <d v="2025-07-15T00:00:00"/>
    <s v="PedidoF1808"/>
    <s v="CódRastreio1806"/>
    <n v="1"/>
    <s v="CPF 1879"/>
    <s v="Nome 1879"/>
    <s v="Tel 1879"/>
    <s v="Cep 1879"/>
    <s v="Rua 1879"/>
    <s v="Comp 1879"/>
    <x v="33"/>
    <s v="6I-CK1S-8HYZ"/>
    <d v="2025-07-31T00:00:00"/>
    <n v="28.5"/>
    <n v="28.5"/>
    <n v="3.42"/>
    <n v="25.08"/>
    <n v="18.38"/>
    <n v="0"/>
    <n v="0.39877104377104378"/>
    <n v="1"/>
    <n v="5.3012289562289538"/>
    <n v="2.6506144781144769"/>
    <d v="2025-08-07T00:00:00"/>
    <d v="2025-08-07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3"/>
    <s v="Pedido 1924"/>
    <d v="2025-07-10T00:00:00"/>
    <d v="2025-07-15T00:00:00"/>
    <s v="PedidoF1809"/>
    <s v="CódRastreio1807"/>
    <n v="2"/>
    <s v="CPF 1880"/>
    <s v="Nome 1880"/>
    <s v="Tel 1880"/>
    <s v="Cep 1880"/>
    <s v="Rua 1880"/>
    <s v="Comp 1880"/>
    <x v="33"/>
    <s v="6I-CK1S-8HYZ"/>
    <d v="2025-07-31T00:00:00"/>
    <n v="57"/>
    <n v="57"/>
    <n v="6.84"/>
    <n v="50.16"/>
    <n v="36.32"/>
    <n v="0"/>
    <n v="0.39877104377104378"/>
    <n v="0"/>
    <n v="13.441228956228954"/>
    <n v="6.7206144781144772"/>
    <d v="2025-08-07T00:00:00"/>
    <d v="2025-08-07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3"/>
    <s v="Pedido 1925"/>
    <d v="2025-07-11T00:00:00"/>
    <d v="2025-07-15T00:00:00"/>
    <s v="PedidoF1810"/>
    <s v="CódRastreio1808"/>
    <n v="1"/>
    <s v="CPF 1881"/>
    <s v="Nome 1881"/>
    <s v="Tel 1881"/>
    <s v="Cep 1881"/>
    <s v="Rua 1881"/>
    <s v="Comp 1881"/>
    <x v="33"/>
    <s v="6I-CK1S-8HYZ"/>
    <d v="2025-07-25T00:00:00"/>
    <n v="28.5"/>
    <n v="28.5"/>
    <n v="3.42"/>
    <n v="25.08"/>
    <n v="17.55"/>
    <n v="0"/>
    <n v="0.39877104377104378"/>
    <n v="0"/>
    <n v="7.1312289562289521"/>
    <n v="3.5656144781144761"/>
    <d v="2025-08-01T00:00:00"/>
    <d v="2025-08-01T00:00:00"/>
    <d v="2025-08-01T00:00:00"/>
    <d v="2025-08-04T00:00:00"/>
    <s v="2025 08"/>
    <s v="Aguardando Liberação"/>
    <s v="2025 07"/>
    <s v="ENTREGUE"/>
    <d v="2025-07-19T00:00:00"/>
    <s v="-"/>
    <m/>
    <n v="0"/>
    <n v="0"/>
    <n v="0"/>
    <n v="0"/>
    <n v="0"/>
  </r>
  <r>
    <s v="BV"/>
    <s v="BV45853"/>
    <s v="Pedido 1926"/>
    <d v="2025-07-11T00:00:00"/>
    <d v="2025-07-15T00:00:00"/>
    <s v="PedidoF1811"/>
    <s v="CódRastreio1809"/>
    <n v="1"/>
    <s v="CPF 1882"/>
    <s v="Nome 1882"/>
    <s v="Tel 1882"/>
    <s v="Cep 1882"/>
    <s v="Rua 1882"/>
    <s v="Comp 1882"/>
    <x v="28"/>
    <s v="ZV-W7II-K7TO"/>
    <d v="2025-07-25T00:00:00"/>
    <n v="49.99"/>
    <n v="49.99"/>
    <n v="5.9988000000000001"/>
    <n v="43.99"/>
    <n v="0"/>
    <n v="0"/>
    <n v="0.39877104377104378"/>
    <n v="0"/>
    <n v="43.59122895622896"/>
    <n v="21.79561447811448"/>
    <d v="2025-08-01T00:00:00"/>
    <d v="2025-08-01T00:00:00"/>
    <d v="2025-08-01T00:00:00"/>
    <d v="2025-08-04T00:00:00"/>
    <s v="2025 08"/>
    <s v="Aguardando Liberação"/>
    <s v="2025 07"/>
    <s v="ENTREGUE"/>
    <d v="2025-08-12T00:00:00"/>
    <s v="-"/>
    <m/>
    <n v="0"/>
    <n v="0"/>
    <n v="0.4"/>
    <n v="0"/>
    <n v="0.4"/>
  </r>
  <r>
    <s v="BV"/>
    <s v="BV45853"/>
    <s v="Pedido 1927"/>
    <d v="2025-07-11T00:00:00"/>
    <d v="2025-07-15T00:00:00"/>
    <s v="PedidoF1812"/>
    <s v="CódRastreio1810"/>
    <n v="1"/>
    <s v="CPF 1883"/>
    <s v="Nome 1883"/>
    <s v="Tel 1883"/>
    <s v="Cep 1883"/>
    <s v="Rua 1883"/>
    <s v="Comp 1883"/>
    <x v="33"/>
    <s v="6I-CK1S-8HYZ"/>
    <d v="2025-07-25T00:00:00"/>
    <n v="28.5"/>
    <n v="28.5"/>
    <n v="3.42"/>
    <n v="25.08"/>
    <n v="17.600000000000001"/>
    <n v="0"/>
    <n v="0.39877104377104378"/>
    <n v="0"/>
    <n v="7.0812289562289514"/>
    <n v="3.5406144781144757"/>
    <d v="2025-08-01T00:00:00"/>
    <d v="2025-08-01T00:00:00"/>
    <d v="2025-08-01T00:00:00"/>
    <d v="2025-08-04T00:00:00"/>
    <s v="2025 08"/>
    <s v="Aguardando Liberação"/>
    <s v="2025 07"/>
    <s v="ENTREGUE"/>
    <d v="2025-07-19T00:00:00"/>
    <s v="-"/>
    <m/>
    <n v="0"/>
    <n v="0"/>
    <n v="0"/>
    <n v="0"/>
    <n v="0"/>
  </r>
  <r>
    <s v="BV"/>
    <s v="BV45853"/>
    <s v="Pedido 1928"/>
    <d v="2025-07-11T00:00:00"/>
    <d v="2025-07-15T00:00:00"/>
    <s v="PedidoF1813"/>
    <s v="CódRastreio1811"/>
    <n v="1"/>
    <s v="CPF 1884"/>
    <s v="Nome 1884"/>
    <s v="Tel 1884"/>
    <s v="Cep 1884"/>
    <s v="Rua 1884"/>
    <s v="Comp 1884"/>
    <x v="33"/>
    <s v="6I-CK1S-8HYZ"/>
    <d v="2025-07-25T00:00:00"/>
    <n v="28.5"/>
    <n v="28.5"/>
    <n v="3.42"/>
    <n v="25.08"/>
    <n v="23.36"/>
    <n v="0"/>
    <n v="0.39877104377104378"/>
    <n v="0"/>
    <n v="1.3212289562289534"/>
    <n v="0.66061447811447671"/>
    <d v="2025-08-01T00:00:00"/>
    <d v="2025-08-01T00:00:00"/>
    <d v="2025-08-01T00:00:00"/>
    <d v="2025-08-04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3"/>
    <s v="Pedido 1929"/>
    <d v="2025-07-11T00:00:00"/>
    <d v="2025-07-15T00:00:00"/>
    <s v="PedidoF1814"/>
    <s v="CódRastreio1812"/>
    <n v="1"/>
    <s v="CPF 1885"/>
    <s v="Nome 1885"/>
    <s v="Tel 1885"/>
    <s v="Cep 1885"/>
    <s v="Rua 1885"/>
    <s v="Comp 1885"/>
    <x v="33"/>
    <s v="6I-CK1S-8HYZ"/>
    <d v="2025-07-26T00:00:00"/>
    <n v="28.5"/>
    <n v="28.5"/>
    <n v="3.42"/>
    <n v="25.08"/>
    <n v="21.96"/>
    <n v="0"/>
    <n v="0.39877104377104378"/>
    <n v="0"/>
    <n v="2.721228956228952"/>
    <n v="1.360614478114476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4"/>
    <s v="Pedido 1930"/>
    <d v="2025-07-11T00:00:00"/>
    <d v="2025-07-16T00:00:00"/>
    <s v="PedidoF1815"/>
    <s v="CódRastreio1813"/>
    <n v="1"/>
    <s v="CPF 1886"/>
    <s v="Nome 1886"/>
    <s v="Tel 1886"/>
    <s v="Cep 1886"/>
    <s v="Rua 1886"/>
    <s v="Comp 1886"/>
    <x v="33"/>
    <s v="6I-CK1S-8HYZ"/>
    <d v="2025-08-01T00:00:00"/>
    <n v="28.5"/>
    <n v="28.5"/>
    <n v="3.42"/>
    <n v="25.08"/>
    <n v="24.57"/>
    <n v="0"/>
    <n v="0.39877104377104378"/>
    <n v="0"/>
    <n v="0.11122895622895257"/>
    <n v="5.5614478114476285E-2"/>
    <d v="2025-08-08T00:00:00"/>
    <d v="2025-08-08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31"/>
    <d v="2025-07-11T00:00:00"/>
    <d v="2025-07-17T00:00:00"/>
    <s v="PedidoF1816"/>
    <s v="CódRastreio1814"/>
    <n v="1"/>
    <s v="CPF 1887"/>
    <s v="Nome 1887"/>
    <s v="Tel 1887"/>
    <s v="Cep 1887"/>
    <s v="Rua 1887"/>
    <s v="Comp 1887"/>
    <x v="33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d v="2025-08-06T00:00:00"/>
    <d v="2025-08-06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5"/>
    <s v="Pedido 1932"/>
    <d v="2025-07-11T00:00:00"/>
    <d v="2025-07-17T00:00:00"/>
    <s v="PedidoF1817"/>
    <s v="CódRastreio1815"/>
    <n v="1"/>
    <s v="CPF 1888"/>
    <s v="Nome 1888"/>
    <s v="Tel 1888"/>
    <s v="Cep 1888"/>
    <s v="Rua 1888"/>
    <s v="Comp 1888"/>
    <x v="33"/>
    <s v="6I-CK1S-8HYZ"/>
    <d v="2025-07-26T00:00:00"/>
    <n v="28.5"/>
    <n v="28.5"/>
    <n v="3.42"/>
    <n v="25.08"/>
    <n v="23.21"/>
    <n v="0"/>
    <n v="0.39877104377104378"/>
    <n v="0"/>
    <n v="1.471228956228952"/>
    <n v="0.735614478114476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33"/>
    <d v="2025-07-11T00:00:00"/>
    <d v="2025-07-17T00:00:00"/>
    <s v="PedidoF1818"/>
    <s v="CódRastreio1816"/>
    <n v="1"/>
    <s v="CPF 1889"/>
    <s v="Nome 1889"/>
    <s v="Tel 1889"/>
    <s v="Cep 1889"/>
    <s v="Rua 1889"/>
    <s v="Comp 1889"/>
    <x v="33"/>
    <s v="6I-CK1S-8HYZ"/>
    <d v="2025-07-26T00:00:00"/>
    <n v="28.5"/>
    <n v="28.5"/>
    <n v="3.42"/>
    <n v="25.08"/>
    <n v="23.49"/>
    <n v="0"/>
    <n v="0.39877104377104378"/>
    <n v="0"/>
    <n v="1.1912289562289544"/>
    <n v="0.59561447811447721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GO"/>
    <s v="GO45854"/>
    <s v="Pedido 1934"/>
    <d v="2025-07-11T00:00:00"/>
    <d v="2025-07-16T00:00:00"/>
    <s v="PedidoF1819"/>
    <s v="CódRastreio1817"/>
    <n v="1"/>
    <s v="CPF 1890"/>
    <s v="Nome 1890"/>
    <s v="Tel 1890"/>
    <s v="Cep 1890"/>
    <s v="Rua 1890"/>
    <s v="Comp 1890"/>
    <x v="28"/>
    <s v="EL-YKJD-0WWL"/>
    <d v="2025-08-06T00:00:00"/>
    <n v="54.99"/>
    <n v="54.99"/>
    <n v="6.5987999999999998"/>
    <n v="48.39"/>
    <n v="0"/>
    <n v="0"/>
    <n v="0.39877104377104378"/>
    <n v="0"/>
    <n v="47.991228956228959"/>
    <n v="47.991228956228959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45.29"/>
    <n v="45.29"/>
  </r>
  <r>
    <s v="BV"/>
    <s v="BV45855"/>
    <s v="Pedido 1935"/>
    <d v="2025-07-12T00:00:00"/>
    <d v="2025-07-17T00:00:00"/>
    <s v="PedidoF1820"/>
    <s v="CódRastreio1818"/>
    <n v="1"/>
    <s v="CPF 1891"/>
    <s v="Nome 1891"/>
    <s v="Tel 1891"/>
    <s v="Cep 1891"/>
    <s v="Rua 1891"/>
    <s v="Comp 1891"/>
    <x v="33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36"/>
    <d v="2025-07-12T00:00:00"/>
    <d v="2025-07-17T00:00:00"/>
    <s v="PedidoF1821"/>
    <s v="CódRastreio1819"/>
    <n v="1"/>
    <s v="CPF 1892"/>
    <s v="Nome 1892"/>
    <s v="Tel 1892"/>
    <s v="Cep 1892"/>
    <s v="Rua 1892"/>
    <s v="Comp 1892"/>
    <x v="33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d v="2025-08-06T00:00:00"/>
    <d v="2025-08-06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5"/>
    <s v="Pedido 1937"/>
    <d v="2025-07-12T00:00:00"/>
    <d v="2025-07-17T00:00:00"/>
    <s v="PedidoF1822"/>
    <s v="CódRastreio1820"/>
    <n v="1"/>
    <s v="CPF 1893"/>
    <s v="Nome 1893"/>
    <s v="Tel 1893"/>
    <s v="Cep 1893"/>
    <s v="Rua 1893"/>
    <s v="Comp 1893"/>
    <x v="33"/>
    <s v="6I-CK1S-8HYZ"/>
    <d v="2025-08-01T00:00:00"/>
    <n v="28.5"/>
    <n v="28.5"/>
    <n v="3.42"/>
    <n v="25.08"/>
    <n v="22.58"/>
    <n v="0"/>
    <n v="0.39877104377104378"/>
    <n v="0"/>
    <n v="2.1012289562289546"/>
    <n v="1.0506144781144773"/>
    <d v="2025-08-08T00:00:00"/>
    <d v="2025-08-08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5"/>
    <s v="Pedido 1938"/>
    <d v="2025-07-12T00:00:00"/>
    <d v="2025-07-17T00:00:00"/>
    <s v="PedidoF1823"/>
    <s v="CódRastreio1821"/>
    <n v="1"/>
    <s v="CPF 1894"/>
    <s v="Nome 1894"/>
    <s v="Tel 1894"/>
    <s v="Cep 1894"/>
    <s v="Rua 1894"/>
    <s v="Comp 1894"/>
    <x v="33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39"/>
    <d v="2025-07-12T00:00:00"/>
    <d v="2025-07-17T00:00:00"/>
    <s v="PedidoF1824"/>
    <s v="CódRastreio1822"/>
    <n v="1"/>
    <s v="CPF 1895"/>
    <s v="Nome 1895"/>
    <s v="Tel 1895"/>
    <s v="Cep 1895"/>
    <s v="Rua 1895"/>
    <s v="Comp 1895"/>
    <x v="33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40"/>
    <d v="2025-07-12T00:00:00"/>
    <d v="2025-07-17T00:00:00"/>
    <s v="PedidoF1825"/>
    <s v="CódRastreio1823"/>
    <n v="1"/>
    <s v="CPF 1896"/>
    <s v="Nome 1896"/>
    <s v="Tel 1896"/>
    <s v="Cep 1896"/>
    <s v="Rua 1896"/>
    <s v="Comp 1896"/>
    <x v="33"/>
    <s v="6I-CK1S-8HYZ"/>
    <d v="2025-07-26T00:00:00"/>
    <n v="28.5"/>
    <n v="28.5"/>
    <n v="3.42"/>
    <n v="25.08"/>
    <n v="23.21"/>
    <n v="0"/>
    <n v="0.39877104377104378"/>
    <n v="0"/>
    <n v="1.471228956228952"/>
    <n v="0.735614478114476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41"/>
    <d v="2025-07-12T00:00:00"/>
    <d v="2025-07-17T00:00:00"/>
    <s v="PedidoF1826"/>
    <s v="CódRastreio1824"/>
    <n v="1"/>
    <s v="CPF 1897"/>
    <s v="Nome 1897"/>
    <s v="Tel 1897"/>
    <s v="Cep 1897"/>
    <s v="Rua 1897"/>
    <s v="Comp 1897"/>
    <x v="33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d v="2025-08-02T00:00:00"/>
    <d v="2025-08-02T00:00:00"/>
    <d v="2025-08-18T00:00:00"/>
    <d v="2025-08-19T00:00:00"/>
    <s v="2025 08"/>
    <s v="Aguardando Liberação"/>
    <s v="2025 07"/>
    <s v="ENTREGUE"/>
    <d v="2025-07-20T00:00:00"/>
    <s v="-"/>
    <m/>
    <n v="0"/>
    <n v="0"/>
    <n v="0"/>
    <n v="0"/>
    <n v="0"/>
  </r>
  <r>
    <s v="BV"/>
    <s v="BV45855"/>
    <s v="Pedido 1942"/>
    <d v="2025-07-12T00:00:00"/>
    <d v="2025-07-17T00:00:00"/>
    <s v="PedidoF1827"/>
    <s v="CódRastreio1825"/>
    <n v="1"/>
    <s v="CPF 1898"/>
    <s v="Nome 1898"/>
    <s v="Tel 1898"/>
    <s v="Cep 1898"/>
    <s v="Rua 1898"/>
    <s v="Comp 1898"/>
    <x v="33"/>
    <s v="6I-CK1S-8HYZ"/>
    <d v="2025-08-01T00:00:00"/>
    <n v="28.5"/>
    <n v="28.5"/>
    <n v="3.42"/>
    <n v="25.08"/>
    <n v="23.49"/>
    <n v="0"/>
    <n v="0.39877104377104378"/>
    <n v="0"/>
    <n v="1.1912289562289544"/>
    <n v="0.59561447811447721"/>
    <d v="2025-08-08T00:00:00"/>
    <d v="2025-08-08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5"/>
    <s v="Pedido 1943"/>
    <d v="2025-07-12T00:00:00"/>
    <d v="2025-07-17T00:00:00"/>
    <s v="PedidoF1828"/>
    <s v="CódRastreio1826"/>
    <n v="1"/>
    <s v="CPF 1899"/>
    <s v="Nome 1899"/>
    <s v="Tel 1899"/>
    <s v="Cep 1899"/>
    <s v="Rua 1899"/>
    <s v="Comp 1899"/>
    <x v="33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d v="2025-08-06T00:00:00"/>
    <d v="2025-08-06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5"/>
    <s v="Pedido 1944"/>
    <d v="2025-07-12T00:00:00"/>
    <d v="2025-07-17T00:00:00"/>
    <s v="PedidoF1829"/>
    <s v="CódRastreio1827"/>
    <n v="1"/>
    <s v="CPF 1900"/>
    <s v="Nome 1900"/>
    <s v="Tel 1900"/>
    <s v="Cep 1900"/>
    <s v="Rua 1900"/>
    <s v="Comp 1900"/>
    <x v="33"/>
    <s v="6I-CK1S-8HYZ"/>
    <d v="2025-07-26T00:00:00"/>
    <n v="28.5"/>
    <n v="28.5"/>
    <n v="3.42"/>
    <n v="25.08"/>
    <n v="23.43"/>
    <n v="0"/>
    <n v="0.39877104377104378"/>
    <n v="0"/>
    <n v="1.2512289562289531"/>
    <n v="0.62561447811447657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45"/>
    <d v="2025-07-13T00:00:00"/>
    <d v="2025-07-18T00:00:00"/>
    <s v="PedidoF1830"/>
    <s v="CódRastreio1828"/>
    <n v="1"/>
    <s v="CPF 1901"/>
    <s v="Nome 1901"/>
    <s v="Tel 1901"/>
    <s v="Cep 1901"/>
    <s v="Rua 1901"/>
    <s v="Comp 1901"/>
    <x v="33"/>
    <s v="6I-CK1S-8HYZ"/>
    <d v="2025-08-01T00:00:00"/>
    <n v="28.5"/>
    <n v="28.5"/>
    <n v="3.42"/>
    <n v="25.08"/>
    <n v="22.58"/>
    <n v="0"/>
    <n v="0.39877104377104378"/>
    <n v="0"/>
    <n v="2.1012289562289546"/>
    <n v="1.0506144781144773"/>
    <d v="2025-08-08T00:00:00"/>
    <d v="2025-08-08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5"/>
    <s v="Pedido 1946"/>
    <d v="2025-07-13T00:00:00"/>
    <d v="2025-07-17T00:00:00"/>
    <s v="PedidoF1831"/>
    <s v="CódRastreio1829"/>
    <n v="1"/>
    <s v="CPF 1902"/>
    <s v="Nome 1902"/>
    <s v="Tel 1902"/>
    <s v="Cep 1902"/>
    <s v="Rua 1902"/>
    <s v="Comp 1902"/>
    <x v="33"/>
    <s v="6I-CK1S-8HYZ"/>
    <d v="2025-08-01T00:00:00"/>
    <n v="28.5"/>
    <n v="28.5"/>
    <n v="3.42"/>
    <n v="25.08"/>
    <n v="22.58"/>
    <n v="0"/>
    <n v="0.39877104377104378"/>
    <n v="0"/>
    <n v="2.1012289562289546"/>
    <n v="1.0506144781144773"/>
    <d v="2025-08-08T00:00:00"/>
    <d v="2025-08-08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3"/>
    <s v="Pedido 1947"/>
    <d v="2025-07-13T00:00:00"/>
    <d v="2025-07-15T00:00:00"/>
    <s v="PedidoF1832"/>
    <s v="CódRastreio1830"/>
    <n v="2"/>
    <s v="CPF 1903"/>
    <s v="Nome 1903"/>
    <s v="Tel 1903"/>
    <s v="Cep 1903"/>
    <s v="Rua 1903"/>
    <s v="Comp 1903"/>
    <x v="33"/>
    <s v="6I-CK1S-8HYZ"/>
    <d v="2025-07-26T00:00:00"/>
    <n v="57"/>
    <n v="57"/>
    <n v="6.84"/>
    <n v="50.16"/>
    <n v="35.26"/>
    <n v="0"/>
    <n v="0.39877104377104378"/>
    <n v="0"/>
    <n v="14.501228956228957"/>
    <n v="7.2506144781144783"/>
    <d v="2025-08-02T00:00:00"/>
    <d v="2025-08-02T00:00:00"/>
    <d v="2025-08-18T00:00:00"/>
    <d v="2025-08-19T00:00:00"/>
    <s v="2025 08"/>
    <s v="Aguardando Liberação"/>
    <s v="2025 07"/>
    <s v="ENTREGUE"/>
    <d v="2025-07-18T00:00:00"/>
    <s v="-"/>
    <m/>
    <n v="0"/>
    <n v="0"/>
    <n v="0"/>
    <n v="0"/>
    <n v="0"/>
  </r>
  <r>
    <s v="BV"/>
    <s v="BV45856"/>
    <s v="Pedido 1948"/>
    <d v="2025-07-13T00:00:00"/>
    <d v="2025-07-18T00:00:00"/>
    <s v="PedidoF1833"/>
    <s v="CódRastreio1831"/>
    <n v="1"/>
    <s v="CPF 1904"/>
    <s v="Nome 1904"/>
    <s v="Tel 1904"/>
    <s v="Cep 1904"/>
    <s v="Rua 1904"/>
    <s v="Comp 1904"/>
    <x v="33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d v="2025-08-06T00:00:00"/>
    <d v="2025-08-06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6"/>
    <s v="Pedido 1949"/>
    <d v="2025-07-13T00:00:00"/>
    <d v="2025-07-18T00:00:00"/>
    <s v="PedidoF1834"/>
    <s v="CódRastreio1832"/>
    <n v="1"/>
    <s v="CPF 1905"/>
    <s v="Nome 1905"/>
    <s v="Tel 1905"/>
    <s v="Cep 1905"/>
    <s v="Rua 1905"/>
    <s v="Comp 1905"/>
    <x v="33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50"/>
    <d v="2025-07-13T00:00:00"/>
    <d v="2025-07-18T00:00:00"/>
    <s v="PedidoF1835"/>
    <s v="CódRastreio1833"/>
    <n v="1"/>
    <s v="CPF 1906"/>
    <s v="Nome 1906"/>
    <s v="Tel 1906"/>
    <s v="Cep 1906"/>
    <s v="Rua 1906"/>
    <s v="Comp 1906"/>
    <x v="33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d v="2025-08-02T00:00:00"/>
    <d v="2025-08-02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2"/>
    <s v="Pedido 1951"/>
    <d v="2025-07-12T00:00:00"/>
    <d v="2025-07-14T00:00:00"/>
    <s v="PedidoF1836"/>
    <s v="CódRastreio1834"/>
    <n v="1"/>
    <s v="CPF 1907"/>
    <s v="Nome 1907"/>
    <s v="Tel 1907"/>
    <s v="Cep 1907"/>
    <s v="Rua 1907"/>
    <s v="Comp 1907"/>
    <x v="29"/>
    <s v="HG-2FNR-01A9"/>
    <d v="2025-07-30T00:00:00"/>
    <n v="23.9"/>
    <n v="23.9"/>
    <n v="2.8679999999999999"/>
    <n v="21.03"/>
    <n v="16.98"/>
    <n v="0"/>
    <n v="0.39877104377104378"/>
    <n v="0"/>
    <n v="3.6512289562289553"/>
    <n v="1.8256144781144776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52"/>
    <d v="2025-07-14T00:00:00"/>
    <d v="2025-07-18T00:00:00"/>
    <s v="PedidoF1837"/>
    <s v="CódRastreio1835"/>
    <n v="1"/>
    <s v="CPF 1908"/>
    <s v="Nome 1908"/>
    <s v="Tel 1908"/>
    <s v="Cep 1908"/>
    <s v="Rua 1908"/>
    <s v="Comp 1908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53"/>
    <d v="2025-07-14T00:00:00"/>
    <d v="2025-07-18T00:00:00"/>
    <s v="PedidoF1838"/>
    <s v="CódRastreio1836"/>
    <n v="1"/>
    <s v="CPF 1909"/>
    <s v="Nome 1909"/>
    <s v="Tel 1909"/>
    <s v="Cep 1909"/>
    <s v="Rua 1909"/>
    <s v="Comp 1909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6"/>
    <s v="Pedido 1954"/>
    <d v="2025-07-14T00:00:00"/>
    <d v="2025-07-18T00:00:00"/>
    <s v="PedidoF1839"/>
    <s v="CódRastreio1837"/>
    <n v="1"/>
    <s v="CPF 1910"/>
    <s v="Nome 1910"/>
    <s v="Tel 1910"/>
    <s v="Cep 1910"/>
    <s v="Rua 1910"/>
    <s v="Comp 1910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55"/>
    <d v="2025-07-14T00:00:00"/>
    <d v="2025-07-18T00:00:00"/>
    <s v="PedidoF1840"/>
    <s v="CódRastreio1838"/>
    <n v="1"/>
    <s v="CPF 1911"/>
    <s v="Nome 1911"/>
    <s v="Tel 1911"/>
    <s v="Cep 1911"/>
    <s v="Rua 1911"/>
    <s v="Comp 1911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0T00:00:00"/>
    <s v="-"/>
    <m/>
    <n v="0"/>
    <n v="0"/>
    <n v="0"/>
    <n v="0"/>
    <n v="0"/>
  </r>
  <r>
    <s v="BV"/>
    <s v="BV45856"/>
    <s v="Pedido 1956"/>
    <d v="2025-07-14T00:00:00"/>
    <d v="2025-07-18T00:00:00"/>
    <s v="PedidoF1841"/>
    <s v="CódRastreio1839"/>
    <n v="1"/>
    <s v="CPF 1912"/>
    <s v="Nome 1912"/>
    <s v="Tel 1912"/>
    <s v="Cep 1912"/>
    <s v="Rua 1912"/>
    <s v="Comp 1912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57"/>
    <d v="2025-07-14T00:00:00"/>
    <d v="2025-07-18T00:00:00"/>
    <s v="PedidoF1842"/>
    <s v="CódRastreio1840"/>
    <n v="1"/>
    <s v="CPF 1913"/>
    <s v="Nome 1913"/>
    <s v="Tel 1913"/>
    <s v="Cep 1913"/>
    <s v="Rua 1913"/>
    <s v="Comp 1913"/>
    <x v="33"/>
    <s v="6I-CK1S-8HYZ"/>
    <d v="2025-08-02T00:00:00"/>
    <n v="28.5"/>
    <n v="28.5"/>
    <n v="3.42"/>
    <n v="25.08"/>
    <n v="22.58"/>
    <n v="0"/>
    <n v="0.39877104377104378"/>
    <n v="0"/>
    <n v="2.1012289562289546"/>
    <n v="1.0506144781144773"/>
    <d v="2025-08-09T00:00:00"/>
    <d v="2025-08-09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6"/>
    <s v="Pedido 1958"/>
    <d v="2025-07-14T00:00:00"/>
    <d v="2025-07-18T00:00:00"/>
    <s v="PedidoF1843"/>
    <s v="CódRastreio1841"/>
    <n v="1"/>
    <s v="CPF 1914"/>
    <s v="Nome 1914"/>
    <s v="Tel 1914"/>
    <s v="Cep 1914"/>
    <s v="Rua 1914"/>
    <s v="Comp 1914"/>
    <x v="33"/>
    <s v="6I-CK1S-8HYZ"/>
    <d v="2025-08-08T00:00:00"/>
    <n v="28.5"/>
    <n v="28.5"/>
    <n v="3.42"/>
    <n v="25.08"/>
    <n v="22.58"/>
    <n v="0"/>
    <n v="0.39877104377104378"/>
    <n v="2"/>
    <n v="0.10122895622895456"/>
    <n v="5.0614478114477279E-2"/>
    <d v="2025-08-15T00:00:00"/>
    <d v="2025-08-15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59"/>
    <d v="2025-07-14T00:00:00"/>
    <d v="2025-07-18T00:00:00"/>
    <s v="PedidoF1844"/>
    <s v="CódRastreio1842"/>
    <n v="1"/>
    <s v="CPF 1915"/>
    <s v="Nome 1915"/>
    <s v="Tel 1915"/>
    <s v="Cep 1915"/>
    <s v="Rua 1915"/>
    <s v="Comp 1915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3"/>
    <s v="Pedido 1960"/>
    <d v="2025-07-14T00:00:00"/>
    <d v="2025-07-15T00:00:00"/>
    <s v="PedidoF1845"/>
    <s v="CódRastreio1843"/>
    <n v="3"/>
    <s v="CPF 1916"/>
    <s v="Nome 1916"/>
    <s v="Tel 1916"/>
    <s v="Cep 1916"/>
    <s v="Rua 1916"/>
    <s v="Comp 1916"/>
    <x v="33"/>
    <s v="6I-CK1S-8HYZ"/>
    <d v="2025-07-31T00:00:00"/>
    <n v="85.5"/>
    <n v="85.5"/>
    <n v="10.26"/>
    <n v="75.239999999999995"/>
    <n v="56.18"/>
    <n v="0"/>
    <n v="0.39877104377104378"/>
    <n v="0"/>
    <n v="18.661228956228953"/>
    <n v="9.3306144781144766"/>
    <d v="2025-08-07T00:00:00"/>
    <d v="2025-08-07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61"/>
    <d v="2025-07-14T00:00:00"/>
    <d v="2025-07-18T00:00:00"/>
    <s v="PedidoF1846"/>
    <s v="CódRastreio1844"/>
    <n v="1"/>
    <s v="CPF 1917"/>
    <s v="Nome 1917"/>
    <s v="Tel 1917"/>
    <s v="Cep 1917"/>
    <s v="Rua 1917"/>
    <s v="Comp 1917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6"/>
    <s v="Pedido 1962"/>
    <d v="2025-07-14T00:00:00"/>
    <d v="2025-07-18T00:00:00"/>
    <s v="PedidoF1847"/>
    <s v="CódRastreio1845"/>
    <n v="1"/>
    <s v="CPF 1918"/>
    <s v="Nome 1918"/>
    <s v="Tel 1918"/>
    <s v="Cep 1918"/>
    <s v="Rua 1918"/>
    <s v="Comp 1918"/>
    <x v="33"/>
    <s v="6I-CK1S-8HYZ"/>
    <d v="2025-08-02T00:00:00"/>
    <n v="28.5"/>
    <n v="28.5"/>
    <n v="3.42"/>
    <n v="25.08"/>
    <n v="22.58"/>
    <n v="0"/>
    <n v="0.39877104377104378"/>
    <n v="0"/>
    <n v="2.1012289562289546"/>
    <n v="1.0506144781144773"/>
    <d v="2025-08-09T00:00:00"/>
    <d v="2025-08-09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3"/>
    <s v="Pedido 1963"/>
    <d v="2025-07-14T00:00:00"/>
    <d v="2025-07-15T00:00:00"/>
    <s v="PedidoF1848"/>
    <s v="CódRastreio1846"/>
    <n v="1"/>
    <s v="CPF 1919"/>
    <s v="Nome 1919"/>
    <s v="Tel 1919"/>
    <s v="Cep 1919"/>
    <s v="Rua 1919"/>
    <s v="Comp 1919"/>
    <x v="33"/>
    <s v="6I-CK1S-8HYZ"/>
    <d v="2025-08-02T00:00:00"/>
    <n v="28.5"/>
    <n v="28.5"/>
    <n v="3.42"/>
    <n v="25.08"/>
    <n v="25.2"/>
    <n v="0"/>
    <n v="0.39877104377104378"/>
    <n v="10"/>
    <n v="-10.518771043771046"/>
    <n v="-5.2593855218855232"/>
    <d v="2025-08-09T00:00:00"/>
    <d v="2025-08-09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3"/>
    <s v="Pedido 1964"/>
    <d v="2025-07-14T00:00:00"/>
    <d v="2025-07-15T00:00:00"/>
    <s v="PedidoF1849"/>
    <s v="CódRastreio1847"/>
    <n v="1"/>
    <s v="CPF 1920"/>
    <s v="Nome 1920"/>
    <s v="Tel 1920"/>
    <s v="Cep 1920"/>
    <s v="Rua 1920"/>
    <s v="Comp 1920"/>
    <x v="28"/>
    <s v="ZV-W7II-K7TO"/>
    <d v="2025-08-08T00:00:00"/>
    <n v="49.99"/>
    <n v="49.99"/>
    <n v="5.9988000000000001"/>
    <n v="43.99"/>
    <n v="10.59"/>
    <n v="0"/>
    <n v="0.39877104377104378"/>
    <n v="3"/>
    <n v="30.001228956228957"/>
    <n v="15.000614478114478"/>
    <d v="2025-08-15T00:00:00"/>
    <d v="2025-08-15T00:00:00"/>
    <d v="2025-08-18T00:00:00"/>
    <d v="2025-08-19T00:00:00"/>
    <s v="2025 08"/>
    <s v="Aguardando Liberação"/>
    <s v="2025 07"/>
    <s v="ENTREGUE"/>
    <d v="2025-08-01T00:00:00"/>
    <s v="-"/>
    <m/>
    <n v="0"/>
    <n v="0"/>
    <n v="0"/>
    <n v="0"/>
    <n v="0"/>
  </r>
  <r>
    <s v="GO"/>
    <s v="GO-"/>
    <s v="Pedido 1965"/>
    <d v="2025-07-13T00:00:00"/>
    <s v="-"/>
    <s v="-"/>
    <s v="-"/>
    <n v="1"/>
    <s v="CPF 1921"/>
    <s v="Nome 1921"/>
    <s v="Tel 1921"/>
    <s v="Cep 1921"/>
    <s v="Rua 1921"/>
    <s v="Comp 1921"/>
    <x v="15"/>
    <s v="K9-YV2I-FO7H"/>
    <d v="2025-08-07T00:00:00"/>
    <n v="54.99"/>
    <n v="54.99"/>
    <n v="6.0489000000000006"/>
    <n v="48.94"/>
    <n v="0"/>
    <n v="0"/>
    <n v="0"/>
    <n v="0"/>
    <n v="48.94"/>
    <n v="48.94"/>
    <d v="2025-08-14T00:00:00"/>
    <d v="2025-08-14T00:00:00"/>
    <d v="2025-08-18T00:00:00"/>
    <d v="2025-08-19T00:00:00"/>
    <s v="2025 08"/>
    <s v="Aguardando Liberação"/>
    <s v="- -"/>
    <s v="-"/>
    <s v="-"/>
    <s v="-"/>
    <m/>
    <n v="0"/>
    <n v="0"/>
    <n v="0"/>
    <n v="0"/>
    <n v="0"/>
  </r>
  <r>
    <s v="BV"/>
    <s v="BV45856"/>
    <s v="Pedido 1966"/>
    <d v="2025-07-14T00:00:00"/>
    <d v="2025-07-18T00:00:00"/>
    <s v="PedidoF1850"/>
    <s v="CódRastreio1848"/>
    <n v="1"/>
    <s v="CPF 1922"/>
    <s v="Nome 1922"/>
    <s v="Tel 1922"/>
    <s v="Cep 1922"/>
    <s v="Rua 1922"/>
    <s v="Comp 1922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67"/>
    <d v="2025-07-14T00:00:00"/>
    <d v="2025-07-18T00:00:00"/>
    <s v="PedidoF1851"/>
    <s v="CódRastreio1849"/>
    <n v="1"/>
    <s v="CPF 1923"/>
    <s v="Nome 1923"/>
    <s v="Tel 1923"/>
    <s v="Cep 1923"/>
    <s v="Rua 1923"/>
    <s v="Comp 1923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68"/>
    <d v="2025-07-14T00:00:00"/>
    <d v="2025-07-18T00:00:00"/>
    <s v="PedidoF1852"/>
    <s v="CódRastreio1850"/>
    <n v="1"/>
    <s v="CPF 1924"/>
    <s v="Nome 1924"/>
    <s v="Tel 1924"/>
    <s v="Cep 1924"/>
    <s v="Rua 1924"/>
    <s v="Comp 1924"/>
    <x v="33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d v="2025-08-05T00:00:00"/>
    <d v="2025-08-05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4"/>
    <s v="Pedido 1969"/>
    <d v="2025-07-15T00:00:00"/>
    <d v="2025-07-16T00:00:00"/>
    <s v="PedidoF1853"/>
    <s v="CódRastreio1851"/>
    <n v="2"/>
    <s v="CPF 1925"/>
    <s v="Nome 1925"/>
    <s v="Tel 1925"/>
    <s v="Cep 1925"/>
    <s v="Rua 1925"/>
    <s v="Comp 1925"/>
    <x v="33"/>
    <s v="6I-CK1S-8HYZ"/>
    <d v="2025-08-02T00:00:00"/>
    <n v="57"/>
    <n v="57"/>
    <n v="6.84"/>
    <n v="50.16"/>
    <n v="41.19"/>
    <n v="0"/>
    <n v="0.39877104377104378"/>
    <n v="0"/>
    <n v="8.571228956228957"/>
    <n v="4.2856144781144785"/>
    <d v="2025-08-09T00:00:00"/>
    <d v="2025-08-09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6"/>
    <s v="Pedido 1970"/>
    <d v="2025-07-14T00:00:00"/>
    <d v="2025-07-18T00:00:00"/>
    <s v="PedidoF1854"/>
    <s v="CódRastreio1852"/>
    <n v="1"/>
    <s v="CPF 1926"/>
    <s v="Nome 1926"/>
    <s v="Tel 1926"/>
    <s v="Cep 1926"/>
    <s v="Rua 1926"/>
    <s v="Comp 1926"/>
    <x v="33"/>
    <s v="6I-CK1S-8HYZ"/>
    <d v="2025-08-02T00:00:00"/>
    <n v="29.5"/>
    <n v="29.5"/>
    <n v="3.54"/>
    <n v="25.96"/>
    <n v="23.56"/>
    <n v="0"/>
    <n v="0.39877104377104378"/>
    <n v="0"/>
    <n v="2.0012289562289567"/>
    <n v="1.0006144781144783"/>
    <d v="2025-08-09T00:00:00"/>
    <d v="2025-08-09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71"/>
    <d v="2025-07-15T00:00:00"/>
    <d v="2025-07-18T00:00:00"/>
    <s v="PedidoF1855"/>
    <s v="CódRastreio1853"/>
    <n v="1"/>
    <s v="CPF 1927"/>
    <s v="Nome 1927"/>
    <s v="Tel 1927"/>
    <s v="Cep 1927"/>
    <s v="Rua 1927"/>
    <s v="Comp 1927"/>
    <x v="33"/>
    <s v="6I-CK1S-8HYZ"/>
    <d v="2025-08-22T00:00:00"/>
    <n v="29.5"/>
    <n v="29.5"/>
    <n v="3.54"/>
    <n v="25.96"/>
    <n v="22.58"/>
    <n v="0"/>
    <n v="0.39877104377104378"/>
    <n v="5"/>
    <n v="-2.0187710437710429"/>
    <n v="-1.0093855218855214"/>
    <d v="2025-08-29T00:00:00"/>
    <d v="2025-08-29T00:00:00"/>
    <d v="2025-09-15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54"/>
    <s v="Pedido 1972"/>
    <d v="2025-07-15T00:00:00"/>
    <d v="2025-07-16T00:00:00"/>
    <s v="PedidoF1856"/>
    <s v="CódRastreio1854"/>
    <n v="1"/>
    <s v="CPF 1928"/>
    <s v="Nome 1928"/>
    <s v="Tel 1928"/>
    <s v="Cep 1928"/>
    <s v="Rua 1928"/>
    <s v="Comp 1928"/>
    <x v="29"/>
    <s v="HG-2FNR-01A9"/>
    <d v="2025-08-09T00:00:00"/>
    <n v="23.9"/>
    <n v="23.9"/>
    <n v="2.8679999999999999"/>
    <n v="21.03"/>
    <n v="18.97"/>
    <n v="0"/>
    <n v="0.39877104377104378"/>
    <n v="10"/>
    <n v="-8.3387710437710432"/>
    <n v="-4.1693855218855216"/>
    <d v="2025-08-16T00:00:00"/>
    <d v="2025-08-16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73"/>
    <d v="2025-07-15T00:00:00"/>
    <d v="2025-07-18T00:00:00"/>
    <s v="PedidoF1857"/>
    <s v="CódRastreio1855"/>
    <n v="1"/>
    <s v="CPF 1929"/>
    <s v="Nome 1929"/>
    <s v="Tel 1929"/>
    <s v="Cep 1929"/>
    <s v="Rua 1929"/>
    <s v="Comp 1929"/>
    <x v="33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d v="2025-08-12T00:00:00"/>
    <d v="2025-08-12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4"/>
    <s v="Pedido 1974"/>
    <d v="2025-07-15T00:00:00"/>
    <d v="2025-07-16T00:00:00"/>
    <s v="PedidoF1858"/>
    <s v="CódRastreio1856"/>
    <n v="2"/>
    <s v="CPF 1930"/>
    <s v="Nome 1930"/>
    <s v="Tel 1930"/>
    <s v="Cep 1930"/>
    <s v="Rua 1930"/>
    <s v="Comp 1930"/>
    <x v="33"/>
    <s v="6I-CK1S-8HYZ"/>
    <d v="2025-07-30T00:00:00"/>
    <n v="59"/>
    <n v="59"/>
    <n v="7.08"/>
    <n v="51.92"/>
    <n v="39.79"/>
    <n v="0"/>
    <n v="0.39877104377104378"/>
    <n v="0"/>
    <n v="11.731228956228961"/>
    <n v="5.8656144781144803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75"/>
    <d v="2025-07-15T00:00:00"/>
    <d v="2025-07-18T00:00:00"/>
    <s v="PedidoF1859"/>
    <s v="CódRastreio1857"/>
    <n v="1"/>
    <s v="CPF 1931"/>
    <s v="Nome 1931"/>
    <s v="Tel 1931"/>
    <s v="Cep 1931"/>
    <s v="Rua 1931"/>
    <s v="Comp 1931"/>
    <x v="33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d v="2025-08-12T00:00:00"/>
    <d v="2025-08-12T00:00:00"/>
    <d v="2025-08-18T00:00:00"/>
    <d v="2025-08-19T00:00:00"/>
    <s v="2025 08"/>
    <s v="Aguardando Liberação"/>
    <s v="2025 07"/>
    <s v="ENTREGUE"/>
    <d v="2025-07-30T00:00:00"/>
    <s v="-"/>
    <m/>
    <n v="0"/>
    <n v="0"/>
    <n v="0"/>
    <n v="0"/>
    <n v="0"/>
  </r>
  <r>
    <s v="BV"/>
    <s v="BV45856"/>
    <s v="Pedido 1976"/>
    <d v="2025-07-15T00:00:00"/>
    <d v="2025-07-18T00:00:00"/>
    <s v="PedidoF1860"/>
    <s v="CódRastreio1858"/>
    <n v="1"/>
    <s v="CPF 1932"/>
    <s v="Nome 1932"/>
    <s v="Tel 1932"/>
    <s v="Cep 1932"/>
    <s v="Rua 1932"/>
    <s v="Comp 1932"/>
    <x v="33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d v="2025-08-08T00:00:00"/>
    <d v="2025-08-08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77"/>
    <d v="2025-07-15T00:00:00"/>
    <d v="2025-07-18T00:00:00"/>
    <s v="PedidoF1861"/>
    <s v="CódRastreio1859"/>
    <n v="1"/>
    <s v="CPF 1933"/>
    <s v="Nome 1933"/>
    <s v="Tel 1933"/>
    <s v="Cep 1933"/>
    <s v="Rua 1933"/>
    <s v="Comp 1933"/>
    <x v="33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d v="2025-08-06T00:00:00"/>
    <d v="2025-08-06T00:00:00"/>
    <d v="2025-08-18T00:00:00"/>
    <d v="2025-08-19T00:00:00"/>
    <s v="2025 08"/>
    <s v="Aguardando Liberação"/>
    <s v="2025 07"/>
    <s v="EM TRÂNSITO"/>
    <s v="-"/>
    <s v="-"/>
    <m/>
    <n v="0"/>
    <n v="0"/>
    <n v="0"/>
    <n v="0"/>
    <n v="0"/>
  </r>
  <r>
    <s v="BV"/>
    <s v="BV45854"/>
    <s v="Pedido 1978"/>
    <d v="2025-07-15T00:00:00"/>
    <d v="2025-07-16T00:00:00"/>
    <s v="PedidoF1862"/>
    <s v="CódRastreio1860"/>
    <n v="1"/>
    <s v="CPF 1934"/>
    <s v="Nome 1934"/>
    <s v="Tel 1934"/>
    <s v="Cep 1934"/>
    <s v="Rua 1934"/>
    <s v="Comp 1934"/>
    <x v="29"/>
    <s v="HG-2FNR-01A9"/>
    <d v="2025-08-01T00:00:00"/>
    <n v="23.9"/>
    <n v="23.9"/>
    <n v="2.8679999999999999"/>
    <n v="21.03"/>
    <n v="14.99"/>
    <n v="0"/>
    <n v="0.39877104377104378"/>
    <n v="0"/>
    <n v="5.6412289562289573"/>
    <n v="2.8206144781144786"/>
    <d v="2025-08-08T00:00:00"/>
    <d v="2025-08-08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6"/>
    <s v="Pedido 1979"/>
    <d v="2025-07-15T00:00:00"/>
    <d v="2025-07-18T00:00:00"/>
    <s v="PedidoF1863"/>
    <s v="CódRastreio1861"/>
    <n v="1"/>
    <s v="CPF 1935"/>
    <s v="Nome 1935"/>
    <s v="Tel 1935"/>
    <s v="Cep 1935"/>
    <s v="Rua 1935"/>
    <s v="Comp 1935"/>
    <x v="33"/>
    <s v="6I-CK1S-8HYZ"/>
    <d v="2025-08-09T00:00:00"/>
    <n v="29.5"/>
    <n v="29.5"/>
    <n v="3.54"/>
    <n v="25.96"/>
    <n v="22.58"/>
    <n v="0"/>
    <n v="0.39877104377104378"/>
    <n v="3"/>
    <n v="-1.8771043771042883E-2"/>
    <n v="-9.3855218855214417E-3"/>
    <d v="2025-08-16T00:00:00"/>
    <d v="2025-08-16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6"/>
    <s v="Pedido 1980"/>
    <d v="2025-07-15T00:00:00"/>
    <d v="2025-07-18T00:00:00"/>
    <s v="PedidoF1864"/>
    <s v="CódRastreio1862"/>
    <n v="1"/>
    <s v="CPF 1936"/>
    <s v="Nome 1936"/>
    <s v="Tel 1936"/>
    <s v="Cep 1936"/>
    <s v="Rua 1936"/>
    <s v="Comp 1936"/>
    <x v="33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d v="2025-08-06T00:00:00"/>
    <d v="2025-08-06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6"/>
    <s v="Pedido 1981"/>
    <d v="2025-07-15T00:00:00"/>
    <d v="2025-07-18T00:00:00"/>
    <s v="PedidoF1865"/>
    <s v="CódRastreio1863"/>
    <n v="1"/>
    <s v="CPF 1937"/>
    <s v="Nome 1937"/>
    <s v="Tel 1937"/>
    <s v="Cep 1937"/>
    <s v="Rua 1937"/>
    <s v="Comp 1937"/>
    <x v="33"/>
    <s v="6I-CK1S-8HYZ"/>
    <d v="2025-08-05T00:00:00"/>
    <n v="29.5"/>
    <n v="29.5"/>
    <n v="3.54"/>
    <n v="25.96"/>
    <n v="22.58"/>
    <n v="0"/>
    <n v="0.39877104377104378"/>
    <n v="1"/>
    <n v="1.9812289562289571"/>
    <n v="0.99061447811447856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82"/>
    <d v="2025-07-15T00:00:00"/>
    <d v="2025-07-18T00:00:00"/>
    <s v="PedidoF1866"/>
    <s v="CódRastreio1864"/>
    <n v="1"/>
    <s v="CPF 1938"/>
    <s v="Nome 1938"/>
    <s v="Tel 1938"/>
    <s v="Cep 1938"/>
    <s v="Rua 1938"/>
    <s v="Comp 1938"/>
    <x v="33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83"/>
    <d v="2025-07-15T00:00:00"/>
    <d v="2025-07-18T00:00:00"/>
    <s v="PedidoF1867"/>
    <s v="CódRastreio1865"/>
    <n v="1"/>
    <s v="CPF 1939"/>
    <s v="Nome 1939"/>
    <s v="Tel 1939"/>
    <s v="Cep 1939"/>
    <s v="Rua 1939"/>
    <s v="Comp 1939"/>
    <x v="33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d v="2025-08-06T00:00:00"/>
    <d v="2025-08-06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6"/>
    <s v="Pedido 1984"/>
    <d v="2025-07-15T00:00:00"/>
    <d v="2025-07-18T00:00:00"/>
    <s v="PedidoF1868"/>
    <s v="CódRastreio1866"/>
    <n v="1"/>
    <s v="CPF 1940"/>
    <s v="Nome 1940"/>
    <s v="Tel 1940"/>
    <s v="Cep 1940"/>
    <s v="Rua 1940"/>
    <s v="Comp 1940"/>
    <x v="33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85"/>
    <d v="2025-07-15T00:00:00"/>
    <d v="2025-07-18T00:00:00"/>
    <s v="PedidoF1869"/>
    <s v="CódRastreio1867"/>
    <n v="1"/>
    <s v="CPF 1941"/>
    <s v="Nome 1941"/>
    <s v="Tel 1941"/>
    <s v="Cep 1941"/>
    <s v="Rua 1941"/>
    <s v="Comp 1941"/>
    <x v="33"/>
    <s v="6I-CK1S-8HYZ"/>
    <d v="2025-08-05T00:00:00"/>
    <n v="29.5"/>
    <n v="29.5"/>
    <n v="3.54"/>
    <n v="25.96"/>
    <n v="22.58"/>
    <n v="0"/>
    <n v="0.39877104377104378"/>
    <n v="1"/>
    <n v="1.9812289562289571"/>
    <n v="0.99061447811447856"/>
    <d v="2025-08-12T00:00:00"/>
    <d v="2025-08-12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6"/>
    <s v="Pedido 1986"/>
    <d v="2025-07-15T00:00:00"/>
    <d v="2025-07-18T00:00:00"/>
    <s v="PedidoF1870"/>
    <s v="CódRastreio1868"/>
    <n v="1"/>
    <s v="CPF 1942"/>
    <s v="Nome 1942"/>
    <s v="Tel 1942"/>
    <s v="Cep 1942"/>
    <s v="Rua 1942"/>
    <s v="Comp 1942"/>
    <x v="33"/>
    <s v="6I-CK1S-8HYZ"/>
    <d v="2025-08-05T00:00:00"/>
    <n v="29.5"/>
    <n v="29.5"/>
    <n v="3.54"/>
    <n v="25.96"/>
    <n v="22.58"/>
    <n v="0"/>
    <n v="0.39877104377104378"/>
    <n v="1"/>
    <n v="1.9812289562289571"/>
    <n v="0.99061447811447856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87"/>
    <d v="2025-07-15T00:00:00"/>
    <d v="2025-07-18T00:00:00"/>
    <s v="PedidoF1871"/>
    <s v="CódRastreio1869"/>
    <n v="1"/>
    <s v="CPF 1943"/>
    <s v="Nome 1943"/>
    <s v="Tel 1943"/>
    <s v="Cep 1943"/>
    <s v="Rua 1943"/>
    <s v="Comp 1943"/>
    <x v="33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d v="2025-08-08T00:00:00"/>
    <d v="2025-08-08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6"/>
    <s v="Pedido 1988"/>
    <d v="2025-07-15T00:00:00"/>
    <d v="2025-07-18T00:00:00"/>
    <s v="PedidoF1872"/>
    <s v="CódRastreio1870"/>
    <n v="1"/>
    <s v="CPF 1944"/>
    <s v="Nome 1944"/>
    <s v="Tel 1944"/>
    <s v="Cep 1944"/>
    <s v="Rua 1944"/>
    <s v="Comp 1944"/>
    <x v="33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d v="2025-08-06T00:00:00"/>
    <d v="2025-08-06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56"/>
    <s v="Pedido 1989"/>
    <d v="2025-07-15T00:00:00"/>
    <d v="2025-07-18T00:00:00"/>
    <s v="PedidoF1873"/>
    <s v="CódRastreio1871"/>
    <n v="1"/>
    <s v="CPF 1945"/>
    <s v="Nome 1945"/>
    <s v="Tel 1945"/>
    <s v="Cep 1945"/>
    <s v="Rua 1945"/>
    <s v="Comp 1945"/>
    <x v="33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d v="2025-08-12T00:00:00"/>
    <d v="2025-08-12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6"/>
    <s v="Pedido 1990"/>
    <d v="2025-07-15T00:00:00"/>
    <d v="2025-07-18T00:00:00"/>
    <s v="PedidoF1874"/>
    <s v="CódRastreio1872"/>
    <n v="1"/>
    <s v="CPF 1946"/>
    <s v="Nome 1946"/>
    <s v="Tel 1946"/>
    <s v="Cep 1946"/>
    <s v="Rua 1946"/>
    <s v="Comp 1946"/>
    <x v="33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d v="2025-08-12T00:00:00"/>
    <d v="2025-08-12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6"/>
    <s v="Pedido 1991"/>
    <d v="2025-07-15T00:00:00"/>
    <d v="2025-07-18T00:00:00"/>
    <s v="PedidoF1875"/>
    <s v="CódRastreio1873"/>
    <n v="1"/>
    <s v="CPF 1947"/>
    <s v="Nome 1947"/>
    <s v="Tel 1947"/>
    <s v="Cep 1947"/>
    <s v="Rua 1947"/>
    <s v="Comp 1947"/>
    <x v="33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d v="2025-08-06T00:00:00"/>
    <d v="2025-08-06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6"/>
    <s v="Pedido 1992"/>
    <d v="2025-07-15T00:00:00"/>
    <d v="2025-07-18T00:00:00"/>
    <s v="PedidoF1876"/>
    <s v="CódRastreio1874"/>
    <n v="1"/>
    <s v="CPF 1948"/>
    <s v="Nome 1948"/>
    <s v="Tel 1948"/>
    <s v="Cep 1948"/>
    <s v="Rua 1948"/>
    <s v="Comp 1948"/>
    <x v="33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d v="2025-08-06T00:00:00"/>
    <d v="2025-08-06T00:00:00"/>
    <d v="2025-08-18T00:00:00"/>
    <d v="2025-08-19T00:00:00"/>
    <s v="2025 08"/>
    <s v="Aguardando Liberação"/>
    <s v="2025 07"/>
    <s v="ENTREGUE"/>
    <d v="2025-07-22T00:00:00"/>
    <s v="-"/>
    <m/>
    <n v="0"/>
    <n v="0"/>
    <n v="0"/>
    <n v="0"/>
    <n v="0"/>
  </r>
  <r>
    <s v="BV"/>
    <s v="BV45856"/>
    <s v="Pedido 1993"/>
    <d v="2025-07-15T00:00:00"/>
    <d v="2025-07-18T00:00:00"/>
    <s v="PedidoF1877"/>
    <s v="CódRastreio1875"/>
    <n v="1"/>
    <s v="CPF 1949"/>
    <s v="Nome 1949"/>
    <s v="Tel 1949"/>
    <s v="Cep 1949"/>
    <s v="Rua 1949"/>
    <s v="Comp 1949"/>
    <x v="33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d v="2025-08-06T00:00:00"/>
    <d v="2025-08-06T00:00:00"/>
    <d v="2025-08-18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4"/>
    <s v="Pedido 1994"/>
    <d v="2025-07-16T00:00:00"/>
    <d v="2025-07-16T00:00:00"/>
    <s v="PedidoF1878"/>
    <s v="CódRastreio1876"/>
    <n v="1"/>
    <s v="CPF 1950"/>
    <s v="Nome 1950"/>
    <s v="Tel 1950"/>
    <s v="Cep 1950"/>
    <s v="Rua 1950"/>
    <s v="Comp 1950"/>
    <x v="29"/>
    <s v="NQ-IMR8-W6Q4"/>
    <d v="2025-08-12T00:00:00"/>
    <n v="23.9"/>
    <n v="23.9"/>
    <n v="2.8679999999999999"/>
    <n v="21.03"/>
    <n v="14.99"/>
    <n v="0"/>
    <n v="0.39877104377104378"/>
    <n v="5"/>
    <n v="0.64122895622895726"/>
    <n v="0.32061447811447863"/>
    <d v="2025-08-19T00:00:00"/>
    <d v="2025-08-19T00:00:00"/>
    <d v="2025-09-15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9"/>
    <s v="Pedido 1995"/>
    <d v="2025-07-16T00:00:00"/>
    <d v="2025-07-21T00:00:00"/>
    <s v="PedidoF1879"/>
    <s v="CódRastreio1877"/>
    <n v="1"/>
    <s v="CPF 1951"/>
    <s v="Nome 1951"/>
    <s v="Tel 1951"/>
    <s v="Cep 1951"/>
    <s v="Rua 1951"/>
    <s v="Comp 1951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59"/>
    <s v="Pedido 1996"/>
    <d v="2025-07-16T00:00:00"/>
    <d v="2025-07-21T00:00:00"/>
    <s v="PedidoF1880"/>
    <s v="CódRastreio1878"/>
    <n v="1"/>
    <s v="CPF 1952"/>
    <s v="Nome 1952"/>
    <s v="Tel 1952"/>
    <s v="Cep 1952"/>
    <s v="Rua 1952"/>
    <s v="Comp 1952"/>
    <x v="33"/>
    <s v="6I-CK1S-8HYZ"/>
    <d v="2025-08-06T00:00:00"/>
    <n v="29.5"/>
    <n v="29.5"/>
    <n v="3.54"/>
    <n v="25.96"/>
    <n v="22.58"/>
    <n v="0"/>
    <n v="0.39877104377104378"/>
    <n v="1"/>
    <n v="1.9812289562289571"/>
    <n v="0.99061447811447856"/>
    <d v="2025-08-13T00:00:00"/>
    <d v="2025-08-13T00:00:00"/>
    <d v="2025-08-18T00:00:00"/>
    <d v="2025-08-19T00:00:00"/>
    <s v="2025 08"/>
    <s v="Aguardando Liberação"/>
    <s v="2025 07"/>
    <s v="ENTREGUE"/>
    <d v="2025-07-30T00:00:00"/>
    <s v="-"/>
    <m/>
    <n v="0"/>
    <n v="0"/>
    <n v="0"/>
    <n v="0"/>
    <n v="0"/>
  </r>
  <r>
    <s v="BV"/>
    <s v="BV45859"/>
    <s v="Pedido 1997"/>
    <d v="2025-07-16T00:00:00"/>
    <d v="2025-07-21T00:00:00"/>
    <s v="PedidoF1881"/>
    <s v="CódRastreio1879"/>
    <n v="1"/>
    <s v="CPF 1953"/>
    <s v="Nome 1953"/>
    <s v="Tel 1953"/>
    <s v="Cep 1953"/>
    <s v="Rua 1953"/>
    <s v="Comp 1953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9"/>
    <s v="Pedido 1998"/>
    <d v="2025-07-16T00:00:00"/>
    <d v="2025-07-21T00:00:00"/>
    <s v="PedidoF1882"/>
    <s v="CódRastreio1880"/>
    <n v="1"/>
    <s v="CPF 1954"/>
    <s v="Nome 1954"/>
    <s v="Tel 1954"/>
    <s v="Cep 1954"/>
    <s v="Rua 1954"/>
    <s v="Comp 1954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9"/>
    <s v="Pedido 1999"/>
    <d v="2025-07-16T00:00:00"/>
    <d v="2025-07-21T00:00:00"/>
    <s v="PedidoF1883"/>
    <s v="CódRastreio1881"/>
    <n v="1"/>
    <s v="CPF 1955"/>
    <s v="Nome 1955"/>
    <s v="Tel 1955"/>
    <s v="Cep 1955"/>
    <s v="Rua 1955"/>
    <s v="Comp 1955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BV"/>
    <s v="BV45859"/>
    <s v="Pedido 2000"/>
    <d v="2025-07-16T00:00:00"/>
    <d v="2025-07-21T00:00:00"/>
    <s v="PedidoF1884"/>
    <s v="CódRastreio1882"/>
    <n v="1"/>
    <s v="CPF 1956"/>
    <s v="Nome 1956"/>
    <s v="Tel 1956"/>
    <s v="Cep 1956"/>
    <s v="Rua 1956"/>
    <s v="Comp 1956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9"/>
    <s v="Pedido 2001"/>
    <d v="2025-07-16T00:00:00"/>
    <d v="2025-07-21T00:00:00"/>
    <s v="PedidoF1885"/>
    <s v="CódRastreio1883"/>
    <n v="1"/>
    <s v="CPF 1957"/>
    <s v="Nome 1957"/>
    <s v="Tel 1957"/>
    <s v="Cep 1957"/>
    <s v="Rua 1957"/>
    <s v="Comp 1957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4"/>
    <s v="Pedido 2002"/>
    <d v="2025-07-16T00:00:00"/>
    <d v="2025-07-16T00:00:00"/>
    <s v="PedidoF1886"/>
    <s v="CódRastreio1884"/>
    <n v="2"/>
    <s v="CPF 1958"/>
    <s v="Nome 1958"/>
    <s v="Tel 1958"/>
    <s v="Cep 1958"/>
    <s v="Rua 1958"/>
    <s v="Comp 1958"/>
    <x v="33"/>
    <s v="6I-CK1S-8HYZ"/>
    <d v="2025-08-06T00:00:00"/>
    <n v="59"/>
    <n v="59"/>
    <n v="7.08"/>
    <n v="51.92"/>
    <n v="38.590000000000003"/>
    <n v="0"/>
    <n v="0.39877104377104378"/>
    <n v="0"/>
    <n v="12.931228956228956"/>
    <n v="6.4656144781144782"/>
    <d v="2025-08-13T00:00:00"/>
    <d v="2025-08-13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4"/>
    <s v="Pedido 2003"/>
    <d v="2025-07-16T00:00:00"/>
    <d v="2025-07-16T00:00:00"/>
    <s v="PedidoF1887"/>
    <s v="CódRastreio1885"/>
    <n v="1"/>
    <s v="CPF 1959"/>
    <s v="Nome 1959"/>
    <s v="Tel 1959"/>
    <s v="Cep 1959"/>
    <s v="Rua 1959"/>
    <s v="Comp 1959"/>
    <x v="29"/>
    <s v="HG-2FNR-01A9"/>
    <d v="2025-07-31T00:00:00"/>
    <n v="23.9"/>
    <n v="23.9"/>
    <n v="2.8679999999999999"/>
    <n v="21.03"/>
    <n v="0"/>
    <n v="0"/>
    <n v="0.39877104377104378"/>
    <n v="0"/>
    <n v="20.631228956228956"/>
    <n v="10.315614478114478"/>
    <d v="2025-08-07T00:00:00"/>
    <d v="2025-08-07T00:00:00"/>
    <d v="2025-08-18T00:00:00"/>
    <d v="2025-08-19T00:00:00"/>
    <s v="2025 08"/>
    <s v="Aguardando Liberação"/>
    <s v="2025 07"/>
    <s v="ENTREGUE"/>
    <d v="2025-07-19T00:00:00"/>
    <s v="-"/>
    <m/>
    <n v="0"/>
    <n v="0"/>
    <n v="0"/>
    <n v="14.99"/>
    <n v="14.99"/>
  </r>
  <r>
    <s v="BV"/>
    <s v="BV45859"/>
    <s v="Pedido 2004"/>
    <d v="2025-07-16T00:00:00"/>
    <d v="2025-07-21T00:00:00"/>
    <s v="PedidoF1888"/>
    <s v="CódRastreio1886"/>
    <n v="1"/>
    <s v="CPF 1960"/>
    <s v="Nome 1960"/>
    <s v="Tel 1960"/>
    <s v="Cep 1960"/>
    <s v="Rua 1960"/>
    <s v="Comp 1960"/>
    <x v="33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d v="2025-08-09T00:00:00"/>
    <d v="2025-08-09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4"/>
    <s v="Pedido 2005"/>
    <d v="2025-07-16T00:00:00"/>
    <d v="2025-07-16T00:00:00"/>
    <s v="PedidoF1889"/>
    <s v="CódRastreio1887"/>
    <n v="1"/>
    <s v="CPF 1961"/>
    <s v="Nome 1961"/>
    <s v="Tel 1961"/>
    <s v="Cep 1961"/>
    <s v="Rua 1961"/>
    <s v="Comp 1961"/>
    <x v="28"/>
    <s v="ZV-W7II-K7TO"/>
    <d v="2025-08-02T00:00:00"/>
    <n v="49.99"/>
    <n v="49.99"/>
    <n v="5.9988000000000001"/>
    <n v="43.99"/>
    <n v="38.99"/>
    <n v="0"/>
    <n v="0.39877104377104378"/>
    <n v="0"/>
    <n v="4.6012289562289581"/>
    <n v="2.3006144781144791"/>
    <d v="2025-08-09T00:00:00"/>
    <d v="2025-08-09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4"/>
    <s v="Pedido 2006"/>
    <d v="2025-07-16T00:00:00"/>
    <d v="2025-07-16T00:00:00"/>
    <s v="PedidoF1890"/>
    <s v="CódRastreio1888"/>
    <n v="1"/>
    <s v="CPF 1962"/>
    <s v="Nome 1962"/>
    <s v="Tel 1962"/>
    <s v="Cep 1962"/>
    <s v="Rua 1962"/>
    <s v="Comp 1962"/>
    <x v="29"/>
    <s v="HG-2FNR-01A9"/>
    <d v="2025-08-02T00:00:00"/>
    <n v="23.9"/>
    <n v="23.9"/>
    <n v="2.8679999999999999"/>
    <n v="21.03"/>
    <n v="15.15"/>
    <n v="0"/>
    <n v="0.39877104377104378"/>
    <n v="0"/>
    <n v="5.4812289562289571"/>
    <n v="2.7406144781144786"/>
    <d v="2025-08-09T00:00:00"/>
    <d v="2025-08-09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BV"/>
    <s v="BV45859"/>
    <s v="Pedido 2007"/>
    <d v="2025-07-16T00:00:00"/>
    <d v="2025-07-21T00:00:00"/>
    <s v="PedidoF1891"/>
    <s v="CódRastreio1889"/>
    <n v="1"/>
    <s v="CPF 1963"/>
    <s v="Nome 1963"/>
    <s v="Tel 1963"/>
    <s v="Cep 1963"/>
    <s v="Rua 1963"/>
    <s v="Comp 1963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30T00:00:00"/>
    <s v="-"/>
    <m/>
    <n v="0"/>
    <n v="0"/>
    <n v="0"/>
    <n v="0"/>
    <n v="0"/>
  </r>
  <r>
    <s v="BV"/>
    <s v="BV45854"/>
    <s v="Pedido 2008"/>
    <d v="2025-07-16T00:00:00"/>
    <d v="2025-07-16T00:00:00"/>
    <s v="PedidoF1892"/>
    <s v="CódRastreio1890"/>
    <n v="1"/>
    <s v="CPF 1964"/>
    <s v="Nome 1964"/>
    <s v="Tel 1964"/>
    <s v="Cep 1964"/>
    <s v="Rua 1964"/>
    <s v="Comp 1964"/>
    <x v="29"/>
    <s v="HG-2FNR-01A9"/>
    <d v="2025-07-31T00:00:00"/>
    <n v="23.9"/>
    <n v="23.9"/>
    <n v="2.8679999999999999"/>
    <n v="21.03"/>
    <n v="15.46"/>
    <n v="0"/>
    <n v="0.39877104377104378"/>
    <n v="0"/>
    <n v="5.1712289562289566"/>
    <n v="2.5856144781144783"/>
    <d v="2025-08-07T00:00:00"/>
    <d v="2025-08-07T00:00:00"/>
    <d v="2025-08-18T00:00:00"/>
    <d v="2025-08-19T00:00:00"/>
    <s v="2025 08"/>
    <s v="Aguardando Liberação"/>
    <s v="2025 07"/>
    <s v="ENTREGUE"/>
    <d v="2025-07-19T00:00:00"/>
    <s v="-"/>
    <m/>
    <n v="0"/>
    <n v="0"/>
    <n v="0"/>
    <n v="0"/>
    <n v="0"/>
  </r>
  <r>
    <s v="BV"/>
    <s v="BV45859"/>
    <s v="Pedido 2009"/>
    <d v="2025-07-16T00:00:00"/>
    <d v="2025-07-21T00:00:00"/>
    <s v="PedidoF1893"/>
    <s v="CódRastreio1891"/>
    <n v="1"/>
    <s v="CPF 1965"/>
    <s v="Nome 1965"/>
    <s v="Tel 1965"/>
    <s v="Cep 1965"/>
    <s v="Rua 1965"/>
    <s v="Comp 1965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54"/>
    <s v="Pedido 2010"/>
    <d v="2025-07-16T00:00:00"/>
    <d v="2025-07-16T00:00:00"/>
    <s v="PedidoF1894"/>
    <s v="CódRastreio1892"/>
    <n v="1"/>
    <s v="CPF 1966"/>
    <s v="Nome 1966"/>
    <s v="Tel 1966"/>
    <s v="Cep 1966"/>
    <s v="Rua 1966"/>
    <s v="Comp 1966"/>
    <x v="29"/>
    <s v="HG-2FNR-01A9"/>
    <d v="2025-07-31T00:00:00"/>
    <n v="23.9"/>
    <n v="23.9"/>
    <n v="2.8679999999999999"/>
    <n v="21.03"/>
    <n v="15.82"/>
    <n v="0"/>
    <n v="0.39877104377104378"/>
    <n v="0"/>
    <n v="4.8112289562289554"/>
    <n v="2.4056144781144777"/>
    <d v="2025-08-07T00:00:00"/>
    <d v="2025-08-07T00:00:00"/>
    <d v="2025-08-18T00:00:00"/>
    <d v="2025-08-19T00:00:00"/>
    <s v="2025 08"/>
    <s v="Aguardando Liberação"/>
    <s v="2025 07"/>
    <s v="EM TRÂNSITO"/>
    <s v="-"/>
    <s v="-"/>
    <m/>
    <n v="0"/>
    <n v="0"/>
    <n v="0"/>
    <n v="0"/>
    <n v="0"/>
  </r>
  <r>
    <s v="GO"/>
    <s v="GO45854"/>
    <s v="Pedido 2011"/>
    <d v="2025-07-15T00:00:00"/>
    <d v="2025-07-16T00:00:00"/>
    <s v="PedidoF1895"/>
    <s v="CódRastreio1893"/>
    <n v="1"/>
    <s v="CPF 1967"/>
    <s v="Nome 1967"/>
    <s v="Tel 1967"/>
    <s v="Cep 1967"/>
    <s v="Rua 1967"/>
    <s v="Comp 1967"/>
    <x v="15"/>
    <s v="K9-YV2I-FO7H"/>
    <d v="2025-07-30T00:00:00"/>
    <n v="54.99"/>
    <n v="54.99"/>
    <n v="6.0489000000000006"/>
    <n v="48.94"/>
    <n v="32.99"/>
    <n v="0"/>
    <n v="0.39877104377104378"/>
    <n v="0"/>
    <n v="15.551228956228954"/>
    <n v="15.551228956228954"/>
    <d v="2025-08-06T00:00:00"/>
    <d v="2025-08-06T00:00:00"/>
    <d v="2025-08-18T00:00:00"/>
    <d v="2025-08-19T00:00:00"/>
    <s v="2025 08"/>
    <s v="Aguardando Liberação"/>
    <s v="2025 07"/>
    <s v="ENTREGUE"/>
    <d v="2025-07-21T00:00:00"/>
    <s v="-"/>
    <m/>
    <n v="0"/>
    <n v="0"/>
    <n v="0"/>
    <n v="0"/>
    <n v="0"/>
  </r>
  <r>
    <s v="GO"/>
    <s v="GO45854"/>
    <s v="Pedido 2012"/>
    <d v="2025-07-15T00:00:00"/>
    <d v="2025-07-16T00:00:00"/>
    <s v="PedidoF1896"/>
    <s v="CódRastreio1894"/>
    <n v="1"/>
    <s v="CPF 1968"/>
    <s v="Nome 1968"/>
    <s v="Tel 1968"/>
    <s v="Cep 1968"/>
    <s v="Rua 1968"/>
    <s v="Comp 1968"/>
    <x v="15"/>
    <s v="K9-YV2I-FO7H"/>
    <d v="2025-08-05T00:00:00"/>
    <n v="54.99"/>
    <n v="54.99"/>
    <n v="6.0489000000000006"/>
    <n v="48.94"/>
    <n v="32.99"/>
    <n v="0"/>
    <n v="0.39877104377104378"/>
    <n v="0"/>
    <n v="15.551228956228954"/>
    <n v="15.551228956228954"/>
    <d v="2025-08-12T00:00:00"/>
    <d v="2025-08-12T00:00:00"/>
    <d v="2025-08-18T00:00:00"/>
    <d v="2025-08-19T00:00:00"/>
    <s v="2025 08"/>
    <s v="Aguardando Liberação"/>
    <s v="2025 07"/>
    <s v="ENTREGUE"/>
    <d v="2025-07-30T00:00:00"/>
    <s v="-"/>
    <m/>
    <n v="0"/>
    <n v="0"/>
    <n v="0"/>
    <n v="0"/>
    <n v="0"/>
  </r>
  <r>
    <s v="GO"/>
    <s v="GO45854"/>
    <s v="Pedido 2013"/>
    <d v="2025-07-15T00:00:00"/>
    <d v="2025-07-16T00:00:00"/>
    <s v="PedidoF1897"/>
    <s v="CódRastreio1895"/>
    <n v="1"/>
    <s v="CPF 1969"/>
    <s v="Nome 1969"/>
    <s v="Tel 1969"/>
    <s v="Cep 1969"/>
    <s v="Rua 1969"/>
    <s v="Comp 1969"/>
    <x v="28"/>
    <s v="EL-YKJD-0WWL"/>
    <d v="2025-08-05T00:00:00"/>
    <n v="54.99"/>
    <n v="54.99"/>
    <n v="6.5987999999999998"/>
    <n v="48.39"/>
    <n v="44.17"/>
    <n v="0"/>
    <n v="0.39877104377104378"/>
    <n v="0"/>
    <n v="3.821228956228957"/>
    <n v="3.821228956228957"/>
    <d v="2025-08-12T00:00:00"/>
    <d v="2025-08-12T00:00:00"/>
    <d v="2025-08-18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54"/>
    <s v="Pedido 2014"/>
    <d v="2025-07-16T00:00:00"/>
    <d v="2025-07-16T00:00:00"/>
    <s v="PedidoF1898"/>
    <s v="CódRastreio1896"/>
    <n v="1"/>
    <s v="CPF 1970"/>
    <s v="Nome 1970"/>
    <s v="Tel 1970"/>
    <s v="Cep 1970"/>
    <s v="Rua 1970"/>
    <s v="Comp 1970"/>
    <x v="15"/>
    <s v="K9-YV2I-FO7H"/>
    <d v="2025-08-12T00:00:00"/>
    <n v="54.99"/>
    <n v="54.99"/>
    <n v="6.0489000000000006"/>
    <n v="48.94"/>
    <n v="32.99"/>
    <n v="0"/>
    <n v="0.39877104377104378"/>
    <n v="0"/>
    <n v="15.551228956228954"/>
    <n v="15.551228956228954"/>
    <d v="2025-08-19T00:00:00"/>
    <d v="2025-08-19T00:00:00"/>
    <d v="2025-09-15T00:00:00"/>
    <d v="2025-08-19T00:00:00"/>
    <s v="2025 08"/>
    <s v="Aguardando Liberação"/>
    <s v="2025 07"/>
    <s v="ENTREGUE"/>
    <d v="2025-07-23T00:00:00"/>
    <s v="-"/>
    <m/>
    <n v="0"/>
    <n v="0"/>
    <n v="0"/>
    <n v="0"/>
    <n v="0"/>
  </r>
  <r>
    <s v="BV"/>
    <s v="BV45859"/>
    <s v="Pedido 2015"/>
    <d v="2025-07-16T00:00:00"/>
    <d v="2025-07-21T00:00:00"/>
    <s v="PedidoF1899"/>
    <s v="CódRastreio1897"/>
    <n v="1"/>
    <s v="CPF 1971"/>
    <s v="Nome 1971"/>
    <s v="Tel 1971"/>
    <s v="Cep 1971"/>
    <s v="Rua 1971"/>
    <s v="Comp 1971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9"/>
    <s v="Pedido 2016"/>
    <d v="2025-07-16T00:00:00"/>
    <d v="2025-07-21T00:00:00"/>
    <s v="PedidoF1900"/>
    <s v="CódRastreio1898"/>
    <n v="1"/>
    <s v="CPF 1972"/>
    <s v="Nome 1972"/>
    <s v="Tel 1972"/>
    <s v="Cep 1972"/>
    <s v="Rua 1972"/>
    <s v="Comp 1972"/>
    <x v="33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d v="2025-08-09T00:00:00"/>
    <d v="2025-08-09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9"/>
    <s v="Pedido 2017"/>
    <d v="2025-07-16T00:00:00"/>
    <d v="2025-07-21T00:00:00"/>
    <s v="PedidoF1901"/>
    <s v="CódRastreio1899"/>
    <n v="1"/>
    <s v="CPF 1973"/>
    <s v="Nome 1973"/>
    <s v="Tel 1973"/>
    <s v="Cep 1973"/>
    <s v="Rua 1973"/>
    <s v="Comp 1973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M TRÂNSITO"/>
    <s v="-"/>
    <s v="-"/>
    <m/>
    <n v="0"/>
    <n v="0"/>
    <n v="0"/>
    <n v="0"/>
    <n v="0"/>
  </r>
  <r>
    <s v="BV"/>
    <s v="BV45859"/>
    <s v="Pedido 2018"/>
    <d v="2025-07-16T00:00:00"/>
    <d v="2025-07-21T00:00:00"/>
    <s v="PedidoF1902"/>
    <s v="CódRastreio1900"/>
    <n v="1"/>
    <s v="CPF 1974"/>
    <s v="Nome 1974"/>
    <s v="Tel 1974"/>
    <s v="Cep 1974"/>
    <s v="Rua 1974"/>
    <s v="Comp 1974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60"/>
    <s v="Pedido 2019"/>
    <d v="2025-07-16T00:00:00"/>
    <d v="2025-07-22T00:00:00"/>
    <s v="PedidoF1903"/>
    <s v="CódRastreio1901"/>
    <n v="1"/>
    <s v="CPF 1975"/>
    <s v="Nome 1975"/>
    <s v="Tel 1975"/>
    <s v="Cep 1975"/>
    <s v="Rua 1975"/>
    <s v="Comp 1975"/>
    <x v="28"/>
    <s v="ZV-W7II-K7TO"/>
    <d v="2025-08-06T00:00:00"/>
    <n v="49.99"/>
    <n v="49.99"/>
    <n v="5.9988000000000001"/>
    <n v="43.99"/>
    <n v="39.86"/>
    <n v="0"/>
    <n v="0.39877104377104378"/>
    <n v="0"/>
    <n v="3.7312289562289607"/>
    <n v="1.8656144781144803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59"/>
    <s v="Pedido 2020"/>
    <d v="2025-07-16T00:00:00"/>
    <d v="2025-07-21T00:00:00"/>
    <s v="PedidoF1904"/>
    <s v="CódRastreio1902"/>
    <n v="1"/>
    <s v="CPF 1976"/>
    <s v="Nome 1976"/>
    <s v="Tel 1976"/>
    <s v="Cep 1976"/>
    <s v="Rua 1976"/>
    <s v="Comp 1976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60"/>
    <s v="Pedido 2021"/>
    <d v="2025-07-16T00:00:00"/>
    <d v="2025-07-22T00:00:00"/>
    <s v="PedidoF1905"/>
    <s v="CódRastreio1903"/>
    <n v="1"/>
    <s v="CPF 1977"/>
    <s v="Nome 1977"/>
    <s v="Tel 1977"/>
    <s v="Cep 1977"/>
    <s v="Rua 1977"/>
    <s v="Comp 1977"/>
    <x v="29"/>
    <s v="HG-2FNR-01A9"/>
    <d v="2025-08-02T00:00:00"/>
    <n v="23.9"/>
    <n v="23.9"/>
    <n v="2.8679999999999999"/>
    <n v="21.03"/>
    <n v="15.99"/>
    <n v="0"/>
    <n v="0.39877104377104378"/>
    <n v="0"/>
    <n v="4.6412289562289573"/>
    <n v="2.3206144781144786"/>
    <d v="2025-08-09T00:00:00"/>
    <d v="2025-08-09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59"/>
    <s v="Pedido 2022"/>
    <d v="2025-07-16T00:00:00"/>
    <d v="2025-07-21T00:00:00"/>
    <s v="PedidoF1906"/>
    <s v="CódRastreio1904"/>
    <n v="1"/>
    <s v="CPF 1978"/>
    <s v="Nome 1978"/>
    <s v="Tel 1978"/>
    <s v="Cep 1978"/>
    <s v="Rua 1978"/>
    <s v="Comp 1978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9"/>
    <s v="Pedido 2023"/>
    <d v="2025-07-16T00:00:00"/>
    <d v="2025-07-21T00:00:00"/>
    <s v="PedidoF1907"/>
    <s v="CódRastreio1905"/>
    <n v="1"/>
    <s v="CPF 1979"/>
    <s v="Nome 1979"/>
    <s v="Tel 1979"/>
    <s v="Cep 1979"/>
    <s v="Rua 1979"/>
    <s v="Comp 1979"/>
    <x v="33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d v="2025-08-09T00:00:00"/>
    <d v="2025-08-09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9"/>
    <s v="Pedido 2024"/>
    <d v="2025-07-16T00:00:00"/>
    <d v="2025-07-21T00:00:00"/>
    <s v="PedidoF1908"/>
    <s v="CódRastreio1906"/>
    <n v="2"/>
    <s v="CPF 1980"/>
    <s v="Nome 1980"/>
    <s v="Tel 1980"/>
    <s v="Cep 1980"/>
    <s v="Rua 1980"/>
    <s v="Comp 1980"/>
    <x v="33"/>
    <s v="6I-CK1S-8HYZ"/>
    <d v="2025-07-31T00:00:00"/>
    <n v="59"/>
    <n v="59"/>
    <n v="7.08"/>
    <n v="51.92"/>
    <n v="40.659999999999997"/>
    <n v="0"/>
    <n v="0.39877104377104378"/>
    <n v="0"/>
    <n v="10.861228956228963"/>
    <n v="5.430614478114481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60"/>
    <s v="Pedido 2025"/>
    <d v="2025-07-16T00:00:00"/>
    <d v="2025-07-22T00:00:00"/>
    <s v="PedidoF1909"/>
    <s v="CódRastreio1907"/>
    <n v="1"/>
    <s v="CPF 1981"/>
    <s v="Nome 1981"/>
    <s v="Tel 1981"/>
    <s v="Cep 1981"/>
    <s v="Rua 1981"/>
    <s v="Comp 1981"/>
    <x v="29"/>
    <s v="HG-2FNR-01A9"/>
    <d v="2025-07-31T00:00:00"/>
    <n v="23.9"/>
    <n v="23.9"/>
    <n v="2.8679999999999999"/>
    <n v="21.03"/>
    <n v="15.99"/>
    <n v="0"/>
    <n v="0.39877104377104378"/>
    <n v="0"/>
    <n v="4.6412289562289573"/>
    <n v="2.3206144781144786"/>
    <d v="2025-08-07T00:00:00"/>
    <d v="2025-08-07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59"/>
    <s v="Pedido 2026"/>
    <d v="2025-07-16T00:00:00"/>
    <d v="2025-07-21T00:00:00"/>
    <s v="PedidoF1910"/>
    <s v="CódRastreio1908"/>
    <n v="1"/>
    <s v="CPF 1982"/>
    <s v="Nome 1982"/>
    <s v="Tel 1982"/>
    <s v="Cep 1982"/>
    <s v="Rua 1982"/>
    <s v="Comp 1982"/>
    <x v="33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d v="2025-08-09T00:00:00"/>
    <d v="2025-08-09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59"/>
    <s v="Pedido 2027"/>
    <d v="2025-07-16T00:00:00"/>
    <d v="2025-07-21T00:00:00"/>
    <s v="PedidoF1911"/>
    <s v="CódRastreio1909"/>
    <n v="1"/>
    <s v="CPF 1983"/>
    <s v="Nome 1983"/>
    <s v="Tel 1983"/>
    <s v="Cep 1983"/>
    <s v="Rua 1983"/>
    <s v="Comp 1983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59"/>
    <s v="Pedido 2028"/>
    <d v="2025-07-16T00:00:00"/>
    <d v="2025-07-21T00:00:00"/>
    <s v="PedidoF1912"/>
    <s v="CódRastreio1910"/>
    <n v="1"/>
    <s v="CPF 1984"/>
    <s v="Nome 1984"/>
    <s v="Tel 1984"/>
    <s v="Cep 1984"/>
    <s v="Rua 1984"/>
    <s v="Comp 1984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60"/>
    <s v="Pedido 2029"/>
    <d v="2025-07-16T00:00:00"/>
    <d v="2025-07-22T00:00:00"/>
    <s v="PedidoF1913"/>
    <s v="CódRastreio1911"/>
    <n v="1"/>
    <s v="CPF 1985"/>
    <s v="Nome 1985"/>
    <s v="Tel 1985"/>
    <s v="Cep 1985"/>
    <s v="Rua 1985"/>
    <s v="Comp 1985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60"/>
    <s v="Pedido 2030"/>
    <d v="2025-07-16T00:00:00"/>
    <d v="2025-07-22T00:00:00"/>
    <s v="PedidoF1914"/>
    <s v="CódRastreio1912"/>
    <n v="1"/>
    <s v="CPF 1986"/>
    <s v="Nome 1986"/>
    <s v="Tel 1986"/>
    <s v="Cep 1986"/>
    <s v="Rua 1986"/>
    <s v="Comp 1986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60"/>
    <s v="Pedido 2031"/>
    <d v="2025-07-16T00:00:00"/>
    <d v="2025-07-22T00:00:00"/>
    <s v="PedidoF1915"/>
    <s v="CódRastreio1913"/>
    <n v="1"/>
    <s v="CPF 1987"/>
    <s v="Nome 1987"/>
    <s v="Tel 1987"/>
    <s v="Cep 1987"/>
    <s v="Rua 1987"/>
    <s v="Comp 1987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60"/>
    <s v="Pedido 2032"/>
    <d v="2025-07-16T00:00:00"/>
    <d v="2025-07-22T00:00:00"/>
    <s v="PedidoF1916"/>
    <s v="CódRastreio1914"/>
    <n v="1"/>
    <s v="CPF 1988"/>
    <s v="Nome 1988"/>
    <s v="Tel 1988"/>
    <s v="Cep 1988"/>
    <s v="Rua 1988"/>
    <s v="Comp 1988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60"/>
    <s v="Pedido 2033"/>
    <d v="2025-07-16T00:00:00"/>
    <d v="2025-07-22T00:00:00"/>
    <s v="PedidoF1917"/>
    <s v="CódRastreio1915"/>
    <n v="1"/>
    <s v="CPF 1989"/>
    <s v="Nome 1989"/>
    <s v="Tel 1989"/>
    <s v="Cep 1989"/>
    <s v="Rua 1989"/>
    <s v="Comp 1989"/>
    <x v="33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60"/>
    <s v="Pedido 2034"/>
    <d v="2025-07-17T00:00:00"/>
    <d v="2025-07-22T00:00:00"/>
    <s v="PedidoF1918"/>
    <s v="CódRastreio1916"/>
    <n v="1"/>
    <s v="CPF 1990"/>
    <s v="Nome 1990"/>
    <s v="Tel 1990"/>
    <s v="Cep 1990"/>
    <s v="Rua 1990"/>
    <s v="Comp 1990"/>
    <x v="33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d v="2025-08-08T00:00:00"/>
    <d v="2025-08-08T00:00:00"/>
    <d v="2025-08-18T00:00:00"/>
    <d v="2025-08-19T00:00:00"/>
    <s v="2025 08"/>
    <s v="Aguardando Liberação"/>
    <s v="2025 07"/>
    <s v="EM TRÂNSITO"/>
    <s v="-"/>
    <s v="-"/>
    <m/>
    <n v="0"/>
    <n v="0"/>
    <n v="0"/>
    <n v="0"/>
    <n v="0"/>
  </r>
  <r>
    <s v="BV"/>
    <s v="BV45860"/>
    <s v="Pedido 2035"/>
    <d v="2025-07-17T00:00:00"/>
    <d v="2025-07-22T00:00:00"/>
    <s v="PedidoF1919"/>
    <s v="CódRastreio1917"/>
    <n v="1"/>
    <s v="CPF 1991"/>
    <s v="Nome 1991"/>
    <s v="Tel 1991"/>
    <s v="Cep 1991"/>
    <s v="Rua 1991"/>
    <s v="Comp 1991"/>
    <x v="33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d v="2025-08-08T00:00:00"/>
    <d v="2025-08-08T00:00:00"/>
    <d v="2025-08-18T00:00:00"/>
    <d v="2025-08-19T00:00:00"/>
    <s v="2025 08"/>
    <s v="Aguardando Liberação"/>
    <s v="2025 07"/>
    <s v="ENTREGUE"/>
    <d v="2025-07-24T00:00:00"/>
    <s v="-"/>
    <m/>
    <n v="0"/>
    <n v="0"/>
    <n v="0"/>
    <n v="0"/>
    <n v="0"/>
  </r>
  <r>
    <s v="BV"/>
    <s v="BV45860"/>
    <s v="Pedido 2036"/>
    <d v="2025-07-17T00:00:00"/>
    <d v="2025-07-22T00:00:00"/>
    <s v="PedidoF1920"/>
    <s v="CódRastreio1918"/>
    <n v="1"/>
    <s v="CPF 1992"/>
    <s v="Nome 1992"/>
    <s v="Tel 1992"/>
    <s v="Cep 1992"/>
    <s v="Rua 1992"/>
    <s v="Comp 1992"/>
    <x v="33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d v="2025-08-08T00:00:00"/>
    <d v="2025-08-08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BV"/>
    <s v="BV45860"/>
    <s v="Pedido 2037"/>
    <d v="2025-07-17T00:00:00"/>
    <d v="2025-07-22T00:00:00"/>
    <s v="PedidoF1921"/>
    <s v="CódRastreio1919"/>
    <n v="1"/>
    <s v="CPF 1993"/>
    <s v="Nome 1993"/>
    <s v="Tel 1993"/>
    <s v="Cep 1993"/>
    <s v="Rua 1993"/>
    <s v="Comp 1993"/>
    <x v="33"/>
    <s v="6I-CK1S-8HYZ"/>
    <d v="2025-08-07T00:00:00"/>
    <n v="29.5"/>
    <n v="29.5"/>
    <n v="3.54"/>
    <n v="25.96"/>
    <n v="22.58"/>
    <n v="0"/>
    <n v="0.39877104377104378"/>
    <n v="0"/>
    <n v="2.9812289562289571"/>
    <n v="1.4906144781144786"/>
    <d v="2025-08-14T00:00:00"/>
    <d v="2025-08-14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60"/>
    <s v="Pedido 2038"/>
    <d v="2025-07-17T00:00:00"/>
    <d v="2025-07-22T00:00:00"/>
    <s v="PedidoF1922"/>
    <s v="CódRastreio1920"/>
    <n v="2"/>
    <s v="CPF 1994"/>
    <s v="Nome 1994"/>
    <s v="Tel 1994"/>
    <s v="Cep 1994"/>
    <s v="Rua 1994"/>
    <s v="Comp 1994"/>
    <x v="33"/>
    <s v="6I-CK1S-8HYZ"/>
    <d v="2025-08-07T00:00:00"/>
    <n v="59"/>
    <n v="59"/>
    <n v="7.08"/>
    <n v="51.92"/>
    <n v="40.659999999999997"/>
    <n v="0"/>
    <n v="0.39877104377104378"/>
    <n v="0"/>
    <n v="10.861228956228963"/>
    <n v="5.4306144781144816"/>
    <d v="2025-08-14T00:00:00"/>
    <d v="2025-08-14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60"/>
    <s v="Pedido 2039"/>
    <d v="2025-07-17T00:00:00"/>
    <d v="2025-07-22T00:00:00"/>
    <s v="PedidoF1923"/>
    <s v="CódRastreio1921"/>
    <n v="1"/>
    <s v="CPF 1995"/>
    <s v="Nome 1995"/>
    <s v="Tel 1995"/>
    <s v="Cep 1995"/>
    <s v="Rua 1995"/>
    <s v="Comp 1995"/>
    <x v="33"/>
    <s v="6I-CK1S-8HYZ"/>
    <d v="2025-08-07T00:00:00"/>
    <n v="29.5"/>
    <n v="29.5"/>
    <n v="3.54"/>
    <n v="25.96"/>
    <n v="22.58"/>
    <n v="0"/>
    <n v="0.39877104377104378"/>
    <n v="1"/>
    <n v="1.9812289562289571"/>
    <n v="0.99061447811447856"/>
    <d v="2025-08-14T00:00:00"/>
    <d v="2025-08-14T00:00:00"/>
    <d v="2025-08-18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GO"/>
    <s v="GO45860"/>
    <s v="Pedido 2040"/>
    <d v="2025-07-17T00:00:00"/>
    <d v="2025-07-22T00:00:00"/>
    <s v="PedidoF1924"/>
    <s v="CódRastreio1922"/>
    <n v="1"/>
    <s v="CPF 1996"/>
    <s v="Nome 1996"/>
    <s v="Tel 1996"/>
    <s v="Cep 1996"/>
    <s v="Rua 1996"/>
    <s v="Comp 1996"/>
    <x v="15"/>
    <s v="K9-YV2I-FO7H"/>
    <d v="2025-08-12T00:00:00"/>
    <n v="54.99"/>
    <n v="54.99"/>
    <n v="6.0489000000000006"/>
    <n v="48.94"/>
    <n v="36.72"/>
    <n v="0"/>
    <n v="0.39877104377104378"/>
    <n v="0"/>
    <n v="11.821228956228957"/>
    <n v="11.821228956228957"/>
    <d v="2025-08-19T00:00:00"/>
    <d v="2025-08-19T00:00:00"/>
    <d v="2025-09-15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BV"/>
    <s v="BV45861"/>
    <s v="Pedido 2041"/>
    <d v="2025-07-18T00:00:00"/>
    <d v="2025-07-23T00:00:00"/>
    <s v="PedidoF1925"/>
    <s v="CódRastreio1923"/>
    <n v="1"/>
    <s v="CPF 1997"/>
    <s v="Nome 1997"/>
    <s v="Tel 1997"/>
    <s v="Cep 1997"/>
    <s v="Rua 1997"/>
    <s v="Comp 1997"/>
    <x v="33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d v="2025-08-08T00:00:00"/>
    <d v="2025-08-08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61"/>
    <s v="Pedido 2042"/>
    <d v="2025-07-18T00:00:00"/>
    <d v="2025-07-23T00:00:00"/>
    <s v="PedidoF1926"/>
    <s v="CódRastreio1924"/>
    <n v="1"/>
    <s v="CPF 1998"/>
    <s v="Nome 1998"/>
    <s v="Tel 1998"/>
    <s v="Cep 1998"/>
    <s v="Rua 1998"/>
    <s v="Comp 1998"/>
    <x v="33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d v="2025-08-09T00:00:00"/>
    <d v="2025-08-09T00:00:00"/>
    <d v="2025-08-18T00:00:00"/>
    <d v="2025-08-19T00:00:00"/>
    <s v="2025 08"/>
    <s v="Aguardando Liberação"/>
    <s v="2025 07"/>
    <s v="EM TRÂNSITO"/>
    <s v="-"/>
    <s v="-"/>
    <m/>
    <n v="0"/>
    <n v="0"/>
    <n v="0"/>
    <n v="0"/>
    <n v="0"/>
  </r>
  <r>
    <s v="BV"/>
    <s v="BV45861"/>
    <s v="Pedido 2043"/>
    <d v="2025-07-18T00:00:00"/>
    <d v="2025-07-23T00:00:00"/>
    <s v="PedidoF1927"/>
    <s v="CódRastreio1925"/>
    <n v="1"/>
    <s v="CPF 1999"/>
    <s v="Nome 1999"/>
    <s v="Tel 1999"/>
    <s v="Cep 1999"/>
    <s v="Rua 1999"/>
    <s v="Comp 1999"/>
    <x v="33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BV"/>
    <s v="BV45861"/>
    <s v="Pedido 2044"/>
    <d v="2025-07-18T00:00:00"/>
    <d v="2025-07-23T00:00:00"/>
    <s v="PedidoF1928"/>
    <s v="CódRastreio1926"/>
    <n v="1"/>
    <s v="CPF 2000"/>
    <s v="Nome 2000"/>
    <s v="Tel 2000"/>
    <s v="Cep 2000"/>
    <s v="Rua 2000"/>
    <s v="Comp 2000"/>
    <x v="33"/>
    <s v="6I-CK1S-8HYZ"/>
    <d v="2025-08-08T00:00:00"/>
    <n v="29.5"/>
    <n v="29.5"/>
    <n v="3.54"/>
    <n v="25.96"/>
    <n v="22.58"/>
    <n v="0"/>
    <n v="0.39877104377104378"/>
    <n v="0"/>
    <n v="2.9812289562289571"/>
    <n v="1.4906144781144786"/>
    <d v="2025-08-15T00:00:00"/>
    <d v="2025-08-15T00:00:00"/>
    <d v="2025-08-18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BV"/>
    <s v="BV45861"/>
    <s v="Pedido 2045"/>
    <d v="2025-07-21T00:00:00"/>
    <d v="2025-07-23T00:00:00"/>
    <s v="PedidoF1929"/>
    <s v="CódRastreio1927"/>
    <n v="1"/>
    <s v="CPF 2001"/>
    <s v="Nome 2001"/>
    <s v="Tel 2001"/>
    <s v="Cep 2001"/>
    <s v="Rua 2001"/>
    <s v="Comp 2001"/>
    <x v="33"/>
    <s v="6I-CK1S-8HYZ"/>
    <d v="2025-08-06T00:00:00"/>
    <n v="31.99"/>
    <n v="31.99"/>
    <n v="3.8387999999999995"/>
    <n v="28.15"/>
    <n v="22.58"/>
    <n v="0"/>
    <n v="0.39877104377104378"/>
    <n v="0"/>
    <n v="5.1712289562289548"/>
    <n v="2.5856144781144774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0"/>
    <s v="Pedido 2046"/>
    <d v="2025-07-22T00:00:00"/>
    <d v="2025-07-22T00:00:00"/>
    <s v="PedidoF1930"/>
    <s v="CódRastreio1928"/>
    <n v="1"/>
    <s v="CPF 2002"/>
    <s v="Nome 2002"/>
    <s v="Tel 2002"/>
    <s v="Cep 2002"/>
    <s v="Rua 2002"/>
    <s v="Comp 2002"/>
    <x v="15"/>
    <s v="K9-YV2I-FO7H"/>
    <d v="2025-08-12T00:00:00"/>
    <n v="54.99"/>
    <n v="54.99"/>
    <n v="6.0489000000000006"/>
    <n v="48.94"/>
    <n v="36.72"/>
    <n v="0"/>
    <n v="0.39877104377104378"/>
    <n v="0"/>
    <n v="11.821228956228957"/>
    <n v="11.821228956228957"/>
    <d v="2025-08-19T00:00:00"/>
    <d v="2025-08-19T00:00:00"/>
    <d v="2025-09-15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GO"/>
    <s v="GO45860"/>
    <s v="Pedido 2047"/>
    <d v="2025-07-22T00:00:00"/>
    <d v="2025-07-22T00:00:00"/>
    <s v="PedidoF1930"/>
    <s v="CódRastreio1928"/>
    <n v="1"/>
    <s v="CPF 2002"/>
    <s v="Nome 2002"/>
    <s v="Tel 2002"/>
    <s v="Cep 2002"/>
    <s v="Rua 2002"/>
    <s v="Comp 2002"/>
    <x v="15"/>
    <s v="K9-YV2I-FO7H"/>
    <d v="2025-08-12T00:00:00"/>
    <n v="54.99"/>
    <n v="54.99"/>
    <n v="6.0489000000000006"/>
    <n v="48.94"/>
    <n v="36.72"/>
    <n v="0"/>
    <n v="0.39877104377104378"/>
    <n v="0"/>
    <n v="11.821228956228957"/>
    <n v="11.821228956228957"/>
    <d v="2025-08-19T00:00:00"/>
    <d v="2025-08-19T00:00:00"/>
    <d v="2025-09-15T00:00:00"/>
    <d v="2025-08-19T00:00:00"/>
    <s v="2025 08"/>
    <s v="Aguardando Liberação"/>
    <s v="2025 07"/>
    <s v="ENTREGUE"/>
    <d v="2025-07-26T00:00:00"/>
    <s v="-"/>
    <m/>
    <n v="0"/>
    <n v="0"/>
    <n v="0"/>
    <n v="0"/>
    <n v="0"/>
  </r>
  <r>
    <s v="GO"/>
    <s v="GO45860"/>
    <s v="Pedido 2048"/>
    <d v="2025-07-22T00:00:00"/>
    <d v="2025-07-22T00:00:00"/>
    <s v="PedidoF1931"/>
    <s v="CódRastreio1929"/>
    <n v="1"/>
    <s v="CPF 2003"/>
    <s v="Nome 2003"/>
    <s v="Tel 2003"/>
    <s v="Cep 2003"/>
    <s v="Rua 2003"/>
    <s v="Comp 2003"/>
    <x v="33"/>
    <s v="UX-4N1H-UQ8A"/>
    <d v="2025-08-05T00:00:00"/>
    <n v="30.99"/>
    <n v="30.99"/>
    <n v="3.7187999999999999"/>
    <n v="27.27"/>
    <n v="22.58"/>
    <n v="0"/>
    <n v="0.39877104377104378"/>
    <n v="0"/>
    <n v="4.2912289562289558"/>
    <n v="4.2912289562289558"/>
    <d v="2025-08-12T00:00:00"/>
    <d v="2025-08-12T00:00:00"/>
    <d v="2025-08-18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60"/>
    <s v="Pedido 2049"/>
    <d v="2025-07-22T00:00:00"/>
    <d v="2025-07-22T00:00:00"/>
    <s v="PedidoF1932"/>
    <s v="CódRastreio1930"/>
    <n v="1"/>
    <s v="CPF 2004"/>
    <s v="Nome 2004"/>
    <s v="Tel 2004"/>
    <s v="Cep 2004"/>
    <s v="Rua 2004"/>
    <s v="Comp 2004"/>
    <x v="33"/>
    <s v="UX-4N1H-UQ8A"/>
    <d v="2025-07-31T00:00:00"/>
    <n v="30.97"/>
    <n v="30.97"/>
    <n v="3.7163999999999997"/>
    <n v="27.25"/>
    <n v="22.58"/>
    <n v="0"/>
    <n v="0.39877104377104378"/>
    <n v="0"/>
    <n v="4.2712289562289563"/>
    <n v="4.2712289562289563"/>
    <d v="2025-08-07T00:00:00"/>
    <d v="2025-08-07T00:00:00"/>
    <d v="2025-08-18T00:00:00"/>
    <d v="2025-08-19T00:00:00"/>
    <s v="2025 08"/>
    <s v="Aguardando Liberação"/>
    <s v="2025 07"/>
    <s v="ENTREGUE"/>
    <d v="2025-07-25T00:00:00"/>
    <s v="-"/>
    <m/>
    <n v="0"/>
    <n v="0"/>
    <n v="0"/>
    <n v="0"/>
    <n v="0"/>
  </r>
  <r>
    <s v="GO"/>
    <s v="GO45861"/>
    <s v="Pedido 2050"/>
    <d v="2025-07-22T00:00:00"/>
    <d v="2025-07-23T00:00:00"/>
    <s v="PedidoF1933"/>
    <s v="CódRastreio1931"/>
    <n v="1"/>
    <s v="CPF 2005"/>
    <s v="Nome 2005"/>
    <s v="Tel 2005"/>
    <s v="Cep 2005"/>
    <s v="Rua 2005"/>
    <s v="Comp 2005"/>
    <x v="33"/>
    <s v="UX-4N1H-UQ8A"/>
    <d v="2025-07-31T00:00:00"/>
    <n v="30.97"/>
    <n v="30.97"/>
    <n v="3.7163999999999997"/>
    <n v="27.25"/>
    <n v="22.58"/>
    <n v="0"/>
    <n v="0.39877104377104378"/>
    <n v="0"/>
    <n v="4.2712289562289563"/>
    <n v="4.2712289562289563"/>
    <d v="2025-08-07T00:00:00"/>
    <d v="2025-08-07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51"/>
    <d v="2025-07-23T00:00:00"/>
    <d v="2025-07-23T00:00:00"/>
    <s v="PedidoF1934"/>
    <s v="CódRastreio1932"/>
    <n v="2"/>
    <s v="CPF 2006"/>
    <s v="Nome 2006"/>
    <s v="Tel 2006"/>
    <s v="Cep 2006"/>
    <s v="Rua 2006"/>
    <s v="Comp 2006"/>
    <x v="33"/>
    <s v="UX-4N1H-UQ8A"/>
    <d v="2025-07-31T00:00:00"/>
    <n v="61.94"/>
    <n v="61.94"/>
    <n v="7.4327999999999994"/>
    <n v="54.51"/>
    <n v="40.659999999999997"/>
    <n v="0"/>
    <n v="0.39877104377104378"/>
    <n v="0"/>
    <n v="13.45122895622896"/>
    <n v="13.45122895622896"/>
    <d v="2025-08-07T00:00:00"/>
    <d v="2025-08-07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52"/>
    <d v="2025-07-23T00:00:00"/>
    <d v="2025-07-23T00:00:00"/>
    <s v="PedidoF1935"/>
    <s v="CódRastreio1933"/>
    <n v="2"/>
    <s v="CPF 2007"/>
    <s v="Nome 2007"/>
    <s v="Tel 2007"/>
    <s v="Cep 2007"/>
    <s v="Rua 2007"/>
    <s v="Comp 2007"/>
    <x v="33"/>
    <s v="UX-4N1H-UQ8A"/>
    <d v="2025-08-06T00:00:00"/>
    <n v="61.94"/>
    <n v="61.94"/>
    <n v="7.4327999999999994"/>
    <n v="54.51"/>
    <n v="40.659999999999997"/>
    <n v="0"/>
    <n v="0.39877104377104378"/>
    <n v="0"/>
    <n v="13.45122895622896"/>
    <n v="13.45122895622896"/>
    <d v="2025-08-13T00:00:00"/>
    <d v="2025-08-13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53"/>
    <d v="2025-07-23T00:00:00"/>
    <d v="2025-07-23T00:00:00"/>
    <s v="PedidoF1936"/>
    <s v="CódRastreio1934"/>
    <n v="1"/>
    <s v="CPF 2008"/>
    <s v="Nome 2008"/>
    <s v="Tel 2008"/>
    <s v="Cep 2008"/>
    <s v="Rua 2008"/>
    <s v="Comp 2008"/>
    <x v="33"/>
    <s v="UX-4N1H-UQ8A"/>
    <d v="2025-08-06T00:00:00"/>
    <n v="30.97"/>
    <n v="30.97"/>
    <n v="3.7163999999999997"/>
    <n v="27.25"/>
    <n v="22.58"/>
    <n v="0"/>
    <n v="0.39877104377104378"/>
    <n v="0"/>
    <n v="4.2712289562289563"/>
    <n v="4.2712289562289563"/>
    <d v="2025-08-13T00:00:00"/>
    <d v="2025-08-13T00:00:00"/>
    <d v="2025-08-18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61"/>
    <s v="Pedido 2054"/>
    <d v="2025-07-23T00:00:00"/>
    <d v="2025-07-23T00:00:00"/>
    <s v="PedidoF1937"/>
    <s v="CódRastreio1935"/>
    <n v="1"/>
    <s v="CPF 2009"/>
    <s v="Nome 2009"/>
    <s v="Tel 2009"/>
    <s v="Cep 2009"/>
    <s v="Rua 2009"/>
    <s v="Comp 2009"/>
    <x v="33"/>
    <s v="UX-4N1H-UQ8A"/>
    <d v="2025-08-12T00:00:00"/>
    <n v="30.97"/>
    <n v="30.97"/>
    <n v="3.7163999999999997"/>
    <n v="27.25"/>
    <n v="22.58"/>
    <n v="0"/>
    <n v="0.39877104377104378"/>
    <n v="0"/>
    <n v="4.2712289562289563"/>
    <n v="4.2712289562289563"/>
    <d v="2025-08-19T00:00:00"/>
    <d v="2025-08-19T00:00:00"/>
    <d v="2025-09-15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61"/>
    <s v="Pedido 2055"/>
    <d v="2025-07-23T00:00:00"/>
    <d v="2025-07-23T00:00:00"/>
    <s v="PedidoF1938"/>
    <s v="CódRastreio1936"/>
    <n v="1"/>
    <s v="CPF 2010"/>
    <s v="Nome 2010"/>
    <s v="Tel 2010"/>
    <s v="Cep 2010"/>
    <s v="Rua 2010"/>
    <s v="Comp 2010"/>
    <x v="33"/>
    <s v="UX-4N1H-UQ8A"/>
    <d v="2025-07-31T00:00:00"/>
    <n v="30.97"/>
    <n v="30.97"/>
    <n v="3.7163999999999997"/>
    <n v="27.25"/>
    <n v="22.58"/>
    <n v="0"/>
    <n v="0.39877104377104378"/>
    <n v="0"/>
    <n v="4.2712289562289563"/>
    <n v="4.2712289562289563"/>
    <d v="2025-08-07T00:00:00"/>
    <d v="2025-08-07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56"/>
    <d v="2025-07-23T00:00:00"/>
    <d v="2025-07-23T00:00:00"/>
    <s v="PedidoF1939"/>
    <s v="CódRastreio1937"/>
    <n v="1"/>
    <s v="CPF 2011"/>
    <s v="Nome 2011"/>
    <s v="Tel 2011"/>
    <s v="Cep 2011"/>
    <s v="Rua 2011"/>
    <s v="Comp 2011"/>
    <x v="33"/>
    <s v="UX-4N1H-UQ8A"/>
    <d v="2025-08-05T00:00:00"/>
    <n v="30.97"/>
    <n v="30.97"/>
    <n v="3.7163999999999997"/>
    <n v="27.25"/>
    <n v="22.58"/>
    <n v="0"/>
    <n v="0.39877104377104378"/>
    <n v="0"/>
    <n v="4.2712289562289563"/>
    <n v="4.2712289562289563"/>
    <d v="2025-08-12T00:00:00"/>
    <d v="2025-08-12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57"/>
    <d v="2025-07-23T00:00:00"/>
    <d v="2025-07-23T00:00:00"/>
    <s v="PedidoF1940"/>
    <s v="CódRastreio1938"/>
    <n v="1"/>
    <s v="CPF 2012"/>
    <s v="Nome 2012"/>
    <s v="Tel 2012"/>
    <s v="Cep 2012"/>
    <s v="Rua 2012"/>
    <s v="Comp 2012"/>
    <x v="33"/>
    <s v="UX-4N1H-UQ8A"/>
    <d v="2025-08-01T00:00:00"/>
    <n v="30.97"/>
    <n v="30.97"/>
    <n v="3.7163999999999997"/>
    <n v="27.25"/>
    <n v="22.58"/>
    <n v="0"/>
    <n v="0.39877104377104378"/>
    <n v="0"/>
    <n v="4.2712289562289563"/>
    <n v="4.2712289562289563"/>
    <d v="2025-08-08T00:00:00"/>
    <d v="2025-08-08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58"/>
    <d v="2025-07-23T00:00:00"/>
    <d v="2025-07-23T00:00:00"/>
    <s v="PedidoF1941"/>
    <s v="CódRastreio1939"/>
    <n v="1"/>
    <s v="CPF 2013"/>
    <s v="Nome 2013"/>
    <s v="Tel 2013"/>
    <s v="Cep 2013"/>
    <s v="Rua 2013"/>
    <s v="Comp 2013"/>
    <x v="33"/>
    <s v="UX-4N1H-UQ8A"/>
    <d v="2025-08-07T00:00:00"/>
    <n v="30.97"/>
    <n v="30.97"/>
    <n v="3.7163999999999997"/>
    <n v="27.25"/>
    <n v="22.58"/>
    <n v="0"/>
    <n v="0.39877104377104378"/>
    <n v="0"/>
    <n v="4.2712289562289563"/>
    <n v="4.2712289562289563"/>
    <d v="2025-08-14T00:00:00"/>
    <d v="2025-08-14T00:00:00"/>
    <d v="2025-08-18T00:00:00"/>
    <d v="2025-08-19T00:00:00"/>
    <s v="2025 08"/>
    <s v="Aguardando Liberação"/>
    <s v="2025 07"/>
    <s v="ENTREGUE"/>
    <d v="2025-07-31T00:00:00"/>
    <s v="-"/>
    <m/>
    <n v="0"/>
    <n v="0"/>
    <n v="0"/>
    <n v="0"/>
    <n v="0"/>
  </r>
  <r>
    <s v="GO"/>
    <s v="GO45861"/>
    <s v="Pedido 2059"/>
    <d v="2025-07-23T00:00:00"/>
    <d v="2025-07-23T00:00:00"/>
    <s v="PedidoF1942"/>
    <s v="CódRastreio1940"/>
    <n v="1"/>
    <s v="CPF 2014"/>
    <s v="Nome 2014"/>
    <s v="Tel 2014"/>
    <s v="Cep 2014"/>
    <s v="Rua 2014"/>
    <s v="Comp 2014"/>
    <x v="33"/>
    <s v="UX-4N1H-UQ8A"/>
    <d v="2025-08-01T00:00:00"/>
    <n v="30.97"/>
    <n v="30.97"/>
    <n v="3.7163999999999997"/>
    <n v="27.25"/>
    <n v="22.58"/>
    <n v="0"/>
    <n v="0.39877104377104378"/>
    <n v="0"/>
    <n v="4.2712289562289563"/>
    <n v="4.2712289562289563"/>
    <d v="2025-08-08T00:00:00"/>
    <d v="2025-08-08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1"/>
    <s v="Pedido 2060"/>
    <d v="2025-07-23T00:00:00"/>
    <d v="2025-07-23T00:00:00"/>
    <s v="PedidoF1943"/>
    <s v="CódRastreio1941"/>
    <n v="4"/>
    <s v="CPF 2015"/>
    <s v="Nome 2015"/>
    <s v="Tel 2015"/>
    <s v="Cep 2015"/>
    <s v="Rua 2015"/>
    <s v="Comp 2015"/>
    <x v="33"/>
    <s v="UX-4N1H-UQ8A"/>
    <d v="2025-08-07T00:00:00"/>
    <n v="123.88"/>
    <n v="123.88"/>
    <n v="14.865599999999999"/>
    <n v="109.01"/>
    <n v="81.319999999999993"/>
    <n v="0"/>
    <n v="0.39877104377104378"/>
    <n v="0"/>
    <n v="27.291228956228963"/>
    <n v="27.291228956228963"/>
    <d v="2025-08-14T00:00:00"/>
    <d v="2025-08-14T00:00:00"/>
    <d v="2025-08-18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61"/>
    <s v="Pedido 2061"/>
    <d v="2025-07-23T00:00:00"/>
    <d v="2025-07-23T00:00:00"/>
    <s v="PedidoF1944"/>
    <s v="CódRastreio1942"/>
    <n v="1"/>
    <s v="CPF 2016"/>
    <s v="Nome 2016"/>
    <s v="Tel 2016"/>
    <s v="Cep 2016"/>
    <s v="Rua 2016"/>
    <s v="Comp 2016"/>
    <x v="33"/>
    <s v="UX-4N1H-UQ8A"/>
    <d v="2025-08-01T00:00:00"/>
    <n v="30.97"/>
    <n v="30.97"/>
    <n v="3.7163999999999997"/>
    <n v="27.25"/>
    <n v="22.58"/>
    <n v="0"/>
    <n v="0.39877104377104378"/>
    <n v="0"/>
    <n v="4.2712289562289563"/>
    <n v="4.2712289562289563"/>
    <d v="2025-08-08T00:00:00"/>
    <d v="2025-08-08T00:00:00"/>
    <d v="2025-08-18T00:00:00"/>
    <d v="2025-08-19T00:00:00"/>
    <s v="2025 08"/>
    <s v="Aguardando Liberação"/>
    <s v="2025 07"/>
    <s v="ENTREGUE"/>
    <d v="2025-07-27T00:00:00"/>
    <s v="-"/>
    <m/>
    <n v="0"/>
    <n v="0"/>
    <n v="0"/>
    <n v="0"/>
    <n v="0"/>
  </r>
  <r>
    <s v="GO"/>
    <s v="GO45861"/>
    <s v="Pedido 2062"/>
    <d v="2025-07-24T00:00:00"/>
    <d v="2025-07-23T00:00:00"/>
    <s v="PedidoF1945"/>
    <s v="CódRastreio1943"/>
    <n v="1"/>
    <s v="CPF 2017"/>
    <s v="Nome 2017"/>
    <s v="Tel 2017"/>
    <s v="Cep 2017"/>
    <s v="Rua 2017"/>
    <s v="Comp 2017"/>
    <x v="33"/>
    <s v="UX-4N1H-UQ8A"/>
    <d v="2025-08-07T00:00:00"/>
    <n v="30.97"/>
    <n v="30.97"/>
    <n v="3.7163999999999997"/>
    <n v="27.25"/>
    <n v="22.58"/>
    <n v="0"/>
    <n v="0.39877104377104378"/>
    <n v="0"/>
    <n v="4.2712289562289563"/>
    <n v="4.2712289562289563"/>
    <d v="2025-08-14T00:00:00"/>
    <d v="2025-08-14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2"/>
    <s v="Pedido 2063"/>
    <d v="2025-07-24T00:00:00"/>
    <d v="2025-07-24T00:00:00"/>
    <s v="PedidoF1946"/>
    <s v="CódRastreio1944"/>
    <n v="1"/>
    <s v="CPF 2018"/>
    <s v="Nome 2018"/>
    <s v="Tel 2018"/>
    <s v="Cep 2018"/>
    <s v="Rua 2018"/>
    <s v="Comp 2018"/>
    <x v="33"/>
    <s v="UX-4N1H-UQ8A"/>
    <d v="2025-08-20T00:00:00"/>
    <n v="30.97"/>
    <n v="30.97"/>
    <n v="3.7163999999999997"/>
    <n v="27.25"/>
    <n v="22.58"/>
    <n v="0"/>
    <n v="0.39877104377104378"/>
    <n v="0"/>
    <n v="4.2712289562289563"/>
    <n v="4.2712289562289563"/>
    <d v="2025-08-27T00:00:00"/>
    <d v="2025-08-27T00:00:00"/>
    <d v="2025-09-15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62"/>
    <s v="Pedido 2064"/>
    <d v="2025-07-24T00:00:00"/>
    <d v="2025-07-24T00:00:00"/>
    <s v="PedidoF1947"/>
    <s v="CódRastreio1945"/>
    <n v="1"/>
    <s v="CPF 2019"/>
    <s v="Nome 2019"/>
    <s v="Tel 2019"/>
    <s v="Cep 2019"/>
    <s v="Rua 2019"/>
    <s v="Comp 2019"/>
    <x v="33"/>
    <s v="UX-4N1H-UQ8A"/>
    <d v="2025-08-14T00:00:00"/>
    <n v="30.97"/>
    <n v="30.97"/>
    <n v="3.7163999999999997"/>
    <n v="27.25"/>
    <n v="22.58"/>
    <n v="0"/>
    <n v="0.39877104377104378"/>
    <n v="0"/>
    <n v="4.2712289562289563"/>
    <n v="4.2712289562289563"/>
    <d v="2025-08-21T00:00:00"/>
    <d v="2025-08-21T00:00:00"/>
    <d v="2025-09-15T00:00:00"/>
    <d v="2025-08-19T00:00:00"/>
    <s v="2025 08"/>
    <s v="Aguardando Liberação"/>
    <s v="2025 07"/>
    <s v="ENTREGUE"/>
    <d v="2025-07-29T00:00:00"/>
    <s v="-"/>
    <m/>
    <n v="0"/>
    <n v="0"/>
    <n v="0"/>
    <n v="0"/>
    <n v="0"/>
  </r>
  <r>
    <s v="GO"/>
    <s v="GO45862"/>
    <s v="Pedido 2065"/>
    <d v="2025-07-24T00:00:00"/>
    <d v="2025-07-24T00:00:00"/>
    <s v="PedidoF1948"/>
    <s v="CódRastreio1946"/>
    <n v="1"/>
    <s v="CPF 1896"/>
    <s v="Nome 1896"/>
    <s v="Tel 1896"/>
    <s v="Cep 1896"/>
    <s v="Rua 1896"/>
    <s v="Comp 1896"/>
    <x v="33"/>
    <s v="UX-4N1H-UQ8A"/>
    <d v="2025-08-08T00:00:00"/>
    <n v="30.97"/>
    <n v="30.97"/>
    <n v="3.7163999999999997"/>
    <n v="27.25"/>
    <n v="22.58"/>
    <n v="0"/>
    <n v="0.39877104377104378"/>
    <n v="0"/>
    <n v="4.2712289562289563"/>
    <n v="4.2712289562289563"/>
    <d v="2025-08-15T00:00:00"/>
    <d v="2025-08-15T00:00:00"/>
    <d v="2025-08-18T00:00:00"/>
    <d v="2025-08-19T00:00:00"/>
    <s v="2025 08"/>
    <s v="Aguardando Liberação"/>
    <s v="2025 07"/>
    <s v="ENTREGUE"/>
    <d v="2025-07-28T00:00:00"/>
    <s v="-"/>
    <m/>
    <n v="0"/>
    <n v="0"/>
    <n v="0"/>
    <n v="0"/>
    <n v="0"/>
  </r>
  <r>
    <s v="GO"/>
    <s v="GO45866"/>
    <s v="Pedido 2066"/>
    <d v="2025-07-25T00:00:00"/>
    <d v="2025-07-28T00:00:00"/>
    <s v="PedidoF1949"/>
    <s v="CódRastreio1947"/>
    <n v="1"/>
    <s v="CPF 2021"/>
    <s v="Nome 2021"/>
    <s v="Tel 2021"/>
    <s v="Cep 2021"/>
    <s v="Rua 2021"/>
    <s v="Comp 2021"/>
    <x v="33"/>
    <s v="UX-4N1H-UQ8A"/>
    <d v="2025-08-08T00:00:00"/>
    <n v="30.97"/>
    <n v="30.97"/>
    <n v="3.7163999999999997"/>
    <n v="27.25"/>
    <n v="22.58"/>
    <n v="0"/>
    <n v="0.39877104377104378"/>
    <n v="0"/>
    <n v="4.2712289562289563"/>
    <n v="4.2712289562289563"/>
    <d v="2025-08-15T00:00:00"/>
    <d v="2025-08-15T00:00:00"/>
    <d v="2025-08-18T00:00:00"/>
    <d v="2025-08-19T00:00:00"/>
    <s v="2025 08"/>
    <s v="Aguardando Liberação"/>
    <s v="2025 07"/>
    <s v="ENTREGUE"/>
    <d v="2025-08-01T00:00:00"/>
    <s v="-"/>
    <m/>
    <n v="0"/>
    <n v="0"/>
    <n v="0"/>
    <n v="0"/>
    <n v="0"/>
  </r>
  <r>
    <s v="GO"/>
    <s v="GO45866"/>
    <s v="Pedido 2067"/>
    <d v="2025-07-28T00:00:00"/>
    <d v="2025-07-28T00:00:00"/>
    <s v="PedidoF1950"/>
    <s v="CódRastreio1948"/>
    <n v="1"/>
    <s v="CPF 2022"/>
    <s v="Nome 2022"/>
    <s v="Tel 2022"/>
    <s v="Cep 2022"/>
    <s v="Rua 2022"/>
    <s v="Comp 2022"/>
    <x v="15"/>
    <s v="K9-YV2I-FO7H"/>
    <d v="2025-08-14T00:00:00"/>
    <n v="54.99"/>
    <n v="54.99"/>
    <n v="6.0489000000000006"/>
    <n v="48.94"/>
    <n v="36.72"/>
    <n v="0"/>
    <n v="0.39877104377104378"/>
    <n v="0"/>
    <n v="11.821228956228957"/>
    <n v="11.821228956228957"/>
    <d v="2025-08-21T00:00:00"/>
    <d v="2025-08-21T00:00:00"/>
    <d v="2025-09-15T00:00:00"/>
    <d v="2025-08-19T00:00:00"/>
    <s v="2025 08"/>
    <s v="Aguardando Liberação"/>
    <s v="2025 07"/>
    <s v="ENTREGUE"/>
    <d v="2025-08-01T00:00:00"/>
    <s v="-"/>
    <m/>
    <n v="0"/>
    <n v="0"/>
    <n v="0"/>
    <n v="0"/>
    <n v="0"/>
  </r>
  <r>
    <s v="GO"/>
    <s v="GO45866"/>
    <s v="Pedido 2068"/>
    <d v="2025-07-28T00:00:00"/>
    <d v="2025-07-28T00:00:00"/>
    <s v="PedidoF1951"/>
    <s v="CódRastreio1949"/>
    <n v="1"/>
    <s v="CPF 2023"/>
    <s v="Nome 2023"/>
    <s v="Tel 2023"/>
    <s v="Cep 2023"/>
    <s v="Rua 2023"/>
    <s v="Comp 2023"/>
    <x v="33"/>
    <s v="UX-4N1H-UQ8A"/>
    <d v="2025-08-12T00:00:00"/>
    <n v="29.5"/>
    <n v="29.5"/>
    <n v="3.54"/>
    <n v="25.96"/>
    <n v="22.58"/>
    <n v="0"/>
    <n v="0.39877104377104378"/>
    <n v="0"/>
    <n v="2.9812289562289571"/>
    <n v="2.9812289562289571"/>
    <d v="2025-08-19T00:00:00"/>
    <d v="2025-08-19T00:00:00"/>
    <d v="2025-09-15T00:00:00"/>
    <d v="2025-08-19T00:00:00"/>
    <s v="2025 08"/>
    <s v="Aguardando Liberação"/>
    <s v="2025 07"/>
    <s v="ENTREGUE"/>
    <d v="2025-08-01T00:00:00"/>
    <s v="-"/>
    <m/>
    <n v="0"/>
    <n v="0"/>
    <n v="0"/>
    <n v="0"/>
    <n v="0"/>
  </r>
  <r>
    <s v="BV"/>
    <s v="BV45875"/>
    <s v="Pedido 2069"/>
    <d v="2025-08-03T00:00:00"/>
    <d v="2025-08-06T00:00:00"/>
    <s v="PedidoF1952"/>
    <s v="CódRastreio1950"/>
    <n v="2"/>
    <s v="CPF 2024"/>
    <s v="Nome 2024"/>
    <s v="Tel 2024"/>
    <s v="Cep 2024"/>
    <s v="Rua 2024"/>
    <s v="Comp 2024"/>
    <x v="29"/>
    <s v="HG-2FNR-01A9"/>
    <d v="2025-08-16T00:00:00"/>
    <n v="47.8"/>
    <n v="47.8"/>
    <n v="5.7359999999999998"/>
    <n v="42.06"/>
    <n v="32.07"/>
    <n v="0"/>
    <n v="0.39877104377104378"/>
    <n v="0"/>
    <n v="9.5912289562289601"/>
    <n v="4.7956144781144801"/>
    <d v="2025-08-23T00:00:00"/>
    <d v="2025-08-23T00:00:00"/>
    <d v="2025-09-15T00:00:00"/>
    <d v="2025-08-19T00:00:00"/>
    <s v="2025 08"/>
    <s v="Aguardando Liberação"/>
    <s v="2025 08"/>
    <s v="EM TRÂNSITO"/>
    <s v="-"/>
    <s v="-"/>
    <m/>
    <n v="0"/>
    <n v="0"/>
    <n v="0"/>
    <n v="0"/>
    <n v="0"/>
  </r>
  <r>
    <s v="BV"/>
    <s v="BV45875"/>
    <s v="Pedido 2070"/>
    <d v="2025-08-04T00:00:00"/>
    <d v="2025-08-06T00:00:00"/>
    <s v="PedidoF1953"/>
    <s v="CódRastreio1951"/>
    <n v="1"/>
    <s v="CPF 2025"/>
    <s v="Nome 2025"/>
    <s v="Tel 2025"/>
    <s v="Cep 2025"/>
    <s v="Rua 2025"/>
    <s v="Comp 2025"/>
    <x v="29"/>
    <s v="HG-2FNR-01A9"/>
    <d v="2025-08-29T00:00:00"/>
    <n v="25.99"/>
    <n v="25.99"/>
    <n v="3.1187999999999998"/>
    <n v="22.87"/>
    <n v="10.54"/>
    <n v="0"/>
    <n v="0.39877104377104378"/>
    <n v="0"/>
    <n v="11.931228956228958"/>
    <n v="5.9656144781144791"/>
    <d v="2025-09-05T00:00:00"/>
    <d v="2025-09-05T00:00:00"/>
    <d v="2025-09-15T00:00:00"/>
    <d v="2025-09-15T00:00:00"/>
    <s v="2025 09"/>
    <s v="Aguardando Liberação"/>
    <s v="2025 08"/>
    <s v="ENTREGUE"/>
    <d v="2025-08-19T00:00:00"/>
    <s v="-"/>
    <m/>
    <n v="0"/>
    <n v="0"/>
    <n v="0"/>
    <n v="0"/>
    <n v="0"/>
  </r>
  <r>
    <s v="GO"/>
    <s v="GO45875"/>
    <s v="Pedido 2071"/>
    <d v="2025-08-06T00:00:00"/>
    <d v="2025-08-06T00:00:00"/>
    <s v="PedidoF1954"/>
    <s v="CódRastreio1952"/>
    <n v="1"/>
    <s v="CPF 2026"/>
    <s v="Nome 2026"/>
    <s v="Tel 2026"/>
    <s v="Cep 2026"/>
    <s v="Rua 2026"/>
    <s v="Comp 2026"/>
    <x v="33"/>
    <s v="UX-4N1H-UQ8A"/>
    <d v="2025-08-30T00:00:00"/>
    <n v="35.99"/>
    <n v="35.99"/>
    <n v="4.3188000000000004"/>
    <n v="31.67"/>
    <n v="26.48"/>
    <n v="0"/>
    <n v="0.39877104377104378"/>
    <n v="0"/>
    <n v="4.7912289562289558"/>
    <n v="4.7912289562289558"/>
    <d v="2025-09-06T00:00:00"/>
    <d v="2025-09-06T00:00:00"/>
    <d v="2025-09-15T00:00:00"/>
    <d v="2025-09-15T00:00:00"/>
    <s v="2025 09"/>
    <s v="Aguardando Liberação"/>
    <s v="2025 08"/>
    <s v="EM TRÂNSITO"/>
    <s v="-"/>
    <s v="-"/>
    <m/>
    <n v="0"/>
    <n v="0"/>
    <n v="0"/>
    <n v="0"/>
    <n v="0"/>
  </r>
  <r>
    <s v="GO"/>
    <s v="GO45875"/>
    <s v="Pedido 2072"/>
    <d v="2025-08-06T00:00:00"/>
    <d v="2025-08-06T00:00:00"/>
    <s v="PedidoF1955"/>
    <s v="CódRastreio1953"/>
    <n v="1"/>
    <s v="CPF 2027"/>
    <s v="Nome 2027"/>
    <s v="Tel 2027"/>
    <s v="Cep 2027"/>
    <s v="Rua 2027"/>
    <s v="Comp 2027"/>
    <x v="1"/>
    <s v="Q3-ZLM0-OEUO"/>
    <d v="2025-08-27T00:00:00"/>
    <n v="26.99"/>
    <n v="26.99"/>
    <n v="3.2387999999999999"/>
    <n v="23.75"/>
    <n v="6.99"/>
    <n v="0"/>
    <n v="0.39877104377104378"/>
    <n v="0"/>
    <n v="16.361228956228956"/>
    <n v="16.361228956228956"/>
    <d v="2025-09-03T00:00:00"/>
    <d v="2025-09-03T00:00:00"/>
    <d v="2025-09-15T00:00:00"/>
    <d v="2025-09-15T00:00:00"/>
    <s v="2025 09"/>
    <s v="Aguardando Liberação"/>
    <s v="2025 08"/>
    <s v="ENTREGUE"/>
    <d v="2025-08-12T00:00:00"/>
    <s v="-"/>
    <m/>
    <n v="0"/>
    <n v="0"/>
    <n v="0"/>
    <n v="0"/>
    <n v="0"/>
  </r>
  <r>
    <s v="GO"/>
    <s v="GO45880"/>
    <s v="Pedido 2073"/>
    <d v="2025-08-09T00:00:00"/>
    <d v="2025-08-11T00:00:00"/>
    <s v="PedidoF1956"/>
    <s v="CódRastreio1954"/>
    <n v="1"/>
    <s v="CPF 2028"/>
    <s v="Nome 2028"/>
    <s v="Tel 2028"/>
    <s v="Cep 2028"/>
    <s v="Rua 2028"/>
    <s v="Comp 2028"/>
    <x v="1"/>
    <s v="Q3-ZLM0-OEUO"/>
    <d v="2025-09-03T00:00:00"/>
    <n v="26.99"/>
    <n v="26.99"/>
    <n v="3.2387999999999999"/>
    <n v="23.75"/>
    <n v="11.99"/>
    <n v="0"/>
    <n v="0.39877104377104378"/>
    <n v="0"/>
    <n v="11.361228956228956"/>
    <n v="11.361228956228956"/>
    <d v="2025-09-10T00:00:00"/>
    <d v="2025-09-10T00:00:00"/>
    <d v="2025-09-15T00:00:00"/>
    <d v="2025-09-15T00:00:00"/>
    <s v="2025 09"/>
    <s v="Aguardando Liberação"/>
    <s v="2025 08"/>
    <s v="ENTREGUE"/>
    <d v="2025-08-20T00:00:00"/>
    <s v="-"/>
    <m/>
    <n v="0"/>
    <n v="0"/>
    <n v="0"/>
    <n v="0"/>
    <n v="0"/>
  </r>
  <r>
    <s v="BV"/>
    <s v="BV45882"/>
    <s v="Pedido 2074"/>
    <d v="2025-08-11T00:00:00"/>
    <d v="2025-08-13T00:00:00"/>
    <s v="PedidoF1957"/>
    <s v="CódRastreio1955"/>
    <n v="1"/>
    <s v="CPF 2029"/>
    <s v="Nome 2029"/>
    <s v="Tel 2029"/>
    <s v="Cep 2029"/>
    <s v="Rua 2029"/>
    <s v="Comp 2029"/>
    <x v="29"/>
    <s v="NQ-IMR8-W6Q4"/>
    <d v="2025-08-30T00:00:00"/>
    <n v="25.99"/>
    <n v="25.99"/>
    <n v="3.1187999999999998"/>
    <n v="22.87"/>
    <n v="23.689999999999998"/>
    <n v="0"/>
    <n v="0.39877104377104378"/>
    <n v="0"/>
    <n v="-1.2187710437710422"/>
    <n v="-0.60938552188552109"/>
    <d v="2025-09-06T00:00:00"/>
    <d v="2025-09-06T00:00:00"/>
    <d v="2025-09-15T00:00:00"/>
    <d v="2025-09-15T00:00:00"/>
    <s v="2025 09"/>
    <s v="Aguardando Liberação"/>
    <s v="2025 08"/>
    <s v="RETIRADA"/>
    <s v="-"/>
    <s v="-"/>
    <m/>
    <n v="0"/>
    <n v="0"/>
    <n v="0"/>
    <n v="0"/>
    <n v="0"/>
  </r>
  <r>
    <s v="BV"/>
    <s v="BV45882"/>
    <s v="Pedido 2075"/>
    <d v="2025-08-11T00:00:00"/>
    <d v="2025-08-13T00:00:00"/>
    <s v="PedidoF1958"/>
    <s v="CódRastreio1956"/>
    <n v="1"/>
    <s v="CPF 2030"/>
    <s v="Nome 2030"/>
    <s v="Tel 2030"/>
    <s v="Cep 2030"/>
    <s v="Rua 2030"/>
    <s v="Comp 2030"/>
    <x v="33"/>
    <s v="6I-CK1S-8HYZ"/>
    <d v="2025-08-30T00:00:00"/>
    <n v="35.99"/>
    <n v="35.99"/>
    <n v="4.3188000000000004"/>
    <n v="31.67"/>
    <n v="20.05"/>
    <n v="0"/>
    <n v="0.39877104377104378"/>
    <n v="0"/>
    <n v="11.221228956228956"/>
    <n v="5.6106144781144778"/>
    <d v="2025-09-06T00:00:00"/>
    <d v="2025-09-06T00:00:00"/>
    <d v="2025-09-15T00:00:00"/>
    <d v="2025-09-15T00:00:00"/>
    <s v="2025 09"/>
    <s v="Aguardando Liberação"/>
    <s v="2025 08"/>
    <s v="ENTREGUE"/>
    <d v="2025-08-22T00:00:00"/>
    <s v="-"/>
    <m/>
    <n v="0"/>
    <n v="0"/>
    <n v="0"/>
    <n v="0"/>
    <n v="0"/>
  </r>
  <r>
    <s v="GO"/>
    <s v="GO45882"/>
    <s v="Pedido 2076"/>
    <d v="2025-08-11T00:00:00"/>
    <d v="2025-08-13T00:00:00"/>
    <s v="PedidoF1959"/>
    <s v="CódRastreio1957"/>
    <n v="1"/>
    <s v="CPF 2031"/>
    <s v="Nome 2031"/>
    <s v="Tel 2031"/>
    <s v="Cep 2031"/>
    <s v="Rua 2031"/>
    <s v="Comp 2031"/>
    <x v="34"/>
    <s v="WE-ZKJU-QB71"/>
    <d v="2025-08-30T00:00:00"/>
    <n v="49.99"/>
    <n v="49.99"/>
    <n v="5.9988000000000001"/>
    <n v="43.99"/>
    <n v="12.37"/>
    <n v="0"/>
    <n v="0.39877104377104378"/>
    <n v="0"/>
    <n v="31.221228956228959"/>
    <n v="31.221228956228959"/>
    <d v="2025-09-06T00:00:00"/>
    <d v="2025-09-06T00:00:00"/>
    <d v="2025-09-15T00:00:00"/>
    <d v="2025-09-15T00:00:00"/>
    <s v="2025 09"/>
    <s v="Aguardando Liberação"/>
    <s v="2025 08"/>
    <s v="ENTREGUE"/>
    <d v="2025-08-22T00:00:00"/>
    <s v="-"/>
    <m/>
    <n v="0"/>
    <n v="0"/>
    <n v="0"/>
    <n v="0"/>
    <n v="0"/>
  </r>
  <r>
    <s v="GO"/>
    <s v="GO45883"/>
    <s v="Pedido 2077"/>
    <d v="2025-08-14T00:00:00"/>
    <d v="2025-08-14T00:00:00"/>
    <s v="PedidoF1960"/>
    <s v="CódRastreio1958"/>
    <n v="1"/>
    <s v="CPF 2032"/>
    <s v="Nome 2032"/>
    <s v="Tel 2032"/>
    <s v="Cep 2032"/>
    <s v="Rua 2032"/>
    <s v="Comp 2032"/>
    <x v="1"/>
    <s v="Q3-ZLM0-OEUO"/>
    <d v="2025-09-09T00:00:00"/>
    <n v="26.99"/>
    <n v="26.99"/>
    <n v="3.2387999999999999"/>
    <n v="23.75"/>
    <n v="10.99"/>
    <n v="0"/>
    <n v="0.39877104377104378"/>
    <n v="0"/>
    <n v="12.361228956228956"/>
    <n v="12.361228956228956"/>
    <d v="2025-09-16T00:00:00"/>
    <d v="2025-09-30T00:00:00"/>
    <s v="-"/>
    <s v="-"/>
    <s v="2025 09"/>
    <s v="Aguardando Liberação"/>
    <s v="2025 08"/>
    <s v="ENTREGUE"/>
    <d v="2025-08-22T00:00:00"/>
    <s v="-"/>
    <m/>
    <n v="0"/>
    <n v="0"/>
    <n v="0"/>
    <n v="0"/>
    <n v="0"/>
  </r>
  <r>
    <s v="GO"/>
    <s v="GO45887"/>
    <s v="Pedido 2078"/>
    <d v="2025-08-15T00:00:00"/>
    <d v="2025-08-18T00:00:00"/>
    <s v="PedidoF1961"/>
    <s v="CódRastreio1959"/>
    <n v="1"/>
    <s v="CPF 2033"/>
    <s v="Nome 2033"/>
    <s v="Tel 2033"/>
    <s v="Cep 2033"/>
    <s v="Rua 2033"/>
    <s v="Comp 2033"/>
    <x v="1"/>
    <s v="Q3-ZLM0-OEUO"/>
    <d v="2025-08-30T00:00:00"/>
    <n v="26.99"/>
    <n v="26.99"/>
    <n v="3.2387999999999999"/>
    <n v="23.75"/>
    <n v="17.989999999999998"/>
    <n v="0"/>
    <n v="0.39877104377104378"/>
    <n v="0"/>
    <n v="5.3612289562289561"/>
    <n v="5.3612289562289561"/>
    <d v="2025-09-06T00:00:00"/>
    <d v="2025-09-06T00:00:00"/>
    <d v="2025-09-15T00:00:00"/>
    <d v="2025-09-15T00:00:00"/>
    <s v="2025 09"/>
    <s v="Aguardando Liberação"/>
    <s v="2025 08"/>
    <s v="ENTREGUE"/>
    <d v="2025-08-27T00:00:00"/>
    <s v="-"/>
    <m/>
    <n v="0"/>
    <n v="0"/>
    <n v="0"/>
    <n v="0"/>
    <n v="0"/>
  </r>
  <r>
    <s v="GO"/>
    <s v="GO45887"/>
    <s v="Pedido 2079"/>
    <d v="2025-08-18T00:00:00"/>
    <d v="2025-08-18T00:00:00"/>
    <s v="PedidoF1962"/>
    <s v="CódRastreio1960"/>
    <n v="1"/>
    <s v="CPF 2034"/>
    <s v="Nome 2034"/>
    <s v="Tel 2034"/>
    <s v="Cep 2034"/>
    <s v="Rua 2034"/>
    <s v="Comp 2034"/>
    <x v="3"/>
    <s v="MK-OUQW-7L3Z"/>
    <d v="2025-09-12T00:00:00"/>
    <n v="50.99"/>
    <n v="50.99"/>
    <n v="6.1188000000000002"/>
    <n v="44.87"/>
    <n v="22.08"/>
    <n v="0"/>
    <n v="0.39877104377104378"/>
    <n v="0"/>
    <n v="22.391228956228954"/>
    <n v="22.391228956228954"/>
    <d v="2025-09-19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GO"/>
    <s v="GO45888"/>
    <s v="Pedido 2080"/>
    <d v="2025-08-19T00:00:00"/>
    <d v="2025-08-19T00:00:00"/>
    <s v="PedidoF1963"/>
    <s v="CódRastreio1961"/>
    <n v="1"/>
    <s v="CPF 2035"/>
    <s v="Nome 2035"/>
    <s v="Tel 2035"/>
    <s v="Cep 2035"/>
    <s v="Rua 2035"/>
    <s v="Comp 2035"/>
    <x v="1"/>
    <s v="Q3-ZLM0-OEUO"/>
    <d v="2025-09-08T00:00:00"/>
    <n v="26.99"/>
    <n v="26.99"/>
    <n v="3.2387999999999999"/>
    <n v="23.75"/>
    <n v="15.99"/>
    <n v="0"/>
    <n v="0.39877104377104378"/>
    <n v="0"/>
    <n v="7.3612289562289561"/>
    <n v="7.3612289562289561"/>
    <d v="2025-09-15T00:00:00"/>
    <d v="2025-09-15T00:00:00"/>
    <d v="2025-09-15T00:00:00"/>
    <d v="2025-09-15T00:00:00"/>
    <s v="2025 09"/>
    <s v="Aguardando Liberação"/>
    <s v="2025 08"/>
    <s v="ENTREGUE"/>
    <d v="2025-08-25T00:00:00"/>
    <s v="-"/>
    <m/>
    <n v="0"/>
    <n v="0"/>
    <n v="0"/>
    <n v="0"/>
    <n v="0"/>
  </r>
  <r>
    <s v="GO"/>
    <s v="GO45894"/>
    <s v="Pedido 2081"/>
    <d v="2025-08-23T00:00:00"/>
    <d v="2025-08-25T00:00:00"/>
    <s v="PedidoF1964"/>
    <s v="CódRastreio1962"/>
    <n v="1"/>
    <s v="CPF 2036"/>
    <s v="Nome 2036"/>
    <s v="Tel 2036"/>
    <s v="Cep 2036"/>
    <s v="Rua 2036"/>
    <s v="Comp 2036"/>
    <x v="28"/>
    <s v="EL-YKJD-0WWL"/>
    <d v="2025-09-25T00:00:00"/>
    <n v="38.99"/>
    <n v="38.99"/>
    <n v="4.6787999999999998"/>
    <n v="34.31"/>
    <n v="25.03"/>
    <n v="0"/>
    <n v="0.39877104377104378"/>
    <n v="0"/>
    <n v="8.8812289562289557"/>
    <n v="8.8812289562289557"/>
    <d v="2025-10-02T00:00:00"/>
    <s v="-"/>
    <s v="-"/>
    <s v="-"/>
    <s v="2025 10"/>
    <s v="Aguardando Liberação"/>
    <s v="2025 08"/>
    <s v="EM SEPARAÇÃO"/>
    <s v="-"/>
    <s v="-"/>
    <m/>
    <n v="0"/>
    <n v="0"/>
    <n v="0"/>
    <n v="0"/>
    <n v="0"/>
  </r>
  <r>
    <s v="GO"/>
    <s v="GO45894"/>
    <s v="Pedido 2082"/>
    <d v="2025-08-24T00:00:00"/>
    <d v="2025-08-25T00:00:00"/>
    <s v="PedidoF1965"/>
    <s v="CódRastreio1963"/>
    <n v="1"/>
    <s v="CPF 2037"/>
    <s v="Nome 2037"/>
    <s v="Tel 2037"/>
    <s v="Cep 2037"/>
    <s v="Rua 2037"/>
    <s v="Comp 2037"/>
    <x v="28"/>
    <s v="EL-YKJD-0WWL"/>
    <d v="2025-09-12T00:00:00"/>
    <n v="38.99"/>
    <n v="38.99"/>
    <n v="4.6787999999999998"/>
    <n v="34.31"/>
    <n v="25.03"/>
    <n v="0"/>
    <n v="0.39877104377104378"/>
    <n v="0"/>
    <n v="8.8812289562289557"/>
    <n v="8.8812289562289557"/>
    <d v="2025-09-19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MEI"/>
    <s v="MEI45894"/>
    <s v="Pedido 2083"/>
    <d v="2025-08-22T00:00:00"/>
    <d v="2025-08-25T00:00:00"/>
    <s v="PedidoF1966"/>
    <s v="CódRastreio1964"/>
    <n v="1"/>
    <s v="CPF 2038"/>
    <s v="Nome 2038"/>
    <s v="Tel 2038"/>
    <s v="Cep 2038"/>
    <s v="Rua 2038"/>
    <s v="Comp 2038"/>
    <x v="28"/>
    <s v="Z0-F6CI-18CL"/>
    <d v="2025-09-17T00:00:00"/>
    <n v="38.99"/>
    <n v="38.99"/>
    <n v="4.6787999999999998"/>
    <n v="34.31"/>
    <n v="25.03"/>
    <n v="0"/>
    <n v="0.39877104377104378"/>
    <n v="0"/>
    <n v="8.8812289562289557"/>
    <n v="4.4406144781144778"/>
    <d v="2025-09-24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MEI"/>
    <s v="MEI45894"/>
    <s v="Pedido 2084"/>
    <d v="2025-08-24T00:00:00"/>
    <d v="2025-08-25T00:00:00"/>
    <s v="PedidoF1967"/>
    <s v="CódRastreio1965"/>
    <n v="1"/>
    <s v="CPF 2039"/>
    <s v="Nome 2039"/>
    <s v="Tel 2039"/>
    <s v="Cep 2039"/>
    <s v="Rua 2039"/>
    <s v="Comp 2039"/>
    <x v="28"/>
    <s v="Z0-F6CI-18CL"/>
    <d v="2025-09-12T00:00:00"/>
    <n v="38.99"/>
    <n v="38.99"/>
    <n v="4.6787999999999998"/>
    <n v="34.31"/>
    <n v="25.03"/>
    <n v="0"/>
    <n v="0.39877104377104378"/>
    <n v="0"/>
    <n v="8.8812289562289557"/>
    <n v="4.4406144781144778"/>
    <d v="2025-09-19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MEI"/>
    <s v="MEI45894"/>
    <s v="Pedido 2085"/>
    <d v="2025-08-24T00:00:00"/>
    <d v="2025-08-25T00:00:00"/>
    <s v="PedidoF1968"/>
    <s v="CódRastreio1966"/>
    <n v="1"/>
    <s v="CPF 2040"/>
    <s v="Nome 2040"/>
    <s v="Tel 2040"/>
    <s v="Cep 2040"/>
    <s v="Rua 2040"/>
    <s v="Comp 2040"/>
    <x v="28"/>
    <s v="Z0-F6CI-18CL"/>
    <d v="2025-09-12T00:00:00"/>
    <n v="38.99"/>
    <n v="38.99"/>
    <n v="4.6787999999999998"/>
    <n v="34.31"/>
    <n v="25.03"/>
    <n v="0"/>
    <n v="0.39877104377104378"/>
    <n v="0"/>
    <n v="8.8812289562289557"/>
    <n v="4.4406144781144778"/>
    <d v="2025-09-19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GO"/>
    <s v="GO45895"/>
    <s v="Pedido 2086"/>
    <d v="2025-08-25T00:00:00"/>
    <d v="2025-08-26T00:00:00"/>
    <s v="PedidoF1969"/>
    <s v="CódRastreio1967"/>
    <n v="1"/>
    <s v="CPF 2041"/>
    <s v="Nome 2041"/>
    <s v="Tel 2041"/>
    <s v="Cep 2041"/>
    <s v="Rua 2041"/>
    <s v="Comp 2041"/>
    <x v="28"/>
    <s v="EL-YKJD-0WWL"/>
    <d v="2025-09-12T00:00:00"/>
    <n v="38.99"/>
    <n v="38.99"/>
    <n v="4.6787999999999998"/>
    <n v="34.31"/>
    <n v="26.34"/>
    <n v="0"/>
    <n v="0.39877104377104378"/>
    <n v="0"/>
    <n v="7.571228956228957"/>
    <n v="7.571228956228957"/>
    <d v="2025-09-19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MEI"/>
    <s v="MEI45897"/>
    <s v="Pedido 2087"/>
    <d v="2025-08-27T00:00:00"/>
    <d v="2025-08-28T00:00:00"/>
    <s v="PedidoF1970"/>
    <s v="CódRastreio1968"/>
    <n v="1"/>
    <s v="CPF 2042"/>
    <s v="Nome 2042"/>
    <s v="Tel 2042"/>
    <s v="Cep 2042"/>
    <s v="Rua 2042"/>
    <s v="Comp 2042"/>
    <x v="28"/>
    <s v="Z0-F6CI-18CL"/>
    <d v="2025-09-17T00:00:00"/>
    <n v="49.99"/>
    <n v="49.99"/>
    <n v="5.9988000000000001"/>
    <n v="43.99"/>
    <n v="24.4"/>
    <n v="0"/>
    <n v="0.39877104377104378"/>
    <n v="0"/>
    <n v="19.191228956228958"/>
    <n v="9.595614478114479"/>
    <d v="2025-09-24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MEI"/>
    <s v="MEI45898"/>
    <s v="Pedido 2088"/>
    <d v="2025-08-27T00:00:00"/>
    <d v="2025-08-29T00:00:00"/>
    <s v="PedidoF1971"/>
    <s v="CódRastreio1969"/>
    <n v="1"/>
    <s v="CPF 2043"/>
    <s v="Nome 2043"/>
    <s v="Tel 2043"/>
    <s v="Cep 2043"/>
    <s v="Rua 2043"/>
    <s v="Comp 2043"/>
    <x v="3"/>
    <s v="WR-82Y0-OV27"/>
    <d v="2025-09-17T00:00:00"/>
    <n v="50.99"/>
    <n v="50.99"/>
    <n v="6.1188000000000002"/>
    <n v="44.87"/>
    <n v="36.619999999999997"/>
    <n v="0"/>
    <n v="0.39877104377104378"/>
    <n v="0"/>
    <n v="7.8512289562289581"/>
    <n v="3.9256144781144791"/>
    <d v="2025-09-24T00:00:00"/>
    <d v="2025-09-30T00:00:00"/>
    <s v="-"/>
    <s v="-"/>
    <s v="2025 09"/>
    <s v="Aguardando Liberação"/>
    <s v="2025 08"/>
    <s v="EM SEPARAÇÃO"/>
    <s v="-"/>
    <s v="-"/>
    <m/>
    <n v="0"/>
    <n v="0"/>
    <n v="0"/>
    <n v="0"/>
    <n v="0"/>
  </r>
  <r>
    <s v="MEI"/>
    <s v="MEI45902"/>
    <s v="Pedido 2089"/>
    <d v="2025-08-29T00:00:00"/>
    <d v="2025-09-02T00:00:00"/>
    <s v="PedidoF1972"/>
    <s v="CódRastreio1970"/>
    <n v="1"/>
    <s v="CPF 2044"/>
    <s v="Nome 2044"/>
    <s v="Tel 2044"/>
    <s v="Cep 2044"/>
    <s v="Rua 2044"/>
    <s v="Comp 2044"/>
    <x v="3"/>
    <s v="WR-82Y0-OV27"/>
    <d v="2025-09-25T00:00:00"/>
    <n v="50.99"/>
    <n v="50.99"/>
    <n v="6.1188000000000002"/>
    <n v="44.87"/>
    <n v="0"/>
    <n v="0"/>
    <n v="0.39877104377104378"/>
    <n v="0"/>
    <n v="44.471228956228956"/>
    <n v="22.235614478114478"/>
    <d v="2025-10-02T00:00:00"/>
    <s v="-"/>
    <s v="-"/>
    <s v="-"/>
    <s v="2025 10"/>
    <s v="Aguardando Liberação"/>
    <s v="2025 09"/>
    <s v="EM SEPARAÇÃO"/>
    <s v="-"/>
    <s v="-"/>
    <m/>
    <n v="0"/>
    <n v="0"/>
    <n v="0"/>
    <n v="0"/>
    <n v="0"/>
  </r>
  <r>
    <s v="MEI"/>
    <s v="MEI45902"/>
    <s v="Pedido 2090"/>
    <d v="2025-09-02T00:00:00"/>
    <d v="2025-09-02T00:00:00"/>
    <s v="PedidoF1973"/>
    <s v="CódRastreio1971"/>
    <n v="1"/>
    <s v="CPF 2045"/>
    <s v="Nome 2045"/>
    <s v="Tel 2045"/>
    <s v="Cep 2045"/>
    <s v="Rua 2045"/>
    <s v="Comp 2045"/>
    <x v="28"/>
    <s v="Z0-F6CI-18CL"/>
    <d v="2025-09-23T00:00:00"/>
    <n v="49.99"/>
    <n v="49.99"/>
    <n v="5.9988000000000001"/>
    <n v="43.99"/>
    <n v="24.97"/>
    <n v="0"/>
    <n v="0.39877104377104378"/>
    <n v="0"/>
    <n v="18.621228956228958"/>
    <n v="9.3106144781144788"/>
    <d v="2025-09-30T00:00:00"/>
    <d v="2025-09-30T00:00:00"/>
    <s v="-"/>
    <s v="-"/>
    <s v="2025 09"/>
    <s v="Aguardando Liberação"/>
    <s v="2025 09"/>
    <s v="EM SEPARAÇÃO"/>
    <s v="-"/>
    <s v="-"/>
    <m/>
    <n v="0"/>
    <n v="0"/>
    <n v="0"/>
    <n v="0"/>
    <n v="0"/>
  </r>
  <r>
    <s v="GO"/>
    <s v="GO45902"/>
    <s v="Pedido 2091"/>
    <d v="2025-09-01T00:00:00"/>
    <d v="2025-09-02T00:00:00"/>
    <s v="PedidoF1974"/>
    <s v="CódRastreio1972"/>
    <n v="1"/>
    <s v="CPF 2046"/>
    <s v="Nome 2046"/>
    <s v="Tel 2046"/>
    <s v="Cep 2046"/>
    <s v="Rua 2046"/>
    <s v="Comp 2046"/>
    <x v="1"/>
    <s v="Q3-ZLM0-OEUO"/>
    <d v="2025-09-13T00:00:00"/>
    <n v="31.99"/>
    <n v="31.99"/>
    <n v="3.8387999999999995"/>
    <n v="28.15"/>
    <n v="25.99"/>
    <n v="0"/>
    <n v="0.39877104377104378"/>
    <n v="0"/>
    <n v="1.7612289562289547"/>
    <n v="1.7612289562289547"/>
    <d v="2025-09-20T00:00:00"/>
    <d v="2025-09-30T00:00:00"/>
    <s v="-"/>
    <s v="-"/>
    <s v="2025 09"/>
    <s v="Aguardando Liberação"/>
    <s v="2025 09"/>
    <s v="EM SEPARAÇÃO"/>
    <s v="-"/>
    <s v="-"/>
    <m/>
    <n v="0"/>
    <n v="0"/>
    <n v="0"/>
    <n v="0"/>
    <n v="0"/>
  </r>
  <r>
    <s v="GO"/>
    <s v="GO45902"/>
    <s v="Pedido 2092"/>
    <d v="2025-09-02T00:00:00"/>
    <d v="2025-09-02T00:00:00"/>
    <s v="PedidoF1975"/>
    <s v="CódRastreio1973"/>
    <n v="1"/>
    <s v="CPF 2047"/>
    <s v="Nome 2047"/>
    <s v="Tel 2047"/>
    <s v="Cep 2047"/>
    <s v="Rua 2047"/>
    <s v="Comp 2047"/>
    <x v="1"/>
    <s v="Q3-ZLM0-OEUO"/>
    <d v="2025-09-16T00:00:00"/>
    <n v="31.99"/>
    <n v="31.99"/>
    <n v="3.8387999999999995"/>
    <n v="28.15"/>
    <n v="25.99"/>
    <n v="0"/>
    <n v="0.39877104377104378"/>
    <n v="0"/>
    <n v="1.7612289562289547"/>
    <n v="1.7612289562289547"/>
    <d v="2025-09-23T00:00:00"/>
    <d v="2025-09-30T00:00:00"/>
    <s v="-"/>
    <s v="-"/>
    <s v="2025 09"/>
    <s v="Aguardando Liberação"/>
    <s v="2025 09"/>
    <s v="EM SEPARAÇÃO"/>
    <s v="-"/>
    <s v="-"/>
    <m/>
    <n v="0"/>
    <n v="0"/>
    <n v="0"/>
    <n v="0"/>
    <n v="0"/>
  </r>
  <r>
    <s v="GO"/>
    <s v="GO45902"/>
    <s v="Pedido 2093"/>
    <d v="2025-09-02T00:00:00"/>
    <d v="2025-09-02T00:00:00"/>
    <s v="PedidoF1976"/>
    <s v="CódRastreio1974"/>
    <n v="1"/>
    <s v="CPF 2048"/>
    <s v="Nome 2048"/>
    <s v="Tel 2048"/>
    <s v="Cep 2048"/>
    <s v="Rua 2048"/>
    <s v="Comp 2048"/>
    <x v="1"/>
    <s v="Q3-ZLM0-OEUO"/>
    <d v="2025-09-20T00:00:00"/>
    <n v="31.99"/>
    <n v="31.99"/>
    <n v="3.8387999999999995"/>
    <n v="28.15"/>
    <n v="25.99"/>
    <n v="0"/>
    <n v="0.39877104377104378"/>
    <n v="0"/>
    <n v="1.7612289562289547"/>
    <n v="1.7612289562289547"/>
    <d v="2025-09-27T00:00:00"/>
    <d v="2025-09-30T00:00:00"/>
    <s v="-"/>
    <s v="-"/>
    <s v="2025 09"/>
    <s v="Aguardando Liberação"/>
    <s v="2025 09"/>
    <s v="EM SEPARAÇÃO"/>
    <s v="-"/>
    <s v="-"/>
    <m/>
    <n v="0"/>
    <n v="0"/>
    <n v="0"/>
    <n v="0"/>
    <n v="0"/>
  </r>
  <r>
    <s v="GO"/>
    <s v="GO45908"/>
    <s v="Pedido 2094"/>
    <d v="2025-09-05T00:00:00"/>
    <d v="2025-09-08T00:00:00"/>
    <s v="PedidoF1977"/>
    <s v="CódRastreio1975"/>
    <n v="1"/>
    <s v="CPF 2049"/>
    <s v="Nome 2049"/>
    <s v="Tel 2049"/>
    <s v="Cep 2049"/>
    <s v="Rua 2049"/>
    <s v="Comp 2049"/>
    <x v="1"/>
    <s v="Q3-ZLM0-OEUO"/>
    <d v="2025-09-20T00:00:00"/>
    <n v="31.99"/>
    <n v="31.99"/>
    <n v="3.8387999999999995"/>
    <n v="28.15"/>
    <n v="23.99"/>
    <n v="0"/>
    <n v="0.39877104377104378"/>
    <n v="0"/>
    <n v="3.7612289562289547"/>
    <n v="3.7612289562289547"/>
    <d v="2025-09-27T00:00:00"/>
    <d v="2025-09-30T00:00:00"/>
    <s v="-"/>
    <s v="-"/>
    <s v="2025 09"/>
    <s v="Aguardando Liberação"/>
    <s v="2025 09"/>
    <s v="-"/>
    <s v="-"/>
    <s v="-"/>
    <m/>
    <n v="0"/>
    <n v="0"/>
    <n v="0"/>
    <n v="0"/>
    <n v="0"/>
  </r>
  <r>
    <s v="GO"/>
    <s v="GO45908"/>
    <s v="Pedido 2095"/>
    <d v="2025-09-08T00:00:00"/>
    <d v="2025-09-08T00:00:00"/>
    <s v="PedidoF1978"/>
    <s v="CódRastreio1976"/>
    <n v="1"/>
    <s v="CPF 2050"/>
    <s v="Nome 2050"/>
    <s v="Tel 2050"/>
    <s v="Cep 2050"/>
    <s v="Rua 2050"/>
    <s v="Comp 2050"/>
    <x v="1"/>
    <s v="Q3-ZLM0-OEUO"/>
    <d v="2025-09-23T00:00:00"/>
    <n v="31.99"/>
    <n v="31.99"/>
    <n v="3.8387999999999995"/>
    <n v="28.15"/>
    <n v="23.99"/>
    <n v="0"/>
    <n v="0.39877104377104378"/>
    <n v="0"/>
    <n v="3.7612289562289547"/>
    <n v="3.7612289562289547"/>
    <d v="2025-09-30T00:00:00"/>
    <d v="2025-09-30T00:00:00"/>
    <s v="-"/>
    <s v="-"/>
    <s v="2025 09"/>
    <s v="Aguardando Liberação"/>
    <s v="2025 09"/>
    <s v="-"/>
    <s v="-"/>
    <s v="-"/>
    <m/>
    <n v="0"/>
    <n v="0"/>
    <n v="0"/>
    <n v="0"/>
    <n v="0"/>
  </r>
  <r>
    <s v="MEI"/>
    <s v="MEI45910"/>
    <s v="Pedido 2096"/>
    <d v="2025-09-09T00:00:00"/>
    <d v="2025-09-10T00:00:00"/>
    <s v="PedidoF1979"/>
    <s v="CódRastreio1977"/>
    <n v="1"/>
    <s v="CPF 2051"/>
    <s v="Nome 2051"/>
    <s v="Tel 2051"/>
    <s v="Cep 2051"/>
    <s v="Rua 2051"/>
    <s v="Comp 2051"/>
    <x v="3"/>
    <s v="WR-82Y0-OV27"/>
    <d v="2025-10-10T00:00:00"/>
    <n v="50.99"/>
    <n v="50.99"/>
    <n v="6.1188000000000002"/>
    <n v="44.87"/>
    <n v="25.27"/>
    <n v="0"/>
    <n v="0.39877104377104378"/>
    <n v="0"/>
    <n v="19.201228956228952"/>
    <n v="9.6006144781144762"/>
    <d v="2025-10-17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MEI"/>
    <s v="MEI45916"/>
    <s v="Pedido 2097"/>
    <d v="2025-09-11T00:00:00"/>
    <d v="2025-09-16T00:00:00"/>
    <s v="PedidoF1980"/>
    <s v="CódRastreio1978"/>
    <n v="1"/>
    <s v="CPF 2052"/>
    <s v="Nome 2052"/>
    <s v="Tel 2052"/>
    <s v="Cep 2052"/>
    <s v="Rua 2052"/>
    <s v="Comp 2052"/>
    <x v="12"/>
    <s v="PK-L2Z7-MQRQ"/>
    <d v="2025-10-02T00:00:00"/>
    <n v="48.5"/>
    <n v="48.5"/>
    <n v="5.8199999999999994"/>
    <n v="42.68"/>
    <n v="16.97"/>
    <n v="0"/>
    <n v="0.39877104377104378"/>
    <n v="0"/>
    <n v="25.311228956228955"/>
    <n v="12.655614478114478"/>
    <d v="2025-10-09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MEI"/>
    <s v="MEI45915"/>
    <s v="Pedido 2097"/>
    <d v="2025-09-11T00:00:00"/>
    <d v="2025-09-15T00:00:00"/>
    <s v="PedidoF1981"/>
    <s v="CódRastreio1979"/>
    <n v="1"/>
    <s v="CPF 2052"/>
    <s v="Nome 2052"/>
    <s v="Tel 2052"/>
    <s v="Cep 2052"/>
    <s v="Rua 2052"/>
    <s v="Comp 2052"/>
    <x v="3"/>
    <s v="WR-82Y0-OV27"/>
    <d v="2025-10-02T00:00:00"/>
    <n v="50.99"/>
    <n v="50.99"/>
    <n v="6.1188000000000002"/>
    <n v="44.87"/>
    <n v="23.31"/>
    <n v="0"/>
    <n v="0.39877104377104378"/>
    <n v="0"/>
    <n v="21.161228956228953"/>
    <n v="10.580614478114477"/>
    <d v="2025-10-09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15"/>
    <s v="Pedido 2098"/>
    <d v="2025-09-11T00:00:00"/>
    <d v="2025-09-15T00:00:00"/>
    <s v="PedidoF1982"/>
    <s v="CódRastreio1980"/>
    <n v="1"/>
    <s v="CPF 2053"/>
    <s v="Nome 2053"/>
    <s v="Tel 2053"/>
    <s v="Cep 2053"/>
    <s v="Rua 2053"/>
    <s v="Comp 2053"/>
    <x v="1"/>
    <s v="Q3-ZLM0-OEUO"/>
    <d v="2025-10-08T00:00:00"/>
    <n v="31.99"/>
    <n v="31.99"/>
    <n v="3.8387999999999995"/>
    <n v="28.15"/>
    <n v="19.989999999999998"/>
    <n v="0"/>
    <n v="0.39877104377104378"/>
    <n v="0"/>
    <n v="7.7612289562289547"/>
    <n v="7.7612289562289547"/>
    <d v="2025-10-15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MEI"/>
    <s v="MEI45916"/>
    <s v="Pedido 2099"/>
    <d v="2025-09-15T00:00:00"/>
    <d v="2025-09-16T00:00:00"/>
    <s v="PedidoF1983"/>
    <s v="CódRastreio1981"/>
    <n v="1"/>
    <s v="CPF 2054"/>
    <s v="Nome 2054"/>
    <s v="Tel 2054"/>
    <s v="Cep 2054"/>
    <s v="Rua 2054"/>
    <s v="Comp 2054"/>
    <x v="3"/>
    <s v="WR-82Y0-OV27"/>
    <d v="2025-10-16T00:00:00"/>
    <n v="50.99"/>
    <n v="50.99"/>
    <n v="6.1188000000000002"/>
    <n v="44.87"/>
    <n v="22.71"/>
    <n v="0"/>
    <n v="0.39877104377104378"/>
    <n v="0"/>
    <n v="21.761228956228951"/>
    <n v="10.880614478114476"/>
    <d v="2025-10-23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16"/>
    <s v="Pedido 2100"/>
    <d v="2025-09-15T00:00:00"/>
    <d v="2025-09-16T00:00:00"/>
    <s v="PedidoF1984"/>
    <s v="CódRastreio1982"/>
    <n v="1"/>
    <s v="CPF 2055"/>
    <s v="Nome 2055"/>
    <s v="Tel 2055"/>
    <s v="Cep 2055"/>
    <s v="Rua 2055"/>
    <s v="Comp 2055"/>
    <x v="1"/>
    <s v="Q3-ZLM0-OEUO"/>
    <d v="2025-10-03T00:00:00"/>
    <n v="31.99"/>
    <n v="31.99"/>
    <n v="3.8387999999999995"/>
    <n v="28.15"/>
    <n v="19.989999999999998"/>
    <n v="0"/>
    <n v="0.39877104377104378"/>
    <n v="0"/>
    <n v="7.7612289562289547"/>
    <n v="7.7612289562289547"/>
    <d v="2025-10-10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16"/>
    <s v="Pedido 2101"/>
    <d v="2025-09-16T00:00:00"/>
    <d v="2025-09-16T00:00:00"/>
    <s v="PedidoF1985"/>
    <s v="CódRastreio1983"/>
    <n v="1"/>
    <s v="CPF 2056"/>
    <s v="Nome 2056"/>
    <s v="Tel 2056"/>
    <s v="Cep 2056"/>
    <s v="Rua 2056"/>
    <s v="Comp 2056"/>
    <x v="1"/>
    <s v="Q3-ZLM0-OEUO"/>
    <d v="2025-10-10T00:00:00"/>
    <n v="31.99"/>
    <n v="31.99"/>
    <n v="3.8387999999999995"/>
    <n v="28.15"/>
    <n v="19.989999999999998"/>
    <n v="0"/>
    <n v="0.39877104377104378"/>
    <n v="0"/>
    <n v="7.7612289562289547"/>
    <n v="7.7612289562289547"/>
    <d v="2025-10-17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22"/>
    <s v="Pedido 2102"/>
    <d v="2025-09-18T00:00:00"/>
    <d v="2025-09-22T00:00:00"/>
    <s v="PedidoF1986"/>
    <s v="CódRastreio1984"/>
    <n v="1"/>
    <s v="CPF 2057"/>
    <s v="Nome 2057"/>
    <s v="Tel 2057"/>
    <s v="Cep 2057"/>
    <s v="Rua 2057"/>
    <s v="Comp 2057"/>
    <x v="1"/>
    <s v="Q3-ZLM0-OEUO"/>
    <d v="2025-10-09T00:00:00"/>
    <n v="31.99"/>
    <n v="31.99"/>
    <n v="3.8387999999999995"/>
    <n v="28.15"/>
    <n v="19.8"/>
    <n v="0"/>
    <n v="0.39877104377104378"/>
    <n v="0"/>
    <n v="7.9512289562289524"/>
    <n v="7.9512289562289524"/>
    <d v="2025-10-16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22"/>
    <s v="Pedido 2103"/>
    <d v="2025-09-18T00:00:00"/>
    <d v="2025-09-22T00:00:00"/>
    <s v="PedidoF1987"/>
    <s v="CódRastreio1985"/>
    <n v="1"/>
    <s v="CPF 2031"/>
    <s v="Nome 2031"/>
    <s v="Tel 2031"/>
    <s v="Cep 2031"/>
    <s v="Rua 2031"/>
    <s v="Comp 2031"/>
    <x v="32"/>
    <s v="0M-4B77-4TO6"/>
    <d v="2025-10-09T00:00:00"/>
    <n v="54.99"/>
    <n v="54.99"/>
    <n v="6.5987999999999998"/>
    <n v="48.39"/>
    <n v="45.84"/>
    <n v="0"/>
    <n v="0.39877104377104378"/>
    <n v="0"/>
    <n v="2.1512289562289553"/>
    <n v="2.1512289562289553"/>
    <d v="2025-10-16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22"/>
    <s v="Pedido 2104"/>
    <d v="2025-09-22T00:00:00"/>
    <d v="2025-09-22T00:00:00"/>
    <s v="PedidoF1988"/>
    <s v="CódRastreio1986"/>
    <n v="1"/>
    <s v="CPF 2058"/>
    <s v="Nome 2058"/>
    <s v="Tel 2058"/>
    <s v="Cep 2058"/>
    <s v="Rua 2058"/>
    <s v="Comp 2058"/>
    <x v="1"/>
    <s v="Q3-ZLM0-OEUO"/>
    <d v="2025-10-17T00:00:00"/>
    <n v="31.99"/>
    <n v="31.99"/>
    <n v="3.8387999999999995"/>
    <n v="28.15"/>
    <n v="19.8"/>
    <n v="0"/>
    <n v="0.39877104377104378"/>
    <n v="0"/>
    <n v="7.9512289562289524"/>
    <n v="7.9512289562289524"/>
    <d v="2025-10-24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MEI"/>
    <s v="MEI45929"/>
    <s v="Pedido 2105"/>
    <d v="2025-09-23T00:00:00"/>
    <d v="2025-09-29T00:00:00"/>
    <s v="PedidoF1989"/>
    <s v="CódRastreio1987"/>
    <n v="1"/>
    <s v="CPF 2059"/>
    <s v="Nome 2059"/>
    <s v="Tel 2059"/>
    <s v="Cep 2059"/>
    <s v="Rua 2059"/>
    <s v="Comp 2059"/>
    <x v="28"/>
    <s v="Z0-F6CI-18CL"/>
    <d v="2025-10-25T00:00:00"/>
    <n v="49.99"/>
    <n v="49.99"/>
    <n v="5.9988000000000001"/>
    <n v="43.99"/>
    <n v="30.67"/>
    <n v="0"/>
    <n v="0.39877104377104378"/>
    <n v="0"/>
    <n v="12.921228956228955"/>
    <n v="6.4606144781144774"/>
    <d v="2025-11-01T00:00:00"/>
    <s v="-"/>
    <s v="-"/>
    <s v="-"/>
    <s v="2025 11"/>
    <s v="Aguardando Liberação"/>
    <s v="2025 09"/>
    <s v="-"/>
    <s v="-"/>
    <s v="-"/>
    <m/>
    <n v="0"/>
    <n v="0"/>
    <n v="0"/>
    <n v="0"/>
    <n v="0"/>
  </r>
  <r>
    <s v="MEI"/>
    <s v="MEI-"/>
    <s v="Pedido 2106"/>
    <d v="2025-09-24T00:00:00"/>
    <s v="-"/>
    <s v="-"/>
    <s v="-"/>
    <n v="1"/>
    <s v="CPF 2060"/>
    <s v="Nome 2060"/>
    <s v="Tel 2060"/>
    <s v="Cep 2060"/>
    <s v="Rua 2060"/>
    <s v="Comp 2060"/>
    <x v="3"/>
    <s v="WR-82Y0-OV27"/>
    <d v="2025-10-15T00:00:00"/>
    <n v="50.99"/>
    <n v="50.99"/>
    <n v="6.1188000000000002"/>
    <n v="44.87"/>
    <n v="0"/>
    <n v="0"/>
    <n v="0"/>
    <n v="0"/>
    <n v="44.87"/>
    <n v="22.434999999999999"/>
    <d v="2025-10-22T00:00:00"/>
    <s v="-"/>
    <s v="-"/>
    <s v="-"/>
    <s v="2025 10"/>
    <s v="Aguardando Liberação"/>
    <s v="- -"/>
    <s v="-"/>
    <s v="-"/>
    <s v="-"/>
    <m/>
    <n v="0"/>
    <n v="0"/>
    <n v="0"/>
    <n v="0"/>
    <n v="0"/>
  </r>
  <r>
    <s v="GO"/>
    <s v="GO45929"/>
    <s v="Pedido 2107"/>
    <d v="2025-09-27T00:00:00"/>
    <d v="2025-09-29T00:00:00"/>
    <s v="PedidoF1990"/>
    <s v="CódRastreio1988"/>
    <n v="1"/>
    <s v="CPF 2061"/>
    <s v="Nome 2061"/>
    <s v="Tel 2061"/>
    <s v="Cep 2061"/>
    <s v="Rua 2061"/>
    <s v="Comp 2061"/>
    <x v="1"/>
    <s v="Q3-ZLM0-OEUO"/>
    <d v="2025-10-17T00:00:00"/>
    <n v="31.99"/>
    <n v="31.99"/>
    <n v="3.8387999999999995"/>
    <n v="28.15"/>
    <n v="20.14"/>
    <n v="0"/>
    <n v="0.39877104377104378"/>
    <n v="0"/>
    <n v="7.6112289562289526"/>
    <n v="7.6112289562289526"/>
    <d v="2025-10-24T00:00:00"/>
    <s v="-"/>
    <s v="-"/>
    <s v="-"/>
    <s v="2025 10"/>
    <s v="Aguardando Liberação"/>
    <s v="2025 09"/>
    <s v="-"/>
    <s v="-"/>
    <s v="-"/>
    <m/>
    <n v="0"/>
    <n v="0"/>
    <n v="0"/>
    <n v="0"/>
    <n v="0"/>
  </r>
  <r>
    <s v="GO"/>
    <s v="GO45929"/>
    <s v="Pedido 2108"/>
    <d v="2025-09-29T00:00:00"/>
    <d v="2025-09-29T00:00:00"/>
    <s v="PedidoF1991"/>
    <s v="CódRastreio1989"/>
    <n v="1"/>
    <s v="CPF 2062"/>
    <s v="Nome 2062"/>
    <s v="Tel 2062"/>
    <s v="Cep 2062"/>
    <s v="Rua 2062"/>
    <s v="Comp 2062"/>
    <x v="1"/>
    <s v="Q3-ZLM0-OEUO"/>
    <d v="2025-10-24T00:00:00"/>
    <n v="31.99"/>
    <n v="31.99"/>
    <n v="3.8387999999999995"/>
    <n v="28.15"/>
    <n v="19.8"/>
    <n v="0"/>
    <n v="0.39877104377104378"/>
    <n v="0"/>
    <n v="7.9512289562289524"/>
    <n v="7.9512289562289524"/>
    <d v="2025-10-31T00:00:00"/>
    <s v="-"/>
    <s v="-"/>
    <s v="-"/>
    <s v="2025 10"/>
    <s v="Aguardando Liberação"/>
    <s v="2025 09"/>
    <s v="-"/>
    <s v="-"/>
    <s v="-"/>
    <m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7">
  <r>
    <s v="Pedido 363"/>
    <s v="CódRastreio352 1 envio"/>
    <s v="NM657577790BR"/>
    <s v="BV"/>
    <d v="2024-12-19T00:00:00"/>
    <s v="Transp 1"/>
    <s v="-"/>
    <x v="0"/>
    <s v="Brasil"/>
    <d v="2024-12-18T00:00:00"/>
    <s v="Entregue"/>
    <x v="0"/>
    <s v="Fornecedor não vai Reembolsar"/>
    <x v="0"/>
    <s v="Olá Nome, _x000a_Identificamos que o Item Ventilador Preto foi entregue no dia 18/12/2024, referente ao pedido Nº Pedido 363 Rastreio Pedido 363, agradecemos a preferência e adoraríamos receber sua avaliação, tendo qualquer dúvida estamos à disposição._x000a__x000a_Att_x000a_Tem tudo Shop"/>
  </r>
  <r>
    <s v="Pedido 363"/>
    <s v="CódRastreio352"/>
    <s v="NM656864556BR"/>
    <s v="BV"/>
    <d v="2024-12-19T00:00:00"/>
    <s v="Transp 1"/>
    <s v="-"/>
    <x v="0"/>
    <s v="Brasil"/>
    <d v="2024-12-18T00:00:00"/>
    <s v="Entregue"/>
    <x v="0"/>
    <s v="Cliente Notificado"/>
    <x v="0"/>
    <s v="Olá Nome, _x000a_Identificamos que o Item Ventilador Preto foi entregue no dia 18/12/2024, referente ao pedido Nº Pedido 363 Rastreio Pedido 363, agradecemos a preferência e adoraríamos receber sua avaliação, tendo qualquer dúvida estamos à disposição._x000a__x000a_Att_x000a_Tem tudo Shop"/>
  </r>
  <r>
    <s v="Pedido 543"/>
    <s v="CódRastreio528"/>
    <s v="CNBR013428393LG"/>
    <s v="BV"/>
    <d v="2025-01-08T00:00:00"/>
    <s v="Transp 1"/>
    <s v="-"/>
    <x v="1"/>
    <s v="Brasil"/>
    <d v="2025-01-22T00:00:00"/>
    <s v="Entregue"/>
    <x v="0"/>
    <s v="-"/>
    <x v="1"/>
    <s v="Olá Nome, _x000a_Identificamos que o Item Suporte de Celular Branco foi entregue no dia 22/01/2025, referente ao pedido Nº Pedido 543 Rastreio Pedido 543, agradecemos a preferência e adoraríamos receber sua avaliação, tendo qualquer dúvida estamos à disposição._x000a__x000a_Att_x000a_Tem tudo Shop"/>
  </r>
  <r>
    <s v="Pedido 560"/>
    <s v="CódRastreio545"/>
    <s v="LP00700306034167"/>
    <s v="BV"/>
    <d v="2025-01-09T00:00:00"/>
    <s v="Transp 1"/>
    <s v="-"/>
    <x v="0"/>
    <s v="Brasil"/>
    <d v="2024-12-19T00:00:00"/>
    <s v="Entregue"/>
    <x v="0"/>
    <s v="Aguardando reembolso"/>
    <x v="0"/>
    <s v="Olá Nome, _x000a_Identificamos que o Item Ventilador Rosa foi entregue no dia 19/12/2024, referente ao pedido Nº Pedido 560 Rastreio Pedido 560, agradecemos a preferência e adoraríamos receber sua avaliação, tendo qualquer dúvida estamos à disposição._x000a__x000a_Att_x000a_Tem tudo Shop"/>
  </r>
  <r>
    <s v="Pedido 574"/>
    <s v="CódRastreio559"/>
    <s v="LP00699995248471"/>
    <s v="BV"/>
    <d v="2025-01-09T00:00:00"/>
    <s v="Transp 1"/>
    <s v="-"/>
    <x v="0"/>
    <s v="Brasil"/>
    <d v="2024-12-20T00:00:00"/>
    <s v="Entregue"/>
    <x v="0"/>
    <s v="-"/>
    <x v="0"/>
    <s v="Olá Nome, _x000a_Identificamos que o Item Ventilador Preto foi entregue no dia 20/12/2024, referente ao pedido Nº Pedido 574 Rastreio Pedido 574, agradecemos a preferência e adoraríamos receber sua avaliação, tendo qualquer dúvida estamos à disposição._x000a__x000a_Att_x000a_Tem tudo Shop"/>
  </r>
  <r>
    <s v="Pedido 555"/>
    <s v="CódRastreio540"/>
    <s v="LP00700286560240"/>
    <s v="BV"/>
    <d v="2025-01-09T00:00:00"/>
    <s v="Transp 1"/>
    <s v="-"/>
    <x v="0"/>
    <s v="Brasil"/>
    <d v="2025-01-07T00:00:00"/>
    <s v="Entregue"/>
    <x v="0"/>
    <s v="Aguardando reembolso"/>
    <x v="0"/>
    <s v="Olá Nome, _x000a_Identificamos que o Item Ventilador de teto foi entregue no dia 07/01/2025, referente ao pedido Nº Pedido 555 Rastreio Pedido 555, agradecemos a preferência e adoraríamos receber sua avaliação, tendo qualquer dúvida estamos à disposição._x000a__x000a_Att_x000a_Tem tudo Shop"/>
  </r>
  <r>
    <s v="Pedido 597"/>
    <s v="CódRastreio582"/>
    <s v="LP00703041049796"/>
    <s v="BV"/>
    <d v="2025-01-29T00:00:00"/>
    <s v="Transp 1"/>
    <s v="-"/>
    <x v="0"/>
    <s v="Brasil"/>
    <d v="2025-02-04T00:00:00"/>
    <s v="Entregue"/>
    <x v="0"/>
    <s v="-"/>
    <x v="1"/>
    <s v="Olá Nome, _x000a_Identificamos que o Item Ventilador Preto foi entregue no dia 04/02/2025, referente ao pedido Nº Pedido 597 Rastreio Pedido 597, agradecemos a preferência e adoraríamos receber sua avaliação, tendo qualquer dúvida estamos à disposição._x000a__x000a_Att_x000a_Tem tudo Shop"/>
  </r>
  <r>
    <s v="Pedido 611"/>
    <s v="CódRastreio594"/>
    <s v="LP00702566924547"/>
    <s v="BV"/>
    <d v="2025-01-29T00:00:00"/>
    <s v="Transp 1"/>
    <s v="-"/>
    <x v="0"/>
    <s v="Brasil"/>
    <d v="2025-01-29T00:00:00"/>
    <s v="Entregue"/>
    <x v="0"/>
    <s v="-"/>
    <x v="0"/>
    <s v="Olá Nome, _x000a_Identificamos que o Item Ventilador Preto foi entregue no dia 29/01/2025, referente ao pedido Nº Pedido 611 Rastreio Pedido 611, agradecemos a preferência e adoraríamos receber sua avaliação, tendo qualquer dúvida estamos à disposição._x000a__x000a_Att_x000a_Tem tudo Shop"/>
  </r>
  <r>
    <s v="Pedido 632"/>
    <s v="CódRastreio614"/>
    <s v="LP00704324568520"/>
    <s v="BV"/>
    <d v="2025-01-31T00:00:00"/>
    <s v="Transp 1"/>
    <s v="-"/>
    <x v="0"/>
    <s v="Brasil"/>
    <d v="2025-01-17T00:00:00"/>
    <s v="Entregue"/>
    <x v="0"/>
    <s v="-"/>
    <x v="0"/>
    <s v="Olá Nome, _x000a_Identificamos que o Item Ventilador Rosa foi entregue no dia 17/01/2025, referente ao pedido Nº Pedido 632 Rastreio Pedido 632, agradecemos a preferência e adoraríamos receber sua avaliação, tendo qualquer dúvida estamos à disposição._x000a__x000a_Att_x000a_Tem tudo Shop"/>
  </r>
  <r>
    <s v="Pedido 644"/>
    <s v="CódRastreio625"/>
    <n v="3621049625355"/>
    <s v="BV"/>
    <d v="2025-01-25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644 Rastreio Pedido 644, agradecemos a preferência e adoraríamos receber sua avaliação, tendo qualquer dúvida estamos à disposição._x000a__x000a_Att_x000a_Tem tudo Shop"/>
  </r>
  <r>
    <s v="Pedido 665"/>
    <s v="CódRastreio645"/>
    <s v="LP00705950179312"/>
    <s v="BV"/>
    <d v="2025-01-28T00:00:00"/>
    <s v="Transp 1"/>
    <s v="-"/>
    <x v="0"/>
    <s v="Brasil"/>
    <d v="2025-01-22T00:00:00"/>
    <s v="Entregue"/>
    <x v="0"/>
    <s v="-"/>
    <x v="0"/>
    <s v="Olá Nome, _x000a_Identificamos que o Item Karaoke portátil foi entregue no dia 22/01/2025, referente ao pedido Nº Pedido 665 Rastreio Pedido 665, agradecemos a preferência e adoraríamos receber sua avaliação, tendo qualquer dúvida estamos à disposição._x000a__x000a_Att_x000a_Tem tudo Shop"/>
  </r>
  <r>
    <s v="Pedido 677"/>
    <s v="CódRastreio657"/>
    <n v="888670000899145"/>
    <s v="BV"/>
    <d v="2025-01-29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677 Rastreio Pedido 677, agradecemos a preferência e adoraríamos receber sua avaliação, tendo qualquer dúvida estamos à disposição._x000a__x000a_Att_x000a_Tem tudo Shop"/>
  </r>
  <r>
    <s v="Pedido 680"/>
    <s v="CódRastreio660"/>
    <s v="LP00704400785359"/>
    <s v="BV"/>
    <d v="2025-01-29T00:00:00"/>
    <s v="Transp 1"/>
    <s v="-"/>
    <x v="0"/>
    <s v="Brasil"/>
    <d v="2025-01-16T00:00:00"/>
    <s v="Entregue"/>
    <x v="0"/>
    <s v="-"/>
    <x v="0"/>
    <s v="Olá Nome, _x000a_Identificamos que o Item Ventilador Rosa foi entregue no dia 16/01/2025, referente ao pedido Nº Pedido 680 Rastreio Pedido 680, agradecemos a preferência e adoraríamos receber sua avaliação, tendo qualquer dúvida estamos à disposição._x000a__x000a_Att_x000a_Tem tudo Shop"/>
  </r>
  <r>
    <s v="Pedido 681"/>
    <s v="CódRastreio661"/>
    <s v="LP00705211316459"/>
    <s v="BV"/>
    <d v="2025-02-05T00:00:00"/>
    <s v="Transp 1"/>
    <s v="-"/>
    <x v="0"/>
    <s v="Brasil"/>
    <d v="2025-01-25T00:00:00"/>
    <s v="Entregue"/>
    <x v="0"/>
    <s v="-"/>
    <x v="0"/>
    <s v="Olá Nome, _x000a_Identificamos que o Item Ventilador Preto foi entregue no dia 25/01/2025, referente ao pedido Nº Pedido 681 Rastreio Pedido 681, agradecemos a preferência e adoraríamos receber sua avaliação, tendo qualquer dúvida estamos à disposição._x000a__x000a_Att_x000a_Tem tudo Shop"/>
  </r>
  <r>
    <s v="Pedido 684"/>
    <s v="CódRastreio664"/>
    <s v="LP00704344931650"/>
    <s v="BV"/>
    <d v="2025-02-05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684 Rastreio Pedido 684, agradecemos a preferência e adoraríamos receber sua avaliação, tendo qualquer dúvida estamos à disposição._x000a__x000a_Att_x000a_Tem tudo Shop"/>
  </r>
  <r>
    <s v="Pedido 682"/>
    <s v="CódRastreio662"/>
    <s v="LP00705174530415"/>
    <s v="BV"/>
    <d v="2025-01-29T00:00:00"/>
    <s v="Transp 1"/>
    <s v="-"/>
    <x v="0"/>
    <s v="Brasil"/>
    <d v="2025-01-17T00:00:00"/>
    <s v="Entregue"/>
    <x v="0"/>
    <s v="-"/>
    <x v="0"/>
    <s v="Olá Nome, _x000a_Identificamos que o Item Karaoke portátil foi entregue no dia 17/01/2025, referente ao pedido Nº Pedido 682 Rastreio Pedido 682, agradecemos a preferência e adoraríamos receber sua avaliação, tendo qualquer dúvida estamos à disposição._x000a__x000a_Att_x000a_Tem tudo Shop"/>
  </r>
  <r>
    <s v="Pedido 686"/>
    <s v="CódRastreio666"/>
    <s v="LP00704561020911"/>
    <s v="BV"/>
    <d v="2025-01-29T00:00:00"/>
    <s v="Transp 1"/>
    <s v="-"/>
    <x v="0"/>
    <s v="Brasil"/>
    <d v="2025-01-20T00:00:00"/>
    <s v="Entregue"/>
    <x v="0"/>
    <s v="-"/>
    <x v="0"/>
    <s v="Olá Nome, _x000a_Identificamos que o Item Ventilador Rosa foi entregue no dia 20/01/2025, referente ao pedido Nº Pedido 686 Rastreio Pedido 686, agradecemos a preferência e adoraríamos receber sua avaliação, tendo qualquer dúvida estamos à disposição._x000a__x000a_Att_x000a_Tem tudo Shop"/>
  </r>
  <r>
    <s v="Pedido 687"/>
    <s v="CódRastreio667"/>
    <s v="LP00705355419407"/>
    <s v="BV"/>
    <d v="2025-01-30T00:00:00"/>
    <s v="Transp 1"/>
    <s v="-"/>
    <x v="0"/>
    <s v="Brasil"/>
    <d v="2025-01-20T00:00:00"/>
    <s v="Entregue"/>
    <x v="0"/>
    <s v="-"/>
    <x v="0"/>
    <s v="Olá Nome, _x000a_Identificamos que o Item Ventilador Preto foi entregue no dia 20/01/2025, referente ao pedido Nº Pedido 687 Rastreio Pedido 687, agradecemos a preferência e adoraríamos receber sua avaliação, tendo qualquer dúvida estamos à disposição._x000a__x000a_Att_x000a_Tem tudo Shop"/>
  </r>
  <r>
    <s v="Pedido 691"/>
    <s v="CódRastreio671"/>
    <s v="LP00706234188807"/>
    <s v="BV"/>
    <d v="2025-01-30T00:00:00"/>
    <s v="Transp 1"/>
    <s v="-"/>
    <x v="0"/>
    <s v="Brasil"/>
    <d v="2025-01-21T00:00:00"/>
    <s v="Entregue"/>
    <x v="0"/>
    <s v="Cliente Notificado"/>
    <x v="0"/>
    <s v="Olá Nome, _x000a_Identificamos que o Item Ventilador Rosa foi entregue no dia 21/01/2025, referente ao pedido Nº Pedido 691 Rastreio Pedido 691, agradecemos a preferência e adoraríamos receber sua avaliação, tendo qualquer dúvida estamos à disposição._x000a__x000a_Att_x000a_Tem tudo Shop"/>
  </r>
  <r>
    <s v="Pedido 692"/>
    <s v="CódRastreio672"/>
    <s v="LP00705353967831"/>
    <s v="BV"/>
    <d v="2025-02-06T00:00:00"/>
    <s v="Transp 1"/>
    <s v="-"/>
    <x v="0"/>
    <s v="Brasil"/>
    <d v="2025-01-21T00:00:00"/>
    <s v="Entregue"/>
    <x v="0"/>
    <s v="Cliente Notificado"/>
    <x v="0"/>
    <s v="Olá Nome, _x000a_Identificamos que o Item Ventilador Rosa foi entregue no dia 21/01/2025, referente ao pedido Nº Pedido 692 Rastreio Pedido 692, agradecemos a preferência e adoraríamos receber sua avaliação, tendo qualquer dúvida estamos à disposição._x000a__x000a_Att_x000a_Tem tudo Shop"/>
  </r>
  <r>
    <s v="Pedido 693"/>
    <s v="CódRastreio673"/>
    <n v="888670000921142"/>
    <s v="BV"/>
    <d v="2025-01-24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693 Rastreio Pedido 693, agradecemos a preferência e adoraríamos receber sua avaliação, tendo qualquer dúvida estamos à disposição._x000a__x000a_Att_x000a_Tem tudo Shop"/>
  </r>
  <r>
    <s v="Pedido 694"/>
    <s v="CódRastreio674"/>
    <n v="888670000917683"/>
    <s v="BV"/>
    <d v="2025-01-24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694 Rastreio Pedido 694, agradecemos a preferência e adoraríamos receber sua avaliação, tendo qualquer dúvida estamos à disposição._x000a__x000a_Att_x000a_Tem tudo Shop"/>
  </r>
  <r>
    <s v="Pedido 695"/>
    <s v="CódRastreio675"/>
    <s v="LP00704545973963"/>
    <s v="BV"/>
    <d v="2025-01-30T00:00:00"/>
    <s v="Transp 1"/>
    <s v="-"/>
    <x v="0"/>
    <s v="Brasil"/>
    <d v="2025-01-23T00:00:00"/>
    <s v="Entregue"/>
    <x v="0"/>
    <s v="Cliente Notificado"/>
    <x v="0"/>
    <s v="Olá Nome, _x000a_Identificamos que o Item Ventilador Rosa foi entregue no dia 23/01/2025, referente ao pedido Nº Pedido 695 Rastreio Pedido 695, agradecemos a preferência e adoraríamos receber sua avaliação, tendo qualquer dúvida estamos à disposição._x000a__x000a_Att_x000a_Tem tudo Shop"/>
  </r>
  <r>
    <s v="Pedido 702"/>
    <s v="CódRastreio681"/>
    <s v="LP00705717051541"/>
    <s v="BV"/>
    <d v="2025-02-06T00:00:00"/>
    <s v="Transp 1"/>
    <s v="-"/>
    <x v="0"/>
    <s v="Brasil"/>
    <d v="2025-01-21T00:00:00"/>
    <s v="Entregue"/>
    <x v="0"/>
    <s v="-"/>
    <x v="0"/>
    <s v="Olá Nome, _x000a_Identificamos que o Item Ventilador Rosa foi entregue no dia 21/01/2025, referente ao pedido Nº Pedido 702 Rastreio Pedido 702, agradecemos a preferência e adoraríamos receber sua avaliação, tendo qualquer dúvida estamos à disposição._x000a__x000a_Att_x000a_Tem tudo Shop"/>
  </r>
  <r>
    <s v="Pedido 706"/>
    <s v="CódRastreio685"/>
    <s v="LP00706551756476"/>
    <s v="BV"/>
    <d v="2025-01-30T00:00:00"/>
    <s v="Transp 1"/>
    <s v="-"/>
    <x v="0"/>
    <s v="Brasil"/>
    <d v="2025-01-16T00:00:00"/>
    <s v="Entregue"/>
    <x v="0"/>
    <s v="-"/>
    <x v="0"/>
    <s v="Olá Nome, _x000a_Identificamos que o Item Ventilador Rosa foi entregue no dia 16/01/2025, referente ao pedido Nº Pedido 706 Rastreio Pedido 706, agradecemos a preferência e adoraríamos receber sua avaliação, tendo qualquer dúvida estamos à disposição._x000a__x000a_Att_x000a_Tem tudo Shop"/>
  </r>
  <r>
    <s v="Pedido 711"/>
    <s v="CódRastreio690"/>
    <s v="LP00705725787512"/>
    <s v="BV"/>
    <d v="2025-02-06T00:00:00"/>
    <s v="Transp 1"/>
    <s v="-"/>
    <x v="0"/>
    <s v="Brasil"/>
    <d v="2025-01-21T00:00:00"/>
    <s v="Entregue"/>
    <x v="0"/>
    <s v="-"/>
    <x v="0"/>
    <s v="Olá Nome, _x000a_Identificamos que o Item Ventilador Rosa foi entregue no dia 21/01/2025, referente ao pedido Nº Pedido 711 Rastreio Pedido 711, agradecemos a preferência e adoraríamos receber sua avaliação, tendo qualquer dúvida estamos à disposição._x000a__x000a_Att_x000a_Tem tudo Shop"/>
  </r>
  <r>
    <s v="Pedido 746"/>
    <s v="CódRastreio723"/>
    <n v="888670000999745"/>
    <s v="BV"/>
    <d v="2025-02-01T00:00:00"/>
    <s v="Transp 1"/>
    <s v="-"/>
    <x v="1"/>
    <s v="Brasil"/>
    <d v="2025-01-20T00:00:00"/>
    <s v="Entregue"/>
    <x v="0"/>
    <s v="-"/>
    <x v="0"/>
    <s v="Olá Nome, _x000a_Identificamos que o Item Suporte de Celular Branco foi entregue no dia 20/01/2025, referente ao pedido Nº Pedido 746 Rastreio Pedido 746, agradecemos a preferência e adoraríamos receber sua avaliação, tendo qualquer dúvida estamos à disposição._x000a__x000a_Att_x000a_Tem tudo Shop"/>
  </r>
  <r>
    <s v="Pedido 748"/>
    <s v="CódRastreio725"/>
    <n v="3621049632262"/>
    <s v="BV"/>
    <d v="2025-02-01T00:00:00"/>
    <s v="Transp 1"/>
    <s v="-"/>
    <x v="1"/>
    <s v="Brasil"/>
    <d v="2025-01-25T00:00:00"/>
    <s v="Entregue"/>
    <x v="0"/>
    <s v="-"/>
    <x v="0"/>
    <s v="Olá Nome, _x000a_Identificamos que o Item Suporte de Celular Branco foi entregue no dia 25/01/2025, referente ao pedido Nº Pedido 748 Rastreio Pedido 748, agradecemos a preferência e adoraríamos receber sua avaliação, tendo qualquer dúvida estamos à disposição._x000a__x000a_Att_x000a_Tem tudo Shop"/>
  </r>
  <r>
    <s v="Pedido 751"/>
    <s v="CódRastreio728"/>
    <s v="CNBR013682458LG"/>
    <s v="BV"/>
    <d v="2025-02-04T00:00:00"/>
    <s v="Transp 1"/>
    <s v="-"/>
    <x v="1"/>
    <s v="Brasil"/>
    <d v="2025-01-18T00:00:00"/>
    <s v="Entregue"/>
    <x v="0"/>
    <s v="-"/>
    <x v="0"/>
    <s v="Olá Nome, _x000a_Identificamos que o Item Lampada Led foi entregue no dia 18/01/2025, referente ao pedido Nº Pedido 751 Rastreio Pedido 751, agradecemos a preferência e adoraríamos receber sua avaliação, tendo qualquer dúvida estamos à disposição._x000a__x000a_Att_x000a_Tem tudo Shop"/>
  </r>
  <r>
    <s v="Pedido 727"/>
    <s v="CódRastreio704"/>
    <s v="CNBR001052809RS"/>
    <s v="BV"/>
    <d v="2025-01-24T00:00:00"/>
    <s v="Transp 1"/>
    <s v="-"/>
    <x v="1"/>
    <s v="Brasil"/>
    <d v="2025-01-17T00:00:00"/>
    <s v="Entregue"/>
    <x v="0"/>
    <s v="-"/>
    <x v="0"/>
    <s v="Olá Nome, _x000a_Identificamos que o Item Adaptador Bluetooph foi entregue no dia 17/01/2025, referente ao pedido Nº Pedido 727 Rastreio Pedido 727, agradecemos a preferência e adoraríamos receber sua avaliação, tendo qualquer dúvida estamos à disposição._x000a__x000a_Att_x000a_Tem tudo Shop"/>
  </r>
  <r>
    <s v="Pedido 732"/>
    <s v="CódRastreio709"/>
    <n v="888670001006521"/>
    <s v="BV"/>
    <d v="2025-01-25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732 Rastreio Pedido 732, agradecemos a preferência e adoraríamos receber sua avaliação, tendo qualquer dúvida estamos à disposição._x000a__x000a_Att_x000a_Tem tudo Shop"/>
  </r>
  <r>
    <s v="Pedido 735"/>
    <s v="CódRastreio712"/>
    <n v="3621049632670"/>
    <s v="BV"/>
    <d v="2025-01-25T00:00:00"/>
    <s v="Transp 1"/>
    <s v="-"/>
    <x v="1"/>
    <s v="Brasil"/>
    <d v="2025-01-17T00:00:00"/>
    <s v="Entregue"/>
    <x v="0"/>
    <s v="-"/>
    <x v="0"/>
    <s v="Olá Nome, _x000a_Identificamos que o Item Mini Liquidificador foi entregue no dia 17/01/2025, referente ao pedido Nº Pedido 735 Rastreio Pedido 735, agradecemos a preferência e adoraríamos receber sua avaliação, tendo qualquer dúvida estamos à disposição._x000a__x000a_Att_x000a_Tem tudo Shop"/>
  </r>
  <r>
    <s v="Pedido 736"/>
    <s v="CódRastreio713"/>
    <n v="888670000994946"/>
    <s v="BV"/>
    <d v="2025-01-25T00:00:00"/>
    <s v="Transp 1"/>
    <s v="-"/>
    <x v="1"/>
    <s v="Brasil"/>
    <d v="2025-01-21T00:00:00"/>
    <s v="Entregue"/>
    <x v="0"/>
    <s v="-"/>
    <x v="0"/>
    <s v="Olá Nome, _x000a_Identificamos que o Item Adaptador Bluetooph foi entregue no dia 21/01/2025, referente ao pedido Nº Pedido 736 Rastreio Pedido 736, agradecemos a preferência e adoraríamos receber sua avaliação, tendo qualquer dúvida estamos à disposição._x000a__x000a_Att_x000a_Tem tudo Shop"/>
  </r>
  <r>
    <s v="Pedido 738"/>
    <s v="CódRastreio715"/>
    <n v="888670001003748"/>
    <s v="BV"/>
    <d v="2025-01-28T00:00:00"/>
    <s v="Transp 1"/>
    <s v="-"/>
    <x v="1"/>
    <s v="Brasil"/>
    <d v="2025-02-05T00:00:00"/>
    <s v="Entregue"/>
    <x v="0"/>
    <s v="-"/>
    <x v="1"/>
    <s v="Olá Nome, _x000a_Identificamos que o Item Adaptador Bluetooph foi entregue no dia 05/02/2025, referente ao pedido Nº Pedido 738 Rastreio Pedido 738, agradecemos a preferência e adoraríamos receber sua avaliação, tendo qualquer dúvida estamos à disposição._x000a__x000a_Att_x000a_Tem tudo Shop"/>
  </r>
  <r>
    <s v="Pedido 743"/>
    <s v="CódRastreio720"/>
    <n v="3621049632553"/>
    <s v="BV"/>
    <d v="2025-02-01T00:00:00"/>
    <s v="Transp 1"/>
    <s v="-"/>
    <x v="1"/>
    <s v="Brasil"/>
    <d v="2025-01-17T00:00:00"/>
    <s v="Entregue"/>
    <x v="0"/>
    <s v="-"/>
    <x v="0"/>
    <s v="Olá Nome, _x000a_Identificamos que o Item Adaptador Bluetooph foi entregue no dia 17/01/2025, referente ao pedido Nº Pedido 743 Rastreio Pedido 743, agradecemos a preferência e adoraríamos receber sua avaliação, tendo qualquer dúvida estamos à disposição._x000a__x000a_Att_x000a_Tem tudo Shop"/>
  </r>
  <r>
    <s v="Pedido 745"/>
    <s v="CódRastreio722"/>
    <n v="888670001007025"/>
    <s v="BV"/>
    <d v="2025-02-01T00:00:00"/>
    <s v="Transp 1"/>
    <s v="-"/>
    <x v="1"/>
    <s v="Brasil"/>
    <d v="2025-01-17T00:00:00"/>
    <s v="Entregue"/>
    <x v="0"/>
    <s v="-"/>
    <x v="0"/>
    <s v="Olá Nome, _x000a_Identificamos que o Item Adaptador Bluetooph foi entregue no dia 17/01/2025, referente ao pedido Nº Pedido 745 Rastreio Pedido 745, agradecemos a preferência e adoraríamos receber sua avaliação, tendo qualquer dúvida estamos à disposição._x000a__x000a_Att_x000a_Tem tudo Shop"/>
  </r>
  <r>
    <s v="Pedido 749"/>
    <s v="CódRastreio726"/>
    <n v="888670001000736"/>
    <s v="BV"/>
    <d v="2025-01-28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749 Rastreio Pedido 749, agradecemos a preferência e adoraríamos receber sua avaliação, tendo qualquer dúvida estamos à disposição._x000a__x000a_Att_x000a_Tem tudo Shop"/>
  </r>
  <r>
    <s v="Pedido 740"/>
    <s v="CódRastreio717"/>
    <s v="LP00706850127849"/>
    <s v="BV"/>
    <d v="2025-02-01T00:00:00"/>
    <s v="Transp 1"/>
    <s v="-"/>
    <x v="0"/>
    <s v="Brasil"/>
    <d v="2025-01-25T00:00:00"/>
    <s v="Entregue"/>
    <x v="0"/>
    <s v="-"/>
    <x v="0"/>
    <s v="Olá Nome, _x000a_Identificamos que o Item Ventilador Preto foi entregue no dia 25/01/2025, referente ao pedido Nº Pedido 740 Rastreio Pedido 740, agradecemos a preferência e adoraríamos receber sua avaliação, tendo qualquer dúvida estamos à disposição._x000a__x000a_Att_x000a_Tem tudo Shop"/>
  </r>
  <r>
    <s v="Pedido 741"/>
    <s v="CódRastreio718"/>
    <s v="LP00706113832725"/>
    <s v="BV"/>
    <d v="2025-02-01T00:00:00"/>
    <s v="Transp 1"/>
    <s v="-"/>
    <x v="0"/>
    <s v="Brasil"/>
    <d v="2025-01-29T00:00:00"/>
    <s v="Entregue"/>
    <x v="0"/>
    <s v="-"/>
    <x v="0"/>
    <s v="Olá Nome, _x000a_Identificamos que o Item Ventilador Rosa foi entregue no dia 29/01/2025, referente ao pedido Nº Pedido 741 Rastreio Pedido 741, agradecemos a preferência e adoraríamos receber sua avaliação, tendo qualquer dúvida estamos à disposição._x000a__x000a_Att_x000a_Tem tudo Shop"/>
  </r>
  <r>
    <s v="Pedido 747"/>
    <s v="CódRastreio724"/>
    <s v="LP00706932770793"/>
    <s v="BV"/>
    <d v="2025-02-01T00:00:00"/>
    <s v="Transp 1"/>
    <s v="-"/>
    <x v="0"/>
    <s v="Brasil"/>
    <d v="2025-01-29T00:00:00"/>
    <s v="Entregue"/>
    <x v="0"/>
    <s v="-"/>
    <x v="0"/>
    <s v="Olá Nome, _x000a_Identificamos que o Item Ventilador Preto foi entregue no dia 29/01/2025, referente ao pedido Nº Pedido 747 Rastreio Pedido 747, agradecemos a preferência e adoraríamos receber sua avaliação, tendo qualquer dúvida estamos à disposição._x000a__x000a_Att_x000a_Tem tudo Shop"/>
  </r>
  <r>
    <s v="Pedido 752"/>
    <s v="CódRastreio729"/>
    <s v="LP00707767189197"/>
    <s v="BV"/>
    <d v="2025-02-11T00:00:00"/>
    <s v="Transp 1"/>
    <s v="-"/>
    <x v="0"/>
    <s v="Brasil"/>
    <d v="2025-02-01T00:00:00"/>
    <s v="Entregue"/>
    <x v="0"/>
    <s v="-"/>
    <x v="0"/>
    <s v="Olá Nome, _x000a_Identificamos que o Item Ventilador Preto foi entregue no dia 01/02/2025, referente ao pedido Nº Pedido 752 Rastreio Pedido 752, agradecemos a preferência e adoraríamos receber sua avaliação, tendo qualquer dúvida estamos à disposição._x000a__x000a_Att_x000a_Tem tudo Shop"/>
  </r>
  <r>
    <s v="Pedido 754"/>
    <s v="CódRastreio731"/>
    <s v="LP00707772432534"/>
    <s v="BV"/>
    <d v="2025-01-30T00:00:00"/>
    <s v="Transp 1"/>
    <s v="-"/>
    <x v="0"/>
    <s v="Brasil"/>
    <d v="2025-01-23T00:00:00"/>
    <s v="Entregue"/>
    <x v="0"/>
    <s v="-"/>
    <x v="0"/>
    <s v="Olá Nome, _x000a_Identificamos que o Item Ventilador Azul foi entregue no dia 23/01/2025, referente ao pedido Nº Pedido 754 Rastreio Pedido 754, agradecemos a preferência e adoraríamos receber sua avaliação, tendo qualquer dúvida estamos à disposição._x000a__x000a_Att_x000a_Tem tudo Shop"/>
  </r>
  <r>
    <s v="Pedido 756"/>
    <s v="CódRastreio733"/>
    <s v="LP00706994123760"/>
    <s v="BV"/>
    <d v="2025-01-31T00:00:00"/>
    <s v="Transp 1"/>
    <s v="-"/>
    <x v="0"/>
    <s v="Brasil"/>
    <d v="2025-01-24T00:00:00"/>
    <s v="Entregue"/>
    <x v="0"/>
    <s v="-"/>
    <x v="0"/>
    <s v="Olá Nome, _x000a_Identificamos que o Item Ventilador de teto foi entregue no dia 24/01/2025, referente ao pedido Nº Pedido 756 Rastreio Pedido 756, agradecemos a preferência e adoraríamos receber sua avaliação, tendo qualquer dúvida estamos à disposição._x000a__x000a_Att_x000a_Tem tudo Shop"/>
  </r>
  <r>
    <s v="Pedido 757"/>
    <s v="CódRastreio734"/>
    <n v="888670001011708"/>
    <s v="BV"/>
    <d v="2025-01-31T00:00:00"/>
    <s v="Transp 1"/>
    <s v="-"/>
    <x v="1"/>
    <s v="Brasil"/>
    <d v="2025-01-17T00:00:00"/>
    <s v="Entregue"/>
    <x v="0"/>
    <s v="-"/>
    <x v="0"/>
    <s v="Olá Nome, _x000a_Identificamos que o Item Lampada Led foi entregue no dia 17/01/2025, referente ao pedido Nº Pedido 757 Rastreio Pedido 757, agradecemos a preferência e adoraríamos receber sua avaliação, tendo qualquer dúvida estamos à disposição._x000a__x000a_Att_x000a_Tem tudo Shop"/>
  </r>
  <r>
    <s v="Pedido 762"/>
    <s v="CódRastreio739"/>
    <n v="3621049634750"/>
    <s v="BV"/>
    <d v="2025-01-31T00:00:00"/>
    <s v="Transp 1"/>
    <s v="-"/>
    <x v="1"/>
    <s v="Brasil"/>
    <d v="2025-01-31T00:00:00"/>
    <s v="Entregue"/>
    <x v="0"/>
    <s v="Reembolsado"/>
    <x v="0"/>
    <s v="Olá Nome, _x000a_Identificamos que o Item Mini Liquidificador foi entregue no dia 31/01/2025, referente ao pedido Nº Pedido 762 Rastreio Pedido 762, agradecemos a preferência e adoraríamos receber sua avaliação, tendo qualquer dúvida estamos à disposição._x000a__x000a_Att_x000a_Tem tudo Shop"/>
  </r>
  <r>
    <s v="Pedido 764"/>
    <s v="CódRastreio741"/>
    <n v="888670001020856"/>
    <s v="BV"/>
    <d v="2025-01-31T00:00:00"/>
    <s v="Transp 1"/>
    <s v="-"/>
    <x v="1"/>
    <s v="Brasil"/>
    <d v="2025-01-18T00:00:00"/>
    <s v="Entregue"/>
    <x v="0"/>
    <s v="-"/>
    <x v="0"/>
    <s v="Olá Nome, _x000a_Identificamos que o Item Garrafa Termica foi entregue no dia 18/01/2025, referente ao pedido Nº Pedido 764 Rastreio Pedido 764, agradecemos a preferência e adoraríamos receber sua avaliação, tendo qualquer dúvida estamos à disposição._x000a__x000a_Att_x000a_Tem tudo Shop"/>
  </r>
  <r>
    <s v="Pedido 721"/>
    <s v="CódRastreio700"/>
    <s v="LP00706852718282"/>
    <s v="BV"/>
    <d v="2025-01-30T00:00:00"/>
    <s v="Transp 1"/>
    <s v="-"/>
    <x v="0"/>
    <s v="Brasil"/>
    <d v="2025-01-27T00:00:00"/>
    <s v="Entregue"/>
    <x v="0"/>
    <s v="-"/>
    <x v="0"/>
    <s v="Olá Nome, _x000a_Identificamos que o Item Ventilador Rosa foi entregue no dia 27/01/2025, referente ao pedido Nº Pedido 721 Rastreio Pedido 721, agradecemos a preferência e adoraríamos receber sua avaliação, tendo qualquer dúvida estamos à disposição._x000a__x000a_Att_x000a_Tem tudo Shop"/>
  </r>
  <r>
    <s v="Pedido 722"/>
    <s v="CódRastreio701"/>
    <s v="LP00706040998265"/>
    <s v="BV"/>
    <d v="2025-01-30T00:00:00"/>
    <s v="Transp 1"/>
    <s v="-"/>
    <x v="0"/>
    <s v="Brasil"/>
    <d v="2025-01-30T00:00:00"/>
    <s v="Entregue"/>
    <x v="0"/>
    <s v="-"/>
    <x v="0"/>
    <s v="Olá Nome, _x000a_Identificamos que o Item Ventilador Rosa foi entregue no dia 30/01/2025, referente ao pedido Nº Pedido 722 Rastreio Pedido 722, agradecemos a preferência e adoraríamos receber sua avaliação, tendo qualquer dúvida estamos à disposição._x000a__x000a_Att_x000a_Tem tudo Shop"/>
  </r>
  <r>
    <s v="Pedido 723"/>
    <s v="CódRastreio702"/>
    <s v="LP00707691162022"/>
    <s v="BV"/>
    <d v="2025-02-06T00:00:00"/>
    <s v="Transp 1"/>
    <s v="-"/>
    <x v="0"/>
    <s v="Brasil"/>
    <d v="2025-02-07T00:00:00"/>
    <s v="Entregue"/>
    <x v="0"/>
    <s v="-"/>
    <x v="1"/>
    <s v="Olá Nome, _x000a_Identificamos que o Item Ventilador Rosa foi entregue no dia 07/02/2025, referente ao pedido Nº Pedido 723 Rastreio Pedido 723, agradecemos a preferência e adoraríamos receber sua avaliação, tendo qualquer dúvida estamos à disposição._x000a__x000a_Att_x000a_Tem tudo Shop"/>
  </r>
  <r>
    <s v="Pedido 725"/>
    <s v="CódRastreio703"/>
    <s v="LP00707695212797"/>
    <s v="BV"/>
    <d v="2025-02-06T00:00:00"/>
    <s v="Transp 1"/>
    <s v="-"/>
    <x v="0"/>
    <s v="Brasil"/>
    <d v="2025-02-03T00:00:00"/>
    <s v="Entregue"/>
    <x v="0"/>
    <s v="-"/>
    <x v="0"/>
    <s v="Olá Nome, _x000a_Identificamos que o Item Ventilador Rosa foi entregue no dia 03/02/2025, referente ao pedido Nº Pedido 725 Rastreio Pedido 725, agradecemos a preferência e adoraríamos receber sua avaliação, tendo qualquer dúvida estamos à disposição._x000a__x000a_Att_x000a_Tem tudo Shop"/>
  </r>
  <r>
    <s v="Pedido 728"/>
    <s v="CódRastreio705"/>
    <s v="LP00707661804046"/>
    <s v="BV"/>
    <d v="2025-01-31T00:00:00"/>
    <s v="Transp 1"/>
    <s v="-"/>
    <x v="0"/>
    <s v="Brasil"/>
    <d v="2025-01-27T00:00:00"/>
    <s v="Entregue"/>
    <x v="0"/>
    <s v="-"/>
    <x v="0"/>
    <s v="Olá Nome, _x000a_Identificamos que o Item Ventilador Rosa foi entregue no dia 27/01/2025, referente ao pedido Nº Pedido 728 Rastreio Pedido 728, agradecemos a preferência e adoraríamos receber sua avaliação, tendo qualquer dúvida estamos à disposição._x000a__x000a_Att_x000a_Tem tudo Shop"/>
  </r>
  <r>
    <s v="Pedido 729"/>
    <s v="CódRastreio706"/>
    <s v="LP00706837689168"/>
    <s v="BV"/>
    <d v="2025-01-25T00:00:00"/>
    <s v="Transp 1"/>
    <s v="-"/>
    <x v="0"/>
    <s v="Brasil"/>
    <d v="2025-01-28T00:00:00"/>
    <s v="Entregue"/>
    <x v="0"/>
    <s v="Saiu para entrega hoje 27/01"/>
    <x v="1"/>
    <s v="Olá Nome, _x000a_Identificamos que o Item Ventilador Rosa foi entregue no dia 28/01/2025, referente ao pedido Nº Pedido 729 Rastreio Pedido 729, agradecemos a preferência e adoraríamos receber sua avaliação, tendo qualquer dúvida estamos à disposição._x000a__x000a_Att_x000a_Tem tudo Shop"/>
  </r>
  <r>
    <s v="Pedido 730"/>
    <s v="CódRastreio707"/>
    <s v="LP00706846071046"/>
    <s v="BV"/>
    <d v="2025-01-31T00:00:00"/>
    <s v="Transp 1"/>
    <s v="-"/>
    <x v="0"/>
    <s v="Brasil"/>
    <d v="2025-01-28T00:00:00"/>
    <s v="Entregue"/>
    <x v="0"/>
    <s v="-"/>
    <x v="0"/>
    <s v="Olá Nome, _x000a_Identificamos que o Item Ventilador Rosa foi entregue no dia 28/01/2025, referente ao pedido Nº Pedido 730 Rastreio Pedido 730, agradecemos a preferência e adoraríamos receber sua avaliação, tendo qualquer dúvida estamos à disposição._x000a__x000a_Att_x000a_Tem tudo Shop"/>
  </r>
  <r>
    <s v="Pedido 731"/>
    <s v="CódRastreio708"/>
    <s v="LP00706081318205"/>
    <s v="BV"/>
    <d v="2025-01-31T00:00:00"/>
    <s v="Transp 1"/>
    <s v="-"/>
    <x v="0"/>
    <s v="Brasil"/>
    <d v="2025-01-28T00:00:00"/>
    <s v="Entregue"/>
    <x v="0"/>
    <s v="-"/>
    <x v="0"/>
    <s v="Olá Nome, _x000a_Identificamos que o Item Ventilador Rosa foi entregue no dia 28/01/2025, referente ao pedido Nº Pedido 731 Rastreio Pedido 731, agradecemos a preferência e adoraríamos receber sua avaliação, tendo qualquer dúvida estamos à disposição._x000a__x000a_Att_x000a_Tem tudo Shop"/>
  </r>
  <r>
    <s v="Pedido 734"/>
    <s v="CódRastreio711"/>
    <s v="LP00706840845620"/>
    <s v="BV"/>
    <d v="2025-01-31T00:00:00"/>
    <s v="Transp 1"/>
    <s v="-"/>
    <x v="0"/>
    <s v="Brasil"/>
    <d v="2025-01-30T00:00:00"/>
    <s v="Entregue"/>
    <x v="0"/>
    <s v="-"/>
    <x v="0"/>
    <s v="Olá Nome, _x000a_Identificamos que o Item Ventilador Rosa foi entregue no dia 30/01/2025, referente ao pedido Nº Pedido 734 Rastreio Pedido 734, agradecemos a preferência e adoraríamos receber sua avaliação, tendo qualquer dúvida estamos à disposição._x000a__x000a_Att_x000a_Tem tudo Shop"/>
  </r>
  <r>
    <s v="Pedido 737"/>
    <s v="CódRastreio714"/>
    <s v="LP00706095004145"/>
    <s v="BV"/>
    <d v="2025-01-31T00:00:00"/>
    <s v="Transp 1"/>
    <s v="-"/>
    <x v="0"/>
    <s v="Brasil"/>
    <d v="2025-01-28T00:00:00"/>
    <s v="Entregue"/>
    <x v="0"/>
    <s v="-"/>
    <x v="0"/>
    <s v="Olá Nome, _x000a_Identificamos que o Item Ventilador Rosa foi entregue no dia 28/01/2025, referente ao pedido Nº Pedido 737 Rastreio Pedido 737, agradecemos a preferência e adoraríamos receber sua avaliação, tendo qualquer dúvida estamos à disposição._x000a__x000a_Att_x000a_Tem tudo Shop"/>
  </r>
  <r>
    <s v="Pedido 739"/>
    <s v="CódRastreio716"/>
    <s v="LP00707124399454"/>
    <s v="BV"/>
    <d v="2025-02-01T00:00:00"/>
    <s v="Transp 1"/>
    <s v="-"/>
    <x v="0"/>
    <s v="Brasil"/>
    <d v="2025-01-27T00:00:00"/>
    <s v="Entregue"/>
    <x v="0"/>
    <s v="-"/>
    <x v="0"/>
    <s v="Olá Nome, _x000a_Identificamos que o Item Ventilador Rosa foi entregue no dia 27/01/2025, referente ao pedido Nº Pedido 739 Rastreio Pedido 739, agradecemos a preferência e adoraríamos receber sua avaliação, tendo qualquer dúvida estamos à disposição._x000a__x000a_Att_x000a_Tem tudo Shop"/>
  </r>
  <r>
    <s v="Pedido 750"/>
    <s v="CódRastreio727"/>
    <s v="LP00707088141714"/>
    <s v="BV"/>
    <d v="2025-02-04T00:00:00"/>
    <s v="Transp 1"/>
    <s v="-"/>
    <x v="0"/>
    <s v="Brasil"/>
    <d v="2025-02-01T00:00:00"/>
    <s v="Entregue"/>
    <x v="0"/>
    <s v="-"/>
    <x v="0"/>
    <s v="Olá Nome, _x000a_Identificamos que o Item Ventilador Preto foi entregue no dia 01/02/2025, referente ao pedido Nº Pedido 750 Rastreio Pedido 750, agradecemos a preferência e adoraríamos receber sua avaliação, tendo qualquer dúvida estamos à disposição._x000a__x000a_Att_x000a_Tem tudo Shop"/>
  </r>
  <r>
    <s v="Pedido 755"/>
    <s v="CódRastreio732"/>
    <s v="LP00707153330557"/>
    <s v="BV"/>
    <d v="2025-02-06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755 Rastreio Pedido 755, agradecemos a preferência e adoraríamos receber sua avaliação, tendo qualquer dúvida estamos à disposição._x000a__x000a_Att_x000a_Tem tudo Shop"/>
  </r>
  <r>
    <s v="Pedido 758"/>
    <s v="CódRastreio735"/>
    <s v="LP00707159828001"/>
    <s v="BV"/>
    <d v="2025-02-06T00:00:00"/>
    <s v="Transp 1"/>
    <s v="-"/>
    <x v="0"/>
    <s v="Brasil"/>
    <d v="2025-01-30T00:00:00"/>
    <s v="Entregue"/>
    <x v="0"/>
    <s v="-"/>
    <x v="0"/>
    <s v="Olá Nome, _x000a_Identificamos que o Item Ventilador Azul foi entregue no dia 30/01/2025, referente ao pedido Nº Pedido 758 Rastreio Pedido 758, agradecemos a preferência e adoraríamos receber sua avaliação, tendo qualquer dúvida estamos à disposição._x000a__x000a_Att_x000a_Tem tudo Shop"/>
  </r>
  <r>
    <s v="Pedido 759"/>
    <s v="CódRastreio736"/>
    <s v="LP00708447240989"/>
    <s v="BV"/>
    <d v="2025-01-31T00:00:00"/>
    <s v="Transp 1"/>
    <s v="-"/>
    <x v="0"/>
    <s v="Brasil"/>
    <d v="2025-01-27T00:00:00"/>
    <s v="Entregue"/>
    <x v="0"/>
    <s v="-"/>
    <x v="0"/>
    <s v="Olá Nome, _x000a_Identificamos que o Item Ventilador Preto foi entregue no dia 27/01/2025, referente ao pedido Nº Pedido 759 Rastreio Pedido 759, agradecemos a preferência e adoraríamos receber sua avaliação, tendo qualquer dúvida estamos à disposição._x000a__x000a_Att_x000a_Tem tudo Shop"/>
  </r>
  <r>
    <s v="Pedido 760"/>
    <s v="CódRastreio737"/>
    <s v="LP00708439068449"/>
    <s v="BV"/>
    <d v="2025-02-13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760 Rastreio Pedido 760, agradecemos a preferência e adoraríamos receber sua avaliação, tendo qualquer dúvida estamos à disposição._x000a__x000a_Att_x000a_Tem tudo Shop"/>
  </r>
  <r>
    <s v="Pedido 878"/>
    <s v="CódRastreio855"/>
    <n v="888670001069130"/>
    <s v="GO"/>
    <d v="2025-02-03T00:00:00"/>
    <s v="Transp 1"/>
    <s v="-"/>
    <x v="1"/>
    <s v="Brasil"/>
    <d v="2025-01-21T00:00:00"/>
    <s v="Entregue"/>
    <x v="0"/>
    <s v="-"/>
    <x v="0"/>
    <s v="Olá Nome, _x000a_Identificamos que o Item Suporte de Celular Preto foi entregue no dia 21/01/2025, referente ao pedido Nº Pedido 878 Rastreio Pedido 878, agradecemos a preferência e adoraríamos receber sua avaliação, tendo qualquer dúvida estamos à disposição._x000a__x000a_Att_x000a_Sec Variedades"/>
  </r>
  <r>
    <s v="Pedido 753"/>
    <s v="CódRastreio730"/>
    <s v="LP00706774895896"/>
    <s v="BV"/>
    <d v="2025-02-05T00:00:00"/>
    <s v="Transp 1"/>
    <s v="-"/>
    <x v="0"/>
    <s v="Brasil"/>
    <d v="2025-01-23T00:00:00"/>
    <s v="Entregue"/>
    <x v="0"/>
    <s v="Aguardando reembolso"/>
    <x v="0"/>
    <s v="Olá Nome, _x000a_Identificamos que o Item Ventilador Azul foi entregue no dia 23/01/2025, referente ao pedido Nº Pedido 753 Rastreio Pedido 753, agradecemos a preferência e adoraríamos receber sua avaliação, tendo qualquer dúvida estamos à disposição._x000a__x000a_Att_x000a_Tem tudo Shop"/>
  </r>
  <r>
    <s v="Pedido 761"/>
    <s v="CódRastreio738"/>
    <s v="LP00707600607279"/>
    <s v="BV"/>
    <d v="2025-02-06T00:00:00"/>
    <s v="Transp 1"/>
    <s v="-"/>
    <x v="0"/>
    <s v="Brasil"/>
    <d v="2025-01-31T00:00:00"/>
    <s v="Entregue"/>
    <x v="0"/>
    <s v="-"/>
    <x v="0"/>
    <s v="Olá Nome, _x000a_Identificamos que o Item Ventilador Azul foi entregue no dia 31/01/2025, referente ao pedido Nº Pedido 761 Rastreio Pedido 761, agradecemos a preferência e adoraríamos receber sua avaliação, tendo qualquer dúvida estamos à disposição._x000a__x000a_Att_x000a_Tem tudo Shop"/>
  </r>
  <r>
    <s v="Pedido 763"/>
    <s v="CódRastreio740"/>
    <s v="LP00708651314651"/>
    <s v="BV"/>
    <d v="2025-01-31T00:00:00"/>
    <s v="Transp 1"/>
    <s v="-"/>
    <x v="0"/>
    <s v="Brasil"/>
    <d v="2025-01-27T00:00:00"/>
    <s v="Entregue"/>
    <x v="0"/>
    <s v="Aguardando reembolso"/>
    <x v="0"/>
    <s v="Olá Nome, _x000a_Identificamos que o Item Ventilador Preto foi entregue no dia 27/01/2025, referente ao pedido Nº Pedido 763 Rastreio Pedido 763, agradecemos a preferência e adoraríamos receber sua avaliação, tendo qualquer dúvida estamos à disposição._x000a__x000a_Att_x000a_Tem tudo Shop"/>
  </r>
  <r>
    <s v="Pedido 765"/>
    <s v="CódRastreio742"/>
    <s v="LP00708663266246"/>
    <s v="BV"/>
    <d v="2025-02-06T00:00:00"/>
    <s v="Transp 1"/>
    <s v="-"/>
    <x v="0"/>
    <s v="Brasil"/>
    <d v="2025-02-05T00:00:00"/>
    <s v="Entregue"/>
    <x v="0"/>
    <s v="-"/>
    <x v="0"/>
    <s v="Olá Nome, _x000a_Identificamos que o Item Ventilador Preto foi entregue no dia 05/02/2025, referente ao pedido Nº Pedido 765 Rastreio Pedido 765, agradecemos a preferência e adoraríamos receber sua avaliação, tendo qualquer dúvida estamos à disposição._x000a__x000a_Att_x000a_Tem tudo Shop"/>
  </r>
  <r>
    <s v="Pedido 766"/>
    <s v="CódRastreio743"/>
    <s v="LP00709484436873"/>
    <s v="BV"/>
    <d v="2025-02-06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766 Rastreio Pedido 766, agradecemos a preferência e adoraríamos receber sua avaliação, tendo qualquer dúvida estamos à disposição._x000a__x000a_Att_x000a_Tem tudo Shop"/>
  </r>
  <r>
    <s v="Pedido 767"/>
    <s v="CódRastreio744"/>
    <s v="LP00707852807203"/>
    <s v="BV"/>
    <d v="2025-01-31T00:00:00"/>
    <s v="Transp 1"/>
    <s v="-"/>
    <x v="0"/>
    <s v="Brasil"/>
    <d v="2025-02-06T00:00:00"/>
    <s v="Entregue"/>
    <x v="0"/>
    <s v="-"/>
    <x v="1"/>
    <s v="Olá Nome, _x000a_Identificamos que o Item Ventilador Preto foi entregue no dia 06/02/2025, referente ao pedido Nº Pedido 767 Rastreio Pedido 767, agradecemos a preferência e adoraríamos receber sua avaliação, tendo qualquer dúvida estamos à disposição._x000a__x000a_Att_x000a_Tem tudo Shop"/>
  </r>
  <r>
    <s v="Pedido 768"/>
    <s v="CódRastreio745"/>
    <s v="LP00709499544647"/>
    <s v="BV"/>
    <d v="2025-02-13T00:00:00"/>
    <s v="Transp 1"/>
    <s v="-"/>
    <x v="0"/>
    <s v="Brasil"/>
    <d v="2025-02-14T00:00:00"/>
    <s v="Entregue"/>
    <x v="0"/>
    <s v="-"/>
    <x v="1"/>
    <s v="Olá Nome, _x000a_Identificamos que o Item Ventilador Azul foi entregue no dia 14/02/2025, referente ao pedido Nº Pedido 768 Rastreio Pedido 768, agradecemos a preferência e adoraríamos receber sua avaliação, tendo qualquer dúvida estamos à disposição._x000a__x000a_Att_x000a_Tem tudo Shop"/>
  </r>
  <r>
    <s v="Pedido 769"/>
    <s v="CódRastreio746"/>
    <s v="LP00709485865136"/>
    <s v="BV"/>
    <d v="2025-01-31T00:00:00"/>
    <s v="Transp 1"/>
    <s v="-"/>
    <x v="0"/>
    <s v="Brasil"/>
    <d v="2025-02-04T00:00:00"/>
    <s v="Entregue"/>
    <x v="0"/>
    <s v="-"/>
    <x v="1"/>
    <s v="Olá Nome, _x000a_Identificamos que o Item Ventilador Rosa foi entregue no dia 04/02/2025, referente ao pedido Nº Pedido 769 Rastreio Pedido 769, agradecemos a preferência e adoraríamos receber sua avaliação, tendo qualquer dúvida estamos à disposição._x000a__x000a_Att_x000a_Tem tudo Shop"/>
  </r>
  <r>
    <s v="Pedido 770"/>
    <s v="CódRastreio747"/>
    <s v="LP00708692541016"/>
    <s v="BV"/>
    <d v="2025-01-31T00:00:00"/>
    <s v="Transp 1"/>
    <s v="-"/>
    <x v="0"/>
    <s v="Brasil"/>
    <d v="2025-02-01T00:00:00"/>
    <s v="Entregue"/>
    <x v="0"/>
    <s v="-"/>
    <x v="1"/>
    <s v="Olá Nome, _x000a_Identificamos que o Item Ventilador Azul foi entregue no dia 01/02/2025, referente ao pedido Nº Pedido 770 Rastreio Pedido 770, agradecemos a preferência e adoraríamos receber sua avaliação, tendo qualquer dúvida estamos à disposição._x000a__x000a_Att_x000a_Tem tudo Shop"/>
  </r>
  <r>
    <s v="Pedido 771"/>
    <s v="CódRastreio748"/>
    <n v="3621049636506"/>
    <s v="BV"/>
    <d v="2025-02-01T00:00:00"/>
    <s v="Transp 1"/>
    <s v="-"/>
    <x v="1"/>
    <s v="Brasil"/>
    <d v="2025-01-22T00:00:00"/>
    <s v="Entregue"/>
    <x v="0"/>
    <s v="-"/>
    <x v="0"/>
    <s v="Olá Nome, _x000a_Identificamos que o Item Mini Liquidificador foi entregue no dia 22/01/2025, referente ao pedido Nº Pedido 771 Rastreio Pedido 771, agradecemos a preferência e adoraríamos receber sua avaliação, tendo qualquer dúvida estamos à disposição._x000a__x000a_Att_x000a_Tem tudo Shop"/>
  </r>
  <r>
    <s v="Pedido 772"/>
    <s v="CódRastreio749"/>
    <s v="LP00707869186587"/>
    <s v="BV"/>
    <d v="2025-02-07T00:00:00"/>
    <s v="Transp 1"/>
    <s v="-"/>
    <x v="0"/>
    <s v="Brasil"/>
    <d v="2025-02-05T00:00:00"/>
    <s v="Entregue"/>
    <x v="0"/>
    <s v="-"/>
    <x v="0"/>
    <s v="Olá Nome, _x000a_Identificamos que o Item Ventilador Preto foi entregue no dia 05/02/2025, referente ao pedido Nº Pedido 772 Rastreio Pedido 772, agradecemos a preferência e adoraríamos receber sua avaliação, tendo qualquer dúvida estamos à disposição._x000a__x000a_Att_x000a_Tem tudo Shop"/>
  </r>
  <r>
    <s v="Pedido 773"/>
    <s v="CódRastreio750"/>
    <s v="LP00708689060453"/>
    <s v="BV"/>
    <d v="2025-02-14T00:00:00"/>
    <s v="Transp 1"/>
    <s v="-"/>
    <x v="0"/>
    <s v="Brasil"/>
    <d v="2025-02-03T00:00:00"/>
    <s v="Entregue"/>
    <x v="0"/>
    <s v="-"/>
    <x v="0"/>
    <s v="Olá Nome, _x000a_Identificamos que o Item Ventilador Azul foi entregue no dia 03/02/2025, referente ao pedido Nº Pedido 773 Rastreio Pedido 773, agradecemos a preferência e adoraríamos receber sua avaliação, tendo qualquer dúvida estamos à disposição._x000a__x000a_Att_x000a_Tem tudo Shop"/>
  </r>
  <r>
    <s v="Pedido 774"/>
    <s v="CódRastreio751"/>
    <s v="LP00709581883777"/>
    <s v="BV"/>
    <d v="2025-02-07T00:00:00"/>
    <s v="Transp 1"/>
    <s v="-"/>
    <x v="0"/>
    <s v="Brasil"/>
    <d v="2025-02-03T00:00:00"/>
    <s v="Entregue"/>
    <x v="0"/>
    <s v="-"/>
    <x v="0"/>
    <s v="Olá Nome, _x000a_Identificamos que o Item Ventilador de teto foi entregue no dia 03/02/2025, referente ao pedido Nº Pedido 774 Rastreio Pedido 774, agradecemos a preferência e adoraríamos receber sua avaliação, tendo qualquer dúvida estamos à disposição._x000a__x000a_Att_x000a_Tem tudo Shop"/>
  </r>
  <r>
    <s v="Pedido 776"/>
    <s v="CódRastreio753"/>
    <n v="888670001068975"/>
    <s v="BV"/>
    <d v="2025-02-04T00:00:00"/>
    <s v="Transp 1"/>
    <s v="-"/>
    <x v="1"/>
    <s v="Brasil"/>
    <d v="2025-01-25T00:00:00"/>
    <s v="Entregue"/>
    <x v="0"/>
    <s v="-"/>
    <x v="0"/>
    <s v="Olá Nome, _x000a_Identificamos que o Item Garrafa Termica foi entregue no dia 25/01/2025, referente ao pedido Nº Pedido 776 Rastreio Pedido 776, agradecemos a preferência e adoraríamos receber sua avaliação, tendo qualquer dúvida estamos à disposição._x000a__x000a_Att_x000a_Tem tudo Shop"/>
  </r>
  <r>
    <s v="Pedido 779"/>
    <s v="CódRastreio756"/>
    <s v="CNBR00077170HB"/>
    <s v="BV"/>
    <d v="2025-01-29T00:00:00"/>
    <s v="Transp 1"/>
    <s v="-"/>
    <x v="1"/>
    <s v="Brasil"/>
    <d v="2025-01-23T00:00:00"/>
    <s v="Entregue"/>
    <x v="0"/>
    <s v="-"/>
    <x v="0"/>
    <s v="Olá Nome, _x000a_Identificamos que o Item Lampada Led foi entregue no dia 23/01/2025, referente ao pedido Nº Pedido 779 Rastreio Pedido 779, agradecemos a preferência e adoraríamos receber sua avaliação, tendo qualquer dúvida estamos à disposição._x000a__x000a_Att_x000a_Tem tudo Shop"/>
  </r>
  <r>
    <s v="Pedido 784"/>
    <s v="CódRastreio761"/>
    <n v="3621049638365"/>
    <s v="BV"/>
    <d v="2025-02-04T00:00:00"/>
    <s v="Transp 1"/>
    <s v="-"/>
    <x v="1"/>
    <s v="Brasil"/>
    <d v="2025-01-25T00:00:00"/>
    <s v="Entregue"/>
    <x v="0"/>
    <s v="-"/>
    <x v="0"/>
    <s v="Olá Nome, _x000a_Identificamos que o Item Lampada Led foi entregue no dia 25/01/2025, referente ao pedido Nº Pedido 784 Rastreio Pedido 784, agradecemos a preferência e adoraríamos receber sua avaliação, tendo qualquer dúvida estamos à disposição._x000a__x000a_Att_x000a_Tem tudo Shop"/>
  </r>
  <r>
    <s v="Pedido 798"/>
    <s v="CódRastreio775"/>
    <s v="CNBR013766127LG"/>
    <s v="BV"/>
    <d v="2025-02-05T00:00:00"/>
    <s v="Transp 1"/>
    <s v="-"/>
    <x v="1"/>
    <s v="Brasil"/>
    <d v="2025-01-27T00:00:00"/>
    <s v="Entregue"/>
    <x v="0"/>
    <s v="-"/>
    <x v="0"/>
    <s v="Olá Nome, _x000a_Identificamos que o Item Garrafa Termica foi entregue no dia 27/01/2025, referente ao pedido Nº Pedido 798 Rastreio Pedido 798, agradecemos a preferência e adoraríamos receber sua avaliação, tendo qualquer dúvida estamos à disposição._x000a__x000a_Att_x000a_Tem tudo Shop"/>
  </r>
  <r>
    <s v="Pedido 461"/>
    <s v="CódRastreio446"/>
    <s v="LP00695805910874"/>
    <s v="BV"/>
    <d v="2024-12-27T00:00:00"/>
    <s v="Transp 1"/>
    <s v="-"/>
    <x v="0"/>
    <s v="Brasil"/>
    <d v="2024-12-12T00:00:00"/>
    <s v="Entregue"/>
    <x v="0"/>
    <s v="-"/>
    <x v="0"/>
    <s v="Olá Nome, _x000a_Identificamos que o Item Ventilador Umidificador Branco foi entregue no dia 12/12/2024, referente ao pedido Nº Pedido 461 Rastreio Pedido 461, agradecemos a preferência e adoraríamos receber sua avaliação, tendo qualquer dúvida estamos à disposição._x000a__x000a_Att_x000a_Tem tudo Shop"/>
  </r>
  <r>
    <s v="Pedido 288"/>
    <s v="CódRastreio281"/>
    <n v="888670000207637"/>
    <s v="BV"/>
    <d v="2024-11-26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88 Rastreio Pedido 288, agradecemos a preferência e adoraríamos receber sua avaliação, tendo qualquer dúvida estamos à disposição._x000a__x000a_Att_x000a_Tem tudo Shop"/>
  </r>
  <r>
    <s v="Pedido 531"/>
    <s v="CódRastreio516"/>
    <s v="CNBR013397722LG"/>
    <s v="BV"/>
    <d v="2025-01-07T00:00:00"/>
    <s v="Transp 1"/>
    <s v="-"/>
    <x v="1"/>
    <s v="Brasil"/>
    <d v="2024-12-19T00:00:00"/>
    <s v="Entregue"/>
    <x v="0"/>
    <s v="-"/>
    <x v="0"/>
    <s v="Olá Nome, _x000a_Identificamos que o Item Adaptador Bluetooph foi entregue no dia 19/12/2024, referente ao pedido Nº Pedido 531 Rastreio Pedido 531, agradecemos a preferência e adoraríamos receber sua avaliação, tendo qualquer dúvida estamos à disposição._x000a__x000a_Att_x000a_Tem tudo Shop"/>
  </r>
  <r>
    <s v="Pedido 276"/>
    <s v="CódRastreio269"/>
    <n v="888670000213170"/>
    <s v="BV"/>
    <d v="2024-11-26T00:00:00"/>
    <s v="Transp 1"/>
    <s v="-"/>
    <x v="1"/>
    <s v="Brasil"/>
    <d v="2024-11-16T00:00:00"/>
    <s v="Entregue"/>
    <x v="0"/>
    <s v="-"/>
    <x v="0"/>
    <s v="Olá Nome, _x000a_Identificamos que o Item Bomba d'agua foi entregue no dia 16/11/2024, referente ao pedido Nº Pedido 276 Rastreio Pedido 276, agradecemos a preferência e adoraríamos receber sua avaliação, tendo qualquer dúvida estamos à disposição._x000a__x000a_Att_x000a_Tem tudo Shop"/>
  </r>
  <r>
    <s v="Pedido 332"/>
    <s v="CódRastreio325"/>
    <s v="CNBR000900211RS"/>
    <s v="BV"/>
    <d v="2024-12-03T00:00:00"/>
    <s v="Transp 1"/>
    <s v="-"/>
    <x v="1"/>
    <s v="Brasil"/>
    <d v="2024-11-16T00:00:00"/>
    <s v="Entregue"/>
    <x v="0"/>
    <s v="-"/>
    <x v="0"/>
    <s v="Olá Nome, _x000a_Identificamos que o Item Mini Liquidificador foi entregue no dia 16/11/2024, referente ao pedido Nº Pedido 332 Rastreio Pedido 332, agradecemos a preferência e adoraríamos receber sua avaliação, tendo qualquer dúvida estamos à disposição._x000a__x000a_Att_x000a_Tem tudo Shop"/>
  </r>
  <r>
    <s v="Pedido 462"/>
    <s v="CódRastreio447"/>
    <n v="888670000535298"/>
    <s v="BV"/>
    <d v="2024-12-17T00:00:00"/>
    <s v="Transp 1"/>
    <s v="-"/>
    <x v="1"/>
    <s v="Brasil"/>
    <d v="2024-12-05T22:38:16"/>
    <s v="Entregue"/>
    <x v="0"/>
    <s v="-"/>
    <x v="0"/>
    <s v="Olá Nome, _x000a_Identificamos que o Item Bomba d'agua foi entregue no dia 05/12/2024, referente ao pedido Nº Pedido 462 Rastreio Pedido 462, agradecemos a preferência e adoraríamos receber sua avaliação, tendo qualquer dúvida estamos à disposição._x000a__x000a_Att_x000a_Tem tudo Shop"/>
  </r>
  <r>
    <s v="Pedido 110"/>
    <s v="CódRastreio103"/>
    <s v="CNBR000804820RS"/>
    <s v="BV"/>
    <d v="2024-11-14T00:00:00"/>
    <s v="Transp 1"/>
    <s v="-"/>
    <x v="1"/>
    <s v="Brasil"/>
    <d v="2024-10-31T00:00:00"/>
    <s v="Entregue"/>
    <x v="0"/>
    <s v="-"/>
    <x v="0"/>
    <s v="Olá Nome, _x000a_Identificamos que o Item Bomba d'agua foi entregue no dia 31/10/2024, referente ao pedido Nº Pedido 110 Rastreio Pedido 110, agradecemos a preferência e adoraríamos receber sua avaliação, tendo qualquer dúvida estamos à disposição._x000a__x000a_Att_x000a_Tem tudo Shop"/>
  </r>
  <r>
    <s v="Pedido 546"/>
    <s v="CódRastreio531"/>
    <s v="CNBR013412950LG"/>
    <s v="BV"/>
    <d v="2025-01-04T00:00:00"/>
    <s v="Transp 1"/>
    <s v="-"/>
    <x v="1"/>
    <s v="Brasil"/>
    <d v="2024-12-18T00:00:00"/>
    <s v="Entregue"/>
    <x v="0"/>
    <s v="-"/>
    <x v="0"/>
    <s v="Olá Nome, _x000a_Identificamos que o Item Suporte de Celular Branco foi entregue no dia 18/12/2024, referente ao pedido Nº Pedido 546 Rastreio Pedido 546, agradecemos a preferência e adoraríamos receber sua avaliação, tendo qualquer dúvida estamos à disposição._x000a__x000a_Att_x000a_Tem tudo Shop"/>
  </r>
  <r>
    <s v="Pedido 262"/>
    <s v="CódRastreio255"/>
    <s v="NM647376135BR"/>
    <s v="BV"/>
    <d v="2024-11-27T00:00:00"/>
    <s v="Transp 1"/>
    <s v="-"/>
    <x v="0"/>
    <s v="Brasil"/>
    <d v="2024-11-13T00:00:00"/>
    <s v="Entregue"/>
    <x v="0"/>
    <s v="-"/>
    <x v="0"/>
    <s v="Olá Nome, _x000a_Identificamos que o Item Ventilador Rosa foi entregue no dia 13/11/2024, referente ao pedido Nº Pedido 262 Rastreio Pedido 262, agradecemos a preferência e adoraríamos receber sua avaliação, tendo qualquer dúvida estamos à disposição._x000a__x000a_Att_x000a_Tem tudo Shop"/>
  </r>
  <r>
    <s v="Pedido 385"/>
    <s v="CódRastreio375"/>
    <s v="LP00693267701168"/>
    <s v="BV"/>
    <d v="2024-12-10T00:00:00"/>
    <s v="Transp 1"/>
    <s v="-"/>
    <x v="0"/>
    <s v="Brasil"/>
    <d v="2024-11-29T00:00:00"/>
    <s v="Entregue"/>
    <x v="0"/>
    <s v="-"/>
    <x v="0"/>
    <s v="Olá Nome, _x000a_Identificamos que o Item Ventilador Rosa foi entregue no dia 29/11/2024, referente ao pedido Nº Pedido 385 Rastreio Pedido 385, agradecemos a preferência e adoraríamos receber sua avaliação, tendo qualquer dúvida estamos à disposição._x000a__x000a_Att_x000a_Tem tudo Shop"/>
  </r>
  <r>
    <s v="Pedido 226"/>
    <s v="CódRastreio219"/>
    <n v="888670000151595"/>
    <s v="BV"/>
    <d v="2024-11-19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26 Rastreio Pedido 226, agradecemos a preferência e adoraríamos receber sua avaliação, tendo qualquer dúvida estamos à disposição._x000a__x000a_Att_x000a_Tem tudo Shop"/>
  </r>
  <r>
    <s v="Pedido 206"/>
    <s v="CódRastreio199"/>
    <s v="CNBR012618847LG"/>
    <s v="BV"/>
    <d v="2024-11-30T00:00:00"/>
    <s v="Transp 1"/>
    <s v="-"/>
    <x v="1"/>
    <s v="Brasil"/>
    <d v="2024-11-12T00:00:00"/>
    <s v="Entregue"/>
    <x v="0"/>
    <s v="-"/>
    <x v="0"/>
    <s v="Olá Nome, _x000a_Identificamos que o Item Bomba d'agua foi entregue no dia 12/11/2024, referente ao pedido Nº Pedido 206 Rastreio Pedido 206, agradecemos a preferência e adoraríamos receber sua avaliação, tendo qualquer dúvida estamos à disposição._x000a__x000a_Att_x000a_Tem tudo Shop"/>
  </r>
  <r>
    <s v="Pedido 331"/>
    <s v="CódRastreio324"/>
    <s v="NM652140367BR"/>
    <s v="BV"/>
    <d v="2024-12-03T00:00:00"/>
    <s v="Transp 1"/>
    <s v="-"/>
    <x v="0"/>
    <s v="Brasil"/>
    <d v="2024-11-28T00:00:00"/>
    <s v="Entregue"/>
    <x v="0"/>
    <s v="-"/>
    <x v="0"/>
    <s v="Olá Nome, _x000a_Identificamos que o Item Ventilador de teto foi entregue no dia 28/11/2024, referente ao pedido Nº Pedido 331 Rastreio Pedido 331, agradecemos a preferência e adoraríamos receber sua avaliação, tendo qualquer dúvida estamos à disposição._x000a__x000a_Att_x000a_Tem tudo Shop"/>
  </r>
  <r>
    <s v="Pedido 575"/>
    <s v="CódRastreio560"/>
    <s v="LP00700745835903"/>
    <s v="BV"/>
    <d v="2025-01-09T00:00:00"/>
    <s v="Transp 1"/>
    <s v="-"/>
    <x v="0"/>
    <s v="Brasil"/>
    <d v="2024-12-27T00:00:00"/>
    <s v="Entregue"/>
    <x v="0"/>
    <s v="-"/>
    <x v="0"/>
    <s v="Olá Nome, _x000a_Identificamos que o Item Ventilador Azul foi entregue no dia 27/12/2024, referente ao pedido Nº Pedido 575 Rastreio Pedido 575, agradecemos a preferência e adoraríamos receber sua avaliação, tendo qualquer dúvida estamos à disposição._x000a__x000a_Att_x000a_Tem tudo Shop"/>
  </r>
  <r>
    <s v="Pedido 304"/>
    <s v="CódRastreio297"/>
    <n v="888670000206997"/>
    <s v="BV"/>
    <d v="2024-12-06T00:00:00"/>
    <s v="Transp 1"/>
    <s v="-"/>
    <x v="1"/>
    <s v="Brasil"/>
    <d v="2024-11-15T00:00:00"/>
    <s v="Entregue"/>
    <x v="0"/>
    <s v="-"/>
    <x v="0"/>
    <s v="Olá Nome, _x000a_Identificamos que o Item Suporte de Celular Branco foi entregue no dia 15/11/2024, referente ao pedido Nº Pedido 304 Rastreio Pedido 304, agradecemos a preferência e adoraríamos receber sua avaliação, tendo qualquer dúvida estamos à disposição._x000a__x000a_Att_x000a_Tem tudo Shop"/>
  </r>
  <r>
    <s v="Pedido 658"/>
    <s v="CódRastreio638"/>
    <s v="LP00705232909940"/>
    <s v="BV"/>
    <d v="2025-01-28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58 Rastreio Pedido 658, agradecemos a preferência e adoraríamos receber sua avaliação, tendo qualquer dúvida estamos à disposição._x000a__x000a_Att_x000a_Tem tudo Shop"/>
  </r>
  <r>
    <s v="Pedido 581"/>
    <s v="CódRastreio566"/>
    <s v="LP00701957905506"/>
    <s v="BV"/>
    <d v="2025-01-10T00:00:00"/>
    <s v="Transp 1"/>
    <s v="-"/>
    <x v="0"/>
    <s v="Brasil"/>
    <d v="2025-01-02T00:00:00"/>
    <s v="Entregue"/>
    <x v="0"/>
    <s v="-"/>
    <x v="0"/>
    <s v="Olá Nome, _x000a_Identificamos que o Item Ventilador Azul foi entregue no dia 02/01/2025, referente ao pedido Nº Pedido 581 Rastreio Pedido 581, agradecemos a preferência e adoraríamos receber sua avaliação, tendo qualquer dúvida estamos à disposição._x000a__x000a_Att_x000a_Tem tudo Shop"/>
  </r>
  <r>
    <s v="Pedido 85"/>
    <s v="CódRastreio78"/>
    <s v="CNBR012450789LG"/>
    <s v="BV"/>
    <d v="2024-11-14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85 Rastreio Pedido 85, agradecemos a preferência e adoraríamos receber sua avaliação, tendo qualquer dúvida estamos à disposição._x000a__x000a_Att_x000a_Tem tudo Shop"/>
  </r>
  <r>
    <s v="Pedido 58"/>
    <s v="CódRastreio49"/>
    <n v="888670000108891"/>
    <s v="BV"/>
    <d v="2024-11-06T00:00:00"/>
    <s v="Transp 1"/>
    <s v="-"/>
    <x v="1"/>
    <s v="Brasil"/>
    <d v="2024-10-30T00:00:00"/>
    <s v="Entregue"/>
    <x v="0"/>
    <s v="-"/>
    <x v="0"/>
    <s v="Olá Nome, _x000a_Identificamos que o Item Balança foi entregue no dia 30/10/2024, referente ao pedido Nº Pedido 58 Rastreio Pedido 58, agradecemos a preferência e adoraríamos receber sua avaliação, tendo qualquer dúvida estamos à disposição._x000a__x000a_Att_x000a_Tem tudo Shop"/>
  </r>
  <r>
    <s v="Pedido 366"/>
    <s v="CódRastreio356"/>
    <s v="CNBR000928696RS"/>
    <s v="BV"/>
    <d v="2024-12-06T00:00:00"/>
    <s v="Transp 1"/>
    <s v="-"/>
    <x v="1"/>
    <s v="Brasil"/>
    <d v="2024-11-27T00:00:00"/>
    <s v="Entregue"/>
    <x v="0"/>
    <s v="-"/>
    <x v="0"/>
    <s v="Olá Nome, _x000a_Identificamos que o Item Suporte de Celular Preto foi entregue no dia 27/11/2024, referente ao pedido Nº Pedido 366 Rastreio Pedido 366, agradecemos a preferência e adoraríamos receber sua avaliação, tendo qualquer dúvida estamos à disposição._x000a__x000a_Att_x000a_Tem tudo Shop"/>
  </r>
  <r>
    <s v="Pedido 238"/>
    <s v="CódRastreio231"/>
    <n v="888670000150717"/>
    <s v="BV"/>
    <d v="2024-11-30T00:00:00"/>
    <s v="Transp 1"/>
    <s v="-"/>
    <x v="1"/>
    <s v="Brasil"/>
    <d v="2024-11-12T00:00:00"/>
    <s v="Entregue"/>
    <x v="0"/>
    <s v="-"/>
    <x v="0"/>
    <s v="Olá Nome, _x000a_Identificamos que o Item Bomba d'agua foi entregue no dia 12/11/2024, referente ao pedido Nº Pedido 238 Rastreio Pedido 238, agradecemos a preferência e adoraríamos receber sua avaliação, tendo qualquer dúvida estamos à disposição._x000a__x000a_Att_x000a_Tem tudo Shop"/>
  </r>
  <r>
    <s v="Pedido 50"/>
    <s v="CódRastreio41"/>
    <s v="CNBR000785405RS"/>
    <s v="BV"/>
    <d v="2024-11-12T00:00:00"/>
    <s v="Transp 1"/>
    <s v="-"/>
    <x v="1"/>
    <s v="Brasil"/>
    <d v="2024-10-28T00:00:00"/>
    <s v="Entregue"/>
    <x v="0"/>
    <s v="-"/>
    <x v="0"/>
    <s v="Olá Nome, _x000a_Identificamos que o Item Balança foi entregue no dia 28/10/2024, referente ao pedido Nº Pedido 50 Rastreio Pedido 50, agradecemos a preferência e adoraríamos receber sua avaliação, tendo qualquer dúvida estamos à disposição._x000a__x000a_Att_x000a_Tem tudo Shop"/>
  </r>
  <r>
    <s v="Pedido 402"/>
    <s v="CódRastreio392"/>
    <s v="LP00693589133620"/>
    <s v="BV"/>
    <d v="2024-12-17T00:00:00"/>
    <s v="Transp 1"/>
    <s v="-"/>
    <x v="0"/>
    <s v="Brasil"/>
    <d v="2024-12-02T00:00:00"/>
    <s v="Entregue"/>
    <x v="0"/>
    <s v="-"/>
    <x v="0"/>
    <s v="Olá Nome, _x000a_Identificamos que o Item Ventilador de teto foi entregue no dia 02/12/2024, referente ao pedido Nº Pedido 402 Rastreio Pedido 402, agradecemos a preferência e adoraríamos receber sua avaliação, tendo qualquer dúvida estamos à disposição._x000a__x000a_Att_x000a_Tem tudo Shop"/>
  </r>
  <r>
    <s v="Pedido 257"/>
    <s v="CódRastreio250"/>
    <s v="CNBR012727467LG"/>
    <s v="BV"/>
    <d v="2024-12-03T00:00:00"/>
    <s v="Transp 1"/>
    <s v="-"/>
    <x v="1"/>
    <s v="Brasil"/>
    <d v="2024-11-27T00:00:00"/>
    <s v="Entregue"/>
    <x v="0"/>
    <s v="-"/>
    <x v="0"/>
    <s v="Olá Nome, _x000a_Identificamos que o Item Bomba d'agua foi entregue no dia 27/11/2024, referente ao pedido Nº Pedido 257 Rastreio Pedido 257, agradecemos a preferência e adoraríamos receber sua avaliação, tendo qualquer dúvida estamos à disposição._x000a__x000a_Att_x000a_Tem tudo Shop"/>
  </r>
  <r>
    <s v="Pedido 228"/>
    <s v="CódRastreio221"/>
    <s v="CNBR000857266RS"/>
    <s v="BV"/>
    <d v="2024-11-26T00:00:00"/>
    <s v="Transp 1"/>
    <s v="-"/>
    <x v="1"/>
    <s v="Brasil"/>
    <d v="2024-11-12T00:00:00"/>
    <s v="Entregue"/>
    <x v="0"/>
    <s v="-"/>
    <x v="0"/>
    <s v="Olá Nome, _x000a_Identificamos que o Item Bomba d'agua foi entregue no dia 12/11/2024, referente ao pedido Nº Pedido 228 Rastreio Pedido 228, agradecemos a preferência e adoraríamos receber sua avaliação, tendo qualquer dúvida estamos à disposição._x000a__x000a_Att_x000a_Tem tudo Shop"/>
  </r>
  <r>
    <s v="Pedido 414"/>
    <s v="CódRastreio403"/>
    <n v="888670000411538"/>
    <s v="BV"/>
    <d v="2024-12-17T00:00:00"/>
    <s v="Transp 1"/>
    <s v="-"/>
    <x v="1"/>
    <s v="Brasil"/>
    <d v="2024-11-26T00:00:00"/>
    <s v="Entregue"/>
    <x v="0"/>
    <s v="-"/>
    <x v="0"/>
    <s v="Olá Nome, _x000a_Identificamos que o Item Mini Mixer Misturador foi entregue no dia 26/11/2024, referente ao pedido Nº Pedido 414 Rastreio Pedido 414, agradecemos a preferência e adoraríamos receber sua avaliação, tendo qualquer dúvida estamos à disposição._x000a__x000a_Att_x000a_Tem tudo Shop"/>
  </r>
  <r>
    <s v="Pedido 537"/>
    <s v="CódRastreio522"/>
    <s v="LP00699774554430"/>
    <s v="BV"/>
    <d v="2025-01-07T00:00:00"/>
    <s v="Transp 1"/>
    <s v="-"/>
    <x v="0"/>
    <s v="Brasil"/>
    <d v="2024-12-20T00:00:00"/>
    <s v="Entregue"/>
    <x v="0"/>
    <s v="-"/>
    <x v="0"/>
    <s v="Olá Nome, _x000a_Identificamos que o Item Ventilador Preto foi entregue no dia 20/12/2024, referente ao pedido Nº Pedido 537 Rastreio Pedido 537, agradecemos a preferência e adoraríamos receber sua avaliação, tendo qualquer dúvida estamos à disposição._x000a__x000a_Att_x000a_Tem tudo Shop"/>
  </r>
  <r>
    <s v="Pedido 649"/>
    <s v="CódRastreio630"/>
    <s v="LP00704427069110"/>
    <s v="BV"/>
    <d v="2025-01-21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49 Rastreio Pedido 649, agradecemos a preferência e adoraríamos receber sua avaliação, tendo qualquer dúvida estamos à disposição._x000a__x000a_Att_x000a_Tem tudo Shop"/>
  </r>
  <r>
    <s v="Pedido 274"/>
    <s v="CódRastreio267"/>
    <n v="888670000154127"/>
    <s v="BV"/>
    <d v="2024-12-04T00:00:00"/>
    <s v="Transp 1"/>
    <s v="-"/>
    <x v="1"/>
    <s v="Brasil"/>
    <d v="2024-11-14T00:00:00"/>
    <s v="Entregue"/>
    <x v="0"/>
    <s v="-"/>
    <x v="0"/>
    <s v="Olá Nome, _x000a_Identificamos que o Item Multi Processador 5 Laminas foi entregue no dia 14/11/2024, referente ao pedido Nº Pedido 274 Rastreio Pedido 274, agradecemos a preferência e adoraríamos receber sua avaliação, tendo qualquer dúvida estamos à disposição._x000a__x000a_Att_x000a_Tem tudo Shop"/>
  </r>
  <r>
    <s v="Pedido 421"/>
    <s v="CódRastreio410"/>
    <s v="LP00694086347108"/>
    <s v="BV"/>
    <d v="2024-12-27T00:00:00"/>
    <s v="Transp 1"/>
    <s v="-"/>
    <x v="0"/>
    <s v="Brasil"/>
    <d v="2024-12-20T00:00:00"/>
    <s v="Entregue"/>
    <x v="0"/>
    <s v="-"/>
    <x v="0"/>
    <s v="Olá Nome, _x000a_Identificamos que o Item Ventilador Rosa foi entregue no dia 20/12/2024, referente ao pedido Nº Pedido 421 Rastreio Pedido 421, agradecemos a preferência e adoraríamos receber sua avaliação, tendo qualquer dúvida estamos à disposição._x000a__x000a_Att_x000a_Tem tudo Shop"/>
  </r>
  <r>
    <s v="Pedido 401"/>
    <s v="CódRastreio391"/>
    <n v="888670000410268"/>
    <s v="BV"/>
    <d v="2024-12-11T00:00:00"/>
    <s v="Transp 1"/>
    <s v="-"/>
    <x v="1"/>
    <s v="Brasil"/>
    <d v="2024-11-28T00:00:00"/>
    <s v="Entregue"/>
    <x v="0"/>
    <s v="-"/>
    <x v="0"/>
    <s v="Olá Nome, _x000a_Identificamos que o Item Mini Liquidificador foi entregue no dia 28/11/2024, referente ao pedido Nº Pedido 401 Rastreio Pedido 401, agradecemos a preferência e adoraríamos receber sua avaliação, tendo qualquer dúvida estamos à disposição._x000a__x000a_Att_x000a_Tem tudo Shop"/>
  </r>
  <r>
    <s v="Pedido 47"/>
    <s v="CódRastreio38"/>
    <s v="CNBR012420141LG"/>
    <s v="BV"/>
    <d v="2024-11-06T00:00:00"/>
    <s v="Transp 1"/>
    <s v="-"/>
    <x v="1"/>
    <s v="Brasil"/>
    <d v="2024-10-28T00:00:00"/>
    <s v="Entregue"/>
    <x v="0"/>
    <s v="-"/>
    <x v="0"/>
    <s v="Olá Nome, _x000a_Identificamos que o Item Balança foi entregue no dia 28/10/2024, referente ao pedido Nº Pedido 47 Rastreio Pedido 47, agradecemos a preferência e adoraríamos receber sua avaliação, tendo qualquer dúvida estamos à disposição._x000a__x000a_Att_x000a_Tem tudo Shop"/>
  </r>
  <r>
    <s v="Pedido 172"/>
    <s v="CódRastreio165"/>
    <s v="CNBR012573540LG"/>
    <s v="BV"/>
    <d v="2024-11-08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172 Rastreio Pedido 172, agradecemos a preferência e adoraríamos receber sua avaliação, tendo qualquer dúvida estamos à disposição._x000a__x000a_Att_x000a_Tem tudo Shop"/>
  </r>
  <r>
    <s v="Pedido 252"/>
    <s v="CódRastreio245"/>
    <n v="3621049598626"/>
    <s v="BV"/>
    <d v="2024-11-27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52 Rastreio Pedido 252, agradecemos a preferência e adoraríamos receber sua avaliação, tendo qualquer dúvida estamos à disposição._x000a__x000a_Att_x000a_Tem tudo Shop"/>
  </r>
  <r>
    <s v="Pedido 614"/>
    <s v="CódRastreio597"/>
    <s v="AK723525270BR"/>
    <s v="BV"/>
    <d v="2025-01-10T00:00:00"/>
    <s v="Transp 1"/>
    <s v="-"/>
    <x v="1"/>
    <s v="Brasil"/>
    <d v="2025-01-03T00:00:00"/>
    <s v="Entregue"/>
    <x v="0"/>
    <s v="-"/>
    <x v="0"/>
    <s v="Olá Nome, _x000a_Identificamos que o Item Copo Termico foi entregue no dia 03/01/2025, referente ao pedido Nº Pedido 614 Rastreio Pedido 614, agradecemos a preferência e adoraríamos receber sua avaliação, tendo qualquer dúvida estamos à disposição._x000a__x000a_Att_x000a_Tem tudo Shop"/>
  </r>
  <r>
    <s v="Pedido 57"/>
    <s v="CódRastreio48"/>
    <s v="CNBR012414659LG"/>
    <s v="BV"/>
    <d v="2024-11-06T00:00:00"/>
    <s v="Transp 1"/>
    <s v="-"/>
    <x v="1"/>
    <s v="Brasil"/>
    <d v="2024-10-29T00:00:00"/>
    <s v="Entregue"/>
    <x v="0"/>
    <s v="-"/>
    <x v="0"/>
    <s v="Olá Nome, _x000a_Identificamos que o Item Mini Liquidificador foi entregue no dia 29/10/2024, referente ao pedido Nº Pedido 57 Rastreio Pedido 57, agradecemos a preferência e adoraríamos receber sua avaliação, tendo qualquer dúvida estamos à disposição._x000a__x000a_Att_x000a_Tem tudo Shop"/>
  </r>
  <r>
    <s v="Pedido 170"/>
    <s v="CódRastreio163"/>
    <s v="CNBR000822911RS"/>
    <s v="BV"/>
    <d v="2024-11-14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70 Rastreio Pedido 170, agradecemos a preferência e adoraríamos receber sua avaliação, tendo qualquer dúvida estamos à disposição._x000a__x000a_Att_x000a_Tem tudo Shop"/>
  </r>
  <r>
    <s v="Pedido 308"/>
    <s v="CódRastreio301"/>
    <s v="CNBR012750474LG"/>
    <s v="BV"/>
    <d v="2024-11-30T00:00:00"/>
    <s v="Transp 1"/>
    <s v="-"/>
    <x v="1"/>
    <s v="Brasil"/>
    <d v="2024-11-26T00:00:00"/>
    <s v="Entregue"/>
    <x v="0"/>
    <s v="-"/>
    <x v="0"/>
    <s v="Olá Nome, _x000a_Identificamos que o Item Suporte de Celular Branco foi entregue no dia 26/11/2024, referente ao pedido Nº Pedido 308 Rastreio Pedido 308, agradecemos a preferência e adoraríamos receber sua avaliação, tendo qualquer dúvida estamos à disposição._x000a__x000a_Att_x000a_Tem tudo Shop"/>
  </r>
  <r>
    <s v="Pedido 466"/>
    <s v="CódRastreio451"/>
    <s v="LP00696846140471"/>
    <s v="BV"/>
    <d v="2024-12-20T00:00:00"/>
    <s v="Transp 1"/>
    <s v="-"/>
    <x v="0"/>
    <s v="Brasil"/>
    <d v="2024-12-15T00:00:00"/>
    <s v="Entregue"/>
    <x v="0"/>
    <s v="-"/>
    <x v="0"/>
    <s v="Olá Nome, _x000a_Identificamos que o Item Ventilador Azul foi entregue no dia 15/12/2024, referente ao pedido Nº Pedido 466 Rastreio Pedido 466, agradecemos a preferência e adoraríamos receber sua avaliação, tendo qualquer dúvida estamos à disposição._x000a__x000a_Att_x000a_Tem tudo Shop"/>
  </r>
  <r>
    <s v="Pedido 480"/>
    <s v="CódRastreio465"/>
    <s v="LP00697474143964"/>
    <s v="BV"/>
    <d v="2024-12-21T00:00:00"/>
    <s v="Transp 1"/>
    <s v="-"/>
    <x v="0"/>
    <s v="Brasil"/>
    <d v="2024-12-16T00:00:00"/>
    <s v="Entregue"/>
    <x v="0"/>
    <s v="-"/>
    <x v="0"/>
    <s v="Olá Nome, _x000a_Identificamos que o Item Ventilador Azul foi entregue no dia 16/12/2024, referente ao pedido Nº Pedido 480 Rastreio Pedido 480, agradecemos a preferência e adoraríamos receber sua avaliação, tendo qualquer dúvida estamos à disposição._x000a__x000a_Att_x000a_Tem tudo Shop"/>
  </r>
  <r>
    <s v="Pedido 153"/>
    <s v="CódRastreio146"/>
    <s v="NM642790062BR"/>
    <s v="BV"/>
    <d v="2024-11-19T00:00:00"/>
    <s v="Transp 1"/>
    <s v="-"/>
    <x v="0"/>
    <s v="Brasil"/>
    <d v="2024-11-19T00:00:00"/>
    <s v="Entregue"/>
    <x v="0"/>
    <s v="Cliente Notificado"/>
    <x v="0"/>
    <s v="Olá Nome, _x000a_Identificamos que o Item Ventilador de teto foi entregue no dia 19/11/2024, referente ao pedido Nº Pedido 153 Rastreio Pedido 153, agradecemos a preferência e adoraríamos receber sua avaliação, tendo qualquer dúvida estamos à disposição._x000a__x000a_Att_x000a_Tem tudo Shop"/>
  </r>
  <r>
    <s v="Pedido 502"/>
    <s v="CódRastreio488"/>
    <s v="LP00698801773979"/>
    <s v="BV"/>
    <d v="2024-12-27T00:00:00"/>
    <s v="Transp 1"/>
    <s v="-"/>
    <x v="0"/>
    <s v="Brasil"/>
    <d v="2024-12-13T00:00:00"/>
    <s v="Entregue"/>
    <x v="0"/>
    <s v="-"/>
    <x v="0"/>
    <s v="Olá Nome, _x000a_Identificamos que o Item Ventilador Preto foi entregue no dia 13/12/2024, referente ao pedido Nº Pedido 502 Rastreio Pedido 502, agradecemos a preferência e adoraríamos receber sua avaliação, tendo qualquer dúvida estamos à disposição._x000a__x000a_Att_x000a_Tem tudo Shop"/>
  </r>
  <r>
    <s v="Pedido 292"/>
    <s v="CódRastreio285"/>
    <s v="NM649353628BR"/>
    <s v="BV"/>
    <d v="2024-12-04T00:00:00"/>
    <s v="Transp 1"/>
    <s v="-"/>
    <x v="0"/>
    <s v="Brasil"/>
    <d v="2024-11-22T00:00:00"/>
    <s v="Entregue"/>
    <x v="0"/>
    <s v="-"/>
    <x v="0"/>
    <s v="Olá Nome, _x000a_Identificamos que o Item Ventilador Preto foi entregue no dia 22/11/2024, referente ao pedido Nº Pedido 292 Rastreio Pedido 292, agradecemos a preferência e adoraríamos receber sua avaliação, tendo qualquer dúvida estamos à disposição._x000a__x000a_Att_x000a_Tem tudo Shop"/>
  </r>
  <r>
    <s v="Pedido 521"/>
    <s v="CódRastreio506"/>
    <s v="LP00699182918496"/>
    <s v="BV"/>
    <d v="2025-01-09T00:00:00"/>
    <s v="Transp 1"/>
    <s v="-"/>
    <x v="0"/>
    <s v="Brasil"/>
    <d v="2024-12-27T00:00:00"/>
    <s v="Entregue"/>
    <x v="0"/>
    <s v="-"/>
    <x v="0"/>
    <s v="Olá Nome, _x000a_Identificamos que o Item Ventilador Preto foi entregue no dia 27/12/2024, referente ao pedido Nº Pedido 521 Rastreio Pedido 521, agradecemos a preferência e adoraríamos receber sua avaliação, tendo qualquer dúvida estamos à disposição._x000a__x000a_Att_x000a_Tem tudo Shop"/>
  </r>
  <r>
    <s v="Pedido 484"/>
    <s v="CódRastreio469"/>
    <s v="LP00696755519921"/>
    <s v="BV"/>
    <d v="2024-12-21T00:00:00"/>
    <s v="Transp 1"/>
    <s v="-"/>
    <x v="0"/>
    <s v="Brasil"/>
    <d v="2024-12-13T00:00:00"/>
    <s v="Entregue"/>
    <x v="0"/>
    <s v="-"/>
    <x v="0"/>
    <s v="Olá Nome, _x000a_Identificamos que o Item Ventilador Rosa foi entregue no dia 13/12/2024, referente ao pedido Nº Pedido 484 Rastreio Pedido 484, agradecemos a preferência e adoraríamos receber sua avaliação, tendo qualquer dúvida estamos à disposição._x000a__x000a_Att_x000a_Tem tudo Shop"/>
  </r>
  <r>
    <s v="Pedido 323"/>
    <s v="CódRastreio316"/>
    <s v="CNBR012789943LG"/>
    <s v="BV"/>
    <d v="2024-12-03T00:00:00"/>
    <s v="Transp 1"/>
    <s v="-"/>
    <x v="1"/>
    <s v="Brasil"/>
    <d v="2024-11-15T00:00:00"/>
    <s v="Entregue"/>
    <x v="0"/>
    <s v="-"/>
    <x v="0"/>
    <s v="Olá Nome, _x000a_Identificamos que o Item Mini Liquidificador foi entregue no dia 15/11/2024, referente ao pedido Nº Pedido 323 Rastreio Pedido 323, agradecemos a preferência e adoraríamos receber sua avaliação, tendo qualquer dúvida estamos à disposição._x000a__x000a_Att_x000a_Tem tudo Shop"/>
  </r>
  <r>
    <s v="Pedido 297"/>
    <s v="CódRastreio290"/>
    <n v="888670000210752"/>
    <s v="BV"/>
    <d v="2024-11-29T00:00:00"/>
    <s v="Transp 1"/>
    <s v="-"/>
    <x v="1"/>
    <s v="Brasil"/>
    <d v="2024-11-29T00:00:00"/>
    <s v="Entregue"/>
    <x v="0"/>
    <s v="-"/>
    <x v="0"/>
    <s v="Olá Nome, _x000a_Identificamos que o Item Suporte de Celular Branco foi entregue no dia 29/11/2024, referente ao pedido Nº Pedido 297 Rastreio Pedido 297, agradecemos a preferência e adoraríamos receber sua avaliação, tendo qualquer dúvida estamos à disposição._x000a__x000a_Att_x000a_Tem tudo Shop"/>
  </r>
  <r>
    <s v="Pedido 490"/>
    <s v="CódRastreio476"/>
    <s v="CNBR013165241LG"/>
    <s v="BV"/>
    <d v="2024-12-31T00:00:00"/>
    <s v="Transp 1"/>
    <s v="-"/>
    <x v="1"/>
    <s v="Brasil"/>
    <d v="2024-12-10T00:00:00"/>
    <s v="Entregue"/>
    <x v="0"/>
    <s v="-"/>
    <x v="0"/>
    <s v="Olá Nome, _x000a_Identificamos que o Item Suporte de Celular Preto foi entregue no dia 10/12/2024, referente ao pedido Nº Pedido 490 Rastreio Pedido 490, agradecemos a preferência e adoraríamos receber sua avaliação, tendo qualquer dúvida estamos à disposição._x000a__x000a_Att_x000a_Tem tudo Shop"/>
  </r>
  <r>
    <s v="Pedido 464"/>
    <s v="CódRastreio449"/>
    <s v="LP00697388605697"/>
    <s v="BV"/>
    <d v="2024-12-19T00:00:00"/>
    <s v="Transp 1"/>
    <s v="-"/>
    <x v="0"/>
    <s v="Brasil"/>
    <d v="2024-12-06T13:55:56"/>
    <s v="Entregue"/>
    <x v="0"/>
    <s v="-"/>
    <x v="0"/>
    <s v="Olá Nome, _x000a_Identificamos que o Item Ventilador Rosa foi entregue no dia 06/12/2024, referente ao pedido Nº Pedido 464 Rastreio Pedido 464, agradecemos a preferência e adoraríamos receber sua avaliação, tendo qualquer dúvida estamos à disposição._x000a__x000a_Att_x000a_Tem tudo Shop"/>
  </r>
  <r>
    <s v="Pedido 545"/>
    <s v="CódRastreio530"/>
    <s v="LP00700115925086"/>
    <s v="BV"/>
    <d v="2025-01-14T00:00:00"/>
    <s v="Transp 1"/>
    <s v="-"/>
    <x v="0"/>
    <s v="Brasil"/>
    <d v="2025-01-02T00:00:00"/>
    <s v="Entregue"/>
    <x v="0"/>
    <s v="-"/>
    <x v="0"/>
    <s v="Olá Nome, _x000a_Identificamos que o Item Ventilador Azul foi entregue no dia 02/01/2025, referente ao pedido Nº Pedido 545 Rastreio Pedido 545, agradecemos a preferência e adoraríamos receber sua avaliação, tendo qualquer dúvida estamos à disposição._x000a__x000a_Att_x000a_Tem tudo Shop"/>
  </r>
  <r>
    <s v="Pedido 495"/>
    <s v="CódRastreio481"/>
    <s v="LP00697822280020"/>
    <s v="BV"/>
    <d v="2024-12-24T00:00:00"/>
    <s v="Transp 1"/>
    <s v="-"/>
    <x v="0"/>
    <s v="Brasil"/>
    <d v="2024-12-16T00:00:00"/>
    <s v="Entregue"/>
    <x v="0"/>
    <s v="-"/>
    <x v="0"/>
    <s v="Olá Nome, _x000a_Identificamos que o Item Ventilador Azul foi entregue no dia 16/12/2024, referente ao pedido Nº Pedido 495 Rastreio Pedido 495, agradecemos a preferência e adoraríamos receber sua avaliação, tendo qualquer dúvida estamos à disposição._x000a__x000a_Att_x000a_Tem tudo Shop"/>
  </r>
  <r>
    <s v="Pedido 486"/>
    <s v="CódRastreio471"/>
    <s v="LP00697543161713"/>
    <s v="BV"/>
    <d v="2024-12-21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86 Rastreio Pedido 486, agradecemos a preferência e adoraríamos receber sua avaliação, tendo qualquer dúvida estamos à disposição._x000a__x000a_Att_x000a_Tem tudo Shop"/>
  </r>
  <r>
    <s v="Pedido 532"/>
    <s v="CódRastreio517"/>
    <s v="LP00699710780247"/>
    <s v="BV"/>
    <d v="2025-01-07T00:00:00"/>
    <s v="Transp 1"/>
    <s v="-"/>
    <x v="0"/>
    <s v="Brasil"/>
    <d v="2024-12-20T00:00:00"/>
    <s v="Entregue"/>
    <x v="0"/>
    <s v="-"/>
    <x v="0"/>
    <s v="Olá Nome, _x000a_Identificamos que o Item Ventilador Rosa foi entregue no dia 20/12/2024, referente ao pedido Nº Pedido 532 Rastreio Pedido 532, agradecemos a preferência e adoraríamos receber sua avaliação, tendo qualquer dúvida estamos à disposição._x000a__x000a_Att_x000a_Tem tudo Shop"/>
  </r>
  <r>
    <s v="Pedido 370"/>
    <s v="CódRastreio360"/>
    <s v="NM657142740BR"/>
    <s v="BV"/>
    <d v="2024-12-12T00:00:00"/>
    <s v="Transp 1"/>
    <s v="-"/>
    <x v="0"/>
    <s v="Brasil"/>
    <d v="2024-12-03T00:00:00"/>
    <s v="Entregue"/>
    <x v="0"/>
    <s v="Cliente Notificado"/>
    <x v="0"/>
    <s v="Olá Nome, _x000a_Identificamos que o Item Ventilador Azul foi entregue no dia 03/12/2024, referente ao pedido Nº Pedido 370 Rastreio Pedido 370, agradecemos a preferência e adoraríamos receber sua avaliação, tendo qualquer dúvida estamos à disposição._x000a__x000a_Att_x000a_Tem tudo Shop"/>
  </r>
  <r>
    <s v="Pedido 422"/>
    <s v="CódRastreio411"/>
    <s v="LP00694870874157"/>
    <s v="BV"/>
    <d v="2024-12-12T00:00:00"/>
    <s v="Transp 1"/>
    <s v="-"/>
    <x v="0"/>
    <s v="Brasil"/>
    <d v="2024-12-02T00:00:00"/>
    <s v="Entregue"/>
    <x v="0"/>
    <s v="-"/>
    <x v="0"/>
    <s v="Olá Nome, _x000a_Identificamos que o Item Ventilador Preto foi entregue no dia 02/12/2024, referente ao pedido Nº Pedido 422 Rastreio Pedido 422, agradecemos a preferência e adoraríamos receber sua avaliação, tendo qualquer dúvida estamos à disposição._x000a__x000a_Att_x000a_Tem tudo Shop"/>
  </r>
  <r>
    <s v="Pedido 186"/>
    <s v="CódRastreio179"/>
    <s v="CNBR012595307LG"/>
    <s v="BV"/>
    <d v="2024-11-08T00:00:00"/>
    <s v="Transp 1"/>
    <s v="-"/>
    <x v="1"/>
    <s v="Brasil"/>
    <d v="2024-11-02T00:00:00"/>
    <s v="Entregue"/>
    <x v="0"/>
    <s v="-"/>
    <x v="0"/>
    <s v="Olá Nome, _x000a_Identificamos que o Item Bomba d'agua foi entregue no dia 02/11/2024, referente ao pedido Nº Pedido 186 Rastreio Pedido 186, agradecemos a preferência e adoraríamos receber sua avaliação, tendo qualquer dúvida estamos à disposição._x000a__x000a_Att_x000a_Tem tudo Shop"/>
  </r>
  <r>
    <s v="Pedido 118"/>
    <s v="CódRastreio111"/>
    <s v="CNBR012464828LG"/>
    <s v="BV"/>
    <d v="2024-11-14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118 Rastreio Pedido 118, agradecemos a preferência e adoraríamos receber sua avaliação, tendo qualquer dúvida estamos à disposição._x000a__x000a_Att_x000a_Tem tudo Shop"/>
  </r>
  <r>
    <s v="Pedido 412"/>
    <s v="CódRastreio401"/>
    <n v="3621049607364"/>
    <s v="BV"/>
    <d v="2024-12-11T00:00:00"/>
    <s v="Transp 1"/>
    <s v="-"/>
    <x v="1"/>
    <s v="Brasil"/>
    <d v="2024-11-28T00:00:00"/>
    <s v="Entregue"/>
    <x v="0"/>
    <s v="-"/>
    <x v="0"/>
    <s v="Olá Nome, _x000a_Identificamos que o Item Mini Liquidificador foi entregue no dia 28/11/2024, referente ao pedido Nº Pedido 412 Rastreio Pedido 412, agradecemos a preferência e adoraríamos receber sua avaliação, tendo qualquer dúvida estamos à disposição._x000a__x000a_Att_x000a_Tem tudo Shop"/>
  </r>
  <r>
    <s v="Pedido 442"/>
    <s v="CódRastreio427"/>
    <s v="AK619543583BR"/>
    <s v="BV"/>
    <d v="2024-12-17T00:00:00"/>
    <s v="Transp 1"/>
    <s v="-"/>
    <x v="1"/>
    <s v="Brasil"/>
    <d v="2024-12-05T16:17:40"/>
    <s v="Entregue"/>
    <x v="0"/>
    <s v="-"/>
    <x v="0"/>
    <s v="Olá Nome, _x000a_Identificamos que o Item Copo Termico foi entregue no dia 05/12/2024, referente ao pedido Nº Pedido 442 Rastreio Pedido 442, agradecemos a preferência e adoraríamos receber sua avaliação, tendo qualquer dúvida estamos à disposição._x000a__x000a_Att_x000a_Tem tudo Shop"/>
  </r>
  <r>
    <s v="Pedido 84"/>
    <s v="CódRastreio77"/>
    <s v="CNBR012453621LG"/>
    <s v="BV"/>
    <d v="2024-11-21T00:00:00"/>
    <s v="Transp 1"/>
    <s v="-"/>
    <x v="1"/>
    <s v="Brasil"/>
    <d v="2024-11-08T00:00:00"/>
    <s v="Entregue"/>
    <x v="0"/>
    <s v="-"/>
    <x v="0"/>
    <s v="Olá Nome, _x000a_Identificamos que o Item Mini Liquidificador foi entregue no dia 08/11/2024, referente ao pedido Nº Pedido 84 Rastreio Pedido 84, agradecemos a preferência e adoraríamos receber sua avaliação, tendo qualquer dúvida estamos à disposição._x000a__x000a_Att_x000a_Tem tudo Shop"/>
  </r>
  <r>
    <s v="Pedido 225"/>
    <s v="CódRastreio218"/>
    <s v="CNBR012693750LG"/>
    <s v="BV"/>
    <d v="2024-11-30T00:00:00"/>
    <s v="Transp 1"/>
    <s v="-"/>
    <x v="1"/>
    <s v="Brasil"/>
    <d v="2024-11-12T00:00:00"/>
    <s v="Entregue"/>
    <x v="0"/>
    <s v="-"/>
    <x v="0"/>
    <s v="Olá Nome, _x000a_Identificamos que o Item Bomba d'agua foi entregue no dia 12/11/2024, referente ao pedido Nº Pedido 225 Rastreio Pedido 225, agradecemos a preferência e adoraríamos receber sua avaliação, tendo qualquer dúvida estamos à disposição._x000a__x000a_Att_x000a_Tem tudo Shop"/>
  </r>
  <r>
    <s v="Pedido 135"/>
    <s v="CódRastreio128"/>
    <s v="CNBR012518954LG"/>
    <s v="BV"/>
    <d v="2024-11-09T00:00:00"/>
    <s v="Transp 1"/>
    <s v="-"/>
    <x v="1"/>
    <s v="Brasil"/>
    <d v="2024-10-30T00:00:00"/>
    <s v="Entregue"/>
    <x v="0"/>
    <s v="-"/>
    <x v="0"/>
    <s v="Olá Nome, _x000a_Identificamos que o Item Suporte de Celular com Regulagem foi entregue no dia 30/10/2024, referente ao pedido Nº Pedido 135 Rastreio Pedido 135, agradecemos a preferência e adoraríamos receber sua avaliação, tendo qualquer dúvida estamos à disposição._x000a__x000a_Att_x000a_Tem tudo Shop"/>
  </r>
  <r>
    <s v="Pedido 528"/>
    <s v="CódRastreio513"/>
    <s v="LP00699469034593"/>
    <s v="BV"/>
    <d v="2025-01-10T00:00:00"/>
    <s v="Transp 1"/>
    <s v="-"/>
    <x v="0"/>
    <s v="Brasil"/>
    <d v="2024-12-27T00:00:00"/>
    <s v="Entregue"/>
    <x v="0"/>
    <s v="Cliente Notificado"/>
    <x v="0"/>
    <s v="Olá Nome, _x000a_Identificamos que o Item Ventilador Preto foi entregue no dia 27/12/2024, referente ao pedido Nº Pedido 528 Rastreio Pedido 528, agradecemos a preferência e adoraríamos receber sua avaliação, tendo qualquer dúvida estamos à disposição._x000a__x000a_Att_x000a_Tem tudo Shop"/>
  </r>
  <r>
    <s v="Pedido 185"/>
    <s v="CódRastreio178"/>
    <s v="CNBR012569939LG"/>
    <s v="BV"/>
    <d v="2024-11-08T00:00:00"/>
    <s v="Transp 1"/>
    <s v="-"/>
    <x v="1"/>
    <s v="Brasil"/>
    <d v="2024-11-03T00:00:00"/>
    <s v="Entregue"/>
    <x v="0"/>
    <s v="-"/>
    <x v="0"/>
    <s v="Olá Nome, _x000a_Identificamos que o Item Bomba d'agua foi entregue no dia 03/11/2024, referente ao pedido Nº Pedido 185 Rastreio Pedido 185, agradecemos a preferência e adoraríamos receber sua avaliação, tendo qualquer dúvida estamos à disposição._x000a__x000a_Att_x000a_Tem tudo Shop"/>
  </r>
  <r>
    <s v="Pedido 562"/>
    <s v="CódRastreio547"/>
    <s v="LP00700261474741"/>
    <s v="BV"/>
    <d v="2025-01-15T00:00:00"/>
    <s v="Transp 1"/>
    <s v="-"/>
    <x v="0"/>
    <s v="Brasil"/>
    <d v="2024-12-30T00:00:00"/>
    <s v="Entregue"/>
    <x v="0"/>
    <s v="-"/>
    <x v="0"/>
    <s v="Olá Nome, _x000a_Identificamos que o Item Ventilador de teto foi entregue no dia 30/12/2024, referente ao pedido Nº Pedido 562 Rastreio Pedido 562, agradecemos a preferência e adoraríamos receber sua avaliação, tendo qualquer dúvida estamos à disposição._x000a__x000a_Att_x000a_Tem tudo Shop"/>
  </r>
  <r>
    <s v="Pedido 16"/>
    <s v="CódRastreio7"/>
    <s v="CNBR012331747LG"/>
    <s v="BV"/>
    <d v="2024-11-14T00:00:00"/>
    <s v="Transp 1"/>
    <s v="-"/>
    <x v="1"/>
    <s v="Brasil"/>
    <d v="2024-10-29T00:00:00"/>
    <s v="Entregue"/>
    <x v="0"/>
    <s v="-"/>
    <x v="0"/>
    <s v="Olá Nome, _x000a_Identificamos que o Item Bomba d'agua foi entregue no dia 29/10/2024, referente ao pedido Nº Pedido 16 Rastreio Pedido 16, agradecemos a preferência e adoraríamos receber sua avaliação, tendo qualquer dúvida estamos à disposição._x000a__x000a_Att_x000a_Tem tudo Shop"/>
  </r>
  <r>
    <s v="Pedido 115"/>
    <s v="CódRastreio108"/>
    <n v="3621049595650"/>
    <s v="BV"/>
    <d v="2024-11-14T00:00:00"/>
    <s v="Transp 1"/>
    <s v="-"/>
    <x v="1"/>
    <s v="Brasil"/>
    <d v="2024-11-12T00:00:00"/>
    <s v="Entregue"/>
    <x v="0"/>
    <s v="-"/>
    <x v="0"/>
    <s v="Olá Nome, _x000a_Identificamos que o Item Suporte de Celular Branco foi entregue no dia 12/11/2024, referente ao pedido Nº Pedido 115 Rastreio Pedido 115, agradecemos a preferência e adoraríamos receber sua avaliação, tendo qualquer dúvida estamos à disposição._x000a__x000a_Att_x000a_Tem tudo Shop"/>
  </r>
  <r>
    <s v="Pedido 20"/>
    <s v="CódRastreio11"/>
    <s v="CNBR000792548RS"/>
    <s v="BV"/>
    <d v="2024-11-09T00:00:00"/>
    <s v="Transp 1"/>
    <s v="-"/>
    <x v="1"/>
    <s v="Brasil"/>
    <d v="2024-11-04T00:00:00"/>
    <s v="Entregue"/>
    <x v="0"/>
    <s v="-"/>
    <x v="0"/>
    <s v="Olá Nome, _x000a_Identificamos que o Item Balança foi entregue no dia 04/11/2024, referente ao pedido Nº Pedido 20 Rastreio Pedido 20, agradecemos a preferência e adoraríamos receber sua avaliação, tendo qualquer dúvida estamos à disposição._x000a__x000a_Att_x000a_Tem tudo Shop"/>
  </r>
  <r>
    <s v="Pedido 449"/>
    <s v="CódRastreio435"/>
    <n v="888670000507431"/>
    <s v="BV"/>
    <d v="2024-12-12T00:00:00"/>
    <s v="Transp 1"/>
    <s v="-"/>
    <x v="1"/>
    <s v="Brasil"/>
    <d v="2024-12-04T00:00:00"/>
    <s v="Entregue"/>
    <x v="0"/>
    <s v="-"/>
    <x v="0"/>
    <s v="Olá Nome, _x000a_Identificamos que o Item Copo Termico foi entregue no dia 04/12/2024, referente ao pedido Nº Pedido 449 Rastreio Pedido 449, agradecemos a preferência e adoraríamos receber sua avaliação, tendo qualquer dúvida estamos à disposição._x000a__x000a_Att_x000a_Tem tudo Shop"/>
  </r>
  <r>
    <s v="Pedido 478"/>
    <s v="CódRastreio463"/>
    <s v="LP00696746398677"/>
    <s v="BV"/>
    <d v="2024-12-28T00:00:00"/>
    <s v="Transp 1"/>
    <s v="-"/>
    <x v="0"/>
    <s v="Brasil"/>
    <d v="2024-12-20T00:00:00"/>
    <s v="Entregue"/>
    <x v="0"/>
    <s v="-"/>
    <x v="0"/>
    <s v="Olá Nome, _x000a_Identificamos que o Item Ventilador Preto foi entregue no dia 20/12/2024, referente ao pedido Nº Pedido 478 Rastreio Pedido 478, agradecemos a preferência e adoraríamos receber sua avaliação, tendo qualquer dúvida estamos à disposição._x000a__x000a_Att_x000a_Tem tudo Shop"/>
  </r>
  <r>
    <s v="Pedido 222"/>
    <s v="CódRastreio215"/>
    <s v="CNBR000856230RS"/>
    <s v="BV"/>
    <d v="2024-11-26T00:00:00"/>
    <s v="Transp 1"/>
    <s v="-"/>
    <x v="1"/>
    <s v="Brasil"/>
    <d v="2024-11-12T00:00:00"/>
    <s v="Entregue"/>
    <x v="0"/>
    <s v="-"/>
    <x v="0"/>
    <s v="Olá Nome, _x000a_Identificamos que o Item Bomba d'agua foi entregue no dia 12/11/2024, referente ao pedido Nº Pedido 222 Rastreio Pedido 222, agradecemos a preferência e adoraríamos receber sua avaliação, tendo qualquer dúvida estamos à disposição._x000a__x000a_Att_x000a_Tem tudo Shop"/>
  </r>
  <r>
    <s v="Pedido 526"/>
    <s v="CódRastreio511"/>
    <s v="LP00698642933589"/>
    <s v="BV"/>
    <d v="2025-01-10T00:00:00"/>
    <s v="Transp 1"/>
    <s v="-"/>
    <x v="0"/>
    <s v="Brasil"/>
    <d v="2024-12-27T00:00:00"/>
    <s v="Entregue"/>
    <x v="0"/>
    <s v="-"/>
    <x v="0"/>
    <s v="Olá Nome, _x000a_Identificamos que o Item Ventilador Preto foi entregue no dia 27/12/2024, referente ao pedido Nº Pedido 526 Rastreio Pedido 526, agradecemos a preferência e adoraríamos receber sua avaliação, tendo qualquer dúvida estamos à disposição._x000a__x000a_Att_x000a_Tem tudo Shop"/>
  </r>
  <r>
    <s v="Pedido 435"/>
    <s v="CódRastreio421"/>
    <s v="AK619543288BR"/>
    <s v="BV"/>
    <d v="2024-12-10T00:00:00"/>
    <s v="Transp 1"/>
    <s v="-"/>
    <x v="1"/>
    <s v="Brasil"/>
    <d v="2024-12-02T00:00:00"/>
    <s v="Entregue"/>
    <x v="0"/>
    <s v="-"/>
    <x v="0"/>
    <s v="Olá Nome, _x000a_Identificamos que o Item Copo Termico foi entregue no dia 02/12/2024, referente ao pedido Nº Pedido 435 Rastreio Pedido 435, agradecemos a preferência e adoraríamos receber sua avaliação, tendo qualquer dúvida estamos à disposição._x000a__x000a_Att_x000a_Tem tudo Shop"/>
  </r>
  <r>
    <s v="Pedido 97"/>
    <s v="CódRastreio90"/>
    <s v="CNBR012464448LG"/>
    <s v="BV"/>
    <d v="2024-11-21T00:00:00"/>
    <s v="Transp 1"/>
    <s v="-"/>
    <x v="1"/>
    <s v="Brasil"/>
    <d v="2024-11-02T00:00:00"/>
    <s v="Entregue"/>
    <x v="0"/>
    <s v="-"/>
    <x v="0"/>
    <s v="Olá Nome, _x000a_Identificamos que o Item Suporte de Celular Branco foi entregue no dia 02/11/2024, referente ao pedido Nº Pedido 97 Rastreio Pedido 97, agradecemos a preferência e adoraríamos receber sua avaliação, tendo qualquer dúvida estamos à disposição._x000a__x000a_Att_x000a_Tem tudo Shop"/>
  </r>
  <r>
    <s v="Pedido 596"/>
    <s v="CódRastreio581"/>
    <s v="LP00702262064769"/>
    <s v="BV"/>
    <d v="2025-01-22T00:00:00"/>
    <s v="Transp 1"/>
    <s v="-"/>
    <x v="0"/>
    <s v="Brasil"/>
    <d v="2025-01-08T00:00:00"/>
    <s v="Entregue"/>
    <x v="0"/>
    <s v="-"/>
    <x v="0"/>
    <s v="Olá Nome, _x000a_Identificamos que o Item Ventilador Azul foi entregue no dia 08/01/2025, referente ao pedido Nº Pedido 596 Rastreio Pedido 596, agradecemos a preferência e adoraríamos receber sua avaliação, tendo qualquer dúvida estamos à disposição._x000a__x000a_Att_x000a_Tem tudo Shop"/>
  </r>
  <r>
    <s v="Pedido 594"/>
    <s v="CódRastreio579"/>
    <s v="CNBR013494415LG"/>
    <s v="BV"/>
    <d v="2025-01-09T00:00:00"/>
    <s v="Transp 1"/>
    <s v="-"/>
    <x v="1"/>
    <s v="Brasil"/>
    <d v="2024-12-30T00:00:00"/>
    <s v="Entregue"/>
    <x v="0"/>
    <s v="-"/>
    <x v="0"/>
    <s v="Olá Nome, _x000a_Identificamos que o Item Adaptador Bluetooph foi entregue no dia 30/12/2024, referente ao pedido Nº Pedido 594 Rastreio Pedido 594, agradecemos a preferência e adoraríamos receber sua avaliação, tendo qualquer dúvida estamos à disposição._x000a__x000a_Att_x000a_Tem tudo Shop"/>
  </r>
  <r>
    <s v="Pedido 465"/>
    <s v="CódRastreio450"/>
    <s v="LP00697591212374"/>
    <s v="BV"/>
    <d v="2024-12-20T00:00:00"/>
    <s v="Transp 1"/>
    <s v="-"/>
    <x v="0"/>
    <s v="Brasil"/>
    <d v="2024-12-10T00:00:00"/>
    <s v="Entregue"/>
    <x v="0"/>
    <s v="-"/>
    <x v="0"/>
    <s v="Olá Nome, _x000a_Identificamos que o Item Ventilador Preto foi entregue no dia 10/12/2024, referente ao pedido Nº Pedido 465 Rastreio Pedido 465, agradecemos a preferência e adoraríamos receber sua avaliação, tendo qualquer dúvida estamos à disposição._x000a__x000a_Att_x000a_Tem tudo Shop"/>
  </r>
  <r>
    <s v="Pedido 491"/>
    <s v="CódRastreio477"/>
    <s v="LP00698576628026"/>
    <s v="BV"/>
    <d v="2024-12-21T00:00:00"/>
    <s v="Transp 1"/>
    <s v="-"/>
    <x v="0"/>
    <s v="Brasil"/>
    <d v="2024-12-13T00:00:00"/>
    <s v="Entregue"/>
    <x v="0"/>
    <s v="-"/>
    <x v="0"/>
    <s v="Olá Nome, _x000a_Identificamos que o Item Ventilador Preto foi entregue no dia 13/12/2024, referente ao pedido Nº Pedido 491 Rastreio Pedido 491, agradecemos a preferência e adoraríamos receber sua avaliação, tendo qualquer dúvida estamos à disposição._x000a__x000a_Att_x000a_Tem tudo Shop"/>
  </r>
  <r>
    <s v="Pedido 473"/>
    <s v="CódRastreio458"/>
    <s v="CNBR013167260LG"/>
    <s v="BV"/>
    <d v="2024-12-14T00:00:00"/>
    <s v="Transp 1"/>
    <s v="-"/>
    <x v="1"/>
    <s v="Brasil"/>
    <d v="2024-12-07T17:51:55"/>
    <s v="Entregue"/>
    <x v="0"/>
    <s v="-"/>
    <x v="0"/>
    <s v="Olá Nome, _x000a_Identificamos que o Item Adaptador Bluetooph foi entregue no dia 07/12/2024, referente ao pedido Nº Pedido 473 Rastreio Pedido 473, agradecemos a preferência e adoraríamos receber sua avaliação, tendo qualquer dúvida estamos à disposição._x000a__x000a_Att_x000a_Tem tudo Shop"/>
  </r>
  <r>
    <s v="Pedido 155"/>
    <s v="CódRastreio148"/>
    <s v="CNBR012543741LG"/>
    <s v="BV"/>
    <d v="2024-11-23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155 Rastreio Pedido 155, agradecemos a preferência e adoraríamos receber sua avaliação, tendo qualquer dúvida estamos à disposição._x000a__x000a_Att_x000a_Tem tudo Shop"/>
  </r>
  <r>
    <s v="Pedido 655"/>
    <s v="CódRastreio635"/>
    <s v="LP00704426199521"/>
    <s v="BV"/>
    <d v="2025-01-25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55 Rastreio Pedido 655, agradecemos a preferência e adoraríamos receber sua avaliação, tendo qualquer dúvida estamos à disposição._x000a__x000a_Att_x000a_Tem tudo Shop"/>
  </r>
  <r>
    <s v="Pedido 283"/>
    <s v="CódRastreio276"/>
    <s v="CNBR00049440HB"/>
    <s v="BV"/>
    <d v="2024-11-22T00:00:00"/>
    <s v="Transp 1"/>
    <s v="-"/>
    <x v="1"/>
    <s v="Brasil"/>
    <d v="2024-11-11T00:00:00"/>
    <s v="Entregue"/>
    <x v="0"/>
    <s v="-"/>
    <x v="0"/>
    <s v="Olá Nome, _x000a_Identificamos que o Item Adaptador Bluetooph foi entregue no dia 11/11/2024, referente ao pedido Nº Pedido 283 Rastreio Pedido 283, agradecemos a preferência e adoraríamos receber sua avaliação, tendo qualquer dúvida estamos à disposição._x000a__x000a_Att_x000a_Tem tudo Shop"/>
  </r>
  <r>
    <s v="Pedido 294"/>
    <s v="CódRastreio287"/>
    <n v="3621049600542"/>
    <s v="BV"/>
    <d v="2024-11-29T00:00:00"/>
    <s v="Transp 1"/>
    <s v="-"/>
    <x v="1"/>
    <s v="Brasil"/>
    <d v="2024-12-11T00:00:00"/>
    <s v="Entregue"/>
    <x v="0"/>
    <s v="Perdi Acesso ao Perfil"/>
    <x v="1"/>
    <s v="Olá Nome, _x000a_Identificamos que o Item Mini Liquidificador foi entregue no dia 11/12/2024, referente ao pedido Nº Pedido 294 Rastreio Pedido 294, agradecemos a preferência e adoraríamos receber sua avaliação, tendo qualquer dúvida estamos à disposição._x000a__x000a_Att_x000a_Tem tudo Shop"/>
  </r>
  <r>
    <s v="Pedido 120"/>
    <s v="CódRastreio113"/>
    <s v="CNBR00045933HB"/>
    <s v="BV"/>
    <d v="2024-11-08T00:00:00"/>
    <s v="Transp 1"/>
    <s v="-"/>
    <x v="1"/>
    <s v="Brasil"/>
    <d v="2024-10-29T00:00:00"/>
    <s v="Entregue"/>
    <x v="0"/>
    <s v="-"/>
    <x v="0"/>
    <s v="Olá Nome, _x000a_Identificamos que o Item Mini Liquidificador foi entregue no dia 29/10/2024, referente ao pedido Nº Pedido 120 Rastreio Pedido 120, agradecemos a preferência e adoraríamos receber sua avaliação, tendo qualquer dúvida estamos à disposição._x000a__x000a_Att_x000a_Tem tudo Shop"/>
  </r>
  <r>
    <s v="Pedido 119"/>
    <s v="CódRastreio112"/>
    <s v="CNBR012470647LG"/>
    <s v="BV"/>
    <d v="2024-11-08T00:00:00"/>
    <s v="Transp 1"/>
    <s v="-"/>
    <x v="1"/>
    <s v="Brasil"/>
    <d v="2024-10-30T00:00:00"/>
    <s v="Entregue"/>
    <x v="0"/>
    <s v="-"/>
    <x v="0"/>
    <s v="Olá Nome, _x000a_Identificamos que o Item Multi Processador 5 Laminas foi entregue no dia 30/10/2024, referente ao pedido Nº Pedido 119 Rastreio Pedido 119, agradecemos a preferência e adoraríamos receber sua avaliação, tendo qualquer dúvida estamos à disposição._x000a__x000a_Att_x000a_Tem tudo Shop"/>
  </r>
  <r>
    <s v="Pedido 239"/>
    <s v="CódRastreio232"/>
    <s v="NM646435711BR"/>
    <s v="BV"/>
    <d v="2024-11-30T00:00:00"/>
    <s v="Transp 1"/>
    <s v="-"/>
    <x v="0"/>
    <s v="Brasil"/>
    <d v="2024-11-21T00:00:00"/>
    <s v="Entregue"/>
    <x v="0"/>
    <s v="-"/>
    <x v="0"/>
    <s v="Olá Nome, _x000a_Identificamos que o Item Suporte de Celular Branco foi entregue no dia 21/11/2024, referente ao pedido Nº Pedido 239 Rastreio Pedido 239, agradecemos a preferência e adoraríamos receber sua avaliação, tendo qualquer dúvida estamos à disposição._x000a__x000a_Att_x000a_Tem tudo Shop"/>
  </r>
  <r>
    <s v="Pedido 23"/>
    <s v="CódRastreio14"/>
    <s v="CNBR000792707RS"/>
    <s v="BV"/>
    <d v="2024-11-12T00:00:00"/>
    <s v="Transp 1"/>
    <s v="-"/>
    <x v="1"/>
    <s v="Brasil"/>
    <d v="2024-10-29T00:00:00"/>
    <s v="Entregue"/>
    <x v="0"/>
    <s v="-"/>
    <x v="0"/>
    <s v="Olá Nome, _x000a_Identificamos que o Item Bomba d'agua foi entregue no dia 29/10/2024, referente ao pedido Nº Pedido 23 Rastreio Pedido 23, agradecemos a preferência e adoraríamos receber sua avaliação, tendo qualquer dúvida estamos à disposição._x000a__x000a_Att_x000a_Tem tudo Shop"/>
  </r>
  <r>
    <s v="Pedido 48"/>
    <s v="CódRastreio39"/>
    <s v="CNBR000793265RS"/>
    <s v="BV"/>
    <d v="2024-11-12T00:00:00"/>
    <s v="Transp 1"/>
    <s v="-"/>
    <x v="1"/>
    <s v="Brasil"/>
    <d v="2024-10-30T00:00:00"/>
    <s v="Entregue"/>
    <x v="0"/>
    <s v="-"/>
    <x v="0"/>
    <s v="Olá Nome, _x000a_Identificamos que o Item Balança foi entregue no dia 30/10/2024, referente ao pedido Nº Pedido 48 Rastreio Pedido 48, agradecemos a preferência e adoraríamos receber sua avaliação, tendo qualquer dúvida estamos à disposição._x000a__x000a_Att_x000a_Tem tudo Shop"/>
  </r>
  <r>
    <s v="Pedido 218"/>
    <s v="CódRastreio211"/>
    <n v="3621049598157"/>
    <s v="BV"/>
    <d v="2024-11-26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218 Rastreio Pedido 218, agradecemos a preferência e adoraríamos receber sua avaliação, tendo qualquer dúvida estamos à disposição._x000a__x000a_Att_x000a_Tem tudo Shop"/>
  </r>
  <r>
    <s v="Pedido 329"/>
    <s v="CódRastreio322"/>
    <s v="NM651684795BR"/>
    <s v="BV"/>
    <d v="2024-12-03T00:00:00"/>
    <s v="Transp 1"/>
    <s v="-"/>
    <x v="0"/>
    <s v="Brasil"/>
    <d v="2024-11-22T00:00:00"/>
    <s v="Entregue"/>
    <x v="0"/>
    <s v="-"/>
    <x v="0"/>
    <s v="Olá Nome, _x000a_Identificamos que o Item Ventilador de teto foi entregue no dia 22/11/2024, referente ao pedido Nº Pedido 329 Rastreio Pedido 329, agradecemos a preferência e adoraríamos receber sua avaliação, tendo qualquer dúvida estamos à disposição._x000a__x000a_Att_x000a_Tem tudo Shop"/>
  </r>
  <r>
    <s v="Pedido 56"/>
    <s v="CódRastreio47"/>
    <s v="CNBR000784475RS"/>
    <s v="BV"/>
    <d v="2024-11-06T00:00:00"/>
    <s v="Transp 1"/>
    <s v="-"/>
    <x v="1"/>
    <s v="Brasil"/>
    <d v="2024-11-06T00:00:00"/>
    <s v="Entregue"/>
    <x v="0"/>
    <s v="Cliente Notificado"/>
    <x v="0"/>
    <s v="Olá Nome, _x000a_Identificamos que o Item Mini Liquidificador foi entregue no dia 06/11/2024, referente ao pedido Nº Pedido 56 Rastreio Pedido 56, agradecemos a preferência e adoraríamos receber sua avaliação, tendo qualquer dúvida estamos à disposição._x000a__x000a_Att_x000a_Tem tudo Shop"/>
  </r>
  <r>
    <s v="Pedido 265"/>
    <s v="CódRastreio258"/>
    <s v="CNBR00050320HB"/>
    <s v="BV"/>
    <d v="2024-11-20T00:00:00"/>
    <s v="Transp 1"/>
    <s v="-"/>
    <x v="1"/>
    <s v="Brasil"/>
    <d v="2024-11-11T00:00:00"/>
    <s v="Entregue"/>
    <x v="0"/>
    <s v="-"/>
    <x v="0"/>
    <s v="Olá Nome, _x000a_Identificamos que o Item Mini Liquidificador foi entregue no dia 11/11/2024, referente ao pedido Nº Pedido 265 Rastreio Pedido 265, agradecemos a preferência e adoraríamos receber sua avaliação, tendo qualquer dúvida estamos à disposição._x000a__x000a_Att_x000a_Tem tudo Shop"/>
  </r>
  <r>
    <s v="Pedido 157"/>
    <s v="CódRastreio150"/>
    <s v="NM642866407BR"/>
    <s v="BV"/>
    <d v="2024-11-30T00:00:00"/>
    <s v="Transp 1"/>
    <s v="-"/>
    <x v="0"/>
    <s v="Brasil"/>
    <d v="2024-12-03T00:00:00"/>
    <s v="Entregue"/>
    <x v="0"/>
    <s v="-"/>
    <x v="1"/>
    <s v="Olá Nome, _x000a_Identificamos que o Item Ventilador Rosa foi entregue no dia 03/12/2024, referente ao pedido Nº Pedido 157 Rastreio Pedido 157, agradecemos a preferência e adoraríamos receber sua avaliação, tendo qualquer dúvida estamos à disposição._x000a__x000a_Att_x000a_Tem tudo Shop"/>
  </r>
  <r>
    <s v="Pedido 217"/>
    <s v="CódRastreio210"/>
    <s v="NM645485889BR"/>
    <s v="BV"/>
    <d v="2024-11-30T00:00:00"/>
    <s v="Transp 1"/>
    <s v="-"/>
    <x v="0"/>
    <s v="Brasil"/>
    <d v="2024-11-12T00:00:00"/>
    <s v="Entregue"/>
    <x v="0"/>
    <s v="-"/>
    <x v="0"/>
    <s v="Olá Nome, _x000a_Identificamos que o Item Ventilador Preto foi entregue no dia 12/11/2024, referente ao pedido Nº Pedido 217 Rastreio Pedido 217, agradecemos a preferência e adoraríamos receber sua avaliação, tendo qualquer dúvida estamos à disposição._x000a__x000a_Att_x000a_Tem tudo Shop"/>
  </r>
  <r>
    <s v="Pedido 434"/>
    <s v="CódRastreio420"/>
    <s v="LP00694971557949"/>
    <s v="BV"/>
    <d v="2024-12-20T00:00:00"/>
    <s v="Transp 1"/>
    <s v="-"/>
    <x v="0"/>
    <s v="Brasil"/>
    <d v="2024-12-17T00:00:00"/>
    <s v="Entregue"/>
    <x v="0"/>
    <s v="-"/>
    <x v="0"/>
    <s v="Olá Nome, _x000a_Identificamos que o Item Ventilador Preto foi entregue no dia 17/12/2024, referente ao pedido Nº Pedido 434 Rastreio Pedido 434, agradecemos a preferência e adoraríamos receber sua avaliação, tendo qualquer dúvida estamos à disposição._x000a__x000a_Att_x000a_Tem tudo Shop"/>
  </r>
  <r>
    <s v="Pedido 542"/>
    <s v="CódRastreio527"/>
    <s v="CNBR013424445LG"/>
    <s v="BV"/>
    <d v="2025-01-08T00:00:00"/>
    <s v="Transp 1"/>
    <s v="-"/>
    <x v="1"/>
    <s v="Brasil"/>
    <d v="2024-12-26T00:00:00"/>
    <s v="Entregue"/>
    <x v="0"/>
    <s v="-"/>
    <x v="0"/>
    <s v="Olá Nome, _x000a_Identificamos que o Item Suporte de Celular Branco foi entregue no dia 26/12/2024, referente ao pedido Nº Pedido 542 Rastreio Pedido 542, agradecemos a preferência e adoraríamos receber sua avaliação, tendo qualquer dúvida estamos à disposição._x000a__x000a_Att_x000a_Tem tudo Shop"/>
  </r>
  <r>
    <s v="Pedido 148"/>
    <s v="CódRastreio141"/>
    <s v="CNBR00047573HB"/>
    <s v="BV"/>
    <d v="2024-11-12T00:00:00"/>
    <s v="Transp 1"/>
    <s v="-"/>
    <x v="1"/>
    <s v="Brasil"/>
    <d v="2024-10-31T00:00:00"/>
    <s v="Entregue"/>
    <x v="0"/>
    <s v="-"/>
    <x v="0"/>
    <s v="Olá Nome, _x000a_Identificamos que o Item Balança foi entregue no dia 31/10/2024, referente ao pedido Nº Pedido 148 Rastreio Pedido 148, agradecemos a preferência e adoraríamos receber sua avaliação, tendo qualquer dúvida estamos à disposição._x000a__x000a_Att_x000a_Tem tudo Shop"/>
  </r>
  <r>
    <s v="Pedido 544"/>
    <s v="CódRastreio529"/>
    <s v="LP00700113368815"/>
    <s v="BV"/>
    <d v="2025-01-08T00:00:00"/>
    <s v="Transp 1"/>
    <s v="-"/>
    <x v="0"/>
    <s v="Brasil"/>
    <d v="2024-12-30T00:00:00"/>
    <s v="Entregue"/>
    <x v="0"/>
    <s v="-"/>
    <x v="0"/>
    <s v="Olá Nome, _x000a_Identificamos que o Item Ventilador Rosa foi entregue no dia 30/12/2024, referente ao pedido Nº Pedido 544 Rastreio Pedido 544, agradecemos a preferência e adoraríamos receber sua avaliação, tendo qualquer dúvida estamos à disposição._x000a__x000a_Att_x000a_Tem tudo Shop"/>
  </r>
  <r>
    <s v="Pedido 182"/>
    <s v="CódRastreio175"/>
    <s v="CNBR012581594LG"/>
    <s v="BV"/>
    <d v="2024-11-14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182 Rastreio Pedido 182, agradecemos a preferência e adoraríamos receber sua avaliação, tendo qualquer dúvida estamos à disposição._x000a__x000a_Att_x000a_Tem tudo Shop"/>
  </r>
  <r>
    <s v="Pedido 388"/>
    <s v="CódRastreio378"/>
    <n v="888670000393228"/>
    <s v="BV"/>
    <d v="2024-12-06T00:00:00"/>
    <s v="Transp 1"/>
    <s v="-"/>
    <x v="1"/>
    <s v="Brasil"/>
    <d v="2024-11-25T00:00:00"/>
    <s v="Entregue"/>
    <x v="0"/>
    <s v="-"/>
    <x v="0"/>
    <s v="Olá Nome, _x000a_Identificamos que o Item Mini Liquidificador foi entregue no dia 25/11/2024, referente ao pedido Nº Pedido 388 Rastreio Pedido 388, agradecemos a preferência e adoraríamos receber sua avaliação, tendo qualquer dúvida estamos à disposição._x000a__x000a_Att_x000a_Tem tudo Shop"/>
  </r>
  <r>
    <s v="Pedido 273"/>
    <s v="CódRastreio266"/>
    <s v="CNBR012737098LG"/>
    <s v="BV"/>
    <d v="2024-12-04T00:00:00"/>
    <s v="Transp 1"/>
    <s v="-"/>
    <x v="1"/>
    <s v="Brasil"/>
    <d v="2024-11-13T00:00:00"/>
    <s v="Entregue"/>
    <x v="0"/>
    <s v="-"/>
    <x v="0"/>
    <s v="Olá Nome, _x000a_Identificamos que o Item Bomba d'agua foi entregue no dia 13/11/2024, referente ao pedido Nº Pedido 273 Rastreio Pedido 273, agradecemos a preferência e adoraríamos receber sua avaliação, tendo qualquer dúvida estamos à disposição._x000a__x000a_Att_x000a_Tem tudo Shop"/>
  </r>
  <r>
    <s v="Pedido 280"/>
    <s v="CódRastreio273"/>
    <s v="CNBR000887617RS"/>
    <s v="BV"/>
    <d v="2024-12-04T00:00:00"/>
    <s v="Transp 1"/>
    <s v="-"/>
    <x v="1"/>
    <s v="Brasil"/>
    <d v="2024-11-19T00:00:00"/>
    <s v="Entregue"/>
    <x v="0"/>
    <s v="-"/>
    <x v="0"/>
    <s v="Olá Nome, _x000a_Identificamos que o Item Suporte de Celular Branco foi entregue no dia 19/11/2024, referente ao pedido Nº Pedido 280 Rastreio Pedido 280, agradecemos a preferência e adoraríamos receber sua avaliação, tendo qualquer dúvida estamos à disposição._x000a__x000a_Att_x000a_Tem tudo Shop"/>
  </r>
  <r>
    <s v="Pedido 139"/>
    <s v="CódRastreio132"/>
    <s v="CNBR012502852LG"/>
    <s v="BV"/>
    <d v="2024-11-13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139 Rastreio Pedido 139, agradecemos a preferência e adoraríamos receber sua avaliação, tendo qualquer dúvida estamos à disposição._x000a__x000a_Att_x000a_Tem tudo Shop"/>
  </r>
  <r>
    <s v="Pedido 189"/>
    <s v="CódRastreio182"/>
    <s v="CNBR00048958HB"/>
    <s v="BV"/>
    <d v="2024-11-09T00:00:00"/>
    <s v="Transp 1"/>
    <s v="-"/>
    <x v="1"/>
    <s v="Brasil"/>
    <d v="2024-11-04T00:00:00"/>
    <s v="Entregue"/>
    <x v="0"/>
    <s v="-"/>
    <x v="0"/>
    <s v="Olá Nome, _x000a_Identificamos que o Item Suporte de Celular Preto foi entregue no dia 04/11/2024, referente ao pedido Nº Pedido 189 Rastreio Pedido 189, agradecemos a preferência e adoraríamos receber sua avaliação, tendo qualquer dúvida estamos à disposição._x000a__x000a_Att_x000a_Tem tudo Shop"/>
  </r>
  <r>
    <s v="Pedido 49"/>
    <s v="CódRastreio40"/>
    <s v="CNBR012400544LG"/>
    <s v="BV"/>
    <d v="2024-11-19T00:00:00"/>
    <s v="Transp 1"/>
    <s v="-"/>
    <x v="1"/>
    <s v="Brasil"/>
    <d v="2024-10-31T00:00:00"/>
    <s v="Entregue"/>
    <x v="0"/>
    <s v="-"/>
    <x v="0"/>
    <s v="Olá Nome, _x000a_Identificamos que o Item Balança foi entregue no dia 31/10/2024, referente ao pedido Nº Pedido 49 Rastreio Pedido 49, agradecemos a preferência e adoraríamos receber sua avaliação, tendo qualquer dúvida estamos à disposição._x000a__x000a_Att_x000a_Tem tudo Shop"/>
  </r>
  <r>
    <s v="Pedido 34"/>
    <s v="CódRastreio25"/>
    <s v="CNBR000777996RS"/>
    <s v="BV"/>
    <d v="2024-11-09T00:00:00"/>
    <s v="Transp 1"/>
    <s v="-"/>
    <x v="1"/>
    <s v="Brasil"/>
    <d v="2024-10-28T00:00:00"/>
    <s v="Entregue"/>
    <x v="0"/>
    <s v="-"/>
    <x v="0"/>
    <s v="Olá Nome, _x000a_Identificamos que o Item Bomba d'agua foi entregue no dia 28/10/2024, referente ao pedido Nº Pedido 34 Rastreio Pedido 34, agradecemos a preferência e adoraríamos receber sua avaliação, tendo qualquer dúvida estamos à disposição._x000a__x000a_Att_x000a_Tem tudo Shop"/>
  </r>
  <r>
    <s v="Pedido 563"/>
    <s v="CódRastreio548"/>
    <s v="CNBR013452049LG"/>
    <s v="BV"/>
    <d v="2025-01-09T00:00:00"/>
    <s v="Transp 1"/>
    <s v="-"/>
    <x v="1"/>
    <s v="Brasil"/>
    <d v="2024-12-21T00:00:00"/>
    <s v="Entregue"/>
    <x v="0"/>
    <s v="-"/>
    <x v="0"/>
    <s v="Olá Nome, _x000a_Identificamos que o Item Suporte de Celular Branco foi entregue no dia 21/12/2024, referente ao pedido Nº Pedido 563 Rastreio Pedido 563, agradecemos a preferência e adoraríamos receber sua avaliação, tendo qualquer dúvida estamos à disposição._x000a__x000a_Att_x000a_Tem tudo Shop"/>
  </r>
  <r>
    <s v="Pedido 73"/>
    <s v="CódRastreio64"/>
    <s v="CNBR012445126LG"/>
    <s v="BV"/>
    <d v="2024-11-20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73 Rastreio Pedido 73, agradecemos a preferência e adoraríamos receber sua avaliação, tendo qualquer dúvida estamos à disposição._x000a__x000a_Att_x000a_Tem tudo Shop"/>
  </r>
  <r>
    <s v="Pedido 369"/>
    <s v="CódRastreio359"/>
    <s v="CNBR012864689LG"/>
    <s v="BV"/>
    <d v="2024-12-12T00:00:00"/>
    <s v="Transp 1"/>
    <s v="-"/>
    <x v="1"/>
    <s v="Brasil"/>
    <d v="2024-11-27T00:00:00"/>
    <s v="Entregue"/>
    <x v="0"/>
    <s v="-"/>
    <x v="0"/>
    <s v="Olá Nome, _x000a_Identificamos que o Item Mini Liquidificador foi entregue no dia 27/11/2024, referente ao pedido Nº Pedido 369 Rastreio Pedido 369, agradecemos a preferência e adoraríamos receber sua avaliação, tendo qualquer dúvida estamos à disposição._x000a__x000a_Att_x000a_Tem tudo Shop"/>
  </r>
  <r>
    <s v="Pedido 163"/>
    <s v="CódRastreio156"/>
    <s v="CNBR00047200HB"/>
    <s v="BV"/>
    <d v="2024-11-12T00:00:00"/>
    <s v="Transp 1"/>
    <s v="-"/>
    <x v="1"/>
    <s v="Brasil"/>
    <d v="2024-11-04T00:00:00"/>
    <s v="Entregue"/>
    <x v="0"/>
    <s v="-"/>
    <x v="0"/>
    <s v="Olá Nome, _x000a_Identificamos que o Item Balança foi entregue no dia 04/11/2024, referente ao pedido Nº Pedido 163 Rastreio Pedido 163, agradecemos a preferência e adoraríamos receber sua avaliação, tendo qualquer dúvida estamos à disposição._x000a__x000a_Att_x000a_Tem tudo Shop"/>
  </r>
  <r>
    <s v="Pedido 631"/>
    <s v="CódRastreio613"/>
    <s v="AK723531615BR"/>
    <s v="BV"/>
    <d v="2025-01-18T00:00:00"/>
    <s v="Transp 1"/>
    <s v="-"/>
    <x v="1"/>
    <s v="Brasil"/>
    <d v="2025-01-08T00:00:00"/>
    <s v="Entregue"/>
    <x v="0"/>
    <s v="-"/>
    <x v="0"/>
    <s v="Olá Nome, _x000a_Identificamos que o Item Copo Termico foi entregue no dia 08/01/2025, referente ao pedido Nº Pedido 631 Rastreio Pedido 631, agradecemos a preferência e adoraríamos receber sua avaliação, tendo qualquer dúvida estamos à disposição._x000a__x000a_Att_x000a_Tem tudo Shop"/>
  </r>
  <r>
    <s v="Pedido 342"/>
    <s v="CódRastreio335"/>
    <s v="NM654231281BR"/>
    <s v="BV"/>
    <d v="2024-12-10T00:00:00"/>
    <s v="Transp 1"/>
    <s v="-"/>
    <x v="0"/>
    <s v="Brasil"/>
    <d v="2024-11-22T00:00:00"/>
    <s v="Entregue"/>
    <x v="0"/>
    <s v="-"/>
    <x v="0"/>
    <s v="Olá Nome, _x000a_Identificamos que o Item Ventilador Umidificador foi entregue no dia 22/11/2024, referente ao pedido Nº Pedido 342 Rastreio Pedido 342, agradecemos a preferência e adoraríamos receber sua avaliação, tendo qualquer dúvida estamos à disposição._x000a__x000a_Att_x000a_Tem tudo Shop"/>
  </r>
  <r>
    <s v="Pedido 107"/>
    <s v="CódRastreio100"/>
    <s v="CNBR000798497RS"/>
    <s v="BV"/>
    <d v="2024-11-14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07 Rastreio Pedido 107, agradecemos a preferência e adoraríamos receber sua avaliação, tendo qualquer dúvida estamos à disposição._x000a__x000a_Att_x000a_Tem tudo Shop"/>
  </r>
  <r>
    <s v="Pedido 339"/>
    <s v="CódRastreio332"/>
    <s v="NM654342375BR"/>
    <s v="BV"/>
    <d v="2024-12-10T00:00:00"/>
    <s v="Transp 1"/>
    <s v="-"/>
    <x v="0"/>
    <s v="Brasil"/>
    <d v="2024-11-21T00:00:00"/>
    <s v="Entregue"/>
    <x v="0"/>
    <s v="-"/>
    <x v="0"/>
    <s v="Olá Nome, _x000a_Identificamos que o Item Ventilador de teto foi entregue no dia 21/11/2024, referente ao pedido Nº Pedido 339 Rastreio Pedido 339, agradecemos a preferência e adoraríamos receber sua avaliação, tendo qualquer dúvida estamos à disposição._x000a__x000a_Att_x000a_Tem tudo Shop"/>
  </r>
  <r>
    <s v="Pedido 498"/>
    <s v="CódRastreio484"/>
    <s v="LP00698582082583"/>
    <s v="BV"/>
    <d v="2025-01-10T00:00:00"/>
    <s v="Transp 1"/>
    <s v="-"/>
    <x v="0"/>
    <s v="Brasil"/>
    <d v="2024-12-26T00:00:00"/>
    <s v="Entregue"/>
    <x v="0"/>
    <s v="-"/>
    <x v="0"/>
    <s v="Olá Nome, _x000a_Identificamos que o Item Ventilador Preto foi entregue no dia 26/12/2024, referente ao pedido Nº Pedido 498 Rastreio Pedido 498, agradecemos a preferência e adoraríamos receber sua avaliação, tendo qualquer dúvida estamos à disposição._x000a__x000a_Att_x000a_Tem tudo Shop"/>
  </r>
  <r>
    <s v="Pedido 319"/>
    <s v="CódRastreio312"/>
    <n v="888670000203958"/>
    <s v="BV"/>
    <d v="2024-11-27T00:00:00"/>
    <s v="Transp 1"/>
    <s v="-"/>
    <x v="1"/>
    <s v="Brasil"/>
    <d v="2024-11-25T00:00:00"/>
    <s v="Entregue"/>
    <x v="0"/>
    <s v="-"/>
    <x v="0"/>
    <s v="Olá Nome, _x000a_Identificamos que o Item Suporte de Celular Branco foi entregue no dia 25/11/2024, referente ao pedido Nº Pedido 319 Rastreio Pedido 319, agradecemos a preferência e adoraríamos receber sua avaliação, tendo qualquer dúvida estamos à disposição._x000a__x000a_Att_x000a_Tem tudo Shop"/>
  </r>
  <r>
    <s v="Pedido 299"/>
    <s v="CódRastreio292"/>
    <s v="CNBR012783089LG"/>
    <s v="BV"/>
    <d v="2024-12-05T00:00:00"/>
    <s v="Transp 1"/>
    <s v="-"/>
    <x v="1"/>
    <s v="Brasil"/>
    <d v="2024-11-27T00:00:00"/>
    <s v="Entregue"/>
    <x v="0"/>
    <s v="-"/>
    <x v="0"/>
    <s v="Olá Nome, _x000a_Identificamos que o Item Bomba d'agua foi entregue no dia 27/11/2024, referente ao pedido Nº Pedido 299 Rastreio Pedido 299, agradecemos a preferência e adoraríamos receber sua avaliação, tendo qualquer dúvida estamos à disposição._x000a__x000a_Att_x000a_Tem tudo Shop"/>
  </r>
  <r>
    <s v="Pedido 298"/>
    <s v="CódRastreio291"/>
    <s v="CNBR012749768LG"/>
    <s v="BV"/>
    <d v="2024-12-05T00:00:00"/>
    <s v="Transp 1"/>
    <s v="-"/>
    <x v="1"/>
    <s v="Brasil"/>
    <d v="2024-11-27T00:00:00"/>
    <s v="Entregue"/>
    <x v="0"/>
    <s v="-"/>
    <x v="0"/>
    <s v="Olá Nome, _x000a_Identificamos que o Item Bomba d'agua foi entregue no dia 27/11/2024, referente ao pedido Nº Pedido 298 Rastreio Pedido 298, agradecemos a preferência e adoraríamos receber sua avaliação, tendo qualquer dúvida estamos à disposição._x000a__x000a_Att_x000a_Tem tudo Shop"/>
  </r>
  <r>
    <s v="Pedido 54"/>
    <s v="CódRastreio45"/>
    <s v="CNBR000984622RS"/>
    <s v="BV"/>
    <d v="2024-12-01T00:00:00"/>
    <s v="Transp 1"/>
    <s v="-"/>
    <x v="1"/>
    <s v="Brasil"/>
    <d v="2024-12-06T19:56:37"/>
    <s v="Entregue"/>
    <x v="0"/>
    <s v="-"/>
    <x v="1"/>
    <s v="Olá Nome, _x000a_Identificamos que o Item Mini Liquidificador foi entregue no dia 06/12/2024, referente ao pedido Nº Pedido 54 Rastreio Pedido 54, agradecemos a preferência e adoraríamos receber sua avaliação, tendo qualquer dúvida estamos à disposição._x000a__x000a_Att_x000a_Tem tudo Shop"/>
  </r>
  <r>
    <s v="Pedido 512"/>
    <s v="CódRastreio497"/>
    <s v="CNBR013276199LG"/>
    <s v="BV"/>
    <d v="2024-12-31T00:00:00"/>
    <s v="Transp 1"/>
    <s v="-"/>
    <x v="1"/>
    <s v="Brasil"/>
    <d v="2024-12-13T00:00:00"/>
    <s v="Entregue"/>
    <x v="0"/>
    <s v="-"/>
    <x v="0"/>
    <s v="Olá Nome, _x000a_Identificamos que o Item Suporte de Celular Branco foi entregue no dia 13/12/2024, referente ao pedido Nº Pedido 512 Rastreio Pedido 512, agradecemos a preferência e adoraríamos receber sua avaliação, tendo qualquer dúvida estamos à disposição._x000a__x000a_Att_x000a_Tem tudo Shop"/>
  </r>
  <r>
    <s v="Pedido 310"/>
    <s v="CódRastreio303"/>
    <s v="CNBR012745806LG"/>
    <s v="BV"/>
    <d v="2024-12-06T00:00:00"/>
    <s v="Transp 1"/>
    <s v="-"/>
    <x v="1"/>
    <s v="Brasil"/>
    <d v="2024-11-30T00:00:00"/>
    <s v="Entregue"/>
    <x v="0"/>
    <s v="-"/>
    <x v="0"/>
    <s v="Olá Nome, _x000a_Identificamos que o Item Suporte de Celular Branco foi entregue no dia 30/11/2024, referente ao pedido Nº Pedido 310 Rastreio Pedido 310, agradecemos a preferência e adoraríamos receber sua avaliação, tendo qualquer dúvida estamos à disposição._x000a__x000a_Att_x000a_Tem tudo Shop"/>
  </r>
  <r>
    <s v="Pedido 598"/>
    <s v="CódRastreio583"/>
    <n v="888670000735743"/>
    <s v="BV"/>
    <d v="2025-01-16T00:00:00"/>
    <s v="Transp 1"/>
    <s v="-"/>
    <x v="1"/>
    <s v="Brasil"/>
    <d v="2025-01-02T00:00:00"/>
    <s v="Entregue"/>
    <x v="0"/>
    <s v="-"/>
    <x v="0"/>
    <s v="Olá Nome, _x000a_Identificamos que o Item Mini Mixer Misturador foi entregue no dia 02/01/2025, referente ao pedido Nº Pedido 598 Rastreio Pedido 598, agradecemos a preferência e adoraríamos receber sua avaliação, tendo qualquer dúvida estamos à disposição._x000a__x000a_Att_x000a_Tem tudo Shop"/>
  </r>
  <r>
    <s v="Pedido 313"/>
    <s v="CódRastreio306"/>
    <s v="CNBR012737835LG"/>
    <s v="BV"/>
    <d v="2024-12-06T00:00:00"/>
    <s v="Transp 1"/>
    <s v="-"/>
    <x v="1"/>
    <s v="Brasil"/>
    <d v="2024-11-27T00:00:00"/>
    <s v="Entregue"/>
    <x v="0"/>
    <s v="Não dá a opção de entrar em contato com a cliente"/>
    <x v="0"/>
    <s v="Olá Nome, _x000a_Identificamos que o Item Suporte de Celular Branco foi entregue no dia 27/11/2024, referente ao pedido Nº Pedido 313 Rastreio Pedido 313, agradecemos a preferência e adoraríamos receber sua avaliação, tendo qualquer dúvida estamos à disposição._x000a__x000a_Att_x000a_Tem tudo Shop"/>
  </r>
  <r>
    <s v="Pedido 469"/>
    <s v="CódRastreio454"/>
    <s v="LP00697585932856"/>
    <s v="BV"/>
    <d v="2024-12-20T00:00:00"/>
    <s v="Transp 1"/>
    <s v="-"/>
    <x v="0"/>
    <s v="Brasil"/>
    <d v="2024-12-10T00:00:00"/>
    <s v="Entregue"/>
    <x v="0"/>
    <s v="-"/>
    <x v="0"/>
    <s v="Olá Nome, _x000a_Identificamos que o Item Ventilador Rosa foi entregue no dia 10/12/2024, referente ao pedido Nº Pedido 469 Rastreio Pedido 469, agradecemos a preferência e adoraríamos receber sua avaliação, tendo qualquer dúvida estamos à disposição._x000a__x000a_Att_x000a_Tem tudo Shop"/>
  </r>
  <r>
    <s v="Pedido 104"/>
    <s v="CódRastreio97"/>
    <s v="NM640844562BR"/>
    <s v="BV"/>
    <d v="2024-11-28T00:00:00"/>
    <s v="Transp 1"/>
    <s v="-"/>
    <x v="0"/>
    <s v="Brasil"/>
    <d v="2024-11-14T00:00:00"/>
    <s v="Entregue"/>
    <x v="0"/>
    <s v="-"/>
    <x v="0"/>
    <s v="Olá Nome, _x000a_Identificamos que o Item Ventilador Rosa foi entregue no dia 14/11/2024, referente ao pedido Nº Pedido 104 Rastreio Pedido 104, agradecemos a preferência e adoraríamos receber sua avaliação, tendo qualquer dúvida estamos à disposição._x000a__x000a_Att_x000a_Tem tudo Shop"/>
  </r>
  <r>
    <s v="Pedido 213"/>
    <s v="CódRastreio206"/>
    <s v="CNBR00049215HB"/>
    <s v="BV"/>
    <d v="2024-11-19T00:00:00"/>
    <s v="Transp 1"/>
    <s v="-"/>
    <x v="1"/>
    <s v="Brasil"/>
    <d v="2024-11-06T00:00:00"/>
    <s v="Entregue"/>
    <x v="0"/>
    <s v="-"/>
    <x v="0"/>
    <s v="Olá Nome, _x000a_Identificamos que o Item Balança foi entregue no dia 06/11/2024, referente ao pedido Nº Pedido 213 Rastreio Pedido 213, agradecemos a preferência e adoraríamos receber sua avaliação, tendo qualquer dúvida estamos à disposição._x000a__x000a_Att_x000a_Tem tudo Shop"/>
  </r>
  <r>
    <s v="Pedido 270"/>
    <s v="CódRastreio263"/>
    <n v="3621049598654"/>
    <s v="BV"/>
    <d v="2024-11-28T00:00:00"/>
    <s v="Transp 1"/>
    <s v="-"/>
    <x v="1"/>
    <s v="Brasil"/>
    <d v="2024-11-09T00:00:00"/>
    <s v="Entregue"/>
    <x v="0"/>
    <s v="-"/>
    <x v="0"/>
    <s v="Olá Nome, _x000a_Identificamos que o Item Suporte de Celular Preto foi entregue no dia 09/11/2024, referente ao pedido Nº Pedido 270 Rastreio Pedido 270, agradecemos a preferência e adoraríamos receber sua avaliação, tendo qualquer dúvida estamos à disposição._x000a__x000a_Att_x000a_Tem tudo Shop"/>
  </r>
  <r>
    <s v="Pedido 408"/>
    <s v="CódRastreio397"/>
    <s v="LP00694571505190"/>
    <s v="BV"/>
    <d v="2024-12-11T00:00:00"/>
    <s v="Transp 1"/>
    <s v="-"/>
    <x v="0"/>
    <s v="Brasil"/>
    <d v="2024-12-06T14:25:07"/>
    <s v="Entregue"/>
    <x v="0"/>
    <s v="-"/>
    <x v="0"/>
    <s v="Olá Nome, _x000a_Identificamos que o Item Ventilador Preto foi entregue no dia 06/12/2024, referente ao pedido Nº Pedido 408 Rastreio Pedido 408, agradecemos a preferência e adoraríamos receber sua avaliação, tendo qualquer dúvida estamos à disposição._x000a__x000a_Att_x000a_Tem tudo Shop"/>
  </r>
  <r>
    <s v="Pedido 559"/>
    <s v="CódRastreio544"/>
    <s v="LP00701094547841"/>
    <s v="BV"/>
    <d v="2025-01-22T00:00:00"/>
    <s v="Transp 1"/>
    <s v="-"/>
    <x v="0"/>
    <s v="Brasil"/>
    <d v="2025-01-02T00:00:00"/>
    <s v="Entregue"/>
    <x v="0"/>
    <s v="-"/>
    <x v="0"/>
    <s v="Olá Nome, _x000a_Identificamos que o Item Ventilador Rosa foi entregue no dia 02/01/2025, referente ao pedido Nº Pedido 559 Rastreio Pedido 559, agradecemos a preferência e adoraríamos receber sua avaliação, tendo qualquer dúvida estamos à disposição._x000a__x000a_Att_x000a_Tem tudo Shop"/>
  </r>
  <r>
    <s v="Pedido 397"/>
    <s v="CódRastreio387"/>
    <s v="LP00694355247814"/>
    <s v="BV"/>
    <d v="2024-12-17T00:00:00"/>
    <s v="Transp 1"/>
    <s v="-"/>
    <x v="0"/>
    <s v="Brasil"/>
    <d v="2024-12-03T00:00:00"/>
    <s v="Entregue"/>
    <x v="0"/>
    <s v="-"/>
    <x v="0"/>
    <s v="Olá Nome, _x000a_Identificamos que o Item Ventilador de teto foi entregue no dia 03/12/2024, referente ao pedido Nº Pedido 397 Rastreio Pedido 397, agradecemos a preferência e adoraríamos receber sua avaliação, tendo qualquer dúvida estamos à disposição._x000a__x000a_Att_x000a_Tem tudo Shop"/>
  </r>
  <r>
    <s v="Pedido 251"/>
    <s v="CódRastreio244"/>
    <n v="888670000167817"/>
    <s v="BV"/>
    <d v="2024-11-23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51 Rastreio Pedido 251, agradecemos a preferência e adoraríamos receber sua avaliação, tendo qualquer dúvida estamos à disposição._x000a__x000a_Att_x000a_Tem tudo Shop"/>
  </r>
  <r>
    <s v="Pedido 633"/>
    <s v="CódRastreio615"/>
    <s v="LP00704293927984"/>
    <s v="BV"/>
    <d v="2025-01-24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33 Rastreio Pedido 633, agradecemos a preferência e adoraríamos receber sua avaliação, tendo qualquer dúvida estamos à disposição._x000a__x000a_Att_x000a_Tem tudo Shop"/>
  </r>
  <r>
    <s v="Pedido 289"/>
    <s v="CódRastreio282"/>
    <s v="NM649069756BR"/>
    <s v="BV"/>
    <d v="2024-12-04T00:00:00"/>
    <s v="Transp 1"/>
    <s v="-"/>
    <x v="0"/>
    <s v="Brasil"/>
    <d v="2024-11-18T00:00:00"/>
    <s v="Entregue"/>
    <x v="0"/>
    <s v="-"/>
    <x v="0"/>
    <s v="Olá Nome, _x000a_Identificamos que o Item Ventilador de teto foi entregue no dia 18/11/2024, referente ao pedido Nº Pedido 289 Rastreio Pedido 289, agradecemos a preferência e adoraríamos receber sua avaliação, tendo qualquer dúvida estamos à disposição._x000a__x000a_Att_x000a_Tem tudo Shop"/>
  </r>
  <r>
    <s v="Pedido 184"/>
    <s v="CódRastreio177"/>
    <s v="CNBR012610335LG"/>
    <s v="BV"/>
    <d v="2024-11-22T00:00:00"/>
    <s v="Transp 1"/>
    <s v="-"/>
    <x v="1"/>
    <s v="Brasil"/>
    <d v="2024-12-03T00:00:00"/>
    <s v="Entregue"/>
    <x v="0"/>
    <s v="Perdi Acesso ao Perfil"/>
    <x v="1"/>
    <s v="Olá Nome, _x000a_Identificamos que o Item Mini Liquidificador foi entregue no dia 03/12/2024, referente ao pedido Nº Pedido 184 Rastreio Pedido 184, agradecemos a preferência e adoraríamos receber sua avaliação, tendo qualquer dúvida estamos à disposição._x000a__x000a_Att_x000a_Tem tudo Shop"/>
  </r>
  <r>
    <s v="Pedido 173"/>
    <s v="CódRastreio166"/>
    <s v="CNBR00047671HB"/>
    <s v="BV"/>
    <d v="2024-11-08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73 Rastreio Pedido 173, agradecemos a preferência e adoraríamos receber sua avaliação, tendo qualquer dúvida estamos à disposição._x000a__x000a_Att_x000a_Tem tudo Shop"/>
  </r>
  <r>
    <s v="Pedido 77"/>
    <s v="CódRastreio68"/>
    <n v="888670000109975"/>
    <s v="BV"/>
    <d v="2024-11-14T00:00:00"/>
    <s v="Transp 1"/>
    <s v="-"/>
    <x v="1"/>
    <s v="Brasil"/>
    <d v="2024-11-01T00:00:00"/>
    <s v="Entregue"/>
    <x v="0"/>
    <s v="-"/>
    <x v="0"/>
    <s v="Olá Nome, _x000a_Identificamos que o Item Suporte de Celular Branco foi entregue no dia 01/11/2024, referente ao pedido Nº Pedido 77 Rastreio Pedido 77, agradecemos a preferência e adoraríamos receber sua avaliação, tendo qualquer dúvida estamos à disposição._x000a__x000a_Att_x000a_Tem tudo Shop"/>
  </r>
  <r>
    <s v="Pedido 483"/>
    <s v="CódRastreio468"/>
    <s v="CNBR013152676LG"/>
    <s v="BV"/>
    <d v="2024-12-31T00:00:00"/>
    <s v="Transp 1"/>
    <s v="-"/>
    <x v="1"/>
    <s v="Brasil"/>
    <d v="2024-12-19T00:00:00"/>
    <s v="Entregue"/>
    <x v="0"/>
    <s v="-"/>
    <x v="0"/>
    <s v="Olá Nome, _x000a_Identificamos que o Item Adaptador Bluetooph foi entregue no dia 19/12/2024, referente ao pedido Nº Pedido 483 Rastreio Pedido 483, agradecemos a preferência e adoraríamos receber sua avaliação, tendo qualquer dúvida estamos à disposição._x000a__x000a_Att_x000a_Tem tudo Shop"/>
  </r>
  <r>
    <s v="Pedido 150"/>
    <s v="CódRastreio143"/>
    <s v="CNBR012562079LG"/>
    <s v="BV"/>
    <d v="2024-11-23T00:00:00"/>
    <s v="Transp 1"/>
    <s v="-"/>
    <x v="1"/>
    <s v="Brasil"/>
    <d v="2024-11-07T00:00:00"/>
    <s v="Entregue"/>
    <x v="0"/>
    <s v="-"/>
    <x v="0"/>
    <s v="Olá Nome, _x000a_Identificamos que o Item Suporte de Celular Preto foi entregue no dia 07/11/2024, referente ao pedido Nº Pedido 150 Rastreio Pedido 150, agradecemos a preferência e adoraríamos receber sua avaliação, tendo qualquer dúvida estamos à disposição._x000a__x000a_Att_x000a_Tem tudo Shop"/>
  </r>
  <r>
    <s v="Pedido 199"/>
    <s v="CódRastreio192"/>
    <s v="NM644266555BR"/>
    <s v="BV"/>
    <d v="2024-11-15T00:00:00"/>
    <s v="Transp 1"/>
    <s v="-"/>
    <x v="0"/>
    <s v="Brasil"/>
    <d v="2024-11-15T00:00:00"/>
    <s v="Entregue"/>
    <x v="0"/>
    <s v="-"/>
    <x v="0"/>
    <s v="Olá Nome, _x000a_Identificamos que o Item Ventilador de teto foi entregue no dia 15/11/2024, referente ao pedido Nº Pedido 199 Rastreio Pedido 199, agradecemos a preferência e adoraríamos receber sua avaliação, tendo qualquer dúvida estamos à disposição._x000a__x000a_Att_x000a_Tem tudo Shop"/>
  </r>
  <r>
    <s v="Pedido 236"/>
    <s v="CódRastreio229"/>
    <n v="888670000139468"/>
    <s v="BV"/>
    <d v="2024-11-22T00:00:00"/>
    <s v="Transp 1"/>
    <s v="-"/>
    <x v="1"/>
    <s v="Brasil"/>
    <d v="2024-11-11T00:00:00"/>
    <s v="Entregue"/>
    <x v="0"/>
    <s v="-"/>
    <x v="0"/>
    <s v="Olá Nome, _x000a_Identificamos que o Item Bomba d'agua foi entregue no dia 11/11/2024, referente ao pedido Nº Pedido 236 Rastreio Pedido 236, agradecemos a preferência e adoraríamos receber sua avaliação, tendo qualquer dúvida estamos à disposição._x000a__x000a_Att_x000a_Tem tudo Shop"/>
  </r>
  <r>
    <s v="Pedido 367"/>
    <s v="CódRastreio357"/>
    <s v="NM657089695BR"/>
    <s v="BV"/>
    <d v="2024-12-12T00:00:00"/>
    <s v="Transp 1"/>
    <s v="-"/>
    <x v="0"/>
    <s v="Brasil"/>
    <d v="2024-11-27T00:00:00"/>
    <s v="Entregue"/>
    <x v="0"/>
    <s v="-"/>
    <x v="0"/>
    <s v="Olá Nome, _x000a_Identificamos que o Item Ventilador de teto foi entregue no dia 27/11/2024, referente ao pedido Nº Pedido 367 Rastreio Pedido 367, agradecemos a preferência e adoraríamos receber sua avaliação, tendo qualquer dúvida estamos à disposição._x000a__x000a_Att_x000a_Tem tudo Shop"/>
  </r>
  <r>
    <s v="Pedido 249"/>
    <s v="CódRastreio242"/>
    <s v="NM646629519BR"/>
    <s v="BV"/>
    <d v="2024-12-07T00:00:00"/>
    <s v="Transp 1"/>
    <s v="-"/>
    <x v="0"/>
    <s v="Brasil"/>
    <d v="2024-12-10T00:00:00"/>
    <s v="Entregue"/>
    <x v="0"/>
    <s v="-"/>
    <x v="1"/>
    <s v="Olá Nome, _x000a_Identificamos que o Item Ventilador Preto foi entregue no dia 10/12/2024, referente ao pedido Nº Pedido 249 Rastreio Pedido 249, agradecemos a preferência e adoraríamos receber sua avaliação, tendo qualquer dúvida estamos à disposição._x000a__x000a_Att_x000a_Tem tudo Shop"/>
  </r>
  <r>
    <s v="Pedido 214"/>
    <s v="CódRastreio207"/>
    <n v="888670000131634"/>
    <s v="BV"/>
    <d v="2024-11-26T00:00:00"/>
    <s v="Transp 1"/>
    <s v="-"/>
    <x v="1"/>
    <s v="Brasil"/>
    <d v="2024-11-16T00:00:00"/>
    <s v="Entregue"/>
    <x v="0"/>
    <s v="-"/>
    <x v="0"/>
    <s v="Olá Nome, _x000a_Identificamos que o Item Balança foi entregue no dia 16/11/2024, referente ao pedido Nº Pedido 214 Rastreio Pedido 214, agradecemos a preferência e adoraríamos receber sua avaliação, tendo qualquer dúvida estamos à disposição._x000a__x000a_Att_x000a_Tem tudo Shop"/>
  </r>
  <r>
    <s v="Pedido 539"/>
    <s v="CódRastreio524"/>
    <s v="CNBR013437228LG"/>
    <s v="BV"/>
    <d v="2025-01-14T00:00:00"/>
    <s v="Transp 1"/>
    <s v="-"/>
    <x v="1"/>
    <s v="Brasil"/>
    <d v="2024-12-30T00:00:00"/>
    <s v="Entregue"/>
    <x v="0"/>
    <s v="-"/>
    <x v="0"/>
    <s v="Olá Nome, _x000a_Identificamos que o Item Suporte de Celular Branco foi entregue no dia 30/12/2024, referente ao pedido Nº Pedido 539 Rastreio Pedido 539, agradecemos a preferência e adoraríamos receber sua avaliação, tendo qualquer dúvida estamos à disposição._x000a__x000a_Att_x000a_Tem tudo Shop"/>
  </r>
  <r>
    <s v="Pedido 446"/>
    <s v="CódRastreio432"/>
    <s v="CNBR013048687LG"/>
    <s v="BV"/>
    <d v="2024-12-21T00:00:00"/>
    <s v="Transp 1"/>
    <s v="-"/>
    <x v="1"/>
    <s v="Brasil"/>
    <d v="2024-12-06T10:56:23"/>
    <s v="Entregue"/>
    <x v="0"/>
    <s v="-"/>
    <x v="0"/>
    <s v="Olá Nome, _x000a_Identificamos que o Item Copo Termico foi entregue no dia 06/12/2024, referente ao pedido Nº Pedido 446 Rastreio Pedido 446, agradecemos a preferência e adoraríamos receber sua avaliação, tendo qualquer dúvida estamos à disposição._x000a__x000a_Att_x000a_Tem tudo Shop"/>
  </r>
  <r>
    <s v="Pedido 454"/>
    <s v="CódRastreio439"/>
    <s v="LP00695787514900"/>
    <s v="BV"/>
    <d v="2024-12-19T00:00:00"/>
    <s v="Transp 1"/>
    <s v="-"/>
    <x v="0"/>
    <s v="Brasil"/>
    <d v="2024-12-06T10:16:41"/>
    <s v="Entregue"/>
    <x v="0"/>
    <s v="-"/>
    <x v="0"/>
    <s v="Olá Nome, _x000a_Identificamos que o Item Ventilador Umidificador Branco foi entregue no dia 06/12/2024, referente ao pedido Nº Pedido 454 Rastreio Pedido 454, agradecemos a preferência e adoraríamos receber sua avaliação, tendo qualquer dúvida estamos à disposição._x000a__x000a_Att_x000a_Tem tudo Shop"/>
  </r>
  <r>
    <s v="Pedido 470"/>
    <s v="CódRastreio455"/>
    <s v="CNBR013176156LG"/>
    <s v="BV"/>
    <d v="2024-12-18T00:00:00"/>
    <s v="Transp 1"/>
    <s v="-"/>
    <x v="1"/>
    <s v="Brasil"/>
    <d v="2024-12-09T18:00:22"/>
    <s v="Entregue"/>
    <x v="0"/>
    <s v="-"/>
    <x v="0"/>
    <s v="Olá Nome, _x000a_Identificamos que o Item Adaptador Bluetooph foi entregue no dia 09/12/2024, referente ao pedido Nº Pedido 470 Rastreio Pedido 470, agradecemos a preferência e adoraríamos receber sua avaliação, tendo qualquer dúvida estamos à disposição._x000a__x000a_Att_x000a_Tem tudo Shop"/>
  </r>
  <r>
    <s v="Pedido 305"/>
    <s v="CódRastreio298"/>
    <s v="CNBR000884235RS"/>
    <s v="BV"/>
    <d v="2024-12-06T00:00:00"/>
    <s v="Transp 1"/>
    <s v="-"/>
    <x v="1"/>
    <s v="Brasil"/>
    <d v="2024-11-15T00:00:00"/>
    <s v="Entregue"/>
    <x v="0"/>
    <s v="-"/>
    <x v="0"/>
    <s v="Olá Nome, _x000a_Identificamos que o Item Suporte de Celular Branco foi entregue no dia 15/11/2024, referente ao pedido Nº Pedido 305 Rastreio Pedido 305, agradecemos a preferência e adoraríamos receber sua avaliação, tendo qualquer dúvida estamos à disposição._x000a__x000a_Att_x000a_Tem tudo Shop"/>
  </r>
  <r>
    <s v="Pedido 345"/>
    <s v="CódRastreio338"/>
    <s v="CNBR012844596LG"/>
    <s v="BV"/>
    <d v="2024-12-11T00:00:00"/>
    <s v="Transp 1"/>
    <s v="-"/>
    <x v="1"/>
    <s v="Brasil"/>
    <d v="2024-11-19T00:00:00"/>
    <s v="Entregue"/>
    <x v="0"/>
    <s v="-"/>
    <x v="0"/>
    <s v="Olá Nome, _x000a_Identificamos que o Item Copo Termico foi entregue no dia 19/11/2024, referente ao pedido Nº Pedido 345 Rastreio Pedido 345, agradecemos a preferência e adoraríamos receber sua avaliação, tendo qualquer dúvida estamos à disposição._x000a__x000a_Att_x000a_Tem tudo Shop"/>
  </r>
  <r>
    <s v="Pedido 346"/>
    <s v="CódRastreio339"/>
    <s v="CNBR012878039LG"/>
    <s v="BV"/>
    <d v="2024-12-11T00:00:00"/>
    <s v="Transp 1"/>
    <s v="-"/>
    <x v="1"/>
    <s v="Brasil"/>
    <d v="2024-11-19T00:00:00"/>
    <s v="Entregue"/>
    <x v="0"/>
    <s v="-"/>
    <x v="0"/>
    <s v="Olá Nome, _x000a_Identificamos que o Item Copo Termico foi entregue no dia 19/11/2024, referente ao pedido Nº Pedido 346 Rastreio Pedido 346, agradecemos a preferência e adoraríamos receber sua avaliação, tendo qualquer dúvida estamos à disposição._x000a__x000a_Att_x000a_Tem tudo Shop"/>
  </r>
  <r>
    <s v="Pedido 143"/>
    <s v="CódRastreio136"/>
    <s v="CNBR012514820LG"/>
    <s v="BV"/>
    <d v="2024-11-09T00:00:00"/>
    <s v="Transp 1"/>
    <s v="-"/>
    <x v="1"/>
    <s v="Brasil"/>
    <d v="2024-11-01T00:00:00"/>
    <s v="Entregue"/>
    <x v="0"/>
    <s v="-"/>
    <x v="0"/>
    <s v="Olá Nome, _x000a_Identificamos que o Item Balança foi entregue no dia 01/11/2024, referente ao pedido Nº Pedido 143 Rastreio Pedido 143, agradecemos a preferência e adoraríamos receber sua avaliação, tendo qualquer dúvida estamos à disposição._x000a__x000a_Att_x000a_Tem tudo Shop"/>
  </r>
  <r>
    <s v="Pedido 290"/>
    <s v="CódRastreio283"/>
    <s v="CNBR012747909LG"/>
    <s v="BV"/>
    <d v="2024-12-04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290 Rastreio Pedido 290, agradecemos a preferência e adoraríamos receber sua avaliação, tendo qualquer dúvida estamos à disposição._x000a__x000a_Att_x000a_Tem tudo Shop"/>
  </r>
  <r>
    <s v="Pedido 376"/>
    <s v="CódRastreio366"/>
    <n v="3621049604563"/>
    <s v="BV"/>
    <d v="2024-12-07T00:00:00"/>
    <s v="Transp 1"/>
    <s v="-"/>
    <x v="1"/>
    <s v="Brasil"/>
    <d v="2024-11-22T00:00:00"/>
    <s v="Entregue"/>
    <x v="0"/>
    <s v="-"/>
    <x v="0"/>
    <s v="Olá Nome, _x000a_Identificamos que o Item Mini Liquidificador foi entregue no dia 22/11/2024, referente ao pedido Nº Pedido 376 Rastreio Pedido 376, agradecemos a preferência e adoraríamos receber sua avaliação, tendo qualquer dúvida estamos à disposição._x000a__x000a_Att_x000a_Tem tudo Shop"/>
  </r>
  <r>
    <s v="Pedido 317"/>
    <s v="CódRastreio310"/>
    <n v="888670000189901"/>
    <s v="BV"/>
    <d v="2024-11-28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317 Rastreio Pedido 317, agradecemos a preferência e adoraríamos receber sua avaliação, tendo qualquer dúvida estamos à disposição._x000a__x000a_Att_x000a_Tem tudo Shop"/>
  </r>
  <r>
    <s v="Pedido 113"/>
    <s v="CódRastreio106"/>
    <s v="CNBR012478685LG"/>
    <s v="BV"/>
    <d v="2024-11-21T00:00:00"/>
    <s v="Transp 1"/>
    <s v="-"/>
    <x v="1"/>
    <s v="Brasil"/>
    <d v="2024-11-05T00:00:00"/>
    <s v="Entregue"/>
    <x v="0"/>
    <s v="-"/>
    <x v="0"/>
    <s v="Olá Nome, _x000a_Identificamos que o Item Mini Liquidificador foi entregue no dia 05/11/2024, referente ao pedido Nº Pedido 113 Rastreio Pedido 113, agradecemos a preferência e adoraríamos receber sua avaliação, tendo qualquer dúvida estamos à disposição._x000a__x000a_Att_x000a_Tem tudo Shop"/>
  </r>
  <r>
    <s v="Pedido 541"/>
    <s v="CódRastreio526"/>
    <s v="CNBR013434252LG"/>
    <s v="BV"/>
    <d v="2025-01-08T00:00:00"/>
    <s v="Transp 1"/>
    <s v="-"/>
    <x v="1"/>
    <s v="Brasil"/>
    <d v="2024-12-19T00:00:00"/>
    <s v="Entregue"/>
    <x v="0"/>
    <s v="-"/>
    <x v="0"/>
    <s v="Olá Nome, _x000a_Identificamos que o Item Suporte de Celular Branco foi entregue no dia 19/12/2024, referente ao pedido Nº Pedido 541 Rastreio Pedido 541, agradecemos a preferência e adoraríamos receber sua avaliação, tendo qualquer dúvida estamos à disposição._x000a__x000a_Att_x000a_Tem tudo Shop"/>
  </r>
  <r>
    <s v="Pedido 540"/>
    <s v="CódRastreio525"/>
    <s v="CNBR013442130LG"/>
    <s v="BV"/>
    <d v="2025-01-08T00:00:00"/>
    <s v="Transp 1"/>
    <s v="-"/>
    <x v="1"/>
    <s v="Brasil"/>
    <d v="2024-12-19T00:00:00"/>
    <s v="Entregue"/>
    <x v="0"/>
    <s v="-"/>
    <x v="0"/>
    <s v="Olá Nome, _x000a_Identificamos que o Item Suporte de Celular Branco foi entregue no dia 19/12/2024, referente ao pedido Nº Pedido 540 Rastreio Pedido 540, agradecemos a preferência e adoraríamos receber sua avaliação, tendo qualquer dúvida estamos à disposição._x000a__x000a_Att_x000a_Tem tudo Shop"/>
  </r>
  <r>
    <s v="Pedido 263"/>
    <s v="CódRastreio256"/>
    <s v="CNBR00050655HB"/>
    <s v="BV"/>
    <d v="2024-11-20T00:00:00"/>
    <s v="Transp 1"/>
    <s v="-"/>
    <x v="1"/>
    <s v="Brasil"/>
    <d v="2024-11-09T00:00:00"/>
    <s v="Entregue"/>
    <x v="0"/>
    <s v="-"/>
    <x v="0"/>
    <s v="Olá Nome, _x000a_Identificamos que o Item Garrafa Termica foi entregue no dia 09/11/2024, referente ao pedido Nº Pedido 263 Rastreio Pedido 263, agradecemos a preferência e adoraríamos receber sua avaliação, tendo qualquer dúvida estamos à disposição._x000a__x000a_Att_x000a_Tem tudo Shop"/>
  </r>
  <r>
    <s v="Pedido 340"/>
    <s v="CódRastreio333"/>
    <s v="NM655578214BR"/>
    <s v="BV"/>
    <d v="2024-12-05T00:00:00"/>
    <s v="Transp 1"/>
    <s v="-"/>
    <x v="0"/>
    <s v="Brasil"/>
    <d v="2024-11-25T00:00:00"/>
    <s v="Entregue"/>
    <x v="0"/>
    <s v="-"/>
    <x v="0"/>
    <s v="Olá Nome, _x000a_Identificamos que o Item Ventilador de teto foi entregue no dia 25/11/2024, referente ao pedido Nº Pedido 340 Rastreio Pedido 340, agradecemos a preferência e adoraríamos receber sua avaliação, tendo qualquer dúvida estamos à disposição._x000a__x000a_Att_x000a_Tem tudo Shop"/>
  </r>
  <r>
    <s v="Pedido 94"/>
    <s v="CódRastreio87"/>
    <s v="CNBR012454644LG"/>
    <s v="BV"/>
    <d v="2024-11-21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94 Rastreio Pedido 94, agradecemos a preferência e adoraríamos receber sua avaliação, tendo qualquer dúvida estamos à disposição._x000a__x000a_Att_x000a_Tem tudo Shop"/>
  </r>
  <r>
    <s v="Pedido 70"/>
    <s v="CódRastreio61"/>
    <s v="CNBR00046074HB"/>
    <s v="BV"/>
    <d v="2024-11-07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70 Rastreio Pedido 70, agradecemos a preferência e adoraríamos receber sua avaliação, tendo qualquer dúvida estamos à disposição._x000a__x000a_Att_x000a_Tem tudo Shop"/>
  </r>
  <r>
    <s v="Pedido 426"/>
    <s v="CódRastreio413 1 envio"/>
    <s v="CNBR012997932LG"/>
    <s v="BV"/>
    <d v="2024-12-19T00:00:00"/>
    <s v="Transp 1"/>
    <s v="-"/>
    <x v="1"/>
    <s v="Brasil"/>
    <d v="2024-12-03T00:00:00"/>
    <s v="Entregue"/>
    <x v="0"/>
    <s v="-"/>
    <x v="0"/>
    <s v="Olá Nome, _x000a_Identificamos que o Item Adaptador Bluetooph foi entregue no dia 03/12/2024, referente ao pedido Nº Pedido 426 Rastreio Pedido 426, agradecemos a preferência e adoraríamos receber sua avaliação, tendo qualquer dúvida estamos à disposição._x000a__x000a_Att_x000a_Tem tudo Shop"/>
  </r>
  <r>
    <s v="Pedido 426"/>
    <s v="CódRastreio413 2 Envio"/>
    <s v="CNBR013043319LG"/>
    <s v="BV"/>
    <d v="2024-12-19T00:00:00"/>
    <s v="Transp 1"/>
    <s v="-"/>
    <x v="1"/>
    <s v="Brasil"/>
    <d v="2024-12-03T00:00:00"/>
    <s v="Entregue"/>
    <x v="0"/>
    <s v="-"/>
    <x v="0"/>
    <s v="Olá Nome, _x000a_Identificamos que o Item Adaptador Bluetooph foi entregue no dia 03/12/2024, referente ao pedido Nº Pedido 426 Rastreio Pedido 426, agradecemos a preferência e adoraríamos receber sua avaliação, tendo qualquer dúvida estamos à disposição._x000a__x000a_Att_x000a_Tem tudo Shop"/>
  </r>
  <r>
    <s v="Pedido 426"/>
    <s v="CódRastreio413"/>
    <s v="CNBR013064424LG"/>
    <s v="BV"/>
    <d v="2024-12-19T00:00:00"/>
    <s v="Transp 1"/>
    <s v="-"/>
    <x v="1"/>
    <s v="Brasil"/>
    <d v="2024-12-04T00:00:00"/>
    <s v="Entregue"/>
    <x v="0"/>
    <s v="-"/>
    <x v="0"/>
    <s v="Olá Nome, _x000a_Identificamos que o Item Adaptador Bluetooph foi entregue no dia 04/12/2024, referente ao pedido Nº Pedido 426 Rastreio Pedido 426, agradecemos a preferência e adoraríamos receber sua avaliação, tendo qualquer dúvida estamos à disposição._x000a__x000a_Att_x000a_Tem tudo Shop"/>
  </r>
  <r>
    <s v="Pedido 177"/>
    <s v="CódRastreio170"/>
    <s v="CNBR012565852LG"/>
    <s v="BV"/>
    <d v="2024-11-22T00:00:00"/>
    <s v="Transp 1"/>
    <s v="-"/>
    <x v="1"/>
    <s v="Brasil"/>
    <d v="2024-11-06T00:00:00"/>
    <s v="Entregue"/>
    <x v="0"/>
    <s v="-"/>
    <x v="0"/>
    <s v="Olá Nome, _x000a_Identificamos que o Item Suporte de Celular Branco foi entregue no dia 06/11/2024, referente ao pedido Nº Pedido 177 Rastreio Pedido 177, agradecemos a preferência e adoraríamos receber sua avaliação, tendo qualquer dúvida estamos à disposição._x000a__x000a_Att_x000a_Tem tudo Shop"/>
  </r>
  <r>
    <s v="Pedido 232"/>
    <s v="CódRastreio225"/>
    <s v="CNBR012697717LG"/>
    <s v="BV"/>
    <d v="2024-11-30T00:00:00"/>
    <s v="Transp 1"/>
    <s v="-"/>
    <x v="1"/>
    <s v="Brasil"/>
    <d v="2024-11-15T00:00:00"/>
    <s v="Entregue"/>
    <x v="0"/>
    <s v="Cliente Notificado"/>
    <x v="0"/>
    <s v="Olá Nome, _x000a_Identificamos que o Item Mini Liquidificador foi entregue no dia 15/11/2024, referente ao pedido Nº Pedido 232 Rastreio Pedido 232, agradecemos a preferência e adoraríamos receber sua avaliação, tendo qualquer dúvida estamos à disposição._x000a__x000a_Att_x000a_Tem tudo Shop"/>
  </r>
  <r>
    <s v="Pedido 383"/>
    <s v="CódRastreio373"/>
    <s v="CNBR00055235HB"/>
    <s v="BV"/>
    <d v="2024-12-04T00:00:00"/>
    <s v="Transp 1"/>
    <s v="-"/>
    <x v="1"/>
    <s v="Brasil"/>
    <d v="2024-11-22T00:00:00"/>
    <s v="Entregue"/>
    <x v="0"/>
    <s v="-"/>
    <x v="0"/>
    <s v="Olá Nome, _x000a_Identificamos que o Item Adaptador Bluetooph foi entregue no dia 22/11/2024, referente ao pedido Nº Pedido 383 Rastreio Pedido 383, agradecemos a preferência e adoraríamos receber sua avaliação, tendo qualquer dúvida estamos à disposição._x000a__x000a_Att_x000a_Tem tudo Shop"/>
  </r>
  <r>
    <s v="Pedido 93"/>
    <s v="CódRastreio86"/>
    <s v="CNBR012458589LG"/>
    <s v="BV"/>
    <d v="2024-11-21T00:00:00"/>
    <s v="Transp 1"/>
    <s v="-"/>
    <x v="1"/>
    <s v="Brasil"/>
    <d v="2024-11-01T00:00:00"/>
    <s v="Entregue"/>
    <x v="0"/>
    <s v="-"/>
    <x v="0"/>
    <s v="Olá Nome, _x000a_Identificamos que o Item Bomba d'agua foi entregue no dia 01/11/2024, referente ao pedido Nº Pedido 93 Rastreio Pedido 93, agradecemos a preferência e adoraríamos receber sua avaliação, tendo qualquer dúvida estamos à disposição._x000a__x000a_Att_x000a_Tem tudo Shop"/>
  </r>
  <r>
    <s v="Pedido 18"/>
    <s v="CódRastreio9"/>
    <s v="CNBR012338422LG"/>
    <s v="BV"/>
    <d v="2024-11-14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18 Rastreio Pedido 18, agradecemos a preferência e adoraríamos receber sua avaliação, tendo qualquer dúvida estamos à disposição._x000a__x000a_Att_x000a_Tem tudo Shop"/>
  </r>
  <r>
    <s v="Pedido 661"/>
    <s v="CódRastreio641"/>
    <s v="LP00703677592900"/>
    <s v="BV"/>
    <d v="2025-01-22T00:00:00"/>
    <s v="Transp 1"/>
    <s v="-"/>
    <x v="0"/>
    <s v="Brasil"/>
    <d v="2025-01-08T00:00:00"/>
    <s v="Entregue"/>
    <x v="0"/>
    <s v="-"/>
    <x v="0"/>
    <s v="Olá Nome, _x000a_Identificamos que o Item Lampada Led foi entregue no dia 08/01/2025, referente ao pedido Nº Pedido 661 Rastreio Pedido 661, agradecemos a preferência e adoraríamos receber sua avaliação, tendo qualquer dúvida estamos à disposição._x000a__x000a_Att_x000a_Tem tudo Shop"/>
  </r>
  <r>
    <s v="Pedido 500"/>
    <s v="CódRastreio486"/>
    <s v="LP00698600641435"/>
    <s v="BV"/>
    <d v="2024-12-24T00:00:00"/>
    <s v="Transp 1"/>
    <s v="-"/>
    <x v="0"/>
    <s v="Brasil"/>
    <d v="2024-12-19T00:00:00"/>
    <s v="Entregue"/>
    <x v="0"/>
    <s v="-"/>
    <x v="0"/>
    <s v="Olá Nome, _x000a_Identificamos que o Item Ventilador Azul foi entregue no dia 19/12/2024, referente ao pedido Nº Pedido 500 Rastreio Pedido 500, agradecemos a preferência e adoraríamos receber sua avaliação, tendo qualquer dúvida estamos à disposição._x000a__x000a_Att_x000a_Tem tudo Shop"/>
  </r>
  <r>
    <s v="Pedido 134"/>
    <s v="CódRastreio127"/>
    <s v="CNBR00051808HB"/>
    <s v="BV"/>
    <d v="2024-11-09T00:00:00"/>
    <s v="Transp 1"/>
    <s v="-"/>
    <x v="1"/>
    <s v="Brasil"/>
    <d v="2024-12-07T00:00:00"/>
    <s v="Entregue"/>
    <x v="0"/>
    <s v="Reembolsado"/>
    <x v="1"/>
    <s v="Olá Nome, _x000a_Identificamos que o Item Mini Liquidificador foi entregue no dia 07/12/2024, referente ao pedido Nº Pedido 134 Rastreio Pedido 134, agradecemos a preferência e adoraríamos receber sua avaliação, tendo qualquer dúvida estamos à disposição._x000a__x000a_Att_x000a_Tem tudo Shop"/>
  </r>
  <r>
    <s v="Pedido 31"/>
    <s v="CódRastreio22"/>
    <s v="CNBR012384002LG"/>
    <s v="BV"/>
    <d v="2024-11-05T00:00:00"/>
    <s v="Transp 1"/>
    <s v="-"/>
    <x v="1"/>
    <s v="Brasil"/>
    <d v="2024-10-26T00:00:00"/>
    <s v="Entregue"/>
    <x v="0"/>
    <s v="-"/>
    <x v="0"/>
    <s v="Olá Nome, _x000a_Identificamos que o Item Balança foi entregue no dia 26/10/2024, referente ao pedido Nº Pedido 31 Rastreio Pedido 31, agradecemos a preferência e adoraríamos receber sua avaliação, tendo qualquer dúvida estamos à disposição._x000a__x000a_Att_x000a_Tem tudo Shop"/>
  </r>
  <r>
    <s v="Pedido 108"/>
    <s v="CódRastreio101"/>
    <s v="CNBR012483257LG"/>
    <s v="BV"/>
    <d v="2024-11-21T00:00:00"/>
    <s v="Transp 1"/>
    <s v="-"/>
    <x v="1"/>
    <s v="Brasil"/>
    <d v="2024-11-07T00:00:00"/>
    <s v="Entregue"/>
    <x v="0"/>
    <s v="-"/>
    <x v="0"/>
    <s v="Olá Nome, _x000a_Identificamos que o Item Bomba d'agua foi entregue no dia 07/11/2024, referente ao pedido Nº Pedido 108 Rastreio Pedido 108, agradecemos a preferência e adoraríamos receber sua avaliação, tendo qualquer dúvida estamos à disposição._x000a__x000a_Att_x000a_Tem tudo Shop"/>
  </r>
  <r>
    <s v="Pedido 398"/>
    <s v="CódRastreio388"/>
    <n v="888670000415605"/>
    <s v="BV"/>
    <d v="2024-12-17T00:00:00"/>
    <s v="Transp 1"/>
    <s v="-"/>
    <x v="1"/>
    <s v="Brasil"/>
    <d v="2024-11-29T00:00:00"/>
    <s v="Entregue"/>
    <x v="0"/>
    <s v="-"/>
    <x v="0"/>
    <s v="Olá Nome, _x000a_Identificamos que o Item Mini Liquidificador foi entregue no dia 29/11/2024, referente ao pedido Nº Pedido 398 Rastreio Pedido 398, agradecemos a preferência e adoraríamos receber sua avaliação, tendo qualquer dúvida estamos à disposição._x000a__x000a_Att_x000a_Tem tudo Shop"/>
  </r>
  <r>
    <s v="Pedido 188"/>
    <s v="CódRastreio181"/>
    <s v="NM644208425BR"/>
    <s v="BV"/>
    <d v="2024-11-15T00:00:00"/>
    <s v="Transp 1"/>
    <s v="-"/>
    <x v="0"/>
    <s v="Brasil"/>
    <d v="2024-11-11T00:00:00"/>
    <s v="Entregue"/>
    <x v="0"/>
    <s v="-"/>
    <x v="0"/>
    <s v="Olá Nome, _x000a_Identificamos que o Item Ventilador Preto foi entregue no dia 11/11/2024, referente ao pedido Nº Pedido 188 Rastreio Pedido 188, agradecemos a preferência e adoraríamos receber sua avaliação, tendo qualquer dúvida estamos à disposição._x000a__x000a_Att_x000a_Tem tudo Shop"/>
  </r>
  <r>
    <s v="Pedido 147"/>
    <s v="CódRastreio140"/>
    <s v="CNBR012545994LG"/>
    <s v="BV"/>
    <d v="2024-11-14T00:00:00"/>
    <s v="Transp 1"/>
    <s v="-"/>
    <x v="1"/>
    <s v="Brasil"/>
    <d v="2024-11-04T00:00:00"/>
    <s v="Entregue"/>
    <x v="0"/>
    <s v="-"/>
    <x v="0"/>
    <s v="Olá Nome, _x000a_Identificamos que o Item Balança foi entregue no dia 04/11/2024, referente ao pedido Nº Pedido 147 Rastreio Pedido 147, agradecemos a preferência e adoraríamos receber sua avaliação, tendo qualquer dúvida estamos à disposição._x000a__x000a_Att_x000a_Tem tudo Shop"/>
  </r>
  <r>
    <s v="Pedido 224"/>
    <s v="CódRastreio217"/>
    <s v="CNBR000860645RS"/>
    <s v="BV"/>
    <d v="2024-11-26T00:00:00"/>
    <s v="Transp 1"/>
    <s v="-"/>
    <x v="1"/>
    <s v="Brasil"/>
    <d v="2024-11-13T00:00:00"/>
    <s v="Entregue"/>
    <x v="0"/>
    <s v="-"/>
    <x v="0"/>
    <s v="Olá Nome, _x000a_Identificamos que o Item Bomba d'agua foi entregue no dia 13/11/2024, referente ao pedido Nº Pedido 224 Rastreio Pedido 224, agradecemos a preferência e adoraríamos receber sua avaliação, tendo qualquer dúvida estamos à disposição._x000a__x000a_Att_x000a_Tem tudo Shop"/>
  </r>
  <r>
    <s v="Pedido 12"/>
    <s v="CódRastreio3"/>
    <s v="CNBR012316855LG"/>
    <s v="BV"/>
    <d v="2024-11-08T00:00:00"/>
    <s v="Transp 1"/>
    <s v="-"/>
    <x v="1"/>
    <s v="Brasil"/>
    <d v="2024-10-28T00:00:00"/>
    <s v="Entregue"/>
    <x v="0"/>
    <s v="-"/>
    <x v="0"/>
    <s v="Olá Nome, _x000a_Identificamos que o Item Suporte de Celular Branco foi entregue no dia 28/10/2024, referente ao pedido Nº Pedido 12 Rastreio Pedido 12, agradecemos a preferência e adoraríamos receber sua avaliação, tendo qualquer dúvida estamos à disposição._x000a__x000a_Att_x000a_Tem tudo Shop"/>
  </r>
  <r>
    <s v="Pedido 301"/>
    <s v="CódRastreio294"/>
    <s v="NM650481505BR"/>
    <s v="BV"/>
    <d v="2024-11-30T00:00:00"/>
    <s v="Transp 1"/>
    <s v="-"/>
    <x v="0"/>
    <s v="Brasil"/>
    <d v="2024-11-14T00:00:00"/>
    <s v="Entregue"/>
    <x v="0"/>
    <s v="-"/>
    <x v="0"/>
    <s v="Olá Nome, _x000a_Identificamos que o Item Ventilador de teto foi entregue no dia 14/11/2024, referente ao pedido Nº Pedido 301 Rastreio Pedido 301, agradecemos a preferência e adoraríamos receber sua avaliação, tendo qualquer dúvida estamos à disposição._x000a__x000a_Att_x000a_Tem tudo Shop"/>
  </r>
  <r>
    <s v="Pedido 608"/>
    <s v="CódRastreio592"/>
    <s v="LP00701712911912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08 Rastreio Pedido 608, agradecemos a preferência e adoraríamos receber sua avaliação, tendo qualquer dúvida estamos à disposição._x000a__x000a_Att_x000a_Tem tudo Shop"/>
  </r>
  <r>
    <s v="Pedido 269"/>
    <s v="CódRastreio262"/>
    <n v="888670000160053"/>
    <s v="BV"/>
    <d v="2024-11-22T00:00:00"/>
    <s v="Transp 1"/>
    <s v="-"/>
    <x v="1"/>
    <s v="Brasil"/>
    <d v="2024-11-11T00:00:00"/>
    <s v="Entregue"/>
    <x v="0"/>
    <s v="-"/>
    <x v="0"/>
    <s v="Olá Nome, _x000a_Identificamos que o Item Adaptador Bluetooph foi entregue no dia 11/11/2024, referente ao pedido Nº Pedido 269 Rastreio Pedido 269, agradecemos a preferência e adoraríamos receber sua avaliação, tendo qualquer dúvida estamos à disposição._x000a__x000a_Att_x000a_Tem tudo Shop"/>
  </r>
  <r>
    <s v="Pedido 599"/>
    <s v="CódRastreio584"/>
    <n v="3621049620340"/>
    <s v="BV"/>
    <d v="2025-01-16T00:00:00"/>
    <s v="Transp 1"/>
    <s v="-"/>
    <x v="1"/>
    <s v="Brasil"/>
    <d v="2024-12-30T00:00:00"/>
    <s v="Entregue"/>
    <x v="0"/>
    <s v="-"/>
    <x v="0"/>
    <s v="Olá Nome, _x000a_Identificamos que o Item Adaptador Bluetooph foi entregue no dia 30/12/2024, referente ao pedido Nº Pedido 599 Rastreio Pedido 599, agradecemos a preferência e adoraríamos receber sua avaliação, tendo qualquer dúvida estamos à disposição._x000a__x000a_Att_x000a_Tem tudo Shop"/>
  </r>
  <r>
    <s v="Pedido 557"/>
    <s v="CódRastreio542"/>
    <s v="CNBR013467065LG"/>
    <s v="BV"/>
    <d v="2025-01-09T00:00:00"/>
    <s v="Transp 1"/>
    <s v="-"/>
    <x v="1"/>
    <s v="Brasil"/>
    <d v="2024-12-18T00:00:00"/>
    <s v="Entregue"/>
    <x v="0"/>
    <s v="-"/>
    <x v="0"/>
    <s v="Olá Nome, _x000a_Identificamos que o Item Copo Termico foi entregue no dia 18/12/2024, referente ao pedido Nº Pedido 557 Rastreio Pedido 557, agradecemos a preferência e adoraríamos receber sua avaliação, tendo qualquer dúvida estamos à disposição._x000a__x000a_Att_x000a_Tem tudo Shop"/>
  </r>
  <r>
    <s v="Pedido 595"/>
    <s v="CódRastreio580"/>
    <s v="AA487323745BR"/>
    <s v="BV"/>
    <d v="2025-01-09T00:00:00"/>
    <s v="Transp 1"/>
    <s v="-"/>
    <x v="1"/>
    <s v="Brasil"/>
    <d v="2024-12-30T00:00:00"/>
    <s v="Entregue"/>
    <x v="0"/>
    <s v="-"/>
    <x v="0"/>
    <s v="Olá Nome, _x000a_Identificamos que o Item Mini Liquidificador foi entregue no dia 30/12/2024, referente ao pedido Nº Pedido 595 Rastreio Pedido 595, agradecemos a preferência e adoraríamos receber sua avaliação, tendo qualquer dúvida estamos à disposição._x000a__x000a_Att_x000a_Tem tudo Shop"/>
  </r>
  <r>
    <s v="Pedido 373"/>
    <s v="CódRastreio363"/>
    <n v="3621049605246"/>
    <s v="BV"/>
    <d v="2024-12-07T00:00:00"/>
    <s v="Transp 1"/>
    <s v="-"/>
    <x v="1"/>
    <s v="Brasil"/>
    <d v="2024-11-27T00:00:00"/>
    <s v="Entregue"/>
    <x v="0"/>
    <s v="-"/>
    <x v="0"/>
    <s v="Olá Nome, _x000a_Identificamos que o Item Mini Liquidificador foi entregue no dia 27/11/2024, referente ao pedido Nº Pedido 373 Rastreio Pedido 373, agradecemos a preferência e adoraríamos receber sua avaliação, tendo qualquer dúvida estamos à disposição._x000a__x000a_Att_x000a_Tem tudo Shop"/>
  </r>
  <r>
    <s v="Pedido 111"/>
    <s v="CódRastreio104"/>
    <s v="CNBR012472634LG"/>
    <s v="BV"/>
    <d v="2024-11-12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111 Rastreio Pedido 111, agradecemos a preferência e adoraríamos receber sua avaliação, tendo qualquer dúvida estamos à disposição._x000a__x000a_Att_x000a_Tem tudo Shop"/>
  </r>
  <r>
    <s v="Pedido 312"/>
    <s v="CódRastreio305"/>
    <s v="CNBR012740931LG"/>
    <s v="BV"/>
    <d v="2024-12-06T00:00:00"/>
    <s v="Transp 1"/>
    <s v="-"/>
    <x v="1"/>
    <s v="Brasil"/>
    <d v="2024-11-19T00:00:00"/>
    <s v="Entregue"/>
    <x v="0"/>
    <s v="-"/>
    <x v="0"/>
    <s v="Olá Nome, _x000a_Identificamos que o Item Bomba d'agua foi entregue no dia 19/11/2024, referente ao pedido Nº Pedido 312 Rastreio Pedido 312, agradecemos a preferência e adoraríamos receber sua avaliação, tendo qualquer dúvida estamos à disposição._x000a__x000a_Att_x000a_Tem tudo Shop"/>
  </r>
  <r>
    <s v="Pedido 193"/>
    <s v="CódRastreio186"/>
    <s v="CNBR00048419HB"/>
    <s v="BV"/>
    <d v="2024-11-09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193 Rastreio Pedido 193, agradecemos a preferência e adoraríamos receber sua avaliação, tendo qualquer dúvida estamos à disposição._x000a__x000a_Att_x000a_Tem tudo Shop"/>
  </r>
  <r>
    <s v="Pedido 375"/>
    <s v="CódRastreio365"/>
    <s v="CNBR012886790LG"/>
    <s v="BV"/>
    <d v="2024-12-07T00:00:00"/>
    <s v="Transp 1"/>
    <s v="-"/>
    <x v="1"/>
    <s v="Brasil"/>
    <d v="2024-11-23T00:00:00"/>
    <s v="Entregue"/>
    <x v="0"/>
    <s v="-"/>
    <x v="0"/>
    <s v="Olá Nome, _x000a_Identificamos que o Item Mini Liquidificador foi entregue no dia 23/11/2024, referente ao pedido Nº Pedido 375 Rastreio Pedido 375, agradecemos a preferência e adoraríamos receber sua avaliação, tendo qualquer dúvida estamos à disposição._x000a__x000a_Att_x000a_Tem tudo Shop"/>
  </r>
  <r>
    <s v="Pedido 393"/>
    <s v="CódRastreio383"/>
    <s v="LP00693398764040"/>
    <s v="BV"/>
    <d v="2024-12-10T00:00:00"/>
    <s v="Transp 1"/>
    <s v="-"/>
    <x v="0"/>
    <s v="Brasil"/>
    <d v="2024-12-03T00:00:00"/>
    <s v="Entregue"/>
    <x v="0"/>
    <s v="-"/>
    <x v="0"/>
    <s v="Olá Nome, _x000a_Identificamos que o Item Ventilador de teto foi entregue no dia 03/12/2024, referente ao pedido Nº Pedido 393 Rastreio Pedido 393, agradecemos a preferência e adoraríamos receber sua avaliação, tendo qualquer dúvida estamos à disposição._x000a__x000a_Att_x000a_Tem tudo Shop"/>
  </r>
  <r>
    <s v="Pedido 390"/>
    <s v="CódRastreio380"/>
    <s v="LP00694112367598"/>
    <s v="BV"/>
    <d v="2024-12-10T00:00:00"/>
    <s v="Transp 1"/>
    <s v="-"/>
    <x v="0"/>
    <s v="Brasil"/>
    <d v="2024-12-03T00:00:00"/>
    <s v="Entregue"/>
    <x v="0"/>
    <s v="-"/>
    <x v="0"/>
    <s v="Olá Nome, _x000a_Identificamos que o Item Ventilador de teto foi entregue no dia 03/12/2024, referente ao pedido Nº Pedido 390 Rastreio Pedido 390, agradecemos a preferência e adoraríamos receber sua avaliação, tendo qualquer dúvida estamos à disposição._x000a__x000a_Att_x000a_Tem tudo Shop"/>
  </r>
  <r>
    <s v="Pedido 382"/>
    <s v="CódRastreio372"/>
    <n v="3621049606426"/>
    <s v="BV"/>
    <d v="2024-12-10T00:00:00"/>
    <s v="Transp 1"/>
    <s v="-"/>
    <x v="1"/>
    <s v="Brasil"/>
    <d v="2024-11-25T00:00:00"/>
    <s v="Entregue"/>
    <x v="0"/>
    <s v="-"/>
    <x v="0"/>
    <s v="Olá Nome, _x000a_Identificamos que o Item Mini Liquidificador foi entregue no dia 25/11/2024, referente ao pedido Nº Pedido 382 Rastreio Pedido 382, agradecemos a preferência e adoraríamos receber sua avaliação, tendo qualquer dúvida estamos à disposição._x000a__x000a_Att_x000a_Tem tudo Shop"/>
  </r>
  <r>
    <s v="Pedido 652"/>
    <s v="CódRastreio633"/>
    <s v="LP00705264271290"/>
    <s v="BV"/>
    <d v="2025-01-21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52 Rastreio Pedido 652, agradecemos a preferência e adoraríamos receber sua avaliação, tendo qualquer dúvida estamos à disposição._x000a__x000a_Att_x000a_Tem tudo Shop"/>
  </r>
  <r>
    <s v="Pedido 136"/>
    <s v="CódRastreio129"/>
    <s v="CNBR012519331LG"/>
    <s v="BV"/>
    <d v="2024-11-22T00:00:00"/>
    <s v="Transp 1"/>
    <s v="-"/>
    <x v="1"/>
    <s v="Brasil"/>
    <d v="2024-11-30T00:00:00"/>
    <s v="Entregue"/>
    <x v="0"/>
    <s v="Perdi Acesso ao Perfil"/>
    <x v="1"/>
    <s v="Olá Nome, _x000a_Identificamos que o Item Bomba d'agua foi entregue no dia 30/11/2024, referente ao pedido Nº Pedido 136 Rastreio Pedido 136, agradecemos a preferência e adoraríamos receber sua avaliação, tendo qualquer dúvida estamos à disposição._x000a__x000a_Att_x000a_Tem tudo Shop"/>
  </r>
  <r>
    <s v="Pedido 200"/>
    <s v="CódRastreio193"/>
    <s v="CNBR012622648LG"/>
    <s v="BV"/>
    <d v="2024-11-22T00:00:00"/>
    <s v="Transp 1"/>
    <s v="-"/>
    <x v="1"/>
    <s v="Brasil"/>
    <d v="2024-11-06T00:00:00"/>
    <s v="Entregue"/>
    <x v="0"/>
    <s v="-"/>
    <x v="0"/>
    <s v="Olá Nome, _x000a_Identificamos que o Item Bomba d'agua foi entregue no dia 06/11/2024, referente ao pedido Nº Pedido 200 Rastreio Pedido 200, agradecemos a preferência e adoraríamos receber sua avaliação, tendo qualquer dúvida estamos à disposição._x000a__x000a_Att_x000a_Tem tudo Shop"/>
  </r>
  <r>
    <s v="Pedido 452"/>
    <s v="CódRastreio437"/>
    <s v="LP00696268791372"/>
    <s v="BV"/>
    <d v="2024-12-18T00:00:00"/>
    <s v="Transp 1"/>
    <s v="-"/>
    <x v="0"/>
    <s v="Brasil"/>
    <d v="2024-12-10T00:00:00"/>
    <s v="Entregue"/>
    <x v="0"/>
    <s v="-"/>
    <x v="0"/>
    <s v="Olá Nome, _x000a_Identificamos que o Item Ventilador Umidificador Branco foi entregue no dia 10/12/2024, referente ao pedido Nº Pedido 452 Rastreio Pedido 452, agradecemos a preferência e adoraríamos receber sua avaliação, tendo qualquer dúvida estamos à disposição._x000a__x000a_Att_x000a_Tem tudo Shop"/>
  </r>
  <r>
    <s v="Pedido 307"/>
    <s v="CódRastreio300"/>
    <s v="CNBR012757319LG"/>
    <s v="BV"/>
    <d v="2024-12-06T00:00:00"/>
    <s v="Transp 1"/>
    <s v="-"/>
    <x v="1"/>
    <s v="Brasil"/>
    <d v="2024-11-28T00:00:00"/>
    <s v="Entregue"/>
    <x v="0"/>
    <s v="-"/>
    <x v="0"/>
    <s v="Olá Nome, _x000a_Identificamos que o Item Suporte de Celular Branco foi entregue no dia 28/11/2024, referente ao pedido Nº Pedido 307 Rastreio Pedido 307, agradecemos a preferência e adoraríamos receber sua avaliação, tendo qualquer dúvida estamos à disposição._x000a__x000a_Att_x000a_Tem tudo Shop"/>
  </r>
  <r>
    <s v="Pedido 566"/>
    <s v="CódRastreio551"/>
    <n v="888670000633393"/>
    <s v="BV"/>
    <d v="2025-01-09T00:00:00"/>
    <s v="Transp 1"/>
    <s v="-"/>
    <x v="1"/>
    <s v="Brasil"/>
    <d v="2024-12-19T00:00:00"/>
    <s v="Entregue"/>
    <x v="0"/>
    <s v="-"/>
    <x v="0"/>
    <s v="Olá Nome, _x000a_Identificamos que o Item Suporte de Celular Branco foi entregue no dia 19/12/2024, referente ao pedido Nº Pedido 566 Rastreio Pedido 566, agradecemos a preferência e adoraríamos receber sua avaliação, tendo qualquer dúvida estamos à disposição._x000a__x000a_Att_x000a_Tem tudo Shop"/>
  </r>
  <r>
    <s v="Pedido 201"/>
    <s v="CódRastreio194"/>
    <s v="CNBR012638055LG"/>
    <s v="BV"/>
    <d v="2024-11-19T00:00:00"/>
    <s v="Transp 1"/>
    <s v="-"/>
    <x v="1"/>
    <s v="Brasil"/>
    <d v="2024-11-06T00:00:00"/>
    <s v="Entregue"/>
    <x v="0"/>
    <s v="-"/>
    <x v="0"/>
    <s v="Olá Nome, _x000a_Identificamos que o Item Bomba d'agua foi entregue no dia 06/11/2024, referente ao pedido Nº Pedido 201 Rastreio Pedido 201, agradecemos a preferência e adoraríamos receber sua avaliação, tendo qualquer dúvida estamos à disposição._x000a__x000a_Att_x000a_Tem tudo Shop"/>
  </r>
  <r>
    <s v="Pedido 321"/>
    <s v="CódRastreio314"/>
    <s v="NM651793331BR"/>
    <s v="BV"/>
    <d v="2024-12-07T00:00:00"/>
    <s v="Transp 1"/>
    <s v="-"/>
    <x v="0"/>
    <s v="Brasil"/>
    <d v="2024-11-24T00:00:00"/>
    <s v="Entregue"/>
    <x v="0"/>
    <s v="Solicitado Reembolso"/>
    <x v="0"/>
    <s v="Olá Nome, _x000a_Identificamos que o Item Ventilador de teto foi entregue no dia 24/11/2024, referente ao pedido Nº Pedido 321 Rastreio Pedido 321, agradecemos a preferência e adoraríamos receber sua avaliação, tendo qualquer dúvida estamos à disposição._x000a__x000a_Att_x000a_Tem tudo Shop"/>
  </r>
  <r>
    <s v="Pedido 272"/>
    <s v="CódRastreio265"/>
    <n v="888670000190792"/>
    <s v="BV"/>
    <d v="2024-12-04T00:00:00"/>
    <s v="Transp 1"/>
    <s v="-"/>
    <x v="1"/>
    <s v="Brasil"/>
    <d v="2024-11-28T00:00:00"/>
    <s v="Entregue"/>
    <x v="0"/>
    <s v="-"/>
    <x v="0"/>
    <s v="Olá Nome, _x000a_Identificamos que o Item Suporte de Celular Branco foi entregue no dia 28/11/2024, referente ao pedido Nº Pedido 272 Rastreio Pedido 272, agradecemos a preferência e adoraríamos receber sua avaliação, tendo qualquer dúvida estamos à disposição._x000a__x000a_Att_x000a_Tem tudo Shop"/>
  </r>
  <r>
    <s v="Pedido 552"/>
    <s v="CódRastreio537"/>
    <s v="LP00700299038548"/>
    <s v="BV"/>
    <d v="2025-01-15T00:00:00"/>
    <s v="Transp 1"/>
    <s v="-"/>
    <x v="0"/>
    <s v="Brasil"/>
    <d v="2024-12-30T00:00:00"/>
    <s v="Entregue"/>
    <x v="0"/>
    <s v="-"/>
    <x v="0"/>
    <s v="Olá Nome, _x000a_Identificamos que o Item Lampada Led foi entregue no dia 30/12/2024, referente ao pedido Nº Pedido 552 Rastreio Pedido 552, agradecemos a preferência e adoraríamos receber sua avaliação, tendo qualquer dúvida estamos à disposição._x000a__x000a_Att_x000a_Tem tudo Shop"/>
  </r>
  <r>
    <s v="Pedido 78"/>
    <s v="CódRastreio69"/>
    <s v="CNBR012453175LG"/>
    <s v="BV"/>
    <d v="2024-11-21T00:00:00"/>
    <s v="Transp 1"/>
    <s v="-"/>
    <x v="1"/>
    <s v="Brasil"/>
    <d v="2024-11-01T00:00:00"/>
    <s v="Entregue"/>
    <x v="0"/>
    <s v="-"/>
    <x v="0"/>
    <s v="Olá Nome, _x000a_Identificamos que o Item Bomba d'agua foi entregue no dia 01/11/2024, referente ao pedido Nº Pedido 78 Rastreio Pedido 78, agradecemos a preferência e adoraríamos receber sua avaliação, tendo qualquer dúvida estamos à disposição._x000a__x000a_Att_x000a_Tem tudo Shop"/>
  </r>
  <r>
    <s v="Pedido 131"/>
    <s v="CódRastreio124"/>
    <s v="CNBR012492877LG"/>
    <s v="BV"/>
    <d v="2024-11-22T00:00:00"/>
    <s v="Transp 1"/>
    <s v="-"/>
    <x v="1"/>
    <s v="Brasil"/>
    <d v="2024-11-29T00:00:00"/>
    <s v="Entregue"/>
    <x v="0"/>
    <s v="Perdi Acesso ao Perfil"/>
    <x v="1"/>
    <s v="Olá Nome, _x000a_Identificamos que o Item Bomba d'agua foi entregue no dia 29/11/2024, referente ao pedido Nº Pedido 131 Rastreio Pedido 131, agradecemos a preferência e adoraríamos receber sua avaliação, tendo qualquer dúvida estamos à disposição._x000a__x000a_Att_x000a_Tem tudo Shop"/>
  </r>
  <r>
    <s v="Pedido 415"/>
    <s v="CódRastreio404"/>
    <s v="CNBR012985355LG"/>
    <s v="BV"/>
    <d v="2024-12-18T00:00:00"/>
    <s v="Transp 1"/>
    <s v="-"/>
    <x v="1"/>
    <s v="Brasil"/>
    <d v="2024-12-02T00:00:00"/>
    <s v="Entregue"/>
    <x v="0"/>
    <s v="-"/>
    <x v="0"/>
    <s v="Olá Nome, _x000a_Identificamos que o Item Adaptador Bluetooph foi entregue no dia 02/12/2024, referente ao pedido Nº Pedido 415 Rastreio Pedido 415, agradecemos a preferência e adoraríamos receber sua avaliação, tendo qualquer dúvida estamos à disposição._x000a__x000a_Att_x000a_Tem tudo Shop"/>
  </r>
  <r>
    <s v="Pedido 603"/>
    <s v="CódRastreio588"/>
    <s v="LP00704538919933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03 Rastreio Pedido 603, agradecemos a preferência e adoraríamos receber sua avaliação, tendo qualquer dúvida estamos à disposição._x000a__x000a_Att_x000a_Tem tudo Shop"/>
  </r>
  <r>
    <s v="Pedido 219"/>
    <s v="CódRastreio212"/>
    <n v="3621049596418"/>
    <s v="BV"/>
    <d v="2024-11-26T00:00:00"/>
    <s v="Transp 1"/>
    <s v="-"/>
    <x v="1"/>
    <s v="Brasil"/>
    <d v="2024-11-14T00:00:00"/>
    <s v="Entregue"/>
    <x v="0"/>
    <s v="-"/>
    <x v="0"/>
    <s v="Olá Nome, _x000a_Identificamos que o Item Balança foi entregue no dia 14/11/2024, referente ao pedido Nº Pedido 219 Rastreio Pedido 219, agradecemos a preferência e adoraríamos receber sua avaliação, tendo qualquer dúvida estamos à disposição._x000a__x000a_Att_x000a_Tem tudo Shop"/>
  </r>
  <r>
    <s v="Pedido 377"/>
    <s v="CódRastreio367"/>
    <n v="888670000331798"/>
    <s v="BV"/>
    <d v="2024-12-03T00:00:00"/>
    <s v="Transp 1"/>
    <s v="-"/>
    <x v="1"/>
    <s v="Brasil"/>
    <d v="2024-11-22T00:00:00"/>
    <s v="Entregue"/>
    <x v="0"/>
    <s v="-"/>
    <x v="0"/>
    <s v="Olá Nome, _x000a_Identificamos que o Item Mini Liquidificador foi entregue no dia 22/11/2024, referente ao pedido Nº Pedido 377 Rastreio Pedido 377, agradecemos a preferência e adoraríamos receber sua avaliação, tendo qualquer dúvida estamos à disposição._x000a__x000a_Att_x000a_Tem tudo Shop"/>
  </r>
  <r>
    <s v="Pedido 74"/>
    <s v="CódRastreio65"/>
    <s v="NM639976209BR"/>
    <s v="BV"/>
    <d v="2024-11-28T00:00:00"/>
    <s v="Transp 1"/>
    <s v="-"/>
    <x v="0"/>
    <s v="Brasil"/>
    <d v="2024-11-27T00:00:00"/>
    <s v="Entregue"/>
    <x v="0"/>
    <s v="-"/>
    <x v="0"/>
    <s v="Olá Nome, _x000a_Identificamos que o Item Ventilador Rosa foi entregue no dia 27/11/2024, referente ao pedido Nº Pedido 74 Rastreio Pedido 74, agradecemos a preferência e adoraríamos receber sua avaliação, tendo qualquer dúvida estamos à disposição._x000a__x000a_Att_x000a_Tem tudo Shop"/>
  </r>
  <r>
    <s v="Pedido 404"/>
    <s v="CódRastreio394"/>
    <s v="LP00695286787349"/>
    <s v="BV"/>
    <d v="2024-12-17T00:00:00"/>
    <s v="Transp 1"/>
    <s v="-"/>
    <x v="0"/>
    <s v="Brasil"/>
    <d v="2024-12-04T00:00:00"/>
    <s v="Entregue"/>
    <x v="0"/>
    <s v="-"/>
    <x v="0"/>
    <s v="Olá Nome, _x000a_Identificamos que o Item Ventilador Umidificador Branco foi entregue no dia 04/12/2024, referente ao pedido Nº Pedido 404 Rastreio Pedido 404, agradecemos a preferência e adoraríamos receber sua avaliação, tendo qualquer dúvida estamos à disposição._x000a__x000a_Att_x000a_Tem tudo Shop"/>
  </r>
  <r>
    <s v="Pedido 467"/>
    <s v="CódRastreio452"/>
    <s v="LP00697612381916"/>
    <s v="BV"/>
    <d v="2024-12-28T00:00:00"/>
    <s v="Transp 1"/>
    <s v="-"/>
    <x v="0"/>
    <s v="Brasil"/>
    <d v="2024-12-09T12:47:07"/>
    <s v="Entregue"/>
    <x v="0"/>
    <s v="-"/>
    <x v="0"/>
    <s v="Olá Nome, _x000a_Identificamos que o Item Ventilador Azul foi entregue no dia 09/12/2024, referente ao pedido Nº Pedido 467 Rastreio Pedido 467, agradecemos a preferência e adoraríamos receber sua avaliação, tendo qualquer dúvida estamos à disposição._x000a__x000a_Att_x000a_Tem tudo Shop"/>
  </r>
  <r>
    <s v="Pedido 395"/>
    <s v="CódRastreio385"/>
    <s v="CNBR000967862RS"/>
    <s v="BV"/>
    <d v="2024-12-11T00:00:00"/>
    <s v="Transp 1"/>
    <s v="-"/>
    <x v="1"/>
    <s v="Brasil"/>
    <d v="2024-11-29T00:00:00"/>
    <s v="Entregue"/>
    <x v="0"/>
    <s v="-"/>
    <x v="0"/>
    <s v="Olá Nome, _x000a_Identificamos que o Item Mini Liquidificador foi entregue no dia 29/11/2024, referente ao pedido Nº Pedido 395 Rastreio Pedido 395, agradecemos a preferência e adoraríamos receber sua avaliação, tendo qualquer dúvida estamos à disposição._x000a__x000a_Att_x000a_Tem tudo Shop"/>
  </r>
  <r>
    <s v="Pedido 127"/>
    <s v="CódRastreio120"/>
    <s v="CNBR00047451HB"/>
    <s v="BV"/>
    <d v="2024-11-09T00:00:00"/>
    <s v="Transp 1"/>
    <s v="-"/>
    <x v="1"/>
    <s v="Brasil"/>
    <d v="2024-10-31T00:00:00"/>
    <s v="Entregue"/>
    <x v="0"/>
    <s v="-"/>
    <x v="0"/>
    <s v="Olá Nome, _x000a_Identificamos que o Item Garrafa Termica foi entregue no dia 31/10/2024, referente ao pedido Nº Pedido 127 Rastreio Pedido 127, agradecemos a preferência e adoraríamos receber sua avaliação, tendo qualquer dúvida estamos à disposição._x000a__x000a_Att_x000a_Tem tudo Shop"/>
  </r>
  <r>
    <s v="Pedido 235"/>
    <s v="CódRastreio228"/>
    <s v="CNBR000872056RS"/>
    <s v="BV"/>
    <d v="2024-11-27T00:00:00"/>
    <s v="Transp 1"/>
    <s v="-"/>
    <x v="1"/>
    <s v="Brasil"/>
    <d v="2024-11-19T00:00:00"/>
    <s v="Entregue"/>
    <x v="0"/>
    <s v="-"/>
    <x v="0"/>
    <s v="Olá Nome, _x000a_Identificamos que o Item Bomba d'agua foi entregue no dia 19/11/2024, referente ao pedido Nº Pedido 235 Rastreio Pedido 235, agradecemos a preferência e adoraríamos receber sua avaliação, tendo qualquer dúvida estamos à disposição._x000a__x000a_Att_x000a_Tem tudo Shop"/>
  </r>
  <r>
    <s v="Pedido 167"/>
    <s v="CódRastreio160"/>
    <n v="888670000121722"/>
    <s v="BV"/>
    <d v="2024-11-12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167 Rastreio Pedido 167, agradecemos a preferência e adoraríamos receber sua avaliação, tendo qualquer dúvida estamos à disposição._x000a__x000a_Att_x000a_Tem tudo Shop"/>
  </r>
  <r>
    <s v="Pedido 255"/>
    <s v="CódRastreio248"/>
    <n v="3621049599520"/>
    <s v="BV"/>
    <d v="2024-11-27T00:00:00"/>
    <s v="Transp 1"/>
    <s v="-"/>
    <x v="1"/>
    <s v="Brasil"/>
    <d v="2024-11-19T00:00:00"/>
    <s v="Entregue"/>
    <x v="0"/>
    <s v="-"/>
    <x v="0"/>
    <s v="Olá Nome, _x000a_Identificamos que o Item Bomba d'agua foi entregue no dia 19/11/2024, referente ao pedido Nº Pedido 255 Rastreio Pedido 255, agradecemos a preferência e adoraríamos receber sua avaliação, tendo qualquer dúvida estamos à disposição._x000a__x000a_Att_x000a_Tem tudo Shop"/>
  </r>
  <r>
    <s v="Pedido 59"/>
    <s v="CódRastreio50"/>
    <s v="CNBR012412658LG"/>
    <s v="BV"/>
    <d v="2024-11-08T00:00:00"/>
    <s v="Transp 1"/>
    <s v="-"/>
    <x v="1"/>
    <s v="Brasil"/>
    <d v="2024-10-30T00:00:00"/>
    <s v="Entregue"/>
    <x v="0"/>
    <s v="-"/>
    <x v="0"/>
    <s v="Olá Nome, _x000a_Identificamos que o Item Mini Liquidificador foi entregue no dia 30/10/2024, referente ao pedido Nº Pedido 59 Rastreio Pedido 59, agradecemos a preferência e adoraríamos receber sua avaliação, tendo qualquer dúvida estamos à disposição._x000a__x000a_Att_x000a_Tem tudo Shop"/>
  </r>
  <r>
    <s v="Pedido 83"/>
    <s v="CódRastreio76"/>
    <s v="CNBR012450523LG"/>
    <s v="BV"/>
    <d v="2024-11-21T00:00:00"/>
    <s v="Transp 1"/>
    <s v="-"/>
    <x v="1"/>
    <s v="Brasil"/>
    <d v="2024-11-07T00:00:00"/>
    <s v="Entregue"/>
    <x v="0"/>
    <s v="-"/>
    <x v="0"/>
    <s v="Olá Nome, _x000a_Identificamos que o Item Suporte de Celular Branco foi entregue no dia 07/11/2024, referente ao pedido Nº Pedido 83 Rastreio Pedido 83, agradecemos a preferência e adoraríamos receber sua avaliação, tendo qualquer dúvida estamos à disposição._x000a__x000a_Att_x000a_Tem tudo Shop"/>
  </r>
  <r>
    <s v="Pedido 587"/>
    <s v="CódRastreio572"/>
    <s v="LP00701375240912"/>
    <s v="BV"/>
    <d v="2025-01-11T00:00:00"/>
    <s v="Transp 1"/>
    <s v="-"/>
    <x v="0"/>
    <s v="Brasil"/>
    <d v="2024-12-30T00:00:00"/>
    <s v="Entregue"/>
    <x v="0"/>
    <s v="-"/>
    <x v="0"/>
    <s v="Olá Nome, _x000a_Identificamos que o Item Ventilador Preto foi entregue no dia 30/12/2024, referente ao pedido Nº Pedido 587 Rastreio Pedido 587, agradecemos a preferência e adoraríamos receber sua avaliação, tendo qualquer dúvida estamos à disposição._x000a__x000a_Att_x000a_Tem tudo Shop"/>
  </r>
  <r>
    <s v="Pedido 258"/>
    <s v="CódRastreio251"/>
    <n v="3621049598952"/>
    <s v="BV"/>
    <d v="2024-11-27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258 Rastreio Pedido 258, agradecemos a preferência e adoraríamos receber sua avaliação, tendo qualquer dúvida estamos à disposição._x000a__x000a_Att_x000a_Tem tudo Shop"/>
  </r>
  <r>
    <s v="Pedido 477"/>
    <s v="CódRastreio462"/>
    <s v="LP00698260039093"/>
    <s v="BV"/>
    <d v="2024-12-20T00:00:00"/>
    <s v="Transp 1"/>
    <s v="-"/>
    <x v="0"/>
    <s v="Brasil"/>
    <d v="2025-01-03T00:00:00"/>
    <s v="Entregue"/>
    <x v="0"/>
    <s v="Fornecedor não vai Reembolsar"/>
    <x v="1"/>
    <s v="Olá Nome, _x000a_Identificamos que o Item Ventilador Rosa foi entregue no dia 03/01/2025, referente ao pedido Nº Pedido 477 Rastreio Pedido 477, agradecemos a preferência e adoraríamos receber sua avaliação, tendo qualquer dúvida estamos à disposição._x000a__x000a_Att_x000a_Tem tudo Shop"/>
  </r>
  <r>
    <s v="Pedido 440"/>
    <s v="CódRastreio425"/>
    <s v="LP00695227853930"/>
    <s v="BV"/>
    <d v="2024-12-21T00:00:00"/>
    <s v="Transp 1"/>
    <s v="-"/>
    <x v="0"/>
    <s v="Brasil"/>
    <d v="2024-12-16T00:00:00"/>
    <s v="Entregue"/>
    <x v="0"/>
    <s v="-"/>
    <x v="0"/>
    <s v="Olá Nome, _x000a_Identificamos que o Item Ventilador Rosa foi entregue no dia 16/12/2024, referente ao pedido Nº Pedido 440 Rastreio Pedido 440, agradecemos a preferência e adoraríamos receber sua avaliação, tendo qualquer dúvida estamos à disposição._x000a__x000a_Att_x000a_Tem tudo Shop"/>
  </r>
  <r>
    <s v="Pedido 71"/>
    <s v="CódRastreio62"/>
    <s v="CNBR012438425LG"/>
    <s v="BV"/>
    <d v="2024-11-20T00:00:00"/>
    <s v="Transp 1"/>
    <s v="-"/>
    <x v="1"/>
    <s v="Brasil"/>
    <d v="2024-11-01T00:00:00"/>
    <s v="Entregue"/>
    <x v="0"/>
    <s v="-"/>
    <x v="0"/>
    <s v="Olá Nome, _x000a_Identificamos que o Item Suporte de Celular Branco foi entregue no dia 01/11/2024, referente ao pedido Nº Pedido 71 Rastreio Pedido 71, agradecemos a preferência e adoraríamos receber sua avaliação, tendo qualquer dúvida estamos à disposição._x000a__x000a_Att_x000a_Tem tudo Shop"/>
  </r>
  <r>
    <s v="Pedido 589"/>
    <s v="CódRastreio574"/>
    <n v="888670000713485"/>
    <s v="BV"/>
    <d v="2025-01-18T00:00:00"/>
    <s v="Transp 1"/>
    <s v="-"/>
    <x v="1"/>
    <s v="Brasil"/>
    <d v="2024-12-30T00:00:00"/>
    <s v="Entregue"/>
    <x v="0"/>
    <s v="-"/>
    <x v="0"/>
    <s v="Olá Nome, _x000a_Identificamos que o Item Adaptador Bluetooph foi entregue no dia 30/12/2024, referente ao pedido Nº Pedido 589 Rastreio Pedido 589, agradecemos a preferência e adoraríamos receber sua avaliação, tendo qualquer dúvida estamos à disposição._x000a__x000a_Att_x000a_Tem tudo Shop"/>
  </r>
  <r>
    <s v="Pedido 17"/>
    <s v="CódRastreio8"/>
    <s v="CNBR012331764LG"/>
    <s v="BV"/>
    <d v="2024-11-08T00:00:00"/>
    <s v="Transp 1"/>
    <s v="-"/>
    <x v="1"/>
    <s v="Brasil"/>
    <d v="2024-10-28T00:00:00"/>
    <s v="Entregue"/>
    <x v="0"/>
    <s v="-"/>
    <x v="0"/>
    <s v="Olá Nome, _x000a_Identificamos que o Item Bomba d'agua foi entregue no dia 28/10/2024, referente ao pedido Nº Pedido 17 Rastreio Pedido 17, agradecemos a preferência e adoraríamos receber sua avaliação, tendo qualquer dúvida estamos à disposição._x000a__x000a_Att_x000a_Tem tudo Shop"/>
  </r>
  <r>
    <s v="Pedido 621"/>
    <s v="CódRastreio604"/>
    <s v="LP00704312130936"/>
    <s v="BV"/>
    <d v="2025-01-23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21 Rastreio Pedido 621, agradecemos a preferência e adoraríamos receber sua avaliação, tendo qualquer dúvida estamos à disposição._x000a__x000a_Att_x000a_Tem tudo Shop"/>
  </r>
  <r>
    <s v="Pedido 196"/>
    <s v="CódRastreio189"/>
    <s v="NM644175687BR"/>
    <s v="BV"/>
    <d v="2024-11-15T00:00:00"/>
    <s v="Transp 1"/>
    <s v="-"/>
    <x v="0"/>
    <s v="Brasil"/>
    <d v="2024-11-15T00:00:00"/>
    <s v="Entregue"/>
    <x v="0"/>
    <s v="-"/>
    <x v="0"/>
    <s v="Olá Nome, _x000a_Identificamos que o Item Ventilador de teto foi entregue no dia 15/11/2024, referente ao pedido Nº Pedido 196 Rastreio Pedido 196, agradecemos a preferência e adoraríamos receber sua avaliação, tendo qualquer dúvida estamos à disposição._x000a__x000a_Att_x000a_Tem tudo Shop"/>
  </r>
  <r>
    <s v="Pedido 187"/>
    <s v="CódRastreio180"/>
    <s v="NM643684621BR"/>
    <s v="BV"/>
    <d v="2024-11-22T00:00:00"/>
    <s v="Transp 1"/>
    <s v="-"/>
    <x v="0"/>
    <s v="Brasil"/>
    <d v="2024-11-11T00:00:00"/>
    <s v="Entregue"/>
    <x v="0"/>
    <s v="-"/>
    <x v="0"/>
    <s v="Olá Nome, _x000a_Identificamos que o Item Ventilador Preto foi entregue no dia 11/11/2024, referente ao pedido Nº Pedido 187 Rastreio Pedido 187, agradecemos a preferência e adoraríamos receber sua avaliação, tendo qualquer dúvida estamos à disposição._x000a__x000a_Att_x000a_Tem tudo Shop"/>
  </r>
  <r>
    <s v="Pedido 374"/>
    <s v="CódRastreio364"/>
    <s v="LP00692344924137"/>
    <s v="BV"/>
    <d v="2024-12-20T00:00:00"/>
    <s v="Transp 1"/>
    <s v="-"/>
    <x v="0"/>
    <s v="Brasil"/>
    <d v="2024-12-04T00:00:00"/>
    <s v="Entregue"/>
    <x v="0"/>
    <s v="-"/>
    <x v="0"/>
    <s v="Olá Nome, _x000a_Identificamos que o Item Ventilador Umidificador Preto foi entregue no dia 04/12/2024, referente ao pedido Nº Pedido 374 Rastreio Pedido 374, agradecemos a preferência e adoraríamos receber sua avaliação, tendo qualquer dúvida estamos à disposição._x000a__x000a_Att_x000a_Tem tudo Shop"/>
  </r>
  <r>
    <s v="Pedido 516"/>
    <s v="CódRastreio501"/>
    <s v="LP00698614070235"/>
    <s v="BV"/>
    <d v="2025-01-15T00:00:00"/>
    <s v="Transp 1"/>
    <s v="-"/>
    <x v="0"/>
    <s v="Brasil"/>
    <d v="2024-12-24T00:00:00"/>
    <s v="Entregue"/>
    <x v="0"/>
    <s v="-"/>
    <x v="0"/>
    <s v="Olá Nome, _x000a_Identificamos que o Item Ventilador Rosa foi entregue no dia 24/12/2024, referente ao pedido Nº Pedido 516 Rastreio Pedido 516, agradecemos a preferência e adoraríamos receber sua avaliação, tendo qualquer dúvida estamos à disposição._x000a__x000a_Att_x000a_Tem tudo Shop"/>
  </r>
  <r>
    <s v="Pedido 417"/>
    <s v="CódRastreio406"/>
    <s v="LP00694844738387"/>
    <s v="BV"/>
    <d v="2024-12-12T00:00:00"/>
    <s v="Transp 1"/>
    <s v="-"/>
    <x v="0"/>
    <s v="Brasil"/>
    <d v="2024-12-04T00:00:00"/>
    <s v="Entregue"/>
    <x v="0"/>
    <s v="Cliente Notificado"/>
    <x v="0"/>
    <s v="Olá Nome, _x000a_Identificamos que o Item Ventilador Preto foi entregue no dia 04/12/2024, referente ao pedido Nº Pedido 417 Rastreio Pedido 417, agradecemos a preferência e adoraríamos receber sua avaliação, tendo qualquer dúvida estamos à disposição._x000a__x000a_Att_x000a_Tem tudo Shop"/>
  </r>
  <r>
    <s v="Pedido 418"/>
    <s v="CódRastreio407"/>
    <s v="LP00694810803537"/>
    <s v="BV"/>
    <d v="2024-12-12T00:00:00"/>
    <s v="Transp 1"/>
    <s v="-"/>
    <x v="0"/>
    <s v="Brasil"/>
    <d v="2024-12-04T00:00:00"/>
    <s v="Entregue"/>
    <x v="0"/>
    <s v="Cliente Notificado"/>
    <x v="0"/>
    <s v="Olá Nome, _x000a_Identificamos que o Item Ventilador Preto foi entregue no dia 04/12/2024, referente ao pedido Nº Pedido 418 Rastreio Pedido 418, agradecemos a preferência e adoraríamos receber sua avaliação, tendo qualquer dúvida estamos à disposição._x000a__x000a_Att_x000a_Tem tudo Shop"/>
  </r>
  <r>
    <s v="Pedido 411"/>
    <s v="CódRastreio400"/>
    <s v="CNBR012967374LG"/>
    <s v="BV"/>
    <d v="2024-12-17T00:00:00"/>
    <s v="Transp 1"/>
    <s v="-"/>
    <x v="1"/>
    <s v="Brasil"/>
    <d v="2024-11-26T00:00:00"/>
    <s v="Entregue"/>
    <x v="0"/>
    <s v="-"/>
    <x v="0"/>
    <s v="Olá Nome, _x000a_Identificamos que o Item Mini Mixer Misturador foi entregue no dia 26/11/2024, referente ao pedido Nº Pedido 411 Rastreio Pedido 411, agradecemos a preferência e adoraríamos receber sua avaliação, tendo qualquer dúvida estamos à disposição._x000a__x000a_Att_x000a_Tem tudo Shop"/>
  </r>
  <r>
    <s v="Pedido 149"/>
    <s v="CódRastreio142"/>
    <s v="CNBR00047962HB"/>
    <s v="BV"/>
    <d v="2024-11-12T00:00:00"/>
    <s v="Transp 1"/>
    <s v="-"/>
    <x v="1"/>
    <s v="Brasil"/>
    <d v="2024-10-31T00:00:00"/>
    <s v="Entregue"/>
    <x v="0"/>
    <s v="-"/>
    <x v="0"/>
    <s v="Olá Nome, _x000a_Identificamos que o Item Balança foi entregue no dia 31/10/2024, referente ao pedido Nº Pedido 149 Rastreio Pedido 149, agradecemos a preferência e adoraríamos receber sua avaliação, tendo qualquer dúvida estamos à disposição._x000a__x000a_Att_x000a_Tem tudo Shop"/>
  </r>
  <r>
    <s v="Pedido 492"/>
    <s v="CódRastreio478"/>
    <s v="LP00697018750746"/>
    <s v="BV"/>
    <d v="2025-01-03T00:00:00"/>
    <s v="Transp 1"/>
    <s v="-"/>
    <x v="0"/>
    <s v="Brasil"/>
    <d v="2024-12-12T00:00:00"/>
    <s v="Entregue"/>
    <x v="0"/>
    <s v="-"/>
    <x v="0"/>
    <s v="Olá Nome, _x000a_Identificamos que o Item Ventilador Azul foi entregue no dia 12/12/2024, referente ao pedido Nº Pedido 492 Rastreio Pedido 492, agradecemos a preferência e adoraríamos receber sua avaliação, tendo qualquer dúvida estamos à disposição._x000a__x000a_Att_x000a_Tem tudo Shop"/>
  </r>
  <r>
    <s v="Pedido 156"/>
    <s v="CódRastreio149"/>
    <s v="CNBR012558370LG"/>
    <s v="BV"/>
    <d v="2024-11-19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56 Rastreio Pedido 156, agradecemos a preferência e adoraríamos receber sua avaliação, tendo qualquer dúvida estamos à disposição._x000a__x000a_Att_x000a_Tem tudo Shop"/>
  </r>
  <r>
    <s v="Pedido 53"/>
    <s v="CódRastreio44"/>
    <s v="CNBR012408738LG"/>
    <s v="BV"/>
    <d v="2024-11-19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53 Rastreio Pedido 53, agradecemos a preferência e adoraríamos receber sua avaliação, tendo qualquer dúvida estamos à disposição._x000a__x000a_Att_x000a_Tem tudo Shop"/>
  </r>
  <r>
    <s v="Pedido 567"/>
    <s v="CódRastreio552"/>
    <s v="LP00701539428521"/>
    <s v="BV"/>
    <d v="2025-01-15T00:00:00"/>
    <s v="Transp 1"/>
    <s v="-"/>
    <x v="0"/>
    <s v="Brasil"/>
    <d v="2024-12-30T00:00:00"/>
    <s v="Entregue"/>
    <x v="0"/>
    <s v="-"/>
    <x v="0"/>
    <s v="Olá Nome, _x000a_Identificamos que o Item Ventilador de teto foi entregue no dia 30/12/2024, referente ao pedido Nº Pedido 567 Rastreio Pedido 567, agradecemos a preferência e adoraríamos receber sua avaliação, tendo qualquer dúvida estamos à disposição._x000a__x000a_Att_x000a_Tem tudo Shop"/>
  </r>
  <r>
    <s v="Pedido 123"/>
    <s v="CódRastreio116"/>
    <s v="NM641190813BR"/>
    <s v="BV"/>
    <d v="2024-11-28T00:00:00"/>
    <s v="Transp 1"/>
    <s v="-"/>
    <x v="0"/>
    <s v="Brasil"/>
    <d v="2024-11-11T00:00:00"/>
    <s v="Entregue"/>
    <x v="0"/>
    <s v="-"/>
    <x v="0"/>
    <s v="Olá Nome, _x000a_Identificamos que o Item Ventilador Rosa foi entregue no dia 11/11/2024, referente ao pedido Nº Pedido 123 Rastreio Pedido 123, agradecemos a preferência e adoraríamos receber sua avaliação, tendo qualquer dúvida estamos à disposição._x000a__x000a_Att_x000a_Tem tudo Shop"/>
  </r>
  <r>
    <s v="Pedido 459"/>
    <s v="CódRastreio444"/>
    <n v="888670000529526"/>
    <s v="BV"/>
    <d v="2024-12-17T00:00:00"/>
    <s v="Transp 1"/>
    <s v="-"/>
    <x v="1"/>
    <s v="Brasil"/>
    <d v="2024-12-02T00:00:00"/>
    <s v="Entregue"/>
    <x v="0"/>
    <s v="-"/>
    <x v="0"/>
    <s v="Olá Nome, _x000a_Identificamos que o Item Adaptador Bluetooph foi entregue no dia 02/12/2024, referente ao pedido Nº Pedido 459 Rastreio Pedido 459, agradecemos a preferência e adoraríamos receber sua avaliação, tendo qualquer dúvida estamos à disposição._x000a__x000a_Att_x000a_Tem tudo Shop"/>
  </r>
  <r>
    <s v="Pedido 116"/>
    <s v="CódRastreio109"/>
    <s v="CNBR012473657LG"/>
    <s v="BV"/>
    <d v="2024-11-21T00:00:00"/>
    <s v="Transp 1"/>
    <s v="-"/>
    <x v="1"/>
    <s v="Brasil"/>
    <d v="2024-11-01T00:00:00"/>
    <s v="Entregue"/>
    <x v="0"/>
    <s v="-"/>
    <x v="0"/>
    <s v="Olá Nome, _x000a_Identificamos que o Item Bomba d'agua foi entregue no dia 01/11/2024, referente ao pedido Nº Pedido 116 Rastreio Pedido 116, agradecemos a preferência e adoraríamos receber sua avaliação, tendo qualquer dúvida estamos à disposição._x000a__x000a_Att_x000a_Tem tudo Shop"/>
  </r>
  <r>
    <s v="Pedido 175"/>
    <s v="CódRastreio168"/>
    <s v="CNBR000823948RS"/>
    <s v="BV"/>
    <d v="2024-11-14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175 Rastreio Pedido 175, agradecemos a preferência e adoraríamos receber sua avaliação, tendo qualquer dúvida estamos à disposição._x000a__x000a_Att_x000a_Tem tudo Shop"/>
  </r>
  <r>
    <s v="Pedido 223"/>
    <s v="CódRastreio216"/>
    <s v="CNBR012662015LG"/>
    <s v="BV"/>
    <d v="2024-11-30T00:00:00"/>
    <s v="Transp 1"/>
    <s v="-"/>
    <x v="1"/>
    <s v="Brasil"/>
    <d v="2024-11-14T00:00:00"/>
    <s v="Entregue"/>
    <x v="0"/>
    <s v="-"/>
    <x v="0"/>
    <s v="Olá Nome, _x000a_Identificamos que o Item Copo Termico foi entregue no dia 14/11/2024, referente ao pedido Nº Pedido 223 Rastreio Pedido 223, agradecemos a preferência e adoraríamos receber sua avaliação, tendo qualquer dúvida estamos à disposição._x000a__x000a_Att_x000a_Tem tudo Shop"/>
  </r>
  <r>
    <s v="Pedido 169"/>
    <s v="CódRastreio162"/>
    <s v="CNBR012582263LG"/>
    <s v="BV"/>
    <d v="2024-11-14T00:00:00"/>
    <s v="Transp 1"/>
    <s v="-"/>
    <x v="1"/>
    <s v="Brasil"/>
    <d v="2024-11-02T00:00:00"/>
    <s v="Entregue"/>
    <x v="0"/>
    <s v="-"/>
    <x v="0"/>
    <s v="Olá Nome, _x000a_Identificamos que o Item Suporte de Celular Branco foi entregue no dia 02/11/2024, referente ao pedido Nº Pedido 169 Rastreio Pedido 169, agradecemos a preferência e adoraríamos receber sua avaliação, tendo qualquer dúvida estamos à disposição._x000a__x000a_Att_x000a_Tem tudo Shop"/>
  </r>
  <r>
    <s v="Pedido 14"/>
    <s v="CódRastreio5"/>
    <s v="CNBR012328796LG"/>
    <s v="BV"/>
    <d v="2024-11-14T00:00:00"/>
    <s v="Transp 1"/>
    <s v="-"/>
    <x v="1"/>
    <s v="Brasil"/>
    <d v="2024-11-28T00:00:00"/>
    <s v="Entregue"/>
    <x v="0"/>
    <s v="Cliente Notificado"/>
    <x v="1"/>
    <s v="Olá Nome, _x000a_Identificamos que o Item Suporte de Celular Preto foi entregue no dia 28/11/2024, referente ao pedido Nº Pedido 14 Rastreio Pedido 14, agradecemos a preferência e adoraríamos receber sua avaliação, tendo qualquer dúvida estamos à disposição._x000a__x000a_Att_x000a_Tem tudo Shop"/>
  </r>
  <r>
    <s v="Pedido 68"/>
    <s v="CódRastreio59"/>
    <s v="CNBR012427842LG"/>
    <s v="BV"/>
    <d v="2024-11-07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68 Rastreio Pedido 68, agradecemos a preferência e adoraríamos receber sua avaliação, tendo qualquer dúvida estamos à disposição._x000a__x000a_Att_x000a_Tem tudo Shop"/>
  </r>
  <r>
    <s v="Pedido 275"/>
    <s v="CódRastreio268"/>
    <n v="888670000161465"/>
    <s v="BV"/>
    <d v="2024-12-04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75 Rastreio Pedido 275, agradecemos a preferência e adoraríamos receber sua avaliação, tendo qualquer dúvida estamos à disposição._x000a__x000a_Att_x000a_Tem tudo Shop"/>
  </r>
  <r>
    <s v="Pedido 551"/>
    <s v="CódRastreio536"/>
    <n v="888670000630422"/>
    <s v="BV"/>
    <d v="2025-01-15T00:00:00"/>
    <s v="Transp 1"/>
    <s v="-"/>
    <x v="1"/>
    <s v="Brasil"/>
    <d v="2024-12-21T00:00:00"/>
    <s v="Entregue"/>
    <x v="0"/>
    <s v="-"/>
    <x v="0"/>
    <s v="Olá Nome, _x000a_Identificamos que o Item Suporte de Celular Branco foi entregue no dia 21/12/2024, referente ao pedido Nº Pedido 551 Rastreio Pedido 551, agradecemos a preferência e adoraríamos receber sua avaliação, tendo qualquer dúvida estamos à disposição._x000a__x000a_Att_x000a_Tem tudo Shop"/>
  </r>
  <r>
    <s v="Pedido 237"/>
    <s v="CódRastreio230"/>
    <s v="NM646429716BR"/>
    <s v="BV"/>
    <d v="2024-12-07T00:00:00"/>
    <s v="Transp 1"/>
    <s v="-"/>
    <x v="0"/>
    <s v="Brasil"/>
    <d v="2024-11-22T00:00:00"/>
    <s v="Entregue"/>
    <x v="0"/>
    <s v="-"/>
    <x v="0"/>
    <s v="Olá Nome, _x000a_Identificamos que o Item Suporte de Celular Branco foi entregue no dia 22/11/2024, referente ao pedido Nº Pedido 237 Rastreio Pedido 237, agradecemos a preferência e adoraríamos receber sua avaliação, tendo qualquer dúvida estamos à disposição._x000a__x000a_Att_x000a_Tem tudo Shop"/>
  </r>
  <r>
    <s v="Pedido 548"/>
    <s v="CódRastreio533"/>
    <s v="LP00700041447808"/>
    <s v="BV"/>
    <d v="2025-01-14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48 Rastreio Pedido 548, agradecemos a preferência e adoraríamos receber sua avaliação, tendo qualquer dúvida estamos à disposição._x000a__x000a_Att_x000a_Tem tudo Shop"/>
  </r>
  <r>
    <s v="Pedido 22"/>
    <s v="CódRastreio13"/>
    <s v="CNBR000786701RS"/>
    <s v="BV"/>
    <d v="2024-11-09T00:00:00"/>
    <s v="Transp 1"/>
    <s v="-"/>
    <x v="1"/>
    <s v="Brasil"/>
    <d v="2024-10-26T00:00:00"/>
    <s v="Entregue"/>
    <x v="0"/>
    <s v="-"/>
    <x v="0"/>
    <s v="Olá Nome, _x000a_Identificamos que o Item Balança foi entregue no dia 26/10/2024, referente ao pedido Nº Pedido 22 Rastreio Pedido 22, agradecemos a preferência e adoraríamos receber sua avaliação, tendo qualquer dúvida estamos à disposição._x000a__x000a_Att_x000a_Tem tudo Shop"/>
  </r>
  <r>
    <s v="Pedido 38"/>
    <s v="CódRastreio29"/>
    <s v="CNBR000781885RS"/>
    <s v="BV"/>
    <d v="2024-11-12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38 Rastreio Pedido 38, agradecemos a preferência e adoraríamos receber sua avaliação, tendo qualquer dúvida estamos à disposição._x000a__x000a_Att_x000a_Tem tudo Shop"/>
  </r>
  <r>
    <s v="Pedido 327"/>
    <s v="CódRastreio320"/>
    <s v="NM651765622BR"/>
    <s v="BV"/>
    <d v="2024-12-07T00:00:00"/>
    <s v="Transp 1"/>
    <s v="-"/>
    <x v="0"/>
    <s v="Brasil"/>
    <d v="2024-11-19T00:00:00"/>
    <s v="Entregue"/>
    <x v="0"/>
    <s v="-"/>
    <x v="0"/>
    <s v="Olá Nome, _x000a_Identificamos que o Item Ventilador de teto foi entregue no dia 19/11/2024, referente ao pedido Nº Pedido 327 Rastreio Pedido 327, agradecemos a preferência e adoraríamos receber sua avaliação, tendo qualquer dúvida estamos à disposição._x000a__x000a_Att_x000a_Tem tudo Shop"/>
  </r>
  <r>
    <s v="Pedido 348"/>
    <s v="CódRastreio341"/>
    <s v="CNBR012848743LG"/>
    <s v="BV"/>
    <d v="2024-12-11T00:00:00"/>
    <s v="Transp 1"/>
    <s v="-"/>
    <x v="1"/>
    <s v="Brasil"/>
    <d v="2024-12-16T00:00:00"/>
    <s v="Entregue"/>
    <x v="0"/>
    <s v="Solicitado Reembolso"/>
    <x v="1"/>
    <s v="Olá Nome, _x000a_Identificamos que o Item Mini Liquidificador foi entregue no dia 16/12/2024, referente ao pedido Nº Pedido 348 Rastreio Pedido 348, agradecemos a preferência e adoraríamos receber sua avaliação, tendo qualquer dúvida estamos à disposição._x000a__x000a_Att_x000a_Tem tudo Shop"/>
  </r>
  <r>
    <s v="Pedido 336"/>
    <s v="CódRastreio329"/>
    <s v="NM653719268BR"/>
    <s v="BV"/>
    <d v="2024-12-07T00:00:00"/>
    <s v="Transp 1"/>
    <s v="-"/>
    <x v="0"/>
    <s v="Brasil"/>
    <d v="2024-11-26T00:00:00"/>
    <s v="Entregue"/>
    <x v="0"/>
    <s v="-"/>
    <x v="0"/>
    <s v="Olá Nome, _x000a_Identificamos que o Item Ventilador Azul foi entregue no dia 26/11/2024, referente ao pedido Nº Pedido 336 Rastreio Pedido 336, agradecemos a preferência e adoraríamos receber sua avaliação, tendo qualquer dúvida estamos à disposição._x000a__x000a_Att_x000a_Tem tudo Shop"/>
  </r>
  <r>
    <s v="Pedido 19"/>
    <s v="CódRastreio10"/>
    <s v="CNBR012348447LG"/>
    <s v="BV"/>
    <d v="2024-11-09T00:00:00"/>
    <s v="Transp 1"/>
    <s v="-"/>
    <x v="1"/>
    <s v="Brasil"/>
    <d v="2024-10-25T00:00:00"/>
    <s v="Entregue"/>
    <x v="0"/>
    <s v="-"/>
    <x v="0"/>
    <s v="Olá Nome, _x000a_Identificamos que o Item Bomba d'agua foi entregue no dia 25/10/2024, referente ao pedido Nº Pedido 19 Rastreio Pedido 19, agradecemos a preferência e adoraríamos receber sua avaliação, tendo qualquer dúvida estamos à disposição._x000a__x000a_Att_x000a_Tem tudo Shop"/>
  </r>
  <r>
    <s v="Pedido 32"/>
    <s v="CódRastreio23"/>
    <s v="CNBR00045410HB"/>
    <s v="BV"/>
    <d v="2024-11-05T00:00:00"/>
    <s v="Transp 1"/>
    <s v="-"/>
    <x v="1"/>
    <s v="Brasil"/>
    <d v="2024-10-25T00:00:00"/>
    <s v="Entregue"/>
    <x v="0"/>
    <s v="-"/>
    <x v="0"/>
    <s v="Olá Nome, _x000a_Identificamos que o Item Bomba d'agua foi entregue no dia 25/10/2024, referente ao pedido Nº Pedido 32 Rastreio Pedido 32, agradecemos a preferência e adoraríamos receber sua avaliação, tendo qualquer dúvida estamos à disposição._x000a__x000a_Att_x000a_Tem tudo Shop"/>
  </r>
  <r>
    <s v="Pedido 496"/>
    <s v="CódRastreio482"/>
    <s v="LP00697821363496"/>
    <s v="BV"/>
    <d v="2024-12-24T00:00:00"/>
    <s v="Transp 1"/>
    <s v="-"/>
    <x v="0"/>
    <s v="Brasil"/>
    <d v="2024-12-13T00:00:00"/>
    <s v="Entregue"/>
    <x v="0"/>
    <s v="-"/>
    <x v="0"/>
    <s v="Olá Nome, _x000a_Identificamos que o Item Ventilador Preto foi entregue no dia 13/12/2024, referente ao pedido Nº Pedido 496 Rastreio Pedido 496, agradecemos a preferência e adoraríamos receber sua avaliação, tendo qualquer dúvida estamos à disposição._x000a__x000a_Att_x000a_Tem tudo Shop"/>
  </r>
  <r>
    <s v="Pedido 250"/>
    <s v="CódRastreio243"/>
    <n v="888670000158960"/>
    <s v="BV"/>
    <d v="2024-12-03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250 Rastreio Pedido 250, agradecemos a preferência e adoraríamos receber sua avaliação, tendo qualquer dúvida estamos à disposição._x000a__x000a_Att_x000a_Tem tudo Shop"/>
  </r>
  <r>
    <s v="Pedido 179"/>
    <s v="CódRastreio172"/>
    <s v="NM643403502BR"/>
    <s v="BV"/>
    <d v="2024-11-14T00:00:00"/>
    <s v="Transp 1"/>
    <s v="-"/>
    <x v="0"/>
    <s v="Brasil"/>
    <d v="2024-11-08T00:00:00"/>
    <s v="Entregue"/>
    <x v="0"/>
    <s v="-"/>
    <x v="0"/>
    <s v="Olá Nome, _x000a_Identificamos que o Item Ventilador de teto foi entregue no dia 08/11/2024, referente ao pedido Nº Pedido 179 Rastreio Pedido 179, agradecemos a preferência e adoraríamos receber sua avaliação, tendo qualquer dúvida estamos à disposição._x000a__x000a_Att_x000a_Tem tudo Shop"/>
  </r>
  <r>
    <s v="Pedido 447"/>
    <s v="CódRastreio433"/>
    <s v="LP00696845593036"/>
    <s v="BV"/>
    <d v="2024-12-17T00:00:00"/>
    <s v="Transp 1"/>
    <s v="-"/>
    <x v="0"/>
    <s v="Brasil"/>
    <d v="2024-12-10T00:00:00"/>
    <s v="Entregue"/>
    <x v="0"/>
    <s v="-"/>
    <x v="0"/>
    <s v="Olá Nome, _x000a_Identificamos que o Item Ventilador Rosa foi entregue no dia 10/12/2024, referente ao pedido Nº Pedido 447 Rastreio Pedido 447, agradecemos a preferência e adoraríamos receber sua avaliação, tendo qualquer dúvida estamos à disposição._x000a__x000a_Att_x000a_Tem tudo Shop"/>
  </r>
  <r>
    <s v="Pedido 180"/>
    <s v="CódRastreio173"/>
    <s v="CNBR012579587LG"/>
    <s v="BV"/>
    <d v="2024-11-14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180 Rastreio Pedido 180, agradecemos a preferência e adoraríamos receber sua avaliação, tendo qualquer dúvida estamos à disposição._x000a__x000a_Att_x000a_Tem tudo Shop"/>
  </r>
  <r>
    <s v="Pedido 456"/>
    <s v="CódRastreio441"/>
    <s v="LP00696573950966"/>
    <s v="BV"/>
    <d v="2024-12-19T00:00:00"/>
    <s v="Transp 1"/>
    <s v="-"/>
    <x v="0"/>
    <s v="Brasil"/>
    <d v="2024-12-10T00:00:00"/>
    <s v="Entregue"/>
    <x v="0"/>
    <s v="-"/>
    <x v="0"/>
    <s v="Olá Nome, _x000a_Identificamos que o Item Ventilador Preto foi entregue no dia 10/12/2024, referente ao pedido Nº Pedido 456 Rastreio Pedido 456, agradecemos a preferência e adoraríamos receber sua avaliação, tendo qualquer dúvida estamos à disposição._x000a__x000a_Att_x000a_Tem tudo Shop"/>
  </r>
  <r>
    <s v="Pedido 576"/>
    <s v="CódRastreio561"/>
    <s v="LP00701849659676"/>
    <s v="BV"/>
    <d v="2025-01-10T00:00:00"/>
    <s v="Transp 1"/>
    <s v="-"/>
    <x v="0"/>
    <s v="Brasil"/>
    <d v="2024-12-30T00:00:00"/>
    <s v="Entregue"/>
    <x v="0"/>
    <s v="-"/>
    <x v="0"/>
    <s v="Olá Nome, _x000a_Identificamos que o Item Ventilador Preto foi entregue no dia 30/12/2024, referente ao pedido Nº Pedido 576 Rastreio Pedido 576, agradecemos a preferência e adoraríamos receber sua avaliação, tendo qualquer dúvida estamos à disposição._x000a__x000a_Att_x000a_Tem tudo Shop"/>
  </r>
  <r>
    <s v="Pedido 450"/>
    <s v="CódRastreio436"/>
    <s v="LP00695508689088"/>
    <s v="BV"/>
    <d v="2024-12-18T00:00:00"/>
    <s v="Transp 1"/>
    <s v="-"/>
    <x v="0"/>
    <s v="Brasil"/>
    <d v="2024-12-05T11:58:45"/>
    <s v="Entregue"/>
    <x v="0"/>
    <s v="-"/>
    <x v="0"/>
    <s v="Olá Nome, _x000a_Identificamos que o Item Ventilador Rosa foi entregue no dia 05/12/2024, referente ao pedido Nº Pedido 450 Rastreio Pedido 450, agradecemos a preferência e adoraríamos receber sua avaliação, tendo qualquer dúvida estamos à disposição._x000a__x000a_Att_x000a_Tem tudo Shop"/>
  </r>
  <r>
    <s v="Pedido 438"/>
    <s v="CódRastreio423"/>
    <s v="LP00695292743129"/>
    <s v="BV"/>
    <d v="2024-12-21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38 Rastreio Pedido 438, agradecemos a preferência e adoraríamos receber sua avaliação, tendo qualquer dúvida estamos à disposição._x000a__x000a_Att_x000a_Tem tudo Shop"/>
  </r>
  <r>
    <s v="Pedido 355"/>
    <s v="CódRastreio348"/>
    <s v="NM655583599BR"/>
    <s v="BV"/>
    <d v="2024-12-11T00:00:00"/>
    <s v="Transp 1"/>
    <s v="-"/>
    <x v="0"/>
    <s v="Brasil"/>
    <d v="2024-11-27T00:00:00"/>
    <s v="Entregue"/>
    <x v="0"/>
    <s v="-"/>
    <x v="0"/>
    <s v="Olá Nome, _x000a_Identificamos que o Item Ventilador de teto foi entregue no dia 27/11/2024, referente ao pedido Nº Pedido 355 Rastreio Pedido 355, agradecemos a preferência e adoraríamos receber sua avaliação, tendo qualquer dúvida estamos à disposição._x000a__x000a_Att_x000a_Tem tudo Shop"/>
  </r>
  <r>
    <s v="Pedido 159"/>
    <s v="CódRastreio152"/>
    <s v="CNBR012557578LG"/>
    <s v="BV"/>
    <d v="2024-11-14T00:00:00"/>
    <s v="Transp 1"/>
    <s v="-"/>
    <x v="1"/>
    <s v="Brasil"/>
    <d v="2024-11-02T00:00:00"/>
    <s v="Entregue"/>
    <x v="0"/>
    <s v="-"/>
    <x v="0"/>
    <s v="Olá Nome, _x000a_Identificamos que o Item Balança foi entregue no dia 02/11/2024, referente ao pedido Nº Pedido 159 Rastreio Pedido 159, agradecemos a preferência e adoraríamos receber sua avaliação, tendo qualquer dúvida estamos à disposição._x000a__x000a_Att_x000a_Tem tudo Shop"/>
  </r>
  <r>
    <s v="Pedido 202"/>
    <s v="CódRastreio195"/>
    <s v="CNBR012634204LG"/>
    <s v="BV"/>
    <d v="2024-11-19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202 Rastreio Pedido 202, agradecemos a preferência e adoraríamos receber sua avaliação, tendo qualquer dúvida estamos à disposição._x000a__x000a_Att_x000a_Tem tudo Shop"/>
  </r>
  <r>
    <s v="Pedido 191"/>
    <s v="CódRastreio184"/>
    <s v="CNBR012594955LG"/>
    <s v="BV"/>
    <d v="2024-11-09T00:00:00"/>
    <s v="Transp 1"/>
    <s v="-"/>
    <x v="1"/>
    <s v="Brasil"/>
    <d v="2024-11-05T00:00:00"/>
    <s v="Entregue"/>
    <x v="0"/>
    <s v="-"/>
    <x v="0"/>
    <s v="Olá Nome, _x000a_Identificamos que o Item Multi Processador 5 Laminas foi entregue no dia 05/11/2024, referente ao pedido Nº Pedido 191 Rastreio Pedido 191, agradecemos a preferência e adoraríamos receber sua avaliação, tendo qualquer dúvida estamos à disposição._x000a__x000a_Att_x000a_Tem tudo Shop"/>
  </r>
  <r>
    <s v="Pedido 164"/>
    <s v="CódRastreio157"/>
    <s v="CNBR012560254LG"/>
    <s v="BV"/>
    <d v="2024-11-19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64 Rastreio Pedido 164, agradecemos a preferência e adoraríamos receber sua avaliação, tendo qualquer dúvida estamos à disposição._x000a__x000a_Att_x000a_Tem tudo Shop"/>
  </r>
  <r>
    <s v="Pedido 279"/>
    <s v="CódRastreio272"/>
    <n v="888670000217138"/>
    <s v="BV"/>
    <d v="2024-12-04T00:00:00"/>
    <s v="Transp 1"/>
    <s v="-"/>
    <x v="1"/>
    <s v="Brasil"/>
    <d v="2024-11-23T00:00:00"/>
    <s v="Entregue"/>
    <x v="0"/>
    <s v="-"/>
    <x v="0"/>
    <s v="Olá Nome, _x000a_Identificamos que o Item Suporte de Celular Branco foi entregue no dia 23/11/2024, referente ao pedido Nº Pedido 279 Rastreio Pedido 279, agradecemos a preferência e adoraríamos receber sua avaliação, tendo qualquer dúvida estamos à disposição._x000a__x000a_Att_x000a_Tem tudo Shop"/>
  </r>
  <r>
    <s v="Pedido 245"/>
    <s v="CódRastreio238"/>
    <s v="NM646502212BR"/>
    <s v="BV"/>
    <d v="2024-11-30T00:00:00"/>
    <s v="Transp 1"/>
    <s v="-"/>
    <x v="0"/>
    <s v="Brasil"/>
    <d v="2024-11-14T00:00:00"/>
    <s v="Entregue"/>
    <x v="0"/>
    <s v="-"/>
    <x v="0"/>
    <s v="Olá Nome, _x000a_Identificamos que o Item Ventilador de teto foi entregue no dia 14/11/2024, referente ao pedido Nº Pedido 245 Rastreio Pedido 245, agradecemos a preferência e adoraríamos receber sua avaliação, tendo qualquer dúvida estamos à disposição._x000a__x000a_Att_x000a_Tem tudo Shop"/>
  </r>
  <r>
    <s v="Pedido 580"/>
    <s v="CódRastreio565"/>
    <s v="CNBR00030847642"/>
    <s v="BV"/>
    <d v="2025-01-16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80 Rastreio Pedido 580, agradecemos a preferência e adoraríamos receber sua avaliação, tendo qualquer dúvida estamos à disposição._x000a__x000a_Att_x000a_Tem tudo Shop"/>
  </r>
  <r>
    <s v="Pedido 455"/>
    <s v="CódRastreio440"/>
    <s v="LP00695772209325"/>
    <s v="BV"/>
    <d v="2024-12-19T00:00:00"/>
    <s v="Transp 1"/>
    <s v="-"/>
    <x v="0"/>
    <s v="Brasil"/>
    <d v="2024-12-06T13:48:26"/>
    <s v="Entregue"/>
    <x v="0"/>
    <s v="-"/>
    <x v="0"/>
    <s v="Olá Nome, _x000a_Identificamos que o Item Ventilador Preto foi entregue no dia 06/12/2024, referente ao pedido Nº Pedido 455 Rastreio Pedido 455, agradecemos a preferência e adoraríamos receber sua avaliação, tendo qualquer dúvida estamos à disposição._x000a__x000a_Att_x000a_Tem tudo Shop"/>
  </r>
  <r>
    <s v="Pedido 351"/>
    <s v="CódRastreio344"/>
    <n v="888670000278904"/>
    <s v="BV"/>
    <d v="2024-11-29T00:00:00"/>
    <s v="Transp 1"/>
    <s v="-"/>
    <x v="1"/>
    <s v="Brasil"/>
    <d v="2024-11-24T00:00:00"/>
    <s v="Entregue"/>
    <x v="0"/>
    <s v="-"/>
    <x v="0"/>
    <s v="Olá Nome, _x000a_Identificamos que o Item Suporte de Celular Branco foi entregue no dia 24/11/2024, referente ao pedido Nº Pedido 351 Rastreio Pedido 351, agradecemos a preferência e adoraríamos receber sua avaliação, tendo qualquer dúvida estamos à disposição._x000a__x000a_Att_x000a_Tem tudo Shop"/>
  </r>
  <r>
    <s v="Pedido 295"/>
    <s v="CódRastreio288"/>
    <s v="CNBR000877416RS"/>
    <s v="BV"/>
    <d v="2024-11-29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295 Rastreio Pedido 295, agradecemos a preferência e adoraríamos receber sua avaliação, tendo qualquer dúvida estamos à disposição._x000a__x000a_Att_x000a_Tem tudo Shop"/>
  </r>
  <r>
    <s v="Pedido 530"/>
    <s v="CódRastreio515"/>
    <s v="CNBR013393677LG"/>
    <s v="BV"/>
    <d v="2025-01-11T00:00:00"/>
    <s v="Transp 1"/>
    <s v="-"/>
    <x v="1"/>
    <s v="Brasil"/>
    <d v="2024-12-20T00:00:00"/>
    <s v="Entregue"/>
    <x v="0"/>
    <s v="-"/>
    <x v="0"/>
    <s v="Olá Nome, _x000a_Identificamos que o Item Adaptador Bluetooph foi entregue no dia 20/12/2024, referente ao pedido Nº Pedido 530 Rastreio Pedido 530, agradecemos a preferência e adoraríamos receber sua avaliação, tendo qualquer dúvida estamos à disposição._x000a__x000a_Att_x000a_Tem tudo Shop"/>
  </r>
  <r>
    <s v="Pedido 324"/>
    <s v="CódRastreio317"/>
    <s v="NM651674674BR"/>
    <s v="BV"/>
    <d v="2024-12-14T00:00:00"/>
    <s v="Transp 1"/>
    <s v="-"/>
    <x v="0"/>
    <s v="Brasil"/>
    <d v="2024-12-10T00:00:00"/>
    <s v="Entregue"/>
    <x v="0"/>
    <s v="-"/>
    <x v="0"/>
    <s v="Olá Nome, _x000a_Identificamos que o Item Ventilador de teto foi entregue no dia 10/12/2024, referente ao pedido Nº Pedido 324 Rastreio Pedido 324, agradecemos a preferência e adoraríamos receber sua avaliação, tendo qualquer dúvida estamos à disposição._x000a__x000a_Att_x000a_Tem tudo Shop"/>
  </r>
  <r>
    <s v="Pedido 246"/>
    <s v="CódRastreio239"/>
    <s v="NM646509975BR"/>
    <s v="BV"/>
    <d v="2024-11-30T00:00:00"/>
    <s v="Transp 1"/>
    <s v="-"/>
    <x v="0"/>
    <s v="Brasil"/>
    <d v="2024-11-14T00:00:00"/>
    <s v="Entregue"/>
    <x v="0"/>
    <s v="-"/>
    <x v="0"/>
    <s v="Olá Nome, _x000a_Identificamos que o Item Ventilador de teto foi entregue no dia 14/11/2024, referente ao pedido Nº Pedido 246 Rastreio Pedido 246, agradecemos a preferência e adoraríamos receber sua avaliação, tendo qualquer dúvida estamos à disposição._x000a__x000a_Att_x000a_Tem tudo Shop"/>
  </r>
  <r>
    <s v="Pedido 536"/>
    <s v="CódRastreio521"/>
    <n v="888670000627544"/>
    <s v="BV"/>
    <d v="2025-01-07T00:00:00"/>
    <s v="Transp 1"/>
    <s v="-"/>
    <x v="1"/>
    <s v="Brasil"/>
    <d v="2024-12-25T00:00:00"/>
    <s v="Entregue"/>
    <x v="0"/>
    <s v="-"/>
    <x v="0"/>
    <s v="Olá Nome, _x000a_Identificamos que o Item Suporte de Celular Branco foi entregue no dia 25/12/2024, referente ao pedido Nº Pedido 536 Rastreio Pedido 536, agradecemos a preferência e adoraríamos receber sua avaliação, tendo qualquer dúvida estamos à disposição._x000a__x000a_Att_x000a_Tem tudo Shop"/>
  </r>
  <r>
    <s v="Pedido 210"/>
    <s v="CódRastreio203"/>
    <s v="CNBR012649288LG"/>
    <s v="BV"/>
    <d v="2024-11-26T00:00:00"/>
    <s v="Transp 1"/>
    <s v="-"/>
    <x v="1"/>
    <s v="Brasil"/>
    <d v="2024-11-12T00:00:00"/>
    <s v="Entregue"/>
    <x v="0"/>
    <s v="-"/>
    <x v="0"/>
    <s v="Olá Nome, _x000a_Identificamos que o Item Balança foi entregue no dia 12/11/2024, referente ao pedido Nº Pedido 210 Rastreio Pedido 210, agradecemos a preferência e adoraríamos receber sua avaliação, tendo qualquer dúvida estamos à disposição._x000a__x000a_Att_x000a_Tem tudo Shop"/>
  </r>
  <r>
    <s v="Pedido 168"/>
    <s v="CódRastreio161"/>
    <s v="CNBR000823903RS"/>
    <s v="BV"/>
    <d v="2024-11-14T00:00:00"/>
    <s v="Transp 1"/>
    <s v="-"/>
    <x v="1"/>
    <s v="Brasil"/>
    <d v="2024-11-07T00:00:00"/>
    <s v="Entregue"/>
    <x v="0"/>
    <s v="-"/>
    <x v="0"/>
    <s v="Olá Nome, _x000a_Identificamos que o Item Bomba d'agua foi entregue no dia 07/11/2024, referente ao pedido Nº Pedido 168 Rastreio Pedido 168, agradecemos a preferência e adoraríamos receber sua avaliação, tendo qualquer dúvida estamos à disposição._x000a__x000a_Att_x000a_Tem tudo Shop"/>
  </r>
  <r>
    <s v="Pedido 394"/>
    <s v="CódRastreio384"/>
    <s v="LP00694339244028"/>
    <s v="BV"/>
    <d v="2024-12-17T00:00:00"/>
    <s v="Transp 1"/>
    <s v="-"/>
    <x v="0"/>
    <s v="Brasil"/>
    <d v="2024-12-06T09:47:38"/>
    <s v="Entregue"/>
    <x v="0"/>
    <s v="-"/>
    <x v="0"/>
    <s v="Olá Nome, _x000a_Identificamos que o Item Lampada Led foi entregue no dia 06/12/2024, referente ao pedido Nº Pedido 394 Rastreio Pedido 394, agradecemos a preferência e adoraríamos receber sua avaliação, tendo qualquer dúvida estamos à disposição._x000a__x000a_Att_x000a_Tem tudo Shop"/>
  </r>
  <r>
    <s v="Pedido 365"/>
    <s v="CódRastreio355"/>
    <n v="888670000308466"/>
    <s v="BV"/>
    <d v="2024-12-12T00:00:00"/>
    <s v="Transp 1"/>
    <s v="-"/>
    <x v="1"/>
    <s v="Brasil"/>
    <d v="2024-11-25T00:00:00"/>
    <s v="Entregue"/>
    <x v="0"/>
    <s v="-"/>
    <x v="0"/>
    <s v="Olá Nome, _x000a_Identificamos que o Item Mini Liquidificador foi entregue no dia 25/11/2024, referente ao pedido Nº Pedido 365 Rastreio Pedido 365, agradecemos a preferência e adoraríamos receber sua avaliação, tendo qualquer dúvida estamos à disposição._x000a__x000a_Att_x000a_Tem tudo Shop"/>
  </r>
  <r>
    <s v="Pedido 286"/>
    <s v="CódRastreio279"/>
    <s v="CNBR012756865LG"/>
    <s v="BV"/>
    <d v="2024-12-04T00:00:00"/>
    <s v="Transp 1"/>
    <s v="-"/>
    <x v="1"/>
    <s v="Brasil"/>
    <d v="2024-11-20T00:00:00"/>
    <s v="Entregue"/>
    <x v="0"/>
    <s v="-"/>
    <x v="0"/>
    <s v="Olá Nome, _x000a_Identificamos que o Item Suporte de Celular Branco foi entregue no dia 20/11/2024, referente ao pedido Nº Pedido 286 Rastreio Pedido 286, agradecemos a preferência e adoraríamos receber sua avaliação, tendo qualquer dúvida estamos à disposição._x000a__x000a_Att_x000a_Tem tudo Shop"/>
  </r>
  <r>
    <s v="Pedido 285"/>
    <s v="CódRastreio278"/>
    <s v="NM648991561BR"/>
    <s v="BV"/>
    <d v="2024-12-11T00:00:00"/>
    <s v="Transp 1"/>
    <s v="-"/>
    <x v="0"/>
    <s v="Brasil"/>
    <d v="2024-11-25T00:00:00"/>
    <s v="Entregue"/>
    <x v="0"/>
    <s v="-"/>
    <x v="0"/>
    <s v="Olá Nome, _x000a_Identificamos que o Item Suporte de Celular Branco foi entregue no dia 25/11/2024, referente ao pedido Nº Pedido 285 Rastreio Pedido 285, agradecemos a preferência e adoraríamos receber sua avaliação, tendo qualquer dúvida estamos à disposição._x000a__x000a_Att_x000a_Tem tudo Shop"/>
  </r>
  <r>
    <s v="Pedido 46"/>
    <s v="CódRastreio37"/>
    <s v="CNBR012405396LG"/>
    <s v="BV"/>
    <d v="2024-11-12T00:00:00"/>
    <s v="Transp 1"/>
    <s v="-"/>
    <x v="1"/>
    <s v="Brasil"/>
    <d v="2024-10-28T00:00:00"/>
    <s v="Entregue"/>
    <x v="0"/>
    <s v="-"/>
    <x v="0"/>
    <s v="Olá Nome, _x000a_Identificamos que o Item Balança foi entregue no dia 28/10/2024, referente ao pedido Nº Pedido 46 Rastreio Pedido 46, agradecemos a preferência e adoraríamos receber sua avaliação, tendo qualquer dúvida estamos à disposição._x000a__x000a_Att_x000a_Tem tudo Shop"/>
  </r>
  <r>
    <s v="Pedido 296"/>
    <s v="CódRastreio289"/>
    <s v="CNBR000883323RS"/>
    <s v="BV"/>
    <d v="2024-12-05T00:00:00"/>
    <s v="Transp 1"/>
    <s v="-"/>
    <x v="1"/>
    <s v="Brasil"/>
    <d v="2024-11-27T00:00:00"/>
    <s v="Entregue"/>
    <x v="0"/>
    <s v="-"/>
    <x v="0"/>
    <s v="Olá Nome, _x000a_Identificamos que o Item Suporte de Celular Branco foi entregue no dia 27/11/2024, referente ao pedido Nº Pedido 296 Rastreio Pedido 296, agradecemos a preferência e adoraríamos receber sua avaliação, tendo qualquer dúvida estamos à disposição._x000a__x000a_Att_x000a_Tem tudo Shop"/>
  </r>
  <r>
    <s v="Pedido 413"/>
    <s v="CódRastreio402"/>
    <s v="LP00693802913006"/>
    <s v="BV"/>
    <d v="2024-12-17T00:00:00"/>
    <s v="Transp 1"/>
    <s v="-"/>
    <x v="0"/>
    <s v="Brasil"/>
    <d v="2024-12-03T00:00:00"/>
    <s v="Entregue"/>
    <x v="0"/>
    <s v="-"/>
    <x v="0"/>
    <s v="Olá Nome, _x000a_Identificamos que o Item Ventilador Rosa foi entregue no dia 03/12/2024, referente ao pedido Nº Pedido 413 Rastreio Pedido 413, agradecemos a preferência e adoraríamos receber sua avaliação, tendo qualquer dúvida estamos à disposição._x000a__x000a_Att_x000a_Tem tudo Shop"/>
  </r>
  <r>
    <s v="Pedido 39"/>
    <s v="CódRastreio30"/>
    <n v="3621049595594"/>
    <s v="BV"/>
    <d v="2024-11-08T00:00:00"/>
    <s v="Transp 1"/>
    <s v="-"/>
    <x v="1"/>
    <s v="Brasil"/>
    <d v="2024-10-29T00:00:00"/>
    <s v="Entregue"/>
    <x v="0"/>
    <s v="-"/>
    <x v="0"/>
    <s v="Olá Nome, _x000a_Identificamos que o Item Balança foi entregue no dia 29/10/2024, referente ao pedido Nº Pedido 39 Rastreio Pedido 39, agradecemos a preferência e adoraríamos receber sua avaliação, tendo qualquer dúvida estamos à disposição._x000a__x000a_Att_x000a_Tem tudo Shop"/>
  </r>
  <r>
    <s v="Pedido 162"/>
    <s v="CódRastreio155"/>
    <s v="CNBR012561277LG"/>
    <s v="BV"/>
    <d v="2024-11-23T00:00:00"/>
    <s v="Transp 1"/>
    <s v="-"/>
    <x v="1"/>
    <s v="Brasil"/>
    <d v="2024-11-14T00:00:00"/>
    <s v="Entregue"/>
    <x v="0"/>
    <s v="-"/>
    <x v="0"/>
    <s v="Olá Nome, _x000a_Identificamos que o Item Suporte de Celular Preto foi entregue no dia 14/11/2024, referente ao pedido Nº Pedido 162 Rastreio Pedido 162, agradecemos a preferência e adoraríamos receber sua avaliação, tendo qualquer dúvida estamos à disposição._x000a__x000a_Att_x000a_Tem tudo Shop"/>
  </r>
  <r>
    <s v="Pedido 130"/>
    <s v="CódRastreio123"/>
    <s v="CNBR000806454RS"/>
    <s v="BV"/>
    <d v="2024-11-15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130 Rastreio Pedido 130, agradecemos a preferência e adoraríamos receber sua avaliação, tendo qualquer dúvida estamos à disposição._x000a__x000a_Att_x000a_Tem tudo Shop"/>
  </r>
  <r>
    <s v="Pedido 529"/>
    <s v="CódRastreio514"/>
    <s v="LP00700478839154"/>
    <s v="BV"/>
    <d v="2025-01-07T00:00:00"/>
    <s v="Transp 1"/>
    <s v="-"/>
    <x v="0"/>
    <s v="Brasil"/>
    <d v="2024-12-23T00:00:00"/>
    <s v="Entregue"/>
    <x v="0"/>
    <s v="-"/>
    <x v="0"/>
    <s v="Olá Nome, _x000a_Identificamos que o Item Ventilador Preto foi entregue no dia 23/12/2024, referente ao pedido Nº Pedido 529 Rastreio Pedido 529, agradecemos a preferência e adoraríamos receber sua avaliação, tendo qualquer dúvida estamos à disposição._x000a__x000a_Att_x000a_Tem tudo Shop"/>
  </r>
  <r>
    <s v="Pedido 354"/>
    <s v="CódRastreio347"/>
    <s v="CNBR000925006RS"/>
    <s v="BV"/>
    <d v="2024-12-05T00:00:00"/>
    <s v="Transp 1"/>
    <s v="-"/>
    <x v="1"/>
    <s v="Brasil"/>
    <d v="2024-11-27T00:00:00"/>
    <s v="Entregue"/>
    <x v="0"/>
    <s v="-"/>
    <x v="0"/>
    <s v="Olá Nome, _x000a_Identificamos que o Item Suporte de Celular Branco foi entregue no dia 27/11/2024, referente ao pedido Nº Pedido 354 Rastreio Pedido 354, agradecemos a preferência e adoraríamos receber sua avaliação, tendo qualquer dúvida estamos à disposição._x000a__x000a_Att_x000a_Tem tudo Shop"/>
  </r>
  <r>
    <s v="Pedido 505"/>
    <s v="CódRastreio491"/>
    <s v="LP00698758045211"/>
    <s v="BV"/>
    <d v="2024-12-27T00:00:00"/>
    <s v="Transp 1"/>
    <s v="-"/>
    <x v="0"/>
    <s v="Brasil"/>
    <d v="2024-12-12T00:00:00"/>
    <s v="Entregue"/>
    <x v="0"/>
    <s v="-"/>
    <x v="0"/>
    <s v="Olá Nome, _x000a_Identificamos que o Item Ventilador Preto foi entregue no dia 12/12/2024, referente ao pedido Nº Pedido 505 Rastreio Pedido 505, agradecemos a preferência e adoraríamos receber sua avaliação, tendo qualquer dúvida estamos à disposição._x000a__x000a_Att_x000a_Tem tudo Shop"/>
  </r>
  <r>
    <s v="Pedido 211"/>
    <s v="CódRastreio204"/>
    <s v="CNBR000855781RS"/>
    <s v="BV"/>
    <d v="2024-11-26T00:00:00"/>
    <s v="Transp 1"/>
    <s v="-"/>
    <x v="1"/>
    <s v="Brasil"/>
    <d v="2024-11-11T00:00:00"/>
    <s v="Entregue"/>
    <x v="0"/>
    <s v="-"/>
    <x v="0"/>
    <s v="Olá Nome, _x000a_Identificamos que o Item Bomba d'agua foi entregue no dia 11/11/2024, referente ao pedido Nº Pedido 211 Rastreio Pedido 211, agradecemos a preferência e adoraríamos receber sua avaliação, tendo qualquer dúvida estamos à disposição._x000a__x000a_Att_x000a_Tem tudo Shop"/>
  </r>
  <r>
    <s v="Pedido 352"/>
    <s v="CódRastreio345"/>
    <n v="3621049603008"/>
    <s v="BV"/>
    <d v="2024-12-05T00:00:00"/>
    <s v="Transp 1"/>
    <s v="-"/>
    <x v="1"/>
    <s v="Brasil"/>
    <d v="2024-11-21T00:00:00"/>
    <s v="Entregue"/>
    <x v="0"/>
    <s v="-"/>
    <x v="0"/>
    <s v="Olá Nome, _x000a_Identificamos que o Item Adaptador Bluetooph foi entregue no dia 21/11/2024, referente ao pedido Nº Pedido 352 Rastreio Pedido 352, agradecemos a preferência e adoraríamos receber sua avaliação, tendo qualquer dúvida estamos à disposição._x000a__x000a_Att_x000a_Tem tudo Shop"/>
  </r>
  <r>
    <s v="Pedido 106"/>
    <s v="CódRastreio99"/>
    <s v="CNBR000808305RS"/>
    <s v="BV"/>
    <d v="2024-11-14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106 Rastreio Pedido 106, agradecemos a preferência e adoraríamos receber sua avaliação, tendo qualquer dúvida estamos à disposição._x000a__x000a_Att_x000a_Tem tudo Shop"/>
  </r>
  <r>
    <s v="Pedido 67"/>
    <s v="CódRastreio58"/>
    <s v="CNBR012451308LG"/>
    <s v="BV"/>
    <d v="2024-11-13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67 Rastreio Pedido 67, agradecemos a preferência e adoraríamos receber sua avaliação, tendo qualquer dúvida estamos à disposição._x000a__x000a_Att_x000a_Tem tudo Shop"/>
  </r>
  <r>
    <s v="Pedido 281"/>
    <s v="CódRastreio274"/>
    <s v="CNBR00050711HB"/>
    <s v="BV"/>
    <d v="2024-11-22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81 Rastreio Pedido 281, agradecemos a preferência e adoraríamos receber sua avaliação, tendo qualquer dúvida estamos à disposição._x000a__x000a_Att_x000a_Tem tudo Shop"/>
  </r>
  <r>
    <s v="Pedido 256"/>
    <s v="CódRastreio249"/>
    <s v="CNBR012713940LG"/>
    <s v="BV"/>
    <d v="2024-12-03T00:00:00"/>
    <s v="Transp 1"/>
    <s v="-"/>
    <x v="1"/>
    <s v="Brasil"/>
    <d v="2024-11-16T00:00:00"/>
    <s v="Entregue"/>
    <x v="0"/>
    <s v="-"/>
    <x v="0"/>
    <s v="Olá Nome, _x000a_Identificamos que o Item Bomba d'agua foi entregue no dia 16/11/2024, referente ao pedido Nº Pedido 256 Rastreio Pedido 256, agradecemos a preferência e adoraríamos receber sua avaliação, tendo qualquer dúvida estamos à disposição._x000a__x000a_Att_x000a_Tem tudo Shop"/>
  </r>
  <r>
    <s v="Pedido 482"/>
    <s v="CódRastreio467"/>
    <s v="LP00696747430300"/>
    <s v="BV"/>
    <d v="2024-12-21T00:00:00"/>
    <s v="Transp 1"/>
    <s v="-"/>
    <x v="0"/>
    <s v="Brasil"/>
    <d v="2024-12-11T00:00:00"/>
    <s v="Entregue"/>
    <x v="0"/>
    <s v="-"/>
    <x v="0"/>
    <s v="Olá Nome, _x000a_Identificamos que o Item Ventilador Azul foi entregue no dia 11/12/2024, referente ao pedido Nº Pedido 482 Rastreio Pedido 482, agradecemos a preferência e adoraríamos receber sua avaliação, tendo qualquer dúvida estamos à disposição._x000a__x000a_Att_x000a_Tem tudo Shop"/>
  </r>
  <r>
    <s v="Pedido 102"/>
    <s v="CódRastreio95"/>
    <s v="CNBR012471280LG"/>
    <s v="BV"/>
    <d v="2024-11-14T00:00:00"/>
    <s v="Transp 1"/>
    <s v="-"/>
    <x v="1"/>
    <s v="Brasil"/>
    <d v="2024-10-31T00:00:00"/>
    <s v="Entregue"/>
    <x v="0"/>
    <s v="-"/>
    <x v="0"/>
    <s v="Olá Nome, _x000a_Identificamos que o Item Balança foi entregue no dia 31/10/2024, referente ao pedido Nº Pedido 102 Rastreio Pedido 102, agradecemos a preferência e adoraríamos receber sua avaliação, tendo qualquer dúvida estamos à disposição._x000a__x000a_Att_x000a_Tem tudo Shop"/>
  </r>
  <r>
    <s v="Pedido 406"/>
    <s v="CódRastreio395"/>
    <s v="LP00694590350447"/>
    <s v="BV"/>
    <d v="2024-12-11T00:00:00"/>
    <s v="Transp 1"/>
    <s v="-"/>
    <x v="0"/>
    <s v="Brasil"/>
    <d v="2024-12-04T00:00:00"/>
    <s v="Entregue"/>
    <x v="0"/>
    <s v="-"/>
    <x v="0"/>
    <s v="Olá Nome, _x000a_Identificamos que o Item Ventilador Preto foi entregue no dia 04/12/2024, referente ao pedido Nº Pedido 406 Rastreio Pedido 406, agradecemos a preferência e adoraríamos receber sua avaliação, tendo qualquer dúvida estamos à disposição._x000a__x000a_Att_x000a_Tem tudo Shop"/>
  </r>
  <r>
    <s v="Pedido 640"/>
    <s v="CódRastreio622"/>
    <s v="CNBR013577741LG"/>
    <s v="BV"/>
    <d v="2025-01-17T00:00:00"/>
    <s v="Transp 1"/>
    <s v="-"/>
    <x v="1"/>
    <s v="Brasil"/>
    <d v="2025-01-08T00:00:00"/>
    <s v="Entregue"/>
    <x v="0"/>
    <s v="-"/>
    <x v="0"/>
    <s v="Olá Nome, _x000a_Identificamos que o Item Mini Liquidificador foi entregue no dia 08/01/2025, referente ao pedido Nº Pedido 640 Rastreio Pedido 640, agradecemos a preferência e adoraríamos receber sua avaliação, tendo qualquer dúvida estamos à disposição._x000a__x000a_Att_x000a_Tem tudo Shop"/>
  </r>
  <r>
    <s v="Pedido 586"/>
    <s v="CódRastreio571"/>
    <s v="LP00702114433400"/>
    <s v="BV"/>
    <d v="2025-01-11T00:00:00"/>
    <s v="Transp 1"/>
    <s v="-"/>
    <x v="0"/>
    <s v="Brasil"/>
    <d v="2024-12-30T00:00:00"/>
    <s v="Entregue"/>
    <x v="0"/>
    <s v="-"/>
    <x v="0"/>
    <s v="Olá Nome, _x000a_Identificamos que o Item Ventilador Preto foi entregue no dia 30/12/2024, referente ao pedido Nº Pedido 586 Rastreio Pedido 586, agradecemos a preferência e adoraríamos receber sua avaliação, tendo qualquer dúvida estamos à disposição._x000a__x000a_Att_x000a_Tem tudo Shop"/>
  </r>
  <r>
    <s v="Pedido 659"/>
    <s v="CódRastreio639"/>
    <s v="LP00703644988783"/>
    <s v="BV"/>
    <d v="2025-01-22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59 Rastreio Pedido 659, agradecemos a preferência e adoraríamos receber sua avaliação, tendo qualquer dúvida estamos à disposição._x000a__x000a_Att_x000a_Tem tudo Shop"/>
  </r>
  <r>
    <s v="Pedido 234"/>
    <s v="CódRastreio227"/>
    <s v="NM646445081BR"/>
    <s v="BV"/>
    <d v="2024-11-26T00:00:00"/>
    <s v="Transp 1"/>
    <s v="-"/>
    <x v="0"/>
    <s v="Brasil"/>
    <d v="2024-11-18T00:00:00"/>
    <s v="Entregue"/>
    <x v="0"/>
    <s v="-"/>
    <x v="0"/>
    <s v="Olá Nome, _x000a_Identificamos que o Item Suporte de Celular Preto foi entregue no dia 18/11/2024, referente ao pedido Nº Pedido 234 Rastreio Pedido 234, agradecemos a preferência e adoraríamos receber sua avaliação, tendo qualquer dúvida estamos à disposição._x000a__x000a_Att_x000a_Tem tudo Shop"/>
  </r>
  <r>
    <s v="Pedido 522"/>
    <s v="CódRastreio507"/>
    <s v="CNBR013341198LG"/>
    <s v="BV"/>
    <d v="2024-12-28T00:00:00"/>
    <s v="Transp 1"/>
    <s v="-"/>
    <x v="1"/>
    <s v="Brasil"/>
    <d v="2024-12-15T00:00:00"/>
    <s v="Entregue"/>
    <x v="0"/>
    <s v="-"/>
    <x v="0"/>
    <s v="Olá Nome, _x000a_Identificamos que o Item Suporte de Celular Preto foi entregue no dia 15/12/2024, referente ao pedido Nº Pedido 522 Rastreio Pedido 522, agradecemos a preferência e adoraríamos receber sua avaliação, tendo qualquer dúvida estamos à disposição._x000a__x000a_Att_x000a_Tem tudo Shop"/>
  </r>
  <r>
    <s v="Pedido 29"/>
    <s v="CódRastreio20"/>
    <s v="CNBR000777483RS"/>
    <s v="BV"/>
    <d v="2024-11-09T00:00:00"/>
    <s v="Transp 1"/>
    <s v="-"/>
    <x v="1"/>
    <s v="Brasil"/>
    <d v="2024-10-29T00:00:00"/>
    <s v="Entregue"/>
    <x v="0"/>
    <s v="-"/>
    <x v="0"/>
    <s v="Olá Nome, _x000a_Identificamos que o Item Balança foi entregue no dia 29/10/2024, referente ao pedido Nº Pedido 29 Rastreio Pedido 29, agradecemos a preferência e adoraríamos receber sua avaliação, tendo qualquer dúvida estamos à disposição._x000a__x000a_Att_x000a_Tem tudo Shop"/>
  </r>
  <r>
    <s v="Pedido 55"/>
    <s v="CódRastreio46"/>
    <n v="888670000110427"/>
    <s v="BV"/>
    <d v="2024-11-12T00:00:00"/>
    <s v="Transp 1"/>
    <s v="-"/>
    <x v="1"/>
    <s v="Brasil"/>
    <d v="2024-10-31T00:00:00"/>
    <s v="Entregue"/>
    <x v="0"/>
    <s v="-"/>
    <x v="0"/>
    <s v="Olá Nome, _x000a_Identificamos que o Item Balança foi entregue no dia 31/10/2024, referente ao pedido Nº Pedido 55 Rastreio Pedido 55, agradecemos a preferência e adoraríamos receber sua avaliação, tendo qualquer dúvida estamos à disposição._x000a__x000a_Att_x000a_Tem tudo Shop"/>
  </r>
  <r>
    <s v="Pedido 124"/>
    <s v="CódRastreio117"/>
    <s v="CNBR012509095LG"/>
    <s v="BV"/>
    <d v="2024-11-22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124 Rastreio Pedido 124, agradecemos a preferência e adoraríamos receber sua avaliação, tendo qualquer dúvida estamos à disposição._x000a__x000a_Att_x000a_Tem tudo Shop"/>
  </r>
  <r>
    <s v="Pedido 554"/>
    <s v="CódRastreio539"/>
    <s v="LP00700299393330"/>
    <s v="BV"/>
    <d v="2025-01-09T00:00:00"/>
    <s v="Transp 1"/>
    <s v="-"/>
    <x v="0"/>
    <s v="Brasil"/>
    <d v="2024-12-30T00:00:00"/>
    <s v="Entregue"/>
    <x v="0"/>
    <s v="-"/>
    <x v="0"/>
    <s v="Olá Nome, _x000a_Identificamos que o Item Ventilador Rosa foi entregue no dia 30/12/2024, referente ao pedido Nº Pedido 554 Rastreio Pedido 554, agradecemos a preferência e adoraríamos receber sua avaliação, tendo qualquer dúvida estamos à disposição._x000a__x000a_Att_x000a_Tem tudo Shop"/>
  </r>
  <r>
    <s v="Pedido 481"/>
    <s v="CódRastreio466"/>
    <s v="LP00697535696632"/>
    <s v="BV"/>
    <d v="2024-12-21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81 Rastreio Pedido 481, agradecemos a preferência e adoraríamos receber sua avaliação, tendo qualquer dúvida estamos à disposição._x000a__x000a_Att_x000a_Tem tudo Shop"/>
  </r>
  <r>
    <s v="Pedido 582"/>
    <s v="CódRastreio567"/>
    <s v="LP00701137779179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582 Rastreio Pedido 582, agradecemos a preferência e adoraríamos receber sua avaliação, tendo qualquer dúvida estamos à disposição._x000a__x000a_Att_x000a_Tem tudo Shop"/>
  </r>
  <r>
    <s v="Pedido 514"/>
    <s v="CódRastreio499"/>
    <s v="LP00698477085803"/>
    <s v="BV"/>
    <d v="2025-01-08T00:00:00"/>
    <s v="Transp 1"/>
    <s v="-"/>
    <x v="0"/>
    <s v="Brasil"/>
    <d v="2024-12-23T00:00:00"/>
    <s v="Entregue"/>
    <x v="0"/>
    <s v="-"/>
    <x v="0"/>
    <s v="Olá Nome, _x000a_Identificamos que o Item Ventilador Rosa foi entregue no dia 23/12/2024, referente ao pedido Nº Pedido 514 Rastreio Pedido 514, agradecemos a preferência e adoraríamos receber sua avaliação, tendo qualquer dúvida estamos à disposição._x000a__x000a_Att_x000a_Tem tudo Shop"/>
  </r>
  <r>
    <s v="Pedido 28"/>
    <s v="CódRastreio19"/>
    <s v="CNBR012382029LG"/>
    <s v="BV"/>
    <d v="2024-11-05T00:00:00"/>
    <s v="Transp 1"/>
    <s v="-"/>
    <x v="1"/>
    <s v="Brasil"/>
    <d v="2024-10-25T00:00:00"/>
    <s v="Entregue"/>
    <x v="0"/>
    <s v="-"/>
    <x v="0"/>
    <s v="Olá Nome, _x000a_Identificamos que o Item Balança foi entregue no dia 25/10/2024, referente ao pedido Nº Pedido 28 Rastreio Pedido 28, agradecemos a preferência e adoraríamos receber sua avaliação, tendo qualquer dúvida estamos à disposição._x000a__x000a_Att_x000a_Tem tudo Shop"/>
  </r>
  <r>
    <s v="Pedido 87"/>
    <s v="CódRastreio80"/>
    <s v="CNBR012461486LG"/>
    <s v="BV"/>
    <d v="2024-11-08T00:00:00"/>
    <s v="Transp 1"/>
    <s v="-"/>
    <x v="1"/>
    <s v="Brasil"/>
    <d v="2024-11-01T00:00:00"/>
    <s v="Entregue"/>
    <x v="0"/>
    <s v="-"/>
    <x v="0"/>
    <s v="Olá Nome, _x000a_Identificamos que o Item Suporte de Celular Branco foi entregue no dia 01/11/2024, referente ao pedido Nº Pedido 87 Rastreio Pedido 87, agradecemos a preferência e adoraríamos receber sua avaliação, tendo qualquer dúvida estamos à disposição._x000a__x000a_Att_x000a_Tem tudo Shop"/>
  </r>
  <r>
    <s v="Pedido 140"/>
    <s v="CódRastreio133"/>
    <s v="CNBR012493926LG"/>
    <s v="BV"/>
    <d v="2024-11-15T00:00:00"/>
    <s v="Transp 1"/>
    <s v="-"/>
    <x v="1"/>
    <s v="Brasil"/>
    <d v="2024-11-15T00:00:00"/>
    <s v="Entregue"/>
    <x v="0"/>
    <s v="Aguardando Retorno Cliente"/>
    <x v="0"/>
    <s v="Olá Nome, _x000a_Identificamos que o Item Bomba d'agua foi entregue no dia 15/11/2024, referente ao pedido Nº Pedido 140 Rastreio Pedido 140, agradecemos a preferência e adoraríamos receber sua avaliação, tendo qualquer dúvida estamos à disposição._x000a__x000a_Att_x000a_Tem tudo Shop"/>
  </r>
  <r>
    <s v="Pedido 584"/>
    <s v="CódRastreio569"/>
    <s v="LP00701186438098"/>
    <s v="BV"/>
    <d v="2025-01-10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84 Rastreio Pedido 584, agradecemos a preferência e adoraríamos receber sua avaliação, tendo qualquer dúvida estamos à disposição._x000a__x000a_Att_x000a_Tem tudo Shop"/>
  </r>
  <r>
    <s v="Pedido 302"/>
    <s v="CódRastreio295"/>
    <s v="CNBR012748983LG"/>
    <s v="BV"/>
    <d v="2024-12-06T00:00:00"/>
    <s v="Transp 1"/>
    <s v="-"/>
    <x v="1"/>
    <s v="Brasil"/>
    <d v="2024-11-19T00:00:00"/>
    <s v="Entregue"/>
    <x v="0"/>
    <s v="-"/>
    <x v="0"/>
    <s v="Olá Nome, _x000a_Identificamos que o Item Suporte de Celular Branco foi entregue no dia 19/11/2024, referente ao pedido Nº Pedido 302 Rastreio Pedido 302, agradecemos a preferência e adoraríamos receber sua avaliação, tendo qualquer dúvida estamos à disposição._x000a__x000a_Att_x000a_Tem tudo Shop"/>
  </r>
  <r>
    <s v="Pedido 474"/>
    <s v="CódRastreio459"/>
    <s v="LP00697631899828"/>
    <s v="BV"/>
    <d v="2024-12-20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74 Rastreio Pedido 474, agradecemos a preferência e adoraríamos receber sua avaliação, tendo qualquer dúvida estamos à disposição._x000a__x000a_Att_x000a_Tem tudo Shop"/>
  </r>
  <r>
    <s v="Pedido 98"/>
    <s v="CódRastreio91"/>
    <s v="CNBR012484045LG"/>
    <s v="BV"/>
    <d v="2024-11-14T00:00:00"/>
    <s v="Transp 1"/>
    <s v="-"/>
    <x v="1"/>
    <s v="Brasil"/>
    <d v="2024-11-04T00:00:00"/>
    <s v="Entregue"/>
    <x v="0"/>
    <s v="-"/>
    <x v="0"/>
    <s v="Olá Nome, _x000a_Identificamos que o Item Mini Liquidificador foi entregue no dia 04/11/2024, referente ao pedido Nº Pedido 98 Rastreio Pedido 98, agradecemos a preferência e adoraríamos receber sua avaliação, tendo qualquer dúvida estamos à disposição._x000a__x000a_Att_x000a_Tem tudo Shop"/>
  </r>
  <r>
    <s v="Pedido 36"/>
    <s v="CódRastreio27"/>
    <s v="CNBR012366746LG"/>
    <s v="BV"/>
    <d v="2024-11-06T00:00:00"/>
    <s v="Transp 1"/>
    <s v="-"/>
    <x v="1"/>
    <s v="Brasil"/>
    <d v="2024-10-25T00:00:00"/>
    <s v="Entregue"/>
    <x v="0"/>
    <s v="-"/>
    <x v="0"/>
    <s v="Olá Nome, _x000a_Identificamos que o Item Balança foi entregue no dia 25/10/2024, referente ao pedido Nº Pedido 36 Rastreio Pedido 36, agradecemos a preferência e adoraríamos receber sua avaliação, tendo qualquer dúvida estamos à disposição._x000a__x000a_Att_x000a_Tem tudo Shop"/>
  </r>
  <r>
    <s v="Pedido 534"/>
    <s v="CódRastreio519"/>
    <s v="LP00699689967805"/>
    <s v="BV"/>
    <d v="2025-01-07T00:00:00"/>
    <s v="Transp 1"/>
    <s v="-"/>
    <x v="0"/>
    <s v="Brasil"/>
    <d v="2024-12-20T00:00:00"/>
    <s v="Entregue"/>
    <x v="0"/>
    <s v="-"/>
    <x v="0"/>
    <s v="Olá Nome, _x000a_Identificamos que o Item Ventilador Preto foi entregue no dia 20/12/2024, referente ao pedido Nº Pedido 534 Rastreio Pedido 534, agradecemos a preferência e adoraríamos receber sua avaliação, tendo qualquer dúvida estamos à disposição._x000a__x000a_Att_x000a_Tem tudo Shop"/>
  </r>
  <r>
    <s v="Pedido 103"/>
    <s v="CódRastreio96"/>
    <s v="CNBR012464519LG"/>
    <s v="BV"/>
    <d v="2024-11-21T00:00:00"/>
    <s v="Transp 1"/>
    <s v="-"/>
    <x v="1"/>
    <s v="Brasil"/>
    <d v="2024-11-08T00:00:00"/>
    <s v="Entregue"/>
    <x v="0"/>
    <s v="-"/>
    <x v="0"/>
    <s v="Olá Nome, _x000a_Identificamos que o Item Bomba d'agua foi entregue no dia 08/11/2024, referente ao pedido Nº Pedido 103 Rastreio Pedido 103, agradecemos a preferência e adoraríamos receber sua avaliação, tendo qualquer dúvida estamos à disposição._x000a__x000a_Att_x000a_Tem tudo Shop"/>
  </r>
  <r>
    <s v="Pedido 259"/>
    <s v="CódRastreio252"/>
    <n v="888670000157471"/>
    <s v="BV"/>
    <d v="2024-11-27T00:00:00"/>
    <s v="Transp 1"/>
    <s v="-"/>
    <x v="1"/>
    <s v="Brasil"/>
    <d v="2024-11-15T00:00:00"/>
    <s v="Entregue"/>
    <x v="0"/>
    <s v="-"/>
    <x v="0"/>
    <s v="Olá Nome, _x000a_Identificamos que o Item Bomba d'agua foi entregue no dia 15/11/2024, referente ao pedido Nº Pedido 259 Rastreio Pedido 259, agradecemos a preferência e adoraríamos receber sua avaliação, tendo qualquer dúvida estamos à disposição._x000a__x000a_Att_x000a_Tem tudo Shop"/>
  </r>
  <r>
    <s v="Pedido 260"/>
    <s v="CódRastreio253"/>
    <n v="888670000159505"/>
    <s v="BV"/>
    <d v="2024-11-27T00:00:00"/>
    <s v="Transp 1"/>
    <s v="-"/>
    <x v="1"/>
    <s v="Brasil"/>
    <d v="2024-11-15T00:00:00"/>
    <s v="Entregue"/>
    <x v="0"/>
    <s v="-"/>
    <x v="0"/>
    <s v="Olá Nome, _x000a_Identificamos que o Item Bomba d'agua foi entregue no dia 15/11/2024, referente ao pedido Nº Pedido 260 Rastreio Pedido 260, agradecemos a preferência e adoraríamos receber sua avaliação, tendo qualquer dúvida estamos à disposição._x000a__x000a_Att_x000a_Tem tudo Shop"/>
  </r>
  <r>
    <s v="Pedido 81"/>
    <s v="CódRastreio72 1 Envio"/>
    <s v="CNBR012451395LG"/>
    <s v="BV"/>
    <d v="2024-11-21T00:00:00"/>
    <s v="Transp 1"/>
    <s v="-"/>
    <x v="1"/>
    <s v="Brasil"/>
    <d v="2024-11-06T00:00:00"/>
    <s v="Entregue"/>
    <x v="0"/>
    <s v="-"/>
    <x v="0"/>
    <s v="Olá Nome, _x000a_Identificamos que o Item Copo Termico foi entregue no dia 06/11/2024, referente ao pedido Nº Pedido 81 Rastreio Pedido 81, agradecemos a preferência e adoraríamos receber sua avaliação, tendo qualquer dúvida estamos à disposição._x000a__x000a_Att_x000a_Tem tudo Shop"/>
  </r>
  <r>
    <s v="Pedido 81"/>
    <s v="CódRastreio72 2 Envio"/>
    <s v="CNBR012456605LG"/>
    <s v="BV"/>
    <d v="2024-11-21T00:00:00"/>
    <s v="Transp 1"/>
    <s v="-"/>
    <x v="1"/>
    <s v="Brasil"/>
    <d v="2024-11-02T00:00:00"/>
    <s v="Entregue"/>
    <x v="0"/>
    <s v="-"/>
    <x v="0"/>
    <s v="Olá Nome, _x000a_Identificamos que o Item Copo Termico foi entregue no dia 02/11/2024, referente ao pedido Nº Pedido 81 Rastreio Pedido 81, agradecemos a preferência e adoraríamos receber sua avaliação, tendo qualquer dúvida estamos à disposição._x000a__x000a_Att_x000a_Tem tudo Shop"/>
  </r>
  <r>
    <s v="Pedido 343"/>
    <s v="CódRastreio336"/>
    <s v="CANI126031871tx"/>
    <s v="BV"/>
    <d v="2024-12-04T00:00:00"/>
    <s v="Transp 1"/>
    <s v="-"/>
    <x v="0"/>
    <s v="Brasil"/>
    <d v="2025-01-10T00:00:00"/>
    <s v="Entregue"/>
    <x v="0"/>
    <s v="Aguardando reembolso"/>
    <x v="1"/>
    <s v="Olá Nome, _x000a_Identificamos que o Item Ventilador Umidificador foi entregue no dia 10/01/2025, referente ao pedido Nº Pedido 343 Rastreio Pedido 343, agradecemos a preferência e adoraríamos receber sua avaliação, tendo qualquer dúvida estamos à disposição._x000a__x000a_Att_x000a_Tem tudo Shop"/>
  </r>
  <r>
    <s v="Pedido 81"/>
    <s v="CódRastreio72"/>
    <s v="CNBR012473229LG"/>
    <s v="BV"/>
    <d v="2024-11-21T00:00:00"/>
    <s v="Transp 1"/>
    <s v="-"/>
    <x v="1"/>
    <s v="Brasil"/>
    <d v="2024-11-04T00:00:00"/>
    <s v="Entregue"/>
    <x v="0"/>
    <s v="-"/>
    <x v="0"/>
    <s v="Olá Nome, _x000a_Identificamos que o Item Copo Termico foi entregue no dia 04/11/2024, referente ao pedido Nº Pedido 81 Rastreio Pedido 81, agradecemos a preferência e adoraríamos receber sua avaliação, tendo qualquer dúvida estamos à disposição._x000a__x000a_Att_x000a_Tem tudo Shop"/>
  </r>
  <r>
    <s v="Pedido 90"/>
    <s v="CódRastreio83"/>
    <s v="CNBR000801783RS"/>
    <s v="BV"/>
    <d v="2024-11-14T00:00:00"/>
    <s v="Transp 1"/>
    <s v="-"/>
    <x v="1"/>
    <s v="Brasil"/>
    <d v="2024-10-31T00:00:00"/>
    <s v="Entregue"/>
    <x v="0"/>
    <s v="-"/>
    <x v="0"/>
    <s v="Olá Nome, _x000a_Identificamos que o Item Bomba d'agua foi entregue no dia 31/10/2024, referente ao pedido Nº Pedido 90 Rastreio Pedido 90, agradecemos a preferência e adoraríamos receber sua avaliação, tendo qualquer dúvida estamos à disposição._x000a__x000a_Att_x000a_Tem tudo Shop"/>
  </r>
  <r>
    <s v="Pedido 309"/>
    <s v="CódRastreio302"/>
    <s v="CNBR012741999LG"/>
    <s v="BV"/>
    <d v="2024-12-06T00:00:00"/>
    <s v="Transp 1"/>
    <s v="-"/>
    <x v="1"/>
    <s v="Brasil"/>
    <d v="2024-11-16T00:00:00"/>
    <s v="Entregue"/>
    <x v="0"/>
    <s v="-"/>
    <x v="0"/>
    <s v="Olá Nome, _x000a_Identificamos que o Item Bomba d'agua foi entregue no dia 16/11/2024, referente ao pedido Nº Pedido 309 Rastreio Pedido 309, agradecemos a preferência e adoraríamos receber sua avaliação, tendo qualquer dúvida estamos à disposição._x000a__x000a_Att_x000a_Tem tudo Shop"/>
  </r>
  <r>
    <s v="Pedido 538"/>
    <s v="CódRastreio523"/>
    <s v="LP00700815931620"/>
    <s v="BV"/>
    <d v="2025-01-18T00:00:00"/>
    <s v="Transp 1"/>
    <s v="-"/>
    <x v="0"/>
    <s v="Brasil"/>
    <d v="2025-01-03T00:00:00"/>
    <s v="Entregue"/>
    <x v="0"/>
    <s v="-"/>
    <x v="0"/>
    <s v="Olá Nome, _x000a_Identificamos que o Item Ventilador Rosa foi entregue no dia 03/01/2025, referente ao pedido Nº Pedido 538 Rastreio Pedido 538, agradecemos a preferência e adoraríamos receber sua avaliação, tendo qualquer dúvida estamos à disposição._x000a__x000a_Att_x000a_Tem tudo Shop"/>
  </r>
  <r>
    <s v="Pedido 419"/>
    <s v="CódRastreio408"/>
    <s v="LP00694868133873"/>
    <s v="BV"/>
    <d v="2024-12-27T00:00:00"/>
    <s v="Transp 1"/>
    <s v="-"/>
    <x v="0"/>
    <s v="Brasil"/>
    <d v="2024-12-10T00:00:00"/>
    <s v="Entregue"/>
    <x v="0"/>
    <s v="-"/>
    <x v="0"/>
    <s v="Olá Nome, _x000a_Identificamos que o Item Ventilador Rosa foi entregue no dia 10/12/2024, referente ao pedido Nº Pedido 419 Rastreio Pedido 419, agradecemos a preferência e adoraríamos receber sua avaliação, tendo qualquer dúvida estamos à disposição._x000a__x000a_Att_x000a_Tem tudo Shop"/>
  </r>
  <r>
    <s v="Pedido 151"/>
    <s v="CódRastreio144"/>
    <s v="CNBR012558264LG"/>
    <s v="BV"/>
    <d v="2024-11-23T00:00:00"/>
    <s v="Transp 1"/>
    <s v="-"/>
    <x v="1"/>
    <s v="Brasil"/>
    <d v="2024-11-06T00:00:00"/>
    <s v="Entregue"/>
    <x v="0"/>
    <s v="-"/>
    <x v="0"/>
    <s v="Olá Nome, _x000a_Identificamos que o Item Bomba d'agua foi entregue no dia 06/11/2024, referente ao pedido Nº Pedido 151 Rastreio Pedido 151, agradecemos a preferência e adoraríamos receber sua avaliação, tendo qualquer dúvida estamos à disposição._x000a__x000a_Att_x000a_Tem tudo Shop"/>
  </r>
  <r>
    <s v="Pedido 381"/>
    <s v="CódRastreio371"/>
    <n v="888670000375593"/>
    <s v="BV"/>
    <d v="2024-12-04T00:00:00"/>
    <s v="Transp 1"/>
    <s v="-"/>
    <x v="1"/>
    <s v="Brasil"/>
    <d v="2024-11-26T00:00:00"/>
    <s v="Entregue"/>
    <x v="0"/>
    <s v="-"/>
    <x v="0"/>
    <s v="Olá Nome, _x000a_Identificamos que o Item Mini Liquidificador foi entregue no dia 26/11/2024, referente ao pedido Nº Pedido 381 Rastreio Pedido 381, agradecemos a preferência e adoraríamos receber sua avaliação, tendo qualquer dúvida estamos à disposição._x000a__x000a_Att_x000a_Tem tudo Shop"/>
  </r>
  <r>
    <s v="Pedido 622"/>
    <s v="CódRastreio605"/>
    <s v="LP00702721145310"/>
    <s v="BV"/>
    <d v="2025-01-17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22 Rastreio Pedido 622, agradecemos a preferência e adoraríamos receber sua avaliação, tendo qualquer dúvida estamos à disposição._x000a__x000a_Att_x000a_Tem tudo Shop"/>
  </r>
  <r>
    <s v="Pedido 142"/>
    <s v="CódRastreio135"/>
    <s v="NM642008474BR"/>
    <s v="BV"/>
    <d v="2024-11-22T00:00:00"/>
    <s v="Transp 1"/>
    <s v="-"/>
    <x v="0"/>
    <s v="Brasil"/>
    <d v="2024-11-13T00:00:00"/>
    <s v="Entregue"/>
    <x v="0"/>
    <s v="-"/>
    <x v="0"/>
    <s v="Olá Nome, _x000a_Identificamos que o Item Ventilador Preto foi entregue no dia 13/11/2024, referente ao pedido Nº Pedido 142 Rastreio Pedido 142, agradecemos a preferência e adoraríamos receber sua avaliação, tendo qualquer dúvida estamos à disposição._x000a__x000a_Att_x000a_Tem tudo Shop"/>
  </r>
  <r>
    <s v="Pedido 24"/>
    <s v="CódRastreio15"/>
    <s v="CNBR012381235LG"/>
    <s v="BV"/>
    <d v="2024-11-15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24 Rastreio Pedido 24, agradecemos a preferência e adoraríamos receber sua avaliação, tendo qualquer dúvida estamos à disposição._x000a__x000a_Att_x000a_Tem tudo Shop"/>
  </r>
  <r>
    <s v="Pedido 25"/>
    <s v="CódRastreio16"/>
    <s v="CNBR012354986LG"/>
    <s v="BV"/>
    <d v="2024-11-15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25 Rastreio Pedido 25, agradecemos a preferência e adoraríamos receber sua avaliação, tendo qualquer dúvida estamos à disposição._x000a__x000a_Att_x000a_Tem tudo Shop"/>
  </r>
  <r>
    <s v="Pedido 501"/>
    <s v="CódRastreio487"/>
    <s v="LP00698736001999"/>
    <s v="BV"/>
    <d v="2025-01-04T00:00:00"/>
    <s v="Transp 1"/>
    <s v="-"/>
    <x v="0"/>
    <s v="Brasil"/>
    <d v="2024-12-16T00:00:00"/>
    <s v="Entregue"/>
    <x v="0"/>
    <s v="-"/>
    <x v="0"/>
    <s v="Olá Nome, _x000a_Identificamos que o Item Ventilador Rosa foi entregue no dia 16/12/2024, referente ao pedido Nº Pedido 501 Rastreio Pedido 501, agradecemos a preferência e adoraríamos receber sua avaliação, tendo qualquer dúvida estamos à disposição._x000a__x000a_Att_x000a_Tem tudo Shop"/>
  </r>
  <r>
    <s v="Pedido 499"/>
    <s v="CódRastreio485"/>
    <s v="LP00698597640190"/>
    <s v="BV"/>
    <d v="2025-01-03T00:00:00"/>
    <s v="Transp 1"/>
    <s v="-"/>
    <x v="0"/>
    <s v="Brasil"/>
    <d v="2024-12-23T00:00:00"/>
    <s v="Entregue"/>
    <x v="0"/>
    <s v="-"/>
    <x v="0"/>
    <s v="Olá Nome, _x000a_Identificamos que o Item Ventilador Rosa foi entregue no dia 23/12/2024, referente ao pedido Nº Pedido 499 Rastreio Pedido 499, agradecemos a preferência e adoraríamos receber sua avaliação, tendo qualquer dúvida estamos à disposição._x000a__x000a_Att_x000a_Tem tudo Shop"/>
  </r>
  <r>
    <s v="Pedido 75"/>
    <s v="CódRastreio66"/>
    <s v="CNBR00046075HB"/>
    <s v="BV"/>
    <d v="2024-11-08T00:00:00"/>
    <s v="Transp 1"/>
    <s v="-"/>
    <x v="1"/>
    <s v="Brasil"/>
    <d v="2024-10-29T00:00:00"/>
    <s v="Entregue"/>
    <x v="0"/>
    <s v="-"/>
    <x v="0"/>
    <s v="Olá Nome, _x000a_Identificamos que o Item Suporte de Celular Preto foi entregue no dia 29/10/2024, referente ao pedido Nº Pedido 75 Rastreio Pedido 75, agradecemos a preferência e adoraríamos receber sua avaliação, tendo qualquer dúvida estamos à disposição._x000a__x000a_Att_x000a_Tem tudo Shop"/>
  </r>
  <r>
    <s v="Pedido 60"/>
    <s v="CódRastreio51"/>
    <s v="CNBR000802523RS"/>
    <s v="BV"/>
    <d v="2024-11-13T00:00:00"/>
    <s v="Transp 1"/>
    <s v="-"/>
    <x v="1"/>
    <s v="Brasil"/>
    <d v="2024-10-29T00:00:00"/>
    <s v="Entregue"/>
    <x v="0"/>
    <s v="-"/>
    <x v="0"/>
    <s v="Olá Nome, _x000a_Identificamos que o Item Suporte de Celular Preto foi entregue no dia 29/10/2024, referente ao pedido Nº Pedido 60 Rastreio Pedido 60, agradecemos a preferência e adoraríamos receber sua avaliação, tendo qualquer dúvida estamos à disposição._x000a__x000a_Att_x000a_Tem tudo Shop"/>
  </r>
  <r>
    <s v="Pedido 266"/>
    <s v="CódRastreio259"/>
    <s v="CNBR012715781LG"/>
    <s v="BV"/>
    <d v="2024-11-20T00:00:00"/>
    <s v="Transp 1"/>
    <s v="-"/>
    <x v="1"/>
    <s v="Brasil"/>
    <d v="2024-11-09T00:00:00"/>
    <s v="Entregue"/>
    <x v="0"/>
    <s v="-"/>
    <x v="0"/>
    <s v="Olá Nome, _x000a_Identificamos que o Item Bomba d'agua foi entregue no dia 09/11/2024, referente ao pedido Nº Pedido 266 Rastreio Pedido 266, agradecemos a preferência e adoraríamos receber sua avaliação, tendo qualquer dúvida estamos à disposição._x000a__x000a_Att_x000a_Tem tudo Shop"/>
  </r>
  <r>
    <s v="Pedido 518"/>
    <s v="CódRastreio503"/>
    <s v="LP00697825889291"/>
    <s v="BV"/>
    <d v="2024-12-31T00:00:00"/>
    <s v="Transp 1"/>
    <s v="-"/>
    <x v="0"/>
    <s v="Brasil"/>
    <d v="2024-12-19T00:00:00"/>
    <s v="Entregue"/>
    <x v="0"/>
    <s v="-"/>
    <x v="0"/>
    <s v="Olá Nome, _x000a_Identificamos que o Item Ventilador Azul foi entregue no dia 19/12/2024, referente ao pedido Nº Pedido 518 Rastreio Pedido 518, agradecemos a preferência e adoraríamos receber sua avaliação, tendo qualquer dúvida estamos à disposição._x000a__x000a_Att_x000a_Tem tudo Shop"/>
  </r>
  <r>
    <s v="Pedido 525"/>
    <s v="CódRastreio510"/>
    <s v="LP00698428894101"/>
    <s v="BV"/>
    <d v="2025-01-03T00:00:00"/>
    <s v="Transp 1"/>
    <s v="-"/>
    <x v="0"/>
    <s v="Brasil"/>
    <d v="2024-12-23T00:00:00"/>
    <s v="Entregue"/>
    <x v="0"/>
    <s v="-"/>
    <x v="0"/>
    <s v="Olá Nome, _x000a_Identificamos que o Item Ventilador Preto foi entregue no dia 23/12/2024, referente ao pedido Nº Pedido 525 Rastreio Pedido 525, agradecemos a preferência e adoraríamos receber sua avaliação, tendo qualquer dúvida estamos à disposição._x000a__x000a_Att_x000a_Tem tudo Shop"/>
  </r>
  <r>
    <s v="Pedido 209"/>
    <s v="CódRastreio202"/>
    <n v="888670000129675"/>
    <s v="BV"/>
    <d v="2024-11-14T00:00:00"/>
    <s v="Transp 1"/>
    <s v="-"/>
    <x v="1"/>
    <s v="Brasil"/>
    <d v="2024-11-04T00:00:00"/>
    <s v="Entregue"/>
    <x v="0"/>
    <s v="-"/>
    <x v="0"/>
    <s v="Olá Nome, _x000a_Identificamos que o Item Adaptador Bluetooph foi entregue no dia 04/11/2024, referente ao pedido Nº Pedido 209 Rastreio Pedido 209, agradecemos a preferência e adoraríamos receber sua avaliação, tendo qualquer dúvida estamos à disposição._x000a__x000a_Att_x000a_Tem tudo Shop"/>
  </r>
  <r>
    <s v="Pedido 132"/>
    <s v="CódRastreio125"/>
    <s v="CNBR012553885LG"/>
    <s v="BV"/>
    <d v="2024-11-27T00:00:00"/>
    <s v="Transp 1"/>
    <s v="-"/>
    <x v="1"/>
    <s v="Brasil"/>
    <d v="2024-11-06T00:00:00"/>
    <s v="Entregue"/>
    <x v="0"/>
    <s v="-"/>
    <x v="0"/>
    <s v="Olá Nome, _x000a_Identificamos que o Item Bomba d'agua foi entregue no dia 06/11/2024, referente ao pedido Nº Pedido 132 Rastreio Pedido 132, agradecemos a preferência e adoraríamos receber sua avaliação, tendo qualquer dúvida estamos à disposição._x000a__x000a_Att_x000a_Tem tudo Shop"/>
  </r>
  <r>
    <s v="Pedido 76"/>
    <s v="CódRastreio67"/>
    <s v="CNBR012443496LG"/>
    <s v="BV"/>
    <d v="2024-11-21T00:00:00"/>
    <s v="Transp 1"/>
    <s v="-"/>
    <x v="1"/>
    <s v="Brasil"/>
    <d v="2024-11-03T00:00:00"/>
    <s v="Entregue"/>
    <x v="0"/>
    <s v="-"/>
    <x v="0"/>
    <s v="Olá Nome, _x000a_Identificamos que o Item Suporte de Celular Branco foi entregue no dia 03/11/2024, referente ao pedido Nº Pedido 76 Rastreio Pedido 76, agradecemos a preferência e adoraríamos receber sua avaliação, tendo qualquer dúvida estamos à disposição._x000a__x000a_Att_x000a_Tem tudo Shop"/>
  </r>
  <r>
    <s v="Pedido 96"/>
    <s v="CódRastreio89"/>
    <s v="CNBR012476110LG"/>
    <s v="BV"/>
    <d v="2024-11-21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96 Rastreio Pedido 96, agradecemos a preferência e adoraríamos receber sua avaliação, tendo qualquer dúvida estamos à disposição._x000a__x000a_Att_x000a_Tem tudo Shop"/>
  </r>
  <r>
    <s v="Pedido 565"/>
    <s v="CódRastreio550"/>
    <n v="888670000642180"/>
    <s v="BV"/>
    <d v="2025-01-09T00:00:00"/>
    <s v="Transp 1"/>
    <s v="-"/>
    <x v="1"/>
    <s v="Brasil"/>
    <d v="2024-12-23T00:00:00"/>
    <s v="Entregue"/>
    <x v="0"/>
    <s v="-"/>
    <x v="0"/>
    <s v="Olá Nome, _x000a_Identificamos que o Item Suporte de Celular Branco foi entregue no dia 23/12/2024, referente ao pedido Nº Pedido 565 Rastreio Pedido 565, agradecemos a preferência e adoraríamos receber sua avaliação, tendo qualquer dúvida estamos à disposição._x000a__x000a_Att_x000a_Tem tudo Shop"/>
  </r>
  <r>
    <s v="Pedido 468"/>
    <s v="CódRastreio453"/>
    <s v="LP00697614865832"/>
    <s v="BV"/>
    <d v="2024-12-28T00:00:00"/>
    <s v="Transp 1"/>
    <s v="-"/>
    <x v="0"/>
    <s v="Brasil"/>
    <d v="2024-12-13T00:00:00"/>
    <s v="Entregue"/>
    <x v="0"/>
    <s v="-"/>
    <x v="0"/>
    <s v="Olá Nome, _x000a_Identificamos que o Item Ventilador Azul foi entregue no dia 13/12/2024, referente ao pedido Nº Pedido 468 Rastreio Pedido 468, agradecemos a preferência e adoraríamos receber sua avaliação, tendo qualquer dúvida estamos à disposição._x000a__x000a_Att_x000a_Tem tudo Shop"/>
  </r>
  <r>
    <s v="Pedido 506"/>
    <s v="CódRastreio492"/>
    <s v="LP00698758267316"/>
    <s v="BV"/>
    <d v="2025-01-11T00:00:00"/>
    <s v="Transp 1"/>
    <s v="-"/>
    <x v="0"/>
    <s v="Brasil"/>
    <d v="2025-01-03T00:00:00"/>
    <s v="Entregue"/>
    <x v="0"/>
    <s v="-"/>
    <x v="0"/>
    <s v="Olá Nome, _x000a_Identificamos que o Item Ventilador Preto foi entregue no dia 03/01/2025, referente ao pedido Nº Pedido 506 Rastreio Pedido 506, agradecemos a preferência e adoraríamos receber sua avaliação, tendo qualquer dúvida estamos à disposição._x000a__x000a_Att_x000a_Tem tudo Shop"/>
  </r>
  <r>
    <s v="Pedido 479"/>
    <s v="CódRastreio464"/>
    <s v="LP00698294640202"/>
    <s v="BV"/>
    <d v="2024-12-31T00:00:00"/>
    <s v="Transp 1"/>
    <s v="-"/>
    <x v="0"/>
    <s v="Brasil"/>
    <d v="2024-12-17T00:00:00"/>
    <s v="Entregue"/>
    <x v="0"/>
    <s v="-"/>
    <x v="0"/>
    <s v="Olá Nome, _x000a_Identificamos que o Item Ventilador Preto foi entregue no dia 17/12/2024, referente ao pedido Nº Pedido 479 Rastreio Pedido 479, agradecemos a preferência e adoraríamos receber sua avaliação, tendo qualquer dúvida estamos à disposição._x000a__x000a_Att_x000a_Tem tudo Shop"/>
  </r>
  <r>
    <s v="Pedido 183"/>
    <s v="CódRastreio176"/>
    <s v="NM643668941BR"/>
    <s v="BV"/>
    <d v="2024-11-22T00:00:00"/>
    <s v="Transp 1"/>
    <s v="-"/>
    <x v="0"/>
    <s v="Brasil"/>
    <d v="2024-11-12T00:00:00"/>
    <s v="Entregue"/>
    <x v="0"/>
    <s v="-"/>
    <x v="0"/>
    <s v="Olá Nome, _x000a_Identificamos que o Item Ventilador Preto foi entregue no dia 12/11/2024, referente ao pedido Nº Pedido 183 Rastreio Pedido 183, agradecemos a preferência e adoraríamos receber sua avaliação, tendo qualquer dúvida estamos à disposição._x000a__x000a_Att_x000a_Tem tudo Shop"/>
  </r>
  <r>
    <s v="Pedido 593"/>
    <s v="CódRastreio578"/>
    <n v="3621049617329"/>
    <s v="BV"/>
    <d v="2025-01-15T00:00:00"/>
    <s v="Transp 1"/>
    <s v="-"/>
    <x v="1"/>
    <s v="Brasil"/>
    <d v="2024-12-30T00:00:00"/>
    <s v="Entregue"/>
    <x v="0"/>
    <s v="-"/>
    <x v="0"/>
    <s v="Olá Nome, _x000a_Identificamos que o Item Adaptador Bluetooph foi entregue no dia 30/12/2024, referente ao pedido Nº Pedido 593 Rastreio Pedido 593, agradecemos a preferência e adoraríamos receber sua avaliação, tendo qualquer dúvida estamos à disposição._x000a__x000a_Att_x000a_Tem tudo Shop"/>
  </r>
  <r>
    <s v="Pedido 407"/>
    <s v="CódRastreio396"/>
    <s v="LP00695343822442"/>
    <s v="BV"/>
    <d v="2024-12-11T00:00:00"/>
    <s v="Transp 1"/>
    <s v="-"/>
    <x v="0"/>
    <s v="Brasil"/>
    <d v="2024-11-27T00:00:00"/>
    <s v="Entregue"/>
    <x v="0"/>
    <s v="-"/>
    <x v="0"/>
    <s v="Olá Nome, _x000a_Identificamos que o Item Ventilador Preto foi entregue no dia 27/11/2024, referente ao pedido Nº Pedido 407 Rastreio Pedido 407, agradecemos a preferência e adoraríamos receber sua avaliação, tendo qualquer dúvida estamos à disposição._x000a__x000a_Att_x000a_Tem tudo Shop"/>
  </r>
  <r>
    <s v="Pedido 205"/>
    <s v="CódRastreio198"/>
    <n v="888670000140267"/>
    <s v="BV"/>
    <d v="2024-11-30T00:00:00"/>
    <s v="Transp 1"/>
    <s v="-"/>
    <x v="1"/>
    <s v="Brasil"/>
    <d v="2024-11-15T00:00:00"/>
    <s v="Entregue"/>
    <x v="0"/>
    <s v="-"/>
    <x v="0"/>
    <s v="Olá Nome, _x000a_Identificamos que o Item Mini Liquidificador foi entregue no dia 15/11/2024, referente ao pedido Nº Pedido 205 Rastreio Pedido 205, agradecemos a preferência e adoraríamos receber sua avaliação, tendo qualquer dúvida estamos à disposição._x000a__x000a_Att_x000a_Tem tudo Shop"/>
  </r>
  <r>
    <s v="Pedido 432"/>
    <s v="CódRastreio418"/>
    <s v="LP00695031647599"/>
    <s v="BV"/>
    <d v="2024-12-20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32 Rastreio Pedido 432, agradecemos a preferência e adoraríamos receber sua avaliação, tendo qualquer dúvida estamos à disposição._x000a__x000a_Att_x000a_Tem tudo Shop"/>
  </r>
  <r>
    <s v="Pedido 372"/>
    <s v="CódRastreio362"/>
    <s v="LP00693853867599"/>
    <s v="BV"/>
    <d v="2024-12-13T00:00:00"/>
    <s v="Transp 1"/>
    <s v="-"/>
    <x v="0"/>
    <s v="Brasil"/>
    <d v="2024-12-13T00:00:00"/>
    <s v="Entregue"/>
    <x v="0"/>
    <s v="Cliente Notificado"/>
    <x v="0"/>
    <s v="Olá Nome, _x000a_Identificamos que o Item Ventilador Preto foi entregue no dia 13/12/2024, referente ao pedido Nº Pedido 372 Rastreio Pedido 372, agradecemos a preferência e adoraríamos receber sua avaliação, tendo qualquer dúvida estamos à disposição._x000a__x000a_Att_x000a_Tem tudo Shop"/>
  </r>
  <r>
    <s v="Pedido 52"/>
    <s v="CódRastreio43"/>
    <s v="CNBR012411122LG"/>
    <s v="BV"/>
    <d v="2024-11-19T00:00:00"/>
    <s v="Transp 1"/>
    <s v="-"/>
    <x v="1"/>
    <s v="Brasil"/>
    <d v="2024-10-29T00:00:00"/>
    <s v="Entregue"/>
    <x v="0"/>
    <s v="-"/>
    <x v="0"/>
    <s v="Olá Nome, _x000a_Identificamos que o Item Balança foi entregue no dia 29/10/2024, referente ao pedido Nº Pedido 52 Rastreio Pedido 52, agradecemos a preferência e adoraríamos receber sua avaliação, tendo qualquer dúvida estamos à disposição._x000a__x000a_Att_x000a_Tem tudo Shop"/>
  </r>
  <r>
    <s v="Pedido 72"/>
    <s v="CódRastreio63"/>
    <s v="CNBR012469136LG"/>
    <s v="BV"/>
    <d v="2024-11-14T00:00:00"/>
    <s v="Transp 1"/>
    <s v="-"/>
    <x v="1"/>
    <s v="Brasil"/>
    <d v="2024-11-12T00:00:00"/>
    <s v="Entregue"/>
    <x v="0"/>
    <s v="-"/>
    <x v="0"/>
    <s v="Olá Nome, _x000a_Identificamos que o Item Mini Liquidificador foi entregue no dia 12/11/2024, referente ao pedido Nº Pedido 72 Rastreio Pedido 72, agradecemos a preferência e adoraríamos receber sua avaliação, tendo qualquer dúvida estamos à disposição._x000a__x000a_Att_x000a_Tem tudo Shop"/>
  </r>
  <r>
    <s v="Pedido 601"/>
    <s v="CódRastreio586"/>
    <s v="LP00703268418884"/>
    <s v="BV"/>
    <d v="2025-01-22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01 Rastreio Pedido 601, agradecemos a preferência e adoraríamos receber sua avaliação, tendo qualquer dúvida estamos à disposição._x000a__x000a_Att_x000a_Tem tudo Shop"/>
  </r>
  <r>
    <s v="Pedido 533"/>
    <s v="CódRastreio518"/>
    <s v="LP00699691509504"/>
    <s v="BV"/>
    <d v="2025-01-18T00:00:00"/>
    <s v="Transp 1"/>
    <s v="-"/>
    <x v="0"/>
    <s v="Brasil"/>
    <d v="2025-01-03T00:00:00"/>
    <s v="Entregue"/>
    <x v="0"/>
    <s v="-"/>
    <x v="0"/>
    <s v="Olá Nome, _x000a_Identificamos que o Item Ventilador Rosa foi entregue no dia 03/01/2025, referente ao pedido Nº Pedido 533 Rastreio Pedido 533, agradecemos a preferência e adoraríamos receber sua avaliação, tendo qualquer dúvida estamos à disposição._x000a__x000a_Att_x000a_Tem tudo Shop"/>
  </r>
  <r>
    <s v="Pedido 358"/>
    <s v="CódRastreio351"/>
    <n v="888670000275478"/>
    <s v="BV"/>
    <d v="2024-11-29T00:00:00"/>
    <s v="Transp 1"/>
    <s v="-"/>
    <x v="1"/>
    <s v="Brasil"/>
    <d v="2024-11-23T00:00:00"/>
    <s v="Entregue"/>
    <x v="0"/>
    <s v="-"/>
    <x v="0"/>
    <s v="Olá Nome, _x000a_Identificamos que o Item Suporte de Celular Branco foi entregue no dia 23/11/2024, referente ao pedido Nº Pedido 358 Rastreio Pedido 358, agradecemos a preferência e adoraríamos receber sua avaliação, tendo qualquer dúvida estamos à disposição._x000a__x000a_Att_x000a_Tem tudo Shop"/>
  </r>
  <r>
    <s v="Pedido 311"/>
    <s v="CódRastreio304"/>
    <n v="888670000191296"/>
    <s v="BV"/>
    <d v="2024-11-28T00:00:00"/>
    <s v="Transp 1"/>
    <s v="-"/>
    <x v="1"/>
    <s v="Brasil"/>
    <d v="2024-11-16T00:00:00"/>
    <s v="Entregue"/>
    <x v="0"/>
    <s v="-"/>
    <x v="0"/>
    <s v="Olá Nome, _x000a_Identificamos que o Item Bomba d'agua foi entregue no dia 16/11/2024, referente ao pedido Nº Pedido 311 Rastreio Pedido 311, agradecemos a preferência e adoraríamos receber sua avaliação, tendo qualquer dúvida estamos à disposição._x000a__x000a_Att_x000a_Tem tudo Shop"/>
  </r>
  <r>
    <s v="Pedido 45"/>
    <s v="CódRastreio36"/>
    <s v="CNBR000784396RS"/>
    <s v="BV"/>
    <d v="2024-11-12T00:00:00"/>
    <s v="Transp 1"/>
    <s v="-"/>
    <x v="1"/>
    <s v="Brasil"/>
    <d v="2024-10-28T00:00:00"/>
    <s v="Entregue"/>
    <x v="0"/>
    <s v="-"/>
    <x v="0"/>
    <s v="Olá Nome, _x000a_Identificamos que o Item Suporte de Celular Branco foi entregue no dia 28/10/2024, referente ao pedido Nº Pedido 45 Rastreio Pedido 45, agradecemos a preferência e adoraríamos receber sua avaliação, tendo qualquer dúvida estamos à disposição._x000a__x000a_Att_x000a_Tem tudo Shop"/>
  </r>
  <r>
    <s v="Pedido 204"/>
    <s v="CódRastreio197"/>
    <s v="CNBR00047628HB"/>
    <s v="BV"/>
    <d v="2024-11-19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204 Rastreio Pedido 204, agradecemos a preferência e adoraríamos receber sua avaliação, tendo qualquer dúvida estamos à disposição._x000a__x000a_Att_x000a_Tem tudo Shop"/>
  </r>
  <r>
    <s v="Pedido 247"/>
    <s v="CódRastreio240"/>
    <s v="NM646509224BR"/>
    <s v="BV"/>
    <d v="2024-11-30T00:00:00"/>
    <s v="Transp 1"/>
    <s v="-"/>
    <x v="0"/>
    <s v="Brasil"/>
    <d v="2024-11-16T00:00:00"/>
    <s v="Entregue"/>
    <x v="0"/>
    <s v="-"/>
    <x v="0"/>
    <s v="Olá Nome, _x000a_Identificamos que o Item Ventilador Preto foi entregue no dia 16/11/2024, referente ao pedido Nº Pedido 247 Rastreio Pedido 247, agradecemos a preferência e adoraríamos receber sua avaliação, tendo qualquer dúvida estamos à disposição._x000a__x000a_Att_x000a_Tem tudo Shop"/>
  </r>
  <r>
    <s v="Pedido 600"/>
    <s v="CódRastreio585"/>
    <n v="3621049619111"/>
    <s v="BV"/>
    <d v="2025-01-16T00:00:00"/>
    <s v="Transp 1"/>
    <s v="-"/>
    <x v="1"/>
    <s v="Brasil"/>
    <d v="2025-01-03T00:00:00"/>
    <s v="Entregue"/>
    <x v="0"/>
    <s v="-"/>
    <x v="0"/>
    <s v="Olá Nome, _x000a_Identificamos que o Item Adaptador Bluetooph foi entregue no dia 03/01/2025, referente ao pedido Nº Pedido 600 Rastreio Pedido 600, agradecemos a preferência e adoraríamos receber sua avaliação, tendo qualquer dúvida estamos à disposição._x000a__x000a_Att_x000a_Tem tudo Shop"/>
  </r>
  <r>
    <s v="Pedido 126"/>
    <s v="CódRastreio119"/>
    <s v="CNBR012488563LG"/>
    <s v="BV"/>
    <d v="2024-11-09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126 Rastreio Pedido 126, agradecemos a preferência e adoraríamos receber sua avaliação, tendo qualquer dúvida estamos à disposição._x000a__x000a_Att_x000a_Tem tudo Shop"/>
  </r>
  <r>
    <s v="Pedido 300"/>
    <s v="CódRastreio293"/>
    <s v="CNBR012758552LG"/>
    <s v="BV"/>
    <d v="2024-12-06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300 Rastreio Pedido 300, agradecemos a preferência e adoraríamos receber sua avaliação, tendo qualquer dúvida estamos à disposição._x000a__x000a_Att_x000a_Tem tudo Shop"/>
  </r>
  <r>
    <s v="Pedido 128"/>
    <s v="CódRastreio121"/>
    <s v="CNBR012512072LG"/>
    <s v="BV"/>
    <d v="2024-11-09T00:00:00"/>
    <s v="Transp 1"/>
    <s v="-"/>
    <x v="1"/>
    <s v="Brasil"/>
    <d v="2024-10-29T00:00:00"/>
    <s v="Entregue"/>
    <x v="0"/>
    <s v="-"/>
    <x v="0"/>
    <s v="Olá Nome, _x000a_Identificamos que o Item Bomba d'agua foi entregue no dia 29/10/2024, referente ao pedido Nº Pedido 128 Rastreio Pedido 128, agradecemos a preferência e adoraríamos receber sua avaliação, tendo qualquer dúvida estamos à disposição._x000a__x000a_Att_x000a_Tem tudo Shop"/>
  </r>
  <r>
    <s v="Pedido 384"/>
    <s v="CódRastreio374"/>
    <s v="LP00694797247204"/>
    <s v="BV"/>
    <d v="2024-12-14T00:00:00"/>
    <s v="Transp 1"/>
    <s v="-"/>
    <x v="0"/>
    <s v="Brasil"/>
    <d v="2024-11-28T00:00:00"/>
    <s v="Entregue"/>
    <x v="0"/>
    <s v="-"/>
    <x v="0"/>
    <s v="Olá Nome, _x000a_Identificamos que o Item Ventilador Azul foi entregue no dia 28/11/2024, referente ao pedido Nº Pedido 384 Rastreio Pedido 384, agradecemos a preferência e adoraríamos receber sua avaliação, tendo qualquer dúvida estamos à disposição._x000a__x000a_Att_x000a_Tem tudo Shop"/>
  </r>
  <r>
    <s v="Pedido 41"/>
    <s v="CódRastreio32"/>
    <s v="CNBR012417292LG"/>
    <s v="BV"/>
    <d v="2024-11-08T00:00:00"/>
    <s v="Transp 1"/>
    <s v="-"/>
    <x v="1"/>
    <s v="Brasil"/>
    <d v="2024-10-29T00:00:00"/>
    <s v="Entregue"/>
    <x v="0"/>
    <s v="-"/>
    <x v="0"/>
    <s v="Olá Nome, _x000a_Identificamos que o Item Balança foi entregue no dia 29/10/2024, referente ao pedido Nº Pedido 41 Rastreio Pedido 41, agradecemos a preferência e adoraríamos receber sua avaliação, tendo qualquer dúvida estamos à disposição._x000a__x000a_Att_x000a_Tem tudo Shop"/>
  </r>
  <r>
    <s v="Pedido 284"/>
    <s v="CódRastreio277"/>
    <s v="CNBR012734295LG"/>
    <s v="BV"/>
    <d v="2024-12-04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84 Rastreio Pedido 284, agradecemos a preferência e adoraríamos receber sua avaliação, tendo qualquer dúvida estamos à disposição._x000a__x000a_Att_x000a_Tem tudo Shop"/>
  </r>
  <r>
    <s v="Pedido 508"/>
    <s v="CódRastreio494"/>
    <s v="LP00698041359630"/>
    <s v="BV"/>
    <d v="2025-01-04T00:00:00"/>
    <s v="Transp 1"/>
    <s v="-"/>
    <x v="0"/>
    <s v="Brasil"/>
    <d v="2024-12-26T00:00:00"/>
    <s v="Entregue"/>
    <x v="0"/>
    <s v="-"/>
    <x v="0"/>
    <s v="Olá Nome, _x000a_Identificamos que o Item Ventilador Azul foi entregue no dia 26/12/2024, referente ao pedido Nº Pedido 508 Rastreio Pedido 508, agradecemos a preferência e adoraríamos receber sua avaliação, tendo qualquer dúvida estamos à disposição._x000a__x000a_Att_x000a_Tem tudo Shop"/>
  </r>
  <r>
    <s v="Pedido 330"/>
    <s v="CódRastreio323"/>
    <s v="NM655576350BR"/>
    <s v="BV"/>
    <d v="2024-12-05T00:00:00"/>
    <s v="Transp 1"/>
    <s v="-"/>
    <x v="0"/>
    <s v="Brasil"/>
    <d v="2024-11-28T00:00:00"/>
    <s v="Entregue"/>
    <x v="0"/>
    <s v="-"/>
    <x v="0"/>
    <s v="Olá Nome, _x000a_Identificamos que o Item Ventilador de teto foi entregue no dia 28/11/2024, referente ao pedido Nº Pedido 330 Rastreio Pedido 330, agradecemos a preferência e adoraríamos receber sua avaliação, tendo qualquer dúvida estamos à disposição._x000a__x000a_Att_x000a_Tem tudo Shop"/>
  </r>
  <r>
    <s v="Pedido 244"/>
    <s v="CódRastreio237"/>
    <s v="NM646489547BR"/>
    <s v="BV"/>
    <d v="2024-11-30T00:00:00"/>
    <s v="Transp 1"/>
    <s v="-"/>
    <x v="0"/>
    <s v="Brasil"/>
    <d v="2024-11-18T00:00:00"/>
    <s v="Entregue"/>
    <x v="0"/>
    <s v="-"/>
    <x v="0"/>
    <s v="Olá Nome, _x000a_Identificamos que o Item Suporte de Celular Preto foi entregue no dia 18/11/2024, referente ao pedido Nº Pedido 244 Rastreio Pedido 244, agradecemos a preferência e adoraríamos receber sua avaliação, tendo qualquer dúvida estamos à disposição._x000a__x000a_Att_x000a_Tem tudo Shop"/>
  </r>
  <r>
    <s v="Pedido 333"/>
    <s v="CódRastreio326"/>
    <s v="NM652177795BR"/>
    <s v="BV"/>
    <d v="2024-12-03T00:00:00"/>
    <s v="Transp 1"/>
    <s v="-"/>
    <x v="0"/>
    <s v="Brasil"/>
    <d v="2024-11-21T00:00:00"/>
    <s v="Entregue"/>
    <x v="0"/>
    <s v="-"/>
    <x v="0"/>
    <s v="Olá Nome, _x000a_Identificamos que o Item Ventilador de teto foi entregue no dia 21/11/2024, referente ao pedido Nº Pedido 333 Rastreio Pedido 333, agradecemos a preferência e adoraríamos receber sua avaliação, tendo qualquer dúvida estamos à disposição._x000a__x000a_Att_x000a_Tem tudo Shop"/>
  </r>
  <r>
    <s v="Pedido 43"/>
    <s v="CódRastreio34"/>
    <s v="CNBR00045817HB"/>
    <s v="BV"/>
    <d v="2024-11-06T00:00:00"/>
    <s v="Transp 1"/>
    <s v="-"/>
    <x v="1"/>
    <s v="Brasil"/>
    <d v="2024-10-29T00:00:00"/>
    <s v="Entregue"/>
    <x v="0"/>
    <s v="-"/>
    <x v="0"/>
    <s v="Olá Nome, _x000a_Identificamos que o Item Balança foi entregue no dia 29/10/2024, referente ao pedido Nº Pedido 43 Rastreio Pedido 43, agradecemos a preferência e adoraríamos receber sua avaliação, tendo qualquer dúvida estamos à disposição._x000a__x000a_Att_x000a_Tem tudo Shop"/>
  </r>
  <r>
    <s v="Pedido 92"/>
    <s v="CódRastreio85"/>
    <s v="CNBR012451890LG"/>
    <s v="BV"/>
    <d v="2024-11-21T00:00:00"/>
    <s v="Transp 1"/>
    <s v="-"/>
    <x v="1"/>
    <s v="Brasil"/>
    <d v="2024-11-02T00:00:00"/>
    <s v="Entregue"/>
    <x v="0"/>
    <s v="-"/>
    <x v="0"/>
    <s v="Olá Nome, _x000a_Identificamos que o Item Bomba d'agua foi entregue no dia 02/11/2024, referente ao pedido Nº Pedido 92 Rastreio Pedido 92, agradecemos a preferência e adoraríamos receber sua avaliação, tendo qualquer dúvida estamos à disposição._x000a__x000a_Att_x000a_Tem tudo Shop"/>
  </r>
  <r>
    <s v="Pedido 316"/>
    <s v="CódRastreio309"/>
    <s v="CNBR012759408LG"/>
    <s v="BV"/>
    <d v="2024-12-06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316 Rastreio Pedido 316, agradecemos a preferência e adoraríamos receber sua avaliação, tendo qualquer dúvida estamos à disposição._x000a__x000a_Att_x000a_Tem tudo Shop"/>
  </r>
  <r>
    <s v="Pedido 248"/>
    <s v="CódRastreio241"/>
    <n v="888670000165455"/>
    <s v="BV"/>
    <d v="2024-11-22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248 Rastreio Pedido 248, agradecemos a preferência e adoraríamos receber sua avaliação, tendo qualquer dúvida estamos à disposição._x000a__x000a_Att_x000a_Tem tudo Shop"/>
  </r>
  <r>
    <s v="Pedido 457"/>
    <s v="CódRastreio442"/>
    <s v="CNBR013109050LG"/>
    <s v="BV"/>
    <d v="2024-12-27T00:00:00"/>
    <s v="Transp 1"/>
    <s v="-"/>
    <x v="1"/>
    <s v="Brasil"/>
    <d v="2024-12-12T00:00:00"/>
    <s v="Entregue"/>
    <x v="0"/>
    <s v="-"/>
    <x v="0"/>
    <s v="Olá Nome, _x000a_Identificamos que o Item Mini Liquidificador foi entregue no dia 12/12/2024, referente ao pedido Nº Pedido 457 Rastreio Pedido 457, agradecemos a preferência e adoraríamos receber sua avaliação, tendo qualquer dúvida estamos à disposição._x000a__x000a_Att_x000a_Tem tudo Shop"/>
  </r>
  <r>
    <s v="Pedido 453"/>
    <s v="CódRastreio438"/>
    <n v="3621049611839"/>
    <s v="BV"/>
    <d v="2024-12-18T00:00:00"/>
    <s v="Transp 1"/>
    <s v="-"/>
    <x v="1"/>
    <s v="Brasil"/>
    <d v="2024-12-02T00:00:00"/>
    <s v="Entregue"/>
    <x v="0"/>
    <s v="-"/>
    <x v="0"/>
    <s v="Olá Nome, _x000a_Identificamos que o Item Mini Mixer Misturador foi entregue no dia 02/12/2024, referente ao pedido Nº Pedido 453 Rastreio Pedido 453, agradecemos a preferência e adoraríamos receber sua avaliação, tendo qualquer dúvida estamos à disposição._x000a__x000a_Att_x000a_Tem tudo Shop"/>
  </r>
  <r>
    <s v="Pedido 105"/>
    <s v="CódRastreio98"/>
    <s v="CNBR012455786LG"/>
    <s v="BV"/>
    <d v="2024-11-14T00:00:00"/>
    <s v="Transp 1"/>
    <s v="-"/>
    <x v="1"/>
    <s v="Brasil"/>
    <d v="2024-11-01T00:00:00"/>
    <s v="Entregue"/>
    <x v="0"/>
    <s v="-"/>
    <x v="0"/>
    <s v="Olá Nome, _x000a_Identificamos que o Item Suporte de Celular Branco foi entregue no dia 01/11/2024, referente ao pedido Nº Pedido 105 Rastreio Pedido 105, agradecemos a preferência e adoraríamos receber sua avaliação, tendo qualquer dúvida estamos à disposição._x000a__x000a_Att_x000a_Tem tudo Shop"/>
  </r>
  <r>
    <s v="Pedido 33"/>
    <s v="CódRastreio24"/>
    <s v="CNBR012370533LG"/>
    <s v="BV"/>
    <d v="2024-11-15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33 Rastreio Pedido 33, agradecemos a preferência e adoraríamos receber sua avaliação, tendo qualquer dúvida estamos à disposição._x000a__x000a_Att_x000a_Tem tudo Shop"/>
  </r>
  <r>
    <s v="Pedido 326"/>
    <s v="CódRastreio319"/>
    <n v="888670000203405"/>
    <s v="BV"/>
    <d v="2024-11-29T00:00:00"/>
    <s v="Transp 1"/>
    <s v="-"/>
    <x v="1"/>
    <s v="Brasil"/>
    <d v="2024-11-26T00:00:00"/>
    <s v="Entregue"/>
    <x v="0"/>
    <s v="-"/>
    <x v="0"/>
    <s v="Olá Nome, _x000a_Identificamos que o Item Suporte de Celular Preto foi entregue no dia 26/11/2024, referente ao pedido Nº Pedido 326 Rastreio Pedido 326, agradecemos a preferência e adoraríamos receber sua avaliação, tendo qualquer dúvida estamos à disposição._x000a__x000a_Att_x000a_Tem tudo Shop"/>
  </r>
  <r>
    <s v="Pedido 448"/>
    <s v="CódRastreio434"/>
    <s v="LP00695547826617"/>
    <s v="BV"/>
    <d v="2024-12-24T00:00:00"/>
    <s v="Transp 1"/>
    <s v="-"/>
    <x v="0"/>
    <s v="Brasil"/>
    <d v="2024-12-13T00:00:00"/>
    <s v="Entregue"/>
    <x v="0"/>
    <s v="-"/>
    <x v="0"/>
    <s v="Olá Nome, _x000a_Identificamos que o Item Ventilador Azul foi entregue no dia 13/12/2024, referente ao pedido Nº Pedido 448 Rastreio Pedido 448, agradecemos a preferência e adoraríamos receber sua avaliação, tendo qualquer dúvida estamos à disposição._x000a__x000a_Att_x000a_Tem tudo Shop"/>
  </r>
  <r>
    <s v="Pedido 458"/>
    <s v="CódRastreio443"/>
    <s v="LP00695827793285"/>
    <s v="BV"/>
    <d v="2024-12-19T00:00:00"/>
    <s v="Transp 1"/>
    <s v="-"/>
    <x v="0"/>
    <s v="Brasil"/>
    <d v="2024-12-09T16:43:28"/>
    <s v="Entregue"/>
    <x v="0"/>
    <s v="-"/>
    <x v="0"/>
    <s v="Olá Nome, _x000a_Identificamos que o Item Ventilador Preto foi entregue no dia 09/12/2024, referente ao pedido Nº Pedido 458 Rastreio Pedido 458, agradecemos a preferência e adoraríamos receber sua avaliação, tendo qualquer dúvida estamos à disposição._x000a__x000a_Att_x000a_Tem tudo Shop"/>
  </r>
  <r>
    <s v="Pedido 602"/>
    <s v="CódRastreio587"/>
    <s v="LP00701682586390"/>
    <s v="BV"/>
    <d v="2025-01-22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02 Rastreio Pedido 602, agradecemos a preferência e adoraríamos receber sua avaliação, tendo qualquer dúvida estamos à disposição._x000a__x000a_Att_x000a_Tem tudo Shop"/>
  </r>
  <r>
    <s v="Pedido 399"/>
    <s v="CódRastreio389"/>
    <n v="888670000414627"/>
    <s v="BV"/>
    <d v="2024-12-07T00:00:00"/>
    <s v="Transp 1"/>
    <s v="-"/>
    <x v="1"/>
    <s v="Brasil"/>
    <d v="2024-11-25T00:00:00"/>
    <s v="Entregue"/>
    <x v="0"/>
    <s v="-"/>
    <x v="0"/>
    <s v="Olá Nome, _x000a_Identificamos que o Item Mini Liquidificador foi entregue no dia 25/11/2024, referente ao pedido Nº Pedido 399 Rastreio Pedido 399, agradecemos a preferência e adoraríamos receber sua avaliação, tendo qualquer dúvida estamos à disposição._x000a__x000a_Att_x000a_Tem tudo Shop"/>
  </r>
  <r>
    <s v="Pedido 379"/>
    <s v="CódRastreio369"/>
    <s v="LP00693126604389"/>
    <s v="BV"/>
    <d v="2024-12-07T00:00:00"/>
    <s v="Transp 1"/>
    <s v="-"/>
    <x v="0"/>
    <s v="Brasil"/>
    <d v="2024-12-05T12:31:34"/>
    <s v="Entregue"/>
    <x v="0"/>
    <s v="-"/>
    <x v="0"/>
    <s v="Olá Nome, _x000a_Identificamos que o Item Ventilador Rosa foi entregue no dia 05/12/2024, referente ao pedido Nº Pedido 379 Rastreio Pedido 379, agradecemos a preferência e adoraríamos receber sua avaliação, tendo qualquer dúvida estamos à disposição._x000a__x000a_Att_x000a_Tem tudo Shop"/>
  </r>
  <r>
    <s v="Pedido 65"/>
    <s v="CódRastreio56"/>
    <s v="CNBR012435574LG"/>
    <s v="BV"/>
    <d v="2024-11-20T00:00:00"/>
    <s v="Transp 1"/>
    <s v="-"/>
    <x v="1"/>
    <s v="Brasil"/>
    <d v="2024-11-08T00:00:00"/>
    <s v="Entregue"/>
    <x v="0"/>
    <s v="-"/>
    <x v="0"/>
    <s v="Olá Nome, _x000a_Identificamos que o Item Suporte de Celular Branco foi entregue no dia 08/11/2024, referente ao pedido Nº Pedido 65 Rastreio Pedido 65, agradecemos a preferência e adoraríamos receber sua avaliação, tendo qualquer dúvida estamos à disposição._x000a__x000a_Att_x000a_Tem tudo Shop"/>
  </r>
  <r>
    <s v="Pedido 241"/>
    <s v="CódRastreio234"/>
    <n v="888670000138869"/>
    <s v="BV"/>
    <d v="2024-11-22T00:00:00"/>
    <s v="Transp 1"/>
    <s v="-"/>
    <x v="1"/>
    <s v="Brasil"/>
    <d v="2024-11-11T00:00:00"/>
    <s v="Entregue"/>
    <x v="0"/>
    <s v="-"/>
    <x v="0"/>
    <s v="Olá Nome, _x000a_Identificamos que o Item Bomba d'agua foi entregue no dia 11/11/2024, referente ao pedido Nº Pedido 241 Rastreio Pedido 241, agradecemos a preferência e adoraríamos receber sua avaliação, tendo qualquer dúvida estamos à disposição._x000a__x000a_Att_x000a_Tem tudo Shop"/>
  </r>
  <r>
    <s v="Pedido 287"/>
    <s v="CódRastreio280"/>
    <s v="CNBR012771443LG"/>
    <s v="BV"/>
    <d v="2024-11-28T00:00:00"/>
    <s v="Transp 1"/>
    <s v="-"/>
    <x v="1"/>
    <s v="Brasil"/>
    <d v="2024-11-14T00:00:00"/>
    <s v="Entregue"/>
    <x v="0"/>
    <s v="-"/>
    <x v="0"/>
    <s v="Olá Nome, _x000a_Identificamos que o Item Suporte de Celular Branco foi entregue no dia 14/11/2024, referente ao pedido Nº Pedido 287 Rastreio Pedido 287, agradecemos a preferência e adoraríamos receber sua avaliação, tendo qualquer dúvida estamos à disposição._x000a__x000a_Att_x000a_Tem tudo Shop"/>
  </r>
  <r>
    <s v="Pedido 229"/>
    <s v="CódRastreio222"/>
    <s v="NM645966452BR"/>
    <s v="BV"/>
    <d v="2024-11-30T00:00:00"/>
    <s v="Transp 1"/>
    <s v="-"/>
    <x v="0"/>
    <s v="Brasil"/>
    <d v="2024-11-13T00:00:00"/>
    <s v="Entregue"/>
    <x v="0"/>
    <s v="-"/>
    <x v="0"/>
    <s v="Olá Nome, _x000a_Identificamos que o Item Ventilador de teto foi entregue no dia 13/11/2024, referente ao pedido Nº Pedido 229 Rastreio Pedido 229, agradecemos a preferência e adoraríamos receber sua avaliação, tendo qualquer dúvida estamos à disposição._x000a__x000a_Att_x000a_Tem tudo Shop"/>
  </r>
  <r>
    <s v="Pedido 233"/>
    <s v="CódRastreio226"/>
    <s v="NM646015855BR"/>
    <s v="BV"/>
    <d v="2024-11-26T00:00:00"/>
    <s v="Transp 1"/>
    <s v="-"/>
    <x v="0"/>
    <s v="Brasil"/>
    <d v="2024-11-13T00:00:00"/>
    <s v="Entregue"/>
    <x v="0"/>
    <s v="-"/>
    <x v="0"/>
    <s v="Olá Nome, _x000a_Identificamos que o Item Ventilador de teto foi entregue no dia 13/11/2024, referente ao pedido Nº Pedido 233 Rastreio Pedido 233, agradecemos a preferência e adoraríamos receber sua avaliação, tendo qualquer dúvida estamos à disposição._x000a__x000a_Att_x000a_Tem tudo Shop"/>
  </r>
  <r>
    <s v="Pedido 353"/>
    <s v="CódRastreio346"/>
    <s v="CNBR012846291LG"/>
    <s v="BV"/>
    <d v="2024-12-05T00:00:00"/>
    <s v="Transp 1"/>
    <s v="-"/>
    <x v="1"/>
    <s v="Brasil"/>
    <d v="2024-11-25T00:00:00"/>
    <s v="Entregue"/>
    <x v="0"/>
    <s v="-"/>
    <x v="0"/>
    <s v="Olá Nome, _x000a_Identificamos que o Item Suporte de Celular Branco foi entregue no dia 25/11/2024, referente ao pedido Nº Pedido 353 Rastreio Pedido 353, agradecemos a preferência e adoraríamos receber sua avaliação, tendo qualquer dúvida estamos à disposição._x000a__x000a_Att_x000a_Tem tudo Shop"/>
  </r>
  <r>
    <s v="Pedido 190"/>
    <s v="CódRastreio183"/>
    <n v="3621049596499"/>
    <s v="BV"/>
    <d v="2024-11-15T00:00:00"/>
    <s v="Transp 1"/>
    <s v="-"/>
    <x v="1"/>
    <s v="Brasil"/>
    <d v="2024-11-08T00:00:00"/>
    <s v="Entregue"/>
    <x v="0"/>
    <s v="-"/>
    <x v="0"/>
    <s v="Olá Nome, _x000a_Identificamos que o Item Bomba d'agua foi entregue no dia 08/11/2024, referente ao pedido Nº Pedido 190 Rastreio Pedido 190, agradecemos a preferência e adoraríamos receber sua avaliação, tendo qualquer dúvida estamos à disposição._x000a__x000a_Att_x000a_Tem tudo Shop"/>
  </r>
  <r>
    <s v="Pedido 588"/>
    <s v="CódRastreio573"/>
    <s v="LP00702653305841"/>
    <s v="BV"/>
    <d v="2025-01-14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88 Rastreio Pedido 588, agradecemos a preferência e adoraríamos receber sua avaliação, tendo qualquer dúvida estamos à disposição._x000a__x000a_Att_x000a_Tem tudo Shop"/>
  </r>
  <r>
    <s v="Pedido 487"/>
    <s v="CódRastreio472"/>
    <s v="LP00697545171513"/>
    <s v="BV"/>
    <d v="2024-12-21T00:00:00"/>
    <s v="Transp 1"/>
    <s v="-"/>
    <x v="0"/>
    <s v="Brasil"/>
    <d v="2024-12-10T00:00:00"/>
    <s v="Entregue"/>
    <x v="0"/>
    <s v="-"/>
    <x v="0"/>
    <s v="Olá Nome, _x000a_Identificamos que o Item Ventilador Preto foi entregue no dia 10/12/2024, referente ao pedido Nº Pedido 487 Rastreio Pedido 487, agradecemos a preferência e adoraríamos receber sua avaliação, tendo qualquer dúvida estamos à disposição._x000a__x000a_Att_x000a_Tem tudo Shop"/>
  </r>
  <r>
    <s v="Pedido 344"/>
    <s v="CódRastreio337"/>
    <s v="NM654386495BR"/>
    <s v="BV"/>
    <d v="2024-12-04T00:00:00"/>
    <s v="Transp 1"/>
    <s v="-"/>
    <x v="0"/>
    <s v="Brasil"/>
    <d v="2024-11-21T00:00:00"/>
    <s v="Entregue"/>
    <x v="0"/>
    <s v="-"/>
    <x v="0"/>
    <s v="Olá Nome, _x000a_Identificamos que o Item Ventilador Preto foi entregue no dia 21/11/2024, referente ao pedido Nº Pedido 344 Rastreio Pedido 344, agradecemos a preferência e adoraríamos receber sua avaliação, tendo qualquer dúvida estamos à disposição._x000a__x000a_Att_x000a_Tem tudo Shop"/>
  </r>
  <r>
    <s v="Pedido 443"/>
    <s v="CódRastreio428 1 Envio"/>
    <s v="LP00696090536737"/>
    <s v="BV"/>
    <d v="2024-12-17T00:00:00"/>
    <s v="Transp 1"/>
    <s v="-"/>
    <x v="0"/>
    <s v="Brasil"/>
    <d v="2024-12-06T19:36:56"/>
    <s v="Entregue"/>
    <x v="0"/>
    <s v="-"/>
    <x v="0"/>
    <s v="Olá Nome, _x000a_Identificamos que o Item Ventilador Azul foi entregue no dia 06/12/2024, referente ao pedido Nº Pedido 443 Rastreio Pedido 443, agradecemos a preferência e adoraríamos receber sua avaliação, tendo qualquer dúvida estamos à disposição._x000a__x000a_Att_x000a_Tem tudo Shop"/>
  </r>
  <r>
    <s v="Pedido 443"/>
    <s v="CódRastreio428"/>
    <s v="LP00696039525325"/>
    <s v="BV"/>
    <d v="2024-12-17T00:00:00"/>
    <s v="Transp 1"/>
    <s v="-"/>
    <x v="0"/>
    <s v="Brasil"/>
    <d v="2024-12-05T17:48:27"/>
    <s v="Entregue"/>
    <x v="0"/>
    <s v="-"/>
    <x v="0"/>
    <s v="Olá Nome, _x000a_Identificamos que o Item Ventilador Azul foi entregue no dia 05/12/2024, referente ao pedido Nº Pedido 443 Rastreio Pedido 443, agradecemos a preferência e adoraríamos receber sua avaliação, tendo qualquer dúvida estamos à disposição._x000a__x000a_Att_x000a_Tem tudo Shop"/>
  </r>
  <r>
    <s v="Pedido 192"/>
    <s v="CódRastreio185"/>
    <n v="3621049596375"/>
    <s v="BV"/>
    <d v="2024-11-15T00:00:00"/>
    <s v="Transp 1"/>
    <s v="-"/>
    <x v="1"/>
    <s v="Brasil"/>
    <d v="2024-11-11T00:00:00"/>
    <s v="Entregue"/>
    <x v="0"/>
    <s v="-"/>
    <x v="0"/>
    <s v="Olá Nome, _x000a_Identificamos que o Item Bomba d'agua foi entregue no dia 11/11/2024, referente ao pedido Nº Pedido 192 Rastreio Pedido 192, agradecemos a preferência e adoraríamos receber sua avaliação, tendo qualquer dúvida estamos à disposição._x000a__x000a_Att_x000a_Tem tudo Shop"/>
  </r>
  <r>
    <s v="Pedido 591"/>
    <s v="CódRastreio576"/>
    <s v="LP00701036044845"/>
    <s v="BV"/>
    <d v="2025-01-21T00:00:00"/>
    <s v="Transp 1"/>
    <s v="-"/>
    <x v="0"/>
    <s v="Brasil"/>
    <d v="2025-01-02T00:00:00"/>
    <s v="Entregue"/>
    <x v="0"/>
    <s v="-"/>
    <x v="0"/>
    <s v="Olá Nome, _x000a_Identificamos que o Item Ventilador de teto foi entregue no dia 02/01/2025, referente ao pedido Nº Pedido 591 Rastreio Pedido 591, agradecemos a preferência e adoraríamos receber sua avaliação, tendo qualquer dúvida estamos à disposição._x000a__x000a_Att_x000a_Tem tudo Shop"/>
  </r>
  <r>
    <s v="Pedido 425"/>
    <s v="CódRastreio412"/>
    <n v="888670000410496"/>
    <s v="BV"/>
    <d v="2024-12-06T00:00:00"/>
    <s v="Transp 1"/>
    <s v="-"/>
    <x v="1"/>
    <s v="Brasil"/>
    <d v="2024-11-27T00:00:00"/>
    <s v="Entregue"/>
    <x v="0"/>
    <s v="-"/>
    <x v="0"/>
    <s v="Olá Nome, _x000a_Identificamos que o Item Adaptador Bluetooph foi entregue no dia 27/11/2024, referente ao pedido Nº Pedido 425 Rastreio Pedido 425, agradecemos a preferência e adoraríamos receber sua avaliação, tendo qualquer dúvida estamos à disposição._x000a__x000a_Att_x000a_Tem tudo Shop"/>
  </r>
  <r>
    <s v="Pedido 197"/>
    <s v="CódRastreio190"/>
    <s v="CNBR000832193RS"/>
    <s v="BV"/>
    <d v="2024-11-15T00:00:00"/>
    <s v="Transp 1"/>
    <s v="-"/>
    <x v="1"/>
    <s v="Brasil"/>
    <d v="2024-11-07T00:00:00"/>
    <s v="Entregue"/>
    <x v="0"/>
    <s v="-"/>
    <x v="0"/>
    <s v="Olá Nome, _x000a_Identificamos que o Item Bomba d'agua foi entregue no dia 07/11/2024, referente ao pedido Nº Pedido 197 Rastreio Pedido 197, agradecemos a preferência e adoraríamos receber sua avaliação, tendo qualquer dúvida estamos à disposição._x000a__x000a_Att_x000a_Tem tudo Shop"/>
  </r>
  <r>
    <s v="Pedido 101"/>
    <s v="CódRastreio94"/>
    <s v="CNBR012474272LG"/>
    <s v="BV"/>
    <d v="2024-11-21T00:00:00"/>
    <s v="Transp 1"/>
    <s v="-"/>
    <x v="1"/>
    <s v="Brasil"/>
    <d v="2024-11-02T00:00:00"/>
    <s v="Entregue"/>
    <x v="0"/>
    <s v="-"/>
    <x v="0"/>
    <s v="Olá Nome, _x000a_Identificamos que o Item Suporte de Celular Preto foi entregue no dia 02/11/2024, referente ao pedido Nº Pedido 101 Rastreio Pedido 101, agradecemos a preferência e adoraríamos receber sua avaliação, tendo qualquer dúvida estamos à disposição._x000a__x000a_Att_x000a_Tem tudo Shop"/>
  </r>
  <r>
    <s v="Pedido 44"/>
    <s v="CódRastreio35"/>
    <s v="CNBR012392600LG"/>
    <s v="BV"/>
    <d v="2024-11-12T00:00:00"/>
    <s v="Transp 1"/>
    <s v="-"/>
    <x v="1"/>
    <s v="Brasil"/>
    <d v="2024-10-28T00:00:00"/>
    <s v="Entregue"/>
    <x v="0"/>
    <s v="-"/>
    <x v="0"/>
    <s v="Olá Nome, _x000a_Identificamos que o Item Suporte de Celular Preto foi entregue no dia 28/10/2024, referente ao pedido Nº Pedido 44 Rastreio Pedido 44, agradecemos a preferência e adoraríamos receber sua avaliação, tendo qualquer dúvida estamos à disposição._x000a__x000a_Att_x000a_Tem tudo Shop"/>
  </r>
  <r>
    <s v="Pedido 91"/>
    <s v="CódRastreio84"/>
    <s v="CNBR012463495LG"/>
    <s v="BV"/>
    <d v="2024-11-21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91 Rastreio Pedido 91, agradecemos a preferência e adoraríamos receber sua avaliação, tendo qualquer dúvida estamos à disposição._x000a__x000a_Att_x000a_Tem tudo Shop"/>
  </r>
  <r>
    <s v="Pedido 431"/>
    <s v="CódRastreio417"/>
    <s v="LP00695811710185"/>
    <s v="BV"/>
    <d v="2024-12-20T00:00:00"/>
    <s v="Transp 1"/>
    <s v="-"/>
    <x v="0"/>
    <s v="Brasil"/>
    <d v="2024-12-12T00:00:00"/>
    <s v="Entregue"/>
    <x v="0"/>
    <s v="-"/>
    <x v="0"/>
    <s v="Olá Nome, _x000a_Identificamos que o Item Ventilador Preto foi entregue no dia 12/12/2024, referente ao pedido Nº Pedido 431 Rastreio Pedido 431, agradecemos a preferência e adoraríamos receber sua avaliação, tendo qualquer dúvida estamos à disposição._x000a__x000a_Att_x000a_Tem tudo Shop"/>
  </r>
  <r>
    <s v="Pedido 569"/>
    <s v="CódRastreio554"/>
    <n v="888670000654975"/>
    <s v="BV"/>
    <d v="2025-01-09T00:00:00"/>
    <s v="Transp 1"/>
    <s v="-"/>
    <x v="1"/>
    <s v="Brasil"/>
    <d v="2024-12-19T00:00:00"/>
    <s v="Entregue"/>
    <x v="0"/>
    <s v="-"/>
    <x v="0"/>
    <s v="Olá Nome, _x000a_Identificamos que o Item Copo Termico foi entregue no dia 19/12/2024, referente ao pedido Nº Pedido 569 Rastreio Pedido 569, agradecemos a preferência e adoraríamos receber sua avaliação, tendo qualquer dúvida estamos à disposição._x000a__x000a_Att_x000a_Tem tudo Shop"/>
  </r>
  <r>
    <s v="Pedido 165"/>
    <s v="CódRastreio158"/>
    <s v="NM642892818BR"/>
    <s v="BV"/>
    <d v="2024-11-26T00:00:00"/>
    <s v="Transp 1"/>
    <s v="-"/>
    <x v="0"/>
    <s v="Brasil"/>
    <d v="2024-11-11T00:00:00"/>
    <s v="Entregue"/>
    <x v="0"/>
    <s v="-"/>
    <x v="0"/>
    <s v="Olá Nome, _x000a_Identificamos que o Item Ventilador de teto foi entregue no dia 11/11/2024, referente ao pedido Nº Pedido 165 Rastreio Pedido 165, agradecemos a preferência e adoraríamos receber sua avaliação, tendo qualquer dúvida estamos à disposição._x000a__x000a_Att_x000a_Tem tudo Shop"/>
  </r>
  <r>
    <s v="Pedido 166"/>
    <s v="CódRastreio159"/>
    <s v="NM642968278BR"/>
    <s v="BV"/>
    <d v="2024-11-26T00:00:00"/>
    <s v="Transp 1"/>
    <s v="-"/>
    <x v="0"/>
    <s v="Brasil"/>
    <d v="2024-11-14T00:00:00"/>
    <s v="Entregue"/>
    <x v="0"/>
    <s v="-"/>
    <x v="0"/>
    <s v="Olá Nome, _x000a_Identificamos que o Item Ventilador de teto foi entregue no dia 14/11/2024, referente ao pedido Nº Pedido 166 Rastreio Pedido 166, agradecemos a preferência e adoraríamos receber sua avaliação, tendo qualquer dúvida estamos à disposição._x000a__x000a_Att_x000a_Tem tudo Shop"/>
  </r>
  <r>
    <s v="Pedido 564"/>
    <s v="CódRastreio549"/>
    <s v="LP00699575914790"/>
    <s v="BV"/>
    <d v="2025-01-09T00:00:00"/>
    <s v="Transp 1"/>
    <s v="-"/>
    <x v="0"/>
    <s v="Brasil"/>
    <d v="2024-12-23T00:00:00"/>
    <s v="Entregue"/>
    <x v="0"/>
    <s v="-"/>
    <x v="0"/>
    <s v="Olá Nome, _x000a_Identificamos que o Item Ventilador Preto foi entregue no dia 23/12/2024, referente ao pedido Nº Pedido 564 Rastreio Pedido 564, agradecemos a preferência e adoraríamos receber sua avaliação, tendo qualquer dúvida estamos à disposição._x000a__x000a_Att_x000a_Tem tudo Shop"/>
  </r>
  <r>
    <s v="Pedido 30"/>
    <s v="CódRastreio21"/>
    <n v="3621049596095"/>
    <s v="BV"/>
    <d v="2024-11-07T00:00:00"/>
    <s v="Transp 1"/>
    <s v="-"/>
    <x v="1"/>
    <s v="Brasil"/>
    <d v="2024-10-28T00:00:00"/>
    <s v="Entregue"/>
    <x v="0"/>
    <s v="-"/>
    <x v="0"/>
    <s v="Olá Nome, _x000a_Identificamos que o Item Suporte de Celular Branco foi entregue no dia 28/10/2024, referente ao pedido Nº Pedido 30 Rastreio Pedido 30, agradecemos a preferência e adoraríamos receber sua avaliação, tendo qualquer dúvida estamos à disposição._x000a__x000a_Att_x000a_Tem tudo Shop"/>
  </r>
  <r>
    <s v="Pedido 549"/>
    <s v="CódRastreio534"/>
    <s v="LP00700837459463"/>
    <s v="BV"/>
    <d v="2025-01-14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49 Rastreio Pedido 549, agradecemos a preferência e adoraríamos receber sua avaliação, tendo qualquer dúvida estamos à disposição._x000a__x000a_Att_x000a_Tem tudo Shop"/>
  </r>
  <r>
    <s v="Pedido 387"/>
    <s v="CódRastreio377"/>
    <s v="LP00694083159778"/>
    <s v="BV"/>
    <d v="2024-12-14T00:00:00"/>
    <s v="Transp 1"/>
    <s v="-"/>
    <x v="0"/>
    <s v="Brasil"/>
    <d v="2024-12-03T00:00:00"/>
    <s v="Entregue"/>
    <x v="0"/>
    <s v="-"/>
    <x v="0"/>
    <s v="Olá Nome, _x000a_Identificamos que o Item Ventilador Rosa foi entregue no dia 03/12/2024, referente ao pedido Nº Pedido 387 Rastreio Pedido 387, agradecemos a preferência e adoraríamos receber sua avaliação, tendo qualquer dúvida estamos à disposição._x000a__x000a_Att_x000a_Tem tudo Shop"/>
  </r>
  <r>
    <s v="Pedido 430"/>
    <s v="CódRastreio416"/>
    <s v="LP00695812945081"/>
    <s v="BV"/>
    <d v="2024-12-13T00:00:00"/>
    <s v="Transp 1"/>
    <s v="-"/>
    <x v="0"/>
    <s v="Brasil"/>
    <d v="2024-12-04T00:00:00"/>
    <s v="Entregue"/>
    <x v="0"/>
    <s v="-"/>
    <x v="0"/>
    <s v="Olá Nome, _x000a_Identificamos que o Item Ventilador Preto foi entregue no dia 04/12/2024, referente ao pedido Nº Pedido 430 Rastreio Pedido 430, agradecemos a preferência e adoraríamos receber sua avaliação, tendo qualquer dúvida estamos à disposição._x000a__x000a_Att_x000a_Tem tudo Shop"/>
  </r>
  <r>
    <s v="Pedido 350"/>
    <s v="CódRastreio343"/>
    <s v="NM655656954BR"/>
    <s v="BV"/>
    <d v="2024-12-05T00:00:00"/>
    <s v="Transp 1"/>
    <s v="-"/>
    <x v="0"/>
    <s v="Brasil"/>
    <d v="2024-11-22T00:00:00"/>
    <s v="Entregue"/>
    <x v="0"/>
    <s v="Pedido reembolsado pelo fornecedor"/>
    <x v="0"/>
    <s v="Olá Nome, _x000a_Identificamos que o Item Ventilador Preto foi entregue no dia 22/11/2024, referente ao pedido Nº Pedido 350 Rastreio Pedido 350, agradecemos a preferência e adoraríamos receber sua avaliação, tendo qualquer dúvida estamos à disposição._x000a__x000a_Att_x000a_Tem tudo Shop"/>
  </r>
  <r>
    <s v="Pedido 315"/>
    <s v="CódRastreio308"/>
    <n v="888670000199257"/>
    <s v="BV"/>
    <d v="2024-11-26T00:00:00"/>
    <s v="Transp 1"/>
    <s v="-"/>
    <x v="1"/>
    <s v="Brasil"/>
    <d v="2024-11-14T00:00:00"/>
    <s v="Entregue"/>
    <x v="0"/>
    <s v="-"/>
    <x v="0"/>
    <s v="Olá Nome, _x000a_Identificamos que o Item Bomba d'agua foi entregue no dia 14/11/2024, referente ao pedido Nº Pedido 315 Rastreio Pedido 315, agradecemos a preferência e adoraríamos receber sua avaliação, tendo qualquer dúvida estamos à disposição._x000a__x000a_Att_x000a_Tem tudo Shop"/>
  </r>
  <r>
    <s v="Pedido 99"/>
    <s v="CódRastreio92"/>
    <s v="CNBR012468436LG"/>
    <s v="BV"/>
    <d v="2024-11-12T00:00:00"/>
    <s v="Transp 1"/>
    <s v="-"/>
    <x v="1"/>
    <s v="Brasil"/>
    <d v="2024-10-30T00:00:00"/>
    <s v="Entregue"/>
    <x v="0"/>
    <s v="-"/>
    <x v="0"/>
    <s v="Olá Nome, _x000a_Identificamos que o Item Mini Liquidificador foi entregue no dia 30/10/2024, referente ao pedido Nº Pedido 99 Rastreio Pedido 99, agradecemos a preferência e adoraríamos receber sua avaliação, tendo qualquer dúvida estamos à disposição._x000a__x000a_Att_x000a_Tem tudo Shop"/>
  </r>
  <r>
    <s v="Pedido 318"/>
    <s v="CódRastreio311"/>
    <s v="CNBR000891545RS"/>
    <s v="BV"/>
    <d v="2024-12-03T00:00:00"/>
    <s v="Transp 1"/>
    <s v="-"/>
    <x v="1"/>
    <s v="Brasil"/>
    <d v="2024-11-27T00:00:00"/>
    <s v="Entregue"/>
    <x v="0"/>
    <s v="-"/>
    <x v="0"/>
    <s v="Olá Nome, _x000a_Identificamos que o Item Suporte de Celular Branco foi entregue no dia 27/11/2024, referente ao pedido Nº Pedido 318 Rastreio Pedido 318, agradecemos a preferência e adoraríamos receber sua avaliação, tendo qualquer dúvida estamos à disposição._x000a__x000a_Att_x000a_Tem tudo Shop"/>
  </r>
  <r>
    <s v="Pedido 386"/>
    <s v="CódRastreio376"/>
    <s v="LP00694043985929"/>
    <s v="BV"/>
    <d v="2024-12-10T00:00:00"/>
    <s v="Transp 1"/>
    <s v="-"/>
    <x v="0"/>
    <s v="Brasil"/>
    <d v="2024-12-02T00:00:00"/>
    <s v="Entregue"/>
    <x v="0"/>
    <s v="-"/>
    <x v="0"/>
    <s v="Olá Nome, _x000a_Identificamos que o Item Ventilador de teto foi entregue no dia 02/12/2024, referente ao pedido Nº Pedido 386 Rastreio Pedido 386, agradecemos a preferência e adoraríamos receber sua avaliação, tendo qualquer dúvida estamos à disposição._x000a__x000a_Att_x000a_Tem tudo Shop"/>
  </r>
  <r>
    <s v="Pedido 561"/>
    <s v="CódRastreio546"/>
    <s v="LP00701066647108"/>
    <s v="BV"/>
    <d v="2025-01-09T00:00:00"/>
    <s v="Transp 1"/>
    <s v="-"/>
    <x v="0"/>
    <s v="Brasil"/>
    <d v="2024-12-30T00:00:00"/>
    <s v="Entregue"/>
    <x v="0"/>
    <s v="-"/>
    <x v="0"/>
    <s v="Olá Nome, _x000a_Identificamos que o Item Ventilador Rosa foi entregue no dia 30/12/2024, referente ao pedido Nº Pedido 561 Rastreio Pedido 561, agradecemos a preferência e adoraríamos receber sua avaliação, tendo qualquer dúvida estamos à disposição._x000a__x000a_Att_x000a_Tem tudo Shop"/>
  </r>
  <r>
    <s v="Pedido 152"/>
    <s v="CódRastreio145"/>
    <s v="CNBR012595386LG"/>
    <s v="BV"/>
    <d v="2024-11-12T00:00:00"/>
    <s v="Transp 1"/>
    <s v="-"/>
    <x v="1"/>
    <s v="Brasil"/>
    <d v="2024-11-01T00:00:00"/>
    <s v="Entregue"/>
    <x v="0"/>
    <s v="-"/>
    <x v="0"/>
    <s v="Olá Nome, _x000a_Identificamos que o Item Balança foi entregue no dia 01/11/2024, referente ao pedido Nº Pedido 152 Rastreio Pedido 152, agradecemos a preferência e adoraríamos receber sua avaliação, tendo qualquer dúvida estamos à disposição._x000a__x000a_Att_x000a_Tem tudo Shop"/>
  </r>
  <r>
    <s v="Pedido 436"/>
    <s v="CódRastreio422"/>
    <s v="LP00696064196226"/>
    <s v="BV"/>
    <d v="2024-12-20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36 Rastreio Pedido 436, agradecemos a preferência e adoraríamos receber sua avaliação, tendo qualquer dúvida estamos à disposição._x000a__x000a_Att_x000a_Tem tudo Shop"/>
  </r>
  <r>
    <s v="Pedido 488"/>
    <s v="CódRastreio473 1 Envio"/>
    <s v="LP00698321712774"/>
    <s v="BV"/>
    <d v="2025-01-09T00:00:00"/>
    <s v="Transp 1"/>
    <s v="-"/>
    <x v="0"/>
    <s v="Brasil"/>
    <d v="2025-01-03T00:00:00"/>
    <s v="Entregue"/>
    <x v="0"/>
    <s v="-"/>
    <x v="0"/>
    <s v="Olá Nome, _x000a_Identificamos que o Item Ventilador Preto foi entregue no dia 03/01/2025, referente ao pedido Nº Pedido 488 Rastreio Pedido 488, agradecemos a preferência e adoraríamos receber sua avaliação, tendo qualquer dúvida estamos à disposição._x000a__x000a_Att_x000a_Tem tudo Shop"/>
  </r>
  <r>
    <s v="Pedido 488"/>
    <s v="CódRastreio473"/>
    <s v="LP00696775961272"/>
    <s v="BV"/>
    <d v="2025-01-09T00:00:00"/>
    <s v="Transp 1"/>
    <s v="-"/>
    <x v="0"/>
    <s v="Brasil"/>
    <d v="2025-01-03T00:00:00"/>
    <s v="Entregue"/>
    <x v="0"/>
    <s v="-"/>
    <x v="0"/>
    <s v="Olá Nome, _x000a_Identificamos que o Item Ventilador Preto foi entregue no dia 03/01/2025, referente ao pedido Nº Pedido 488 Rastreio Pedido 488, agradecemos a preferência e adoraríamos receber sua avaliação, tendo qualquer dúvida estamos à disposição._x000a__x000a_Att_x000a_Tem tudo Shop"/>
  </r>
  <r>
    <s v="Pedido 293"/>
    <s v="CódRastreio286"/>
    <s v="NM649373786BR"/>
    <s v="BV"/>
    <d v="2024-11-28T00:00:00"/>
    <s v="Transp 1"/>
    <s v="-"/>
    <x v="0"/>
    <s v="Brasil"/>
    <d v="2024-11-14T00:00:00"/>
    <s v="Entregue"/>
    <x v="0"/>
    <s v="-"/>
    <x v="0"/>
    <s v="Olá Nome, _x000a_Identificamos que o Item Ventilador Preto foi entregue no dia 14/11/2024, referente ao pedido Nº Pedido 293 Rastreio Pedido 293, agradecemos a preferência e adoraríamos receber sua avaliação, tendo qualquer dúvida estamos à disposição._x000a__x000a_Att_x000a_Tem tudo Shop"/>
  </r>
  <r>
    <s v="Pedido 570"/>
    <s v="CódRastreio555"/>
    <s v="LP00701534749698"/>
    <s v="BV"/>
    <d v="2025-01-09T00:00:00"/>
    <s v="Transp 1"/>
    <s v="-"/>
    <x v="0"/>
    <s v="Brasil"/>
    <d v="2024-12-27T00:00:00"/>
    <s v="Entregue"/>
    <x v="0"/>
    <s v="-"/>
    <x v="0"/>
    <s v="Olá Nome, _x000a_Identificamos que o Item Ventilador Azul foi entregue no dia 27/12/2024, referente ao pedido Nº Pedido 570 Rastreio Pedido 570, agradecemos a preferência e adoraríamos receber sua avaliação, tendo qualquer dúvida estamos à disposição._x000a__x000a_Att_x000a_Tem tudo Shop"/>
  </r>
  <r>
    <s v="Pedido 144"/>
    <s v="CódRastreio137"/>
    <s v="CNBR012494921LG"/>
    <s v="BV"/>
    <d v="2024-11-09T00:00:00"/>
    <s v="Transp 1"/>
    <s v="-"/>
    <x v="1"/>
    <s v="Brasil"/>
    <d v="2024-10-31T00:00:00"/>
    <s v="Entregue"/>
    <x v="0"/>
    <s v="-"/>
    <x v="0"/>
    <s v="Olá Nome, _x000a_Identificamos que o Item Mini Liquidificador foi entregue no dia 31/10/2024, referente ao pedido Nº Pedido 144 Rastreio Pedido 144, agradecemos a preferência e adoraríamos receber sua avaliação, tendo qualquer dúvida estamos à disposição._x000a__x000a_Att_x000a_Tem tudo Shop"/>
  </r>
  <r>
    <s v="Pedido 578"/>
    <s v="CódRastreio563"/>
    <s v="LP00701858209660"/>
    <s v="BV"/>
    <d v="2025-01-10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78 Rastreio Pedido 578, agradecemos a preferência e adoraríamos receber sua avaliação, tendo qualquer dúvida estamos à disposição._x000a__x000a_Att_x000a_Tem tudo Shop"/>
  </r>
  <r>
    <s v="Pedido 520"/>
    <s v="CódRastreio505"/>
    <s v="LP00698409850379"/>
    <s v="BV"/>
    <d v="2024-12-31T00:00:00"/>
    <s v="Transp 1"/>
    <s v="-"/>
    <x v="0"/>
    <s v="Brasil"/>
    <d v="2024-12-19T00:00:00"/>
    <s v="Entregue"/>
    <x v="0"/>
    <s v="-"/>
    <x v="0"/>
    <s v="Olá Nome, _x000a_Identificamos que o Item Ventilador Preto foi entregue no dia 19/12/2024, referente ao pedido Nº Pedido 520 Rastreio Pedido 520, agradecemos a preferência e adoraríamos receber sua avaliação, tendo qualquer dúvida estamos à disposição._x000a__x000a_Att_x000a_Tem tudo Shop"/>
  </r>
  <r>
    <s v="Pedido 198"/>
    <s v="CódRastreio191"/>
    <s v="CNBR000855234RS"/>
    <s v="BV"/>
    <d v="2024-11-15T00:00:00"/>
    <s v="Transp 1"/>
    <s v="-"/>
    <x v="1"/>
    <s v="Brasil"/>
    <d v="2024-11-11T00:00:00"/>
    <s v="Entregue"/>
    <x v="0"/>
    <s v="-"/>
    <x v="0"/>
    <s v="Olá Nome, _x000a_Identificamos que o Item Mini Liquidificador foi entregue no dia 11/11/2024, referente ao pedido Nº Pedido 198 Rastreio Pedido 198, agradecemos a preferência e adoraríamos receber sua avaliação, tendo qualquer dúvida estamos à disposição._x000a__x000a_Att_x000a_Tem tudo Shop"/>
  </r>
  <r>
    <s v="Pedido 444"/>
    <s v="CódRastreio430"/>
    <s v="LP00695252525941"/>
    <s v="BV"/>
    <d v="2025-01-03T00:00:00"/>
    <s v="Transp 1"/>
    <s v="-"/>
    <x v="0"/>
    <s v="Brasil"/>
    <d v="2024-12-27T00:00:00"/>
    <s v="Entregue"/>
    <x v="0"/>
    <s v="-"/>
    <x v="0"/>
    <s v="Olá Nome, _x000a_Identificamos que o Item Ventilador Rosa foi entregue no dia 27/12/2024, referente ao pedido Nº Pedido 444 Rastreio Pedido 444, agradecemos a preferência e adoraríamos receber sua avaliação, tendo qualquer dúvida estamos à disposição._x000a__x000a_Att_x000a_Tem tudo Shop"/>
  </r>
  <r>
    <s v="Pedido 636"/>
    <s v="CódRastreio618"/>
    <n v="888670000821483"/>
    <s v="BV"/>
    <d v="2025-01-25T00:00:00"/>
    <s v="Transp 1"/>
    <s v="-"/>
    <x v="1"/>
    <s v="Brasil"/>
    <d v="2025-01-08T00:00:00"/>
    <s v="Entregue"/>
    <x v="0"/>
    <s v="-"/>
    <x v="0"/>
    <s v="Olá Nome, _x000a_Identificamos que o Item Adaptador Bluetooph foi entregue no dia 08/01/2025, referente ao pedido Nº Pedido 636 Rastreio Pedido 636, agradecemos a preferência e adoraríamos receber sua avaliação, tendo qualquer dúvida estamos à disposição._x000a__x000a_Att_x000a_Tem tudo Shop"/>
  </r>
  <r>
    <s v="Pedido 325"/>
    <s v="CódRastreio318"/>
    <s v="CNBR012760692LG"/>
    <s v="BV"/>
    <d v="2024-11-27T00:00:00"/>
    <s v="Transp 1"/>
    <s v="-"/>
    <x v="1"/>
    <s v="Brasil"/>
    <d v="2024-11-13T00:00:00"/>
    <s v="Entregue"/>
    <x v="0"/>
    <s v="-"/>
    <x v="0"/>
    <s v="Olá Nome, _x000a_Identificamos que o Item Bomba d'agua foi entregue no dia 13/11/2024, referente ao pedido Nº Pedido 325 Rastreio Pedido 325, agradecemos a preferência e adoraríamos receber sua avaliação, tendo qualquer dúvida estamos à disposição._x000a__x000a_Att_x000a_Tem tudo Shop"/>
  </r>
  <r>
    <s v="Pedido 335"/>
    <s v="CódRastreio328"/>
    <s v="CNBR000893498RS"/>
    <s v="BV"/>
    <d v="2024-12-03T00:00:00"/>
    <s v="Transp 1"/>
    <s v="-"/>
    <x v="1"/>
    <s v="Brasil"/>
    <d v="2024-11-17T00:00:00"/>
    <s v="Entregue"/>
    <x v="0"/>
    <s v="-"/>
    <x v="0"/>
    <s v="Olá Nome, _x000a_Identificamos que o Item Mini Liquidificador foi entregue no dia 17/11/2024, referente ao pedido Nº Pedido 335 Rastreio Pedido 335, agradecemos a preferência e adoraríamos receber sua avaliação, tendo qualquer dúvida estamos à disposição._x000a__x000a_Att_x000a_Tem tudo Shop"/>
  </r>
  <r>
    <s v="Pedido 439"/>
    <s v="CódRastreio424"/>
    <s v="LP00695297902718"/>
    <s v="BV"/>
    <d v="2025-01-03T00:00:00"/>
    <s v="Transp 1"/>
    <s v="-"/>
    <x v="0"/>
    <s v="Brasil"/>
    <d v="2024-12-16T00:00:00"/>
    <s v="Entregue"/>
    <x v="0"/>
    <s v="-"/>
    <x v="0"/>
    <s v="Olá Nome, _x000a_Identificamos que o Item Ventilador Azul foi entregue no dia 16/12/2024, referente ao pedido Nº Pedido 439 Rastreio Pedido 439, agradecemos a preferência e adoraríamos receber sua avaliação, tendo qualquer dúvida estamos à disposição._x000a__x000a_Att_x000a_Tem tudo Shop"/>
  </r>
  <r>
    <s v="Pedido 66"/>
    <s v="CódRastreio57"/>
    <s v="CNBR012425988LG"/>
    <s v="BV"/>
    <d v="2024-11-07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66 Rastreio Pedido 66, agradecemos a preferência e adoraríamos receber sua avaliação, tendo qualquer dúvida estamos à disposição._x000a__x000a_Att_x000a_Tem tudo Shop"/>
  </r>
  <r>
    <s v="Pedido 615"/>
    <s v="CódRastreio598"/>
    <s v="LP00704309244887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15 Rastreio Pedido 615, agradecemos a preferência e adoraríamos receber sua avaliação, tendo qualquer dúvida estamos à disposição._x000a__x000a_Att_x000a_Tem tudo Shop"/>
  </r>
  <r>
    <s v="Pedido 35"/>
    <s v="CódRastreio26"/>
    <s v="CNBR012384271LG"/>
    <s v="BV"/>
    <d v="2024-11-09T00:00:00"/>
    <s v="Transp 1"/>
    <s v="-"/>
    <x v="1"/>
    <s v="Brasil"/>
    <d v="2024-10-25T00:00:00"/>
    <s v="Entregue"/>
    <x v="0"/>
    <s v="-"/>
    <x v="0"/>
    <s v="Olá Nome, _x000a_Identificamos que o Item Balança foi entregue no dia 25/10/2024, referente ao pedido Nº Pedido 35 Rastreio Pedido 35, agradecemos a preferência e adoraríamos receber sua avaliação, tendo qualquer dúvida estamos à disposição._x000a__x000a_Att_x000a_Tem tudo Shop"/>
  </r>
  <r>
    <s v="Pedido 409"/>
    <s v="CódRastreio398"/>
    <s v="NM663417911BR"/>
    <s v="BV"/>
    <d v="2024-12-05T00:00:00"/>
    <s v="Transp 1"/>
    <s v="-"/>
    <x v="0"/>
    <s v="Brasil"/>
    <d v="2024-12-02T00:00:00"/>
    <s v="Entregue"/>
    <x v="0"/>
    <s v="-"/>
    <x v="0"/>
    <s v="Olá Nome, _x000a_Identificamos que o Item Garrafa Termica foi entregue no dia 02/12/2024, referente ao pedido Nº Pedido 409 Rastreio Pedido 409, agradecemos a preferência e adoraríamos receber sua avaliação, tendo qualquer dúvida estamos à disposição._x000a__x000a_Att_x000a_Tem tudo Shop"/>
  </r>
  <r>
    <s v="Pedido 95"/>
    <s v="CódRastreio88"/>
    <s v="CNBR012465355LG"/>
    <s v="BV"/>
    <d v="2024-11-14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95 Rastreio Pedido 95, agradecemos a preferência e adoraríamos receber sua avaliação, tendo qualquer dúvida estamos à disposição._x000a__x000a_Att_x000a_Tem tudo Shop"/>
  </r>
  <r>
    <s v="Pedido 568"/>
    <s v="CódRastreio553"/>
    <s v="LP00700755146455"/>
    <s v="BV"/>
    <d v="2025-01-15T00:00:00"/>
    <s v="Transp 1"/>
    <s v="-"/>
    <x v="0"/>
    <s v="Brasil"/>
    <d v="2025-01-03T00:00:00"/>
    <s v="Entregue"/>
    <x v="0"/>
    <s v="-"/>
    <x v="0"/>
    <s v="Olá Nome, _x000a_Identificamos que o Item Ventilador Rosa foi entregue no dia 03/01/2025, referente ao pedido Nº Pedido 568 Rastreio Pedido 568, agradecemos a preferência e adoraríamos receber sua avaliação, tendo qualquer dúvida estamos à disposição._x000a__x000a_Att_x000a_Tem tudo Shop"/>
  </r>
  <r>
    <s v="Pedido 573"/>
    <s v="CódRastreio558"/>
    <s v="LP00700759670022"/>
    <s v="BV"/>
    <d v="2025-01-15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573 Rastreio Pedido 573, agradecemos a preferência e adoraríamos receber sua avaliação, tendo qualquer dúvida estamos à disposição._x000a__x000a_Att_x000a_Tem tudo Shop"/>
  </r>
  <r>
    <s v="Pedido 535"/>
    <s v="CódRastreio520"/>
    <s v="CNBR013399290LG"/>
    <s v="BV"/>
    <d v="2025-01-07T00:00:00"/>
    <s v="Transp 1"/>
    <s v="-"/>
    <x v="1"/>
    <s v="Brasil"/>
    <d v="2024-12-16T00:00:00"/>
    <s v="Entregue"/>
    <x v="0"/>
    <s v="-"/>
    <x v="0"/>
    <s v="Olá Nome, _x000a_Identificamos que o Item Suporte de Celular Branco foi entregue no dia 16/12/2024, referente ao pedido Nº Pedido 535 Rastreio Pedido 535, agradecemos a preferência e adoraríamos receber sua avaliação, tendo qualquer dúvida estamos à disposição._x000a__x000a_Att_x000a_Tem tudo Shop"/>
  </r>
  <r>
    <s v="Pedido 320"/>
    <s v="CódRastreio313"/>
    <s v="CNBR000907064RS"/>
    <s v="BV"/>
    <d v="2024-12-03T00:00:00"/>
    <s v="Transp 1"/>
    <s v="-"/>
    <x v="1"/>
    <s v="Brasil"/>
    <d v="2024-11-19T00:00:00"/>
    <s v="Entregue"/>
    <x v="0"/>
    <s v="-"/>
    <x v="0"/>
    <s v="Olá Nome, _x000a_Identificamos que o Item Mini Liquidificador foi entregue no dia 19/11/2024, referente ao pedido Nº Pedido 320 Rastreio Pedido 320, agradecemos a preferência e adoraríamos receber sua avaliação, tendo qualquer dúvida estamos à disposição._x000a__x000a_Att_x000a_Tem tudo Shop"/>
  </r>
  <r>
    <s v="Pedido 389"/>
    <s v="CódRastreio379"/>
    <s v="CNBR000961391RS"/>
    <s v="BV"/>
    <d v="2024-12-10T00:00:00"/>
    <s v="Transp 1"/>
    <s v="-"/>
    <x v="1"/>
    <s v="Brasil"/>
    <d v="2024-11-28T00:00:00"/>
    <s v="Entregue"/>
    <x v="0"/>
    <s v="-"/>
    <x v="0"/>
    <s v="Olá Nome, _x000a_Identificamos que o Item Mini Liquidificador foi entregue no dia 28/11/2024, referente ao pedido Nº Pedido 389 Rastreio Pedido 389, agradecemos a preferência e adoraríamos receber sua avaliação, tendo qualquer dúvida estamos à disposição._x000a__x000a_Att_x000a_Tem tudo Shop"/>
  </r>
  <r>
    <s v="Pedido 523"/>
    <s v="CódRastreio508"/>
    <s v="LP00698414807972"/>
    <s v="BV"/>
    <d v="2025-01-09T00:00:00"/>
    <s v="Transp 1"/>
    <s v="-"/>
    <x v="0"/>
    <s v="Brasil"/>
    <d v="2024-12-17T00:00:00"/>
    <s v="Entregue"/>
    <x v="0"/>
    <s v="-"/>
    <x v="0"/>
    <s v="Olá Nome, _x000a_Identificamos que o Item Ventilador Azul foi entregue no dia 17/12/2024, referente ao pedido Nº Pedido 523 Rastreio Pedido 523, agradecemos a preferência e adoraríamos receber sua avaliação, tendo qualquer dúvida estamos à disposição._x000a__x000a_Att_x000a_Tem tudo Shop"/>
  </r>
  <r>
    <s v="Pedido 476"/>
    <s v="CódRastreio461"/>
    <n v="888670000567879"/>
    <s v="BV"/>
    <d v="2024-12-20T00:00:00"/>
    <s v="Transp 1"/>
    <s v="-"/>
    <x v="1"/>
    <s v="Brasil"/>
    <d v="2024-12-10T00:00:00"/>
    <s v="Entregue"/>
    <x v="0"/>
    <s v="-"/>
    <x v="0"/>
    <s v="Olá Nome, _x000a_Identificamos que o Item Adaptador Bluetooph foi entregue no dia 10/12/2024, referente ao pedido Nº Pedido 476 Rastreio Pedido 476, agradecemos a preferência e adoraríamos receber sua avaliação, tendo qualquer dúvida estamos à disposição._x000a__x000a_Att_x000a_Tem tudo Shop"/>
  </r>
  <r>
    <s v="Pedido 642"/>
    <s v="CódRastreio623"/>
    <s v="LP00704441780445"/>
    <s v="BV"/>
    <d v="2025-01-25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42 Rastreio Pedido 642, agradecemos a preferência e adoraríamos receber sua avaliação, tendo qualquer dúvida estamos à disposição._x000a__x000a_Att_x000a_Tem tudo Shop"/>
  </r>
  <r>
    <s v="Pedido 556"/>
    <s v="CódRastreio541"/>
    <n v="3621049613947"/>
    <s v="BV"/>
    <d v="2025-01-09T00:00:00"/>
    <s v="Transp 1"/>
    <s v="-"/>
    <x v="1"/>
    <s v="Brasil"/>
    <d v="2024-12-19T00:00:00"/>
    <s v="Entregue"/>
    <x v="0"/>
    <s v="-"/>
    <x v="0"/>
    <s v="Olá Nome, _x000a_Identificamos que o Item Suporte de Celular Branco foi entregue no dia 19/12/2024, referente ao pedido Nº Pedido 556 Rastreio Pedido 556, agradecemos a preferência e adoraríamos receber sua avaliação, tendo qualquer dúvida estamos à disposição._x000a__x000a_Att_x000a_Tem tudo Shop"/>
  </r>
  <r>
    <s v="Pedido 203"/>
    <s v="CódRastreio196"/>
    <s v="CNBR000832281RS"/>
    <s v="BV"/>
    <d v="2024-11-26T00:00:00"/>
    <s v="Transp 1"/>
    <s v="-"/>
    <x v="1"/>
    <s v="Brasil"/>
    <d v="2024-11-08T00:00:00"/>
    <s v="Entregue"/>
    <x v="0"/>
    <s v="-"/>
    <x v="0"/>
    <s v="Olá Nome, _x000a_Identificamos que o Item Bomba d'agua foi entregue no dia 08/11/2024, referente ao pedido Nº Pedido 203 Rastreio Pedido 203, agradecemos a preferência e adoraríamos receber sua avaliação, tendo qualquer dúvida estamos à disposição._x000a__x000a_Att_x000a_Tem tudo Shop"/>
  </r>
  <r>
    <s v="Pedido 161"/>
    <s v="CódRastreio154"/>
    <s v="CNBR012558471LG"/>
    <s v="BV"/>
    <d v="2024-11-23T00:00:00"/>
    <s v="Transp 1"/>
    <s v="-"/>
    <x v="1"/>
    <s v="Brasil"/>
    <d v="2024-11-08T00:00:00"/>
    <s v="Entregue"/>
    <x v="0"/>
    <s v="-"/>
    <x v="0"/>
    <s v="Olá Nome, _x000a_Identificamos que o Item Bomba d'agua foi entregue no dia 08/11/2024, referente ao pedido Nº Pedido 161 Rastreio Pedido 161, agradecemos a preferência e adoraríamos receber sua avaliação, tendo qualquer dúvida estamos à disposição._x000a__x000a_Att_x000a_Tem tudo Shop"/>
  </r>
  <r>
    <s v="Pedido 605"/>
    <s v="CódRastreio589"/>
    <s v="LP00703322305153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05 Rastreio Pedido 605, agradecemos a preferência e adoraríamos receber sua avaliação, tendo qualquer dúvida estamos à disposição._x000a__x000a_Att_x000a_Tem tudo Shop"/>
  </r>
  <r>
    <s v="Pedido 497"/>
    <s v="CódRastreio483"/>
    <s v="LP00698540275879"/>
    <s v="BV"/>
    <d v="2024-12-24T00:00:00"/>
    <s v="Transp 1"/>
    <s v="-"/>
    <x v="0"/>
    <s v="Brasil"/>
    <d v="2024-12-16T00:00:00"/>
    <s v="Entregue"/>
    <x v="0"/>
    <s v="-"/>
    <x v="0"/>
    <s v="Olá Nome, _x000a_Identificamos que o Item Ventilador Preto foi entregue no dia 16/12/2024, referente ao pedido Nº Pedido 497 Rastreio Pedido 497, agradecemos a preferência e adoraríamos receber sua avaliação, tendo qualquer dúvida estamos à disposição._x000a__x000a_Att_x000a_Tem tudo Shop"/>
  </r>
  <r>
    <s v="Pedido 174"/>
    <s v="CódRastreio167"/>
    <s v="CNBR012572561LG"/>
    <s v="BV"/>
    <d v="2024-11-12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74 Rastreio Pedido 174, agradecemos a preferência e adoraríamos receber sua avaliação, tendo qualquer dúvida estamos à disposição._x000a__x000a_Att_x000a_Tem tudo Shop"/>
  </r>
  <r>
    <s v="Pedido 88"/>
    <s v="CódRastreio81"/>
    <s v="CNBR012459607LG"/>
    <s v="BV"/>
    <d v="2024-11-12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88 Rastreio Pedido 88, agradecemos a preferência e adoraríamos receber sua avaliação, tendo qualquer dúvida estamos à disposição._x000a__x000a_Att_x000a_Tem tudo Shop"/>
  </r>
  <r>
    <s v="Pedido 489"/>
    <s v="CódRastreio475"/>
    <s v="LP00696781516774"/>
    <s v="BV"/>
    <d v="2024-12-21T00:00:00"/>
    <s v="Transp 1"/>
    <s v="-"/>
    <x v="0"/>
    <s v="Brasil"/>
    <d v="2024-12-11T00:00:00"/>
    <s v="Entregue"/>
    <x v="0"/>
    <s v="-"/>
    <x v="0"/>
    <s v="Olá Nome, _x000a_Identificamos que o Item Ventilador Preto foi entregue no dia 11/12/2024, referente ao pedido Nº Pedido 489 Rastreio Pedido 489, agradecemos a preferência e adoraríamos receber sua avaliação, tendo qualquer dúvida estamos à disposição._x000a__x000a_Att_x000a_Tem tudo Shop"/>
  </r>
  <r>
    <s v="Pedido 121"/>
    <s v="CódRastreio114"/>
    <s v="NM641188797BR"/>
    <s v="BV"/>
    <d v="2024-11-14T00:00:00"/>
    <s v="Transp 1"/>
    <s v="-"/>
    <x v="0"/>
    <s v="Brasil"/>
    <d v="2024-11-07T00:00:00"/>
    <s v="Entregue"/>
    <x v="0"/>
    <s v="-"/>
    <x v="0"/>
    <s v="Olá Nome, _x000a_Identificamos que o Item Ventilador Rosa foi entregue no dia 07/11/2024, referente ao pedido Nº Pedido 121 Rastreio Pedido 121, agradecemos a preferência e adoraríamos receber sua avaliação, tendo qualquer dúvida estamos à disposição._x000a__x000a_Att_x000a_Tem tudo Shop"/>
  </r>
  <r>
    <s v="Pedido 145"/>
    <s v="CódRastreio138"/>
    <s v="CNBR012523248LG"/>
    <s v="BV"/>
    <d v="2024-11-09T00:00:00"/>
    <s v="Transp 1"/>
    <s v="-"/>
    <x v="1"/>
    <s v="Brasil"/>
    <d v="2024-10-31T00:00:00"/>
    <s v="Entregue"/>
    <x v="0"/>
    <s v="-"/>
    <x v="0"/>
    <s v="Olá Nome, _x000a_Identificamos que o Item Mini Liquidificador foi entregue no dia 31/10/2024, referente ao pedido Nº Pedido 145 Rastreio Pedido 145, agradecemos a preferência e adoraríamos receber sua avaliação, tendo qualquer dúvida estamos à disposição._x000a__x000a_Att_x000a_Tem tudo Shop"/>
  </r>
  <r>
    <s v="Pedido 112"/>
    <s v="CódRastreio105"/>
    <s v="CNBR000813605RS"/>
    <s v="BV"/>
    <d v="2024-11-14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112 Rastreio Pedido 112, agradecemos a preferência e adoraríamos receber sua avaliação, tendo qualquer dúvida estamos à disposição._x000a__x000a_Att_x000a_Tem tudo Shop"/>
  </r>
  <r>
    <s v="Pedido 416"/>
    <s v="CódRastreio405"/>
    <s v="CNBR00055892HB"/>
    <s v="BV"/>
    <d v="2024-12-06T00:00:00"/>
    <s v="Transp 1"/>
    <s v="-"/>
    <x v="1"/>
    <s v="Brasil"/>
    <d v="2024-11-25T00:00:00"/>
    <s v="Entregue"/>
    <x v="0"/>
    <s v="-"/>
    <x v="0"/>
    <s v="Olá Nome, _x000a_Identificamos que o Item Suporte de Celular Preto foi entregue no dia 25/11/2024, referente ao pedido Nº Pedido 416 Rastreio Pedido 416, agradecemos a preferência e adoraríamos receber sua avaliação, tendo qualquer dúvida estamos à disposição._x000a__x000a_Att_x000a_Tem tudo Shop"/>
  </r>
  <r>
    <s v="Pedido 221"/>
    <s v="CódRastreio214"/>
    <s v="NM647328532BR"/>
    <s v="BV"/>
    <d v="2024-12-03T00:00:00"/>
    <s v="Transp 1"/>
    <s v="-"/>
    <x v="0"/>
    <s v="Brasil"/>
    <d v="2024-11-14T00:00:00"/>
    <s v="Entregue"/>
    <x v="0"/>
    <s v="-"/>
    <x v="0"/>
    <s v="Olá Nome, _x000a_Identificamos que o Item Ventilador de teto foi entregue no dia 14/11/2024, referente ao pedido Nº Pedido 221 Rastreio Pedido 221, agradecemos a preferência e adoraríamos receber sua avaliação, tendo qualquer dúvida estamos à disposição._x000a__x000a_Att_x000a_Tem tudo Shop"/>
  </r>
  <r>
    <s v="Pedido 504"/>
    <s v="CódRastreio490"/>
    <s v="LP00698024954244"/>
    <s v="BV"/>
    <d v="2025-01-04T00:00:00"/>
    <s v="Transp 1"/>
    <s v="-"/>
    <x v="0"/>
    <s v="Brasil"/>
    <d v="2024-12-18T00:00:00"/>
    <s v="Entregue"/>
    <x v="0"/>
    <s v="-"/>
    <x v="0"/>
    <s v="Olá Nome, _x000a_Identificamos que o Item Ventilador Preto foi entregue no dia 18/12/2024, referente ao pedido Nº Pedido 504 Rastreio Pedido 504, agradecemos a preferência e adoraríamos receber sua avaliação, tendo qualquer dúvida estamos à disposição._x000a__x000a_Att_x000a_Tem tudo Shop"/>
  </r>
  <r>
    <s v="Pedido 511"/>
    <s v="CódRastreio496"/>
    <s v="CNBR013277194LG"/>
    <s v="BV"/>
    <d v="2025-01-08T00:00:00"/>
    <s v="Transp 1"/>
    <s v="-"/>
    <x v="1"/>
    <s v="Brasil"/>
    <d v="2024-12-17T00:00:00"/>
    <s v="Entregue"/>
    <x v="0"/>
    <s v="-"/>
    <x v="0"/>
    <s v="Olá Nome, _x000a_Identificamos que o Item Suporte de Celular Branco foi entregue no dia 17/12/2024, referente ao pedido Nº Pedido 511 Rastreio Pedido 511, agradecemos a preferência e adoraríamos receber sua avaliação, tendo qualquer dúvida estamos à disposição._x000a__x000a_Att_x000a_Tem tudo Shop"/>
  </r>
  <r>
    <s v="Pedido 267"/>
    <s v="CódRastreio260"/>
    <s v="CNBR00049736HB"/>
    <s v="BV"/>
    <d v="2024-11-20T00:00:00"/>
    <s v="Transp 1"/>
    <s v="-"/>
    <x v="1"/>
    <s v="Brasil"/>
    <d v="2024-11-11T00:00:00"/>
    <s v="Entregue"/>
    <x v="0"/>
    <s v="-"/>
    <x v="0"/>
    <s v="Olá Nome, _x000a_Identificamos que o Item Bomba d'agua foi entregue no dia 11/11/2024, referente ao pedido Nº Pedido 267 Rastreio Pedido 267, agradecemos a preferência e adoraríamos receber sua avaliação, tendo qualquer dúvida estamos à disposição._x000a__x000a_Att_x000a_Tem tudo Shop"/>
  </r>
  <r>
    <s v="Pedido 137"/>
    <s v="CódRastreio130"/>
    <s v="CNBR012526037LG"/>
    <s v="BV"/>
    <d v="2024-11-22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137 Rastreio Pedido 137, agradecemos a preferência e adoraríamos receber sua avaliação, tendo qualquer dúvida estamos à disposição._x000a__x000a_Att_x000a_Tem tudo Shop"/>
  </r>
  <r>
    <s v="Pedido 475"/>
    <s v="CódRastreio460"/>
    <s v="LP00696083356125"/>
    <s v="BV"/>
    <d v="2024-12-20T00:00:00"/>
    <s v="Transp 1"/>
    <s v="-"/>
    <x v="0"/>
    <s v="Brasil"/>
    <d v="2024-12-09T13:09:11"/>
    <s v="Entregue"/>
    <x v="0"/>
    <s v="-"/>
    <x v="0"/>
    <s v="Olá Nome, _x000a_Identificamos que o Item Ventilador Preto foi entregue no dia 09/12/2024, referente ao pedido Nº Pedido 475 Rastreio Pedido 475, agradecemos a preferência e adoraríamos receber sua avaliação, tendo qualquer dúvida estamos à disposição._x000a__x000a_Att_x000a_Tem tudo Shop"/>
  </r>
  <r>
    <s v="Pedido 583"/>
    <s v="CódRastreio568"/>
    <s v="LP00701182616348"/>
    <s v="BV"/>
    <d v="2025-01-16T00:00:00"/>
    <s v="Transp 1"/>
    <s v="-"/>
    <x v="0"/>
    <s v="Brasil"/>
    <d v="2025-01-02T00:00:00"/>
    <s v="Entregue"/>
    <x v="0"/>
    <s v="-"/>
    <x v="0"/>
    <s v="Olá Nome, _x000a_Identificamos que o Item Ventilador Rosa foi entregue no dia 02/01/2025, referente ao pedido Nº Pedido 583 Rastreio Pedido 583, agradecemos a preferência e adoraríamos receber sua avaliação, tendo qualquer dúvida estamos à disposição._x000a__x000a_Att_x000a_Tem tudo Shop"/>
  </r>
  <r>
    <s v="Pedido 656"/>
    <s v="CódRastreio636"/>
    <s v="LP00704449364442"/>
    <s v="BV"/>
    <d v="2025-01-22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56 Rastreio Pedido 656, agradecemos a preferência e adoraríamos receber sua avaliação, tendo qualquer dúvida estamos à disposição._x000a__x000a_Att_x000a_Tem tudo Shop"/>
  </r>
  <r>
    <s v="Pedido 86"/>
    <s v="CódRastreio79"/>
    <s v="NM640775181BR"/>
    <s v="BV"/>
    <d v="2024-11-14T00:00:00"/>
    <s v="Transp 1"/>
    <s v="-"/>
    <x v="0"/>
    <s v="Brasil"/>
    <d v="2024-11-05T00:00:00"/>
    <s v="Entregue"/>
    <x v="0"/>
    <s v="-"/>
    <x v="0"/>
    <s v="Olá Nome, _x000a_Identificamos que o Item Ventilador Rosa foi entregue no dia 05/11/2024, referente ao pedido Nº Pedido 86 Rastreio Pedido 86, agradecemos a preferência e adoraríamos receber sua avaliação, tendo qualquer dúvida estamos à disposição._x000a__x000a_Att_x000a_Tem tudo Shop"/>
  </r>
  <r>
    <s v="Pedido 109"/>
    <s v="CódRastreio102"/>
    <s v="CNBR012464712LG"/>
    <s v="BV"/>
    <d v="2024-11-21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109 Rastreio Pedido 109, agradecemos a preferência e adoraríamos receber sua avaliação, tendo qualquer dúvida estamos à disposição._x000a__x000a_Att_x000a_Tem tudo Shop"/>
  </r>
  <r>
    <s v="Pedido 194"/>
    <s v="CódRastreio187"/>
    <s v="NM644273287BR"/>
    <s v="BV"/>
    <d v="2024-11-30T00:00:00"/>
    <s v="Transp 1"/>
    <s v="-"/>
    <x v="0"/>
    <s v="Brasil"/>
    <d v="2024-12-02T00:00:00"/>
    <s v="Entregue"/>
    <x v="0"/>
    <s v="-"/>
    <x v="1"/>
    <s v="Olá Nome, _x000a_Identificamos que o Item Ventilador Preto foi entregue no dia 02/12/2024, referente ao pedido Nº Pedido 194 Rastreio Pedido 194, agradecemos a preferência e adoraríamos receber sua avaliação, tendo qualquer dúvida estamos à disposição._x000a__x000a_Att_x000a_Tem tudo Shop"/>
  </r>
  <r>
    <s v="Pedido 254"/>
    <s v="CódRastreio247"/>
    <s v="NM647349563BR"/>
    <s v="BV"/>
    <d v="2024-12-10T00:00:00"/>
    <s v="Transp 1"/>
    <s v="-"/>
    <x v="0"/>
    <s v="Brasil"/>
    <d v="2024-11-28T00:00:00"/>
    <s v="Entregue"/>
    <x v="0"/>
    <s v="-"/>
    <x v="0"/>
    <s v="Olá Nome, _x000a_Identificamos que o Item Suporte de Celular Branco foi entregue no dia 28/11/2024, referente ao pedido Nº Pedido 254 Rastreio Pedido 254, agradecemos a preferência e adoraríamos receber sua avaliação, tendo qualquer dúvida estamos à disposição._x000a__x000a_Att_x000a_Tem tudo Shop"/>
  </r>
  <r>
    <s v="Pedido 349"/>
    <s v="CódRastreio342"/>
    <s v="NM655636107BR"/>
    <s v="BV"/>
    <d v="2024-12-11T00:00:00"/>
    <s v="Transp 1"/>
    <s v="-"/>
    <x v="0"/>
    <s v="Brasil"/>
    <d v="2024-12-05T10:15:38"/>
    <s v="Entregue"/>
    <x v="0"/>
    <s v="Cliente Notificado"/>
    <x v="0"/>
    <s v="Olá Nome, _x000a_Identificamos que o Item Ventilador Preto foi entregue no dia 05/12/2024, referente ao pedido Nº Pedido 349 Rastreio Pedido 349, agradecemos a preferência e adoraríamos receber sua avaliação, tendo qualquer dúvida estamos à disposição._x000a__x000a_Att_x000a_Tem tudo Shop"/>
  </r>
  <r>
    <s v="Pedido 40"/>
    <s v="CódRastreio31"/>
    <s v="CNBR012379705LG"/>
    <s v="BV"/>
    <d v="2024-11-12T00:00:00"/>
    <s v="Transp 1"/>
    <s v="-"/>
    <x v="1"/>
    <s v="Brasil"/>
    <d v="2024-10-28T00:00:00"/>
    <s v="Entregue"/>
    <x v="0"/>
    <s v="-"/>
    <x v="0"/>
    <s v="Olá Nome, _x000a_Identificamos que o Item Balança foi entregue no dia 28/10/2024, referente ao pedido Nº Pedido 40 Rastreio Pedido 40, agradecemos a preferência e adoraríamos receber sua avaliação, tendo qualquer dúvida estamos à disposição._x000a__x000a_Att_x000a_Tem tudo Shop"/>
  </r>
  <r>
    <s v="Pedido 550"/>
    <s v="CódRastreio535"/>
    <s v="CNBR013433570LG"/>
    <s v="BV"/>
    <d v="2025-01-15T00:00:00"/>
    <s v="Transp 1"/>
    <s v="-"/>
    <x v="1"/>
    <s v="Brasil"/>
    <d v="2024-12-21T00:00:00"/>
    <s v="Entregue"/>
    <x v="0"/>
    <s v="-"/>
    <x v="0"/>
    <s v="Olá Nome, _x000a_Identificamos que o Item Suporte de Celular Branco foi entregue no dia 21/12/2024, referente ao pedido Nº Pedido 550 Rastreio Pedido 550, agradecemos a preferência e adoraríamos receber sua avaliação, tendo qualquer dúvida estamos à disposição._x000a__x000a_Att_x000a_Tem tudo Shop"/>
  </r>
  <r>
    <s v="Pedido 527"/>
    <s v="CódRastreio512"/>
    <s v="CNBR013371478LG"/>
    <s v="BV"/>
    <d v="2025-01-10T00:00:00"/>
    <s v="Transp 1"/>
    <s v="-"/>
    <x v="1"/>
    <s v="Brasil"/>
    <d v="2024-12-26T00:00:00"/>
    <s v="Entregue"/>
    <x v="0"/>
    <s v="-"/>
    <x v="0"/>
    <s v="Olá Nome, _x000a_Identificamos que o Item Adaptador Bluetooph foi entregue no dia 26/12/2024, referente ao pedido Nº Pedido 527 Rastreio Pedido 527, agradecemos a preferência e adoraríamos receber sua avaliação, tendo qualquer dúvida estamos à disposição._x000a__x000a_Att_x000a_Tem tudo Shop"/>
  </r>
  <r>
    <s v="Pedido 638"/>
    <s v="CódRastreio620"/>
    <s v="LP00704533909057"/>
    <s v="BV"/>
    <d v="2025-01-25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38 Rastreio Pedido 638, agradecemos a preferência e adoraríamos receber sua avaliação, tendo qualquer dúvida estamos à disposição._x000a__x000a_Att_x000a_Tem tudo Shop"/>
  </r>
  <r>
    <s v="Pedido 503"/>
    <s v="CódRastreio489"/>
    <s v="LP00698806188736"/>
    <s v="BV"/>
    <d v="2024-12-27T00:00:00"/>
    <s v="Transp 1"/>
    <s v="-"/>
    <x v="0"/>
    <s v="Brasil"/>
    <d v="2024-12-13T00:00:00"/>
    <s v="Entregue"/>
    <x v="0"/>
    <s v="-"/>
    <x v="0"/>
    <s v="Olá Nome, _x000a_Identificamos que o Item Ventilador Rosa foi entregue no dia 13/12/2024, referente ao pedido Nº Pedido 503 Rastreio Pedido 503, agradecemos a preferência e adoraríamos receber sua avaliação, tendo qualquer dúvida estamos à disposição._x000a__x000a_Att_x000a_Tem tudo Shop"/>
  </r>
  <r>
    <s v="Pedido 606"/>
    <s v="CódRastreio590"/>
    <s v="LP00703315987914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06 Rastreio Pedido 606, agradecemos a preferência e adoraríamos receber sua avaliação, tendo qualquer dúvida estamos à disposição._x000a__x000a_Att_x000a_Tem tudo Shop"/>
  </r>
  <r>
    <s v="Pedido 178"/>
    <s v="CódRastreio171"/>
    <s v="NM643450989BR"/>
    <s v="BV"/>
    <d v="2024-11-14T00:00:00"/>
    <s v="Transp 1"/>
    <s v="-"/>
    <x v="0"/>
    <s v="Brasil"/>
    <d v="2024-11-06T00:00:00"/>
    <s v="Entregue"/>
    <x v="0"/>
    <s v="-"/>
    <x v="0"/>
    <s v="Olá Nome, _x000a_Identificamos que o Item Ventilador Preto foi entregue no dia 06/11/2024, referente ao pedido Nº Pedido 178 Rastreio Pedido 178, agradecemos a preferência e adoraríamos receber sua avaliação, tendo qualquer dúvida estamos à disposição._x000a__x000a_Att_x000a_Tem tudo Shop"/>
  </r>
  <r>
    <s v="Pedido 510"/>
    <s v="CódRastreio495"/>
    <s v="LP00699210270567"/>
    <s v="BV"/>
    <d v="2024-12-31T00:00:00"/>
    <s v="Transp 1"/>
    <s v="-"/>
    <x v="0"/>
    <s v="Brasil"/>
    <d v="2025-01-10T00:00:00"/>
    <s v="Entregue"/>
    <x v="0"/>
    <s v="Aguardando reembolso"/>
    <x v="1"/>
    <s v="Olá Nome, _x000a_Identificamos que o Item Ventilador Umidificador Branco foi entregue no dia 10/01/2025, referente ao pedido Nº Pedido 510 Rastreio Pedido 510, agradecemos a preferência e adoraríamos receber sua avaliação, tendo qualquer dúvida estamos à disposição._x000a__x000a_Att_x000a_Tem tudo Shop"/>
  </r>
  <r>
    <s v="Pedido 271"/>
    <s v="CódRastreio264"/>
    <s v="CNBR012718292LG"/>
    <s v="BV"/>
    <d v="2024-12-04T00:00:00"/>
    <s v="Transp 1"/>
    <s v="-"/>
    <x v="1"/>
    <s v="Brasil"/>
    <d v="2024-11-15T00:00:00"/>
    <s v="Entregue"/>
    <x v="0"/>
    <s v="-"/>
    <x v="0"/>
    <s v="Olá Nome, _x000a_Identificamos que o Item Suporte de Celular Preto foi entregue no dia 15/11/2024, referente ao pedido Nº Pedido 271 Rastreio Pedido 271, agradecemos a preferência e adoraríamos receber sua avaliação, tendo qualquer dúvida estamos à disposição._x000a__x000a_Att_x000a_Tem tudo Shop"/>
  </r>
  <r>
    <s v="Pedido 133"/>
    <s v="CódRastreio126"/>
    <s v="CNBR00046041HB"/>
    <s v="BV"/>
    <d v="2024-11-09T00:00:00"/>
    <s v="Transp 1"/>
    <s v="-"/>
    <x v="1"/>
    <s v="Brasil"/>
    <d v="2024-11-09T00:00:00"/>
    <s v="Entregue"/>
    <x v="0"/>
    <s v="Cainiao não entregou e perdi acesso ao perfil"/>
    <x v="0"/>
    <s v="Olá Nome, _x000a_Identificamos que o Item Bomba d'agua foi entregue no dia 09/11/2024, referente ao pedido Nº Pedido 133 Rastreio Pedido 133, agradecemos a preferência e adoraríamos receber sua avaliação, tendo qualquer dúvida estamos à disposição._x000a__x000a_Att_x000a_Tem tudo Shop"/>
  </r>
  <r>
    <s v="Pedido 396"/>
    <s v="CódRastreio386"/>
    <s v="LP00694301523365"/>
    <s v="BV"/>
    <d v="2024-12-17T00:00:00"/>
    <s v="Transp 1"/>
    <s v="-"/>
    <x v="0"/>
    <s v="Brasil"/>
    <d v="2024-12-03T00:00:00"/>
    <s v="Entregue"/>
    <x v="0"/>
    <s v="-"/>
    <x v="0"/>
    <s v="Olá Nome, _x000a_Identificamos que o Item Ventilador de teto foi entregue no dia 03/12/2024, referente ao pedido Nº Pedido 396 Rastreio Pedido 396, agradecemos a preferência e adoraríamos receber sua avaliação, tendo qualquer dúvida estamos à disposição._x000a__x000a_Att_x000a_Tem tudo Shop"/>
  </r>
  <r>
    <s v="Pedido 129"/>
    <s v="CódRastreio122"/>
    <s v="CNBR012502659LG"/>
    <s v="BV"/>
    <d v="2024-11-09T00:00:00"/>
    <s v="Transp 1"/>
    <s v="-"/>
    <x v="1"/>
    <s v="Brasil"/>
    <d v="2024-10-31T00:00:00"/>
    <s v="Entregue"/>
    <x v="0"/>
    <s v="-"/>
    <x v="0"/>
    <s v="Olá Nome, _x000a_Identificamos que o Item Mini Liquidificador foi entregue no dia 31/10/2024, referente ao pedido Nº Pedido 129 Rastreio Pedido 129, agradecemos a preferência e adoraríamos receber sua avaliação, tendo qualquer dúvida estamos à disposição._x000a__x000a_Att_x000a_Tem tudo Shop"/>
  </r>
  <r>
    <s v="Pedido 380"/>
    <s v="CódRastreio370"/>
    <s v="LP00693098699142"/>
    <s v="BV"/>
    <d v="2024-12-13T00:00:00"/>
    <s v="Transp 1"/>
    <s v="-"/>
    <x v="0"/>
    <s v="Brasil"/>
    <d v="2024-11-28T00:00:00"/>
    <s v="Entregue"/>
    <x v="0"/>
    <s v="-"/>
    <x v="0"/>
    <s v="Olá Nome, _x000a_Identificamos que o Item Ventilador Azul foi entregue no dia 28/11/2024, referente ao pedido Nº Pedido 380 Rastreio Pedido 380, agradecemos a preferência e adoraríamos receber sua avaliação, tendo qualquer dúvida estamos à disposição._x000a__x000a_Att_x000a_Tem tudo Shop"/>
  </r>
  <r>
    <s v="Pedido 253"/>
    <s v="CódRastreio246"/>
    <s v="CNBR012702947LG"/>
    <s v="BV"/>
    <d v="2024-12-03T00:00:00"/>
    <s v="Transp 1"/>
    <s v="-"/>
    <x v="1"/>
    <s v="Brasil"/>
    <d v="2024-11-16T00:00:00"/>
    <s v="Entregue"/>
    <x v="0"/>
    <s v="-"/>
    <x v="0"/>
    <s v="Olá Nome, _x000a_Identificamos que o Item Bomba d'agua foi entregue no dia 16/11/2024, referente ao pedido Nº Pedido 253 Rastreio Pedido 253, agradecemos a preferência e adoraríamos receber sua avaliação, tendo qualquer dúvida estamos à disposição._x000a__x000a_Att_x000a_Tem tudo Shop"/>
  </r>
  <r>
    <s v="Pedido 314"/>
    <s v="CódRastreio307"/>
    <s v="CNBR012761208LG"/>
    <s v="BV"/>
    <d v="2024-12-06T00:00:00"/>
    <s v="Transp 1"/>
    <s v="-"/>
    <x v="1"/>
    <s v="Brasil"/>
    <d v="2024-11-21T00:00:00"/>
    <s v="Entregue"/>
    <x v="0"/>
    <s v="-"/>
    <x v="0"/>
    <s v="Olá Nome, _x000a_Identificamos que o Item Bomba d'agua foi entregue no dia 21/11/2024, referente ao pedido Nº Pedido 314 Rastreio Pedido 314, agradecemos a preferência e adoraríamos receber sua avaliação, tendo qualquer dúvida estamos à disposição._x000a__x000a_Att_x000a_Tem tudo Shop"/>
  </r>
  <r>
    <s v="Pedido 117"/>
    <s v="CódRastreio110"/>
    <n v="888670000115403"/>
    <s v="BV"/>
    <d v="2024-11-08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117 Rastreio Pedido 117, agradecemos a preferência e adoraríamos receber sua avaliação, tendo qualquer dúvida estamos à disposição._x000a__x000a_Att_x000a_Tem tudo Shop"/>
  </r>
  <r>
    <s v="Pedido 13"/>
    <s v="CódRastreio4"/>
    <s v="CNBR00044675HB"/>
    <s v="BV"/>
    <d v="2024-11-02T00:00:00"/>
    <s v="Transp 1"/>
    <s v="-"/>
    <x v="1"/>
    <s v="Brasil"/>
    <d v="2024-10-25T00:00:00"/>
    <s v="Entregue"/>
    <x v="0"/>
    <s v="-"/>
    <x v="0"/>
    <s v="Olá Nome, _x000a_Identificamos que o Item Suporte de Celular Preto foi entregue no dia 25/10/2024, referente ao pedido Nº Pedido 13 Rastreio Pedido 13, agradecemos a preferência e adoraríamos receber sua avaliação, tendo qualquer dúvida estamos à disposição._x000a__x000a_Att_x000a_Tem tudo Shop"/>
  </r>
  <r>
    <s v="Pedido 80"/>
    <s v="CódRastreio71"/>
    <s v="CNBR00045337HB"/>
    <s v="BV"/>
    <d v="2024-11-08T00:00:00"/>
    <s v="Transp 1"/>
    <s v="-"/>
    <x v="1"/>
    <s v="Brasil"/>
    <d v="2024-10-29T00:00:00"/>
    <s v="Entregue"/>
    <x v="0"/>
    <s v="-"/>
    <x v="0"/>
    <s v="Olá Nome, _x000a_Identificamos que o Item Suporte de Celular Preto foi entregue no dia 29/10/2024, referente ao pedido Nº Pedido 80 Rastreio Pedido 80, agradecemos a preferência e adoraríamos receber sua avaliação, tendo qualquer dúvida estamos à disposição._x000a__x000a_Att_x000a_Tem tudo Shop"/>
  </r>
  <r>
    <s v="Pedido 400"/>
    <s v="CódRastreio390"/>
    <s v="LP00695072695218"/>
    <s v="BV"/>
    <d v="2024-12-17T00:00:00"/>
    <s v="Transp 1"/>
    <s v="-"/>
    <x v="0"/>
    <s v="Brasil"/>
    <d v="2024-12-17T00:00:00"/>
    <s v="Entregue"/>
    <x v="0"/>
    <s v="-"/>
    <x v="0"/>
    <s v="Olá Nome, _x000a_Identificamos que o Item Ventilador Preto foi entregue no dia 17/12/2024, referente ao pedido Nº Pedido 400 Rastreio Pedido 400, agradecemos a preferência e adoraríamos receber sua avaliação, tendo qualquer dúvida estamos à disposição._x000a__x000a_Att_x000a_Tem tudo Shop"/>
  </r>
  <r>
    <s v="Pedido 114"/>
    <s v="CódRastreio107"/>
    <s v="CNBR012476463LG"/>
    <s v="BV"/>
    <d v="2024-11-21T00:00:00"/>
    <s v="Transp 1"/>
    <s v="-"/>
    <x v="1"/>
    <s v="Brasil"/>
    <d v="2024-11-09T00:00:00"/>
    <s v="Entregue"/>
    <x v="0"/>
    <s v="-"/>
    <x v="0"/>
    <s v="Olá Nome, _x000a_Identificamos que o Item Mini Liquidificador foi entregue no dia 09/11/2024, referente ao pedido Nº Pedido 114 Rastreio Pedido 114, agradecemos a preferência e adoraríamos receber sua avaliação, tendo qualquer dúvida estamos à disposição._x000a__x000a_Att_x000a_Tem tudo Shop"/>
  </r>
  <r>
    <s v="Pedido 392"/>
    <s v="CódRastreio382"/>
    <s v="LP00694139355181"/>
    <s v="BV"/>
    <d v="2024-12-10T00:00:00"/>
    <s v="Transp 1"/>
    <s v="-"/>
    <x v="0"/>
    <s v="Brasil"/>
    <d v="2024-11-26T00:00:00"/>
    <s v="Entregue"/>
    <x v="0"/>
    <s v="-"/>
    <x v="0"/>
    <s v="Olá Nome, _x000a_Identificamos que o Item Ventilador de teto foi entregue no dia 26/11/2024, referente ao pedido Nº Pedido 392 Rastreio Pedido 392, agradecemos a preferência e adoraríamos receber sua avaliação, tendo qualquer dúvida estamos à disposição._x000a__x000a_Att_x000a_Tem tudo Shop"/>
  </r>
  <r>
    <s v="Pedido 524"/>
    <s v="CódRastreio509"/>
    <s v="LP00698424562256"/>
    <s v="BV"/>
    <d v="2025-01-16T00:00:00"/>
    <s v="Transp 1"/>
    <s v="-"/>
    <x v="0"/>
    <s v="Brasil"/>
    <d v="2025-01-10T00:00:00"/>
    <s v="Entregue"/>
    <x v="0"/>
    <s v="-"/>
    <x v="0"/>
    <s v="Olá Nome, _x000a_Identificamos que o Item Ventilador Rosa foi entregue no dia 10/01/2025, referente ao pedido Nº Pedido 524 Rastreio Pedido 524, agradecemos a preferência e adoraríamos receber sua avaliação, tendo qualquer dúvida estamos à disposição._x000a__x000a_Att_x000a_Tem tudo Shop"/>
  </r>
  <r>
    <s v="Pedido 146"/>
    <s v="CódRastreio139"/>
    <s v="CNBR012564004LG"/>
    <s v="BV"/>
    <d v="2024-11-19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146 Rastreio Pedido 146, agradecemos a preferência e adoraríamos receber sua avaliação, tendo qualquer dúvida estamos à disposição._x000a__x000a_Att_x000a_Tem tudo Shop"/>
  </r>
  <r>
    <s v="Pedido 240"/>
    <s v="CódRastreio233"/>
    <s v="CNBR012711250LG"/>
    <s v="BV"/>
    <d v="2024-11-19T00:00:00"/>
    <s v="Transp 1"/>
    <s v="-"/>
    <x v="1"/>
    <s v="Brasil"/>
    <d v="2024-11-08T00:00:00"/>
    <s v="Entregue"/>
    <x v="0"/>
    <s v="-"/>
    <x v="0"/>
    <s v="Olá Nome, _x000a_Identificamos que o Item Bomba d'agua foi entregue no dia 08/11/2024, referente ao pedido Nº Pedido 240 Rastreio Pedido 240, agradecemos a preferência e adoraríamos receber sua avaliação, tendo qualquer dúvida estamos à disposição._x000a__x000a_Att_x000a_Tem tudo Shop"/>
  </r>
  <r>
    <s v="Pedido 571"/>
    <s v="CódRastreio556"/>
    <n v="888670000652316"/>
    <s v="BV"/>
    <d v="2025-01-09T00:00:00"/>
    <s v="Transp 1"/>
    <s v="-"/>
    <x v="1"/>
    <s v="Brasil"/>
    <d v="2024-12-19T00:00:00"/>
    <s v="Entregue"/>
    <x v="0"/>
    <s v="-"/>
    <x v="0"/>
    <s v="Olá Nome, _x000a_Identificamos que o Item Garrafa Termica foi entregue no dia 19/12/2024, referente ao pedido Nº Pedido 571 Rastreio Pedido 571, agradecemos a preferência e adoraríamos receber sua avaliação, tendo qualquer dúvida estamos à disposição._x000a__x000a_Att_x000a_Tem tudo Shop"/>
  </r>
  <r>
    <s v="Pedido 357"/>
    <s v="CódRastreio350"/>
    <s v="NM655794964BR"/>
    <s v="BV"/>
    <d v="2024-12-05T00:00:00"/>
    <s v="Transp 1"/>
    <s v="-"/>
    <x v="0"/>
    <s v="Brasil"/>
    <d v="2024-11-26T00:00:00"/>
    <s v="Entregue"/>
    <x v="0"/>
    <s v="-"/>
    <x v="0"/>
    <s v="Olá Nome, _x000a_Identificamos que o Item Ventilador de teto foi entregue no dia 26/11/2024, referente ao pedido Nº Pedido 357 Rastreio Pedido 357, agradecemos a preferência e adoraríamos receber sua avaliação, tendo qualquer dúvida estamos à disposição._x000a__x000a_Att_x000a_Tem tudo Shop"/>
  </r>
  <r>
    <s v="Pedido 338"/>
    <s v="CódRastreio331"/>
    <n v="888670000259141"/>
    <s v="BV"/>
    <d v="2024-11-28T00:00:00"/>
    <s v="Transp 1"/>
    <s v="-"/>
    <x v="1"/>
    <s v="Brasil"/>
    <d v="2024-11-15T00:00:00"/>
    <s v="Entregue"/>
    <x v="0"/>
    <s v="-"/>
    <x v="0"/>
    <s v="Olá Nome, _x000a_Identificamos que o Item Bomba d'agua foi entregue no dia 15/11/2024, referente ao pedido Nº Pedido 338 Rastreio Pedido 338, agradecemos a preferência e adoraríamos receber sua avaliação, tendo qualquer dúvida estamos à disposição._x000a__x000a_Att_x000a_Tem tudo Shop"/>
  </r>
  <r>
    <s v="Pedido 215"/>
    <s v="CódRastreio208"/>
    <s v="CNBR012687900LG"/>
    <s v="BV"/>
    <d v="2024-11-30T00:00:00"/>
    <s v="Transp 1"/>
    <s v="-"/>
    <x v="1"/>
    <s v="Brasil"/>
    <d v="2024-11-12T00:00:00"/>
    <s v="Entregue"/>
    <x v="0"/>
    <s v="-"/>
    <x v="0"/>
    <s v="Olá Nome, _x000a_Identificamos que o Item Bomba d'agua foi entregue no dia 12/11/2024, referente ao pedido Nº Pedido 215 Rastreio Pedido 215, agradecemos a preferência e adoraríamos receber sua avaliação, tendo qualquer dúvida estamos à disposição._x000a__x000a_Att_x000a_Tem tudo Shop"/>
  </r>
  <r>
    <s v="Pedido 513"/>
    <s v="CódRastreio498"/>
    <s v="LP00699206185092"/>
    <s v="BV"/>
    <d v="2024-12-31T00:00:00"/>
    <s v="Transp 1"/>
    <s v="-"/>
    <x v="0"/>
    <s v="Brasil"/>
    <d v="2024-12-20T00:00:00"/>
    <s v="Entregue"/>
    <x v="0"/>
    <s v="-"/>
    <x v="0"/>
    <s v="Olá Nome, _x000a_Identificamos que o Item Ventilador Rosa foi entregue no dia 20/12/2024, referente ao pedido Nº Pedido 513 Rastreio Pedido 513, agradecemos a preferência e adoraríamos receber sua avaliação, tendo qualquer dúvida estamos à disposição._x000a__x000a_Att_x000a_Tem tudo Shop"/>
  </r>
  <r>
    <s v="Pedido 176"/>
    <s v="CódRastreio169"/>
    <s v="CNBR000824909RS"/>
    <s v="BV"/>
    <d v="2024-11-14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176 Rastreio Pedido 176, agradecemos a preferência e adoraríamos receber sua avaliação, tendo qualquer dúvida estamos à disposição._x000a__x000a_Att_x000a_Tem tudo Shop"/>
  </r>
  <r>
    <s v="Pedido 216"/>
    <s v="CódRastreio209"/>
    <s v="CNBR012636908LG"/>
    <s v="BV"/>
    <d v="2024-11-19T00:00:00"/>
    <s v="Transp 1"/>
    <s v="-"/>
    <x v="1"/>
    <s v="Brasil"/>
    <d v="2024-11-08T00:00:00"/>
    <s v="Entregue"/>
    <x v="0"/>
    <s v="-"/>
    <x v="0"/>
    <s v="Olá Nome, _x000a_Identificamos que o Item Balança foi entregue no dia 08/11/2024, referente ao pedido Nº Pedido 216 Rastreio Pedido 216, agradecemos a preferência e adoraríamos receber sua avaliação, tendo qualquer dúvida estamos à disposição._x000a__x000a_Att_x000a_Tem tudo Shop"/>
  </r>
  <r>
    <s v="Pedido 378"/>
    <s v="CódRastreio368"/>
    <s v="LP00694417416510"/>
    <s v="BV"/>
    <d v="2024-12-20T00:00:00"/>
    <s v="Transp 1"/>
    <s v="-"/>
    <x v="0"/>
    <s v="Brasil"/>
    <d v="2024-12-17T00:00:00"/>
    <s v="Entregue"/>
    <x v="0"/>
    <s v="-"/>
    <x v="0"/>
    <s v="Olá Nome, _x000a_Identificamos que o Item Ventilador Azul foi entregue no dia 17/12/2024, referente ao pedido Nº Pedido 378 Rastreio Pedido 378, agradecemos a preferência e adoraríamos receber sua avaliação, tendo qualquer dúvida estamos à disposição._x000a__x000a_Att_x000a_Tem tudo Shop"/>
  </r>
  <r>
    <s v="Pedido 230"/>
    <s v="CódRastreio223"/>
    <s v="CNBR012711246LG"/>
    <s v="BV"/>
    <d v="2024-11-30T00:00:00"/>
    <s v="Transp 1"/>
    <s v="-"/>
    <x v="1"/>
    <s v="Brasil"/>
    <d v="2024-11-13T00:00:00"/>
    <s v="Entregue"/>
    <x v="0"/>
    <s v="-"/>
    <x v="0"/>
    <s v="Olá Nome, _x000a_Identificamos que o Item Bomba d'agua foi entregue no dia 13/11/2024, referente ao pedido Nº Pedido 230 Rastreio Pedido 230, agradecemos a preferência e adoraríamos receber sua avaliação, tendo qualquer dúvida estamos à disposição._x000a__x000a_Att_x000a_Tem tudo Shop"/>
  </r>
  <r>
    <s v="Pedido 368"/>
    <s v="CódRastreio358"/>
    <n v="888670000308188"/>
    <s v="BV"/>
    <d v="2024-12-12T00:00:00"/>
    <s v="Transp 1"/>
    <s v="-"/>
    <x v="1"/>
    <s v="Brasil"/>
    <d v="2024-11-19T00:00:00"/>
    <s v="Entregue"/>
    <x v="0"/>
    <s v="-"/>
    <x v="0"/>
    <s v="Olá Nome, _x000a_Identificamos que o Item Copo Termico foi entregue no dia 19/11/2024, referente ao pedido Nº Pedido 368 Rastreio Pedido 368, agradecemos a preferência e adoraríamos receber sua avaliação, tendo qualquer dúvida estamos à disposição._x000a__x000a_Att_x000a_Tem tudo Shop"/>
  </r>
  <r>
    <s v="Pedido 668"/>
    <s v="CódRastreio648"/>
    <n v="3621049626772"/>
    <s v="BV"/>
    <d v="2025-01-22T00:00:00"/>
    <s v="Transp 1"/>
    <s v="-"/>
    <x v="1"/>
    <s v="Brasil"/>
    <d v="2025-01-08T00:00:00"/>
    <s v="Entregue"/>
    <x v="0"/>
    <s v="-"/>
    <x v="0"/>
    <s v="Olá Nome, _x000a_Identificamos que o Item Garrafa Termica foi entregue no dia 08/01/2025, referente ao pedido Nº Pedido 668 Rastreio Pedido 668, agradecemos a preferência e adoraríamos receber sua avaliação, tendo qualquer dúvida estamos à disposição._x000a__x000a_Att_x000a_Tem tudo Shop"/>
  </r>
  <r>
    <s v="Pedido 420"/>
    <s v="CódRastreio409"/>
    <s v="LP00694871414828"/>
    <s v="BV"/>
    <d v="2024-12-27T00:00:00"/>
    <s v="Transp 1"/>
    <s v="-"/>
    <x v="0"/>
    <s v="Brasil"/>
    <d v="2024-12-03T00:00:00"/>
    <s v="Entregue"/>
    <x v="0"/>
    <s v="-"/>
    <x v="0"/>
    <s v="Olá Nome, _x000a_Identificamos que o Item Ventilador Azul foi entregue no dia 03/12/2024, referente ao pedido Nº Pedido 420 Rastreio Pedido 420, agradecemos a preferência e adoraríamos receber sua avaliação, tendo qualquer dúvida estamos à disposição._x000a__x000a_Att_x000a_Tem tudo Shop"/>
  </r>
  <r>
    <s v="Pedido 607"/>
    <s v="CódRastreio591"/>
    <n v="3621049620690"/>
    <s v="BV"/>
    <d v="2025-01-16T00:00:00"/>
    <s v="Transp 1"/>
    <s v="-"/>
    <x v="1"/>
    <s v="Brasil"/>
    <d v="2024-12-30T00:00:00"/>
    <s v="Entregue"/>
    <x v="0"/>
    <s v="-"/>
    <x v="0"/>
    <s v="Olá Nome, _x000a_Identificamos que o Item Copo Termico foi entregue no dia 30/12/2024, referente ao pedido Nº Pedido 607 Rastreio Pedido 607, agradecemos a preferência e adoraríamos receber sua avaliação, tendo qualquer dúvida estamos à disposição._x000a__x000a_Att_x000a_Tem tudo Shop"/>
  </r>
  <r>
    <s v="Pedido 64"/>
    <s v="CódRastreio55"/>
    <s v="CNBR012431864LG"/>
    <s v="BV"/>
    <d v="2024-11-20T00:00:00"/>
    <s v="Transp 1"/>
    <s v="-"/>
    <x v="1"/>
    <s v="Brasil"/>
    <d v="2024-11-05T00:00:00"/>
    <s v="Entregue"/>
    <x v="0"/>
    <s v="-"/>
    <x v="0"/>
    <s v="Olá Nome, _x000a_Identificamos que o Item Suporte de Celular Branco foi entregue no dia 05/11/2024, referente ao pedido Nº Pedido 64 Rastreio Pedido 64, agradecemos a preferência e adoraríamos receber sua avaliação, tendo qualquer dúvida estamos à disposição._x000a__x000a_Att_x000a_Tem tudo Shop"/>
  </r>
  <r>
    <s v="Pedido 328"/>
    <s v="CódRastreio321"/>
    <s v="NM651688143BR"/>
    <s v="BV"/>
    <d v="2024-12-14T00:00:00"/>
    <s v="Transp 1"/>
    <s v="-"/>
    <x v="0"/>
    <s v="Brasil"/>
    <d v="2024-11-26T00:00:00"/>
    <s v="Entregue"/>
    <x v="0"/>
    <s v="-"/>
    <x v="0"/>
    <s v="Olá Nome, _x000a_Identificamos que o Item Ventilador de teto foi entregue no dia 26/11/2024, referente ao pedido Nº Pedido 328 Rastreio Pedido 328, agradecemos a preferência e adoraríamos receber sua avaliação, tendo qualquer dúvida estamos à disposição._x000a__x000a_Att_x000a_Tem tudo Shop"/>
  </r>
  <r>
    <s v="Pedido 403"/>
    <s v="CódRastreio393"/>
    <s v="CNBR00056228HB"/>
    <s v="BV"/>
    <d v="2024-12-05T00:00:00"/>
    <s v="Transp 1"/>
    <s v="-"/>
    <x v="1"/>
    <s v="Brasil"/>
    <d v="2024-11-26T00:00:00"/>
    <s v="Entregue"/>
    <x v="0"/>
    <s v="-"/>
    <x v="0"/>
    <s v="Olá Nome, _x000a_Identificamos que o Item Garrafa Termica foi entregue no dia 26/11/2024, referente ao pedido Nº Pedido 403 Rastreio Pedido 403, agradecemos a preferência e adoraríamos receber sua avaliação, tendo qualquer dúvida estamos à disposição._x000a__x000a_Att_x000a_Tem tudo Shop"/>
  </r>
  <r>
    <s v="Pedido 63"/>
    <s v="CódRastreio54"/>
    <s v="CNBR012427839LG"/>
    <s v="BV"/>
    <d v="2024-11-13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63 Rastreio Pedido 63, agradecemos a preferência e adoraríamos receber sua avaliação, tendo qualquer dúvida estamos à disposição._x000a__x000a_Att_x000a_Tem tudo Shop"/>
  </r>
  <r>
    <s v="Pedido 181"/>
    <s v="CódRastreio174"/>
    <s v="CNBR012588337LG"/>
    <s v="BV"/>
    <d v="2024-11-14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81 Rastreio Pedido 181, agradecemos a preferência e adoraríamos receber sua avaliação, tendo qualquer dúvida estamos à disposição._x000a__x000a_Att_x000a_Tem tudo Shop"/>
  </r>
  <r>
    <s v="Pedido 195"/>
    <s v="CódRastreio188"/>
    <s v="CNBR00048420HB"/>
    <s v="BV"/>
    <d v="2024-11-09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195 Rastreio Pedido 195, agradecemos a preferência e adoraríamos receber sua avaliação, tendo qualquer dúvida estamos à disposição._x000a__x000a_Att_x000a_Tem tudo Shop"/>
  </r>
  <r>
    <s v="Pedido 547"/>
    <s v="CódRastreio532"/>
    <s v="CNBR013424431LG"/>
    <s v="BV"/>
    <d v="2025-01-14T00:00:00"/>
    <s v="Transp 1"/>
    <s v="-"/>
    <x v="1"/>
    <s v="Brasil"/>
    <d v="2025-01-09T00:00:00"/>
    <s v="Entregue"/>
    <x v="0"/>
    <s v="Aguardando reembolso"/>
    <x v="0"/>
    <s v="Olá Nome, _x000a_Identificamos que o Item Adaptador Bluetooph foi entregue no dia 09/01/2025, referente ao pedido Nº Pedido 547 Rastreio Pedido 547, agradecemos a preferência e adoraríamos receber sua avaliação, tendo qualquer dúvida estamos à disposição._x000a__x000a_Att_x000a_Tem tudo Shop"/>
  </r>
  <r>
    <s v="Pedido 306"/>
    <s v="CódRastreio299"/>
    <s v="CNBR012777154LG"/>
    <s v="BV"/>
    <d v="2024-12-06T00:00:00"/>
    <s v="Transp 1"/>
    <s v="-"/>
    <x v="1"/>
    <s v="Brasil"/>
    <d v="2024-11-18T00:00:00"/>
    <s v="Entregue"/>
    <x v="0"/>
    <s v="-"/>
    <x v="0"/>
    <s v="Olá Nome, _x000a_Identificamos que o Item Suporte de Celular Branco foi entregue no dia 18/11/2024, referente ao pedido Nº Pedido 306 Rastreio Pedido 306, agradecemos a preferência e adoraríamos receber sua avaliação, tendo qualquer dúvida estamos à disposição._x000a__x000a_Att_x000a_Tem tudo Shop"/>
  </r>
  <r>
    <s v="Pedido 364"/>
    <s v="CódRastreio354"/>
    <s v="CNBR012858825LG"/>
    <s v="BV"/>
    <d v="2024-12-12T00:00:00"/>
    <s v="Transp 1"/>
    <s v="-"/>
    <x v="1"/>
    <s v="Brasil"/>
    <d v="2024-12-05T22:57:11"/>
    <s v="Entregue"/>
    <x v="0"/>
    <s v="-"/>
    <x v="0"/>
    <s v="Olá Nome, _x000a_Identificamos que o Item Suporte de Celular Preto foi entregue no dia 05/12/2024, referente ao pedido Nº Pedido 364 Rastreio Pedido 364, agradecemos a preferência e adoraríamos receber sua avaliação, tendo qualquer dúvida estamos à disposição._x000a__x000a_Att_x000a_Tem tudo Shop"/>
  </r>
  <r>
    <s v="Pedido 637"/>
    <s v="CódRastreio619"/>
    <s v="LP00704549802005"/>
    <s v="BV"/>
    <d v="2025-01-25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637 Rastreio Pedido 637, agradecemos a preferência e adoraríamos receber sua avaliação, tendo qualquer dúvida estamos à disposição._x000a__x000a_Att_x000a_Tem tudo Shop"/>
  </r>
  <r>
    <s v="Pedido 220"/>
    <s v="CódRastreio213"/>
    <s v="NM645868163BR"/>
    <s v="BV"/>
    <d v="2024-11-30T00:00:00"/>
    <s v="Transp 1"/>
    <s v="-"/>
    <x v="0"/>
    <s v="Brasil"/>
    <d v="2024-11-13T00:00:00"/>
    <s v="Entregue"/>
    <x v="0"/>
    <s v="-"/>
    <x v="0"/>
    <s v="Olá Nome, _x000a_Identificamos que o Item Ventilador de teto foi entregue no dia 13/11/2024, referente ao pedido Nº Pedido 220 Rastreio Pedido 220, agradecemos a preferência e adoraríamos receber sua avaliação, tendo qualquer dúvida estamos à disposição._x000a__x000a_Att_x000a_Tem tudo Shop"/>
  </r>
  <r>
    <s v="Pedido 592"/>
    <s v="CódRastreio577"/>
    <s v="CNBR013486688LG"/>
    <s v="BV"/>
    <d v="2025-01-09T00:00:00"/>
    <s v="Transp 1"/>
    <s v="-"/>
    <x v="1"/>
    <s v="Brasil"/>
    <d v="2024-12-26T00:00:00"/>
    <s v="Entregue"/>
    <x v="0"/>
    <s v="-"/>
    <x v="0"/>
    <s v="Olá Nome, _x000a_Identificamos que o Item Adaptador Bluetooph foi entregue no dia 26/12/2024, referente ao pedido Nº Pedido 592 Rastreio Pedido 592, agradecemos a preferência e adoraríamos receber sua avaliação, tendo qualquer dúvida estamos à disposição._x000a__x000a_Att_x000a_Tem tudo Shop"/>
  </r>
  <r>
    <s v="Pedido 579"/>
    <s v="CódRastreio564"/>
    <s v="LP00701949810294"/>
    <s v="BV"/>
    <d v="2025-01-10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79 Rastreio Pedido 579, agradecemos a preferência e adoraríamos receber sua avaliação, tendo qualquer dúvida estamos à disposição._x000a__x000a_Att_x000a_Tem tudo Shop"/>
  </r>
  <r>
    <s v="Pedido 122"/>
    <s v="CódRastreio115"/>
    <s v="CNBR012462963LG"/>
    <s v="BV"/>
    <d v="2024-11-21T00:00:00"/>
    <s v="Transp 1"/>
    <s v="-"/>
    <x v="1"/>
    <s v="Brasil"/>
    <d v="2024-11-06T00:00:00"/>
    <s v="Entregue"/>
    <x v="0"/>
    <s v="-"/>
    <x v="0"/>
    <s v="Olá Nome, _x000a_Identificamos que o Item Bomba d'agua foi entregue no dia 06/11/2024, referente ao pedido Nº Pedido 122 Rastreio Pedido 122, agradecemos a preferência e adoraríamos receber sua avaliação, tendo qualquer dúvida estamos à disposição._x000a__x000a_Att_x000a_Tem tudo Shop"/>
  </r>
  <r>
    <s v="Pedido 82"/>
    <s v="CódRastreio75"/>
    <s v="CNBR012446395LG"/>
    <s v="BV"/>
    <d v="2024-11-21T00:00:00"/>
    <s v="Transp 1"/>
    <s v="-"/>
    <x v="1"/>
    <s v="Brasil"/>
    <d v="2024-11-04T00:00:00"/>
    <s v="Entregue"/>
    <x v="0"/>
    <s v="-"/>
    <x v="0"/>
    <s v="Olá Nome, _x000a_Identificamos que o Item Bomba d'agua foi entregue no dia 04/11/2024, referente ao pedido Nº Pedido 82 Rastreio Pedido 82, agradecemos a preferência e adoraríamos receber sua avaliação, tendo qualquer dúvida estamos à disposição._x000a__x000a_Att_x000a_Tem tudo Shop"/>
  </r>
  <r>
    <s v="Pedido 553"/>
    <s v="CódRastreio538"/>
    <n v="888670000641170"/>
    <s v="BV"/>
    <d v="2025-01-15T00:00:00"/>
    <s v="Transp 1"/>
    <s v="-"/>
    <x v="1"/>
    <s v="Brasil"/>
    <d v="2024-12-26T00:00:00"/>
    <s v="Entregue"/>
    <x v="0"/>
    <s v="-"/>
    <x v="0"/>
    <s v="Olá Nome, _x000a_Identificamos que o Item Suporte de Celular Branco foi entregue no dia 26/12/2024, referente ao pedido Nº Pedido 553 Rastreio Pedido 553, agradecemos a preferência e adoraríamos receber sua avaliação, tendo qualquer dúvida estamos à disposição._x000a__x000a_Att_x000a_Tem tudo Shop"/>
  </r>
  <r>
    <s v="Pedido 37"/>
    <s v="CódRastreio28"/>
    <s v="CNBR012373565LG"/>
    <s v="BV"/>
    <d v="2024-11-09T00:00:00"/>
    <s v="Transp 1"/>
    <s v="-"/>
    <x v="1"/>
    <s v="Brasil"/>
    <d v="2024-10-29T00:00:00"/>
    <s v="Entregue"/>
    <x v="0"/>
    <s v="-"/>
    <x v="0"/>
    <s v="Olá Nome, _x000a_Identificamos que o Item Balança foi entregue no dia 29/10/2024, referente ao pedido Nº Pedido 37 Rastreio Pedido 37, agradecemos a preferência e adoraríamos receber sua avaliação, tendo qualquer dúvida estamos à disposição._x000a__x000a_Att_x000a_Tem tudo Shop"/>
  </r>
  <r>
    <s v="Pedido 208"/>
    <s v="CódRastreio201"/>
    <s v="CNBR000846762RS"/>
    <s v="BV"/>
    <d v="2024-11-19T00:00:00"/>
    <s v="Transp 1"/>
    <s v="-"/>
    <x v="1"/>
    <s v="Brasil"/>
    <d v="2024-11-14T00:00:00"/>
    <s v="Entregue"/>
    <x v="0"/>
    <s v="-"/>
    <x v="0"/>
    <s v="Olá Nome, _x000a_Identificamos que o Item Adaptador Bluetooph foi entregue no dia 14/11/2024, referente ao pedido Nº Pedido 208 Rastreio Pedido 208, agradecemos a preferência e adoraríamos receber sua avaliação, tendo qualquer dúvida estamos à disposição._x000a__x000a_Att_x000a_Tem tudo Shop"/>
  </r>
  <r>
    <s v="Pedido 445"/>
    <s v="CódRastreio431"/>
    <s v="AK619543773BR"/>
    <s v="BV"/>
    <d v="2024-12-11T00:00:00"/>
    <s v="Transp 1"/>
    <s v="-"/>
    <x v="1"/>
    <s v="Brasil"/>
    <d v="2024-12-04T00:00:00"/>
    <s v="Entregue"/>
    <x v="0"/>
    <s v="-"/>
    <x v="0"/>
    <s v="Olá Nome, _x000a_Identificamos que o Item Copo Termico foi entregue no dia 04/12/2024, referente ao pedido Nº Pedido 445 Rastreio Pedido 445, agradecemos a preferência e adoraríamos receber sua avaliação, tendo qualquer dúvida estamos à disposição._x000a__x000a_Att_x000a_Tem tudo Shop"/>
  </r>
  <r>
    <s v="Pedido 69"/>
    <s v="CódRastreio60"/>
    <s v="CNBR012442283LG"/>
    <s v="BV"/>
    <d v="2024-11-09T00:00:00"/>
    <s v="Transp 1"/>
    <s v="-"/>
    <x v="1"/>
    <s v="Brasil"/>
    <d v="2024-10-30T00:00:00"/>
    <s v="Entregue"/>
    <x v="0"/>
    <s v="-"/>
    <x v="0"/>
    <s v="Olá Nome, _x000a_Identificamos que o Item Suporte de Celular Branco foi entregue no dia 30/10/2024, referente ao pedido Nº Pedido 69 Rastreio Pedido 69, agradecemos a preferência e adoraríamos receber sua avaliação, tendo qualquer dúvida estamos à disposição._x000a__x000a_Att_x000a_Tem tudo Shop"/>
  </r>
  <r>
    <s v="Pedido 242"/>
    <s v="CódRastreio235"/>
    <s v="CNBR000862663RS"/>
    <s v="BV"/>
    <d v="2024-11-26T00:00:00"/>
    <s v="Transp 1"/>
    <s v="-"/>
    <x v="1"/>
    <s v="Brasil"/>
    <d v="2024-11-09T00:00:00"/>
    <s v="Entregue"/>
    <x v="0"/>
    <s v="-"/>
    <x v="0"/>
    <s v="Olá Nome, _x000a_Identificamos que o Item Bomba d'agua foi entregue no dia 09/11/2024, referente ao pedido Nº Pedido 242 Rastreio Pedido 242, agradecemos a preferência e adoraríamos receber sua avaliação, tendo qualquer dúvida estamos à disposição._x000a__x000a_Att_x000a_Tem tudo Shop"/>
  </r>
  <r>
    <s v="Pedido 243"/>
    <s v="CódRastreio236"/>
    <s v="CNBR000868255RS"/>
    <s v="BV"/>
    <d v="2024-11-26T00:00:00"/>
    <s v="Transp 1"/>
    <s v="-"/>
    <x v="1"/>
    <s v="Brasil"/>
    <d v="2024-11-13T00:00:00"/>
    <s v="Entregue"/>
    <x v="0"/>
    <s v="-"/>
    <x v="0"/>
    <s v="Olá Nome, _x000a_Identificamos que o Item Bomba d'agua foi entregue no dia 13/11/2024, referente ao pedido Nº Pedido 243 Rastreio Pedido 243, agradecemos a preferência e adoraríamos receber sua avaliação, tendo qualquer dúvida estamos à disposição._x000a__x000a_Att_x000a_Tem tudo Shop"/>
  </r>
  <r>
    <s v="Pedido 278"/>
    <s v="CódRastreio271"/>
    <s v="CNBR00051154HB"/>
    <s v="BV"/>
    <d v="2024-11-22T00:00:00"/>
    <s v="Transp 1"/>
    <s v="-"/>
    <x v="1"/>
    <s v="Brasil"/>
    <d v="2024-11-11T00:00:00"/>
    <s v="Entregue"/>
    <x v="0"/>
    <s v="-"/>
    <x v="0"/>
    <s v="Olá Nome, _x000a_Identificamos que o Item Bomba d'agua foi entregue no dia 11/11/2024, referente ao pedido Nº Pedido 278 Rastreio Pedido 278, agradecemos a preferência e adoraríamos receber sua avaliação, tendo qualquer dúvida estamos à disposição._x000a__x000a_Att_x000a_Tem tudo Shop"/>
  </r>
  <r>
    <s v="Pedido 410"/>
    <s v="CódRastreio399"/>
    <s v="CNBR000972712RS"/>
    <s v="BV"/>
    <d v="2024-12-11T00:00:00"/>
    <s v="Transp 1"/>
    <s v="-"/>
    <x v="1"/>
    <s v="Brasil"/>
    <d v="2024-11-29T00:00:00"/>
    <s v="Entregue"/>
    <x v="0"/>
    <s v="-"/>
    <x v="0"/>
    <s v="Olá Nome, _x000a_Identificamos que o Item Suporte de Celular Preto foi entregue no dia 29/11/2024, referente ao pedido Nº Pedido 410 Rastreio Pedido 410, agradecemos a preferência e adoraríamos receber sua avaliação, tendo qualquer dúvida estamos à disposição._x000a__x000a_Att_x000a_Tem tudo Shop"/>
  </r>
  <r>
    <s v="Pedido 347"/>
    <s v="CódRastreio340"/>
    <s v="NM655485720BR"/>
    <s v="BV"/>
    <d v="2024-12-05T00:00:00"/>
    <s v="Transp 1"/>
    <s v="-"/>
    <x v="0"/>
    <s v="Brasil"/>
    <d v="2024-11-26T00:00:00"/>
    <s v="Entregue"/>
    <x v="0"/>
    <s v="-"/>
    <x v="0"/>
    <s v="Olá Nome, _x000a_Identificamos que o Item Ventilador Umidificador Preto foi entregue no dia 26/11/2024, referente ao pedido Nº Pedido 347 Rastreio Pedido 347, agradecemos a preferência e adoraríamos receber sua avaliação, tendo qualquer dúvida estamos à disposição._x000a__x000a_Att_x000a_Tem tudo Shop"/>
  </r>
  <r>
    <s v="Pedido 558"/>
    <s v="CódRastreio543"/>
    <n v="888670000638200"/>
    <s v="BV"/>
    <d v="2025-01-09T00:00:00"/>
    <s v="Transp 1"/>
    <s v="-"/>
    <x v="1"/>
    <s v="Brasil"/>
    <d v="2024-12-21T00:00:00"/>
    <s v="Entregue"/>
    <x v="0"/>
    <s v="-"/>
    <x v="0"/>
    <s v="Olá Nome, _x000a_Identificamos que o Item Suporte de Celular Branco foi entregue no dia 21/12/2024, referente ao pedido Nº Pedido 558 Rastreio Pedido 558, agradecemos a preferência e adoraríamos receber sua avaliação, tendo qualquer dúvida estamos à disposição._x000a__x000a_Att_x000a_Tem tudo Shop"/>
  </r>
  <r>
    <s v="Pedido 171"/>
    <s v="CódRastreio164"/>
    <s v="CNBR000829194RS"/>
    <s v="BV"/>
    <d v="2024-11-14T00:00:00"/>
    <s v="Transp 1"/>
    <s v="-"/>
    <x v="1"/>
    <s v="Brasil"/>
    <d v="2024-11-05T00:00:00"/>
    <s v="Entregue"/>
    <x v="0"/>
    <s v="-"/>
    <x v="0"/>
    <s v="Olá Nome, _x000a_Identificamos que o Item Bomba d'agua foi entregue no dia 05/11/2024, referente ao pedido Nº Pedido 171 Rastreio Pedido 171, agradecemos a preferência e adoraríamos receber sua avaliação, tendo qualquer dúvida estamos à disposição._x000a__x000a_Att_x000a_Tem tudo Shop"/>
  </r>
  <r>
    <s v="Pedido 572"/>
    <s v="CódRastreio557"/>
    <s v="AK723454896BR"/>
    <s v="BV"/>
    <d v="2025-01-07T00:00:00"/>
    <s v="Transp 1"/>
    <s v="-"/>
    <x v="1"/>
    <s v="Brasil"/>
    <d v="2025-01-10T00:00:00"/>
    <s v="Entregue"/>
    <x v="0"/>
    <s v="Reembolsado"/>
    <x v="1"/>
    <s v="Olá Nome, _x000a_Identificamos que o Item Mini Liquidificador foi entregue no dia 10/01/2025, referente ao pedido Nº Pedido 572 Rastreio Pedido 572, agradecemos a preferência e adoraríamos receber sua avaliação, tendo qualquer dúvida estamos à disposição._x000a__x000a_Att_x000a_Tem tudo Shop"/>
  </r>
  <r>
    <s v="Pedido 138"/>
    <s v="CódRastreio131"/>
    <s v="CNBR012494759LG"/>
    <s v="BV"/>
    <d v="2024-11-15T00:00:00"/>
    <s v="Transp 1"/>
    <s v="-"/>
    <x v="1"/>
    <s v="Brasil"/>
    <d v="2024-11-04T00:00:00"/>
    <s v="Entregue"/>
    <x v="0"/>
    <s v="-"/>
    <x v="0"/>
    <s v="Olá Nome, _x000a_Identificamos que o Item Suporte de Celular Branco foi entregue no dia 04/11/2024, referente ao pedido Nº Pedido 138 Rastreio Pedido 138, agradecemos a preferência e adoraríamos receber sua avaliação, tendo qualquer dúvida estamos à disposição._x000a__x000a_Att_x000a_Tem tudo Shop"/>
  </r>
  <r>
    <s v="Pedido 471"/>
    <s v="CódRastreio456"/>
    <s v="LP00696076270978"/>
    <s v="BV"/>
    <d v="2024-12-20T00:00:00"/>
    <s v="Transp 1"/>
    <s v="-"/>
    <x v="0"/>
    <s v="Brasil"/>
    <d v="2024-12-20T00:00:00"/>
    <s v="Entregue"/>
    <x v="0"/>
    <s v="-"/>
    <x v="0"/>
    <s v="Olá Nome, _x000a_Identificamos que o Item Ventilador Azul foi entregue no dia 20/12/2024, referente ao pedido Nº Pedido 471 Rastreio Pedido 471, agradecemos a preferência e adoraríamos receber sua avaliação, tendo qualquer dúvida estamos à disposição._x000a__x000a_Att_x000a_Tem tudo Shop"/>
  </r>
  <r>
    <s v="Pedido 650"/>
    <s v="CódRastreio631"/>
    <s v="LP00703648366845"/>
    <s v="BV"/>
    <d v="2025-01-21T00:00:00"/>
    <s v="Transp 1"/>
    <s v="-"/>
    <x v="0"/>
    <s v="Brasil"/>
    <d v="2025-01-08T00:00:00"/>
    <s v="Entregue"/>
    <x v="0"/>
    <s v="-"/>
    <x v="0"/>
    <s v="Olá Nome, _x000a_Identificamos que o Item Ventilador Preto foi entregue no dia 08/01/2025, referente ao pedido Nº Pedido 650 Rastreio Pedido 650, agradecemos a preferência e adoraríamos receber sua avaliação, tendo qualquer dúvida estamos à disposição._x000a__x000a_Att_x000a_Tem tudo Shop"/>
  </r>
  <r>
    <s v="Pedido 158"/>
    <s v="CódRastreio151"/>
    <s v="CNBR012561192LG"/>
    <s v="BV"/>
    <d v="2024-11-23T00:00:00"/>
    <s v="Transp 1"/>
    <s v="-"/>
    <x v="1"/>
    <s v="Brasil"/>
    <d v="2024-11-08T00:00:00"/>
    <s v="Entregue"/>
    <x v="0"/>
    <s v="-"/>
    <x v="0"/>
    <s v="Olá Nome, _x000a_Identificamos que o Item Suporte de Celular Preto foi entregue no dia 08/11/2024, referente ao pedido Nº Pedido 158 Rastreio Pedido 158, agradecemos a preferência e adoraríamos receber sua avaliação, tendo qualquer dúvida estamos à disposição._x000a__x000a_Att_x000a_Tem tudo Shop"/>
  </r>
  <r>
    <s v="Pedido 628"/>
    <s v="CódRastreio610"/>
    <s v="AK723525694BR"/>
    <s v="BV"/>
    <d v="2025-01-14T00:00:00"/>
    <s v="Transp 1"/>
    <s v="-"/>
    <x v="1"/>
    <s v="Brasil"/>
    <d v="2025-01-03T00:00:00"/>
    <s v="Entregue"/>
    <x v="0"/>
    <s v="-"/>
    <x v="0"/>
    <s v="Olá Nome, _x000a_Identificamos que o Item Copo Termico foi entregue no dia 03/01/2025, referente ao pedido Nº Pedido 628 Rastreio Pedido 628, agradecemos a preferência e adoraríamos receber sua avaliação, tendo qualquer dúvida estamos à disposição._x000a__x000a_Att_x000a_Tem tudo Shop"/>
  </r>
  <r>
    <s v="Pedido 212"/>
    <s v="CódRastreio205"/>
    <s v="CNBR012703559LG"/>
    <s v="BV"/>
    <d v="2024-11-30T00:00:00"/>
    <s v="Transp 1"/>
    <s v="-"/>
    <x v="1"/>
    <s v="Brasil"/>
    <d v="2024-11-13T00:00:00"/>
    <s v="Entregue"/>
    <x v="0"/>
    <s v="-"/>
    <x v="0"/>
    <s v="Olá Nome, _x000a_Identificamos que o Item Bomba d'agua foi entregue no dia 13/11/2024, referente ao pedido Nº Pedido 212 Rastreio Pedido 212, agradecemos a preferência e adoraríamos receber sua avaliação, tendo qualquer dúvida estamos à disposição._x000a__x000a_Att_x000a_Tem tudo Shop"/>
  </r>
  <r>
    <s v="Pedido 493"/>
    <s v="CódRastreio479"/>
    <s v="LP00697769288919"/>
    <s v="BV"/>
    <d v="2025-01-03T00:00:00"/>
    <s v="Transp 1"/>
    <s v="-"/>
    <x v="0"/>
    <s v="Brasil"/>
    <d v="2024-12-18T00:00:00"/>
    <s v="Entregue"/>
    <x v="0"/>
    <s v="-"/>
    <x v="0"/>
    <s v="Olá Nome, _x000a_Identificamos que o Item Ventilador de teto foi entregue no dia 18/12/2024, referente ao pedido Nº Pedido 493 Rastreio Pedido 493, agradecemos a preferência e adoraríamos receber sua avaliação, tendo qualquer dúvida estamos à disposição._x000a__x000a_Att_x000a_Tem tudo Shop"/>
  </r>
  <r>
    <s v="Pedido 79"/>
    <s v="CódRastreio70"/>
    <s v="CNBR012922744LG"/>
    <s v="BV"/>
    <d v="2024-11-14T00:00:00"/>
    <s v="Transp 1"/>
    <s v="-"/>
    <x v="1"/>
    <s v="Brasil"/>
    <d v="2024-11-28T00:00:00"/>
    <s v="Entregue"/>
    <x v="0"/>
    <s v="-"/>
    <x v="1"/>
    <s v="Olá Nome, _x000a_Identificamos que o Item Bomba d'agua foi entregue no dia 28/11/2024, referente ao pedido Nº Pedido 79 Rastreio Pedido 79, agradecemos a preferência e adoraríamos receber sua avaliação, tendo qualquer dúvida estamos à disposição._x000a__x000a_Att_x000a_Tem tudo Shop"/>
  </r>
  <r>
    <s v="Pedido 160"/>
    <s v="CódRastreio153"/>
    <s v="CNBR012546751LG"/>
    <s v="BV"/>
    <d v="2024-11-14T00:00:00"/>
    <s v="Transp 1"/>
    <s v="-"/>
    <x v="1"/>
    <s v="Brasil"/>
    <d v="2024-11-01T00:00:00"/>
    <s v="Entregue"/>
    <x v="0"/>
    <s v="-"/>
    <x v="0"/>
    <s v="Olá Nome, _x000a_Identificamos que o Item Suporte de Celular Branco foi entregue no dia 01/11/2024, referente ao pedido Nº Pedido 160 Rastreio Pedido 160, agradecemos a preferência e adoraríamos receber sua avaliação, tendo qualquer dúvida estamos à disposição._x000a__x000a_Att_x000a_Tem tudo Shop"/>
  </r>
  <r>
    <s v="Pedido 207"/>
    <s v="CódRastreio200"/>
    <s v="NM645024737BR"/>
    <s v="BV"/>
    <d v="2024-11-26T00:00:00"/>
    <s v="Transp 1"/>
    <s v="-"/>
    <x v="0"/>
    <s v="Brasil"/>
    <d v="2024-11-11T00:00:00"/>
    <s v="Entregue"/>
    <x v="0"/>
    <s v="-"/>
    <x v="0"/>
    <s v="Olá Nome, _x000a_Identificamos que o Item Ventilador Azul foi entregue no dia 11/11/2024, referente ao pedido Nº Pedido 207 Rastreio Pedido 207, agradecemos a preferência e adoraríamos receber sua avaliação, tendo qualquer dúvida estamos à disposição._x000a__x000a_Att_x000a_Tem tudo Shop"/>
  </r>
  <r>
    <s v="Pedido 141"/>
    <s v="CódRastreio134"/>
    <s v="CNBR012513784LG"/>
    <s v="BV"/>
    <d v="2024-11-09T00:00:00"/>
    <s v="Transp 1"/>
    <s v="-"/>
    <x v="1"/>
    <s v="Brasil"/>
    <d v="2024-11-09T00:00:00"/>
    <s v="Entregue"/>
    <x v="0"/>
    <s v="Perdi Acesso ao Perfil"/>
    <x v="0"/>
    <s v="Olá Nome, _x000a_Identificamos que o Item Bomba d'agua foi entregue no dia 09/11/2024, referente ao pedido Nº Pedido 141 Rastreio Pedido 141, agradecemos a preferência e adoraríamos receber sua avaliação, tendo qualquer dúvida estamos à disposição._x000a__x000a_Att_x000a_Tem tudo Shop"/>
  </r>
  <r>
    <s v="Pedido 125"/>
    <s v="CódRastreio118"/>
    <s v="CNBR000805388RS"/>
    <s v="BV"/>
    <d v="2024-11-15T00:00:00"/>
    <s v="Transp 1"/>
    <s v="-"/>
    <x v="1"/>
    <s v="Brasil"/>
    <d v="2024-10-30T00:00:00"/>
    <s v="Entregue"/>
    <x v="0"/>
    <s v="-"/>
    <x v="0"/>
    <s v="Olá Nome, _x000a_Identificamos que o Item Bomba d'agua foi entregue no dia 30/10/2024, referente ao pedido Nº Pedido 125 Rastreio Pedido 125, agradecemos a preferência e adoraríamos receber sua avaliação, tendo qualquer dúvida estamos à disposição._x000a__x000a_Att_x000a_Tem tudo Shop"/>
  </r>
  <r>
    <s v="Pedido 515"/>
    <s v="CódRastreio500"/>
    <s v="LP00699386604444"/>
    <s v="BV"/>
    <d v="2024-12-31T00:00:00"/>
    <s v="Transp 1"/>
    <s v="-"/>
    <x v="0"/>
    <s v="Brasil"/>
    <d v="2024-12-18T00:00:00"/>
    <s v="Entregue"/>
    <x v="0"/>
    <s v="-"/>
    <x v="0"/>
    <s v="Olá Nome, _x000a_Identificamos que o Item Ventilador Preto foi entregue no dia 18/12/2024, referente ao pedido Nº Pedido 515 Rastreio Pedido 515, agradecemos a preferência e adoraríamos receber sua avaliação, tendo qualquer dúvida estamos à disposição._x000a__x000a_Att_x000a_Tem tudo Shop"/>
  </r>
  <r>
    <s v="Pedido 519"/>
    <s v="CódRastreio504"/>
    <s v="LP00699393775979"/>
    <s v="BV"/>
    <d v="2025-01-15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519 Rastreio Pedido 519, agradecemos a preferência e adoraríamos receber sua avaliação, tendo qualquer dúvida estamos à disposição._x000a__x000a_Att_x000a_Tem tudo Shop"/>
  </r>
  <r>
    <s v="Pedido 577"/>
    <s v="CódRastreio562"/>
    <s v="LP00701870227816"/>
    <s v="BV"/>
    <d v="2025-01-16T00:00:00"/>
    <s v="Transp 1"/>
    <s v="-"/>
    <x v="0"/>
    <s v="Brasil"/>
    <d v="2025-01-08T00:00:00"/>
    <s v="Entregue"/>
    <x v="0"/>
    <s v="-"/>
    <x v="0"/>
    <s v="Olá Nome, _x000a_Identificamos que o Item Ventilador Rosa foi entregue no dia 08/01/2025, referente ao pedido Nº Pedido 577 Rastreio Pedido 577, agradecemos a preferência e adoraríamos receber sua avaliação, tendo qualquer dúvida estamos à disposição._x000a__x000a_Att_x000a_Tem tudo Shop"/>
  </r>
  <r>
    <s v="Pedido 494"/>
    <s v="CódRastreio480"/>
    <s v="LP00698536050646"/>
    <s v="BV"/>
    <d v="2024-12-24T00:00:00"/>
    <s v="Transp 1"/>
    <s v="-"/>
    <x v="0"/>
    <s v="Brasil"/>
    <d v="2024-12-18T00:00:00"/>
    <s v="Entregue"/>
    <x v="0"/>
    <s v="-"/>
    <x v="0"/>
    <s v="Olá Nome, _x000a_Identificamos que o Item Ventilador Umidificador Preto foi entregue no dia 18/12/2024, referente ao pedido Nº Pedido 494 Rastreio Pedido 494, agradecemos a preferência e adoraríamos receber sua avaliação, tendo qualquer dúvida estamos à disposição._x000a__x000a_Att_x000a_Tem tudo Shop"/>
  </r>
  <r>
    <s v="Pedido 26"/>
    <s v="CódRastreio17"/>
    <s v="CNBR012382165LG"/>
    <s v="BV"/>
    <d v="2024-11-09T00:00:00"/>
    <s v="Transp 1"/>
    <s v="-"/>
    <x v="1"/>
    <s v="Brasil"/>
    <d v="2024-10-28T00:00:00"/>
    <s v="Entregue"/>
    <x v="0"/>
    <s v="-"/>
    <x v="0"/>
    <s v="Olá Nome, _x000a_Identificamos que o Item Balança foi entregue no dia 28/10/2024, referente ao pedido Nº Pedido 26 Rastreio Pedido 26, agradecemos a preferência e adoraríamos receber sua avaliação, tendo qualquer dúvida estamos à disposição._x000a__x000a_Att_x000a_Tem tudo Shop"/>
  </r>
  <r>
    <s v="Pedido 507"/>
    <s v="CódRastreio493"/>
    <s v="LP00697193267655"/>
    <s v="BV"/>
    <d v="2025-01-04T00:00:00"/>
    <s v="Transp 1"/>
    <s v="-"/>
    <x v="0"/>
    <s v="Brasil"/>
    <d v="2024-12-16T00:00:00"/>
    <s v="Entregue"/>
    <x v="0"/>
    <s v="-"/>
    <x v="0"/>
    <s v="Olá Nome, _x000a_Identificamos que o Item Ventilador Preto foi entregue no dia 16/12/2024, referente ao pedido Nº Pedido 507 Rastreio Pedido 507, agradecemos a preferência e adoraríamos receber sua avaliação, tendo qualquer dúvida estamos à disposição._x000a__x000a_Att_x000a_Tem tudo Shop"/>
  </r>
  <r>
    <s v="Pedido 341"/>
    <s v="CódRastreio334"/>
    <n v="888670000249974"/>
    <s v="BV"/>
    <d v="2024-11-28T00:00:00"/>
    <s v="Transp 1"/>
    <s v="-"/>
    <x v="1"/>
    <s v="Brasil"/>
    <d v="2024-11-20T00:00:00"/>
    <s v="Entregue"/>
    <x v="0"/>
    <s v="-"/>
    <x v="0"/>
    <s v="Olá Nome, _x000a_Identificamos que o Item Bomba d'agua foi entregue no dia 20/11/2024, referente ao pedido Nº Pedido 341 Rastreio Pedido 341, agradecemos a preferência e adoraríamos receber sua avaliação, tendo qualquer dúvida estamos à disposição._x000a__x000a_Att_x000a_Tem tudo Shop"/>
  </r>
  <r>
    <s v="Pedido 585"/>
    <s v="CódRastreio570"/>
    <s v="LP00700514159623"/>
    <s v="BV"/>
    <d v="2025-01-11T00:00:00"/>
    <s v="Transp 1"/>
    <s v="-"/>
    <x v="0"/>
    <s v="Brasil"/>
    <d v="2024-12-30T00:00:00"/>
    <s v="Entregue"/>
    <x v="0"/>
    <s v="-"/>
    <x v="0"/>
    <s v="Olá Nome, _x000a_Identificamos que o Item Ventilador Preto foi entregue no dia 30/12/2024, referente ao pedido Nº Pedido 585 Rastreio Pedido 585, agradecemos a preferência e adoraríamos receber sua avaliação, tendo qualquer dúvida estamos à disposição._x000a__x000a_Att_x000a_Tem tudo Shop"/>
  </r>
  <r>
    <s v="Pedido 51"/>
    <s v="CódRastreio42"/>
    <s v="CNBR012409910LG"/>
    <s v="BV"/>
    <d v="2024-11-19T00:00:00"/>
    <s v="Transp 1"/>
    <s v="-"/>
    <x v="1"/>
    <s v="Brasil"/>
    <d v="2024-11-03T00:00:00"/>
    <s v="Entregue"/>
    <x v="0"/>
    <s v="-"/>
    <x v="0"/>
    <s v="Olá Nome, _x000a_Identificamos que o Item Balança foi entregue no dia 03/11/2024, referente ao pedido Nº Pedido 51 Rastreio Pedido 51, agradecemos a preferência e adoraríamos receber sua avaliação, tendo qualquer dúvida estamos à disposição._x000a__x000a_Att_x000a_Tem tudo Shop"/>
  </r>
  <r>
    <s v="Pedido 441"/>
    <s v="CódRastreio426"/>
    <s v="CNBR013063534LG"/>
    <s v="BV"/>
    <d v="2024-12-21T00:00:00"/>
    <s v="Transp 1"/>
    <s v="-"/>
    <x v="1"/>
    <s v="Brasil"/>
    <d v="2024-12-07T15:30:24"/>
    <s v="Entregue"/>
    <x v="0"/>
    <s v="-"/>
    <x v="0"/>
    <s v="Olá Nome, _x000a_Identificamos que o Item Copo Termico foi entregue no dia 07/12/2024, referente ao pedido Nº Pedido 441 Rastreio Pedido 441, agradecemos a preferência e adoraríamos receber sua avaliação, tendo qualquer dúvida estamos à disposição._x000a__x000a_Att_x000a_Tem tudo Shop"/>
  </r>
  <r>
    <s v="Pedido 645"/>
    <s v="CódRastreio626"/>
    <s v="CNBR013608660LG"/>
    <s v="BV"/>
    <d v="2025-01-17T00:00:00"/>
    <s v="Transp 1"/>
    <s v="-"/>
    <x v="1"/>
    <s v="Brasil"/>
    <d v="2025-01-08T00:00:00"/>
    <s v="Entregue"/>
    <x v="0"/>
    <s v="-"/>
    <x v="0"/>
    <s v="Olá Nome, _x000a_Identificamos que o Item Copo Termico foi entregue no dia 08/01/2025, referente ao pedido Nº Pedido 645 Rastreio Pedido 645, agradecemos a preferência e adoraríamos receber sua avaliação, tendo qualquer dúvida estamos à disposição._x000a__x000a_Att_x000a_Tem tudo Shop"/>
  </r>
  <r>
    <s v="Pedido 337"/>
    <s v="CódRastreio330"/>
    <s v="NM654177736BR"/>
    <s v="BV"/>
    <d v="2024-12-14T00:00:00"/>
    <s v="Transp 1"/>
    <s v="-"/>
    <x v="0"/>
    <s v="Brasil"/>
    <d v="2024-11-27T00:00:00"/>
    <s v="Entregue"/>
    <x v="0"/>
    <s v="-"/>
    <x v="0"/>
    <s v="Olá Nome, _x000a_Identificamos que o Item Ventilador Umidificador foi entregue no dia 27/11/2024, referente ao pedido Nº Pedido 337 Rastreio Pedido 337, agradecemos a preferência e adoraríamos receber sua avaliação, tendo qualquer dúvida estamos à disposição._x000a__x000a_Att_x000a_Tem tudo Shop"/>
  </r>
  <r>
    <s v="Pedido 322"/>
    <s v="CódRastreio315"/>
    <s v="NM651630925BR"/>
    <s v="BV"/>
    <d v="2024-12-03T00:00:00"/>
    <s v="Transp 1"/>
    <s v="-"/>
    <x v="0"/>
    <s v="Brasil"/>
    <d v="2024-11-21T00:00:00"/>
    <s v="Entregue"/>
    <x v="0"/>
    <s v="-"/>
    <x v="0"/>
    <s v="Olá Nome, _x000a_Identificamos que o Item Ventilador de teto foi entregue no dia 21/11/2024, referente ao pedido Nº Pedido 322 Rastreio Pedido 322, agradecemos a preferência e adoraríamos receber sua avaliação, tendo qualquer dúvida estamos à disposição._x000a__x000a_Att_x000a_Tem tudo Shop"/>
  </r>
  <r>
    <s v="Pedido 485"/>
    <s v="CódRastreio470"/>
    <s v="CNBR013158798LG"/>
    <s v="BV"/>
    <d v="2024-12-21T00:00:00"/>
    <s v="Transp 1"/>
    <s v="-"/>
    <x v="1"/>
    <s v="Brasil"/>
    <d v="2024-12-12T00:00:00"/>
    <s v="Entregue"/>
    <x v="0"/>
    <s v="-"/>
    <x v="0"/>
    <s v="Olá Nome, _x000a_Identificamos que o Item Adaptador Bluetooph foi entregue no dia 12/12/2024, referente ao pedido Nº Pedido 485 Rastreio Pedido 485, agradecemos a preferência e adoraríamos receber sua avaliação, tendo qualquer dúvida estamos à disposição._x000a__x000a_Att_x000a_Tem tudo Shop"/>
  </r>
  <r>
    <s v="Pedido 227"/>
    <s v="CódRastreio220"/>
    <s v="CNBR012695662LG"/>
    <s v="BV"/>
    <d v="2024-11-19T00:00:00"/>
    <s v="Transp 1"/>
    <s v="-"/>
    <x v="1"/>
    <s v="Brasil"/>
    <d v="2024-11-08T00:00:00"/>
    <s v="Entregue"/>
    <x v="0"/>
    <s v="-"/>
    <x v="0"/>
    <s v="Olá Nome, _x000a_Identificamos que o Item Bomba d'agua foi entregue no dia 08/11/2024, referente ao pedido Nº Pedido 227 Rastreio Pedido 227, agradecemos a preferência e adoraríamos receber sua avaliação, tendo qualquer dúvida estamos à disposição._x000a__x000a_Att_x000a_Tem tudo Shop"/>
  </r>
  <r>
    <s v="Pedido 42"/>
    <s v="CódRastreio33"/>
    <s v="CNBR012398267LG"/>
    <s v="BV"/>
    <d v="2024-11-19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42 Rastreio Pedido 42, agradecemos a preferência e adoraríamos receber sua avaliação, tendo qualquer dúvida estamos à disposição._x000a__x000a_Att_x000a_Tem tudo Shop"/>
  </r>
  <r>
    <s v="Pedido 231"/>
    <s v="CódRastreio224"/>
    <s v="CNBR000858730RS"/>
    <s v="BV"/>
    <d v="2024-11-26T00:00:00"/>
    <s v="Transp 1"/>
    <s v="-"/>
    <x v="1"/>
    <s v="Brasil"/>
    <d v="2024-11-14T00:00:00"/>
    <s v="Entregue"/>
    <x v="0"/>
    <s v="-"/>
    <x v="0"/>
    <s v="Olá Nome, _x000a_Identificamos que o Item Mini Liquidificador foi entregue no dia 14/11/2024, referente ao pedido Nº Pedido 231 Rastreio Pedido 231, agradecemos a preferência e adoraríamos receber sua avaliação, tendo qualquer dúvida estamos à disposição._x000a__x000a_Att_x000a_Tem tudo Shop"/>
  </r>
  <r>
    <s v="Pedido 517"/>
    <s v="CódRastreio502"/>
    <s v="LP00699371016840"/>
    <s v="BV"/>
    <d v="2025-01-08T00:00:00"/>
    <s v="Transp 1"/>
    <s v="-"/>
    <x v="0"/>
    <s v="Brasil"/>
    <d v="2024-12-20T00:00:00"/>
    <s v="Entregue"/>
    <x v="0"/>
    <s v="-"/>
    <x v="0"/>
    <s v="Olá Nome, _x000a_Identificamos que o Item Ventilador de teto foi entregue no dia 20/12/2024, referente ao pedido Nº Pedido 517 Rastreio Pedido 517, agradecemos a preferência e adoraríamos receber sua avaliação, tendo qualquer dúvida estamos à disposição._x000a__x000a_Att_x000a_Tem tudo Shop"/>
  </r>
  <r>
    <s v="Pedido 61"/>
    <s v="CódRastreio52"/>
    <s v="CNBR012467152LG"/>
    <s v="BV"/>
    <d v="2024-11-19T00:00:00"/>
    <s v="Transp 1"/>
    <s v="-"/>
    <x v="1"/>
    <s v="Brasil"/>
    <d v="2024-11-01T00:00:00"/>
    <s v="Entregue"/>
    <x v="0"/>
    <s v="-"/>
    <x v="0"/>
    <s v="Olá Nome, _x000a_Identificamos que o Item Mini Liquidificador foi entregue no dia 01/11/2024, referente ao pedido Nº Pedido 61 Rastreio Pedido 61, agradecemos a preferência e adoraríamos receber sua avaliação, tendo qualquer dúvida estamos à disposição._x000a__x000a_Att_x000a_Tem tudo Shop"/>
  </r>
  <r>
    <s v="Pedido 463"/>
    <s v="CódRastreio448"/>
    <s v="CNBR013089995LG"/>
    <s v="BV"/>
    <d v="2024-12-27T00:00:00"/>
    <s v="Transp 1"/>
    <s v="-"/>
    <x v="1"/>
    <s v="Brasil"/>
    <d v="2024-12-10T00:00:00"/>
    <s v="Entregue"/>
    <x v="0"/>
    <s v="-"/>
    <x v="0"/>
    <s v="Olá Nome, _x000a_Identificamos que o Item Mini Liquidificador foi entregue no dia 10/12/2024, referente ao pedido Nº Pedido 463 Rastreio Pedido 463, agradecemos a preferência e adoraríamos receber sua avaliação, tendo qualquer dúvida estamos à disposição._x000a__x000a_Att_x000a_Tem tudo Shop"/>
  </r>
  <r>
    <s v="Pedido 62"/>
    <s v="CódRastreio53"/>
    <s v="NM639586733BR"/>
    <s v="BV"/>
    <d v="2024-11-20T00:00:00"/>
    <s v="Transp 1"/>
    <s v="-"/>
    <x v="0"/>
    <s v="Brasil"/>
    <d v="2024-11-06T00:00:00"/>
    <s v="Entregue"/>
    <x v="0"/>
    <s v="-"/>
    <x v="0"/>
    <s v="Olá Nome, _x000a_Identificamos que o Item Ventilador Rosa foi entregue no dia 06/11/2024, referente ao pedido Nº Pedido 62 Rastreio Pedido 62, agradecemos a preferência e adoraríamos receber sua avaliação, tendo qualquer dúvida estamos à disposição._x000a__x000a_Att_x000a_Tem tudo Shop"/>
  </r>
  <r>
    <s v="Pedido 609"/>
    <s v="CódRastreio593"/>
    <s v="LP00701726003106"/>
    <s v="BV"/>
    <d v="2025-01-16T00:00:00"/>
    <s v="Transp 1"/>
    <s v="-"/>
    <x v="0"/>
    <s v="Brasil"/>
    <d v="2025-01-10T00:00:00"/>
    <s v="Entregue"/>
    <x v="0"/>
    <s v="-"/>
    <x v="0"/>
    <s v="Olá Nome, _x000a_Identificamos que o Item Ventilador Preto foi entregue no dia 10/01/2025, referente ao pedido Nº Pedido 609 Rastreio Pedido 609, agradecemos a preferência e adoraríamos receber sua avaliação, tendo qualquer dúvida estamos à disposição._x000a__x000a_Att_x000a_Tem tudo Shop"/>
  </r>
  <r>
    <s v="Pedido 612"/>
    <s v="CódRastreio595"/>
    <s v="LP00703515824295"/>
    <s v="BV"/>
    <d v="2025-01-29T00:00:00"/>
    <s v="Transp 1"/>
    <s v="-"/>
    <x v="0"/>
    <s v="Brasil"/>
    <d v="2025-01-14T00:00:00"/>
    <s v="Entregue"/>
    <x v="0"/>
    <s v="-"/>
    <x v="0"/>
    <s v="Olá Nome, _x000a_Identificamos que o Item Ventilador Rosa foi entregue no dia 14/01/2025, referente ao pedido Nº Pedido 612 Rastreio Pedido 612, agradecemos a preferência e adoraríamos receber sua avaliação, tendo qualquer dúvida estamos à disposição._x000a__x000a_Att_x000a_Tem tudo Shop"/>
  </r>
  <r>
    <s v="Pedido 613"/>
    <s v="CódRastreio596"/>
    <s v="LP00704314170597"/>
    <s v="BV"/>
    <d v="2025-01-29T00:00:00"/>
    <s v="Transp 1"/>
    <s v="-"/>
    <x v="0"/>
    <s v="Brasil"/>
    <d v="2025-01-15T00:00:00"/>
    <s v="Entregue"/>
    <x v="0"/>
    <s v="-"/>
    <x v="0"/>
    <s v="Olá Nome, _x000a_Identificamos que o Item Ventilador Preto foi entregue no dia 15/01/2025, referente ao pedido Nº Pedido 613 Rastreio Pedido 613, agradecemos a preferência e adoraríamos receber sua avaliação, tendo qualquer dúvida estamos à disposição._x000a__x000a_Att_x000a_Tem tudo Shop"/>
  </r>
  <r>
    <s v="Pedido 268"/>
    <s v="CódRastreio261"/>
    <s v="NM648437587BR"/>
    <s v="BV"/>
    <d v="2024-12-04T00:00:00"/>
    <s v="Transp 1"/>
    <s v="-"/>
    <x v="0"/>
    <s v="Brasil"/>
    <d v="2024-11-18T00:00:00"/>
    <s v="Entregue"/>
    <x v="0"/>
    <s v="-"/>
    <x v="0"/>
    <s v="Olá Nome, _x000a_Identificamos que o Item Ventilador de teto foi entregue no dia 18/11/2024, referente ao pedido Nº Pedido 268 Rastreio Pedido 268, agradecemos a preferência e adoraríamos receber sua avaliação, tendo qualquer dúvida estamos à disposição._x000a__x000a_Att_x000a_Tem tudo Shop"/>
  </r>
  <r>
    <s v="Pedido 391"/>
    <s v="CódRastreio381"/>
    <s v="LP00694170669176"/>
    <s v="BV"/>
    <d v="2024-12-10T00:00:00"/>
    <s v="Transp 1"/>
    <s v="-"/>
    <x v="0"/>
    <s v="Brasil"/>
    <d v="2024-11-29T00:00:00"/>
    <s v="Entregue"/>
    <x v="0"/>
    <s v="-"/>
    <x v="0"/>
    <s v="Olá Nome, _x000a_Identificamos que o Item Ventilador Preto foi entregue no dia 29/11/2024, referente ao pedido Nº Pedido 391 Rastreio Pedido 391, agradecemos a preferência e adoraríamos receber sua avaliação, tendo qualquer dúvida estamos à disposição._x000a__x000a_Att_x000a_Tem tudo Shop"/>
  </r>
  <r>
    <s v="Pedido 616"/>
    <s v="CódRastreio599"/>
    <s v="LP00703523420600"/>
    <s v="BV"/>
    <d v="2025-01-23T00:00:00"/>
    <s v="Transp 1"/>
    <s v="-"/>
    <x v="0"/>
    <s v="Brasil"/>
    <d v="2025-01-11T00:00:00"/>
    <s v="Entregue"/>
    <x v="0"/>
    <s v="-"/>
    <x v="0"/>
    <s v="Olá Nome, _x000a_Identificamos que o Item Ventilador Preto foi entregue no dia 11/01/2025, referente ao pedido Nº Pedido 616 Rastreio Pedido 616, agradecemos a preferência e adoraríamos receber sua avaliação, tendo qualquer dúvida estamos à disposição._x000a__x000a_Att_x000a_Tem tudo Shop"/>
  </r>
  <r>
    <s v="Pedido 617"/>
    <s v="CódRastreio600"/>
    <s v="LP00704293261842"/>
    <s v="BV"/>
    <d v="2025-01-23T00:00:00"/>
    <s v="Transp 1"/>
    <s v="-"/>
    <x v="0"/>
    <s v="Brasil"/>
    <d v="2025-01-13T00:00:00"/>
    <s v="Entregue"/>
    <x v="0"/>
    <s v="-"/>
    <x v="0"/>
    <s v="Olá Nome, _x000a_Identificamos que o Item Ventilador Preto foi entregue no dia 13/01/2025, referente ao pedido Nº Pedido 617 Rastreio Pedido 617, agradecemos a preferência e adoraríamos receber sua avaliação, tendo qualquer dúvida estamos à disposição._x000a__x000a_Att_x000a_Tem tudo Shop"/>
  </r>
  <r>
    <s v="Pedido 618"/>
    <s v="CódRastreio601"/>
    <s v="LP00702719897625"/>
    <s v="BV"/>
    <d v="2025-01-23T00:00:00"/>
    <s v="Transp 1"/>
    <s v="-"/>
    <x v="0"/>
    <s v="Brasil"/>
    <d v="2025-01-11T00:00:00"/>
    <s v="Entregue"/>
    <x v="0"/>
    <s v="-"/>
    <x v="0"/>
    <s v="Olá Nome, _x000a_Identificamos que o Item Ventilador Rosa foi entregue no dia 11/01/2025, referente ao pedido Nº Pedido 618 Rastreio Pedido 618, agradecemos a preferência e adoraríamos receber sua avaliação, tendo qualquer dúvida estamos à disposição._x000a__x000a_Att_x000a_Tem tudo Shop"/>
  </r>
  <r>
    <s v="Pedido 619"/>
    <s v="CódRastreio602"/>
    <s v="LP00704320969943"/>
    <s v="BV"/>
    <d v="2025-01-17T00:00:00"/>
    <s v="Transp 1"/>
    <s v="-"/>
    <x v="0"/>
    <s v="Brasil"/>
    <d v="2025-01-10T00:00:00"/>
    <s v="Entregue"/>
    <x v="0"/>
    <s v="-"/>
    <x v="0"/>
    <s v="Olá Nome, _x000a_Identificamos que o Item Ventilador Preto foi entregue no dia 10/01/2025, referente ao pedido Nº Pedido 619 Rastreio Pedido 619, agradecemos a preferência e adoraríamos receber sua avaliação, tendo qualquer dúvida estamos à disposição._x000a__x000a_Att_x000a_Tem tudo Shop"/>
  </r>
  <r>
    <s v="Pedido 620"/>
    <s v="CódRastreio603"/>
    <s v="LP00702713278647"/>
    <s v="BV"/>
    <d v="2025-01-30T00:00:00"/>
    <s v="Transp 1"/>
    <s v="-"/>
    <x v="0"/>
    <s v="Brasil"/>
    <d v="2025-01-15T00:00:00"/>
    <s v="Entregue"/>
    <x v="0"/>
    <s v="-"/>
    <x v="0"/>
    <s v="Olá Nome, _x000a_Identificamos que o Item Ventilador Preto foi entregue no dia 15/01/2025, referente ao pedido Nº Pedido 620 Rastreio Pedido 620, agradecemos a preferência e adoraríamos receber sua avaliação, tendo qualquer dúvida estamos à disposição._x000a__x000a_Att_x000a_Tem tudo Shop"/>
  </r>
  <r>
    <s v="Pedido 590"/>
    <s v="CódRastreio575"/>
    <s v="LP00702660889334"/>
    <s v="BV"/>
    <d v="2025-01-14T00:00:00"/>
    <s v="Transp 1"/>
    <s v="-"/>
    <x v="0"/>
    <s v="Brasil"/>
    <d v="2025-01-02T00:00:00"/>
    <s v="Entregue"/>
    <x v="0"/>
    <s v="-"/>
    <x v="0"/>
    <s v="Olá Nome, _x000a_Identificamos que o Item Ventilador Preto foi entregue no dia 02/01/2025, referente ao pedido Nº Pedido 590 Rastreio Pedido 590, agradecemos a preferência e adoraríamos receber sua avaliação, tendo qualquer dúvida estamos à disposição._x000a__x000a_Att_x000a_Tem tudo Shop"/>
  </r>
  <r>
    <s v="Pedido 472"/>
    <s v="CódRastreio457"/>
    <s v="LP00697555867920"/>
    <s v="BV"/>
    <d v="2024-12-28T00:00:00"/>
    <s v="Transp 1"/>
    <s v="-"/>
    <x v="0"/>
    <s v="Brasil"/>
    <d v="2024-12-12T00:00:00"/>
    <s v="Entregue"/>
    <x v="0"/>
    <s v="-"/>
    <x v="0"/>
    <s v="Olá Nome, _x000a_Identificamos que o Item Ventilador Preto foi entregue no dia 12/12/2024, referente ao pedido Nº Pedido 472 Rastreio Pedido 472, agradecemos a preferência e adoraríamos receber sua avaliação, tendo qualquer dúvida estamos à disposição._x000a__x000a_Att_x000a_Tem tudo Shop"/>
  </r>
  <r>
    <s v="Pedido 623"/>
    <s v="CódRastreio606"/>
    <s v="LP00702716194494"/>
    <s v="BV"/>
    <d v="2025-01-23T00:00:00"/>
    <s v="Transp 1"/>
    <s v="-"/>
    <x v="0"/>
    <s v="Brasil"/>
    <d v="2025-01-13T00:00:00"/>
    <s v="Entregue"/>
    <x v="0"/>
    <s v="-"/>
    <x v="0"/>
    <s v="Olá Nome, _x000a_Identificamos que o Item Ventilador Rosa foi entregue no dia 13/01/2025, referente ao pedido Nº Pedido 623 Rastreio Pedido 623, agradecemos a preferência e adoraríamos receber sua avaliação, tendo qualquer dúvida estamos à disposição._x000a__x000a_Att_x000a_Tem tudo Shop"/>
  </r>
  <r>
    <s v="Pedido 624"/>
    <s v="CódRastreio607"/>
    <s v="LP00703528923370"/>
    <s v="BV"/>
    <d v="2025-01-30T00:00:00"/>
    <s v="Transp 1"/>
    <s v="-"/>
    <x v="0"/>
    <s v="Brasil"/>
    <d v="2025-01-10T00:00:00"/>
    <s v="Entregue"/>
    <x v="0"/>
    <s v="-"/>
    <x v="0"/>
    <s v="Olá Nome, _x000a_Identificamos que o Item Ventilador Preto foi entregue no dia 10/01/2025, referente ao pedido Nº Pedido 624 Rastreio Pedido 624, agradecemos a preferência e adoraríamos receber sua avaliação, tendo qualquer dúvida estamos à disposição._x000a__x000a_Att_x000a_Tem tudo Shop"/>
  </r>
  <r>
    <s v="Pedido 626"/>
    <s v="CódRastreio608"/>
    <s v="LP00703521135143"/>
    <s v="BV"/>
    <d v="2025-01-17T00:00:00"/>
    <s v="Transp 1"/>
    <s v="-"/>
    <x v="0"/>
    <s v="Brasil"/>
    <d v="2025-01-10T00:00:00"/>
    <s v="Entregue"/>
    <x v="0"/>
    <s v="-"/>
    <x v="0"/>
    <s v="Olá Nome, _x000a_Identificamos que o Item Ventilador Rosa foi entregue no dia 10/01/2025, referente ao pedido Nº Pedido 626 Rastreio Pedido 626, agradecemos a preferência e adoraríamos receber sua avaliação, tendo qualquer dúvida estamos à disposição._x000a__x000a_Att_x000a_Tem tudo Shop"/>
  </r>
  <r>
    <s v="Pedido 627"/>
    <s v="CódRastreio609"/>
    <s v="LP00704317770603"/>
    <s v="BV"/>
    <d v="2025-01-17T00:00:00"/>
    <s v="Transp 1"/>
    <s v="-"/>
    <x v="0"/>
    <s v="Brasil"/>
    <d v="2025-01-10T00:00:00"/>
    <s v="Entregue"/>
    <x v="0"/>
    <s v="-"/>
    <x v="0"/>
    <s v="Olá Nome, _x000a_Identificamos que o Item Ventilador Rosa foi entregue no dia 10/01/2025, referente ao pedido Nº Pedido 627 Rastreio Pedido 627, agradecemos a preferência e adoraríamos receber sua avaliação, tendo qualquer dúvida estamos à disposição._x000a__x000a_Att_x000a_Tem tudo Shop"/>
  </r>
  <r>
    <s v="Pedido 356"/>
    <s v="CódRastreio349"/>
    <s v="CNBR000925045RS"/>
    <s v="BV"/>
    <d v="2024-12-05T00:00:00"/>
    <s v="Transp 1"/>
    <s v="-"/>
    <x v="1"/>
    <s v="Brasil"/>
    <d v="2024-11-21T00:00:00"/>
    <s v="Entregue"/>
    <x v="0"/>
    <s v="-"/>
    <x v="0"/>
    <s v="Olá Nome, _x000a_Identificamos que o Item Adaptador Bluetooph foi entregue no dia 21/11/2024, referente ao pedido Nº Pedido 356 Rastreio Pedido 356, agradecemos a preferência e adoraríamos receber sua avaliação, tendo qualquer dúvida estamos à disposição._x000a__x000a_Att_x000a_Tem tudo Shop"/>
  </r>
  <r>
    <s v="Pedido 629"/>
    <s v="CódRastreio611"/>
    <s v="LP00702689543645"/>
    <s v="BV"/>
    <d v="2025-01-24T00:00:00"/>
    <s v="Transp 1"/>
    <s v="-"/>
    <x v="0"/>
    <s v="Brasil"/>
    <d v="2025-01-13T00:00:00"/>
    <s v="Entregue"/>
    <x v="0"/>
    <s v="-"/>
    <x v="0"/>
    <s v="Olá Nome, _x000a_Identificamos que o Item Ventilador Rosa foi entregue no dia 13/01/2025, referente ao pedido Nº Pedido 629 Rastreio Pedido 629, agradecemos a preferência e adoraríamos receber sua avaliação, tendo qualquer dúvida estamos à disposição._x000a__x000a_Att_x000a_Tem tudo Shop"/>
  </r>
  <r>
    <s v="Pedido 630"/>
    <s v="CódRastreio612"/>
    <s v="LP00703507208959"/>
    <s v="BV"/>
    <d v="2025-01-18T00:00:00"/>
    <s v="Transp 1"/>
    <s v="-"/>
    <x v="0"/>
    <s v="Brasil"/>
    <d v="2025-01-11T00:00:00"/>
    <s v="Entregue"/>
    <x v="0"/>
    <s v="Cliente Notificado"/>
    <x v="0"/>
    <s v="Olá Nome, _x000a_Identificamos que o Item Ventilador Azul foi entregue no dia 11/01/2025, referente ao pedido Nº Pedido 630 Rastreio Pedido 630, agradecemos a preferência e adoraríamos receber sua avaliação, tendo qualquer dúvida estamos à disposição._x000a__x000a_Att_x000a_Tem tudo Shop"/>
  </r>
  <r>
    <s v="Pedido 334"/>
    <s v="CódRastreio327"/>
    <s v="NM652139148BR"/>
    <s v="BV"/>
    <d v="2024-12-07T00:00:00"/>
    <s v="Transp 1"/>
    <s v="-"/>
    <x v="0"/>
    <s v="Brasil"/>
    <d v="2024-11-22T00:00:00"/>
    <s v="Entregue"/>
    <x v="0"/>
    <s v="-"/>
    <x v="0"/>
    <s v="Olá Nome, _x000a_Identificamos que o Item Ventilador de teto foi entregue no dia 22/11/2024, referente ao pedido Nº Pedido 334 Rastreio Pedido 334, agradecemos a preferência e adoraríamos receber sua avaliação, tendo qualquer dúvida estamos à disposição._x000a__x000a_Att_x000a_Tem tudo Shop"/>
  </r>
  <r>
    <s v="Pedido 634"/>
    <s v="CódRastreio616"/>
    <s v="LP00704326176412"/>
    <s v="BV"/>
    <d v="2025-01-24T00:00:00"/>
    <s v="Transp 1"/>
    <s v="-"/>
    <x v="0"/>
    <s v="Brasil"/>
    <d v="2025-01-10T00:00:00"/>
    <s v="Entregue"/>
    <x v="0"/>
    <s v="-"/>
    <x v="0"/>
    <s v="Olá Nome, _x000a_Identificamos que o Item Ventilador Azul foi entregue no dia 10/01/2025, referente ao pedido Nº Pedido 634 Rastreio Pedido 634, agradecemos a preferência e adoraríamos receber sua avaliação, tendo qualquer dúvida estamos à disposição._x000a__x000a_Att_x000a_Tem tudo Shop"/>
  </r>
  <r>
    <s v="Pedido 291"/>
    <s v="CódRastreio284"/>
    <s v="CNBR000869454RS"/>
    <s v="BV"/>
    <d v="2024-11-28T00:00:00"/>
    <s v="Transp 1"/>
    <s v="-"/>
    <x v="1"/>
    <s v="Brasil"/>
    <d v="2024-11-18T00:00:00"/>
    <s v="Entregue"/>
    <x v="0"/>
    <s v="-"/>
    <x v="0"/>
    <s v="Olá Nome, _x000a_Identificamos que o Item Bomba d'agua foi entregue no dia 18/11/2024, referente ao pedido Nº Pedido 291 Rastreio Pedido 291, agradecemos a preferência e adoraríamos receber sua avaliação, tendo qualquer dúvida estamos à disposição._x000a__x000a_Att_x000a_Tem tudo Shop"/>
  </r>
  <r>
    <s v="Pedido 100"/>
    <s v="CódRastreio93"/>
    <s v="CNBR012474269LG"/>
    <s v="BV"/>
    <d v="2024-11-14T00:00:00"/>
    <s v="Transp 1"/>
    <s v="-"/>
    <x v="1"/>
    <s v="Brasil"/>
    <d v="2024-10-31T00:00:00"/>
    <s v="Entregue"/>
    <x v="0"/>
    <s v="-"/>
    <x v="0"/>
    <s v="Olá Nome, _x000a_Identificamos que o Item Suporte de Celular Preto foi entregue no dia 31/10/2024, referente ao pedido Nº Pedido 100 Rastreio Pedido 100, agradecemos a preferência e adoraríamos receber sua avaliação, tendo qualquer dúvida estamos à disposição._x000a__x000a_Att_x000a_Tem tudo Shop"/>
  </r>
  <r>
    <s v="Pedido 635"/>
    <s v="CódRastreio617"/>
    <s v="LP00703719651633"/>
    <s v="BV"/>
    <d v="2025-01-24T00:00:00"/>
    <s v="Transp 1"/>
    <s v="-"/>
    <x v="0"/>
    <s v="Brasil"/>
    <d v="2025-01-13T00:00:00"/>
    <s v="Entregue"/>
    <x v="0"/>
    <s v="Cliente Notificado"/>
    <x v="0"/>
    <s v="Olá Nome, _x000a_Identificamos que o Item Ventilador Preto foi entregue no dia 13/01/2025, referente ao pedido Nº Pedido 635 Rastreio Pedido 635, agradecemos a preferência e adoraríamos receber sua avaliação, tendo qualquer dúvida estamos à disposição._x000a__x000a_Att_x000a_Tem tudo Shop"/>
  </r>
  <r>
    <s v="Pedido 261"/>
    <s v="CódRastreio254"/>
    <s v="CNBR012721535LG"/>
    <s v="BV"/>
    <d v="2024-12-03T00:00:00"/>
    <s v="Transp 1"/>
    <s v="-"/>
    <x v="1"/>
    <s v="Brasil"/>
    <d v="2024-11-16T00:00:00"/>
    <s v="Entregue"/>
    <x v="0"/>
    <s v="-"/>
    <x v="0"/>
    <s v="Olá Nome, _x000a_Identificamos que o Item Bomba d'agua foi entregue no dia 16/11/2024, referente ao pedido Nº Pedido 261 Rastreio Pedido 261, agradecemos a preferência e adoraríamos receber sua avaliação, tendo qualquer dúvida estamos à disposição._x000a__x000a_Att_x000a_Tem tudo Shop"/>
  </r>
  <r>
    <s v="Pedido 282"/>
    <s v="CódRastreio275"/>
    <n v="888670000149803"/>
    <s v="BV"/>
    <d v="2024-11-22T00:00:00"/>
    <s v="Transp 1"/>
    <s v="-"/>
    <x v="1"/>
    <s v="Brasil"/>
    <d v="2024-11-11T00:00:00"/>
    <s v="Entregue"/>
    <x v="0"/>
    <s v="-"/>
    <x v="0"/>
    <s v="Olá Nome, _x000a_Identificamos que o Item Multi Processador 5 Laminas foi entregue no dia 11/11/2024, referente ao pedido Nº Pedido 282 Rastreio Pedido 282, agradecemos a preferência e adoraríamos receber sua avaliação, tendo qualquer dúvida estamos à disposição._x000a__x000a_Att_x000a_Tem tudo Shop"/>
  </r>
  <r>
    <s v="Pedido 21"/>
    <s v="CódRastreio12"/>
    <s v="CNBR012364643LG"/>
    <s v="BV"/>
    <d v="2024-11-09T00:00:00"/>
    <s v="Transp 1"/>
    <s v="-"/>
    <x v="1"/>
    <s v="Brasil"/>
    <d v="2024-10-25T00:00:00"/>
    <s v="Entregue"/>
    <x v="0"/>
    <s v="-"/>
    <x v="0"/>
    <s v="Olá Nome, _x000a_Identificamos que o Item Suporte de Celular Preto foi entregue no dia 25/10/2024, referente ao pedido Nº Pedido 21 Rastreio Pedido 21, agradecemos a preferência e adoraríamos receber sua avaliação, tendo qualquer dúvida estamos à disposição._x000a__x000a_Att_x000a_Tem tudo Shop"/>
  </r>
  <r>
    <s v="Pedido 639"/>
    <s v="CódRastreio621"/>
    <n v="3621049624187"/>
    <s v="BV"/>
    <d v="2025-01-25T00:00:00"/>
    <s v="Transp 1"/>
    <s v="-"/>
    <x v="1"/>
    <s v="Brasil"/>
    <d v="2025-01-15T00:00:00"/>
    <s v="Entregue"/>
    <x v="0"/>
    <s v="-"/>
    <x v="0"/>
    <s v="Olá Nome, _x000a_Identificamos que o Item Adaptador Bluetooph foi entregue no dia 15/01/2025, referente ao pedido Nº Pedido 639 Rastreio Pedido 639, agradecemos a preferência e adoraríamos receber sua avaliação, tendo qualquer dúvida estamos à disposição._x000a__x000a_Att_x000a_Tem tudo Shop"/>
  </r>
  <r>
    <s v="Pedido 264"/>
    <s v="CódRastreio257"/>
    <s v="CNBR012697385LG"/>
    <s v="BV"/>
    <d v="2024-12-03T00:00:00"/>
    <s v="Transp 1"/>
    <s v="-"/>
    <x v="1"/>
    <s v="Brasil"/>
    <d v="2024-11-12T00:00:00"/>
    <s v="Entregue"/>
    <x v="0"/>
    <s v="-"/>
    <x v="0"/>
    <s v="Olá Nome, _x000a_Identificamos que o Item Multi Processador 5 Laminas foi entregue no dia 12/11/2024, referente ao pedido Nº Pedido 264 Rastreio Pedido 264, agradecemos a preferência e adoraríamos receber sua avaliação, tendo qualquer dúvida estamos à disposição._x000a__x000a_Att_x000a_Tem tudo Shop"/>
  </r>
  <r>
    <s v="Pedido 11"/>
    <s v="CódRastreio2"/>
    <s v="CNBR012317569LG"/>
    <s v="BV"/>
    <d v="2024-11-02T00:00:00"/>
    <s v="Transp 1"/>
    <s v="-"/>
    <x v="1"/>
    <s v="Brasil"/>
    <d v="2024-10-24T00:00:00"/>
    <s v="Entregue"/>
    <x v="0"/>
    <s v="-"/>
    <x v="0"/>
    <s v="Olá Nome, _x000a_Identificamos que o Item Suporte de Celular Preto foi entregue no dia 24/10/2024, referente ao pedido Nº Pedido 11 Rastreio Pedido 11, agradecemos a preferência e adoraríamos receber sua avaliação, tendo qualquer dúvida estamos à disposição._x000a__x000a_Att_x000a_Tem tudo Shop"/>
  </r>
  <r>
    <s v="Pedido 643"/>
    <s v="CódRastreio624"/>
    <n v="888670000861669"/>
    <s v="BV"/>
    <d v="2025-01-25T00:00:00"/>
    <s v="Transp 1"/>
    <s v="-"/>
    <x v="1"/>
    <s v="Brasil"/>
    <d v="2025-01-10T00:00:00"/>
    <s v="Entregue"/>
    <x v="0"/>
    <s v="-"/>
    <x v="0"/>
    <s v="Olá Nome, _x000a_Identificamos que o Item Garrafa Termica foi entregue no dia 10/01/2025, referente ao pedido Nº Pedido 643 Rastreio Pedido 643, agradecemos a preferência e adoraríamos receber sua avaliação, tendo qualquer dúvida estamos à disposição._x000a__x000a_Att_x000a_Tem tudo Shop"/>
  </r>
  <r>
    <s v="Pedido 647"/>
    <s v="CódRastreio628"/>
    <s v="LP00704416125804"/>
    <s v="BV"/>
    <d v="2025-01-21T00:00:00"/>
    <s v="Transp 1"/>
    <s v="-"/>
    <x v="0"/>
    <s v="Brasil"/>
    <d v="2025-01-14T00:00:00"/>
    <s v="Entregue"/>
    <x v="0"/>
    <s v="-"/>
    <x v="0"/>
    <s v="Olá Nome, _x000a_Identificamos que o Item Ventilador Preto foi entregue no dia 14/01/2025, referente ao pedido Nº Pedido 647 Rastreio Pedido 647, agradecemos a preferência e adoraríamos receber sua avaliação, tendo qualquer dúvida estamos à disposição._x000a__x000a_Att_x000a_Tem tudo Shop"/>
  </r>
  <r>
    <s v="Pedido 10"/>
    <s v="CódRastreio1"/>
    <s v="CNBR012289749LG"/>
    <s v="BV"/>
    <d v="2024-11-05T00:00:00"/>
    <s v="Transp 1"/>
    <s v="-"/>
    <x v="1"/>
    <s v="Brasil"/>
    <d v="2024-10-29T00:00:00"/>
    <s v="Entregue"/>
    <x v="0"/>
    <s v="-"/>
    <x v="0"/>
    <s v="Olá Nome, _x000a_Identificamos que o Item Suporte de Celular Branco foi entregue no dia 29/10/2024, referente ao pedido Nº Pedido 10 Rastreio Pedido 10, agradecemos a preferência e adoraríamos receber sua avaliação, tendo qualquer dúvida estamos à disposição._x000a__x000a_Att_x000a_Tem tudo Shop"/>
  </r>
  <r>
    <s v="Pedido 303"/>
    <s v="CódRastreio296"/>
    <n v="888670000207673"/>
    <s v="BV"/>
    <d v="2024-11-30T00:00:00"/>
    <s v="Transp 1"/>
    <s v="-"/>
    <x v="1"/>
    <s v="Brasil"/>
    <d v="2024-11-19T00:00:00"/>
    <s v="Entregue"/>
    <x v="0"/>
    <s v="-"/>
    <x v="0"/>
    <s v="Olá Nome, _x000a_Identificamos que o Item Bomba d'agua foi entregue no dia 19/11/2024, referente ao pedido Nº Pedido 303 Rastreio Pedido 303, agradecemos a preferência e adoraríamos receber sua avaliação, tendo qualquer dúvida estamos à disposição._x000a__x000a_Att_x000a_Tem tudo Shop"/>
  </r>
  <r>
    <s v="Pedido 651"/>
    <s v="CódRastreio632"/>
    <s v="LP00704450889969"/>
    <s v="BV"/>
    <d v="2025-01-25T00:00:00"/>
    <s v="Transp 1"/>
    <s v="-"/>
    <x v="0"/>
    <s v="Brasil"/>
    <d v="2025-01-10T00:00:00"/>
    <s v="Entregue"/>
    <x v="0"/>
    <s v="-"/>
    <x v="0"/>
    <s v="Olá Nome, _x000a_Identificamos que o Item Ventilador Azul foi entregue no dia 10/01/2025, referente ao pedido Nº Pedido 651 Rastreio Pedido 651, agradecemos a preferência e adoraríamos receber sua avaliação, tendo qualquer dúvida estamos à disposição._x000a__x000a_Att_x000a_Tem tudo Shop"/>
  </r>
  <r>
    <s v="Pedido 27"/>
    <s v="CódRastreio18"/>
    <s v="CNBR012355955LG"/>
    <s v="BV"/>
    <d v="2024-11-09T00:00:00"/>
    <s v="Transp 1"/>
    <s v="-"/>
    <x v="1"/>
    <s v="Brasil"/>
    <d v="2024-10-26T00:00:00"/>
    <s v="Entregue"/>
    <x v="0"/>
    <s v="-"/>
    <x v="0"/>
    <s v="Olá Nome, _x000a_Identificamos que o Item Bomba d'agua foi entregue no dia 26/10/2024, referente ao pedido Nº Pedido 27 Rastreio Pedido 27, agradecemos a preferência e adoraríamos receber sua avaliação, tendo qualquer dúvida estamos à disposição._x000a__x000a_Att_x000a_Tem tudo Shop"/>
  </r>
  <r>
    <s v="Pedido 653"/>
    <s v="CódRastreio634"/>
    <s v="LP00703652566990"/>
    <s v="BV"/>
    <d v="2025-01-25T00:00:00"/>
    <s v="Transp 1"/>
    <s v="-"/>
    <x v="0"/>
    <s v="Brasil"/>
    <d v="2025-01-10T00:00:00"/>
    <s v="Entregue"/>
    <x v="0"/>
    <s v="-"/>
    <x v="0"/>
    <s v="Olá Nome, _x000a_Identificamos que o Item Ventilador Rosa foi entregue no dia 10/01/2025, referente ao pedido Nº Pedido 653 Rastreio Pedido 653, agradecemos a preferência e adoraríamos receber sua avaliação, tendo qualquer dúvida estamos à disposição._x000a__x000a_Att_x000a_Tem tudo Shop"/>
  </r>
  <r>
    <s v="Pedido 433"/>
    <s v="CódRastreio419"/>
    <n v="888670000493621"/>
    <s v="BV"/>
    <d v="2024-12-14T00:00:00"/>
    <s v="Transp 1"/>
    <s v="-"/>
    <x v="1"/>
    <s v="Brasil"/>
    <d v="2024-12-06T19:51:39"/>
    <s v="Entregue"/>
    <x v="0"/>
    <s v="-"/>
    <x v="0"/>
    <s v="Olá Nome, _x000a_Identificamos que o Item Mini Liquidificador foi entregue no dia 06/12/2024, referente ao pedido Nº Pedido 433 Rastreio Pedido 433, agradecemos a preferência e adoraríamos receber sua avaliação, tendo qualquer dúvida estamos à disposição._x000a__x000a_Att_x000a_Tem tudo Shop"/>
  </r>
  <r>
    <s v="Pedido 371"/>
    <s v="CódRastreio361"/>
    <n v="888670000311134"/>
    <s v="BV"/>
    <d v="2024-12-13T00:00:00"/>
    <s v="Transp 1"/>
    <s v="-"/>
    <x v="1"/>
    <s v="Brasil"/>
    <d v="2024-11-26T00:00:00"/>
    <s v="Entregue"/>
    <x v="0"/>
    <s v="-"/>
    <x v="0"/>
    <s v="Olá Nome, _x000a_Identificamos que o Item Suporte de Celular Preto foi entregue no dia 26/11/2024, referente ao pedido Nº Pedido 371 Rastreio Pedido 371, agradecemos a preferência e adoraríamos receber sua avaliação, tendo qualquer dúvida estamos à disposição._x000a__x000a_Att_x000a_Tem tudo Shop"/>
  </r>
  <r>
    <s v="Pedido 154"/>
    <s v="CódRastreio147"/>
    <s v="CNBR012597342LG"/>
    <s v="BV"/>
    <d v="2024-11-23T00:00:00"/>
    <s v="Transp 1"/>
    <s v="-"/>
    <x v="1"/>
    <s v="Brasil"/>
    <d v="2024-11-11T00:00:00"/>
    <s v="Entregue"/>
    <x v="0"/>
    <s v="-"/>
    <x v="0"/>
    <s v="Olá Nome, _x000a_Identificamos que o Item Balança foi entregue no dia 11/11/2024, referente ao pedido Nº Pedido 154 Rastreio Pedido 154, agradecemos a preferência e adoraríamos receber sua avaliação, tendo qualquer dúvida estamos à disposição._x000a__x000a_Att_x000a_Tem tudo Shop"/>
  </r>
  <r>
    <s v="Pedido 460"/>
    <s v="CódRastreio445"/>
    <s v="CNBR001038016RS"/>
    <s v="BV"/>
    <d v="2024-12-19T00:00:00"/>
    <s v="Transp 1"/>
    <s v="-"/>
    <x v="1"/>
    <s v="Brasil"/>
    <d v="2024-12-06T16:09:22"/>
    <s v="Entregue"/>
    <x v="0"/>
    <s v="-"/>
    <x v="0"/>
    <s v="Olá Nome, _x000a_Identificamos que o Item Adaptador Bluetooph foi entregue no dia 06/12/2024, referente ao pedido Nº Pedido 460 Rastreio Pedido 460, agradecemos a preferência e adoraríamos receber sua avaliação, tendo qualquer dúvida estamos à disposição._x000a__x000a_Att_x000a_Tem tudo Shop"/>
  </r>
  <r>
    <s v="Pedido 660"/>
    <s v="CódRastreio640"/>
    <s v="LP00703676141849"/>
    <s v="BV"/>
    <d v="2025-01-28T00:00:00"/>
    <s v="Transp 1"/>
    <s v="-"/>
    <x v="0"/>
    <s v="Brasil"/>
    <d v="2025-01-10T00:00:00"/>
    <s v="Entregue"/>
    <x v="0"/>
    <s v="Não dá a opção de entrar em contato com a cliente"/>
    <x v="0"/>
    <s v="Olá Nome, _x000a_Identificamos que o Item Ventilador Rosa foi entregue no dia 10/01/2025, referente ao pedido Nº Pedido 660 Rastreio Pedido 660, agradecemos a preferência e adoraríamos receber sua avaliação, tendo qualquer dúvida estamos à disposição._x000a__x000a_Att_x000a_Tem tudo Shop"/>
  </r>
  <r>
    <s v="Pedido 277"/>
    <s v="CódRastreio270"/>
    <s v="CNBR012764751LG"/>
    <s v="BV"/>
    <d v="2024-12-04T00:00:00"/>
    <s v="Transp 1"/>
    <s v="-"/>
    <x v="1"/>
    <s v="Brasil"/>
    <d v="2024-11-18T00:00:00"/>
    <s v="Entregue"/>
    <x v="0"/>
    <s v="-"/>
    <x v="0"/>
    <s v="Olá Nome, _x000a_Identificamos que o Item Suporte de Celular Branco foi entregue no dia 18/11/2024, referente ao pedido Nº Pedido 277 Rastreio Pedido 277, agradecemos a preferência e adoraríamos receber sua avaliação, tendo qualquer dúvida estamos à disposição._x000a__x000a_Att_x000a_Tem tudo Shop"/>
  </r>
  <r>
    <s v="Pedido 15"/>
    <s v="CódRastreio6"/>
    <s v="CNBR012333677LG"/>
    <s v="BV"/>
    <d v="2024-11-14T00:00:00"/>
    <s v="Transp 1"/>
    <s v="-"/>
    <x v="1"/>
    <s v="Brasil"/>
    <d v="2024-10-31T00:00:00"/>
    <s v="Entregue"/>
    <x v="0"/>
    <s v="-"/>
    <x v="0"/>
    <s v="Olá Nome, _x000a_Identificamos que o Item Bomba d'agua foi entregue no dia 31/10/2024, referente ao pedido Nº Pedido 15 Rastreio Pedido 15, agradecemos a preferência e adoraríamos receber sua avaliação, tendo qualquer dúvida estamos à disposição._x000a__x000a_Att_x000a_Tem tudo Shop"/>
  </r>
  <r>
    <s v="Pedido 646"/>
    <s v="CódRastreio627"/>
    <s v="CNBR013597936LG"/>
    <s v="BV"/>
    <d v="2025-01-21T00:00:00"/>
    <s v="Transp 1"/>
    <s v="-"/>
    <x v="1"/>
    <s v="Brasil"/>
    <d v="2025-01-10T00:00:00"/>
    <s v="Entregue"/>
    <x v="0"/>
    <s v="-"/>
    <x v="0"/>
    <s v="Olá Nome, _x000a_Identificamos que o Item Adaptador Bluetooph foi entregue no dia 10/01/2025, referente ao pedido Nº Pedido 646 Rastreio Pedido 646, agradecemos a preferência e adoraríamos receber sua avaliação, tendo qualquer dúvida estamos à disposição._x000a__x000a_Att_x000a_Tem tudo Shop"/>
  </r>
  <r>
    <s v="Pedido 648"/>
    <s v="CódRastreio629"/>
    <s v="CNBR013607721LG"/>
    <s v="BV"/>
    <d v="2025-01-21T00:00:00"/>
    <s v="Transp 1"/>
    <s v="-"/>
    <x v="1"/>
    <s v="Brasil"/>
    <d v="2025-01-10T00:00:00"/>
    <s v="Entregue"/>
    <x v="0"/>
    <s v="-"/>
    <x v="0"/>
    <s v="Olá Nome, _x000a_Identificamos que o Item Adaptador Bluetooph foi entregue no dia 10/01/2025, referente ao pedido Nº Pedido 648 Rastreio Pedido 648, agradecemos a preferência e adoraríamos receber sua avaliação, tendo qualquer dúvida estamos à disposição._x000a__x000a_Att_x000a_Tem tudo Shop"/>
  </r>
  <r>
    <s v="Pedido 662"/>
    <s v="CódRastreio642"/>
    <n v="3621049627699"/>
    <s v="BV"/>
    <d v="2025-01-28T00:00:00"/>
    <s v="Transp 1"/>
    <s v="-"/>
    <x v="1"/>
    <s v="Brasil"/>
    <d v="2025-01-12T00:00:00"/>
    <s v="Entregue"/>
    <x v="0"/>
    <s v="-"/>
    <x v="0"/>
    <s v="Olá Nome, _x000a_Identificamos que o Item Suporte de Celular Branco foi entregue no dia 12/01/2025, referente ao pedido Nº Pedido 662 Rastreio Pedido 662, agradecemos a preferência e adoraríamos receber sua avaliação, tendo qualquer dúvida estamos à disposição._x000a__x000a_Att_x000a_Tem tudo Shop"/>
  </r>
  <r>
    <s v="Pedido 664"/>
    <s v="CódRastreio644"/>
    <n v="3621049626573"/>
    <s v="BV"/>
    <d v="2025-01-28T00:00:00"/>
    <s v="Transp 1"/>
    <s v="-"/>
    <x v="1"/>
    <s v="Brasil"/>
    <d v="2025-01-14T00:00:00"/>
    <s v="Entregue"/>
    <x v="0"/>
    <s v="-"/>
    <x v="0"/>
    <s v="Olá Nome, _x000a_Identificamos que o Item Suporte de Celular Branco foi entregue no dia 14/01/2025, referente ao pedido Nº Pedido 664 Rastreio Pedido 664, agradecemos a preferência e adoraríamos receber sua avaliação, tendo qualquer dúvida estamos à disposição._x000a__x000a_Att_x000a_Tem tudo Shop"/>
  </r>
  <r>
    <s v="Pedido 666"/>
    <s v="CódRastreio646"/>
    <s v="LP00705935797267"/>
    <s v="BV"/>
    <d v="2025-01-22T00:00:00"/>
    <s v="Transp 1"/>
    <s v="-"/>
    <x v="0"/>
    <s v="Brasil"/>
    <d v="2025-01-10T00:00:00"/>
    <s v="Entregue"/>
    <x v="0"/>
    <s v="-"/>
    <x v="0"/>
    <s v="Olá Nome, _x000a_Identificamos que o Item Ventilador Rosa foi entregue no dia 10/01/2025, referente ao pedido Nº Pedido 666 Rastreio Pedido 666, agradecemos a preferência e adoraríamos receber sua avaliação, tendo qualquer dúvida estamos à disposição._x000a__x000a_Att_x000a_Tem tudo Shop"/>
  </r>
  <r>
    <s v="Pedido 667"/>
    <s v="CódRastreio647"/>
    <s v="LP00705179912183"/>
    <s v="BV"/>
    <d v="2025-01-22T00:00:00"/>
    <s v="Transp 1"/>
    <s v="-"/>
    <x v="0"/>
    <s v="Brasil"/>
    <d v="2025-01-13T00:00:00"/>
    <s v="Entregue"/>
    <x v="0"/>
    <s v="-"/>
    <x v="0"/>
    <s v="Olá Nome, _x000a_Identificamos que o Item Ventilador Rosa foi entregue no dia 13/01/2025, referente ao pedido Nº Pedido 667 Rastreio Pedido 667, agradecemos a preferência e adoraríamos receber sua avaliação, tendo qualquer dúvida estamos à disposição._x000a__x000a_Att_x000a_Tem tudo Shop"/>
  </r>
  <r>
    <s v="Pedido 89"/>
    <s v="CódRastreio82"/>
    <s v="CNBR012475180LG"/>
    <s v="BV"/>
    <d v="2024-11-14T00:00:00"/>
    <s v="Transp 1"/>
    <s v="-"/>
    <x v="1"/>
    <s v="Brasil"/>
    <d v="2024-10-31T00:00:00"/>
    <s v="Entregue"/>
    <x v="0"/>
    <s v="-"/>
    <x v="0"/>
    <s v="Olá Nome, _x000a_Identificamos que o Item Suporte de Celular Branco foi entregue no dia 31/10/2024, referente ao pedido Nº Pedido 89 Rastreio Pedido 89, agradecemos a preferência e adoraríamos receber sua avaliação, tendo qualquer dúvida estamos à disposição._x000a__x000a_Att_x000a_Tem tudo Shop"/>
  </r>
  <r>
    <s v="Pedido 670"/>
    <s v="CódRastreio650"/>
    <s v="LP00705154784086"/>
    <s v="BV"/>
    <d v="2025-01-22T00:00:00"/>
    <s v="Transp 1"/>
    <s v="-"/>
    <x v="0"/>
    <s v="Brasil"/>
    <d v="2025-01-14T00:00:00"/>
    <s v="Entregue"/>
    <x v="0"/>
    <s v="-"/>
    <x v="0"/>
    <s v="Olá Nome, _x000a_Identificamos que o Item Karaoke portátil foi entregue no dia 14/01/2025, referente ao pedido Nº Pedido 670 Rastreio Pedido 670, agradecemos a preferência e adoraríamos receber sua avaliação, tendo qualquer dúvida estamos à disposição._x000a__x000a_Att_x000a_Tem tudo Shop"/>
  </r>
  <r>
    <s v="Pedido 671"/>
    <s v="CódRastreio651"/>
    <s v="LP00704314721659"/>
    <s v="BV"/>
    <d v="2025-01-28T00:00:00"/>
    <s v="Transp 1"/>
    <s v="-"/>
    <x v="0"/>
    <s v="Brasil"/>
    <d v="2025-01-15T00:00:00"/>
    <s v="Entregue"/>
    <x v="0"/>
    <s v="-"/>
    <x v="0"/>
    <s v="Olá Nome, _x000a_Identificamos que o Item Ventilador Preto foi entregue no dia 15/01/2025, referente ao pedido Nº Pedido 671 Rastreio Pedido 671, agradecemos a preferência e adoraríamos receber sua avaliação, tendo qualquer dúvida estamos à disposição._x000a__x000a_Att_x000a_Tem tudo Shop"/>
  </r>
  <r>
    <s v="Pedido 672"/>
    <s v="CódRastreio652"/>
    <s v="LP00704355628715"/>
    <s v="BV"/>
    <d v="2025-01-28T00:00:00"/>
    <s v="Transp 1"/>
    <s v="-"/>
    <x v="0"/>
    <s v="Brasil"/>
    <d v="2025-01-14T00:00:00"/>
    <s v="Entregue"/>
    <x v="0"/>
    <s v="-"/>
    <x v="0"/>
    <s v="Olá Nome, _x000a_Identificamos que o Item Karaoke portátil foi entregue no dia 14/01/2025, referente ao pedido Nº Pedido 672 Rastreio Pedido 672, agradecemos a preferência e adoraríamos receber sua avaliação, tendo qualquer dúvida estamos à disposição._x000a__x000a_Att_x000a_Tem tudo Shop"/>
  </r>
  <r>
    <s v="Pedido 674"/>
    <s v="CódRastreio654"/>
    <s v="LP00704354704873"/>
    <s v="BV"/>
    <d v="2025-01-28T00:00:00"/>
    <s v="Transp 1"/>
    <s v="-"/>
    <x v="0"/>
    <s v="Brasil"/>
    <d v="2025-01-15T00:00:00"/>
    <s v="Entregue"/>
    <x v="0"/>
    <s v="-"/>
    <x v="0"/>
    <s v="Olá Nome, _x000a_Identificamos que o Item Ventilador Preto foi entregue no dia 15/01/2025, referente ao pedido Nº Pedido 674 Rastreio Pedido 674, agradecemos a preferência e adoraríamos receber sua avaliação, tendo qualquer dúvida estamos à disposição._x000a__x000a_Att_x000a_Tem tudo Shop"/>
  </r>
  <r>
    <s v="Pedido 675"/>
    <s v="CódRastreio655"/>
    <s v="LP00705926575922"/>
    <s v="BV"/>
    <d v="2025-01-22T00:00:00"/>
    <s v="Transp 1"/>
    <s v="-"/>
    <x v="0"/>
    <s v="Brasil"/>
    <d v="2025-01-13T00:00:00"/>
    <s v="Entregue"/>
    <x v="0"/>
    <s v="-"/>
    <x v="0"/>
    <s v="Olá Nome, _x000a_Identificamos que o Item Ventilador Rosa foi entregue no dia 13/01/2025, referente ao pedido Nº Pedido 675 Rastreio Pedido 675, agradecemos a preferência e adoraríamos receber sua avaliação, tendo qualquer dúvida estamos à disposição._x000a__x000a_Att_x000a_Tem tudo Shop"/>
  </r>
  <r>
    <s v="Pedido 676"/>
    <s v="CódRastreio656"/>
    <n v="888670000892481"/>
    <s v="BV"/>
    <d v="2025-01-28T00:00:00"/>
    <s v="Transp 1"/>
    <s v="-"/>
    <x v="1"/>
    <s v="Brasil"/>
    <d v="2025-01-11T00:00:00"/>
    <s v="Entregue"/>
    <x v="0"/>
    <s v="-"/>
    <x v="0"/>
    <s v="Olá Nome, _x000a_Identificamos que o Item Adaptador Bluetooph foi entregue no dia 11/01/2025, referente ao pedido Nº Pedido 676 Rastreio Pedido 676, agradecemos a preferência e adoraríamos receber sua avaliação, tendo qualquer dúvida estamos à disposição._x000a__x000a_Att_x000a_Tem tudo Shop"/>
  </r>
  <r>
    <s v="Pedido 678"/>
    <s v="CódRastreio658"/>
    <n v="888670000888977"/>
    <s v="BV"/>
    <d v="2025-01-29T00:00:00"/>
    <s v="Transp 1"/>
    <s v="-"/>
    <x v="1"/>
    <s v="Brasil"/>
    <d v="2025-01-14T00:00:00"/>
    <s v="Entregue"/>
    <x v="0"/>
    <s v="-"/>
    <x v="0"/>
    <s v="Olá Nome, _x000a_Identificamos que o Item Adaptador Bluetooph foi entregue no dia 14/01/2025, referente ao pedido Nº Pedido 678 Rastreio Pedido 678, agradecemos a preferência e adoraríamos receber sua avaliação, tendo qualquer dúvida estamos à disposição._x000a__x000a_Att_x000a_Tem tudo Shop"/>
  </r>
  <r>
    <s v="Pedido 679"/>
    <s v="CódRastreio659"/>
    <s v="LP00704374828702"/>
    <s v="BV"/>
    <d v="2025-01-29T00:00:00"/>
    <s v="Transp 1"/>
    <s v="-"/>
    <x v="0"/>
    <s v="Brasil"/>
    <d v="2025-01-15T00:00:00"/>
    <s v="Entregue"/>
    <x v="0"/>
    <s v="-"/>
    <x v="0"/>
    <s v="Olá Nome, _x000a_Identificamos que o Item Ventilador Rosa foi entregue no dia 15/01/2025, referente ao pedido Nº Pedido 679 Rastreio Pedido 679, agradecemos a preferência e adoraríamos receber sua avaliação, tendo qualquer dúvida estamos à disposição._x000a__x000a_Att_x000a_Tem tudo Shop"/>
  </r>
  <r>
    <s v="Pedido 683"/>
    <s v="CódRastreio663"/>
    <s v="LP00704407870088"/>
    <s v="BV"/>
    <d v="2025-01-29T00:00:00"/>
    <s v="Transp 1"/>
    <s v="-"/>
    <x v="0"/>
    <s v="Brasil"/>
    <d v="2025-01-15T00:00:00"/>
    <s v="Entregue"/>
    <x v="0"/>
    <s v="-"/>
    <x v="0"/>
    <s v="Olá Nome, _x000a_Identificamos que o Item Ventilador Rosa foi entregue no dia 15/01/2025, referente ao pedido Nº Pedido 683 Rastreio Pedido 683, agradecemos a preferência e adoraríamos receber sua avaliação, tendo qualquer dúvida estamos à disposição._x000a__x000a_Att_x000a_Tem tudo Shop"/>
  </r>
  <r>
    <s v="Pedido 657"/>
    <s v="CódRastreio637"/>
    <n v="8196495684770890"/>
    <s v="BV"/>
    <d v="2025-01-22T00:00:00"/>
    <s v="Transp 1"/>
    <s v="-"/>
    <x v="0"/>
    <s v="Brasil"/>
    <d v="2025-01-09T00:00:00"/>
    <s v="Entregue"/>
    <x v="0"/>
    <s v="Enviado Cód Temporário"/>
    <x v="0"/>
    <s v="Olá Nome, _x000a_Identificamos que o Item Ventilador de teto foi entregue no dia 09/01/2025, referente ao pedido Nº Pedido 657 Rastreio Pedido 657, agradecemos a preferência e adoraríamos receber sua avaliação, tendo qualquer dúvida estamos à disposição._x000a__x000a_Att_x000a_Tem tudo Shop"/>
  </r>
  <r>
    <s v="Pedido 663"/>
    <s v="CódRastreio643"/>
    <n v="888670000922353"/>
    <s v="BV"/>
    <d v="2025-01-28T00:00:00"/>
    <s v="Transp 1"/>
    <s v="-"/>
    <x v="1"/>
    <s v="Brasil"/>
    <d v="2025-01-13T00:00:00"/>
    <s v="Entregue"/>
    <x v="0"/>
    <s v="-"/>
    <x v="0"/>
    <s v="Olá Nome, _x000a_Identificamos que o Item Mini Liquidificador foi entregue no dia 13/01/2025, referente ao pedido Nº Pedido 663 Rastreio Pedido 663, agradecemos a preferência e adoraríamos receber sua avaliação, tendo qualquer dúvida estamos à disposição._x000a__x000a_Att_x000a_Tem tudo Shop"/>
  </r>
  <r>
    <s v="Pedido 669"/>
    <s v="CódRastreio649"/>
    <n v="888670000930159"/>
    <s v="BV"/>
    <d v="2025-01-16T00:00:00"/>
    <s v="Transp 1"/>
    <s v="-"/>
    <x v="1"/>
    <s v="Brasil"/>
    <d v="2025-01-10T00:00:00"/>
    <s v="Entregue"/>
    <x v="0"/>
    <s v="-"/>
    <x v="0"/>
    <s v="Olá Nome, _x000a_Identificamos que o Item Mini Liquidificador foi entregue no dia 10/01/2025, referente ao pedido Nº Pedido 669 Rastreio Pedido 669, agradecemos a preferência e adoraríamos receber sua avaliação, tendo qualquer dúvida estamos à disposição._x000a__x000a_Att_x000a_Tem tudo Shop"/>
  </r>
  <r>
    <s v="Pedido 673"/>
    <s v="CódRastreio653"/>
    <s v="CNBR013637238LG"/>
    <s v="BV"/>
    <d v="2025-01-18T00:00:00"/>
    <s v="Transp 1"/>
    <s v="-"/>
    <x v="1"/>
    <s v="Brasil"/>
    <d v="2025-01-10T00:00:00"/>
    <s v="Entregue"/>
    <x v="0"/>
    <s v="-"/>
    <x v="0"/>
    <s v="Olá Nome, _x000a_Identificamos que o Item Mini Liquidificador foi entregue no dia 10/01/2025, referente ao pedido Nº Pedido 673 Rastreio Pedido 673, agradecemos a preferência e adoraríamos receber sua avaliação, tendo qualquer dúvida estamos à disposição._x000a__x000a_Att_x000a_Tem tudo Shop"/>
  </r>
  <r>
    <s v="Pedido 685"/>
    <s v="CódRastreio665"/>
    <s v="LP00706214719077"/>
    <s v="BV"/>
    <d v="2025-01-23T00:00:00"/>
    <s v="Transp 1"/>
    <s v="-"/>
    <x v="0"/>
    <s v="Brasil"/>
    <d v="2025-01-10T00:00:00"/>
    <s v="Entregue"/>
    <x v="0"/>
    <s v="-"/>
    <x v="0"/>
    <s v="Olá Nome, _x000a_Identificamos que o Item Ventilador Preto foi entregue no dia 10/01/2025, referente ao pedido Nº Pedido 685 Rastreio Pedido 685, agradecemos a preferência e adoraríamos receber sua avaliação, tendo qualquer dúvida estamos à disposição._x000a__x000a_Att_x000a_Tem tudo Shop"/>
  </r>
  <r>
    <s v="Pedido 688"/>
    <s v="CódRastreio668"/>
    <n v="3621049627865"/>
    <s v="BV"/>
    <d v="2025-01-30T00:00:00"/>
    <s v="Transp 1"/>
    <s v="-"/>
    <x v="1"/>
    <s v="Brasil"/>
    <d v="2025-01-15T00:00:00"/>
    <s v="Entregue"/>
    <x v="0"/>
    <s v="-"/>
    <x v="0"/>
    <s v="Olá Nome, _x000a_Identificamos que o Item Suporte de Celular Branco foi entregue no dia 15/01/2025, referente ao pedido Nº Pedido 688 Rastreio Pedido 688, agradecemos a preferência e adoraríamos receber sua avaliação, tendo qualquer dúvida estamos à disposição._x000a__x000a_Att_x000a_Tem tudo Shop"/>
  </r>
  <r>
    <s v="Pedido 689"/>
    <s v="CódRastreio669"/>
    <s v="LP00704551025539"/>
    <s v="BV"/>
    <d v="2025-01-30T00:00:00"/>
    <s v="Transp 1"/>
    <s v="-"/>
    <x v="0"/>
    <s v="Brasil"/>
    <d v="2025-01-08T00:00:00"/>
    <s v="Entregue"/>
    <x v="0"/>
    <s v="Aguardando reembolso"/>
    <x v="0"/>
    <s v="Olá Nome, _x000a_Identificamos que o Item Ventilador Rosa foi entregue no dia 08/01/2025, referente ao pedido Nº Pedido 689 Rastreio Pedido 689, agradecemos a preferência e adoraríamos receber sua avaliação, tendo qualquer dúvida estamos à disposição._x000a__x000a_Att_x000a_Tem tudo Shop"/>
  </r>
  <r>
    <s v="Pedido 690"/>
    <s v="CódRastreio670"/>
    <n v="3621049628252"/>
    <s v="BV"/>
    <d v="2025-01-30T00:00:00"/>
    <s v="Transp 1"/>
    <s v="-"/>
    <x v="1"/>
    <s v="Brasil"/>
    <d v="2025-01-15T00:00:00"/>
    <s v="Entregue"/>
    <x v="0"/>
    <s v="-"/>
    <x v="0"/>
    <s v="Olá Nome, _x000a_Identificamos que o Item Adaptador Bluetooph foi entregue no dia 15/01/2025, referente ao pedido Nº Pedido 690 Rastreio Pedido 690, agradecemos a preferência e adoraríamos receber sua avaliação, tendo qualquer dúvida estamos à disposição._x000a__x000a_Att_x000a_Tem tudo Shop"/>
  </r>
  <r>
    <s v="Pedido 696"/>
    <s v="CódRastreio676"/>
    <n v="888670000930168"/>
    <s v="BV"/>
    <d v="2025-01-18T00:00:00"/>
    <s v="Transp 1"/>
    <s v="-"/>
    <x v="1"/>
    <s v="Brasil"/>
    <d v="2025-01-10T00:00:00"/>
    <s v="Entregue"/>
    <x v="0"/>
    <s v="-"/>
    <x v="0"/>
    <s v="Olá Nome, _x000a_Identificamos que o Item Mini Liquidificador foi entregue no dia 10/01/2025, referente ao pedido Nº Pedido 696 Rastreio Pedido 696, agradecemos a preferência e adoraríamos receber sua avaliação, tendo qualquer dúvida estamos à disposição._x000a__x000a_Att_x000a_Tem tudo Shop"/>
  </r>
  <r>
    <s v="Pedido 697"/>
    <s v="CódRastreio677"/>
    <n v="888670000928016"/>
    <s v="BV"/>
    <d v="2025-01-24T00:00:00"/>
    <s v="Transp 1"/>
    <s v="-"/>
    <x v="1"/>
    <s v="Brasil"/>
    <d v="2025-01-11T00:00:00"/>
    <s v="Entregue"/>
    <x v="0"/>
    <s v="-"/>
    <x v="0"/>
    <s v="Olá Nome, _x000a_Identificamos que o Item Adaptador Bluetooph foi entregue no dia 11/01/2025, referente ao pedido Nº Pedido 697 Rastreio Pedido 697, agradecemos a preferência e adoraríamos receber sua avaliação, tendo qualquer dúvida estamos à disposição._x000a__x000a_Att_x000a_Tem tudo Shop"/>
  </r>
  <r>
    <s v="Pedido 698"/>
    <s v="CódRastreio678"/>
    <s v="LP00706260102497"/>
    <s v="BV"/>
    <d v="2025-01-24T00:00:00"/>
    <s v="Transp 1"/>
    <s v="-"/>
    <x v="0"/>
    <s v="Brasil"/>
    <d v="2025-01-10T00:00:00"/>
    <s v="Entregue"/>
    <x v="0"/>
    <s v="-"/>
    <x v="0"/>
    <s v="Olá Nome, _x000a_Identificamos que o Item Ventilador Rosa foi entregue no dia 10/01/2025, referente ao pedido Nº Pedido 698 Rastreio Pedido 698, agradecemos a preferência e adoraríamos receber sua avaliação, tendo qualquer dúvida estamos à disposição._x000a__x000a_Att_x000a_Tem tudo Shop"/>
  </r>
  <r>
    <s v="Pedido 700"/>
    <s v="CódRastreio679"/>
    <n v="888670000927740"/>
    <s v="BV"/>
    <d v="2025-01-30T00:00:00"/>
    <s v="Transp 1"/>
    <s v="-"/>
    <x v="1"/>
    <s v="Brasil"/>
    <d v="2025-01-11T00:00:00"/>
    <s v="Entregue"/>
    <x v="0"/>
    <s v="-"/>
    <x v="0"/>
    <s v="Olá Nome, _x000a_Identificamos que o Item Mini Liquidificador foi entregue no dia 11/01/2025, referente ao pedido Nº Pedido 700 Rastreio Pedido 700, agradecemos a preferência e adoraríamos receber sua avaliação, tendo qualquer dúvida estamos à disposição._x000a__x000a_Att_x000a_Tem tudo Shop"/>
  </r>
  <r>
    <s v="Pedido 701"/>
    <s v="CódRastreio680"/>
    <n v="888670000942437"/>
    <s v="BV"/>
    <d v="2025-01-18T00:00:00"/>
    <s v="Transp 1"/>
    <s v="-"/>
    <x v="1"/>
    <s v="Brasil"/>
    <d v="2025-01-10T00:00:00"/>
    <s v="Entregue"/>
    <x v="0"/>
    <s v="-"/>
    <x v="0"/>
    <s v="Olá Nome, _x000a_Identificamos que o Item Adaptador Bluetooph foi entregue no dia 10/01/2025, referente ao pedido Nº Pedido 701 Rastreio Pedido 701, agradecemos a preferência e adoraríamos receber sua avaliação, tendo qualquer dúvida estamos à disposição._x000a__x000a_Att_x000a_Tem tudo Shop"/>
  </r>
  <r>
    <s v="Pedido 703"/>
    <s v="CódRastreio682"/>
    <n v="3621049629021"/>
    <s v="BV"/>
    <d v="2025-01-22T00:00:00"/>
    <s v="Transp 1"/>
    <s v="-"/>
    <x v="1"/>
    <s v="Brasil"/>
    <d v="2025-01-10T00:00:00"/>
    <s v="Entregue"/>
    <x v="0"/>
    <s v="-"/>
    <x v="0"/>
    <s v="Olá Nome, _x000a_Identificamos que o Item Garrafa Termica foi entregue no dia 10/01/2025, referente ao pedido Nº Pedido 703 Rastreio Pedido 703, agradecemos a preferência e adoraríamos receber sua avaliação, tendo qualquer dúvida estamos à disposição._x000a__x000a_Att_x000a_Tem tudo Shop"/>
  </r>
  <r>
    <s v="Pedido 704"/>
    <s v="CódRastreio683"/>
    <s v="LP00704934616847"/>
    <s v="BV"/>
    <d v="2025-01-24T00:00:00"/>
    <s v="Transp 1"/>
    <s v="-"/>
    <x v="0"/>
    <s v="Brasil"/>
    <d v="2025-01-11T00:00:00"/>
    <s v="Entregue"/>
    <x v="0"/>
    <s v="-"/>
    <x v="0"/>
    <s v="Olá Nome, _x000a_Identificamos que o Item Ventilador Preto foi entregue no dia 11/01/2025, referente ao pedido Nº Pedido 704 Rastreio Pedido 704, agradecemos a preferência e adoraríamos receber sua avaliação, tendo qualquer dúvida estamos à disposição._x000a__x000a_Att_x000a_Tem tudo Shop"/>
  </r>
  <r>
    <s v="Pedido 705"/>
    <s v="CódRastreio684"/>
    <s v="CNBR013625963LG"/>
    <s v="BV"/>
    <d v="2025-01-24T00:00:00"/>
    <s v="Transp 1"/>
    <s v="-"/>
    <x v="1"/>
    <s v="Brasil"/>
    <d v="2025-01-13T00:00:00"/>
    <s v="Entregue"/>
    <x v="0"/>
    <s v="-"/>
    <x v="0"/>
    <s v="Olá Nome, _x000a_Identificamos que o Item Adaptador Bluetooph foi entregue no dia 13/01/2025, referente ao pedido Nº Pedido 705 Rastreio Pedido 705, agradecemos a preferência e adoraríamos receber sua avaliação, tendo qualquer dúvida estamos à disposição._x000a__x000a_Att_x000a_Tem tudo Shop"/>
  </r>
  <r>
    <s v="Pedido 707"/>
    <s v="CódRastreio686"/>
    <n v="888670000937699"/>
    <s v="BV"/>
    <d v="2025-01-24T00:00:00"/>
    <s v="Transp 1"/>
    <s v="-"/>
    <x v="1"/>
    <s v="Brasil"/>
    <d v="2025-01-15T00:00:00"/>
    <s v="Entregue"/>
    <x v="0"/>
    <s v="-"/>
    <x v="0"/>
    <s v="Olá Nome, _x000a_Identificamos que o Item Suporte de Celular Branco foi entregue no dia 15/01/2025, referente ao pedido Nº Pedido 707 Rastreio Pedido 707, agradecemos a preferência e adoraríamos receber sua avaliação, tendo qualquer dúvida estamos à disposição._x000a__x000a_Att_x000a_Tem tudo Shop"/>
  </r>
  <r>
    <s v="Pedido 708"/>
    <s v="CódRastreio687"/>
    <s v="CNBR013659030LG"/>
    <s v="BV"/>
    <d v="2025-01-18T00:00:00"/>
    <s v="Transp 1"/>
    <s v="-"/>
    <x v="1"/>
    <s v="Brasil"/>
    <d v="2025-01-10T00:00:00"/>
    <s v="Entregue"/>
    <x v="0"/>
    <s v="-"/>
    <x v="0"/>
    <s v="Olá Nome, _x000a_Identificamos que o Item Adaptador Bluetooph foi entregue no dia 10/01/2025, referente ao pedido Nº Pedido 708 Rastreio Pedido 708, agradecemos a preferência e adoraríamos receber sua avaliação, tendo qualquer dúvida estamos à disposição._x000a__x000a_Att_x000a_Tem tudo Shop"/>
  </r>
  <r>
    <s v="Pedido 709"/>
    <s v="CódRastreio688"/>
    <n v="888670000933982"/>
    <s v="BV"/>
    <d v="2025-01-24T00:00:00"/>
    <s v="Transp 1"/>
    <s v="-"/>
    <x v="1"/>
    <s v="Brasil"/>
    <d v="2025-01-13T00:00:00"/>
    <s v="Entregue"/>
    <x v="0"/>
    <s v="-"/>
    <x v="0"/>
    <s v="Olá Nome, _x000a_Identificamos que o Item Adaptador Bluetooph foi entregue no dia 13/01/2025, referente ao pedido Nº Pedido 709 Rastreio Pedido 709, agradecemos a preferência e adoraríamos receber sua avaliação, tendo qualquer dúvida estamos à disposição._x000a__x000a_Att_x000a_Tem tudo Shop"/>
  </r>
  <r>
    <s v="Pedido 710"/>
    <s v="CódRastreio689"/>
    <s v="LP00704937755125"/>
    <s v="BV"/>
    <d v="2025-01-24T00:00:00"/>
    <s v="Transp 1"/>
    <s v="-"/>
    <x v="0"/>
    <s v="Brasil"/>
    <d v="2025-01-13T00:00:00"/>
    <s v="Entregue"/>
    <x v="0"/>
    <s v="-"/>
    <x v="0"/>
    <s v="Olá Nome, _x000a_Identificamos que o Item Ventilador Preto foi entregue no dia 13/01/2025, referente ao pedido Nº Pedido 710 Rastreio Pedido 710, agradecemos a preferência e adoraríamos receber sua avaliação, tendo qualquer dúvida estamos à disposição._x000a__x000a_Att_x000a_Tem tudo Shop"/>
  </r>
  <r>
    <s v="Pedido 712"/>
    <s v="CódRastreio691"/>
    <n v="888670000942159"/>
    <s v="BV"/>
    <d v="2025-01-30T00:00:00"/>
    <s v="Transp 1"/>
    <s v="-"/>
    <x v="1"/>
    <s v="Brasil"/>
    <d v="2025-01-13T00:00:00"/>
    <s v="Entregue"/>
    <x v="0"/>
    <s v="-"/>
    <x v="0"/>
    <s v="Olá Nome, _x000a_Identificamos que o Item Bomba d'agua foi entregue no dia 13/01/2025, referente ao pedido Nº Pedido 712 Rastreio Pedido 712, agradecemos a preferência e adoraríamos receber sua avaliação, tendo qualquer dúvida estamos à disposição._x000a__x000a_Att_x000a_Tem tudo Shop"/>
  </r>
  <r>
    <s v="Pedido 713"/>
    <s v="CódRastreio692"/>
    <s v="CNBR013651212LG"/>
    <s v="BV"/>
    <d v="2025-01-30T00:00:00"/>
    <s v="Transp 1"/>
    <s v="-"/>
    <x v="1"/>
    <s v="Brasil"/>
    <d v="2025-01-13T00:00:00"/>
    <s v="Entregue"/>
    <x v="0"/>
    <s v="-"/>
    <x v="0"/>
    <s v="Olá Nome, _x000a_Identificamos que o Item Bomba d'agua foi entregue no dia 13/01/2025, referente ao pedido Nº Pedido 713 Rastreio Pedido 713, agradecemos a preferência e adoraríamos receber sua avaliação, tendo qualquer dúvida estamos à disposição._x000a__x000a_Att_x000a_Tem tudo Shop"/>
  </r>
  <r>
    <s v="Pedido 714"/>
    <s v="CódRastreio693"/>
    <s v="CNBR013647297LG"/>
    <s v="BV"/>
    <d v="2025-01-24T00:00:00"/>
    <s v="Transp 1"/>
    <s v="-"/>
    <x v="1"/>
    <s v="Brasil"/>
    <d v="2025-01-10T00:00:00"/>
    <s v="Entregue"/>
    <x v="0"/>
    <s v="-"/>
    <x v="0"/>
    <s v="Olá Nome, _x000a_Identificamos que o Item Bomba d'agua foi entregue no dia 10/01/2025, referente ao pedido Nº Pedido 714 Rastreio Pedido 714, agradecemos a preferência e adoraríamos receber sua avaliação, tendo qualquer dúvida estamos à disposição._x000a__x000a_Att_x000a_Tem tudo Shop"/>
  </r>
  <r>
    <s v="Pedido 715"/>
    <s v="CódRastreio694"/>
    <n v="888670000937241"/>
    <s v="BV"/>
    <d v="2025-01-30T00:00:00"/>
    <s v="Transp 1"/>
    <s v="-"/>
    <x v="1"/>
    <s v="Brasil"/>
    <d v="2025-01-13T00:00:00"/>
    <s v="Entregue"/>
    <x v="0"/>
    <s v="-"/>
    <x v="0"/>
    <s v="Olá Nome, _x000a_Identificamos que o Item Bomba d'agua foi entregue no dia 13/01/2025, referente ao pedido Nº Pedido 715 Rastreio Pedido 715, agradecemos a preferência e adoraríamos receber sua avaliação, tendo qualquer dúvida estamos à disposição._x000a__x000a_Att_x000a_Tem tudo Shop"/>
  </r>
  <r>
    <s v="Pedido 716"/>
    <s v="CódRastreio695"/>
    <n v="888670000964098"/>
    <s v="BV"/>
    <d v="2025-01-30T00:00:00"/>
    <s v="Transp 1"/>
    <s v="-"/>
    <x v="1"/>
    <s v="Brasil"/>
    <d v="2025-01-13T00:00:00"/>
    <s v="Entregue"/>
    <x v="0"/>
    <s v="-"/>
    <x v="0"/>
    <s v="Olá Nome, _x000a_Identificamos que o Item Bomba d'agua foi entregue no dia 13/01/2025, referente ao pedido Nº Pedido 716 Rastreio Pedido 716, agradecemos a preferência e adoraríamos receber sua avaliação, tendo qualquer dúvida estamos à disposição._x000a__x000a_Att_x000a_Tem tudo Shop"/>
  </r>
  <r>
    <s v="Pedido 717"/>
    <s v="CódRastreio696"/>
    <n v="888670000933878"/>
    <s v="BV"/>
    <d v="2025-01-24T00:00:00"/>
    <s v="Transp 1"/>
    <s v="-"/>
    <x v="1"/>
    <s v="Brasil"/>
    <d v="2025-01-15T00:00:00"/>
    <s v="Entregue"/>
    <x v="0"/>
    <s v="-"/>
    <x v="0"/>
    <s v="Olá Nome, _x000a_Identificamos que o Item Bomba d'agua foi entregue no dia 15/01/2025, referente ao pedido Nº Pedido 717 Rastreio Pedido 717, agradecemos a preferência e adoraríamos receber sua avaliação, tendo qualquer dúvida estamos à disposição._x000a__x000a_Att_x000a_Tem tudo Shop"/>
  </r>
  <r>
    <s v="Pedido 718"/>
    <s v="CódRastreio697"/>
    <s v="CNBR013647323LG"/>
    <s v="BV"/>
    <d v="2025-01-30T00:00:00"/>
    <s v="Transp 1"/>
    <s v="-"/>
    <x v="1"/>
    <s v="Brasil"/>
    <d v="2025-01-15T00:00:00"/>
    <s v="Entregue"/>
    <x v="0"/>
    <s v="-"/>
    <x v="0"/>
    <s v="Olá Nome, _x000a_Identificamos que o Item Bomba d'agua foi entregue no dia 15/01/2025, referente ao pedido Nº Pedido 718 Rastreio Pedido 718, agradecemos a preferência e adoraríamos receber sua avaliação, tendo qualquer dúvida estamos à disposição._x000a__x000a_Att_x000a_Tem tudo Shop"/>
  </r>
  <r>
    <s v="Pedido 719"/>
    <s v="CódRastreio698"/>
    <s v="CNBR013630654LG"/>
    <s v="BV"/>
    <d v="2025-01-30T00:00:00"/>
    <s v="Transp 1"/>
    <s v="-"/>
    <x v="1"/>
    <s v="Brasil"/>
    <d v="2025-01-15T00:00:00"/>
    <s v="Entregue"/>
    <x v="0"/>
    <s v="-"/>
    <x v="0"/>
    <s v="Olá Nome, _x000a_Identificamos que o Item Bomba d'agua foi entregue no dia 15/01/2025, referente ao pedido Nº Pedido 719 Rastreio Pedido 719, agradecemos a preferência e adoraríamos receber sua avaliação, tendo qualquer dúvida estamos à disposição._x000a__x000a_Att_x000a_Tem tudo Shop"/>
  </r>
  <r>
    <s v="Pedido 720"/>
    <s v="CódRastreio699"/>
    <s v="LP00704920079865"/>
    <s v="BV"/>
    <d v="2025-01-24T00:00:00"/>
    <s v="Transp 1"/>
    <s v="-"/>
    <x v="0"/>
    <s v="Brasil"/>
    <d v="2025-01-11T00:00:00"/>
    <s v="Entregue"/>
    <x v="0"/>
    <s v="-"/>
    <x v="0"/>
    <s v="Olá Nome, _x000a_Identificamos que o Item Ventilador Rosa foi entregue no dia 11/01/2025, referente ao pedido Nº Pedido 720 Rastreio Pedido 720, agradecemos a preferência e adoraríamos receber sua avaliação, tendo qualquer dúvida estamos à disposição._x000a__x000a_Att_x000a_Tem tudo Shop"/>
  </r>
  <r>
    <s v="Pedido 733"/>
    <s v="CódRastreio710"/>
    <s v="CNBR013668884LG"/>
    <s v="BV"/>
    <d v="2025-01-23T00:00:00"/>
    <s v="Transp 1"/>
    <s v="-"/>
    <x v="1"/>
    <s v="Brasil"/>
    <d v="2025-01-16T00:00:00"/>
    <s v="Entregue"/>
    <x v="0"/>
    <s v="-"/>
    <x v="0"/>
    <s v="Olá Nome, _x000a_Identificamos que o Item Adaptador Bluetooph foi entregue no dia 16/01/2025, referente ao pedido Nº Pedido 733 Rastreio Pedido 733, agradecemos a preferência e adoraríamos receber sua avaliação, tendo qualquer dúvida estamos à disposição._x000a__x000a_Att_x000a_Tem tudo Shop"/>
  </r>
  <r>
    <s v="Pedido 742"/>
    <s v="CódRastreio719"/>
    <s v="CNBR00074714HB"/>
    <s v="BV"/>
    <d v="2025-01-22T00:00:00"/>
    <s v="Transp 1"/>
    <s v="-"/>
    <x v="1"/>
    <s v="Brasil"/>
    <d v="2025-01-14T00:00:00"/>
    <s v="Entregue"/>
    <x v="0"/>
    <s v="-"/>
    <x v="0"/>
    <s v="Olá Nome, _x000a_Identificamos que o Item Copo Termico foi entregue no dia 14/01/2025, referente ao pedido Nº Pedido 742 Rastreio Pedido 742, agradecemos a preferência e adoraríamos receber sua avaliação, tendo qualquer dúvida estamos à disposição._x000a__x000a_Att_x000a_Tem tudo Shop"/>
  </r>
  <r>
    <s v="Pedido 744"/>
    <s v="CódRastreio721"/>
    <s v="CNBR013663895LG"/>
    <s v="BV"/>
    <d v="2025-01-22T00:00:00"/>
    <s v="Transp 1"/>
    <s v="-"/>
    <x v="1"/>
    <s v="Brasil"/>
    <d v="2025-01-14T00:00:00"/>
    <s v="Entregue"/>
    <x v="0"/>
    <s v="-"/>
    <x v="0"/>
    <s v="Olá Nome, _x000a_Identificamos que o Item Adaptador Bluetooph foi entregue no dia 14/01/2025, referente ao pedido Nº Pedido 744 Rastreio Pedido 744, agradecemos a preferência e adoraríamos receber sua avaliação, tendo qualquer dúvida estamos à disposição._x000a__x000a_Att_x000a_Tem tudo Shop"/>
  </r>
  <r>
    <s v="Pedido 780"/>
    <s v="CódRastreio757"/>
    <s v="LP00708906880287"/>
    <s v="BV"/>
    <d v="2025-02-11T00:00:00"/>
    <s v="Transp 1"/>
    <s v="-"/>
    <x v="0"/>
    <s v="Brasil"/>
    <d v="2025-02-06T00:00:00"/>
    <s v="Entregue"/>
    <x v="0"/>
    <s v="-"/>
    <x v="0"/>
    <s v="Olá Nome, _x000a_Identificamos que o Item Ventilador Preto foi entregue no dia 06/02/2025, referente ao pedido Nº Pedido 780 Rastreio Pedido 780, agradecemos a preferência e adoraríamos receber sua avaliação, tendo qualquer dúvida estamos à disposição._x000a__x000a_Att_x000a_Tem tudo Shop"/>
  </r>
  <r>
    <s v="Pedido 781"/>
    <s v="CódRastreio758"/>
    <s v="LP00709720370415"/>
    <s v="BV"/>
    <d v="2025-02-05T00:00:00"/>
    <s v="Transp 1"/>
    <s v="-"/>
    <x v="0"/>
    <s v="Brasil"/>
    <d v="2025-02-01T00:00:00"/>
    <s v="Entregue"/>
    <x v="0"/>
    <s v="-"/>
    <x v="0"/>
    <s v="Olá Nome, _x000a_Identificamos que o Item Ventilador Preto foi entregue no dia 01/02/2025, referente ao pedido Nº Pedido 781 Rastreio Pedido 781, agradecemos a preferência e adoraríamos receber sua avaliação, tendo qualquer dúvida estamos à disposição._x000a__x000a_Att_x000a_Tem tudo Shop"/>
  </r>
  <r>
    <s v="Pedido 782"/>
    <s v="CódRastreio759"/>
    <s v="CNBR013748812LG"/>
    <s v="BV"/>
    <d v="2025-02-05T00:00:00"/>
    <s v="Transp 1"/>
    <s v="-"/>
    <x v="1"/>
    <s v="Brasil"/>
    <d v="2025-02-10T00:00:00"/>
    <s v="Entregue"/>
    <x v="0"/>
    <s v="Cliente Acionado"/>
    <x v="1"/>
    <s v="Olá Nome, _x000a_Identificamos que o Item Mini Liquidificador foi entregue no dia 10/02/2025, referente ao pedido Nº Pedido 782 Rastreio Pedido 782, agradecemos a preferência e adoraríamos receber sua avaliação, tendo qualquer dúvida estamos à disposição._x000a__x000a_Att_x000a_Tem tudo Shop"/>
  </r>
  <r>
    <s v="Pedido 783"/>
    <s v="CódRastreio760"/>
    <s v="LP00709701387691"/>
    <s v="BV"/>
    <d v="2025-02-06T00:00:00"/>
    <s v="Transp 1"/>
    <s v="-"/>
    <x v="0"/>
    <s v="Brasil"/>
    <d v="2025-02-07T00:00:00"/>
    <s v="Entregue"/>
    <x v="0"/>
    <s v="-"/>
    <x v="1"/>
    <s v="Olá Nome, _x000a_Identificamos que o Item Ventilador Preto foi entregue no dia 07/02/2025, referente ao pedido Nº Pedido 783 Rastreio Pedido 783, agradecemos a preferência e adoraríamos receber sua avaliação, tendo qualquer dúvida estamos à disposição._x000a__x000a_Att_x000a_Tem tudo Shop"/>
  </r>
  <r>
    <s v="Pedido 785"/>
    <s v="CódRastreio762"/>
    <n v="3621049638946"/>
    <s v="BV"/>
    <d v="2025-02-06T00:00:00"/>
    <s v="Transp 1"/>
    <s v="-"/>
    <x v="1"/>
    <s v="Brasil"/>
    <d v="2025-01-28T00:00:00"/>
    <s v="Entregue"/>
    <x v="0"/>
    <s v="-"/>
    <x v="0"/>
    <s v="Olá Nome, _x000a_Identificamos que o Item Mini Liquidificador foi entregue no dia 28/01/2025, referente ao pedido Nº Pedido 785 Rastreio Pedido 785, agradecemos a preferência e adoraríamos receber sua avaliação, tendo qualquer dúvida estamos à disposição._x000a__x000a_Att_x000a_Tem tudo Shop"/>
  </r>
  <r>
    <s v="Pedido 786"/>
    <s v="CódRastreio763"/>
    <s v="LP00708910444413"/>
    <s v="BV"/>
    <d v="2025-02-20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786 Rastreio Pedido 786, agradecemos a preferência e adoraríamos receber sua avaliação, tendo qualquer dúvida estamos à disposição._x000a__x000a_Att_x000a_Tem tudo Shop"/>
  </r>
  <r>
    <s v="Pedido 787"/>
    <s v="CódRastreio764"/>
    <n v="888670001135152"/>
    <s v="BV"/>
    <d v="2025-02-13T00:00:00"/>
    <s v="Transp 1"/>
    <s v="-"/>
    <x v="1"/>
    <s v="Brasil"/>
    <d v="2025-01-30T00:00:00"/>
    <s v="Entregue"/>
    <x v="0"/>
    <s v="-"/>
    <x v="0"/>
    <s v="Olá Nome, _x000a_Identificamos que o Item Mini Liquidificador foi entregue no dia 30/01/2025, referente ao pedido Nº Pedido 787 Rastreio Pedido 787, agradecemos a preferência e adoraríamos receber sua avaliação, tendo qualquer dúvida estamos à disposição._x000a__x000a_Att_x000a_Tem tudo Shop"/>
  </r>
  <r>
    <s v="Pedido 788"/>
    <s v="CódRastreio765"/>
    <s v="LP00708935506627"/>
    <s v="BV"/>
    <d v="2025-02-07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788 Rastreio Pedido 788, agradecemos a preferência e adoraríamos receber sua avaliação, tendo qualquer dúvida estamos à disposição._x000a__x000a_Att_x000a_Tem tudo Shop"/>
  </r>
  <r>
    <s v="Pedido 789"/>
    <s v="CódRastreio766"/>
    <s v="LP00709751793179"/>
    <s v="BV"/>
    <d v="2025-02-13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789 Rastreio Pedido 789, agradecemos a preferência e adoraríamos receber sua avaliação, tendo qualquer dúvida estamos à disposição._x000a__x000a_Att_x000a_Tem tudo Shop"/>
  </r>
  <r>
    <s v="Pedido 790"/>
    <s v="CódRastreio767"/>
    <s v="LP00710546599993"/>
    <s v="BV"/>
    <d v="2025-02-07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790 Rastreio Pedido 790, agradecemos a preferência e adoraríamos receber sua avaliação, tendo qualquer dúvida estamos à disposição._x000a__x000a_Att_x000a_Tem tudo Shop"/>
  </r>
  <r>
    <s v="Pedido 792"/>
    <s v="CódRastreio769"/>
    <s v="LP00710599608275"/>
    <s v="BV"/>
    <d v="2025-02-07T00:00:00"/>
    <s v="Transp 1"/>
    <s v="-"/>
    <x v="0"/>
    <s v="Brasil"/>
    <d v="2025-01-31T00:00:00"/>
    <s v="Entregue"/>
    <x v="0"/>
    <s v="-"/>
    <x v="0"/>
    <s v="Olá Nome, _x000a_Identificamos que o Item Ventilador Preto foi entregue no dia 31/01/2025, referente ao pedido Nº Pedido 792 Rastreio Pedido 792, agradecemos a preferência e adoraríamos receber sua avaliação, tendo qualquer dúvida estamos à disposição._x000a__x000a_Att_x000a_Tem tudo Shop"/>
  </r>
  <r>
    <s v="Pedido 793"/>
    <s v="CódRastreio770"/>
    <s v="LP00709732628732"/>
    <s v="BV"/>
    <d v="2025-02-13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793 Rastreio Pedido 793, agradecemos a preferência e adoraríamos receber sua avaliação, tendo qualquer dúvida estamos à disposição._x000a__x000a_Att_x000a_Tem tudo Shop"/>
  </r>
  <r>
    <s v="Pedido 794"/>
    <s v="CódRastreio771"/>
    <s v="LP00708944681220"/>
    <s v="BV"/>
    <d v="2025-02-07T00:00:00"/>
    <s v="Transp 1"/>
    <s v="-"/>
    <x v="0"/>
    <s v="Brasil"/>
    <d v="2025-02-01T00:00:00"/>
    <s v="Entregue"/>
    <x v="0"/>
    <s v="-"/>
    <x v="0"/>
    <s v="Olá Nome, _x000a_Identificamos que o Item Ventilador Preto foi entregue no dia 01/02/2025, referente ao pedido Nº Pedido 794 Rastreio Pedido 794, agradecemos a preferência e adoraríamos receber sua avaliação, tendo qualquer dúvida estamos à disposição._x000a__x000a_Att_x000a_Tem tudo Shop"/>
  </r>
  <r>
    <s v="Pedido 795"/>
    <s v="CódRastreio772"/>
    <s v="LP00708903437260"/>
    <s v="BV"/>
    <d v="2025-02-07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795 Rastreio Pedido 795, agradecemos a preferência e adoraríamos receber sua avaliação, tendo qualquer dúvida estamos à disposição._x000a__x000a_Att_x000a_Tem tudo Shop"/>
  </r>
  <r>
    <s v="Pedido 796"/>
    <s v="CódRastreio773"/>
    <s v="LP00708941548211"/>
    <s v="BV"/>
    <d v="2025-02-07T00:00:00"/>
    <s v="Transp 1"/>
    <s v="-"/>
    <x v="0"/>
    <s v="Brasil"/>
    <d v="2025-02-01T00:00:00"/>
    <s v="Entregue"/>
    <x v="0"/>
    <s v="Cliente Acionado"/>
    <x v="0"/>
    <s v="Olá Nome, _x000a_Identificamos que o Item Ventilador Preto foi entregue no dia 01/02/2025, referente ao pedido Nº Pedido 796 Rastreio Pedido 796, agradecemos a preferência e adoraríamos receber sua avaliação, tendo qualquer dúvida estamos à disposição._x000a__x000a_Att_x000a_Tem tudo Shop"/>
  </r>
  <r>
    <s v="Pedido 797"/>
    <s v="CódRastreio774"/>
    <s v="LP00708915562897"/>
    <s v="BV"/>
    <d v="2025-02-07T00:00:00"/>
    <s v="Transp 1"/>
    <s v="-"/>
    <x v="0"/>
    <s v="Brasil"/>
    <d v="2025-02-18T00:00:00"/>
    <s v="Entregue"/>
    <x v="0"/>
    <s v="-"/>
    <x v="1"/>
    <s v="Olá Nome, _x000a_Identificamos que o Item Ventilador Preto foi entregue no dia 18/02/2025, referente ao pedido Nº Pedido 797 Rastreio Pedido 797, agradecemos a preferência e adoraríamos receber sua avaliação, tendo qualquer dúvida estamos à disposição._x000a__x000a_Att_x000a_Tem tudo Shop"/>
  </r>
  <r>
    <s v="Pedido 799"/>
    <s v="CódRastreio776"/>
    <s v="LP00710612952368"/>
    <s v="BV"/>
    <d v="2025-02-07T00:00:00"/>
    <s v="Transp 1"/>
    <s v="-"/>
    <x v="0"/>
    <s v="Brasil"/>
    <d v="2025-02-06T00:00:00"/>
    <s v="Entregue"/>
    <x v="0"/>
    <s v="-"/>
    <x v="0"/>
    <s v="Olá Nome, _x000a_Identificamos que o Item Ventilador Preto foi entregue no dia 06/02/2025, referente ao pedido Nº Pedido 799 Rastreio Pedido 799, agradecemos a preferência e adoraríamos receber sua avaliação, tendo qualquer dúvida estamos à disposição._x000a__x000a_Att_x000a_Tem tudo Shop"/>
  </r>
  <r>
    <s v="Pedido 800"/>
    <s v="CódRastreio777"/>
    <s v="LP00710580888897"/>
    <s v="BV"/>
    <d v="2025-02-20T00:00:00"/>
    <s v="Transp 1"/>
    <s v="-"/>
    <x v="0"/>
    <s v="Brasil"/>
    <d v="2025-02-08T00:00:00"/>
    <s v="Entregue"/>
    <x v="0"/>
    <s v="-"/>
    <x v="0"/>
    <s v="Olá Nome, _x000a_Identificamos que o Item Ventilador Preto foi entregue no dia 08/02/2025, referente ao pedido Nº Pedido 800 Rastreio Pedido 800, agradecemos a preferência e adoraríamos receber sua avaliação, tendo qualquer dúvida estamos à disposição._x000a__x000a_Att_x000a_Tem tudo Shop"/>
  </r>
  <r>
    <s v="Pedido 801"/>
    <s v="CódRastreio778"/>
    <n v="3621049638417"/>
    <s v="BV"/>
    <d v="2025-02-05T00:00:00"/>
    <s v="Transp 1"/>
    <s v="-"/>
    <x v="1"/>
    <s v="Brasil"/>
    <d v="2025-01-27T00:00:00"/>
    <s v="Entregue"/>
    <x v="0"/>
    <s v="-"/>
    <x v="0"/>
    <s v="Olá Nome, _x000a_Identificamos que o Item Mini Liquidificador foi entregue no dia 27/01/2025, referente ao pedido Nº Pedido 801 Rastreio Pedido 801, agradecemos a preferência e adoraríamos receber sua avaliação, tendo qualquer dúvida estamos à disposição._x000a__x000a_Att_x000a_Tem tudo Shop"/>
  </r>
  <r>
    <s v="Pedido 802"/>
    <s v="CódRastreio779"/>
    <s v="LP00708919247117"/>
    <s v="BV"/>
    <d v="2025-02-07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802 Rastreio Pedido 802, agradecemos a preferência e adoraríamos receber sua avaliação, tendo qualquer dúvida estamos à disposição._x000a__x000a_Att_x000a_Tem tudo Shop"/>
  </r>
  <r>
    <s v="Pedido 803"/>
    <s v="CódRastreio780"/>
    <s v="LP00709779260389"/>
    <s v="BV"/>
    <d v="2025-02-14T00:00:00"/>
    <s v="Transp 1"/>
    <s v="-"/>
    <x v="0"/>
    <s v="Brasil"/>
    <d v="2025-02-06T00:00:00"/>
    <s v="Entregue"/>
    <x v="0"/>
    <s v="-"/>
    <x v="0"/>
    <s v="Olá Nome, _x000a_Identificamos que o Item Ventilador Rosa foi entregue no dia 06/02/2025, referente ao pedido Nº Pedido 803 Rastreio Pedido 803, agradecemos a preferência e adoraríamos receber sua avaliação, tendo qualquer dúvida estamos à disposição._x000a__x000a_Att_x000a_Tem tudo Shop"/>
  </r>
  <r>
    <s v="Pedido 804"/>
    <s v="CódRastreio781"/>
    <s v="LP00709780976586"/>
    <s v="BV"/>
    <d v="2025-02-08T00:00:00"/>
    <s v="Transp 1"/>
    <s v="-"/>
    <x v="0"/>
    <s v="Brasil"/>
    <d v="2025-02-01T00:00:00"/>
    <s v="Entregue"/>
    <x v="0"/>
    <s v="-"/>
    <x v="0"/>
    <s v="Olá Nome, _x000a_Identificamos que o Item Ventilador Preto foi entregue no dia 01/02/2025, referente ao pedido Nº Pedido 804 Rastreio Pedido 804, agradecemos a preferência e adoraríamos receber sua avaliação, tendo qualquer dúvida estamos à disposição._x000a__x000a_Att_x000a_Tem tudo Shop"/>
  </r>
  <r>
    <s v="Pedido 805"/>
    <s v="CódRastreio782"/>
    <s v="LP00708963941097"/>
    <s v="BV"/>
    <d v="2025-02-08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805 Rastreio Pedido 805, agradecemos a preferência e adoraríamos receber sua avaliação, tendo qualquer dúvida estamos à disposição._x000a__x000a_Att_x000a_Tem tudo Shop"/>
  </r>
  <r>
    <s v="Pedido 806"/>
    <s v="CódRastreio783"/>
    <s v="LP00710561881654"/>
    <s v="BV"/>
    <d v="2025-02-21T00:00:00"/>
    <s v="Transp 1"/>
    <s v="-"/>
    <x v="0"/>
    <s v="Brasil"/>
    <d v="2025-02-06T00:00:00"/>
    <s v="Entregue"/>
    <x v="0"/>
    <s v="-"/>
    <x v="0"/>
    <s v="Olá Nome, _x000a_Identificamos que o Item Ventilador Preto foi entregue no dia 06/02/2025, referente ao pedido Nº Pedido 806 Rastreio Pedido 806, agradecemos a preferência e adoraríamos receber sua avaliação, tendo qualquer dúvida estamos à disposição._x000a__x000a_Att_x000a_Tem tudo Shop"/>
  </r>
  <r>
    <s v="Pedido 807"/>
    <s v="CódRastreio784"/>
    <s v="LP00708928828929"/>
    <s v="BV"/>
    <d v="2025-02-08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807 Rastreio Pedido 807, agradecemos a preferência e adoraríamos receber sua avaliação, tendo qualquer dúvida estamos à disposição._x000a__x000a_Att_x000a_Tem tudo Shop"/>
  </r>
  <r>
    <s v="Pedido 808"/>
    <s v="CódRastreio785"/>
    <s v="LP00709784666879"/>
    <s v="BV"/>
    <d v="2025-02-08T00:00:00"/>
    <s v="Transp 1"/>
    <s v="-"/>
    <x v="0"/>
    <s v="Brasil"/>
    <d v="2025-02-01T00:00:00"/>
    <s v="Entregue"/>
    <x v="0"/>
    <s v="-"/>
    <x v="0"/>
    <s v="Olá Nome, _x000a_Identificamos que o Item Ventilador Preto foi entregue no dia 01/02/2025, referente ao pedido Nº Pedido 808 Rastreio Pedido 808, agradecemos a preferência e adoraríamos receber sua avaliação, tendo qualquer dúvida estamos à disposição._x000a__x000a_Att_x000a_Tem tudo Shop"/>
  </r>
  <r>
    <s v="Pedido 810"/>
    <s v="CódRastreio787"/>
    <n v="3621049638483"/>
    <s v="BV"/>
    <d v="2025-02-06T00:00:00"/>
    <s v="Transp 1"/>
    <s v="-"/>
    <x v="1"/>
    <s v="Brasil"/>
    <d v="2025-01-27T00:00:00"/>
    <s v="Entregue"/>
    <x v="0"/>
    <s v="-"/>
    <x v="0"/>
    <s v="Olá Nome, _x000a_Identificamos que o Item Garrafa Termica foi entregue no dia 27/01/2025, referente ao pedido Nº Pedido 810 Rastreio Pedido 810, agradecemos a preferência e adoraríamos receber sua avaliação, tendo qualquer dúvida estamos à disposição._x000a__x000a_Att_x000a_Tem tudo Shop"/>
  </r>
  <r>
    <s v="Pedido 879"/>
    <s v="CódRastreio856"/>
    <s v="LP00710804190785"/>
    <s v="GO"/>
    <d v="2025-02-11T00:00:00"/>
    <s v="Transp 1"/>
    <s v="-"/>
    <x v="0"/>
    <s v="Brasil"/>
    <d v="2025-02-06T00:00:00"/>
    <s v="Entregue"/>
    <x v="0"/>
    <s v="-"/>
    <x v="0"/>
    <s v="Olá Nome, _x000a_Identificamos que o Item Escova Multifuncional foi entregue no dia 06/02/2025, referente ao pedido Nº Pedido 879 Rastreio Pedido 879, agradecemos a preferência e adoraríamos receber sua avaliação, tendo qualquer dúvida estamos à disposição._x000a__x000a_Att_x000a_Sec Variedades"/>
  </r>
  <r>
    <s v="Pedido 775"/>
    <s v="CódRastreio752"/>
    <s v="LP00710549718377"/>
    <s v="BV"/>
    <d v="2025-02-07T00:00:00"/>
    <s v="Transp 1"/>
    <s v="-"/>
    <x v="0"/>
    <s v="Brasil"/>
    <d v="2025-02-07T00:00:00"/>
    <s v="Entregue"/>
    <x v="0"/>
    <s v="-"/>
    <x v="0"/>
    <s v="Olá Nome, _x000a_Identificamos que o Item Ventilador Azul foi entregue no dia 07/02/2025, referente ao pedido Nº Pedido 775 Rastreio Pedido 775, agradecemos a preferência e adoraríamos receber sua avaliação, tendo qualquer dúvida estamos à disposição._x000a__x000a_Att_x000a_Tem tudo Shop"/>
  </r>
  <r>
    <s v="Pedido 777"/>
    <s v="CódRastreio754"/>
    <s v="LP00709684725888"/>
    <s v="BV"/>
    <d v="2025-02-08T00:00:00"/>
    <s v="Transp 1"/>
    <s v="-"/>
    <x v="0"/>
    <s v="Brasil"/>
    <d v="2025-02-10T00:00:00"/>
    <s v="Entregue"/>
    <x v="0"/>
    <s v="-"/>
    <x v="1"/>
    <s v="Olá Nome, _x000a_Identificamos que o Item Ventilador Azul foi entregue no dia 10/02/2025, referente ao pedido Nº Pedido 777 Rastreio Pedido 777, agradecemos a preferência e adoraríamos receber sua avaliação, tendo qualquer dúvida estamos à disposição._x000a__x000a_Att_x000a_Tem tudo Shop"/>
  </r>
  <r>
    <s v="Pedido 778"/>
    <s v="CódRastreio755"/>
    <s v="LP00708894598326"/>
    <s v="BV"/>
    <d v="2025-02-08T00:00:00"/>
    <s v="Transp 1"/>
    <s v="-"/>
    <x v="0"/>
    <s v="Brasil"/>
    <d v="2025-02-06T00:00:00"/>
    <s v="Entregue"/>
    <x v="0"/>
    <s v="-"/>
    <x v="0"/>
    <s v="Olá Nome, _x000a_Identificamos que o Item Ventilador Azul foi entregue no dia 06/02/2025, referente ao pedido Nº Pedido 778 Rastreio Pedido 778, agradecemos a preferência e adoraríamos receber sua avaliação, tendo qualquer dúvida estamos à disposição._x000a__x000a_Att_x000a_Tem tudo Shop"/>
  </r>
  <r>
    <s v="Pedido 791"/>
    <s v="CódRastreio768"/>
    <s v="LP00710805606259"/>
    <s v="BV"/>
    <d v="2025-02-07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791 Rastreio Pedido 791, agradecemos a preferência e adoraríamos receber sua avaliação, tendo qualquer dúvida estamos à disposição._x000a__x000a_Att_x000a_Tem tudo Shop"/>
  </r>
  <r>
    <s v="Pedido 809"/>
    <s v="CódRastreio786"/>
    <s v="LP00709744059528"/>
    <s v="BV"/>
    <d v="2025-02-14T00:00:00"/>
    <s v="Transp 1"/>
    <s v="-"/>
    <x v="0"/>
    <s v="Brasil"/>
    <d v="2025-02-05T00:00:00"/>
    <s v="Entregue"/>
    <x v="0"/>
    <s v="-"/>
    <x v="0"/>
    <s v="Olá Nome, _x000a_Identificamos que o Item Ventilador Azul foi entregue no dia 05/02/2025, referente ao pedido Nº Pedido 809 Rastreio Pedido 809, agradecemos a preferência e adoraríamos receber sua avaliação, tendo qualquer dúvida estamos à disposição._x000a__x000a_Att_x000a_Tem tudo Shop"/>
  </r>
  <r>
    <s v="Pedido 811"/>
    <s v="CódRastreio788"/>
    <s v="LP00710766307909"/>
    <s v="BV"/>
    <d v="2025-02-14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11 Rastreio Pedido 811, agradecemos a preferência e adoraríamos receber sua avaliação, tendo qualquer dúvida estamos à disposição._x000a__x000a_Att_x000a_Tem tudo Shop"/>
  </r>
  <r>
    <s v="Pedido 813"/>
    <s v="CódRastreio790"/>
    <s v="LP00710824470236"/>
    <s v="BV"/>
    <d v="2025-02-11T00:00:00"/>
    <s v="Transp 1"/>
    <s v="-"/>
    <x v="0"/>
    <s v="Brasil"/>
    <d v="2025-02-10T00:00:00"/>
    <s v="Entregue"/>
    <x v="0"/>
    <s v="-"/>
    <x v="0"/>
    <s v="Olá Nome, _x000a_Identificamos que o Item Ventilador Preto foi entregue no dia 10/02/2025, referente ao pedido Nº Pedido 813 Rastreio Pedido 813, agradecemos a preferência e adoraríamos receber sua avaliação, tendo qualquer dúvida estamos à disposição._x000a__x000a_Att_x000a_Tem tudo Shop"/>
  </r>
  <r>
    <s v="Pedido 814"/>
    <s v="CódRastreio791"/>
    <s v="LP00709183078937"/>
    <s v="BV"/>
    <d v="2025-02-11T00:00:00"/>
    <s v="Transp 1"/>
    <s v="-"/>
    <x v="0"/>
    <s v="Brasil"/>
    <d v="2025-02-04T00:00:00"/>
    <s v="Entregue"/>
    <x v="0"/>
    <s v="Cliente Acionado"/>
    <x v="0"/>
    <s v="Olá Nome, _x000a_Identificamos que o Item Ventilador Preto foi entregue no dia 04/02/2025, referente ao pedido Nº Pedido 814 Rastreio Pedido 814, agradecemos a preferência e adoraríamos receber sua avaliação, tendo qualquer dúvida estamos à disposição._x000a__x000a_Att_x000a_Tem tudo Shop"/>
  </r>
  <r>
    <s v="Pedido 815"/>
    <s v="CódRastreio792"/>
    <s v="LP00709954665150"/>
    <s v="BV"/>
    <d v="2025-02-11T00:00:00"/>
    <s v="Transp 1"/>
    <s v="-"/>
    <x v="0"/>
    <s v="Brasil"/>
    <d v="2025-02-03T00:00:00"/>
    <s v="Entregue"/>
    <x v="0"/>
    <s v="-"/>
    <x v="0"/>
    <s v="Olá Nome, _x000a_Identificamos que o Item Ventilador Preto foi entregue no dia 03/02/2025, referente ao pedido Nº Pedido 815 Rastreio Pedido 815, agradecemos a preferência e adoraríamos receber sua avaliação, tendo qualquer dúvida estamos à disposição._x000a__x000a_Att_x000a_Tem tudo Shop"/>
  </r>
  <r>
    <s v="Pedido 817"/>
    <s v="CódRastreio794"/>
    <s v="LP00709186762390"/>
    <s v="BV"/>
    <d v="2025-02-11T00:00:00"/>
    <s v="Transp 1"/>
    <s v="-"/>
    <x v="0"/>
    <s v="Brasil"/>
    <d v="2025-01-30T00:00:00"/>
    <s v="Entregue"/>
    <x v="0"/>
    <s v="-"/>
    <x v="0"/>
    <s v="Olá Nome, _x000a_Identificamos que o Item Ventilador Preto foi entregue no dia 30/01/2025, referente ao pedido Nº Pedido 817 Rastreio Pedido 817, agradecemos a preferência e adoraríamos receber sua avaliação, tendo qualquer dúvida estamos à disposição._x000a__x000a_Att_x000a_Tem tudo Shop"/>
  </r>
  <r>
    <s v="Pedido 812"/>
    <s v="CódRastreio789"/>
    <s v="LP00710760907384"/>
    <s v="BV"/>
    <d v="2025-02-15T00:00:00"/>
    <s v="Transp 1"/>
    <s v="-"/>
    <x v="0"/>
    <s v="Brasil"/>
    <d v="2025-01-30T00:00:00"/>
    <s v="Entregue"/>
    <x v="0"/>
    <s v="Aguardando reembolso"/>
    <x v="0"/>
    <s v="Olá Nome, _x000a_Identificamos que o Item Ventilador Azul foi entregue no dia 30/01/2025, referente ao pedido Nº Pedido 812 Rastreio Pedido 812, agradecemos a preferência e adoraríamos receber sua avaliação, tendo qualquer dúvida estamos à disposição._x000a__x000a_Att_x000a_Tem tudo Shop"/>
  </r>
  <r>
    <s v="Pedido 816"/>
    <s v="CódRastreio793"/>
    <s v="LP00709127950933"/>
    <s v="BV"/>
    <d v="2025-02-11T00:00:00"/>
    <s v="Transp 1"/>
    <s v="-"/>
    <x v="0"/>
    <s v="Brasil"/>
    <d v="2025-02-07T00:00:00"/>
    <s v="Entregue"/>
    <x v="0"/>
    <s v="-"/>
    <x v="0"/>
    <s v="Olá Nome, _x000a_Identificamos que o Item Ventilador Azul foi entregue no dia 07/02/2025, referente ao pedido Nº Pedido 816 Rastreio Pedido 816, agradecemos a preferência e adoraríamos receber sua avaliação, tendo qualquer dúvida estamos à disposição._x000a__x000a_Att_x000a_Tem tudo Shop"/>
  </r>
  <r>
    <s v="Pedido 818"/>
    <s v="CódRastreio795"/>
    <s v="LP00710135667279"/>
    <s v="BV"/>
    <d v="2025-02-12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818 Rastreio Pedido 818, agradecemos a preferência e adoraríamos receber sua avaliação, tendo qualquer dúvida estamos à disposição._x000a__x000a_Att_x000a_Tem tudo Shop"/>
  </r>
  <r>
    <s v="Pedido 819"/>
    <s v="CódRastreio796"/>
    <s v="LP00711022303844"/>
    <s v="BV"/>
    <d v="2025-02-18T00:00:00"/>
    <s v="Transp 1"/>
    <s v="-"/>
    <x v="0"/>
    <s v="Brasil"/>
    <d v="2025-02-06T00:00:00"/>
    <s v="Entregue"/>
    <x v="0"/>
    <s v="-"/>
    <x v="0"/>
    <s v="Olá Nome, _x000a_Identificamos que o Item Ventilador Azul foi entregue no dia 06/02/2025, referente ao pedido Nº Pedido 819 Rastreio Pedido 819, agradecemos a preferência e adoraríamos receber sua avaliação, tendo qualquer dúvida estamos à disposição._x000a__x000a_Att_x000a_Tem tudo Shop"/>
  </r>
  <r>
    <s v="Pedido 820"/>
    <s v="CódRastreio797"/>
    <s v="LP00710133339525"/>
    <s v="BV"/>
    <d v="2025-02-12T00:00:00"/>
    <s v="Transp 1"/>
    <s v="-"/>
    <x v="0"/>
    <s v="Brasil"/>
    <d v="2025-01-31T00:00:00"/>
    <s v="Entregue"/>
    <x v="0"/>
    <s v="Aguardando reembolso"/>
    <x v="0"/>
    <s v="Olá Nome, _x000a_Identificamos que o Item Ventilador Preto foi entregue no dia 31/01/2025, referente ao pedido Nº Pedido 820 Rastreio Pedido 820, agradecemos a preferência e adoraríamos receber sua avaliação, tendo qualquer dúvida estamos à disposição._x000a__x000a_Att_x000a_Tem tudo Shop"/>
  </r>
  <r>
    <s v="Pedido 821"/>
    <s v="CódRastreio798"/>
    <s v="LP00710128563836"/>
    <s v="BV"/>
    <d v="2025-02-12T00:00:00"/>
    <s v="Transp 1"/>
    <s v="-"/>
    <x v="0"/>
    <s v="Brasil"/>
    <d v="2025-01-31T00:00:00"/>
    <s v="Entregue"/>
    <x v="0"/>
    <s v="Aguardando reembolso"/>
    <x v="0"/>
    <s v="Olá Nome, _x000a_Identificamos que o Item Ventilador Preto foi entregue no dia 31/01/2025, referente ao pedido Nº Pedido 821 Rastreio Pedido 821, agradecemos a preferência e adoraríamos receber sua avaliação, tendo qualquer dúvida estamos à disposição._x000a__x000a_Att_x000a_Tem tudo Shop"/>
  </r>
  <r>
    <s v="Pedido 822"/>
    <s v="CódRastreio799"/>
    <s v="LP00710186073500"/>
    <s v="BV"/>
    <d v="2025-02-12T00:00:00"/>
    <s v="Transp 1"/>
    <s v="-"/>
    <x v="0"/>
    <s v="Brasil"/>
    <d v="2025-02-07T00:00:00"/>
    <s v="Entregue"/>
    <x v="0"/>
    <s v="-"/>
    <x v="0"/>
    <s v="Olá Nome, _x000a_Identificamos que o Item Ventilador Azul foi entregue no dia 07/02/2025, referente ao pedido Nº Pedido 822 Rastreio Pedido 822, agradecemos a preferência e adoraríamos receber sua avaliação, tendo qualquer dúvida estamos à disposição._x000a__x000a_Att_x000a_Tem tudo Shop"/>
  </r>
  <r>
    <s v="Pedido 823"/>
    <s v="CódRastreio800"/>
    <n v="888670001159468"/>
    <s v="BV"/>
    <d v="2025-02-06T00:00:00"/>
    <s v="Transp 1"/>
    <s v="-"/>
    <x v="1"/>
    <s v="Brasil"/>
    <d v="2025-01-27T00:00:00"/>
    <s v="Entregue"/>
    <x v="0"/>
    <s v="-"/>
    <x v="0"/>
    <s v="Olá Nome, _x000a_Identificamos que o Item Adaptador Bluetooph foi entregue no dia 27/01/2025, referente ao pedido Nº Pedido 823 Rastreio Pedido 823, agradecemos a preferência e adoraríamos receber sua avaliação, tendo qualquer dúvida estamos à disposição._x000a__x000a_Att_x000a_Tem tudo Shop"/>
  </r>
  <r>
    <s v="Pedido 824"/>
    <s v="CódRastreio801"/>
    <n v="3621049639765"/>
    <s v="BV"/>
    <d v="2025-02-12T00:00:00"/>
    <s v="Transp 1"/>
    <s v="-"/>
    <x v="1"/>
    <s v="Brasil"/>
    <d v="2025-01-27T00:00:00"/>
    <s v="Entregue"/>
    <x v="0"/>
    <s v="-"/>
    <x v="0"/>
    <s v="Olá Nome, _x000a_Identificamos que o Item Adaptador Bluetooph foi entregue no dia 27/01/2025, referente ao pedido Nº Pedido 824 Rastreio Pedido 824, agradecemos a preferência e adoraríamos receber sua avaliação, tendo qualquer dúvida estamos à disposição._x000a__x000a_Att_x000a_Tem tudo Shop"/>
  </r>
  <r>
    <s v="Pedido 825"/>
    <s v="CódRastreio802"/>
    <s v="CNBR00077912HB"/>
    <s v="BV"/>
    <d v="2025-02-08T00:00:00"/>
    <s v="Transp 1"/>
    <s v="-"/>
    <x v="1"/>
    <s v="Brasil"/>
    <d v="2025-01-27T00:00:00"/>
    <s v="Entregue"/>
    <x v="0"/>
    <s v="-"/>
    <x v="0"/>
    <s v="Olá Nome, _x000a_Identificamos que o Item Mini Liquidificador foi entregue no dia 27/01/2025, referente ao pedido Nº Pedido 825 Rastreio Pedido 825, agradecemos a preferência e adoraríamos receber sua avaliação, tendo qualquer dúvida estamos à disposição._x000a__x000a_Att_x000a_Tem tudo Shop"/>
  </r>
  <r>
    <s v="Pedido 826"/>
    <s v="CódRastreio803"/>
    <s v="LP00709480163824"/>
    <s v="BV"/>
    <d v="2025-02-13T00:00:00"/>
    <s v="Transp 1"/>
    <s v="-"/>
    <x v="0"/>
    <s v="Brasil"/>
    <d v="2025-01-30T00:00:00"/>
    <s v="Entregue"/>
    <x v="0"/>
    <s v="-"/>
    <x v="0"/>
    <s v="Olá Nome, _x000a_Identificamos que o Item Ventilador Rosa foi entregue no dia 30/01/2025, referente ao pedido Nº Pedido 826 Rastreio Pedido 826, agradecemos a preferência e adoraríamos receber sua avaliação, tendo qualquer dúvida estamos à disposição._x000a__x000a_Att_x000a_Tem tudo Shop"/>
  </r>
  <r>
    <s v="Pedido 827"/>
    <s v="CódRastreio804"/>
    <s v="LP00709562705198"/>
    <s v="BV"/>
    <d v="2025-02-19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827 Rastreio Pedido 827, agradecemos a preferência e adoraríamos receber sua avaliação, tendo qualquer dúvida estamos à disposição._x000a__x000a_Att_x000a_Tem tudo Shop"/>
  </r>
  <r>
    <s v="Pedido 828"/>
    <s v="CódRastreio805"/>
    <s v="LP00710442135574"/>
    <s v="BV"/>
    <d v="2025-02-14T00:00:00"/>
    <s v="Transp 1"/>
    <s v="-"/>
    <x v="0"/>
    <s v="Brasil"/>
    <d v="2025-02-06T00:00:00"/>
    <s v="Entregue"/>
    <x v="0"/>
    <s v="-"/>
    <x v="0"/>
    <s v="Olá Nome, _x000a_Identificamos que o Item Ventilador Azul foi entregue no dia 06/02/2025, referente ao pedido Nº Pedido 828 Rastreio Pedido 828, agradecemos a preferência e adoraríamos receber sua avaliação, tendo qualquer dúvida estamos à disposição._x000a__x000a_Att_x000a_Tem tudo Shop"/>
  </r>
  <r>
    <s v="Pedido 829"/>
    <s v="CódRastreio806"/>
    <s v="LP00709614064890"/>
    <s v="BV"/>
    <d v="2025-02-14T00:00:00"/>
    <s v="Transp 1"/>
    <s v="-"/>
    <x v="0"/>
    <s v="Brasil"/>
    <d v="2025-02-05T00:00:00"/>
    <s v="Entregue"/>
    <x v="0"/>
    <s v="-"/>
    <x v="0"/>
    <s v="Olá Nome, _x000a_Identificamos que o Item Ventilador Azul foi entregue no dia 05/02/2025, referente ao pedido Nº Pedido 829 Rastreio Pedido 829, agradecemos a preferência e adoraríamos receber sua avaliação, tendo qualquer dúvida estamos à disposição._x000a__x000a_Att_x000a_Tem tudo Shop"/>
  </r>
  <r>
    <s v="Pedido 880"/>
    <s v="CódRastreio857"/>
    <s v="LP00711295356202"/>
    <s v="GO"/>
    <d v="2025-02-14T00:00:00"/>
    <s v="Transp 1"/>
    <s v="-"/>
    <x v="0"/>
    <s v="Brasil"/>
    <d v="2025-02-05T00:00:00"/>
    <s v="Entregue"/>
    <x v="0"/>
    <s v="-"/>
    <x v="0"/>
    <s v="Olá Nome, _x000a_Identificamos que o Item Ventilador Preto foi entregue no dia 05/02/2025, referente ao pedido Nº Pedido 880 Rastreio Pedido 880, agradecemos a preferência e adoraríamos receber sua avaliação, tendo qualquer dúvida estamos à disposição._x000a__x000a_Att_x000a_Sec Variedades"/>
  </r>
  <r>
    <s v="Pedido 881"/>
    <s v="CódRastreio858"/>
    <s v="LP00711302370096"/>
    <s v="GO"/>
    <d v="2025-02-14T00:00:00"/>
    <s v="Transp 1"/>
    <s v="-"/>
    <x v="0"/>
    <s v="Brasil"/>
    <d v="2025-02-08T00:00:00"/>
    <s v="Entregue"/>
    <x v="0"/>
    <s v="-"/>
    <x v="0"/>
    <s v="Olá Nome, _x000a_Identificamos que o Item Ventilador Preto foi entregue no dia 08/02/2025, referente ao pedido Nº Pedido 881 Rastreio Pedido 881, agradecemos a preferência e adoraríamos receber sua avaliação, tendo qualquer dúvida estamos à disposição._x000a__x000a_Att_x000a_Sec Variedades"/>
  </r>
  <r>
    <s v="Pedido 830"/>
    <s v="CódRastreio807"/>
    <s v="CNBR013797671LG"/>
    <s v="BV"/>
    <d v="2025-02-08T00:00:00"/>
    <s v="Transp 1"/>
    <s v="-"/>
    <x v="1"/>
    <s v="Brasil"/>
    <d v="2025-01-29T00:00:00"/>
    <s v="Entregue"/>
    <x v="0"/>
    <s v="-"/>
    <x v="0"/>
    <s v="Olá Nome, _x000a_Identificamos que o Item Mini Liquidificador foi entregue no dia 29/01/2025, referente ao pedido Nº Pedido 830 Rastreio Pedido 830, agradecemos a preferência e adoraríamos receber sua avaliação, tendo qualquer dúvida estamos à disposição._x000a__x000a_Att_x000a_Tem tudo Shop"/>
  </r>
  <r>
    <s v="Pedido 831"/>
    <s v="CódRastreio808"/>
    <s v="LP00709865735177"/>
    <s v="BV"/>
    <d v="2025-02-14T00:00:00"/>
    <s v="Transp 1"/>
    <s v="-"/>
    <x v="0"/>
    <s v="Brasil"/>
    <d v="2025-02-07T00:00:00"/>
    <s v="Entregue"/>
    <x v="0"/>
    <s v="-"/>
    <x v="0"/>
    <s v="Olá Nome, _x000a_Identificamos que o Item Ventilador Umidificador Preto foi entregue no dia 07/02/2025, referente ao pedido Nº Pedido 831 Rastreio Pedido 831, agradecemos a preferência e adoraríamos receber sua avaliação, tendo qualquer dúvida estamos à disposição._x000a__x000a_Att_x000a_Tem tudo Shop"/>
  </r>
  <r>
    <s v="Pedido 832"/>
    <s v="CódRastreio809"/>
    <s v="LP00709861516356"/>
    <s v="BV"/>
    <d v="2025-02-14T00:00:00"/>
    <s v="Transp 1"/>
    <s v="-"/>
    <x v="0"/>
    <s v="Brasil"/>
    <d v="2025-02-05T00:00:00"/>
    <s v="Entregue"/>
    <x v="0"/>
    <s v="-"/>
    <x v="0"/>
    <s v="Olá Nome, _x000a_Identificamos que o Item Ventilador Azul foi entregue no dia 05/02/2025, referente ao pedido Nº Pedido 832 Rastreio Pedido 832, agradecemos a preferência e adoraríamos receber sua avaliação, tendo qualquer dúvida estamos à disposição._x000a__x000a_Att_x000a_Tem tudo Shop"/>
  </r>
  <r>
    <s v="Pedido 833"/>
    <s v="CódRastreio810"/>
    <s v="LP00710690462632"/>
    <s v="BV"/>
    <d v="2025-02-14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33 Rastreio Pedido 833, agradecemos a preferência e adoraríamos receber sua avaliação, tendo qualquer dúvida estamos à disposição._x000a__x000a_Att_x000a_Tem tudo Shop"/>
  </r>
  <r>
    <s v="Pedido 834"/>
    <s v="CódRastreio811"/>
    <s v="LP00709853764984"/>
    <s v="BV"/>
    <d v="2025-02-14T00:00:00"/>
    <s v="Transp 1"/>
    <s v="-"/>
    <x v="0"/>
    <s v="Brasil"/>
    <d v="2025-02-08T00:00:00"/>
    <s v="Entregue"/>
    <x v="0"/>
    <s v="-"/>
    <x v="0"/>
    <s v="Olá Nome, _x000a_Identificamos que o Item Ventilador Umidificador Preto foi entregue no dia 08/02/2025, referente ao pedido Nº Pedido 834 Rastreio Pedido 834, agradecemos a preferência e adoraríamos receber sua avaliação, tendo qualquer dúvida estamos à disposição._x000a__x000a_Att_x000a_Tem tudo Shop"/>
  </r>
  <r>
    <s v="Pedido 835"/>
    <s v="CódRastreio812"/>
    <s v="LP00710676548927"/>
    <s v="BV"/>
    <d v="2025-02-14T00:00:00"/>
    <s v="Transp 1"/>
    <s v="-"/>
    <x v="0"/>
    <s v="Brasil"/>
    <d v="2025-02-10T00:00:00"/>
    <s v="Entregue"/>
    <x v="0"/>
    <s v="-"/>
    <x v="0"/>
    <s v="Olá Nome, _x000a_Identificamos que o Item Ventilador Azul foi entregue no dia 10/02/2025, referente ao pedido Nº Pedido 835 Rastreio Pedido 835, agradecemos a preferência e adoraríamos receber sua avaliação, tendo qualquer dúvida estamos à disposição._x000a__x000a_Att_x000a_Tem tudo Shop"/>
  </r>
  <r>
    <s v="Pedido 836"/>
    <s v="CódRastreio813"/>
    <s v="LP00710689611805"/>
    <s v="BV"/>
    <d v="2025-02-21T00:00:00"/>
    <s v="Transp 1"/>
    <s v="-"/>
    <x v="0"/>
    <s v="Brasil"/>
    <d v="2025-02-12T00:00:00"/>
    <s v="Entregue"/>
    <x v="0"/>
    <s v="-"/>
    <x v="0"/>
    <s v="Olá Nome, _x000a_Identificamos que o Item Ventilador Rosa foi entregue no dia 12/02/2025, referente ao pedido Nº Pedido 836 Rastreio Pedido 836, agradecemos a preferência e adoraríamos receber sua avaliação, tendo qualquer dúvida estamos à disposição._x000a__x000a_Att_x000a_Tem tudo Shop"/>
  </r>
  <r>
    <s v="Pedido 837"/>
    <s v="CódRastreio814"/>
    <n v="888670001227481"/>
    <s v="BV"/>
    <d v="2025-02-21T00:00:00"/>
    <s v="Transp 1"/>
    <s v="-"/>
    <x v="1"/>
    <s v="Brasil"/>
    <d v="2025-02-04T00:00:00"/>
    <s v="Entregue"/>
    <x v="0"/>
    <s v="-"/>
    <x v="0"/>
    <s v="Olá Nome, _x000a_Identificamos que o Item Mini Liquidificador foi entregue no dia 04/02/2025, referente ao pedido Nº Pedido 837 Rastreio Pedido 837, agradecemos a preferência e adoraríamos receber sua avaliação, tendo qualquer dúvida estamos à disposição._x000a__x000a_Att_x000a_Tem tudo Shop"/>
  </r>
  <r>
    <s v="Pedido 882"/>
    <s v="CódRastreio859"/>
    <s v="LP00711525217827"/>
    <s v="GO"/>
    <d v="2025-02-20T00:00:00"/>
    <s v="Transp 1"/>
    <s v="-"/>
    <x v="0"/>
    <s v="Brasil"/>
    <d v="2025-02-13T00:00:00"/>
    <s v="Entregue"/>
    <x v="0"/>
    <s v="-"/>
    <x v="0"/>
    <s v="Olá Nome, _x000a_Identificamos que o Item Ventilador Preto foi entregue no dia 13/02/2025, referente ao pedido Nº Pedido 882 Rastreio Pedido 882, agradecemos a preferência e adoraríamos receber sua avaliação, tendo qualquer dúvida estamos à disposição._x000a__x000a_Att_x000a_Sec Variedades"/>
  </r>
  <r>
    <s v="Pedido 883"/>
    <s v="CódRastreio860"/>
    <s v="LP00710685590526"/>
    <s v="GO"/>
    <d v="2025-02-14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83 Rastreio Pedido 883, agradecemos a preferência e adoraríamos receber sua avaliação, tendo qualquer dúvida estamos à disposição._x000a__x000a_Att_x000a_Sec Variedades"/>
  </r>
  <r>
    <s v="Pedido 884"/>
    <s v="CódRastreio861"/>
    <s v="LP00711527202802"/>
    <s v="GO"/>
    <d v="2025-02-14T00:00:00"/>
    <s v="Transp 1"/>
    <s v="-"/>
    <x v="0"/>
    <s v="Brasil"/>
    <d v="2025-02-06T00:00:00"/>
    <s v="Entregue"/>
    <x v="0"/>
    <s v="-"/>
    <x v="0"/>
    <s v="Olá Nome, _x000a_Identificamos que o Item Ventilador Preto foi entregue no dia 06/02/2025, referente ao pedido Nº Pedido 884 Rastreio Pedido 884, agradecemos a preferência e adoraríamos receber sua avaliação, tendo qualquer dúvida estamos à disposição._x000a__x000a_Att_x000a_Sec Variedades"/>
  </r>
  <r>
    <s v="Pedido 885"/>
    <s v="CódRastreio862"/>
    <s v="LP00709860467780"/>
    <s v="GO"/>
    <d v="2025-02-20T00:00:00"/>
    <s v="Transp 1"/>
    <s v="-"/>
    <x v="0"/>
    <s v="Brasil"/>
    <d v="2025-02-08T00:00:00"/>
    <s v="Entregue"/>
    <x v="0"/>
    <s v="-"/>
    <x v="0"/>
    <s v="Olá Nome, _x000a_Identificamos que o Item Ventilador Preto foi entregue no dia 08/02/2025, referente ao pedido Nº Pedido 885 Rastreio Pedido 885, agradecemos a preferência e adoraríamos receber sua avaliação, tendo qualquer dúvida estamos à disposição._x000a__x000a_Att_x000a_Sec Variedades"/>
  </r>
  <r>
    <s v="Pedido 886"/>
    <s v="CódRastreio863"/>
    <s v="LP00711518622792"/>
    <s v="GO"/>
    <d v="2025-02-20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86 Rastreio Pedido 886, agradecemos a preferência e adoraríamos receber sua avaliação, tendo qualquer dúvida estamos à disposição._x000a__x000a_Att_x000a_Sec Variedades"/>
  </r>
  <r>
    <s v="Pedido 887"/>
    <s v="CódRastreio864"/>
    <s v="LP00711518892763"/>
    <s v="GO"/>
    <d v="2025-02-14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87 Rastreio Pedido 887, agradecemos a preferência e adoraríamos receber sua avaliação, tendo qualquer dúvida estamos à disposição._x000a__x000a_Att_x000a_Sec Variedades"/>
  </r>
  <r>
    <s v="Pedido 888"/>
    <s v="CódRastreio865"/>
    <s v="LP00709865224661"/>
    <s v="GO"/>
    <d v="2025-02-14T00:00:00"/>
    <s v="Transp 1"/>
    <s v="-"/>
    <x v="0"/>
    <s v="Brasil"/>
    <d v="2025-02-04T00:00:00"/>
    <s v="Entregue"/>
    <x v="0"/>
    <s v="-"/>
    <x v="0"/>
    <s v="Olá Nome, _x000a_Identificamos que o Item Ventilador Preto foi entregue no dia 04/02/2025, referente ao pedido Nº Pedido 888 Rastreio Pedido 888, agradecemos a preferência e adoraríamos receber sua avaliação, tendo qualquer dúvida estamos à disposição._x000a__x000a_Att_x000a_Sec Variedades"/>
  </r>
  <r>
    <s v="Pedido 889"/>
    <s v="CódRastreio866"/>
    <s v="LP00709854934770"/>
    <s v="GO"/>
    <d v="2025-02-21T00:00:00"/>
    <s v="Transp 1"/>
    <s v="-"/>
    <x v="0"/>
    <s v="Brasil"/>
    <d v="2025-02-11T00:00:00"/>
    <s v="Entregue"/>
    <x v="0"/>
    <s v="-"/>
    <x v="0"/>
    <s v="Olá Nome, _x000a_Identificamos que o Item Ventilador Preto foi entregue no dia 11/02/2025, referente ao pedido Nº Pedido 889 Rastreio Pedido 889, agradecemos a preferência e adoraríamos receber sua avaliação, tendo qualquer dúvida estamos à disposição._x000a__x000a_Att_x000a_Sec Variedades"/>
  </r>
  <r>
    <s v="Pedido 890"/>
    <s v="CódRastreio867"/>
    <s v="LP00711529471631"/>
    <s v="GO"/>
    <d v="2025-02-15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90 Rastreio Pedido 890, agradecemos a preferência e adoraríamos receber sua avaliação, tendo qualquer dúvida estamos à disposição._x000a__x000a_Att_x000a_Sec Variedades"/>
  </r>
  <r>
    <s v="Pedido 838"/>
    <s v="CódRastreio815"/>
    <s v="LP00710716682948"/>
    <s v="BV"/>
    <d v="2025-02-28T00:00:00"/>
    <s v="Transp 1"/>
    <s v="-"/>
    <x v="0"/>
    <s v="Brasil"/>
    <d v="2025-02-21T00:00:00"/>
    <s v="Entregue"/>
    <x v="0"/>
    <s v="-"/>
    <x v="0"/>
    <s v="Olá Nome, _x000a_Identificamos que o Item Ventilador Azul foi entregue no dia 21/02/2025, referente ao pedido Nº Pedido 838 Rastreio Pedido 838, agradecemos a preferência e adoraríamos receber sua avaliação, tendo qualquer dúvida estamos à disposição._x000a__x000a_Att_x000a_Tem tudo Shop"/>
  </r>
  <r>
    <s v="Pedido 891"/>
    <s v="CódRastreio868"/>
    <s v="LP00709900667543"/>
    <s v="GO"/>
    <d v="2025-02-18T00:00:00"/>
    <s v="Transp 1"/>
    <s v="-"/>
    <x v="0"/>
    <s v="Brasil"/>
    <d v="2025-02-07T00:00:00"/>
    <s v="Entregue"/>
    <x v="0"/>
    <s v="-"/>
    <x v="0"/>
    <s v="Olá Nome, _x000a_Identificamos que o Item Ventilador Preto foi entregue no dia 07/02/2025, referente ao pedido Nº Pedido 891 Rastreio Pedido 891, agradecemos a preferência e adoraríamos receber sua avaliação, tendo qualquer dúvida estamos à disposição._x000a__x000a_Att_x000a_Sec Variedades"/>
  </r>
  <r>
    <s v="Pedido 892"/>
    <s v="CódRastreio869"/>
    <s v="LP00711565993216"/>
    <s v="GO"/>
    <d v="2025-02-22T00:00:00"/>
    <s v="Transp 1"/>
    <s v="CNBR00044743479"/>
    <x v="0"/>
    <s v="Brasil"/>
    <d v="2025-02-05T00:00:00"/>
    <s v="Entregue"/>
    <x v="0"/>
    <s v="-"/>
    <x v="0"/>
    <s v="Olá Nome, _x000a_Identificamos que o Item Ventilador Preto foi entregue no dia 05/02/2025, referente ao pedido Nº Pedido 892 Rastreio CNBR00044743479, agradecemos a preferência e adoraríamos receber sua avaliação, tendo qualquer dúvida estamos à disposição._x000a__x000a_Att_x000a_Sec Variedades"/>
  </r>
  <r>
    <s v="Pedido 893"/>
    <s v="CódRastreio870"/>
    <s v="LP00710703693869"/>
    <s v="GO"/>
    <d v="2025-02-18T00:00:00"/>
    <s v="Transp 1"/>
    <s v="-"/>
    <x v="0"/>
    <s v="Brasil"/>
    <d v="2025-02-10T00:00:00"/>
    <s v="Entregue"/>
    <x v="0"/>
    <s v="-"/>
    <x v="0"/>
    <s v="Olá Nome, _x000a_Identificamos que o Item Ventilador Preto foi entregue no dia 10/02/2025, referente ao pedido Nº Pedido 893 Rastreio Pedido 893, agradecemos a preferência e adoraríamos receber sua avaliação, tendo qualquer dúvida estamos à disposição._x000a__x000a_Att_x000a_Sec Variedades"/>
  </r>
  <r>
    <s v="Pedido 839"/>
    <s v="CódRastreio816"/>
    <s v="LP00710763110596"/>
    <s v="BV"/>
    <d v="2025-02-25T00:00:00"/>
    <s v="Transp 1"/>
    <s v="-"/>
    <x v="0"/>
    <s v="Brasil"/>
    <d v="2025-02-13T00:00:00"/>
    <s v="Entregue"/>
    <x v="0"/>
    <s v="-"/>
    <x v="0"/>
    <s v="Olá Nome, _x000a_Identificamos que o Item Ventilador Preto foi entregue no dia 13/02/2025, referente ao pedido Nº Pedido 839 Rastreio Pedido 839, agradecemos a preferência e adoraríamos receber sua avaliação, tendo qualquer dúvida estamos à disposição._x000a__x000a_Att_x000a_Tem tudo Shop"/>
  </r>
  <r>
    <s v="Pedido 840"/>
    <s v="CódRastreio817"/>
    <s v="LP00709937848844"/>
    <s v="BV"/>
    <d v="2025-02-19T00:00:00"/>
    <s v="Transp 1"/>
    <s v="-"/>
    <x v="0"/>
    <s v="Brasil"/>
    <d v="2025-02-08T00:00:00"/>
    <s v="Entregue"/>
    <x v="0"/>
    <s v="-"/>
    <x v="0"/>
    <s v="Olá Nome, _x000a_Identificamos que o Item Ventilador de teto foi entregue no dia 08/02/2025, referente ao pedido Nº Pedido 840 Rastreio Pedido 840, agradecemos a preferência e adoraríamos receber sua avaliação, tendo qualquer dúvida estamos à disposição._x000a__x000a_Att_x000a_Tem tudo Shop"/>
  </r>
  <r>
    <s v="Pedido 894"/>
    <s v="CódRastreio871"/>
    <s v="LP00710760633709"/>
    <s v="GO"/>
    <d v="2025-02-19T00:00:00"/>
    <s v="Transp 1"/>
    <s v="-"/>
    <x v="0"/>
    <s v="Brasil"/>
    <d v="2025-02-10T00:00:00"/>
    <s v="Entregue"/>
    <x v="0"/>
    <s v="-"/>
    <x v="0"/>
    <s v="Olá Nome, _x000a_Identificamos que o Item Ventilador Preto foi entregue no dia 10/02/2025, referente ao pedido Nº Pedido 894 Rastreio Pedido 894, agradecemos a preferência e adoraríamos receber sua avaliação, tendo qualquer dúvida estamos à disposição._x000a__x000a_Att_x000a_Sec Variedades"/>
  </r>
  <r>
    <s v="Pedido 895"/>
    <s v="CódRastreio872"/>
    <s v="LP00711723133322"/>
    <s v="GO"/>
    <d v="2025-02-20T00:00:00"/>
    <s v="Transp 1"/>
    <s v="-"/>
    <x v="0"/>
    <s v="Brasil"/>
    <d v="2025-02-12T00:00:00"/>
    <s v="Entregue"/>
    <x v="0"/>
    <s v="-"/>
    <x v="0"/>
    <s v="Olá Nome, _x000a_Identificamos que o Item Ventilador Preto foi entregue no dia 12/02/2025, referente ao pedido Nº Pedido 895 Rastreio Pedido 895, agradecemos a preferência e adoraríamos receber sua avaliação, tendo qualquer dúvida estamos à disposição._x000a__x000a_Att_x000a_Sec Variedades"/>
  </r>
  <r>
    <s v="Pedido 896"/>
    <s v="CódRastreio873"/>
    <s v="LP00710895800151"/>
    <s v="GO"/>
    <d v="2025-02-21T00:00:00"/>
    <s v="Transp 1"/>
    <s v="-"/>
    <x v="0"/>
    <s v="Brasil"/>
    <d v="2025-02-18T00:00:00"/>
    <s v="Entregue"/>
    <x v="0"/>
    <s v="-"/>
    <x v="0"/>
    <s v="Olá Nome, _x000a_Identificamos que o Item Ventilador Preto foi entregue no dia 18/02/2025, referente ao pedido Nº Pedido 896 Rastreio Pedido 896, agradecemos a preferência e adoraríamos receber sua avaliação, tendo qualquer dúvida estamos à disposição._x000a__x000a_Att_x000a_Sec Variedades"/>
  </r>
  <r>
    <s v="Pedido 841"/>
    <s v="CódRastreio818"/>
    <s v="LP00710894061617"/>
    <s v="BV"/>
    <d v="2025-02-20T00:00:00"/>
    <s v="Transp 1"/>
    <s v="-"/>
    <x v="0"/>
    <s v="Brasil"/>
    <d v="2025-02-11T00:00:00"/>
    <s v="Entregue"/>
    <x v="0"/>
    <s v="-"/>
    <x v="0"/>
    <s v="Olá Nome, _x000a_Identificamos que o Item Ventilador Preto foi entregue no dia 11/02/2025, referente ao pedido Nº Pedido 841 Rastreio Pedido 841, agradecemos a preferência e adoraríamos receber sua avaliação, tendo qualquer dúvida estamos à disposição._x000a__x000a_Att_x000a_Tem tudo Shop"/>
  </r>
  <r>
    <s v="Pedido 897"/>
    <s v="CódRastreio874"/>
    <s v="LP00710259034296"/>
    <s v="GO"/>
    <d v="2025-02-21T00:00:00"/>
    <s v="Transp 1"/>
    <s v="-"/>
    <x v="0"/>
    <s v="Brasil"/>
    <d v="2025-02-10T00:00:00"/>
    <s v="Entregue"/>
    <x v="0"/>
    <s v="-"/>
    <x v="0"/>
    <s v="Olá Nome, _x000a_Identificamos que o Item Ventilador Preto foi entregue no dia 10/02/2025, referente ao pedido Nº Pedido 897 Rastreio Pedido 897, agradecemos a preferência e adoraríamos receber sua avaliação, tendo qualquer dúvida estamos à disposição._x000a__x000a_Att_x000a_Sec Variedades"/>
  </r>
  <r>
    <s v="Pedido 898"/>
    <s v="CódRastreio875"/>
    <s v="LP00711091874267"/>
    <s v="GO"/>
    <d v="2025-02-21T00:00:00"/>
    <s v="Transp 1"/>
    <s v="-"/>
    <x v="0"/>
    <s v="Brasil"/>
    <d v="2025-02-12T00:00:00"/>
    <s v="Entregue"/>
    <x v="0"/>
    <s v="-"/>
    <x v="0"/>
    <s v="Olá Nome, _x000a_Identificamos que o Item Ventilador Preto foi entregue no dia 12/02/2025, referente ao pedido Nº Pedido 898 Rastreio Pedido 898, agradecemos a preferência e adoraríamos receber sua avaliação, tendo qualquer dúvida estamos à disposição._x000a__x000a_Att_x000a_Sec Variedades"/>
  </r>
  <r>
    <s v="Pedido 899"/>
    <s v="CódRastreio876"/>
    <s v="LP00711936246254"/>
    <s v="GO"/>
    <d v="2025-02-21T00:00:00"/>
    <s v="Transp 1"/>
    <s v="-"/>
    <x v="0"/>
    <s v="Brasil"/>
    <d v="2025-02-10T00:00:00"/>
    <s v="Entregue"/>
    <x v="0"/>
    <s v="-"/>
    <x v="0"/>
    <s v="Olá Nome, _x000a_Identificamos que o Item Ventilador Preto foi entregue no dia 10/02/2025, referente ao pedido Nº Pedido 899 Rastreio Pedido 899, agradecemos a preferência e adoraríamos receber sua avaliação, tendo qualquer dúvida estamos à disposição._x000a__x000a_Att_x000a_Sec Variedades"/>
  </r>
  <r>
    <s v="Pedido 842"/>
    <s v="CódRastreio819"/>
    <n v="3621049647514"/>
    <s v="BV"/>
    <d v="2025-02-18T00:00:00"/>
    <s v="Transp 1"/>
    <s v="-"/>
    <x v="1"/>
    <s v="Brasil"/>
    <d v="2025-02-06T00:00:00"/>
    <s v="Entregue"/>
    <x v="0"/>
    <s v="-"/>
    <x v="0"/>
    <s v="Olá Nome, _x000a_Identificamos que o Item Mini Liquidificador foi entregue no dia 06/02/2025, referente ao pedido Nº Pedido 842 Rastreio Pedido 842, agradecemos a preferência e adoraríamos receber sua avaliação, tendo qualquer dúvida estamos à disposição._x000a__x000a_Att_x000a_Tem tudo Shop"/>
  </r>
  <r>
    <s v="Pedido 843"/>
    <s v="CódRastreio820"/>
    <s v="CNBR00079143HB"/>
    <s v="BV"/>
    <d v="2025-02-15T00:00:00"/>
    <s v="Transp 1"/>
    <s v="-"/>
    <x v="1"/>
    <s v="Brasil"/>
    <d v="2025-02-05T00:00:00"/>
    <s v="Entregue"/>
    <x v="0"/>
    <s v="-"/>
    <x v="0"/>
    <s v="Olá Nome, _x000a_Identificamos que o Item Mini Liquidificador foi entregue no dia 05/02/2025, referente ao pedido Nº Pedido 843 Rastreio Pedido 843, agradecemos a preferência e adoraríamos receber sua avaliação, tendo qualquer dúvida estamos à disposição._x000a__x000a_Att_x000a_Tem tudo Shop"/>
  </r>
  <r>
    <s v="Pedido 844"/>
    <s v="CódRastreio821"/>
    <s v="CNBR013876290LG"/>
    <s v="BV"/>
    <d v="2025-02-21T00:00:00"/>
    <s v="Transp 1"/>
    <s v="-"/>
    <x v="1"/>
    <s v="Brasil"/>
    <d v="2025-02-06T00:00:00"/>
    <s v="Entregue"/>
    <x v="0"/>
    <s v="-"/>
    <x v="0"/>
    <s v="Olá Nome, _x000a_Identificamos que o Item Suporte de Celular Branco foi entregue no dia 06/02/2025, referente ao pedido Nº Pedido 844 Rastreio Pedido 844, agradecemos a preferência e adoraríamos receber sua avaliação, tendo qualquer dúvida estamos à disposição._x000a__x000a_Att_x000a_Tem tudo Shop"/>
  </r>
  <r>
    <s v="Pedido 845"/>
    <s v="CódRastreio822"/>
    <s v="CNBR013851987LG"/>
    <s v="BV"/>
    <d v="2025-02-21T00:00:00"/>
    <s v="Transp 1"/>
    <s v="-"/>
    <x v="1"/>
    <s v="Brasil"/>
    <d v="2025-02-06T00:00:00"/>
    <s v="Entregue"/>
    <x v="0"/>
    <s v="-"/>
    <x v="0"/>
    <s v="Olá Nome, _x000a_Identificamos que o Item Suporte de Celular Branco foi entregue no dia 06/02/2025, referente ao pedido Nº Pedido 845 Rastreio Pedido 845, agradecemos a preferência e adoraríamos receber sua avaliação, tendo qualquer dúvida estamos à disposição._x000a__x000a_Att_x000a_Tem tudo Shop"/>
  </r>
  <r>
    <s v="Pedido 846"/>
    <s v="CódRastreio823"/>
    <n v="888670001317580"/>
    <s v="BV"/>
    <d v="2025-02-21T00:00:00"/>
    <s v="Transp 1"/>
    <s v="-"/>
    <x v="1"/>
    <s v="Brasil"/>
    <d v="2025-02-06T00:00:00"/>
    <s v="Entregue"/>
    <x v="0"/>
    <s v="-"/>
    <x v="0"/>
    <s v="Olá Nome, _x000a_Identificamos que o Item Suporte de Celular Branco foi entregue no dia 06/02/2025, referente ao pedido Nº Pedido 846 Rastreio Pedido 846, agradecemos a preferência e adoraríamos receber sua avaliação, tendo qualquer dúvida estamos à disposição._x000a__x000a_Att_x000a_Tem tudo Shop"/>
  </r>
  <r>
    <s v="Pedido 847"/>
    <s v="CódRastreio824"/>
    <n v="888670001313646"/>
    <s v="BV"/>
    <d v="2025-02-15T00:00:00"/>
    <s v="Transp 1"/>
    <s v="-"/>
    <x v="1"/>
    <s v="Brasil"/>
    <d v="2025-02-08T00:00:00"/>
    <s v="Entregue"/>
    <x v="0"/>
    <s v="-"/>
    <x v="0"/>
    <s v="Olá Nome, _x000a_Identificamos que o Item Caixinha de som Preta foi entregue no dia 08/02/2025, referente ao pedido Nº Pedido 847 Rastreio Pedido 847, agradecemos a preferência e adoraríamos receber sua avaliação, tendo qualquer dúvida estamos à disposição._x000a__x000a_Att_x000a_Tem tudo Shop"/>
  </r>
  <r>
    <s v="Pedido 849"/>
    <s v="CódRastreio826"/>
    <n v="3621049648636"/>
    <s v="BV"/>
    <d v="2025-02-21T00:00:00"/>
    <s v="Transp 1"/>
    <s v="-"/>
    <x v="1"/>
    <s v="Brasil"/>
    <d v="2025-02-17T00:00:00"/>
    <s v="Entregue"/>
    <x v="0"/>
    <s v="-"/>
    <x v="0"/>
    <s v="Olá Nome, _x000a_Identificamos que o Item Lampada Led foi entregue no dia 17/02/2025, referente ao pedido Nº Pedido 849 Rastreio Pedido 849, agradecemos a preferência e adoraríamos receber sua avaliação, tendo qualquer dúvida estamos à disposição._x000a__x000a_Att_x000a_Tem tudo Shop"/>
  </r>
  <r>
    <s v="Pedido 851"/>
    <s v="CódRastreio828"/>
    <n v="888670001317603"/>
    <s v="BV"/>
    <d v="2025-02-21T00:00:00"/>
    <s v="Transp 1"/>
    <s v="-"/>
    <x v="1"/>
    <s v="Brasil"/>
    <d v="2025-02-07T00:00:00"/>
    <s v="Entregue"/>
    <x v="0"/>
    <s v="-"/>
    <x v="0"/>
    <s v="Olá Nome, _x000a_Identificamos que o Item Suporte de Celular Branco foi entregue no dia 07/02/2025, referente ao pedido Nº Pedido 851 Rastreio Pedido 851, agradecemos a preferência e adoraríamos receber sua avaliação, tendo qualquer dúvida estamos à disposição._x000a__x000a_Att_x000a_Tem tudo Shop"/>
  </r>
  <r>
    <s v="Pedido 852"/>
    <s v="CódRastreio829"/>
    <n v="888670001310182"/>
    <s v="BV"/>
    <d v="2025-02-27T00:00:00"/>
    <s v="Transp 1"/>
    <s v="-"/>
    <x v="1"/>
    <s v="Brasil"/>
    <d v="2025-02-08T00:00:00"/>
    <s v="Entregue"/>
    <x v="0"/>
    <s v="-"/>
    <x v="0"/>
    <s v="Olá Nome, _x000a_Identificamos que o Item Suporte de Celular Branco foi entregue no dia 08/02/2025, referente ao pedido Nº Pedido 852 Rastreio Pedido 852, agradecemos a preferência e adoraríamos receber sua avaliação, tendo qualquer dúvida estamos à disposição._x000a__x000a_Att_x000a_Tem tudo Shop"/>
  </r>
  <r>
    <s v="Pedido 855"/>
    <s v="CódRastreio832"/>
    <s v="LP00710268160442"/>
    <s v="BV"/>
    <d v="2025-02-21T00:00:00"/>
    <s v="Transp 1"/>
    <s v="NM747754467BR"/>
    <x v="0"/>
    <s v="Brasil"/>
    <d v="2025-02-27T00:00:00"/>
    <s v="Entregue"/>
    <x v="0"/>
    <s v="Solicitado Reembolso"/>
    <x v="1"/>
    <s v="Olá Nome, _x000a_Identificamos que o Item Ventilador de teto foi entregue no dia 27/02/2025, referente ao pedido Nº Pedido 855 Rastreio NM747754467BR, agradecemos a preferência e adoraríamos receber sua avaliação, tendo qualquer dúvida estamos à disposição._x000a__x000a_Att_x000a_Tem tudo Shop"/>
  </r>
  <r>
    <s v="Pedido 856"/>
    <s v="CódRastreio833"/>
    <n v="3621049648011"/>
    <s v="BV"/>
    <d v="2025-02-27T00:00:00"/>
    <s v="Transp 1"/>
    <s v="-"/>
    <x v="1"/>
    <s v="Brasil"/>
    <d v="2025-02-18T00:00:00"/>
    <s v="Entregue"/>
    <x v="0"/>
    <s v="-"/>
    <x v="0"/>
    <s v="Olá Nome, _x000a_Identificamos que o Item Suporte de Celular Branco foi entregue no dia 18/02/2025, referente ao pedido Nº Pedido 856 Rastreio Pedido 856, agradecemos a preferência e adoraríamos receber sua avaliação, tendo qualquer dúvida estamos à disposição._x000a__x000a_Att_x000a_Tem tudo Shop"/>
  </r>
  <r>
    <s v="Pedido 857"/>
    <s v="CódRastreio834"/>
    <n v="888670001313664"/>
    <s v="BV"/>
    <d v="2025-02-27T00:00:00"/>
    <s v="Transp 1"/>
    <s v="-"/>
    <x v="1"/>
    <s v="Brasil"/>
    <d v="2025-02-12T00:00:00"/>
    <s v="Entregue"/>
    <x v="0"/>
    <s v="-"/>
    <x v="0"/>
    <s v="Olá Nome, _x000a_Identificamos que o Item Garrafa Termica foi entregue no dia 12/02/2025, referente ao pedido Nº Pedido 857 Rastreio Pedido 857, agradecemos a preferência e adoraríamos receber sua avaliação, tendo qualquer dúvida estamos à disposição._x000a__x000a_Att_x000a_Tem tudo Shop"/>
  </r>
  <r>
    <s v="Pedido 858"/>
    <s v="CódRastreio835"/>
    <n v="888670001313655"/>
    <s v="BV"/>
    <d v="2025-02-21T00:00:00"/>
    <s v="Transp 1"/>
    <s v="-"/>
    <x v="1"/>
    <s v="Brasil"/>
    <d v="2025-02-06T00:00:00"/>
    <s v="Entregue"/>
    <x v="0"/>
    <s v="-"/>
    <x v="0"/>
    <s v="Olá Nome, _x000a_Identificamos que o Item Suporte de Celular Branco foi entregue no dia 06/02/2025, referente ao pedido Nº Pedido 858 Rastreio Pedido 858, agradecemos a preferência e adoraríamos receber sua avaliação, tendo qualquer dúvida estamos à disposição._x000a__x000a_Att_x000a_Tem tudo Shop"/>
  </r>
  <r>
    <s v="Pedido 854"/>
    <s v="CódRastreio831"/>
    <s v="CNBR013904129LG"/>
    <s v="BV"/>
    <d v="2025-02-19T00:00:00"/>
    <s v="Transp 1"/>
    <s v="-"/>
    <x v="1"/>
    <s v="Brasil"/>
    <d v="2025-02-11T00:00:00"/>
    <s v="Entregue"/>
    <x v="0"/>
    <s v="-"/>
    <x v="0"/>
    <s v="Olá Nome, _x000a_Identificamos que o Item Mini Liquidificador foi entregue no dia 11/02/2025, referente ao pedido Nº Pedido 854 Rastreio Pedido 854, agradecemos a preferência e adoraríamos receber sua avaliação, tendo qualquer dúvida estamos à disposição._x000a__x000a_Att_x000a_Tem tudo Shop"/>
  </r>
  <r>
    <s v="Pedido 859"/>
    <s v="CódRastreio836"/>
    <s v="CNBR013897462LG"/>
    <s v="BV"/>
    <d v="2025-02-28T00:00:00"/>
    <s v="Transp 1"/>
    <s v="-"/>
    <x v="1"/>
    <s v="Brasil"/>
    <d v="2025-02-11T00:00:00"/>
    <s v="Entregue"/>
    <x v="0"/>
    <s v="-"/>
    <x v="0"/>
    <s v="Olá Nome, _x000a_Identificamos que o Item Mini Liquidificador foi entregue no dia 11/02/2025, referente ao pedido Nº Pedido 859 Rastreio Pedido 859, agradecemos a preferência e adoraríamos receber sua avaliação, tendo qualquer dúvida estamos à disposição._x000a__x000a_Att_x000a_Tem tudo Shop"/>
  </r>
  <r>
    <s v="Pedido 860"/>
    <s v="CódRastreio837"/>
    <n v="888670001338733"/>
    <s v="BV"/>
    <d v="2025-02-22T00:00:00"/>
    <s v="Transp 1"/>
    <s v="-"/>
    <x v="1"/>
    <s v="Brasil"/>
    <d v="2025-02-07T00:00:00"/>
    <s v="Entregue"/>
    <x v="0"/>
    <s v="-"/>
    <x v="0"/>
    <s v="Olá Nome, _x000a_Identificamos que o Item Suporte de Celular Branco foi entregue no dia 07/02/2025, referente ao pedido Nº Pedido 860 Rastreio Pedido 860, agradecemos a preferência e adoraríamos receber sua avaliação, tendo qualquer dúvida estamos à disposição._x000a__x000a_Att_x000a_Tem tudo Shop"/>
  </r>
  <r>
    <s v="Pedido 861"/>
    <s v="CódRastreio838"/>
    <s v="CNBR013898406LG"/>
    <s v="BV"/>
    <d v="2025-02-20T00:00:00"/>
    <s v="Transp 1"/>
    <s v="-"/>
    <x v="1"/>
    <s v="Brasil"/>
    <d v="2025-02-07T00:00:00"/>
    <s v="Entregue"/>
    <x v="0"/>
    <s v="-"/>
    <x v="0"/>
    <s v="Olá Nome, _x000a_Identificamos que o Item Mini Liquidificador foi entregue no dia 07/02/2025, referente ao pedido Nº Pedido 861 Rastreio Pedido 861, agradecemos a preferência e adoraríamos receber sua avaliação, tendo qualquer dúvida estamos à disposição._x000a__x000a_Att_x000a_Tem tudo Shop"/>
  </r>
  <r>
    <s v="Pedido 862"/>
    <s v="CódRastreio839"/>
    <s v="LP00712023661793"/>
    <s v="BV"/>
    <d v="2025-02-22T00:00:00"/>
    <s v="Transp 1"/>
    <s v="-"/>
    <x v="0"/>
    <s v="Brasil"/>
    <d v="2025-02-10T00:00:00"/>
    <s v="Entregue"/>
    <x v="0"/>
    <s v="-"/>
    <x v="0"/>
    <s v="Olá Nome, _x000a_Identificamos que o Item Ventilador Preto foi entregue no dia 10/02/2025, referente ao pedido Nº Pedido 862 Rastreio Pedido 862, agradecemos a preferência e adoraríamos receber sua avaliação, tendo qualquer dúvida estamos à disposição._x000a__x000a_Att_x000a_Tem tudo Shop"/>
  </r>
  <r>
    <s v="Pedido 863"/>
    <s v="CódRastreio840"/>
    <n v="888670001342056"/>
    <s v="BV"/>
    <d v="2025-02-22T00:00:00"/>
    <s v="Transp 1"/>
    <s v="-"/>
    <x v="1"/>
    <s v="Brasil"/>
    <d v="2025-02-10T00:00:00"/>
    <s v="Entregue"/>
    <x v="0"/>
    <s v="-"/>
    <x v="0"/>
    <s v="Olá Nome, _x000a_Identificamos que o Item Suporte de Celular Branco foi entregue no dia 10/02/2025, referente ao pedido Nº Pedido 863 Rastreio Pedido 863, agradecemos a preferência e adoraríamos receber sua avaliação, tendo qualquer dúvida estamos à disposição._x000a__x000a_Att_x000a_Tem tudo Shop"/>
  </r>
  <r>
    <s v="Pedido 864"/>
    <s v="CódRastreio841"/>
    <n v="888670001342065"/>
    <s v="BV"/>
    <d v="2025-02-28T00:00:00"/>
    <s v="Transp 1"/>
    <s v="-"/>
    <x v="1"/>
    <s v="Brasil"/>
    <d v="2025-02-10T00:00:00"/>
    <s v="Entregue"/>
    <x v="0"/>
    <s v="-"/>
    <x v="0"/>
    <s v="Olá Nome, _x000a_Identificamos que o Item Suporte de Celular Branco foi entregue no dia 10/02/2025, referente ao pedido Nº Pedido 864 Rastreio Pedido 864, agradecemos a preferência e adoraríamos receber sua avaliação, tendo qualquer dúvida estamos à disposição._x000a__x000a_Att_x000a_Tem tudo Shop"/>
  </r>
  <r>
    <s v="Pedido 848"/>
    <s v="CódRastreio825"/>
    <s v="LP00711072200520"/>
    <s v="BV"/>
    <d v="2025-02-21T00:00:00"/>
    <s v="Transp 1"/>
    <s v="-"/>
    <x v="0"/>
    <s v="Brasil"/>
    <d v="2025-02-17T00:00:00"/>
    <s v="Entregue"/>
    <x v="0"/>
    <s v="-"/>
    <x v="0"/>
    <s v="Olá Nome, _x000a_Identificamos que o Item Ventilador Rosa foi entregue no dia 17/02/2025, referente ao pedido Nº Pedido 848 Rastreio Pedido 848, agradecemos a preferência e adoraríamos receber sua avaliação, tendo qualquer dúvida estamos à disposição._x000a__x000a_Att_x000a_Tem tudo Shop"/>
  </r>
  <r>
    <s v="Pedido 850"/>
    <s v="CódRastreio827"/>
    <s v="LP00710262094701"/>
    <s v="BV"/>
    <d v="2025-03-11T00:00:00"/>
    <s v="Transp 1"/>
    <s v="-"/>
    <x v="0"/>
    <s v="Brasil"/>
    <d v="2025-02-22T00:00:00"/>
    <s v="Entregue"/>
    <x v="0"/>
    <s v="-"/>
    <x v="0"/>
    <s v="Olá Nome, _x000a_Identificamos que o Item Ventilador Rosa foi entregue no dia 22/02/2025, referente ao pedido Nº Pedido 850 Rastreio Pedido 850, agradecemos a preferência e adoraríamos receber sua avaliação, tendo qualquer dúvida estamos à disposição._x000a__x000a_Att_x000a_Tem tudo Shop"/>
  </r>
  <r>
    <s v="Pedido 853"/>
    <s v="CódRastreio830"/>
    <s v="LP00710258849769"/>
    <s v="BV"/>
    <d v="2025-02-21T00:00:00"/>
    <s v="Transp 1"/>
    <s v="-"/>
    <x v="0"/>
    <s v="Brasil"/>
    <d v="2025-02-14T00:00:00"/>
    <s v="Entregue"/>
    <x v="0"/>
    <s v="-"/>
    <x v="0"/>
    <s v="Olá Nome, _x000a_Identificamos que o Item Ventilador Rosa foi entregue no dia 14/02/2025, referente ao pedido Nº Pedido 853 Rastreio Pedido 853, agradecemos a preferência e adoraríamos receber sua avaliação, tendo qualquer dúvida estamos à disposição._x000a__x000a_Att_x000a_Tem tudo Shop"/>
  </r>
  <r>
    <s v="Pedido 865"/>
    <s v="CódRastreio842"/>
    <n v="888670001355495"/>
    <s v="BV"/>
    <d v="2025-02-22T00:00:00"/>
    <s v="Transp 1"/>
    <s v="-"/>
    <x v="1"/>
    <s v="Brasil"/>
    <d v="2025-02-10T00:00:00"/>
    <s v="Entregue"/>
    <x v="0"/>
    <s v="-"/>
    <x v="0"/>
    <s v="Olá Nome, _x000a_Identificamos que o Item Suporte de Celular Branco foi entregue no dia 10/02/2025, referente ao pedido Nº Pedido 865 Rastreio Pedido 865, agradecemos a preferência e adoraríamos receber sua avaliação, tendo qualquer dúvida estamos à disposição._x000a__x000a_Att_x000a_Tem tudo Shop"/>
  </r>
  <r>
    <s v="Pedido 866"/>
    <s v="CódRastreio843"/>
    <n v="3621049649481"/>
    <s v="BV"/>
    <d v="2025-02-22T00:00:00"/>
    <s v="Transp 1"/>
    <s v="-"/>
    <x v="1"/>
    <s v="Brasil"/>
    <d v="2025-02-08T00:00:00"/>
    <s v="Entregue"/>
    <x v="0"/>
    <s v="-"/>
    <x v="0"/>
    <s v="Olá Nome, _x000a_Identificamos que o Item Suporte de Celular Branco foi entregue no dia 08/02/2025, referente ao pedido Nº Pedido 866 Rastreio Pedido 866, agradecemos a preferência e adoraríamos receber sua avaliação, tendo qualquer dúvida estamos à disposição._x000a__x000a_Att_x000a_Tem tudo Shop"/>
  </r>
  <r>
    <s v="Pedido 869"/>
    <s v="CódRastreio846"/>
    <n v="888670001362217"/>
    <s v="BV"/>
    <d v="2025-03-01T00:00:00"/>
    <s v="Transp 1"/>
    <s v="-"/>
    <x v="1"/>
    <s v="Brasil"/>
    <d v="2025-02-12T00:00:00"/>
    <s v="Entregue"/>
    <x v="0"/>
    <s v="-"/>
    <x v="0"/>
    <s v="Olá Nome, _x000a_Identificamos que o Item Suporte de Celular Branco foi entregue no dia 12/02/2025, referente ao pedido Nº Pedido 869 Rastreio Pedido 869, agradecemos a preferência e adoraríamos receber sua avaliação, tendo qualquer dúvida estamos à disposição._x000a__x000a_Att_x000a_Tem tudo Shop"/>
  </r>
  <r>
    <s v="Pedido 870"/>
    <s v="CódRastreio847"/>
    <n v="3621049651189"/>
    <s v="BV"/>
    <d v="2025-02-25T00:00:00"/>
    <s v="Transp 1"/>
    <s v="-"/>
    <x v="1"/>
    <s v="Brasil"/>
    <d v="2025-02-24T00:00:00"/>
    <s v="Entregue"/>
    <x v="0"/>
    <s v="Cliente Acionado"/>
    <x v="0"/>
    <s v="Olá Nome, _x000a_Identificamos que o Item Suporte de Celular Branco foi entregue no dia 24/02/2025, referente ao pedido Nº Pedido 870 Rastreio Pedido 870, agradecemos a preferência e adoraríamos receber sua avaliação, tendo qualquer dúvida estamos à disposição._x000a__x000a_Att_x000a_Tem tudo Shop"/>
  </r>
  <r>
    <s v="Pedido 871"/>
    <s v="CódRastreio848"/>
    <s v="LP00710498296777"/>
    <s v="BV"/>
    <d v="2025-02-25T00:00:00"/>
    <s v="Transp 1"/>
    <s v="-"/>
    <x v="0"/>
    <s v="Brasil"/>
    <d v="2025-02-18T00:00:00"/>
    <s v="Entregue"/>
    <x v="0"/>
    <s v="-"/>
    <x v="0"/>
    <s v="Olá Nome, _x000a_Identificamos que o Item Ventilador Preto foi entregue no dia 18/02/2025, referente ao pedido Nº Pedido 871 Rastreio Pedido 871, agradecemos a preferência e adoraríamos receber sua avaliação, tendo qualquer dúvida estamos à disposição._x000a__x000a_Att_x000a_Tem tudo Shop"/>
  </r>
  <r>
    <s v="Pedido 872"/>
    <s v="CódRastreio849"/>
    <s v="LP00710499352052"/>
    <s v="BV"/>
    <d v="2025-02-25T00:00:00"/>
    <s v="Transp 1"/>
    <s v="-"/>
    <x v="0"/>
    <s v="Brasil"/>
    <d v="2025-02-12T00:00:00"/>
    <s v="Entregue"/>
    <x v="0"/>
    <s v="-"/>
    <x v="0"/>
    <s v="Olá Nome, _x000a_Identificamos que o Item Ventilador Preto foi entregue no dia 12/02/2025, referente ao pedido Nº Pedido 872 Rastreio Pedido 872, agradecemos a preferência e adoraríamos receber sua avaliação, tendo qualquer dúvida estamos à disposição._x000a__x000a_Att_x000a_Tem tudo Shop"/>
  </r>
  <r>
    <s v="Pedido 868"/>
    <s v="CódRastreio845"/>
    <s v="CNBR013902794LG"/>
    <s v="BV"/>
    <d v="2025-02-21T00:00:00"/>
    <s v="Transp 1"/>
    <s v="-"/>
    <x v="1"/>
    <s v="Brasil"/>
    <d v="2025-02-10T00:00:00"/>
    <s v="Entregue"/>
    <x v="0"/>
    <s v="-"/>
    <x v="0"/>
    <s v="Olá Nome, _x000a_Identificamos que o Item Mini Liquidificador foi entregue no dia 10/02/2025, referente ao pedido Nº Pedido 868 Rastreio Pedido 868, agradecemos a preferência e adoraríamos receber sua avaliação, tendo qualquer dúvida estamos à disposição._x000a__x000a_Att_x000a_Tem tudo Shop"/>
  </r>
  <r>
    <s v="Pedido 867"/>
    <s v="CódRastreio844"/>
    <s v="LP00710451478256"/>
    <s v="BV"/>
    <d v="2025-03-01T00:00:00"/>
    <s v="Transp 1"/>
    <s v="-"/>
    <x v="0"/>
    <s v="Brasil"/>
    <d v="2025-02-20T00:00:00"/>
    <s v="Entregue"/>
    <x v="0"/>
    <s v="-"/>
    <x v="0"/>
    <s v="Olá Nome, _x000a_Identificamos que o Item Ventilador Rosa foi entregue no dia 20/02/2025, referente ao pedido Nº Pedido 867 Rastreio Pedido 867, agradecemos a preferência e adoraríamos receber sua avaliação, tendo qualquer dúvida estamos à disposição._x000a__x000a_Att_x000a_Tem tudo Shop"/>
  </r>
  <r>
    <s v="Pedido 874"/>
    <s v="CódRastreio851"/>
    <s v="LP00712311600430"/>
    <s v="BV"/>
    <d v="2025-03-07T00:00:00"/>
    <s v="Transp 1"/>
    <s v="-"/>
    <x v="0"/>
    <s v="Brasil"/>
    <d v="2025-02-17T00:00:00"/>
    <s v="Entregue"/>
    <x v="0"/>
    <s v="-"/>
    <x v="0"/>
    <s v="Olá Nome, _x000a_Identificamos que o Item Ventilador Azul foi entregue no dia 17/02/2025, referente ao pedido Nº Pedido 874 Rastreio Pedido 874, agradecemos a preferência e adoraríamos receber sua avaliação, tendo qualquer dúvida estamos à disposição._x000a__x000a_Att_x000a_Tem tudo Shop"/>
  </r>
  <r>
    <s v="Pedido 876"/>
    <s v="CódRastreio853"/>
    <s v="LP00712377265880"/>
    <s v="BV"/>
    <d v="2025-02-26T00:00:00"/>
    <s v="Transp 1"/>
    <s v="-"/>
    <x v="0"/>
    <s v="Brasil"/>
    <d v="2025-02-13T00:00:00"/>
    <s v="Entregue"/>
    <x v="0"/>
    <s v="-"/>
    <x v="0"/>
    <s v="Olá Nome, _x000a_Identificamos que o Item Ventilador de teto foi entregue no dia 13/02/2025, referente ao pedido Nº Pedido 876 Rastreio Pedido 876, agradecemos a preferência e adoraríamos receber sua avaliação, tendo qualquer dúvida estamos à disposição._x000a__x000a_Att_x000a_Tem tudo Shop"/>
  </r>
  <r>
    <s v="Pedido 877"/>
    <s v="CódRastreio854"/>
    <s v="LP00712349887054"/>
    <s v="BV"/>
    <d v="2025-02-26T00:00:00"/>
    <s v="Transp 1"/>
    <s v="-"/>
    <x v="0"/>
    <s v="Brasil"/>
    <d v="2025-02-17T00:00:00"/>
    <s v="Entregue"/>
    <x v="0"/>
    <s v="-"/>
    <x v="0"/>
    <s v="Olá Nome, _x000a_Identificamos que o Item Ventilador Azul foi entregue no dia 17/02/2025, referente ao pedido Nº Pedido 877 Rastreio Pedido 877, agradecemos a preferência e adoraríamos receber sua avaliação, tendo qualquer dúvida estamos à disposição._x000a__x000a_Att_x000a_Tem tudo Shop"/>
  </r>
  <r>
    <s v="Pedido 900"/>
    <s v="CódRastreio877"/>
    <s v="LP00710671979167"/>
    <s v="GO"/>
    <d v="2025-03-07T00:00:00"/>
    <s v="Transp 1"/>
    <s v="-"/>
    <x v="0"/>
    <s v="Brasil"/>
    <d v="2025-02-13T00:00:00"/>
    <s v="Entregue"/>
    <x v="0"/>
    <s v="-"/>
    <x v="0"/>
    <s v="Olá Nome, _x000a_Identificamos que o Item Ventilador Preto foi entregue no dia 13/02/2025, referente ao pedido Nº Pedido 900 Rastreio Pedido 900, agradecemos a preferência e adoraríamos receber sua avaliação, tendo qualquer dúvida estamos à disposição._x000a__x000a_Att_x000a_Sec Variedades"/>
  </r>
  <r>
    <s v="Pedido 875"/>
    <s v="CódRastreio852"/>
    <s v="CNBR013936118LG"/>
    <s v="BV"/>
    <d v="2025-02-22T00:00:00"/>
    <s v="Transp 1"/>
    <s v="-"/>
    <x v="1"/>
    <s v="Brasil"/>
    <d v="2025-02-10T00:00:00"/>
    <s v="Entregue"/>
    <x v="0"/>
    <s v="-"/>
    <x v="0"/>
    <s v="Olá Nome, _x000a_Identificamos que o Item Mini Liquidificador foi entregue no dia 10/02/2025, referente ao pedido Nº Pedido 875 Rastreio Pedido 875, agradecemos a preferência e adoraríamos receber sua avaliação, tendo qualquer dúvida estamos à disposição._x000a__x000a_Att_x000a_Tem tudo Shop"/>
  </r>
  <r>
    <s v="Pedido 901"/>
    <s v="CódRastreio878"/>
    <s v="LP00712350540567"/>
    <s v="GO"/>
    <d v="2025-03-07T00:00:00"/>
    <s v="Transp 1"/>
    <s v="-"/>
    <x v="0"/>
    <s v="Brasil"/>
    <d v="2025-02-25T00:00:00"/>
    <s v="Entregue"/>
    <x v="0"/>
    <s v="Cliente informado"/>
    <x v="0"/>
    <s v="Olá Nome, _x000a_Identificamos que o Item Ventilador Preto foi entregue no dia 25/02/2025, referente ao pedido Nº Pedido 901 Rastreio Pedido 901, agradecemos a preferência e adoraríamos receber sua avaliação, tendo qualquer dúvida estamos à disposição._x000a__x000a_Att_x000a_Sec Variedades"/>
  </r>
  <r>
    <s v="Pedido 902"/>
    <s v="CódRastreio879"/>
    <s v="LP00710859994589"/>
    <s v="MEI"/>
    <d v="2025-02-26T00:00:00"/>
    <s v="Transp 1"/>
    <s v="-"/>
    <x v="0"/>
    <s v="Brasil"/>
    <d v="2025-02-19T00:00:00"/>
    <s v="Entregue"/>
    <x v="0"/>
    <s v="-"/>
    <x v="0"/>
    <s v="Olá Nome, _x000a_Identificamos que o Item Kit Forma de Gelo c/ Tampa 4 un foi entregue no dia 19/02/2025, referente ao pedido Nº Pedido 902 Rastreio Pedido 902, agradecemos a preferência e adoraríamos receber sua avaliação, tendo qualquer dúvida estamos à disposição._x000a__x000a_Att_x000a_NTA Variedades"/>
  </r>
  <r>
    <s v="Pedido 903"/>
    <s v="CódRastreio880"/>
    <s v="LP00712556329829"/>
    <s v="MEI"/>
    <d v="2025-02-26T00:00:00"/>
    <s v="Transp 1"/>
    <s v="-"/>
    <x v="0"/>
    <s v="Brasil"/>
    <d v="2025-02-20T00:00:00"/>
    <s v="Entregue"/>
    <x v="0"/>
    <s v="-"/>
    <x v="0"/>
    <s v="Olá Nome, _x000a_Identificamos que o Item Kit Forma de Gelo c/ Tampa 4 un foi entregue no dia 20/02/2025, referente ao pedido Nº Pedido 903 Rastreio Pedido 903, agradecemos a preferência e adoraríamos receber sua avaliação, tendo qualquer dúvida estamos à disposição._x000a__x000a_Att_x000a_NTA Variedades"/>
  </r>
  <r>
    <s v="Pedido 904"/>
    <s v="CódRastreio881"/>
    <s v="LP00711711555593"/>
    <s v="MEI"/>
    <d v="2025-02-26T00:00:00"/>
    <s v="Transp 1"/>
    <s v="-"/>
    <x v="0"/>
    <s v="Brasil"/>
    <d v="2025-02-22T00:00:00"/>
    <s v="Entregue"/>
    <x v="0"/>
    <s v="-"/>
    <x v="0"/>
    <s v="Olá Nome, _x000a_Identificamos que o Item Kit Forma de Gelo c/ Tampa 4 un foi entregue no dia 22/02/2025, referente ao pedido Nº Pedido 904 Rastreio Pedido 904, agradecemos a preferência e adoraríamos receber sua avaliação, tendo qualquer dúvida estamos à disposição._x000a__x000a_Att_x000a_NTA Variedades"/>
  </r>
  <r>
    <s v="Pedido 905"/>
    <s v="CódRastreio882"/>
    <s v="LP00712540212646"/>
    <s v="MEI"/>
    <d v="2025-03-07T00:00:00"/>
    <s v="Transp 1"/>
    <s v="CNBR00048377449"/>
    <x v="0"/>
    <s v="Brasil"/>
    <d v="2025-02-26T00:00:00"/>
    <s v="Entregue"/>
    <x v="0"/>
    <s v="-"/>
    <x v="0"/>
    <s v="Olá Nome, _x000a_Identificamos que o Item Kit Forma de Gelo c/ Tampa 4 un foi entregue no dia 26/02/2025, referente ao pedido Nº Pedido 905 Rastreio CNBR00048377449, agradecemos a preferência e adoraríamos receber sua avaliação, tendo qualquer dúvida estamos à disposição._x000a__x000a_Att_x000a_NTA Variedades"/>
  </r>
  <r>
    <s v="Pedido 906"/>
    <s v="CódRastreio883"/>
    <s v="LP00712536486923"/>
    <s v="MEI"/>
    <d v="2025-02-26T00:00:00"/>
    <s v="Transp 1"/>
    <s v="-"/>
    <x v="0"/>
    <s v="Brasil"/>
    <d v="2025-02-21T00:00:00"/>
    <s v="Entregue"/>
    <x v="0"/>
    <s v="-"/>
    <x v="0"/>
    <s v="Olá Nome, _x000a_Identificamos que o Item Kit Forma de Gelo c/ Tampa 4 un foi entregue no dia 21/02/2025, referente ao pedido Nº Pedido 906 Rastreio Pedido 906, agradecemos a preferência e adoraríamos receber sua avaliação, tendo qualquer dúvida estamos à disposição._x000a__x000a_Att_x000a_NTA Variedades"/>
  </r>
  <r>
    <s v="Pedido 907"/>
    <s v="CódRastreio884"/>
    <s v="LP00710864614743"/>
    <s v="MEI"/>
    <d v="2025-03-07T00:00:00"/>
    <s v="Transp 1"/>
    <s v="-"/>
    <x v="0"/>
    <s v="Brasil"/>
    <d v="2025-02-24T00:00:00"/>
    <s v="Entregue"/>
    <x v="0"/>
    <s v="-"/>
    <x v="0"/>
    <s v="Olá Nome, _x000a_Identificamos que o Item Kit Forma de Gelo c/ Tampa 4 un foi entregue no dia 24/02/2025, referente ao pedido Nº Pedido 907 Rastreio Pedido 907, agradecemos a preferência e adoraríamos receber sua avaliação, tendo qualquer dúvida estamos à disposição._x000a__x000a_Att_x000a_NTA Variedades"/>
  </r>
  <r>
    <s v="Pedido 908"/>
    <s v="CódRastreio885"/>
    <s v="LP00711682347358"/>
    <s v="MEI"/>
    <d v="2025-03-07T00:00:00"/>
    <s v="Transp 1"/>
    <s v="-"/>
    <x v="0"/>
    <s v="Brasil"/>
    <d v="2025-02-24T00:00:00"/>
    <s v="Entregue"/>
    <x v="0"/>
    <s v="-"/>
    <x v="0"/>
    <s v="Olá Nome, _x000a_Identificamos que o Item Kit Forma de Gelo c/ Tampa 4 un foi entregue no dia 24/02/2025, referente ao pedido Nº Pedido 908 Rastreio Pedido 908, agradecemos a preferência e adoraríamos receber sua avaliação, tendo qualquer dúvida estamos à disposição._x000a__x000a_Att_x000a_NTA Variedades"/>
  </r>
  <r>
    <s v="Pedido 909"/>
    <s v="CódRastreio886"/>
    <s v="LP00712552962505"/>
    <s v="MEI"/>
    <d v="2025-02-26T00:00:00"/>
    <s v="Transp 1"/>
    <s v="-"/>
    <x v="0"/>
    <s v="Brasil"/>
    <d v="2025-02-24T00:00:00"/>
    <s v="Entregue"/>
    <x v="0"/>
    <s v="-"/>
    <x v="0"/>
    <s v="Olá Nome, _x000a_Identificamos que o Item Kit Forma de Gelo c/ Tampa 4 un foi entregue no dia 24/02/2025, referente ao pedido Nº Pedido 909 Rastreio Pedido 909, agradecemos a preferência e adoraríamos receber sua avaliação, tendo qualquer dúvida estamos à disposição._x000a__x000a_Att_x000a_NTA Variedades"/>
  </r>
  <r>
    <s v="Pedido 910"/>
    <s v="CódRastreio887"/>
    <s v="LP00711681615554"/>
    <s v="MEI"/>
    <d v="2025-03-07T00:00:00"/>
    <s v="Transp 1"/>
    <s v="CNBR00048394767"/>
    <x v="0"/>
    <s v="Brasil"/>
    <d v="2025-02-27T00:00:00"/>
    <s v="Entregue"/>
    <x v="0"/>
    <s v="Cliente Acionado"/>
    <x v="0"/>
    <s v="Olá Nome, _x000a_Identificamos que o Item Kit Forma de Gelo c/ Tampa 4 un foi entregue no dia 27/02/2025, referente ao pedido Nº Pedido 910 Rastreio CNBR00048394767, agradecemos a preferência e adoraríamos receber sua avaliação, tendo qualquer dúvida estamos à disposição._x000a__x000a_Att_x000a_NTA Variedades"/>
  </r>
  <r>
    <s v="Pedido 911"/>
    <s v="CódRastreio888"/>
    <s v="LP00710858855202"/>
    <s v="MEI"/>
    <d v="2025-03-14T00:00:00"/>
    <s v="Transp 1"/>
    <s v="-"/>
    <x v="0"/>
    <s v="Brasil"/>
    <d v="2025-02-21T00:00:00"/>
    <s v="Entregue"/>
    <x v="0"/>
    <s v="-"/>
    <x v="0"/>
    <s v="Olá Nome, _x000a_Identificamos que o Item Kit Forma de Gelo c/ Tampa 4 un foi entregue no dia 21/02/2025, referente ao pedido Nº Pedido 911 Rastreio Pedido 911, agradecemos a preferência e adoraríamos receber sua avaliação, tendo qualquer dúvida estamos à disposição._x000a__x000a_Att_x000a_NTA Variedades"/>
  </r>
  <r>
    <s v="Pedido 912"/>
    <s v="CódRastreio889"/>
    <s v="LP00712550040814"/>
    <s v="MEI"/>
    <d v="2025-02-26T00:00:00"/>
    <s v="Transp 1"/>
    <s v="-"/>
    <x v="0"/>
    <s v="Brasil"/>
    <d v="2025-02-17T00:00:00"/>
    <s v="Entregue"/>
    <x v="0"/>
    <s v="-"/>
    <x v="0"/>
    <s v="Olá Nome, _x000a_Identificamos que o Item Kit Forma de Gelo c/ Tampa 4 un foi entregue no dia 17/02/2025, referente ao pedido Nº Pedido 912 Rastreio Pedido 912, agradecemos a preferência e adoraríamos receber sua avaliação, tendo qualquer dúvida estamos à disposição._x000a__x000a_Att_x000a_NTA Variedades"/>
  </r>
  <r>
    <s v="Pedido 913"/>
    <s v="CódRastreio890"/>
    <s v="LP00711729945578"/>
    <s v="MEI"/>
    <d v="2025-03-14T00:00:00"/>
    <s v="Transp 1"/>
    <s v="NM750498035BR"/>
    <x v="0"/>
    <s v="Brasil"/>
    <d v="2025-03-13T00:00:00"/>
    <s v="Entregue"/>
    <x v="0"/>
    <s v="-"/>
    <x v="0"/>
    <s v="Olá Nome, _x000a_Identificamos que o Item Kit Forma de Gelo c/ Tampa 4 un foi entregue no dia 13/03/2025, referente ao pedido Nº Pedido 913 Rastreio NM750498035BR, agradecemos a preferência e adoraríamos receber sua avaliação, tendo qualquer dúvida estamos à disposição._x000a__x000a_Att_x000a_NTA Variedades"/>
  </r>
  <r>
    <s v="Pedido 914"/>
    <s v="CódRastreio891"/>
    <s v="LP00711730515540"/>
    <s v="MEI"/>
    <d v="2025-02-26T00:00:00"/>
    <s v="Transp 1"/>
    <s v="-"/>
    <x v="0"/>
    <s v="Brasil"/>
    <d v="2025-02-17T00:00:00"/>
    <s v="Entregue"/>
    <x v="0"/>
    <s v="-"/>
    <x v="0"/>
    <s v="Olá Nome, _x000a_Identificamos que o Item Kit Forma de Gelo c/ Tampa 4 un foi entregue no dia 17/02/2025, referente ao pedido Nº Pedido 914 Rastreio Pedido 914, agradecemos a preferência e adoraríamos receber sua avaliação, tendo qualquer dúvida estamos à disposição._x000a__x000a_Att_x000a_NTA Variedades"/>
  </r>
  <r>
    <s v="Pedido 915"/>
    <s v="CódRastreio892"/>
    <s v="LP00710859041424"/>
    <s v="MEI"/>
    <d v="2025-03-07T00:00:00"/>
    <s v="Transp 1"/>
    <s v="NM750520657BR"/>
    <x v="0"/>
    <s v="Brasil"/>
    <d v="2025-02-27T09:26:37"/>
    <s v="Entregue"/>
    <x v="0"/>
    <s v="Cliente informado"/>
    <x v="0"/>
    <s v="Olá Nome, _x000a_Identificamos que o Item Kit Forma de Gelo c/ Tampa 4 un foi entregue no dia 27/02/2025, referente ao pedido Nº Pedido 915 Rastreio NM750520657BR, agradecemos a preferência e adoraríamos receber sua avaliação, tendo qualquer dúvida estamos à disposição._x000a__x000a_Att_x000a_NTA Variedades"/>
  </r>
  <r>
    <s v="Pedido 916"/>
    <s v="CódRastreio893"/>
    <s v="LP00712527043884"/>
    <s v="MEI"/>
    <d v="2025-03-07T00:00:00"/>
    <s v="Transp 1"/>
    <s v="-"/>
    <x v="0"/>
    <s v="Brasil"/>
    <d v="2025-02-20T00:00:00"/>
    <s v="Entregue"/>
    <x v="0"/>
    <s v="-"/>
    <x v="0"/>
    <s v="Olá Nome, _x000a_Identificamos que o Item Kit Forma de Gelo c/ Tampa 4 un foi entregue no dia 20/02/2025, referente ao pedido Nº Pedido 916 Rastreio Pedido 916, agradecemos a preferência e adoraríamos receber sua avaliação, tendo qualquer dúvida estamos à disposição._x000a__x000a_Att_x000a_NTA Variedades"/>
  </r>
  <r>
    <s v="Pedido 917"/>
    <s v="CódRastreio894"/>
    <s v="LP00710882380711"/>
    <s v="MEI"/>
    <d v="2025-03-07T00:00:00"/>
    <s v="Transp 1"/>
    <s v="-"/>
    <x v="0"/>
    <s v="Brasil"/>
    <d v="2025-02-17T00:00:00"/>
    <s v="Entregue"/>
    <x v="0"/>
    <s v="-"/>
    <x v="0"/>
    <s v="Olá Nome, _x000a_Identificamos que o Item Kit Forma de Gelo c/ Tampa 4 un foi entregue no dia 17/02/2025, referente ao pedido Nº Pedido 917 Rastreio Pedido 917, agradecemos a preferência e adoraríamos receber sua avaliação, tendo qualquer dúvida estamos à disposição._x000a__x000a_Att_x000a_NTA Variedades"/>
  </r>
  <r>
    <s v="Pedido 918"/>
    <s v="CódRastreio895"/>
    <s v="LP00712565586556"/>
    <s v="MEI"/>
    <d v="2025-02-26T00:00:00"/>
    <s v="Transp 1"/>
    <s v="-"/>
    <x v="0"/>
    <s v="Brasil"/>
    <d v="2025-02-18T00:00:00"/>
    <s v="Entregue"/>
    <x v="0"/>
    <s v="-"/>
    <x v="0"/>
    <s v="Olá Nome, _x000a_Identificamos que o Item Kit Forma de Gelo c/ Tampa 4 un foi entregue no dia 18/02/2025, referente ao pedido Nº Pedido 918 Rastreio Pedido 918, agradecemos a preferência e adoraríamos receber sua avaliação, tendo qualquer dúvida estamos à disposição._x000a__x000a_Att_x000a_NTA Variedades"/>
  </r>
  <r>
    <s v="Pedido 919"/>
    <s v="CódRastreio896"/>
    <s v="LP00712533463842"/>
    <s v="MEI"/>
    <d v="2025-02-27T00:00:00"/>
    <s v="Transp 1"/>
    <s v="-"/>
    <x v="0"/>
    <s v="Brasil"/>
    <d v="2025-02-13T00:00:00"/>
    <s v="Entregue"/>
    <x v="0"/>
    <s v="-"/>
    <x v="0"/>
    <s v="Olá Nome, _x000a_Identificamos que o Item Kit Forma de Gelo c/ Tampa 4 un foi entregue no dia 13/02/2025, referente ao pedido Nº Pedido 919 Rastreio Pedido 919, agradecemos a preferência e adoraríamos receber sua avaliação, tendo qualquer dúvida estamos à disposição._x000a__x000a_Att_x000a_NTA Variedades"/>
  </r>
  <r>
    <s v="Pedido 920"/>
    <s v="CódRastreio897"/>
    <s v="LP00711739923472"/>
    <s v="MEI"/>
    <d v="2025-02-27T00:00:00"/>
    <s v="Transp 1"/>
    <s v="-"/>
    <x v="0"/>
    <s v="Brasil"/>
    <d v="2025-02-20T00:00:00"/>
    <s v="Entregue"/>
    <x v="0"/>
    <s v="-"/>
    <x v="0"/>
    <s v="Olá Nome, _x000a_Identificamos que o Item Kit Forma de Gelo c/ Tampa 4 un foi entregue no dia 20/02/2025, referente ao pedido Nº Pedido 920 Rastreio Pedido 920, agradecemos a preferência e adoraríamos receber sua avaliação, tendo qualquer dúvida estamos à disposição._x000a__x000a_Att_x000a_NTA Variedades"/>
  </r>
  <r>
    <s v="Pedido 873"/>
    <s v="CódRastreio850"/>
    <s v="LP00712828957192"/>
    <s v="BV"/>
    <d v="2025-03-01T00:00:00"/>
    <s v="Transp 1"/>
    <s v="-"/>
    <x v="0"/>
    <s v="Brasil"/>
    <d v="2025-02-20T00:00:00"/>
    <s v="Entregue"/>
    <x v="0"/>
    <s v="-"/>
    <x v="0"/>
    <s v="Olá Nome, _x000a_Identificamos que o Item Ventilador Preto foi entregue no dia 20/02/2025, referente ao pedido Nº Pedido 873 Rastreio Pedido 873, agradecemos a preferência e adoraríamos receber sua avaliação, tendo qualquer dúvida estamos à disposição._x000a__x000a_Att_x000a_Tem tudo Shop"/>
  </r>
  <r>
    <s v="Pedido 921"/>
    <s v="CódRastreio898"/>
    <n v="3621049653205"/>
    <s v="BV"/>
    <d v="2025-02-27T00:00:00"/>
    <s v="Transp 1"/>
    <s v="-"/>
    <x v="1"/>
    <s v="Brasil"/>
    <d v="2025-02-13T00:00:00"/>
    <s v="Entregue"/>
    <x v="0"/>
    <s v="-"/>
    <x v="0"/>
    <s v="Olá Nome, _x000a_Identificamos que o Item Suporte de Celular Branco foi entregue no dia 13/02/2025, referente ao pedido Nº Pedido 921 Rastreio Pedido 921, agradecemos a preferência e adoraríamos receber sua avaliação, tendo qualquer dúvida estamos à disposição._x000a__x000a_Att_x000a_Tem tudo Shop"/>
  </r>
  <r>
    <s v="Pedido 922"/>
    <s v="CódRastreio899"/>
    <s v="LP00711942944709"/>
    <s v="BV"/>
    <d v="2025-02-27T00:00:00"/>
    <s v="Transp 1"/>
    <s v="-"/>
    <x v="0"/>
    <s v="Brasil"/>
    <d v="2025-02-20T00:00:00"/>
    <s v="Entregue"/>
    <x v="0"/>
    <s v="-"/>
    <x v="0"/>
    <s v="Olá Nome, _x000a_Identificamos que o Item Ventilador Rosa foi entregue no dia 20/02/2025, referente ao pedido Nº Pedido 922 Rastreio Pedido 922, agradecemos a preferência e adoraríamos receber sua avaliação, tendo qualquer dúvida estamos à disposição._x000a__x000a_Att_x000a_Tem tudo Shop"/>
  </r>
  <r>
    <s v="Pedido 923"/>
    <s v="CódRastreio900"/>
    <s v="LP00711947084680"/>
    <s v="BV"/>
    <d v="2025-02-28T00:00:00"/>
    <s v="Transp 1"/>
    <s v="-"/>
    <x v="0"/>
    <s v="Brasil"/>
    <d v="2025-02-18T00:00:00"/>
    <s v="Entregue"/>
    <x v="0"/>
    <s v="-"/>
    <x v="0"/>
    <s v="Olá Nome, _x000a_Identificamos que o Item Ventilador Rosa foi entregue no dia 18/02/2025, referente ao pedido Nº Pedido 923 Rastreio Pedido 923, agradecemos a preferência e adoraríamos receber sua avaliação, tendo qualquer dúvida estamos à disposição._x000a__x000a_Att_x000a_Tem tudo Shop"/>
  </r>
  <r>
    <s v="Pedido 925"/>
    <s v="CódRastreio902"/>
    <s v="LP00711074741358"/>
    <s v="BV"/>
    <d v="2025-02-28T00:00:00"/>
    <s v="Transp 1"/>
    <s v="-"/>
    <x v="0"/>
    <s v="Brasil"/>
    <d v="2025-02-20T00:00:00"/>
    <s v="Entregue"/>
    <x v="0"/>
    <s v="-"/>
    <x v="0"/>
    <s v="Olá Nome, _x000a_Identificamos que o Item Ventilador Rosa foi entregue no dia 20/02/2025, referente ao pedido Nº Pedido 925 Rastreio Pedido 925, agradecemos a preferência e adoraríamos receber sua avaliação, tendo qualquer dúvida estamos à disposição._x000a__x000a_Att_x000a_Tem tudo Shop"/>
  </r>
  <r>
    <s v="Pedido 924"/>
    <s v="CódRastreio901"/>
    <s v="CNBR013935934LG"/>
    <s v="BV"/>
    <d v="2025-02-28T00:00:00"/>
    <s v="Transp 1"/>
    <s v="-"/>
    <x v="1"/>
    <s v="Brasil"/>
    <d v="2025-02-24T00:00:00"/>
    <s v="Entregue"/>
    <x v="0"/>
    <s v="-"/>
    <x v="0"/>
    <s v="Olá Nome, _x000a_Identificamos que o Item Mini Liquidificador foi entregue no dia 24/02/2025, referente ao pedido Nº Pedido 924 Rastreio Pedido 924, agradecemos a preferência e adoraríamos receber sua avaliação, tendo qualquer dúvida estamos à disposição._x000a__x000a_Att_x000a_Tem tudo Shop"/>
  </r>
  <r>
    <s v="Pedido 926"/>
    <s v="CódRastreio903"/>
    <s v="CNBR013950327LG"/>
    <s v="MEI"/>
    <d v="2025-02-22T00:00:00"/>
    <s v="Transp 1"/>
    <s v="-"/>
    <x v="1"/>
    <s v="Brasil"/>
    <d v="2025-02-13T00:00:00"/>
    <s v="Entregue"/>
    <x v="0"/>
    <s v="-"/>
    <x v="0"/>
    <s v="Olá Nome, _x000a_Identificamos que o Item Mini Liquidificador foi entregue no dia 13/02/2025, referente ao pedido Nº Pedido 926 Rastreio Pedido 926, agradecemos a preferência e adoraríamos receber sua avaliação, tendo qualquer dúvida estamos à disposição._x000a__x000a_Att_x000a_NTA Variedades"/>
  </r>
  <r>
    <s v="Pedido 927"/>
    <s v="CódRastreio904"/>
    <n v="888670001439385"/>
    <s v="MEI"/>
    <d v="2025-02-28T00:00:00"/>
    <s v="Transp 1"/>
    <s v="-"/>
    <x v="1"/>
    <s v="Brasil"/>
    <d v="2025-02-14T00:00:00"/>
    <s v="Entregue"/>
    <x v="0"/>
    <s v="-"/>
    <x v="0"/>
    <s v="Olá Nome, _x000a_Identificamos que o Item Mini Liquidificador foi entregue no dia 14/02/2025, referente ao pedido Nº Pedido 927 Rastreio Pedido 927, agradecemos a preferência e adoraríamos receber sua avaliação, tendo qualquer dúvida estamos à disposição._x000a__x000a_Att_x000a_NTA Variedades"/>
  </r>
  <r>
    <s v="Pedido 928"/>
    <s v="CódRastreio905"/>
    <s v="CNBR013939879LG"/>
    <s v="BV"/>
    <d v="2025-02-26T00:00:00"/>
    <s v="Transp 1"/>
    <s v="-"/>
    <x v="1"/>
    <s v="Brasil"/>
    <d v="2025-02-17T00:00:00"/>
    <s v="Entregue"/>
    <x v="0"/>
    <s v="-"/>
    <x v="0"/>
    <s v="Olá Nome, _x000a_Identificamos que o Item Suporte de Celular Branco foi entregue no dia 17/02/2025, referente ao pedido Nº Pedido 928 Rastreio Pedido 928, agradecemos a preferência e adoraríamos receber sua avaliação, tendo qualquer dúvida estamos à disposição._x000a__x000a_Att_x000a_Tem tudo Shop"/>
  </r>
  <r>
    <s v="Pedido 931"/>
    <s v="CódRastreio908"/>
    <s v="CNBR013954258LG"/>
    <s v="BV"/>
    <d v="2025-02-22T00:00:00"/>
    <s v="Transp 1"/>
    <s v="-"/>
    <x v="1"/>
    <s v="Brasil"/>
    <d v="2025-02-14T00:00:00"/>
    <s v="Entregue"/>
    <x v="0"/>
    <s v="-"/>
    <x v="0"/>
    <s v="Olá Nome, _x000a_Identificamos que o Item Adaptador Bluetooph foi entregue no dia 14/02/2025, referente ao pedido Nº Pedido 931 Rastreio Pedido 931, agradecemos a preferência e adoraríamos receber sua avaliação, tendo qualquer dúvida estamos à disposição._x000a__x000a_Att_x000a_Tem tudo Shop"/>
  </r>
  <r>
    <s v="Pedido 933"/>
    <s v="CódRastreio910"/>
    <s v="LP00713297611026"/>
    <s v="BV"/>
    <d v="2025-02-28T00:00:00"/>
    <s v="Transp 1"/>
    <s v="-"/>
    <x v="0"/>
    <s v="Brasil"/>
    <d v="2025-02-17T00:00:00"/>
    <s v="Entregue"/>
    <x v="0"/>
    <s v="-"/>
    <x v="0"/>
    <s v="Olá Nome, _x000a_Identificamos que o Item Ventilador Rosa foi entregue no dia 17/02/2025, referente ao pedido Nº Pedido 933 Rastreio Pedido 933, agradecemos a preferência e adoraríamos receber sua avaliação, tendo qualquer dúvida estamos à disposição._x000a__x000a_Att_x000a_Tem tudo Shop"/>
  </r>
  <r>
    <s v="Pedido 934"/>
    <s v="CódRastreio911"/>
    <s v="LP00713300544193"/>
    <s v="BV"/>
    <d v="2025-02-28T00:00:00"/>
    <s v="Transp 1"/>
    <s v="-"/>
    <x v="0"/>
    <s v="Brasil"/>
    <d v="2025-02-17T00:00:00"/>
    <s v="Entregue"/>
    <x v="0"/>
    <s v="-"/>
    <x v="0"/>
    <s v="Olá Nome, _x000a_Identificamos que o Item Ventilador Rosa foi entregue no dia 17/02/2025, referente ao pedido Nº Pedido 934 Rastreio Pedido 934, agradecemos a preferência e adoraríamos receber sua avaliação, tendo qualquer dúvida estamos à disposição._x000a__x000a_Att_x000a_Tem tudo Shop"/>
  </r>
  <r>
    <s v="Pedido 935"/>
    <s v="CódRastreio912"/>
    <s v="LP00713301150414"/>
    <s v="BV"/>
    <d v="2025-02-28T00:00:00"/>
    <s v="Transp 1"/>
    <s v="-"/>
    <x v="0"/>
    <s v="Brasil"/>
    <d v="2025-02-18T00:00:00"/>
    <s v="Entregue"/>
    <x v="0"/>
    <s v="-"/>
    <x v="0"/>
    <s v="Olá Nome, _x000a_Identificamos que o Item Ventilador Rosa foi entregue no dia 18/02/2025, referente ao pedido Nº Pedido 935 Rastreio Pedido 935, agradecemos a preferência e adoraríamos receber sua avaliação, tendo qualquer dúvida estamos à disposição._x000a__x000a_Att_x000a_Tem tudo Shop"/>
  </r>
  <r>
    <s v="Pedido 937"/>
    <s v="CódRastreio914"/>
    <s v="LP00713308146147"/>
    <s v="GO"/>
    <d v="2025-02-28T00:00:00"/>
    <s v="Transp 1"/>
    <s v="-"/>
    <x v="0"/>
    <s v="Brasil"/>
    <d v="2025-02-17T00:00:00"/>
    <s v="Entregue"/>
    <x v="0"/>
    <s v="-"/>
    <x v="0"/>
    <s v="Olá Nome, _x000a_Identificamos que o Item Ventilador Preto foi entregue no dia 17/02/2025, referente ao pedido Nº Pedido 937 Rastreio Pedido 937, agradecemos a preferência e adoraríamos receber sua avaliação, tendo qualquer dúvida estamos à disposição._x000a__x000a_Att_x000a_Sec Variedades"/>
  </r>
  <r>
    <s v="Pedido 938"/>
    <s v="CódRastreio915"/>
    <s v="LP00711611170499"/>
    <s v="GO"/>
    <d v="2025-03-18T00:00:00"/>
    <s v="Transp 1"/>
    <s v="NM752262955BR"/>
    <x v="0"/>
    <s v="Brasil"/>
    <d v="2025-03-11T00:00:00"/>
    <s v="Entregue"/>
    <x v="0"/>
    <s v="-"/>
    <x v="0"/>
    <s v="Olá Nome, _x000a_Identificamos que o Item Ventilador Preto foi entregue no dia 11/03/2025, referente ao pedido Nº Pedido 938 Rastreio NM752262955BR, agradecemos a preferência e adoraríamos receber sua avaliação, tendo qualquer dúvida estamos à disposição._x000a__x000a_Att_x000a_Sec Variedades"/>
  </r>
  <r>
    <s v="Pedido 939"/>
    <s v="CódRastreio916"/>
    <s v="LP00711616000378"/>
    <s v="GO"/>
    <d v="2025-02-28T00:00:00"/>
    <s v="Transp 1"/>
    <s v="-"/>
    <x v="0"/>
    <s v="Brasil"/>
    <d v="2025-02-17T00:00:00"/>
    <s v="Entregue"/>
    <x v="0"/>
    <s v="-"/>
    <x v="0"/>
    <s v="Olá Nome, _x000a_Identificamos que o Item Ventilador Preto foi entregue no dia 17/02/2025, referente ao pedido Nº Pedido 939 Rastreio Pedido 939, agradecemos a preferência e adoraríamos receber sua avaliação, tendo qualquer dúvida estamos à disposição._x000a__x000a_Att_x000a_Sec Variedades"/>
  </r>
  <r>
    <s v="Pedido 940"/>
    <s v="CódRastreio917"/>
    <s v="LP00711594677233"/>
    <s v="GO"/>
    <d v="2025-03-18T00:00:00"/>
    <s v="Transp 1"/>
    <s v="-"/>
    <x v="0"/>
    <s v="Brasil"/>
    <d v="2025-02-24T00:00:00"/>
    <s v="Entregue"/>
    <x v="0"/>
    <s v="-"/>
    <x v="0"/>
    <s v="Olá Nome, _x000a_Identificamos que o Item Ventilador Preto foi entregue no dia 24/02/2025, referente ao pedido Nº Pedido 940 Rastreio Pedido 940, agradecemos a preferência e adoraríamos receber sua avaliação, tendo qualquer dúvida estamos à disposição._x000a__x000a_Att_x000a_Sec Variedades"/>
  </r>
  <r>
    <s v="Pedido 941"/>
    <s v="CódRastreio918"/>
    <s v="LP00711615394523"/>
    <s v="GO"/>
    <d v="2025-03-11T00:00:00"/>
    <s v="Transp 1"/>
    <s v="-"/>
    <x v="0"/>
    <s v="Brasil"/>
    <d v="2025-02-20T00:00:00"/>
    <s v="Entregue"/>
    <x v="0"/>
    <s v="-"/>
    <x v="0"/>
    <s v="Olá Nome, _x000a_Identificamos que o Item Ventilador Preto foi entregue no dia 20/02/2025, referente ao pedido Nº Pedido 941 Rastreio Pedido 941, agradecemos a preferência e adoraríamos receber sua avaliação, tendo qualquer dúvida estamos à disposição._x000a__x000a_Att_x000a_Sec Variedades"/>
  </r>
  <r>
    <s v="Pedido 942"/>
    <s v="CódRastreio919"/>
    <s v="LP00712406517634"/>
    <s v="GO"/>
    <d v="2025-03-11T00:00:00"/>
    <s v="Transp 1"/>
    <s v="-"/>
    <x v="0"/>
    <s v="Brasil"/>
    <d v="2025-02-24T00:00:00"/>
    <s v="Entregue"/>
    <x v="0"/>
    <s v="-"/>
    <x v="0"/>
    <s v="Olá Nome, _x000a_Identificamos que o Item Ventilador Preto foi entregue no dia 24/02/2025, referente ao pedido Nº Pedido 942 Rastreio Pedido 942, agradecemos a preferência e adoraríamos receber sua avaliação, tendo qualquer dúvida estamos à disposição._x000a__x000a_Att_x000a_Sec Variedades"/>
  </r>
  <r>
    <s v="Pedido 943"/>
    <s v="CódRastreio920"/>
    <s v="LP00713295252790"/>
    <s v="GO"/>
    <d v="2025-02-28T00:00:00"/>
    <s v="Transp 1"/>
    <s v="-"/>
    <x v="0"/>
    <s v="Brasil"/>
    <d v="2025-02-18T00:00:00"/>
    <s v="Entregue"/>
    <x v="0"/>
    <s v="-"/>
    <x v="0"/>
    <s v="Olá Nome, _x000a_Identificamos que o Item Ventilador Preto foi entregue no dia 18/02/2025, referente ao pedido Nº Pedido 943 Rastreio Pedido 943, agradecemos a preferência e adoraríamos receber sua avaliação, tendo qualquer dúvida estamos à disposição._x000a__x000a_Att_x000a_Sec Variedades"/>
  </r>
  <r>
    <s v="Pedido 929"/>
    <s v="CódRastreio906"/>
    <s v="LP00712416386449"/>
    <s v="BV"/>
    <d v="2025-02-28T00:00:00"/>
    <s v="Transp 1"/>
    <s v="-"/>
    <x v="0"/>
    <s v="Brasil"/>
    <d v="2025-02-18T00:00:00"/>
    <s v="Entregue"/>
    <x v="0"/>
    <s v="Solicitado Reembolso"/>
    <x v="0"/>
    <s v="Olá Nome, _x000a_Identificamos que o Item Ventilador Azul foi entregue no dia 18/02/2025, referente ao pedido Nº Pedido 929 Rastreio Pedido 929, agradecemos a preferência e adoraríamos receber sua avaliação, tendo qualquer dúvida estamos à disposição._x000a__x000a_Att_x000a_Tem tudo Shop"/>
  </r>
  <r>
    <s v="Pedido 930"/>
    <s v="CódRastreio907"/>
    <s v="LP00713209165355"/>
    <s v="BV"/>
    <d v="2025-02-28T00:00:00"/>
    <s v="Transp 1"/>
    <s v="-"/>
    <x v="0"/>
    <s v="Brasil"/>
    <d v="2025-02-21T00:00:00"/>
    <s v="Entregue"/>
    <x v="0"/>
    <s v="-"/>
    <x v="0"/>
    <s v="Olá Nome, _x000a_Identificamos que o Item Ventilador Preto foi entregue no dia 21/02/2025, referente ao pedido Nº Pedido 930 Rastreio Pedido 930, agradecemos a preferência e adoraríamos receber sua avaliação, tendo qualquer dúvida estamos à disposição._x000a__x000a_Att_x000a_Tem tudo Shop"/>
  </r>
  <r>
    <s v="Pedido 932"/>
    <s v="CódRastreio909"/>
    <s v="LP00711794716527"/>
    <s v="BV"/>
    <d v="2025-03-11T00:00:00"/>
    <s v="Transp 1"/>
    <s v="-"/>
    <x v="0"/>
    <s v="Brasil"/>
    <d v="2025-02-22T00:00:00"/>
    <s v="Entregue"/>
    <x v="0"/>
    <s v="-"/>
    <x v="0"/>
    <s v="Olá Nome, _x000a_Identificamos que o Item Ventilador Azul foi entregue no dia 22/02/2025, referente ao pedido Nº Pedido 932 Rastreio Pedido 932, agradecemos a preferência e adoraríamos receber sua avaliação, tendo qualquer dúvida estamos à disposição._x000a__x000a_Att_x000a_Tem tudo Shop"/>
  </r>
  <r>
    <s v="Pedido 936"/>
    <s v="CódRastreio913"/>
    <s v="LP00711777688552"/>
    <s v="BV"/>
    <d v="2025-03-18T00:00:00"/>
    <s v="Transp 1"/>
    <s v="CNBR00050037969"/>
    <x v="0"/>
    <s v="Brasil"/>
    <d v="2025-03-01T00:00:00"/>
    <s v="Entregue"/>
    <x v="0"/>
    <s v="-"/>
    <x v="0"/>
    <s v="Olá Nome, _x000a_Identificamos que o Item Ventilador Azul foi entregue no dia 01/03/2025, referente ao pedido Nº Pedido 936 Rastreio CNBR00050037969, agradecemos a preferência e adoraríamos receber sua avaliação, tendo qualquer dúvida estamos à disposição._x000a__x000a_Att_x000a_Tem tudo Shop"/>
  </r>
  <r>
    <s v="Pedido 947"/>
    <s v="CódRastreio924"/>
    <s v="LP00713496840005"/>
    <s v="BV"/>
    <d v="2025-03-01T00:00:00"/>
    <s v="Transp 1"/>
    <s v="-"/>
    <x v="0"/>
    <s v="Brasil"/>
    <d v="2025-02-22T00:00:00"/>
    <s v="Entregue"/>
    <x v="0"/>
    <s v="-"/>
    <x v="0"/>
    <s v="Olá Nome, _x000a_Identificamos que o Item Ventilador Rosa foi entregue no dia 22/02/2025, referente ao pedido Nº Pedido 947 Rastreio Pedido 947, agradecemos a preferência e adoraríamos receber sua avaliação, tendo qualquer dúvida estamos à disposição._x000a__x000a_Att_x000a_Tem tudo Shop"/>
  </r>
  <r>
    <s v="Pedido 948"/>
    <s v="CódRastreio925"/>
    <s v="LP00713432665971"/>
    <s v="BV"/>
    <d v="2025-03-12T00:00:00"/>
    <s v="Transp 1"/>
    <s v="CNBR00050062290"/>
    <x v="0"/>
    <s v="Brasil"/>
    <d v="2025-02-26T00:00:00"/>
    <s v="Entregue"/>
    <x v="0"/>
    <s v="-"/>
    <x v="0"/>
    <s v="Olá Nome, _x000a_Identificamos que o Item Ventilador Rosa foi entregue no dia 26/02/2025, referente ao pedido Nº Pedido 948 Rastreio CNBR00050062290, agradecemos a preferência e adoraríamos receber sua avaliação, tendo qualquer dúvida estamos à disposição._x000a__x000a_Att_x000a_Tem tudo Shop"/>
  </r>
  <r>
    <s v="Pedido 949"/>
    <s v="CódRastreio926"/>
    <s v="LP00712621160627"/>
    <s v="BV"/>
    <d v="2025-03-01T00:00:00"/>
    <s v="Transp 1"/>
    <s v="CNBR00050066159"/>
    <x v="0"/>
    <s v="Brasil"/>
    <d v="2025-03-06T00:00:00"/>
    <s v="Entregue"/>
    <x v="0"/>
    <s v="-"/>
    <x v="1"/>
    <s v="Olá Nome, _x000a_Identificamos que o Item Ventilador Rosa foi entregue no dia 06/03/2025, referente ao pedido Nº Pedido 949 Rastreio CNBR00050066159, agradecemos a preferência e adoraríamos receber sua avaliação, tendo qualquer dúvida estamos à disposição._x000a__x000a_Att_x000a_Tem tudo Shop"/>
  </r>
  <r>
    <s v="Pedido 950"/>
    <s v="CódRastreio927"/>
    <s v="LP00713465154968"/>
    <s v="BV"/>
    <d v="2025-03-12T00:00:00"/>
    <s v="Transp 1"/>
    <s v="-"/>
    <x v="0"/>
    <s v="Brasil"/>
    <d v="2025-02-24T00:00:00"/>
    <s v="Entregue"/>
    <x v="0"/>
    <s v="-"/>
    <x v="0"/>
    <s v="Olá Nome, _x000a_Identificamos que o Item Ventilador Azul foi entregue no dia 24/02/2025, referente ao pedido Nº Pedido 950 Rastreio Pedido 950, agradecemos a preferência e adoraríamos receber sua avaliação, tendo qualquer dúvida estamos à disposição._x000a__x000a_Att_x000a_Tem tudo Shop"/>
  </r>
  <r>
    <s v="Pedido 951"/>
    <s v="CódRastreio928"/>
    <s v="LP00711812237516"/>
    <s v="BV"/>
    <d v="2025-03-01T00:00:00"/>
    <s v="Transp 1"/>
    <s v="-"/>
    <x v="0"/>
    <s v="Brasil"/>
    <d v="2025-02-21T00:00:00"/>
    <s v="Entregue"/>
    <x v="0"/>
    <s v="-"/>
    <x v="0"/>
    <s v="Olá Nome, _x000a_Identificamos que o Item Ventilador Azul foi entregue no dia 21/02/2025, referente ao pedido Nº Pedido 951 Rastreio Pedido 951, agradecemos a preferência e adoraríamos receber sua avaliação, tendo qualquer dúvida estamos à disposição._x000a__x000a_Att_x000a_Tem tudo Shop"/>
  </r>
  <r>
    <s v="Pedido 952"/>
    <s v="CódRastreio929"/>
    <s v="LP00713476134723"/>
    <s v="BV"/>
    <d v="2025-03-01T00:00:00"/>
    <s v="Transp 1"/>
    <s v="-"/>
    <x v="0"/>
    <s v="Brasil"/>
    <d v="2025-02-20T00:00:00"/>
    <s v="Entregue"/>
    <x v="0"/>
    <s v="-"/>
    <x v="0"/>
    <s v="Olá Nome, _x000a_Identificamos que o Item Ventilador Azul foi entregue no dia 20/02/2025, referente ao pedido Nº Pedido 952 Rastreio Pedido 952, agradecemos a preferência e adoraríamos receber sua avaliação, tendo qualquer dúvida estamos à disposição._x000a__x000a_Att_x000a_Tem tudo Shop"/>
  </r>
  <r>
    <s v="Pedido 955"/>
    <s v="CódRastreio932"/>
    <s v="LP00713516437431"/>
    <s v="GO"/>
    <d v="2025-03-19T00:00:00"/>
    <s v="Transp 1"/>
    <s v="-"/>
    <x v="0"/>
    <s v="Brasil"/>
    <d v="2025-02-25T00:00:00"/>
    <s v="Entregue"/>
    <x v="0"/>
    <s v="-"/>
    <x v="0"/>
    <s v="Olá Nome, _x000a_Identificamos que o Item Ventilador Preto foi entregue no dia 25/02/2025, referente ao pedido Nº Pedido 955 Rastreio Pedido 955, agradecemos a preferência e adoraríamos receber sua avaliação, tendo qualquer dúvida estamos à disposição._x000a__x000a_Att_x000a_Sec Variedades"/>
  </r>
  <r>
    <s v="Pedido 956"/>
    <s v="CódRastreio933"/>
    <s v="LP00712631535020"/>
    <s v="GO"/>
    <d v="2025-03-19T00:00:00"/>
    <s v="Transp 1"/>
    <s v="NM752787026BR"/>
    <x v="0"/>
    <s v="Brasil"/>
    <d v="2025-03-10T00:00:00"/>
    <s v="Entregue"/>
    <x v="0"/>
    <s v="-"/>
    <x v="0"/>
    <s v="Olá Nome, _x000a_Identificamos que o Item Ventilador Preto foi entregue no dia 10/03/2025, referente ao pedido Nº Pedido 956 Rastreio NM752787026BR, agradecemos a preferência e adoraríamos receber sua avaliação, tendo qualquer dúvida estamos à disposição._x000a__x000a_Att_x000a_Sec Variedades"/>
  </r>
  <r>
    <s v="Pedido 945"/>
    <s v="CódRastreio922"/>
    <s v="LP00713462178071"/>
    <s v="GO"/>
    <d v="2025-02-28T00:00:00"/>
    <s v="Transp 1"/>
    <s v="-"/>
    <x v="0"/>
    <s v="Brasil"/>
    <d v="2025-02-24T00:00:00"/>
    <s v="Entregue"/>
    <x v="0"/>
    <s v="-"/>
    <x v="0"/>
    <s v="Olá Nome, _x000a_Identificamos que o Item Ventilador Preto foi entregue no dia 24/02/2025, referente ao pedido Nº Pedido 945 Rastreio Pedido 945, agradecemos a preferência e adoraríamos receber sua avaliação, tendo qualquer dúvida estamos à disposição._x000a__x000a_Att_x000a_Sec Variedades"/>
  </r>
  <r>
    <s v="Pedido 946"/>
    <s v="CódRastreio923"/>
    <s v="LP00711776051775"/>
    <s v="GO"/>
    <d v="2025-02-28T00:00:00"/>
    <s v="Transp 1"/>
    <s v="-"/>
    <x v="0"/>
    <s v="Brasil"/>
    <d v="2025-02-24T00:00:00"/>
    <s v="Entregue"/>
    <x v="0"/>
    <s v="-"/>
    <x v="0"/>
    <s v="Olá Nome, _x000a_Identificamos que o Item Ventilador Preto foi entregue no dia 24/02/2025, referente ao pedido Nº Pedido 946 Rastreio Pedido 946, agradecemos a preferência e adoraríamos receber sua avaliação, tendo qualquer dúvida estamos à disposição._x000a__x000a_Att_x000a_Sec Variedades"/>
  </r>
  <r>
    <s v="Pedido 953"/>
    <s v="CódRastreio930"/>
    <s v="LP00712612814976"/>
    <s v="GO"/>
    <d v="2025-03-12T00:00:00"/>
    <s v="Transp 1"/>
    <s v="-"/>
    <x v="0"/>
    <s v="Brasil"/>
    <d v="2025-02-25T00:00:00"/>
    <s v="Entregue"/>
    <x v="0"/>
    <s v="-"/>
    <x v="0"/>
    <s v="Olá Nome, _x000a_Identificamos que o Item Ventilador Preto foi entregue no dia 25/02/2025, referente ao pedido Nº Pedido 953 Rastreio Pedido 953, agradecemos a preferência e adoraríamos receber sua avaliação, tendo qualquer dúvida estamos à disposição._x000a__x000a_Att_x000a_Sec Variedades"/>
  </r>
  <r>
    <s v="Pedido 954"/>
    <s v="CódRastreio931"/>
    <s v="LP00712571973970"/>
    <s v="GO"/>
    <d v="2025-03-01T00:00:00"/>
    <s v="Transp 1"/>
    <s v="CNBR00050445857"/>
    <x v="0"/>
    <s v="Brasil"/>
    <d v="2025-03-07T00:00:00"/>
    <s v="Entregue"/>
    <x v="0"/>
    <s v="-"/>
    <x v="1"/>
    <s v="Olá Nome, _x000a_Identificamos que o Item Ventilador Preto foi entregue no dia 07/03/2025, referente ao pedido Nº Pedido 954 Rastreio CNBR00050445857, agradecemos a preferência e adoraríamos receber sua avaliação, tendo qualquer dúvida estamos à disposição._x000a__x000a_Att_x000a_Sec Variedades"/>
  </r>
  <r>
    <s v="Pedido 958"/>
    <s v="CódRastreio935"/>
    <s v="LP00712832631669"/>
    <s v="MEI"/>
    <d v="2025-03-07T00:00:00"/>
    <s v="Transp 1"/>
    <s v="CNBR00050571325"/>
    <x v="0"/>
    <s v="Brasil"/>
    <d v="2025-02-24T00:00:00"/>
    <s v="Entregue"/>
    <x v="0"/>
    <s v="Solicitado Reembolso"/>
    <x v="0"/>
    <s v="Olá Nome, _x000a_Identificamos que o Item Ventilador Preto foi entregue no dia 24/02/2025, referente ao pedido Nº Pedido 958 Rastreio CNBR00050571325, agradecemos a preferência e adoraríamos receber sua avaliação, tendo qualquer dúvida estamos à disposição._x000a__x000a_Att_x000a_NTA Variedades"/>
  </r>
  <r>
    <s v="Pedido 959"/>
    <s v="CódRastreio936"/>
    <s v="LP00713746212854"/>
    <s v="MEI"/>
    <d v="2025-03-07T00:00:00"/>
    <s v="Transp 1"/>
    <s v="-"/>
    <x v="0"/>
    <s v="Brasil"/>
    <d v="2025-02-24T00:00:00"/>
    <s v="Entregue"/>
    <x v="0"/>
    <s v="-"/>
    <x v="0"/>
    <s v="Olá Nome, _x000a_Identificamos que o Item Ventilador Preto foi entregue no dia 24/02/2025, referente ao pedido Nº Pedido 959 Rastreio Pedido 959, agradecemos a preferência e adoraríamos receber sua avaliação, tendo qualquer dúvida estamos à disposição._x000a__x000a_Att_x000a_NTA Variedades"/>
  </r>
  <r>
    <s v="Pedido 960"/>
    <s v="CódRastreio937"/>
    <s v="CNBR00082545HB"/>
    <s v="MEI"/>
    <d v="2025-02-26T00:00:00"/>
    <s v="Transp 1"/>
    <s v="-"/>
    <x v="1"/>
    <s v="Brasil"/>
    <d v="2025-02-14T00:00:00"/>
    <s v="Entregue"/>
    <x v="0"/>
    <s v="-"/>
    <x v="0"/>
    <s v="Olá Nome, _x000a_Identificamos que o Item Mini Liquidificador foi entregue no dia 14/02/2025, referente ao pedido Nº Pedido 960 Rastreio Pedido 960, agradecemos a preferência e adoraríamos receber sua avaliação, tendo qualquer dúvida estamos à disposição._x000a__x000a_Att_x000a_NTA Variedades"/>
  </r>
  <r>
    <s v="Pedido 961"/>
    <s v="CódRastreio938"/>
    <s v="CNBR013985082LG"/>
    <s v="MEI"/>
    <d v="2025-02-28T00:00:00"/>
    <s v="Transp 1"/>
    <s v="-"/>
    <x v="1"/>
    <s v="Brasil"/>
    <d v="2025-02-15T00:00:00"/>
    <s v="Entregue"/>
    <x v="0"/>
    <s v="-"/>
    <x v="0"/>
    <s v="Olá Nome, _x000a_Identificamos que o Item Mini Liquidificador foi entregue no dia 15/02/2025, referente ao pedido Nº Pedido 961 Rastreio Pedido 961, agradecemos a preferência e adoraríamos receber sua avaliação, tendo qualquer dúvida estamos à disposição._x000a__x000a_Att_x000a_NTA Variedades"/>
  </r>
  <r>
    <s v="Pedido 962"/>
    <s v="CódRastreio939"/>
    <s v="CNBR013961885LG"/>
    <s v="MEI"/>
    <d v="2025-02-26T00:00:00"/>
    <s v="Transp 1"/>
    <s v="-"/>
    <x v="1"/>
    <s v="Brasil"/>
    <d v="2025-02-14T00:00:00"/>
    <s v="Entregue"/>
    <x v="0"/>
    <s v="-"/>
    <x v="0"/>
    <s v="Olá Nome, _x000a_Identificamos que o Item Mini Liquidificador foi entregue no dia 14/02/2025, referente ao pedido Nº Pedido 962 Rastreio Pedido 962, agradecemos a preferência e adoraríamos receber sua avaliação, tendo qualquer dúvida estamos à disposição._x000a__x000a_Att_x000a_NTA Variedades"/>
  </r>
  <r>
    <s v="Pedido 963"/>
    <s v="CódRastreio940"/>
    <s v="LP00713688277087"/>
    <s v="MEI"/>
    <d v="2025-03-13T00:00:00"/>
    <s v="Transp 1"/>
    <s v="CNBR00050549081"/>
    <x v="0"/>
    <s v="Brasil"/>
    <d v="2025-02-26T00:00:00"/>
    <s v="Entregue"/>
    <x v="0"/>
    <s v="-"/>
    <x v="0"/>
    <s v="Olá Nome, _x000a_Identificamos que o Item Ventilador Preto foi entregue no dia 26/02/2025, referente ao pedido Nº Pedido 963 Rastreio CNBR00050549081, agradecemos a preferência e adoraríamos receber sua avaliação, tendo qualquer dúvida estamos à disposição._x000a__x000a_Att_x000a_NTA Variedades"/>
  </r>
  <r>
    <s v="Pedido 964"/>
    <s v="CódRastreio941"/>
    <s v="LP00712877330040"/>
    <s v="MEI"/>
    <d v="2025-03-07T00:00:00"/>
    <s v="Transp 1"/>
    <s v="-"/>
    <x v="0"/>
    <s v="Brasil"/>
    <d v="2025-02-25T00:00:00"/>
    <s v="Entregue"/>
    <x v="0"/>
    <s v="-"/>
    <x v="0"/>
    <s v="Olá Nome, _x000a_Identificamos que o Item Ventilador Preto foi entregue no dia 25/02/2025, referente ao pedido Nº Pedido 964 Rastreio Pedido 964, agradecemos a preferência e adoraríamos receber sua avaliação, tendo qualquer dúvida estamos à disposição._x000a__x000a_Att_x000a_NTA Variedades"/>
  </r>
  <r>
    <s v="Pedido 965"/>
    <s v="CódRastreio942"/>
    <s v="CNBR013965834LG"/>
    <s v="MEI"/>
    <d v="2025-03-07T00:00:00"/>
    <s v="Transp 1"/>
    <s v="-"/>
    <x v="1"/>
    <s v="Brasil"/>
    <d v="2025-02-15T00:00:00"/>
    <s v="Entregue"/>
    <x v="0"/>
    <s v="-"/>
    <x v="0"/>
    <s v="Olá Nome, _x000a_Identificamos que o Item Mini Liquidificador foi entregue no dia 15/02/2025, referente ao pedido Nº Pedido 965 Rastreio Pedido 965, agradecemos a preferência e adoraríamos receber sua avaliação, tendo qualquer dúvida estamos à disposição._x000a__x000a_Att_x000a_NTA Variedades"/>
  </r>
  <r>
    <s v="Pedido 968"/>
    <s v="CódRastreio945"/>
    <s v="LP00713697894562"/>
    <s v="GO"/>
    <d v="2025-03-13T00:00:00"/>
    <s v="Transp 1"/>
    <s v="CNBR00050518885"/>
    <x v="0"/>
    <s v="Brasil"/>
    <d v="2025-02-24T00:00:00"/>
    <s v="Entregue"/>
    <x v="0"/>
    <s v="-"/>
    <x v="0"/>
    <s v="Olá Nome, _x000a_Identificamos que o Item Ventilador Preto foi entregue no dia 24/02/2025, referente ao pedido Nº Pedido 968 Rastreio CNBR00050518885, agradecemos a preferência e adoraríamos receber sua avaliação, tendo qualquer dúvida estamos à disposição._x000a__x000a_Att_x000a_Sec Variedades"/>
  </r>
  <r>
    <s v="Pedido 957"/>
    <s v="CódRastreio934"/>
    <s v="LP00712003474183"/>
    <s v="BV"/>
    <d v="2025-03-07T00:00:00"/>
    <s v="Transp 1"/>
    <s v="CNBR00050992483"/>
    <x v="0"/>
    <s v="Brasil"/>
    <d v="2025-03-04T00:00:00"/>
    <s v="Entregue"/>
    <x v="0"/>
    <s v="-"/>
    <x v="0"/>
    <s v="Olá Nome, _x000a_Identificamos que o Item Ventilador Rosa foi entregue no dia 04/03/2025, referente ao pedido Nº Pedido 957 Rastreio CNBR00050992483, agradecemos a preferência e adoraríamos receber sua avaliação, tendo qualquer dúvida estamos à disposição._x000a__x000a_Att_x000a_Tem tudo Shop"/>
  </r>
  <r>
    <s v="Pedido 966"/>
    <s v="CódRastreio943"/>
    <s v="LP00713068100046"/>
    <s v="MEI"/>
    <d v="2025-03-07T00:00:00"/>
    <s v="Transp 1"/>
    <s v="-"/>
    <x v="0"/>
    <s v="Brasil"/>
    <d v="2025-02-23T00:00:00"/>
    <s v="Entregue"/>
    <x v="0"/>
    <s v="-"/>
    <x v="0"/>
    <s v="Olá Nome, _x000a_Identificamos que o Item Ventilador Preto foi entregue no dia 23/02/2025, referente ao pedido Nº Pedido 966 Rastreio Pedido 966, agradecemos a preferência e adoraríamos receber sua avaliação, tendo qualquer dúvida estamos à disposição._x000a__x000a_Att_x000a_NTA Variedades"/>
  </r>
  <r>
    <s v="Pedido 967"/>
    <s v="CódRastreio944"/>
    <s v="LP00712243018319"/>
    <s v="GO"/>
    <d v="2025-03-07T00:00:00"/>
    <s v="Transp 1"/>
    <s v="-"/>
    <x v="0"/>
    <s v="Brasil"/>
    <d v="2025-02-24T00:00:00"/>
    <s v="Entregue"/>
    <x v="0"/>
    <s v="-"/>
    <x v="0"/>
    <s v="Olá Nome, _x000a_Identificamos que o Item Ventilador Preto foi entregue no dia 24/02/2025, referente ao pedido Nº Pedido 967 Rastreio Pedido 967, agradecemos a preferência e adoraríamos receber sua avaliação, tendo qualquer dúvida estamos à disposição._x000a__x000a_Att_x000a_Sec Variedades"/>
  </r>
  <r>
    <s v="Pedido 969"/>
    <s v="CódRastreio946"/>
    <s v="LP00713926800085"/>
    <s v="BV"/>
    <d v="2025-03-14T00:00:00"/>
    <s v="Transp 1"/>
    <s v="-"/>
    <x v="0"/>
    <s v="Brasil"/>
    <d v="2025-02-24T00:00:00"/>
    <s v="Entregue"/>
    <x v="0"/>
    <s v="-"/>
    <x v="0"/>
    <s v="Olá Nome, _x000a_Identificamos que o Item Ventilador Rosa foi entregue no dia 24/02/2025, referente ao pedido Nº Pedido 969 Rastreio Pedido 969, agradecemos a preferência e adoraríamos receber sua avaliação, tendo qualquer dúvida estamos à disposição._x000a__x000a_Att_x000a_Tem tudo Shop"/>
  </r>
  <r>
    <s v="Pedido 970"/>
    <s v="CódRastreio947"/>
    <s v="LP00712241020849"/>
    <s v="BV"/>
    <d v="2025-03-08T00:00:00"/>
    <s v="Transp 1"/>
    <s v="-"/>
    <x v="0"/>
    <s v="Brasil"/>
    <d v="2025-02-22T00:00:00"/>
    <s v="Entregue"/>
    <x v="0"/>
    <s v="-"/>
    <x v="0"/>
    <s v="Olá Nome, _x000a_Identificamos que o Item Ventilador Rosa foi entregue no dia 22/02/2025, referente ao pedido Nº Pedido 970 Rastreio Pedido 970, agradecemos a preferência e adoraríamos receber sua avaliação, tendo qualquer dúvida estamos à disposição._x000a__x000a_Att_x000a_Tem tudo Shop"/>
  </r>
  <r>
    <s v="Pedido 971"/>
    <s v="CódRastreio948"/>
    <s v="LP00712243451284"/>
    <s v="BV"/>
    <d v="2025-03-14T00:00:00"/>
    <s v="Transp 1"/>
    <s v="-"/>
    <x v="0"/>
    <s v="Brasil"/>
    <d v="2025-02-24T00:00:00"/>
    <s v="Entregue"/>
    <x v="0"/>
    <s v="-"/>
    <x v="0"/>
    <s v="Olá Nome, _x000a_Identificamos que o Item Ventilador Azul foi entregue no dia 24/02/2025, referente ao pedido Nº Pedido 971 Rastreio Pedido 971, agradecemos a preferência e adoraríamos receber sua avaliação, tendo qualquer dúvida estamos à disposição._x000a__x000a_Att_x000a_Tem tudo Shop"/>
  </r>
  <r>
    <s v="Pedido 972"/>
    <s v="CódRastreio949"/>
    <s v="LP00712230358502"/>
    <s v="BV"/>
    <d v="2025-03-08T00:00:00"/>
    <s v="Transp 1"/>
    <s v="-"/>
    <x v="0"/>
    <s v="Brasil"/>
    <d v="2025-02-24T00:00:00"/>
    <s v="Entregue"/>
    <x v="0"/>
    <s v="-"/>
    <x v="0"/>
    <s v="Olá Nome, _x000a_Identificamos que o Item Ventilador de teto foi entregue no dia 24/02/2025, referente ao pedido Nº Pedido 972 Rastreio Pedido 972, agradecemos a preferência e adoraríamos receber sua avaliação, tendo qualquer dúvida estamos à disposição._x000a__x000a_Att_x000a_Tem tudo Shop"/>
  </r>
  <r>
    <s v="Pedido 973"/>
    <s v="CódRastreio950"/>
    <s v="LP00713038533148"/>
    <s v="BV"/>
    <d v="2025-03-08T00:00:00"/>
    <s v="Transp 1"/>
    <s v="CNBR00051092987"/>
    <x v="0"/>
    <s v="Brasil"/>
    <d v="2025-02-25T00:00:00"/>
    <s v="Entregue"/>
    <x v="0"/>
    <s v="-"/>
    <x v="0"/>
    <s v="Olá Nome, _x000a_Identificamos que o Item Ventilador Azul foi entregue no dia 25/02/2025, referente ao pedido Nº Pedido 973 Rastreio CNBR00051092987, agradecemos a preferência e adoraríamos receber sua avaliação, tendo qualquer dúvida estamos à disposição._x000a__x000a_Att_x000a_Tem tudo Shop"/>
  </r>
  <r>
    <s v="Pedido 974"/>
    <s v="CódRastreio951"/>
    <s v="LP00713908656825"/>
    <s v="MEI"/>
    <d v="2025-03-08T00:00:00"/>
    <s v="Transp 1"/>
    <s v="-"/>
    <x v="0"/>
    <s v="Brasil"/>
    <d v="2025-02-22T00:00:00"/>
    <s v="Entregue"/>
    <x v="0"/>
    <s v="-"/>
    <x v="0"/>
    <s v="Olá Nome, _x000a_Identificamos que o Item Ventilador Preto foi entregue no dia 22/02/2025, referente ao pedido Nº Pedido 974 Rastreio Pedido 974, agradecemos a preferência e adoraríamos receber sua avaliação, tendo qualquer dúvida estamos à disposição._x000a__x000a_Att_x000a_NTA Variedades"/>
  </r>
  <r>
    <s v="Pedido 975"/>
    <s v="CódRastreio952"/>
    <n v="888670001510419"/>
    <s v="MEI"/>
    <d v="2025-03-14T00:00:00"/>
    <s v="Transp 1"/>
    <s v="-"/>
    <x v="1"/>
    <s v="Brasil"/>
    <d v="2025-02-22T00:00:00"/>
    <s v="Entregue"/>
    <x v="0"/>
    <s v="-"/>
    <x v="0"/>
    <s v="Olá Nome, _x000a_Identificamos que o Item Mini Liquidificador foi entregue no dia 22/02/2025, referente ao pedido Nº Pedido 975 Rastreio Pedido 975, agradecemos a preferência e adoraríamos receber sua avaliação, tendo qualquer dúvida estamos à disposição._x000a__x000a_Att_x000a_NTA Variedades"/>
  </r>
  <r>
    <s v="Pedido 976"/>
    <s v="CódRastreio953"/>
    <s v="LP00713283662263"/>
    <s v="BV"/>
    <d v="2025-03-15T00:00:00"/>
    <s v="Transp 1"/>
    <s v="CNBR00051660931"/>
    <x v="0"/>
    <s v="Brasil"/>
    <d v="2025-02-26T00:00:00"/>
    <s v="Entregue"/>
    <x v="0"/>
    <s v="-"/>
    <x v="0"/>
    <s v="Olá Nome, _x000a_Identificamos que o Item Ventilador Azul foi entregue no dia 26/02/2025, referente ao pedido Nº Pedido 976 Rastreio CNBR00051660931, agradecemos a preferência e adoraríamos receber sua avaliação, tendo qualquer dúvida estamos à disposição._x000a__x000a_Att_x000a_Tem tudo Shop"/>
  </r>
  <r>
    <s v="Pedido 977"/>
    <s v="CódRastreio954"/>
    <s v="LP00714150121293"/>
    <s v="BV"/>
    <d v="2025-03-11T00:00:00"/>
    <s v="Transp 1"/>
    <s v="CNBR00051669367"/>
    <x v="0"/>
    <s v="Brasil"/>
    <d v="2025-02-27T00:00:00"/>
    <s v="Entregue"/>
    <x v="0"/>
    <s v="Cliente Acionado"/>
    <x v="0"/>
    <s v="Olá Nome, _x000a_Identificamos que o Item Ventilador Rosa foi entregue no dia 27/02/2025, referente ao pedido Nº Pedido 977 Rastreio CNBR00051669367, agradecemos a preferência e adoraríamos receber sua avaliação, tendo qualquer dúvida estamos à disposição._x000a__x000a_Att_x000a_Tem tudo Shop"/>
  </r>
  <r>
    <s v="Pedido 978"/>
    <s v="CódRastreio955"/>
    <s v="LP00714149148214"/>
    <s v="BV"/>
    <d v="2025-03-11T00:00:00"/>
    <s v="Transp 1"/>
    <s v="CNBR00051676791"/>
    <x v="0"/>
    <s v="Brasil"/>
    <d v="2025-02-27T00:00:00"/>
    <s v="Entregue"/>
    <x v="0"/>
    <s v="-"/>
    <x v="0"/>
    <s v="Olá Nome, _x000a_Identificamos que o Item Ventilador Azul foi entregue no dia 27/02/2025, referente ao pedido Nº Pedido 978 Rastreio CNBR00051676791, agradecemos a preferência e adoraríamos receber sua avaliação, tendo qualquer dúvida estamos à disposição._x000a__x000a_Att_x000a_Tem tudo Shop"/>
  </r>
  <r>
    <s v="Pedido 979"/>
    <s v="CódRastreio956"/>
    <s v="LP00713305820424"/>
    <s v="BV"/>
    <d v="2025-03-11T00:00:00"/>
    <s v="Transp 1"/>
    <s v="-"/>
    <x v="0"/>
    <s v="Brasil"/>
    <d v="2025-02-24T00:00:00"/>
    <s v="Entregue"/>
    <x v="0"/>
    <s v="-"/>
    <x v="0"/>
    <s v="Olá Nome, _x000a_Identificamos que o Item Ventilador Rosa foi entregue no dia 24/02/2025, referente ao pedido Nº Pedido 979 Rastreio Pedido 979, agradecemos a preferência e adoraríamos receber sua avaliação, tendo qualquer dúvida estamos à disposição._x000a__x000a_Att_x000a_Tem tudo Shop"/>
  </r>
  <r>
    <s v="Pedido 980"/>
    <s v="CódRastreio957"/>
    <s v="CNBR013981837LG"/>
    <s v="MEI"/>
    <d v="2025-03-08T00:00:00"/>
    <s v="Transp 1"/>
    <s v="-"/>
    <x v="1"/>
    <s v="Brasil"/>
    <d v="2025-02-24T00:00:00"/>
    <s v="Entregue"/>
    <x v="0"/>
    <s v="-"/>
    <x v="0"/>
    <s v="Olá Nome, _x000a_Identificamos que o Item Mini Liquidificador foi entregue no dia 24/02/2025, referente ao pedido Nº Pedido 980 Rastreio Pedido 980, agradecemos a preferência e adoraríamos receber sua avaliação, tendo qualquer dúvida estamos à disposição._x000a__x000a_Att_x000a_NTA Variedades"/>
  </r>
  <r>
    <s v="Pedido 981"/>
    <s v="CódRastreio958"/>
    <n v="3621049658157"/>
    <s v="MEI"/>
    <d v="2025-03-15T00:00:00"/>
    <s v="Transp 1"/>
    <s v="-"/>
    <x v="1"/>
    <s v="Brasil"/>
    <d v="2025-03-21T00:00:00"/>
    <s v="Entregue"/>
    <x v="0"/>
    <s v="Cliente informado"/>
    <x v="1"/>
    <s v="Olá Nome, _x000a_Identificamos que o Item Mini Liquidificador foi entregue no dia 21/03/2025, referente ao pedido Nº Pedido 981 Rastreio Pedido 981, agradecemos a preferência e adoraríamos receber sua avaliação, tendo qualquer dúvida estamos à disposição._x000a__x000a_Att_x000a_NTA Variedades"/>
  </r>
  <r>
    <s v="Pedido 982"/>
    <s v="CódRastreio959"/>
    <n v="888670001519512"/>
    <s v="MEI"/>
    <d v="2025-03-11T00:00:00"/>
    <s v="Transp 1"/>
    <s v="-"/>
    <x v="1"/>
    <s v="Brasil"/>
    <d v="2025-02-20T00:00:00"/>
    <s v="Entregue"/>
    <x v="0"/>
    <s v="-"/>
    <x v="0"/>
    <s v="Olá Nome, _x000a_Identificamos que o Item Mini Liquidificador foi entregue no dia 20/02/2025, referente ao pedido Nº Pedido 982 Rastreio Pedido 982, agradecemos a preferência e adoraríamos receber sua avaliação, tendo qualquer dúvida estamos à disposição._x000a__x000a_Att_x000a_NTA Variedades"/>
  </r>
  <r>
    <s v="Pedido 983"/>
    <s v="CódRastreio960"/>
    <n v="888670001532530"/>
    <s v="BV"/>
    <d v="2025-03-12T00:00:00"/>
    <s v="Transp 1"/>
    <s v="-"/>
    <x v="1"/>
    <s v="Brasil"/>
    <d v="2025-02-21T00:00:00"/>
    <s v="Entregue"/>
    <x v="0"/>
    <s v="-"/>
    <x v="0"/>
    <s v="Olá Nome, _x000a_Identificamos que o Item Adaptador Bluetooph foi entregue no dia 21/02/2025, referente ao pedido Nº Pedido 983 Rastreio Pedido 983, agradecemos a preferência e adoraríamos receber sua avaliação, tendo qualquer dúvida estamos à disposição._x000a__x000a_Att_x000a_Tem tudo Shop"/>
  </r>
  <r>
    <s v="Pedido 984"/>
    <s v="CódRastreio961"/>
    <s v="LP00712639973591"/>
    <s v="BV"/>
    <d v="2025-03-12T00:00:00"/>
    <s v="Transp 1"/>
    <s v="CNBR00052303518"/>
    <x v="0"/>
    <s v="Brasil"/>
    <d v="2025-02-27T00:00:00"/>
    <s v="Entregue"/>
    <x v="0"/>
    <s v="-"/>
    <x v="0"/>
    <s v="Olá Nome, _x000a_Identificamos que o Item Ventilador de teto foi entregue no dia 27/02/2025, referente ao pedido Nº Pedido 984 Rastreio CNBR00052303518, agradecemos a preferência e adoraríamos receber sua avaliação, tendo qualquer dúvida estamos à disposição._x000a__x000a_Att_x000a_Tem tudo Shop"/>
  </r>
  <r>
    <s v="Pedido 985"/>
    <s v="CódRastreio962"/>
    <s v="LP00712678109676"/>
    <s v="MEI"/>
    <d v="2025-03-22T00:00:00"/>
    <s v="Transp 1"/>
    <s v="NM754422292BR"/>
    <x v="0"/>
    <s v="Brasil"/>
    <d v="2025-02-27T00:00:00"/>
    <s v="Entregue"/>
    <x v="0"/>
    <s v="-"/>
    <x v="0"/>
    <s v="Olá Nome, _x000a_Identificamos que o Item Ventilador Preto foi entregue no dia 27/02/2025, referente ao pedido Nº Pedido 985 Rastreio NM754422292BR, agradecemos a preferência e adoraríamos receber sua avaliação, tendo qualquer dúvida estamos à disposição._x000a__x000a_Att_x000a_NTA Variedades"/>
  </r>
  <r>
    <s v="Pedido 987"/>
    <s v="CódRastreio964"/>
    <s v="LP00713509599908"/>
    <s v="MEI"/>
    <d v="2025-03-25T00:00:00"/>
    <s v="Transp 1"/>
    <s v="NM754325790BR"/>
    <x v="0"/>
    <s v="Brasil"/>
    <d v="2025-03-12T14:24:08"/>
    <s v="Entregue"/>
    <x v="0"/>
    <s v="-"/>
    <x v="0"/>
    <s v="Olá Nome, _x000a_Identificamos que o Item Ventilador Preto foi entregue no dia 12/03/2025, referente ao pedido Nº Pedido 987 Rastreio NM754325790BR, agradecemos a preferência e adoraríamos receber sua avaliação, tendo qualquer dúvida estamos à disposição._x000a__x000a_Att_x000a_NTA Variedades"/>
  </r>
  <r>
    <s v="Pedido 986"/>
    <s v="CódRastreio963"/>
    <n v="888670001542146"/>
    <s v="MEI"/>
    <d v="2025-03-12T00:00:00"/>
    <s v="Transp 1"/>
    <s v="-"/>
    <x v="1"/>
    <s v="Brasil"/>
    <d v="2025-02-21T00:00:00"/>
    <s v="Entregue"/>
    <x v="0"/>
    <s v="-"/>
    <x v="0"/>
    <s v="Olá Nome, _x000a_Identificamos que o Item Mini Liquidificador foi entregue no dia 21/02/2025, referente ao pedido Nº Pedido 986 Rastreio Pedido 986, agradecemos a preferência e adoraríamos receber sua avaliação, tendo qualquer dúvida estamos à disposição._x000a__x000a_Att_x000a_NTA Variedades"/>
  </r>
  <r>
    <s v="Pedido 988"/>
    <s v="CódRastreio965"/>
    <s v="LP00714081351978"/>
    <s v="MEI"/>
    <d v="2025-03-12T00:00:00"/>
    <s v="Transp 1"/>
    <s v="CNBR00053702884"/>
    <x v="0"/>
    <s v="Brasil"/>
    <d v="2025-02-28T00:00:00"/>
    <s v="Entregue"/>
    <x v="0"/>
    <s v="-"/>
    <x v="0"/>
    <s v="Olá Nome, _x000a_Identificamos que o Item Ventilador Preto foi entregue no dia 28/02/2025, referente ao pedido Nº Pedido 988 Rastreio CNBR00053702884, agradecemos a preferência e adoraríamos receber sua avaliação, tendo qualquer dúvida estamos à disposição._x000a__x000a_Att_x000a_NTA Variedades"/>
  </r>
  <r>
    <s v="Pedido 989"/>
    <s v="CódRastreio966"/>
    <s v="LP00713253220344"/>
    <s v="MEI"/>
    <d v="2025-03-12T00:00:00"/>
    <s v="Transp 1"/>
    <s v="CNBR00053698485"/>
    <x v="0"/>
    <s v="Brasil"/>
    <d v="2025-03-06T00:00:00"/>
    <s v="Entregue"/>
    <x v="0"/>
    <s v="-"/>
    <x v="0"/>
    <s v="Olá Nome, _x000a_Identificamos que o Item Ventilador Preto foi entregue no dia 06/03/2025, referente ao pedido Nº Pedido 989 Rastreio CNBR00053698485, agradecemos a preferência e adoraríamos receber sua avaliação, tendo qualquer dúvida estamos à disposição._x000a__x000a_Att_x000a_NTA Variedades"/>
  </r>
  <r>
    <s v="Pedido 990"/>
    <s v="CódRastreio967"/>
    <s v="LP00713252530528"/>
    <s v="BV"/>
    <d v="2025-03-18T00:00:00"/>
    <s v="Transp 1"/>
    <s v="CNBR00053748215"/>
    <x v="0"/>
    <s v="Brasil"/>
    <d v="2025-03-10T00:00:00"/>
    <s v="Entregue"/>
    <x v="0"/>
    <s v="-"/>
    <x v="0"/>
    <s v="Olá Nome, _x000a_Identificamos que o Item Ventilador de teto foi entregue no dia 10/03/2025, referente ao pedido Nº Pedido 990 Rastreio CNBR00053748215, agradecemos a preferência e adoraríamos receber sua avaliação, tendo qualquer dúvida estamos à disposição._x000a__x000a_Att_x000a_Tem tudo Shop"/>
  </r>
  <r>
    <s v="Pedido 991"/>
    <s v="CódRastreio968"/>
    <s v="CNBR014036155LG"/>
    <s v="BV"/>
    <d v="2025-03-01T00:00:00"/>
    <s v="Transp 1"/>
    <s v="-"/>
    <x v="1"/>
    <s v="Brasil"/>
    <d v="2025-02-20T00:00:00"/>
    <s v="Entregue"/>
    <x v="0"/>
    <s v="-"/>
    <x v="0"/>
    <s v="Olá Nome, _x000a_Identificamos que o Item Adaptador Bluetooph foi entregue no dia 20/02/2025, referente ao pedido Nº Pedido 991 Rastreio Pedido 991, agradecemos a preferência e adoraríamos receber sua avaliação, tendo qualquer dúvida estamos à disposição._x000a__x000a_Att_x000a_Tem tudo Shop"/>
  </r>
  <r>
    <s v="Pedido 992"/>
    <s v="CódRastreio969"/>
    <n v="3621049660744"/>
    <s v="BV"/>
    <d v="2025-03-12T00:00:00"/>
    <s v="Transp 1"/>
    <s v="-"/>
    <x v="1"/>
    <s v="Brasil"/>
    <d v="2025-02-24T00:00:00"/>
    <s v="Entregue"/>
    <x v="0"/>
    <s v="-"/>
    <x v="0"/>
    <s v="Olá Nome, _x000a_Identificamos que o Item Adaptador Bluetooph foi entregue no dia 24/02/2025, referente ao pedido Nº Pedido 992 Rastreio Pedido 992, agradecemos a preferência e adoraríamos receber sua avaliação, tendo qualquer dúvida estamos à disposição._x000a__x000a_Att_x000a_Tem tudo Shop"/>
  </r>
  <r>
    <s v="Pedido 993"/>
    <s v="CódRastreio970"/>
    <n v="3621049660793"/>
    <s v="BV"/>
    <d v="2025-03-12T00:00:00"/>
    <s v="Transp 1"/>
    <s v="-"/>
    <x v="1"/>
    <s v="Brasil"/>
    <d v="2025-02-24T00:00:00"/>
    <s v="Entregue"/>
    <x v="0"/>
    <s v="-"/>
    <x v="0"/>
    <s v="Olá Nome, _x000a_Identificamos que o Item Adaptador Bluetooph foi entregue no dia 24/02/2025, referente ao pedido Nº Pedido 993 Rastreio Pedido 993, agradecemos a preferência e adoraríamos receber sua avaliação, tendo qualquer dúvida estamos à disposição._x000a__x000a_Att_x000a_Tem tudo Shop"/>
  </r>
  <r>
    <s v="Pedido 994"/>
    <s v="CódRastreio971"/>
    <n v="888670001560648"/>
    <s v="BV"/>
    <d v="2025-03-12T00:00:00"/>
    <s v="Transp 1"/>
    <s v="-"/>
    <x v="1"/>
    <s v="Brasil"/>
    <d v="2025-02-22T00:00:00"/>
    <s v="Entregue"/>
    <x v="0"/>
    <s v="-"/>
    <x v="0"/>
    <s v="Olá Nome, _x000a_Identificamos que o Item Adaptador Bluetooph foi entregue no dia 22/02/2025, referente ao pedido Nº Pedido 994 Rastreio Pedido 994, agradecemos a preferência e adoraríamos receber sua avaliação, tendo qualquer dúvida estamos à disposição._x000a__x000a_Att_x000a_Tem tudo Shop"/>
  </r>
  <r>
    <s v="Pedido 996"/>
    <s v="CódRastreio973"/>
    <s v="LP00714095511315"/>
    <s v="BV"/>
    <d v="2025-03-12T00:00:00"/>
    <s v="Transp 1"/>
    <s v="CNBR00053761692"/>
    <x v="0"/>
    <s v="Brasil"/>
    <d v="2025-02-27T00:00:00"/>
    <s v="Entregue"/>
    <x v="0"/>
    <s v="-"/>
    <x v="0"/>
    <s v="Olá Nome, _x000a_Identificamos que o Item Ventilador Rosa foi entregue no dia 27/02/2025, referente ao pedido Nº Pedido 996 Rastreio CNBR00053761692, agradecemos a preferência e adoraríamos receber sua avaliação, tendo qualquer dúvida estamos à disposição._x000a__x000a_Att_x000a_Tem tudo Shop"/>
  </r>
  <r>
    <s v="Pedido 997"/>
    <s v="CódRastreio974"/>
    <s v="CNBR014009945LG"/>
    <s v="BV"/>
    <d v="2025-03-18T00:00:00"/>
    <s v="Transp 1"/>
    <s v="-"/>
    <x v="1"/>
    <s v="Brasil"/>
    <d v="2025-02-26T00:00:00"/>
    <s v="Entregue"/>
    <x v="0"/>
    <s v="-"/>
    <x v="0"/>
    <s v="Olá Nome, _x000a_Identificamos que o Item Adaptador Bluetooph foi entregue no dia 26/02/2025, referente ao pedido Nº Pedido 997 Rastreio Pedido 997, agradecemos a preferência e adoraríamos receber sua avaliação, tendo qualquer dúvida estamos à disposição._x000a__x000a_Att_x000a_Tem tudo Shop"/>
  </r>
  <r>
    <s v="Pedido 998"/>
    <s v="CódRastreio975"/>
    <n v="888670001553109"/>
    <s v="BV"/>
    <d v="2025-03-12T00:00:00"/>
    <s v="Transp 1"/>
    <s v="-"/>
    <x v="1"/>
    <s v="Brasil"/>
    <d v="2025-02-24T00:00:00"/>
    <s v="Entregue"/>
    <x v="0"/>
    <s v="-"/>
    <x v="0"/>
    <s v="Olá Nome, _x000a_Identificamos que o Item Garrafa Termica foi entregue no dia 24/02/2025, referente ao pedido Nº Pedido 998 Rastreio Pedido 998, agradecemos a preferência e adoraríamos receber sua avaliação, tendo qualquer dúvida estamos à disposição._x000a__x000a_Att_x000a_Tem tudo Shop"/>
  </r>
  <r>
    <s v="Pedido 999"/>
    <s v="CódRastreio976"/>
    <s v="LP00714939871243"/>
    <s v="BV"/>
    <d v="2025-03-18T00:00:00"/>
    <s v="Transp 1"/>
    <s v="CNBR00053764963"/>
    <x v="0"/>
    <s v="Brasil"/>
    <d v="2025-03-01T00:00:00"/>
    <s v="Entregue"/>
    <x v="0"/>
    <s v="-"/>
    <x v="0"/>
    <s v="Olá Nome, _x000a_Identificamos que o Item Ventilador Rosa foi entregue no dia 01/03/2025, referente ao pedido Nº Pedido 999 Rastreio CNBR00053764963, agradecemos a preferência e adoraríamos receber sua avaliação, tendo qualquer dúvida estamos à disposição._x000a__x000a_Att_x000a_Tem tudo Shop"/>
  </r>
  <r>
    <s v="Pedido 1000"/>
    <s v="CódRastreio977"/>
    <n v="888670001548744"/>
    <s v="BV"/>
    <d v="2025-03-01T00:00:00"/>
    <s v="Transp 1"/>
    <s v="-"/>
    <x v="1"/>
    <s v="Brasil"/>
    <d v="2025-02-21T00:00:00"/>
    <s v="Entregue"/>
    <x v="0"/>
    <s v="-"/>
    <x v="0"/>
    <s v="Olá Nome, _x000a_Identificamos que o Item Lampada Led foi entregue no dia 21/02/2025, referente ao pedido Nº Pedido 1000 Rastreio Pedido 1000, agradecemos a preferência e adoraríamos receber sua avaliação, tendo qualquer dúvida estamos à disposição._x000a__x000a_Att_x000a_Tem tudo Shop"/>
  </r>
  <r>
    <s v="Pedido 1001"/>
    <s v="CódRastreio978"/>
    <s v="LP00713242541105"/>
    <s v="MEI"/>
    <d v="2025-03-12T00:00:00"/>
    <s v="Transp 1"/>
    <s v="CNBR00053711705"/>
    <x v="0"/>
    <s v="Brasil"/>
    <d v="2025-03-06T00:00:00"/>
    <s v="Entregue"/>
    <x v="0"/>
    <s v="-"/>
    <x v="0"/>
    <s v="Olá Nome, _x000a_Identificamos que o Item Ventilador Preto foi entregue no dia 06/03/2025, referente ao pedido Nº Pedido 1001 Rastreio CNBR00053711705, agradecemos a preferência e adoraríamos receber sua avaliação, tendo qualquer dúvida estamos à disposição._x000a__x000a_Att_x000a_NTA Variedades"/>
  </r>
  <r>
    <s v="Pedido 1002"/>
    <s v="CódRastreio979"/>
    <s v="LP00714947574411"/>
    <s v="MEI"/>
    <d v="2025-03-12T00:00:00"/>
    <s v="Transp 1"/>
    <s v="CNBR00053717686"/>
    <x v="0"/>
    <s v="Brasil"/>
    <d v="2025-03-01T00:00:00"/>
    <s v="Entregue"/>
    <x v="0"/>
    <s v="-"/>
    <x v="0"/>
    <s v="Olá Nome, _x000a_Identificamos que o Item Ventilador Preto foi entregue no dia 01/03/2025, referente ao pedido Nº Pedido 1002 Rastreio CNBR00053717686, agradecemos a preferência e adoraríamos receber sua avaliação, tendo qualquer dúvida estamos à disposição._x000a__x000a_Att_x000a_NTA Variedades"/>
  </r>
  <r>
    <s v="Pedido 1003"/>
    <s v="CódRastreio980"/>
    <s v="LP00713255434416"/>
    <s v="MEI"/>
    <d v="2025-03-18T00:00:00"/>
    <s v="Transp 1"/>
    <s v="CNBR00053713301"/>
    <x v="0"/>
    <s v="Brasil"/>
    <d v="2025-03-14T00:00:00"/>
    <s v="Entregue"/>
    <x v="0"/>
    <s v="Cliente informado"/>
    <x v="0"/>
    <s v="Olá Nome, _x000a_Identificamos que o Item Ventilador Preto foi entregue no dia 14/03/2025, referente ao pedido Nº Pedido 1003 Rastreio CNBR00053713301, agradecemos a preferência e adoraríamos receber sua avaliação, tendo qualquer dúvida estamos à disposição._x000a__x000a_Att_x000a_NTA Variedades"/>
  </r>
  <r>
    <s v="Pedido 1004"/>
    <s v="CódRastreio981"/>
    <s v="LP00714947112432"/>
    <s v="MEI"/>
    <d v="2025-03-18T00:00:00"/>
    <s v="Transp 1"/>
    <s v="CNBR00053712787"/>
    <x v="0"/>
    <s v="Brasil"/>
    <d v="2025-03-01T00:00:00"/>
    <s v="Entregue"/>
    <x v="0"/>
    <s v="-"/>
    <x v="0"/>
    <s v="Olá Nome, _x000a_Identificamos que o Item Ventilador Preto foi entregue no dia 01/03/2025, referente ao pedido Nº Pedido 1004 Rastreio CNBR00053712787, agradecemos a preferência e adoraríamos receber sua avaliação, tendo qualquer dúvida estamos à disposição._x000a__x000a_Att_x000a_NTA Variedades"/>
  </r>
  <r>
    <s v="Pedido 1006"/>
    <s v="CódRastreio983"/>
    <s v="LP00713254301763"/>
    <s v="MEI"/>
    <d v="2025-03-18T00:00:00"/>
    <s v="Transp 1"/>
    <s v="CNBR00053725581"/>
    <x v="0"/>
    <s v="Brasil"/>
    <d v="2025-03-06T00:00:00"/>
    <s v="Entregue"/>
    <x v="0"/>
    <s v="-"/>
    <x v="0"/>
    <s v="Olá Nome, _x000a_Identificamos que o Item Ventilador Preto foi entregue no dia 06/03/2025, referente ao pedido Nº Pedido 1006 Rastreio CNBR00053725581, agradecemos a preferência e adoraríamos receber sua avaliação, tendo qualquer dúvida estamos à disposição._x000a__x000a_Att_x000a_NTA Variedades"/>
  </r>
  <r>
    <s v="Pedido 1007"/>
    <s v="CódRastreio984"/>
    <s v="LP00714093357289"/>
    <s v="MEI"/>
    <d v="2025-03-12T00:00:00"/>
    <s v="Transp 1"/>
    <s v="CNBR00053720980"/>
    <x v="0"/>
    <s v="Brasil"/>
    <d v="2025-03-05T00:00:00"/>
    <s v="Entregue"/>
    <x v="0"/>
    <s v="-"/>
    <x v="0"/>
    <s v="Olá Nome, _x000a_Identificamos que o Item Ventilador Preto foi entregue no dia 05/03/2025, referente ao pedido Nº Pedido 1007 Rastreio CNBR00053720980, agradecemos a preferência e adoraríamos receber sua avaliação, tendo qualquer dúvida estamos à disposição._x000a__x000a_Att_x000a_NTA Variedades"/>
  </r>
  <r>
    <s v="Pedido 1008"/>
    <s v="CódRastreio985"/>
    <s v="LP00713254876481"/>
    <s v="MEI"/>
    <d v="2025-03-18T00:00:00"/>
    <s v="Transp 1"/>
    <s v="CNBR00053731589"/>
    <x v="0"/>
    <s v="Brasil"/>
    <d v="2025-03-04T00:00:00"/>
    <s v="Entregue"/>
    <x v="0"/>
    <s v="Cliente informado"/>
    <x v="0"/>
    <s v="Olá Nome, _x000a_Identificamos que o Item Ventilador Preto foi entregue no dia 04/03/2025, referente ao pedido Nº Pedido 1008 Rastreio CNBR00053731589, agradecemos a preferência e adoraríamos receber sua avaliação, tendo qualquer dúvida estamos à disposição._x000a__x000a_Att_x000a_NTA Variedades"/>
  </r>
  <r>
    <s v="Pedido 1009"/>
    <s v="CódRastreio986"/>
    <s v="LP00714069759797"/>
    <s v="MEI"/>
    <d v="2025-03-12T00:00:00"/>
    <s v="Transp 1"/>
    <s v="CNBR00053742015"/>
    <x v="0"/>
    <s v="Brasil"/>
    <d v="2025-02-28T00:00:00"/>
    <s v="Entregue"/>
    <x v="0"/>
    <s v="-"/>
    <x v="0"/>
    <s v="Olá Nome, _x000a_Identificamos que o Item Ventilador Preto foi entregue no dia 28/02/2025, referente ao pedido Nº Pedido 1009 Rastreio CNBR00053742015, agradecemos a preferência e adoraríamos receber sua avaliação, tendo qualquer dúvida estamos à disposição._x000a__x000a_Att_x000a_NTA Variedades"/>
  </r>
  <r>
    <s v="Pedido 1010"/>
    <s v="CódRastreio987"/>
    <s v="LP00714951894171"/>
    <s v="MEI"/>
    <d v="2025-03-12T00:00:00"/>
    <s v="Transp 1"/>
    <s v="CNBR00053737409"/>
    <x v="0"/>
    <s v="Brasil"/>
    <d v="2025-02-28T00:00:00"/>
    <s v="Entregue"/>
    <x v="0"/>
    <s v="-"/>
    <x v="0"/>
    <s v="Olá Nome, _x000a_Identificamos que o Item Ventilador Preto foi entregue no dia 28/02/2025, referente ao pedido Nº Pedido 1010 Rastreio CNBR00053737409, agradecemos a preferência e adoraríamos receber sua avaliação, tendo qualquer dúvida estamos à disposição._x000a__x000a_Att_x000a_NTA Variedades"/>
  </r>
  <r>
    <s v="Pedido 1012"/>
    <s v="CódRastreio989"/>
    <s v="LP00714083696995"/>
    <s v="MEI"/>
    <d v="2025-03-13T00:00:00"/>
    <s v="Transp 1"/>
    <s v="CNBR00053739984"/>
    <x v="0"/>
    <s v="Brasil"/>
    <d v="2025-04-01T00:00:00"/>
    <s v="Entregue"/>
    <x v="0"/>
    <s v="-"/>
    <x v="1"/>
    <s v="Olá Nome, _x000a_Identificamos que o Item Ventilador Preto foi entregue no dia 01/04/2025, referente ao pedido Nº Pedido 1012 Rastreio CNBR00053739984, agradecemos a preferência e adoraríamos receber sua avaliação, tendo qualquer dúvida estamos à disposição._x000a__x000a_Att_x000a_NTA Variedades"/>
  </r>
  <r>
    <s v="Pedido 1011"/>
    <s v="CódRastreio988"/>
    <n v="888670001576309"/>
    <s v="MEI"/>
    <d v="2025-03-12T00:00:00"/>
    <s v="Transp 1"/>
    <s v="-"/>
    <x v="1"/>
    <s v="Brasil"/>
    <d v="2025-02-28T00:00:00"/>
    <s v="Entregue"/>
    <x v="0"/>
    <s v="-"/>
    <x v="0"/>
    <s v="Olá Nome, _x000a_Identificamos que o Item Mini Liquidificador foi entregue no dia 28/02/2025, referente ao pedido Nº Pedido 1011 Rastreio Pedido 1011, agradecemos a preferência e adoraríamos receber sua avaliação, tendo qualquer dúvida estamos à disposição._x000a__x000a_Att_x000a_NTA Variedades"/>
  </r>
  <r>
    <s v="Pedido 1013"/>
    <s v="CódRastreio990"/>
    <s v="LP00714322112385"/>
    <s v="BV"/>
    <d v="2025-03-19T00:00:00"/>
    <s v="Transp 1"/>
    <s v="CNBR00054478121"/>
    <x v="0"/>
    <s v="Brasil"/>
    <d v="2025-03-07T00:00:00"/>
    <s v="Entregue"/>
    <x v="0"/>
    <s v="Cliente informado"/>
    <x v="0"/>
    <s v="Olá Nome, _x000a_Identificamos que o Item Ventilador Rosa foi entregue no dia 07/03/2025, referente ao pedido Nº Pedido 1013 Rastreio CNBR00054478121, agradecemos a preferência e adoraríamos receber sua avaliação, tendo qualquer dúvida estamos à disposição._x000a__x000a_Att_x000a_Tem tudo Shop"/>
  </r>
  <r>
    <s v="Pedido 1014"/>
    <s v="CódRastreio991"/>
    <s v="LP00713478100634"/>
    <s v="MEI"/>
    <d v="2025-03-19T00:00:00"/>
    <s v="Transp 1"/>
    <s v="CNBR00054446273"/>
    <x v="0"/>
    <s v="Brasil"/>
    <d v="2025-03-08T00:00:00"/>
    <s v="Entregue"/>
    <x v="0"/>
    <s v="Cliente informado"/>
    <x v="0"/>
    <s v="Olá Nome, _x000a_Identificamos que o Item Ventilador Preto foi entregue no dia 08/03/2025, referente ao pedido Nº Pedido 1014 Rastreio CNBR00054446273, agradecemos a preferência e adoraríamos receber sua avaliação, tendo qualquer dúvida estamos à disposição._x000a__x000a_Att_x000a_NTA Variedades"/>
  </r>
  <r>
    <s v="Pedido 1015"/>
    <s v="CódRastreio992"/>
    <n v="3621049660323"/>
    <s v="MEI"/>
    <d v="2025-03-19T00:00:00"/>
    <s v="Transp 1"/>
    <s v="-"/>
    <x v="1"/>
    <s v="Brasil"/>
    <d v="2025-02-27T00:00:00"/>
    <s v="Entregue"/>
    <x v="0"/>
    <s v="-"/>
    <x v="0"/>
    <s v="Olá Nome, _x000a_Identificamos que o Item Mini Liquidificador foi entregue no dia 27/02/2025, referente ao pedido Nº Pedido 1015 Rastreio Pedido 1015, agradecemos a preferência e adoraríamos receber sua avaliação, tendo qualquer dúvida estamos à disposição._x000a__x000a_Att_x000a_NTA Variedades"/>
  </r>
  <r>
    <s v="Pedido 1016"/>
    <s v="CódRastreio993"/>
    <n v="3621049661261"/>
    <s v="MEI"/>
    <d v="2025-03-13T00:00:00"/>
    <s v="Transp 1"/>
    <s v="-"/>
    <x v="1"/>
    <s v="Brasil"/>
    <d v="2025-02-24T00:00:00"/>
    <s v="Entregue"/>
    <x v="0"/>
    <s v="-"/>
    <x v="0"/>
    <s v="Olá Nome, _x000a_Identificamos que o Item Mini Liquidificador foi entregue no dia 24/02/2025, referente ao pedido Nº Pedido 1016 Rastreio Pedido 1016, agradecemos a preferência e adoraríamos receber sua avaliação, tendo qualquer dúvida estamos à disposição._x000a__x000a_Att_x000a_NTA Variedades"/>
  </r>
  <r>
    <s v="Pedido 1017"/>
    <s v="CódRastreio994"/>
    <n v="3621049661053"/>
    <s v="MEI"/>
    <d v="2025-03-13T00:00:00"/>
    <s v="Transp 1"/>
    <s v="-"/>
    <x v="1"/>
    <s v="Brasil"/>
    <d v="2025-02-22T00:00:00"/>
    <s v="Entregue"/>
    <x v="0"/>
    <s v="-"/>
    <x v="0"/>
    <s v="Olá Nome, _x000a_Identificamos que o Item Mini Liquidificador foi entregue no dia 22/02/2025, referente ao pedido Nº Pedido 1017 Rastreio Pedido 1017, agradecemos a preferência e adoraríamos receber sua avaliação, tendo qualquer dúvida estamos à disposição._x000a__x000a_Att_x000a_NTA Variedades"/>
  </r>
  <r>
    <s v="Pedido 1018"/>
    <s v="CódRastreio995"/>
    <s v="LP00713469784852"/>
    <s v="MEI"/>
    <d v="2025-03-13T00:00:00"/>
    <s v="Transp 1"/>
    <s v="CNBR00054459103"/>
    <x v="0"/>
    <s v="Brasil"/>
    <d v="2025-03-06T00:00:00"/>
    <s v="Entregue"/>
    <x v="0"/>
    <s v="-"/>
    <x v="0"/>
    <s v="Olá Nome, _x000a_Identificamos que o Item Ventilador Preto foi entregue no dia 06/03/2025, referente ao pedido Nº Pedido 1018 Rastreio CNBR00054459103, agradecemos a preferência e adoraríamos receber sua avaliação, tendo qualquer dúvida estamos à disposição._x000a__x000a_Att_x000a_NTA Variedades"/>
  </r>
  <r>
    <s v="Pedido 1019"/>
    <s v="CódRastreio996"/>
    <n v="888670001571355"/>
    <s v="MEI"/>
    <d v="2025-03-14T00:00:00"/>
    <s v="Transp 1"/>
    <s v="-"/>
    <x v="1"/>
    <s v="Brasil"/>
    <d v="2025-02-22T00:00:00"/>
    <s v="Entregue"/>
    <x v="0"/>
    <s v="-"/>
    <x v="0"/>
    <s v="Olá Nome, _x000a_Identificamos que o Item Mini Liquidificador foi entregue no dia 22/02/2025, referente ao pedido Nº Pedido 1019 Rastreio Pedido 1019, agradecemos a preferência e adoraríamos receber sua avaliação, tendo qualquer dúvida estamos à disposição._x000a__x000a_Att_x000a_NTA Variedades"/>
  </r>
  <r>
    <s v="Pedido 995"/>
    <s v="CódRastreio972"/>
    <n v="888670001546245"/>
    <s v="BV"/>
    <d v="2025-03-12T00:00:00"/>
    <s v="Transp 1"/>
    <s v="-"/>
    <x v="1"/>
    <s v="Brasil"/>
    <d v="2025-02-24T00:00:00"/>
    <s v="Entregue"/>
    <x v="0"/>
    <s v="-"/>
    <x v="0"/>
    <s v="Olá Nome, _x000a_Identificamos que o Item Suporte de Celular com Regulagem foi entregue no dia 24/02/2025, referente ao pedido Nº Pedido 995 Rastreio Pedido 995, agradecemos a preferência e adoraríamos receber sua avaliação, tendo qualquer dúvida estamos à disposição._x000a__x000a_Att_x000a_Tem tudo Shop"/>
  </r>
  <r>
    <s v="Pedido 1005"/>
    <s v="CódRastreio982"/>
    <s v="LP00715523089232"/>
    <s v="MEI"/>
    <d v="2025-03-18T00:00:00"/>
    <s v="Transp 1"/>
    <s v="CNBR00055443946"/>
    <x v="0"/>
    <s v="Brasil"/>
    <d v="2025-03-07T00:00:00"/>
    <s v="Entregue"/>
    <x v="0"/>
    <s v="-"/>
    <x v="0"/>
    <s v="Olá Nome, _x000a_Identificamos que o Item Ventilador Preto foi entregue no dia 07/03/2025, referente ao pedido Nº Pedido 1005 Rastreio CNBR00055443946, agradecemos a preferência e adoraríamos receber sua avaliação, tendo qualquer dúvida estamos à disposição._x000a__x000a_Att_x000a_NTA Variedades"/>
  </r>
  <r>
    <s v="Pedido 1020"/>
    <s v="CódRastreio997"/>
    <n v="888670001597141"/>
    <s v="BV"/>
    <d v="2025-03-14T00:00:00"/>
    <s v="Transp 1"/>
    <s v="-"/>
    <x v="1"/>
    <s v="Brasil"/>
    <d v="2025-02-24T00:00:00"/>
    <s v="Entregue"/>
    <x v="0"/>
    <s v="-"/>
    <x v="0"/>
    <s v="Olá Nome, _x000a_Identificamos que o Item Garrafa Termica foi entregue no dia 24/02/2025, referente ao pedido Nº Pedido 1020 Rastreio Pedido 1020, agradecemos a preferência e adoraríamos receber sua avaliação, tendo qualquer dúvida estamos à disposição._x000a__x000a_Att_x000a_Tem tudo Shop"/>
  </r>
  <r>
    <s v="Pedido 1021"/>
    <s v="CódRastreio998"/>
    <s v="LP00714641594503"/>
    <s v="BV"/>
    <d v="2025-03-15T00:00:00"/>
    <s v="Transp 1"/>
    <s v="CNBR00055444309"/>
    <x v="0"/>
    <s v="Brasil"/>
    <d v="2025-03-06T00:00:00"/>
    <s v="Entregue"/>
    <x v="0"/>
    <s v="-"/>
    <x v="0"/>
    <s v="Olá Nome, _x000a_Identificamos que o Item Ventilador Rosa foi entregue no dia 06/03/2025, referente ao pedido Nº Pedido 1021 Rastreio CNBR00055444309, agradecemos a preferência e adoraríamos receber sua avaliação, tendo qualquer dúvida estamos à disposição._x000a__x000a_Att_x000a_Tem tudo Shop"/>
  </r>
  <r>
    <s v="Pedido 1022"/>
    <s v="CódRastreio999"/>
    <s v="LP00714642008635"/>
    <s v="MEI"/>
    <d v="2025-03-14T00:00:00"/>
    <s v="Transp 1"/>
    <s v="CNBR00055453380"/>
    <x v="0"/>
    <s v="Brasil"/>
    <d v="2025-03-03T00:00:00"/>
    <s v="Entregue"/>
    <x v="0"/>
    <s v="-"/>
    <x v="0"/>
    <s v="Olá Nome, _x000a_Identificamos que o Item Ventilador Preto foi entregue no dia 03/03/2025, referente ao pedido Nº Pedido 1022 Rastreio CNBR00055453380, agradecemos a preferência e adoraríamos receber sua avaliação, tendo qualquer dúvida estamos à disposição._x000a__x000a_Att_x000a_NTA Variedades"/>
  </r>
  <r>
    <s v="Pedido 1023"/>
    <s v="CódRastreio1000"/>
    <s v="LP00713823940813"/>
    <s v="MEI"/>
    <d v="2025-03-20T00:00:00"/>
    <s v="Transp 1"/>
    <s v="CNBR00055463174"/>
    <x v="0"/>
    <s v="Brasil"/>
    <d v="2025-03-13T00:00:00"/>
    <s v="Entregue"/>
    <x v="0"/>
    <s v="-"/>
    <x v="0"/>
    <s v="Olá Nome, _x000a_Identificamos que o Item Ventilador Preto foi entregue no dia 13/03/2025, referente ao pedido Nº Pedido 1023 Rastreio CNBR00055463174, agradecemos a preferência e adoraríamos receber sua avaliação, tendo qualquer dúvida estamos à disposição._x000a__x000a_Att_x000a_NTA Variedades"/>
  </r>
  <r>
    <s v="Pedido 1025"/>
    <s v="CódRastreio1002"/>
    <s v="LP00713797756806"/>
    <s v="MEI"/>
    <d v="2025-03-15T00:00:00"/>
    <s v="Transp 1"/>
    <s v="CNBR00055459490"/>
    <x v="0"/>
    <s v="Brasil"/>
    <d v="2025-03-05T00:00:00"/>
    <s v="Entregue"/>
    <x v="0"/>
    <s v="-"/>
    <x v="0"/>
    <s v="Olá Nome, _x000a_Identificamos que o Item Ventilador Preto foi entregue no dia 05/03/2025, referente ao pedido Nº Pedido 1025 Rastreio CNBR00055459490, agradecemos a preferência e adoraríamos receber sua avaliação, tendo qualquer dúvida estamos à disposição._x000a__x000a_Att_x000a_NTA Variedades"/>
  </r>
  <r>
    <s v="Pedido 1024"/>
    <s v="CódRastreio1001"/>
    <s v="LP00714747477348"/>
    <s v="MEI"/>
    <d v="2025-03-14T00:00:00"/>
    <s v="Transp 1"/>
    <s v="CNBR00055867829"/>
    <x v="0"/>
    <s v="Brasil"/>
    <d v="2025-04-03T00:00:00"/>
    <s v="Entregue"/>
    <x v="0"/>
    <s v="Solicitar reembolso"/>
    <x v="1"/>
    <s v="Olá Nome, _x000a_Identificamos que o Item Ventilador Preto foi entregue no dia 03/04/2025, referente ao pedido Nº Pedido 1024 Rastreio CNBR00055867829, agradecemos a preferência e adoraríamos receber sua avaliação, tendo qualquer dúvida estamos à disposição._x000a__x000a_Att_x000a_NTA Variedades"/>
  </r>
  <r>
    <s v="Pedido 1026"/>
    <s v="CódRastreio1003"/>
    <s v="LP00714765098616"/>
    <s v="BV"/>
    <d v="2025-03-22T00:00:00"/>
    <s v="Transp 1"/>
    <s v="CNBR00055874207"/>
    <x v="0"/>
    <s v="Brasil"/>
    <d v="2025-03-07T00:00:00"/>
    <s v="Entregue"/>
    <x v="0"/>
    <s v="-"/>
    <x v="0"/>
    <s v="Olá Nome, _x000a_Identificamos que o Item Ventilador Rosa foi entregue no dia 07/03/2025, referente ao pedido Nº Pedido 1026 Rastreio CNBR00055874207, agradecemos a preferência e adoraríamos receber sua avaliação, tendo qualquer dúvida estamos à disposição._x000a__x000a_Att_x000a_Tem tudo Shop"/>
  </r>
  <r>
    <s v="Pedido 1027"/>
    <s v="CódRastreio1004"/>
    <s v="LP00714244577352"/>
    <s v="MEI"/>
    <d v="2025-03-18T00:00:00"/>
    <s v="Transp 1"/>
    <s v="CNBR00056167205"/>
    <x v="0"/>
    <s v="Brasil"/>
    <d v="2025-02-28T00:00:00"/>
    <s v="Entregue"/>
    <x v="0"/>
    <s v="-"/>
    <x v="0"/>
    <s v="Olá Nome, _x000a_Identificamos que o Item Ventilador Preto foi entregue no dia 28/02/2025, referente ao pedido Nº Pedido 1027 Rastreio CNBR00056167205, agradecemos a preferência e adoraríamos receber sua avaliação, tendo qualquer dúvida estamos à disposição._x000a__x000a_Att_x000a_NTA Variedades"/>
  </r>
  <r>
    <s v="Pedido 1028"/>
    <s v="CódRastreio1005"/>
    <s v="AA487435256BR"/>
    <s v="BV"/>
    <d v="2025-03-12T00:00:00"/>
    <s v="Transp 1"/>
    <s v="-"/>
    <x v="1"/>
    <s v="Brasil"/>
    <d v="2025-02-27T00:00:00"/>
    <s v="Entregue"/>
    <x v="0"/>
    <s v="-"/>
    <x v="0"/>
    <s v="Olá Nome, _x000a_Identificamos que o Item Garrafa Termica foi entregue no dia 27/02/2025, referente ao pedido Nº Pedido 1028 Rastreio Pedido 1028, agradecemos a preferência e adoraríamos receber sua avaliação, tendo qualquer dúvida estamos à disposição._x000a__x000a_Att_x000a_Tem tudo Shop"/>
  </r>
  <r>
    <s v="Pedido 1029"/>
    <s v="CódRastreio1006"/>
    <s v="LP00714255904179"/>
    <s v="BV"/>
    <d v="2025-03-18T00:00:00"/>
    <s v="Transp 1"/>
    <s v="NM756669152BR"/>
    <x v="0"/>
    <s v="Brasil"/>
    <d v="2025-03-06T00:00:00"/>
    <s v="Entregue"/>
    <x v="0"/>
    <s v="-"/>
    <x v="0"/>
    <s v="Olá Nome, _x000a_Identificamos que o Item Ventilador Rosa foi entregue no dia 06/03/2025, referente ao pedido Nº Pedido 1029 Rastreio NM756669152BR, agradecemos a preferência e adoraríamos receber sua avaliação, tendo qualquer dúvida estamos à disposição._x000a__x000a_Att_x000a_Tem tudo Shop"/>
  </r>
  <r>
    <s v="Pedido 1030"/>
    <s v="CódRastreio1007"/>
    <n v="3621049663502"/>
    <s v="BV"/>
    <d v="2025-03-25T00:00:00"/>
    <s v="Transp 1"/>
    <s v="-"/>
    <x v="1"/>
    <s v="Brasil"/>
    <d v="2025-03-18T00:00:00"/>
    <s v="Entregue"/>
    <x v="0"/>
    <s v="Cliente informado"/>
    <x v="0"/>
    <s v="Olá Nome, _x000a_Identificamos que o Item Caixinha de som Preta foi entregue no dia 18/03/2025, referente ao pedido Nº Pedido 1030 Rastreio Pedido 1030, agradecemos a preferência e adoraríamos receber sua avaliação, tendo qualquer dúvida estamos à disposição._x000a__x000a_Att_x000a_Tem tudo Shop"/>
  </r>
  <r>
    <s v="Pedido 1031"/>
    <s v="CódRastreio1008"/>
    <s v="AA487435260BR"/>
    <s v="BV"/>
    <d v="2025-03-13T00:00:00"/>
    <s v="Transp 1"/>
    <s v="-"/>
    <x v="1"/>
    <s v="Brasil"/>
    <d v="2025-02-26T00:00:00"/>
    <s v="Entregue"/>
    <x v="0"/>
    <s v="-"/>
    <x v="0"/>
    <s v="Olá Nome, _x000a_Identificamos que o Item Garrafa Termica foi entregue no dia 26/02/2025, referente ao pedido Nº Pedido 1031 Rastreio Pedido 1031, agradecemos a preferência e adoraríamos receber sua avaliação, tendo qualquer dúvida estamos à disposição._x000a__x000a_Att_x000a_Tem tudo Shop"/>
  </r>
  <r>
    <s v="Pedido 1032"/>
    <s v="CódRastreio1009"/>
    <s v="CNBR014077013LG"/>
    <s v="BV"/>
    <d v="2025-03-11T00:00:00"/>
    <s v="Transp 1"/>
    <s v="-"/>
    <x v="1"/>
    <s v="Brasil"/>
    <d v="2025-02-26T00:00:00"/>
    <s v="Entregue"/>
    <x v="0"/>
    <s v="-"/>
    <x v="0"/>
    <s v="Olá Nome, _x000a_Identificamos que o Item Multi Processador USB 3 Laminas foi entregue no dia 26/02/2025, referente ao pedido Nº Pedido 1032 Rastreio Pedido 1032, agradecemos a preferência e adoraríamos receber sua avaliação, tendo qualquer dúvida estamos à disposição._x000a__x000a_Att_x000a_Tem tudo Shop"/>
  </r>
  <r>
    <s v="Pedido 1033"/>
    <s v="CódRastreio1010"/>
    <s v="AL977086413BR"/>
    <s v="BV"/>
    <d v="2025-03-19T00:00:00"/>
    <s v="Transp 1"/>
    <s v="-"/>
    <x v="1"/>
    <s v="Brasil"/>
    <d v="2025-03-05T00:00:00"/>
    <s v="Entregue"/>
    <x v="0"/>
    <s v="-"/>
    <x v="0"/>
    <s v="Olá Nome, _x000a_Identificamos que o Item Garrafa Termica foi entregue no dia 05/03/2025, referente ao pedido Nº Pedido 1033 Rastreio Pedido 1033, agradecemos a preferência e adoraríamos receber sua avaliação, tendo qualquer dúvida estamos à disposição._x000a__x000a_Att_x000a_Tem tudo Shop"/>
  </r>
  <r>
    <s v="Pedido 1034"/>
    <s v="CódRastreio1011"/>
    <s v="LP00715909525092"/>
    <s v="GO"/>
    <d v="2025-03-25T00:00:00"/>
    <s v="Transp 1"/>
    <s v="NM756664756BR"/>
    <x v="0"/>
    <s v="Brasil"/>
    <d v="2025-03-07T00:00:00"/>
    <s v="Entregue"/>
    <x v="0"/>
    <s v="-"/>
    <x v="0"/>
    <s v="Olá Nome, _x000a_Identificamos que o Item Webcam foi entregue no dia 07/03/2025, referente ao pedido Nº Pedido 1034 Rastreio NM756664756BR, agradecemos a preferência e adoraríamos receber sua avaliação, tendo qualquer dúvida estamos à disposição._x000a__x000a_Att_x000a_Sec Variedades"/>
  </r>
  <r>
    <s v="Pedido 1035"/>
    <s v="CódRastreio1012"/>
    <s v="AL977090863BR"/>
    <s v="BV"/>
    <d v="2025-03-13T00:00:00"/>
    <s v="Transp 1"/>
    <s v="-"/>
    <x v="1"/>
    <s v="Brasil"/>
    <d v="2025-03-07T00:00:00"/>
    <s v="Entregue"/>
    <x v="0"/>
    <s v="Cliente informado"/>
    <x v="0"/>
    <s v="Olá Nome, _x000a_Identificamos que o Item Copo Termico foi entregue no dia 07/03/2025, referente ao pedido Nº Pedido 1035 Rastreio Pedido 1035, agradecemos a preferência e adoraríamos receber sua avaliação, tendo qualquer dúvida estamos à disposição._x000a__x000a_Att_x000a_Tem tudo Shop"/>
  </r>
  <r>
    <s v="Pedido 1036"/>
    <s v="CódRastreio1013"/>
    <n v="3621049665844"/>
    <s v="BV"/>
    <d v="2025-03-19T00:00:00"/>
    <s v="Transp 1"/>
    <s v="-"/>
    <x v="1"/>
    <s v="Brasil"/>
    <d v="2025-03-29T00:00:00"/>
    <s v="Entregue"/>
    <x v="0"/>
    <s v="Solicitado Reembolso"/>
    <x v="1"/>
    <s v="Olá Nome, _x000a_Identificamos que o Item Suporte de Celular Branco foi entregue no dia 29/03/2025, referente ao pedido Nº Pedido 1036 Rastreio Pedido 1036, agradecemos a preferência e adoraríamos receber sua avaliação, tendo qualquer dúvida estamos à disposição._x000a__x000a_Att_x000a_Tem tudo Shop"/>
  </r>
  <r>
    <s v="Pedido 1037"/>
    <s v="CódRastreio1014"/>
    <n v="888670001673678"/>
    <s v="BV"/>
    <d v="2025-03-19T00:00:00"/>
    <s v="Transp 1"/>
    <s v="-"/>
    <x v="1"/>
    <s v="Brasil"/>
    <d v="2025-03-01T00:00:00"/>
    <s v="Entregue"/>
    <x v="0"/>
    <s v="-"/>
    <x v="0"/>
    <s v="Olá Nome, _x000a_Identificamos que o Item Garrafa Termica foi entregue no dia 01/03/2025, referente ao pedido Nº Pedido 1037 Rastreio Pedido 1037, agradecemos a preferência e adoraríamos receber sua avaliação, tendo qualquer dúvida estamos à disposição._x000a__x000a_Att_x000a_Tem tudo Shop"/>
  </r>
  <r>
    <s v="Pedido 1039"/>
    <s v="CódRastreio1016"/>
    <s v="AA487436565BR"/>
    <s v="BV"/>
    <d v="2025-03-13T00:00:00"/>
    <s v="Transp 1"/>
    <s v="-"/>
    <x v="1"/>
    <s v="Brasil"/>
    <d v="2025-02-26T00:00:00"/>
    <s v="Entregue"/>
    <x v="0"/>
    <s v="-"/>
    <x v="0"/>
    <s v="Olá Nome, _x000a_Identificamos que o Item Copo Termico foi entregue no dia 26/02/2025, referente ao pedido Nº Pedido 1039 Rastreio Pedido 1039, agradecemos a preferência e adoraríamos receber sua avaliação, tendo qualquer dúvida estamos à disposição._x000a__x000a_Att_x000a_Tem tudo Shop"/>
  </r>
  <r>
    <s v="Pedido 1040"/>
    <s v="CódRastreio1017"/>
    <n v="888670001665129"/>
    <s v="BV"/>
    <d v="2025-03-26T00:00:00"/>
    <s v="Transp 1"/>
    <s v="-"/>
    <x v="1"/>
    <s v="Brasil"/>
    <d v="2025-03-03T00:00:00"/>
    <s v="Entregue"/>
    <x v="0"/>
    <s v="-"/>
    <x v="0"/>
    <s v="Olá Nome, _x000a_Identificamos que o Item Copo Termico foi entregue no dia 03/03/2025, referente ao pedido Nº Pedido 1040 Rastreio Pedido 1040, agradecemos a preferência e adoraríamos receber sua avaliação, tendo qualquer dúvida estamos à disposição._x000a__x000a_Att_x000a_Tem tudo Shop"/>
  </r>
  <r>
    <s v="Pedido 1041"/>
    <s v="CódRastreio1018"/>
    <s v="AL977091299BR"/>
    <s v="BV"/>
    <d v="2025-03-14T00:00:00"/>
    <s v="Transp 1"/>
    <s v="-"/>
    <x v="1"/>
    <s v="Brasil"/>
    <d v="2025-03-07T00:00:00"/>
    <s v="Entregue"/>
    <x v="0"/>
    <s v="Não dá a opção de entrar em contato com a cliente"/>
    <x v="0"/>
    <s v="Olá Nome, _x000a_Identificamos que o Item Copo Termico foi entregue no dia 07/03/2025, referente ao pedido Nº Pedido 1041 Rastreio Pedido 1041, agradecemos a preferência e adoraríamos receber sua avaliação, tendo qualquer dúvida estamos à disposição._x000a__x000a_Att_x000a_Tem tudo Shop"/>
  </r>
  <r>
    <s v="Pedido 1042"/>
    <s v="CódRastreio1019"/>
    <s v="LP00716592349967"/>
    <s v="BV"/>
    <d v="2025-03-20T00:00:00"/>
    <s v="Transp 1"/>
    <s v="CNBR00056752451"/>
    <x v="0"/>
    <s v="Brasil"/>
    <d v="2025-03-10T00:00:00"/>
    <s v="Entregue"/>
    <x v="0"/>
    <s v="-"/>
    <x v="0"/>
    <s v="Olá Nome, _x000a_Identificamos que o Item Ventilador Rosa foi entregue no dia 10/03/2025, referente ao pedido Nº Pedido 1042 Rastreio CNBR00056752451, agradecemos a preferência e adoraríamos receber sua avaliação, tendo qualquer dúvida estamos à disposição._x000a__x000a_Att_x000a_Tem tudo Shop"/>
  </r>
  <r>
    <s v="Pedido 1043"/>
    <s v="CódRastreio1020"/>
    <s v="LP00716599728063"/>
    <s v="MEI"/>
    <d v="2025-03-19T00:00:00"/>
    <s v="Transp 1"/>
    <s v="NM758434543BR"/>
    <x v="0"/>
    <s v="Brasil"/>
    <d v="2025-03-06T00:00:00"/>
    <s v="Entregue"/>
    <x v="0"/>
    <s v="-"/>
    <x v="0"/>
    <s v="Olá Nome, _x000a_Identificamos que o Item Ventilador Preto foi entregue no dia 06/03/2025, referente ao pedido Nº Pedido 1043 Rastreio NM758434543BR, agradecemos a preferência e adoraríamos receber sua avaliação, tendo qualquer dúvida estamos à disposição._x000a__x000a_Att_x000a_NTA Variedades"/>
  </r>
  <r>
    <s v="Pedido 1044"/>
    <s v="CódRastreio1021"/>
    <s v="LP00714830039634"/>
    <s v="MEI"/>
    <d v="2025-03-19T00:00:00"/>
    <s v="Transp 1"/>
    <s v="NM758439656BR"/>
    <x v="0"/>
    <s v="Brasil"/>
    <d v="2025-03-06T00:00:00"/>
    <s v="Entregue"/>
    <x v="0"/>
    <s v="-"/>
    <x v="0"/>
    <s v="Olá Nome, _x000a_Identificamos que o Item Ventilador Preto foi entregue no dia 06/03/2025, referente ao pedido Nº Pedido 1044 Rastreio NM758439656BR, agradecemos a preferência e adoraríamos receber sua avaliação, tendo qualquer dúvida estamos à disposição._x000a__x000a_Att_x000a_NTA Variedades"/>
  </r>
  <r>
    <s v="Pedido 1045"/>
    <s v="CódRastreio1022"/>
    <s v="LP00716531785863"/>
    <s v="MEI"/>
    <d v="2025-03-19T00:00:00"/>
    <s v="Transp 1"/>
    <s v="NM758456835BR"/>
    <x v="0"/>
    <s v="Brasil"/>
    <d v="2025-03-06T00:00:00"/>
    <s v="Entregue"/>
    <x v="0"/>
    <s v="-"/>
    <x v="0"/>
    <s v="Olá Nome, _x000a_Identificamos que o Item Ventilador Preto foi entregue no dia 06/03/2025, referente ao pedido Nº Pedido 1045 Rastreio NM758456835BR, agradecemos a preferência e adoraríamos receber sua avaliação, tendo qualquer dúvida estamos à disposição._x000a__x000a_Att_x000a_NTA Variedades"/>
  </r>
  <r>
    <s v="Pedido 1046"/>
    <s v="CódRastreio1023"/>
    <s v="LP00716566285115"/>
    <s v="MEI"/>
    <d v="2025-03-25T00:00:00"/>
    <s v="Transp 1"/>
    <s v="NM758453922BR"/>
    <x v="0"/>
    <s v="Brasil"/>
    <d v="2025-03-14T00:00:00"/>
    <s v="Entregue"/>
    <x v="0"/>
    <s v="-"/>
    <x v="0"/>
    <s v="Olá Nome, _x000a_Identificamos que o Item Ventilador Preto foi entregue no dia 14/03/2025, referente ao pedido Nº Pedido 1046 Rastreio NM758453922BR, agradecemos a preferência e adoraríamos receber sua avaliação, tendo qualquer dúvida estamos à disposição._x000a__x000a_Att_x000a_NTA Variedades"/>
  </r>
  <r>
    <s v="Pedido 1047"/>
    <s v="CódRastreio1024"/>
    <s v="LP00715739012234"/>
    <s v="MEI"/>
    <d v="2025-03-20T00:00:00"/>
    <s v="Transp 1"/>
    <s v="NM758477380BR"/>
    <x v="0"/>
    <s v="Brasil"/>
    <d v="2025-03-06T00:00:00"/>
    <s v="Entregue"/>
    <x v="0"/>
    <s v="-"/>
    <x v="0"/>
    <s v="Olá Nome, _x000a_Identificamos que o Item Ventilador Preto foi entregue no dia 06/03/2025, referente ao pedido Nº Pedido 1047 Rastreio NM758477380BR, agradecemos a preferência e adoraríamos receber sua avaliação, tendo qualquer dúvida estamos à disposição._x000a__x000a_Att_x000a_NTA Variedades"/>
  </r>
  <r>
    <s v="Pedido 1048"/>
    <s v="CódRastreio1025"/>
    <s v="LP00715749500897"/>
    <s v="MEI"/>
    <d v="2025-03-20T00:00:00"/>
    <s v="Transp 1"/>
    <s v="NM758480698BR"/>
    <x v="0"/>
    <s v="Brasil"/>
    <d v="2025-03-10T00:00:00"/>
    <s v="Entregue"/>
    <x v="0"/>
    <s v="-"/>
    <x v="0"/>
    <s v="Olá Nome, _x000a_Identificamos que o Item Ventilador Preto foi entregue no dia 10/03/2025, referente ao pedido Nº Pedido 1048 Rastreio NM758480698BR, agradecemos a preferência e adoraríamos receber sua avaliação, tendo qualquer dúvida estamos à disposição._x000a__x000a_Att_x000a_NTA Variedades"/>
  </r>
  <r>
    <s v="Pedido 1049"/>
    <s v="CódRastreio1026"/>
    <s v="LP00716544751731"/>
    <s v="MEI"/>
    <d v="2025-03-20T00:00:00"/>
    <s v="Transp 1"/>
    <s v="NM758490001BR"/>
    <x v="0"/>
    <s v="Brasil"/>
    <d v="2025-03-06T00:00:00"/>
    <s v="Entregue"/>
    <x v="0"/>
    <s v="-"/>
    <x v="0"/>
    <s v="Olá Nome, _x000a_Identificamos que o Item Ventilador Preto foi entregue no dia 06/03/2025, referente ao pedido Nº Pedido 1049 Rastreio NM758490001BR, agradecemos a preferência e adoraríamos receber sua avaliação, tendo qualquer dúvida estamos à disposição._x000a__x000a_Att_x000a_NTA Variedades"/>
  </r>
  <r>
    <s v="Pedido 1051"/>
    <s v="CódRastreio1028"/>
    <s v="AA487439765BR"/>
    <s v="BV"/>
    <d v="2025-03-15T00:00:00"/>
    <s v="Transp 1"/>
    <s v="-"/>
    <x v="1"/>
    <s v="Brasil"/>
    <d v="2025-02-28T00:00:00"/>
    <s v="Entregue"/>
    <x v="0"/>
    <s v="-"/>
    <x v="0"/>
    <s v="Olá Nome, _x000a_Identificamos que o Item Copo Termico foi entregue no dia 28/02/2025, referente ao pedido Nº Pedido 1051 Rastreio Pedido 1051, agradecemos a preferência e adoraríamos receber sua avaliação, tendo qualquer dúvida estamos à disposição._x000a__x000a_Att_x000a_Tem tudo Shop"/>
  </r>
  <r>
    <s v="Pedido 1053"/>
    <s v="CódRastreio1030"/>
    <s v="LP00716145794842"/>
    <s v="BV"/>
    <d v="2025-03-22T00:00:00"/>
    <s v="Transp 1"/>
    <s v="NM759758877BR"/>
    <x v="0"/>
    <s v="Brasil"/>
    <d v="2025-03-13T00:00:00"/>
    <s v="Entregue"/>
    <x v="0"/>
    <s v="-"/>
    <x v="0"/>
    <s v="Olá Nome, _x000a_Identificamos que o Item Ventilador de teto foi entregue no dia 13/03/2025, referente ao pedido Nº Pedido 1053 Rastreio NM759758877BR, agradecemos a preferência e adoraríamos receber sua avaliação, tendo qualquer dúvida estamos à disposição._x000a__x000a_Att_x000a_Tem tudo Shop"/>
  </r>
  <r>
    <s v="Pedido 1054"/>
    <s v="CódRastreio1031"/>
    <s v="LP00716148524475"/>
    <s v="BV"/>
    <d v="2025-03-22T00:00:00"/>
    <s v="Transp 1"/>
    <s v="NM759768239BR"/>
    <x v="0"/>
    <s v="Brasil"/>
    <d v="2025-03-12T14:37:02"/>
    <s v="Entregue"/>
    <x v="0"/>
    <s v="-"/>
    <x v="0"/>
    <s v="Olá Nome, _x000a_Identificamos que o Item Ventilador Rosa foi entregue no dia 12/03/2025, referente ao pedido Nº Pedido 1054 Rastreio NM759768239BR, agradecemos a preferência e adoraríamos receber sua avaliação, tendo qualquer dúvida estamos à disposição._x000a__x000a_Att_x000a_Tem tudo Shop"/>
  </r>
  <r>
    <s v="Pedido 1055"/>
    <s v="CódRastreio1032"/>
    <s v="CNBR00087185HB"/>
    <s v="MEI"/>
    <d v="2025-03-15T00:00:00"/>
    <s v="Transp 1"/>
    <s v="-"/>
    <x v="1"/>
    <s v="Brasil"/>
    <d v="2025-02-28T00:00:00"/>
    <s v="Entregue"/>
    <x v="0"/>
    <s v="-"/>
    <x v="0"/>
    <s v="Olá Nome, _x000a_Identificamos que o Item Mini Liquidificador foi entregue no dia 28/02/2025, referente ao pedido Nº Pedido 1055 Rastreio Pedido 1055, agradecemos a preferência e adoraríamos receber sua avaliação, tendo qualquer dúvida estamos à disposição._x000a__x000a_Att_x000a_NTA Variedades"/>
  </r>
  <r>
    <s v="Pedido 1056"/>
    <s v="CódRastreio1033"/>
    <s v="CNBR014102588LG"/>
    <s v="MEI"/>
    <d v="2025-03-28T00:00:00"/>
    <s v="Transp 1"/>
    <s v="-"/>
    <x v="1"/>
    <s v="Brasil"/>
    <d v="2025-03-05T00:00:00"/>
    <s v="Entregue"/>
    <x v="0"/>
    <s v="-"/>
    <x v="0"/>
    <s v="Olá Nome, _x000a_Identificamos que o Item Mini Liquidificador foi entregue no dia 05/03/2025, referente ao pedido Nº Pedido 1056 Rastreio Pedido 1056, agradecemos a preferência e adoraríamos receber sua avaliação, tendo qualquer dúvida estamos à disposição._x000a__x000a_Att_x000a_NTA Variedades"/>
  </r>
  <r>
    <s v="Pedido 1057"/>
    <s v="CódRastreio1034"/>
    <n v="888670001718036"/>
    <s v="MEI"/>
    <d v="2025-03-28T00:00:00"/>
    <s v="Transp 1"/>
    <s v="-"/>
    <x v="1"/>
    <s v="Brasil"/>
    <d v="2025-03-14T00:00:00"/>
    <s v="Entregue"/>
    <x v="0"/>
    <s v="-"/>
    <x v="0"/>
    <s v="Olá Nome, _x000a_Identificamos que o Item Mini Liquidificador foi entregue no dia 14/03/2025, referente ao pedido Nº Pedido 1057 Rastreio Pedido 1057, agradecemos a preferência e adoraríamos receber sua avaliação, tendo qualquer dúvida estamos à disposição._x000a__x000a_Att_x000a_NTA Variedades"/>
  </r>
  <r>
    <s v="Pedido 1058"/>
    <s v="CódRastreio1035"/>
    <s v="CNBR014110726LG"/>
    <s v="MEI"/>
    <d v="2025-03-18T00:00:00"/>
    <s v="Transp 1"/>
    <s v="-"/>
    <x v="1"/>
    <s v="Brasil"/>
    <d v="2025-03-06T00:00:00"/>
    <s v="Entregue"/>
    <x v="0"/>
    <s v="-"/>
    <x v="0"/>
    <s v="Olá Nome, _x000a_Identificamos que o Item Mini Liquidificador foi entregue no dia 06/03/2025, referente ao pedido Nº Pedido 1058 Rastreio Pedido 1058, agradecemos a preferência e adoraríamos receber sua avaliação, tendo qualquer dúvida estamos à disposição._x000a__x000a_Att_x000a_NTA Variedades"/>
  </r>
  <r>
    <s v="Pedido 1059"/>
    <s v="CódRastreio1036"/>
    <s v="LP00715547758125"/>
    <s v="BV"/>
    <d v="2025-03-25T00:00:00"/>
    <s v="Transp 1"/>
    <s v="NM760427435BR"/>
    <x v="0"/>
    <s v="Brasil"/>
    <d v="2025-03-11T00:00:00"/>
    <s v="Entregue"/>
    <x v="0"/>
    <s v="-"/>
    <x v="0"/>
    <s v="Olá Nome, _x000a_Identificamos que o Item Ventilador Preto foi entregue no dia 11/03/2025, referente ao pedido Nº Pedido 1059 Rastreio NM760427435BR, agradecemos a preferência e adoraríamos receber sua avaliação, tendo qualquer dúvida estamos à disposição._x000a__x000a_Att_x000a_Tem tudo Shop"/>
  </r>
  <r>
    <s v="Pedido 1062"/>
    <s v="CódRastreio1039"/>
    <s v="AA487442226BR"/>
    <s v="BV"/>
    <d v="2025-03-19T00:00:00"/>
    <s v="Transp 1"/>
    <s v="-"/>
    <x v="1"/>
    <s v="Brasil"/>
    <d v="2025-04-22T00:00:00"/>
    <s v="Entregue"/>
    <x v="0"/>
    <s v="Não foi entregue"/>
    <x v="1"/>
    <s v="Olá Nome, _x000a_Identificamos que o Item Garrafa Termica foi entregue no dia 22/04/2025, referente ao pedido Nº Pedido 1062 Rastreio Pedido 1062, agradecemos a preferência e adoraríamos receber sua avaliação, tendo qualquer dúvida estamos à disposição._x000a__x000a_Att_x000a_Tem tudo Shop"/>
  </r>
  <r>
    <s v="Pedido 1064"/>
    <s v="CódRastreio1041"/>
    <s v="LP00716453000110"/>
    <s v="BV"/>
    <d v="2025-03-25T00:00:00"/>
    <s v="Transp 1"/>
    <s v="NM760594376BR"/>
    <x v="0"/>
    <s v="Brasil"/>
    <d v="2025-03-07T00:00:00"/>
    <s v="Entregue"/>
    <x v="0"/>
    <s v="-"/>
    <x v="0"/>
    <s v="Olá Nome, _x000a_Identificamos que o Item Ventilador Preto foi entregue no dia 07/03/2025, referente ao pedido Nº Pedido 1064 Rastreio NM760594376BR, agradecemos a preferência e adoraríamos receber sua avaliação, tendo qualquer dúvida estamos à disposição._x000a__x000a_Att_x000a_Tem tudo Shop"/>
  </r>
  <r>
    <s v="Pedido 1065"/>
    <s v="CódRastreio1042"/>
    <s v="LP00715598236089"/>
    <s v="GO"/>
    <d v="2025-03-19T00:00:00"/>
    <s v="Transp 1"/>
    <s v="NM760587295BR"/>
    <x v="0"/>
    <s v="Brasil"/>
    <d v="2025-03-17T00:00:00"/>
    <s v="Entregue"/>
    <x v="0"/>
    <s v="Cliente informado"/>
    <x v="0"/>
    <s v="Olá Nome, _x000a_Identificamos que o Item Escova Multifuncional foi entregue no dia 17/03/2025, referente ao pedido Nº Pedido 1065 Rastreio NM760587295BR, agradecemos a preferência e adoraríamos receber sua avaliação, tendo qualquer dúvida estamos à disposição._x000a__x000a_Att_x000a_Sec Variedades"/>
  </r>
  <r>
    <s v="Pedido 1063"/>
    <s v="CódRastreio1040"/>
    <s v="CNBR014131292LG"/>
    <s v="BV"/>
    <d v="2025-03-29T00:00:00"/>
    <s v="Transp 1"/>
    <s v="-"/>
    <x v="1"/>
    <s v="Brasil"/>
    <d v="2025-03-12T19:44:40"/>
    <s v="Entregue"/>
    <x v="0"/>
    <s v="-"/>
    <x v="0"/>
    <s v="Olá Nome, _x000a_Identificamos que o Item Caixinha de som Preta foi entregue no dia 12/03/2025, referente ao pedido Nº Pedido 1063 Rastreio Pedido 1063, agradecemos a preferência e adoraríamos receber sua avaliação, tendo qualquer dúvida estamos à disposição._x000a__x000a_Att_x000a_Tem tudo Shop"/>
  </r>
  <r>
    <s v="Pedido 1071"/>
    <s v="CódRastreio1048"/>
    <n v="888670001719821"/>
    <s v="BV"/>
    <d v="2025-04-01T00:00:00"/>
    <s v="Transp 1"/>
    <s v="-"/>
    <x v="1"/>
    <s v="Brasil"/>
    <d v="2025-03-15T00:00:00"/>
    <s v="Entregue"/>
    <x v="0"/>
    <s v="-"/>
    <x v="0"/>
    <s v="Olá Nome, _x000a_Identificamos que o Item Garrafa Termica foi entregue no dia 15/03/2025, referente ao pedido Nº Pedido 1071 Rastreio Pedido 1071, agradecemos a preferência e adoraríamos receber sua avaliação, tendo qualquer dúvida estamos à disposição._x000a__x000a_Att_x000a_Tem tudo Shop"/>
  </r>
  <r>
    <s v="Pedido 1038"/>
    <s v="CódRastreio1015"/>
    <s v="LP00717446970630"/>
    <s v="BV"/>
    <d v="2025-04-01T00:00:00"/>
    <s v="Transp 1"/>
    <s v="NM760923046BR"/>
    <x v="0"/>
    <s v="Brasil"/>
    <d v="2025-04-03T00:00:00"/>
    <s v="Entregue"/>
    <x v="0"/>
    <s v="-"/>
    <x v="1"/>
    <s v="Olá Nome, _x000a_Identificamos que o Item Ventilador Umidificador Branco foi entregue no dia 03/04/2025, referente ao pedido Nº Pedido 1038 Rastreio NM760923046BR, agradecemos a preferência e adoraríamos receber sua avaliação, tendo qualquer dúvida estamos à disposição._x000a__x000a_Att_x000a_Tem tudo Shop"/>
  </r>
  <r>
    <s v="Pedido 1061"/>
    <s v="CódRastreio1038"/>
    <n v="888670001727731"/>
    <s v="BV"/>
    <d v="2025-03-25T00:00:00"/>
    <s v="Transp 1"/>
    <s v="-"/>
    <x v="1"/>
    <s v="Brasil"/>
    <d v="2025-03-13T00:00:00"/>
    <s v="Entregue"/>
    <x v="0"/>
    <s v="-"/>
    <x v="0"/>
    <s v="Olá Nome, _x000a_Identificamos que o Item Garrafa Termica foi entregue no dia 13/03/2025, referente ao pedido Nº Pedido 1061 Rastreio Pedido 1061, agradecemos a preferência e adoraríamos receber sua avaliação, tendo qualquer dúvida estamos à disposição._x000a__x000a_Att_x000a_Tem tudo Shop"/>
  </r>
  <r>
    <s v="Pedido 1066"/>
    <s v="CódRastreio1043"/>
    <s v="LP00715745872493"/>
    <s v="BV"/>
    <d v="2025-03-25T00:00:00"/>
    <s v="Transp 1"/>
    <s v="NM760946909BR"/>
    <x v="0"/>
    <s v="Brasil"/>
    <d v="2025-03-10T00:00:00"/>
    <s v="Entregue"/>
    <x v="0"/>
    <s v="-"/>
    <x v="0"/>
    <s v="Olá Nome, _x000a_Identificamos que o Item Ventilador Preto foi entregue no dia 10/03/2025, referente ao pedido Nº Pedido 1066 Rastreio NM760946909BR, agradecemos a preferência e adoraríamos receber sua avaliação, tendo qualquer dúvida estamos à disposição._x000a__x000a_Att_x000a_Tem tudo Shop"/>
  </r>
  <r>
    <s v="Pedido 1067"/>
    <s v="CódRastreio1044"/>
    <s v="LP00715734856783"/>
    <s v="BV"/>
    <d v="2025-03-26T00:00:00"/>
    <s v="Transp 1"/>
    <s v="NM760946002BR"/>
    <x v="0"/>
    <s v="Brasil"/>
    <d v="2025-03-10T00:00:00"/>
    <s v="Entregue"/>
    <x v="0"/>
    <s v="-"/>
    <x v="0"/>
    <s v="Olá Nome, _x000a_Identificamos que o Item Ventilador Preto foi entregue no dia 10/03/2025, referente ao pedido Nº Pedido 1067 Rastreio NM760946002BR, agradecemos a preferência e adoraríamos receber sua avaliação, tendo qualquer dúvida estamos à disposição._x000a__x000a_Att_x000a_Tem tudo Shop"/>
  </r>
  <r>
    <s v="Pedido 1068"/>
    <s v="CódRastreio1045"/>
    <n v="888670001728158"/>
    <s v="BV"/>
    <d v="2025-03-26T00:00:00"/>
    <s v="Transp 1"/>
    <s v="-"/>
    <x v="1"/>
    <s v="Brasil"/>
    <d v="2025-03-14T00:00:00"/>
    <s v="Entregue"/>
    <x v="0"/>
    <s v="-"/>
    <x v="0"/>
    <s v="Olá Nome, _x000a_Identificamos que o Item Garrafa Termica foi entregue no dia 14/03/2025, referente ao pedido Nº Pedido 1068 Rastreio Pedido 1068, agradecemos a preferência e adoraríamos receber sua avaliação, tendo qualquer dúvida estamos à disposição._x000a__x000a_Att_x000a_Tem tudo Shop"/>
  </r>
  <r>
    <s v="Pedido 1069"/>
    <s v="CódRastreio1046"/>
    <s v="LP00716625417451"/>
    <s v="BV"/>
    <d v="2025-04-01T00:00:00"/>
    <s v="Transp 1"/>
    <s v="NM760958495BR"/>
    <x v="0"/>
    <s v="Brasil"/>
    <d v="2025-03-13T00:00:00"/>
    <s v="Entregue"/>
    <x v="0"/>
    <s v="-"/>
    <x v="0"/>
    <s v="Olá Nome, _x000a_Identificamos que o Item Karaoke portátil foi entregue no dia 13/03/2025, referente ao pedido Nº Pedido 1069 Rastreio NM760958495BR, agradecemos a preferência e adoraríamos receber sua avaliação, tendo qualquer dúvida estamos à disposição._x000a__x000a_Att_x000a_Tem tudo Shop"/>
  </r>
  <r>
    <s v="Pedido 1070"/>
    <s v="CódRastreio1047"/>
    <s v="LP00716630390200"/>
    <s v="BV"/>
    <d v="2025-04-01T00:00:00"/>
    <s v="Transp 1"/>
    <s v="NM760977367BR"/>
    <x v="0"/>
    <s v="Brasil"/>
    <d v="2025-03-20T00:00:00"/>
    <s v="Entregue"/>
    <x v="0"/>
    <s v="-"/>
    <x v="0"/>
    <s v="Olá Nome, _x000a_Identificamos que o Item Ventilador Preto foi entregue no dia 20/03/2025, referente ao pedido Nº Pedido 1070 Rastreio NM760977367BR, agradecemos a preferência e adoraríamos receber sua avaliação, tendo qualquer dúvida estamos à disposição._x000a__x000a_Att_x000a_Tem tudo Shop"/>
  </r>
  <r>
    <s v="Pedido 1072"/>
    <s v="CódRastreio1049"/>
    <s v="LP00717504840677"/>
    <s v="BV"/>
    <d v="2025-03-26T00:00:00"/>
    <s v="Transp 1"/>
    <s v="NM760987611BR"/>
    <x v="0"/>
    <s v="Brasil"/>
    <d v="2025-03-10T00:00:00"/>
    <s v="Entregue"/>
    <x v="0"/>
    <s v="-"/>
    <x v="0"/>
    <s v="Olá Nome, _x000a_Identificamos que o Item Karaoke portátil foi entregue no dia 10/03/2025, referente ao pedido Nº Pedido 1072 Rastreio NM760987611BR, agradecemos a preferência e adoraríamos receber sua avaliação, tendo qualquer dúvida estamos à disposição._x000a__x000a_Att_x000a_Tem tudo Shop"/>
  </r>
  <r>
    <s v="Pedido 1075"/>
    <s v="CódRastreio1052"/>
    <n v="888670001733239"/>
    <s v="BV"/>
    <d v="2025-04-01T00:00:00"/>
    <s v="Transp 1"/>
    <s v="-"/>
    <x v="1"/>
    <s v="Brasil"/>
    <d v="2025-03-13T00:00:00"/>
    <s v="Entregue"/>
    <x v="0"/>
    <s v="-"/>
    <x v="0"/>
    <s v="Olá Nome, _x000a_Identificamos que o Item Caixinha de som Preta foi entregue no dia 13/03/2025, referente ao pedido Nº Pedido 1075 Rastreio Pedido 1075, agradecemos a preferência e adoraríamos receber sua avaliação, tendo qualquer dúvida estamos à disposição._x000a__x000a_Att_x000a_Tem tudo Shop"/>
  </r>
  <r>
    <s v="Pedido 1073"/>
    <s v="CódRastreio1050"/>
    <s v="LP00717897415648"/>
    <s v="BV"/>
    <d v="2025-04-01T00:00:00"/>
    <s v="Transp 1"/>
    <s v="NM761839375BR"/>
    <x v="0"/>
    <s v="Brasil"/>
    <d v="2025-04-24T00:00:00"/>
    <s v="Entregue"/>
    <x v="0"/>
    <s v="-"/>
    <x v="1"/>
    <s v="Olá Nome, _x000a_Identificamos que o Item Karaoke portátil foi entregue no dia 24/04/2025, referente ao pedido Nº Pedido 1073 Rastreio NM761839375BR, agradecemos a preferência e adoraríamos receber sua avaliação, tendo qualquer dúvida estamos à disposição._x000a__x000a_Att_x000a_Tem tudo Shop"/>
  </r>
  <r>
    <s v="Pedido 1076"/>
    <s v="CódRastreio1053"/>
    <s v="LP00717002264836"/>
    <s v="BV"/>
    <d v="2025-04-01T00:00:00"/>
    <s v="Transp 1"/>
    <s v="NM761875435BR"/>
    <x v="0"/>
    <s v="Brasil"/>
    <d v="2025-03-12T15:59:37"/>
    <s v="Entregue"/>
    <x v="0"/>
    <s v="-"/>
    <x v="0"/>
    <s v="Olá Nome, _x000a_Identificamos que o Item Ventilador de teto foi entregue no dia 12/03/2025, referente ao pedido Nº Pedido 1076 Rastreio NM761875435BR, agradecemos a preferência e adoraríamos receber sua avaliação, tendo qualquer dúvida estamos à disposição._x000a__x000a_Att_x000a_Tem tudo Shop"/>
  </r>
  <r>
    <s v="Pedido 1077"/>
    <s v="CódRastreio1054"/>
    <s v="LP00717041414909"/>
    <s v="BV"/>
    <d v="2025-04-01T00:00:00"/>
    <s v="Transp 1"/>
    <s v="NM761888059BR"/>
    <x v="0"/>
    <s v="Brasil"/>
    <d v="2025-03-17T00:00:00"/>
    <s v="Entregue"/>
    <x v="0"/>
    <s v="-"/>
    <x v="0"/>
    <s v="Olá Nome, _x000a_Identificamos que o Item Ventilador Preto foi entregue no dia 17/03/2025, referente ao pedido Nº Pedido 1077 Rastreio NM761888059BR, agradecemos a preferência e adoraríamos receber sua avaliação, tendo qualquer dúvida estamos à disposição._x000a__x000a_Att_x000a_Tem tudo Shop"/>
  </r>
  <r>
    <s v="Pedido 1079"/>
    <s v="CódRastreio1056"/>
    <s v="LP00716152997023"/>
    <s v="BV"/>
    <d v="2025-04-01T00:00:00"/>
    <s v="Transp 1"/>
    <s v="NM761906883BR"/>
    <x v="0"/>
    <s v="Brasil"/>
    <d v="2025-03-18T00:00:00"/>
    <s v="Entregue"/>
    <x v="0"/>
    <s v="-"/>
    <x v="0"/>
    <s v="Olá Nome, _x000a_Identificamos que o Item Ventilador Preto foi entregue no dia 18/03/2025, referente ao pedido Nº Pedido 1079 Rastreio NM761906883BR, agradecemos a preferência e adoraríamos receber sua avaliação, tendo qualquer dúvida estamos à disposição._x000a__x000a_Att_x000a_Tem tudo Shop"/>
  </r>
  <r>
    <s v="Pedido 1081"/>
    <s v="CódRastreio1058"/>
    <s v="LP00716196821927"/>
    <s v="BV"/>
    <d v="2025-04-01T00:00:00"/>
    <s v="Transp 1"/>
    <s v="NM761920324BR"/>
    <x v="0"/>
    <s v="Brasil"/>
    <d v="2025-03-14T00:00:00"/>
    <s v="Entregue"/>
    <x v="0"/>
    <s v="-"/>
    <x v="0"/>
    <s v="Olá Nome, _x000a_Identificamos que o Item Karaoke portátil foi entregue no dia 14/03/2025, referente ao pedido Nº Pedido 1081 Rastreio NM761920324BR, agradecemos a preferência e adoraríamos receber sua avaliação, tendo qualquer dúvida estamos à disposição._x000a__x000a_Att_x000a_Tem tudo Shop"/>
  </r>
  <r>
    <s v="Pedido 1083"/>
    <s v="CódRastreio1060"/>
    <s v="AA487444329BR"/>
    <s v="BV"/>
    <d v="2025-03-20T00:00:00"/>
    <s v="Transp 1"/>
    <s v="-"/>
    <x v="1"/>
    <s v="Brasil"/>
    <d v="2025-03-06T00:00:00"/>
    <s v="Entregue"/>
    <x v="0"/>
    <s v="-"/>
    <x v="0"/>
    <s v="Olá Nome, _x000a_Identificamos que o Item Copo Termico foi entregue no dia 06/03/2025, referente ao pedido Nº Pedido 1083 Rastreio Pedido 1083, agradecemos a preferência e adoraríamos receber sua avaliação, tendo qualquer dúvida estamos à disposição._x000a__x000a_Att_x000a_Tem tudo Shop"/>
  </r>
  <r>
    <s v="Pedido 1084"/>
    <s v="CódRastreio1061"/>
    <s v="LP00716146649555"/>
    <s v="BV"/>
    <d v="2025-04-08T00:00:00"/>
    <s v="Transp 1"/>
    <s v="NM761937625BR"/>
    <x v="0"/>
    <s v="Brasil"/>
    <d v="2025-03-17T00:00:00"/>
    <s v="Entregue"/>
    <x v="0"/>
    <s v="-"/>
    <x v="0"/>
    <s v="Olá Nome, _x000a_Identificamos que o Item Ventilador Preto foi entregue no dia 17/03/2025, referente ao pedido Nº Pedido 1084 Rastreio NM761937625BR, agradecemos a preferência e adoraríamos receber sua avaliação, tendo qualquer dúvida estamos à disposição._x000a__x000a_Att_x000a_Tem tudo Shop"/>
  </r>
  <r>
    <s v="Pedido 1085"/>
    <s v="CódRastreio1062"/>
    <s v="CNBR014118883LG"/>
    <s v="MEI"/>
    <d v="2025-03-26T00:00:00"/>
    <s v="Transp 1"/>
    <s v="-"/>
    <x v="1"/>
    <s v="Brasil"/>
    <d v="2025-03-11T00:00:00"/>
    <s v="Entregue"/>
    <x v="0"/>
    <s v="-"/>
    <x v="0"/>
    <s v="Olá Nome, _x000a_Identificamos que o Item Mini Liquidificador foi entregue no dia 11/03/2025, referente ao pedido Nº Pedido 1085 Rastreio Pedido 1085, agradecemos a preferência e adoraríamos receber sua avaliação, tendo qualquer dúvida estamos à disposição._x000a__x000a_Att_x000a_NTA Variedades"/>
  </r>
  <r>
    <s v="Pedido 1086"/>
    <s v="CódRastreio1063"/>
    <s v="CNBR014136480LG"/>
    <s v="MEI"/>
    <d v="2025-03-20T00:00:00"/>
    <s v="Transp 1"/>
    <s v="-"/>
    <x v="1"/>
    <s v="Brasil"/>
    <d v="2025-03-07T00:00:00"/>
    <s v="Entregue"/>
    <x v="0"/>
    <s v="-"/>
    <x v="0"/>
    <s v="Olá Nome, _x000a_Identificamos que o Item Mini Liquidificador foi entregue no dia 07/03/2025, referente ao pedido Nº Pedido 1086 Rastreio Pedido 1086, agradecemos a preferência e adoraríamos receber sua avaliação, tendo qualquer dúvida estamos à disposição._x000a__x000a_Att_x000a_NTA Variedades"/>
  </r>
  <r>
    <s v="Pedido 1087"/>
    <s v="CódRastreio1064"/>
    <s v="CNBR014133673LG"/>
    <s v="MEI"/>
    <d v="2025-03-20T00:00:00"/>
    <s v="Transp 1"/>
    <s v="-"/>
    <x v="1"/>
    <s v="Brasil"/>
    <d v="2025-03-07T00:00:00"/>
    <s v="Entregue"/>
    <x v="0"/>
    <s v="-"/>
    <x v="0"/>
    <s v="Olá Nome, _x000a_Identificamos que o Item Mini Liquidificador foi entregue no dia 07/03/2025, referente ao pedido Nº Pedido 1087 Rastreio Pedido 1087, agradecemos a preferência e adoraríamos receber sua avaliação, tendo qualquer dúvida estamos à disposição._x000a__x000a_Att_x000a_NTA Variedades"/>
  </r>
  <r>
    <s v="Pedido 1088"/>
    <s v="CódRastreio1065"/>
    <s v="LP00717066998978"/>
    <s v="MEI"/>
    <d v="2025-04-01T00:00:00"/>
    <s v="Transp 1"/>
    <s v="NM761980623BR"/>
    <x v="0"/>
    <s v="Brasil"/>
    <d v="2025-03-13T00:00:00"/>
    <s v="Entregue"/>
    <x v="0"/>
    <s v="-"/>
    <x v="0"/>
    <s v="Olá Nome, _x000a_Identificamos que o Item Ventilador Preto foi entregue no dia 13/03/2025, referente ao pedido Nº Pedido 1088 Rastreio NM761980623BR, agradecemos a preferência e adoraríamos receber sua avaliação, tendo qualquer dúvida estamos à disposição._x000a__x000a_Att_x000a_NTA Variedades"/>
  </r>
  <r>
    <s v="Pedido 1089"/>
    <s v="CódRastreio1066"/>
    <s v="LP00717868987790"/>
    <s v="GO"/>
    <d v="2025-03-26T00:00:00"/>
    <s v="Transp 1"/>
    <s v="CNBR00057913880"/>
    <x v="0"/>
    <s v="Brasil"/>
    <d v="2025-03-10T00:00:00"/>
    <s v="Entregue"/>
    <x v="0"/>
    <s v="-"/>
    <x v="0"/>
    <s v="Olá Nome, _x000a_Identificamos que o Item Ventilador Preto foi entregue no dia 10/03/2025, referente ao pedido Nº Pedido 1089 Rastreio CNBR00057913880, agradecemos a preferência e adoraríamos receber sua avaliação, tendo qualquer dúvida estamos à disposição._x000a__x000a_Att_x000a_Sec Variedades"/>
  </r>
  <r>
    <s v="Pedido 944"/>
    <s v="CódRastreio921"/>
    <s v="LP00712568943950"/>
    <s v="GO"/>
    <d v="2025-03-11T00:00:00"/>
    <s v="Transp 1"/>
    <s v="CNBR00050447335"/>
    <x v="0"/>
    <s v="Brasil"/>
    <d v="2025-03-08T00:00:00"/>
    <s v="Entregue"/>
    <x v="0"/>
    <s v="-"/>
    <x v="0"/>
    <s v="Olá Nome, _x000a_Identificamos que o Item Ventilador Preto foi entregue no dia 08/03/2025, referente ao pedido Nº Pedido 944 Rastreio CNBR00050447335, agradecemos a preferência e adoraríamos receber sua avaliação, tendo qualquer dúvida estamos à disposição._x000a__x000a_Att_x000a_Sec Variedades"/>
  </r>
  <r>
    <s v="Pedido 1050"/>
    <s v="CódRastreio1027"/>
    <n v="888670001716226"/>
    <s v="BV"/>
    <d v="2025-03-20T00:00:00"/>
    <s v="Transp 1"/>
    <s v="-"/>
    <x v="1"/>
    <s v="Brasil"/>
    <d v="2025-03-10T00:00:00"/>
    <s v="Entregue"/>
    <x v="0"/>
    <s v="-"/>
    <x v="0"/>
    <s v="Olá Nome, _x000a_Identificamos que o Item Garrafa Termica foi entregue no dia 10/03/2025, referente ao pedido Nº Pedido 1050 Rastreio Pedido 1050, agradecemos a preferência e adoraríamos receber sua avaliação, tendo qualquer dúvida estamos à disposição._x000a__x000a_Att_x000a_Tem tudo Shop"/>
  </r>
  <r>
    <s v="Pedido 1052"/>
    <s v="CódRastreio1029"/>
    <n v="3621049667145"/>
    <s v="BV"/>
    <d v="2025-03-15T00:00:00"/>
    <s v="Transp 1"/>
    <s v="-"/>
    <x v="1"/>
    <s v="Brasil"/>
    <d v="2025-03-06T00:00:00"/>
    <s v="Entregue"/>
    <x v="0"/>
    <s v="-"/>
    <x v="0"/>
    <s v="Olá Nome, _x000a_Identificamos que o Item Lampada Led foi entregue no dia 06/03/2025, referente ao pedido Nº Pedido 1052 Rastreio Pedido 1052, agradecemos a preferência e adoraríamos receber sua avaliação, tendo qualquer dúvida estamos à disposição._x000a__x000a_Att_x000a_Tem tudo Shop"/>
  </r>
  <r>
    <s v="Pedido 1060"/>
    <s v="CódRastreio1037"/>
    <n v="3621049666477"/>
    <s v="BV"/>
    <d v="2025-03-29T00:00:00"/>
    <s v="Transp 1"/>
    <s v="-"/>
    <x v="1"/>
    <s v="Brasil"/>
    <d v="2025-03-20T00:00:00"/>
    <s v="Entregue"/>
    <x v="0"/>
    <s v="-"/>
    <x v="0"/>
    <s v="Olá Nome, _x000a_Identificamos que o Item Garrafa Termica foi entregue no dia 20/03/2025, referente ao pedido Nº Pedido 1060 Rastreio Pedido 1060, agradecemos a preferência e adoraríamos receber sua avaliação, tendo qualquer dúvida estamos à disposição._x000a__x000a_Att_x000a_Tem tudo Shop"/>
  </r>
  <r>
    <s v="Pedido 1080"/>
    <s v="CódRastreio1057"/>
    <s v="LP00717609309510"/>
    <s v="BV"/>
    <d v="2025-04-01T00:00:00"/>
    <s v="Transp 1"/>
    <s v="NM763153214BR"/>
    <x v="0"/>
    <s v="Brasil"/>
    <d v="2025-03-20T00:00:00"/>
    <s v="Entregue"/>
    <x v="0"/>
    <s v="-"/>
    <x v="0"/>
    <s v="Olá Nome, _x000a_Identificamos que o Item Ventilador Preto foi entregue no dia 20/03/2025, referente ao pedido Nº Pedido 1080 Rastreio NM763153214BR, agradecemos a preferência e adoraríamos receber sua avaliação, tendo qualquer dúvida estamos à disposição._x000a__x000a_Att_x000a_Tem tudo Shop"/>
  </r>
  <r>
    <s v="Pedido 1082"/>
    <s v="CódRastreio1059"/>
    <s v="AL977132594BR"/>
    <s v="BV"/>
    <d v="2025-03-20T00:00:00"/>
    <s v="Transp 1"/>
    <s v="-"/>
    <x v="1"/>
    <s v="Brasil"/>
    <d v="2025-03-07T00:00:00"/>
    <s v="Entregue"/>
    <x v="0"/>
    <s v="-"/>
    <x v="0"/>
    <s v="Olá Nome, _x000a_Identificamos que o Item Copo Termico foi entregue no dia 07/03/2025, referente ao pedido Nº Pedido 1082 Rastreio Pedido 1082, agradecemos a preferência e adoraríamos receber sua avaliação, tendo qualquer dúvida estamos à disposição._x000a__x000a_Att_x000a_Tem tudo Shop"/>
  </r>
  <r>
    <s v="Pedido 1091"/>
    <s v="CódRastreio1068"/>
    <s v="AL977132651BR"/>
    <s v="BV"/>
    <d v="2025-03-20T00:00:00"/>
    <s v="Transp 1"/>
    <s v="-"/>
    <x v="1"/>
    <s v="Brasil"/>
    <d v="2025-03-13T00:00:00"/>
    <s v="Entregue"/>
    <x v="0"/>
    <s v="-"/>
    <x v="0"/>
    <s v="Olá Nome, _x000a_Identificamos que o Item Copo Termico foi entregue no dia 13/03/2025, referente ao pedido Nº Pedido 1091 Rastreio Pedido 1091, agradecemos a preferência e adoraríamos receber sua avaliação, tendo qualquer dúvida estamos à disposição._x000a__x000a_Att_x000a_Tem tudo Shop"/>
  </r>
  <r>
    <s v="Pedido 1092"/>
    <s v="CódRastreio1069"/>
    <s v="AA487447206BR"/>
    <s v="BV"/>
    <d v="2025-03-20T00:00:00"/>
    <s v="Transp 1"/>
    <s v="-"/>
    <x v="1"/>
    <s v="Brasil"/>
    <d v="2025-03-06T00:00:00"/>
    <s v="Entregue"/>
    <x v="0"/>
    <s v="-"/>
    <x v="0"/>
    <s v="Olá Nome, _x000a_Identificamos que o Item Copo Termico foi entregue no dia 06/03/2025, referente ao pedido Nº Pedido 1092 Rastreio Pedido 1092, agradecemos a preferência e adoraríamos receber sua avaliação, tendo qualquer dúvida estamos à disposição._x000a__x000a_Att_x000a_Tem tudo Shop"/>
  </r>
  <r>
    <s v="Pedido 1093"/>
    <s v="CódRastreio1070"/>
    <s v="LP00717589376871"/>
    <s v="BV"/>
    <d v="2025-04-08T00:00:00"/>
    <s v="Transp 1"/>
    <s v="NM763191420BR"/>
    <x v="0"/>
    <s v="Brasil"/>
    <d v="2025-04-16T00:00:00"/>
    <s v="Entregue"/>
    <x v="0"/>
    <s v="Cliente informado"/>
    <x v="1"/>
    <s v="Olá Nome, _x000a_Identificamos que o Item Karaoke portátil foi entregue no dia 16/04/2025, referente ao pedido Nº Pedido 1093 Rastreio NM763191420BR, agradecemos a preferência e adoraríamos receber sua avaliação, tendo qualquer dúvida estamos à disposição._x000a__x000a_Att_x000a_Tem tudo Shop"/>
  </r>
  <r>
    <s v="Pedido 1094"/>
    <s v="CódRastreio1071"/>
    <s v="LP00716755594577"/>
    <s v="BV"/>
    <d v="2025-04-01T00:00:00"/>
    <s v="Transp 1"/>
    <s v="NM763186685BR"/>
    <x v="0"/>
    <s v="Brasil"/>
    <d v="2025-03-21T00:00:00"/>
    <s v="Entregue"/>
    <x v="0"/>
    <s v="-"/>
    <x v="0"/>
    <s v="Olá Nome, _x000a_Identificamos que o Item Ventilador Preto foi entregue no dia 21/03/2025, referente ao pedido Nº Pedido 1094 Rastreio NM763186685BR, agradecemos a preferência e adoraríamos receber sua avaliação, tendo qualquer dúvida estamos à disposição._x000a__x000a_Att_x000a_Tem tudo Shop"/>
  </r>
  <r>
    <s v="Pedido 1095"/>
    <s v="CódRastreio1072"/>
    <s v="CNBR014163012LG"/>
    <s v="BV"/>
    <d v="2025-03-20T00:00:00"/>
    <s v="Transp 1"/>
    <s v="-"/>
    <x v="1"/>
    <s v="Brasil"/>
    <d v="2025-03-08T00:00:00"/>
    <s v="Entregue"/>
    <x v="0"/>
    <s v="-"/>
    <x v="0"/>
    <s v="Olá Nome, _x000a_Identificamos que o Item Garrafa Termica foi entregue no dia 08/03/2025, referente ao pedido Nº Pedido 1095 Rastreio Pedido 1095, agradecemos a preferência e adoraríamos receber sua avaliação, tendo qualquer dúvida estamos à disposição._x000a__x000a_Att_x000a_Tem tudo Shop"/>
  </r>
  <r>
    <s v="Pedido 1090"/>
    <s v="CódRastreio1067"/>
    <s v="CNBR014173068LG"/>
    <s v="BV"/>
    <d v="2025-03-26T00:00:00"/>
    <s v="Transp 1"/>
    <s v="-"/>
    <x v="1"/>
    <s v="Brasil"/>
    <d v="2025-03-19T00:00:00"/>
    <s v="Entregue"/>
    <x v="0"/>
    <s v="-"/>
    <x v="0"/>
    <s v="Olá Nome, _x000a_Identificamos que o Item Garrafa Termica foi entregue no dia 19/03/2025, referente ao pedido Nº Pedido 1090 Rastreio Pedido 1090, agradecemos a preferência e adoraríamos receber sua avaliação, tendo qualquer dúvida estamos à disposição._x000a__x000a_Att_x000a_Tem tudo Shop"/>
  </r>
  <r>
    <s v="Pedido 1096"/>
    <s v="CódRastreio1073"/>
    <s v="CNBR014157476LG"/>
    <s v="BV"/>
    <d v="2025-03-20T00:00:00"/>
    <s v="Transp 1"/>
    <s v="-"/>
    <x v="1"/>
    <s v="Brasil"/>
    <d v="2025-03-13T00:00:00"/>
    <s v="Entregue"/>
    <x v="0"/>
    <s v="-"/>
    <x v="0"/>
    <s v="Olá Nome, _x000a_Identificamos que o Item Lampada Led foi entregue no dia 13/03/2025, referente ao pedido Nº Pedido 1096 Rastreio Pedido 1096, agradecemos a preferência e adoraríamos receber sua avaliação, tendo qualquer dúvida estamos à disposição._x000a__x000a_Att_x000a_Tem tudo Shop"/>
  </r>
  <r>
    <s v="Pedido 1097"/>
    <s v="CódRastreio1074"/>
    <n v="3621049670267"/>
    <s v="BV"/>
    <d v="2025-03-26T00:00:00"/>
    <s v="Transp 1"/>
    <s v="-"/>
    <x v="1"/>
    <s v="Brasil"/>
    <d v="2025-03-17T00:00:00"/>
    <s v="Entregue"/>
    <x v="0"/>
    <s v="-"/>
    <x v="0"/>
    <s v="Olá Nome, _x000a_Identificamos que o Item Garrafa Termica foi entregue no dia 17/03/2025, referente ao pedido Nº Pedido 1097 Rastreio Pedido 1097, agradecemos a preferência e adoraríamos receber sua avaliação, tendo qualquer dúvida estamos à disposição._x000a__x000a_Att_x000a_Tem tudo Shop"/>
  </r>
  <r>
    <s v="Pedido 1098"/>
    <s v="CódRastreio1075"/>
    <s v="LP00717865562117"/>
    <s v="BV"/>
    <d v="2025-04-01T00:00:00"/>
    <s v="Transp 1"/>
    <s v="NM763632949BR"/>
    <x v="0"/>
    <s v="Brasil"/>
    <d v="2025-04-23T00:00:00"/>
    <s v="Entregue"/>
    <x v="0"/>
    <s v="-"/>
    <x v="1"/>
    <s v="Olá Nome, _x000a_Identificamos que o Item Karaoke portátil foi entregue no dia 23/04/2025, referente ao pedido Nº Pedido 1098 Rastreio NM763632949BR, agradecemos a preferência e adoraríamos receber sua avaliação, tendo qualquer dúvida estamos à disposição._x000a__x000a_Att_x000a_Tem tudo Shop"/>
  </r>
  <r>
    <s v="Pedido 1099"/>
    <s v="CódRastreio1076"/>
    <s v="LP00717797613694"/>
    <s v="BV"/>
    <d v="2025-04-01T00:00:00"/>
    <s v="Transp 1"/>
    <s v="NM763634145BR"/>
    <x v="0"/>
    <s v="Brasil"/>
    <d v="2025-04-17T00:00:00"/>
    <s v="Entregue"/>
    <x v="0"/>
    <s v="-"/>
    <x v="1"/>
    <s v="Olá Nome, _x000a_Identificamos que o Item Karaoke portátil foi entregue no dia 17/04/2025, referente ao pedido Nº Pedido 1099 Rastreio NM763634145BR, agradecemos a preferência e adoraríamos receber sua avaliação, tendo qualquer dúvida estamos à disposição._x000a__x000a_Att_x000a_Tem tudo Shop"/>
  </r>
  <r>
    <s v="Pedido 1101"/>
    <s v="CódRastreio1078"/>
    <s v="LP00717018166402"/>
    <s v="GO"/>
    <d v="2025-04-01T00:00:00"/>
    <s v="Transp 1"/>
    <s v="NM763693143BR"/>
    <x v="0"/>
    <s v="Brasil"/>
    <d v="2025-03-19T00:00:00"/>
    <s v="Entregue"/>
    <x v="0"/>
    <s v="-"/>
    <x v="0"/>
    <s v="Olá Nome, _x000a_Identificamos que o Item Ventilador Preto foi entregue no dia 19/03/2025, referente ao pedido Nº Pedido 1101 Rastreio NM763693143BR, agradecemos a preferência e adoraríamos receber sua avaliação, tendo qualquer dúvida estamos à disposição._x000a__x000a_Att_x000a_Sec Variedades"/>
  </r>
  <r>
    <s v="Pedido 1102"/>
    <s v="CódRastreio1079"/>
    <s v="LP00718738639509"/>
    <s v="BV"/>
    <d v="2025-04-01T00:00:00"/>
    <s v="Transp 1"/>
    <s v="NM763648467BR"/>
    <x v="0"/>
    <s v="Brasil"/>
    <d v="2025-03-14T00:00:00"/>
    <s v="Entregue"/>
    <x v="0"/>
    <s v="-"/>
    <x v="0"/>
    <s v="Olá Nome, _x000a_Identificamos que o Item Ventilador Preto foi entregue no dia 14/03/2025, referente ao pedido Nº Pedido 1102 Rastreio NM763648467BR, agradecemos a preferência e adoraríamos receber sua avaliação, tendo qualquer dúvida estamos à disposição._x000a__x000a_Att_x000a_Tem tudo Shop"/>
  </r>
  <r>
    <s v="Pedido 1103"/>
    <s v="CódRastreio1080"/>
    <s v="LP00716941589960"/>
    <s v="BV"/>
    <d v="2025-03-26T00:00:00"/>
    <s v="Transp 1"/>
    <s v="NM763655397BR"/>
    <x v="0"/>
    <s v="Brasil"/>
    <d v="2025-03-24T00:00:00"/>
    <s v="Entregue"/>
    <x v="0"/>
    <s v="-"/>
    <x v="0"/>
    <s v="Olá Nome, _x000a_Identificamos que o Item Ventilador Preto foi entregue no dia 24/03/2025, referente ao pedido Nº Pedido 1103 Rastreio NM763655397BR, agradecemos a preferência e adoraríamos receber sua avaliação, tendo qualquer dúvida estamos à disposição._x000a__x000a_Att_x000a_Tem tudo Shop"/>
  </r>
  <r>
    <s v="Pedido 1104"/>
    <s v="CódRastreio1081"/>
    <s v="CNBR00089915HB"/>
    <s v="BV"/>
    <d v="2025-03-20T00:00:00"/>
    <s v="Transp 1"/>
    <s v="-"/>
    <x v="1"/>
    <s v="Brasil"/>
    <d v="2025-03-13T00:00:00"/>
    <s v="Entregue"/>
    <x v="0"/>
    <s v="-"/>
    <x v="0"/>
    <s v="Olá Nome, _x000a_Identificamos que o Item Caixinha de som Preta foi entregue no dia 13/03/2025, referente ao pedido Nº Pedido 1104 Rastreio Pedido 1104, agradecemos a preferência e adoraríamos receber sua avaliação, tendo qualquer dúvida estamos à disposição._x000a__x000a_Att_x000a_Tem tudo Shop"/>
  </r>
  <r>
    <s v="Pedido 1107"/>
    <s v="CódRastreio1083"/>
    <n v="888670001785701"/>
    <s v="BV"/>
    <d v="2025-03-26T00:00:00"/>
    <s v="Transp 1"/>
    <s v="-"/>
    <x v="1"/>
    <s v="Brasil"/>
    <d v="2025-04-22T00:00:00"/>
    <s v="Entregue"/>
    <x v="0"/>
    <s v="Não foi entregue"/>
    <x v="1"/>
    <s v="Olá Nome, _x000a_Identificamos que o Item Suporte de Celular Branco foi entregue no dia 22/04/2025, referente ao pedido Nº Pedido 1107 Rastreio Pedido 1107, agradecemos a preferência e adoraríamos receber sua avaliação, tendo qualquer dúvida estamos à disposição._x000a__x000a_Att_x000a_Tem tudo Shop"/>
  </r>
  <r>
    <s v="Pedido 1108"/>
    <s v="CódRastreio1084"/>
    <s v="LP00717034330539"/>
    <s v="MEI"/>
    <d v="2025-04-01T00:00:00"/>
    <s v="Transp 1"/>
    <s v="NM763702667BR"/>
    <x v="0"/>
    <s v="Brasil"/>
    <d v="2025-03-13T00:00:00"/>
    <s v="Entregue"/>
    <x v="0"/>
    <s v="-"/>
    <x v="0"/>
    <s v="Olá Nome, _x000a_Identificamos que o Item Ventilador Preto foi entregue no dia 13/03/2025, referente ao pedido Nº Pedido 1108 Rastreio NM763702667BR, agradecemos a preferência e adoraríamos receber sua avaliação, tendo qualquer dúvida estamos à disposição._x000a__x000a_Att_x000a_NTA Variedades"/>
  </r>
  <r>
    <s v="Pedido 1074"/>
    <s v="CódRastreio1051"/>
    <s v="CNBR00088730HB"/>
    <s v="BV"/>
    <d v="2025-03-20T00:00:00"/>
    <s v="Transp 1"/>
    <s v="-"/>
    <x v="1"/>
    <s v="Brasil"/>
    <d v="2025-03-13T00:00:00"/>
    <s v="Entregue"/>
    <x v="0"/>
    <s v="-"/>
    <x v="0"/>
    <s v="Olá Nome, _x000a_Identificamos que o Item Garrafa Termica foi entregue no dia 13/03/2025, referente ao pedido Nº Pedido 1074 Rastreio Pedido 1074, agradecemos a preferência e adoraríamos receber sua avaliação, tendo qualquer dúvida estamos à disposição._x000a__x000a_Att_x000a_Tem tudo Shop"/>
  </r>
  <r>
    <s v="Pedido 1078"/>
    <s v="CódRastreio1055"/>
    <s v="CNBR00089130HB"/>
    <s v="BV"/>
    <d v="2025-03-20T00:00:00"/>
    <s v="Transp 1"/>
    <s v="-"/>
    <x v="1"/>
    <s v="Brasil"/>
    <d v="2025-03-17T00:00:00"/>
    <s v="Entregue"/>
    <x v="0"/>
    <s v="Cliente informado"/>
    <x v="0"/>
    <s v="Olá Nome, _x000a_Identificamos que o Item Garrafa Termica foi entregue no dia 17/03/2025, referente ao pedido Nº Pedido 1078 Rastreio Pedido 1078, agradecemos a preferência e adoraríamos receber sua avaliação, tendo qualquer dúvida estamos à disposição._x000a__x000a_Att_x000a_Tem tudo Shop"/>
  </r>
  <r>
    <s v="Pedido 1106"/>
    <s v="CódRastreio1082"/>
    <s v="LP00718726405100"/>
    <s v="BV"/>
    <d v="2025-03-26T00:00:00"/>
    <s v="Transp 1"/>
    <s v="CNBR00059011166"/>
    <x v="0"/>
    <s v="Brasil"/>
    <d v="2025-03-20T00:00:00"/>
    <s v="Entregue"/>
    <x v="0"/>
    <s v="-"/>
    <x v="0"/>
    <s v="Olá Nome, _x000a_Identificamos que o Item Ventilador Rosa foi entregue no dia 20/03/2025, referente ao pedido Nº Pedido 1106 Rastreio CNBR00059011166, agradecemos a preferência e adoraríamos receber sua avaliação, tendo qualquer dúvida estamos à disposição._x000a__x000a_Att_x000a_Tem tudo Shop"/>
  </r>
  <r>
    <s v="Pedido 1110"/>
    <s v="CódRastreio1086"/>
    <n v="888670001792908"/>
    <s v="BV"/>
    <d v="2025-03-27T00:00:00"/>
    <s v="Transp 1"/>
    <s v="-"/>
    <x v="1"/>
    <s v="Brasil"/>
    <d v="2025-03-26T00:00:00"/>
    <s v="Entregue"/>
    <x v="0"/>
    <s v="Reembolsado"/>
    <x v="0"/>
    <s v="Olá Nome, _x000a_Identificamos que o Item Garrafa Termica foi entregue no dia 26/03/2025, referente ao pedido Nº Pedido 1110 Rastreio Pedido 1110, agradecemos a preferência e adoraríamos receber sua avaliação, tendo qualquer dúvida estamos à disposição._x000a__x000a_Att_x000a_Tem tudo Shop"/>
  </r>
  <r>
    <s v="Pedido 1111"/>
    <s v="CódRastreio1087"/>
    <s v="LP00718102760707"/>
    <s v="BV"/>
    <d v="2025-04-09T00:00:00"/>
    <s v="Transp 1"/>
    <s v="CNBR00059080977"/>
    <x v="0"/>
    <s v="Brasil"/>
    <d v="2025-03-27T00:00:00"/>
    <s v="Entregue"/>
    <x v="0"/>
    <s v="-"/>
    <x v="0"/>
    <s v="Olá Nome, _x000a_Identificamos que o Item Karaoke portátil foi entregue no dia 27/03/2025, referente ao pedido Nº Pedido 1111 Rastreio CNBR00059080977, agradecemos a preferência e adoraríamos receber sua avaliação, tendo qualquer dúvida estamos à disposição._x000a__x000a_Att_x000a_Tem tudo Shop"/>
  </r>
  <r>
    <s v="Pedido 1112"/>
    <s v="CódRastreio1088"/>
    <s v="LP00718978153655"/>
    <s v="MEI"/>
    <d v="2025-03-29T00:00:00"/>
    <s v="Transp 1"/>
    <s v="CNBR00059089357"/>
    <x v="0"/>
    <s v="Brasil"/>
    <d v="2025-03-18T00:00:00"/>
    <s v="Entregue"/>
    <x v="0"/>
    <s v="-"/>
    <x v="0"/>
    <s v="Olá Nome, _x000a_Identificamos que o Item Ventilador Preto foi entregue no dia 18/03/2025, referente ao pedido Nº Pedido 1112 Rastreio CNBR00059089357, agradecemos a preferência e adoraríamos receber sua avaliação, tendo qualquer dúvida estamos à disposição._x000a__x000a_Att_x000a_NTA Variedades"/>
  </r>
  <r>
    <s v="Pedido 1114"/>
    <s v="CódRastreio1090"/>
    <s v="LP00717256835973"/>
    <s v="MEI"/>
    <d v="2025-04-02T00:00:00"/>
    <s v="Transp 1"/>
    <s v="CNBR00059098823"/>
    <x v="0"/>
    <s v="Brasil"/>
    <d v="2025-03-18T00:00:00"/>
    <s v="Entregue"/>
    <x v="0"/>
    <s v="-"/>
    <x v="0"/>
    <s v="Olá Nome, _x000a_Identificamos que o Item Ventilador Preto foi entregue no dia 18/03/2025, referente ao pedido Nº Pedido 1114 Rastreio CNBR00059098823, agradecemos a preferência e adoraríamos receber sua avaliação, tendo qualquer dúvida estamos à disposição._x000a__x000a_Att_x000a_NTA Variedades"/>
  </r>
  <r>
    <s v="Pedido 1115"/>
    <s v="CódRastreio1091"/>
    <s v="LP00718093382410"/>
    <s v="GO"/>
    <d v="2025-04-02T00:00:00"/>
    <s v="Transp 1"/>
    <s v="CNBR00059109583"/>
    <x v="0"/>
    <s v="Brasil"/>
    <d v="2025-03-24T00:00:00"/>
    <s v="Entregue"/>
    <x v="0"/>
    <s v="-"/>
    <x v="0"/>
    <s v="Olá Nome, _x000a_Identificamos que o Item Relógio Smart foi entregue no dia 24/03/2025, referente ao pedido Nº Pedido 1115 Rastreio CNBR00059109583, agradecemos a preferência e adoraríamos receber sua avaliação, tendo qualquer dúvida estamos à disposição._x000a__x000a_Att_x000a_Sec Variedades"/>
  </r>
  <r>
    <s v="Pedido 1117"/>
    <s v="CódRastreio1093"/>
    <s v="LP00717443926466"/>
    <s v="BV"/>
    <d v="2025-03-28T00:00:00"/>
    <s v="Transp 1"/>
    <s v="CNBR00059480176"/>
    <x v="0"/>
    <s v="Brasil"/>
    <d v="2025-03-23T00:00:00"/>
    <s v="Entregue"/>
    <x v="0"/>
    <s v="-"/>
    <x v="0"/>
    <s v="Olá Nome, _x000a_Identificamos que o Item Ventilador Rosa foi entregue no dia 23/03/2025, referente ao pedido Nº Pedido 1117 Rastreio CNBR00059480176, agradecemos a preferência e adoraríamos receber sua avaliação, tendo qualquer dúvida estamos à disposição._x000a__x000a_Att_x000a_Tem tudo Shop"/>
  </r>
  <r>
    <s v="Pedido 1118"/>
    <s v="CódRastreio1094"/>
    <s v="CNBR014192098LG"/>
    <s v="MEI"/>
    <d v="2025-03-28T00:00:00"/>
    <s v="Transp 1"/>
    <s v="-"/>
    <x v="1"/>
    <s v="Brasil"/>
    <d v="2025-03-19T00:00:00"/>
    <s v="Entregue"/>
    <x v="0"/>
    <s v="-"/>
    <x v="0"/>
    <s v="Olá Nome, _x000a_Identificamos que o Item Mini Liquidificador foi entregue no dia 19/03/2025, referente ao pedido Nº Pedido 1118 Rastreio Pedido 1118, agradecemos a preferência e adoraríamos receber sua avaliação, tendo qualquer dúvida estamos à disposição._x000a__x000a_Att_x000a_NTA Variedades"/>
  </r>
  <r>
    <s v="Pedido 1119"/>
    <s v="CódRastreio1095"/>
    <s v="CNBR014179542LG"/>
    <s v="MEI"/>
    <d v="2025-04-03T00:00:00"/>
    <s v="Transp 1"/>
    <s v="-"/>
    <x v="1"/>
    <s v="Brasil"/>
    <d v="2025-03-22T00:00:00"/>
    <s v="Entregue"/>
    <x v="0"/>
    <s v="-"/>
    <x v="0"/>
    <s v="Olá Nome, _x000a_Identificamos que o Item Mini Liquidificador foi entregue no dia 22/03/2025, referente ao pedido Nº Pedido 1119 Rastreio Pedido 1119, agradecemos a preferência e adoraríamos receber sua avaliação, tendo qualquer dúvida estamos à disposição._x000a__x000a_Att_x000a_NTA Variedades"/>
  </r>
  <r>
    <s v="Pedido 1120"/>
    <s v="CódRastreio1096"/>
    <n v="888670001817073"/>
    <s v="MEI"/>
    <d v="2025-04-03T00:00:00"/>
    <s v="Transp 1"/>
    <s v="-"/>
    <x v="1"/>
    <s v="Brasil"/>
    <d v="2025-03-17T00:00:00"/>
    <s v="Entregue"/>
    <x v="0"/>
    <s v="-"/>
    <x v="0"/>
    <s v="Olá Nome, _x000a_Identificamos que o Item Mini Liquidificador foi entregue no dia 17/03/2025, referente ao pedido Nº Pedido 1120 Rastreio Pedido 1120, agradecemos a preferência e adoraríamos receber sua avaliação, tendo qualquer dúvida estamos à disposição._x000a__x000a_Att_x000a_NTA Variedades"/>
  </r>
  <r>
    <s v="Pedido 1121"/>
    <s v="CódRastreio1097"/>
    <s v="CNBR00089091HB"/>
    <s v="MEI"/>
    <d v="2025-03-22T00:00:00"/>
    <s v="Transp 1"/>
    <s v="-"/>
    <x v="1"/>
    <s v="Brasil"/>
    <d v="2025-03-12T13:54:37"/>
    <s v="Entregue"/>
    <x v="0"/>
    <s v="-"/>
    <x v="0"/>
    <s v="Olá Nome, _x000a_Identificamos que o Item Mini Liquidificador foi entregue no dia 12/03/2025, referente ao pedido Nº Pedido 1121 Rastreio Pedido 1121, agradecemos a preferência e adoraríamos receber sua avaliação, tendo qualquer dúvida estamos à disposição._x000a__x000a_Att_x000a_NTA Variedades"/>
  </r>
  <r>
    <s v="Pedido 1100"/>
    <s v="CódRastreio1077"/>
    <n v="3621049672016"/>
    <s v="MEI"/>
    <d v="2025-03-26T00:00:00"/>
    <s v="Transp 1"/>
    <s v="-"/>
    <x v="1"/>
    <s v="Brasil"/>
    <d v="2025-03-18T00:00:00"/>
    <s v="Entregue"/>
    <x v="0"/>
    <s v="-"/>
    <x v="0"/>
    <s v="Olá Nome, _x000a_Identificamos que o Item Mini Liquidificador foi entregue no dia 18/03/2025, referente ao pedido Nº Pedido 1100 Rastreio Pedido 1100, agradecemos a preferência e adoraríamos receber sua avaliação, tendo qualquer dúvida estamos à disposição._x000a__x000a_Att_x000a_NTA Variedades"/>
  </r>
  <r>
    <s v="Pedido 1109"/>
    <s v="CódRastreio1085"/>
    <s v="CNBR00090706HB"/>
    <s v="MEI"/>
    <d v="2025-03-20T00:00:00"/>
    <s v="Transp 1"/>
    <s v="-"/>
    <x v="1"/>
    <s v="Brasil"/>
    <d v="2025-03-13T00:00:00"/>
    <s v="Entregue"/>
    <x v="0"/>
    <s v="-"/>
    <x v="0"/>
    <s v="Olá Nome, _x000a_Identificamos que o Item Mini Liquidificador foi entregue no dia 13/03/2025, referente ao pedido Nº Pedido 1109 Rastreio Pedido 1109, agradecemos a preferência e adoraríamos receber sua avaliação, tendo qualquer dúvida estamos à disposição._x000a__x000a_Att_x000a_NTA Variedades"/>
  </r>
  <r>
    <s v="Pedido 1113"/>
    <s v="CódRastreio1089"/>
    <s v="CNBR00090658HB"/>
    <s v="MEI"/>
    <d v="2025-03-21T00:00:00"/>
    <s v="Transp 1"/>
    <s v="-"/>
    <x v="1"/>
    <s v="Brasil"/>
    <d v="2025-03-13T00:00:00"/>
    <s v="Entregue"/>
    <x v="0"/>
    <s v="-"/>
    <x v="0"/>
    <s v="Olá Nome, _x000a_Identificamos que o Item Mini Liquidificador foi entregue no dia 13/03/2025, referente ao pedido Nº Pedido 1113 Rastreio Pedido 1113, agradecemos a preferência e adoraríamos receber sua avaliação, tendo qualquer dúvida estamos à disposição._x000a__x000a_Att_x000a_NTA Variedades"/>
  </r>
  <r>
    <s v="Pedido 1116"/>
    <s v="CódRastreio1092"/>
    <s v="LP00718100908998"/>
    <s v="BV"/>
    <d v="2025-03-28T00:00:00"/>
    <s v="Transp 1"/>
    <s v="CNBR00060673114"/>
    <x v="0"/>
    <s v="Brasil"/>
    <d v="2025-03-22T00:00:00"/>
    <s v="Entregue"/>
    <x v="0"/>
    <s v="-"/>
    <x v="0"/>
    <s v="Olá Nome, _x000a_Identificamos que o Item Ventilador Rosa foi entregue no dia 22/03/2025, referente ao pedido Nº Pedido 1116 Rastreio CNBR00060673114, agradecemos a preferência e adoraríamos receber sua avaliação, tendo qualquer dúvida estamos à disposição._x000a__x000a_Att_x000a_Tem tudo Shop"/>
  </r>
  <r>
    <s v="Pedido 1122"/>
    <s v="CódRastreio1098"/>
    <s v="LP00718143425162"/>
    <s v="BV"/>
    <d v="2025-04-10T00:00:00"/>
    <s v="Transp 1"/>
    <s v="CNBR00060670890"/>
    <x v="0"/>
    <s v="Brasil"/>
    <d v="2025-03-31T00:00:00"/>
    <s v="Entregue"/>
    <x v="0"/>
    <s v="-"/>
    <x v="0"/>
    <s v="Olá Nome, _x000a_Identificamos que o Item Ventilador Rosa foi entregue no dia 31/03/2025, referente ao pedido Nº Pedido 1122 Rastreio CNBR00060670890, agradecemos a preferência e adoraríamos receber sua avaliação, tendo qualquer dúvida estamos à disposição._x000a__x000a_Att_x000a_Tem tudo Shop"/>
  </r>
  <r>
    <s v="Pedido 1123"/>
    <s v="CódRastreio1099"/>
    <s v="LP00719864250398"/>
    <s v="BV"/>
    <d v="2025-04-03T00:00:00"/>
    <s v="Transp 1"/>
    <s v="CNBR00060679766"/>
    <x v="0"/>
    <s v="Brasil"/>
    <d v="2025-03-27T00:00:00"/>
    <s v="Entregue"/>
    <x v="0"/>
    <s v="-"/>
    <x v="0"/>
    <s v="Olá Nome, _x000a_Identificamos que o Item Ventilador Rosa foi entregue no dia 27/03/2025, referente ao pedido Nº Pedido 1123 Rastreio CNBR00060679766, agradecemos a preferência e adoraríamos receber sua avaliação, tendo qualquer dúvida estamos à disposição._x000a__x000a_Att_x000a_Tem tudo Shop"/>
  </r>
  <r>
    <s v="Pedido 1124"/>
    <s v="CódRastreio1100"/>
    <n v="888670001847415"/>
    <s v="BV"/>
    <d v="2025-04-03T00:00:00"/>
    <s v="Transp 1"/>
    <s v="-"/>
    <x v="1"/>
    <s v="Brasil"/>
    <d v="2025-03-19T00:00:00"/>
    <s v="Entregue"/>
    <x v="0"/>
    <s v="-"/>
    <x v="0"/>
    <s v="Olá Nome, _x000a_Identificamos que o Item Garrafa Termica foi entregue no dia 19/03/2025, referente ao pedido Nº Pedido 1124 Rastreio Pedido 1124, agradecemos a preferência e adoraríamos receber sua avaliação, tendo qualquer dúvida estamos à disposição._x000a__x000a_Att_x000a_Tem tudo Shop"/>
  </r>
  <r>
    <s v="Pedido 1125"/>
    <s v="CódRastreio1101"/>
    <s v="CNBR014188969LG"/>
    <s v="BV"/>
    <d v="2025-03-22T00:00:00"/>
    <s v="Transp 1"/>
    <s v="-"/>
    <x v="1"/>
    <s v="Brasil"/>
    <d v="2025-03-12T18:24:17"/>
    <s v="Entregue"/>
    <x v="0"/>
    <s v="-"/>
    <x v="0"/>
    <s v="Olá Nome, _x000a_Identificamos que o Item Garrafa Termica foi entregue no dia 12/03/2025, referente ao pedido Nº Pedido 1125 Rastreio Pedido 1125, agradecemos a preferência e adoraríamos receber sua avaliação, tendo qualquer dúvida estamos à disposição._x000a__x000a_Att_x000a_Tem tudo Shop"/>
  </r>
  <r>
    <s v="Pedido 1126"/>
    <s v="CódRastreio1102"/>
    <n v="888670001842927"/>
    <s v="BV"/>
    <d v="2025-03-25T00:00:00"/>
    <s v="Transp 1"/>
    <s v="-"/>
    <x v="1"/>
    <s v="Brasil"/>
    <d v="2025-03-14T00:00:00"/>
    <s v="Entregue"/>
    <x v="0"/>
    <s v="-"/>
    <x v="0"/>
    <s v="Olá Nome, _x000a_Identificamos que o Item Lampada Led foi entregue no dia 14/03/2025, referente ao pedido Nº Pedido 1126 Rastreio Pedido 1126, agradecemos a preferência e adoraríamos receber sua avaliação, tendo qualquer dúvida estamos à disposição._x000a__x000a_Att_x000a_Tem tudo Shop"/>
  </r>
  <r>
    <s v="Pedido 1127"/>
    <s v="CódRastreio1103"/>
    <s v="LP00718126216527"/>
    <s v="BV"/>
    <d v="2025-03-29T00:00:00"/>
    <s v="Transp 1"/>
    <s v="CNBR00060694775"/>
    <x v="0"/>
    <s v="Brasil"/>
    <d v="2025-03-25T00:00:00"/>
    <s v="Entregue"/>
    <x v="0"/>
    <s v="-"/>
    <x v="0"/>
    <s v="Olá Nome, _x000a_Identificamos que o Item Ventilador Preto foi entregue no dia 25/03/2025, referente ao pedido Nº Pedido 1127 Rastreio CNBR00060694775, agradecemos a preferência e adoraríamos receber sua avaliação, tendo qualquer dúvida estamos à disposição._x000a__x000a_Att_x000a_Tem tudo Shop"/>
  </r>
  <r>
    <s v="Pedido 1128"/>
    <s v="CódRastreio1104"/>
    <s v="LP00719896393170"/>
    <s v="MEI"/>
    <d v="2025-03-28T00:00:00"/>
    <s v="Transp 1"/>
    <s v="CNBR00060707185"/>
    <x v="0"/>
    <s v="Brasil"/>
    <d v="2025-03-21T00:00:00"/>
    <s v="Entregue"/>
    <x v="0"/>
    <s v="-"/>
    <x v="0"/>
    <s v="Olá Nome, _x000a_Identificamos que o Item Ventilador Preto foi entregue no dia 21/03/2025, referente ao pedido Nº Pedido 1128 Rastreio CNBR00060707185, agradecemos a preferência e adoraríamos receber sua avaliação, tendo qualquer dúvida estamos à disposição._x000a__x000a_Att_x000a_NTA Variedades"/>
  </r>
  <r>
    <s v="Pedido 1130"/>
    <s v="CódRastreio1106"/>
    <s v="LP00718946871368"/>
    <s v="MEI"/>
    <d v="2025-04-03T00:00:00"/>
    <s v="Transp 1"/>
    <s v="CNBR00060713570"/>
    <x v="0"/>
    <s v="Brasil"/>
    <d v="2025-03-26T00:00:00"/>
    <s v="Entregue"/>
    <x v="0"/>
    <s v="-"/>
    <x v="0"/>
    <s v="Olá Nome, _x000a_Identificamos que o Item Ventilador Preto foi entregue no dia 26/03/2025, referente ao pedido Nº Pedido 1130 Rastreio CNBR00060713570, agradecemos a preferência e adoraríamos receber sua avaliação, tendo qualquer dúvida estamos à disposição._x000a__x000a_Att_x000a_NTA Variedades"/>
  </r>
  <r>
    <s v="Pedido 1131"/>
    <s v="CódRastreio1107"/>
    <s v="LP00718145393780"/>
    <s v="MEI"/>
    <d v="2025-03-28T00:00:00"/>
    <s v="Transp 1"/>
    <s v="CNBR00060686702"/>
    <x v="0"/>
    <s v="Brasil"/>
    <d v="2025-03-24T00:00:00"/>
    <s v="Entregue"/>
    <x v="0"/>
    <s v="-"/>
    <x v="0"/>
    <s v="Olá Nome, _x000a_Identificamos que o Item Mini Liquidificador foi entregue no dia 24/03/2025, referente ao pedido Nº Pedido 1131 Rastreio CNBR00060686702, agradecemos a preferência e adoraríamos receber sua avaliação, tendo qualquer dúvida estamos à disposição._x000a__x000a_Att_x000a_NTA Variedades"/>
  </r>
  <r>
    <s v="Pedido 1132"/>
    <s v="CódRastreio1108"/>
    <s v="LP00718976426486"/>
    <s v="MEI"/>
    <d v="2025-03-26T00:00:00"/>
    <s v="Transp 1"/>
    <s v="CNBR00060684903"/>
    <x v="0"/>
    <s v="Brasil"/>
    <d v="2025-03-22T00:00:00"/>
    <s v="Entregue"/>
    <x v="0"/>
    <s v="-"/>
    <x v="0"/>
    <s v="Olá Nome, _x000a_Identificamos que o Item Mini Liquidificador foi entregue no dia 22/03/2025, referente ao pedido Nº Pedido 1132 Rastreio CNBR00060684903, agradecemos a preferência e adoraríamos receber sua avaliação, tendo qualquer dúvida estamos à disposição._x000a__x000a_Att_x000a_NTA Variedades"/>
  </r>
  <r>
    <s v="Pedido 1133"/>
    <s v="CódRastreio1109"/>
    <s v="LP00718151752469"/>
    <s v="MEI"/>
    <d v="2025-04-04T00:00:00"/>
    <s v="Transp 1"/>
    <s v="CNBR00060713976"/>
    <x v="0"/>
    <s v="Brasil"/>
    <d v="2025-03-26T00:00:00"/>
    <s v="Entregue"/>
    <x v="0"/>
    <s v="-"/>
    <x v="0"/>
    <s v="Olá Nome, _x000a_Identificamos que o Item Ventilador Preto foi entregue no dia 26/03/2025, referente ao pedido Nº Pedido 1133 Rastreio CNBR00060713976, agradecemos a preferência e adoraríamos receber sua avaliação, tendo qualquer dúvida estamos à disposição._x000a__x000a_Att_x000a_NTA Variedades"/>
  </r>
  <r>
    <s v="Pedido 1134"/>
    <s v="CódRastreio1110"/>
    <s v="LP00718087349189"/>
    <s v="MEI"/>
    <d v="2025-04-04T00:00:00"/>
    <s v="Transp 1"/>
    <s v="CNBR00060671081"/>
    <x v="0"/>
    <s v="Brasil"/>
    <d v="2025-03-26T00:00:00"/>
    <s v="Entregue"/>
    <x v="0"/>
    <s v="-"/>
    <x v="0"/>
    <s v="Olá Nome, _x000a_Identificamos que o Item Mini Liquidificador foi entregue no dia 26/03/2025, referente ao pedido Nº Pedido 1134 Rastreio CNBR00060671081, agradecemos a preferência e adoraríamos receber sua avaliação, tendo qualquer dúvida estamos à disposição._x000a__x000a_Att_x000a_NTA Variedades"/>
  </r>
  <r>
    <s v="Pedido 1135"/>
    <s v="CódRastreio1111"/>
    <s v="LP00718982702237"/>
    <s v="MEI"/>
    <d v="2025-03-25T00:00:00"/>
    <s v="Transp 1"/>
    <s v="CNBR00060671640"/>
    <x v="0"/>
    <s v="Brasil"/>
    <d v="2025-03-24T00:00:00"/>
    <s v="Entregue"/>
    <x v="0"/>
    <s v="-"/>
    <x v="0"/>
    <s v="Olá Nome, _x000a_Identificamos que o Item Mini Liquidificador foi entregue no dia 24/03/2025, referente ao pedido Nº Pedido 1135 Rastreio CNBR00060671640, agradecemos a preferência e adoraríamos receber sua avaliação, tendo qualquer dúvida estamos à disposição._x000a__x000a_Att_x000a_NTA Variedades"/>
  </r>
  <r>
    <s v="Pedido 1136"/>
    <s v="CódRastreio1112"/>
    <s v="LP00719911080223"/>
    <s v="GO"/>
    <d v="2025-03-28T00:00:00"/>
    <s v="Transp 1"/>
    <s v="NM765797150BR"/>
    <x v="0"/>
    <s v="Brasil"/>
    <d v="2025-03-28T00:00:00"/>
    <s v="Entregue"/>
    <x v="0"/>
    <s v="-"/>
    <x v="0"/>
    <s v="Olá Nome, _x000a_Identificamos que o Item Ventilador Preto foi entregue no dia 28/03/2025, referente ao pedido Nº Pedido 1136 Rastreio NM765797150BR, agradecemos a preferência e adoraríamos receber sua avaliação, tendo qualquer dúvida estamos à disposição._x000a__x000a_Att_x000a_Sec Variedades"/>
  </r>
  <r>
    <s v="Pedido 1129"/>
    <s v="CódRastreio1105"/>
    <s v="LP00720119827491"/>
    <s v="MEI"/>
    <d v="2025-03-28T00:00:00"/>
    <s v="Transp 1"/>
    <s v="CNBR00061119601"/>
    <x v="0"/>
    <s v="Brasil"/>
    <d v="2025-03-24T00:00:00"/>
    <s v="Entregue"/>
    <x v="0"/>
    <s v="-"/>
    <x v="0"/>
    <s v="Olá Nome, _x000a_Identificamos que o Item Ventilador Preto foi entregue no dia 24/03/2025, referente ao pedido Nº Pedido 1129 Rastreio CNBR00061119601, agradecemos a preferência e adoraríamos receber sua avaliação, tendo qualquer dúvida estamos à disposição._x000a__x000a_Att_x000a_NTA Variedades"/>
  </r>
  <r>
    <s v="Pedido 1138"/>
    <s v="CódRastreio1114"/>
    <s v="LP00718315415119"/>
    <s v="BV"/>
    <d v="2025-03-29T00:00:00"/>
    <s v="Transp 1"/>
    <s v="CNBR00061106636"/>
    <x v="0"/>
    <s v="Brasil"/>
    <d v="2025-03-20T00:00:00"/>
    <s v="Entregue"/>
    <x v="0"/>
    <s v="-"/>
    <x v="0"/>
    <s v="Olá Nome, _x000a_Identificamos que o Item Ventilador Rosa foi entregue no dia 20/03/2025, referente ao pedido Nº Pedido 1138 Rastreio CNBR00061106636, agradecemos a preferência e adoraríamos receber sua avaliação, tendo qualquer dúvida estamos à disposição._x000a__x000a_Att_x000a_Tem tudo Shop"/>
  </r>
  <r>
    <s v="Pedido 1141"/>
    <s v="CódRastreio1116"/>
    <s v="LP00720084721996"/>
    <s v="MEI"/>
    <d v="2025-03-28T00:00:00"/>
    <s v="Transp 1"/>
    <s v="CNBR00061070514"/>
    <x v="0"/>
    <s v="Brasil"/>
    <d v="2025-03-24T00:00:00"/>
    <s v="Entregue"/>
    <x v="0"/>
    <s v="-"/>
    <x v="0"/>
    <s v="Olá Nome, _x000a_Identificamos que o Item Mini Liquidificador foi entregue no dia 24/03/2025, referente ao pedido Nº Pedido 1141 Rastreio CNBR00061070514, agradecemos a preferência e adoraríamos receber sua avaliação, tendo qualquer dúvida estamos à disposição._x000a__x000a_Att_x000a_NTA Variedades"/>
  </r>
  <r>
    <s v="Pedido 1142"/>
    <s v="CódRastreio1117"/>
    <s v="LP00718348223778"/>
    <s v="MEI"/>
    <d v="2025-04-01T00:00:00"/>
    <s v="Transp 1"/>
    <s v="CNBR00061071149"/>
    <x v="0"/>
    <s v="Brasil"/>
    <d v="2025-03-26T00:00:00"/>
    <s v="Entregue"/>
    <x v="0"/>
    <s v="-"/>
    <x v="0"/>
    <s v="Olá Nome, _x000a_Identificamos que o Item Mini Liquidificador foi entregue no dia 26/03/2025, referente ao pedido Nº Pedido 1142 Rastreio CNBR00061071149, agradecemos a preferência e adoraríamos receber sua avaliação, tendo qualquer dúvida estamos à disposição._x000a__x000a_Att_x000a_NTA Variedades"/>
  </r>
  <r>
    <s v="Pedido 1143"/>
    <s v="CódRastreio1118"/>
    <s v="LP00718347268922"/>
    <s v="MEI"/>
    <d v="2025-04-12T00:00:00"/>
    <s v="Transp 1"/>
    <s v="CNBR00061117343"/>
    <x v="0"/>
    <s v="Brasil"/>
    <d v="2025-04-03T00:00:00"/>
    <s v="Entregue"/>
    <x v="0"/>
    <s v="-"/>
    <x v="0"/>
    <s v="Olá Nome, _x000a_Identificamos que o Item Ventilador Preto foi entregue no dia 03/04/2025, referente ao pedido Nº Pedido 1143 Rastreio CNBR00061117343, agradecemos a preferência e adoraríamos receber sua avaliação, tendo qualquer dúvida estamos à disposição._x000a__x000a_Att_x000a_NTA Variedades"/>
  </r>
  <r>
    <s v="Pedido 1140"/>
    <s v="CódRastreio1115"/>
    <s v="LP00719144415875"/>
    <s v="BV"/>
    <d v="2025-04-05T00:00:00"/>
    <s v="Transp 1"/>
    <s v="CNBR00061450865"/>
    <x v="0"/>
    <s v="Brasil"/>
    <d v="2025-03-25T00:00:00"/>
    <s v="Entregue"/>
    <x v="0"/>
    <s v="-"/>
    <x v="0"/>
    <s v="Olá Nome, _x000a_Identificamos que o Item Ventilador Azul foi entregue no dia 25/03/2025, referente ao pedido Nº Pedido 1140 Rastreio CNBR00061450865, agradecemos a preferência e adoraríamos receber sua avaliação, tendo qualquer dúvida estamos à disposição._x000a__x000a_Att_x000a_Tem tudo Shop"/>
  </r>
  <r>
    <s v="Pedido 1146"/>
    <s v="CódRastreio1121"/>
    <n v="888670001883748"/>
    <s v="BV"/>
    <d v="2025-04-08T00:00:00"/>
    <s v="Transp 1"/>
    <s v="-"/>
    <x v="1"/>
    <s v="Brasil"/>
    <d v="2025-03-26T00:00:00"/>
    <s v="Entregue"/>
    <x v="0"/>
    <s v="-"/>
    <x v="0"/>
    <s v="Olá Nome, _x000a_Identificamos que o Item Copo Termico foi entregue no dia 26/03/2025, referente ao pedido Nº Pedido 1146 Rastreio Pedido 1146, agradecemos a preferência e adoraríamos receber sua avaliação, tendo qualquer dúvida estamos à disposição._x000a__x000a_Att_x000a_Tem tudo Shop"/>
  </r>
  <r>
    <s v="Pedido 1147"/>
    <s v="CódRastreio1122"/>
    <s v="LP00720254161569"/>
    <s v="MEI"/>
    <d v="2025-04-02T00:00:00"/>
    <s v="Transp 1"/>
    <s v="CNBR00061455836"/>
    <x v="0"/>
    <s v="Brasil"/>
    <d v="2025-04-05T00:00:00"/>
    <s v="Entregue"/>
    <x v="0"/>
    <s v="-"/>
    <x v="1"/>
    <s v="Olá Nome, _x000a_Identificamos que o Item Mini Liquidificador foi entregue no dia 05/04/2025, referente ao pedido Nº Pedido 1147 Rastreio CNBR00061455836, agradecemos a preferência e adoraríamos receber sua avaliação, tendo qualquer dúvida estamos à disposição._x000a__x000a_Att_x000a_NTA Variedades"/>
  </r>
  <r>
    <s v="Pedido 1148"/>
    <s v="CódRastreio1123"/>
    <s v="LP00720295296652"/>
    <s v="MEI"/>
    <d v="2025-04-08T00:00:00"/>
    <s v="Transp 1"/>
    <s v="CNBR00061461194"/>
    <x v="0"/>
    <s v="Brasil"/>
    <d v="2025-04-04T00:00:00"/>
    <s v="Entregue"/>
    <x v="0"/>
    <s v="-"/>
    <x v="0"/>
    <s v="Olá Nome, _x000a_Identificamos que o Item Mini Liquidificador foi entregue no dia 04/04/2025, referente ao pedido Nº Pedido 1148 Rastreio CNBR00061461194, agradecemos a preferência e adoraríamos receber sua avaliação, tendo qualquer dúvida estamos à disposição._x000a__x000a_Att_x000a_NTA Variedades"/>
  </r>
  <r>
    <s v="Pedido 1149"/>
    <s v="CódRastreio1124"/>
    <s v="LP00718592405948"/>
    <s v="MEI"/>
    <d v="2025-04-02T00:00:00"/>
    <s v="Transp 1"/>
    <s v="CNBR00061529092"/>
    <x v="0"/>
    <s v="Brasil"/>
    <d v="2025-03-31T00:00:00"/>
    <s v="Entregue"/>
    <x v="0"/>
    <s v="-"/>
    <x v="0"/>
    <s v="Olá Nome, _x000a_Identificamos que o Item Ventilador Preto foi entregue no dia 31/03/2025, referente ao pedido Nº Pedido 1149 Rastreio CNBR00061529092, agradecemos a preferência e adoraríamos receber sua avaliação, tendo qualquer dúvida estamos à disposição._x000a__x000a_Att_x000a_NTA Variedades"/>
  </r>
  <r>
    <s v="Pedido 1150"/>
    <s v="CódRastreio1125"/>
    <s v="LP00719428443875"/>
    <s v="MEI"/>
    <d v="2025-04-02T00:00:00"/>
    <s v="Transp 1"/>
    <s v="CNBR00061503212"/>
    <x v="0"/>
    <s v="Brasil"/>
    <d v="2025-04-01T00:00:00"/>
    <s v="Entregue"/>
    <x v="0"/>
    <s v="-"/>
    <x v="0"/>
    <s v="Olá Nome, _x000a_Identificamos que o Item Mini Liquidificador foi entregue no dia 01/04/2025, referente ao pedido Nº Pedido 1150 Rastreio CNBR00061503212, agradecemos a preferência e adoraríamos receber sua avaliação, tendo qualquer dúvida estamos à disposição._x000a__x000a_Att_x000a_NTA Variedades"/>
  </r>
  <r>
    <s v="Pedido 1151"/>
    <s v="CódRastreio1126"/>
    <s v="LP00720263683652"/>
    <s v="MEI"/>
    <d v="2025-04-02T00:00:00"/>
    <s v="Transp 1"/>
    <s v="CNBR00061494451"/>
    <x v="0"/>
    <s v="Brasil"/>
    <d v="2025-04-02T00:00:00"/>
    <s v="Entregue"/>
    <x v="0"/>
    <s v="-"/>
    <x v="0"/>
    <s v="Olá Nome, _x000a_Identificamos que o Item Mini Liquidificador foi entregue no dia 02/04/2025, referente ao pedido Nº Pedido 1151 Rastreio CNBR00061494451, agradecemos a preferência e adoraríamos receber sua avaliação, tendo qualquer dúvida estamos à disposição._x000a__x000a_Att_x000a_NTA Variedades"/>
  </r>
  <r>
    <s v="Pedido 1137"/>
    <s v="CódRastreio1113"/>
    <s v="LP00720537186669"/>
    <s v="BV"/>
    <d v="2025-03-25T00:00:00"/>
    <s v="Transp 1"/>
    <s v="CNBR00061926309"/>
    <x v="0"/>
    <s v="Brasil"/>
    <d v="2025-04-01T00:00:00"/>
    <s v="Entregue"/>
    <x v="0"/>
    <s v="-"/>
    <x v="1"/>
    <s v="Olá Nome, _x000a_Identificamos que o Item Lampada Led foi entregue no dia 01/04/2025, referente ao pedido Nº Pedido 1137 Rastreio CNBR00061926309, agradecemos a preferência e adoraríamos receber sua avaliação, tendo qualquer dúvida estamos à disposição._x000a__x000a_Att_x000a_Tem tudo Shop"/>
  </r>
  <r>
    <s v="Pedido 1154"/>
    <s v="CódRastreio1129"/>
    <s v="LP00720591361187"/>
    <s v="BV"/>
    <d v="2025-04-03T00:00:00"/>
    <s v="Transp 1"/>
    <s v="NM767517731BR"/>
    <x v="0"/>
    <s v="Brasil"/>
    <d v="2025-03-25T00:00:00"/>
    <s v="Entregue"/>
    <x v="0"/>
    <s v="-"/>
    <x v="0"/>
    <s v="Olá Nome, _x000a_Identificamos que o Item Lampada Led foi entregue no dia 25/03/2025, referente ao pedido Nº Pedido 1154 Rastreio NM767517731BR, agradecemos a preferência e adoraríamos receber sua avaliação, tendo qualquer dúvida estamos à disposição._x000a__x000a_Att_x000a_Tem tudo Shop"/>
  </r>
  <r>
    <s v="Pedido 1155"/>
    <s v="CódRastreio1130"/>
    <n v="3621049676607"/>
    <s v="BV"/>
    <d v="2025-04-01T00:00:00"/>
    <s v="Transp 1"/>
    <s v="-"/>
    <x v="1"/>
    <s v="Brasil"/>
    <d v="2025-04-28T00:00:00"/>
    <s v="Entregue"/>
    <x v="0"/>
    <s v="Cliente informado"/>
    <x v="1"/>
    <s v="Olá Nome, _x000a_Identificamos que o Item Garrafa Termica foi entregue no dia 28/04/2025, referente ao pedido Nº Pedido 1155 Rastreio Pedido 1155, agradecemos a preferência e adoraríamos receber sua avaliação, tendo qualquer dúvida estamos à disposição._x000a__x000a_Att_x000a_Tem tudo Shop"/>
  </r>
  <r>
    <s v="Pedido 1156"/>
    <s v="CódRastreio1131"/>
    <s v="CNBR014246318LG"/>
    <s v="BV"/>
    <d v="2025-04-09T00:00:00"/>
    <s v="Transp 1"/>
    <s v="-"/>
    <x v="1"/>
    <s v="Brasil"/>
    <d v="2025-04-02T00:00:00"/>
    <s v="Entregue"/>
    <x v="0"/>
    <s v="-"/>
    <x v="0"/>
    <s v="Olá Nome, _x000a_Identificamos que o Item Garrafa Termica foi entregue no dia 02/04/2025, referente ao pedido Nº Pedido 1156 Rastreio Pedido 1156, agradecemos a preferência e adoraríamos receber sua avaliação, tendo qualquer dúvida estamos à disposição._x000a__x000a_Att_x000a_Tem tudo Shop"/>
  </r>
  <r>
    <s v="Pedido 1158"/>
    <s v="CódRastreio1133"/>
    <s v="LP00720564804836"/>
    <s v="MEI"/>
    <d v="2025-04-03T00:00:00"/>
    <s v="Transp 1"/>
    <s v="NM767542943BR"/>
    <x v="0"/>
    <s v="Brasil"/>
    <d v="2025-04-01T00:00:00"/>
    <s v="Entregue"/>
    <x v="0"/>
    <s v="-"/>
    <x v="0"/>
    <s v="Olá Nome, _x000a_Identificamos que o Item Maçarico Culinário Portátil foi entregue no dia 01/04/2025, referente ao pedido Nº Pedido 1158 Rastreio NM767542943BR, agradecemos a preferência e adoraríamos receber sua avaliação, tendo qualquer dúvida estamos à disposição._x000a__x000a_Att_x000a_NTA Variedades"/>
  </r>
  <r>
    <s v="Pedido 1159"/>
    <s v="CódRastreio1134"/>
    <n v="888670001901810"/>
    <s v="MEI"/>
    <d v="2025-04-03T00:00:00"/>
    <s v="Transp 1"/>
    <s v="-"/>
    <x v="1"/>
    <s v="Brasil"/>
    <d v="2025-03-21T00:00:00"/>
    <s v="Entregue"/>
    <x v="0"/>
    <s v="-"/>
    <x v="0"/>
    <s v="Olá Nome, _x000a_Identificamos que o Item Hand Grip Fortalecedor foi entregue no dia 21/03/2025, referente ao pedido Nº Pedido 1159 Rastreio Pedido 1159, agradecemos a preferência e adoraríamos receber sua avaliação, tendo qualquer dúvida estamos à disposição._x000a__x000a_Att_x000a_NTA Variedades"/>
  </r>
  <r>
    <s v="Pedido 1160"/>
    <s v="CódRastreio1135"/>
    <s v="LP00719680112285"/>
    <s v="MEI"/>
    <d v="2025-04-03T00:00:00"/>
    <s v="Transp 1"/>
    <s v="CNBR00062049970"/>
    <x v="0"/>
    <s v="Brasil"/>
    <d v="2025-03-29T00:00:00"/>
    <s v="Entregue"/>
    <x v="0"/>
    <s v="-"/>
    <x v="0"/>
    <s v="Olá Nome, _x000a_Identificamos que o Item Mini Liquidificador foi entregue no dia 29/03/2025, referente ao pedido Nº Pedido 1160 Rastreio CNBR00062049970, agradecemos a preferência e adoraríamos receber sua avaliação, tendo qualquer dúvida estamos à disposição._x000a__x000a_Att_x000a_NTA Variedades"/>
  </r>
  <r>
    <s v="Pedido 1161"/>
    <s v="CódRastreio1136"/>
    <s v="LP00720539179522"/>
    <s v="MEI"/>
    <d v="2025-04-03T00:00:00"/>
    <s v="Transp 1"/>
    <s v="NM767569464BR"/>
    <x v="0"/>
    <s v="Brasil"/>
    <d v="2025-03-27T00:00:00"/>
    <s v="Entregue"/>
    <x v="0"/>
    <s v="Cliente informado"/>
    <x v="0"/>
    <s v="Olá Nome, _x000a_Identificamos que o Item Maçarico Culinário Portátil foi entregue no dia 27/03/2025, referente ao pedido Nº Pedido 1161 Rastreio NM767569464BR, agradecemos a preferência e adoraríamos receber sua avaliação, tendo qualquer dúvida estamos à disposição._x000a__x000a_Att_x000a_NTA Variedades"/>
  </r>
  <r>
    <s v="Pedido 1162"/>
    <s v="CódRastreio1137"/>
    <s v="LP00719668503276"/>
    <s v="MEI"/>
    <d v="2025-04-03T00:00:00"/>
    <s v="Transp 1"/>
    <s v="NM767592785BR"/>
    <x v="0"/>
    <s v="Brasil"/>
    <d v="2025-03-25T00:00:00"/>
    <s v="Entregue"/>
    <x v="0"/>
    <s v="-"/>
    <x v="0"/>
    <s v="Olá Nome, _x000a_Identificamos que o Item Ventilador Preto foi entregue no dia 25/03/2025, referente ao pedido Nº Pedido 1162 Rastreio NM767592785BR, agradecemos a preferência e adoraríamos receber sua avaliação, tendo qualquer dúvida estamos à disposição._x000a__x000a_Att_x000a_NTA Variedades"/>
  </r>
  <r>
    <s v="Pedido 1163"/>
    <s v="CódRastreio1138"/>
    <s v="LP00720563880748"/>
    <s v="MEI"/>
    <d v="2025-03-28T00:00:00"/>
    <s v="Transp 1"/>
    <s v="NM767511623BR"/>
    <x v="0"/>
    <s v="Brasil"/>
    <d v="2025-04-07T00:00:00"/>
    <s v="Entregue"/>
    <x v="0"/>
    <s v="-"/>
    <x v="1"/>
    <s v="Olá Nome, _x000a_Identificamos que o Item Mini Liquidificador foi entregue no dia 07/04/2025, referente ao pedido Nº Pedido 1163 Rastreio NM767511623BR, agradecemos a preferência e adoraríamos receber sua avaliação, tendo qualquer dúvida estamos à disposição._x000a__x000a_Att_x000a_NTA Variedades"/>
  </r>
  <r>
    <s v="Pedido 1144"/>
    <s v="CódRastreio1119"/>
    <n v="3621049677745"/>
    <s v="BV"/>
    <d v="2025-04-02T00:00:00"/>
    <s v="Transp 1"/>
    <s v="-"/>
    <x v="1"/>
    <s v="Brasil"/>
    <d v="2025-03-25T00:00:00"/>
    <s v="Entregue"/>
    <x v="0"/>
    <s v="-"/>
    <x v="0"/>
    <s v="Olá Nome, _x000a_Identificamos que o Item Suporte de Celular com Regulagem foi entregue no dia 25/03/2025, referente ao pedido Nº Pedido 1144 Rastreio Pedido 1144, agradecemos a preferência e adoraríamos receber sua avaliação, tendo qualquer dúvida estamos à disposição._x000a__x000a_Att_x000a_Tem tudo Shop"/>
  </r>
  <r>
    <s v="Pedido 1145"/>
    <s v="CódRastreio1120"/>
    <s v="CNBR014249314LG"/>
    <s v="BV"/>
    <d v="2025-03-27T00:00:00"/>
    <s v="Transp 1"/>
    <s v="-"/>
    <x v="1"/>
    <s v="Brasil"/>
    <d v="2025-03-21T00:00:00"/>
    <s v="Entregue"/>
    <x v="0"/>
    <s v="-"/>
    <x v="0"/>
    <s v="Olá Nome, _x000a_Identificamos que o Item Suporte de Celular com Regulagem foi entregue no dia 21/03/2025, referente ao pedido Nº Pedido 1145 Rastreio Pedido 1145, agradecemos a preferência e adoraríamos receber sua avaliação, tendo qualquer dúvida estamos à disposição._x000a__x000a_Att_x000a_Tem tudo Shop"/>
  </r>
  <r>
    <s v="Pedido 1152"/>
    <s v="CódRastreio1127"/>
    <n v="888670001915105"/>
    <s v="BV"/>
    <d v="2025-04-09T00:00:00"/>
    <s v="Transp 1"/>
    <s v="-"/>
    <x v="1"/>
    <s v="Brasil"/>
    <d v="2025-03-27T00:00:00"/>
    <s v="Entregue"/>
    <x v="0"/>
    <s v="-"/>
    <x v="0"/>
    <s v="Olá Nome, _x000a_Identificamos que o Item Garrafa Termica foi entregue no dia 27/03/2025, referente ao pedido Nº Pedido 1152 Rastreio Pedido 1152, agradecemos a preferência e adoraríamos receber sua avaliação, tendo qualquer dúvida estamos à disposição._x000a__x000a_Att_x000a_Tem tudo Shop"/>
  </r>
  <r>
    <s v="Pedido 1153"/>
    <s v="CódRastreio1128"/>
    <n v="888670001904485"/>
    <s v="BV"/>
    <d v="2025-04-09T00:00:00"/>
    <s v="Transp 1"/>
    <s v="-"/>
    <x v="1"/>
    <s v="Brasil"/>
    <d v="2025-03-27T00:00:00"/>
    <s v="Entregue"/>
    <x v="0"/>
    <s v="-"/>
    <x v="0"/>
    <s v="Olá Nome, _x000a_Identificamos que o Item Garrafa Termica foi entregue no dia 27/03/2025, referente ao pedido Nº Pedido 1153 Rastreio Pedido 1153, agradecemos a preferência e adoraríamos receber sua avaliação, tendo qualquer dúvida estamos à disposição._x000a__x000a_Att_x000a_Tem tudo Shop"/>
  </r>
  <r>
    <s v="Pedido 1164"/>
    <s v="CódRastreio1139"/>
    <s v="LP00720704821060"/>
    <s v="MEI"/>
    <d v="2025-04-03T00:00:00"/>
    <s v="Transp 1"/>
    <s v="CNBR00062469073"/>
    <x v="0"/>
    <s v="Brasil"/>
    <d v="2025-03-24T00:00:00"/>
    <s v="Entregue"/>
    <x v="0"/>
    <s v="-"/>
    <x v="0"/>
    <s v="Olá Nome, _x000a_Identificamos que o Item Mini Liquidificador foi entregue no dia 24/03/2025, referente ao pedido Nº Pedido 1164 Rastreio CNBR00062469073, agradecemos a preferência e adoraríamos receber sua avaliação, tendo qualquer dúvida estamos à disposição._x000a__x000a_Att_x000a_NTA Variedades"/>
  </r>
  <r>
    <s v="Pedido 1166"/>
    <s v="CódRastreio1141"/>
    <s v="LP00719797377913"/>
    <s v="MEI"/>
    <d v="2025-04-09T00:00:00"/>
    <s v="Transp 1"/>
    <s v="CNBR00062296644"/>
    <x v="0"/>
    <s v="Brasil"/>
    <d v="2025-04-04T00:00:00"/>
    <s v="Entregue"/>
    <x v="0"/>
    <s v="-"/>
    <x v="0"/>
    <s v="Olá Nome, _x000a_Identificamos que o Item Brinquedo Bola Giratória voadora foi entregue no dia 04/04/2025, referente ao pedido Nº Pedido 1166 Rastreio CNBR00062296644, agradecemos a preferência e adoraríamos receber sua avaliação, tendo qualquer dúvida estamos à disposição._x000a__x000a_Att_x000a_NTA Variedades"/>
  </r>
  <r>
    <s v="Pedido 1168"/>
    <s v="CódRastreio1142"/>
    <n v="3621049677590"/>
    <s v="BV"/>
    <d v="2025-04-04T00:00:00"/>
    <s v="Transp 1"/>
    <s v="-"/>
    <x v="1"/>
    <s v="Brasil"/>
    <d v="2025-03-24T00:00:00"/>
    <s v="Entregue"/>
    <x v="0"/>
    <s v="-"/>
    <x v="0"/>
    <s v="Olá Nome, _x000a_Identificamos que o Item Garrafa Termica foi entregue no dia 24/03/2025, referente ao pedido Nº Pedido 1168 Rastreio Pedido 1168, agradecemos a preferência e adoraríamos receber sua avaliação, tendo qualquer dúvida estamos à disposição._x000a__x000a_Att_x000a_Tem tudo Shop"/>
  </r>
  <r>
    <s v="Pedido 1169"/>
    <s v="CódRastreio1143"/>
    <s v="LP00718976825836"/>
    <s v="BV"/>
    <d v="2025-04-04T00:00:00"/>
    <s v="Transp 1"/>
    <s v="CNBR00062288162"/>
    <x v="0"/>
    <s v="Brasil"/>
    <d v="2025-04-01T00:00:00"/>
    <s v="Entregue"/>
    <x v="0"/>
    <s v="-"/>
    <x v="0"/>
    <s v="Olá Nome, _x000a_Identificamos que o Item Lampada Led foi entregue no dia 01/04/2025, referente ao pedido Nº Pedido 1169 Rastreio CNBR00062288162, agradecemos a preferência e adoraríamos receber sua avaliação, tendo qualquer dúvida estamos à disposição._x000a__x000a_Att_x000a_Tem tudo Shop"/>
  </r>
  <r>
    <s v="Pedido 1171"/>
    <s v="CódRastreio1145"/>
    <s v="LP00720737538298"/>
    <s v="MEI"/>
    <d v="2025-04-17T00:00:00"/>
    <s v="Transp 1"/>
    <s v="NM767855734BR"/>
    <x v="0"/>
    <s v="Brasil"/>
    <d v="2025-04-07T00:00:00"/>
    <s v="Entregue"/>
    <x v="0"/>
    <s v="-"/>
    <x v="0"/>
    <s v="Olá Nome, _x000a_Identificamos que o Item Maçarico Culinário Portátil foi entregue no dia 07/04/2025, referente ao pedido Nº Pedido 1171 Rastreio NM767855734BR, agradecemos a preferência e adoraríamos receber sua avaliação, tendo qualquer dúvida estamos à disposição._x000a__x000a_Att_x000a_NTA Variedades"/>
  </r>
  <r>
    <s v="Pedido 1172"/>
    <s v="CódRastreio1146"/>
    <s v="LP00718949416957"/>
    <s v="MEI"/>
    <d v="2025-04-04T00:00:00"/>
    <s v="Transp 1"/>
    <s v="CNBR00062464165"/>
    <x v="0"/>
    <s v="Brasil"/>
    <d v="2025-03-22T00:00:00"/>
    <s v="Entregue"/>
    <x v="0"/>
    <s v="-"/>
    <x v="0"/>
    <s v="Olá Nome, _x000a_Identificamos que o Item Mini Liquidificador foi entregue no dia 22/03/2025, referente ao pedido Nº Pedido 1172 Rastreio CNBR00062464165, agradecemos a preferência e adoraríamos receber sua avaliação, tendo qualquer dúvida estamos à disposição._x000a__x000a_Att_x000a_NTA Variedades"/>
  </r>
  <r>
    <s v="Pedido 1173"/>
    <s v="CódRastreio1147"/>
    <s v="LP00720693859471"/>
    <s v="MEI"/>
    <d v="2025-04-10T00:00:00"/>
    <s v="Transp 1"/>
    <s v="NM767847168BR"/>
    <x v="0"/>
    <s v="Brasil"/>
    <d v="2025-04-08T00:00:00"/>
    <s v="Entregue"/>
    <x v="0"/>
    <s v="-"/>
    <x v="0"/>
    <s v="Olá Nome, _x000a_Identificamos que o Item Maçarico Culinário Portátil foi entregue no dia 08/04/2025, referente ao pedido Nº Pedido 1173 Rastreio NM767847168BR, agradecemos a preferência e adoraríamos receber sua avaliação, tendo qualquer dúvida estamos à disposição._x000a__x000a_Att_x000a_NTA Variedades"/>
  </r>
  <r>
    <s v="Pedido 1175"/>
    <s v="CódRastreio1149"/>
    <s v="LP00719853890106"/>
    <s v="MEI"/>
    <d v="2025-04-04T00:00:00"/>
    <s v="Transp 1"/>
    <s v="NM767853574BR"/>
    <x v="0"/>
    <s v="Brasil"/>
    <d v="2025-04-01T00:00:00"/>
    <s v="Entregue"/>
    <x v="0"/>
    <s v="-"/>
    <x v="0"/>
    <s v="Olá Nome, _x000a_Identificamos que o Item Maçarico Culinário Portátil foi entregue no dia 01/04/2025, referente ao pedido Nº Pedido 1175 Rastreio NM767853574BR, agradecemos a preferência e adoraríamos receber sua avaliação, tendo qualquer dúvida estamos à disposição._x000a__x000a_Att_x000a_NTA Variedades"/>
  </r>
  <r>
    <s v="Pedido 1178"/>
    <s v="CódRastreio1151"/>
    <s v="LP00721125654047"/>
    <s v="BV"/>
    <d v="2025-04-10T00:00:00"/>
    <s v="Transp 1"/>
    <s v="CNBR00062931526"/>
    <x v="0"/>
    <s v="Brasil"/>
    <d v="2025-04-05T00:00:00"/>
    <s v="Entregue"/>
    <x v="0"/>
    <s v="-"/>
    <x v="0"/>
    <s v="Olá Nome, _x000a_Identificamos que o Item Ventilador Azul foi entregue no dia 05/04/2025, referente ao pedido Nº Pedido 1178 Rastreio CNBR00062931526, agradecemos a preferência e adoraríamos receber sua avaliação, tendo qualquer dúvida estamos à disposição._x000a__x000a_Att_x000a_Tem tudo Shop"/>
  </r>
  <r>
    <s v="Pedido 1186"/>
    <s v="CódRastreio1155"/>
    <s v="LP00721126698565"/>
    <s v="BV"/>
    <d v="2025-04-10T00:00:00"/>
    <s v="Transp 1"/>
    <s v="CNBR00062938775"/>
    <x v="0"/>
    <s v="Brasil"/>
    <d v="2025-04-08T00:00:00"/>
    <s v="Entregue"/>
    <x v="0"/>
    <s v="-"/>
    <x v="0"/>
    <s v="Olá Nome, _x000a_Identificamos que o Item Ventilador Azul foi entregue no dia 08/04/2025, referente ao pedido Nº Pedido 1186 Rastreio CNBR00062938775, agradecemos a preferência e adoraríamos receber sua avaliação, tendo qualquer dúvida estamos à disposição._x000a__x000a_Att_x000a_Tem tudo Shop"/>
  </r>
  <r>
    <s v="Pedido 1191"/>
    <s v="CódRastreio1158"/>
    <s v="LP00720232658714"/>
    <s v="BV"/>
    <d v="2025-04-04T00:00:00"/>
    <s v="Transp 1"/>
    <s v="CNBR00062948712"/>
    <x v="0"/>
    <s v="Brasil"/>
    <d v="2025-04-04T00:00:00"/>
    <s v="Entregue"/>
    <x v="0"/>
    <s v="-"/>
    <x v="0"/>
    <s v="Olá Nome, _x000a_Identificamos que o Item Ventilador Rosa foi entregue no dia 04/04/2025, referente ao pedido Nº Pedido 1191 Rastreio CNBR00062948712, agradecemos a preferência e adoraríamos receber sua avaliação, tendo qualquer dúvida estamos à disposição._x000a__x000a_Att_x000a_Tem tudo Shop"/>
  </r>
  <r>
    <s v="Pedido 1192"/>
    <s v="CódRastreio1159"/>
    <s v="LP00720234002654"/>
    <s v="BV"/>
    <d v="2025-04-04T00:00:00"/>
    <s v="Transp 1"/>
    <s v="CNBR00062956546"/>
    <x v="0"/>
    <s v="Brasil"/>
    <d v="2025-04-03T00:00:00"/>
    <s v="Entregue"/>
    <x v="0"/>
    <s v="-"/>
    <x v="0"/>
    <s v="Olá Nome, _x000a_Identificamos que o Item Ventilador Azul foi entregue no dia 03/04/2025, referente ao pedido Nº Pedido 1192 Rastreio CNBR00062956546, agradecemos a preferência e adoraríamos receber sua avaliação, tendo qualquer dúvida estamos à disposição._x000a__x000a_Att_x000a_Tem tudo Shop"/>
  </r>
  <r>
    <s v="Pedido 1193"/>
    <s v="CódRastreio1160"/>
    <s v="LP00720234008731"/>
    <s v="BV"/>
    <d v="2025-04-04T00:00:00"/>
    <s v="Transp 1"/>
    <s v="CNBR00062952343"/>
    <x v="0"/>
    <s v="Brasil"/>
    <d v="2025-04-03T00:00:00"/>
    <s v="Entregue"/>
    <x v="0"/>
    <s v="-"/>
    <x v="0"/>
    <s v="Olá Nome, _x000a_Identificamos que o Item Ventilador Rosa foi entregue no dia 03/04/2025, referente ao pedido Nº Pedido 1193 Rastreio CNBR00062952343, agradecemos a preferência e adoraríamos receber sua avaliação, tendo qualquer dúvida estamos à disposição._x000a__x000a_Att_x000a_Tem tudo Shop"/>
  </r>
  <r>
    <s v="Pedido 1195"/>
    <s v="CódRastreio1161"/>
    <s v="LP00719379898083"/>
    <s v="BV"/>
    <d v="2025-04-17T00:00:00"/>
    <s v="Transp 1"/>
    <s v="CNBR00062952759"/>
    <x v="0"/>
    <s v="Brasil"/>
    <d v="2025-04-10T00:00:00"/>
    <s v="Entregue"/>
    <x v="0"/>
    <s v="-"/>
    <x v="0"/>
    <s v="Olá Nome, _x000a_Identificamos que o Item Ventilador Azul foi entregue no dia 10/04/2025, referente ao pedido Nº Pedido 1195 Rastreio CNBR00062952759, agradecemos a preferência e adoraríamos receber sua avaliação, tendo qualquer dúvida estamos à disposição._x000a__x000a_Att_x000a_Tem tudo Shop"/>
  </r>
  <r>
    <s v="Pedido 1196"/>
    <s v="CódRastreio1162"/>
    <s v="LP00721111963391"/>
    <s v="BV"/>
    <d v="2025-04-04T00:00:00"/>
    <s v="Transp 1"/>
    <s v="CNBR00062954331"/>
    <x v="0"/>
    <s v="Brasil"/>
    <d v="2025-04-04T00:00:00"/>
    <s v="Entregue"/>
    <x v="0"/>
    <s v="-"/>
    <x v="0"/>
    <s v="Olá Nome, _x000a_Identificamos que o Item Lampada Led foi entregue no dia 04/04/2025, referente ao pedido Nº Pedido 1196 Rastreio CNBR00062954331, agradecemos a preferência e adoraríamos receber sua avaliação, tendo qualquer dúvida estamos à disposição._x000a__x000a_Att_x000a_Tem tudo Shop"/>
  </r>
  <r>
    <s v="Pedido 1208"/>
    <s v="CódRastreio1166"/>
    <s v="LP00719378794580"/>
    <s v="BV"/>
    <d v="2025-04-04T00:00:00"/>
    <s v="Transp 1"/>
    <s v="NM768343855BR"/>
    <x v="0"/>
    <s v="Brasil"/>
    <d v="2025-04-07T00:00:00"/>
    <s v="Entregue"/>
    <x v="0"/>
    <s v="-"/>
    <x v="1"/>
    <s v="Olá Nome, _x000a_Identificamos que o Item Ventilador Rosa foi entregue no dia 07/04/2025, referente ao pedido Nº Pedido 1208 Rastreio NM768343855BR, agradecemos a preferência e adoraríamos receber sua avaliação, tendo qualquer dúvida estamos à disposição._x000a__x000a_Att_x000a_Tem tudo Shop"/>
  </r>
  <r>
    <s v="Pedido 1209"/>
    <s v="CódRastreio1167"/>
    <s v="LP00719375680886"/>
    <s v="BV"/>
    <d v="2025-04-04T00:00:00"/>
    <s v="Transp 1"/>
    <s v="CNBR00062982055"/>
    <x v="0"/>
    <s v="Brasil"/>
    <d v="2025-04-04T00:00:00"/>
    <s v="Entregue"/>
    <x v="0"/>
    <s v="-"/>
    <x v="0"/>
    <s v="Olá Nome, _x000a_Identificamos que o Item Ventilador Azul foi entregue no dia 04/04/2025, referente ao pedido Nº Pedido 1209 Rastreio CNBR00062982055, agradecemos a preferência e adoraríamos receber sua avaliação, tendo qualquer dúvida estamos à disposição._x000a__x000a_Att_x000a_Tem tudo Shop"/>
  </r>
  <r>
    <s v="Pedido 1211"/>
    <s v="CódRastreio1168"/>
    <s v="LP00719397862163"/>
    <s v="BV"/>
    <d v="2025-04-04T00:00:00"/>
    <s v="Transp 1"/>
    <s v="CNBR00062979730"/>
    <x v="0"/>
    <s v="Brasil"/>
    <d v="2025-04-07T00:00:00"/>
    <s v="Entregue"/>
    <x v="0"/>
    <s v="-"/>
    <x v="1"/>
    <s v="Olá Nome, _x000a_Identificamos que o Item Lampada Led foi entregue no dia 07/04/2025, referente ao pedido Nº Pedido 1211 Rastreio CNBR00062979730, agradecemos a preferência e adoraríamos receber sua avaliação, tendo qualquer dúvida estamos à disposição._x000a__x000a_Att_x000a_Tem tudo Shop"/>
  </r>
  <r>
    <s v="Pedido 1212"/>
    <s v="CódRastreio1169"/>
    <s v="LP00721161390702"/>
    <s v="MEI"/>
    <d v="2025-04-04T00:00:00"/>
    <s v="Transp 1"/>
    <s v="CNBR00062999643"/>
    <x v="0"/>
    <s v="Brasil"/>
    <d v="2025-04-03T00:00:00"/>
    <s v="Entregue"/>
    <x v="0"/>
    <s v="-"/>
    <x v="0"/>
    <s v="Olá Nome, _x000a_Identificamos que o Item Brinquedo Bola Giratória voadora foi entregue no dia 03/04/2025, referente ao pedido Nº Pedido 1212 Rastreio CNBR00062999643, agradecemos a preferência e adoraríamos receber sua avaliação, tendo qualquer dúvida estamos à disposição._x000a__x000a_Att_x000a_NTA Variedades"/>
  </r>
  <r>
    <s v="Pedido 1213"/>
    <s v="CódRastreio1170"/>
    <s v="LP00720240170487"/>
    <s v="MEI"/>
    <d v="2025-04-10T00:00:00"/>
    <s v="Transp 1"/>
    <s v="CNBR00063167554"/>
    <x v="0"/>
    <s v="Brasil"/>
    <d v="2025-04-03T00:00:00"/>
    <s v="Entregue"/>
    <x v="0"/>
    <s v="-"/>
    <x v="0"/>
    <s v="Olá Nome, _x000a_Identificamos que o Item Mini Liquidificador foi entregue no dia 03/04/2025, referente ao pedido Nº Pedido 1213 Rastreio CNBR00063167554, agradecemos a preferência e adoraríamos receber sua avaliação, tendo qualquer dúvida estamos à disposição._x000a__x000a_Att_x000a_NTA Variedades"/>
  </r>
  <r>
    <s v="Pedido 1215"/>
    <s v="CódRastreio1172"/>
    <s v="LP00719377030670"/>
    <s v="MEI"/>
    <d v="2025-04-10T00:00:00"/>
    <s v="Transp 1"/>
    <s v="CNBR00063173506"/>
    <x v="0"/>
    <s v="Brasil"/>
    <d v="2025-04-05T00:00:00"/>
    <s v="Entregue"/>
    <x v="0"/>
    <s v="-"/>
    <x v="0"/>
    <s v="Olá Nome, _x000a_Identificamos que o Item Mini Liquidificador foi entregue no dia 05/04/2025, referente ao pedido Nº Pedido 1215 Rastreio CNBR00063173506, agradecemos a preferência e adoraríamos receber sua avaliação, tendo qualquer dúvida estamos à disposição._x000a__x000a_Att_x000a_NTA Variedades"/>
  </r>
  <r>
    <s v="Pedido 1216"/>
    <s v="CódRastreio1173"/>
    <s v="LP00721121815853"/>
    <s v="MEI"/>
    <d v="2025-04-10T00:00:00"/>
    <s v="Transp 1"/>
    <s v="NM768388295BR"/>
    <x v="0"/>
    <s v="Brasil"/>
    <d v="2025-04-01T00:00:00"/>
    <s v="Entregue"/>
    <x v="0"/>
    <s v="-"/>
    <x v="0"/>
    <s v="Olá Nome, _x000a_Identificamos que o Item Maçarico Culinário Portátil foi entregue no dia 01/04/2025, referente ao pedido Nº Pedido 1216 Rastreio NM768388295BR, agradecemos a preferência e adoraríamos receber sua avaliação, tendo qualquer dúvida estamos à disposição._x000a__x000a_Att_x000a_NTA Variedades"/>
  </r>
  <r>
    <s v="Pedido 1233"/>
    <s v="CódRastreio1190"/>
    <s v="LP00721131438001"/>
    <s v="GO"/>
    <d v="2025-04-10T00:00:00"/>
    <s v="Transp 1"/>
    <s v="CNBR00063168783"/>
    <x v="0"/>
    <s v="Brasil"/>
    <d v="2025-04-05T00:00:00"/>
    <s v="Entregue"/>
    <x v="0"/>
    <s v="-"/>
    <x v="0"/>
    <s v="Olá Nome, _x000a_Identificamos que o Item Cortador de Legumes foi entregue no dia 05/04/2025, referente ao pedido Nº Pedido 1233 Rastreio CNBR00063168783, agradecemos a preferência e adoraríamos receber sua avaliação, tendo qualquer dúvida estamos à disposição._x000a__x000a_Att_x000a_Sec Variedades"/>
  </r>
  <r>
    <s v="Pedido 1214"/>
    <s v="CódRastreio1171"/>
    <s v="LP00720556899295"/>
    <s v="MEI"/>
    <d v="2025-04-04T00:00:00"/>
    <s v="Transp 1"/>
    <s v="NM769557985BR"/>
    <x v="0"/>
    <s v="Brasil"/>
    <d v="2025-04-02T00:00:00"/>
    <s v="Entregue"/>
    <x v="0"/>
    <s v="Cliente informado"/>
    <x v="0"/>
    <s v="Olá Nome, _x000a_Identificamos que o Item Máquina de cortar cabelo dragão foi entregue no dia 02/04/2025, referente ao pedido Nº Pedido 1214 Rastreio NM769557985BR, agradecemos a preferência e adoraríamos receber sua avaliação, tendo qualquer dúvida estamos à disposição._x000a__x000a_Att_x000a_NTA Variedades"/>
  </r>
  <r>
    <s v="Pedido 1217"/>
    <s v="CódRastreio1174"/>
    <s v="LP00719665679479"/>
    <s v="MEI"/>
    <d v="2025-04-04T00:00:00"/>
    <s v="Transp 1"/>
    <s v="NM769421497BR"/>
    <x v="0"/>
    <s v="Brasil"/>
    <d v="2025-04-07T00:00:00"/>
    <s v="Entregue"/>
    <x v="0"/>
    <s v="-"/>
    <x v="1"/>
    <s v="Olá Nome, _x000a_Identificamos que o Item Mini Liquidificador foi entregue no dia 07/04/2025, referente ao pedido Nº Pedido 1217 Rastreio NM769421497BR, agradecemos a preferência e adoraríamos receber sua avaliação, tendo qualquer dúvida estamos à disposição._x000a__x000a_Att_x000a_NTA Variedades"/>
  </r>
  <r>
    <s v="Pedido 1219"/>
    <s v="CódRastreio1176"/>
    <s v="LP00721511089406"/>
    <s v="MEI"/>
    <d v="2025-04-10T00:00:00"/>
    <s v="Transp 1"/>
    <s v="NM769827909BR"/>
    <x v="0"/>
    <s v="Brasil"/>
    <d v="2025-04-07T00:00:00"/>
    <s v="Entregue"/>
    <x v="0"/>
    <s v="-"/>
    <x v="0"/>
    <s v="Olá Nome, _x000a_Identificamos que o Item Máquina de cortar cabelo dragão foi entregue no dia 07/04/2025, referente ao pedido Nº Pedido 1219 Rastreio NM769827909BR, agradecemos a preferência e adoraríamos receber sua avaliação, tendo qualquer dúvida estamos à disposição._x000a__x000a_Att_x000a_NTA Variedades"/>
  </r>
  <r>
    <s v="Pedido 1220"/>
    <s v="CódRastreio1177"/>
    <s v="LP00721392409449"/>
    <s v="MEI"/>
    <d v="2025-04-04T00:00:00"/>
    <s v="Transp 1"/>
    <s v="NM769621856BR"/>
    <x v="0"/>
    <s v="Brasil"/>
    <d v="2025-03-31T00:00:00"/>
    <s v="Entregue"/>
    <x v="0"/>
    <s v="-"/>
    <x v="0"/>
    <s v="Olá Nome, _x000a_Identificamos que o Item Maçarico Culinário Portátil foi entregue no dia 31/03/2025, referente ao pedido Nº Pedido 1220 Rastreio NM769621856BR, agradecemos a preferência e adoraríamos receber sua avaliação, tendo qualquer dúvida estamos à disposição._x000a__x000a_Att_x000a_NTA Variedades"/>
  </r>
  <r>
    <s v="Pedido 1221"/>
    <s v="CódRastreio1178"/>
    <s v="LP00719620607909"/>
    <s v="MEI"/>
    <d v="2025-04-04T00:00:00"/>
    <s v="Transp 1"/>
    <s v="NM769629466BR"/>
    <x v="0"/>
    <s v="Brasil"/>
    <d v="2025-04-07T00:00:00"/>
    <s v="Entregue"/>
    <x v="0"/>
    <s v="-"/>
    <x v="1"/>
    <s v="Olá Nome, _x000a_Identificamos que o Item Máquina de cortar cabelo dragão foi entregue no dia 07/04/2025, referente ao pedido Nº Pedido 1221 Rastreio NM769629466BR, agradecemos a preferência e adoraríamos receber sua avaliação, tendo qualquer dúvida estamos à disposição._x000a__x000a_Att_x000a_NTA Variedades"/>
  </r>
  <r>
    <s v="Pedido 1223"/>
    <s v="CódRastreio1180"/>
    <s v="LP00721511611757"/>
    <s v="MEI"/>
    <d v="2025-04-04T00:00:00"/>
    <s v="Transp 1"/>
    <s v="NM769832753BR"/>
    <x v="0"/>
    <s v="Brasil"/>
    <d v="2025-03-28T00:00:00"/>
    <s v="Entregue"/>
    <x v="0"/>
    <s v="-"/>
    <x v="0"/>
    <s v="Olá Nome, _x000a_Identificamos que o Item Bomba d'agua foi entregue no dia 28/03/2025, referente ao pedido Nº Pedido 1223 Rastreio NM769832753BR, agradecemos a preferência e adoraríamos receber sua avaliação, tendo qualquer dúvida estamos à disposição._x000a__x000a_Att_x000a_NTA Variedades"/>
  </r>
  <r>
    <s v="Pedido 1225"/>
    <s v="CódRastreio1182"/>
    <s v="LP00721385605468"/>
    <s v="MEI"/>
    <d v="2025-04-10T00:00:00"/>
    <s v="Transp 1"/>
    <s v="NM769558844BR"/>
    <x v="0"/>
    <s v="Brasil"/>
    <d v="2025-04-08T00:00:00"/>
    <s v="Entregue"/>
    <x v="0"/>
    <s v="-"/>
    <x v="0"/>
    <s v="Olá Nome, _x000a_Identificamos que o Item Mini Liquidificador foi entregue no dia 08/04/2025, referente ao pedido Nº Pedido 1225 Rastreio NM769558844BR, agradecemos a preferência e adoraríamos receber sua avaliação, tendo qualquer dúvida estamos à disposição._x000a__x000a_Att_x000a_NTA Variedades"/>
  </r>
  <r>
    <s v="Pedido 1226"/>
    <s v="CódRastreio1183"/>
    <s v="LP00721514610471"/>
    <s v="MEI"/>
    <d v="2025-04-02T00:00:00"/>
    <s v="Transp 1"/>
    <s v="NM769835777BR"/>
    <x v="0"/>
    <s v="Brasil"/>
    <d v="2025-03-27T00:00:00"/>
    <s v="Entregue"/>
    <x v="0"/>
    <s v="-"/>
    <x v="0"/>
    <s v="Olá Nome, _x000a_Identificamos que o Item Bomba d'agua foi entregue no dia 27/03/2025, referente ao pedido Nº Pedido 1226 Rastreio NM769835777BR, agradecemos a preferência e adoraríamos receber sua avaliação, tendo qualquer dúvida estamos à disposição._x000a__x000a_Att_x000a_NTA Variedades"/>
  </r>
  <r>
    <s v="Pedido 1227"/>
    <s v="CódRastreio1184"/>
    <s v="LP00720559322080"/>
    <s v="MEI"/>
    <d v="2025-04-17T00:00:00"/>
    <s v="Transp 1"/>
    <s v="NM769565902BR"/>
    <x v="0"/>
    <s v="Brasil"/>
    <d v="2025-04-28T00:00:00"/>
    <s v="Entregue"/>
    <x v="0"/>
    <s v="-"/>
    <x v="1"/>
    <s v="Olá Nome, _x000a_Identificamos que o Item Mini Liquidificador foi entregue no dia 28/04/2025, referente ao pedido Nº Pedido 1227 Rastreio NM769565902BR, agradecemos a preferência e adoraríamos receber sua avaliação, tendo qualquer dúvida estamos à disposição._x000a__x000a_Att_x000a_NTA Variedades"/>
  </r>
  <r>
    <s v="Pedido 1228"/>
    <s v="CódRastreio1185"/>
    <s v="LP00719630819996"/>
    <s v="MEI"/>
    <d v="2025-04-10T00:00:00"/>
    <s v="Transp 1"/>
    <s v="NM769674329BR"/>
    <x v="0"/>
    <s v="Brasil"/>
    <d v="2025-04-04T00:00:00"/>
    <s v="Entregue"/>
    <x v="0"/>
    <s v="-"/>
    <x v="0"/>
    <s v="Olá Nome, _x000a_Identificamos que o Item Brinquedo Bola Giratória voadora foi entregue no dia 04/04/2025, referente ao pedido Nº Pedido 1228 Rastreio NM769674329BR, agradecemos a preferência e adoraríamos receber sua avaliação, tendo qualquer dúvida estamos à disposição._x000a__x000a_Att_x000a_NTA Variedades"/>
  </r>
  <r>
    <s v="Pedido 1230"/>
    <s v="CódRastreio1187"/>
    <s v="LP00721465110092"/>
    <s v="MEI"/>
    <d v="2025-04-04T00:00:00"/>
    <s v="Transp 1"/>
    <s v="NM769677585BR"/>
    <x v="0"/>
    <s v="Brasil"/>
    <d v="2025-04-08T00:00:00"/>
    <s v="Entregue"/>
    <x v="0"/>
    <s v="Cliente informado"/>
    <x v="1"/>
    <s v="Olá Nome, _x000a_Identificamos que o Item Maçarico Culinário Portátil foi entregue no dia 08/04/2025, referente ao pedido Nº Pedido 1230 Rastreio NM769677585BR, agradecemos a preferência e adoraríamos receber sua avaliação, tendo qualquer dúvida estamos à disposição._x000a__x000a_Att_x000a_NTA Variedades"/>
  </r>
  <r>
    <s v="Pedido 1231"/>
    <s v="CódRastreio1188"/>
    <s v="LP00719635847895"/>
    <s v="MEI"/>
    <d v="2025-04-10T00:00:00"/>
    <s v="Transp 1"/>
    <s v="NM769684564BR"/>
    <x v="0"/>
    <s v="Brasil"/>
    <d v="2025-04-08T00:00:00"/>
    <s v="Entregue"/>
    <x v="0"/>
    <s v="-"/>
    <x v="0"/>
    <s v="Olá Nome, _x000a_Identificamos que o Item Ventilador Preto foi entregue no dia 08/04/2025, referente ao pedido Nº Pedido 1231 Rastreio NM769684564BR, agradecemos a preferência e adoraríamos receber sua avaliação, tendo qualquer dúvida estamos à disposição._x000a__x000a_Att_x000a_NTA Variedades"/>
  </r>
  <r>
    <s v="Pedido 1232"/>
    <s v="CódRastreio1189"/>
    <s v="LP00721474452856"/>
    <s v="MEI"/>
    <d v="2025-04-04T00:00:00"/>
    <s v="Transp 1"/>
    <s v="NM769694218BR"/>
    <x v="0"/>
    <s v="Brasil"/>
    <d v="2025-04-02T00:00:00"/>
    <s v="Entregue"/>
    <x v="0"/>
    <s v="-"/>
    <x v="0"/>
    <s v="Olá Nome, _x000a_Identificamos que o Item Brinquedo Bola Giratória voadora foi entregue no dia 02/04/2025, referente ao pedido Nº Pedido 1232 Rastreio NM769694218BR, agradecemos a preferência e adoraríamos receber sua avaliação, tendo qualquer dúvida estamos à disposição._x000a__x000a_Att_x000a_NTA Variedades"/>
  </r>
  <r>
    <s v="Pedido 1268"/>
    <s v="CódRastreio1212"/>
    <s v="LP00719704666551"/>
    <s v="MEI"/>
    <d v="2025-04-04T00:00:00"/>
    <s v="Transp 1"/>
    <s v="NM769727154BR"/>
    <x v="0"/>
    <s v="Brasil"/>
    <d v="2025-04-07T00:00:00"/>
    <s v="Entregue"/>
    <x v="0"/>
    <s v="-"/>
    <x v="1"/>
    <s v="Olá Nome, _x000a_Identificamos que o Item Máquina de cortar cabelo dragão foi entregue no dia 07/04/2025, referente ao pedido Nº Pedido 1268 Rastreio NM769727154BR, agradecemos a preferência e adoraríamos receber sua avaliação, tendo qualquer dúvida estamos à disposição._x000a__x000a_Att_x000a_NTA Variedades"/>
  </r>
  <r>
    <s v="Pedido 1271"/>
    <s v="CódRastreio1213"/>
    <s v="LP00721479396314"/>
    <s v="MEI"/>
    <d v="2025-04-10T00:00:00"/>
    <s v="Transp 1"/>
    <s v="NM769758117BR"/>
    <x v="0"/>
    <s v="Brasil"/>
    <d v="2025-04-08T00:00:00"/>
    <s v="Entregue"/>
    <x v="0"/>
    <s v="-"/>
    <x v="0"/>
    <s v="Olá Nome, _x000a_Identificamos que o Item Máquina de cortar cabelo dragão foi entregue no dia 08/04/2025, referente ao pedido Nº Pedido 1271 Rastreio NM769758117BR, agradecemos a preferência e adoraríamos receber sua avaliação, tendo qualquer dúvida estamos à disposição._x000a__x000a_Att_x000a_NTA Variedades"/>
  </r>
  <r>
    <s v="Pedido 1275"/>
    <s v="CódRastreio1217"/>
    <s v="LP00720608049254"/>
    <s v="MEI"/>
    <d v="2025-04-04T00:00:00"/>
    <s v="Transp 1"/>
    <s v="NM769779324BR"/>
    <x v="0"/>
    <s v="Brasil"/>
    <d v="2025-04-05T00:00:00"/>
    <s v="Entregue"/>
    <x v="0"/>
    <s v="-"/>
    <x v="1"/>
    <s v="Olá Nome, _x000a_Identificamos que o Item Máquina de cortar cabelo dragão foi entregue no dia 05/04/2025, referente ao pedido Nº Pedido 1275 Rastreio NM769779324BR, agradecemos a preferência e adoraríamos receber sua avaliação, tendo qualquer dúvida estamos à disposição._x000a__x000a_Att_x000a_NTA Variedades"/>
  </r>
  <r>
    <s v="Pedido 1276"/>
    <s v="CódRastreio1218"/>
    <s v="LP00720609573715"/>
    <s v="MEI"/>
    <d v="2025-04-04T00:00:00"/>
    <s v="Transp 1"/>
    <s v="NM769782059BR"/>
    <x v="0"/>
    <s v="Brasil"/>
    <d v="2025-04-08T00:00:00"/>
    <s v="Entregue"/>
    <x v="0"/>
    <s v="-"/>
    <x v="1"/>
    <s v="Olá Nome, _x000a_Identificamos que o Item Máquina de cortar cabelo dragão foi entregue no dia 08/04/2025, referente ao pedido Nº Pedido 1276 Rastreio NM769782059BR, agradecemos a preferência e adoraríamos receber sua avaliação, tendo qualquer dúvida estamos à disposição._x000a__x000a_Att_x000a_NTA Variedades"/>
  </r>
  <r>
    <s v="Pedido 1280"/>
    <s v="CódRastreio1222"/>
    <s v="LP00719749247130"/>
    <s v="MEI"/>
    <d v="2025-04-10T00:00:00"/>
    <s v="Transp 1"/>
    <s v="NM769794729BR"/>
    <x v="0"/>
    <s v="Brasil"/>
    <d v="2025-04-10T00:00:00"/>
    <s v="Entregue"/>
    <x v="0"/>
    <s v="-"/>
    <x v="0"/>
    <s v="Olá Nome, _x000a_Identificamos que o Item Máquina de cortar cabelo dragão foi entregue no dia 10/04/2025, referente ao pedido Nº Pedido 1280 Rastreio NM769794729BR, agradecemos a preferência e adoraríamos receber sua avaliação, tendo qualquer dúvida estamos à disposição._x000a__x000a_Att_x000a_NTA Variedades"/>
  </r>
  <r>
    <s v="Pedido 1174"/>
    <s v="CódRastreio1148"/>
    <s v="LP00720648861741"/>
    <s v="MEI"/>
    <d v="2025-04-04T00:00:00"/>
    <s v="Transp 1"/>
    <s v="CNBR00063696585"/>
    <x v="0"/>
    <s v="Brasil"/>
    <d v="2025-04-11T00:00:00"/>
    <s v="Entregue"/>
    <x v="0"/>
    <s v="-"/>
    <x v="1"/>
    <s v="Olá Nome, _x000a_Identificamos que o Item Bomba d'agua foi entregue no dia 11/04/2025, referente ao pedido Nº Pedido 1174 Rastreio CNBR00063696585, agradecemos a preferência e adoraríamos receber sua avaliação, tendo qualquer dúvida estamos à disposição._x000a__x000a_Att_x000a_NTA Variedades"/>
  </r>
  <r>
    <s v="Pedido 1202"/>
    <s v="CódRastreio1164"/>
    <n v="888670001975542"/>
    <s v="BV"/>
    <d v="2025-04-10T00:00:00"/>
    <s v="Transp 1"/>
    <s v="-"/>
    <x v="1"/>
    <s v="Brasil"/>
    <d v="2025-04-02T00:00:00"/>
    <s v="Entregue"/>
    <x v="0"/>
    <s v="-"/>
    <x v="0"/>
    <s v="Olá Nome, _x000a_Identificamos que o Item Suporte de Celular Branco foi entregue no dia 02/04/2025, referente ao pedido Nº Pedido 1202 Rastreio Pedido 1202, agradecemos a preferência e adoraríamos receber sua avaliação, tendo qualquer dúvida estamos à disposição._x000a__x000a_Att_x000a_Tem tudo Shop"/>
  </r>
  <r>
    <s v="Pedido 1205"/>
    <s v="CódRastreio1165"/>
    <n v="888670001976091"/>
    <s v="BV"/>
    <d v="2025-04-04T00:00:00"/>
    <s v="Transp 1"/>
    <s v="-"/>
    <x v="1"/>
    <s v="Brasil"/>
    <d v="2025-03-24T00:00:00"/>
    <s v="Entregue"/>
    <x v="0"/>
    <s v="-"/>
    <x v="0"/>
    <s v="Olá Nome, _x000a_Identificamos que o Item Suporte de Celular Branco foi entregue no dia 24/03/2025, referente ao pedido Nº Pedido 1205 Rastreio Pedido 1205, agradecemos a preferência e adoraríamos receber sua avaliação, tendo qualquer dúvida estamos à disposição._x000a__x000a_Att_x000a_Tem tudo Shop"/>
  </r>
  <r>
    <s v="Pedido 1218"/>
    <s v="CódRastreio1175"/>
    <s v="LP00721572301035"/>
    <s v="MEI"/>
    <d v="2025-04-02T00:00:00"/>
    <s v="Transp 1"/>
    <s v="NM770546361BR"/>
    <x v="0"/>
    <s v="Brasil"/>
    <d v="2025-03-28T00:00:00"/>
    <s v="Entregue"/>
    <x v="0"/>
    <s v="-"/>
    <x v="0"/>
    <s v="Olá Nome, _x000a_Identificamos que o Item Bomba d'agua foi entregue no dia 28/03/2025, referente ao pedido Nº Pedido 1218 Rastreio NM770546361BR, agradecemos a preferência e adoraríamos receber sua avaliação, tendo qualquer dúvida estamos à disposição._x000a__x000a_Att_x000a_NTA Variedades"/>
  </r>
  <r>
    <s v="Pedido 1222"/>
    <s v="CódRastreio1179"/>
    <s v="LP00721575691295"/>
    <s v="MEI"/>
    <d v="2025-04-04T00:00:00"/>
    <s v="Transp 1"/>
    <s v="NM770371719BR"/>
    <x v="0"/>
    <s v="Brasil"/>
    <d v="2025-04-01T00:00:00"/>
    <s v="Entregue"/>
    <x v="0"/>
    <s v="-"/>
    <x v="0"/>
    <s v="Olá Nome, _x000a_Identificamos que o Item Máquina de cortar cabelo dragão foi entregue no dia 01/04/2025, referente ao pedido Nº Pedido 1222 Rastreio NM770371719BR, agradecemos a preferência e adoraríamos receber sua avaliação, tendo qualquer dúvida estamos à disposição._x000a__x000a_Att_x000a_NTA Variedades"/>
  </r>
  <r>
    <s v="Pedido 1224"/>
    <s v="CódRastreio1181"/>
    <s v="LP00719867908853"/>
    <s v="MEI"/>
    <d v="2025-04-04T00:00:00"/>
    <s v="Transp 1"/>
    <s v="NM770732324BR"/>
    <x v="0"/>
    <s v="Brasil"/>
    <d v="2025-04-09T00:00:00"/>
    <s v="Entregue"/>
    <x v="0"/>
    <s v="-"/>
    <x v="1"/>
    <s v="Olá Nome, _x000a_Identificamos que o Item Maçarico Culinário Portátil foi entregue no dia 09/04/2025, referente ao pedido Nº Pedido 1224 Rastreio NM770732324BR, agradecemos a preferência e adoraríamos receber sua avaliação, tendo qualquer dúvida estamos à disposição._x000a__x000a_Att_x000a_NTA Variedades"/>
  </r>
  <r>
    <s v="Pedido 1229"/>
    <s v="CódRastreio1186"/>
    <s v="LP00721624464160"/>
    <s v="MEI"/>
    <d v="2025-04-10T00:00:00"/>
    <s v="Transp 1"/>
    <s v="NM770751558BR"/>
    <x v="0"/>
    <s v="Brasil"/>
    <d v="2025-04-02T00:00:00"/>
    <s v="Entregue"/>
    <x v="0"/>
    <s v="-"/>
    <x v="0"/>
    <s v="Olá Nome, _x000a_Identificamos que o Item Máquina de cortar cabelo dragão foi entregue no dia 02/04/2025, referente ao pedido Nº Pedido 1229 Rastreio NM770751558BR, agradecemos a preferência e adoraríamos receber sua avaliação, tendo qualquer dúvida estamos à disposição._x000a__x000a_Att_x000a_NTA Variedades"/>
  </r>
  <r>
    <s v="Pedido 1235"/>
    <s v="CódRastreio1192"/>
    <s v="LP00719870380296"/>
    <s v="BV"/>
    <d v="2025-04-04T00:00:00"/>
    <s v="Transp 1"/>
    <s v="NM770812362BR"/>
    <x v="0"/>
    <s v="Brasil"/>
    <d v="2025-03-31T00:00:00"/>
    <s v="Entregue"/>
    <x v="0"/>
    <s v="-"/>
    <x v="0"/>
    <s v="Olá Nome, _x000a_Identificamos que o Item Lampada Led foi entregue no dia 31/03/2025, referente ao pedido Nº Pedido 1235 Rastreio NM770812362BR, agradecemos a preferência e adoraríamos receber sua avaliação, tendo qualquer dúvida estamos à disposição._x000a__x000a_Att_x000a_Tem tudo Shop"/>
  </r>
  <r>
    <s v="Pedido 1255"/>
    <s v="CódRastreio1202"/>
    <n v="888670001973788"/>
    <s v="BV"/>
    <d v="2025-04-11T00:00:00"/>
    <s v="Transp 1"/>
    <s v="-"/>
    <x v="1"/>
    <s v="Brasil"/>
    <d v="2025-04-02T00:00:00"/>
    <s v="Entregue"/>
    <x v="0"/>
    <s v="Pedir reembolso"/>
    <x v="0"/>
    <s v="Olá Nome, _x000a_Identificamos que o Item Balança foi entregue no dia 02/04/2025, referente ao pedido Nº Pedido 1255 Rastreio Pedido 1255, agradecemos a preferência e adoraríamos receber sua avaliação, tendo qualquer dúvida estamos à disposição._x000a__x000a_Att_x000a_Tem tudo Shop"/>
  </r>
  <r>
    <s v="Pedido 1261"/>
    <s v="CódRastreio1205"/>
    <s v="LP00720656205281"/>
    <s v="BV"/>
    <d v="2025-04-11T00:00:00"/>
    <s v="Transp 1"/>
    <s v="CNBR00063646914"/>
    <x v="0"/>
    <s v="Brasil"/>
    <d v="2025-04-22T00:00:00"/>
    <s v="Entregue"/>
    <x v="0"/>
    <s v="-"/>
    <x v="1"/>
    <s v="Olá Nome, _x000a_Identificamos que o Item Ventilador Azul foi entregue no dia 22/04/2025, referente ao pedido Nº Pedido 1261 Rastreio CNBR00063646914, agradecemos a preferência e adoraríamos receber sua avaliação, tendo qualquer dúvida estamos à disposição._x000a__x000a_Att_x000a_Tem tudo Shop"/>
  </r>
  <r>
    <s v="Pedido 1262"/>
    <s v="CódRastreio1206"/>
    <s v="LP00719821667525"/>
    <s v="BV"/>
    <d v="2025-04-05T00:00:00"/>
    <s v="Transp 1"/>
    <s v="NM770797815BR"/>
    <x v="0"/>
    <s v="Brasil"/>
    <d v="2025-04-01T00:00:00"/>
    <s v="Entregue"/>
    <x v="0"/>
    <s v="-"/>
    <x v="0"/>
    <s v="Olá Nome, _x000a_Identificamos que o Item Lampada Led foi entregue no dia 01/04/2025, referente ao pedido Nº Pedido 1262 Rastreio NM770797815BR, agradecemos a preferência e adoraríamos receber sua avaliação, tendo qualquer dúvida estamos à disposição._x000a__x000a_Att_x000a_Tem tudo Shop"/>
  </r>
  <r>
    <s v="Pedido 1264"/>
    <s v="CódRastreio1208"/>
    <s v="LP00720749571239"/>
    <s v="MEI"/>
    <d v="2025-04-10T00:00:00"/>
    <s v="Transp 1"/>
    <s v="NM770812813BR"/>
    <x v="0"/>
    <s v="Brasil"/>
    <d v="2025-04-03T00:00:00"/>
    <s v="Entregue"/>
    <x v="0"/>
    <s v="-"/>
    <x v="0"/>
    <s v="Olá Nome, _x000a_Identificamos que o Item Máquina de cortar cabelo dragão foi entregue no dia 03/04/2025, referente ao pedido Nº Pedido 1264 Rastreio NM770812813BR, agradecemos a preferência e adoraríamos receber sua avaliação, tendo qualquer dúvida estamos à disposição._x000a__x000a_Att_x000a_NTA Variedades"/>
  </r>
  <r>
    <s v="Pedido 1265"/>
    <s v="CódRastreio1209"/>
    <s v="LP00720755834002"/>
    <s v="MEI"/>
    <d v="2025-04-10T00:00:00"/>
    <s v="Transp 1"/>
    <s v="NM770826755BR"/>
    <x v="0"/>
    <s v="Brasil"/>
    <d v="2025-04-01T00:00:00"/>
    <s v="Entregue"/>
    <x v="0"/>
    <s v="-"/>
    <x v="0"/>
    <s v="Olá Nome, _x000a_Identificamos que o Item Maçarico Culinário Portátil foi entregue no dia 01/04/2025, referente ao pedido Nº Pedido 1265 Rastreio NM770826755BR, agradecemos a preferência e adoraríamos receber sua avaliação, tendo qualquer dúvida estamos à disposição._x000a__x000a_Att_x000a_NTA Variedades"/>
  </r>
  <r>
    <s v="Pedido 1311"/>
    <s v="CódRastreio1253"/>
    <s v="LP00720778010362"/>
    <s v="GO"/>
    <d v="2025-04-12T00:00:00"/>
    <s v="Transp 1"/>
    <s v="NM770935640BR"/>
    <x v="0"/>
    <s v="Brasil"/>
    <d v="2025-03-31T00:00:00"/>
    <s v="Entregue"/>
    <x v="0"/>
    <s v="-"/>
    <x v="0"/>
    <s v="Olá Nome, _x000a_Identificamos que o Item Máquina de cortar cabelo dragão foi entregue no dia 31/03/2025, referente ao pedido Nº Pedido 1311 Rastreio NM770935640BR, agradecemos a preferência e adoraríamos receber sua avaliação, tendo qualquer dúvida estamos à disposição._x000a__x000a_Att_x000a_Sec Variedades"/>
  </r>
  <r>
    <s v="Pedido 1312"/>
    <s v="CódRastreio1254"/>
    <s v="LP00720754778648"/>
    <s v="GO"/>
    <d v="2025-04-23T00:00:00"/>
    <s v="Transp 1"/>
    <s v="NM770957455BR"/>
    <x v="0"/>
    <s v="Brasil"/>
    <d v="2025-04-10T00:00:00"/>
    <s v="Entregue"/>
    <x v="0"/>
    <s v="-"/>
    <x v="0"/>
    <s v="Olá Nome, _x000a_Identificamos que o Item Máquina de cortar cabelo dragão foi entregue no dia 10/04/2025, referente ao pedido Nº Pedido 1312 Rastreio NM770957455BR, agradecemos a preferência e adoraríamos receber sua avaliação, tendo qualquer dúvida estamos à disposição._x000a__x000a_Att_x000a_Sec Variedades"/>
  </r>
  <r>
    <s v="Pedido 1313"/>
    <s v="CódRastreio1255"/>
    <s v="LP00719914187259"/>
    <s v="GO"/>
    <d v="2025-04-23T00:00:00"/>
    <s v="Transp 1"/>
    <s v="NM770970805BR"/>
    <x v="0"/>
    <s v="Brasil"/>
    <d v="2025-04-17T09:20:24"/>
    <s v="Entregue"/>
    <x v="0"/>
    <s v="Cliente informado"/>
    <x v="0"/>
    <s v="Olá Nome, _x000a_Identificamos que o Item Máquina de cortar cabelo dragão foi entregue no dia 17/04/2025, referente ao pedido Nº Pedido 1313 Rastreio NM770970805BR, agradecemos a preferência e adoraríamos receber sua avaliação, tendo qualquer dúvida estamos à disposição._x000a__x000a_Att_x000a_Sec Variedades"/>
  </r>
  <r>
    <s v="Pedido 1315"/>
    <s v="CódRastreio1257"/>
    <s v="LP00721615603400"/>
    <s v="GO"/>
    <d v="2025-04-12T00:00:00"/>
    <s v="Transp 1"/>
    <s v="NM771011442BR"/>
    <x v="0"/>
    <s v="Brasil"/>
    <d v="2025-04-02T00:00:00"/>
    <s v="Entregue"/>
    <x v="0"/>
    <s v="-"/>
    <x v="0"/>
    <s v="Olá Nome, _x000a_Identificamos que o Item Máquina de cortar cabelo dragão foi entregue no dia 02/04/2025, referente ao pedido Nº Pedido 1315 Rastreio NM771011442BR, agradecemos a preferência e adoraríamos receber sua avaliação, tendo qualquer dúvida estamos à disposição._x000a__x000a_Att_x000a_Sec Variedades"/>
  </r>
  <r>
    <s v="Pedido 1165"/>
    <s v="CódRastreio1140"/>
    <s v="LP00721834968100"/>
    <s v="MEI"/>
    <d v="2025-04-09T00:00:00"/>
    <s v="Transp 1"/>
    <s v="NM771878440BR"/>
    <x v="0"/>
    <s v="Brasil"/>
    <d v="2025-04-03T00:00:00"/>
    <s v="Entregue"/>
    <x v="0"/>
    <s v="-"/>
    <x v="0"/>
    <s v="Olá Nome, _x000a_Identificamos que o Item Hand Grip Fortalecedor foi entregue no dia 03/04/2025, referente ao pedido Nº Pedido 1165 Rastreio NM771878440BR, agradecemos a preferência e adoraríamos receber sua avaliação, tendo qualquer dúvida estamos à disposição._x000a__x000a_Att_x000a_NTA Variedades"/>
  </r>
  <r>
    <s v="Pedido 1170"/>
    <s v="CódRastreio1144"/>
    <s v="LP00720591459823"/>
    <s v="MEI"/>
    <d v="2025-04-09T00:00:00"/>
    <s v="Transp 1"/>
    <s v="NM772327752BR"/>
    <x v="0"/>
    <s v="Brasil"/>
    <d v="2025-04-02T00:00:00"/>
    <s v="Entregue"/>
    <x v="0"/>
    <s v="-"/>
    <x v="0"/>
    <s v="Olá Nome, _x000a_Identificamos que o Item Hand Grip Fortalecedor foi entregue no dia 02/04/2025, referente ao pedido Nº Pedido 1170 Rastreio NM772327752BR, agradecemos a preferência e adoraríamos receber sua avaliação, tendo qualquer dúvida estamos à disposição._x000a__x000a_Att_x000a_NTA Variedades"/>
  </r>
  <r>
    <s v="Pedido 1176"/>
    <s v="CódRastreio1150"/>
    <s v="LP00721559412760"/>
    <s v="MEI"/>
    <d v="2025-04-04T00:00:00"/>
    <s v="Transp 1"/>
    <s v="NM770273328BR"/>
    <x v="0"/>
    <s v="Brasil"/>
    <d v="2025-04-01T00:00:00"/>
    <s v="Entregue"/>
    <x v="0"/>
    <s v="-"/>
    <x v="0"/>
    <s v="Olá Nome, _x000a_Identificamos que o Item Máquina de cortar cabelo dragão foi entregue no dia 01/04/2025, referente ao pedido Nº Pedido 1176 Rastreio NM770273328BR, agradecemos a preferência e adoraríamos receber sua avaliação, tendo qualquer dúvida estamos à disposição._x000a__x000a_Att_x000a_NTA Variedades"/>
  </r>
  <r>
    <s v="Pedido 1180"/>
    <s v="CódRastreio1152"/>
    <n v="888670001991353"/>
    <s v="BV"/>
    <d v="2025-04-04T00:00:00"/>
    <s v="Transp 1"/>
    <s v="-"/>
    <x v="1"/>
    <s v="Brasil"/>
    <d v="2025-03-27T00:00:00"/>
    <s v="Entregue"/>
    <x v="0"/>
    <s v="-"/>
    <x v="0"/>
    <s v="Olá Nome, _x000a_Identificamos que o Item Suporte de Celular Branco foi entregue no dia 27/03/2025, referente ao pedido Nº Pedido 1180 Rastreio Pedido 1180, agradecemos a preferência e adoraríamos receber sua avaliação, tendo qualquer dúvida estamos à disposição._x000a__x000a_Att_x000a_Tem tudo Shop"/>
  </r>
  <r>
    <s v="Pedido 1182"/>
    <s v="CódRastreio1153"/>
    <n v="888670001997061"/>
    <s v="BV"/>
    <d v="2025-04-04T00:00:00"/>
    <s v="Transp 1"/>
    <s v="-"/>
    <x v="1"/>
    <s v="Brasil"/>
    <d v="2025-04-01T00:00:00"/>
    <s v="Entregue"/>
    <x v="0"/>
    <s v="-"/>
    <x v="0"/>
    <s v="Olá Nome, _x000a_Identificamos que o Item Suporte de Celular Branco foi entregue no dia 01/04/2025, referente ao pedido Nº Pedido 1182 Rastreio Pedido 1182, agradecemos a preferência e adoraríamos receber sua avaliação, tendo qualquer dúvida estamos à disposição._x000a__x000a_Att_x000a_Tem tudo Shop"/>
  </r>
  <r>
    <s v="Pedido 1190"/>
    <s v="CódRastreio1157"/>
    <n v="888000832725396"/>
    <s v="BV"/>
    <d v="2025-04-04T00:00:00"/>
    <s v="Transp 1"/>
    <s v="-"/>
    <x v="0"/>
    <s v="(desconhecido)"/>
    <d v="2025-04-09T00:00:00"/>
    <s v="Entregue"/>
    <x v="0"/>
    <s v="-"/>
    <x v="1"/>
    <s v="Olá Nome, _x000a_Identificamos que o Item Suporte de Celular Branco foi entregue no dia 09/04/2025, referente ao pedido Nº Pedido 1190 Rastreio Pedido 1190, agradecemos a preferência e adoraríamos receber sua avaliação, tendo qualquer dúvida estamos à disposição._x000a__x000a_Att_x000a_Tem tudo Shop"/>
  </r>
  <r>
    <s v="Pedido 1198"/>
    <s v="CódRastreio1163"/>
    <n v="888000832688313"/>
    <s v="BV"/>
    <d v="2025-04-04T00:00:00"/>
    <s v="Transp 1"/>
    <s v="-"/>
    <x v="0"/>
    <s v="(desconhecido)"/>
    <d v="2025-04-09T00:00:00"/>
    <s v="Entregue"/>
    <x v="0"/>
    <s v="-"/>
    <x v="1"/>
    <s v="Olá Nome, _x000a_Identificamos que o Item Suporte de Celular Branco foi entregue no dia 09/04/2025, referente ao pedido Nº Pedido 1198 Rastreio Pedido 1198, agradecemos a preferência e adoraríamos receber sua avaliação, tendo qualquer dúvida estamos à disposição._x000a__x000a_Att_x000a_Tem tudo Shop"/>
  </r>
  <r>
    <s v="Pedido 1241"/>
    <s v="CódRastreio1194"/>
    <s v="LP00720707594246"/>
    <s v="BV"/>
    <d v="2025-04-10T00:00:00"/>
    <s v="Transp 1"/>
    <s v="NM771910763BR"/>
    <x v="0"/>
    <s v="Brasil"/>
    <d v="2025-03-29T00:00:00"/>
    <s v="Entregue"/>
    <x v="0"/>
    <s v="-"/>
    <x v="0"/>
    <s v="Olá Nome, _x000a_Identificamos que o Item Ventilador Umidificador Preto foi entregue no dia 29/03/2025, referente ao pedido Nº Pedido 1241 Rastreio NM771910763BR, agradecemos a preferência e adoraríamos receber sua avaliação, tendo qualquer dúvida estamos à disposição._x000a__x000a_Att_x000a_Tem tudo Shop"/>
  </r>
  <r>
    <s v="Pedido 1242"/>
    <s v="CódRastreio1195"/>
    <s v="LP00721593379878"/>
    <s v="BV"/>
    <d v="2025-04-10T00:00:00"/>
    <s v="Transp 1"/>
    <s v="NM771908257BR"/>
    <x v="0"/>
    <s v="Brasil"/>
    <d v="2025-03-31T00:00:00"/>
    <s v="Entregue"/>
    <x v="0"/>
    <s v="-"/>
    <x v="0"/>
    <s v="Olá Nome, _x000a_Identificamos que o Item Ventilador Umidificador Preto foi entregue no dia 31/03/2025, referente ao pedido Nº Pedido 1242 Rastreio NM771908257BR, agradecemos a preferência e adoraríamos receber sua avaliação, tendo qualquer dúvida estamos à disposição._x000a__x000a_Att_x000a_Tem tudo Shop"/>
  </r>
  <r>
    <s v="Pedido 1247"/>
    <s v="CódRastreio1199"/>
    <s v="LP00719842967865"/>
    <s v="BV"/>
    <d v="2025-04-05T00:00:00"/>
    <s v="Transp 1"/>
    <s v="NM771917744BR"/>
    <x v="0"/>
    <s v="Brasil"/>
    <d v="2025-03-27T00:00:00"/>
    <s v="Entregue"/>
    <x v="0"/>
    <s v="-"/>
    <x v="0"/>
    <s v="Olá Nome, _x000a_Identificamos que o Item Ventilador Umidificador Preto foi entregue no dia 27/03/2025, referente ao pedido Nº Pedido 1247 Rastreio NM771917744BR, agradecemos a preferência e adoraríamos receber sua avaliação, tendo qualquer dúvida estamos à disposição._x000a__x000a_Att_x000a_Tem tudo Shop"/>
  </r>
  <r>
    <s v="Pedido 1310"/>
    <s v="CódRastreio1252"/>
    <s v="LP00720751088053"/>
    <s v="GO"/>
    <d v="2025-04-08T00:00:00"/>
    <s v="Transp 1"/>
    <s v="NM771911790BR"/>
    <x v="0"/>
    <s v="Brasil"/>
    <d v="2025-03-27T00:00:00"/>
    <s v="Entregue"/>
    <x v="0"/>
    <s v="-"/>
    <x v="0"/>
    <s v="Olá Nome, _x000a_Identificamos que o Item Ventilador Umidificador Preto foi entregue no dia 27/03/2025, referente ao pedido Nº Pedido 1310 Rastreio NM771911790BR, agradecemos a preferência e adoraríamos receber sua avaliação, tendo qualquer dúvida estamos à disposição._x000a__x000a_Att_x000a_Sec Variedades"/>
  </r>
  <r>
    <s v="Pedido 1314"/>
    <s v="CódRastreio1256"/>
    <s v="LP00721594183236"/>
    <s v="GO"/>
    <d v="2025-04-12T00:00:00"/>
    <s v="Transp 1"/>
    <s v="NM771906327BR"/>
    <x v="0"/>
    <s v="Brasil"/>
    <d v="2025-03-28T00:00:00"/>
    <s v="Entregue"/>
    <x v="0"/>
    <s v="-"/>
    <x v="0"/>
    <s v="Olá Nome, _x000a_Identificamos que o Item Ventilador Umidificador Preto foi entregue no dia 28/03/2025, referente ao pedido Nº Pedido 1314 Rastreio NM771906327BR, agradecemos a preferência e adoraríamos receber sua avaliação, tendo qualquer dúvida estamos à disposição._x000a__x000a_Att_x000a_Sec Variedades"/>
  </r>
  <r>
    <s v="Pedido 1316"/>
    <s v="CódRastreio1258"/>
    <s v="LP00720969807634"/>
    <s v="GO"/>
    <d v="2025-04-08T00:00:00"/>
    <s v="Transp 1"/>
    <s v="NM771998592BR"/>
    <x v="0"/>
    <s v="Brasil"/>
    <d v="2025-03-31T00:00:00"/>
    <s v="Entregue"/>
    <x v="0"/>
    <s v="-"/>
    <x v="0"/>
    <s v="Olá Nome, _x000a_Identificamos que o Item Lampada Led foi entregue no dia 31/03/2025, referente ao pedido Nº Pedido 1316 Rastreio NM771998592BR, agradecemos a preferência e adoraríamos receber sua avaliação, tendo qualquer dúvida estamos à disposição._x000a__x000a_Att_x000a_Sec Variedades"/>
  </r>
  <r>
    <s v="Pedido 1240"/>
    <s v="CódRastreio1193"/>
    <s v="CNBR014315680LG"/>
    <s v="BV"/>
    <d v="2025-03-29T00:00:00"/>
    <s v="Transp 1"/>
    <s v="-"/>
    <x v="1"/>
    <s v="Brasil"/>
    <d v="2025-03-25T00:00:00"/>
    <s v="Entregue"/>
    <x v="0"/>
    <s v="-"/>
    <x v="0"/>
    <s v="Olá Nome, _x000a_Identificamos que o Item Balança foi entregue no dia 25/03/2025, referente ao pedido Nº Pedido 1240 Rastreio Pedido 1240, agradecemos a preferência e adoraríamos receber sua avaliação, tendo qualquer dúvida estamos à disposição._x000a__x000a_Att_x000a_Tem tudo Shop"/>
  </r>
  <r>
    <s v="Pedido 1243"/>
    <s v="CódRastreio1196"/>
    <n v="888670002011583"/>
    <s v="BV"/>
    <d v="2025-04-04T00:00:00"/>
    <s v="Transp 1"/>
    <s v="-"/>
    <x v="1"/>
    <s v="Brasil"/>
    <d v="2025-03-27T00:00:00"/>
    <s v="Entregue"/>
    <x v="0"/>
    <s v="-"/>
    <x v="0"/>
    <s v="Olá Nome, _x000a_Identificamos que o Item Balança foi entregue no dia 27/03/2025, referente ao pedido Nº Pedido 1243 Rastreio Pedido 1243, agradecemos a preferência e adoraríamos receber sua avaliação, tendo qualquer dúvida estamos à disposição._x000a__x000a_Att_x000a_Tem tudo Shop"/>
  </r>
  <r>
    <s v="Pedido 1245"/>
    <s v="CódRastreio1197"/>
    <n v="888670002013576"/>
    <s v="BV"/>
    <d v="2025-04-11T00:00:00"/>
    <s v="Transp 1"/>
    <s v="-"/>
    <x v="1"/>
    <s v="Brasil"/>
    <d v="2025-03-29T00:00:00"/>
    <s v="Entregue"/>
    <x v="0"/>
    <s v="-"/>
    <x v="0"/>
    <s v="Olá Nome, _x000a_Identificamos que o Item Balança foi entregue no dia 29/03/2025, referente ao pedido Nº Pedido 1245 Rastreio Pedido 1245, agradecemos a preferência e adoraríamos receber sua avaliação, tendo qualquer dúvida estamos à disposição._x000a__x000a_Att_x000a_Tem tudo Shop"/>
  </r>
  <r>
    <s v="Pedido 1246"/>
    <s v="CódRastreio1198"/>
    <n v="888670002003418"/>
    <s v="BV"/>
    <d v="2025-04-05T00:00:00"/>
    <s v="Transp 1"/>
    <s v="-"/>
    <x v="1"/>
    <s v="Brasil"/>
    <d v="2025-04-04T00:00:00"/>
    <s v="Entregue"/>
    <x v="0"/>
    <s v="-"/>
    <x v="0"/>
    <s v="Olá Nome, _x000a_Identificamos que o Item Balança foi entregue no dia 04/04/2025, referente ao pedido Nº Pedido 1246 Rastreio Pedido 1246, agradecemos a preferência e adoraríamos receber sua avaliação, tendo qualquer dúvida estamos à disposição._x000a__x000a_Att_x000a_Tem tudo Shop"/>
  </r>
  <r>
    <s v="Pedido 1249"/>
    <s v="CódRastreio1200"/>
    <n v="3621049681535"/>
    <s v="BV"/>
    <d v="2025-04-05T00:00:00"/>
    <s v="Transp 1"/>
    <s v="-"/>
    <x v="1"/>
    <s v="Brasil"/>
    <d v="2025-03-31T00:00:00"/>
    <s v="Entregue"/>
    <x v="0"/>
    <s v="-"/>
    <x v="0"/>
    <s v="Olá Nome, _x000a_Identificamos que o Item Balança foi entregue no dia 31/03/2025, referente ao pedido Nº Pedido 1249 Rastreio Pedido 1249, agradecemos a preferência e adoraríamos receber sua avaliação, tendo qualquer dúvida estamos à disposição._x000a__x000a_Att_x000a_Tem tudo Shop"/>
  </r>
  <r>
    <s v="Pedido 1252"/>
    <s v="CódRastreio1201"/>
    <s v="CNBR014337019LG"/>
    <s v="BV"/>
    <d v="2025-04-05T00:00:00"/>
    <s v="Transp 1"/>
    <s v="-"/>
    <x v="1"/>
    <s v="Brasil"/>
    <d v="2025-03-27T00:00:00"/>
    <s v="Entregue"/>
    <x v="0"/>
    <s v="-"/>
    <x v="0"/>
    <s v="Olá Nome, _x000a_Identificamos que o Item Balança foi entregue no dia 27/03/2025, referente ao pedido Nº Pedido 1252 Rastreio Pedido 1252, agradecemos a preferência e adoraríamos receber sua avaliação, tendo qualquer dúvida estamos à disposição._x000a__x000a_Att_x000a_Tem tudo Shop"/>
  </r>
  <r>
    <s v="Pedido 1256"/>
    <s v="CódRastreio1203"/>
    <n v="3621049682054"/>
    <s v="BV"/>
    <d v="2025-04-03T00:00:00"/>
    <s v="Transp 1"/>
    <s v="-"/>
    <x v="1"/>
    <s v="Brasil"/>
    <d v="2025-03-31T00:00:00"/>
    <s v="Entregue"/>
    <x v="0"/>
    <s v="-"/>
    <x v="0"/>
    <s v="Olá Nome, _x000a_Identificamos que o Item Balança foi entregue no dia 31/03/2025, referente ao pedido Nº Pedido 1256 Rastreio Pedido 1256, agradecemos a preferência e adoraríamos receber sua avaliação, tendo qualquer dúvida estamos à disposição._x000a__x000a_Att_x000a_Tem tudo Shop"/>
  </r>
  <r>
    <s v="Pedido 1257"/>
    <s v="CódRastreio1204"/>
    <s v="CNBR014313750LG"/>
    <s v="BV"/>
    <d v="2025-04-05T00:00:00"/>
    <s v="Transp 1"/>
    <s v="-"/>
    <x v="1"/>
    <s v="Brasil"/>
    <d v="2025-03-27T00:00:00"/>
    <s v="Entregue"/>
    <x v="0"/>
    <s v="-"/>
    <x v="0"/>
    <s v="Olá Nome, _x000a_Identificamos que o Item Balança foi entregue no dia 27/03/2025, referente ao pedido Nº Pedido 1257 Rastreio Pedido 1257, agradecemos a preferência e adoraríamos receber sua avaliação, tendo qualquer dúvida estamos à disposição._x000a__x000a_Att_x000a_Tem tudo Shop"/>
  </r>
  <r>
    <s v="Pedido 1263"/>
    <s v="CódRastreio1207"/>
    <n v="888670002004925"/>
    <s v="BV"/>
    <d v="2025-04-05T00:00:00"/>
    <s v="Transp 1"/>
    <s v="-"/>
    <x v="1"/>
    <s v="Brasil"/>
    <d v="2025-03-27T00:00:00"/>
    <s v="Entregue"/>
    <x v="0"/>
    <s v="-"/>
    <x v="0"/>
    <s v="Olá Nome, _x000a_Identificamos que o Item Balança foi entregue no dia 27/03/2025, referente ao pedido Nº Pedido 1263 Rastreio Pedido 1263, agradecemos a preferência e adoraríamos receber sua avaliação, tendo qualquer dúvida estamos à disposição._x000a__x000a_Att_x000a_Tem tudo Shop"/>
  </r>
  <r>
    <s v="Pedido 1298"/>
    <s v="CódRastreio1240"/>
    <s v="CNBR014335110LG"/>
    <s v="BV"/>
    <d v="2025-04-03T00:00:00"/>
    <s v="Transp 1"/>
    <s v="-"/>
    <x v="1"/>
    <s v="Brasil"/>
    <d v="2025-03-27T00:00:00"/>
    <s v="Entregue"/>
    <x v="0"/>
    <s v="-"/>
    <x v="0"/>
    <s v="Olá Nome, _x000a_Identificamos que o Item Balança foi entregue no dia 27/03/2025, referente ao pedido Nº Pedido 1298 Rastreio Pedido 1298, agradecemos a preferência e adoraríamos receber sua avaliação, tendo qualquer dúvida estamos à disposição._x000a__x000a_Att_x000a_Tem tudo Shop"/>
  </r>
  <r>
    <s v="Pedido 1301"/>
    <s v="CódRastreio1243"/>
    <n v="888670002012205"/>
    <s v="BV"/>
    <d v="2025-04-12T00:00:00"/>
    <s v="Transp 1"/>
    <s v="-"/>
    <x v="1"/>
    <s v="Brasil"/>
    <d v="2025-04-03T00:00:00"/>
    <s v="Entregue"/>
    <x v="0"/>
    <s v="-"/>
    <x v="0"/>
    <s v="Olá Nome, _x000a_Identificamos que o Item Balança foi entregue no dia 03/04/2025, referente ao pedido Nº Pedido 1301 Rastreio Pedido 1301, agradecemos a preferência e adoraríamos receber sua avaliação, tendo qualquer dúvida estamos à disposição._x000a__x000a_Att_x000a_Tem tudo Shop"/>
  </r>
  <r>
    <s v="Pedido 1303"/>
    <s v="CódRastreio1245"/>
    <n v="888670002001996"/>
    <s v="BV"/>
    <d v="2025-04-08T00:00:00"/>
    <s v="Transp 1"/>
    <s v="-"/>
    <x v="1"/>
    <s v="Brasil"/>
    <d v="2025-03-28T00:00:00"/>
    <s v="Entregue"/>
    <x v="0"/>
    <s v="-"/>
    <x v="0"/>
    <s v="Olá Nome, _x000a_Identificamos que o Item Balança foi entregue no dia 28/03/2025, referente ao pedido Nº Pedido 1303 Rastreio Pedido 1303, agradecemos a preferência e adoraríamos receber sua avaliação, tendo qualquer dúvida estamos à disposição._x000a__x000a_Att_x000a_Tem tudo Shop"/>
  </r>
  <r>
    <s v="Pedido 1189"/>
    <s v="CódRastreio1156"/>
    <s v="AJ250320563947401"/>
    <s v="BV"/>
    <d v="2025-04-04T00:00:00"/>
    <s v="Transp 4"/>
    <s v="-"/>
    <x v="0"/>
    <s v="(desconhecido)"/>
    <d v="2025-04-05T00:00:00"/>
    <s v="Entregue"/>
    <x v="0"/>
    <s v="-"/>
    <x v="1"/>
    <s v="Olá Nome, _x000a_Identificamos que o Item Suporte de Celular Branco foi entregue no dia 05/04/2025, referente ao pedido Nº Pedido 1189 Rastreio Pedido 1189, agradecemos a preferência e adoraríamos receber sua avaliação, tendo qualquer dúvida estamos à disposição._x000a__x000a_Att_x000a_Tem tudo Shop"/>
  </r>
  <r>
    <s v="Pedido 1183"/>
    <s v="CódRastreio1154"/>
    <s v="ND547633640BR"/>
    <s v="BV"/>
    <d v="2025-04-10T00:00:00"/>
    <s v="Transp 1"/>
    <s v="-"/>
    <x v="0"/>
    <s v="(desconhecido)"/>
    <d v="2025-04-09T00:00:00"/>
    <s v="Entregue"/>
    <x v="0"/>
    <s v="-"/>
    <x v="0"/>
    <s v="Olá Nome, _x000a_Identificamos que o Item Suporte de Celular Branco foi entregue no dia 09/04/2025, referente ao pedido Nº Pedido 1183 Rastreio Pedido 1183, agradecemos a preferência e adoraríamos receber sua avaliação, tendo qualquer dúvida estamos à disposição._x000a__x000a_Att_x000a_Tem tudo Shop"/>
  </r>
  <r>
    <s v="Pedido 1234"/>
    <s v="CódRastreio1191"/>
    <s v="LP00721164878726"/>
    <s v="BV"/>
    <d v="2025-04-04T00:00:00"/>
    <s v="Transp 1"/>
    <s v="NM772808581BR"/>
    <x v="0"/>
    <s v="Brasil"/>
    <d v="2025-04-10T00:00:00"/>
    <s v="Entregue"/>
    <x v="0"/>
    <s v="-"/>
    <x v="1"/>
    <s v="Olá Nome, _x000a_Identificamos que o Item Ventilador Azul foi entregue no dia 10/04/2025, referente ao pedido Nº Pedido 1234 Rastreio NM772808581BR, agradecemos a preferência e adoraríamos receber sua avaliação, tendo qualquer dúvida estamos à disposição._x000a__x000a_Att_x000a_Tem tudo Shop"/>
  </r>
  <r>
    <s v="Pedido 1266"/>
    <s v="CódRastreio1210"/>
    <s v="LP00722148073734"/>
    <s v="MEI"/>
    <d v="2025-04-10T00:00:00"/>
    <s v="Transp 1"/>
    <s v="NM773195151BR"/>
    <x v="0"/>
    <s v="Brasil"/>
    <d v="2025-04-02T00:00:00"/>
    <s v="Entregue"/>
    <x v="0"/>
    <s v="-"/>
    <x v="0"/>
    <s v="Olá Nome, _x000a_Identificamos que o Item Máquina de cortar cabelo dragão foi entregue no dia 02/04/2025, referente ao pedido Nº Pedido 1266 Rastreio NM773195151BR, agradecemos a preferência e adoraríamos receber sua avaliação, tendo qualquer dúvida estamos à disposição._x000a__x000a_Att_x000a_NTA Variedades"/>
  </r>
  <r>
    <s v="Pedido 1267"/>
    <s v="CódRastreio1211"/>
    <s v="LP00721229024780"/>
    <s v="MEI"/>
    <d v="2025-04-04T00:00:00"/>
    <s v="Transp 1"/>
    <s v="NM773202714BR"/>
    <x v="0"/>
    <s v="Brasil"/>
    <d v="2025-04-09T00:00:00"/>
    <s v="Entregue"/>
    <x v="0"/>
    <s v="-"/>
    <x v="1"/>
    <s v="Olá Nome, _x000a_Identificamos que o Item Bomba d'agua foi entregue no dia 09/04/2025, referente ao pedido Nº Pedido 1267 Rastreio NM773202714BR, agradecemos a preferência e adoraríamos receber sua avaliação, tendo qualquer dúvida estamos à disposição._x000a__x000a_Att_x000a_NTA Variedades"/>
  </r>
  <r>
    <s v="Pedido 1272"/>
    <s v="CódRastreio1214"/>
    <s v="LP00720337253633"/>
    <s v="MEI"/>
    <d v="2025-04-02T00:00:00"/>
    <s v="Transp 1"/>
    <s v="NM773250547BR"/>
    <x v="0"/>
    <s v="Brasil"/>
    <d v="2025-03-31T00:00:00"/>
    <s v="Entregue"/>
    <x v="0"/>
    <s v="-"/>
    <x v="0"/>
    <s v="Olá Nome, _x000a_Identificamos que o Item Máquina de cortar cabelo dragão foi entregue no dia 31/03/2025, referente ao pedido Nº Pedido 1272 Rastreio NM773250547BR, agradecemos a preferência e adoraríamos receber sua avaliação, tendo qualquer dúvida estamos à disposição._x000a__x000a_Att_x000a_NTA Variedades"/>
  </r>
  <r>
    <s v="Pedido 1300"/>
    <s v="CódRastreio1242"/>
    <s v="LP00721185837079"/>
    <s v="BV"/>
    <d v="2025-04-18T00:00:00"/>
    <s v="Transp 1"/>
    <s v="NM773100352BR"/>
    <x v="0"/>
    <s v="Brasil"/>
    <d v="2025-05-02T00:00:00"/>
    <s v="Entregue"/>
    <x v="0"/>
    <s v="-"/>
    <x v="1"/>
    <s v="Olá Nome, _x000a_Identificamos que o Item Lampada Led foi entregue no dia 02/05/2025, referente ao pedido Nº Pedido 1300 Rastreio NM773100352BR, agradecemos a preferência e adoraríamos receber sua avaliação, tendo qualquer dúvida estamos à disposição._x000a__x000a_Att_x000a_Tem tudo Shop"/>
  </r>
  <r>
    <s v="Pedido 1304"/>
    <s v="CódRastreio1246"/>
    <s v="LP00720361174442"/>
    <s v="BV"/>
    <d v="2025-04-08T00:00:00"/>
    <s v="Transp 1"/>
    <s v="NM773142998BR"/>
    <x v="0"/>
    <s v="Brasil"/>
    <d v="2025-04-07T00:00:00"/>
    <s v="Entregue"/>
    <x v="0"/>
    <s v="-"/>
    <x v="0"/>
    <s v="Olá Nome, _x000a_Identificamos que o Item Lampada Led foi entregue no dia 07/04/2025, referente ao pedido Nº Pedido 1304 Rastreio NM773142998BR, agradecemos a preferência e adoraríamos receber sua avaliação, tendo qualquer dúvida estamos à disposição._x000a__x000a_Att_x000a_Tem tudo Shop"/>
  </r>
  <r>
    <s v="Pedido 1273"/>
    <s v="CódRastreio1215"/>
    <s v="LP00721443501353"/>
    <s v="MEI"/>
    <d v="2025-04-10T00:00:00"/>
    <s v="Transp 1"/>
    <s v="NM774045900BR"/>
    <x v="0"/>
    <s v="Brasil"/>
    <d v="2025-04-15T00:00:00"/>
    <s v="Entregue"/>
    <x v="0"/>
    <s v="-"/>
    <x v="1"/>
    <s v="Olá Nome, _x000a_Identificamos que o Item Máquina de cortar cabelo dragão foi entregue no dia 15/04/2025, referente ao pedido Nº Pedido 1273 Rastreio NM774045900BR, agradecemos a preferência e adoraríamos receber sua avaliação, tendo qualquer dúvida estamos à disposição._x000a__x000a_Att_x000a_NTA Variedades"/>
  </r>
  <r>
    <s v="Pedido 1274"/>
    <s v="CódRastreio1216"/>
    <s v="LP00721432166323"/>
    <s v="MEI"/>
    <d v="2025-04-04T00:00:00"/>
    <s v="Transp 1"/>
    <s v="NM774052450BR"/>
    <x v="0"/>
    <s v="Brasil"/>
    <d v="2025-04-04T00:00:00"/>
    <s v="Entregue"/>
    <x v="0"/>
    <s v="-"/>
    <x v="0"/>
    <s v="Olá Nome, _x000a_Identificamos que o Item Máquina de cortar cabelo dragão foi entregue no dia 04/04/2025, referente ao pedido Nº Pedido 1274 Rastreio NM774052450BR, agradecemos a preferência e adoraríamos receber sua avaliação, tendo qualquer dúvida estamos à disposição._x000a__x000a_Att_x000a_NTA Variedades"/>
  </r>
  <r>
    <s v="Pedido 1277"/>
    <s v="CódRastreio1219"/>
    <s v="LP00721448469410"/>
    <s v="MEI"/>
    <d v="2025-04-10T00:00:00"/>
    <s v="Transp 1"/>
    <s v="NM774057488BR"/>
    <x v="0"/>
    <s v="Brasil"/>
    <d v="2025-04-01T00:00:00"/>
    <s v="Entregue"/>
    <x v="0"/>
    <s v="-"/>
    <x v="0"/>
    <s v="Olá Nome, _x000a_Identificamos que o Item Máquina de cortar cabelo dragão foi entregue no dia 01/04/2025, referente ao pedido Nº Pedido 1277 Rastreio NM774057488BR, agradecemos a preferência e adoraríamos receber sua avaliação, tendo qualquer dúvida estamos à disposição._x000a__x000a_Att_x000a_NTA Variedades"/>
  </r>
  <r>
    <s v="Pedido 1278"/>
    <s v="CódRastreio1220"/>
    <s v="LP00721451277069"/>
    <s v="MEI"/>
    <d v="2025-04-04T00:00:00"/>
    <s v="Transp 1"/>
    <s v="NM774062721BR"/>
    <x v="0"/>
    <s v="Brasil"/>
    <d v="2025-04-03T00:00:00"/>
    <s v="Entregue"/>
    <x v="0"/>
    <s v="-"/>
    <x v="0"/>
    <s v="Olá Nome, _x000a_Identificamos que o Item Máquina de cortar cabelo dragão foi entregue no dia 03/04/2025, referente ao pedido Nº Pedido 1278 Rastreio NM774062721BR, agradecemos a preferência e adoraríamos receber sua avaliação, tendo qualquer dúvida estamos à disposição._x000a__x000a_Att_x000a_NTA Variedades"/>
  </r>
  <r>
    <s v="Pedido 1279"/>
    <s v="CódRastreio1221"/>
    <s v="LP00720585287619"/>
    <s v="MEI"/>
    <d v="2025-04-02T00:00:00"/>
    <s v="Transp 1"/>
    <s v="NM774088233BR"/>
    <x v="0"/>
    <s v="Brasil"/>
    <d v="2025-04-07T00:00:00"/>
    <s v="Entregue"/>
    <x v="0"/>
    <s v="-"/>
    <x v="1"/>
    <s v="Olá Nome, _x000a_Identificamos que o Item Máquina de cortar cabelo dragão foi entregue no dia 07/04/2025, referente ao pedido Nº Pedido 1279 Rastreio NM774088233BR, agradecemos a preferência e adoraríamos receber sua avaliação, tendo qualquer dúvida estamos à disposição._x000a__x000a_Att_x000a_NTA Variedades"/>
  </r>
  <r>
    <s v="Pedido 1281"/>
    <s v="CódRastreio1223"/>
    <s v="LP00722285203630"/>
    <s v="MEI"/>
    <d v="2025-04-10T00:00:00"/>
    <s v="Transp 1"/>
    <s v="NM774080209BR"/>
    <x v="0"/>
    <s v="Brasil"/>
    <d v="2025-04-02T00:00:00"/>
    <s v="Entregue"/>
    <x v="0"/>
    <s v="-"/>
    <x v="0"/>
    <s v="Olá Nome, _x000a_Identificamos que o Item Máquina de cortar cabelo dragão foi entregue no dia 02/04/2025, referente ao pedido Nº Pedido 1281 Rastreio NM774080209BR, agradecemos a preferência e adoraríamos receber sua avaliação, tendo qualquer dúvida estamos à disposição._x000a__x000a_Att_x000a_NTA Variedades"/>
  </r>
  <r>
    <s v="Pedido 1282"/>
    <s v="CódRastreio1224"/>
    <s v="LP00720593266872"/>
    <s v="MEI"/>
    <d v="2025-04-11T00:00:00"/>
    <s v="Transp 1"/>
    <s v="NM774100331BR"/>
    <x v="0"/>
    <s v="Brasil"/>
    <d v="2025-04-04T00:00:00"/>
    <s v="Entregue"/>
    <x v="0"/>
    <s v="-"/>
    <x v="0"/>
    <s v="Olá Nome, _x000a_Identificamos que o Item Máquina de cortar cabelo dragão foi entregue no dia 04/04/2025, referente ao pedido Nº Pedido 1282 Rastreio NM774100331BR, agradecemos a preferência e adoraríamos receber sua avaliação, tendo qualquer dúvida estamos à disposição._x000a__x000a_Att_x000a_NTA Variedades"/>
  </r>
  <r>
    <s v="Pedido 1283"/>
    <s v="CódRastreio1225"/>
    <s v="LP00722360472850"/>
    <s v="MEI"/>
    <d v="2025-04-11T00:00:00"/>
    <s v="Transp 1"/>
    <s v="NM774105515BR"/>
    <x v="0"/>
    <s v="Brasil"/>
    <d v="2025-04-15T00:00:00"/>
    <s v="Entregue"/>
    <x v="0"/>
    <s v="Cliente informado"/>
    <x v="1"/>
    <s v="Olá Nome, _x000a_Identificamos que o Item Máquina de cortar cabelo dragão foi entregue no dia 15/04/2025, referente ao pedido Nº Pedido 1283 Rastreio NM774105515BR, agradecemos a preferência e adoraríamos receber sua avaliação, tendo qualquer dúvida estamos à disposição._x000a__x000a_Att_x000a_NTA Variedades"/>
  </r>
  <r>
    <s v="Pedido 1286"/>
    <s v="CódRastreio1228"/>
    <s v="LP00721475210046"/>
    <s v="MEI"/>
    <d v="2025-04-05T00:00:00"/>
    <s v="Transp 1"/>
    <s v="NM774162945BR"/>
    <x v="0"/>
    <s v="Brasil"/>
    <d v="2025-04-15T00:00:00"/>
    <s v="Entregue"/>
    <x v="0"/>
    <s v="-"/>
    <x v="1"/>
    <s v="Olá Nome, _x000a_Identificamos que o Item Maçarico Culinário Portátil foi entregue no dia 15/04/2025, referente ao pedido Nº Pedido 1286 Rastreio NM774162945BR, agradecemos a preferência e adoraríamos receber sua avaliação, tendo qualquer dúvida estamos à disposição._x000a__x000a_Att_x000a_NTA Variedades"/>
  </r>
  <r>
    <s v="Pedido 1290"/>
    <s v="CódRastreio1232"/>
    <s v="LP00721413813692"/>
    <s v="MEI"/>
    <d v="2025-04-05T00:00:00"/>
    <s v="Transp 1"/>
    <s v="NM774207810BR"/>
    <x v="0"/>
    <s v="Brasil"/>
    <d v="2025-03-31T00:00:00"/>
    <s v="Entregue"/>
    <x v="0"/>
    <s v="-"/>
    <x v="0"/>
    <s v="Olá Nome, _x000a_Identificamos que o Item Brinquedo Bola Giratória voadora foi entregue no dia 31/03/2025, referente ao pedido Nº Pedido 1290 Rastreio NM774207810BR, agradecemos a preferência e adoraríamos receber sua avaliação, tendo qualquer dúvida estamos à disposição._x000a__x000a_Att_x000a_NTA Variedades"/>
  </r>
  <r>
    <s v="Pedido 1293"/>
    <s v="CódRastreio1235"/>
    <s v="LP00720620405660"/>
    <s v="MEI"/>
    <d v="2025-04-11T00:00:00"/>
    <s v="Transp 1"/>
    <s v="NM774219115BR"/>
    <x v="0"/>
    <s v="Brasil"/>
    <d v="2025-04-15T00:00:00"/>
    <s v="Entregue"/>
    <x v="0"/>
    <s v="-"/>
    <x v="1"/>
    <s v="Olá Nome, _x000a_Identificamos que o Item Maçarico Culinário Portátil foi entregue no dia 15/04/2025, referente ao pedido Nº Pedido 1293 Rastreio NM774219115BR, agradecemos a preferência e adoraríamos receber sua avaliação, tendo qualquer dúvida estamos à disposição._x000a__x000a_Att_x000a_NTA Variedades"/>
  </r>
  <r>
    <s v="Pedido 1295"/>
    <s v="CódRastreio1237"/>
    <s v="LP00722317759076"/>
    <s v="MEI"/>
    <d v="2025-04-05T00:00:00"/>
    <s v="Transp 1"/>
    <s v="NM774110682BR"/>
    <x v="0"/>
    <s v="Brasil"/>
    <d v="2025-04-01T00:00:00"/>
    <s v="Entregue"/>
    <x v="0"/>
    <s v="-"/>
    <x v="0"/>
    <s v="Olá Nome, _x000a_Identificamos que o Item Mini Liquidificador foi entregue no dia 01/04/2025, referente ao pedido Nº Pedido 1295 Rastreio NM774110682BR, agradecemos a preferência e adoraríamos receber sua avaliação, tendo qualquer dúvida estamos à disposição._x000a__x000a_Att_x000a_NTA Variedades"/>
  </r>
  <r>
    <s v="Pedido 1305"/>
    <s v="CódRastreio1247"/>
    <s v="LP00720589553103"/>
    <s v="MEI"/>
    <d v="2025-04-18T00:00:00"/>
    <s v="Transp 1"/>
    <s v="NM774257816BR"/>
    <x v="0"/>
    <s v="Brasil"/>
    <d v="2025-04-08T00:00:00"/>
    <s v="Entregue"/>
    <x v="0"/>
    <s v="-"/>
    <x v="0"/>
    <s v="Olá Nome, _x000a_Identificamos que o Item Máquina de cortar cabelo dragão foi entregue no dia 08/04/2025, referente ao pedido Nº Pedido 1305 Rastreio NM774257816BR, agradecemos a preferência e adoraríamos receber sua avaliação, tendo qualquer dúvida estamos à disposição._x000a__x000a_Att_x000a_NTA Variedades"/>
  </r>
  <r>
    <s v="Pedido 1306"/>
    <s v="CódRastreio1248"/>
    <s v="LP00722398489239"/>
    <s v="MEI"/>
    <d v="2025-04-05T00:00:00"/>
    <s v="Transp 1"/>
    <s v="NM774258003BR"/>
    <x v="0"/>
    <s v="Brasil"/>
    <d v="2025-04-07T00:00:00"/>
    <s v="Entregue"/>
    <x v="0"/>
    <s v="-"/>
    <x v="1"/>
    <s v="Olá Nome, _x000a_Identificamos que o Item Máquina de cortar cabelo dragão foi entregue no dia 07/04/2025, referente ao pedido Nº Pedido 1306 Rastreio NM774258003BR, agradecemos a preferência e adoraríamos receber sua avaliação, tendo qualquer dúvida estamos à disposição._x000a__x000a_Att_x000a_NTA Variedades"/>
  </r>
  <r>
    <s v="Pedido 1307"/>
    <s v="CódRastreio1249"/>
    <s v="LP00722402113252"/>
    <s v="MEI"/>
    <d v="2025-04-23T00:00:00"/>
    <s v="Transp 1"/>
    <s v="NM774266897BR"/>
    <x v="0"/>
    <s v="Brasil"/>
    <d v="2025-04-10T00:00:00"/>
    <s v="Entregue"/>
    <x v="0"/>
    <s v="-"/>
    <x v="0"/>
    <s v="Olá Nome, _x000a_Identificamos que o Item Máquina de cortar cabelo dragão foi entregue no dia 10/04/2025, referente ao pedido Nº Pedido 1307 Rastreio NM774266897BR, agradecemos a preferência e adoraríamos receber sua avaliação, tendo qualquer dúvida estamos à disposição._x000a__x000a_Att_x000a_NTA Variedades"/>
  </r>
  <r>
    <s v="Pedido 1308"/>
    <s v="CódRastreio1250"/>
    <s v="LP00722402598062"/>
    <s v="MEI"/>
    <d v="2025-04-12T00:00:00"/>
    <s v="Transp 1"/>
    <s v="NM774273840BR"/>
    <x v="0"/>
    <s v="Brasil"/>
    <d v="2025-04-08T00:00:00"/>
    <s v="Entregue"/>
    <x v="0"/>
    <s v="-"/>
    <x v="0"/>
    <s v="Olá Nome, _x000a_Identificamos que o Item Máquina de cortar cabelo dragão foi entregue no dia 08/04/2025, referente ao pedido Nº Pedido 1308 Rastreio NM774273840BR, agradecemos a preferência e adoraríamos receber sua avaliação, tendo qualquer dúvida estamos à disposição._x000a__x000a_Att_x000a_NTA Variedades"/>
  </r>
  <r>
    <s v="Pedido 1309"/>
    <s v="CódRastreio1251"/>
    <s v="LP00722355523241"/>
    <s v="MEI"/>
    <d v="2025-04-08T00:00:00"/>
    <s v="Transp 1"/>
    <s v="NM774277325BR"/>
    <x v="0"/>
    <s v="Brasil"/>
    <d v="2025-04-14T00:00:00"/>
    <s v="Entregue"/>
    <x v="0"/>
    <s v="-"/>
    <x v="1"/>
    <s v="Olá Nome, _x000a_Identificamos que o Item Maçarico Culinário Portátil foi entregue no dia 14/04/2025, referente ao pedido Nº Pedido 1309 Rastreio NM774277325BR, agradecemos a preferência e adoraríamos receber sua avaliação, tendo qualquer dúvida estamos à disposição._x000a__x000a_Att_x000a_NTA Variedades"/>
  </r>
  <r>
    <s v="Pedido 1284"/>
    <s v="CódRastreio1226"/>
    <s v="LP00720512501703"/>
    <s v="MEI"/>
    <d v="2025-04-11T00:00:00"/>
    <s v="Transp 1"/>
    <s v="NM775227197BR"/>
    <x v="0"/>
    <s v="Brasil"/>
    <d v="2025-04-05T00:00:00"/>
    <s v="Entregue"/>
    <x v="0"/>
    <s v="-"/>
    <x v="0"/>
    <s v="Olá Nome, _x000a_Identificamos que o Item Bomba d'agua foi entregue no dia 05/04/2025, referente ao pedido Nº Pedido 1284 Rastreio NM775227197BR, agradecemos a preferência e adoraríamos receber sua avaliação, tendo qualquer dúvida estamos à disposição._x000a__x000a_Att_x000a_NTA Variedades"/>
  </r>
  <r>
    <s v="Pedido 1285"/>
    <s v="CódRastreio1227"/>
    <s v="LP00720513893877"/>
    <s v="MEI"/>
    <d v="2025-04-05T00:00:00"/>
    <s v="Transp 1"/>
    <s v="CNBR00064311605"/>
    <x v="0"/>
    <s v="Brasil"/>
    <d v="2025-04-04T00:00:00"/>
    <s v="Entregue"/>
    <x v="0"/>
    <s v="-"/>
    <x v="0"/>
    <s v="Olá Nome, _x000a_Identificamos que o Item Bomba d'agua foi entregue no dia 04/04/2025, referente ao pedido Nº Pedido 1285 Rastreio CNBR00064311605, agradecemos a preferência e adoraríamos receber sua avaliação, tendo qualquer dúvida estamos à disposição._x000a__x000a_Att_x000a_NTA Variedades"/>
  </r>
  <r>
    <s v="Pedido 1287"/>
    <s v="CódRastreio1229"/>
    <s v="LP00721409756880"/>
    <s v="MEI"/>
    <d v="2025-04-05T00:00:00"/>
    <s v="Transp 1"/>
    <s v="NM775237234BR"/>
    <x v="0"/>
    <s v="Brasil"/>
    <d v="2025-04-08T00:00:00"/>
    <s v="Entregue"/>
    <x v="0"/>
    <s v="-"/>
    <x v="1"/>
    <s v="Olá Nome, _x000a_Identificamos que o Item Bomba d'agua foi entregue no dia 08/04/2025, referente ao pedido Nº Pedido 1287 Rastreio NM775237234BR, agradecemos a preferência e adoraríamos receber sua avaliação, tendo qualquer dúvida estamos à disposição._x000a__x000a_Att_x000a_NTA Variedades"/>
  </r>
  <r>
    <s v="Pedido 1288"/>
    <s v="CódRastreio1230"/>
    <s v="LP00721450689384"/>
    <s v="MEI"/>
    <d v="2025-04-11T00:00:00"/>
    <s v="Transp 1"/>
    <s v="CNBR00064282599"/>
    <x v="0"/>
    <s v="Brasil"/>
    <d v="2025-04-05T00:00:00"/>
    <s v="Entregue"/>
    <x v="0"/>
    <s v="-"/>
    <x v="0"/>
    <s v="Olá Nome, _x000a_Identificamos que o Item Bomba d'agua foi entregue no dia 05/04/2025, referente ao pedido Nº Pedido 1288 Rastreio CNBR00064282599, agradecemos a preferência e adoraríamos receber sua avaliação, tendo qualquer dúvida estamos à disposição._x000a__x000a_Att_x000a_NTA Variedades"/>
  </r>
  <r>
    <s v="Pedido 1289"/>
    <s v="CódRastreio1231"/>
    <s v="LP00722359939814"/>
    <s v="MEI"/>
    <d v="2025-04-05T00:00:00"/>
    <s v="Transp 1"/>
    <s v="CNBR00064295456"/>
    <x v="0"/>
    <s v="Brasil"/>
    <d v="2025-04-02T00:00:00"/>
    <s v="Entregue"/>
    <x v="0"/>
    <s v="-"/>
    <x v="0"/>
    <s v="Olá Nome, _x000a_Identificamos que o Item Bomba d'agua foi entregue no dia 02/04/2025, referente ao pedido Nº Pedido 1289 Rastreio CNBR00064295456, agradecemos a preferência e adoraríamos receber sua avaliação, tendo qualquer dúvida estamos à disposição._x000a__x000a_Att_x000a_NTA Variedades"/>
  </r>
  <r>
    <s v="Pedido 1291"/>
    <s v="CódRastreio1233"/>
    <s v="LP00722305159309"/>
    <s v="MEI"/>
    <d v="2025-04-11T00:00:00"/>
    <s v="Transp 1"/>
    <s v="CNBR00064303647"/>
    <x v="0"/>
    <s v="Brasil"/>
    <d v="2025-04-07T00:00:00"/>
    <s v="Entregue"/>
    <x v="0"/>
    <s v="-"/>
    <x v="0"/>
    <s v="Olá Nome, _x000a_Identificamos que o Item Bomba d'agua foi entregue no dia 07/04/2025, referente ao pedido Nº Pedido 1291 Rastreio CNBR00064303647, agradecemos a preferência e adoraríamos receber sua avaliação, tendo qualquer dúvida estamos à disposição._x000a__x000a_Att_x000a_NTA Variedades"/>
  </r>
  <r>
    <s v="Pedido 1292"/>
    <s v="CódRastreio1234"/>
    <s v="LP00720539933225"/>
    <s v="MEI"/>
    <d v="2025-04-05T00:00:00"/>
    <s v="Transp 1"/>
    <s v="CNBR00064279916"/>
    <x v="0"/>
    <s v="Brasil"/>
    <d v="2025-04-08T00:00:00"/>
    <s v="Entregue"/>
    <x v="0"/>
    <s v="-"/>
    <x v="1"/>
    <s v="Olá Nome, _x000a_Identificamos que o Item Bomba d'agua foi entregue no dia 08/04/2025, referente ao pedido Nº Pedido 1292 Rastreio CNBR00064279916, agradecemos a preferência e adoraríamos receber sua avaliação, tendo qualquer dúvida estamos à disposição._x000a__x000a_Att_x000a_NTA Variedades"/>
  </r>
  <r>
    <s v="Pedido 1294"/>
    <s v="CódRastreio1236"/>
    <s v="LP00720595439218"/>
    <s v="MEI"/>
    <d v="2025-04-11T00:00:00"/>
    <s v="Transp 1"/>
    <s v="CNBR00064282968"/>
    <x v="0"/>
    <s v="Brasil"/>
    <d v="2025-04-07T00:00:00"/>
    <s v="Entregue"/>
    <x v="0"/>
    <s v="-"/>
    <x v="0"/>
    <s v="Olá Nome, _x000a_Identificamos que o Item Bomba d'agua foi entregue no dia 07/04/2025, referente ao pedido Nº Pedido 1294 Rastreio CNBR00064282968, agradecemos a preferência e adoraríamos receber sua avaliação, tendo qualquer dúvida estamos à disposição._x000a__x000a_Att_x000a_NTA Variedades"/>
  </r>
  <r>
    <s v="Pedido 1296"/>
    <s v="CódRastreio1238"/>
    <s v="LP00720556565202"/>
    <s v="MEI"/>
    <d v="2025-04-11T00:00:00"/>
    <s v="Transp 1"/>
    <s v="NM775230593BR"/>
    <x v="0"/>
    <s v="Brasil"/>
    <d v="2025-04-08T00:00:00"/>
    <s v="Entregue"/>
    <x v="0"/>
    <s v="-"/>
    <x v="0"/>
    <s v="Olá Nome, _x000a_Identificamos que o Item Bomba d'agua foi entregue no dia 08/04/2025, referente ao pedido Nº Pedido 1296 Rastreio NM775230593BR, agradecemos a preferência e adoraríamos receber sua avaliação, tendo qualquer dúvida estamos à disposição._x000a__x000a_Att_x000a_NTA Variedades"/>
  </r>
  <r>
    <s v="Pedido 1297"/>
    <s v="CódRastreio1239"/>
    <s v="LP00720528731726"/>
    <s v="MEI"/>
    <d v="2025-04-11T00:00:00"/>
    <s v="Transp 1"/>
    <s v="NM775321983BR"/>
    <x v="0"/>
    <s v="Brasil"/>
    <d v="2025-04-07T00:00:00"/>
    <s v="Entregue"/>
    <x v="0"/>
    <s v="-"/>
    <x v="0"/>
    <s v="Olá Nome, _x000a_Identificamos que o Item Bomba d'agua foi entregue no dia 07/04/2025, referente ao pedido Nº Pedido 1297 Rastreio NM775321983BR, agradecemos a preferência e adoraríamos receber sua avaliação, tendo qualquer dúvida estamos à disposição._x000a__x000a_Att_x000a_NTA Variedades"/>
  </r>
  <r>
    <s v="Pedido 1299"/>
    <s v="CódRastreio1241"/>
    <s v="LP00720282089197"/>
    <s v="BV"/>
    <d v="2025-04-11T00:00:00"/>
    <s v="Transp 1"/>
    <s v="NM774809355BR"/>
    <x v="0"/>
    <s v="Brasil"/>
    <d v="2025-04-03T00:00:00"/>
    <s v="Entregue"/>
    <x v="0"/>
    <s v="-"/>
    <x v="0"/>
    <s v="Olá Nome, _x000a_Identificamos que o Item Ventilador Umidificador Preto foi entregue no dia 03/04/2025, referente ao pedido Nº Pedido 1299 Rastreio NM774809355BR, agradecemos a preferência e adoraríamos receber sua avaliação, tendo qualquer dúvida estamos à disposição._x000a__x000a_Att_x000a_Tem tudo Shop"/>
  </r>
  <r>
    <s v="Pedido 1302"/>
    <s v="CódRastreio1244"/>
    <s v="LP00722101639329"/>
    <s v="BV"/>
    <d v="2025-04-12T00:00:00"/>
    <s v="Transp 1"/>
    <s v="NM774807408BR"/>
    <x v="0"/>
    <s v="Brasil"/>
    <d v="2025-04-15T00:00:00"/>
    <s v="Entregue"/>
    <x v="0"/>
    <s v="-"/>
    <x v="1"/>
    <s v="Olá Nome, _x000a_Identificamos que o Item Ventilador Umidificador Preto foi entregue no dia 15/04/2025, referente ao pedido Nº Pedido 1302 Rastreio NM774807408BR, agradecemos a preferência e adoraríamos receber sua avaliação, tendo qualquer dúvida estamos à disposição._x000a__x000a_Att_x000a_Tem tudo Shop"/>
  </r>
  <r>
    <s v="Pedido 1317"/>
    <s v="CódRastreio1259"/>
    <s v="LP00721637313567"/>
    <s v="GO"/>
    <d v="2025-04-12T00:00:00"/>
    <s v="Transp 1"/>
    <s v="NM774763565BR"/>
    <x v="0"/>
    <s v="Brasil"/>
    <d v="2025-04-07T00:00:00"/>
    <s v="Entregue"/>
    <x v="0"/>
    <s v="-"/>
    <x v="0"/>
    <s v="Olá Nome, _x000a_Identificamos que o Item Máquina de cortar cabelo dragão foi entregue no dia 07/04/2025, referente ao pedido Nº Pedido 1317 Rastreio NM774763565BR, agradecemos a preferência e adoraríamos receber sua avaliação, tendo qualquer dúvida estamos à disposição._x000a__x000a_Att_x000a_Sec Variedades"/>
  </r>
  <r>
    <s v="Pedido 1318"/>
    <s v="CódRastreio1260"/>
    <s v="LP00721641392764"/>
    <s v="GO"/>
    <d v="2025-04-12T00:00:00"/>
    <s v="Transp 1"/>
    <s v="NM774773430BR"/>
    <x v="0"/>
    <s v="Brasil"/>
    <d v="2025-04-03T00:00:00"/>
    <s v="Entregue"/>
    <x v="0"/>
    <s v="-"/>
    <x v="0"/>
    <s v="Olá Nome, _x000a_Identificamos que o Item Máquina de cortar cabelo dragão foi entregue no dia 03/04/2025, referente ao pedido Nº Pedido 1318 Rastreio NM774773430BR, agradecemos a preferência e adoraríamos receber sua avaliação, tendo qualquer dúvida estamos à disposição._x000a__x000a_Att_x000a_Sec Variedades"/>
  </r>
  <r>
    <s v="Pedido 1319"/>
    <s v="CódRastreio1261"/>
    <s v="LP00722546754002"/>
    <s v="GO"/>
    <d v="2025-04-23T00:00:00"/>
    <s v="Transp 1"/>
    <s v="NM774782635BR"/>
    <x v="0"/>
    <s v="Brasil"/>
    <d v="2025-05-13T00:00:00"/>
    <s v="Entregue"/>
    <x v="0"/>
    <s v="-"/>
    <x v="1"/>
    <s v="Olá Nome, _x000a_Identificamos que o Item Máquina de cortar cabelo dragão foi entregue no dia 13/05/2025, referente ao pedido Nº Pedido 1319 Rastreio NM774782635BR, agradecemos a preferência e adoraríamos receber sua avaliação, tendo qualquer dúvida estamos à disposição._x000a__x000a_Att_x000a_Sec Variedades"/>
  </r>
  <r>
    <s v="Pedido 1321"/>
    <s v="CódRastreio1263"/>
    <s v="LP00720764272415"/>
    <s v="GO"/>
    <d v="2025-04-12T00:00:00"/>
    <s v="Transp 1"/>
    <s v="NM774799825BR"/>
    <x v="0"/>
    <s v="Brasil"/>
    <d v="2025-04-07T00:00:00"/>
    <s v="Entregue"/>
    <x v="0"/>
    <s v="-"/>
    <x v="0"/>
    <s v="Olá Nome, _x000a_Identificamos que o Item Máquina de cortar cabelo dragão foi entregue no dia 07/04/2025, referente ao pedido Nº Pedido 1321 Rastreio NM774799825BR, agradecemos a preferência e adoraríamos receber sua avaliação, tendo qualquer dúvida estamos à disposição._x000a__x000a_Att_x000a_Sec Variedades"/>
  </r>
  <r>
    <s v="Pedido 1322"/>
    <s v="CódRastreio1264"/>
    <s v="LP00722539326279"/>
    <s v="GO"/>
    <d v="2025-04-23T00:00:00"/>
    <s v="Transp 1"/>
    <s v="NM774798578BR"/>
    <x v="0"/>
    <s v="Brasil"/>
    <d v="2025-04-24T00:00:00"/>
    <s v="Entregue"/>
    <x v="0"/>
    <s v="-"/>
    <x v="1"/>
    <s v="Olá Nome, _x000a_Identificamos que o Item Maçarico Culinário Portátil foi entregue no dia 24/04/2025, referente ao pedido Nº Pedido 1322 Rastreio NM774798578BR, agradecemos a preferência e adoraríamos receber sua avaliação, tendo qualquer dúvida estamos à disposição._x000a__x000a_Att_x000a_Sec Variedades"/>
  </r>
  <r>
    <s v="Pedido 1323"/>
    <s v="CódRastreio1265"/>
    <s v="LP00722512999076"/>
    <s v="GO"/>
    <d v="2025-04-08T00:00:00"/>
    <s v="Transp 1"/>
    <s v="NM774810424BR"/>
    <x v="0"/>
    <s v="Brasil"/>
    <d v="2025-04-07T00:00:00"/>
    <s v="Entregue"/>
    <x v="0"/>
    <s v="-"/>
    <x v="0"/>
    <s v="Olá Nome, _x000a_Identificamos que o Item Máquina de cortar cabelo dragão foi entregue no dia 07/04/2025, referente ao pedido Nº Pedido 1323 Rastreio NM774810424BR, agradecemos a preferência e adoraríamos receber sua avaliação, tendo qualquer dúvida estamos à disposição._x000a__x000a_Att_x000a_Sec Variedades"/>
  </r>
  <r>
    <s v="Pedido 1324"/>
    <s v="CódRastreio1266"/>
    <s v="LP00720760078165"/>
    <s v="GO"/>
    <d v="2025-04-08T00:00:00"/>
    <s v="Transp 1"/>
    <s v="NM775722054BR"/>
    <x v="0"/>
    <s v="Brasil"/>
    <d v="2025-04-03T00:00:00"/>
    <s v="Entregue"/>
    <x v="0"/>
    <s v="-"/>
    <x v="0"/>
    <s v="Olá Nome, _x000a_Identificamos que o Item Ventilador Umidificador Preto foi entregue no dia 03/04/2025, referente ao pedido Nº Pedido 1324 Rastreio NM775722054BR, agradecemos a preferência e adoraríamos receber sua avaliação, tendo qualquer dúvida estamos à disposição._x000a__x000a_Att_x000a_Sec Variedades"/>
  </r>
  <r>
    <s v="Pedido 1325"/>
    <s v="CódRastreio1267"/>
    <s v="LP00722561484057"/>
    <s v="GO"/>
    <d v="2025-04-12T00:00:00"/>
    <s v="Transp 1"/>
    <s v="NM774817997BR"/>
    <x v="0"/>
    <s v="Brasil"/>
    <d v="2025-04-08T00:00:00"/>
    <s v="Entregue"/>
    <x v="0"/>
    <s v="-"/>
    <x v="0"/>
    <s v="Olá Nome, _x000a_Identificamos que o Item Máquina de cortar cabelo dragão foi entregue no dia 08/04/2025, referente ao pedido Nº Pedido 1325 Rastreio NM774817997BR, agradecemos a preferência e adoraríamos receber sua avaliação, tendo qualquer dúvida estamos à disposição._x000a__x000a_Att_x000a_Sec Variedades"/>
  </r>
  <r>
    <s v="Pedido 1326"/>
    <s v="CódRastreio1268"/>
    <s v="LP00720772246501"/>
    <s v="GO"/>
    <d v="2025-04-08T00:00:00"/>
    <s v="Transp 1"/>
    <s v="NM774824437BR"/>
    <x v="0"/>
    <s v="Brasil"/>
    <d v="2025-04-16T00:00:00"/>
    <s v="Entregue"/>
    <x v="0"/>
    <s v="-"/>
    <x v="1"/>
    <s v="Olá Nome, _x000a_Identificamos que o Item Maçarico Culinário Portátil foi entregue no dia 16/04/2025, referente ao pedido Nº Pedido 1326 Rastreio NM774824437BR, agradecemos a preferência e adoraríamos receber sua avaliação, tendo qualquer dúvida estamos à disposição._x000a__x000a_Att_x000a_Sec Variedades"/>
  </r>
  <r>
    <s v="Pedido 1328"/>
    <s v="CódRastreio1270"/>
    <s v="LP00722528868836"/>
    <s v="GO"/>
    <d v="2025-04-08T00:00:00"/>
    <s v="Transp 1"/>
    <s v="NM774831044BR"/>
    <x v="0"/>
    <s v="Brasil"/>
    <d v="2025-04-07T00:00:00"/>
    <s v="Entregue"/>
    <x v="0"/>
    <s v="-"/>
    <x v="0"/>
    <s v="Olá Nome, _x000a_Identificamos que o Item Máquina de cortar cabelo dragão foi entregue no dia 07/04/2025, referente ao pedido Nº Pedido 1328 Rastreio NM774831044BR, agradecemos a preferência e adoraríamos receber sua avaliação, tendo qualquer dúvida estamos à disposição._x000a__x000a_Att_x000a_Sec Variedades"/>
  </r>
  <r>
    <s v="Pedido 1330"/>
    <s v="CódRastreio1272"/>
    <s v="LP00720805360085"/>
    <s v="GO"/>
    <d v="2025-04-12T00:00:00"/>
    <s v="Transp 1"/>
    <s v="NM774844445BR"/>
    <x v="0"/>
    <s v="Brasil"/>
    <d v="2025-04-16T00:00:00"/>
    <s v="Entregue"/>
    <x v="0"/>
    <s v="-"/>
    <x v="1"/>
    <s v="Olá Nome, _x000a_Identificamos que o Item Maçarico Culinário Portátil foi entregue no dia 16/04/2025, referente ao pedido Nº Pedido 1330 Rastreio NM774844445BR, agradecemos a preferência e adoraríamos receber sua avaliação, tendo qualquer dúvida estamos à disposição._x000a__x000a_Att_x000a_Sec Variedades"/>
  </r>
  <r>
    <s v="Pedido 1331"/>
    <s v="CódRastreio1273"/>
    <s v="LP00720807526293"/>
    <s v="GO"/>
    <d v="2025-04-12T00:00:00"/>
    <s v="Transp 1"/>
    <s v="NM774850318BR"/>
    <x v="0"/>
    <s v="Brasil"/>
    <d v="2025-04-16T00:00:00"/>
    <s v="Entregue"/>
    <x v="0"/>
    <s v="-"/>
    <x v="1"/>
    <s v="Olá Nome, _x000a_Identificamos que o Item Máquina de cortar cabelo dragão foi entregue no dia 16/04/2025, referente ao pedido Nº Pedido 1331 Rastreio NM774850318BR, agradecemos a preferência e adoraríamos receber sua avaliação, tendo qualquer dúvida estamos à disposição._x000a__x000a_Att_x000a_Sec Variedades"/>
  </r>
  <r>
    <s v="Pedido 1332"/>
    <s v="CódRastreio1274"/>
    <s v="LP00720753137281"/>
    <s v="GO"/>
    <d v="2025-04-12T00:00:00"/>
    <s v="Transp 1"/>
    <s v="NM774849093BR"/>
    <x v="0"/>
    <s v="Brasil"/>
    <d v="2025-04-16T00:00:00"/>
    <s v="Entregue"/>
    <x v="0"/>
    <s v="Cliente informado"/>
    <x v="1"/>
    <s v="Olá Nome, _x000a_Identificamos que o Item Máquina de cortar cabelo dragão foi entregue no dia 16/04/2025, referente ao pedido Nº Pedido 1332 Rastreio NM774849093BR, agradecemos a preferência e adoraríamos receber sua avaliação, tendo qualquer dúvida estamos à disposição._x000a__x000a_Att_x000a_Sec Variedades"/>
  </r>
  <r>
    <s v="Pedido 1333"/>
    <s v="CódRastreio1275"/>
    <s v="LP00720786070096"/>
    <s v="GO"/>
    <d v="2025-04-12T00:00:00"/>
    <s v="Transp 1"/>
    <s v="NM774800311BR"/>
    <x v="0"/>
    <s v="Brasil"/>
    <d v="2025-04-08T00:00:00"/>
    <s v="Entregue"/>
    <x v="0"/>
    <s v="-"/>
    <x v="0"/>
    <s v="Olá Nome, _x000a_Identificamos que o Item Mini Liquidificador foi entregue no dia 08/04/2025, referente ao pedido Nº Pedido 1333 Rastreio NM774800311BR, agradecemos a preferência e adoraríamos receber sua avaliação, tendo qualquer dúvida estamos à disposição._x000a__x000a_Att_x000a_Sec Variedades"/>
  </r>
  <r>
    <s v="Pedido 1334"/>
    <s v="CódRastreio1276"/>
    <s v="LP00720814036963"/>
    <s v="GO"/>
    <d v="2025-04-23T00:00:00"/>
    <s v="Transp 1"/>
    <s v="NM774866026BR"/>
    <x v="0"/>
    <s v="Brasil"/>
    <d v="2025-05-13T00:00:00"/>
    <s v="Entregue"/>
    <x v="0"/>
    <s v="-"/>
    <x v="1"/>
    <s v="Olá Nome, _x000a_Identificamos que o Item Máquina de cortar cabelo dragão foi entregue no dia 13/05/2025, referente ao pedido Nº Pedido 1334 Rastreio NM774866026BR, agradecemos a preferência e adoraríamos receber sua avaliação, tendo qualquer dúvida estamos à disposição._x000a__x000a_Att_x000a_Sec Variedades"/>
  </r>
  <r>
    <s v="Pedido 1336"/>
    <s v="CódRastreio1278"/>
    <s v="LP00721636653016"/>
    <s v="GO"/>
    <d v="2025-04-12T00:00:00"/>
    <s v="Transp 1"/>
    <s v="NM774867548BR"/>
    <x v="0"/>
    <s v="Brasil"/>
    <d v="2025-04-11T00:00:00"/>
    <s v="Entregue"/>
    <x v="0"/>
    <s v="Cliente informado"/>
    <x v="0"/>
    <s v="Olá Nome, _x000a_Identificamos que o Item Máquina de cortar cabelo dragão foi entregue no dia 11/04/2025, referente ao pedido Nº Pedido 1336 Rastreio NM774867548BR, agradecemos a preferência e adoraríamos receber sua avaliação, tendo qualquer dúvida estamos à disposição._x000a__x000a_Att_x000a_Sec Variedades"/>
  </r>
  <r>
    <s v="Pedido 1337"/>
    <s v="CódRastreio1279"/>
    <s v="LP00722547198832"/>
    <s v="GO"/>
    <d v="2025-04-12T00:00:00"/>
    <s v="Transp 1"/>
    <s v="NM774872684BR"/>
    <x v="0"/>
    <s v="Brasil"/>
    <d v="2025-04-08T00:00:00"/>
    <s v="Entregue"/>
    <x v="0"/>
    <s v="-"/>
    <x v="0"/>
    <s v="Olá Nome, _x000a_Identificamos que o Item Máquina de cortar cabelo dragão foi entregue no dia 08/04/2025, referente ao pedido Nº Pedido 1337 Rastreio NM774872684BR, agradecemos a preferência e adoraríamos receber sua avaliação, tendo qualquer dúvida estamos à disposição._x000a__x000a_Att_x000a_Sec Variedades"/>
  </r>
  <r>
    <s v="Pedido 1340"/>
    <s v="CódRastreio1282"/>
    <s v="LP00722597550389"/>
    <s v="GO"/>
    <d v="2025-04-08T00:00:00"/>
    <s v="Transp 1"/>
    <s v="NM774965465BR"/>
    <x v="0"/>
    <s v="Brasil"/>
    <d v="2025-04-04T00:00:00"/>
    <s v="Entregue"/>
    <x v="0"/>
    <s v="-"/>
    <x v="0"/>
    <s v="Olá Nome, _x000a_Identificamos que o Item Ventilador Preto foi entregue no dia 04/04/2025, referente ao pedido Nº Pedido 1340 Rastreio NM774965465BR, agradecemos a preferência e adoraríamos receber sua avaliação, tendo qualquer dúvida estamos à disposição._x000a__x000a_Att_x000a_Sec Variedades"/>
  </r>
  <r>
    <s v="Pedido 1320"/>
    <s v="CódRastreio1262"/>
    <s v="LP00721202195875"/>
    <s v="GO"/>
    <d v="2025-04-08T00:00:00"/>
    <s v="Transp 1"/>
    <s v="NM776409559BR"/>
    <x v="0"/>
    <s v="Brasil"/>
    <d v="2025-04-03T00:00:00"/>
    <s v="Entregue"/>
    <x v="0"/>
    <s v="-"/>
    <x v="0"/>
    <s v="Olá Nome, _x000a_Identificamos que o Item Lampada Led foi entregue no dia 03/04/2025, referente ao pedido Nº Pedido 1320 Rastreio NM776409559BR, agradecemos a preferência e adoraríamos receber sua avaliação, tendo qualquer dúvida estamos à disposição._x000a__x000a_Att_x000a_Sec Variedades"/>
  </r>
  <r>
    <s v="Pedido 1327"/>
    <s v="CódRastreio1269"/>
    <s v="LP00722102007088"/>
    <s v="GO"/>
    <d v="2025-04-08T00:00:00"/>
    <s v="Transp 1"/>
    <s v="NM776421890BR"/>
    <x v="0"/>
    <s v="Brasil"/>
    <d v="2025-04-03T00:00:00"/>
    <s v="Entregue"/>
    <x v="0"/>
    <s v="-"/>
    <x v="0"/>
    <s v="Olá Nome, _x000a_Identificamos que o Item Máquina de cortar cabelo dragão foi entregue no dia 03/04/2025, referente ao pedido Nº Pedido 1327 Rastreio NM776421890BR, agradecemos a preferência e adoraríamos receber sua avaliação, tendo qualquer dúvida estamos à disposição._x000a__x000a_Att_x000a_Sec Variedades"/>
  </r>
  <r>
    <s v="Pedido 1329"/>
    <s v="CódRastreio1271"/>
    <s v="LP00723008077811"/>
    <s v="GO"/>
    <d v="2025-04-23T00:00:00"/>
    <s v="Transp 1"/>
    <s v="NM776454898BR"/>
    <x v="0"/>
    <s v="Brasil"/>
    <d v="2025-04-11T00:00:00"/>
    <s v="Entregue"/>
    <x v="0"/>
    <s v="Cliente informado"/>
    <x v="0"/>
    <s v="Olá Nome, _x000a_Identificamos que o Item Máquina de cortar cabelo dragão foi entregue no dia 11/04/2025, referente ao pedido Nº Pedido 1329 Rastreio NM776454898BR, agradecemos a preferência e adoraríamos receber sua avaliação, tendo qualquer dúvida estamos à disposição._x000a__x000a_Att_x000a_Sec Variedades"/>
  </r>
  <r>
    <s v="Pedido 1335"/>
    <s v="CódRastreio1277"/>
    <s v="LP00723010608918"/>
    <s v="GO"/>
    <d v="2025-04-12T00:00:00"/>
    <s v="Transp 1"/>
    <s v="NM776459997BR"/>
    <x v="0"/>
    <s v="Brasil"/>
    <d v="2025-04-15T00:00:00"/>
    <s v="Entregue"/>
    <x v="0"/>
    <s v="-"/>
    <x v="1"/>
    <s v="Olá Nome, _x000a_Identificamos que o Item Máquina de cortar cabelo dragão foi entregue no dia 15/04/2025, referente ao pedido Nº Pedido 1335 Rastreio NM776459997BR, agradecemos a preferência e adoraríamos receber sua avaliação, tendo qualquer dúvida estamos à disposição._x000a__x000a_Att_x000a_Sec Variedades"/>
  </r>
  <r>
    <s v="Pedido 1338"/>
    <s v="CódRastreio1280"/>
    <s v="LP00722109872668"/>
    <s v="GO"/>
    <d v="2025-04-12T00:00:00"/>
    <s v="Transp 1"/>
    <s v="NM776471445BR"/>
    <x v="0"/>
    <s v="Brasil"/>
    <d v="2025-04-04T00:00:00"/>
    <s v="Entregue"/>
    <x v="0"/>
    <s v="-"/>
    <x v="0"/>
    <s v="Olá Nome, _x000a_Identificamos que o Item Máquina de cortar cabelo dragão foi entregue no dia 04/04/2025, referente ao pedido Nº Pedido 1338 Rastreio NM776471445BR, agradecemos a preferência e adoraríamos receber sua avaliação, tendo qualquer dúvida estamos à disposição._x000a__x000a_Att_x000a_Sec Variedades"/>
  </r>
  <r>
    <s v="Pedido 1339"/>
    <s v="CódRastreio1281"/>
    <s v="LP00722107983627"/>
    <s v="GO"/>
    <d v="2025-04-12T00:00:00"/>
    <s v="Transp 1"/>
    <s v="NM776478418BR"/>
    <x v="0"/>
    <s v="Brasil"/>
    <d v="2025-04-10T00:00:00"/>
    <s v="Entregue"/>
    <x v="0"/>
    <s v="-"/>
    <x v="0"/>
    <s v="Olá Nome, _x000a_Identificamos que o Item Ventilador Preto foi entregue no dia 10/04/2025, referente ao pedido Nº Pedido 1339 Rastreio NM776478418BR, agradecemos a preferência e adoraríamos receber sua avaliação, tendo qualquer dúvida estamos à disposição._x000a__x000a_Att_x000a_Sec Variedades"/>
  </r>
  <r>
    <s v="Pedido 1341"/>
    <s v="CódRastreio1283"/>
    <s v="LP00722991151430"/>
    <s v="MEI"/>
    <d v="2025-04-11T00:00:00"/>
    <s v="Transp 1"/>
    <s v="NM776491445BR"/>
    <x v="0"/>
    <s v="Brasil"/>
    <d v="2025-04-01T00:00:00"/>
    <s v="Entregue"/>
    <x v="0"/>
    <s v="-"/>
    <x v="0"/>
    <s v="Olá Nome, _x000a_Identificamos que o Item Ventilador Azul foi entregue no dia 01/04/2025, referente ao pedido Nº Pedido 1341 Rastreio NM776491445BR, agradecemos a preferência e adoraríamos receber sua avaliação, tendo qualquer dúvida estamos à disposição._x000a__x000a_Att_x000a_NTA Variedades"/>
  </r>
  <r>
    <s v="Pedido 1343"/>
    <s v="CódRastreio1284"/>
    <s v="LP00721272359399"/>
    <s v="MEI"/>
    <d v="2025-04-17T00:00:00"/>
    <s v="Transp 1"/>
    <s v="NM776619637BR"/>
    <x v="0"/>
    <s v="Brasil"/>
    <d v="2025-04-09T00:00:00"/>
    <s v="Entregue"/>
    <x v="0"/>
    <s v="-"/>
    <x v="0"/>
    <s v="Olá Nome, _x000a_Identificamos que o Item Lampada Led foi entregue no dia 09/04/2025, referente ao pedido Nº Pedido 1343 Rastreio NM776619637BR, agradecemos a preferência e adoraríamos receber sua avaliação, tendo qualquer dúvida estamos à disposição._x000a__x000a_Att_x000a_NTA Variedades"/>
  </r>
  <r>
    <s v="Pedido 1344"/>
    <s v="CódRastreio1285"/>
    <s v="LP00722144415830"/>
    <s v="MEI"/>
    <d v="2025-04-11T00:00:00"/>
    <s v="Transp 1"/>
    <s v="NM776632426BR"/>
    <x v="0"/>
    <s v="Brasil"/>
    <d v="2025-04-03T00:00:00"/>
    <s v="Entregue"/>
    <x v="0"/>
    <s v="-"/>
    <x v="0"/>
    <s v="Olá Nome, _x000a_Identificamos que o Item Brinquedo Bola Giratória voadora foi entregue no dia 03/04/2025, referente ao pedido Nº Pedido 1344 Rastreio NM776632426BR, agradecemos a preferência e adoraríamos receber sua avaliação, tendo qualquer dúvida estamos à disposição._x000a__x000a_Att_x000a_NTA Variedades"/>
  </r>
  <r>
    <s v="Pedido 1345"/>
    <s v="CódRastreio1286"/>
    <s v="LP00722110766929"/>
    <s v="MEI"/>
    <d v="2025-04-17T00:00:00"/>
    <s v="Transp 1"/>
    <s v="NM776649320BR"/>
    <x v="0"/>
    <s v="Brasil"/>
    <d v="2025-04-11T00:00:00"/>
    <s v="Entregue"/>
    <x v="0"/>
    <s v="-"/>
    <x v="0"/>
    <s v="Olá Nome, _x000a_Identificamos que o Item Ventilador Rosa foi entregue no dia 11/04/2025, referente ao pedido Nº Pedido 1345 Rastreio NM776649320BR, agradecemos a preferência e adoraríamos receber sua avaliação, tendo qualquer dúvida estamos à disposição._x000a__x000a_Att_x000a_NTA Variedades"/>
  </r>
  <r>
    <s v="Pedido 1346"/>
    <s v="CódRastreio1287"/>
    <s v="LP00721286326220"/>
    <s v="MEI"/>
    <d v="2025-04-11T00:00:00"/>
    <s v="Transp 1"/>
    <s v="NM776694598BR"/>
    <x v="0"/>
    <s v="Brasil"/>
    <d v="2025-04-04T00:00:00"/>
    <s v="Entregue"/>
    <x v="0"/>
    <s v="-"/>
    <x v="0"/>
    <s v="Olá Nome, _x000a_Identificamos que o Item Ventilador Azul foi entregue no dia 04/04/2025, referente ao pedido Nº Pedido 1346 Rastreio NM776694598BR, agradecemos a preferência e adoraríamos receber sua avaliação, tendo qualquer dúvida estamos à disposição._x000a__x000a_Att_x000a_NTA Variedades"/>
  </r>
  <r>
    <s v="Pedido 1347"/>
    <s v="CódRastreio1288"/>
    <s v="LP00721259428512"/>
    <s v="MEI"/>
    <d v="2025-04-29T00:00:00"/>
    <s v="Transp 1"/>
    <s v="NM776654639BR"/>
    <x v="0"/>
    <s v="Brasil"/>
    <d v="2025-04-08T00:00:00"/>
    <s v="Entregue"/>
    <x v="0"/>
    <s v="-"/>
    <x v="0"/>
    <s v="Olá Nome, _x000a_Identificamos que o Item Lampada Led foi entregue no dia 08/04/2025, referente ao pedido Nº Pedido 1347 Rastreio NM776654639BR, agradecemos a preferência e adoraríamos receber sua avaliação, tendo qualquer dúvida estamos à disposição._x000a__x000a_Att_x000a_NTA Variedades"/>
  </r>
  <r>
    <s v="Pedido 1348"/>
    <s v="CódRastreio1289"/>
    <s v="LP00723002329552"/>
    <s v="MEI"/>
    <d v="2025-04-29T00:00:00"/>
    <s v="Transp 1"/>
    <s v="NM776680829BR"/>
    <x v="0"/>
    <s v="Brasil"/>
    <d v="2025-04-09T00:00:00"/>
    <s v="Entregue"/>
    <x v="0"/>
    <s v="-"/>
    <x v="0"/>
    <s v="Olá Nome, _x000a_Identificamos que o Item Máquina de cortar cabelo dragão foi entregue no dia 09/04/2025, referente ao pedido Nº Pedido 1348 Rastreio NM776680829BR, agradecemos a preferência e adoraríamos receber sua avaliação, tendo qualquer dúvida estamos à disposição._x000a__x000a_Att_x000a_NTA Variedades"/>
  </r>
  <r>
    <s v="Pedido 1349"/>
    <s v="CódRastreio1290"/>
    <s v="LP00722160020017"/>
    <s v="MEI"/>
    <d v="2025-04-12T00:00:00"/>
    <s v="Transp 1"/>
    <s v="NM776678520BR"/>
    <x v="0"/>
    <s v="Brasil"/>
    <d v="2025-04-01T00:00:00"/>
    <s v="Entregue"/>
    <x v="0"/>
    <s v="-"/>
    <x v="0"/>
    <s v="Olá Nome, _x000a_Identificamos que o Item Ventilador Azul foi entregue no dia 01/04/2025, referente ao pedido Nº Pedido 1349 Rastreio NM776678520BR, agradecemos a preferência e adoraríamos receber sua avaliação, tendo qualquer dúvida estamos à disposição._x000a__x000a_Att_x000a_NTA Variedades"/>
  </r>
  <r>
    <s v="Pedido 1350"/>
    <s v="CódRastreio1291"/>
    <s v="LP00723047112401"/>
    <s v="MEI"/>
    <d v="2025-04-12T00:00:00"/>
    <s v="Transp 1"/>
    <s v="NM776692827BR"/>
    <x v="0"/>
    <s v="Brasil"/>
    <d v="2025-04-10T00:00:00"/>
    <s v="Entregue"/>
    <x v="0"/>
    <s v="-"/>
    <x v="0"/>
    <s v="Olá Nome, _x000a_Identificamos que o Item Ventilador de teto foi entregue no dia 10/04/2025, referente ao pedido Nº Pedido 1350 Rastreio NM776692827BR, agradecemos a preferência e adoraríamos receber sua avaliação, tendo qualquer dúvida estamos à disposição._x000a__x000a_Att_x000a_NTA Variedades"/>
  </r>
  <r>
    <s v="Pedido 1351"/>
    <s v="CódRastreio1292"/>
    <s v="LP00721532506435"/>
    <s v="MEI"/>
    <d v="2025-04-29T00:00:00"/>
    <s v="Transp 1"/>
    <s v="NM777691955BR"/>
    <x v="0"/>
    <s v="Brasil"/>
    <d v="2025-04-25T00:00:00"/>
    <s v="Entregue"/>
    <x v="0"/>
    <s v="-"/>
    <x v="0"/>
    <s v="Olá Nome, _x000a_Identificamos que o Item Máquina de cortar cabelo dragão foi entregue no dia 25/04/2025, referente ao pedido Nº Pedido 1351 Rastreio NM777691955BR, agradecemos a preferência e adoraríamos receber sua avaliação, tendo qualquer dúvida estamos à disposição._x000a__x000a_Att_x000a_NTA Variedades"/>
  </r>
  <r>
    <s v="Pedido 1353"/>
    <s v="CódRastreio1294"/>
    <s v="LP00723315828734"/>
    <s v="MEI"/>
    <d v="2025-04-30T00:00:00"/>
    <s v="Transp 1"/>
    <s v="NM777718066BR"/>
    <x v="0"/>
    <s v="Brasil"/>
    <d v="2025-05-20T00:00:00"/>
    <s v="Entregue"/>
    <x v="0"/>
    <s v="-"/>
    <x v="1"/>
    <s v="Olá Nome, _x000a_Identificamos que o Item Maçarico Culinário Portátil foi entregue no dia 20/05/2025, referente ao pedido Nº Pedido 1353 Rastreio NM777718066BR, agradecemos a preferência e adoraríamos receber sua avaliação, tendo qualquer dúvida estamos à disposição._x000a__x000a_Att_x000a_NTA Variedades"/>
  </r>
  <r>
    <s v="Pedido 1354"/>
    <s v="CódRastreio1295"/>
    <s v="LP00722411997223"/>
    <s v="MEI"/>
    <d v="2025-04-30T00:00:00"/>
    <s v="Transp 1"/>
    <s v="NM777724163BR"/>
    <x v="0"/>
    <s v="Brasil"/>
    <d v="2025-04-15T00:00:00"/>
    <s v="Entregue"/>
    <x v="0"/>
    <s v="Cliente informado"/>
    <x v="0"/>
    <s v="Olá Nome, _x000a_Identificamos que o Item Ventilador Azul foi entregue no dia 15/04/2025, referente ao pedido Nº Pedido 1354 Rastreio NM777724163BR, agradecemos a preferência e adoraríamos receber sua avaliação, tendo qualquer dúvida estamos à disposição._x000a__x000a_Att_x000a_NTA Variedades"/>
  </r>
  <r>
    <s v="Pedido 1352"/>
    <s v="CódRastreio1293"/>
    <s v="LP00721471607509"/>
    <s v="MEI"/>
    <d v="2025-04-23T00:00:00"/>
    <s v="Transp 1"/>
    <s v="NM778668763BR"/>
    <x v="0"/>
    <s v="Brasil"/>
    <d v="2025-04-09T00:00:00"/>
    <s v="Entregue"/>
    <x v="0"/>
    <s v="-"/>
    <x v="0"/>
    <s v="Olá Nome, _x000a_Identificamos que o Item Ventilador Umidificador Preto foi entregue no dia 09/04/2025, referente ao pedido Nº Pedido 1352 Rastreio NM778668763BR, agradecemos a preferência e adoraríamos receber sua avaliação, tendo qualquer dúvida estamos à disposição._x000a__x000a_Att_x000a_NTA Variedades"/>
  </r>
  <r>
    <s v="Pedido 1355"/>
    <s v="CódRastreio1296"/>
    <s v="LP00723551730668"/>
    <s v="MEI"/>
    <d v="2025-04-23T00:00:00"/>
    <s v="Transp 1"/>
    <s v="NM778898276BR"/>
    <x v="0"/>
    <s v="Brasil"/>
    <d v="2025-04-17T00:00:00"/>
    <s v="Entregue"/>
    <x v="0"/>
    <s v="-"/>
    <x v="0"/>
    <s v="Olá Nome, _x000a_Identificamos que o Item Maçarico Culinário Portátil foi entregue no dia 17/04/2025, referente ao pedido Nº Pedido 1355 Rastreio NM778898276BR, agradecemos a preferência e adoraríamos receber sua avaliação, tendo qualquer dúvida estamos à disposição._x000a__x000a_Att_x000a_NTA Variedades"/>
  </r>
  <r>
    <s v="Pedido 1358"/>
    <s v="CódRastreio1299"/>
    <s v="LP00721974185625"/>
    <s v="MEI"/>
    <d v="2025-04-17T00:00:00"/>
    <s v="Transp 1"/>
    <s v="NM779796905BR"/>
    <x v="0"/>
    <s v="Brasil"/>
    <d v="2025-04-09T00:00:00"/>
    <s v="Entregue"/>
    <x v="0"/>
    <s v="-"/>
    <x v="0"/>
    <s v="Olá Nome, _x000a_Identificamos que o Item Ventilador Preto foi entregue no dia 09/04/2025, referente ao pedido Nº Pedido 1358 Rastreio NM779796905BR, agradecemos a preferência e adoraríamos receber sua avaliação, tendo qualquer dúvida estamos à disposição._x000a__x000a_Att_x000a_NTA Variedades"/>
  </r>
  <r>
    <s v="Pedido 1359"/>
    <s v="CódRastreio1300"/>
    <s v="LP00722043094349"/>
    <s v="MEI"/>
    <d v="2025-04-17T00:00:00"/>
    <s v="Transp 1"/>
    <s v="NM779800463BR"/>
    <x v="0"/>
    <s v="Brasil"/>
    <d v="2025-04-07T00:00:00"/>
    <s v="Entregue"/>
    <x v="0"/>
    <s v="-"/>
    <x v="0"/>
    <s v="Olá Nome, _x000a_Identificamos que o Item Fone de ouvido XT60 foi entregue no dia 07/04/2025, referente ao pedido Nº Pedido 1359 Rastreio NM779800463BR, agradecemos a preferência e adoraríamos receber sua avaliação, tendo qualquer dúvida estamos à disposição._x000a__x000a_Att_x000a_NTA Variedades"/>
  </r>
  <r>
    <s v="Pedido 1360"/>
    <s v="CódRastreio1301"/>
    <s v="LP00723829363264"/>
    <s v="MEI"/>
    <d v="2025-04-25T00:00:00"/>
    <s v="Transp 1"/>
    <s v="NM779813232BR"/>
    <x v="0"/>
    <s v="Brasil"/>
    <d v="2025-04-10T00:00:00"/>
    <s v="Entregue"/>
    <x v="0"/>
    <s v="-"/>
    <x v="0"/>
    <s v="Olá Nome, _x000a_Identificamos que o Item Ventilador Rosa foi entregue no dia 10/04/2025, referente ao pedido Nº Pedido 1360 Rastreio NM779813232BR, agradecemos a preferência e adoraríamos receber sua avaliação, tendo qualquer dúvida estamos à disposição._x000a__x000a_Att_x000a_NTA Variedades"/>
  </r>
  <r>
    <s v="Pedido 1356"/>
    <s v="CódRastreio1297"/>
    <s v="LP00723767232457"/>
    <s v="MEI"/>
    <d v="2025-04-23T00:00:00"/>
    <s v="Transp 1"/>
    <s v="NM780668223BR"/>
    <x v="0"/>
    <s v="Brasil"/>
    <d v="2025-04-11T00:00:00"/>
    <s v="Entregue"/>
    <x v="0"/>
    <s v="-"/>
    <x v="0"/>
    <s v="Olá Nome, _x000a_Identificamos que o Item Ventilador Umidificador Preto foi entregue no dia 11/04/2025, referente ao pedido Nº Pedido 1356 Rastreio NM780668223BR, agradecemos a preferência e adoraríamos receber sua avaliação, tendo qualquer dúvida estamos à disposição._x000a__x000a_Att_x000a_NTA Variedades"/>
  </r>
  <r>
    <s v="Pedido 1357"/>
    <s v="CódRastreio1298"/>
    <s v="LP00723746875616"/>
    <s v="MEI"/>
    <d v="2025-05-01T00:00:00"/>
    <s v="Transp 1"/>
    <s v="NM780672660BR"/>
    <x v="0"/>
    <s v="Brasil"/>
    <d v="2025-04-14T00:00:00"/>
    <s v="Entregue"/>
    <x v="0"/>
    <s v="-"/>
    <x v="0"/>
    <s v="Olá Nome, _x000a_Identificamos que o Item Ventilador Umidificador Preto foi entregue no dia 14/04/2025, referente ao pedido Nº Pedido 1357 Rastreio NM780672660BR, agradecemos a preferência e adoraríamos receber sua avaliação, tendo qualquer dúvida estamos à disposição._x000a__x000a_Att_x000a_NTA Variedades"/>
  </r>
  <r>
    <s v="Pedido 1361"/>
    <s v="CódRastreio1302"/>
    <s v="LP00722010106115"/>
    <s v="MEI"/>
    <d v="2025-04-25T00:00:00"/>
    <s v="Transp 1"/>
    <s v="NM780684742BR"/>
    <x v="0"/>
    <s v="Brasil"/>
    <d v="2025-04-08T00:00:00"/>
    <s v="Entregue"/>
    <x v="0"/>
    <s v="-"/>
    <x v="0"/>
    <s v="Olá Nome, _x000a_Identificamos que o Item Ventilador Umidificador Preto foi entregue no dia 08/04/2025, referente ao pedido Nº Pedido 1361 Rastreio NM780684742BR, agradecemos a preferência e adoraríamos receber sua avaliação, tendo qualquer dúvida estamos à disposição._x000a__x000a_Att_x000a_NTA Variedades"/>
  </r>
  <r>
    <s v="Pedido 1362"/>
    <s v="CódRastreio1303"/>
    <s v="AM137364148BR"/>
    <s v="MEI"/>
    <d v="2025-04-18T00:00:00"/>
    <s v="Transp 1"/>
    <s v="-"/>
    <x v="1"/>
    <s v="Brasil"/>
    <d v="2025-04-09T00:00:00"/>
    <s v="Entregue"/>
    <x v="0"/>
    <s v="-"/>
    <x v="0"/>
    <s v="Olá Nome, _x000a_Identificamos que o Item Garrafa Termica foi entregue no dia 09/04/2025, referente ao pedido Nº Pedido 1362 Rastreio Pedido 1362, agradecemos a preferência e adoraríamos receber sua avaliação, tendo qualquer dúvida estamos à disposição._x000a__x000a_Att_x000a_NTA Variedades"/>
  </r>
  <r>
    <s v="Pedido 1363"/>
    <s v="CódRastreio1304"/>
    <n v="3621049699843"/>
    <s v="MEI"/>
    <d v="2025-04-18T00:00:00"/>
    <s v="Transp 1"/>
    <s v="-"/>
    <x v="1"/>
    <s v="Brasil"/>
    <d v="2025-04-16T00:00:00"/>
    <s v="Entregue"/>
    <x v="0"/>
    <s v="-"/>
    <x v="0"/>
    <s v="Olá Nome, _x000a_Identificamos que o Item Garrafa Termica foi entregue no dia 16/04/2025, referente ao pedido Nº Pedido 1363 Rastreio Pedido 1363, agradecemos a preferência e adoraríamos receber sua avaliação, tendo qualquer dúvida estamos à disposição._x000a__x000a_Att_x000a_NTA Variedades"/>
  </r>
  <r>
    <s v="Pedido 1364"/>
    <s v="CódRastreio1305"/>
    <s v="LP00722839793518"/>
    <s v="MEI"/>
    <d v="2025-04-26T00:00:00"/>
    <s v="Transp 1"/>
    <s v="NM782460362BR"/>
    <x v="0"/>
    <s v="Brasil"/>
    <d v="2025-04-09T00:00:00"/>
    <s v="Entregue"/>
    <x v="0"/>
    <s v="-"/>
    <x v="0"/>
    <s v="Olá Nome, _x000a_Identificamos que o Item Lampada Led foi entregue no dia 09/04/2025, referente ao pedido Nº Pedido 1364 Rastreio NM782460362BR, agradecemos a preferência e adoraríamos receber sua avaliação, tendo qualquer dúvida estamos à disposição._x000a__x000a_Att_x000a_NTA Variedades"/>
  </r>
  <r>
    <s v="Pedido 1366"/>
    <s v="CódRastreio1306"/>
    <s v="LP00722896492068"/>
    <s v="MEI"/>
    <d v="2025-04-18T00:00:00"/>
    <s v="Transp 1"/>
    <s v="NM782473485BR"/>
    <x v="0"/>
    <s v="Brasil"/>
    <d v="2025-04-14T00:00:00"/>
    <s v="Entregue"/>
    <x v="0"/>
    <s v="-"/>
    <x v="0"/>
    <s v="Olá Nome, _x000a_Identificamos que o Item Karaoke portátil foi entregue no dia 14/04/2025, referente ao pedido Nº Pedido 1366 Rastreio NM782473485BR, agradecemos a preferência e adoraríamos receber sua avaliação, tendo qualquer dúvida estamos à disposição._x000a__x000a_Att_x000a_NTA Variedades"/>
  </r>
  <r>
    <s v="Pedido 1367"/>
    <s v="CódRastreio1307"/>
    <s v="LP00723821762848"/>
    <s v="MEI"/>
    <d v="2025-04-18T00:00:00"/>
    <s v="Transp 1"/>
    <s v="NM782670848BR"/>
    <x v="0"/>
    <s v="Brasil"/>
    <d v="2025-04-15T00:00:00"/>
    <s v="Entregue"/>
    <x v="0"/>
    <s v="-"/>
    <x v="0"/>
    <s v="Olá Nome, _x000a_Identificamos que o Item Lampada Led foi entregue no dia 15/04/2025, referente ao pedido Nº Pedido 1367 Rastreio NM782670848BR, agradecemos a preferência e adoraríamos receber sua avaliação, tendo qualquer dúvida estamos à disposição._x000a__x000a_Att_x000a_NTA Variedades"/>
  </r>
  <r>
    <s v="Pedido 1368"/>
    <s v="CódRastreio1308"/>
    <s v="LP00724703376350"/>
    <s v="MEI"/>
    <d v="2025-04-18T00:00:00"/>
    <s v="Transp 1"/>
    <s v="NM782502337BR"/>
    <x v="0"/>
    <s v="Brasil"/>
    <d v="2025-04-09T00:00:00"/>
    <s v="Entregue"/>
    <x v="0"/>
    <s v="-"/>
    <x v="0"/>
    <s v="Olá Nome, _x000a_Identificamos que o Item Karaoke portátil foi entregue no dia 09/04/2025, referente ao pedido Nº Pedido 1368 Rastreio NM782502337BR, agradecemos a preferência e adoraríamos receber sua avaliação, tendo qualquer dúvida estamos à disposição._x000a__x000a_Att_x000a_NTA Variedades"/>
  </r>
  <r>
    <s v="Pedido 1370"/>
    <s v="CódRastreio1310"/>
    <s v="LP00724708566584"/>
    <s v="MEI"/>
    <d v="2025-04-26T00:00:00"/>
    <s v="Transp 1"/>
    <s v="NM782505700BR"/>
    <x v="0"/>
    <s v="Brasil"/>
    <d v="2025-04-11T00:00:00"/>
    <s v="Entregue"/>
    <x v="0"/>
    <s v="-"/>
    <x v="0"/>
    <s v="Olá Nome, _x000a_Identificamos que o Item Ventilador Preto foi entregue no dia 11/04/2025, referente ao pedido Nº Pedido 1370 Rastreio NM782505700BR, agradecemos a preferência e adoraríamos receber sua avaliação, tendo qualquer dúvida estamos à disposição._x000a__x000a_Att_x000a_NTA Variedades"/>
  </r>
  <r>
    <s v="Pedido 1371"/>
    <s v="CódRastreio1311"/>
    <s v="LP00722949910160"/>
    <s v="MEI"/>
    <d v="2025-04-18T00:00:00"/>
    <s v="Transp 1"/>
    <s v="NM782686349BR"/>
    <x v="0"/>
    <s v="Brasil"/>
    <d v="2025-04-09T00:00:00"/>
    <s v="Entregue"/>
    <x v="0"/>
    <s v="-"/>
    <x v="0"/>
    <s v="Olá Nome, _x000a_Identificamos que o Item Ventilador Preto foi entregue no dia 09/04/2025, referente ao pedido Nº Pedido 1371 Rastreio NM782686349BR, agradecemos a preferência e adoraríamos receber sua avaliação, tendo qualquer dúvida estamos à disposição._x000a__x000a_Att_x000a_NTA Variedades"/>
  </r>
  <r>
    <s v="Pedido 1374"/>
    <s v="CódRastreio1314"/>
    <s v="LP00723726075753"/>
    <s v="MEI"/>
    <d v="2025-04-29T00:00:00"/>
    <s v="Transp 1"/>
    <s v="NM782619653BR"/>
    <x v="0"/>
    <s v="Brasil"/>
    <d v="2025-04-22T00:00:00"/>
    <s v="Entregue"/>
    <x v="0"/>
    <s v="-"/>
    <x v="0"/>
    <s v="Olá Nome, _x000a_Identificamos que o Item Maçarico Culinário Portátil foi entregue no dia 22/04/2025, referente ao pedido Nº Pedido 1374 Rastreio NM782619653BR, agradecemos a preferência e adoraríamos receber sua avaliação, tendo qualquer dúvida estamos à disposição._x000a__x000a_Att_x000a_NTA Variedades"/>
  </r>
  <r>
    <s v="Pedido 1375"/>
    <s v="CódRastreio1315"/>
    <s v="LP00724700964311"/>
    <s v="MEI"/>
    <d v="2025-04-29T00:00:00"/>
    <s v="Transp 1"/>
    <s v="NM783165865BR"/>
    <x v="0"/>
    <s v="Brasil"/>
    <d v="2025-04-16T00:00:00"/>
    <s v="Entregue"/>
    <x v="0"/>
    <s v="-"/>
    <x v="0"/>
    <s v="Olá Nome, _x000a_Identificamos que o Item Luminária Azul de mesa infantil foi entregue no dia 16/04/2025, referente ao pedido Nº Pedido 1375 Rastreio NM783165865BR, agradecemos a preferência e adoraríamos receber sua avaliação, tendo qualquer dúvida estamos à disposição._x000a__x000a_Att_x000a_NTA Variedades"/>
  </r>
  <r>
    <s v="Pedido 1377"/>
    <s v="CódRastreio1317"/>
    <n v="3621049706848"/>
    <s v="MEI"/>
    <d v="2025-04-29T00:00:00"/>
    <s v="Transp 1"/>
    <s v="-"/>
    <x v="1"/>
    <s v="Brasil"/>
    <d v="2025-04-07T00:00:00"/>
    <s v="Entregue"/>
    <x v="0"/>
    <s v="-"/>
    <x v="0"/>
    <s v="Olá Nome, _x000a_Identificamos que o Item Caixinha de som Preta foi entregue no dia 07/04/2025, referente ao pedido Nº Pedido 1377 Rastreio Pedido 1377, agradecemos a preferência e adoraríamos receber sua avaliação, tendo qualquer dúvida estamos à disposição._x000a__x000a_Att_x000a_NTA Variedades"/>
  </r>
  <r>
    <s v="Pedido 1369"/>
    <s v="CódRastreio1309"/>
    <s v="LP00724721454137"/>
    <s v="MEI"/>
    <d v="2025-04-26T00:00:00"/>
    <s v="Transp 1"/>
    <s v="NM784298850BR"/>
    <x v="0"/>
    <s v="Brasil"/>
    <d v="2025-04-22T00:00:00"/>
    <s v="Entregue"/>
    <x v="0"/>
    <s v="-"/>
    <x v="0"/>
    <s v="Olá Nome, _x000a_Identificamos que o Item Ventilador Umidificador Preto foi entregue no dia 22/04/2025, referente ao pedido Nº Pedido 1369 Rastreio NM784298850BR, agradecemos a preferência e adoraríamos receber sua avaliação, tendo qualquer dúvida estamos à disposição._x000a__x000a_Att_x000a_NTA Variedades"/>
  </r>
  <r>
    <s v="Pedido 1372"/>
    <s v="CódRastreio1312"/>
    <s v="LP00723720333456"/>
    <s v="MEI"/>
    <d v="2025-04-26T00:00:00"/>
    <s v="Transp 1"/>
    <s v="NM784293035BR"/>
    <x v="0"/>
    <s v="Brasil"/>
    <d v="2025-04-17T00:00:00"/>
    <s v="Entregue"/>
    <x v="0"/>
    <s v="-"/>
    <x v="0"/>
    <s v="Olá Nome, _x000a_Identificamos que o Item Ventilador Umidificador Preto foi entregue no dia 17/04/2025, referente ao pedido Nº Pedido 1372 Rastreio NM784293035BR, agradecemos a preferência e adoraríamos receber sua avaliação, tendo qualquer dúvida estamos à disposição._x000a__x000a_Att_x000a_NTA Variedades"/>
  </r>
  <r>
    <s v="Pedido 1373"/>
    <s v="CódRastreio1313"/>
    <s v="LP00723269897239"/>
    <s v="MEI"/>
    <d v="2025-04-26T00:00:00"/>
    <s v="Transp 1"/>
    <s v="NM784290140BR"/>
    <x v="0"/>
    <s v="Brasil"/>
    <d v="2025-04-22T00:00:00"/>
    <s v="Entregue"/>
    <x v="0"/>
    <s v="Cliente informado"/>
    <x v="0"/>
    <s v="Olá Nome, _x000a_Identificamos que o Item Maçarico Culinário Portátil foi entregue no dia 22/04/2025, referente ao pedido Nº Pedido 1373 Rastreio NM784290140BR, agradecemos a preferência e adoraríamos receber sua avaliação, tendo qualquer dúvida estamos à disposição._x000a__x000a_Att_x000a_NTA Variedades"/>
  </r>
  <r>
    <s v="Pedido 1376"/>
    <s v="CódRastreio1316"/>
    <s v="LP00725119692343"/>
    <s v="MEI"/>
    <d v="2025-04-29T00:00:00"/>
    <s v="Transp 1"/>
    <s v="NM784297580BR"/>
    <x v="0"/>
    <s v="Brasil"/>
    <d v="2025-04-15T00:00:00"/>
    <s v="Entregue"/>
    <x v="0"/>
    <s v="-"/>
    <x v="0"/>
    <s v="Olá Nome, _x000a_Identificamos que o Item Maçarico Culinário Portátil foi entregue no dia 15/04/2025, referente ao pedido Nº Pedido 1376 Rastreio NM784297580BR, agradecemos a preferência e adoraríamos receber sua avaliação, tendo qualquer dúvida estamos à disposição._x000a__x000a_Att_x000a_NTA Variedades"/>
  </r>
  <r>
    <s v="Pedido 1378"/>
    <s v="CódRastreio1318"/>
    <s v="LP00725066419675"/>
    <s v="MEI"/>
    <d v="2025-04-29T00:00:00"/>
    <s v="Transp 1"/>
    <s v="NM784303033BR"/>
    <x v="0"/>
    <s v="Brasil"/>
    <d v="2025-04-22T00:00:00"/>
    <s v="Entregue"/>
    <x v="0"/>
    <s v="-"/>
    <x v="0"/>
    <s v="Olá Nome, _x000a_Identificamos que o Item Lampada Led foi entregue no dia 22/04/2025, referente ao pedido Nº Pedido 1378 Rastreio NM784303033BR, agradecemos a preferência e adoraríamos receber sua avaliação, tendo qualquer dúvida estamos à disposição._x000a__x000a_Att_x000a_NTA Variedades"/>
  </r>
  <r>
    <s v="Pedido 1379"/>
    <s v="CódRastreio1319"/>
    <s v="LP00724718292668"/>
    <s v="MEI"/>
    <d v="2025-04-23T00:00:00"/>
    <s v="Transp 1"/>
    <s v="NM784294019BR"/>
    <x v="0"/>
    <s v="Brasil"/>
    <d v="2025-04-16T00:00:00"/>
    <s v="Entregue"/>
    <x v="0"/>
    <s v="-"/>
    <x v="0"/>
    <s v="Olá Nome, _x000a_Identificamos que o Item Ventilador Umidificador Preto foi entregue no dia 16/04/2025, referente ao pedido Nº Pedido 1379 Rastreio NM784294019BR, agradecemos a preferência e adoraríamos receber sua avaliação, tendo qualquer dúvida estamos à disposição._x000a__x000a_Att_x000a_NTA Variedades"/>
  </r>
  <r>
    <s v="Pedido 1380"/>
    <s v="CódRastreio1320"/>
    <s v="LP00724211120326"/>
    <s v="MEI"/>
    <d v="2025-04-23T00:00:00"/>
    <s v="Transp 1"/>
    <s v="NM784374701BR"/>
    <x v="0"/>
    <s v="Brasil"/>
    <d v="2025-04-11T00:00:00"/>
    <s v="Entregue"/>
    <x v="0"/>
    <s v="-"/>
    <x v="0"/>
    <s v="Olá Nome, _x000a_Identificamos que o Item Ventilador de teto foi entregue no dia 11/04/2025, referente ao pedido Nº Pedido 1380 Rastreio NM784374701BR, agradecemos a preferência e adoraríamos receber sua avaliação, tendo qualquer dúvida estamos à disposição._x000a__x000a_Att_x000a_NTA Variedades"/>
  </r>
  <r>
    <s v="Pedido 1381"/>
    <s v="CódRastreio1321"/>
    <s v="LP00724138941982"/>
    <s v="MEI"/>
    <d v="2025-05-07T00:00:00"/>
    <s v="Transp 1"/>
    <s v="NM784383181BR"/>
    <x v="0"/>
    <s v="Brasil"/>
    <d v="2025-05-06T00:00:00"/>
    <s v="Entregue"/>
    <x v="0"/>
    <s v="-"/>
    <x v="0"/>
    <s v="Olá Nome, _x000a_Identificamos que o Item Lampada Led foi entregue no dia 06/05/2025, referente ao pedido Nº Pedido 1381 Rastreio NM784383181BR, agradecemos a preferência e adoraríamos receber sua avaliação, tendo qualquer dúvida estamos à disposição._x000a__x000a_Att_x000a_NTA Variedades"/>
  </r>
  <r>
    <s v="Pedido 1382"/>
    <s v="CódRastreio1322"/>
    <n v="3621049714535"/>
    <s v="MEI"/>
    <d v="2025-04-29T00:00:00"/>
    <s v="Transp 1"/>
    <s v="-"/>
    <x v="1"/>
    <s v="Brasil"/>
    <d v="2025-04-07T00:00:00"/>
    <s v="Entregue"/>
    <x v="0"/>
    <s v="-"/>
    <x v="0"/>
    <s v="Olá Nome, _x000a_Identificamos que o Item Caixinha de som Preta foi entregue no dia 07/04/2025, referente ao pedido Nº Pedido 1382 Rastreio Pedido 1382, agradecemos a preferência e adoraríamos receber sua avaliação, tendo qualquer dúvida estamos à disposição._x000a__x000a_Att_x000a_NTA Variedades"/>
  </r>
  <r>
    <s v="Pedido 1383"/>
    <s v="CódRastreio1323"/>
    <n v="3621049714882"/>
    <s v="MEI"/>
    <d v="2025-04-30T00:00:00"/>
    <s v="Transp 1"/>
    <s v="-"/>
    <x v="1"/>
    <s v="Brasil"/>
    <d v="2025-04-08T00:00:00"/>
    <s v="Entregue"/>
    <x v="0"/>
    <s v="-"/>
    <x v="0"/>
    <s v="Olá Nome, _x000a_Identificamos que o Item Caixinha de som Preta foi entregue no dia 08/04/2025, referente ao pedido Nº Pedido 1383 Rastreio Pedido 1383, agradecemos a preferência e adoraríamos receber sua avaliação, tendo qualquer dúvida estamos à disposição._x000a__x000a_Att_x000a_NTA Variedades"/>
  </r>
  <r>
    <s v="Pedido 1384"/>
    <s v="CódRastreio1324"/>
    <s v="LP00723270581917"/>
    <s v="MEI"/>
    <d v="2025-04-30T00:00:00"/>
    <s v="Transp 1"/>
    <s v="NM784406727BR"/>
    <x v="0"/>
    <s v="Brasil"/>
    <d v="2025-04-12T00:00:00"/>
    <s v="Entregue"/>
    <x v="0"/>
    <s v="-"/>
    <x v="0"/>
    <s v="Olá Nome, _x000a_Identificamos que o Item Ventilador Preto foi entregue no dia 12/04/2025, referente ao pedido Nº Pedido 1384 Rastreio NM784406727BR, agradecemos a preferência e adoraríamos receber sua avaliação, tendo qualquer dúvida estamos à disposição._x000a__x000a_Att_x000a_NTA Variedades"/>
  </r>
  <r>
    <s v="Pedido 1387"/>
    <s v="CódRastreio1326"/>
    <s v="LP00723514000096"/>
    <s v="MEI"/>
    <d v="2025-04-30T00:00:00"/>
    <s v="Transp 1"/>
    <s v="NM785046265BR"/>
    <x v="0"/>
    <s v="Brasil"/>
    <d v="2025-04-14T00:00:00"/>
    <s v="Entregue"/>
    <x v="0"/>
    <s v="-"/>
    <x v="0"/>
    <s v="Olá Nome, _x000a_Identificamos que o Item Lampada Led foi entregue no dia 14/04/2025, referente ao pedido Nº Pedido 1387 Rastreio NM785046265BR, agradecemos a preferência e adoraríamos receber sua avaliação, tendo qualquer dúvida estamos à disposição._x000a__x000a_Att_x000a_NTA Variedades"/>
  </r>
  <r>
    <s v="Pedido 1388"/>
    <s v="CódRastreio1327"/>
    <s v="LP00723473644903"/>
    <s v="MEI"/>
    <d v="2025-04-30T00:00:00"/>
    <s v="Transp 1"/>
    <s v="NM785047212BR"/>
    <x v="0"/>
    <s v="Brasil"/>
    <d v="2025-04-23T00:00:00"/>
    <s v="Entregue"/>
    <x v="0"/>
    <s v="-"/>
    <x v="0"/>
    <s v="Olá Nome, _x000a_Identificamos que o Item Ventilador Preto foi entregue no dia 23/04/2025, referente ao pedido Nº Pedido 1388 Rastreio NM785047212BR, agradecemos a preferência e adoraríamos receber sua avaliação, tendo qualquer dúvida estamos à disposição._x000a__x000a_Att_x000a_NTA Variedades"/>
  </r>
  <r>
    <s v="Pedido 1389"/>
    <s v="CódRastreio1328"/>
    <n v="3621049716257"/>
    <s v="MEI"/>
    <d v="2025-05-08T00:00:00"/>
    <s v="Transp 1"/>
    <s v="-"/>
    <x v="1"/>
    <s v="Brasil"/>
    <d v="2025-04-15T00:00:00"/>
    <s v="Entregue"/>
    <x v="0"/>
    <s v="-"/>
    <x v="0"/>
    <s v="Olá Nome, _x000a_Identificamos que o Item Mini Liquidificador foi entregue no dia 15/04/2025, referente ao pedido Nº Pedido 1389 Rastreio Pedido 1389, agradecemos a preferência e adoraríamos receber sua avaliação, tendo qualquer dúvida estamos à disposição._x000a__x000a_Att_x000a_NTA Variedades"/>
  </r>
  <r>
    <s v="Pedido 1390"/>
    <s v="CódRastreio1329"/>
    <s v="LP00724399316047"/>
    <s v="MEI"/>
    <d v="2025-04-25T00:00:00"/>
    <s v="Transp 1"/>
    <s v="NM785076267BR"/>
    <x v="0"/>
    <s v="Brasil"/>
    <d v="2025-04-11T00:00:00"/>
    <s v="Entregue"/>
    <x v="0"/>
    <s v="-"/>
    <x v="0"/>
    <s v="Olá Nome, _x000a_Identificamos que o Item Ventilador Azul foi entregue no dia 11/04/2025, referente ao pedido Nº Pedido 1390 Rastreio NM785076267BR, agradecemos a preferência e adoraríamos receber sua avaliação, tendo qualquer dúvida estamos à disposição._x000a__x000a_Att_x000a_NTA Variedades"/>
  </r>
  <r>
    <s v="Pedido 1391"/>
    <s v="CódRastreio1330"/>
    <s v="LP00724349216964"/>
    <s v="MEI"/>
    <d v="2025-05-01T00:00:00"/>
    <s v="Transp 1"/>
    <s v="NM785080451BR"/>
    <x v="0"/>
    <s v="Brasil"/>
    <d v="2025-04-23T00:00:00"/>
    <s v="Entregue"/>
    <x v="0"/>
    <s v="-"/>
    <x v="0"/>
    <s v="Olá Nome, _x000a_Identificamos que o Item Ventilador Azul foi entregue no dia 23/04/2025, referente ao pedido Nº Pedido 1391 Rastreio NM785080451BR, agradecemos a preferência e adoraríamos receber sua avaliação, tendo qualquer dúvida estamos à disposição._x000a__x000a_Att_x000a_NTA Variedades"/>
  </r>
  <r>
    <s v="Pedido 1394"/>
    <s v="CódRastreio1333"/>
    <s v="LP00725260267757"/>
    <s v="MEI"/>
    <d v="2025-04-25T00:00:00"/>
    <s v="Transp 1"/>
    <s v="NM785076179BR"/>
    <x v="0"/>
    <s v="Brasil"/>
    <d v="2025-04-15T00:00:00"/>
    <s v="Entregue"/>
    <x v="0"/>
    <s v="-"/>
    <x v="0"/>
    <s v="Olá Nome, _x000a_Identificamos que o Item Ventilador de teto foi entregue no dia 15/04/2025, referente ao pedido Nº Pedido 1394 Rastreio NM785076179BR, agradecemos a preferência e adoraríamos receber sua avaliação, tendo qualquer dúvida estamos à disposição._x000a__x000a_Att_x000a_NTA Variedades"/>
  </r>
  <r>
    <s v="Pedido 1395"/>
    <s v="CódRastreio1334"/>
    <s v="LP00723493126723"/>
    <s v="MEI"/>
    <d v="2025-04-25T00:00:00"/>
    <s v="Transp 1"/>
    <s v="NM785089115BR"/>
    <x v="0"/>
    <s v="Brasil"/>
    <d v="2025-04-15T00:00:00"/>
    <s v="Entregue"/>
    <x v="0"/>
    <s v="-"/>
    <x v="0"/>
    <s v="Olá Nome, _x000a_Identificamos que o Item Brinquedo Bola Giratória voadora foi entregue no dia 15/04/2025, referente ao pedido Nº Pedido 1395 Rastreio NM785089115BR, agradecemos a preferência e adoraríamos receber sua avaliação, tendo qualquer dúvida estamos à disposição._x000a__x000a_Att_x000a_NTA Variedades"/>
  </r>
  <r>
    <s v="Pedido 1399"/>
    <s v="CódRastreio1338"/>
    <s v="LP00724431663290"/>
    <s v="MEI"/>
    <d v="2025-05-01T00:00:00"/>
    <s v="Transp 1"/>
    <s v="NM785193776BR"/>
    <x v="0"/>
    <s v="Brasil"/>
    <d v="2025-04-17T00:00:00"/>
    <s v="Entregue"/>
    <x v="0"/>
    <s v="-"/>
    <x v="0"/>
    <s v="Olá Nome, _x000a_Identificamos que o Item Lampada Led foi entregue no dia 17/04/2025, referente ao pedido Nº Pedido 1399 Rastreio NM785193776BR, agradecemos a preferência e adoraríamos receber sua avaliação, tendo qualquer dúvida estamos à disposição._x000a__x000a_Att_x000a_NTA Variedades"/>
  </r>
  <r>
    <s v="Pedido 1400"/>
    <s v="CódRastreio1339"/>
    <s v="LP00724355277633"/>
    <s v="MEI"/>
    <d v="2025-05-01T00:00:00"/>
    <s v="Transp 1"/>
    <s v="NM785186191BR"/>
    <x v="0"/>
    <s v="Brasil"/>
    <d v="2025-04-23T00:00:00"/>
    <s v="Entregue"/>
    <x v="0"/>
    <s v="-"/>
    <x v="0"/>
    <s v="Olá Nome, _x000a_Identificamos que o Item Maçarico Culinário Portátil foi entregue no dia 23/04/2025, referente ao pedido Nº Pedido 1400 Rastreio NM785186191BR, agradecemos a preferência e adoraríamos receber sua avaliação, tendo qualquer dúvida estamos à disposição._x000a__x000a_Att_x000a_NTA Variedades"/>
  </r>
  <r>
    <s v="Pedido 1401"/>
    <s v="CódRastreio1340"/>
    <s v="LP00723547558367"/>
    <s v="MEI"/>
    <d v="2025-05-01T00:00:00"/>
    <s v="Transp 1"/>
    <s v="NM785206506BR"/>
    <x v="0"/>
    <s v="Brasil"/>
    <d v="2025-04-23T00:00:00"/>
    <s v="Entregue"/>
    <x v="0"/>
    <s v="-"/>
    <x v="0"/>
    <s v="Olá Nome, _x000a_Identificamos que o Item Maçarico Culinário Portátil foi entregue no dia 23/04/2025, referente ao pedido Nº Pedido 1401 Rastreio NM785206506BR, agradecemos a preferência e adoraríamos receber sua avaliação, tendo qualquer dúvida estamos à disposição._x000a__x000a_Att_x000a_NTA Variedades"/>
  </r>
  <r>
    <s v="Pedido 1406"/>
    <s v="CódRastreio1345"/>
    <s v="LP00723297208069"/>
    <s v="GO"/>
    <d v="2025-04-30T00:00:00"/>
    <s v="Transp 1"/>
    <s v="NM784150726BR"/>
    <x v="0"/>
    <s v="Brasil"/>
    <d v="2025-04-16T00:00:00"/>
    <s v="Entregue"/>
    <x v="0"/>
    <s v="Cliente informado"/>
    <x v="0"/>
    <s v="Olá Nome, _x000a_Identificamos que o Item Cortador de Legumes foi entregue no dia 16/04/2025, referente ao pedido Nº Pedido 1406 Rastreio NM784150726BR, agradecemos a preferência e adoraríamos receber sua avaliação, tendo qualquer dúvida estamos à disposição._x000a__x000a_Att_x000a_Sec Variedades"/>
  </r>
  <r>
    <s v="Pedido 1407"/>
    <s v="CódRastreio1346"/>
    <s v="LP00724178283257"/>
    <s v="GO"/>
    <d v="2025-05-08T00:00:00"/>
    <s v="Transp 1"/>
    <s v="NM784820275BR"/>
    <x v="0"/>
    <s v="Brasil"/>
    <d v="2025-04-17T00:00:00"/>
    <s v="Entregue"/>
    <x v="0"/>
    <s v="-"/>
    <x v="0"/>
    <s v="Olá Nome, _x000a_Identificamos que o Item Escova Multifuncional foi entregue no dia 17/04/2025, referente ao pedido Nº Pedido 1407 Rastreio NM784820275BR, agradecemos a preferência e adoraríamos receber sua avaliação, tendo qualquer dúvida estamos à disposição._x000a__x000a_Att_x000a_Sec Variedades"/>
  </r>
  <r>
    <s v="Pedido 1408"/>
    <s v="CódRastreio1347"/>
    <s v="AM137397282BR"/>
    <s v="MEI"/>
    <d v="2025-04-25T00:00:00"/>
    <s v="Transp 1"/>
    <s v="-"/>
    <x v="1"/>
    <s v="Brasil"/>
    <d v="2025-04-10T00:00:00"/>
    <s v="Entregue"/>
    <x v="0"/>
    <s v="-"/>
    <x v="0"/>
    <s v="Olá Nome, _x000a_Identificamos que o Item Copo Termico foi entregue no dia 10/04/2025, referente ao pedido Nº Pedido 1408 Rastreio Pedido 1408, agradecemos a preferência e adoraríamos receber sua avaliação, tendo qualquer dúvida estamos à disposição._x000a__x000a_Att_x000a_NTA Variedades"/>
  </r>
  <r>
    <s v="Pedido 1385"/>
    <s v="CódRastreio1325"/>
    <s v="LP00725070313520"/>
    <s v="MEI"/>
    <d v="2025-04-30T00:00:00"/>
    <s v="Transp 1"/>
    <s v="NM787022258BR"/>
    <x v="0"/>
    <s v="Brasil"/>
    <d v="2025-04-16T00:00:00"/>
    <s v="Entregue"/>
    <x v="0"/>
    <s v="-"/>
    <x v="0"/>
    <s v="Olá Nome, _x000a_Identificamos que o Item Ventilador Umidificador Preto foi entregue no dia 16/04/2025, referente ao pedido Nº Pedido 1385 Rastreio NM787022258BR, agradecemos a preferência e adoraríamos receber sua avaliação, tendo qualquer dúvida estamos à disposição._x000a__x000a_Att_x000a_NTA Variedades"/>
  </r>
  <r>
    <s v="Pedido 1392"/>
    <s v="CódRastreio1331"/>
    <s v="LP00723635309035"/>
    <s v="MEI"/>
    <d v="2025-05-01T00:00:00"/>
    <s v="Transp 1"/>
    <s v="NM785548810BR"/>
    <x v="0"/>
    <s v="Brasil"/>
    <d v="2025-04-23T00:00:00"/>
    <s v="Entregue"/>
    <x v="0"/>
    <s v="-"/>
    <x v="0"/>
    <s v="Olá Nome, _x000a_Identificamos que o Item Ventilador Azul foi entregue no dia 23/04/2025, referente ao pedido Nº Pedido 1392 Rastreio NM785548810BR, agradecemos a preferência e adoraríamos receber sua avaliação, tendo qualquer dúvida estamos à disposição._x000a__x000a_Att_x000a_NTA Variedades"/>
  </r>
  <r>
    <s v="Pedido 1396"/>
    <s v="CódRastreio1335"/>
    <s v="LP00723618605846"/>
    <s v="MEI"/>
    <d v="2025-05-01T00:00:00"/>
    <s v="Transp 1"/>
    <s v="NM785555325BR"/>
    <x v="0"/>
    <s v="Brasil"/>
    <d v="2025-04-23T00:00:00"/>
    <s v="Entregue"/>
    <x v="0"/>
    <s v="-"/>
    <x v="0"/>
    <s v="Olá Nome, _x000a_Identificamos que o Item Lampada Led foi entregue no dia 23/04/2025, referente ao pedido Nº Pedido 1396 Rastreio NM785555325BR, agradecemos a preferência e adoraríamos receber sua avaliação, tendo qualquer dúvida estamos à disposição._x000a__x000a_Att_x000a_NTA Variedades"/>
  </r>
  <r>
    <s v="Pedido 1402"/>
    <s v="CódRastreio1341"/>
    <s v="LP00725346606092"/>
    <s v="MEI"/>
    <d v="2025-05-09T00:00:00"/>
    <s v="Transp 1"/>
    <s v="NM786969181BR"/>
    <x v="0"/>
    <s v="Brasil"/>
    <d v="2025-04-28T00:00:00"/>
    <s v="Entregue"/>
    <x v="0"/>
    <s v="-"/>
    <x v="0"/>
    <s v="Olá Nome, _x000a_Identificamos que o Item Ventilador Umidificador Preto foi entregue no dia 28/04/2025, referente ao pedido Nº Pedido 1402 Rastreio NM786969181BR, agradecemos a preferência e adoraríamos receber sua avaliação, tendo qualquer dúvida estamos à disposição._x000a__x000a_Att_x000a_NTA Variedades"/>
  </r>
  <r>
    <s v="Pedido 1403"/>
    <s v="CódRastreio1342"/>
    <s v="LP00724418642527"/>
    <s v="MEI"/>
    <d v="2025-05-01T00:00:00"/>
    <s v="Transp 1"/>
    <s v="NM786983784BR"/>
    <x v="0"/>
    <s v="Brasil"/>
    <d v="2025-04-17T00:00:00"/>
    <s v="Entregue"/>
    <x v="0"/>
    <s v="-"/>
    <x v="0"/>
    <s v="Olá Nome, _x000a_Identificamos que o Item Ventilador Umidificador Preto foi entregue no dia 17/04/2025, referente ao pedido Nº Pedido 1403 Rastreio NM786983784BR, agradecemos a preferência e adoraríamos receber sua avaliação, tendo qualquer dúvida estamos à disposição._x000a__x000a_Att_x000a_NTA Variedades"/>
  </r>
  <r>
    <s v="Pedido 1393"/>
    <s v="CódRastreio1332"/>
    <s v="LP00726101748897"/>
    <s v="MEI"/>
    <d v="2025-05-01T00:00:00"/>
    <s v="Transp 1"/>
    <s v="CNBR00065276516"/>
    <x v="0"/>
    <s v="Brasil"/>
    <d v="2025-04-19T00:00:00"/>
    <s v="Entregue"/>
    <x v="0"/>
    <s v="-"/>
    <x v="0"/>
    <s v="Olá Nome, _x000a_Identificamos que o Item Ventilador Rosa foi entregue no dia 19/04/2025, referente ao pedido Nº Pedido 1393 Rastreio CNBR00065276516, agradecemos a preferência e adoraríamos receber sua avaliação, tendo qualquer dúvida estamos à disposição._x000a__x000a_Att_x000a_NTA Variedades"/>
  </r>
  <r>
    <s v="Pedido 1397"/>
    <s v="CódRastreio1336"/>
    <s v="LP00726139362190"/>
    <s v="MEI"/>
    <d v="2025-05-01T00:00:00"/>
    <s v="Transp 1"/>
    <s v="NM788122221BR"/>
    <x v="0"/>
    <s v="Brasil"/>
    <d v="2025-04-22T00:00:00"/>
    <s v="Entregue"/>
    <x v="0"/>
    <s v="-"/>
    <x v="0"/>
    <s v="Olá Nome, _x000a_Identificamos que o Item Lampada Led foi entregue no dia 22/04/2025, referente ao pedido Nº Pedido 1397 Rastreio NM788122221BR, agradecemos a preferência e adoraríamos receber sua avaliação, tendo qualquer dúvida estamos à disposição._x000a__x000a_Att_x000a_NTA Variedades"/>
  </r>
  <r>
    <s v="Pedido 1404"/>
    <s v="CódRastreio1343"/>
    <s v="LP00726098803114"/>
    <s v="MEI"/>
    <d v="2025-04-25T00:00:00"/>
    <s v="Transp 1"/>
    <s v="NM788174762BR"/>
    <x v="0"/>
    <s v="Brasil"/>
    <d v="2025-04-22T00:00:00"/>
    <s v="Entregue"/>
    <x v="0"/>
    <s v="-"/>
    <x v="0"/>
    <s v="Olá Nome, _x000a_Identificamos que o Item Maçarico Culinário Portátil foi entregue no dia 22/04/2025, referente ao pedido Nº Pedido 1404 Rastreio NM788174762BR, agradecemos a preferência e adoraríamos receber sua avaliação, tendo qualquer dúvida estamos à disposição._x000a__x000a_Att_x000a_NTA Variedades"/>
  </r>
  <r>
    <s v="Pedido 1409"/>
    <s v="CódRastreio1348"/>
    <s v="AM137430434BR"/>
    <s v="MEI"/>
    <d v="2025-05-01T00:00:00"/>
    <s v="Transp 1"/>
    <s v="-"/>
    <x v="1"/>
    <s v="Brasil"/>
    <d v="2025-04-16T00:00:00"/>
    <s v="Entregue"/>
    <x v="0"/>
    <s v="-"/>
    <x v="0"/>
    <s v="Olá Nome, _x000a_Identificamos que o Item Copo Termico foi entregue no dia 16/04/2025, referente ao pedido Nº Pedido 1409 Rastreio Pedido 1409, agradecemos a preferência e adoraríamos receber sua avaliação, tendo qualquer dúvida estamos à disposição._x000a__x000a_Att_x000a_NTA Variedades"/>
  </r>
  <r>
    <s v="Pedido 1410"/>
    <s v="CódRastreio1349"/>
    <s v="LP00725188424405"/>
    <s v="MEI"/>
    <d v="2025-05-03T00:00:00"/>
    <s v="Transp 1"/>
    <s v="CNBR00065256314"/>
    <x v="0"/>
    <s v="Brasil"/>
    <d v="2025-04-22T00:00:00"/>
    <s v="Entregue"/>
    <x v="0"/>
    <s v="-"/>
    <x v="0"/>
    <s v="Olá Nome, _x000a_Identificamos que o Item Ventilador Rosa foi entregue no dia 22/04/2025, referente ao pedido Nº Pedido 1410 Rastreio CNBR00065256314, agradecemos a preferência e adoraríamos receber sua avaliação, tendo qualquer dúvida estamos à disposição._x000a__x000a_Att_x000a_NTA Variedades"/>
  </r>
  <r>
    <s v="Pedido 1411"/>
    <s v="CódRastreio1350"/>
    <s v="AA894764372BR"/>
    <s v="MEI"/>
    <d v="2025-04-26T00:00:00"/>
    <s v="Transp 1"/>
    <s v="-"/>
    <x v="1"/>
    <s v="Brasil"/>
    <d v="2025-04-09T00:00:00"/>
    <s v="Entregue"/>
    <x v="0"/>
    <s v="-"/>
    <x v="0"/>
    <s v="Olá Nome, _x000a_Identificamos que o Item Copo Termico foi entregue no dia 09/04/2025, referente ao pedido Nº Pedido 1411 Rastreio Pedido 1411, agradecemos a preferência e adoraríamos receber sua avaliação, tendo qualquer dúvida estamos à disposição._x000a__x000a_Att_x000a_NTA Variedades"/>
  </r>
  <r>
    <s v="Pedido 1412"/>
    <s v="CódRastreio1351"/>
    <s v="LP00724351163685"/>
    <s v="MEI"/>
    <d v="2025-05-03T00:00:00"/>
    <s v="Transp 1"/>
    <s v="NM788232037BR"/>
    <x v="0"/>
    <s v="Brasil"/>
    <d v="2025-04-24T00:00:00"/>
    <s v="Entregue"/>
    <x v="0"/>
    <s v="-"/>
    <x v="0"/>
    <s v="Olá Nome, _x000a_Identificamos que o Item Maçarico Culinário Portátil foi entregue no dia 24/04/2025, referente ao pedido Nº Pedido 1412 Rastreio NM788232037BR, agradecemos a preferência e adoraríamos receber sua avaliação, tendo qualquer dúvida estamos à disposição._x000a__x000a_Att_x000a_NTA Variedades"/>
  </r>
  <r>
    <s v="Pedido 1414"/>
    <s v="CódRastreio1353"/>
    <s v="LP00725162853159"/>
    <s v="GO"/>
    <d v="2025-05-01T00:00:00"/>
    <s v="Transp 1"/>
    <s v="NM788152223BR"/>
    <x v="0"/>
    <s v="Brasil"/>
    <d v="2025-04-24T00:00:00"/>
    <s v="Entregue"/>
    <x v="0"/>
    <s v="-"/>
    <x v="0"/>
    <s v="Olá Nome, _x000a_Identificamos que o Item Cortador de Legumes foi entregue no dia 24/04/2025, referente ao pedido Nº Pedido 1414 Rastreio NM788152223BR, agradecemos a preferência e adoraríamos receber sua avaliação, tendo qualquer dúvida estamos à disposição._x000a__x000a_Att_x000a_Sec Variedades"/>
  </r>
  <r>
    <s v="Pedido 1415"/>
    <s v="CódRastreio1354"/>
    <s v="LP00724355008640"/>
    <s v="MEI"/>
    <d v="2025-04-26T00:00:00"/>
    <s v="Transp 1"/>
    <s v="NM788327239BR"/>
    <x v="0"/>
    <s v="Brasil"/>
    <d v="2025-04-29T00:00:00"/>
    <s v="Entregue"/>
    <x v="0"/>
    <s v="-"/>
    <x v="1"/>
    <s v="Olá Nome, _x000a_Identificamos que o Item Maçarico Culinário Portátil foi entregue no dia 29/04/2025, referente ao pedido Nº Pedido 1415 Rastreio NM788327239BR, agradecemos a preferência e adoraríamos receber sua avaliação, tendo qualquer dúvida estamos à disposição._x000a__x000a_Att_x000a_NTA Variedades"/>
  </r>
  <r>
    <s v="Pedido 1416"/>
    <s v="CódRastreio1355"/>
    <n v="3621049725776"/>
    <s v="MEI"/>
    <d v="2025-05-03T00:00:00"/>
    <s v="Transp 1"/>
    <s v="-"/>
    <x v="1"/>
    <s v="Brasil"/>
    <d v="2025-04-22T00:00:00"/>
    <s v="Entregue"/>
    <x v="0"/>
    <s v="-"/>
    <x v="0"/>
    <s v="Olá Nome, _x000a_Identificamos que o Item Garrafa Termica foi entregue no dia 22/04/2025, referente ao pedido Nº Pedido 1416 Rastreio Pedido 1416, agradecemos a preferência e adoraríamos receber sua avaliação, tendo qualquer dúvida estamos à disposição._x000a__x000a_Att_x000a_NTA Variedades"/>
  </r>
  <r>
    <s v="Pedido 1417"/>
    <s v="CódRastreio1356"/>
    <s v="AA894764559BR"/>
    <s v="MEI"/>
    <d v="2025-04-26T00:00:00"/>
    <s v="Transp 1"/>
    <s v="-"/>
    <x v="1"/>
    <s v="Brasil"/>
    <d v="2025-04-10T00:00:00"/>
    <s v="Entregue"/>
    <x v="0"/>
    <s v="-"/>
    <x v="0"/>
    <s v="Olá Nome, _x000a_Identificamos que o Item Copo Termico foi entregue no dia 10/04/2025, referente ao pedido Nº Pedido 1417 Rastreio Pedido 1417, agradecemos a preferência e adoraríamos receber sua avaliação, tendo qualquer dúvida estamos à disposição._x000a__x000a_Att_x000a_NTA Variedades"/>
  </r>
  <r>
    <s v="Pedido 1413"/>
    <s v="CódRastreio1352"/>
    <s v="LP00724329034578"/>
    <s v="MEI"/>
    <d v="2025-05-10T00:00:00"/>
    <s v="Transp 1"/>
    <s v="NM789139603BR"/>
    <x v="0"/>
    <s v="Brasil"/>
    <d v="2025-04-24T00:00:00"/>
    <s v="Entregue"/>
    <x v="0"/>
    <s v="-"/>
    <x v="0"/>
    <s v="Olá Nome, _x000a_Identificamos que o Item Ventilador Umidificador Preto foi entregue no dia 24/04/2025, referente ao pedido Nº Pedido 1413 Rastreio NM789139603BR, agradecemos a preferência e adoraríamos receber sua avaliação, tendo qualquer dúvida estamos à disposição._x000a__x000a_Att_x000a_NTA Variedades"/>
  </r>
  <r>
    <s v="Pedido 1418"/>
    <s v="CódRastreio1357"/>
    <s v="LP00726390978106"/>
    <s v="MEI"/>
    <d v="2025-05-06T00:00:00"/>
    <s v="Transp 1"/>
    <s v="NM789058184BR"/>
    <x v="0"/>
    <s v="Brasil"/>
    <d v="2025-04-29T00:00:00"/>
    <s v="Entregue"/>
    <x v="0"/>
    <s v="-"/>
    <x v="0"/>
    <s v="Olá Nome, _x000a_Identificamos que o Item Maçarico Culinário Portátil foi entregue no dia 29/04/2025, referente ao pedido Nº Pedido 1418 Rastreio NM789058184BR, agradecemos a preferência e adoraríamos receber sua avaliação, tendo qualquer dúvida estamos à disposição._x000a__x000a_Att_x000a_NTA Variedades"/>
  </r>
  <r>
    <s v="Pedido 1420"/>
    <s v="CódRastreio1359"/>
    <s v="LP00725458203463"/>
    <s v="MEI"/>
    <d v="2025-05-13T00:00:00"/>
    <s v="Transp 1"/>
    <s v="NM789077926BR"/>
    <x v="0"/>
    <s v="Brasil"/>
    <d v="2025-05-06T00:00:00"/>
    <s v="Entregue"/>
    <x v="0"/>
    <s v="-"/>
    <x v="0"/>
    <s v="Olá Nome, _x000a_Identificamos que o Item Lampada Led foi entregue no dia 06/05/2025, referente ao pedido Nº Pedido 1420 Rastreio NM789077926BR, agradecemos a preferência e adoraríamos receber sua avaliação, tendo qualquer dúvida estamos à disposição._x000a__x000a_Att_x000a_NTA Variedades"/>
  </r>
  <r>
    <s v="Pedido 1421"/>
    <s v="CódRastreio1360"/>
    <s v="LP00725460932853"/>
    <s v="MEI"/>
    <d v="2025-05-06T00:00:00"/>
    <s v="Transp 1"/>
    <s v="NM789093230BR"/>
    <x v="0"/>
    <s v="Brasil"/>
    <d v="2025-04-23T00:00:00"/>
    <s v="Entregue"/>
    <x v="0"/>
    <s v="-"/>
    <x v="0"/>
    <s v="Olá Nome, _x000a_Identificamos que o Item Ventilador de teto foi entregue no dia 23/04/2025, referente ao pedido Nº Pedido 1421 Rastreio NM789093230BR, agradecemos a preferência e adoraríamos receber sua avaliação, tendo qualquer dúvida estamos à disposição._x000a__x000a_Att_x000a_NTA Variedades"/>
  </r>
  <r>
    <s v="Pedido 1422"/>
    <s v="CódRastreio1361"/>
    <s v="AM286107259BR"/>
    <s v="MEI"/>
    <d v="2025-04-29T00:00:00"/>
    <s v="Transp 1"/>
    <s v="-"/>
    <x v="1"/>
    <s v="Brasil"/>
    <d v="2025-04-16T00:00:00"/>
    <s v="Entregue"/>
    <x v="0"/>
    <s v="-"/>
    <x v="0"/>
    <s v="Olá Nome, _x000a_Identificamos que o Item Copo Termico foi entregue no dia 16/04/2025, referente ao pedido Nº Pedido 1422 Rastreio Pedido 1422, agradecemos a preferência e adoraríamos receber sua avaliação, tendo qualquer dúvida estamos à disposição._x000a__x000a_Att_x000a_NTA Variedades"/>
  </r>
  <r>
    <s v="Pedido 1423"/>
    <s v="CódRastreio1362"/>
    <s v="LP00724584628848"/>
    <s v="MEI"/>
    <d v="2025-04-29T00:00:00"/>
    <s v="Transp 1"/>
    <s v="NM789089717BR"/>
    <x v="0"/>
    <s v="Brasil"/>
    <d v="2025-04-26T00:00:00"/>
    <s v="Entregue"/>
    <x v="0"/>
    <s v="-"/>
    <x v="0"/>
    <s v="Olá Nome, _x000a_Identificamos que o Item Lampada Led foi entregue no dia 26/04/2025, referente ao pedido Nº Pedido 1423 Rastreio NM789089717BR, agradecemos a preferência e adoraríamos receber sua avaliação, tendo qualquer dúvida estamos à disposição._x000a__x000a_Att_x000a_NTA Variedades"/>
  </r>
  <r>
    <s v="Pedido 1424"/>
    <s v="CódRastreio1363"/>
    <s v="LP00725464964097"/>
    <s v="MEI"/>
    <d v="2025-04-29T00:00:00"/>
    <s v="Transp 1"/>
    <s v="NM789100678BR"/>
    <x v="0"/>
    <s v="Brasil"/>
    <d v="2025-04-22T00:00:00"/>
    <s v="Entregue"/>
    <x v="0"/>
    <s v="-"/>
    <x v="0"/>
    <s v="Olá Nome, _x000a_Identificamos que o Item Lampada Led foi entregue no dia 22/04/2025, referente ao pedido Nº Pedido 1424 Rastreio NM789100678BR, agradecemos a preferência e adoraríamos receber sua avaliação, tendo qualquer dúvida estamos à disposição._x000a__x000a_Att_x000a_NTA Variedades"/>
  </r>
  <r>
    <s v="Pedido 1428"/>
    <s v="CódRastreio1366"/>
    <n v="3621049728872"/>
    <s v="MEI"/>
    <d v="2025-05-06T00:00:00"/>
    <s v="Transp 1"/>
    <s v="-"/>
    <x v="1"/>
    <s v="Brasil"/>
    <d v="2025-04-15T00:00:00"/>
    <s v="Entregue"/>
    <x v="0"/>
    <s v="-"/>
    <x v="0"/>
    <s v="Olá Nome, _x000a_Identificamos que o Item Suporte de Celular Branco foi entregue no dia 15/04/2025, referente ao pedido Nº Pedido 1428 Rastreio Pedido 1428, agradecemos a preferência e adoraríamos receber sua avaliação, tendo qualquer dúvida estamos à disposição._x000a__x000a_Att_x000a_NTA Variedades"/>
  </r>
  <r>
    <s v="Pedido 1429"/>
    <s v="CódRastreio1367"/>
    <s v="LP00725485749102"/>
    <s v="MEI"/>
    <d v="2025-04-29T00:00:00"/>
    <s v="Transp 1"/>
    <s v="NM789187935BR"/>
    <x v="0"/>
    <s v="Brasil"/>
    <d v="2025-04-22T00:00:00"/>
    <s v="Entregue"/>
    <x v="0"/>
    <s v="-"/>
    <x v="0"/>
    <s v="Olá Nome, _x000a_Identificamos que o Item Lampada Led foi entregue no dia 22/04/2025, referente ao pedido Nº Pedido 1429 Rastreio NM789187935BR, agradecemos a preferência e adoraríamos receber sua avaliação, tendo qualquer dúvida estamos à disposição._x000a__x000a_Att_x000a_NTA Variedades"/>
  </r>
  <r>
    <s v="Pedido 1430"/>
    <s v="CódRastreio1368"/>
    <n v="3621049729216"/>
    <s v="MEI"/>
    <d v="2025-05-06T00:00:00"/>
    <s v="Transp 1"/>
    <s v="-"/>
    <x v="1"/>
    <s v="Brasil"/>
    <d v="2025-04-19T00:00:00"/>
    <s v="Entregue"/>
    <x v="0"/>
    <s v="-"/>
    <x v="0"/>
    <s v="Olá Nome, _x000a_Identificamos que o Item Suporte de Celular Branco foi entregue no dia 19/04/2025, referente ao pedido Nº Pedido 1430 Rastreio Pedido 1430, agradecemos a preferência e adoraríamos receber sua avaliação, tendo qualquer dúvida estamos à disposição._x000a__x000a_Att_x000a_NTA Variedades"/>
  </r>
  <r>
    <s v="Pedido 1431"/>
    <s v="CódRastreio1369"/>
    <n v="3621049729800"/>
    <s v="MEI"/>
    <d v="2025-04-29T00:00:00"/>
    <s v="Transp 1"/>
    <s v="-"/>
    <x v="1"/>
    <s v="Brasil"/>
    <d v="2025-04-16T00:00:00"/>
    <s v="Entregue"/>
    <x v="0"/>
    <s v="-"/>
    <x v="0"/>
    <s v="Olá Nome, _x000a_Identificamos que o Item Suporte de Celular Branco foi entregue no dia 16/04/2025, referente ao pedido Nº Pedido 1431 Rastreio Pedido 1431, agradecemos a preferência e adoraríamos receber sua avaliação, tendo qualquer dúvida estamos à disposição._x000a__x000a_Att_x000a_NTA Variedades"/>
  </r>
  <r>
    <s v="Pedido 1419"/>
    <s v="CódRastreio1358"/>
    <n v="3621049732419"/>
    <s v="MEI"/>
    <d v="2025-05-13T00:00:00"/>
    <s v="Transp 1"/>
    <s v="-"/>
    <x v="1"/>
    <s v="Brasil"/>
    <d v="2025-04-19T00:00:00"/>
    <s v="Entregue"/>
    <x v="0"/>
    <s v="-"/>
    <x v="0"/>
    <s v="Olá Nome, _x000a_Identificamos que o Item Copo Termico foi entregue no dia 19/04/2025, referente ao pedido Nº Pedido 1419 Rastreio Pedido 1419, agradecemos a preferência e adoraríamos receber sua avaliação, tendo qualquer dúvida estamos à disposição._x000a__x000a_Att_x000a_NTA Variedades"/>
  </r>
  <r>
    <s v="Pedido 1425"/>
    <s v="CódRastreio1364"/>
    <s v="LP00724559632539"/>
    <s v="MEI"/>
    <d v="2025-04-29T00:00:00"/>
    <s v="Transp 1"/>
    <s v="NM789645370BR"/>
    <x v="0"/>
    <s v="Brasil"/>
    <d v="2025-04-25T00:00:00"/>
    <s v="Entregue"/>
    <x v="0"/>
    <s v="Cliente informado"/>
    <x v="0"/>
    <s v="Olá Nome, _x000a_Identificamos que o Item Ventilador Umidificador Preto foi entregue no dia 25/04/2025, referente ao pedido Nº Pedido 1425 Rastreio NM789645370BR, agradecemos a preferência e adoraríamos receber sua avaliação, tendo qualquer dúvida estamos à disposição._x000a__x000a_Att_x000a_NTA Variedades"/>
  </r>
  <r>
    <s v="Pedido 1433"/>
    <s v="CódRastreio1371"/>
    <s v="LP00725619411137"/>
    <s v="MEI"/>
    <d v="2025-05-06T00:00:00"/>
    <s v="Transp 1"/>
    <s v="NM789852363BR"/>
    <x v="0"/>
    <s v="Brasil"/>
    <d v="2025-04-30T00:00:00"/>
    <s v="Entregue"/>
    <x v="0"/>
    <s v="Cliente informado"/>
    <x v="0"/>
    <s v="Olá Nome, _x000a_Identificamos que o Item Maçarico Culinário Portátil foi entregue no dia 30/04/2025, referente ao pedido Nº Pedido 1433 Rastreio NM789852363BR, agradecemos a preferência e adoraríamos receber sua avaliação, tendo qualquer dúvida estamos à disposição._x000a__x000a_Att_x000a_NTA Variedades"/>
  </r>
  <r>
    <s v="Pedido 1434"/>
    <s v="CódRastreio1372"/>
    <s v="LP00725638514751"/>
    <s v="MEI"/>
    <d v="2025-05-06T00:00:00"/>
    <s v="Transp 1"/>
    <s v="NM789746515BR"/>
    <x v="0"/>
    <s v="Brasil"/>
    <d v="2025-05-08T00:00:00"/>
    <s v="Entregue"/>
    <x v="0"/>
    <s v="-"/>
    <x v="1"/>
    <s v="Olá Nome, _x000a_Identificamos que o Item Maçarico Culinário Portátil foi entregue no dia 08/05/2025, referente ao pedido Nº Pedido 1434 Rastreio NM789746515BR, agradecemos a preferência e adoraríamos receber sua avaliação, tendo qualquer dúvida estamos à disposição._x000a__x000a_Att_x000a_NTA Variedades"/>
  </r>
  <r>
    <s v="Pedido 1436"/>
    <s v="CódRastreio1374"/>
    <n v="3621049732561"/>
    <s v="MEI"/>
    <d v="2025-04-29T00:00:00"/>
    <s v="Transp 1"/>
    <s v="-"/>
    <x v="1"/>
    <s v="Brasil"/>
    <d v="2025-04-22T00:00:00"/>
    <s v="Entregue"/>
    <x v="0"/>
    <s v="-"/>
    <x v="0"/>
    <s v="Olá Nome, _x000a_Identificamos que o Item Suporte de Celular Branco foi entregue no dia 22/04/2025, referente ao pedido Nº Pedido 1436 Rastreio Pedido 1436, agradecemos a preferência e adoraríamos receber sua avaliação, tendo qualquer dúvida estamos à disposição._x000a__x000a_Att_x000a_NTA Variedades"/>
  </r>
  <r>
    <s v="Pedido 1437"/>
    <s v="CódRastreio1375"/>
    <n v="3621049733391"/>
    <s v="MEI"/>
    <d v="2025-04-29T00:00:00"/>
    <s v="Transp 1"/>
    <s v="-"/>
    <x v="1"/>
    <s v="Brasil"/>
    <d v="2025-04-15T00:00:00"/>
    <s v="Entregue"/>
    <x v="0"/>
    <s v="-"/>
    <x v="0"/>
    <s v="Olá Nome, _x000a_Identificamos que o Item Suporte de Celular Branco foi entregue no dia 15/04/2025, referente ao pedido Nº Pedido 1437 Rastreio Pedido 1437, agradecemos a preferência e adoraríamos receber sua avaliação, tendo qualquer dúvida estamos à disposição._x000a__x000a_Att_x000a_NTA Variedades"/>
  </r>
  <r>
    <s v="Pedido 1438"/>
    <s v="CódRastreio1376"/>
    <s v="LP00724737851326"/>
    <s v="MEI"/>
    <d v="2025-05-06T00:00:00"/>
    <s v="Transp 1"/>
    <s v="NM789879525BR"/>
    <x v="0"/>
    <s v="Brasil"/>
    <d v="2025-04-23T00:00:00"/>
    <s v="Entregue"/>
    <x v="0"/>
    <s v="-"/>
    <x v="0"/>
    <s v="Olá Nome, _x000a_Identificamos que o Item Karaoke portátil foi entregue no dia 23/04/2025, referente ao pedido Nº Pedido 1438 Rastreio NM789879525BR, agradecemos a preferência e adoraríamos receber sua avaliação, tendo qualquer dúvida estamos à disposição._x000a__x000a_Att_x000a_NTA Variedades"/>
  </r>
  <r>
    <s v="Pedido 1439"/>
    <s v="CódRastreio1377"/>
    <n v="3621049733101"/>
    <s v="MEI"/>
    <d v="2025-05-06T00:00:00"/>
    <s v="Transp 1"/>
    <s v="-"/>
    <x v="1"/>
    <s v="Brasil"/>
    <d v="2025-04-18T00:00:00"/>
    <s v="Entregue"/>
    <x v="0"/>
    <s v="-"/>
    <x v="0"/>
    <s v="Olá Nome, _x000a_Identificamos que o Item Suporte de Celular Branco foi entregue no dia 18/04/2025, referente ao pedido Nº Pedido 1439 Rastreio Pedido 1439, agradecemos a preferência e adoraríamos receber sua avaliação, tendo qualquer dúvida estamos à disposição._x000a__x000a_Att_x000a_NTA Variedades"/>
  </r>
  <r>
    <s v="Pedido 1440"/>
    <s v="CódRastreio1378"/>
    <n v="3621049732468"/>
    <s v="MEI"/>
    <d v="2025-04-29T00:00:00"/>
    <s v="Transp 1"/>
    <s v="-"/>
    <x v="1"/>
    <s v="Brasil"/>
    <d v="2025-04-23T00:00:00"/>
    <s v="Entregue"/>
    <x v="0"/>
    <s v="-"/>
    <x v="0"/>
    <s v="Olá Nome, _x000a_Identificamos que o Item Suporte de Celular Branco foi entregue no dia 23/04/2025, referente ao pedido Nº Pedido 1440 Rastreio Pedido 1440, agradecemos a preferência e adoraríamos receber sua avaliação, tendo qualquer dúvida estamos à disposição._x000a__x000a_Att_x000a_NTA Variedades"/>
  </r>
  <r>
    <s v="Pedido 1441"/>
    <s v="CódRastreio1379"/>
    <s v="AM286140229BR"/>
    <s v="MEI"/>
    <d v="2025-05-06T00:00:00"/>
    <s v="Transp 1"/>
    <s v="-"/>
    <x v="1"/>
    <s v="Brasil"/>
    <d v="2025-04-15T00:00:00"/>
    <s v="Entregue"/>
    <x v="0"/>
    <s v="-"/>
    <x v="0"/>
    <s v="Olá Nome, _x000a_Identificamos que o Item Copo Termico foi entregue no dia 15/04/2025, referente ao pedido Nº Pedido 1441 Rastreio Pedido 1441, agradecemos a preferência e adoraríamos receber sua avaliação, tendo qualquer dúvida estamos à disposição._x000a__x000a_Att_x000a_NTA Variedades"/>
  </r>
  <r>
    <s v="Pedido 1443"/>
    <s v="CódRastreio1381"/>
    <s v="LP00726630925027"/>
    <s v="MEI"/>
    <d v="2025-04-29T00:00:00"/>
    <s v="Transp 1"/>
    <s v="NM789926295BR"/>
    <x v="0"/>
    <s v="Brasil"/>
    <d v="2025-04-17T00:00:00"/>
    <s v="Entregue"/>
    <x v="0"/>
    <s v="-"/>
    <x v="0"/>
    <s v="Olá Nome, _x000a_Identificamos que o Item Lampada Led foi entregue no dia 17/04/2025, referente ao pedido Nº Pedido 1443 Rastreio NM789926295BR, agradecemos a preferência e adoraríamos receber sua avaliação, tendo qualquer dúvida estamos à disposição._x000a__x000a_Att_x000a_NTA Variedades"/>
  </r>
  <r>
    <s v="Pedido 1445"/>
    <s v="CódRastreio1383"/>
    <n v="3621049732960"/>
    <s v="MEI"/>
    <d v="2025-05-06T00:00:00"/>
    <s v="Transp 1"/>
    <s v="-"/>
    <x v="1"/>
    <s v="Brasil"/>
    <d v="2025-04-17T00:00:00"/>
    <s v="Entregue"/>
    <x v="0"/>
    <s v="-"/>
    <x v="0"/>
    <s v="Olá Nome, _x000a_Identificamos que o Item Suporte de Celular Branco foi entregue no dia 17/04/2025, referente ao pedido Nº Pedido 1445 Rastreio Pedido 1445, agradecemos a preferência e adoraríamos receber sua avaliação, tendo qualquer dúvida estamos à disposição._x000a__x000a_Att_x000a_NTA Variedades"/>
  </r>
  <r>
    <s v="Pedido 1446"/>
    <s v="CódRastreio1384"/>
    <s v="LP00726634243713"/>
    <s v="MEI"/>
    <d v="2025-04-29T00:00:00"/>
    <s v="Transp 1"/>
    <s v="NM789944396BR"/>
    <x v="0"/>
    <s v="Brasil"/>
    <d v="2025-04-23T00:00:00"/>
    <s v="Entregue"/>
    <x v="0"/>
    <s v="-"/>
    <x v="0"/>
    <s v="Olá Nome, _x000a_Identificamos que o Item Lampada Led foi entregue no dia 23/04/2025, referente ao pedido Nº Pedido 1446 Rastreio NM789944396BR, agradecemos a preferência e adoraríamos receber sua avaliação, tendo qualquer dúvida estamos à disposição._x000a__x000a_Att_x000a_NTA Variedades"/>
  </r>
  <r>
    <s v="Pedido 1447"/>
    <s v="CódRastreio1385"/>
    <s v="LP00724811434279"/>
    <s v="MEI"/>
    <d v="2025-05-06T00:00:00"/>
    <s v="Transp 1"/>
    <s v="NM789949946BR"/>
    <x v="0"/>
    <s v="Brasil"/>
    <d v="2025-04-17T00:00:00"/>
    <s v="Entregue"/>
    <x v="0"/>
    <s v="-"/>
    <x v="0"/>
    <s v="Olá Nome, _x000a_Identificamos que o Item Lampada Led foi entregue no dia 17/04/2025, referente ao pedido Nº Pedido 1447 Rastreio NM789949946BR, agradecemos a preferência e adoraríamos receber sua avaliação, tendo qualquer dúvida estamos à disposição._x000a__x000a_Att_x000a_NTA Variedades"/>
  </r>
  <r>
    <s v="Pedido 1398"/>
    <s v="CódRastreio1337"/>
    <s v="LP00725150804584"/>
    <s v="MEI"/>
    <d v="2025-05-09T00:00:00"/>
    <s v="Transp 1"/>
    <s v="NM791383615BR"/>
    <x v="0"/>
    <s v="Brasil"/>
    <d v="2025-05-14T00:00:00"/>
    <s v="Entregue"/>
    <x v="0"/>
    <s v="-"/>
    <x v="1"/>
    <s v="Olá Nome, _x000a_Identificamos que o Item Garrafa Termica foi entregue no dia 14/05/2025, referente ao pedido Nº Pedido 1398 Rastreio NM791383615BR, agradecemos a preferência e adoraríamos receber sua avaliação, tendo qualquer dúvida estamos à disposição._x000a__x000a_Att_x000a_NTA Variedades"/>
  </r>
  <r>
    <s v="Pedido 1449"/>
    <s v="CódRastreio1387"/>
    <s v="LP00725045645366"/>
    <s v="MEI"/>
    <d v="2025-05-13T00:00:00"/>
    <s v="Transp 1"/>
    <s v="NM790768671BR"/>
    <x v="0"/>
    <s v="Brasil"/>
    <d v="2025-05-16T00:00:00"/>
    <s v="Encaminhado"/>
    <x v="0"/>
    <s v="Cliente informado"/>
    <x v="1"/>
    <s v="Olá Nome, _x000a_Identificamos que o Item Lampada Led foi entregue no dia 16/05/2025, referente ao pedido Nº Pedido 1449 Rastreio NM790768671BR, agradecemos a preferência e adoraríamos receber sua avaliação, tendo qualquer dúvida estamos à disposição._x000a__x000a_Att_x000a_NTA Variedades"/>
  </r>
  <r>
    <s v="Pedido 1450"/>
    <s v="CódRastreio1388"/>
    <s v="LP00726871423321"/>
    <s v="MEI"/>
    <d v="2025-05-14T00:00:00"/>
    <s v="Transp 1"/>
    <s v="NM790797766BR"/>
    <x v="0"/>
    <s v="Brasil"/>
    <d v="2025-05-02T00:00:00"/>
    <s v="Entregue"/>
    <x v="0"/>
    <s v="-"/>
    <x v="0"/>
    <s v="Olá Nome, _x000a_Identificamos que o Item Karaoke portátil foi entregue no dia 02/05/2025, referente ao pedido Nº Pedido 1450 Rastreio NM790797766BR, agradecemos a preferência e adoraríamos receber sua avaliação, tendo qualquer dúvida estamos à disposição._x000a__x000a_Att_x000a_NTA Variedades"/>
  </r>
  <r>
    <s v="Pedido 1451"/>
    <s v="CódRastreio1389"/>
    <s v="LP00726874350770"/>
    <s v="MEI"/>
    <d v="2025-05-07T00:00:00"/>
    <s v="Transp 1"/>
    <s v="NM790810785BR"/>
    <x v="0"/>
    <s v="Brasil"/>
    <d v="2025-04-29T00:00:00"/>
    <s v="Entregue"/>
    <x v="0"/>
    <s v="-"/>
    <x v="0"/>
    <s v="Olá Nome, _x000a_Identificamos que o Item Brinquedo Bola Giratória voadora foi entregue no dia 29/04/2025, referente ao pedido Nº Pedido 1451 Rastreio NM790810785BR, agradecemos a preferência e adoraríamos receber sua avaliação, tendo qualquer dúvida estamos à disposição._x000a__x000a_Att_x000a_NTA Variedades"/>
  </r>
  <r>
    <s v="Pedido 1452"/>
    <s v="CódRastreio1390"/>
    <s v="LP00725944532638"/>
    <s v="MEI"/>
    <d v="2025-05-07T00:00:00"/>
    <s v="Transp 1"/>
    <s v="NM790820663BR"/>
    <x v="0"/>
    <s v="Brasil"/>
    <d v="2025-04-29T00:00:00"/>
    <s v="Entregue"/>
    <x v="0"/>
    <s v="-"/>
    <x v="0"/>
    <s v="Olá Nome, _x000a_Identificamos que o Item Lampada Led foi entregue no dia 29/04/2025, referente ao pedido Nº Pedido 1452 Rastreio NM790820663BR, agradecemos a preferência e adoraríamos receber sua avaliação, tendo qualquer dúvida estamos à disposição._x000a__x000a_Att_x000a_NTA Variedades"/>
  </r>
  <r>
    <s v="Pedido 1458"/>
    <s v="CódRastreio1394"/>
    <n v="3621049737515"/>
    <s v="MEI"/>
    <d v="2025-04-30T00:00:00"/>
    <s v="Transp 1"/>
    <s v="-"/>
    <x v="1"/>
    <s v="Brasil"/>
    <d v="2025-04-19T00:00:00"/>
    <s v="Entregue"/>
    <x v="0"/>
    <s v="-"/>
    <x v="0"/>
    <s v="Olá Nome, _x000a_Identificamos que o Item Suporte de Celular Branco foi entregue no dia 19/04/2025, referente ao pedido Nº Pedido 1458 Rastreio Pedido 1458, agradecemos a preferência e adoraríamos receber sua avaliação, tendo qualquer dúvida estamos à disposição._x000a__x000a_Att_x000a_NTA Variedades"/>
  </r>
  <r>
    <s v="Pedido 1405"/>
    <s v="CódRastreio1344"/>
    <s v="LP00726111144370"/>
    <s v="MEI"/>
    <d v="2025-04-25T00:00:00"/>
    <s v="Transp 1"/>
    <s v="CNBR00065535705"/>
    <x v="0"/>
    <s v="Brasil"/>
    <d v="2025-04-19T00:00:00"/>
    <s v="Entregue"/>
    <x v="0"/>
    <s v="-"/>
    <x v="0"/>
    <s v="Olá Nome, _x000a_Identificamos que o Item Ventilador Preto foi entregue no dia 19/04/2025, referente ao pedido Nº Pedido 1405 Rastreio CNBR00065535705, agradecemos a preferência e adoraríamos receber sua avaliação, tendo qualquer dúvida estamos à disposição._x000a__x000a_Att_x000a_NTA Variedades"/>
  </r>
  <r>
    <s v="Pedido 1427"/>
    <s v="CódRastreio1365"/>
    <s v="LP00726303151961"/>
    <s v="MEI"/>
    <d v="2025-05-06T00:00:00"/>
    <s v="Transp 1"/>
    <s v="CNBR00065532818"/>
    <x v="0"/>
    <s v="Brasil"/>
    <d v="2025-04-23T00:00:00"/>
    <s v="Entregue"/>
    <x v="0"/>
    <s v="-"/>
    <x v="0"/>
    <s v="Olá Nome, _x000a_Identificamos que o Item Ventilador Azul foi entregue no dia 23/04/2025, referente ao pedido Nº Pedido 1427 Rastreio CNBR00065532818, agradecemos a preferência e adoraríamos receber sua avaliação, tendo qualquer dúvida estamos à disposição._x000a__x000a_Att_x000a_NTA Variedades"/>
  </r>
  <r>
    <s v="Pedido 1432"/>
    <s v="CódRastreio1370"/>
    <s v="LP00725468121952"/>
    <s v="MEI"/>
    <d v="2025-05-06T00:00:00"/>
    <s v="Transp 1"/>
    <s v="CNBR00065535756"/>
    <x v="0"/>
    <s v="Brasil"/>
    <d v="2025-04-25T00:00:00"/>
    <s v="Entregue"/>
    <x v="0"/>
    <s v="-"/>
    <x v="0"/>
    <s v="Olá Nome, _x000a_Identificamos que o Item Ventilador Rosa foi entregue no dia 25/04/2025, referente ao pedido Nº Pedido 1432 Rastreio CNBR00065535756, agradecemos a preferência e adoraríamos receber sua avaliação, tendo qualquer dúvida estamos à disposição._x000a__x000a_Att_x000a_NTA Variedades"/>
  </r>
  <r>
    <s v="Pedido 1435"/>
    <s v="CódRastreio1373"/>
    <s v="LP00724713617766"/>
    <s v="MEI"/>
    <d v="2025-04-29T00:00:00"/>
    <s v="Transp 1"/>
    <s v="CNBR00065559221"/>
    <x v="0"/>
    <s v="Brasil"/>
    <d v="2025-04-23T00:00:00"/>
    <s v="Entregue"/>
    <x v="0"/>
    <s v="-"/>
    <x v="0"/>
    <s v="Olá Nome, _x000a_Identificamos que o Item Ventilador Preto foi entregue no dia 23/04/2025, referente ao pedido Nº Pedido 1435 Rastreio CNBR00065559221, agradecemos a preferência e adoraríamos receber sua avaliação, tendo qualquer dúvida estamos à disposição._x000a__x000a_Att_x000a_NTA Variedades"/>
  </r>
  <r>
    <s v="Pedido 1442"/>
    <s v="CódRastreio1380"/>
    <s v="LP00726606043614"/>
    <s v="MEI"/>
    <d v="2025-04-29T00:00:00"/>
    <s v="Transp 1"/>
    <s v="CNBR00065569198"/>
    <x v="0"/>
    <s v="Brasil"/>
    <d v="2025-04-23T00:00:00"/>
    <s v="Entregue"/>
    <x v="0"/>
    <s v="Cliente informado"/>
    <x v="0"/>
    <s v="Olá Nome, _x000a_Identificamos que o Item Ventilador Azul foi entregue no dia 23/04/2025, referente ao pedido Nº Pedido 1442 Rastreio CNBR00065569198, agradecemos a preferência e adoraríamos receber sua avaliação, tendo qualquer dúvida estamos à disposição._x000a__x000a_Att_x000a_NTA Variedades"/>
  </r>
  <r>
    <s v="Pedido 1454"/>
    <s v="CódRastreio1392"/>
    <s v="LP00725174560317"/>
    <s v="MEI"/>
    <d v="2025-05-07T00:00:00"/>
    <s v="Transp 1"/>
    <s v="NM791116402BR"/>
    <x v="0"/>
    <s v="Brasil"/>
    <d v="2025-05-05T00:00:00"/>
    <s v="Entregue"/>
    <x v="0"/>
    <s v="-"/>
    <x v="0"/>
    <s v="Olá Nome, _x000a_Identificamos que o Item Maçarico Culinário Portátil foi entregue no dia 05/05/2025, referente ao pedido Nº Pedido 1454 Rastreio NM791116402BR, agradecemos a preferência e adoraríamos receber sua avaliação, tendo qualquer dúvida estamos à disposição._x000a__x000a_Att_x000a_NTA Variedades"/>
  </r>
  <r>
    <s v="Pedido 1456"/>
    <s v="CódRastreio1393"/>
    <s v="LP00726990288569"/>
    <s v="MEI"/>
    <d v="2025-05-07T00:00:00"/>
    <s v="Transp 1"/>
    <s v="NM791126855BR"/>
    <x v="0"/>
    <s v="Brasil"/>
    <d v="2025-05-08T00:00:00"/>
    <s v="Entregue"/>
    <x v="0"/>
    <s v="Cliente informado"/>
    <x v="1"/>
    <s v="Olá Nome, _x000a_Identificamos que o Item Maçarico Culinário Portátil foi entregue no dia 08/05/2025, referente ao pedido Nº Pedido 1456 Rastreio NM791126855BR, agradecemos a preferência e adoraríamos receber sua avaliação, tendo qualquer dúvida estamos à disposição._x000a__x000a_Att_x000a_NTA Variedades"/>
  </r>
  <r>
    <s v="Pedido 1459"/>
    <s v="CódRastreio1395"/>
    <s v="LP00725179612315"/>
    <s v="MEI"/>
    <d v="2025-04-30T00:00:00"/>
    <s v="Transp 1"/>
    <s v="NM791212386BR"/>
    <x v="0"/>
    <s v="Brasil"/>
    <d v="2025-04-23T00:00:00"/>
    <s v="Entregue"/>
    <x v="0"/>
    <s v="-"/>
    <x v="0"/>
    <s v="Olá Nome, _x000a_Identificamos que o Item Karaoke portátil foi entregue no dia 23/04/2025, referente ao pedido Nº Pedido 1459 Rastreio NM791212386BR, agradecemos a preferência e adoraríamos receber sua avaliação, tendo qualquer dúvida estamos à disposição._x000a__x000a_Att_x000a_NTA Variedades"/>
  </r>
  <r>
    <s v="Pedido 1462"/>
    <s v="CódRastreio1398"/>
    <s v="LP00727007622836"/>
    <s v="MEI"/>
    <d v="2025-05-07T00:00:00"/>
    <s v="Transp 1"/>
    <s v="NM791354194BR"/>
    <x v="0"/>
    <s v="Brasil"/>
    <d v="2025-04-29T00:00:00"/>
    <s v="Entregue"/>
    <x v="0"/>
    <s v="-"/>
    <x v="0"/>
    <s v="Olá Nome, _x000a_Identificamos que o Item Karaoke portátil foi entregue no dia 29/04/2025, referente ao pedido Nº Pedido 1462 Rastreio NM791354194BR, agradecemos a preferência e adoraríamos receber sua avaliação, tendo qualquer dúvida estamos à disposição._x000a__x000a_Att_x000a_NTA Variedades"/>
  </r>
  <r>
    <s v="Pedido 1463"/>
    <s v="CódRastreio1399"/>
    <s v="LP00725223646574"/>
    <s v="MEI"/>
    <d v="2025-05-07T00:00:00"/>
    <s v="Transp 1"/>
    <s v="NM791380866BR"/>
    <x v="0"/>
    <s v="Brasil"/>
    <d v="2025-04-25T00:00:00"/>
    <s v="Entregue"/>
    <x v="0"/>
    <s v="-"/>
    <x v="0"/>
    <s v="Olá Nome, _x000a_Identificamos que o Item Brinquedo Bola Giratória voadora foi entregue no dia 25/04/2025, referente ao pedido Nº Pedido 1463 Rastreio NM791380866BR, agradecemos a preferência e adoraríamos receber sua avaliação, tendo qualquer dúvida estamos à disposição._x000a__x000a_Att_x000a_NTA Variedades"/>
  </r>
  <r>
    <s v="Pedido 1467"/>
    <s v="CódRastreio1403"/>
    <s v="LP00726116438939"/>
    <s v="MEI"/>
    <d v="2025-05-01T00:00:00"/>
    <s v="Transp 1"/>
    <s v="NM791399505BR"/>
    <x v="0"/>
    <s v="Brasil"/>
    <d v="2025-04-24T00:00:00"/>
    <s v="Entregue"/>
    <x v="0"/>
    <s v="-"/>
    <x v="0"/>
    <s v="Olá Nome, _x000a_Identificamos que o Item Brinquedo Bola Giratória voadora foi entregue no dia 24/04/2025, referente ao pedido Nº Pedido 1467 Rastreio NM791399505BR, agradecemos a preferência e adoraríamos receber sua avaliação, tendo qualquer dúvida estamos à disposição._x000a__x000a_Att_x000a_NTA Variedades"/>
  </r>
  <r>
    <s v="Pedido 1468"/>
    <s v="CódRastreio1404"/>
    <s v="LP00725271580395"/>
    <s v="MEI"/>
    <d v="2025-05-01T00:00:00"/>
    <s v="Transp 1"/>
    <s v="NM791578435BR"/>
    <x v="0"/>
    <s v="Brasil"/>
    <d v="2025-04-22T00:00:00"/>
    <s v="Entregue"/>
    <x v="0"/>
    <s v="-"/>
    <x v="0"/>
    <s v="Olá Nome, _x000a_Identificamos que o Item Brinquedo Bola Giratória voadora foi entregue no dia 22/04/2025, referente ao pedido Nº Pedido 1468 Rastreio NM791578435BR, agradecemos a preferência e adoraríamos receber sua avaliação, tendo qualquer dúvida estamos à disposição._x000a__x000a_Att_x000a_NTA Variedades"/>
  </r>
  <r>
    <s v="Pedido 1470"/>
    <s v="CódRastreio1406"/>
    <s v="LP00727060183128"/>
    <s v="MEI"/>
    <d v="2025-05-08T00:00:00"/>
    <s v="Transp 1"/>
    <s v="NM791575655BR"/>
    <x v="0"/>
    <s v="Brasil"/>
    <d v="2025-04-30T00:00:00"/>
    <s v="Entregue"/>
    <x v="0"/>
    <s v="-"/>
    <x v="0"/>
    <s v="Olá Nome, _x000a_Identificamos que o Item Lampada Led foi entregue no dia 30/04/2025, referente ao pedido Nº Pedido 1470 Rastreio NM791575655BR, agradecemos a preferência e adoraríamos receber sua avaliação, tendo qualquer dúvida estamos à disposição._x000a__x000a_Att_x000a_NTA Variedades"/>
  </r>
  <r>
    <s v="Pedido 1471"/>
    <s v="CódRastreio1407"/>
    <s v="LP00726113648884"/>
    <s v="MEI"/>
    <d v="2025-05-08T00:00:00"/>
    <s v="Transp 1"/>
    <s v="NM791510994BR"/>
    <x v="0"/>
    <s v="Brasil"/>
    <d v="2025-05-05T00:00:00"/>
    <s v="Entregue"/>
    <x v="0"/>
    <s v="-"/>
    <x v="0"/>
    <s v="Olá Nome, _x000a_Identificamos que o Item Maçarico Culinário Portátil foi entregue no dia 05/05/2025, referente ao pedido Nº Pedido 1471 Rastreio NM791510994BR, agradecemos a preferência e adoraríamos receber sua avaliação, tendo qualquer dúvida estamos à disposição._x000a__x000a_Att_x000a_NTA Variedades"/>
  </r>
  <r>
    <s v="Pedido 1507"/>
    <s v="CódRastreio1441"/>
    <s v="LP00726987619241"/>
    <s v="GO"/>
    <d v="2025-05-10T00:00:00"/>
    <s v="Transp 1"/>
    <s v="NM791195714BR"/>
    <x v="0"/>
    <s v="Brasil"/>
    <d v="2025-04-28T00:00:00"/>
    <s v="Entregue"/>
    <x v="0"/>
    <s v="-"/>
    <x v="0"/>
    <s v="Olá Nome, _x000a_Identificamos que o Item Cortador de Legumes foi entregue no dia 28/04/2025, referente ao pedido Nº Pedido 1507 Rastreio NM791195714BR, agradecemos a preferência e adoraríamos receber sua avaliação, tendo qualquer dúvida estamos à disposição._x000a__x000a_Att_x000a_Sec Variedades"/>
  </r>
  <r>
    <s v="Pedido 1448"/>
    <s v="CódRastreio1386"/>
    <s v="LP00725891889071"/>
    <s v="MEI"/>
    <d v="2025-05-13T00:00:00"/>
    <s v="Transp 1"/>
    <s v="CNBR00065587707"/>
    <x v="0"/>
    <s v="Brasil"/>
    <d v="2025-04-26T00:00:00"/>
    <s v="Entregue"/>
    <x v="0"/>
    <s v="-"/>
    <x v="0"/>
    <s v="Olá Nome, _x000a_Identificamos que o Item Ventilador Azul foi entregue no dia 26/04/2025, referente ao pedido Nº Pedido 1448 Rastreio CNBR00065587707, agradecemos a preferência e adoraríamos receber sua avaliação, tendo qualquer dúvida estamos à disposição._x000a__x000a_Att_x000a_NTA Variedades"/>
  </r>
  <r>
    <s v="Pedido 1453"/>
    <s v="CódRastreio1391"/>
    <s v="LP00726056816205"/>
    <s v="MEI"/>
    <d v="2025-05-07T00:00:00"/>
    <s v="Transp 1"/>
    <s v="NM791993285BR"/>
    <x v="0"/>
    <s v="Brasil"/>
    <d v="2025-04-24T00:00:00"/>
    <s v="Entregue"/>
    <x v="0"/>
    <s v="-"/>
    <x v="0"/>
    <s v="Olá Nome, _x000a_Identificamos que o Item Ventilador Azul foi entregue no dia 24/04/2025, referente ao pedido Nº Pedido 1453 Rastreio NM791993285BR, agradecemos a preferência e adoraríamos receber sua avaliação, tendo qualquer dúvida estamos à disposição._x000a__x000a_Att_x000a_NTA Variedades"/>
  </r>
  <r>
    <s v="Pedido 1460"/>
    <s v="CódRastreio1396"/>
    <s v="LP00726974095533"/>
    <s v="BV"/>
    <d v="2025-05-06T00:00:00"/>
    <s v="Transp 1"/>
    <s v="NM791991766BR"/>
    <x v="0"/>
    <s v="Brasil"/>
    <d v="2025-05-05T00:00:00"/>
    <s v="Entregue"/>
    <x v="0"/>
    <s v="-"/>
    <x v="0"/>
    <s v="Olá Nome, _x000a_Identificamos que o Item Ventilador Azul foi entregue no dia 05/05/2025, referente ao pedido Nº Pedido 1460 Rastreio NM791991766BR, agradecemos a preferência e adoraríamos receber sua avaliação, tendo qualquer dúvida estamos à disposição._x000a__x000a_Att_x000a_Tem tudo Shop"/>
  </r>
  <r>
    <s v="Pedido 1461"/>
    <s v="CódRastreio1397"/>
    <s v="LP00726993841370"/>
    <s v="BV"/>
    <d v="2025-05-13T00:00:00"/>
    <s v="Transp 1"/>
    <s v="NM791977441BR"/>
    <x v="0"/>
    <s v="Brasil"/>
    <d v="2025-05-12T00:00:00"/>
    <s v="Entregue"/>
    <x v="0"/>
    <s v="-"/>
    <x v="0"/>
    <s v="Olá Nome, _x000a_Identificamos que o Item Ventilador Azul foi entregue no dia 12/05/2025, referente ao pedido Nº Pedido 1461 Rastreio NM791977441BR, agradecemos a preferência e adoraríamos receber sua avaliação, tendo qualquer dúvida estamos à disposição._x000a__x000a_Att_x000a_Tem tudo Shop"/>
  </r>
  <r>
    <s v="Pedido 1469"/>
    <s v="CódRastreio1405"/>
    <s v="LP00726997327906"/>
    <s v="MEI"/>
    <d v="2025-05-15T00:00:00"/>
    <s v="Transp 1"/>
    <s v="NM791881859BR"/>
    <x v="0"/>
    <s v="Brasil"/>
    <d v="2025-05-13T00:00:00"/>
    <s v="Entregue"/>
    <x v="0"/>
    <s v="-"/>
    <x v="0"/>
    <s v="Olá Nome, _x000a_Identificamos que o Item Ventilador Preto foi entregue no dia 13/05/2025, referente ao pedido Nº Pedido 1469 Rastreio NM791881859BR, agradecemos a preferência e adoraríamos receber sua avaliação, tendo qualquer dúvida estamos à disposição._x000a__x000a_Att_x000a_NTA Variedades"/>
  </r>
  <r>
    <s v="Pedido 1474"/>
    <s v="CódRastreio1410"/>
    <s v="LP00725256178265"/>
    <s v="MEI"/>
    <d v="2025-05-01T00:00:00"/>
    <s v="Transp 1"/>
    <s v="NM791879501BR"/>
    <x v="0"/>
    <s v="Brasil"/>
    <d v="2025-04-24T00:00:00"/>
    <s v="Entregue"/>
    <x v="0"/>
    <s v="-"/>
    <x v="0"/>
    <s v="Olá Nome, _x000a_Identificamos que o Item Ventilador Preto foi entregue no dia 24/04/2025, referente ao pedido Nº Pedido 1474 Rastreio NM791879501BR, agradecemos a preferência e adoraríamos receber sua avaliação, tendo qualquer dúvida estamos à disposição._x000a__x000a_Att_x000a_NTA Variedades"/>
  </r>
  <r>
    <s v="Pedido 1477"/>
    <s v="CódRastreio1413"/>
    <s v="LP00726263810927"/>
    <s v="MEI"/>
    <d v="2025-05-03T00:00:00"/>
    <s v="Transp 1"/>
    <s v="CNBR00065615569"/>
    <x v="0"/>
    <s v="Brasil"/>
    <d v="2025-04-18T00:00:00"/>
    <s v="Entregue"/>
    <x v="0"/>
    <s v="-"/>
    <x v="0"/>
    <s v="Olá Nome, _x000a_Identificamos que o Item Lampada Led foi entregue no dia 18/04/2025, referente ao pedido Nº Pedido 1477 Rastreio CNBR00065615569, agradecemos a preferência e adoraríamos receber sua avaliação, tendo qualquer dúvida estamos à disposição._x000a__x000a_Att_x000a_NTA Variedades"/>
  </r>
  <r>
    <s v="Pedido 1480"/>
    <s v="CódRastreio1416"/>
    <s v="LP00725363165572"/>
    <s v="MEI"/>
    <d v="2025-05-09T00:00:00"/>
    <s v="Transp 1"/>
    <s v="NM791823706BR"/>
    <x v="0"/>
    <s v="Brasil"/>
    <d v="2025-04-30T00:00:00"/>
    <s v="Entregue"/>
    <x v="0"/>
    <s v="-"/>
    <x v="0"/>
    <s v="Olá Nome, _x000a_Identificamos que o Item Brinquedo Bola Giratória voadora foi entregue no dia 30/04/2025, referente ao pedido Nº Pedido 1480 Rastreio NM791823706BR, agradecemos a preferência e adoraríamos receber sua avaliação, tendo qualquer dúvida estamos à disposição._x000a__x000a_Att_x000a_NTA Variedades"/>
  </r>
  <r>
    <s v="Pedido 1511"/>
    <s v="CódRastreio1445"/>
    <s v="LP00726252213317"/>
    <s v="MEI"/>
    <d v="2025-05-13T00:00:00"/>
    <s v="Transp 1"/>
    <s v="CNBR00065594816"/>
    <x v="0"/>
    <s v="Brasil"/>
    <d v="2025-04-25T00:00:00"/>
    <s v="Entregue"/>
    <x v="0"/>
    <s v="-"/>
    <x v="0"/>
    <s v="Olá Nome, _x000a_Identificamos que o Item Máquina de cortar cabelo dragão foi entregue no dia 25/04/2025, referente ao pedido Nº Pedido 1511 Rastreio CNBR00065594816, agradecemos a preferência e adoraríamos receber sua avaliação, tendo qualquer dúvida estamos à disposição._x000a__x000a_Att_x000a_NTA Variedades"/>
  </r>
  <r>
    <s v="Pedido 1512"/>
    <s v="CódRastreio1446"/>
    <s v="LP00726274388280"/>
    <s v="MEI"/>
    <d v="2025-05-20T00:00:00"/>
    <s v="Transp 1"/>
    <s v="CNBR00065603109"/>
    <x v="0"/>
    <s v="Brasil"/>
    <d v="2025-04-25T00:00:00"/>
    <s v="Entregue"/>
    <x v="0"/>
    <s v="-"/>
    <x v="0"/>
    <s v="Olá Nome, _x000a_Identificamos que o Item Máquina de cortar cabelo dragão foi entregue no dia 25/04/2025, referente ao pedido Nº Pedido 1512 Rastreio CNBR00065603109, agradecemos a preferência e adoraríamos receber sua avaliação, tendo qualquer dúvida estamos à disposição._x000a__x000a_Att_x000a_NTA Variedades"/>
  </r>
  <r>
    <s v="Pedido 1513"/>
    <s v="CódRastreio1447"/>
    <s v="LP00725355305644"/>
    <s v="MEI"/>
    <d v="2025-05-13T00:00:00"/>
    <s v="Transp 1"/>
    <s v="CNBR00065594410"/>
    <x v="0"/>
    <s v="Brasil"/>
    <d v="2025-04-22T00:00:00"/>
    <s v="Entregue"/>
    <x v="0"/>
    <s v="-"/>
    <x v="0"/>
    <s v="Olá Nome, _x000a_Identificamos que o Item Máquina de cortar cabelo dragão foi entregue no dia 22/04/2025, referente ao pedido Nº Pedido 1513 Rastreio CNBR00065594410, agradecemos a preferência e adoraríamos receber sua avaliação, tendo qualquer dúvida estamos à disposição._x000a__x000a_Att_x000a_NTA Variedades"/>
  </r>
  <r>
    <s v="Pedido 1514"/>
    <s v="CódRastreio1448"/>
    <s v="LP00727212841708"/>
    <s v="MEI"/>
    <d v="2025-05-20T00:00:00"/>
    <s v="Transp 1"/>
    <s v="CNBR00065600275"/>
    <x v="0"/>
    <s v="Brasil"/>
    <d v="2025-04-24T00:00:00"/>
    <s v="Entregue"/>
    <x v="0"/>
    <s v="-"/>
    <x v="0"/>
    <s v="Olá Nome, _x000a_Identificamos que o Item Karaoke portátil foi entregue no dia 24/04/2025, referente ao pedido Nº Pedido 1514 Rastreio CNBR00065600275, agradecemos a preferência e adoraríamos receber sua avaliação, tendo qualquer dúvida estamos à disposição._x000a__x000a_Att_x000a_NTA Variedades"/>
  </r>
  <r>
    <s v="Pedido 1464"/>
    <s v="CódRastreio1400"/>
    <s v="AM286162365BR"/>
    <s v="MEI"/>
    <d v="2025-05-14T00:00:00"/>
    <s v="Transp 1"/>
    <s v="-"/>
    <x v="1"/>
    <s v="Brasil"/>
    <d v="2025-04-25T00:00:00"/>
    <s v="Entregue"/>
    <x v="0"/>
    <s v="-"/>
    <x v="0"/>
    <s v="Olá Nome, _x000a_Identificamos que o Item Copo Termico foi entregue no dia 25/04/2025, referente ao pedido Nº Pedido 1464 Rastreio Pedido 1464, agradecemos a preferência e adoraríamos receber sua avaliação, tendo qualquer dúvida estamos à disposição._x000a__x000a_Att_x000a_NTA Variedades"/>
  </r>
  <r>
    <s v="Pedido 1465"/>
    <s v="CódRastreio1401"/>
    <s v="AM286162374BR"/>
    <s v="MEI"/>
    <d v="2025-05-07T00:00:00"/>
    <s v="Transp 1"/>
    <s v="-"/>
    <x v="1"/>
    <s v="Brasil"/>
    <d v="2025-04-23T00:00:00"/>
    <s v="Entregue"/>
    <x v="0"/>
    <s v="-"/>
    <x v="0"/>
    <s v="Olá Nome, _x000a_Identificamos que o Item Copo Termico foi entregue no dia 23/04/2025, referente ao pedido Nº Pedido 1465 Rastreio Pedido 1465, agradecemos a preferência e adoraríamos receber sua avaliação, tendo qualquer dúvida estamos à disposição._x000a__x000a_Att_x000a_NTA Variedades"/>
  </r>
  <r>
    <s v="Pedido 1466"/>
    <s v="CódRastreio1402"/>
    <s v="AM286165336BR"/>
    <s v="MEI"/>
    <d v="2025-05-07T00:00:00"/>
    <s v="Transp 1"/>
    <s v="-"/>
    <x v="1"/>
    <s v="Brasil"/>
    <d v="2025-04-17T00:00:00"/>
    <s v="Entregue"/>
    <x v="0"/>
    <s v="-"/>
    <x v="0"/>
    <s v="Olá Nome, _x000a_Identificamos que o Item Copo Termico foi entregue no dia 17/04/2025, referente ao pedido Nº Pedido 1466 Rastreio Pedido 1466, agradecemos a preferência e adoraríamos receber sua avaliação, tendo qualquer dúvida estamos à disposição._x000a__x000a_Att_x000a_NTA Variedades"/>
  </r>
  <r>
    <s v="Pedido 1472"/>
    <s v="CódRastreio1408"/>
    <n v="3621049739208"/>
    <s v="MEI"/>
    <d v="2025-05-01T00:00:00"/>
    <s v="Transp 1"/>
    <s v="-"/>
    <x v="1"/>
    <s v="Brasil"/>
    <d v="2025-04-17T00:00:00"/>
    <s v="Entregue"/>
    <x v="0"/>
    <s v="-"/>
    <x v="0"/>
    <s v="Olá Nome, _x000a_Identificamos que o Item Caixinha de som Preta foi entregue no dia 17/04/2025, referente ao pedido Nº Pedido 1472 Rastreio Pedido 1472, agradecemos a preferência e adoraríamos receber sua avaliação, tendo qualquer dúvida estamos à disposição._x000a__x000a_Att_x000a_NTA Variedades"/>
  </r>
  <r>
    <s v="Pedido 1473"/>
    <s v="CódRastreio1409"/>
    <s v="AM286163145BR"/>
    <s v="MEI"/>
    <d v="2025-05-01T00:00:00"/>
    <s v="Transp 1"/>
    <s v="-"/>
    <x v="1"/>
    <s v="Brasil"/>
    <d v="2025-04-22T00:00:00"/>
    <s v="Entregue"/>
    <x v="0"/>
    <s v="-"/>
    <x v="0"/>
    <s v="Olá Nome, _x000a_Identificamos que o Item Copo Termico foi entregue no dia 22/04/2025, referente ao pedido Nº Pedido 1473 Rastreio Pedido 1473, agradecemos a preferência e adoraríamos receber sua avaliação, tendo qualquer dúvida estamos à disposição._x000a__x000a_Att_x000a_NTA Variedades"/>
  </r>
  <r>
    <s v="Pedido 1475"/>
    <s v="CódRastreio1411"/>
    <n v="3621049739979"/>
    <s v="MEI"/>
    <d v="2025-05-09T00:00:00"/>
    <s v="Transp 1"/>
    <s v="-"/>
    <x v="1"/>
    <s v="Brasil"/>
    <d v="2025-04-24T00:00:00"/>
    <s v="Entregue"/>
    <x v="0"/>
    <s v="-"/>
    <x v="0"/>
    <s v="Olá Nome, _x000a_Identificamos que o Item Mini Liquidificador foi entregue no dia 24/04/2025, referente ao pedido Nº Pedido 1475 Rastreio Pedido 1475, agradecemos a preferência e adoraríamos receber sua avaliação, tendo qualquer dúvida estamos à disposição._x000a__x000a_Att_x000a_NTA Variedades"/>
  </r>
  <r>
    <s v="Pedido 1476"/>
    <s v="CódRastreio1412"/>
    <s v="LP00725359673462"/>
    <s v="MEI"/>
    <d v="2025-05-09T00:00:00"/>
    <s v="Transp 1"/>
    <s v="NM791795660BR"/>
    <x v="0"/>
    <s v="Brasil"/>
    <d v="2025-05-06T00:00:00"/>
    <s v="Entregue"/>
    <x v="0"/>
    <s v="-"/>
    <x v="0"/>
    <s v="Olá Nome, _x000a_Identificamos que o Item Maçarico Culinário Portátil foi entregue no dia 06/05/2025, referente ao pedido Nº Pedido 1476 Rastreio NM791795660BR, agradecemos a preferência e adoraríamos receber sua avaliação, tendo qualquer dúvida estamos à disposição._x000a__x000a_Att_x000a_NTA Variedades"/>
  </r>
  <r>
    <s v="Pedido 1478"/>
    <s v="CódRastreio1414"/>
    <s v="LP00727213086188"/>
    <s v="MEI"/>
    <d v="2025-05-09T00:00:00"/>
    <s v="Transp 1"/>
    <s v="NM792466909BR"/>
    <x v="0"/>
    <s v="Brasil"/>
    <d v="2025-04-30T00:00:00"/>
    <s v="Entregue"/>
    <x v="0"/>
    <s v="-"/>
    <x v="0"/>
    <s v="Olá Nome, _x000a_Identificamos que o Item Ventilador Azul foi entregue no dia 30/04/2025, referente ao pedido Nº Pedido 1478 Rastreio NM792466909BR, agradecemos a preferência e adoraríamos receber sua avaliação, tendo qualquer dúvida estamos à disposição._x000a__x000a_Att_x000a_NTA Variedades"/>
  </r>
  <r>
    <s v="Pedido 1479"/>
    <s v="CódRastreio1415"/>
    <n v="3621049739933"/>
    <s v="MEI"/>
    <d v="2025-05-09T00:00:00"/>
    <s v="Transp 1"/>
    <s v="-"/>
    <x v="1"/>
    <s v="Brasil"/>
    <d v="2025-04-21T00:00:00"/>
    <s v="Entregue"/>
    <x v="0"/>
    <s v="-"/>
    <x v="0"/>
    <s v="Olá Nome, _x000a_Identificamos que o Item Caixinha de som Preta foi entregue no dia 21/04/2025, referente ao pedido Nº Pedido 1479 Rastreio Pedido 1479, agradecemos a preferência e adoraríamos receber sua avaliação, tendo qualquer dúvida estamos à disposição._x000a__x000a_Att_x000a_NTA Variedades"/>
  </r>
  <r>
    <s v="Pedido 1481"/>
    <s v="CódRastreio1417"/>
    <s v="LP00726275804997"/>
    <s v="MEI"/>
    <d v="2025-05-03T00:00:00"/>
    <s v="Transp 1"/>
    <s v="NM791802581BR"/>
    <x v="0"/>
    <s v="Brasil"/>
    <d v="2025-05-08T00:00:00"/>
    <s v="Entregue"/>
    <x v="0"/>
    <s v="Cliente informado"/>
    <x v="1"/>
    <s v="Olá Nome, _x000a_Identificamos que o Item Maçarico Culinário Portátil foi entregue no dia 08/05/2025, referente ao pedido Nº Pedido 1481 Rastreio NM791802581BR, agradecemos a preferência e adoraríamos receber sua avaliação, tendo qualquer dúvida estamos à disposição._x000a__x000a_Att_x000a_NTA Variedades"/>
  </r>
  <r>
    <s v="Pedido 1484"/>
    <s v="CódRastreio1420"/>
    <n v="3621049741087"/>
    <s v="MEI"/>
    <d v="2025-05-09T00:00:00"/>
    <s v="Transp 1"/>
    <s v="-"/>
    <x v="1"/>
    <s v="Brasil"/>
    <d v="2025-04-25T00:00:00"/>
    <s v="Entregue"/>
    <x v="0"/>
    <s v="-"/>
    <x v="0"/>
    <s v="Olá Nome, _x000a_Identificamos que o Item Copo Termico foi entregue no dia 25/04/2025, referente ao pedido Nº Pedido 1484 Rastreio Pedido 1484, agradecemos a preferência e adoraríamos receber sua avaliação, tendo qualquer dúvida estamos à disposição._x000a__x000a_Att_x000a_NTA Variedades"/>
  </r>
  <r>
    <s v="Pedido 1485"/>
    <s v="CódRastreio1421"/>
    <s v="LP00727423206447"/>
    <s v="MEI"/>
    <d v="2025-05-16T00:00:00"/>
    <s v="Transp 1"/>
    <s v="NM792316484BR"/>
    <x v="0"/>
    <s v="Brasil"/>
    <d v="2025-05-26T00:00:00"/>
    <s v="Entregue"/>
    <x v="0"/>
    <s v="-"/>
    <x v="1"/>
    <s v="Olá Nome, _x000a_Identificamos que o Item Maçarico Culinário Portátil foi entregue no dia 26/05/2025, referente ao pedido Nº Pedido 1485 Rastreio NM792316484BR, agradecemos a preferência e adoraríamos receber sua avaliação, tendo qualquer dúvida estamos à disposição._x000a__x000a_Att_x000a_NTA Variedades"/>
  </r>
  <r>
    <s v="Pedido 1486"/>
    <s v="CódRastreio1422"/>
    <s v="LP00725601179987"/>
    <s v="MEI"/>
    <d v="2025-05-10T00:00:00"/>
    <s v="Transp 1"/>
    <s v="NM792324812BR"/>
    <x v="0"/>
    <s v="Brasil"/>
    <d v="2025-05-05T00:00:00"/>
    <s v="Entregue"/>
    <x v="0"/>
    <s v="-"/>
    <x v="0"/>
    <s v="Olá Nome, _x000a_Identificamos que o Item Maçarico Culinário Portátil foi entregue no dia 05/05/2025, referente ao pedido Nº Pedido 1486 Rastreio NM792324812BR, agradecemos a preferência e adoraríamos receber sua avaliação, tendo qualquer dúvida estamos à disposição._x000a__x000a_Att_x000a_NTA Variedades"/>
  </r>
  <r>
    <s v="Pedido 1489"/>
    <s v="CódRastreio1425"/>
    <s v="LP00726490640710"/>
    <s v="MEI"/>
    <d v="2025-05-17T00:00:00"/>
    <s v="Transp 1"/>
    <s v="CNBR00065781987"/>
    <x v="0"/>
    <s v="Brasil"/>
    <d v="2025-04-22T00:00:00"/>
    <s v="Entregue"/>
    <x v="0"/>
    <s v="-"/>
    <x v="0"/>
    <s v="Olá Nome, _x000a_Identificamos que o Item Máquina de cortar cabelo dragão foi entregue no dia 22/04/2025, referente ao pedido Nº Pedido 1489 Rastreio CNBR00065781987, agradecemos a preferência e adoraríamos receber sua avaliação, tendo qualquer dúvida estamos à disposição._x000a__x000a_Att_x000a_NTA Variedades"/>
  </r>
  <r>
    <s v="Pedido 1490"/>
    <s v="CódRastreio1426"/>
    <s v="LP00725571881885"/>
    <s v="MEI"/>
    <d v="2025-05-17T00:00:00"/>
    <s v="Transp 1"/>
    <s v="CNBR00065785729"/>
    <x v="0"/>
    <s v="Brasil"/>
    <d v="2025-04-22T00:00:00"/>
    <s v="Entregue"/>
    <x v="0"/>
    <s v="-"/>
    <x v="0"/>
    <s v="Olá Nome, _x000a_Identificamos que o Item Máquina de cortar cabelo dragão foi entregue no dia 22/04/2025, referente ao pedido Nº Pedido 1490 Rastreio CNBR00065785729, agradecemos a preferência e adoraríamos receber sua avaliação, tendo qualquer dúvida estamos à disposição._x000a__x000a_Att_x000a_NTA Variedades"/>
  </r>
  <r>
    <s v="Pedido 1493"/>
    <s v="CódRastreio1428"/>
    <n v="3621049744638"/>
    <s v="MEI"/>
    <d v="2025-05-10T00:00:00"/>
    <s v="Transp 1"/>
    <s v="-"/>
    <x v="1"/>
    <s v="Brasil"/>
    <d v="2025-04-27T00:00:00"/>
    <s v="Entregue"/>
    <x v="0"/>
    <s v="-"/>
    <x v="0"/>
    <s v="Olá Nome, _x000a_Identificamos que o Item Mini Liquidificador foi entregue no dia 27/04/2025, referente ao pedido Nº Pedido 1493 Rastreio Pedido 1493, agradecemos a preferência e adoraríamos receber sua avaliação, tendo qualquer dúvida estamos à disposição._x000a__x000a_Att_x000a_NTA Variedades"/>
  </r>
  <r>
    <s v="Pedido 1494"/>
    <s v="CódRastreio1429"/>
    <s v="AM286170438BR"/>
    <s v="MEI"/>
    <d v="2025-05-06T00:00:00"/>
    <s v="Transp 1"/>
    <s v="-"/>
    <x v="1"/>
    <s v="Brasil"/>
    <d v="2025-04-23T00:00:00"/>
    <s v="Entregue"/>
    <x v="0"/>
    <s v="-"/>
    <x v="0"/>
    <s v="Olá Nome, _x000a_Identificamos que o Item Copo Termico foi entregue no dia 23/04/2025, referente ao pedido Nº Pedido 1494 Rastreio Pedido 1494, agradecemos a preferência e adoraríamos receber sua avaliação, tendo qualquer dúvida estamos à disposição._x000a__x000a_Att_x000a_NTA Variedades"/>
  </r>
  <r>
    <s v="Pedido 1515"/>
    <s v="CódRastreio1449"/>
    <n v="3621049738777"/>
    <s v="MEI"/>
    <d v="2025-05-07T00:00:00"/>
    <s v="Transp 1"/>
    <s v="-"/>
    <x v="1"/>
    <s v="Brasil"/>
    <d v="2025-04-19T00:00:00"/>
    <s v="Entregue"/>
    <x v="0"/>
    <s v="-"/>
    <x v="0"/>
    <s v="Olá Nome, _x000a_Identificamos que o Item Caixinha de som Preta foi entregue no dia 19/04/2025, referente ao pedido Nº Pedido 1515 Rastreio Pedido 1515, agradecemos a preferência e adoraríamos receber sua avaliação, tendo qualquer dúvida estamos à disposição._x000a__x000a_Att_x000a_NTA Variedades"/>
  </r>
  <r>
    <s v="Pedido 1516"/>
    <s v="CódRastreio1450"/>
    <s v="LP00726268568504"/>
    <s v="MEI"/>
    <d v="2025-05-20T00:00:00"/>
    <s v="Transp 1"/>
    <s v="NM791800585BR"/>
    <x v="0"/>
    <s v="Brasil"/>
    <d v="2025-06-02T00:00:00"/>
    <s v="Entregue"/>
    <x v="0"/>
    <s v="-"/>
    <x v="1"/>
    <s v="Olá Nome, _x000a_Identificamos que o Item Maçarico Culinário Portátil foi entregue no dia 02/06/2025, referente ao pedido Nº Pedido 1516 Rastreio NM791800585BR, agradecemos a preferência e adoraríamos receber sua avaliação, tendo qualquer dúvida estamos à disposição._x000a__x000a_Att_x000a_NTA Variedades"/>
  </r>
  <r>
    <s v="Pedido 1517"/>
    <s v="CódRastreio1451"/>
    <s v="LP00726272253906"/>
    <s v="GO"/>
    <d v="2025-05-13T00:00:00"/>
    <s v="Transp 1"/>
    <s v="NM792472263BR"/>
    <x v="0"/>
    <s v="Brasil"/>
    <d v="2025-04-28T00:00:00"/>
    <s v="Entregue"/>
    <x v="0"/>
    <s v="-"/>
    <x v="0"/>
    <s v="Olá Nome, _x000a_Identificamos que o Item Ventilador Azul foi entregue no dia 28/04/2025, referente ao pedido Nº Pedido 1517 Rastreio NM792472263BR, agradecemos a preferência e adoraríamos receber sua avaliação, tendo qualquer dúvida estamos à disposição._x000a__x000a_Att_x000a_Sec Variedades"/>
  </r>
  <r>
    <s v="Pedido 1518"/>
    <s v="CódRastreio1452"/>
    <s v="LP00725381182419"/>
    <s v="GO"/>
    <d v="2025-05-20T00:00:00"/>
    <s v="Transp 1"/>
    <s v="NM792461212BR"/>
    <x v="0"/>
    <s v="Brasil"/>
    <d v="2025-05-06T00:00:00"/>
    <s v="Entregue"/>
    <x v="0"/>
    <s v="-"/>
    <x v="0"/>
    <s v="Olá Nome, _x000a_Identificamos que o Item Ventilador Preto foi entregue no dia 06/05/2025, referente ao pedido Nº Pedido 1518 Rastreio NM792461212BR, agradecemos a preferência e adoraríamos receber sua avaliação, tendo qualquer dúvida estamos à disposição._x000a__x000a_Att_x000a_Sec Variedades"/>
  </r>
  <r>
    <s v="Pedido 1519"/>
    <s v="CódRastreio1453"/>
    <n v="3621049740652"/>
    <s v="MEI"/>
    <d v="2025-05-07T00:00:00"/>
    <s v="Transp 1"/>
    <s v="-"/>
    <x v="1"/>
    <s v="Brasil"/>
    <d v="2025-04-22T00:00:00"/>
    <s v="Entregue"/>
    <x v="0"/>
    <s v="-"/>
    <x v="0"/>
    <s v="Olá Nome, _x000a_Identificamos que o Item Mini Liquidificador foi entregue no dia 22/04/2025, referente ao pedido Nº Pedido 1519 Rastreio Pedido 1519, agradecemos a preferência e adoraríamos receber sua avaliação, tendo qualquer dúvida estamos à disposição._x000a__x000a_Att_x000a_NTA Variedades"/>
  </r>
  <r>
    <s v="Pedido 1520"/>
    <s v="CódRastreio1454"/>
    <s v="LP00726464703337"/>
    <s v="MEI"/>
    <d v="2025-05-13T00:00:00"/>
    <s v="Transp 1"/>
    <s v="CNBR00065789129"/>
    <x v="0"/>
    <s v="Brasil"/>
    <d v="2025-04-25T00:00:00"/>
    <s v="Entregue"/>
    <x v="0"/>
    <s v="-"/>
    <x v="0"/>
    <s v="Olá Nome, _x000a_Identificamos que o Item Máquina de cortar cabelo dragão foi entregue no dia 25/04/2025, referente ao pedido Nº Pedido 1520 Rastreio CNBR00065789129, agradecemos a preferência e adoraríamos receber sua avaliação, tendo qualquer dúvida estamos à disposição._x000a__x000a_Att_x000a_NTA Variedades"/>
  </r>
  <r>
    <s v="Pedido 1521"/>
    <s v="CódRastreio1455"/>
    <n v="3621049740600"/>
    <s v="MEI"/>
    <d v="2025-05-07T00:00:00"/>
    <s v="Transp 1"/>
    <s v="-"/>
    <x v="1"/>
    <s v="Brasil"/>
    <d v="2025-04-21T00:00:00"/>
    <s v="Entregue"/>
    <x v="0"/>
    <s v="-"/>
    <x v="0"/>
    <s v="Olá Nome, _x000a_Identificamos que o Item Suporte de Celular Branco foi entregue no dia 21/04/2025, referente ao pedido Nº Pedido 1521 Rastreio Pedido 1521, agradecemos a preferência e adoraríamos receber sua avaliação, tendo qualquer dúvida estamos à disposição._x000a__x000a_Att_x000a_NTA Variedades"/>
  </r>
  <r>
    <s v="Pedido 1522"/>
    <s v="CódRastreio1456"/>
    <n v="3621049739627"/>
    <s v="MEI"/>
    <d v="2025-05-13T00:00:00"/>
    <s v="Transp 1"/>
    <s v="-"/>
    <x v="1"/>
    <s v="Brasil"/>
    <d v="2025-04-25T00:00:00"/>
    <s v="Entregue"/>
    <x v="0"/>
    <s v="-"/>
    <x v="0"/>
    <s v="Olá Nome, _x000a_Identificamos que o Item Suporte de Celular Branco foi entregue no dia 25/04/2025, referente ao pedido Nº Pedido 1522 Rastreio Pedido 1522, agradecemos a preferência e adoraríamos receber sua avaliação, tendo qualquer dúvida estamos à disposição._x000a__x000a_Att_x000a_NTA Variedades"/>
  </r>
  <r>
    <s v="Pedido 1444"/>
    <s v="CódRastreio1382"/>
    <s v="LP00724787909441"/>
    <s v="MEI"/>
    <d v="2025-05-06T00:00:00"/>
    <s v="Transp 1"/>
    <s v="CNBR00065839512"/>
    <x v="0"/>
    <s v="Brasil"/>
    <d v="2025-04-28T00:00:00"/>
    <s v="Entregue"/>
    <x v="0"/>
    <s v="-"/>
    <x v="0"/>
    <s v="Olá Nome, _x000a_Identificamos que o Item Ventilador Azul foi entregue no dia 28/04/2025, referente ao pedido Nº Pedido 1444 Rastreio CNBR00065839512, agradecemos a preferência e adoraríamos receber sua avaliação, tendo qualquer dúvida estamos à disposição._x000a__x000a_Att_x000a_NTA Variedades"/>
  </r>
  <r>
    <s v="Pedido 1482"/>
    <s v="CódRastreio1418"/>
    <s v="LP00726780578492"/>
    <s v="MEI"/>
    <d v="2025-05-09T00:00:00"/>
    <s v="Transp 1"/>
    <s v="NM793521500BR"/>
    <x v="0"/>
    <s v="Brasil"/>
    <d v="2025-05-07T00:00:00"/>
    <s v="Entregue"/>
    <x v="0"/>
    <s v="-"/>
    <x v="0"/>
    <s v="Olá Nome, _x000a_Identificamos que o Item Maçarico Culinário Portátil foi entregue no dia 07/05/2025, referente ao pedido Nº Pedido 1482 Rastreio NM793521500BR, agradecemos a preferência e adoraríamos receber sua avaliação, tendo qualquer dúvida estamos à disposição._x000a__x000a_Att_x000a_NTA Variedades"/>
  </r>
  <r>
    <s v="Pedido 1483"/>
    <s v="CódRastreio1419"/>
    <s v="LP00726485211125"/>
    <s v="MEI"/>
    <d v="2025-05-03T00:00:00"/>
    <s v="Transp 1"/>
    <s v="NM793450732BR"/>
    <x v="0"/>
    <s v="Brasil"/>
    <d v="2025-04-28T00:00:00"/>
    <s v="Status anormal"/>
    <x v="0"/>
    <s v="Cliente informado"/>
    <x v="0"/>
    <s v="Olá Nome, _x000a_Identificamos que o Item Ventilador Azul foi entregue no dia 28/04/2025, referente ao pedido Nº Pedido 1483 Rastreio NM793450732BR, agradecemos a preferência e adoraríamos receber sua avaliação, tendo qualquer dúvida estamos à disposição._x000a__x000a_Att_x000a_NTA Variedades"/>
  </r>
  <r>
    <s v="Pedido 1487"/>
    <s v="CódRastreio1423"/>
    <s v="LP00725863037995"/>
    <s v="MEI"/>
    <d v="2025-05-10T00:00:00"/>
    <s v="Transp 1"/>
    <s v="NM793666274BR"/>
    <x v="0"/>
    <s v="Brasil"/>
    <d v="2025-04-28T00:00:00"/>
    <s v="Entregue"/>
    <x v="0"/>
    <s v="-"/>
    <x v="0"/>
    <s v="Olá Nome, _x000a_Identificamos que o Item Lampada Led foi entregue no dia 28/04/2025, referente ao pedido Nº Pedido 1487 Rastreio NM793666274BR, agradecemos a preferência e adoraríamos receber sua avaliação, tendo qualquer dúvida estamos à disposição._x000a__x000a_Att_x000a_NTA Variedades"/>
  </r>
  <r>
    <s v="Pedido 1488"/>
    <s v="CódRastreio1424"/>
    <s v="LP00727426842935"/>
    <s v="MEI"/>
    <d v="2025-05-10T00:00:00"/>
    <s v="Transp 1"/>
    <s v="NM793443365BR"/>
    <x v="0"/>
    <s v="Brasil"/>
    <d v="2025-04-29T00:00:00"/>
    <s v="Entregue"/>
    <x v="0"/>
    <s v="Cliente informado"/>
    <x v="0"/>
    <s v="Olá Nome, _x000a_Identificamos que o Item Ventilador Azul foi entregue no dia 29/04/2025, referente ao pedido Nº Pedido 1488 Rastreio NM793443365BR, agradecemos a preferência e adoraríamos receber sua avaliação, tendo qualquer dúvida estamos à disposição._x000a__x000a_Att_x000a_NTA Variedades"/>
  </r>
  <r>
    <s v="Pedido 1492"/>
    <s v="CódRastreio1427"/>
    <s v="LP00726459645809"/>
    <s v="MEI"/>
    <d v="2025-05-10T00:00:00"/>
    <s v="Transp 1"/>
    <s v="NM793448800BR"/>
    <x v="0"/>
    <s v="Brasil"/>
    <d v="2025-04-28T00:00:00"/>
    <s v="Entregue"/>
    <x v="0"/>
    <s v="-"/>
    <x v="0"/>
    <s v="Olá Nome, _x000a_Identificamos que o Item Ventilador Azul foi entregue no dia 28/04/2025, referente ao pedido Nº Pedido 1492 Rastreio NM793448800BR, agradecemos a preferência e adoraríamos receber sua avaliação, tendo qualquer dúvida estamos à disposição._x000a__x000a_Att_x000a_NTA Variedades"/>
  </r>
  <r>
    <s v="Pedido 1523"/>
    <s v="CódRastreio1457"/>
    <s v="LP00727417260700"/>
    <s v="GO"/>
    <d v="2025-05-13T00:00:00"/>
    <s v="Transp 1"/>
    <s v="NM793432566BR"/>
    <x v="0"/>
    <s v="Brasil"/>
    <d v="2025-04-28T00:00:00"/>
    <s v="Entregue"/>
    <x v="0"/>
    <s v="-"/>
    <x v="0"/>
    <s v="Olá Nome, _x000a_Identificamos que o Item Ventilador Azul foi entregue no dia 28/04/2025, referente ao pedido Nº Pedido 1523 Rastreio NM793432566BR, agradecemos a preferência e adoraríamos receber sua avaliação, tendo qualquer dúvida estamos à disposição._x000a__x000a_Att_x000a_Sec Variedades"/>
  </r>
  <r>
    <s v="Pedido 1524"/>
    <s v="CódRastreio1458"/>
    <s v="LP00725585573063"/>
    <s v="GO"/>
    <d v="2025-05-13T00:00:00"/>
    <s v="Transp 1"/>
    <s v="NM793432671BR"/>
    <x v="0"/>
    <s v="Brasil"/>
    <d v="2025-04-28T00:00:00"/>
    <s v="Entregue"/>
    <x v="0"/>
    <s v="-"/>
    <x v="0"/>
    <s v="Olá Nome, _x000a_Identificamos que o Item Ventilador Rosa foi entregue no dia 28/04/2025, referente ao pedido Nº Pedido 1524 Rastreio NM793432671BR, agradecemos a preferência e adoraríamos receber sua avaliação, tendo qualquer dúvida estamos à disposição._x000a__x000a_Att_x000a_Sec Variedades"/>
  </r>
  <r>
    <s v="Pedido 1527"/>
    <s v="CódRastreio1460"/>
    <n v="3621049743883"/>
    <s v="MEI"/>
    <d v="2025-05-07T00:00:00"/>
    <s v="Transp 1"/>
    <s v="-"/>
    <x v="1"/>
    <s v="Brasil"/>
    <d v="2025-04-23T00:00:00"/>
    <s v="Entregue"/>
    <x v="0"/>
    <s v="-"/>
    <x v="0"/>
    <s v="Olá Nome, _x000a_Identificamos que o Item Suporte de Celular Branco foi entregue no dia 23/04/2025, referente ao pedido Nº Pedido 1527 Rastreio Pedido 1527, agradecemos a preferência e adoraríamos receber sua avaliação, tendo qualquer dúvida estamos à disposição._x000a__x000a_Att_x000a_NTA Variedades"/>
  </r>
  <r>
    <s v="Pedido 1528"/>
    <s v="CódRastreio1461"/>
    <n v="3621049744270"/>
    <s v="MEI"/>
    <d v="2025-05-07T00:00:00"/>
    <s v="Transp 1"/>
    <s v="-"/>
    <x v="1"/>
    <s v="Brasil"/>
    <d v="2025-04-29T00:00:00"/>
    <s v="Entregue"/>
    <x v="0"/>
    <s v="Cliente informado"/>
    <x v="0"/>
    <s v="Olá Nome, _x000a_Identificamos que o Item Suporte de Celular Branco foi entregue no dia 29/04/2025, referente ao pedido Nº Pedido 1528 Rastreio Pedido 1528, agradecemos a preferência e adoraríamos receber sua avaliação, tendo qualquer dúvida estamos à disposição._x000a__x000a_Att_x000a_NTA Variedades"/>
  </r>
  <r>
    <s v="Pedido 1529"/>
    <s v="CódRastreio1462"/>
    <n v="3621049744271"/>
    <s v="MEI"/>
    <d v="2025-05-13T00:00:00"/>
    <s v="Transp 1"/>
    <s v="-"/>
    <x v="1"/>
    <s v="Brasil"/>
    <d v="2025-04-24T00:00:00"/>
    <s v="Entregue"/>
    <x v="0"/>
    <s v="-"/>
    <x v="0"/>
    <s v="Olá Nome, _x000a_Identificamos que o Item Suporte de Celular Branco foi entregue no dia 24/04/2025, referente ao pedido Nº Pedido 1529 Rastreio Pedido 1529, agradecemos a preferência e adoraríamos receber sua avaliação, tendo qualquer dúvida estamos à disposição._x000a__x000a_Att_x000a_NTA Variedades"/>
  </r>
  <r>
    <s v="Pedido 1531"/>
    <s v="CódRastreio1463"/>
    <s v="LP00726819501598"/>
    <s v="MEI"/>
    <d v="2025-05-14T00:00:00"/>
    <s v="Transp 1"/>
    <s v="NM793613625BR"/>
    <x v="0"/>
    <s v="Brasil"/>
    <d v="2025-06-17T00:00:00"/>
    <s v="Em análise na alfândega"/>
    <x v="0"/>
    <s v="-"/>
    <x v="1"/>
    <s v="Olá Nome, _x000a_Identificamos que o Item Maçarico Culinário Portátil foi entregue no dia 17/06/2025, referente ao pedido Nº Pedido 1531 Rastreio NM793613625BR, agradecemos a preferência e adoraríamos receber sua avaliação, tendo qualquer dúvida estamos à disposição._x000a__x000a_Att_x000a_NTA Variedades"/>
  </r>
  <r>
    <s v="Pedido 1532"/>
    <s v="CódRastreio1464"/>
    <s v="LP00726760598641"/>
    <s v="MEI"/>
    <d v="2025-05-14T00:00:00"/>
    <s v="Transp 1"/>
    <s v="NM793468225BR"/>
    <x v="0"/>
    <s v="Brasil"/>
    <d v="2025-06-05T00:00:00"/>
    <s v="Entregue"/>
    <x v="0"/>
    <s v="-"/>
    <x v="1"/>
    <s v="Olá Nome, _x000a_Identificamos que o Item Maçarico Culinário Portátil foi entregue no dia 05/06/2025, referente ao pedido Nº Pedido 1532 Rastreio NM793468225BR, agradecemos a preferência e adoraríamos receber sua avaliação, tendo qualquer dúvida estamos à disposição._x000a__x000a_Att_x000a_NTA Variedades"/>
  </r>
  <r>
    <s v="Pedido 1496"/>
    <s v="CódRastreio1430"/>
    <s v="LP00727072922363"/>
    <s v="MEI"/>
    <d v="2025-05-10T00:00:00"/>
    <s v="Transp 1"/>
    <s v="NM794614551BR"/>
    <x v="0"/>
    <s v="Brasil"/>
    <d v="2025-05-14T00:00:00"/>
    <s v="Entregue"/>
    <x v="0"/>
    <s v="-"/>
    <x v="1"/>
    <s v="Olá Nome, _x000a_Identificamos que o Item Maçarico Culinário Portátil foi entregue no dia 14/05/2025, referente ao pedido Nº Pedido 1496 Rastreio NM794614551BR, agradecemos a preferência e adoraríamos receber sua avaliação, tendo qualquer dúvida estamos à disposição._x000a__x000a_Att_x000a_NTA Variedades"/>
  </r>
  <r>
    <s v="Pedido 1497"/>
    <s v="CódRastreio1431"/>
    <s v="LP00728027160116"/>
    <s v="MEI"/>
    <d v="2025-05-17T00:00:00"/>
    <s v="Transp 1"/>
    <s v="NM794619647BR"/>
    <x v="0"/>
    <s v="Brasil"/>
    <d v="2025-05-23T00:00:00"/>
    <s v="Entregue"/>
    <x v="0"/>
    <s v="-"/>
    <x v="1"/>
    <s v="Olá Nome, _x000a_Identificamos que o Item Lampada Led foi entregue no dia 23/05/2025, referente ao pedido Nº Pedido 1497 Rastreio NM794619647BR, agradecemos a preferência e adoraríamos receber sua avaliação, tendo qualquer dúvida estamos à disposição._x000a__x000a_Att_x000a_NTA Variedades"/>
  </r>
  <r>
    <s v="Pedido 1498"/>
    <s v="CódRastreio1432"/>
    <s v="LP00727996885978"/>
    <s v="MEI"/>
    <d v="2025-05-06T00:00:00"/>
    <s v="Transp 1"/>
    <s v="NM794509672BR"/>
    <x v="0"/>
    <s v="Brasil"/>
    <d v="2025-05-05T00:00:00"/>
    <s v="Entregue"/>
    <x v="0"/>
    <s v="-"/>
    <x v="0"/>
    <s v="Olá Nome, _x000a_Identificamos que o Item Maçarico Culinário Portátil foi entregue no dia 05/05/2025, referente ao pedido Nº Pedido 1498 Rastreio NM794509672BR, agradecemos a preferência e adoraríamos receber sua avaliação, tendo qualquer dúvida estamos à disposição._x000a__x000a_Att_x000a_NTA Variedades"/>
  </r>
  <r>
    <s v="Pedido 1525"/>
    <s v="CódRastreio1459"/>
    <s v="LP00725857444346"/>
    <s v="GO"/>
    <d v="2025-05-07T00:00:00"/>
    <s v="Transp 1"/>
    <s v="NM794763493BR"/>
    <x v="0"/>
    <s v="Brasil"/>
    <d v="2025-04-28T00:00:00"/>
    <s v="Entregue"/>
    <x v="0"/>
    <s v="-"/>
    <x v="0"/>
    <s v="Olá Nome, _x000a_Identificamos que o Item Ventilador Azul foi entregue no dia 28/04/2025, referente ao pedido Nº Pedido 1525 Rastreio NM794763493BR, agradecemos a preferência e adoraríamos receber sua avaliação, tendo qualquer dúvida estamos à disposição._x000a__x000a_Att_x000a_Sec Variedades"/>
  </r>
  <r>
    <s v="Pedido 1533"/>
    <s v="CódRastreio1465"/>
    <s v="LP00727691784592"/>
    <s v="GO"/>
    <d v="2025-05-13T00:00:00"/>
    <s v="Transp 1"/>
    <s v="NM794422786BR"/>
    <x v="0"/>
    <s v="Brasil"/>
    <d v="2025-05-02T00:00:00"/>
    <s v="Entregue"/>
    <x v="0"/>
    <s v="-"/>
    <x v="0"/>
    <s v="Olá Nome, _x000a_Identificamos que o Item Ventilador Preto foi entregue no dia 02/05/2025, referente ao pedido Nº Pedido 1533 Rastreio NM794422786BR, agradecemos a preferência e adoraríamos receber sua avaliação, tendo qualquer dúvida estamos à disposição._x000a__x000a_Att_x000a_Sec Variedades"/>
  </r>
  <r>
    <s v="Pedido 1534"/>
    <s v="CódRastreio1466"/>
    <s v="LP00727703292335"/>
    <s v="GO"/>
    <d v="2025-05-14T00:00:00"/>
    <s v="Transp 1"/>
    <s v="NM794423747BR"/>
    <x v="0"/>
    <s v="Brasil"/>
    <d v="2025-05-05T00:00:00"/>
    <s v="Entregue"/>
    <x v="0"/>
    <s v="-"/>
    <x v="0"/>
    <s v="Olá Nome, _x000a_Identificamos que o Item Ventilador Rosa foi entregue no dia 05/05/2025, referente ao pedido Nº Pedido 1534 Rastreio NM794423747BR, agradecemos a preferência e adoraríamos receber sua avaliação, tendo qualquer dúvida estamos à disposição._x000a__x000a_Att_x000a_Sec Variedades"/>
  </r>
  <r>
    <s v="Pedido 1535"/>
    <s v="CódRastreio1467"/>
    <s v="LP00727717548906"/>
    <s v="GO"/>
    <d v="2025-05-08T00:00:00"/>
    <s v="Transp 1"/>
    <s v="NM794420431BR"/>
    <x v="0"/>
    <s v="Brasil"/>
    <d v="2025-04-30T00:00:00"/>
    <s v="Entregue"/>
    <x v="0"/>
    <s v="-"/>
    <x v="0"/>
    <s v="Olá Nome, _x000a_Identificamos que o Item Ventilador Preto foi entregue no dia 30/04/2025, referente ao pedido Nº Pedido 1535 Rastreio NM794420431BR, agradecemos a preferência e adoraríamos receber sua avaliação, tendo qualquer dúvida estamos à disposição._x000a__x000a_Att_x000a_Sec Variedades"/>
  </r>
  <r>
    <s v="Pedido 1536"/>
    <s v="CódRastreio1468"/>
    <s v="AM286195151BR"/>
    <s v="MEI"/>
    <d v="2025-05-09T00:00:00"/>
    <s v="Transp 1"/>
    <s v="-"/>
    <x v="1"/>
    <s v="Brasil"/>
    <d v="2025-04-25T00:00:00"/>
    <s v="Entregue"/>
    <x v="0"/>
    <s v="-"/>
    <x v="0"/>
    <s v="Olá Nome, _x000a_Identificamos que o Item Copo Termico foi entregue no dia 25/04/2025, referente ao pedido Nº Pedido 1536 Rastreio Pedido 1536, agradecemos a preferência e adoraríamos receber sua avaliação, tendo qualquer dúvida estamos à disposição._x000a__x000a_Att_x000a_NTA Variedades"/>
  </r>
  <r>
    <s v="Pedido 1537"/>
    <s v="CódRastreio1469"/>
    <s v="LP00726140644310"/>
    <s v="MEI"/>
    <d v="2025-05-15T00:00:00"/>
    <s v="Transp 1"/>
    <s v="NM794471402BR"/>
    <x v="0"/>
    <s v="Brasil"/>
    <d v="2025-05-14T00:00:00"/>
    <s v="Entregue"/>
    <x v="0"/>
    <s v="-"/>
    <x v="0"/>
    <s v="Olá Nome, _x000a_Identificamos que o Item Maçarico Culinário Portátil foi entregue no dia 14/05/2025, referente ao pedido Nº Pedido 1537 Rastreio NM794471402BR, agradecemos a preferência e adoraríamos receber sua avaliação, tendo qualquer dúvida estamos à disposição._x000a__x000a_Att_x000a_NTA Variedades"/>
  </r>
  <r>
    <s v="Pedido 1499"/>
    <s v="CódRastreio1433"/>
    <s v="LP00727000749184"/>
    <s v="MEI"/>
    <d v="2025-05-10T00:00:00"/>
    <s v="Transp 1"/>
    <s v="NM795427334BR"/>
    <x v="0"/>
    <s v="Brasil"/>
    <d v="2025-05-02T00:00:00"/>
    <s v="Entregue"/>
    <x v="0"/>
    <s v="Cliente informado"/>
    <x v="0"/>
    <s v="Olá Nome, _x000a_Identificamos que o Item Ventilador Azul foi entregue no dia 02/05/2025, referente ao pedido Nº Pedido 1499 Rastreio NM795427334BR, agradecemos a preferência e adoraríamos receber sua avaliação, tendo qualquer dúvida estamos à disposição._x000a__x000a_Att_x000a_NTA Variedades"/>
  </r>
  <r>
    <s v="Pedido 1500"/>
    <s v="CódRastreio1434"/>
    <s v="LP00726363082514"/>
    <s v="MEI"/>
    <d v="2025-05-13T00:00:00"/>
    <s v="Transp 1"/>
    <s v="NM795366290BR"/>
    <x v="0"/>
    <s v="Brasil"/>
    <d v="2025-05-30T00:00:00"/>
    <s v="Entregue"/>
    <x v="0"/>
    <s v="-"/>
    <x v="1"/>
    <s v="Olá Nome, _x000a_Identificamos que o Item Máquina de cortar cabelo dragão foi entregue no dia 30/05/2025, referente ao pedido Nº Pedido 1500 Rastreio NM795366290BR, agradecemos a preferência e adoraríamos receber sua avaliação, tendo qualquer dúvida estamos à disposição._x000a__x000a_Att_x000a_NTA Variedades"/>
  </r>
  <r>
    <s v="Pedido 1501"/>
    <s v="CódRastreio1435"/>
    <s v="LP00728188969114"/>
    <s v="MEI"/>
    <d v="2025-05-13T00:00:00"/>
    <s v="Transp 1"/>
    <s v="NM795250005BR"/>
    <x v="0"/>
    <s v="Brasil"/>
    <d v="2025-05-06T00:00:00"/>
    <s v="Entregue"/>
    <x v="0"/>
    <s v="-"/>
    <x v="0"/>
    <s v="Olá Nome, _x000a_Identificamos que o Item Máquina de cortar cabelo dragão foi entregue no dia 06/05/2025, referente ao pedido Nº Pedido 1501 Rastreio NM795250005BR, agradecemos a preferência e adoraríamos receber sua avaliação, tendo qualquer dúvida estamos à disposição._x000a__x000a_Att_x000a_NTA Variedades"/>
  </r>
  <r>
    <s v="Pedido 1502"/>
    <s v="CódRastreio1436"/>
    <s v="AM286204851BR"/>
    <s v="MEI"/>
    <d v="2025-05-07T00:00:00"/>
    <s v="Transp 1"/>
    <s v="-"/>
    <x v="1"/>
    <s v="Brasil"/>
    <d v="2025-04-28T00:00:00"/>
    <s v="Entregue"/>
    <x v="0"/>
    <s v="-"/>
    <x v="0"/>
    <s v="Olá Nome, _x000a_Identificamos que o Item Caixinha de som Preta foi entregue no dia 28/04/2025, referente ao pedido Nº Pedido 1502 Rastreio Pedido 1502, agradecemos a preferência e adoraríamos receber sua avaliação, tendo qualquer dúvida estamos à disposição._x000a__x000a_Att_x000a_NTA Variedades"/>
  </r>
  <r>
    <s v="Pedido 1503"/>
    <s v="CódRastreio1437"/>
    <s v="LP00728185981420"/>
    <s v="MEI"/>
    <d v="2025-05-13T00:00:00"/>
    <s v="Transp 1"/>
    <s v="NM795449913BR"/>
    <x v="0"/>
    <s v="Brasil"/>
    <d v="2025-06-03T00:00:00"/>
    <s v="Entregue"/>
    <x v="0"/>
    <s v="-"/>
    <x v="1"/>
    <s v="Olá Nome, _x000a_Identificamos que o Item Máquina de cortar cabelo dragão foi entregue no dia 03/06/2025, referente ao pedido Nº Pedido 1503 Rastreio NM795449913BR, agradecemos a preferência e adoraríamos receber sua avaliação, tendo qualquer dúvida estamos à disposição._x000a__x000a_Att_x000a_NTA Variedades"/>
  </r>
  <r>
    <s v="Pedido 1504"/>
    <s v="CódRastreio1438"/>
    <s v="LP00728220120657"/>
    <s v="MEI"/>
    <d v="2025-05-13T00:00:00"/>
    <s v="Transp 1"/>
    <s v="NM795452489BR"/>
    <x v="0"/>
    <s v="Brasil"/>
    <d v="2025-05-23T00:00:00"/>
    <s v="Entregue"/>
    <x v="0"/>
    <s v="-"/>
    <x v="1"/>
    <s v="Olá Nome, _x000a_Identificamos que o Item Máquina de cortar cabelo dragão foi entregue no dia 23/05/2025, referente ao pedido Nº Pedido 1504 Rastreio NM795452489BR, agradecemos a preferência e adoraríamos receber sua avaliação, tendo qualquer dúvida estamos à disposição._x000a__x000a_Att_x000a_NTA Variedades"/>
  </r>
  <r>
    <s v="Pedido 1506"/>
    <s v="CódRastreio1440"/>
    <s v="LP00727289054607"/>
    <s v="MEI"/>
    <d v="2025-05-07T00:00:00"/>
    <s v="Transp 1"/>
    <s v="NM795459133BR"/>
    <x v="0"/>
    <s v="Brasil"/>
    <d v="2025-04-29T00:00:00"/>
    <s v="Entregue"/>
    <x v="0"/>
    <s v="-"/>
    <x v="0"/>
    <s v="Olá Nome, _x000a_Identificamos que o Item Lampada Led foi entregue no dia 29/04/2025, referente ao pedido Nº Pedido 1506 Rastreio NM795459133BR, agradecemos a preferência e adoraríamos receber sua avaliação, tendo qualquer dúvida estamos à disposição._x000a__x000a_Att_x000a_NTA Variedades"/>
  </r>
  <r>
    <s v="Pedido 1508"/>
    <s v="CódRastreio1442"/>
    <s v="LP00727314176137"/>
    <s v="MEI"/>
    <d v="2025-05-13T00:00:00"/>
    <s v="Transp 1"/>
    <s v="NM795472982BR"/>
    <x v="0"/>
    <s v="Brasil"/>
    <d v="2025-05-22T00:00:00"/>
    <s v="Entregue"/>
    <x v="0"/>
    <s v="-"/>
    <x v="1"/>
    <s v="Olá Nome, _x000a_Identificamos que o Item Máquina de cortar cabelo dragão foi entregue no dia 22/05/2025, referente ao pedido Nº Pedido 1508 Rastreio NM795472982BR, agradecemos a preferência e adoraríamos receber sua avaliação, tendo qualquer dúvida estamos à disposição._x000a__x000a_Att_x000a_NTA Variedades"/>
  </r>
  <r>
    <s v="Pedido 1509"/>
    <s v="CódRastreio1443"/>
    <s v="LP00728208354305"/>
    <s v="MEI"/>
    <d v="2025-05-13T00:00:00"/>
    <s v="Transp 1"/>
    <s v="NM795381310BR"/>
    <x v="0"/>
    <s v="Brasil"/>
    <d v="2025-04-30T00:00:00"/>
    <s v="Entregue"/>
    <x v="0"/>
    <s v="-"/>
    <x v="0"/>
    <s v="Olá Nome, _x000a_Identificamos que o Item Máquina de cortar cabelo dragão foi entregue no dia 30/04/2025, referente ao pedido Nº Pedido 1509 Rastreio NM795381310BR, agradecemos a preferência e adoraríamos receber sua avaliação, tendo qualquer dúvida estamos à disposição._x000a__x000a_Att_x000a_NTA Variedades"/>
  </r>
  <r>
    <s v="Pedido 1510"/>
    <s v="CódRastreio1444"/>
    <s v="LP00727226961822"/>
    <s v="MEI"/>
    <d v="2025-05-13T00:00:00"/>
    <s v="Transp 1"/>
    <s v="NM795380566BR"/>
    <x v="0"/>
    <s v="Brasil"/>
    <d v="2025-05-22T00:00:00"/>
    <s v="Status anormal"/>
    <x v="0"/>
    <s v="Cliente informado"/>
    <x v="1"/>
    <s v="Olá Nome, _x000a_Identificamos que o Item Máquina de cortar cabelo dragão foi entregue no dia 22/05/2025, referente ao pedido Nº Pedido 1510 Rastreio NM795380566BR, agradecemos a preferência e adoraríamos receber sua avaliação, tendo qualquer dúvida estamos à disposição._x000a__x000a_Att_x000a_NTA Variedades"/>
  </r>
  <r>
    <s v="Pedido 1505"/>
    <s v="CódRastreio1439"/>
    <n v="3621049758263"/>
    <s v="MEI"/>
    <d v="2025-05-13T00:00:00"/>
    <s v="Transp 1"/>
    <s v="-"/>
    <x v="1"/>
    <s v="Brasil"/>
    <d v="2025-04-30T00:00:00"/>
    <s v="Entregue"/>
    <x v="0"/>
    <s v="Cliente informado"/>
    <x v="0"/>
    <s v="Olá Nome, _x000a_Identificamos que o Item Mini Liquidificador foi entregue no dia 30/04/2025, referente ao pedido Nº Pedido 1505 Rastreio Pedido 1505, agradecemos a preferência e adoraríamos receber sua avaliação, tendo qualquer dúvida estamos à disposição._x000a__x000a_Att_x000a_NTA Variedades"/>
  </r>
  <r>
    <s v="Pedido 1540"/>
    <s v="CódRastreio1470"/>
    <s v="AM286243824BR"/>
    <s v="MEI"/>
    <d v="2025-05-09T00:00:00"/>
    <s v="Transp 1"/>
    <s v="-"/>
    <x v="1"/>
    <s v="Brasil"/>
    <d v="2025-04-29T00:00:00"/>
    <s v="Entregue"/>
    <x v="0"/>
    <s v="Cliente informado"/>
    <x v="0"/>
    <s v="Olá Nome, _x000a_Identificamos que o Item Copo Termico foi entregue no dia 29/04/2025, referente ao pedido Nº Pedido 1540 Rastreio Pedido 1540, agradecemos a preferência e adoraríamos receber sua avaliação, tendo qualquer dúvida estamos à disposição._x000a__x000a_Att_x000a_NTA Variedades"/>
  </r>
  <r>
    <s v="Pedido 1549"/>
    <s v="CódRastreio1478"/>
    <s v="LP00728423186596"/>
    <s v="GO"/>
    <d v="2025-05-13T00:00:00"/>
    <s v="Transp 1"/>
    <s v="NM798596898BR"/>
    <x v="0"/>
    <s v="Brasil"/>
    <d v="2025-04-29T00:00:00"/>
    <s v="Entregue"/>
    <x v="0"/>
    <s v="-"/>
    <x v="0"/>
    <s v="Olá Nome, _x000a_Identificamos que o Item Cortador de Legumes foi entregue no dia 29/04/2025, referente ao pedido Nº Pedido 1549 Rastreio NM798596898BR, agradecemos a preferência e adoraríamos receber sua avaliação, tendo qualquer dúvida estamos à disposição._x000a__x000a_Att_x000a_Sec Variedades"/>
  </r>
  <r>
    <s v="Pedido 1553"/>
    <s v="CódRastreio1482"/>
    <s v="AM286244277BR"/>
    <s v="BV"/>
    <d v="2025-05-13T00:00:00"/>
    <s v="Transp 1"/>
    <s v="-"/>
    <x v="1"/>
    <s v="Brasil"/>
    <d v="2025-04-30T00:00:00"/>
    <s v="Entregue"/>
    <x v="0"/>
    <s v="-"/>
    <x v="0"/>
    <s v="Olá Nome, _x000a_Identificamos que o Item Copo Termico foi entregue no dia 30/04/2025, referente ao pedido Nº Pedido 1553 Rastreio Pedido 1553, agradecemos a preferência e adoraríamos receber sua avaliação, tendo qualquer dúvida estamos à disposição._x000a__x000a_Att_x000a_Tem tudo Shop"/>
  </r>
  <r>
    <s v="Pedido 1554"/>
    <s v="CódRastreio1483"/>
    <s v="LP00728454099207"/>
    <s v="BV"/>
    <d v="2025-05-17T00:00:00"/>
    <s v="Transp 1"/>
    <s v="NM798729081BR"/>
    <x v="0"/>
    <s v="Brasil"/>
    <d v="2025-06-18T00:00:00"/>
    <s v="Em análise na alfândega"/>
    <x v="0"/>
    <s v="-"/>
    <x v="1"/>
    <s v="Olá Nome, _x000a_Identificamos que o Item Ventilador Umidificador Preto foi entregue no dia 18/06/2025, referente ao pedido Nº Pedido 1554 Rastreio NM798729081BR, agradecemos a preferência e adoraríamos receber sua avaliação, tendo qualquer dúvida estamos à disposição._x000a__x000a_Att_x000a_Tem tudo Shop"/>
  </r>
  <r>
    <s v="Pedido 1557"/>
    <s v="CódRastreio1486"/>
    <s v="LP00727495721776"/>
    <s v="GO"/>
    <d v="2025-05-24T00:00:00"/>
    <s v="Transp 1"/>
    <s v="NM798633437BR"/>
    <x v="0"/>
    <s v="Brasil"/>
    <d v="2025-06-03T00:00:00"/>
    <s v="Entregue"/>
    <x v="0"/>
    <s v="-"/>
    <x v="1"/>
    <s v="Olá Nome, _x000a_Identificamos que o Item Cortador de Legumes foi entregue no dia 03/06/2025, referente ao pedido Nº Pedido 1557 Rastreio NM798633437BR, agradecemos a preferência e adoraríamos receber sua avaliação, tendo qualquer dúvida estamos à disposição._x000a__x000a_Att_x000a_Sec Variedades"/>
  </r>
  <r>
    <s v="Pedido 1541"/>
    <s v="CódRastreio1471"/>
    <s v="LP00728656623639"/>
    <s v="MEI"/>
    <d v="2025-05-16T00:00:00"/>
    <s v="Transp 1"/>
    <s v="NM799617815BR"/>
    <x v="0"/>
    <s v="Brasil"/>
    <d v="2025-05-13T00:00:00"/>
    <s v="Entregue"/>
    <x v="0"/>
    <s v="-"/>
    <x v="0"/>
    <s v="Olá Nome, _x000a_Identificamos que o Item Maçarico Culinário Portátil foi entregue no dia 13/05/2025, referente ao pedido Nº Pedido 1541 Rastreio NM799617815BR, agradecemos a preferência e adoraríamos receber sua avaliação, tendo qualquer dúvida estamos à disposição._x000a__x000a_Att_x000a_NTA Variedades"/>
  </r>
  <r>
    <s v="Pedido 1542"/>
    <s v="CódRastreio1472"/>
    <s v="LP00729635964942"/>
    <s v="MEI"/>
    <d v="2025-05-16T00:00:00"/>
    <s v="Transp 1"/>
    <s v="NM799625349BR"/>
    <x v="0"/>
    <s v="Brasil"/>
    <d v="2025-06-17T00:00:00"/>
    <s v="Encaminhado"/>
    <x v="0"/>
    <s v="Teve reembolso"/>
    <x v="1"/>
    <s v="Olá Nome, _x000a_Identificamos que o Item Maçarico Culinário Portátil foi entregue no dia 17/06/2025, referente ao pedido Nº Pedido 1542 Rastreio NM799625349BR, agradecemos a preferência e adoraríamos receber sua avaliação, tendo qualquer dúvida estamos à disposição._x000a__x000a_Att_x000a_NTA Variedades"/>
  </r>
  <r>
    <s v="Pedido 1543"/>
    <s v="CódRastreio1473"/>
    <s v="LP00728415351987"/>
    <s v="MEI"/>
    <d v="2025-05-16T00:00:00"/>
    <s v="Transp 1"/>
    <s v="NM799654455BR"/>
    <x v="0"/>
    <s v="Brasil"/>
    <d v="2025-05-09T00:00:00"/>
    <s v="Entregue"/>
    <x v="0"/>
    <s v="-"/>
    <x v="0"/>
    <s v="Olá Nome, _x000a_Identificamos que o Item Ventilador Rosa foi entregue no dia 09/05/2025, referente ao pedido Nº Pedido 1543 Rastreio NM799654455BR, agradecemos a preferência e adoraríamos receber sua avaliação, tendo qualquer dúvida estamos à disposição._x000a__x000a_Att_x000a_NTA Variedades"/>
  </r>
  <r>
    <s v="Pedido 1544"/>
    <s v="CódRastreio1474"/>
    <s v="LP00728738133311"/>
    <s v="MEI"/>
    <d v="2025-05-16T00:00:00"/>
    <s v="Transp 1"/>
    <s v="NM799632248BR"/>
    <x v="0"/>
    <s v="Brasil"/>
    <d v="2025-05-27T00:00:00"/>
    <s v="Entregue"/>
    <x v="0"/>
    <s v="-"/>
    <x v="1"/>
    <s v="Olá Nome, _x000a_Identificamos que o Item Maçarico Culinário Portátil foi entregue no dia 27/05/2025, referente ao pedido Nº Pedido 1544 Rastreio NM799632248BR, agradecemos a preferência e adoraríamos receber sua avaliação, tendo qualquer dúvida estamos à disposição._x000a__x000a_Att_x000a_NTA Variedades"/>
  </r>
  <r>
    <s v="Pedido 1545"/>
    <s v="CódRastreio1475"/>
    <s v="LP00729340681595"/>
    <s v="GO"/>
    <d v="2025-05-22T00:00:00"/>
    <s v="Transp 1"/>
    <s v="NM799655059BR"/>
    <x v="0"/>
    <s v="Brasil"/>
    <d v="2025-05-26T00:00:00"/>
    <s v="Entregue"/>
    <x v="0"/>
    <s v="-"/>
    <x v="1"/>
    <s v="Olá Nome, _x000a_Identificamos que o Item Ventilador Azul foi entregue no dia 26/05/2025, referente ao pedido Nº Pedido 1545 Rastreio NM799655059BR, agradecemos a preferência e adoraríamos receber sua avaliação, tendo qualquer dúvida estamos à disposição._x000a__x000a_Att_x000a_Sec Variedades"/>
  </r>
  <r>
    <s v="Pedido 1550"/>
    <s v="CódRastreio1479"/>
    <s v="LP00727510666614"/>
    <s v="GO"/>
    <d v="2025-05-13T00:00:00"/>
    <s v="Transp 1"/>
    <s v="NM799660805BR"/>
    <x v="0"/>
    <s v="Brasil"/>
    <d v="2025-05-13T00:00:00"/>
    <s v="Entregue"/>
    <x v="0"/>
    <s v="-"/>
    <x v="0"/>
    <s v="Olá Nome, _x000a_Identificamos que o Item Ventilador Rosa foi entregue no dia 13/05/2025, referente ao pedido Nº Pedido 1550 Rastreio NM799660805BR, agradecemos a preferência e adoraríamos receber sua avaliação, tendo qualquer dúvida estamos à disposição._x000a__x000a_Att_x000a_Sec Variedades"/>
  </r>
  <r>
    <s v="Pedido 1551"/>
    <s v="CódRastreio1480"/>
    <s v="LP00727495409480"/>
    <s v="MEI"/>
    <d v="2025-05-24T00:00:00"/>
    <s v="Transp 1"/>
    <s v="NM799656805BR"/>
    <x v="0"/>
    <s v="Brasil"/>
    <d v="2025-06-23T10:04:30"/>
    <s v="Entregue"/>
    <x v="0"/>
    <s v="-"/>
    <x v="1"/>
    <s v="Olá Nome, _x000a_Identificamos que o Item Ventilador Rosa foi entregue no dia 23/06/2025, referente ao pedido Nº Pedido 1551 Rastreio NM799656805BR, agradecemos a preferência e adoraríamos receber sua avaliação, tendo qualquer dúvida estamos à disposição._x000a__x000a_Att_x000a_NTA Variedades"/>
  </r>
  <r>
    <s v="Pedido 1552"/>
    <s v="CódRastreio1481"/>
    <s v="LP00727783252987"/>
    <s v="MEI"/>
    <d v="2025-05-13T00:00:00"/>
    <s v="Transp 1"/>
    <s v="NM799629133BR"/>
    <x v="0"/>
    <s v="Brasil"/>
    <d v="2025-05-26T00:00:00"/>
    <s v="Entregue"/>
    <x v="0"/>
    <s v="-"/>
    <x v="1"/>
    <s v="Olá Nome, _x000a_Identificamos que o Item Maçarico Culinário Portátil foi entregue no dia 26/05/2025, referente ao pedido Nº Pedido 1552 Rastreio NM799629133BR, agradecemos a preferência e adoraríamos receber sua avaliação, tendo qualquer dúvida estamos à disposição._x000a__x000a_Att_x000a_NTA Variedades"/>
  </r>
  <r>
    <s v="Pedido 1555"/>
    <s v="CódRastreio1484"/>
    <s v="LP00727491665766"/>
    <s v="GO"/>
    <d v="2025-05-13T00:00:00"/>
    <s v="Transp 1"/>
    <s v="NM799661235BR"/>
    <x v="0"/>
    <s v="Brasil"/>
    <d v="2025-05-24T00:00:00"/>
    <s v="Entregue"/>
    <x v="0"/>
    <s v="-"/>
    <x v="1"/>
    <s v="Olá Nome, _x000a_Identificamos que o Item Ventilador Preto foi entregue no dia 24/05/2025, referente ao pedido Nº Pedido 1555 Rastreio NM799661235BR, agradecemos a preferência e adoraríamos receber sua avaliação, tendo qualquer dúvida estamos à disposição._x000a__x000a_Att_x000a_Sec Variedades"/>
  </r>
  <r>
    <s v="Pedido 1556"/>
    <s v="CódRastreio1485"/>
    <s v="LP00727518892275"/>
    <s v="GO"/>
    <d v="2025-05-24T00:00:00"/>
    <s v="Transp 1"/>
    <s v="NM799650958BR"/>
    <x v="0"/>
    <s v="Brasil"/>
    <d v="2025-06-10T00:00:00"/>
    <s v="Entregue"/>
    <x v="0"/>
    <s v="-"/>
    <x v="1"/>
    <s v="Olá Nome, _x000a_Identificamos que o Item Ventilador Rosa foi entregue no dia 10/06/2025, referente ao pedido Nº Pedido 1556 Rastreio NM799650958BR, agradecemos a preferência e adoraríamos receber sua avaliação, tendo qualquer dúvida estamos à disposição._x000a__x000a_Att_x000a_Sec Variedades"/>
  </r>
  <r>
    <s v="Pedido 1558"/>
    <s v="CódRastreio1487"/>
    <s v="LP00729696685454"/>
    <s v="MEI"/>
    <d v="2025-05-17T00:00:00"/>
    <s v="Transp 1"/>
    <s v="NM799638078BR"/>
    <x v="0"/>
    <s v="Brasil"/>
    <d v="2025-05-29T00:00:00"/>
    <s v="Entregue"/>
    <x v="0"/>
    <s v="-"/>
    <x v="1"/>
    <s v="Olá Nome, _x000a_Identificamos que o Item Maçarico Culinário Portátil foi entregue no dia 29/05/2025, referente ao pedido Nº Pedido 1558 Rastreio NM799638078BR, agradecemos a preferência e adoraríamos receber sua avaliação, tendo qualquer dúvida estamos à disposição._x000a__x000a_Att_x000a_NTA Variedades"/>
  </r>
  <r>
    <s v="Pedido 1559"/>
    <s v="CódRastreio1488"/>
    <s v="LP00728659299798"/>
    <s v="MEI"/>
    <d v="2025-05-17T00:00:00"/>
    <s v="Transp 1"/>
    <s v="NM799634717BR"/>
    <x v="0"/>
    <s v="Brasil"/>
    <d v="2025-05-28T00:00:00"/>
    <s v="Entregue"/>
    <x v="0"/>
    <s v="-"/>
    <x v="1"/>
    <s v="Olá Nome, _x000a_Identificamos que o Item Maçarico Culinário Portátil foi entregue no dia 28/05/2025, referente ao pedido Nº Pedido 1559 Rastreio NM799634717BR, agradecemos a preferência e adoraríamos receber sua avaliação, tendo qualquer dúvida estamos à disposição._x000a__x000a_Att_x000a_NTA Variedades"/>
  </r>
  <r>
    <s v="Pedido 1560"/>
    <s v="CódRastreio1489"/>
    <s v="AM286275739BR"/>
    <s v="MEI"/>
    <d v="2025-05-20T00:00:00"/>
    <s v="Transp 1"/>
    <s v="-"/>
    <x v="1"/>
    <s v="Brasil"/>
    <d v="2025-04-30T00:00:00"/>
    <s v="Entregue"/>
    <x v="0"/>
    <s v="-"/>
    <x v="0"/>
    <s v="Olá Nome, _x000a_Identificamos que o Item Copo Termico foi entregue no dia 30/04/2025, referente ao pedido Nº Pedido 1560 Rastreio Pedido 1560, agradecemos a preferência e adoraríamos receber sua avaliação, tendo qualquer dúvida estamos à disposição._x000a__x000a_Att_x000a_NTA Variedades"/>
  </r>
  <r>
    <s v="Pedido 1561"/>
    <s v="CódRastreio1490"/>
    <s v="LP00728067538268"/>
    <s v="MEI"/>
    <d v="2025-05-20T00:00:00"/>
    <s v="Transp 1"/>
    <s v="NM800389052BR"/>
    <x v="0"/>
    <s v="Brasil"/>
    <d v="2025-05-15T00:00:00"/>
    <s v="Entregue"/>
    <x v="0"/>
    <s v="-"/>
    <x v="0"/>
    <s v="Olá Nome, _x000a_Identificamos que o Item Ventilador Umidificador Preto foi entregue no dia 15/05/2025, referente ao pedido Nº Pedido 1561 Rastreio NM800389052BR, agradecemos a preferência e adoraríamos receber sua avaliação, tendo qualquer dúvida estamos à disposição._x000a__x000a_Att_x000a_NTA Variedades"/>
  </r>
  <r>
    <s v="Pedido 1562"/>
    <s v="CódRastreio1491"/>
    <s v="LP00728017361221"/>
    <s v="MEI"/>
    <d v="2025-05-20T00:00:00"/>
    <s v="Transp 1"/>
    <s v="NM800397371BR"/>
    <x v="0"/>
    <s v="Brasil"/>
    <d v="2025-06-04T00:00:00"/>
    <s v="Entregue"/>
    <x v="0"/>
    <s v="-"/>
    <x v="1"/>
    <s v="Olá Nome, _x000a_Identificamos que o Item Maçarico Culinário Portátil foi entregue no dia 04/06/2025, referente ao pedido Nº Pedido 1562 Rastreio NM800397371BR, agradecemos a preferência e adoraríamos receber sua avaliação, tendo qualquer dúvida estamos à disposição._x000a__x000a_Att_x000a_NTA Variedades"/>
  </r>
  <r>
    <s v="Pedido 1563"/>
    <s v="CódRastreio1492"/>
    <n v="3621049769267"/>
    <s v="MEI"/>
    <d v="2025-05-20T00:00:00"/>
    <s v="Transp 1"/>
    <s v="-"/>
    <x v="1"/>
    <s v="Brasil"/>
    <d v="2025-05-06T00:00:00"/>
    <s v="Entregue"/>
    <x v="0"/>
    <s v="-"/>
    <x v="0"/>
    <s v="Olá Nome, _x000a_Identificamos que o Item Garrafa Termica foi entregue no dia 06/05/2025, referente ao pedido Nº Pedido 1563 Rastreio Pedido 1563, agradecemos a preferência e adoraríamos receber sua avaliação, tendo qualquer dúvida estamos à disposição._x000a__x000a_Att_x000a_NTA Variedades"/>
  </r>
  <r>
    <s v="Pedido 1564"/>
    <s v="CódRastreio1493"/>
    <s v="LP00729659209804"/>
    <s v="BV"/>
    <d v="2025-05-14T00:00:00"/>
    <s v="Transp 1"/>
    <s v="NM800376898BR"/>
    <x v="0"/>
    <s v="Brasil"/>
    <d v="2025-05-06T00:00:00"/>
    <s v="Entregue"/>
    <x v="0"/>
    <s v="-"/>
    <x v="0"/>
    <s v="Olá Nome, _x000a_Identificamos que o Item Ventilador Preto foi entregue no dia 06/05/2025, referente ao pedido Nº Pedido 1564 Rastreio NM800376898BR, agradecemos a preferência e adoraríamos receber sua avaliação, tendo qualquer dúvida estamos à disposição._x000a__x000a_Att_x000a_Tem tudo Shop"/>
  </r>
  <r>
    <s v="Pedido 1565"/>
    <s v="CódRastreio1494"/>
    <s v="LP00727770742638"/>
    <s v="GO"/>
    <d v="2025-05-17T00:00:00"/>
    <s v="Transp 1"/>
    <s v="NM800404801BR"/>
    <x v="0"/>
    <s v="Brasil"/>
    <d v="2025-05-22T00:00:00"/>
    <s v="Entregue"/>
    <x v="0"/>
    <s v="-"/>
    <x v="1"/>
    <s v="Olá Nome, _x000a_Identificamos que o Item Ventilador Preto foi entregue no dia 22/05/2025, referente ao pedido Nº Pedido 1565 Rastreio NM800404801BR, agradecemos a preferência e adoraríamos receber sua avaliação, tendo qualquer dúvida estamos à disposição._x000a__x000a_Att_x000a_Sec Variedades"/>
  </r>
  <r>
    <s v="Pedido 1566"/>
    <s v="CódRastreio1495"/>
    <s v="LP00729934950402"/>
    <s v="MEI"/>
    <d v="2025-05-14T00:00:00"/>
    <s v="Transp 1"/>
    <s v="NM800420322BR"/>
    <x v="0"/>
    <s v="Brasil"/>
    <d v="2025-05-27T00:00:00"/>
    <s v="Entregue"/>
    <x v="0"/>
    <s v="-"/>
    <x v="1"/>
    <s v="Olá Nome, _x000a_Identificamos que o Item Maçarico Culinário Portátil foi entregue no dia 27/05/2025, referente ao pedido Nº Pedido 1566 Rastreio NM800420322BR, agradecemos a preferência e adoraríamos receber sua avaliação, tendo qualquer dúvida estamos à disposição._x000a__x000a_Att_x000a_NTA Variedades"/>
  </r>
  <r>
    <s v="Pedido 1567"/>
    <s v="CódRastreio1496"/>
    <s v="LP00729869953556"/>
    <s v="MEI"/>
    <d v="2025-05-20T00:00:00"/>
    <s v="Transp 1"/>
    <s v="NM800411674BR"/>
    <x v="0"/>
    <s v="Brasil"/>
    <d v="2025-05-14T00:00:00"/>
    <s v="Entregue"/>
    <x v="0"/>
    <s v="-"/>
    <x v="0"/>
    <s v="Olá Nome, _x000a_Identificamos que o Item Maçarico Culinário Portátil foi entregue no dia 14/05/2025, referente ao pedido Nº Pedido 1567 Rastreio NM800411674BR, agradecemos a preferência e adoraríamos receber sua avaliação, tendo qualquer dúvida estamos à disposição._x000a__x000a_Att_x000a_NTA Variedades"/>
  </r>
  <r>
    <s v="Pedido 1568"/>
    <s v="CódRastreio1497"/>
    <s v="LP00728006249632"/>
    <s v="MEI"/>
    <d v="2025-05-20T00:00:00"/>
    <s v="Transp 1"/>
    <s v="NM800423195BR"/>
    <x v="0"/>
    <s v="Brasil"/>
    <d v="2025-05-26T00:00:00"/>
    <s v="Entregue"/>
    <x v="0"/>
    <s v="-"/>
    <x v="1"/>
    <s v="Olá Nome, _x000a_Identificamos que o Item Maçarico Culinário Portátil foi entregue no dia 26/05/2025, referente ao pedido Nº Pedido 1568 Rastreio NM800423195BR, agradecemos a preferência e adoraríamos receber sua avaliação, tendo qualquer dúvida estamos à disposição._x000a__x000a_Att_x000a_NTA Variedades"/>
  </r>
  <r>
    <s v="Pedido 1570"/>
    <s v="CódRastreio1499"/>
    <s v="AM286276181BR"/>
    <s v="MEI"/>
    <d v="2025-05-14T00:00:00"/>
    <s v="Transp 1"/>
    <s v="-"/>
    <x v="1"/>
    <s v="Brasil"/>
    <d v="2025-04-29T00:00:00"/>
    <s v="Entregue"/>
    <x v="0"/>
    <s v="-"/>
    <x v="0"/>
    <s v="Olá Nome, _x000a_Identificamos que o Item Copo Termico foi entregue no dia 29/04/2025, referente ao pedido Nº Pedido 1570 Rastreio Pedido 1570, agradecemos a preferência e adoraríamos receber sua avaliação, tendo qualquer dúvida estamos à disposição._x000a__x000a_Att_x000a_NTA Variedades"/>
  </r>
  <r>
    <s v="Pedido 1571"/>
    <s v="CódRastreio1500"/>
    <s v="AM286276235BR"/>
    <s v="MEI"/>
    <d v="2025-05-15T00:00:00"/>
    <s v="Transp 1"/>
    <s v="-"/>
    <x v="1"/>
    <s v="Brasil"/>
    <d v="2025-04-29T00:00:00"/>
    <s v="Entregue"/>
    <x v="0"/>
    <s v="-"/>
    <x v="0"/>
    <s v="Olá Nome, _x000a_Identificamos que o Item Copo Termico foi entregue no dia 29/04/2025, referente ao pedido Nº Pedido 1571 Rastreio Pedido 1571, agradecemos a preferência e adoraríamos receber sua avaliação, tendo qualquer dúvida estamos à disposição._x000a__x000a_Att_x000a_NTA Variedades"/>
  </r>
  <r>
    <s v="Pedido 1572"/>
    <s v="CódRastreio1501"/>
    <s v="LP00728932179158"/>
    <s v="MEI"/>
    <d v="2025-05-21T00:00:00"/>
    <s v="Transp 1"/>
    <s v="NM800455335BR"/>
    <x v="0"/>
    <s v="Brasil"/>
    <d v="2025-05-16T00:00:00"/>
    <s v="Encaminhado"/>
    <x v="0"/>
    <s v="Cliente informado"/>
    <x v="0"/>
    <s v="Olá Nome, _x000a_Identificamos que o Item Maçarico Culinário Portátil foi entregue no dia 16/05/2025, referente ao pedido Nº Pedido 1572 Rastreio NM800455335BR, agradecemos a preferência e adoraríamos receber sua avaliação, tendo qualquer dúvida estamos à disposição._x000a__x000a_Att_x000a_NTA Variedades"/>
  </r>
  <r>
    <s v="Pedido 1573"/>
    <s v="CódRastreio1502"/>
    <n v="3621049769506"/>
    <s v="MEI"/>
    <d v="2025-05-21T00:00:00"/>
    <s v="Transp 1"/>
    <s v="-"/>
    <x v="1"/>
    <s v="Brasil"/>
    <d v="2025-05-05T00:00:00"/>
    <s v="Entregue"/>
    <x v="0"/>
    <s v="-"/>
    <x v="0"/>
    <s v="Olá Nome, _x000a_Identificamos que o Item Copo Termico foi entregue no dia 05/05/2025, referente ao pedido Nº Pedido 1573 Rastreio Pedido 1573, agradecemos a preferência e adoraríamos receber sua avaliação, tendo qualquer dúvida estamos à disposição._x000a__x000a_Att_x000a_NTA Variedades"/>
  </r>
  <r>
    <s v="Pedido 1575"/>
    <s v="CódRastreio1504"/>
    <s v="LP00729954666227"/>
    <s v="MEI"/>
    <d v="2025-05-15T00:00:00"/>
    <s v="Transp 1"/>
    <s v="NM800462115BR"/>
    <x v="0"/>
    <s v="Brasil"/>
    <d v="2025-05-19T00:00:00"/>
    <s v="Entregue"/>
    <x v="0"/>
    <s v="-"/>
    <x v="1"/>
    <s v="Olá Nome, _x000a_Identificamos que o Item Maçarico Culinário Portátil foi entregue no dia 19/05/2025, referente ao pedido Nº Pedido 1575 Rastreio NM800462115BR, agradecemos a preferência e adoraríamos receber sua avaliação, tendo qualquer dúvida estamos à disposição._x000a__x000a_Att_x000a_NTA Variedades"/>
  </r>
  <r>
    <s v="Pedido 1546"/>
    <s v="CódRastreio1476"/>
    <s v="LP00730122487674"/>
    <s v="MEI"/>
    <d v="2025-05-16T00:00:00"/>
    <s v="Transp 1"/>
    <s v="NM800954565BR"/>
    <x v="0"/>
    <s v="Brasil"/>
    <d v="2025-05-13T00:00:00"/>
    <s v="Entregue"/>
    <x v="0"/>
    <s v="-"/>
    <x v="0"/>
    <s v="Olá Nome, _x000a_Identificamos que o Item Maçarico Culinário Portátil foi entregue no dia 13/05/2025, referente ao pedido Nº Pedido 1546 Rastreio NM800954565BR, agradecemos a preferência e adoraríamos receber sua avaliação, tendo qualquer dúvida estamos à disposição._x000a__x000a_Att_x000a_NTA Variedades"/>
  </r>
  <r>
    <s v="Pedido 1547"/>
    <s v="CódRastreio1477"/>
    <s v="LP00730127352063"/>
    <s v="MEI"/>
    <d v="2025-05-16T00:00:00"/>
    <s v="Transp 1"/>
    <s v="NM800979831BR"/>
    <x v="0"/>
    <s v="Brasil"/>
    <d v="2025-05-12T00:00:00"/>
    <s v="Entregue"/>
    <x v="0"/>
    <s v="-"/>
    <x v="0"/>
    <s v="Olá Nome, _x000a_Identificamos que o Item Maçarico Culinário Portátil foi entregue no dia 12/05/2025, referente ao pedido Nº Pedido 1547 Rastreio NM800979831BR, agradecemos a preferência e adoraríamos receber sua avaliação, tendo qualquer dúvida estamos à disposição._x000a__x000a_Att_x000a_NTA Variedades"/>
  </r>
  <r>
    <s v="Pedido 1569"/>
    <s v="CódRastreio1498"/>
    <s v="LP00729866784908"/>
    <s v="MEI"/>
    <d v="2025-05-27T00:00:00"/>
    <s v="Transp 1"/>
    <s v="NM800871145BR"/>
    <x v="0"/>
    <s v="Brasil"/>
    <d v="2025-06-12T08:38:40"/>
    <s v="Entregue"/>
    <x v="0"/>
    <s v="-"/>
    <x v="1"/>
    <s v="Olá Nome, _x000a_Identificamos que o Item Luminária Azul de mesa infantil foi entregue no dia 12/06/2025, referente ao pedido Nº Pedido 1569 Rastreio NM800871145BR, agradecemos a preferência e adoraríamos receber sua avaliação, tendo qualquer dúvida estamos à disposição._x000a__x000a_Att_x000a_NTA Variedades"/>
  </r>
  <r>
    <s v="Pedido 1576"/>
    <s v="CódRastreio1505"/>
    <s v="LP00728909967846"/>
    <s v="GO"/>
    <d v="2025-05-21T00:00:00"/>
    <s v="Transp 1"/>
    <s v="NM800924268BR"/>
    <x v="0"/>
    <s v="Brasil"/>
    <d v="2025-05-09T00:00:00"/>
    <s v="Entregue"/>
    <x v="0"/>
    <s v="-"/>
    <x v="0"/>
    <s v="Olá Nome, _x000a_Identificamos que o Item Ventilador Preto foi entregue no dia 09/05/2025, referente ao pedido Nº Pedido 1576 Rastreio NM800924268BR, agradecemos a preferência e adoraríamos receber sua avaliação, tendo qualquer dúvida estamos à disposição._x000a__x000a_Att_x000a_Sec Variedades"/>
  </r>
  <r>
    <s v="Pedido 1577"/>
    <s v="CódRastreio1506"/>
    <s v="LP00730128361989"/>
    <s v="MEI"/>
    <d v="2025-05-21T00:00:00"/>
    <s v="Transp 1"/>
    <s v="NM800974729BR"/>
    <x v="0"/>
    <s v="Brasil"/>
    <d v="2025-06-11T14:20:27"/>
    <s v="Entregue"/>
    <x v="0"/>
    <s v="-"/>
    <x v="1"/>
    <s v="Olá Nome, _x000a_Identificamos que o Item Maçarico Culinário Portátil foi entregue no dia 11/06/2025, referente ao pedido Nº Pedido 1577 Rastreio NM800974729BR, agradecemos a preferência e adoraríamos receber sua avaliação, tendo qualquer dúvida estamos à disposição._x000a__x000a_Att_x000a_NTA Variedades"/>
  </r>
  <r>
    <s v="Pedido 1574"/>
    <s v="CódRastreio1503"/>
    <s v="LP00729915877116"/>
    <s v="MEI"/>
    <d v="2025-05-21T00:00:00"/>
    <s v="Transp 1"/>
    <s v="NM801975867BR"/>
    <x v="0"/>
    <s v="Brasil"/>
    <d v="2025-05-09T00:00:00"/>
    <s v="Entregue"/>
    <x v="0"/>
    <s v="-"/>
    <x v="0"/>
    <s v="Olá Nome, _x000a_Identificamos que o Item Ventilador Umidificador Preto foi entregue no dia 09/05/2025, referente ao pedido Nº Pedido 1574 Rastreio NM801975867BR, agradecemos a preferência e adoraríamos receber sua avaliação, tendo qualquer dúvida estamos à disposição._x000a__x000a_Att_x000a_NTA Variedades"/>
  </r>
  <r>
    <s v="Pedido 1578"/>
    <s v="CódRastreio1507"/>
    <s v="LP00730108806888"/>
    <s v="MEI"/>
    <d v="2025-05-21T00:00:00"/>
    <s v="Transp 1"/>
    <s v="NM801844362BR"/>
    <x v="0"/>
    <s v="Brasil"/>
    <d v="2025-05-22T00:00:00"/>
    <s v="Entregue"/>
    <x v="0"/>
    <s v="-"/>
    <x v="1"/>
    <s v="Olá Nome, _x000a_Identificamos que o Item Ventilador Rosa foi entregue no dia 22/05/2025, referente ao pedido Nº Pedido 1578 Rastreio NM801844362BR, agradecemos a preferência e adoraríamos receber sua avaliação, tendo qualquer dúvida estamos à disposição._x000a__x000a_Att_x000a_NTA Variedades"/>
  </r>
  <r>
    <s v="Pedido 1579"/>
    <s v="CódRastreio1508"/>
    <s v="LP00729157544307"/>
    <s v="MEI"/>
    <d v="2025-05-21T00:00:00"/>
    <s v="Transp 1"/>
    <s v="NM801976377BR"/>
    <x v="0"/>
    <s v="Brasil"/>
    <d v="2025-05-29T00:00:00"/>
    <s v="Entregue"/>
    <x v="0"/>
    <s v="-"/>
    <x v="1"/>
    <s v="Olá Nome, _x000a_Identificamos que o Item Ventilador Umidificador Preto foi entregue no dia 29/05/2025, referente ao pedido Nº Pedido 1579 Rastreio NM801976377BR, agradecemos a preferência e adoraríamos receber sua avaliação, tendo qualquer dúvida estamos à disposição._x000a__x000a_Att_x000a_NTA Variedades"/>
  </r>
  <r>
    <s v="Pedido 1580"/>
    <s v="CódRastreio1509"/>
    <s v="LP00728239678724"/>
    <s v="MEI"/>
    <d v="2025-05-22T00:00:00"/>
    <s v="Transp 1"/>
    <s v="NM801862180BR"/>
    <x v="0"/>
    <s v="Brasil"/>
    <d v="2025-06-21T09:58:33"/>
    <s v="Entregue"/>
    <x v="0"/>
    <s v="-"/>
    <x v="1"/>
    <s v="Olá Nome, _x000a_Identificamos que o Item Ventilador Azul foi entregue no dia 21/06/2025, referente ao pedido Nº Pedido 1580 Rastreio NM801862180BR, agradecemos a preferência e adoraríamos receber sua avaliação, tendo qualquer dúvida estamos à disposição._x000a__x000a_Att_x000a_NTA Variedades"/>
  </r>
  <r>
    <s v="Pedido 1581"/>
    <s v="CódRastreio1510"/>
    <s v="LP00730111063362"/>
    <s v="MEI"/>
    <d v="2025-05-22T00:00:00"/>
    <s v="Transp 1"/>
    <s v="NM801834060BR"/>
    <x v="0"/>
    <s v="Brasil"/>
    <d v="2025-05-10T00:00:00"/>
    <s v="Entregue"/>
    <x v="0"/>
    <s v="-"/>
    <x v="0"/>
    <s v="Olá Nome, _x000a_Identificamos que o Item Ventilador Azul foi entregue no dia 10/05/2025, referente ao pedido Nº Pedido 1581 Rastreio NM801834060BR, agradecemos a preferência e adoraríamos receber sua avaliação, tendo qualquer dúvida estamos à disposição._x000a__x000a_Att_x000a_NTA Variedades"/>
  </r>
  <r>
    <s v="Pedido 1582"/>
    <s v="CódRastreio1511"/>
    <s v="LP00729382689278"/>
    <s v="MEI"/>
    <d v="2025-05-16T00:00:00"/>
    <s v="Transp 1"/>
    <s v="NM801728070BR"/>
    <x v="0"/>
    <s v="Brasil"/>
    <d v="2025-05-13T00:00:00"/>
    <s v="Entregue"/>
    <x v="0"/>
    <s v="-"/>
    <x v="0"/>
    <s v="Olá Nome, _x000a_Identificamos que o Item Maçarico Culinário Portátil foi entregue no dia 13/05/2025, referente ao pedido Nº Pedido 1582 Rastreio NM801728070BR, agradecemos a preferência e adoraríamos receber sua avaliação, tendo qualquer dúvida estamos à disposição._x000a__x000a_Att_x000a_NTA Variedades"/>
  </r>
  <r>
    <s v="Pedido 1583"/>
    <s v="CódRastreio1512"/>
    <s v="LP00728504261379"/>
    <s v="MEI"/>
    <d v="2025-05-29T00:00:00"/>
    <s v="Transp 1"/>
    <s v="NM801736990BR"/>
    <x v="0"/>
    <s v="Brasil"/>
    <d v="2025-06-09T00:00:00"/>
    <s v="Entregue"/>
    <x v="0"/>
    <s v="-"/>
    <x v="1"/>
    <s v="Olá Nome, _x000a_Identificamos que o Item Lampada Led foi entregue no dia 09/06/2025, referente ao pedido Nº Pedido 1583 Rastreio NM801736990BR, agradecemos a preferência e adoraríamos receber sua avaliação, tendo qualquer dúvida estamos à disposição._x000a__x000a_Att_x000a_NTA Variedades"/>
  </r>
  <r>
    <s v="Pedido 1584"/>
    <s v="CódRastreio1513"/>
    <s v="LP00728470733187"/>
    <s v="MEI"/>
    <d v="2025-05-23T00:00:00"/>
    <s v="Transp 1"/>
    <s v="NM802606024BR"/>
    <x v="0"/>
    <s v="Brasil"/>
    <d v="2025-06-13T12:07:12"/>
    <s v="Entregue"/>
    <x v="0"/>
    <s v="-"/>
    <x v="1"/>
    <s v="Olá Nome, _x000a_Identificamos que o Item Ventilador Umidificador Preto foi entregue no dia 13/06/2025, referente ao pedido Nº Pedido 1584 Rastreio NM802606024BR, agradecemos a preferência e adoraríamos receber sua avaliação, tendo qualquer dúvida estamos à disposição._x000a__x000a_Att_x000a_NTA Variedades"/>
  </r>
  <r>
    <s v="Pedido 1585"/>
    <s v="CódRastreio1514"/>
    <s v="LP00730331737098"/>
    <s v="MEI"/>
    <d v="2025-05-30T00:00:00"/>
    <s v="Transp 1"/>
    <s v="NM802401839BR"/>
    <x v="0"/>
    <s v="Brasil"/>
    <d v="2025-05-19T00:00:00"/>
    <s v="Entregue"/>
    <x v="0"/>
    <s v="-"/>
    <x v="0"/>
    <s v="Olá Nome, _x000a_Identificamos que o Item Ventilador Azul foi entregue no dia 19/05/2025, referente ao pedido Nº Pedido 1585 Rastreio NM802401839BR, agradecemos a preferência e adoraríamos receber sua avaliação, tendo qualquer dúvida estamos à disposição._x000a__x000a_Att_x000a_NTA Variedades"/>
  </r>
  <r>
    <s v="Pedido 1588"/>
    <s v="CódRastreio1516"/>
    <s v="LP00729188441891"/>
    <s v="MEI"/>
    <d v="2025-05-30T00:00:00"/>
    <s v="Transp 1"/>
    <s v="NM803567199BR"/>
    <x v="0"/>
    <s v="Brasil"/>
    <d v="2025-07-02T00:00:00"/>
    <s v="Entregue"/>
    <x v="0"/>
    <s v="-"/>
    <x v="1"/>
    <s v="Olá Nome, _x000a_Identificamos que o Item Ventilador Umidificador Preto foi entregue no dia 02/07/2025, referente ao pedido Nº Pedido 1588 Rastreio NM803567199BR, agradecemos a preferência e adoraríamos receber sua avaliação, tendo qualquer dúvida estamos à disposição._x000a__x000a_Att_x000a_NTA Variedades"/>
  </r>
  <r>
    <s v="Pedido 1592"/>
    <s v="CódRastreio1520"/>
    <s v="LP00730165784803"/>
    <s v="MEI"/>
    <d v="2025-05-23T00:00:00"/>
    <s v="Transp 1"/>
    <s v="CNBR00067602697"/>
    <x v="0"/>
    <s v="Brasil"/>
    <d v="2025-05-07T00:00:00"/>
    <s v="Entregue"/>
    <x v="0"/>
    <s v="-"/>
    <x v="0"/>
    <s v="Olá Nome, _x000a_Identificamos que o Item Luminária Azul de mesa infantil foi entregue no dia 07/05/2025, referente ao pedido Nº Pedido 1592 Rastreio CNBR00067602697, agradecemos a preferência e adoraríamos receber sua avaliação, tendo qualquer dúvida estamos à disposição._x000a__x000a_Att_x000a_NTA Variedades"/>
  </r>
  <r>
    <s v="Pedido 1603"/>
    <s v="CódRastreio1531"/>
    <s v="AM286313794BR"/>
    <s v="MEI"/>
    <d v="2025-05-17T00:00:00"/>
    <s v="Transp 1"/>
    <s v="-"/>
    <x v="1"/>
    <s v="Brasil"/>
    <d v="2025-05-20T00:00:00"/>
    <s v="Entregue"/>
    <x v="0"/>
    <s v="-"/>
    <x v="1"/>
    <s v="Olá Nome, _x000a_Identificamos que o Item Copo Termico foi entregue no dia 20/05/2025, referente ao pedido Nº Pedido 1603 Rastreio Pedido 1603, agradecemos a preferência e adoraríamos receber sua avaliação, tendo qualquer dúvida estamos à disposição._x000a__x000a_Att_x000a_NTA Variedades"/>
  </r>
  <r>
    <s v="Pedido 1586"/>
    <s v="CódRastreio1515"/>
    <s v="LP00730100763275"/>
    <s v="MEI"/>
    <d v="2025-05-23T00:00:00"/>
    <s v="Transp 1"/>
    <s v="NM804359382BR"/>
    <x v="0"/>
    <s v="Brasil"/>
    <d v="2025-06-12T13:56:28"/>
    <s v="Entregue"/>
    <x v="0"/>
    <s v="-"/>
    <x v="1"/>
    <s v="Olá Nome, _x000a_Identificamos que o Item Ventilador Azul foi entregue no dia 12/06/2025, referente ao pedido Nº Pedido 1586 Rastreio NM804359382BR, agradecemos a preferência e adoraríamos receber sua avaliação, tendo qualquer dúvida estamos à disposição._x000a__x000a_Att_x000a_NTA Variedades"/>
  </r>
  <r>
    <s v="Pedido 1590"/>
    <s v="CódRastreio1518"/>
    <s v="LP00731050405567"/>
    <s v="MEI"/>
    <d v="2025-05-23T00:00:00"/>
    <s v="Transp 1"/>
    <s v="CNBR00067976989"/>
    <x v="0"/>
    <s v="Brasil"/>
    <d v="2025-05-17T00:00:00"/>
    <s v="Entregue"/>
    <x v="0"/>
    <s v="-"/>
    <x v="0"/>
    <s v="Olá Nome, _x000a_Identificamos que o Item Ventilador Rosa foi entregue no dia 17/05/2025, referente ao pedido Nº Pedido 1590 Rastreio CNBR00067976989, agradecemos a preferência e adoraríamos receber sua avaliação, tendo qualquer dúvida estamos à disposição._x000a__x000a_Att_x000a_NTA Variedades"/>
  </r>
  <r>
    <s v="Pedido 1591"/>
    <s v="CódRastreio1519"/>
    <s v="LP00730092207673"/>
    <s v="MEI"/>
    <d v="2025-05-23T00:00:00"/>
    <s v="Transp 1"/>
    <s v="CNBR00067987712"/>
    <x v="0"/>
    <s v="Brasil"/>
    <d v="2025-06-04T00:00:00"/>
    <s v="Entregue"/>
    <x v="0"/>
    <s v="-"/>
    <x v="1"/>
    <s v="Olá Nome, _x000a_Identificamos que o Item Ventilador Rosa foi entregue no dia 04/06/2025, referente ao pedido Nº Pedido 1591 Rastreio CNBR00067987712, agradecemos a preferência e adoraríamos receber sua avaliação, tendo qualquer dúvida estamos à disposição._x000a__x000a_Att_x000a_NTA Variedades"/>
  </r>
  <r>
    <s v="Pedido 1595"/>
    <s v="CódRastreio1523"/>
    <s v="LP00730128206945"/>
    <s v="MEI"/>
    <d v="2025-05-17T00:00:00"/>
    <s v="Transp 1"/>
    <s v="CNBR00067966364"/>
    <x v="0"/>
    <s v="Brasil"/>
    <d v="2025-06-24T00:00:00"/>
    <s v="Entregue"/>
    <x v="0"/>
    <s v="-"/>
    <x v="1"/>
    <s v="Olá Nome, _x000a_Identificamos que o Item Ventilador Azul foi entregue no dia 24/06/2025, referente ao pedido Nº Pedido 1595 Rastreio CNBR00067966364, agradecemos a preferência e adoraríamos receber sua avaliação, tendo qualquer dúvida estamos à disposição._x000a__x000a_Att_x000a_NTA Variedades"/>
  </r>
  <r>
    <s v="Pedido 1596"/>
    <s v="CódRastreio1524"/>
    <s v="LP00731067403020"/>
    <s v="MEI"/>
    <d v="2025-05-23T00:00:00"/>
    <s v="Transp 1"/>
    <s v="CNBR00067961899"/>
    <x v="0"/>
    <s v="Brasil"/>
    <d v="2025-07-02T00:00:00"/>
    <s v="Entregue"/>
    <x v="0"/>
    <s v="-"/>
    <x v="1"/>
    <s v="Olá Nome, _x000a_Identificamos que o Item Ventilador Rosa foi entregue no dia 02/07/2025, referente ao pedido Nº Pedido 1596 Rastreio CNBR00067961899, agradecemos a preferência e adoraríamos receber sua avaliação, tendo qualquer dúvida estamos à disposição._x000a__x000a_Att_x000a_NTA Variedades"/>
  </r>
  <r>
    <s v="Pedido 1598"/>
    <s v="CódRastreio1526"/>
    <s v="LP00731069622907"/>
    <s v="MEI"/>
    <d v="2025-05-17T00:00:00"/>
    <s v="Transp 1"/>
    <s v="CNBR00067971719"/>
    <x v="0"/>
    <s v="Brasil"/>
    <d v="2025-05-09T00:00:00"/>
    <s v="Entregue"/>
    <x v="0"/>
    <s v="-"/>
    <x v="0"/>
    <s v="Olá Nome, _x000a_Identificamos que o Item Ventilador Rosa foi entregue no dia 09/05/2025, referente ao pedido Nº Pedido 1598 Rastreio CNBR00067971719, agradecemos a preferência e adoraríamos receber sua avaliação, tendo qualquer dúvida estamos à disposição._x000a__x000a_Att_x000a_NTA Variedades"/>
  </r>
  <r>
    <s v="Pedido 1601"/>
    <s v="CódRastreio1529"/>
    <s v="LP00729226504192"/>
    <s v="MEI"/>
    <d v="2025-05-23T00:00:00"/>
    <s v="Transp 1"/>
    <s v="NM804316529BR"/>
    <x v="0"/>
    <s v="Brasil"/>
    <d v="2025-05-23T00:00:00"/>
    <s v="Entregue"/>
    <x v="0"/>
    <s v="-"/>
    <x v="0"/>
    <s v="Olá Nome, _x000a_Identificamos que o Item Ventilador Rosa foi entregue no dia 23/05/2025, referente ao pedido Nº Pedido 1601 Rastreio NM804316529BR, agradecemos a preferência e adoraríamos receber sua avaliação, tendo qualquer dúvida estamos à disposição._x000a__x000a_Att_x000a_NTA Variedades"/>
  </r>
  <r>
    <s v="Pedido 1605"/>
    <s v="CódRastreio1533"/>
    <s v="LP00729234484029"/>
    <s v="MEI"/>
    <d v="2025-05-31T00:00:00"/>
    <s v="Transp 1"/>
    <s v="NM804320007BR"/>
    <x v="0"/>
    <s v="Brasil"/>
    <d v="2025-06-25T00:00:00"/>
    <s v="Entregue"/>
    <x v="0"/>
    <s v="-"/>
    <x v="1"/>
    <s v="Olá Nome, _x000a_Identificamos que o Item Ventilador Rosa foi entregue no dia 25/06/2025, referente ao pedido Nº Pedido 1605 Rastreio NM804320007BR, agradecemos a preferência e adoraríamos receber sua avaliação, tendo qualquer dúvida estamos à disposição._x000a__x000a_Att_x000a_NTA Variedades"/>
  </r>
  <r>
    <s v="Pedido 1606"/>
    <s v="CódRastreio1534"/>
    <s v="LP00731089314347"/>
    <s v="MEI"/>
    <d v="2025-05-24T00:00:00"/>
    <s v="Transp 1"/>
    <s v="CNBR00067970904"/>
    <x v="0"/>
    <s v="Brasil"/>
    <d v="2025-06-04T00:00:00"/>
    <s v="Entregue"/>
    <x v="0"/>
    <s v="-"/>
    <x v="1"/>
    <s v="Olá Nome, _x000a_Identificamos que o Item Ventilador Rosa foi entregue no dia 04/06/2025, referente ao pedido Nº Pedido 1606 Rastreio CNBR00067970904, agradecemos a preferência e adoraríamos receber sua avaliação, tendo qualquer dúvida estamos à disposição._x000a__x000a_Att_x000a_NTA Variedades"/>
  </r>
  <r>
    <s v="Pedido 1607"/>
    <s v="CódRastreio1535"/>
    <s v="LP00730110735439"/>
    <s v="MEI"/>
    <d v="2025-05-20T00:00:00"/>
    <s v="Transp 1"/>
    <s v="NM804316458BR"/>
    <x v="0"/>
    <s v="Brasil"/>
    <d v="2025-05-28T00:00:00"/>
    <s v="Entregue"/>
    <x v="0"/>
    <s v="-"/>
    <x v="1"/>
    <s v="Olá Nome, _x000a_Identificamos que o Item Ventilador Azul foi entregue no dia 28/05/2025, referente ao pedido Nº Pedido 1607 Rastreio NM804316458BR, agradecemos a preferência e adoraríamos receber sua avaliação, tendo qualquer dúvida estamos à disposição._x000a__x000a_Att_x000a_NTA Variedades"/>
  </r>
  <r>
    <s v="Pedido 1609"/>
    <s v="CódRastreio1537"/>
    <s v="LP00730156773383"/>
    <s v="MEI"/>
    <d v="2025-05-31T00:00:00"/>
    <s v="Transp 1"/>
    <s v="NM804324445BR"/>
    <x v="0"/>
    <s v="Brasil"/>
    <d v="2025-06-25T00:00:00"/>
    <s v="Entregue"/>
    <x v="0"/>
    <s v="-"/>
    <x v="1"/>
    <s v="Olá Nome, _x000a_Identificamos que o Item Ventilador Azul foi entregue no dia 25/06/2025, referente ao pedido Nº Pedido 1609 Rastreio NM804324445BR, agradecemos a preferência e adoraríamos receber sua avaliação, tendo qualquer dúvida estamos à disposição._x000a__x000a_Att_x000a_NTA Variedades"/>
  </r>
  <r>
    <s v="Pedido 1612"/>
    <s v="CódRastreio1540"/>
    <s v="LP00729201065431"/>
    <s v="GO"/>
    <d v="2025-05-23T00:00:00"/>
    <s v="Transp 1"/>
    <s v="CNBR00067979952"/>
    <x v="0"/>
    <s v="Brasil"/>
    <d v="2025-05-13T00:00:00"/>
    <s v="Entregue"/>
    <x v="0"/>
    <s v="-"/>
    <x v="0"/>
    <s v="Olá Nome, _x000a_Identificamos que o Item Ventilador Preto foi entregue no dia 13/05/2025, referente ao pedido Nº Pedido 1612 Rastreio CNBR00067979952, agradecemos a preferência e adoraríamos receber sua avaliação, tendo qualquer dúvida estamos à disposição._x000a__x000a_Att_x000a_Sec Variedades"/>
  </r>
  <r>
    <s v="Pedido 1617"/>
    <s v="CódRastreio1544"/>
    <s v="LP00729509939066"/>
    <s v="MEI"/>
    <d v="2025-05-24T00:00:00"/>
    <s v="Transp 1"/>
    <s v="CNBR00067986395"/>
    <x v="0"/>
    <s v="Brasil"/>
    <d v="2025-05-07T00:00:00"/>
    <s v="Status anormal"/>
    <x v="0"/>
    <s v="-"/>
    <x v="0"/>
    <s v="Olá Nome, _x000a_Identificamos que o Item Ventilador Umidificador Preto foi entregue no dia 07/05/2025, referente ao pedido Nº Pedido 1617 Rastreio CNBR00067986395, agradecemos a preferência e adoraríamos receber sua avaliação, tendo qualquer dúvida estamos à disposição._x000a__x000a_Att_x000a_NTA Variedades"/>
  </r>
  <r>
    <s v="Pedido 1624"/>
    <s v="CódRastreio1550"/>
    <s v="LP00729427031855"/>
    <s v="MEI"/>
    <d v="2025-05-27T00:00:00"/>
    <s v="Transp 1"/>
    <s v="NM804389755BR"/>
    <x v="0"/>
    <s v="Brasil"/>
    <d v="2025-07-30T00:00:00"/>
    <s v="Encaminhado"/>
    <x v="0"/>
    <s v="Cliente informado"/>
    <x v="1"/>
    <s v="Olá Nome, _x000a_Identificamos que o Item Ventilador Umidificador Preto foi entregue no dia 30/07/2025, referente ao pedido Nº Pedido 1624 Rastreio NM804389755BR, agradecemos a preferência e adoraríamos receber sua avaliação, tendo qualquer dúvida estamos à disposição._x000a__x000a_Att_x000a_NTA Variedades"/>
  </r>
  <r>
    <s v="Pedido 1593"/>
    <s v="CódRastreio1521"/>
    <s v="LP00729486916254"/>
    <s v="MEI"/>
    <d v="2025-05-23T00:00:00"/>
    <s v="Transp 1"/>
    <s v="NM804344989BR"/>
    <x v="0"/>
    <s v="Brasil"/>
    <d v="2025-05-15T00:00:00"/>
    <s v="Entregue"/>
    <x v="0"/>
    <s v="-"/>
    <x v="0"/>
    <s v="Olá Nome, _x000a_Identificamos que o Item Lampada Led foi entregue no dia 15/05/2025, referente ao pedido Nº Pedido 1593 Rastreio NM804344989BR, agradecemos a preferência e adoraríamos receber sua avaliação, tendo qualquer dúvida estamos à disposição._x000a__x000a_Att_x000a_NTA Variedades"/>
  </r>
  <r>
    <s v="Pedido 1611"/>
    <s v="CódRastreio1539"/>
    <n v="3621049787555"/>
    <s v="MEI"/>
    <d v="2025-05-24T00:00:00"/>
    <s v="Transp 1"/>
    <s v="-"/>
    <x v="1"/>
    <s v="Brasil"/>
    <d v="2025-05-14T00:00:00"/>
    <s v="Entregue"/>
    <x v="0"/>
    <s v="-"/>
    <x v="0"/>
    <s v="Olá Nome, _x000a_Identificamos que o Item Copo Termico foi entregue no dia 14/05/2025, referente ao pedido Nº Pedido 1611 Rastreio Pedido 1611, agradecemos a preferência e adoraríamos receber sua avaliação, tendo qualquer dúvida estamos à disposição._x000a__x000a_Att_x000a_NTA Variedades"/>
  </r>
  <r>
    <s v="Pedido 1613"/>
    <s v="CódRastreio1541"/>
    <s v="LP00730374698232"/>
    <s v="MEI"/>
    <d v="2025-05-24T00:00:00"/>
    <s v="Transp 1"/>
    <s v="NM804881608BR"/>
    <x v="0"/>
    <s v="Brasil"/>
    <d v="2025-06-02T00:00:00"/>
    <s v="Entregue"/>
    <x v="0"/>
    <s v="-"/>
    <x v="1"/>
    <s v="Olá Nome, _x000a_Identificamos que o Item Ventilador Rosa foi entregue no dia 02/06/2025, referente ao pedido Nº Pedido 1613 Rastreio NM804881608BR, agradecemos a preferência e adoraríamos receber sua avaliação, tendo qualquer dúvida estamos à disposição._x000a__x000a_Att_x000a_NTA Variedades"/>
  </r>
  <r>
    <s v="Pedido 1614"/>
    <s v="CódRastreio1542"/>
    <s v="LP00729635231930"/>
    <s v="MEI"/>
    <d v="2025-05-24T00:00:00"/>
    <s v="Transp 1"/>
    <s v="NM805456805BR"/>
    <x v="0"/>
    <s v="Brasil"/>
    <d v="2025-05-30T00:00:00"/>
    <s v="Entregue"/>
    <x v="0"/>
    <s v="-"/>
    <x v="1"/>
    <s v="Olá Nome, _x000a_Identificamos que o Item Ventilador Rosa foi entregue no dia 30/05/2025, referente ao pedido Nº Pedido 1614 Rastreio NM805456805BR, agradecemos a preferência e adoraríamos receber sua avaliação, tendo qualquer dúvida estamos à disposição._x000a__x000a_Att_x000a_NTA Variedades"/>
  </r>
  <r>
    <s v="Pedido 1619"/>
    <s v="CódRastreio1545"/>
    <s v="LP00729438826709"/>
    <s v="MEI"/>
    <d v="2025-05-31T00:00:00"/>
    <s v="Transp 1"/>
    <s v="NM804886891BR"/>
    <x v="0"/>
    <s v="Brasil"/>
    <d v="2025-06-24T00:00:00"/>
    <s v="Entregue"/>
    <x v="0"/>
    <s v="-"/>
    <x v="1"/>
    <s v="Olá Nome, _x000a_Identificamos que o Item Ventilador Azul foi entregue no dia 24/06/2025, referente ao pedido Nº Pedido 1619 Rastreio NM804886891BR, agradecemos a preferência e adoraríamos receber sua avaliação, tendo qualquer dúvida estamos à disposição._x000a__x000a_Att_x000a_NTA Variedades"/>
  </r>
  <r>
    <s v="Pedido 1620"/>
    <s v="CódRastreio1546"/>
    <n v="3621049787360"/>
    <s v="MEI"/>
    <d v="2025-05-24T00:00:00"/>
    <s v="Transp 1"/>
    <s v="-"/>
    <x v="1"/>
    <s v="Brasil"/>
    <d v="2025-05-10T00:00:00"/>
    <s v="Entregue"/>
    <x v="0"/>
    <s v="-"/>
    <x v="0"/>
    <s v="Olá Nome, _x000a_Identificamos que o Item Copo Termico foi entregue no dia 10/05/2025, referente ao pedido Nº Pedido 1620 Rastreio Pedido 1620, agradecemos a preferência e adoraríamos receber sua avaliação, tendo qualquer dúvida estamos à disposição._x000a__x000a_Att_x000a_NTA Variedades"/>
  </r>
  <r>
    <s v="Pedido 1622"/>
    <s v="CódRastreio1548"/>
    <s v="LP00729464423213"/>
    <s v="MEI"/>
    <d v="2025-05-27T00:00:00"/>
    <s v="Transp 1"/>
    <s v="CNBR00068313774"/>
    <x v="0"/>
    <s v="Brasil"/>
    <d v="2025-05-14T00:00:00"/>
    <s v="Entregue"/>
    <x v="0"/>
    <s v="-"/>
    <x v="0"/>
    <s v="Olá Nome, _x000a_Identificamos que o Item Ventilador Rosa foi entregue no dia 14/05/2025, referente ao pedido Nº Pedido 1622 Rastreio CNBR00068313774, agradecemos a preferência e adoraríamos receber sua avaliação, tendo qualquer dúvida estamos à disposição._x000a__x000a_Att_x000a_NTA Variedades"/>
  </r>
  <r>
    <s v="Pedido 1623"/>
    <s v="CódRastreio1549"/>
    <s v="LP00730382432156"/>
    <s v="MEI"/>
    <d v="2025-05-27T00:00:00"/>
    <s v="Transp 1"/>
    <s v="CNBR00068311406"/>
    <x v="0"/>
    <s v="Brasil"/>
    <d v="2025-05-12T00:00:00"/>
    <s v="Entregue"/>
    <x v="0"/>
    <s v="-"/>
    <x v="0"/>
    <s v="Olá Nome, _x000a_Identificamos que o Item Ventilador Azul foi entregue no dia 12/05/2025, referente ao pedido Nº Pedido 1623 Rastreio CNBR00068311406, agradecemos a preferência e adoraríamos receber sua avaliação, tendo qualquer dúvida estamos à disposição._x000a__x000a_Att_x000a_NTA Variedades"/>
  </r>
  <r>
    <s v="Pedido 1626"/>
    <s v="CódRastreio1552"/>
    <s v="LP00730396940241"/>
    <s v="MEI"/>
    <d v="2025-06-03T00:00:00"/>
    <s v="Transp 1"/>
    <s v="NM804886415BR"/>
    <x v="0"/>
    <s v="Brasil"/>
    <d v="2025-05-23T00:00:00"/>
    <s v="Entregue"/>
    <x v="0"/>
    <s v="-"/>
    <x v="0"/>
    <s v="Olá Nome, _x000a_Identificamos que o Item Ventilador Azul foi entregue no dia 23/05/2025, referente ao pedido Nº Pedido 1626 Rastreio NM804886415BR, agradecemos a preferência e adoraríamos receber sua avaliação, tendo qualquer dúvida estamos à disposição._x000a__x000a_Att_x000a_NTA Variedades"/>
  </r>
  <r>
    <s v="Pedido 1627"/>
    <s v="CódRastreio1553"/>
    <s v="LP00731353512523"/>
    <s v="MEI"/>
    <d v="2025-05-27T00:00:00"/>
    <s v="Transp 1"/>
    <s v="CNBR00068308455"/>
    <x v="0"/>
    <s v="Brasil"/>
    <d v="2025-05-13T00:00:00"/>
    <s v="Entregue"/>
    <x v="0"/>
    <s v="-"/>
    <x v="0"/>
    <s v="Olá Nome, _x000a_Identificamos que o Item Ventilador Rosa foi entregue no dia 13/05/2025, referente ao pedido Nº Pedido 1627 Rastreio CNBR00068308455, agradecemos a preferência e adoraríamos receber sua avaliação, tendo qualquer dúvida estamos à disposição._x000a__x000a_Att_x000a_NTA Variedades"/>
  </r>
  <r>
    <s v="Pedido 1629"/>
    <s v="CódRastreio1554"/>
    <s v="LP00730541540809"/>
    <s v="MEI"/>
    <d v="2025-06-03T00:00:00"/>
    <s v="Transp 1"/>
    <s v="CNBR00068823114"/>
    <x v="0"/>
    <s v="Brasil"/>
    <d v="2025-05-20T00:00:00"/>
    <s v="Entregue"/>
    <x v="0"/>
    <s v="-"/>
    <x v="0"/>
    <s v="Olá Nome, _x000a_Identificamos que o Item Ventilador Umidificador Preto foi entregue no dia 20/05/2025, referente ao pedido Nº Pedido 1629 Rastreio CNBR00068823114, agradecemos a preferência e adoraríamos receber sua avaliação, tendo qualquer dúvida estamos à disposição._x000a__x000a_Att_x000a_NTA Variedades"/>
  </r>
  <r>
    <s v="Pedido 1630"/>
    <s v="CódRastreio1555"/>
    <s v="LP00729637355545"/>
    <s v="MEI"/>
    <d v="2025-05-21T00:00:00"/>
    <s v="Transp 1"/>
    <s v="CNBR00068639153"/>
    <x v="0"/>
    <s v="Brasil"/>
    <d v="2025-05-08T00:00:00"/>
    <s v="Entregue"/>
    <x v="0"/>
    <s v="-"/>
    <x v="0"/>
    <s v="Olá Nome, _x000a_Identificamos que o Item Ventilador Preto foi entregue no dia 08/05/2025, referente ao pedido Nº Pedido 1630 Rastreio CNBR00068639153, agradecemos a preferência e adoraríamos receber sua avaliação, tendo qualquer dúvida estamos à disposição._x000a__x000a_Att_x000a_NTA Variedades"/>
  </r>
  <r>
    <s v="Pedido 1632"/>
    <s v="CódRastreio1556"/>
    <s v="AM286326104BR"/>
    <s v="MEI"/>
    <d v="2025-05-21T00:00:00"/>
    <s v="Transp 1"/>
    <s v="-"/>
    <x v="1"/>
    <s v="Brasil"/>
    <d v="2025-05-28T00:00:00"/>
    <s v="Entregue"/>
    <x v="0"/>
    <s v="-"/>
    <x v="1"/>
    <s v="Olá Nome, _x000a_Identificamos que o Item Copo Termico foi entregue no dia 28/05/2025, referente ao pedido Nº Pedido 1632 Rastreio Pedido 1632, agradecemos a preferência e adoraríamos receber sua avaliação, tendo qualquer dúvida estamos à disposição._x000a__x000a_Att_x000a_NTA Variedades"/>
  </r>
  <r>
    <s v="Pedido 1634"/>
    <s v="CódRastreio1557"/>
    <s v="LP00729634325098"/>
    <s v="MEI"/>
    <d v="2025-05-28T00:00:00"/>
    <s v="Transp 1"/>
    <s v="CNBR00068328043"/>
    <x v="0"/>
    <s v="Brasil"/>
    <d v="2025-06-21T00:00:00"/>
    <s v="Encaminhado"/>
    <x v="0"/>
    <s v="-"/>
    <x v="1"/>
    <s v="Olá Nome, _x000a_Identificamos que o Item Ventilador Umidificador Preto foi entregue no dia 21/06/2025, referente ao pedido Nº Pedido 1634 Rastreio CNBR00068328043, agradecemos a preferência e adoraríamos receber sua avaliação, tendo qualquer dúvida estamos à disposição._x000a__x000a_Att_x000a_NTA Variedades"/>
  </r>
  <r>
    <s v="Pedido 1636"/>
    <s v="CódRastreio1559"/>
    <s v="LP00731518452434"/>
    <s v="MEI"/>
    <d v="2025-05-28T00:00:00"/>
    <s v="Transp 1"/>
    <s v="NM805376387BR"/>
    <x v="0"/>
    <s v="Brasil"/>
    <d v="2025-05-28T00:00:00"/>
    <s v="Entregue"/>
    <x v="0"/>
    <s v="-"/>
    <x v="0"/>
    <s v="Olá Nome, _x000a_Identificamos que o Item Ventilador Azul foi entregue no dia 28/05/2025, referente ao pedido Nº Pedido 1636 Rastreio NM805376387BR, agradecemos a preferência e adoraríamos receber sua avaliação, tendo qualquer dúvida estamos à disposição._x000a__x000a_Att_x000a_NTA Variedades"/>
  </r>
  <r>
    <s v="Pedido 1638"/>
    <s v="CódRastreio1561"/>
    <s v="LP00731519713495"/>
    <s v="MEI"/>
    <d v="2025-05-28T00:00:00"/>
    <s v="Transp 1"/>
    <s v="NM805463789BR"/>
    <x v="0"/>
    <s v="Brasil"/>
    <d v="2025-05-28T00:00:00"/>
    <s v="Entregue"/>
    <x v="0"/>
    <s v="-"/>
    <x v="0"/>
    <s v="Olá Nome, _x000a_Identificamos que o Item Ventilador Azul foi entregue no dia 28/05/2025, referente ao pedido Nº Pedido 1638 Rastreio NM805463789BR, agradecemos a preferência e adoraríamos receber sua avaliação, tendo qualquer dúvida estamos à disposição._x000a__x000a_Att_x000a_NTA Variedades"/>
  </r>
  <r>
    <s v="Pedido 1639"/>
    <s v="CódRastreio1562"/>
    <n v="3621049796521"/>
    <s v="MEI"/>
    <d v="2025-05-22T00:00:00"/>
    <s v="Transp 1"/>
    <s v="-"/>
    <x v="1"/>
    <s v="Brasil"/>
    <d v="2025-05-10T00:00:00"/>
    <s v="Entregue"/>
    <x v="0"/>
    <s v="-"/>
    <x v="0"/>
    <s v="Olá Nome, _x000a_Identificamos que o Item Mini Liquidificador foi entregue no dia 10/05/2025, referente ao pedido Nº Pedido 1639 Rastreio Pedido 1639, agradecemos a preferência e adoraríamos receber sua avaliação, tendo qualquer dúvida estamos à disposição._x000a__x000a_Att_x000a_NTA Variedades"/>
  </r>
  <r>
    <s v="Pedido 1642"/>
    <s v="CódRastreio1564"/>
    <s v="LP00731894095357"/>
    <s v="MEI"/>
    <d v="2025-05-22T00:00:00"/>
    <s v="Transp 1"/>
    <s v="CNBR00069206496"/>
    <x v="0"/>
    <s v="Brasil"/>
    <d v="2025-05-19T00:00:00"/>
    <s v="Entregue"/>
    <x v="0"/>
    <s v="-"/>
    <x v="0"/>
    <s v="Olá Nome, _x000a_Identificamos que o Item Ventilador Azul foi entregue no dia 19/05/2025, referente ao pedido Nº Pedido 1642 Rastreio CNBR00069206496, agradecemos a preferência e adoraríamos receber sua avaliação, tendo qualquer dúvida estamos à disposição._x000a__x000a_Att_x000a_NTA Variedades"/>
  </r>
  <r>
    <s v="Pedido 1645"/>
    <s v="CódRastreio1566"/>
    <n v="3621049796524"/>
    <s v="MEI"/>
    <d v="2025-05-22T00:00:00"/>
    <s v="Transp 1"/>
    <s v="-"/>
    <x v="1"/>
    <s v="Brasil"/>
    <d v="2025-06-06T00:00:00"/>
    <s v="Entregue"/>
    <x v="0"/>
    <s v="Cliente informado"/>
    <x v="1"/>
    <s v="Olá Nome, _x000a_Identificamos que o Item Mini Liquidificador foi entregue no dia 06/06/2025, referente ao pedido Nº Pedido 1645 Rastreio Pedido 1645, agradecemos a preferência e adoraríamos receber sua avaliação, tendo qualquer dúvida estamos à disposição._x000a__x000a_Att_x000a_NTA Variedades"/>
  </r>
  <r>
    <s v="Pedido 1646"/>
    <s v="CódRastreio1567"/>
    <s v="LP00730972977341"/>
    <s v="MEI"/>
    <d v="2025-05-29T00:00:00"/>
    <s v="Transp 1"/>
    <s v="CNBR00068921267"/>
    <x v="0"/>
    <s v="Brasil"/>
    <d v="2025-05-15T00:00:00"/>
    <s v="Entregue"/>
    <x v="0"/>
    <s v="-"/>
    <x v="0"/>
    <s v="Olá Nome, _x000a_Identificamos que o Item Ventilador Preto foi entregue no dia 15/05/2025, referente ao pedido Nº Pedido 1646 Rastreio CNBR00068921267, agradecemos a preferência e adoraríamos receber sua avaliação, tendo qualquer dúvida estamos à disposição._x000a__x000a_Att_x000a_NTA Variedades"/>
  </r>
  <r>
    <s v="Pedido 1647"/>
    <s v="CódRastreio1568"/>
    <s v="LP00731868547661"/>
    <s v="GO"/>
    <d v="2025-05-29T00:00:00"/>
    <s v="Transp 1"/>
    <s v="NM806530309BR"/>
    <x v="0"/>
    <s v="Brasil"/>
    <d v="2025-05-22T00:00:00"/>
    <s v="Entregue"/>
    <x v="0"/>
    <s v="-"/>
    <x v="0"/>
    <s v="Olá Nome, _x000a_Identificamos que o Item Ventilador Rosa foi entregue no dia 22/05/2025, referente ao pedido Nº Pedido 1647 Rastreio NM806530309BR, agradecemos a preferência e adoraríamos receber sua avaliação, tendo qualquer dúvida estamos à disposição._x000a__x000a_Att_x000a_Sec Variedades"/>
  </r>
  <r>
    <s v="Pedido 1589"/>
    <s v="CódRastreio1517"/>
    <s v="LP00730919079174"/>
    <s v="MEI"/>
    <d v="2025-05-23T00:00:00"/>
    <s v="Transp 1"/>
    <s v="NM805820525BR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589 Rastreio NM805820525BR, agradecemos a preferência e adoraríamos receber sua avaliação, tendo qualquer dúvida estamos à disposição._x000a__x000a_Att_x000a_NTA Variedades"/>
  </r>
  <r>
    <s v="Pedido 1594"/>
    <s v="CódRastreio1522"/>
    <s v="LP00730919894454"/>
    <s v="MEI"/>
    <d v="2025-05-17T00:00:00"/>
    <s v="Transp 1"/>
    <s v="CNBR00070054599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594 Rastreio CNBR00070054599, agradecemos a preferência e adoraríamos receber sua avaliação, tendo qualquer dúvida estamos à disposição._x000a__x000a_Att_x000a_NTA Variedades"/>
  </r>
  <r>
    <s v="Pedido 1597"/>
    <s v="CódRastreio1525"/>
    <s v="LP00730008437269"/>
    <s v="MEI"/>
    <d v="2025-05-17T00:00:00"/>
    <s v="Transp 1"/>
    <s v="NM805834357BR"/>
    <x v="0"/>
    <s v="Brasil"/>
    <d v="2025-05-09T00:00:00"/>
    <s v="Entregue"/>
    <x v="0"/>
    <s v="-"/>
    <x v="0"/>
    <s v="Olá Nome, _x000a_Identificamos que o Item Maçarico Culinário Portátil foi entregue no dia 09/05/2025, referente ao pedido Nº Pedido 1597 Rastreio NM805834357BR, agradecemos a preferência e adoraríamos receber sua avaliação, tendo qualquer dúvida estamos à disposição._x000a__x000a_Att_x000a_NTA Variedades"/>
  </r>
  <r>
    <s v="Pedido 1599"/>
    <s v="CódRastreio1527"/>
    <s v="LP00731869999265"/>
    <s v="MEI"/>
    <d v="2025-05-23T00:00:00"/>
    <s v="Transp 1"/>
    <s v="NM805852660BR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599 Rastreio NM805852660BR, agradecemos a preferência e adoraríamos receber sua avaliação, tendo qualquer dúvida estamos à disposição._x000a__x000a_Att_x000a_NTA Variedades"/>
  </r>
  <r>
    <s v="Pedido 1600"/>
    <s v="CódRastreio1528"/>
    <s v="LP00730915736973"/>
    <s v="MEI"/>
    <d v="2025-05-17T00:00:00"/>
    <s v="Transp 1"/>
    <s v="CNBR00070040943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600 Rastreio CNBR00070040943, agradecemos a preferência e adoraríamos receber sua avaliação, tendo qualquer dúvida estamos à disposição._x000a__x000a_Att_x000a_NTA Variedades"/>
  </r>
  <r>
    <s v="Pedido 1602"/>
    <s v="CódRastreio1530"/>
    <s v="LP00731895648248"/>
    <s v="MEI"/>
    <d v="2025-05-17T00:00:00"/>
    <s v="Transp 1"/>
    <s v="CNBR00070038472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602 Rastreio CNBR00070038472, agradecemos a preferência e adoraríamos receber sua avaliação, tendo qualquer dúvida estamos à disposição._x000a__x000a_Att_x000a_NTA Variedades"/>
  </r>
  <r>
    <s v="Pedido 1604"/>
    <s v="CódRastreio1532"/>
    <s v="LP00731882058797"/>
    <s v="MEI"/>
    <d v="2025-05-24T00:00:00"/>
    <s v="Transp 1"/>
    <s v="CNBR00070049685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604 Rastreio CNBR00070049685, agradecemos a preferência e adoraríamos receber sua avaliação, tendo qualquer dúvida estamos à disposição._x000a__x000a_Att_x000a_NTA Variedades"/>
  </r>
  <r>
    <s v="Pedido 1608"/>
    <s v="CódRastreio1536"/>
    <s v="LP00730903899627"/>
    <s v="MEI"/>
    <d v="2025-05-24T00:00:00"/>
    <s v="Transp 1"/>
    <s v="CNBR00070048771"/>
    <x v="0"/>
    <s v="Brasil"/>
    <d v="2025-05-10T00:00:00"/>
    <s v="Entregue"/>
    <x v="0"/>
    <s v="-"/>
    <x v="0"/>
    <s v="Olá Nome, _x000a_Identificamos que o Item Maçarico Culinário Portátil foi entregue no dia 10/05/2025, referente ao pedido Nº Pedido 1608 Rastreio CNBR00070048771, agradecemos a preferência e adoraríamos receber sua avaliação, tendo qualquer dúvida estamos à disposição._x000a__x000a_Att_x000a_NTA Variedades"/>
  </r>
  <r>
    <s v="Pedido 1610"/>
    <s v="CódRastreio1538"/>
    <s v="LP00730020292656"/>
    <s v="MEI"/>
    <d v="2025-05-24T00:00:00"/>
    <s v="Transp 1"/>
    <s v="NM805881502BR"/>
    <x v="0"/>
    <s v="Brasil"/>
    <d v="2025-05-09T00:00:00"/>
    <s v="Entregue"/>
    <x v="0"/>
    <s v="-"/>
    <x v="0"/>
    <s v="Olá Nome, _x000a_Identificamos que o Item Maçarico Culinário Portátil foi entregue no dia 09/05/2025, referente ao pedido Nº Pedido 1610 Rastreio NM805881502BR, agradecemos a preferência e adoraríamos receber sua avaliação, tendo qualquer dúvida estamos à disposição._x000a__x000a_Att_x000a_NTA Variedades"/>
  </r>
  <r>
    <s v="Pedido 1648"/>
    <s v="CódRastreio1569"/>
    <n v="3621049801267"/>
    <s v="MEI"/>
    <d v="2025-05-29T00:00:00"/>
    <s v="Transp 1"/>
    <s v="-"/>
    <x v="1"/>
    <s v="Brasil"/>
    <d v="2025-05-23T00:00:00"/>
    <s v="Entregue"/>
    <x v="0"/>
    <s v="-"/>
    <x v="0"/>
    <s v="Olá Nome, _x000a_Identificamos que o Item Garrafa Termica foi entregue no dia 23/05/2025, referente ao pedido Nº Pedido 1648 Rastreio Pedido 1648, agradecemos a preferência e adoraríamos receber sua avaliação, tendo qualquer dúvida estamos à disposição._x000a__x000a_Att_x000a_NTA Variedades"/>
  </r>
  <r>
    <s v="Pedido 1655"/>
    <s v="CódRastreio1576"/>
    <n v="3621049801334"/>
    <s v="MEI"/>
    <d v="2025-05-23T00:00:00"/>
    <s v="Transp 1"/>
    <s v="-"/>
    <x v="1"/>
    <s v="Brasil"/>
    <d v="2025-05-13T00:00:00"/>
    <s v="Entregue"/>
    <x v="0"/>
    <s v="-"/>
    <x v="0"/>
    <s v="Olá Nome, _x000a_Identificamos que o Item Copo Termico foi entregue no dia 13/05/2025, referente ao pedido Nº Pedido 1655 Rastreio Pedido 1655, agradecemos a preferência e adoraríamos receber sua avaliação, tendo qualquer dúvida estamos à disposição._x000a__x000a_Att_x000a_NTA Variedades"/>
  </r>
  <r>
    <s v="Pedido 1621"/>
    <s v="CódRastreio1547"/>
    <n v="3621049805723"/>
    <s v="MEI"/>
    <d v="2025-05-24T00:00:00"/>
    <s v="Transp 1"/>
    <s v="-"/>
    <x v="1"/>
    <s v="Brasil"/>
    <d v="2025-05-12T00:00:00"/>
    <s v="Entregue"/>
    <x v="0"/>
    <s v="-"/>
    <x v="0"/>
    <s v="Olá Nome, _x000a_Identificamos que o Item Maçarico Culinário Portátil foi entregue no dia 12/05/2025, referente ao pedido Nº Pedido 1621 Rastreio Pedido 1621, agradecemos a preferência e adoraríamos receber sua avaliação, tendo qualquer dúvida estamos à disposição._x000a__x000a_Att_x000a_NTA Variedades"/>
  </r>
  <r>
    <s v="Pedido 1625"/>
    <s v="CódRastreio1551"/>
    <n v="3621049805979"/>
    <s v="MEI"/>
    <d v="2025-05-27T00:00:00"/>
    <s v="Transp 1"/>
    <s v="-"/>
    <x v="1"/>
    <s v="Brasil"/>
    <d v="2025-05-13T00:00:00"/>
    <s v="Entregue"/>
    <x v="0"/>
    <s v="-"/>
    <x v="0"/>
    <s v="Olá Nome, _x000a_Identificamos que o Item Maçarico Culinário Portátil foi entregue no dia 13/05/2025, referente ao pedido Nº Pedido 1625 Rastreio Pedido 1625, agradecemos a preferência e adoraríamos receber sua avaliação, tendo qualquer dúvida estamos à disposição._x000a__x000a_Att_x000a_NTA Variedades"/>
  </r>
  <r>
    <s v="Pedido 1635"/>
    <s v="CódRastreio1558"/>
    <n v="3621049806422"/>
    <s v="MEI"/>
    <d v="2025-05-22T00:00:00"/>
    <s v="Transp 1"/>
    <s v="-"/>
    <x v="1"/>
    <s v="Brasil"/>
    <d v="2025-05-16T00:00:00"/>
    <s v="Entregue"/>
    <x v="0"/>
    <s v="-"/>
    <x v="0"/>
    <s v="Olá Nome, _x000a_Identificamos que o Item Maçarico Culinário Portátil foi entregue no dia 16/05/2025, referente ao pedido Nº Pedido 1635 Rastreio Pedido 1635, agradecemos a preferência e adoraríamos receber sua avaliação, tendo qualquer dúvida estamos à disposição._x000a__x000a_Att_x000a_NTA Variedades"/>
  </r>
  <r>
    <s v="Pedido 1637"/>
    <s v="CódRastreio1560"/>
    <n v="3621049806708"/>
    <s v="MEI"/>
    <d v="2025-05-28T00:00:00"/>
    <s v="Transp 1"/>
    <s v="-"/>
    <x v="1"/>
    <s v="Brasil"/>
    <d v="2025-05-12T00:00:00"/>
    <s v="Entregue"/>
    <x v="0"/>
    <s v="-"/>
    <x v="0"/>
    <s v="Olá Nome, _x000a_Identificamos que o Item Maçarico Culinário Portátil foi entregue no dia 12/05/2025, referente ao pedido Nº Pedido 1637 Rastreio Pedido 1637, agradecemos a preferência e adoraríamos receber sua avaliação, tendo qualquer dúvida estamos à disposição._x000a__x000a_Att_x000a_NTA Variedades"/>
  </r>
  <r>
    <s v="Pedido 1649"/>
    <s v="CódRastreio1570"/>
    <s v="LP00730633373868"/>
    <s v="MEI"/>
    <d v="2025-06-05T00:00:00"/>
    <s v="Transp 1"/>
    <s v="NM809157254BR"/>
    <x v="0"/>
    <s v="Brasil"/>
    <d v="2025-06-24T00:00:00"/>
    <s v="Entregue"/>
    <x v="0"/>
    <s v="-"/>
    <x v="1"/>
    <s v="Olá Nome, _x000a_Identificamos que o Item Ventilador Rosa foi entregue no dia 24/06/2025, referente ao pedido Nº Pedido 1649 Rastreio NM809157254BR, agradecemos a preferência e adoraríamos receber sua avaliação, tendo qualquer dúvida estamos à disposição._x000a__x000a_Att_x000a_NTA Variedades"/>
  </r>
  <r>
    <s v="Pedido 1650"/>
    <s v="CódRastreio1571"/>
    <s v="LP00732520921118"/>
    <s v="MEI"/>
    <d v="2025-05-29T00:00:00"/>
    <s v="Transp 1"/>
    <s v="NM809131708BR"/>
    <x v="0"/>
    <s v="Brasil"/>
    <d v="2025-05-19T00:00:00"/>
    <s v="Entregue"/>
    <x v="0"/>
    <s v="-"/>
    <x v="0"/>
    <s v="Olá Nome, _x000a_Identificamos que o Item Ventilador Azul foi entregue no dia 19/05/2025, referente ao pedido Nº Pedido 1650 Rastreio NM809131708BR, agradecemos a preferência e adoraríamos receber sua avaliação, tendo qualquer dúvida estamos à disposição._x000a__x000a_Att_x000a_NTA Variedades"/>
  </r>
  <r>
    <s v="Pedido 1651"/>
    <s v="CódRastreio1572"/>
    <s v="LP00730639631754"/>
    <s v="MEI"/>
    <d v="2025-05-29T00:00:00"/>
    <s v="Transp 1"/>
    <s v="NM809144264BR"/>
    <x v="0"/>
    <s v="Brasil"/>
    <d v="2025-05-20T00:00:00"/>
    <s v="Entregue"/>
    <x v="0"/>
    <s v="-"/>
    <x v="0"/>
    <s v="Olá Nome, _x000a_Identificamos que o Item Ventilador Rosa foi entregue no dia 20/05/2025, referente ao pedido Nº Pedido 1651 Rastreio NM809144264BR, agradecemos a preferência e adoraríamos receber sua avaliação, tendo qualquer dúvida estamos à disposição._x000a__x000a_Att_x000a_NTA Variedades"/>
  </r>
  <r>
    <s v="Pedido 1652"/>
    <s v="CódRastreio1573"/>
    <s v="LP00730642618477"/>
    <s v="MEI"/>
    <d v="2025-05-29T00:00:00"/>
    <s v="Transp 1"/>
    <s v="CNBR00070402909"/>
    <x v="0"/>
    <s v="Brasil"/>
    <d v="2025-05-23T00:00:00"/>
    <s v="Entregue"/>
    <x v="0"/>
    <s v="-"/>
    <x v="0"/>
    <s v="Olá Nome, _x000a_Identificamos que o Item Ventilador Azul foi entregue no dia 23/05/2025, referente ao pedido Nº Pedido 1652 Rastreio CNBR00070402909, agradecemos a preferência e adoraríamos receber sua avaliação, tendo qualquer dúvida estamos à disposição._x000a__x000a_Att_x000a_NTA Variedades"/>
  </r>
  <r>
    <s v="Pedido 1653"/>
    <s v="CódRastreio1574"/>
    <s v="LP00730611251878"/>
    <s v="MEI"/>
    <d v="2025-06-05T00:00:00"/>
    <s v="Transp 1"/>
    <s v="NM809156259BR"/>
    <x v="0"/>
    <s v="Brasil"/>
    <d v="2025-06-06T00:00:00"/>
    <s v="Entregue"/>
    <x v="0"/>
    <s v="-"/>
    <x v="1"/>
    <s v="Olá Nome, _x000a_Identificamos que o Item Ventilador Rosa foi entregue no dia 06/06/2025, referente ao pedido Nº Pedido 1653 Rastreio NM809156259BR, agradecemos a preferência e adoraríamos receber sua avaliação, tendo qualquer dúvida estamos à disposição._x000a__x000a_Att_x000a_NTA Variedades"/>
  </r>
  <r>
    <s v="Pedido 1654"/>
    <s v="CódRastreio1575"/>
    <s v="LP00730646494273"/>
    <s v="MEI"/>
    <d v="2025-05-29T00:00:00"/>
    <s v="Transp 1"/>
    <s v="NM809146605BR"/>
    <x v="0"/>
    <s v="Brasil"/>
    <d v="2025-05-21T00:00:00"/>
    <s v="Entregue"/>
    <x v="0"/>
    <s v="-"/>
    <x v="0"/>
    <s v="Olá Nome, _x000a_Identificamos que o Item Ventilador Rosa foi entregue no dia 21/05/2025, referente ao pedido Nº Pedido 1654 Rastreio NM809146605BR, agradecemos a preferência e adoraríamos receber sua avaliação, tendo qualquer dúvida estamos à disposição._x000a__x000a_Att_x000a_NTA Variedades"/>
  </r>
  <r>
    <s v="Pedido 1656"/>
    <s v="CódRastreio1577"/>
    <s v="LP00732543504613"/>
    <s v="MEI"/>
    <d v="2025-05-29T00:00:00"/>
    <s v="Transp 1"/>
    <s v="CNBR00070329452"/>
    <x v="0"/>
    <s v="Brasil"/>
    <d v="2025-05-23T00:00:00"/>
    <s v="Entregue"/>
    <x v="0"/>
    <s v="-"/>
    <x v="0"/>
    <s v="Olá Nome, _x000a_Identificamos que o Item Ventilador Umidificador Preto foi entregue no dia 23/05/2025, referente ao pedido Nº Pedido 1656 Rastreio CNBR00070329452, agradecemos a preferência e adoraríamos receber sua avaliação, tendo qualquer dúvida estamos à disposição._x000a__x000a_Att_x000a_NTA Variedades"/>
  </r>
  <r>
    <s v="Pedido 1657"/>
    <s v="CódRastreio1578"/>
    <s v="LP00731534019865"/>
    <s v="MEI"/>
    <d v="2025-05-29T00:00:00"/>
    <s v="Transp 1"/>
    <s v="CNBR00070415541"/>
    <x v="0"/>
    <s v="Brasil"/>
    <d v="2025-05-29T00:00:00"/>
    <s v="Entregue"/>
    <x v="0"/>
    <s v="-"/>
    <x v="0"/>
    <s v="Olá Nome, _x000a_Identificamos que o Item Ventilador Rosa foi entregue no dia 29/05/2025, referente ao pedido Nº Pedido 1657 Rastreio CNBR00070415541, agradecemos a preferência e adoraríamos receber sua avaliação, tendo qualquer dúvida estamos à disposição._x000a__x000a_Att_x000a_NTA Variedades"/>
  </r>
  <r>
    <s v="Pedido 1658"/>
    <s v="CódRastreio1579"/>
    <s v="LP00732529950218"/>
    <s v="MEI"/>
    <d v="2025-05-29T00:00:00"/>
    <s v="Transp 1"/>
    <s v="CNBR00070412635"/>
    <x v="0"/>
    <s v="Brasil"/>
    <d v="2025-05-26T00:00:00"/>
    <s v="Entregue"/>
    <x v="0"/>
    <s v="-"/>
    <x v="0"/>
    <s v="Olá Nome, _x000a_Identificamos que o Item Ventilador Preto foi entregue no dia 26/05/2025, referente ao pedido Nº Pedido 1658 Rastreio CNBR00070412635, agradecemos a preferência e adoraríamos receber sua avaliação, tendo qualquer dúvida estamos à disposição._x000a__x000a_Att_x000a_NTA Variedades"/>
  </r>
  <r>
    <s v="Pedido 1659"/>
    <s v="CódRastreio1580"/>
    <n v="3621049805981"/>
    <s v="MEI"/>
    <d v="2025-05-29T00:00:00"/>
    <s v="Transp 1"/>
    <s v="-"/>
    <x v="1"/>
    <s v="Brasil"/>
    <d v="2025-05-10T00:00:00"/>
    <s v="Entregue"/>
    <x v="0"/>
    <s v="-"/>
    <x v="0"/>
    <s v="Olá Nome, _x000a_Identificamos que o Item Maçarico Culinário Portátil foi entregue no dia 10/05/2025, referente ao pedido Nº Pedido 1659 Rastreio Pedido 1659, agradecemos a preferência e adoraríamos receber sua avaliação, tendo qualquer dúvida estamos à disposição._x000a__x000a_Att_x000a_NTA Variedades"/>
  </r>
  <r>
    <s v="Pedido 1615"/>
    <s v="CódRastreio1543"/>
    <s v="LP00730934439571"/>
    <s v="MEI"/>
    <d v="2025-05-24T00:00:00"/>
    <s v="Transp 1"/>
    <s v="NM805891748BR"/>
    <x v="0"/>
    <s v="Brasil"/>
    <d v="2025-05-11T00:00:00"/>
    <s v="Entregue"/>
    <x v="0"/>
    <s v="-"/>
    <x v="0"/>
    <s v="Olá Nome, _x000a_Identificamos que o Item Maçarico Culinário Portátil foi entregue no dia 11/05/2025, referente ao pedido Nº Pedido 1615 Rastreio NM805891748BR, agradecemos a preferência e adoraríamos receber sua avaliação, tendo qualquer dúvida estamos à disposição._x000a__x000a_Att_x000a_NTA Variedades"/>
  </r>
  <r>
    <s v="Pedido 1640"/>
    <s v="CódRastreio1563"/>
    <s v="LP00732789361409"/>
    <s v="MEI"/>
    <d v="2025-05-28T00:00:00"/>
    <s v="Transp 1"/>
    <s v="CNBR00070931024"/>
    <x v="0"/>
    <s v="Brasil"/>
    <d v="2025-05-12T00:00:00"/>
    <s v="Entregue"/>
    <x v="0"/>
    <s v="-"/>
    <x v="0"/>
    <s v="Olá Nome, _x000a_Identificamos que o Item Maçarico Culinário Portátil foi entregue no dia 12/05/2025, referente ao pedido Nº Pedido 1640 Rastreio CNBR00070931024, agradecemos a preferência e adoraríamos receber sua avaliação, tendo qualquer dúvida estamos à disposição._x000a__x000a_Att_x000a_NTA Variedades"/>
  </r>
  <r>
    <s v="Pedido 1644"/>
    <s v="CódRastreio1565"/>
    <s v="AM388307321BR"/>
    <s v="MEI"/>
    <d v="2025-05-20T00:00:00"/>
    <s v="Transp 1"/>
    <s v="-"/>
    <x v="1"/>
    <s v="Brasil"/>
    <d v="2025-05-16T00:00:00"/>
    <s v="Entregue"/>
    <x v="0"/>
    <s v="-"/>
    <x v="0"/>
    <s v="Olá Nome, _x000a_Identificamos que o Item Copo Termico foi entregue no dia 16/05/2025, referente ao pedido Nº Pedido 1644 Rastreio Pedido 1644, agradecemos a preferência e adoraríamos receber sua avaliação, tendo qualquer dúvida estamos à disposição._x000a__x000a_Att_x000a_NTA Variedades"/>
  </r>
  <r>
    <s v="Pedido 1660"/>
    <s v="CódRastreio1581"/>
    <s v="LP00730869400996"/>
    <s v="MEI"/>
    <d v="2025-05-29T00:00:00"/>
    <s v="Transp 1"/>
    <s v="NM809813065BR"/>
    <x v="0"/>
    <s v="Brasil"/>
    <d v="2025-05-21T00:00:00"/>
    <s v="Entregue"/>
    <x v="0"/>
    <s v="-"/>
    <x v="0"/>
    <s v="Olá Nome, _x000a_Identificamos que o Item Ventilador Rosa foi entregue no dia 21/05/2025, referente ao pedido Nº Pedido 1660 Rastreio NM809813065BR, agradecemos a preferência e adoraríamos receber sua avaliação, tendo qualquer dúvida estamos à disposição._x000a__x000a_Att_x000a_NTA Variedades"/>
  </r>
  <r>
    <s v="Pedido 1662"/>
    <s v="CódRastreio1583"/>
    <n v="3621049808748"/>
    <s v="MEI"/>
    <d v="2025-05-23T00:00:00"/>
    <s v="Transp 1"/>
    <s v="-"/>
    <x v="1"/>
    <s v="Brasil"/>
    <d v="2025-05-17T00:00:00"/>
    <s v="Entregue"/>
    <x v="0"/>
    <s v="-"/>
    <x v="0"/>
    <s v="Olá Nome, _x000a_Identificamos que o Item Copo Termico foi entregue no dia 17/05/2025, referente ao pedido Nº Pedido 1662 Rastreio Pedido 1662, agradecemos a preferência e adoraríamos receber sua avaliação, tendo qualquer dúvida estamos à disposição._x000a__x000a_Att_x000a_NTA Variedades"/>
  </r>
  <r>
    <s v="Pedido 1669"/>
    <s v="CódRastreio1590"/>
    <n v="3621049808943"/>
    <s v="MEI"/>
    <d v="2025-05-30T00:00:00"/>
    <s v="Transp 1"/>
    <s v="-"/>
    <x v="1"/>
    <s v="Brasil"/>
    <d v="2025-05-23T00:00:00"/>
    <s v="Entregue"/>
    <x v="0"/>
    <s v="-"/>
    <x v="0"/>
    <s v="Olá Nome, _x000a_Identificamos que o Item Copo Termico foi entregue no dia 23/05/2025, referente ao pedido Nº Pedido 1669 Rastreio Pedido 1669, agradecemos a preferência e adoraríamos receber sua avaliação, tendo qualquer dúvida estamos à disposição._x000a__x000a_Att_x000a_NTA Variedades"/>
  </r>
  <r>
    <s v="Pedido 1671"/>
    <s v="CódRastreio1592"/>
    <s v="LP00731129866587"/>
    <s v="MEI"/>
    <d v="2025-05-24T00:00:00"/>
    <s v="Transp 1"/>
    <s v="CNBR00070753926"/>
    <x v="0"/>
    <s v="Brasil"/>
    <d v="2025-05-20T00:00:00"/>
    <s v="Entregue"/>
    <x v="0"/>
    <s v="-"/>
    <x v="0"/>
    <s v="Olá Nome, _x000a_Identificamos que o Item Fone de ouvido XT60 foi entregue no dia 20/05/2025, referente ao pedido Nº Pedido 1671 Rastreio CNBR00070753926, agradecemos a preferência e adoraríamos receber sua avaliação, tendo qualquer dúvida estamos à disposição._x000a__x000a_Att_x000a_NTA Variedades"/>
  </r>
  <r>
    <s v="Pedido 1661"/>
    <s v="CódRastreio1582"/>
    <s v="LP00731100664952"/>
    <s v="MEI"/>
    <d v="2025-06-05T00:00:00"/>
    <s v="Transp 1"/>
    <s v="NM810990947BR"/>
    <x v="0"/>
    <s v="Brasil"/>
    <d v="2025-06-13T13:53:42"/>
    <s v="Entregue"/>
    <x v="0"/>
    <s v="-"/>
    <x v="1"/>
    <s v="Olá Nome, _x000a_Identificamos que o Item Ventilador Umidificador Preto foi entregue no dia 13/06/2025, referente ao pedido Nº Pedido 1661 Rastreio NM810990947BR, agradecemos a preferência e adoraríamos receber sua avaliação, tendo qualquer dúvida estamos à disposição._x000a__x000a_Att_x000a_NTA Variedades"/>
  </r>
  <r>
    <s v="Pedido 1663"/>
    <s v="CódRastreio1584"/>
    <s v="LP00731100971133"/>
    <s v="MEI"/>
    <d v="2025-05-29T00:00:00"/>
    <s v="Transp 1"/>
    <s v="NM810992395BR"/>
    <x v="0"/>
    <s v="Brasil"/>
    <d v="2025-06-12T15:06:19"/>
    <s v="Entregue"/>
    <x v="0"/>
    <s v="-"/>
    <x v="1"/>
    <s v="Olá Nome, _x000a_Identificamos que o Item Ventilador Umidificador Preto foi entregue no dia 12/06/2025, referente ao pedido Nº Pedido 1663 Rastreio NM810992395BR, agradecemos a preferência e adoraríamos receber sua avaliação, tendo qualquer dúvida estamos à disposição._x000a__x000a_Att_x000a_NTA Variedades"/>
  </r>
  <r>
    <s v="Pedido 1664"/>
    <s v="CódRastreio1585"/>
    <s v="LP00731995689316"/>
    <s v="MEI"/>
    <d v="2025-05-23T00:00:00"/>
    <s v="Transp 1"/>
    <s v="NM810703306BR"/>
    <x v="0"/>
    <s v="Brasil"/>
    <d v="2025-05-22T00:00:00"/>
    <s v="Entregue"/>
    <x v="0"/>
    <s v="-"/>
    <x v="0"/>
    <s v="Olá Nome, _x000a_Identificamos que o Item Ventilador Azul foi entregue no dia 22/05/2025, referente ao pedido Nº Pedido 1664 Rastreio NM810703306BR, agradecemos a preferência e adoraríamos receber sua avaliação, tendo qualquer dúvida estamos à disposição._x000a__x000a_Att_x000a_NTA Variedades"/>
  </r>
  <r>
    <s v="Pedido 1665"/>
    <s v="CódRastreio1586"/>
    <s v="LP00731085940980"/>
    <s v="MEI"/>
    <d v="2025-05-29T00:00:00"/>
    <s v="Transp 1"/>
    <s v="CNBR00071218043"/>
    <x v="0"/>
    <s v="Brasil"/>
    <d v="2025-05-23T00:00:00"/>
    <s v="Entregue"/>
    <x v="0"/>
    <s v="-"/>
    <x v="0"/>
    <s v="Olá Nome, _x000a_Identificamos que o Item Ventilador Umidificador Preto foi entregue no dia 23/05/2025, referente ao pedido Nº Pedido 1665 Rastreio CNBR00071218043, agradecemos a preferência e adoraríamos receber sua avaliação, tendo qualquer dúvida estamos à disposição._x000a__x000a_Att_x000a_NTA Variedades"/>
  </r>
  <r>
    <s v="Pedido 1666"/>
    <s v="CódRastreio1587"/>
    <s v="LP00732970105135"/>
    <s v="MEI"/>
    <d v="2025-06-05T00:00:00"/>
    <s v="Transp 1"/>
    <s v="NM810982557BR"/>
    <x v="0"/>
    <s v="Brasil"/>
    <d v="2025-06-20T13:29:23"/>
    <s v="Entregue"/>
    <x v="0"/>
    <s v="-"/>
    <x v="1"/>
    <s v="Olá Nome, _x000a_Identificamos que o Item Ventilador Umidificador Preto foi entregue no dia 20/06/2025, referente ao pedido Nº Pedido 1666 Rastreio NM810982557BR, agradecemos a preferência e adoraríamos receber sua avaliação, tendo qualquer dúvida estamos à disposição._x000a__x000a_Att_x000a_NTA Variedades"/>
  </r>
  <r>
    <s v="Pedido 1667"/>
    <s v="CódRastreio1588"/>
    <s v="LP00731114908613"/>
    <s v="MEI"/>
    <d v="2025-06-06T00:00:00"/>
    <s v="Transp 1"/>
    <s v="NM810757162BR"/>
    <x v="0"/>
    <s v="Brasil"/>
    <d v="2025-06-27T00:00:00"/>
    <s v="Entregue"/>
    <x v="0"/>
    <s v="-"/>
    <x v="1"/>
    <s v="Olá Nome, _x000a_Identificamos que o Item Luminária Azul de mesa infantil foi entregue no dia 27/06/2025, referente ao pedido Nº Pedido 1667 Rastreio NM810757162BR, agradecemos a preferência e adoraríamos receber sua avaliação, tendo qualquer dúvida estamos à disposição._x000a__x000a_Att_x000a_NTA Variedades"/>
  </r>
  <r>
    <s v="Pedido 1668"/>
    <s v="CódRastreio1589"/>
    <s v="LP00732002391235"/>
    <s v="MEI"/>
    <d v="2025-05-24T00:00:00"/>
    <s v="Transp 1"/>
    <s v="CNBR00071131858"/>
    <x v="0"/>
    <s v="Brasil"/>
    <d v="2025-05-20T00:00:00"/>
    <s v="Entregue"/>
    <x v="0"/>
    <s v="-"/>
    <x v="0"/>
    <s v="Olá Nome, _x000a_Identificamos que o Item Ventilador Azul foi entregue no dia 20/05/2025, referente ao pedido Nº Pedido 1668 Rastreio CNBR00071131858, agradecemos a preferência e adoraríamos receber sua avaliação, tendo qualquer dúvida estamos à disposição._x000a__x000a_Att_x000a_NTA Variedades"/>
  </r>
  <r>
    <s v="Pedido 1670"/>
    <s v="CódRastreio1591"/>
    <n v="3621049813345"/>
    <s v="MEI"/>
    <d v="2025-05-24T00:00:00"/>
    <s v="Transp 1"/>
    <s v="-"/>
    <x v="1"/>
    <s v="Brasil"/>
    <d v="2025-05-14T00:00:00"/>
    <s v="Entregue"/>
    <x v="0"/>
    <s v="-"/>
    <x v="0"/>
    <s v="Olá Nome, _x000a_Identificamos que o Item Maçarico Culinário Portátil foi entregue no dia 14/05/2025, referente ao pedido Nº Pedido 1670 Rastreio Pedido 1670, agradecemos a preferência e adoraríamos receber sua avaliação, tendo qualquer dúvida estamos à disposição._x000a__x000a_Att_x000a_NTA Variedades"/>
  </r>
  <r>
    <s v="Pedido 1672"/>
    <s v="CódRastreio1593"/>
    <s v="LP00731072537859"/>
    <s v="MEI"/>
    <d v="2025-05-30T00:00:00"/>
    <s v="Transp 1"/>
    <s v="CNBR00071135429"/>
    <x v="0"/>
    <s v="Brasil"/>
    <d v="2025-05-21T00:00:00"/>
    <s v="Entregue"/>
    <x v="0"/>
    <s v="-"/>
    <x v="0"/>
    <s v="Olá Nome, _x000a_Identificamos que o Item Ventilador Azul foi entregue no dia 21/05/2025, referente ao pedido Nº Pedido 1672 Rastreio CNBR00071135429, agradecemos a preferência e adoraríamos receber sua avaliação, tendo qualquer dúvida estamos à disposição._x000a__x000a_Att_x000a_NTA Variedades"/>
  </r>
  <r>
    <s v="Pedido 1673"/>
    <s v="CódRastreio1594"/>
    <n v="3621049811468"/>
    <s v="MEI"/>
    <d v="2025-05-24T00:00:00"/>
    <s v="Transp 1"/>
    <s v="-"/>
    <x v="1"/>
    <s v="Brasil"/>
    <d v="2025-05-20T00:00:00"/>
    <s v="Entregue"/>
    <x v="0"/>
    <s v="-"/>
    <x v="0"/>
    <s v="Olá Nome, _x000a_Identificamos que o Item Garrafa Termica foi entregue no dia 20/05/2025, referente ao pedido Nº Pedido 1673 Rastreio Pedido 1673, agradecemos a preferência e adoraríamos receber sua avaliação, tendo qualquer dúvida estamos à disposição._x000a__x000a_Att_x000a_NTA Variedades"/>
  </r>
  <r>
    <s v="Pedido 1674"/>
    <s v="CódRastreio1595"/>
    <s v="LP00731087375075"/>
    <s v="MEI"/>
    <d v="2025-05-31T00:00:00"/>
    <s v="Transp 1"/>
    <s v="NM810700976BR"/>
    <x v="0"/>
    <s v="Brasil"/>
    <d v="2025-06-11T14:23:53"/>
    <s v="Entregue"/>
    <x v="0"/>
    <s v="-"/>
    <x v="1"/>
    <s v="Olá Nome, _x000a_Identificamos que o Item Ventilador Azul foi entregue no dia 11/06/2025, referente ao pedido Nº Pedido 1674 Rastreio NM810700976BR, agradecemos a preferência e adoraríamos receber sua avaliação, tendo qualquer dúvida estamos à disposição._x000a__x000a_Att_x000a_NTA Variedades"/>
  </r>
  <r>
    <s v="Pedido 1675"/>
    <s v="CódRastreio1596"/>
    <s v="LP00733236504129"/>
    <s v="MEI"/>
    <d v="2025-05-27T00:00:00"/>
    <s v="Transp 1"/>
    <s v="NM810766164BR"/>
    <x v="0"/>
    <s v="Brasil"/>
    <d v="2025-05-20T00:00:00"/>
    <s v="Entregue"/>
    <x v="0"/>
    <s v="-"/>
    <x v="0"/>
    <s v="Olá Nome, _x000a_Identificamos que o Item Ventilador Preto foi entregue no dia 20/05/2025, referente ao pedido Nº Pedido 1675 Rastreio NM810766164BR, agradecemos a preferência e adoraríamos receber sua avaliação, tendo qualquer dúvida estamos à disposição._x000a__x000a_Att_x000a_NTA Variedades"/>
  </r>
  <r>
    <s v="Pedido 1676"/>
    <s v="CódRastreio1597"/>
    <s v="LP00732209595874"/>
    <s v="MEI"/>
    <d v="2025-06-07T00:00:00"/>
    <s v="Transp 1"/>
    <s v="NM811720107BR"/>
    <x v="0"/>
    <s v="Brasil"/>
    <d v="2025-06-22T13:49:49"/>
    <s v="Entregue"/>
    <x v="0"/>
    <s v="-"/>
    <x v="1"/>
    <s v="Olá Nome, _x000a_Identificamos que o Item Ventilador Azul foi entregue no dia 22/06/2025, referente ao pedido Nº Pedido 1676 Rastreio NM811720107BR, agradecemos a preferência e adoraríamos receber sua avaliação, tendo qualquer dúvida estamos à disposição._x000a__x000a_Att_x000a_NTA Variedades"/>
  </r>
  <r>
    <s v="Pedido 1678"/>
    <s v="CódRastreio1599"/>
    <s v="LP00733216669028"/>
    <s v="MEI"/>
    <d v="2025-06-03T00:00:00"/>
    <s v="Transp 1"/>
    <s v="NM810834006BR"/>
    <x v="0"/>
    <s v="Brasil"/>
    <d v="2025-07-03T00:00:00"/>
    <s v="Entregue"/>
    <x v="0"/>
    <s v="-"/>
    <x v="1"/>
    <s v="Olá Nome, _x000a_Identificamos que o Item Lampada Led foi entregue no dia 03/07/2025, referente ao pedido Nº Pedido 1678 Rastreio NM810834006BR, agradecemos a preferência e adoraríamos receber sua avaliação, tendo qualquer dúvida estamos à disposição._x000a__x000a_Att_x000a_NTA Variedades"/>
  </r>
  <r>
    <s v="Pedido 1679"/>
    <s v="CódRastreio1600"/>
    <s v="LP00731319256624"/>
    <s v="MEI"/>
    <d v="2025-05-28T00:00:00"/>
    <s v="Transp 1"/>
    <s v="CNBR00071551493"/>
    <x v="0"/>
    <s v="Brasil"/>
    <d v="2025-05-20T00:00:00"/>
    <s v="Entregue"/>
    <x v="0"/>
    <s v="-"/>
    <x v="0"/>
    <s v="Olá Nome, _x000a_Identificamos que o Item Ventilador Rosa foi entregue no dia 20/05/2025, referente ao pedido Nº Pedido 1679 Rastreio CNBR00071551493, agradecemos a preferência e adoraríamos receber sua avaliação, tendo qualquer dúvida estamos à disposição._x000a__x000a_Att_x000a_NTA Variedades"/>
  </r>
  <r>
    <s v="Pedido 1683"/>
    <s v="CódRastreio1601"/>
    <s v="LP00733232935586"/>
    <s v="MEI"/>
    <d v="2025-06-03T00:00:00"/>
    <s v="Transp 1"/>
    <s v="NM811724126BR"/>
    <x v="0"/>
    <s v="Brasil"/>
    <d v="2025-06-03T00:00:00"/>
    <s v="Entregue"/>
    <x v="0"/>
    <s v="-"/>
    <x v="0"/>
    <s v="Olá Nome, _x000a_Identificamos que o Item Ventilador Rosa foi entregue no dia 03/06/2025, referente ao pedido Nº Pedido 1683 Rastreio NM811724126BR, agradecemos a preferência e adoraríamos receber sua avaliação, tendo qualquer dúvida estamos à disposição._x000a__x000a_Att_x000a_NTA Variedades"/>
  </r>
  <r>
    <s v="Pedido 1684"/>
    <s v="CódRastreio1602"/>
    <s v="LP00733282356638"/>
    <s v="MEI"/>
    <d v="2025-05-29T00:00:00"/>
    <s v="Transp 1"/>
    <s v="CNBR00071175291"/>
    <x v="0"/>
    <s v="Brasil"/>
    <d v="2025-05-20T00:00:00"/>
    <s v="Entregue"/>
    <x v="0"/>
    <s v="-"/>
    <x v="0"/>
    <s v="Olá Nome, _x000a_Identificamos que o Item Ventilador Preto foi entregue no dia 20/05/2025, referente ao pedido Nº Pedido 1684 Rastreio CNBR00071175291, agradecemos a preferência e adoraríamos receber sua avaliação, tendo qualquer dúvida estamos à disposição._x000a__x000a_Att_x000a_NTA Variedades"/>
  </r>
  <r>
    <s v="Pedido 1685"/>
    <s v="CódRastreio1603"/>
    <s v="LP00731308559884"/>
    <s v="MEI"/>
    <d v="2025-06-04T00:00:00"/>
    <s v="Transp 1"/>
    <s v="CNBR00071298246"/>
    <x v="0"/>
    <s v="Brasil"/>
    <d v="2025-05-22T00:00:00"/>
    <s v="Entregue"/>
    <x v="0"/>
    <s v="-"/>
    <x v="0"/>
    <s v="Olá Nome, _x000a_Identificamos que o Item Karaoke portátil foi entregue no dia 22/05/2025, referente ao pedido Nº Pedido 1685 Rastreio CNBR00071298246, agradecemos a preferência e adoraríamos receber sua avaliação, tendo qualquer dúvida estamos à disposição._x000a__x000a_Att_x000a_NTA Variedades"/>
  </r>
  <r>
    <s v="Pedido 1677"/>
    <s v="CódRastreio1598"/>
    <s v="LP00734112463099"/>
    <s v="MEI"/>
    <d v="2025-06-03T00:00:00"/>
    <s v="Transp 1"/>
    <s v="NM814639824BR"/>
    <x v="0"/>
    <s v="Brasil"/>
    <d v="2025-06-25T00:00:00"/>
    <s v="Entregue"/>
    <x v="0"/>
    <s v="-"/>
    <x v="1"/>
    <s v="Olá Nome, _x000a_Identificamos que o Item Ventilador Umidificador Preto foi entregue no dia 25/06/2025, referente ao pedido Nº Pedido 1677 Rastreio NM814639824BR, agradecemos a preferência e adoraríamos receber sua avaliação, tendo qualquer dúvida estamos à disposição._x000a__x000a_Att_x000a_NTA Variedades"/>
  </r>
  <r>
    <s v="Pedido 1694"/>
    <s v="CódRastreio1606"/>
    <n v="3621049830346"/>
    <s v="MEI"/>
    <d v="2025-05-24T00:00:00"/>
    <s v="Transp 1"/>
    <s v="-"/>
    <x v="1"/>
    <s v="Brasil"/>
    <d v="2025-05-16T00:00:00"/>
    <s v="Entregue"/>
    <x v="0"/>
    <s v="-"/>
    <x v="0"/>
    <s v="Olá Nome, _x000a_Identificamos que o Item Copo Termico foi entregue no dia 16/05/2025, referente ao pedido Nº Pedido 1694 Rastreio Pedido 1694, agradecemos a preferência e adoraríamos receber sua avaliação, tendo qualquer dúvida estamos à disposição._x000a__x000a_Att_x000a_NTA Variedades"/>
  </r>
  <r>
    <s v="Pedido 1692"/>
    <s v="CódRastreio1604"/>
    <s v="LP00733359680824"/>
    <s v="MEI"/>
    <d v="2025-06-05T00:00:00"/>
    <s v="Transp 1"/>
    <s v="NM816888104BR"/>
    <x v="0"/>
    <s v="Brasil"/>
    <d v="2025-06-26T00:00:00"/>
    <s v="Encaminhado"/>
    <x v="1"/>
    <s v="-"/>
    <x v="1"/>
    <s v="Olá Nome, _x000a_Identificamos que o Item Ventilador Umidificador Preto foi entregue no dia 26/06/2025, referente ao pedido Nº Pedido 1692 Rastreio NM816888104BR, agradecemos a preferência e adoraríamos receber sua avaliação, tendo qualquer dúvida estamos à disposição._x000a__x000a_Att_x000a_NTA Variedades"/>
  </r>
  <r>
    <s v="Pedido 1698"/>
    <s v="CódRastreio1608"/>
    <n v="3621049835197"/>
    <s v="MEI"/>
    <d v="2025-06-05T00:00:00"/>
    <s v="Transp 1"/>
    <s v="-"/>
    <x v="1"/>
    <s v="Brasil"/>
    <d v="2025-05-22T00:00:00"/>
    <s v="Entregue"/>
    <x v="0"/>
    <s v="Cliente informado"/>
    <x v="0"/>
    <s v="Olá Nome, _x000a_Identificamos que o Item Copo Termico foi entregue no dia 22/05/2025, referente ao pedido Nº Pedido 1698 Rastreio Pedido 1698, agradecemos a preferência e adoraríamos receber sua avaliação, tendo qualquer dúvida estamos à disposição._x000a__x000a_Att_x000a_NTA Variedades"/>
  </r>
  <r>
    <s v="Pedido 1693"/>
    <s v="CódRastreio1605"/>
    <s v="LP00734572879675"/>
    <s v="MEI"/>
    <d v="2025-06-05T00:00:00"/>
    <s v="Transp 1"/>
    <s v="NM818357483BR"/>
    <x v="0"/>
    <s v="Brasil"/>
    <d v="2025-06-23T09:54:13"/>
    <s v="Entregue"/>
    <x v="0"/>
    <s v="-"/>
    <x v="1"/>
    <s v="Olá Nome, _x000a_Identificamos que o Item Máquina de cortar cabelo dragão foi entregue no dia 23/06/2025, referente ao pedido Nº Pedido 1693 Rastreio NM818357483BR, agradecemos a preferência e adoraríamos receber sua avaliação, tendo qualquer dúvida estamos à disposição._x000a__x000a_Att_x000a_NTA Variedades"/>
  </r>
  <r>
    <s v="Pedido 1695"/>
    <s v="CódRastreio1607"/>
    <s v="LP00732665872744"/>
    <s v="MEI"/>
    <d v="2025-05-30T00:00:00"/>
    <s v="Transp 1"/>
    <s v="NM818467515BR"/>
    <x v="0"/>
    <s v="Brasil"/>
    <d v="2025-06-11T17:10:36"/>
    <s v="Entregue"/>
    <x v="0"/>
    <s v="-"/>
    <x v="1"/>
    <s v="Olá Nome, _x000a_Identificamos que o Item Ventilador Umidificador Preto foi entregue no dia 11/06/2025, referente ao pedido Nº Pedido 1695 Rastreio NM818467515BR, agradecemos a preferência e adoraríamos receber sua avaliação, tendo qualquer dúvida estamos à disposição._x000a__x000a_Att_x000a_NTA Variedades"/>
  </r>
  <r>
    <s v="Pedido 1699"/>
    <s v="CódRastreio1609"/>
    <s v="LP00732971890469"/>
    <s v="MEI"/>
    <d v="2025-06-12T00:00:00"/>
    <s v="Transp 1"/>
    <s v="NM818437076BR"/>
    <x v="0"/>
    <s v="Brasil"/>
    <d v="2025-06-04T00:00:00"/>
    <s v="Entregue"/>
    <x v="0"/>
    <s v="-"/>
    <x v="0"/>
    <s v="Olá Nome, _x000a_Identificamos que o Item Ventilador Azul foi entregue no dia 04/06/2025, referente ao pedido Nº Pedido 1699 Rastreio NM818437076BR, agradecemos a preferência e adoraríamos receber sua avaliação, tendo qualquer dúvida estamos à disposição._x000a__x000a_Att_x000a_NTA Variedades"/>
  </r>
  <r>
    <s v="Pedido 1703"/>
    <s v="CódRastreio1610"/>
    <s v="LP00733628768663"/>
    <s v="MEI"/>
    <d v="2025-06-12T00:00:00"/>
    <s v="Transp 1"/>
    <s v="NM818464672BR"/>
    <x v="0"/>
    <s v="Brasil"/>
    <d v="2025-07-09T00:00:00"/>
    <s v="Entregue"/>
    <x v="0"/>
    <s v="-"/>
    <x v="1"/>
    <s v="Olá Nome, _x000a_Identificamos que o Item Ventilador Umidificador Preto foi entregue no dia 09/07/2025, referente ao pedido Nº Pedido 1703 Rastreio NM818464672BR, agradecemos a preferência e adoraríamos receber sua avaliação, tendo qualquer dúvida estamos à disposição._x000a__x000a_Att_x000a_NTA Variedades"/>
  </r>
  <r>
    <s v="Pedido 1706"/>
    <s v="CódRastreio1611"/>
    <s v="LP00734179617088"/>
    <s v="MEI"/>
    <d v="2025-06-06T00:00:00"/>
    <s v="Transp 1"/>
    <s v="CNBR00073337783"/>
    <x v="0"/>
    <s v="Brasil"/>
    <d v="2025-05-30T00:00:00"/>
    <s v="Entregue"/>
    <x v="0"/>
    <s v="-"/>
    <x v="0"/>
    <s v="Olá Nome, _x000a_Identificamos que o Item Ventilador Azul foi entregue no dia 30/05/2025, referente ao pedido Nº Pedido 1706 Rastreio CNBR00073337783, agradecemos a preferência e adoraríamos receber sua avaliação, tendo qualquer dúvida estamos à disposição._x000a__x000a_Att_x000a_NTA Variedades"/>
  </r>
  <r>
    <s v="Pedido 1708"/>
    <s v="CódRastreio1613"/>
    <s v="LP00735169459869"/>
    <s v="MEI"/>
    <d v="2025-06-06T00:00:00"/>
    <s v="Transp 1"/>
    <s v="CNBR00073453633"/>
    <x v="0"/>
    <s v="Brasil"/>
    <d v="2025-06-02T00:00:00"/>
    <s v="Entregue"/>
    <x v="0"/>
    <s v="-"/>
    <x v="0"/>
    <s v="Olá Nome, _x000a_Identificamos que o Item Ventilador Rosa foi entregue no dia 02/06/2025, referente ao pedido Nº Pedido 1708 Rastreio CNBR00073453633, agradecemos a preferência e adoraríamos receber sua avaliação, tendo qualquer dúvida estamos à disposição._x000a__x000a_Att_x000a_NTA Variedades"/>
  </r>
  <r>
    <s v="Pedido 1712"/>
    <s v="CódRastreio1615"/>
    <s v="LP00734969403312"/>
    <s v="MEI"/>
    <d v="2025-06-10T00:00:00"/>
    <s v="Transp 1"/>
    <s v="CNBR00073626107"/>
    <x v="0"/>
    <s v="Brasil"/>
    <d v="2025-06-04T00:00:00"/>
    <s v="Entregue"/>
    <x v="0"/>
    <s v="-"/>
    <x v="0"/>
    <s v="Olá Nome, _x000a_Identificamos que o Item Ventilador Rosa foi entregue no dia 04/06/2025, referente ao pedido Nº Pedido 1712 Rastreio CNBR00073626107, agradecemos a preferência e adoraríamos receber sua avaliação, tendo qualquer dúvida estamos à disposição._x000a__x000a_Att_x000a_NTA Variedades"/>
  </r>
  <r>
    <s v="Pedido 1714"/>
    <s v="CódRastreio1617"/>
    <s v="LP00735948960241"/>
    <s v="MEI"/>
    <d v="2025-06-10T00:00:00"/>
    <s v="Transp 1"/>
    <s v="CNBR00073663121"/>
    <x v="0"/>
    <s v="Brasil"/>
    <d v="2025-06-02T00:00:00"/>
    <s v="Entregue"/>
    <x v="0"/>
    <s v="-"/>
    <x v="0"/>
    <s v="Olá Nome, _x000a_Identificamos que o Item Ventilador Umidificador Preto foi entregue no dia 02/06/2025, referente ao pedido Nº Pedido 1714 Rastreio CNBR00073663121, agradecemos a preferência e adoraríamos receber sua avaliação, tendo qualquer dúvida estamos à disposição._x000a__x000a_Att_x000a_NTA Variedades"/>
  </r>
  <r>
    <s v="Pedido 1718"/>
    <s v="CódRastreio1620"/>
    <n v="3621049855388"/>
    <s v="MEI"/>
    <d v="2025-06-12T00:00:00"/>
    <s v="Transp 1"/>
    <s v="-"/>
    <x v="1"/>
    <s v="Brasil"/>
    <d v="2025-07-18T00:00:00"/>
    <s v="Entregue"/>
    <x v="0"/>
    <s v="-"/>
    <x v="1"/>
    <s v="Olá Nome, _x000a_Identificamos que o Item Garrafa Termica foi entregue no dia 18/07/2025, referente ao pedido Nº Pedido 1718 Rastreio Pedido 1718, agradecemos a preferência e adoraríamos receber sua avaliação, tendo qualquer dúvida estamos à disposição._x000a__x000a_Att_x000a_NTA Variedades"/>
  </r>
  <r>
    <s v="Pedido 1707"/>
    <s v="CódRastreio1612"/>
    <s v="LP00733491694714"/>
    <s v="MEI"/>
    <d v="2025-06-13T00:00:00"/>
    <s v="Transp 1"/>
    <s v="NM826494384BR"/>
    <x v="0"/>
    <s v="Brasil"/>
    <d v="2025-06-26T00:00:00"/>
    <s v="Entregue"/>
    <x v="0"/>
    <s v="-"/>
    <x v="1"/>
    <s v="Olá Nome, _x000a_Identificamos que o Item Ventilador Azul foi entregue no dia 26/06/2025, referente ao pedido Nº Pedido 1707 Rastreio NM826494384BR, agradecemos a preferência e adoraríamos receber sua avaliação, tendo qualquer dúvida estamos à disposição._x000a__x000a_Att_x000a_NTA Variedades"/>
  </r>
  <r>
    <s v="Pedido 1713"/>
    <s v="CódRastreio1616"/>
    <s v="LP00734289419973"/>
    <s v="MEI"/>
    <d v="2025-06-17T00:00:00"/>
    <s v="Transp 1"/>
    <s v="NM827080070BR"/>
    <x v="0"/>
    <s v="Brasil"/>
    <d v="2025-06-25T00:00:00"/>
    <s v="Entregue"/>
    <x v="0"/>
    <s v="-"/>
    <x v="1"/>
    <s v="Olá Nome, _x000a_Identificamos que o Item Ventilador Preto foi entregue no dia 25/06/2025, referente ao pedido Nº Pedido 1713 Rastreio NM827080070BR, agradecemos a preferência e adoraríamos receber sua avaliação, tendo qualquer dúvida estamos à disposição._x000a__x000a_Att_x000a_NTA Variedades"/>
  </r>
  <r>
    <s v="Pedido 1719"/>
    <s v="CódRastreio1621"/>
    <n v="3621049872596"/>
    <s v="MEI"/>
    <d v="2025-06-12T00:00:00"/>
    <s v="Transp 1"/>
    <s v="-"/>
    <x v="1"/>
    <s v="Brasil"/>
    <d v="2025-06-07T00:00:00"/>
    <s v="Entregue"/>
    <x v="0"/>
    <s v="Não da pra acionar"/>
    <x v="0"/>
    <s v="Olá Nome, _x000a_Identificamos que o Item Hand Grip Fortalecedor foi entregue no dia 07/06/2025, referente ao pedido Nº Pedido 1719 Rastreio Pedido 1719, agradecemos a preferência e adoraríamos receber sua avaliação, tendo qualquer dúvida estamos à disposição._x000a__x000a_Att_x000a_NTA Variedades"/>
  </r>
  <r>
    <s v="Pedido 1721"/>
    <s v="CódRastreio1622 1 Envio"/>
    <s v="BR258155087440U"/>
    <s v="MEI"/>
    <d v="2025-06-06T00:00:00"/>
    <s v="Transp 4"/>
    <s v="-"/>
    <x v="1"/>
    <s v="Brasil"/>
    <d v="2025-05-29T00:00:00"/>
    <s v="Entregue"/>
    <x v="0"/>
    <s v="-"/>
    <x v="0"/>
    <s v="Olá Nome, _x000a_Identificamos que o Item Brinquedo Bola Giratória voadora foi entregue no dia 29/05/2025, referente ao pedido Nº Pedido 1721 Rastreio Pedido 1721, agradecemos a preferência e adoraríamos receber sua avaliação, tendo qualquer dúvida estamos à disposição._x000a__x000a_Att_x000a_NTA Variedades"/>
  </r>
  <r>
    <s v="Pedido 1721"/>
    <s v="CódRastreio1622"/>
    <s v="BR258155087440U"/>
    <s v="MEI"/>
    <d v="2025-06-06T00:00:00"/>
    <s v="Transp 4"/>
    <s v="-"/>
    <x v="1"/>
    <s v="Brasil"/>
    <d v="2025-05-29T00:00:00"/>
    <s v="Entregue"/>
    <x v="0"/>
    <s v="-"/>
    <x v="0"/>
    <s v="Olá Nome, _x000a_Identificamos que o Item Brinquedo Bola Giratória voadora foi entregue no dia 29/05/2025, referente ao pedido Nº Pedido 1721 Rastreio Pedido 1721, agradecemos a preferência e adoraríamos receber sua avaliação, tendo qualquer dúvida estamos à disposição._x000a__x000a_Att_x000a_NTA Variedades"/>
  </r>
  <r>
    <s v="Pedido 1723"/>
    <s v="CódRastreio1623"/>
    <s v="AJ250526111386701"/>
    <s v="MEI"/>
    <d v="2025-06-12T00:00:00"/>
    <s v="Transp 4"/>
    <s v="-"/>
    <x v="0"/>
    <s v="Brasil"/>
    <d v="2025-08-15T00:00:00"/>
    <s v="Status anormal"/>
    <x v="2"/>
    <s v="-"/>
    <x v="1"/>
    <s v="Olá Nome, _x000a_Identificamos que o Item Ventilador Rosa foi entregue no dia 15/08/2025, referente ao pedido Nº Pedido 1723 Rastreio Pedido 1723, agradecemos a preferência e adoraríamos receber sua avaliação, tendo qualquer dúvida estamos à disposição._x000a__x000a_Att_x000a_NTA Variedades"/>
  </r>
  <r>
    <s v="Pedido 1724"/>
    <s v="CódRastreio1624"/>
    <s v="AJ250526111978201"/>
    <s v="MEI"/>
    <d v="2025-06-06T00:00:00"/>
    <s v="Transp 4"/>
    <s v="-"/>
    <x v="0"/>
    <s v="Brasil"/>
    <d v="2025-06-06T00:00:00"/>
    <s v="Entregue"/>
    <x v="0"/>
    <s v="-"/>
    <x v="0"/>
    <s v="Olá Nome, _x000a_Identificamos que o Item Ventilador Preto foi entregue no dia 06/06/2025, referente ao pedido Nº Pedido 1724 Rastreio Pedido 1724, agradecemos a preferência e adoraríamos receber sua avaliação, tendo qualquer dúvida estamos à disposição._x000a__x000a_Att_x000a_NTA Variedades"/>
  </r>
  <r>
    <s v="Pedido 1725"/>
    <s v="CódRastreio1625"/>
    <s v="KW0236196947273BR"/>
    <s v="MEI"/>
    <d v="2025-06-12T00:00:00"/>
    <s v="Transp 2"/>
    <s v="-"/>
    <x v="1"/>
    <s v="Brasil"/>
    <d v="2025-06-02T00:00:00"/>
    <s v="Entregue"/>
    <x v="0"/>
    <s v="CPF 1683"/>
    <x v="0"/>
    <s v="Olá Nome, _x000a_Identificamos que o Item Ventilador Umidificador Preto foi entregue no dia 02/06/2025, referente ao pedido Nº Pedido 1725 Rastreio Pedido 1725, agradecemos a preferência e adoraríamos receber sua avaliação, tendo qualquer dúvida estamos à disposição._x000a__x000a_Att_x000a_NTA Variedades"/>
  </r>
  <r>
    <s v="Pedido 1726"/>
    <s v="CódRastreio1626"/>
    <s v="KW0236197647273BR"/>
    <s v="MEI"/>
    <d v="2025-06-12T00:00:00"/>
    <s v="Transp 2"/>
    <s v="-"/>
    <x v="1"/>
    <s v="Brasil"/>
    <d v="2025-07-07T00:00:00"/>
    <s v="Entregue"/>
    <x v="0"/>
    <s v="-"/>
    <x v="1"/>
    <s v="Olá Nome, _x000a_Identificamos que o Item Ventilador Umidificador Preto foi entregue no dia 07/07/2025, referente ao pedido Nº Pedido 1726 Rastreio Pedido 1726, agradecemos a preferência e adoraríamos receber sua avaliação, tendo qualquer dúvida estamos à disposição._x000a__x000a_Att_x000a_NTA Variedades"/>
  </r>
  <r>
    <s v="Pedido 1730"/>
    <s v="CódRastreio1629"/>
    <s v="KW0236360102273BR"/>
    <s v="MEI"/>
    <d v="2025-06-13T00:00:00"/>
    <s v="Transp 2"/>
    <s v="-"/>
    <x v="1"/>
    <s v="Brasil"/>
    <d v="2025-06-02T00:00:00"/>
    <s v="Entregue"/>
    <x v="0"/>
    <s v="CPF 1688"/>
    <x v="0"/>
    <s v="Olá Nome, _x000a_Identificamos que o Item Ventilador Umidificador Preto foi entregue no dia 02/06/2025, referente ao pedido Nº Pedido 1730 Rastreio Pedido 1730, agradecemos a preferência e adoraríamos receber sua avaliação, tendo qualquer dúvida estamos à disposição._x000a__x000a_Att_x000a_NTA Variedades"/>
  </r>
  <r>
    <s v="Pedido 1715"/>
    <s v="CódRastreio1618"/>
    <s v="KW0236906581273BR"/>
    <s v="MEI"/>
    <d v="2025-06-05T00:00:00"/>
    <s v="Transp 2"/>
    <s v="-"/>
    <x v="1"/>
    <s v="Brasil"/>
    <d v="2025-06-11T00:00:00"/>
    <s v="Entregue"/>
    <x v="0"/>
    <s v="-"/>
    <x v="1"/>
    <s v="Olá Nome, _x000a_Identificamos que o Item Ventilador Umidificador Preto foi entregue no dia 11/06/2025, referente ao pedido Nº Pedido 1715 Rastreio Pedido 1715, agradecemos a preferência e adoraríamos receber sua avaliação, tendo qualquer dúvida estamos à disposição._x000a__x000a_Att_x000a_NTA Variedades"/>
  </r>
  <r>
    <s v="Pedido 1734"/>
    <s v="CódRastreio1630"/>
    <s v="BR257532968010Z"/>
    <s v="MEI"/>
    <d v="2025-06-24T00:00:00"/>
    <s v="Transp 4"/>
    <s v="-"/>
    <x v="1"/>
    <s v="Brasil"/>
    <d v="2025-06-11T00:00:00"/>
    <s v="Entregue"/>
    <x v="0"/>
    <s v="-"/>
    <x v="0"/>
    <s v="Olá Nome, _x000a_Identificamos que o Item Ventilador Rosa foi entregue no dia 11/06/2025, referente ao pedido Nº Pedido 1734 Rastreio Pedido 1734, agradecemos a preferência e adoraríamos receber sua avaliação, tendo qualquer dúvida estamos à disposição._x000a__x000a_Att_x000a_NTA Variedades"/>
  </r>
  <r>
    <s v="Pedido 1735"/>
    <s v="CódRastreio1631"/>
    <s v="BR253741830421P"/>
    <s v="MEI"/>
    <d v="2025-06-17T00:00:00"/>
    <s v="Transp 4"/>
    <s v="-"/>
    <x v="1"/>
    <s v="Brasil"/>
    <d v="2025-06-11T00:00:00"/>
    <s v="Entregue"/>
    <x v="0"/>
    <s v="-"/>
    <x v="0"/>
    <s v="Olá Nome, _x000a_Identificamos que o Item Ventilador Rosa foi entregue no dia 11/06/2025, referente ao pedido Nº Pedido 1735 Rastreio Pedido 1735, agradecemos a preferência e adoraríamos receber sua avaliação, tendo qualquer dúvida estamos à disposição._x000a__x000a_Att_x000a_NTA Variedades"/>
  </r>
  <r>
    <s v="Pedido 1736"/>
    <s v="CódRastreio1632 1 Envio"/>
    <s v="KW0236732576334BR"/>
    <s v="MEI"/>
    <d v="2025-06-26T00:00:00"/>
    <s v="Transp 2"/>
    <s v="-"/>
    <x v="1"/>
    <s v="Brasil"/>
    <d v="2025-06-09T00:00:00"/>
    <s v="Entregue"/>
    <x v="0"/>
    <s v="-"/>
    <x v="0"/>
    <s v="Olá Nome, _x000a_Identificamos que o Item Ventilador Azul foi entregue no dia 09/06/2025, referente ao pedido Nº Pedido 1736 Rastreio Pedido 1736, agradecemos a preferência e adoraríamos receber sua avaliação, tendo qualquer dúvida estamos à disposição._x000a__x000a_Att_x000a_NTA Variedades"/>
  </r>
  <r>
    <s v="Pedido 1737"/>
    <s v="CódRastreio1634"/>
    <s v="BR258971258039O"/>
    <s v="MEI"/>
    <d v="2025-06-19T00:00:00"/>
    <s v="Transp 4"/>
    <s v="-"/>
    <x v="1"/>
    <s v="Brasil"/>
    <d v="2025-06-10T00:00:00"/>
    <s v="Entregue"/>
    <x v="0"/>
    <s v="-"/>
    <x v="0"/>
    <s v="Olá Nome, _x000a_Identificamos que o Item Ventilador Rosa foi entregue no dia 10/06/2025, referente ao pedido Nº Pedido 1737 Rastreio Pedido 1737, agradecemos a preferência e adoraríamos receber sua avaliação, tendo qualquer dúvida estamos à disposição._x000a__x000a_Att_x000a_NTA Variedades"/>
  </r>
  <r>
    <s v="Pedido 1738"/>
    <s v="CódRastreio1635"/>
    <n v="3621049881992"/>
    <s v="GO"/>
    <d v="2025-06-19T00:00:00"/>
    <s v="Transp 1"/>
    <s v="-"/>
    <x v="1"/>
    <s v="Brasil"/>
    <d v="2025-06-10T00:00:00"/>
    <s v="Entregue"/>
    <x v="0"/>
    <s v="-"/>
    <x v="0"/>
    <s v="Olá Nome, _x000a_Identificamos que o Item Mini Liquidificador foi entregue no dia 10/06/2025, referente ao pedido Nº Pedido 1738 Rastreio Pedido 1738, agradecemos a preferência e adoraríamos receber sua avaliação, tendo qualquer dúvida estamos à disposição._x000a__x000a_Att_x000a_Sec Variedades"/>
  </r>
  <r>
    <s v="Pedido 1739"/>
    <s v="CódRastreio1636"/>
    <s v="KW0236592525684BR"/>
    <s v="GO"/>
    <d v="2025-06-27T00:00:00"/>
    <s v="Transp 2"/>
    <s v="-"/>
    <x v="1"/>
    <s v="Brasil"/>
    <d v="2025-06-09T00:00:00"/>
    <s v="Entregue"/>
    <x v="0"/>
    <s v="-"/>
    <x v="0"/>
    <s v="Olá Nome, _x000a_Identificamos que o Item Mini Liquidificador foi entregue no dia 09/06/2025, referente ao pedido Nº Pedido 1739 Rastreio Pedido 1739, agradecemos a preferência e adoraríamos receber sua avaliação, tendo qualquer dúvida estamos à disposição._x000a__x000a_Att_x000a_Sec Variedades"/>
  </r>
  <r>
    <s v="Pedido 1741"/>
    <s v="CódRastreio1638"/>
    <s v="KW0236832537684BR"/>
    <s v="GO"/>
    <d v="2025-07-03T00:00:00"/>
    <s v="Transp 2"/>
    <s v="-"/>
    <x v="1"/>
    <s v="Brasil"/>
    <d v="2025-06-15T00:00:00"/>
    <s v="Entregue"/>
    <x v="0"/>
    <s v="-"/>
    <x v="0"/>
    <s v="Olá Nome, _x000a_Identificamos que o Item Mini Liquidificador foi entregue no dia 15/06/2025, referente ao pedido Nº Pedido 1741 Rastreio Pedido 1741, agradecemos a preferência e adoraríamos receber sua avaliação, tendo qualquer dúvida estamos à disposição._x000a__x000a_Att_x000a_Sec Variedades"/>
  </r>
  <r>
    <s v="Pedido 1740"/>
    <s v="CódRastreio1637"/>
    <s v="LP00737490237307"/>
    <s v="MEI"/>
    <d v="2025-07-02T00:00:00"/>
    <s v="Transp 1"/>
    <s v="NM830357654BR"/>
    <x v="0"/>
    <s v="Brasil"/>
    <d v="2025-07-21T00:00:00"/>
    <s v="Entregue"/>
    <x v="0"/>
    <s v="-"/>
    <x v="1"/>
    <s v="Olá Nome, _x000a_Identificamos que o Item Ventilador Rosa foi entregue no dia 21/07/2025, referente ao pedido Nº Pedido 1740 Rastreio NM830357654BR, agradecemos a preferência e adoraríamos receber sua avaliação, tendo qualquer dúvida estamos à disposição._x000a__x000a_Att_x000a_NTA Variedades"/>
  </r>
  <r>
    <s v="Pedido 1711"/>
    <s v="CódRastreio1614"/>
    <s v="BR253840534077Z"/>
    <s v="MEI"/>
    <d v="2025-06-10T00:00:00"/>
    <s v="Transp 4"/>
    <s v="-"/>
    <x v="1"/>
    <s v="Brasil"/>
    <d v="2025-06-08T00:00:00"/>
    <s v="Entregue"/>
    <x v="0"/>
    <s v="-"/>
    <x v="0"/>
    <s v="Olá Nome, _x000a_Identificamos que o Item Karaoke portátil foi entregue no dia 08/06/2025, referente ao pedido Nº Pedido 1711 Rastreio Pedido 1711, agradecemos a preferência e adoraríamos receber sua avaliação, tendo qualquer dúvida estamos à disposição._x000a__x000a_Att_x000a_NTA Variedades"/>
  </r>
  <r>
    <s v="Pedido 1717"/>
    <s v="CódRastreio1619"/>
    <s v="KW0236855949960BR"/>
    <s v="MEI"/>
    <d v="2025-06-18T00:00:00"/>
    <s v="Transp 2"/>
    <s v="-"/>
    <x v="1"/>
    <s v="Brasil"/>
    <d v="2025-06-09T00:00:00"/>
    <s v="Entregue"/>
    <x v="0"/>
    <s v="-"/>
    <x v="0"/>
    <s v="Olá Nome, _x000a_Identificamos que o Item Brinquedo Bola Giratória voadora foi entregue no dia 09/06/2025, referente ao pedido Nº Pedido 1717 Rastreio Pedido 1717, agradecemos a preferência e adoraríamos receber sua avaliação, tendo qualquer dúvida estamos à disposição._x000a__x000a_Att_x000a_NTA Variedades"/>
  </r>
  <r>
    <s v="Pedido 1728"/>
    <s v="CódRastreio1627"/>
    <n v="6053125185863"/>
    <s v="MEI"/>
    <d v="2025-06-06T00:00:00"/>
    <s v="Transp 4"/>
    <s v="-"/>
    <x v="1"/>
    <s v="Brasil"/>
    <d v="2025-06-04T00:00:00"/>
    <s v="Entregue"/>
    <x v="0"/>
    <s v="-"/>
    <x v="0"/>
    <s v="Olá Nome, _x000a_Identificamos que o Item Karaoke portátil foi entregue no dia 04/06/2025, referente ao pedido Nº Pedido 1728 Rastreio Pedido 1728, agradecemos a preferência e adoraríamos receber sua avaliação, tendo qualquer dúvida estamos à disposição._x000a__x000a_Att_x000a_NTA Variedades"/>
  </r>
  <r>
    <s v="Pedido 1729"/>
    <s v="CódRastreio1628"/>
    <s v="KW0236930221336BR"/>
    <s v="MEI"/>
    <d v="2025-06-07T00:00:00"/>
    <s v="Transp 2"/>
    <s v="-"/>
    <x v="1"/>
    <s v="Brasil"/>
    <d v="2025-06-06T00:00:00"/>
    <s v="Entregue"/>
    <x v="0"/>
    <s v="-"/>
    <x v="0"/>
    <s v="Olá Nome, _x000a_Identificamos que o Item Maçarico Culinário Portátil foi entregue no dia 06/06/2025, referente ao pedido Nº Pedido 1729 Rastreio Pedido 1729, agradecemos a preferência e adoraríamos receber sua avaliação, tendo qualquer dúvida estamos à disposição._x000a__x000a_Att_x000a_NTA Variedades"/>
  </r>
  <r>
    <s v="Pedido 1736"/>
    <s v="CódRastreio1632"/>
    <s v="KW0237066642679BR"/>
    <s v="MEI"/>
    <d v="2025-06-26T00:00:00"/>
    <s v="Transp 2"/>
    <s v="-"/>
    <x v="1"/>
    <s v="Brasil"/>
    <d v="2025-06-11T00:00:00"/>
    <s v="Entregue"/>
    <x v="0"/>
    <s v="-"/>
    <x v="0"/>
    <s v="Olá Nome, _x000a_Identificamos que o Item Ventilador Azul foi entregue no dia 11/06/2025, referente ao pedido Nº Pedido 1736 Rastreio Pedido 1736, agradecemos a preferência e adoraríamos receber sua avaliação, tendo qualquer dúvida estamos à disposição._x000a__x000a_Att_x000a_NTA Variedades"/>
  </r>
  <r>
    <s v="Pedido 1742"/>
    <s v="CódRastreio1639"/>
    <s v="KW0237333319754BR"/>
    <s v="GO"/>
    <d v="2025-06-27T00:00:00"/>
    <s v="Transp 2"/>
    <s v="-"/>
    <x v="1"/>
    <s v="Brasil"/>
    <d v="2025-06-11T00:00:00"/>
    <s v="Entregue"/>
    <x v="0"/>
    <s v="-"/>
    <x v="0"/>
    <s v="Olá Nome, _x000a_Identificamos que o Item Escova Multifuncional foi entregue no dia 11/06/2025, referente ao pedido Nº Pedido 1742 Rastreio Pedido 1742, agradecemos a preferência e adoraríamos receber sua avaliação, tendo qualquer dúvida estamos à disposição._x000a__x000a_Att_x000a_Sec Variedades"/>
  </r>
  <r>
    <s v="Pedido 1743"/>
    <s v="CódRastreio1640"/>
    <s v="KW0237188814237BR"/>
    <s v="BV"/>
    <d v="2025-06-24T00:00:00"/>
    <s v="Transp 2"/>
    <s v="-"/>
    <x v="1"/>
    <s v="Brasil"/>
    <d v="2025-06-07T00:00:00"/>
    <s v="Entregue"/>
    <x v="0"/>
    <s v="-"/>
    <x v="0"/>
    <s v="Olá Nome, _x000a_Identificamos que o Item Máquina de cortar cabelo dragão foi entregue no dia 07/06/2025, referente ao pedido Nº Pedido 1743 Rastreio Pedido 1743, agradecemos a preferência e adoraríamos receber sua avaliação, tendo qualquer dúvida estamos à disposição._x000a__x000a_Att_x000a_Tem tudo Shop"/>
  </r>
  <r>
    <s v="Pedido 1744"/>
    <s v="CódRastreio1641 1 Envio"/>
    <s v="KW0237518347237BR"/>
    <s v="BV"/>
    <d v="2025-07-01T00:00:00"/>
    <s v="Transp 2"/>
    <s v="-"/>
    <x v="1"/>
    <s v="Brasil"/>
    <d v="2025-06-10T00:00:00"/>
    <s v="Entregue"/>
    <x v="0"/>
    <s v="-"/>
    <x v="0"/>
    <s v="Olá Nome, _x000a_Identificamos que o Item Máquina de cortar cabelo dragão foi entregue no dia 10/06/2025, referente ao pedido Nº Pedido 1744 Rastreio Pedido 1744, agradecemos a preferência e adoraríamos receber sua avaliação, tendo qualquer dúvida estamos à disposição._x000a__x000a_Att_x000a_Tem tudo Shop"/>
  </r>
  <r>
    <s v="Pedido 1744"/>
    <s v="CódRastreio1641"/>
    <s v="KW0237518347237BR"/>
    <s v="BV"/>
    <d v="2025-07-01T00:00:00"/>
    <s v="Transp 2"/>
    <s v="-"/>
    <x v="1"/>
    <s v="Brasil"/>
    <d v="2025-06-10T00:00:00"/>
    <s v="Entregue"/>
    <x v="0"/>
    <s v="-"/>
    <x v="0"/>
    <s v="Olá Nome, _x000a_Identificamos que o Item Máquina de cortar cabelo dragão foi entregue no dia 10/06/2025, referente ao pedido Nº Pedido 1744 Rastreio Pedido 1744, agradecemos a preferência e adoraríamos receber sua avaliação, tendo qualquer dúvida estamos à disposição._x000a__x000a_Att_x000a_Tem tudo Shop"/>
  </r>
  <r>
    <s v="Pedido 1747"/>
    <s v="CódRastreio1643"/>
    <s v="KW0237718692538BR"/>
    <s v="BV"/>
    <d v="2025-07-02T00:00:00"/>
    <s v="Transp 2"/>
    <s v="-"/>
    <x v="1"/>
    <s v="Brasil"/>
    <d v="2025-06-12T00:00:00"/>
    <s v="Entregue"/>
    <x v="0"/>
    <s v="-"/>
    <x v="0"/>
    <s v="Olá Nome, _x000a_Identificamos que o Item Máquina de cortar cabelo dragão foi entregue no dia 12/06/2025, referente ao pedido Nº Pedido 1747 Rastreio Pedido 1747, agradecemos a preferência e adoraríamos receber sua avaliação, tendo qualquer dúvida estamos à disposição._x000a__x000a_Att_x000a_Tem tudo Shop"/>
  </r>
  <r>
    <s v="Pedido 1748"/>
    <s v="CódRastreio1644"/>
    <s v="BR251783902213B"/>
    <s v="BV"/>
    <d v="2025-07-02T00:00:00"/>
    <s v="Transp 4"/>
    <s v="-"/>
    <x v="1"/>
    <s v="Brasil"/>
    <d v="2025-06-23T00:00:00"/>
    <s v="Entregue"/>
    <x v="0"/>
    <s v="-"/>
    <x v="0"/>
    <s v="Olá Nome, _x000a_Identificamos que o Item Máquina de cortar cabelo dragão foi entregue no dia 23/06/2025, referente ao pedido Nº Pedido 1748 Rastreio Pedido 1748, agradecemos a preferência e adoraríamos receber sua avaliação, tendo qualquer dúvida estamos à disposição._x000a__x000a_Att_x000a_Tem tudo Shop"/>
  </r>
  <r>
    <s v="Pedido 1749"/>
    <s v="CódRastreio1645"/>
    <s v="BR2587617025309"/>
    <s v="BV"/>
    <d v="2025-07-03T00:00:00"/>
    <s v="Transp 4"/>
    <s v="-"/>
    <x v="1"/>
    <s v="Brasil"/>
    <d v="2025-06-13T00:00:00"/>
    <s v="Entregue"/>
    <x v="0"/>
    <s v="-"/>
    <x v="0"/>
    <s v="Olá Nome, _x000a_Identificamos que o Item Máquina de cortar cabelo dragão foi entregue no dia 13/06/2025, referente ao pedido Nº Pedido 1749 Rastreio Pedido 1749, agradecemos a preferência e adoraríamos receber sua avaliação, tendo qualquer dúvida estamos à disposição._x000a__x000a_Att_x000a_Tem tudo Shop"/>
  </r>
  <r>
    <s v="Pedido 1753"/>
    <s v="CódRastreio1649"/>
    <s v="KW0237462035804BR"/>
    <s v="GO"/>
    <d v="2025-07-02T00:00:00"/>
    <s v="Transp 2"/>
    <s v="-"/>
    <x v="1"/>
    <s v="Brasil"/>
    <d v="2025-06-11T00:00:00"/>
    <s v="Entregue"/>
    <x v="0"/>
    <s v="-"/>
    <x v="0"/>
    <s v="Olá Nome, _x000a_Identificamos que o Item Escova Multifuncional foi entregue no dia 11/06/2025, referente ao pedido Nº Pedido 1753 Rastreio Pedido 1753, agradecemos a preferência e adoraríamos receber sua avaliação, tendo qualquer dúvida estamos à disposição._x000a__x000a_Att_x000a_Sec Variedades"/>
  </r>
  <r>
    <s v="Pedido 1746"/>
    <s v="CódRastreio1642"/>
    <s v="LP00740044640296"/>
    <s v="BV"/>
    <d v="2025-07-01T00:00:00"/>
    <s v="Transp 1"/>
    <s v="CNBR00077431343"/>
    <x v="0"/>
    <s v="Brasil"/>
    <d v="2025-07-01T00:00:00"/>
    <s v="Entregue"/>
    <x v="0"/>
    <s v="-"/>
    <x v="0"/>
    <s v="Olá Nome, _x000a_Identificamos que o Item Máquina de cortar cabelo dragão foi entregue no dia 01/07/2025, referente ao pedido Nº Pedido 1746 Rastreio CNBR00077431343, agradecemos a preferência e adoraríamos receber sua avaliação, tendo qualquer dúvida estamos à disposição._x000a__x000a_Att_x000a_Tem tudo Shop"/>
  </r>
  <r>
    <s v="Pedido 1750"/>
    <s v="CódRastreio1646"/>
    <s v="LP00739101712072"/>
    <s v="BV"/>
    <d v="2025-06-21T00:00:00"/>
    <s v="Transp 1"/>
    <s v="NM840144614BR"/>
    <x v="0"/>
    <s v="Brasil"/>
    <d v="2025-06-18T15:24:32"/>
    <s v="Entregue"/>
    <x v="0"/>
    <s v="-"/>
    <x v="0"/>
    <s v="Olá Nome, _x000a_Identificamos que o Item Ventilador Azul foi entregue no dia 18/06/2025, referente ao pedido Nº Pedido 1750 Rastreio NM840144614BR, agradecemos a preferência e adoraríamos receber sua avaliação, tendo qualquer dúvida estamos à disposição._x000a__x000a_Att_x000a_Tem tudo Shop"/>
  </r>
  <r>
    <s v="Pedido 1751"/>
    <s v="CódRastreio1647"/>
    <s v="LP00739102055407"/>
    <s v="BV"/>
    <d v="2025-07-04T00:00:00"/>
    <s v="Transp 1"/>
    <s v="NM840168624BR"/>
    <x v="0"/>
    <s v="Brasil"/>
    <d v="2025-07-03T00:00:00"/>
    <s v="Entregue"/>
    <x v="0"/>
    <s v="-"/>
    <x v="0"/>
    <s v="Olá Nome, _x000a_Identificamos que o Item Máquina de cortar cabelo dragão foi entregue no dia 03/07/2025, referente ao pedido Nº Pedido 1751 Rastreio NM840168624BR, agradecemos a preferência e adoraríamos receber sua avaliação, tendo qualquer dúvida estamos à disposição._x000a__x000a_Att_x000a_Tem tudo Shop"/>
  </r>
  <r>
    <s v="Pedido 1752"/>
    <s v="CódRastreio1648"/>
    <s v="LP00741502507264"/>
    <s v="BV"/>
    <d v="2025-06-28T00:00:00"/>
    <s v="Transp 1"/>
    <s v="NM842284367BR"/>
    <x v="0"/>
    <s v="Brasil"/>
    <d v="2025-07-04T00:00:00"/>
    <s v="Entregue"/>
    <x v="0"/>
    <s v="-"/>
    <x v="1"/>
    <s v="Olá Nome, _x000a_Identificamos que o Item Máquina de cortar cabelo dragão foi entregue no dia 04/07/2025, referente ao pedido Nº Pedido 1752 Rastreio NM842284367BR, agradecemos a preferência e adoraríamos receber sua avaliação, tendo qualquer dúvida estamos à disposição._x000a__x000a_Att_x000a_Tem tudo Shop"/>
  </r>
  <r>
    <s v="Pedido 1754"/>
    <s v="CódRastreio1650"/>
    <s v="LP00739359821281"/>
    <s v="BV"/>
    <d v="2025-07-04T00:00:00"/>
    <s v="Transp 1"/>
    <s v="NM841264468BR"/>
    <x v="0"/>
    <s v="Brasil"/>
    <d v="2025-06-30T00:00:00"/>
    <s v="Entregue"/>
    <x v="0"/>
    <s v="-"/>
    <x v="0"/>
    <s v="Olá Nome, _x000a_Identificamos que o Item Máquina de cortar cabelo dragão foi entregue no dia 30/06/2025, referente ao pedido Nº Pedido 1754 Rastreio NM841264468BR, agradecemos a preferência e adoraríamos receber sua avaliação, tendo qualquer dúvida estamos à disposição._x000a__x000a_Att_x000a_Tem tudo Shop"/>
  </r>
  <r>
    <s v="Pedido 1755"/>
    <s v="CódRastreio1651"/>
    <s v="LP00739592980391"/>
    <s v="BV"/>
    <d v="2025-07-12T00:00:00"/>
    <s v="Transp 1"/>
    <s v="CNBR00077666112"/>
    <x v="0"/>
    <s v="Brasil"/>
    <d v="2025-06-20T00:00:00"/>
    <s v="Devolução"/>
    <x v="2"/>
    <s v="-"/>
    <x v="0"/>
    <s v="Olá Nome, _x000a_Identificamos que o Item Máquina de cortar cabelo dragão foi entregue no dia 20/06/2025, referente ao pedido Nº Pedido 1755 Rastreio CNBR00077666112, agradecemos a preferência e adoraríamos receber sua avaliação, tendo qualquer dúvida estamos à disposição._x000a__x000a_Att_x000a_Tem tudo Shop"/>
  </r>
  <r>
    <s v="Pedido 1756"/>
    <s v="CódRastreio1652"/>
    <s v="LP00741737108155"/>
    <s v="BV"/>
    <d v="2025-07-15T00:00:00"/>
    <s v="Transp 1"/>
    <s v="NM846550978BR"/>
    <x v="0"/>
    <s v="Brasil"/>
    <d v="2025-07-28T00:00:00"/>
    <s v="Entregue"/>
    <x v="0"/>
    <s v="Cliente informado"/>
    <x v="1"/>
    <s v="Olá Nome, _x000a_Identificamos que o Item Máquina de cortar cabelo dragão foi entregue no dia 28/07/2025, referente ao pedido Nº Pedido 1756 Rastreio NM846550978BR, agradecemos a preferência e adoraríamos receber sua avaliação, tendo qualquer dúvida estamos à disposição._x000a__x000a_Att_x000a_Tem tudo Shop"/>
  </r>
  <r>
    <s v="Pedido 1757"/>
    <s v="CódRastreio1653"/>
    <s v="LP00741558162710"/>
    <s v="BV"/>
    <d v="2025-07-15T00:00:00"/>
    <s v="Transp 1"/>
    <s v="NM842310447BR"/>
    <x v="0"/>
    <s v="Brasil"/>
    <d v="2025-07-09T00:00:00"/>
    <s v="Entregue"/>
    <x v="0"/>
    <s v="-"/>
    <x v="0"/>
    <s v="Olá Nome, _x000a_Identificamos que o Item Máquina de cortar cabelo dragão foi entregue no dia 09/07/2025, referente ao pedido Nº Pedido 1757 Rastreio NM842310447BR, agradecemos a preferência e adoraríamos receber sua avaliação, tendo qualquer dúvida estamos à disposição._x000a__x000a_Att_x000a_Tem tudo Shop"/>
  </r>
  <r>
    <s v="Pedido 1758"/>
    <s v="CódRastreio1654"/>
    <s v="LP00741560551206"/>
    <s v="BV"/>
    <d v="2025-07-09T00:00:00"/>
    <s v="Transp 1"/>
    <s v="NM842316609BR"/>
    <x v="0"/>
    <s v="Brasil"/>
    <d v="2025-07-03T00:00:00"/>
    <s v="Entregue"/>
    <x v="0"/>
    <s v="-"/>
    <x v="0"/>
    <s v="Olá Nome, _x000a_Identificamos que o Item Máquina de cortar cabelo dragão foi entregue no dia 03/07/2025, referente ao pedido Nº Pedido 1758 Rastreio NM842316609BR, agradecemos a preferência e adoraríamos receber sua avaliação, tendo qualquer dúvida estamos à disposição._x000a__x000a_Att_x000a_Tem tudo Shop"/>
  </r>
  <r>
    <s v="Pedido 1760"/>
    <s v="CódRastreio1655"/>
    <s v="LP00743303532765"/>
    <s v="BV"/>
    <d v="2025-07-16T00:00:00"/>
    <s v="Transp 1"/>
    <s v="CNBR00078757668"/>
    <x v="0"/>
    <s v="Brasil"/>
    <d v="2025-06-30T00:00:00"/>
    <s v="Entregue"/>
    <x v="0"/>
    <s v="-"/>
    <x v="0"/>
    <s v="Olá Nome, _x000a_Identificamos que o Item Máquina de cortar cabelo dragão foi entregue no dia 30/06/2025, referente ao pedido Nº Pedido 1760 Rastreio CNBR00078757668, agradecemos a preferência e adoraríamos receber sua avaliação, tendo qualquer dúvida estamos à disposição._x000a__x000a_Att_x000a_Tem tudo Shop"/>
  </r>
  <r>
    <s v="Pedido 1761"/>
    <s v="CódRastreio1656"/>
    <s v="KW0239051218893BR"/>
    <s v="BV"/>
    <d v="2025-07-10T00:00:00"/>
    <s v="Transp 2"/>
    <s v="-"/>
    <x v="1"/>
    <s v="Brasil"/>
    <d v="2025-06-23T00:00:00"/>
    <s v="Entregue"/>
    <x v="0"/>
    <s v="-"/>
    <x v="0"/>
    <s v="Olá Nome, _x000a_Identificamos que o Item Máquina de cortar cabelo dragão foi entregue no dia 23/06/2025, referente ao pedido Nº Pedido 1761 Rastreio Pedido 1761, agradecemos a preferência e adoraríamos receber sua avaliação, tendo qualquer dúvida estamos à disposição._x000a__x000a_Att_x000a_Tem tudo Shop"/>
  </r>
  <r>
    <s v="Pedido 1762"/>
    <s v="CódRastreio1657"/>
    <s v="LP00740029636849"/>
    <s v="BV"/>
    <d v="2025-07-04T00:00:00"/>
    <s v="Transp 1"/>
    <s v="NM843949704BR"/>
    <x v="0"/>
    <s v="Brasil"/>
    <d v="2025-06-23T12:43:50"/>
    <s v="Entregue"/>
    <x v="0"/>
    <s v="-"/>
    <x v="0"/>
    <s v="Olá Nome, _x000a_Identificamos que o Item Máquina de cortar cabelo dragão foi entregue no dia 23/06/2025, referente ao pedido Nº Pedido 1762 Rastreio NM843949704BR, agradecemos a preferência e adoraríamos receber sua avaliação, tendo qualquer dúvida estamos à disposição._x000a__x000a_Att_x000a_Tem tudo Shop"/>
  </r>
  <r>
    <s v="Pedido 1763"/>
    <s v="CódRastreio1658"/>
    <s v="LP00742287681188"/>
    <s v="BV"/>
    <d v="2025-07-10T00:00:00"/>
    <s v="Transp 1"/>
    <s v="CNBR00078755408"/>
    <x v="0"/>
    <s v="Brasil"/>
    <d v="2025-06-28T00:00:00"/>
    <s v="Entregue"/>
    <x v="0"/>
    <s v="-"/>
    <x v="0"/>
    <s v="Olá Nome, _x000a_Identificamos que o Item Máquina de cortar cabelo dragão foi entregue no dia 28/06/2025, referente ao pedido Nº Pedido 1763 Rastreio CNBR00078755408, agradecemos a preferência e adoraríamos receber sua avaliação, tendo qualquer dúvida estamos à disposição._x000a__x000a_Att_x000a_Tem tudo Shop"/>
  </r>
  <r>
    <s v="Pedido 1764"/>
    <s v="CódRastreio1659"/>
    <s v="KW0239051822893BR"/>
    <s v="BV"/>
    <d v="2025-07-05T00:00:00"/>
    <s v="Transp 2"/>
    <s v="-"/>
    <x v="1"/>
    <s v="Brasil"/>
    <d v="2025-06-21T00:00:00"/>
    <s v="Entregue"/>
    <x v="0"/>
    <s v="-"/>
    <x v="0"/>
    <s v="Olá Nome, _x000a_Identificamos que o Item Máquina de cortar cabelo dragão foi entregue no dia 21/06/2025, referente ao pedido Nº Pedido 1764 Rastreio Pedido 1764, agradecemos a preferência e adoraríamos receber sua avaliação, tendo qualquer dúvida estamos à disposição._x000a__x000a_Att_x000a_Tem tudo Shop"/>
  </r>
  <r>
    <s v="Pedido 1765"/>
    <s v="CódRastreio1660"/>
    <s v="KW0238865271893BR"/>
    <s v="BV"/>
    <d v="2025-07-05T00:00:00"/>
    <s v="Transp 2"/>
    <s v="-"/>
    <x v="1"/>
    <s v="Brasil"/>
    <d v="2025-06-20T00:00:00"/>
    <s v="Entregue"/>
    <x v="0"/>
    <s v="-"/>
    <x v="0"/>
    <s v="Olá Nome, _x000a_Identificamos que o Item Máquina de cortar cabelo dragão foi entregue no dia 20/06/2025, referente ao pedido Nº Pedido 1765 Rastreio Pedido 1765, agradecemos a preferência e adoraríamos receber sua avaliação, tendo qualquer dúvida estamos à disposição._x000a__x000a_Att_x000a_Tem tudo Shop"/>
  </r>
  <r>
    <s v="Pedido 1766"/>
    <s v="CódRastreio1661"/>
    <s v="LP00741374867720"/>
    <s v="BV"/>
    <d v="2025-07-11T00:00:00"/>
    <s v="Transp 1"/>
    <s v="NM849288757BR"/>
    <x v="0"/>
    <s v="Brasil"/>
    <d v="2025-07-07T00:00:00"/>
    <s v="Entregue"/>
    <x v="0"/>
    <s v="-"/>
    <x v="0"/>
    <s v="Olá Nome, _x000a_Identificamos que o Item Máquina de cortar cabelo dragão foi entregue no dia 07/07/2025, referente ao pedido Nº Pedido 1766 Rastreio NM849288757BR, agradecemos a preferência e adoraríamos receber sua avaliação, tendo qualquer dúvida estamos à disposição._x000a__x000a_Att_x000a_Tem tudo Shop"/>
  </r>
  <r>
    <s v="Pedido 1767"/>
    <s v="CódRastreio1662"/>
    <s v="KW0238865281893BR"/>
    <s v="BV"/>
    <d v="2025-07-05T00:00:00"/>
    <s v="Transp 2"/>
    <s v="-"/>
    <x v="1"/>
    <s v="Brasil"/>
    <d v="2025-06-21T00:00:00"/>
    <s v="Entregue"/>
    <x v="0"/>
    <s v="-"/>
    <x v="0"/>
    <s v="Olá Nome, _x000a_Identificamos que o Item Máquina de cortar cabelo dragão foi entregue no dia 21/06/2025, referente ao pedido Nº Pedido 1767 Rastreio Pedido 1767, agradecemos a preferência e adoraríamos receber sua avaliação, tendo qualquer dúvida estamos à disposição._x000a__x000a_Att_x000a_Tem tudo Shop"/>
  </r>
  <r>
    <s v="Pedido 1768"/>
    <s v="CódRastreio1663"/>
    <s v="KW0239052183893BR"/>
    <s v="BV"/>
    <d v="2025-07-11T00:00:00"/>
    <s v="Transp 2"/>
    <s v="-"/>
    <x v="1"/>
    <s v="Brasil"/>
    <d v="2025-06-23T00:00:00"/>
    <s v="Entregue"/>
    <x v="0"/>
    <s v="-"/>
    <x v="0"/>
    <s v="Olá Nome, _x000a_Identificamos que o Item Máquina de cortar cabelo dragão foi entregue no dia 23/06/2025, referente ao pedido Nº Pedido 1768 Rastreio Pedido 1768, agradecemos a preferência e adoraríamos receber sua avaliação, tendo qualquer dúvida estamos à disposição._x000a__x000a_Att_x000a_Tem tudo Shop"/>
  </r>
  <r>
    <s v="Pedido 1769"/>
    <s v="CódRastreio1664"/>
    <s v="LP00742285311580"/>
    <s v="BV"/>
    <d v="2025-07-18T00:00:00"/>
    <s v="Transp 1"/>
    <s v="CNBR00078767632"/>
    <x v="0"/>
    <s v="Brasil"/>
    <d v="2025-06-30T00:00:00"/>
    <s v="Entregue"/>
    <x v="0"/>
    <s v="-"/>
    <x v="0"/>
    <s v="Olá Nome, _x000a_Identificamos que o Item Máquina de cortar cabelo dragão foi entregue no dia 30/06/2025, referente ao pedido Nº Pedido 1769 Rastreio CNBR00078767632, agradecemos a preferência e adoraríamos receber sua avaliação, tendo qualquer dúvida estamos à disposição._x000a__x000a_Att_x000a_Tem tudo Shop"/>
  </r>
  <r>
    <s v="Pedido 1770"/>
    <s v="CódRastreio1665"/>
    <s v="LP00741386182530"/>
    <s v="BV"/>
    <d v="2025-07-05T00:00:00"/>
    <s v="Transp 1"/>
    <s v="NM849309165BR"/>
    <x v="0"/>
    <s v="Brasil"/>
    <d v="2025-06-26T00:00:00"/>
    <s v="Entregue"/>
    <x v="0"/>
    <s v="-"/>
    <x v="0"/>
    <s v="Olá Nome, _x000a_Identificamos que o Item Máquina de cortar cabelo dragão foi entregue no dia 26/06/2025, referente ao pedido Nº Pedido 1770 Rastreio NM849309165BR, agradecemos a preferência e adoraríamos receber sua avaliação, tendo qualquer dúvida estamos à disposição._x000a__x000a_Att_x000a_Tem tudo Shop"/>
  </r>
  <r>
    <s v="Pedido 1771"/>
    <s v="CódRastreio1666"/>
    <s v="KW0239052187893BR"/>
    <s v="BV"/>
    <d v="2025-07-11T00:00:00"/>
    <s v="Transp 2"/>
    <s v="-"/>
    <x v="1"/>
    <s v="Brasil"/>
    <d v="2025-06-26T00:00:00"/>
    <s v="Entregue"/>
    <x v="0"/>
    <s v="Cliente informado"/>
    <x v="0"/>
    <s v="Olá Nome, _x000a_Identificamos que o Item Máquina de cortar cabelo dragão foi entregue no dia 26/06/2025, referente ao pedido Nº Pedido 1771 Rastreio Pedido 1771, agradecemos a preferência e adoraríamos receber sua avaliação, tendo qualquer dúvida estamos à disposição._x000a__x000a_Att_x000a_Tem tudo Shop"/>
  </r>
  <r>
    <s v="Pedido 1772"/>
    <s v="CódRastreio1667"/>
    <s v="LP00741332201786"/>
    <s v="BV"/>
    <d v="2025-07-11T00:00:00"/>
    <s v="Transp 1"/>
    <s v="NM849325401BR"/>
    <x v="0"/>
    <s v="Brasil"/>
    <d v="2025-06-27T00:00:00"/>
    <s v="Entregue"/>
    <x v="0"/>
    <s v="-"/>
    <x v="0"/>
    <s v="Olá Nome, _x000a_Identificamos que o Item Máquina de cortar cabelo dragão foi entregue no dia 27/06/2025, referente ao pedido Nº Pedido 1772 Rastreio NM849325401BR, agradecemos a preferência e adoraríamos receber sua avaliação, tendo qualquer dúvida estamos à disposição._x000a__x000a_Att_x000a_Tem tudo Shop"/>
  </r>
  <r>
    <s v="Pedido 1773"/>
    <s v="CódRastreio1668"/>
    <s v="KW0239051222893BR"/>
    <s v="BV"/>
    <d v="2025-07-11T00:00:00"/>
    <s v="Transp 2"/>
    <s v="-"/>
    <x v="1"/>
    <s v="Brasil"/>
    <d v="2025-06-23T00:00:00"/>
    <s v="Entregue"/>
    <x v="0"/>
    <s v="-"/>
    <x v="0"/>
    <s v="Olá Nome, _x000a_Identificamos que o Item Máquina de cortar cabelo dragão foi entregue no dia 23/06/2025, referente ao pedido Nº Pedido 1773 Rastreio Pedido 1773, agradecemos a preferência e adoraríamos receber sua avaliação, tendo qualquer dúvida estamos à disposição._x000a__x000a_Att_x000a_Tem tudo Shop"/>
  </r>
  <r>
    <s v="Pedido 1774"/>
    <s v="CódRastreio1669"/>
    <s v="LP00743355510879"/>
    <s v="BV"/>
    <d v="2025-07-05T00:00:00"/>
    <s v="Transp 1"/>
    <s v="CNBR00078772211"/>
    <x v="0"/>
    <s v="Brasil"/>
    <d v="2025-06-30T00:00:00"/>
    <s v="Entregue"/>
    <x v="0"/>
    <s v="-"/>
    <x v="0"/>
    <s v="Olá Nome, _x000a_Identificamos que o Item Máquina de cortar cabelo dragão foi entregue no dia 30/06/2025, referente ao pedido Nº Pedido 1774 Rastreio CNBR00078772211, agradecemos a preferência e adoraríamos receber sua avaliação, tendo qualquer dúvida estamos à disposição._x000a__x000a_Att_x000a_Tem tudo Shop"/>
  </r>
  <r>
    <s v="Pedido 1775"/>
    <s v="CódRastreio1670"/>
    <s v="LP00742347051147"/>
    <s v="BV"/>
    <d v="2025-07-18T00:00:00"/>
    <s v="Transp 1"/>
    <s v="CNBR00078776603"/>
    <x v="0"/>
    <s v="Brasil"/>
    <d v="2025-07-07T00:00:00"/>
    <s v="Entregue"/>
    <x v="0"/>
    <s v="-"/>
    <x v="0"/>
    <s v="Olá Nome, _x000a_Identificamos que o Item Máquina de cortar cabelo dragão foi entregue no dia 07/07/2025, referente ao pedido Nº Pedido 1775 Rastreio CNBR00078776603, agradecemos a preferência e adoraríamos receber sua avaliação, tendo qualquer dúvida estamos à disposição._x000a__x000a_Att_x000a_Tem tudo Shop"/>
  </r>
  <r>
    <s v="Pedido 1776"/>
    <s v="CódRastreio1671"/>
    <s v="LP00741335879728"/>
    <s v="BV"/>
    <d v="2025-07-11T00:00:00"/>
    <s v="Transp 1"/>
    <s v="CNBR00078762945"/>
    <x v="0"/>
    <s v="Brasil"/>
    <d v="2025-07-03T00:00:00"/>
    <s v="Entregue"/>
    <x v="0"/>
    <s v="-"/>
    <x v="0"/>
    <s v="Olá Nome, _x000a_Identificamos que o Item Máquina de cortar cabelo dragão foi entregue no dia 03/07/2025, referente ao pedido Nº Pedido 1776 Rastreio CNBR00078762945, agradecemos a preferência e adoraríamos receber sua avaliação, tendo qualquer dúvida estamos à disposição._x000a__x000a_Att_x000a_Tem tudo Shop"/>
  </r>
  <r>
    <s v="Pedido 1777"/>
    <s v="CódRastreio1672"/>
    <s v="LP00742760487091"/>
    <s v="BV"/>
    <d v="2025-07-12T00:00:00"/>
    <s v="Transp 1"/>
    <s v="CNBR00079143099"/>
    <x v="0"/>
    <s v="Brasil"/>
    <d v="2025-07-01T00:00:00"/>
    <s v="Entregue"/>
    <x v="0"/>
    <s v="-"/>
    <x v="0"/>
    <s v="Olá Nome, _x000a_Identificamos que o Item Máquina de cortar cabelo dragão foi entregue no dia 01/07/2025, referente ao pedido Nº Pedido 1777 Rastreio CNBR00079143099, agradecemos a preferência e adoraríamos receber sua avaliação, tendo qualquer dúvida estamos à disposição._x000a__x000a_Att_x000a_Tem tudo Shop"/>
  </r>
  <r>
    <s v="Pedido 1778"/>
    <s v="CódRastreio1673"/>
    <s v="LP00741827440526"/>
    <s v="BV"/>
    <d v="2025-07-12T00:00:00"/>
    <s v="Transp 1"/>
    <s v="NM851456873BR"/>
    <x v="0"/>
    <s v="Brasil"/>
    <d v="2025-07-03T00:00:00"/>
    <s v="Entregue"/>
    <x v="0"/>
    <s v="-"/>
    <x v="0"/>
    <s v="Olá Nome, _x000a_Identificamos que o Item Máquina de cortar cabelo dragão foi entregue no dia 03/07/2025, referente ao pedido Nº Pedido 1778 Rastreio NM851456873BR, agradecemos a preferência e adoraríamos receber sua avaliação, tendo qualquer dúvida estamos à disposição._x000a__x000a_Att_x000a_Tem tudo Shop"/>
  </r>
  <r>
    <s v="Pedido 1779"/>
    <s v="CódRastreio1674"/>
    <s v="LP00741811067064"/>
    <s v="BV"/>
    <d v="2025-07-12T00:00:00"/>
    <s v="Transp 1"/>
    <s v="NM851594702BR"/>
    <x v="0"/>
    <s v="Brasil"/>
    <d v="2025-07-09T00:00:00"/>
    <s v="Entregue"/>
    <x v="0"/>
    <s v="-"/>
    <x v="0"/>
    <s v="Olá Nome, _x000a_Identificamos que o Item Máquina de cortar cabelo dragão foi entregue no dia 09/07/2025, referente ao pedido Nº Pedido 1779 Rastreio NM851594702BR, agradecemos a preferência e adoraríamos receber sua avaliação, tendo qualquer dúvida estamos à disposição._x000a__x000a_Att_x000a_Tem tudo Shop"/>
  </r>
  <r>
    <s v="Pedido 1780"/>
    <s v="CódRastreio1675"/>
    <s v="LP00743783118963"/>
    <s v="BV"/>
    <d v="2025-07-19T00:00:00"/>
    <s v="Transp 1"/>
    <s v="CNBR00079134965"/>
    <x v="0"/>
    <s v="Brasil"/>
    <d v="2025-07-01T00:00:00"/>
    <s v="Entregue"/>
    <x v="0"/>
    <s v="-"/>
    <x v="0"/>
    <s v="Olá Nome, _x000a_Identificamos que o Item Máquina de cortar cabelo dragão foi entregue no dia 01/07/2025, referente ao pedido Nº Pedido 1780 Rastreio CNBR00079134965, agradecemos a preferência e adoraríamos receber sua avaliação, tendo qualquer dúvida estamos à disposição._x000a__x000a_Att_x000a_Tem tudo Shop"/>
  </r>
  <r>
    <s v="Pedido 1781"/>
    <s v="CódRastreio1676"/>
    <s v="LP00741867352348"/>
    <s v="BV"/>
    <d v="2025-07-19T00:00:00"/>
    <s v="Transp 1"/>
    <s v="CNBR00079148178"/>
    <x v="0"/>
    <s v="Brasil"/>
    <d v="2025-07-01T00:00:00"/>
    <s v="Entregue"/>
    <x v="0"/>
    <s v="-"/>
    <x v="0"/>
    <s v="Olá Nome, _x000a_Identificamos que o Item Máquina de cortar cabelo dragão foi entregue no dia 01/07/2025, referente ao pedido Nº Pedido 1781 Rastreio CNBR00079148178, agradecemos a preferência e adoraríamos receber sua avaliação, tendo qualquer dúvida estamos à disposição._x000a__x000a_Att_x000a_Tem tudo Shop"/>
  </r>
  <r>
    <s v="Pedido 1782"/>
    <s v="CódRastreio1677"/>
    <s v="KW0238762315893BR"/>
    <s v="BV"/>
    <d v="2025-07-12T00:00:00"/>
    <s v="Transp 2"/>
    <s v="-"/>
    <x v="1"/>
    <s v="Brasil"/>
    <d v="2025-06-23T00:00:00"/>
    <s v="Entregue"/>
    <x v="0"/>
    <s v="-"/>
    <x v="0"/>
    <s v="Olá Nome, _x000a_Identificamos que o Item Máquina de cortar cabelo dragão foi entregue no dia 23/06/2025, referente ao pedido Nº Pedido 1782 Rastreio Pedido 1782, agradecemos a preferência e adoraríamos receber sua avaliação, tendo qualquer dúvida estamos à disposição._x000a__x000a_Att_x000a_Tem tudo Shop"/>
  </r>
  <r>
    <s v="Pedido 1783"/>
    <s v="CódRastreio1678"/>
    <s v="KW0238953695893BR"/>
    <s v="BV"/>
    <d v="2025-07-08T00:00:00"/>
    <s v="Transp 2"/>
    <s v="-"/>
    <x v="1"/>
    <s v="Brasil"/>
    <d v="2025-06-20T00:00:00"/>
    <s v="Entregue"/>
    <x v="0"/>
    <s v="-"/>
    <x v="0"/>
    <s v="Olá Nome, _x000a_Identificamos que o Item Máquina de cortar cabelo dragão foi entregue no dia 20/06/2025, referente ao pedido Nº Pedido 1783 Rastreio Pedido 1783, agradecemos a preferência e adoraríamos receber sua avaliação, tendo qualquer dúvida estamos à disposição._x000a__x000a_Att_x000a_Tem tudo Shop"/>
  </r>
  <r>
    <s v="Pedido 1784"/>
    <s v="CódRastreio1679"/>
    <s v="LP00741801983597"/>
    <s v="BV"/>
    <d v="2025-07-19T00:00:00"/>
    <s v="Transp 1"/>
    <s v="CNBR00079148745"/>
    <x v="0"/>
    <s v="Brasil"/>
    <d v="2025-07-08T00:00:00"/>
    <s v="Entregue"/>
    <x v="0"/>
    <s v="-"/>
    <x v="0"/>
    <s v="Olá Nome, _x000a_Identificamos que o Item Máquina de cortar cabelo dragão foi entregue no dia 08/07/2025, referente ao pedido Nº Pedido 1784 Rastreio CNBR00079148745, agradecemos a preferência e adoraríamos receber sua avaliação, tendo qualquer dúvida estamos à disposição._x000a__x000a_Att_x000a_Tem tudo Shop"/>
  </r>
  <r>
    <s v="Pedido 1785"/>
    <s v="CódRastreio1680"/>
    <s v="KW0239115617812BR"/>
    <s v="GO"/>
    <d v="2025-07-11T00:00:00"/>
    <s v="Transp 2"/>
    <s v="-"/>
    <x v="1"/>
    <s v="Brasil"/>
    <d v="2025-06-26T00:00:00"/>
    <s v="Entregue"/>
    <x v="0"/>
    <s v="-"/>
    <x v="0"/>
    <s v="Olá Nome, _x000a_Identificamos que o Item Cortador de Legumes foi entregue no dia 26/06/2025, referente ao pedido Nº Pedido 1785 Rastreio Pedido 1785, agradecemos a preferência e adoraríamos receber sua avaliação, tendo qualquer dúvida estamos à disposição._x000a__x000a_Att_x000a_Sec Variedades"/>
  </r>
  <r>
    <s v="Pedido 1786"/>
    <s v="CódRastreio1681"/>
    <s v="KW0238868001678BR"/>
    <s v="GO"/>
    <d v="2025-07-12T00:00:00"/>
    <s v="Transp 2"/>
    <s v="-"/>
    <x v="1"/>
    <s v="Brasil"/>
    <d v="2025-06-24T00:00:00"/>
    <s v="Entregue"/>
    <x v="0"/>
    <s v="-"/>
    <x v="0"/>
    <s v="Olá Nome, _x000a_Identificamos que o Item Ventilador Umidificador Preto foi entregue no dia 24/06/2025, referente ao pedido Nº Pedido 1786 Rastreio Pedido 1786, agradecemos a preferência e adoraríamos receber sua avaliação, tendo qualquer dúvida estamos à disposição._x000a__x000a_Att_x000a_Sec Variedades"/>
  </r>
  <r>
    <s v="Pedido 1788"/>
    <s v="CódRastreio1683"/>
    <n v="3621049969603"/>
    <s v="BV"/>
    <d v="2025-07-16T00:00:00"/>
    <s v="Transp 1"/>
    <s v="-"/>
    <x v="1"/>
    <s v="Brasil"/>
    <d v="2025-07-02T00:00:00"/>
    <s v="Entregue"/>
    <x v="0"/>
    <s v="-"/>
    <x v="0"/>
    <s v="Olá Nome, _x000a_Identificamos que o Item Máquina de cortar cabelo dragão foi entregue no dia 02/07/2025, referente ao pedido Nº Pedido 1788 Rastreio Pedido 1788, agradecemos a preferência e adoraríamos receber sua avaliação, tendo qualquer dúvida estamos à disposição._x000a__x000a_Att_x000a_Tem tudo Shop"/>
  </r>
  <r>
    <s v="Pedido 1789"/>
    <s v="CódRastreio1684"/>
    <s v="LP00743425742348"/>
    <s v="BV"/>
    <d v="2025-07-10T00:00:00"/>
    <s v="Transp 1"/>
    <s v="NM854447425BR"/>
    <x v="0"/>
    <s v="Brasil"/>
    <d v="2025-07-02T00:00:00"/>
    <s v="Entregue"/>
    <x v="0"/>
    <s v="-"/>
    <x v="0"/>
    <s v="Olá Nome, _x000a_Identificamos que o Item Máquina de cortar cabelo dragão foi entregue no dia 02/07/2025, referente ao pedido Nº Pedido 1789 Rastreio NM854447425BR, agradecemos a preferência e adoraríamos receber sua avaliação, tendo qualquer dúvida estamos à disposição._x000a__x000a_Att_x000a_Tem tudo Shop"/>
  </r>
  <r>
    <s v="Pedido 1790"/>
    <s v="CódRastreio1685"/>
    <s v="LP00744433098515"/>
    <s v="BV"/>
    <d v="2025-07-16T00:00:00"/>
    <s v="Transp 1"/>
    <s v="CNBR00079781541"/>
    <x v="0"/>
    <s v="Brasil"/>
    <d v="2025-07-07T00:00:00"/>
    <s v="Entregue"/>
    <x v="0"/>
    <s v="-"/>
    <x v="0"/>
    <s v="Olá Nome, _x000a_Identificamos que o Item Máquina de cortar cabelo dragão foi entregue no dia 07/07/2025, referente ao pedido Nº Pedido 1790 Rastreio CNBR00079781541, agradecemos a preferência e adoraríamos receber sua avaliação, tendo qualquer dúvida estamos à disposição._x000a__x000a_Att_x000a_Tem tudo Shop"/>
  </r>
  <r>
    <s v="Pedido 1792"/>
    <s v="CódRastreio1687"/>
    <s v="LP00744442044439"/>
    <s v="BV"/>
    <d v="2025-07-16T00:00:00"/>
    <s v="Transp 1"/>
    <s v="NM854469575BR"/>
    <x v="0"/>
    <s v="Brasil"/>
    <d v="2025-07-07T00:00:00"/>
    <s v="Entregue"/>
    <x v="0"/>
    <s v="-"/>
    <x v="0"/>
    <s v="Olá Nome, _x000a_Identificamos que o Item Máquina de cortar cabelo dragão foi entregue no dia 07/07/2025, referente ao pedido Nº Pedido 1792 Rastreio NM854469575BR, agradecemos a preferência e adoraríamos receber sua avaliação, tendo qualquer dúvida estamos à disposição._x000a__x000a_Att_x000a_Tem tudo Shop"/>
  </r>
  <r>
    <s v="Pedido 1793"/>
    <s v="CódRastreio1688"/>
    <s v="LP00743481129016"/>
    <s v="BV"/>
    <d v="2025-07-16T00:00:00"/>
    <s v="Transp 1"/>
    <s v="NM854609729BR"/>
    <x v="0"/>
    <s v="Brasil"/>
    <d v="2025-07-14T00:00:00"/>
    <s v="Entregue"/>
    <x v="0"/>
    <s v="-"/>
    <x v="0"/>
    <s v="Olá Nome, _x000a_Identificamos que o Item Máquina de cortar cabelo dragão foi entregue no dia 14/07/2025, referente ao pedido Nº Pedido 1793 Rastreio NM854609729BR, agradecemos a preferência e adoraríamos receber sua avaliação, tendo qualquer dúvida estamos à disposição._x000a__x000a_Att_x000a_Tem tudo Shop"/>
  </r>
  <r>
    <s v="Pedido 1794"/>
    <s v="CódRastreio1689"/>
    <s v="LP00744434173656"/>
    <s v="BV"/>
    <d v="2025-07-10T00:00:00"/>
    <s v="Transp 1"/>
    <s v="NM854626086BR"/>
    <x v="0"/>
    <s v="Brasil"/>
    <d v="2025-07-02T00:00:00"/>
    <s v="Entregue"/>
    <x v="0"/>
    <s v="-"/>
    <x v="0"/>
    <s v="Olá Nome, _x000a_Identificamos que o Item Máquina de cortar cabelo dragão foi entregue no dia 02/07/2025, referente ao pedido Nº Pedido 1794 Rastreio NM854626086BR, agradecemos a preferência e adoraríamos receber sua avaliação, tendo qualquer dúvida estamos à disposição._x000a__x000a_Att_x000a_Tem tudo Shop"/>
  </r>
  <r>
    <s v="Pedido 1795"/>
    <s v="CódRastreio1690"/>
    <n v="3621049969122"/>
    <s v="BV"/>
    <d v="2025-07-16T00:00:00"/>
    <s v="Transp 1"/>
    <s v="-"/>
    <x v="1"/>
    <s v="Brasil"/>
    <d v="2025-07-01T00:00:00"/>
    <s v="Entregue"/>
    <x v="0"/>
    <s v="-"/>
    <x v="0"/>
    <s v="Olá Nome, _x000a_Identificamos que o Item Máquina de cortar cabelo dragão foi entregue no dia 01/07/2025, referente ao pedido Nº Pedido 1795 Rastreio Pedido 1795, agradecemos a preferência e adoraríamos receber sua avaliação, tendo qualquer dúvida estamos à disposição._x000a__x000a_Att_x000a_Tem tudo Shop"/>
  </r>
  <r>
    <s v="Pedido 1796"/>
    <s v="CódRastreio1691"/>
    <s v="LP00744487758302"/>
    <s v="BV"/>
    <d v="2025-07-10T00:00:00"/>
    <s v="Transp 1"/>
    <s v="NM854647775BR"/>
    <x v="0"/>
    <s v="Brasil"/>
    <d v="2025-07-08T00:00:00"/>
    <s v="Entregue"/>
    <x v="0"/>
    <s v="-"/>
    <x v="0"/>
    <s v="Olá Nome, _x000a_Identificamos que o Item Máquina de cortar cabelo dragão foi entregue no dia 08/07/2025, referente ao pedido Nº Pedido 1796 Rastreio NM854647775BR, agradecemos a preferência e adoraríamos receber sua avaliação, tendo qualquer dúvida estamos à disposição._x000a__x000a_Att_x000a_Tem tudo Shop"/>
  </r>
  <r>
    <s v="Pedido 1797"/>
    <s v="CódRastreio1692"/>
    <s v="LP00744673842063"/>
    <s v="BV"/>
    <d v="2025-07-23T00:00:00"/>
    <s v="Transp 1"/>
    <s v="CNBR00079871392"/>
    <x v="0"/>
    <s v="Brasil"/>
    <d v="2025-07-12T00:00:00"/>
    <s v="Entregue"/>
    <x v="0"/>
    <s v="-"/>
    <x v="0"/>
    <s v="Olá Nome, _x000a_Identificamos que o Item Máquina de cortar cabelo dragão foi entregue no dia 12/07/2025, referente ao pedido Nº Pedido 1797 Rastreio CNBR00079871392, agradecemos a preferência e adoraríamos receber sua avaliação, tendo qualquer dúvida estamos à disposição._x000a__x000a_Att_x000a_Tem tudo Shop"/>
  </r>
  <r>
    <s v="Pedido 1798"/>
    <s v="CódRastreio1693"/>
    <s v="LP00743648480399"/>
    <s v="BV"/>
    <d v="2025-07-23T00:00:00"/>
    <s v="Transp 1"/>
    <s v="CNBR00079867464"/>
    <x v="0"/>
    <s v="Brasil"/>
    <d v="2025-07-09T00:00:00"/>
    <s v="Entregue"/>
    <x v="0"/>
    <s v="-"/>
    <x v="0"/>
    <s v="Olá Nome, _x000a_Identificamos que o Item Máquina de cortar cabelo dragão foi entregue no dia 09/07/2025, referente ao pedido Nº Pedido 1798 Rastreio CNBR00079867464, agradecemos a preferência e adoraríamos receber sua avaliação, tendo qualquer dúvida estamos à disposição._x000a__x000a_Att_x000a_Tem tudo Shop"/>
  </r>
  <r>
    <s v="Pedido 1799"/>
    <s v="CódRastreio1694"/>
    <n v="3621049973379"/>
    <s v="BV"/>
    <d v="2025-07-10T00:00:00"/>
    <s v="Transp 1"/>
    <s v="-"/>
    <x v="1"/>
    <s v="Brasil"/>
    <d v="2025-07-01T00:00:00"/>
    <s v="Entregue"/>
    <x v="0"/>
    <s v="-"/>
    <x v="0"/>
    <s v="Olá Nome, _x000a_Identificamos que o Item Máquina de cortar cabelo dragão foi entregue no dia 01/07/2025, referente ao pedido Nº Pedido 1799 Rastreio Pedido 1799, agradecemos a preferência e adoraríamos receber sua avaliação, tendo qualquer dúvida estamos à disposição._x000a__x000a_Att_x000a_Tem tudo Shop"/>
  </r>
  <r>
    <s v="Pedido 1800"/>
    <s v="CódRastreio1695"/>
    <s v="LP00744683065889"/>
    <s v="BV"/>
    <d v="2025-07-24T00:00:00"/>
    <s v="Transp 1"/>
    <s v="CNBR00079884605"/>
    <x v="0"/>
    <s v="Brasil"/>
    <d v="2025-07-09T00:00:00"/>
    <s v="Entregue"/>
    <x v="0"/>
    <s v="-"/>
    <x v="0"/>
    <s v="Olá Nome, _x000a_Identificamos que o Item Máquina de cortar cabelo dragão foi entregue no dia 09/07/2025, referente ao pedido Nº Pedido 1800 Rastreio CNBR00079884605, agradecemos a preferência e adoraríamos receber sua avaliação, tendo qualquer dúvida estamos à disposição._x000a__x000a_Att_x000a_Tem tudo Shop"/>
  </r>
  <r>
    <s v="Pedido 1801"/>
    <s v="CódRastreio1696"/>
    <s v="LP00742660127761"/>
    <s v="BV"/>
    <d v="2025-07-11T00:00:00"/>
    <s v="Transp 1"/>
    <s v="NM855685704BR"/>
    <x v="0"/>
    <s v="Brasil"/>
    <d v="2025-07-03T00:00:00"/>
    <s v="Entregue"/>
    <x v="0"/>
    <s v="-"/>
    <x v="0"/>
    <s v="Olá Nome, _x000a_Identificamos que o Item Máquina de cortar cabelo dragão foi entregue no dia 03/07/2025, referente ao pedido Nº Pedido 1801 Rastreio NM855685704BR, agradecemos a preferência e adoraríamos receber sua avaliação, tendo qualquer dúvida estamos à disposição._x000a__x000a_Att_x000a_Tem tudo Shop"/>
  </r>
  <r>
    <s v="Pedido 1802"/>
    <s v="CódRastreio1697"/>
    <n v="3621049973626"/>
    <s v="BV"/>
    <d v="2025-07-17T00:00:00"/>
    <s v="Transp 1"/>
    <s v="-"/>
    <x v="1"/>
    <s v="Brasil"/>
    <d v="2025-07-05T00:00:00"/>
    <s v="Entregue"/>
    <x v="0"/>
    <s v="-"/>
    <x v="0"/>
    <s v="Olá Nome, _x000a_Identificamos que o Item Máquina de cortar cabelo dragão foi entregue no dia 05/07/2025, referente ao pedido Nº Pedido 1802 Rastreio Pedido 1802, agradecemos a preferência e adoraríamos receber sua avaliação, tendo qualquer dúvida estamos à disposição._x000a__x000a_Att_x000a_Tem tudo Shop"/>
  </r>
  <r>
    <s v="Pedido 1803"/>
    <s v="CódRastreio1698"/>
    <s v="LP00743674478284"/>
    <s v="BV"/>
    <d v="2025-07-17T00:00:00"/>
    <s v="Transp 1"/>
    <s v="CNBR00079892533"/>
    <x v="0"/>
    <s v="Brasil"/>
    <d v="2025-07-04T00:00:00"/>
    <s v="Entregue"/>
    <x v="0"/>
    <s v="-"/>
    <x v="0"/>
    <s v="Olá Nome, _x000a_Identificamos que o Item Máquina de cortar cabelo dragão foi entregue no dia 04/07/2025, referente ao pedido Nº Pedido 1803 Rastreio CNBR00079892533, agradecemos a preferência e adoraríamos receber sua avaliação, tendo qualquer dúvida estamos à disposição._x000a__x000a_Att_x000a_Tem tudo Shop"/>
  </r>
  <r>
    <s v="Pedido 1787"/>
    <s v="CódRastreio1682"/>
    <s v="LP00743407502942"/>
    <s v="BV"/>
    <d v="2025-07-22T00:00:00"/>
    <s v="Transp 1"/>
    <s v="CNBR00079770790"/>
    <x v="0"/>
    <s v="Brasil"/>
    <d v="2025-07-11T00:00:00"/>
    <s v="Entregue"/>
    <x v="0"/>
    <s v="-"/>
    <x v="0"/>
    <s v="Olá Nome, _x000a_Identificamos que o Item Máquina de cortar cabelo dragão foi entregue no dia 11/07/2025, referente ao pedido Nº Pedido 1787 Rastreio CNBR00079770790, agradecemos a preferência e adoraríamos receber sua avaliação, tendo qualquer dúvida estamos à disposição._x000a__x000a_Att_x000a_Tem tudo Shop"/>
  </r>
  <r>
    <s v="Pedido 1791"/>
    <s v="CódRastreio1686"/>
    <s v="LP00744455184069"/>
    <s v="BV"/>
    <d v="2025-07-10T00:00:00"/>
    <s v="Transp 1"/>
    <s v="NM854469350BR"/>
    <x v="0"/>
    <s v="Brasil"/>
    <d v="2025-07-03T00:00:00"/>
    <s v="Entregue"/>
    <x v="0"/>
    <s v="-"/>
    <x v="0"/>
    <s v="Olá Nome, _x000a_Identificamos que o Item Máquina de cortar cabelo dragão foi entregue no dia 03/07/2025, referente ao pedido Nº Pedido 1791 Rastreio NM854469350BR, agradecemos a preferência e adoraríamos receber sua avaliação, tendo qualquer dúvida estamos à disposição._x000a__x000a_Att_x000a_Tem tudo Shop"/>
  </r>
  <r>
    <s v="Pedido 1804"/>
    <s v="CódRastreio1699"/>
    <s v="LP00743848587354"/>
    <s v="BV"/>
    <d v="2025-07-11T00:00:00"/>
    <s v="Transp 1"/>
    <s v="NM856611243BR"/>
    <x v="0"/>
    <s v="Brasil"/>
    <d v="2025-07-09T00:00:00"/>
    <s v="Entregue"/>
    <x v="0"/>
    <s v="-"/>
    <x v="0"/>
    <s v="Olá Nome, _x000a_Identificamos que o Item Máquina de cortar cabelo dragão foi entregue no dia 09/07/2025, referente ao pedido Nº Pedido 1804 Rastreio NM856611243BR, agradecemos a preferência e adoraríamos receber sua avaliação, tendo qualquer dúvida estamos à disposição._x000a__x000a_Att_x000a_Tem tudo Shop"/>
  </r>
  <r>
    <s v="Pedido 1805"/>
    <s v="CódRastreio1700"/>
    <s v="LP00744847014920"/>
    <s v="BV"/>
    <d v="2025-07-17T00:00:00"/>
    <s v="Transp 1"/>
    <s v="CNBR00080076787"/>
    <x v="0"/>
    <s v="Brasil"/>
    <d v="2025-07-08T00:00:00"/>
    <s v="Entregue"/>
    <x v="0"/>
    <s v="-"/>
    <x v="0"/>
    <s v="Olá Nome, _x000a_Identificamos que o Item Máquina de cortar cabelo dragão foi entregue no dia 08/07/2025, referente ao pedido Nº Pedido 1805 Rastreio CNBR00080076787, agradecemos a preferência e adoraríamos receber sua avaliação, tendo qualquer dúvida estamos à disposição._x000a__x000a_Att_x000a_Tem tudo Shop"/>
  </r>
  <r>
    <s v="Pedido 1806"/>
    <s v="CódRastreio1701"/>
    <s v="LP00743834607010"/>
    <s v="BV"/>
    <d v="2025-07-17T00:00:00"/>
    <s v="Transp 1"/>
    <s v="CNBR00080082360"/>
    <x v="0"/>
    <s v="Brasil"/>
    <d v="2025-07-09T00:00:00"/>
    <s v="Entregue"/>
    <x v="0"/>
    <s v="-"/>
    <x v="0"/>
    <s v="Olá Nome, _x000a_Identificamos que o Item Máquina de cortar cabelo dragão foi entregue no dia 09/07/2025, referente ao pedido Nº Pedido 1806 Rastreio CNBR00080082360, agradecemos a preferência e adoraríamos receber sua avaliação, tendo qualquer dúvida estamos à disposição._x000a__x000a_Att_x000a_Tem tudo Shop"/>
  </r>
  <r>
    <s v="Pedido 1807"/>
    <s v="CódRastreio1702"/>
    <s v="LP00743855090519"/>
    <s v="BV"/>
    <d v="2025-07-17T00:00:00"/>
    <s v="Transp 1"/>
    <s v="NM856661275BR"/>
    <x v="0"/>
    <s v="Brasil"/>
    <d v="2025-07-11T00:00:00"/>
    <s v="Entregue"/>
    <x v="0"/>
    <s v="-"/>
    <x v="0"/>
    <s v="Olá Nome, _x000a_Identificamos que o Item Máquina de cortar cabelo dragão foi entregue no dia 11/07/2025, referente ao pedido Nº Pedido 1807 Rastreio NM856661275BR, agradecemos a preferência e adoraríamos receber sua avaliação, tendo qualquer dúvida estamos à disposição._x000a__x000a_Att_x000a_Tem tudo Shop"/>
  </r>
  <r>
    <s v="Pedido 1808"/>
    <s v="CódRastreio1703"/>
    <s v="LP00742888565204"/>
    <s v="BV"/>
    <d v="2025-07-17T00:00:00"/>
    <s v="Transp 1"/>
    <s v="CNBR00080090544"/>
    <x v="0"/>
    <s v="Brasil"/>
    <d v="2025-07-07T00:00:00"/>
    <s v="Entregue"/>
    <x v="0"/>
    <s v="-"/>
    <x v="0"/>
    <s v="Olá Nome, _x000a_Identificamos que o Item Máquina de cortar cabelo dragão foi entregue no dia 07/07/2025, referente ao pedido Nº Pedido 1808 Rastreio CNBR00080090544, agradecemos a preferência e adoraríamos receber sua avaliação, tendo qualquer dúvida estamos à disposição._x000a__x000a_Att_x000a_Tem tudo Shop"/>
  </r>
  <r>
    <s v="Pedido 1810"/>
    <s v="CódRastreio1705"/>
    <s v="LP00742865770673"/>
    <s v="BV"/>
    <d v="2025-07-11T00:00:00"/>
    <s v="Transp 1"/>
    <s v="NM856533135BR"/>
    <x v="0"/>
    <s v="Brasil"/>
    <d v="2025-07-08T00:00:00"/>
    <s v="Entregue"/>
    <x v="0"/>
    <s v="Cliente informado"/>
    <x v="0"/>
    <s v="Olá Nome, _x000a_Identificamos que o Item Máquina de cortar cabelo dragão foi entregue no dia 08/07/2025, referente ao pedido Nº Pedido 1810 Rastreio NM856533135BR, agradecemos a preferência e adoraríamos receber sua avaliação, tendo qualquer dúvida estamos à disposição._x000a__x000a_Att_x000a_Tem tudo Shop"/>
  </r>
  <r>
    <s v="Pedido 1812"/>
    <s v="CódRastreio1707"/>
    <s v="KW0240067575489BR"/>
    <s v="BV"/>
    <d v="2025-07-18T00:00:00"/>
    <s v="Transp 2"/>
    <s v="-"/>
    <x v="1"/>
    <s v="Brasil"/>
    <s v="-"/>
    <s v="Entregue"/>
    <x v="0"/>
    <s v="-"/>
    <x v="1"/>
    <s v="Olá Nome, _x000a_Identificamos que o Item Máquina de cortar cabelo dragão foi entregue no dia -, referente ao pedido Nº Pedido 1812 Rastreio Pedido 1812, agradecemos a preferência e adoraríamos receber sua avaliação, tendo qualquer dúvida estamos à disposição._x000a__x000a_Att_x000a_Tem tudo Shop"/>
  </r>
  <r>
    <s v="Pedido 1816"/>
    <s v="CódRastreio1711"/>
    <s v="KW02397849823222BR"/>
    <s v="BV"/>
    <d v="2025-07-12T00:00:00"/>
    <s v="Transp 2"/>
    <s v="-"/>
    <x v="1"/>
    <s v="Brasil"/>
    <s v="-"/>
    <s v="Entregue"/>
    <x v="0"/>
    <s v="-"/>
    <x v="1"/>
    <s v="Olá Nome, _x000a_Identificamos que o Item Máquina de cortar cabelo dragão foi entregue no dia -, referente ao pedido Nº Pedido 1816 Rastreio Pedido 1816, agradecemos a preferência e adoraríamos receber sua avaliação, tendo qualquer dúvida estamos à disposição._x000a__x000a_Att_x000a_Tem tudo Shop"/>
  </r>
  <r>
    <s v="Pedido 1830"/>
    <s v="CódRastreio1721 1 Envio"/>
    <s v="KW0240123033893BR"/>
    <s v="BV"/>
    <d v="2025-07-26T00:00:00"/>
    <s v="Transp 2"/>
    <s v="-"/>
    <x v="1"/>
    <s v="Brasil"/>
    <d v="2025-07-03T00:00:00"/>
    <s v="Entregue"/>
    <x v="0"/>
    <s v="-"/>
    <x v="0"/>
    <s v="Olá Nome, _x000a_Identificamos que o Item Máquina de cortar cabelo dragão foi entregue no dia 03/07/2025, referente ao pedido Nº Pedido 1830 Rastreio Pedido 1830, agradecemos a preferência e adoraríamos receber sua avaliação, tendo qualquer dúvida estamos à disposição._x000a__x000a_Att_x000a_Tem tudo Shop"/>
  </r>
  <r>
    <s v="Pedido 1830"/>
    <s v="CódRastreio1721"/>
    <s v="KW0240123033893BR"/>
    <s v="BV"/>
    <d v="2025-07-26T00:00:00"/>
    <s v="Transp 2"/>
    <s v="-"/>
    <x v="1"/>
    <s v="Brasil"/>
    <d v="2025-07-03T00:00:00"/>
    <s v="Entregue"/>
    <x v="0"/>
    <s v="-"/>
    <x v="0"/>
    <s v="Olá Nome, _x000a_Identificamos que o Item Máquina de cortar cabelo dragão foi entregue no dia 03/07/2025, referente ao pedido Nº Pedido 1830 Rastreio Pedido 1830, agradecemos a preferência e adoraríamos receber sua avaliação, tendo qualquer dúvida estamos à disposição._x000a__x000a_Att_x000a_Tem tudo Shop"/>
  </r>
  <r>
    <s v="Pedido 1841"/>
    <s v="CódRastreio1724"/>
    <s v="LP00746124781343"/>
    <s v="BV"/>
    <d v="2025-07-22T00:00:00"/>
    <s v="Transp 1"/>
    <s v="NM861963509BR"/>
    <x v="0"/>
    <s v="Brasil"/>
    <d v="2025-07-29T00:00:00"/>
    <s v="Entregue"/>
    <x v="0"/>
    <s v="-"/>
    <x v="1"/>
    <s v="Olá Nome, _x000a_Identificamos que o Item Máquina de cortar cabelo dragão foi entregue no dia 29/07/2025, referente ao pedido Nº Pedido 1841 Rastreio NM861963509BR, agradecemos a preferência e adoraríamos receber sua avaliação, tendo qualquer dúvida estamos à disposição._x000a__x000a_Att_x000a_Tem tudo Shop"/>
  </r>
  <r>
    <s v="Pedido 1842"/>
    <s v="CódRastreio1725"/>
    <s v="LP00746118516479"/>
    <s v="BV"/>
    <d v="2025-07-16T00:00:00"/>
    <s v="Transp 1"/>
    <s v="NM862009426BR"/>
    <x v="0"/>
    <s v="Brasil"/>
    <d v="2025-08-01T00:00:00"/>
    <s v="Entregue"/>
    <x v="0"/>
    <s v="-"/>
    <x v="1"/>
    <s v="Olá Nome, _x000a_Identificamos que o Item Máquina de cortar cabelo dragão foi entregue no dia 01/08/2025, referente ao pedido Nº Pedido 1842 Rastreio NM862009426BR, agradecemos a preferência e adoraríamos receber sua avaliação, tendo qualquer dúvida estamos à disposição._x000a__x000a_Att_x000a_Tem tudo Shop"/>
  </r>
  <r>
    <s v="Pedido 1843"/>
    <s v="CódRastreio1726"/>
    <s v="LP00745141004350"/>
    <s v="BV"/>
    <d v="2025-07-22T00:00:00"/>
    <s v="Transp 1"/>
    <s v="NM862136495BR"/>
    <x v="0"/>
    <s v="Brasil"/>
    <d v="2025-07-15T00:00:00"/>
    <s v="Entregue"/>
    <x v="0"/>
    <s v="-"/>
    <x v="0"/>
    <s v="Olá Nome, _x000a_Identificamos que o Item Máquina de cortar cabelo dragão foi entregue no dia 15/07/2025, referente ao pedido Nº Pedido 1843 Rastreio NM862136495BR, agradecemos a preferência e adoraríamos receber sua avaliação, tendo qualquer dúvida estamos à disposição._x000a__x000a_Att_x000a_Tem tudo Shop"/>
  </r>
  <r>
    <s v="Pedido 1845"/>
    <s v="CódRastreio1728"/>
    <s v="LP00744113099563"/>
    <s v="BV"/>
    <d v="2025-07-30T00:00:00"/>
    <s v="Transp 1"/>
    <s v="CNBR00081409265"/>
    <x v="0"/>
    <s v="Brasil"/>
    <d v="2025-07-18T00:00:00"/>
    <s v="Entregue"/>
    <x v="0"/>
    <s v="-"/>
    <x v="0"/>
    <s v="Olá Nome, _x000a_Identificamos que o Item Máquina de cortar cabelo dragão foi entregue no dia 18/07/2025, referente ao pedido Nº Pedido 1845 Rastreio CNBR00081409265, agradecemos a preferência e adoraríamos receber sua avaliação, tendo qualquer dúvida estamos à disposição._x000a__x000a_Att_x000a_Tem tudo Shop"/>
  </r>
  <r>
    <s v="Pedido 1848"/>
    <s v="CódRastreio1731"/>
    <s v="LP00744153850179"/>
    <s v="BV"/>
    <d v="2025-07-25T00:00:00"/>
    <s v="Transp 1"/>
    <s v="NM862098063BR"/>
    <x v="0"/>
    <s v="Brasil"/>
    <d v="2025-07-15T00:00:00"/>
    <s v="Entregue"/>
    <x v="0"/>
    <s v="-"/>
    <x v="0"/>
    <s v="Olá Nome, _x000a_Identificamos que o Item Máquina de cortar cabelo dragão foi entregue no dia 15/07/2025, referente ao pedido Nº Pedido 1848 Rastreio NM862098063BR, agradecemos a preferência e adoraríamos receber sua avaliação, tendo qualquer dúvida estamos à disposição._x000a__x000a_Att_x000a_Tem tudo Shop"/>
  </r>
  <r>
    <s v="Pedido 1850"/>
    <s v="CódRastreio1733"/>
    <s v="LP00744165113202"/>
    <s v="BV"/>
    <d v="2025-07-19T00:00:00"/>
    <s v="Transp 1"/>
    <s v="NM862124642BR"/>
    <x v="0"/>
    <s v="Brasil"/>
    <d v="2025-07-14T00:00:00"/>
    <s v="Entregue"/>
    <x v="0"/>
    <s v="-"/>
    <x v="0"/>
    <s v="Olá Nome, _x000a_Identificamos que o Item Máquina de cortar cabelo dragão foi entregue no dia 14/07/2025, referente ao pedido Nº Pedido 1850 Rastreio NM862124642BR, agradecemos a preferência e adoraríamos receber sua avaliação, tendo qualquer dúvida estamos à disposição._x000a__x000a_Att_x000a_Tem tudo Shop"/>
  </r>
  <r>
    <s v="Pedido 1844"/>
    <s v="CódRastreio1727"/>
    <s v="KW0240679055893BR"/>
    <s v="BV"/>
    <d v="2025-07-23T00:00:00"/>
    <s v="Transp 2"/>
    <s v="-"/>
    <x v="1"/>
    <s v="Brasil"/>
    <d v="2025-08-01T00:00:00"/>
    <s v="Entregue"/>
    <x v="0"/>
    <s v="Cliente informado"/>
    <x v="1"/>
    <s v="Olá Nome, _x000a_Identificamos que o Item Máquina de cortar cabelo dragão foi entregue no dia 01/08/2025, referente ao pedido Nº Pedido 1844 Rastreio Pedido 1844, agradecemos a preferência e adoraríamos receber sua avaliação, tendo qualquer dúvida estamos à disposição._x000a__x000a_Att_x000a_Tem tudo Shop"/>
  </r>
  <r>
    <s v="Pedido 1846"/>
    <s v="CódRastreio1729"/>
    <s v="KW0240678703893BR"/>
    <s v="BV"/>
    <d v="2025-07-24T00:00:00"/>
    <s v="Transp 2"/>
    <s v="-"/>
    <x v="1"/>
    <s v="Brasil"/>
    <d v="2025-07-10T00:00:00"/>
    <s v="Entregue"/>
    <x v="0"/>
    <s v="-"/>
    <x v="0"/>
    <s v="Olá Nome, _x000a_Identificamos que o Item Máquina de cortar cabelo dragão foi entregue no dia 10/07/2025, referente ao pedido Nº Pedido 1846 Rastreio Pedido 1846, agradecemos a preferência e adoraríamos receber sua avaliação, tendo qualquer dúvida estamos à disposição._x000a__x000a_Att_x000a_Tem tudo Shop"/>
  </r>
  <r>
    <s v="Pedido 1847"/>
    <s v="CódRastreio1730"/>
    <s v="KW0240853415893BR"/>
    <s v="BV"/>
    <d v="2025-07-25T00:00:00"/>
    <s v="Transp 2"/>
    <s v="-"/>
    <x v="1"/>
    <s v="Brasil"/>
    <d v="2025-07-10T00:00:00"/>
    <s v="Entregue"/>
    <x v="0"/>
    <s v="-"/>
    <x v="0"/>
    <s v="Olá Nome, _x000a_Identificamos que o Item Máquina de cortar cabelo dragão foi entregue no dia 10/07/2025, referente ao pedido Nº Pedido 1847 Rastreio Pedido 1847, agradecemos a preferência e adoraríamos receber sua avaliação, tendo qualquer dúvida estamos à disposição._x000a__x000a_Att_x000a_Tem tudo Shop"/>
  </r>
  <r>
    <s v="Pedido 1849"/>
    <s v="CódRastreio1732"/>
    <s v="KW0240853700893BR"/>
    <s v="BV"/>
    <d v="2025-07-25T00:00:00"/>
    <s v="Transp 2"/>
    <s v="-"/>
    <x v="1"/>
    <s v="Brasil"/>
    <d v="2025-07-09T00:00:00"/>
    <s v="Entregue"/>
    <x v="0"/>
    <s v="-"/>
    <x v="0"/>
    <s v="Olá Nome, _x000a_Identificamos que o Item Máquina de cortar cabelo dragão foi entregue no dia 09/07/2025, referente ao pedido Nº Pedido 1849 Rastreio Pedido 1849, agradecemos a preferência e adoraríamos receber sua avaliação, tendo qualquer dúvida estamos à disposição._x000a__x000a_Att_x000a_Tem tudo Shop"/>
  </r>
  <r>
    <s v="Pedido 1851"/>
    <s v="CódRastreio1734"/>
    <s v="KW0240771837893BR"/>
    <s v="BV"/>
    <d v="2025-07-25T00:00:00"/>
    <s v="Transp 2"/>
    <s v="-"/>
    <x v="1"/>
    <s v="Brasil"/>
    <d v="2025-07-11T00:00:00"/>
    <s v="Entregue"/>
    <x v="0"/>
    <s v="-"/>
    <x v="0"/>
    <s v="Olá Nome, _x000a_Identificamos que o Item Máquina de cortar cabelo dragão foi entregue no dia 11/07/2025, referente ao pedido Nº Pedido 1851 Rastreio Pedido 1851, agradecemos a preferência e adoraríamos receber sua avaliação, tendo qualquer dúvida estamos à disposição._x000a__x000a_Att_x000a_Tem tudo Shop"/>
  </r>
  <r>
    <s v="Pedido 1852"/>
    <s v="CódRastreio1735"/>
    <s v="KW0240853467893BR"/>
    <s v="BV"/>
    <d v="2025-07-26T00:00:00"/>
    <s v="Transp 2"/>
    <s v="-"/>
    <x v="1"/>
    <s v="Brasil"/>
    <d v="2025-07-10T00:00:00"/>
    <s v="Entregue"/>
    <x v="0"/>
    <s v="-"/>
    <x v="0"/>
    <s v="Olá Nome, _x000a_Identificamos que o Item Máquina de cortar cabelo dragão foi entregue no dia 10/07/2025, referente ao pedido Nº Pedido 1852 Rastreio Pedido 1852, agradecemos a preferência e adoraríamos receber sua avaliação, tendo qualquer dúvida estamos à disposição._x000a__x000a_Att_x000a_Tem tudo Shop"/>
  </r>
  <r>
    <s v="Pedido 1853"/>
    <s v="CódRastreio1736"/>
    <s v="KW0240902726893BR"/>
    <s v="BV"/>
    <d v="2025-07-26T00:00:00"/>
    <s v="Transp 2"/>
    <s v="-"/>
    <x v="1"/>
    <s v="Brasil"/>
    <d v="2025-07-08T00:00:00"/>
    <s v="Entregue"/>
    <x v="0"/>
    <s v="-"/>
    <x v="0"/>
    <s v="Olá Nome, _x000a_Identificamos que o Item Máquina de cortar cabelo dragão foi entregue no dia 08/07/2025, referente ao pedido Nº Pedido 1853 Rastreio Pedido 1853, agradecemos a preferência e adoraríamos receber sua avaliação, tendo qualquer dúvida estamos à disposição._x000a__x000a_Att_x000a_Tem tudo Shop"/>
  </r>
  <r>
    <s v="Pedido 1854"/>
    <s v="CódRastreio1737"/>
    <s v="KW0240679109893BR"/>
    <s v="BV"/>
    <d v="2025-07-26T00:00:00"/>
    <s v="Transp 2"/>
    <s v="-"/>
    <x v="1"/>
    <s v="Brasil"/>
    <d v="2025-07-12T00:00:00"/>
    <s v="Entregue"/>
    <x v="0"/>
    <s v="-"/>
    <x v="0"/>
    <s v="Olá Nome, _x000a_Identificamos que o Item Máquina de cortar cabelo dragão foi entregue no dia 12/07/2025, referente ao pedido Nº Pedido 1854 Rastreio Pedido 1854, agradecemos a preferência e adoraríamos receber sua avaliação, tendo qualquer dúvida estamos à disposição._x000a__x000a_Att_x000a_Tem tudo Shop"/>
  </r>
  <r>
    <s v="Pedido 1855"/>
    <s v="CódRastreio1738"/>
    <s v="KW0240677892893BR"/>
    <s v="BV"/>
    <d v="2025-07-22T00:00:00"/>
    <s v="Transp 2"/>
    <s v="-"/>
    <x v="1"/>
    <s v="Brasil"/>
    <d v="2025-07-07T00:00:00"/>
    <s v="Entregue"/>
    <x v="0"/>
    <s v="-"/>
    <x v="0"/>
    <s v="Olá Nome, _x000a_Identificamos que o Item Máquina de cortar cabelo dragão foi entregue no dia 07/07/2025, referente ao pedido Nº Pedido 1855 Rastreio Pedido 1855, agradecemos a preferência e adoraríamos receber sua avaliação, tendo qualquer dúvida estamos à disposição._x000a__x000a_Att_x000a_Tem tudo Shop"/>
  </r>
  <r>
    <s v="Pedido 1856"/>
    <s v="CódRastreio1739"/>
    <s v="KW0240902449893BR"/>
    <s v="BV"/>
    <d v="2025-07-22T00:00:00"/>
    <s v="Transp 2"/>
    <s v="-"/>
    <x v="1"/>
    <s v="Brasil"/>
    <d v="2025-07-10T00:00:00"/>
    <s v="Entregue"/>
    <x v="0"/>
    <s v="-"/>
    <x v="0"/>
    <s v="Olá Nome, _x000a_Identificamos que o Item Máquina de cortar cabelo dragão foi entregue no dia 10/07/2025, referente ao pedido Nº Pedido 1856 Rastreio Pedido 1856, agradecemos a preferência e adoraríamos receber sua avaliação, tendo qualquer dúvida estamos à disposição._x000a__x000a_Att_x000a_Tem tudo Shop"/>
  </r>
  <r>
    <s v="Pedido 1857"/>
    <s v="CódRastreio1740"/>
    <s v="KW0540853493893BR"/>
    <s v="BV"/>
    <d v="2025-07-26T00:00:00"/>
    <s v="Transp 2"/>
    <s v="-"/>
    <x v="1"/>
    <s v="Brasil"/>
    <d v="2025-07-04T00:00:00"/>
    <s v="Encaminhado"/>
    <x v="1"/>
    <s v="-"/>
    <x v="0"/>
    <s v="Olá Nome, _x000a_Identificamos que o Item Máquina de cortar cabelo dragão foi entregue no dia 04/07/2025, referente ao pedido Nº Pedido 1857 Rastreio Pedido 1857, agradecemos a preferência e adoraríamos receber sua avaliação, tendo qualquer dúvida estamos à disposição._x000a__x000a_Att_x000a_Tem tudo Shop"/>
  </r>
  <r>
    <s v="Pedido 1858"/>
    <s v="CódRastreio1741"/>
    <s v="KW0240902768893BR"/>
    <s v="BV"/>
    <d v="2025-07-26T00:00:00"/>
    <s v="Transp 2"/>
    <s v="-"/>
    <x v="1"/>
    <s v="Brasil"/>
    <d v="2025-07-07T00:00:00"/>
    <s v="Entregue"/>
    <x v="0"/>
    <s v="-"/>
    <x v="0"/>
    <s v="Olá Nome, _x000a_Identificamos que o Item Máquina de cortar cabelo dragão foi entregue no dia 07/07/2025, referente ao pedido Nº Pedido 1858 Rastreio Pedido 1858, agradecemos a preferência e adoraríamos receber sua avaliação, tendo qualquer dúvida estamos à disposição._x000a__x000a_Att_x000a_Tem tudo Shop"/>
  </r>
  <r>
    <s v="Pedido 1859"/>
    <s v="CódRastreio1742"/>
    <s v="KW0240854073893BR"/>
    <s v="BV"/>
    <d v="2025-07-26T00:00:00"/>
    <s v="Transp 2"/>
    <s v="-"/>
    <x v="1"/>
    <s v="Brasil"/>
    <d v="2025-07-14T00:00:00"/>
    <s v="Entregue"/>
    <x v="0"/>
    <s v="-"/>
    <x v="0"/>
    <s v="Olá Nome, _x000a_Identificamos que o Item Máquina de cortar cabelo dragão foi entregue no dia 14/07/2025, referente ao pedido Nº Pedido 1859 Rastreio Pedido 1859, agradecemos a preferência e adoraríamos receber sua avaliação, tendo qualquer dúvida estamos à disposição._x000a__x000a_Att_x000a_Tem tudo Shop"/>
  </r>
  <r>
    <s v="Pedido 1860"/>
    <s v="CódRastreio1743"/>
    <s v="KW0240677904893BR"/>
    <s v="BV"/>
    <d v="2025-07-29T00:00:00"/>
    <s v="Transp 2"/>
    <s v="-"/>
    <x v="1"/>
    <s v="Brasil"/>
    <d v="2025-07-09T00:00:00"/>
    <s v="Entregue"/>
    <x v="0"/>
    <s v="-"/>
    <x v="0"/>
    <s v="Olá Nome, _x000a_Identificamos que o Item Máquina de cortar cabelo dragão foi entregue no dia 09/07/2025, referente ao pedido Nº Pedido 1860 Rastreio Pedido 1860, agradecemos a preferência e adoraríamos receber sua avaliação, tendo qualquer dúvida estamos à disposição._x000a__x000a_Att_x000a_Tem tudo Shop"/>
  </r>
  <r>
    <s v="Pedido 1861"/>
    <s v="CódRastreio1744"/>
    <s v="KW0240903020893BR"/>
    <s v="BV"/>
    <d v="2025-07-29T00:00:00"/>
    <s v="Transp 2"/>
    <s v="-"/>
    <x v="1"/>
    <s v="Brasil"/>
    <d v="2025-07-07T00:00:00"/>
    <s v="Entregue"/>
    <x v="0"/>
    <s v="-"/>
    <x v="0"/>
    <s v="Olá Nome, _x000a_Identificamos que o Item Máquina de cortar cabelo dragão foi entregue no dia 07/07/2025, referente ao pedido Nº Pedido 1861 Rastreio Pedido 1861, agradecemos a preferência e adoraríamos receber sua avaliação, tendo qualquer dúvida estamos à disposição._x000a__x000a_Att_x000a_Tem tudo Shop"/>
  </r>
  <r>
    <s v="Pedido 1862"/>
    <s v="CódRastreio1745"/>
    <s v="KW0240772200893BR"/>
    <s v="BV"/>
    <d v="2025-07-23T00:00:00"/>
    <s v="Transp 2"/>
    <s v="-"/>
    <x v="1"/>
    <s v="Brasil"/>
    <d v="2025-07-08T00:00:00"/>
    <s v="Entregue"/>
    <x v="0"/>
    <s v="-"/>
    <x v="0"/>
    <s v="Olá Nome, _x000a_Identificamos que o Item Máquina de cortar cabelo dragão foi entregue no dia 08/07/2025, referente ao pedido Nº Pedido 1862 Rastreio Pedido 1862, agradecemos a preferência e adoraríamos receber sua avaliação, tendo qualquer dúvida estamos à disposição._x000a__x000a_Att_x000a_Tem tudo Shop"/>
  </r>
  <r>
    <s v="Pedido 1863"/>
    <s v="CódRastreio1746"/>
    <s v="KW0240679131893BR"/>
    <s v="BV"/>
    <d v="2025-07-23T00:00:00"/>
    <s v="Transp 2"/>
    <s v="-"/>
    <x v="1"/>
    <s v="Brasil"/>
    <d v="2025-07-07T00:00:00"/>
    <s v="Entregue"/>
    <x v="0"/>
    <s v="-"/>
    <x v="0"/>
    <s v="Olá Nome, _x000a_Identificamos que o Item Máquina de cortar cabelo dragão foi entregue no dia 07/07/2025, referente ao pedido Nº Pedido 1863 Rastreio Pedido 1863, agradecemos a preferência e adoraríamos receber sua avaliação, tendo qualquer dúvida estamos à disposição._x000a__x000a_Att_x000a_Tem tudo Shop"/>
  </r>
  <r>
    <s v="Pedido 1864"/>
    <s v="CódRastreio1747"/>
    <s v="KW0240854081893BR"/>
    <s v="BV"/>
    <d v="2025-08-06T00:00:00"/>
    <s v="Transp 2"/>
    <s v="-"/>
    <x v="1"/>
    <s v="Brasil"/>
    <d v="2025-07-05T00:00:00"/>
    <s v="Entregue"/>
    <x v="0"/>
    <s v="-"/>
    <x v="0"/>
    <s v="Olá Nome, _x000a_Identificamos que o Item Máquina de cortar cabelo dragão foi entregue no dia 05/07/2025, referente ao pedido Nº Pedido 1864 Rastreio Pedido 1864, agradecemos a preferência e adoraríamos receber sua avaliação, tendo qualquer dúvida estamos à disposição._x000a__x000a_Att_x000a_Tem tudo Shop"/>
  </r>
  <r>
    <s v="Pedido 1809"/>
    <s v="CódRastreio1704"/>
    <s v="LP00744057680003"/>
    <s v="BV"/>
    <d v="2025-07-11T00:00:00"/>
    <s v="Transp 1"/>
    <s v="NM857704499BR"/>
    <x v="0"/>
    <s v="Brasil"/>
    <d v="2025-07-11T00:00:00"/>
    <s v="Entregue"/>
    <x v="0"/>
    <s v="-"/>
    <x v="0"/>
    <s v="Olá Nome, _x000a_Identificamos que o Item Máquina de cortar cabelo dragão foi entregue no dia 11/07/2025, referente ao pedido Nº Pedido 1809 Rastreio NM857704499BR, agradecemos a preferência e adoraríamos receber sua avaliação, tendo qualquer dúvida estamos à disposição._x000a__x000a_Att_x000a_Tem tudo Shop"/>
  </r>
  <r>
    <s v="Pedido 1811"/>
    <s v="CódRastreio1706"/>
    <s v="LP00745067616822"/>
    <s v="BV"/>
    <d v="2025-07-17T00:00:00"/>
    <s v="Transp 1"/>
    <s v="NM857703140BR"/>
    <x v="0"/>
    <s v="Brasil"/>
    <d v="2025-07-14T00:00:00"/>
    <s v="Entregue"/>
    <x v="0"/>
    <s v="-"/>
    <x v="0"/>
    <s v="Olá Nome, _x000a_Identificamos que o Item Máquina de cortar cabelo dragão foi entregue no dia 14/07/2025, referente ao pedido Nº Pedido 1811 Rastreio NM857703140BR, agradecemos a preferência e adoraríamos receber sua avaliação, tendo qualquer dúvida estamos à disposição._x000a__x000a_Att_x000a_Tem tudo Shop"/>
  </r>
  <r>
    <s v="Pedido 1813"/>
    <s v="CódRastreio1708"/>
    <s v="LP00744069434025"/>
    <s v="BV"/>
    <d v="2025-07-18T00:00:00"/>
    <s v="Transp 1"/>
    <s v="CNBR00081557952"/>
    <x v="0"/>
    <s v="Brasil"/>
    <d v="2025-07-14T00:00:00"/>
    <s v="Entregue"/>
    <x v="0"/>
    <s v="-"/>
    <x v="0"/>
    <s v="Olá Nome, _x000a_Identificamos que o Item Máquina de cortar cabelo dragão foi entregue no dia 14/07/2025, referente ao pedido Nº Pedido 1813 Rastreio CNBR00081557952, agradecemos a preferência e adoraríamos receber sua avaliação, tendo qualquer dúvida estamos à disposição._x000a__x000a_Att_x000a_Tem tudo Shop"/>
  </r>
  <r>
    <s v="Pedido 1814"/>
    <s v="CódRastreio1709"/>
    <s v="LP00745076646174"/>
    <s v="BV"/>
    <d v="2025-07-18T00:00:00"/>
    <s v="Transp 1"/>
    <s v="CNBR00081564296"/>
    <x v="0"/>
    <s v="Brasil"/>
    <d v="2025-07-14T00:00:00"/>
    <s v="Entregue"/>
    <x v="0"/>
    <s v="-"/>
    <x v="0"/>
    <s v="Olá Nome, _x000a_Identificamos que o Item Máquina de cortar cabelo dragão foi entregue no dia 14/07/2025, referente ao pedido Nº Pedido 1814 Rastreio CNBR00081564296, agradecemos a preferência e adoraríamos receber sua avaliação, tendo qualquer dúvida estamos à disposição._x000a__x000a_Att_x000a_Tem tudo Shop"/>
  </r>
  <r>
    <s v="Pedido 1819"/>
    <s v="CódRastreio1714"/>
    <s v="LP00745250796727"/>
    <s v="BV"/>
    <d v="2025-07-18T00:00:00"/>
    <s v="Transp 1"/>
    <s v="NM858405213BR"/>
    <x v="0"/>
    <s v="Brasil"/>
    <d v="2025-08-15T00:00:00"/>
    <s v="Encaminhado"/>
    <x v="1"/>
    <s v="-"/>
    <x v="1"/>
    <s v="Olá Nome, _x000a_Identificamos que o Item Máquina de cortar cabelo dragão foi entregue no dia 15/08/2025, referente ao pedido Nº Pedido 1819 Rastreio NM858405213BR, agradecemos a preferência e adoraríamos receber sua avaliação, tendo qualquer dúvida estamos à disposição._x000a__x000a_Att_x000a_Tem tudo Shop"/>
  </r>
  <r>
    <s v="Pedido 1822"/>
    <s v="CódRastreio1715"/>
    <s v="LP00745246687046"/>
    <s v="BV"/>
    <d v="2025-07-18T00:00:00"/>
    <s v="Transp 1"/>
    <s v="NM858447765BR"/>
    <x v="0"/>
    <s v="Brasil"/>
    <d v="2025-07-17T00:00:00"/>
    <s v="Entregue"/>
    <x v="0"/>
    <s v="-"/>
    <x v="0"/>
    <s v="Olá Nome, _x000a_Identificamos que o Item Máquina de cortar cabelo dragão foi entregue no dia 17/07/2025, referente ao pedido Nº Pedido 1822 Rastreio NM858447765BR, agradecemos a preferência e adoraríamos receber sua avaliação, tendo qualquer dúvida estamos à disposição._x000a__x000a_Att_x000a_Tem tudo Shop"/>
  </r>
  <r>
    <s v="Pedido 1823"/>
    <s v="CódRastreio1716"/>
    <s v="LP00744248594142"/>
    <s v="BV"/>
    <d v="2025-07-19T00:00:00"/>
    <s v="Transp 1"/>
    <s v="NM858445932BR"/>
    <x v="0"/>
    <s v="Brasil"/>
    <d v="2025-07-17T00:00:00"/>
    <s v="Entregue"/>
    <x v="0"/>
    <s v="-"/>
    <x v="0"/>
    <s v="Olá Nome, _x000a_Identificamos que o Item Máquina de cortar cabelo dragão foi entregue no dia 17/07/2025, referente ao pedido Nº Pedido 1823 Rastreio NM858445932BR, agradecemos a preferência e adoraríamos receber sua avaliação, tendo qualquer dúvida estamos à disposição._x000a__x000a_Att_x000a_Tem tudo Shop"/>
  </r>
  <r>
    <s v="Pedido 1824"/>
    <s v="CódRastreio1717"/>
    <s v="LP00744258993077"/>
    <s v="BV"/>
    <d v="2025-07-15T00:00:00"/>
    <s v="Transp 1"/>
    <s v="NM858592516BR"/>
    <x v="0"/>
    <s v="Brasil"/>
    <d v="2025-07-14T00:00:00"/>
    <s v="Entregue"/>
    <x v="0"/>
    <s v="-"/>
    <x v="0"/>
    <s v="Olá Nome, _x000a_Identificamos que o Item Máquina de cortar cabelo dragão foi entregue no dia 14/07/2025, referente ao pedido Nº Pedido 1824 Rastreio NM858592516BR, agradecemos a preferência e adoraríamos receber sua avaliação, tendo qualquer dúvida estamos à disposição._x000a__x000a_Att_x000a_Tem tudo Shop"/>
  </r>
  <r>
    <s v="Pedido 1825"/>
    <s v="CódRastreio1718"/>
    <s v="LP00743278594735"/>
    <s v="BV"/>
    <d v="2025-07-26T00:00:00"/>
    <s v="Transp 1"/>
    <s v="CNBR00081559860"/>
    <x v="0"/>
    <s v="Brasil"/>
    <d v="2025-07-18T00:00:00"/>
    <s v="Entregue"/>
    <x v="0"/>
    <s v="-"/>
    <x v="0"/>
    <s v="Olá Nome, _x000a_Identificamos que o Item Máquina de cortar cabelo dragão foi entregue no dia 18/07/2025, referente ao pedido Nº Pedido 1825 Rastreio CNBR00081559860, agradecemos a preferência e adoraríamos receber sua avaliação, tendo qualquer dúvida estamos à disposição._x000a__x000a_Att_x000a_Tem tudo Shop"/>
  </r>
  <r>
    <s v="Pedido 1826"/>
    <s v="CódRastreio1719"/>
    <s v="LP00743279644639"/>
    <s v="BV"/>
    <d v="2025-07-19T00:00:00"/>
    <s v="Transp 1"/>
    <s v="CNBR00081562848"/>
    <x v="0"/>
    <s v="Brasil"/>
    <d v="2025-07-12T00:00:00"/>
    <s v="Entregue"/>
    <x v="0"/>
    <s v="-"/>
    <x v="0"/>
    <s v="Olá Nome, _x000a_Identificamos que o Item Máquina de cortar cabelo dragão foi entregue no dia 12/07/2025, referente ao pedido Nº Pedido 1826 Rastreio CNBR00081562848, agradecemos a preferência e adoraríamos receber sua avaliação, tendo qualquer dúvida estamos à disposição._x000a__x000a_Att_x000a_Tem tudo Shop"/>
  </r>
  <r>
    <s v="Pedido 1828"/>
    <s v="CódRastreio1720"/>
    <s v="LP00744262886876"/>
    <s v="BV"/>
    <d v="2025-07-19T00:00:00"/>
    <s v="Transp 1"/>
    <s v="CNBR00081570563"/>
    <x v="0"/>
    <s v="Brasil"/>
    <d v="2025-07-15T00:00:00"/>
    <s v="Entregue"/>
    <x v="0"/>
    <s v="-"/>
    <x v="0"/>
    <s v="Olá Nome, _x000a_Identificamos que o Item Máquina de cortar cabelo dragão foi entregue no dia 15/07/2025, referente ao pedido Nº Pedido 1828 Rastreio CNBR00081570563, agradecemos a preferência e adoraríamos receber sua avaliação, tendo qualquer dúvida estamos à disposição._x000a__x000a_Att_x000a_Tem tudo Shop"/>
  </r>
  <r>
    <s v="Pedido 1832"/>
    <s v="CódRastreio1722"/>
    <s v="LP00743268575742"/>
    <s v="BV"/>
    <d v="2025-07-19T00:00:00"/>
    <s v="Transp 1"/>
    <s v="NM858635375BR"/>
    <x v="0"/>
    <s v="Brasil"/>
    <d v="2025-07-17T00:00:00"/>
    <s v="Entregue"/>
    <x v="0"/>
    <s v="-"/>
    <x v="0"/>
    <s v="Olá Nome, _x000a_Identificamos que o Item Máquina de cortar cabelo dragão foi entregue no dia 17/07/2025, referente ao pedido Nº Pedido 1832 Rastreio NM858635375BR, agradecemos a preferência e adoraríamos receber sua avaliação, tendo qualquer dúvida estamos à disposição._x000a__x000a_Att_x000a_Tem tudo Shop"/>
  </r>
  <r>
    <s v="Pedido 1834"/>
    <s v="CódRastreio1723"/>
    <s v="LP00745282554655"/>
    <s v="BV"/>
    <d v="2025-07-26T00:00:00"/>
    <s v="Transp 1"/>
    <s v="NM858645576BR"/>
    <x v="0"/>
    <s v="Brasil"/>
    <d v="2025-08-04T00:00:00"/>
    <s v="Entregue"/>
    <x v="0"/>
    <s v="-"/>
    <x v="1"/>
    <s v="Olá Nome, _x000a_Identificamos que o Item Máquina de cortar cabelo dragão foi entregue no dia 04/08/2025, referente ao pedido Nº Pedido 1834 Rastreio NM858645576BR, agradecemos a preferência e adoraríamos receber sua avaliação, tendo qualquer dúvida estamos à disposição._x000a__x000a_Att_x000a_Tem tudo Shop"/>
  </r>
  <r>
    <s v="Pedido 1815"/>
    <s v="CódRastreio1710"/>
    <s v="LP00745069932316"/>
    <s v="BV"/>
    <d v="2025-07-12T00:00:00"/>
    <s v="Transp 1"/>
    <s v="CNBR00081565316"/>
    <x v="0"/>
    <s v="Brasil"/>
    <d v="2025-08-18T00:00:00"/>
    <s v="Entregue"/>
    <x v="0"/>
    <s v="-"/>
    <x v="1"/>
    <s v="Olá Nome, _x000a_Identificamos que o Item Máquina de cortar cabelo dragão foi entregue no dia 18/08/2025, referente ao pedido Nº Pedido 1815 Rastreio CNBR00081565316, agradecemos a preferência e adoraríamos receber sua avaliação, tendo qualquer dúvida estamos à disposição._x000a__x000a_Att_x000a_Tem tudo Shop"/>
  </r>
  <r>
    <s v="Pedido 1817"/>
    <s v="CódRastreio1712"/>
    <s v="LP00743096206306"/>
    <s v="BV"/>
    <d v="2025-07-18T00:00:00"/>
    <s v="Transp 1"/>
    <s v="CNBR00081565262"/>
    <x v="0"/>
    <s v="Brasil"/>
    <d v="2025-07-15T00:00:00"/>
    <s v="Entregue"/>
    <x v="0"/>
    <s v="-"/>
    <x v="0"/>
    <s v="Olá Nome, _x000a_Identificamos que o Item Máquina de cortar cabelo dragão foi entregue no dia 15/07/2025, referente ao pedido Nº Pedido 1817 Rastreio CNBR00081565262, agradecemos a preferência e adoraríamos receber sua avaliação, tendo qualquer dúvida estamos à disposição._x000a__x000a_Att_x000a_Tem tudo Shop"/>
  </r>
  <r>
    <s v="Pedido 1818"/>
    <s v="CódRastreio1713"/>
    <s v="LP00744070485997"/>
    <s v="BV"/>
    <d v="2025-07-12T00:00:00"/>
    <s v="Transp 1"/>
    <s v="CNBR00081561358"/>
    <x v="0"/>
    <s v="Brasil"/>
    <d v="2025-08-12T00:00:00"/>
    <s v="Entregue"/>
    <x v="0"/>
    <s v="-"/>
    <x v="1"/>
    <s v="Olá Nome, _x000a_Identificamos que o Item Máquina de cortar cabelo dragão foi entregue no dia 12/08/2025, referente ao pedido Nº Pedido 1818 Rastreio CNBR00081561358, agradecemos a preferência e adoraríamos receber sua avaliação, tendo qualquer dúvida estamos à disposição._x000a__x000a_Att_x000a_Tem tudo Shop"/>
  </r>
  <r>
    <s v="Pedido 1865"/>
    <s v="CódRastreio1748"/>
    <s v="KW0241316629893BR"/>
    <s v="BV"/>
    <d v="2025-07-19T00:00:00"/>
    <s v="Transp 2"/>
    <s v="-"/>
    <x v="1"/>
    <s v="Brasil"/>
    <d v="2025-07-09T00:00:00"/>
    <s v="Entregue"/>
    <x v="0"/>
    <s v="-"/>
    <x v="0"/>
    <s v="Olá Nome, _x000a_Identificamos que o Item Máquina de cortar cabelo dragão foi entregue no dia 09/07/2025, referente ao pedido Nº Pedido 1865 Rastreio Pedido 1865, agradecemos a preferência e adoraríamos receber sua avaliação, tendo qualquer dúvida estamos à disposição._x000a__x000a_Att_x000a_Tem tudo Shop"/>
  </r>
  <r>
    <s v="Pedido 1866"/>
    <s v="CódRastreio1749"/>
    <s v="KW0241316639893BR"/>
    <s v="BV"/>
    <d v="2025-08-13T00:00:00"/>
    <s v="Transp 2"/>
    <s v="-"/>
    <x v="1"/>
    <s v="Brasil"/>
    <d v="2025-07-16T00:00:00"/>
    <s v="Entregue"/>
    <x v="0"/>
    <s v="-"/>
    <x v="0"/>
    <s v="Olá Nome, _x000a_Identificamos que o Item Máquina de cortar cabelo dragão foi entregue no dia 16/07/2025, referente ao pedido Nº Pedido 1866 Rastreio Pedido 1866, agradecemos a preferência e adoraríamos receber sua avaliação, tendo qualquer dúvida estamos à disposição._x000a__x000a_Att_x000a_Tem tudo Shop"/>
  </r>
  <r>
    <s v="Pedido 1867"/>
    <s v="CódRastreio1750"/>
    <s v="KW0241403567893BR"/>
    <s v="BV"/>
    <d v="2025-07-19T00:00:00"/>
    <s v="Transp 2"/>
    <s v="-"/>
    <x v="1"/>
    <s v="Brasil"/>
    <d v="2025-07-10T00:00:00"/>
    <s v="Entregue"/>
    <x v="0"/>
    <s v="-"/>
    <x v="0"/>
    <s v="Olá Nome, _x000a_Identificamos que o Item Máquina de cortar cabelo dragão foi entregue no dia 10/07/2025, referente ao pedido Nº Pedido 1867 Rastreio Pedido 1867, agradecemos a preferência e adoraríamos receber sua avaliação, tendo qualquer dúvida estamos à disposição._x000a__x000a_Att_x000a_Tem tudo Shop"/>
  </r>
  <r>
    <s v="Pedido 1868"/>
    <s v="CódRastreio1751"/>
    <s v="KW0241093382421BR"/>
    <s v="BV"/>
    <d v="2025-07-25T00:00:00"/>
    <s v="Transp 2"/>
    <s v="-"/>
    <x v="1"/>
    <s v="Brasil"/>
    <d v="2025-07-10T00:00:00"/>
    <s v="Entregue"/>
    <x v="0"/>
    <s v="-"/>
    <x v="0"/>
    <s v="Olá Nome, _x000a_Identificamos que o Item Bolsa térmica foi entregue no dia 10/07/2025, referente ao pedido Nº Pedido 1868 Rastreio Pedido 1868, agradecemos a preferência e adoraríamos receber sua avaliação, tendo qualquer dúvida estamos à disposição._x000a__x000a_Att_x000a_Tem tudo Shop"/>
  </r>
  <r>
    <s v="Pedido 1869"/>
    <s v="CódRastreio1752"/>
    <s v="KW0241196579893BR"/>
    <s v="BV"/>
    <d v="2025-07-23T00:00:00"/>
    <s v="Transp 2"/>
    <s v="-"/>
    <x v="1"/>
    <s v="Brasil"/>
    <d v="2025-07-11T00:00:00"/>
    <s v="Entregue"/>
    <x v="0"/>
    <s v="-"/>
    <x v="0"/>
    <s v="Olá Nome, _x000a_Identificamos que o Item Máquina de cortar cabelo dragão foi entregue no dia 11/07/2025, referente ao pedido Nº Pedido 1869 Rastreio Pedido 1869, agradecemos a preferência e adoraríamos receber sua avaliação, tendo qualquer dúvida estamos à disposição._x000a__x000a_Att_x000a_Tem tudo Shop"/>
  </r>
  <r>
    <s v="Pedido 1870"/>
    <s v="CódRastreio1753"/>
    <s v="KW0241316645893BR"/>
    <s v="BV"/>
    <d v="2025-07-25T00:00:00"/>
    <s v="Transp 2"/>
    <s v="-"/>
    <x v="1"/>
    <s v="Brasil"/>
    <d v="2025-07-12T00:00:00"/>
    <s v="Entregue"/>
    <x v="0"/>
    <s v="-"/>
    <x v="0"/>
    <s v="Olá Nome, _x000a_Identificamos que o Item Máquina de cortar cabelo dragão foi entregue no dia 12/07/2025, referente ao pedido Nº Pedido 1870 Rastreio Pedido 1870, agradecemos a preferência e adoraríamos receber sua avaliação, tendo qualquer dúvida estamos à disposição._x000a__x000a_Att_x000a_Tem tudo Shop"/>
  </r>
  <r>
    <s v="Pedido 1871"/>
    <s v="CódRastreio1754"/>
    <s v="KW0241188525421BR"/>
    <s v="BV"/>
    <d v="2025-07-25T00:00:00"/>
    <s v="Transp 2"/>
    <s v="-"/>
    <x v="1"/>
    <s v="Brasil"/>
    <d v="2025-07-10T00:00:00"/>
    <s v="Entregue"/>
    <x v="0"/>
    <s v="-"/>
    <x v="0"/>
    <s v="Olá Nome, _x000a_Identificamos que o Item Bolsa térmica foi entregue no dia 10/07/2025, referente ao pedido Nº Pedido 1871 Rastreio Pedido 1871, agradecemos a preferência e adoraríamos receber sua avaliação, tendo qualquer dúvida estamos à disposição._x000a__x000a_Att_x000a_Tem tudo Shop"/>
  </r>
  <r>
    <s v="Pedido 1872"/>
    <s v="CódRastreio1755"/>
    <s v="KW0241094020421BR"/>
    <s v="BV"/>
    <d v="2025-07-19T00:00:00"/>
    <s v="Transp 2"/>
    <s v="-"/>
    <x v="1"/>
    <s v="Brasil"/>
    <d v="2025-07-09T00:00:00"/>
    <s v="Entregue"/>
    <x v="0"/>
    <s v="-"/>
    <x v="0"/>
    <s v="Olá Nome, _x000a_Identificamos que o Item Bolsa térmica foi entregue no dia 09/07/2025, referente ao pedido Nº Pedido 1872 Rastreio Pedido 1872, agradecemos a preferência e adoraríamos receber sua avaliação, tendo qualquer dúvida estamos à disposição._x000a__x000a_Att_x000a_Tem tudo Shop"/>
  </r>
  <r>
    <s v="Pedido 1873"/>
    <s v="CódRastreio1756"/>
    <s v="KW0241317086893BR"/>
    <s v="BV"/>
    <d v="2025-07-19T00:00:00"/>
    <s v="Transp 2"/>
    <s v="-"/>
    <x v="1"/>
    <s v="Brasil"/>
    <d v="2025-07-10T00:00:00"/>
    <s v="Entregue"/>
    <x v="0"/>
    <s v="-"/>
    <x v="0"/>
    <s v="Olá Nome, _x000a_Identificamos que o Item Máquina de cortar cabelo dragão foi entregue no dia 10/07/2025, referente ao pedido Nº Pedido 1873 Rastreio Pedido 1873, agradecemos a preferência e adoraríamos receber sua avaliação, tendo qualquer dúvida estamos à disposição._x000a__x000a_Att_x000a_Tem tudo Shop"/>
  </r>
  <r>
    <s v="Pedido 1874"/>
    <s v="CódRastreio1757"/>
    <s v="KW0241302657421BR"/>
    <s v="BV"/>
    <d v="2025-07-23T00:00:00"/>
    <s v="Transp 2"/>
    <s v="-"/>
    <x v="1"/>
    <s v="Brasil"/>
    <d v="2025-07-10T00:00:00"/>
    <s v="Entregue"/>
    <x v="0"/>
    <s v="-"/>
    <x v="0"/>
    <s v="Olá Nome, _x000a_Identificamos que o Item Bolsa térmica foi entregue no dia 10/07/2025, referente ao pedido Nº Pedido 1874 Rastreio Pedido 1874, agradecemos a preferência e adoraríamos receber sua avaliação, tendo qualquer dúvida estamos à disposição._x000a__x000a_Att_x000a_Tem tudo Shop"/>
  </r>
  <r>
    <s v="Pedido 1875"/>
    <s v="CódRastreio1758"/>
    <s v="KW0241093885421BR"/>
    <s v="BV"/>
    <d v="2025-07-25T00:00:00"/>
    <s v="Transp 2"/>
    <s v="-"/>
    <x v="1"/>
    <s v="Brasil"/>
    <d v="2025-07-11T00:00:00"/>
    <s v="Entregue"/>
    <x v="0"/>
    <s v="-"/>
    <x v="0"/>
    <s v="Olá Nome, _x000a_Identificamos que o Item Bolsa térmica foi entregue no dia 11/07/2025, referente ao pedido Nº Pedido 1875 Rastreio Pedido 1875, agradecemos a preferência e adoraríamos receber sua avaliação, tendo qualquer dúvida estamos à disposição._x000a__x000a_Att_x000a_Tem tudo Shop"/>
  </r>
  <r>
    <s v="Pedido 1876"/>
    <s v="CódRastreio1759"/>
    <s v="KW0241264057421BR"/>
    <s v="BV"/>
    <d v="2025-07-23T00:00:00"/>
    <s v="Transp 2"/>
    <s v="-"/>
    <x v="1"/>
    <s v="Brasil"/>
    <d v="2025-07-11T00:00:00"/>
    <s v="Entregue"/>
    <x v="0"/>
    <s v="-"/>
    <x v="0"/>
    <s v="Olá Nome, _x000a_Identificamos que o Item Bolsa térmica foi entregue no dia 11/07/2025, referente ao pedido Nº Pedido 1876 Rastreio Pedido 1876, agradecemos a preferência e adoraríamos receber sua avaliação, tendo qualquer dúvida estamos à disposição._x000a__x000a_Att_x000a_Tem tudo Shop"/>
  </r>
  <r>
    <s v="Pedido 1877"/>
    <s v="CódRastreio1760"/>
    <s v="KW0241303515421BR"/>
    <s v="BV"/>
    <d v="2025-07-19T00:00:00"/>
    <s v="Transp 2"/>
    <s v="-"/>
    <x v="1"/>
    <s v="Brasil"/>
    <d v="2025-07-10T00:00:00"/>
    <s v="Entregue"/>
    <x v="0"/>
    <s v="-"/>
    <x v="0"/>
    <s v="Olá Nome, _x000a_Identificamos que o Item Bolsa térmica foi entregue no dia 10/07/2025, referente ao pedido Nº Pedido 1877 Rastreio Pedido 1877, agradecemos a preferência e adoraríamos receber sua avaliação, tendo qualquer dúvida estamos à disposição._x000a__x000a_Att_x000a_Tem tudo Shop"/>
  </r>
  <r>
    <s v="Pedido 1878"/>
    <s v="CódRastreio1761"/>
    <s v="KW0241267447421BR"/>
    <s v="BV"/>
    <d v="2025-07-19T00:00:00"/>
    <s v="Transp 2"/>
    <s v="-"/>
    <x v="1"/>
    <s v="Brasil"/>
    <d v="2025-07-10T00:00:00"/>
    <s v="Entregue"/>
    <x v="0"/>
    <s v="-"/>
    <x v="0"/>
    <s v="Olá Nome, _x000a_Identificamos que o Item Bolsa térmica foi entregue no dia 10/07/2025, referente ao pedido Nº Pedido 1878 Rastreio Pedido 1878, agradecemos a preferência e adoraríamos receber sua avaliação, tendo qualquer dúvida estamos à disposição._x000a__x000a_Att_x000a_Tem tudo Shop"/>
  </r>
  <r>
    <s v="Pedido 1879"/>
    <s v="CódRastreio1762"/>
    <s v="KW0241301977421BR"/>
    <s v="BV"/>
    <d v="2025-07-22T00:00:00"/>
    <s v="Transp 2"/>
    <s v="-"/>
    <x v="1"/>
    <s v="Brasil"/>
    <d v="2025-07-10T00:00:00"/>
    <s v="Entregue"/>
    <x v="0"/>
    <s v="-"/>
    <x v="0"/>
    <s v="Olá Nome, _x000a_Identificamos que o Item Bolsa térmica foi entregue no dia 10/07/2025, referente ao pedido Nº Pedido 1879 Rastreio Pedido 1879, agradecemos a preferência e adoraríamos receber sua avaliação, tendo qualquer dúvida estamos à disposição._x000a__x000a_Att_x000a_Tem tudo Shop"/>
  </r>
  <r>
    <s v="Pedido 1880"/>
    <s v="CódRastreio1763"/>
    <s v="KW0241094416421BR"/>
    <s v="BV"/>
    <d v="2025-07-26T00:00:00"/>
    <s v="Transp 2"/>
    <s v="-"/>
    <x v="1"/>
    <s v="Brasil"/>
    <d v="2025-07-11T00:00:00"/>
    <s v="Entregue"/>
    <x v="0"/>
    <s v="-"/>
    <x v="0"/>
    <s v="Olá Nome, _x000a_Identificamos que o Item Bolsa térmica foi entregue no dia 11/07/2025, referente ao pedido Nº Pedido 1880 Rastreio Pedido 1880, agradecemos a preferência e adoraríamos receber sua avaliação, tendo qualquer dúvida estamos à disposição._x000a__x000a_Att_x000a_Tem tudo Shop"/>
  </r>
  <r>
    <s v="Pedido 1881"/>
    <s v="CódRastreio1764"/>
    <s v="KW0241264185421BR"/>
    <s v="BV"/>
    <d v="2025-07-24T00:00:00"/>
    <s v="Transp 2"/>
    <s v="-"/>
    <x v="1"/>
    <s v="Brasil"/>
    <d v="2025-07-12T00:00:00"/>
    <s v="Entregue"/>
    <x v="0"/>
    <s v="-"/>
    <x v="0"/>
    <s v="Olá Nome, _x000a_Identificamos que o Item Bolsa térmica foi entregue no dia 12/07/2025, referente ao pedido Nº Pedido 1881 Rastreio Pedido 1881, agradecemos a preferência e adoraríamos receber sua avaliação, tendo qualquer dúvida estamos à disposição._x000a__x000a_Att_x000a_Tem tudo Shop"/>
  </r>
  <r>
    <s v="Pedido 1882"/>
    <s v="CódRastreio1765"/>
    <s v="KW0241187696421BR"/>
    <s v="BV"/>
    <d v="2025-07-22T00:00:00"/>
    <s v="Transp 2"/>
    <s v="-"/>
    <x v="1"/>
    <s v="Brasil"/>
    <d v="2025-07-11T00:00:00"/>
    <s v="Entregue"/>
    <x v="0"/>
    <s v="-"/>
    <x v="0"/>
    <s v="Olá Nome, _x000a_Identificamos que o Item Brinquedo Bola Giratória voadora foi entregue no dia 11/07/2025, referente ao pedido Nº Pedido 1882 Rastreio Pedido 1882, agradecemos a preferência e adoraríamos receber sua avaliação, tendo qualquer dúvida estamos à disposição._x000a__x000a_Att_x000a_Tem tudo Shop"/>
  </r>
  <r>
    <s v="Pedido 1883"/>
    <s v="CódRastreio1766"/>
    <s v="KW0241264527421BR"/>
    <s v="BV"/>
    <d v="2025-07-26T00:00:00"/>
    <s v="Transp 2"/>
    <s v="-"/>
    <x v="1"/>
    <s v="Brasil"/>
    <d v="2025-07-12T00:00:00"/>
    <s v="Entregue"/>
    <x v="0"/>
    <s v="-"/>
    <x v="0"/>
    <s v="Olá Nome, _x000a_Identificamos que o Item Bolsa térmica foi entregue no dia 12/07/2025, referente ao pedido Nº Pedido 1883 Rastreio Pedido 1883, agradecemos a preferência e adoraríamos receber sua avaliação, tendo qualquer dúvida estamos à disposição._x000a__x000a_Att_x000a_Tem tudo Shop"/>
  </r>
  <r>
    <s v="Pedido 1884"/>
    <s v="CódRastreio1767"/>
    <s v="KW0241095202421BR"/>
    <s v="BV"/>
    <d v="2025-07-26T00:00:00"/>
    <s v="Transp 2"/>
    <s v="-"/>
    <x v="1"/>
    <s v="Brasil"/>
    <d v="2025-07-15T00:00:00"/>
    <s v="Entregue"/>
    <x v="0"/>
    <s v="-"/>
    <x v="0"/>
    <s v="Olá Nome, _x000a_Identificamos que o Item Bolsa térmica foi entregue no dia 15/07/2025, referente ao pedido Nº Pedido 1884 Rastreio Pedido 1884, agradecemos a preferência e adoraríamos receber sua avaliação, tendo qualquer dúvida estamos à disposição._x000a__x000a_Att_x000a_Tem tudo Shop"/>
  </r>
  <r>
    <s v="Pedido 1885"/>
    <s v="CódRastreio1768"/>
    <s v="KW0241095639421BR"/>
    <s v="BV"/>
    <d v="2025-08-01T00:00:00"/>
    <s v="Transp 2"/>
    <s v="-"/>
    <x v="1"/>
    <s v="Brasil"/>
    <d v="2025-07-11T00:00:00"/>
    <s v="Entregue"/>
    <x v="0"/>
    <s v="-"/>
    <x v="0"/>
    <s v="Olá Nome, _x000a_Identificamos que o Item Bolsa térmica foi entregue no dia 11/07/2025, referente ao pedido Nº Pedido 1885 Rastreio Pedido 1885, agradecemos a preferência e adoraríamos receber sua avaliação, tendo qualquer dúvida estamos à disposição._x000a__x000a_Att_x000a_Tem tudo Shop"/>
  </r>
  <r>
    <s v="Pedido 1886"/>
    <s v="CódRastreio1769"/>
    <s v="KW0541304106421BR"/>
    <s v="BV"/>
    <d v="2025-07-24T00:00:00"/>
    <s v="Transp 2"/>
    <s v="-"/>
    <x v="1"/>
    <s v="Brasil"/>
    <d v="2025-07-10T00:00:00"/>
    <s v="Encaminhado"/>
    <x v="1"/>
    <s v="-"/>
    <x v="0"/>
    <s v="Olá Nome, _x000a_Identificamos que o Item Bolsa térmica foi entregue no dia 10/07/2025, referente ao pedido Nº Pedido 1886 Rastreio Pedido 1886, agradecemos a preferência e adoraríamos receber sua avaliação, tendo qualquer dúvida estamos à disposição._x000a__x000a_Att_x000a_Tem tudo Shop"/>
  </r>
  <r>
    <s v="Pedido 1887"/>
    <s v="CódRastreio1770"/>
    <s v="KW0241265083421BR"/>
    <s v="BV"/>
    <d v="2025-07-24T00:00:00"/>
    <s v="Transp 2"/>
    <s v="-"/>
    <x v="1"/>
    <s v="Brasil"/>
    <d v="2025-07-11T00:00:00"/>
    <s v="Entregue"/>
    <x v="0"/>
    <s v="-"/>
    <x v="0"/>
    <s v="Olá Nome, _x000a_Identificamos que o Item Bolsa térmica foi entregue no dia 11/07/2025, referente ao pedido Nº Pedido 1887 Rastreio Pedido 1887, agradecemos a preferência e adoraríamos receber sua avaliação, tendo qualquer dúvida estamos à disposição._x000a__x000a_Att_x000a_Tem tudo Shop"/>
  </r>
  <r>
    <s v="Pedido 1888"/>
    <s v="CódRastreio1771"/>
    <s v="KW0241335754421BR"/>
    <s v="BV"/>
    <d v="2025-07-26T00:00:00"/>
    <s v="Transp 2"/>
    <s v="-"/>
    <x v="1"/>
    <s v="Brasil"/>
    <d v="2025-07-14T00:00:00"/>
    <s v="Entregue"/>
    <x v="0"/>
    <s v="-"/>
    <x v="0"/>
    <s v="Olá Nome, _x000a_Identificamos que o Item Brinquedo Bola Giratória voadora foi entregue no dia 14/07/2025, referente ao pedido Nº Pedido 1888 Rastreio Pedido 1888, agradecemos a preferência e adoraríamos receber sua avaliação, tendo qualquer dúvida estamos à disposição._x000a__x000a_Att_x000a_Tem tudo Shop"/>
  </r>
  <r>
    <s v="Pedido 1889"/>
    <s v="CódRastreio1772"/>
    <s v="KW0241515832421BR"/>
    <s v="BV"/>
    <d v="2025-07-24T00:00:00"/>
    <s v="Transp 2"/>
    <s v="-"/>
    <x v="1"/>
    <s v="Brasil"/>
    <d v="2025-07-13T00:00:00"/>
    <s v="Entregue"/>
    <x v="0"/>
    <s v="-"/>
    <x v="0"/>
    <s v="Olá Nome, _x000a_Identificamos que o Item Brinquedo Bola Giratória voadora foi entregue no dia 13/07/2025, referente ao pedido Nº Pedido 1889 Rastreio Pedido 1889, agradecemos a preferência e adoraríamos receber sua avaliação, tendo qualquer dúvida estamos à disposição._x000a__x000a_Att_x000a_Tem tudo Shop"/>
  </r>
  <r>
    <s v="Pedido 1890"/>
    <s v="CódRastreio1773"/>
    <s v="KW0241559877496BR"/>
    <s v="BV"/>
    <d v="2025-07-24T00:00:00"/>
    <s v="Transp 2"/>
    <s v="-"/>
    <x v="1"/>
    <s v="Brasil"/>
    <d v="2025-07-18T00:00:00"/>
    <s v="Entregue"/>
    <x v="0"/>
    <s v="-"/>
    <x v="0"/>
    <s v="Olá Nome, _x000a_Identificamos que o Item Máquina de cortar cabelo dragão foi entregue no dia 18/07/2025, referente ao pedido Nº Pedido 1890 Rastreio Pedido 1890, agradecemos a preferência e adoraríamos receber sua avaliação, tendo qualquer dúvida estamos à disposição._x000a__x000a_Att_x000a_Tem tudo Shop"/>
  </r>
  <r>
    <s v="Pedido 1891"/>
    <s v="CódRastreio1774"/>
    <s v="KW0241475969496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Máquina de cortar cabelo dragão foi entregue no dia 21/07/2025, referente ao pedido Nº Pedido 1891 Rastreio Pedido 1891, agradecemos a preferência e adoraríamos receber sua avaliação, tendo qualquer dúvida estamos à disposição._x000a__x000a_Att_x000a_Tem tudo Shop"/>
  </r>
  <r>
    <s v="Pedido 1897"/>
    <s v="CódRastreio1780"/>
    <s v="KW0241627743421BR"/>
    <s v="BV"/>
    <d v="2025-07-25T00:00:00"/>
    <s v="Transp 2"/>
    <s v="-"/>
    <x v="1"/>
    <s v="Brasil"/>
    <d v="2025-07-13T00:00:00"/>
    <s v="Entregue"/>
    <x v="0"/>
    <s v="-"/>
    <x v="0"/>
    <s v="Olá Nome, _x000a_Identificamos que o Item Brinquedo Bola Giratória voadora foi entregue no dia 13/07/2025, referente ao pedido Nº Pedido 1897 Rastreio Pedido 1897, agradecemos a preferência e adoraríamos receber sua avaliação, tendo qualquer dúvida estamos à disposição._x000a__x000a_Att_x000a_Tem tudo Shop"/>
  </r>
  <r>
    <s v="Pedido 1892"/>
    <s v="CódRastreio1775"/>
    <s v="KW0241820356421BR"/>
    <s v="BV"/>
    <d v="2025-07-26T00:00:00"/>
    <s v="Transp 2"/>
    <s v="-"/>
    <x v="1"/>
    <s v="Brasil"/>
    <d v="2025-07-14T00:00:00"/>
    <s v="Entregue"/>
    <x v="0"/>
    <s v="-"/>
    <x v="0"/>
    <s v="Olá Nome, _x000a_Identificamos que o Item Bolsa térmica foi entregue no dia 14/07/2025, referente ao pedido Nº Pedido 1892 Rastreio Pedido 1892, agradecemos a preferência e adoraríamos receber sua avaliação, tendo qualquer dúvida estamos à disposição._x000a__x000a_Att_x000a_Tem tudo Shop"/>
  </r>
  <r>
    <s v="Pedido 1893"/>
    <s v="CódRastreio1776"/>
    <s v="KW0241699494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893 Rastreio Pedido 1893, agradecemos a preferência e adoraríamos receber sua avaliação, tendo qualquer dúvida estamos à disposição._x000a__x000a_Att_x000a_Tem tudo Shop"/>
  </r>
  <r>
    <s v="Pedido 1894"/>
    <s v="CódRastreio1777"/>
    <s v="KW0241902288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894 Rastreio Pedido 1894, agradecemos a preferência e adoraríamos receber sua avaliação, tendo qualquer dúvida estamos à disposição._x000a__x000a_Att_x000a_Tem tudo Shop"/>
  </r>
  <r>
    <s v="Pedido 1895"/>
    <s v="CódRastreio1778"/>
    <s v="KW0241903255948BR"/>
    <s v="BV"/>
    <d v="2025-07-29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895 Rastreio Pedido 1895, agradecemos a preferência e adoraríamos receber sua avaliação, tendo qualquer dúvida estamos à disposição._x000a__x000a_Att_x000a_Tem tudo Shop"/>
  </r>
  <r>
    <s v="Pedido 1896"/>
    <s v="CódRastreio1779"/>
    <s v="KW0242001347948BR"/>
    <s v="BV"/>
    <d v="2025-07-25T00:00:00"/>
    <s v="Transp 2"/>
    <s v="-"/>
    <x v="1"/>
    <s v="Brasil"/>
    <d v="2025-07-15T00:00:00"/>
    <s v="Entregue"/>
    <x v="0"/>
    <s v="-"/>
    <x v="0"/>
    <s v="Olá Nome, _x000a_Identificamos que o Item Bolsa térmica foi entregue no dia 15/07/2025, referente ao pedido Nº Pedido 1896 Rastreio Pedido 1896, agradecemos a preferência e adoraríamos receber sua avaliação, tendo qualquer dúvida estamos à disposição._x000a__x000a_Att_x000a_Tem tudo Shop"/>
  </r>
  <r>
    <s v="Pedido 1898"/>
    <s v="CódRastreio1781"/>
    <s v="KW0241699496948BR"/>
    <s v="BV"/>
    <d v="2025-07-25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898 Rastreio Pedido 1898, agradecemos a preferência e adoraríamos receber sua avaliação, tendo qualquer dúvida estamos à disposição._x000a__x000a_Att_x000a_Tem tudo Shop"/>
  </r>
  <r>
    <s v="Pedido 1899"/>
    <s v="CódRastreio1782"/>
    <s v="KW0242000369948BR"/>
    <s v="BV"/>
    <d v="2025-07-25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899 Rastreio Pedido 1899, agradecemos a preferência e adoraríamos receber sua avaliação, tendo qualquer dúvida estamos à disposição._x000a__x000a_Att_x000a_Tem tudo Shop"/>
  </r>
  <r>
    <s v="Pedido 1900"/>
    <s v="CódRastreio1783"/>
    <s v="KW0241903257948BR"/>
    <s v="BV"/>
    <d v="2025-07-25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00 Rastreio Pedido 1900, agradecemos a preferência e adoraríamos receber sua avaliação, tendo qualquer dúvida estamos à disposição._x000a__x000a_Att_x000a_Tem tudo Shop"/>
  </r>
  <r>
    <s v="Pedido 1901"/>
    <s v="CódRastreio1784"/>
    <s v="KW0242000363948BR"/>
    <s v="BV"/>
    <d v="2025-07-29T00:00:00"/>
    <s v="Transp 2"/>
    <s v="-"/>
    <x v="1"/>
    <s v="Brasil"/>
    <d v="2025-07-20T00:00:00"/>
    <s v="Entregue"/>
    <x v="0"/>
    <s v="-"/>
    <x v="0"/>
    <s v="Olá Nome, _x000a_Identificamos que o Item Bolsa térmica foi entregue no dia 20/07/2025, referente ao pedido Nº Pedido 1901 Rastreio Pedido 1901, agradecemos a preferência e adoraríamos receber sua avaliação, tendo qualquer dúvida estamos à disposição._x000a__x000a_Att_x000a_Tem tudo Shop"/>
  </r>
  <r>
    <s v="Pedido 1902"/>
    <s v="CódRastreio1785"/>
    <s v="KW0241901891948BR"/>
    <s v="BV"/>
    <d v="2025-07-29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02 Rastreio Pedido 1902, agradecemos a preferência e adoraríamos receber sua avaliação, tendo qualquer dúvida estamos à disposição._x000a__x000a_Att_x000a_Tem tudo Shop"/>
  </r>
  <r>
    <s v="Pedido 1903"/>
    <s v="CódRastreio1786"/>
    <s v="KW0242000367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03 Rastreio Pedido 1903, agradecemos a preferência e adoraríamos receber sua avaliação, tendo qualquer dúvida estamos à disposição._x000a__x000a_Att_x000a_Tem tudo Shop"/>
  </r>
  <r>
    <s v="Pedido 1905"/>
    <s v="CódRastreio1788"/>
    <s v="KW0242001349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05 Rastreio Pedido 1905, agradecemos a preferência e adoraríamos receber sua avaliação, tendo qualquer dúvida estamos à disposição._x000a__x000a_Att_x000a_Tem tudo Shop"/>
  </r>
  <r>
    <s v="Pedido 1906"/>
    <s v="CódRastreio1789"/>
    <s v="KW0241736484948BR"/>
    <s v="BV"/>
    <d v="2025-07-25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06 Rastreio Pedido 1906, agradecemos a preferência e adoraríamos receber sua avaliação, tendo qualquer dúvida estamos à disposição._x000a__x000a_Att_x000a_Tem tudo Shop"/>
  </r>
  <r>
    <s v="Pedido 1907"/>
    <s v="CódRastreio1790"/>
    <s v="KW0241699500948BR"/>
    <s v="BV"/>
    <d v="2025-07-30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07 Rastreio Pedido 1907, agradecemos a preferência e adoraríamos receber sua avaliação, tendo qualquer dúvida estamos à disposição._x000a__x000a_Att_x000a_Tem tudo Shop"/>
  </r>
  <r>
    <s v="Pedido 1908"/>
    <s v="CódRastreio1791"/>
    <s v="KW0241901896948BR"/>
    <s v="BV"/>
    <d v="2025-08-05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08 Rastreio Pedido 1908, agradecemos a preferência e adoraríamos receber sua avaliação, tendo qualquer dúvida estamos à disposição._x000a__x000a_Att_x000a_Tem tudo Shop"/>
  </r>
  <r>
    <s v="Pedido 1911"/>
    <s v="CódRastreio1794"/>
    <s v="KW0241902292948BR"/>
    <s v="BV"/>
    <d v="2025-07-30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11 Rastreio Pedido 1911, agradecemos a preferência e adoraríamos receber sua avaliação, tendo qualquer dúvida estamos à disposição._x000a__x000a_Att_x000a_Tem tudo Shop"/>
  </r>
  <r>
    <s v="Pedido 1912"/>
    <s v="CódRastreio1795"/>
    <s v="KW0242001556948BR"/>
    <s v="BV"/>
    <d v="2025-07-30T00:00:00"/>
    <s v="Transp 2"/>
    <s v="-"/>
    <x v="1"/>
    <s v="Brasil"/>
    <d v="2025-07-16T00:00:00"/>
    <s v="Entregue"/>
    <x v="0"/>
    <s v="-"/>
    <x v="0"/>
    <s v="Olá Nome, _x000a_Identificamos que o Item Bolsa térmica foi entregue no dia 16/07/2025, referente ao pedido Nº Pedido 1912 Rastreio Pedido 1912, agradecemos a preferência e adoraríamos receber sua avaliação, tendo qualquer dúvida estamos à disposição._x000a__x000a_Att_x000a_Tem tudo Shop"/>
  </r>
  <r>
    <s v="Pedido 1913"/>
    <s v="CódRastreio1796"/>
    <s v="KW0241901433948BR"/>
    <s v="BV"/>
    <d v="2025-07-30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13 Rastreio Pedido 1913, agradecemos a preferência e adoraríamos receber sua avaliação, tendo qualquer dúvida estamos à disposição._x000a__x000a_Att_x000a_Tem tudo Shop"/>
  </r>
  <r>
    <s v="Pedido 1914"/>
    <s v="CódRastreio1797"/>
    <s v="KW0241902294948BR"/>
    <s v="BV"/>
    <d v="2025-07-30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14 Rastreio Pedido 1914, agradecemos a preferência e adoraríamos receber sua avaliação, tendo qualquer dúvida estamos à disposição._x000a__x000a_Att_x000a_Tem tudo Shop"/>
  </r>
  <r>
    <s v="Pedido 1904"/>
    <s v="CódRastreio1787"/>
    <s v="KW0242083360496BR"/>
    <s v="BV"/>
    <d v="2025-08-02T00:00:00"/>
    <s v="Transp 2"/>
    <s v="-"/>
    <x v="1"/>
    <s v="Brasil"/>
    <d v="2025-07-23T00:00:00"/>
    <s v="Entregue"/>
    <x v="0"/>
    <s v="-"/>
    <x v="0"/>
    <s v="Olá Nome, _x000a_Identificamos que o Item Máquina de cortar cabelo dragão foi entregue no dia 23/07/2025, referente ao pedido Nº Pedido 1904 Rastreio Pedido 1904, agradecemos a preferência e adoraríamos receber sua avaliação, tendo qualquer dúvida estamos à disposição._x000a__x000a_Att_x000a_Tem tudo Shop"/>
  </r>
  <r>
    <s v="Pedido 1909"/>
    <s v="CódRastreio1792"/>
    <s v="KW0241979251271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Máquina de cortar cabelo dragão foi entregue no dia 24/07/2025, referente ao pedido Nº Pedido 1909 Rastreio Pedido 1909, agradecemos a preferência e adoraríamos receber sua avaliação, tendo qualquer dúvida estamos à disposição._x000a__x000a_Att_x000a_Tem tudo Shop"/>
  </r>
  <r>
    <s v="Pedido 1910"/>
    <s v="CódRastreio1793"/>
    <s v="KW0242122167271BR"/>
    <s v="BV"/>
    <d v="2025-08-05T00:00:00"/>
    <s v="Transp 2"/>
    <n v="888700167735223"/>
    <x v="1"/>
    <s v="Brasil"/>
    <d v="2025-07-28T00:00:00"/>
    <s v="Entregue"/>
    <x v="0"/>
    <s v="-"/>
    <x v="0"/>
    <s v="Olá Nome, _x000a_Identificamos que o Item Máquina de cortar cabelo dragão foi entregue no dia 28/07/2025, referente ao pedido Nº Pedido 1910 Rastreio 888700167735223, agradecemos a preferência e adoraríamos receber sua avaliação, tendo qualquer dúvida estamos à disposição._x000a__x000a_Att_x000a_Tem tudo Shop"/>
  </r>
  <r>
    <s v="Pedido 1915"/>
    <s v="CódRastreio1798"/>
    <s v="KW0241893794271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Máquina de cortar cabelo dragão foi entregue no dia 24/07/2025, referente ao pedido Nº Pedido 1915 Rastreio Pedido 1915, agradecemos a preferência e adoraríamos receber sua avaliação, tendo qualquer dúvida estamos à disposição._x000a__x000a_Att_x000a_Tem tudo Shop"/>
  </r>
  <r>
    <s v="Pedido 1921"/>
    <s v="CódRastreio1804"/>
    <s v="KW0241979262271BR"/>
    <s v="BV"/>
    <d v="2025-08-06T00:00:00"/>
    <s v="Transp 2"/>
    <s v="-"/>
    <x v="1"/>
    <s v="Brasil"/>
    <d v="2025-07-23T00:00:00"/>
    <s v="Entregue"/>
    <x v="0"/>
    <s v="-"/>
    <x v="0"/>
    <s v="Olá Nome, _x000a_Identificamos que o Item Máquina de cortar cabelo dragão foi entregue no dia 23/07/2025, referente ao pedido Nº Pedido 1921 Rastreio Pedido 1921, agradecemos a preferência e adoraríamos receber sua avaliação, tendo qualquer dúvida estamos à disposição._x000a__x000a_Att_x000a_Tem tudo Shop"/>
  </r>
  <r>
    <s v="Pedido 1926"/>
    <s v="CódRastreio1809"/>
    <s v="LP00749049463090"/>
    <s v="BV"/>
    <d v="2025-07-25T00:00:00"/>
    <s v="Transp 1"/>
    <s v="NM875238643BR"/>
    <x v="0"/>
    <s v="Brasil"/>
    <d v="2025-08-12T00:00:00"/>
    <s v="Entregue"/>
    <x v="0"/>
    <s v="-"/>
    <x v="1"/>
    <s v="Olá Nome, _x000a_Identificamos que o Item Brinquedo Bola Giratória voadora foi entregue no dia 12/08/2025, referente ao pedido Nº Pedido 1926 Rastreio NM875238643BR, agradecemos a preferência e adoraríamos receber sua avaliação, tendo qualquer dúvida estamos à disposição._x000a__x000a_Att_x000a_Tem tudo Shop"/>
  </r>
  <r>
    <s v="Pedido 1951"/>
    <s v="CódRastreio1834"/>
    <s v="KW0241979723271BR"/>
    <s v="BV"/>
    <d v="2025-07-30T00:00:00"/>
    <s v="Transp 2"/>
    <s v="-"/>
    <x v="1"/>
    <s v="Brasil"/>
    <d v="2025-07-21T00:00:00"/>
    <s v="Entregue"/>
    <x v="0"/>
    <s v="-"/>
    <x v="0"/>
    <s v="Olá Nome, _x000a_Identificamos que o Item Máquina de cortar cabelo dragão foi entregue no dia 21/07/2025, referente ao pedido Nº Pedido 1951 Rastreio Pedido 1951, agradecemos a preferência e adoraríamos receber sua avaliação, tendo qualquer dúvida estamos à disposição._x000a__x000a_Att_x000a_Tem tudo Shop"/>
  </r>
  <r>
    <s v="Pedido 1964"/>
    <s v="CódRastreio1847"/>
    <s v="LP00747001517381"/>
    <s v="BV"/>
    <d v="2025-08-08T00:00:00"/>
    <s v="Transp 1"/>
    <s v="NM875253230BR"/>
    <x v="0"/>
    <s v="Brasil"/>
    <d v="2025-08-01T00:00:00"/>
    <s v="Entregue"/>
    <x v="0"/>
    <s v="-"/>
    <x v="0"/>
    <s v="Olá Nome, _x000a_Identificamos que o Item Brinquedo Bola Giratória voadora foi entregue no dia 01/08/2025, referente ao pedido Nº Pedido 1964 Rastreio NM875253230BR, agradecemos a preferência e adoraríamos receber sua avaliação, tendo qualquer dúvida estamos à disposição._x000a__x000a_Att_x000a_Tem tudo Shop"/>
  </r>
  <r>
    <s v="Pedido 1916"/>
    <s v="CódRastreio1799"/>
    <s v="LP00747986397268"/>
    <s v="BV"/>
    <d v="2025-07-30T00:00:00"/>
    <s v="Transp 1"/>
    <s v="NM875161825BR"/>
    <x v="0"/>
    <s v="Brasil"/>
    <d v="2025-08-05T00:00:00"/>
    <s v="Entregue"/>
    <x v="0"/>
    <s v="-"/>
    <x v="1"/>
    <s v="Olá Nome, _x000a_Identificamos que o Item Bolsa térmica foi entregue no dia 05/08/2025, referente ao pedido Nº Pedido 1916 Rastreio NM875161825BR, agradecemos a preferência e adoraríamos receber sua avaliação, tendo qualquer dúvida estamos à disposição._x000a__x000a_Att_x000a_Tem tudo Shop"/>
  </r>
  <r>
    <s v="Pedido 1917"/>
    <s v="CódRastreio1800"/>
    <s v="KW0242208027948BR"/>
    <s v="BV"/>
    <d v="2025-07-30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17 Rastreio Pedido 1917, agradecemos a preferência e adoraríamos receber sua avaliação, tendo qualquer dúvida estamos à disposição._x000a__x000a_Att_x000a_Tem tudo Shop"/>
  </r>
  <r>
    <s v="Pedido 1918"/>
    <s v="CódRastreio1801"/>
    <s v="KW0242096846948BR"/>
    <s v="BV"/>
    <d v="2025-07-30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18 Rastreio Pedido 1918, agradecemos a preferência e adoraríamos receber sua avaliação, tendo qualquer dúvida estamos à disposição._x000a__x000a_Att_x000a_Tem tudo Shop"/>
  </r>
  <r>
    <s v="Pedido 1919"/>
    <s v="CódRastreio1802"/>
    <s v="KW0242134752948BR"/>
    <s v="BV"/>
    <d v="2025-07-30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19 Rastreio Pedido 1919, agradecemos a preferência e adoraríamos receber sua avaliação, tendo qualquer dúvida estamos à disposição._x000a__x000a_Att_x000a_Tem tudo Shop"/>
  </r>
  <r>
    <s v="Pedido 1923"/>
    <s v="CódRastreio1806"/>
    <s v="KW0242097149948BR"/>
    <s v="BV"/>
    <d v="2025-07-31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23 Rastreio Pedido 1923, agradecemos a preferência e adoraríamos receber sua avaliação, tendo qualquer dúvida estamos à disposição._x000a__x000a_Att_x000a_Tem tudo Shop"/>
  </r>
  <r>
    <s v="Pedido 1925"/>
    <s v="CódRastreio1808"/>
    <s v="KW0242133463948BR"/>
    <s v="BV"/>
    <d v="2025-07-25T00:00:00"/>
    <s v="Transp 2"/>
    <s v="-"/>
    <x v="1"/>
    <s v="Brasil"/>
    <d v="2025-07-19T00:00:00"/>
    <s v="Entregue"/>
    <x v="0"/>
    <s v="Cliente informado"/>
    <x v="0"/>
    <s v="Olá Nome, _x000a_Identificamos que o Item Bolsa térmica foi entregue no dia 19/07/2025, referente ao pedido Nº Pedido 1925 Rastreio Pedido 1925, agradecemos a preferência e adoraríamos receber sua avaliação, tendo qualquer dúvida estamos à disposição._x000a__x000a_Att_x000a_Tem tudo Shop"/>
  </r>
  <r>
    <s v="Pedido 1927"/>
    <s v="CódRastreio1810"/>
    <s v="KW0242096455948BR"/>
    <s v="BV"/>
    <d v="2025-07-25T00:00:00"/>
    <s v="Transp 2"/>
    <s v="-"/>
    <x v="1"/>
    <s v="Brasil"/>
    <d v="2025-07-19T00:00:00"/>
    <s v="Entregue"/>
    <x v="0"/>
    <s v="-"/>
    <x v="0"/>
    <s v="Olá Nome, _x000a_Identificamos que o Item Bolsa térmica foi entregue no dia 19/07/2025, referente ao pedido Nº Pedido 1927 Rastreio Pedido 1927, agradecemos a preferência e adoraríamos receber sua avaliação, tendo qualquer dúvida estamos à disposição._x000a__x000a_Att_x000a_Tem tudo Shop"/>
  </r>
  <r>
    <s v="Pedido 1928"/>
    <s v="CódRastreio1811"/>
    <s v="KW0242207483948BR"/>
    <s v="BV"/>
    <d v="2025-07-25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28 Rastreio Pedido 1928, agradecemos a preferência e adoraríamos receber sua avaliação, tendo qualquer dúvida estamos à disposição._x000a__x000a_Att_x000a_Tem tudo Shop"/>
  </r>
  <r>
    <s v="Pedido 1963"/>
    <s v="CódRastreio1846"/>
    <s v="KW0242134754948BR"/>
    <s v="BV"/>
    <d v="2025-08-02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63 Rastreio Pedido 1963, agradecemos a preferência e adoraríamos receber sua avaliação, tendo qualquer dúvida estamos à disposição._x000a__x000a_Att_x000a_Tem tudo Shop"/>
  </r>
  <r>
    <s v="Pedido 1972"/>
    <s v="CódRastreio1854"/>
    <s v="KW0242157637804BR"/>
    <s v="BV"/>
    <d v="2025-08-09T00:00:00"/>
    <s v="Transp 2"/>
    <s v="-"/>
    <x v="1"/>
    <s v="Brasil"/>
    <d v="2025-07-24T00:00:00"/>
    <s v="Entregue"/>
    <x v="0"/>
    <s v="-"/>
    <x v="0"/>
    <s v="Olá Nome, _x000a_Identificamos que o Item Máquina de cortar cabelo dragão foi entregue no dia 24/07/2025, referente ao pedido Nº Pedido 1972 Rastreio Pedido 1972, agradecemos a preferência e adoraríamos receber sua avaliação, tendo qualquer dúvida estamos à disposição._x000a__x000a_Att_x000a_Tem tudo Shop"/>
  </r>
  <r>
    <s v="Pedido 1978"/>
    <s v="CódRastreio1860"/>
    <s v="KW0242419741804BR"/>
    <s v="BV"/>
    <d v="2025-08-01T00:00:00"/>
    <s v="Transp 2"/>
    <s v="-"/>
    <x v="1"/>
    <s v="Brasil"/>
    <d v="2025-07-21T00:00:00"/>
    <s v="Entregue"/>
    <x v="0"/>
    <s v="-"/>
    <x v="0"/>
    <s v="Olá Nome, _x000a_Identificamos que o Item Máquina de cortar cabelo dragão foi entregue no dia 21/07/2025, referente ao pedido Nº Pedido 1978 Rastreio Pedido 1978, agradecemos a preferência e adoraríamos receber sua avaliação, tendo qualquer dúvida estamos à disposição._x000a__x000a_Att_x000a_Tem tudo Shop"/>
  </r>
  <r>
    <s v="Pedido 1994"/>
    <s v="CódRastreio1876"/>
    <s v="KW0242157682804BR"/>
    <s v="BV"/>
    <d v="2025-08-12T00:00:00"/>
    <s v="Transp 2"/>
    <s v="-"/>
    <x v="1"/>
    <s v="Brasil"/>
    <d v="2025-07-24T00:00:00"/>
    <s v="Entregue"/>
    <x v="0"/>
    <s v="-"/>
    <x v="0"/>
    <s v="Olá Nome, _x000a_Identificamos que o Item Máquina de cortar cabelo dragão foi entregue no dia 24/07/2025, referente ao pedido Nº Pedido 1994 Rastreio Pedido 1994, agradecemos a preferência e adoraríamos receber sua avaliação, tendo qualquer dúvida estamos à disposição._x000a__x000a_Att_x000a_Tem tudo Shop"/>
  </r>
  <r>
    <s v="Pedido 2003"/>
    <s v="CódRastreio1885"/>
    <s v="KW0242158150804BR"/>
    <s v="BV"/>
    <d v="2025-07-31T00:00:00"/>
    <s v="Transp 2"/>
    <s v="-"/>
    <x v="1"/>
    <s v="Brasil"/>
    <d v="2025-07-19T00:00:00"/>
    <s v="Entregue"/>
    <x v="0"/>
    <s v="-"/>
    <x v="0"/>
    <s v="Olá Nome, _x000a_Identificamos que o Item Máquina de cortar cabelo dragão foi entregue no dia 19/07/2025, referente ao pedido Nº Pedido 2003 Rastreio Pedido 2003, agradecemos a preferência e adoraríamos receber sua avaliação, tendo qualquer dúvida estamos à disposição._x000a__x000a_Att_x000a_Tem tudo Shop"/>
  </r>
  <r>
    <s v="Pedido 2006"/>
    <s v="CódRastreio1888"/>
    <s v="KW0242157299804BR"/>
    <s v="BV"/>
    <d v="2025-08-02T00:00:00"/>
    <s v="Transp 2"/>
    <s v="-"/>
    <x v="1"/>
    <s v="Brasil"/>
    <d v="2025-07-21T00:00:00"/>
    <s v="Entregue"/>
    <x v="0"/>
    <s v="-"/>
    <x v="0"/>
    <s v="Olá Nome, _x000a_Identificamos que o Item Máquina de cortar cabelo dragão foi entregue no dia 21/07/2025, referente ao pedido Nº Pedido 2006 Rastreio Pedido 2006, agradecemos a preferência e adoraríamos receber sua avaliação, tendo qualquer dúvida estamos à disposição._x000a__x000a_Att_x000a_Tem tudo Shop"/>
  </r>
  <r>
    <s v="Pedido 2008"/>
    <s v="CódRastreio1890"/>
    <s v="KW0242234222804BR"/>
    <s v="BV"/>
    <d v="2025-07-31T00:00:00"/>
    <s v="Transp 2"/>
    <s v="-"/>
    <x v="1"/>
    <s v="Brasil"/>
    <d v="2025-07-19T00:00:00"/>
    <s v="Entregue"/>
    <x v="0"/>
    <s v="-"/>
    <x v="0"/>
    <s v="Olá Nome, _x000a_Identificamos que o Item Máquina de cortar cabelo dragão foi entregue no dia 19/07/2025, referente ao pedido Nº Pedido 2008 Rastreio Pedido 2008, agradecemos a preferência e adoraríamos receber sua avaliação, tendo qualquer dúvida estamos à disposição._x000a__x000a_Att_x000a_Tem tudo Shop"/>
  </r>
  <r>
    <s v="Pedido 2010"/>
    <s v="CódRastreio1892"/>
    <s v="KW0542156971804BR"/>
    <s v="BV"/>
    <d v="2025-07-31T00:00:00"/>
    <s v="Transp 2"/>
    <s v="-"/>
    <x v="1"/>
    <s v="Brasil"/>
    <d v="2025-07-18T00:00:00"/>
    <s v="Encaminhado"/>
    <x v="1"/>
    <s v="-"/>
    <x v="0"/>
    <s v="Olá Nome, _x000a_Identificamos que o Item Máquina de cortar cabelo dragão foi entregue no dia 18/07/2025, referente ao pedido Nº Pedido 2010 Rastreio Pedido 2010, agradecemos a preferência e adoraríamos receber sua avaliação, tendo qualquer dúvida estamos à disposição._x000a__x000a_Att_x000a_Tem tudo Shop"/>
  </r>
  <r>
    <s v="Pedido 1920"/>
    <s v="CódRastreio1803"/>
    <s v="KW0241895688271BR"/>
    <s v="BV"/>
    <d v="2025-07-24T00:00:00"/>
    <s v="Transp 2"/>
    <n v="888700169033094"/>
    <x v="1"/>
    <s v="Brasil"/>
    <d v="2025-07-26T00:00:00"/>
    <s v="Entregue"/>
    <x v="0"/>
    <s v="-"/>
    <x v="1"/>
    <s v="Olá Nome, _x000a_Identificamos que o Item Máquina de cortar cabelo dragão foi entregue no dia 26/07/2025, referente ao pedido Nº Pedido 1920 Rastreio 888700169033094, agradecemos a preferência e adoraríamos receber sua avaliação, tendo qualquer dúvida estamos à disposição._x000a__x000a_Att_x000a_Tem tudo Shop"/>
  </r>
  <r>
    <s v="Pedido 1969"/>
    <s v="CódRastreio1851"/>
    <n v="999880020082459"/>
    <s v="BV"/>
    <d v="2025-08-02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69 Rastreio Pedido 1969, agradecemos a preferência e adoraríamos receber sua avaliação, tendo qualquer dúvida estamos à disposição._x000a__x000a_Att_x000a_Tem tudo Shop"/>
  </r>
  <r>
    <s v="Pedido 1974"/>
    <s v="CódRastreio1856"/>
    <n v="999880013686425"/>
    <s v="BV"/>
    <d v="2025-07-30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74 Rastreio Pedido 1974, agradecemos a preferência e adoraríamos receber sua avaliação, tendo qualquer dúvida estamos à disposição._x000a__x000a_Att_x000a_Tem tudo Shop"/>
  </r>
  <r>
    <s v="Pedido 2002"/>
    <s v="CódRastreio1884"/>
    <n v="999880018464645"/>
    <s v="BV"/>
    <d v="2025-08-0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2002 Rastreio Pedido 2002, agradecemos a preferência e adoraríamos receber sua avaliação, tendo qualquer dúvida estamos à disposição._x000a__x000a_Att_x000a_Tem tudo Shop"/>
  </r>
  <r>
    <s v="Pedido 1922"/>
    <s v="CódRastreio1805"/>
    <s v="KW0241972730948BR"/>
    <s v="BV"/>
    <d v="2025-07-31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22 Rastreio Pedido 1922, agradecemos a preferência e adoraríamos receber sua avaliação, tendo qualquer dúvida estamos à disposição._x000a__x000a_Att_x000a_Tem tudo Shop"/>
  </r>
  <r>
    <s v="Pedido 1924"/>
    <s v="CódRastreio1807"/>
    <s v="KW0241883798948BR"/>
    <s v="BV"/>
    <d v="2025-07-31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24 Rastreio Pedido 1924, agradecemos a preferência e adoraríamos receber sua avaliação, tendo qualquer dúvida estamos à disposição._x000a__x000a_Att_x000a_Tem tudo Shop"/>
  </r>
  <r>
    <s v="Pedido 1929"/>
    <s v="CódRastreio1812"/>
    <s v="KW0242207928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29 Rastreio Pedido 1929, agradecemos a preferência e adoraríamos receber sua avaliação, tendo qualquer dúvida estamos à disposição._x000a__x000a_Att_x000a_Tem tudo Shop"/>
  </r>
  <r>
    <s v="Pedido 1930"/>
    <s v="CódRastreio1813"/>
    <s v="KW0242243057948BR"/>
    <s v="BV"/>
    <d v="2025-08-01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30 Rastreio Pedido 1930, agradecemos a preferência e adoraríamos receber sua avaliação, tendo qualquer dúvida estamos à disposição._x000a__x000a_Att_x000a_Tem tudo Shop"/>
  </r>
  <r>
    <s v="Pedido 1934"/>
    <s v="CódRastreio1817"/>
    <n v="999880014597287"/>
    <s v="GO"/>
    <d v="2025-08-06T00:00:00"/>
    <s v="Transp 2"/>
    <s v="-"/>
    <x v="1"/>
    <s v="Brasil"/>
    <d v="2025-07-28T00:00:00"/>
    <s v="Entregue"/>
    <x v="0"/>
    <s v="-"/>
    <x v="0"/>
    <s v="Olá Nome, _x000a_Identificamos que o Item Brinquedo Bola Giratória voadora foi entregue no dia 28/07/2025, referente ao pedido Nº Pedido 1934 Rastreio Pedido 1934, agradecemos a preferência e adoraríamos receber sua avaliação, tendo qualquer dúvida estamos à disposição._x000a__x000a_Att_x000a_Sec Variedades"/>
  </r>
  <r>
    <s v="Pedido 1947"/>
    <s v="CódRastreio1830"/>
    <s v="KW0241885301948BR"/>
    <s v="BV"/>
    <d v="2025-07-26T00:00:00"/>
    <s v="Transp 2"/>
    <s v="-"/>
    <x v="1"/>
    <s v="Brasil"/>
    <d v="2025-07-18T00:00:00"/>
    <s v="Entregue"/>
    <x v="0"/>
    <s v="-"/>
    <x v="0"/>
    <s v="Olá Nome, _x000a_Identificamos que o Item Bolsa térmica foi entregue no dia 18/07/2025, referente ao pedido Nº Pedido 1947 Rastreio Pedido 1947, agradecemos a preferência e adoraríamos receber sua avaliação, tendo qualquer dúvida estamos à disposição._x000a__x000a_Att_x000a_Tem tudo Shop"/>
  </r>
  <r>
    <s v="Pedido 1960"/>
    <s v="CódRastreio1843"/>
    <s v="KW0242116294948BR"/>
    <s v="BV"/>
    <d v="2025-07-31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60 Rastreio Pedido 1960, agradecemos a preferência e adoraríamos receber sua avaliação, tendo qualquer dúvida estamos à disposição._x000a__x000a_Att_x000a_Tem tudo Shop"/>
  </r>
  <r>
    <s v="Pedido 2005"/>
    <s v="CódRastreio1887"/>
    <n v="999880015152765"/>
    <s v="BV"/>
    <d v="2025-08-02T00:00:00"/>
    <s v="Transp 2"/>
    <s v="-"/>
    <x v="1"/>
    <s v="Brasil"/>
    <d v="2025-07-21T00:00:00"/>
    <s v="Entregue"/>
    <x v="0"/>
    <s v="-"/>
    <x v="0"/>
    <s v="Olá Nome, _x000a_Identificamos que o Item Brinquedo Bola Giratória voadora foi entregue no dia 21/07/2025, referente ao pedido Nº Pedido 2005 Rastreio Pedido 2005, agradecemos a preferência e adoraríamos receber sua avaliação, tendo qualquer dúvida estamos à disposição._x000a__x000a_Att_x000a_Tem tudo Shop"/>
  </r>
  <r>
    <s v="Pedido 2012"/>
    <s v="CódRastreio1894"/>
    <n v="3320070004714"/>
    <s v="GO"/>
    <d v="2025-08-05T00:00:00"/>
    <s v="Transp 3"/>
    <s v="-"/>
    <x v="1"/>
    <s v="Brasil"/>
    <d v="2025-07-30T00:00:00"/>
    <s v="Entregue"/>
    <x v="0"/>
    <s v="-"/>
    <x v="0"/>
    <s v="Olá Nome, _x000a_Identificamos que o Item Ventilador Umidificador Preto foi entregue no dia 30/07/2025, referente ao pedido Nº Pedido 2012 Rastreio Pedido 2012, agradecemos a preferência e adoraríamos receber sua avaliação, tendo qualquer dúvida estamos à disposição._x000a__x000a_Att_x000a_Sec Variedades"/>
  </r>
  <r>
    <s v="Pedido 2014"/>
    <s v="CódRastreio1896"/>
    <n v="3320070004415"/>
    <s v="GO"/>
    <d v="2025-08-12T00:00:00"/>
    <s v="Transp 3"/>
    <s v="-"/>
    <x v="1"/>
    <s v="Brasil"/>
    <d v="2025-07-23T00:00:00"/>
    <s v="Entregue"/>
    <x v="0"/>
    <s v="-"/>
    <x v="0"/>
    <s v="Olá Nome, _x000a_Identificamos que o Item Ventilador Umidificador Preto foi entregue no dia 23/07/2025, referente ao pedido Nº Pedido 2014 Rastreio Pedido 2014, agradecemos a preferência e adoraríamos receber sua avaliação, tendo qualquer dúvida estamos à disposição._x000a__x000a_Att_x000a_Sec Variedades"/>
  </r>
  <r>
    <s v="Pedido 1931"/>
    <s v="CódRastreio1814"/>
    <s v="KW0242262514948BR"/>
    <s v="BV"/>
    <d v="2025-07-30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31 Rastreio Pedido 1931, agradecemos a preferência e adoraríamos receber sua avaliação, tendo qualquer dúvida estamos à disposição._x000a__x000a_Att_x000a_Tem tudo Shop"/>
  </r>
  <r>
    <s v="Pedido 1932"/>
    <s v="CódRastreio1815"/>
    <s v="KW0242190395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32 Rastreio Pedido 1932, agradecemos a preferência e adoraríamos receber sua avaliação, tendo qualquer dúvida estamos à disposição._x000a__x000a_Att_x000a_Tem tudo Shop"/>
  </r>
  <r>
    <s v="Pedido 1933"/>
    <s v="CódRastreio1816"/>
    <s v="KW0242450709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33 Rastreio Pedido 1933, agradecemos a preferência e adoraríamos receber sua avaliação, tendo qualquer dúvida estamos à disposição._x000a__x000a_Att_x000a_Tem tudo Shop"/>
  </r>
  <r>
    <s v="Pedido 1935"/>
    <s v="CódRastreio1818"/>
    <s v="KW0242262518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35 Rastreio Pedido 1935, agradecemos a preferência e adoraríamos receber sua avaliação, tendo qualquer dúvida estamos à disposição._x000a__x000a_Att_x000a_Tem tudo Shop"/>
  </r>
  <r>
    <s v="Pedido 1936"/>
    <s v="CódRastreio1819"/>
    <s v="KW0242358564948BR"/>
    <s v="BV"/>
    <d v="2025-07-30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36 Rastreio Pedido 1936, agradecemos a preferência e adoraríamos receber sua avaliação, tendo qualquer dúvida estamos à disposição._x000a__x000a_Att_x000a_Tem tudo Shop"/>
  </r>
  <r>
    <s v="Pedido 1937"/>
    <s v="CódRastreio1820"/>
    <s v="KW0242450355948BR"/>
    <s v="BV"/>
    <d v="2025-08-01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37 Rastreio Pedido 1937, agradecemos a preferência e adoraríamos receber sua avaliação, tendo qualquer dúvida estamos à disposição._x000a__x000a_Att_x000a_Tem tudo Shop"/>
  </r>
  <r>
    <s v="Pedido 1938"/>
    <s v="CódRastreio1821"/>
    <s v="KW0242191222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38 Rastreio Pedido 1938, agradecemos a preferência e adoraríamos receber sua avaliação, tendo qualquer dúvida estamos à disposição._x000a__x000a_Att_x000a_Tem tudo Shop"/>
  </r>
  <r>
    <s v="Pedido 1939"/>
    <s v="CódRastreio1822"/>
    <s v="KW0242450711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39 Rastreio Pedido 1939, agradecemos a preferência e adoraríamos receber sua avaliação, tendo qualquer dúvida estamos à disposição._x000a__x000a_Att_x000a_Tem tudo Shop"/>
  </r>
  <r>
    <s v="Pedido 1940"/>
    <s v="CódRastreio1823"/>
    <s v="KW0242358171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40 Rastreio Pedido 1940, agradecemos a preferência e adoraríamos receber sua avaliação, tendo qualquer dúvida estamos à disposição._x000a__x000a_Att_x000a_Tem tudo Shop"/>
  </r>
  <r>
    <s v="Pedido 1941"/>
    <s v="CódRastreio1824"/>
    <s v="KW0242262522948BR"/>
    <s v="BV"/>
    <d v="2025-07-26T00:00:00"/>
    <s v="Transp 2"/>
    <s v="-"/>
    <x v="1"/>
    <s v="Brasil"/>
    <d v="2025-07-20T00:00:00"/>
    <s v="Entregue"/>
    <x v="0"/>
    <s v="-"/>
    <x v="0"/>
    <s v="Olá Nome, _x000a_Identificamos que o Item Bolsa térmica foi entregue no dia 20/07/2025, referente ao pedido Nº Pedido 1941 Rastreio Pedido 1941, agradecemos a preferência e adoraríamos receber sua avaliação, tendo qualquer dúvida estamos à disposição._x000a__x000a_Att_x000a_Tem tudo Shop"/>
  </r>
  <r>
    <s v="Pedido 1942"/>
    <s v="CódRastreio1825"/>
    <s v="KW0242191787948BR"/>
    <s v="BV"/>
    <d v="2025-08-01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42 Rastreio Pedido 1942, agradecemos a preferência e adoraríamos receber sua avaliação, tendo qualquer dúvida estamos à disposição._x000a__x000a_Att_x000a_Tem tudo Shop"/>
  </r>
  <r>
    <s v="Pedido 1943"/>
    <s v="CódRastreio1826"/>
    <s v="KW0242191224948BR"/>
    <s v="BV"/>
    <d v="2025-07-30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43 Rastreio Pedido 1943, agradecemos a preferência e adoraríamos receber sua avaliação, tendo qualquer dúvida estamos à disposição._x000a__x000a_Att_x000a_Tem tudo Shop"/>
  </r>
  <r>
    <s v="Pedido 1944"/>
    <s v="CódRastreio1827"/>
    <s v="KW0242190874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44 Rastreio Pedido 1944, agradecemos a preferência e adoraríamos receber sua avaliação, tendo qualquer dúvida estamos à disposição._x000a__x000a_Att_x000a_Tem tudo Shop"/>
  </r>
  <r>
    <s v="Pedido 1946"/>
    <s v="CódRastreio1829"/>
    <s v="KW0242358181948BR"/>
    <s v="BV"/>
    <d v="2025-08-01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46 Rastreio Pedido 1946, agradecemos a preferência e adoraríamos receber sua avaliação, tendo qualquer dúvida estamos à disposição._x000a__x000a_Att_x000a_Tem tudo Shop"/>
  </r>
  <r>
    <s v="Pedido 1945"/>
    <s v="CódRastreio1828"/>
    <s v="KW0242190416948BR"/>
    <s v="BV"/>
    <d v="2025-08-01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45 Rastreio Pedido 1945, agradecemos a preferência e adoraríamos receber sua avaliação, tendo qualquer dúvida estamos à disposição._x000a__x000a_Att_x000a_Tem tudo Shop"/>
  </r>
  <r>
    <s v="Pedido 1948"/>
    <s v="CódRastreio1831"/>
    <s v="KW0242190418948BR"/>
    <s v="BV"/>
    <d v="2025-07-30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48 Rastreio Pedido 1948, agradecemos a preferência e adoraríamos receber sua avaliação, tendo qualquer dúvida estamos à disposição._x000a__x000a_Att_x000a_Tem tudo Shop"/>
  </r>
  <r>
    <s v="Pedido 1949"/>
    <s v="CódRastreio1832"/>
    <s v="KW0242192506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49 Rastreio Pedido 1949, agradecemos a preferência e adoraríamos receber sua avaliação, tendo qualquer dúvida estamos à disposição._x000a__x000a_Att_x000a_Tem tudo Shop"/>
  </r>
  <r>
    <s v="Pedido 1950"/>
    <s v="CódRastreio1833"/>
    <s v="KW0242191230948BR"/>
    <s v="BV"/>
    <d v="2025-07-26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50 Rastreio Pedido 1950, agradecemos a preferência e adoraríamos receber sua avaliação, tendo qualquer dúvida estamos à disposição._x000a__x000a_Att_x000a_Tem tudo Shop"/>
  </r>
  <r>
    <s v="Pedido 1952"/>
    <s v="CódRastreio1835"/>
    <s v="KW0242191795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52 Rastreio Pedido 1952, agradecemos a preferência e adoraríamos receber sua avaliação, tendo qualquer dúvida estamos à disposição._x000a__x000a_Att_x000a_Tem tudo Shop"/>
  </r>
  <r>
    <s v="Pedido 1953"/>
    <s v="CódRastreio1836"/>
    <s v="KW0242192510948BR"/>
    <s v="BV"/>
    <d v="2025-07-29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53 Rastreio Pedido 1953, agradecemos a preferência e adoraríamos receber sua avaliação, tendo qualquer dúvida estamos à disposição._x000a__x000a_Att_x000a_Tem tudo Shop"/>
  </r>
  <r>
    <s v="Pedido 1954"/>
    <s v="CódRastreio1837"/>
    <s v="KW0242450715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54 Rastreio Pedido 1954, agradecemos a preferência e adoraríamos receber sua avaliação, tendo qualquer dúvida estamos à disposição._x000a__x000a_Att_x000a_Tem tudo Shop"/>
  </r>
  <r>
    <s v="Pedido 1955"/>
    <s v="CódRastreio1838"/>
    <s v="KW0242192511948BR"/>
    <s v="BV"/>
    <d v="2025-07-29T00:00:00"/>
    <s v="Transp 2"/>
    <s v="-"/>
    <x v="1"/>
    <s v="Brasil"/>
    <d v="2025-07-20T00:00:00"/>
    <s v="Entregue"/>
    <x v="0"/>
    <s v="-"/>
    <x v="0"/>
    <s v="Olá Nome, _x000a_Identificamos que o Item Bolsa térmica foi entregue no dia 20/07/2025, referente ao pedido Nº Pedido 1955 Rastreio Pedido 1955, agradecemos a preferência e adoraríamos receber sua avaliação, tendo qualquer dúvida estamos à disposição._x000a__x000a_Att_x000a_Tem tudo Shop"/>
  </r>
  <r>
    <s v="Pedido 1956"/>
    <s v="CódRastreio1839"/>
    <s v="KW0242191797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56 Rastreio Pedido 1956, agradecemos a preferência e adoraríamos receber sua avaliação, tendo qualquer dúvida estamos à disposição._x000a__x000a_Att_x000a_Tem tudo Shop"/>
  </r>
  <r>
    <s v="Pedido 1957"/>
    <s v="CódRastreio1840"/>
    <s v="KW0242191799948BR"/>
    <s v="BV"/>
    <d v="2025-08-02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57 Rastreio Pedido 1957, agradecemos a preferência e adoraríamos receber sua avaliação, tendo qualquer dúvida estamos à disposição._x000a__x000a_Att_x000a_Tem tudo Shop"/>
  </r>
  <r>
    <s v="Pedido 1958"/>
    <s v="CódRastreio1841"/>
    <s v="KW0242358188948BR"/>
    <s v="BV"/>
    <d v="2025-08-08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58 Rastreio Pedido 1958, agradecemos a preferência e adoraríamos receber sua avaliação, tendo qualquer dúvida estamos à disposição._x000a__x000a_Att_x000a_Tem tudo Shop"/>
  </r>
  <r>
    <s v="Pedido 1959"/>
    <s v="CódRastreio1842"/>
    <s v="KW0242192517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59 Rastreio Pedido 1959, agradecemos a preferência e adoraríamos receber sua avaliação, tendo qualquer dúvida estamos à disposição._x000a__x000a_Att_x000a_Tem tudo Shop"/>
  </r>
  <r>
    <s v="Pedido 1961"/>
    <s v="CódRastreio1844"/>
    <s v="KW0242190420948BR"/>
    <s v="BV"/>
    <d v="2025-07-29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61 Rastreio Pedido 1961, agradecemos a preferência e adoraríamos receber sua avaliação, tendo qualquer dúvida estamos à disposição._x000a__x000a_Att_x000a_Tem tudo Shop"/>
  </r>
  <r>
    <s v="Pedido 1962"/>
    <s v="CódRastreio1845"/>
    <s v="KW0242191803948BR"/>
    <s v="BV"/>
    <d v="2025-08-02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62 Rastreio Pedido 1962, agradecemos a preferência e adoraríamos receber sua avaliação, tendo qualquer dúvida estamos à disposição._x000a__x000a_Att_x000a_Tem tudo Shop"/>
  </r>
  <r>
    <s v="Pedido 1966"/>
    <s v="CódRastreio1848"/>
    <s v="KW0242191234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66 Rastreio Pedido 1966, agradecemos a preferência e adoraríamos receber sua avaliação, tendo qualquer dúvida estamos à disposição._x000a__x000a_Att_x000a_Tem tudo Shop"/>
  </r>
  <r>
    <s v="Pedido 1967"/>
    <s v="CódRastreio1849"/>
    <s v="KW0242191801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67 Rastreio Pedido 1967, agradecemos a preferência e adoraríamos receber sua avaliação, tendo qualquer dúvida estamos à disposição._x000a__x000a_Att_x000a_Tem tudo Shop"/>
  </r>
  <r>
    <s v="Pedido 1968"/>
    <s v="CódRastreio1850"/>
    <s v="KW0242357455948BR"/>
    <s v="BV"/>
    <d v="2025-07-29T00:00:00"/>
    <s v="Transp 2"/>
    <s v="-"/>
    <x v="1"/>
    <s v="Brasil"/>
    <d v="2025-07-21T00:00:00"/>
    <s v="Entregue"/>
    <x v="0"/>
    <s v="-"/>
    <x v="0"/>
    <s v="Olá Nome, _x000a_Identificamos que o Item Bolsa térmica foi entregue no dia 21/07/2025, referente ao pedido Nº Pedido 1968 Rastreio Pedido 1968, agradecemos a preferência e adoraríamos receber sua avaliação, tendo qualquer dúvida estamos à disposição._x000a__x000a_Att_x000a_Tem tudo Shop"/>
  </r>
  <r>
    <s v="Pedido 1970"/>
    <s v="CódRastreio1852"/>
    <s v="KW0242191236948BR"/>
    <s v="BV"/>
    <d v="2025-08-02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70 Rastreio Pedido 1970, agradecemos a preferência e adoraríamos receber sua avaliação, tendo qualquer dúvida estamos à disposição._x000a__x000a_Att_x000a_Tem tudo Shop"/>
  </r>
  <r>
    <s v="Pedido 1971"/>
    <s v="CódRastreio1853"/>
    <s v="KW0242474071948BR"/>
    <s v="BV"/>
    <d v="2025-08-22T00:00:00"/>
    <s v="Transp 2"/>
    <n v="888700172777234"/>
    <x v="1"/>
    <s v="Brasil"/>
    <d v="2025-07-28T00:00:00"/>
    <s v="Entregue"/>
    <x v="0"/>
    <s v="-"/>
    <x v="0"/>
    <s v="Olá Nome, _x000a_Identificamos que o Item Bolsa térmica foi entregue no dia 28/07/2025, referente ao pedido Nº Pedido 1971 Rastreio 888700172777234, agradecemos a preferência e adoraríamos receber sua avaliação, tendo qualquer dúvida estamos à disposição._x000a__x000a_Att_x000a_Tem tudo Shop"/>
  </r>
  <r>
    <s v="Pedido 1973"/>
    <s v="CódRastreio1855"/>
    <s v="KW0242508692948BR"/>
    <s v="BV"/>
    <d v="2025-08-05T00:00:00"/>
    <s v="Transp 2"/>
    <n v="888700173577829"/>
    <x v="1"/>
    <s v="Brasil"/>
    <d v="2025-07-25T00:00:00"/>
    <s v="Entregue"/>
    <x v="0"/>
    <s v="-"/>
    <x v="0"/>
    <s v="Olá Nome, _x000a_Identificamos que o Item Bolsa térmica foi entregue no dia 25/07/2025, referente ao pedido Nº Pedido 1973 Rastreio 888700173577829, agradecemos a preferência e adoraríamos receber sua avaliação, tendo qualquer dúvida estamos à disposição._x000a__x000a_Att_x000a_Tem tudo Shop"/>
  </r>
  <r>
    <s v="Pedido 1975"/>
    <s v="CódRastreio1857"/>
    <s v="KW0242379223948BR"/>
    <s v="BV"/>
    <d v="2025-08-05T00:00:00"/>
    <s v="Transp 2"/>
    <n v="888700173736575"/>
    <x v="1"/>
    <s v="Brasil"/>
    <d v="2025-07-30T00:00:00"/>
    <s v="Entregue"/>
    <x v="0"/>
    <s v="-"/>
    <x v="0"/>
    <s v="Olá Nome, _x000a_Identificamos que o Item Bolsa térmica foi entregue no dia 30/07/2025, referente ao pedido Nº Pedido 1975 Rastreio 888700173736575, agradecemos a preferência e adoraríamos receber sua avaliação, tendo qualquer dúvida estamos à disposição._x000a__x000a_Att_x000a_Tem tudo Shop"/>
  </r>
  <r>
    <s v="Pedido 1976"/>
    <s v="CódRastreio1858"/>
    <s v="KW0242379219948BR"/>
    <s v="BV"/>
    <d v="2025-08-01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76 Rastreio Pedido 1976, agradecemos a preferência e adoraríamos receber sua avaliação, tendo qualquer dúvida estamos à disposição._x000a__x000a_Att_x000a_Tem tudo Shop"/>
  </r>
  <r>
    <s v="Pedido 1977"/>
    <s v="CódRastreio1859"/>
    <s v="KW0542508694948BR"/>
    <s v="BV"/>
    <d v="2025-07-30T00:00:00"/>
    <s v="Transp 2"/>
    <s v="-"/>
    <x v="1"/>
    <s v="Brasil"/>
    <d v="2025-07-21T00:00:00"/>
    <s v="Encaminhado"/>
    <x v="1"/>
    <s v="-"/>
    <x v="0"/>
    <s v="Olá Nome, _x000a_Identificamos que o Item Bolsa térmica foi entregue no dia 21/07/2025, referente ao pedido Nº Pedido 1977 Rastreio Pedido 1977, agradecemos a preferência e adoraríamos receber sua avaliação, tendo qualquer dúvida estamos à disposição._x000a__x000a_Att_x000a_Tem tudo Shop"/>
  </r>
  <r>
    <s v="Pedido 1979"/>
    <s v="CódRastreio1861"/>
    <s v="KW0242287327948BR"/>
    <s v="BV"/>
    <d v="2025-08-09T00:00:00"/>
    <s v="Transp 2"/>
    <n v="888700169710218"/>
    <x v="1"/>
    <s v="Brasil"/>
    <d v="2025-07-26T00:00:00"/>
    <s v="Entregue"/>
    <x v="0"/>
    <s v="-"/>
    <x v="0"/>
    <s v="Olá Nome, _x000a_Identificamos que o Item Bolsa térmica foi entregue no dia 26/07/2025, referente ao pedido Nº Pedido 1979 Rastreio 888700169710218, agradecemos a preferência e adoraríamos receber sua avaliação, tendo qualquer dúvida estamos à disposição._x000a__x000a_Att_x000a_Tem tudo Shop"/>
  </r>
  <r>
    <s v="Pedido 1980"/>
    <s v="CódRastreio1862"/>
    <s v="KW0242508196948BR"/>
    <s v="BV"/>
    <d v="2025-07-30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80 Rastreio Pedido 1980, agradecemos a preferência e adoraríamos receber sua avaliação, tendo qualquer dúvida estamos à disposição._x000a__x000a_Att_x000a_Tem tudo Shop"/>
  </r>
  <r>
    <s v="Pedido 1981"/>
    <s v="CódRastreio1863"/>
    <s v="KW0242473215948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81 Rastreio Pedido 1981, agradecemos a preferência e adoraríamos receber sua avaliação, tendo qualquer dúvida estamos à disposição._x000a__x000a_Att_x000a_Tem tudo Shop"/>
  </r>
  <r>
    <s v="Pedido 1982"/>
    <s v="CódRastreio1864"/>
    <s v="KW0242509058948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82 Rastreio Pedido 1982, agradecemos a preferência e adoraríamos receber sua avaliação, tendo qualquer dúvida estamos à disposição._x000a__x000a_Att_x000a_Tem tudo Shop"/>
  </r>
  <r>
    <s v="Pedido 1983"/>
    <s v="CódRastreio1865"/>
    <s v="KW0242473643948BR"/>
    <s v="BV"/>
    <d v="2025-07-30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83 Rastreio Pedido 1983, agradecemos a preferência e adoraríamos receber sua avaliação, tendo qualquer dúvida estamos à disposição._x000a__x000a_Att_x000a_Tem tudo Shop"/>
  </r>
  <r>
    <s v="Pedido 1984"/>
    <s v="CódRastreio1866"/>
    <s v="KW0242474548948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84 Rastreio Pedido 1984, agradecemos a preferência e adoraríamos receber sua avaliação, tendo qualquer dúvida estamos à disposição._x000a__x000a_Att_x000a_Tem tudo Shop"/>
  </r>
  <r>
    <s v="Pedido 1985"/>
    <s v="CódRastreio1867"/>
    <s v="KW0242473639948BR"/>
    <s v="BV"/>
    <d v="2025-08-05T00:00:00"/>
    <s v="Transp 2"/>
    <n v="888700171085044"/>
    <x v="1"/>
    <s v="Brasil"/>
    <d v="2025-07-25T00:00:00"/>
    <s v="Entregue"/>
    <x v="0"/>
    <s v="-"/>
    <x v="0"/>
    <s v="Olá Nome, _x000a_Identificamos que o Item Bolsa térmica foi entregue no dia 25/07/2025, referente ao pedido Nº Pedido 1985 Rastreio 888700171085044, agradecemos a preferência e adoraríamos receber sua avaliação, tendo qualquer dúvida estamos à disposição._x000a__x000a_Att_x000a_Tem tudo Shop"/>
  </r>
  <r>
    <s v="Pedido 1986"/>
    <s v="CódRastreio1868"/>
    <s v="KW0242379658948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86 Rastreio Pedido 1986, agradecemos a preferência e adoraríamos receber sua avaliação, tendo qualquer dúvida estamos à disposição._x000a__x000a_Att_x000a_Tem tudo Shop"/>
  </r>
  <r>
    <s v="Pedido 1987"/>
    <s v="CódRastreio1869"/>
    <s v="KW0242508195948BR"/>
    <s v="BV"/>
    <d v="2025-08-01T00:00:00"/>
    <s v="Transp 2"/>
    <n v="888700173130577"/>
    <x v="1"/>
    <s v="Brasil"/>
    <d v="2025-07-25T00:00:00"/>
    <s v="Entregue"/>
    <x v="0"/>
    <s v="-"/>
    <x v="0"/>
    <s v="Olá Nome, _x000a_Identificamos que o Item Bolsa térmica foi entregue no dia 25/07/2025, referente ao pedido Nº Pedido 1987 Rastreio 888700173130577, agradecemos a preferência e adoraríamos receber sua avaliação, tendo qualquer dúvida estamos à disposição._x000a__x000a_Att_x000a_Tem tudo Shop"/>
  </r>
  <r>
    <s v="Pedido 1988"/>
    <s v="CódRastreio1870"/>
    <s v="KW0242474084948BR"/>
    <s v="BV"/>
    <d v="2025-07-30T00:00:00"/>
    <s v="Transp 2"/>
    <n v="888700152892295"/>
    <x v="1"/>
    <s v="Brasil"/>
    <d v="2025-07-28T00:00:00"/>
    <s v="Entregue"/>
    <x v="0"/>
    <s v="-"/>
    <x v="0"/>
    <s v="Olá Nome, _x000a_Identificamos que o Item Bolsa térmica foi entregue no dia 28/07/2025, referente ao pedido Nº Pedido 1988 Rastreio 888700152892295, agradecemos a preferência e adoraríamos receber sua avaliação, tendo qualquer dúvida estamos à disposição._x000a__x000a_Att_x000a_Tem tudo Shop"/>
  </r>
  <r>
    <s v="Pedido 1989"/>
    <s v="CódRastreio1871"/>
    <s v="KW0242474542948BR"/>
    <s v="BV"/>
    <d v="2025-08-05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1989 Rastreio Pedido 1989, agradecemos a preferência e adoraríamos receber sua avaliação, tendo qualquer dúvida estamos à disposição._x000a__x000a_Att_x000a_Tem tudo Shop"/>
  </r>
  <r>
    <s v="Pedido 1990"/>
    <s v="CódRastreio1872"/>
    <s v="KW0242287335948BR"/>
    <s v="BV"/>
    <d v="2025-08-05T00:00:00"/>
    <s v="Transp 2"/>
    <n v="888700165222085"/>
    <x v="1"/>
    <s v="Brasil"/>
    <d v="2025-07-25T00:00:00"/>
    <s v="Entregue"/>
    <x v="0"/>
    <s v="-"/>
    <x v="0"/>
    <s v="Olá Nome, _x000a_Identificamos que o Item Bolsa térmica foi entregue no dia 25/07/2025, referente ao pedido Nº Pedido 1990 Rastreio 888700165222085, agradecemos a preferência e adoraríamos receber sua avaliação, tendo qualquer dúvida estamos à disposição._x000a__x000a_Att_x000a_Tem tudo Shop"/>
  </r>
  <r>
    <s v="Pedido 1991"/>
    <s v="CódRastreio1873"/>
    <s v="KW0242287333948BR"/>
    <s v="BV"/>
    <d v="2025-07-30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91 Rastreio Pedido 1991, agradecemos a preferência e adoraríamos receber sua avaliação, tendo qualquer dúvida estamos à disposição._x000a__x000a_Att_x000a_Tem tudo Shop"/>
  </r>
  <r>
    <s v="Pedido 1992"/>
    <s v="CódRastreio1874"/>
    <s v="KW0242473641948BR"/>
    <s v="BV"/>
    <d v="2025-07-30T00:00:00"/>
    <s v="Transp 2"/>
    <s v="-"/>
    <x v="1"/>
    <s v="Brasil"/>
    <d v="2025-07-22T00:00:00"/>
    <s v="Entregue"/>
    <x v="0"/>
    <s v="-"/>
    <x v="0"/>
    <s v="Olá Nome, _x000a_Identificamos que o Item Bolsa térmica foi entregue no dia 22/07/2025, referente ao pedido Nº Pedido 1992 Rastreio Pedido 1992, agradecemos a preferência e adoraríamos receber sua avaliação, tendo qualquer dúvida estamos à disposição._x000a__x000a_Att_x000a_Tem tudo Shop"/>
  </r>
  <r>
    <s v="Pedido 1993"/>
    <s v="CódRastreio1875"/>
    <s v="KW0242509056948BR"/>
    <s v="BV"/>
    <d v="2025-07-30T00:00:00"/>
    <s v="Transp 2"/>
    <s v="-"/>
    <x v="1"/>
    <s v="Brasil"/>
    <d v="2025-07-23T00:00:00"/>
    <s v="Entregue"/>
    <x v="0"/>
    <s v="-"/>
    <x v="0"/>
    <s v="Olá Nome, _x000a_Identificamos que o Item Bolsa térmica foi entregue no dia 23/07/2025, referente ao pedido Nº Pedido 1993 Rastreio Pedido 1993, agradecemos a preferência e adoraríamos receber sua avaliação, tendo qualquer dúvida estamos à disposição._x000a__x000a_Att_x000a_Tem tudo Shop"/>
  </r>
  <r>
    <s v="Pedido 2011"/>
    <s v="CódRastreio1893"/>
    <n v="3320070004716"/>
    <s v="GO"/>
    <d v="2025-07-30T00:00:00"/>
    <s v="Transp 3"/>
    <s v="-"/>
    <x v="1"/>
    <s v="Brasil"/>
    <d v="2025-07-21T00:00:00"/>
    <s v="Entregue"/>
    <x v="0"/>
    <s v="-"/>
    <x v="0"/>
    <s v="Olá Nome, _x000a_Identificamos que o Item Ventilador Umidificador Preto foi entregue no dia 21/07/2025, referente ao pedido Nº Pedido 2011 Rastreio Pedido 2011, agradecemos a preferência e adoraríamos receber sua avaliação, tendo qualquer dúvida estamos à disposição._x000a__x000a_Att_x000a_Sec Variedades"/>
  </r>
  <r>
    <s v="Pedido 2013"/>
    <s v="CódRastreio1895"/>
    <s v="KW0242158950310BR"/>
    <s v="GO"/>
    <d v="2025-08-05T00:00:00"/>
    <s v="Transp 2"/>
    <n v="888700168146820"/>
    <x v="1"/>
    <s v="Brasil"/>
    <d v="2025-07-29T00:00:00"/>
    <s v="Entregue"/>
    <x v="0"/>
    <s v="-"/>
    <x v="0"/>
    <s v="Olá Nome, _x000a_Identificamos que o Item Brinquedo Bola Giratória voadora foi entregue no dia 29/07/2025, referente ao pedido Nº Pedido 2013 Rastreio 888700168146820, agradecemos a preferência e adoraríamos receber sua avaliação, tendo qualquer dúvida estamos à disposição._x000a__x000a_Att_x000a_Sec Variedades"/>
  </r>
  <r>
    <s v="Pedido 1995"/>
    <s v="CódRastreio1877"/>
    <s v="KW0242662036948BR"/>
    <s v="BV"/>
    <d v="2025-08-06T00:00:00"/>
    <s v="Transp 2"/>
    <n v="888700173347727"/>
    <x v="1"/>
    <s v="Brasil"/>
    <d v="2025-07-28T00:00:00"/>
    <s v="Entregue"/>
    <x v="0"/>
    <s v="-"/>
    <x v="0"/>
    <s v="Olá Nome, _x000a_Identificamos que o Item Bolsa térmica foi entregue no dia 28/07/2025, referente ao pedido Nº Pedido 1995 Rastreio 888700173347727, agradecemos a preferência e adoraríamos receber sua avaliação, tendo qualquer dúvida estamos à disposição._x000a__x000a_Att_x000a_Tem tudo Shop"/>
  </r>
  <r>
    <s v="Pedido 1996"/>
    <s v="CódRastreio1878"/>
    <s v="KW0242581545948BR"/>
    <s v="BV"/>
    <d v="2025-08-06T00:00:00"/>
    <s v="Transp 2"/>
    <n v="888700171354677"/>
    <x v="1"/>
    <s v="Brasil"/>
    <d v="2025-07-30T00:00:00"/>
    <s v="Entregue"/>
    <x v="0"/>
    <s v="-"/>
    <x v="0"/>
    <s v="Olá Nome, _x000a_Identificamos que o Item Bolsa térmica foi entregue no dia 30/07/2025, referente ao pedido Nº Pedido 1996 Rastreio 888700171354677, agradecemos a preferência e adoraríamos receber sua avaliação, tendo qualquer dúvida estamos à disposição._x000a__x000a_Att_x000a_Tem tudo Shop"/>
  </r>
  <r>
    <s v="Pedido 1997"/>
    <s v="CódRastreio1879"/>
    <s v="KW0242579835948BR"/>
    <s v="BV"/>
    <d v="2025-07-31T00:00:00"/>
    <s v="Transp 2"/>
    <n v="888700174379922"/>
    <x v="1"/>
    <s v="Brasil"/>
    <d v="2025-07-25T00:00:00"/>
    <s v="Entregue"/>
    <x v="0"/>
    <s v="-"/>
    <x v="0"/>
    <s v="Olá Nome, _x000a_Identificamos que o Item Bolsa térmica foi entregue no dia 25/07/2025, referente ao pedido Nº Pedido 1997 Rastreio 888700174379922, agradecemos a preferência e adoraríamos receber sua avaliação, tendo qualquer dúvida estamos à disposição._x000a__x000a_Att_x000a_Tem tudo Shop"/>
  </r>
  <r>
    <s v="Pedido 1998"/>
    <s v="CódRastreio1880"/>
    <s v="KW0242841957948BR"/>
    <s v="BV"/>
    <d v="2025-07-31T00:00:00"/>
    <s v="Transp 2"/>
    <n v="888700174510579"/>
    <x v="1"/>
    <s v="Brasil"/>
    <d v="2025-07-25T00:00:00"/>
    <s v="Entregue"/>
    <x v="0"/>
    <s v="-"/>
    <x v="0"/>
    <s v="Olá Nome, _x000a_Identificamos que o Item Bolsa térmica foi entregue no dia 25/07/2025, referente ao pedido Nº Pedido 1998 Rastreio 888700174510579, agradecemos a preferência e adoraríamos receber sua avaliação, tendo qualquer dúvida estamos à disposição._x000a__x000a_Att_x000a_Tem tudo Shop"/>
  </r>
  <r>
    <s v="Pedido 1999"/>
    <s v="CódRastreio1881"/>
    <s v="KW0242841955948BR"/>
    <s v="BV"/>
    <d v="2025-08-06T00:00:00"/>
    <s v="Transp 2"/>
    <n v="888700174238119"/>
    <x v="1"/>
    <s v="Brasil"/>
    <d v="2025-07-29T00:00:00"/>
    <s v="Entregue"/>
    <x v="0"/>
    <s v="-"/>
    <x v="0"/>
    <s v="Olá Nome, _x000a_Identificamos que o Item Bolsa térmica foi entregue no dia 29/07/2025, referente ao pedido Nº Pedido 1999 Rastreio 888700174238119, agradecemos a preferência e adoraríamos receber sua avaliação, tendo qualquer dúvida estamos à disposição._x000a__x000a_Att_x000a_Tem tudo Shop"/>
  </r>
  <r>
    <s v="Pedido 2000"/>
    <s v="CódRastreio1882"/>
    <s v="KW0242840880948BR"/>
    <s v="BV"/>
    <d v="2025-08-06T00:00:00"/>
    <s v="Transp 2"/>
    <n v="888700164550498"/>
    <x v="1"/>
    <s v="Brasil"/>
    <d v="2025-07-25T00:00:00"/>
    <s v="Entregue"/>
    <x v="0"/>
    <s v="-"/>
    <x v="0"/>
    <s v="Olá Nome, _x000a_Identificamos que o Item Bolsa térmica foi entregue no dia 25/07/2025, referente ao pedido Nº Pedido 2000 Rastreio 888700164550498, agradecemos a preferência e adoraríamos receber sua avaliação, tendo qualquer dúvida estamos à disposição._x000a__x000a_Att_x000a_Tem tudo Shop"/>
  </r>
  <r>
    <s v="Pedido 2001"/>
    <s v="CódRastreio1883"/>
    <s v="KW0242662041948BR"/>
    <s v="BV"/>
    <d v="2025-07-31T00:00:00"/>
    <s v="Transp 2"/>
    <n v="888700174649683"/>
    <x v="1"/>
    <s v="Brasil"/>
    <d v="2025-07-25T00:00:00"/>
    <s v="Entregue"/>
    <x v="0"/>
    <s v="-"/>
    <x v="0"/>
    <s v="Olá Nome, _x000a_Identificamos que o Item Bolsa térmica foi entregue no dia 25/07/2025, referente ao pedido Nº Pedido 2001 Rastreio 888700174649683, agradecemos a preferência e adoraríamos receber sua avaliação, tendo qualquer dúvida estamos à disposição._x000a__x000a_Att_x000a_Tem tudo Shop"/>
  </r>
  <r>
    <s v="Pedido 2004"/>
    <s v="CódRastreio1886"/>
    <s v="KW0242580298948BR"/>
    <s v="BV"/>
    <d v="2025-08-02T00:00:00"/>
    <s v="Transp 2"/>
    <n v="888700174182115"/>
    <x v="1"/>
    <s v="Brasil"/>
    <d v="2025-07-26T00:00:00"/>
    <s v="Entregue"/>
    <x v="0"/>
    <s v="-"/>
    <x v="0"/>
    <s v="Olá Nome, _x000a_Identificamos que o Item Bolsa térmica foi entregue no dia 26/07/2025, referente ao pedido Nº Pedido 2004 Rastreio 888700174182115, agradecemos a preferência e adoraríamos receber sua avaliação, tendo qualquer dúvida estamos à disposição._x000a__x000a_Att_x000a_Tem tudo Shop"/>
  </r>
  <r>
    <s v="Pedido 2007"/>
    <s v="CódRastreio1889"/>
    <s v="KW0242579169948BR"/>
    <s v="BV"/>
    <d v="2025-08-06T00:00:00"/>
    <s v="Transp 2"/>
    <n v="888700171862316"/>
    <x v="1"/>
    <s v="Brasil"/>
    <d v="2025-07-30T00:00:00"/>
    <s v="Entregue"/>
    <x v="0"/>
    <s v="-"/>
    <x v="0"/>
    <s v="Olá Nome, _x000a_Identificamos que o Item Bolsa térmica foi entregue no dia 30/07/2025, referente ao pedido Nº Pedido 2007 Rastreio 888700171862316, agradecemos a preferência e adoraríamos receber sua avaliação, tendo qualquer dúvida estamos à disposição._x000a__x000a_Att_x000a_Tem tudo Shop"/>
  </r>
  <r>
    <s v="Pedido 2009"/>
    <s v="CódRastreio1891"/>
    <s v="KW0242581027948BR"/>
    <s v="BV"/>
    <d v="2025-08-06T00:00:00"/>
    <s v="Transp 2"/>
    <n v="888700164136485"/>
    <x v="1"/>
    <s v="Brasil"/>
    <d v="2025-07-28T00:00:00"/>
    <s v="Entregue"/>
    <x v="0"/>
    <s v="-"/>
    <x v="0"/>
    <s v="Olá Nome, _x000a_Identificamos que o Item Bolsa térmica foi entregue no dia 28/07/2025, referente ao pedido Nº Pedido 2009 Rastreio 888700164136485, agradecemos a preferência e adoraríamos receber sua avaliação, tendo qualquer dúvida estamos à disposição._x000a__x000a_Att_x000a_Tem tudo Shop"/>
  </r>
  <r>
    <s v="Pedido 2015"/>
    <s v="CódRastreio1897"/>
    <s v="KW0242662524948BR"/>
    <s v="BV"/>
    <d v="2025-08-06T00:00:00"/>
    <s v="Transp 2"/>
    <n v="888700174131113"/>
    <x v="1"/>
    <s v="Brasil"/>
    <d v="2025-07-26T00:00:00"/>
    <s v="Entregue"/>
    <x v="0"/>
    <s v="-"/>
    <x v="0"/>
    <s v="Olá Nome, _x000a_Identificamos que o Item Bolsa térmica foi entregue no dia 26/07/2025, referente ao pedido Nº Pedido 2015 Rastreio 888700174131113, agradecemos a preferência e adoraríamos receber sua avaliação, tendo qualquer dúvida estamos à disposição._x000a__x000a_Att_x000a_Tem tudo Shop"/>
  </r>
  <r>
    <s v="Pedido 2016"/>
    <s v="CódRastreio1898"/>
    <s v="KW0242841959948BR"/>
    <s v="BV"/>
    <d v="2025-08-02T00:00:00"/>
    <s v="Transp 2"/>
    <n v="888700174680485"/>
    <x v="1"/>
    <s v="Brasil"/>
    <d v="2025-07-26T00:00:00"/>
    <s v="Entregue"/>
    <x v="0"/>
    <s v="-"/>
    <x v="0"/>
    <s v="Olá Nome, _x000a_Identificamos que o Item Bolsa térmica foi entregue no dia 26/07/2025, referente ao pedido Nº Pedido 2016 Rastreio 888700174680485, agradecemos a preferência e adoraríamos receber sua avaliação, tendo qualquer dúvida estamos à disposição._x000a__x000a_Att_x000a_Tem tudo Shop"/>
  </r>
  <r>
    <s v="Pedido 2017"/>
    <s v="CódRastreio1899"/>
    <s v="KW0542580757948BR"/>
    <s v="BV"/>
    <d v="2025-07-31T00:00:00"/>
    <s v="Transp 2"/>
    <s v="-"/>
    <x v="1"/>
    <s v="Brasil"/>
    <d v="2025-07-22T00:00:00"/>
    <s v="Encaminhado"/>
    <x v="1"/>
    <s v="-"/>
    <x v="0"/>
    <s v="Olá Nome, _x000a_Identificamos que o Item Bolsa térmica foi entregue no dia 22/07/2025, referente ao pedido Nº Pedido 2017 Rastreio Pedido 2017, agradecemos a preferência e adoraríamos receber sua avaliação, tendo qualquer dúvida estamos à disposição._x000a__x000a_Att_x000a_Tem tudo Shop"/>
  </r>
  <r>
    <s v="Pedido 2018"/>
    <s v="CódRastreio1900"/>
    <s v="KW0242581561948BR"/>
    <s v="BV"/>
    <d v="2025-07-31T00:00:00"/>
    <s v="Transp 2"/>
    <n v="888700158177676"/>
    <x v="1"/>
    <s v="Brasil"/>
    <d v="2025-07-25T00:00:00"/>
    <s v="Entregue"/>
    <x v="0"/>
    <s v="-"/>
    <x v="0"/>
    <s v="Olá Nome, _x000a_Identificamos que o Item Bolsa térmica foi entregue no dia 25/07/2025, referente ao pedido Nº Pedido 2018 Rastreio 888700158177676, agradecemos a preferência e adoraríamos receber sua avaliação, tendo qualquer dúvida estamos à disposição._x000a__x000a_Att_x000a_Tem tudo Shop"/>
  </r>
  <r>
    <s v="Pedido 2019"/>
    <s v="CódRastreio1901"/>
    <s v="KW0242868129310BR"/>
    <s v="BV"/>
    <d v="2025-08-06T00:00:00"/>
    <s v="Transp 2"/>
    <n v="888700173609803"/>
    <x v="1"/>
    <s v="Brasil"/>
    <d v="2025-07-28T00:00:00"/>
    <s v="Entregue"/>
    <x v="0"/>
    <s v="-"/>
    <x v="0"/>
    <s v="Olá Nome, _x000a_Identificamos que o Item Brinquedo Bola Giratória voadora foi entregue no dia 28/07/2025, referente ao pedido Nº Pedido 2019 Rastreio 888700173609803, agradecemos a preferência e adoraríamos receber sua avaliação, tendo qualquer dúvida estamos à disposição._x000a__x000a_Att_x000a_Tem tudo Shop"/>
  </r>
  <r>
    <s v="Pedido 2020"/>
    <s v="CódRastreio1902"/>
    <s v="KW0242581029948BR"/>
    <s v="BV"/>
    <d v="2025-08-06T00:00:00"/>
    <s v="Transp 2"/>
    <n v="888700174197830"/>
    <x v="1"/>
    <s v="Brasil"/>
    <d v="2025-07-28T00:00:00"/>
    <s v="Entregue"/>
    <x v="0"/>
    <s v="-"/>
    <x v="0"/>
    <s v="Olá Nome, _x000a_Identificamos que o Item Bolsa térmica foi entregue no dia 28/07/2025, referente ao pedido Nº Pedido 2020 Rastreio 888700174197830, agradecemos a preferência e adoraríamos receber sua avaliação, tendo qualquer dúvida estamos à disposição._x000a__x000a_Att_x000a_Tem tudo Shop"/>
  </r>
  <r>
    <s v="Pedido 2021"/>
    <s v="CódRastreio1903"/>
    <s v="KW0242599895237BR"/>
    <s v="BV"/>
    <d v="2025-08-02T00:00:00"/>
    <s v="Transp 2"/>
    <n v="888700161835295"/>
    <x v="1"/>
    <s v="Brasil"/>
    <d v="2025-07-28T00:00:00"/>
    <s v="Entregue"/>
    <x v="0"/>
    <s v="-"/>
    <x v="0"/>
    <s v="Olá Nome, _x000a_Identificamos que o Item Máquina de cortar cabelo dragão foi entregue no dia 28/07/2025, referente ao pedido Nº Pedido 2021 Rastreio 888700161835295, agradecemos a preferência e adoraríamos receber sua avaliação, tendo qualquer dúvida estamos à disposição._x000a__x000a_Att_x000a_Tem tudo Shop"/>
  </r>
  <r>
    <s v="Pedido 2022"/>
    <s v="CódRastreio1904"/>
    <s v="KW0242752412948BR"/>
    <s v="BV"/>
    <d v="2025-07-31T00:00:00"/>
    <s v="Transp 2"/>
    <n v="888700174249394"/>
    <x v="1"/>
    <s v="Brasil"/>
    <d v="2025-07-26T00:00:00"/>
    <s v="Entregue"/>
    <x v="0"/>
    <s v="-"/>
    <x v="0"/>
    <s v="Olá Nome, _x000a_Identificamos que o Item Bolsa térmica foi entregue no dia 26/07/2025, referente ao pedido Nº Pedido 2022 Rastreio 888700174249394, agradecemos a preferência e adoraríamos receber sua avaliação, tendo qualquer dúvida estamos à disposição._x000a__x000a_Att_x000a_Tem tudo Shop"/>
  </r>
  <r>
    <s v="Pedido 2023"/>
    <s v="CódRastreio1905"/>
    <s v="KW0242579847948BR"/>
    <s v="BV"/>
    <d v="2025-08-02T00:00:00"/>
    <s v="Transp 2"/>
    <n v="888700173479968"/>
    <x v="1"/>
    <s v="Brasil"/>
    <d v="2025-07-26T00:00:00"/>
    <s v="Entregue"/>
    <x v="0"/>
    <s v="-"/>
    <x v="0"/>
    <s v="Olá Nome, _x000a_Identificamos que o Item Bolsa térmica foi entregue no dia 26/07/2025, referente ao pedido Nº Pedido 2023 Rastreio 888700173479968, agradecemos a preferência e adoraríamos receber sua avaliação, tendo qualquer dúvida estamos à disposição._x000a__x000a_Att_x000a_Tem tudo Shop"/>
  </r>
  <r>
    <s v="Pedido 2024"/>
    <s v="CódRastreio1906"/>
    <s v="KW0242580302948BR"/>
    <s v="BV"/>
    <d v="2025-07-31T00:00:00"/>
    <s v="Transp 2"/>
    <n v="888700173813865"/>
    <x v="1"/>
    <s v="Brasil"/>
    <d v="2025-07-25T00:00:00"/>
    <s v="Entregue"/>
    <x v="0"/>
    <s v="-"/>
    <x v="0"/>
    <s v="Olá Nome, _x000a_Identificamos que o Item Bolsa térmica foi entregue no dia 25/07/2025, referente ao pedido Nº Pedido 2024 Rastreio 888700173813865, agradecemos a preferência e adoraríamos receber sua avaliação, tendo qualquer dúvida estamos à disposição._x000a__x000a_Att_x000a_Tem tudo Shop"/>
  </r>
  <r>
    <s v="Pedido 2025"/>
    <s v="CódRastreio1907"/>
    <s v="KW0242900597237BR"/>
    <s v="BV"/>
    <d v="2025-07-31T00:00:00"/>
    <s v="Transp 2"/>
    <s v="-"/>
    <x v="1"/>
    <s v="Brasil"/>
    <d v="2025-07-24T00:00:00"/>
    <s v="Entregue"/>
    <x v="0"/>
    <s v="-"/>
    <x v="0"/>
    <s v="Olá Nome, _x000a_Identificamos que o Item Máquina de cortar cabelo dragão foi entregue no dia 24/07/2025, referente ao pedido Nº Pedido 2025 Rastreio Pedido 2025, agradecemos a preferência e adoraríamos receber sua avaliação, tendo qualquer dúvida estamos à disposição._x000a__x000a_Att_x000a_Tem tudo Shop"/>
  </r>
  <r>
    <s v="Pedido 2026"/>
    <s v="CódRastreio1908"/>
    <s v="KW0242662530948BR"/>
    <s v="BV"/>
    <d v="2025-08-02T00:00:00"/>
    <s v="Transp 2"/>
    <n v="888700173211773"/>
    <x v="1"/>
    <s v="Brasil"/>
    <d v="2025-07-26T00:00:00"/>
    <s v="Entregue"/>
    <x v="0"/>
    <s v="-"/>
    <x v="0"/>
    <s v="Olá Nome, _x000a_Identificamos que o Item Bolsa térmica foi entregue no dia 26/07/2025, referente ao pedido Nº Pedido 2026 Rastreio 888700173211773, agradecemos a preferência e adoraríamos receber sua avaliação, tendo qualquer dúvida estamos à disposição._x000a__x000a_Att_x000a_Tem tudo Shop"/>
  </r>
  <r>
    <s v="Pedido 2027"/>
    <s v="CódRastreio1909"/>
    <s v="KW0242840884948BR"/>
    <s v="BV"/>
    <d v="2025-07-31T00:00:00"/>
    <s v="Transp 2"/>
    <n v="888700168501725"/>
    <x v="1"/>
    <s v="Brasil"/>
    <d v="2025-07-25T00:00:00"/>
    <s v="Entregue"/>
    <x v="0"/>
    <s v="-"/>
    <x v="0"/>
    <s v="Olá Nome, _x000a_Identificamos que o Item Bolsa térmica foi entregue no dia 25/07/2025, referente ao pedido Nº Pedido 2027 Rastreio 888700168501725, agradecemos a preferência e adoraríamos receber sua avaliação, tendo qualquer dúvida estamos à disposição._x000a__x000a_Att_x000a_Tem tudo Shop"/>
  </r>
  <r>
    <s v="Pedido 2028"/>
    <s v="CódRastreio1910"/>
    <s v="KW0242580306948BR"/>
    <s v="BV"/>
    <d v="2025-07-31T00:00:00"/>
    <s v="Transp 2"/>
    <n v="888700164213512"/>
    <x v="1"/>
    <s v="Brasil"/>
    <d v="2025-07-25T00:00:00"/>
    <s v="Entregue"/>
    <x v="0"/>
    <s v="-"/>
    <x v="0"/>
    <s v="Olá Nome, _x000a_Identificamos que o Item Bolsa térmica foi entregue no dia 25/07/2025, referente ao pedido Nº Pedido 2028 Rastreio 888700164213512, agradecemos a preferência e adoraríamos receber sua avaliação, tendo qualquer dúvida estamos à disposição._x000a__x000a_Att_x000a_Tem tudo Shop"/>
  </r>
  <r>
    <s v="Pedido 2029"/>
    <s v="CódRastreio1911"/>
    <s v="KW0242906828948BR"/>
    <s v="BV"/>
    <d v="2025-08-06T00:00:00"/>
    <s v="Transp 2"/>
    <n v="888700175003983"/>
    <x v="1"/>
    <s v="Brasil"/>
    <d v="2025-07-26T00:00:00"/>
    <s v="Entregue"/>
    <x v="0"/>
    <s v="-"/>
    <x v="0"/>
    <s v="Olá Nome, _x000a_Identificamos que o Item Bolsa térmica foi entregue no dia 26/07/2025, referente ao pedido Nº Pedido 2029 Rastreio 888700175003983, agradecemos a preferência e adoraríamos receber sua avaliação, tendo qualquer dúvida estamos à disposição._x000a__x000a_Att_x000a_Tem tudo Shop"/>
  </r>
  <r>
    <s v="Pedido 2030"/>
    <s v="CódRastreio1912"/>
    <s v="KW0242686915948BR"/>
    <s v="BV"/>
    <d v="2025-07-31T00:00:00"/>
    <s v="Transp 2"/>
    <n v="888700174651148"/>
    <x v="1"/>
    <s v="Brasil"/>
    <d v="2025-07-26T00:00:00"/>
    <s v="Entregue"/>
    <x v="0"/>
    <s v="-"/>
    <x v="0"/>
    <s v="Olá Nome, _x000a_Identificamos que o Item Bolsa térmica foi entregue no dia 26/07/2025, referente ao pedido Nº Pedido 2030 Rastreio 888700174651148, agradecemos a preferência e adoraríamos receber sua avaliação, tendo qualquer dúvida estamos à disposição._x000a__x000a_Att_x000a_Tem tudo Shop"/>
  </r>
  <r>
    <s v="Pedido 2031"/>
    <s v="CódRastreio1913"/>
    <s v="KW0242782998948BR"/>
    <s v="BV"/>
    <d v="2025-08-06T00:00:00"/>
    <s v="Transp 2"/>
    <n v="888700174697355"/>
    <x v="1"/>
    <s v="Brasil"/>
    <d v="2025-07-26T00:00:00"/>
    <s v="Entregue"/>
    <x v="0"/>
    <s v="-"/>
    <x v="0"/>
    <s v="Olá Nome, _x000a_Identificamos que o Item Bolsa térmica foi entregue no dia 26/07/2025, referente ao pedido Nº Pedido 2031 Rastreio 888700174697355, agradecemos a preferência e adoraríamos receber sua avaliação, tendo qualquer dúvida estamos à disposição._x000a__x000a_Att_x000a_Tem tudo Shop"/>
  </r>
  <r>
    <s v="Pedido 2032"/>
    <s v="CódRastreio1914"/>
    <s v="KW0242688523948BR"/>
    <s v="BV"/>
    <d v="2025-08-06T00:00:00"/>
    <s v="Transp 2"/>
    <n v="888700175258436"/>
    <x v="1"/>
    <s v="Brasil"/>
    <d v="2025-07-26T00:00:00"/>
    <s v="Entregue"/>
    <x v="0"/>
    <s v="-"/>
    <x v="0"/>
    <s v="Olá Nome, _x000a_Identificamos que o Item Bolsa térmica foi entregue no dia 26/07/2025, referente ao pedido Nº Pedido 2032 Rastreio 888700175258436, agradecemos a preferência e adoraríamos receber sua avaliação, tendo qualquer dúvida estamos à disposição._x000a__x000a_Att_x000a_Tem tudo Shop"/>
  </r>
  <r>
    <s v="Pedido 2033"/>
    <s v="CódRastreio1915"/>
    <s v="KW0242782996948BR"/>
    <s v="BV"/>
    <d v="2025-07-31T00:00:00"/>
    <s v="Transp 2"/>
    <n v="888700173301638"/>
    <x v="1"/>
    <s v="Brasil"/>
    <d v="2025-07-25T00:00:00"/>
    <s v="Entregue"/>
    <x v="0"/>
    <s v="-"/>
    <x v="0"/>
    <s v="Olá Nome, _x000a_Identificamos que o Item Bolsa térmica foi entregue no dia 25/07/2025, referente ao pedido Nº Pedido 2033 Rastreio 888700173301638, agradecemos a preferência e adoraríamos receber sua avaliação, tendo qualquer dúvida estamos à disposição._x000a__x000a_Att_x000a_Tem tudo Shop"/>
  </r>
  <r>
    <s v="Pedido 2034"/>
    <s v="CódRastreio1916"/>
    <s v="KW0542907939948BR"/>
    <s v="BV"/>
    <d v="2025-08-01T00:00:00"/>
    <s v="Transp 2"/>
    <s v="-"/>
    <x v="1"/>
    <s v="Brasil"/>
    <d v="2025-07-22T00:00:00"/>
    <s v="Encaminhado"/>
    <x v="1"/>
    <s v="-"/>
    <x v="0"/>
    <s v="Olá Nome, _x000a_Identificamos que o Item Bolsa térmica foi entregue no dia 22/07/2025, referente ao pedido Nº Pedido 2034 Rastreio Pedido 2034, agradecemos a preferência e adoraríamos receber sua avaliação, tendo qualquer dúvida estamos à disposição._x000a__x000a_Att_x000a_Tem tudo Shop"/>
  </r>
  <r>
    <s v="Pedido 2035"/>
    <s v="CódRastreio1917"/>
    <s v="KW0242871099948BR"/>
    <s v="BV"/>
    <d v="2025-08-01T00:00:00"/>
    <s v="Transp 2"/>
    <s v="-"/>
    <x v="1"/>
    <s v="Brasil"/>
    <d v="2025-07-24T00:00:00"/>
    <s v="Entregue"/>
    <x v="0"/>
    <s v="-"/>
    <x v="0"/>
    <s v="Olá Nome, _x000a_Identificamos que o Item Bolsa térmica foi entregue no dia 24/07/2025, referente ao pedido Nº Pedido 2035 Rastreio Pedido 2035, agradecemos a preferência e adoraríamos receber sua avaliação, tendo qualquer dúvida estamos à disposição._x000a__x000a_Att_x000a_Tem tudo Shop"/>
  </r>
  <r>
    <s v="Pedido 2036"/>
    <s v="CódRastreio1918"/>
    <s v="KW0242686917948BR"/>
    <s v="BV"/>
    <d v="2025-08-01T00:00:00"/>
    <s v="Transp 2"/>
    <n v="888700175627265"/>
    <x v="1"/>
    <s v="Brasil"/>
    <d v="2025-07-25T00:00:00"/>
    <s v="Entregue"/>
    <x v="0"/>
    <s v="-"/>
    <x v="0"/>
    <s v="Olá Nome, _x000a_Identificamos que o Item Bolsa térmica foi entregue no dia 25/07/2025, referente ao pedido Nº Pedido 2036 Rastreio 888700175627265, agradecemos a preferência e adoraríamos receber sua avaliação, tendo qualquer dúvida estamos à disposição._x000a__x000a_Att_x000a_Tem tudo Shop"/>
  </r>
  <r>
    <s v="Pedido 2037"/>
    <s v="CódRastreio1919"/>
    <s v="KW0242689528948BR"/>
    <s v="BV"/>
    <d v="2025-08-07T00:00:00"/>
    <s v="Transp 2"/>
    <n v="888700175054620"/>
    <x v="1"/>
    <s v="Brasil"/>
    <d v="2025-07-26T00:00:00"/>
    <s v="Entregue"/>
    <x v="0"/>
    <s v="-"/>
    <x v="0"/>
    <s v="Olá Nome, _x000a_Identificamos que o Item Bolsa térmica foi entregue no dia 26/07/2025, referente ao pedido Nº Pedido 2037 Rastreio 888700175054620, agradecemos a preferência e adoraríamos receber sua avaliação, tendo qualquer dúvida estamos à disposição._x000a__x000a_Att_x000a_Tem tudo Shop"/>
  </r>
  <r>
    <s v="Pedido 2038"/>
    <s v="CódRastreio1920"/>
    <s v="KW0242687803948BR"/>
    <s v="BV"/>
    <d v="2025-08-07T00:00:00"/>
    <s v="Transp 2"/>
    <n v="888700173841300"/>
    <x v="1"/>
    <s v="Brasil"/>
    <d v="2025-07-28T00:00:00"/>
    <s v="Entregue"/>
    <x v="0"/>
    <s v="-"/>
    <x v="0"/>
    <s v="Olá Nome, _x000a_Identificamos que o Item Bolsa térmica foi entregue no dia 28/07/2025, referente ao pedido Nº Pedido 2038 Rastreio 888700173841300, agradecemos a preferência e adoraríamos receber sua avaliação, tendo qualquer dúvida estamos à disposição._x000a__x000a_Att_x000a_Tem tudo Shop"/>
  </r>
  <r>
    <s v="Pedido 2039"/>
    <s v="CódRastreio1921"/>
    <s v="KW0242907345948BR"/>
    <s v="BV"/>
    <d v="2025-08-07T00:00:00"/>
    <s v="Transp 2"/>
    <n v="888700171206441"/>
    <x v="1"/>
    <s v="Brasil"/>
    <d v="2025-07-26T00:00:00"/>
    <s v="Entregue"/>
    <x v="0"/>
    <s v="-"/>
    <x v="0"/>
    <s v="Olá Nome, _x000a_Identificamos que o Item Bolsa térmica foi entregue no dia 26/07/2025, referente ao pedido Nº Pedido 2039 Rastreio 888700171206441, agradecemos a preferência e adoraríamos receber sua avaliação, tendo qualquer dúvida estamos à disposição._x000a__x000a_Att_x000a_Tem tudo Shop"/>
  </r>
  <r>
    <s v="Pedido 2040"/>
    <s v="CódRastreio1922"/>
    <s v="KW0242900210273BR"/>
    <s v="GO"/>
    <d v="2025-08-12T00:00:00"/>
    <s v="Transp 2"/>
    <n v="888700174161442"/>
    <x v="1"/>
    <s v="Brasil"/>
    <d v="2025-07-26T00:00:00"/>
    <s v="Entregue"/>
    <x v="0"/>
    <s v="-"/>
    <x v="0"/>
    <s v="Olá Nome, _x000a_Identificamos que o Item Ventilador Umidificador Preto foi entregue no dia 26/07/2025, referente ao pedido Nº Pedido 2040 Rastreio 888700174161442, agradecemos a preferência e adoraríamos receber sua avaliação, tendo qualquer dúvida estamos à disposição._x000a__x000a_Att_x000a_Sec Variedades"/>
  </r>
  <r>
    <s v="Pedido 2046"/>
    <s v="CódRastreio1928 1 Envio"/>
    <s v="KW0242900246273BR"/>
    <s v="GO"/>
    <d v="2025-08-12T00:00:00"/>
    <s v="Transp 2"/>
    <n v="888700174881832"/>
    <x v="1"/>
    <s v="Brasil"/>
    <d v="2025-07-26T00:00:00"/>
    <s v="Entregue"/>
    <x v="0"/>
    <s v="-"/>
    <x v="0"/>
    <s v="Olá Nome, _x000a_Identificamos que o Item Ventilador Umidificador Preto foi entregue no dia 26/07/2025, referente ao pedido Nº Pedido 2046 Rastreio 888700174881832, agradecemos a preferência e adoraríamos receber sua avaliação, tendo qualquer dúvida estamos à disposição._x000a__x000a_Att_x000a_Sec Variedades"/>
  </r>
  <r>
    <s v="Pedido 2046"/>
    <s v="CódRastreio1928"/>
    <s v="KW0242900246273BR"/>
    <s v="GO"/>
    <d v="2025-08-12T00:00:00"/>
    <s v="Transp 2"/>
    <n v="888700174881832"/>
    <x v="1"/>
    <s v="Brasil"/>
    <d v="2025-07-26T00:00:00"/>
    <s v="Entregue"/>
    <x v="0"/>
    <s v="-"/>
    <x v="0"/>
    <s v="Olá Nome, _x000a_Identificamos que o Item Ventilador Umidificador Preto foi entregue no dia 26/07/2025, referente ao pedido Nº Pedido 2046 Rastreio 888700174881832, agradecemos a preferência e adoraríamos receber sua avaliação, tendo qualquer dúvida estamos à disposição._x000a__x000a_Att_x000a_Sec Variedades"/>
  </r>
  <r>
    <s v="Pedido 2048"/>
    <s v="CódRastreio1929"/>
    <s v="KW0242689522948BR"/>
    <s v="GO"/>
    <d v="2025-08-05T00:00:00"/>
    <s v="Transp 2"/>
    <n v="888700172640586"/>
    <x v="1"/>
    <s v="Brasil"/>
    <d v="2025-07-29T00:00:00"/>
    <s v="Entregue"/>
    <x v="0"/>
    <s v="-"/>
    <x v="0"/>
    <s v="Olá Nome, _x000a_Identificamos que o Item Bolsa térmica foi entregue no dia 29/07/2025, referente ao pedido Nº Pedido 2048 Rastreio 888700172640586, agradecemos a preferência e adoraríamos receber sua avaliação, tendo qualquer dúvida estamos à disposição._x000a__x000a_Att_x000a_Sec Variedades"/>
  </r>
  <r>
    <s v="Pedido 2049"/>
    <s v="CódRastreio1930"/>
    <s v="KW0242871097948BR"/>
    <s v="GO"/>
    <d v="2025-07-31T00:00:00"/>
    <s v="Transp 2"/>
    <n v="888700172961534"/>
    <x v="1"/>
    <s v="Brasil"/>
    <d v="2025-07-25T00:00:00"/>
    <s v="Entregue"/>
    <x v="0"/>
    <s v="-"/>
    <x v="0"/>
    <s v="Olá Nome, _x000a_Identificamos que o Item Bolsa térmica foi entregue no dia 25/07/2025, referente ao pedido Nº Pedido 2049 Rastreio 888700172961534, agradecemos a preferência e adoraríamos receber sua avaliação, tendo qualquer dúvida estamos à disposição._x000a__x000a_Att_x000a_Sec Variedades"/>
  </r>
  <r>
    <s v="Pedido 2041"/>
    <s v="CódRastreio1923"/>
    <s v="KW0243019149948BR"/>
    <s v="BV"/>
    <d v="2025-08-01T00:00:00"/>
    <s v="Transp 2"/>
    <n v="888700170105097"/>
    <x v="1"/>
    <s v="Brasil"/>
    <d v="2025-07-28T00:00:00"/>
    <s v="Entregue"/>
    <x v="0"/>
    <s v="-"/>
    <x v="0"/>
    <s v="Olá Nome, _x000a_Identificamos que o Item Bolsa térmica foi entregue no dia 28/07/2025, referente ao pedido Nº Pedido 2041 Rastreio 888700170105097, agradecemos a preferência e adoraríamos receber sua avaliação, tendo qualquer dúvida estamos à disposição._x000a__x000a_Att_x000a_Tem tudo Shop"/>
  </r>
  <r>
    <s v="Pedido 2042"/>
    <s v="CódRastreio1924"/>
    <s v="KW0543019158948BR"/>
    <s v="BV"/>
    <d v="2025-08-02T00:00:00"/>
    <s v="Transp 2"/>
    <s v="-"/>
    <x v="1"/>
    <s v="Brasil"/>
    <d v="2025-07-28T00:00:00"/>
    <n v="0"/>
    <x v="1"/>
    <s v="-"/>
    <x v="0"/>
    <s v="Olá Nome, _x000a_Identificamos que o Item Bolsa térmica foi entregue no dia 28/07/2025, referente ao pedido Nº Pedido 2042 Rastreio Pedido 2042, agradecemos a preferência e adoraríamos receber sua avaliação, tendo qualquer dúvida estamos à disposição._x000a__x000a_Att_x000a_Tem tudo Shop"/>
  </r>
  <r>
    <s v="Pedido 2043"/>
    <s v="CódRastreio1925"/>
    <s v="KW0242933233948BR"/>
    <s v="BV"/>
    <d v="2025-08-06T00:00:00"/>
    <s v="Transp 2"/>
    <n v="888700174953034"/>
    <x v="1"/>
    <s v="Brasil"/>
    <d v="2025-07-28T00:00:00"/>
    <s v="Entregue"/>
    <x v="0"/>
    <s v="-"/>
    <x v="0"/>
    <s v="Olá Nome, _x000a_Identificamos que o Item Bolsa térmica foi entregue no dia 28/07/2025, referente ao pedido Nº Pedido 2043 Rastreio 888700174953034, agradecemos a preferência e adoraríamos receber sua avaliação, tendo qualquer dúvida estamos à disposição._x000a__x000a_Att_x000a_Tem tudo Shop"/>
  </r>
  <r>
    <s v="Pedido 2044"/>
    <s v="CódRastreio1926"/>
    <s v="KW0242933237948BR"/>
    <s v="BV"/>
    <d v="2025-08-08T00:00:00"/>
    <s v="Transp 2"/>
    <n v="888700174165925"/>
    <x v="1"/>
    <s v="Brasil"/>
    <d v="2025-07-29T00:00:00"/>
    <s v="Entregue"/>
    <x v="0"/>
    <s v="-"/>
    <x v="0"/>
    <s v="Olá Nome, _x000a_Identificamos que o Item Bolsa térmica foi entregue no dia 29/07/2025, referente ao pedido Nº Pedido 2044 Rastreio 888700174165925, agradecemos a preferência e adoraríamos receber sua avaliação, tendo qualquer dúvida estamos à disposição._x000a__x000a_Att_x000a_Tem tudo Shop"/>
  </r>
  <r>
    <s v="Pedido 2045"/>
    <s v="CódRastreio1927"/>
    <s v="KW0243107991948BR"/>
    <s v="BV"/>
    <d v="2025-08-06T00:00:00"/>
    <s v="Transp 2"/>
    <n v="888700170419191"/>
    <x v="1"/>
    <s v="Brasil"/>
    <d v="2025-07-28T00:00:00"/>
    <s v="Entregue"/>
    <x v="0"/>
    <s v="-"/>
    <x v="0"/>
    <s v="Olá Nome, _x000a_Identificamos que o Item Bolsa térmica foi entregue no dia 28/07/2025, referente ao pedido Nº Pedido 2045 Rastreio 888700170419191, agradecemos a preferência e adoraríamos receber sua avaliação, tendo qualquer dúvida estamos à disposição._x000a__x000a_Att_x000a_Tem tudo Shop"/>
  </r>
  <r>
    <s v="Pedido 2050"/>
    <s v="CódRastreio1931"/>
    <s v="KW0242933241948BR"/>
    <s v="GO"/>
    <d v="2025-07-31T00:00:00"/>
    <s v="Transp 2"/>
    <n v="888700175242105"/>
    <x v="1"/>
    <s v="Brasil"/>
    <d v="2025-07-28T00:00:00"/>
    <s v="Entregue"/>
    <x v="0"/>
    <s v="-"/>
    <x v="0"/>
    <s v="Olá Nome, _x000a_Identificamos que o Item Bolsa térmica foi entregue no dia 28/07/2025, referente ao pedido Nº Pedido 2050 Rastreio 888700175242105, agradecemos a preferência e adoraríamos receber sua avaliação, tendo qualquer dúvida estamos à disposição._x000a__x000a_Att_x000a_Sec Variedades"/>
  </r>
  <r>
    <s v="Pedido 2051"/>
    <s v="CódRastreio1932"/>
    <s v="KW0243018775948BR"/>
    <s v="GO"/>
    <d v="2025-07-31T00:00:00"/>
    <s v="Transp 2"/>
    <n v="888700175321459"/>
    <x v="1"/>
    <s v="Brasil"/>
    <d v="2025-07-28T00:00:00"/>
    <s v="Entregue"/>
    <x v="0"/>
    <s v="-"/>
    <x v="0"/>
    <s v="Olá Nome, _x000a_Identificamos que o Item Bolsa térmica foi entregue no dia 28/07/2025, referente ao pedido Nº Pedido 2051 Rastreio 888700175321459, agradecemos a preferência e adoraríamos receber sua avaliação, tendo qualquer dúvida estamos à disposição._x000a__x000a_Att_x000a_Sec Variedades"/>
  </r>
  <r>
    <s v="Pedido 2052"/>
    <s v="CódRastreio1933"/>
    <s v="KW0242934110948BR"/>
    <s v="GO"/>
    <d v="2025-08-06T00:00:00"/>
    <s v="Transp 2"/>
    <n v="888700175471912"/>
    <x v="1"/>
    <s v="Brasil"/>
    <d v="2025-07-28T00:00:00"/>
    <s v="Entregue"/>
    <x v="0"/>
    <s v="-"/>
    <x v="0"/>
    <s v="Olá Nome, _x000a_Identificamos que o Item Bolsa térmica foi entregue no dia 28/07/2025, referente ao pedido Nº Pedido 2052 Rastreio 888700175471912, agradecemos a preferência e adoraríamos receber sua avaliação, tendo qualquer dúvida estamos à disposição._x000a__x000a_Att_x000a_Sec Variedades"/>
  </r>
  <r>
    <s v="Pedido 2053"/>
    <s v="CódRastreio1934"/>
    <s v="KW0243107995948BR"/>
    <s v="GO"/>
    <d v="2025-08-06T00:00:00"/>
    <s v="Transp 2"/>
    <n v="888700161666467"/>
    <x v="1"/>
    <s v="Brasil"/>
    <d v="2025-07-29T00:00:00"/>
    <s v="Entregue"/>
    <x v="0"/>
    <s v="-"/>
    <x v="0"/>
    <s v="Olá Nome, _x000a_Identificamos que o Item Bolsa térmica foi entregue no dia 29/07/2025, referente ao pedido Nº Pedido 2053 Rastreio 888700161666467, agradecemos a preferência e adoraríamos receber sua avaliação, tendo qualquer dúvida estamos à disposição._x000a__x000a_Att_x000a_Sec Variedades"/>
  </r>
  <r>
    <s v="Pedido 2054"/>
    <s v="CódRastreio1935"/>
    <s v="KW0243017365948BR"/>
    <s v="GO"/>
    <d v="2025-08-12T00:00:00"/>
    <s v="Transp 2"/>
    <n v="888700175312208"/>
    <x v="1"/>
    <s v="Brasil"/>
    <d v="2025-07-29T00:00:00"/>
    <s v="Entregue"/>
    <x v="0"/>
    <s v="-"/>
    <x v="0"/>
    <s v="Olá Nome, _x000a_Identificamos que o Item Bolsa térmica foi entregue no dia 29/07/2025, referente ao pedido Nº Pedido 2054 Rastreio 888700175312208, agradecemos a preferência e adoraríamos receber sua avaliação, tendo qualquer dúvida estamos à disposição._x000a__x000a_Att_x000a_Sec Variedades"/>
  </r>
  <r>
    <s v="Pedido 2055"/>
    <s v="CódRastreio1936"/>
    <s v="KW0242932960948BR"/>
    <s v="GO"/>
    <d v="2025-07-31T00:00:00"/>
    <s v="Transp 2"/>
    <n v="888700175523720"/>
    <x v="1"/>
    <s v="Brasil"/>
    <d v="2025-07-28T00:00:00"/>
    <s v="Entregue"/>
    <x v="0"/>
    <s v="-"/>
    <x v="0"/>
    <s v="Olá Nome, _x000a_Identificamos que o Item Bolsa térmica foi entregue no dia 28/07/2025, referente ao pedido Nº Pedido 2055 Rastreio 888700175523720, agradecemos a preferência e adoraríamos receber sua avaliação, tendo qualquer dúvida estamos à disposição._x000a__x000a_Att_x000a_Sec Variedades"/>
  </r>
  <r>
    <s v="Pedido 2056"/>
    <s v="CódRastreio1937"/>
    <s v="KW0242934112948BR"/>
    <s v="GO"/>
    <d v="2025-08-05T00:00:00"/>
    <s v="Transp 2"/>
    <n v="888700175765134"/>
    <x v="1"/>
    <s v="Brasil"/>
    <d v="2025-07-28T00:00:00"/>
    <s v="Entregue"/>
    <x v="0"/>
    <s v="-"/>
    <x v="0"/>
    <s v="Olá Nome, _x000a_Identificamos que o Item Bolsa térmica foi entregue no dia 28/07/2025, referente ao pedido Nº Pedido 2056 Rastreio 888700175765134, agradecemos a preferência e adoraríamos receber sua avaliação, tendo qualquer dúvida estamos à disposição._x000a__x000a_Att_x000a_Sec Variedades"/>
  </r>
  <r>
    <s v="Pedido 2057"/>
    <s v="CódRastreio1938"/>
    <s v="KW0243017719948BR"/>
    <s v="GO"/>
    <d v="2025-08-01T00:00:00"/>
    <s v="Transp 2"/>
    <n v="888700171279352"/>
    <x v="1"/>
    <s v="Brasil"/>
    <d v="2025-07-28T00:00:00"/>
    <s v="Entregue"/>
    <x v="0"/>
    <s v="-"/>
    <x v="0"/>
    <s v="Olá Nome, _x000a_Identificamos que o Item Bolsa térmica foi entregue no dia 28/07/2025, referente ao pedido Nº Pedido 2057 Rastreio 888700171279352, agradecemos a preferência e adoraríamos receber sua avaliação, tendo qualquer dúvida estamos à disposição._x000a__x000a_Att_x000a_Sec Variedades"/>
  </r>
  <r>
    <s v="Pedido 2058"/>
    <s v="CódRastreio1939"/>
    <s v="KW0242933694948BR"/>
    <s v="GO"/>
    <d v="2025-08-07T00:00:00"/>
    <s v="Transp 2"/>
    <n v="888700174039480"/>
    <x v="1"/>
    <s v="Brasil"/>
    <d v="2025-07-31T00:00:00"/>
    <s v="Entregue"/>
    <x v="0"/>
    <s v="-"/>
    <x v="0"/>
    <s v="Olá Nome, _x000a_Identificamos que o Item Bolsa térmica foi entregue no dia 31/07/2025, referente ao pedido Nº Pedido 2058 Rastreio 888700174039480, agradecemos a preferência e adoraríamos receber sua avaliação, tendo qualquer dúvida estamos à disposição._x000a__x000a_Att_x000a_Sec Variedades"/>
  </r>
  <r>
    <s v="Pedido 2059"/>
    <s v="CódRastreio1940"/>
    <s v="KW0243108702948BR"/>
    <s v="GO"/>
    <d v="2025-08-01T00:00:00"/>
    <s v="Transp 2"/>
    <n v="888700173249185"/>
    <x v="1"/>
    <s v="Brasil"/>
    <d v="2025-07-28T00:00:00"/>
    <s v="Entregue"/>
    <x v="0"/>
    <s v="-"/>
    <x v="0"/>
    <s v="Olá Nome, _x000a_Identificamos que o Item Bolsa térmica foi entregue no dia 28/07/2025, referente ao pedido Nº Pedido 2059 Rastreio 888700173249185, agradecemos a preferência e adoraríamos receber sua avaliação, tendo qualquer dúvida estamos à disposição._x000a__x000a_Att_x000a_Sec Variedades"/>
  </r>
  <r>
    <s v="Pedido 2060"/>
    <s v="CódRastreio1941"/>
    <s v="KW0243019165948BR"/>
    <s v="GO"/>
    <d v="2025-08-07T00:00:00"/>
    <s v="Transp 2"/>
    <n v="888700175251723"/>
    <x v="1"/>
    <s v="Brasil"/>
    <d v="2025-07-29T00:00:00"/>
    <s v="Entregue"/>
    <x v="0"/>
    <s v="-"/>
    <x v="0"/>
    <s v="Olá Nome, _x000a_Identificamos que o Item Bolsa térmica foi entregue no dia 29/07/2025, referente ao pedido Nº Pedido 2060 Rastreio 888700175251723, agradecemos a preferência e adoraríamos receber sua avaliação, tendo qualquer dúvida estamos à disposição._x000a__x000a_Att_x000a_Sec Variedades"/>
  </r>
  <r>
    <s v="Pedido 2061"/>
    <s v="CódRastreio1942"/>
    <s v="KW0242933247948BR"/>
    <s v="GO"/>
    <d v="2025-08-01T00:00:00"/>
    <s v="Transp 2"/>
    <n v="888700161050755"/>
    <x v="1"/>
    <s v="Brasil"/>
    <d v="2025-07-27T00:00:00"/>
    <s v="Entregue"/>
    <x v="0"/>
    <s v="-"/>
    <x v="0"/>
    <s v="Olá Nome, _x000a_Identificamos que o Item Bolsa térmica foi entregue no dia 27/07/2025, referente ao pedido Nº Pedido 2061 Rastreio 888700161050755, agradecemos a preferência e adoraríamos receber sua avaliação, tendo qualquer dúvida estamos à disposição._x000a__x000a_Att_x000a_Sec Variedades"/>
  </r>
  <r>
    <s v="Pedido 2062"/>
    <s v="CódRastreio1943"/>
    <s v="KW0243108391948BR"/>
    <s v="GO"/>
    <d v="2025-08-07T00:00:00"/>
    <s v="Transp 2"/>
    <n v="888700169382165"/>
    <x v="1"/>
    <s v="Brasil"/>
    <d v="2025-07-28T00:00:00"/>
    <s v="Entregue"/>
    <x v="0"/>
    <s v="-"/>
    <x v="0"/>
    <s v="Olá Nome, _x000a_Identificamos que o Item Bolsa térmica foi entregue no dia 28/07/2025, referente ao pedido Nº Pedido 2062 Rastreio 888700169382165, agradecemos a preferência e adoraríamos receber sua avaliação, tendo qualquer dúvida estamos à disposição._x000a__x000a_Att_x000a_Sec Variedades"/>
  </r>
  <r>
    <s v="Pedido 2063"/>
    <s v="CódRastreio1944"/>
    <s v="KW0243041177948BR"/>
    <s v="GO"/>
    <d v="2025-08-20T00:00:00"/>
    <s v="Transp 2"/>
    <n v="888700157853550"/>
    <x v="1"/>
    <s v="Brasil"/>
    <d v="2025-07-29T00:00:00"/>
    <s v="Entregue"/>
    <x v="0"/>
    <s v="-"/>
    <x v="0"/>
    <s v="Olá Nome, _x000a_Identificamos que o Item Bolsa térmica foi entregue no dia 29/07/2025, referente ao pedido Nº Pedido 2063 Rastreio 888700157853550, agradecemos a preferência e adoraríamos receber sua avaliação, tendo qualquer dúvida estamos à disposição._x000a__x000a_Att_x000a_Sec Variedades"/>
  </r>
  <r>
    <s v="Pedido 2064"/>
    <s v="CódRastreio1945"/>
    <s v="KW0243219342948BR"/>
    <s v="GO"/>
    <d v="2025-08-14T00:00:00"/>
    <s v="Transp 2"/>
    <n v="888700175208858"/>
    <x v="1"/>
    <s v="Brasil"/>
    <d v="2025-07-29T00:00:00"/>
    <s v="Entregue"/>
    <x v="0"/>
    <s v="-"/>
    <x v="0"/>
    <s v="Olá Nome, _x000a_Identificamos que o Item Bolsa térmica foi entregue no dia 29/07/2025, referente ao pedido Nº Pedido 2064 Rastreio 888700175208858, agradecemos a preferência e adoraríamos receber sua avaliação, tendo qualquer dúvida estamos à disposição._x000a__x000a_Att_x000a_Sec Variedades"/>
  </r>
  <r>
    <s v="Pedido 2065"/>
    <s v="CódRastreio1946"/>
    <s v="KW0243040644948BR"/>
    <s v="GO"/>
    <d v="2025-08-08T00:00:00"/>
    <s v="Transp 2"/>
    <n v="888700175791750"/>
    <x v="1"/>
    <s v="Brasil"/>
    <d v="2025-07-28T00:00:00"/>
    <s v="Entregue"/>
    <x v="0"/>
    <s v="-"/>
    <x v="0"/>
    <s v="Olá Nome, _x000a_Identificamos que o Item Bolsa térmica foi entregue no dia 28/07/2025, referente ao pedido Nº Pedido 2065 Rastreio 888700175791750, agradecemos a preferência e adoraríamos receber sua avaliação, tendo qualquer dúvida estamos à disposição._x000a__x000a_Att_x000a_Sec Variedades"/>
  </r>
  <r>
    <s v="Pedido 2067"/>
    <s v="CódRastreio1948"/>
    <s v="KW0243336419273BR"/>
    <s v="GO"/>
    <d v="2025-08-14T00:00:00"/>
    <s v="Transp 2"/>
    <n v="888700173304721"/>
    <x v="1"/>
    <s v="Brasil"/>
    <d v="2025-08-01T00:00:00"/>
    <s v="Entregue"/>
    <x v="0"/>
    <s v="-"/>
    <x v="0"/>
    <s v="Olá Nome, _x000a_Identificamos que o Item Ventilador Umidificador Preto foi entregue no dia 01/08/2025, referente ao pedido Nº Pedido 2067 Rastreio 888700173304721, agradecemos a preferência e adoraríamos receber sua avaliação, tendo qualquer dúvida estamos à disposição._x000a__x000a_Att_x000a_Sec Variedades"/>
  </r>
  <r>
    <s v="Pedido 2066"/>
    <s v="CódRastreio1947"/>
    <s v="KW0243609560948BR"/>
    <s v="GO"/>
    <d v="2025-08-08T00:00:00"/>
    <s v="Transp 2"/>
    <n v="888700175290643"/>
    <x v="1"/>
    <s v="Brasil"/>
    <d v="2025-08-01T00:00:00"/>
    <s v="Entregue"/>
    <x v="0"/>
    <s v="-"/>
    <x v="0"/>
    <s v="Olá Nome, _x000a_Identificamos que o Item Bolsa térmica foi entregue no dia 01/08/2025, referente ao pedido Nº Pedido 2066 Rastreio 888700175290643, agradecemos a preferência e adoraríamos receber sua avaliação, tendo qualquer dúvida estamos à disposição._x000a__x000a_Att_x000a_Sec Variedades"/>
  </r>
  <r>
    <s v="Pedido 2068"/>
    <s v="CódRastreio1949"/>
    <s v="KW0243341444948BR"/>
    <s v="GO"/>
    <d v="2025-08-12T00:00:00"/>
    <s v="Transp 2"/>
    <n v="888700169102243"/>
    <x v="1"/>
    <s v="Brasil"/>
    <d v="2025-08-01T00:00:00"/>
    <s v="Entregue"/>
    <x v="0"/>
    <s v="-"/>
    <x v="0"/>
    <s v="Olá Nome, _x000a_Identificamos que o Item Bolsa térmica foi entregue no dia 01/08/2025, referente ao pedido Nº Pedido 2068 Rastreio 888700169102243, agradecemos a preferência e adoraríamos receber sua avaliação, tendo qualquer dúvida estamos à disposição._x000a__x000a_Att_x000a_Sec Variedades"/>
  </r>
  <r>
    <s v="Pedido 2069"/>
    <s v="CódRastreio1950"/>
    <s v="KW0544180432804BR"/>
    <s v="BV"/>
    <d v="2025-08-16T00:00:00"/>
    <s v="Transp 2"/>
    <s v="-"/>
    <x v="1"/>
    <s v="Brasil"/>
    <d v="2025-08-14T00:00:00"/>
    <s v="Encaminhado"/>
    <x v="1"/>
    <s v="-"/>
    <x v="0"/>
    <s v="Olá Nome, _x000a_Identificamos que o Item Máquina de cortar cabelo dragão foi entregue no dia 14/08/2025, referente ao pedido Nº Pedido 2069 Rastreio Pedido 2069, agradecemos a preferência e adoraríamos receber sua avaliação, tendo qualquer dúvida estamos à disposição._x000a__x000a_Att_x000a_Tem tudo Shop"/>
  </r>
  <r>
    <s v="Pedido 2070"/>
    <s v="CódRastreio1951"/>
    <s v="AP00753641803479"/>
    <s v="BV"/>
    <d v="2025-08-29T00:00:00"/>
    <s v="Transp 1"/>
    <s v="CNBR00089769239"/>
    <x v="0"/>
    <s v="Brasil"/>
    <d v="2025-08-19T00:00:00"/>
    <s v="Entregue"/>
    <x v="0"/>
    <s v="-"/>
    <x v="0"/>
    <s v="Olá Nome, _x000a_Identificamos que o Item Máquina de cortar cabelo dragão foi entregue no dia 19/08/2025, referente ao pedido Nº Pedido 2070 Rastreio CNBR00089769239, agradecemos a preferência e adoraríamos receber sua avaliação, tendo qualquer dúvida estamos à disposição._x000a__x000a_Att_x000a_Tem tudo Shop"/>
  </r>
  <r>
    <s v="Pedido 2071"/>
    <s v="CódRastreio1952"/>
    <s v="KW0244187384948BR"/>
    <s v="GO"/>
    <d v="2025-08-30T00:00:00"/>
    <s v="Transp 2"/>
    <n v="888700180740992"/>
    <x v="1"/>
    <s v="Brasil"/>
    <d v="2025-08-14T00:00:00"/>
    <s v="Encaminhado"/>
    <x v="1"/>
    <s v="-"/>
    <x v="0"/>
    <s v="Olá Nome, _x000a_Identificamos que o Item Bolsa térmica foi entregue no dia 14/08/2025, referente ao pedido Nº Pedido 2071 Rastreio 888700180740992, agradecemos a preferência e adoraríamos receber sua avaliação, tendo qualquer dúvida estamos à disposição._x000a__x000a_Att_x000a_Sec Variedades"/>
  </r>
  <r>
    <s v="Pedido 2072"/>
    <s v="CódRastreio1953"/>
    <n v="888001055467855"/>
    <s v="GO"/>
    <d v="2025-08-27T00:00:00"/>
    <s v="Transp 2"/>
    <s v="-"/>
    <x v="1"/>
    <s v="Brasil"/>
    <d v="2025-08-12T00:00:00"/>
    <s v="Entregue"/>
    <x v="0"/>
    <s v="-"/>
    <x v="0"/>
    <s v="Olá Nome, _x000a_Identificamos que o Item Mini Liquidificador foi entregue no dia 12/08/2025, referente ao pedido Nº Pedido 2072 Rastreio Pedido 2072, agradecemos a preferência e adoraríamos receber sua avaliação, tendo qualquer dúvida estamos à disposição._x000a__x000a_Att_x000a_Sec Variedades"/>
  </r>
  <r>
    <s v="Pedido 2073"/>
    <s v="CódRastreio1954"/>
    <n v="888001072373100"/>
    <s v="GO"/>
    <d v="2025-09-03T00:00:00"/>
    <s v="Transp 2"/>
    <s v="-"/>
    <x v="1"/>
    <s v="Brasil"/>
    <d v="2025-08-20T00:00:00"/>
    <s v="Entregue"/>
    <x v="0"/>
    <s v="-"/>
    <x v="0"/>
    <s v="Olá Nome, _x000a_Identificamos que o Item Mini Liquidificador foi entregue no dia 20/08/2025, referente ao pedido Nº Pedido 2073 Rastreio Pedido 2073, agradecemos a preferência e adoraríamos receber sua avaliação, tendo qualquer dúvida estamos à disposição._x000a__x000a_Att_x000a_Sec Variedades"/>
  </r>
  <r>
    <s v="Pedido 2075"/>
    <s v="CódRastreio1956"/>
    <s v="AP00753004054697"/>
    <s v="BV"/>
    <d v="2025-08-30T00:00:00"/>
    <s v="Transp 1"/>
    <s v="CNBR00092368385"/>
    <x v="0"/>
    <s v="Brasil"/>
    <d v="2025-08-22T00:00:00"/>
    <s v="Entregue"/>
    <x v="0"/>
    <s v="-"/>
    <x v="0"/>
    <s v="Olá Nome, _x000a_Identificamos que o Item Bolsa térmica foi entregue no dia 22/08/2025, referente ao pedido Nº Pedido 2075 Rastreio CNBR00092368385, agradecemos a preferência e adoraríamos receber sua avaliação, tendo qualquer dúvida estamos à disposição._x000a__x000a_Att_x000a_Tem tudo Shop"/>
  </r>
  <r>
    <s v="Pedido 2076"/>
    <s v="CódRastreio1957"/>
    <s v="AP00753010703370"/>
    <s v="GO"/>
    <d v="2025-08-30T00:00:00"/>
    <s v="Transp 1"/>
    <s v="NM899146283BR"/>
    <x v="0"/>
    <s v="Brasil"/>
    <d v="2025-08-22T00:00:00"/>
    <s v="Entregue"/>
    <x v="0"/>
    <s v="-"/>
    <x v="0"/>
    <s v="Olá Nome, _x000a_Identificamos que o Item Luminária Rosa de mesa infantil foi entregue no dia 22/08/2025, referente ao pedido Nº Pedido 2076 Rastreio NM899146283BR, agradecemos a preferência e adoraríamos receber sua avaliação, tendo qualquer dúvida estamos à disposição._x000a__x000a_Att_x000a_Sec Variedades"/>
  </r>
  <r>
    <s v="Pedido 2074"/>
    <s v="CódRastreio1955"/>
    <s v="AP00752950517317"/>
    <s v="BV"/>
    <d v="2025-08-30T00:00:00"/>
    <s v="Transp 1"/>
    <s v="NM898979215BR"/>
    <x v="0"/>
    <s v="Brasil"/>
    <d v="2025-08-26T00:00:00"/>
    <s v="Encaminhado"/>
    <x v="3"/>
    <s v="Cliente Acionado"/>
    <x v="0"/>
    <s v="Olá Nome, _x000a_Identificamos que o Item Máquina de cortar cabelo dragão foi entregue no dia 26/08/2025, referente ao pedido Nº Pedido 2074 Rastreio NM898979215BR, agradecemos a preferência e adoraríamos receber sua avaliação, tendo qualquer dúvida estamos à disposição._x000a__x000a_Att_x000a_Tem tudo Shop"/>
  </r>
  <r>
    <s v="Pedido 2077"/>
    <s v="CódRastreio1958"/>
    <n v="888001078519260"/>
    <s v="GO"/>
    <d v="2025-09-09T00:00:00"/>
    <s v="Transp 2"/>
    <s v="-"/>
    <x v="1"/>
    <s v="Brasil"/>
    <d v="2025-08-22T00:00:00"/>
    <s v="Entregue"/>
    <x v="0"/>
    <s v="-"/>
    <x v="0"/>
    <s v="Olá Nome, _x000a_Identificamos que o Item Mini Liquidificador foi entregue no dia 22/08/2025, referente ao pedido Nº Pedido 2077 Rastreio Pedido 2077, agradecemos a preferência e adoraríamos receber sua avaliação, tendo qualquer dúvida estamos à disposição._x000a__x000a_Att_x000a_Sec Variedades"/>
  </r>
  <r>
    <s v="Pedido 2078"/>
    <s v="CódRastreio1959"/>
    <n v="888001091459797"/>
    <s v="GO"/>
    <d v="2025-08-30T00:00:00"/>
    <s v="Transp 2"/>
    <s v="-"/>
    <x v="1"/>
    <s v="Brasil"/>
    <d v="2025-08-27T00:00:00"/>
    <s v="Entregue"/>
    <x v="0"/>
    <s v="-"/>
    <x v="0"/>
    <s v="Olá Nome, _x000a_Identificamos que o Item Mini Liquidificador foi entregue no dia 27/08/2025, referente ao pedido Nº Pedido 2078 Rastreio Pedido 2078, agradecemos a preferência e adoraríamos receber sua avaliação, tendo qualquer dúvida estamos à disposição._x000a__x000a_Att_x000a_Sec Variedades"/>
  </r>
  <r>
    <s v="Pedido 2079"/>
    <s v="CódRastreio1960"/>
    <s v="NM902705965BR"/>
    <s v="GO"/>
    <d v="2025-09-12T00:00:00"/>
    <s v="Transp 1"/>
    <s v="-"/>
    <x v="0"/>
    <s v="Brasil"/>
    <d v="2025-08-26T00:00:00"/>
    <s v="Encaminhado"/>
    <x v="4"/>
    <s v="-"/>
    <x v="0"/>
    <s v="Olá Nome, _x000a_Identificamos que o Item Ventilador Rosa foi entregue no dia 26/08/2025, referente ao pedido Nº Pedido 2079 Rastreio Pedido 2079, agradecemos a preferência e adoraríamos receber sua avaliação, tendo qualquer dúvida estamos à disposição._x000a__x000a_Att_x000a_Sec Variedades"/>
  </r>
  <r>
    <s v="Pedido 2080"/>
    <s v="CódRastreio1961"/>
    <n v="888001087332201"/>
    <s v="GO"/>
    <d v="2025-09-08T00:00:00"/>
    <s v="Transp 2"/>
    <s v="-"/>
    <x v="1"/>
    <s v="Brasil"/>
    <d v="2025-08-25T00:00:00"/>
    <s v="Entregue"/>
    <x v="0"/>
    <s v="-"/>
    <x v="0"/>
    <s v="Olá Nome, _x000a_Identificamos que o Item Mini Liquidificador foi entregue no dia 25/08/2025, referente ao pedido Nº Pedido 2080 Rastreio Pedido 2080, agradecemos a preferência e adoraríamos receber sua avaliação, tendo qualquer dúvida estamos à disposição._x000a__x000a_Att_x000a_Sec Variedades"/>
  </r>
  <r>
    <s v="Pedido 2081"/>
    <s v="CódRastreio1962"/>
    <s v="AP00755437409682"/>
    <s v="GO"/>
    <d v="2025-09-25T00:00:00"/>
    <s v="Transp 1"/>
    <s v="NM910104565BR"/>
    <x v="0"/>
    <s v="Brasil"/>
    <d v="2025-08-27T00:00:00"/>
    <s v="Em análise na alfândega"/>
    <x v="4"/>
    <s v="-"/>
    <x v="0"/>
    <s v="Olá Nome, _x000a_Identificamos que o Item Brinquedo Bola Giratória voadora foi entregue no dia 27/08/2025, referente ao pedido Nº Pedido 2081 Rastreio NM910104565BR, agradecemos a preferência e adoraríamos receber sua avaliação, tendo qualquer dúvida estamos à disposição._x000a__x000a_Att_x000a_Sec Variedades"/>
  </r>
  <r>
    <s v="Pedido 2082"/>
    <s v="CódRastreio1963"/>
    <s v="AP00757586742428"/>
    <s v="GO"/>
    <d v="2025-09-12T00:00:00"/>
    <s v="Transp 1"/>
    <s v="NM910127779BR"/>
    <x v="0"/>
    <s v="Brasil"/>
    <d v="2025-08-27T00:00:00"/>
    <s v="Em análise na alfândega"/>
    <x v="4"/>
    <s v="-"/>
    <x v="0"/>
    <s v="Olá Nome, _x000a_Identificamos que o Item Brinquedo Bola Giratória voadora foi entregue no dia 27/08/2025, referente ao pedido Nº Pedido 2082 Rastreio NM910127779BR, agradecemos a preferência e adoraríamos receber sua avaliação, tendo qualquer dúvida estamos à disposição._x000a__x000a_Att_x000a_Sec Variedades"/>
  </r>
  <r>
    <s v="Pedido 2083"/>
    <s v="CódRastreio1964"/>
    <s v="AP00757562365090"/>
    <s v="MEI"/>
    <d v="2025-09-17T00:00:00"/>
    <s v="Transp 1"/>
    <s v="NM910131359BR"/>
    <x v="0"/>
    <s v="Brasil"/>
    <d v="2025-08-27T00:00:00"/>
    <s v="Em análise na alfândega"/>
    <x v="4"/>
    <s v="-"/>
    <x v="0"/>
    <s v="Olá Nome, _x000a_Identificamos que o Item Brinquedo Bola Giratória voadora foi entregue no dia 27/08/2025, referente ao pedido Nº Pedido 2083 Rastreio NM910131359BR, agradecemos a preferência e adoraríamos receber sua avaliação, tendo qualquer dúvida estamos à disposição._x000a__x000a_Att_x000a_NTA Variedades"/>
  </r>
  <r>
    <s v="Pedido 2084"/>
    <s v="CódRastreio1965"/>
    <s v="AP00757548733747"/>
    <s v="MEI"/>
    <d v="2025-09-12T00:00:00"/>
    <s v="Transp 1"/>
    <s v="NM910151923BR"/>
    <x v="0"/>
    <s v="Brasil"/>
    <d v="2025-08-27T00:00:00"/>
    <s v="Em análise na alfândega"/>
    <x v="4"/>
    <s v="-"/>
    <x v="0"/>
    <s v="Olá Nome, _x000a_Identificamos que o Item Brinquedo Bola Giratória voadora foi entregue no dia 27/08/2025, referente ao pedido Nº Pedido 2084 Rastreio NM910151923BR, agradecemos a preferência e adoraríamos receber sua avaliação, tendo qualquer dúvida estamos à disposição._x000a__x000a_Att_x000a_NTA Variedades"/>
  </r>
  <r>
    <s v="Pedido 2085"/>
    <s v="CódRastreio1966"/>
    <s v="AP00755452277847"/>
    <s v="MEI"/>
    <d v="2025-09-12T00:00:00"/>
    <s v="Transp 1"/>
    <s v="NM910171494BR"/>
    <x v="0"/>
    <s v="Brasil"/>
    <d v="2025-08-27T00:00:00"/>
    <s v="Em análise na alfândega"/>
    <x v="4"/>
    <s v="-"/>
    <x v="0"/>
    <s v="Olá Nome, _x000a_Identificamos que o Item Brinquedo Bola Giratória voadora foi entregue no dia 27/08/2025, referente ao pedido Nº Pedido 2085 Rastreio NM910171494BR, agradecemos a preferência e adoraríamos receber sua avaliação, tendo qualquer dúvida estamos à disposição._x000a__x000a_Att_x000a_NTA Variedades"/>
  </r>
  <r>
    <s v="Pedido 2086"/>
    <s v="CódRastreio1967"/>
    <s v="AP00756690573271"/>
    <s v="GO"/>
    <d v="2025-09-12T00:00:00"/>
    <s v="Transp 1"/>
    <s v="NM911206950BR"/>
    <x v="0"/>
    <s v="Brasil"/>
    <d v="2025-08-27T00:00:00"/>
    <s v="Processando no armazém"/>
    <x v="4"/>
    <s v="-"/>
    <x v="0"/>
    <s v="Olá Nome, _x000a_Identificamos que o Item Brinquedo Bola Giratória voadora foi entregue no dia 27/08/2025, referente ao pedido Nº Pedido 2086 Rastreio NM911206950BR, agradecemos a preferência e adoraríamos receber sua avaliação, tendo qualquer dúvida estamos à disposição._x000a__x000a_Att_x000a_Sec Variedades"/>
  </r>
  <r>
    <s v="Pedido 2087"/>
    <s v="CódRastreio1968"/>
    <s v="AP00758200951929"/>
    <s v="MEI"/>
    <d v="2025-09-17T00:00:00"/>
    <s v="Transp 1"/>
    <s v="-"/>
    <x v="0"/>
    <s v="Brasil"/>
    <d v="2025-08-29T00:00:00"/>
    <s v="-"/>
    <x v="4"/>
    <s v="-"/>
    <x v="0"/>
    <s v="Olá Nome, _x000a_Identificamos que o Item Brinquedo Bola Giratória voadora foi entregue no dia 29/08/2025, referente ao pedido Nº Pedido 2087 Rastreio Pedido 2087, agradecemos a preferência e adoraríamos receber sua avaliação, tendo qualquer dúvida estamos à disposição._x000a__x000a_Att_x000a_NTA Variedades"/>
  </r>
  <r>
    <s v="Pedido 2088"/>
    <s v="CódRastreio1969"/>
    <s v="AP00757297665991"/>
    <s v="MEI"/>
    <d v="2025-09-17T00:00:00"/>
    <s v="Transp 1"/>
    <s v="-"/>
    <x v="0"/>
    <s v="Brasil"/>
    <d v="2025-09-02T00:00:00"/>
    <s v="-"/>
    <x v="4"/>
    <s v="-"/>
    <x v="0"/>
    <s v="Olá Nome, _x000a_Identificamos que o Item Ventilador Rosa foi entregue no dia 02/09/2025, referente ao pedido Nº Pedido 2088 Rastreio Pedido 2088, agradecemos a preferência e adoraríamos receber sua avaliação, tendo qualquer dúvida estamos à disposição._x000a__x000a_Att_x000a_NTA Variedades"/>
  </r>
  <r>
    <s v="Pedido 2089"/>
    <s v="CódRastreio1970"/>
    <s v="AP00759367164543"/>
    <s v="MEI"/>
    <d v="2025-09-25T00:00:00"/>
    <s v="Transp 1"/>
    <s v="-"/>
    <x v="0"/>
    <s v="Brasil"/>
    <d v="2025-09-04T00:00:00"/>
    <s v="-"/>
    <x v="4"/>
    <s v="-"/>
    <x v="0"/>
    <s v="Olá Nome, _x000a_Identificamos que o Item Ventilador Rosa foi entregue no dia 04/09/2025, referente ao pedido Nº Pedido 2089 Rastreio Pedido 2089, agradecemos a preferência e adoraríamos receber sua avaliação, tendo qualquer dúvida estamos à disposição._x000a__x000a_Att_x000a_NTA Variedades"/>
  </r>
  <r>
    <s v="Pedido 2090"/>
    <s v="CódRastreio1971"/>
    <s v="AP00758308172212"/>
    <s v="MEI"/>
    <d v="2025-09-23T00:00:00"/>
    <s v="Transp 1"/>
    <s v="-"/>
    <x v="0"/>
    <s v="Brasil"/>
    <d v="2025-09-04T00:00:00"/>
    <s v="-"/>
    <x v="4"/>
    <s v="-"/>
    <x v="0"/>
    <s v="Olá Nome, _x000a_Identificamos que o Item Brinquedo Bola Giratória voadora foi entregue no dia 04/09/2025, referente ao pedido Nº Pedido 2090 Rastreio Pedido 2090, agradecemos a preferência e adoraríamos receber sua avaliação, tendo qualquer dúvida estamos à disposição._x000a__x000a_Att_x000a_NTA Variedades"/>
  </r>
  <r>
    <s v="Pedido 2091"/>
    <s v="CódRastreio1972"/>
    <n v="888001121903151"/>
    <s v="GO"/>
    <d v="2025-09-13T00:00:00"/>
    <s v="Transp 2"/>
    <s v="-"/>
    <x v="1"/>
    <s v="Brasil"/>
    <d v="2025-09-04T00:00:00"/>
    <s v="-"/>
    <x v="4"/>
    <s v="-"/>
    <x v="0"/>
    <s v="Olá Nome, _x000a_Identificamos que o Item Mini Liquidificador foi entregue no dia 04/09/2025, referente ao pedido Nº Pedido 2091 Rastreio Pedido 2091, agradecemos a preferência e adoraríamos receber sua avaliação, tendo qualquer dúvida estamos à disposição._x000a__x000a_Att_x000a_Sec Variedades"/>
  </r>
  <r>
    <s v="Pedido 2092"/>
    <s v="CódRastreio1973"/>
    <n v="888001120857654"/>
    <s v="GO"/>
    <d v="2025-09-16T00:00:00"/>
    <s v="Transp 2"/>
    <s v="-"/>
    <x v="1"/>
    <s v="Brasil"/>
    <d v="2025-09-04T00:00:00"/>
    <s v="-"/>
    <x v="4"/>
    <s v="-"/>
    <x v="0"/>
    <s v="Olá Nome, _x000a_Identificamos que o Item Mini Liquidificador foi entregue no dia 04/09/2025, referente ao pedido Nº Pedido 2092 Rastreio Pedido 2092, agradecemos a preferência e adoraríamos receber sua avaliação, tendo qualquer dúvida estamos à disposição._x000a__x000a_Att_x000a_Sec Variedades"/>
  </r>
  <r>
    <s v="Pedido 2093"/>
    <s v="CódRastreio1974"/>
    <n v="888001124641792"/>
    <s v="GO"/>
    <d v="2025-09-20T00:00:00"/>
    <s v="Transp 2"/>
    <s v="-"/>
    <x v="1"/>
    <s v="Brasil"/>
    <d v="2025-09-04T00:00:00"/>
    <s v="-"/>
    <x v="4"/>
    <s v="-"/>
    <x v="0"/>
    <s v="Olá Nome, _x000a_Identificamos que o Item Mini Liquidificador foi entregue no dia 04/09/2025, referente ao pedido Nº Pedido 2093 Rastreio Pedido 2093, agradecemos a preferência e adoraríamos receber sua avaliação, tendo qualquer dúvida estamos à disposição._x000a__x000a_Att_x000a_Sec Variedad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2">
  <r>
    <x v="0"/>
    <s v="BV-"/>
    <s v="Pedido 1"/>
    <d v="2024-12-01T00:00:00"/>
    <x v="0"/>
    <s v="-"/>
    <s v="-"/>
    <n v="1"/>
    <s v="CPF 1"/>
    <s v="Nome 1"/>
    <s v="Tel 1"/>
    <s v="Cep 1"/>
    <s v="Rua 1"/>
    <s v="Comp 1"/>
    <s v="Suporte de Celular Branco"/>
    <s v="16-4EDB-WMZF"/>
    <d v="2024-12-13T00:00:00"/>
    <n v="14.8"/>
    <n v="14.8"/>
    <n v="2.2200000000000002"/>
    <n v="12.58"/>
    <n v="0"/>
    <n v="0"/>
    <n v="0"/>
    <n v="0"/>
    <n v="12.58"/>
    <n v="6.29"/>
    <x v="0"/>
    <x v="0"/>
    <x v="0"/>
    <d v="2025-01-02T00:00:00"/>
    <x v="0"/>
    <x v="0"/>
    <x v="0"/>
    <s v="-"/>
    <s v="-"/>
    <x v="0"/>
    <s v="NÃO"/>
    <n v="0"/>
    <n v="0"/>
    <n v="0"/>
    <n v="0"/>
    <n v="0"/>
  </r>
  <r>
    <x v="0"/>
    <s v="BV-"/>
    <s v="Pedido 2"/>
    <d v="2024-12-01T00:00:00"/>
    <x v="0"/>
    <s v="-"/>
    <s v="-"/>
    <n v="1"/>
    <s v="CPF 2"/>
    <s v="Nome 2"/>
    <s v="Tel 2"/>
    <s v="Cep 2"/>
    <s v="Rua 2"/>
    <s v="Comp 2"/>
    <s v="Suporte de Celular Branco"/>
    <s v="16-4EDB-WMZF"/>
    <d v="2024-12-12T00:00:00"/>
    <n v="14.8"/>
    <n v="14.8"/>
    <n v="2.2200000000000002"/>
    <n v="12.58"/>
    <n v="0"/>
    <n v="0"/>
    <n v="0"/>
    <n v="0"/>
    <n v="12.58"/>
    <n v="6.29"/>
    <x v="1"/>
    <x v="1"/>
    <x v="0"/>
    <d v="2025-01-02T00:00:00"/>
    <x v="0"/>
    <x v="0"/>
    <x v="0"/>
    <s v="-"/>
    <s v="-"/>
    <x v="0"/>
    <s v="NÃO"/>
    <n v="0"/>
    <n v="0"/>
    <n v="0"/>
    <n v="0"/>
    <n v="0"/>
  </r>
  <r>
    <x v="0"/>
    <s v="BV-"/>
    <s v="Pedido 3"/>
    <d v="2024-12-01T00:00:00"/>
    <x v="0"/>
    <s v="-"/>
    <s v="-"/>
    <n v="1"/>
    <s v="CPF 3"/>
    <s v="Nome 3"/>
    <s v="Tel 3"/>
    <s v="Cep 3"/>
    <s v="Rua 3"/>
    <s v="Comp 3"/>
    <s v="Mini Liquidificador"/>
    <s v="CK-YL6M-P5Y6"/>
    <d v="2024-11-26T00:00:00"/>
    <n v="30.99"/>
    <n v="30.99"/>
    <n v="4.0286999999999997"/>
    <n v="26.96"/>
    <n v="0"/>
    <n v="0"/>
    <n v="0"/>
    <n v="0"/>
    <n v="26.96"/>
    <n v="13.48"/>
    <x v="2"/>
    <x v="2"/>
    <x v="1"/>
    <d v="2024-12-16T00:00:00"/>
    <x v="0"/>
    <x v="0"/>
    <x v="0"/>
    <s v="-"/>
    <s v="-"/>
    <x v="0"/>
    <s v="NÃO"/>
    <n v="0.81"/>
    <n v="0"/>
    <n v="0"/>
    <n v="0"/>
    <n v="0.81"/>
  </r>
  <r>
    <x v="0"/>
    <s v="BV-"/>
    <s v="Pedido 4"/>
    <d v="2024-12-01T00:00:00"/>
    <x v="0"/>
    <s v="-"/>
    <s v="-"/>
    <n v="1"/>
    <s v="CPF 4"/>
    <s v="Nome 4"/>
    <s v="Tel 4"/>
    <s v="Cep 4"/>
    <s v="Rua 4"/>
    <s v="Comp 4"/>
    <s v="Bomba d'agua"/>
    <s v="DJ-RO5O-43GF"/>
    <d v="2024-11-30T00:00:00"/>
    <n v="16.5"/>
    <n v="16.5"/>
    <n v="2.31"/>
    <n v="14.19"/>
    <n v="0"/>
    <n v="0"/>
    <n v="0"/>
    <n v="0"/>
    <n v="14.19"/>
    <n v="7.0949999999999998"/>
    <x v="3"/>
    <x v="3"/>
    <x v="1"/>
    <d v="2024-12-16T00:00:00"/>
    <x v="0"/>
    <x v="0"/>
    <x v="0"/>
    <s v="-"/>
    <s v="-"/>
    <x v="0"/>
    <s v="NÃO"/>
    <n v="0.46"/>
    <n v="0"/>
    <n v="0"/>
    <n v="0"/>
    <n v="0.46"/>
  </r>
  <r>
    <x v="0"/>
    <s v="BV-"/>
    <s v="Pedido 5"/>
    <d v="2024-12-01T00:00:00"/>
    <x v="0"/>
    <s v="-"/>
    <s v="-"/>
    <n v="1"/>
    <s v="CPF 5"/>
    <s v="Nome 5"/>
    <s v="Tel 5"/>
    <s v="Cep 5"/>
    <s v="Rua 5"/>
    <s v="Comp 5"/>
    <s v="Bomba d'agua"/>
    <s v="DJ-RO5O-43GF"/>
    <d v="2024-11-09T00:00:00"/>
    <n v="16.989999999999998"/>
    <n v="16.989999999999998"/>
    <n v="2.3786"/>
    <n v="14.61"/>
    <n v="0"/>
    <n v="0"/>
    <n v="0"/>
    <n v="0"/>
    <n v="14.61"/>
    <n v="7.3049999999999997"/>
    <x v="4"/>
    <x v="4"/>
    <x v="2"/>
    <d v="2024-11-22T00:00:00"/>
    <x v="1"/>
    <x v="0"/>
    <x v="0"/>
    <s v="-"/>
    <s v="-"/>
    <x v="0"/>
    <s v="NÃO"/>
    <n v="0.48"/>
    <n v="0"/>
    <n v="0"/>
    <n v="0"/>
    <n v="0.48"/>
  </r>
  <r>
    <x v="0"/>
    <s v="BV-"/>
    <s v="Pedido 6"/>
    <d v="2024-12-01T00:00:00"/>
    <x v="0"/>
    <s v="-"/>
    <s v="-"/>
    <n v="1"/>
    <s v="CPF 6"/>
    <s v="Nome 6"/>
    <s v="Tel 6"/>
    <s v="Cep 6"/>
    <s v="Rua 6"/>
    <s v="Comp 6"/>
    <s v="Mini Liquidificador"/>
    <s v="CK-YL6M-P5Y6"/>
    <d v="2024-11-14T00:00:00"/>
    <n v="31.99"/>
    <n v="31.99"/>
    <n v="4.1586999999999996"/>
    <n v="27.83"/>
    <n v="0"/>
    <n v="0"/>
    <n v="0"/>
    <n v="0"/>
    <n v="27.83"/>
    <n v="13.914999999999999"/>
    <x v="5"/>
    <x v="5"/>
    <x v="2"/>
    <d v="2024-11-22T00:00:00"/>
    <x v="1"/>
    <x v="0"/>
    <x v="0"/>
    <s v="-"/>
    <s v="-"/>
    <x v="0"/>
    <s v="NÃO"/>
    <n v="0.83"/>
    <n v="0"/>
    <n v="0"/>
    <n v="0"/>
    <n v="0.83"/>
  </r>
  <r>
    <x v="0"/>
    <s v="BV-"/>
    <s v="Pedido 7"/>
    <d v="2024-12-01T00:00:00"/>
    <x v="0"/>
    <s v="-"/>
    <s v="-"/>
    <n v="1"/>
    <s v="CPF 7"/>
    <s v="Nome 7"/>
    <s v="Tel 7"/>
    <s v="Cep 7"/>
    <s v="Rua 7"/>
    <s v="Comp 7"/>
    <s v="Ventilador Rosa"/>
    <s v="IF-G2ZQ-79FO"/>
    <d v="2024-11-14T00:00:00"/>
    <n v="59.99"/>
    <n v="59.99"/>
    <n v="7.7987000000000002"/>
    <n v="52.19"/>
    <n v="0"/>
    <n v="0"/>
    <n v="0"/>
    <n v="0"/>
    <n v="52.19"/>
    <n v="26.094999999999999"/>
    <x v="5"/>
    <x v="5"/>
    <x v="2"/>
    <d v="2024-11-22T00:00:00"/>
    <x v="1"/>
    <x v="0"/>
    <x v="0"/>
    <s v="-"/>
    <s v="-"/>
    <x v="0"/>
    <s v="NÃO"/>
    <n v="1.56"/>
    <n v="0"/>
    <n v="0"/>
    <n v="0"/>
    <n v="1.56"/>
  </r>
  <r>
    <x v="0"/>
    <s v="BV-"/>
    <s v="Pedido 8"/>
    <d v="2024-12-01T00:00:00"/>
    <x v="0"/>
    <s v="-"/>
    <s v="-"/>
    <n v="1"/>
    <s v="CPF 8"/>
    <s v="Nome 8"/>
    <s v="Tel 8"/>
    <s v="Cep 8"/>
    <s v="Rua 8"/>
    <s v="Comp 8"/>
    <s v="Mini Liquidificador"/>
    <s v="CK-YL6M-P5Y6"/>
    <d v="2024-11-06T00:00:00"/>
    <n v="26.99"/>
    <n v="26.99"/>
    <n v="3.5086999999999997"/>
    <n v="23.48"/>
    <n v="0"/>
    <n v="0"/>
    <n v="0"/>
    <n v="0"/>
    <n v="23.48"/>
    <n v="11.74"/>
    <x v="6"/>
    <x v="6"/>
    <x v="3"/>
    <d v="2024-11-22T00:00:00"/>
    <x v="1"/>
    <x v="0"/>
    <x v="0"/>
    <s v="-"/>
    <s v="-"/>
    <x v="0"/>
    <s v="NÃO"/>
    <n v="0.7"/>
    <n v="0"/>
    <n v="0"/>
    <n v="0"/>
    <n v="0.7"/>
  </r>
  <r>
    <x v="0"/>
    <s v="BV-"/>
    <s v="Pedido 9"/>
    <d v="2024-12-01T00:00:00"/>
    <x v="0"/>
    <s v="-"/>
    <s v="-"/>
    <n v="1"/>
    <s v="CPF 9"/>
    <s v="Nome 9"/>
    <s v="Tel 9"/>
    <s v="Cep 9"/>
    <s v="Rua 9"/>
    <s v="Comp 9"/>
    <s v="Suporte de Celular Branco"/>
    <s v="16-4EDB-WMZF"/>
    <d v="2024-11-15T00:00:00"/>
    <n v="14.99"/>
    <n v="14.99"/>
    <n v="2.2484999999999999"/>
    <n v="12.74"/>
    <n v="0"/>
    <n v="0"/>
    <n v="0"/>
    <n v="0"/>
    <n v="12.74"/>
    <n v="6.37"/>
    <x v="7"/>
    <x v="7"/>
    <x v="4"/>
    <d v="2024-11-29T00:00:00"/>
    <x v="1"/>
    <x v="0"/>
    <x v="0"/>
    <s v="-"/>
    <s v="-"/>
    <x v="0"/>
    <s v="NÃO"/>
    <n v="0"/>
    <n v="0"/>
    <n v="0"/>
    <n v="0"/>
    <n v="0"/>
  </r>
  <r>
    <x v="0"/>
    <s v="BV45585"/>
    <s v="Pedido 10"/>
    <d v="2024-10-20T00:00:00"/>
    <x v="1"/>
    <s v="PedidoF1"/>
    <s v="CódRastreio1"/>
    <n v="1"/>
    <s v="CPF 10"/>
    <s v="Nome 10"/>
    <s v="Tel 10"/>
    <s v="Cep 10"/>
    <s v="Rua 10"/>
    <s v="Comp 10"/>
    <s v="Suporte de Celular Branco"/>
    <s v="16-4EDB-WMZF"/>
    <d v="2024-11-05T00:00:00"/>
    <n v="14.99"/>
    <n v="14.99"/>
    <n v="2.2484999999999999"/>
    <n v="12.74"/>
    <n v="4.99"/>
    <n v="0.6"/>
    <n v="0.39877104377104378"/>
    <n v="0"/>
    <n v="6.7512289562289567"/>
    <n v="3.3756144781144783"/>
    <x v="8"/>
    <x v="8"/>
    <x v="3"/>
    <d v="2024-11-22T00:00:00"/>
    <x v="1"/>
    <x v="0"/>
    <x v="1"/>
    <s v="ENTREGUE"/>
    <d v="2024-10-29T00:00:00"/>
    <x v="0"/>
    <s v="-"/>
    <n v="0"/>
    <n v="0"/>
    <n v="0"/>
    <n v="0"/>
    <n v="0"/>
  </r>
  <r>
    <x v="0"/>
    <s v="BV45586"/>
    <s v="Pedido 11"/>
    <d v="2024-10-21T00:00:00"/>
    <x v="2"/>
    <s v="PedidoF2"/>
    <s v="CódRastreio2"/>
    <n v="1"/>
    <s v="CPF 11"/>
    <s v="Nome 11"/>
    <s v="Tel 11"/>
    <s v="Cep 11"/>
    <s v="Rua 11"/>
    <s v="Comp 11"/>
    <s v="Suporte de Celular Preto"/>
    <s v="9G-BN48-QAPH"/>
    <d v="2024-11-02T00:00:00"/>
    <n v="14.99"/>
    <n v="14.99"/>
    <n v="2.2484999999999999"/>
    <n v="12.74"/>
    <n v="4.99"/>
    <n v="0.56000000000000005"/>
    <n v="0.39877104377104378"/>
    <n v="0"/>
    <n v="6.7912289562289558"/>
    <n v="3.3956144781144779"/>
    <x v="9"/>
    <x v="9"/>
    <x v="3"/>
    <d v="2024-11-22T00:00:00"/>
    <x v="1"/>
    <x v="0"/>
    <x v="1"/>
    <s v="ENTREGUE"/>
    <d v="2024-10-24T00:00:00"/>
    <x v="0"/>
    <s v="-"/>
    <n v="0"/>
    <n v="0"/>
    <n v="0"/>
    <n v="0"/>
    <n v="0"/>
  </r>
  <r>
    <x v="0"/>
    <s v="BV45586"/>
    <s v="Pedido 12"/>
    <d v="2024-10-21T00:00:00"/>
    <x v="2"/>
    <s v="PedidoF3"/>
    <s v="CódRastreio3"/>
    <n v="1"/>
    <s v="CPF 12"/>
    <s v="Nome 12"/>
    <s v="Tel 12"/>
    <s v="Cep 12"/>
    <s v="Rua 12"/>
    <s v="Comp 12"/>
    <s v="Suporte de Celular Branco"/>
    <s v="16-4EDB-WMZF"/>
    <d v="2024-11-08T00:00:00"/>
    <n v="14.99"/>
    <n v="14.99"/>
    <n v="2.2484999999999999"/>
    <n v="12.74"/>
    <n v="4.99"/>
    <n v="0.56000000000000005"/>
    <n v="0.39877104377104378"/>
    <n v="0"/>
    <n v="6.7912289562289558"/>
    <n v="3.3956144781144779"/>
    <x v="10"/>
    <x v="10"/>
    <x v="2"/>
    <d v="2024-11-22T00:00:00"/>
    <x v="1"/>
    <x v="0"/>
    <x v="1"/>
    <s v="ENTREGUE"/>
    <d v="2024-10-28T00:00:00"/>
    <x v="0"/>
    <s v="-"/>
    <n v="0"/>
    <n v="0"/>
    <n v="0"/>
    <n v="0"/>
    <n v="0"/>
  </r>
  <r>
    <x v="0"/>
    <s v="BV45586"/>
    <s v="Pedido 13"/>
    <d v="2024-10-21T00:00:00"/>
    <x v="2"/>
    <s v="PedidoF4"/>
    <s v="CódRastreio4"/>
    <n v="1"/>
    <s v="CPF 13"/>
    <s v="Nome 13"/>
    <s v="Tel 13"/>
    <s v="Cep 13"/>
    <s v="Rua 13"/>
    <s v="Comp 13"/>
    <s v="Suporte de Celular Preto"/>
    <s v="9G-BN48-QAPH"/>
    <d v="2024-11-02T00:00:00"/>
    <n v="14.99"/>
    <n v="14.99"/>
    <n v="2.2484999999999999"/>
    <n v="12.74"/>
    <n v="4.99"/>
    <n v="0.56000000000000005"/>
    <n v="0.39877104377104378"/>
    <n v="0"/>
    <n v="6.7912289562289558"/>
    <n v="3.3956144781144779"/>
    <x v="9"/>
    <x v="9"/>
    <x v="5"/>
    <d v="2024-11-22T00:00:00"/>
    <x v="1"/>
    <x v="0"/>
    <x v="1"/>
    <s v="ENTREGUE"/>
    <d v="2024-10-25T00:00:00"/>
    <x v="0"/>
    <s v="-"/>
    <n v="0"/>
    <n v="0"/>
    <n v="0"/>
    <n v="0"/>
    <n v="0"/>
  </r>
  <r>
    <x v="0"/>
    <s v="BV45586"/>
    <s v="Pedido 14"/>
    <d v="2024-10-21T00:00:00"/>
    <x v="2"/>
    <s v="PedidoF5"/>
    <s v="CódRastreio5"/>
    <n v="1"/>
    <s v="CPF 14"/>
    <s v="Nome 14"/>
    <s v="Tel 14"/>
    <s v="Cep 14"/>
    <s v="Rua 14"/>
    <s v="Comp 14"/>
    <s v="Suporte de Celular Preto"/>
    <s v="9G-BN48-QAPH"/>
    <d v="2024-11-14T00:00:00"/>
    <n v="14.99"/>
    <n v="14.99"/>
    <n v="2.2484999999999999"/>
    <n v="12.74"/>
    <n v="4.99"/>
    <n v="0.56000000000000005"/>
    <n v="0.39877104377104378"/>
    <n v="0"/>
    <n v="6.7912289562289558"/>
    <n v="3.3956144781144779"/>
    <x v="5"/>
    <x v="5"/>
    <x v="2"/>
    <d v="2024-11-22T00:00:00"/>
    <x v="1"/>
    <x v="0"/>
    <x v="1"/>
    <s v="ENTREGUE"/>
    <d v="2024-11-28T00:00:00"/>
    <x v="0"/>
    <s v="-"/>
    <n v="0"/>
    <n v="0"/>
    <n v="0"/>
    <n v="0"/>
    <n v="0"/>
  </r>
  <r>
    <x v="0"/>
    <s v="BV45586"/>
    <s v="Pedido 15"/>
    <d v="2024-10-21T00:00:00"/>
    <x v="2"/>
    <s v="PedidoF6"/>
    <s v="CódRastreio6"/>
    <n v="1"/>
    <s v="CPF 15"/>
    <s v="Nome 15"/>
    <s v="Tel 15"/>
    <s v="Cep 15"/>
    <s v="Rua 15"/>
    <s v="Comp 15"/>
    <s v="Bomba d'agua"/>
    <s v="DJ-RO5O-43GF"/>
    <d v="2024-11-14T00:00:00"/>
    <n v="17.329999999999998"/>
    <n v="17.329999999999998"/>
    <n v="2.4262000000000001"/>
    <n v="14.9"/>
    <n v="6.46"/>
    <n v="0.56000000000000005"/>
    <n v="0.39877104377104378"/>
    <n v="0"/>
    <n v="7.4812289562289571"/>
    <n v="3.7406144781144786"/>
    <x v="5"/>
    <x v="5"/>
    <x v="2"/>
    <d v="2024-11-22T00:00:00"/>
    <x v="1"/>
    <x v="0"/>
    <x v="1"/>
    <s v="ENTREGUE"/>
    <d v="2024-10-31T00:00:00"/>
    <x v="0"/>
    <s v="SIM"/>
    <n v="0"/>
    <n v="0"/>
    <n v="0"/>
    <n v="0"/>
    <n v="0"/>
  </r>
  <r>
    <x v="0"/>
    <s v="BV45586"/>
    <s v="Pedido 16"/>
    <d v="2024-10-21T00:00:00"/>
    <x v="2"/>
    <s v="PedidoF7"/>
    <s v="CódRastreio7"/>
    <n v="1"/>
    <s v="CPF 16"/>
    <s v="Nome 16"/>
    <s v="Tel 16"/>
    <s v="Cep 16"/>
    <s v="Rua 16"/>
    <s v="Comp 16"/>
    <s v="Bomba d'agua"/>
    <s v="DJ-RO5O-43GF"/>
    <d v="2024-11-14T00:00:00"/>
    <n v="17.329999999999998"/>
    <n v="17.329999999999998"/>
    <n v="2.4262000000000001"/>
    <n v="14.9"/>
    <n v="6.46"/>
    <n v="0.56000000000000005"/>
    <n v="0.39877104377104378"/>
    <n v="0"/>
    <n v="7.4812289562289571"/>
    <n v="3.7406144781144786"/>
    <x v="5"/>
    <x v="5"/>
    <x v="2"/>
    <d v="2024-11-22T00:00:00"/>
    <x v="1"/>
    <x v="0"/>
    <x v="1"/>
    <s v="ENTREGUE"/>
    <d v="2024-10-29T00:00:00"/>
    <x v="0"/>
    <s v="-"/>
    <n v="0"/>
    <n v="0"/>
    <n v="0"/>
    <n v="0"/>
    <n v="0"/>
  </r>
  <r>
    <x v="0"/>
    <s v="BV45586"/>
    <s v="Pedido 17"/>
    <d v="2024-10-21T00:00:00"/>
    <x v="2"/>
    <s v="PedidoF8"/>
    <s v="CódRastreio8"/>
    <n v="1"/>
    <s v="CPF 17"/>
    <s v="Nome 17"/>
    <s v="Tel 17"/>
    <s v="Cep 17"/>
    <s v="Rua 17"/>
    <s v="Comp 17"/>
    <s v="Bomba d'agua"/>
    <s v="DJ-RO5O-43GF"/>
    <d v="2024-11-08T00:00:00"/>
    <n v="17.329999999999998"/>
    <n v="17.329999999999998"/>
    <n v="2.4262000000000001"/>
    <n v="14.9"/>
    <n v="6.46"/>
    <n v="0.56000000000000005"/>
    <n v="0.39877104377104378"/>
    <n v="0"/>
    <n v="7.4812289562289571"/>
    <n v="3.7406144781144786"/>
    <x v="10"/>
    <x v="10"/>
    <x v="2"/>
    <d v="2024-11-22T00:00:00"/>
    <x v="1"/>
    <x v="0"/>
    <x v="1"/>
    <s v="ENTREGUE"/>
    <d v="2024-10-28T00:00:00"/>
    <x v="0"/>
    <s v="-"/>
    <n v="0"/>
    <n v="0"/>
    <n v="0"/>
    <n v="0"/>
    <n v="0"/>
  </r>
  <r>
    <x v="0"/>
    <s v="BV45586"/>
    <s v="Pedido 18"/>
    <d v="2024-10-21T00:00:00"/>
    <x v="2"/>
    <s v="PedidoF9"/>
    <s v="CódRastreio9"/>
    <n v="1"/>
    <s v="CPF 18"/>
    <s v="Nome 18"/>
    <s v="Tel 18"/>
    <s v="Cep 18"/>
    <s v="Rua 18"/>
    <s v="Comp 18"/>
    <s v="Suporte de Celular Branco"/>
    <s v="16-4EDB-WMZF"/>
    <d v="2024-11-14T00:00:00"/>
    <n v="14.99"/>
    <n v="14.99"/>
    <n v="2.2484999999999999"/>
    <n v="12.74"/>
    <n v="4.99"/>
    <n v="0.56000000000000005"/>
    <n v="0.39877104377104378"/>
    <n v="0"/>
    <n v="6.7912289562289558"/>
    <n v="3.3956144781144779"/>
    <x v="5"/>
    <x v="5"/>
    <x v="2"/>
    <d v="2024-11-22T00:00:00"/>
    <x v="1"/>
    <x v="0"/>
    <x v="1"/>
    <s v="ENTREGUE"/>
    <d v="2024-10-30T00:00:00"/>
    <x v="0"/>
    <s v="-"/>
    <n v="0"/>
    <n v="0"/>
    <n v="0"/>
    <n v="0"/>
    <n v="0"/>
  </r>
  <r>
    <x v="0"/>
    <s v="BV45587"/>
    <s v="Pedido 19"/>
    <d v="2024-10-22T00:00:00"/>
    <x v="3"/>
    <s v="PedidoF10"/>
    <s v="CódRastreio10"/>
    <n v="1"/>
    <s v="CPF 19"/>
    <s v="Nome 19"/>
    <s v="Tel 19"/>
    <s v="Cep 19"/>
    <s v="Rua 19"/>
    <s v="Comp 19"/>
    <s v="Bomba d'agua"/>
    <s v="DJ-RO5O-43GF"/>
    <d v="2024-11-09T00:00:00"/>
    <n v="17.329999999999998"/>
    <n v="17.329999999999998"/>
    <n v="2.4262000000000001"/>
    <n v="14.9"/>
    <n v="6.46"/>
    <n v="0.43"/>
    <n v="0.39877104377104378"/>
    <n v="0"/>
    <n v="7.611228956228957"/>
    <n v="3.8056144781144785"/>
    <x v="4"/>
    <x v="4"/>
    <x v="2"/>
    <d v="2024-11-22T00:00:00"/>
    <x v="1"/>
    <x v="0"/>
    <x v="1"/>
    <s v="ENTREGUE"/>
    <d v="2024-10-25T00:00:00"/>
    <x v="0"/>
    <s v="NÃO"/>
    <n v="0"/>
    <n v="0"/>
    <n v="0"/>
    <n v="0"/>
    <n v="0"/>
  </r>
  <r>
    <x v="0"/>
    <s v="BV45587"/>
    <s v="Pedido 20"/>
    <d v="2024-10-22T00:00:00"/>
    <x v="3"/>
    <s v="PedidoF11"/>
    <s v="CódRastreio11"/>
    <n v="1"/>
    <s v="CPF 20"/>
    <s v="Nome 20"/>
    <s v="Tel 20"/>
    <s v="Cep 20"/>
    <s v="Rua 20"/>
    <s v="Comp 20"/>
    <s v="Balança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x v="4"/>
    <x v="4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87"/>
    <s v="Pedido 21"/>
    <d v="2024-10-22T00:00:00"/>
    <x v="3"/>
    <s v="PedidoF12"/>
    <s v="CódRastreio12"/>
    <n v="1"/>
    <s v="CPF 21"/>
    <s v="Nome 21"/>
    <s v="Tel 21"/>
    <s v="Cep 21"/>
    <s v="Rua 21"/>
    <s v="Comp 21"/>
    <s v="Suporte de Celular Preto"/>
    <s v="9G-BN48-QAPH"/>
    <d v="2024-11-09T00:00:00"/>
    <n v="14.99"/>
    <n v="14.99"/>
    <n v="2.2484999999999999"/>
    <n v="12.74"/>
    <n v="4.99"/>
    <n v="0.43"/>
    <n v="0.39877104377104378"/>
    <n v="0"/>
    <n v="6.9212289562289566"/>
    <n v="3.4606144781144783"/>
    <x v="4"/>
    <x v="4"/>
    <x v="2"/>
    <d v="2024-11-22T00:00:00"/>
    <x v="1"/>
    <x v="0"/>
    <x v="1"/>
    <s v="ENTREGUE"/>
    <d v="2024-10-25T00:00:00"/>
    <x v="0"/>
    <s v="SIM"/>
    <n v="0"/>
    <n v="0"/>
    <n v="0"/>
    <n v="0"/>
    <n v="0"/>
  </r>
  <r>
    <x v="0"/>
    <s v="BV45587"/>
    <s v="Pedido 22"/>
    <d v="2024-10-22T00:00:00"/>
    <x v="3"/>
    <s v="PedidoF13"/>
    <s v="CódRastreio13"/>
    <n v="1"/>
    <s v="CPF 22"/>
    <s v="Nome 22"/>
    <s v="Tel 22"/>
    <s v="Cep 22"/>
    <s v="Rua 22"/>
    <s v="Comp 22"/>
    <s v="Balança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x v="4"/>
    <x v="4"/>
    <x v="2"/>
    <d v="2024-11-22T00:00:00"/>
    <x v="1"/>
    <x v="0"/>
    <x v="1"/>
    <s v="ENTREGUE"/>
    <d v="2024-10-26T00:00:00"/>
    <x v="0"/>
    <s v="NÃO"/>
    <n v="0"/>
    <n v="0"/>
    <n v="0"/>
    <n v="0"/>
    <n v="0"/>
  </r>
  <r>
    <x v="0"/>
    <s v="BV45588"/>
    <s v="Pedido 23"/>
    <d v="2024-10-23T00:00:00"/>
    <x v="4"/>
    <s v="PedidoF14"/>
    <s v="CódRastreio14"/>
    <n v="1"/>
    <s v="CPF 23"/>
    <s v="Nome 23"/>
    <s v="Tel 23"/>
    <s v="Cep 23"/>
    <s v="Rua 23"/>
    <s v="Comp 23"/>
    <s v="Bomba d'agua"/>
    <s v="DJ-RO5O-43GF"/>
    <d v="2024-11-12T00:00:00"/>
    <n v="17.329999999999998"/>
    <n v="17.329999999999998"/>
    <n v="2.4262000000000001"/>
    <n v="14.9"/>
    <n v="4.99"/>
    <n v="0.57999999999999996"/>
    <n v="0.39877104377104378"/>
    <n v="0"/>
    <n v="8.9312289562289564"/>
    <n v="4.4656144781144782"/>
    <x v="11"/>
    <x v="11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87"/>
    <s v="Pedido 24"/>
    <d v="2024-10-22T00:00:00"/>
    <x v="3"/>
    <s v="PedidoF15"/>
    <s v="CódRastreio15"/>
    <n v="1"/>
    <s v="CPF 9"/>
    <s v="Nome 9"/>
    <s v="Tel 9"/>
    <s v="Cep 9"/>
    <s v="Rua 9"/>
    <s v="Comp 9"/>
    <s v="Suporte de Celular Branco"/>
    <s v="16-4EDB-WMZF"/>
    <d v="2024-11-15T00:00:00"/>
    <n v="14.99"/>
    <n v="14.99"/>
    <n v="2.2484999999999999"/>
    <n v="12.74"/>
    <n v="4.99"/>
    <n v="0.43"/>
    <n v="0.39877104377104378"/>
    <n v="0"/>
    <n v="6.9212289562289566"/>
    <n v="3.4606144781144783"/>
    <x v="7"/>
    <x v="7"/>
    <x v="4"/>
    <d v="2024-11-29T00:00:00"/>
    <x v="1"/>
    <x v="0"/>
    <x v="1"/>
    <s v="ENTREGUE"/>
    <d v="2024-10-29T00:00:00"/>
    <x v="0"/>
    <s v="SIM"/>
    <n v="0"/>
    <n v="0"/>
    <n v="0"/>
    <n v="0"/>
    <n v="0"/>
  </r>
  <r>
    <x v="0"/>
    <s v="BV45587"/>
    <s v="Pedido 25"/>
    <d v="2024-10-22T00:00:00"/>
    <x v="3"/>
    <s v="PedidoF16"/>
    <s v="CódRastreio16"/>
    <n v="1"/>
    <s v="CPF 9"/>
    <s v="Nome 9"/>
    <s v="Tel 9"/>
    <s v="Cep 9"/>
    <s v="Rua 9"/>
    <s v="Comp 9"/>
    <s v="Suporte de Celular Branco"/>
    <s v="16-4EDB-WMZF"/>
    <d v="2024-11-15T00:00:00"/>
    <n v="14.99"/>
    <n v="14.99"/>
    <n v="2.2484999999999999"/>
    <n v="12.74"/>
    <n v="4.99"/>
    <n v="0.43"/>
    <n v="0.39877104377104378"/>
    <n v="0"/>
    <n v="6.9212289562289566"/>
    <n v="3.4606144781144783"/>
    <x v="7"/>
    <x v="7"/>
    <x v="4"/>
    <d v="2024-11-29T00:00:00"/>
    <x v="1"/>
    <x v="0"/>
    <x v="1"/>
    <s v="ENTREGUE"/>
    <d v="2024-10-29T00:00:00"/>
    <x v="0"/>
    <s v="NÃO"/>
    <n v="0"/>
    <n v="0"/>
    <n v="0"/>
    <n v="0"/>
    <n v="0"/>
  </r>
  <r>
    <x v="0"/>
    <s v="BV45587"/>
    <s v="Pedido 26"/>
    <d v="2024-10-22T00:00:00"/>
    <x v="3"/>
    <s v="PedidoF17"/>
    <s v="CódRastreio17"/>
    <n v="1"/>
    <s v="CPF 24"/>
    <s v="Nome 24"/>
    <s v="Tel 24"/>
    <s v="Cep 24"/>
    <s v="Rua 24"/>
    <s v="Comp 24"/>
    <s v="Balança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x v="4"/>
    <x v="4"/>
    <x v="2"/>
    <d v="2024-11-22T00:00:00"/>
    <x v="1"/>
    <x v="0"/>
    <x v="1"/>
    <s v="ENTREGUE"/>
    <d v="2024-10-28T00:00:00"/>
    <x v="0"/>
    <s v="NÃO"/>
    <n v="0"/>
    <n v="0"/>
    <n v="0"/>
    <n v="0"/>
    <n v="0"/>
  </r>
  <r>
    <x v="0"/>
    <s v="BV45587"/>
    <s v="Pedido 27"/>
    <d v="2024-10-22T00:00:00"/>
    <x v="3"/>
    <s v="PedidoF18"/>
    <s v="CódRastreio18"/>
    <n v="1"/>
    <s v="CPF 25"/>
    <s v="Nome 25"/>
    <s v="Tel 25"/>
    <s v="Cep 25"/>
    <s v="Rua 25"/>
    <s v="Comp 25"/>
    <s v="Bomba d'agua"/>
    <s v="DJ-RO5O-43GF"/>
    <d v="2024-11-09T00:00:00"/>
    <n v="17.329999999999998"/>
    <n v="17.329999999999998"/>
    <n v="2.4262000000000001"/>
    <n v="14.9"/>
    <n v="6.46"/>
    <n v="0.43"/>
    <n v="0.39877104377104378"/>
    <n v="0"/>
    <n v="7.611228956228957"/>
    <n v="3.8056144781144785"/>
    <x v="4"/>
    <x v="4"/>
    <x v="2"/>
    <d v="2024-11-22T00:00:00"/>
    <x v="1"/>
    <x v="0"/>
    <x v="1"/>
    <s v="ENTREGUE"/>
    <d v="2024-10-26T00:00:00"/>
    <x v="0"/>
    <s v="NÃO"/>
    <n v="0"/>
    <n v="0"/>
    <n v="0"/>
    <n v="0"/>
    <n v="0"/>
  </r>
  <r>
    <x v="0"/>
    <s v="BV45587"/>
    <s v="Pedido 28"/>
    <d v="2024-10-22T00:00:00"/>
    <x v="3"/>
    <s v="PedidoF19"/>
    <s v="CódRastreio19"/>
    <n v="1"/>
    <s v="CPF 26"/>
    <s v="Nome 26"/>
    <s v="Tel 26"/>
    <s v="Cep 26"/>
    <s v="Rua 26"/>
    <s v="Comp 26"/>
    <s v="Balança"/>
    <s v="P4-K63S-8KOM"/>
    <d v="2024-11-05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x v="8"/>
    <x v="8"/>
    <x v="3"/>
    <d v="2024-11-22T00:00:00"/>
    <x v="1"/>
    <x v="0"/>
    <x v="1"/>
    <s v="ENTREGUE"/>
    <d v="2024-10-25T00:00:00"/>
    <x v="0"/>
    <s v="-"/>
    <n v="0"/>
    <n v="0"/>
    <n v="0"/>
    <n v="0"/>
    <n v="0"/>
  </r>
  <r>
    <x v="0"/>
    <s v="BV45587"/>
    <s v="Pedido 29"/>
    <d v="2024-10-22T00:00:00"/>
    <x v="3"/>
    <s v="PedidoF20"/>
    <s v="CódRastreio20"/>
    <n v="1"/>
    <s v="CPF 27"/>
    <s v="Nome 27"/>
    <s v="Tel 27"/>
    <s v="Cep 27"/>
    <s v="Rua 27"/>
    <s v="Comp 27"/>
    <s v="Balança"/>
    <s v="P4-K63S-8KOM"/>
    <d v="2024-11-09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x v="4"/>
    <x v="4"/>
    <x v="2"/>
    <d v="2024-11-22T00:00:00"/>
    <x v="1"/>
    <x v="0"/>
    <x v="1"/>
    <s v="ENTREGUE"/>
    <d v="2024-10-29T00:00:00"/>
    <x v="0"/>
    <s v="-"/>
    <n v="0"/>
    <n v="0"/>
    <n v="0"/>
    <n v="0"/>
    <n v="0"/>
  </r>
  <r>
    <x v="0"/>
    <s v="BV45587"/>
    <s v="Pedido 30"/>
    <d v="2024-10-22T00:00:00"/>
    <x v="3"/>
    <s v="PedidoF21"/>
    <s v="CódRastreio21"/>
    <n v="1"/>
    <s v="CPF 28"/>
    <s v="Nome 28"/>
    <s v="Tel 28"/>
    <s v="Cep 28"/>
    <s v="Rua 28"/>
    <s v="Comp 28"/>
    <s v="Suporte de Celular Branco"/>
    <s v="16-4EDB-WMZF"/>
    <d v="2024-11-07T00:00:00"/>
    <n v="14.99"/>
    <n v="14.99"/>
    <n v="2.2484999999999999"/>
    <n v="12.74"/>
    <n v="4.99"/>
    <n v="0.43"/>
    <n v="0.39877104377104378"/>
    <n v="0"/>
    <n v="6.9212289562289566"/>
    <n v="3.4606144781144783"/>
    <x v="12"/>
    <x v="12"/>
    <x v="2"/>
    <d v="2024-11-22T00:00:00"/>
    <x v="1"/>
    <x v="0"/>
    <x v="1"/>
    <s v="ENTREGUE"/>
    <d v="2024-10-28T00:00:00"/>
    <x v="0"/>
    <s v="-"/>
    <n v="0"/>
    <n v="0"/>
    <n v="0"/>
    <n v="0"/>
    <n v="0"/>
  </r>
  <r>
    <x v="0"/>
    <s v="BV45587"/>
    <s v="Pedido 31"/>
    <d v="2024-10-22T00:00:00"/>
    <x v="3"/>
    <s v="PedidoF22"/>
    <s v="CódRastreio22"/>
    <n v="1"/>
    <s v="CPF 29"/>
    <s v="Nome 29"/>
    <s v="Tel 29"/>
    <s v="Cep 29"/>
    <s v="Rua 29"/>
    <s v="Comp 29"/>
    <s v="Balança"/>
    <s v="P4-K63S-8KOM"/>
    <d v="2024-11-05T00:00:00"/>
    <n v="17.989999999999998"/>
    <n v="17.989999999999998"/>
    <n v="2.3386999999999998"/>
    <n v="15.65"/>
    <n v="7.99"/>
    <n v="0.43"/>
    <n v="0.39877104377104378"/>
    <n v="0"/>
    <n v="6.8312289562289568"/>
    <n v="3.4156144781144784"/>
    <x v="8"/>
    <x v="8"/>
    <x v="3"/>
    <d v="2024-11-22T00:00:00"/>
    <x v="1"/>
    <x v="0"/>
    <x v="1"/>
    <s v="ENTREGUE"/>
    <d v="2024-10-26T00:00:00"/>
    <x v="0"/>
    <s v="NÃO"/>
    <n v="0"/>
    <n v="0"/>
    <n v="0"/>
    <n v="0"/>
    <n v="0"/>
  </r>
  <r>
    <x v="0"/>
    <s v="BV45587"/>
    <s v="Pedido 32"/>
    <d v="2024-10-22T00:00:00"/>
    <x v="3"/>
    <s v="PedidoF23"/>
    <s v="CódRastreio23"/>
    <n v="1"/>
    <s v="CPF 30"/>
    <s v="Nome 30"/>
    <s v="Tel 30"/>
    <s v="Cep 30"/>
    <s v="Rua 30"/>
    <s v="Comp 30"/>
    <s v="Bomba d'agua"/>
    <s v="DJ-RO5O-43GF"/>
    <d v="2024-11-05T00:00:00"/>
    <n v="19.329999999999998"/>
    <n v="19.329999999999998"/>
    <n v="2.7061999999999999"/>
    <n v="16.62"/>
    <n v="6.46"/>
    <n v="0.43"/>
    <n v="0.39877104377104378"/>
    <n v="0"/>
    <n v="9.3312289562289585"/>
    <n v="4.6656144781144793"/>
    <x v="8"/>
    <x v="8"/>
    <x v="3"/>
    <d v="2024-11-22T00:00:00"/>
    <x v="1"/>
    <x v="0"/>
    <x v="1"/>
    <s v="ENTREGUE"/>
    <d v="2024-10-25T00:00:00"/>
    <x v="0"/>
    <s v="NÃO"/>
    <n v="0"/>
    <n v="0"/>
    <n v="0"/>
    <n v="0"/>
    <n v="0"/>
  </r>
  <r>
    <x v="0"/>
    <s v="BV45587"/>
    <s v="Pedido 33"/>
    <d v="2024-10-22T00:00:00"/>
    <x v="3"/>
    <s v="PedidoF24"/>
    <s v="CódRastreio24"/>
    <n v="1"/>
    <s v="CPF 31"/>
    <s v="Nome 31"/>
    <s v="Tel 31"/>
    <s v="Cep 31"/>
    <s v="Rua 31"/>
    <s v="Comp 31"/>
    <s v="Suporte de Celular Branco"/>
    <s v="16-4EDB-WMZF"/>
    <d v="2024-11-15T00:00:00"/>
    <n v="14.99"/>
    <n v="14.99"/>
    <n v="2.2484999999999999"/>
    <n v="12.74"/>
    <n v="4.99"/>
    <n v="0.43"/>
    <n v="0.39877104377104378"/>
    <n v="0"/>
    <n v="6.9212289562289566"/>
    <n v="3.4606144781144783"/>
    <x v="7"/>
    <x v="7"/>
    <x v="4"/>
    <d v="2024-11-29T00:00:00"/>
    <x v="1"/>
    <x v="0"/>
    <x v="1"/>
    <s v="ENTREGUE"/>
    <d v="2024-10-30T00:00:00"/>
    <x v="0"/>
    <s v="NÃO"/>
    <n v="0"/>
    <n v="0"/>
    <n v="0"/>
    <n v="0"/>
    <n v="0"/>
  </r>
  <r>
    <x v="0"/>
    <s v="BV45587"/>
    <s v="Pedido 34"/>
    <d v="2024-10-22T00:00:00"/>
    <x v="3"/>
    <s v="PedidoF25"/>
    <s v="CódRastreio25"/>
    <n v="1"/>
    <s v="CPF 32"/>
    <s v="Nome 32"/>
    <s v="Tel 32"/>
    <s v="Cep 32"/>
    <s v="Rua 32"/>
    <s v="Comp 32"/>
    <s v="Bomba d'agua"/>
    <s v="DJ-RO5O-43GF"/>
    <d v="2024-11-09T00:00:00"/>
    <n v="17.329999999999998"/>
    <n v="17.329999999999998"/>
    <n v="2.4262000000000001"/>
    <n v="14.9"/>
    <n v="6.46"/>
    <n v="0.43"/>
    <n v="0.39877104377104378"/>
    <n v="0"/>
    <n v="7.611228956228957"/>
    <n v="3.8056144781144785"/>
    <x v="4"/>
    <x v="4"/>
    <x v="2"/>
    <d v="2024-11-22T00:00:00"/>
    <x v="1"/>
    <x v="0"/>
    <x v="1"/>
    <s v="ENTREGUE"/>
    <d v="2024-10-28T00:00:00"/>
    <x v="0"/>
    <s v="SIM"/>
    <n v="0"/>
    <n v="0"/>
    <n v="0"/>
    <n v="0"/>
    <n v="0"/>
  </r>
  <r>
    <x v="0"/>
    <s v="BV45588"/>
    <s v="Pedido 35"/>
    <d v="2024-10-23T00:00:00"/>
    <x v="4"/>
    <s v="PedidoF26"/>
    <s v="CódRastreio26"/>
    <n v="1"/>
    <s v="CPF 33"/>
    <s v="Nome 33"/>
    <s v="Tel 33"/>
    <s v="Cep 33"/>
    <s v="Rua 33"/>
    <s v="Comp 33"/>
    <s v="Balança"/>
    <s v="P4-K63S-8KOM"/>
    <d v="2024-11-09T00:00:00"/>
    <n v="17.989999999999998"/>
    <n v="17.989999999999998"/>
    <n v="2.3386999999999998"/>
    <n v="15.65"/>
    <n v="7.99"/>
    <n v="0.57999999999999996"/>
    <n v="0.39877104377104378"/>
    <n v="0"/>
    <n v="6.6812289562289564"/>
    <n v="3.3406144781144782"/>
    <x v="4"/>
    <x v="4"/>
    <x v="2"/>
    <d v="2024-11-22T00:00:00"/>
    <x v="1"/>
    <x v="0"/>
    <x v="1"/>
    <s v="ENTREGUE"/>
    <d v="2024-10-25T00:00:00"/>
    <x v="0"/>
    <s v="SIM"/>
    <n v="0"/>
    <n v="0"/>
    <n v="0"/>
    <n v="0"/>
    <n v="0"/>
  </r>
  <r>
    <x v="0"/>
    <s v="BV45588"/>
    <s v="Pedido 36"/>
    <d v="2024-10-23T00:00:00"/>
    <x v="4"/>
    <s v="PedidoF27"/>
    <s v="CódRastreio27"/>
    <n v="1"/>
    <s v="CPF 34"/>
    <s v="Nome 34"/>
    <s v="Tel 34"/>
    <s v="Cep 34"/>
    <s v="Rua 34"/>
    <s v="Comp 34"/>
    <s v="Balança"/>
    <s v="P4-K63S-8KOM"/>
    <d v="2024-11-06T00:00:00"/>
    <n v="17.3"/>
    <n v="17.3"/>
    <n v="2.2490000000000001"/>
    <n v="15.05"/>
    <n v="7.99"/>
    <n v="0.57999999999999996"/>
    <n v="0.39877104377104378"/>
    <n v="0"/>
    <n v="6.0812289562289568"/>
    <n v="3.0406144781144784"/>
    <x v="6"/>
    <x v="6"/>
    <x v="3"/>
    <d v="2024-11-22T00:00:00"/>
    <x v="1"/>
    <x v="0"/>
    <x v="1"/>
    <s v="ENTREGUE"/>
    <d v="2024-10-25T00:00:00"/>
    <x v="0"/>
    <s v="-"/>
    <n v="0"/>
    <n v="0"/>
    <n v="0"/>
    <n v="0"/>
    <n v="0"/>
  </r>
  <r>
    <x v="0"/>
    <s v="BV45588"/>
    <s v="Pedido 37"/>
    <d v="2024-10-23T00:00:00"/>
    <x v="4"/>
    <s v="PedidoF28"/>
    <s v="CódRastreio28"/>
    <n v="1"/>
    <s v="CPF 35"/>
    <s v="Nome 35"/>
    <s v="Tel 35"/>
    <s v="Cep 35"/>
    <s v="Rua 35"/>
    <s v="Comp 35"/>
    <s v="Balança"/>
    <s v="P4-K63S-8KOM"/>
    <d v="2024-11-09T00:00:00"/>
    <n v="17.3"/>
    <n v="17.3"/>
    <n v="2.2490000000000001"/>
    <n v="15.05"/>
    <n v="7.99"/>
    <n v="0.57999999999999996"/>
    <n v="0.39877104377104378"/>
    <n v="0"/>
    <n v="6.0812289562289568"/>
    <n v="3.0406144781144784"/>
    <x v="4"/>
    <x v="4"/>
    <x v="2"/>
    <d v="2024-11-22T00:00:00"/>
    <x v="1"/>
    <x v="0"/>
    <x v="1"/>
    <s v="ENTREGUE"/>
    <d v="2024-10-29T00:00:00"/>
    <x v="0"/>
    <s v="SIM"/>
    <n v="0"/>
    <n v="0"/>
    <n v="0"/>
    <n v="0"/>
    <n v="0"/>
  </r>
  <r>
    <x v="0"/>
    <s v="BV45588"/>
    <s v="Pedido 38"/>
    <d v="2024-10-23T00:00:00"/>
    <x v="4"/>
    <s v="PedidoF29"/>
    <s v="CódRastreio29"/>
    <n v="1"/>
    <s v="CPF 36"/>
    <s v="Nome 36"/>
    <s v="Tel 36"/>
    <s v="Cep 36"/>
    <s v="Rua 36"/>
    <s v="Comp 36"/>
    <s v="Suporte de Celular Branco"/>
    <s v="16-4EDB-WMZF"/>
    <d v="2024-11-12T00:00:00"/>
    <n v="15.99"/>
    <n v="15.99"/>
    <n v="2.3984999999999999"/>
    <n v="13.59"/>
    <n v="4.99"/>
    <n v="0.57999999999999996"/>
    <n v="0.39877104377104378"/>
    <n v="0"/>
    <n v="7.6212289562289559"/>
    <n v="3.810614478114478"/>
    <x v="11"/>
    <x v="11"/>
    <x v="2"/>
    <d v="2024-11-22T00:00:00"/>
    <x v="1"/>
    <x v="0"/>
    <x v="1"/>
    <s v="ENTREGUE"/>
    <d v="2024-10-31T00:00:00"/>
    <x v="0"/>
    <s v="SIM"/>
    <n v="0"/>
    <n v="0"/>
    <n v="0"/>
    <n v="0"/>
    <n v="0"/>
  </r>
  <r>
    <x v="0"/>
    <s v="BV45588"/>
    <s v="Pedido 39"/>
    <d v="2024-10-23T00:00:00"/>
    <x v="4"/>
    <s v="PedidoF30"/>
    <s v="CódRastreio30"/>
    <n v="1"/>
    <s v="CPF 37"/>
    <s v="Nome 37"/>
    <s v="Tel 37"/>
    <s v="Cep 37"/>
    <s v="Rua 37"/>
    <s v="Comp 37"/>
    <s v="Balança"/>
    <s v="P4-K63S-8KOM"/>
    <d v="2024-11-08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0"/>
    <x v="10"/>
    <x v="2"/>
    <d v="2024-11-22T00:00:00"/>
    <x v="1"/>
    <x v="0"/>
    <x v="1"/>
    <s v="ENTREGUE"/>
    <d v="2024-10-29T00:00:00"/>
    <x v="0"/>
    <s v="SIM"/>
    <n v="0"/>
    <n v="0"/>
    <n v="0"/>
    <n v="0"/>
    <n v="0"/>
  </r>
  <r>
    <x v="0"/>
    <s v="BV45588"/>
    <s v="Pedido 40"/>
    <d v="2024-10-23T00:00:00"/>
    <x v="4"/>
    <s v="PedidoF31"/>
    <s v="CódRastreio31"/>
    <n v="1"/>
    <s v="CPF 38"/>
    <s v="Nome 38"/>
    <s v="Tel 38"/>
    <s v="Cep 38"/>
    <s v="Rua 38"/>
    <s v="Comp 38"/>
    <s v="Balança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1"/>
    <x v="11"/>
    <x v="2"/>
    <d v="2024-11-22T00:00:00"/>
    <x v="1"/>
    <x v="0"/>
    <x v="1"/>
    <s v="ENTREGUE"/>
    <d v="2024-10-28T00:00:00"/>
    <x v="0"/>
    <s v="SIM"/>
    <n v="0"/>
    <n v="0"/>
    <n v="0"/>
    <n v="0"/>
    <n v="0"/>
  </r>
  <r>
    <x v="0"/>
    <s v="BV45589"/>
    <s v="Pedido 41"/>
    <d v="2024-10-24T00:00:00"/>
    <x v="5"/>
    <s v="PedidoF32"/>
    <s v="CódRastreio32"/>
    <n v="1"/>
    <s v="CPF 39"/>
    <s v="Nome 39"/>
    <s v="Tel 39"/>
    <s v="Cep 39"/>
    <s v="Rua 39"/>
    <s v="Comp 39"/>
    <s v="Balança"/>
    <s v="P4-K63S-8KOM"/>
    <d v="2024-11-08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x v="10"/>
    <x v="10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88"/>
    <s v="Pedido 42"/>
    <d v="2024-10-23T00:00:00"/>
    <x v="4"/>
    <s v="PedidoF33"/>
    <s v="CódRastreio33"/>
    <n v="1"/>
    <s v="CPF 40"/>
    <s v="Nome 40"/>
    <s v="Tel 40"/>
    <s v="Cep 40"/>
    <s v="Rua 40"/>
    <s v="Comp 40"/>
    <s v="Suporte de Celular Branco"/>
    <s v="16-4EDB-WMZF"/>
    <d v="2024-11-19T00:00:00"/>
    <n v="15.99"/>
    <n v="15.99"/>
    <n v="2.3984999999999999"/>
    <n v="13.59"/>
    <n v="4.99"/>
    <n v="0.57999999999999996"/>
    <n v="0.39877104377104378"/>
    <n v="0"/>
    <n v="7.6212289562289559"/>
    <n v="3.810614478114478"/>
    <x v="13"/>
    <x v="13"/>
    <x v="6"/>
    <d v="2024-11-29T00:00:00"/>
    <x v="1"/>
    <x v="0"/>
    <x v="1"/>
    <s v="ENTREGUE"/>
    <d v="2024-10-29T00:00:00"/>
    <x v="0"/>
    <s v="NÃO"/>
    <n v="0"/>
    <n v="0"/>
    <n v="0"/>
    <n v="0"/>
    <n v="0"/>
  </r>
  <r>
    <x v="0"/>
    <s v="BV45589"/>
    <s v="Pedido 43"/>
    <d v="2024-10-24T00:00:00"/>
    <x v="5"/>
    <s v="PedidoF34"/>
    <s v="CódRastreio34"/>
    <n v="1"/>
    <s v="CPF 41"/>
    <s v="Nome 41"/>
    <s v="Tel 41"/>
    <s v="Cep 41"/>
    <s v="Rua 41"/>
    <s v="Comp 41"/>
    <s v="Balança"/>
    <s v="P4-K63S-8KOM"/>
    <d v="2024-11-06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x v="6"/>
    <x v="6"/>
    <x v="3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88"/>
    <s v="Pedido 44"/>
    <d v="2024-10-23T00:00:00"/>
    <x v="4"/>
    <s v="PedidoF35"/>
    <s v="CódRastreio35"/>
    <n v="1"/>
    <s v="CPF 42"/>
    <s v="Nome 42"/>
    <s v="Tel 42"/>
    <s v="Cep 42"/>
    <s v="Rua 42"/>
    <s v="Comp 42"/>
    <s v="Suporte de Celular Preto"/>
    <s v="9G-BN48-QAPH"/>
    <d v="2024-11-12T00:00:00"/>
    <n v="15.99"/>
    <n v="15.99"/>
    <n v="2.3984999999999999"/>
    <n v="13.59"/>
    <n v="4.99"/>
    <n v="0.57999999999999996"/>
    <n v="0.39877104377104378"/>
    <n v="0"/>
    <n v="7.6212289562289559"/>
    <n v="3.810614478114478"/>
    <x v="11"/>
    <x v="11"/>
    <x v="2"/>
    <d v="2024-11-22T00:00:00"/>
    <x v="1"/>
    <x v="0"/>
    <x v="1"/>
    <s v="ENTREGUE"/>
    <d v="2024-10-28T00:00:00"/>
    <x v="0"/>
    <s v="NÃO"/>
    <n v="0"/>
    <n v="0"/>
    <n v="0"/>
    <n v="0"/>
    <n v="0"/>
  </r>
  <r>
    <x v="0"/>
    <s v="BV45588"/>
    <s v="Pedido 45"/>
    <d v="2024-10-23T00:00:00"/>
    <x v="4"/>
    <s v="PedidoF36"/>
    <s v="CódRastreio36"/>
    <n v="1"/>
    <s v="CPF 43"/>
    <s v="Nome 43"/>
    <s v="Tel 43"/>
    <s v="Cep 43"/>
    <s v="Rua 43"/>
    <s v="Comp 43"/>
    <s v="Suporte de Celular Branco"/>
    <s v="16-4EDB-WMZF"/>
    <d v="2024-11-12T00:00:00"/>
    <n v="15.99"/>
    <n v="15.99"/>
    <n v="2.3984999999999999"/>
    <n v="13.59"/>
    <n v="4.99"/>
    <n v="0.57999999999999996"/>
    <n v="0.39877104377104378"/>
    <n v="0"/>
    <n v="7.6212289562289559"/>
    <n v="3.810614478114478"/>
    <x v="11"/>
    <x v="11"/>
    <x v="2"/>
    <d v="2024-11-22T00:00:00"/>
    <x v="1"/>
    <x v="0"/>
    <x v="1"/>
    <s v="ENTREGUE"/>
    <d v="2024-10-28T00:00:00"/>
    <x v="0"/>
    <s v="NÃO"/>
    <n v="0"/>
    <n v="0"/>
    <n v="0"/>
    <n v="0"/>
    <n v="0"/>
  </r>
  <r>
    <x v="0"/>
    <s v="BV45588"/>
    <s v="Pedido 46"/>
    <d v="2024-10-23T00:00:00"/>
    <x v="4"/>
    <s v="PedidoF37"/>
    <s v="CódRastreio37"/>
    <n v="1"/>
    <s v="CPF 44"/>
    <s v="Nome 44"/>
    <s v="Tel 44"/>
    <s v="Cep 44"/>
    <s v="Rua 44"/>
    <s v="Comp 44"/>
    <s v="Balança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1"/>
    <x v="11"/>
    <x v="2"/>
    <d v="2024-11-22T00:00:00"/>
    <x v="1"/>
    <x v="0"/>
    <x v="1"/>
    <s v="ENTREGUE"/>
    <d v="2024-10-28T00:00:00"/>
    <x v="0"/>
    <s v="SIM"/>
    <n v="0"/>
    <n v="0"/>
    <n v="0"/>
    <n v="0"/>
    <n v="0"/>
  </r>
  <r>
    <x v="0"/>
    <s v="BV45589"/>
    <s v="Pedido 47"/>
    <d v="2024-10-24T00:00:00"/>
    <x v="5"/>
    <s v="PedidoF38"/>
    <s v="CódRastreio38"/>
    <n v="1"/>
    <s v="CPF 45"/>
    <s v="Nome 45"/>
    <s v="Tel 45"/>
    <s v="Cep 45"/>
    <s v="Rua 45"/>
    <s v="Comp 45"/>
    <s v="Balança"/>
    <s v="P4-K63S-8KOM"/>
    <d v="2024-11-06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x v="6"/>
    <x v="6"/>
    <x v="3"/>
    <d v="2024-11-22T00:00:00"/>
    <x v="1"/>
    <x v="0"/>
    <x v="1"/>
    <s v="ENTREGUE"/>
    <d v="2024-10-28T00:00:00"/>
    <x v="0"/>
    <s v="-"/>
    <n v="0"/>
    <n v="0"/>
    <n v="0"/>
    <n v="0"/>
    <n v="0"/>
  </r>
  <r>
    <x v="0"/>
    <s v="BV45588"/>
    <s v="Pedido 48"/>
    <d v="2024-10-23T00:00:00"/>
    <x v="4"/>
    <s v="PedidoF39"/>
    <s v="CódRastreio39"/>
    <n v="1"/>
    <s v="CPF 46"/>
    <s v="Nome 46"/>
    <s v="Tel 46"/>
    <s v="Cep 46"/>
    <s v="Rua 46"/>
    <s v="Comp 46"/>
    <s v="Balança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1"/>
    <x v="11"/>
    <x v="2"/>
    <d v="2024-11-22T00:00:00"/>
    <x v="1"/>
    <x v="0"/>
    <x v="1"/>
    <s v="ENTREGUE"/>
    <d v="2024-10-30T00:00:00"/>
    <x v="0"/>
    <s v="SIM"/>
    <n v="0"/>
    <n v="0"/>
    <n v="0"/>
    <n v="0"/>
    <n v="0"/>
  </r>
  <r>
    <x v="0"/>
    <s v="BV45588"/>
    <s v="Pedido 49"/>
    <d v="2024-10-23T00:00:00"/>
    <x v="4"/>
    <s v="PedidoF40"/>
    <s v="CódRastreio40"/>
    <n v="1"/>
    <s v="CPF 47"/>
    <s v="Nome 47"/>
    <s v="Tel 47"/>
    <s v="Cep 47"/>
    <s v="Rua 47"/>
    <s v="Comp 47"/>
    <s v="Balança"/>
    <s v="P4-K63S-8KOM"/>
    <d v="2024-11-19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3"/>
    <x v="13"/>
    <x v="6"/>
    <d v="2024-11-29T00:00:00"/>
    <x v="1"/>
    <x v="0"/>
    <x v="1"/>
    <s v="ENTREGUE"/>
    <d v="2024-10-31T00:00:00"/>
    <x v="0"/>
    <s v="NÃO"/>
    <n v="0"/>
    <n v="0"/>
    <n v="0"/>
    <n v="0"/>
    <n v="0"/>
  </r>
  <r>
    <x v="0"/>
    <s v="BV45588"/>
    <s v="Pedido 50"/>
    <d v="2024-10-23T00:00:00"/>
    <x v="4"/>
    <s v="PedidoF41"/>
    <s v="CódRastreio41"/>
    <n v="1"/>
    <s v="CPF 48"/>
    <s v="Nome 48"/>
    <s v="Tel 48"/>
    <s v="Cep 48"/>
    <s v="Rua 48"/>
    <s v="Comp 48"/>
    <s v="Balança"/>
    <s v="P4-K63S-8KOM"/>
    <d v="2024-11-12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1"/>
    <x v="11"/>
    <x v="2"/>
    <d v="2024-11-22T00:00:00"/>
    <x v="1"/>
    <x v="0"/>
    <x v="1"/>
    <s v="ENTREGUE"/>
    <d v="2024-10-28T00:00:00"/>
    <x v="0"/>
    <s v="NÃO"/>
    <n v="0"/>
    <n v="0"/>
    <n v="0"/>
    <n v="0"/>
    <n v="0"/>
  </r>
  <r>
    <x v="0"/>
    <s v="BV45589"/>
    <s v="Pedido 51"/>
    <d v="2024-10-24T00:00:00"/>
    <x v="5"/>
    <s v="PedidoF42"/>
    <s v="CódRastreio42"/>
    <n v="1"/>
    <s v="CPF 49"/>
    <s v="Nome 49"/>
    <s v="Tel 49"/>
    <s v="Cep 49"/>
    <s v="Rua 49"/>
    <s v="Comp 49"/>
    <s v="Balança"/>
    <s v="P4-K63S-8KOM"/>
    <d v="2024-11-19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x v="13"/>
    <x v="13"/>
    <x v="6"/>
    <d v="2024-11-29T00:00:00"/>
    <x v="1"/>
    <x v="0"/>
    <x v="1"/>
    <s v="ENTREGUE"/>
    <d v="2024-11-03T00:00:00"/>
    <x v="0"/>
    <s v="-"/>
    <n v="0"/>
    <n v="0"/>
    <n v="0"/>
    <n v="0"/>
    <n v="0"/>
  </r>
  <r>
    <x v="0"/>
    <s v="BV45588"/>
    <s v="Pedido 52"/>
    <d v="2024-10-23T00:00:00"/>
    <x v="4"/>
    <s v="PedidoF43"/>
    <s v="CódRastreio43"/>
    <n v="1"/>
    <s v="CPF 50"/>
    <s v="Nome 50"/>
    <s v="Tel 50"/>
    <s v="Cep 50"/>
    <s v="Rua 50"/>
    <s v="Comp 50"/>
    <s v="Balança"/>
    <s v="P4-K63S-8KOM"/>
    <d v="2024-11-19T00:00:00"/>
    <n v="17.989999999999998"/>
    <n v="17.989999999999998"/>
    <n v="2.3386999999999998"/>
    <n v="15.65"/>
    <n v="8.74"/>
    <n v="0.57999999999999996"/>
    <n v="0.39877104377104378"/>
    <n v="0"/>
    <n v="5.9312289562289564"/>
    <n v="2.9656144781144782"/>
    <x v="13"/>
    <x v="13"/>
    <x v="6"/>
    <d v="2024-11-29T00:00:00"/>
    <x v="1"/>
    <x v="0"/>
    <x v="1"/>
    <s v="ENTREGUE"/>
    <d v="2024-10-29T00:00:00"/>
    <x v="0"/>
    <s v="NÃO"/>
    <n v="0"/>
    <n v="0"/>
    <n v="0"/>
    <n v="0"/>
    <n v="0"/>
  </r>
  <r>
    <x v="0"/>
    <s v="BV45588"/>
    <s v="Pedido 53"/>
    <d v="2024-10-23T00:00:00"/>
    <x v="4"/>
    <s v="PedidoF44"/>
    <s v="CódRastreio44"/>
    <n v="1"/>
    <s v="CPF 51"/>
    <s v="Nome 51"/>
    <s v="Tel 51"/>
    <s v="Cep 51"/>
    <s v="Rua 51"/>
    <s v="Comp 51"/>
    <s v="Bomba d'agua"/>
    <s v="DJ-RO5O-43GF"/>
    <d v="2024-11-19T00:00:00"/>
    <n v="18.2"/>
    <n v="18.2"/>
    <n v="2.548"/>
    <n v="15.65"/>
    <n v="4.99"/>
    <n v="0.57999999999999996"/>
    <n v="0.39877104377104378"/>
    <n v="0"/>
    <n v="9.6812289562289564"/>
    <n v="4.8406144781144782"/>
    <x v="13"/>
    <x v="13"/>
    <x v="6"/>
    <d v="2024-11-29T00:00:00"/>
    <x v="1"/>
    <x v="0"/>
    <x v="1"/>
    <s v="ENTREGUE"/>
    <d v="2024-11-05T00:00:00"/>
    <x v="0"/>
    <s v="NÃO"/>
    <n v="0"/>
    <n v="0"/>
    <n v="0"/>
    <n v="0"/>
    <n v="0"/>
  </r>
  <r>
    <x v="0"/>
    <s v="BV45617"/>
    <s v="Pedido 54"/>
    <d v="2024-11-21T00:00:00"/>
    <x v="6"/>
    <s v="PedidoF45"/>
    <s v="CódRastreio45"/>
    <n v="1"/>
    <s v="CPF 52"/>
    <s v="Nome 52"/>
    <s v="Tel 52"/>
    <s v="Cep 52"/>
    <s v="Rua 52"/>
    <s v="Comp 52"/>
    <s v="Mini Liquidificador"/>
    <s v="CK-YL6M-P5Y6"/>
    <d v="2024-12-01T00:00:00"/>
    <n v="24.99"/>
    <n v="24.99"/>
    <n v="3.2486999999999999"/>
    <n v="21.74"/>
    <n v="14.99"/>
    <n v="0.21"/>
    <n v="0.39877104377104378"/>
    <n v="0"/>
    <n v="6.1412289562289537"/>
    <n v="3.0706144781144769"/>
    <x v="14"/>
    <x v="11"/>
    <x v="2"/>
    <d v="2024-11-22T00:00:00"/>
    <x v="0"/>
    <x v="0"/>
    <x v="2"/>
    <s v="ENTREGUE"/>
    <d v="2024-12-06T19:56:37"/>
    <x v="0"/>
    <s v="NÃO"/>
    <n v="0"/>
    <n v="0"/>
    <n v="0"/>
    <n v="0"/>
    <n v="0"/>
  </r>
  <r>
    <x v="0"/>
    <s v="BV45589"/>
    <s v="Pedido 55"/>
    <d v="2024-10-24T00:00:00"/>
    <x v="5"/>
    <s v="PedidoF46"/>
    <s v="CódRastreio46"/>
    <n v="1"/>
    <s v="CPF 53"/>
    <s v="Nome 53"/>
    <s v="Tel 53"/>
    <s v="Cep 53"/>
    <s v="Rua 53"/>
    <s v="Comp 53"/>
    <s v="Balança"/>
    <s v="P4-K63S-8KOM"/>
    <d v="2024-11-12T00:00:00"/>
    <n v="17.989999999999998"/>
    <n v="17.989999999999998"/>
    <n v="2.3386999999999998"/>
    <n v="15.65"/>
    <n v="8.74"/>
    <n v="0.52"/>
    <n v="0.39877104377104378"/>
    <n v="0"/>
    <n v="5.9912289562289569"/>
    <n v="2.9956144781144785"/>
    <x v="11"/>
    <x v="11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88"/>
    <s v="Pedido 56"/>
    <d v="2024-10-23T00:00:00"/>
    <x v="4"/>
    <s v="PedidoF47"/>
    <s v="CódRastreio47"/>
    <n v="1"/>
    <s v="CPF 54"/>
    <s v="Nome 54"/>
    <s v="Tel 54"/>
    <s v="Cep 54"/>
    <s v="Rua 54"/>
    <s v="Comp 54"/>
    <s v="Mini Liquidificador"/>
    <s v="CK-YL6M-P5Y6"/>
    <d v="2024-11-06T00:00:00"/>
    <n v="24.99"/>
    <n v="24.99"/>
    <n v="3.2486999999999999"/>
    <n v="21.74"/>
    <n v="9.99"/>
    <n v="0.57999999999999996"/>
    <n v="0.39877104377104378"/>
    <n v="0"/>
    <n v="10.771228956228954"/>
    <n v="5.3856144781144772"/>
    <x v="6"/>
    <x v="6"/>
    <x v="3"/>
    <d v="2024-11-22T00:00:00"/>
    <x v="1"/>
    <x v="0"/>
    <x v="1"/>
    <s v="ENTREGUE"/>
    <d v="2024-11-06T00:00:00"/>
    <x v="0"/>
    <s v="NÃO"/>
    <n v="0"/>
    <n v="0"/>
    <n v="0"/>
    <n v="0"/>
    <n v="0"/>
  </r>
  <r>
    <x v="0"/>
    <s v="BV45588"/>
    <s v="Pedido 57"/>
    <d v="2024-10-23T00:00:00"/>
    <x v="4"/>
    <s v="PedidoF48"/>
    <s v="CódRastreio48"/>
    <n v="1"/>
    <s v="CPF 55"/>
    <s v="Nome 55"/>
    <s v="Tel 55"/>
    <s v="Cep 55"/>
    <s v="Rua 55"/>
    <s v="Comp 55"/>
    <s v="Mini Liquidificador"/>
    <s v="CK-YL6M-P5Y6"/>
    <d v="2024-11-06T00:00:00"/>
    <n v="26.99"/>
    <n v="26.99"/>
    <n v="3.5086999999999997"/>
    <n v="23.48"/>
    <n v="9.99"/>
    <n v="0.57999999999999996"/>
    <n v="0.39877104377104378"/>
    <n v="0"/>
    <n v="12.511228956228956"/>
    <n v="6.2556144781144782"/>
    <x v="6"/>
    <x v="6"/>
    <x v="3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89"/>
    <s v="Pedido 58"/>
    <d v="2024-10-24T00:00:00"/>
    <x v="5"/>
    <s v="PedidoF49"/>
    <s v="CódRastreio49"/>
    <n v="1"/>
    <s v="CPF 56"/>
    <s v="Nome 56"/>
    <s v="Tel 56"/>
    <s v="Cep 56"/>
    <s v="Rua 56"/>
    <s v="Comp 56"/>
    <s v="Balança"/>
    <s v="P4-K63S-8KOM"/>
    <d v="2024-11-06T00:00:00"/>
    <n v="19.989999999999998"/>
    <n v="19.989999999999998"/>
    <n v="2.5987"/>
    <n v="17.39"/>
    <n v="8.74"/>
    <n v="0.52"/>
    <n v="0.39877104377104378"/>
    <n v="0"/>
    <n v="7.7312289562289571"/>
    <n v="3.8656144781144786"/>
    <x v="6"/>
    <x v="6"/>
    <x v="3"/>
    <d v="2024-11-22T00:00:00"/>
    <x v="1"/>
    <x v="0"/>
    <x v="1"/>
    <s v="ENTREGUE"/>
    <d v="2024-10-30T00:00:00"/>
    <x v="0"/>
    <s v="NÃO"/>
    <n v="0"/>
    <n v="0"/>
    <n v="0"/>
    <n v="0"/>
    <n v="0"/>
  </r>
  <r>
    <x v="0"/>
    <s v="BV45588"/>
    <s v="Pedido 59"/>
    <d v="2024-10-23T00:00:00"/>
    <x v="4"/>
    <s v="PedidoF50"/>
    <s v="CódRastreio50"/>
    <n v="1"/>
    <s v="CPF 57"/>
    <s v="Nome 57"/>
    <s v="Tel 57"/>
    <s v="Cep 57"/>
    <s v="Rua 57"/>
    <s v="Comp 57"/>
    <s v="Mini Liquidificador"/>
    <s v="CK-YL6M-P5Y6"/>
    <d v="2024-11-08T00:00:00"/>
    <n v="26.99"/>
    <n v="26.99"/>
    <n v="3.5086999999999997"/>
    <n v="23.48"/>
    <n v="9.99"/>
    <n v="0.57999999999999996"/>
    <n v="0.39877104377104378"/>
    <n v="0"/>
    <n v="12.511228956228956"/>
    <n v="6.2556144781144782"/>
    <x v="10"/>
    <x v="10"/>
    <x v="2"/>
    <d v="2024-11-22T00:00:00"/>
    <x v="1"/>
    <x v="0"/>
    <x v="1"/>
    <s v="ENTREGUE"/>
    <d v="2024-10-30T00:00:00"/>
    <x v="0"/>
    <s v="NÃO"/>
    <n v="0"/>
    <n v="0"/>
    <n v="0"/>
    <n v="0"/>
    <n v="0"/>
  </r>
  <r>
    <x v="0"/>
    <s v="BV45589"/>
    <s v="Pedido 60"/>
    <d v="2024-10-24T00:00:00"/>
    <x v="5"/>
    <s v="PedidoF51"/>
    <s v="CódRastreio51"/>
    <n v="1"/>
    <s v="CPF 58"/>
    <s v="Nome 58"/>
    <s v="Tel 58"/>
    <s v="Cep 58"/>
    <s v="Rua 58"/>
    <s v="Comp 58"/>
    <s v="Suporte de Celular Preto"/>
    <s v="9G-BN48-QAPH"/>
    <d v="2024-11-13T00:00:00"/>
    <n v="15.99"/>
    <n v="15.99"/>
    <n v="2.3984999999999999"/>
    <n v="13.59"/>
    <n v="4.99"/>
    <n v="0.52"/>
    <n v="0.39877104377104378"/>
    <n v="0"/>
    <n v="7.6812289562289564"/>
    <n v="3.8406144781144782"/>
    <x v="15"/>
    <x v="14"/>
    <x v="2"/>
    <d v="2024-11-22T00:00:00"/>
    <x v="1"/>
    <x v="0"/>
    <x v="1"/>
    <s v="ENTREGUE"/>
    <d v="2024-10-29T00:00:00"/>
    <x v="0"/>
    <s v="SIM"/>
    <n v="0"/>
    <n v="0"/>
    <n v="0"/>
    <n v="0"/>
    <n v="0"/>
  </r>
  <r>
    <x v="0"/>
    <s v="BV45589"/>
    <s v="Pedido 61"/>
    <d v="2024-10-24T00:00:00"/>
    <x v="5"/>
    <s v="PedidoF52"/>
    <s v="CódRastreio52"/>
    <n v="1"/>
    <s v="CPF 59"/>
    <s v="Nome 59"/>
    <s v="Tel 59"/>
    <s v="Cep 59"/>
    <s v="Rua 59"/>
    <s v="Comp 59"/>
    <s v="Mini Liquidificador"/>
    <s v="CK-YL6M-P5Y6"/>
    <d v="2024-11-19T00:00:00"/>
    <n v="30"/>
    <n v="30"/>
    <n v="3.9000000000000004"/>
    <n v="26.1"/>
    <n v="9.99"/>
    <n v="0.52"/>
    <n v="0.39877104377104378"/>
    <n v="0"/>
    <n v="15.191228956228958"/>
    <n v="7.595614478114479"/>
    <x v="13"/>
    <x v="13"/>
    <x v="6"/>
    <d v="2024-11-29T00:00:00"/>
    <x v="1"/>
    <x v="0"/>
    <x v="1"/>
    <s v="ENTREGUE"/>
    <d v="2024-11-01T00:00:00"/>
    <x v="0"/>
    <s v="-"/>
    <n v="0"/>
    <n v="0"/>
    <n v="0"/>
    <n v="0"/>
    <n v="0"/>
  </r>
  <r>
    <x v="0"/>
    <s v="BV45589"/>
    <s v="Pedido 62"/>
    <d v="2024-10-24T00:00:00"/>
    <x v="5"/>
    <s v="PedidoF53"/>
    <s v="CódRastreio53"/>
    <n v="1"/>
    <s v="CPF 60"/>
    <s v="Nome 60"/>
    <s v="Tel 60"/>
    <s v="Cep 60"/>
    <s v="Rua 60"/>
    <s v="Comp 60"/>
    <s v="Ventilador Rosa"/>
    <s v="IF-G2ZQ-79FO"/>
    <d v="2024-11-20T00:00:00"/>
    <n v="50.2"/>
    <n v="50.2"/>
    <n v="6.5260000000000007"/>
    <n v="43.67"/>
    <n v="10.34"/>
    <n v="0.52"/>
    <n v="0.39877104377104378"/>
    <n v="0"/>
    <n v="32.41122895622896"/>
    <n v="16.20561447811448"/>
    <x v="16"/>
    <x v="15"/>
    <x v="6"/>
    <d v="2024-11-29T00:00:00"/>
    <x v="1"/>
    <x v="0"/>
    <x v="1"/>
    <s v="ENTREGUE"/>
    <d v="2024-11-06T00:00:00"/>
    <x v="0"/>
    <s v="-"/>
    <n v="0"/>
    <n v="0"/>
    <n v="0"/>
    <n v="0"/>
    <n v="0"/>
  </r>
  <r>
    <x v="0"/>
    <s v="BV45589"/>
    <s v="Pedido 63"/>
    <d v="2024-10-24T00:00:00"/>
    <x v="5"/>
    <s v="PedidoF54"/>
    <s v="CódRastreio54"/>
    <n v="1"/>
    <s v="CPF 61"/>
    <s v="Nome 61"/>
    <s v="Tel 61"/>
    <s v="Cep 61"/>
    <s v="Rua 61"/>
    <s v="Comp 61"/>
    <s v="Suporte de Celular Branco"/>
    <s v="16-4EDB-WMZF"/>
    <d v="2024-11-13T00:00:00"/>
    <n v="15.99"/>
    <n v="15.99"/>
    <n v="2.3984999999999999"/>
    <n v="13.59"/>
    <n v="4.99"/>
    <n v="0.52"/>
    <n v="0.39877104377104378"/>
    <n v="0"/>
    <n v="7.6812289562289564"/>
    <n v="3.8406144781144782"/>
    <x v="15"/>
    <x v="14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89"/>
    <s v="Pedido 64"/>
    <d v="2024-10-24T00:00:00"/>
    <x v="5"/>
    <s v="PedidoF55"/>
    <s v="CódRastreio55"/>
    <n v="1"/>
    <s v="CPF 62"/>
    <s v="Nome 62"/>
    <s v="Tel 62"/>
    <s v="Cep 62"/>
    <s v="Rua 62"/>
    <s v="Comp 62"/>
    <s v="Suporte de Celular Branco"/>
    <s v="16-4EDB-WMZF"/>
    <d v="2024-11-20T00:00:00"/>
    <n v="15.99"/>
    <n v="15.99"/>
    <n v="2.3984999999999999"/>
    <n v="13.59"/>
    <n v="4.99"/>
    <n v="0.52"/>
    <n v="0.39877104377104378"/>
    <n v="0"/>
    <n v="7.6812289562289564"/>
    <n v="3.8406144781144782"/>
    <x v="16"/>
    <x v="15"/>
    <x v="6"/>
    <d v="2024-11-29T00:00:00"/>
    <x v="1"/>
    <x v="0"/>
    <x v="1"/>
    <s v="ENTREGUE"/>
    <d v="2024-11-05T00:00:00"/>
    <x v="0"/>
    <s v="-"/>
    <n v="0"/>
    <n v="0"/>
    <n v="0"/>
    <n v="0"/>
    <n v="0"/>
  </r>
  <r>
    <x v="0"/>
    <s v="BV45589"/>
    <s v="Pedido 65"/>
    <d v="2024-10-24T00:00:00"/>
    <x v="5"/>
    <s v="PedidoF56"/>
    <s v="CódRastreio56"/>
    <n v="1"/>
    <s v="CPF 63"/>
    <s v="Nome 63"/>
    <s v="Tel 63"/>
    <s v="Cep 63"/>
    <s v="Rua 63"/>
    <s v="Comp 63"/>
    <s v="Suporte de Celular Branco"/>
    <s v="16-4EDB-WMZF"/>
    <d v="2024-11-20T00:00:00"/>
    <n v="15.99"/>
    <n v="15.99"/>
    <n v="2.3984999999999999"/>
    <n v="13.59"/>
    <n v="4.99"/>
    <n v="0.52"/>
    <n v="0.39877104377104378"/>
    <n v="0"/>
    <n v="7.6812289562289564"/>
    <n v="3.8406144781144782"/>
    <x v="16"/>
    <x v="15"/>
    <x v="6"/>
    <d v="2024-11-29T00:00:00"/>
    <x v="1"/>
    <x v="0"/>
    <x v="1"/>
    <s v="ENTREGUE"/>
    <d v="2024-11-08T00:00:00"/>
    <x v="0"/>
    <s v="SIM"/>
    <n v="0"/>
    <n v="0"/>
    <n v="0"/>
    <n v="0"/>
    <n v="0"/>
  </r>
  <r>
    <x v="0"/>
    <s v="BV45589"/>
    <s v="Pedido 66"/>
    <d v="2024-10-24T00:00:00"/>
    <x v="5"/>
    <s v="PedidoF57"/>
    <s v="CódRastreio57"/>
    <n v="1"/>
    <s v="CPF 64"/>
    <s v="Nome 64"/>
    <s v="Tel 64"/>
    <s v="Cep 64"/>
    <s v="Rua 64"/>
    <s v="Comp 64"/>
    <s v="Suporte de Celular Branco"/>
    <s v="16-4EDB-WMZF"/>
    <d v="2024-11-07T00:00:00"/>
    <n v="15.99"/>
    <n v="15.99"/>
    <n v="2.3984999999999999"/>
    <n v="13.59"/>
    <n v="4.99"/>
    <n v="0.52"/>
    <n v="0.39877104377104378"/>
    <n v="0"/>
    <n v="7.6812289562289564"/>
    <n v="3.8406144781144782"/>
    <x v="12"/>
    <x v="12"/>
    <x v="2"/>
    <d v="2024-11-22T00:00:00"/>
    <x v="1"/>
    <x v="0"/>
    <x v="1"/>
    <s v="ENTREGUE"/>
    <d v="2024-10-29T00:00:00"/>
    <x v="0"/>
    <s v="-"/>
    <n v="0"/>
    <n v="0"/>
    <n v="0"/>
    <n v="0"/>
    <n v="0"/>
  </r>
  <r>
    <x v="0"/>
    <s v="BV45589"/>
    <s v="Pedido 67"/>
    <d v="2024-10-24T00:00:00"/>
    <x v="5"/>
    <s v="PedidoF58"/>
    <s v="CódRastreio58"/>
    <n v="1"/>
    <s v="CPF 65"/>
    <s v="Nome 65"/>
    <s v="Tel 65"/>
    <s v="Cep 65"/>
    <s v="Rua 65"/>
    <s v="Comp 65"/>
    <s v="Suporte de Celular Branco"/>
    <s v="16-4EDB-WMZF"/>
    <d v="2024-11-13T00:00:00"/>
    <n v="15.99"/>
    <n v="15.99"/>
    <n v="2.3984999999999999"/>
    <n v="13.59"/>
    <n v="4.99"/>
    <n v="0.52"/>
    <n v="0.39877104377104378"/>
    <n v="0"/>
    <n v="7.6812289562289564"/>
    <n v="3.8406144781144782"/>
    <x v="15"/>
    <x v="14"/>
    <x v="2"/>
    <d v="2024-11-22T00:00:00"/>
    <x v="1"/>
    <x v="0"/>
    <x v="1"/>
    <s v="ENTREGUE"/>
    <d v="2024-10-31T00:00:00"/>
    <x v="0"/>
    <s v="SIM"/>
    <n v="0"/>
    <n v="0"/>
    <n v="0"/>
    <n v="0"/>
    <n v="0"/>
  </r>
  <r>
    <x v="0"/>
    <s v="BV45589"/>
    <s v="Pedido 68"/>
    <d v="2024-10-24T00:00:00"/>
    <x v="5"/>
    <s v="PedidoF59"/>
    <s v="CódRastreio59"/>
    <n v="1"/>
    <s v="CPF 66"/>
    <s v="Nome 66"/>
    <s v="Tel 66"/>
    <s v="Cep 66"/>
    <s v="Rua 66"/>
    <s v="Comp 66"/>
    <s v="Suporte de Celular Branco"/>
    <s v="16-4EDB-WMZF"/>
    <d v="2024-11-07T00:00:00"/>
    <n v="15.99"/>
    <n v="15.99"/>
    <n v="2.3984999999999999"/>
    <n v="13.59"/>
    <n v="4.99"/>
    <n v="0.52"/>
    <n v="0.39877104377104378"/>
    <n v="0"/>
    <n v="7.6812289562289564"/>
    <n v="3.8406144781144782"/>
    <x v="12"/>
    <x v="12"/>
    <x v="2"/>
    <d v="2024-11-22T00:00:00"/>
    <x v="1"/>
    <x v="0"/>
    <x v="1"/>
    <s v="ENTREGUE"/>
    <d v="2024-10-30T00:00:00"/>
    <x v="0"/>
    <s v="SIM"/>
    <n v="0"/>
    <n v="0"/>
    <n v="0"/>
    <n v="0"/>
    <n v="0"/>
  </r>
  <r>
    <x v="0"/>
    <s v="BV45590"/>
    <s v="Pedido 69"/>
    <d v="2024-10-25T00:00:00"/>
    <x v="7"/>
    <s v="PedidoF60"/>
    <s v="CódRastreio60"/>
    <n v="1"/>
    <s v="CPF 67"/>
    <s v="Nome 67"/>
    <s v="Tel 67"/>
    <s v="Cep 67"/>
    <s v="Rua 67"/>
    <s v="Comp 67"/>
    <s v="Suporte de Celular Branco"/>
    <s v="16-4EDB-WMZF"/>
    <d v="2024-11-09T00:00:00"/>
    <n v="15.99"/>
    <n v="15.99"/>
    <n v="2.3984999999999999"/>
    <n v="13.59"/>
    <n v="4.99"/>
    <n v="0.55000000000000004"/>
    <n v="0.39877104377104378"/>
    <n v="0"/>
    <n v="7.6512289562289562"/>
    <n v="3.8256144781144781"/>
    <x v="4"/>
    <x v="4"/>
    <x v="2"/>
    <d v="2024-11-22T00:00:00"/>
    <x v="1"/>
    <x v="0"/>
    <x v="1"/>
    <s v="ENTREGUE"/>
    <d v="2024-10-30T00:00:00"/>
    <x v="0"/>
    <s v="SIM"/>
    <n v="0"/>
    <n v="0"/>
    <n v="0"/>
    <n v="0"/>
    <n v="0"/>
  </r>
  <r>
    <x v="0"/>
    <s v="BV45589"/>
    <s v="Pedido 70"/>
    <d v="2024-10-24T00:00:00"/>
    <x v="5"/>
    <s v="PedidoF61"/>
    <s v="CódRastreio61"/>
    <n v="1"/>
    <s v="CPF 68"/>
    <s v="Nome 68"/>
    <s v="Tel 68"/>
    <s v="Cep 68"/>
    <s v="Rua 68"/>
    <s v="Comp 68"/>
    <s v="Suporte de Celular Branco"/>
    <s v="16-4EDB-WMZF"/>
    <d v="2024-11-07T00:00:00"/>
    <n v="15.99"/>
    <n v="15.99"/>
    <n v="2.3984999999999999"/>
    <n v="13.59"/>
    <n v="4.99"/>
    <n v="0.52"/>
    <n v="0.39877104377104378"/>
    <n v="0"/>
    <n v="7.6812289562289564"/>
    <n v="3.8406144781144782"/>
    <x v="12"/>
    <x v="12"/>
    <x v="2"/>
    <d v="2024-11-22T00:00:00"/>
    <x v="1"/>
    <x v="0"/>
    <x v="1"/>
    <s v="ENTREGUE"/>
    <d v="2024-10-29T00:00:00"/>
    <x v="0"/>
    <s v="SIM"/>
    <n v="0"/>
    <n v="0"/>
    <n v="0"/>
    <n v="0"/>
    <n v="0"/>
  </r>
  <r>
    <x v="0"/>
    <s v="BV45589"/>
    <s v="Pedido 71"/>
    <d v="2024-10-24T00:00:00"/>
    <x v="5"/>
    <s v="PedidoF62"/>
    <s v="CódRastreio62"/>
    <n v="1"/>
    <s v="CPF 69"/>
    <s v="Nome 69"/>
    <s v="Tel 69"/>
    <s v="Cep 69"/>
    <s v="Rua 69"/>
    <s v="Comp 69"/>
    <s v="Suporte de Celular Branco"/>
    <s v="16-4EDB-WMZF"/>
    <d v="2024-11-20T00:00:00"/>
    <n v="14.99"/>
    <n v="14.99"/>
    <n v="2.2484999999999999"/>
    <n v="12.74"/>
    <n v="4.99"/>
    <n v="0.52"/>
    <n v="0.39877104377104378"/>
    <n v="0"/>
    <n v="6.8312289562289568"/>
    <n v="3.4156144781144784"/>
    <x v="16"/>
    <x v="15"/>
    <x v="6"/>
    <d v="2024-11-29T00:00:00"/>
    <x v="1"/>
    <x v="0"/>
    <x v="1"/>
    <s v="ENTREGUE"/>
    <d v="2024-11-01T00:00:00"/>
    <x v="0"/>
    <s v="SIM"/>
    <n v="0"/>
    <n v="0"/>
    <n v="0"/>
    <n v="0"/>
    <n v="0"/>
  </r>
  <r>
    <x v="0"/>
    <s v="BV45590"/>
    <s v="Pedido 72"/>
    <d v="2024-10-25T00:00:00"/>
    <x v="7"/>
    <s v="PedidoF63"/>
    <s v="CódRastreio63"/>
    <n v="1"/>
    <s v="CPF 70"/>
    <s v="Nome 70"/>
    <s v="Tel 70"/>
    <s v="Cep 70"/>
    <s v="Rua 70"/>
    <s v="Comp 70"/>
    <s v="Mini Liquidificador"/>
    <s v="CK-YL6M-P5Y6"/>
    <d v="2024-11-14T00:00:00"/>
    <n v="29.99"/>
    <n v="29.99"/>
    <n v="3.8986999999999998"/>
    <n v="26.09"/>
    <n v="9.99"/>
    <n v="0.55000000000000004"/>
    <n v="0.39877104377104378"/>
    <n v="0"/>
    <n v="15.151228956228955"/>
    <n v="7.5756144781144776"/>
    <x v="5"/>
    <x v="5"/>
    <x v="2"/>
    <d v="2024-11-22T00:00:00"/>
    <x v="1"/>
    <x v="0"/>
    <x v="1"/>
    <s v="ENTREGUE"/>
    <d v="2024-11-12T00:00:00"/>
    <x v="0"/>
    <s v="SIM"/>
    <n v="0"/>
    <n v="0"/>
    <n v="0"/>
    <n v="0"/>
    <n v="0"/>
  </r>
  <r>
    <x v="0"/>
    <s v="BV45590"/>
    <s v="Pedido 73"/>
    <d v="2024-10-25T00:00:00"/>
    <x v="7"/>
    <s v="PedidoF64"/>
    <s v="CódRastreio64"/>
    <n v="1"/>
    <s v="CPF 71"/>
    <s v="Nome 71"/>
    <s v="Tel 71"/>
    <s v="Cep 71"/>
    <s v="Rua 71"/>
    <s v="Comp 71"/>
    <s v="Bomba d'agua"/>
    <s v="DJ-RO5O-43GF"/>
    <d v="2024-11-20T00:00:00"/>
    <n v="18.2"/>
    <n v="18.2"/>
    <n v="2.548"/>
    <n v="15.65"/>
    <n v="4.99"/>
    <n v="0.55000000000000004"/>
    <n v="0.39877104377104378"/>
    <n v="0"/>
    <n v="9.7112289562289575"/>
    <n v="4.8556144781144788"/>
    <x v="16"/>
    <x v="15"/>
    <x v="6"/>
    <d v="2024-11-29T00:00:00"/>
    <x v="1"/>
    <x v="0"/>
    <x v="1"/>
    <s v="ENTREGUE"/>
    <d v="2024-11-04T00:00:00"/>
    <x v="0"/>
    <s v="-"/>
    <n v="0"/>
    <n v="0"/>
    <n v="0"/>
    <n v="0"/>
    <n v="0"/>
  </r>
  <r>
    <x v="0"/>
    <s v="BV45590"/>
    <s v="Pedido 74"/>
    <d v="2024-10-25T00:00:00"/>
    <x v="7"/>
    <s v="PedidoF65"/>
    <s v="CódRastreio65"/>
    <n v="1"/>
    <s v="CPF 72"/>
    <s v="Nome 72"/>
    <s v="Tel 72"/>
    <s v="Cep 72"/>
    <s v="Rua 72"/>
    <s v="Comp 72"/>
    <s v="Ventilador Rosa"/>
    <s v="IF-G2ZQ-79FO"/>
    <d v="2024-11-28T00:00:00"/>
    <n v="59.99"/>
    <n v="59.99"/>
    <n v="7.7987000000000002"/>
    <n v="52.19"/>
    <n v="7.26"/>
    <n v="0.55000000000000004"/>
    <n v="0.39877104377104378"/>
    <n v="0"/>
    <n v="43.981228956228954"/>
    <n v="21.990614478114477"/>
    <x v="17"/>
    <x v="16"/>
    <x v="1"/>
    <d v="2024-12-16T00:00:00"/>
    <x v="0"/>
    <x v="0"/>
    <x v="1"/>
    <s v="ENTREGUE"/>
    <d v="2024-11-27T00:00:00"/>
    <x v="0"/>
    <s v="-"/>
    <n v="0"/>
    <n v="0"/>
    <n v="0"/>
    <n v="0"/>
    <n v="0"/>
  </r>
  <r>
    <x v="0"/>
    <s v="BV45590"/>
    <s v="Pedido 75"/>
    <d v="2024-10-25T00:00:00"/>
    <x v="7"/>
    <s v="PedidoF66"/>
    <s v="CódRastreio66"/>
    <n v="1"/>
    <s v="CPF 73"/>
    <s v="Nome 73"/>
    <s v="Tel 73"/>
    <s v="Cep 73"/>
    <s v="Rua 73"/>
    <s v="Comp 73"/>
    <s v="Suporte de Celular Preto"/>
    <s v="9G-BN48-QAPH"/>
    <d v="2024-11-08T00:00:00"/>
    <n v="15.99"/>
    <n v="15.99"/>
    <n v="2.3984999999999999"/>
    <n v="13.59"/>
    <n v="4.99"/>
    <n v="0.55000000000000004"/>
    <n v="0.39877104377104378"/>
    <n v="0"/>
    <n v="7.6512289562289562"/>
    <n v="3.8256144781144781"/>
    <x v="10"/>
    <x v="10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90"/>
    <s v="Pedido 76"/>
    <d v="2024-10-25T00:00:00"/>
    <x v="7"/>
    <s v="PedidoF67"/>
    <s v="CódRastreio67"/>
    <n v="1"/>
    <s v="CPF 74"/>
    <s v="Nome 74"/>
    <s v="Tel 74"/>
    <s v="Cep 74"/>
    <s v="Rua 74"/>
    <s v="Comp 74"/>
    <s v="Suporte de Celular Branco"/>
    <s v="16-4EDB-WMZF"/>
    <d v="2024-11-21T00:00:00"/>
    <n v="15.99"/>
    <n v="15.99"/>
    <n v="2.3984999999999999"/>
    <n v="13.59"/>
    <n v="4.99"/>
    <n v="0.55000000000000004"/>
    <n v="0.39877104377104378"/>
    <n v="0"/>
    <n v="7.6512289562289562"/>
    <n v="3.8256144781144781"/>
    <x v="18"/>
    <x v="17"/>
    <x v="6"/>
    <d v="2024-11-29T00:00:00"/>
    <x v="1"/>
    <x v="0"/>
    <x v="1"/>
    <s v="ENTREGUE"/>
    <d v="2024-11-03T00:00:00"/>
    <x v="0"/>
    <s v="-"/>
    <n v="0"/>
    <n v="0"/>
    <n v="0"/>
    <n v="0"/>
    <n v="0"/>
  </r>
  <r>
    <x v="0"/>
    <s v="BV45590"/>
    <s v="Pedido 77"/>
    <d v="2024-10-25T00:00:00"/>
    <x v="7"/>
    <s v="PedidoF68"/>
    <s v="CódRastreio68"/>
    <n v="1"/>
    <s v="CPF 75"/>
    <s v="Nome 75"/>
    <s v="Tel 75"/>
    <s v="Cep 75"/>
    <s v="Rua 75"/>
    <s v="Comp 75"/>
    <s v="Suporte de Celular Branco"/>
    <s v="16-4EDB-WMZF"/>
    <d v="2024-11-14T00:00:00"/>
    <n v="15.99"/>
    <n v="15.99"/>
    <n v="2.3984999999999999"/>
    <n v="13.59"/>
    <n v="4.99"/>
    <n v="0.55000000000000004"/>
    <n v="0.39877104377104378"/>
    <n v="0"/>
    <n v="7.6512289562289562"/>
    <n v="3.8256144781144781"/>
    <x v="5"/>
    <x v="5"/>
    <x v="2"/>
    <d v="2024-11-22T00:00:00"/>
    <x v="1"/>
    <x v="0"/>
    <x v="1"/>
    <s v="ENTREGUE"/>
    <d v="2024-11-01T00:00:00"/>
    <x v="0"/>
    <s v="NÃO"/>
    <n v="0"/>
    <n v="0"/>
    <n v="0"/>
    <n v="0"/>
    <n v="0"/>
  </r>
  <r>
    <x v="0"/>
    <s v="BV45590"/>
    <s v="Pedido 78"/>
    <d v="2024-10-25T00:00:00"/>
    <x v="7"/>
    <s v="PedidoF69"/>
    <s v="CódRastreio69"/>
    <n v="1"/>
    <s v="CPF 76"/>
    <s v="Nome 76"/>
    <s v="Tel 76"/>
    <s v="Cep 76"/>
    <s v="Rua 76"/>
    <s v="Comp 76"/>
    <s v="Bomba d'agua"/>
    <s v="DJ-RO5O-43GF"/>
    <d v="2024-11-21T00:00:00"/>
    <n v="18.2"/>
    <n v="18.2"/>
    <n v="2.548"/>
    <n v="15.65"/>
    <n v="4.99"/>
    <n v="0.55000000000000004"/>
    <n v="0.39877104377104378"/>
    <n v="0"/>
    <n v="9.7112289562289575"/>
    <n v="4.8556144781144788"/>
    <x v="18"/>
    <x v="17"/>
    <x v="6"/>
    <d v="2024-11-29T00:00:00"/>
    <x v="1"/>
    <x v="0"/>
    <x v="1"/>
    <s v="ENTREGUE"/>
    <d v="2024-11-01T00:00:00"/>
    <x v="0"/>
    <s v="NÃO"/>
    <n v="0"/>
    <n v="0"/>
    <n v="0"/>
    <n v="0"/>
    <n v="0"/>
  </r>
  <r>
    <x v="0"/>
    <s v="BV45614"/>
    <s v="Pedido 79"/>
    <d v="2024-11-18T00:00:00"/>
    <x v="8"/>
    <s v="PedidoF70"/>
    <s v="CódRastreio70"/>
    <n v="1"/>
    <s v="CPF 77"/>
    <s v="Nome 77"/>
    <s v="Tel 77"/>
    <s v="Cep 77"/>
    <s v="Rua 77"/>
    <s v="Comp 77"/>
    <s v="Bomba d'agua"/>
    <s v="DJ-RO5O-43GF"/>
    <d v="2024-11-14T00:00:00"/>
    <n v="18.2"/>
    <n v="18.2"/>
    <n v="2.548"/>
    <n v="15.65"/>
    <n v="6.99"/>
    <n v="0.17"/>
    <n v="0.39877104377104378"/>
    <n v="0"/>
    <n v="8.0912289562289565"/>
    <n v="4.0456144781144783"/>
    <x v="5"/>
    <x v="5"/>
    <x v="2"/>
    <d v="2024-11-22T00:00:00"/>
    <x v="1"/>
    <x v="0"/>
    <x v="2"/>
    <s v="ENTREGUE"/>
    <d v="2024-11-28T00:00:00"/>
    <x v="0"/>
    <s v="NÃO"/>
    <n v="0"/>
    <n v="0"/>
    <n v="0"/>
    <n v="0"/>
    <n v="0"/>
  </r>
  <r>
    <x v="0"/>
    <s v="BV45590"/>
    <s v="Pedido 80"/>
    <d v="2024-10-25T00:00:00"/>
    <x v="7"/>
    <s v="PedidoF71"/>
    <s v="CódRastreio71"/>
    <n v="1"/>
    <s v="CPF 78"/>
    <s v="Nome 78"/>
    <s v="Tel 78"/>
    <s v="Cep 78"/>
    <s v="Rua 78"/>
    <s v="Comp 78"/>
    <s v="Suporte de Celular Preto"/>
    <s v="9G-BN48-QAPH"/>
    <d v="2024-11-08T00:00:00"/>
    <n v="15.99"/>
    <n v="15.99"/>
    <n v="2.3984999999999999"/>
    <n v="13.59"/>
    <n v="4.99"/>
    <n v="0.55000000000000004"/>
    <n v="0.39877104377104378"/>
    <n v="0"/>
    <n v="7.6512289562289562"/>
    <n v="3.8256144781144781"/>
    <x v="10"/>
    <x v="10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90"/>
    <s v="Pedido 81"/>
    <d v="2024-10-25T00:00:00"/>
    <x v="7"/>
    <s v="PedidoF72"/>
    <s v="CódRastreio72"/>
    <n v="1"/>
    <s v="CPF 79"/>
    <s v="Nome 79"/>
    <s v="Tel 79"/>
    <s v="Cep 79"/>
    <s v="Rua 79"/>
    <s v="Comp 79"/>
    <s v="Copo Termico"/>
    <s v="KN-TBQL-K2MM"/>
    <d v="2024-11-21T00:00:00"/>
    <n v="22.99"/>
    <n v="22.99"/>
    <n v="2.9886999999999997"/>
    <n v="20"/>
    <n v="6.32"/>
    <n v="0.55000000000000004"/>
    <n v="0.39877104377104378"/>
    <n v="0"/>
    <n v="12.731228956228957"/>
    <n v="6.3656144781144786"/>
    <x v="18"/>
    <x v="17"/>
    <x v="6"/>
    <d v="2024-11-29T00:00:00"/>
    <x v="1"/>
    <x v="0"/>
    <x v="1"/>
    <s v="ENTREGUE"/>
    <d v="2024-11-04T00:00:00"/>
    <x v="0"/>
    <s v="-"/>
    <n v="0"/>
    <n v="0"/>
    <n v="0"/>
    <n v="0"/>
    <n v="0"/>
  </r>
  <r>
    <x v="0"/>
    <s v="BV45591"/>
    <s v="Pedido 81"/>
    <d v="2024-10-26T00:00:00"/>
    <x v="9"/>
    <s v="PedidoF73"/>
    <s v="CódRastreio73"/>
    <n v="1"/>
    <s v="CPF 79"/>
    <s v="Nome 79"/>
    <s v="Tel 79"/>
    <s v="Cep 79"/>
    <s v="Rua 79"/>
    <s v="Comp 79"/>
    <s v="Suporte de Celular Preto"/>
    <s v="9G-BN48-QAPH"/>
    <d v="2024-11-21T00:00:00"/>
    <n v="15.99"/>
    <n v="15.99"/>
    <n v="2.3984999999999999"/>
    <n v="13.59"/>
    <n v="4.99"/>
    <n v="0.25"/>
    <n v="0.39877104377104378"/>
    <n v="0"/>
    <n v="7.951228956228956"/>
    <n v="3.975614478114478"/>
    <x v="18"/>
    <x v="17"/>
    <x v="6"/>
    <d v="2024-11-29T00:00:00"/>
    <x v="1"/>
    <x v="0"/>
    <x v="1"/>
    <s v="-"/>
    <s v="-"/>
    <x v="0"/>
    <s v="NÃO"/>
    <n v="0"/>
    <n v="0"/>
    <n v="0"/>
    <n v="0"/>
    <n v="0"/>
  </r>
  <r>
    <x v="0"/>
    <s v="BV45591"/>
    <s v="Pedido 81"/>
    <d v="2024-10-26T00:00:00"/>
    <x v="9"/>
    <s v="PedidoF74"/>
    <s v="CódRastreio74"/>
    <n v="1"/>
    <s v="CPF 79"/>
    <s v="Nome 79"/>
    <s v="Tel 79"/>
    <s v="Cep 79"/>
    <s v="Rua 79"/>
    <s v="Comp 79"/>
    <s v="Suporte de Celular Branco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x v="18"/>
    <x v="17"/>
    <x v="6"/>
    <d v="2024-11-29T00:00:00"/>
    <x v="1"/>
    <x v="0"/>
    <x v="1"/>
    <s v="-"/>
    <s v="-"/>
    <x v="0"/>
    <s v="SIM"/>
    <n v="0"/>
    <n v="0"/>
    <n v="0"/>
    <n v="0"/>
    <n v="0"/>
  </r>
  <r>
    <x v="0"/>
    <s v="BV45590"/>
    <s v="Pedido 82"/>
    <d v="2024-10-25T00:00:00"/>
    <x v="7"/>
    <s v="PedidoF75"/>
    <s v="CódRastreio75"/>
    <n v="1"/>
    <s v="CPF 80"/>
    <s v="Nome 80"/>
    <s v="Tel 80"/>
    <s v="Cep 80"/>
    <s v="Rua 80"/>
    <s v="Comp 80"/>
    <s v="Bomba d'agua"/>
    <s v="DJ-RO5O-43GF"/>
    <d v="2024-11-21T00:00:00"/>
    <n v="18.2"/>
    <n v="18.2"/>
    <n v="2.548"/>
    <n v="15.65"/>
    <n v="4.99"/>
    <n v="0.55000000000000004"/>
    <n v="0.39877104377104378"/>
    <n v="0"/>
    <n v="9.7112289562289575"/>
    <n v="4.8556144781144788"/>
    <x v="18"/>
    <x v="17"/>
    <x v="6"/>
    <d v="2024-11-29T00:00:00"/>
    <x v="1"/>
    <x v="0"/>
    <x v="1"/>
    <s v="ENTREGUE"/>
    <d v="2024-11-04T00:00:00"/>
    <x v="0"/>
    <s v="NÃO"/>
    <n v="0"/>
    <n v="0"/>
    <n v="0"/>
    <n v="0"/>
    <n v="0"/>
  </r>
  <r>
    <x v="0"/>
    <s v="BV45590"/>
    <s v="Pedido 83"/>
    <d v="2024-10-25T00:00:00"/>
    <x v="7"/>
    <s v="PedidoF76"/>
    <s v="CódRastreio76"/>
    <n v="1"/>
    <s v="CPF 81"/>
    <s v="Nome 81"/>
    <s v="Tel 81"/>
    <s v="Cep 81"/>
    <s v="Rua 81"/>
    <s v="Comp 81"/>
    <s v="Suporte de Celular Branco"/>
    <s v="16-4EDB-WMZF"/>
    <d v="2024-11-21T00:00:00"/>
    <n v="15.99"/>
    <n v="15.99"/>
    <n v="2.3984999999999999"/>
    <n v="13.59"/>
    <n v="4.99"/>
    <n v="0.55000000000000004"/>
    <n v="0.39877104377104378"/>
    <n v="0"/>
    <n v="7.6512289562289562"/>
    <n v="3.8256144781144781"/>
    <x v="18"/>
    <x v="17"/>
    <x v="6"/>
    <d v="2024-11-29T00:00:00"/>
    <x v="1"/>
    <x v="0"/>
    <x v="1"/>
    <s v="ENTREGUE"/>
    <d v="2024-11-07T00:00:00"/>
    <x v="0"/>
    <s v="-"/>
    <n v="0"/>
    <n v="0"/>
    <n v="0"/>
    <n v="0"/>
    <n v="0"/>
  </r>
  <r>
    <x v="0"/>
    <s v="BV45590"/>
    <s v="Pedido 84"/>
    <d v="2024-10-25T00:00:00"/>
    <x v="7"/>
    <s v="PedidoF77"/>
    <s v="CódRastreio77"/>
    <n v="1"/>
    <s v="CPF 82"/>
    <s v="Nome 82"/>
    <s v="Tel 82"/>
    <s v="Cep 82"/>
    <s v="Rua 82"/>
    <s v="Comp 82"/>
    <s v="Mini Liquidificador"/>
    <s v="CK-YL6M-P5Y6"/>
    <d v="2024-11-21T00:00:00"/>
    <n v="38.99"/>
    <n v="38.99"/>
    <n v="5.0687000000000006"/>
    <n v="33.92"/>
    <n v="9.99"/>
    <n v="0.55000000000000004"/>
    <n v="0.39877104377104378"/>
    <n v="0"/>
    <n v="22.981228956228957"/>
    <n v="11.490614478114479"/>
    <x v="18"/>
    <x v="17"/>
    <x v="6"/>
    <d v="2024-11-29T00:00:00"/>
    <x v="1"/>
    <x v="0"/>
    <x v="1"/>
    <s v="ENTREGUE"/>
    <d v="2024-11-08T00:00:00"/>
    <x v="0"/>
    <s v="NÃO"/>
    <n v="0"/>
    <n v="0"/>
    <n v="0"/>
    <n v="0"/>
    <n v="0"/>
  </r>
  <r>
    <x v="0"/>
    <s v="BV45590"/>
    <s v="Pedido 85"/>
    <d v="2024-10-25T00:00:00"/>
    <x v="7"/>
    <s v="PedidoF78"/>
    <s v="CódRastreio78"/>
    <n v="1"/>
    <s v="CPF 83"/>
    <s v="Nome 83"/>
    <s v="Tel 83"/>
    <s v="Cep 83"/>
    <s v="Rua 83"/>
    <s v="Comp 83"/>
    <s v="Suporte de Celular Branco"/>
    <s v="16-4EDB-WMZF"/>
    <d v="2024-11-14T00:00:00"/>
    <n v="25.99"/>
    <n v="25.99"/>
    <n v="3.8984999999999994"/>
    <n v="22.09"/>
    <n v="4.99"/>
    <n v="0.55000000000000004"/>
    <n v="0.39877104377104378"/>
    <n v="0"/>
    <n v="16.151228956228955"/>
    <n v="8.0756144781144776"/>
    <x v="5"/>
    <x v="5"/>
    <x v="2"/>
    <d v="2024-11-22T00:00:00"/>
    <x v="1"/>
    <x v="0"/>
    <x v="1"/>
    <s v="ENTREGUE"/>
    <d v="2024-10-31T00:00:00"/>
    <x v="0"/>
    <s v="-"/>
    <n v="0"/>
    <n v="0"/>
    <n v="0"/>
    <n v="0"/>
    <n v="0"/>
  </r>
  <r>
    <x v="0"/>
    <s v="BV45591"/>
    <s v="Pedido 86"/>
    <d v="2024-10-26T00:00:00"/>
    <x v="9"/>
    <s v="PedidoF79"/>
    <s v="CódRastreio79"/>
    <n v="1"/>
    <s v="CPF 84"/>
    <s v="Nome 84"/>
    <s v="Tel 84"/>
    <s v="Cep 84"/>
    <s v="Rua 84"/>
    <s v="Comp 84"/>
    <s v="Ventilador Rosa"/>
    <s v="IF-G2ZQ-79FO"/>
    <d v="2024-11-14T00:00:00"/>
    <n v="59.99"/>
    <n v="59.99"/>
    <n v="7.7987000000000002"/>
    <n v="52.19"/>
    <n v="7.25"/>
    <n v="0.25"/>
    <n v="0.39877104377104378"/>
    <n v="0"/>
    <n v="44.291228956228956"/>
    <n v="22.145614478114478"/>
    <x v="5"/>
    <x v="5"/>
    <x v="2"/>
    <d v="2024-11-22T00:00:00"/>
    <x v="1"/>
    <x v="0"/>
    <x v="1"/>
    <s v="ENTREGUE"/>
    <d v="2024-11-05T00:00:00"/>
    <x v="0"/>
    <s v="-"/>
    <n v="0"/>
    <n v="0"/>
    <n v="0"/>
    <n v="0"/>
    <n v="0"/>
  </r>
  <r>
    <x v="0"/>
    <s v="BV45591"/>
    <s v="Pedido 87"/>
    <d v="2024-10-26T00:00:00"/>
    <x v="9"/>
    <s v="PedidoF80"/>
    <s v="CódRastreio80"/>
    <n v="1"/>
    <s v="CPF 85"/>
    <s v="Nome 85"/>
    <s v="Tel 85"/>
    <s v="Cep 85"/>
    <s v="Rua 85"/>
    <s v="Comp 85"/>
    <s v="Suporte de Celular Branco"/>
    <s v="16-4EDB-WMZF"/>
    <d v="2024-11-08T00:00:00"/>
    <n v="15.99"/>
    <n v="15.99"/>
    <n v="2.3984999999999999"/>
    <n v="13.59"/>
    <n v="4.99"/>
    <n v="0.25"/>
    <n v="0.39877104377104378"/>
    <n v="0"/>
    <n v="7.951228956228956"/>
    <n v="3.975614478114478"/>
    <x v="10"/>
    <x v="10"/>
    <x v="2"/>
    <d v="2024-11-22T00:00:00"/>
    <x v="1"/>
    <x v="0"/>
    <x v="1"/>
    <s v="ENTREGUE"/>
    <d v="2024-11-01T00:00:00"/>
    <x v="0"/>
    <s v="NÃO"/>
    <n v="0"/>
    <n v="0"/>
    <n v="0"/>
    <n v="0"/>
    <n v="0"/>
  </r>
  <r>
    <x v="0"/>
    <s v="BV45591"/>
    <s v="Pedido 88"/>
    <d v="2024-10-26T00:00:00"/>
    <x v="9"/>
    <s v="PedidoF81"/>
    <s v="CódRastreio81"/>
    <n v="1"/>
    <s v="CPF 86"/>
    <s v="Nome 86"/>
    <s v="Tel 86"/>
    <s v="Cep 86"/>
    <s v="Rua 86"/>
    <s v="Comp 86"/>
    <s v="Suporte de Celular Branco"/>
    <s v="16-4EDB-WMZF"/>
    <d v="2024-11-12T00:00:00"/>
    <n v="15.99"/>
    <n v="15.99"/>
    <n v="2.3984999999999999"/>
    <n v="13.59"/>
    <n v="4.99"/>
    <n v="0.25"/>
    <n v="0.39877104377104378"/>
    <n v="0"/>
    <n v="7.951228956228956"/>
    <n v="3.975614478114478"/>
    <x v="11"/>
    <x v="11"/>
    <x v="2"/>
    <d v="2024-11-22T00:00:00"/>
    <x v="1"/>
    <x v="0"/>
    <x v="1"/>
    <s v="ENTREGUE"/>
    <d v="2024-10-30T00:00:00"/>
    <x v="0"/>
    <s v="-"/>
    <n v="0"/>
    <n v="0"/>
    <n v="0"/>
    <n v="0"/>
    <n v="0"/>
  </r>
  <r>
    <x v="0"/>
    <s v="BV45591"/>
    <s v="Pedido 89"/>
    <d v="2024-10-26T00:00:00"/>
    <x v="9"/>
    <s v="PedidoF82"/>
    <s v="CódRastreio82"/>
    <n v="1"/>
    <s v="CPF 87"/>
    <s v="Nome 87"/>
    <s v="Tel 87"/>
    <s v="Cep 87"/>
    <s v="Rua 87"/>
    <s v="Comp 87"/>
    <s v="Suporte de Celular Branco"/>
    <s v="16-4EDB-WMZF"/>
    <d v="2024-11-14T00:00:00"/>
    <n v="15.99"/>
    <n v="15.99"/>
    <n v="2.3984999999999999"/>
    <n v="13.59"/>
    <n v="4.99"/>
    <n v="0.25"/>
    <n v="0.39877104377104378"/>
    <n v="0"/>
    <n v="7.951228956228956"/>
    <n v="3.975614478114478"/>
    <x v="5"/>
    <x v="5"/>
    <x v="2"/>
    <d v="2024-11-22T00:00:00"/>
    <x v="1"/>
    <x v="0"/>
    <x v="1"/>
    <s v="ENTREGUE"/>
    <d v="2024-10-31T00:00:00"/>
    <x v="0"/>
    <s v="-"/>
    <n v="0"/>
    <n v="0"/>
    <n v="0"/>
    <n v="0"/>
    <n v="0"/>
  </r>
  <r>
    <x v="0"/>
    <s v="BV45591"/>
    <s v="Pedido 90"/>
    <d v="2024-10-26T00:00:00"/>
    <x v="9"/>
    <s v="PedidoF83"/>
    <s v="CódRastreio83"/>
    <n v="1"/>
    <s v="CPF 88"/>
    <s v="Nome 88"/>
    <s v="Tel 88"/>
    <s v="Cep 88"/>
    <s v="Rua 88"/>
    <s v="Comp 88"/>
    <s v="Bomba d'agua"/>
    <s v="DJ-RO5O-43GF"/>
    <d v="2024-11-14T00:00:00"/>
    <n v="18.3"/>
    <n v="18.3"/>
    <n v="2.5620000000000003"/>
    <n v="15.74"/>
    <n v="4.99"/>
    <n v="0.25"/>
    <n v="0.39877104377104378"/>
    <n v="0"/>
    <n v="10.101228956228956"/>
    <n v="5.0506144781144782"/>
    <x v="5"/>
    <x v="5"/>
    <x v="2"/>
    <d v="2024-11-22T00:00:00"/>
    <x v="1"/>
    <x v="0"/>
    <x v="1"/>
    <s v="ENTREGUE"/>
    <d v="2024-10-31T00:00:00"/>
    <x v="0"/>
    <s v="-"/>
    <n v="0"/>
    <n v="0"/>
    <n v="0"/>
    <n v="0"/>
    <n v="0"/>
  </r>
  <r>
    <x v="0"/>
    <s v="BV45591"/>
    <s v="Pedido 91"/>
    <d v="2024-10-26T00:00:00"/>
    <x v="9"/>
    <s v="PedidoF84"/>
    <s v="CódRastreio84"/>
    <n v="1"/>
    <s v="CPF 89"/>
    <s v="Nome 89"/>
    <s v="Tel 89"/>
    <s v="Cep 89"/>
    <s v="Rua 89"/>
    <s v="Comp 89"/>
    <s v="Suporte de Celular Branco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x v="18"/>
    <x v="17"/>
    <x v="6"/>
    <d v="2024-11-29T00:00:00"/>
    <x v="1"/>
    <x v="0"/>
    <x v="1"/>
    <s v="ENTREGUE"/>
    <d v="2024-11-05T00:00:00"/>
    <x v="0"/>
    <s v="NÃO"/>
    <n v="0"/>
    <n v="0"/>
    <n v="0"/>
    <n v="0"/>
    <n v="0"/>
  </r>
  <r>
    <x v="0"/>
    <s v="BV45591"/>
    <s v="Pedido 92"/>
    <d v="2024-10-26T00:00:00"/>
    <x v="9"/>
    <s v="PedidoF85"/>
    <s v="CódRastreio85"/>
    <n v="1"/>
    <s v="CPF 90"/>
    <s v="Nome 90"/>
    <s v="Tel 90"/>
    <s v="Cep 90"/>
    <s v="Rua 90"/>
    <s v="Comp 90"/>
    <s v="Bomba d'agua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x v="18"/>
    <x v="17"/>
    <x v="6"/>
    <d v="2024-11-29T00:00:00"/>
    <x v="1"/>
    <x v="0"/>
    <x v="1"/>
    <s v="ENTREGUE"/>
    <d v="2024-11-02T00:00:00"/>
    <x v="0"/>
    <s v="NÃO"/>
    <n v="0"/>
    <n v="0"/>
    <n v="0"/>
    <n v="0"/>
    <n v="0"/>
  </r>
  <r>
    <x v="0"/>
    <s v="BV45591"/>
    <s v="Pedido 93"/>
    <d v="2024-10-26T00:00:00"/>
    <x v="9"/>
    <s v="PedidoF86"/>
    <s v="CódRastreio86"/>
    <n v="1"/>
    <s v="CPF 91"/>
    <s v="Nome 91"/>
    <s v="Tel 91"/>
    <s v="Cep 91"/>
    <s v="Rua 91"/>
    <s v="Comp 91"/>
    <s v="Bomba d'agua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x v="18"/>
    <x v="17"/>
    <x v="6"/>
    <d v="2024-11-29T00:00:00"/>
    <x v="1"/>
    <x v="0"/>
    <x v="1"/>
    <s v="ENTREGUE"/>
    <d v="2024-11-01T00:00:00"/>
    <x v="0"/>
    <s v="-"/>
    <n v="0"/>
    <n v="0"/>
    <n v="0"/>
    <n v="0"/>
    <n v="0"/>
  </r>
  <r>
    <x v="0"/>
    <s v="BV45591"/>
    <s v="Pedido 94"/>
    <d v="2024-10-26T00:00:00"/>
    <x v="9"/>
    <s v="PedidoF87"/>
    <s v="CódRastreio87"/>
    <n v="1"/>
    <s v="CPF 92"/>
    <s v="Nome 92"/>
    <s v="Tel 92"/>
    <s v="Cep 92"/>
    <s v="Rua 92"/>
    <s v="Comp 92"/>
    <s v="Bomba d'agua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x v="18"/>
    <x v="17"/>
    <x v="6"/>
    <d v="2024-11-29T00:00:00"/>
    <x v="1"/>
    <x v="0"/>
    <x v="1"/>
    <s v="ENTREGUE"/>
    <d v="2024-11-05T00:00:00"/>
    <x v="0"/>
    <s v="SIM"/>
    <n v="0"/>
    <n v="0"/>
    <n v="0"/>
    <n v="0"/>
    <n v="0"/>
  </r>
  <r>
    <x v="0"/>
    <s v="BV45591"/>
    <s v="Pedido 95"/>
    <d v="2024-10-26T00:00:00"/>
    <x v="9"/>
    <s v="PedidoF88"/>
    <s v="CódRastreio88"/>
    <n v="1"/>
    <s v="CPF 93"/>
    <s v="Nome 93"/>
    <s v="Tel 93"/>
    <s v="Cep 93"/>
    <s v="Rua 93"/>
    <s v="Comp 93"/>
    <s v="Suporte de Celular Branco"/>
    <s v="16-4EDB-WMZF"/>
    <d v="2024-11-14T00:00:00"/>
    <n v="15.99"/>
    <n v="15.99"/>
    <n v="2.3984999999999999"/>
    <n v="13.59"/>
    <n v="4.99"/>
    <n v="0.25"/>
    <n v="0.39877104377104378"/>
    <n v="0"/>
    <n v="7.951228956228956"/>
    <n v="3.975614478114478"/>
    <x v="5"/>
    <x v="5"/>
    <x v="2"/>
    <d v="2024-11-22T00:00:00"/>
    <x v="1"/>
    <x v="0"/>
    <x v="1"/>
    <s v="ENTREGUE"/>
    <d v="2024-10-30T00:00:00"/>
    <x v="0"/>
    <s v="SIM"/>
    <n v="0"/>
    <n v="0"/>
    <n v="0"/>
    <n v="0"/>
    <n v="0"/>
  </r>
  <r>
    <x v="0"/>
    <s v="BV45591"/>
    <s v="Pedido 96"/>
    <d v="2024-10-26T00:00:00"/>
    <x v="9"/>
    <s v="PedidoF89"/>
    <s v="CódRastreio89"/>
    <n v="1"/>
    <s v="CPF 74"/>
    <s v="Nome 74"/>
    <s v="Tel 74"/>
    <s v="Cep 74"/>
    <s v="Rua 74"/>
    <s v="Comp 74"/>
    <s v="Suporte de Celular Branco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x v="18"/>
    <x v="17"/>
    <x v="6"/>
    <d v="2024-11-29T00:00:00"/>
    <x v="1"/>
    <x v="0"/>
    <x v="1"/>
    <s v="ENTREGUE"/>
    <d v="2024-11-05T00:00:00"/>
    <x v="0"/>
    <s v="SIM"/>
    <n v="0"/>
    <n v="0"/>
    <n v="0"/>
    <n v="0"/>
    <n v="0"/>
  </r>
  <r>
    <x v="0"/>
    <s v="BV45591"/>
    <s v="Pedido 97"/>
    <d v="2024-10-26T00:00:00"/>
    <x v="9"/>
    <s v="PedidoF90"/>
    <s v="CódRastreio90"/>
    <n v="1"/>
    <s v="CPF 94"/>
    <s v="Nome 94"/>
    <s v="Tel 94"/>
    <s v="Cep 94"/>
    <s v="Rua 94"/>
    <s v="Comp 94"/>
    <s v="Suporte de Celular Branco"/>
    <s v="16-4EDB-WMZF"/>
    <d v="2024-11-21T00:00:00"/>
    <n v="15.99"/>
    <n v="15.99"/>
    <n v="2.3984999999999999"/>
    <n v="13.59"/>
    <n v="4.99"/>
    <n v="0.25"/>
    <n v="0.39877104377104378"/>
    <n v="0"/>
    <n v="7.951228956228956"/>
    <n v="3.975614478114478"/>
    <x v="18"/>
    <x v="17"/>
    <x v="6"/>
    <d v="2024-11-29T00:00:00"/>
    <x v="1"/>
    <x v="0"/>
    <x v="1"/>
    <s v="ENTREGUE"/>
    <d v="2024-11-02T00:00:00"/>
    <x v="0"/>
    <s v="SIM"/>
    <n v="0"/>
    <n v="0"/>
    <n v="0"/>
    <n v="0"/>
    <n v="0"/>
  </r>
  <r>
    <x v="0"/>
    <s v="BV45591"/>
    <s v="Pedido 98"/>
    <d v="2024-10-26T00:00:00"/>
    <x v="9"/>
    <s v="PedidoF91"/>
    <s v="CódRastreio91"/>
    <n v="1"/>
    <s v="CPF 95"/>
    <s v="Nome 95"/>
    <s v="Tel 95"/>
    <s v="Cep 95"/>
    <s v="Rua 95"/>
    <s v="Comp 95"/>
    <s v="Mini Liquidificador"/>
    <s v="CK-YL6M-P5Y6"/>
    <d v="2024-11-14T00:00:00"/>
    <n v="33.99"/>
    <n v="33.99"/>
    <n v="4.4187000000000003"/>
    <n v="29.57"/>
    <n v="9.99"/>
    <n v="0.25"/>
    <n v="0.39877104377104378"/>
    <n v="0"/>
    <n v="18.931228956228956"/>
    <n v="9.4656144781144782"/>
    <x v="5"/>
    <x v="5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1"/>
    <s v="Pedido 99"/>
    <d v="2024-10-26T00:00:00"/>
    <x v="9"/>
    <s v="PedidoF92"/>
    <s v="CódRastreio92"/>
    <n v="1"/>
    <s v="CPF 96"/>
    <s v="Nome 96"/>
    <s v="Tel 96"/>
    <s v="Cep 96"/>
    <s v="Rua 96"/>
    <s v="Comp 96"/>
    <s v="Mini Liquidificador"/>
    <s v="CK-YL6M-P5Y6"/>
    <d v="2024-11-12T00:00:00"/>
    <n v="23.99"/>
    <n v="23.99"/>
    <n v="3.1187"/>
    <n v="20.87"/>
    <n v="9.99"/>
    <n v="0.25"/>
    <n v="0.39877104377104378"/>
    <n v="0"/>
    <n v="10.231228956228957"/>
    <n v="5.1156144781144786"/>
    <x v="11"/>
    <x v="11"/>
    <x v="2"/>
    <d v="2024-11-22T00:00:00"/>
    <x v="1"/>
    <x v="0"/>
    <x v="1"/>
    <s v="ENTREGUE"/>
    <d v="2024-10-30T00:00:00"/>
    <x v="0"/>
    <s v="-"/>
    <n v="0"/>
    <n v="0"/>
    <n v="0"/>
    <n v="0"/>
    <n v="0"/>
  </r>
  <r>
    <x v="0"/>
    <s v="BV45591"/>
    <s v="Pedido 100"/>
    <d v="2024-10-26T00:00:00"/>
    <x v="9"/>
    <s v="PedidoF93"/>
    <s v="CódRastreio93"/>
    <n v="1"/>
    <s v="CPF 97"/>
    <s v="Nome 97"/>
    <s v="Tel 97"/>
    <s v="Cep 97"/>
    <s v="Rua 97"/>
    <s v="Comp 97"/>
    <s v="Suporte de Celular Preto"/>
    <s v="9G-BN48-QAPH"/>
    <d v="2024-11-14T00:00:00"/>
    <n v="15.2"/>
    <n v="15.2"/>
    <n v="2.2799999999999998"/>
    <n v="12.92"/>
    <n v="4.99"/>
    <n v="0.25"/>
    <n v="0.39877104377104378"/>
    <n v="0"/>
    <n v="7.2812289562289561"/>
    <n v="3.640614478114478"/>
    <x v="5"/>
    <x v="5"/>
    <x v="2"/>
    <d v="2024-11-22T00:00:00"/>
    <x v="1"/>
    <x v="0"/>
    <x v="1"/>
    <s v="ENTREGUE"/>
    <d v="2024-10-31T00:00:00"/>
    <x v="0"/>
    <s v="-"/>
    <n v="0"/>
    <n v="0"/>
    <n v="0"/>
    <n v="0"/>
    <n v="0"/>
  </r>
  <r>
    <x v="0"/>
    <s v="BV45591"/>
    <s v="Pedido 101"/>
    <d v="2024-10-26T00:00:00"/>
    <x v="9"/>
    <s v="PedidoF94"/>
    <s v="CódRastreio94"/>
    <n v="1"/>
    <s v="CPF 98"/>
    <s v="Nome 98"/>
    <s v="Tel 98"/>
    <s v="Cep 98"/>
    <s v="Rua 98"/>
    <s v="Comp 98"/>
    <s v="Suporte de Celular Preto"/>
    <s v="9G-BN48-QAPH"/>
    <d v="2024-11-21T00:00:00"/>
    <n v="15.2"/>
    <n v="15.2"/>
    <n v="2.2799999999999998"/>
    <n v="12.92"/>
    <n v="4.99"/>
    <n v="0.25"/>
    <n v="0.39877104377104378"/>
    <n v="0"/>
    <n v="7.2812289562289561"/>
    <n v="3.640614478114478"/>
    <x v="18"/>
    <x v="17"/>
    <x v="6"/>
    <d v="2024-11-29T00:00:00"/>
    <x v="1"/>
    <x v="0"/>
    <x v="1"/>
    <s v="ENTREGUE"/>
    <d v="2024-11-02T00:00:00"/>
    <x v="0"/>
    <s v="NÃO"/>
    <n v="0"/>
    <n v="0"/>
    <n v="0"/>
    <n v="0"/>
    <n v="0"/>
  </r>
  <r>
    <x v="0"/>
    <s v="BV45591"/>
    <s v="Pedido 102"/>
    <d v="2024-10-26T00:00:00"/>
    <x v="9"/>
    <s v="PedidoF95"/>
    <s v="CódRastreio95"/>
    <n v="1"/>
    <s v="CPF 99"/>
    <s v="Nome 99"/>
    <s v="Tel 99"/>
    <s v="Cep 99"/>
    <s v="Rua 99"/>
    <s v="Comp 99"/>
    <s v="Balança"/>
    <s v="P4-K63S-8KOM"/>
    <d v="2024-11-14T00:00:00"/>
    <n v="15.98"/>
    <n v="15.98"/>
    <n v="2.0773999999999999"/>
    <n v="13.9"/>
    <n v="8.74"/>
    <n v="0.25"/>
    <n v="0.39877104377104378"/>
    <n v="0"/>
    <n v="4.5112289562289565"/>
    <n v="2.2556144781144782"/>
    <x v="5"/>
    <x v="5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1"/>
    <s v="Pedido 103"/>
    <d v="2024-10-26T00:00:00"/>
    <x v="9"/>
    <s v="PedidoF96"/>
    <s v="CódRastreio96"/>
    <n v="1"/>
    <s v="CPF 100"/>
    <s v="Nome 100"/>
    <s v="Tel 100"/>
    <s v="Cep 100"/>
    <s v="Rua 100"/>
    <s v="Comp 100"/>
    <s v="Bomba d'agua"/>
    <s v="DJ-RO5O-43GF"/>
    <d v="2024-11-21T00:00:00"/>
    <n v="18.3"/>
    <n v="18.3"/>
    <n v="2.5620000000000003"/>
    <n v="15.74"/>
    <n v="4.99"/>
    <n v="0.25"/>
    <n v="0.39877104377104378"/>
    <n v="0"/>
    <n v="10.101228956228956"/>
    <n v="5.0506144781144782"/>
    <x v="18"/>
    <x v="17"/>
    <x v="6"/>
    <d v="2024-11-29T00:00:00"/>
    <x v="1"/>
    <x v="0"/>
    <x v="1"/>
    <s v="ENTREGUE"/>
    <d v="2024-11-08T00:00:00"/>
    <x v="0"/>
    <s v="SIM"/>
    <n v="0"/>
    <n v="0"/>
    <n v="0"/>
    <n v="0"/>
    <n v="0"/>
  </r>
  <r>
    <x v="0"/>
    <s v="BV45591"/>
    <s v="Pedido 104"/>
    <d v="2024-10-26T00:00:00"/>
    <x v="9"/>
    <s v="PedidoF97"/>
    <s v="CódRastreio97"/>
    <n v="1"/>
    <s v="CPF 101"/>
    <s v="Nome 101"/>
    <s v="Tel 101"/>
    <s v="Cep 101"/>
    <s v="Rua 101"/>
    <s v="Comp 101"/>
    <s v="Ventilador Rosa"/>
    <s v="IF-G2ZQ-79FO"/>
    <d v="2024-11-28T00:00:00"/>
    <n v="59.99"/>
    <n v="59.99"/>
    <n v="7.7987000000000002"/>
    <n v="52.19"/>
    <n v="7.25"/>
    <n v="0.25"/>
    <n v="0.39877104377104378"/>
    <n v="0"/>
    <n v="44.291228956228956"/>
    <n v="22.145614478114478"/>
    <x v="17"/>
    <x v="16"/>
    <x v="1"/>
    <d v="2024-12-16T00:00:00"/>
    <x v="0"/>
    <x v="0"/>
    <x v="1"/>
    <s v="ENTREGUE"/>
    <d v="2024-11-14T00:00:00"/>
    <x v="0"/>
    <s v="SIM"/>
    <n v="0"/>
    <n v="0"/>
    <n v="0"/>
    <n v="0"/>
    <n v="0"/>
  </r>
  <r>
    <x v="0"/>
    <s v="BV45591"/>
    <s v="Pedido 105"/>
    <d v="2024-10-26T00:00:00"/>
    <x v="9"/>
    <s v="PedidoF98"/>
    <s v="CódRastreio98"/>
    <n v="1"/>
    <s v="CPF 102"/>
    <s v="Nome 102"/>
    <s v="Tel 102"/>
    <s v="Cep 102"/>
    <s v="Rua 102"/>
    <s v="Comp 102"/>
    <s v="Suporte de Celular Branco"/>
    <s v="16-4EDB-WMZF"/>
    <d v="2024-11-14T00:00:00"/>
    <n v="30"/>
    <n v="30"/>
    <n v="4.5"/>
    <n v="25.5"/>
    <n v="0"/>
    <n v="0.25"/>
    <n v="0.39877104377104378"/>
    <n v="0"/>
    <n v="24.851228956228955"/>
    <n v="12.425614478114477"/>
    <x v="5"/>
    <x v="7"/>
    <x v="2"/>
    <d v="2024-11-22T00:00:00"/>
    <x v="1"/>
    <x v="0"/>
    <x v="1"/>
    <s v="ENTREGUE"/>
    <d v="2024-11-01T00:00:00"/>
    <x v="0"/>
    <s v="NÃO"/>
    <n v="0"/>
    <n v="0"/>
    <n v="0"/>
    <n v="0"/>
    <n v="0"/>
  </r>
  <r>
    <x v="0"/>
    <s v="BV45592"/>
    <s v="Pedido 106"/>
    <d v="2024-10-27T00:00:00"/>
    <x v="10"/>
    <s v="PedidoF99"/>
    <s v="CódRastreio99"/>
    <n v="1"/>
    <s v="CPF 103"/>
    <s v="Nome 103"/>
    <s v="Tel 103"/>
    <s v="Cep 103"/>
    <s v="Rua 103"/>
    <s v="Comp 103"/>
    <s v="Suporte de Celular Branco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x v="5"/>
    <x v="5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2"/>
    <s v="Pedido 107"/>
    <d v="2024-10-27T00:00:00"/>
    <x v="10"/>
    <s v="PedidoF100"/>
    <s v="CódRastreio100"/>
    <n v="1"/>
    <s v="CPF 104"/>
    <s v="Nome 104"/>
    <s v="Tel 104"/>
    <s v="Cep 104"/>
    <s v="Rua 104"/>
    <s v="Comp 104"/>
    <s v="Suporte de Celular Branco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x v="5"/>
    <x v="5"/>
    <x v="2"/>
    <d v="2024-11-22T00:00:00"/>
    <x v="1"/>
    <x v="0"/>
    <x v="1"/>
    <s v="ENTREGUE"/>
    <d v="2024-11-04T00:00:00"/>
    <x v="0"/>
    <s v="SIM"/>
    <n v="0"/>
    <n v="0"/>
    <n v="0"/>
    <n v="0"/>
    <n v="0"/>
  </r>
  <r>
    <x v="0"/>
    <s v="BV45592"/>
    <s v="Pedido 108"/>
    <d v="2024-10-27T00:00:00"/>
    <x v="10"/>
    <s v="PedidoF101"/>
    <s v="CódRastreio101"/>
    <n v="1"/>
    <s v="CPF 105"/>
    <s v="Nome 105"/>
    <s v="Tel 105"/>
    <s v="Cep 105"/>
    <s v="Rua 105"/>
    <s v="Comp 105"/>
    <s v="Bomba d'agua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x v="18"/>
    <x v="17"/>
    <x v="6"/>
    <d v="2024-11-29T00:00:00"/>
    <x v="1"/>
    <x v="0"/>
    <x v="1"/>
    <s v="ENTREGUE"/>
    <d v="2024-11-07T00:00:00"/>
    <x v="0"/>
    <s v="NÃO"/>
    <n v="0"/>
    <n v="0"/>
    <n v="0"/>
    <n v="0"/>
    <n v="0"/>
  </r>
  <r>
    <x v="0"/>
    <s v="BV45592"/>
    <s v="Pedido 109"/>
    <d v="2024-10-27T00:00:00"/>
    <x v="10"/>
    <s v="PedidoF102"/>
    <s v="CódRastreio102"/>
    <n v="1"/>
    <s v="CPF 106"/>
    <s v="Nome 106"/>
    <s v="Tel 106"/>
    <s v="Cep 106"/>
    <s v="Rua 106"/>
    <s v="Comp 106"/>
    <s v="Bomba d'agua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x v="18"/>
    <x v="17"/>
    <x v="6"/>
    <d v="2024-11-29T00:00:00"/>
    <x v="1"/>
    <x v="0"/>
    <x v="1"/>
    <s v="ENTREGUE"/>
    <d v="2024-11-04T00:00:00"/>
    <x v="0"/>
    <s v="-"/>
    <n v="0"/>
    <n v="0"/>
    <n v="0"/>
    <n v="0"/>
    <n v="0"/>
  </r>
  <r>
    <x v="0"/>
    <s v="BV45592"/>
    <s v="Pedido 110"/>
    <d v="2024-10-27T00:00:00"/>
    <x v="10"/>
    <s v="PedidoF103"/>
    <s v="CódRastreio103"/>
    <n v="1"/>
    <s v="CPF 107"/>
    <s v="Nome 107"/>
    <s v="Tel 107"/>
    <s v="Cep 107"/>
    <s v="Rua 107"/>
    <s v="Comp 107"/>
    <s v="Bomba d'agua"/>
    <s v="DJ-RO5O-43GF"/>
    <d v="2024-11-14T00:00:00"/>
    <n v="18.2"/>
    <n v="18.2"/>
    <n v="2.548"/>
    <n v="15.65"/>
    <n v="4.99"/>
    <n v="0.32"/>
    <n v="0.39877104377104378"/>
    <n v="0"/>
    <n v="9.9412289562289562"/>
    <n v="4.9706144781144781"/>
    <x v="5"/>
    <x v="5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2"/>
    <s v="Pedido 111"/>
    <d v="2024-10-27T00:00:00"/>
    <x v="10"/>
    <s v="PedidoF104"/>
    <s v="CódRastreio104"/>
    <n v="1"/>
    <s v="CPF 108"/>
    <s v="Nome 108"/>
    <s v="Tel 108"/>
    <s v="Cep 108"/>
    <s v="Rua 108"/>
    <s v="Comp 108"/>
    <s v="Suporte de Celular Branco"/>
    <s v="16-4EDB-WMZF"/>
    <d v="2024-11-12T00:00:00"/>
    <n v="15.99"/>
    <n v="15.99"/>
    <n v="2.3984999999999999"/>
    <n v="13.59"/>
    <n v="4.99"/>
    <n v="0.32"/>
    <n v="0.39877104377104378"/>
    <n v="0"/>
    <n v="7.8812289562289557"/>
    <n v="3.9406144781144778"/>
    <x v="11"/>
    <x v="11"/>
    <x v="2"/>
    <d v="2024-11-22T00:00:00"/>
    <x v="1"/>
    <x v="0"/>
    <x v="1"/>
    <s v="ENTREGUE"/>
    <d v="2024-10-30T00:00:00"/>
    <x v="0"/>
    <s v="SIM"/>
    <n v="0"/>
    <n v="0"/>
    <n v="0"/>
    <n v="0"/>
    <n v="0"/>
  </r>
  <r>
    <x v="0"/>
    <s v="BV45592"/>
    <s v="Pedido 112"/>
    <d v="2024-10-27T00:00:00"/>
    <x v="10"/>
    <s v="PedidoF105"/>
    <s v="CódRastreio105"/>
    <n v="1"/>
    <s v="CPF 109"/>
    <s v="Nome 109"/>
    <s v="Tel 109"/>
    <s v="Cep 109"/>
    <s v="Rua 109"/>
    <s v="Comp 109"/>
    <s v="Suporte de Celular Branco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x v="5"/>
    <x v="5"/>
    <x v="2"/>
    <d v="2024-11-22T00:00:00"/>
    <x v="1"/>
    <x v="0"/>
    <x v="1"/>
    <s v="ENTREGUE"/>
    <d v="2024-10-30T00:00:00"/>
    <x v="0"/>
    <s v="NÃO"/>
    <n v="0"/>
    <n v="0"/>
    <n v="0"/>
    <n v="0"/>
    <n v="0"/>
  </r>
  <r>
    <x v="0"/>
    <s v="BV45592"/>
    <s v="Pedido 113"/>
    <d v="2024-10-27T00:00:00"/>
    <x v="10"/>
    <s v="PedidoF106"/>
    <s v="CódRastreio106"/>
    <n v="1"/>
    <s v="CPF 110"/>
    <s v="Nome 110"/>
    <s v="Tel 110"/>
    <s v="Cep 110"/>
    <s v="Rua 110"/>
    <s v="Comp 110"/>
    <s v="Mini Liquidificador"/>
    <s v="CK-YL6M-P5Y6"/>
    <d v="2024-11-21T00:00:00"/>
    <n v="23.2"/>
    <n v="23.2"/>
    <n v="3.016"/>
    <n v="20.18"/>
    <n v="9.99"/>
    <n v="0.32"/>
    <n v="0.39877104377104378"/>
    <n v="0"/>
    <n v="9.4712289562289556"/>
    <n v="4.7356144781144778"/>
    <x v="18"/>
    <x v="17"/>
    <x v="6"/>
    <d v="2024-11-29T00:00:00"/>
    <x v="1"/>
    <x v="0"/>
    <x v="1"/>
    <s v="ENTREGUE"/>
    <d v="2024-11-05T00:00:00"/>
    <x v="0"/>
    <s v="SIM"/>
    <n v="0"/>
    <n v="0"/>
    <n v="0"/>
    <n v="0"/>
    <n v="0"/>
  </r>
  <r>
    <x v="0"/>
    <s v="BV45592"/>
    <s v="Pedido 114"/>
    <d v="2024-10-27T00:00:00"/>
    <x v="10"/>
    <s v="PedidoF107"/>
    <s v="CódRastreio107"/>
    <n v="1"/>
    <s v="CPF 111"/>
    <s v="Nome 111"/>
    <s v="Tel 111"/>
    <s v="Cep 111"/>
    <s v="Rua 111"/>
    <s v="Comp 111"/>
    <s v="Mini Liquidificador"/>
    <s v="CK-YL6M-P5Y6"/>
    <d v="2024-11-21T00:00:00"/>
    <n v="23.2"/>
    <n v="23.2"/>
    <n v="3.016"/>
    <n v="20.18"/>
    <n v="9.99"/>
    <n v="0.32"/>
    <n v="0.39877104377104378"/>
    <n v="0"/>
    <n v="9.4712289562289556"/>
    <n v="4.7356144781144778"/>
    <x v="18"/>
    <x v="17"/>
    <x v="6"/>
    <d v="2024-11-29T00:00:00"/>
    <x v="1"/>
    <x v="0"/>
    <x v="1"/>
    <s v="ENTREGUE"/>
    <d v="2024-11-09T00:00:00"/>
    <x v="0"/>
    <s v="SIM"/>
    <n v="0"/>
    <n v="0"/>
    <n v="0"/>
    <n v="0"/>
    <n v="0"/>
  </r>
  <r>
    <x v="0"/>
    <s v="BV45592"/>
    <s v="Pedido 115"/>
    <d v="2024-10-27T00:00:00"/>
    <x v="10"/>
    <s v="PedidoF108"/>
    <s v="CódRastreio108"/>
    <n v="1"/>
    <s v="CPF 112"/>
    <s v="Nome 112"/>
    <s v="Tel 112"/>
    <s v="Cep 112"/>
    <s v="Rua 112"/>
    <s v="Comp 112"/>
    <s v="Suporte de Celular Branco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x v="5"/>
    <x v="5"/>
    <x v="2"/>
    <d v="2024-11-22T00:00:00"/>
    <x v="1"/>
    <x v="0"/>
    <x v="1"/>
    <s v="ENTREGUE"/>
    <d v="2024-11-12T00:00:00"/>
    <x v="0"/>
    <s v="-"/>
    <n v="0"/>
    <n v="0"/>
    <n v="0"/>
    <n v="0"/>
    <n v="0"/>
  </r>
  <r>
    <x v="0"/>
    <s v="BV45592"/>
    <s v="Pedido 116"/>
    <d v="2024-10-27T00:00:00"/>
    <x v="10"/>
    <s v="PedidoF109"/>
    <s v="CódRastreio109"/>
    <n v="1"/>
    <s v="CPF 113"/>
    <s v="Nome 113"/>
    <s v="Tel 113"/>
    <s v="Cep 113"/>
    <s v="Rua 113"/>
    <s v="Comp 113"/>
    <s v="Bomba d'agua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x v="18"/>
    <x v="17"/>
    <x v="6"/>
    <d v="2024-11-29T00:00:00"/>
    <x v="1"/>
    <x v="0"/>
    <x v="1"/>
    <s v="ENTREGUE"/>
    <d v="2024-11-01T00:00:00"/>
    <x v="0"/>
    <s v="NÃO"/>
    <n v="0"/>
    <n v="0"/>
    <n v="0"/>
    <n v="0"/>
    <n v="0"/>
  </r>
  <r>
    <x v="0"/>
    <s v="BV45592"/>
    <s v="Pedido 117"/>
    <d v="2024-10-27T00:00:00"/>
    <x v="10"/>
    <s v="PedidoF110"/>
    <s v="CódRastreio110"/>
    <n v="1"/>
    <s v="CPF 114"/>
    <s v="Nome 114"/>
    <s v="Tel 114"/>
    <s v="Cep 114"/>
    <s v="Rua 114"/>
    <s v="Comp 114"/>
    <s v="Suporte de Celular Branco"/>
    <s v="16-4EDB-WMZF"/>
    <d v="2024-11-08T00:00:00"/>
    <n v="15.99"/>
    <n v="15.99"/>
    <n v="2.3984999999999999"/>
    <n v="13.59"/>
    <n v="4.99"/>
    <n v="0.32"/>
    <n v="0.39877104377104378"/>
    <n v="0"/>
    <n v="7.8812289562289557"/>
    <n v="3.9406144781144778"/>
    <x v="10"/>
    <x v="10"/>
    <x v="2"/>
    <d v="2024-11-22T00:00:00"/>
    <x v="1"/>
    <x v="0"/>
    <x v="1"/>
    <s v="ENTREGUE"/>
    <d v="2024-10-31T00:00:00"/>
    <x v="0"/>
    <s v="SIM"/>
    <n v="0"/>
    <n v="0"/>
    <n v="0"/>
    <n v="0"/>
    <n v="0"/>
  </r>
  <r>
    <x v="0"/>
    <s v="BV45592"/>
    <s v="Pedido 118"/>
    <d v="2024-10-27T00:00:00"/>
    <x v="10"/>
    <s v="PedidoF111"/>
    <s v="CódRastreio111"/>
    <n v="1"/>
    <s v="CPF 115"/>
    <s v="Nome 115"/>
    <s v="Tel 115"/>
    <s v="Cep 115"/>
    <s v="Rua 115"/>
    <s v="Comp 115"/>
    <s v="Suporte de Celular Branco"/>
    <s v="16-4EDB-WMZF"/>
    <d v="2024-11-14T00:00:00"/>
    <n v="15.99"/>
    <n v="15.99"/>
    <n v="2.3984999999999999"/>
    <n v="13.59"/>
    <n v="4.99"/>
    <n v="0.32"/>
    <n v="0.39877104377104378"/>
    <n v="0"/>
    <n v="7.8812289562289557"/>
    <n v="3.9406144781144778"/>
    <x v="5"/>
    <x v="5"/>
    <x v="2"/>
    <d v="2024-11-22T00:00:00"/>
    <x v="1"/>
    <x v="0"/>
    <x v="1"/>
    <s v="ENTREGUE"/>
    <d v="2024-10-31T00:00:00"/>
    <x v="0"/>
    <s v="SIM"/>
    <n v="0"/>
    <n v="0"/>
    <n v="0"/>
    <n v="0"/>
    <n v="0"/>
  </r>
  <r>
    <x v="0"/>
    <s v="BV45592"/>
    <s v="Pedido 119"/>
    <d v="2024-10-27T00:00:00"/>
    <x v="10"/>
    <s v="PedidoF112"/>
    <s v="CódRastreio112"/>
    <n v="1"/>
    <s v="CPF 116"/>
    <s v="Nome 116"/>
    <s v="Tel 116"/>
    <s v="Cep 116"/>
    <s v="Rua 116"/>
    <s v="Comp 116"/>
    <s v="Multi Processador 5 Laminas"/>
    <s v="T9-P952-TL6A"/>
    <d v="2024-11-08T00:00:00"/>
    <n v="26.2"/>
    <n v="26.2"/>
    <n v="3.4060000000000001"/>
    <n v="22.79"/>
    <n v="9.59"/>
    <n v="0.32"/>
    <n v="0.39877104377104378"/>
    <n v="0"/>
    <n v="12.481228956228955"/>
    <n v="6.2406144781144777"/>
    <x v="10"/>
    <x v="10"/>
    <x v="2"/>
    <d v="2024-11-22T00:00:00"/>
    <x v="1"/>
    <x v="0"/>
    <x v="1"/>
    <s v="ENTREGUE"/>
    <d v="2024-10-30T00:00:00"/>
    <x v="0"/>
    <s v="NÃO"/>
    <n v="0"/>
    <n v="0"/>
    <n v="0"/>
    <n v="0"/>
    <n v="0"/>
  </r>
  <r>
    <x v="0"/>
    <s v="BV45592"/>
    <s v="Pedido 120"/>
    <d v="2024-10-27T00:00:00"/>
    <x v="10"/>
    <s v="PedidoF113"/>
    <s v="CódRastreio113"/>
    <n v="1"/>
    <s v="CPF 117"/>
    <s v="Nome 117"/>
    <s v="Tel 117"/>
    <s v="Cep 117"/>
    <s v="Rua 117"/>
    <s v="Comp 117"/>
    <s v="Mini Liquidificador"/>
    <s v="CK-YL6M-P5Y6"/>
    <d v="2024-11-08T00:00:00"/>
    <n v="23.2"/>
    <n v="23.2"/>
    <n v="3.016"/>
    <n v="20.18"/>
    <n v="9.99"/>
    <n v="0.32"/>
    <n v="0.39877104377104378"/>
    <n v="0"/>
    <n v="9.4712289562289556"/>
    <n v="4.7356144781144778"/>
    <x v="10"/>
    <x v="10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92"/>
    <s v="Pedido 121"/>
    <d v="2024-10-27T00:00:00"/>
    <x v="10"/>
    <s v="PedidoF114"/>
    <s v="CódRastreio114"/>
    <n v="1"/>
    <s v="CPF 118"/>
    <s v="Nome 118"/>
    <s v="Tel 118"/>
    <s v="Cep 118"/>
    <s v="Rua 118"/>
    <s v="Comp 118"/>
    <s v="Ventilador Rosa"/>
    <s v="IF-G2ZQ-79FO"/>
    <d v="2024-11-14T00:00:00"/>
    <n v="64.989999999999995"/>
    <n v="64.989999999999995"/>
    <n v="8.4486999999999988"/>
    <n v="56.54"/>
    <n v="7.25"/>
    <n v="0.32"/>
    <n v="0.39877104377104378"/>
    <n v="0"/>
    <n v="48.571228956228957"/>
    <n v="24.285614478114478"/>
    <x v="5"/>
    <x v="5"/>
    <x v="2"/>
    <d v="2024-11-22T00:00:00"/>
    <x v="1"/>
    <x v="0"/>
    <x v="1"/>
    <s v="ENTREGUE"/>
    <d v="2024-11-07T00:00:00"/>
    <x v="0"/>
    <s v="NÃO"/>
    <n v="0"/>
    <n v="0"/>
    <n v="0"/>
    <n v="0"/>
    <n v="0"/>
  </r>
  <r>
    <x v="0"/>
    <s v="BV45592"/>
    <s v="Pedido 122"/>
    <d v="2024-10-27T00:00:00"/>
    <x v="10"/>
    <s v="PedidoF115"/>
    <s v="CódRastreio115"/>
    <n v="1"/>
    <s v="CPF 119"/>
    <s v="Nome 119"/>
    <s v="Tel 119"/>
    <s v="Cep 119"/>
    <s v="Rua 119"/>
    <s v="Comp 119"/>
    <s v="Bomba d'agua"/>
    <s v="DJ-RO5O-43GF"/>
    <d v="2024-11-21T00:00:00"/>
    <n v="18.2"/>
    <n v="18.2"/>
    <n v="2.548"/>
    <n v="15.65"/>
    <n v="4.99"/>
    <n v="0.32"/>
    <n v="0.39877104377104378"/>
    <n v="0"/>
    <n v="9.9412289562289562"/>
    <n v="4.9706144781144781"/>
    <x v="18"/>
    <x v="17"/>
    <x v="6"/>
    <d v="2024-11-29T00:00:00"/>
    <x v="1"/>
    <x v="0"/>
    <x v="1"/>
    <s v="ENTREGUE"/>
    <d v="2024-11-06T00:00:00"/>
    <x v="0"/>
    <s v="-"/>
    <n v="0"/>
    <n v="0"/>
    <n v="0"/>
    <n v="0"/>
    <n v="0"/>
  </r>
  <r>
    <x v="0"/>
    <s v="BV45592"/>
    <s v="Pedido 123"/>
    <d v="2024-10-27T00:00:00"/>
    <x v="10"/>
    <s v="PedidoF116"/>
    <s v="CódRastreio116"/>
    <n v="1"/>
    <s v="CPF 120"/>
    <s v="Nome 120"/>
    <s v="Tel 120"/>
    <s v="Cep 120"/>
    <s v="Rua 120"/>
    <s v="Comp 120"/>
    <s v="Ventilador Rosa"/>
    <s v="IF-G2ZQ-79FO"/>
    <d v="2024-11-28T00:00:00"/>
    <n v="64.989999999999995"/>
    <n v="64.989999999999995"/>
    <n v="8.4486999999999988"/>
    <n v="56.54"/>
    <n v="7.25"/>
    <n v="0.32"/>
    <n v="0.39877104377104378"/>
    <n v="0"/>
    <n v="48.571228956228957"/>
    <n v="24.285614478114478"/>
    <x v="17"/>
    <x v="16"/>
    <x v="1"/>
    <d v="2024-12-16T00:00:00"/>
    <x v="0"/>
    <x v="0"/>
    <x v="1"/>
    <s v="ENTREGUE"/>
    <d v="2024-11-11T00:00:00"/>
    <x v="0"/>
    <s v="NÃO"/>
    <n v="0"/>
    <n v="0"/>
    <n v="0"/>
    <n v="0"/>
    <n v="0"/>
  </r>
  <r>
    <x v="0"/>
    <s v="BV45593"/>
    <s v="Pedido 124"/>
    <d v="2024-10-28T00:00:00"/>
    <x v="11"/>
    <s v="PedidoF117"/>
    <s v="CódRastreio117"/>
    <n v="1"/>
    <s v="CPF 121"/>
    <s v="Nome 121"/>
    <s v="Tel 121"/>
    <s v="Cep 121"/>
    <s v="Rua 121"/>
    <s v="Comp 121"/>
    <s v="Suporte de Celular Branco"/>
    <s v="16-4EDB-WMZF"/>
    <d v="2024-11-22T00:00:00"/>
    <n v="16.989999999999998"/>
    <n v="16.989999999999998"/>
    <n v="2.5484999999999998"/>
    <n v="14.44"/>
    <n v="4.99"/>
    <n v="0.34"/>
    <n v="0.39877104377104378"/>
    <n v="0"/>
    <n v="8.7112289562289558"/>
    <n v="4.3556144781144779"/>
    <x v="19"/>
    <x v="18"/>
    <x v="6"/>
    <d v="2024-11-29T00:00:00"/>
    <x v="1"/>
    <x v="0"/>
    <x v="1"/>
    <s v="ENTREGUE"/>
    <d v="2024-11-05T00:00:00"/>
    <x v="0"/>
    <s v="NÃO"/>
    <n v="0"/>
    <n v="0"/>
    <n v="0"/>
    <n v="0"/>
    <n v="0"/>
  </r>
  <r>
    <x v="0"/>
    <s v="BV45593"/>
    <s v="Pedido 125"/>
    <d v="2024-10-28T00:00:00"/>
    <x v="11"/>
    <s v="PedidoF118"/>
    <s v="CódRastreio118"/>
    <n v="1"/>
    <s v="CPF 122"/>
    <s v="Nome 122"/>
    <s v="Tel 122"/>
    <s v="Cep 122"/>
    <s v="Rua 122"/>
    <s v="Comp 122"/>
    <s v="Bomba d'agua"/>
    <s v="DJ-RO5O-43GF"/>
    <d v="2024-11-15T00:00:00"/>
    <n v="18.2"/>
    <n v="18.2"/>
    <n v="2.548"/>
    <n v="15.65"/>
    <n v="4.99"/>
    <n v="0.34"/>
    <n v="0.39877104377104378"/>
    <n v="0"/>
    <n v="9.9212289562289566"/>
    <n v="4.9606144781144783"/>
    <x v="7"/>
    <x v="7"/>
    <x v="4"/>
    <d v="2024-11-29T00:00:00"/>
    <x v="1"/>
    <x v="0"/>
    <x v="1"/>
    <s v="ENTREGUE"/>
    <d v="2024-10-30T00:00:00"/>
    <x v="0"/>
    <s v="NÃO"/>
    <n v="0"/>
    <n v="0"/>
    <n v="0"/>
    <n v="0"/>
    <n v="0"/>
  </r>
  <r>
    <x v="0"/>
    <s v="BV45593"/>
    <s v="Pedido 126"/>
    <d v="2024-10-28T00:00:00"/>
    <x v="11"/>
    <s v="PedidoF119"/>
    <s v="CódRastreio119"/>
    <n v="1"/>
    <s v="CPF 123"/>
    <s v="Nome 123"/>
    <s v="Tel 123"/>
    <s v="Cep 123"/>
    <s v="Rua 123"/>
    <s v="Comp 123"/>
    <s v="Suporte de Celular Branco"/>
    <s v="16-4EDB-WMZF"/>
    <d v="2024-11-09T00:00:00"/>
    <n v="16.989999999999998"/>
    <n v="16.989999999999998"/>
    <n v="2.5484999999999998"/>
    <n v="14.44"/>
    <n v="4.99"/>
    <n v="0.34"/>
    <n v="0.39877104377104378"/>
    <n v="0"/>
    <n v="8.7112289562289558"/>
    <n v="4.3556144781144779"/>
    <x v="4"/>
    <x v="4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93"/>
    <s v="Pedido 127"/>
    <d v="2024-10-28T00:00:00"/>
    <x v="11"/>
    <s v="PedidoF120"/>
    <s v="CódRastreio120"/>
    <n v="1"/>
    <s v="CPF 124"/>
    <s v="Nome 124"/>
    <s v="Tel 124"/>
    <s v="Cep 124"/>
    <s v="Rua 124"/>
    <s v="Comp 124"/>
    <s v="Garrafa Termica"/>
    <s v="FM-QQ8Y-RZT4"/>
    <d v="2024-11-09T00:00:00"/>
    <n v="21.3"/>
    <n v="21.3"/>
    <n v="2.7690000000000001"/>
    <n v="18.53"/>
    <n v="6.97"/>
    <n v="0.34"/>
    <n v="0.39877104377104378"/>
    <n v="0"/>
    <n v="10.821228956228957"/>
    <n v="5.4106144781144785"/>
    <x v="4"/>
    <x v="4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3"/>
    <s v="Pedido 128"/>
    <d v="2024-10-28T00:00:00"/>
    <x v="11"/>
    <s v="PedidoF121"/>
    <s v="CódRastreio121"/>
    <n v="1"/>
    <s v="CPF 125"/>
    <s v="Nome 125"/>
    <s v="Tel 125"/>
    <s v="Cep 125"/>
    <s v="Rua 125"/>
    <s v="Comp 125"/>
    <s v="Bomba d'agua"/>
    <s v="DJ-RO5O-43GF"/>
    <d v="2024-11-09T00:00:00"/>
    <n v="18.2"/>
    <n v="18.2"/>
    <n v="2.548"/>
    <n v="15.65"/>
    <n v="4.99"/>
    <n v="0.34"/>
    <n v="0.39877104377104378"/>
    <n v="0"/>
    <n v="9.9212289562289566"/>
    <n v="4.9606144781144783"/>
    <x v="4"/>
    <x v="4"/>
    <x v="2"/>
    <d v="2024-11-22T00:00:00"/>
    <x v="1"/>
    <x v="0"/>
    <x v="1"/>
    <s v="ENTREGUE"/>
    <d v="2024-10-29T00:00:00"/>
    <x v="0"/>
    <s v="NÃO"/>
    <n v="0"/>
    <n v="0"/>
    <n v="0"/>
    <n v="0"/>
    <n v="0"/>
  </r>
  <r>
    <x v="0"/>
    <s v="BV45593"/>
    <s v="Pedido 129"/>
    <d v="2024-10-28T00:00:00"/>
    <x v="11"/>
    <s v="PedidoF122"/>
    <s v="CódRastreio122"/>
    <n v="1"/>
    <s v="CPF 126"/>
    <s v="Nome 126"/>
    <s v="Tel 126"/>
    <s v="Cep 126"/>
    <s v="Rua 126"/>
    <s v="Comp 126"/>
    <s v="Mini Liquidificador"/>
    <s v="CK-YL6M-P5Y6"/>
    <d v="2024-11-09T00:00:00"/>
    <n v="23.2"/>
    <n v="23.2"/>
    <n v="3.016"/>
    <n v="20.18"/>
    <n v="9.99"/>
    <n v="0.34"/>
    <n v="0.39877104377104378"/>
    <n v="0"/>
    <n v="9.451228956228956"/>
    <n v="4.725614478114478"/>
    <x v="4"/>
    <x v="4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3"/>
    <s v="Pedido 130"/>
    <d v="2024-10-28T00:00:00"/>
    <x v="11"/>
    <s v="PedidoF123"/>
    <s v="CódRastreio123"/>
    <n v="1"/>
    <s v="CPF 127"/>
    <s v="Nome 127"/>
    <s v="Tel 127"/>
    <s v="Cep 127"/>
    <s v="Rua 127"/>
    <s v="Comp 127"/>
    <s v="Suporte de Celular Branco"/>
    <s v="16-4EDB-WMZF"/>
    <d v="2024-11-15T00:00:00"/>
    <n v="15.99"/>
    <n v="15.99"/>
    <n v="2.3984999999999999"/>
    <n v="13.59"/>
    <n v="4.99"/>
    <n v="0.34"/>
    <n v="0.39877104377104378"/>
    <n v="0"/>
    <n v="7.8612289562289561"/>
    <n v="3.9306144781144781"/>
    <x v="7"/>
    <x v="7"/>
    <x v="4"/>
    <d v="2024-11-29T00:00:00"/>
    <x v="1"/>
    <x v="0"/>
    <x v="1"/>
    <s v="ENTREGUE"/>
    <d v="2024-10-31T00:00:00"/>
    <x v="0"/>
    <s v="NÃO"/>
    <n v="0"/>
    <n v="0"/>
    <n v="0"/>
    <n v="0"/>
    <n v="0"/>
  </r>
  <r>
    <x v="0"/>
    <s v="BV45593"/>
    <s v="Pedido 131"/>
    <d v="2024-10-28T00:00:00"/>
    <x v="11"/>
    <s v="PedidoF124"/>
    <s v="CódRastreio124"/>
    <n v="1"/>
    <s v="CPF 128"/>
    <s v="Nome 128"/>
    <s v="Tel 128"/>
    <s v="Cep 128"/>
    <s v="Rua 128"/>
    <s v="Comp 128"/>
    <s v="Bomba d'agua"/>
    <s v="DJ-RO5O-43GF"/>
    <d v="2024-11-22T00:00:00"/>
    <n v="18.2"/>
    <n v="18.2"/>
    <n v="2.548"/>
    <n v="15.65"/>
    <n v="0"/>
    <n v="0.34"/>
    <n v="0.39877104377104378"/>
    <n v="0"/>
    <n v="14.911228956228957"/>
    <n v="7.4556144781144784"/>
    <x v="19"/>
    <x v="19"/>
    <x v="6"/>
    <d v="2024-11-29T00:00:00"/>
    <x v="1"/>
    <x v="0"/>
    <x v="1"/>
    <s v="ENTREGUE"/>
    <d v="2024-11-29T00:00:00"/>
    <x v="0"/>
    <s v="NÃO"/>
    <n v="0"/>
    <n v="0"/>
    <n v="0"/>
    <n v="0"/>
    <n v="0"/>
  </r>
  <r>
    <x v="0"/>
    <s v="BV45595"/>
    <s v="Pedido 132"/>
    <d v="2024-10-30T00:00:00"/>
    <x v="12"/>
    <s v="PedidoF125"/>
    <s v="CódRastreio125"/>
    <n v="1"/>
    <s v="CPF 129"/>
    <s v="Nome 129"/>
    <s v="Tel 129"/>
    <s v="Cep 129"/>
    <s v="Rua 129"/>
    <s v="Comp 129"/>
    <s v="Bomba d'agua"/>
    <s v="DJ-RO5O-43GF"/>
    <d v="2024-11-27T00:00:00"/>
    <n v="18.2"/>
    <n v="18.2"/>
    <n v="2.548"/>
    <n v="15.65"/>
    <n v="4.99"/>
    <n v="0.35"/>
    <n v="0.39877104377104378"/>
    <n v="0"/>
    <n v="9.9112289562289568"/>
    <n v="4.9556144781144784"/>
    <x v="20"/>
    <x v="20"/>
    <x v="1"/>
    <d v="2024-12-16T00:00:00"/>
    <x v="0"/>
    <x v="0"/>
    <x v="1"/>
    <s v="ENTREGUE"/>
    <d v="2024-11-06T00:00:00"/>
    <x v="0"/>
    <s v="NÃO"/>
    <n v="0"/>
    <n v="0"/>
    <n v="0"/>
    <n v="0"/>
    <n v="0"/>
  </r>
  <r>
    <x v="0"/>
    <s v="BV45593"/>
    <s v="Pedido 133"/>
    <d v="2024-10-28T00:00:00"/>
    <x v="11"/>
    <s v="PedidoF126"/>
    <s v="CódRastreio126"/>
    <n v="1"/>
    <s v="CPF 130"/>
    <s v="Nome 130"/>
    <s v="Tel 130"/>
    <s v="Cep 130"/>
    <s v="Rua 130"/>
    <s v="Comp 130"/>
    <s v="Bomba d'agua"/>
    <s v="DJ-RO5O-43GF"/>
    <d v="2024-11-09T00:00:00"/>
    <n v="18.2"/>
    <n v="18.2"/>
    <n v="2.548"/>
    <n v="15.65"/>
    <n v="0"/>
    <n v="0.34"/>
    <n v="0.39877104377104378"/>
    <n v="0"/>
    <n v="14.911228956228957"/>
    <n v="7.4556144781144784"/>
    <x v="4"/>
    <x v="21"/>
    <x v="2"/>
    <d v="2024-11-22T00:00:00"/>
    <x v="1"/>
    <x v="0"/>
    <x v="1"/>
    <s v="ENTREGUE"/>
    <d v="2024-11-09T00:00:00"/>
    <x v="0"/>
    <s v="SIM"/>
    <n v="0"/>
    <n v="0"/>
    <n v="0"/>
    <n v="0"/>
    <n v="0"/>
  </r>
  <r>
    <x v="0"/>
    <s v="BV45603"/>
    <s v="Pedido 134"/>
    <d v="2024-11-07T00:00:00"/>
    <x v="13"/>
    <s v="PedidoF127"/>
    <s v="CódRastreio127"/>
    <n v="1"/>
    <s v="CPF 131"/>
    <s v="Nome 131"/>
    <s v="Tel 131"/>
    <s v="Cep 131"/>
    <s v="Rua 131"/>
    <s v="Comp 131"/>
    <s v="Mini Liquidificador"/>
    <s v="CK-YL6M-P5Y6"/>
    <d v="2024-11-09T00:00:00"/>
    <n v="23.2"/>
    <n v="23.2"/>
    <n v="3.016"/>
    <n v="20.18"/>
    <n v="0"/>
    <n v="0.23"/>
    <n v="0.39877104377104378"/>
    <n v="0"/>
    <n v="19.551228956228957"/>
    <n v="9.7756144781144787"/>
    <x v="4"/>
    <x v="22"/>
    <x v="2"/>
    <d v="2024-11-22T00:00:00"/>
    <x v="1"/>
    <x v="0"/>
    <x v="2"/>
    <s v="ENTREGUE"/>
    <d v="2024-12-07T00:00:00"/>
    <x v="0"/>
    <s v="NÃO"/>
    <n v="0"/>
    <n v="0"/>
    <n v="0"/>
    <n v="0"/>
    <n v="0"/>
  </r>
  <r>
    <x v="0"/>
    <s v="BV45593"/>
    <s v="Pedido 135"/>
    <d v="2024-10-28T00:00:00"/>
    <x v="11"/>
    <s v="PedidoF128"/>
    <s v="CódRastreio128"/>
    <n v="1"/>
    <s v="CPF 132"/>
    <s v="Nome 132"/>
    <s v="Tel 132"/>
    <s v="Cep 132"/>
    <s v="Rua 132"/>
    <s v="Comp 132"/>
    <s v="Suporte de Celular com Regulagem"/>
    <s v="1H-DC27-8GP7"/>
    <d v="2024-11-09T00:00:00"/>
    <n v="16.989999999999998"/>
    <n v="16.989999999999998"/>
    <n v="2.5484999999999998"/>
    <n v="14.44"/>
    <n v="4.99"/>
    <n v="0.34"/>
    <n v="0.39877104377104378"/>
    <n v="0"/>
    <n v="8.7112289562289558"/>
    <n v="4.3556144781144779"/>
    <x v="4"/>
    <x v="4"/>
    <x v="2"/>
    <d v="2024-11-22T00:00:00"/>
    <x v="1"/>
    <x v="0"/>
    <x v="1"/>
    <s v="ENTREGUE"/>
    <d v="2024-10-30T00:00:00"/>
    <x v="0"/>
    <s v="NÃO"/>
    <n v="0"/>
    <n v="0"/>
    <n v="0"/>
    <n v="0"/>
    <n v="0"/>
  </r>
  <r>
    <x v="0"/>
    <s v="BV45593"/>
    <s v="Pedido 136"/>
    <d v="2024-10-28T00:00:00"/>
    <x v="11"/>
    <s v="PedidoF129"/>
    <s v="CódRastreio129"/>
    <n v="1"/>
    <s v="CPF 133"/>
    <s v="Nome 133"/>
    <s v="Tel 133"/>
    <s v="Cep 133"/>
    <s v="Rua 133"/>
    <s v="Comp 133"/>
    <s v="Bomba d'agua"/>
    <s v="DJ-RO5O-43GF"/>
    <d v="2024-11-22T00:00:00"/>
    <n v="18.2"/>
    <n v="18.2"/>
    <n v="2.548"/>
    <n v="15.65"/>
    <n v="0"/>
    <n v="0.34"/>
    <n v="0.39877104377104378"/>
    <n v="0"/>
    <n v="14.911228956228957"/>
    <n v="7.4556144781144784"/>
    <x v="19"/>
    <x v="18"/>
    <x v="6"/>
    <d v="2024-11-29T00:00:00"/>
    <x v="1"/>
    <x v="0"/>
    <x v="1"/>
    <s v="ENTREGUE"/>
    <d v="2024-11-30T00:00:00"/>
    <x v="0"/>
    <s v="NÃO"/>
    <n v="0"/>
    <n v="0"/>
    <n v="0"/>
    <n v="0"/>
    <n v="0"/>
  </r>
  <r>
    <x v="0"/>
    <s v="BV45593"/>
    <s v="Pedido 137"/>
    <d v="2024-10-28T00:00:00"/>
    <x v="11"/>
    <s v="PedidoF130"/>
    <s v="CódRastreio130"/>
    <n v="1"/>
    <s v="CPF 134"/>
    <s v="Nome 134"/>
    <s v="Tel 134"/>
    <s v="Cep 134"/>
    <s v="Rua 134"/>
    <s v="Comp 134"/>
    <s v="Suporte de Celular Branco"/>
    <s v="16-4EDB-WMZF"/>
    <d v="2024-11-22T00:00:00"/>
    <n v="15.99"/>
    <n v="15.99"/>
    <n v="2.3984999999999999"/>
    <n v="13.59"/>
    <n v="4.99"/>
    <n v="0.34"/>
    <n v="0.39877104377104378"/>
    <n v="0"/>
    <n v="7.8612289562289561"/>
    <n v="3.9306144781144781"/>
    <x v="19"/>
    <x v="18"/>
    <x v="6"/>
    <d v="2024-11-29T00:00:00"/>
    <x v="1"/>
    <x v="0"/>
    <x v="1"/>
    <s v="ENTREGUE"/>
    <d v="2024-11-05T00:00:00"/>
    <x v="0"/>
    <s v="-"/>
    <n v="0"/>
    <n v="0"/>
    <n v="0"/>
    <n v="0"/>
    <n v="0"/>
  </r>
  <r>
    <x v="0"/>
    <s v="BV45593"/>
    <s v="Pedido 138"/>
    <d v="2024-10-28T00:00:00"/>
    <x v="11"/>
    <s v="PedidoF131"/>
    <s v="CódRastreio131"/>
    <n v="1"/>
    <s v="CPF 135"/>
    <s v="Nome 135"/>
    <s v="Tel 135"/>
    <s v="Cep 135"/>
    <s v="Rua 135"/>
    <s v="Comp 135"/>
    <s v="Suporte de Celular Branco"/>
    <s v="16-4EDB-WMZF"/>
    <d v="2024-11-15T00:00:00"/>
    <n v="15.99"/>
    <n v="15.99"/>
    <n v="2.3984999999999999"/>
    <n v="13.59"/>
    <n v="4.99"/>
    <n v="0.34"/>
    <n v="0.39877104377104378"/>
    <n v="0"/>
    <n v="7.8612289562289561"/>
    <n v="3.9306144781144781"/>
    <x v="7"/>
    <x v="7"/>
    <x v="4"/>
    <d v="2024-11-29T00:00:00"/>
    <x v="1"/>
    <x v="0"/>
    <x v="1"/>
    <s v="ENTREGUE"/>
    <d v="2024-11-04T00:00:00"/>
    <x v="0"/>
    <s v="NÃO"/>
    <n v="0"/>
    <n v="0"/>
    <n v="0"/>
    <n v="0"/>
    <n v="0"/>
  </r>
  <r>
    <x v="0"/>
    <s v="BV45593"/>
    <s v="Pedido 139"/>
    <d v="2024-10-28T00:00:00"/>
    <x v="11"/>
    <s v="PedidoF132"/>
    <s v="CódRastreio132"/>
    <n v="1"/>
    <s v="CPF 136"/>
    <s v="Nome 136"/>
    <s v="Tel 136"/>
    <s v="Cep 136"/>
    <s v="Rua 136"/>
    <s v="Comp 136"/>
    <s v="Suporte de Celular Branco"/>
    <s v="16-4EDB-WMZF"/>
    <d v="2024-11-13T00:00:00"/>
    <n v="40"/>
    <n v="40"/>
    <n v="6"/>
    <n v="34"/>
    <n v="4.99"/>
    <n v="0.34"/>
    <n v="0.39877104377104378"/>
    <n v="0"/>
    <n v="28.271228956228956"/>
    <n v="14.135614478114478"/>
    <x v="15"/>
    <x v="14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3"/>
    <s v="Pedido 140"/>
    <d v="2024-10-28T00:00:00"/>
    <x v="11"/>
    <s v="PedidoF133"/>
    <s v="CódRastreio133"/>
    <n v="1"/>
    <s v="CPF 137"/>
    <s v="Nome 137"/>
    <s v="Tel 137"/>
    <s v="Cep 137"/>
    <s v="Rua 137"/>
    <s v="Comp 137"/>
    <s v="Bomba d'agua"/>
    <s v="DJ-RO5O-43GF"/>
    <d v="2024-11-15T00:00:00"/>
    <n v="18.2"/>
    <n v="18.2"/>
    <n v="2.548"/>
    <n v="15.65"/>
    <n v="0"/>
    <n v="0.34"/>
    <n v="0.39877104377104378"/>
    <n v="0"/>
    <n v="14.911228956228957"/>
    <n v="7.4556144781144784"/>
    <x v="7"/>
    <x v="7"/>
    <x v="4"/>
    <d v="2024-11-29T00:00:00"/>
    <x v="1"/>
    <x v="0"/>
    <x v="1"/>
    <s v="ENTREGUE"/>
    <d v="2024-11-15T00:00:00"/>
    <x v="0"/>
    <s v="NÃO"/>
    <n v="0"/>
    <n v="0"/>
    <n v="0"/>
    <n v="0"/>
    <n v="0"/>
  </r>
  <r>
    <x v="0"/>
    <s v="BV45593"/>
    <s v="Pedido 141"/>
    <d v="2024-10-28T00:00:00"/>
    <x v="11"/>
    <s v="PedidoF134"/>
    <s v="CódRastreio134"/>
    <n v="1"/>
    <s v="CPF 138"/>
    <s v="Nome 138"/>
    <s v="Tel 138"/>
    <s v="Cep 138"/>
    <s v="Rua 138"/>
    <s v="Comp 138"/>
    <s v="Bomba d'agua"/>
    <s v="DJ-RO5O-43GF"/>
    <d v="2024-11-09T00:00:00"/>
    <n v="18.2"/>
    <n v="18.2"/>
    <n v="2.548"/>
    <n v="15.65"/>
    <n v="0"/>
    <n v="0.34"/>
    <n v="0.39877104377104378"/>
    <n v="0"/>
    <n v="14.911228956228957"/>
    <n v="7.4556144781144784"/>
    <x v="4"/>
    <x v="23"/>
    <x v="2"/>
    <d v="2024-11-22T00:00:00"/>
    <x v="1"/>
    <x v="0"/>
    <x v="1"/>
    <s v="ENTREGUE"/>
    <d v="2024-11-09T00:00:00"/>
    <x v="0"/>
    <s v="NÃO"/>
    <n v="0"/>
    <n v="0"/>
    <n v="0"/>
    <n v="0"/>
    <n v="0"/>
  </r>
  <r>
    <x v="0"/>
    <s v="BV45593"/>
    <s v="Pedido 142"/>
    <d v="2024-10-28T00:00:00"/>
    <x v="11"/>
    <s v="PedidoF135"/>
    <s v="CódRastreio135"/>
    <n v="1"/>
    <s v="CPF 139"/>
    <s v="Nome 139"/>
    <s v="Tel 139"/>
    <s v="Cep 139"/>
    <s v="Rua 139"/>
    <s v="Comp 139"/>
    <s v="Ventilador Preto"/>
    <s v="MU-J80P-95WF"/>
    <d v="2024-11-22T00:00:00"/>
    <n v="59.99"/>
    <n v="59.99"/>
    <n v="7.7987000000000002"/>
    <n v="52.19"/>
    <n v="7.26"/>
    <n v="0.34"/>
    <n v="0.39877104377104378"/>
    <n v="0"/>
    <n v="44.191228956228954"/>
    <n v="22.095614478114477"/>
    <x v="19"/>
    <x v="18"/>
    <x v="6"/>
    <d v="2024-11-29T00:00:00"/>
    <x v="1"/>
    <x v="0"/>
    <x v="1"/>
    <s v="ENTREGUE"/>
    <d v="2024-11-13T00:00:00"/>
    <x v="0"/>
    <s v="NÃO"/>
    <n v="0"/>
    <n v="0"/>
    <n v="0"/>
    <n v="0"/>
    <n v="0"/>
  </r>
  <r>
    <x v="0"/>
    <s v="BV45593"/>
    <s v="Pedido 143"/>
    <d v="2024-10-28T00:00:00"/>
    <x v="11"/>
    <s v="PedidoF136"/>
    <s v="CódRastreio136"/>
    <n v="1"/>
    <s v="CPF 140"/>
    <s v="Nome 140"/>
    <s v="Tel 140"/>
    <s v="Cep 140"/>
    <s v="Rua 140"/>
    <s v="Comp 140"/>
    <s v="Balança"/>
    <s v="P4-K63S-8KOM"/>
    <d v="2024-11-09T00:00:00"/>
    <n v="17.989999999999998"/>
    <n v="17.989999999999998"/>
    <n v="2.3386999999999998"/>
    <n v="15.65"/>
    <n v="8.74"/>
    <n v="0.34"/>
    <n v="0.39877104377104378"/>
    <n v="0"/>
    <n v="6.1712289562289566"/>
    <n v="3.0856144781144783"/>
    <x v="4"/>
    <x v="4"/>
    <x v="2"/>
    <d v="2024-11-22T00:00:00"/>
    <x v="1"/>
    <x v="0"/>
    <x v="1"/>
    <s v="ENTREGUE"/>
    <d v="2024-11-01T00:00:00"/>
    <x v="0"/>
    <s v="NÃO"/>
    <n v="0"/>
    <n v="0"/>
    <n v="0"/>
    <n v="0"/>
    <n v="0"/>
  </r>
  <r>
    <x v="0"/>
    <s v="BV45593"/>
    <s v="Pedido 144"/>
    <d v="2024-10-28T00:00:00"/>
    <x v="11"/>
    <s v="PedidoF137"/>
    <s v="CódRastreio137"/>
    <n v="1"/>
    <s v="CPF 141"/>
    <s v="Nome 141"/>
    <s v="Tel 141"/>
    <s v="Cep 141"/>
    <s v="Rua 141"/>
    <s v="Comp 141"/>
    <s v="Mini Liquidificador"/>
    <s v="CK-YL6M-P5Y6"/>
    <d v="2024-11-09T00:00:00"/>
    <n v="23.2"/>
    <n v="23.2"/>
    <n v="3.016"/>
    <n v="20.18"/>
    <n v="9.99"/>
    <n v="0.34"/>
    <n v="0.39877104377104378"/>
    <n v="0"/>
    <n v="9.451228956228956"/>
    <n v="4.725614478114478"/>
    <x v="4"/>
    <x v="4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3"/>
    <s v="Pedido 145"/>
    <d v="2024-10-28T00:00:00"/>
    <x v="11"/>
    <s v="PedidoF138"/>
    <s v="CódRastreio138"/>
    <n v="1"/>
    <s v="CPF 142"/>
    <s v="Nome 142"/>
    <s v="Tel 142"/>
    <s v="Cep 142"/>
    <s v="Rua 142"/>
    <s v="Comp 142"/>
    <s v="Mini Liquidificador"/>
    <s v="CK-YL6M-P5Y6"/>
    <d v="2024-11-09T00:00:00"/>
    <n v="23.2"/>
    <n v="23.2"/>
    <n v="3.016"/>
    <n v="20.18"/>
    <n v="9.99"/>
    <n v="0.34"/>
    <n v="0.39877104377104378"/>
    <n v="0"/>
    <n v="9.451228956228956"/>
    <n v="4.725614478114478"/>
    <x v="4"/>
    <x v="4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4"/>
    <s v="Pedido 146"/>
    <d v="2024-10-29T00:00:00"/>
    <x v="14"/>
    <s v="PedidoF139"/>
    <s v="CódRastreio139"/>
    <n v="1"/>
    <s v="CPF 143"/>
    <s v="Nome 143"/>
    <s v="Tel 143"/>
    <s v="Cep 143"/>
    <s v="Rua 143"/>
    <s v="Comp 143"/>
    <s v="Bomba d'agua"/>
    <s v="DJ-RO5O-43GF"/>
    <d v="2024-11-19T00:00:00"/>
    <n v="18.2"/>
    <n v="18.2"/>
    <n v="2.548"/>
    <n v="15.65"/>
    <n v="4.99"/>
    <n v="0.39"/>
    <n v="0.39877104377104378"/>
    <n v="0"/>
    <n v="9.8712289562289577"/>
    <n v="4.9356144781144788"/>
    <x v="13"/>
    <x v="13"/>
    <x v="6"/>
    <d v="2024-11-29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47"/>
    <d v="2024-10-30T00:00:00"/>
    <x v="12"/>
    <s v="PedidoF140"/>
    <s v="CódRastreio140"/>
    <n v="1"/>
    <s v="CPF 144"/>
    <s v="Nome 144"/>
    <s v="Tel 144"/>
    <s v="Cep 144"/>
    <s v="Rua 144"/>
    <s v="Comp 144"/>
    <s v="Balança"/>
    <s v="P4-K63S-8KOM"/>
    <d v="2024-11-14T00:00:00"/>
    <n v="17.7"/>
    <n v="17.7"/>
    <n v="2.3010000000000002"/>
    <n v="15.4"/>
    <n v="9.73"/>
    <n v="0.35"/>
    <n v="0.39877104377104378"/>
    <n v="0"/>
    <n v="4.9212289562289566"/>
    <n v="2.4606144781144783"/>
    <x v="5"/>
    <x v="5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4"/>
    <s v="Pedido 148"/>
    <d v="2024-10-29T00:00:00"/>
    <x v="14"/>
    <s v="PedidoF141"/>
    <s v="CódRastreio141"/>
    <n v="1"/>
    <s v="CPF 145"/>
    <s v="Nome 145"/>
    <s v="Tel 145"/>
    <s v="Cep 145"/>
    <s v="Rua 145"/>
    <s v="Comp 145"/>
    <s v="Balança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x v="11"/>
    <x v="11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4"/>
    <s v="Pedido 149"/>
    <d v="2024-10-29T00:00:00"/>
    <x v="14"/>
    <s v="PedidoF142"/>
    <s v="CódRastreio142"/>
    <n v="1"/>
    <s v="CPF 146"/>
    <s v="Nome 146"/>
    <s v="Tel 146"/>
    <s v="Cep 146"/>
    <s v="Rua 146"/>
    <s v="Comp 146"/>
    <s v="Balança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x v="11"/>
    <x v="11"/>
    <x v="2"/>
    <d v="2024-11-22T00:00:00"/>
    <x v="1"/>
    <x v="0"/>
    <x v="1"/>
    <s v="ENTREGUE"/>
    <d v="2024-10-31T00:00:00"/>
    <x v="0"/>
    <s v="NÃO"/>
    <n v="0"/>
    <n v="0"/>
    <n v="0"/>
    <n v="0"/>
    <n v="0"/>
  </r>
  <r>
    <x v="0"/>
    <s v="BV45594"/>
    <s v="Pedido 150"/>
    <d v="2024-10-29T00:00:00"/>
    <x v="14"/>
    <s v="PedidoF143"/>
    <s v="CódRastreio143"/>
    <n v="1"/>
    <s v="CPF 147"/>
    <s v="Nome 147"/>
    <s v="Tel 147"/>
    <s v="Cep 147"/>
    <s v="Rua 147"/>
    <s v="Comp 147"/>
    <s v="Suporte de Celular Preto"/>
    <s v="9G-BN48-QAPH"/>
    <d v="2024-11-23T00:00:00"/>
    <n v="15.99"/>
    <n v="15.99"/>
    <n v="2.3984999999999999"/>
    <n v="13.59"/>
    <n v="4.99"/>
    <n v="0.39"/>
    <n v="0.39877104377104378"/>
    <n v="0"/>
    <n v="7.8112289562289563"/>
    <n v="3.9056144781144781"/>
    <x v="21"/>
    <x v="19"/>
    <x v="1"/>
    <d v="2024-12-16T00:00:00"/>
    <x v="1"/>
    <x v="0"/>
    <x v="1"/>
    <s v="ENTREGUE"/>
    <d v="2024-11-07T00:00:00"/>
    <x v="0"/>
    <s v="NÃO"/>
    <n v="0"/>
    <n v="0"/>
    <n v="0"/>
    <n v="0"/>
    <n v="0"/>
  </r>
  <r>
    <x v="0"/>
    <s v="BV45594"/>
    <s v="Pedido 151"/>
    <d v="2024-10-29T00:00:00"/>
    <x v="14"/>
    <s v="PedidoF144"/>
    <s v="CódRastreio144"/>
    <n v="1"/>
    <s v="CPF 148"/>
    <s v="Nome 148"/>
    <s v="Tel 148"/>
    <s v="Cep 148"/>
    <s v="Rua 148"/>
    <s v="Comp 148"/>
    <s v="Bomba d'agua"/>
    <s v="DJ-RO5O-43GF"/>
    <d v="2024-11-23T00:00:00"/>
    <n v="18.2"/>
    <n v="18.2"/>
    <n v="2.548"/>
    <n v="15.65"/>
    <n v="4.99"/>
    <n v="0.39"/>
    <n v="0.39877104377104378"/>
    <n v="0"/>
    <n v="9.8712289562289577"/>
    <n v="4.9356144781144788"/>
    <x v="21"/>
    <x v="19"/>
    <x v="1"/>
    <d v="2024-12-16T00:00:00"/>
    <x v="1"/>
    <x v="0"/>
    <x v="1"/>
    <s v="ENTREGUE"/>
    <d v="2024-11-06T00:00:00"/>
    <x v="0"/>
    <s v="NÃO"/>
    <n v="0"/>
    <n v="0"/>
    <n v="0"/>
    <n v="0"/>
    <n v="0"/>
  </r>
  <r>
    <x v="0"/>
    <s v="BV45594"/>
    <s v="Pedido 152"/>
    <d v="2024-10-29T00:00:00"/>
    <x v="14"/>
    <s v="PedidoF145"/>
    <s v="CódRastreio145"/>
    <n v="1"/>
    <s v="CPF 149"/>
    <s v="Nome 149"/>
    <s v="Tel 149"/>
    <s v="Cep 149"/>
    <s v="Rua 149"/>
    <s v="Comp 149"/>
    <s v="Balança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x v="11"/>
    <x v="11"/>
    <x v="2"/>
    <d v="2024-11-22T00:00:00"/>
    <x v="1"/>
    <x v="0"/>
    <x v="1"/>
    <s v="ENTREGUE"/>
    <d v="2024-11-01T00:00:00"/>
    <x v="0"/>
    <s v="NÃO"/>
    <n v="0"/>
    <n v="0"/>
    <n v="0"/>
    <n v="0"/>
    <n v="0"/>
  </r>
  <r>
    <x v="0"/>
    <s v="BV45594"/>
    <s v="Pedido 153"/>
    <d v="2024-10-29T00:00:00"/>
    <x v="14"/>
    <s v="PedidoF146"/>
    <s v="CódRastreio146"/>
    <n v="1"/>
    <s v="CPF 150"/>
    <s v="Nome 150"/>
    <s v="Tel 150"/>
    <s v="Cep 150"/>
    <s v="Rua 150"/>
    <s v="Comp 150"/>
    <s v="Ventilador de teto"/>
    <s v="ZO-J9IL-EN6L"/>
    <d v="2024-11-19T00:00:00"/>
    <n v="59.99"/>
    <n v="59.99"/>
    <n v="8.3986000000000018"/>
    <n v="51.59"/>
    <n v="0"/>
    <n v="0.39"/>
    <n v="0.39877104377104378"/>
    <n v="0"/>
    <n v="50.801228956228961"/>
    <n v="25.40061447811448"/>
    <x v="13"/>
    <x v="13"/>
    <x v="6"/>
    <d v="2024-11-29T00:00:00"/>
    <x v="1"/>
    <x v="0"/>
    <x v="1"/>
    <s v="ENTREGUE"/>
    <d v="2024-11-19T00:00:00"/>
    <x v="0"/>
    <s v="NÃO"/>
    <n v="0"/>
    <n v="0"/>
    <n v="0"/>
    <n v="0.22"/>
    <n v="0.22"/>
  </r>
  <r>
    <x v="0"/>
    <s v="BV45594"/>
    <s v="Pedido 154"/>
    <d v="2024-10-29T00:00:00"/>
    <x v="14"/>
    <s v="PedidoF147"/>
    <s v="CódRastreio147"/>
    <n v="1"/>
    <s v="CPF 151"/>
    <s v="Nome 151"/>
    <s v="Tel 151"/>
    <s v="Cep 151"/>
    <s v="Rua 151"/>
    <s v="Comp 151"/>
    <s v="Balança"/>
    <s v="P4-K63S-8KOM"/>
    <d v="2024-11-23T00:00:00"/>
    <n v="17.7"/>
    <n v="17.7"/>
    <n v="2.3010000000000002"/>
    <n v="15.4"/>
    <n v="9"/>
    <n v="0.39"/>
    <n v="0.39877104377104378"/>
    <n v="0"/>
    <n v="5.6112289562289561"/>
    <n v="2.8056144781144781"/>
    <x v="21"/>
    <x v="19"/>
    <x v="1"/>
    <d v="2024-12-16T00:00:00"/>
    <x v="1"/>
    <x v="0"/>
    <x v="1"/>
    <s v="ENTREGUE"/>
    <d v="2024-11-11T00:00:00"/>
    <x v="0"/>
    <s v="NÃO"/>
    <n v="0"/>
    <n v="0"/>
    <n v="0"/>
    <n v="0"/>
    <n v="0"/>
  </r>
  <r>
    <x v="0"/>
    <s v="BV45594"/>
    <s v="Pedido 155"/>
    <d v="2024-10-29T00:00:00"/>
    <x v="14"/>
    <s v="PedidoF148"/>
    <s v="CódRastreio148"/>
    <n v="1"/>
    <s v="CPF 152"/>
    <s v="Nome 152"/>
    <s v="Tel 152"/>
    <s v="Cep 152"/>
    <s v="Rua 152"/>
    <s v="Comp 152"/>
    <s v="Suporte de Celular Branco"/>
    <s v="16-4EDB-WMZF"/>
    <d v="2024-11-23T00:00:00"/>
    <n v="15.99"/>
    <n v="15.99"/>
    <n v="2.3984999999999999"/>
    <n v="13.59"/>
    <n v="4.99"/>
    <n v="0.39"/>
    <n v="0.39877104377104378"/>
    <n v="0"/>
    <n v="7.8112289562289563"/>
    <n v="3.9056144781144781"/>
    <x v="21"/>
    <x v="19"/>
    <x v="1"/>
    <d v="2024-12-16T00:00:00"/>
    <x v="1"/>
    <x v="0"/>
    <x v="1"/>
    <s v="ENTREGUE"/>
    <d v="2024-11-05T00:00:00"/>
    <x v="0"/>
    <s v="NÃO"/>
    <n v="0"/>
    <n v="0"/>
    <n v="0"/>
    <n v="0"/>
    <n v="0"/>
  </r>
  <r>
    <x v="0"/>
    <s v="BV45594"/>
    <s v="Pedido 156"/>
    <d v="2024-10-29T00:00:00"/>
    <x v="14"/>
    <s v="PedidoF149"/>
    <s v="CódRastreio149"/>
    <n v="1"/>
    <s v="CPF 153"/>
    <s v="Nome 153"/>
    <s v="Tel 153"/>
    <s v="Cep 153"/>
    <s v="Rua 153"/>
    <s v="Comp 153"/>
    <s v="Suporte de Celular Branco"/>
    <s v="16-4EDB-WMZF"/>
    <d v="2024-11-19T00:00:00"/>
    <n v="15.99"/>
    <n v="15.99"/>
    <n v="2.3984999999999999"/>
    <n v="13.59"/>
    <n v="4.99"/>
    <n v="0.39"/>
    <n v="0.39877104377104378"/>
    <n v="0"/>
    <n v="7.8112289562289563"/>
    <n v="3.9056144781144781"/>
    <x v="13"/>
    <x v="13"/>
    <x v="6"/>
    <d v="2024-11-29T00:00:00"/>
    <x v="1"/>
    <x v="0"/>
    <x v="1"/>
    <s v="ENTREGUE"/>
    <d v="2024-11-04T00:00:00"/>
    <x v="0"/>
    <s v="NÃO"/>
    <n v="0"/>
    <n v="0"/>
    <n v="0"/>
    <n v="0"/>
    <n v="0"/>
  </r>
  <r>
    <x v="0"/>
    <s v="BV45594"/>
    <s v="Pedido 157"/>
    <d v="2024-10-29T00:00:00"/>
    <x v="14"/>
    <s v="PedidoF150"/>
    <s v="CódRastreio150"/>
    <n v="1"/>
    <s v="CPF 154"/>
    <s v="Nome 154"/>
    <s v="Tel 154"/>
    <s v="Cep 154"/>
    <s v="Rua 154"/>
    <s v="Comp 154"/>
    <s v="Ventilador Rosa"/>
    <s v="IF-G2ZQ-79FO"/>
    <d v="2024-11-30T00:00:00"/>
    <n v="59.99"/>
    <n v="59.99"/>
    <n v="7.7987000000000002"/>
    <n v="52.19"/>
    <n v="7.26"/>
    <n v="0.39"/>
    <n v="0.39877104377104378"/>
    <n v="0"/>
    <n v="44.141228956228957"/>
    <n v="22.070614478114479"/>
    <x v="3"/>
    <x v="3"/>
    <x v="1"/>
    <d v="2024-12-16T00:00:00"/>
    <x v="0"/>
    <x v="0"/>
    <x v="1"/>
    <s v="ENTREGUE"/>
    <d v="2024-12-03T00:00:00"/>
    <x v="0"/>
    <s v="NÃO"/>
    <n v="0"/>
    <n v="0"/>
    <n v="0"/>
    <n v="0"/>
    <n v="0"/>
  </r>
  <r>
    <x v="0"/>
    <s v="BV45594"/>
    <s v="Pedido 158"/>
    <d v="2024-10-29T00:00:00"/>
    <x v="14"/>
    <s v="PedidoF151"/>
    <s v="CódRastreio151"/>
    <n v="1"/>
    <s v="CPF 155"/>
    <s v="Nome 155"/>
    <s v="Tel 155"/>
    <s v="Cep 155"/>
    <s v="Rua 155"/>
    <s v="Comp 155"/>
    <s v="Suporte de Celular Preto"/>
    <s v="9G-BN48-QAPH"/>
    <d v="2024-11-23T00:00:00"/>
    <n v="15.99"/>
    <n v="15.99"/>
    <n v="2.3984999999999999"/>
    <n v="13.59"/>
    <n v="4.99"/>
    <n v="0.39"/>
    <n v="0.39877104377104378"/>
    <n v="0"/>
    <n v="7.8112289562289563"/>
    <n v="3.9056144781144781"/>
    <x v="21"/>
    <x v="19"/>
    <x v="1"/>
    <d v="2024-12-16T00:00:00"/>
    <x v="1"/>
    <x v="0"/>
    <x v="1"/>
    <s v="ENTREGUE"/>
    <d v="2024-11-08T00:00:00"/>
    <x v="0"/>
    <s v="NÃO"/>
    <n v="0"/>
    <n v="0"/>
    <n v="0"/>
    <n v="0"/>
    <n v="0"/>
  </r>
  <r>
    <x v="0"/>
    <s v="BV45595"/>
    <s v="Pedido 159"/>
    <d v="2024-10-30T00:00:00"/>
    <x v="12"/>
    <s v="PedidoF152"/>
    <s v="CódRastreio152"/>
    <n v="1"/>
    <s v="CPF 156"/>
    <s v="Nome 156"/>
    <s v="Tel 156"/>
    <s v="Cep 156"/>
    <s v="Rua 156"/>
    <s v="Comp 156"/>
    <s v="Balança"/>
    <s v="P4-K63S-8KOM"/>
    <d v="2024-11-14T00:00:00"/>
    <n v="17.7"/>
    <n v="17.7"/>
    <n v="2.3010000000000002"/>
    <n v="15.4"/>
    <n v="9.73"/>
    <n v="0.35"/>
    <n v="0.39877104377104378"/>
    <n v="0"/>
    <n v="4.9212289562289566"/>
    <n v="2.4606144781144783"/>
    <x v="5"/>
    <x v="5"/>
    <x v="2"/>
    <d v="2024-11-22T00:00:00"/>
    <x v="1"/>
    <x v="0"/>
    <x v="1"/>
    <s v="ENTREGUE"/>
    <d v="2024-11-02T00:00:00"/>
    <x v="0"/>
    <s v="NÃO"/>
    <n v="0"/>
    <n v="0"/>
    <n v="0"/>
    <n v="0"/>
    <n v="0"/>
  </r>
  <r>
    <x v="0"/>
    <s v="BV45594"/>
    <s v="Pedido 160"/>
    <d v="2024-10-29T00:00:00"/>
    <x v="14"/>
    <s v="PedidoF153"/>
    <s v="CódRastreio153"/>
    <n v="1"/>
    <s v="CPF 157"/>
    <s v="Nome 157"/>
    <s v="Tel 157"/>
    <s v="Cep 157"/>
    <s v="Rua 157"/>
    <s v="Comp 157"/>
    <s v="Suporte de Celular Branco"/>
    <s v="16-4EDB-WMZF"/>
    <d v="2024-11-14T00:00:00"/>
    <n v="15.99"/>
    <n v="15.99"/>
    <n v="2.3984999999999999"/>
    <n v="13.59"/>
    <n v="4.99"/>
    <n v="0.39"/>
    <n v="0.39877104377104378"/>
    <n v="0"/>
    <n v="7.8112289562289563"/>
    <n v="3.9056144781144781"/>
    <x v="5"/>
    <x v="5"/>
    <x v="2"/>
    <d v="2024-11-22T00:00:00"/>
    <x v="1"/>
    <x v="0"/>
    <x v="1"/>
    <s v="ENTREGUE"/>
    <d v="2024-11-01T00:00:00"/>
    <x v="0"/>
    <s v="NÃO"/>
    <n v="0"/>
    <n v="0"/>
    <n v="0"/>
    <n v="0"/>
    <n v="0"/>
  </r>
  <r>
    <x v="0"/>
    <s v="BV45594"/>
    <s v="Pedido 161"/>
    <d v="2024-10-29T00:00:00"/>
    <x v="14"/>
    <s v="PedidoF154"/>
    <s v="CódRastreio154"/>
    <n v="1"/>
    <s v="CPF 158"/>
    <s v="Nome 158"/>
    <s v="Tel 158"/>
    <s v="Cep 158"/>
    <s v="Rua 158"/>
    <s v="Comp 158"/>
    <s v="Bomba d'agua"/>
    <s v="DJ-RO5O-43GF"/>
    <d v="2024-11-23T00:00:00"/>
    <n v="18.2"/>
    <n v="18.2"/>
    <n v="2.548"/>
    <n v="15.65"/>
    <n v="4.99"/>
    <n v="0.39"/>
    <n v="0.39877104377104378"/>
    <n v="0"/>
    <n v="9.8712289562289577"/>
    <n v="4.9356144781144788"/>
    <x v="21"/>
    <x v="19"/>
    <x v="1"/>
    <d v="2024-12-16T00:00:00"/>
    <x v="1"/>
    <x v="0"/>
    <x v="1"/>
    <s v="ENTREGUE"/>
    <d v="2024-11-08T00:00:00"/>
    <x v="0"/>
    <s v="NÃO"/>
    <n v="0"/>
    <n v="0"/>
    <n v="0"/>
    <n v="0"/>
    <n v="0"/>
  </r>
  <r>
    <x v="0"/>
    <s v="BV45594"/>
    <s v="Pedido 162"/>
    <d v="2024-10-29T00:00:00"/>
    <x v="14"/>
    <s v="PedidoF155"/>
    <s v="CódRastreio155"/>
    <n v="1"/>
    <s v="CPF 159"/>
    <s v="Nome 159"/>
    <s v="Tel 159"/>
    <s v="Cep 159"/>
    <s v="Rua 159"/>
    <s v="Comp 159"/>
    <s v="Suporte de Celular Preto"/>
    <s v="9G-BN48-QAPH"/>
    <d v="2024-11-23T00:00:00"/>
    <n v="15.99"/>
    <n v="15.99"/>
    <n v="2.3984999999999999"/>
    <n v="13.59"/>
    <n v="4.99"/>
    <n v="0.39"/>
    <n v="0.39877104377104378"/>
    <n v="0"/>
    <n v="7.8112289562289563"/>
    <n v="3.9056144781144781"/>
    <x v="21"/>
    <x v="19"/>
    <x v="1"/>
    <d v="2024-12-16T00:00:00"/>
    <x v="1"/>
    <x v="0"/>
    <x v="1"/>
    <s v="ENTREGUE"/>
    <d v="2024-11-14T00:00:00"/>
    <x v="0"/>
    <s v="NÃO"/>
    <n v="0"/>
    <n v="0"/>
    <n v="0"/>
    <n v="0"/>
    <n v="0"/>
  </r>
  <r>
    <x v="0"/>
    <s v="BV45594"/>
    <s v="Pedido 163"/>
    <d v="2024-10-29T00:00:00"/>
    <x v="14"/>
    <s v="PedidoF156"/>
    <s v="CódRastreio156"/>
    <n v="1"/>
    <s v="CPF 160"/>
    <s v="Nome 160"/>
    <s v="Tel 160"/>
    <s v="Cep 160"/>
    <s v="Rua 160"/>
    <s v="Comp 160"/>
    <s v="Balança"/>
    <s v="P4-K63S-8KOM"/>
    <d v="2024-11-12T00:00:00"/>
    <n v="17.7"/>
    <n v="17.7"/>
    <n v="2.3010000000000002"/>
    <n v="15.4"/>
    <n v="9"/>
    <n v="0.39"/>
    <n v="0.39877104377104378"/>
    <n v="0"/>
    <n v="5.6112289562289561"/>
    <n v="2.8056144781144781"/>
    <x v="11"/>
    <x v="11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4"/>
    <s v="Pedido 164"/>
    <d v="2024-10-29T00:00:00"/>
    <x v="14"/>
    <s v="PedidoF157"/>
    <s v="CódRastreio157"/>
    <n v="1"/>
    <s v="CPF 161"/>
    <s v="Nome 161"/>
    <s v="Tel 161"/>
    <s v="Cep 161"/>
    <s v="Rua 161"/>
    <s v="Comp 161"/>
    <s v="Suporte de Celular Branco"/>
    <s v="16-4EDB-WMZF"/>
    <d v="2024-11-19T00:00:00"/>
    <n v="15.99"/>
    <n v="15.99"/>
    <n v="2.3984999999999999"/>
    <n v="13.59"/>
    <n v="4.99"/>
    <n v="0.39"/>
    <n v="0.39877104377104378"/>
    <n v="0"/>
    <n v="7.8112289562289563"/>
    <n v="3.9056144781144781"/>
    <x v="13"/>
    <x v="13"/>
    <x v="6"/>
    <d v="2024-11-29T00:00:00"/>
    <x v="1"/>
    <x v="0"/>
    <x v="1"/>
    <s v="ENTREGUE"/>
    <d v="2024-11-04T00:00:00"/>
    <x v="0"/>
    <s v="NÃO"/>
    <n v="0"/>
    <n v="0"/>
    <n v="0"/>
    <n v="0"/>
    <n v="0"/>
  </r>
  <r>
    <x v="0"/>
    <s v="BV45594"/>
    <s v="Pedido 165"/>
    <d v="2024-10-29T00:00:00"/>
    <x v="14"/>
    <s v="PedidoF158"/>
    <s v="CódRastreio158"/>
    <n v="1"/>
    <s v="CPF 162"/>
    <s v="Nome 162"/>
    <s v="Tel 162"/>
    <s v="Cep 162"/>
    <s v="Rua 162"/>
    <s v="Comp 162"/>
    <s v="Ventilador de teto"/>
    <s v="ZO-J9IL-EN6L"/>
    <d v="2024-11-26T00:00:00"/>
    <n v="59.4"/>
    <n v="59.4"/>
    <n v="8.3160000000000007"/>
    <n v="51.08"/>
    <n v="7.26"/>
    <n v="0.39"/>
    <n v="0.39877104377104378"/>
    <n v="0"/>
    <n v="43.031228956228958"/>
    <n v="21.515614478114479"/>
    <x v="2"/>
    <x v="2"/>
    <x v="1"/>
    <d v="2024-12-16T00:00:00"/>
    <x v="0"/>
    <x v="0"/>
    <x v="1"/>
    <s v="ENTREGUE"/>
    <d v="2024-11-11T00:00:00"/>
    <x v="0"/>
    <s v="SIM"/>
    <n v="0"/>
    <n v="0"/>
    <n v="0"/>
    <n v="0"/>
    <n v="0"/>
  </r>
  <r>
    <x v="0"/>
    <s v="BV45594"/>
    <s v="Pedido 166"/>
    <d v="2024-10-29T00:00:00"/>
    <x v="14"/>
    <s v="PedidoF159"/>
    <s v="CódRastreio159"/>
    <n v="1"/>
    <s v="CPF 163"/>
    <s v="Nome 163"/>
    <s v="Tel 163"/>
    <s v="Cep 163"/>
    <s v="Rua 163"/>
    <s v="Comp 163"/>
    <s v="Ventilador de teto"/>
    <s v="ZO-J9IL-EN6L"/>
    <d v="2024-11-26T00:00:00"/>
    <n v="59.4"/>
    <n v="59.4"/>
    <n v="8.3160000000000007"/>
    <n v="51.08"/>
    <n v="7.26"/>
    <n v="0.39"/>
    <n v="0.39877104377104378"/>
    <n v="0"/>
    <n v="43.031228956228958"/>
    <n v="21.515614478114479"/>
    <x v="2"/>
    <x v="2"/>
    <x v="1"/>
    <d v="2024-12-16T00:00:00"/>
    <x v="0"/>
    <x v="0"/>
    <x v="1"/>
    <s v="ENTREGUE"/>
    <d v="2024-11-14T00:00:00"/>
    <x v="0"/>
    <s v="NÃO"/>
    <n v="0"/>
    <n v="0"/>
    <n v="0"/>
    <n v="0"/>
    <n v="0"/>
  </r>
  <r>
    <x v="0"/>
    <s v="BV45595"/>
    <s v="Pedido 167"/>
    <d v="2024-10-30T00:00:00"/>
    <x v="12"/>
    <s v="PedidoF160"/>
    <s v="CódRastreio160"/>
    <n v="1"/>
    <s v="CPF 164"/>
    <s v="Nome 164"/>
    <s v="Tel 164"/>
    <s v="Cep 164"/>
    <s v="Rua 164"/>
    <s v="Comp 164"/>
    <s v="Bomba d'agua"/>
    <s v="DJ-RO5O-43GF"/>
    <d v="2024-11-12T00:00:00"/>
    <n v="18.2"/>
    <n v="18.2"/>
    <n v="2.548"/>
    <n v="15.65"/>
    <n v="4.99"/>
    <n v="0.35"/>
    <n v="0.39877104377104378"/>
    <n v="0"/>
    <n v="9.9112289562289568"/>
    <n v="4.9556144781144784"/>
    <x v="11"/>
    <x v="11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68"/>
    <d v="2024-10-30T00:00:00"/>
    <x v="12"/>
    <s v="PedidoF161"/>
    <s v="CódRastreio161"/>
    <n v="1"/>
    <s v="CPF 165"/>
    <s v="Nome 165"/>
    <s v="Tel 165"/>
    <s v="Cep 165"/>
    <s v="Rua 165"/>
    <s v="Comp 165"/>
    <s v="Bomba d'agua"/>
    <s v="DJ-RO5O-43GF"/>
    <d v="2024-11-14T00:00:00"/>
    <n v="18.2"/>
    <n v="18.2"/>
    <n v="2.548"/>
    <n v="15.65"/>
    <n v="4.99"/>
    <n v="0.35"/>
    <n v="0.39877104377104378"/>
    <n v="0"/>
    <n v="9.9112289562289568"/>
    <n v="4.9556144781144784"/>
    <x v="5"/>
    <x v="5"/>
    <x v="2"/>
    <d v="2024-11-22T00:00:00"/>
    <x v="1"/>
    <x v="0"/>
    <x v="1"/>
    <s v="ENTREGUE"/>
    <d v="2024-11-07T00:00:00"/>
    <x v="0"/>
    <s v="NÃO"/>
    <n v="0"/>
    <n v="0"/>
    <n v="0"/>
    <n v="0"/>
    <n v="0"/>
  </r>
  <r>
    <x v="0"/>
    <s v="BV45595"/>
    <s v="Pedido 169"/>
    <d v="2024-10-30T00:00:00"/>
    <x v="12"/>
    <s v="PedidoF162"/>
    <s v="CódRastreio162"/>
    <n v="1"/>
    <s v="CPF 166"/>
    <s v="Nome 166"/>
    <s v="Tel 166"/>
    <s v="Cep 166"/>
    <s v="Rua 166"/>
    <s v="Comp 166"/>
    <s v="Suporte de Celular Branco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x v="5"/>
    <x v="5"/>
    <x v="2"/>
    <d v="2024-11-22T00:00:00"/>
    <x v="1"/>
    <x v="0"/>
    <x v="1"/>
    <s v="ENTREGUE"/>
    <d v="2024-11-02T00:00:00"/>
    <x v="0"/>
    <s v="NÃO"/>
    <n v="0"/>
    <n v="0"/>
    <n v="0"/>
    <n v="0"/>
    <n v="0"/>
  </r>
  <r>
    <x v="0"/>
    <s v="BV45595"/>
    <s v="Pedido 170"/>
    <d v="2024-10-30T00:00:00"/>
    <x v="12"/>
    <s v="PedidoF163"/>
    <s v="CódRastreio163"/>
    <n v="1"/>
    <s v="CPF 167"/>
    <s v="Nome 167"/>
    <s v="Tel 167"/>
    <s v="Cep 167"/>
    <s v="Rua 167"/>
    <s v="Comp 167"/>
    <s v="Suporte de Celular Branco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x v="5"/>
    <x v="5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71"/>
    <d v="2024-10-30T00:00:00"/>
    <x v="12"/>
    <s v="PedidoF164"/>
    <s v="CódRastreio164"/>
    <n v="1"/>
    <s v="CPF 168"/>
    <s v="Nome 168"/>
    <s v="Tel 168"/>
    <s v="Cep 168"/>
    <s v="Rua 168"/>
    <s v="Comp 168"/>
    <s v="Bomba d'agua"/>
    <s v="DJ-RO5O-43GF"/>
    <d v="2024-11-14T00:00:00"/>
    <n v="18.2"/>
    <n v="18.2"/>
    <n v="2.548"/>
    <n v="15.65"/>
    <n v="4.99"/>
    <n v="0.35"/>
    <n v="0.39877104377104378"/>
    <n v="0"/>
    <n v="9.9112289562289568"/>
    <n v="4.9556144781144784"/>
    <x v="5"/>
    <x v="5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5"/>
    <s v="Pedido 172"/>
    <d v="2024-10-30T00:00:00"/>
    <x v="12"/>
    <s v="PedidoF165"/>
    <s v="CódRastreio165"/>
    <n v="1"/>
    <s v="CPF 169"/>
    <s v="Nome 169"/>
    <s v="Tel 169"/>
    <s v="Cep 169"/>
    <s v="Rua 169"/>
    <s v="Comp 169"/>
    <s v="Bomba d'agua"/>
    <s v="DJ-RO5O-43GF"/>
    <d v="2024-11-08T00:00:00"/>
    <n v="18.2"/>
    <n v="18.2"/>
    <n v="2.548"/>
    <n v="15.65"/>
    <n v="4.99"/>
    <n v="0.35"/>
    <n v="0.39877104377104378"/>
    <n v="0"/>
    <n v="9.9112289562289568"/>
    <n v="4.9556144781144784"/>
    <x v="10"/>
    <x v="10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5"/>
    <s v="Pedido 173"/>
    <d v="2024-10-30T00:00:00"/>
    <x v="12"/>
    <s v="PedidoF166"/>
    <s v="CódRastreio166"/>
    <n v="1"/>
    <s v="CPF 170"/>
    <s v="Nome 170"/>
    <s v="Tel 170"/>
    <s v="Cep 170"/>
    <s v="Rua 170"/>
    <s v="Comp 170"/>
    <s v="Suporte de Celular Branco"/>
    <s v="16-4EDB-WMZF"/>
    <d v="2024-11-08T00:00:00"/>
    <n v="15.99"/>
    <n v="15.99"/>
    <n v="2.3984999999999999"/>
    <n v="13.59"/>
    <n v="4.99"/>
    <n v="0.35"/>
    <n v="0.39877104377104378"/>
    <n v="0"/>
    <n v="7.8512289562289563"/>
    <n v="3.9256144781144782"/>
    <x v="10"/>
    <x v="10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74"/>
    <d v="2024-10-30T00:00:00"/>
    <x v="12"/>
    <s v="PedidoF167"/>
    <s v="CódRastreio167"/>
    <n v="1"/>
    <s v="CPF 171"/>
    <s v="Nome 171"/>
    <s v="Tel 171"/>
    <s v="Cep 171"/>
    <s v="Rua 171"/>
    <s v="Comp 171"/>
    <s v="Suporte de Celular Branco"/>
    <s v="16-4EDB-WMZF"/>
    <d v="2024-11-12T00:00:00"/>
    <n v="15.99"/>
    <n v="15.99"/>
    <n v="2.3984999999999999"/>
    <n v="13.59"/>
    <n v="4.99"/>
    <n v="0.35"/>
    <n v="0.39877104377104378"/>
    <n v="0"/>
    <n v="7.8512289562289563"/>
    <n v="3.9256144781144782"/>
    <x v="11"/>
    <x v="11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75"/>
    <d v="2024-10-30T00:00:00"/>
    <x v="12"/>
    <s v="PedidoF168"/>
    <s v="CódRastreio168"/>
    <n v="1"/>
    <s v="CPF 172"/>
    <s v="Nome 172"/>
    <s v="Tel 172"/>
    <s v="Cep 172"/>
    <s v="Rua 172"/>
    <s v="Comp 172"/>
    <s v="Bomba d'agua"/>
    <s v="DJ-RO5O-43GF"/>
    <d v="2024-11-14T00:00:00"/>
    <n v="18.2"/>
    <n v="18.2"/>
    <n v="2.548"/>
    <n v="15.65"/>
    <n v="4.99"/>
    <n v="0.35"/>
    <n v="0.39877104377104378"/>
    <n v="0"/>
    <n v="9.9112289562289568"/>
    <n v="4.9556144781144784"/>
    <x v="5"/>
    <x v="5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76"/>
    <d v="2024-10-30T00:00:00"/>
    <x v="12"/>
    <s v="PedidoF169"/>
    <s v="CódRastreio169"/>
    <n v="1"/>
    <s v="CPF 173"/>
    <s v="Nome 173"/>
    <s v="Tel 173"/>
    <s v="Cep 173"/>
    <s v="Rua 173"/>
    <s v="Comp 173"/>
    <s v="Suporte de Celular Branco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x v="5"/>
    <x v="5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5"/>
    <s v="Pedido 177"/>
    <d v="2024-10-30T00:00:00"/>
    <x v="12"/>
    <s v="PedidoF170"/>
    <s v="CódRastreio170"/>
    <n v="1"/>
    <s v="CPF 174"/>
    <s v="Nome 174"/>
    <s v="Tel 174"/>
    <s v="Cep 174"/>
    <s v="Rua 174"/>
    <s v="Comp 174"/>
    <s v="Suporte de Celular Branco"/>
    <s v="16-4EDB-WMZF"/>
    <d v="2024-11-22T00:00:00"/>
    <n v="15.99"/>
    <n v="15.99"/>
    <n v="2.3984999999999999"/>
    <n v="13.59"/>
    <n v="4.99"/>
    <n v="0.35"/>
    <n v="0.39877104377104378"/>
    <n v="0"/>
    <n v="7.8512289562289563"/>
    <n v="3.9256144781144782"/>
    <x v="19"/>
    <x v="18"/>
    <x v="6"/>
    <d v="2024-11-29T00:00:00"/>
    <x v="1"/>
    <x v="0"/>
    <x v="1"/>
    <s v="ENTREGUE"/>
    <d v="2024-11-06T00:00:00"/>
    <x v="0"/>
    <s v="NÃO"/>
    <n v="0"/>
    <n v="0"/>
    <n v="0"/>
    <n v="0"/>
    <n v="0"/>
  </r>
  <r>
    <x v="0"/>
    <s v="BV45595"/>
    <s v="Pedido 178"/>
    <d v="2024-10-30T00:00:00"/>
    <x v="12"/>
    <s v="PedidoF171"/>
    <s v="CódRastreio171"/>
    <n v="1"/>
    <s v="CPF 175"/>
    <s v="Nome 175"/>
    <s v="Tel 175"/>
    <s v="Cep 175"/>
    <s v="Rua 175"/>
    <s v="Comp 175"/>
    <s v="Ventilador Preto"/>
    <s v="MU-J80P-95WF"/>
    <d v="2024-11-14T00:00:00"/>
    <n v="59.99"/>
    <n v="59.99"/>
    <n v="7.7987000000000002"/>
    <n v="52.19"/>
    <n v="7.3"/>
    <n v="0.35"/>
    <n v="0.39877104377104378"/>
    <n v="0"/>
    <n v="44.141228956228957"/>
    <n v="22.070614478114479"/>
    <x v="5"/>
    <x v="5"/>
    <x v="2"/>
    <d v="2024-11-22T00:00:00"/>
    <x v="1"/>
    <x v="0"/>
    <x v="1"/>
    <s v="ENTREGUE"/>
    <d v="2024-11-06T00:00:00"/>
    <x v="0"/>
    <s v="NÃO"/>
    <n v="0"/>
    <n v="0"/>
    <n v="0"/>
    <n v="0"/>
    <n v="0"/>
  </r>
  <r>
    <x v="0"/>
    <s v="BV45595"/>
    <s v="Pedido 179"/>
    <d v="2024-10-30T00:00:00"/>
    <x v="12"/>
    <s v="PedidoF172"/>
    <s v="CódRastreio172"/>
    <n v="1"/>
    <s v="CPF 176"/>
    <s v="Nome 176"/>
    <s v="Tel 176"/>
    <s v="Cep 176"/>
    <s v="Rua 176"/>
    <s v="Comp 176"/>
    <s v="Ventilador de teto"/>
    <s v="ZO-J9IL-EN6L"/>
    <d v="2024-11-14T00:00:00"/>
    <n v="58.99"/>
    <n v="58.99"/>
    <n v="8.2586000000000013"/>
    <n v="50.73"/>
    <n v="0"/>
    <n v="0.35"/>
    <n v="0.39877104377104378"/>
    <n v="0"/>
    <n v="49.981228956228954"/>
    <n v="24.990614478114477"/>
    <x v="5"/>
    <x v="5"/>
    <x v="2"/>
    <d v="2024-11-22T00:00:00"/>
    <x v="1"/>
    <x v="0"/>
    <x v="1"/>
    <s v="ENTREGUE"/>
    <d v="2024-11-08T00:00:00"/>
    <x v="0"/>
    <s v="NÃO"/>
    <n v="0"/>
    <n v="0"/>
    <n v="0"/>
    <n v="0"/>
    <n v="0"/>
  </r>
  <r>
    <x v="0"/>
    <s v="BV45595"/>
    <s v="Pedido 180"/>
    <d v="2024-10-30T00:00:00"/>
    <x v="12"/>
    <s v="PedidoF173"/>
    <s v="CódRastreio173"/>
    <n v="1"/>
    <s v="CPF 177"/>
    <s v="Nome 177"/>
    <s v="Tel 177"/>
    <s v="Cep 177"/>
    <s v="Rua 177"/>
    <s v="Comp 177"/>
    <s v="Suporte de Celular Branco"/>
    <s v="16-4EDB-WMZF"/>
    <d v="2024-11-14T00:00:00"/>
    <n v="15.99"/>
    <n v="15.99"/>
    <n v="2.3984999999999999"/>
    <n v="13.59"/>
    <n v="4.99"/>
    <n v="0.35"/>
    <n v="0.39877104377104378"/>
    <n v="0"/>
    <n v="7.8512289562289563"/>
    <n v="3.9256144781144782"/>
    <x v="5"/>
    <x v="5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5"/>
    <s v="Pedido 181"/>
    <d v="2024-10-30T00:00:00"/>
    <x v="12"/>
    <s v="PedidoF174"/>
    <s v="CódRastreio174"/>
    <n v="1"/>
    <s v="CPF 178"/>
    <s v="Nome 178"/>
    <s v="Tel 178"/>
    <s v="Cep 178"/>
    <s v="Rua 178"/>
    <s v="Comp 178"/>
    <s v="Suporte de Celular Branco"/>
    <s v="16-4EDB-WMZF"/>
    <d v="2024-11-14T00:00:00"/>
    <n v="40"/>
    <n v="40"/>
    <n v="6"/>
    <n v="34"/>
    <n v="4.99"/>
    <n v="0.35"/>
    <n v="0.39877104377104378"/>
    <n v="0"/>
    <n v="28.261228956228955"/>
    <n v="14.130614478114477"/>
    <x v="5"/>
    <x v="5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82"/>
    <d v="2024-10-30T00:00:00"/>
    <x v="12"/>
    <s v="PedidoF175"/>
    <s v="CódRastreio175"/>
    <n v="1"/>
    <s v="CPF 179"/>
    <s v="Nome 179"/>
    <s v="Tel 179"/>
    <s v="Cep 179"/>
    <s v="Rua 179"/>
    <s v="Comp 179"/>
    <s v="Bomba d'agua"/>
    <s v="DJ-RO5O-43GF"/>
    <d v="2024-11-14T00:00:00"/>
    <n v="40"/>
    <n v="40"/>
    <n v="5.6000000000000005"/>
    <n v="34.4"/>
    <n v="4.99"/>
    <n v="0.35"/>
    <n v="0.39877104377104378"/>
    <n v="0"/>
    <n v="28.661228956228953"/>
    <n v="14.330614478114477"/>
    <x v="5"/>
    <x v="5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5"/>
    <s v="Pedido 183"/>
    <d v="2024-10-30T00:00:00"/>
    <x v="12"/>
    <s v="PedidoF176"/>
    <s v="CódRastreio176"/>
    <n v="1"/>
    <s v="CPF 180"/>
    <s v="Nome 180"/>
    <s v="Tel 180"/>
    <s v="Cep 180"/>
    <s v="Rua 180"/>
    <s v="Comp 180"/>
    <s v="Ventilador Preto"/>
    <s v="MU-J80P-95WF"/>
    <d v="2024-11-22T00:00:00"/>
    <n v="59.99"/>
    <n v="59.99"/>
    <n v="7.7987000000000002"/>
    <n v="52.19"/>
    <n v="7.3"/>
    <n v="0.35"/>
    <n v="0.39877104377104378"/>
    <n v="0"/>
    <n v="44.141228956228957"/>
    <n v="22.070614478114479"/>
    <x v="19"/>
    <x v="18"/>
    <x v="6"/>
    <d v="2024-11-29T00:00:00"/>
    <x v="1"/>
    <x v="0"/>
    <x v="1"/>
    <s v="ENTREGUE"/>
    <d v="2024-11-12T00:00:00"/>
    <x v="0"/>
    <s v="NÃO"/>
    <n v="0"/>
    <n v="0"/>
    <n v="0"/>
    <n v="0"/>
    <n v="0"/>
  </r>
  <r>
    <x v="0"/>
    <s v="BV45595"/>
    <s v="Pedido 184"/>
    <d v="2024-10-30T00:00:00"/>
    <x v="12"/>
    <s v="PedidoF177"/>
    <s v="CódRastreio177"/>
    <n v="1"/>
    <s v="CPF 181"/>
    <s v="Nome 181"/>
    <s v="Tel 181"/>
    <s v="Cep 181"/>
    <s v="Rua 181"/>
    <s v="Comp 181"/>
    <s v="Mini Liquidificador"/>
    <s v="CK-YL6M-P5Y6"/>
    <d v="2024-11-22T00:00:00"/>
    <n v="31.99"/>
    <n v="31.99"/>
    <n v="4.1586999999999996"/>
    <n v="27.83"/>
    <n v="0"/>
    <n v="0.35"/>
    <n v="0.39877104377104378"/>
    <n v="0"/>
    <n v="27.081228956228955"/>
    <n v="13.540614478114477"/>
    <x v="19"/>
    <x v="24"/>
    <x v="6"/>
    <d v="2024-11-29T00:00:00"/>
    <x v="1"/>
    <x v="0"/>
    <x v="1"/>
    <s v="ENTREGUE"/>
    <d v="2024-12-03T00:00:00"/>
    <x v="0"/>
    <s v="-"/>
    <n v="0"/>
    <n v="0"/>
    <n v="0"/>
    <n v="0"/>
    <n v="0"/>
  </r>
  <r>
    <x v="0"/>
    <s v="BV45595"/>
    <s v="Pedido 185"/>
    <d v="2024-10-30T00:00:00"/>
    <x v="12"/>
    <s v="PedidoF178"/>
    <s v="CódRastreio178"/>
    <n v="1"/>
    <s v="CPF 182"/>
    <s v="Nome 182"/>
    <s v="Tel 182"/>
    <s v="Cep 182"/>
    <s v="Rua 182"/>
    <s v="Comp 182"/>
    <s v="Bomba d'agua"/>
    <s v="DJ-RO5O-43GF"/>
    <d v="2024-11-08T00:00:00"/>
    <n v="17.989999999999998"/>
    <n v="17.989999999999998"/>
    <n v="2.5186000000000002"/>
    <n v="15.47"/>
    <n v="4.99"/>
    <n v="0.35"/>
    <n v="0.39877104377104378"/>
    <n v="0"/>
    <n v="9.7312289562289571"/>
    <n v="4.8656144781144786"/>
    <x v="10"/>
    <x v="10"/>
    <x v="2"/>
    <d v="2024-11-22T00:00:00"/>
    <x v="1"/>
    <x v="0"/>
    <x v="1"/>
    <s v="ENTREGUE"/>
    <d v="2024-11-03T00:00:00"/>
    <x v="0"/>
    <s v="NÃO"/>
    <n v="0"/>
    <n v="0"/>
    <n v="0"/>
    <n v="0"/>
    <n v="0"/>
  </r>
  <r>
    <x v="0"/>
    <s v="BV45595"/>
    <s v="Pedido 186"/>
    <d v="2024-10-30T00:00:00"/>
    <x v="12"/>
    <s v="PedidoF179"/>
    <s v="CódRastreio179"/>
    <n v="1"/>
    <s v="CPF 183"/>
    <s v="Nome 183"/>
    <s v="Tel 183"/>
    <s v="Cep 183"/>
    <s v="Rua 183"/>
    <s v="Comp 183"/>
    <s v="Bomba d'agua"/>
    <s v="DJ-RO5O-43GF"/>
    <d v="2024-11-08T00:00:00"/>
    <n v="17.989999999999998"/>
    <n v="17.989999999999998"/>
    <n v="2.5186000000000002"/>
    <n v="15.47"/>
    <n v="4.99"/>
    <n v="0.35"/>
    <n v="0.39877104377104378"/>
    <n v="0"/>
    <n v="9.7312289562289571"/>
    <n v="4.8656144781144786"/>
    <x v="10"/>
    <x v="10"/>
    <x v="2"/>
    <d v="2024-11-22T00:00:00"/>
    <x v="1"/>
    <x v="0"/>
    <x v="1"/>
    <s v="ENTREGUE"/>
    <d v="2024-11-02T00:00:00"/>
    <x v="0"/>
    <s v="NÃO"/>
    <n v="0"/>
    <n v="0"/>
    <n v="0"/>
    <n v="0"/>
    <n v="0"/>
  </r>
  <r>
    <x v="0"/>
    <s v="BV45595"/>
    <s v="Pedido 187"/>
    <d v="2024-10-30T00:00:00"/>
    <x v="12"/>
    <s v="PedidoF180"/>
    <s v="CódRastreio180"/>
    <n v="1"/>
    <s v="CPF 184"/>
    <s v="Nome 184"/>
    <s v="Tel 184"/>
    <s v="Cep 184"/>
    <s v="Rua 184"/>
    <s v="Comp 184"/>
    <s v="Ventilador Preto"/>
    <s v="MU-J80P-95WF"/>
    <d v="2024-11-22T00:00:00"/>
    <n v="59.99"/>
    <n v="59.99"/>
    <n v="7.7987000000000002"/>
    <n v="52.19"/>
    <n v="7.3"/>
    <n v="0.35"/>
    <n v="0.39877104377104378"/>
    <n v="0"/>
    <n v="44.141228956228957"/>
    <n v="22.070614478114479"/>
    <x v="19"/>
    <x v="18"/>
    <x v="6"/>
    <d v="2024-11-29T00:00:00"/>
    <x v="1"/>
    <x v="0"/>
    <x v="1"/>
    <s v="ENTREGUE"/>
    <d v="2024-11-11T00:00:00"/>
    <x v="0"/>
    <s v="NÃO"/>
    <n v="0"/>
    <n v="0"/>
    <n v="0"/>
    <n v="0"/>
    <n v="0"/>
  </r>
  <r>
    <x v="0"/>
    <s v="BV45596"/>
    <s v="Pedido 188"/>
    <d v="2024-10-31T00:00:00"/>
    <x v="15"/>
    <s v="PedidoF181"/>
    <s v="CódRastreio181"/>
    <n v="1"/>
    <s v="CPF 185"/>
    <s v="Nome 185"/>
    <s v="Tel 185"/>
    <s v="Cep 185"/>
    <s v="Rua 185"/>
    <s v="Comp 185"/>
    <s v="Ventilador Preto"/>
    <s v="MU-J80P-95WF"/>
    <d v="2024-11-15T00:00:00"/>
    <n v="59.99"/>
    <n v="59.99"/>
    <n v="7.7987000000000002"/>
    <n v="52.19"/>
    <n v="9.11"/>
    <n v="0.36"/>
    <n v="0.39877104377104378"/>
    <n v="0"/>
    <n v="42.321228956228957"/>
    <n v="21.160614478114478"/>
    <x v="7"/>
    <x v="7"/>
    <x v="4"/>
    <d v="2024-11-29T00:00:00"/>
    <x v="1"/>
    <x v="0"/>
    <x v="1"/>
    <s v="ENTREGUE"/>
    <d v="2024-11-11T00:00:00"/>
    <x v="0"/>
    <s v="NÃO"/>
    <n v="0"/>
    <n v="0"/>
    <n v="0"/>
    <n v="0"/>
    <n v="0"/>
  </r>
  <r>
    <x v="0"/>
    <s v="BV45596"/>
    <s v="Pedido 189"/>
    <d v="2024-10-31T00:00:00"/>
    <x v="15"/>
    <s v="PedidoF182"/>
    <s v="CódRastreio182"/>
    <n v="1"/>
    <s v="CPF 186"/>
    <s v="Nome 186"/>
    <s v="Tel 186"/>
    <s v="Cep 186"/>
    <s v="Rua 186"/>
    <s v="Comp 186"/>
    <s v="Suporte de Celular Preto"/>
    <s v="9G-BN48-QAPH"/>
    <d v="2024-11-09T00:00:00"/>
    <n v="18.989999999999998"/>
    <n v="18.989999999999998"/>
    <n v="2.8484999999999996"/>
    <n v="16.14"/>
    <n v="4.99"/>
    <n v="0.36"/>
    <n v="0.39877104377104378"/>
    <n v="0"/>
    <n v="10.391228956228957"/>
    <n v="5.1956144781144786"/>
    <x v="4"/>
    <x v="4"/>
    <x v="2"/>
    <d v="2024-11-22T00:00:00"/>
    <x v="1"/>
    <x v="0"/>
    <x v="1"/>
    <s v="ENTREGUE"/>
    <d v="2024-11-04T00:00:00"/>
    <x v="0"/>
    <s v="NÃO"/>
    <n v="0"/>
    <n v="0"/>
    <n v="0"/>
    <n v="0"/>
    <n v="0"/>
  </r>
  <r>
    <x v="0"/>
    <s v="BV45596"/>
    <s v="Pedido 190"/>
    <d v="2024-10-31T00:00:00"/>
    <x v="15"/>
    <s v="PedidoF183"/>
    <s v="CódRastreio183"/>
    <n v="1"/>
    <s v="CPF 187"/>
    <s v="Nome 187"/>
    <s v="Tel 187"/>
    <s v="Cep 187"/>
    <s v="Rua 187"/>
    <s v="Comp 187"/>
    <s v="Bomba d'agua"/>
    <s v="DJ-RO5O-43GF"/>
    <d v="2024-11-15T00:00:00"/>
    <n v="16.989999999999998"/>
    <n v="16.989999999999998"/>
    <n v="2.3786"/>
    <n v="14.61"/>
    <n v="4.99"/>
    <n v="0.36"/>
    <n v="0.39877104377104378"/>
    <n v="0"/>
    <n v="8.8612289562289561"/>
    <n v="4.4306144781144781"/>
    <x v="7"/>
    <x v="7"/>
    <x v="4"/>
    <d v="2024-11-29T00:00:00"/>
    <x v="1"/>
    <x v="0"/>
    <x v="1"/>
    <s v="ENTREGUE"/>
    <d v="2024-11-08T00:00:00"/>
    <x v="0"/>
    <s v="NÃO"/>
    <n v="0"/>
    <n v="0"/>
    <n v="0"/>
    <n v="0"/>
    <n v="0"/>
  </r>
  <r>
    <x v="0"/>
    <s v="BV45596"/>
    <s v="Pedido 191"/>
    <d v="2024-10-31T00:00:00"/>
    <x v="15"/>
    <s v="PedidoF184"/>
    <s v="CódRastreio184"/>
    <n v="1"/>
    <s v="CPF 188"/>
    <s v="Nome 188"/>
    <s v="Tel 188"/>
    <s v="Cep 188"/>
    <s v="Rua 188"/>
    <s v="Comp 188"/>
    <s v="Multi Processador 5 Laminas"/>
    <s v="T9-P952-TL6A"/>
    <d v="2024-11-09T00:00:00"/>
    <n v="23.99"/>
    <n v="23.99"/>
    <n v="3.1187"/>
    <n v="20.87"/>
    <n v="9.59"/>
    <n v="0.36"/>
    <n v="0.39877104377104378"/>
    <n v="0"/>
    <n v="10.521228956228958"/>
    <n v="5.260614478114479"/>
    <x v="4"/>
    <x v="4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6"/>
    <s v="Pedido 192"/>
    <d v="2024-10-31T00:00:00"/>
    <x v="15"/>
    <s v="PedidoF185"/>
    <s v="CódRastreio185"/>
    <n v="1"/>
    <s v="CPF 189"/>
    <s v="Nome 189"/>
    <s v="Tel 189"/>
    <s v="Cep 189"/>
    <s v="Rua 189"/>
    <s v="Comp 189"/>
    <s v="Bomba d'agua"/>
    <s v="DJ-RO5O-43GF"/>
    <d v="2024-11-15T00:00:00"/>
    <n v="16.989999999999998"/>
    <n v="16.989999999999998"/>
    <n v="2.3786"/>
    <n v="14.61"/>
    <n v="4.99"/>
    <n v="0.36"/>
    <n v="0.39877104377104378"/>
    <n v="0"/>
    <n v="8.8612289562289561"/>
    <n v="4.4306144781144781"/>
    <x v="7"/>
    <x v="7"/>
    <x v="4"/>
    <d v="2024-11-29T00:00:00"/>
    <x v="1"/>
    <x v="0"/>
    <x v="1"/>
    <s v="ENTREGUE"/>
    <d v="2024-11-11T00:00:00"/>
    <x v="0"/>
    <s v="NÃO"/>
    <n v="0"/>
    <n v="0"/>
    <n v="0"/>
    <n v="0"/>
    <n v="0"/>
  </r>
  <r>
    <x v="0"/>
    <s v="BV45596"/>
    <s v="Pedido 193"/>
    <d v="2024-10-31T00:00:00"/>
    <x v="15"/>
    <s v="PedidoF186"/>
    <s v="CódRastreio186"/>
    <n v="1"/>
    <s v="CPF 190"/>
    <s v="Nome 190"/>
    <s v="Tel 190"/>
    <s v="Cep 190"/>
    <s v="Rua 190"/>
    <s v="Comp 190"/>
    <s v="Bomba d'agua"/>
    <s v="DJ-RO5O-43GF"/>
    <d v="2024-11-09T00:00:00"/>
    <n v="16.989999999999998"/>
    <n v="16.989999999999998"/>
    <n v="2.3786"/>
    <n v="14.61"/>
    <n v="4.99"/>
    <n v="0.36"/>
    <n v="0.39877104377104378"/>
    <n v="0"/>
    <n v="8.8612289562289561"/>
    <n v="4.4306144781144781"/>
    <x v="4"/>
    <x v="4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6"/>
    <s v="Pedido 194"/>
    <d v="2024-10-31T00:00:00"/>
    <x v="15"/>
    <s v="PedidoF187"/>
    <s v="CódRastreio187"/>
    <n v="1"/>
    <s v="CPF 191"/>
    <s v="Nome 191"/>
    <s v="Tel 191"/>
    <s v="Cep 191"/>
    <s v="Rua 191"/>
    <s v="Comp 191"/>
    <s v="Ventilador Preto"/>
    <s v="MU-J80P-95WF"/>
    <d v="2024-11-30T00:00:00"/>
    <n v="59.99"/>
    <n v="59.99"/>
    <n v="7.7987000000000002"/>
    <n v="52.19"/>
    <n v="9.11"/>
    <n v="0.36"/>
    <n v="0.39877104377104378"/>
    <n v="0"/>
    <n v="42.321228956228957"/>
    <n v="21.160614478114478"/>
    <x v="3"/>
    <x v="3"/>
    <x v="1"/>
    <d v="2024-12-16T00:00:00"/>
    <x v="0"/>
    <x v="0"/>
    <x v="1"/>
    <s v="ENTREGUE"/>
    <d v="2024-12-02T00:00:00"/>
    <x v="0"/>
    <s v="SIM"/>
    <n v="0"/>
    <n v="0"/>
    <n v="0"/>
    <n v="0"/>
    <n v="0"/>
  </r>
  <r>
    <x v="0"/>
    <s v="BV45596"/>
    <s v="Pedido 195"/>
    <d v="2024-10-31T00:00:00"/>
    <x v="15"/>
    <s v="PedidoF188"/>
    <s v="CódRastreio188"/>
    <n v="1"/>
    <s v="CPF 192"/>
    <s v="Nome 192"/>
    <s v="Tel 192"/>
    <s v="Cep 192"/>
    <s v="Rua 192"/>
    <s v="Comp 192"/>
    <s v="Bomba d'agua"/>
    <s v="DJ-RO5O-43GF"/>
    <d v="2024-11-09T00:00:00"/>
    <n v="16.989999999999998"/>
    <n v="16.989999999999998"/>
    <n v="2.3786"/>
    <n v="14.61"/>
    <n v="4.99"/>
    <n v="0.36"/>
    <n v="0.39877104377104378"/>
    <n v="0"/>
    <n v="8.8612289562289561"/>
    <n v="4.4306144781144781"/>
    <x v="4"/>
    <x v="4"/>
    <x v="2"/>
    <d v="2024-11-22T00:00:00"/>
    <x v="1"/>
    <x v="0"/>
    <x v="1"/>
    <s v="ENTREGUE"/>
    <d v="2024-11-05T00:00:00"/>
    <x v="0"/>
    <s v="NÃO"/>
    <n v="0"/>
    <n v="0"/>
    <n v="0"/>
    <n v="0"/>
    <n v="0"/>
  </r>
  <r>
    <x v="0"/>
    <s v="BV45596"/>
    <s v="Pedido 196"/>
    <d v="2024-10-31T00:00:00"/>
    <x v="15"/>
    <s v="PedidoF189"/>
    <s v="CódRastreio189"/>
    <n v="1"/>
    <s v="CPF 193"/>
    <s v="Nome 193"/>
    <s v="Tel 193"/>
    <s v="Cep 193"/>
    <s v="Rua 193"/>
    <s v="Comp 193"/>
    <s v="Ventilador de teto"/>
    <s v="ZO-J9IL-EN6L"/>
    <d v="2024-11-15T00:00:00"/>
    <n v="58.9"/>
    <n v="58.9"/>
    <n v="8.2460000000000004"/>
    <n v="50.65"/>
    <n v="7.29"/>
    <n v="0.36"/>
    <n v="0.39877104377104378"/>
    <n v="0"/>
    <n v="42.601228956228951"/>
    <n v="21.300614478114476"/>
    <x v="7"/>
    <x v="7"/>
    <x v="4"/>
    <d v="2024-11-29T00:00:00"/>
    <x v="1"/>
    <x v="0"/>
    <x v="1"/>
    <s v="ENTREGUE"/>
    <d v="2024-11-15T00:00:00"/>
    <x v="0"/>
    <s v="NÃO"/>
    <n v="0"/>
    <n v="0"/>
    <n v="0"/>
    <n v="0"/>
    <n v="0"/>
  </r>
  <r>
    <x v="0"/>
    <s v="BV45596"/>
    <s v="Pedido 197"/>
    <d v="2024-10-31T00:00:00"/>
    <x v="15"/>
    <s v="PedidoF190"/>
    <s v="CódRastreio190"/>
    <n v="1"/>
    <s v="CPF 194"/>
    <s v="Nome 194"/>
    <s v="Tel 194"/>
    <s v="Cep 194"/>
    <s v="Rua 194"/>
    <s v="Comp 194"/>
    <s v="Bomba d'agua"/>
    <s v="DJ-RO5O-43GF"/>
    <d v="2024-11-15T00:00:00"/>
    <n v="16.989999999999998"/>
    <n v="16.989999999999998"/>
    <n v="2.3786"/>
    <n v="14.61"/>
    <n v="4.99"/>
    <n v="0.36"/>
    <n v="0.39877104377104378"/>
    <n v="0"/>
    <n v="8.8612289562289561"/>
    <n v="4.4306144781144781"/>
    <x v="7"/>
    <x v="7"/>
    <x v="4"/>
    <d v="2024-11-29T00:00:00"/>
    <x v="1"/>
    <x v="0"/>
    <x v="1"/>
    <s v="ENTREGUE"/>
    <d v="2024-11-07T00:00:00"/>
    <x v="0"/>
    <s v="NÃO"/>
    <n v="0"/>
    <n v="0"/>
    <n v="0"/>
    <n v="0"/>
    <n v="0"/>
  </r>
  <r>
    <x v="0"/>
    <s v="BV45596"/>
    <s v="Pedido 198"/>
    <d v="2024-10-31T00:00:00"/>
    <x v="15"/>
    <s v="PedidoF191"/>
    <s v="CódRastreio191"/>
    <n v="1"/>
    <s v="CPF 195"/>
    <s v="Nome 195"/>
    <s v="Tel 195"/>
    <s v="Cep 195"/>
    <s v="Rua 195"/>
    <s v="Comp 195"/>
    <s v="Mini Liquidificador"/>
    <s v="CK-YL6M-P5Y6"/>
    <d v="2024-11-15T00:00:00"/>
    <n v="31.99"/>
    <n v="31.99"/>
    <n v="4.1586999999999996"/>
    <n v="27.83"/>
    <n v="9.99"/>
    <n v="0.36"/>
    <n v="0.39877104377104378"/>
    <n v="0"/>
    <n v="17.081228956228955"/>
    <n v="8.5406144781144775"/>
    <x v="7"/>
    <x v="7"/>
    <x v="4"/>
    <d v="2024-11-29T00:00:00"/>
    <x v="1"/>
    <x v="0"/>
    <x v="1"/>
    <s v="ENTREGUE"/>
    <d v="2024-11-11T00:00:00"/>
    <x v="0"/>
    <s v="NÃO"/>
    <n v="0"/>
    <n v="0"/>
    <n v="0"/>
    <n v="0"/>
    <n v="0"/>
  </r>
  <r>
    <x v="0"/>
    <s v="BV45596"/>
    <s v="Pedido 199"/>
    <d v="2024-10-31T00:00:00"/>
    <x v="15"/>
    <s v="PedidoF192"/>
    <s v="CódRastreio192"/>
    <n v="1"/>
    <s v="CPF 196"/>
    <s v="Nome 196"/>
    <s v="Tel 196"/>
    <s v="Cep 196"/>
    <s v="Rua 196"/>
    <s v="Comp 196"/>
    <s v="Ventilador de teto"/>
    <s v="ZO-J9IL-EN6L"/>
    <d v="2024-11-15T00:00:00"/>
    <n v="58.9"/>
    <n v="58.9"/>
    <n v="8.2460000000000004"/>
    <n v="50.65"/>
    <n v="7.29"/>
    <n v="0.36"/>
    <n v="0.39877104377104378"/>
    <n v="0"/>
    <n v="42.601228956228951"/>
    <n v="21.300614478114476"/>
    <x v="7"/>
    <x v="7"/>
    <x v="4"/>
    <d v="2024-11-29T00:00:00"/>
    <x v="1"/>
    <x v="0"/>
    <x v="1"/>
    <s v="ENTREGUE"/>
    <d v="2024-11-15T00:00:00"/>
    <x v="0"/>
    <s v="NÃO"/>
    <n v="0"/>
    <n v="0"/>
    <n v="0"/>
    <n v="0"/>
    <n v="0"/>
  </r>
  <r>
    <x v="0"/>
    <s v="BV45597"/>
    <s v="Pedido 200"/>
    <d v="2024-11-01T00:00:00"/>
    <x v="16"/>
    <s v="PedidoF193"/>
    <s v="CódRastreio193"/>
    <n v="1"/>
    <s v="CPF 197"/>
    <s v="Nome 197"/>
    <s v="Tel 197"/>
    <s v="Cep 197"/>
    <s v="Rua 197"/>
    <s v="Comp 197"/>
    <s v="Bomba d'agua"/>
    <s v="DJ-RO5O-43GF"/>
    <d v="2024-11-22T00:00:00"/>
    <n v="16.5"/>
    <n v="16.5"/>
    <n v="2.31"/>
    <n v="14.19"/>
    <n v="6.57"/>
    <n v="0.43"/>
    <n v="0.39877104377104378"/>
    <n v="0"/>
    <n v="6.7912289562289558"/>
    <n v="3.3956144781144779"/>
    <x v="19"/>
    <x v="18"/>
    <x v="6"/>
    <d v="2024-11-29T00:00:00"/>
    <x v="1"/>
    <x v="0"/>
    <x v="2"/>
    <s v="ENTREGUE"/>
    <d v="2024-11-06T00:00:00"/>
    <x v="0"/>
    <s v="NÃO"/>
    <n v="0"/>
    <n v="0"/>
    <n v="0"/>
    <n v="0"/>
    <n v="0"/>
  </r>
  <r>
    <x v="0"/>
    <s v="BV45597"/>
    <s v="Pedido 201"/>
    <d v="2024-11-01T00:00:00"/>
    <x v="16"/>
    <s v="PedidoF194"/>
    <s v="CódRastreio194"/>
    <n v="1"/>
    <s v="CPF 198"/>
    <s v="Nome 198"/>
    <s v="Tel 198"/>
    <s v="Cep 198"/>
    <s v="Rua 198"/>
    <s v="Comp 198"/>
    <s v="Bomba d'agua"/>
    <s v="DJ-RO5O-43GF"/>
    <d v="2024-11-19T00:00:00"/>
    <n v="16.5"/>
    <n v="16.5"/>
    <n v="2.31"/>
    <n v="14.19"/>
    <n v="5.91"/>
    <n v="0.43"/>
    <n v="0.39877104377104378"/>
    <n v="0"/>
    <n v="7.451228956228956"/>
    <n v="3.725614478114478"/>
    <x v="13"/>
    <x v="13"/>
    <x v="6"/>
    <d v="2024-11-29T00:00:00"/>
    <x v="1"/>
    <x v="0"/>
    <x v="2"/>
    <s v="ENTREGUE"/>
    <d v="2024-11-06T00:00:00"/>
    <x v="0"/>
    <s v="NÃO"/>
    <n v="0"/>
    <n v="0"/>
    <n v="0"/>
    <n v="0"/>
    <n v="0"/>
  </r>
  <r>
    <x v="0"/>
    <s v="BV45597"/>
    <s v="Pedido 202"/>
    <d v="2024-11-01T00:00:00"/>
    <x v="16"/>
    <s v="PedidoF195"/>
    <s v="CódRastreio195"/>
    <n v="1"/>
    <s v="CPF 199"/>
    <s v="Nome 199"/>
    <s v="Tel 199"/>
    <s v="Cep 199"/>
    <s v="Rua 199"/>
    <s v="Comp 199"/>
    <s v="Bomba d'agua"/>
    <s v="DJ-RO5O-43GF"/>
    <d v="2024-11-19T00:00:00"/>
    <n v="16.5"/>
    <n v="16.5"/>
    <n v="2.31"/>
    <n v="14.19"/>
    <n v="5.91"/>
    <n v="0.43"/>
    <n v="0.39877104377104378"/>
    <n v="0"/>
    <n v="7.451228956228956"/>
    <n v="3.725614478114478"/>
    <x v="13"/>
    <x v="13"/>
    <x v="6"/>
    <d v="2024-11-29T00:00:00"/>
    <x v="1"/>
    <x v="0"/>
    <x v="2"/>
    <s v="ENTREGUE"/>
    <d v="2024-11-05T00:00:00"/>
    <x v="0"/>
    <s v="NÃO"/>
    <n v="0"/>
    <n v="0"/>
    <n v="0"/>
    <n v="0"/>
    <n v="0"/>
  </r>
  <r>
    <x v="0"/>
    <s v="BV45597"/>
    <s v="Pedido 203"/>
    <d v="2024-11-01T00:00:00"/>
    <x v="16"/>
    <s v="PedidoF196"/>
    <s v="CódRastreio196"/>
    <n v="1"/>
    <s v="CPF 200"/>
    <s v="Nome 200"/>
    <s v="Tel 200"/>
    <s v="Cep 200"/>
    <s v="Rua 200"/>
    <s v="Comp 200"/>
    <s v="Bomba d'agua"/>
    <s v="DJ-RO5O-43GF"/>
    <d v="2024-11-26T00:00:00"/>
    <n v="16.5"/>
    <n v="16.5"/>
    <n v="2.31"/>
    <n v="14.19"/>
    <n v="5.91"/>
    <n v="0.43"/>
    <n v="0.39877104377104378"/>
    <n v="0"/>
    <n v="7.451228956228956"/>
    <n v="3.725614478114478"/>
    <x v="2"/>
    <x v="2"/>
    <x v="1"/>
    <d v="2024-12-16T00:00:00"/>
    <x v="0"/>
    <x v="0"/>
    <x v="2"/>
    <s v="ENTREGUE"/>
    <d v="2024-11-08T00:00:00"/>
    <x v="0"/>
    <s v="NÃO"/>
    <n v="0"/>
    <n v="0"/>
    <n v="0"/>
    <n v="0"/>
    <n v="0"/>
  </r>
  <r>
    <x v="0"/>
    <s v="BV45597"/>
    <s v="Pedido 204"/>
    <d v="2024-11-01T00:00:00"/>
    <x v="16"/>
    <s v="PedidoF197"/>
    <s v="CódRastreio197"/>
    <n v="1"/>
    <s v="CPF 201"/>
    <s v="Nome 201"/>
    <s v="Tel 201"/>
    <s v="Cep 201"/>
    <s v="Rua 201"/>
    <s v="Comp 201"/>
    <s v="Bomba d'agua"/>
    <s v="DJ-RO5O-43GF"/>
    <d v="2024-11-19T00:00:00"/>
    <n v="16.5"/>
    <n v="16.5"/>
    <n v="2.31"/>
    <n v="14.19"/>
    <n v="5.91"/>
    <n v="0.43"/>
    <n v="0.39877104377104378"/>
    <n v="0"/>
    <n v="7.451228956228956"/>
    <n v="3.725614478114478"/>
    <x v="13"/>
    <x v="13"/>
    <x v="6"/>
    <d v="2024-11-29T00:00:00"/>
    <x v="1"/>
    <x v="0"/>
    <x v="2"/>
    <s v="ENTREGUE"/>
    <d v="2024-11-05T00:00:00"/>
    <x v="0"/>
    <s v="NÃO"/>
    <n v="0"/>
    <n v="0"/>
    <n v="0"/>
    <n v="0"/>
    <n v="0"/>
  </r>
  <r>
    <x v="0"/>
    <s v="BV45597"/>
    <s v="Pedido 205"/>
    <d v="2024-11-01T00:00:00"/>
    <x v="16"/>
    <s v="PedidoF198"/>
    <s v="CódRastreio198"/>
    <n v="1"/>
    <s v="CPF 202"/>
    <s v="Nome 202"/>
    <s v="Tel 202"/>
    <s v="Cep 202"/>
    <s v="Rua 202"/>
    <s v="Comp 202"/>
    <s v="Mini Liquidificador"/>
    <s v="CK-YL6M-P5Y6"/>
    <d v="2024-11-30T00:00:00"/>
    <n v="31.5"/>
    <n v="31.5"/>
    <n v="4.0949999999999998"/>
    <n v="27.41"/>
    <n v="11.99"/>
    <n v="0.43"/>
    <n v="0.39877104377104378"/>
    <n v="0"/>
    <n v="14.591228956228957"/>
    <n v="7.2956144781144783"/>
    <x v="3"/>
    <x v="3"/>
    <x v="1"/>
    <d v="2024-12-16T00:00:00"/>
    <x v="0"/>
    <x v="0"/>
    <x v="2"/>
    <s v="ENTREGUE"/>
    <d v="2024-11-15T00:00:00"/>
    <x v="0"/>
    <s v="NÃO"/>
    <n v="0"/>
    <n v="0"/>
    <n v="0"/>
    <n v="0"/>
    <n v="0"/>
  </r>
  <r>
    <x v="0"/>
    <s v="BV45597"/>
    <s v="Pedido 206"/>
    <d v="2024-11-01T00:00:00"/>
    <x v="16"/>
    <s v="PedidoF199"/>
    <s v="CódRastreio199"/>
    <n v="1"/>
    <s v="CPF 203"/>
    <s v="Nome 203"/>
    <s v="Tel 203"/>
    <s v="Cep 203"/>
    <s v="Rua 203"/>
    <s v="Comp 203"/>
    <s v="Bomba d'agua"/>
    <s v="DJ-RO5O-43GF"/>
    <d v="2024-11-30T00:00:00"/>
    <n v="16.5"/>
    <n v="16.5"/>
    <n v="2.31"/>
    <n v="14.19"/>
    <n v="5.91"/>
    <n v="0.43"/>
    <n v="0.39877104377104378"/>
    <n v="0"/>
    <n v="7.451228956228956"/>
    <n v="3.725614478114478"/>
    <x v="3"/>
    <x v="3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7"/>
    <s v="Pedido 207"/>
    <d v="2024-11-01T00:00:00"/>
    <x v="16"/>
    <s v="PedidoF200"/>
    <s v="CódRastreio200"/>
    <n v="1"/>
    <s v="CPF 204"/>
    <s v="Nome 204"/>
    <s v="Tel 204"/>
    <s v="Cep 204"/>
    <s v="Rua 204"/>
    <s v="Comp 204"/>
    <s v="Ventilador Azul"/>
    <s v="U8-2VWS-OB6M"/>
    <d v="2024-11-26T00:00:00"/>
    <n v="64.989999999999995"/>
    <n v="64.989999999999995"/>
    <n v="8.4486999999999988"/>
    <n v="56.54"/>
    <n v="7.29"/>
    <n v="0.43"/>
    <n v="0.39877104377104378"/>
    <n v="0"/>
    <n v="48.421228956228958"/>
    <n v="24.210614478114479"/>
    <x v="2"/>
    <x v="2"/>
    <x v="1"/>
    <d v="2024-12-16T00:00:00"/>
    <x v="0"/>
    <x v="0"/>
    <x v="2"/>
    <s v="ENTREGUE"/>
    <d v="2024-11-11T00:00:00"/>
    <x v="0"/>
    <s v="NÃO"/>
    <n v="0"/>
    <n v="0"/>
    <n v="0"/>
    <n v="0"/>
    <n v="0"/>
  </r>
  <r>
    <x v="0"/>
    <s v="BV45597"/>
    <s v="Pedido 208"/>
    <d v="2024-11-01T00:00:00"/>
    <x v="16"/>
    <s v="PedidoF201"/>
    <s v="CódRastreio201"/>
    <n v="1"/>
    <s v="CPF 205"/>
    <s v="Nome 205"/>
    <s v="Tel 205"/>
    <s v="Cep 205"/>
    <s v="Rua 205"/>
    <s v="Comp 205"/>
    <s v="Adaptador Bluetooph"/>
    <s v="YA-AG3H-SPUK"/>
    <d v="2024-11-19T00:00:00"/>
    <n v="17.989999999999998"/>
    <n v="17.989999999999998"/>
    <n v="2.1587999999999998"/>
    <n v="15.83"/>
    <n v="4.99"/>
    <n v="0.43"/>
    <n v="0.39877104377104378"/>
    <n v="0"/>
    <n v="10.011228956228956"/>
    <n v="5.0056144781144782"/>
    <x v="13"/>
    <x v="13"/>
    <x v="6"/>
    <d v="2024-11-29T00:00:00"/>
    <x v="1"/>
    <x v="0"/>
    <x v="2"/>
    <s v="ENTREGUE"/>
    <d v="2024-11-14T00:00:00"/>
    <x v="0"/>
    <s v="NÃO"/>
    <n v="0"/>
    <n v="0"/>
    <n v="0"/>
    <n v="0"/>
    <n v="0"/>
  </r>
  <r>
    <x v="0"/>
    <s v="BV45597"/>
    <s v="Pedido 209"/>
    <d v="2024-11-01T00:00:00"/>
    <x v="16"/>
    <s v="PedidoF202"/>
    <s v="CódRastreio202"/>
    <n v="1"/>
    <s v="CPF 206"/>
    <s v="Nome 206"/>
    <s v="Tel 206"/>
    <s v="Cep 206"/>
    <s v="Rua 206"/>
    <s v="Comp 206"/>
    <s v="Adaptador Bluetooph"/>
    <s v="YA-AG3H-SPUK"/>
    <d v="2024-11-14T00:00:00"/>
    <n v="17.989999999999998"/>
    <n v="17.989999999999998"/>
    <n v="2.1587999999999998"/>
    <n v="15.83"/>
    <n v="4.99"/>
    <n v="0.43"/>
    <n v="0.39877104377104378"/>
    <n v="0"/>
    <n v="10.011228956228956"/>
    <n v="5.0056144781144782"/>
    <x v="5"/>
    <x v="5"/>
    <x v="2"/>
    <d v="2024-11-22T00:00:00"/>
    <x v="1"/>
    <x v="0"/>
    <x v="2"/>
    <s v="ENTREGUE"/>
    <d v="2024-11-04T00:00:00"/>
    <x v="0"/>
    <s v="NÃO"/>
    <n v="0"/>
    <n v="0"/>
    <n v="0"/>
    <n v="0"/>
    <n v="0"/>
  </r>
  <r>
    <x v="0"/>
    <s v="BV45597"/>
    <s v="Pedido 210"/>
    <d v="2024-11-01T00:00:00"/>
    <x v="16"/>
    <s v="PedidoF203"/>
    <s v="CódRastreio203"/>
    <n v="1"/>
    <s v="CPF 207"/>
    <s v="Nome 207"/>
    <s v="Tel 207"/>
    <s v="Cep 207"/>
    <s v="Rua 207"/>
    <s v="Comp 207"/>
    <s v="Balança"/>
    <s v="P4-K63S-8KOM"/>
    <d v="2024-11-26T00:00:00"/>
    <n v="17.5"/>
    <n v="17.5"/>
    <n v="2.2749999999999999"/>
    <n v="15.23"/>
    <n v="10.49"/>
    <n v="0.43"/>
    <n v="0.39877104377104378"/>
    <n v="0"/>
    <n v="3.9112289562289568"/>
    <n v="1.9556144781144784"/>
    <x v="2"/>
    <x v="2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8"/>
    <s v="Pedido 211"/>
    <d v="2024-11-02T00:00:00"/>
    <x v="17"/>
    <s v="PedidoF204"/>
    <s v="CódRastreio204"/>
    <n v="1"/>
    <s v="CPF 208"/>
    <s v="Nome 208"/>
    <s v="Tel 208"/>
    <s v="Cep 208"/>
    <s v="Rua 208"/>
    <s v="Comp 208"/>
    <s v="Bomba d'agua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x v="2"/>
    <x v="2"/>
    <x v="1"/>
    <d v="2024-12-16T00:00:00"/>
    <x v="0"/>
    <x v="0"/>
    <x v="2"/>
    <s v="ENTREGUE"/>
    <d v="2024-11-11T00:00:00"/>
    <x v="0"/>
    <s v="NÃO"/>
    <n v="0"/>
    <n v="0"/>
    <n v="0"/>
    <n v="0"/>
    <n v="0"/>
  </r>
  <r>
    <x v="0"/>
    <s v="BV45599"/>
    <s v="Pedido 212"/>
    <d v="2024-11-03T00:00:00"/>
    <x v="18"/>
    <s v="PedidoF205"/>
    <s v="CódRastreio205"/>
    <n v="1"/>
    <s v="CPF 209"/>
    <s v="Nome 209"/>
    <s v="Tel 209"/>
    <s v="Cep 209"/>
    <s v="Rua 209"/>
    <s v="Comp 209"/>
    <s v="Bomba d'agua"/>
    <s v="DJ-RO5O-43GF"/>
    <d v="2024-11-30T00:00:00"/>
    <n v="16.5"/>
    <n v="16.5"/>
    <n v="2.31"/>
    <n v="14.19"/>
    <n v="4.99"/>
    <n v="0.43"/>
    <n v="0.39877104377104378"/>
    <n v="0"/>
    <n v="8.3712289562289559"/>
    <n v="4.185614478114478"/>
    <x v="3"/>
    <x v="3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597"/>
    <s v="Pedido 213"/>
    <d v="2024-11-01T00:00:00"/>
    <x v="16"/>
    <s v="PedidoF206"/>
    <s v="CódRastreio206"/>
    <n v="1"/>
    <s v="CPF 210"/>
    <s v="Nome 210"/>
    <s v="Tel 210"/>
    <s v="Cep 210"/>
    <s v="Rua 210"/>
    <s v="Comp 210"/>
    <s v="Balança"/>
    <s v="P4-K63S-8KOM"/>
    <d v="2024-11-19T00:00:00"/>
    <n v="17.5"/>
    <n v="17.5"/>
    <n v="2.2749999999999999"/>
    <n v="15.23"/>
    <n v="11.73"/>
    <n v="0.43"/>
    <n v="0.39877104377104378"/>
    <n v="0"/>
    <n v="2.6712289562289566"/>
    <n v="1.3356144781144783"/>
    <x v="13"/>
    <x v="13"/>
    <x v="6"/>
    <d v="2024-11-29T00:00:00"/>
    <x v="1"/>
    <x v="0"/>
    <x v="2"/>
    <s v="ENTREGUE"/>
    <d v="2024-11-06T00:00:00"/>
    <x v="0"/>
    <s v="NÃO"/>
    <n v="0"/>
    <n v="0"/>
    <n v="0"/>
    <n v="0"/>
    <n v="0"/>
  </r>
  <r>
    <x v="0"/>
    <s v="BV45597"/>
    <s v="Pedido 214"/>
    <d v="2024-11-01T00:00:00"/>
    <x v="16"/>
    <s v="PedidoF207"/>
    <s v="CódRastreio207"/>
    <n v="1"/>
    <s v="CPF 211"/>
    <s v="Nome 211"/>
    <s v="Tel 211"/>
    <s v="Cep 211"/>
    <s v="Rua 211"/>
    <s v="Comp 211"/>
    <s v="Balança"/>
    <s v="P4-K63S-8KOM"/>
    <d v="2024-11-26T00:00:00"/>
    <n v="17.5"/>
    <n v="17.5"/>
    <n v="2.2749999999999999"/>
    <n v="15.23"/>
    <n v="10.49"/>
    <n v="0.43"/>
    <n v="0.39877104377104378"/>
    <n v="0"/>
    <n v="3.9112289562289568"/>
    <n v="1.9556144781144784"/>
    <x v="2"/>
    <x v="2"/>
    <x v="1"/>
    <d v="2024-12-16T00:00:00"/>
    <x v="0"/>
    <x v="0"/>
    <x v="2"/>
    <s v="ENTREGUE"/>
    <d v="2024-11-16T00:00:00"/>
    <x v="0"/>
    <s v="NÃO"/>
    <n v="0"/>
    <n v="0"/>
    <n v="0"/>
    <n v="0"/>
    <n v="0"/>
  </r>
  <r>
    <x v="0"/>
    <s v="BV45597"/>
    <s v="Pedido 215"/>
    <d v="2024-11-01T00:00:00"/>
    <x v="16"/>
    <s v="PedidoF208"/>
    <s v="CódRastreio208"/>
    <n v="1"/>
    <s v="CPF 212"/>
    <s v="Nome 212"/>
    <s v="Tel 212"/>
    <s v="Cep 212"/>
    <s v="Rua 212"/>
    <s v="Comp 212"/>
    <s v="Bomba d'agua"/>
    <s v="DJ-RO5O-43GF"/>
    <d v="2024-11-30T00:00:00"/>
    <n v="16.5"/>
    <n v="16.5"/>
    <n v="2.31"/>
    <n v="14.19"/>
    <n v="4.99"/>
    <n v="0.43"/>
    <n v="0.39877104377104378"/>
    <n v="0"/>
    <n v="8.3712289562289559"/>
    <n v="4.185614478114478"/>
    <x v="3"/>
    <x v="3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8"/>
    <s v="Pedido 216"/>
    <d v="2024-11-02T00:00:00"/>
    <x v="17"/>
    <s v="PedidoF209"/>
    <s v="CódRastreio209"/>
    <n v="1"/>
    <s v="CPF 213"/>
    <s v="Nome 213"/>
    <s v="Tel 213"/>
    <s v="Cep 213"/>
    <s v="Rua 213"/>
    <s v="Comp 213"/>
    <s v="Balança"/>
    <s v="P4-K63S-8KOM"/>
    <d v="2024-11-19T00:00:00"/>
    <n v="17.5"/>
    <n v="17.5"/>
    <n v="2.2749999999999999"/>
    <n v="15.23"/>
    <n v="10.49"/>
    <n v="0.36"/>
    <n v="0.39877104377104378"/>
    <n v="0"/>
    <n v="3.9812289562289571"/>
    <n v="1.9906144781144786"/>
    <x v="13"/>
    <x v="13"/>
    <x v="6"/>
    <d v="2024-11-29T00:00:00"/>
    <x v="1"/>
    <x v="0"/>
    <x v="2"/>
    <s v="ENTREGUE"/>
    <d v="2024-11-08T00:00:00"/>
    <x v="0"/>
    <s v="NÃO"/>
    <n v="0"/>
    <n v="0"/>
    <n v="0"/>
    <n v="0"/>
    <n v="0"/>
  </r>
  <r>
    <x v="0"/>
    <s v="BV45598"/>
    <s v="Pedido 217"/>
    <d v="2024-11-02T00:00:00"/>
    <x v="17"/>
    <s v="PedidoF210"/>
    <s v="CódRastreio210"/>
    <n v="1"/>
    <s v="CPF 214"/>
    <s v="Nome 214"/>
    <s v="Tel 214"/>
    <s v="Cep 214"/>
    <s v="Rua 214"/>
    <s v="Comp 214"/>
    <s v="Ventilador Preto"/>
    <s v="MU-J80P-95WF"/>
    <d v="2024-11-30T00:00:00"/>
    <n v="100"/>
    <n v="100"/>
    <n v="13"/>
    <n v="87"/>
    <n v="7.29"/>
    <n v="0.36"/>
    <n v="0.39877104377104378"/>
    <n v="0"/>
    <n v="78.95122895622896"/>
    <n v="39.47561447811448"/>
    <x v="3"/>
    <x v="3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8"/>
    <s v="Pedido 218"/>
    <d v="2024-11-02T00:00:00"/>
    <x v="17"/>
    <s v="PedidoF211"/>
    <s v="CódRastreio211"/>
    <n v="1"/>
    <s v="CPF 215"/>
    <s v="Nome 215"/>
    <s v="Tel 215"/>
    <s v="Cep 215"/>
    <s v="Rua 215"/>
    <s v="Comp 215"/>
    <s v="Bomba d'agua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x v="2"/>
    <x v="2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598"/>
    <s v="Pedido 219"/>
    <d v="2024-11-02T00:00:00"/>
    <x v="17"/>
    <s v="PedidoF212"/>
    <s v="CódRastreio212"/>
    <n v="1"/>
    <s v="CPF 216"/>
    <s v="Nome 216"/>
    <s v="Tel 216"/>
    <s v="Cep 216"/>
    <s v="Rua 216"/>
    <s v="Comp 216"/>
    <s v="Balança"/>
    <s v="P4-K63S-8KOM"/>
    <d v="2024-11-26T00:00:00"/>
    <n v="17.5"/>
    <n v="17.5"/>
    <n v="2.2749999999999999"/>
    <n v="15.23"/>
    <n v="10.49"/>
    <n v="0.36"/>
    <n v="0.39877104377104378"/>
    <n v="0"/>
    <n v="3.9812289562289571"/>
    <n v="1.9906144781144786"/>
    <x v="2"/>
    <x v="2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598"/>
    <s v="Pedido 220"/>
    <d v="2024-11-02T00:00:00"/>
    <x v="17"/>
    <s v="PedidoF213"/>
    <s v="CódRastreio213"/>
    <n v="1"/>
    <s v="CPF 217"/>
    <s v="Nome 217"/>
    <s v="Tel 217"/>
    <s v="Cep 217"/>
    <s v="Rua 217"/>
    <s v="Comp 217"/>
    <s v="Ventilador de teto"/>
    <s v="ZO-J9IL-EN6L"/>
    <d v="2024-11-30T00:00:00"/>
    <n v="48.5"/>
    <n v="48.5"/>
    <n v="6.7900000000000009"/>
    <n v="41.71"/>
    <n v="7.29"/>
    <n v="0.36"/>
    <n v="0.39877104377104378"/>
    <n v="0"/>
    <n v="33.661228956228953"/>
    <n v="16.830614478114477"/>
    <x v="3"/>
    <x v="3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600"/>
    <s v="Pedido 221"/>
    <d v="2024-11-04T00:00:00"/>
    <x v="19"/>
    <s v="PedidoF214"/>
    <s v="CódRastreio214"/>
    <n v="1"/>
    <s v="CPF 218"/>
    <s v="Nome 218"/>
    <s v="Tel 218"/>
    <s v="Cep 218"/>
    <s v="Rua 218"/>
    <s v="Comp 218"/>
    <s v="Ventilador de teto"/>
    <s v="ZO-J9IL-EN6L"/>
    <d v="2024-12-03T00:00:00"/>
    <n v="48.5"/>
    <n v="48.5"/>
    <n v="6.7900000000000009"/>
    <n v="41.71"/>
    <n v="7.31"/>
    <n v="0.38"/>
    <n v="0.39877104377104378"/>
    <n v="0"/>
    <n v="33.621228956228961"/>
    <n v="16.810614478114481"/>
    <x v="22"/>
    <x v="25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598"/>
    <s v="Pedido 222"/>
    <d v="2024-11-02T00:00:00"/>
    <x v="17"/>
    <s v="PedidoF215"/>
    <s v="CódRastreio215"/>
    <n v="1"/>
    <s v="CPF 219"/>
    <s v="Nome 219"/>
    <s v="Tel 219"/>
    <s v="Cep 219"/>
    <s v="Rua 219"/>
    <s v="Comp 219"/>
    <s v="Bomba d'agua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x v="2"/>
    <x v="2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8"/>
    <s v="Pedido 223"/>
    <d v="2024-11-02T00:00:00"/>
    <x v="17"/>
    <s v="PedidoF216"/>
    <s v="CódRastreio216"/>
    <n v="1"/>
    <s v="CPF 220"/>
    <s v="Nome 220"/>
    <s v="Tel 220"/>
    <s v="Cep 220"/>
    <s v="Rua 220"/>
    <s v="Comp 220"/>
    <s v="Copo Termico"/>
    <s v="KN-TBQL-K2MM"/>
    <d v="2024-11-30T00:00:00"/>
    <n v="19.5"/>
    <n v="19.5"/>
    <n v="2.5350000000000001"/>
    <n v="16.97"/>
    <n v="6.62"/>
    <n v="0.36"/>
    <n v="0.39877104377104378"/>
    <n v="0"/>
    <n v="9.5912289562289548"/>
    <n v="4.7956144781144774"/>
    <x v="3"/>
    <x v="3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598"/>
    <s v="Pedido 224"/>
    <d v="2024-11-02T00:00:00"/>
    <x v="17"/>
    <s v="PedidoF217"/>
    <s v="CódRastreio217"/>
    <n v="1"/>
    <s v="CPF 221"/>
    <s v="Nome 221"/>
    <s v="Tel 221"/>
    <s v="Cep 221"/>
    <s v="Rua 221"/>
    <s v="Comp 221"/>
    <s v="Bomba d'agua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x v="2"/>
    <x v="2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598"/>
    <s v="Pedido 225"/>
    <d v="2024-11-02T00:00:00"/>
    <x v="17"/>
    <s v="PedidoF218"/>
    <s v="CódRastreio218"/>
    <n v="1"/>
    <s v="CPF 222"/>
    <s v="Nome 222"/>
    <s v="Tel 222"/>
    <s v="Cep 222"/>
    <s v="Rua 222"/>
    <s v="Comp 222"/>
    <s v="Bomba d'agua"/>
    <s v="DJ-RO5O-43GF"/>
    <d v="2024-11-30T00:00:00"/>
    <n v="16.5"/>
    <n v="16.5"/>
    <n v="2.31"/>
    <n v="14.19"/>
    <n v="4.99"/>
    <n v="0.36"/>
    <n v="0.39877104377104378"/>
    <n v="0"/>
    <n v="8.4412289562289544"/>
    <n v="4.2206144781144772"/>
    <x v="3"/>
    <x v="3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8"/>
    <s v="Pedido 226"/>
    <d v="2024-11-02T00:00:00"/>
    <x v="17"/>
    <s v="PedidoF219"/>
    <s v="CódRastreio219"/>
    <n v="1"/>
    <s v="CPF 223"/>
    <s v="Nome 223"/>
    <s v="Tel 223"/>
    <s v="Cep 223"/>
    <s v="Rua 223"/>
    <s v="Comp 223"/>
    <s v="Bomba d'agua"/>
    <s v="DJ-RO5O-43GF"/>
    <d v="2024-11-19T00:00:00"/>
    <n v="16.5"/>
    <n v="16.5"/>
    <n v="2.31"/>
    <n v="14.19"/>
    <n v="4.99"/>
    <n v="0.36"/>
    <n v="0.39877104377104378"/>
    <n v="0"/>
    <n v="8.4412289562289544"/>
    <n v="4.2206144781144772"/>
    <x v="13"/>
    <x v="13"/>
    <x v="6"/>
    <d v="2024-11-29T00:00:00"/>
    <x v="1"/>
    <x v="0"/>
    <x v="2"/>
    <s v="ENTREGUE"/>
    <d v="2024-11-14T00:00:00"/>
    <x v="0"/>
    <s v="NÃO"/>
    <n v="0"/>
    <n v="0"/>
    <n v="0"/>
    <n v="0"/>
    <n v="0"/>
  </r>
  <r>
    <x v="0"/>
    <s v="BV45598"/>
    <s v="Pedido 227"/>
    <d v="2024-11-02T00:00:00"/>
    <x v="17"/>
    <s v="PedidoF220"/>
    <s v="CódRastreio220"/>
    <n v="1"/>
    <s v="CPF 224"/>
    <s v="Nome 224"/>
    <s v="Tel 224"/>
    <s v="Cep 224"/>
    <s v="Rua 224"/>
    <s v="Comp 224"/>
    <s v="Bomba d'agua"/>
    <s v="DJ-RO5O-43GF"/>
    <d v="2024-11-19T00:00:00"/>
    <n v="16.5"/>
    <n v="16.5"/>
    <n v="2.31"/>
    <n v="14.19"/>
    <n v="4.99"/>
    <n v="0.36"/>
    <n v="0.39877104377104378"/>
    <n v="0"/>
    <n v="8.4412289562289544"/>
    <n v="4.2206144781144772"/>
    <x v="13"/>
    <x v="13"/>
    <x v="6"/>
    <d v="2024-11-29T00:00:00"/>
    <x v="1"/>
    <x v="0"/>
    <x v="2"/>
    <s v="ENTREGUE"/>
    <d v="2024-11-08T00:00:00"/>
    <x v="0"/>
    <s v="NÃO"/>
    <n v="0"/>
    <n v="0"/>
    <n v="0"/>
    <n v="0"/>
    <n v="0"/>
  </r>
  <r>
    <x v="0"/>
    <s v="BV45598"/>
    <s v="Pedido 228"/>
    <d v="2024-11-02T00:00:00"/>
    <x v="17"/>
    <s v="PedidoF221"/>
    <s v="CódRastreio221"/>
    <n v="1"/>
    <s v="CPF 225"/>
    <s v="Nome 225"/>
    <s v="Tel 225"/>
    <s v="Cep 225"/>
    <s v="Rua 225"/>
    <s v="Comp 225"/>
    <s v="Bomba d'agua"/>
    <s v="DJ-RO5O-43GF"/>
    <d v="2024-11-26T00:00:00"/>
    <n v="16.5"/>
    <n v="16.5"/>
    <n v="2.31"/>
    <n v="14.19"/>
    <n v="4.99"/>
    <n v="0.36"/>
    <n v="0.39877104377104378"/>
    <n v="0"/>
    <n v="8.4412289562289544"/>
    <n v="4.2206144781144772"/>
    <x v="2"/>
    <x v="2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8"/>
    <s v="Pedido 229"/>
    <d v="2024-11-02T00:00:00"/>
    <x v="17"/>
    <s v="PedidoF222"/>
    <s v="CódRastreio222"/>
    <n v="1"/>
    <s v="CPF 226"/>
    <s v="Nome 226"/>
    <s v="Tel 226"/>
    <s v="Cep 226"/>
    <s v="Rua 226"/>
    <s v="Comp 226"/>
    <s v="Ventilador de teto"/>
    <s v="ZO-J9IL-EN6L"/>
    <d v="2024-11-30T00:00:00"/>
    <n v="48.5"/>
    <n v="48.5"/>
    <n v="6.7900000000000009"/>
    <n v="41.71"/>
    <n v="7.29"/>
    <n v="0.36"/>
    <n v="0.39877104377104378"/>
    <n v="0"/>
    <n v="33.661228956228953"/>
    <n v="16.830614478114477"/>
    <x v="3"/>
    <x v="3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598"/>
    <s v="Pedido 230"/>
    <d v="2024-11-02T00:00:00"/>
    <x v="17"/>
    <s v="PedidoF223"/>
    <s v="CódRastreio223"/>
    <n v="1"/>
    <s v="CPF 227"/>
    <s v="Nome 227"/>
    <s v="Tel 227"/>
    <s v="Cep 227"/>
    <s v="Rua 227"/>
    <s v="Comp 227"/>
    <s v="Bomba d'agua"/>
    <s v="DJ-RO5O-43GF"/>
    <d v="2024-11-30T00:00:00"/>
    <n v="16.5"/>
    <n v="16.5"/>
    <n v="2.31"/>
    <n v="14.19"/>
    <n v="4.99"/>
    <n v="0.36"/>
    <n v="0.39877104377104378"/>
    <n v="0"/>
    <n v="8.4412289562289544"/>
    <n v="4.2206144781144772"/>
    <x v="3"/>
    <x v="3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599"/>
    <s v="Pedido 231"/>
    <d v="2024-11-03T00:00:00"/>
    <x v="18"/>
    <s v="PedidoF224"/>
    <s v="CódRastreio224"/>
    <n v="1"/>
    <s v="CPF 228"/>
    <s v="Nome 228"/>
    <s v="Tel 228"/>
    <s v="Cep 228"/>
    <s v="Rua 228"/>
    <s v="Comp 228"/>
    <s v="Mini Liquidificador"/>
    <s v="CK-YL6M-P5Y6"/>
    <d v="2024-11-26T00:00:00"/>
    <n v="30.99"/>
    <n v="30.99"/>
    <n v="4.0286999999999997"/>
    <n v="26.96"/>
    <n v="11.99"/>
    <n v="0.43"/>
    <n v="0.39877104377104378"/>
    <n v="0"/>
    <n v="14.141228956228957"/>
    <n v="7.0706144781144786"/>
    <x v="2"/>
    <x v="2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598"/>
    <s v="Pedido 232"/>
    <d v="2024-11-02T00:00:00"/>
    <x v="17"/>
    <s v="PedidoF225"/>
    <s v="CódRastreio225"/>
    <n v="1"/>
    <s v="CPF 229"/>
    <s v="Nome 229"/>
    <s v="Tel 229"/>
    <s v="Cep 229"/>
    <s v="Rua 229"/>
    <s v="Comp 229"/>
    <s v="Mini Liquidificador"/>
    <s v="CK-YL6M-P5Y6"/>
    <d v="2024-11-30T00:00:00"/>
    <n v="30.99"/>
    <n v="30.99"/>
    <n v="4.0286999999999997"/>
    <n v="26.96"/>
    <n v="11.99"/>
    <n v="0.36"/>
    <n v="0.39877104377104378"/>
    <n v="0"/>
    <n v="14.211228956228958"/>
    <n v="7.1056144781144788"/>
    <x v="3"/>
    <x v="3"/>
    <x v="1"/>
    <d v="2024-12-16T00:00:00"/>
    <x v="0"/>
    <x v="0"/>
    <x v="2"/>
    <s v="ENTREGUE"/>
    <d v="2024-11-15T00:00:00"/>
    <x v="0"/>
    <s v="NÃO"/>
    <n v="0"/>
    <n v="0"/>
    <n v="0"/>
    <n v="0"/>
    <n v="0"/>
  </r>
  <r>
    <x v="0"/>
    <s v="BV45598"/>
    <s v="Pedido 233"/>
    <d v="2024-11-02T00:00:00"/>
    <x v="17"/>
    <s v="PedidoF226"/>
    <s v="CódRastreio226"/>
    <n v="1"/>
    <s v="CPF 230"/>
    <s v="Nome 230"/>
    <s v="Tel 230"/>
    <s v="Cep 230"/>
    <s v="Rua 230"/>
    <s v="Comp 230"/>
    <s v="Ventilador de teto"/>
    <s v="ZO-J9IL-EN6L"/>
    <d v="2024-11-26T00:00:00"/>
    <n v="48.5"/>
    <n v="48.5"/>
    <n v="6.7900000000000009"/>
    <n v="41.71"/>
    <n v="7.29"/>
    <n v="0.36"/>
    <n v="0.39877104377104378"/>
    <n v="0"/>
    <n v="33.661228956228953"/>
    <n v="16.830614478114477"/>
    <x v="2"/>
    <x v="2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599"/>
    <s v="Pedido 234"/>
    <d v="2024-11-03T00:00:00"/>
    <x v="18"/>
    <s v="PedidoF227"/>
    <s v="CódRastreio227"/>
    <n v="1"/>
    <s v="CPF 231"/>
    <s v="Nome 231"/>
    <s v="Tel 231"/>
    <s v="Cep 231"/>
    <s v="Rua 231"/>
    <s v="Comp 231"/>
    <s v="Suporte de Celular Preto"/>
    <s v="9G-BN48-QAPH"/>
    <d v="2024-11-26T00:00:00"/>
    <n v="15.5"/>
    <n v="15.5"/>
    <n v="2.3249999999999997"/>
    <n v="13.18"/>
    <n v="7.29"/>
    <n v="0.43"/>
    <n v="0.39877104377104378"/>
    <n v="0"/>
    <n v="5.0612289562289554"/>
    <n v="2.5306144781144777"/>
    <x v="2"/>
    <x v="2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0"/>
    <s v="Pedido 235"/>
    <d v="2024-11-04T00:00:00"/>
    <x v="19"/>
    <s v="PedidoF228"/>
    <s v="CódRastreio228"/>
    <n v="1"/>
    <s v="CPF 232"/>
    <s v="Nome 232"/>
    <s v="Tel 232"/>
    <s v="Cep 232"/>
    <s v="Rua 232"/>
    <s v="Comp 232"/>
    <s v="Bomba d'agua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x v="20"/>
    <x v="20"/>
    <x v="1"/>
    <d v="2024-12-16T00:00:00"/>
    <x v="0"/>
    <x v="0"/>
    <x v="2"/>
    <s v="ENTREGUE"/>
    <d v="2024-11-19T00:00:00"/>
    <x v="0"/>
    <s v="NÃO"/>
    <n v="0"/>
    <n v="0"/>
    <n v="0"/>
    <n v="0"/>
    <n v="0"/>
  </r>
  <r>
    <x v="0"/>
    <s v="BV45599"/>
    <s v="Pedido 236"/>
    <d v="2024-11-03T00:00:00"/>
    <x v="18"/>
    <s v="PedidoF229"/>
    <s v="CódRastreio229"/>
    <n v="1"/>
    <s v="CPF 233"/>
    <s v="Nome 233"/>
    <s v="Tel 233"/>
    <s v="Cep 233"/>
    <s v="Rua 233"/>
    <s v="Comp 233"/>
    <s v="Bomba d'agua"/>
    <s v="DJ-RO5O-43GF"/>
    <d v="2024-11-22T00:00:00"/>
    <n v="16.5"/>
    <n v="16.5"/>
    <n v="2.31"/>
    <n v="14.19"/>
    <n v="4.99"/>
    <n v="0.43"/>
    <n v="0.39877104377104378"/>
    <n v="0"/>
    <n v="8.3712289562289559"/>
    <n v="4.185614478114478"/>
    <x v="19"/>
    <x v="18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599"/>
    <s v="Pedido 237"/>
    <d v="2024-11-03T00:00:00"/>
    <x v="18"/>
    <s v="PedidoF230"/>
    <s v="CódRastreio230"/>
    <n v="1"/>
    <s v="CPF 234"/>
    <s v="Nome 234"/>
    <s v="Tel 234"/>
    <s v="Cep 234"/>
    <s v="Rua 234"/>
    <s v="Comp 234"/>
    <s v="Suporte de Celular Branco"/>
    <s v="16-4EDB-WMZF"/>
    <d v="2024-12-07T00:00:00"/>
    <n v="15.5"/>
    <n v="15.5"/>
    <n v="2.3249999999999997"/>
    <n v="13.18"/>
    <n v="7.29"/>
    <n v="0.43"/>
    <n v="0.39877104377104378"/>
    <n v="0"/>
    <n v="5.0612289562289554"/>
    <n v="2.5306144781144777"/>
    <x v="23"/>
    <x v="26"/>
    <x v="7"/>
    <d v="2024-12-16T00:00:00"/>
    <x v="0"/>
    <x v="0"/>
    <x v="2"/>
    <s v="ENTREGUE"/>
    <d v="2024-11-22T00:00:00"/>
    <x v="0"/>
    <s v="NÃO"/>
    <n v="0"/>
    <n v="0"/>
    <n v="0"/>
    <n v="0"/>
    <n v="0"/>
  </r>
  <r>
    <x v="0"/>
    <s v="BV45599"/>
    <s v="Pedido 238"/>
    <d v="2024-11-03T00:00:00"/>
    <x v="18"/>
    <s v="PedidoF231"/>
    <s v="CódRastreio231"/>
    <n v="1"/>
    <s v="CPF 235"/>
    <s v="Nome 235"/>
    <s v="Tel 235"/>
    <s v="Cep 235"/>
    <s v="Rua 235"/>
    <s v="Comp 235"/>
    <s v="Bomba d'agua"/>
    <s v="DJ-RO5O-43GF"/>
    <d v="2024-11-30T00:00:00"/>
    <n v="16.5"/>
    <n v="16.5"/>
    <n v="2.31"/>
    <n v="14.19"/>
    <n v="4.99"/>
    <n v="0.43"/>
    <n v="0.39877104377104378"/>
    <n v="0"/>
    <n v="8.3712289562289559"/>
    <n v="4.185614478114478"/>
    <x v="3"/>
    <x v="3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599"/>
    <s v="Pedido 239"/>
    <d v="2024-11-03T00:00:00"/>
    <x v="18"/>
    <s v="PedidoF232"/>
    <s v="CódRastreio232"/>
    <n v="1"/>
    <s v="CPF 236"/>
    <s v="Nome 236"/>
    <s v="Tel 236"/>
    <s v="Cep 236"/>
    <s v="Rua 236"/>
    <s v="Comp 236"/>
    <s v="Suporte de Celular Branco"/>
    <s v="16-4EDB-WMZF"/>
    <d v="2024-11-30T00:00:00"/>
    <n v="15.5"/>
    <n v="15.5"/>
    <n v="2.3249999999999997"/>
    <n v="13.18"/>
    <n v="7.29"/>
    <n v="0.43"/>
    <n v="0.39877104377104378"/>
    <n v="0"/>
    <n v="5.0612289562289554"/>
    <n v="2.5306144781144777"/>
    <x v="3"/>
    <x v="3"/>
    <x v="1"/>
    <d v="2024-12-16T00:00:00"/>
    <x v="0"/>
    <x v="0"/>
    <x v="2"/>
    <s v="ENTREGUE"/>
    <d v="2024-11-21T00:00:00"/>
    <x v="0"/>
    <s v="NÃO"/>
    <n v="0"/>
    <n v="0"/>
    <n v="0"/>
    <n v="0"/>
    <n v="0"/>
  </r>
  <r>
    <x v="0"/>
    <s v="BV45599"/>
    <s v="Pedido 240"/>
    <d v="2024-11-03T00:00:00"/>
    <x v="18"/>
    <s v="PedidoF233"/>
    <s v="CódRastreio233"/>
    <n v="1"/>
    <s v="CPF 237"/>
    <s v="Nome 237"/>
    <s v="Tel 237"/>
    <s v="Cep 237"/>
    <s v="Rua 237"/>
    <s v="Comp 237"/>
    <s v="Bomba d'agua"/>
    <s v="DJ-RO5O-43GF"/>
    <d v="2024-11-19T00:00:00"/>
    <n v="16.5"/>
    <n v="16.5"/>
    <n v="2.31"/>
    <n v="14.19"/>
    <n v="4.99"/>
    <n v="0.43"/>
    <n v="0.39877104377104378"/>
    <n v="0"/>
    <n v="8.3712289562289559"/>
    <n v="4.185614478114478"/>
    <x v="13"/>
    <x v="13"/>
    <x v="6"/>
    <d v="2024-11-29T00:00:00"/>
    <x v="1"/>
    <x v="0"/>
    <x v="2"/>
    <s v="ENTREGUE"/>
    <d v="2024-11-08T00:00:00"/>
    <x v="0"/>
    <s v="NÃO"/>
    <n v="0"/>
    <n v="0"/>
    <n v="0"/>
    <n v="0"/>
    <n v="0"/>
  </r>
  <r>
    <x v="0"/>
    <s v="BV45599"/>
    <s v="Pedido 241"/>
    <d v="2024-11-03T00:00:00"/>
    <x v="18"/>
    <s v="PedidoF234"/>
    <s v="CódRastreio234"/>
    <n v="1"/>
    <s v="CPF 238"/>
    <s v="Nome 238"/>
    <s v="Tel 238"/>
    <s v="Cep 238"/>
    <s v="Rua 238"/>
    <s v="Comp 238"/>
    <s v="Bomba d'agua"/>
    <s v="DJ-RO5O-43GF"/>
    <d v="2024-11-22T00:00:00"/>
    <n v="16.5"/>
    <n v="16.5"/>
    <n v="2.31"/>
    <n v="14.19"/>
    <n v="4.99"/>
    <n v="0.43"/>
    <n v="0.39877104377104378"/>
    <n v="0"/>
    <n v="8.3712289562289559"/>
    <n v="4.185614478114478"/>
    <x v="19"/>
    <x v="18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599"/>
    <s v="Pedido 242"/>
    <d v="2024-11-03T00:00:00"/>
    <x v="18"/>
    <s v="PedidoF235"/>
    <s v="CódRastreio235"/>
    <n v="1"/>
    <s v="CPF 239"/>
    <s v="Nome 239"/>
    <s v="Tel 239"/>
    <s v="Cep 239"/>
    <s v="Rua 239"/>
    <s v="Comp 239"/>
    <s v="Bomba d'agua"/>
    <s v="DJ-RO5O-43GF"/>
    <d v="2024-11-26T00:00:00"/>
    <n v="16.5"/>
    <n v="16.5"/>
    <n v="2.31"/>
    <n v="14.19"/>
    <n v="4.99"/>
    <n v="0.43"/>
    <n v="0.39877104377104378"/>
    <n v="0"/>
    <n v="8.3712289562289559"/>
    <n v="4.185614478114478"/>
    <x v="2"/>
    <x v="2"/>
    <x v="1"/>
    <d v="2024-12-16T00:00:00"/>
    <x v="0"/>
    <x v="0"/>
    <x v="2"/>
    <s v="ENTREGUE"/>
    <d v="2024-11-09T00:00:00"/>
    <x v="0"/>
    <s v="NÃO"/>
    <n v="0"/>
    <n v="0"/>
    <n v="0"/>
    <n v="0"/>
    <n v="0"/>
  </r>
  <r>
    <x v="0"/>
    <s v="BV45601"/>
    <s v="Pedido 243"/>
    <d v="2024-11-05T00:00:00"/>
    <x v="20"/>
    <s v="PedidoF236"/>
    <s v="CódRastreio236"/>
    <n v="1"/>
    <s v="CPF 239"/>
    <s v="Nome 239"/>
    <s v="Tel 239"/>
    <s v="Cep 239"/>
    <s v="Rua 239"/>
    <s v="Comp 239"/>
    <s v="Bomba d'agua"/>
    <s v="DJ-RO5O-43GF"/>
    <d v="2024-11-26T00:00:00"/>
    <n v="16.5"/>
    <n v="16.5"/>
    <n v="2.31"/>
    <n v="14.19"/>
    <n v="4.99"/>
    <n v="0.44"/>
    <n v="0.39877104377104378"/>
    <n v="0"/>
    <n v="8.3612289562289561"/>
    <n v="4.1806144781144781"/>
    <x v="2"/>
    <x v="2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599"/>
    <s v="Pedido 244"/>
    <d v="2024-11-03T00:00:00"/>
    <x v="18"/>
    <s v="PedidoF237"/>
    <s v="CódRastreio237"/>
    <n v="1"/>
    <s v="CPF 240"/>
    <s v="Nome 240"/>
    <s v="Tel 240"/>
    <s v="Cep 240"/>
    <s v="Rua 240"/>
    <s v="Comp 240"/>
    <s v="Suporte de Celular Preto"/>
    <s v="9G-BN48-QAPH"/>
    <d v="2024-11-30T00:00:00"/>
    <n v="18.5"/>
    <n v="18.5"/>
    <n v="2.7749999999999999"/>
    <n v="15.73"/>
    <n v="7.29"/>
    <n v="0.43"/>
    <n v="0.39877104377104378"/>
    <n v="0"/>
    <n v="7.6112289562289561"/>
    <n v="3.8056144781144781"/>
    <x v="3"/>
    <x v="3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599"/>
    <s v="Pedido 245"/>
    <d v="2024-11-03T00:00:00"/>
    <x v="18"/>
    <s v="PedidoF238"/>
    <s v="CódRastreio238"/>
    <n v="1"/>
    <s v="CPF 241"/>
    <s v="Nome 241"/>
    <s v="Tel 241"/>
    <s v="Cep 241"/>
    <s v="Rua 241"/>
    <s v="Comp 241"/>
    <s v="Ventilador de teto"/>
    <s v="ZO-J9IL-EN6L"/>
    <d v="2024-11-30T00:00:00"/>
    <n v="54.5"/>
    <n v="54.5"/>
    <n v="7.6300000000000008"/>
    <n v="46.87"/>
    <n v="7.29"/>
    <n v="0.43"/>
    <n v="0.39877104377104378"/>
    <n v="0"/>
    <n v="38.751228956228957"/>
    <n v="19.375614478114478"/>
    <x v="3"/>
    <x v="3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599"/>
    <s v="Pedido 246"/>
    <d v="2024-11-03T00:00:00"/>
    <x v="18"/>
    <s v="PedidoF239"/>
    <s v="CódRastreio239"/>
    <n v="1"/>
    <s v="CPF 242"/>
    <s v="Nome 242"/>
    <s v="Tel 242"/>
    <s v="Cep 242"/>
    <s v="Rua 242"/>
    <s v="Comp 242"/>
    <s v="Ventilador de teto"/>
    <s v="ZO-J9IL-EN6L"/>
    <d v="2024-11-30T00:00:00"/>
    <n v="54.5"/>
    <n v="54.5"/>
    <n v="7.6300000000000008"/>
    <n v="46.87"/>
    <n v="7.29"/>
    <n v="0.43"/>
    <n v="0.39877104377104378"/>
    <n v="0"/>
    <n v="38.751228956228957"/>
    <n v="19.375614478114478"/>
    <x v="3"/>
    <x v="3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599"/>
    <s v="Pedido 247"/>
    <d v="2024-11-03T00:00:00"/>
    <x v="18"/>
    <s v="PedidoF240"/>
    <s v="CódRastreio240"/>
    <n v="1"/>
    <s v="CPF 243"/>
    <s v="Nome 243"/>
    <s v="Tel 243"/>
    <s v="Cep 243"/>
    <s v="Rua 243"/>
    <s v="Comp 243"/>
    <s v="Ventilador Preto"/>
    <s v="MU-J80P-95WF"/>
    <d v="2024-11-30T00:00:00"/>
    <n v="65.33"/>
    <n v="65.33"/>
    <n v="8.4929000000000006"/>
    <n v="56.84"/>
    <n v="7.29"/>
    <n v="0.43"/>
    <n v="0.39877104377104378"/>
    <n v="0"/>
    <n v="48.721228956228956"/>
    <n v="24.360614478114478"/>
    <x v="3"/>
    <x v="3"/>
    <x v="1"/>
    <d v="2024-12-16T00:00:00"/>
    <x v="0"/>
    <x v="0"/>
    <x v="2"/>
    <s v="ENTREGUE"/>
    <d v="2024-11-16T00:00:00"/>
    <x v="0"/>
    <s v="NÃO"/>
    <n v="0"/>
    <n v="0"/>
    <n v="0"/>
    <n v="0"/>
    <n v="0"/>
  </r>
  <r>
    <x v="0"/>
    <s v="BV45599"/>
    <s v="Pedido 248"/>
    <d v="2024-11-03T00:00:00"/>
    <x v="18"/>
    <s v="PedidoF241"/>
    <s v="CódRastreio241"/>
    <n v="1"/>
    <s v="CPF 244"/>
    <s v="Nome 244"/>
    <s v="Tel 244"/>
    <s v="Cep 244"/>
    <s v="Rua 244"/>
    <s v="Comp 244"/>
    <s v="Bomba d'agua"/>
    <s v="DJ-RO5O-43GF"/>
    <d v="2024-11-22T00:00:00"/>
    <n v="16.5"/>
    <n v="16.5"/>
    <n v="2.31"/>
    <n v="14.19"/>
    <n v="4.99"/>
    <n v="0.43"/>
    <n v="0.39877104377104378"/>
    <n v="0"/>
    <n v="8.3712289562289559"/>
    <n v="4.185614478114478"/>
    <x v="19"/>
    <x v="18"/>
    <x v="6"/>
    <d v="2024-11-29T00:00:00"/>
    <x v="1"/>
    <x v="0"/>
    <x v="2"/>
    <s v="ENTREGUE"/>
    <d v="2024-11-14T00:00:00"/>
    <x v="0"/>
    <s v="NÃO"/>
    <n v="0"/>
    <n v="0"/>
    <n v="0"/>
    <n v="0"/>
    <n v="0"/>
  </r>
  <r>
    <x v="0"/>
    <s v="BV45599"/>
    <s v="Pedido 249"/>
    <d v="2024-11-03T00:00:00"/>
    <x v="18"/>
    <s v="PedidoF242"/>
    <s v="CódRastreio242"/>
    <n v="1"/>
    <s v="CPF 245"/>
    <s v="Nome 245"/>
    <s v="Tel 245"/>
    <s v="Cep 245"/>
    <s v="Rua 245"/>
    <s v="Comp 245"/>
    <s v="Ventilador Preto"/>
    <s v="MU-J80P-95WF"/>
    <d v="2024-12-07T00:00:00"/>
    <n v="100"/>
    <n v="100"/>
    <n v="13"/>
    <n v="87"/>
    <n v="7.29"/>
    <n v="0.43"/>
    <n v="0.39877104377104378"/>
    <n v="0"/>
    <n v="78.881228956228952"/>
    <n v="39.440614478114476"/>
    <x v="23"/>
    <x v="26"/>
    <x v="7"/>
    <d v="2024-12-16T00:00:00"/>
    <x v="0"/>
    <x v="0"/>
    <x v="2"/>
    <s v="ENTREGUE"/>
    <d v="2024-12-10T00:00:00"/>
    <x v="0"/>
    <s v="NÃO"/>
    <n v="0"/>
    <n v="0"/>
    <n v="0"/>
    <n v="0"/>
    <n v="0"/>
  </r>
  <r>
    <x v="0"/>
    <s v="BV45600"/>
    <s v="Pedido 250"/>
    <d v="2024-11-04T00:00:00"/>
    <x v="19"/>
    <s v="PedidoF243"/>
    <s v="CódRastreio243"/>
    <n v="1"/>
    <s v="CPF 246"/>
    <s v="Nome 246"/>
    <s v="Tel 246"/>
    <s v="Cep 246"/>
    <s v="Rua 246"/>
    <s v="Comp 246"/>
    <s v="Bomba d'agua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x v="22"/>
    <x v="25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0"/>
    <s v="Pedido 251"/>
    <d v="2024-11-04T00:00:00"/>
    <x v="19"/>
    <s v="PedidoF244"/>
    <s v="CódRastreio244"/>
    <n v="1"/>
    <s v="CPF 247"/>
    <s v="Nome 247"/>
    <s v="Tel 247"/>
    <s v="Cep 247"/>
    <s v="Rua 247"/>
    <s v="Comp 247"/>
    <s v="Bomba d'agua"/>
    <s v="DJ-RO5O-43GF"/>
    <d v="2024-11-23T00:00:00"/>
    <n v="16.5"/>
    <n v="16.5"/>
    <n v="2.31"/>
    <n v="14.19"/>
    <n v="4.99"/>
    <n v="0.38"/>
    <n v="0.39877104377104378"/>
    <n v="0"/>
    <n v="8.4212289562289548"/>
    <n v="4.2106144781144774"/>
    <x v="21"/>
    <x v="19"/>
    <x v="1"/>
    <d v="2024-12-16T00:00:00"/>
    <x v="1"/>
    <x v="0"/>
    <x v="2"/>
    <s v="ENTREGUE"/>
    <d v="2024-11-14T00:00:00"/>
    <x v="0"/>
    <s v="NÃO"/>
    <n v="0"/>
    <n v="0"/>
    <n v="0"/>
    <n v="0"/>
    <n v="0"/>
  </r>
  <r>
    <x v="0"/>
    <s v="BV45600"/>
    <s v="Pedido 252"/>
    <d v="2024-11-04T00:00:00"/>
    <x v="19"/>
    <s v="PedidoF245"/>
    <s v="CódRastreio245"/>
    <n v="1"/>
    <s v="CPF 248"/>
    <s v="Nome 248"/>
    <s v="Tel 248"/>
    <s v="Cep 248"/>
    <s v="Rua 248"/>
    <s v="Comp 248"/>
    <s v="Bomba d'agua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x v="20"/>
    <x v="20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0"/>
    <s v="Pedido 253"/>
    <d v="2024-11-04T00:00:00"/>
    <x v="19"/>
    <s v="PedidoF246"/>
    <s v="CódRastreio246"/>
    <n v="1"/>
    <s v="CPF 249"/>
    <s v="Nome 249"/>
    <s v="Tel 249"/>
    <s v="Cep 249"/>
    <s v="Rua 249"/>
    <s v="Comp 249"/>
    <s v="Bomba d'agua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x v="22"/>
    <x v="25"/>
    <x v="1"/>
    <d v="2024-12-16T00:00:00"/>
    <x v="0"/>
    <x v="0"/>
    <x v="2"/>
    <s v="ENTREGUE"/>
    <d v="2024-11-16T00:00:00"/>
    <x v="0"/>
    <s v="NÃO"/>
    <n v="0"/>
    <n v="0"/>
    <n v="0"/>
    <n v="0"/>
    <n v="0"/>
  </r>
  <r>
    <x v="0"/>
    <s v="BV45600"/>
    <s v="Pedido 254"/>
    <d v="2024-11-04T00:00:00"/>
    <x v="19"/>
    <s v="PedidoF247"/>
    <s v="CódRastreio247"/>
    <n v="1"/>
    <s v="CPF 250"/>
    <s v="Nome 250"/>
    <s v="Tel 250"/>
    <s v="Cep 250"/>
    <s v="Rua 250"/>
    <s v="Comp 250"/>
    <s v="Suporte de Celular Branco"/>
    <s v="16-4EDB-WMZF"/>
    <d v="2024-12-10T00:00:00"/>
    <n v="17.989999999999998"/>
    <n v="17.989999999999998"/>
    <n v="2.6984999999999997"/>
    <n v="15.29"/>
    <n v="7.31"/>
    <n v="0.38"/>
    <n v="0.39877104377104378"/>
    <n v="0"/>
    <n v="7.201228956228956"/>
    <n v="3.600614478114478"/>
    <x v="24"/>
    <x v="23"/>
    <x v="0"/>
    <d v="2025-01-02T00:00:00"/>
    <x v="0"/>
    <x v="0"/>
    <x v="2"/>
    <s v="ENTREGUE"/>
    <d v="2024-11-28T00:00:00"/>
    <x v="0"/>
    <s v="NÃO"/>
    <n v="0"/>
    <n v="0"/>
    <n v="0"/>
    <n v="0"/>
    <n v="0"/>
  </r>
  <r>
    <x v="0"/>
    <s v="BV45604"/>
    <s v="Pedido 255"/>
    <d v="2024-11-08T00:00:00"/>
    <x v="21"/>
    <s v="PedidoF248"/>
    <s v="CódRastreio248"/>
    <n v="1"/>
    <s v="CPF 251"/>
    <s v="Nome 251"/>
    <s v="Tel 251"/>
    <s v="Cep 251"/>
    <s v="Rua 251"/>
    <s v="Comp 251"/>
    <s v="Bomba d'agua"/>
    <s v="DJ-RO5O-43GF"/>
    <d v="2024-11-27T00:00:00"/>
    <n v="16.5"/>
    <n v="16.5"/>
    <n v="2.31"/>
    <n v="14.19"/>
    <n v="6.57"/>
    <n v="0.27"/>
    <n v="0.39877104377104378"/>
    <n v="0"/>
    <n v="6.951228956228956"/>
    <n v="3.475614478114478"/>
    <x v="20"/>
    <x v="20"/>
    <x v="1"/>
    <d v="2024-12-16T00:00:00"/>
    <x v="0"/>
    <x v="0"/>
    <x v="2"/>
    <s v="ENTREGUE"/>
    <d v="2024-11-19T00:00:00"/>
    <x v="0"/>
    <s v="NÃO"/>
    <n v="0"/>
    <n v="0"/>
    <n v="0"/>
    <n v="0"/>
    <n v="0"/>
  </r>
  <r>
    <x v="0"/>
    <s v="BV45600"/>
    <s v="Pedido 256"/>
    <d v="2024-11-04T00:00:00"/>
    <x v="19"/>
    <s v="PedidoF249"/>
    <s v="CódRastreio249"/>
    <n v="1"/>
    <s v="CPF 252"/>
    <s v="Nome 252"/>
    <s v="Tel 252"/>
    <s v="Cep 252"/>
    <s v="Rua 252"/>
    <s v="Comp 252"/>
    <s v="Bomba d'agua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x v="22"/>
    <x v="25"/>
    <x v="1"/>
    <d v="2024-12-16T00:00:00"/>
    <x v="0"/>
    <x v="0"/>
    <x v="2"/>
    <s v="ENTREGUE"/>
    <d v="2024-11-16T00:00:00"/>
    <x v="0"/>
    <s v="NÃO"/>
    <n v="0"/>
    <n v="0"/>
    <n v="0"/>
    <n v="0"/>
    <n v="0"/>
  </r>
  <r>
    <x v="0"/>
    <s v="BV45600"/>
    <s v="Pedido 257"/>
    <d v="2024-11-04T00:00:00"/>
    <x v="19"/>
    <s v="PedidoF250"/>
    <s v="CódRastreio250"/>
    <n v="1"/>
    <s v="CPF 253"/>
    <s v="Nome 253"/>
    <s v="Tel 253"/>
    <s v="Cep 253"/>
    <s v="Rua 253"/>
    <s v="Comp 253"/>
    <s v="Bomba d'agua"/>
    <s v="DJ-RO5O-43GF"/>
    <d v="2024-12-03T00:00:00"/>
    <n v="16.5"/>
    <n v="16.5"/>
    <n v="2.31"/>
    <n v="14.19"/>
    <n v="4.99"/>
    <n v="0.38"/>
    <n v="0.39877104377104378"/>
    <n v="0"/>
    <n v="8.4212289562289548"/>
    <n v="4.2106144781144774"/>
    <x v="22"/>
    <x v="25"/>
    <x v="1"/>
    <d v="2024-12-16T00:00:00"/>
    <x v="0"/>
    <x v="0"/>
    <x v="2"/>
    <s v="ENTREGUE"/>
    <d v="2024-11-27T00:00:00"/>
    <x v="0"/>
    <s v="NÃO"/>
    <n v="0"/>
    <n v="0"/>
    <n v="0"/>
    <n v="0"/>
    <n v="0"/>
  </r>
  <r>
    <x v="0"/>
    <s v="BV45600"/>
    <s v="Pedido 258"/>
    <d v="2024-11-04T00:00:00"/>
    <x v="19"/>
    <s v="PedidoF251"/>
    <s v="CódRastreio251"/>
    <n v="1"/>
    <s v="CPF 254"/>
    <s v="Nome 254"/>
    <s v="Tel 254"/>
    <s v="Cep 254"/>
    <s v="Rua 254"/>
    <s v="Comp 254"/>
    <s v="Bomba d'agua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x v="20"/>
    <x v="20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0"/>
    <s v="Pedido 259"/>
    <d v="2024-11-04T00:00:00"/>
    <x v="19"/>
    <s v="PedidoF252"/>
    <s v="CódRastreio252"/>
    <n v="1"/>
    <s v="CPF 255"/>
    <s v="Nome 255"/>
    <s v="Tel 255"/>
    <s v="Cep 255"/>
    <s v="Rua 255"/>
    <s v="Comp 255"/>
    <s v="Bomba d'agua"/>
    <s v="DJ-RO5O-43GF"/>
    <d v="2024-11-27T00:00:00"/>
    <n v="16.5"/>
    <n v="16.5"/>
    <n v="2.31"/>
    <n v="14.19"/>
    <n v="4.99"/>
    <n v="0.38"/>
    <n v="0.39877104377104378"/>
    <n v="0"/>
    <n v="8.4212289562289548"/>
    <n v="4.2106144781144774"/>
    <x v="20"/>
    <x v="20"/>
    <x v="1"/>
    <d v="2024-12-16T00:00:00"/>
    <x v="0"/>
    <x v="0"/>
    <x v="2"/>
    <s v="ENTREGUE"/>
    <d v="2024-11-15T00:00:00"/>
    <x v="0"/>
    <s v="NÃO"/>
    <n v="0"/>
    <n v="0"/>
    <n v="0"/>
    <n v="0"/>
    <n v="0"/>
  </r>
  <r>
    <x v="0"/>
    <s v="BV45601"/>
    <s v="Pedido 260"/>
    <d v="2024-11-05T00:00:00"/>
    <x v="20"/>
    <s v="PedidoF253"/>
    <s v="CódRastreio253"/>
    <n v="1"/>
    <s v="CPF 255"/>
    <s v="Nome 255"/>
    <s v="Tel 255"/>
    <s v="Cep 255"/>
    <s v="Rua 255"/>
    <s v="Comp 255"/>
    <s v="Bomba d'agua"/>
    <s v="DJ-RO5O-43GF"/>
    <d v="2024-11-27T00:00:00"/>
    <n v="16.5"/>
    <n v="16.5"/>
    <n v="2.31"/>
    <n v="14.19"/>
    <n v="4.99"/>
    <n v="0.44"/>
    <n v="0.39877104377104378"/>
    <n v="0"/>
    <n v="8.3612289562289561"/>
    <n v="4.1806144781144781"/>
    <x v="20"/>
    <x v="20"/>
    <x v="1"/>
    <d v="2024-12-16T00:00:00"/>
    <x v="0"/>
    <x v="0"/>
    <x v="2"/>
    <s v="ENTREGUE"/>
    <d v="2024-11-15T00:00:00"/>
    <x v="0"/>
    <s v="NÃO"/>
    <n v="0"/>
    <n v="0"/>
    <n v="0"/>
    <n v="0"/>
    <n v="0"/>
  </r>
  <r>
    <x v="0"/>
    <s v="BV45600"/>
    <s v="Pedido 261"/>
    <d v="2024-11-04T00:00:00"/>
    <x v="19"/>
    <s v="PedidoF254"/>
    <s v="CódRastreio254"/>
    <n v="1"/>
    <s v="CPF 256"/>
    <s v="Nome 256"/>
    <s v="Tel 256"/>
    <s v="Cep 256"/>
    <s v="Rua 256"/>
    <s v="Comp 256"/>
    <s v="Bomba d'agua"/>
    <s v="DJ-RO5O-43GF"/>
    <d v="2024-12-03T00:00:00"/>
    <n v="16.5"/>
    <n v="16.5"/>
    <n v="2.31"/>
    <n v="14.19"/>
    <n v="0"/>
    <n v="0.38"/>
    <n v="0.39877104377104378"/>
    <n v="0"/>
    <n v="13.411228956228955"/>
    <n v="6.7056144781144775"/>
    <x v="22"/>
    <x v="25"/>
    <x v="1"/>
    <d v="2024-12-16T00:00:00"/>
    <x v="0"/>
    <x v="0"/>
    <x v="2"/>
    <s v="ENTREGUE"/>
    <d v="2024-11-16T00:00:00"/>
    <x v="0"/>
    <s v="NÃO"/>
    <n v="0"/>
    <n v="0"/>
    <n v="0"/>
    <n v="3.71"/>
    <n v="3.71"/>
  </r>
  <r>
    <x v="0"/>
    <s v="BV45600"/>
    <s v="Pedido 262"/>
    <d v="2024-11-04T00:00:00"/>
    <x v="19"/>
    <s v="PedidoF255"/>
    <s v="CódRastreio255"/>
    <n v="1"/>
    <s v="CPF 257"/>
    <s v="Nome 257"/>
    <s v="Tel 257"/>
    <s v="Cep 257"/>
    <s v="Rua 257"/>
    <s v="Comp 257"/>
    <s v="Ventilador Rosa"/>
    <s v="IF-G2ZQ-79FO"/>
    <d v="2024-11-27T00:00:00"/>
    <n v="44.5"/>
    <n v="44.5"/>
    <n v="5.7850000000000001"/>
    <n v="38.72"/>
    <n v="7.31"/>
    <n v="0.38"/>
    <n v="0.39877104377104378"/>
    <n v="0"/>
    <n v="30.631228956228956"/>
    <n v="15.315614478114478"/>
    <x v="20"/>
    <x v="20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601"/>
    <s v="Pedido 263"/>
    <d v="2024-11-05T00:00:00"/>
    <x v="20"/>
    <s v="PedidoF256"/>
    <s v="CódRastreio256"/>
    <n v="1"/>
    <s v="CPF 258"/>
    <s v="Nome 258"/>
    <s v="Tel 258"/>
    <s v="Cep 258"/>
    <s v="Rua 258"/>
    <s v="Comp 258"/>
    <s v="Garrafa Termica"/>
    <s v="FM-QQ8Y-RZT4"/>
    <d v="2024-11-20T00:00:00"/>
    <n v="18.5"/>
    <n v="18.5"/>
    <n v="2.4050000000000002"/>
    <n v="16.100000000000001"/>
    <n v="10.8"/>
    <n v="0.44"/>
    <n v="0.39877104377104378"/>
    <n v="0"/>
    <n v="4.4612289562289575"/>
    <n v="2.2306144781144788"/>
    <x v="16"/>
    <x v="15"/>
    <x v="6"/>
    <d v="2024-11-29T00:00:00"/>
    <x v="1"/>
    <x v="0"/>
    <x v="2"/>
    <s v="ENTREGUE"/>
    <d v="2024-11-09T00:00:00"/>
    <x v="0"/>
    <s v="NÃO"/>
    <n v="0"/>
    <n v="0"/>
    <n v="0"/>
    <n v="0"/>
    <n v="0"/>
  </r>
  <r>
    <x v="0"/>
    <s v="BV45600"/>
    <s v="Pedido 264"/>
    <d v="2024-11-04T00:00:00"/>
    <x v="19"/>
    <s v="PedidoF257"/>
    <s v="CódRastreio257"/>
    <n v="1"/>
    <s v="CPF 259"/>
    <s v="Nome 259"/>
    <s v="Tel 259"/>
    <s v="Cep 259"/>
    <s v="Rua 259"/>
    <s v="Comp 259"/>
    <s v="Multi Processador 5 Laminas"/>
    <s v="T9-P952-TL6A"/>
    <d v="2024-12-03T00:00:00"/>
    <n v="23.8"/>
    <n v="23.8"/>
    <n v="3.0940000000000003"/>
    <n v="20.71"/>
    <n v="10.039999999999999"/>
    <n v="0.38"/>
    <n v="0.39877104377104378"/>
    <n v="0"/>
    <n v="9.8912289562289573"/>
    <n v="4.9456144781144786"/>
    <x v="22"/>
    <x v="25"/>
    <x v="1"/>
    <d v="2024-12-16T00:00:00"/>
    <x v="0"/>
    <x v="0"/>
    <x v="2"/>
    <s v="ENTREGUE"/>
    <d v="2024-11-12T00:00:00"/>
    <x v="0"/>
    <s v="NÃO"/>
    <n v="0"/>
    <n v="0"/>
    <n v="0"/>
    <n v="0"/>
    <n v="0"/>
  </r>
  <r>
    <x v="0"/>
    <s v="BV45600"/>
    <s v="Pedido 265"/>
    <d v="2024-11-04T00:00:00"/>
    <x v="19"/>
    <s v="PedidoF258"/>
    <s v="CódRastreio258"/>
    <n v="1"/>
    <s v="CPF 260"/>
    <s v="Nome 260"/>
    <s v="Tel 260"/>
    <s v="Cep 260"/>
    <s v="Rua 260"/>
    <s v="Comp 260"/>
    <s v="Mini Liquidificador"/>
    <s v="CK-YL6M-P5Y6"/>
    <d v="2024-11-20T00:00:00"/>
    <n v="30.99"/>
    <n v="30.99"/>
    <n v="4.0286999999999997"/>
    <n v="26.96"/>
    <n v="11.99"/>
    <n v="0.38"/>
    <n v="0.39877104377104378"/>
    <n v="0"/>
    <n v="14.191228956228956"/>
    <n v="7.0956144781144781"/>
    <x v="16"/>
    <x v="15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600"/>
    <s v="Pedido 266"/>
    <d v="2024-11-04T00:00:00"/>
    <x v="19"/>
    <s v="PedidoF259"/>
    <s v="CódRastreio259"/>
    <n v="1"/>
    <s v="CPF 261"/>
    <s v="Nome 261"/>
    <s v="Tel 261"/>
    <s v="Cep 261"/>
    <s v="Rua 261"/>
    <s v="Comp 261"/>
    <s v="Bomba d'agua"/>
    <s v="DJ-RO5O-43GF"/>
    <d v="2024-11-20T00:00:00"/>
    <n v="16.989999999999998"/>
    <n v="16.989999999999998"/>
    <n v="2.3786"/>
    <n v="14.61"/>
    <n v="4.99"/>
    <n v="0.38"/>
    <n v="0.39877104377104378"/>
    <n v="0"/>
    <n v="8.8412289562289565"/>
    <n v="4.4206144781144783"/>
    <x v="16"/>
    <x v="15"/>
    <x v="6"/>
    <d v="2024-11-29T00:00:00"/>
    <x v="1"/>
    <x v="0"/>
    <x v="2"/>
    <s v="ENTREGUE"/>
    <d v="2024-11-09T00:00:00"/>
    <x v="0"/>
    <s v="NÃO"/>
    <n v="0"/>
    <n v="0"/>
    <n v="0"/>
    <n v="0"/>
    <n v="0"/>
  </r>
  <r>
    <x v="0"/>
    <s v="BV45600"/>
    <s v="Pedido 267"/>
    <d v="2024-11-04T00:00:00"/>
    <x v="19"/>
    <s v="PedidoF260"/>
    <s v="CódRastreio260"/>
    <n v="1"/>
    <s v="CPF 262"/>
    <s v="Nome 262"/>
    <s v="Tel 262"/>
    <s v="Cep 262"/>
    <s v="Rua 262"/>
    <s v="Comp 262"/>
    <s v="Bomba d'agua"/>
    <s v="DJ-RO5O-43GF"/>
    <d v="2024-11-20T00:00:00"/>
    <n v="16.989999999999998"/>
    <n v="16.989999999999998"/>
    <n v="2.3786"/>
    <n v="14.61"/>
    <n v="4.99"/>
    <n v="0.38"/>
    <n v="0.39877104377104378"/>
    <n v="0"/>
    <n v="8.8412289562289565"/>
    <n v="4.4206144781144783"/>
    <x v="16"/>
    <x v="15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601"/>
    <s v="Pedido 268"/>
    <d v="2024-11-05T00:00:00"/>
    <x v="20"/>
    <s v="PedidoF261"/>
    <s v="CódRastreio261"/>
    <n v="1"/>
    <s v="CPF 263"/>
    <s v="Nome 263"/>
    <s v="Tel 263"/>
    <s v="Cep 263"/>
    <s v="Rua 263"/>
    <s v="Comp 263"/>
    <s v="Ventilador de teto"/>
    <s v="ZO-J9IL-EN6L"/>
    <d v="2024-12-04T00:00:00"/>
    <n v="51.99"/>
    <n v="51.99"/>
    <n v="7.2786000000000008"/>
    <n v="44.71"/>
    <n v="7.3"/>
    <n v="0.44"/>
    <n v="0.39877104377104378"/>
    <n v="0"/>
    <n v="36.571228956228957"/>
    <n v="18.285614478114478"/>
    <x v="25"/>
    <x v="27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1"/>
    <s v="Pedido 269"/>
    <d v="2024-11-05T00:00:00"/>
    <x v="20"/>
    <s v="PedidoF262"/>
    <s v="CódRastreio262"/>
    <n v="1"/>
    <s v="CPF 264"/>
    <s v="Nome 264"/>
    <s v="Tel 264"/>
    <s v="Cep 264"/>
    <s v="Rua 264"/>
    <s v="Comp 264"/>
    <s v="Adaptador Bluetooph"/>
    <s v="YA-AG3H-SPUK"/>
    <d v="2024-11-22T00:00:00"/>
    <n v="16.5"/>
    <n v="16.5"/>
    <n v="1.98"/>
    <n v="14.52"/>
    <n v="4.99"/>
    <n v="0.44"/>
    <n v="0.39877104377104378"/>
    <n v="0"/>
    <n v="8.6912289562289544"/>
    <n v="4.3456144781144772"/>
    <x v="19"/>
    <x v="18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601"/>
    <s v="Pedido 270"/>
    <d v="2024-11-05T00:00:00"/>
    <x v="20"/>
    <s v="PedidoF263"/>
    <s v="CódRastreio263"/>
    <n v="1"/>
    <s v="CPF 265"/>
    <s v="Nome 265"/>
    <s v="Tel 265"/>
    <s v="Cep 265"/>
    <s v="Rua 265"/>
    <s v="Comp 265"/>
    <s v="Suporte de Celular Preto"/>
    <s v="9G-BN48-QAPH"/>
    <d v="2024-11-28T00:00:00"/>
    <n v="15.1"/>
    <n v="15.1"/>
    <n v="2.2649999999999997"/>
    <n v="12.84"/>
    <n v="4.99"/>
    <n v="0.44"/>
    <n v="0.39877104377104378"/>
    <n v="0"/>
    <n v="7.0112289562289556"/>
    <n v="3.5056144781144778"/>
    <x v="17"/>
    <x v="16"/>
    <x v="1"/>
    <d v="2024-12-16T00:00:00"/>
    <x v="0"/>
    <x v="0"/>
    <x v="2"/>
    <s v="ENTREGUE"/>
    <d v="2024-11-09T00:00:00"/>
    <x v="0"/>
    <s v="NÃO"/>
    <n v="0"/>
    <n v="0"/>
    <n v="0"/>
    <n v="0"/>
    <n v="0"/>
  </r>
  <r>
    <x v="0"/>
    <s v="BV45601"/>
    <s v="Pedido 271"/>
    <d v="2024-11-05T00:00:00"/>
    <x v="20"/>
    <s v="PedidoF264"/>
    <s v="CódRastreio264"/>
    <n v="1"/>
    <s v="CPF 266"/>
    <s v="Nome 266"/>
    <s v="Tel 266"/>
    <s v="Cep 266"/>
    <s v="Rua 266"/>
    <s v="Comp 266"/>
    <s v="Suporte de Celular Preto"/>
    <s v="9G-BN48-QAPH"/>
    <d v="2024-12-04T00:00:00"/>
    <n v="15.1"/>
    <n v="15.1"/>
    <n v="2.2649999999999997"/>
    <n v="12.84"/>
    <n v="4.99"/>
    <n v="0.44"/>
    <n v="0.39877104377104378"/>
    <n v="0"/>
    <n v="7.0112289562289556"/>
    <n v="3.5056144781144778"/>
    <x v="25"/>
    <x v="27"/>
    <x v="1"/>
    <d v="2024-12-16T00:00:00"/>
    <x v="0"/>
    <x v="0"/>
    <x v="2"/>
    <s v="ENTREGUE"/>
    <d v="2024-11-15T00:00:00"/>
    <x v="0"/>
    <s v="NÃO"/>
    <n v="0"/>
    <n v="0"/>
    <n v="0"/>
    <n v="0"/>
    <n v="0"/>
  </r>
  <r>
    <x v="0"/>
    <s v="BV45604"/>
    <s v="Pedido 272"/>
    <d v="2024-11-08T00:00:00"/>
    <x v="21"/>
    <s v="PedidoF265"/>
    <s v="CódRastreio265"/>
    <n v="1"/>
    <s v="CPF 267"/>
    <s v="Nome 267"/>
    <s v="Tel 267"/>
    <s v="Cep 267"/>
    <s v="Rua 267"/>
    <s v="Comp 267"/>
    <s v="Suporte de Celular Branco"/>
    <s v="16-4EDB-WMZF"/>
    <d v="2024-12-04T00:00:00"/>
    <n v="15.1"/>
    <n v="15.1"/>
    <n v="2.2649999999999997"/>
    <n v="12.84"/>
    <n v="4.99"/>
    <n v="0.27"/>
    <n v="0.39877104377104378"/>
    <n v="0"/>
    <n v="7.1812289562289564"/>
    <n v="3.5906144781144782"/>
    <x v="25"/>
    <x v="27"/>
    <x v="1"/>
    <d v="2024-12-16T00:00:00"/>
    <x v="0"/>
    <x v="0"/>
    <x v="2"/>
    <s v="ENTREGUE"/>
    <d v="2024-11-28T00:00:00"/>
    <x v="0"/>
    <s v="NÃO"/>
    <n v="0"/>
    <n v="0"/>
    <n v="0"/>
    <n v="0"/>
    <n v="0"/>
  </r>
  <r>
    <x v="0"/>
    <s v="BV45601"/>
    <s v="Pedido 273"/>
    <d v="2024-11-05T00:00:00"/>
    <x v="20"/>
    <s v="PedidoF266"/>
    <s v="CódRastreio266"/>
    <n v="1"/>
    <s v="CPF 268"/>
    <s v="Nome 268"/>
    <s v="Tel 268"/>
    <s v="Cep 268"/>
    <s v="Rua 268"/>
    <s v="Comp 268"/>
    <s v="Bomba d'agua"/>
    <s v="DJ-RO5O-43GF"/>
    <d v="2024-12-04T00:00:00"/>
    <n v="16.5"/>
    <n v="16.5"/>
    <n v="2.31"/>
    <n v="14.19"/>
    <n v="4.99"/>
    <n v="0.44"/>
    <n v="0.39877104377104378"/>
    <n v="0"/>
    <n v="8.3612289562289561"/>
    <n v="4.1806144781144781"/>
    <x v="25"/>
    <x v="27"/>
    <x v="1"/>
    <d v="2024-12-16T00:00:00"/>
    <x v="0"/>
    <x v="0"/>
    <x v="2"/>
    <s v="ENTREGUE"/>
    <d v="2024-11-13T00:00:00"/>
    <x v="0"/>
    <s v="NÃO"/>
    <n v="0"/>
    <n v="0"/>
    <n v="0"/>
    <n v="0"/>
    <n v="0"/>
  </r>
  <r>
    <x v="0"/>
    <s v="BV45601"/>
    <s v="Pedido 274"/>
    <d v="2024-11-05T00:00:00"/>
    <x v="20"/>
    <s v="PedidoF267"/>
    <s v="CódRastreio267"/>
    <n v="1"/>
    <s v="CPF 269"/>
    <s v="Nome 269"/>
    <s v="Tel 269"/>
    <s v="Cep 269"/>
    <s v="Rua 269"/>
    <s v="Comp 269"/>
    <s v="Multi Processador 5 Laminas"/>
    <s v="T9-P952-TL6A"/>
    <d v="2024-12-04T00:00:00"/>
    <n v="23.8"/>
    <n v="23.8"/>
    <n v="3.0940000000000003"/>
    <n v="20.71"/>
    <n v="0"/>
    <n v="0.44"/>
    <n v="0.39877104377104378"/>
    <n v="0"/>
    <n v="19.871228956228958"/>
    <n v="9.9356144781144788"/>
    <x v="25"/>
    <x v="27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2"/>
    <s v="Pedido 275"/>
    <d v="2024-11-06T00:00:00"/>
    <x v="22"/>
    <s v="PedidoF268"/>
    <s v="CódRastreio268"/>
    <n v="1"/>
    <s v="CPF 270"/>
    <s v="Nome 270"/>
    <s v="Tel 270"/>
    <s v="Cep 270"/>
    <s v="Rua 270"/>
    <s v="Comp 270"/>
    <s v="Bomba d'agua"/>
    <s v="DJ-RO5O-43GF"/>
    <d v="2024-12-04T00:00:00"/>
    <n v="16.5"/>
    <n v="16.5"/>
    <n v="2.31"/>
    <n v="14.19"/>
    <n v="4.99"/>
    <n v="0.31"/>
    <n v="0.39877104377104378"/>
    <n v="0"/>
    <n v="8.4912289562289551"/>
    <n v="4.2456144781144776"/>
    <x v="25"/>
    <x v="27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4"/>
    <s v="Pedido 276"/>
    <d v="2024-11-08T00:00:00"/>
    <x v="21"/>
    <s v="PedidoF269"/>
    <s v="CódRastreio269"/>
    <n v="1"/>
    <s v="CPF 271"/>
    <s v="Nome 271"/>
    <s v="Tel 271"/>
    <s v="Cep 271"/>
    <s v="Rua 271"/>
    <s v="Comp 271"/>
    <s v="Bomba d'agua"/>
    <s v="DJ-RO5O-43GF"/>
    <d v="2024-11-26T00:00:00"/>
    <n v="16.5"/>
    <n v="16.5"/>
    <n v="2.31"/>
    <n v="14.19"/>
    <n v="6.57"/>
    <n v="0.27"/>
    <n v="0.39877104377104378"/>
    <n v="0"/>
    <n v="6.951228956228956"/>
    <n v="3.475614478114478"/>
    <x v="2"/>
    <x v="2"/>
    <x v="1"/>
    <d v="2024-12-16T00:00:00"/>
    <x v="0"/>
    <x v="0"/>
    <x v="2"/>
    <s v="ENTREGUE"/>
    <d v="2024-11-16T00:00:00"/>
    <x v="0"/>
    <s v="NÃO"/>
    <n v="0"/>
    <n v="0"/>
    <n v="0"/>
    <n v="0"/>
    <n v="0"/>
  </r>
  <r>
    <x v="0"/>
    <s v="BV45602"/>
    <s v="Pedido 277"/>
    <d v="2024-11-06T00:00:00"/>
    <x v="22"/>
    <s v="PedidoF270"/>
    <s v="CódRastreio270"/>
    <n v="1"/>
    <s v="CPF 272"/>
    <s v="Nome 272"/>
    <s v="Tel 272"/>
    <s v="Cep 272"/>
    <s v="Rua 272"/>
    <s v="Comp 272"/>
    <s v="Suporte de Celular Branco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x v="25"/>
    <x v="27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2"/>
    <s v="Pedido 278"/>
    <d v="2024-11-06T00:00:00"/>
    <x v="22"/>
    <s v="PedidoF271"/>
    <s v="CódRastreio271"/>
    <n v="1"/>
    <s v="CPF 273"/>
    <s v="Nome 273"/>
    <s v="Tel 273"/>
    <s v="Cep 273"/>
    <s v="Rua 273"/>
    <s v="Comp 273"/>
    <s v="Bomba d'agua"/>
    <s v="DJ-RO5O-43GF"/>
    <d v="2024-11-22T00:00:00"/>
    <n v="16.5"/>
    <n v="16.5"/>
    <n v="2.31"/>
    <n v="14.19"/>
    <n v="4.99"/>
    <n v="0.31"/>
    <n v="0.39877104377104378"/>
    <n v="0"/>
    <n v="8.4912289562289551"/>
    <n v="4.2456144781144776"/>
    <x v="19"/>
    <x v="18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602"/>
    <s v="Pedido 279"/>
    <d v="2024-11-06T00:00:00"/>
    <x v="22"/>
    <s v="PedidoF272"/>
    <s v="CódRastreio272"/>
    <n v="1"/>
    <s v="CPF 274"/>
    <s v="Nome 274"/>
    <s v="Tel 274"/>
    <s v="Cep 274"/>
    <s v="Rua 274"/>
    <s v="Comp 274"/>
    <s v="Suporte de Celular Branco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x v="25"/>
    <x v="27"/>
    <x v="1"/>
    <d v="2024-12-16T00:00:00"/>
    <x v="0"/>
    <x v="0"/>
    <x v="2"/>
    <s v="ENTREGUE"/>
    <d v="2024-11-23T00:00:00"/>
    <x v="0"/>
    <s v="NÃO"/>
    <n v="0"/>
    <n v="0"/>
    <n v="0"/>
    <n v="0"/>
    <n v="0"/>
  </r>
  <r>
    <x v="0"/>
    <s v="BV45602"/>
    <s v="Pedido 280"/>
    <d v="2024-11-06T00:00:00"/>
    <x v="22"/>
    <s v="PedidoF273"/>
    <s v="CódRastreio273"/>
    <n v="1"/>
    <s v="CPF 275"/>
    <s v="Nome 275"/>
    <s v="Tel 275"/>
    <s v="Cep 275"/>
    <s v="Rua 275"/>
    <s v="Comp 275"/>
    <s v="Suporte de Celular Branco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x v="25"/>
    <x v="27"/>
    <x v="1"/>
    <d v="2024-12-16T00:00:00"/>
    <x v="0"/>
    <x v="0"/>
    <x v="2"/>
    <s v="ENTREGUE"/>
    <d v="2024-11-19T00:00:00"/>
    <x v="0"/>
    <s v="NÃO"/>
    <n v="0"/>
    <n v="0"/>
    <n v="0"/>
    <n v="0"/>
    <n v="0"/>
  </r>
  <r>
    <x v="0"/>
    <s v="BV45602"/>
    <s v="Pedido 281"/>
    <d v="2024-11-06T00:00:00"/>
    <x v="22"/>
    <s v="PedidoF274"/>
    <s v="CódRastreio274"/>
    <n v="1"/>
    <s v="CPF 276"/>
    <s v="Nome 276"/>
    <s v="Tel 276"/>
    <s v="Cep 276"/>
    <s v="Rua 276"/>
    <s v="Comp 276"/>
    <s v="Bomba d'agua"/>
    <s v="DJ-RO5O-43GF"/>
    <d v="2024-11-22T00:00:00"/>
    <n v="16.5"/>
    <n v="16.5"/>
    <n v="2.31"/>
    <n v="14.19"/>
    <n v="4.99"/>
    <n v="0.31"/>
    <n v="0.39877104377104378"/>
    <n v="0"/>
    <n v="8.4912289562289551"/>
    <n v="4.2456144781144776"/>
    <x v="19"/>
    <x v="18"/>
    <x v="6"/>
    <d v="2024-11-29T00:00:00"/>
    <x v="1"/>
    <x v="0"/>
    <x v="2"/>
    <s v="ENTREGUE"/>
    <d v="2024-11-14T00:00:00"/>
    <x v="0"/>
    <s v="NÃO"/>
    <n v="0"/>
    <n v="0"/>
    <n v="0"/>
    <n v="0"/>
    <n v="0"/>
  </r>
  <r>
    <x v="0"/>
    <s v="BV45602"/>
    <s v="Pedido 282"/>
    <d v="2024-11-06T00:00:00"/>
    <x v="22"/>
    <s v="PedidoF275"/>
    <s v="CódRastreio275"/>
    <n v="1"/>
    <s v="CPF 277"/>
    <s v="Nome 277"/>
    <s v="Tel 277"/>
    <s v="Cep 277"/>
    <s v="Rua 277"/>
    <s v="Comp 277"/>
    <s v="Multi Processador 5 Laminas"/>
    <s v="T9-P952-TL6A"/>
    <d v="2024-11-22T00:00:00"/>
    <n v="23.8"/>
    <n v="23.8"/>
    <n v="3.0940000000000003"/>
    <n v="20.71"/>
    <n v="10.039999999999999"/>
    <n v="0.31"/>
    <n v="0.39877104377104378"/>
    <n v="0"/>
    <n v="9.9612289562289575"/>
    <n v="4.9806144781144788"/>
    <x v="19"/>
    <x v="18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602"/>
    <s v="Pedido 283"/>
    <d v="2024-11-06T00:00:00"/>
    <x v="22"/>
    <s v="PedidoF276"/>
    <s v="CódRastreio276"/>
    <n v="1"/>
    <s v="CPF 278"/>
    <s v="Nome 278"/>
    <s v="Tel 278"/>
    <s v="Cep 278"/>
    <s v="Rua 278"/>
    <s v="Comp 278"/>
    <s v="Adaptador Bluetooph"/>
    <s v="YA-AG3H-SPUK"/>
    <d v="2024-11-22T00:00:00"/>
    <n v="16.5"/>
    <n v="16.5"/>
    <n v="1.98"/>
    <n v="14.52"/>
    <n v="5.48"/>
    <n v="0.31"/>
    <n v="0.39877104377104378"/>
    <n v="0"/>
    <n v="8.331228956228955"/>
    <n v="4.1656144781144775"/>
    <x v="19"/>
    <x v="18"/>
    <x v="6"/>
    <d v="2024-11-29T00:00:00"/>
    <x v="1"/>
    <x v="0"/>
    <x v="2"/>
    <s v="ENTREGUE"/>
    <d v="2024-11-11T00:00:00"/>
    <x v="0"/>
    <s v="NÃO"/>
    <n v="0"/>
    <n v="0"/>
    <n v="0"/>
    <n v="0"/>
    <n v="0"/>
  </r>
  <r>
    <x v="0"/>
    <s v="BV45602"/>
    <s v="Pedido 284"/>
    <d v="2024-11-06T00:00:00"/>
    <x v="22"/>
    <s v="PedidoF277"/>
    <s v="CódRastreio277"/>
    <n v="1"/>
    <s v="CPF 279"/>
    <s v="Nome 279"/>
    <s v="Tel 279"/>
    <s v="Cep 279"/>
    <s v="Rua 279"/>
    <s v="Comp 279"/>
    <s v="Bomba d'agua"/>
    <s v="DJ-RO5O-43GF"/>
    <d v="2024-12-04T00:00:00"/>
    <n v="16.5"/>
    <n v="16.5"/>
    <n v="2.31"/>
    <n v="14.19"/>
    <n v="4.99"/>
    <n v="0.31"/>
    <n v="0.39877104377104378"/>
    <n v="0"/>
    <n v="8.4912289562289551"/>
    <n v="4.2456144781144776"/>
    <x v="25"/>
    <x v="27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2"/>
    <s v="Pedido 285"/>
    <d v="2024-11-06T00:00:00"/>
    <x v="22"/>
    <s v="PedidoF278"/>
    <s v="CódRastreio278"/>
    <n v="1"/>
    <s v="CPF 280"/>
    <s v="Nome 280"/>
    <s v="Tel 280"/>
    <s v="Cep 280"/>
    <s v="Rua 280"/>
    <s v="Comp 280"/>
    <s v="Suporte de Celular Branco"/>
    <s v="16-4EDB-WMZF"/>
    <d v="2024-12-11T00:00:00"/>
    <n v="15.1"/>
    <n v="15.1"/>
    <n v="2.2649999999999997"/>
    <n v="12.84"/>
    <n v="7.31"/>
    <n v="0.31"/>
    <n v="0.39877104377104378"/>
    <n v="0"/>
    <n v="4.821228956228957"/>
    <n v="2.4106144781144785"/>
    <x v="26"/>
    <x v="28"/>
    <x v="0"/>
    <d v="2025-01-02T00:00:00"/>
    <x v="0"/>
    <x v="0"/>
    <x v="2"/>
    <s v="ENTREGUE"/>
    <d v="2024-11-25T00:00:00"/>
    <x v="0"/>
    <s v="NÃO"/>
    <n v="0"/>
    <n v="0"/>
    <n v="0"/>
    <n v="0"/>
    <n v="0"/>
  </r>
  <r>
    <x v="0"/>
    <s v="BV45602"/>
    <s v="Pedido 286"/>
    <d v="2024-11-06T00:00:00"/>
    <x v="22"/>
    <s v="PedidoF279"/>
    <s v="CódRastreio279"/>
    <n v="1"/>
    <s v="CPF 281"/>
    <s v="Nome 281"/>
    <s v="Tel 281"/>
    <s v="Cep 281"/>
    <s v="Rua 281"/>
    <s v="Comp 281"/>
    <s v="Suporte de Celular Branco"/>
    <s v="16-4EDB-WMZF"/>
    <d v="2024-12-04T00:00:00"/>
    <n v="15.1"/>
    <n v="15.1"/>
    <n v="2.2649999999999997"/>
    <n v="12.84"/>
    <n v="4.99"/>
    <n v="0.31"/>
    <n v="0.39877104377104378"/>
    <n v="0"/>
    <n v="7.1412289562289564"/>
    <n v="3.5706144781144782"/>
    <x v="25"/>
    <x v="27"/>
    <x v="1"/>
    <d v="2024-12-16T00:00:00"/>
    <x v="0"/>
    <x v="0"/>
    <x v="2"/>
    <s v="ENTREGUE"/>
    <d v="2024-11-20T00:00:00"/>
    <x v="0"/>
    <s v="NÃO"/>
    <n v="0"/>
    <n v="0"/>
    <n v="0"/>
    <n v="0"/>
    <n v="0"/>
  </r>
  <r>
    <x v="0"/>
    <s v="BV45602"/>
    <s v="Pedido 287"/>
    <d v="2024-11-06T00:00:00"/>
    <x v="22"/>
    <s v="PedidoF280"/>
    <s v="CódRastreio280"/>
    <n v="1"/>
    <s v="CPF 282"/>
    <s v="Nome 282"/>
    <s v="Tel 282"/>
    <s v="Cep 282"/>
    <s v="Rua 282"/>
    <s v="Comp 282"/>
    <s v="Suporte de Celular Branco"/>
    <s v="16-4EDB-WMZF"/>
    <d v="2024-11-28T00:00:00"/>
    <n v="15.1"/>
    <n v="15.1"/>
    <n v="2.2649999999999997"/>
    <n v="12.84"/>
    <n v="4.99"/>
    <n v="0.31"/>
    <n v="0.39877104377104378"/>
    <n v="0"/>
    <n v="7.1412289562289564"/>
    <n v="3.5706144781144782"/>
    <x v="17"/>
    <x v="16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2"/>
    <s v="Pedido 288"/>
    <d v="2024-11-06T00:00:00"/>
    <x v="22"/>
    <s v="PedidoF281"/>
    <s v="CódRastreio281"/>
    <n v="1"/>
    <s v="CPF 283"/>
    <s v="Nome 283"/>
    <s v="Tel 283"/>
    <s v="Cep 283"/>
    <s v="Rua 283"/>
    <s v="Comp 283"/>
    <s v="Bomba d'agua"/>
    <s v="DJ-RO5O-43GF"/>
    <d v="2024-11-26T00:00:00"/>
    <n v="16.5"/>
    <n v="16.5"/>
    <n v="2.31"/>
    <n v="14.19"/>
    <n v="4.99"/>
    <n v="0.31"/>
    <n v="0.39877104377104378"/>
    <n v="0"/>
    <n v="8.4912289562289551"/>
    <n v="4.2456144781144776"/>
    <x v="2"/>
    <x v="2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2"/>
    <s v="Pedido 289"/>
    <d v="2024-11-06T00:00:00"/>
    <x v="22"/>
    <s v="PedidoF282"/>
    <s v="CódRastreio282"/>
    <n v="1"/>
    <s v="CPF 284"/>
    <s v="Nome 284"/>
    <s v="Tel 284"/>
    <s v="Cep 284"/>
    <s v="Rua 284"/>
    <s v="Comp 284"/>
    <s v="Ventilador de teto"/>
    <s v="ZO-J9IL-EN6L"/>
    <d v="2024-12-04T00:00:00"/>
    <n v="51.99"/>
    <n v="51.99"/>
    <n v="7.2786000000000008"/>
    <n v="44.71"/>
    <n v="7.29"/>
    <n v="0.31"/>
    <n v="0.39877104377104378"/>
    <n v="0"/>
    <n v="36.711228956228958"/>
    <n v="18.355614478114479"/>
    <x v="25"/>
    <x v="27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2"/>
    <s v="Pedido 290"/>
    <d v="2024-11-06T00:00:00"/>
    <x v="22"/>
    <s v="PedidoF283"/>
    <s v="CódRastreio283"/>
    <n v="1"/>
    <s v="CPF 285"/>
    <s v="Nome 285"/>
    <s v="Tel 285"/>
    <s v="Cep 285"/>
    <s v="Rua 285"/>
    <s v="Comp 285"/>
    <s v="Bomba d'agua"/>
    <s v="DJ-RO5O-43GF"/>
    <d v="2024-12-04T00:00:00"/>
    <n v="16.5"/>
    <n v="16.5"/>
    <n v="2.31"/>
    <n v="14.19"/>
    <n v="4.99"/>
    <n v="0.31"/>
    <n v="0.39877104377104378"/>
    <n v="0"/>
    <n v="8.4912289562289551"/>
    <n v="4.2456144781144776"/>
    <x v="25"/>
    <x v="27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2"/>
    <s v="Pedido 291"/>
    <d v="2024-11-06T00:00:00"/>
    <x v="22"/>
    <s v="PedidoF284"/>
    <s v="CódRastreio284"/>
    <n v="1"/>
    <s v="CPF 286"/>
    <s v="Nome 286"/>
    <s v="Tel 286"/>
    <s v="Cep 286"/>
    <s v="Rua 286"/>
    <s v="Comp 286"/>
    <s v="Bomba d'agua"/>
    <s v="DJ-RO5O-43GF"/>
    <d v="2024-11-28T00:00:00"/>
    <n v="16.5"/>
    <n v="16.5"/>
    <n v="2.31"/>
    <n v="14.19"/>
    <n v="4.99"/>
    <n v="0.31"/>
    <n v="0.39877104377104378"/>
    <n v="0"/>
    <n v="8.4912289562289551"/>
    <n v="4.2456144781144776"/>
    <x v="17"/>
    <x v="16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2"/>
    <s v="Pedido 292"/>
    <d v="2024-11-06T00:00:00"/>
    <x v="22"/>
    <s v="PedidoF285"/>
    <s v="CódRastreio285"/>
    <n v="1"/>
    <s v="CPF 287"/>
    <s v="Nome 287"/>
    <s v="Tel 287"/>
    <s v="Cep 287"/>
    <s v="Rua 287"/>
    <s v="Comp 287"/>
    <s v="Ventilador Preto"/>
    <s v="MU-J80P-95WF"/>
    <d v="2024-12-04T00:00:00"/>
    <n v="100"/>
    <n v="100"/>
    <n v="13"/>
    <n v="87"/>
    <n v="7.29"/>
    <n v="0.31"/>
    <n v="0.39877104377104378"/>
    <n v="0"/>
    <n v="79.001228956228957"/>
    <n v="39.500614478114478"/>
    <x v="25"/>
    <x v="27"/>
    <x v="1"/>
    <d v="2024-12-16T00:00:00"/>
    <x v="0"/>
    <x v="0"/>
    <x v="2"/>
    <s v="ENTREGUE"/>
    <d v="2024-11-22T00:00:00"/>
    <x v="0"/>
    <s v="NÃO"/>
    <n v="0"/>
    <n v="0"/>
    <n v="0"/>
    <n v="0"/>
    <n v="0"/>
  </r>
  <r>
    <x v="0"/>
    <s v="BV45602"/>
    <s v="Pedido 293"/>
    <d v="2024-11-06T00:00:00"/>
    <x v="22"/>
    <s v="PedidoF286"/>
    <s v="CódRastreio286"/>
    <n v="1"/>
    <s v="CPF 288"/>
    <s v="Nome 288"/>
    <s v="Tel 288"/>
    <s v="Cep 288"/>
    <s v="Rua 288"/>
    <s v="Comp 288"/>
    <s v="Ventilador Preto"/>
    <s v="MU-J80P-95WF"/>
    <d v="2024-11-28T00:00:00"/>
    <n v="100"/>
    <n v="100"/>
    <n v="13"/>
    <n v="87"/>
    <n v="7.29"/>
    <n v="0.31"/>
    <n v="0.39877104377104378"/>
    <n v="0"/>
    <n v="79.001228956228957"/>
    <n v="39.500614478114478"/>
    <x v="17"/>
    <x v="16"/>
    <x v="1"/>
    <d v="2024-12-16T00:00:00"/>
    <x v="0"/>
    <x v="0"/>
    <x v="2"/>
    <s v="ENTREGUE"/>
    <d v="2024-11-14T00:00:00"/>
    <x v="0"/>
    <s v="-"/>
    <n v="0"/>
    <n v="0"/>
    <n v="0"/>
    <n v="0"/>
    <n v="0"/>
  </r>
  <r>
    <x v="0"/>
    <s v="BV45603"/>
    <s v="Pedido 294"/>
    <d v="2024-11-07T00:00:00"/>
    <x v="13"/>
    <s v="PedidoF287"/>
    <s v="CódRastreio287"/>
    <n v="1"/>
    <s v="CPF 289"/>
    <s v="Nome 289"/>
    <s v="Tel 289"/>
    <s v="Cep 289"/>
    <s v="Rua 289"/>
    <s v="Comp 289"/>
    <s v="Mini Liquidificador"/>
    <s v="CK-YL6M-P5Y6"/>
    <d v="2024-11-29T00:00:00"/>
    <n v="32.5"/>
    <n v="32.5"/>
    <n v="4.2250000000000005"/>
    <n v="28.28"/>
    <n v="0"/>
    <n v="0.23"/>
    <n v="0.39877104377104378"/>
    <n v="0"/>
    <n v="27.651228956228959"/>
    <n v="13.825614478114479"/>
    <x v="27"/>
    <x v="1"/>
    <x v="1"/>
    <d v="2024-12-16T00:00:00"/>
    <x v="0"/>
    <x v="0"/>
    <x v="2"/>
    <s v="ENTREGUE"/>
    <d v="2024-12-11T00:00:00"/>
    <x v="0"/>
    <s v="NÃO"/>
    <n v="0"/>
    <n v="0"/>
    <n v="0"/>
    <n v="0"/>
    <n v="0"/>
  </r>
  <r>
    <x v="0"/>
    <s v="BV45603"/>
    <s v="Pedido 295"/>
    <d v="2024-11-07T00:00:00"/>
    <x v="13"/>
    <s v="PedidoF288"/>
    <s v="CódRastreio288"/>
    <n v="1"/>
    <s v="CPF 290"/>
    <s v="Nome 290"/>
    <s v="Tel 290"/>
    <s v="Cep 290"/>
    <s v="Rua 290"/>
    <s v="Comp 290"/>
    <s v="Bomba d'agua"/>
    <s v="DJ-RO5O-43GF"/>
    <d v="2024-11-29T00:00:00"/>
    <n v="16.5"/>
    <n v="16.5"/>
    <n v="2.31"/>
    <n v="14.19"/>
    <n v="4.99"/>
    <n v="0.23"/>
    <n v="0.39877104377104378"/>
    <n v="0"/>
    <n v="8.5712289562289552"/>
    <n v="4.2856144781144776"/>
    <x v="27"/>
    <x v="29"/>
    <x v="1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4"/>
    <s v="Pedido 296"/>
    <d v="2024-11-08T00:00:00"/>
    <x v="21"/>
    <s v="PedidoF289"/>
    <s v="CódRastreio289"/>
    <n v="1"/>
    <s v="CPF 291"/>
    <s v="Nome 291"/>
    <s v="Tel 291"/>
    <s v="Cep 291"/>
    <s v="Rua 291"/>
    <s v="Comp 291"/>
    <s v="Suporte de Celular Branco"/>
    <s v="16-4EDB-WMZF"/>
    <d v="2024-12-05T00:00:00"/>
    <n v="14.8"/>
    <n v="14.8"/>
    <n v="2.2200000000000002"/>
    <n v="12.58"/>
    <n v="4.99"/>
    <n v="0.27"/>
    <n v="0.39877104377104378"/>
    <n v="0"/>
    <n v="6.9212289562289566"/>
    <n v="3.4606144781144783"/>
    <x v="28"/>
    <x v="30"/>
    <x v="7"/>
    <d v="2024-12-16T00:00:00"/>
    <x v="0"/>
    <x v="0"/>
    <x v="2"/>
    <s v="ENTREGUE"/>
    <d v="2024-11-27T00:00:00"/>
    <x v="0"/>
    <s v="NÃO"/>
    <n v="0"/>
    <n v="0"/>
    <n v="0"/>
    <n v="0"/>
    <n v="0"/>
  </r>
  <r>
    <x v="0"/>
    <s v="BV45603"/>
    <s v="Pedido 297"/>
    <d v="2024-11-07T00:00:00"/>
    <x v="13"/>
    <s v="PedidoF290"/>
    <s v="CódRastreio290"/>
    <n v="1"/>
    <s v="CPF 292"/>
    <s v="Nome 292"/>
    <s v="Tel 292"/>
    <s v="Cep 292"/>
    <s v="Rua 292"/>
    <s v="Comp 292"/>
    <s v="Suporte de Celular Branco"/>
    <s v="16-4EDB-WMZF"/>
    <d v="2024-11-29T00:00:00"/>
    <n v="14.8"/>
    <n v="14.8"/>
    <n v="2.2200000000000002"/>
    <n v="12.58"/>
    <n v="0"/>
    <n v="0.23"/>
    <n v="0.39877104377104378"/>
    <n v="0"/>
    <n v="11.951228956228956"/>
    <n v="5.975614478114478"/>
    <x v="27"/>
    <x v="24"/>
    <x v="1"/>
    <d v="2024-12-16T00:00:00"/>
    <x v="0"/>
    <x v="0"/>
    <x v="2"/>
    <s v="ENTREGUE"/>
    <d v="2024-11-29T00:00:00"/>
    <x v="0"/>
    <s v="NÃO"/>
    <n v="0"/>
    <n v="0"/>
    <n v="0"/>
    <n v="0"/>
    <n v="0"/>
  </r>
  <r>
    <x v="0"/>
    <s v="BV45603"/>
    <s v="Pedido 298"/>
    <d v="2024-11-07T00:00:00"/>
    <x v="13"/>
    <s v="PedidoF291"/>
    <s v="CódRastreio291"/>
    <n v="1"/>
    <s v="CPF 293"/>
    <s v="Nome 293"/>
    <s v="Tel 293"/>
    <s v="Cep 293"/>
    <s v="Rua 293"/>
    <s v="Comp 293"/>
    <s v="Bomba d'agua"/>
    <s v="DJ-RO5O-43GF"/>
    <d v="2024-12-05T00:00:00"/>
    <n v="16.5"/>
    <n v="16.5"/>
    <n v="2.31"/>
    <n v="14.19"/>
    <n v="4.99"/>
    <n v="0.23"/>
    <n v="0.39877104377104378"/>
    <n v="0"/>
    <n v="8.5712289562289552"/>
    <n v="4.2856144781144776"/>
    <x v="28"/>
    <x v="30"/>
    <x v="7"/>
    <d v="2024-12-16T00:00:00"/>
    <x v="0"/>
    <x v="0"/>
    <x v="2"/>
    <s v="ENTREGUE"/>
    <d v="2024-11-27T00:00:00"/>
    <x v="0"/>
    <s v="NÃO"/>
    <n v="0"/>
    <n v="0"/>
    <n v="0"/>
    <n v="0"/>
    <n v="0"/>
  </r>
  <r>
    <x v="0"/>
    <s v="BV45605"/>
    <s v="Pedido 299"/>
    <d v="2024-11-09T00:00:00"/>
    <x v="23"/>
    <s v="PedidoF292"/>
    <s v="CódRastreio292"/>
    <n v="1"/>
    <s v="CPF 293"/>
    <s v="Nome 293"/>
    <s v="Tel 293"/>
    <s v="Cep 293"/>
    <s v="Rua 293"/>
    <s v="Comp 293"/>
    <s v="Bomba d'agua"/>
    <s v="DJ-RO5O-43GF"/>
    <d v="2024-12-05T00:00:00"/>
    <n v="16.5"/>
    <n v="16.5"/>
    <n v="2.31"/>
    <n v="14.19"/>
    <n v="6.57"/>
    <n v="0.2"/>
    <n v="0.39877104377104378"/>
    <n v="0"/>
    <n v="7.0212289562289554"/>
    <n v="3.5106144781144777"/>
    <x v="28"/>
    <x v="30"/>
    <x v="7"/>
    <d v="2024-12-16T00:00:00"/>
    <x v="0"/>
    <x v="0"/>
    <x v="2"/>
    <s v="ENTREGUE"/>
    <d v="2024-11-27T00:00:00"/>
    <x v="0"/>
    <s v="NÃO"/>
    <n v="0"/>
    <n v="0"/>
    <n v="0"/>
    <n v="0"/>
    <n v="0"/>
  </r>
  <r>
    <x v="0"/>
    <s v="BV45603"/>
    <s v="Pedido 300"/>
    <d v="2024-11-07T00:00:00"/>
    <x v="13"/>
    <s v="PedidoF293"/>
    <s v="CódRastreio293"/>
    <n v="1"/>
    <s v="CPF 294"/>
    <s v="Nome 294"/>
    <s v="Tel 294"/>
    <s v="Cep 294"/>
    <s v="Rua 294"/>
    <s v="Comp 294"/>
    <s v="Bomba d'agua"/>
    <s v="DJ-RO5O-43GF"/>
    <d v="2024-12-06T00:00:00"/>
    <n v="16.5"/>
    <n v="16.5"/>
    <n v="2.31"/>
    <n v="14.19"/>
    <n v="4.99"/>
    <n v="0.23"/>
    <n v="0.39877104377104378"/>
    <n v="0"/>
    <n v="8.5712289562289552"/>
    <n v="4.2856144781144776"/>
    <x v="29"/>
    <x v="31"/>
    <x v="7"/>
    <d v="2024-12-16T00:00:00"/>
    <x v="0"/>
    <x v="0"/>
    <x v="2"/>
    <s v="ENTREGUE"/>
    <d v="2024-11-18T00:00:00"/>
    <x v="0"/>
    <s v="NÃO"/>
    <n v="0"/>
    <n v="0"/>
    <n v="0"/>
    <n v="0"/>
    <n v="0"/>
  </r>
  <r>
    <x v="0"/>
    <s v="BV45603"/>
    <s v="Pedido 301"/>
    <d v="2024-11-07T00:00:00"/>
    <x v="13"/>
    <s v="PedidoF294"/>
    <s v="CódRastreio294"/>
    <n v="1"/>
    <s v="CPF 295"/>
    <s v="Nome 295"/>
    <s v="Tel 295"/>
    <s v="Cep 295"/>
    <s v="Rua 295"/>
    <s v="Comp 295"/>
    <s v="Ventilador de teto"/>
    <s v="ZO-J9IL-EN6L"/>
    <d v="2024-11-30T00:00:00"/>
    <n v="59.9"/>
    <n v="59.9"/>
    <n v="8.386000000000001"/>
    <n v="51.51"/>
    <n v="7.27"/>
    <n v="0.23"/>
    <n v="0.39877104377104378"/>
    <n v="0"/>
    <n v="43.611228956228956"/>
    <n v="21.805614478114478"/>
    <x v="3"/>
    <x v="3"/>
    <x v="1"/>
    <d v="2024-12-16T00:00:00"/>
    <x v="0"/>
    <x v="0"/>
    <x v="2"/>
    <s v="ENTREGUE"/>
    <d v="2024-11-14T00:00:00"/>
    <x v="0"/>
    <s v="NÃO"/>
    <n v="0"/>
    <n v="0"/>
    <n v="0"/>
    <n v="0"/>
    <n v="0"/>
  </r>
  <r>
    <x v="0"/>
    <s v="BV45603"/>
    <s v="Pedido 302"/>
    <d v="2024-11-07T00:00:00"/>
    <x v="13"/>
    <s v="PedidoF295"/>
    <s v="CódRastreio295"/>
    <n v="1"/>
    <s v="CPF 296"/>
    <s v="Nome 296"/>
    <s v="Tel 296"/>
    <s v="Cep 296"/>
    <s v="Rua 296"/>
    <s v="Comp 296"/>
    <s v="Suporte de Celular Branco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x v="29"/>
    <x v="31"/>
    <x v="7"/>
    <d v="2024-12-16T00:00:00"/>
    <x v="0"/>
    <x v="0"/>
    <x v="2"/>
    <s v="ENTREGUE"/>
    <d v="2024-11-19T00:00:00"/>
    <x v="0"/>
    <m/>
    <n v="0"/>
    <n v="0"/>
    <n v="0"/>
    <n v="0"/>
    <n v="0"/>
  </r>
  <r>
    <x v="0"/>
    <s v="BV45603"/>
    <s v="Pedido 303"/>
    <d v="2024-11-07T00:00:00"/>
    <x v="13"/>
    <s v="PedidoF296"/>
    <s v="CódRastreio296"/>
    <n v="1"/>
    <s v="CPF 297"/>
    <s v="Nome 297"/>
    <s v="Tel 297"/>
    <s v="Cep 297"/>
    <s v="Rua 297"/>
    <s v="Comp 297"/>
    <s v="Bomba d'agua"/>
    <s v="DJ-RO5O-43GF"/>
    <d v="2024-11-30T00:00:00"/>
    <n v="16.5"/>
    <n v="16.5"/>
    <n v="2.31"/>
    <n v="14.19"/>
    <n v="4.99"/>
    <n v="0.23"/>
    <n v="0.39877104377104378"/>
    <n v="0"/>
    <n v="8.5712289562289552"/>
    <n v="4.2856144781144776"/>
    <x v="3"/>
    <x v="3"/>
    <x v="1"/>
    <d v="2024-12-16T00:00:00"/>
    <x v="0"/>
    <x v="0"/>
    <x v="2"/>
    <s v="ENTREGUE"/>
    <d v="2024-11-19T00:00:00"/>
    <x v="0"/>
    <m/>
    <n v="0"/>
    <n v="0"/>
    <n v="0"/>
    <n v="0"/>
    <n v="0"/>
  </r>
  <r>
    <x v="0"/>
    <s v="BV45603"/>
    <s v="Pedido 304"/>
    <d v="2024-11-07T00:00:00"/>
    <x v="13"/>
    <s v="PedidoF297"/>
    <s v="CódRastreio297"/>
    <n v="1"/>
    <s v="CPF 298"/>
    <s v="Nome 298"/>
    <s v="Tel 298"/>
    <s v="Cep 298"/>
    <s v="Rua 298"/>
    <s v="Comp 298"/>
    <s v="Suporte de Celular Branco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x v="29"/>
    <x v="31"/>
    <x v="7"/>
    <d v="2024-12-16T00:00:00"/>
    <x v="0"/>
    <x v="0"/>
    <x v="2"/>
    <s v="ENTREGUE"/>
    <d v="2024-11-15T00:00:00"/>
    <x v="0"/>
    <m/>
    <n v="0"/>
    <n v="0"/>
    <n v="0"/>
    <n v="0"/>
    <n v="0"/>
  </r>
  <r>
    <x v="0"/>
    <s v="BV45603"/>
    <s v="Pedido 305"/>
    <d v="2024-11-07T00:00:00"/>
    <x v="13"/>
    <s v="PedidoF298"/>
    <s v="CódRastreio298"/>
    <n v="1"/>
    <s v="CPF 299"/>
    <s v="Nome 299"/>
    <s v="Tel 299"/>
    <s v="Cep 299"/>
    <s v="Rua 299"/>
    <s v="Comp 299"/>
    <s v="Suporte de Celular Branco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x v="29"/>
    <x v="31"/>
    <x v="7"/>
    <d v="2024-12-16T00:00:00"/>
    <x v="0"/>
    <x v="0"/>
    <x v="2"/>
    <s v="ENTREGUE"/>
    <d v="2024-11-15T00:00:00"/>
    <x v="0"/>
    <m/>
    <n v="0"/>
    <n v="0"/>
    <n v="0"/>
    <n v="0"/>
    <n v="0"/>
  </r>
  <r>
    <x v="0"/>
    <s v="BV45603"/>
    <s v="Pedido 306"/>
    <d v="2024-11-07T00:00:00"/>
    <x v="13"/>
    <s v="PedidoF299"/>
    <s v="CódRastreio299"/>
    <n v="1"/>
    <s v="CPF 300"/>
    <s v="Nome 300"/>
    <s v="Tel 300"/>
    <s v="Cep 300"/>
    <s v="Rua 300"/>
    <s v="Comp 300"/>
    <s v="Suporte de Celular Branco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x v="29"/>
    <x v="31"/>
    <x v="7"/>
    <d v="2024-12-16T00:00:00"/>
    <x v="0"/>
    <x v="0"/>
    <x v="2"/>
    <s v="ENTREGUE"/>
    <d v="2024-11-18T00:00:00"/>
    <x v="0"/>
    <m/>
    <n v="0"/>
    <n v="0"/>
    <n v="0"/>
    <n v="0"/>
    <n v="0"/>
  </r>
  <r>
    <x v="0"/>
    <s v="BV45603"/>
    <s v="Pedido 307"/>
    <d v="2024-11-07T00:00:00"/>
    <x v="13"/>
    <s v="PedidoF300"/>
    <s v="CódRastreio300"/>
    <n v="1"/>
    <s v="CPF 301"/>
    <s v="Nome 301"/>
    <s v="Tel 301"/>
    <s v="Cep 301"/>
    <s v="Rua 301"/>
    <s v="Comp 301"/>
    <s v="Suporte de Celular Branco"/>
    <s v="16-4EDB-WMZF"/>
    <d v="2024-12-06T00:00:00"/>
    <n v="14.8"/>
    <n v="14.8"/>
    <n v="2.2200000000000002"/>
    <n v="12.58"/>
    <n v="4.99"/>
    <n v="0.23"/>
    <n v="0.39877104377104378"/>
    <n v="0"/>
    <n v="6.9612289562289558"/>
    <n v="3.4806144781144779"/>
    <x v="29"/>
    <x v="31"/>
    <x v="7"/>
    <d v="2024-12-16T00:00:00"/>
    <x v="0"/>
    <x v="0"/>
    <x v="2"/>
    <s v="ENTREGUE"/>
    <d v="2024-11-28T00:00:00"/>
    <x v="0"/>
    <m/>
    <n v="0"/>
    <n v="0"/>
    <n v="0"/>
    <n v="0"/>
    <n v="0"/>
  </r>
  <r>
    <x v="0"/>
    <s v="BV45603"/>
    <s v="Pedido 308"/>
    <d v="2024-11-07T00:00:00"/>
    <x v="13"/>
    <s v="PedidoF301"/>
    <s v="CódRastreio301"/>
    <n v="1"/>
    <s v="CPF 302"/>
    <s v="Nome 302"/>
    <s v="Tel 302"/>
    <s v="Cep 302"/>
    <s v="Rua 302"/>
    <s v="Comp 302"/>
    <s v="Suporte de Celular Branco"/>
    <s v="16-4EDB-WMZF"/>
    <d v="2024-11-30T00:00:00"/>
    <n v="14.8"/>
    <n v="14.8"/>
    <n v="2.2200000000000002"/>
    <n v="12.58"/>
    <n v="4.99"/>
    <n v="0.23"/>
    <n v="0.39877104377104378"/>
    <n v="0"/>
    <n v="6.9612289562289558"/>
    <n v="3.4806144781144779"/>
    <x v="3"/>
    <x v="3"/>
    <x v="1"/>
    <d v="2024-12-16T00:00:00"/>
    <x v="0"/>
    <x v="0"/>
    <x v="2"/>
    <s v="ENTREGUE"/>
    <d v="2024-11-26T00:00:00"/>
    <x v="0"/>
    <m/>
    <n v="0"/>
    <n v="0"/>
    <n v="0"/>
    <n v="0"/>
    <n v="0"/>
  </r>
  <r>
    <x v="0"/>
    <s v="BV45603"/>
    <s v="Pedido 309"/>
    <d v="2024-11-07T00:00:00"/>
    <x v="13"/>
    <s v="PedidoF302"/>
    <s v="CódRastreio302"/>
    <n v="1"/>
    <s v="CPF 303"/>
    <s v="Nome 303"/>
    <s v="Tel 303"/>
    <s v="Cep 303"/>
    <s v="Rua 303"/>
    <s v="Comp 303"/>
    <s v="Bomba d'agua"/>
    <s v="DJ-RO5O-43GF"/>
    <d v="2024-12-06T00:00:00"/>
    <n v="16.5"/>
    <n v="16.5"/>
    <n v="2.31"/>
    <n v="14.19"/>
    <n v="4.99"/>
    <n v="0.23"/>
    <n v="0.39877104377104378"/>
    <n v="0"/>
    <n v="8.5712289562289552"/>
    <n v="4.2856144781144776"/>
    <x v="29"/>
    <x v="31"/>
    <x v="7"/>
    <d v="2024-12-16T00:00:00"/>
    <x v="0"/>
    <x v="0"/>
    <x v="2"/>
    <s v="ENTREGUE"/>
    <d v="2024-11-16T00:00:00"/>
    <x v="0"/>
    <m/>
    <n v="0"/>
    <n v="0"/>
    <n v="0"/>
    <n v="0"/>
    <n v="0"/>
  </r>
  <r>
    <x v="0"/>
    <s v="BV45604"/>
    <s v="Pedido 310"/>
    <d v="2024-11-08T00:00:00"/>
    <x v="21"/>
    <s v="PedidoF303"/>
    <s v="CódRastreio303"/>
    <n v="1"/>
    <s v="CPF 304"/>
    <s v="Nome 304"/>
    <s v="Tel 304"/>
    <s v="Cep 304"/>
    <s v="Rua 304"/>
    <s v="Comp 304"/>
    <s v="Suporte de Celular Branco"/>
    <s v="16-4EDB-WMZF"/>
    <d v="2024-12-06T00:00:00"/>
    <n v="14.8"/>
    <n v="14.8"/>
    <n v="2.2200000000000002"/>
    <n v="12.58"/>
    <n v="4.99"/>
    <n v="0.27"/>
    <n v="0.39877104377104378"/>
    <n v="0"/>
    <n v="6.9212289562289566"/>
    <n v="3.4606144781144783"/>
    <x v="29"/>
    <x v="31"/>
    <x v="7"/>
    <d v="2024-12-16T00:00:00"/>
    <x v="0"/>
    <x v="0"/>
    <x v="2"/>
    <s v="ENTREGUE"/>
    <d v="2024-11-30T00:00:00"/>
    <x v="0"/>
    <m/>
    <n v="0"/>
    <n v="0"/>
    <n v="0"/>
    <n v="0"/>
    <n v="0"/>
  </r>
  <r>
    <x v="0"/>
    <s v="BV45604"/>
    <s v="Pedido 311"/>
    <d v="2024-11-08T00:00:00"/>
    <x v="21"/>
    <s v="PedidoF304"/>
    <s v="CódRastreio304"/>
    <n v="1"/>
    <s v="CPF 305"/>
    <s v="Nome 305"/>
    <s v="Tel 305"/>
    <s v="Cep 305"/>
    <s v="Rua 305"/>
    <s v="Comp 305"/>
    <s v="Bomba d'agua"/>
    <s v="DJ-RO5O-43GF"/>
    <d v="2024-11-28T00:00:00"/>
    <n v="16.5"/>
    <n v="16.5"/>
    <n v="2.31"/>
    <n v="14.19"/>
    <n v="6.57"/>
    <n v="0.27"/>
    <n v="0.39877104377104378"/>
    <n v="0"/>
    <n v="6.951228956228956"/>
    <n v="3.475614478114478"/>
    <x v="17"/>
    <x v="16"/>
    <x v="1"/>
    <d v="2024-12-16T00:00:00"/>
    <x v="0"/>
    <x v="0"/>
    <x v="2"/>
    <s v="ENTREGUE"/>
    <d v="2024-11-16T00:00:00"/>
    <x v="0"/>
    <m/>
    <n v="0"/>
    <n v="0"/>
    <n v="0"/>
    <n v="0"/>
    <n v="0"/>
  </r>
  <r>
    <x v="0"/>
    <s v="BV45604"/>
    <s v="Pedido 312"/>
    <d v="2024-11-08T00:00:00"/>
    <x v="21"/>
    <s v="PedidoF305"/>
    <s v="CódRastreio305"/>
    <n v="1"/>
    <s v="CPF 306"/>
    <s v="Nome 306"/>
    <s v="Tel 306"/>
    <s v="Cep 306"/>
    <s v="Rua 306"/>
    <s v="Comp 306"/>
    <s v="Bomba d'agua"/>
    <s v="DJ-RO5O-43GF"/>
    <d v="2024-12-06T00:00:00"/>
    <n v="16.5"/>
    <n v="16.5"/>
    <n v="2.31"/>
    <n v="14.19"/>
    <n v="6.57"/>
    <n v="0.27"/>
    <n v="0.39877104377104378"/>
    <n v="0"/>
    <n v="6.951228956228956"/>
    <n v="3.475614478114478"/>
    <x v="29"/>
    <x v="31"/>
    <x v="7"/>
    <d v="2024-12-16T00:00:00"/>
    <x v="0"/>
    <x v="0"/>
    <x v="2"/>
    <s v="ENTREGUE"/>
    <d v="2024-11-19T00:00:00"/>
    <x v="0"/>
    <m/>
    <n v="0"/>
    <n v="0"/>
    <n v="0"/>
    <n v="0"/>
    <n v="0"/>
  </r>
  <r>
    <x v="0"/>
    <s v="BV45604"/>
    <s v="Pedido 313"/>
    <d v="2024-11-08T00:00:00"/>
    <x v="21"/>
    <s v="PedidoF306"/>
    <s v="CódRastreio306"/>
    <n v="1"/>
    <s v="CPF 307"/>
    <s v="Nome 307"/>
    <s v="Tel 307"/>
    <s v="Cep 307"/>
    <s v="Rua 307"/>
    <s v="Comp 307"/>
    <s v="Suporte de Celular Branco"/>
    <s v="16-4EDB-WMZF"/>
    <d v="2024-12-06T00:00:00"/>
    <n v="14.8"/>
    <n v="14.8"/>
    <n v="2.2200000000000002"/>
    <n v="12.58"/>
    <n v="4.99"/>
    <n v="0.27"/>
    <n v="0.39877104377104378"/>
    <n v="0"/>
    <n v="6.9212289562289566"/>
    <n v="3.4606144781144783"/>
    <x v="29"/>
    <x v="31"/>
    <x v="7"/>
    <d v="2024-12-16T00:00:00"/>
    <x v="0"/>
    <x v="0"/>
    <x v="2"/>
    <s v="ENTREGUE"/>
    <d v="2024-11-27T00:00:00"/>
    <x v="0"/>
    <m/>
    <n v="0"/>
    <n v="0"/>
    <n v="0"/>
    <n v="0"/>
    <n v="0"/>
  </r>
  <r>
    <x v="0"/>
    <s v="BV45604"/>
    <s v="Pedido 314"/>
    <d v="2024-11-08T00:00:00"/>
    <x v="21"/>
    <s v="PedidoF307"/>
    <s v="CódRastreio307"/>
    <n v="1"/>
    <s v="CPF 308"/>
    <s v="Nome 308"/>
    <s v="Tel 308"/>
    <s v="Cep 308"/>
    <s v="Rua 308"/>
    <s v="Comp 308"/>
    <s v="Bomba d'agua"/>
    <s v="DJ-RO5O-43GF"/>
    <d v="2024-12-06T00:00:00"/>
    <n v="16.5"/>
    <n v="16.5"/>
    <n v="2.31"/>
    <n v="14.19"/>
    <n v="6.57"/>
    <n v="0.27"/>
    <n v="0.39877104377104378"/>
    <n v="0"/>
    <n v="6.951228956228956"/>
    <n v="3.475614478114478"/>
    <x v="29"/>
    <x v="31"/>
    <x v="7"/>
    <d v="2024-12-16T00:00:00"/>
    <x v="0"/>
    <x v="0"/>
    <x v="2"/>
    <s v="ENTREGUE"/>
    <d v="2024-11-21T00:00:00"/>
    <x v="0"/>
    <m/>
    <n v="0"/>
    <n v="0"/>
    <n v="0"/>
    <n v="0"/>
    <n v="0"/>
  </r>
  <r>
    <x v="0"/>
    <s v="BV45604"/>
    <s v="Pedido 315"/>
    <d v="2024-11-08T00:00:00"/>
    <x v="21"/>
    <s v="PedidoF308"/>
    <s v="CódRastreio308"/>
    <n v="1"/>
    <s v="CPF 309"/>
    <s v="Nome 309"/>
    <s v="Tel 309"/>
    <s v="Cep 309"/>
    <s v="Rua 309"/>
    <s v="Comp 309"/>
    <s v="Bomba d'agua"/>
    <s v="DJ-RO5O-43GF"/>
    <d v="2024-11-26T00:00:00"/>
    <n v="16.5"/>
    <n v="16.5"/>
    <n v="2.31"/>
    <n v="14.19"/>
    <n v="6.57"/>
    <n v="0.27"/>
    <n v="0.39877104377104378"/>
    <n v="0"/>
    <n v="6.951228956228956"/>
    <n v="3.475614478114478"/>
    <x v="2"/>
    <x v="2"/>
    <x v="1"/>
    <d v="2024-12-16T00:00:00"/>
    <x v="0"/>
    <x v="0"/>
    <x v="2"/>
    <s v="ENTREGUE"/>
    <d v="2024-11-14T00:00:00"/>
    <x v="0"/>
    <m/>
    <n v="0"/>
    <n v="0"/>
    <n v="0"/>
    <n v="0"/>
    <n v="0"/>
  </r>
  <r>
    <x v="0"/>
    <s v="BV45604"/>
    <s v="Pedido 316"/>
    <d v="2024-11-08T00:00:00"/>
    <x v="21"/>
    <s v="PedidoF309"/>
    <s v="CódRastreio309"/>
    <n v="1"/>
    <s v="CPF 310"/>
    <s v="Nome 310"/>
    <s v="Tel 310"/>
    <s v="Cep 310"/>
    <s v="Rua 310"/>
    <s v="Comp 310"/>
    <s v="Bomba d'agua"/>
    <s v="DJ-RO5O-43GF"/>
    <d v="2024-12-06T00:00:00"/>
    <n v="16.5"/>
    <n v="16.5"/>
    <n v="2.31"/>
    <n v="14.19"/>
    <n v="6.57"/>
    <n v="0.27"/>
    <n v="0.39877104377104378"/>
    <n v="0"/>
    <n v="6.951228956228956"/>
    <n v="3.475614478114478"/>
    <x v="29"/>
    <x v="31"/>
    <x v="7"/>
    <d v="2024-12-16T00:00:00"/>
    <x v="0"/>
    <x v="0"/>
    <x v="2"/>
    <s v="ENTREGUE"/>
    <d v="2024-11-14T00:00:00"/>
    <x v="0"/>
    <m/>
    <n v="0"/>
    <n v="0"/>
    <n v="0"/>
    <n v="0"/>
    <n v="0"/>
  </r>
  <r>
    <x v="0"/>
    <s v="BV45604"/>
    <s v="Pedido 317"/>
    <d v="2024-11-08T00:00:00"/>
    <x v="21"/>
    <s v="PedidoF310"/>
    <s v="CódRastreio310"/>
    <n v="1"/>
    <s v="CPF 311"/>
    <s v="Nome 311"/>
    <s v="Tel 311"/>
    <s v="Cep 311"/>
    <s v="Rua 311"/>
    <s v="Comp 311"/>
    <s v="Bomba d'agua"/>
    <s v="DJ-RO5O-43GF"/>
    <d v="2024-11-28T00:00:00"/>
    <n v="16.5"/>
    <n v="16.5"/>
    <n v="2.31"/>
    <n v="14.19"/>
    <n v="6.57"/>
    <n v="0.27"/>
    <n v="0.39877104377104378"/>
    <n v="0"/>
    <n v="6.951228956228956"/>
    <n v="3.475614478114478"/>
    <x v="17"/>
    <x v="16"/>
    <x v="1"/>
    <d v="2024-12-16T00:00:00"/>
    <x v="0"/>
    <x v="0"/>
    <x v="2"/>
    <s v="ENTREGUE"/>
    <d v="2024-11-14T00:00:00"/>
    <x v="0"/>
    <m/>
    <n v="0"/>
    <n v="0"/>
    <n v="0"/>
    <n v="0"/>
    <n v="0"/>
  </r>
  <r>
    <x v="0"/>
    <s v="BV45604"/>
    <s v="Pedido 318"/>
    <d v="2024-11-08T00:00:00"/>
    <x v="21"/>
    <s v="PedidoF311"/>
    <s v="CódRastreio311"/>
    <n v="1"/>
    <s v="CPF 312"/>
    <s v="Nome 312"/>
    <s v="Tel 312"/>
    <s v="Cep 312"/>
    <s v="Rua 312"/>
    <s v="Comp 312"/>
    <s v="Suporte de Celular Branco"/>
    <s v="16-4EDB-WMZF"/>
    <d v="2024-12-03T00:00:00"/>
    <n v="14.8"/>
    <n v="14.8"/>
    <n v="2.2200000000000002"/>
    <n v="12.58"/>
    <n v="4.99"/>
    <n v="0.27"/>
    <n v="0.39877104377104378"/>
    <n v="0"/>
    <n v="6.9212289562289566"/>
    <n v="3.4606144781144783"/>
    <x v="22"/>
    <x v="25"/>
    <x v="1"/>
    <d v="2024-12-16T00:00:00"/>
    <x v="0"/>
    <x v="0"/>
    <x v="2"/>
    <s v="ENTREGUE"/>
    <d v="2024-11-27T00:00:00"/>
    <x v="0"/>
    <m/>
    <n v="0"/>
    <n v="0"/>
    <n v="0"/>
    <n v="0"/>
    <n v="0"/>
  </r>
  <r>
    <x v="0"/>
    <s v="BV45604"/>
    <s v="Pedido 319"/>
    <d v="2024-11-08T00:00:00"/>
    <x v="21"/>
    <s v="PedidoF312"/>
    <s v="CódRastreio312"/>
    <n v="1"/>
    <s v="CPF 313"/>
    <s v="Nome 313"/>
    <s v="Tel 313"/>
    <s v="Cep 313"/>
    <s v="Rua 313"/>
    <s v="Comp 313"/>
    <s v="Suporte de Celular Branco"/>
    <s v="16-4EDB-WMZF"/>
    <d v="2024-11-27T00:00:00"/>
    <n v="19.3"/>
    <n v="19.3"/>
    <n v="2.895"/>
    <n v="16.41"/>
    <n v="4.99"/>
    <n v="0.27"/>
    <n v="0.39877104377104378"/>
    <n v="0"/>
    <n v="10.751228956228957"/>
    <n v="5.3756144781144783"/>
    <x v="20"/>
    <x v="20"/>
    <x v="1"/>
    <d v="2024-12-16T00:00:00"/>
    <x v="0"/>
    <x v="0"/>
    <x v="2"/>
    <s v="ENTREGUE"/>
    <d v="2024-11-25T00:00:00"/>
    <x v="0"/>
    <m/>
    <n v="0"/>
    <n v="0"/>
    <n v="0"/>
    <n v="0"/>
    <n v="0"/>
  </r>
  <r>
    <x v="0"/>
    <s v="BV45604"/>
    <s v="Pedido 320"/>
    <d v="2024-11-08T00:00:00"/>
    <x v="21"/>
    <s v="PedidoF313"/>
    <s v="CódRastreio313"/>
    <n v="1"/>
    <s v="CPF 314"/>
    <s v="Nome 314"/>
    <s v="Tel 314"/>
    <s v="Cep 314"/>
    <s v="Rua 314"/>
    <s v="Comp 314"/>
    <s v="Mini Liquidificador"/>
    <s v="CK-YL6M-P5Y6"/>
    <d v="2024-12-03T00:00:00"/>
    <n v="32.299999999999997"/>
    <n v="32.299999999999997"/>
    <n v="4.1989999999999998"/>
    <n v="28.1"/>
    <n v="11.99"/>
    <n v="0.27"/>
    <n v="0.39877104377104378"/>
    <n v="0"/>
    <n v="15.441228956228958"/>
    <n v="7.720614478114479"/>
    <x v="22"/>
    <x v="25"/>
    <x v="1"/>
    <d v="2024-12-16T00:00:00"/>
    <x v="0"/>
    <x v="0"/>
    <x v="2"/>
    <s v="ENTREGUE"/>
    <d v="2024-11-19T00:00:00"/>
    <x v="0"/>
    <m/>
    <n v="0"/>
    <n v="0"/>
    <n v="0"/>
    <n v="0"/>
    <n v="0"/>
  </r>
  <r>
    <x v="0"/>
    <s v="BV45604"/>
    <s v="Pedido 321"/>
    <d v="2024-11-08T00:00:00"/>
    <x v="21"/>
    <s v="PedidoF314"/>
    <s v="CódRastreio314"/>
    <n v="1"/>
    <s v="CPF 315"/>
    <s v="Nome 315"/>
    <s v="Tel 315"/>
    <s v="Cep 315"/>
    <s v="Rua 315"/>
    <s v="Comp 315"/>
    <s v="Ventilador de teto"/>
    <s v="ZO-J9IL-EN6L"/>
    <d v="2024-12-07T00:00:00"/>
    <n v="49.99"/>
    <n v="49.99"/>
    <n v="6.9986000000000006"/>
    <n v="42.99"/>
    <n v="0"/>
    <n v="0.27"/>
    <n v="0.39877104377104378"/>
    <n v="0"/>
    <n v="42.321228956228957"/>
    <n v="21.160614478114478"/>
    <x v="23"/>
    <x v="1"/>
    <x v="7"/>
    <d v="2024-12-16T00:00:00"/>
    <x v="0"/>
    <x v="0"/>
    <x v="2"/>
    <s v="ENTREGUE"/>
    <d v="2024-11-24T00:00:00"/>
    <x v="0"/>
    <m/>
    <n v="0"/>
    <n v="0"/>
    <n v="0"/>
    <n v="0"/>
    <n v="0"/>
  </r>
  <r>
    <x v="0"/>
    <s v="BV45604"/>
    <s v="Pedido 322"/>
    <d v="2024-11-08T00:00:00"/>
    <x v="21"/>
    <s v="PedidoF315"/>
    <s v="CódRastreio315"/>
    <n v="1"/>
    <s v="CPF 316"/>
    <s v="Nome 316"/>
    <s v="Tel 316"/>
    <s v="Cep 316"/>
    <s v="Rua 316"/>
    <s v="Comp 316"/>
    <s v="Ventilador de teto"/>
    <s v="ZO-J9IL-EN6L"/>
    <d v="2024-12-03T00:00:00"/>
    <n v="49.99"/>
    <n v="49.99"/>
    <n v="6.9986000000000006"/>
    <n v="42.99"/>
    <n v="7.27"/>
    <n v="0.27"/>
    <n v="0.39877104377104378"/>
    <n v="0"/>
    <n v="35.051228956228961"/>
    <n v="17.52561447811448"/>
    <x v="22"/>
    <x v="25"/>
    <x v="1"/>
    <d v="2024-12-16T00:00:00"/>
    <x v="0"/>
    <x v="0"/>
    <x v="2"/>
    <s v="ENTREGUE"/>
    <d v="2024-11-21T00:00:00"/>
    <x v="0"/>
    <m/>
    <n v="0"/>
    <n v="0"/>
    <n v="0"/>
    <n v="0"/>
    <n v="0"/>
  </r>
  <r>
    <x v="0"/>
    <s v="BV45604"/>
    <s v="Pedido 323"/>
    <d v="2024-11-08T00:00:00"/>
    <x v="21"/>
    <s v="PedidoF316"/>
    <s v="CódRastreio316"/>
    <n v="1"/>
    <s v="CPF 317"/>
    <s v="Nome 317"/>
    <s v="Tel 317"/>
    <s v="Cep 317"/>
    <s v="Rua 317"/>
    <s v="Comp 317"/>
    <s v="Mini Liquidificador"/>
    <s v="CK-YL6M-P5Y6"/>
    <d v="2024-12-03T00:00:00"/>
    <n v="32.299999999999997"/>
    <n v="32.299999999999997"/>
    <n v="4.1989999999999998"/>
    <n v="28.1"/>
    <n v="11.99"/>
    <n v="0.27"/>
    <n v="0.39877104377104378"/>
    <n v="0"/>
    <n v="15.441228956228958"/>
    <n v="7.720614478114479"/>
    <x v="22"/>
    <x v="25"/>
    <x v="1"/>
    <d v="2024-12-16T00:00:00"/>
    <x v="0"/>
    <x v="0"/>
    <x v="2"/>
    <s v="ENTREGUE"/>
    <d v="2024-11-15T00:00:00"/>
    <x v="0"/>
    <m/>
    <n v="0"/>
    <n v="0"/>
    <n v="0"/>
    <n v="0"/>
    <n v="0"/>
  </r>
  <r>
    <x v="0"/>
    <s v="BV45604"/>
    <s v="Pedido 324"/>
    <d v="2024-11-08T00:00:00"/>
    <x v="21"/>
    <s v="PedidoF317"/>
    <s v="CódRastreio317"/>
    <n v="1"/>
    <s v="CPF 318"/>
    <s v="Nome 318"/>
    <s v="Tel 318"/>
    <s v="Cep 318"/>
    <s v="Rua 318"/>
    <s v="Comp 318"/>
    <s v="Ventilador de teto"/>
    <s v="ZO-J9IL-EN6L"/>
    <d v="2024-12-14T00:00:00"/>
    <n v="49.99"/>
    <n v="49.99"/>
    <n v="6.9986000000000006"/>
    <n v="42.99"/>
    <n v="7.27"/>
    <n v="0.27"/>
    <n v="0.39877104377104378"/>
    <n v="0"/>
    <n v="35.051228956228961"/>
    <n v="17.52561447811448"/>
    <x v="30"/>
    <x v="32"/>
    <x v="0"/>
    <d v="2025-01-02T00:00:00"/>
    <x v="0"/>
    <x v="0"/>
    <x v="2"/>
    <s v="ENTREGUE"/>
    <d v="2024-12-10T00:00:00"/>
    <x v="0"/>
    <m/>
    <n v="0"/>
    <n v="0"/>
    <n v="0"/>
    <n v="0"/>
    <n v="0"/>
  </r>
  <r>
    <x v="0"/>
    <s v="BV45604"/>
    <s v="Pedido 325"/>
    <d v="2024-11-08T00:00:00"/>
    <x v="21"/>
    <s v="PedidoF318"/>
    <s v="CódRastreio318"/>
    <n v="1"/>
    <s v="CPF 319"/>
    <s v="Nome 319"/>
    <s v="Tel 319"/>
    <s v="Cep 319"/>
    <s v="Rua 319"/>
    <s v="Comp 319"/>
    <s v="Bomba d'agua"/>
    <s v="DJ-RO5O-43GF"/>
    <d v="2024-11-27T00:00:00"/>
    <n v="18.5"/>
    <n v="18.5"/>
    <n v="2.5900000000000003"/>
    <n v="15.91"/>
    <n v="6.57"/>
    <n v="0.27"/>
    <n v="0.39877104377104378"/>
    <n v="0"/>
    <n v="8.6712289562289566"/>
    <n v="4.3356144781144783"/>
    <x v="20"/>
    <x v="20"/>
    <x v="1"/>
    <d v="2024-12-16T00:00:00"/>
    <x v="0"/>
    <x v="0"/>
    <x v="2"/>
    <s v="ENTREGUE"/>
    <d v="2024-11-13T00:00:00"/>
    <x v="0"/>
    <m/>
    <n v="0"/>
    <n v="0"/>
    <n v="0"/>
    <n v="0"/>
    <n v="0"/>
  </r>
  <r>
    <x v="0"/>
    <s v="BV45604"/>
    <s v="Pedido 326"/>
    <d v="2024-11-08T00:00:00"/>
    <x v="21"/>
    <s v="PedidoF319"/>
    <s v="CódRastreio319"/>
    <n v="1"/>
    <s v="CPF 320"/>
    <s v="Nome 320"/>
    <s v="Tel 320"/>
    <s v="Cep 320"/>
    <s v="Rua 320"/>
    <s v="Comp 320"/>
    <s v="Suporte de Celular Preto"/>
    <s v="9G-BN48-QAPH"/>
    <d v="2024-11-29T00:00:00"/>
    <n v="19.3"/>
    <n v="19.3"/>
    <n v="2.895"/>
    <n v="16.41"/>
    <n v="4.99"/>
    <n v="0.27"/>
    <n v="0.39877104377104378"/>
    <n v="0"/>
    <n v="10.751228956228957"/>
    <n v="5.3756144781144783"/>
    <x v="27"/>
    <x v="29"/>
    <x v="1"/>
    <d v="2024-12-16T00:00:00"/>
    <x v="0"/>
    <x v="0"/>
    <x v="2"/>
    <s v="ENTREGUE"/>
    <d v="2024-11-26T00:00:00"/>
    <x v="0"/>
    <m/>
    <n v="0"/>
    <n v="0"/>
    <n v="0"/>
    <n v="0"/>
    <n v="0"/>
  </r>
  <r>
    <x v="0"/>
    <s v="BV45604"/>
    <s v="Pedido 327"/>
    <d v="2024-11-08T00:00:00"/>
    <x v="21"/>
    <s v="PedidoF320"/>
    <s v="CódRastreio320"/>
    <n v="1"/>
    <s v="CPF 321"/>
    <s v="Nome 321"/>
    <s v="Tel 321"/>
    <s v="Cep 321"/>
    <s v="Rua 321"/>
    <s v="Comp 321"/>
    <s v="Ventilador de teto"/>
    <s v="ZO-J9IL-EN6L"/>
    <d v="2024-12-07T00:00:00"/>
    <n v="49.99"/>
    <n v="49.99"/>
    <n v="6.9986000000000006"/>
    <n v="42.99"/>
    <n v="7.27"/>
    <n v="0.27"/>
    <n v="0.39877104377104378"/>
    <n v="0"/>
    <n v="35.051228956228961"/>
    <n v="17.52561447811448"/>
    <x v="23"/>
    <x v="26"/>
    <x v="7"/>
    <d v="2024-12-16T00:00:00"/>
    <x v="0"/>
    <x v="0"/>
    <x v="2"/>
    <s v="ENTREGUE"/>
    <d v="2024-11-19T00:00:00"/>
    <x v="0"/>
    <m/>
    <n v="0"/>
    <n v="0"/>
    <n v="0"/>
    <n v="0"/>
    <n v="0"/>
  </r>
  <r>
    <x v="0"/>
    <s v="BV45604"/>
    <s v="Pedido 328"/>
    <d v="2024-11-08T00:00:00"/>
    <x v="21"/>
    <s v="PedidoF321"/>
    <s v="CódRastreio321"/>
    <n v="1"/>
    <s v="CPF 322"/>
    <s v="Nome 322"/>
    <s v="Tel 322"/>
    <s v="Cep 322"/>
    <s v="Rua 322"/>
    <s v="Comp 322"/>
    <s v="Ventilador de teto"/>
    <s v="ZO-J9IL-EN6L"/>
    <d v="2024-12-14T00:00:00"/>
    <n v="49.99"/>
    <n v="49.99"/>
    <n v="6.9986000000000006"/>
    <n v="42.99"/>
    <n v="7.27"/>
    <n v="0.27"/>
    <n v="0.39877104377104378"/>
    <n v="0"/>
    <n v="35.051228956228961"/>
    <n v="17.52561447811448"/>
    <x v="30"/>
    <x v="32"/>
    <x v="0"/>
    <d v="2025-01-02T00:00:00"/>
    <x v="0"/>
    <x v="0"/>
    <x v="2"/>
    <s v="ENTREGUE"/>
    <d v="2024-11-26T00:00:00"/>
    <x v="0"/>
    <m/>
    <n v="0"/>
    <n v="0"/>
    <n v="0"/>
    <n v="0"/>
    <n v="0"/>
  </r>
  <r>
    <x v="0"/>
    <s v="BV45604"/>
    <s v="Pedido 329"/>
    <d v="2024-11-08T00:00:00"/>
    <x v="21"/>
    <s v="PedidoF322"/>
    <s v="CódRastreio322"/>
    <n v="1"/>
    <s v="CPF 323"/>
    <s v="Nome 323"/>
    <s v="Tel 323"/>
    <s v="Cep 323"/>
    <s v="Rua 323"/>
    <s v="Comp 323"/>
    <s v="Ventilador de teto"/>
    <s v="ZO-J9IL-EN6L"/>
    <d v="2024-12-03T00:00:00"/>
    <n v="49.99"/>
    <n v="49.99"/>
    <n v="6.9986000000000006"/>
    <n v="42.99"/>
    <n v="7.27"/>
    <n v="0.27"/>
    <n v="0.39877104377104378"/>
    <n v="0"/>
    <n v="35.051228956228961"/>
    <n v="17.52561447811448"/>
    <x v="22"/>
    <x v="25"/>
    <x v="1"/>
    <d v="2024-12-16T00:00:00"/>
    <x v="0"/>
    <x v="0"/>
    <x v="2"/>
    <s v="ENTREGUE"/>
    <d v="2024-11-22T00:00:00"/>
    <x v="0"/>
    <m/>
    <n v="0"/>
    <n v="0"/>
    <n v="0"/>
    <n v="0"/>
    <n v="0"/>
  </r>
  <r>
    <x v="0"/>
    <s v="BV45608"/>
    <s v="Pedido 330"/>
    <d v="2024-11-12T00:00:00"/>
    <x v="24"/>
    <s v="PedidoF323"/>
    <s v="CódRastreio323"/>
    <n v="1"/>
    <s v="CPF 324"/>
    <s v="Nome 324"/>
    <s v="Tel 324"/>
    <s v="Cep 324"/>
    <s v="Rua 324"/>
    <s v="Comp 324"/>
    <s v="Ventilador de teto"/>
    <s v="ZO-J9IL-EN6L"/>
    <d v="2024-12-05T00:00:00"/>
    <n v="29.76"/>
    <n v="29.76"/>
    <n v="4.1664000000000003"/>
    <n v="25.59"/>
    <n v="7.29"/>
    <n v="0.2"/>
    <n v="0.39877104377104378"/>
    <n v="0"/>
    <n v="17.701228956228956"/>
    <n v="8.850614478114478"/>
    <x v="28"/>
    <x v="30"/>
    <x v="7"/>
    <d v="2024-12-16T00:00:00"/>
    <x v="0"/>
    <x v="0"/>
    <x v="2"/>
    <s v="ENTREGUE"/>
    <d v="2024-11-28T00:00:00"/>
    <x v="0"/>
    <m/>
    <n v="0"/>
    <n v="0"/>
    <n v="0"/>
    <n v="0"/>
    <n v="0"/>
  </r>
  <r>
    <x v="0"/>
    <s v="BV45608"/>
    <s v="Pedido 330"/>
    <d v="2024-11-12T00:00:00"/>
    <x v="24"/>
    <s v="PedidoF323"/>
    <s v="CódRastreio323"/>
    <n v="1"/>
    <s v="CPF 324"/>
    <s v="Nome 324"/>
    <s v="Tel 324"/>
    <s v="Cep 324"/>
    <s v="Rua 324"/>
    <s v="Comp 324"/>
    <s v="Ventilador de teto"/>
    <s v="ZO-J9IL-EN6L"/>
    <d v="2024-12-05T00:00:00"/>
    <n v="29.75"/>
    <n v="29.75"/>
    <n v="4.165"/>
    <n v="25.59"/>
    <n v="0"/>
    <n v="0.2"/>
    <n v="0.39877104377104378"/>
    <n v="0"/>
    <n v="24.991228956228955"/>
    <n v="12.495614478114478"/>
    <x v="28"/>
    <x v="30"/>
    <x v="7"/>
    <d v="2024-12-16T00:00:00"/>
    <x v="0"/>
    <x v="0"/>
    <x v="2"/>
    <s v="ENTREGUE"/>
    <d v="2024-11-28T00:00:00"/>
    <x v="0"/>
    <m/>
    <n v="0"/>
    <n v="0"/>
    <n v="0"/>
    <n v="0"/>
    <n v="0"/>
  </r>
  <r>
    <x v="0"/>
    <s v="BV45605"/>
    <s v="Pedido 331"/>
    <d v="2024-11-09T00:00:00"/>
    <x v="23"/>
    <s v="PedidoF324"/>
    <s v="CódRastreio324"/>
    <n v="1"/>
    <s v="CPF 325"/>
    <s v="Nome 325"/>
    <s v="Tel 325"/>
    <s v="Cep 325"/>
    <s v="Rua 325"/>
    <s v="Comp 325"/>
    <s v="Ventilador de teto"/>
    <s v="ZO-J9IL-EN6L"/>
    <d v="2024-12-03T00:00:00"/>
    <n v="59.5"/>
    <n v="59.5"/>
    <n v="8.33"/>
    <n v="51.17"/>
    <n v="7.27"/>
    <n v="0.2"/>
    <n v="0.39877104377104378"/>
    <n v="0"/>
    <n v="43.301228956228961"/>
    <n v="21.65061447811448"/>
    <x v="22"/>
    <x v="25"/>
    <x v="1"/>
    <d v="2024-12-16T00:00:00"/>
    <x v="0"/>
    <x v="0"/>
    <x v="2"/>
    <s v="ENTREGUE"/>
    <d v="2024-11-28T00:00:00"/>
    <x v="0"/>
    <m/>
    <n v="0"/>
    <n v="0"/>
    <n v="0"/>
    <n v="0"/>
    <n v="0"/>
  </r>
  <r>
    <x v="0"/>
    <s v="BV45605"/>
    <s v="Pedido 332"/>
    <d v="2024-11-09T00:00:00"/>
    <x v="23"/>
    <s v="PedidoF325"/>
    <s v="CódRastreio325"/>
    <n v="1"/>
    <s v="CPF 326"/>
    <s v="Nome 326"/>
    <s v="Tel 326"/>
    <s v="Cep 326"/>
    <s v="Rua 326"/>
    <s v="Comp 326"/>
    <s v="Mini Liquidificador"/>
    <s v="CK-YL6M-P5Y6"/>
    <d v="2024-12-03T00:00:00"/>
    <n v="32.299999999999997"/>
    <n v="32.299999999999997"/>
    <n v="4.1989999999999998"/>
    <n v="28.1"/>
    <n v="11.99"/>
    <n v="0.2"/>
    <n v="0.39877104377104378"/>
    <n v="0"/>
    <n v="15.511228956228958"/>
    <n v="7.7556144781144791"/>
    <x v="22"/>
    <x v="25"/>
    <x v="1"/>
    <d v="2024-12-16T00:00:00"/>
    <x v="0"/>
    <x v="0"/>
    <x v="2"/>
    <s v="ENTREGUE"/>
    <d v="2024-11-16T00:00:00"/>
    <x v="0"/>
    <m/>
    <n v="0"/>
    <n v="0"/>
    <n v="0"/>
    <n v="0"/>
    <n v="0"/>
  </r>
  <r>
    <x v="0"/>
    <s v="BV45605"/>
    <s v="Pedido 333"/>
    <d v="2024-11-09T00:00:00"/>
    <x v="23"/>
    <s v="PedidoF326"/>
    <s v="CódRastreio326"/>
    <n v="1"/>
    <s v="CPF 327"/>
    <s v="Nome 327"/>
    <s v="Tel 327"/>
    <s v="Cep 327"/>
    <s v="Rua 327"/>
    <s v="Comp 327"/>
    <s v="Ventilador de teto"/>
    <s v="ZO-J9IL-EN6L"/>
    <d v="2024-12-03T00:00:00"/>
    <n v="59.5"/>
    <n v="59.5"/>
    <n v="8.33"/>
    <n v="51.17"/>
    <n v="7.27"/>
    <n v="0.2"/>
    <n v="0.39877104377104378"/>
    <n v="0"/>
    <n v="43.301228956228961"/>
    <n v="21.65061447811448"/>
    <x v="22"/>
    <x v="25"/>
    <x v="1"/>
    <d v="2024-12-16T00:00:00"/>
    <x v="0"/>
    <x v="0"/>
    <x v="2"/>
    <s v="ENTREGUE"/>
    <d v="2024-11-21T00:00:00"/>
    <x v="0"/>
    <m/>
    <n v="0"/>
    <n v="0"/>
    <n v="0"/>
    <n v="0"/>
    <n v="0"/>
  </r>
  <r>
    <x v="0"/>
    <s v="BV45605"/>
    <s v="Pedido 334"/>
    <d v="2024-11-09T00:00:00"/>
    <x v="23"/>
    <s v="PedidoF327"/>
    <s v="CódRastreio327"/>
    <n v="1"/>
    <s v="CPF 328"/>
    <s v="Nome 328"/>
    <s v="Tel 328"/>
    <s v="Cep 328"/>
    <s v="Rua 328"/>
    <s v="Comp 328"/>
    <s v="Ventilador de teto"/>
    <s v="ZO-J9IL-EN6L"/>
    <d v="2024-12-07T00:00:00"/>
    <n v="59.5"/>
    <n v="59.5"/>
    <n v="8.33"/>
    <n v="51.17"/>
    <n v="7.27"/>
    <n v="0.2"/>
    <n v="0.39877104377104378"/>
    <n v="0"/>
    <n v="43.301228956228961"/>
    <n v="21.65061447811448"/>
    <x v="23"/>
    <x v="26"/>
    <x v="7"/>
    <d v="2024-12-16T00:00:00"/>
    <x v="0"/>
    <x v="0"/>
    <x v="2"/>
    <s v="ENTREGUE"/>
    <d v="2024-11-22T00:00:00"/>
    <x v="0"/>
    <m/>
    <n v="0"/>
    <n v="0"/>
    <n v="0"/>
    <n v="0"/>
    <n v="0"/>
  </r>
  <r>
    <x v="0"/>
    <s v="BV45605"/>
    <s v="Pedido 335"/>
    <d v="2024-11-09T00:00:00"/>
    <x v="23"/>
    <s v="PedidoF328"/>
    <s v="CódRastreio328"/>
    <n v="1"/>
    <s v="CPF 329"/>
    <s v="Nome 329"/>
    <s v="Tel 329"/>
    <s v="Cep 329"/>
    <s v="Rua 329"/>
    <s v="Comp 329"/>
    <s v="Mini Liquidificador"/>
    <s v="CK-YL6M-P5Y6"/>
    <d v="2024-12-03T00:00:00"/>
    <n v="32.299999999999997"/>
    <n v="32.299999999999997"/>
    <n v="4.1989999999999998"/>
    <n v="28.1"/>
    <n v="11.99"/>
    <n v="0.2"/>
    <n v="0.39877104377104378"/>
    <n v="0"/>
    <n v="15.511228956228958"/>
    <n v="7.7556144781144791"/>
    <x v="22"/>
    <x v="25"/>
    <x v="1"/>
    <d v="2024-12-16T00:00:00"/>
    <x v="0"/>
    <x v="0"/>
    <x v="2"/>
    <s v="ENTREGUE"/>
    <d v="2024-11-17T00:00:00"/>
    <x v="0"/>
    <m/>
    <n v="0"/>
    <n v="0"/>
    <n v="0"/>
    <n v="0"/>
    <n v="0"/>
  </r>
  <r>
    <x v="0"/>
    <s v="BV45607"/>
    <s v="Pedido 336"/>
    <d v="2024-11-11T00:00:00"/>
    <x v="25"/>
    <s v="PedidoF329"/>
    <s v="CódRastreio329"/>
    <n v="1"/>
    <s v="CPF 330"/>
    <s v="Nome 330"/>
    <s v="Tel 330"/>
    <s v="Cep 330"/>
    <s v="Rua 330"/>
    <s v="Comp 330"/>
    <s v="Ventilador Azul"/>
    <s v="U8-2VWS-OB6M"/>
    <d v="2024-12-07T00:00:00"/>
    <n v="100"/>
    <n v="100"/>
    <n v="13"/>
    <n v="87"/>
    <n v="7.29"/>
    <n v="0.23"/>
    <n v="0.39877104377104378"/>
    <n v="0"/>
    <n v="79.081228956228955"/>
    <n v="39.540614478114477"/>
    <x v="23"/>
    <x v="26"/>
    <x v="7"/>
    <d v="2024-12-16T00:00:00"/>
    <x v="0"/>
    <x v="0"/>
    <x v="2"/>
    <s v="ENTREGUE"/>
    <d v="2024-11-26T00:00:00"/>
    <x v="0"/>
    <m/>
    <n v="0"/>
    <n v="0"/>
    <n v="0"/>
    <n v="0"/>
    <n v="0"/>
  </r>
  <r>
    <x v="0"/>
    <s v="BV45607"/>
    <s v="Pedido 337"/>
    <d v="2024-11-11T00:00:00"/>
    <x v="25"/>
    <s v="PedidoF330"/>
    <s v="CódRastreio330"/>
    <n v="1"/>
    <s v="CPF 331"/>
    <s v="Nome 331"/>
    <s v="Tel 331"/>
    <s v="Cep 331"/>
    <s v="Rua 331"/>
    <s v="Comp 331"/>
    <s v="Ventilador Umidificador"/>
    <s v="VF-9FSV-ZMGN"/>
    <d v="2024-12-14T00:00:00"/>
    <n v="60"/>
    <n v="60"/>
    <n v="8.4"/>
    <n v="51.6"/>
    <n v="7.29"/>
    <n v="0.23"/>
    <n v="0.39877104377104378"/>
    <n v="0"/>
    <n v="43.681228956228956"/>
    <n v="21.840614478114478"/>
    <x v="30"/>
    <x v="32"/>
    <x v="0"/>
    <d v="2025-01-02T00:00:00"/>
    <x v="0"/>
    <x v="0"/>
    <x v="2"/>
    <s v="ENTREGUE"/>
    <d v="2024-11-27T00:00:00"/>
    <x v="0"/>
    <m/>
    <n v="0"/>
    <n v="0"/>
    <n v="0"/>
    <n v="0"/>
    <n v="0"/>
  </r>
  <r>
    <x v="0"/>
    <s v="BV45607"/>
    <s v="Pedido 338"/>
    <d v="2024-11-11T00:00:00"/>
    <x v="25"/>
    <s v="PedidoF331"/>
    <s v="CódRastreio331"/>
    <n v="1"/>
    <s v="CPF 332"/>
    <s v="Nome 332"/>
    <s v="Tel 332"/>
    <s v="Cep 332"/>
    <s v="Rua 332"/>
    <s v="Comp 332"/>
    <s v="Bomba d'agua"/>
    <s v="DJ-RO5O-43GF"/>
    <d v="2024-11-28T00:00:00"/>
    <n v="16.8"/>
    <n v="16.8"/>
    <n v="2.3520000000000003"/>
    <n v="14.45"/>
    <n v="6.57"/>
    <n v="0.23"/>
    <n v="0.39877104377104378"/>
    <n v="0"/>
    <n v="7.2512289562289549"/>
    <n v="3.6256144781144775"/>
    <x v="17"/>
    <x v="16"/>
    <x v="1"/>
    <d v="2024-12-16T00:00:00"/>
    <x v="0"/>
    <x v="0"/>
    <x v="2"/>
    <s v="ENTREGUE"/>
    <d v="2024-11-15T00:00:00"/>
    <x v="0"/>
    <m/>
    <n v="0"/>
    <n v="0"/>
    <n v="0"/>
    <n v="0"/>
    <n v="0"/>
  </r>
  <r>
    <x v="0"/>
    <s v="BV45607"/>
    <s v="Pedido 339"/>
    <d v="2024-11-11T00:00:00"/>
    <x v="25"/>
    <s v="PedidoF332"/>
    <s v="CódRastreio332"/>
    <n v="1"/>
    <s v="CPF 333"/>
    <s v="Nome 333"/>
    <s v="Tel 333"/>
    <s v="Cep 333"/>
    <s v="Rua 333"/>
    <s v="Comp 333"/>
    <s v="Ventilador de teto"/>
    <s v="ZO-J9IL-EN6L"/>
    <d v="2024-12-10T00:00:00"/>
    <n v="59.5"/>
    <n v="59.5"/>
    <n v="8.33"/>
    <n v="51.17"/>
    <n v="10.31"/>
    <n v="0.23"/>
    <n v="0.39877104377104378"/>
    <n v="0"/>
    <n v="40.231228956228961"/>
    <n v="20.11561447811448"/>
    <x v="24"/>
    <x v="23"/>
    <x v="0"/>
    <d v="2025-01-02T00:00:00"/>
    <x v="0"/>
    <x v="0"/>
    <x v="2"/>
    <s v="ENTREGUE"/>
    <d v="2024-11-21T00:00:00"/>
    <x v="0"/>
    <m/>
    <n v="0"/>
    <n v="0"/>
    <n v="0"/>
    <n v="0"/>
    <n v="0"/>
  </r>
  <r>
    <x v="0"/>
    <s v="BV45608"/>
    <s v="Pedido 340"/>
    <d v="2024-11-12T00:00:00"/>
    <x v="24"/>
    <s v="PedidoF333"/>
    <s v="CódRastreio333"/>
    <n v="1"/>
    <s v="CPF 334"/>
    <s v="Nome 334"/>
    <s v="Tel 334"/>
    <s v="Cep 334"/>
    <s v="Rua 334"/>
    <s v="Comp 334"/>
    <s v="Ventilador de teto"/>
    <s v="ZO-J9IL-EN6L"/>
    <d v="2024-12-05T00:00:00"/>
    <n v="59.5"/>
    <n v="59.5"/>
    <n v="8.33"/>
    <n v="51.17"/>
    <n v="7.29"/>
    <n v="0.2"/>
    <n v="0.39877104377104378"/>
    <n v="0"/>
    <n v="43.281228956228958"/>
    <n v="21.640614478114479"/>
    <x v="28"/>
    <x v="30"/>
    <x v="7"/>
    <d v="2024-12-16T00:00:00"/>
    <x v="0"/>
    <x v="0"/>
    <x v="2"/>
    <s v="ENTREGUE"/>
    <d v="2024-11-25T00:00:00"/>
    <x v="0"/>
    <m/>
    <n v="0"/>
    <n v="0"/>
    <n v="0"/>
    <n v="0"/>
    <n v="0"/>
  </r>
  <r>
    <x v="0"/>
    <s v="BV45607"/>
    <s v="Pedido 341"/>
    <d v="2024-11-11T00:00:00"/>
    <x v="25"/>
    <s v="PedidoF334"/>
    <s v="CódRastreio334"/>
    <n v="1"/>
    <s v="CPF 335"/>
    <s v="Nome 335"/>
    <s v="Tel 335"/>
    <s v="Cep 335"/>
    <s v="Rua 335"/>
    <s v="Comp 335"/>
    <s v="Bomba d'agua"/>
    <s v="DJ-RO5O-43GF"/>
    <d v="2024-11-28T00:00:00"/>
    <n v="16.8"/>
    <n v="16.8"/>
    <n v="2.3520000000000003"/>
    <n v="14.45"/>
    <n v="6.57"/>
    <n v="0.23"/>
    <n v="0.39877104377104378"/>
    <n v="0"/>
    <n v="7.2512289562289549"/>
    <n v="3.6256144781144775"/>
    <x v="17"/>
    <x v="16"/>
    <x v="1"/>
    <d v="2024-12-16T00:00:00"/>
    <x v="0"/>
    <x v="0"/>
    <x v="2"/>
    <s v="ENTREGUE"/>
    <d v="2024-11-20T00:00:00"/>
    <x v="0"/>
    <m/>
    <n v="0"/>
    <n v="0"/>
    <n v="0"/>
    <n v="0"/>
    <n v="0"/>
  </r>
  <r>
    <x v="0"/>
    <s v="BV45607"/>
    <s v="Pedido 342"/>
    <d v="2024-11-11T00:00:00"/>
    <x v="25"/>
    <s v="PedidoF335"/>
    <s v="CódRastreio335"/>
    <n v="1"/>
    <s v="CPF 336"/>
    <s v="Nome 336"/>
    <s v="Tel 336"/>
    <s v="Cep 336"/>
    <s v="Rua 336"/>
    <s v="Comp 336"/>
    <s v="Ventilador Umidificador"/>
    <s v="VF-9FSV-ZMGN"/>
    <d v="2024-12-10T00:00:00"/>
    <n v="65.989999999999995"/>
    <n v="65.989999999999995"/>
    <n v="9.2385999999999999"/>
    <n v="56.75"/>
    <n v="7.29"/>
    <n v="0.23"/>
    <n v="0.39877104377104378"/>
    <n v="0"/>
    <n v="48.831228956228955"/>
    <n v="24.415614478114477"/>
    <x v="24"/>
    <x v="23"/>
    <x v="0"/>
    <d v="2025-01-02T00:00:00"/>
    <x v="0"/>
    <x v="0"/>
    <x v="2"/>
    <s v="ENTREGUE"/>
    <d v="2024-11-22T00:00:00"/>
    <x v="0"/>
    <m/>
    <n v="0"/>
    <n v="0"/>
    <n v="0"/>
    <n v="0"/>
    <n v="0"/>
  </r>
  <r>
    <x v="0"/>
    <s v="BV45607"/>
    <s v="Pedido 343"/>
    <d v="2024-11-11T00:00:00"/>
    <x v="25"/>
    <s v="PedidoF336"/>
    <s v="CódRastreio336"/>
    <n v="1"/>
    <s v="CPF 337"/>
    <s v="Nome 337"/>
    <s v="Tel 337"/>
    <s v="Cep 337"/>
    <s v="Rua 337"/>
    <s v="Comp 337"/>
    <s v="Ventilador Umidificador"/>
    <s v="VF-9FSV-ZMGN"/>
    <d v="2024-12-04T00:00:00"/>
    <n v="65.989999999999995"/>
    <n v="65.989999999999995"/>
    <n v="9.2385999999999999"/>
    <n v="56.75"/>
    <n v="0"/>
    <n v="0.23"/>
    <n v="0.39877104377104378"/>
    <n v="0"/>
    <n v="56.121228956228954"/>
    <n v="28.060614478114477"/>
    <x v="25"/>
    <x v="33"/>
    <x v="1"/>
    <d v="2024-12-16T00:00:00"/>
    <x v="0"/>
    <x v="0"/>
    <x v="2"/>
    <s v="ENTREGUE"/>
    <d v="2025-01-10T00:00:00"/>
    <x v="0"/>
    <m/>
    <n v="0"/>
    <n v="0"/>
    <n v="0"/>
    <n v="0"/>
    <n v="0"/>
  </r>
  <r>
    <x v="0"/>
    <s v="BV45607"/>
    <s v="Pedido 344"/>
    <d v="2024-11-11T00:00:00"/>
    <x v="25"/>
    <s v="PedidoF337"/>
    <s v="CódRastreio337"/>
    <n v="1"/>
    <s v="CPF 338"/>
    <s v="Nome 338"/>
    <s v="Tel 338"/>
    <s v="Cep 338"/>
    <s v="Rua 338"/>
    <s v="Comp 338"/>
    <s v="Ventilador Preto"/>
    <s v="MU-J80P-95WF"/>
    <d v="2024-12-04T00:00:00"/>
    <n v="65.989999999999995"/>
    <n v="65.989999999999995"/>
    <n v="8.5786999999999995"/>
    <n v="57.41"/>
    <n v="7.29"/>
    <n v="0.23"/>
    <n v="0.39877104377104378"/>
    <n v="0"/>
    <n v="49.491228956228952"/>
    <n v="24.745614478114476"/>
    <x v="25"/>
    <x v="27"/>
    <x v="1"/>
    <d v="2024-12-16T00:00:00"/>
    <x v="0"/>
    <x v="0"/>
    <x v="2"/>
    <s v="ENTREGUE"/>
    <d v="2024-11-21T00:00:00"/>
    <x v="0"/>
    <m/>
    <n v="0"/>
    <n v="0"/>
    <n v="0"/>
    <n v="0"/>
    <n v="0"/>
  </r>
  <r>
    <x v="0"/>
    <s v="BV45608"/>
    <s v="Pedido 345"/>
    <d v="2024-11-12T00:00:00"/>
    <x v="24"/>
    <s v="PedidoF338"/>
    <s v="CódRastreio338"/>
    <n v="1"/>
    <s v="CPF 339"/>
    <s v="Nome 339"/>
    <s v="Tel 339"/>
    <s v="Cep 339"/>
    <s v="Rua 339"/>
    <s v="Comp 339"/>
    <s v="Copo Termico"/>
    <s v="KN-TBQL-K2MM"/>
    <d v="2024-12-11T00:00:00"/>
    <n v="17.399999999999999"/>
    <n v="17.399999999999999"/>
    <n v="2.262"/>
    <n v="15.14"/>
    <n v="5.2"/>
    <n v="0.2"/>
    <n v="0.39877104377104378"/>
    <n v="0"/>
    <n v="9.3412289562289565"/>
    <n v="4.6706144781144783"/>
    <x v="26"/>
    <x v="28"/>
    <x v="0"/>
    <d v="2025-01-02T00:00:00"/>
    <x v="0"/>
    <x v="0"/>
    <x v="2"/>
    <s v="ENTREGUE"/>
    <d v="2024-11-19T00:00:00"/>
    <x v="0"/>
    <m/>
    <n v="0"/>
    <n v="0"/>
    <n v="0"/>
    <n v="0"/>
    <n v="0"/>
  </r>
  <r>
    <x v="0"/>
    <s v="BV45609"/>
    <s v="Pedido 346"/>
    <d v="2024-11-13T00:00:00"/>
    <x v="26"/>
    <s v="PedidoF339"/>
    <s v="CódRastreio339"/>
    <n v="1"/>
    <s v="CPF 339"/>
    <s v="Nome 339"/>
    <s v="Tel 339"/>
    <s v="Cep 339"/>
    <s v="Rua 339"/>
    <s v="Comp 339"/>
    <s v="Copo Termico"/>
    <s v="KN-TBQL-K2MM"/>
    <d v="2024-12-11T00:00:00"/>
    <n v="17.399999999999999"/>
    <n v="17.399999999999999"/>
    <n v="2.262"/>
    <n v="15.14"/>
    <n v="6.99"/>
    <n v="0.33"/>
    <n v="0.39877104377104378"/>
    <n v="0"/>
    <n v="7.4212289562289566"/>
    <n v="3.7106144781144783"/>
    <x v="26"/>
    <x v="28"/>
    <x v="0"/>
    <d v="2025-01-02T00:00:00"/>
    <x v="0"/>
    <x v="0"/>
    <x v="2"/>
    <s v="ENTREGUE"/>
    <d v="2024-11-19T00:00:00"/>
    <x v="0"/>
    <m/>
    <n v="0"/>
    <n v="0"/>
    <n v="0"/>
    <n v="0"/>
    <n v="0"/>
  </r>
  <r>
    <x v="0"/>
    <s v="BV45608"/>
    <s v="Pedido 347"/>
    <d v="2024-11-12T00:00:00"/>
    <x v="24"/>
    <s v="PedidoF340"/>
    <s v="CódRastreio340"/>
    <n v="1"/>
    <s v="CPF 340"/>
    <s v="Nome 340"/>
    <s v="Tel 340"/>
    <s v="Cep 340"/>
    <s v="Rua 340"/>
    <s v="Comp 340"/>
    <s v="Ventilador Umidificador Preto"/>
    <s v="HF-SI0F-XC7S"/>
    <d v="2024-12-05T00:00:00"/>
    <n v="54.5"/>
    <n v="54.5"/>
    <n v="7.6300000000000008"/>
    <n v="46.87"/>
    <n v="7.29"/>
    <n v="0.2"/>
    <n v="0.39877104377104378"/>
    <n v="0"/>
    <n v="38.981228956228954"/>
    <n v="19.490614478114477"/>
    <x v="28"/>
    <x v="30"/>
    <x v="7"/>
    <d v="2024-12-16T00:00:00"/>
    <x v="0"/>
    <x v="0"/>
    <x v="2"/>
    <s v="ENTREGUE"/>
    <d v="2024-11-26T00:00:00"/>
    <x v="0"/>
    <m/>
    <n v="0"/>
    <n v="0"/>
    <n v="0"/>
    <n v="0"/>
    <n v="0"/>
  </r>
  <r>
    <x v="0"/>
    <s v="BV45608"/>
    <s v="Pedido 348"/>
    <d v="2024-11-12T00:00:00"/>
    <x v="24"/>
    <s v="PedidoF341"/>
    <s v="CódRastreio341"/>
    <n v="1"/>
    <s v="CPF 341"/>
    <s v="Nome 341"/>
    <s v="Tel 341"/>
    <s v="Cep 341"/>
    <s v="Rua 341"/>
    <s v="Comp 341"/>
    <s v="Mini Liquidificador"/>
    <s v="CK-YL6M-P5Y6"/>
    <d v="2024-12-11T00:00:00"/>
    <n v="31.5"/>
    <n v="31.5"/>
    <n v="4.0949999999999998"/>
    <n v="27.41"/>
    <n v="0"/>
    <n v="0.2"/>
    <n v="0.39877104377104378"/>
    <n v="0"/>
    <n v="26.811228956228955"/>
    <n v="13.405614478114478"/>
    <x v="26"/>
    <x v="1"/>
    <x v="0"/>
    <d v="2025-01-02T00:00:00"/>
    <x v="0"/>
    <x v="0"/>
    <x v="2"/>
    <s v="ENTREGUE"/>
    <d v="2024-12-16T00:00:00"/>
    <x v="0"/>
    <m/>
    <n v="0"/>
    <n v="0"/>
    <n v="0"/>
    <n v="0"/>
    <n v="0"/>
  </r>
  <r>
    <x v="0"/>
    <s v="BV45608"/>
    <s v="Pedido 349"/>
    <d v="2024-11-12T00:00:00"/>
    <x v="24"/>
    <s v="PedidoF342"/>
    <s v="CódRastreio342"/>
    <n v="1"/>
    <s v="CPF 342"/>
    <s v="Nome 342"/>
    <s v="Tel 342"/>
    <s v="Cep 342"/>
    <s v="Rua 342"/>
    <s v="Comp 342"/>
    <s v="Ventilador Preto"/>
    <s v="MU-J80P-95WF"/>
    <d v="2024-12-11T00:00:00"/>
    <n v="59.5"/>
    <n v="59.5"/>
    <n v="7.7350000000000003"/>
    <n v="51.77"/>
    <n v="7.29"/>
    <n v="0.2"/>
    <n v="0.39877104377104378"/>
    <n v="0"/>
    <n v="43.881228956228959"/>
    <n v="21.94061447811448"/>
    <x v="26"/>
    <x v="28"/>
    <x v="0"/>
    <d v="2025-01-02T00:00:00"/>
    <x v="0"/>
    <x v="0"/>
    <x v="2"/>
    <s v="ENTREGUE"/>
    <d v="2024-12-05T10:15:38"/>
    <x v="0"/>
    <m/>
    <n v="0"/>
    <n v="0"/>
    <n v="0"/>
    <n v="0"/>
    <n v="0"/>
  </r>
  <r>
    <x v="0"/>
    <s v="BV45608"/>
    <s v="Pedido 350"/>
    <d v="2024-11-12T00:00:00"/>
    <x v="24"/>
    <s v="PedidoF343"/>
    <s v="CódRastreio343"/>
    <n v="1"/>
    <s v="CPF 343"/>
    <s v="Nome 343"/>
    <s v="Tel 343"/>
    <s v="Cep 343"/>
    <s v="Rua 343"/>
    <s v="Comp 343"/>
    <s v="Ventilador Preto"/>
    <s v="MU-J80P-95WF"/>
    <d v="2024-12-05T00:00:00"/>
    <n v="59.5"/>
    <n v="59.5"/>
    <n v="7.7350000000000003"/>
    <n v="51.77"/>
    <n v="0"/>
    <n v="0.2"/>
    <n v="0.39877104377104378"/>
    <n v="0"/>
    <n v="51.171228956228958"/>
    <n v="25.585614478114479"/>
    <x v="28"/>
    <x v="31"/>
    <x v="7"/>
    <d v="2024-12-16T00:00:00"/>
    <x v="0"/>
    <x v="0"/>
    <x v="2"/>
    <s v="ENTREGUE"/>
    <d v="2024-11-22T00:00:00"/>
    <x v="0"/>
    <m/>
    <n v="0"/>
    <n v="0"/>
    <n v="0"/>
    <n v="0"/>
    <n v="0"/>
  </r>
  <r>
    <x v="0"/>
    <s v="BV45608"/>
    <s v="Pedido 351"/>
    <d v="2024-11-12T00:00:00"/>
    <x v="24"/>
    <s v="PedidoF344"/>
    <s v="CódRastreio344"/>
    <n v="1"/>
    <s v="CPF 344"/>
    <s v="Nome 344"/>
    <s v="Tel 344"/>
    <s v="Cep 344"/>
    <s v="Rua 344"/>
    <s v="Comp 344"/>
    <s v="Suporte de Celular Branco"/>
    <s v="16-4EDB-WMZF"/>
    <d v="2024-11-29T00:00:00"/>
    <n v="15.5"/>
    <n v="15.5"/>
    <n v="2.3249999999999997"/>
    <n v="13.18"/>
    <n v="4.99"/>
    <n v="0.2"/>
    <n v="0.39877104377104378"/>
    <n v="0"/>
    <n v="7.5912289562289557"/>
    <n v="3.7956144781144778"/>
    <x v="27"/>
    <x v="29"/>
    <x v="1"/>
    <d v="2024-12-16T00:00:00"/>
    <x v="0"/>
    <x v="0"/>
    <x v="2"/>
    <s v="ENTREGUE"/>
    <d v="2024-11-24T00:00:00"/>
    <x v="0"/>
    <m/>
    <n v="0"/>
    <n v="0"/>
    <n v="0"/>
    <n v="0"/>
    <n v="0"/>
  </r>
  <r>
    <x v="0"/>
    <s v="BV45608"/>
    <s v="Pedido 352"/>
    <d v="2024-11-12T00:00:00"/>
    <x v="24"/>
    <s v="PedidoF345"/>
    <s v="CódRastreio345"/>
    <n v="1"/>
    <s v="CPF 345"/>
    <s v="Nome 345"/>
    <s v="Tel 345"/>
    <s v="Cep 345"/>
    <s v="Rua 345"/>
    <s v="Comp 345"/>
    <s v="Adaptador Bluetooph"/>
    <s v="YA-AG3H-SPUK"/>
    <d v="2024-12-05T00:00:00"/>
    <n v="16.989999999999998"/>
    <n v="16.989999999999998"/>
    <n v="2.0387999999999997"/>
    <n v="14.95"/>
    <n v="5.48"/>
    <n v="0.2"/>
    <n v="0.39877104377104378"/>
    <n v="0"/>
    <n v="8.8712289562289541"/>
    <n v="4.4356144781144771"/>
    <x v="28"/>
    <x v="30"/>
    <x v="7"/>
    <d v="2024-12-16T00:00:00"/>
    <x v="0"/>
    <x v="0"/>
    <x v="2"/>
    <s v="ENTREGUE"/>
    <d v="2024-11-21T00:00:00"/>
    <x v="0"/>
    <m/>
    <n v="0"/>
    <n v="0"/>
    <n v="0"/>
    <n v="0"/>
    <n v="0"/>
  </r>
  <r>
    <x v="0"/>
    <s v="BV45608"/>
    <s v="Pedido 353"/>
    <d v="2024-11-12T00:00:00"/>
    <x v="24"/>
    <s v="PedidoF346"/>
    <s v="CódRastreio346"/>
    <n v="1"/>
    <s v="CPF 346"/>
    <s v="Nome 346"/>
    <s v="Tel 346"/>
    <s v="Cep 346"/>
    <s v="Rua 346"/>
    <s v="Comp 346"/>
    <s v="Suporte de Celular Branco"/>
    <s v="16-4EDB-WMZF"/>
    <d v="2024-12-05T00:00:00"/>
    <n v="15.5"/>
    <n v="15.5"/>
    <n v="2.3249999999999997"/>
    <n v="13.18"/>
    <n v="4.99"/>
    <n v="0.2"/>
    <n v="0.39877104377104378"/>
    <n v="0"/>
    <n v="7.5912289562289557"/>
    <n v="3.7956144781144778"/>
    <x v="28"/>
    <x v="30"/>
    <x v="7"/>
    <d v="2024-12-16T00:00:00"/>
    <x v="0"/>
    <x v="0"/>
    <x v="2"/>
    <s v="ENTREGUE"/>
    <d v="2024-11-25T00:00:00"/>
    <x v="0"/>
    <m/>
    <n v="0"/>
    <n v="0"/>
    <n v="0"/>
    <n v="0"/>
    <n v="0"/>
  </r>
  <r>
    <x v="0"/>
    <s v="BV45608"/>
    <s v="Pedido 354"/>
    <d v="2024-11-12T00:00:00"/>
    <x v="24"/>
    <s v="PedidoF347"/>
    <s v="CódRastreio347"/>
    <n v="1"/>
    <s v="CPF 347"/>
    <s v="Nome 347"/>
    <s v="Tel 347"/>
    <s v="Cep 347"/>
    <s v="Rua 347"/>
    <s v="Comp 347"/>
    <s v="Suporte de Celular Branco"/>
    <s v="16-4EDB-WMZF"/>
    <d v="2024-12-05T00:00:00"/>
    <n v="15.5"/>
    <n v="15.5"/>
    <n v="2.3249999999999997"/>
    <n v="13.18"/>
    <n v="4.99"/>
    <n v="0.2"/>
    <n v="0.39877104377104378"/>
    <n v="0"/>
    <n v="7.5912289562289557"/>
    <n v="3.7956144781144778"/>
    <x v="28"/>
    <x v="30"/>
    <x v="7"/>
    <d v="2024-12-16T00:00:00"/>
    <x v="0"/>
    <x v="0"/>
    <x v="2"/>
    <s v="ENTREGUE"/>
    <d v="2024-11-27T00:00:00"/>
    <x v="0"/>
    <m/>
    <n v="0"/>
    <n v="0"/>
    <n v="0"/>
    <n v="0"/>
    <n v="0"/>
  </r>
  <r>
    <x v="0"/>
    <s v="BV45608"/>
    <s v="Pedido 355"/>
    <d v="2024-11-12T00:00:00"/>
    <x v="24"/>
    <s v="PedidoF348"/>
    <s v="CódRastreio348"/>
    <n v="1"/>
    <s v="CPF 348"/>
    <s v="Nome 348"/>
    <s v="Tel 348"/>
    <s v="Cep 348"/>
    <s v="Rua 348"/>
    <s v="Comp 348"/>
    <s v="Ventilador de teto"/>
    <s v="BP-NHG2-B8C1"/>
    <d v="2024-12-11T00:00:00"/>
    <n v="49.5"/>
    <n v="49.5"/>
    <n v="6.4350000000000005"/>
    <n v="43.07"/>
    <n v="7.29"/>
    <n v="0.2"/>
    <n v="0.39877104377104378"/>
    <n v="0"/>
    <n v="35.181228956228956"/>
    <n v="17.590614478114478"/>
    <x v="26"/>
    <x v="28"/>
    <x v="0"/>
    <d v="2025-01-02T00:00:00"/>
    <x v="0"/>
    <x v="0"/>
    <x v="2"/>
    <s v="ENTREGUE"/>
    <d v="2024-11-27T00:00:00"/>
    <x v="0"/>
    <m/>
    <n v="0"/>
    <n v="0"/>
    <n v="0"/>
    <n v="0"/>
    <n v="0"/>
  </r>
  <r>
    <x v="0"/>
    <s v="BV45608"/>
    <s v="Pedido 356"/>
    <d v="2024-11-12T00:00:00"/>
    <x v="24"/>
    <s v="PedidoF349"/>
    <s v="CódRastreio349"/>
    <n v="1"/>
    <s v="CPF 349"/>
    <s v="Nome 349"/>
    <s v="Tel 349"/>
    <s v="Cep 349"/>
    <s v="Rua 349"/>
    <s v="Comp 349"/>
    <s v="Adaptador Bluetooph"/>
    <s v="YA-AG3H-SPUK"/>
    <d v="2024-12-05T00:00:00"/>
    <n v="16.989999999999998"/>
    <n v="16.989999999999998"/>
    <n v="2.0387999999999997"/>
    <n v="14.95"/>
    <n v="5.48"/>
    <n v="0.2"/>
    <n v="0.39877104377104378"/>
    <n v="0"/>
    <n v="8.8712289562289541"/>
    <n v="4.4356144781144771"/>
    <x v="28"/>
    <x v="30"/>
    <x v="7"/>
    <d v="2024-12-16T00:00:00"/>
    <x v="0"/>
    <x v="0"/>
    <x v="2"/>
    <s v="ENTREGUE"/>
    <d v="2024-11-21T00:00:00"/>
    <x v="0"/>
    <m/>
    <n v="0"/>
    <n v="0"/>
    <n v="0"/>
    <n v="0"/>
    <n v="0"/>
  </r>
  <r>
    <x v="0"/>
    <s v="BV45608"/>
    <s v="Pedido 357"/>
    <d v="2024-11-12T00:00:00"/>
    <x v="24"/>
    <s v="PedidoF350"/>
    <s v="CódRastreio350"/>
    <n v="1"/>
    <s v="CPF 350"/>
    <s v="Nome 350"/>
    <s v="Tel 350"/>
    <s v="Cep 350"/>
    <s v="Rua 350"/>
    <s v="Comp 350"/>
    <s v="Ventilador de teto"/>
    <s v="BP-NHG2-B8C1"/>
    <d v="2024-12-05T00:00:00"/>
    <n v="49.5"/>
    <n v="49.5"/>
    <n v="6.4350000000000005"/>
    <n v="43.07"/>
    <n v="7.29"/>
    <n v="0.2"/>
    <n v="0.39877104377104378"/>
    <n v="0"/>
    <n v="35.181228956228956"/>
    <n v="17.590614478114478"/>
    <x v="28"/>
    <x v="30"/>
    <x v="7"/>
    <d v="2024-12-16T00:00:00"/>
    <x v="0"/>
    <x v="0"/>
    <x v="2"/>
    <s v="ENTREGUE"/>
    <d v="2024-11-26T00:00:00"/>
    <x v="0"/>
    <m/>
    <n v="0"/>
    <n v="0"/>
    <n v="0"/>
    <n v="0"/>
    <n v="0"/>
  </r>
  <r>
    <x v="0"/>
    <s v="BV45608"/>
    <s v="Pedido 358"/>
    <d v="2024-11-12T00:00:00"/>
    <x v="24"/>
    <s v="PedidoF351"/>
    <s v="CódRastreio351"/>
    <n v="1"/>
    <s v="CPF 351"/>
    <s v="Nome 351"/>
    <s v="Tel 351"/>
    <s v="Cep 351"/>
    <s v="Rua 351"/>
    <s v="Comp 351"/>
    <s v="Suporte de Celular Branco"/>
    <s v="16-4EDB-WMZF"/>
    <d v="2024-11-29T00:00:00"/>
    <n v="15.5"/>
    <n v="15.5"/>
    <n v="2.3249999999999997"/>
    <n v="13.18"/>
    <n v="4.99"/>
    <n v="0.2"/>
    <n v="0.39877104377104378"/>
    <n v="0"/>
    <n v="7.5912289562289557"/>
    <n v="3.7956144781144778"/>
    <x v="27"/>
    <x v="29"/>
    <x v="1"/>
    <d v="2024-12-16T00:00:00"/>
    <x v="0"/>
    <x v="0"/>
    <x v="2"/>
    <s v="ENTREGUE"/>
    <d v="2024-11-23T00:00:00"/>
    <x v="0"/>
    <m/>
    <n v="0"/>
    <n v="0"/>
    <n v="0"/>
    <n v="0"/>
    <n v="0"/>
  </r>
  <r>
    <x v="0"/>
    <s v="BV-"/>
    <s v="Pedido 359"/>
    <d v="2024-12-01T00:00:00"/>
    <x v="0"/>
    <s v="-"/>
    <s v="-"/>
    <n v="1"/>
    <s v="CPF 339"/>
    <s v="Nome 339"/>
    <s v="Tel 339"/>
    <s v="Cep 339"/>
    <s v="Rua 339"/>
    <s v="Comp 339"/>
    <s v="Copo Termico"/>
    <s v="KN-TBQL-K2MM"/>
    <d v="2024-12-12T00:00:00"/>
    <n v="17.399999999999999"/>
    <n v="17.399999999999999"/>
    <n v="2.262"/>
    <n v="15.14"/>
    <n v="0"/>
    <n v="0"/>
    <n v="0"/>
    <n v="0"/>
    <n v="15.14"/>
    <n v="7.57"/>
    <x v="1"/>
    <x v="1"/>
    <x v="0"/>
    <d v="2025-01-02T00:00:00"/>
    <x v="0"/>
    <x v="0"/>
    <x v="0"/>
    <s v="-"/>
    <s v="-"/>
    <x v="0"/>
    <m/>
    <n v="0.45"/>
    <n v="0"/>
    <n v="0"/>
    <n v="0"/>
    <n v="0.45"/>
  </r>
  <r>
    <x v="0"/>
    <s v="BV-"/>
    <s v="Pedido 360"/>
    <d v="2024-12-01T00:00:00"/>
    <x v="0"/>
    <s v="-"/>
    <s v="-"/>
    <n v="1"/>
    <s v="CPF 339"/>
    <s v="Nome 339"/>
    <s v="Tel 339"/>
    <s v="Cep 339"/>
    <s v="Rua 339"/>
    <s v="Comp 339"/>
    <s v="Copo Termico"/>
    <s v="KN-TBQL-K2MM"/>
    <d v="2024-12-12T00:00:00"/>
    <n v="17.399999999999999"/>
    <n v="17.399999999999999"/>
    <n v="2.262"/>
    <n v="15.14"/>
    <n v="0"/>
    <n v="0"/>
    <n v="0"/>
    <n v="0"/>
    <n v="15.14"/>
    <n v="7.57"/>
    <x v="1"/>
    <x v="1"/>
    <x v="0"/>
    <d v="2025-01-02T00:00:00"/>
    <x v="0"/>
    <x v="0"/>
    <x v="0"/>
    <s v="-"/>
    <s v="-"/>
    <x v="0"/>
    <m/>
    <n v="0.45"/>
    <n v="0"/>
    <n v="0"/>
    <n v="0"/>
    <n v="0.45"/>
  </r>
  <r>
    <x v="0"/>
    <s v="BV-"/>
    <s v="Pedido 361"/>
    <d v="2024-12-01T00:00:00"/>
    <x v="0"/>
    <s v="-"/>
    <s v="-"/>
    <n v="1"/>
    <s v="CPF 339"/>
    <s v="Nome 339"/>
    <s v="Tel 339"/>
    <s v="Cep 339"/>
    <s v="Rua 339"/>
    <s v="Comp 339"/>
    <s v="Copo Termico"/>
    <s v="KN-TBQL-K2MM"/>
    <d v="2024-12-12T00:00:00"/>
    <n v="17.399999999999999"/>
    <n v="17.399999999999999"/>
    <n v="2.262"/>
    <n v="15.14"/>
    <n v="0"/>
    <n v="0"/>
    <n v="0"/>
    <n v="0"/>
    <n v="15.14"/>
    <n v="7.57"/>
    <x v="1"/>
    <x v="1"/>
    <x v="0"/>
    <d v="2025-01-02T00:00:00"/>
    <x v="0"/>
    <x v="0"/>
    <x v="0"/>
    <s v="-"/>
    <s v="-"/>
    <x v="0"/>
    <m/>
    <n v="0.45"/>
    <n v="0"/>
    <n v="0"/>
    <n v="0"/>
    <n v="0.45"/>
  </r>
  <r>
    <x v="0"/>
    <s v="BV-"/>
    <s v="Pedido 362"/>
    <d v="2024-12-01T00:00:00"/>
    <x v="0"/>
    <s v="-"/>
    <s v="-"/>
    <n v="1"/>
    <s v="CPF 339"/>
    <s v="Nome 339"/>
    <s v="Tel 339"/>
    <s v="Cep 339"/>
    <s v="Rua 339"/>
    <s v="Comp 339"/>
    <s v="Copo Termico"/>
    <s v="KN-TBQL-K2MM"/>
    <d v="2024-12-12T00:00:00"/>
    <n v="17.399999999999999"/>
    <n v="17.399999999999999"/>
    <n v="2.262"/>
    <n v="15.14"/>
    <n v="0"/>
    <n v="0"/>
    <n v="0"/>
    <n v="0"/>
    <n v="15.14"/>
    <n v="7.57"/>
    <x v="1"/>
    <x v="1"/>
    <x v="0"/>
    <d v="2025-01-02T00:00:00"/>
    <x v="0"/>
    <x v="0"/>
    <x v="0"/>
    <s v="-"/>
    <s v="-"/>
    <x v="0"/>
    <m/>
    <n v="0.45"/>
    <n v="0"/>
    <n v="0"/>
    <n v="0"/>
    <n v="0.45"/>
  </r>
  <r>
    <x v="0"/>
    <s v="BV45610"/>
    <s v="Pedido 363"/>
    <d v="2024-11-14T00:00:00"/>
    <x v="27"/>
    <s v="PedidoF352"/>
    <s v="CódRastreio352"/>
    <n v="1"/>
    <s v="CPF 352"/>
    <s v="Nome 352"/>
    <s v="Tel 352"/>
    <s v="Cep 352"/>
    <s v="Rua 352"/>
    <s v="Comp 352"/>
    <s v="Ventilador Preto"/>
    <s v="MU-J80P-95WF"/>
    <d v="2024-12-19T00:00:00"/>
    <n v="59.5"/>
    <n v="59.5"/>
    <n v="7.7350000000000003"/>
    <n v="51.77"/>
    <n v="0"/>
    <n v="0.25"/>
    <n v="0.39877104377104378"/>
    <n v="0"/>
    <n v="51.121228956228961"/>
    <n v="25.560614478114481"/>
    <x v="31"/>
    <x v="34"/>
    <x v="8"/>
    <d v="2025-01-02T00:00:00"/>
    <x v="0"/>
    <x v="0"/>
    <x v="2"/>
    <s v="ENTREGUE"/>
    <d v="2024-12-18T00:00:00"/>
    <x v="0"/>
    <m/>
    <n v="0"/>
    <n v="0"/>
    <n v="0"/>
    <n v="0"/>
    <n v="0"/>
  </r>
  <r>
    <x v="0"/>
    <s v="BV45609"/>
    <s v="Pedido 363"/>
    <d v="2024-11-13T00:00:00"/>
    <x v="26"/>
    <s v="PedidoF353"/>
    <s v="CódRastreio353"/>
    <n v="1"/>
    <s v="CPF 352"/>
    <s v="Nome 352"/>
    <s v="Tel 352"/>
    <s v="Cep 352"/>
    <s v="Rua 352"/>
    <s v="Comp 352"/>
    <s v="Ventilador Rosa"/>
    <s v="IF-G2ZQ-79FO"/>
    <d v="2024-12-19T00:00:00"/>
    <n v="59.5"/>
    <n v="59.5"/>
    <n v="7.7350000000000003"/>
    <n v="51.77"/>
    <n v="0"/>
    <n v="0.33"/>
    <n v="0.39877104377104378"/>
    <n v="0"/>
    <n v="51.041228956228963"/>
    <n v="25.520614478114481"/>
    <x v="31"/>
    <x v="34"/>
    <x v="8"/>
    <d v="2025-01-02T00:00:00"/>
    <x v="0"/>
    <x v="0"/>
    <x v="2"/>
    <s v="-"/>
    <s v="-"/>
    <x v="0"/>
    <m/>
    <n v="0"/>
    <n v="0"/>
    <n v="0"/>
    <n v="0"/>
    <n v="0"/>
  </r>
  <r>
    <x v="0"/>
    <s v="BV45609"/>
    <s v="Pedido 364"/>
    <d v="2024-11-13T00:00:00"/>
    <x v="26"/>
    <s v="PedidoF354"/>
    <s v="CódRastreio354"/>
    <n v="1"/>
    <s v="CPF 353"/>
    <s v="Nome 353"/>
    <s v="Tel 353"/>
    <s v="Cep 353"/>
    <s v="Rua 353"/>
    <s v="Comp 353"/>
    <s v="Suporte de Celular Preto"/>
    <s v="9G-BN48-QAPH"/>
    <d v="2024-12-12T00:00:00"/>
    <n v="17.989999999999998"/>
    <n v="17.989999999999998"/>
    <n v="2.6984999999999997"/>
    <n v="15.29"/>
    <n v="0"/>
    <n v="0.33"/>
    <n v="0.39877104377104378"/>
    <n v="0"/>
    <n v="14.561228956228955"/>
    <n v="7.2806144781144777"/>
    <x v="1"/>
    <x v="1"/>
    <x v="0"/>
    <d v="2025-01-02T00:00:00"/>
    <x v="0"/>
    <x v="0"/>
    <x v="2"/>
    <s v="ENTREGUE"/>
    <d v="2024-12-05T22:57:11"/>
    <x v="0"/>
    <m/>
    <n v="0"/>
    <n v="0"/>
    <n v="0"/>
    <n v="0"/>
    <n v="0"/>
  </r>
  <r>
    <x v="0"/>
    <s v="BV45609"/>
    <s v="Pedido 365"/>
    <d v="2024-11-13T00:00:00"/>
    <x v="26"/>
    <s v="PedidoF355"/>
    <s v="CódRastreio355"/>
    <n v="1"/>
    <s v="CPF 354"/>
    <s v="Nome 354"/>
    <s v="Tel 354"/>
    <s v="Cep 354"/>
    <s v="Rua 354"/>
    <s v="Comp 354"/>
    <s v="Mini Liquidificador"/>
    <s v="CK-YL6M-P5Y6"/>
    <d v="2024-12-12T00:00:00"/>
    <n v="31.5"/>
    <n v="31.5"/>
    <n v="4.0949999999999998"/>
    <n v="27.41"/>
    <n v="11.99"/>
    <n v="0.33"/>
    <n v="0.39877104377104378"/>
    <n v="0"/>
    <n v="14.691228956228956"/>
    <n v="7.3456144781144781"/>
    <x v="1"/>
    <x v="1"/>
    <x v="0"/>
    <d v="2025-01-02T00:00:00"/>
    <x v="0"/>
    <x v="0"/>
    <x v="2"/>
    <s v="ENTREGUE"/>
    <d v="2024-11-25T00:00:00"/>
    <x v="0"/>
    <m/>
    <n v="0"/>
    <n v="0"/>
    <n v="0"/>
    <n v="0"/>
    <n v="0"/>
  </r>
  <r>
    <x v="0"/>
    <s v="BV45609"/>
    <s v="Pedido 366"/>
    <d v="2024-11-13T00:00:00"/>
    <x v="26"/>
    <s v="PedidoF356"/>
    <s v="CódRastreio356"/>
    <n v="1"/>
    <s v="CPF 355"/>
    <s v="Nome 355"/>
    <s v="Tel 355"/>
    <s v="Cep 355"/>
    <s v="Rua 355"/>
    <s v="Comp 355"/>
    <s v="Suporte de Celular Preto"/>
    <s v="9G-BN48-QAPH"/>
    <d v="2024-12-06T00:00:00"/>
    <n v="17.989999999999998"/>
    <n v="17.989999999999998"/>
    <n v="2.6984999999999997"/>
    <n v="15.29"/>
    <n v="6.99"/>
    <n v="0.33"/>
    <n v="0.39877104377104378"/>
    <n v="0"/>
    <n v="7.5712289562289552"/>
    <n v="3.7856144781144776"/>
    <x v="29"/>
    <x v="31"/>
    <x v="7"/>
    <d v="2024-12-16T00:00:00"/>
    <x v="0"/>
    <x v="0"/>
    <x v="2"/>
    <s v="ENTREGUE"/>
    <d v="2024-11-27T00:00:00"/>
    <x v="0"/>
    <m/>
    <n v="0"/>
    <n v="0"/>
    <n v="0"/>
    <n v="0"/>
    <n v="0"/>
  </r>
  <r>
    <x v="0"/>
    <s v="BV45609"/>
    <s v="Pedido 367"/>
    <d v="2024-11-13T00:00:00"/>
    <x v="26"/>
    <s v="PedidoF357"/>
    <s v="CódRastreio357"/>
    <n v="1"/>
    <s v="CPF 356"/>
    <s v="Nome 356"/>
    <s v="Tel 356"/>
    <s v="Cep 356"/>
    <s v="Rua 356"/>
    <s v="Comp 356"/>
    <s v="Ventilador de teto"/>
    <s v="BP-NHG2-B8C1"/>
    <d v="2024-12-12T00:00:00"/>
    <n v="49.5"/>
    <n v="49.5"/>
    <n v="6.4350000000000005"/>
    <n v="43.07"/>
    <n v="10.71"/>
    <n v="0.33"/>
    <n v="0.39877104377104378"/>
    <n v="0"/>
    <n v="31.631228956228956"/>
    <n v="15.815614478114478"/>
    <x v="1"/>
    <x v="1"/>
    <x v="0"/>
    <d v="2025-01-02T00:00:00"/>
    <x v="0"/>
    <x v="0"/>
    <x v="2"/>
    <s v="ENTREGUE"/>
    <d v="2024-11-27T00:00:00"/>
    <x v="0"/>
    <m/>
    <n v="0"/>
    <n v="0"/>
    <n v="0"/>
    <n v="0"/>
    <n v="0"/>
  </r>
  <r>
    <x v="0"/>
    <s v="BV45609"/>
    <s v="Pedido 368"/>
    <d v="2024-11-13T00:00:00"/>
    <x v="26"/>
    <s v="PedidoF358"/>
    <s v="CódRastreio358"/>
    <n v="1"/>
    <s v="CPF 357"/>
    <s v="Nome 357"/>
    <s v="Tel 357"/>
    <s v="Cep 357"/>
    <s v="Rua 357"/>
    <s v="Comp 357"/>
    <s v="Copo Termico"/>
    <s v="KN-TBQL-K2MM"/>
    <d v="2024-12-12T00:00:00"/>
    <n v="17.399999999999999"/>
    <n v="17.399999999999999"/>
    <n v="2.262"/>
    <n v="15.14"/>
    <n v="6.99"/>
    <n v="0.33"/>
    <n v="0.39877104377104378"/>
    <n v="0"/>
    <n v="7.4212289562289566"/>
    <n v="3.7106144781144783"/>
    <x v="1"/>
    <x v="1"/>
    <x v="0"/>
    <d v="2025-01-02T00:00:00"/>
    <x v="0"/>
    <x v="0"/>
    <x v="2"/>
    <s v="ENTREGUE"/>
    <d v="2024-11-19T00:00:00"/>
    <x v="0"/>
    <m/>
    <n v="0"/>
    <n v="0"/>
    <n v="0"/>
    <n v="0"/>
    <n v="0"/>
  </r>
  <r>
    <x v="0"/>
    <s v="BV45609"/>
    <s v="Pedido 369"/>
    <d v="2024-11-13T00:00:00"/>
    <x v="26"/>
    <s v="PedidoF359"/>
    <s v="CódRastreio359"/>
    <n v="1"/>
    <s v="CPF 358"/>
    <s v="Nome 358"/>
    <s v="Tel 358"/>
    <s v="Cep 358"/>
    <s v="Rua 358"/>
    <s v="Comp 358"/>
    <s v="Mini Liquidificador"/>
    <s v="CK-YL6M-P5Y6"/>
    <d v="2024-12-12T00:00:00"/>
    <n v="31.5"/>
    <n v="31.5"/>
    <n v="4.0949999999999998"/>
    <n v="27.41"/>
    <n v="11.99"/>
    <n v="0.33"/>
    <n v="0.39877104377104378"/>
    <n v="0"/>
    <n v="14.691228956228956"/>
    <n v="7.3456144781144781"/>
    <x v="1"/>
    <x v="1"/>
    <x v="0"/>
    <d v="2025-01-02T00:00:00"/>
    <x v="0"/>
    <x v="0"/>
    <x v="2"/>
    <s v="ENTREGUE"/>
    <d v="2024-11-27T00:00:00"/>
    <x v="0"/>
    <m/>
    <n v="0"/>
    <n v="0"/>
    <n v="0"/>
    <n v="0"/>
    <n v="0"/>
  </r>
  <r>
    <x v="0"/>
    <s v="BV45609"/>
    <s v="Pedido 370"/>
    <d v="2024-11-13T00:00:00"/>
    <x v="26"/>
    <s v="PedidoF360"/>
    <s v="CódRastreio360"/>
    <n v="1"/>
    <s v="CPF 359"/>
    <s v="Nome 359"/>
    <s v="Tel 359"/>
    <s v="Cep 359"/>
    <s v="Rua 359"/>
    <s v="Comp 359"/>
    <s v="Ventilador Azul"/>
    <s v="U8-2VWS-OB6M"/>
    <d v="2024-12-12T00:00:00"/>
    <n v="59.5"/>
    <n v="59.5"/>
    <n v="7.7350000000000003"/>
    <n v="51.77"/>
    <n v="10.18"/>
    <n v="0.33"/>
    <n v="0.39877104377104378"/>
    <n v="0"/>
    <n v="40.861228956228956"/>
    <n v="20.430614478114478"/>
    <x v="1"/>
    <x v="1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0"/>
    <s v="Pedido 371"/>
    <d v="2024-11-14T00:00:00"/>
    <x v="27"/>
    <s v="PedidoF361"/>
    <s v="CódRastreio361"/>
    <n v="1"/>
    <s v="CPF 360"/>
    <s v="Nome 360"/>
    <s v="Tel 360"/>
    <s v="Cep 360"/>
    <s v="Rua 360"/>
    <s v="Comp 360"/>
    <s v="Suporte de Celular Preto"/>
    <s v="9G-BN48-QAPH"/>
    <d v="2024-12-13T00:00:00"/>
    <n v="18.5"/>
    <n v="18.5"/>
    <n v="2.7749999999999999"/>
    <n v="15.73"/>
    <n v="6.99"/>
    <n v="0.25"/>
    <n v="0.39877104377104378"/>
    <n v="0"/>
    <n v="8.0912289562289565"/>
    <n v="4.0456144781144783"/>
    <x v="0"/>
    <x v="0"/>
    <x v="0"/>
    <d v="2025-01-02T00:00:00"/>
    <x v="0"/>
    <x v="0"/>
    <x v="2"/>
    <s v="ENTREGUE"/>
    <d v="2024-11-26T00:00:00"/>
    <x v="0"/>
    <m/>
    <n v="0"/>
    <n v="0"/>
    <n v="0"/>
    <n v="0"/>
    <n v="0"/>
  </r>
  <r>
    <x v="0"/>
    <s v="BV45610"/>
    <s v="Pedido 372"/>
    <d v="2024-11-14T00:00:00"/>
    <x v="27"/>
    <s v="PedidoF362"/>
    <s v="CódRastreio362"/>
    <n v="1"/>
    <s v="CPF 361"/>
    <s v="Nome 361"/>
    <s v="Tel 361"/>
    <s v="Cep 361"/>
    <s v="Rua 361"/>
    <s v="Comp 361"/>
    <s v="Ventilador Preto"/>
    <s v="MU-J80P-95WF"/>
    <d v="2024-12-13T00:00:00"/>
    <n v="59.5"/>
    <n v="59.5"/>
    <n v="7.7350000000000003"/>
    <n v="51.77"/>
    <n v="10.23"/>
    <n v="0.25"/>
    <n v="0.39877104377104378"/>
    <n v="0"/>
    <n v="40.891228956228957"/>
    <n v="20.445614478114479"/>
    <x v="0"/>
    <x v="0"/>
    <x v="0"/>
    <d v="2025-01-02T00:00:00"/>
    <x v="0"/>
    <x v="0"/>
    <x v="2"/>
    <s v="ENTREGUE"/>
    <d v="2024-12-13T00:00:00"/>
    <x v="0"/>
    <m/>
    <n v="0"/>
    <n v="0"/>
    <n v="0"/>
    <n v="0"/>
    <n v="0"/>
  </r>
  <r>
    <x v="0"/>
    <s v="BV45610"/>
    <s v="Pedido 373"/>
    <d v="2024-11-14T00:00:00"/>
    <x v="27"/>
    <s v="PedidoF363"/>
    <s v="CódRastreio363"/>
    <n v="1"/>
    <s v="CPF 362"/>
    <s v="Nome 362"/>
    <s v="Tel 362"/>
    <s v="Cep 362"/>
    <s v="Rua 362"/>
    <s v="Comp 362"/>
    <s v="Mini Liquidificador"/>
    <s v="CK-YL6M-P5Y6"/>
    <d v="2024-12-07T00:00:00"/>
    <n v="29.5"/>
    <n v="29.5"/>
    <n v="3.835"/>
    <n v="25.67"/>
    <n v="11.99"/>
    <n v="0.25"/>
    <n v="0.39877104377104378"/>
    <n v="0"/>
    <n v="13.031228956228958"/>
    <n v="6.5156144781144789"/>
    <x v="23"/>
    <x v="26"/>
    <x v="7"/>
    <d v="2024-12-16T00:00:00"/>
    <x v="0"/>
    <x v="0"/>
    <x v="2"/>
    <s v="ENTREGUE"/>
    <d v="2024-11-27T00:00:00"/>
    <x v="0"/>
    <m/>
    <n v="0"/>
    <n v="0"/>
    <n v="0"/>
    <n v="0"/>
    <n v="0"/>
  </r>
  <r>
    <x v="0"/>
    <s v="BV45610"/>
    <s v="Pedido 374"/>
    <d v="2024-11-14T00:00:00"/>
    <x v="27"/>
    <s v="PedidoF364"/>
    <s v="CódRastreio364"/>
    <n v="1"/>
    <s v="CPF 363"/>
    <s v="Nome 363"/>
    <s v="Tel 363"/>
    <s v="Cep 363"/>
    <s v="Rua 363"/>
    <s v="Comp 363"/>
    <s v="Ventilador Umidificador Preto"/>
    <s v="HF-SI0F-XC7S"/>
    <d v="2024-12-20T00:00:00"/>
    <n v="54.4"/>
    <n v="54.4"/>
    <n v="7.6160000000000005"/>
    <n v="46.78"/>
    <n v="10.23"/>
    <n v="0.25"/>
    <n v="0.39877104377104378"/>
    <n v="0"/>
    <n v="35.901228956228955"/>
    <n v="17.950614478114478"/>
    <x v="32"/>
    <x v="35"/>
    <x v="8"/>
    <d v="2025-01-02T00:00:00"/>
    <x v="0"/>
    <x v="0"/>
    <x v="2"/>
    <s v="ENTREGUE"/>
    <d v="2024-12-04T00:00:00"/>
    <x v="0"/>
    <m/>
    <n v="0"/>
    <n v="0"/>
    <n v="0"/>
    <n v="0"/>
    <n v="0"/>
  </r>
  <r>
    <x v="0"/>
    <s v="BV45610"/>
    <s v="Pedido 375"/>
    <d v="2024-11-14T00:00:00"/>
    <x v="27"/>
    <s v="PedidoF365"/>
    <s v="CódRastreio365"/>
    <n v="1"/>
    <s v="CPF 364"/>
    <s v="Nome 364"/>
    <s v="Tel 364"/>
    <s v="Cep 364"/>
    <s v="Rua 364"/>
    <s v="Comp 364"/>
    <s v="Mini Liquidificador"/>
    <s v="CK-YL6M-P5Y6"/>
    <d v="2024-12-07T00:00:00"/>
    <n v="29.5"/>
    <n v="29.5"/>
    <n v="3.835"/>
    <n v="25.67"/>
    <n v="11.99"/>
    <n v="0.25"/>
    <n v="0.39877104377104378"/>
    <n v="0"/>
    <n v="13.031228956228958"/>
    <n v="6.5156144781144789"/>
    <x v="23"/>
    <x v="26"/>
    <x v="7"/>
    <d v="2024-12-16T00:00:00"/>
    <x v="0"/>
    <x v="0"/>
    <x v="2"/>
    <s v="ENTREGUE"/>
    <d v="2024-11-23T00:00:00"/>
    <x v="0"/>
    <m/>
    <n v="0"/>
    <n v="0"/>
    <n v="0"/>
    <n v="0"/>
    <n v="0"/>
  </r>
  <r>
    <x v="0"/>
    <s v="BV45610"/>
    <s v="Pedido 376"/>
    <d v="2024-11-14T00:00:00"/>
    <x v="27"/>
    <s v="PedidoF366"/>
    <s v="CódRastreio366"/>
    <n v="1"/>
    <s v="CPF 365"/>
    <s v="Nome 365"/>
    <s v="Tel 365"/>
    <s v="Cep 365"/>
    <s v="Rua 365"/>
    <s v="Comp 365"/>
    <s v="Mini Liquidificador"/>
    <s v="CK-YL6M-P5Y6"/>
    <d v="2024-12-07T00:00:00"/>
    <n v="29.5"/>
    <n v="29.5"/>
    <n v="3.835"/>
    <n v="25.67"/>
    <n v="11.99"/>
    <n v="0.25"/>
    <n v="0.39877104377104378"/>
    <n v="0"/>
    <n v="13.031228956228958"/>
    <n v="6.5156144781144789"/>
    <x v="23"/>
    <x v="26"/>
    <x v="7"/>
    <d v="2024-12-16T00:00:00"/>
    <x v="0"/>
    <x v="0"/>
    <x v="2"/>
    <s v="ENTREGUE"/>
    <d v="2024-11-22T00:00:00"/>
    <x v="0"/>
    <m/>
    <n v="0"/>
    <n v="0"/>
    <n v="0"/>
    <n v="0"/>
    <n v="0"/>
  </r>
  <r>
    <x v="0"/>
    <s v="BV45610"/>
    <s v="Pedido 377"/>
    <d v="2024-11-14T00:00:00"/>
    <x v="27"/>
    <s v="PedidoF367"/>
    <s v="CódRastreio367"/>
    <n v="1"/>
    <s v="CPF 366"/>
    <s v="Nome 366"/>
    <s v="Tel 366"/>
    <s v="Cep 366"/>
    <s v="Rua 366"/>
    <s v="Comp 366"/>
    <s v="Mini Liquidificador"/>
    <s v="CK-YL6M-P5Y6"/>
    <d v="2024-12-03T00:00:00"/>
    <n v="29.5"/>
    <n v="29.5"/>
    <n v="3.835"/>
    <n v="25.67"/>
    <n v="11.99"/>
    <n v="0.25"/>
    <n v="0.39877104377104378"/>
    <n v="0"/>
    <n v="13.031228956228958"/>
    <n v="6.5156144781144789"/>
    <x v="22"/>
    <x v="25"/>
    <x v="1"/>
    <d v="2024-12-16T00:00:00"/>
    <x v="0"/>
    <x v="0"/>
    <x v="2"/>
    <s v="ENTREGUE"/>
    <d v="2024-11-22T00:00:00"/>
    <x v="0"/>
    <m/>
    <n v="0"/>
    <n v="0"/>
    <n v="0"/>
    <n v="0"/>
    <n v="0"/>
  </r>
  <r>
    <x v="0"/>
    <s v="BV45613"/>
    <s v="Pedido 378"/>
    <d v="2024-11-17T00:00:00"/>
    <x v="28"/>
    <s v="PedidoF368"/>
    <s v="CódRastreio368"/>
    <n v="1"/>
    <s v="CPF 367"/>
    <s v="Nome 367"/>
    <s v="Tel 367"/>
    <s v="Cep 367"/>
    <s v="Rua 367"/>
    <s v="Comp 367"/>
    <s v="Ventilador Azul"/>
    <s v="U8-2VWS-OB6M"/>
    <d v="2024-12-20T00:00:00"/>
    <n v="100"/>
    <n v="100"/>
    <n v="13"/>
    <n v="87"/>
    <n v="10.220000000000001"/>
    <n v="0.4"/>
    <n v="0.39877104377104378"/>
    <n v="0"/>
    <n v="75.981228956228961"/>
    <n v="37.99061447811448"/>
    <x v="32"/>
    <x v="35"/>
    <x v="8"/>
    <d v="2025-01-02T00:00:00"/>
    <x v="0"/>
    <x v="0"/>
    <x v="2"/>
    <s v="ENTREGUE"/>
    <d v="2024-12-17T00:00:00"/>
    <x v="0"/>
    <m/>
    <n v="0"/>
    <n v="0"/>
    <n v="0"/>
    <n v="0"/>
    <n v="0"/>
  </r>
  <r>
    <x v="0"/>
    <s v="BV45614"/>
    <s v="Pedido 379"/>
    <d v="2024-11-18T00:00:00"/>
    <x v="8"/>
    <s v="PedidoF369"/>
    <s v="CódRastreio369"/>
    <n v="1"/>
    <s v="CPF 368"/>
    <s v="Nome 368"/>
    <s v="Tel 368"/>
    <s v="Cep 368"/>
    <s v="Rua 368"/>
    <s v="Comp 368"/>
    <s v="Ventilador Rosa"/>
    <s v="IF-G2ZQ-79FO"/>
    <d v="2024-12-07T00:00:00"/>
    <n v="59.2"/>
    <n v="59.2"/>
    <n v="7.6960000000000006"/>
    <n v="51.5"/>
    <n v="10.199999999999999"/>
    <n v="0.17"/>
    <n v="0.39877104377104378"/>
    <n v="0"/>
    <n v="40.731228956228961"/>
    <n v="20.36561447811448"/>
    <x v="23"/>
    <x v="26"/>
    <x v="7"/>
    <d v="2024-12-16T00:00:00"/>
    <x v="0"/>
    <x v="0"/>
    <x v="2"/>
    <s v="ENTREGUE"/>
    <d v="2024-12-05T12:31:34"/>
    <x v="0"/>
    <m/>
    <n v="0"/>
    <n v="0"/>
    <n v="0"/>
    <n v="0"/>
    <n v="0"/>
  </r>
  <r>
    <x v="0"/>
    <s v="BV45614"/>
    <s v="Pedido 380"/>
    <d v="2024-11-18T00:00:00"/>
    <x v="8"/>
    <s v="PedidoF370"/>
    <s v="CódRastreio370"/>
    <n v="1"/>
    <s v="CPF 369"/>
    <s v="Nome 369"/>
    <s v="Tel 369"/>
    <s v="Cep 369"/>
    <s v="Rua 369"/>
    <s v="Comp 369"/>
    <s v="Ventilador Azul"/>
    <s v="U8-2VWS-OB6M"/>
    <d v="2024-12-13T00:00:00"/>
    <n v="59.2"/>
    <n v="59.2"/>
    <n v="7.6960000000000006"/>
    <n v="51.5"/>
    <n v="10.199999999999999"/>
    <n v="0.17"/>
    <n v="0.39877104377104378"/>
    <n v="0"/>
    <n v="40.731228956228961"/>
    <n v="20.36561447811448"/>
    <x v="0"/>
    <x v="0"/>
    <x v="0"/>
    <d v="2025-01-02T00:00:00"/>
    <x v="0"/>
    <x v="0"/>
    <x v="2"/>
    <s v="ENTREGUE"/>
    <d v="2024-11-28T00:00:00"/>
    <x v="0"/>
    <m/>
    <n v="0"/>
    <n v="0"/>
    <n v="0"/>
    <n v="0"/>
    <n v="0"/>
  </r>
  <r>
    <x v="0"/>
    <s v="BV45614"/>
    <s v="Pedido 381"/>
    <d v="2024-11-18T00:00:00"/>
    <x v="8"/>
    <s v="PedidoF371"/>
    <s v="CódRastreio371"/>
    <n v="1"/>
    <s v="CPF 370"/>
    <s v="Nome 370"/>
    <s v="Tel 370"/>
    <s v="Cep 370"/>
    <s v="Rua 370"/>
    <s v="Comp 370"/>
    <s v="Mini Liquidificador"/>
    <s v="CK-YL6M-P5Y6"/>
    <d v="2024-12-04T00:00:00"/>
    <n v="31.5"/>
    <n v="31.5"/>
    <n v="4.0949999999999998"/>
    <n v="27.41"/>
    <n v="11.99"/>
    <n v="0.17"/>
    <n v="0.39877104377104378"/>
    <n v="0"/>
    <n v="14.851228956228956"/>
    <n v="7.4256144781144782"/>
    <x v="25"/>
    <x v="27"/>
    <x v="1"/>
    <d v="2024-12-16T00:00:00"/>
    <x v="0"/>
    <x v="0"/>
    <x v="2"/>
    <s v="ENTREGUE"/>
    <d v="2024-11-26T00:00:00"/>
    <x v="0"/>
    <m/>
    <n v="0"/>
    <n v="0"/>
    <n v="0"/>
    <n v="0"/>
    <n v="0"/>
  </r>
  <r>
    <x v="0"/>
    <s v="BV45614"/>
    <s v="Pedido 382"/>
    <d v="2024-11-18T00:00:00"/>
    <x v="8"/>
    <s v="PedidoF372"/>
    <s v="CódRastreio372"/>
    <n v="1"/>
    <s v="CPF 371"/>
    <s v="Nome 371"/>
    <s v="Tel 371"/>
    <s v="Cep 371"/>
    <s v="Rua 371"/>
    <s v="Comp 371"/>
    <s v="Mini Liquidificador"/>
    <s v="CK-YL6M-P5Y6"/>
    <d v="2024-12-10T00:00:00"/>
    <n v="31.5"/>
    <n v="31.5"/>
    <n v="4.0949999999999998"/>
    <n v="27.41"/>
    <n v="11.99"/>
    <n v="0.17"/>
    <n v="0.39877104377104378"/>
    <n v="0"/>
    <n v="14.851228956228956"/>
    <n v="7.4256144781144782"/>
    <x v="24"/>
    <x v="23"/>
    <x v="0"/>
    <d v="2025-01-02T00:00:00"/>
    <x v="0"/>
    <x v="0"/>
    <x v="2"/>
    <s v="ENTREGUE"/>
    <d v="2024-11-25T00:00:00"/>
    <x v="0"/>
    <m/>
    <n v="0"/>
    <n v="0"/>
    <n v="0"/>
    <n v="0"/>
    <n v="0"/>
  </r>
  <r>
    <x v="0"/>
    <s v="BV45614"/>
    <s v="Pedido 383"/>
    <d v="2024-11-18T00:00:00"/>
    <x v="8"/>
    <s v="PedidoF373"/>
    <s v="CódRastreio373"/>
    <n v="1"/>
    <s v="CPF 372"/>
    <s v="Nome 372"/>
    <s v="Tel 372"/>
    <s v="Cep 372"/>
    <s v="Rua 372"/>
    <s v="Comp 372"/>
    <s v="Adaptador Bluetooph"/>
    <s v="YA-AG3H-SPUK"/>
    <d v="2024-12-04T00:00:00"/>
    <n v="17.100000000000001"/>
    <n v="17.100000000000001"/>
    <n v="2.052"/>
    <n v="15.05"/>
    <n v="6.99"/>
    <n v="0.17"/>
    <n v="0.39877104377104378"/>
    <n v="0"/>
    <n v="7.4912289562289569"/>
    <n v="3.7456144781144785"/>
    <x v="25"/>
    <x v="27"/>
    <x v="1"/>
    <d v="2024-12-16T00:00:00"/>
    <x v="0"/>
    <x v="0"/>
    <x v="2"/>
    <s v="ENTREGUE"/>
    <d v="2024-11-22T00:00:00"/>
    <x v="0"/>
    <m/>
    <n v="0"/>
    <n v="0"/>
    <n v="0"/>
    <n v="0"/>
    <n v="0"/>
  </r>
  <r>
    <x v="0"/>
    <s v="BV45614"/>
    <s v="Pedido 384"/>
    <d v="2024-11-18T00:00:00"/>
    <x v="8"/>
    <s v="PedidoF374"/>
    <s v="CódRastreio374"/>
    <n v="1"/>
    <s v="CPF 373"/>
    <s v="Nome 373"/>
    <s v="Tel 373"/>
    <s v="Cep 373"/>
    <s v="Rua 373"/>
    <s v="Comp 373"/>
    <s v="Ventilador Azul"/>
    <s v="U8-2VWS-OB6M"/>
    <d v="2024-12-14T00:00:00"/>
    <n v="59.2"/>
    <n v="59.2"/>
    <n v="7.6960000000000006"/>
    <n v="51.5"/>
    <n v="0"/>
    <n v="0.17"/>
    <n v="0.39877104377104378"/>
    <n v="0"/>
    <n v="50.931228956228956"/>
    <n v="25.465614478114478"/>
    <x v="30"/>
    <x v="32"/>
    <x v="0"/>
    <d v="2025-01-02T00:00:00"/>
    <x v="0"/>
    <x v="0"/>
    <x v="2"/>
    <s v="ENTREGUE"/>
    <d v="2024-11-28T00:00:00"/>
    <x v="0"/>
    <m/>
    <n v="0"/>
    <n v="0"/>
    <n v="0"/>
    <n v="0"/>
    <n v="0"/>
  </r>
  <r>
    <x v="0"/>
    <s v="BV45614"/>
    <s v="Pedido 385"/>
    <d v="2024-11-18T00:00:00"/>
    <x v="8"/>
    <s v="PedidoF375"/>
    <s v="CódRastreio375"/>
    <n v="1"/>
    <s v="CPF 374"/>
    <s v="Nome 374"/>
    <s v="Tel 374"/>
    <s v="Cep 374"/>
    <s v="Rua 374"/>
    <s v="Comp 374"/>
    <s v="Ventilador Rosa"/>
    <s v="IF-G2ZQ-79FO"/>
    <d v="2024-12-10T00:00:00"/>
    <n v="59.2"/>
    <n v="59.2"/>
    <n v="7.6960000000000006"/>
    <n v="51.5"/>
    <n v="10.199999999999999"/>
    <n v="0.17"/>
    <n v="0.39877104377104378"/>
    <n v="0"/>
    <n v="40.731228956228961"/>
    <n v="20.36561447811448"/>
    <x v="24"/>
    <x v="23"/>
    <x v="0"/>
    <d v="2025-01-02T00:00:00"/>
    <x v="0"/>
    <x v="0"/>
    <x v="2"/>
    <s v="ENTREGUE"/>
    <d v="2024-11-29T00:00:00"/>
    <x v="0"/>
    <m/>
    <n v="0"/>
    <n v="0"/>
    <n v="0"/>
    <n v="0"/>
    <n v="0"/>
  </r>
  <r>
    <x v="0"/>
    <s v="BV45614"/>
    <s v="Pedido 386"/>
    <d v="2024-11-18T00:00:00"/>
    <x v="8"/>
    <s v="PedidoF376"/>
    <s v="CódRastreio376"/>
    <n v="1"/>
    <s v="CPF 375"/>
    <s v="Nome 375"/>
    <s v="Tel 375"/>
    <s v="Cep 375"/>
    <s v="Rua 375"/>
    <s v="Comp 375"/>
    <s v="Ventilador de teto"/>
    <s v="BP-NHG2-B8C1"/>
    <d v="2024-12-10T00:00:00"/>
    <n v="48.5"/>
    <n v="48.5"/>
    <n v="6.3050000000000006"/>
    <n v="42.2"/>
    <n v="10.199999999999999"/>
    <n v="0.17"/>
    <n v="0.39877104377104378"/>
    <n v="0"/>
    <n v="31.43122895622896"/>
    <n v="15.71561447811448"/>
    <x v="24"/>
    <x v="23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45614"/>
    <s v="Pedido 387"/>
    <d v="2024-11-18T00:00:00"/>
    <x v="8"/>
    <s v="PedidoF377"/>
    <s v="CódRastreio377"/>
    <n v="1"/>
    <s v="CPF 376"/>
    <s v="Nome 376"/>
    <s v="Tel 376"/>
    <s v="Cep 376"/>
    <s v="Rua 376"/>
    <s v="Comp 376"/>
    <s v="Ventilador Rosa"/>
    <s v="IF-G2ZQ-79FO"/>
    <d v="2024-12-14T00:00:00"/>
    <n v="59.2"/>
    <n v="59.2"/>
    <n v="7.6960000000000006"/>
    <n v="51.5"/>
    <n v="10.199999999999999"/>
    <n v="0.17"/>
    <n v="0.39877104377104378"/>
    <n v="0"/>
    <n v="40.731228956228961"/>
    <n v="20.36561447811448"/>
    <x v="30"/>
    <x v="32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4"/>
    <s v="Pedido 388"/>
    <d v="2024-11-18T00:00:00"/>
    <x v="8"/>
    <s v="PedidoF378"/>
    <s v="CódRastreio378"/>
    <n v="1"/>
    <s v="CPF 377"/>
    <s v="Nome 377"/>
    <s v="Tel 377"/>
    <s v="Cep 377"/>
    <s v="Rua 377"/>
    <s v="Comp 377"/>
    <s v="Mini Liquidificador"/>
    <s v="CK-YL6M-P5Y6"/>
    <d v="2024-12-06T00:00:00"/>
    <n v="31.5"/>
    <n v="31.5"/>
    <n v="4.0949999999999998"/>
    <n v="27.41"/>
    <n v="11.99"/>
    <n v="0.17"/>
    <n v="0.39877104377104378"/>
    <n v="0"/>
    <n v="14.851228956228956"/>
    <n v="7.4256144781144782"/>
    <x v="29"/>
    <x v="31"/>
    <x v="7"/>
    <d v="2024-12-16T00:00:00"/>
    <x v="0"/>
    <x v="0"/>
    <x v="2"/>
    <s v="ENTREGUE"/>
    <d v="2024-11-25T00:00:00"/>
    <x v="0"/>
    <m/>
    <n v="0"/>
    <n v="0"/>
    <n v="0"/>
    <n v="0"/>
    <n v="0"/>
  </r>
  <r>
    <x v="0"/>
    <s v="BV45614"/>
    <s v="Pedido 389"/>
    <d v="2024-11-18T00:00:00"/>
    <x v="8"/>
    <s v="PedidoF379"/>
    <s v="CódRastreio379"/>
    <n v="1"/>
    <s v="CPF 314"/>
    <s v="Nome 314"/>
    <s v="Tel 314"/>
    <s v="Cep 314"/>
    <s v="Rua 314"/>
    <s v="Comp 314"/>
    <s v="Mini Liquidificador"/>
    <s v="CK-YL6M-P5Y6"/>
    <d v="2024-12-10T00:00:00"/>
    <n v="31.5"/>
    <n v="31.5"/>
    <n v="4.0949999999999998"/>
    <n v="27.41"/>
    <n v="11.99"/>
    <n v="0.17"/>
    <n v="0.39877104377104378"/>
    <n v="0"/>
    <n v="14.851228956228956"/>
    <n v="7.4256144781144782"/>
    <x v="24"/>
    <x v="23"/>
    <x v="0"/>
    <d v="2025-01-02T00:00:00"/>
    <x v="0"/>
    <x v="0"/>
    <x v="2"/>
    <s v="ENTREGUE"/>
    <d v="2024-11-28T00:00:00"/>
    <x v="0"/>
    <m/>
    <n v="0"/>
    <n v="0"/>
    <n v="0"/>
    <n v="0"/>
    <n v="0"/>
  </r>
  <r>
    <x v="0"/>
    <s v="BV45615"/>
    <s v="Pedido 390"/>
    <d v="2024-11-19T00:00:00"/>
    <x v="29"/>
    <s v="PedidoF380"/>
    <s v="CódRastreio380"/>
    <n v="1"/>
    <s v="CPF 378"/>
    <s v="Nome 378"/>
    <s v="Tel 378"/>
    <s v="Cep 378"/>
    <s v="Rua 378"/>
    <s v="Comp 378"/>
    <s v="Ventilador de teto"/>
    <s v="BP-NHG2-B8C1"/>
    <d v="2024-12-10T00:00:00"/>
    <n v="48.99"/>
    <n v="48.99"/>
    <n v="6.3687000000000005"/>
    <n v="42.62"/>
    <n v="10.199999999999999"/>
    <n v="0.21"/>
    <n v="0.39877104377104378"/>
    <n v="0"/>
    <n v="31.811228956228952"/>
    <n v="15.905614478114476"/>
    <x v="24"/>
    <x v="23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5"/>
    <s v="Pedido 391"/>
    <d v="2024-11-19T00:00:00"/>
    <x v="29"/>
    <s v="PedidoF381"/>
    <s v="CódRastreio381"/>
    <n v="1"/>
    <s v="CPF 379"/>
    <s v="Nome 379"/>
    <s v="Tel 379"/>
    <s v="Cep 379"/>
    <s v="Rua 379"/>
    <s v="Comp 379"/>
    <s v="Ventilador Preto"/>
    <s v="MU-J80P-95WF"/>
    <d v="2024-12-10T00:00:00"/>
    <n v="59.2"/>
    <n v="59.2"/>
    <n v="7.6960000000000006"/>
    <n v="51.5"/>
    <n v="0"/>
    <n v="0.21"/>
    <n v="0.39877104377104378"/>
    <n v="0"/>
    <n v="50.891228956228957"/>
    <n v="25.445614478114479"/>
    <x v="24"/>
    <x v="36"/>
    <x v="0"/>
    <d v="2025-01-02T00:00:00"/>
    <x v="0"/>
    <x v="0"/>
    <x v="2"/>
    <s v="ENTREGUE"/>
    <d v="2024-11-29T00:00:00"/>
    <x v="0"/>
    <m/>
    <n v="0"/>
    <n v="0"/>
    <n v="0"/>
    <n v="0"/>
    <n v="0"/>
  </r>
  <r>
    <x v="0"/>
    <s v="BV45615"/>
    <s v="Pedido 392"/>
    <d v="2024-11-19T00:00:00"/>
    <x v="29"/>
    <s v="PedidoF382"/>
    <s v="CódRastreio382"/>
    <n v="1"/>
    <s v="CPF 380"/>
    <s v="Nome 380"/>
    <s v="Tel 380"/>
    <s v="Cep 380"/>
    <s v="Rua 380"/>
    <s v="Comp 380"/>
    <s v="Ventilador de teto"/>
    <s v="BP-NHG2-B8C1"/>
    <d v="2024-12-10T00:00:00"/>
    <n v="48.99"/>
    <n v="48.99"/>
    <n v="6.3687000000000005"/>
    <n v="42.62"/>
    <n v="10.199999999999999"/>
    <n v="0.21"/>
    <n v="0.39877104377104378"/>
    <n v="0"/>
    <n v="31.811228956228952"/>
    <n v="15.905614478114476"/>
    <x v="24"/>
    <x v="23"/>
    <x v="0"/>
    <d v="2025-01-02T00:00:00"/>
    <x v="0"/>
    <x v="0"/>
    <x v="2"/>
    <s v="ENTREGUE"/>
    <d v="2024-11-26T00:00:00"/>
    <x v="0"/>
    <m/>
    <n v="0"/>
    <n v="0"/>
    <n v="0"/>
    <n v="0"/>
    <n v="0"/>
  </r>
  <r>
    <x v="0"/>
    <s v="BV45615"/>
    <s v="Pedido 393"/>
    <d v="2024-11-19T00:00:00"/>
    <x v="29"/>
    <s v="PedidoF383"/>
    <s v="CódRastreio383"/>
    <n v="1"/>
    <s v="CPF 378"/>
    <s v="Nome 378"/>
    <s v="Tel 378"/>
    <s v="Cep 378"/>
    <s v="Rua 378"/>
    <s v="Comp 378"/>
    <s v="Ventilador de teto"/>
    <s v="BP-NHG2-B8C1"/>
    <d v="2024-12-10T00:00:00"/>
    <n v="48.99"/>
    <n v="48.99"/>
    <n v="6.3687000000000005"/>
    <n v="42.62"/>
    <n v="10.199999999999999"/>
    <n v="0.21"/>
    <n v="0.39877104377104378"/>
    <n v="0"/>
    <n v="31.811228956228952"/>
    <n v="15.905614478114476"/>
    <x v="24"/>
    <x v="23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5"/>
    <s v="Pedido 394"/>
    <d v="2024-11-19T00:00:00"/>
    <x v="29"/>
    <s v="PedidoF384"/>
    <s v="CódRastreio384"/>
    <n v="1"/>
    <s v="CPF 381"/>
    <s v="Nome 381"/>
    <s v="Tel 381"/>
    <s v="Cep 381"/>
    <s v="Rua 381"/>
    <s v="Comp 381"/>
    <s v="Lampada Led"/>
    <s v="RB-W251-UXV2"/>
    <d v="2024-12-17T00:00:00"/>
    <n v="27.99"/>
    <n v="27.99"/>
    <n v="3.6387"/>
    <n v="24.35"/>
    <n v="10.19"/>
    <n v="0.21"/>
    <n v="0.39877104377104378"/>
    <n v="0"/>
    <n v="13.551228956228957"/>
    <n v="6.7756144781144787"/>
    <x v="33"/>
    <x v="37"/>
    <x v="0"/>
    <d v="2025-01-02T00:00:00"/>
    <x v="0"/>
    <x v="0"/>
    <x v="2"/>
    <s v="ENTREGUE"/>
    <d v="2024-12-06T09:47:38"/>
    <x v="0"/>
    <m/>
    <n v="0"/>
    <n v="0"/>
    <n v="0"/>
    <n v="0"/>
    <n v="0"/>
  </r>
  <r>
    <x v="0"/>
    <s v="BV45615"/>
    <s v="Pedido 395"/>
    <d v="2024-11-19T00:00:00"/>
    <x v="29"/>
    <s v="PedidoF385"/>
    <s v="CódRastreio385"/>
    <n v="1"/>
    <s v="CPF 382"/>
    <s v="Nome 382"/>
    <s v="Tel 382"/>
    <s v="Cep 382"/>
    <s v="Rua 382"/>
    <s v="Comp 382"/>
    <s v="Mini Liquidificador"/>
    <s v="CK-YL6M-P5Y6"/>
    <d v="2024-12-11T00:00:00"/>
    <n v="31.5"/>
    <n v="31.5"/>
    <n v="4.0949999999999998"/>
    <n v="27.41"/>
    <n v="11.99"/>
    <n v="0.21"/>
    <n v="0.39877104377104378"/>
    <n v="0"/>
    <n v="14.811228956228955"/>
    <n v="7.4056144781144777"/>
    <x v="26"/>
    <x v="28"/>
    <x v="0"/>
    <d v="2025-01-02T00:00:00"/>
    <x v="0"/>
    <x v="0"/>
    <x v="2"/>
    <s v="ENTREGUE"/>
    <d v="2024-11-29T00:00:00"/>
    <x v="0"/>
    <m/>
    <n v="0"/>
    <n v="0"/>
    <n v="0"/>
    <n v="0"/>
    <n v="0"/>
  </r>
  <r>
    <x v="0"/>
    <s v="BV45615"/>
    <s v="Pedido 396"/>
    <d v="2024-11-19T00:00:00"/>
    <x v="29"/>
    <s v="PedidoF386"/>
    <s v="CódRastreio386"/>
    <n v="1"/>
    <s v="CPF 383"/>
    <s v="Nome 383"/>
    <s v="Tel 383"/>
    <s v="Cep 383"/>
    <s v="Rua 383"/>
    <s v="Comp 383"/>
    <s v="Ventilador de teto"/>
    <s v="BP-NHG2-B8C1"/>
    <d v="2024-12-17T00:00:00"/>
    <n v="48.99"/>
    <n v="48.99"/>
    <n v="6.3687000000000005"/>
    <n v="42.62"/>
    <n v="10.19"/>
    <n v="0.21"/>
    <n v="0.39877104377104378"/>
    <n v="0"/>
    <n v="31.821228956228953"/>
    <n v="15.910614478114477"/>
    <x v="33"/>
    <x v="37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5"/>
    <s v="Pedido 397"/>
    <d v="2024-11-19T00:00:00"/>
    <x v="29"/>
    <s v="PedidoF387"/>
    <s v="CódRastreio387"/>
    <n v="1"/>
    <s v="CPF 384"/>
    <s v="Nome 384"/>
    <s v="Tel 384"/>
    <s v="Cep 384"/>
    <s v="Rua 384"/>
    <s v="Comp 384"/>
    <s v="Ventilador de teto"/>
    <s v="BP-NHG2-B8C1"/>
    <d v="2024-12-17T00:00:00"/>
    <n v="48.99"/>
    <n v="48.99"/>
    <n v="6.3687000000000005"/>
    <n v="42.62"/>
    <n v="10.19"/>
    <n v="0.21"/>
    <n v="0.39877104377104378"/>
    <n v="0"/>
    <n v="31.821228956228953"/>
    <n v="15.910614478114477"/>
    <x v="33"/>
    <x v="37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5"/>
    <s v="Pedido 398"/>
    <d v="2024-11-19T00:00:00"/>
    <x v="29"/>
    <s v="PedidoF388"/>
    <s v="CódRastreio388"/>
    <n v="1"/>
    <s v="CPF 385"/>
    <s v="Nome 385"/>
    <s v="Tel 385"/>
    <s v="Cep 385"/>
    <s v="Rua 385"/>
    <s v="Comp 385"/>
    <s v="Mini Liquidificador"/>
    <s v="CK-YL6M-P5Y6"/>
    <d v="2024-12-17T00:00:00"/>
    <n v="31.5"/>
    <n v="31.5"/>
    <n v="4.0949999999999998"/>
    <n v="27.41"/>
    <n v="11.99"/>
    <n v="0.21"/>
    <n v="0.39877104377104378"/>
    <n v="0"/>
    <n v="14.811228956228955"/>
    <n v="7.4056144781144777"/>
    <x v="33"/>
    <x v="37"/>
    <x v="0"/>
    <d v="2025-01-02T00:00:00"/>
    <x v="0"/>
    <x v="0"/>
    <x v="2"/>
    <s v="ENTREGUE"/>
    <d v="2024-11-29T00:00:00"/>
    <x v="0"/>
    <m/>
    <n v="0"/>
    <n v="0"/>
    <n v="0"/>
    <n v="0"/>
    <n v="0"/>
  </r>
  <r>
    <x v="0"/>
    <s v="BV45615"/>
    <s v="Pedido 399"/>
    <d v="2024-11-19T00:00:00"/>
    <x v="29"/>
    <s v="PedidoF389"/>
    <s v="CódRastreio389"/>
    <n v="1"/>
    <s v="CPF 386"/>
    <s v="Nome 386"/>
    <s v="Tel 386"/>
    <s v="Cep 386"/>
    <s v="Rua 386"/>
    <s v="Comp 386"/>
    <s v="Mini Liquidificador"/>
    <s v="CK-YL6M-P5Y6"/>
    <d v="2024-12-07T00:00:00"/>
    <n v="31.5"/>
    <n v="31.5"/>
    <n v="4.0949999999999998"/>
    <n v="27.41"/>
    <n v="11.99"/>
    <n v="0.21"/>
    <n v="0.39877104377104378"/>
    <n v="0"/>
    <n v="14.811228956228955"/>
    <n v="7.4056144781144777"/>
    <x v="23"/>
    <x v="26"/>
    <x v="7"/>
    <d v="2024-12-16T00:00:00"/>
    <x v="0"/>
    <x v="0"/>
    <x v="2"/>
    <s v="ENTREGUE"/>
    <d v="2024-11-25T00:00:00"/>
    <x v="0"/>
    <m/>
    <n v="0"/>
    <n v="0"/>
    <n v="0"/>
    <n v="0"/>
    <n v="0"/>
  </r>
  <r>
    <x v="0"/>
    <s v="BV45615"/>
    <s v="Pedido 400"/>
    <d v="2024-11-19T00:00:00"/>
    <x v="29"/>
    <s v="PedidoF390"/>
    <s v="CódRastreio390"/>
    <n v="1"/>
    <s v="CPF 387"/>
    <s v="Nome 387"/>
    <s v="Tel 387"/>
    <s v="Cep 387"/>
    <s v="Rua 387"/>
    <s v="Comp 387"/>
    <s v="Ventilador Preto"/>
    <s v="MU-J80P-95WF"/>
    <d v="2024-12-17T00:00:00"/>
    <n v="59.2"/>
    <n v="59.2"/>
    <n v="7.6960000000000006"/>
    <n v="51.5"/>
    <n v="10.19"/>
    <n v="0.21"/>
    <n v="0.39877104377104378"/>
    <n v="0"/>
    <n v="40.70122895622896"/>
    <n v="20.35061447811448"/>
    <x v="33"/>
    <x v="37"/>
    <x v="0"/>
    <d v="2025-01-02T00:00:00"/>
    <x v="0"/>
    <x v="0"/>
    <x v="2"/>
    <s v="ENTREGUE"/>
    <d v="2024-12-17T00:00:00"/>
    <x v="0"/>
    <m/>
    <n v="0"/>
    <n v="0"/>
    <n v="0"/>
    <n v="0"/>
    <n v="0"/>
  </r>
  <r>
    <x v="0"/>
    <s v="BV45615"/>
    <s v="Pedido 401"/>
    <d v="2024-11-19T00:00:00"/>
    <x v="29"/>
    <s v="PedidoF391"/>
    <s v="CódRastreio391"/>
    <n v="1"/>
    <s v="CPF 388"/>
    <s v="Nome 388"/>
    <s v="Tel 388"/>
    <s v="Cep 388"/>
    <s v="Rua 388"/>
    <s v="Comp 388"/>
    <s v="Mini Liquidificador"/>
    <s v="CK-YL6M-P5Y6"/>
    <d v="2024-12-11T00:00:00"/>
    <n v="31.5"/>
    <n v="31.5"/>
    <n v="4.0949999999999998"/>
    <n v="27.41"/>
    <n v="11.99"/>
    <n v="0.21"/>
    <n v="0.39877104377104378"/>
    <n v="0"/>
    <n v="14.811228956228955"/>
    <n v="7.4056144781144777"/>
    <x v="26"/>
    <x v="28"/>
    <x v="0"/>
    <d v="2025-01-02T00:00:00"/>
    <x v="0"/>
    <x v="0"/>
    <x v="2"/>
    <s v="ENTREGUE"/>
    <d v="2024-11-28T00:00:00"/>
    <x v="0"/>
    <m/>
    <n v="0"/>
    <n v="0"/>
    <n v="0"/>
    <n v="0"/>
    <n v="0"/>
  </r>
  <r>
    <x v="0"/>
    <s v="BV45615"/>
    <s v="Pedido 402"/>
    <d v="2024-11-19T00:00:00"/>
    <x v="29"/>
    <s v="PedidoF392"/>
    <s v="CódRastreio392"/>
    <n v="1"/>
    <s v="CPF 389"/>
    <s v="Nome 389"/>
    <s v="Tel 389"/>
    <s v="Cep 389"/>
    <s v="Rua 389"/>
    <s v="Comp 389"/>
    <s v="Ventilador de teto"/>
    <s v="BP-NHG2-B8C1"/>
    <d v="2024-12-17T00:00:00"/>
    <n v="48.99"/>
    <n v="48.99"/>
    <n v="6.3687000000000005"/>
    <n v="42.62"/>
    <n v="10.19"/>
    <n v="0.21"/>
    <n v="0.39877104377104378"/>
    <n v="0"/>
    <n v="31.821228956228953"/>
    <n v="15.910614478114477"/>
    <x v="33"/>
    <x v="37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45615"/>
    <s v="Pedido 403"/>
    <d v="2024-11-19T00:00:00"/>
    <x v="29"/>
    <s v="PedidoF393"/>
    <s v="CódRastreio393"/>
    <n v="1"/>
    <s v="CPF 390"/>
    <s v="Nome 390"/>
    <s v="Tel 390"/>
    <s v="Cep 390"/>
    <s v="Rua 390"/>
    <s v="Comp 390"/>
    <s v="Garrafa Termica"/>
    <s v="FM-QQ8Y-RZT4"/>
    <d v="2024-12-05T00:00:00"/>
    <n v="22.5"/>
    <n v="22.5"/>
    <n v="2.9250000000000003"/>
    <n v="19.579999999999998"/>
    <n v="11.99"/>
    <n v="0.21"/>
    <n v="0.39877104377104378"/>
    <n v="0"/>
    <n v="6.9812289562289536"/>
    <n v="3.4906144781144768"/>
    <x v="28"/>
    <x v="30"/>
    <x v="7"/>
    <d v="2024-12-16T00:00:00"/>
    <x v="0"/>
    <x v="0"/>
    <x v="2"/>
    <s v="ENTREGUE"/>
    <d v="2024-11-26T00:00:00"/>
    <x v="0"/>
    <m/>
    <n v="0"/>
    <n v="0"/>
    <n v="0"/>
    <n v="0"/>
    <n v="0"/>
  </r>
  <r>
    <x v="0"/>
    <s v="BV45616"/>
    <s v="Pedido 404"/>
    <d v="2024-11-20T00:00:00"/>
    <x v="30"/>
    <s v="PedidoF394"/>
    <s v="CódRastreio394"/>
    <n v="1"/>
    <s v="CPF 391"/>
    <s v="Nome 391"/>
    <s v="Tel 391"/>
    <s v="Cep 391"/>
    <s v="Rua 391"/>
    <s v="Comp 391"/>
    <s v="Ventilador Umidificador Branco"/>
    <s v="IA-LLX9-MRV1"/>
    <d v="2024-12-17T00:00:00"/>
    <n v="52.99"/>
    <n v="52.99"/>
    <n v="7.4186000000000014"/>
    <n v="45.57"/>
    <n v="10.18"/>
    <n v="0.31"/>
    <n v="0.39877104377104378"/>
    <n v="0"/>
    <n v="34.681228956228956"/>
    <n v="17.340614478114478"/>
    <x v="33"/>
    <x v="37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-"/>
    <s v="Pedido 405"/>
    <d v="2024-12-01T00:00:00"/>
    <x v="0"/>
    <s v="-"/>
    <s v="-"/>
    <n v="1"/>
    <s v="CPF 392"/>
    <s v="Nome 392"/>
    <s v="Tel 392"/>
    <s v="Cep 392"/>
    <s v="Rua 392"/>
    <s v="Comp 392"/>
    <s v="Ventilador de teto"/>
    <s v="BP-NHG2-B8C1"/>
    <d v="2024-12-11T00:00:00"/>
    <n v="48.99"/>
    <n v="48.99"/>
    <n v="6.3687000000000005"/>
    <n v="42.62"/>
    <n v="0"/>
    <n v="0"/>
    <n v="0"/>
    <n v="0"/>
    <n v="42.62"/>
    <n v="21.31"/>
    <x v="26"/>
    <x v="28"/>
    <x v="0"/>
    <d v="2025-01-02T00:00:00"/>
    <x v="0"/>
    <x v="0"/>
    <x v="0"/>
    <s v="-"/>
    <s v="-"/>
    <x v="0"/>
    <m/>
    <n v="1.27"/>
    <n v="0"/>
    <n v="0"/>
    <n v="0"/>
    <n v="1.27"/>
  </r>
  <r>
    <x v="0"/>
    <s v="BV45616"/>
    <s v="Pedido 406"/>
    <d v="2024-11-20T00:00:00"/>
    <x v="30"/>
    <s v="PedidoF395"/>
    <s v="CódRastreio395"/>
    <n v="1"/>
    <s v="CPF 393"/>
    <s v="Nome 393"/>
    <s v="Tel 393"/>
    <s v="Cep 393"/>
    <s v="Rua 393"/>
    <s v="Comp 393"/>
    <s v="Ventilador Preto"/>
    <s v="MU-J80P-95WF"/>
    <d v="2024-12-11T00:00:00"/>
    <n v="59.2"/>
    <n v="59.2"/>
    <n v="7.6960000000000006"/>
    <n v="51.5"/>
    <n v="10.81"/>
    <n v="0.31"/>
    <n v="0.39877104377104378"/>
    <n v="0"/>
    <n v="39.981228956228954"/>
    <n v="19.990614478114477"/>
    <x v="26"/>
    <x v="28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45616"/>
    <s v="Pedido 407"/>
    <d v="2024-11-20T00:00:00"/>
    <x v="30"/>
    <s v="PedidoF396"/>
    <s v="CódRastreio396"/>
    <n v="1"/>
    <s v="CPF 394"/>
    <s v="Nome 394"/>
    <s v="Tel 394"/>
    <s v="Cep 394"/>
    <s v="Rua 394"/>
    <s v="Comp 394"/>
    <s v="Ventilador Preto"/>
    <s v="MU-J80P-95WF"/>
    <d v="2024-12-11T00:00:00"/>
    <n v="59.2"/>
    <n v="59.2"/>
    <n v="7.6960000000000006"/>
    <n v="51.5"/>
    <n v="11.14"/>
    <n v="0.31"/>
    <n v="0.39877104377104378"/>
    <n v="0"/>
    <n v="39.651228956228955"/>
    <n v="19.825614478114478"/>
    <x v="26"/>
    <x v="28"/>
    <x v="0"/>
    <d v="2025-01-02T00:00:00"/>
    <x v="0"/>
    <x v="0"/>
    <x v="2"/>
    <s v="ENTREGUE"/>
    <d v="2024-11-27T00:00:00"/>
    <x v="0"/>
    <m/>
    <n v="0"/>
    <n v="0"/>
    <n v="0"/>
    <n v="0"/>
    <n v="0"/>
  </r>
  <r>
    <x v="0"/>
    <s v="BV45616"/>
    <s v="Pedido 408"/>
    <d v="2024-11-20T00:00:00"/>
    <x v="30"/>
    <s v="PedidoF397"/>
    <s v="CódRastreio397"/>
    <n v="1"/>
    <s v="CPF 395"/>
    <s v="Nome 395"/>
    <s v="Tel 395"/>
    <s v="Cep 395"/>
    <s v="Rua 395"/>
    <s v="Comp 395"/>
    <s v="Ventilador Preto"/>
    <s v="MU-J80P-95WF"/>
    <d v="2024-12-11T00:00:00"/>
    <n v="59.2"/>
    <n v="59.2"/>
    <n v="7.6960000000000006"/>
    <n v="51.5"/>
    <n v="11.14"/>
    <n v="0.31"/>
    <n v="0.39877104377104378"/>
    <n v="0"/>
    <n v="39.651228956228955"/>
    <n v="19.825614478114478"/>
    <x v="26"/>
    <x v="28"/>
    <x v="0"/>
    <d v="2025-01-02T00:00:00"/>
    <x v="0"/>
    <x v="0"/>
    <x v="2"/>
    <s v="ENTREGUE"/>
    <d v="2024-12-06T14:25:07"/>
    <x v="0"/>
    <m/>
    <n v="0"/>
    <n v="0"/>
    <n v="0"/>
    <n v="0"/>
    <n v="0"/>
  </r>
  <r>
    <x v="0"/>
    <s v="BV45616"/>
    <s v="Pedido 409"/>
    <d v="2024-11-20T00:00:00"/>
    <x v="30"/>
    <s v="PedidoF398"/>
    <s v="CódRastreio398"/>
    <n v="1"/>
    <s v="CPF 396"/>
    <s v="Nome 396"/>
    <s v="Tel 396"/>
    <s v="Cep 396"/>
    <s v="Rua 396"/>
    <s v="Comp 396"/>
    <s v="Garrafa Termica"/>
    <s v="FM-QQ8Y-RZT4"/>
    <d v="2024-12-05T00:00:00"/>
    <n v="22.5"/>
    <n v="22.5"/>
    <n v="2.9250000000000003"/>
    <n v="19.579999999999998"/>
    <n v="10.18"/>
    <n v="0.31"/>
    <n v="0.39877104377104378"/>
    <n v="0"/>
    <n v="8.6912289562289544"/>
    <n v="4.3456144781144772"/>
    <x v="28"/>
    <x v="30"/>
    <x v="7"/>
    <d v="2024-12-16T00:00:00"/>
    <x v="0"/>
    <x v="0"/>
    <x v="2"/>
    <s v="ENTREGUE"/>
    <d v="2024-12-02T00:00:00"/>
    <x v="0"/>
    <m/>
    <n v="0"/>
    <n v="0"/>
    <n v="0"/>
    <n v="0"/>
    <n v="0"/>
  </r>
  <r>
    <x v="0"/>
    <s v="BV45616"/>
    <s v="Pedido 410"/>
    <d v="2024-11-20T00:00:00"/>
    <x v="30"/>
    <s v="PedidoF399"/>
    <s v="CódRastreio399"/>
    <n v="1"/>
    <s v="CPF 397"/>
    <s v="Nome 397"/>
    <s v="Tel 397"/>
    <s v="Cep 397"/>
    <s v="Rua 397"/>
    <s v="Comp 397"/>
    <s v="Suporte de Celular Preto"/>
    <s v="9G-BN48-QAPH"/>
    <d v="2024-12-11T00:00:00"/>
    <n v="18.100000000000001"/>
    <n v="18.100000000000001"/>
    <n v="2.7150000000000003"/>
    <n v="15.39"/>
    <n v="6.99"/>
    <n v="0.31"/>
    <n v="0.39877104377104378"/>
    <n v="0"/>
    <n v="7.6912289562289571"/>
    <n v="3.8456144781144785"/>
    <x v="26"/>
    <x v="28"/>
    <x v="0"/>
    <d v="2025-01-02T00:00:00"/>
    <x v="0"/>
    <x v="0"/>
    <x v="2"/>
    <s v="ENTREGUE"/>
    <d v="2024-11-29T00:00:00"/>
    <x v="0"/>
    <m/>
    <n v="0"/>
    <n v="0"/>
    <n v="0"/>
    <n v="0"/>
    <n v="0"/>
  </r>
  <r>
    <x v="0"/>
    <s v="BV45616"/>
    <s v="Pedido 411"/>
    <d v="2024-11-20T00:00:00"/>
    <x v="30"/>
    <s v="PedidoF400"/>
    <s v="CódRastreio400"/>
    <n v="1"/>
    <s v="CPF 398"/>
    <s v="Nome 398"/>
    <s v="Tel 398"/>
    <s v="Cep 398"/>
    <s v="Rua 398"/>
    <s v="Comp 398"/>
    <s v="Mini Mixer Misturador"/>
    <s v="FK-T01D-KZC5"/>
    <d v="2024-12-17T00:00:00"/>
    <n v="18.989999999999998"/>
    <n v="18.989999999999998"/>
    <n v="2.4686999999999997"/>
    <n v="16.52"/>
    <n v="6.99"/>
    <n v="0.31"/>
    <n v="0.39877104377104378"/>
    <n v="0"/>
    <n v="8.821228956228957"/>
    <n v="4.4106144781144785"/>
    <x v="33"/>
    <x v="37"/>
    <x v="0"/>
    <d v="2025-01-02T00:00:00"/>
    <x v="0"/>
    <x v="0"/>
    <x v="2"/>
    <s v="ENTREGUE"/>
    <d v="2024-11-26T00:00:00"/>
    <x v="0"/>
    <m/>
    <n v="0"/>
    <n v="0"/>
    <n v="0"/>
    <n v="0"/>
    <n v="0"/>
  </r>
  <r>
    <x v="0"/>
    <s v="BV45616"/>
    <s v="Pedido 412"/>
    <d v="2024-11-20T00:00:00"/>
    <x v="30"/>
    <s v="PedidoF401"/>
    <s v="CódRastreio401"/>
    <n v="1"/>
    <s v="CPF 399"/>
    <s v="Nome 399"/>
    <s v="Tel 399"/>
    <s v="Cep 399"/>
    <s v="Rua 399"/>
    <s v="Comp 399"/>
    <s v="Mini Liquidificador"/>
    <s v="CK-YL6M-P5Y6"/>
    <d v="2024-12-11T00:00:00"/>
    <n v="31.5"/>
    <n v="31.5"/>
    <n v="4.0949999999999998"/>
    <n v="27.41"/>
    <n v="13.99"/>
    <n v="0.31"/>
    <n v="0.39877104377104378"/>
    <n v="0"/>
    <n v="12.711228956228956"/>
    <n v="6.3556144781144779"/>
    <x v="26"/>
    <x v="28"/>
    <x v="0"/>
    <d v="2025-01-02T00:00:00"/>
    <x v="0"/>
    <x v="0"/>
    <x v="2"/>
    <s v="ENTREGUE"/>
    <d v="2024-11-28T00:00:00"/>
    <x v="0"/>
    <m/>
    <n v="0"/>
    <n v="0"/>
    <n v="0"/>
    <n v="0"/>
    <n v="0"/>
  </r>
  <r>
    <x v="0"/>
    <s v="BV45616"/>
    <s v="Pedido 413"/>
    <d v="2024-11-20T00:00:00"/>
    <x v="30"/>
    <s v="PedidoF402"/>
    <s v="CódRastreio402"/>
    <n v="1"/>
    <s v="CPF 400"/>
    <s v="Nome 400"/>
    <s v="Tel 400"/>
    <s v="Cep 400"/>
    <s v="Rua 400"/>
    <s v="Comp 400"/>
    <s v="Ventilador Rosa"/>
    <s v="IF-G2ZQ-79FO"/>
    <d v="2024-12-17T00:00:00"/>
    <n v="59.2"/>
    <n v="59.2"/>
    <n v="7.6960000000000006"/>
    <n v="51.5"/>
    <n v="10.59"/>
    <n v="0.31"/>
    <n v="0.39877104377104378"/>
    <n v="0"/>
    <n v="40.20122895622896"/>
    <n v="20.10061447811448"/>
    <x v="33"/>
    <x v="37"/>
    <x v="0"/>
    <d v="2025-01-02T00:00:00"/>
    <x v="0"/>
    <x v="0"/>
    <x v="2"/>
    <s v="ENTREGUE"/>
    <d v="2024-12-03T00:00:00"/>
    <x v="0"/>
    <m/>
    <n v="0"/>
    <n v="0"/>
    <n v="0"/>
    <n v="0"/>
    <n v="0"/>
  </r>
  <r>
    <x v="0"/>
    <s v="BV45616"/>
    <s v="Pedido 414"/>
    <d v="2024-11-20T00:00:00"/>
    <x v="30"/>
    <s v="PedidoF403"/>
    <s v="CódRastreio403"/>
    <n v="1"/>
    <s v="CPF 401"/>
    <s v="Nome 401"/>
    <s v="Tel 401"/>
    <s v="Cep 401"/>
    <s v="Rua 401"/>
    <s v="Comp 401"/>
    <s v="Mini Mixer Misturador"/>
    <s v="FK-T01D-KZC5"/>
    <d v="2024-12-17T00:00:00"/>
    <n v="18.989999999999998"/>
    <n v="18.989999999999998"/>
    <n v="2.4686999999999997"/>
    <n v="16.52"/>
    <n v="6.99"/>
    <n v="0.31"/>
    <n v="0.39877104377104378"/>
    <n v="0"/>
    <n v="8.821228956228957"/>
    <n v="4.4106144781144785"/>
    <x v="33"/>
    <x v="37"/>
    <x v="0"/>
    <d v="2025-01-02T00:00:00"/>
    <x v="0"/>
    <x v="0"/>
    <x v="2"/>
    <s v="ENTREGUE"/>
    <d v="2024-11-26T00:00:00"/>
    <x v="0"/>
    <m/>
    <n v="0"/>
    <n v="0"/>
    <n v="0"/>
    <n v="0"/>
    <n v="0"/>
  </r>
  <r>
    <x v="0"/>
    <s v="BV45617"/>
    <s v="Pedido 415"/>
    <d v="2024-11-21T00:00:00"/>
    <x v="6"/>
    <s v="PedidoF404"/>
    <s v="CódRastreio404"/>
    <n v="1"/>
    <s v="CPF 402"/>
    <s v="Nome 402"/>
    <s v="Tel 402"/>
    <s v="Cep 402"/>
    <s v="Rua 402"/>
    <s v="Comp 402"/>
    <s v="Adaptador Bluetooph"/>
    <s v="YA-AG3H-SPUK"/>
    <d v="2024-12-18T00:00:00"/>
    <n v="16.989999999999998"/>
    <n v="16.989999999999998"/>
    <n v="2.0387999999999997"/>
    <n v="14.95"/>
    <n v="6.99"/>
    <n v="0.21"/>
    <n v="0.39877104377104378"/>
    <n v="0"/>
    <n v="7.3512289562289554"/>
    <n v="3.6756144781144777"/>
    <x v="34"/>
    <x v="38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-"/>
    <s v="Pedido 415"/>
    <d v="2024-12-01T00:00:00"/>
    <x v="0"/>
    <s v="-"/>
    <s v="-"/>
    <n v="1"/>
    <s v="CPF 402"/>
    <s v="Nome 402"/>
    <s v="Tel 402"/>
    <s v="Cep 402"/>
    <s v="Rua 402"/>
    <s v="Comp 402"/>
    <s v="Adaptador Bluetooph"/>
    <s v="YA-AG3H-SPUK"/>
    <d v="2024-12-18T00:00:00"/>
    <n v="16.989999999999998"/>
    <n v="16.989999999999998"/>
    <n v="2.0387999999999997"/>
    <n v="14.95"/>
    <n v="0"/>
    <n v="0"/>
    <n v="0"/>
    <n v="0"/>
    <n v="14.95"/>
    <n v="7.4749999999999996"/>
    <x v="34"/>
    <x v="38"/>
    <x v="0"/>
    <d v="2025-01-02T00:00:00"/>
    <x v="0"/>
    <x v="0"/>
    <x v="0"/>
    <s v="-"/>
    <s v="-"/>
    <x v="0"/>
    <m/>
    <n v="0"/>
    <n v="0"/>
    <n v="0"/>
    <n v="0"/>
    <n v="0"/>
  </r>
  <r>
    <x v="0"/>
    <s v="BV45617"/>
    <s v="Pedido 416"/>
    <d v="2024-11-21T00:00:00"/>
    <x v="6"/>
    <s v="PedidoF405"/>
    <s v="CódRastreio405"/>
    <n v="1"/>
    <s v="CPF 403"/>
    <s v="Nome 403"/>
    <s v="Tel 403"/>
    <s v="Cep 403"/>
    <s v="Rua 403"/>
    <s v="Comp 403"/>
    <s v="Suporte de Celular Preto"/>
    <s v="9G-BN48-QAPH"/>
    <d v="2024-12-06T00:00:00"/>
    <n v="18.100000000000001"/>
    <n v="18.100000000000001"/>
    <n v="2.7150000000000003"/>
    <n v="15.39"/>
    <n v="6.99"/>
    <n v="0.21"/>
    <n v="0.39877104377104378"/>
    <n v="0"/>
    <n v="7.7912289562289567"/>
    <n v="3.8956144781144784"/>
    <x v="29"/>
    <x v="31"/>
    <x v="7"/>
    <d v="2024-12-16T00:00:00"/>
    <x v="0"/>
    <x v="0"/>
    <x v="2"/>
    <s v="ENTREGUE"/>
    <d v="2024-11-25T00:00:00"/>
    <x v="0"/>
    <m/>
    <n v="0"/>
    <n v="0"/>
    <n v="0"/>
    <n v="0"/>
    <n v="0"/>
  </r>
  <r>
    <x v="0"/>
    <s v="BV45617"/>
    <s v="Pedido 417"/>
    <d v="2024-11-21T00:00:00"/>
    <x v="6"/>
    <s v="PedidoF406"/>
    <s v="CódRastreio406"/>
    <n v="1"/>
    <s v="CPF 404"/>
    <s v="Nome 404"/>
    <s v="Tel 404"/>
    <s v="Cep 404"/>
    <s v="Rua 404"/>
    <s v="Comp 404"/>
    <s v="Ventilador Preto"/>
    <s v="MU-J80P-95WF"/>
    <d v="2024-12-12T00:00:00"/>
    <n v="59.2"/>
    <n v="59.2"/>
    <n v="7.6960000000000006"/>
    <n v="51.5"/>
    <n v="16.010000000000002"/>
    <n v="0.21"/>
    <n v="0.39877104377104378"/>
    <n v="0"/>
    <n v="34.881228956228952"/>
    <n v="17.440614478114476"/>
    <x v="1"/>
    <x v="1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45617"/>
    <s v="Pedido 418"/>
    <d v="2024-11-21T00:00:00"/>
    <x v="6"/>
    <s v="PedidoF407"/>
    <s v="CódRastreio407"/>
    <n v="1"/>
    <s v="CPF 404"/>
    <s v="Nome 404"/>
    <s v="Tel 404"/>
    <s v="Cep 404"/>
    <s v="Rua 404"/>
    <s v="Comp 404"/>
    <s v="Ventilador Preto"/>
    <s v="MU-J80P-95WF"/>
    <d v="2024-12-12T00:00:00"/>
    <n v="59.2"/>
    <n v="59.2"/>
    <n v="7.6960000000000006"/>
    <n v="51.5"/>
    <n v="16.010000000000002"/>
    <n v="0.21"/>
    <n v="0.39877104377104378"/>
    <n v="0"/>
    <n v="34.881228956228952"/>
    <n v="17.440614478114476"/>
    <x v="1"/>
    <x v="1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45617"/>
    <s v="Pedido 419"/>
    <d v="2024-11-21T00:00:00"/>
    <x v="6"/>
    <s v="PedidoF408"/>
    <s v="CódRastreio408"/>
    <n v="1"/>
    <s v="CPF 405"/>
    <s v="Nome 405"/>
    <s v="Tel 405"/>
    <s v="Cep 405"/>
    <s v="Rua 405"/>
    <s v="Comp 405"/>
    <s v="Ventilador Rosa"/>
    <s v="IF-G2ZQ-79FO"/>
    <d v="2024-12-27T00:00:00"/>
    <n v="59.2"/>
    <n v="59.2"/>
    <n v="7.6960000000000006"/>
    <n v="51.5"/>
    <n v="15.36"/>
    <n v="0.21"/>
    <n v="0.39877104377104378"/>
    <n v="0"/>
    <n v="35.531228956228958"/>
    <n v="17.765614478114479"/>
    <x v="35"/>
    <x v="36"/>
    <x v="9"/>
    <d v="2025-01-16T00:00:00"/>
    <x v="2"/>
    <x v="0"/>
    <x v="2"/>
    <s v="ENTREGUE"/>
    <d v="2024-12-10T00:00:00"/>
    <x v="0"/>
    <m/>
    <n v="0"/>
    <n v="0"/>
    <n v="0"/>
    <n v="0"/>
    <n v="0"/>
  </r>
  <r>
    <x v="0"/>
    <s v="BV45617"/>
    <s v="Pedido 420"/>
    <d v="2024-11-21T00:00:00"/>
    <x v="6"/>
    <s v="PedidoF409"/>
    <s v="CódRastreio409"/>
    <n v="1"/>
    <s v="CPF 406"/>
    <s v="Nome 406"/>
    <s v="Tel 406"/>
    <s v="Cep 406"/>
    <s v="Rua 406"/>
    <s v="Comp 406"/>
    <s v="Ventilador Azul"/>
    <s v="U8-2VWS-OB6M"/>
    <d v="2024-12-27T00:00:00"/>
    <n v="59.2"/>
    <n v="59.2"/>
    <n v="7.6960000000000006"/>
    <n v="51.5"/>
    <n v="15.36"/>
    <n v="0.21"/>
    <n v="0.39877104377104378"/>
    <n v="0"/>
    <n v="35.531228956228958"/>
    <n v="17.765614478114479"/>
    <x v="35"/>
    <x v="36"/>
    <x v="9"/>
    <d v="2025-01-16T00:00:00"/>
    <x v="2"/>
    <x v="0"/>
    <x v="2"/>
    <s v="ENTREGUE"/>
    <d v="2024-12-03T00:00:00"/>
    <x v="0"/>
    <m/>
    <n v="0"/>
    <n v="0"/>
    <n v="0"/>
    <n v="0"/>
    <n v="0"/>
  </r>
  <r>
    <x v="0"/>
    <s v="BV45617"/>
    <s v="Pedido 421"/>
    <d v="2024-11-21T00:00:00"/>
    <x v="6"/>
    <s v="PedidoF410"/>
    <s v="CódRastreio410"/>
    <n v="1"/>
    <s v="CPF 407"/>
    <s v="Nome 407"/>
    <s v="Tel 407"/>
    <s v="Cep 407"/>
    <s v="Rua 407"/>
    <s v="Comp 407"/>
    <s v="Ventilador Rosa"/>
    <s v="IF-G2ZQ-79FO"/>
    <d v="2024-12-27T00:00:00"/>
    <n v="59.2"/>
    <n v="59.2"/>
    <n v="7.6960000000000006"/>
    <n v="51.5"/>
    <n v="15.36"/>
    <n v="0.21"/>
    <n v="0.39877104377104378"/>
    <n v="0"/>
    <n v="35.531228956228958"/>
    <n v="17.765614478114479"/>
    <x v="35"/>
    <x v="36"/>
    <x v="9"/>
    <d v="2025-01-16T00:00:00"/>
    <x v="2"/>
    <x v="0"/>
    <x v="2"/>
    <s v="ENTREGUE"/>
    <d v="2024-12-20T00:00:00"/>
    <x v="0"/>
    <m/>
    <n v="0"/>
    <n v="0"/>
    <n v="0"/>
    <n v="0"/>
    <n v="0"/>
  </r>
  <r>
    <x v="0"/>
    <s v="BV45617"/>
    <s v="Pedido 422"/>
    <d v="2024-11-21T00:00:00"/>
    <x v="6"/>
    <s v="PedidoF411"/>
    <s v="CódRastreio411"/>
    <n v="1"/>
    <s v="CPF 408"/>
    <s v="Nome 408"/>
    <s v="Tel 408"/>
    <s v="Cep 408"/>
    <s v="Rua 408"/>
    <s v="Comp 408"/>
    <s v="Ventilador Preto"/>
    <s v="MU-J80P-95WF"/>
    <d v="2024-12-12T00:00:00"/>
    <n v="59.2"/>
    <n v="59.2"/>
    <n v="7.6960000000000006"/>
    <n v="51.5"/>
    <n v="16.010000000000002"/>
    <n v="0.21"/>
    <n v="0.39877104377104378"/>
    <n v="0"/>
    <n v="34.881228956228952"/>
    <n v="17.440614478114476"/>
    <x v="1"/>
    <x v="1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-"/>
    <s v="Pedido 423"/>
    <d v="2024-12-01T00:00:00"/>
    <x v="0"/>
    <s v="-"/>
    <s v="-"/>
    <n v="1"/>
    <s v="CPF 409"/>
    <s v="Nome 409"/>
    <s v="Tel 409"/>
    <s v="Cep 409"/>
    <s v="Rua 409"/>
    <s v="Comp 409"/>
    <s v="Bomba d'agua"/>
    <s v="DJ-RO5O-43GF"/>
    <d v="2024-12-06T00:00:00"/>
    <n v="18.5"/>
    <n v="18.5"/>
    <n v="2.5900000000000003"/>
    <n v="15.91"/>
    <n v="0"/>
    <n v="0"/>
    <n v="0"/>
    <n v="0"/>
    <n v="15.91"/>
    <n v="7.9550000000000001"/>
    <x v="29"/>
    <x v="31"/>
    <x v="7"/>
    <d v="2024-12-16T00:00:00"/>
    <x v="0"/>
    <x v="0"/>
    <x v="0"/>
    <s v="-"/>
    <s v="-"/>
    <x v="0"/>
    <m/>
    <n v="0.52"/>
    <n v="0"/>
    <n v="0"/>
    <n v="0"/>
    <n v="0.52"/>
  </r>
  <r>
    <x v="0"/>
    <s v="BV-"/>
    <s v="Pedido 424"/>
    <d v="2024-12-01T00:00:00"/>
    <x v="0"/>
    <s v="-"/>
    <s v="-"/>
    <n v="1"/>
    <s v="CPF 410"/>
    <s v="Nome 410"/>
    <s v="Tel 410"/>
    <s v="Cep 410"/>
    <s v="Rua 410"/>
    <s v="Comp 410"/>
    <s v="Garrafa Termica"/>
    <s v="FM-QQ8Y-RZT4"/>
    <d v="2024-12-18T00:00:00"/>
    <n v="22.5"/>
    <n v="22.5"/>
    <n v="2.9250000000000003"/>
    <n v="19.579999999999998"/>
    <n v="0"/>
    <n v="0"/>
    <n v="0"/>
    <n v="0"/>
    <n v="19.579999999999998"/>
    <n v="9.7899999999999991"/>
    <x v="34"/>
    <x v="38"/>
    <x v="0"/>
    <d v="2025-01-02T00:00:00"/>
    <x v="0"/>
    <x v="0"/>
    <x v="0"/>
    <s v="-"/>
    <s v="-"/>
    <x v="0"/>
    <m/>
    <n v="0.59"/>
    <n v="0"/>
    <n v="0"/>
    <n v="0"/>
    <n v="0.59"/>
  </r>
  <r>
    <x v="0"/>
    <s v="BV45617"/>
    <s v="Pedido 425"/>
    <d v="2024-11-21T00:00:00"/>
    <x v="6"/>
    <s v="PedidoF412"/>
    <s v="CódRastreio412"/>
    <n v="1"/>
    <s v="CPF 411"/>
    <s v="Nome 411"/>
    <s v="Tel 411"/>
    <s v="Cep 411"/>
    <s v="Rua 411"/>
    <s v="Comp 411"/>
    <s v="Adaptador Bluetooph"/>
    <s v="YA-AG3H-SPUK"/>
    <d v="2024-12-06T00:00:00"/>
    <n v="16.989999999999998"/>
    <n v="16.989999999999998"/>
    <n v="2.0387999999999997"/>
    <n v="14.95"/>
    <n v="6.99"/>
    <n v="0.21"/>
    <n v="0.39877104377104378"/>
    <n v="0"/>
    <n v="7.3512289562289554"/>
    <n v="3.6756144781144777"/>
    <x v="29"/>
    <x v="31"/>
    <x v="7"/>
    <d v="2024-12-16T00:00:00"/>
    <x v="0"/>
    <x v="0"/>
    <x v="2"/>
    <s v="ENTREGUE"/>
    <d v="2024-11-27T00:00:00"/>
    <x v="0"/>
    <m/>
    <n v="0"/>
    <n v="0"/>
    <n v="0"/>
    <n v="0"/>
    <n v="0"/>
  </r>
  <r>
    <x v="0"/>
    <s v="BV45618"/>
    <s v="Pedido 426"/>
    <d v="2024-11-22T00:00:00"/>
    <x v="31"/>
    <s v="PedidoF413"/>
    <s v="CódRastreio413"/>
    <n v="1"/>
    <s v="CPF 412"/>
    <s v="Nome 412"/>
    <s v="Tel 412"/>
    <s v="Cep 412"/>
    <s v="Rua 412"/>
    <s v="Comp 412"/>
    <s v="Adaptador Bluetooph"/>
    <s v="YA-AG3H-SPUK"/>
    <d v="2024-12-19T00:00:00"/>
    <n v="16.990000000000002"/>
    <n v="16.990000000000002"/>
    <n v="2.0388000000000002"/>
    <n v="14.95"/>
    <n v="0"/>
    <n v="0.4"/>
    <n v="0.39877104377104378"/>
    <n v="0"/>
    <n v="14.151228956228955"/>
    <n v="7.0756144781144776"/>
    <x v="31"/>
    <x v="34"/>
    <x v="8"/>
    <d v="2025-01-02T00:00:00"/>
    <x v="0"/>
    <x v="0"/>
    <x v="2"/>
    <s v="ENTREGUE"/>
    <d v="2024-12-04T00:00:00"/>
    <x v="0"/>
    <m/>
    <n v="0"/>
    <n v="0"/>
    <n v="0"/>
    <n v="0"/>
    <n v="0"/>
  </r>
  <r>
    <x v="0"/>
    <s v="BV45621"/>
    <s v="Pedido 426"/>
    <d v="2024-11-25T00:00:00"/>
    <x v="32"/>
    <s v="PedidoF414"/>
    <s v="CódRastreio414"/>
    <n v="1"/>
    <s v="CPF 412"/>
    <s v="Nome 412"/>
    <s v="Tel 412"/>
    <s v="Cep 412"/>
    <s v="Rua 412"/>
    <s v="Comp 412"/>
    <s v="Adaptador Bluetooph"/>
    <s v="YA-AG3H-SPUK"/>
    <d v="2024-12-19T00:00:00"/>
    <n v="16.990000000000002"/>
    <n v="16.990000000000002"/>
    <n v="2.0388000000000002"/>
    <n v="14.95"/>
    <n v="0"/>
    <n v="0.38"/>
    <n v="0.39877104377104378"/>
    <n v="0"/>
    <n v="14.171228956228955"/>
    <n v="7.0856144781144774"/>
    <x v="31"/>
    <x v="34"/>
    <x v="8"/>
    <d v="2025-01-02T00:00:00"/>
    <x v="0"/>
    <x v="0"/>
    <x v="2"/>
    <s v="-"/>
    <s v="-"/>
    <x v="0"/>
    <m/>
    <n v="0"/>
    <n v="0"/>
    <n v="0"/>
    <n v="0"/>
    <n v="0"/>
  </r>
  <r>
    <x v="0"/>
    <s v="BV45622"/>
    <s v="Pedido 426"/>
    <d v="2024-11-26T00:00:00"/>
    <x v="33"/>
    <s v="PedidoF415"/>
    <s v="CódRastreio415"/>
    <n v="1"/>
    <s v="CPF 412"/>
    <s v="Nome 412"/>
    <s v="Tel 412"/>
    <s v="Cep 412"/>
    <s v="Rua 412"/>
    <s v="Comp 412"/>
    <s v="Adaptador Bluetooph"/>
    <s v="YA-AG3H-SPUK"/>
    <d v="2024-12-19T00:00:00"/>
    <n v="16.990000000000002"/>
    <n v="16.990000000000002"/>
    <n v="2.0388000000000002"/>
    <n v="14.95"/>
    <n v="0"/>
    <n v="0.35"/>
    <n v="0.39877104377104378"/>
    <n v="0"/>
    <n v="14.201228956228956"/>
    <n v="7.100614478114478"/>
    <x v="31"/>
    <x v="34"/>
    <x v="8"/>
    <d v="2025-01-02T00:00:00"/>
    <x v="0"/>
    <x v="0"/>
    <x v="2"/>
    <s v="-"/>
    <s v="-"/>
    <x v="0"/>
    <m/>
    <n v="0"/>
    <n v="0"/>
    <n v="0"/>
    <n v="0"/>
    <n v="0"/>
  </r>
  <r>
    <x v="0"/>
    <s v="BV-"/>
    <s v="Pedido 426"/>
    <d v="2024-12-01T00:00:00"/>
    <x v="0"/>
    <s v="-"/>
    <s v="-"/>
    <n v="1"/>
    <s v="CPF 412"/>
    <s v="Nome 412"/>
    <s v="Tel 412"/>
    <s v="Cep 412"/>
    <s v="Rua 412"/>
    <s v="Comp 412"/>
    <s v="Adaptador Bluetooph"/>
    <s v="YA-AG3H-SPUK"/>
    <d v="2024-12-19T00:00:00"/>
    <n v="16.990000000000002"/>
    <n v="16.990000000000002"/>
    <n v="2.0388000000000002"/>
    <n v="14.95"/>
    <n v="0"/>
    <n v="0"/>
    <n v="0"/>
    <n v="0"/>
    <n v="14.95"/>
    <n v="7.4749999999999996"/>
    <x v="31"/>
    <x v="34"/>
    <x v="8"/>
    <d v="2025-01-02T00:00:00"/>
    <x v="0"/>
    <x v="0"/>
    <x v="0"/>
    <s v="-"/>
    <s v="-"/>
    <x v="0"/>
    <m/>
    <n v="0"/>
    <n v="0"/>
    <n v="0"/>
    <n v="0"/>
    <n v="0"/>
  </r>
  <r>
    <x v="0"/>
    <s v="BV-"/>
    <s v="Pedido 426"/>
    <d v="2024-12-01T00:00:00"/>
    <x v="0"/>
    <s v="-"/>
    <s v="-"/>
    <n v="1"/>
    <s v="CPF 412"/>
    <s v="Nome 412"/>
    <s v="Tel 412"/>
    <s v="Cep 412"/>
    <s v="Rua 412"/>
    <s v="Comp 412"/>
    <s v="Adaptador Bluetooph"/>
    <s v="YA-AG3H-SPUK"/>
    <d v="2024-12-19T00:00:00"/>
    <n v="16.990000000000002"/>
    <n v="16.990000000000002"/>
    <n v="2.0388000000000002"/>
    <n v="14.95"/>
    <n v="0"/>
    <n v="0"/>
    <n v="0"/>
    <n v="0"/>
    <n v="14.95"/>
    <n v="7.4749999999999996"/>
    <x v="31"/>
    <x v="34"/>
    <x v="8"/>
    <d v="2025-01-02T00:00:00"/>
    <x v="0"/>
    <x v="0"/>
    <x v="0"/>
    <s v="-"/>
    <s v="-"/>
    <x v="0"/>
    <m/>
    <n v="0"/>
    <n v="0"/>
    <n v="0"/>
    <n v="0"/>
    <n v="0"/>
  </r>
  <r>
    <x v="0"/>
    <s v="BV-"/>
    <s v="Pedido 427"/>
    <d v="2024-12-01T00:00:00"/>
    <x v="0"/>
    <s v="-"/>
    <s v="-"/>
    <n v="1"/>
    <s v="CPF 413"/>
    <s v="Nome 413"/>
    <s v="Tel 413"/>
    <s v="Cep 413"/>
    <s v="Rua 413"/>
    <s v="Comp 413"/>
    <s v="Ventilador Preto"/>
    <s v="MU-J80P-95WF"/>
    <d v="2024-12-19T00:00:00"/>
    <n v="65.989999999999995"/>
    <n v="65.989999999999995"/>
    <n v="8.5786999999999995"/>
    <n v="57.41"/>
    <n v="0"/>
    <n v="0"/>
    <n v="0"/>
    <n v="0"/>
    <n v="57.41"/>
    <n v="28.704999999999998"/>
    <x v="31"/>
    <x v="34"/>
    <x v="8"/>
    <d v="2025-01-02T00:00:00"/>
    <x v="0"/>
    <x v="0"/>
    <x v="0"/>
    <s v="-"/>
    <s v="-"/>
    <x v="0"/>
    <m/>
    <n v="1.72"/>
    <n v="0"/>
    <n v="0"/>
    <n v="0"/>
    <n v="1.72"/>
  </r>
  <r>
    <x v="0"/>
    <s v="BV-"/>
    <s v="Pedido 428"/>
    <d v="2024-12-01T00:00:00"/>
    <x v="0"/>
    <s v="-"/>
    <s v="-"/>
    <n v="1"/>
    <s v="CPF 414"/>
    <s v="Nome 414"/>
    <s v="Tel 414"/>
    <s v="Cep 414"/>
    <s v="Rua 414"/>
    <s v="Comp 414"/>
    <s v="Copo Termico"/>
    <s v="KN-TBQL-K2MM"/>
    <d v="2024-12-28T00:00:00"/>
    <n v="28.2"/>
    <n v="28.2"/>
    <n v="3.6659999999999999"/>
    <n v="24.53"/>
    <n v="0"/>
    <n v="0"/>
    <n v="0"/>
    <n v="0"/>
    <n v="24.53"/>
    <n v="12.265000000000001"/>
    <x v="36"/>
    <x v="39"/>
    <x v="9"/>
    <d v="2025-01-16T00:00:00"/>
    <x v="2"/>
    <x v="0"/>
    <x v="0"/>
    <s v="-"/>
    <s v="-"/>
    <x v="0"/>
    <m/>
    <n v="0.73"/>
    <n v="0"/>
    <n v="0"/>
    <n v="0"/>
    <n v="0.73"/>
  </r>
  <r>
    <x v="0"/>
    <s v="BV-"/>
    <s v="Pedido 429"/>
    <d v="2024-12-01T00:00:00"/>
    <x v="0"/>
    <s v="-"/>
    <s v="-"/>
    <n v="1"/>
    <s v="CPF 414"/>
    <s v="Nome 414"/>
    <s v="Tel 414"/>
    <s v="Cep 414"/>
    <s v="Rua 414"/>
    <s v="Comp 414"/>
    <s v="Copo Termico"/>
    <s v="KN-TBQL-K2MM"/>
    <d v="2024-12-28T00:00:00"/>
    <n v="28.2"/>
    <n v="28.2"/>
    <n v="3.6659999999999999"/>
    <n v="24.53"/>
    <n v="0"/>
    <n v="0"/>
    <n v="0"/>
    <n v="0"/>
    <n v="24.53"/>
    <n v="12.265000000000001"/>
    <x v="36"/>
    <x v="39"/>
    <x v="9"/>
    <d v="2025-01-16T00:00:00"/>
    <x v="2"/>
    <x v="0"/>
    <x v="0"/>
    <s v="-"/>
    <s v="-"/>
    <x v="0"/>
    <m/>
    <n v="0.73"/>
    <n v="0"/>
    <n v="0"/>
    <n v="0"/>
    <n v="0.73"/>
  </r>
  <r>
    <x v="0"/>
    <s v="BV45618"/>
    <s v="Pedido 430"/>
    <d v="2024-11-22T00:00:00"/>
    <x v="31"/>
    <s v="PedidoF416"/>
    <s v="CódRastreio416"/>
    <n v="1"/>
    <s v="CPF 415"/>
    <s v="Nome 415"/>
    <s v="Tel 415"/>
    <s v="Cep 415"/>
    <s v="Rua 415"/>
    <s v="Comp 415"/>
    <s v="Ventilador Preto"/>
    <s v="MU-J80P-95WF"/>
    <d v="2024-12-13T00:00:00"/>
    <n v="65.989999999999995"/>
    <n v="65.989999999999995"/>
    <n v="8.5786999999999995"/>
    <n v="57.41"/>
    <n v="10.210000000000001"/>
    <n v="0.4"/>
    <n v="0.39877104377104378"/>
    <n v="0"/>
    <n v="46.401228956228948"/>
    <n v="23.200614478114474"/>
    <x v="0"/>
    <x v="0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45621"/>
    <s v="Pedido 431"/>
    <d v="2024-11-25T00:00:00"/>
    <x v="32"/>
    <s v="PedidoF417"/>
    <s v="CódRastreio417"/>
    <n v="1"/>
    <s v="CPF 416"/>
    <s v="Nome 416"/>
    <s v="Tel 416"/>
    <s v="Cep 416"/>
    <s v="Rua 416"/>
    <s v="Comp 416"/>
    <s v="Ventilador Preto"/>
    <s v="MU-J80P-95WF"/>
    <d v="2024-12-20T00:00:00"/>
    <n v="65.989999999999995"/>
    <n v="65.989999999999995"/>
    <n v="8.5786999999999995"/>
    <n v="57.41"/>
    <n v="10.220000000000001"/>
    <n v="0.38"/>
    <n v="0.39877104377104378"/>
    <n v="0"/>
    <n v="46.411228956228953"/>
    <n v="23.205614478114477"/>
    <x v="32"/>
    <x v="35"/>
    <x v="8"/>
    <d v="2025-01-02T00:00:00"/>
    <x v="0"/>
    <x v="0"/>
    <x v="2"/>
    <s v="ENTREGUE"/>
    <d v="2024-12-12T00:00:00"/>
    <x v="0"/>
    <m/>
    <n v="0"/>
    <n v="0"/>
    <n v="0"/>
    <n v="0"/>
    <n v="0"/>
  </r>
  <r>
    <x v="0"/>
    <s v="BV45621"/>
    <s v="Pedido 432"/>
    <d v="2024-11-25T00:00:00"/>
    <x v="32"/>
    <s v="PedidoF418"/>
    <s v="CódRastreio418"/>
    <n v="1"/>
    <s v="CPF 417"/>
    <s v="Nome 417"/>
    <s v="Tel 417"/>
    <s v="Cep 417"/>
    <s v="Rua 417"/>
    <s v="Comp 417"/>
    <s v="Ventilador Preto"/>
    <s v="MU-J80P-95WF"/>
    <d v="2024-12-20T00:00:00"/>
    <n v="65.989999999999995"/>
    <n v="65.989999999999995"/>
    <n v="8.5786999999999995"/>
    <n v="57.41"/>
    <n v="10.220000000000001"/>
    <n v="0.38"/>
    <n v="0.39877104377104378"/>
    <n v="0"/>
    <n v="46.411228956228953"/>
    <n v="23.205614478114477"/>
    <x v="32"/>
    <x v="35"/>
    <x v="8"/>
    <d v="2025-01-02T00:00:00"/>
    <x v="0"/>
    <x v="0"/>
    <x v="2"/>
    <s v="ENTREGUE"/>
    <d v="2024-12-11T00:00:00"/>
    <x v="0"/>
    <m/>
    <n v="0"/>
    <n v="0"/>
    <n v="0"/>
    <n v="0"/>
    <n v="0"/>
  </r>
  <r>
    <x v="0"/>
    <s v="BV45621"/>
    <s v="Pedido 433"/>
    <d v="2024-11-25T00:00:00"/>
    <x v="32"/>
    <s v="PedidoF419"/>
    <s v="CódRastreio419"/>
    <n v="1"/>
    <s v="CPF 418"/>
    <s v="Nome 418"/>
    <s v="Tel 418"/>
    <s v="Cep 418"/>
    <s v="Rua 418"/>
    <s v="Comp 418"/>
    <s v="Mini Liquidificador"/>
    <s v="CK-YL6M-P5Y6"/>
    <d v="2024-12-14T00:00:00"/>
    <n v="39.99"/>
    <n v="39.99"/>
    <n v="5.1987000000000005"/>
    <n v="34.79"/>
    <n v="14.99"/>
    <n v="0.38"/>
    <n v="0.39877104377104378"/>
    <n v="0"/>
    <n v="19.021228956228953"/>
    <n v="9.5106144781144764"/>
    <x v="30"/>
    <x v="32"/>
    <x v="0"/>
    <d v="2025-01-02T00:00:00"/>
    <x v="0"/>
    <x v="0"/>
    <x v="2"/>
    <s v="ENTREGUE"/>
    <d v="2024-12-06T19:51:39"/>
    <x v="0"/>
    <m/>
    <n v="0"/>
    <n v="0"/>
    <n v="0"/>
    <n v="0"/>
    <n v="0"/>
  </r>
  <r>
    <x v="0"/>
    <s v="BV45621"/>
    <s v="Pedido 434"/>
    <d v="2024-11-25T00:00:00"/>
    <x v="32"/>
    <s v="PedidoF420"/>
    <s v="CódRastreio420"/>
    <n v="1"/>
    <s v="CPF 419"/>
    <s v="Nome 419"/>
    <s v="Tel 419"/>
    <s v="Cep 419"/>
    <s v="Rua 419"/>
    <s v="Comp 419"/>
    <s v="Ventilador Preto"/>
    <s v="MU-J80P-95WF"/>
    <d v="2024-12-20T00:00:00"/>
    <n v="65.989999999999995"/>
    <n v="65.989999999999995"/>
    <n v="8.5786999999999995"/>
    <n v="57.41"/>
    <n v="10.220000000000001"/>
    <n v="0.38"/>
    <n v="0.39877104377104378"/>
    <n v="0"/>
    <n v="46.411228956228953"/>
    <n v="23.205614478114477"/>
    <x v="32"/>
    <x v="35"/>
    <x v="8"/>
    <d v="2025-01-02T00:00:00"/>
    <x v="0"/>
    <x v="0"/>
    <x v="2"/>
    <s v="ENTREGUE"/>
    <d v="2024-12-17T00:00:00"/>
    <x v="0"/>
    <m/>
    <n v="0"/>
    <n v="0"/>
    <n v="0"/>
    <n v="0"/>
    <n v="0"/>
  </r>
  <r>
    <x v="0"/>
    <s v="BV45622"/>
    <s v="Pedido 435"/>
    <d v="2024-11-26T00:00:00"/>
    <x v="33"/>
    <s v="PedidoF421"/>
    <s v="CódRastreio421"/>
    <n v="1"/>
    <s v="CPF 420"/>
    <s v="Nome 420"/>
    <s v="Tel 420"/>
    <s v="Cep 420"/>
    <s v="Rua 420"/>
    <s v="Comp 420"/>
    <s v="Copo Termico"/>
    <s v="KN-TBQL-K2MM"/>
    <d v="2024-12-10T00:00:00"/>
    <n v="27.99"/>
    <n v="27.99"/>
    <n v="3.6387"/>
    <n v="24.35"/>
    <n v="10.119999999999999"/>
    <n v="0.35"/>
    <n v="0.39877104377104378"/>
    <n v="0"/>
    <n v="13.481228956228959"/>
    <n v="6.7406144781144794"/>
    <x v="24"/>
    <x v="23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45622"/>
    <s v="Pedido 436"/>
    <d v="2024-11-26T00:00:00"/>
    <x v="33"/>
    <s v="PedidoF422"/>
    <s v="CódRastreio422"/>
    <n v="1"/>
    <s v="CPF 421"/>
    <s v="Nome 421"/>
    <s v="Tel 421"/>
    <s v="Cep 421"/>
    <s v="Rua 421"/>
    <s v="Comp 421"/>
    <s v="Ventilador Preto"/>
    <s v="MU-J80P-95WF"/>
    <d v="2024-12-20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x v="32"/>
    <x v="35"/>
    <x v="8"/>
    <d v="2025-01-02T00:00:00"/>
    <x v="0"/>
    <x v="0"/>
    <x v="2"/>
    <s v="ENTREGUE"/>
    <d v="2024-12-11T00:00:00"/>
    <x v="0"/>
    <m/>
    <n v="0"/>
    <n v="0"/>
    <n v="0"/>
    <n v="0"/>
    <n v="0"/>
  </r>
  <r>
    <x v="0"/>
    <s v="BV45622"/>
    <s v="Pedido 437"/>
    <d v="2024-11-26T00:00:00"/>
    <x v="33"/>
    <s v="PedidoF423"/>
    <s v="-"/>
    <n v="1"/>
    <s v="CPF 422"/>
    <s v="Nome 422"/>
    <s v="Tel 422"/>
    <s v="Cep 422"/>
    <s v="Rua 422"/>
    <s v="Comp 422"/>
    <s v="Copo Termico"/>
    <s v="KN-TBQL-K2MM"/>
    <d v="2024-12-21T00:00:00"/>
    <n v="27.99"/>
    <n v="27.99"/>
    <n v="3.6387"/>
    <n v="24.35"/>
    <n v="0"/>
    <n v="0.35"/>
    <n v="0.39877104377104378"/>
    <n v="0"/>
    <n v="23.601228956228958"/>
    <n v="11.800614478114479"/>
    <x v="37"/>
    <x v="40"/>
    <x v="8"/>
    <d v="2025-01-02T00:00:00"/>
    <x v="0"/>
    <x v="0"/>
    <x v="2"/>
    <s v="-"/>
    <s v="-"/>
    <x v="0"/>
    <m/>
    <n v="0"/>
    <n v="0"/>
    <n v="0"/>
    <n v="0"/>
    <n v="0"/>
  </r>
  <r>
    <x v="0"/>
    <s v="BV45622"/>
    <s v="Pedido 438"/>
    <d v="2024-11-26T00:00:00"/>
    <x v="33"/>
    <s v="PedidoF424"/>
    <s v="CódRastreio423"/>
    <n v="1"/>
    <s v="CPF 423"/>
    <s v="Nome 423"/>
    <s v="Tel 423"/>
    <s v="Cep 423"/>
    <s v="Rua 423"/>
    <s v="Comp 423"/>
    <s v="Ventilador Preto"/>
    <s v="MU-J80P-95WF"/>
    <d v="2024-12-21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x v="37"/>
    <x v="40"/>
    <x v="8"/>
    <d v="2025-01-02T00:00:00"/>
    <x v="0"/>
    <x v="0"/>
    <x v="2"/>
    <s v="ENTREGUE"/>
    <d v="2024-12-11T00:00:00"/>
    <x v="0"/>
    <m/>
    <n v="0"/>
    <n v="0"/>
    <n v="0"/>
    <n v="0"/>
    <n v="0"/>
  </r>
  <r>
    <x v="0"/>
    <s v="BV45622"/>
    <s v="Pedido 439"/>
    <d v="2024-11-26T00:00:00"/>
    <x v="33"/>
    <s v="PedidoF425"/>
    <s v="CódRastreio424"/>
    <n v="1"/>
    <s v="CPF 424"/>
    <s v="Nome 424"/>
    <s v="Tel 424"/>
    <s v="Cep 424"/>
    <s v="Rua 424"/>
    <s v="Comp 424"/>
    <s v="Ventilador Azul"/>
    <s v="U8-2VWS-OB6M"/>
    <d v="2025-01-03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x v="38"/>
    <x v="41"/>
    <x v="10"/>
    <d v="2025-01-16T00:00:00"/>
    <x v="2"/>
    <x v="0"/>
    <x v="2"/>
    <s v="ENTREGUE"/>
    <d v="2024-12-16T00:00:00"/>
    <x v="0"/>
    <m/>
    <n v="0"/>
    <n v="0"/>
    <n v="0"/>
    <n v="0"/>
    <n v="0"/>
  </r>
  <r>
    <x v="0"/>
    <s v="BV45622"/>
    <s v="Pedido 440"/>
    <d v="2024-11-26T00:00:00"/>
    <x v="33"/>
    <s v="PedidoF426"/>
    <s v="CódRastreio425"/>
    <n v="1"/>
    <s v="CPF 425"/>
    <s v="Nome 425"/>
    <s v="Tel 425"/>
    <s v="Cep 425"/>
    <s v="Rua 425"/>
    <s v="Comp 425"/>
    <s v="Ventilador Rosa"/>
    <s v="IF-G2ZQ-79FO"/>
    <d v="2024-12-21T00:00:00"/>
    <n v="65.989999999999995"/>
    <n v="65.989999999999995"/>
    <n v="8.5786999999999995"/>
    <n v="57.41"/>
    <n v="11.19"/>
    <n v="0.35"/>
    <n v="0.39877104377104378"/>
    <n v="0"/>
    <n v="45.471228956228956"/>
    <n v="22.735614478114478"/>
    <x v="37"/>
    <x v="40"/>
    <x v="8"/>
    <d v="2025-01-02T00:00:00"/>
    <x v="0"/>
    <x v="0"/>
    <x v="2"/>
    <s v="ENTREGUE"/>
    <d v="2024-12-16T00:00:00"/>
    <x v="0"/>
    <m/>
    <n v="0"/>
    <n v="0"/>
    <n v="0"/>
    <n v="0"/>
    <n v="0"/>
  </r>
  <r>
    <x v="0"/>
    <s v="BV45622"/>
    <s v="Pedido 441"/>
    <d v="2024-11-26T00:00:00"/>
    <x v="33"/>
    <s v="PedidoF427"/>
    <s v="CódRastreio426"/>
    <n v="1"/>
    <s v="CPF 426"/>
    <s v="Nome 426"/>
    <s v="Tel 426"/>
    <s v="Cep 426"/>
    <s v="Rua 426"/>
    <s v="Comp 426"/>
    <s v="Copo Termico"/>
    <s v="KN-TBQL-K2MM"/>
    <d v="2024-12-21T00:00:00"/>
    <n v="27.99"/>
    <n v="27.99"/>
    <n v="3.6387"/>
    <n v="24.35"/>
    <n v="8.1999999999999993"/>
    <n v="0.35"/>
    <n v="0.39877104377104378"/>
    <n v="0"/>
    <n v="15.401228956228959"/>
    <n v="7.7006144781144794"/>
    <x v="37"/>
    <x v="40"/>
    <x v="8"/>
    <d v="2025-01-02T00:00:00"/>
    <x v="0"/>
    <x v="0"/>
    <x v="2"/>
    <s v="ENTREGUE"/>
    <d v="2024-12-07T15:30:24"/>
    <x v="0"/>
    <m/>
    <n v="0"/>
    <n v="0"/>
    <n v="0"/>
    <n v="0"/>
    <n v="0"/>
  </r>
  <r>
    <x v="0"/>
    <s v="BV45622"/>
    <s v="Pedido 442"/>
    <d v="2024-11-26T00:00:00"/>
    <x v="33"/>
    <s v="PedidoF428"/>
    <s v="CódRastreio427"/>
    <n v="1"/>
    <s v="CPF 427"/>
    <s v="Nome 427"/>
    <s v="Tel 427"/>
    <s v="Cep 427"/>
    <s v="Rua 427"/>
    <s v="Comp 427"/>
    <s v="Copo Termico"/>
    <s v="KN-TBQL-K2MM"/>
    <d v="2024-12-17T00:00:00"/>
    <n v="27.99"/>
    <n v="27.99"/>
    <n v="3.6387"/>
    <n v="24.35"/>
    <n v="10.119999999999999"/>
    <n v="0.35"/>
    <n v="0.39877104377104378"/>
    <n v="0"/>
    <n v="13.481228956228959"/>
    <n v="6.7406144781144794"/>
    <x v="33"/>
    <x v="37"/>
    <x v="0"/>
    <d v="2025-01-02T00:00:00"/>
    <x v="0"/>
    <x v="0"/>
    <x v="2"/>
    <s v="ENTREGUE"/>
    <d v="2024-12-05T16:17:40"/>
    <x v="0"/>
    <m/>
    <n v="0"/>
    <n v="0"/>
    <n v="0"/>
    <n v="0"/>
    <n v="0"/>
  </r>
  <r>
    <x v="0"/>
    <s v="BV45622"/>
    <s v="Pedido 443"/>
    <d v="2024-11-26T00:00:00"/>
    <x v="33"/>
    <s v="PedidoF429"/>
    <s v="CódRastreio428"/>
    <n v="1"/>
    <s v="CPF 428"/>
    <s v="Nome 428"/>
    <s v="Tel 428"/>
    <s v="Cep 428"/>
    <s v="Rua 428"/>
    <s v="Comp 428"/>
    <s v="Ventilador Azul"/>
    <s v="U8-2VWS-OB6M"/>
    <d v="2024-12-17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x v="33"/>
    <x v="37"/>
    <x v="0"/>
    <d v="2025-01-02T00:00:00"/>
    <x v="0"/>
    <x v="0"/>
    <x v="2"/>
    <s v="ENTREGUE"/>
    <d v="2024-12-05T17:48:27"/>
    <x v="0"/>
    <m/>
    <n v="0"/>
    <n v="0"/>
    <n v="0"/>
    <n v="0"/>
    <n v="0"/>
  </r>
  <r>
    <x v="0"/>
    <s v="BV45622"/>
    <s v="Pedido 443"/>
    <d v="2024-11-26T00:00:00"/>
    <x v="33"/>
    <s v="PedidoF430"/>
    <s v="CódRastreio429"/>
    <n v="1"/>
    <s v="CPF 428"/>
    <s v="Nome 428"/>
    <s v="Tel 428"/>
    <s v="Cep 428"/>
    <s v="Rua 428"/>
    <s v="Comp 428"/>
    <s v="Ventilador Preto"/>
    <s v="MU-J80P-95WF"/>
    <d v="2024-12-17T00:00:00"/>
    <n v="65.989999999999995"/>
    <n v="65.989999999999995"/>
    <n v="8.5786999999999995"/>
    <n v="57.41"/>
    <n v="10.210000000000001"/>
    <n v="0.35"/>
    <n v="0.39877104377104378"/>
    <n v="0"/>
    <n v="46.451228956228952"/>
    <n v="23.225614478114476"/>
    <x v="33"/>
    <x v="37"/>
    <x v="0"/>
    <d v="2025-01-02T00:00:00"/>
    <x v="0"/>
    <x v="0"/>
    <x v="2"/>
    <s v="-"/>
    <s v="-"/>
    <x v="0"/>
    <m/>
    <n v="0"/>
    <n v="0"/>
    <n v="0"/>
    <n v="0"/>
    <n v="0"/>
  </r>
  <r>
    <x v="0"/>
    <s v="BV45622"/>
    <s v="Pedido 444"/>
    <d v="2024-11-26T00:00:00"/>
    <x v="33"/>
    <s v="PedidoF431"/>
    <s v="CódRastreio430"/>
    <n v="1"/>
    <s v="CPF 429"/>
    <s v="Nome 429"/>
    <s v="Tel 429"/>
    <s v="Cep 429"/>
    <s v="Rua 429"/>
    <s v="Comp 429"/>
    <s v="Ventilador Rosa"/>
    <s v="IF-G2ZQ-79FO"/>
    <d v="2025-01-03T00:00:00"/>
    <n v="65.989999999999995"/>
    <n v="65.989999999999995"/>
    <n v="8.5786999999999995"/>
    <n v="57.41"/>
    <n v="11.19"/>
    <n v="0.35"/>
    <n v="0.39877104377104378"/>
    <n v="0"/>
    <n v="45.471228956228956"/>
    <n v="22.735614478114478"/>
    <x v="38"/>
    <x v="41"/>
    <x v="10"/>
    <d v="2025-01-16T00:00:00"/>
    <x v="2"/>
    <x v="0"/>
    <x v="2"/>
    <s v="ENTREGUE"/>
    <d v="2024-12-27T00:00:00"/>
    <x v="0"/>
    <m/>
    <n v="0"/>
    <n v="0"/>
    <n v="0"/>
    <n v="0"/>
    <n v="0"/>
  </r>
  <r>
    <x v="0"/>
    <s v="BV45622"/>
    <s v="Pedido 445"/>
    <d v="2024-11-26T00:00:00"/>
    <x v="33"/>
    <s v="PedidoF432"/>
    <s v="CódRastreio431"/>
    <n v="1"/>
    <s v="CPF 430"/>
    <s v="Nome 430"/>
    <s v="Tel 430"/>
    <s v="Cep 430"/>
    <s v="Rua 430"/>
    <s v="Comp 430"/>
    <s v="Copo Termico"/>
    <s v="KN-TBQL-K2MM"/>
    <d v="2024-12-11T00:00:00"/>
    <n v="27.99"/>
    <n v="27.99"/>
    <n v="3.6387"/>
    <n v="24.35"/>
    <n v="10.119999999999999"/>
    <n v="0.35"/>
    <n v="0.39877104377104378"/>
    <n v="0"/>
    <n v="13.481228956228959"/>
    <n v="6.7406144781144794"/>
    <x v="26"/>
    <x v="28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45622"/>
    <s v="Pedido 446"/>
    <d v="2024-11-26T00:00:00"/>
    <x v="33"/>
    <s v="PedidoF433"/>
    <s v="CódRastreio432"/>
    <n v="1"/>
    <s v="CPF 431"/>
    <s v="Nome 431"/>
    <s v="Tel 431"/>
    <s v="Cep 431"/>
    <s v="Rua 431"/>
    <s v="Comp 431"/>
    <s v="Copo Termico"/>
    <s v="KN-TBQL-K2MM"/>
    <d v="2024-12-21T00:00:00"/>
    <n v="27.99"/>
    <n v="27.99"/>
    <n v="3.6387"/>
    <n v="24.35"/>
    <n v="8.1999999999999993"/>
    <n v="0.35"/>
    <n v="0.39877104377104378"/>
    <n v="0"/>
    <n v="15.401228956228959"/>
    <n v="7.7006144781144794"/>
    <x v="37"/>
    <x v="40"/>
    <x v="8"/>
    <d v="2025-01-02T00:00:00"/>
    <x v="0"/>
    <x v="0"/>
    <x v="2"/>
    <s v="ENTREGUE"/>
    <d v="2024-12-06T10:56:23"/>
    <x v="0"/>
    <m/>
    <n v="0"/>
    <n v="0"/>
    <s v="=SE([@[Data Reembolso]]&lt;&gt;&quot;-&quot;;SE([@AliExpress]&lt;&gt;&quot;-&quot;;SEERRO(PROCX(CONCAT([@Loja];SEERRO(SEERRO(VALOR(SUBSTITUIR(EXT,TEXTO(TEXTODEPOIS([@AliExpress];&quot;Data do Pedido:_x000a_&quot;;1);1;10);&quot;-&quot;;&quot;/&quot;));VALOR(SUBSTITUIR(EXT,TEXTO(TEXTODEPOIS([@AliExpress];&quot;Order date:_x000a_&quot;;1);1;10);&quot;-&quot;;&quot;/&quot;)));0));ProxyDD[Chave];ProxyDD[Valor por pedido]);PROXY!$P$2);0);0)"/>
    <n v="0"/>
    <n v="0"/>
  </r>
  <r>
    <x v="0"/>
    <s v="BV45622"/>
    <s v="Pedido 447"/>
    <d v="2024-11-26T00:00:00"/>
    <x v="33"/>
    <s v="PedidoF434"/>
    <s v="CódRastreio433"/>
    <n v="1"/>
    <s v="CPF 432"/>
    <s v="Nome 432"/>
    <s v="Tel 432"/>
    <s v="Cep 432"/>
    <s v="Rua 432"/>
    <s v="Comp 432"/>
    <s v="Ventilador Rosa"/>
    <s v="IF-G2ZQ-79FO"/>
    <d v="2024-12-17T00:00:00"/>
    <n v="65.989999999999995"/>
    <n v="65.989999999999995"/>
    <n v="8.5786999999999995"/>
    <n v="57.41"/>
    <n v="11.19"/>
    <n v="0.35"/>
    <n v="0.39877104377104378"/>
    <n v="0"/>
    <n v="45.471228956228956"/>
    <n v="22.735614478114478"/>
    <x v="33"/>
    <x v="37"/>
    <x v="0"/>
    <d v="2025-01-02T00:00:00"/>
    <x v="0"/>
    <x v="0"/>
    <x v="2"/>
    <s v="ENTREGUE"/>
    <d v="2024-12-10T00:00:00"/>
    <x v="0"/>
    <m/>
    <n v="0"/>
    <n v="0"/>
    <n v="0"/>
    <n v="0"/>
    <n v="0"/>
  </r>
  <r>
    <x v="0"/>
    <s v="BV45623"/>
    <s v="Pedido 448"/>
    <d v="2024-11-27T00:00:00"/>
    <x v="34"/>
    <s v="PedidoF435"/>
    <s v="CódRastreio434"/>
    <n v="1"/>
    <s v="CPF 433"/>
    <s v="Nome 433"/>
    <s v="Tel 433"/>
    <s v="Cep 433"/>
    <s v="Rua 433"/>
    <s v="Comp 433"/>
    <s v="Ventilador Azul"/>
    <s v="U8-2VWS-OB6M"/>
    <d v="2024-12-24T00:00:00"/>
    <n v="65.989999999999995"/>
    <n v="65.989999999999995"/>
    <n v="8.5786999999999995"/>
    <n v="57.41"/>
    <n v="10.52"/>
    <n v="0.34"/>
    <n v="0.39877104377104378"/>
    <n v="0"/>
    <n v="46.151228956228955"/>
    <n v="23.075614478114478"/>
    <x v="39"/>
    <x v="42"/>
    <x v="9"/>
    <d v="2025-01-16T00:00:00"/>
    <x v="0"/>
    <x v="0"/>
    <x v="2"/>
    <s v="ENTREGUE"/>
    <d v="2024-12-13T00:00:00"/>
    <x v="0"/>
    <m/>
    <n v="0"/>
    <n v="0"/>
    <n v="0"/>
    <n v="0"/>
    <n v="0"/>
  </r>
  <r>
    <x v="0"/>
    <s v="BV45623"/>
    <s v="Pedido 449"/>
    <d v="2024-11-27T00:00:00"/>
    <x v="34"/>
    <s v="PedidoF436"/>
    <s v="CódRastreio435"/>
    <n v="1"/>
    <s v="CPF 434"/>
    <s v="Nome 434"/>
    <s v="Tel 434"/>
    <s v="Cep 434"/>
    <s v="Rua 434"/>
    <s v="Comp 434"/>
    <s v="Copo Termico"/>
    <s v="KN-TBQL-K2MM"/>
    <d v="2024-12-12T00:00:00"/>
    <n v="27.99"/>
    <n v="27.99"/>
    <n v="3.6387"/>
    <n v="24.35"/>
    <n v="9.1999999999999993"/>
    <n v="0.34"/>
    <n v="0.39877104377104378"/>
    <n v="0"/>
    <n v="14.411228956228959"/>
    <n v="7.2056144781144793"/>
    <x v="1"/>
    <x v="1"/>
    <x v="0"/>
    <d v="2025-01-02T00:00:00"/>
    <x v="0"/>
    <x v="0"/>
    <x v="2"/>
    <s v="ENTREGUE"/>
    <d v="2024-12-04T00:00:00"/>
    <x v="0"/>
    <m/>
    <n v="0"/>
    <n v="0"/>
    <n v="0"/>
    <n v="0"/>
    <n v="0"/>
  </r>
  <r>
    <x v="0"/>
    <s v="BV45623"/>
    <s v="Pedido 450"/>
    <d v="2024-11-27T00:00:00"/>
    <x v="34"/>
    <s v="PedidoF437"/>
    <s v="CódRastreio436"/>
    <n v="1"/>
    <s v="CPF 435"/>
    <s v="Nome 435"/>
    <s v="Tel 435"/>
    <s v="Cep 435"/>
    <s v="Rua 435"/>
    <s v="Comp 435"/>
    <s v="Ventilador Rosa"/>
    <s v="IF-G2ZQ-79FO"/>
    <d v="2024-12-18T00:00:00"/>
    <n v="65.989999999999995"/>
    <n v="65.989999999999995"/>
    <n v="8.5786999999999995"/>
    <n v="57.41"/>
    <n v="12.89"/>
    <n v="0.34"/>
    <n v="0.39877104377104378"/>
    <n v="0"/>
    <n v="43.781228956228951"/>
    <n v="21.890614478114475"/>
    <x v="34"/>
    <x v="38"/>
    <x v="0"/>
    <d v="2025-01-02T00:00:00"/>
    <x v="0"/>
    <x v="0"/>
    <x v="2"/>
    <s v="ENTREGUE"/>
    <d v="2024-12-05T11:58:45"/>
    <x v="0"/>
    <m/>
    <n v="0"/>
    <n v="0"/>
    <n v="0"/>
    <n v="0"/>
    <n v="0"/>
  </r>
  <r>
    <x v="0"/>
    <s v="BV-"/>
    <s v="Pedido 451"/>
    <d v="2024-12-01T00:00:00"/>
    <x v="0"/>
    <s v="-"/>
    <s v="-"/>
    <n v="1"/>
    <s v="CPF 436"/>
    <s v="Nome 436"/>
    <s v="Tel 436"/>
    <s v="Cep 436"/>
    <s v="Rua 436"/>
    <s v="Comp 436"/>
    <s v="Copo Termico"/>
    <s v="KN-TBQL-K2MM"/>
    <d v="2024-12-18T00:00:00"/>
    <n v="27.99"/>
    <n v="27.99"/>
    <n v="3.6387"/>
    <n v="24.35"/>
    <n v="0"/>
    <n v="0"/>
    <n v="0"/>
    <n v="0"/>
    <n v="24.35"/>
    <n v="12.175000000000001"/>
    <x v="34"/>
    <x v="38"/>
    <x v="0"/>
    <d v="2025-01-02T00:00:00"/>
    <x v="0"/>
    <x v="0"/>
    <x v="0"/>
    <s v="-"/>
    <s v="-"/>
    <x v="0"/>
    <m/>
    <n v="0.73"/>
    <n v="0"/>
    <n v="0"/>
    <n v="0"/>
    <n v="0.73"/>
  </r>
  <r>
    <x v="0"/>
    <s v="BV45623"/>
    <s v="Pedido 452"/>
    <d v="2024-11-27T00:00:00"/>
    <x v="34"/>
    <s v="PedidoF438"/>
    <s v="CódRastreio437"/>
    <n v="1"/>
    <s v="CPF 437"/>
    <s v="Nome 437"/>
    <s v="Tel 437"/>
    <s v="Cep 437"/>
    <s v="Rua 437"/>
    <s v="Comp 437"/>
    <s v="Ventilador Umidificador Branco"/>
    <s v="IA-LLX9-MRV1"/>
    <d v="2024-12-18T00:00:00"/>
    <n v="54.5"/>
    <n v="54.5"/>
    <n v="7.6300000000000008"/>
    <n v="46.87"/>
    <n v="10.17"/>
    <n v="0.34"/>
    <n v="0.39877104377104378"/>
    <n v="0"/>
    <n v="35.96122895622895"/>
    <n v="17.980614478114475"/>
    <x v="34"/>
    <x v="38"/>
    <x v="0"/>
    <d v="2025-01-02T00:00:00"/>
    <x v="0"/>
    <x v="0"/>
    <x v="2"/>
    <s v="ENTREGUE"/>
    <d v="2024-12-10T00:00:00"/>
    <x v="0"/>
    <m/>
    <n v="0"/>
    <n v="0"/>
    <n v="0"/>
    <n v="0"/>
    <n v="0"/>
  </r>
  <r>
    <x v="0"/>
    <s v="BV45623"/>
    <s v="Pedido 453"/>
    <d v="2024-11-27T00:00:00"/>
    <x v="34"/>
    <s v="PedidoF439"/>
    <s v="CódRastreio438"/>
    <n v="1"/>
    <s v="CPF 438"/>
    <s v="Nome 438"/>
    <s v="Tel 438"/>
    <s v="Cep 438"/>
    <s v="Rua 438"/>
    <s v="Comp 438"/>
    <s v="Mini Mixer Misturador"/>
    <s v="FK-T01D-KZC5"/>
    <d v="2024-12-18T00:00:00"/>
    <n v="18.989999999999998"/>
    <n v="18.989999999999998"/>
    <n v="2.4686999999999997"/>
    <n v="16.52"/>
    <n v="6.99"/>
    <n v="0.34"/>
    <n v="0.39877104377104378"/>
    <n v="0"/>
    <n v="8.7912289562289558"/>
    <n v="4.3956144781144779"/>
    <x v="34"/>
    <x v="38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45624"/>
    <s v="Pedido 454"/>
    <d v="2024-11-28T00:00:00"/>
    <x v="35"/>
    <s v="PedidoF440"/>
    <s v="CódRastreio439"/>
    <n v="1"/>
    <s v="CPF 439"/>
    <s v="Nome 439"/>
    <s v="Tel 439"/>
    <s v="Cep 439"/>
    <s v="Rua 439"/>
    <s v="Comp 439"/>
    <s v="Ventilador Umidificador Branco"/>
    <s v="IA-LLX9-MRV1"/>
    <d v="2024-12-19T00:00:00"/>
    <n v="54.5"/>
    <n v="54.5"/>
    <n v="7.6300000000000008"/>
    <n v="46.87"/>
    <n v="10.38"/>
    <n v="0.14000000000000001"/>
    <n v="0.39877104377104378"/>
    <n v="0"/>
    <n v="35.951228956228952"/>
    <n v="17.975614478114476"/>
    <x v="31"/>
    <x v="34"/>
    <x v="8"/>
    <d v="2025-01-02T00:00:00"/>
    <x v="0"/>
    <x v="0"/>
    <x v="2"/>
    <s v="ENTREGUE"/>
    <d v="2024-12-06T10:16:41"/>
    <x v="0"/>
    <m/>
    <n v="0"/>
    <n v="0"/>
    <n v="0"/>
    <n v="0"/>
    <n v="0"/>
  </r>
  <r>
    <x v="0"/>
    <s v="BV45624"/>
    <s v="Pedido 455"/>
    <d v="2024-11-28T00:00:00"/>
    <x v="35"/>
    <s v="PedidoF441"/>
    <s v="CódRastreio440"/>
    <n v="1"/>
    <s v="CPF 440"/>
    <s v="Nome 440"/>
    <s v="Tel 440"/>
    <s v="Cep 440"/>
    <s v="Rua 440"/>
    <s v="Comp 440"/>
    <s v="Ventilador Preto"/>
    <s v="MU-J80P-95WF"/>
    <d v="2024-12-19T00:00:00"/>
    <n v="65.989999999999995"/>
    <n v="65.989999999999995"/>
    <n v="8.5786999999999995"/>
    <n v="57.41"/>
    <n v="14.67"/>
    <n v="0.14000000000000001"/>
    <n v="0.39877104377104378"/>
    <n v="0"/>
    <n v="42.201228956228952"/>
    <n v="21.100614478114476"/>
    <x v="31"/>
    <x v="34"/>
    <x v="8"/>
    <d v="2025-01-02T00:00:00"/>
    <x v="0"/>
    <x v="0"/>
    <x v="2"/>
    <s v="ENTREGUE"/>
    <d v="2024-12-06T13:48:26"/>
    <x v="0"/>
    <m/>
    <n v="0"/>
    <n v="0"/>
    <n v="0"/>
    <n v="0"/>
    <n v="0"/>
  </r>
  <r>
    <x v="0"/>
    <s v="BV45624"/>
    <s v="Pedido 456"/>
    <d v="2024-11-28T00:00:00"/>
    <x v="35"/>
    <s v="PedidoF442"/>
    <s v="CódRastreio441"/>
    <n v="1"/>
    <s v="CPF 441"/>
    <s v="Nome 441"/>
    <s v="Tel 441"/>
    <s v="Cep 441"/>
    <s v="Rua 441"/>
    <s v="Comp 441"/>
    <s v="Ventilador Preto"/>
    <s v="MU-J80P-95WF"/>
    <d v="2024-12-19T00:00:00"/>
    <n v="65.989999999999995"/>
    <n v="65.989999999999995"/>
    <n v="8.5786999999999995"/>
    <n v="57.41"/>
    <n v="14.67"/>
    <n v="0.14000000000000001"/>
    <n v="0.39877104377104378"/>
    <n v="0"/>
    <n v="42.201228956228952"/>
    <n v="21.100614478114476"/>
    <x v="31"/>
    <x v="34"/>
    <x v="8"/>
    <d v="2025-01-02T00:00:00"/>
    <x v="0"/>
    <x v="0"/>
    <x v="2"/>
    <s v="ENTREGUE"/>
    <d v="2024-12-10T00:00:00"/>
    <x v="0"/>
    <m/>
    <n v="0"/>
    <n v="0"/>
    <n v="0"/>
    <n v="0"/>
    <n v="0"/>
  </r>
  <r>
    <x v="0"/>
    <s v="BV45624"/>
    <s v="Pedido 457"/>
    <d v="2024-11-28T00:00:00"/>
    <x v="35"/>
    <s v="PedidoF443"/>
    <s v="CódRastreio442"/>
    <n v="1"/>
    <s v="CPF 442"/>
    <s v="Nome 442"/>
    <s v="Tel 442"/>
    <s v="Cep 442"/>
    <s v="Rua 442"/>
    <s v="Comp 442"/>
    <s v="Mini Liquidificador"/>
    <s v="CK-YL6M-P5Y6"/>
    <d v="2024-12-27T00:00:00"/>
    <n v="39.99"/>
    <n v="39.99"/>
    <n v="5.1987000000000005"/>
    <n v="34.79"/>
    <n v="17.989999999999998"/>
    <n v="0.14000000000000001"/>
    <n v="0.39877104377104378"/>
    <n v="0"/>
    <n v="16.261228956228955"/>
    <n v="8.1306144781144774"/>
    <x v="35"/>
    <x v="36"/>
    <x v="9"/>
    <d v="2025-01-16T00:00:00"/>
    <x v="2"/>
    <x v="0"/>
    <x v="2"/>
    <s v="ENTREGUE"/>
    <d v="2024-12-12T00:00:00"/>
    <x v="0"/>
    <m/>
    <n v="0"/>
    <n v="0"/>
    <n v="0"/>
    <n v="0"/>
    <n v="0"/>
  </r>
  <r>
    <x v="0"/>
    <s v="BV45624"/>
    <s v="Pedido 458"/>
    <d v="2024-11-28T00:00:00"/>
    <x v="35"/>
    <s v="PedidoF444"/>
    <s v="CódRastreio443"/>
    <n v="1"/>
    <s v="CPF 443"/>
    <s v="Nome 443"/>
    <s v="Tel 443"/>
    <s v="Cep 443"/>
    <s v="Rua 443"/>
    <s v="Comp 443"/>
    <s v="Ventilador Preto"/>
    <s v="MU-J80P-95WF"/>
    <d v="2024-12-19T00:00:00"/>
    <n v="65.989999999999995"/>
    <n v="65.989999999999995"/>
    <n v="8.5786999999999995"/>
    <n v="57.41"/>
    <n v="14.67"/>
    <n v="0.14000000000000001"/>
    <n v="0.39877104377104378"/>
    <n v="0"/>
    <n v="42.201228956228952"/>
    <n v="21.100614478114476"/>
    <x v="31"/>
    <x v="34"/>
    <x v="8"/>
    <d v="2025-01-02T00:00:00"/>
    <x v="0"/>
    <x v="0"/>
    <x v="2"/>
    <s v="ENTREGUE"/>
    <d v="2024-12-09T16:43:28"/>
    <x v="0"/>
    <m/>
    <n v="0"/>
    <n v="0"/>
    <n v="0"/>
    <n v="0"/>
    <n v="0"/>
  </r>
  <r>
    <x v="0"/>
    <s v="BV45624"/>
    <s v="Pedido 459"/>
    <d v="2024-11-28T00:00:00"/>
    <x v="35"/>
    <s v="PedidoF445"/>
    <s v="CódRastreio444"/>
    <n v="1"/>
    <s v="CPF 444"/>
    <s v="Nome 444"/>
    <s v="Tel 444"/>
    <s v="Cep 444"/>
    <s v="Rua 444"/>
    <s v="Comp 444"/>
    <s v="Adaptador Bluetooph"/>
    <s v="YA-AG3H-SPUK"/>
    <d v="2024-12-17T00:00:00"/>
    <n v="18.5"/>
    <n v="18.5"/>
    <n v="2.2199999999999998"/>
    <n v="16.28"/>
    <n v="8.58"/>
    <n v="0.14000000000000001"/>
    <n v="0.39877104377104378"/>
    <n v="0"/>
    <n v="7.1612289562289568"/>
    <n v="3.5806144781144784"/>
    <x v="33"/>
    <x v="37"/>
    <x v="0"/>
    <d v="2025-01-02T00:00:00"/>
    <x v="0"/>
    <x v="0"/>
    <x v="2"/>
    <s v="ENTREGUE"/>
    <d v="2024-12-02T00:00:00"/>
    <x v="0"/>
    <m/>
    <n v="0"/>
    <n v="0"/>
    <n v="0"/>
    <n v="0"/>
    <n v="0"/>
  </r>
  <r>
    <x v="0"/>
    <s v="BV45624"/>
    <s v="Pedido 460"/>
    <d v="2024-11-28T00:00:00"/>
    <x v="35"/>
    <s v="PedidoF446"/>
    <s v="CódRastreio445"/>
    <n v="1"/>
    <s v="CPF 445"/>
    <s v="Nome 445"/>
    <s v="Tel 445"/>
    <s v="Cep 445"/>
    <s v="Rua 445"/>
    <s v="Comp 445"/>
    <s v="Adaptador Bluetooph"/>
    <s v="YA-AG3H-SPUK"/>
    <d v="2024-12-19T00:00:00"/>
    <n v="18.5"/>
    <n v="18.5"/>
    <n v="2.2199999999999998"/>
    <n v="16.28"/>
    <n v="8.58"/>
    <n v="0.14000000000000001"/>
    <n v="0.39877104377104378"/>
    <n v="0"/>
    <n v="7.1612289562289568"/>
    <n v="3.5806144781144784"/>
    <x v="31"/>
    <x v="34"/>
    <x v="8"/>
    <d v="2025-01-02T00:00:00"/>
    <x v="0"/>
    <x v="0"/>
    <x v="2"/>
    <s v="ENTREGUE"/>
    <d v="2024-12-06T16:09:22"/>
    <x v="0"/>
    <m/>
    <n v="0"/>
    <n v="0"/>
    <n v="0"/>
    <n v="0"/>
    <n v="0"/>
  </r>
  <r>
    <x v="0"/>
    <s v="BV45624"/>
    <s v="Pedido 461"/>
    <d v="2024-11-28T00:00:00"/>
    <x v="35"/>
    <s v="PedidoF447"/>
    <s v="CódRastreio446"/>
    <n v="1"/>
    <s v="CPF 446"/>
    <s v="Nome 446"/>
    <s v="Tel 446"/>
    <s v="Cep 446"/>
    <s v="Rua 446"/>
    <s v="Comp 446"/>
    <s v="Ventilador Umidificador Branco"/>
    <s v="IA-LLX9-MRV1"/>
    <d v="2024-12-27T00:00:00"/>
    <n v="54.5"/>
    <n v="54.5"/>
    <n v="7.6300000000000008"/>
    <n v="46.87"/>
    <n v="10.38"/>
    <n v="0.14000000000000001"/>
    <n v="0.39877104377104378"/>
    <n v="0"/>
    <n v="35.951228956228952"/>
    <n v="17.975614478114476"/>
    <x v="35"/>
    <x v="36"/>
    <x v="9"/>
    <d v="2025-01-16T00:00:00"/>
    <x v="2"/>
    <x v="0"/>
    <x v="2"/>
    <s v="ENTREGUE"/>
    <d v="2024-12-12T00:00:00"/>
    <x v="0"/>
    <m/>
    <n v="0"/>
    <n v="0"/>
    <n v="0"/>
    <n v="0"/>
    <n v="0"/>
  </r>
  <r>
    <x v="0"/>
    <s v="BV45625"/>
    <s v="Pedido 462"/>
    <d v="2024-11-29T00:00:00"/>
    <x v="36"/>
    <s v="PedidoF448"/>
    <s v="CódRastreio447"/>
    <n v="1"/>
    <s v="CPF 447"/>
    <s v="Nome 447"/>
    <s v="Tel 447"/>
    <s v="Cep 447"/>
    <s v="Rua 447"/>
    <s v="Comp 447"/>
    <s v="Bomba d'agua"/>
    <s v="DJ-RO5O-43GF"/>
    <d v="2024-12-17T00:00:00"/>
    <n v="25.99"/>
    <n v="25.99"/>
    <n v="3.6386000000000003"/>
    <n v="22.35"/>
    <n v="14.4"/>
    <n v="0.24"/>
    <n v="0.39877104377104378"/>
    <n v="0"/>
    <n v="7.3112289562289572"/>
    <n v="3.6556144781144786"/>
    <x v="33"/>
    <x v="37"/>
    <x v="0"/>
    <d v="2025-01-02T00:00:00"/>
    <x v="0"/>
    <x v="0"/>
    <x v="2"/>
    <s v="ENTREGUE"/>
    <d v="2024-12-05T22:38:16"/>
    <x v="0"/>
    <m/>
    <n v="0"/>
    <n v="0"/>
    <n v="0"/>
    <n v="0"/>
    <n v="0"/>
  </r>
  <r>
    <x v="0"/>
    <s v="BV45624"/>
    <s v="Pedido 463"/>
    <d v="2024-11-28T00:00:00"/>
    <x v="35"/>
    <s v="PedidoF449"/>
    <s v="CódRastreio448"/>
    <n v="1"/>
    <s v="CPF 448"/>
    <s v="Nome 448"/>
    <s v="Tel 448"/>
    <s v="Cep 448"/>
    <s v="Rua 448"/>
    <s v="Comp 448"/>
    <s v="Mini Liquidificador"/>
    <s v="CK-YL6M-P5Y6"/>
    <d v="2024-12-27T00:00:00"/>
    <n v="39.99"/>
    <n v="39.99"/>
    <n v="5.1987000000000005"/>
    <n v="34.79"/>
    <n v="17.989999999999998"/>
    <n v="0.14000000000000001"/>
    <n v="0.39877104377104378"/>
    <n v="0"/>
    <n v="16.261228956228955"/>
    <n v="8.1306144781144774"/>
    <x v="35"/>
    <x v="36"/>
    <x v="9"/>
    <d v="2025-01-16T00:00:00"/>
    <x v="2"/>
    <x v="0"/>
    <x v="2"/>
    <s v="ENTREGUE"/>
    <d v="2024-12-10T00:00:00"/>
    <x v="0"/>
    <m/>
    <n v="0"/>
    <n v="0"/>
    <n v="0"/>
    <n v="0"/>
    <n v="0"/>
  </r>
  <r>
    <x v="0"/>
    <s v="BV45624"/>
    <s v="Pedido 464"/>
    <d v="2024-11-28T00:00:00"/>
    <x v="35"/>
    <s v="PedidoF450"/>
    <s v="CódRastreio449"/>
    <n v="1"/>
    <s v="CPF 449"/>
    <s v="Nome 449"/>
    <s v="Tel 449"/>
    <s v="Cep 449"/>
    <s v="Rua 449"/>
    <s v="Comp 449"/>
    <s v="Ventilador Rosa"/>
    <s v="IF-G2ZQ-79FO"/>
    <d v="2024-12-19T00:00:00"/>
    <n v="65.989999999999995"/>
    <n v="65.989999999999995"/>
    <n v="8.5786999999999995"/>
    <n v="57.41"/>
    <n v="14.19"/>
    <n v="0.14000000000000001"/>
    <n v="0.39877104377104378"/>
    <n v="0"/>
    <n v="42.681228956228949"/>
    <n v="21.340614478114475"/>
    <x v="31"/>
    <x v="34"/>
    <x v="8"/>
    <d v="2025-01-02T00:00:00"/>
    <x v="0"/>
    <x v="0"/>
    <x v="2"/>
    <s v="ENTREGUE"/>
    <d v="2024-12-06T13:55:56"/>
    <x v="0"/>
    <m/>
    <n v="0"/>
    <n v="0"/>
    <n v="0"/>
    <n v="0"/>
    <n v="0"/>
  </r>
  <r>
    <x v="0"/>
    <s v="BV45625"/>
    <s v="Pedido 465"/>
    <d v="2024-11-29T00:00:00"/>
    <x v="36"/>
    <s v="PedidoF451"/>
    <s v="CódRastreio450"/>
    <n v="1"/>
    <s v="CPF 450"/>
    <s v="Nome 450"/>
    <s v="Tel 450"/>
    <s v="Cep 450"/>
    <s v="Rua 450"/>
    <s v="Comp 450"/>
    <s v="Ventilador Preto"/>
    <s v="MU-J80P-95WF"/>
    <d v="2024-12-20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x v="32"/>
    <x v="35"/>
    <x v="8"/>
    <d v="2025-01-02T00:00:00"/>
    <x v="0"/>
    <x v="0"/>
    <x v="2"/>
    <s v="ENTREGUE"/>
    <d v="2024-12-10T00:00:00"/>
    <x v="0"/>
    <m/>
    <n v="0"/>
    <n v="0"/>
    <n v="0"/>
    <n v="0"/>
    <n v="0"/>
  </r>
  <r>
    <x v="0"/>
    <s v="BV45625"/>
    <s v="Pedido 466"/>
    <d v="2024-11-29T00:00:00"/>
    <x v="36"/>
    <s v="PedidoF452"/>
    <s v="CódRastreio451"/>
    <n v="1"/>
    <s v="CPF 451"/>
    <s v="Nome 451"/>
    <s v="Tel 451"/>
    <s v="Cep 451"/>
    <s v="Rua 451"/>
    <s v="Comp 451"/>
    <s v="Ventilador Azul"/>
    <s v="U8-2VWS-OB6M"/>
    <d v="2024-12-20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x v="32"/>
    <x v="35"/>
    <x v="8"/>
    <d v="2025-01-02T00:00:00"/>
    <x v="0"/>
    <x v="0"/>
    <x v="2"/>
    <s v="ENTREGUE"/>
    <d v="2024-12-15T00:00:00"/>
    <x v="0"/>
    <m/>
    <n v="0"/>
    <n v="0"/>
    <n v="0"/>
    <n v="0"/>
    <n v="0"/>
  </r>
  <r>
    <x v="0"/>
    <s v="BV45625"/>
    <s v="Pedido 467"/>
    <d v="2024-11-29T00:00:00"/>
    <x v="36"/>
    <s v="PedidoF453"/>
    <s v="CódRastreio452"/>
    <n v="1"/>
    <s v="CPF 452"/>
    <s v="Nome 452"/>
    <s v="Tel 452"/>
    <s v="Cep 452"/>
    <s v="Rua 452"/>
    <s v="Comp 452"/>
    <s v="Ventilador Azul"/>
    <s v="U8-2VWS-OB6M"/>
    <d v="2024-12-28T00:00:00"/>
    <n v="65.989999999999995"/>
    <n v="65.989999999999995"/>
    <n v="8.5786999999999995"/>
    <n v="57.41"/>
    <n v="0"/>
    <n v="0.24"/>
    <n v="0.39877104377104378"/>
    <n v="0"/>
    <n v="56.771228956228953"/>
    <n v="28.385614478114476"/>
    <x v="36"/>
    <x v="39"/>
    <x v="9"/>
    <d v="2025-01-16T00:00:00"/>
    <x v="2"/>
    <x v="0"/>
    <x v="2"/>
    <s v="ENTREGUE"/>
    <d v="2024-12-09T12:47:07"/>
    <x v="0"/>
    <m/>
    <n v="0"/>
    <n v="0"/>
    <n v="0"/>
    <n v="0"/>
    <n v="0"/>
  </r>
  <r>
    <x v="0"/>
    <s v="BV45625"/>
    <s v="Pedido 468"/>
    <d v="2024-11-29T00:00:00"/>
    <x v="36"/>
    <s v="PedidoF454"/>
    <s v="CódRastreio453"/>
    <n v="1"/>
    <s v="CPF 453"/>
    <s v="Nome 453"/>
    <s v="Tel 453"/>
    <s v="Cep 453"/>
    <s v="Rua 453"/>
    <s v="Comp 453"/>
    <s v="Ventilador Azul"/>
    <s v="U8-2VWS-OB6M"/>
    <d v="2024-12-28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x v="36"/>
    <x v="39"/>
    <x v="9"/>
    <d v="2025-01-16T00:00:00"/>
    <x v="2"/>
    <x v="0"/>
    <x v="2"/>
    <s v="ENTREGUE"/>
    <d v="2024-12-13T00:00:00"/>
    <x v="0"/>
    <m/>
    <n v="0"/>
    <n v="0"/>
    <n v="0"/>
    <n v="0"/>
    <n v="0"/>
  </r>
  <r>
    <x v="0"/>
    <s v="BV45625"/>
    <s v="Pedido 469"/>
    <d v="2024-11-29T00:00:00"/>
    <x v="36"/>
    <s v="PedidoF455"/>
    <s v="CódRastreio454"/>
    <n v="1"/>
    <s v="CPF 454"/>
    <s v="Nome 454"/>
    <s v="Tel 454"/>
    <s v="Cep 454"/>
    <s v="Rua 454"/>
    <s v="Comp 454"/>
    <s v="Ventilador Rosa"/>
    <s v="IF-G2ZQ-79FO"/>
    <d v="2024-12-20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x v="32"/>
    <x v="35"/>
    <x v="8"/>
    <d v="2025-01-02T00:00:00"/>
    <x v="0"/>
    <x v="0"/>
    <x v="2"/>
    <s v="ENTREGUE"/>
    <d v="2024-12-10T00:00:00"/>
    <x v="0"/>
    <m/>
    <n v="0"/>
    <n v="0"/>
    <n v="0"/>
    <n v="0"/>
    <n v="0"/>
  </r>
  <r>
    <x v="0"/>
    <s v="BV45628"/>
    <s v="Pedido 470"/>
    <d v="2024-12-02T00:00:00"/>
    <x v="37"/>
    <s v="PedidoF456"/>
    <s v="CódRastreio455"/>
    <n v="1"/>
    <s v="CPF 455"/>
    <s v="Nome 455"/>
    <s v="Tel 455"/>
    <s v="Cep 455"/>
    <s v="Rua 455"/>
    <s v="Comp 455"/>
    <s v="Adaptador Bluetooph"/>
    <s v="YA-AG3H-SPUK"/>
    <d v="2024-12-18T00:00:00"/>
    <n v="22.5"/>
    <n v="22.5"/>
    <n v="2.6999999999999997"/>
    <n v="19.8"/>
    <n v="9.0399999999999991"/>
    <n v="0.21"/>
    <n v="0.39877104377104378"/>
    <n v="0"/>
    <n v="10.151228956228957"/>
    <n v="5.0756144781144785"/>
    <x v="34"/>
    <x v="38"/>
    <x v="0"/>
    <d v="2025-01-02T00:00:00"/>
    <x v="0"/>
    <x v="0"/>
    <x v="3"/>
    <s v="ENTREGUE"/>
    <d v="2024-12-09T18:00:22"/>
    <x v="0"/>
    <m/>
    <n v="0"/>
    <n v="0"/>
    <n v="0"/>
    <n v="0"/>
    <n v="0"/>
  </r>
  <r>
    <x v="0"/>
    <s v="BV45625"/>
    <s v="Pedido 471"/>
    <d v="2024-11-29T00:00:00"/>
    <x v="36"/>
    <s v="PedidoF457"/>
    <s v="CódRastreio456"/>
    <n v="1"/>
    <s v="CPF 456"/>
    <s v="Nome 456"/>
    <s v="Tel 456"/>
    <s v="Cep 456"/>
    <s v="Rua 456"/>
    <s v="Comp 456"/>
    <s v="Ventilador Azul"/>
    <s v="U8-2VWS-OB6M"/>
    <d v="2024-12-20T00:00:00"/>
    <n v="65.989999999999995"/>
    <n v="65.989999999999995"/>
    <n v="8.5786999999999995"/>
    <n v="57.41"/>
    <n v="14.69"/>
    <n v="0.24"/>
    <n v="0.39877104377104378"/>
    <n v="0"/>
    <n v="42.081228956228955"/>
    <n v="21.040614478114477"/>
    <x v="32"/>
    <x v="35"/>
    <x v="8"/>
    <d v="2025-01-02T00:00:00"/>
    <x v="0"/>
    <x v="0"/>
    <x v="2"/>
    <s v="ENTREGUE"/>
    <d v="2024-12-20T00:00:00"/>
    <x v="0"/>
    <m/>
    <n v="0"/>
    <n v="0"/>
    <n v="0"/>
    <n v="0"/>
    <n v="0"/>
  </r>
  <r>
    <x v="0"/>
    <s v="BV45625"/>
    <s v="Pedido 472"/>
    <d v="2024-11-29T00:00:00"/>
    <x v="36"/>
    <s v="PedidoF458"/>
    <s v="CódRastreio457"/>
    <n v="1"/>
    <s v="CPF 457"/>
    <s v="Nome 457"/>
    <s v="Tel 457"/>
    <s v="Cep 457"/>
    <s v="Rua 457"/>
    <s v="Comp 457"/>
    <s v="Ventilador Preto"/>
    <s v="MU-J80P-95WF"/>
    <d v="2024-12-28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x v="36"/>
    <x v="39"/>
    <x v="9"/>
    <d v="2025-01-16T00:00:00"/>
    <x v="2"/>
    <x v="0"/>
    <x v="2"/>
    <s v="ENTREGUE"/>
    <d v="2024-12-12T00:00:00"/>
    <x v="0"/>
    <m/>
    <n v="0"/>
    <n v="0"/>
    <n v="0"/>
    <n v="0"/>
    <n v="0"/>
  </r>
  <r>
    <x v="0"/>
    <s v="BV45628"/>
    <s v="Pedido 473"/>
    <d v="2024-12-02T00:00:00"/>
    <x v="37"/>
    <s v="PedidoF459"/>
    <s v="CódRastreio458"/>
    <n v="1"/>
    <s v="CPF 458"/>
    <s v="Nome 458"/>
    <s v="Tel 458"/>
    <s v="Cep 458"/>
    <s v="Rua 458"/>
    <s v="Comp 458"/>
    <s v="Adaptador Bluetooph"/>
    <s v="YA-AG3H-SPUK"/>
    <d v="2024-12-14T00:00:00"/>
    <n v="22.5"/>
    <n v="22.5"/>
    <n v="2.6999999999999997"/>
    <n v="19.8"/>
    <n v="9.0399999999999991"/>
    <n v="0.21"/>
    <n v="0.39877104377104378"/>
    <n v="0"/>
    <n v="10.151228956228957"/>
    <n v="5.0756144781144785"/>
    <x v="30"/>
    <x v="32"/>
    <x v="0"/>
    <d v="2025-01-02T00:00:00"/>
    <x v="0"/>
    <x v="0"/>
    <x v="3"/>
    <s v="ENTREGUE"/>
    <d v="2024-12-07T17:51:55"/>
    <x v="0"/>
    <m/>
    <n v="0"/>
    <n v="0"/>
    <n v="0"/>
    <n v="0"/>
    <n v="0"/>
  </r>
  <r>
    <x v="0"/>
    <s v="BV45625"/>
    <s v="Pedido 474"/>
    <d v="2024-11-29T00:00:00"/>
    <x v="36"/>
    <s v="PedidoF460"/>
    <s v="CódRastreio459"/>
    <n v="1"/>
    <s v="CPF 459"/>
    <s v="Nome 459"/>
    <s v="Tel 459"/>
    <s v="Cep 459"/>
    <s v="Rua 459"/>
    <s v="Comp 459"/>
    <s v="Ventilador Preto"/>
    <s v="MU-J80P-95WF"/>
    <d v="2024-12-20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x v="32"/>
    <x v="35"/>
    <x v="8"/>
    <d v="2025-01-02T00:00:00"/>
    <x v="0"/>
    <x v="0"/>
    <x v="2"/>
    <s v="ENTREGUE"/>
    <d v="2024-12-11T00:00:00"/>
    <x v="0"/>
    <m/>
    <n v="0"/>
    <n v="0"/>
    <n v="0"/>
    <n v="0"/>
    <n v="0"/>
  </r>
  <r>
    <x v="0"/>
    <s v="BV45625"/>
    <s v="Pedido 475"/>
    <d v="2024-11-29T00:00:00"/>
    <x v="36"/>
    <s v="PedidoF461"/>
    <s v="CódRastreio460"/>
    <n v="1"/>
    <s v="CPF 460"/>
    <s v="Nome 460"/>
    <s v="Tel 460"/>
    <s v="Cep 460"/>
    <s v="Rua 460"/>
    <s v="Comp 460"/>
    <s v="Ventilador Preto"/>
    <s v="MU-J80P-95WF"/>
    <d v="2024-12-20T00:00:00"/>
    <n v="65.989999999999995"/>
    <n v="65.989999999999995"/>
    <n v="8.5786999999999995"/>
    <n v="57.41"/>
    <n v="15.22"/>
    <n v="0.24"/>
    <n v="0.39877104377104378"/>
    <n v="0"/>
    <n v="41.551228956228954"/>
    <n v="20.775614478114477"/>
    <x v="32"/>
    <x v="35"/>
    <x v="8"/>
    <d v="2025-01-02T00:00:00"/>
    <x v="0"/>
    <x v="0"/>
    <x v="2"/>
    <s v="ENTREGUE"/>
    <d v="2024-12-09T13:09:11"/>
    <x v="0"/>
    <m/>
    <n v="0"/>
    <n v="0"/>
    <n v="0"/>
    <n v="0"/>
    <n v="0"/>
  </r>
  <r>
    <x v="0"/>
    <s v="BV45628"/>
    <s v="Pedido 476"/>
    <d v="2024-12-02T00:00:00"/>
    <x v="37"/>
    <s v="PedidoF462"/>
    <s v="CódRastreio461"/>
    <n v="1"/>
    <s v="CPF 461"/>
    <s v="Nome 461"/>
    <s v="Tel 461"/>
    <s v="Cep 461"/>
    <s v="Rua 461"/>
    <s v="Comp 461"/>
    <s v="Adaptador Bluetooph"/>
    <s v="YA-AG3H-SPUK"/>
    <d v="2024-12-20T00:00:00"/>
    <n v="60"/>
    <n v="60"/>
    <n v="7.1999999999999993"/>
    <n v="52.8"/>
    <n v="9.0399999999999991"/>
    <n v="0.21"/>
    <n v="0.39877104377104378"/>
    <n v="0"/>
    <n v="43.151228956228955"/>
    <n v="21.575614478114478"/>
    <x v="32"/>
    <x v="35"/>
    <x v="8"/>
    <d v="2025-01-02T00:00:00"/>
    <x v="0"/>
    <x v="0"/>
    <x v="3"/>
    <s v="ENTREGUE"/>
    <d v="2024-12-10T00:00:00"/>
    <x v="0"/>
    <m/>
    <n v="0"/>
    <n v="0"/>
    <n v="0"/>
    <n v="0"/>
    <n v="0"/>
  </r>
  <r>
    <x v="0"/>
    <s v="BV45628"/>
    <s v="Pedido 477"/>
    <d v="2024-12-02T00:00:00"/>
    <x v="37"/>
    <s v="PedidoF463"/>
    <s v="CódRastreio462"/>
    <n v="1"/>
    <s v="CPF 462"/>
    <s v="Nome 462"/>
    <s v="Tel 462"/>
    <s v="Cep 462"/>
    <s v="Rua 462"/>
    <s v="Comp 462"/>
    <s v="Ventilador Rosa"/>
    <s v="IF-G2ZQ-79FO"/>
    <d v="2024-12-20T00:00:00"/>
    <n v="100"/>
    <n v="100"/>
    <n v="13"/>
    <n v="87"/>
    <n v="19.48"/>
    <n v="0.21"/>
    <n v="0.39877104377104378"/>
    <n v="0"/>
    <n v="66.911228956228953"/>
    <n v="33.455614478114477"/>
    <x v="32"/>
    <x v="35"/>
    <x v="8"/>
    <d v="2025-01-02T00:00:00"/>
    <x v="0"/>
    <x v="0"/>
    <x v="3"/>
    <s v="ENTREGUE"/>
    <d v="2025-01-03T00:00:00"/>
    <x v="0"/>
    <m/>
    <n v="0"/>
    <n v="0"/>
    <n v="0"/>
    <n v="0"/>
    <n v="0"/>
  </r>
  <r>
    <x v="0"/>
    <s v="BV45628"/>
    <s v="Pedido 478"/>
    <d v="2024-12-02T00:00:00"/>
    <x v="37"/>
    <s v="PedidoF464"/>
    <s v="CódRastreio463"/>
    <n v="1"/>
    <s v="CPF 463"/>
    <s v="Nome 463"/>
    <s v="Tel 463"/>
    <s v="Cep 463"/>
    <s v="Rua 463"/>
    <s v="Comp 463"/>
    <s v="Ventilador Preto"/>
    <s v="MU-J80P-95WF"/>
    <d v="2024-12-28T00:00:00"/>
    <n v="100"/>
    <n v="100"/>
    <n v="13"/>
    <n v="87"/>
    <n v="19.34"/>
    <n v="0.21"/>
    <n v="0.39877104377104378"/>
    <n v="0"/>
    <n v="67.051228956228954"/>
    <n v="33.525614478114477"/>
    <x v="36"/>
    <x v="39"/>
    <x v="9"/>
    <d v="2025-01-16T00:00:00"/>
    <x v="2"/>
    <x v="0"/>
    <x v="3"/>
    <s v="ENTREGUE"/>
    <d v="2024-12-20T00:00:00"/>
    <x v="0"/>
    <m/>
    <n v="0"/>
    <n v="0"/>
    <n v="0"/>
    <n v="0"/>
    <n v="0"/>
  </r>
  <r>
    <x v="0"/>
    <s v="BV45628"/>
    <s v="Pedido 479"/>
    <d v="2024-12-02T00:00:00"/>
    <x v="37"/>
    <s v="PedidoF465"/>
    <s v="CódRastreio464"/>
    <n v="1"/>
    <s v="CPF 464"/>
    <s v="Nome 464"/>
    <s v="Tel 464"/>
    <s v="Cep 464"/>
    <s v="Rua 464"/>
    <s v="Comp 464"/>
    <s v="Ventilador Preto"/>
    <s v="MU-J80P-95WF"/>
    <d v="2024-12-31T00:00:00"/>
    <n v="100"/>
    <n v="100"/>
    <n v="13"/>
    <n v="87"/>
    <n v="19.34"/>
    <n v="0.21"/>
    <n v="0.39877104377104378"/>
    <n v="0"/>
    <n v="67.051228956228954"/>
    <n v="33.525614478114477"/>
    <x v="40"/>
    <x v="43"/>
    <x v="9"/>
    <d v="2025-01-16T00:00:00"/>
    <x v="2"/>
    <x v="0"/>
    <x v="3"/>
    <s v="ENTREGUE"/>
    <d v="2024-12-17T00:00:00"/>
    <x v="0"/>
    <m/>
    <n v="0"/>
    <n v="0"/>
    <n v="0"/>
    <n v="0"/>
    <n v="0"/>
  </r>
  <r>
    <x v="0"/>
    <s v="BV45628"/>
    <s v="Pedido 480"/>
    <d v="2024-12-02T00:00:00"/>
    <x v="37"/>
    <s v="PedidoF466"/>
    <s v="CódRastreio465"/>
    <n v="1"/>
    <s v="CPF 465"/>
    <s v="Nome 465"/>
    <s v="Tel 465"/>
    <s v="Cep 465"/>
    <s v="Rua 465"/>
    <s v="Comp 465"/>
    <s v="Ventilador Azul"/>
    <s v="U8-2VWS-OB6M"/>
    <d v="2024-12-21T00:00:00"/>
    <n v="65.989999999999995"/>
    <n v="65.989999999999995"/>
    <n v="8.5786999999999995"/>
    <n v="57.41"/>
    <n v="19.28"/>
    <n v="0.21"/>
    <n v="0.39877104377104378"/>
    <n v="0"/>
    <n v="37.521228956228953"/>
    <n v="18.760614478114476"/>
    <x v="37"/>
    <x v="40"/>
    <x v="8"/>
    <d v="2025-01-02T00:00:00"/>
    <x v="0"/>
    <x v="0"/>
    <x v="3"/>
    <s v="ENTREGUE"/>
    <d v="2024-12-16T00:00:00"/>
    <x v="0"/>
    <m/>
    <n v="0"/>
    <n v="0"/>
    <n v="0"/>
    <n v="0"/>
    <n v="0"/>
  </r>
  <r>
    <x v="0"/>
    <s v="BV45628"/>
    <s v="Pedido 481"/>
    <d v="2024-12-02T00:00:00"/>
    <x v="37"/>
    <s v="PedidoF467"/>
    <s v="CódRastreio466"/>
    <n v="1"/>
    <s v="CPF 466"/>
    <s v="Nome 466"/>
    <s v="Tel 466"/>
    <s v="Cep 466"/>
    <s v="Rua 466"/>
    <s v="Comp 466"/>
    <s v="Ventilador Preto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x v="37"/>
    <x v="40"/>
    <x v="8"/>
    <d v="2025-01-02T00:00:00"/>
    <x v="0"/>
    <x v="0"/>
    <x v="3"/>
    <s v="ENTREGUE"/>
    <d v="2024-12-11T00:00:00"/>
    <x v="0"/>
    <m/>
    <n v="0"/>
    <n v="0"/>
    <n v="0"/>
    <n v="0"/>
    <n v="0"/>
  </r>
  <r>
    <x v="0"/>
    <s v="BV45628"/>
    <s v="Pedido 482"/>
    <d v="2024-12-02T00:00:00"/>
    <x v="37"/>
    <s v="PedidoF468"/>
    <s v="CódRastreio467"/>
    <n v="1"/>
    <s v="CPF 467"/>
    <s v="Nome 467"/>
    <s v="Tel 467"/>
    <s v="Cep 467"/>
    <s v="Rua 467"/>
    <s v="Comp 467"/>
    <s v="Ventilador Azul"/>
    <s v="U8-2VWS-OB6M"/>
    <d v="2024-12-21T00:00:00"/>
    <n v="65.989999999999995"/>
    <n v="65.989999999999995"/>
    <n v="8.5786999999999995"/>
    <n v="57.41"/>
    <n v="19.28"/>
    <n v="0.21"/>
    <n v="0.39877104377104378"/>
    <n v="0"/>
    <n v="37.521228956228953"/>
    <n v="18.760614478114476"/>
    <x v="37"/>
    <x v="40"/>
    <x v="8"/>
    <d v="2025-01-02T00:00:00"/>
    <x v="0"/>
    <x v="0"/>
    <x v="3"/>
    <s v="ENTREGUE"/>
    <d v="2024-12-11T00:00:00"/>
    <x v="0"/>
    <m/>
    <n v="0"/>
    <n v="0"/>
    <n v="0"/>
    <n v="0"/>
    <n v="0"/>
  </r>
  <r>
    <x v="0"/>
    <s v="BV45628"/>
    <s v="Pedido 483"/>
    <d v="2024-12-02T00:00:00"/>
    <x v="37"/>
    <s v="PedidoF469"/>
    <s v="CódRastreio468"/>
    <n v="1"/>
    <s v="CPF 468"/>
    <s v="Nome 468"/>
    <s v="Tel 468"/>
    <s v="Cep 468"/>
    <s v="Rua 468"/>
    <s v="Comp 468"/>
    <s v="Adaptador Bluetooph"/>
    <s v="YA-AG3H-SPUK"/>
    <d v="2024-12-31T00:00:00"/>
    <n v="23.9"/>
    <n v="23.9"/>
    <n v="2.8679999999999999"/>
    <n v="21.03"/>
    <n v="9.0399999999999991"/>
    <n v="0.21"/>
    <n v="0.39877104377104378"/>
    <n v="0"/>
    <n v="11.381228956228957"/>
    <n v="5.6906144781144787"/>
    <x v="40"/>
    <x v="43"/>
    <x v="9"/>
    <d v="2025-01-16T00:00:00"/>
    <x v="2"/>
    <x v="0"/>
    <x v="3"/>
    <s v="ENTREGUE"/>
    <d v="2024-12-19T00:00:00"/>
    <x v="0"/>
    <m/>
    <n v="0"/>
    <n v="0"/>
    <n v="0"/>
    <n v="0"/>
    <n v="0"/>
  </r>
  <r>
    <x v="0"/>
    <s v="BV45628"/>
    <s v="Pedido 484"/>
    <d v="2024-12-02T00:00:00"/>
    <x v="37"/>
    <s v="PedidoF470"/>
    <s v="CódRastreio469"/>
    <n v="1"/>
    <s v="CPF 469"/>
    <s v="Nome 469"/>
    <s v="Tel 469"/>
    <s v="Cep 469"/>
    <s v="Rua 469"/>
    <s v="Comp 469"/>
    <s v="Ventilador Rosa"/>
    <s v="IF-G2ZQ-79FO"/>
    <d v="2024-12-21T00:00:00"/>
    <n v="65.900000000000006"/>
    <n v="65.900000000000006"/>
    <n v="8.5670000000000002"/>
    <n v="57.33"/>
    <n v="0"/>
    <n v="0.21"/>
    <n v="0.39877104377104378"/>
    <n v="0"/>
    <n v="56.721228956228956"/>
    <n v="28.360614478114478"/>
    <x v="37"/>
    <x v="40"/>
    <x v="8"/>
    <d v="2025-01-02T00:00:00"/>
    <x v="0"/>
    <x v="0"/>
    <x v="3"/>
    <s v="ENTREGUE"/>
    <d v="2024-12-13T00:00:00"/>
    <x v="0"/>
    <m/>
    <n v="0"/>
    <n v="0"/>
    <n v="0"/>
    <n v="0"/>
    <n v="0"/>
  </r>
  <r>
    <x v="0"/>
    <s v="BV45628"/>
    <s v="Pedido 485"/>
    <d v="2024-12-02T00:00:00"/>
    <x v="37"/>
    <s v="PedidoF471"/>
    <s v="CódRastreio470"/>
    <n v="1"/>
    <s v="CPF 470"/>
    <s v="Nome 470"/>
    <s v="Tel 470"/>
    <s v="Cep 470"/>
    <s v="Rua 470"/>
    <s v="Comp 470"/>
    <s v="Adaptador Bluetooph"/>
    <s v="YA-AG3H-SPUK"/>
    <d v="2024-12-21T00:00:00"/>
    <n v="23.9"/>
    <n v="23.9"/>
    <n v="2.8679999999999999"/>
    <n v="21.03"/>
    <n v="9.0399999999999991"/>
    <n v="0.21"/>
    <n v="0.39877104377104378"/>
    <n v="0"/>
    <n v="11.381228956228957"/>
    <n v="5.6906144781144787"/>
    <x v="37"/>
    <x v="40"/>
    <x v="8"/>
    <d v="2025-01-02T00:00:00"/>
    <x v="0"/>
    <x v="0"/>
    <x v="3"/>
    <s v="ENTREGUE"/>
    <d v="2024-12-12T00:00:00"/>
    <x v="0"/>
    <m/>
    <n v="0"/>
    <n v="0"/>
    <n v="0"/>
    <n v="0"/>
    <n v="0"/>
  </r>
  <r>
    <x v="0"/>
    <s v="BV45628"/>
    <s v="Pedido 486"/>
    <d v="2024-12-02T00:00:00"/>
    <x v="37"/>
    <s v="PedidoF472"/>
    <s v="CódRastreio471"/>
    <n v="1"/>
    <s v="CPF 471"/>
    <s v="Nome 471"/>
    <s v="Tel 471"/>
    <s v="Cep 471"/>
    <s v="Rua 471"/>
    <s v="Comp 471"/>
    <s v="Ventilador Preto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x v="37"/>
    <x v="40"/>
    <x v="8"/>
    <d v="2025-01-02T00:00:00"/>
    <x v="0"/>
    <x v="0"/>
    <x v="3"/>
    <s v="ENTREGUE"/>
    <d v="2024-12-11T00:00:00"/>
    <x v="0"/>
    <m/>
    <n v="0"/>
    <n v="0"/>
    <n v="0"/>
    <n v="0"/>
    <n v="0"/>
  </r>
  <r>
    <x v="0"/>
    <s v="BV45628"/>
    <s v="Pedido 487"/>
    <d v="2024-12-02T00:00:00"/>
    <x v="37"/>
    <s v="PedidoF473"/>
    <s v="CódRastreio472"/>
    <n v="1"/>
    <s v="CPF 472"/>
    <s v="Nome 472"/>
    <s v="Tel 472"/>
    <s v="Cep 472"/>
    <s v="Rua 472"/>
    <s v="Comp 472"/>
    <s v="Ventilador Preto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x v="37"/>
    <x v="40"/>
    <x v="8"/>
    <d v="2025-01-02T00:00:00"/>
    <x v="0"/>
    <x v="0"/>
    <x v="3"/>
    <s v="ENTREGUE"/>
    <d v="2024-12-10T00:00:00"/>
    <x v="0"/>
    <m/>
    <n v="0"/>
    <n v="0"/>
    <n v="0"/>
    <n v="0"/>
    <n v="0"/>
  </r>
  <r>
    <x v="0"/>
    <s v="BV45628"/>
    <s v="Pedido 488"/>
    <d v="2024-12-02T00:00:00"/>
    <x v="37"/>
    <s v="PedidoF474"/>
    <s v="CódRastreio473"/>
    <n v="1"/>
    <s v="CPF 473"/>
    <s v="Nome 473"/>
    <s v="Tel 473"/>
    <s v="Cep 473"/>
    <s v="Rua 473"/>
    <s v="Comp 473"/>
    <s v="Ventilador Preto"/>
    <s v="MU-J80P-95WF"/>
    <d v="2025-01-09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x v="41"/>
    <x v="44"/>
    <x v="11"/>
    <d v="2025-02-06T00:00:00"/>
    <x v="2"/>
    <x v="0"/>
    <x v="3"/>
    <s v="ENTREGUE"/>
    <d v="2025-01-03T00:00:00"/>
    <x v="0"/>
    <m/>
    <n v="0"/>
    <n v="0"/>
    <n v="0"/>
    <n v="0"/>
    <n v="0"/>
  </r>
  <r>
    <x v="0"/>
    <s v="BV45628"/>
    <s v="Pedido 488"/>
    <d v="2024-12-02T00:00:00"/>
    <x v="37"/>
    <s v="PedidoF475"/>
    <s v="CódRastreio474"/>
    <n v="1"/>
    <s v="CPF 473"/>
    <s v="Nome 473"/>
    <s v="Tel 473"/>
    <s v="Cep 473"/>
    <s v="Rua 473"/>
    <s v="Comp 473"/>
    <s v="Ventilador Azul"/>
    <s v="U8-2VWS-OB6M"/>
    <d v="2025-01-09T00:00:00"/>
    <n v="65.989999999999995"/>
    <n v="65.989999999999995"/>
    <n v="8.5786999999999995"/>
    <n v="57.41"/>
    <n v="19.28"/>
    <n v="0.21"/>
    <n v="0.39877104377104378"/>
    <n v="0"/>
    <n v="37.521228956228953"/>
    <n v="18.760614478114476"/>
    <x v="41"/>
    <x v="44"/>
    <x v="11"/>
    <d v="2025-02-06T00:00:00"/>
    <x v="2"/>
    <x v="0"/>
    <x v="3"/>
    <s v="-"/>
    <s v="-"/>
    <x v="0"/>
    <m/>
    <n v="0"/>
    <n v="0"/>
    <n v="0"/>
    <n v="0"/>
    <n v="0"/>
  </r>
  <r>
    <x v="0"/>
    <s v="BV45628"/>
    <s v="Pedido 489"/>
    <d v="2024-12-02T00:00:00"/>
    <x v="37"/>
    <s v="PedidoF476"/>
    <s v="CódRastreio475"/>
    <n v="1"/>
    <s v="CPF 474"/>
    <s v="Nome 474"/>
    <s v="Tel 474"/>
    <s v="Cep 474"/>
    <s v="Rua 474"/>
    <s v="Comp 474"/>
    <s v="Ventilador Preto"/>
    <s v="MU-J80P-95WF"/>
    <d v="2024-12-21T00:00:00"/>
    <n v="65.989999999999995"/>
    <n v="65.989999999999995"/>
    <n v="8.5786999999999995"/>
    <n v="57.41"/>
    <n v="19.34"/>
    <n v="0.21"/>
    <n v="0.39877104377104378"/>
    <n v="0"/>
    <n v="37.46122895622895"/>
    <n v="18.730614478114475"/>
    <x v="37"/>
    <x v="40"/>
    <x v="8"/>
    <d v="2025-01-02T00:00:00"/>
    <x v="0"/>
    <x v="0"/>
    <x v="3"/>
    <s v="ENTREGUE"/>
    <d v="2024-12-11T00:00:00"/>
    <x v="0"/>
    <m/>
    <n v="0"/>
    <n v="0"/>
    <n v="0"/>
    <n v="0"/>
    <n v="0"/>
  </r>
  <r>
    <x v="0"/>
    <s v="BV45628"/>
    <s v="Pedido 490"/>
    <d v="2024-12-02T00:00:00"/>
    <x v="37"/>
    <s v="PedidoF477"/>
    <s v="CódRastreio476"/>
    <n v="1"/>
    <s v="CPF 475"/>
    <s v="Nome 475"/>
    <s v="Tel 475"/>
    <s v="Cep 475"/>
    <s v="Rua 475"/>
    <s v="Comp 475"/>
    <s v="Suporte de Celular Preto"/>
    <s v="9G-BN48-QAPH"/>
    <d v="2024-12-31T00:00:00"/>
    <n v="21.99"/>
    <n v="21.99"/>
    <n v="3.2984999999999998"/>
    <n v="18.690000000000001"/>
    <n v="7.99"/>
    <n v="0.21"/>
    <n v="0.39877104377104378"/>
    <n v="0"/>
    <n v="10.091228956228957"/>
    <n v="5.0456144781144783"/>
    <x v="40"/>
    <x v="43"/>
    <x v="9"/>
    <d v="2025-01-16T00:00:00"/>
    <x v="2"/>
    <x v="0"/>
    <x v="3"/>
    <s v="ENTREGUE"/>
    <d v="2024-12-10T00:00:00"/>
    <x v="0"/>
    <m/>
    <n v="0"/>
    <n v="0"/>
    <n v="0"/>
    <n v="0"/>
    <n v="0"/>
  </r>
  <r>
    <x v="0"/>
    <s v="BV45629"/>
    <s v="Pedido 491"/>
    <d v="2024-12-03T00:00:00"/>
    <x v="38"/>
    <s v="PedidoF478"/>
    <s v="CódRastreio477"/>
    <n v="1"/>
    <s v="CPF 476"/>
    <s v="Nome 476"/>
    <s v="Tel 476"/>
    <s v="Cep 476"/>
    <s v="Rua 476"/>
    <s v="Comp 476"/>
    <s v="Ventilador Preto"/>
    <s v="MU-J80P-95WF"/>
    <d v="2024-12-21T00:00:00"/>
    <n v="65.989999999999995"/>
    <n v="65.989999999999995"/>
    <n v="8.5786999999999995"/>
    <n v="57.41"/>
    <n v="19.54"/>
    <n v="0.22"/>
    <n v="0.39877104377104378"/>
    <n v="0"/>
    <n v="37.251228956228957"/>
    <n v="18.625614478114478"/>
    <x v="37"/>
    <x v="40"/>
    <x v="8"/>
    <d v="2025-01-02T00:00:00"/>
    <x v="0"/>
    <x v="0"/>
    <x v="3"/>
    <s v="ENTREGUE"/>
    <d v="2024-12-13T00:00:00"/>
    <x v="0"/>
    <m/>
    <n v="0"/>
    <n v="0"/>
    <n v="0"/>
    <n v="0"/>
    <n v="0"/>
  </r>
  <r>
    <x v="0"/>
    <s v="BV45629"/>
    <s v="Pedido 492"/>
    <d v="2024-12-03T00:00:00"/>
    <x v="38"/>
    <s v="PedidoF479"/>
    <s v="CódRastreio478"/>
    <n v="1"/>
    <s v="CPF 477"/>
    <s v="Nome 477"/>
    <s v="Tel 477"/>
    <s v="Cep 477"/>
    <s v="Rua 477"/>
    <s v="Comp 477"/>
    <s v="Ventilador Azul"/>
    <s v="U8-2VWS-OB6M"/>
    <d v="2025-01-03T00:00:00"/>
    <n v="65.989999999999995"/>
    <n v="65.989999999999995"/>
    <n v="8.5786999999999995"/>
    <n v="57.41"/>
    <n v="19.399999999999999"/>
    <n v="0.22"/>
    <n v="0.39877104377104378"/>
    <n v="0"/>
    <n v="37.391228956228957"/>
    <n v="18.695614478114479"/>
    <x v="38"/>
    <x v="41"/>
    <x v="10"/>
    <d v="2025-01-16T00:00:00"/>
    <x v="2"/>
    <x v="0"/>
    <x v="3"/>
    <s v="ENTREGUE"/>
    <d v="2024-12-12T00:00:00"/>
    <x v="0"/>
    <m/>
    <n v="0"/>
    <n v="0"/>
    <n v="0"/>
    <n v="0"/>
    <n v="0"/>
  </r>
  <r>
    <x v="0"/>
    <s v="BV45629"/>
    <s v="Pedido 493"/>
    <d v="2024-12-03T00:00:00"/>
    <x v="38"/>
    <s v="PedidoF480"/>
    <s v="CódRastreio479"/>
    <n v="1"/>
    <s v="CPF 478"/>
    <s v="Nome 478"/>
    <s v="Tel 478"/>
    <s v="Cep 478"/>
    <s v="Rua 478"/>
    <s v="Comp 478"/>
    <s v="Ventilador de teto"/>
    <s v="BP-NHG2-B8C1"/>
    <d v="2025-01-03T00:00:00"/>
    <n v="65.989999999999995"/>
    <n v="65.989999999999995"/>
    <n v="8.5786999999999995"/>
    <n v="57.41"/>
    <n v="21.47"/>
    <n v="0.22"/>
    <n v="0.39877104377104378"/>
    <n v="0"/>
    <n v="35.32122895622895"/>
    <n v="17.660614478114475"/>
    <x v="38"/>
    <x v="41"/>
    <x v="10"/>
    <d v="2025-01-16T00:00:00"/>
    <x v="2"/>
    <x v="0"/>
    <x v="3"/>
    <s v="ENTREGUE"/>
    <d v="2024-12-18T00:00:00"/>
    <x v="0"/>
    <m/>
    <n v="0"/>
    <n v="0"/>
    <n v="0"/>
    <n v="0"/>
    <n v="0"/>
  </r>
  <r>
    <x v="0"/>
    <s v="BV45629"/>
    <s v="Pedido 494"/>
    <d v="2024-12-03T00:00:00"/>
    <x v="38"/>
    <s v="PedidoF481"/>
    <s v="CódRastreio480"/>
    <n v="1"/>
    <s v="CPF 479"/>
    <s v="Nome 479"/>
    <s v="Tel 479"/>
    <s v="Cep 479"/>
    <s v="Rua 479"/>
    <s v="Comp 479"/>
    <s v="Ventilador Umidificador Preto"/>
    <s v="HF-SI0F-XC7S"/>
    <d v="2024-12-24T00:00:00"/>
    <n v="51.9"/>
    <n v="51.9"/>
    <n v="7.2660000000000009"/>
    <n v="44.63"/>
    <n v="13.57"/>
    <n v="0.22"/>
    <n v="0.39877104377104378"/>
    <n v="0"/>
    <n v="30.441228956228958"/>
    <n v="15.220614478114479"/>
    <x v="39"/>
    <x v="42"/>
    <x v="9"/>
    <d v="2025-01-16T00:00:00"/>
    <x v="0"/>
    <x v="0"/>
    <x v="3"/>
    <s v="ENTREGUE"/>
    <d v="2024-12-18T00:00:00"/>
    <x v="0"/>
    <m/>
    <n v="0"/>
    <n v="0"/>
    <n v="0"/>
    <n v="0"/>
    <n v="0"/>
  </r>
  <r>
    <x v="0"/>
    <s v="BV45629"/>
    <s v="Pedido 495"/>
    <d v="2024-12-03T00:00:00"/>
    <x v="38"/>
    <s v="PedidoF482"/>
    <s v="CódRastreio481"/>
    <n v="1"/>
    <s v="CPF 471"/>
    <s v="Nome 471"/>
    <s v="Tel 471"/>
    <s v="Cep 471"/>
    <s v="Rua 471"/>
    <s v="Comp 471"/>
    <s v="Ventilador Azul"/>
    <s v="U8-2VWS-OB6M"/>
    <d v="2024-12-24T00:00:00"/>
    <n v="65.989999999999995"/>
    <n v="65.989999999999995"/>
    <n v="8.5786999999999995"/>
    <n v="57.41"/>
    <n v="19.399999999999999"/>
    <n v="0.22"/>
    <n v="0.39877104377104378"/>
    <n v="0"/>
    <n v="37.391228956228957"/>
    <n v="18.695614478114479"/>
    <x v="39"/>
    <x v="42"/>
    <x v="9"/>
    <d v="2025-01-16T00:00:00"/>
    <x v="0"/>
    <x v="0"/>
    <x v="3"/>
    <s v="ENTREGUE"/>
    <d v="2024-12-16T00:00:00"/>
    <x v="0"/>
    <m/>
    <n v="0"/>
    <n v="0"/>
    <n v="0"/>
    <n v="0"/>
    <n v="0"/>
  </r>
  <r>
    <x v="0"/>
    <s v="BV45629"/>
    <s v="Pedido 496"/>
    <d v="2024-12-03T00:00:00"/>
    <x v="38"/>
    <s v="PedidoF483"/>
    <s v="CódRastreio482"/>
    <n v="1"/>
    <s v="CPF 480"/>
    <s v="Nome 480"/>
    <s v="Tel 480"/>
    <s v="Cep 480"/>
    <s v="Rua 480"/>
    <s v="Comp 480"/>
    <s v="Ventilador Preto"/>
    <s v="MU-J80P-95WF"/>
    <d v="2024-12-24T00:00:00"/>
    <n v="65.989999999999995"/>
    <n v="65.989999999999995"/>
    <n v="8.5786999999999995"/>
    <n v="57.41"/>
    <n v="19.54"/>
    <n v="0.22"/>
    <n v="0.39877104377104378"/>
    <n v="0"/>
    <n v="37.251228956228957"/>
    <n v="18.625614478114478"/>
    <x v="39"/>
    <x v="42"/>
    <x v="9"/>
    <d v="2025-01-16T00:00:00"/>
    <x v="0"/>
    <x v="0"/>
    <x v="3"/>
    <s v="ENTREGUE"/>
    <d v="2024-12-13T00:00:00"/>
    <x v="0"/>
    <m/>
    <n v="0"/>
    <n v="0"/>
    <n v="0"/>
    <n v="0"/>
    <n v="0"/>
  </r>
  <r>
    <x v="0"/>
    <s v="BV45629"/>
    <s v="Pedido 497"/>
    <d v="2024-12-03T00:00:00"/>
    <x v="38"/>
    <s v="PedidoF484"/>
    <s v="CódRastreio483"/>
    <n v="1"/>
    <s v="CPF 481"/>
    <s v="Nome 481"/>
    <s v="Tel 481"/>
    <s v="Cep 481"/>
    <s v="Rua 481"/>
    <s v="Comp 481"/>
    <s v="Ventilador Preto"/>
    <s v="MU-J80P-95WF"/>
    <d v="2024-12-24T00:00:00"/>
    <n v="65.989999999999995"/>
    <n v="65.989999999999995"/>
    <n v="8.5786999999999995"/>
    <n v="57.41"/>
    <n v="25.94"/>
    <n v="0.22"/>
    <n v="0.39877104377104378"/>
    <n v="0"/>
    <n v="30.851228956228951"/>
    <n v="15.425614478114476"/>
    <x v="39"/>
    <x v="42"/>
    <x v="9"/>
    <d v="2025-01-16T00:00:00"/>
    <x v="0"/>
    <x v="0"/>
    <x v="3"/>
    <s v="ENTREGUE"/>
    <d v="2024-12-16T00:00:00"/>
    <x v="0"/>
    <m/>
    <n v="0"/>
    <n v="0"/>
    <n v="0"/>
    <n v="0"/>
    <n v="0"/>
  </r>
  <r>
    <x v="0"/>
    <s v="BV45629"/>
    <s v="Pedido 498"/>
    <d v="2024-12-03T00:00:00"/>
    <x v="38"/>
    <s v="PedidoF485"/>
    <s v="CódRastreio484"/>
    <n v="1"/>
    <s v="CPF 482"/>
    <s v="Nome 482"/>
    <s v="Tel 482"/>
    <s v="Cep 482"/>
    <s v="Rua 482"/>
    <s v="Comp 482"/>
    <s v="Ventilador Preto"/>
    <s v="MU-J80P-95WF"/>
    <d v="2025-01-10T00:00:00"/>
    <n v="65.989999999999995"/>
    <n v="65.989999999999995"/>
    <n v="8.5786999999999995"/>
    <n v="57.41"/>
    <n v="19.54"/>
    <n v="0.22"/>
    <n v="0.39877104377104378"/>
    <n v="0"/>
    <n v="37.251228956228957"/>
    <n v="18.625614478114478"/>
    <x v="42"/>
    <x v="45"/>
    <x v="11"/>
    <d v="2025-02-06T00:00:00"/>
    <x v="2"/>
    <x v="0"/>
    <x v="3"/>
    <s v="ENTREGUE"/>
    <d v="2024-12-26T00:00:00"/>
    <x v="0"/>
    <m/>
    <n v="0"/>
    <n v="0"/>
    <n v="0"/>
    <n v="0"/>
    <n v="0"/>
  </r>
  <r>
    <x v="0"/>
    <s v="BV45629"/>
    <s v="Pedido 499"/>
    <d v="2024-12-03T00:00:00"/>
    <x v="38"/>
    <s v="PedidoF486"/>
    <s v="CódRastreio485"/>
    <n v="1"/>
    <s v="CPF 483"/>
    <s v="Nome 483"/>
    <s v="Tel 483"/>
    <s v="Cep 483"/>
    <s v="Rua 483"/>
    <s v="Comp 483"/>
    <s v="Ventilador Rosa"/>
    <s v="IF-G2ZQ-79FO"/>
    <d v="2025-01-03T00:00:00"/>
    <n v="65.900000000000006"/>
    <n v="65.900000000000006"/>
    <n v="8.5670000000000002"/>
    <n v="57.33"/>
    <n v="26.11"/>
    <n v="0.22"/>
    <n v="0.39877104377104378"/>
    <n v="0"/>
    <n v="30.601228956228955"/>
    <n v="15.300614478114477"/>
    <x v="38"/>
    <x v="41"/>
    <x v="10"/>
    <d v="2025-01-16T00:00:00"/>
    <x v="2"/>
    <x v="0"/>
    <x v="3"/>
    <s v="ENTREGUE"/>
    <d v="2024-12-23T00:00:00"/>
    <x v="0"/>
    <m/>
    <n v="0"/>
    <n v="0"/>
    <n v="0"/>
    <n v="0"/>
    <n v="0"/>
  </r>
  <r>
    <x v="0"/>
    <s v="BV45629"/>
    <s v="Pedido 500"/>
    <d v="2024-12-03T00:00:00"/>
    <x v="38"/>
    <s v="PedidoF487"/>
    <s v="CódRastreio486"/>
    <n v="1"/>
    <s v="CPF 484"/>
    <s v="Nome 484"/>
    <s v="Tel 484"/>
    <s v="Cep 484"/>
    <s v="Rua 484"/>
    <s v="Comp 484"/>
    <s v="Ventilador Azul"/>
    <s v="U8-2VWS-OB6M"/>
    <d v="2024-12-24T00:00:00"/>
    <n v="65.989999999999995"/>
    <n v="65.989999999999995"/>
    <n v="8.5786999999999995"/>
    <n v="57.41"/>
    <n v="25.87"/>
    <n v="0.22"/>
    <n v="0.39877104377104378"/>
    <n v="0"/>
    <n v="30.921228956228951"/>
    <n v="15.460614478114476"/>
    <x v="39"/>
    <x v="42"/>
    <x v="9"/>
    <d v="2025-01-16T00:00:00"/>
    <x v="0"/>
    <x v="0"/>
    <x v="3"/>
    <s v="ENTREGUE"/>
    <d v="2024-12-19T00:00:00"/>
    <x v="0"/>
    <m/>
    <n v="0"/>
    <n v="0"/>
    <n v="0"/>
    <n v="0"/>
    <n v="0"/>
  </r>
  <r>
    <x v="0"/>
    <s v="BV45630"/>
    <s v="Pedido 501"/>
    <d v="2024-12-04T00:00:00"/>
    <x v="39"/>
    <s v="PedidoF488"/>
    <s v="CódRastreio487"/>
    <n v="1"/>
    <s v="CPF 485"/>
    <s v="Nome 485"/>
    <s v="Tel 485"/>
    <s v="Cep 485"/>
    <s v="Rua 485"/>
    <s v="Comp 485"/>
    <s v="Ventilador Rosa"/>
    <s v="IF-G2ZQ-79FO"/>
    <d v="2025-01-04T00:00:00"/>
    <n v="65.900000000000006"/>
    <n v="65.900000000000006"/>
    <n v="8.5670000000000002"/>
    <n v="57.33"/>
    <n v="21.95"/>
    <n v="0.08"/>
    <n v="0.39877104377104378"/>
    <n v="0"/>
    <n v="34.901228956228955"/>
    <n v="17.450614478114478"/>
    <x v="43"/>
    <x v="46"/>
    <x v="10"/>
    <d v="2025-01-16T00:00:00"/>
    <x v="2"/>
    <x v="0"/>
    <x v="3"/>
    <s v="ENTREGUE"/>
    <d v="2024-12-16T00:00:00"/>
    <x v="0"/>
    <m/>
    <n v="0"/>
    <n v="0"/>
    <n v="0"/>
    <n v="0"/>
    <n v="0"/>
  </r>
  <r>
    <x v="0"/>
    <s v="BV45630"/>
    <s v="Pedido 502"/>
    <d v="2024-12-04T00:00:00"/>
    <x v="39"/>
    <s v="PedidoF489"/>
    <s v="CódRastreio488"/>
    <n v="1"/>
    <s v="CPF 486"/>
    <s v="Nome 486"/>
    <s v="Tel 486"/>
    <s v="Cep 486"/>
    <s v="Rua 486"/>
    <s v="Comp 486"/>
    <s v="Ventilador Preto"/>
    <s v="MU-J80P-95WF"/>
    <d v="2024-12-27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x v="35"/>
    <x v="36"/>
    <x v="9"/>
    <d v="2025-01-16T00:00:00"/>
    <x v="2"/>
    <x v="0"/>
    <x v="3"/>
    <s v="ENTREGUE"/>
    <d v="2024-12-13T00:00:00"/>
    <x v="0"/>
    <m/>
    <n v="0"/>
    <n v="0"/>
    <n v="0"/>
    <n v="0"/>
    <n v="0"/>
  </r>
  <r>
    <x v="0"/>
    <s v="BV45630"/>
    <s v="Pedido 503"/>
    <d v="2024-12-04T00:00:00"/>
    <x v="39"/>
    <s v="PedidoF490"/>
    <s v="CódRastreio489"/>
    <n v="1"/>
    <s v="CPF 487"/>
    <s v="Nome 487"/>
    <s v="Tel 487"/>
    <s v="Cep 487"/>
    <s v="Rua 487"/>
    <s v="Comp 487"/>
    <s v="Ventilador Rosa"/>
    <s v="IF-G2ZQ-79FO"/>
    <d v="2024-12-27T00:00:00"/>
    <n v="65.900000000000006"/>
    <n v="65.900000000000006"/>
    <n v="8.5670000000000002"/>
    <n v="57.33"/>
    <n v="21.95"/>
    <n v="0.08"/>
    <n v="0.39877104377104378"/>
    <n v="0"/>
    <n v="34.901228956228955"/>
    <n v="17.450614478114478"/>
    <x v="35"/>
    <x v="36"/>
    <x v="9"/>
    <d v="2025-01-16T00:00:00"/>
    <x v="2"/>
    <x v="0"/>
    <x v="3"/>
    <s v="ENTREGUE"/>
    <d v="2024-12-13T00:00:00"/>
    <x v="0"/>
    <m/>
    <n v="0"/>
    <n v="0"/>
    <n v="0"/>
    <n v="0"/>
    <n v="0"/>
  </r>
  <r>
    <x v="0"/>
    <s v="BV45630"/>
    <s v="Pedido 504"/>
    <d v="2024-12-04T00:00:00"/>
    <x v="39"/>
    <s v="PedidoF491"/>
    <s v="CódRastreio490"/>
    <n v="1"/>
    <s v="CPF 488"/>
    <s v="Nome 488"/>
    <s v="Tel 488"/>
    <s v="Cep 488"/>
    <s v="Rua 488"/>
    <s v="Comp 488"/>
    <s v="Ventilador Preto"/>
    <s v="MU-J80P-95WF"/>
    <d v="2025-01-04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x v="43"/>
    <x v="46"/>
    <x v="10"/>
    <d v="2025-01-16T00:00:00"/>
    <x v="2"/>
    <x v="0"/>
    <x v="3"/>
    <s v="ENTREGUE"/>
    <d v="2024-12-18T00:00:00"/>
    <x v="0"/>
    <m/>
    <n v="0"/>
    <n v="0"/>
    <n v="0"/>
    <n v="0"/>
    <n v="0"/>
  </r>
  <r>
    <x v="0"/>
    <s v="BV45630"/>
    <s v="Pedido 505"/>
    <d v="2024-12-04T00:00:00"/>
    <x v="39"/>
    <s v="PedidoF492"/>
    <s v="CódRastreio491"/>
    <n v="1"/>
    <s v="CPF 489"/>
    <s v="Nome 489"/>
    <s v="Tel 489"/>
    <s v="Cep 489"/>
    <s v="Rua 489"/>
    <s v="Comp 489"/>
    <s v="Ventilador Preto"/>
    <s v="MU-J80P-95WF"/>
    <d v="2024-12-27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x v="35"/>
    <x v="36"/>
    <x v="9"/>
    <d v="2025-01-16T00:00:00"/>
    <x v="2"/>
    <x v="0"/>
    <x v="3"/>
    <s v="ENTREGUE"/>
    <d v="2024-12-12T00:00:00"/>
    <x v="0"/>
    <m/>
    <n v="0"/>
    <n v="0"/>
    <n v="0"/>
    <n v="0"/>
    <n v="0"/>
  </r>
  <r>
    <x v="0"/>
    <s v="BV45630"/>
    <s v="Pedido 506"/>
    <d v="2024-12-04T00:00:00"/>
    <x v="39"/>
    <s v="PedidoF493"/>
    <s v="CódRastreio492"/>
    <n v="1"/>
    <s v="CPF 490"/>
    <s v="Nome 490"/>
    <s v="Tel 490"/>
    <s v="Cep 490"/>
    <s v="Rua 490"/>
    <s v="Comp 490"/>
    <s v="Ventilador Preto"/>
    <s v="MU-J80P-95WF"/>
    <d v="2025-01-11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x v="44"/>
    <x v="47"/>
    <x v="12"/>
    <d v="2025-02-06T00:00:00"/>
    <x v="2"/>
    <x v="0"/>
    <x v="3"/>
    <s v="ENTREGUE"/>
    <d v="2025-01-03T00:00:00"/>
    <x v="0"/>
    <m/>
    <n v="0"/>
    <n v="0"/>
    <n v="0"/>
    <n v="0"/>
    <n v="0"/>
  </r>
  <r>
    <x v="0"/>
    <s v="BV45630"/>
    <s v="Pedido 507"/>
    <d v="2024-12-04T00:00:00"/>
    <x v="39"/>
    <s v="PedidoF494"/>
    <s v="CódRastreio493"/>
    <n v="1"/>
    <s v="CPF 491"/>
    <s v="Nome 491"/>
    <s v="Tel 491"/>
    <s v="Cep 491"/>
    <s v="Rua 491"/>
    <s v="Comp 491"/>
    <s v="Ventilador Preto"/>
    <s v="MU-J80P-95WF"/>
    <d v="2025-01-04T00:00:00"/>
    <n v="65.989999999999995"/>
    <n v="65.989999999999995"/>
    <n v="8.5786999999999995"/>
    <n v="57.41"/>
    <n v="22.53"/>
    <n v="0.08"/>
    <n v="0.39877104377104378"/>
    <n v="0"/>
    <n v="34.401228956228948"/>
    <n v="17.200614478114474"/>
    <x v="43"/>
    <x v="46"/>
    <x v="10"/>
    <d v="2025-01-16T00:00:00"/>
    <x v="2"/>
    <x v="0"/>
    <x v="3"/>
    <s v="ENTREGUE"/>
    <d v="2024-12-16T00:00:00"/>
    <x v="0"/>
    <m/>
    <n v="0"/>
    <n v="0"/>
    <n v="0"/>
    <n v="0"/>
    <n v="0"/>
  </r>
  <r>
    <x v="0"/>
    <s v="BV45630"/>
    <s v="Pedido 508"/>
    <d v="2024-12-04T00:00:00"/>
    <x v="39"/>
    <s v="PedidoF495"/>
    <s v="CódRastreio494"/>
    <n v="1"/>
    <s v="CPF 492"/>
    <s v="Nome 492"/>
    <s v="Tel 492"/>
    <s v="Cep 492"/>
    <s v="Rua 492"/>
    <s v="Comp 492"/>
    <s v="Ventilador Azul"/>
    <s v="U8-2VWS-OB6M"/>
    <d v="2025-01-04T00:00:00"/>
    <n v="65.989999999999995"/>
    <n v="65.989999999999995"/>
    <n v="8.5786999999999995"/>
    <n v="57.41"/>
    <n v="21.95"/>
    <n v="0.08"/>
    <n v="0.39877104377104378"/>
    <n v="0"/>
    <n v="34.981228956228954"/>
    <n v="17.490614478114477"/>
    <x v="43"/>
    <x v="46"/>
    <x v="10"/>
    <d v="2025-01-16T00:00:00"/>
    <x v="2"/>
    <x v="0"/>
    <x v="3"/>
    <s v="ENTREGUE"/>
    <d v="2024-12-26T00:00:00"/>
    <x v="0"/>
    <m/>
    <n v="0"/>
    <n v="0"/>
    <n v="0"/>
    <n v="0"/>
    <n v="0"/>
  </r>
  <r>
    <x v="0"/>
    <s v="BV45632"/>
    <s v="Pedido 509"/>
    <d v="2024-12-06T00:00:00"/>
    <x v="40"/>
    <s v="PedidoF496"/>
    <s v="-"/>
    <n v="1"/>
    <s v="CPF 493"/>
    <s v="Nome 493"/>
    <s v="Tel 493"/>
    <s v="Cep 493"/>
    <s v="Rua 493"/>
    <s v="Comp 493"/>
    <s v="Ventilador Azul"/>
    <s v="U8-2VWS-OB6M"/>
    <d v="2024-12-28T00:00:00"/>
    <n v="65.989999999999995"/>
    <n v="65.989999999999995"/>
    <n v="8.5786999999999995"/>
    <n v="57.41"/>
    <n v="0"/>
    <n v="0.22"/>
    <n v="0.39877104377104378"/>
    <n v="0"/>
    <n v="56.791228956228956"/>
    <n v="28.395614478114478"/>
    <x v="36"/>
    <x v="39"/>
    <x v="9"/>
    <d v="2025-01-16T00:00:00"/>
    <x v="2"/>
    <x v="0"/>
    <x v="3"/>
    <s v="-"/>
    <s v="-"/>
    <x v="0"/>
    <m/>
    <n v="0"/>
    <n v="0"/>
    <n v="0"/>
    <n v="0"/>
    <n v="0"/>
  </r>
  <r>
    <x v="0"/>
    <s v="BV45632"/>
    <s v="Pedido 510"/>
    <d v="2024-12-06T00:00:00"/>
    <x v="40"/>
    <s v="PedidoF497"/>
    <s v="CódRastreio495"/>
    <n v="1"/>
    <s v="CPF 494"/>
    <s v="Nome 494"/>
    <s v="Tel 494"/>
    <s v="Cep 494"/>
    <s v="Rua 494"/>
    <s v="Comp 494"/>
    <s v="Ventilador Umidificador Branco"/>
    <s v="IA-LLX9-MRV1"/>
    <d v="2024-12-31T00:00:00"/>
    <n v="54.2"/>
    <n v="54.2"/>
    <n v="7.588000000000001"/>
    <n v="46.61"/>
    <n v="0"/>
    <n v="0.22"/>
    <n v="0.39877104377104378"/>
    <n v="0"/>
    <n v="45.991228956228959"/>
    <n v="22.995614478114479"/>
    <x v="40"/>
    <x v="43"/>
    <x v="9"/>
    <d v="2025-01-16T00:00:00"/>
    <x v="2"/>
    <x v="0"/>
    <x v="3"/>
    <s v="ENTREGUE"/>
    <d v="2025-01-10T00:00:00"/>
    <x v="0"/>
    <m/>
    <n v="0"/>
    <n v="0"/>
    <n v="0"/>
    <n v="0"/>
    <n v="0"/>
  </r>
  <r>
    <x v="0"/>
    <s v="BV45632"/>
    <s v="Pedido 511"/>
    <d v="2024-12-06T00:00:00"/>
    <x v="40"/>
    <s v="PedidoF498"/>
    <s v="CódRastreio496"/>
    <n v="1"/>
    <s v="CPF 495"/>
    <s v="Nome 495"/>
    <s v="Tel 495"/>
    <s v="Cep 495"/>
    <s v="Rua 495"/>
    <s v="Comp 495"/>
    <s v="Suporte de Celular Branco"/>
    <s v="16-4EDB-WMZF"/>
    <d v="2025-01-08T00:00:00"/>
    <n v="18.899999999999999"/>
    <n v="18.899999999999999"/>
    <n v="2.8349999999999995"/>
    <n v="16.07"/>
    <n v="7.99"/>
    <n v="0.22"/>
    <n v="0.39877104377104378"/>
    <n v="0"/>
    <n v="7.4612289562289558"/>
    <n v="3.7306144781144779"/>
    <x v="45"/>
    <x v="48"/>
    <x v="10"/>
    <d v="2025-01-16T00:00:00"/>
    <x v="2"/>
    <x v="0"/>
    <x v="3"/>
    <s v="ENTREGUE"/>
    <d v="2024-12-17T00:00:00"/>
    <x v="0"/>
    <m/>
    <n v="0"/>
    <n v="0"/>
    <n v="0"/>
    <n v="0"/>
    <n v="0"/>
  </r>
  <r>
    <x v="0"/>
    <s v="BV45632"/>
    <s v="Pedido 512"/>
    <d v="2024-12-06T00:00:00"/>
    <x v="40"/>
    <s v="PedidoF499"/>
    <s v="CódRastreio497"/>
    <n v="1"/>
    <s v="CPF 496"/>
    <s v="Nome 496"/>
    <s v="Tel 496"/>
    <s v="Cep 496"/>
    <s v="Rua 496"/>
    <s v="Comp 496"/>
    <s v="Suporte de Celular Branco"/>
    <s v="16-4EDB-WMZF"/>
    <d v="2024-12-31T00:00:00"/>
    <n v="18.899999999999999"/>
    <n v="18.899999999999999"/>
    <n v="2.8349999999999995"/>
    <n v="16.07"/>
    <n v="7.99"/>
    <n v="0.22"/>
    <n v="0.39877104377104378"/>
    <n v="0"/>
    <n v="7.4612289562289558"/>
    <n v="3.7306144781144779"/>
    <x v="40"/>
    <x v="43"/>
    <x v="9"/>
    <d v="2025-01-16T00:00:00"/>
    <x v="2"/>
    <x v="0"/>
    <x v="3"/>
    <s v="ENTREGUE"/>
    <d v="2024-12-13T00:00:00"/>
    <x v="0"/>
    <m/>
    <n v="0"/>
    <n v="0"/>
    <n v="0"/>
    <n v="0"/>
    <n v="0"/>
  </r>
  <r>
    <x v="0"/>
    <s v="BV45632"/>
    <s v="Pedido 513"/>
    <d v="2024-12-06T00:00:00"/>
    <x v="40"/>
    <s v="PedidoF500"/>
    <s v="CódRastreio498"/>
    <n v="1"/>
    <s v="CPF 497"/>
    <s v="Nome 497"/>
    <s v="Tel 497"/>
    <s v="Cep 497"/>
    <s v="Rua 497"/>
    <s v="Comp 497"/>
    <s v="Ventilador Rosa"/>
    <s v="IF-G2ZQ-79FO"/>
    <d v="2024-12-31T00:00:00"/>
    <n v="39.799999999999997"/>
    <n v="39.799999999999997"/>
    <n v="5.1739999999999995"/>
    <n v="34.630000000000003"/>
    <n v="16.48"/>
    <n v="0.22"/>
    <n v="0.39877104377104378"/>
    <n v="0"/>
    <n v="17.531228956228958"/>
    <n v="8.7656144781144789"/>
    <x v="40"/>
    <x v="43"/>
    <x v="9"/>
    <d v="2025-01-16T00:00:00"/>
    <x v="2"/>
    <x v="0"/>
    <x v="3"/>
    <s v="ENTREGUE"/>
    <d v="2024-12-20T00:00:00"/>
    <x v="0"/>
    <m/>
    <n v="0"/>
    <n v="0"/>
    <n v="0"/>
    <n v="0"/>
    <n v="0"/>
  </r>
  <r>
    <x v="0"/>
    <s v="BV45632"/>
    <s v="Pedido 514"/>
    <d v="2024-12-06T00:00:00"/>
    <x v="40"/>
    <s v="PedidoF501"/>
    <s v="CódRastreio499"/>
    <n v="1"/>
    <s v="CPF 498"/>
    <s v="Nome 498"/>
    <s v="Tel 498"/>
    <s v="Cep 498"/>
    <s v="Rua 498"/>
    <s v="Comp 498"/>
    <s v="Ventilador Rosa"/>
    <s v="IF-G2ZQ-79FO"/>
    <d v="2025-01-08T00:00:00"/>
    <n v="39.799999999999997"/>
    <n v="39.799999999999997"/>
    <n v="5.1739999999999995"/>
    <n v="34.630000000000003"/>
    <n v="16.48"/>
    <n v="0.22"/>
    <n v="0.39877104377104378"/>
    <n v="0"/>
    <n v="17.531228956228958"/>
    <n v="8.7656144781144789"/>
    <x v="45"/>
    <x v="48"/>
    <x v="10"/>
    <d v="2025-01-16T00:00:00"/>
    <x v="2"/>
    <x v="0"/>
    <x v="3"/>
    <s v="ENTREGUE"/>
    <d v="2024-12-23T00:00:00"/>
    <x v="0"/>
    <m/>
    <n v="0"/>
    <n v="0"/>
    <n v="0"/>
    <n v="0"/>
    <n v="0"/>
  </r>
  <r>
    <x v="0"/>
    <s v="BV45632"/>
    <s v="Pedido 515"/>
    <d v="2024-12-06T00:00:00"/>
    <x v="40"/>
    <s v="PedidoF502"/>
    <s v="CódRastreio500"/>
    <n v="1"/>
    <s v="CPF 499"/>
    <s v="Nome 499"/>
    <s v="Tel 499"/>
    <s v="Cep 499"/>
    <s v="Rua 499"/>
    <s v="Comp 499"/>
    <s v="Ventilador Preto"/>
    <s v="MU-J80P-95WF"/>
    <d v="2024-12-31T00:00:00"/>
    <n v="65.7"/>
    <n v="65.7"/>
    <n v="8.5410000000000004"/>
    <n v="57.16"/>
    <n v="27.89"/>
    <n v="0.22"/>
    <n v="0.39877104377104378"/>
    <n v="0"/>
    <n v="28.651228956228952"/>
    <n v="14.325614478114476"/>
    <x v="40"/>
    <x v="43"/>
    <x v="9"/>
    <d v="2025-01-16T00:00:00"/>
    <x v="2"/>
    <x v="0"/>
    <x v="3"/>
    <s v="ENTREGUE"/>
    <d v="2024-12-18T00:00:00"/>
    <x v="0"/>
    <m/>
    <n v="0"/>
    <n v="0"/>
    <n v="0"/>
    <n v="0"/>
    <n v="0"/>
  </r>
  <r>
    <x v="0"/>
    <s v="BV45632"/>
    <s v="Pedido 516"/>
    <d v="2024-12-06T00:00:00"/>
    <x v="40"/>
    <s v="PedidoF503"/>
    <s v="CódRastreio501"/>
    <n v="1"/>
    <s v="CPF 500"/>
    <s v="Nome 500"/>
    <s v="Tel 500"/>
    <s v="Cep 500"/>
    <s v="Rua 500"/>
    <s v="Comp 500"/>
    <s v="Ventilador Rosa"/>
    <s v="IF-G2ZQ-79FO"/>
    <d v="2025-01-15T00:00:00"/>
    <n v="42.8"/>
    <n v="42.8"/>
    <n v="5.5640000000000001"/>
    <n v="37.24"/>
    <n v="23.73"/>
    <n v="0.22"/>
    <n v="0.39877104377104378"/>
    <n v="0"/>
    <n v="12.891228956228957"/>
    <n v="6.4456144781144786"/>
    <x v="46"/>
    <x v="49"/>
    <x v="12"/>
    <d v="2025-02-06T00:00:00"/>
    <x v="2"/>
    <x v="0"/>
    <x v="3"/>
    <s v="ENTREGUE"/>
    <d v="2024-12-24T00:00:00"/>
    <x v="0"/>
    <m/>
    <n v="0"/>
    <n v="0"/>
    <n v="0"/>
    <n v="0"/>
    <n v="0"/>
  </r>
  <r>
    <x v="0"/>
    <s v="BV45632"/>
    <s v="Pedido 517"/>
    <d v="2024-12-06T00:00:00"/>
    <x v="40"/>
    <s v="PedidoF504"/>
    <s v="CódRastreio502"/>
    <n v="1"/>
    <s v="CPF 501"/>
    <s v="Nome 501"/>
    <s v="Tel 501"/>
    <s v="Cep 501"/>
    <s v="Rua 501"/>
    <s v="Comp 501"/>
    <s v="Ventilador de teto"/>
    <s v="BP-NHG2-B8C1"/>
    <d v="2025-01-08T00:00:00"/>
    <n v="56.99"/>
    <n v="56.99"/>
    <n v="7.4087000000000005"/>
    <n v="49.58"/>
    <n v="18.23"/>
    <n v="0.22"/>
    <n v="0.39877104377104378"/>
    <n v="0"/>
    <n v="30.731228956228954"/>
    <n v="15.365614478114477"/>
    <x v="45"/>
    <x v="48"/>
    <x v="10"/>
    <d v="2025-01-16T00:00:00"/>
    <x v="2"/>
    <x v="0"/>
    <x v="3"/>
    <s v="ENTREGUE"/>
    <d v="2024-12-20T00:00:00"/>
    <x v="0"/>
    <m/>
    <n v="0"/>
    <n v="0"/>
    <n v="0"/>
    <n v="0"/>
    <n v="0"/>
  </r>
  <r>
    <x v="0"/>
    <s v="BV45632"/>
    <s v="Pedido 518"/>
    <d v="2024-12-06T00:00:00"/>
    <x v="40"/>
    <s v="PedidoF505"/>
    <s v="CódRastreio503"/>
    <n v="1"/>
    <s v="CPF 502"/>
    <s v="Nome 502"/>
    <s v="Tel 502"/>
    <s v="Cep 502"/>
    <s v="Rua 502"/>
    <s v="Comp 502"/>
    <s v="Ventilador Azul"/>
    <s v="U8-2VWS-OB6M"/>
    <d v="2024-12-31T00:00:00"/>
    <n v="65.7"/>
    <n v="65.7"/>
    <n v="8.5410000000000004"/>
    <n v="57.16"/>
    <n v="26.62"/>
    <n v="0.22"/>
    <n v="0.39877104377104378"/>
    <n v="0"/>
    <n v="29.921228956228951"/>
    <n v="14.960614478114476"/>
    <x v="40"/>
    <x v="43"/>
    <x v="9"/>
    <d v="2025-01-16T00:00:00"/>
    <x v="2"/>
    <x v="0"/>
    <x v="3"/>
    <s v="ENTREGUE"/>
    <d v="2024-12-19T00:00:00"/>
    <x v="0"/>
    <m/>
    <n v="0"/>
    <n v="0"/>
    <n v="0"/>
    <n v="0"/>
    <n v="0"/>
  </r>
  <r>
    <x v="0"/>
    <s v="BV45632"/>
    <s v="Pedido 519"/>
    <d v="2024-12-06T00:00:00"/>
    <x v="40"/>
    <s v="PedidoF506"/>
    <s v="CódRastreio504"/>
    <n v="1"/>
    <s v="CPF 503"/>
    <s v="Nome 503"/>
    <s v="Tel 503"/>
    <s v="Cep 503"/>
    <s v="Rua 503"/>
    <s v="Comp 503"/>
    <s v="Ventilador Rosa"/>
    <s v="IF-G2ZQ-79FO"/>
    <d v="2025-01-15T00:00:00"/>
    <n v="42.8"/>
    <n v="42.8"/>
    <n v="5.5640000000000001"/>
    <n v="37.24"/>
    <n v="23.73"/>
    <n v="0.22"/>
    <n v="0.39877104377104378"/>
    <n v="0"/>
    <n v="12.891228956228957"/>
    <n v="6.4456144781144786"/>
    <x v="46"/>
    <x v="49"/>
    <x v="12"/>
    <d v="2025-02-06T00:00:00"/>
    <x v="2"/>
    <x v="0"/>
    <x v="3"/>
    <s v="ENTREGUE"/>
    <d v="2025-01-08T00:00:00"/>
    <x v="0"/>
    <m/>
    <n v="0"/>
    <n v="0"/>
    <n v="0"/>
    <n v="0"/>
    <n v="0"/>
  </r>
  <r>
    <x v="0"/>
    <s v="BV45635"/>
    <s v="Pedido 520"/>
    <d v="2024-12-09T00:00:00"/>
    <x v="41"/>
    <s v="PedidoF507"/>
    <s v="CódRastreio505"/>
    <n v="1"/>
    <s v="CPF 504"/>
    <s v="Nome 504"/>
    <s v="Tel 504"/>
    <s v="Cep 504"/>
    <s v="Rua 504"/>
    <s v="Comp 504"/>
    <s v="Ventilador Preto"/>
    <s v="MU-J80P-95WF"/>
    <d v="2024-12-31T00:00:00"/>
    <n v="100"/>
    <n v="100"/>
    <n v="13"/>
    <n v="87"/>
    <n v="19.690000000000001"/>
    <n v="0.2"/>
    <n v="0.39877104377104378"/>
    <n v="0"/>
    <n v="66.71122895622895"/>
    <n v="33.355614478114475"/>
    <x v="40"/>
    <x v="43"/>
    <x v="9"/>
    <d v="2025-01-16T00:00:00"/>
    <x v="2"/>
    <x v="0"/>
    <x v="3"/>
    <s v="ENTREGUE"/>
    <d v="2024-12-19T00:00:00"/>
    <x v="0"/>
    <m/>
    <n v="0"/>
    <n v="0"/>
    <n v="0"/>
    <n v="0"/>
    <n v="0"/>
  </r>
  <r>
    <x v="0"/>
    <s v="BV45635"/>
    <s v="Pedido 521"/>
    <d v="2024-12-09T00:00:00"/>
    <x v="41"/>
    <s v="PedidoF508"/>
    <s v="CódRastreio506"/>
    <n v="1"/>
    <s v="CPF 505"/>
    <s v="Nome 505"/>
    <s v="Tel 505"/>
    <s v="Cep 505"/>
    <s v="Rua 505"/>
    <s v="Comp 505"/>
    <s v="Ventilador Preto"/>
    <s v="MU-J80P-95WF"/>
    <d v="2025-01-09T00:00:00"/>
    <n v="65.599999999999994"/>
    <n v="65.599999999999994"/>
    <n v="8.5279999999999987"/>
    <n v="57.07"/>
    <n v="19.690000000000001"/>
    <n v="0.2"/>
    <n v="0.39877104377104378"/>
    <n v="0"/>
    <n v="36.781228956228958"/>
    <n v="18.390614478114479"/>
    <x v="41"/>
    <x v="44"/>
    <x v="11"/>
    <d v="2025-02-06T00:00:00"/>
    <x v="2"/>
    <x v="0"/>
    <x v="3"/>
    <s v="ENTREGUE"/>
    <d v="2024-12-27T00:00:00"/>
    <x v="0"/>
    <m/>
    <n v="0"/>
    <n v="0"/>
    <n v="0"/>
    <n v="0"/>
    <n v="0"/>
  </r>
  <r>
    <x v="0"/>
    <s v="BV45635"/>
    <s v="Pedido 522"/>
    <d v="2024-12-09T00:00:00"/>
    <x v="41"/>
    <s v="PedidoF509"/>
    <s v="CódRastreio507"/>
    <n v="1"/>
    <s v="CPF 506"/>
    <s v="Nome 506"/>
    <s v="Tel 506"/>
    <s v="Cep 506"/>
    <s v="Rua 506"/>
    <s v="Comp 506"/>
    <s v="Suporte de Celular Preto"/>
    <s v="9G-BN48-QAPH"/>
    <d v="2024-12-2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36"/>
    <x v="39"/>
    <x v="9"/>
    <d v="2025-01-16T00:00:00"/>
    <x v="2"/>
    <x v="0"/>
    <x v="3"/>
    <s v="ENTREGUE"/>
    <d v="2024-12-15T00:00:00"/>
    <x v="0"/>
    <m/>
    <n v="0"/>
    <n v="0"/>
    <n v="0"/>
    <n v="0"/>
    <n v="0"/>
  </r>
  <r>
    <x v="0"/>
    <s v="BV45635"/>
    <s v="Pedido 523"/>
    <d v="2024-12-09T00:00:00"/>
    <x v="41"/>
    <s v="PedidoF510"/>
    <s v="CódRastreio508"/>
    <n v="1"/>
    <s v="CPF 507"/>
    <s v="Nome 507"/>
    <s v="Tel 507"/>
    <s v="Cep 507"/>
    <s v="Rua 507"/>
    <s v="Comp 507"/>
    <s v="Ventilador Azul"/>
    <s v="U8-2VWS-OB6M"/>
    <d v="2025-01-09T00:00:00"/>
    <n v="65.599999999999994"/>
    <n v="65.599999999999994"/>
    <n v="8.5279999999999987"/>
    <n v="57.07"/>
    <n v="19.62"/>
    <n v="0.2"/>
    <n v="0.39877104377104378"/>
    <n v="0"/>
    <n v="36.851228956228951"/>
    <n v="18.425614478114476"/>
    <x v="41"/>
    <x v="44"/>
    <x v="11"/>
    <d v="2025-02-06T00:00:00"/>
    <x v="2"/>
    <x v="0"/>
    <x v="3"/>
    <s v="ENTREGUE"/>
    <d v="2024-12-17T00:00:00"/>
    <x v="0"/>
    <m/>
    <n v="0"/>
    <n v="0"/>
    <n v="0"/>
    <n v="0"/>
    <n v="0"/>
  </r>
  <r>
    <x v="0"/>
    <s v="BV45635"/>
    <s v="Pedido 524"/>
    <d v="2024-12-09T00:00:00"/>
    <x v="41"/>
    <s v="PedidoF511"/>
    <s v="CódRastreio509"/>
    <n v="1"/>
    <s v="CPF 508"/>
    <s v="Nome 508"/>
    <s v="Tel 508"/>
    <s v="Cep 508"/>
    <s v="Rua 508"/>
    <s v="Comp 508"/>
    <s v="Ventilador Rosa"/>
    <s v="IF-G2ZQ-79FO"/>
    <d v="2025-01-16T00:00:00"/>
    <n v="54.8"/>
    <n v="54.8"/>
    <n v="7.1239999999999997"/>
    <n v="47.68"/>
    <n v="13.75"/>
    <n v="0.2"/>
    <n v="0.39877104377104378"/>
    <n v="0"/>
    <n v="33.331228956228955"/>
    <n v="16.665614478114477"/>
    <x v="47"/>
    <x v="50"/>
    <x v="13"/>
    <d v="2025-02-06T00:00:00"/>
    <x v="2"/>
    <x v="0"/>
    <x v="3"/>
    <s v="ENTREGUE"/>
    <d v="2025-01-10T00:00:00"/>
    <x v="0"/>
    <m/>
    <n v="0"/>
    <n v="0"/>
    <n v="0"/>
    <n v="0"/>
    <n v="0"/>
  </r>
  <r>
    <x v="0"/>
    <s v="BV45635"/>
    <s v="Pedido 525"/>
    <d v="2024-12-09T00:00:00"/>
    <x v="41"/>
    <s v="PedidoF512"/>
    <s v="CódRastreio510"/>
    <n v="1"/>
    <s v="CPF 509"/>
    <s v="Nome 509"/>
    <s v="Tel 509"/>
    <s v="Cep 509"/>
    <s v="Rua 509"/>
    <s v="Comp 509"/>
    <s v="Ventilador Preto"/>
    <s v="MU-J80P-95WF"/>
    <d v="2025-01-03T00:00:00"/>
    <n v="65.599999999999994"/>
    <n v="65.599999999999994"/>
    <n v="8.5279999999999987"/>
    <n v="57.07"/>
    <n v="19.690000000000001"/>
    <n v="0.2"/>
    <n v="0.39877104377104378"/>
    <n v="0"/>
    <n v="36.781228956228958"/>
    <n v="18.390614478114479"/>
    <x v="38"/>
    <x v="41"/>
    <x v="10"/>
    <d v="2025-01-16T00:00:00"/>
    <x v="2"/>
    <x v="0"/>
    <x v="3"/>
    <s v="ENTREGUE"/>
    <d v="2024-12-23T00:00:00"/>
    <x v="0"/>
    <m/>
    <n v="0"/>
    <n v="0"/>
    <n v="0"/>
    <n v="0"/>
    <n v="0"/>
  </r>
  <r>
    <x v="0"/>
    <s v="BV45636"/>
    <s v="Pedido 526"/>
    <d v="2024-12-10T00:00:00"/>
    <x v="42"/>
    <s v="PedidoF513"/>
    <s v="CódRastreio511"/>
    <n v="1"/>
    <s v="CPF 510"/>
    <s v="Nome 510"/>
    <s v="Tel 510"/>
    <s v="Cep 510"/>
    <s v="Rua 510"/>
    <s v="Comp 510"/>
    <s v="Ventilador Preto"/>
    <s v="MU-J80P-95WF"/>
    <d v="2025-01-10T00:00:00"/>
    <n v="65.599999999999994"/>
    <n v="65.599999999999994"/>
    <n v="8.5279999999999987"/>
    <n v="57.07"/>
    <n v="19.809999999999999"/>
    <n v="0.2"/>
    <n v="0.39877104377104378"/>
    <n v="0"/>
    <n v="36.661228956228953"/>
    <n v="18.330614478114477"/>
    <x v="42"/>
    <x v="45"/>
    <x v="11"/>
    <d v="2025-02-06T00:00:00"/>
    <x v="2"/>
    <x v="0"/>
    <x v="3"/>
    <s v="ENTREGUE"/>
    <d v="2024-12-27T00:00:00"/>
    <x v="0"/>
    <m/>
    <n v="0"/>
    <n v="0"/>
    <n v="0"/>
    <n v="0"/>
    <n v="0"/>
  </r>
  <r>
    <x v="0"/>
    <s v="BV45636"/>
    <s v="Pedido 527"/>
    <d v="2024-12-10T00:00:00"/>
    <x v="42"/>
    <s v="PedidoF514"/>
    <s v="CódRastreio512"/>
    <n v="1"/>
    <s v="CPF 511"/>
    <s v="Nome 511"/>
    <s v="Tel 511"/>
    <s v="Cep 511"/>
    <s v="Rua 511"/>
    <s v="Comp 511"/>
    <s v="Adaptador Bluetooph"/>
    <s v="YA-AG3H-SPUK"/>
    <d v="2025-01-10T00:00:00"/>
    <n v="18.989999999999998"/>
    <n v="18.989999999999998"/>
    <n v="2.2787999999999999"/>
    <n v="16.71"/>
    <n v="8.0399999999999991"/>
    <n v="0.2"/>
    <n v="0.39877104377104378"/>
    <n v="0"/>
    <n v="8.0712289562289588"/>
    <n v="4.0356144781144794"/>
    <x v="42"/>
    <x v="45"/>
    <x v="11"/>
    <d v="2025-02-06T00:00:00"/>
    <x v="2"/>
    <x v="0"/>
    <x v="3"/>
    <s v="ENTREGUE"/>
    <d v="2024-12-26T00:00:00"/>
    <x v="0"/>
    <m/>
    <n v="0"/>
    <n v="0"/>
    <n v="0"/>
    <n v="0"/>
    <n v="0"/>
  </r>
  <r>
    <x v="0"/>
    <s v="BV45636"/>
    <s v="Pedido 528"/>
    <d v="2024-12-10T00:00:00"/>
    <x v="42"/>
    <s v="PedidoF515"/>
    <s v="CódRastreio513"/>
    <n v="1"/>
    <s v="CPF 512"/>
    <s v="Nome 512"/>
    <s v="Tel 512"/>
    <s v="Cep 512"/>
    <s v="Rua 512"/>
    <s v="Comp 512"/>
    <s v="Ventilador Preto"/>
    <s v="MU-J80P-95WF"/>
    <d v="2025-01-10T00:00:00"/>
    <n v="65.599999999999994"/>
    <n v="65.599999999999994"/>
    <n v="8.5279999999999987"/>
    <n v="57.07"/>
    <n v="19.809999999999999"/>
    <n v="0.2"/>
    <n v="0.39877104377104378"/>
    <n v="0"/>
    <n v="36.661228956228953"/>
    <n v="18.330614478114477"/>
    <x v="42"/>
    <x v="45"/>
    <x v="11"/>
    <d v="2025-02-06T00:00:00"/>
    <x v="2"/>
    <x v="0"/>
    <x v="3"/>
    <s v="ENTREGUE"/>
    <d v="2024-12-27T00:00:00"/>
    <x v="0"/>
    <m/>
    <n v="0"/>
    <n v="0"/>
    <n v="0"/>
    <n v="0"/>
    <n v="0"/>
  </r>
  <r>
    <x v="0"/>
    <s v="BV45637"/>
    <s v="Pedido 529"/>
    <d v="2024-12-11T00:00:00"/>
    <x v="43"/>
    <s v="PedidoF516"/>
    <s v="CódRastreio514"/>
    <n v="1"/>
    <s v="CPF 513"/>
    <s v="Nome 513"/>
    <s v="Tel 513"/>
    <s v="Cep 513"/>
    <s v="Rua 513"/>
    <s v="Comp 513"/>
    <s v="Ventilador Preto"/>
    <s v="MU-J80P-95WF"/>
    <d v="2025-01-07T00:00:00"/>
    <n v="65.599999999999994"/>
    <n v="65.599999999999994"/>
    <n v="8.5279999999999987"/>
    <n v="57.07"/>
    <n v="19.809999999999999"/>
    <n v="0.31"/>
    <n v="0.39877104377104378"/>
    <n v="0"/>
    <n v="36.551228956228954"/>
    <n v="18.275614478114477"/>
    <x v="48"/>
    <x v="51"/>
    <x v="10"/>
    <d v="2025-01-16T00:00:00"/>
    <x v="2"/>
    <x v="0"/>
    <x v="3"/>
    <s v="ENTREGUE"/>
    <d v="2024-12-23T00:00:00"/>
    <x v="0"/>
    <m/>
    <n v="0"/>
    <n v="0"/>
    <n v="0"/>
    <n v="0"/>
    <n v="0"/>
  </r>
  <r>
    <x v="0"/>
    <s v="BV45637"/>
    <s v="Pedido 530"/>
    <d v="2024-12-11T00:00:00"/>
    <x v="43"/>
    <s v="PedidoF517"/>
    <s v="CódRastreio515"/>
    <n v="1"/>
    <s v="CPF 514"/>
    <s v="Nome 514"/>
    <s v="Tel 514"/>
    <s v="Cep 514"/>
    <s v="Rua 514"/>
    <s v="Comp 514"/>
    <s v="Adaptador Bluetooph"/>
    <s v="YA-AG3H-SPUK"/>
    <d v="2025-01-11T00:00:00"/>
    <n v="18.989999999999998"/>
    <n v="18.989999999999998"/>
    <n v="2.2787999999999999"/>
    <n v="16.71"/>
    <n v="8.0399999999999991"/>
    <n v="0.31"/>
    <n v="0.39877104377104378"/>
    <n v="0"/>
    <n v="7.9612289562289575"/>
    <n v="3.9806144781144788"/>
    <x v="44"/>
    <x v="47"/>
    <x v="12"/>
    <d v="2025-02-06T00:00:00"/>
    <x v="2"/>
    <x v="0"/>
    <x v="3"/>
    <s v="ENTREGUE"/>
    <d v="2024-12-20T00:00:00"/>
    <x v="0"/>
    <m/>
    <n v="0"/>
    <n v="0"/>
    <n v="0"/>
    <n v="0"/>
    <n v="0"/>
  </r>
  <r>
    <x v="0"/>
    <s v="BV45637"/>
    <s v="Pedido 531"/>
    <d v="2024-12-11T00:00:00"/>
    <x v="43"/>
    <s v="PedidoF518"/>
    <s v="CódRastreio516"/>
    <n v="1"/>
    <s v="CPF 515"/>
    <s v="Nome 515"/>
    <s v="Tel 515"/>
    <s v="Cep 515"/>
    <s v="Rua 515"/>
    <s v="Comp 515"/>
    <s v="Adaptador Bluetooph"/>
    <s v="YA-AG3H-SPUK"/>
    <d v="2025-01-07T00:00:00"/>
    <n v="18.989999999999998"/>
    <n v="18.989999999999998"/>
    <n v="2.2787999999999999"/>
    <n v="16.71"/>
    <n v="8.0399999999999991"/>
    <n v="0.31"/>
    <n v="0.39877104377104378"/>
    <n v="0"/>
    <n v="7.9612289562289575"/>
    <n v="3.9806144781144788"/>
    <x v="48"/>
    <x v="51"/>
    <x v="10"/>
    <d v="2025-01-16T00:00:00"/>
    <x v="2"/>
    <x v="0"/>
    <x v="3"/>
    <s v="ENTREGUE"/>
    <d v="2024-12-19T00:00:00"/>
    <x v="0"/>
    <m/>
    <n v="0"/>
    <n v="0"/>
    <n v="0"/>
    <n v="0"/>
    <n v="0"/>
  </r>
  <r>
    <x v="0"/>
    <s v="BV45637"/>
    <s v="Pedido 532"/>
    <d v="2024-12-11T00:00:00"/>
    <x v="43"/>
    <s v="PedidoF519"/>
    <s v="CódRastreio517"/>
    <n v="1"/>
    <s v="CPF 516"/>
    <s v="Nome 516"/>
    <s v="Tel 516"/>
    <s v="Cep 516"/>
    <s v="Rua 516"/>
    <s v="Comp 516"/>
    <s v="Ventilador Rosa"/>
    <s v="IF-G2ZQ-79FO"/>
    <d v="2025-01-07T00:00:00"/>
    <n v="54.8"/>
    <n v="54.8"/>
    <n v="7.1239999999999997"/>
    <n v="47.68"/>
    <n v="13.87"/>
    <n v="0.31"/>
    <n v="0.39877104377104378"/>
    <n v="0"/>
    <n v="33.101228956228958"/>
    <n v="16.550614478114479"/>
    <x v="48"/>
    <x v="51"/>
    <x v="10"/>
    <d v="2025-01-16T00:00:00"/>
    <x v="2"/>
    <x v="0"/>
    <x v="3"/>
    <s v="ENTREGUE"/>
    <d v="2024-12-20T00:00:00"/>
    <x v="0"/>
    <m/>
    <n v="0"/>
    <n v="0"/>
    <n v="0"/>
    <n v="0"/>
    <n v="0"/>
  </r>
  <r>
    <x v="0"/>
    <s v="BV45637"/>
    <s v="Pedido 533"/>
    <d v="2024-12-11T00:00:00"/>
    <x v="43"/>
    <s v="PedidoF520"/>
    <s v="CódRastreio518"/>
    <n v="1"/>
    <s v="CPF 517"/>
    <s v="Nome 517"/>
    <s v="Tel 517"/>
    <s v="Cep 517"/>
    <s v="Rua 517"/>
    <s v="Comp 517"/>
    <s v="Ventilador Rosa"/>
    <s v="IF-G2ZQ-79FO"/>
    <d v="2025-01-18T00:00:00"/>
    <n v="54.8"/>
    <n v="54.8"/>
    <n v="7.1239999999999997"/>
    <n v="47.68"/>
    <n v="13.87"/>
    <n v="0.31"/>
    <n v="0.39877104377104378"/>
    <n v="0"/>
    <n v="33.101228956228958"/>
    <n v="16.550614478114479"/>
    <x v="49"/>
    <x v="52"/>
    <x v="13"/>
    <d v="2025-02-06T00:00:00"/>
    <x v="2"/>
    <x v="0"/>
    <x v="3"/>
    <s v="ENTREGUE"/>
    <d v="2025-01-03T00:00:00"/>
    <x v="0"/>
    <m/>
    <n v="0"/>
    <n v="0"/>
    <n v="0"/>
    <n v="0"/>
    <n v="0"/>
  </r>
  <r>
    <x v="0"/>
    <s v="BV45637"/>
    <s v="Pedido 534"/>
    <d v="2024-12-11T00:00:00"/>
    <x v="43"/>
    <s v="PedidoF521"/>
    <s v="CódRastreio519"/>
    <n v="1"/>
    <s v="CPF 518"/>
    <s v="Nome 518"/>
    <s v="Tel 518"/>
    <s v="Cep 518"/>
    <s v="Rua 518"/>
    <s v="Comp 518"/>
    <s v="Ventilador Preto"/>
    <s v="MU-J80P-95WF"/>
    <d v="2025-01-07T00:00:00"/>
    <n v="65.599999999999994"/>
    <n v="65.599999999999994"/>
    <n v="8.5279999999999987"/>
    <n v="57.07"/>
    <n v="19.809999999999999"/>
    <n v="0.31"/>
    <n v="0.39877104377104378"/>
    <n v="0"/>
    <n v="36.551228956228954"/>
    <n v="18.275614478114477"/>
    <x v="48"/>
    <x v="51"/>
    <x v="10"/>
    <d v="2025-01-16T00:00:00"/>
    <x v="2"/>
    <x v="0"/>
    <x v="3"/>
    <s v="ENTREGUE"/>
    <d v="2024-12-20T00:00:00"/>
    <x v="0"/>
    <m/>
    <n v="0"/>
    <n v="0"/>
    <n v="0"/>
    <n v="0"/>
    <n v="0"/>
  </r>
  <r>
    <x v="0"/>
    <s v="BV45637"/>
    <s v="Pedido 535"/>
    <d v="2024-12-11T00:00:00"/>
    <x v="43"/>
    <s v="PedidoF522"/>
    <s v="CódRastreio520"/>
    <n v="1"/>
    <s v="CPF 519"/>
    <s v="Nome 519"/>
    <s v="Tel 519"/>
    <s v="Cep 519"/>
    <s v="Rua 519"/>
    <s v="Comp 519"/>
    <s v="Suporte de Celular Branco"/>
    <s v="16-4EDB-WMZF"/>
    <d v="2025-01-07T00:00:00"/>
    <n v="17.899999999999999"/>
    <n v="17.899999999999999"/>
    <n v="2.6849999999999996"/>
    <n v="15.22"/>
    <n v="6.99"/>
    <n v="0.31"/>
    <n v="0.39877104377104378"/>
    <n v="0"/>
    <n v="7.5212289562289572"/>
    <n v="3.7606144781144786"/>
    <x v="48"/>
    <x v="51"/>
    <x v="10"/>
    <d v="2025-01-16T00:00:00"/>
    <x v="2"/>
    <x v="0"/>
    <x v="3"/>
    <s v="ENTREGUE"/>
    <d v="2024-12-16T00:00:00"/>
    <x v="0"/>
    <m/>
    <n v="0"/>
    <n v="0"/>
    <n v="0"/>
    <n v="0"/>
    <n v="0"/>
  </r>
  <r>
    <x v="0"/>
    <s v="BV45637"/>
    <s v="Pedido 536"/>
    <d v="2024-12-11T00:00:00"/>
    <x v="43"/>
    <s v="PedidoF523"/>
    <s v="CódRastreio521"/>
    <n v="1"/>
    <s v="CPF 520"/>
    <s v="Nome 520"/>
    <s v="Tel 520"/>
    <s v="Cep 520"/>
    <s v="Rua 520"/>
    <s v="Comp 520"/>
    <s v="Suporte de Celular Branco"/>
    <s v="16-4EDB-WMZF"/>
    <d v="2025-01-07T00:00:00"/>
    <n v="17.899999999999999"/>
    <n v="17.899999999999999"/>
    <n v="2.6849999999999996"/>
    <n v="15.22"/>
    <n v="6.99"/>
    <n v="0.31"/>
    <n v="0.39877104377104378"/>
    <n v="0"/>
    <n v="7.5212289562289572"/>
    <n v="3.7606144781144786"/>
    <x v="48"/>
    <x v="51"/>
    <x v="10"/>
    <d v="2025-01-16T00:00:00"/>
    <x v="2"/>
    <x v="0"/>
    <x v="3"/>
    <s v="ENTREGUE"/>
    <d v="2024-12-25T00:00:00"/>
    <x v="0"/>
    <m/>
    <n v="0"/>
    <n v="0"/>
    <n v="0"/>
    <n v="0"/>
    <n v="0"/>
  </r>
  <r>
    <x v="0"/>
    <s v="BV45637"/>
    <s v="Pedido 537"/>
    <d v="2024-12-11T00:00:00"/>
    <x v="43"/>
    <s v="PedidoF524"/>
    <s v="CódRastreio522"/>
    <n v="1"/>
    <s v="CPF 521"/>
    <s v="Nome 521"/>
    <s v="Tel 521"/>
    <s v="Cep 521"/>
    <s v="Rua 521"/>
    <s v="Comp 521"/>
    <s v="Ventilador Preto"/>
    <s v="MU-J80P-95WF"/>
    <d v="2025-01-07T00:00:00"/>
    <n v="65.599999999999994"/>
    <n v="65.599999999999994"/>
    <n v="8.5279999999999987"/>
    <n v="57.07"/>
    <n v="19.809999999999999"/>
    <n v="0.31"/>
    <n v="0.39877104377104378"/>
    <n v="0"/>
    <n v="36.551228956228954"/>
    <n v="18.275614478114477"/>
    <x v="48"/>
    <x v="51"/>
    <x v="10"/>
    <d v="2025-01-16T00:00:00"/>
    <x v="2"/>
    <x v="0"/>
    <x v="3"/>
    <s v="ENTREGUE"/>
    <d v="2024-12-20T00:00:00"/>
    <x v="0"/>
    <m/>
    <n v="0"/>
    <n v="0"/>
    <n v="0"/>
    <n v="0"/>
    <n v="0"/>
  </r>
  <r>
    <x v="0"/>
    <s v="BV45638"/>
    <s v="Pedido 538"/>
    <d v="2024-12-12T00:00:00"/>
    <x v="44"/>
    <s v="PedidoF525"/>
    <s v="CódRastreio523"/>
    <n v="1"/>
    <s v="CPF 522"/>
    <s v="Nome 522"/>
    <s v="Tel 522"/>
    <s v="Cep 522"/>
    <s v="Rua 522"/>
    <s v="Comp 522"/>
    <s v="Ventilador Rosa"/>
    <s v="IF-G2ZQ-79FO"/>
    <d v="2025-01-18T00:00:00"/>
    <n v="54.8"/>
    <n v="54.8"/>
    <n v="7.1239999999999997"/>
    <n v="47.68"/>
    <n v="11.5"/>
    <n v="0.2"/>
    <n v="0.39877104377104378"/>
    <n v="0"/>
    <n v="35.581228956228955"/>
    <n v="17.790614478114477"/>
    <x v="49"/>
    <x v="52"/>
    <x v="13"/>
    <d v="2025-02-06T00:00:00"/>
    <x v="2"/>
    <x v="0"/>
    <x v="3"/>
    <s v="ENTREGUE"/>
    <d v="2025-01-03T00:00:00"/>
    <x v="0"/>
    <m/>
    <n v="0"/>
    <n v="0"/>
    <n v="0"/>
    <n v="0"/>
    <n v="0"/>
  </r>
  <r>
    <x v="0"/>
    <s v="BV45638"/>
    <s v="Pedido 539"/>
    <d v="2024-12-12T00:00:00"/>
    <x v="44"/>
    <s v="PedidoF526"/>
    <s v="CódRastreio524"/>
    <n v="1"/>
    <s v="CPF 523"/>
    <s v="Nome 523"/>
    <s v="Tel 523"/>
    <s v="Cep 523"/>
    <s v="Rua 523"/>
    <s v="Comp 523"/>
    <s v="Suporte de Celular Branco"/>
    <s v="16-4EDB-WMZF"/>
    <d v="2025-01-14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50"/>
    <x v="53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38"/>
    <s v="Pedido 540"/>
    <d v="2024-12-12T00:00:00"/>
    <x v="44"/>
    <s v="PedidoF527"/>
    <s v="CódRastreio525"/>
    <n v="1"/>
    <s v="CPF 524"/>
    <s v="Nome 524"/>
    <s v="Tel 524"/>
    <s v="Cep 524"/>
    <s v="Rua 524"/>
    <s v="Comp 524"/>
    <s v="Suporte de Celular Branco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5"/>
    <x v="48"/>
    <x v="10"/>
    <d v="2025-01-16T00:00:00"/>
    <x v="2"/>
    <x v="0"/>
    <x v="3"/>
    <s v="ENTREGUE"/>
    <d v="2024-12-19T00:00:00"/>
    <x v="0"/>
    <m/>
    <n v="0"/>
    <n v="0"/>
    <n v="0"/>
    <n v="0"/>
    <n v="0"/>
  </r>
  <r>
    <x v="0"/>
    <s v="BV45638"/>
    <s v="Pedido 541"/>
    <d v="2024-12-12T00:00:00"/>
    <x v="44"/>
    <s v="PedidoF528"/>
    <s v="CódRastreio526"/>
    <n v="1"/>
    <s v="CPF 524"/>
    <s v="Nome 524"/>
    <s v="Tel 524"/>
    <s v="Cep 524"/>
    <s v="Rua 524"/>
    <s v="Comp 524"/>
    <s v="Suporte de Celular Branco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5"/>
    <x v="48"/>
    <x v="10"/>
    <d v="2025-01-16T00:00:00"/>
    <x v="2"/>
    <x v="0"/>
    <x v="3"/>
    <s v="ENTREGUE"/>
    <d v="2024-12-19T00:00:00"/>
    <x v="0"/>
    <m/>
    <n v="0"/>
    <n v="0"/>
    <n v="0"/>
    <n v="0"/>
    <n v="0"/>
  </r>
  <r>
    <x v="0"/>
    <s v="BV45638"/>
    <s v="Pedido 542"/>
    <d v="2024-12-12T00:00:00"/>
    <x v="44"/>
    <s v="PedidoF529"/>
    <s v="CódRastreio527"/>
    <n v="1"/>
    <s v="CPF 525"/>
    <s v="Nome 525"/>
    <s v="Tel 525"/>
    <s v="Cep 525"/>
    <s v="Rua 525"/>
    <s v="Comp 525"/>
    <s v="Suporte de Celular Branco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5"/>
    <x v="48"/>
    <x v="10"/>
    <d v="2025-01-16T00:00:00"/>
    <x v="2"/>
    <x v="0"/>
    <x v="3"/>
    <s v="ENTREGUE"/>
    <d v="2024-12-26T00:00:00"/>
    <x v="0"/>
    <m/>
    <n v="0"/>
    <n v="0"/>
    <n v="0"/>
    <n v="0"/>
    <n v="0"/>
  </r>
  <r>
    <x v="0"/>
    <s v="BV45638"/>
    <s v="Pedido 543"/>
    <d v="2024-12-12T00:00:00"/>
    <x v="44"/>
    <s v="PedidoF530"/>
    <s v="CódRastreio528"/>
    <n v="1"/>
    <s v="CPF 526"/>
    <s v="Nome 526"/>
    <s v="Tel 526"/>
    <s v="Cep 526"/>
    <s v="Rua 526"/>
    <s v="Comp 526"/>
    <s v="Suporte de Celular Branco"/>
    <s v="16-4EDB-WMZF"/>
    <d v="2025-01-08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5"/>
    <x v="48"/>
    <x v="10"/>
    <d v="2025-01-16T00:00:00"/>
    <x v="2"/>
    <x v="0"/>
    <x v="3"/>
    <s v="ENTREGUE"/>
    <d v="2025-01-22T00:00:00"/>
    <x v="0"/>
    <m/>
    <n v="0"/>
    <n v="0"/>
    <n v="0"/>
    <n v="0"/>
    <n v="0"/>
  </r>
  <r>
    <x v="0"/>
    <s v="BV45638"/>
    <s v="Pedido 544"/>
    <d v="2024-12-12T00:00:00"/>
    <x v="44"/>
    <s v="PedidoF531"/>
    <s v="CódRastreio529"/>
    <n v="1"/>
    <s v="CPF 527"/>
    <s v="Nome 527"/>
    <s v="Tel 527"/>
    <s v="Cep 527"/>
    <s v="Rua 527"/>
    <s v="Comp 527"/>
    <s v="Ventilador Rosa"/>
    <s v="IF-G2ZQ-79FO"/>
    <d v="2025-01-08T00:00:00"/>
    <n v="54.8"/>
    <n v="54.8"/>
    <n v="7.1239999999999997"/>
    <n v="47.68"/>
    <n v="11.5"/>
    <n v="0.2"/>
    <n v="0.39877104377104378"/>
    <n v="0"/>
    <n v="35.581228956228955"/>
    <n v="17.790614478114477"/>
    <x v="45"/>
    <x v="48"/>
    <x v="10"/>
    <d v="2025-01-16T00:00:00"/>
    <x v="2"/>
    <x v="0"/>
    <x v="3"/>
    <s v="ENTREGUE"/>
    <d v="2024-12-30T00:00:00"/>
    <x v="0"/>
    <m/>
    <n v="0"/>
    <n v="0"/>
    <n v="0"/>
    <n v="0"/>
    <n v="0"/>
  </r>
  <r>
    <x v="0"/>
    <s v="BV45638"/>
    <s v="Pedido 545"/>
    <d v="2024-12-12T00:00:00"/>
    <x v="44"/>
    <s v="PedidoF532"/>
    <s v="CódRastreio530"/>
    <n v="1"/>
    <s v="CPF 528"/>
    <s v="Nome 528"/>
    <s v="Tel 528"/>
    <s v="Cep 528"/>
    <s v="Rua 528"/>
    <s v="Comp 528"/>
    <s v="Ventilador Azul"/>
    <s v="U8-2VWS-OB6M"/>
    <d v="2025-01-14T00:00:00"/>
    <n v="65.599999999999994"/>
    <n v="65.599999999999994"/>
    <n v="8.5279999999999987"/>
    <n v="57.07"/>
    <n v="16.579999999999998"/>
    <n v="0.2"/>
    <n v="0.39877104377104378"/>
    <n v="0"/>
    <n v="39.891228956228957"/>
    <n v="19.945614478114479"/>
    <x v="50"/>
    <x v="53"/>
    <x v="12"/>
    <d v="2025-02-06T00:00:00"/>
    <x v="2"/>
    <x v="0"/>
    <x v="3"/>
    <s v="ENTREGUE"/>
    <d v="2025-01-02T00:00:00"/>
    <x v="0"/>
    <m/>
    <n v="0"/>
    <n v="0"/>
    <n v="0"/>
    <n v="0"/>
    <n v="0"/>
  </r>
  <r>
    <x v="0"/>
    <s v="BV45638"/>
    <s v="Pedido 546"/>
    <d v="2024-12-12T00:00:00"/>
    <x v="44"/>
    <s v="PedidoF533"/>
    <s v="CódRastreio531"/>
    <n v="1"/>
    <s v="CPF 529"/>
    <s v="Nome 529"/>
    <s v="Tel 529"/>
    <s v="Cep 529"/>
    <s v="Rua 529"/>
    <s v="Comp 529"/>
    <s v="Suporte de Celular Branco"/>
    <s v="16-4EDB-WMZF"/>
    <d v="2025-01-04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3"/>
    <x v="46"/>
    <x v="10"/>
    <d v="2025-01-16T00:00:00"/>
    <x v="2"/>
    <x v="0"/>
    <x v="3"/>
    <s v="ENTREGUE"/>
    <d v="2024-12-18T00:00:00"/>
    <x v="0"/>
    <m/>
    <n v="0"/>
    <n v="0"/>
    <n v="0"/>
    <n v="0"/>
    <n v="0"/>
  </r>
  <r>
    <x v="0"/>
    <s v="BV45638"/>
    <s v="Pedido 547"/>
    <d v="2024-12-12T00:00:00"/>
    <x v="44"/>
    <s v="PedidoF534"/>
    <s v="CódRastreio532"/>
    <n v="1"/>
    <s v="CPF 530"/>
    <s v="Nome 530"/>
    <s v="Tel 530"/>
    <s v="Cep 530"/>
    <s v="Rua 530"/>
    <s v="Comp 530"/>
    <s v="Adaptador Bluetooph"/>
    <s v="YA-AG3H-SPUK"/>
    <d v="2025-01-14T00:00:00"/>
    <n v="18.989999999999998"/>
    <n v="18.989999999999998"/>
    <n v="2.2787999999999999"/>
    <n v="16.71"/>
    <n v="0"/>
    <n v="0.2"/>
    <n v="0.39877104377104378"/>
    <n v="0"/>
    <n v="16.111228956228956"/>
    <n v="8.0556144781144781"/>
    <x v="50"/>
    <x v="53"/>
    <x v="12"/>
    <d v="2025-02-06T00:00:00"/>
    <x v="2"/>
    <x v="0"/>
    <x v="3"/>
    <s v="ENTREGUE"/>
    <d v="2025-01-09T00:00:00"/>
    <x v="0"/>
    <m/>
    <n v="0"/>
    <n v="0"/>
    <n v="0"/>
    <n v="0"/>
    <n v="0"/>
  </r>
  <r>
    <x v="0"/>
    <s v="BV45638"/>
    <s v="Pedido 548"/>
    <d v="2024-12-12T00:00:00"/>
    <x v="44"/>
    <s v="PedidoF535"/>
    <s v="CódRastreio533"/>
    <n v="1"/>
    <s v="CPF 531"/>
    <s v="Nome 531"/>
    <s v="Tel 531"/>
    <s v="Cep 531"/>
    <s v="Rua 531"/>
    <s v="Comp 531"/>
    <s v="Ventilador Preto"/>
    <s v="MU-J80P-95WF"/>
    <d v="2025-01-14T00:00:00"/>
    <n v="65.599999999999994"/>
    <n v="65.599999999999994"/>
    <n v="8.5279999999999987"/>
    <n v="57.07"/>
    <n v="17.27"/>
    <n v="0.2"/>
    <n v="0.39877104377104378"/>
    <n v="0"/>
    <n v="39.20122895622896"/>
    <n v="19.60061447811448"/>
    <x v="50"/>
    <x v="53"/>
    <x v="12"/>
    <d v="2025-02-06T00:00:00"/>
    <x v="2"/>
    <x v="0"/>
    <x v="3"/>
    <s v="ENTREGUE"/>
    <d v="2025-01-02T00:00:00"/>
    <x v="0"/>
    <m/>
    <n v="0"/>
    <n v="0"/>
    <n v="0"/>
    <n v="0"/>
    <n v="0"/>
  </r>
  <r>
    <x v="0"/>
    <s v="BV45638"/>
    <s v="Pedido 549"/>
    <d v="2024-12-12T00:00:00"/>
    <x v="44"/>
    <s v="PedidoF536"/>
    <s v="CódRastreio534"/>
    <n v="1"/>
    <s v="CPF 532"/>
    <s v="Nome 532"/>
    <s v="Tel 532"/>
    <s v="Cep 532"/>
    <s v="Rua 532"/>
    <s v="Comp 532"/>
    <s v="Ventilador Preto"/>
    <s v="MU-J80P-95WF"/>
    <d v="2025-01-14T00:00:00"/>
    <n v="65.599999999999994"/>
    <n v="65.599999999999994"/>
    <n v="8.5279999999999987"/>
    <n v="57.07"/>
    <n v="17.27"/>
    <n v="0.2"/>
    <n v="0.39877104377104378"/>
    <n v="0"/>
    <n v="39.20122895622896"/>
    <n v="19.60061447811448"/>
    <x v="50"/>
    <x v="53"/>
    <x v="12"/>
    <d v="2025-02-06T00:00:00"/>
    <x v="2"/>
    <x v="0"/>
    <x v="3"/>
    <s v="ENTREGUE"/>
    <d v="2025-01-02T00:00:00"/>
    <x v="0"/>
    <m/>
    <n v="0"/>
    <n v="0"/>
    <n v="0"/>
    <n v="0"/>
    <n v="0"/>
  </r>
  <r>
    <x v="0"/>
    <s v="BV45639"/>
    <s v="Pedido 550"/>
    <d v="2024-12-13T00:00:00"/>
    <x v="45"/>
    <s v="PedidoF537"/>
    <s v="CódRastreio535"/>
    <n v="1"/>
    <s v="CPF 533"/>
    <s v="Nome 533"/>
    <s v="Tel 533"/>
    <s v="Cep 533"/>
    <s v="Rua 533"/>
    <s v="Comp 533"/>
    <s v="Suporte de Celular Branco"/>
    <s v="16-4EDB-WMZF"/>
    <d v="2025-01-15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6"/>
    <x v="49"/>
    <x v="12"/>
    <d v="2025-02-06T00:00:00"/>
    <x v="2"/>
    <x v="0"/>
    <x v="3"/>
    <s v="ENTREGUE"/>
    <d v="2024-12-21T00:00:00"/>
    <x v="0"/>
    <m/>
    <n v="0"/>
    <n v="0"/>
    <n v="0"/>
    <n v="0"/>
    <n v="0"/>
  </r>
  <r>
    <x v="0"/>
    <s v="BV45639"/>
    <s v="Pedido 551"/>
    <d v="2024-12-13T00:00:00"/>
    <x v="45"/>
    <s v="PedidoF538"/>
    <s v="CódRastreio536"/>
    <n v="1"/>
    <s v="CPF 534"/>
    <s v="Nome 534"/>
    <s v="Tel 534"/>
    <s v="Cep 534"/>
    <s v="Rua 534"/>
    <s v="Comp 534"/>
    <s v="Suporte de Celular Branco"/>
    <s v="16-4EDB-WMZF"/>
    <d v="2025-01-15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6"/>
    <x v="49"/>
    <x v="12"/>
    <d v="2025-02-06T00:00:00"/>
    <x v="2"/>
    <x v="0"/>
    <x v="3"/>
    <s v="ENTREGUE"/>
    <d v="2024-12-21T00:00:00"/>
    <x v="0"/>
    <m/>
    <n v="0"/>
    <n v="0"/>
    <n v="0"/>
    <n v="0"/>
    <n v="0"/>
  </r>
  <r>
    <x v="0"/>
    <s v="BV45639"/>
    <s v="Pedido 552"/>
    <d v="2024-12-13T00:00:00"/>
    <x v="45"/>
    <s v="PedidoF539"/>
    <s v="CódRastreio537"/>
    <n v="1"/>
    <s v="CPF 535"/>
    <s v="Nome 535"/>
    <s v="Tel 535"/>
    <s v="Cep 535"/>
    <s v="Rua 535"/>
    <s v="Comp 535"/>
    <s v="Lampada Led"/>
    <s v="RB-W251-UXV2"/>
    <d v="2025-01-15T00:00:00"/>
    <n v="34.1"/>
    <n v="34.1"/>
    <n v="4.4330000000000007"/>
    <n v="29.67"/>
    <n v="14.18"/>
    <n v="0.2"/>
    <n v="0.39877104377104378"/>
    <n v="0"/>
    <n v="14.891228956228959"/>
    <n v="7.4456144781144795"/>
    <x v="46"/>
    <x v="49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39"/>
    <s v="Pedido 553"/>
    <d v="2024-12-13T00:00:00"/>
    <x v="45"/>
    <s v="PedidoF540"/>
    <s v="CódRastreio538"/>
    <n v="1"/>
    <s v="CPF 536"/>
    <s v="Nome 536"/>
    <s v="Tel 536"/>
    <s v="Cep 536"/>
    <s v="Rua 536"/>
    <s v="Comp 536"/>
    <s v="Suporte de Celular Branco"/>
    <s v="16-4EDB-WMZF"/>
    <d v="2025-01-15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6"/>
    <x v="49"/>
    <x v="12"/>
    <d v="2025-02-06T00:00:00"/>
    <x v="2"/>
    <x v="0"/>
    <x v="3"/>
    <s v="ENTREGUE"/>
    <d v="2024-12-26T00:00:00"/>
    <x v="0"/>
    <m/>
    <n v="0"/>
    <n v="0"/>
    <n v="0"/>
    <n v="0"/>
    <n v="0"/>
  </r>
  <r>
    <x v="0"/>
    <s v="BV45639"/>
    <s v="Pedido 554"/>
    <d v="2024-12-13T00:00:00"/>
    <x v="45"/>
    <s v="PedidoF541"/>
    <s v="CódRastreio539"/>
    <n v="1"/>
    <s v="CPF 537"/>
    <s v="Nome 537"/>
    <s v="Tel 537"/>
    <s v="Cep 537"/>
    <s v="Rua 537"/>
    <s v="Comp 537"/>
    <s v="Ventilador Rosa"/>
    <s v="IF-G2ZQ-79FO"/>
    <d v="2025-01-09T00:00:00"/>
    <n v="54.8"/>
    <n v="54.8"/>
    <n v="7.1239999999999997"/>
    <n v="47.68"/>
    <n v="12.19"/>
    <n v="0.2"/>
    <n v="0.39877104377104378"/>
    <n v="0"/>
    <n v="34.891228956228957"/>
    <n v="17.445614478114479"/>
    <x v="41"/>
    <x v="44"/>
    <x v="11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2"/>
    <s v="Pedido 555"/>
    <d v="2024-12-16T00:00:00"/>
    <x v="46"/>
    <s v="PedidoF542"/>
    <s v="CódRastreio540"/>
    <n v="1"/>
    <s v="CPF 538"/>
    <s v="Nome 538"/>
    <s v="Tel 538"/>
    <s v="Cep 538"/>
    <s v="Rua 538"/>
    <s v="Comp 538"/>
    <s v="Ventilador de teto"/>
    <s v="BP-NHG2-B8C1"/>
    <d v="2025-01-09T00:00:00"/>
    <n v="53.9"/>
    <n v="53.9"/>
    <n v="7.0069999999999997"/>
    <n v="46.89"/>
    <n v="0"/>
    <n v="0.15"/>
    <n v="0.39877104377104378"/>
    <n v="0"/>
    <n v="46.34122895622896"/>
    <n v="23.17061447811448"/>
    <x v="41"/>
    <x v="44"/>
    <x v="11"/>
    <d v="2025-02-06T00:00:00"/>
    <x v="2"/>
    <x v="0"/>
    <x v="3"/>
    <s v="ENTREGUE"/>
    <d v="2025-01-07T00:00:00"/>
    <x v="0"/>
    <m/>
    <n v="1.4"/>
    <n v="0"/>
    <n v="0"/>
    <n v="0"/>
    <n v="1.4"/>
  </r>
  <r>
    <x v="0"/>
    <s v="BV45639"/>
    <s v="Pedido 556"/>
    <d v="2024-12-13T00:00:00"/>
    <x v="45"/>
    <s v="PedidoF543"/>
    <s v="CódRastreio541"/>
    <n v="1"/>
    <s v="CPF 539"/>
    <s v="Nome 539"/>
    <s v="Tel 539"/>
    <s v="Cep 539"/>
    <s v="Rua 539"/>
    <s v="Comp 539"/>
    <s v="Suporte de Celular Branco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1"/>
    <x v="44"/>
    <x v="11"/>
    <d v="2025-02-06T00:00:00"/>
    <x v="2"/>
    <x v="0"/>
    <x v="3"/>
    <s v="ENTREGUE"/>
    <d v="2024-12-19T00:00:00"/>
    <x v="0"/>
    <m/>
    <n v="0"/>
    <n v="0"/>
    <n v="0"/>
    <n v="0"/>
    <n v="0"/>
  </r>
  <r>
    <x v="0"/>
    <s v="BV45639"/>
    <s v="Pedido 557"/>
    <d v="2024-12-13T00:00:00"/>
    <x v="45"/>
    <s v="PedidoF544"/>
    <s v="CódRastreio542"/>
    <n v="1"/>
    <s v="CPF 540"/>
    <s v="Nome 540"/>
    <s v="Tel 540"/>
    <s v="Cep 540"/>
    <s v="Rua 540"/>
    <s v="Comp 540"/>
    <s v="Copo Termico"/>
    <s v="KN-TBQL-K2MM"/>
    <d v="2025-01-09T00:00:00"/>
    <n v="32.9"/>
    <n v="32.9"/>
    <n v="4.2770000000000001"/>
    <n v="28.62"/>
    <n v="11.2"/>
    <n v="0.2"/>
    <n v="0.39877104377104378"/>
    <n v="0"/>
    <n v="16.821228956228957"/>
    <n v="8.4106144781144785"/>
    <x v="41"/>
    <x v="44"/>
    <x v="11"/>
    <d v="2025-02-06T00:00:00"/>
    <x v="2"/>
    <x v="0"/>
    <x v="3"/>
    <s v="ENTREGUE"/>
    <d v="2024-12-18T00:00:00"/>
    <x v="0"/>
    <m/>
    <n v="0"/>
    <n v="0"/>
    <n v="0"/>
    <n v="0"/>
    <n v="0"/>
  </r>
  <r>
    <x v="0"/>
    <s v="BV45639"/>
    <s v="Pedido 558"/>
    <d v="2024-12-13T00:00:00"/>
    <x v="45"/>
    <s v="PedidoF545"/>
    <s v="CódRastreio543"/>
    <n v="1"/>
    <s v="CPF 541"/>
    <s v="Nome 541"/>
    <s v="Tel 541"/>
    <s v="Cep 541"/>
    <s v="Rua 541"/>
    <s v="Comp 541"/>
    <s v="Suporte de Celular Branco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1"/>
    <x v="44"/>
    <x v="11"/>
    <d v="2025-02-06T00:00:00"/>
    <x v="2"/>
    <x v="0"/>
    <x v="3"/>
    <s v="ENTREGUE"/>
    <d v="2024-12-21T00:00:00"/>
    <x v="0"/>
    <m/>
    <n v="0"/>
    <n v="0"/>
    <n v="0"/>
    <n v="0"/>
    <n v="0"/>
  </r>
  <r>
    <x v="0"/>
    <s v="BV45639"/>
    <s v="Pedido 559"/>
    <d v="2024-12-13T00:00:00"/>
    <x v="45"/>
    <s v="PedidoF546"/>
    <s v="CódRastreio544"/>
    <n v="1"/>
    <s v="CPF 542"/>
    <s v="Nome 542"/>
    <s v="Tel 542"/>
    <s v="Cep 542"/>
    <s v="Rua 542"/>
    <s v="Comp 542"/>
    <s v="Ventilador Rosa"/>
    <s v="IF-G2ZQ-79FO"/>
    <d v="2025-01-22T00:00:00"/>
    <n v="54.8"/>
    <n v="54.8"/>
    <n v="7.1239999999999997"/>
    <n v="47.68"/>
    <n v="12.19"/>
    <n v="0.2"/>
    <n v="0.39877104377104378"/>
    <n v="0"/>
    <n v="34.891228956228957"/>
    <n v="17.445614478114479"/>
    <x v="51"/>
    <x v="54"/>
    <x v="13"/>
    <d v="2025-02-06T00:00:00"/>
    <x v="2"/>
    <x v="0"/>
    <x v="3"/>
    <s v="ENTREGUE"/>
    <d v="2025-01-02T00:00:00"/>
    <x v="0"/>
    <m/>
    <n v="0"/>
    <n v="0"/>
    <n v="0"/>
    <n v="0"/>
    <n v="0"/>
  </r>
  <r>
    <x v="0"/>
    <s v="BV45639"/>
    <s v="Pedido 560"/>
    <d v="2024-12-13T00:00:00"/>
    <x v="45"/>
    <s v="PedidoF547"/>
    <s v="CódRastreio545"/>
    <n v="1"/>
    <s v="CPF 543"/>
    <s v="Nome 543"/>
    <s v="Tel 543"/>
    <s v="Cep 543"/>
    <s v="Rua 543"/>
    <s v="Comp 543"/>
    <s v="Ventilador Rosa"/>
    <s v="IF-G2ZQ-79FO"/>
    <d v="2025-01-09T00:00:00"/>
    <n v="54.8"/>
    <n v="54.8"/>
    <n v="7.1239999999999997"/>
    <n v="47.68"/>
    <n v="0"/>
    <n v="0.2"/>
    <n v="0.39877104377104378"/>
    <n v="0"/>
    <n v="47.081228956228955"/>
    <n v="23.540614478114477"/>
    <x v="41"/>
    <x v="44"/>
    <x v="11"/>
    <d v="2025-02-06T00:00:00"/>
    <x v="2"/>
    <x v="0"/>
    <x v="3"/>
    <s v="ENTREGUE"/>
    <d v="2024-12-19T00:00:00"/>
    <x v="0"/>
    <m/>
    <n v="0"/>
    <n v="0"/>
    <n v="0"/>
    <n v="0"/>
    <n v="0"/>
  </r>
  <r>
    <x v="0"/>
    <s v="BV45639"/>
    <s v="Pedido 561"/>
    <d v="2024-12-13T00:00:00"/>
    <x v="45"/>
    <s v="PedidoF548"/>
    <s v="CódRastreio546"/>
    <n v="1"/>
    <s v="CPF 544"/>
    <s v="Nome 544"/>
    <s v="Tel 544"/>
    <s v="Cep 544"/>
    <s v="Rua 544"/>
    <s v="Comp 544"/>
    <s v="Ventilador Rosa"/>
    <s v="IF-G2ZQ-79FO"/>
    <d v="2025-01-09T00:00:00"/>
    <n v="54.8"/>
    <n v="54.8"/>
    <n v="7.1239999999999997"/>
    <n v="47.68"/>
    <n v="12.19"/>
    <n v="0.2"/>
    <n v="0.39877104377104378"/>
    <n v="0"/>
    <n v="34.891228956228957"/>
    <n v="17.445614478114479"/>
    <x v="41"/>
    <x v="44"/>
    <x v="11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2"/>
    <s v="Pedido 562"/>
    <d v="2024-12-16T00:00:00"/>
    <x v="46"/>
    <s v="PedidoF549"/>
    <s v="CódRastreio547"/>
    <n v="1"/>
    <s v="CPF 545"/>
    <s v="Nome 545"/>
    <s v="Tel 545"/>
    <s v="Cep 545"/>
    <s v="Rua 545"/>
    <s v="Comp 545"/>
    <s v="Ventilador de teto"/>
    <s v="BP-NHG2-B8C1"/>
    <d v="2025-01-15T00:00:00"/>
    <n v="53.9"/>
    <n v="53.9"/>
    <n v="7.0069999999999997"/>
    <n v="46.89"/>
    <n v="32.42"/>
    <n v="0.15"/>
    <n v="0.39877104377104378"/>
    <n v="0"/>
    <n v="13.921228956228958"/>
    <n v="6.9606144781144792"/>
    <x v="46"/>
    <x v="49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39"/>
    <s v="Pedido 563"/>
    <d v="2024-12-13T00:00:00"/>
    <x v="45"/>
    <s v="PedidoF550"/>
    <s v="CódRastreio548"/>
    <n v="1"/>
    <s v="CPF 546"/>
    <s v="Nome 546"/>
    <s v="Tel 546"/>
    <s v="Cep 546"/>
    <s v="Rua 546"/>
    <s v="Comp 546"/>
    <s v="Suporte de Celular Branco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1"/>
    <x v="44"/>
    <x v="11"/>
    <d v="2025-02-06T00:00:00"/>
    <x v="2"/>
    <x v="0"/>
    <x v="3"/>
    <s v="ENTREGUE"/>
    <d v="2024-12-21T00:00:00"/>
    <x v="0"/>
    <m/>
    <n v="0"/>
    <n v="0"/>
    <n v="0"/>
    <n v="0"/>
    <n v="0"/>
  </r>
  <r>
    <x v="0"/>
    <s v="BV45639"/>
    <s v="Pedido 564"/>
    <d v="2024-12-13T00:00:00"/>
    <x v="45"/>
    <s v="PedidoF551"/>
    <s v="CódRastreio549"/>
    <n v="1"/>
    <s v="CPF 547"/>
    <s v="Nome 547"/>
    <s v="Tel 547"/>
    <s v="Cep 547"/>
    <s v="Rua 547"/>
    <s v="Comp 547"/>
    <s v="Ventilador Preto"/>
    <s v="MU-J80P-95WF"/>
    <d v="2025-01-09T00:00:00"/>
    <n v="65.599999999999994"/>
    <n v="65.599999999999994"/>
    <n v="8.5279999999999987"/>
    <n v="57.07"/>
    <n v="23.93"/>
    <n v="0.2"/>
    <n v="0.39877104377104378"/>
    <n v="0"/>
    <n v="32.541228956228956"/>
    <n v="16.270614478114478"/>
    <x v="41"/>
    <x v="44"/>
    <x v="11"/>
    <d v="2025-02-06T00:00:00"/>
    <x v="2"/>
    <x v="0"/>
    <x v="3"/>
    <s v="ENTREGUE"/>
    <d v="2024-12-23T00:00:00"/>
    <x v="0"/>
    <m/>
    <n v="0"/>
    <n v="0"/>
    <n v="0"/>
    <n v="0"/>
    <n v="0"/>
  </r>
  <r>
    <x v="0"/>
    <s v="BV45639"/>
    <s v="Pedido 565"/>
    <d v="2024-12-13T00:00:00"/>
    <x v="45"/>
    <s v="PedidoF552"/>
    <s v="CódRastreio550"/>
    <n v="1"/>
    <s v="CPF 548"/>
    <s v="Nome 548"/>
    <s v="Tel 548"/>
    <s v="Cep 548"/>
    <s v="Rua 548"/>
    <s v="Comp 548"/>
    <s v="Suporte de Celular Branco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1"/>
    <x v="44"/>
    <x v="11"/>
    <d v="2025-02-06T00:00:00"/>
    <x v="2"/>
    <x v="0"/>
    <x v="3"/>
    <s v="ENTREGUE"/>
    <d v="2024-12-23T00:00:00"/>
    <x v="0"/>
    <m/>
    <n v="0"/>
    <n v="0"/>
    <n v="0"/>
    <n v="0"/>
    <n v="0"/>
  </r>
  <r>
    <x v="0"/>
    <s v="BV45639"/>
    <s v="Pedido 566"/>
    <d v="2024-12-13T00:00:00"/>
    <x v="45"/>
    <s v="PedidoF553"/>
    <s v="CódRastreio551"/>
    <n v="1"/>
    <s v="CPF 549"/>
    <s v="Nome 549"/>
    <s v="Tel 549"/>
    <s v="Cep 549"/>
    <s v="Rua 549"/>
    <s v="Comp 549"/>
    <s v="Suporte de Celular Branco"/>
    <s v="16-4EDB-WMZF"/>
    <d v="2025-01-09T00:00:00"/>
    <n v="17.899999999999999"/>
    <n v="17.899999999999999"/>
    <n v="2.6849999999999996"/>
    <n v="15.22"/>
    <n v="6.99"/>
    <n v="0.2"/>
    <n v="0.39877104377104378"/>
    <n v="0"/>
    <n v="7.6312289562289566"/>
    <n v="3.8156144781144783"/>
    <x v="41"/>
    <x v="44"/>
    <x v="11"/>
    <d v="2025-02-06T00:00:00"/>
    <x v="2"/>
    <x v="0"/>
    <x v="3"/>
    <s v="ENTREGUE"/>
    <d v="2024-12-19T00:00:00"/>
    <x v="0"/>
    <m/>
    <n v="0"/>
    <n v="0"/>
    <n v="0"/>
    <n v="0"/>
    <n v="0"/>
  </r>
  <r>
    <x v="0"/>
    <s v="BV45641"/>
    <s v="Pedido 567"/>
    <d v="2024-12-15T00:00:00"/>
    <x v="47"/>
    <s v="PedidoF554"/>
    <s v="CódRastreio552"/>
    <n v="1"/>
    <s v="CPF 550"/>
    <s v="Nome 550"/>
    <s v="Tel 550"/>
    <s v="Cep 550"/>
    <s v="Rua 550"/>
    <s v="Comp 550"/>
    <s v="Ventilador de teto"/>
    <s v="BP-NHG2-B8C1"/>
    <d v="2025-01-15T00:00:00"/>
    <n v="72.989999999999995"/>
    <n v="72.989999999999995"/>
    <n v="9.4886999999999997"/>
    <n v="63.5"/>
    <n v="31.75"/>
    <n v="0.31"/>
    <n v="0.39877104377104378"/>
    <n v="0"/>
    <n v="31.041228956228956"/>
    <n v="15.520614478114478"/>
    <x v="46"/>
    <x v="49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1"/>
    <s v="Pedido 568"/>
    <d v="2024-12-15T00:00:00"/>
    <x v="47"/>
    <s v="PedidoF555"/>
    <s v="CódRastreio553"/>
    <n v="1"/>
    <s v="CPF 551"/>
    <s v="Nome 551"/>
    <s v="Tel 551"/>
    <s v="Cep 551"/>
    <s v="Rua 551"/>
    <s v="Comp 551"/>
    <s v="Ventilador Rosa"/>
    <s v="IF-G2ZQ-79FO"/>
    <d v="2025-01-15T00:00:00"/>
    <n v="54.8"/>
    <n v="54.8"/>
    <n v="7.1239999999999997"/>
    <n v="47.68"/>
    <n v="12.2"/>
    <n v="0.31"/>
    <n v="0.39877104377104378"/>
    <n v="0"/>
    <n v="34.771228956228953"/>
    <n v="17.385614478114476"/>
    <x v="46"/>
    <x v="49"/>
    <x v="12"/>
    <d v="2025-02-06T00:00:00"/>
    <x v="2"/>
    <x v="0"/>
    <x v="3"/>
    <s v="ENTREGUE"/>
    <d v="2025-01-03T00:00:00"/>
    <x v="0"/>
    <m/>
    <n v="0"/>
    <n v="0"/>
    <n v="0"/>
    <n v="0"/>
    <n v="0"/>
  </r>
  <r>
    <x v="0"/>
    <s v="BV45641"/>
    <s v="Pedido 569"/>
    <d v="2024-12-15T00:00:00"/>
    <x v="47"/>
    <s v="PedidoF556"/>
    <s v="CódRastreio554"/>
    <n v="1"/>
    <s v="CPF 552"/>
    <s v="Nome 552"/>
    <s v="Tel 552"/>
    <s v="Cep 552"/>
    <s v="Rua 552"/>
    <s v="Comp 552"/>
    <s v="Copo Termico"/>
    <s v="KN-TBQL-K2MM"/>
    <d v="2025-01-09T00:00:00"/>
    <n v="32.9"/>
    <n v="32.9"/>
    <n v="4.2770000000000001"/>
    <n v="28.62"/>
    <n v="11.2"/>
    <n v="0.31"/>
    <n v="0.39877104377104378"/>
    <n v="0"/>
    <n v="16.711228956228958"/>
    <n v="8.3556144781144788"/>
    <x v="41"/>
    <x v="44"/>
    <x v="11"/>
    <d v="2025-02-06T00:00:00"/>
    <x v="2"/>
    <x v="0"/>
    <x v="3"/>
    <s v="ENTREGUE"/>
    <d v="2024-12-19T00:00:00"/>
    <x v="0"/>
    <m/>
    <n v="0"/>
    <n v="0"/>
    <n v="0"/>
    <n v="0"/>
    <n v="0"/>
  </r>
  <r>
    <x v="0"/>
    <s v="BV45641"/>
    <s v="Pedido 570"/>
    <d v="2024-12-15T00:00:00"/>
    <x v="47"/>
    <s v="PedidoF557"/>
    <s v="CódRastreio555"/>
    <n v="1"/>
    <s v="CPF 553"/>
    <s v="Nome 553"/>
    <s v="Tel 553"/>
    <s v="Cep 553"/>
    <s v="Rua 553"/>
    <s v="Comp 553"/>
    <s v="Ventilador Azul"/>
    <s v="U8-2VWS-OB6M"/>
    <d v="2025-01-09T00:00:00"/>
    <n v="65.599999999999994"/>
    <n v="65.599999999999994"/>
    <n v="8.5279999999999987"/>
    <n v="57.07"/>
    <n v="17.350000000000001"/>
    <n v="0.31"/>
    <n v="0.39877104377104378"/>
    <n v="0"/>
    <n v="39.011228956228955"/>
    <n v="19.505614478114477"/>
    <x v="41"/>
    <x v="44"/>
    <x v="11"/>
    <d v="2025-02-06T00:00:00"/>
    <x v="2"/>
    <x v="0"/>
    <x v="3"/>
    <s v="ENTREGUE"/>
    <d v="2024-12-27T00:00:00"/>
    <x v="0"/>
    <m/>
    <n v="0"/>
    <n v="0"/>
    <n v="0"/>
    <n v="0"/>
    <n v="0"/>
  </r>
  <r>
    <x v="0"/>
    <s v="BV45641"/>
    <s v="Pedido 571"/>
    <d v="2024-12-15T00:00:00"/>
    <x v="47"/>
    <s v="PedidoF558"/>
    <s v="CódRastreio556"/>
    <n v="1"/>
    <s v="CPF 554"/>
    <s v="Nome 554"/>
    <s v="Tel 554"/>
    <s v="Cep 554"/>
    <s v="Rua 554"/>
    <s v="Comp 554"/>
    <s v="Garrafa Termica"/>
    <s v="FM-QQ8Y-RZT4"/>
    <d v="2025-01-09T00:00:00"/>
    <n v="34.9"/>
    <n v="34.9"/>
    <n v="4.5369999999999999"/>
    <n v="30.36"/>
    <n v="13"/>
    <n v="0.31"/>
    <n v="0.39877104377104378"/>
    <n v="0"/>
    <n v="16.651228956228955"/>
    <n v="8.3256144781144776"/>
    <x v="41"/>
    <x v="44"/>
    <x v="11"/>
    <d v="2025-02-06T00:00:00"/>
    <x v="2"/>
    <x v="0"/>
    <x v="3"/>
    <s v="ENTREGUE"/>
    <d v="2024-12-19T00:00:00"/>
    <x v="0"/>
    <m/>
    <n v="0"/>
    <n v="0"/>
    <n v="0"/>
    <n v="0"/>
    <n v="0"/>
  </r>
  <r>
    <x v="0"/>
    <s v="BV45641"/>
    <s v="Pedido 572"/>
    <d v="2024-12-15T00:00:00"/>
    <x v="47"/>
    <s v="PedidoF559"/>
    <s v="CódRastreio557"/>
    <n v="1"/>
    <s v="CPF 555"/>
    <s v="Nome 555"/>
    <s v="Tel 555"/>
    <s v="Cep 555"/>
    <s v="Rua 555"/>
    <s v="Comp 555"/>
    <s v="Mini Liquidificador"/>
    <s v="CK-YL6M-P5Y6"/>
    <d v="2025-01-07T00:00:00"/>
    <n v="33.9"/>
    <n v="33.9"/>
    <n v="4.407"/>
    <n v="29.49"/>
    <n v="13.9"/>
    <n v="0.31"/>
    <n v="0.39877104377104378"/>
    <n v="0"/>
    <n v="14.881228956228954"/>
    <n v="7.440614478114477"/>
    <x v="48"/>
    <x v="51"/>
    <x v="10"/>
    <d v="2025-01-16T00:00:00"/>
    <x v="2"/>
    <x v="0"/>
    <x v="3"/>
    <s v="ENTREGUE"/>
    <d v="2025-01-10T00:00:00"/>
    <x v="0"/>
    <m/>
    <n v="0"/>
    <n v="0"/>
    <n v="0"/>
    <n v="0"/>
    <n v="0"/>
  </r>
  <r>
    <x v="0"/>
    <s v="BV45641"/>
    <s v="Pedido 573"/>
    <d v="2024-12-15T00:00:00"/>
    <x v="47"/>
    <s v="PedidoF560"/>
    <s v="CódRastreio558"/>
    <n v="1"/>
    <s v="CPF 556"/>
    <s v="Nome 556"/>
    <s v="Tel 556"/>
    <s v="Cep 556"/>
    <s v="Rua 556"/>
    <s v="Comp 556"/>
    <s v="Ventilador Rosa"/>
    <s v="IF-G2ZQ-79FO"/>
    <d v="2025-01-15T00:00:00"/>
    <n v="54.8"/>
    <n v="54.8"/>
    <n v="7.1239999999999997"/>
    <n v="47.68"/>
    <n v="12.2"/>
    <n v="0.31"/>
    <n v="0.39877104377104378"/>
    <n v="0"/>
    <n v="34.771228956228953"/>
    <n v="17.385614478114476"/>
    <x v="46"/>
    <x v="49"/>
    <x v="12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1"/>
    <s v="Pedido 574"/>
    <d v="2024-12-15T00:00:00"/>
    <x v="47"/>
    <s v="PedidoF561"/>
    <s v="CódRastreio559"/>
    <n v="1"/>
    <s v="CPF 557"/>
    <s v="Nome 557"/>
    <s v="Tel 557"/>
    <s v="Cep 557"/>
    <s v="Rua 557"/>
    <s v="Comp 557"/>
    <s v="Ventilador Preto"/>
    <s v="MU-J80P-95WF"/>
    <d v="2025-01-09T00:00:00"/>
    <n v="65.599999999999994"/>
    <n v="65.599999999999994"/>
    <n v="8.5279999999999987"/>
    <n v="57.07"/>
    <n v="0"/>
    <n v="0.31"/>
    <n v="0.39877104377104378"/>
    <n v="0"/>
    <n v="56.361228956228956"/>
    <n v="28.180614478114478"/>
    <x v="41"/>
    <x v="44"/>
    <x v="11"/>
    <d v="2025-02-06T00:00:00"/>
    <x v="2"/>
    <x v="0"/>
    <x v="3"/>
    <s v="ENTREGUE"/>
    <d v="2024-12-20T00:00:00"/>
    <x v="0"/>
    <m/>
    <n v="1.71"/>
    <n v="0"/>
    <n v="0"/>
    <n v="0"/>
    <n v="1.71"/>
  </r>
  <r>
    <x v="0"/>
    <s v="BV45641"/>
    <s v="Pedido 575"/>
    <d v="2024-12-15T00:00:00"/>
    <x v="47"/>
    <s v="PedidoF562"/>
    <s v="CódRastreio560"/>
    <n v="1"/>
    <s v="CPF 558"/>
    <s v="Nome 558"/>
    <s v="Tel 558"/>
    <s v="Cep 558"/>
    <s v="Rua 558"/>
    <s v="Comp 558"/>
    <s v="Ventilador Azul"/>
    <s v="U8-2VWS-OB6M"/>
    <d v="2025-01-09T00:00:00"/>
    <n v="65.599999999999994"/>
    <n v="65.599999999999994"/>
    <n v="8.5279999999999987"/>
    <n v="57.07"/>
    <n v="17.350000000000001"/>
    <n v="0.31"/>
    <n v="0.39877104377104378"/>
    <n v="0"/>
    <n v="39.011228956228955"/>
    <n v="19.505614478114477"/>
    <x v="41"/>
    <x v="44"/>
    <x v="11"/>
    <d v="2025-02-06T00:00:00"/>
    <x v="2"/>
    <x v="0"/>
    <x v="3"/>
    <s v="ENTREGUE"/>
    <d v="2024-12-27T00:00:00"/>
    <x v="0"/>
    <m/>
    <n v="0"/>
    <n v="0"/>
    <n v="0"/>
    <n v="0"/>
    <n v="0"/>
  </r>
  <r>
    <x v="0"/>
    <s v="BV45642"/>
    <s v="Pedido 576"/>
    <d v="2024-12-16T00:00:00"/>
    <x v="46"/>
    <s v="PedidoF563"/>
    <s v="CódRastreio561"/>
    <n v="1"/>
    <s v="CPF 559"/>
    <s v="Nome 559"/>
    <s v="Tel 559"/>
    <s v="Cep 559"/>
    <s v="Rua 559"/>
    <s v="Comp 559"/>
    <s v="Ventilador Preto"/>
    <s v="MU-J80P-95WF"/>
    <d v="2025-01-10T00:00:00"/>
    <n v="65.599999999999994"/>
    <n v="65.599999999999994"/>
    <n v="8.5279999999999987"/>
    <n v="57.07"/>
    <n v="19.52"/>
    <n v="0.15"/>
    <n v="0.39877104377104378"/>
    <n v="0"/>
    <n v="37.001228956228957"/>
    <n v="18.500614478114478"/>
    <x v="42"/>
    <x v="45"/>
    <x v="11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2"/>
    <s v="Pedido 577"/>
    <d v="2024-12-16T00:00:00"/>
    <x v="46"/>
    <s v="PedidoF564"/>
    <s v="CódRastreio562"/>
    <n v="1"/>
    <s v="CPF 560"/>
    <s v="Nome 560"/>
    <s v="Tel 560"/>
    <s v="Cep 560"/>
    <s v="Rua 560"/>
    <s v="Comp 560"/>
    <s v="Ventilador Rosa"/>
    <s v="IF-G2ZQ-79FO"/>
    <d v="2025-01-16T00:00:00"/>
    <n v="54.8"/>
    <n v="54.8"/>
    <n v="7.1239999999999997"/>
    <n v="47.68"/>
    <n v="18.940000000000001"/>
    <n v="0.15"/>
    <n v="0.39877104377104378"/>
    <n v="0"/>
    <n v="28.191228956228954"/>
    <n v="14.095614478114477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2"/>
    <s v="Pedido 578"/>
    <d v="2024-12-16T00:00:00"/>
    <x v="46"/>
    <s v="PedidoF565"/>
    <s v="CódRastreio563"/>
    <n v="1"/>
    <s v="CPF 504"/>
    <s v="Nome 504"/>
    <s v="Tel 504"/>
    <s v="Cep 504"/>
    <s v="Rua 504"/>
    <s v="Comp 504"/>
    <s v="Ventilador Preto"/>
    <s v="MU-J80P-95WF"/>
    <d v="2025-01-10T00:00:00"/>
    <n v="65.599999999999994"/>
    <n v="65.599999999999994"/>
    <n v="8.5279999999999987"/>
    <n v="57.07"/>
    <n v="19.52"/>
    <n v="0.15"/>
    <n v="0.39877104377104378"/>
    <n v="0"/>
    <n v="37.001228956228957"/>
    <n v="18.500614478114478"/>
    <x v="42"/>
    <x v="45"/>
    <x v="11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2"/>
    <s v="Pedido 579"/>
    <d v="2024-12-16T00:00:00"/>
    <x v="46"/>
    <s v="PedidoF566"/>
    <s v="CódRastreio564"/>
    <n v="1"/>
    <s v="CPF 561"/>
    <s v="Nome 561"/>
    <s v="Tel 561"/>
    <s v="Cep 561"/>
    <s v="Rua 561"/>
    <s v="Comp 561"/>
    <s v="Ventilador Preto"/>
    <s v="MU-J80P-95WF"/>
    <d v="2025-01-10T00:00:00"/>
    <n v="65.599999999999994"/>
    <n v="65.599999999999994"/>
    <n v="8.5279999999999987"/>
    <n v="57.07"/>
    <n v="19.53"/>
    <n v="0.15"/>
    <n v="0.39877104377104378"/>
    <n v="0"/>
    <n v="36.991228956228952"/>
    <n v="18.495614478114476"/>
    <x v="42"/>
    <x v="45"/>
    <x v="11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2"/>
    <s v="Pedido 580"/>
    <d v="2024-12-16T00:00:00"/>
    <x v="46"/>
    <s v="PedidoF567"/>
    <s v="CódRastreio565"/>
    <n v="1"/>
    <s v="CPF 562"/>
    <s v="Nome 562"/>
    <s v="Tel 562"/>
    <s v="Cep 562"/>
    <s v="Rua 562"/>
    <s v="Comp 562"/>
    <s v="Ventilador Preto"/>
    <s v="MU-J80P-95WF"/>
    <d v="2025-01-16T00:00:00"/>
    <n v="65.599999999999994"/>
    <n v="65.599999999999994"/>
    <n v="8.5279999999999987"/>
    <n v="57.07"/>
    <n v="19.53"/>
    <n v="0.15"/>
    <n v="0.39877104377104378"/>
    <n v="0"/>
    <n v="36.991228956228952"/>
    <n v="18.495614478114476"/>
    <x v="47"/>
    <x v="50"/>
    <x v="13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2"/>
    <s v="Pedido 581"/>
    <d v="2024-12-16T00:00:00"/>
    <x v="46"/>
    <s v="PedidoF568"/>
    <s v="CódRastreio566"/>
    <n v="1"/>
    <s v="CPF 563"/>
    <s v="Nome 563"/>
    <s v="Tel 563"/>
    <s v="Cep 563"/>
    <s v="Rua 563"/>
    <s v="Comp 563"/>
    <s v="Ventilador Azul"/>
    <s v="U8-2VWS-OB6M"/>
    <d v="2025-01-10T00:00:00"/>
    <n v="65.599999999999994"/>
    <n v="65.599999999999994"/>
    <n v="8.5279999999999987"/>
    <n v="57.07"/>
    <n v="18.940000000000001"/>
    <n v="0.15"/>
    <n v="0.39877104377104378"/>
    <n v="0"/>
    <n v="37.581228956228955"/>
    <n v="18.790614478114477"/>
    <x v="42"/>
    <x v="45"/>
    <x v="11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2"/>
    <s v="Pedido 582"/>
    <d v="2024-12-16T00:00:00"/>
    <x v="46"/>
    <s v="PedidoF569"/>
    <s v="CódRastreio567"/>
    <n v="1"/>
    <s v="CPF 564"/>
    <s v="Nome 564"/>
    <s v="Tel 564"/>
    <s v="Cep 564"/>
    <s v="Rua 564"/>
    <s v="Comp 564"/>
    <s v="Ventilador Rosa"/>
    <s v="IF-G2ZQ-79FO"/>
    <d v="2025-01-16T00:00:00"/>
    <n v="54.8"/>
    <n v="54.8"/>
    <n v="7.1239999999999997"/>
    <n v="47.68"/>
    <n v="18.940000000000001"/>
    <n v="0.15"/>
    <n v="0.39877104377104378"/>
    <n v="0"/>
    <n v="28.191228956228954"/>
    <n v="14.095614478114477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2"/>
    <s v="Pedido 583"/>
    <d v="2024-12-16T00:00:00"/>
    <x v="46"/>
    <s v="PedidoF570"/>
    <s v="CódRastreio568"/>
    <n v="1"/>
    <s v="CPF 565"/>
    <s v="Nome 565"/>
    <s v="Tel 565"/>
    <s v="Cep 565"/>
    <s v="Rua 565"/>
    <s v="Comp 565"/>
    <s v="Ventilador Rosa"/>
    <s v="IF-G2ZQ-79FO"/>
    <d v="2025-01-16T00:00:00"/>
    <n v="54.8"/>
    <n v="54.8"/>
    <n v="7.1239999999999997"/>
    <n v="47.68"/>
    <n v="18.940000000000001"/>
    <n v="0.15"/>
    <n v="0.39877104377104378"/>
    <n v="0"/>
    <n v="28.191228956228954"/>
    <n v="14.095614478114477"/>
    <x v="47"/>
    <x v="50"/>
    <x v="13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2"/>
    <s v="Pedido 584"/>
    <d v="2024-12-16T00:00:00"/>
    <x v="46"/>
    <s v="PedidoF571"/>
    <s v="CódRastreio569"/>
    <n v="1"/>
    <s v="CPF 566"/>
    <s v="Nome 566"/>
    <s v="Tel 566"/>
    <s v="Cep 566"/>
    <s v="Rua 566"/>
    <s v="Comp 566"/>
    <s v="Ventilador Preto"/>
    <s v="MU-J80P-95WF"/>
    <d v="2025-01-10T00:00:00"/>
    <n v="65.599999999999994"/>
    <n v="65.599999999999994"/>
    <n v="8.5279999999999987"/>
    <n v="57.07"/>
    <n v="19.53"/>
    <n v="0.15"/>
    <n v="0.39877104377104378"/>
    <n v="0"/>
    <n v="36.991228956228952"/>
    <n v="18.495614478114476"/>
    <x v="42"/>
    <x v="45"/>
    <x v="11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3"/>
    <s v="Pedido 585"/>
    <d v="2024-12-17T00:00:00"/>
    <x v="48"/>
    <s v="PedidoF572"/>
    <s v="CódRastreio570"/>
    <n v="1"/>
    <s v="CPF 567"/>
    <s v="Nome 567"/>
    <s v="Tel 567"/>
    <s v="Cep 567"/>
    <s v="Rua 567"/>
    <s v="Comp 567"/>
    <s v="Ventilador Preto"/>
    <s v="MU-J80P-95WF"/>
    <d v="2025-01-11T00:00:00"/>
    <n v="65.599999999999994"/>
    <n v="65.599999999999994"/>
    <n v="8.5279999999999987"/>
    <n v="57.07"/>
    <n v="17.14"/>
    <n v="0.2"/>
    <n v="0.39877104377104378"/>
    <n v="0"/>
    <n v="39.331228956228955"/>
    <n v="19.665614478114477"/>
    <x v="44"/>
    <x v="47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3"/>
    <s v="Pedido 586"/>
    <d v="2024-12-17T00:00:00"/>
    <x v="48"/>
    <s v="PedidoF573"/>
    <s v="CódRastreio571"/>
    <n v="1"/>
    <s v="CPF 568"/>
    <s v="Nome 568"/>
    <s v="Tel 568"/>
    <s v="Cep 568"/>
    <s v="Rua 568"/>
    <s v="Comp 568"/>
    <s v="Ventilador Preto"/>
    <s v="MU-J80P-95WF"/>
    <d v="2025-01-11T00:00:00"/>
    <n v="65.599999999999994"/>
    <n v="65.599999999999994"/>
    <n v="8.5279999999999987"/>
    <n v="57.07"/>
    <n v="17.14"/>
    <n v="0.2"/>
    <n v="0.39877104377104378"/>
    <n v="0"/>
    <n v="39.331228956228955"/>
    <n v="19.665614478114477"/>
    <x v="44"/>
    <x v="47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3"/>
    <s v="Pedido 587"/>
    <d v="2024-12-17T00:00:00"/>
    <x v="48"/>
    <s v="PedidoF574"/>
    <s v="CódRastreio572"/>
    <n v="1"/>
    <s v="CPF 569"/>
    <s v="Nome 569"/>
    <s v="Tel 569"/>
    <s v="Cep 569"/>
    <s v="Rua 569"/>
    <s v="Comp 569"/>
    <s v="Ventilador Preto"/>
    <s v="MU-J80P-95WF"/>
    <d v="2025-01-11T00:00:00"/>
    <n v="65.599999999999994"/>
    <n v="65.599999999999994"/>
    <n v="8.5279999999999987"/>
    <n v="57.07"/>
    <n v="17.14"/>
    <n v="0.2"/>
    <n v="0.39877104377104378"/>
    <n v="0"/>
    <n v="39.331228956228955"/>
    <n v="19.665614478114477"/>
    <x v="44"/>
    <x v="47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5"/>
    <s v="Pedido 588"/>
    <d v="2024-12-19T00:00:00"/>
    <x v="49"/>
    <s v="PedidoF575"/>
    <s v="CódRastreio573"/>
    <n v="1"/>
    <s v="CPF 570"/>
    <s v="Nome 570"/>
    <s v="Tel 570"/>
    <s v="Cep 570"/>
    <s v="Rua 570"/>
    <s v="Comp 570"/>
    <s v="Ventilador Preto"/>
    <s v="MU-J80P-95WF"/>
    <d v="2025-01-14T00:00:00"/>
    <n v="65.599999999999994"/>
    <n v="65.599999999999994"/>
    <n v="8.5279999999999987"/>
    <n v="57.07"/>
    <n v="17.86"/>
    <n v="0.34"/>
    <n v="0.39877104377104378"/>
    <n v="0"/>
    <n v="38.471228956228956"/>
    <n v="19.235614478114478"/>
    <x v="50"/>
    <x v="53"/>
    <x v="12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5"/>
    <s v="Pedido 589"/>
    <d v="2024-12-19T00:00:00"/>
    <x v="49"/>
    <s v="PedidoF576"/>
    <s v="CódRastreio574"/>
    <n v="1"/>
    <s v="CPF 571"/>
    <s v="Nome 571"/>
    <s v="Tel 571"/>
    <s v="Cep 571"/>
    <s v="Rua 571"/>
    <s v="Comp 571"/>
    <s v="Adaptador Bluetooph"/>
    <s v="YA-AG3H-SPUK"/>
    <d v="2025-01-18T00:00:00"/>
    <n v="21.99"/>
    <n v="21.99"/>
    <n v="2.6387999999999998"/>
    <n v="19.350000000000001"/>
    <n v="6.99"/>
    <n v="0.34"/>
    <n v="0.39877104377104378"/>
    <n v="0"/>
    <n v="11.621228956228958"/>
    <n v="5.8106144781144788"/>
    <x v="49"/>
    <x v="52"/>
    <x v="13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5"/>
    <s v="Pedido 590"/>
    <d v="2024-12-19T00:00:00"/>
    <x v="49"/>
    <s v="PedidoF577"/>
    <s v="CódRastreio575"/>
    <n v="1"/>
    <s v="CPF 572"/>
    <s v="Nome 572"/>
    <s v="Tel 572"/>
    <s v="Cep 572"/>
    <s v="Rua 572"/>
    <s v="Comp 572"/>
    <s v="Ventilador Preto"/>
    <s v="MU-J80P-95WF"/>
    <d v="2025-01-14T00:00:00"/>
    <n v="65.599999999999994"/>
    <n v="65.599999999999994"/>
    <n v="8.5279999999999987"/>
    <n v="57.07"/>
    <n v="17.86"/>
    <n v="0.34"/>
    <n v="0.39877104377104378"/>
    <n v="0"/>
    <n v="38.471228956228956"/>
    <n v="19.235614478114478"/>
    <x v="50"/>
    <x v="53"/>
    <x v="12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5"/>
    <s v="Pedido 591"/>
    <d v="2024-12-19T00:00:00"/>
    <x v="49"/>
    <s v="PedidoF578"/>
    <s v="CódRastreio576"/>
    <n v="1"/>
    <s v="CPF 573"/>
    <s v="Nome 573"/>
    <s v="Tel 573"/>
    <s v="Cep 573"/>
    <s v="Rua 573"/>
    <s v="Comp 573"/>
    <s v="Ventilador de teto"/>
    <s v="BP-NHG2-B8C1"/>
    <d v="2025-01-21T00:00:00"/>
    <n v="74.989999999999995"/>
    <n v="74.989999999999995"/>
    <n v="9.7486999999999995"/>
    <n v="65.239999999999995"/>
    <n v="34.42"/>
    <n v="0.34"/>
    <n v="0.39877104377104378"/>
    <n v="0"/>
    <n v="30.081228956228948"/>
    <n v="15.040614478114474"/>
    <x v="52"/>
    <x v="55"/>
    <x v="13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5"/>
    <s v="Pedido 592"/>
    <d v="2024-12-19T00:00:00"/>
    <x v="49"/>
    <s v="PedidoF579"/>
    <s v="CódRastreio577"/>
    <n v="1"/>
    <s v="CPF 574"/>
    <s v="Nome 574"/>
    <s v="Tel 574"/>
    <s v="Cep 574"/>
    <s v="Rua 574"/>
    <s v="Comp 574"/>
    <s v="Adaptador Bluetooph"/>
    <s v="YA-AG3H-SPUK"/>
    <d v="2025-01-09T00:00:00"/>
    <n v="21.99"/>
    <n v="21.99"/>
    <n v="2.6387999999999998"/>
    <n v="19.350000000000001"/>
    <n v="6.99"/>
    <n v="0.34"/>
    <n v="0.39877104377104378"/>
    <n v="0"/>
    <n v="11.621228956228958"/>
    <n v="5.8106144781144788"/>
    <x v="41"/>
    <x v="44"/>
    <x v="11"/>
    <d v="2025-02-06T00:00:00"/>
    <x v="2"/>
    <x v="0"/>
    <x v="3"/>
    <s v="ENTREGUE"/>
    <d v="2024-12-26T00:00:00"/>
    <x v="0"/>
    <m/>
    <n v="0"/>
    <n v="0"/>
    <n v="0"/>
    <n v="0"/>
    <n v="0"/>
  </r>
  <r>
    <x v="0"/>
    <s v="BV45645"/>
    <s v="Pedido 593"/>
    <d v="2024-12-19T00:00:00"/>
    <x v="49"/>
    <s v="PedidoF580"/>
    <s v="CódRastreio578"/>
    <n v="1"/>
    <s v="CPF 575"/>
    <s v="Nome 575"/>
    <s v="Tel 575"/>
    <s v="Cep 575"/>
    <s v="Rua 575"/>
    <s v="Comp 575"/>
    <s v="Adaptador Bluetooph"/>
    <s v="YA-AG3H-SPUK"/>
    <d v="2025-01-15T00:00:00"/>
    <n v="21.99"/>
    <n v="21.99"/>
    <n v="2.6387999999999998"/>
    <n v="19.350000000000001"/>
    <n v="6.99"/>
    <n v="0.34"/>
    <n v="0.39877104377104378"/>
    <n v="0"/>
    <n v="11.621228956228958"/>
    <n v="5.8106144781144788"/>
    <x v="46"/>
    <x v="49"/>
    <x v="12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5"/>
    <s v="Pedido 594"/>
    <d v="2024-12-19T00:00:00"/>
    <x v="49"/>
    <s v="PedidoF581"/>
    <s v="CódRastreio579"/>
    <n v="1"/>
    <s v="CPF 576"/>
    <s v="Nome 576"/>
    <s v="Tel 576"/>
    <s v="Cep 576"/>
    <s v="Rua 576"/>
    <s v="Comp 576"/>
    <s v="Adaptador Bluetooph"/>
    <s v="YA-AG3H-SPUK"/>
    <d v="2025-01-09T00:00:00"/>
    <n v="21.99"/>
    <n v="21.99"/>
    <n v="2.6387999999999998"/>
    <n v="19.350000000000001"/>
    <n v="6.99"/>
    <n v="0.34"/>
    <n v="0.39877104377104378"/>
    <n v="0"/>
    <n v="11.621228956228958"/>
    <n v="5.8106144781144788"/>
    <x v="41"/>
    <x v="44"/>
    <x v="11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5"/>
    <s v="Pedido 595"/>
    <d v="2024-12-19T00:00:00"/>
    <x v="49"/>
    <s v="PedidoF582"/>
    <s v="CódRastreio580"/>
    <n v="1"/>
    <s v="CPF 577"/>
    <s v="Nome 577"/>
    <s v="Tel 577"/>
    <s v="Cep 577"/>
    <s v="Rua 577"/>
    <s v="Comp 577"/>
    <s v="Mini Liquidificador"/>
    <s v="CK-YL6M-P5Y6"/>
    <d v="2025-01-09T00:00:00"/>
    <n v="33.9"/>
    <n v="33.9"/>
    <n v="4.407"/>
    <n v="29.49"/>
    <n v="6.99"/>
    <n v="0.34"/>
    <n v="0.39877104377104378"/>
    <n v="0"/>
    <n v="21.761228956228955"/>
    <n v="10.880614478114477"/>
    <x v="41"/>
    <x v="44"/>
    <x v="11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7"/>
    <s v="Pedido 596"/>
    <d v="2024-12-21T00:00:00"/>
    <x v="50"/>
    <s v="PedidoF583"/>
    <s v="CódRastreio581"/>
    <n v="1"/>
    <s v="CPF 578"/>
    <s v="Nome 578"/>
    <s v="Tel 578"/>
    <s v="Cep 578"/>
    <s v="Rua 578"/>
    <s v="Comp 578"/>
    <s v="Ventilador Azul"/>
    <s v="U8-2VWS-OB6M"/>
    <d v="2025-01-22T00:00:00"/>
    <n v="65.599999999999994"/>
    <n v="65.599999999999994"/>
    <n v="8.5279999999999987"/>
    <n v="57.07"/>
    <n v="16.05"/>
    <n v="0.24"/>
    <n v="0.39877104377104378"/>
    <n v="0"/>
    <n v="40.381228956228952"/>
    <n v="20.190614478114476"/>
    <x v="51"/>
    <x v="54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7"/>
    <s v="Pedido 597"/>
    <d v="2024-12-21T00:00:00"/>
    <x v="50"/>
    <s v="PedidoF584"/>
    <s v="CódRastreio582"/>
    <n v="1"/>
    <s v="CPF 579"/>
    <s v="Nome 579"/>
    <s v="Tel 579"/>
    <s v="Cep 579"/>
    <s v="Rua 579"/>
    <s v="Comp 579"/>
    <s v="Ventilador Preto"/>
    <s v="MU-J80P-95WF"/>
    <d v="2025-01-29T00:00:00"/>
    <n v="65.599999999999994"/>
    <n v="65.599999999999994"/>
    <n v="8.5279999999999987"/>
    <n v="57.07"/>
    <n v="16.7"/>
    <n v="0.24"/>
    <n v="0.39877104377104378"/>
    <n v="0"/>
    <n v="39.731228956228961"/>
    <n v="19.86561447811448"/>
    <x v="53"/>
    <x v="56"/>
    <x v="14"/>
    <d v="2025-02-17T00:00:00"/>
    <x v="3"/>
    <x v="0"/>
    <x v="3"/>
    <s v="ENTREGUE"/>
    <d v="2025-02-04T00:00:00"/>
    <x v="0"/>
    <m/>
    <n v="0"/>
    <n v="0"/>
    <n v="0"/>
    <n v="0"/>
    <n v="0"/>
  </r>
  <r>
    <x v="0"/>
    <s v="BV45647"/>
    <s v="Pedido 598"/>
    <d v="2024-12-21T00:00:00"/>
    <x v="50"/>
    <s v="PedidoF585"/>
    <s v="CódRastreio583"/>
    <n v="1"/>
    <s v="CPF 580"/>
    <s v="Nome 580"/>
    <s v="Tel 580"/>
    <s v="Cep 580"/>
    <s v="Rua 580"/>
    <s v="Comp 580"/>
    <s v="Mini Mixer Misturador"/>
    <s v="FK-T01D-KZC5"/>
    <d v="2025-01-16T00:00:00"/>
    <n v="21.99"/>
    <n v="21.99"/>
    <n v="2.8586999999999998"/>
    <n v="19.13"/>
    <n v="6.99"/>
    <n v="0.24"/>
    <n v="0.39877104377104378"/>
    <n v="0"/>
    <n v="11.501228956228955"/>
    <n v="5.7506144781144775"/>
    <x v="47"/>
    <x v="50"/>
    <x v="13"/>
    <d v="2025-02-06T00:00:00"/>
    <x v="2"/>
    <x v="0"/>
    <x v="3"/>
    <s v="ENTREGUE"/>
    <d v="2025-01-02T00:00:00"/>
    <x v="0"/>
    <m/>
    <n v="0"/>
    <n v="0"/>
    <n v="0"/>
    <n v="0"/>
    <n v="0"/>
  </r>
  <r>
    <x v="0"/>
    <s v="BV45647"/>
    <s v="Pedido 599"/>
    <d v="2024-12-21T00:00:00"/>
    <x v="50"/>
    <s v="PedidoF586"/>
    <s v="CódRastreio584"/>
    <n v="1"/>
    <s v="CPF 581"/>
    <s v="Nome 581"/>
    <s v="Tel 581"/>
    <s v="Cep 581"/>
    <s v="Rua 581"/>
    <s v="Comp 581"/>
    <s v="Adaptador Bluetooph"/>
    <s v="YA-AG3H-SPUK"/>
    <d v="2025-01-16T00:00:00"/>
    <n v="21.99"/>
    <n v="21.99"/>
    <n v="2.6387999999999998"/>
    <n v="19.350000000000001"/>
    <n v="6.99"/>
    <n v="0.24"/>
    <n v="0.39877104377104378"/>
    <n v="0"/>
    <n v="11.721228956228957"/>
    <n v="5.8606144781144787"/>
    <x v="47"/>
    <x v="50"/>
    <x v="13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7"/>
    <s v="Pedido 600"/>
    <d v="2024-12-21T00:00:00"/>
    <x v="50"/>
    <s v="PedidoF587"/>
    <s v="CódRastreio585"/>
    <n v="1"/>
    <s v="CPF 582"/>
    <s v="Nome 582"/>
    <s v="Tel 582"/>
    <s v="Cep 582"/>
    <s v="Rua 582"/>
    <s v="Comp 582"/>
    <s v="Adaptador Bluetooph"/>
    <s v="YA-AG3H-SPUK"/>
    <d v="2025-01-16T00:00:00"/>
    <n v="21.99"/>
    <n v="21.99"/>
    <n v="2.6387999999999998"/>
    <n v="19.350000000000001"/>
    <n v="6.99"/>
    <n v="0.24"/>
    <n v="0.39877104377104378"/>
    <n v="0"/>
    <n v="11.721228956228957"/>
    <n v="5.8606144781144787"/>
    <x v="47"/>
    <x v="50"/>
    <x v="13"/>
    <d v="2025-02-06T00:00:00"/>
    <x v="2"/>
    <x v="0"/>
    <x v="3"/>
    <s v="ENTREGUE"/>
    <d v="2025-01-03T00:00:00"/>
    <x v="0"/>
    <m/>
    <n v="0"/>
    <n v="0"/>
    <n v="0"/>
    <n v="0"/>
    <n v="0"/>
  </r>
  <r>
    <x v="0"/>
    <s v="BV45648"/>
    <s v="Pedido 601"/>
    <d v="2024-12-22T00:00:00"/>
    <x v="51"/>
    <s v="PedidoF588"/>
    <s v="CódRastreio586"/>
    <n v="1"/>
    <s v="CPF 583"/>
    <s v="Nome 583"/>
    <s v="Tel 583"/>
    <s v="Cep 583"/>
    <s v="Rua 583"/>
    <s v="Comp 583"/>
    <s v="Ventilador Rosa"/>
    <s v="IF-G2ZQ-79FO"/>
    <d v="2025-01-22T00:00:00"/>
    <n v="49.4"/>
    <n v="49.4"/>
    <n v="6.4219999999999997"/>
    <n v="42.98"/>
    <n v="16.05"/>
    <n v="0.3"/>
    <n v="0.39877104377104378"/>
    <n v="0"/>
    <n v="26.23122895622895"/>
    <n v="13.115614478114475"/>
    <x v="51"/>
    <x v="54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8"/>
    <s v="Pedido 602"/>
    <d v="2024-12-22T00:00:00"/>
    <x v="51"/>
    <s v="PedidoF589"/>
    <s v="CódRastreio587"/>
    <n v="1"/>
    <s v="CPF 584"/>
    <s v="Nome 584"/>
    <s v="Tel 584"/>
    <s v="Cep 584"/>
    <s v="Rua 584"/>
    <s v="Comp 584"/>
    <s v="Ventilador Rosa"/>
    <s v="IF-G2ZQ-79FO"/>
    <d v="2025-01-22T00:00:00"/>
    <n v="49.4"/>
    <n v="49.4"/>
    <n v="6.4219999999999997"/>
    <n v="42.98"/>
    <n v="16.05"/>
    <n v="0.3"/>
    <n v="0.39877104377104378"/>
    <n v="0"/>
    <n v="26.23122895622895"/>
    <n v="13.115614478114475"/>
    <x v="51"/>
    <x v="54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3"/>
    <s v="Pedido 603"/>
    <d v="2024-12-27T00:00:00"/>
    <x v="52"/>
    <s v="PedidoF590"/>
    <s v="CódRastreio588"/>
    <n v="1"/>
    <s v="CPF 585"/>
    <s v="Nome 585"/>
    <s v="Tel 585"/>
    <s v="Cep 585"/>
    <s v="Rua 585"/>
    <s v="Comp 585"/>
    <s v="Ventilador Preto"/>
    <s v="MU-J80P-95WF"/>
    <d v="2025-01-16T00:00:00"/>
    <n v="65.599999999999994"/>
    <n v="65.599999999999994"/>
    <n v="8.5279999999999987"/>
    <n v="57.07"/>
    <n v="17.399999999999999"/>
    <n v="0.25"/>
    <n v="0.39877104377104378"/>
    <n v="0"/>
    <n v="39.021228956228953"/>
    <n v="19.510614478114476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-"/>
    <s v="Pedido 604"/>
    <d v="2024-12-01T00:00:00"/>
    <x v="0"/>
    <s v="-"/>
    <s v="-"/>
    <n v="1"/>
    <s v="CPF 586"/>
    <s v="Nome 586"/>
    <s v="Tel 586"/>
    <s v="Cep 586"/>
    <s v="Rua 586"/>
    <s v="Comp 586"/>
    <s v="Ventilador Azul"/>
    <s v="U8-2VWS-OB6M"/>
    <d v="2025-01-22T00:00:00"/>
    <n v="65.599999999999994"/>
    <n v="65.599999999999994"/>
    <n v="8.5279999999999987"/>
    <n v="57.07"/>
    <n v="0"/>
    <n v="0"/>
    <n v="0"/>
    <n v="0"/>
    <n v="57.07"/>
    <n v="28.535"/>
    <x v="51"/>
    <x v="54"/>
    <x v="13"/>
    <d v="2025-02-06T00:00:00"/>
    <x v="2"/>
    <x v="0"/>
    <x v="0"/>
    <s v="-"/>
    <s v="-"/>
    <x v="0"/>
    <m/>
    <n v="1.49"/>
    <n v="0"/>
    <n v="0"/>
    <n v="0"/>
    <n v="1.49"/>
  </r>
  <r>
    <x v="0"/>
    <s v="BV-"/>
    <s v="Pedido 604"/>
    <d v="2024-12-01T00:00:00"/>
    <x v="0"/>
    <s v="-"/>
    <s v="-"/>
    <n v="1"/>
    <s v="CPF 586"/>
    <s v="Nome 586"/>
    <s v="Tel 586"/>
    <s v="Cep 586"/>
    <s v="Rua 586"/>
    <s v="Comp 586"/>
    <s v="Ventilador Rosa"/>
    <s v="IF-G2ZQ-79FO"/>
    <d v="2025-01-22T00:00:00"/>
    <n v="49.4"/>
    <n v="49.4"/>
    <n v="6.4219999999999997"/>
    <n v="42.98"/>
    <n v="0"/>
    <n v="0"/>
    <n v="0"/>
    <n v="0"/>
    <n v="42.98"/>
    <n v="21.49"/>
    <x v="51"/>
    <x v="54"/>
    <x v="13"/>
    <d v="2025-02-06T00:00:00"/>
    <x v="2"/>
    <x v="0"/>
    <x v="0"/>
    <s v="-"/>
    <s v="-"/>
    <x v="0"/>
    <m/>
    <n v="1.5"/>
    <n v="0"/>
    <n v="0"/>
    <n v="0"/>
    <n v="1.5"/>
  </r>
  <r>
    <x v="0"/>
    <s v="BV45648"/>
    <s v="Pedido 605"/>
    <d v="2024-12-22T00:00:00"/>
    <x v="51"/>
    <s v="PedidoF591"/>
    <s v="CódRastreio589"/>
    <n v="1"/>
    <s v="CPF 481"/>
    <s v="Nome 481"/>
    <s v="Tel 481"/>
    <s v="Cep 481"/>
    <s v="Rua 481"/>
    <s v="Comp 481"/>
    <s v="Ventilador Preto"/>
    <s v="MU-J80P-95WF"/>
    <d v="2025-01-16T00:00:00"/>
    <n v="65.599999999999994"/>
    <n v="65.599999999999994"/>
    <n v="8.5279999999999987"/>
    <n v="57.07"/>
    <n v="16.7"/>
    <n v="0.3"/>
    <n v="0.39877104377104378"/>
    <n v="0"/>
    <n v="39.671228956228958"/>
    <n v="19.835614478114479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8"/>
    <s v="Pedido 606"/>
    <d v="2024-12-22T00:00:00"/>
    <x v="51"/>
    <s v="PedidoF592"/>
    <s v="CódRastreio590"/>
    <n v="1"/>
    <s v="CPF 587"/>
    <s v="Nome 587"/>
    <s v="Tel 587"/>
    <s v="Cep 587"/>
    <s v="Rua 587"/>
    <s v="Comp 587"/>
    <s v="Ventilador Rosa"/>
    <s v="IF-G2ZQ-79FO"/>
    <d v="2025-01-16T00:00:00"/>
    <n v="49.4"/>
    <n v="49.4"/>
    <n v="6.4219999999999997"/>
    <n v="42.98"/>
    <n v="16.05"/>
    <n v="0.3"/>
    <n v="0.39877104377104378"/>
    <n v="0"/>
    <n v="26.23122895622895"/>
    <n v="13.115614478114475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8"/>
    <s v="Pedido 607"/>
    <d v="2024-12-22T00:00:00"/>
    <x v="51"/>
    <s v="PedidoF593"/>
    <s v="CódRastreio591"/>
    <n v="1"/>
    <s v="CPF 588"/>
    <s v="Nome 588"/>
    <s v="Tel 588"/>
    <s v="Cep 588"/>
    <s v="Rua 588"/>
    <s v="Comp 588"/>
    <s v="Copo Termico"/>
    <s v="KN-TBQL-K2MM"/>
    <d v="2025-01-16T00:00:00"/>
    <n v="24.8"/>
    <n v="24.8"/>
    <n v="3.2240000000000002"/>
    <n v="21.58"/>
    <n v="9.1999999999999993"/>
    <n v="0.3"/>
    <n v="0.39877104377104378"/>
    <n v="0"/>
    <n v="11.681228956228955"/>
    <n v="5.8406144781144773"/>
    <x v="47"/>
    <x v="50"/>
    <x v="13"/>
    <d v="2025-02-06T00:00:00"/>
    <x v="2"/>
    <x v="0"/>
    <x v="3"/>
    <s v="ENTREGUE"/>
    <d v="2024-12-30T00:00:00"/>
    <x v="0"/>
    <m/>
    <n v="0"/>
    <n v="0"/>
    <n v="0"/>
    <n v="0"/>
    <n v="0"/>
  </r>
  <r>
    <x v="0"/>
    <s v="BV45648"/>
    <s v="Pedido 608"/>
    <d v="2024-12-22T00:00:00"/>
    <x v="51"/>
    <s v="PedidoF594"/>
    <s v="CódRastreio592"/>
    <n v="1"/>
    <s v="CPF 589"/>
    <s v="Nome 589"/>
    <s v="Tel 589"/>
    <s v="Cep 589"/>
    <s v="Rua 589"/>
    <s v="Comp 589"/>
    <s v="Ventilador Rosa"/>
    <s v="IF-G2ZQ-79FO"/>
    <d v="2025-01-16T00:00:00"/>
    <n v="49.4"/>
    <n v="49.4"/>
    <n v="6.4219999999999997"/>
    <n v="42.98"/>
    <n v="16.05"/>
    <n v="0.3"/>
    <n v="0.39877104377104378"/>
    <n v="0"/>
    <n v="26.23122895622895"/>
    <n v="13.115614478114475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48"/>
    <s v="Pedido 609"/>
    <d v="2024-12-22T00:00:00"/>
    <x v="51"/>
    <s v="PedidoF595"/>
    <s v="CódRastreio593"/>
    <n v="1"/>
    <s v="CPF 590"/>
    <s v="Nome 590"/>
    <s v="Tel 590"/>
    <s v="Cep 590"/>
    <s v="Rua 590"/>
    <s v="Comp 590"/>
    <s v="Ventilador Preto"/>
    <s v="MU-J80P-95WF"/>
    <d v="2025-01-16T00:00:00"/>
    <n v="65.599999999999994"/>
    <n v="65.599999999999994"/>
    <n v="8.5279999999999987"/>
    <n v="57.07"/>
    <n v="16.7"/>
    <n v="0.3"/>
    <n v="0.39877104377104378"/>
    <n v="0"/>
    <n v="39.671228956228958"/>
    <n v="19.835614478114479"/>
    <x v="47"/>
    <x v="50"/>
    <x v="13"/>
    <d v="2025-02-06T00:00:00"/>
    <x v="2"/>
    <x v="0"/>
    <x v="3"/>
    <s v="ENTREGUE"/>
    <d v="2025-01-10T00:00:00"/>
    <x v="0"/>
    <m/>
    <n v="0"/>
    <n v="0"/>
    <n v="0"/>
    <n v="0"/>
    <n v="0"/>
  </r>
  <r>
    <x v="0"/>
    <s v="BV-"/>
    <s v="Pedido 610"/>
    <d v="2024-12-01T00:00:00"/>
    <x v="0"/>
    <s v="-"/>
    <s v="-"/>
    <n v="1"/>
    <s v="CPF 591"/>
    <s v="Nome 591"/>
    <s v="Tel 591"/>
    <s v="Cep 591"/>
    <s v="Rua 591"/>
    <s v="Comp 591"/>
    <s v="Mini Liquidificador"/>
    <s v="CK-YL6M-P5Y6"/>
    <d v="2025-01-10T00:00:00"/>
    <n v="33.9"/>
    <n v="33.9"/>
    <n v="4.407"/>
    <n v="29.49"/>
    <n v="0"/>
    <n v="0"/>
    <n v="0"/>
    <n v="0"/>
    <n v="29.49"/>
    <n v="14.744999999999999"/>
    <x v="42"/>
    <x v="45"/>
    <x v="11"/>
    <d v="2025-02-06T00:00:00"/>
    <x v="2"/>
    <x v="0"/>
    <x v="0"/>
    <s v="-"/>
    <s v="-"/>
    <x v="0"/>
    <m/>
    <n v="0.95"/>
    <n v="0"/>
    <n v="0"/>
    <n v="0"/>
    <n v="0.95"/>
  </r>
  <r>
    <x v="0"/>
    <s v="BV45648"/>
    <s v="Pedido 611"/>
    <d v="2024-12-22T00:00:00"/>
    <x v="51"/>
    <s v="PedidoF596"/>
    <s v="CódRastreio594"/>
    <n v="1"/>
    <s v="CPF 592"/>
    <s v="Nome 592"/>
    <s v="Tel 592"/>
    <s v="Cep 592"/>
    <s v="Rua 592"/>
    <s v="Comp 592"/>
    <s v="Ventilador Preto"/>
    <s v="MU-J80P-95WF"/>
    <d v="2025-01-29T00:00:00"/>
    <n v="65.599999999999994"/>
    <n v="65.599999999999994"/>
    <n v="8.5279999999999987"/>
    <n v="57.07"/>
    <n v="16.7"/>
    <n v="0.3"/>
    <n v="0.39877104377104378"/>
    <n v="0"/>
    <n v="39.671228956228958"/>
    <n v="19.835614478114479"/>
    <x v="53"/>
    <x v="56"/>
    <x v="14"/>
    <d v="2025-02-17T00:00:00"/>
    <x v="3"/>
    <x v="0"/>
    <x v="3"/>
    <s v="ENTREGUE"/>
    <d v="2025-01-29T00:00:00"/>
    <x v="0"/>
    <m/>
    <n v="0"/>
    <n v="0"/>
    <n v="0"/>
    <n v="0"/>
    <n v="0"/>
  </r>
  <r>
    <x v="0"/>
    <s v="BV45652"/>
    <s v="Pedido 612"/>
    <d v="2024-12-26T00:00:00"/>
    <x v="53"/>
    <s v="PedidoF597"/>
    <s v="CódRastreio595"/>
    <n v="1"/>
    <s v="CPF 593"/>
    <s v="Nome 593"/>
    <s v="Tel 593"/>
    <s v="Cep 593"/>
    <s v="Rua 593"/>
    <s v="Comp 593"/>
    <s v="Ventilador Rosa"/>
    <s v="IF-G2ZQ-79FO"/>
    <d v="2025-01-29T00:00:00"/>
    <n v="49.4"/>
    <n v="49.4"/>
    <n v="6.4219999999999997"/>
    <n v="42.98"/>
    <n v="16.64"/>
    <n v="0.17"/>
    <n v="0.39877104377104378"/>
    <n v="0"/>
    <n v="25.771228956228949"/>
    <n v="12.885614478114475"/>
    <x v="53"/>
    <x v="56"/>
    <x v="14"/>
    <d v="2025-02-17T00:00:00"/>
    <x v="3"/>
    <x v="0"/>
    <x v="3"/>
    <s v="ENTREGUE"/>
    <d v="2025-01-14T00:00:00"/>
    <x v="0"/>
    <m/>
    <n v="0"/>
    <n v="0"/>
    <n v="0"/>
    <n v="0"/>
    <n v="0"/>
  </r>
  <r>
    <x v="0"/>
    <s v="BV45652"/>
    <s v="Pedido 613"/>
    <d v="2024-12-26T00:00:00"/>
    <x v="53"/>
    <s v="PedidoF598"/>
    <s v="CódRastreio596"/>
    <n v="1"/>
    <s v="CPF 594"/>
    <s v="Nome 594"/>
    <s v="Tel 594"/>
    <s v="Cep 594"/>
    <s v="Rua 594"/>
    <s v="Comp 594"/>
    <s v="Ventilador Preto"/>
    <s v="MU-J80P-95WF"/>
    <d v="2025-01-29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3"/>
    <x v="56"/>
    <x v="14"/>
    <d v="2025-02-17T00:00:00"/>
    <x v="3"/>
    <x v="0"/>
    <x v="3"/>
    <s v="ENTREGUE"/>
    <d v="2025-01-15T00:00:00"/>
    <x v="0"/>
    <m/>
    <n v="0"/>
    <n v="0"/>
    <n v="0"/>
    <n v="0"/>
    <n v="0"/>
  </r>
  <r>
    <x v="0"/>
    <s v="BV45652"/>
    <s v="Pedido 614"/>
    <d v="2024-12-26T00:00:00"/>
    <x v="53"/>
    <s v="PedidoF599"/>
    <s v="CódRastreio597"/>
    <n v="1"/>
    <s v="CPF 595"/>
    <s v="Nome 595"/>
    <s v="Tel 595"/>
    <s v="Cep 595"/>
    <s v="Rua 595"/>
    <s v="Comp 595"/>
    <s v="Copo Termico"/>
    <s v="KN-TBQL-K2MM"/>
    <d v="2025-01-10T00:00:00"/>
    <n v="24.8"/>
    <n v="24.8"/>
    <n v="3.2240000000000002"/>
    <n v="21.58"/>
    <n v="11.9"/>
    <n v="0.17"/>
    <n v="0.39877104377104378"/>
    <n v="0"/>
    <n v="9.1112289562289543"/>
    <n v="4.5556144781144772"/>
    <x v="42"/>
    <x v="45"/>
    <x v="11"/>
    <d v="2025-02-06T00:00:00"/>
    <x v="2"/>
    <x v="0"/>
    <x v="3"/>
    <s v="ENTREGUE"/>
    <d v="2025-01-03T00:00:00"/>
    <x v="0"/>
    <m/>
    <n v="0"/>
    <n v="0"/>
    <n v="0"/>
    <n v="0"/>
    <n v="0"/>
  </r>
  <r>
    <x v="0"/>
    <s v="BV45652"/>
    <s v="Pedido 615"/>
    <d v="2024-12-26T00:00:00"/>
    <x v="53"/>
    <s v="PedidoF600"/>
    <s v="CódRastreio598"/>
    <n v="1"/>
    <s v="CPF 596"/>
    <s v="Nome 596"/>
    <s v="Tel 596"/>
    <s v="Cep 596"/>
    <s v="Rua 596"/>
    <s v="Comp 596"/>
    <s v="Ventilador Rosa"/>
    <s v="IF-G2ZQ-79FO"/>
    <d v="2025-01-16T00:00:00"/>
    <n v="49.4"/>
    <n v="49.4"/>
    <n v="6.4219999999999997"/>
    <n v="42.98"/>
    <n v="16.64"/>
    <n v="0.17"/>
    <n v="0.39877104377104378"/>
    <n v="0"/>
    <n v="25.771228956228949"/>
    <n v="12.885614478114475"/>
    <x v="47"/>
    <x v="5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2"/>
    <s v="Pedido 616"/>
    <d v="2024-12-26T00:00:00"/>
    <x v="53"/>
    <s v="PedidoF601"/>
    <s v="CódRastreio599"/>
    <n v="1"/>
    <s v="CPF 419"/>
    <s v="Nome 419"/>
    <s v="Tel 419"/>
    <s v="Cep 419"/>
    <s v="Rua 419"/>
    <s v="Comp 419"/>
    <s v="Ventilador Preto"/>
    <s v="MU-J80P-95WF"/>
    <d v="2025-01-23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4"/>
    <x v="57"/>
    <x v="13"/>
    <d v="2025-02-06T00:00:00"/>
    <x v="2"/>
    <x v="0"/>
    <x v="3"/>
    <s v="ENTREGUE"/>
    <d v="2025-01-11T00:00:00"/>
    <x v="0"/>
    <m/>
    <n v="0"/>
    <n v="0"/>
    <n v="0"/>
    <n v="0"/>
    <n v="0"/>
  </r>
  <r>
    <x v="0"/>
    <s v="BV45652"/>
    <s v="Pedido 617"/>
    <d v="2024-12-26T00:00:00"/>
    <x v="53"/>
    <s v="PedidoF602"/>
    <s v="CódRastreio600"/>
    <n v="1"/>
    <s v="CPF 597"/>
    <s v="Nome 597"/>
    <s v="Tel 597"/>
    <s v="Cep 597"/>
    <s v="Rua 597"/>
    <s v="Comp 597"/>
    <s v="Ventilador Preto"/>
    <s v="MU-J80P-95WF"/>
    <d v="2025-01-23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4"/>
    <x v="57"/>
    <x v="13"/>
    <d v="2025-02-06T00:00:00"/>
    <x v="2"/>
    <x v="0"/>
    <x v="3"/>
    <s v="ENTREGUE"/>
    <d v="2025-01-13T00:00:00"/>
    <x v="0"/>
    <m/>
    <n v="0"/>
    <n v="0"/>
    <n v="0"/>
    <n v="0"/>
    <n v="0"/>
  </r>
  <r>
    <x v="0"/>
    <s v="BV45652"/>
    <s v="Pedido 618"/>
    <d v="2024-12-26T00:00:00"/>
    <x v="53"/>
    <s v="PedidoF603"/>
    <s v="CódRastreio601"/>
    <n v="1"/>
    <s v="CPF 598"/>
    <s v="Nome 598"/>
    <s v="Tel 598"/>
    <s v="Cep 598"/>
    <s v="Rua 598"/>
    <s v="Comp 598"/>
    <s v="Ventilador Rosa"/>
    <s v="IF-G2ZQ-79FO"/>
    <d v="2025-01-23T00:00:00"/>
    <n v="49.4"/>
    <n v="49.4"/>
    <n v="6.4219999999999997"/>
    <n v="42.98"/>
    <n v="16.64"/>
    <n v="0.17"/>
    <n v="0.39877104377104378"/>
    <n v="0"/>
    <n v="25.771228956228949"/>
    <n v="12.885614478114475"/>
    <x v="54"/>
    <x v="57"/>
    <x v="13"/>
    <d v="2025-02-06T00:00:00"/>
    <x v="2"/>
    <x v="0"/>
    <x v="3"/>
    <s v="ENTREGUE"/>
    <d v="2025-01-11T00:00:00"/>
    <x v="0"/>
    <m/>
    <n v="0"/>
    <n v="0"/>
    <n v="0"/>
    <n v="0"/>
    <n v="0"/>
  </r>
  <r>
    <x v="0"/>
    <s v="BV45652"/>
    <s v="Pedido 619"/>
    <d v="2024-12-26T00:00:00"/>
    <x v="53"/>
    <s v="PedidoF604"/>
    <s v="CódRastreio602"/>
    <n v="1"/>
    <s v="CPF 599"/>
    <s v="Nome 599"/>
    <s v="Tel 599"/>
    <s v="Cep 599"/>
    <s v="Rua 599"/>
    <s v="Comp 599"/>
    <s v="Ventilador Preto"/>
    <s v="MU-J80P-95WF"/>
    <d v="2025-01-17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5"/>
    <x v="58"/>
    <x v="13"/>
    <d v="2025-02-06T00:00:00"/>
    <x v="2"/>
    <x v="0"/>
    <x v="3"/>
    <s v="ENTREGUE"/>
    <d v="2025-01-10T00:00:00"/>
    <x v="0"/>
    <m/>
    <n v="0"/>
    <n v="0"/>
    <n v="0"/>
    <n v="0"/>
    <n v="0"/>
  </r>
  <r>
    <x v="0"/>
    <s v="BV45652"/>
    <s v="Pedido 620"/>
    <d v="2024-12-26T00:00:00"/>
    <x v="53"/>
    <s v="PedidoF605"/>
    <s v="CódRastreio603"/>
    <n v="1"/>
    <s v="CPF 600"/>
    <s v="Nome 600"/>
    <s v="Tel 600"/>
    <s v="Cep 600"/>
    <s v="Rua 600"/>
    <s v="Comp 600"/>
    <s v="Ventilador Preto"/>
    <s v="MU-J80P-95WF"/>
    <d v="2025-01-30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6"/>
    <x v="59"/>
    <x v="15"/>
    <d v="2025-02-17T00:00:00"/>
    <x v="3"/>
    <x v="0"/>
    <x v="3"/>
    <s v="ENTREGUE"/>
    <d v="2025-01-15T00:00:00"/>
    <x v="0"/>
    <m/>
    <n v="0"/>
    <n v="0"/>
    <n v="0"/>
    <n v="0"/>
    <n v="0"/>
  </r>
  <r>
    <x v="0"/>
    <s v="BV45652"/>
    <s v="Pedido 621"/>
    <d v="2024-12-26T00:00:00"/>
    <x v="53"/>
    <s v="PedidoF606"/>
    <s v="CódRastreio604"/>
    <n v="1"/>
    <s v="CPF 601"/>
    <s v="Nome 601"/>
    <s v="Tel 601"/>
    <s v="Cep 601"/>
    <s v="Rua 601"/>
    <s v="Comp 601"/>
    <s v="Ventilador Rosa"/>
    <s v="IF-G2ZQ-79FO"/>
    <d v="2025-01-23T00:00:00"/>
    <n v="49.4"/>
    <n v="49.4"/>
    <n v="6.4219999999999997"/>
    <n v="42.98"/>
    <n v="16.64"/>
    <n v="0.17"/>
    <n v="0.39877104377104378"/>
    <n v="0"/>
    <n v="25.771228956228949"/>
    <n v="12.885614478114475"/>
    <x v="54"/>
    <x v="57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2"/>
    <s v="Pedido 622"/>
    <d v="2024-12-26T00:00:00"/>
    <x v="53"/>
    <s v="PedidoF607"/>
    <s v="CódRastreio605"/>
    <n v="1"/>
    <s v="CPF 602"/>
    <s v="Nome 602"/>
    <s v="Tel 602"/>
    <s v="Cep 602"/>
    <s v="Rua 602"/>
    <s v="Comp 602"/>
    <s v="Ventilador Preto"/>
    <s v="MU-J80P-95WF"/>
    <d v="2025-01-17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5"/>
    <x v="58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2"/>
    <s v="Pedido 623"/>
    <d v="2024-12-26T00:00:00"/>
    <x v="53"/>
    <s v="PedidoF608"/>
    <s v="CódRastreio606"/>
    <n v="1"/>
    <s v="CPF 603"/>
    <s v="Nome 603"/>
    <s v="Tel 603"/>
    <s v="Cep 603"/>
    <s v="Rua 603"/>
    <s v="Comp 603"/>
    <s v="Ventilador Rosa"/>
    <s v="IF-G2ZQ-79FO"/>
    <d v="2025-01-23T00:00:00"/>
    <n v="49.4"/>
    <n v="49.4"/>
    <n v="6.4219999999999997"/>
    <n v="42.98"/>
    <n v="16.64"/>
    <n v="0.17"/>
    <n v="0.39877104377104378"/>
    <n v="0"/>
    <n v="25.771228956228949"/>
    <n v="12.885614478114475"/>
    <x v="54"/>
    <x v="57"/>
    <x v="13"/>
    <d v="2025-02-06T00:00:00"/>
    <x v="2"/>
    <x v="0"/>
    <x v="3"/>
    <s v="ENTREGUE"/>
    <d v="2025-01-13T00:00:00"/>
    <x v="0"/>
    <m/>
    <n v="0"/>
    <n v="0"/>
    <n v="0"/>
    <n v="0"/>
    <n v="0"/>
  </r>
  <r>
    <x v="0"/>
    <s v="BV45652"/>
    <s v="Pedido 624"/>
    <d v="2024-12-26T00:00:00"/>
    <x v="53"/>
    <s v="PedidoF609"/>
    <s v="CódRastreio607"/>
    <n v="1"/>
    <s v="CPF 604"/>
    <s v="Nome 604"/>
    <s v="Tel 604"/>
    <s v="Cep 604"/>
    <s v="Rua 604"/>
    <s v="Comp 604"/>
    <s v="Ventilador Preto"/>
    <s v="MU-J80P-95WF"/>
    <d v="2025-01-30T00:00:00"/>
    <n v="65.599999999999994"/>
    <n v="65.599999999999994"/>
    <n v="8.5279999999999987"/>
    <n v="57.07"/>
    <n v="17.23"/>
    <n v="0.17"/>
    <n v="0.39877104377104378"/>
    <n v="0"/>
    <n v="39.271228956228953"/>
    <n v="19.635614478114476"/>
    <x v="56"/>
    <x v="59"/>
    <x v="15"/>
    <d v="2025-02-17T00:00:00"/>
    <x v="3"/>
    <x v="0"/>
    <x v="3"/>
    <s v="ENTREGUE"/>
    <d v="2025-01-10T00:00:00"/>
    <x v="0"/>
    <m/>
    <n v="0"/>
    <n v="0"/>
    <n v="0"/>
    <n v="0"/>
    <n v="0"/>
  </r>
  <r>
    <x v="0"/>
    <s v="BV-"/>
    <s v="Pedido 625"/>
    <d v="2024-12-01T00:00:00"/>
    <x v="0"/>
    <s v="-"/>
    <s v="-"/>
    <n v="1"/>
    <s v="CPF 605"/>
    <s v="Nome 605"/>
    <s v="Tel 605"/>
    <s v="Cep 605"/>
    <s v="Rua 605"/>
    <s v="Comp 605"/>
    <s v="Copo Termico"/>
    <s v="KN-TBQL-K2MM"/>
    <d v="2025-01-17T00:00:00"/>
    <n v="24.8"/>
    <n v="24.8"/>
    <n v="3.2240000000000002"/>
    <n v="21.58"/>
    <n v="0"/>
    <n v="0"/>
    <n v="0"/>
    <n v="0"/>
    <n v="21.58"/>
    <n v="10.79"/>
    <x v="55"/>
    <x v="58"/>
    <x v="13"/>
    <d v="2025-02-06T00:00:00"/>
    <x v="2"/>
    <x v="0"/>
    <x v="0"/>
    <s v="-"/>
    <s v="-"/>
    <x v="0"/>
    <m/>
    <n v="0.64"/>
    <n v="0"/>
    <n v="0"/>
    <n v="0"/>
    <n v="0.64"/>
  </r>
  <r>
    <x v="0"/>
    <s v="BV45652"/>
    <s v="Pedido 626"/>
    <d v="2024-12-26T00:00:00"/>
    <x v="53"/>
    <s v="PedidoF610"/>
    <s v="CódRastreio608"/>
    <n v="1"/>
    <s v="CPF 606"/>
    <s v="Nome 606"/>
    <s v="Tel 606"/>
    <s v="Cep 606"/>
    <s v="Rua 606"/>
    <s v="Comp 606"/>
    <s v="Ventilador Rosa"/>
    <s v="IF-G2ZQ-79FO"/>
    <d v="2025-01-17T00:00:00"/>
    <n v="49.4"/>
    <n v="49.4"/>
    <n v="6.4219999999999997"/>
    <n v="42.98"/>
    <n v="16.64"/>
    <n v="0.17"/>
    <n v="0.39877104377104378"/>
    <n v="0"/>
    <n v="25.771228956228949"/>
    <n v="12.885614478114475"/>
    <x v="55"/>
    <x v="58"/>
    <x v="13"/>
    <d v="2025-02-06T00:00:00"/>
    <x v="2"/>
    <x v="0"/>
    <x v="3"/>
    <s v="ENTREGUE"/>
    <d v="2025-01-10T00:00:00"/>
    <x v="0"/>
    <m/>
    <n v="0"/>
    <n v="0"/>
    <n v="0"/>
    <n v="0"/>
    <n v="0"/>
  </r>
  <r>
    <x v="0"/>
    <s v="BV45652"/>
    <s v="Pedido 627"/>
    <d v="2024-12-26T00:00:00"/>
    <x v="53"/>
    <s v="PedidoF611"/>
    <s v="CódRastreio609"/>
    <n v="1"/>
    <s v="CPF 607"/>
    <s v="Nome 607"/>
    <s v="Tel 607"/>
    <s v="Cep 607"/>
    <s v="Rua 607"/>
    <s v="Comp 607"/>
    <s v="Ventilador Rosa"/>
    <s v="IF-G2ZQ-79FO"/>
    <d v="2025-01-17T00:00:00"/>
    <n v="49.4"/>
    <n v="49.4"/>
    <n v="6.4219999999999997"/>
    <n v="42.98"/>
    <n v="16.64"/>
    <n v="0.17"/>
    <n v="0.39877104377104378"/>
    <n v="0"/>
    <n v="25.771228956228949"/>
    <n v="12.885614478114475"/>
    <x v="55"/>
    <x v="58"/>
    <x v="13"/>
    <d v="2025-02-06T00:00:00"/>
    <x v="2"/>
    <x v="0"/>
    <x v="3"/>
    <s v="ENTREGUE"/>
    <d v="2025-01-10T00:00:00"/>
    <x v="0"/>
    <m/>
    <n v="0"/>
    <n v="0"/>
    <n v="0"/>
    <n v="0"/>
    <n v="0"/>
  </r>
  <r>
    <x v="0"/>
    <s v="BV45652"/>
    <s v="Pedido 628"/>
    <d v="2024-12-26T00:00:00"/>
    <x v="53"/>
    <s v="PedidoF612"/>
    <s v="CódRastreio610"/>
    <n v="1"/>
    <s v="CPF 608"/>
    <s v="Nome 608"/>
    <s v="Tel 608"/>
    <s v="Cep 608"/>
    <s v="Rua 608"/>
    <s v="Comp 608"/>
    <s v="Copo Termico"/>
    <s v="KN-TBQL-K2MM"/>
    <d v="2025-01-14T00:00:00"/>
    <n v="24.8"/>
    <n v="24.8"/>
    <n v="3.2240000000000002"/>
    <n v="21.58"/>
    <n v="11.9"/>
    <n v="0.17"/>
    <n v="0.39877104377104378"/>
    <n v="0"/>
    <n v="9.1112289562289543"/>
    <n v="4.5556144781144772"/>
    <x v="50"/>
    <x v="53"/>
    <x v="12"/>
    <d v="2025-02-06T00:00:00"/>
    <x v="2"/>
    <x v="0"/>
    <x v="3"/>
    <s v="ENTREGUE"/>
    <d v="2025-01-03T00:00:00"/>
    <x v="0"/>
    <m/>
    <n v="0"/>
    <n v="0"/>
    <n v="0"/>
    <n v="0"/>
    <n v="0"/>
  </r>
  <r>
    <x v="0"/>
    <s v="BV45652"/>
    <s v="Pedido 629"/>
    <d v="2024-12-26T00:00:00"/>
    <x v="53"/>
    <s v="PedidoF613"/>
    <s v="CódRastreio611"/>
    <n v="1"/>
    <s v="CPF 609"/>
    <s v="Nome 609"/>
    <s v="Tel 609"/>
    <s v="Cep 609"/>
    <s v="Rua 609"/>
    <s v="Comp 609"/>
    <s v="Ventilador Rosa"/>
    <s v="IF-G2ZQ-79FO"/>
    <d v="2025-01-24T00:00:00"/>
    <n v="49.4"/>
    <n v="49.4"/>
    <n v="6.4219999999999997"/>
    <n v="42.98"/>
    <n v="16.64"/>
    <n v="0.17"/>
    <n v="0.39877104377104378"/>
    <n v="0"/>
    <n v="25.771228956228949"/>
    <n v="12.885614478114475"/>
    <x v="57"/>
    <x v="60"/>
    <x v="13"/>
    <d v="2025-02-06T00:00:00"/>
    <x v="2"/>
    <x v="0"/>
    <x v="3"/>
    <s v="ENTREGUE"/>
    <d v="2025-01-13T00:00:00"/>
    <x v="0"/>
    <m/>
    <n v="0"/>
    <n v="0"/>
    <n v="0"/>
    <n v="0"/>
    <n v="0"/>
  </r>
  <r>
    <x v="0"/>
    <s v="BV45652"/>
    <s v="Pedido 630"/>
    <d v="2024-12-26T00:00:00"/>
    <x v="53"/>
    <s v="PedidoF614"/>
    <s v="CódRastreio612"/>
    <n v="1"/>
    <s v="CPF 610"/>
    <s v="Nome 610"/>
    <s v="Tel 610"/>
    <s v="Cep 610"/>
    <s v="Rua 610"/>
    <s v="Comp 610"/>
    <s v="Ventilador Azul"/>
    <s v="U8-2VWS-OB6M"/>
    <d v="2025-01-18T00:00:00"/>
    <n v="65.599999999999994"/>
    <n v="65.599999999999994"/>
    <n v="8.5279999999999987"/>
    <n v="57.07"/>
    <n v="16.64"/>
    <n v="0.17"/>
    <n v="0.39877104377104378"/>
    <n v="0"/>
    <n v="39.861228956228956"/>
    <n v="19.930614478114478"/>
    <x v="49"/>
    <x v="52"/>
    <x v="13"/>
    <d v="2025-02-06T00:00:00"/>
    <x v="2"/>
    <x v="0"/>
    <x v="3"/>
    <s v="ENTREGUE"/>
    <d v="2025-01-11T00:00:00"/>
    <x v="0"/>
    <m/>
    <n v="0"/>
    <n v="0"/>
    <n v="0"/>
    <n v="0"/>
    <n v="0"/>
  </r>
  <r>
    <x v="0"/>
    <s v="BV45653"/>
    <s v="Pedido 631"/>
    <d v="2024-12-27T00:00:00"/>
    <x v="52"/>
    <s v="PedidoF615"/>
    <s v="CódRastreio613"/>
    <n v="1"/>
    <s v="CPF 611"/>
    <s v="Nome 611"/>
    <s v="Tel 611"/>
    <s v="Cep 611"/>
    <s v="Rua 611"/>
    <s v="Comp 611"/>
    <s v="Copo Termico"/>
    <s v="KN-TBQL-K2MM"/>
    <d v="2025-01-18T00:00:00"/>
    <n v="24.8"/>
    <n v="24.8"/>
    <n v="3.2240000000000002"/>
    <n v="21.58"/>
    <n v="11.9"/>
    <n v="0.25"/>
    <n v="0.39877104377104378"/>
    <n v="0"/>
    <n v="9.0312289562289543"/>
    <n v="4.5156144781144771"/>
    <x v="49"/>
    <x v="52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2"/>
    <s v="Pedido 632"/>
    <d v="2024-12-26T00:00:00"/>
    <x v="53"/>
    <s v="PedidoF616"/>
    <s v="CódRastreio614"/>
    <n v="1"/>
    <s v="CPF 612"/>
    <s v="Nome 612"/>
    <s v="Tel 612"/>
    <s v="Cep 612"/>
    <s v="Rua 612"/>
    <s v="Comp 612"/>
    <s v="Ventilador Rosa"/>
    <s v="IF-G2ZQ-79FO"/>
    <d v="2025-01-31T00:00:00"/>
    <n v="49.4"/>
    <n v="49.4"/>
    <n v="6.4219999999999997"/>
    <n v="42.98"/>
    <n v="16.64"/>
    <n v="0.17"/>
    <n v="0.39877104377104378"/>
    <n v="0"/>
    <n v="25.771228956228949"/>
    <n v="12.885614478114475"/>
    <x v="58"/>
    <x v="61"/>
    <x v="16"/>
    <d v="2025-02-17T00:00:00"/>
    <x v="3"/>
    <x v="0"/>
    <x v="3"/>
    <s v="ENTREGUE"/>
    <d v="2025-01-17T00:00:00"/>
    <x v="0"/>
    <m/>
    <n v="0"/>
    <n v="0"/>
    <n v="0"/>
    <n v="0"/>
    <n v="0"/>
  </r>
  <r>
    <x v="0"/>
    <s v="BV45652"/>
    <s v="Pedido 633"/>
    <d v="2024-12-26T00:00:00"/>
    <x v="53"/>
    <s v="PedidoF617"/>
    <s v="CódRastreio615"/>
    <n v="1"/>
    <s v="CPF 613"/>
    <s v="Nome 613"/>
    <s v="Tel 613"/>
    <s v="Cep 613"/>
    <s v="Rua 613"/>
    <s v="Comp 613"/>
    <s v="Ventilador Rosa"/>
    <s v="IF-G2ZQ-79FO"/>
    <d v="2025-01-24T00:00:00"/>
    <n v="49.4"/>
    <n v="49.4"/>
    <n v="6.4219999999999997"/>
    <n v="42.98"/>
    <n v="16.64"/>
    <n v="0.17"/>
    <n v="0.39877104377104378"/>
    <n v="0"/>
    <n v="25.771228956228949"/>
    <n v="12.885614478114475"/>
    <x v="57"/>
    <x v="60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2"/>
    <s v="Pedido 634"/>
    <d v="2024-12-26T00:00:00"/>
    <x v="53"/>
    <s v="PedidoF618"/>
    <s v="CódRastreio616"/>
    <n v="1"/>
    <s v="CPF 614"/>
    <s v="Nome 614"/>
    <s v="Tel 614"/>
    <s v="Cep 614"/>
    <s v="Rua 614"/>
    <s v="Comp 614"/>
    <s v="Ventilador Azul"/>
    <s v="U8-2VWS-OB6M"/>
    <d v="2025-01-24T00:00:00"/>
    <n v="65.599999999999994"/>
    <n v="65.599999999999994"/>
    <n v="8.5279999999999987"/>
    <n v="57.07"/>
    <n v="16.64"/>
    <n v="0.17"/>
    <n v="0.39877104377104378"/>
    <n v="0"/>
    <n v="39.861228956228956"/>
    <n v="19.930614478114478"/>
    <x v="57"/>
    <x v="60"/>
    <x v="13"/>
    <d v="2025-02-06T00:00:00"/>
    <x v="2"/>
    <x v="0"/>
    <x v="3"/>
    <s v="ENTREGUE"/>
    <d v="2025-01-10T00:00:00"/>
    <x v="0"/>
    <m/>
    <n v="0"/>
    <n v="0"/>
    <n v="0"/>
    <n v="0"/>
    <n v="0"/>
  </r>
  <r>
    <x v="0"/>
    <s v="BV45653"/>
    <s v="Pedido 635"/>
    <d v="2024-12-27T00:00:00"/>
    <x v="52"/>
    <s v="PedidoF619"/>
    <s v="CódRastreio617"/>
    <n v="1"/>
    <s v="CPF 615"/>
    <s v="Nome 615"/>
    <s v="Tel 615"/>
    <s v="Cep 615"/>
    <s v="Rua 615"/>
    <s v="Comp 615"/>
    <s v="Ventilador Preto"/>
    <s v="MU-J80P-95WF"/>
    <d v="2025-01-24T00:00:00"/>
    <n v="65.599999999999994"/>
    <n v="65.599999999999994"/>
    <n v="8.5279999999999987"/>
    <n v="57.07"/>
    <n v="17.399999999999999"/>
    <n v="0.25"/>
    <n v="0.39877104377104378"/>
    <n v="0"/>
    <n v="39.021228956228953"/>
    <n v="19.510614478114476"/>
    <x v="57"/>
    <x v="60"/>
    <x v="13"/>
    <d v="2025-02-06T00:00:00"/>
    <x v="2"/>
    <x v="0"/>
    <x v="3"/>
    <s v="ENTREGUE"/>
    <d v="2025-01-13T00:00:00"/>
    <x v="0"/>
    <m/>
    <n v="0"/>
    <n v="0"/>
    <n v="0"/>
    <n v="0"/>
    <n v="0"/>
  </r>
  <r>
    <x v="0"/>
    <s v="BV45653"/>
    <s v="Pedido 636"/>
    <d v="2024-12-27T00:00:00"/>
    <x v="52"/>
    <s v="PedidoF620"/>
    <s v="CódRastreio618"/>
    <n v="1"/>
    <s v="CPF 616"/>
    <s v="Nome 616"/>
    <s v="Tel 616"/>
    <s v="Cep 616"/>
    <s v="Rua 616"/>
    <s v="Comp 616"/>
    <s v="Adaptador Bluetooph"/>
    <s v="YA-AG3H-SPUK"/>
    <d v="2025-01-25T00:00:00"/>
    <n v="21.99"/>
    <n v="21.99"/>
    <n v="2.6387999999999998"/>
    <n v="19.350000000000001"/>
    <n v="6.99"/>
    <n v="0.25"/>
    <n v="0.39877104377104378"/>
    <n v="0"/>
    <n v="11.711228956228958"/>
    <n v="5.8556144781144788"/>
    <x v="59"/>
    <x v="62"/>
    <x v="14"/>
    <d v="2025-02-17T00:00:00"/>
    <x v="3"/>
    <x v="0"/>
    <x v="3"/>
    <s v="ENTREGUE"/>
    <d v="2025-01-08T00:00:00"/>
    <x v="0"/>
    <m/>
    <n v="0"/>
    <n v="0"/>
    <n v="0"/>
    <n v="0"/>
    <n v="0"/>
  </r>
  <r>
    <x v="0"/>
    <s v="BV45653"/>
    <s v="Pedido 637"/>
    <d v="2024-12-27T00:00:00"/>
    <x v="52"/>
    <s v="PedidoF621"/>
    <s v="CódRastreio619"/>
    <n v="1"/>
    <s v="CPF 617"/>
    <s v="Nome 617"/>
    <s v="Tel 617"/>
    <s v="Cep 617"/>
    <s v="Rua 617"/>
    <s v="Comp 617"/>
    <s v="Ventilador Rosa"/>
    <s v="IF-G2ZQ-79FO"/>
    <d v="2025-01-25T00:00:00"/>
    <n v="49.4"/>
    <n v="49.4"/>
    <n v="6.4219999999999997"/>
    <n v="42.98"/>
    <n v="16.809999999999999"/>
    <n v="0.25"/>
    <n v="0.39877104377104378"/>
    <n v="0"/>
    <n v="25.521228956228953"/>
    <n v="12.760614478114476"/>
    <x v="59"/>
    <x v="62"/>
    <x v="14"/>
    <d v="2025-02-17T00:00:00"/>
    <x v="3"/>
    <x v="0"/>
    <x v="3"/>
    <s v="ENTREGUE"/>
    <d v="2025-01-08T00:00:00"/>
    <x v="0"/>
    <m/>
    <n v="0"/>
    <n v="0"/>
    <n v="0"/>
    <n v="0"/>
    <n v="0"/>
  </r>
  <r>
    <x v="0"/>
    <s v="BV45653"/>
    <s v="Pedido 638"/>
    <d v="2024-12-27T00:00:00"/>
    <x v="52"/>
    <s v="PedidoF622"/>
    <s v="CódRastreio620"/>
    <n v="1"/>
    <s v="CPF 618"/>
    <s v="Nome 618"/>
    <s v="Tel 618"/>
    <s v="Cep 618"/>
    <s v="Rua 618"/>
    <s v="Comp 618"/>
    <s v="Ventilador Rosa"/>
    <s v="IF-G2ZQ-79FO"/>
    <d v="2025-01-25T00:00:00"/>
    <n v="49.4"/>
    <n v="49.4"/>
    <n v="6.4219999999999997"/>
    <n v="42.98"/>
    <n v="16.809999999999999"/>
    <n v="0.25"/>
    <n v="0.39877104377104378"/>
    <n v="0"/>
    <n v="25.521228956228953"/>
    <n v="12.760614478114476"/>
    <x v="59"/>
    <x v="62"/>
    <x v="14"/>
    <d v="2025-02-17T00:00:00"/>
    <x v="3"/>
    <x v="0"/>
    <x v="3"/>
    <s v="ENTREGUE"/>
    <d v="2025-01-08T00:00:00"/>
    <x v="0"/>
    <m/>
    <n v="0"/>
    <n v="0"/>
    <n v="0"/>
    <n v="0"/>
    <n v="0"/>
  </r>
  <r>
    <x v="0"/>
    <s v="BV45653"/>
    <s v="Pedido 639"/>
    <d v="2024-12-27T00:00:00"/>
    <x v="52"/>
    <s v="PedidoF623"/>
    <s v="CódRastreio621"/>
    <n v="1"/>
    <s v="CPF 619"/>
    <s v="Nome 619"/>
    <s v="Tel 619"/>
    <s v="Cep 619"/>
    <s v="Rua 619"/>
    <s v="Comp 619"/>
    <s v="Adaptador Bluetooph"/>
    <s v="YA-AG3H-SPUK"/>
    <d v="2025-01-25T00:00:00"/>
    <n v="21.99"/>
    <n v="21.99"/>
    <n v="2.6387999999999998"/>
    <n v="19.350000000000001"/>
    <n v="6.99"/>
    <n v="0.25"/>
    <n v="0.39877104377104378"/>
    <n v="0"/>
    <n v="11.711228956228958"/>
    <n v="5.8556144781144788"/>
    <x v="59"/>
    <x v="62"/>
    <x v="14"/>
    <d v="2025-02-17T00:00:00"/>
    <x v="3"/>
    <x v="0"/>
    <x v="3"/>
    <s v="ENTREGUE"/>
    <d v="2025-01-15T00:00:00"/>
    <x v="0"/>
    <m/>
    <n v="0"/>
    <n v="0"/>
    <n v="0"/>
    <n v="0"/>
    <n v="0"/>
  </r>
  <r>
    <x v="0"/>
    <s v="BV45653"/>
    <s v="Pedido 640"/>
    <d v="2024-12-27T00:00:00"/>
    <x v="52"/>
    <s v="PedidoF624"/>
    <s v="CódRastreio622"/>
    <n v="1"/>
    <s v="CPF 620"/>
    <s v="Nome 620"/>
    <s v="Tel 620"/>
    <s v="Cep 620"/>
    <s v="Rua 620"/>
    <s v="Comp 620"/>
    <s v="Mini Liquidificador"/>
    <s v="CK-YL6M-P5Y6"/>
    <d v="2025-01-17T00:00:00"/>
    <n v="33.9"/>
    <n v="33.9"/>
    <n v="4.407"/>
    <n v="29.49"/>
    <n v="15.99"/>
    <n v="0.25"/>
    <n v="0.39877104377104378"/>
    <n v="0"/>
    <n v="12.851228956228951"/>
    <n v="6.4256144781144755"/>
    <x v="55"/>
    <x v="58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-"/>
    <s v="Pedido 641"/>
    <d v="2024-12-01T00:00:00"/>
    <x v="0"/>
    <s v="-"/>
    <s v="-"/>
    <n v="1"/>
    <s v="CPF 621"/>
    <s v="Nome 621"/>
    <s v="Tel 621"/>
    <s v="Cep 621"/>
    <s v="Rua 621"/>
    <s v="Comp 621"/>
    <s v="Ventilador Rosa"/>
    <s v="IF-G2ZQ-79FO"/>
    <d v="2025-01-25T00:00:00"/>
    <n v="49.4"/>
    <n v="49.4"/>
    <n v="6.4219999999999997"/>
    <n v="42.98"/>
    <n v="0"/>
    <n v="0"/>
    <n v="0"/>
    <n v="0"/>
    <n v="42.98"/>
    <n v="21.49"/>
    <x v="59"/>
    <x v="62"/>
    <x v="14"/>
    <d v="2025-02-17T00:00:00"/>
    <x v="3"/>
    <x v="0"/>
    <x v="0"/>
    <s v="-"/>
    <s v="-"/>
    <x v="0"/>
    <m/>
    <n v="1.28"/>
    <n v="0"/>
    <n v="0"/>
    <n v="0"/>
    <n v="1.28"/>
  </r>
  <r>
    <x v="0"/>
    <s v="BV45656"/>
    <s v="Pedido 642"/>
    <d v="2024-12-30T00:00:00"/>
    <x v="54"/>
    <s v="PedidoF625"/>
    <s v="CódRastreio623"/>
    <n v="1"/>
    <s v="CPF 622"/>
    <s v="Nome 622"/>
    <s v="Tel 622"/>
    <s v="Cep 622"/>
    <s v="Rua 622"/>
    <s v="Comp 622"/>
    <s v="Ventilador Preto"/>
    <s v="MU-J80P-95WF"/>
    <d v="2025-01-25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x v="59"/>
    <x v="62"/>
    <x v="14"/>
    <d v="2025-02-17T00:00:00"/>
    <x v="3"/>
    <x v="0"/>
    <x v="3"/>
    <s v="ENTREGUE"/>
    <d v="2025-01-08T00:00:00"/>
    <x v="0"/>
    <m/>
    <n v="0"/>
    <n v="0"/>
    <n v="0"/>
    <n v="0"/>
    <n v="0"/>
  </r>
  <r>
    <x v="0"/>
    <s v="BV45656"/>
    <s v="Pedido 643"/>
    <d v="2024-12-30T00:00:00"/>
    <x v="54"/>
    <s v="PedidoF626"/>
    <s v="CódRastreio624"/>
    <n v="1"/>
    <s v="CPF 623"/>
    <s v="Nome 623"/>
    <s v="Tel 623"/>
    <s v="Cep 623"/>
    <s v="Rua 623"/>
    <s v="Comp 623"/>
    <s v="Garrafa Termica"/>
    <s v="FM-QQ8Y-RZT4"/>
    <d v="2025-01-25T00:00:00"/>
    <n v="34.9"/>
    <n v="34.9"/>
    <n v="4.5369999999999999"/>
    <n v="30.36"/>
    <n v="15.97"/>
    <n v="0.24"/>
    <n v="0.39877104377104378"/>
    <n v="0"/>
    <n v="13.751228956228953"/>
    <n v="6.8756144781144766"/>
    <x v="59"/>
    <x v="62"/>
    <x v="14"/>
    <d v="2025-02-17T00:00:00"/>
    <x v="3"/>
    <x v="0"/>
    <x v="3"/>
    <s v="ENTREGUE"/>
    <d v="2025-01-10T00:00:00"/>
    <x v="0"/>
    <m/>
    <n v="0"/>
    <n v="0"/>
    <n v="0"/>
    <n v="0"/>
    <n v="0"/>
  </r>
  <r>
    <x v="0"/>
    <s v="BV45656"/>
    <s v="Pedido 644"/>
    <d v="2024-12-30T00:00:00"/>
    <x v="54"/>
    <s v="PedidoF627"/>
    <s v="CódRastreio625"/>
    <n v="1"/>
    <s v="CPF 624"/>
    <s v="Nome 624"/>
    <s v="Tel 624"/>
    <s v="Cep 624"/>
    <s v="Rua 624"/>
    <s v="Comp 624"/>
    <s v="Adaptador Bluetooph"/>
    <s v="YA-AG3H-SPUK"/>
    <d v="2025-01-25T00:00:00"/>
    <n v="21.99"/>
    <n v="21.99"/>
    <n v="2.6387999999999998"/>
    <n v="19.350000000000001"/>
    <n v="6.99"/>
    <n v="0.24"/>
    <n v="0.39877104377104378"/>
    <n v="0"/>
    <n v="11.721228956228957"/>
    <n v="5.8606144781144787"/>
    <x v="59"/>
    <x v="62"/>
    <x v="14"/>
    <d v="2025-02-17T00:00:00"/>
    <x v="3"/>
    <x v="0"/>
    <x v="3"/>
    <s v="ENTREGUE"/>
    <d v="2025-01-16T00:00:00"/>
    <x v="0"/>
    <m/>
    <n v="0"/>
    <n v="0"/>
    <n v="0"/>
    <n v="0"/>
    <n v="0"/>
  </r>
  <r>
    <x v="0"/>
    <s v="BV45659"/>
    <s v="Pedido 645"/>
    <d v="2025-01-02T00:00:00"/>
    <x v="55"/>
    <s v="PedidoF628"/>
    <s v="CódRastreio626"/>
    <n v="1"/>
    <s v="CPF 625"/>
    <s v="Nome 625"/>
    <s v="Tel 625"/>
    <s v="Cep 625"/>
    <s v="Rua 625"/>
    <s v="Comp 625"/>
    <s v="Copo Termico"/>
    <s v="KN-TBQL-K2MM"/>
    <d v="2025-01-17T00:00:00"/>
    <n v="27.99"/>
    <n v="27.99"/>
    <n v="3.6387"/>
    <n v="24.35"/>
    <n v="0"/>
    <n v="0.16"/>
    <n v="0.39877104377104378"/>
    <n v="0"/>
    <n v="23.791228956228956"/>
    <n v="11.895614478114478"/>
    <x v="55"/>
    <x v="58"/>
    <x v="13"/>
    <d v="2025-02-06T00:00:00"/>
    <x v="2"/>
    <x v="0"/>
    <x v="4"/>
    <s v="ENTREGUE"/>
    <d v="2025-01-08T00:00:00"/>
    <x v="0"/>
    <m/>
    <n v="0.73"/>
    <n v="0"/>
    <n v="0"/>
    <n v="0"/>
    <n v="0.73"/>
  </r>
  <r>
    <x v="0"/>
    <s v="BV45659"/>
    <s v="Pedido 646"/>
    <d v="2025-01-02T00:00:00"/>
    <x v="55"/>
    <s v="PedidoF629"/>
    <s v="CódRastreio627"/>
    <n v="1"/>
    <s v="CPF 626"/>
    <s v="Nome 626"/>
    <s v="Tel 626"/>
    <s v="Cep 626"/>
    <s v="Rua 626"/>
    <s v="Comp 626"/>
    <s v="Adaptador Bluetooph"/>
    <s v="YA-AG3H-SPUK"/>
    <d v="2025-01-21T00:00:00"/>
    <n v="21.99"/>
    <n v="21.99"/>
    <n v="2.6387999999999998"/>
    <n v="19.350000000000001"/>
    <n v="6.99"/>
    <n v="0.16"/>
    <n v="0.39877104377104378"/>
    <n v="0"/>
    <n v="11.801228956228957"/>
    <n v="5.9006144781144787"/>
    <x v="52"/>
    <x v="55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56"/>
    <s v="Pedido 647"/>
    <d v="2024-12-30T00:00:00"/>
    <x v="54"/>
    <s v="PedidoF630"/>
    <s v="CódRastreio628"/>
    <n v="1"/>
    <s v="CPF 627"/>
    <s v="Nome 627"/>
    <s v="Tel 627"/>
    <s v="Cep 627"/>
    <s v="Rua 627"/>
    <s v="Comp 627"/>
    <s v="Ventilador Preto"/>
    <s v="MU-J80P-95WF"/>
    <d v="2025-01-21T00:00:00"/>
    <n v="65.599999999999994"/>
    <n v="65.599999999999994"/>
    <n v="8.5279999999999987"/>
    <n v="57.07"/>
    <n v="19.100000000000001"/>
    <n v="0.24"/>
    <n v="0.39877104377104378"/>
    <n v="0"/>
    <n v="37.331228956228955"/>
    <n v="18.665614478114477"/>
    <x v="52"/>
    <x v="55"/>
    <x v="13"/>
    <d v="2025-02-06T00:00:00"/>
    <x v="2"/>
    <x v="0"/>
    <x v="3"/>
    <s v="ENTREGUE"/>
    <d v="2025-01-14T00:00:00"/>
    <x v="0"/>
    <m/>
    <n v="0"/>
    <n v="0"/>
    <n v="0"/>
    <n v="0"/>
    <n v="0"/>
  </r>
  <r>
    <x v="0"/>
    <s v="BV45659"/>
    <s v="Pedido 648"/>
    <d v="2025-01-02T00:00:00"/>
    <x v="55"/>
    <s v="PedidoF631"/>
    <s v="CódRastreio629"/>
    <n v="1"/>
    <s v="CPF 628"/>
    <s v="Nome 628"/>
    <s v="Tel 628"/>
    <s v="Cep 628"/>
    <s v="Rua 628"/>
    <s v="Comp 628"/>
    <s v="Adaptador Bluetooph"/>
    <s v="YA-AG3H-SPUK"/>
    <d v="2025-01-21T00:00:00"/>
    <n v="21.99"/>
    <n v="21.99"/>
    <n v="2.6387999999999998"/>
    <n v="19.350000000000001"/>
    <n v="6.99"/>
    <n v="0.16"/>
    <n v="0.39877104377104378"/>
    <n v="0"/>
    <n v="11.801228956228957"/>
    <n v="5.9006144781144787"/>
    <x v="52"/>
    <x v="55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56"/>
    <s v="Pedido 649"/>
    <d v="2024-12-30T00:00:00"/>
    <x v="54"/>
    <s v="PedidoF632"/>
    <s v="CódRastreio630"/>
    <n v="1"/>
    <s v="CPF 629"/>
    <s v="Nome 629"/>
    <s v="Tel 629"/>
    <s v="Cep 629"/>
    <s v="Rua 629"/>
    <s v="Comp 629"/>
    <s v="Ventilador Rosa"/>
    <s v="IF-G2ZQ-79FO"/>
    <d v="2025-01-21T00:00:00"/>
    <n v="49.4"/>
    <n v="49.4"/>
    <n v="6.4219999999999997"/>
    <n v="42.98"/>
    <n v="18.510000000000002"/>
    <n v="0.24"/>
    <n v="0.39877104377104378"/>
    <n v="0"/>
    <n v="23.831228956228951"/>
    <n v="11.915614478114476"/>
    <x v="52"/>
    <x v="55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6"/>
    <s v="Pedido 650"/>
    <d v="2024-12-30T00:00:00"/>
    <x v="54"/>
    <s v="PedidoF633"/>
    <s v="CódRastreio631"/>
    <n v="1"/>
    <s v="CPF 630"/>
    <s v="Nome 630"/>
    <s v="Tel 630"/>
    <s v="Cep 630"/>
    <s v="Rua 630"/>
    <s v="Comp 630"/>
    <s v="Ventilador Preto"/>
    <s v="MU-J80P-95WF"/>
    <d v="2025-01-21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x v="52"/>
    <x v="55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6"/>
    <s v="Pedido 651"/>
    <d v="2024-12-30T00:00:00"/>
    <x v="54"/>
    <s v="PedidoF634"/>
    <s v="CódRastreio632"/>
    <n v="1"/>
    <s v="CPF 631"/>
    <s v="Nome 631"/>
    <s v="Tel 631"/>
    <s v="Cep 631"/>
    <s v="Rua 631"/>
    <s v="Comp 631"/>
    <s v="Ventilador Azul"/>
    <s v="U8-2VWS-OB6M"/>
    <d v="2025-01-25T00:00:00"/>
    <n v="64.989999999999995"/>
    <n v="64.989999999999995"/>
    <n v="8.4486999999999988"/>
    <n v="56.54"/>
    <n v="18.510000000000002"/>
    <n v="0.24"/>
    <n v="0.39877104377104378"/>
    <n v="0"/>
    <n v="37.391228956228957"/>
    <n v="18.695614478114479"/>
    <x v="59"/>
    <x v="62"/>
    <x v="14"/>
    <d v="2025-02-17T00:00:00"/>
    <x v="3"/>
    <x v="0"/>
    <x v="3"/>
    <s v="ENTREGUE"/>
    <d v="2025-01-10T00:00:00"/>
    <x v="0"/>
    <m/>
    <n v="0"/>
    <n v="0"/>
    <n v="0"/>
    <n v="0"/>
    <n v="0"/>
  </r>
  <r>
    <x v="0"/>
    <s v="BV45656"/>
    <s v="Pedido 652"/>
    <d v="2024-12-30T00:00:00"/>
    <x v="54"/>
    <s v="PedidoF635"/>
    <s v="CódRastreio633"/>
    <n v="1"/>
    <s v="CPF 632"/>
    <s v="Nome 632"/>
    <s v="Tel 632"/>
    <s v="Cep 632"/>
    <s v="Rua 632"/>
    <s v="Comp 632"/>
    <s v="Ventilador Preto"/>
    <s v="MU-J80P-95WF"/>
    <d v="2025-01-21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x v="52"/>
    <x v="55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6"/>
    <s v="Pedido 653"/>
    <d v="2024-12-30T00:00:00"/>
    <x v="54"/>
    <s v="PedidoF636"/>
    <s v="CódRastreio634"/>
    <n v="1"/>
    <s v="CPF 633"/>
    <s v="Nome 633"/>
    <s v="Tel 633"/>
    <s v="Cep 633"/>
    <s v="Rua 633"/>
    <s v="Comp 633"/>
    <s v="Ventilador Rosa"/>
    <s v="IF-G2ZQ-79FO"/>
    <d v="2025-01-25T00:00:00"/>
    <n v="49.4"/>
    <n v="49.4"/>
    <n v="6.4219999999999997"/>
    <n v="42.98"/>
    <n v="18.510000000000002"/>
    <n v="0.24"/>
    <n v="0.39877104377104378"/>
    <n v="0"/>
    <n v="23.831228956228951"/>
    <n v="11.915614478114476"/>
    <x v="59"/>
    <x v="62"/>
    <x v="14"/>
    <d v="2025-02-17T00:00:00"/>
    <x v="3"/>
    <x v="0"/>
    <x v="3"/>
    <s v="ENTREGUE"/>
    <d v="2025-01-10T00:00:00"/>
    <x v="0"/>
    <m/>
    <n v="0"/>
    <n v="0"/>
    <n v="0"/>
    <n v="0"/>
    <n v="0"/>
  </r>
  <r>
    <x v="0"/>
    <s v="BV-"/>
    <s v="Pedido 654"/>
    <d v="2024-12-01T00:00:00"/>
    <x v="0"/>
    <s v="-"/>
    <s v="-"/>
    <n v="1"/>
    <s v="CPF 634"/>
    <s v="Nome 634"/>
    <s v="Tel 634"/>
    <s v="Cep 634"/>
    <s v="Rua 634"/>
    <s v="Comp 634"/>
    <s v="Karaoke portátil"/>
    <s v="08-PAJ9-YM9P"/>
    <d v="2025-01-25T00:00:00"/>
    <n v="62.9"/>
    <n v="62.9"/>
    <n v="9.4349999999999987"/>
    <n v="53.47"/>
    <n v="0"/>
    <n v="0"/>
    <n v="0"/>
    <n v="0"/>
    <n v="53.47"/>
    <n v="26.734999999999999"/>
    <x v="59"/>
    <x v="62"/>
    <x v="14"/>
    <d v="2025-02-17T00:00:00"/>
    <x v="3"/>
    <x v="0"/>
    <x v="0"/>
    <s v="-"/>
    <s v="-"/>
    <x v="0"/>
    <m/>
    <n v="0"/>
    <n v="0"/>
    <n v="0"/>
    <n v="0"/>
    <n v="0"/>
  </r>
  <r>
    <x v="0"/>
    <s v="BV45656"/>
    <s v="Pedido 655"/>
    <d v="2024-12-30T00:00:00"/>
    <x v="54"/>
    <s v="PedidoF637"/>
    <s v="CódRastreio635"/>
    <n v="1"/>
    <s v="CPF 635"/>
    <s v="Nome 635"/>
    <s v="Tel 635"/>
    <s v="Cep 635"/>
    <s v="Rua 635"/>
    <s v="Comp 635"/>
    <s v="Ventilador Rosa"/>
    <s v="IF-G2ZQ-79FO"/>
    <d v="2025-01-25T00:00:00"/>
    <n v="49.4"/>
    <n v="49.4"/>
    <n v="6.4219999999999997"/>
    <n v="42.98"/>
    <n v="18.510000000000002"/>
    <n v="0.24"/>
    <n v="0.39877104377104378"/>
    <n v="0"/>
    <n v="23.831228956228951"/>
    <n v="11.915614478114476"/>
    <x v="59"/>
    <x v="62"/>
    <x v="14"/>
    <d v="2025-02-17T00:00:00"/>
    <x v="3"/>
    <x v="0"/>
    <x v="3"/>
    <s v="ENTREGUE"/>
    <d v="2025-01-08T00:00:00"/>
    <x v="0"/>
    <m/>
    <n v="0"/>
    <n v="0"/>
    <n v="0"/>
    <n v="0"/>
    <n v="0"/>
  </r>
  <r>
    <x v="0"/>
    <s v="BV45656"/>
    <s v="Pedido 656"/>
    <d v="2024-12-30T00:00:00"/>
    <x v="54"/>
    <s v="PedidoF638"/>
    <s v="CódRastreio636"/>
    <n v="1"/>
    <s v="CPF 636"/>
    <s v="Nome 636"/>
    <s v="Tel 636"/>
    <s v="Cep 636"/>
    <s v="Rua 636"/>
    <s v="Comp 636"/>
    <s v="Ventilador Preto"/>
    <s v="MU-J80P-95WF"/>
    <d v="2025-01-22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x v="51"/>
    <x v="54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6"/>
    <s v="Pedido 657"/>
    <d v="2024-12-30T00:00:00"/>
    <x v="54"/>
    <s v="PedidoF639"/>
    <s v="CódRastreio637"/>
    <n v="1"/>
    <s v="CPF 637"/>
    <s v="Nome 637"/>
    <s v="Tel 637"/>
    <s v="Cep 637"/>
    <s v="Rua 637"/>
    <s v="Comp 637"/>
    <s v="Ventilador de teto"/>
    <s v="BP-NHG2-B8C1"/>
    <d v="2025-01-22T00:00:00"/>
    <n v="76.989999999999995"/>
    <n v="76.989999999999995"/>
    <n v="10.008699999999999"/>
    <n v="66.98"/>
    <n v="34.25"/>
    <n v="0.24"/>
    <n v="0.39877104377104378"/>
    <n v="0"/>
    <n v="32.09122895622896"/>
    <n v="16.04561447811448"/>
    <x v="51"/>
    <x v="54"/>
    <x v="13"/>
    <d v="2025-02-06T00:00:00"/>
    <x v="2"/>
    <x v="0"/>
    <x v="3"/>
    <s v="ENTREGUE"/>
    <d v="2025-01-09T00:00:00"/>
    <x v="0"/>
    <m/>
    <n v="0"/>
    <n v="0"/>
    <n v="0"/>
    <n v="0"/>
    <n v="0"/>
  </r>
  <r>
    <x v="0"/>
    <s v="BV45656"/>
    <s v="Pedido 658"/>
    <d v="2024-12-30T00:00:00"/>
    <x v="54"/>
    <s v="PedidoF640"/>
    <s v="CódRastreio638"/>
    <n v="1"/>
    <s v="CPF 638"/>
    <s v="Nome 638"/>
    <s v="Tel 638"/>
    <s v="Cep 638"/>
    <s v="Rua 638"/>
    <s v="Comp 638"/>
    <s v="Ventilador Preto"/>
    <s v="MU-J80P-95WF"/>
    <d v="2025-01-28T00:00:00"/>
    <n v="65.599999999999994"/>
    <n v="65.599999999999994"/>
    <n v="8.5279999999999987"/>
    <n v="57.07"/>
    <n v="19.14"/>
    <n v="0.24"/>
    <n v="0.39877104377104378"/>
    <n v="0"/>
    <n v="37.291228956228956"/>
    <n v="18.645614478114478"/>
    <x v="60"/>
    <x v="63"/>
    <x v="14"/>
    <d v="2025-02-17T00:00:00"/>
    <x v="3"/>
    <x v="0"/>
    <x v="3"/>
    <s v="ENTREGUE"/>
    <d v="2025-01-08T00:00:00"/>
    <x v="0"/>
    <m/>
    <n v="0"/>
    <n v="0"/>
    <n v="0"/>
    <n v="0"/>
    <n v="0"/>
  </r>
  <r>
    <x v="0"/>
    <s v="BV45656"/>
    <s v="Pedido 659"/>
    <d v="2024-12-30T00:00:00"/>
    <x v="54"/>
    <s v="PedidoF641"/>
    <s v="CódRastreio639"/>
    <n v="1"/>
    <s v="CPF 639"/>
    <s v="Nome 639"/>
    <s v="Tel 639"/>
    <s v="Cep 639"/>
    <s v="Rua 639"/>
    <s v="Comp 639"/>
    <s v="Ventilador Rosa"/>
    <s v="IF-G2ZQ-79FO"/>
    <d v="2025-01-22T00:00:00"/>
    <n v="49.4"/>
    <n v="49.4"/>
    <n v="6.4219999999999997"/>
    <n v="42.98"/>
    <n v="18.510000000000002"/>
    <n v="0.24"/>
    <n v="0.39877104377104378"/>
    <n v="0"/>
    <n v="23.831228956228951"/>
    <n v="11.915614478114476"/>
    <x v="51"/>
    <x v="54"/>
    <x v="13"/>
    <d v="2025-02-06T00:00:00"/>
    <x v="2"/>
    <x v="0"/>
    <x v="3"/>
    <s v="ENTREGUE"/>
    <d v="2025-01-08T00:00:00"/>
    <x v="0"/>
    <m/>
    <n v="0"/>
    <n v="0"/>
    <n v="0"/>
    <n v="0"/>
    <n v="0"/>
  </r>
  <r>
    <x v="0"/>
    <s v="BV45656"/>
    <s v="Pedido 660"/>
    <d v="2024-12-30T00:00:00"/>
    <x v="54"/>
    <s v="PedidoF642"/>
    <s v="CódRastreio640"/>
    <n v="1"/>
    <s v="CPF 640"/>
    <s v="Nome 640"/>
    <s v="Tel 640"/>
    <s v="Cep 640"/>
    <s v="Rua 640"/>
    <s v="Comp 640"/>
    <s v="Ventilador Rosa"/>
    <s v="IF-G2ZQ-79FO"/>
    <d v="2025-01-28T00:00:00"/>
    <n v="49.4"/>
    <n v="49.4"/>
    <n v="6.4219999999999997"/>
    <n v="42.98"/>
    <n v="18.510000000000002"/>
    <n v="0.24"/>
    <n v="0.39877104377104378"/>
    <n v="0"/>
    <n v="23.831228956228951"/>
    <n v="11.915614478114476"/>
    <x v="60"/>
    <x v="63"/>
    <x v="14"/>
    <d v="2025-02-17T00:00:00"/>
    <x v="3"/>
    <x v="0"/>
    <x v="3"/>
    <s v="ENTREGUE"/>
    <d v="2025-01-10T00:00:00"/>
    <x v="0"/>
    <m/>
    <n v="0"/>
    <n v="0"/>
    <n v="0"/>
    <n v="0"/>
    <n v="0"/>
  </r>
  <r>
    <x v="0"/>
    <s v="BV45656"/>
    <s v="Pedido 661"/>
    <d v="2024-12-30T00:00:00"/>
    <x v="54"/>
    <s v="PedidoF643"/>
    <s v="CódRastreio641"/>
    <n v="1"/>
    <s v="CPF 641"/>
    <s v="Nome 641"/>
    <s v="Tel 641"/>
    <s v="Cep 641"/>
    <s v="Rua 641"/>
    <s v="Comp 641"/>
    <s v="Lampada Led"/>
    <s v="RB-W251-UXV2"/>
    <d v="2025-01-22T00:00:00"/>
    <n v="32.4"/>
    <n v="32.4"/>
    <n v="4.2119999999999997"/>
    <n v="28.19"/>
    <n v="0"/>
    <n v="0.24"/>
    <n v="0.39877104377104378"/>
    <n v="0"/>
    <n v="27.551228956228957"/>
    <n v="13.775614478114479"/>
    <x v="51"/>
    <x v="54"/>
    <x v="13"/>
    <d v="2025-02-06T00:00:00"/>
    <x v="2"/>
    <x v="0"/>
    <x v="3"/>
    <s v="ENTREGUE"/>
    <d v="2025-01-08T00:00:00"/>
    <x v="0"/>
    <m/>
    <n v="0.84"/>
    <n v="0"/>
    <n v="0"/>
    <n v="0"/>
    <n v="0.84"/>
  </r>
  <r>
    <x v="0"/>
    <s v="BV45659"/>
    <s v="Pedido 662"/>
    <d v="2025-01-02T00:00:00"/>
    <x v="55"/>
    <s v="PedidoF644"/>
    <s v="CódRastreio642"/>
    <n v="1"/>
    <s v="CPF 642"/>
    <s v="Nome 642"/>
    <s v="Tel 642"/>
    <s v="Cep 642"/>
    <s v="Rua 642"/>
    <s v="Comp 642"/>
    <s v="Suporte de Celular Branco"/>
    <s v="16-4EDB-WMZF"/>
    <d v="2025-01-28T00:00:00"/>
    <n v="21.99"/>
    <n v="21.99"/>
    <n v="3.2984999999999998"/>
    <n v="18.690000000000001"/>
    <n v="6.99"/>
    <n v="0.16"/>
    <n v="0.39877104377104378"/>
    <n v="0"/>
    <n v="11.141228956228957"/>
    <n v="5.5706144781144786"/>
    <x v="60"/>
    <x v="63"/>
    <x v="14"/>
    <d v="2025-02-17T00:00:00"/>
    <x v="3"/>
    <x v="0"/>
    <x v="4"/>
    <s v="ENTREGUE"/>
    <d v="2025-01-12T00:00:00"/>
    <x v="0"/>
    <m/>
    <n v="0"/>
    <n v="0"/>
    <n v="0"/>
    <n v="0"/>
    <n v="0"/>
  </r>
  <r>
    <x v="0"/>
    <s v="BV45659"/>
    <s v="Pedido 663"/>
    <d v="2025-01-02T00:00:00"/>
    <x v="55"/>
    <s v="PedidoF645"/>
    <s v="CódRastreio643"/>
    <n v="1"/>
    <s v="CPF 643"/>
    <s v="Nome 643"/>
    <s v="Tel 643"/>
    <s v="Cep 643"/>
    <s v="Rua 643"/>
    <s v="Comp 643"/>
    <s v="Mini Liquidificador"/>
    <s v="CK-YL6M-P5Y6"/>
    <d v="2025-01-28T00:00:00"/>
    <n v="33.9"/>
    <n v="33.9"/>
    <n v="4.407"/>
    <n v="29.49"/>
    <n v="15.99"/>
    <n v="0.16"/>
    <n v="0.39877104377104378"/>
    <n v="0"/>
    <n v="12.941228956228954"/>
    <n v="6.4706144781144772"/>
    <x v="60"/>
    <x v="63"/>
    <x v="14"/>
    <d v="2025-02-17T00:00:00"/>
    <x v="3"/>
    <x v="0"/>
    <x v="4"/>
    <s v="ENTREGUE"/>
    <d v="2025-01-13T00:00:00"/>
    <x v="0"/>
    <m/>
    <n v="0"/>
    <n v="0"/>
    <n v="0"/>
    <n v="0"/>
    <n v="0"/>
  </r>
  <r>
    <x v="0"/>
    <s v="BV45659"/>
    <s v="Pedido 664"/>
    <d v="2025-01-02T00:00:00"/>
    <x v="55"/>
    <s v="PedidoF646"/>
    <s v="CódRastreio644"/>
    <n v="1"/>
    <s v="CPF 644"/>
    <s v="Nome 644"/>
    <s v="Tel 644"/>
    <s v="Cep 644"/>
    <s v="Rua 644"/>
    <s v="Comp 644"/>
    <s v="Suporte de Celular Branco"/>
    <s v="16-4EDB-WMZF"/>
    <d v="2025-01-28T00:00:00"/>
    <n v="21.99"/>
    <n v="21.99"/>
    <n v="3.2984999999999998"/>
    <n v="18.690000000000001"/>
    <n v="6.99"/>
    <n v="0.16"/>
    <n v="0.39877104377104378"/>
    <n v="0"/>
    <n v="11.141228956228957"/>
    <n v="5.5706144781144786"/>
    <x v="60"/>
    <x v="63"/>
    <x v="14"/>
    <d v="2025-02-17T00:00:00"/>
    <x v="3"/>
    <x v="0"/>
    <x v="4"/>
    <s v="ENTREGUE"/>
    <d v="2025-01-14T00:00:00"/>
    <x v="0"/>
    <m/>
    <n v="0"/>
    <n v="0"/>
    <n v="0"/>
    <n v="0"/>
    <n v="0"/>
  </r>
  <r>
    <x v="0"/>
    <s v="BV45659"/>
    <s v="Pedido 665"/>
    <d v="2025-01-02T00:00:00"/>
    <x v="55"/>
    <s v="PedidoF647"/>
    <s v="CódRastreio645"/>
    <n v="1"/>
    <s v="CPF 645"/>
    <s v="Nome 645"/>
    <s v="Tel 645"/>
    <s v="Cep 645"/>
    <s v="Rua 645"/>
    <s v="Comp 645"/>
    <s v="Karaoke portátil"/>
    <s v="08-PAJ9-YM9P"/>
    <d v="2025-01-28T00:00:00"/>
    <n v="62.9"/>
    <n v="62.9"/>
    <n v="9.4349999999999987"/>
    <n v="53.47"/>
    <n v="16.57"/>
    <n v="0.16"/>
    <n v="0.39877104377104378"/>
    <n v="0"/>
    <n v="36.341228956228953"/>
    <n v="18.170614478114476"/>
    <x v="60"/>
    <x v="63"/>
    <x v="14"/>
    <d v="2025-02-17T00:00:00"/>
    <x v="3"/>
    <x v="0"/>
    <x v="4"/>
    <s v="ENTREGUE"/>
    <d v="2025-01-22T00:00:00"/>
    <x v="0"/>
    <m/>
    <n v="0"/>
    <n v="0"/>
    <n v="0"/>
    <n v="0"/>
    <n v="0"/>
  </r>
  <r>
    <x v="0"/>
    <s v="BV45659"/>
    <s v="Pedido 666"/>
    <d v="2025-01-02T00:00:00"/>
    <x v="55"/>
    <s v="PedidoF648"/>
    <s v="CódRastreio646"/>
    <n v="1"/>
    <s v="CPF 646"/>
    <s v="Nome 646"/>
    <s v="Tel 646"/>
    <s v="Cep 646"/>
    <s v="Rua 646"/>
    <s v="Comp 646"/>
    <s v="Ventilador Rosa"/>
    <s v="IF-G2ZQ-79FO"/>
    <d v="2025-01-22T00:00:00"/>
    <n v="49.4"/>
    <n v="49.4"/>
    <n v="6.4219999999999997"/>
    <n v="42.98"/>
    <n v="10.18"/>
    <n v="0.16"/>
    <n v="0.39877104377104378"/>
    <n v="0"/>
    <n v="32.241228956228952"/>
    <n v="16.120614478114476"/>
    <x v="51"/>
    <x v="54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59"/>
    <s v="Pedido 667"/>
    <d v="2025-01-02T00:00:00"/>
    <x v="55"/>
    <s v="PedidoF649"/>
    <s v="CódRastreio647"/>
    <n v="1"/>
    <s v="CPF 647"/>
    <s v="Nome 647"/>
    <s v="Tel 647"/>
    <s v="Cep 647"/>
    <s v="Rua 647"/>
    <s v="Comp 647"/>
    <s v="Ventilador Rosa"/>
    <s v="IF-G2ZQ-79FO"/>
    <d v="2025-01-22T00:00:00"/>
    <n v="49.4"/>
    <n v="49.4"/>
    <n v="6.4219999999999997"/>
    <n v="42.98"/>
    <n v="10.18"/>
    <n v="0.16"/>
    <n v="0.39877104377104378"/>
    <n v="0"/>
    <n v="32.241228956228952"/>
    <n v="16.120614478114476"/>
    <x v="51"/>
    <x v="54"/>
    <x v="13"/>
    <d v="2025-02-06T00:00:00"/>
    <x v="2"/>
    <x v="0"/>
    <x v="4"/>
    <s v="ENTREGUE"/>
    <d v="2025-01-13T00:00:00"/>
    <x v="0"/>
    <m/>
    <n v="0"/>
    <n v="0"/>
    <n v="0"/>
    <n v="0"/>
    <n v="0"/>
  </r>
  <r>
    <x v="0"/>
    <s v="BV45659"/>
    <s v="Pedido 668"/>
    <d v="2025-01-02T00:00:00"/>
    <x v="55"/>
    <s v="PedidoF650"/>
    <s v="CódRastreio648"/>
    <n v="1"/>
    <s v="CPF 648"/>
    <s v="Nome 648"/>
    <s v="Tel 648"/>
    <s v="Cep 648"/>
    <s v="Rua 648"/>
    <s v="Comp 648"/>
    <s v="Garrafa Termica"/>
    <s v="FM-QQ8Y-RZT4"/>
    <d v="2025-01-22T00:00:00"/>
    <n v="34.9"/>
    <n v="34.9"/>
    <n v="4.5369999999999999"/>
    <n v="30.36"/>
    <n v="6.99"/>
    <n v="0.16"/>
    <n v="0.39877104377104378"/>
    <n v="0"/>
    <n v="22.811228956228955"/>
    <n v="11.405614478114478"/>
    <x v="51"/>
    <x v="54"/>
    <x v="13"/>
    <d v="2025-02-06T00:00:00"/>
    <x v="2"/>
    <x v="0"/>
    <x v="4"/>
    <s v="ENTREGUE"/>
    <d v="2025-01-08T00:00:00"/>
    <x v="0"/>
    <m/>
    <n v="0"/>
    <n v="0"/>
    <n v="0"/>
    <n v="0"/>
    <n v="0"/>
  </r>
  <r>
    <x v="0"/>
    <s v="BV45659"/>
    <s v="Pedido 669"/>
    <d v="2025-01-02T00:00:00"/>
    <x v="55"/>
    <s v="PedidoF651"/>
    <s v="CódRastreio649"/>
    <n v="1"/>
    <s v="CPF 649"/>
    <s v="Nome 649"/>
    <s v="Tel 649"/>
    <s v="Cep 649"/>
    <s v="Rua 649"/>
    <s v="Comp 649"/>
    <s v="Mini Liquidificador"/>
    <s v="CK-YL6M-P5Y6"/>
    <d v="2025-01-16T00:00:00"/>
    <n v="33.9"/>
    <n v="33.9"/>
    <n v="4.407"/>
    <n v="29.49"/>
    <n v="15.99"/>
    <n v="0.16"/>
    <n v="0.39877104377104378"/>
    <n v="0"/>
    <n v="12.941228956228954"/>
    <n v="6.4706144781144772"/>
    <x v="47"/>
    <x v="50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59"/>
    <s v="Pedido 670"/>
    <d v="2025-01-02T00:00:00"/>
    <x v="55"/>
    <s v="PedidoF652"/>
    <s v="CódRastreio650"/>
    <n v="1"/>
    <s v="CPF 650"/>
    <s v="Nome 650"/>
    <s v="Tel 650"/>
    <s v="Cep 650"/>
    <s v="Rua 650"/>
    <s v="Comp 650"/>
    <s v="Karaoke portátil"/>
    <s v="08-PAJ9-YM9P"/>
    <d v="2025-01-22T00:00:00"/>
    <n v="62.9"/>
    <n v="62.9"/>
    <n v="9.4349999999999987"/>
    <n v="53.47"/>
    <n v="16.57"/>
    <n v="0.16"/>
    <n v="0.39877104377104378"/>
    <n v="0"/>
    <n v="36.341228956228953"/>
    <n v="18.170614478114476"/>
    <x v="51"/>
    <x v="54"/>
    <x v="13"/>
    <d v="2025-02-06T00:00:00"/>
    <x v="2"/>
    <x v="0"/>
    <x v="4"/>
    <s v="ENTREGUE"/>
    <d v="2025-01-14T00:00:00"/>
    <x v="0"/>
    <m/>
    <n v="0"/>
    <n v="0"/>
    <n v="0"/>
    <n v="0"/>
    <n v="0"/>
  </r>
  <r>
    <x v="0"/>
    <s v="BV45659"/>
    <s v="Pedido 671"/>
    <d v="2025-01-02T00:00:00"/>
    <x v="55"/>
    <s v="PedidoF653"/>
    <s v="CódRastreio651"/>
    <n v="1"/>
    <s v="CPF 651"/>
    <s v="Nome 651"/>
    <s v="Tel 651"/>
    <s v="Cep 651"/>
    <s v="Rua 651"/>
    <s v="Comp 651"/>
    <s v="Ventilador Preto"/>
    <s v="MU-J80P-95WF"/>
    <d v="2025-01-28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x v="60"/>
    <x v="63"/>
    <x v="14"/>
    <d v="2025-02-17T00:00:00"/>
    <x v="3"/>
    <x v="0"/>
    <x v="4"/>
    <s v="ENTREGUE"/>
    <d v="2025-01-15T00:00:00"/>
    <x v="0"/>
    <m/>
    <n v="0"/>
    <n v="0"/>
    <n v="0"/>
    <n v="0"/>
    <n v="0"/>
  </r>
  <r>
    <x v="0"/>
    <s v="BV45659"/>
    <s v="Pedido 672"/>
    <d v="2025-01-02T00:00:00"/>
    <x v="55"/>
    <s v="PedidoF654"/>
    <s v="CódRastreio652"/>
    <n v="1"/>
    <s v="CPF 645"/>
    <s v="Nome 645"/>
    <s v="Tel 645"/>
    <s v="Cep 645"/>
    <s v="Rua 645"/>
    <s v="Comp 645"/>
    <s v="Karaoke portátil"/>
    <s v="08-PAJ9-YM9P"/>
    <d v="2025-01-28T00:00:00"/>
    <n v="62.9"/>
    <n v="62.9"/>
    <n v="9.4349999999999987"/>
    <n v="53.47"/>
    <n v="16.57"/>
    <n v="0.16"/>
    <n v="0.39877104377104378"/>
    <n v="0"/>
    <n v="36.341228956228953"/>
    <n v="18.170614478114476"/>
    <x v="60"/>
    <x v="63"/>
    <x v="14"/>
    <d v="2025-02-17T00:00:00"/>
    <x v="3"/>
    <x v="0"/>
    <x v="4"/>
    <s v="ENTREGUE"/>
    <d v="2025-01-14T00:00:00"/>
    <x v="0"/>
    <m/>
    <n v="0"/>
    <n v="0"/>
    <n v="0"/>
    <n v="0"/>
    <n v="0"/>
  </r>
  <r>
    <x v="0"/>
    <s v="BV45659"/>
    <s v="Pedido 673"/>
    <d v="2025-01-02T00:00:00"/>
    <x v="55"/>
    <s v="PedidoF655"/>
    <s v="CódRastreio653"/>
    <n v="1"/>
    <s v="CPF 653"/>
    <s v="Nome 653"/>
    <s v="Tel 653"/>
    <s v="Cep 653"/>
    <s v="Rua 653"/>
    <s v="Comp 653"/>
    <s v="Mini Liquidificador"/>
    <s v="CK-YL6M-P5Y6"/>
    <d v="2025-01-18T00:00:00"/>
    <n v="33.9"/>
    <n v="33.9"/>
    <n v="4.407"/>
    <n v="29.49"/>
    <n v="15.99"/>
    <n v="0.16"/>
    <n v="0.39877104377104378"/>
    <n v="0"/>
    <n v="12.941228956228954"/>
    <n v="6.4706144781144772"/>
    <x v="49"/>
    <x v="52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59"/>
    <s v="Pedido 674"/>
    <d v="2025-01-02T00:00:00"/>
    <x v="55"/>
    <s v="PedidoF656"/>
    <s v="CódRastreio654"/>
    <n v="1"/>
    <s v="CPF 651"/>
    <s v="Nome 651"/>
    <s v="Tel 651"/>
    <s v="Cep 651"/>
    <s v="Rua 651"/>
    <s v="Comp 651"/>
    <s v="Ventilador Preto"/>
    <s v="MU-J80P-95WF"/>
    <d v="2025-01-28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x v="60"/>
    <x v="63"/>
    <x v="14"/>
    <d v="2025-02-17T00:00:00"/>
    <x v="3"/>
    <x v="0"/>
    <x v="4"/>
    <s v="ENTREGUE"/>
    <d v="2025-01-15T00:00:00"/>
    <x v="0"/>
    <m/>
    <n v="0"/>
    <n v="0"/>
    <n v="0"/>
    <n v="0"/>
    <n v="0"/>
  </r>
  <r>
    <x v="0"/>
    <s v="BV45659"/>
    <s v="Pedido 675"/>
    <d v="2025-01-02T00:00:00"/>
    <x v="55"/>
    <s v="PedidoF657"/>
    <s v="CódRastreio655"/>
    <n v="1"/>
    <s v="CPF 654"/>
    <s v="Nome 654"/>
    <s v="Tel 654"/>
    <s v="Cep 654"/>
    <s v="Rua 654"/>
    <s v="Comp 654"/>
    <s v="Ventilador Rosa"/>
    <s v="IF-G2ZQ-79FO"/>
    <d v="2025-01-22T00:00:00"/>
    <n v="49.4"/>
    <n v="49.4"/>
    <n v="6.4219999999999997"/>
    <n v="42.98"/>
    <n v="10.18"/>
    <n v="0.16"/>
    <n v="0.39877104377104378"/>
    <n v="0"/>
    <n v="32.241228956228952"/>
    <n v="16.120614478114476"/>
    <x v="51"/>
    <x v="54"/>
    <x v="13"/>
    <d v="2025-02-06T00:00:00"/>
    <x v="2"/>
    <x v="0"/>
    <x v="4"/>
    <s v="ENTREGUE"/>
    <d v="2025-01-13T00:00:00"/>
    <x v="0"/>
    <m/>
    <n v="0"/>
    <n v="0"/>
    <n v="0"/>
    <n v="0"/>
    <n v="0"/>
  </r>
  <r>
    <x v="0"/>
    <s v="BV45659"/>
    <s v="Pedido 676"/>
    <d v="2025-01-02T00:00:00"/>
    <x v="55"/>
    <s v="PedidoF658"/>
    <s v="CódRastreio656"/>
    <n v="1"/>
    <s v="CPF 655"/>
    <s v="Nome 655"/>
    <s v="Tel 655"/>
    <s v="Cep 655"/>
    <s v="Rua 655"/>
    <s v="Comp 655"/>
    <s v="Adaptador Bluetooph"/>
    <s v="YA-AG3H-SPUK"/>
    <d v="2025-01-28T00:00:00"/>
    <n v="21.99"/>
    <n v="21.99"/>
    <n v="2.6387999999999998"/>
    <n v="19.350000000000001"/>
    <n v="6.99"/>
    <n v="0.16"/>
    <n v="0.39877104377104378"/>
    <n v="0"/>
    <n v="11.801228956228957"/>
    <n v="5.9006144781144787"/>
    <x v="60"/>
    <x v="63"/>
    <x v="14"/>
    <d v="2025-02-17T00:00:00"/>
    <x v="3"/>
    <x v="0"/>
    <x v="4"/>
    <s v="ENTREGUE"/>
    <d v="2025-01-11T00:00:00"/>
    <x v="0"/>
    <m/>
    <n v="0"/>
    <n v="0"/>
    <n v="0"/>
    <n v="0"/>
    <n v="0"/>
  </r>
  <r>
    <x v="0"/>
    <s v="BV45659"/>
    <s v="Pedido 677"/>
    <d v="2025-01-02T00:00:00"/>
    <x v="55"/>
    <s v="PedidoF659"/>
    <s v="CódRastreio657"/>
    <n v="1"/>
    <s v="CPF 656"/>
    <s v="Nome 656"/>
    <s v="Tel 656"/>
    <s v="Cep 656"/>
    <s v="Rua 656"/>
    <s v="Comp 656"/>
    <s v="Adaptador Bluetooph"/>
    <s v="YA-AG3H-SPUK"/>
    <d v="2025-01-29T00:00:00"/>
    <n v="21.99"/>
    <n v="21.99"/>
    <n v="2.6387999999999998"/>
    <n v="19.350000000000001"/>
    <n v="6.99"/>
    <n v="0.16"/>
    <n v="0.39877104377104378"/>
    <n v="0"/>
    <n v="11.801228956228957"/>
    <n v="5.9006144781144787"/>
    <x v="53"/>
    <x v="56"/>
    <x v="14"/>
    <d v="2025-02-17T00:00:00"/>
    <x v="3"/>
    <x v="0"/>
    <x v="4"/>
    <s v="ENTREGUE"/>
    <d v="2025-01-16T00:00:00"/>
    <x v="0"/>
    <m/>
    <n v="0"/>
    <n v="0"/>
    <n v="0"/>
    <n v="0"/>
    <n v="0"/>
  </r>
  <r>
    <x v="0"/>
    <s v="BV45659"/>
    <s v="Pedido 678"/>
    <d v="2025-01-02T00:00:00"/>
    <x v="55"/>
    <s v="PedidoF660"/>
    <s v="CódRastreio658"/>
    <n v="1"/>
    <s v="CPF 657"/>
    <s v="Nome 657"/>
    <s v="Tel 657"/>
    <s v="Cep 657"/>
    <s v="Rua 657"/>
    <s v="Comp 657"/>
    <s v="Adaptador Bluetooph"/>
    <s v="YA-AG3H-SPUK"/>
    <d v="2025-01-29T00:00:00"/>
    <n v="21.99"/>
    <n v="21.99"/>
    <n v="2.6387999999999998"/>
    <n v="19.350000000000001"/>
    <n v="6.99"/>
    <n v="0.16"/>
    <n v="0.39877104377104378"/>
    <n v="0"/>
    <n v="11.801228956228957"/>
    <n v="5.9006144781144787"/>
    <x v="53"/>
    <x v="56"/>
    <x v="14"/>
    <d v="2025-02-17T00:00:00"/>
    <x v="3"/>
    <x v="0"/>
    <x v="4"/>
    <s v="ENTREGUE"/>
    <d v="2025-01-14T00:00:00"/>
    <x v="0"/>
    <m/>
    <n v="0"/>
    <n v="0"/>
    <n v="0"/>
    <n v="0"/>
    <n v="0"/>
  </r>
  <r>
    <x v="0"/>
    <s v="BV45659"/>
    <s v="Pedido 679"/>
    <d v="2025-01-02T00:00:00"/>
    <x v="55"/>
    <s v="PedidoF661"/>
    <s v="CódRastreio659"/>
    <n v="1"/>
    <s v="CPF 658"/>
    <s v="Nome 658"/>
    <s v="Tel 658"/>
    <s v="Cep 658"/>
    <s v="Rua 658"/>
    <s v="Comp 658"/>
    <s v="Ventilador Rosa"/>
    <s v="IF-G2ZQ-79FO"/>
    <d v="2025-01-29T00:00:00"/>
    <n v="49.4"/>
    <n v="49.4"/>
    <n v="6.4219999999999997"/>
    <n v="42.98"/>
    <n v="10.18"/>
    <n v="0.16"/>
    <n v="0.39877104377104378"/>
    <n v="0"/>
    <n v="32.241228956228952"/>
    <n v="16.120614478114476"/>
    <x v="53"/>
    <x v="56"/>
    <x v="14"/>
    <d v="2025-02-17T00:00:00"/>
    <x v="3"/>
    <x v="0"/>
    <x v="4"/>
    <s v="ENTREGUE"/>
    <d v="2025-01-15T00:00:00"/>
    <x v="0"/>
    <m/>
    <n v="0"/>
    <n v="0"/>
    <n v="0"/>
    <n v="0"/>
    <n v="0"/>
  </r>
  <r>
    <x v="0"/>
    <s v="BV45659"/>
    <s v="Pedido 680"/>
    <d v="2025-01-02T00:00:00"/>
    <x v="55"/>
    <s v="PedidoF662"/>
    <s v="CódRastreio660"/>
    <n v="1"/>
    <s v="CPF 659"/>
    <s v="Nome 659"/>
    <s v="Tel 659"/>
    <s v="Cep 659"/>
    <s v="Rua 659"/>
    <s v="Comp 659"/>
    <s v="Ventilador Rosa"/>
    <s v="IF-G2ZQ-79FO"/>
    <d v="2025-01-29T00:00:00"/>
    <n v="49.4"/>
    <n v="49.4"/>
    <n v="6.4219999999999997"/>
    <n v="42.98"/>
    <n v="10.18"/>
    <n v="0.16"/>
    <n v="0.39877104377104378"/>
    <n v="0"/>
    <n v="32.241228956228952"/>
    <n v="16.120614478114476"/>
    <x v="53"/>
    <x v="56"/>
    <x v="14"/>
    <d v="2025-02-17T00:00:00"/>
    <x v="3"/>
    <x v="0"/>
    <x v="4"/>
    <s v="ENTREGUE"/>
    <d v="2025-01-16T00:00:00"/>
    <x v="0"/>
    <m/>
    <n v="0"/>
    <n v="0"/>
    <n v="0"/>
    <n v="0"/>
    <n v="0"/>
  </r>
  <r>
    <x v="0"/>
    <s v="BV45659"/>
    <s v="Pedido 681"/>
    <d v="2025-01-02T00:00:00"/>
    <x v="55"/>
    <s v="PedidoF663"/>
    <s v="CódRastreio661"/>
    <n v="1"/>
    <s v="CPF 660"/>
    <s v="Nome 660"/>
    <s v="Tel 660"/>
    <s v="Cep 660"/>
    <s v="Rua 660"/>
    <s v="Comp 660"/>
    <s v="Ventilador Preto"/>
    <s v="MU-J80P-95WF"/>
    <d v="2025-02-05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x v="61"/>
    <x v="64"/>
    <x v="17"/>
    <d v="2025-02-17T00:00:00"/>
    <x v="3"/>
    <x v="0"/>
    <x v="4"/>
    <s v="ENTREGUE"/>
    <d v="2025-01-25T00:00:00"/>
    <x v="0"/>
    <m/>
    <n v="0"/>
    <n v="0"/>
    <n v="0"/>
    <n v="0"/>
    <n v="0"/>
  </r>
  <r>
    <x v="0"/>
    <s v="BV45659"/>
    <s v="Pedido 682"/>
    <d v="2025-01-02T00:00:00"/>
    <x v="55"/>
    <s v="PedidoF664"/>
    <s v="CódRastreio662"/>
    <n v="1"/>
    <s v="CPF 661"/>
    <s v="Nome 661"/>
    <s v="Tel 661"/>
    <s v="Cep 661"/>
    <s v="Rua 661"/>
    <s v="Comp 661"/>
    <s v="Karaoke portátil"/>
    <s v="08-PAJ9-YM9P"/>
    <d v="2025-01-29T00:00:00"/>
    <n v="62.9"/>
    <n v="62.9"/>
    <n v="9.4349999999999987"/>
    <n v="53.47"/>
    <n v="16.57"/>
    <n v="0.16"/>
    <n v="0.39877104377104378"/>
    <n v="0"/>
    <n v="36.341228956228953"/>
    <n v="18.170614478114476"/>
    <x v="53"/>
    <x v="56"/>
    <x v="14"/>
    <d v="2025-02-17T00:00:00"/>
    <x v="3"/>
    <x v="0"/>
    <x v="4"/>
    <s v="ENTREGUE"/>
    <d v="2025-01-17T00:00:00"/>
    <x v="0"/>
    <m/>
    <n v="0"/>
    <n v="0"/>
    <n v="0"/>
    <n v="0"/>
    <n v="0"/>
  </r>
  <r>
    <x v="0"/>
    <s v="BV45659"/>
    <s v="Pedido 683"/>
    <d v="2025-01-02T00:00:00"/>
    <x v="55"/>
    <s v="PedidoF665"/>
    <s v="CódRastreio663"/>
    <n v="1"/>
    <s v="CPF 662"/>
    <s v="Nome 662"/>
    <s v="Tel 662"/>
    <s v="Cep 662"/>
    <s v="Rua 662"/>
    <s v="Comp 662"/>
    <s v="Ventilador Rosa"/>
    <s v="IF-G2ZQ-79FO"/>
    <d v="2025-01-29T00:00:00"/>
    <n v="49.4"/>
    <n v="49.4"/>
    <n v="6.4219999999999997"/>
    <n v="42.98"/>
    <n v="10.18"/>
    <n v="0.16"/>
    <n v="0.39877104377104378"/>
    <n v="0"/>
    <n v="32.241228956228952"/>
    <n v="16.120614478114476"/>
    <x v="53"/>
    <x v="56"/>
    <x v="14"/>
    <d v="2025-02-17T00:00:00"/>
    <x v="3"/>
    <x v="0"/>
    <x v="4"/>
    <s v="ENTREGUE"/>
    <d v="2025-01-15T00:00:00"/>
    <x v="0"/>
    <m/>
    <n v="0"/>
    <n v="0"/>
    <n v="0"/>
    <n v="0"/>
    <n v="0"/>
  </r>
  <r>
    <x v="0"/>
    <s v="BV45659"/>
    <s v="Pedido 684"/>
    <d v="2025-01-02T00:00:00"/>
    <x v="55"/>
    <s v="PedidoF666"/>
    <s v="CódRastreio664"/>
    <n v="1"/>
    <s v="CPF 663"/>
    <s v="Nome 663"/>
    <s v="Tel 663"/>
    <s v="Cep 663"/>
    <s v="Rua 663"/>
    <s v="Comp 663"/>
    <s v="Ventilador Preto"/>
    <s v="MU-J80P-95WF"/>
    <d v="2025-02-05T00:00:00"/>
    <n v="65.599999999999994"/>
    <n v="65.599999999999994"/>
    <n v="8.5279999999999987"/>
    <n v="57.07"/>
    <n v="10.18"/>
    <n v="0.16"/>
    <n v="0.39877104377104378"/>
    <n v="0"/>
    <n v="46.331228956228955"/>
    <n v="23.165614478114477"/>
    <x v="61"/>
    <x v="64"/>
    <x v="17"/>
    <d v="2025-02-17T00:00:00"/>
    <x v="3"/>
    <x v="0"/>
    <x v="4"/>
    <s v="ENTREGUE"/>
    <d v="2025-01-30T00:00:00"/>
    <x v="0"/>
    <m/>
    <n v="0"/>
    <n v="0"/>
    <n v="0"/>
    <n v="0"/>
    <n v="0"/>
  </r>
  <r>
    <x v="0"/>
    <s v="BV45660"/>
    <s v="Pedido 685"/>
    <d v="2025-01-03T00:00:00"/>
    <x v="56"/>
    <s v="PedidoF667"/>
    <s v="CódRastreio665"/>
    <n v="1"/>
    <s v="CPF 664"/>
    <s v="Nome 664"/>
    <s v="Tel 664"/>
    <s v="Cep 664"/>
    <s v="Rua 664"/>
    <s v="Comp 664"/>
    <s v="Ventilador Preto"/>
    <s v="MU-J80P-95WF"/>
    <d v="2025-01-23T00:00:00"/>
    <n v="65.599999999999994"/>
    <n v="65.599999999999994"/>
    <n v="8.5279999999999987"/>
    <n v="57.07"/>
    <n v="10.15"/>
    <n v="0.23"/>
    <n v="0.39877104377104378"/>
    <n v="0"/>
    <n v="46.291228956228956"/>
    <n v="23.145614478114478"/>
    <x v="54"/>
    <x v="57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60"/>
    <s v="Pedido 686"/>
    <d v="2025-01-03T00:00:00"/>
    <x v="56"/>
    <s v="PedidoF668"/>
    <s v="CódRastreio666"/>
    <n v="1"/>
    <s v="CPF 665"/>
    <s v="Nome 665"/>
    <s v="Tel 665"/>
    <s v="Cep 665"/>
    <s v="Rua 665"/>
    <s v="Comp 665"/>
    <s v="Ventilador Rosa"/>
    <s v="IF-G2ZQ-79FO"/>
    <d v="2025-01-29T00:00:00"/>
    <n v="46.9"/>
    <n v="46.9"/>
    <n v="6.0970000000000004"/>
    <n v="40.799999999999997"/>
    <n v="13.25"/>
    <n v="0.23"/>
    <n v="0.39877104377104378"/>
    <n v="0"/>
    <n v="26.921228956228951"/>
    <n v="13.460614478114476"/>
    <x v="53"/>
    <x v="56"/>
    <x v="14"/>
    <d v="2025-02-17T00:00:00"/>
    <x v="3"/>
    <x v="0"/>
    <x v="4"/>
    <s v="ENTREGUE"/>
    <d v="2025-01-20T00:00:00"/>
    <x v="0"/>
    <m/>
    <n v="0"/>
    <n v="0"/>
    <n v="0"/>
    <n v="0"/>
    <n v="0"/>
  </r>
  <r>
    <x v="0"/>
    <s v="BV45660"/>
    <s v="Pedido 687"/>
    <d v="2025-01-03T00:00:00"/>
    <x v="56"/>
    <s v="PedidoF669"/>
    <s v="CódRastreio667"/>
    <n v="1"/>
    <s v="CPF 666"/>
    <s v="Nome 666"/>
    <s v="Tel 666"/>
    <s v="Cep 666"/>
    <s v="Rua 666"/>
    <s v="Comp 666"/>
    <s v="Ventilador Preto"/>
    <s v="MU-J80P-95WF"/>
    <d v="2025-01-30T00:00:00"/>
    <n v="65.599999999999994"/>
    <n v="65.599999999999994"/>
    <n v="8.5279999999999987"/>
    <n v="57.07"/>
    <n v="10.15"/>
    <n v="0.23"/>
    <n v="0.39877104377104378"/>
    <n v="0"/>
    <n v="46.291228956228956"/>
    <n v="23.145614478114478"/>
    <x v="56"/>
    <x v="59"/>
    <x v="15"/>
    <d v="2025-02-17T00:00:00"/>
    <x v="3"/>
    <x v="0"/>
    <x v="4"/>
    <s v="ENTREGUE"/>
    <d v="2025-01-20T00:00:00"/>
    <x v="0"/>
    <m/>
    <n v="0"/>
    <n v="0"/>
    <n v="0"/>
    <n v="0"/>
    <n v="0"/>
  </r>
  <r>
    <x v="0"/>
    <s v="BV45660"/>
    <s v="Pedido 688"/>
    <d v="2025-01-03T00:00:00"/>
    <x v="56"/>
    <s v="PedidoF670"/>
    <s v="CódRastreio668"/>
    <n v="1"/>
    <s v="CPF 667"/>
    <s v="Nome 667"/>
    <s v="Tel 667"/>
    <s v="Cep 667"/>
    <s v="Rua 667"/>
    <s v="Comp 667"/>
    <s v="Suporte de Celular Branco"/>
    <s v="16-4EDB-WMZF"/>
    <d v="2025-01-30T00:00:00"/>
    <n v="21.99"/>
    <n v="21.99"/>
    <n v="3.2984999999999998"/>
    <n v="18.690000000000001"/>
    <n v="6.99"/>
    <n v="0.23"/>
    <n v="0.39877104377104378"/>
    <n v="0"/>
    <n v="11.071228956228957"/>
    <n v="5.5356144781144785"/>
    <x v="56"/>
    <x v="59"/>
    <x v="15"/>
    <d v="2025-02-17T00:00:00"/>
    <x v="3"/>
    <x v="0"/>
    <x v="4"/>
    <s v="ENTREGUE"/>
    <d v="2025-01-15T00:00:00"/>
    <x v="0"/>
    <m/>
    <n v="0"/>
    <n v="0"/>
    <n v="0"/>
    <n v="0"/>
    <n v="0"/>
  </r>
  <r>
    <x v="0"/>
    <s v="BV45660"/>
    <s v="Pedido 689"/>
    <d v="2025-01-03T00:00:00"/>
    <x v="56"/>
    <s v="PedidoF671"/>
    <s v="CódRastreio669"/>
    <n v="1"/>
    <s v="CPF 668"/>
    <s v="Nome 668"/>
    <s v="Tel 668"/>
    <s v="Cep 668"/>
    <s v="Rua 668"/>
    <s v="Comp 668"/>
    <s v="Ventilador Rosa"/>
    <s v="IF-G2ZQ-79FO"/>
    <d v="2025-01-30T00:00:00"/>
    <n v="46.9"/>
    <n v="46.9"/>
    <n v="6.0970000000000004"/>
    <n v="40.799999999999997"/>
    <n v="10.15"/>
    <n v="0.23"/>
    <n v="0.39877104377104378"/>
    <n v="0"/>
    <n v="30.021228956228953"/>
    <n v="15.010614478114476"/>
    <x v="56"/>
    <x v="59"/>
    <x v="15"/>
    <d v="2025-02-17T00:00:00"/>
    <x v="3"/>
    <x v="0"/>
    <x v="4"/>
    <s v="ENTREGUE"/>
    <d v="2025-01-08T00:00:00"/>
    <x v="0"/>
    <m/>
    <n v="0"/>
    <n v="0"/>
    <n v="0"/>
    <n v="0"/>
    <n v="0"/>
  </r>
  <r>
    <x v="0"/>
    <s v="BV45660"/>
    <s v="Pedido 690"/>
    <d v="2025-01-03T00:00:00"/>
    <x v="56"/>
    <s v="PedidoF672"/>
    <s v="CódRastreio670"/>
    <n v="1"/>
    <s v="CPF 669"/>
    <s v="Nome 669"/>
    <s v="Tel 669"/>
    <s v="Cep 669"/>
    <s v="Rua 669"/>
    <s v="Comp 669"/>
    <s v="Adaptador Bluetooph"/>
    <s v="YA-AG3H-SPUK"/>
    <d v="2025-01-30T00:00:00"/>
    <n v="21.99"/>
    <n v="21.99"/>
    <n v="2.6387999999999998"/>
    <n v="19.350000000000001"/>
    <n v="6.99"/>
    <n v="0.23"/>
    <n v="0.39877104377104378"/>
    <n v="0"/>
    <n v="11.731228956228957"/>
    <n v="5.8656144781144786"/>
    <x v="56"/>
    <x v="59"/>
    <x v="15"/>
    <d v="2025-02-17T00:00:00"/>
    <x v="3"/>
    <x v="0"/>
    <x v="4"/>
    <s v="ENTREGUE"/>
    <d v="2025-01-15T00:00:00"/>
    <x v="0"/>
    <m/>
    <n v="0"/>
    <n v="0"/>
    <n v="0"/>
    <n v="0"/>
    <n v="0"/>
  </r>
  <r>
    <x v="0"/>
    <s v="BV45660"/>
    <s v="Pedido 691"/>
    <d v="2025-01-03T00:00:00"/>
    <x v="56"/>
    <s v="PedidoF673"/>
    <s v="CódRastreio671"/>
    <n v="1"/>
    <s v="CPF 670"/>
    <s v="Nome 670"/>
    <s v="Tel 670"/>
    <s v="Cep 670"/>
    <s v="Rua 670"/>
    <s v="Comp 670"/>
    <s v="Ventilador Rosa"/>
    <s v="IF-G2ZQ-79FO"/>
    <d v="2025-01-30T00:00:00"/>
    <n v="46.9"/>
    <n v="46.9"/>
    <n v="6.0970000000000004"/>
    <n v="40.799999999999997"/>
    <n v="10.15"/>
    <n v="0.23"/>
    <n v="0.39877104377104378"/>
    <n v="0"/>
    <n v="30.021228956228953"/>
    <n v="15.010614478114476"/>
    <x v="56"/>
    <x v="59"/>
    <x v="15"/>
    <d v="2025-02-17T00:00:00"/>
    <x v="3"/>
    <x v="0"/>
    <x v="4"/>
    <s v="ENTREGUE"/>
    <d v="2025-01-21T00:00:00"/>
    <x v="0"/>
    <m/>
    <n v="0"/>
    <n v="0"/>
    <n v="0"/>
    <n v="0"/>
    <n v="0"/>
  </r>
  <r>
    <x v="0"/>
    <s v="BV45660"/>
    <s v="Pedido 692"/>
    <d v="2025-01-03T00:00:00"/>
    <x v="56"/>
    <s v="PedidoF674"/>
    <s v="CódRastreio672"/>
    <n v="1"/>
    <s v="CPF 671"/>
    <s v="Nome 671"/>
    <s v="Tel 671"/>
    <s v="Cep 671"/>
    <s v="Rua 671"/>
    <s v="Comp 671"/>
    <s v="Ventilador Rosa"/>
    <s v="IF-G2ZQ-79FO"/>
    <d v="2025-02-06T00:00:00"/>
    <n v="46.9"/>
    <n v="46.9"/>
    <n v="6.0970000000000004"/>
    <n v="40.799999999999997"/>
    <n v="10.15"/>
    <n v="0.23"/>
    <n v="0.39877104377104378"/>
    <n v="0"/>
    <n v="30.021228956228953"/>
    <n v="15.010614478114476"/>
    <x v="62"/>
    <x v="65"/>
    <x v="17"/>
    <d v="2025-02-17T00:00:00"/>
    <x v="3"/>
    <x v="0"/>
    <x v="4"/>
    <s v="ENTREGUE"/>
    <d v="2025-01-21T00:00:00"/>
    <x v="0"/>
    <m/>
    <n v="0"/>
    <n v="0"/>
    <n v="0"/>
    <n v="0"/>
    <n v="0"/>
  </r>
  <r>
    <x v="0"/>
    <s v="BV45660"/>
    <s v="Pedido 693"/>
    <d v="2025-01-03T00:00:00"/>
    <x v="56"/>
    <s v="PedidoF675"/>
    <s v="CódRastreio673"/>
    <n v="1"/>
    <s v="CPF 672"/>
    <s v="Nome 672"/>
    <s v="Tel 672"/>
    <s v="Cep 672"/>
    <s v="Rua 672"/>
    <s v="Comp 672"/>
    <s v="Adaptador Bluetooph"/>
    <s v="YA-AG3H-SPUK"/>
    <d v="2025-01-24T00:00:00"/>
    <n v="21.99"/>
    <n v="21.99"/>
    <n v="2.6387999999999998"/>
    <n v="19.350000000000001"/>
    <n v="6.99"/>
    <n v="0.23"/>
    <n v="0.39877104377104378"/>
    <n v="0"/>
    <n v="11.731228956228957"/>
    <n v="5.8656144781144786"/>
    <x v="57"/>
    <x v="60"/>
    <x v="13"/>
    <d v="2025-02-06T00:00:00"/>
    <x v="2"/>
    <x v="0"/>
    <x v="4"/>
    <s v="ENTREGUE"/>
    <d v="2025-01-16T00:00:00"/>
    <x v="0"/>
    <m/>
    <n v="0"/>
    <n v="0"/>
    <n v="0"/>
    <n v="0"/>
    <n v="0"/>
  </r>
  <r>
    <x v="0"/>
    <s v="BV45660"/>
    <s v="Pedido 694"/>
    <d v="2025-01-03T00:00:00"/>
    <x v="56"/>
    <s v="PedidoF676"/>
    <s v="CódRastreio674"/>
    <n v="1"/>
    <s v="CPF 673"/>
    <s v="Nome 673"/>
    <s v="Tel 673"/>
    <s v="Cep 673"/>
    <s v="Rua 673"/>
    <s v="Comp 673"/>
    <s v="Adaptador Bluetooph"/>
    <s v="YA-AG3H-SPUK"/>
    <d v="2025-01-24T00:00:00"/>
    <n v="21.99"/>
    <n v="21.99"/>
    <n v="2.6387999999999998"/>
    <n v="19.350000000000001"/>
    <n v="6.99"/>
    <n v="0.23"/>
    <n v="0.39877104377104378"/>
    <n v="0"/>
    <n v="11.731228956228957"/>
    <n v="5.8656144781144786"/>
    <x v="57"/>
    <x v="60"/>
    <x v="13"/>
    <d v="2025-02-06T00:00:00"/>
    <x v="2"/>
    <x v="0"/>
    <x v="4"/>
    <s v="ENTREGUE"/>
    <d v="2025-01-16T00:00:00"/>
    <x v="0"/>
    <m/>
    <n v="0"/>
    <n v="0"/>
    <n v="0"/>
    <n v="0"/>
    <n v="0"/>
  </r>
  <r>
    <x v="0"/>
    <s v="BV45660"/>
    <s v="Pedido 695"/>
    <d v="2025-01-03T00:00:00"/>
    <x v="56"/>
    <s v="PedidoF677"/>
    <s v="CódRastreio675"/>
    <n v="1"/>
    <s v="CPF 674"/>
    <s v="Nome 674"/>
    <s v="Tel 674"/>
    <s v="Cep 674"/>
    <s v="Rua 674"/>
    <s v="Comp 674"/>
    <s v="Ventilador Rosa"/>
    <s v="IF-G2ZQ-79FO"/>
    <d v="2025-01-30T00:00:00"/>
    <n v="46.9"/>
    <n v="46.9"/>
    <n v="6.0970000000000004"/>
    <n v="40.799999999999997"/>
    <n v="10.15"/>
    <n v="0.23"/>
    <n v="0.39877104377104378"/>
    <n v="0"/>
    <n v="30.021228956228953"/>
    <n v="15.010614478114476"/>
    <x v="56"/>
    <x v="59"/>
    <x v="15"/>
    <d v="2025-02-17T00:00:00"/>
    <x v="3"/>
    <x v="0"/>
    <x v="4"/>
    <s v="ENTREGUE"/>
    <d v="2025-01-23T00:00:00"/>
    <x v="0"/>
    <m/>
    <n v="0"/>
    <n v="0"/>
    <n v="0"/>
    <n v="0"/>
    <n v="0"/>
  </r>
  <r>
    <x v="0"/>
    <s v="BV45660"/>
    <s v="Pedido 696"/>
    <d v="2025-01-03T00:00:00"/>
    <x v="56"/>
    <s v="PedidoF678"/>
    <s v="CódRastreio676"/>
    <n v="1"/>
    <s v="CPF 675"/>
    <s v="Nome 675"/>
    <s v="Tel 675"/>
    <s v="Cep 675"/>
    <s v="Rua 675"/>
    <s v="Comp 675"/>
    <s v="Mini Liquidificador"/>
    <s v="CK-YL6M-P5Y6"/>
    <d v="2025-01-18T00:00:00"/>
    <n v="33.9"/>
    <n v="33.9"/>
    <n v="4.407"/>
    <n v="29.49"/>
    <n v="15.99"/>
    <n v="0.23"/>
    <n v="0.39877104377104378"/>
    <n v="0"/>
    <n v="12.871228956228954"/>
    <n v="6.4356144781144771"/>
    <x v="49"/>
    <x v="52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60"/>
    <s v="Pedido 697"/>
    <d v="2025-01-03T00:00:00"/>
    <x v="56"/>
    <s v="PedidoF679"/>
    <s v="CódRastreio677"/>
    <n v="1"/>
    <s v="CPF 676"/>
    <s v="Nome 676"/>
    <s v="Tel 676"/>
    <s v="Cep 676"/>
    <s v="Rua 676"/>
    <s v="Comp 676"/>
    <s v="Adaptador Bluetooph"/>
    <s v="YA-AG3H-SPUK"/>
    <d v="2025-01-24T00:00:00"/>
    <n v="21.99"/>
    <n v="21.99"/>
    <n v="2.6387999999999998"/>
    <n v="19.350000000000001"/>
    <n v="6.99"/>
    <n v="0.23"/>
    <n v="0.39877104377104378"/>
    <n v="0"/>
    <n v="11.731228956228957"/>
    <n v="5.8656144781144786"/>
    <x v="57"/>
    <x v="60"/>
    <x v="13"/>
    <d v="2025-02-06T00:00:00"/>
    <x v="2"/>
    <x v="0"/>
    <x v="4"/>
    <s v="ENTREGUE"/>
    <d v="2025-01-11T00:00:00"/>
    <x v="0"/>
    <m/>
    <n v="0"/>
    <n v="0"/>
    <n v="0"/>
    <n v="0"/>
    <n v="0"/>
  </r>
  <r>
    <x v="0"/>
    <s v="BV45660"/>
    <s v="Pedido 698"/>
    <d v="2025-01-03T00:00:00"/>
    <x v="56"/>
    <s v="PedidoF680"/>
    <s v="CódRastreio678"/>
    <n v="1"/>
    <s v="CPF 677"/>
    <s v="Nome 677"/>
    <s v="Tel 677"/>
    <s v="Cep 677"/>
    <s v="Rua 677"/>
    <s v="Comp 677"/>
    <s v="Ventilador Rosa"/>
    <s v="IF-G2ZQ-79FO"/>
    <d v="2025-01-24T00:00:00"/>
    <n v="46.9"/>
    <n v="46.9"/>
    <n v="6.0970000000000004"/>
    <n v="40.799999999999997"/>
    <n v="10.15"/>
    <n v="0.23"/>
    <n v="0.39877104377104378"/>
    <n v="0"/>
    <n v="30.021228956228953"/>
    <n v="15.010614478114476"/>
    <x v="57"/>
    <x v="60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-"/>
    <s v="Pedido 699"/>
    <d v="2024-12-01T00:00:00"/>
    <x v="0"/>
    <s v="-"/>
    <s v="-"/>
    <n v="1"/>
    <s v="CPF 678"/>
    <s v="Nome 678"/>
    <s v="Tel 678"/>
    <s v="Cep 678"/>
    <s v="Rua 678"/>
    <s v="Comp 678"/>
    <s v="Ventilador Preto"/>
    <s v="MU-J80P-95WF"/>
    <d v="2025-01-24T00:00:00"/>
    <n v="65.599999999999994"/>
    <n v="65.599999999999994"/>
    <n v="8.5279999999999987"/>
    <n v="57.07"/>
    <n v="0"/>
    <n v="0"/>
    <n v="0"/>
    <n v="0"/>
    <n v="57.07"/>
    <n v="28.535"/>
    <x v="57"/>
    <x v="60"/>
    <x v="13"/>
    <d v="2025-02-06T00:00:00"/>
    <x v="2"/>
    <x v="0"/>
    <x v="0"/>
    <s v="-"/>
    <s v="-"/>
    <x v="0"/>
    <m/>
    <n v="1.71"/>
    <n v="0"/>
    <n v="0"/>
    <n v="0"/>
    <n v="1.71"/>
  </r>
  <r>
    <x v="0"/>
    <s v="BV45660"/>
    <s v="Pedido 700"/>
    <d v="2025-01-03T00:00:00"/>
    <x v="56"/>
    <s v="PedidoF681"/>
    <s v="CódRastreio679"/>
    <n v="1"/>
    <s v="CPF 679"/>
    <s v="Nome 679"/>
    <s v="Tel 679"/>
    <s v="Cep 679"/>
    <s v="Rua 679"/>
    <s v="Comp 679"/>
    <s v="Mini Liquidificador"/>
    <s v="CK-YL6M-P5Y6"/>
    <d v="2025-01-30T00:00:00"/>
    <n v="33.9"/>
    <n v="33.9"/>
    <n v="4.407"/>
    <n v="29.49"/>
    <n v="15.99"/>
    <n v="0.23"/>
    <n v="0.39877104377104378"/>
    <n v="0"/>
    <n v="12.871228956228954"/>
    <n v="6.4356144781144771"/>
    <x v="56"/>
    <x v="59"/>
    <x v="15"/>
    <d v="2025-02-17T00:00:00"/>
    <x v="3"/>
    <x v="0"/>
    <x v="4"/>
    <s v="ENTREGUE"/>
    <d v="2025-01-11T00:00:00"/>
    <x v="0"/>
    <m/>
    <n v="0"/>
    <n v="0"/>
    <n v="0"/>
    <n v="0"/>
    <n v="0"/>
  </r>
  <r>
    <x v="0"/>
    <s v="BV45662"/>
    <s v="Pedido 701"/>
    <d v="2025-01-05T00:00:00"/>
    <x v="57"/>
    <s v="PedidoF682"/>
    <s v="CódRastreio680"/>
    <n v="1"/>
    <s v="CPF 680"/>
    <s v="Nome 680"/>
    <s v="Tel 680"/>
    <s v="Cep 680"/>
    <s v="Rua 680"/>
    <s v="Comp 680"/>
    <s v="Adaptador Bluetooph"/>
    <s v="YA-AG3H-SPUK"/>
    <d v="2025-01-18T00:00:00"/>
    <n v="21.99"/>
    <n v="21.99"/>
    <n v="2.6387999999999998"/>
    <n v="19.350000000000001"/>
    <n v="6.99"/>
    <n v="0.22"/>
    <n v="0.39877104377104378"/>
    <n v="0"/>
    <n v="11.741228956228959"/>
    <n v="5.8706144781144793"/>
    <x v="49"/>
    <x v="52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62"/>
    <s v="Pedido 702"/>
    <d v="2025-01-05T00:00:00"/>
    <x v="57"/>
    <s v="PedidoF683"/>
    <s v="CódRastreio681"/>
    <n v="1"/>
    <s v="CPF 681"/>
    <s v="Nome 681"/>
    <s v="Tel 681"/>
    <s v="Cep 681"/>
    <s v="Rua 681"/>
    <s v="Comp 681"/>
    <s v="Ventilador Rosa"/>
    <s v="IF-G2ZQ-79FO"/>
    <d v="2025-02-06T00:00:00"/>
    <n v="46.9"/>
    <n v="46.9"/>
    <n v="6.0970000000000004"/>
    <n v="40.799999999999997"/>
    <n v="10.15"/>
    <n v="0.22"/>
    <n v="0.39877104377104378"/>
    <n v="0"/>
    <n v="30.031228956228951"/>
    <n v="15.015614478114475"/>
    <x v="62"/>
    <x v="65"/>
    <x v="17"/>
    <d v="2025-02-17T00:00:00"/>
    <x v="3"/>
    <x v="0"/>
    <x v="4"/>
    <s v="ENTREGUE"/>
    <d v="2025-01-21T00:00:00"/>
    <x v="0"/>
    <m/>
    <n v="0"/>
    <n v="0"/>
    <n v="0"/>
    <n v="0"/>
    <n v="0"/>
  </r>
  <r>
    <x v="0"/>
    <s v="BV45662"/>
    <s v="Pedido 703"/>
    <d v="2025-01-05T00:00:00"/>
    <x v="57"/>
    <s v="PedidoF684"/>
    <s v="CódRastreio682"/>
    <n v="1"/>
    <s v="CPF 682"/>
    <s v="Nome 682"/>
    <s v="Tel 682"/>
    <s v="Cep 682"/>
    <s v="Rua 682"/>
    <s v="Comp 682"/>
    <s v="Garrafa Termica"/>
    <s v="FM-QQ8Y-RZT4"/>
    <d v="2025-01-22T00:00:00"/>
    <n v="34.9"/>
    <n v="34.9"/>
    <n v="4.5369999999999999"/>
    <n v="30.36"/>
    <n v="6.99"/>
    <n v="0.22"/>
    <n v="0.39877104377104378"/>
    <n v="0"/>
    <n v="22.751228956228957"/>
    <n v="11.375614478114478"/>
    <x v="51"/>
    <x v="54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62"/>
    <s v="Pedido 704"/>
    <d v="2025-01-05T00:00:00"/>
    <x v="57"/>
    <s v="PedidoF685"/>
    <s v="CódRastreio683"/>
    <n v="1"/>
    <s v="CPF 683"/>
    <s v="Nome 683"/>
    <s v="Tel 683"/>
    <s v="Cep 683"/>
    <s v="Rua 683"/>
    <s v="Comp 683"/>
    <s v="Ventilador Preto"/>
    <s v="MU-J80P-95WF"/>
    <d v="2025-01-24T00:00:00"/>
    <n v="65.599999999999994"/>
    <n v="65.599999999999994"/>
    <n v="8.5279999999999987"/>
    <n v="57.07"/>
    <n v="10.15"/>
    <n v="0.22"/>
    <n v="0.39877104377104378"/>
    <n v="0"/>
    <n v="46.301228956228954"/>
    <n v="23.150614478114477"/>
    <x v="57"/>
    <x v="60"/>
    <x v="13"/>
    <d v="2025-02-06T00:00:00"/>
    <x v="2"/>
    <x v="0"/>
    <x v="4"/>
    <s v="ENTREGUE"/>
    <d v="2025-01-11T00:00:00"/>
    <x v="0"/>
    <m/>
    <n v="0"/>
    <n v="0"/>
    <n v="0"/>
    <n v="0"/>
    <n v="0"/>
  </r>
  <r>
    <x v="0"/>
    <s v="BV45662"/>
    <s v="Pedido 705"/>
    <d v="2025-01-05T00:00:00"/>
    <x v="57"/>
    <s v="PedidoF686"/>
    <s v="CódRastreio684"/>
    <n v="1"/>
    <s v="CPF 684"/>
    <s v="Nome 684"/>
    <s v="Tel 684"/>
    <s v="Cep 684"/>
    <s v="Rua 684"/>
    <s v="Comp 684"/>
    <s v="Adaptador Bluetooph"/>
    <s v="YA-AG3H-SPUK"/>
    <d v="2025-01-24T00:00:00"/>
    <n v="21.99"/>
    <n v="21.99"/>
    <n v="2.6387999999999998"/>
    <n v="19.350000000000001"/>
    <n v="6.99"/>
    <n v="0.22"/>
    <n v="0.39877104377104378"/>
    <n v="0"/>
    <n v="11.741228956228959"/>
    <n v="5.8706144781144793"/>
    <x v="57"/>
    <x v="60"/>
    <x v="13"/>
    <d v="2025-02-06T00:00:00"/>
    <x v="2"/>
    <x v="0"/>
    <x v="4"/>
    <s v="ENTREGUE"/>
    <d v="2025-01-13T00:00:00"/>
    <x v="0"/>
    <m/>
    <n v="0"/>
    <n v="0"/>
    <n v="0"/>
    <n v="0"/>
    <n v="0"/>
  </r>
  <r>
    <x v="0"/>
    <s v="BV45662"/>
    <s v="Pedido 706"/>
    <d v="2025-01-05T00:00:00"/>
    <x v="57"/>
    <s v="PedidoF687"/>
    <s v="CódRastreio685"/>
    <n v="1"/>
    <s v="CPF 658"/>
    <s v="Nome 658"/>
    <s v="Tel 658"/>
    <s v="Cep 658"/>
    <s v="Rua 658"/>
    <s v="Comp 658"/>
    <s v="Ventilador Rosa"/>
    <s v="IF-G2ZQ-79FO"/>
    <d v="2025-01-30T00:00:00"/>
    <n v="49.4"/>
    <n v="49.4"/>
    <n v="6.4219999999999997"/>
    <n v="42.98"/>
    <n v="10.15"/>
    <n v="0.22"/>
    <n v="0.39877104377104378"/>
    <n v="0"/>
    <n v="32.21122895622895"/>
    <n v="16.105614478114475"/>
    <x v="56"/>
    <x v="59"/>
    <x v="15"/>
    <d v="2025-02-17T00:00:00"/>
    <x v="3"/>
    <x v="0"/>
    <x v="4"/>
    <s v="ENTREGUE"/>
    <d v="2025-01-16T00:00:00"/>
    <x v="0"/>
    <m/>
    <n v="0"/>
    <n v="0"/>
    <n v="0"/>
    <n v="0"/>
    <n v="0"/>
  </r>
  <r>
    <x v="0"/>
    <s v="BV45662"/>
    <s v="Pedido 707"/>
    <d v="2025-01-05T00:00:00"/>
    <x v="57"/>
    <s v="PedidoF688"/>
    <s v="CódRastreio686"/>
    <n v="1"/>
    <s v="CPF 685"/>
    <s v="Nome 685"/>
    <s v="Tel 685"/>
    <s v="Cep 685"/>
    <s v="Rua 685"/>
    <s v="Comp 685"/>
    <s v="Suporte de Celular Branco"/>
    <s v="16-4EDB-WMZF"/>
    <d v="2025-01-24T00:00:00"/>
    <n v="21.99"/>
    <n v="21.99"/>
    <n v="3.2984999999999998"/>
    <n v="18.690000000000001"/>
    <n v="6.99"/>
    <n v="0.22"/>
    <n v="0.39877104377104378"/>
    <n v="0"/>
    <n v="11.081228956228959"/>
    <n v="5.5406144781144793"/>
    <x v="57"/>
    <x v="60"/>
    <x v="13"/>
    <d v="2025-02-06T00:00:00"/>
    <x v="2"/>
    <x v="0"/>
    <x v="4"/>
    <s v="ENTREGUE"/>
    <d v="2025-01-15T00:00:00"/>
    <x v="0"/>
    <m/>
    <n v="0"/>
    <n v="0"/>
    <n v="0"/>
    <n v="0"/>
    <n v="0"/>
  </r>
  <r>
    <x v="0"/>
    <s v="BV45662"/>
    <s v="Pedido 708"/>
    <d v="2025-01-05T00:00:00"/>
    <x v="57"/>
    <s v="PedidoF689"/>
    <s v="CódRastreio687"/>
    <n v="1"/>
    <s v="CPF 686"/>
    <s v="Nome 686"/>
    <s v="Tel 686"/>
    <s v="Cep 686"/>
    <s v="Rua 686"/>
    <s v="Comp 686"/>
    <s v="Adaptador Bluetooph"/>
    <s v="YA-AG3H-SPUK"/>
    <d v="2025-01-18T00:00:00"/>
    <n v="21.99"/>
    <n v="21.99"/>
    <n v="2.6387999999999998"/>
    <n v="19.350000000000001"/>
    <n v="6.99"/>
    <n v="0.22"/>
    <n v="0.39877104377104378"/>
    <n v="0"/>
    <n v="11.741228956228959"/>
    <n v="5.8706144781144793"/>
    <x v="49"/>
    <x v="52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62"/>
    <s v="Pedido 709"/>
    <d v="2025-01-05T00:00:00"/>
    <x v="57"/>
    <s v="PedidoF690"/>
    <s v="CódRastreio688"/>
    <n v="1"/>
    <s v="CPF 687"/>
    <s v="Nome 687"/>
    <s v="Tel 687"/>
    <s v="Cep 687"/>
    <s v="Rua 687"/>
    <s v="Comp 687"/>
    <s v="Adaptador Bluetooph"/>
    <s v="YA-AG3H-SPUK"/>
    <d v="2025-01-24T00:00:00"/>
    <n v="21.99"/>
    <n v="21.99"/>
    <n v="2.6387999999999998"/>
    <n v="19.350000000000001"/>
    <n v="6.99"/>
    <n v="0.22"/>
    <n v="0.39877104377104378"/>
    <n v="0"/>
    <n v="11.741228956228959"/>
    <n v="5.8706144781144793"/>
    <x v="57"/>
    <x v="60"/>
    <x v="13"/>
    <d v="2025-02-06T00:00:00"/>
    <x v="2"/>
    <x v="0"/>
    <x v="4"/>
    <s v="ENTREGUE"/>
    <d v="2025-01-13T00:00:00"/>
    <x v="0"/>
    <m/>
    <n v="0"/>
    <n v="0"/>
    <n v="0"/>
    <n v="0"/>
    <n v="0"/>
  </r>
  <r>
    <x v="0"/>
    <s v="BV45662"/>
    <s v="Pedido 710"/>
    <d v="2025-01-05T00:00:00"/>
    <x v="57"/>
    <s v="PedidoF691"/>
    <s v="CódRastreio689"/>
    <n v="1"/>
    <s v="CPF 688"/>
    <s v="Nome 688"/>
    <s v="Tel 688"/>
    <s v="Cep 688"/>
    <s v="Rua 688"/>
    <s v="Comp 688"/>
    <s v="Ventilador Preto"/>
    <s v="MU-J80P-95WF"/>
    <d v="2025-01-24T00:00:00"/>
    <n v="65.599999999999994"/>
    <n v="65.599999999999994"/>
    <n v="8.5279999999999987"/>
    <n v="57.07"/>
    <n v="10.15"/>
    <n v="0.22"/>
    <n v="0.39877104377104378"/>
    <n v="0"/>
    <n v="46.301228956228954"/>
    <n v="23.150614478114477"/>
    <x v="57"/>
    <x v="60"/>
    <x v="13"/>
    <d v="2025-02-06T00:00:00"/>
    <x v="2"/>
    <x v="0"/>
    <x v="4"/>
    <s v="ENTREGUE"/>
    <d v="2025-01-13T00:00:00"/>
    <x v="0"/>
    <m/>
    <n v="0"/>
    <n v="0"/>
    <n v="0"/>
    <n v="0"/>
    <n v="0"/>
  </r>
  <r>
    <x v="0"/>
    <s v="BV45662"/>
    <s v="Pedido 711"/>
    <d v="2025-01-05T00:00:00"/>
    <x v="57"/>
    <s v="PedidoF692"/>
    <s v="CódRastreio690"/>
    <n v="1"/>
    <s v="CPF 689"/>
    <s v="Nome 689"/>
    <s v="Tel 689"/>
    <s v="Cep 689"/>
    <s v="Rua 689"/>
    <s v="Comp 689"/>
    <s v="Ventilador Rosa"/>
    <s v="IF-G2ZQ-79FO"/>
    <d v="2025-02-06T00:00:00"/>
    <n v="46.9"/>
    <n v="46.9"/>
    <n v="6.0970000000000004"/>
    <n v="40.799999999999997"/>
    <n v="10.15"/>
    <n v="0.22"/>
    <n v="0.39877104377104378"/>
    <n v="0"/>
    <n v="30.031228956228951"/>
    <n v="15.015614478114475"/>
    <x v="62"/>
    <x v="65"/>
    <x v="17"/>
    <d v="2025-02-17T00:00:00"/>
    <x v="3"/>
    <x v="0"/>
    <x v="4"/>
    <s v="ENTREGUE"/>
    <d v="2025-01-21T00:00:00"/>
    <x v="0"/>
    <m/>
    <n v="0"/>
    <n v="0"/>
    <n v="0"/>
    <n v="0"/>
    <n v="0"/>
  </r>
  <r>
    <x v="0"/>
    <s v="BV45662"/>
    <s v="Pedido 712"/>
    <d v="2025-01-05T00:00:00"/>
    <x v="57"/>
    <s v="PedidoF693"/>
    <s v="CódRastreio691"/>
    <n v="1"/>
    <s v="CPF 690"/>
    <s v="Nome 690"/>
    <s v="Tel 690"/>
    <s v="Cep 690"/>
    <s v="Rua 690"/>
    <s v="Comp 690"/>
    <s v="Bomba d'agua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x v="56"/>
    <x v="59"/>
    <x v="15"/>
    <d v="2025-02-17T00:00:00"/>
    <x v="3"/>
    <x v="0"/>
    <x v="4"/>
    <s v="ENTREGUE"/>
    <d v="2025-01-13T00:00:00"/>
    <x v="0"/>
    <m/>
    <n v="0"/>
    <n v="0"/>
    <n v="0"/>
    <n v="0"/>
    <n v="0"/>
  </r>
  <r>
    <x v="0"/>
    <s v="BV45662"/>
    <s v="Pedido 713"/>
    <d v="2025-01-05T00:00:00"/>
    <x v="57"/>
    <s v="PedidoF694"/>
    <s v="CódRastreio692"/>
    <n v="1"/>
    <s v="CPF 691"/>
    <s v="Nome 691"/>
    <s v="Tel 691"/>
    <s v="Cep 691"/>
    <s v="Rua 691"/>
    <s v="Comp 691"/>
    <s v="Bomba d'agua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x v="56"/>
    <x v="59"/>
    <x v="15"/>
    <d v="2025-02-17T00:00:00"/>
    <x v="3"/>
    <x v="0"/>
    <x v="4"/>
    <s v="ENTREGUE"/>
    <d v="2025-01-13T00:00:00"/>
    <x v="0"/>
    <m/>
    <n v="0"/>
    <n v="0"/>
    <n v="0"/>
    <n v="0"/>
    <n v="0"/>
  </r>
  <r>
    <x v="0"/>
    <s v="BV45662"/>
    <s v="Pedido 714"/>
    <d v="2025-01-05T00:00:00"/>
    <x v="57"/>
    <s v="PedidoF695"/>
    <s v="CódRastreio693"/>
    <n v="1"/>
    <s v="CPF 692"/>
    <s v="Nome 692"/>
    <s v="Tel 692"/>
    <s v="Cep 692"/>
    <s v="Rua 692"/>
    <s v="Comp 692"/>
    <s v="Bomba d'agua"/>
    <s v="DJ-RO5O-43GF"/>
    <d v="2025-01-24T00:00:00"/>
    <n v="22.99"/>
    <n v="22.99"/>
    <n v="3.2185999999999999"/>
    <n v="19.77"/>
    <n v="6.99"/>
    <n v="0.22"/>
    <n v="0.39877104377104378"/>
    <n v="0"/>
    <n v="12.161228956228957"/>
    <n v="6.0806144781144784"/>
    <x v="57"/>
    <x v="60"/>
    <x v="13"/>
    <d v="2025-02-06T00:00:00"/>
    <x v="2"/>
    <x v="0"/>
    <x v="4"/>
    <s v="ENTREGUE"/>
    <d v="2025-01-10T00:00:00"/>
    <x v="0"/>
    <m/>
    <n v="0"/>
    <n v="0"/>
    <n v="0"/>
    <n v="0"/>
    <n v="0"/>
  </r>
  <r>
    <x v="0"/>
    <s v="BV45662"/>
    <s v="Pedido 715"/>
    <d v="2025-01-05T00:00:00"/>
    <x v="57"/>
    <s v="PedidoF696"/>
    <s v="CódRastreio694"/>
    <n v="1"/>
    <s v="CPF 693"/>
    <s v="Nome 693"/>
    <s v="Tel 693"/>
    <s v="Cep 693"/>
    <s v="Rua 693"/>
    <s v="Comp 693"/>
    <s v="Bomba d'agua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x v="56"/>
    <x v="59"/>
    <x v="15"/>
    <d v="2025-02-17T00:00:00"/>
    <x v="3"/>
    <x v="0"/>
    <x v="4"/>
    <s v="ENTREGUE"/>
    <d v="2025-01-13T00:00:00"/>
    <x v="0"/>
    <m/>
    <n v="0"/>
    <n v="0"/>
    <n v="0"/>
    <n v="0"/>
    <n v="0"/>
  </r>
  <r>
    <x v="0"/>
    <s v="BV45663"/>
    <s v="Pedido 716"/>
    <d v="2025-01-06T00:00:00"/>
    <x v="58"/>
    <s v="PedidoF697"/>
    <s v="CódRastreio695"/>
    <n v="1"/>
    <s v="CPF 694"/>
    <s v="Nome 694"/>
    <s v="Tel 694"/>
    <s v="Cep 694"/>
    <s v="Rua 694"/>
    <s v="Comp 694"/>
    <s v="Bomba d'agua"/>
    <s v="DJ-RO5O-43GF"/>
    <d v="2025-01-30T00:00:00"/>
    <n v="22.99"/>
    <n v="22.99"/>
    <n v="3.2185999999999999"/>
    <n v="19.77"/>
    <n v="6.99"/>
    <n v="0.2"/>
    <n v="0.39877104377104378"/>
    <n v="0"/>
    <n v="12.181228956228956"/>
    <n v="6.0906144781144782"/>
    <x v="56"/>
    <x v="59"/>
    <x v="15"/>
    <d v="2025-02-17T00:00:00"/>
    <x v="3"/>
    <x v="0"/>
    <x v="4"/>
    <s v="ENTREGUE"/>
    <d v="2025-01-13T00:00:00"/>
    <x v="0"/>
    <m/>
    <n v="0"/>
    <n v="0"/>
    <n v="0"/>
    <n v="0"/>
    <n v="0"/>
  </r>
  <r>
    <x v="0"/>
    <s v="BV45662"/>
    <s v="Pedido 717"/>
    <d v="2025-01-05T00:00:00"/>
    <x v="57"/>
    <s v="PedidoF698"/>
    <s v="CódRastreio696"/>
    <n v="1"/>
    <s v="CPF 695"/>
    <s v="Nome 695"/>
    <s v="Tel 695"/>
    <s v="Cep 695"/>
    <s v="Rua 695"/>
    <s v="Comp 695"/>
    <s v="Bomba d'agua"/>
    <s v="DJ-RO5O-43GF"/>
    <d v="2025-01-24T00:00:00"/>
    <n v="22.99"/>
    <n v="22.99"/>
    <n v="3.2185999999999999"/>
    <n v="19.77"/>
    <n v="6.99"/>
    <n v="0.22"/>
    <n v="0.39877104377104378"/>
    <n v="0"/>
    <n v="12.161228956228957"/>
    <n v="6.0806144781144784"/>
    <x v="57"/>
    <x v="60"/>
    <x v="13"/>
    <d v="2025-02-06T00:00:00"/>
    <x v="2"/>
    <x v="0"/>
    <x v="4"/>
    <s v="ENTREGUE"/>
    <d v="2025-01-15T00:00:00"/>
    <x v="0"/>
    <m/>
    <n v="0"/>
    <n v="0"/>
    <n v="0"/>
    <n v="0"/>
    <n v="0"/>
  </r>
  <r>
    <x v="0"/>
    <s v="BV45662"/>
    <s v="Pedido 718"/>
    <d v="2025-01-05T00:00:00"/>
    <x v="57"/>
    <s v="PedidoF699"/>
    <s v="CódRastreio697"/>
    <n v="1"/>
    <s v="CPF 696"/>
    <s v="Nome 696"/>
    <s v="Tel 696"/>
    <s v="Cep 696"/>
    <s v="Rua 696"/>
    <s v="Comp 696"/>
    <s v="Bomba d'agua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x v="56"/>
    <x v="59"/>
    <x v="15"/>
    <d v="2025-02-17T00:00:00"/>
    <x v="3"/>
    <x v="0"/>
    <x v="4"/>
    <s v="ENTREGUE"/>
    <d v="2025-01-15T00:00:00"/>
    <x v="0"/>
    <m/>
    <n v="0"/>
    <n v="0"/>
    <n v="0"/>
    <n v="0"/>
    <n v="0"/>
  </r>
  <r>
    <x v="0"/>
    <s v="BV45662"/>
    <s v="Pedido 719"/>
    <d v="2025-01-05T00:00:00"/>
    <x v="57"/>
    <s v="PedidoF700"/>
    <s v="CódRastreio698"/>
    <n v="1"/>
    <s v="CPF 697"/>
    <s v="Nome 697"/>
    <s v="Tel 697"/>
    <s v="Cep 697"/>
    <s v="Rua 697"/>
    <s v="Comp 697"/>
    <s v="Bomba d'agua"/>
    <s v="DJ-RO5O-43GF"/>
    <d v="2025-01-30T00:00:00"/>
    <n v="22.99"/>
    <n v="22.99"/>
    <n v="3.2185999999999999"/>
    <n v="19.77"/>
    <n v="6.99"/>
    <n v="0.22"/>
    <n v="0.39877104377104378"/>
    <n v="0"/>
    <n v="12.161228956228957"/>
    <n v="6.0806144781144784"/>
    <x v="56"/>
    <x v="59"/>
    <x v="15"/>
    <d v="2025-02-17T00:00:00"/>
    <x v="3"/>
    <x v="0"/>
    <x v="4"/>
    <s v="ENTREGUE"/>
    <d v="2025-01-15T00:00:00"/>
    <x v="0"/>
    <m/>
    <n v="0"/>
    <n v="0"/>
    <n v="0"/>
    <n v="0"/>
    <n v="0"/>
  </r>
  <r>
    <x v="0"/>
    <s v="BV45662"/>
    <s v="Pedido 720"/>
    <d v="2025-01-05T00:00:00"/>
    <x v="57"/>
    <s v="PedidoF701"/>
    <s v="CódRastreio699"/>
    <n v="1"/>
    <s v="CPF 698"/>
    <s v="Nome 698"/>
    <s v="Tel 698"/>
    <s v="Cep 698"/>
    <s v="Rua 698"/>
    <s v="Comp 698"/>
    <s v="Ventilador Rosa"/>
    <s v="IF-G2ZQ-79FO"/>
    <d v="2025-01-24T00:00:00"/>
    <n v="46.9"/>
    <n v="46.9"/>
    <n v="6.0970000000000004"/>
    <n v="40.799999999999997"/>
    <n v="10.15"/>
    <n v="0.22"/>
    <n v="0.39877104377104378"/>
    <n v="0"/>
    <n v="30.031228956228951"/>
    <n v="15.015614478114475"/>
    <x v="57"/>
    <x v="60"/>
    <x v="13"/>
    <d v="2025-02-06T00:00:00"/>
    <x v="2"/>
    <x v="0"/>
    <x v="4"/>
    <s v="ENTREGUE"/>
    <d v="2025-01-11T00:00:00"/>
    <x v="0"/>
    <m/>
    <n v="0"/>
    <n v="0"/>
    <n v="0"/>
    <n v="0"/>
    <n v="0"/>
  </r>
  <r>
    <x v="0"/>
    <s v="BV45666"/>
    <s v="Pedido 721"/>
    <d v="2025-01-09T00:00:00"/>
    <x v="59"/>
    <s v="PedidoF702"/>
    <s v="CódRastreio700"/>
    <n v="1"/>
    <s v="CPF 699"/>
    <s v="Nome 699"/>
    <s v="Tel 699"/>
    <s v="Cep 699"/>
    <s v="Rua 699"/>
    <s v="Comp 699"/>
    <s v="Ventilador Rosa"/>
    <s v="IF-G2ZQ-79FO"/>
    <d v="2025-01-30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56"/>
    <x v="59"/>
    <x v="15"/>
    <d v="2025-02-17T00:00:00"/>
    <x v="3"/>
    <x v="0"/>
    <x v="4"/>
    <s v="ENTREGUE"/>
    <d v="2025-01-27T00:00:00"/>
    <x v="0"/>
    <m/>
    <n v="0"/>
    <n v="0"/>
    <n v="0"/>
    <n v="0"/>
    <n v="0"/>
  </r>
  <r>
    <x v="0"/>
    <s v="BV45666"/>
    <s v="Pedido 722"/>
    <d v="2025-01-09T00:00:00"/>
    <x v="59"/>
    <s v="PedidoF703"/>
    <s v="CódRastreio701"/>
    <n v="1"/>
    <s v="CPF 700"/>
    <s v="Nome 700"/>
    <s v="Tel 700"/>
    <s v="Cep 700"/>
    <s v="Rua 700"/>
    <s v="Comp 700"/>
    <s v="Ventilador Rosa"/>
    <s v="IF-G2ZQ-79FO"/>
    <d v="2025-01-30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56"/>
    <x v="59"/>
    <x v="15"/>
    <d v="2025-02-17T00:00:00"/>
    <x v="3"/>
    <x v="0"/>
    <x v="4"/>
    <s v="ENTREGUE"/>
    <d v="2025-01-30T00:00:00"/>
    <x v="0"/>
    <m/>
    <n v="0"/>
    <n v="0"/>
    <n v="0"/>
    <n v="0"/>
    <n v="0"/>
  </r>
  <r>
    <x v="0"/>
    <s v="BV45666"/>
    <s v="Pedido 723"/>
    <d v="2025-01-09T00:00:00"/>
    <x v="59"/>
    <s v="PedidoF704"/>
    <s v="CódRastreio702"/>
    <n v="1"/>
    <s v="CPF 701"/>
    <s v="Nome 701"/>
    <s v="Tel 701"/>
    <s v="Cep 701"/>
    <s v="Rua 701"/>
    <s v="Comp 701"/>
    <s v="Ventilador Rosa"/>
    <s v="IF-G2ZQ-79FO"/>
    <d v="2025-02-06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62"/>
    <x v="65"/>
    <x v="17"/>
    <d v="2025-02-17T00:00:00"/>
    <x v="3"/>
    <x v="0"/>
    <x v="4"/>
    <s v="ENTREGUE"/>
    <d v="2025-02-07T00:00:00"/>
    <x v="0"/>
    <m/>
    <n v="0"/>
    <n v="0"/>
    <n v="0"/>
    <n v="0"/>
    <n v="0"/>
  </r>
  <r>
    <x v="0"/>
    <s v="BV-"/>
    <s v="Pedido 724"/>
    <d v="2024-12-01T00:00:00"/>
    <x v="0"/>
    <s v="-"/>
    <s v="-"/>
    <n v="1"/>
    <s v="CPF 702"/>
    <s v="Nome 702"/>
    <s v="Tel 702"/>
    <s v="Cep 702"/>
    <s v="Rua 702"/>
    <s v="Comp 702"/>
    <s v="Caixinha de som Preta"/>
    <s v="5D-KKPK-K70I"/>
    <d v="2025-01-24T00:00:00"/>
    <n v="23.8"/>
    <n v="23.8"/>
    <n v="3.57"/>
    <n v="20.23"/>
    <n v="0"/>
    <n v="0"/>
    <n v="0"/>
    <n v="0"/>
    <n v="20.23"/>
    <n v="10.115"/>
    <x v="57"/>
    <x v="60"/>
    <x v="13"/>
    <d v="2025-02-06T00:00:00"/>
    <x v="2"/>
    <x v="0"/>
    <x v="0"/>
    <s v="-"/>
    <s v="-"/>
    <x v="0"/>
    <m/>
    <n v="0"/>
    <n v="0"/>
    <n v="0"/>
    <n v="0"/>
    <n v="0"/>
  </r>
  <r>
    <x v="0"/>
    <s v="BV45666"/>
    <s v="Pedido 725"/>
    <d v="2025-01-09T00:00:00"/>
    <x v="59"/>
    <s v="PedidoF705"/>
    <s v="CódRastreio703"/>
    <n v="1"/>
    <s v="CPF 703"/>
    <s v="Nome 703"/>
    <s v="Tel 703"/>
    <s v="Cep 703"/>
    <s v="Rua 703"/>
    <s v="Comp 703"/>
    <s v="Ventilador Rosa"/>
    <s v="IF-G2ZQ-79FO"/>
    <d v="2025-02-06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62"/>
    <x v="65"/>
    <x v="17"/>
    <d v="2025-02-17T00:00:00"/>
    <x v="3"/>
    <x v="0"/>
    <x v="4"/>
    <s v="ENTREGUE"/>
    <d v="2025-02-03T00:00:00"/>
    <x v="0"/>
    <m/>
    <n v="0"/>
    <n v="0"/>
    <n v="0"/>
    <n v="0"/>
    <n v="0"/>
  </r>
  <r>
    <x v="0"/>
    <s v="BV-"/>
    <s v="Pedido 726"/>
    <d v="2024-12-01T00:00:00"/>
    <x v="0"/>
    <s v="-"/>
    <s v="-"/>
    <n v="1"/>
    <s v="CPF 704"/>
    <s v="Nome 704"/>
    <s v="Tel 704"/>
    <s v="Cep 704"/>
    <s v="Rua 704"/>
    <s v="Comp 704"/>
    <s v="Ventilador Preto"/>
    <s v="MU-J80P-95WF"/>
    <d v="2025-02-06T00:00:00"/>
    <n v="65.599999999999994"/>
    <n v="65.599999999999994"/>
    <n v="8.5279999999999987"/>
    <n v="57.07"/>
    <n v="0"/>
    <n v="0"/>
    <n v="0"/>
    <n v="0"/>
    <n v="57.07"/>
    <n v="28.535"/>
    <x v="62"/>
    <x v="65"/>
    <x v="17"/>
    <d v="2025-02-17T00:00:00"/>
    <x v="3"/>
    <x v="0"/>
    <x v="0"/>
    <s v="-"/>
    <s v="-"/>
    <x v="0"/>
    <m/>
    <n v="1.71"/>
    <n v="0"/>
    <n v="0"/>
    <n v="0"/>
    <n v="1.71"/>
  </r>
  <r>
    <x v="0"/>
    <s v="BV45666"/>
    <s v="Pedido 727"/>
    <d v="2025-01-09T00:00:00"/>
    <x v="59"/>
    <s v="PedidoF706"/>
    <s v="CódRastreio704"/>
    <n v="1"/>
    <s v="CPF 705"/>
    <s v="Nome 705"/>
    <s v="Tel 705"/>
    <s v="Cep 705"/>
    <s v="Rua 705"/>
    <s v="Comp 705"/>
    <s v="Adaptador Bluetooph"/>
    <s v="YA-AG3H-SPUK"/>
    <d v="2025-01-24T00:00:00"/>
    <n v="21.99"/>
    <n v="21.99"/>
    <n v="2.6387999999999998"/>
    <n v="19.350000000000001"/>
    <n v="11.72"/>
    <n v="0.66"/>
    <n v="0.39877104377104378"/>
    <n v="0"/>
    <n v="6.571228956228957"/>
    <n v="3.2856144781144785"/>
    <x v="57"/>
    <x v="60"/>
    <x v="13"/>
    <d v="2025-02-06T00:00:00"/>
    <x v="2"/>
    <x v="0"/>
    <x v="4"/>
    <s v="ENTREGUE"/>
    <d v="2025-01-17T00:00:00"/>
    <x v="0"/>
    <m/>
    <n v="0"/>
    <n v="0"/>
    <n v="0"/>
    <n v="0"/>
    <n v="0"/>
  </r>
  <r>
    <x v="0"/>
    <s v="BV45666"/>
    <s v="Pedido 728"/>
    <d v="2025-01-09T00:00:00"/>
    <x v="59"/>
    <s v="PedidoF707"/>
    <s v="CódRastreio705"/>
    <n v="1"/>
    <s v="CPF 706"/>
    <s v="Nome 706"/>
    <s v="Tel 706"/>
    <s v="Cep 706"/>
    <s v="Rua 706"/>
    <s v="Comp 706"/>
    <s v="Ventilador Rosa"/>
    <s v="IF-G2ZQ-79FO"/>
    <d v="2025-01-31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58"/>
    <x v="61"/>
    <x v="16"/>
    <d v="2025-02-17T00:00:00"/>
    <x v="3"/>
    <x v="0"/>
    <x v="4"/>
    <s v="ENTREGUE"/>
    <d v="2025-01-27T00:00:00"/>
    <x v="0"/>
    <m/>
    <n v="0"/>
    <n v="0"/>
    <n v="0"/>
    <n v="0"/>
    <n v="0"/>
  </r>
  <r>
    <x v="0"/>
    <s v="BV45666"/>
    <s v="Pedido 729"/>
    <d v="2025-01-09T00:00:00"/>
    <x v="59"/>
    <s v="PedidoF708"/>
    <s v="CódRastreio706"/>
    <n v="1"/>
    <s v="CPF 707"/>
    <s v="Nome 707"/>
    <s v="Tel 707"/>
    <s v="Cep 707"/>
    <s v="Rua 707"/>
    <s v="Comp 707"/>
    <s v="Ventilador Rosa"/>
    <s v="IF-G2ZQ-79FO"/>
    <d v="2025-01-25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59"/>
    <x v="62"/>
    <x v="14"/>
    <d v="2025-02-17T00:00:00"/>
    <x v="3"/>
    <x v="0"/>
    <x v="4"/>
    <s v="ENTREGUE"/>
    <d v="2025-01-28T00:00:00"/>
    <x v="0"/>
    <m/>
    <n v="0"/>
    <n v="0"/>
    <n v="0"/>
    <n v="0"/>
    <n v="0"/>
  </r>
  <r>
    <x v="0"/>
    <s v="BV45666"/>
    <s v="Pedido 730"/>
    <d v="2025-01-09T00:00:00"/>
    <x v="59"/>
    <s v="PedidoF709"/>
    <s v="CódRastreio707"/>
    <n v="1"/>
    <s v="CPF 708"/>
    <s v="Nome 708"/>
    <s v="Tel 708"/>
    <s v="Cep 708"/>
    <s v="Rua 708"/>
    <s v="Comp 708"/>
    <s v="Ventilador Rosa"/>
    <s v="IF-G2ZQ-79FO"/>
    <d v="2025-01-31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58"/>
    <x v="61"/>
    <x v="16"/>
    <d v="2025-02-17T00:00:00"/>
    <x v="3"/>
    <x v="0"/>
    <x v="4"/>
    <s v="ENTREGUE"/>
    <d v="2025-01-28T00:00:00"/>
    <x v="0"/>
    <m/>
    <n v="0"/>
    <n v="0"/>
    <n v="0"/>
    <n v="0"/>
    <n v="0"/>
  </r>
  <r>
    <x v="0"/>
    <s v="BV45666"/>
    <s v="Pedido 731"/>
    <d v="2025-01-09T00:00:00"/>
    <x v="59"/>
    <s v="PedidoF710"/>
    <s v="CódRastreio708"/>
    <n v="1"/>
    <s v="CPF 709"/>
    <s v="Nome 709"/>
    <s v="Tel 709"/>
    <s v="Cep 709"/>
    <s v="Rua 709"/>
    <s v="Comp 709"/>
    <s v="Ventilador Rosa"/>
    <s v="IF-G2ZQ-79FO"/>
    <d v="2025-01-31T00:00:00"/>
    <n v="46.9"/>
    <n v="46.9"/>
    <n v="6.0970000000000004"/>
    <n v="40.799999999999997"/>
    <n v="19.510000000000002"/>
    <n v="0.66"/>
    <n v="0.39877104377104378"/>
    <n v="0"/>
    <n v="20.23122895622895"/>
    <n v="10.115614478114475"/>
    <x v="58"/>
    <x v="61"/>
    <x v="16"/>
    <d v="2025-02-17T00:00:00"/>
    <x v="3"/>
    <x v="0"/>
    <x v="4"/>
    <s v="ENTREGUE"/>
    <d v="2025-01-28T00:00:00"/>
    <x v="0"/>
    <m/>
    <n v="0"/>
    <n v="0"/>
    <n v="0"/>
    <n v="0"/>
    <n v="0"/>
  </r>
  <r>
    <x v="0"/>
    <s v="BV45667"/>
    <s v="Pedido 732"/>
    <d v="2025-01-10T00:00:00"/>
    <x v="60"/>
    <s v="PedidoF711"/>
    <s v="CódRastreio709"/>
    <n v="1"/>
    <s v="CPF 710"/>
    <s v="Nome 710"/>
    <s v="Tel 710"/>
    <s v="Cep 710"/>
    <s v="Rua 710"/>
    <s v="Comp 710"/>
    <s v="Adaptador Bluetooph"/>
    <s v="YA-AG3H-SPUK"/>
    <d v="2025-01-25T00:00:00"/>
    <n v="21.99"/>
    <n v="21.99"/>
    <n v="2.6387999999999998"/>
    <n v="19.350000000000001"/>
    <n v="11.72"/>
    <n v="0.21"/>
    <n v="0.39877104377104378"/>
    <n v="0"/>
    <n v="7.0212289562289563"/>
    <n v="3.5106144781144781"/>
    <x v="59"/>
    <x v="62"/>
    <x v="14"/>
    <d v="2025-02-17T00:00:00"/>
    <x v="3"/>
    <x v="0"/>
    <x v="4"/>
    <s v="ENTREGUE"/>
    <d v="2025-01-16T00:00:00"/>
    <x v="0"/>
    <m/>
    <n v="0"/>
    <n v="0"/>
    <n v="0"/>
    <n v="0"/>
    <n v="0"/>
  </r>
  <r>
    <x v="0"/>
    <s v="BV45667"/>
    <s v="Pedido 733"/>
    <d v="2025-01-10T00:00:00"/>
    <x v="60"/>
    <s v="PedidoF712"/>
    <s v="CódRastreio710"/>
    <n v="1"/>
    <s v="CPF 711"/>
    <s v="Nome 711"/>
    <s v="Tel 711"/>
    <s v="Cep 711"/>
    <s v="Rua 711"/>
    <s v="Comp 711"/>
    <s v="Adaptador Bluetooph"/>
    <s v="YA-AG3H-SPUK"/>
    <d v="2025-01-23T00:00:00"/>
    <n v="21.99"/>
    <n v="21.99"/>
    <n v="2.6387999999999998"/>
    <n v="19.350000000000001"/>
    <n v="11.72"/>
    <n v="0.21"/>
    <n v="0.39877104377104378"/>
    <n v="0"/>
    <n v="7.0212289562289563"/>
    <n v="3.5106144781144781"/>
    <x v="54"/>
    <x v="57"/>
    <x v="13"/>
    <d v="2025-02-06T00:00:00"/>
    <x v="2"/>
    <x v="0"/>
    <x v="4"/>
    <s v="ENTREGUE"/>
    <d v="2025-01-16T00:00:00"/>
    <x v="0"/>
    <m/>
    <n v="0"/>
    <n v="0"/>
    <n v="0"/>
    <n v="0"/>
    <n v="0"/>
  </r>
  <r>
    <x v="0"/>
    <s v="BV45667"/>
    <s v="Pedido 734"/>
    <d v="2025-01-10T00:00:00"/>
    <x v="60"/>
    <s v="PedidoF713"/>
    <s v="CódRastreio711"/>
    <n v="1"/>
    <s v="CPF 712"/>
    <s v="Nome 712"/>
    <s v="Tel 712"/>
    <s v="Cep 712"/>
    <s v="Rua 712"/>
    <s v="Comp 712"/>
    <s v="Ventilador Rosa"/>
    <s v="IF-G2ZQ-79FO"/>
    <d v="2025-01-31T00:00:00"/>
    <n v="46.9"/>
    <n v="46.9"/>
    <n v="6.0970000000000004"/>
    <n v="40.799999999999997"/>
    <n v="19.510000000000002"/>
    <n v="0.21"/>
    <n v="0.39877104377104378"/>
    <n v="0"/>
    <n v="20.681228956228949"/>
    <n v="10.340614478114475"/>
    <x v="58"/>
    <x v="61"/>
    <x v="16"/>
    <d v="2025-02-17T00:00:00"/>
    <x v="3"/>
    <x v="0"/>
    <x v="4"/>
    <s v="ENTREGUE"/>
    <d v="2025-01-30T00:00:00"/>
    <x v="0"/>
    <m/>
    <n v="0"/>
    <n v="0"/>
    <n v="0"/>
    <n v="0"/>
    <n v="0"/>
  </r>
  <r>
    <x v="0"/>
    <s v="BV45667"/>
    <s v="Pedido 735"/>
    <d v="2025-01-10T00:00:00"/>
    <x v="60"/>
    <s v="PedidoF714"/>
    <s v="CódRastreio712"/>
    <n v="1"/>
    <s v="CPF 713"/>
    <s v="Nome 713"/>
    <s v="Tel 713"/>
    <s v="Cep 713"/>
    <s v="Rua 713"/>
    <s v="Comp 713"/>
    <s v="Mini Liquidificador"/>
    <s v="CK-YL6M-P5Y6"/>
    <d v="2025-01-25T00:00:00"/>
    <n v="33.9"/>
    <n v="33.9"/>
    <n v="4.407"/>
    <n v="29.49"/>
    <n v="15.99"/>
    <n v="0.21"/>
    <n v="0.39877104377104378"/>
    <n v="0"/>
    <n v="12.891228956228954"/>
    <n v="6.4456144781144769"/>
    <x v="59"/>
    <x v="62"/>
    <x v="14"/>
    <d v="2025-02-17T00:00:00"/>
    <x v="3"/>
    <x v="0"/>
    <x v="4"/>
    <s v="ENTREGUE"/>
    <d v="2025-01-17T00:00:00"/>
    <x v="0"/>
    <m/>
    <n v="0"/>
    <n v="0"/>
    <n v="0"/>
    <n v="0"/>
    <n v="0"/>
  </r>
  <r>
    <x v="0"/>
    <s v="BV45667"/>
    <s v="Pedido 736"/>
    <d v="2025-01-10T00:00:00"/>
    <x v="60"/>
    <s v="PedidoF715"/>
    <s v="CódRastreio713"/>
    <n v="1"/>
    <s v="CPF 714"/>
    <s v="Nome 714"/>
    <s v="Tel 714"/>
    <s v="Cep 714"/>
    <s v="Rua 714"/>
    <s v="Comp 714"/>
    <s v="Adaptador Bluetooph"/>
    <s v="YA-AG3H-SPUK"/>
    <d v="2025-01-25T00:00:00"/>
    <n v="21.99"/>
    <n v="21.99"/>
    <n v="2.6387999999999998"/>
    <n v="19.350000000000001"/>
    <n v="11.72"/>
    <n v="0.21"/>
    <n v="0.39877104377104378"/>
    <n v="0"/>
    <n v="7.0212289562289563"/>
    <n v="3.5106144781144781"/>
    <x v="59"/>
    <x v="62"/>
    <x v="14"/>
    <d v="2025-02-17T00:00:00"/>
    <x v="3"/>
    <x v="0"/>
    <x v="4"/>
    <s v="ENTREGUE"/>
    <d v="2025-01-21T00:00:00"/>
    <x v="0"/>
    <m/>
    <n v="0"/>
    <n v="0"/>
    <n v="0"/>
    <n v="0"/>
    <n v="0"/>
  </r>
  <r>
    <x v="0"/>
    <s v="BV45667"/>
    <s v="Pedido 737"/>
    <d v="2025-01-10T00:00:00"/>
    <x v="60"/>
    <s v="PedidoF716"/>
    <s v="CódRastreio714"/>
    <n v="1"/>
    <s v="CPF 715"/>
    <s v="Nome 715"/>
    <s v="Tel 715"/>
    <s v="Cep 715"/>
    <s v="Rua 715"/>
    <s v="Comp 715"/>
    <s v="Ventilador Rosa"/>
    <s v="IF-G2ZQ-79FO"/>
    <d v="2025-01-31T00:00:00"/>
    <n v="46.9"/>
    <n v="46.9"/>
    <n v="6.0970000000000004"/>
    <n v="40.799999999999997"/>
    <n v="19.510000000000002"/>
    <n v="0.21"/>
    <n v="0.39877104377104378"/>
    <n v="0"/>
    <n v="20.681228956228949"/>
    <n v="10.340614478114475"/>
    <x v="58"/>
    <x v="61"/>
    <x v="16"/>
    <d v="2025-02-17T00:00:00"/>
    <x v="3"/>
    <x v="0"/>
    <x v="4"/>
    <s v="ENTREGUE"/>
    <d v="2025-01-28T00:00:00"/>
    <x v="0"/>
    <m/>
    <n v="0"/>
    <n v="0"/>
    <n v="0"/>
    <n v="0"/>
    <n v="0"/>
  </r>
  <r>
    <x v="0"/>
    <s v="BV45667"/>
    <s v="Pedido 738"/>
    <d v="2025-01-10T00:00:00"/>
    <x v="60"/>
    <s v="PedidoF717"/>
    <s v="CódRastreio715"/>
    <n v="1"/>
    <s v="CPF 716"/>
    <s v="Nome 716"/>
    <s v="Tel 716"/>
    <s v="Cep 716"/>
    <s v="Rua 716"/>
    <s v="Comp 716"/>
    <s v="Adaptador Bluetooph"/>
    <s v="YA-AG3H-SPUK"/>
    <d v="2025-01-28T00:00:00"/>
    <n v="21.99"/>
    <n v="21.99"/>
    <n v="2.6387999999999998"/>
    <n v="19.350000000000001"/>
    <n v="11.72"/>
    <n v="0.21"/>
    <n v="0.39877104377104378"/>
    <n v="0"/>
    <n v="7.0212289562289563"/>
    <n v="3.5106144781144781"/>
    <x v="60"/>
    <x v="63"/>
    <x v="14"/>
    <d v="2025-02-17T00:00:00"/>
    <x v="3"/>
    <x v="0"/>
    <x v="4"/>
    <s v="ENTREGUE"/>
    <d v="2025-02-05T00:00:00"/>
    <x v="0"/>
    <m/>
    <n v="0"/>
    <n v="0"/>
    <n v="0"/>
    <n v="0"/>
    <n v="0"/>
  </r>
  <r>
    <x v="0"/>
    <s v="BV45667"/>
    <s v="Pedido 739"/>
    <d v="2025-01-10T00:00:00"/>
    <x v="60"/>
    <s v="PedidoF718"/>
    <s v="CódRastreio716"/>
    <n v="1"/>
    <s v="CPF 717"/>
    <s v="Nome 717"/>
    <s v="Tel 717"/>
    <s v="Cep 717"/>
    <s v="Rua 717"/>
    <s v="Comp 717"/>
    <s v="Ventilador Rosa"/>
    <s v="IF-G2ZQ-79FO"/>
    <d v="2025-02-01T00:00:00"/>
    <n v="46.9"/>
    <n v="46.9"/>
    <n v="6.0970000000000004"/>
    <n v="40.799999999999997"/>
    <n v="19.190000000000001"/>
    <n v="0.21"/>
    <n v="0.39877104377104378"/>
    <n v="0"/>
    <n v="21.00122895622895"/>
    <n v="10.500614478114475"/>
    <x v="63"/>
    <x v="66"/>
    <x v="16"/>
    <d v="2025-02-17T00:00:00"/>
    <x v="3"/>
    <x v="0"/>
    <x v="4"/>
    <s v="ENTREGUE"/>
    <d v="2025-01-27T00:00:00"/>
    <x v="0"/>
    <m/>
    <n v="0"/>
    <n v="0"/>
    <n v="0"/>
    <n v="0"/>
    <n v="0"/>
  </r>
  <r>
    <x v="0"/>
    <s v="BV45667"/>
    <s v="Pedido 740"/>
    <d v="2025-01-10T00:00:00"/>
    <x v="60"/>
    <s v="PedidoF719"/>
    <s v="CódRastreio717"/>
    <n v="1"/>
    <s v="CPF 718"/>
    <s v="Nome 718"/>
    <s v="Tel 718"/>
    <s v="Cep 718"/>
    <s v="Rua 718"/>
    <s v="Comp 718"/>
    <s v="Ventilador Preto"/>
    <s v="MU-J80P-95WF"/>
    <d v="2025-02-01T00:00:00"/>
    <n v="65.599999999999994"/>
    <n v="65.599999999999994"/>
    <n v="8.5279999999999987"/>
    <n v="57.07"/>
    <n v="19.64"/>
    <n v="0.21"/>
    <n v="0.39877104377104378"/>
    <n v="0"/>
    <n v="36.82122895622895"/>
    <n v="18.410614478114475"/>
    <x v="63"/>
    <x v="66"/>
    <x v="16"/>
    <d v="2025-02-17T00:00:00"/>
    <x v="3"/>
    <x v="0"/>
    <x v="4"/>
    <s v="ENTREGUE"/>
    <d v="2025-01-25T00:00:00"/>
    <x v="0"/>
    <m/>
    <n v="0"/>
    <n v="0"/>
    <n v="0"/>
    <n v="0"/>
    <n v="0"/>
  </r>
  <r>
    <x v="0"/>
    <s v="BV45667"/>
    <s v="Pedido 741"/>
    <d v="2025-01-10T00:00:00"/>
    <x v="60"/>
    <s v="PedidoF720"/>
    <s v="CódRastreio718"/>
    <n v="1"/>
    <s v="CPF 719"/>
    <s v="Nome 719"/>
    <s v="Tel 719"/>
    <s v="Cep 719"/>
    <s v="Rua 719"/>
    <s v="Comp 719"/>
    <s v="Ventilador Rosa"/>
    <s v="IF-G2ZQ-79FO"/>
    <d v="2025-02-01T00:00:00"/>
    <n v="46.9"/>
    <n v="46.9"/>
    <n v="6.0970000000000004"/>
    <n v="40.799999999999997"/>
    <n v="19.510000000000002"/>
    <n v="0.21"/>
    <n v="0.39877104377104378"/>
    <n v="0"/>
    <n v="20.681228956228949"/>
    <n v="10.340614478114475"/>
    <x v="63"/>
    <x v="66"/>
    <x v="16"/>
    <d v="2025-02-17T00:00:00"/>
    <x v="3"/>
    <x v="0"/>
    <x v="4"/>
    <s v="ENTREGUE"/>
    <d v="2025-01-29T00:00:00"/>
    <x v="0"/>
    <m/>
    <n v="0"/>
    <n v="0"/>
    <n v="0"/>
    <n v="0"/>
    <n v="0"/>
  </r>
  <r>
    <x v="0"/>
    <s v="BV45667"/>
    <s v="Pedido 742"/>
    <d v="2025-01-10T00:00:00"/>
    <x v="60"/>
    <s v="PedidoF721"/>
    <s v="CódRastreio719"/>
    <n v="1"/>
    <s v="CPF 720"/>
    <s v="Nome 720"/>
    <s v="Tel 720"/>
    <s v="Cep 720"/>
    <s v="Rua 720"/>
    <s v="Comp 720"/>
    <s v="Copo Termico"/>
    <s v="KN-TBQL-K2MM"/>
    <d v="2025-01-22T00:00:00"/>
    <n v="27.99"/>
    <n v="27.99"/>
    <n v="3.6387"/>
    <n v="24.35"/>
    <n v="9.1999999999999993"/>
    <n v="0.21"/>
    <n v="0.39877104377104378"/>
    <n v="0"/>
    <n v="14.541228956228958"/>
    <n v="7.2706144781144788"/>
    <x v="51"/>
    <x v="54"/>
    <x v="13"/>
    <d v="2025-02-06T00:00:00"/>
    <x v="2"/>
    <x v="0"/>
    <x v="4"/>
    <s v="ENTREGUE"/>
    <d v="2025-01-14T00:00:00"/>
    <x v="0"/>
    <m/>
    <n v="0"/>
    <n v="0"/>
    <n v="0"/>
    <n v="0"/>
    <n v="0"/>
  </r>
  <r>
    <x v="0"/>
    <s v="BV45667"/>
    <s v="Pedido 743"/>
    <d v="2025-01-10T00:00:00"/>
    <x v="60"/>
    <s v="PedidoF722"/>
    <s v="CódRastreio720"/>
    <n v="1"/>
    <s v="CPF 721"/>
    <s v="Nome 721"/>
    <s v="Tel 721"/>
    <s v="Cep 721"/>
    <s v="Rua 721"/>
    <s v="Comp 721"/>
    <s v="Adaptador Bluetooph"/>
    <s v="YA-AG3H-SPUK"/>
    <d v="2025-02-01T00:00:00"/>
    <n v="21.99"/>
    <n v="21.99"/>
    <n v="2.6387999999999998"/>
    <n v="19.350000000000001"/>
    <n v="11.72"/>
    <n v="0.21"/>
    <n v="0.39877104377104378"/>
    <n v="0"/>
    <n v="7.0212289562289563"/>
    <n v="3.5106144781144781"/>
    <x v="63"/>
    <x v="66"/>
    <x v="16"/>
    <d v="2025-02-17T00:00:00"/>
    <x v="3"/>
    <x v="0"/>
    <x v="4"/>
    <s v="ENTREGUE"/>
    <d v="2025-01-17T00:00:00"/>
    <x v="0"/>
    <m/>
    <n v="0"/>
    <n v="0"/>
    <n v="0"/>
    <n v="0"/>
    <n v="0"/>
  </r>
  <r>
    <x v="0"/>
    <s v="BV45667"/>
    <s v="Pedido 744"/>
    <d v="2025-01-10T00:00:00"/>
    <x v="60"/>
    <s v="PedidoF723"/>
    <s v="CódRastreio721"/>
    <n v="1"/>
    <s v="CPF 722"/>
    <s v="Nome 722"/>
    <s v="Tel 722"/>
    <s v="Cep 722"/>
    <s v="Rua 722"/>
    <s v="Comp 722"/>
    <s v="Adaptador Bluetooph"/>
    <s v="YA-AG3H-SPUK"/>
    <d v="2025-01-22T00:00:00"/>
    <n v="21.99"/>
    <n v="21.99"/>
    <n v="2.6387999999999998"/>
    <n v="19.350000000000001"/>
    <n v="11.72"/>
    <n v="0.21"/>
    <n v="0.39877104377104378"/>
    <n v="0"/>
    <n v="7.0212289562289563"/>
    <n v="3.5106144781144781"/>
    <x v="51"/>
    <x v="54"/>
    <x v="13"/>
    <d v="2025-02-06T00:00:00"/>
    <x v="2"/>
    <x v="0"/>
    <x v="4"/>
    <s v="ENTREGUE"/>
    <d v="2025-01-14T00:00:00"/>
    <x v="0"/>
    <m/>
    <n v="0"/>
    <n v="0"/>
    <n v="0"/>
    <n v="0"/>
    <n v="0"/>
  </r>
  <r>
    <x v="0"/>
    <s v="BV45667"/>
    <s v="Pedido 745"/>
    <d v="2025-01-10T00:00:00"/>
    <x v="60"/>
    <s v="PedidoF724"/>
    <s v="CódRastreio722"/>
    <n v="1"/>
    <s v="CPF 723"/>
    <s v="Nome 723"/>
    <s v="Tel 723"/>
    <s v="Cep 723"/>
    <s v="Rua 723"/>
    <s v="Comp 723"/>
    <s v="Adaptador Bluetooph"/>
    <s v="YA-AG3H-SPUK"/>
    <d v="2025-02-01T00:00:00"/>
    <n v="21.99"/>
    <n v="21.99"/>
    <n v="2.6387999999999998"/>
    <n v="19.350000000000001"/>
    <n v="11.72"/>
    <n v="0.21"/>
    <n v="0.39877104377104378"/>
    <n v="0"/>
    <n v="7.0212289562289563"/>
    <n v="3.5106144781144781"/>
    <x v="63"/>
    <x v="66"/>
    <x v="16"/>
    <d v="2025-02-17T00:00:00"/>
    <x v="3"/>
    <x v="0"/>
    <x v="4"/>
    <s v="ENTREGUE"/>
    <d v="2025-01-17T00:00:00"/>
    <x v="0"/>
    <m/>
    <n v="0"/>
    <n v="0"/>
    <n v="0"/>
    <n v="0"/>
    <n v="0"/>
  </r>
  <r>
    <x v="0"/>
    <s v="BV45667"/>
    <s v="Pedido 746"/>
    <d v="2025-01-10T00:00:00"/>
    <x v="60"/>
    <s v="PedidoF725"/>
    <s v="CódRastreio723"/>
    <n v="1"/>
    <s v="CPF 724"/>
    <s v="Nome 724"/>
    <s v="Tel 724"/>
    <s v="Cep 724"/>
    <s v="Rua 724"/>
    <s v="Comp 724"/>
    <s v="Suporte de Celular Branco"/>
    <s v="16-4EDB-WMZF"/>
    <d v="2025-02-01T00:00:00"/>
    <n v="21.99"/>
    <n v="21.99"/>
    <n v="3.2984999999999998"/>
    <n v="18.690000000000001"/>
    <n v="9.99"/>
    <n v="0.21"/>
    <n v="0.39877104377104378"/>
    <n v="0"/>
    <n v="8.0912289562289565"/>
    <n v="4.0456144781144783"/>
    <x v="63"/>
    <x v="66"/>
    <x v="16"/>
    <d v="2025-02-17T00:00:00"/>
    <x v="3"/>
    <x v="0"/>
    <x v="4"/>
    <s v="ENTREGUE"/>
    <d v="2025-01-20T00:00:00"/>
    <x v="0"/>
    <m/>
    <n v="0"/>
    <n v="0"/>
    <n v="0"/>
    <n v="0"/>
    <n v="0"/>
  </r>
  <r>
    <x v="0"/>
    <s v="BV45667"/>
    <s v="Pedido 747"/>
    <d v="2025-01-10T00:00:00"/>
    <x v="60"/>
    <s v="PedidoF726"/>
    <s v="CódRastreio724"/>
    <n v="1"/>
    <s v="CPF 725"/>
    <s v="Nome 725"/>
    <s v="Tel 725"/>
    <s v="Cep 725"/>
    <s v="Rua 725"/>
    <s v="Comp 725"/>
    <s v="Ventilador Preto"/>
    <s v="MU-J80P-95WF"/>
    <d v="2025-02-01T00:00:00"/>
    <n v="65.599999999999994"/>
    <n v="65.599999999999994"/>
    <n v="8.5279999999999987"/>
    <n v="57.07"/>
    <n v="19.64"/>
    <n v="0.21"/>
    <n v="0.39877104377104378"/>
    <n v="0"/>
    <n v="36.82122895622895"/>
    <n v="18.410614478114475"/>
    <x v="63"/>
    <x v="66"/>
    <x v="16"/>
    <d v="2025-02-17T00:00:00"/>
    <x v="3"/>
    <x v="0"/>
    <x v="4"/>
    <s v="ENTREGUE"/>
    <d v="2025-01-29T00:00:00"/>
    <x v="0"/>
    <m/>
    <n v="0"/>
    <n v="0"/>
    <n v="0"/>
    <n v="0"/>
    <n v="0"/>
  </r>
  <r>
    <x v="0"/>
    <s v="BV45667"/>
    <s v="Pedido 748"/>
    <d v="2025-01-10T00:00:00"/>
    <x v="60"/>
    <s v="PedidoF727"/>
    <s v="CódRastreio725"/>
    <n v="1"/>
    <s v="CPF 726"/>
    <s v="Nome 726"/>
    <s v="Tel 726"/>
    <s v="Cep 726"/>
    <s v="Rua 726"/>
    <s v="Comp 726"/>
    <s v="Suporte de Celular Branco"/>
    <s v="16-4EDB-WMZF"/>
    <d v="2025-02-01T00:00:00"/>
    <n v="21.99"/>
    <n v="21.99"/>
    <n v="3.2984999999999998"/>
    <n v="18.690000000000001"/>
    <n v="9.99"/>
    <n v="0.21"/>
    <n v="0.39877104377104378"/>
    <n v="0"/>
    <n v="8.0912289562289565"/>
    <n v="4.0456144781144783"/>
    <x v="63"/>
    <x v="66"/>
    <x v="16"/>
    <d v="2025-02-17T00:00:00"/>
    <x v="3"/>
    <x v="0"/>
    <x v="4"/>
    <s v="ENTREGUE"/>
    <d v="2025-01-25T00:00:00"/>
    <x v="0"/>
    <m/>
    <n v="0"/>
    <n v="0"/>
    <n v="0"/>
    <n v="0"/>
    <n v="0"/>
  </r>
  <r>
    <x v="0"/>
    <s v="BV45667"/>
    <s v="Pedido 749"/>
    <d v="2025-01-10T00:00:00"/>
    <x v="60"/>
    <s v="PedidoF728"/>
    <s v="CódRastreio726"/>
    <n v="1"/>
    <s v="CPF 727"/>
    <s v="Nome 727"/>
    <s v="Tel 727"/>
    <s v="Cep 727"/>
    <s v="Rua 727"/>
    <s v="Comp 727"/>
    <s v="Adaptador Bluetooph"/>
    <s v="YA-AG3H-SPUK"/>
    <d v="2025-01-28T00:00:00"/>
    <n v="21.99"/>
    <n v="21.99"/>
    <n v="2.6387999999999998"/>
    <n v="19.350000000000001"/>
    <n v="11.72"/>
    <n v="0.21"/>
    <n v="0.39877104377104378"/>
    <n v="0"/>
    <n v="7.0212289562289563"/>
    <n v="3.5106144781144781"/>
    <x v="60"/>
    <x v="63"/>
    <x v="14"/>
    <d v="2025-02-17T00:00:00"/>
    <x v="3"/>
    <x v="0"/>
    <x v="4"/>
    <s v="ENTREGUE"/>
    <d v="2025-01-16T00:00:00"/>
    <x v="0"/>
    <m/>
    <n v="0"/>
    <n v="0"/>
    <n v="0"/>
    <n v="0"/>
    <n v="0"/>
  </r>
  <r>
    <x v="0"/>
    <s v="BV45667"/>
    <s v="Pedido 750"/>
    <d v="2025-01-10T00:00:00"/>
    <x v="60"/>
    <s v="PedidoF729"/>
    <s v="CódRastreio727"/>
    <n v="1"/>
    <s v="CPF 728"/>
    <s v="Nome 728"/>
    <s v="Tel 728"/>
    <s v="Cep 728"/>
    <s v="Rua 728"/>
    <s v="Comp 728"/>
    <s v="Ventilador Preto"/>
    <s v="MU-J80P-95WF"/>
    <d v="2025-02-04T00:00:00"/>
    <n v="66.989999999999995"/>
    <n v="66.989999999999995"/>
    <n v="8.7087000000000003"/>
    <n v="58.28"/>
    <n v="0"/>
    <n v="0.21"/>
    <n v="0.39877104377104378"/>
    <n v="0"/>
    <n v="57.671228956228958"/>
    <n v="28.835614478114479"/>
    <x v="64"/>
    <x v="67"/>
    <x v="17"/>
    <d v="2025-02-17T00:00:00"/>
    <x v="3"/>
    <x v="0"/>
    <x v="4"/>
    <s v="ENTREGUE"/>
    <d v="2025-02-01T00:00:00"/>
    <x v="0"/>
    <m/>
    <n v="1.74"/>
    <n v="0"/>
    <n v="0"/>
    <n v="0"/>
    <n v="1.74"/>
  </r>
  <r>
    <x v="0"/>
    <s v="BV45667"/>
    <s v="Pedido 751"/>
    <d v="2025-01-10T00:00:00"/>
    <x v="60"/>
    <s v="PedidoF730"/>
    <s v="CódRastreio728"/>
    <n v="1"/>
    <s v="CPF 729"/>
    <s v="Nome 729"/>
    <s v="Tel 729"/>
    <s v="Cep 729"/>
    <s v="Rua 729"/>
    <s v="Comp 729"/>
    <s v="Lampada Led"/>
    <s v="RB-W251-UXV2"/>
    <d v="2025-02-04T00:00:00"/>
    <n v="34.99"/>
    <n v="34.99"/>
    <n v="4.5487000000000002"/>
    <n v="30.44"/>
    <n v="15.4"/>
    <n v="0.21"/>
    <n v="0.39877104377104378"/>
    <n v="0"/>
    <n v="14.431228956228956"/>
    <n v="7.2156144781144782"/>
    <x v="64"/>
    <x v="67"/>
    <x v="17"/>
    <d v="2025-02-17T00:00:00"/>
    <x v="3"/>
    <x v="0"/>
    <x v="4"/>
    <s v="ENTREGUE"/>
    <d v="2025-01-18T00:00:00"/>
    <x v="0"/>
    <m/>
    <n v="0"/>
    <n v="0"/>
    <n v="0"/>
    <n v="0"/>
    <n v="0"/>
  </r>
  <r>
    <x v="0"/>
    <s v="BV45667"/>
    <s v="Pedido 752"/>
    <d v="2025-01-10T00:00:00"/>
    <x v="60"/>
    <s v="PedidoF731"/>
    <s v="CódRastreio729"/>
    <n v="1"/>
    <s v="CPF 730"/>
    <s v="Nome 730"/>
    <s v="Tel 730"/>
    <s v="Cep 730"/>
    <s v="Rua 730"/>
    <s v="Comp 730"/>
    <s v="Ventilador Preto"/>
    <s v="MU-J80P-95WF"/>
    <d v="2025-02-11T00:00:00"/>
    <n v="66.989999999999995"/>
    <n v="66.989999999999995"/>
    <n v="8.7087000000000003"/>
    <n v="58.28"/>
    <n v="19.64"/>
    <n v="0.21"/>
    <n v="0.39877104377104378"/>
    <n v="0"/>
    <n v="38.031228956228958"/>
    <n v="19.015614478114479"/>
    <x v="65"/>
    <x v="68"/>
    <x v="18"/>
    <d v="2025-03-05T00:00:00"/>
    <x v="3"/>
    <x v="0"/>
    <x v="4"/>
    <s v="ENTREGUE"/>
    <d v="2025-02-01T00:00:00"/>
    <x v="0"/>
    <m/>
    <n v="0"/>
    <n v="0"/>
    <n v="0"/>
    <n v="0"/>
    <n v="0"/>
  </r>
  <r>
    <x v="0"/>
    <s v="BV45669"/>
    <s v="Pedido 753"/>
    <d v="2025-01-12T00:00:00"/>
    <x v="61"/>
    <s v="PedidoF732"/>
    <s v="CódRastreio730"/>
    <n v="1"/>
    <s v="CPF 731"/>
    <s v="Nome 731"/>
    <s v="Tel 731"/>
    <s v="Cep 731"/>
    <s v="Rua 731"/>
    <s v="Comp 731"/>
    <s v="Ventilador Azul"/>
    <s v="U8-2VWS-OB6M"/>
    <d v="2025-02-05T00:00:00"/>
    <n v="66.989999999999995"/>
    <n v="66.989999999999995"/>
    <n v="8.7087000000000003"/>
    <n v="58.28"/>
    <n v="0"/>
    <n v="0.26"/>
    <n v="0.39877104377104378"/>
    <n v="0"/>
    <n v="57.621228956228954"/>
    <n v="28.810614478114477"/>
    <x v="61"/>
    <x v="64"/>
    <x v="17"/>
    <d v="2025-02-17T00:00:00"/>
    <x v="3"/>
    <x v="0"/>
    <x v="4"/>
    <s v="ENTREGUE"/>
    <d v="2025-01-23T00:00:00"/>
    <x v="0"/>
    <m/>
    <n v="1.74"/>
    <n v="0"/>
    <n v="0"/>
    <n v="0"/>
    <n v="1.74"/>
  </r>
  <r>
    <x v="0"/>
    <s v="BV45667"/>
    <s v="Pedido 754"/>
    <d v="2025-01-10T00:00:00"/>
    <x v="60"/>
    <s v="PedidoF733"/>
    <s v="CódRastreio731"/>
    <n v="1"/>
    <s v="CPF 732"/>
    <s v="Nome 732"/>
    <s v="Tel 732"/>
    <s v="Cep 732"/>
    <s v="Rua 732"/>
    <s v="Comp 732"/>
    <s v="Ventilador Azul"/>
    <s v="U8-2VWS-OB6M"/>
    <d v="2025-01-30T00:00:00"/>
    <n v="66.989999999999995"/>
    <n v="66.989999999999995"/>
    <n v="8.7087000000000003"/>
    <n v="58.28"/>
    <n v="19.64"/>
    <n v="0.21"/>
    <n v="0.39877104377104378"/>
    <n v="0"/>
    <n v="38.031228956228958"/>
    <n v="19.015614478114479"/>
    <x v="56"/>
    <x v="59"/>
    <x v="15"/>
    <d v="2025-02-17T00:00:00"/>
    <x v="3"/>
    <x v="0"/>
    <x v="4"/>
    <s v="ENTREGUE"/>
    <d v="2025-01-23T00:00:00"/>
    <x v="0"/>
    <m/>
    <n v="0"/>
    <n v="0"/>
    <n v="0"/>
    <n v="0"/>
    <n v="0"/>
  </r>
  <r>
    <x v="0"/>
    <s v="BV45668"/>
    <s v="Pedido 755"/>
    <d v="2025-01-11T00:00:00"/>
    <x v="62"/>
    <s v="PedidoF734"/>
    <s v="CódRastreio732"/>
    <n v="1"/>
    <s v="CPF 733"/>
    <s v="Nome 733"/>
    <s v="Tel 733"/>
    <s v="Cep 733"/>
    <s v="Rua 733"/>
    <s v="Comp 733"/>
    <s v="Ventilador Preto"/>
    <s v="MU-J80P-95WF"/>
    <d v="2025-02-06T00:00:00"/>
    <n v="66.989999999999995"/>
    <n v="66.989999999999995"/>
    <n v="8.7087000000000003"/>
    <n v="58.28"/>
    <n v="19.329999999999998"/>
    <n v="0.4"/>
    <n v="0.39877104377104378"/>
    <n v="0"/>
    <n v="38.151228956228962"/>
    <n v="19.075614478114481"/>
    <x v="62"/>
    <x v="65"/>
    <x v="17"/>
    <d v="2025-02-17T00:00:00"/>
    <x v="3"/>
    <x v="0"/>
    <x v="4"/>
    <s v="ENTREGUE"/>
    <d v="2025-01-30T00:00:00"/>
    <x v="0"/>
    <m/>
    <n v="0"/>
    <n v="0"/>
    <n v="0"/>
    <n v="0"/>
    <n v="0"/>
  </r>
  <r>
    <x v="0"/>
    <s v="BV45669"/>
    <s v="Pedido 756"/>
    <d v="2025-01-12T00:00:00"/>
    <x v="61"/>
    <s v="PedidoF735"/>
    <s v="CódRastreio733"/>
    <n v="1"/>
    <s v="CPF 734"/>
    <s v="Nome 734"/>
    <s v="Tel 734"/>
    <s v="Cep 734"/>
    <s v="Rua 734"/>
    <s v="Comp 734"/>
    <s v="Ventilador de teto"/>
    <s v="BP-NHG2-B8C1"/>
    <d v="2025-01-31T00:00:00"/>
    <n v="75.989999999999995"/>
    <n v="75.989999999999995"/>
    <n v="9.8787000000000003"/>
    <n v="66.11"/>
    <n v="34.39"/>
    <n v="0.26"/>
    <n v="0.39877104377104378"/>
    <n v="0"/>
    <n v="31.061228956228959"/>
    <n v="15.530614478114479"/>
    <x v="58"/>
    <x v="61"/>
    <x v="16"/>
    <d v="2025-02-17T00:00:00"/>
    <x v="3"/>
    <x v="0"/>
    <x v="4"/>
    <s v="ENTREGUE"/>
    <d v="2025-01-24T00:00:00"/>
    <x v="0"/>
    <m/>
    <n v="0"/>
    <n v="0"/>
    <n v="0"/>
    <n v="0"/>
    <n v="0"/>
  </r>
  <r>
    <x v="0"/>
    <s v="BV45667"/>
    <s v="Pedido 757"/>
    <d v="2025-01-10T00:00:00"/>
    <x v="60"/>
    <s v="PedidoF736"/>
    <s v="CódRastreio734"/>
    <n v="1"/>
    <s v="CPF 735"/>
    <s v="Nome 735"/>
    <s v="Tel 735"/>
    <s v="Cep 735"/>
    <s v="Rua 735"/>
    <s v="Comp 735"/>
    <s v="Lampada Led"/>
    <s v="RB-W251-UXV2"/>
    <d v="2025-01-31T00:00:00"/>
    <n v="33.99"/>
    <n v="33.99"/>
    <n v="4.4187000000000003"/>
    <n v="29.57"/>
    <n v="15.4"/>
    <n v="0.21"/>
    <n v="0.39877104377104378"/>
    <n v="0"/>
    <n v="13.561228956228955"/>
    <n v="6.7806144781144777"/>
    <x v="58"/>
    <x v="61"/>
    <x v="16"/>
    <d v="2025-02-17T00:00:00"/>
    <x v="3"/>
    <x v="0"/>
    <x v="4"/>
    <s v="ENTREGUE"/>
    <d v="2025-01-17T00:00:00"/>
    <x v="0"/>
    <m/>
    <n v="0"/>
    <n v="0"/>
    <n v="0"/>
    <n v="0"/>
    <n v="0"/>
  </r>
  <r>
    <x v="0"/>
    <s v="BV45668"/>
    <s v="Pedido 758"/>
    <d v="2025-01-11T00:00:00"/>
    <x v="62"/>
    <s v="PedidoF737"/>
    <s v="CódRastreio735"/>
    <n v="1"/>
    <s v="CPF 736"/>
    <s v="Nome 736"/>
    <s v="Tel 736"/>
    <s v="Cep 736"/>
    <s v="Rua 736"/>
    <s v="Comp 736"/>
    <s v="Ventilador Azul"/>
    <s v="U8-2VWS-OB6M"/>
    <d v="2025-02-06T00:00:00"/>
    <n v="66.989999999999995"/>
    <n v="66.989999999999995"/>
    <n v="8.7087000000000003"/>
    <n v="58.28"/>
    <n v="19.329999999999998"/>
    <n v="0.4"/>
    <n v="0.39877104377104378"/>
    <n v="0"/>
    <n v="38.151228956228962"/>
    <n v="19.075614478114481"/>
    <x v="62"/>
    <x v="65"/>
    <x v="17"/>
    <d v="2025-02-17T00:00:00"/>
    <x v="3"/>
    <x v="0"/>
    <x v="4"/>
    <s v="ENTREGUE"/>
    <d v="2025-01-30T00:00:00"/>
    <x v="0"/>
    <m/>
    <n v="0"/>
    <n v="0"/>
    <n v="0"/>
    <n v="0"/>
    <n v="0"/>
  </r>
  <r>
    <x v="0"/>
    <s v="BV45669"/>
    <s v="Pedido 759"/>
    <d v="2025-01-12T00:00:00"/>
    <x v="61"/>
    <s v="PedidoF738"/>
    <s v="CódRastreio736"/>
    <n v="1"/>
    <s v="CPF 737"/>
    <s v="Nome 737"/>
    <s v="Tel 737"/>
    <s v="Cep 737"/>
    <s v="Rua 737"/>
    <s v="Comp 737"/>
    <s v="Ventilador Preto"/>
    <s v="MU-J80P-95WF"/>
    <d v="2025-01-31T00:00:00"/>
    <n v="66.989999999999995"/>
    <n v="66.989999999999995"/>
    <n v="8.7087000000000003"/>
    <n v="58.28"/>
    <n v="19.2"/>
    <n v="0.26"/>
    <n v="0.39877104377104378"/>
    <n v="0"/>
    <n v="38.421228956228958"/>
    <n v="19.210614478114479"/>
    <x v="58"/>
    <x v="61"/>
    <x v="16"/>
    <d v="2025-02-17T00:00:00"/>
    <x v="3"/>
    <x v="0"/>
    <x v="4"/>
    <s v="ENTREGUE"/>
    <d v="2025-01-27T00:00:00"/>
    <x v="0"/>
    <m/>
    <n v="0"/>
    <n v="0"/>
    <n v="0"/>
    <n v="0"/>
    <n v="0"/>
  </r>
  <r>
    <x v="0"/>
    <s v="BV45669"/>
    <s v="Pedido 760"/>
    <d v="2025-01-12T00:00:00"/>
    <x v="61"/>
    <s v="PedidoF739"/>
    <s v="CódRastreio737"/>
    <n v="1"/>
    <s v="CPF 738"/>
    <s v="Nome 738"/>
    <s v="Tel 738"/>
    <s v="Cep 738"/>
    <s v="Rua 738"/>
    <s v="Comp 738"/>
    <s v="Ventilador Preto"/>
    <s v="MU-J80P-95WF"/>
    <d v="2025-02-13T00:00:00"/>
    <n v="66.989999999999995"/>
    <n v="66.989999999999995"/>
    <n v="8.7087000000000003"/>
    <n v="58.28"/>
    <n v="19.2"/>
    <n v="0.26"/>
    <n v="0.39877104377104378"/>
    <n v="0"/>
    <n v="38.421228956228958"/>
    <n v="19.210614478114479"/>
    <x v="66"/>
    <x v="69"/>
    <x v="18"/>
    <d v="2025-03-05T00:00:00"/>
    <x v="3"/>
    <x v="0"/>
    <x v="4"/>
    <s v="ENTREGUE"/>
    <d v="2025-02-07T00:00:00"/>
    <x v="0"/>
    <m/>
    <n v="0"/>
    <n v="0"/>
    <n v="0"/>
    <n v="0"/>
    <n v="0"/>
  </r>
  <r>
    <x v="0"/>
    <s v="BV45669"/>
    <s v="Pedido 761"/>
    <d v="2025-01-12T00:00:00"/>
    <x v="61"/>
    <s v="PedidoF740"/>
    <s v="CódRastreio738"/>
    <n v="1"/>
    <s v="CPF 739"/>
    <s v="Nome 739"/>
    <s v="Tel 739"/>
    <s v="Cep 739"/>
    <s v="Rua 739"/>
    <s v="Comp 739"/>
    <s v="Ventilador Azul"/>
    <s v="U8-2VWS-OB6M"/>
    <d v="2025-02-06T00:00:00"/>
    <n v="66.989999999999995"/>
    <n v="66.989999999999995"/>
    <n v="8.7087000000000003"/>
    <n v="58.28"/>
    <n v="19.2"/>
    <n v="0.26"/>
    <n v="0.39877104377104378"/>
    <n v="0"/>
    <n v="38.421228956228958"/>
    <n v="19.210614478114479"/>
    <x v="62"/>
    <x v="65"/>
    <x v="17"/>
    <d v="2025-02-17T00:00:00"/>
    <x v="3"/>
    <x v="0"/>
    <x v="4"/>
    <s v="ENTREGUE"/>
    <d v="2025-01-31T00:00:00"/>
    <x v="0"/>
    <m/>
    <n v="0"/>
    <n v="0"/>
    <n v="0"/>
    <n v="0"/>
    <n v="0"/>
  </r>
  <r>
    <x v="0"/>
    <s v="BV45669"/>
    <s v="Pedido 762"/>
    <d v="2025-01-12T00:00:00"/>
    <x v="61"/>
    <s v="PedidoF741"/>
    <s v="CódRastreio739"/>
    <n v="1"/>
    <s v="CPF 740"/>
    <s v="Nome 740"/>
    <s v="Tel 740"/>
    <s v="Cep 740"/>
    <s v="Rua 740"/>
    <s v="Comp 740"/>
    <s v="Mini Liquidificador"/>
    <s v="CK-YL6M-P5Y6"/>
    <d v="2025-01-31T00:00:00"/>
    <n v="35.99"/>
    <n v="35.99"/>
    <n v="4.6787000000000001"/>
    <n v="31.31"/>
    <n v="0"/>
    <n v="0.26"/>
    <n v="0.39877104377104378"/>
    <n v="0"/>
    <n v="30.651228956228955"/>
    <n v="15.325614478114478"/>
    <x v="58"/>
    <x v="61"/>
    <x v="16"/>
    <d v="2025-02-17T00:00:00"/>
    <x v="3"/>
    <x v="0"/>
    <x v="4"/>
    <s v="ENTREGUE"/>
    <d v="2025-01-31T00:00:00"/>
    <x v="0"/>
    <m/>
    <n v="1.01"/>
    <n v="0"/>
    <n v="0"/>
    <n v="0"/>
    <n v="1.01"/>
  </r>
  <r>
    <x v="0"/>
    <s v="BV45673"/>
    <s v="Pedido 763"/>
    <d v="2025-01-16T00:00:00"/>
    <x v="63"/>
    <s v="PedidoF742"/>
    <s v="CódRastreio740"/>
    <n v="1"/>
    <s v="CPF 741"/>
    <s v="Nome 741"/>
    <s v="Tel 741"/>
    <s v="Cep 741"/>
    <s v="Rua 741"/>
    <s v="Comp 741"/>
    <s v="Ventilador Preto"/>
    <s v="MU-J80P-95WF"/>
    <d v="2025-01-31T00:00:00"/>
    <n v="66.989999999999995"/>
    <n v="66.989999999999995"/>
    <n v="8.7087000000000003"/>
    <n v="58.28"/>
    <n v="0"/>
    <n v="0.17"/>
    <n v="0.39877104377104378"/>
    <n v="0"/>
    <n v="57.711228956228958"/>
    <n v="28.855614478114479"/>
    <x v="58"/>
    <x v="61"/>
    <x v="16"/>
    <d v="2025-02-17T00:00:00"/>
    <x v="3"/>
    <x v="0"/>
    <x v="4"/>
    <s v="ENTREGUE"/>
    <d v="2025-01-27T00:00:00"/>
    <x v="0"/>
    <m/>
    <n v="0"/>
    <n v="0"/>
    <n v="0"/>
    <n v="0"/>
    <n v="0"/>
  </r>
  <r>
    <x v="0"/>
    <s v="BV45669"/>
    <s v="Pedido 764"/>
    <d v="2025-01-12T00:00:00"/>
    <x v="61"/>
    <s v="PedidoF743"/>
    <s v="CódRastreio741"/>
    <n v="1"/>
    <s v="CPF 742"/>
    <s v="Nome 742"/>
    <s v="Tel 742"/>
    <s v="Cep 742"/>
    <s v="Rua 742"/>
    <s v="Comp 742"/>
    <s v="Garrafa Termica"/>
    <s v="FM-QQ8Y-RZT4"/>
    <d v="2025-01-31T00:00:00"/>
    <n v="34.9"/>
    <n v="34.9"/>
    <n v="4.5369999999999999"/>
    <n v="30.36"/>
    <n v="14.8"/>
    <n v="0.26"/>
    <n v="0.39877104377104378"/>
    <n v="0"/>
    <n v="14.901228956228955"/>
    <n v="7.4506144781144776"/>
    <x v="58"/>
    <x v="61"/>
    <x v="16"/>
    <d v="2025-02-17T00:00:00"/>
    <x v="3"/>
    <x v="0"/>
    <x v="4"/>
    <s v="ENTREGUE"/>
    <d v="2025-01-18T00:00:00"/>
    <x v="0"/>
    <m/>
    <n v="0"/>
    <n v="0"/>
    <n v="0"/>
    <n v="0"/>
    <n v="0"/>
  </r>
  <r>
    <x v="0"/>
    <s v="BV45673"/>
    <s v="Pedido 765"/>
    <d v="2025-01-16T00:00:00"/>
    <x v="63"/>
    <s v="PedidoF744"/>
    <s v="CódRastreio742"/>
    <n v="1"/>
    <s v="CPF 743"/>
    <s v="Nome 743"/>
    <s v="Tel 743"/>
    <s v="Cep 743"/>
    <s v="Rua 743"/>
    <s v="Comp 743"/>
    <s v="Ventilador Preto"/>
    <s v="MU-J80P-95WF"/>
    <d v="2025-02-06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x v="62"/>
    <x v="65"/>
    <x v="17"/>
    <d v="2025-02-17T00:00:00"/>
    <x v="3"/>
    <x v="0"/>
    <x v="4"/>
    <s v="ENTREGUE"/>
    <d v="2025-02-05T00:00:00"/>
    <x v="0"/>
    <m/>
    <n v="0"/>
    <n v="0"/>
    <n v="0"/>
    <n v="0"/>
    <n v="0"/>
  </r>
  <r>
    <x v="0"/>
    <s v="BV45673"/>
    <s v="Pedido 766"/>
    <d v="2025-01-12T00:00:00"/>
    <x v="63"/>
    <s v="PedidoF745"/>
    <s v="CódRastreio743"/>
    <n v="1"/>
    <s v="CPF 744"/>
    <s v="Nome 744"/>
    <s v="Tel 744"/>
    <s v="Cep 744"/>
    <s v="Rua 744"/>
    <s v="Comp 744"/>
    <s v="Ventilador Preto"/>
    <s v="MU-J80P-95WF"/>
    <d v="2025-02-06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x v="62"/>
    <x v="65"/>
    <x v="17"/>
    <d v="2025-02-17T00:00:00"/>
    <x v="3"/>
    <x v="0"/>
    <x v="4"/>
    <s v="ENTREGUE"/>
    <d v="2025-02-04T00:00:00"/>
    <x v="0"/>
    <m/>
    <n v="0"/>
    <n v="0"/>
    <n v="0"/>
    <n v="0"/>
    <n v="0"/>
  </r>
  <r>
    <x v="0"/>
    <s v="BV45673"/>
    <s v="Pedido 767"/>
    <d v="2025-01-12T00:00:00"/>
    <x v="63"/>
    <s v="PedidoF746"/>
    <s v="CódRastreio744"/>
    <n v="1"/>
    <s v="CPF 745"/>
    <s v="Nome 745"/>
    <s v="Tel 745"/>
    <s v="Cep 745"/>
    <s v="Rua 745"/>
    <s v="Comp 745"/>
    <s v="Ventilador Preto"/>
    <s v="MU-J80P-95WF"/>
    <d v="2025-01-31T00:00:00"/>
    <n v="66.989999999999995"/>
    <n v="66.989999999999995"/>
    <n v="8.7087000000000003"/>
    <n v="58.28"/>
    <n v="0"/>
    <n v="0.17"/>
    <n v="0.39877104377104378"/>
    <n v="0"/>
    <n v="57.711228956228958"/>
    <n v="28.855614478114479"/>
    <x v="58"/>
    <x v="61"/>
    <x v="16"/>
    <d v="2025-02-17T00:00:00"/>
    <x v="3"/>
    <x v="0"/>
    <x v="4"/>
    <s v="ENTREGUE"/>
    <d v="2025-02-06T00:00:00"/>
    <x v="0"/>
    <m/>
    <n v="1.74"/>
    <n v="0"/>
    <n v="0"/>
    <n v="0"/>
    <n v="1.74"/>
  </r>
  <r>
    <x v="0"/>
    <s v="BV45673"/>
    <s v="Pedido 768"/>
    <d v="2025-01-12T00:00:00"/>
    <x v="63"/>
    <s v="PedidoF747"/>
    <s v="CódRastreio745"/>
    <n v="1"/>
    <s v="CPF 746"/>
    <s v="Nome 746"/>
    <s v="Tel 746"/>
    <s v="Cep 746"/>
    <s v="Rua 746"/>
    <s v="Comp 746"/>
    <s v="Ventilador Azul"/>
    <s v="U8-2VWS-OB6M"/>
    <d v="2025-02-13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x v="66"/>
    <x v="69"/>
    <x v="18"/>
    <d v="2025-03-05T00:00:00"/>
    <x v="3"/>
    <x v="0"/>
    <x v="4"/>
    <s v="ENTREGUE"/>
    <d v="2025-02-14T00:00:00"/>
    <x v="0"/>
    <m/>
    <n v="0"/>
    <n v="0"/>
    <n v="0"/>
    <n v="0"/>
    <n v="0"/>
  </r>
  <r>
    <x v="0"/>
    <s v="BV45673"/>
    <s v="Pedido 769"/>
    <d v="2025-01-12T00:00:00"/>
    <x v="63"/>
    <s v="PedidoF748"/>
    <s v="CódRastreio746"/>
    <n v="1"/>
    <s v="CPF 747"/>
    <s v="Nome 747"/>
    <s v="Tel 747"/>
    <s v="Cep 747"/>
    <s v="Rua 747"/>
    <s v="Comp 747"/>
    <s v="Ventilador Rosa"/>
    <s v="IF-G2ZQ-79FO"/>
    <d v="2025-01-31T00:00:00"/>
    <n v="66.989999999999995"/>
    <n v="66.989999999999995"/>
    <n v="8.7087000000000003"/>
    <n v="58.28"/>
    <n v="24.8"/>
    <n v="0.17"/>
    <n v="0.39877104377104378"/>
    <n v="0"/>
    <n v="32.911228956228953"/>
    <n v="16.455614478114477"/>
    <x v="58"/>
    <x v="61"/>
    <x v="16"/>
    <d v="2025-02-17T00:00:00"/>
    <x v="3"/>
    <x v="0"/>
    <x v="4"/>
    <s v="ENTREGUE"/>
    <d v="2025-02-04T00:00:00"/>
    <x v="0"/>
    <m/>
    <n v="0"/>
    <n v="0"/>
    <n v="0"/>
    <n v="0"/>
    <n v="0"/>
  </r>
  <r>
    <x v="0"/>
    <s v="BV45673"/>
    <s v="Pedido 770"/>
    <d v="2025-01-13T00:00:00"/>
    <x v="63"/>
    <s v="PedidoF749"/>
    <s v="CódRastreio747"/>
    <n v="1"/>
    <s v="CPF 748"/>
    <s v="Nome 748"/>
    <s v="Tel 748"/>
    <s v="Cep 748"/>
    <s v="Rua 748"/>
    <s v="Comp 748"/>
    <s v="Ventilador Azul"/>
    <s v="U8-2VWS-OB6M"/>
    <d v="2025-01-31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x v="58"/>
    <x v="61"/>
    <x v="16"/>
    <d v="2025-02-17T00:00:00"/>
    <x v="3"/>
    <x v="0"/>
    <x v="4"/>
    <s v="ENTREGUE"/>
    <d v="2025-02-01T00:00:00"/>
    <x v="0"/>
    <m/>
    <n v="0"/>
    <n v="0"/>
    <n v="0"/>
    <n v="0"/>
    <n v="0"/>
  </r>
  <r>
    <x v="0"/>
    <s v="BV45673"/>
    <s v="Pedido 771"/>
    <d v="2025-01-13T00:00:00"/>
    <x v="63"/>
    <s v="PedidoF750"/>
    <s v="CódRastreio748"/>
    <n v="1"/>
    <s v="CPF 749"/>
    <s v="Nome 749"/>
    <s v="Tel 749"/>
    <s v="Cep 749"/>
    <s v="Rua 749"/>
    <s v="Comp 749"/>
    <s v="Mini Liquidificador"/>
    <s v="CK-YL6M-P5Y6"/>
    <d v="2025-02-01T00:00:00"/>
    <n v="35.99"/>
    <n v="35.99"/>
    <n v="4.6787000000000001"/>
    <n v="31.31"/>
    <n v="19.989999999999998"/>
    <n v="0.17"/>
    <n v="0.39877104377104378"/>
    <n v="0"/>
    <n v="10.751228956228953"/>
    <n v="5.3756144781144766"/>
    <x v="63"/>
    <x v="66"/>
    <x v="16"/>
    <d v="2025-02-17T00:00:00"/>
    <x v="3"/>
    <x v="0"/>
    <x v="4"/>
    <s v="ENTREGUE"/>
    <d v="2025-01-22T00:00:00"/>
    <x v="0"/>
    <m/>
    <n v="0"/>
    <n v="0"/>
    <n v="0"/>
    <n v="0"/>
    <n v="0"/>
  </r>
  <r>
    <x v="0"/>
    <s v="BV45673"/>
    <s v="Pedido 772"/>
    <d v="2025-01-13T00:00:00"/>
    <x v="63"/>
    <s v="PedidoF751"/>
    <s v="CódRastreio749"/>
    <n v="1"/>
    <s v="CPF 750"/>
    <s v="Nome 750"/>
    <s v="Tel 750"/>
    <s v="Cep 750"/>
    <s v="Rua 750"/>
    <s v="Comp 750"/>
    <s v="Ventilador Preto"/>
    <s v="MU-J80P-95WF"/>
    <d v="2025-02-07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x v="67"/>
    <x v="70"/>
    <x v="17"/>
    <d v="2025-02-17T00:00:00"/>
    <x v="3"/>
    <x v="0"/>
    <x v="4"/>
    <s v="ENTREGUE"/>
    <d v="2025-02-05T00:00:00"/>
    <x v="0"/>
    <m/>
    <n v="0"/>
    <n v="0"/>
    <n v="0"/>
    <n v="0"/>
    <n v="0"/>
  </r>
  <r>
    <x v="0"/>
    <s v="BV45673"/>
    <s v="Pedido 773"/>
    <d v="2025-01-13T00:00:00"/>
    <x v="63"/>
    <s v="PedidoF752"/>
    <s v="CódRastreio750"/>
    <n v="1"/>
    <s v="CPF 751"/>
    <s v="Nome 751"/>
    <s v="Tel 751"/>
    <s v="Cep 751"/>
    <s v="Rua 751"/>
    <s v="Comp 751"/>
    <s v="Ventilador Azul"/>
    <s v="U8-2VWS-OB6M"/>
    <d v="2025-02-14T00:00:00"/>
    <n v="66.989999999999995"/>
    <n v="66.989999999999995"/>
    <n v="8.7087000000000003"/>
    <n v="58.28"/>
    <n v="24.93"/>
    <n v="0.17"/>
    <n v="0.39877104377104378"/>
    <n v="0"/>
    <n v="32.781228956228958"/>
    <n v="16.390614478114479"/>
    <x v="68"/>
    <x v="71"/>
    <x v="18"/>
    <d v="2025-03-05T00:00:00"/>
    <x v="3"/>
    <x v="0"/>
    <x v="4"/>
    <s v="ENTREGUE"/>
    <d v="2025-02-03T00:00:00"/>
    <x v="0"/>
    <m/>
    <n v="0"/>
    <n v="0"/>
    <n v="0"/>
    <n v="0"/>
    <n v="0"/>
  </r>
  <r>
    <x v="0"/>
    <s v="BV45673"/>
    <s v="Pedido 774"/>
    <d v="2025-01-13T00:00:00"/>
    <x v="63"/>
    <s v="PedidoF753"/>
    <s v="CódRastreio751"/>
    <n v="1"/>
    <s v="CPF 752"/>
    <s v="Nome 752"/>
    <s v="Tel 752"/>
    <s v="Cep 752"/>
    <s v="Rua 752"/>
    <s v="Comp 752"/>
    <s v="Ventilador de teto"/>
    <s v="BP-NHG2-B8C1"/>
    <d v="2025-02-07T00:00:00"/>
    <n v="75.989999999999995"/>
    <n v="75.989999999999995"/>
    <n v="9.8787000000000003"/>
    <n v="66.11"/>
    <n v="39.97"/>
    <n v="0.17"/>
    <n v="0.39877104377104378"/>
    <n v="0"/>
    <n v="25.571228956228957"/>
    <n v="12.785614478114478"/>
    <x v="67"/>
    <x v="70"/>
    <x v="17"/>
    <d v="2025-02-17T00:00:00"/>
    <x v="3"/>
    <x v="0"/>
    <x v="4"/>
    <s v="ENTREGUE"/>
    <d v="2025-02-03T00:00:00"/>
    <x v="0"/>
    <m/>
    <n v="0"/>
    <n v="0"/>
    <n v="0"/>
    <n v="0"/>
    <n v="0"/>
  </r>
  <r>
    <x v="0"/>
    <s v="BV45677"/>
    <s v="Pedido 775"/>
    <d v="2025-01-14T00:00:00"/>
    <x v="64"/>
    <s v="PedidoF754"/>
    <s v="CódRastreio752"/>
    <n v="1"/>
    <s v="CPF 753"/>
    <s v="Nome 753"/>
    <s v="Tel 753"/>
    <s v="Cep 753"/>
    <s v="Rua 753"/>
    <s v="Comp 753"/>
    <s v="Ventilador Azul"/>
    <s v="U8-2VWS-OB6M"/>
    <d v="2025-02-07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x v="67"/>
    <x v="70"/>
    <x v="17"/>
    <d v="2025-02-17T00:00:00"/>
    <x v="3"/>
    <x v="0"/>
    <x v="4"/>
    <s v="ENTREGUE"/>
    <d v="2025-02-07T00:00:00"/>
    <x v="0"/>
    <m/>
    <n v="0"/>
    <n v="0"/>
    <n v="0"/>
    <n v="0"/>
    <n v="0"/>
  </r>
  <r>
    <x v="0"/>
    <s v="BV45673"/>
    <s v="Pedido 776"/>
    <d v="2025-01-14T00:00:00"/>
    <x v="63"/>
    <s v="PedidoF755"/>
    <s v="CódRastreio753"/>
    <n v="1"/>
    <s v="CPF 754"/>
    <s v="Nome 754"/>
    <s v="Tel 754"/>
    <s v="Cep 754"/>
    <s v="Rua 754"/>
    <s v="Comp 754"/>
    <s v="Garrafa Termica"/>
    <s v="FM-QQ8Y-RZT4"/>
    <d v="2025-02-04T00:00:00"/>
    <n v="34.9"/>
    <n v="34.9"/>
    <n v="4.5369999999999999"/>
    <n v="30.36"/>
    <n v="18.8"/>
    <n v="0.17"/>
    <n v="0.39877104377104378"/>
    <n v="0"/>
    <n v="10.991228956228952"/>
    <n v="5.4956144781144758"/>
    <x v="64"/>
    <x v="67"/>
    <x v="17"/>
    <d v="2025-02-17T00:00:00"/>
    <x v="3"/>
    <x v="0"/>
    <x v="4"/>
    <s v="ENTREGUE"/>
    <d v="2025-01-25T00:00:00"/>
    <x v="0"/>
    <m/>
    <n v="0"/>
    <n v="0"/>
    <n v="0"/>
    <n v="0"/>
    <n v="0"/>
  </r>
  <r>
    <x v="0"/>
    <s v="BV45677"/>
    <s v="Pedido 777"/>
    <d v="2025-01-14T00:00:00"/>
    <x v="64"/>
    <s v="PedidoF756"/>
    <s v="CódRastreio754"/>
    <n v="1"/>
    <s v="CPF 755"/>
    <s v="Nome 755"/>
    <s v="Tel 755"/>
    <s v="Cep 755"/>
    <s v="Rua 755"/>
    <s v="Comp 755"/>
    <s v="Ventilador Azul"/>
    <s v="U8-2VWS-OB6M"/>
    <d v="2025-02-08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x v="69"/>
    <x v="72"/>
    <x v="18"/>
    <d v="2025-03-05T00:00:00"/>
    <x v="3"/>
    <x v="0"/>
    <x v="4"/>
    <s v="ENTREGUE"/>
    <d v="2025-02-10T00:00:00"/>
    <x v="0"/>
    <m/>
    <n v="0"/>
    <n v="0"/>
    <n v="0"/>
    <n v="0"/>
    <n v="0"/>
  </r>
  <r>
    <x v="0"/>
    <s v="BV45677"/>
    <s v="Pedido 778"/>
    <d v="2025-01-14T00:00:00"/>
    <x v="64"/>
    <s v="PedidoF757"/>
    <s v="CódRastreio755"/>
    <n v="1"/>
    <s v="CPF 756"/>
    <s v="Nome 756"/>
    <s v="Tel 756"/>
    <s v="Cep 756"/>
    <s v="Rua 756"/>
    <s v="Comp 756"/>
    <s v="Ventilador Azul"/>
    <s v="U8-2VWS-OB6M"/>
    <d v="2025-02-08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x v="69"/>
    <x v="72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77"/>
    <s v="Pedido 779"/>
    <d v="2025-01-15T00:00:00"/>
    <x v="64"/>
    <s v="PedidoF758"/>
    <s v="CódRastreio756"/>
    <n v="1"/>
    <s v="CPF 757"/>
    <s v="Nome 757"/>
    <s v="Tel 757"/>
    <s v="Cep 757"/>
    <s v="Rua 757"/>
    <s v="Comp 757"/>
    <s v="Lampada Led"/>
    <s v="RB-W251-UXV2"/>
    <d v="2025-01-29T00:00:00"/>
    <n v="33.99"/>
    <n v="33.99"/>
    <n v="4.4187000000000003"/>
    <n v="29.57"/>
    <n v="15.4"/>
    <n v="0.19"/>
    <n v="0.39877104377104378"/>
    <n v="0"/>
    <n v="13.581228956228957"/>
    <n v="6.7906144781144784"/>
    <x v="53"/>
    <x v="56"/>
    <x v="14"/>
    <d v="2025-02-17T00:00:00"/>
    <x v="3"/>
    <x v="0"/>
    <x v="4"/>
    <s v="ENTREGUE"/>
    <d v="2025-01-23T00:00:00"/>
    <x v="0"/>
    <m/>
    <n v="0"/>
    <n v="0"/>
    <n v="0"/>
    <n v="0"/>
    <n v="0"/>
  </r>
  <r>
    <x v="0"/>
    <s v="BV45677"/>
    <s v="Pedido 780"/>
    <d v="2025-01-15T00:00:00"/>
    <x v="64"/>
    <s v="PedidoF759"/>
    <s v="CódRastreio757"/>
    <n v="1"/>
    <s v="CPF 758"/>
    <s v="Nome 758"/>
    <s v="Tel 758"/>
    <s v="Cep 758"/>
    <s v="Rua 758"/>
    <s v="Comp 758"/>
    <s v="Ventilador Preto"/>
    <s v="MU-J80P-95WF"/>
    <d v="2025-02-11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5"/>
    <x v="68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77"/>
    <s v="Pedido 781"/>
    <d v="2025-01-15T00:00:00"/>
    <x v="64"/>
    <s v="PedidoF760"/>
    <s v="CódRastreio758"/>
    <n v="1"/>
    <s v="CPF 759"/>
    <s v="Nome 759"/>
    <s v="Tel 759"/>
    <s v="Cep 759"/>
    <s v="Rua 759"/>
    <s v="Comp 759"/>
    <s v="Ventilador Preto"/>
    <s v="MU-J80P-95WF"/>
    <d v="2025-02-05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1"/>
    <x v="64"/>
    <x v="17"/>
    <d v="2025-02-17T00:00:00"/>
    <x v="3"/>
    <x v="0"/>
    <x v="4"/>
    <s v="ENTREGUE"/>
    <d v="2025-02-01T00:00:00"/>
    <x v="0"/>
    <m/>
    <n v="0"/>
    <n v="0"/>
    <n v="0"/>
    <n v="0"/>
    <n v="0"/>
  </r>
  <r>
    <x v="0"/>
    <s v="BV45677"/>
    <s v="Pedido 782"/>
    <d v="2025-01-15T00:00:00"/>
    <x v="64"/>
    <s v="PedidoF761"/>
    <s v="CódRastreio759"/>
    <n v="1"/>
    <s v="CPF 760"/>
    <s v="Nome 760"/>
    <s v="Tel 760"/>
    <s v="Cep 760"/>
    <s v="Rua 760"/>
    <s v="Comp 760"/>
    <s v="Mini Liquidificador"/>
    <s v="CK-YL6M-P5Y6"/>
    <d v="2025-02-05T00:00:00"/>
    <n v="35.99"/>
    <n v="35.99"/>
    <n v="4.6787000000000001"/>
    <n v="31.31"/>
    <n v="15.99"/>
    <n v="0.19"/>
    <n v="0.39877104377104378"/>
    <n v="0"/>
    <n v="14.731228956228954"/>
    <n v="7.3656144781144768"/>
    <x v="61"/>
    <x v="64"/>
    <x v="17"/>
    <d v="2025-02-17T00:00:00"/>
    <x v="3"/>
    <x v="0"/>
    <x v="4"/>
    <s v="ENTREGUE"/>
    <d v="2025-02-10T00:00:00"/>
    <x v="0"/>
    <m/>
    <n v="0"/>
    <n v="0"/>
    <n v="0"/>
    <n v="0"/>
    <n v="0"/>
  </r>
  <r>
    <x v="0"/>
    <s v="BV45677"/>
    <s v="Pedido 783"/>
    <d v="2025-01-16T00:00:00"/>
    <x v="64"/>
    <s v="PedidoF762"/>
    <s v="CódRastreio760"/>
    <n v="1"/>
    <s v="CPF 761"/>
    <s v="Nome 761"/>
    <s v="Tel 761"/>
    <s v="Cep 761"/>
    <s v="Rua 761"/>
    <s v="Comp 761"/>
    <s v="Ventilador Preto"/>
    <s v="MU-J80P-95WF"/>
    <d v="2025-02-06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2"/>
    <x v="65"/>
    <x v="17"/>
    <d v="2025-02-17T00:00:00"/>
    <x v="3"/>
    <x v="0"/>
    <x v="4"/>
    <s v="ENTREGUE"/>
    <d v="2025-02-07T00:00:00"/>
    <x v="0"/>
    <m/>
    <n v="0"/>
    <n v="0"/>
    <n v="0"/>
    <n v="0"/>
    <n v="0"/>
  </r>
  <r>
    <x v="0"/>
    <s v="BV45677"/>
    <s v="Pedido 784"/>
    <d v="2025-01-16T00:00:00"/>
    <x v="64"/>
    <s v="PedidoF763"/>
    <s v="CódRastreio761"/>
    <n v="1"/>
    <s v="CPF 762"/>
    <s v="Nome 762"/>
    <s v="Tel 762"/>
    <s v="Cep 762"/>
    <s v="Rua 762"/>
    <s v="Comp 762"/>
    <s v="Lampada Led"/>
    <s v="RB-W251-UXV2"/>
    <d v="2025-02-04T00:00:00"/>
    <n v="34.99"/>
    <n v="34.99"/>
    <n v="4.5487000000000002"/>
    <n v="30.44"/>
    <n v="15.4"/>
    <n v="0.19"/>
    <n v="0.39877104377104378"/>
    <n v="0"/>
    <n v="14.451228956228958"/>
    <n v="7.2256144781144789"/>
    <x v="64"/>
    <x v="67"/>
    <x v="17"/>
    <d v="2025-02-17T00:00:00"/>
    <x v="3"/>
    <x v="0"/>
    <x v="4"/>
    <s v="ENTREGUE"/>
    <d v="2025-01-25T00:00:00"/>
    <x v="0"/>
    <m/>
    <n v="0"/>
    <n v="0"/>
    <n v="0"/>
    <n v="0"/>
    <n v="0"/>
  </r>
  <r>
    <x v="0"/>
    <s v="BV45677"/>
    <s v="Pedido 785"/>
    <d v="2025-01-17T00:00:00"/>
    <x v="64"/>
    <s v="PedidoF764"/>
    <s v="CódRastreio762"/>
    <n v="1"/>
    <s v="CPF 763"/>
    <s v="Nome 763"/>
    <s v="Tel 763"/>
    <s v="Cep 763"/>
    <s v="Rua 763"/>
    <s v="Comp 763"/>
    <s v="Mini Liquidificador"/>
    <s v="CK-YL6M-P5Y6"/>
    <d v="2025-02-06T00:00:00"/>
    <n v="35.99"/>
    <n v="35.99"/>
    <n v="4.6787000000000001"/>
    <n v="31.31"/>
    <n v="15.99"/>
    <n v="0.19"/>
    <n v="0.39877104377104378"/>
    <n v="0"/>
    <n v="14.731228956228954"/>
    <n v="7.3656144781144768"/>
    <x v="62"/>
    <x v="65"/>
    <x v="17"/>
    <d v="2025-02-17T00:00:00"/>
    <x v="3"/>
    <x v="0"/>
    <x v="4"/>
    <s v="ENTREGUE"/>
    <d v="2025-01-28T00:00:00"/>
    <x v="0"/>
    <m/>
    <n v="0"/>
    <n v="0"/>
    <n v="0"/>
    <n v="0"/>
    <n v="0"/>
  </r>
  <r>
    <x v="0"/>
    <s v="BV45677"/>
    <s v="Pedido 786"/>
    <d v="2025-01-17T00:00:00"/>
    <x v="64"/>
    <s v="PedidoF765"/>
    <s v="CódRastreio763"/>
    <n v="1"/>
    <s v="CPF 764"/>
    <s v="Nome 764"/>
    <s v="Tel 764"/>
    <s v="Cep 764"/>
    <s v="Rua 764"/>
    <s v="Comp 764"/>
    <s v="Ventilador Preto"/>
    <s v="MU-J80P-95WF"/>
    <d v="2025-02-20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70"/>
    <x v="73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77"/>
    <s v="Pedido 787"/>
    <d v="2025-01-17T00:00:00"/>
    <x v="64"/>
    <s v="PedidoF766"/>
    <s v="CódRastreio764"/>
    <n v="1"/>
    <s v="CPF 765"/>
    <s v="Nome 765"/>
    <s v="Tel 765"/>
    <s v="Cep 765"/>
    <s v="Rua 765"/>
    <s v="Comp 765"/>
    <s v="Mini Liquidificador"/>
    <s v="CK-YL6M-P5Y6"/>
    <d v="2025-02-13T00:00:00"/>
    <n v="35.99"/>
    <n v="35.99"/>
    <n v="4.6787000000000001"/>
    <n v="31.31"/>
    <n v="15.99"/>
    <n v="0.19"/>
    <n v="0.39877104377104378"/>
    <n v="0"/>
    <n v="14.731228956228954"/>
    <n v="7.3656144781144768"/>
    <x v="66"/>
    <x v="69"/>
    <x v="18"/>
    <d v="2025-03-05T00:00:00"/>
    <x v="3"/>
    <x v="0"/>
    <x v="4"/>
    <s v="ENTREGUE"/>
    <d v="2025-01-30T00:00:00"/>
    <x v="0"/>
    <m/>
    <n v="0"/>
    <n v="0"/>
    <n v="0"/>
    <n v="0"/>
    <n v="0"/>
  </r>
  <r>
    <x v="0"/>
    <s v="BV45677"/>
    <s v="Pedido 788"/>
    <d v="2025-01-18T00:00:00"/>
    <x v="64"/>
    <s v="PedidoF767"/>
    <s v="CódRastreio765"/>
    <n v="1"/>
    <s v="CPF 766"/>
    <s v="Nome 766"/>
    <s v="Tel 766"/>
    <s v="Cep 766"/>
    <s v="Rua 766"/>
    <s v="Comp 766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04T00:00:00"/>
    <x v="0"/>
    <m/>
    <n v="0"/>
    <n v="0"/>
    <n v="0"/>
    <n v="0"/>
    <n v="0"/>
  </r>
  <r>
    <x v="0"/>
    <s v="BV45677"/>
    <s v="Pedido 789"/>
    <d v="2025-01-18T00:00:00"/>
    <x v="64"/>
    <s v="PedidoF768"/>
    <s v="CódRastreio766"/>
    <n v="1"/>
    <s v="CPF 767"/>
    <s v="Nome 767"/>
    <s v="Tel 767"/>
    <s v="Cep 767"/>
    <s v="Rua 767"/>
    <s v="Comp 767"/>
    <s v="Ventilador Preto"/>
    <s v="MU-J80P-95WF"/>
    <d v="2025-02-13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6"/>
    <x v="69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77"/>
    <s v="Pedido 790"/>
    <d v="2025-01-18T00:00:00"/>
    <x v="64"/>
    <s v="PedidoF769"/>
    <s v="CódRastreio767"/>
    <n v="1"/>
    <s v="CPF 768"/>
    <s v="Nome 768"/>
    <s v="Tel 768"/>
    <s v="Cep 768"/>
    <s v="Rua 768"/>
    <s v="Comp 768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1-30T00:00:00"/>
    <x v="0"/>
    <m/>
    <n v="0"/>
    <n v="0"/>
    <n v="0"/>
    <n v="0"/>
    <n v="0"/>
  </r>
  <r>
    <x v="0"/>
    <s v="BV45678"/>
    <s v="Pedido 791"/>
    <d v="2025-01-18T00:00:00"/>
    <x v="65"/>
    <s v="PedidoF770"/>
    <s v="CódRastreio768"/>
    <n v="1"/>
    <s v="CPF 768"/>
    <s v="Nome 768"/>
    <s v="Tel 768"/>
    <s v="Cep 768"/>
    <s v="Rua 768"/>
    <s v="Comp 768"/>
    <s v="Ventilador Preto"/>
    <s v="MU-J80P-95WF"/>
    <d v="2025-02-07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x v="67"/>
    <x v="70"/>
    <x v="17"/>
    <d v="2025-02-17T00:00:00"/>
    <x v="3"/>
    <x v="0"/>
    <x v="4"/>
    <s v="ENTREGUE"/>
    <d v="2025-01-30T00:00:00"/>
    <x v="0"/>
    <m/>
    <n v="0"/>
    <n v="0"/>
    <n v="0"/>
    <n v="0"/>
    <n v="0"/>
  </r>
  <r>
    <x v="0"/>
    <s v="BV45677"/>
    <s v="Pedido 792"/>
    <d v="2025-01-18T00:00:00"/>
    <x v="64"/>
    <s v="PedidoF771"/>
    <s v="CódRastreio769"/>
    <n v="1"/>
    <s v="CPF 769"/>
    <s v="Nome 769"/>
    <s v="Tel 769"/>
    <s v="Cep 769"/>
    <s v="Rua 769"/>
    <s v="Comp 769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1-31T00:00:00"/>
    <x v="0"/>
    <m/>
    <n v="0"/>
    <n v="0"/>
    <n v="0"/>
    <n v="0"/>
    <n v="0"/>
  </r>
  <r>
    <x v="0"/>
    <s v="BV45677"/>
    <s v="Pedido 793"/>
    <d v="2025-01-18T00:00:00"/>
    <x v="64"/>
    <s v="PedidoF772"/>
    <s v="CódRastreio770"/>
    <n v="1"/>
    <s v="CPF 770"/>
    <s v="Nome 770"/>
    <s v="Tel 770"/>
    <s v="Cep 770"/>
    <s v="Rua 770"/>
    <s v="Comp 770"/>
    <s v="Ventilador Preto"/>
    <s v="MU-J80P-95WF"/>
    <d v="2025-02-13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6"/>
    <x v="69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77"/>
    <s v="Pedido 794"/>
    <d v="2025-01-19T00:00:00"/>
    <x v="64"/>
    <s v="PedidoF773"/>
    <s v="CódRastreio771"/>
    <n v="1"/>
    <s v="CPF 771"/>
    <s v="Nome 771"/>
    <s v="Tel 771"/>
    <s v="Cep 771"/>
    <s v="Rua 771"/>
    <s v="Comp 771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01T00:00:00"/>
    <x v="0"/>
    <m/>
    <n v="0"/>
    <n v="0"/>
    <n v="0"/>
    <n v="0"/>
    <n v="0"/>
  </r>
  <r>
    <x v="0"/>
    <s v="BV45677"/>
    <s v="Pedido 795"/>
    <d v="2025-01-19T00:00:00"/>
    <x v="64"/>
    <s v="PedidoF774"/>
    <s v="CódRastreio772"/>
    <n v="1"/>
    <s v="CPF 772"/>
    <s v="Nome 772"/>
    <s v="Tel 772"/>
    <s v="Cep 772"/>
    <s v="Rua 772"/>
    <s v="Comp 772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04T00:00:00"/>
    <x v="0"/>
    <m/>
    <n v="0"/>
    <n v="0"/>
    <n v="0"/>
    <n v="0"/>
    <n v="0"/>
  </r>
  <r>
    <x v="0"/>
    <s v="BV45677"/>
    <s v="Pedido 796"/>
    <d v="2025-01-19T00:00:00"/>
    <x v="64"/>
    <s v="PedidoF775"/>
    <s v="CódRastreio773"/>
    <n v="1"/>
    <s v="CPF 773"/>
    <s v="Nome 773"/>
    <s v="Tel 773"/>
    <s v="Cep 773"/>
    <s v="Rua 773"/>
    <s v="Comp 773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01T00:00:00"/>
    <x v="0"/>
    <m/>
    <n v="0"/>
    <n v="0"/>
    <n v="0"/>
    <n v="0"/>
    <n v="0"/>
  </r>
  <r>
    <x v="0"/>
    <s v="BV45677"/>
    <s v="Pedido 797"/>
    <d v="2025-01-19T00:00:00"/>
    <x v="64"/>
    <s v="PedidoF776"/>
    <s v="CódRastreio774"/>
    <n v="1"/>
    <s v="CPF 774"/>
    <s v="Nome 774"/>
    <s v="Tel 774"/>
    <s v="Cep 774"/>
    <s v="Rua 774"/>
    <s v="Comp 774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18T00:00:00"/>
    <x v="0"/>
    <m/>
    <n v="0"/>
    <n v="0"/>
    <n v="0"/>
    <n v="0"/>
    <n v="0"/>
  </r>
  <r>
    <x v="0"/>
    <s v="BV45677"/>
    <s v="Pedido 798"/>
    <d v="2025-01-19T00:00:00"/>
    <x v="64"/>
    <s v="PedidoF777"/>
    <s v="CódRastreio775"/>
    <n v="1"/>
    <s v="CPF 775"/>
    <s v="Nome 775"/>
    <s v="Tel 775"/>
    <s v="Cep 775"/>
    <s v="Rua 775"/>
    <s v="Comp 775"/>
    <s v="Garrafa Termica"/>
    <s v="FM-QQ8Y-RZT4"/>
    <d v="2025-02-05T00:00:00"/>
    <n v="34.9"/>
    <n v="34.9"/>
    <n v="4.5369999999999999"/>
    <n v="30.36"/>
    <n v="14.8"/>
    <n v="0.19"/>
    <n v="0.39877104377104378"/>
    <n v="0"/>
    <n v="14.971228956228956"/>
    <n v="7.4856144781144778"/>
    <x v="61"/>
    <x v="64"/>
    <x v="17"/>
    <d v="2025-02-17T00:00:00"/>
    <x v="3"/>
    <x v="0"/>
    <x v="4"/>
    <s v="ENTREGUE"/>
    <d v="2025-01-27T00:00:00"/>
    <x v="0"/>
    <m/>
    <n v="0"/>
    <n v="0"/>
    <n v="0"/>
    <n v="0"/>
    <n v="0"/>
  </r>
  <r>
    <x v="0"/>
    <s v="BV45677"/>
    <s v="Pedido 799"/>
    <d v="2025-01-19T00:00:00"/>
    <x v="64"/>
    <s v="PedidoF778"/>
    <s v="CódRastreio776"/>
    <n v="1"/>
    <s v="CPF 776"/>
    <s v="Nome 776"/>
    <s v="Tel 776"/>
    <s v="Cep 776"/>
    <s v="Rua 776"/>
    <s v="Comp 776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06T00:00:00"/>
    <x v="0"/>
    <m/>
    <n v="0"/>
    <n v="0"/>
    <n v="0"/>
    <n v="0"/>
    <n v="0"/>
  </r>
  <r>
    <x v="0"/>
    <s v="BV45677"/>
    <s v="Pedido 800"/>
    <d v="2025-01-19T00:00:00"/>
    <x v="64"/>
    <s v="PedidoF779"/>
    <s v="CódRastreio777"/>
    <n v="1"/>
    <s v="CPF 777"/>
    <s v="Nome 777"/>
    <s v="Tel 777"/>
    <s v="Cep 777"/>
    <s v="Rua 777"/>
    <s v="Comp 777"/>
    <s v="Ventilador Preto"/>
    <s v="MU-J80P-95WF"/>
    <d v="2025-02-20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70"/>
    <x v="73"/>
    <x v="18"/>
    <d v="2025-03-05T00:00:00"/>
    <x v="3"/>
    <x v="0"/>
    <x v="4"/>
    <s v="ENTREGUE"/>
    <d v="2025-02-08T00:00:00"/>
    <x v="0"/>
    <m/>
    <n v="0"/>
    <n v="0"/>
    <n v="0"/>
    <n v="0"/>
    <n v="0"/>
  </r>
  <r>
    <x v="0"/>
    <s v="BV45677"/>
    <s v="Pedido 801"/>
    <d v="2025-01-20T00:00:00"/>
    <x v="64"/>
    <s v="PedidoF780"/>
    <s v="CódRastreio778"/>
    <n v="1"/>
    <s v="CPF 778"/>
    <s v="Nome 778"/>
    <s v="Tel 778"/>
    <s v="Cep 778"/>
    <s v="Rua 778"/>
    <s v="Comp 778"/>
    <s v="Mini Liquidificador"/>
    <s v="CK-YL6M-P5Y6"/>
    <d v="2025-02-05T00:00:00"/>
    <n v="35.99"/>
    <n v="35.99"/>
    <n v="4.6787000000000001"/>
    <n v="31.31"/>
    <n v="15.99"/>
    <n v="0.19"/>
    <n v="0.39877104377104378"/>
    <n v="0"/>
    <n v="14.731228956228954"/>
    <n v="7.3656144781144768"/>
    <x v="61"/>
    <x v="64"/>
    <x v="17"/>
    <d v="2025-02-17T00:00:00"/>
    <x v="3"/>
    <x v="0"/>
    <x v="4"/>
    <s v="ENTREGUE"/>
    <d v="2025-01-27T00:00:00"/>
    <x v="0"/>
    <m/>
    <n v="0"/>
    <n v="0"/>
    <n v="0"/>
    <n v="0"/>
    <n v="0"/>
  </r>
  <r>
    <x v="0"/>
    <s v="BV45677"/>
    <s v="Pedido 802"/>
    <d v="2025-01-20T00:00:00"/>
    <x v="64"/>
    <s v="PedidoF781"/>
    <s v="CódRastreio779"/>
    <n v="1"/>
    <s v="CPF 779"/>
    <s v="Nome 779"/>
    <s v="Tel 779"/>
    <s v="Cep 779"/>
    <s v="Rua 779"/>
    <s v="Comp 779"/>
    <s v="Ventilador Preto"/>
    <s v="MU-J80P-95WF"/>
    <d v="2025-02-07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7"/>
    <x v="70"/>
    <x v="17"/>
    <d v="2025-02-17T00:00:00"/>
    <x v="3"/>
    <x v="0"/>
    <x v="4"/>
    <s v="ENTREGUE"/>
    <d v="2025-02-04T00:00:00"/>
    <x v="0"/>
    <m/>
    <n v="0"/>
    <n v="0"/>
    <n v="0"/>
    <n v="0"/>
    <n v="0"/>
  </r>
  <r>
    <x v="0"/>
    <s v="BV45677"/>
    <s v="Pedido 803"/>
    <d v="2025-01-20T00:00:00"/>
    <x v="64"/>
    <s v="PedidoF782"/>
    <s v="CódRastreio780"/>
    <n v="1"/>
    <s v="CPF 780"/>
    <s v="Nome 780"/>
    <s v="Tel 780"/>
    <s v="Cep 780"/>
    <s v="Rua 780"/>
    <s v="Comp 780"/>
    <s v="Ventilador Rosa"/>
    <s v="IF-G2ZQ-79FO"/>
    <d v="2025-02-14T00:00:00"/>
    <n v="66.989999999999995"/>
    <n v="66.989999999999995"/>
    <n v="8.7087000000000003"/>
    <n v="58.28"/>
    <n v="18.23"/>
    <n v="0.19"/>
    <n v="0.39877104377104378"/>
    <n v="0"/>
    <n v="39.46122895622895"/>
    <n v="19.730614478114475"/>
    <x v="68"/>
    <x v="71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77"/>
    <s v="Pedido 804"/>
    <d v="2025-01-20T00:00:00"/>
    <x v="64"/>
    <s v="PedidoF783"/>
    <s v="CódRastreio781"/>
    <n v="1"/>
    <s v="CPF 781"/>
    <s v="Nome 781"/>
    <s v="Tel 781"/>
    <s v="Cep 781"/>
    <s v="Rua 781"/>
    <s v="Comp 781"/>
    <s v="Ventilador Preto"/>
    <s v="MU-J80P-95WF"/>
    <d v="2025-02-08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9"/>
    <x v="72"/>
    <x v="18"/>
    <d v="2025-03-05T00:00:00"/>
    <x v="3"/>
    <x v="0"/>
    <x v="4"/>
    <s v="ENTREGUE"/>
    <d v="2025-02-01T00:00:00"/>
    <x v="0"/>
    <m/>
    <n v="0"/>
    <n v="0"/>
    <n v="0"/>
    <n v="0"/>
    <n v="0"/>
  </r>
  <r>
    <x v="0"/>
    <s v="BV45677"/>
    <s v="Pedido 805"/>
    <d v="2025-01-20T00:00:00"/>
    <x v="64"/>
    <s v="PedidoF784"/>
    <s v="CódRastreio782"/>
    <n v="1"/>
    <s v="CPF 782"/>
    <s v="Nome 782"/>
    <s v="Tel 782"/>
    <s v="Cep 782"/>
    <s v="Rua 782"/>
    <s v="Comp 782"/>
    <s v="Ventilador Preto"/>
    <s v="MU-J80P-95WF"/>
    <d v="2025-02-08T00:00:00"/>
    <n v="66.989999999999995"/>
    <n v="66.989999999999995"/>
    <n v="8.7087000000000003"/>
    <n v="58.28"/>
    <n v="0"/>
    <n v="0.19"/>
    <n v="0.39877104377104378"/>
    <n v="0"/>
    <n v="57.691228956228954"/>
    <n v="28.845614478114477"/>
    <x v="69"/>
    <x v="72"/>
    <x v="18"/>
    <d v="2025-03-05T00:00:00"/>
    <x v="3"/>
    <x v="0"/>
    <x v="4"/>
    <s v="ENTREGUE"/>
    <d v="2025-01-30T00:00:00"/>
    <x v="0"/>
    <m/>
    <n v="0"/>
    <n v="0"/>
    <n v="0"/>
    <n v="0"/>
    <n v="0"/>
  </r>
  <r>
    <x v="0"/>
    <s v="BV45677"/>
    <s v="Pedido 806"/>
    <d v="2025-01-20T00:00:00"/>
    <x v="64"/>
    <s v="PedidoF785"/>
    <s v="CódRastreio783"/>
    <n v="1"/>
    <s v="CPF 783"/>
    <s v="Nome 783"/>
    <s v="Tel 783"/>
    <s v="Cep 783"/>
    <s v="Rua 783"/>
    <s v="Comp 783"/>
    <s v="Ventilador Preto"/>
    <s v="MU-J80P-95WF"/>
    <d v="2025-02-21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71"/>
    <x v="74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77"/>
    <s v="Pedido 807"/>
    <d v="2025-01-20T00:00:00"/>
    <x v="64"/>
    <s v="PedidoF786"/>
    <s v="CódRastreio784"/>
    <n v="1"/>
    <s v="CPF 784"/>
    <s v="Nome 784"/>
    <s v="Tel 784"/>
    <s v="Cep 784"/>
    <s v="Rua 784"/>
    <s v="Comp 784"/>
    <s v="Ventilador Preto"/>
    <s v="MU-J80P-95WF"/>
    <d v="2025-02-08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9"/>
    <x v="72"/>
    <x v="18"/>
    <d v="2025-03-05T00:00:00"/>
    <x v="3"/>
    <x v="0"/>
    <x v="4"/>
    <s v="ENTREGUE"/>
    <d v="2025-01-30T00:00:00"/>
    <x v="0"/>
    <m/>
    <n v="0"/>
    <n v="0"/>
    <n v="0"/>
    <n v="0"/>
    <n v="0"/>
  </r>
  <r>
    <x v="0"/>
    <s v="BV45677"/>
    <s v="Pedido 808"/>
    <d v="2025-01-20T00:00:00"/>
    <x v="64"/>
    <s v="PedidoF787"/>
    <s v="CódRastreio785"/>
    <n v="1"/>
    <s v="CPF 785"/>
    <s v="Nome 785"/>
    <s v="Tel 785"/>
    <s v="Cep 785"/>
    <s v="Rua 785"/>
    <s v="Comp 785"/>
    <s v="Ventilador Preto"/>
    <s v="MU-J80P-95WF"/>
    <d v="2025-02-08T00:00:00"/>
    <n v="66.989999999999995"/>
    <n v="66.989999999999995"/>
    <n v="8.7087000000000003"/>
    <n v="58.28"/>
    <n v="14.15"/>
    <n v="0.19"/>
    <n v="0.39877104377104378"/>
    <n v="0"/>
    <n v="43.541228956228956"/>
    <n v="21.770614478114478"/>
    <x v="69"/>
    <x v="72"/>
    <x v="18"/>
    <d v="2025-03-05T00:00:00"/>
    <x v="3"/>
    <x v="0"/>
    <x v="4"/>
    <s v="ENTREGUE"/>
    <d v="2025-02-01T00:00:00"/>
    <x v="0"/>
    <m/>
    <n v="0"/>
    <n v="0"/>
    <n v="0"/>
    <n v="0"/>
    <n v="0"/>
  </r>
  <r>
    <x v="0"/>
    <s v="BV45677"/>
    <s v="Pedido 809"/>
    <d v="2025-01-20T00:00:00"/>
    <x v="64"/>
    <s v="PedidoF788"/>
    <s v="CódRastreio786"/>
    <n v="1"/>
    <s v="CPF 786"/>
    <s v="Nome 786"/>
    <s v="Tel 786"/>
    <s v="Cep 786"/>
    <s v="Rua 786"/>
    <s v="Comp 786"/>
    <s v="Ventilador Azul"/>
    <s v="U8-2VWS-OB6M"/>
    <d v="2025-02-14T00:00:00"/>
    <n v="66.989999999999995"/>
    <n v="66.989999999999995"/>
    <n v="8.7087000000000003"/>
    <n v="58.28"/>
    <n v="19.649999999999999"/>
    <n v="0.19"/>
    <n v="0.39877104377104378"/>
    <n v="0"/>
    <n v="38.041228956228956"/>
    <n v="19.020614478114478"/>
    <x v="68"/>
    <x v="71"/>
    <x v="18"/>
    <d v="2025-03-05T00:00:00"/>
    <x v="3"/>
    <x v="0"/>
    <x v="4"/>
    <s v="ENTREGUE"/>
    <d v="2025-02-05T00:00:00"/>
    <x v="0"/>
    <m/>
    <n v="0"/>
    <n v="0"/>
    <n v="0"/>
    <n v="0"/>
    <n v="0"/>
  </r>
  <r>
    <x v="0"/>
    <s v="BV45678"/>
    <s v="Pedido 810"/>
    <d v="2025-01-21T00:00:00"/>
    <x v="65"/>
    <s v="PedidoF789"/>
    <s v="CódRastreio787"/>
    <n v="1"/>
    <s v="CPF 787"/>
    <s v="Nome 787"/>
    <s v="Tel 787"/>
    <s v="Cep 787"/>
    <s v="Rua 787"/>
    <s v="Comp 787"/>
    <s v="Garrafa Termica"/>
    <s v="FM-QQ8Y-RZT4"/>
    <d v="2025-02-06T00:00:00"/>
    <n v="34.9"/>
    <n v="34.9"/>
    <n v="4.5369999999999999"/>
    <n v="30.36"/>
    <n v="14.8"/>
    <n v="0.22"/>
    <n v="0.39877104377104378"/>
    <n v="0"/>
    <n v="14.941228956228954"/>
    <n v="7.4706144781144772"/>
    <x v="62"/>
    <x v="65"/>
    <x v="17"/>
    <d v="2025-02-17T00:00:00"/>
    <x v="3"/>
    <x v="0"/>
    <x v="4"/>
    <s v="ENTREGUE"/>
    <d v="2025-01-27T00:00:00"/>
    <x v="0"/>
    <m/>
    <n v="0"/>
    <n v="0"/>
    <n v="0"/>
    <n v="0"/>
    <n v="0"/>
  </r>
  <r>
    <x v="0"/>
    <s v="BV45678"/>
    <s v="Pedido 811"/>
    <d v="2025-01-21T00:00:00"/>
    <x v="65"/>
    <s v="PedidoF790"/>
    <s v="CódRastreio788"/>
    <n v="1"/>
    <s v="CPF 788"/>
    <s v="Nome 788"/>
    <s v="Tel 788"/>
    <s v="Cep 788"/>
    <s v="Rua 788"/>
    <s v="Comp 788"/>
    <s v="Ventilador Preto"/>
    <s v="MU-J80P-95WF"/>
    <d v="2025-02-14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x v="68"/>
    <x v="71"/>
    <x v="18"/>
    <d v="2025-03-05T00:00:00"/>
    <x v="3"/>
    <x v="0"/>
    <x v="4"/>
    <s v="ENTREGUE"/>
    <d v="2025-02-07T00:00:00"/>
    <x v="0"/>
    <m/>
    <n v="0"/>
    <n v="0"/>
    <n v="0"/>
    <n v="0"/>
    <n v="0"/>
  </r>
  <r>
    <x v="0"/>
    <s v="BV45678"/>
    <s v="Pedido 812"/>
    <d v="2025-01-21T00:00:00"/>
    <x v="65"/>
    <s v="PedidoF791"/>
    <s v="CódRastreio789"/>
    <n v="1"/>
    <s v="CPF 789"/>
    <s v="Nome 789"/>
    <s v="Tel 789"/>
    <s v="Cep 789"/>
    <s v="Rua 789"/>
    <s v="Comp 789"/>
    <s v="Ventilador Azul"/>
    <s v="U8-2VWS-OB6M"/>
    <d v="2025-02-15T00:00:00"/>
    <n v="66.989999999999995"/>
    <n v="66.989999999999995"/>
    <n v="8.7087000000000003"/>
    <n v="58.28"/>
    <n v="0"/>
    <n v="0.22"/>
    <n v="0.39877104377104378"/>
    <n v="0"/>
    <n v="57.66122895622896"/>
    <n v="28.83061447811448"/>
    <x v="72"/>
    <x v="75"/>
    <x v="18"/>
    <d v="2025-03-05T00:00:00"/>
    <x v="3"/>
    <x v="0"/>
    <x v="4"/>
    <s v="ENTREGUE"/>
    <d v="2025-01-30T00:00:00"/>
    <x v="0"/>
    <m/>
    <n v="0"/>
    <n v="0"/>
    <n v="0"/>
    <n v="0"/>
    <n v="0"/>
  </r>
  <r>
    <x v="0"/>
    <s v="BV45678"/>
    <s v="Pedido 813"/>
    <d v="2025-01-21T00:00:00"/>
    <x v="65"/>
    <s v="PedidoF792"/>
    <s v="CódRastreio790"/>
    <n v="1"/>
    <s v="CPF 790"/>
    <s v="Nome 790"/>
    <s v="Tel 790"/>
    <s v="Cep 790"/>
    <s v="Rua 790"/>
    <s v="Comp 790"/>
    <s v="Ventilador Preto"/>
    <s v="MU-J80P-95WF"/>
    <d v="2025-02-11T00:00:00"/>
    <n v="66.989999999999995"/>
    <n v="66.989999999999995"/>
    <n v="8.7087000000000003"/>
    <n v="58.28"/>
    <n v="0"/>
    <n v="0.22"/>
    <n v="0.39877104377104378"/>
    <n v="0"/>
    <n v="57.66122895622896"/>
    <n v="28.83061447811448"/>
    <x v="65"/>
    <x v="68"/>
    <x v="18"/>
    <d v="2025-03-05T00:00:00"/>
    <x v="3"/>
    <x v="0"/>
    <x v="4"/>
    <s v="ENTREGUE"/>
    <d v="2025-02-10T00:00:00"/>
    <x v="0"/>
    <m/>
    <n v="0"/>
    <n v="0"/>
    <n v="0"/>
    <n v="0"/>
    <n v="0"/>
  </r>
  <r>
    <x v="0"/>
    <s v="BV45678"/>
    <s v="Pedido 814"/>
    <d v="2025-01-21T00:00:00"/>
    <x v="65"/>
    <s v="PedidoF793"/>
    <s v="CódRastreio791"/>
    <n v="1"/>
    <s v="CPF 791"/>
    <s v="Nome 791"/>
    <s v="Tel 791"/>
    <s v="Cep 791"/>
    <s v="Rua 791"/>
    <s v="Comp 791"/>
    <s v="Ventilador Preto"/>
    <s v="MU-J80P-95WF"/>
    <d v="2025-02-11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x v="65"/>
    <x v="68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78"/>
    <s v="Pedido 815"/>
    <d v="2025-01-21T00:00:00"/>
    <x v="65"/>
    <s v="PedidoF794"/>
    <s v="CódRastreio792"/>
    <n v="1"/>
    <s v="CPF 792"/>
    <s v="Nome 792"/>
    <s v="Tel 792"/>
    <s v="Cep 792"/>
    <s v="Rua 792"/>
    <s v="Comp 792"/>
    <s v="Ventilador Preto"/>
    <s v="MU-J80P-95WF"/>
    <d v="2025-02-11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x v="65"/>
    <x v="68"/>
    <x v="18"/>
    <d v="2025-03-05T00:00:00"/>
    <x v="3"/>
    <x v="0"/>
    <x v="4"/>
    <s v="ENTREGUE"/>
    <d v="2025-02-03T00:00:00"/>
    <x v="0"/>
    <m/>
    <n v="0"/>
    <n v="0"/>
    <n v="0"/>
    <n v="0"/>
    <n v="0"/>
  </r>
  <r>
    <x v="0"/>
    <s v="BV45678"/>
    <s v="Pedido 816"/>
    <d v="2025-01-21T00:00:00"/>
    <x v="65"/>
    <s v="PedidoF795"/>
    <s v="CódRastreio793"/>
    <n v="1"/>
    <s v="CPF 793"/>
    <s v="Nome 793"/>
    <s v="Tel 793"/>
    <s v="Cep 793"/>
    <s v="Rua 793"/>
    <s v="Comp 793"/>
    <s v="Ventilador Azul"/>
    <s v="U8-2VWS-OB6M"/>
    <d v="2025-02-11T00:00:00"/>
    <n v="66.989999999999995"/>
    <n v="66.989999999999995"/>
    <n v="8.7087000000000003"/>
    <n v="58.28"/>
    <n v="0"/>
    <n v="0.22"/>
    <n v="0.39877104377104378"/>
    <n v="0"/>
    <n v="57.66122895622896"/>
    <n v="28.83061447811448"/>
    <x v="65"/>
    <x v="68"/>
    <x v="18"/>
    <d v="2025-03-05T00:00:00"/>
    <x v="3"/>
    <x v="0"/>
    <x v="4"/>
    <s v="ENTREGUE"/>
    <d v="2025-02-07T00:00:00"/>
    <x v="0"/>
    <m/>
    <n v="0"/>
    <n v="0"/>
    <n v="0"/>
    <n v="0"/>
    <n v="0"/>
  </r>
  <r>
    <x v="0"/>
    <s v="BV45678"/>
    <s v="Pedido 817"/>
    <d v="2025-01-21T00:00:00"/>
    <x v="65"/>
    <s v="PedidoF796"/>
    <s v="CódRastreio794"/>
    <n v="1"/>
    <s v="CPF 794"/>
    <s v="Nome 794"/>
    <s v="Tel 794"/>
    <s v="Cep 794"/>
    <s v="Rua 794"/>
    <s v="Comp 794"/>
    <s v="Ventilador Preto"/>
    <s v="MU-J80P-95WF"/>
    <d v="2025-02-11T00:00:00"/>
    <n v="66.989999999999995"/>
    <n v="66.989999999999995"/>
    <n v="8.7087000000000003"/>
    <n v="58.28"/>
    <n v="14.11"/>
    <n v="0.22"/>
    <n v="0.39877104377104378"/>
    <n v="0"/>
    <n v="43.551228956228954"/>
    <n v="21.775614478114477"/>
    <x v="65"/>
    <x v="68"/>
    <x v="18"/>
    <d v="2025-03-05T00:00:00"/>
    <x v="3"/>
    <x v="0"/>
    <x v="4"/>
    <s v="ENTREGUE"/>
    <d v="2025-01-30T00:00:00"/>
    <x v="0"/>
    <m/>
    <n v="0"/>
    <n v="0"/>
    <n v="0"/>
    <n v="0"/>
    <n v="0"/>
  </r>
  <r>
    <x v="0"/>
    <s v="BV45679"/>
    <s v="Pedido 818"/>
    <d v="2025-01-22T00:00:00"/>
    <x v="66"/>
    <s v="PedidoF797"/>
    <s v="CódRastreio795"/>
    <n v="1"/>
    <s v="CPF 795"/>
    <s v="Nome 795"/>
    <s v="Tel 795"/>
    <s v="Cep 795"/>
    <s v="Rua 795"/>
    <s v="Comp 795"/>
    <s v="Ventilador Preto"/>
    <s v="MU-J80P-95WF"/>
    <d v="2025-02-12T00:00:00"/>
    <n v="66.989999999999995"/>
    <n v="66.989999999999995"/>
    <n v="8.7087000000000003"/>
    <n v="58.28"/>
    <n v="13.93"/>
    <n v="0.2"/>
    <n v="0.39877104377104378"/>
    <n v="0"/>
    <n v="43.751228956228957"/>
    <n v="21.875614478114478"/>
    <x v="73"/>
    <x v="76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79"/>
    <s v="Pedido 819"/>
    <d v="2025-01-22T00:00:00"/>
    <x v="66"/>
    <s v="PedidoF798"/>
    <s v="CódRastreio796"/>
    <n v="1"/>
    <s v="CPF 796"/>
    <s v="Nome 796"/>
    <s v="Tel 796"/>
    <s v="Cep 796"/>
    <s v="Rua 796"/>
    <s v="Comp 796"/>
    <s v="Ventilador Azul"/>
    <s v="U8-2VWS-OB6M"/>
    <d v="2025-02-18T00:00:00"/>
    <n v="66.989999999999995"/>
    <n v="66.989999999999995"/>
    <n v="8.7087000000000003"/>
    <n v="58.28"/>
    <n v="19.329999999999998"/>
    <n v="0.2"/>
    <n v="0.39877104377104378"/>
    <n v="0"/>
    <n v="38.351228956228958"/>
    <n v="19.175614478114479"/>
    <x v="74"/>
    <x v="77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79"/>
    <s v="Pedido 820"/>
    <d v="2025-01-22T00:00:00"/>
    <x v="66"/>
    <s v="PedidoF799"/>
    <s v="CódRastreio797"/>
    <n v="1"/>
    <s v="CPF 797"/>
    <s v="Nome 797"/>
    <s v="Tel 797"/>
    <s v="Cep 797"/>
    <s v="Rua 797"/>
    <s v="Comp 797"/>
    <s v="Ventilador Preto"/>
    <s v="MU-J80P-95WF"/>
    <d v="2025-02-12T00:00:00"/>
    <n v="66.989999999999995"/>
    <n v="66.989999999999995"/>
    <n v="8.7087000000000003"/>
    <n v="58.28"/>
    <n v="0"/>
    <n v="0.2"/>
    <n v="0.39877104377104378"/>
    <n v="0"/>
    <n v="57.681228956228956"/>
    <n v="28.840614478114478"/>
    <x v="73"/>
    <x v="76"/>
    <x v="18"/>
    <d v="2025-03-05T00:00:00"/>
    <x v="3"/>
    <x v="0"/>
    <x v="4"/>
    <s v="ENTREGUE"/>
    <d v="2025-01-31T00:00:00"/>
    <x v="0"/>
    <m/>
    <n v="0"/>
    <n v="0"/>
    <n v="0"/>
    <n v="0"/>
    <n v="0"/>
  </r>
  <r>
    <x v="0"/>
    <s v="BV45679"/>
    <s v="Pedido 821"/>
    <d v="2025-01-22T00:00:00"/>
    <x v="66"/>
    <s v="PedidoF800"/>
    <s v="CódRastreio798"/>
    <n v="1"/>
    <s v="CPF 798"/>
    <s v="Nome 798"/>
    <s v="Tel 798"/>
    <s v="Cep 798"/>
    <s v="Rua 798"/>
    <s v="Comp 798"/>
    <s v="Ventilador Preto"/>
    <s v="MU-J80P-95WF"/>
    <d v="2025-02-12T00:00:00"/>
    <n v="66.989999999999995"/>
    <n v="66.989999999999995"/>
    <n v="8.7087000000000003"/>
    <n v="58.28"/>
    <n v="0"/>
    <n v="0.2"/>
    <n v="0.39877104377104378"/>
    <n v="0"/>
    <n v="57.681228956228956"/>
    <n v="28.840614478114478"/>
    <x v="73"/>
    <x v="76"/>
    <x v="18"/>
    <d v="2025-03-05T00:00:00"/>
    <x v="3"/>
    <x v="0"/>
    <x v="4"/>
    <s v="ENTREGUE"/>
    <d v="2025-01-31T00:00:00"/>
    <x v="0"/>
    <m/>
    <n v="0"/>
    <n v="0"/>
    <n v="0"/>
    <n v="0"/>
    <n v="0"/>
  </r>
  <r>
    <x v="0"/>
    <s v="BV45679"/>
    <s v="Pedido 822"/>
    <d v="2025-01-22T00:00:00"/>
    <x v="66"/>
    <s v="PedidoF801"/>
    <s v="CódRastreio799"/>
    <n v="1"/>
    <s v="CPF 487"/>
    <s v="Nome 487"/>
    <s v="Tel 487"/>
    <s v="Cep 487"/>
    <s v="Rua 487"/>
    <s v="Comp 487"/>
    <s v="Ventilador Azul"/>
    <s v="U8-2VWS-OB6M"/>
    <d v="2025-02-12T00:00:00"/>
    <n v="66.989999999999995"/>
    <n v="66.989999999999995"/>
    <n v="8.7087000000000003"/>
    <n v="58.28"/>
    <n v="19.329999999999998"/>
    <n v="0.2"/>
    <n v="0.39877104377104378"/>
    <n v="0"/>
    <n v="38.351228956228958"/>
    <n v="19.175614478114479"/>
    <x v="73"/>
    <x v="76"/>
    <x v="18"/>
    <d v="2025-03-05T00:00:00"/>
    <x v="3"/>
    <x v="0"/>
    <x v="4"/>
    <s v="ENTREGUE"/>
    <d v="2025-02-07T00:00:00"/>
    <x v="0"/>
    <m/>
    <n v="0"/>
    <n v="0"/>
    <n v="0"/>
    <n v="0"/>
    <n v="0"/>
  </r>
  <r>
    <x v="0"/>
    <s v="BV45680"/>
    <s v="Pedido 823"/>
    <d v="2025-01-23T00:00:00"/>
    <x v="67"/>
    <s v="PedidoF802"/>
    <s v="CódRastreio800"/>
    <n v="1"/>
    <s v="CPF 799"/>
    <s v="Nome 799"/>
    <s v="Tel 799"/>
    <s v="Cep 799"/>
    <s v="Rua 799"/>
    <s v="Comp 799"/>
    <s v="Adaptador Bluetooph"/>
    <s v="YA-AG3H-SPUK"/>
    <d v="2025-02-06T00:00:00"/>
    <n v="22.99"/>
    <n v="22.99"/>
    <n v="2.7587999999999999"/>
    <n v="20.23"/>
    <n v="6.99"/>
    <n v="0.3"/>
    <n v="0.39877104377104378"/>
    <n v="0"/>
    <n v="12.541228956228956"/>
    <n v="6.2706144781144779"/>
    <x v="62"/>
    <x v="65"/>
    <x v="17"/>
    <d v="2025-02-17T00:00:00"/>
    <x v="3"/>
    <x v="0"/>
    <x v="4"/>
    <s v="ENTREGUE"/>
    <d v="2025-01-27T00:00:00"/>
    <x v="0"/>
    <m/>
    <n v="0"/>
    <n v="0"/>
    <n v="0"/>
    <n v="0"/>
    <n v="0"/>
  </r>
  <r>
    <x v="0"/>
    <s v="BV45680"/>
    <s v="Pedido 824"/>
    <d v="2025-01-23T00:00:00"/>
    <x v="67"/>
    <s v="PedidoF803"/>
    <s v="CódRastreio801"/>
    <n v="1"/>
    <s v="CPF 800"/>
    <s v="Nome 800"/>
    <s v="Tel 800"/>
    <s v="Cep 800"/>
    <s v="Rua 800"/>
    <s v="Comp 800"/>
    <s v="Adaptador Bluetooph"/>
    <s v="YA-AG3H-SPUK"/>
    <d v="2025-02-12T00:00:00"/>
    <n v="22.99"/>
    <n v="22.99"/>
    <n v="2.7587999999999999"/>
    <n v="20.23"/>
    <n v="6.99"/>
    <n v="0.3"/>
    <n v="0.39877104377104378"/>
    <n v="0"/>
    <n v="12.541228956228956"/>
    <n v="6.2706144781144779"/>
    <x v="73"/>
    <x v="76"/>
    <x v="18"/>
    <d v="2025-03-05T00:00:00"/>
    <x v="3"/>
    <x v="0"/>
    <x v="4"/>
    <s v="ENTREGUE"/>
    <d v="2025-01-27T00:00:00"/>
    <x v="0"/>
    <m/>
    <n v="0"/>
    <n v="0"/>
    <n v="0"/>
    <n v="0"/>
    <n v="0"/>
  </r>
  <r>
    <x v="0"/>
    <s v="BV45680"/>
    <s v="Pedido 825"/>
    <d v="2025-01-23T00:00:00"/>
    <x v="67"/>
    <s v="PedidoF804"/>
    <s v="CódRastreio802"/>
    <n v="1"/>
    <s v="CPF 801"/>
    <s v="Nome 801"/>
    <s v="Tel 801"/>
    <s v="Cep 801"/>
    <s v="Rua 801"/>
    <s v="Comp 801"/>
    <s v="Mini Liquidificador"/>
    <s v="CK-YL6M-P5Y6"/>
    <d v="2025-02-08T00:00:00"/>
    <n v="32.99"/>
    <n v="32.99"/>
    <n v="4.2887000000000004"/>
    <n v="28.7"/>
    <n v="14.99"/>
    <n v="0.3"/>
    <n v="0.39877104377104378"/>
    <n v="0"/>
    <n v="13.011228956228955"/>
    <n v="6.5056144781144774"/>
    <x v="69"/>
    <x v="72"/>
    <x v="18"/>
    <d v="2025-03-05T00:00:00"/>
    <x v="3"/>
    <x v="0"/>
    <x v="4"/>
    <s v="ENTREGUE"/>
    <d v="2025-01-27T00:00:00"/>
    <x v="0"/>
    <m/>
    <n v="0"/>
    <n v="0"/>
    <n v="0"/>
    <n v="0"/>
    <n v="0"/>
  </r>
  <r>
    <x v="0"/>
    <s v="BV45681"/>
    <s v="Pedido 826"/>
    <d v="2025-01-23T00:00:00"/>
    <x v="68"/>
    <s v="PedidoF805"/>
    <s v="CódRastreio803"/>
    <n v="1"/>
    <s v="CPF 802"/>
    <s v="Nome 802"/>
    <s v="Tel 802"/>
    <s v="Cep 802"/>
    <s v="Rua 802"/>
    <s v="Comp 802"/>
    <s v="Ventilador Rosa"/>
    <s v="IF-G2ZQ-79FO"/>
    <d v="2025-02-13T00:00:00"/>
    <n v="59.8"/>
    <n v="59.8"/>
    <n v="7.774"/>
    <n v="52.03"/>
    <n v="18.62"/>
    <n v="0.23"/>
    <n v="0.39877104377104378"/>
    <n v="0"/>
    <n v="32.781228956228958"/>
    <n v="16.390614478114479"/>
    <x v="66"/>
    <x v="69"/>
    <x v="18"/>
    <d v="2025-03-05T00:00:00"/>
    <x v="3"/>
    <x v="0"/>
    <x v="4"/>
    <s v="ENTREGUE"/>
    <d v="2025-01-30T00:00:00"/>
    <x v="0"/>
    <m/>
    <n v="0"/>
    <n v="0"/>
    <n v="0"/>
    <n v="0"/>
    <n v="0"/>
  </r>
  <r>
    <x v="0"/>
    <s v="BV45680"/>
    <s v="Pedido 827"/>
    <d v="2025-01-23T00:00:00"/>
    <x v="67"/>
    <s v="PedidoF806"/>
    <s v="CódRastreio804"/>
    <n v="1"/>
    <s v="CPF 803"/>
    <s v="Nome 803"/>
    <s v="Tel 803"/>
    <s v="Cep 803"/>
    <s v="Rua 803"/>
    <s v="Comp 803"/>
    <s v="Ventilador Preto"/>
    <s v="MU-J80P-95WF"/>
    <d v="2025-02-19T00:00:00"/>
    <n v="65.989999999999995"/>
    <n v="65.989999999999995"/>
    <n v="8.5786999999999995"/>
    <n v="57.41"/>
    <n v="17.309999999999999"/>
    <n v="0.3"/>
    <n v="0.39877104377104378"/>
    <n v="0"/>
    <n v="39.401228956228948"/>
    <n v="19.700614478114474"/>
    <x v="75"/>
    <x v="78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81"/>
    <s v="Pedido 828"/>
    <d v="2025-01-24T00:00:00"/>
    <x v="68"/>
    <s v="PedidoF807"/>
    <s v="CódRastreio805"/>
    <n v="1"/>
    <s v="CPF 804"/>
    <s v="Nome 804"/>
    <s v="Tel 804"/>
    <s v="Cep 804"/>
    <s v="Rua 804"/>
    <s v="Comp 804"/>
    <s v="Ventilador Azul"/>
    <s v="U8-2VWS-OB6M"/>
    <d v="2025-02-14T00:00:00"/>
    <n v="66.989999999999995"/>
    <n v="66.989999999999995"/>
    <n v="8.7087000000000003"/>
    <n v="58.28"/>
    <n v="17.36"/>
    <n v="0.23"/>
    <n v="0.39877104377104378"/>
    <n v="0"/>
    <n v="40.291228956228956"/>
    <n v="20.145614478114478"/>
    <x v="68"/>
    <x v="71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81"/>
    <s v="Pedido 829"/>
    <d v="2025-01-24T00:00:00"/>
    <x v="68"/>
    <s v="PedidoF808"/>
    <s v="CódRastreio806"/>
    <n v="1"/>
    <s v="CPF 805"/>
    <s v="Nome 805"/>
    <s v="Tel 805"/>
    <s v="Cep 805"/>
    <s v="Rua 805"/>
    <s v="Comp 805"/>
    <s v="Ventilador Azul"/>
    <s v="U8-2VWS-OB6M"/>
    <d v="2025-02-14T00:00:00"/>
    <n v="66.989999999999995"/>
    <n v="66.989999999999995"/>
    <n v="8.7087000000000003"/>
    <n v="58.28"/>
    <n v="17.36"/>
    <n v="0.23"/>
    <n v="0.39877104377104378"/>
    <n v="0"/>
    <n v="40.291228956228956"/>
    <n v="20.145614478114478"/>
    <x v="68"/>
    <x v="71"/>
    <x v="18"/>
    <d v="2025-03-05T00:00:00"/>
    <x v="3"/>
    <x v="0"/>
    <x v="4"/>
    <s v="ENTREGUE"/>
    <d v="2025-02-05T00:00:00"/>
    <x v="0"/>
    <m/>
    <n v="0"/>
    <n v="0"/>
    <n v="0"/>
    <n v="0"/>
    <n v="0"/>
  </r>
  <r>
    <x v="0"/>
    <s v="BV45681"/>
    <s v="Pedido 830"/>
    <d v="2025-01-24T00:00:00"/>
    <x v="68"/>
    <s v="PedidoF809"/>
    <s v="CódRastreio807"/>
    <n v="1"/>
    <s v="CPF 806"/>
    <s v="Nome 806"/>
    <s v="Tel 806"/>
    <s v="Cep 806"/>
    <s v="Rua 806"/>
    <s v="Comp 806"/>
    <s v="Mini Liquidificador"/>
    <s v="CK-YL6M-P5Y6"/>
    <d v="2025-02-08T00:00:00"/>
    <n v="32.99"/>
    <n v="32.99"/>
    <n v="4.2887000000000004"/>
    <n v="28.7"/>
    <n v="14.99"/>
    <n v="0.23"/>
    <n v="0.39877104377104378"/>
    <n v="0"/>
    <n v="13.081228956228955"/>
    <n v="6.5406144781144775"/>
    <x v="69"/>
    <x v="72"/>
    <x v="18"/>
    <d v="2025-03-05T00:00:00"/>
    <x v="3"/>
    <x v="0"/>
    <x v="4"/>
    <s v="ENTREGUE"/>
    <d v="2025-01-29T00:00:00"/>
    <x v="0"/>
    <m/>
    <n v="0"/>
    <n v="0"/>
    <n v="0"/>
    <n v="0"/>
    <n v="0"/>
  </r>
  <r>
    <x v="0"/>
    <s v="BV45684"/>
    <s v="Pedido 831"/>
    <d v="2025-01-25T00:00:00"/>
    <x v="69"/>
    <s v="PedidoF810"/>
    <s v="CódRastreio808"/>
    <n v="1"/>
    <s v="CPF 807"/>
    <s v="Nome 807"/>
    <s v="Tel 807"/>
    <s v="Cep 807"/>
    <s v="Rua 807"/>
    <s v="Comp 807"/>
    <s v="Ventilador Umidificador Preto"/>
    <s v="HF-SI0F-XC7S"/>
    <d v="2025-02-14T00:00:00"/>
    <n v="64.900000000000006"/>
    <n v="64.900000000000006"/>
    <n v="9.0860000000000021"/>
    <n v="55.81"/>
    <n v="19.34"/>
    <n v="0.2"/>
    <n v="0.39877104377104378"/>
    <n v="0"/>
    <n v="35.871228956228961"/>
    <n v="17.935614478114481"/>
    <x v="68"/>
    <x v="71"/>
    <x v="18"/>
    <d v="2025-03-05T00:00:00"/>
    <x v="3"/>
    <x v="0"/>
    <x v="4"/>
    <s v="ENTREGUE"/>
    <d v="2025-02-07T00:00:00"/>
    <x v="0"/>
    <m/>
    <n v="0"/>
    <n v="0"/>
    <n v="0"/>
    <n v="0"/>
    <n v="0"/>
  </r>
  <r>
    <x v="0"/>
    <s v="BV45684"/>
    <s v="Pedido 832"/>
    <d v="2025-01-25T00:00:00"/>
    <x v="69"/>
    <s v="PedidoF811"/>
    <s v="CódRastreio809"/>
    <n v="1"/>
    <s v="CPF 808"/>
    <s v="Nome 808"/>
    <s v="Tel 808"/>
    <s v="Cep 808"/>
    <s v="Rua 808"/>
    <s v="Comp 808"/>
    <s v="Ventilador Azul"/>
    <s v="U8-2VWS-OB6M"/>
    <d v="2025-02-14T00:00:00"/>
    <n v="66.989999999999995"/>
    <n v="66.989999999999995"/>
    <n v="8.7087000000000003"/>
    <n v="58.28"/>
    <n v="17.420000000000002"/>
    <n v="0.2"/>
    <n v="0.39877104377104378"/>
    <n v="0"/>
    <n v="40.261228956228955"/>
    <n v="20.130614478114477"/>
    <x v="68"/>
    <x v="71"/>
    <x v="18"/>
    <d v="2025-03-05T00:00:00"/>
    <x v="3"/>
    <x v="0"/>
    <x v="4"/>
    <s v="ENTREGUE"/>
    <d v="2025-02-05T00:00:00"/>
    <x v="0"/>
    <m/>
    <n v="0"/>
    <n v="0"/>
    <n v="0"/>
    <n v="0"/>
    <n v="0"/>
  </r>
  <r>
    <x v="0"/>
    <s v="BV45684"/>
    <s v="Pedido 833"/>
    <d v="2025-01-21T00:00:00"/>
    <x v="69"/>
    <s v="PedidoF812"/>
    <s v="CódRastreio810"/>
    <n v="1"/>
    <s v="CPF 809"/>
    <s v="Nome 809"/>
    <s v="Tel 809"/>
    <s v="Cep 809"/>
    <s v="Rua 809"/>
    <s v="Comp 809"/>
    <s v="Ventilador Preto"/>
    <s v="MU-J80P-95WF"/>
    <d v="2025-02-14T00:00:00"/>
    <n v="66.989999999999995"/>
    <n v="66.989999999999995"/>
    <n v="8.7087000000000003"/>
    <n v="58.28"/>
    <n v="10.61"/>
    <n v="0.2"/>
    <n v="0.39877104377104378"/>
    <n v="0"/>
    <n v="47.071228956228957"/>
    <n v="23.535614478114478"/>
    <x v="68"/>
    <x v="71"/>
    <x v="18"/>
    <d v="2025-03-05T00:00:00"/>
    <x v="3"/>
    <x v="0"/>
    <x v="4"/>
    <s v="ENTREGUE"/>
    <d v="2025-02-07T00:00:00"/>
    <x v="0"/>
    <m/>
    <n v="0"/>
    <n v="0"/>
    <n v="0"/>
    <n v="0"/>
    <n v="0"/>
  </r>
  <r>
    <x v="0"/>
    <s v="BV45684"/>
    <s v="Pedido 834"/>
    <d v="2025-01-26T00:00:00"/>
    <x v="69"/>
    <s v="PedidoF813"/>
    <s v="CódRastreio811"/>
    <n v="1"/>
    <s v="CPF 810"/>
    <s v="Nome 810"/>
    <s v="Tel 810"/>
    <s v="Cep 810"/>
    <s v="Rua 810"/>
    <s v="Comp 810"/>
    <s v="Ventilador Umidificador Preto"/>
    <s v="HF-SI0F-XC7S"/>
    <d v="2025-02-14T00:00:00"/>
    <n v="64.900000000000006"/>
    <n v="64.900000000000006"/>
    <n v="9.0860000000000021"/>
    <n v="55.81"/>
    <n v="0"/>
    <n v="0.2"/>
    <n v="0.39877104377104378"/>
    <n v="0"/>
    <n v="55.211228956228958"/>
    <n v="27.605614478114479"/>
    <x v="68"/>
    <x v="71"/>
    <x v="18"/>
    <d v="2025-03-05T00:00:00"/>
    <x v="3"/>
    <x v="0"/>
    <x v="4"/>
    <s v="ENTREGUE"/>
    <d v="2025-02-08T00:00:00"/>
    <x v="0"/>
    <m/>
    <n v="0"/>
    <n v="0"/>
    <n v="0"/>
    <n v="0"/>
    <n v="0"/>
  </r>
  <r>
    <x v="0"/>
    <s v="BV45684"/>
    <s v="Pedido 835"/>
    <d v="2025-01-26T00:00:00"/>
    <x v="69"/>
    <s v="PedidoF814"/>
    <s v="CódRastreio812"/>
    <n v="1"/>
    <s v="CPF 811"/>
    <s v="Nome 811"/>
    <s v="Tel 811"/>
    <s v="Cep 811"/>
    <s v="Rua 811"/>
    <s v="Comp 811"/>
    <s v="Ventilador Azul"/>
    <s v="U8-2VWS-OB6M"/>
    <d v="2025-02-14T00:00:00"/>
    <n v="66.989999999999995"/>
    <n v="66.989999999999995"/>
    <n v="8.7087000000000003"/>
    <n v="58.28"/>
    <n v="17.420000000000002"/>
    <n v="0.2"/>
    <n v="0.39877104377104378"/>
    <n v="0"/>
    <n v="40.261228956228955"/>
    <n v="20.130614478114477"/>
    <x v="68"/>
    <x v="71"/>
    <x v="18"/>
    <d v="2025-03-05T00:00:00"/>
    <x v="3"/>
    <x v="0"/>
    <x v="4"/>
    <s v="ENTREGUE"/>
    <d v="2025-02-10T00:00:00"/>
    <x v="0"/>
    <m/>
    <n v="0"/>
    <n v="0"/>
    <n v="0"/>
    <n v="0"/>
    <n v="0"/>
  </r>
  <r>
    <x v="0"/>
    <s v="BV45684"/>
    <s v="Pedido 836"/>
    <d v="2025-01-27T00:00:00"/>
    <x v="69"/>
    <s v="PedidoF815"/>
    <s v="CódRastreio813"/>
    <n v="1"/>
    <s v="CPF 812"/>
    <s v="Nome 812"/>
    <s v="Tel 812"/>
    <s v="Cep 812"/>
    <s v="Rua 812"/>
    <s v="Comp 812"/>
    <s v="Ventilador Rosa"/>
    <s v="IF-G2ZQ-79FO"/>
    <d v="2025-02-21T00:00:00"/>
    <n v="59.8"/>
    <n v="59.8"/>
    <n v="7.774"/>
    <n v="52.03"/>
    <n v="17.78"/>
    <n v="0.2"/>
    <n v="0.39877104377104378"/>
    <n v="0"/>
    <n v="33.651228956228955"/>
    <n v="16.825614478114478"/>
    <x v="71"/>
    <x v="74"/>
    <x v="18"/>
    <d v="2025-03-05T00:00:00"/>
    <x v="3"/>
    <x v="0"/>
    <x v="4"/>
    <s v="ENTREGUE"/>
    <d v="2025-02-12T00:00:00"/>
    <x v="0"/>
    <m/>
    <n v="0"/>
    <n v="0"/>
    <n v="0"/>
    <n v="0"/>
    <n v="0"/>
  </r>
  <r>
    <x v="0"/>
    <s v="BV45684"/>
    <s v="Pedido 837"/>
    <d v="2025-01-27T00:00:00"/>
    <x v="69"/>
    <s v="PedidoF816"/>
    <s v="CódRastreio814"/>
    <n v="1"/>
    <s v="CPF 813"/>
    <s v="Nome 813"/>
    <s v="Tel 813"/>
    <s v="Cep 813"/>
    <s v="Rua 813"/>
    <s v="Comp 813"/>
    <s v="Mini Liquidificador"/>
    <s v="CK-YL6M-P5Y6"/>
    <d v="2025-02-21T00:00:00"/>
    <n v="32.99"/>
    <n v="32.99"/>
    <n v="4.6186000000000007"/>
    <n v="28.37"/>
    <n v="14.99"/>
    <n v="0.2"/>
    <n v="0.39877104377104378"/>
    <n v="0"/>
    <n v="12.781228956228958"/>
    <n v="6.3906144781144789"/>
    <x v="71"/>
    <x v="74"/>
    <x v="18"/>
    <d v="2025-03-05T00:00:00"/>
    <x v="3"/>
    <x v="0"/>
    <x v="4"/>
    <s v="ENTREGUE"/>
    <d v="2025-02-04T00:00:00"/>
    <x v="0"/>
    <m/>
    <n v="0"/>
    <n v="0"/>
    <n v="0"/>
    <n v="0"/>
    <n v="0"/>
  </r>
  <r>
    <x v="0"/>
    <s v="BV45685"/>
    <s v="Pedido 838"/>
    <d v="2025-01-28T00:00:00"/>
    <x v="70"/>
    <s v="PedidoF817"/>
    <s v="CódRastreio815"/>
    <n v="1"/>
    <s v="CPF 814"/>
    <s v="Nome 814"/>
    <s v="Tel 814"/>
    <s v="Cep 814"/>
    <s v="Rua 814"/>
    <s v="Comp 814"/>
    <s v="Ventilador Azul"/>
    <s v="U8-2VWS-OB6M"/>
    <d v="2025-02-28T00:00:00"/>
    <n v="66.989999999999995"/>
    <n v="66.989999999999995"/>
    <n v="8.7087000000000003"/>
    <n v="58.28"/>
    <n v="17.190000000000001"/>
    <n v="0.2"/>
    <n v="0.39877104377104378"/>
    <n v="0"/>
    <n v="40.491228956228952"/>
    <n v="20.245614478114476"/>
    <x v="76"/>
    <x v="79"/>
    <x v="19"/>
    <d v="2025-03-17T00:00:00"/>
    <x v="4"/>
    <x v="0"/>
    <x v="4"/>
    <s v="ENTREGUE"/>
    <d v="2025-02-21T00:00:00"/>
    <x v="0"/>
    <m/>
    <n v="0"/>
    <n v="0"/>
    <n v="0"/>
    <n v="0"/>
    <n v="0"/>
  </r>
  <r>
    <x v="0"/>
    <s v="BV45686"/>
    <s v="Pedido 839"/>
    <d v="2025-01-29T00:00:00"/>
    <x v="71"/>
    <s v="PedidoF818"/>
    <s v="CódRastreio816"/>
    <n v="1"/>
    <s v="CPF 815"/>
    <s v="Nome 815"/>
    <s v="Tel 815"/>
    <s v="Cep 815"/>
    <s v="Rua 815"/>
    <s v="Comp 815"/>
    <s v="Ventilador Preto"/>
    <s v="MU-J80P-95WF"/>
    <d v="2025-02-25T00:00:00"/>
    <n v="65.989999999999995"/>
    <n v="65.989999999999995"/>
    <n v="8.5786999999999995"/>
    <n v="57.41"/>
    <n v="10.17"/>
    <n v="0.2"/>
    <n v="0.39877104377104378"/>
    <n v="0"/>
    <n v="46.641228956228957"/>
    <n v="23.320614478114479"/>
    <x v="77"/>
    <x v="80"/>
    <x v="19"/>
    <d v="2025-03-17T00:00:00"/>
    <x v="4"/>
    <x v="0"/>
    <x v="4"/>
    <s v="ENTREGUE"/>
    <d v="2025-02-13T00:00:00"/>
    <x v="0"/>
    <m/>
    <n v="0"/>
    <n v="0"/>
    <n v="0"/>
    <n v="0"/>
    <n v="0"/>
  </r>
  <r>
    <x v="0"/>
    <s v="BV45686"/>
    <s v="Pedido 840"/>
    <d v="2025-01-29T00:00:00"/>
    <x v="71"/>
    <s v="PedidoF819"/>
    <s v="CódRastreio817"/>
    <n v="1"/>
    <s v="CPF 816"/>
    <s v="Nome 816"/>
    <s v="Tel 816"/>
    <s v="Cep 816"/>
    <s v="Rua 816"/>
    <s v="Comp 816"/>
    <s v="Ventilador de teto"/>
    <s v="BP-NHG2-B8C1"/>
    <d v="2025-02-19T00:00:00"/>
    <n v="75.989999999999995"/>
    <n v="75.989999999999995"/>
    <n v="9.8787000000000003"/>
    <n v="66.11"/>
    <n v="0"/>
    <n v="0.2"/>
    <n v="0.39877104377104378"/>
    <n v="0"/>
    <n v="65.511228956228962"/>
    <n v="32.755614478114481"/>
    <x v="75"/>
    <x v="78"/>
    <x v="18"/>
    <d v="2025-03-05T00:00:00"/>
    <x v="3"/>
    <x v="0"/>
    <x v="4"/>
    <s v="ENTREGUE"/>
    <d v="2025-02-08T00:00:00"/>
    <x v="0"/>
    <m/>
    <n v="1.82"/>
    <n v="0"/>
    <n v="0"/>
    <n v="0"/>
    <n v="1.82"/>
  </r>
  <r>
    <x v="0"/>
    <s v="BV45688"/>
    <s v="Pedido 841"/>
    <d v="2025-01-30T00:00:00"/>
    <x v="72"/>
    <s v="PedidoF820"/>
    <s v="CódRastreio818"/>
    <n v="1"/>
    <s v="CPF 817"/>
    <s v="Nome 817"/>
    <s v="Tel 817"/>
    <s v="Cep 817"/>
    <s v="Rua 817"/>
    <s v="Comp 817"/>
    <s v="Ventilador Preto"/>
    <s v="MU-J80P-95WF"/>
    <d v="2025-02-20T00:00:00"/>
    <n v="65.989999999999995"/>
    <n v="65.989999999999995"/>
    <n v="8.5786999999999995"/>
    <n v="57.41"/>
    <n v="10.18"/>
    <n v="0.27"/>
    <n v="0.39877104377104378"/>
    <n v="0"/>
    <n v="46.561228956228952"/>
    <n v="23.280614478114476"/>
    <x v="70"/>
    <x v="73"/>
    <x v="18"/>
    <d v="2025-03-05T00:00:00"/>
    <x v="3"/>
    <x v="0"/>
    <x v="4"/>
    <s v="ENTREGUE"/>
    <d v="2025-02-11T00:00:00"/>
    <x v="0"/>
    <m/>
    <n v="0"/>
    <n v="0"/>
    <n v="0"/>
    <n v="0"/>
    <n v="0"/>
  </r>
  <r>
    <x v="0"/>
    <s v="BV45688"/>
    <s v="Pedido 842"/>
    <d v="2025-01-30T00:00:00"/>
    <x v="72"/>
    <s v="PedidoF821"/>
    <s v="CódRastreio819"/>
    <n v="1"/>
    <s v="CPF 818"/>
    <s v="Nome 818"/>
    <s v="Tel 818"/>
    <s v="Cep 818"/>
    <s v="Rua 818"/>
    <s v="Comp 818"/>
    <s v="Mini Liquidificador"/>
    <s v="CK-YL6M-P5Y6"/>
    <d v="2025-02-18T00:00:00"/>
    <n v="32.99"/>
    <n v="32.99"/>
    <n v="4.6186000000000007"/>
    <n v="28.37"/>
    <n v="14.99"/>
    <n v="0.27"/>
    <n v="0.39877104377104378"/>
    <n v="0"/>
    <n v="12.711228956228958"/>
    <n v="6.3556144781144788"/>
    <x v="74"/>
    <x v="77"/>
    <x v="18"/>
    <d v="2025-03-05T00:00:00"/>
    <x v="3"/>
    <x v="0"/>
    <x v="4"/>
    <s v="ENTREGUE"/>
    <d v="2025-02-06T00:00:00"/>
    <x v="0"/>
    <m/>
    <n v="0"/>
    <n v="0"/>
    <n v="0"/>
    <n v="0"/>
    <n v="0"/>
  </r>
  <r>
    <x v="0"/>
    <s v="BV45688"/>
    <s v="Pedido 843"/>
    <d v="2025-01-31T00:00:00"/>
    <x v="72"/>
    <s v="PedidoF822"/>
    <s v="CódRastreio820"/>
    <n v="1"/>
    <s v="CPF 819"/>
    <s v="Nome 819"/>
    <s v="Tel 819"/>
    <s v="Cep 819"/>
    <s v="Rua 819"/>
    <s v="Comp 819"/>
    <s v="Mini Liquidificador"/>
    <s v="CK-YL6M-P5Y6"/>
    <d v="2025-02-15T00:00:00"/>
    <n v="32.99"/>
    <n v="32.99"/>
    <n v="4.6186000000000007"/>
    <n v="28.37"/>
    <n v="14.99"/>
    <n v="0.27"/>
    <n v="0.39877104377104378"/>
    <n v="0"/>
    <n v="12.711228956228958"/>
    <n v="6.3556144781144788"/>
    <x v="72"/>
    <x v="75"/>
    <x v="18"/>
    <d v="2025-03-05T00:00:00"/>
    <x v="3"/>
    <x v="0"/>
    <x v="4"/>
    <s v="ENTREGUE"/>
    <d v="2025-02-05T00:00:00"/>
    <x v="0"/>
    <m/>
    <n v="0"/>
    <n v="0"/>
    <n v="0"/>
    <n v="0"/>
    <n v="0"/>
  </r>
  <r>
    <x v="0"/>
    <s v="BV45691"/>
    <s v="Pedido 844"/>
    <d v="2025-02-01T00:00:00"/>
    <x v="73"/>
    <s v="PedidoF823"/>
    <s v="CódRastreio821"/>
    <n v="1"/>
    <s v="CPF 820"/>
    <s v="Nome 820"/>
    <s v="Tel 820"/>
    <s v="Cep 820"/>
    <s v="Rua 820"/>
    <s v="Comp 820"/>
    <s v="Suporte de Celular Branco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1"/>
    <x v="74"/>
    <x v="18"/>
    <d v="2025-03-05T00:00:00"/>
    <x v="3"/>
    <x v="0"/>
    <x v="5"/>
    <s v="ENTREGUE"/>
    <d v="2025-02-06T00:00:00"/>
    <x v="0"/>
    <m/>
    <n v="0"/>
    <n v="0"/>
    <n v="0"/>
    <n v="0"/>
    <n v="0"/>
  </r>
  <r>
    <x v="0"/>
    <s v="BV45691"/>
    <s v="Pedido 845"/>
    <d v="2025-02-01T00:00:00"/>
    <x v="73"/>
    <s v="PedidoF824"/>
    <s v="CódRastreio822"/>
    <n v="1"/>
    <s v="CPF 821"/>
    <s v="Nome 821"/>
    <s v="Tel 821"/>
    <s v="Cep 821"/>
    <s v="Rua 821"/>
    <s v="Comp 821"/>
    <s v="Suporte de Celular Branco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1"/>
    <x v="74"/>
    <x v="18"/>
    <d v="2025-03-05T00:00:00"/>
    <x v="3"/>
    <x v="0"/>
    <x v="5"/>
    <s v="ENTREGUE"/>
    <d v="2025-02-06T00:00:00"/>
    <x v="0"/>
    <m/>
    <n v="0"/>
    <n v="0"/>
    <n v="0"/>
    <n v="0"/>
    <n v="0"/>
  </r>
  <r>
    <x v="0"/>
    <s v="BV45691"/>
    <s v="Pedido 846"/>
    <d v="2025-02-01T00:00:00"/>
    <x v="73"/>
    <s v="PedidoF825"/>
    <s v="CódRastreio823"/>
    <n v="1"/>
    <s v="CPF 822"/>
    <s v="Nome 822"/>
    <s v="Tel 822"/>
    <s v="Cep 822"/>
    <s v="Rua 822"/>
    <s v="Comp 822"/>
    <s v="Suporte de Celular Branco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1"/>
    <x v="74"/>
    <x v="18"/>
    <d v="2025-03-05T00:00:00"/>
    <x v="3"/>
    <x v="0"/>
    <x v="5"/>
    <s v="ENTREGUE"/>
    <d v="2025-02-06T00:00:00"/>
    <x v="0"/>
    <m/>
    <n v="0"/>
    <n v="0"/>
    <n v="0"/>
    <n v="0"/>
    <n v="0"/>
  </r>
  <r>
    <x v="0"/>
    <s v="BV45691"/>
    <s v="Pedido 847"/>
    <d v="2025-02-01T00:00:00"/>
    <x v="73"/>
    <s v="PedidoF826"/>
    <s v="CódRastreio824"/>
    <n v="1"/>
    <s v="CPF 823"/>
    <s v="Nome 823"/>
    <s v="Tel 823"/>
    <s v="Cep 823"/>
    <s v="Rua 823"/>
    <s v="Comp 823"/>
    <s v="Caixinha de som Preta"/>
    <s v="5D-KKPK-K70I"/>
    <d v="2025-02-15T00:00:00"/>
    <n v="29.99"/>
    <n v="29.99"/>
    <n v="4.4984999999999999"/>
    <n v="25.49"/>
    <n v="13.3"/>
    <n v="0.17"/>
    <n v="0.39877104377104378"/>
    <n v="0"/>
    <n v="11.621228956228954"/>
    <n v="5.8106144781144771"/>
    <x v="72"/>
    <x v="75"/>
    <x v="18"/>
    <d v="2025-03-05T00:00:00"/>
    <x v="3"/>
    <x v="0"/>
    <x v="5"/>
    <s v="ENTREGUE"/>
    <d v="2025-02-08T00:00:00"/>
    <x v="0"/>
    <m/>
    <n v="0"/>
    <n v="0"/>
    <n v="0"/>
    <n v="0"/>
    <n v="0"/>
  </r>
  <r>
    <x v="0"/>
    <s v="BV45691"/>
    <s v="Pedido 848"/>
    <d v="2025-02-01T00:00:00"/>
    <x v="73"/>
    <s v="PedidoF827"/>
    <s v="CódRastreio825"/>
    <n v="1"/>
    <s v="CPF 824"/>
    <s v="Nome 824"/>
    <s v="Tel 824"/>
    <s v="Cep 824"/>
    <s v="Rua 824"/>
    <s v="Comp 824"/>
    <s v="Ventilador Rosa"/>
    <s v="IF-G2ZQ-79FO"/>
    <d v="2025-02-21T00:00:00"/>
    <n v="52.7"/>
    <n v="52.7"/>
    <n v="6.8510000000000009"/>
    <n v="45.85"/>
    <n v="16.57"/>
    <n v="0.17"/>
    <n v="0.39877104377104378"/>
    <n v="0"/>
    <n v="28.711228956228954"/>
    <n v="14.355614478114477"/>
    <x v="71"/>
    <x v="74"/>
    <x v="18"/>
    <d v="2025-03-05T00:00:00"/>
    <x v="3"/>
    <x v="0"/>
    <x v="5"/>
    <s v="ENTREGUE"/>
    <d v="2025-02-17T00:00:00"/>
    <x v="0"/>
    <m/>
    <n v="0"/>
    <n v="0"/>
    <n v="0"/>
    <n v="0"/>
    <n v="0"/>
  </r>
  <r>
    <x v="0"/>
    <s v="BV45691"/>
    <s v="Pedido 849"/>
    <d v="2025-02-02T00:00:00"/>
    <x v="73"/>
    <s v="PedidoF828"/>
    <s v="CódRastreio826"/>
    <n v="1"/>
    <s v="CPF 825"/>
    <s v="Nome 825"/>
    <s v="Tel 825"/>
    <s v="Cep 825"/>
    <s v="Rua 825"/>
    <s v="Comp 825"/>
    <s v="Lampada Led"/>
    <s v="RB-W251-UXV2"/>
    <d v="2025-02-21T00:00:00"/>
    <n v="32.99"/>
    <n v="32.99"/>
    <n v="4.2887000000000004"/>
    <n v="28.7"/>
    <n v="14.4"/>
    <n v="0.17"/>
    <n v="0.39877104377104378"/>
    <n v="0"/>
    <n v="13.731228956228955"/>
    <n v="6.8656144781144777"/>
    <x v="71"/>
    <x v="74"/>
    <x v="18"/>
    <d v="2025-03-05T00:00:00"/>
    <x v="3"/>
    <x v="0"/>
    <x v="5"/>
    <s v="ENTREGUE"/>
    <d v="2025-02-17T00:00:00"/>
    <x v="0"/>
    <m/>
    <n v="0"/>
    <n v="0"/>
    <n v="0"/>
    <n v="0"/>
    <n v="0"/>
  </r>
  <r>
    <x v="0"/>
    <s v="BV45691"/>
    <s v="Pedido 850"/>
    <d v="2025-02-02T00:00:00"/>
    <x v="73"/>
    <s v="PedidoF829"/>
    <s v="CódRastreio827"/>
    <n v="1"/>
    <s v="CPF 826"/>
    <s v="Nome 826"/>
    <s v="Tel 826"/>
    <s v="Cep 826"/>
    <s v="Rua 826"/>
    <s v="Comp 826"/>
    <s v="Ventilador Rosa"/>
    <s v="IF-G2ZQ-79FO"/>
    <d v="2025-03-11T00:00:00"/>
    <n v="52.7"/>
    <n v="52.7"/>
    <n v="6.8510000000000009"/>
    <n v="45.85"/>
    <n v="16.57"/>
    <n v="0.17"/>
    <n v="0.39877104377104378"/>
    <n v="0"/>
    <n v="28.711228956228954"/>
    <n v="14.355614478114477"/>
    <x v="78"/>
    <x v="81"/>
    <x v="20"/>
    <d v="2025-04-02T00:00:00"/>
    <x v="4"/>
    <x v="0"/>
    <x v="5"/>
    <s v="ENTREGUE"/>
    <d v="2025-02-22T00:00:00"/>
    <x v="0"/>
    <m/>
    <n v="0"/>
    <n v="0"/>
    <n v="0"/>
    <n v="0"/>
    <n v="0"/>
  </r>
  <r>
    <x v="0"/>
    <s v="BV45691"/>
    <s v="Pedido 851"/>
    <d v="2025-02-02T00:00:00"/>
    <x v="73"/>
    <s v="PedidoF830"/>
    <s v="CódRastreio828"/>
    <n v="1"/>
    <s v="CPF 827"/>
    <s v="Nome 827"/>
    <s v="Tel 827"/>
    <s v="Cep 827"/>
    <s v="Rua 827"/>
    <s v="Comp 827"/>
    <s v="Suporte de Celular Branco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1"/>
    <x v="74"/>
    <x v="18"/>
    <d v="2025-03-05T00:00:00"/>
    <x v="3"/>
    <x v="0"/>
    <x v="5"/>
    <s v="ENTREGUE"/>
    <d v="2025-02-07T00:00:00"/>
    <x v="0"/>
    <m/>
    <n v="0"/>
    <n v="0"/>
    <n v="0"/>
    <n v="0"/>
    <n v="0"/>
  </r>
  <r>
    <x v="0"/>
    <s v="BV45691"/>
    <s v="Pedido 852"/>
    <d v="2025-02-02T00:00:00"/>
    <x v="73"/>
    <s v="PedidoF831"/>
    <s v="CódRastreio829"/>
    <n v="1"/>
    <s v="CPF 828"/>
    <s v="Nome 828"/>
    <s v="Tel 828"/>
    <s v="Cep 828"/>
    <s v="Rua 828"/>
    <s v="Comp 828"/>
    <s v="Suporte de Celular Branco"/>
    <s v="16-4EDB-WMZF"/>
    <d v="2025-02-27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9"/>
    <x v="82"/>
    <x v="19"/>
    <d v="2025-03-17T00:00:00"/>
    <x v="4"/>
    <x v="0"/>
    <x v="5"/>
    <s v="ENTREGUE"/>
    <d v="2025-02-08T00:00:00"/>
    <x v="0"/>
    <m/>
    <n v="0"/>
    <n v="0"/>
    <n v="0"/>
    <n v="0"/>
    <n v="0"/>
  </r>
  <r>
    <x v="0"/>
    <s v="BV45691"/>
    <s v="Pedido 853"/>
    <d v="2025-02-02T00:00:00"/>
    <x v="73"/>
    <s v="PedidoF832"/>
    <s v="CódRastreio830"/>
    <n v="1"/>
    <s v="CPF 829"/>
    <s v="Nome 829"/>
    <s v="Tel 829"/>
    <s v="Cep 829"/>
    <s v="Rua 829"/>
    <s v="Comp 829"/>
    <s v="Ventilador Rosa"/>
    <s v="IF-G2ZQ-79FO"/>
    <d v="2025-02-21T00:00:00"/>
    <n v="52.7"/>
    <n v="52.7"/>
    <n v="6.8510000000000009"/>
    <n v="45.85"/>
    <n v="16.57"/>
    <n v="0.17"/>
    <n v="0.39877104377104378"/>
    <n v="0"/>
    <n v="28.711228956228954"/>
    <n v="14.355614478114477"/>
    <x v="71"/>
    <x v="74"/>
    <x v="18"/>
    <d v="2025-03-05T00:00:00"/>
    <x v="3"/>
    <x v="0"/>
    <x v="5"/>
    <s v="ENTREGUE"/>
    <d v="2025-02-14T00:00:00"/>
    <x v="0"/>
    <m/>
    <n v="0"/>
    <n v="0"/>
    <n v="0"/>
    <n v="0"/>
    <n v="0"/>
  </r>
  <r>
    <x v="0"/>
    <s v="BV45691"/>
    <s v="Pedido 854"/>
    <d v="2025-02-02T00:00:00"/>
    <x v="73"/>
    <s v="PedidoF833"/>
    <s v="CódRastreio831"/>
    <n v="1"/>
    <s v="CPF 830"/>
    <s v="Nome 830"/>
    <s v="Tel 830"/>
    <s v="Cep 830"/>
    <s v="Rua 830"/>
    <s v="Comp 830"/>
    <s v="Mini Liquidificador"/>
    <s v="CK-YL6M-P5Y6"/>
    <d v="2025-02-19T00:00:00"/>
    <n v="32.99"/>
    <n v="32.99"/>
    <n v="4.6186000000000007"/>
    <n v="28.37"/>
    <n v="14.99"/>
    <n v="0.17"/>
    <n v="0.39877104377104378"/>
    <n v="0"/>
    <n v="12.811228956228957"/>
    <n v="6.4056144781144786"/>
    <x v="75"/>
    <x v="78"/>
    <x v="18"/>
    <d v="2025-03-05T00:00:00"/>
    <x v="3"/>
    <x v="0"/>
    <x v="5"/>
    <s v="ENTREGUE"/>
    <d v="2025-02-11T00:00:00"/>
    <x v="0"/>
    <m/>
    <n v="0"/>
    <n v="0"/>
    <n v="0"/>
    <n v="0"/>
    <n v="0"/>
  </r>
  <r>
    <x v="0"/>
    <s v="BV45691"/>
    <s v="Pedido 855"/>
    <d v="2025-02-02T00:00:00"/>
    <x v="73"/>
    <s v="PedidoF834"/>
    <s v="CódRastreio832"/>
    <n v="1"/>
    <s v="CPF 831"/>
    <s v="Nome 831"/>
    <s v="Tel 831"/>
    <s v="Cep 831"/>
    <s v="Rua 831"/>
    <s v="Comp 831"/>
    <s v="Ventilador de teto"/>
    <s v="BP-NHG2-B8C1"/>
    <d v="2025-02-21T00:00:00"/>
    <n v="74.989999999999995"/>
    <n v="74.989999999999995"/>
    <n v="9.7486999999999995"/>
    <n v="65.239999999999995"/>
    <n v="0"/>
    <n v="0.17"/>
    <n v="0.39877104377104378"/>
    <n v="0"/>
    <n v="64.671228956228944"/>
    <n v="32.335614478114472"/>
    <x v="71"/>
    <x v="74"/>
    <x v="18"/>
    <d v="2025-03-05T00:00:00"/>
    <x v="3"/>
    <x v="0"/>
    <x v="5"/>
    <s v="ENTREGUE"/>
    <d v="2025-02-27T00:00:00"/>
    <x v="0"/>
    <m/>
    <n v="0"/>
    <n v="0"/>
    <n v="0"/>
    <n v="0"/>
    <n v="0"/>
  </r>
  <r>
    <x v="0"/>
    <s v="BV45691"/>
    <s v="Pedido 856"/>
    <d v="2025-02-02T00:00:00"/>
    <x v="73"/>
    <s v="PedidoF835"/>
    <s v="CódRastreio833"/>
    <n v="1"/>
    <s v="CPF 832"/>
    <s v="Nome 832"/>
    <s v="Tel 832"/>
    <s v="Cep 832"/>
    <s v="Rua 832"/>
    <s v="Comp 832"/>
    <s v="Suporte de Celular Branco"/>
    <s v="16-4EDB-WMZF"/>
    <d v="2025-02-27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9"/>
    <x v="82"/>
    <x v="19"/>
    <d v="2025-03-17T00:00:00"/>
    <x v="4"/>
    <x v="0"/>
    <x v="5"/>
    <s v="ENTREGUE"/>
    <d v="2025-02-18T00:00:00"/>
    <x v="0"/>
    <m/>
    <n v="0"/>
    <n v="0"/>
    <n v="0"/>
    <n v="0"/>
    <n v="0"/>
  </r>
  <r>
    <x v="0"/>
    <s v="BV45691"/>
    <s v="Pedido 857"/>
    <d v="2025-02-03T00:00:00"/>
    <x v="73"/>
    <s v="PedidoF836"/>
    <s v="CódRastreio834"/>
    <n v="1"/>
    <s v="CPF 833"/>
    <s v="Nome 833"/>
    <s v="Tel 833"/>
    <s v="Cep 833"/>
    <s v="Rua 833"/>
    <s v="Comp 833"/>
    <s v="Garrafa Termica"/>
    <s v="FM-QQ8Y-RZT4"/>
    <d v="2025-02-27T00:00:00"/>
    <n v="34.5"/>
    <n v="34.5"/>
    <n v="4.4850000000000003"/>
    <n v="30.02"/>
    <n v="17"/>
    <n v="0.17"/>
    <n v="0.39877104377104378"/>
    <n v="0"/>
    <n v="12.451228956228952"/>
    <n v="6.2256144781144762"/>
    <x v="79"/>
    <x v="82"/>
    <x v="19"/>
    <d v="2025-03-17T00:00:00"/>
    <x v="4"/>
    <x v="0"/>
    <x v="5"/>
    <s v="ENTREGUE"/>
    <d v="2025-02-12T00:00:00"/>
    <x v="0"/>
    <m/>
    <n v="0"/>
    <n v="0"/>
    <n v="0"/>
    <n v="0"/>
    <n v="0"/>
  </r>
  <r>
    <x v="0"/>
    <s v="BV45691"/>
    <s v="Pedido 858"/>
    <d v="2025-02-03T00:00:00"/>
    <x v="73"/>
    <s v="PedidoF837"/>
    <s v="CódRastreio835"/>
    <n v="1"/>
    <s v="CPF 834"/>
    <s v="Nome 834"/>
    <s v="Tel 834"/>
    <s v="Cep 834"/>
    <s v="Rua 834"/>
    <s v="Comp 834"/>
    <s v="Suporte de Celular Branco"/>
    <s v="16-4EDB-WMZF"/>
    <d v="2025-02-21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1"/>
    <x v="74"/>
    <x v="18"/>
    <d v="2025-03-05T00:00:00"/>
    <x v="3"/>
    <x v="0"/>
    <x v="5"/>
    <s v="ENTREGUE"/>
    <d v="2025-02-06T00:00:00"/>
    <x v="0"/>
    <m/>
    <n v="0"/>
    <n v="0"/>
    <n v="0"/>
    <n v="0"/>
    <n v="0"/>
  </r>
  <r>
    <x v="0"/>
    <s v="BV45691"/>
    <s v="Pedido 859"/>
    <d v="2025-02-03T00:00:00"/>
    <x v="73"/>
    <s v="PedidoF838"/>
    <s v="CódRastreio836"/>
    <n v="1"/>
    <s v="CPF 835"/>
    <s v="Nome 835"/>
    <s v="Tel 835"/>
    <s v="Cep 835"/>
    <s v="Rua 835"/>
    <s v="Comp 835"/>
    <s v="Mini Liquidificador"/>
    <s v="CK-YL6M-P5Y6"/>
    <d v="2025-02-28T00:00:00"/>
    <n v="32.99"/>
    <n v="32.99"/>
    <n v="4.6186000000000007"/>
    <n v="28.37"/>
    <n v="14.99"/>
    <n v="0.17"/>
    <n v="0.39877104377104378"/>
    <n v="0"/>
    <n v="12.811228956228957"/>
    <n v="6.4056144781144786"/>
    <x v="76"/>
    <x v="79"/>
    <x v="19"/>
    <d v="2025-03-17T00:00:00"/>
    <x v="4"/>
    <x v="0"/>
    <x v="5"/>
    <s v="ENTREGUE"/>
    <d v="2025-02-11T00:00:00"/>
    <x v="0"/>
    <m/>
    <n v="0"/>
    <n v="0"/>
    <n v="0"/>
    <n v="0"/>
    <n v="0"/>
  </r>
  <r>
    <x v="0"/>
    <s v="BV45691"/>
    <s v="Pedido 860"/>
    <d v="2025-02-03T00:00:00"/>
    <x v="73"/>
    <s v="PedidoF839"/>
    <s v="CódRastreio837"/>
    <n v="1"/>
    <s v="CPF 836"/>
    <s v="Nome 836"/>
    <s v="Tel 836"/>
    <s v="Cep 836"/>
    <s v="Rua 836"/>
    <s v="Comp 836"/>
    <s v="Suporte de Celular Branco"/>
    <s v="16-4EDB-WMZF"/>
    <d v="2025-02-22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80"/>
    <x v="83"/>
    <x v="19"/>
    <d v="2025-03-17T00:00:00"/>
    <x v="4"/>
    <x v="0"/>
    <x v="5"/>
    <s v="ENTREGUE"/>
    <d v="2025-02-07T00:00:00"/>
    <x v="0"/>
    <m/>
    <n v="0"/>
    <n v="0"/>
    <n v="0"/>
    <n v="0"/>
    <n v="0"/>
  </r>
  <r>
    <x v="0"/>
    <s v="BV45691"/>
    <s v="Pedido 861"/>
    <d v="2025-02-03T00:00:00"/>
    <x v="73"/>
    <s v="PedidoF840"/>
    <s v="CódRastreio838"/>
    <n v="1"/>
    <s v="CPF 837"/>
    <s v="Nome 837"/>
    <s v="Tel 837"/>
    <s v="Cep 837"/>
    <s v="Rua 837"/>
    <s v="Comp 837"/>
    <s v="Mini Liquidificador"/>
    <s v="CK-YL6M-P5Y6"/>
    <d v="2025-02-20T00:00:00"/>
    <n v="32.99"/>
    <n v="32.99"/>
    <n v="4.6186000000000007"/>
    <n v="28.37"/>
    <n v="14.99"/>
    <n v="0.17"/>
    <n v="0.39877104377104378"/>
    <n v="0"/>
    <n v="12.811228956228957"/>
    <n v="6.4056144781144786"/>
    <x v="70"/>
    <x v="73"/>
    <x v="18"/>
    <d v="2025-03-05T00:00:00"/>
    <x v="3"/>
    <x v="0"/>
    <x v="5"/>
    <s v="ENTREGUE"/>
    <d v="2025-02-07T00:00:00"/>
    <x v="0"/>
    <m/>
    <n v="0"/>
    <n v="0"/>
    <n v="0"/>
    <n v="0"/>
    <n v="0"/>
  </r>
  <r>
    <x v="0"/>
    <s v="BV45691"/>
    <s v="Pedido 862"/>
    <d v="2025-02-03T00:00:00"/>
    <x v="73"/>
    <s v="PedidoF841"/>
    <s v="CódRastreio839"/>
    <n v="1"/>
    <s v="CPF 838"/>
    <s v="Nome 838"/>
    <s v="Tel 838"/>
    <s v="Cep 838"/>
    <s v="Rua 838"/>
    <s v="Comp 838"/>
    <s v="Ventilador Preto"/>
    <s v="MU-J80P-95WF"/>
    <d v="2025-02-22T00:00:00"/>
    <n v="65.989999999999995"/>
    <n v="65.989999999999995"/>
    <n v="8.5786999999999995"/>
    <n v="57.41"/>
    <n v="10.19"/>
    <n v="0.17"/>
    <n v="0.39877104377104378"/>
    <n v="0"/>
    <n v="46.651228956228955"/>
    <n v="23.325614478114478"/>
    <x v="80"/>
    <x v="83"/>
    <x v="19"/>
    <d v="2025-03-17T00:00:00"/>
    <x v="4"/>
    <x v="0"/>
    <x v="5"/>
    <s v="ENTREGUE"/>
    <d v="2025-02-10T00:00:00"/>
    <x v="0"/>
    <m/>
    <n v="0"/>
    <n v="0"/>
    <n v="0"/>
    <n v="0"/>
    <n v="0"/>
  </r>
  <r>
    <x v="0"/>
    <s v="BV45691"/>
    <s v="Pedido 863"/>
    <d v="2025-02-03T00:00:00"/>
    <x v="73"/>
    <s v="PedidoF842"/>
    <s v="CódRastreio840"/>
    <n v="1"/>
    <s v="CPF 839"/>
    <s v="Nome 839"/>
    <s v="Tel 839"/>
    <s v="Cep 839"/>
    <s v="Rua 839"/>
    <s v="Comp 839"/>
    <s v="Suporte de Celular Branco"/>
    <s v="16-4EDB-WMZF"/>
    <d v="2025-02-22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80"/>
    <x v="83"/>
    <x v="19"/>
    <d v="2025-03-17T00:00:00"/>
    <x v="4"/>
    <x v="0"/>
    <x v="5"/>
    <s v="ENTREGUE"/>
    <d v="2025-02-10T00:00:00"/>
    <x v="0"/>
    <m/>
    <n v="0"/>
    <n v="0"/>
    <n v="0"/>
    <n v="0"/>
    <n v="0"/>
  </r>
  <r>
    <x v="0"/>
    <s v="BV45691"/>
    <s v="Pedido 864"/>
    <d v="2025-02-03T00:00:00"/>
    <x v="73"/>
    <s v="PedidoF843"/>
    <s v="CódRastreio841"/>
    <n v="1"/>
    <s v="CPF 840"/>
    <s v="Nome 840"/>
    <s v="Tel 840"/>
    <s v="Cep 840"/>
    <s v="Rua 840"/>
    <s v="Comp 840"/>
    <s v="Suporte de Celular Branco"/>
    <s v="16-4EDB-WMZF"/>
    <d v="2025-02-28T00:00:00"/>
    <n v="18.899999999999999"/>
    <n v="18.899999999999999"/>
    <n v="2.8349999999999995"/>
    <n v="16.07"/>
    <n v="6.99"/>
    <n v="0.17"/>
    <n v="0.39877104377104378"/>
    <n v="0"/>
    <n v="8.5112289562289565"/>
    <n v="4.2556144781144782"/>
    <x v="76"/>
    <x v="79"/>
    <x v="19"/>
    <d v="2025-03-17T00:00:00"/>
    <x v="4"/>
    <x v="0"/>
    <x v="5"/>
    <s v="ENTREGUE"/>
    <d v="2025-02-10T00:00:00"/>
    <x v="0"/>
    <m/>
    <n v="0"/>
    <n v="0"/>
    <n v="0"/>
    <n v="0"/>
    <n v="0"/>
  </r>
  <r>
    <x v="0"/>
    <s v="BV45692"/>
    <s v="Pedido 865"/>
    <d v="2025-02-04T00:00:00"/>
    <x v="74"/>
    <s v="PedidoF844"/>
    <s v="CódRastreio842"/>
    <n v="1"/>
    <s v="CPF 841"/>
    <s v="Nome 841"/>
    <s v="Tel 841"/>
    <s v="Cep 841"/>
    <s v="Rua 841"/>
    <s v="Comp 841"/>
    <s v="Suporte de Celular Branco"/>
    <s v="16-4EDB-WMZF"/>
    <d v="2025-02-22T00:00:00"/>
    <n v="18.899999999999999"/>
    <n v="18.899999999999999"/>
    <n v="2.8349999999999995"/>
    <n v="16.07"/>
    <n v="6.99"/>
    <n v="0.19"/>
    <n v="0.39877104377104378"/>
    <n v="0"/>
    <n v="8.4912289562289551"/>
    <n v="4.2456144781144776"/>
    <x v="80"/>
    <x v="83"/>
    <x v="19"/>
    <d v="2025-03-17T00:00:00"/>
    <x v="4"/>
    <x v="0"/>
    <x v="5"/>
    <s v="ENTREGUE"/>
    <d v="2025-02-10T00:00:00"/>
    <x v="0"/>
    <m/>
    <n v="0"/>
    <n v="0"/>
    <n v="0"/>
    <n v="0"/>
    <n v="0"/>
  </r>
  <r>
    <x v="0"/>
    <s v="BV45692"/>
    <s v="Pedido 866"/>
    <d v="2025-02-04T00:00:00"/>
    <x v="74"/>
    <s v="PedidoF845"/>
    <s v="CódRastreio843"/>
    <n v="1"/>
    <s v="CPF 842"/>
    <s v="Nome 842"/>
    <s v="Tel 842"/>
    <s v="Cep 842"/>
    <s v="Rua 842"/>
    <s v="Comp 842"/>
    <s v="Suporte de Celular Branco"/>
    <s v="16-4EDB-WMZF"/>
    <d v="2025-02-22T00:00:00"/>
    <n v="18.899999999999999"/>
    <n v="18.899999999999999"/>
    <n v="2.8349999999999995"/>
    <n v="16.07"/>
    <n v="6.99"/>
    <n v="0.19"/>
    <n v="0.39877104377104378"/>
    <n v="0"/>
    <n v="8.4912289562289551"/>
    <n v="4.2456144781144776"/>
    <x v="80"/>
    <x v="83"/>
    <x v="19"/>
    <d v="2025-03-17T00:00:00"/>
    <x v="4"/>
    <x v="0"/>
    <x v="5"/>
    <s v="ENTREGUE"/>
    <d v="2025-02-08T00:00:00"/>
    <x v="0"/>
    <m/>
    <n v="0"/>
    <n v="0"/>
    <n v="0"/>
    <n v="0"/>
    <n v="0"/>
  </r>
  <r>
    <x v="0"/>
    <s v="BV45692"/>
    <s v="Pedido 867"/>
    <d v="2025-02-04T00:00:00"/>
    <x v="74"/>
    <s v="PedidoF846"/>
    <s v="CódRastreio844"/>
    <n v="1"/>
    <s v="CPF 843"/>
    <s v="Nome 843"/>
    <s v="Tel 843"/>
    <s v="Cep 843"/>
    <s v="Rua 843"/>
    <s v="Comp 843"/>
    <s v="Ventilador Rosa"/>
    <s v="IF-G2ZQ-79FO"/>
    <d v="2025-03-01T00:00:00"/>
    <n v="52.7"/>
    <n v="52.7"/>
    <n v="6.8510000000000009"/>
    <n v="45.85"/>
    <n v="16.440000000000001"/>
    <n v="0.19"/>
    <n v="0.39877104377104378"/>
    <n v="0"/>
    <n v="28.821228956228953"/>
    <n v="14.410614478114477"/>
    <x v="81"/>
    <x v="84"/>
    <x v="19"/>
    <d v="2025-03-17T00:00:00"/>
    <x v="4"/>
    <x v="0"/>
    <x v="5"/>
    <s v="ENTREGUE"/>
    <d v="2025-02-20T00:00:00"/>
    <x v="0"/>
    <m/>
    <n v="0"/>
    <n v="0"/>
    <n v="0"/>
    <n v="0"/>
    <n v="0"/>
  </r>
  <r>
    <x v="0"/>
    <s v="BV45692"/>
    <s v="Pedido 868"/>
    <d v="2025-02-04T00:00:00"/>
    <x v="74"/>
    <s v="PedidoF847"/>
    <s v="CódRastreio845"/>
    <n v="1"/>
    <s v="CPF 844"/>
    <s v="Nome 844"/>
    <s v="Tel 844"/>
    <s v="Cep 844"/>
    <s v="Rua 844"/>
    <s v="Comp 844"/>
    <s v="Mini Liquidificador"/>
    <s v="CK-YL6M-P5Y6"/>
    <d v="2025-02-21T00:00:00"/>
    <n v="33.99"/>
    <n v="33.99"/>
    <n v="4.7586000000000004"/>
    <n v="29.23"/>
    <n v="14.99"/>
    <n v="0.19"/>
    <n v="0.39877104377104378"/>
    <n v="0"/>
    <n v="13.651228956228957"/>
    <n v="6.8256144781144785"/>
    <x v="71"/>
    <x v="74"/>
    <x v="18"/>
    <d v="2025-03-05T00:00:00"/>
    <x v="3"/>
    <x v="0"/>
    <x v="5"/>
    <s v="ENTREGUE"/>
    <d v="2025-02-10T00:00:00"/>
    <x v="0"/>
    <m/>
    <n v="0"/>
    <n v="0"/>
    <n v="0"/>
    <n v="0"/>
    <n v="0"/>
  </r>
  <r>
    <x v="0"/>
    <s v="BV45692"/>
    <s v="Pedido 869"/>
    <d v="2025-02-04T00:00:00"/>
    <x v="74"/>
    <s v="PedidoF848"/>
    <s v="CódRastreio846"/>
    <n v="1"/>
    <s v="CPF 845"/>
    <s v="Nome 845"/>
    <s v="Tel 845"/>
    <s v="Cep 845"/>
    <s v="Rua 845"/>
    <s v="Comp 845"/>
    <s v="Suporte de Celular Branco"/>
    <s v="16-4EDB-WMZF"/>
    <d v="2025-03-01T00:00:00"/>
    <n v="19.600000000000001"/>
    <n v="19.600000000000001"/>
    <n v="2.94"/>
    <n v="16.66"/>
    <n v="6.99"/>
    <n v="0.19"/>
    <n v="0.39877104377104378"/>
    <n v="0"/>
    <n v="9.081228956228955"/>
    <n v="4.5406144781144775"/>
    <x v="81"/>
    <x v="84"/>
    <x v="19"/>
    <d v="2025-03-17T00:00:00"/>
    <x v="4"/>
    <x v="0"/>
    <x v="5"/>
    <s v="ENTREGUE"/>
    <d v="2025-02-12T00:00:00"/>
    <x v="0"/>
    <m/>
    <n v="0"/>
    <n v="0"/>
    <n v="0"/>
    <n v="0"/>
    <n v="0"/>
  </r>
  <r>
    <x v="0"/>
    <s v="BV45692"/>
    <s v="Pedido 870"/>
    <d v="2025-02-04T00:00:00"/>
    <x v="74"/>
    <s v="PedidoF849"/>
    <s v="CódRastreio847"/>
    <n v="1"/>
    <s v="CPF 846"/>
    <s v="Nome 846"/>
    <s v="Tel 846"/>
    <s v="Cep 846"/>
    <s v="Rua 846"/>
    <s v="Comp 846"/>
    <s v="Suporte de Celular Branco"/>
    <s v="16-4EDB-WMZF"/>
    <d v="2025-02-25T00:00:00"/>
    <n v="19.600000000000001"/>
    <n v="19.600000000000001"/>
    <n v="2.94"/>
    <n v="16.66"/>
    <n v="6.99"/>
    <n v="0.19"/>
    <n v="0.39877104377104378"/>
    <n v="0"/>
    <n v="9.081228956228955"/>
    <n v="4.5406144781144775"/>
    <x v="77"/>
    <x v="80"/>
    <x v="19"/>
    <d v="2025-03-17T00:00:00"/>
    <x v="4"/>
    <x v="0"/>
    <x v="5"/>
    <s v="ENTREGUE"/>
    <d v="2025-02-24T00:00:00"/>
    <x v="0"/>
    <m/>
    <n v="0"/>
    <n v="0"/>
    <n v="0"/>
    <n v="0"/>
    <n v="0"/>
  </r>
  <r>
    <x v="0"/>
    <s v="BV45692"/>
    <s v="Pedido 871"/>
    <d v="2025-02-04T00:00:00"/>
    <x v="74"/>
    <s v="PedidoF850"/>
    <s v="CódRastreio848"/>
    <n v="1"/>
    <s v="CPF 847"/>
    <s v="Nome 847"/>
    <s v="Tel 847"/>
    <s v="Cep 847"/>
    <s v="Rua 847"/>
    <s v="Comp 847"/>
    <s v="Ventilador Preto"/>
    <s v="MU-J80P-95WF"/>
    <d v="2025-02-25T00:00:00"/>
    <n v="65.989999999999995"/>
    <n v="65.989999999999995"/>
    <n v="8.5786999999999995"/>
    <n v="57.41"/>
    <n v="10.16"/>
    <n v="0.19"/>
    <n v="0.39877104377104378"/>
    <n v="0"/>
    <n v="46.661228956228953"/>
    <n v="23.330614478114477"/>
    <x v="77"/>
    <x v="80"/>
    <x v="19"/>
    <d v="2025-03-17T00:00:00"/>
    <x v="4"/>
    <x v="0"/>
    <x v="5"/>
    <s v="ENTREGUE"/>
    <d v="2025-02-18T00:00:00"/>
    <x v="0"/>
    <m/>
    <n v="0"/>
    <n v="0"/>
    <n v="0"/>
    <n v="0"/>
    <n v="0"/>
  </r>
  <r>
    <x v="0"/>
    <s v="BV45692"/>
    <s v="Pedido 872"/>
    <d v="2025-02-04T00:00:00"/>
    <x v="74"/>
    <s v="PedidoF851"/>
    <s v="CódRastreio849"/>
    <n v="1"/>
    <s v="CPF 848"/>
    <s v="Nome 848"/>
    <s v="Tel 848"/>
    <s v="Cep 848"/>
    <s v="Rua 848"/>
    <s v="Comp 848"/>
    <s v="Ventilador Preto"/>
    <s v="MU-J80P-95WF"/>
    <d v="2025-02-25T00:00:00"/>
    <n v="65.989999999999995"/>
    <n v="65.989999999999995"/>
    <n v="8.5786999999999995"/>
    <n v="57.41"/>
    <n v="10.16"/>
    <n v="0.19"/>
    <n v="0.39877104377104378"/>
    <n v="0"/>
    <n v="46.661228956228953"/>
    <n v="23.330614478114477"/>
    <x v="77"/>
    <x v="80"/>
    <x v="19"/>
    <d v="2025-03-17T00:00:00"/>
    <x v="4"/>
    <x v="0"/>
    <x v="5"/>
    <s v="ENTREGUE"/>
    <d v="2025-02-12T00:00:00"/>
    <x v="0"/>
    <m/>
    <n v="0"/>
    <n v="0"/>
    <n v="0"/>
    <n v="0"/>
    <n v="0"/>
  </r>
  <r>
    <x v="0"/>
    <s v="BV45695"/>
    <s v="Pedido 873"/>
    <d v="2025-02-05T00:00:00"/>
    <x v="75"/>
    <s v="PedidoF852"/>
    <s v="CódRastreio850"/>
    <n v="1"/>
    <s v="CPF 849"/>
    <s v="Nome 849"/>
    <s v="Tel 849"/>
    <s v="Cep 849"/>
    <s v="Rua 849"/>
    <s v="Comp 849"/>
    <s v="Ventilador Preto"/>
    <s v="MU-J80P-95WF"/>
    <d v="2025-03-01T00:00:00"/>
    <n v="75.989999999999995"/>
    <n v="75.989999999999995"/>
    <n v="9.8787000000000003"/>
    <n v="66.11"/>
    <n v="14.65"/>
    <n v="0.2"/>
    <n v="0.39877104377104378"/>
    <n v="0"/>
    <n v="50.861228956228956"/>
    <n v="25.430614478114478"/>
    <x v="81"/>
    <x v="84"/>
    <x v="19"/>
    <d v="2025-03-17T00:00:00"/>
    <x v="4"/>
    <x v="0"/>
    <x v="5"/>
    <s v="ENTREGUE"/>
    <d v="2025-02-20T00:00:00"/>
    <x v="0"/>
    <m/>
    <n v="0"/>
    <n v="0"/>
    <n v="0"/>
    <n v="0"/>
    <n v="0"/>
  </r>
  <r>
    <x v="0"/>
    <s v="BV45693"/>
    <s v="Pedido 874"/>
    <d v="2025-02-05T00:00:00"/>
    <x v="76"/>
    <s v="PedidoF853"/>
    <s v="CódRastreio851"/>
    <n v="1"/>
    <s v="CPF 850"/>
    <s v="Nome 850"/>
    <s v="Tel 850"/>
    <s v="Cep 850"/>
    <s v="Rua 850"/>
    <s v="Comp 850"/>
    <s v="Ventilador Azul"/>
    <s v="U8-2VWS-OB6M"/>
    <d v="2025-03-07T00:00:00"/>
    <n v="65.989999999999995"/>
    <n v="65.989999999999995"/>
    <n v="8.5786999999999995"/>
    <n v="57.41"/>
    <n v="10.68"/>
    <n v="0.24"/>
    <n v="0.39877104377104378"/>
    <n v="0"/>
    <n v="46.091228956228953"/>
    <n v="23.045614478114476"/>
    <x v="82"/>
    <x v="85"/>
    <x v="19"/>
    <d v="2025-03-17T00:00:00"/>
    <x v="4"/>
    <x v="0"/>
    <x v="5"/>
    <s v="ENTREGUE"/>
    <d v="2025-02-17T00:00:00"/>
    <x v="0"/>
    <m/>
    <n v="0"/>
    <n v="0"/>
    <n v="0"/>
    <n v="0"/>
    <n v="0"/>
  </r>
  <r>
    <x v="0"/>
    <s v="BV45693"/>
    <s v="Pedido 875"/>
    <d v="2025-02-05T00:00:00"/>
    <x v="76"/>
    <s v="PedidoF854"/>
    <s v="CódRastreio852"/>
    <n v="1"/>
    <s v="CPF 851"/>
    <s v="Nome 851"/>
    <s v="Tel 851"/>
    <s v="Cep 851"/>
    <s v="Rua 851"/>
    <s v="Comp 851"/>
    <s v="Mini Liquidificador"/>
    <s v="CK-YL6M-P5Y6"/>
    <d v="2025-02-22T00:00:00"/>
    <n v="33.99"/>
    <n v="33.99"/>
    <n v="4.7586000000000004"/>
    <n v="29.23"/>
    <n v="14.99"/>
    <n v="0.24"/>
    <n v="0.39877104377104378"/>
    <n v="0"/>
    <n v="13.601228956228956"/>
    <n v="6.8006144781144782"/>
    <x v="80"/>
    <x v="83"/>
    <x v="19"/>
    <d v="2025-03-17T00:00:00"/>
    <x v="4"/>
    <x v="0"/>
    <x v="5"/>
    <s v="ENTREGUE"/>
    <d v="2025-02-10T00:00:00"/>
    <x v="0"/>
    <m/>
    <n v="0"/>
    <n v="0"/>
    <n v="0"/>
    <n v="0"/>
    <n v="0"/>
  </r>
  <r>
    <x v="0"/>
    <s v="BV45693"/>
    <s v="Pedido 876"/>
    <d v="2025-02-05T00:00:00"/>
    <x v="76"/>
    <s v="PedidoF855"/>
    <s v="CódRastreio853"/>
    <n v="1"/>
    <s v="CPF 852"/>
    <s v="Nome 852"/>
    <s v="Tel 852"/>
    <s v="Cep 852"/>
    <s v="Rua 852"/>
    <s v="Comp 852"/>
    <s v="Ventilador de teto"/>
    <s v="BP-NHG2-B8C1"/>
    <d v="2025-02-26T00:00:00"/>
    <n v="74.989999999999995"/>
    <n v="74.989999999999995"/>
    <n v="9.7486999999999995"/>
    <n v="65.239999999999995"/>
    <n v="27.94"/>
    <n v="0.24"/>
    <n v="0.39877104377104378"/>
    <n v="0"/>
    <n v="36.661228956228953"/>
    <n v="18.330614478114477"/>
    <x v="83"/>
    <x v="86"/>
    <x v="19"/>
    <d v="2025-03-17T00:00:00"/>
    <x v="4"/>
    <x v="0"/>
    <x v="5"/>
    <s v="ENTREGUE"/>
    <d v="2025-02-13T00:00:00"/>
    <x v="0"/>
    <m/>
    <n v="0"/>
    <n v="0"/>
    <n v="0"/>
    <n v="0"/>
    <n v="0"/>
  </r>
  <r>
    <x v="0"/>
    <s v="BV45693"/>
    <s v="Pedido 877"/>
    <d v="2025-02-05T00:00:00"/>
    <x v="76"/>
    <s v="PedidoF856"/>
    <s v="CódRastreio854"/>
    <n v="1"/>
    <s v="CPF 853"/>
    <s v="Nome 853"/>
    <s v="Tel 853"/>
    <s v="Cep 853"/>
    <s v="Rua 853"/>
    <s v="Comp 853"/>
    <s v="Ventilador Azul"/>
    <s v="U8-2VWS-OB6M"/>
    <d v="2025-02-26T00:00:00"/>
    <n v="65.989999999999995"/>
    <n v="65.989999999999995"/>
    <n v="8.5786999999999995"/>
    <n v="57.41"/>
    <n v="10.68"/>
    <n v="0.24"/>
    <n v="0.39877104377104378"/>
    <n v="0"/>
    <n v="46.091228956228953"/>
    <n v="23.045614478114476"/>
    <x v="83"/>
    <x v="86"/>
    <x v="19"/>
    <d v="2025-03-17T00:00:00"/>
    <x v="4"/>
    <x v="0"/>
    <x v="5"/>
    <s v="ENTREGUE"/>
    <d v="2025-02-17T00:00:00"/>
    <x v="0"/>
    <m/>
    <n v="0"/>
    <n v="0"/>
    <n v="0"/>
    <n v="0"/>
    <n v="0"/>
  </r>
  <r>
    <x v="1"/>
    <s v="GO45672"/>
    <s v="Pedido 878"/>
    <d v="2025-01-15T00:00:00"/>
    <x v="77"/>
    <s v="PedidoF857"/>
    <s v="CódRastreio855"/>
    <n v="1"/>
    <s v="CPF 854"/>
    <s v="Nome 854"/>
    <s v="Tel 854"/>
    <s v="Cep 854"/>
    <s v="Rua 854"/>
    <s v="Comp 854"/>
    <s v="Suporte de Celular Preto"/>
    <s v="K0-RMF0-V1YC"/>
    <d v="2025-02-03T00:00:00"/>
    <n v="19.78"/>
    <n v="19.78"/>
    <n v="2.9670000000000001"/>
    <n v="16.809999999999999"/>
    <n v="11.99"/>
    <n v="0.2"/>
    <n v="0.39877104377104378"/>
    <n v="0"/>
    <n v="4.2212289562289556"/>
    <n v="4.2212289562289556"/>
    <x v="84"/>
    <x v="87"/>
    <x v="17"/>
    <d v="2025-02-17T00:00:00"/>
    <x v="3"/>
    <x v="0"/>
    <x v="4"/>
    <s v="ENTREGUE"/>
    <d v="2025-01-21T00:00:00"/>
    <x v="0"/>
    <m/>
    <n v="0"/>
    <n v="0"/>
    <n v="0"/>
    <n v="0"/>
    <n v="0"/>
  </r>
  <r>
    <x v="1"/>
    <s v="GO45678"/>
    <s v="Pedido 879"/>
    <d v="2025-01-21T00:00:00"/>
    <x v="65"/>
    <s v="PedidoF858"/>
    <s v="CódRastreio856"/>
    <n v="1"/>
    <s v="CPF 855"/>
    <s v="Nome 855"/>
    <s v="Tel 855"/>
    <s v="Cep 855"/>
    <s v="Rua 855"/>
    <s v="Comp 855"/>
    <s v="Escova Multifuncional"/>
    <s v="E7-FW3C-EHOL"/>
    <d v="2025-02-11T00:00:00"/>
    <n v="41.4"/>
    <n v="41.4"/>
    <n v="6.21"/>
    <n v="35.19"/>
    <n v="21.89"/>
    <n v="0.2"/>
    <n v="0.39877104377104378"/>
    <n v="0"/>
    <n v="12.701228956228952"/>
    <n v="12.701228956228952"/>
    <x v="65"/>
    <x v="68"/>
    <x v="18"/>
    <d v="2025-03-17T00:00:00"/>
    <x v="3"/>
    <x v="0"/>
    <x v="4"/>
    <s v="ENTREGUE"/>
    <d v="2025-02-06T00:00:00"/>
    <x v="0"/>
    <m/>
    <n v="0"/>
    <n v="0"/>
    <n v="0"/>
    <n v="0"/>
    <n v="0"/>
  </r>
  <r>
    <x v="1"/>
    <s v="GO45681"/>
    <s v="Pedido 880"/>
    <d v="2025-01-24T00:00:00"/>
    <x v="68"/>
    <s v="PedidoF859"/>
    <s v="CódRastreio857"/>
    <n v="1"/>
    <s v="CPF 856"/>
    <s v="Nome 856"/>
    <s v="Tel 856"/>
    <s v="Cep 856"/>
    <s v="Rua 856"/>
    <s v="Comp 856"/>
    <s v="Ventilador Preto"/>
    <s v="EP-9PIR-BWXH"/>
    <d v="2025-02-14T00:00:00"/>
    <n v="64"/>
    <n v="64"/>
    <n v="8.32"/>
    <n v="55.68"/>
    <n v="17.02"/>
    <n v="0.15"/>
    <n v="0.39877104377104378"/>
    <n v="0"/>
    <n v="38.111228956228956"/>
    <n v="38.111228956228956"/>
    <x v="68"/>
    <x v="71"/>
    <x v="18"/>
    <d v="2025-03-17T00:00:00"/>
    <x v="3"/>
    <x v="0"/>
    <x v="4"/>
    <s v="ENTREGUE"/>
    <d v="2025-02-05T00:00:00"/>
    <x v="0"/>
    <m/>
    <n v="0"/>
    <n v="0"/>
    <n v="0"/>
    <n v="0"/>
    <n v="0"/>
  </r>
  <r>
    <x v="1"/>
    <s v="GO45681"/>
    <s v="Pedido 881"/>
    <d v="2025-01-24T00:00:00"/>
    <x v="68"/>
    <s v="PedidoF860"/>
    <s v="CódRastreio858"/>
    <n v="1"/>
    <s v="CPF 857"/>
    <s v="Nome 857"/>
    <s v="Tel 857"/>
    <s v="Cep 857"/>
    <s v="Rua 857"/>
    <s v="Comp 857"/>
    <s v="Ventilador Preto"/>
    <s v="EP-9PIR-BWXH"/>
    <d v="2025-02-14T00:00:00"/>
    <n v="64"/>
    <n v="64"/>
    <n v="8.32"/>
    <n v="55.68"/>
    <n v="17.02"/>
    <n v="0.15"/>
    <n v="0.39877104377104378"/>
    <n v="0"/>
    <n v="38.111228956228956"/>
    <n v="38.111228956228956"/>
    <x v="68"/>
    <x v="71"/>
    <x v="18"/>
    <d v="2025-03-17T00:00:00"/>
    <x v="3"/>
    <x v="0"/>
    <x v="4"/>
    <s v="ENTREGUE"/>
    <d v="2025-02-08T00:00:00"/>
    <x v="0"/>
    <m/>
    <n v="0"/>
    <n v="0"/>
    <n v="0"/>
    <n v="0"/>
    <n v="0"/>
  </r>
  <r>
    <x v="1"/>
    <s v="GO45684"/>
    <s v="Pedido 882"/>
    <d v="2025-01-25T00:00:00"/>
    <x v="69"/>
    <s v="PedidoF861"/>
    <s v="CódRastreio859"/>
    <n v="1"/>
    <s v="CPF 858"/>
    <s v="Nome 858"/>
    <s v="Tel 858"/>
    <s v="Cep 858"/>
    <s v="Rua 858"/>
    <s v="Comp 858"/>
    <s v="Ventilador Preto"/>
    <s v="EP-9PIR-BWXH"/>
    <d v="2025-02-20T00:00:00"/>
    <n v="64"/>
    <n v="64"/>
    <n v="8.32"/>
    <n v="55.68"/>
    <n v="17.329999999999998"/>
    <n v="0.2"/>
    <n v="0.39877104377104378"/>
    <n v="0"/>
    <n v="37.751228956228957"/>
    <n v="37.751228956228957"/>
    <x v="70"/>
    <x v="73"/>
    <x v="18"/>
    <d v="2025-03-17T00:00:00"/>
    <x v="3"/>
    <x v="0"/>
    <x v="4"/>
    <s v="ENTREGUE"/>
    <d v="2025-02-13T00:00:00"/>
    <x v="0"/>
    <m/>
    <n v="0"/>
    <n v="0"/>
    <n v="0"/>
    <n v="0"/>
    <n v="0"/>
  </r>
  <r>
    <x v="1"/>
    <s v="GO45684"/>
    <s v="Pedido 883"/>
    <d v="2025-01-25T00:00:00"/>
    <x v="69"/>
    <s v="PedidoF862"/>
    <s v="CódRastreio860"/>
    <n v="1"/>
    <s v="CPF 859"/>
    <s v="Nome 859"/>
    <s v="Tel 859"/>
    <s v="Cep 859"/>
    <s v="Rua 859"/>
    <s v="Comp 859"/>
    <s v="Ventilador Preto"/>
    <s v="EP-9PIR-BWXH"/>
    <d v="2025-02-14T00:00:00"/>
    <n v="64"/>
    <n v="64"/>
    <n v="8.32"/>
    <n v="55.68"/>
    <n v="17.329999999999998"/>
    <n v="0.2"/>
    <n v="0.39877104377104378"/>
    <n v="0"/>
    <n v="37.751228956228957"/>
    <n v="37.751228956228957"/>
    <x v="68"/>
    <x v="71"/>
    <x v="18"/>
    <d v="2025-03-17T00:00:00"/>
    <x v="3"/>
    <x v="0"/>
    <x v="4"/>
    <s v="ENTREGUE"/>
    <d v="2025-02-07T00:00:00"/>
    <x v="0"/>
    <m/>
    <n v="0"/>
    <n v="0"/>
    <n v="0"/>
    <n v="0"/>
    <n v="0"/>
  </r>
  <r>
    <x v="1"/>
    <s v="GO45684"/>
    <s v="Pedido 884"/>
    <d v="2025-01-26T00:00:00"/>
    <x v="69"/>
    <s v="PedidoF863"/>
    <s v="CódRastreio861"/>
    <n v="1"/>
    <s v="CPF 860"/>
    <s v="Nome 860"/>
    <s v="Tel 860"/>
    <s v="Cep 860"/>
    <s v="Rua 860"/>
    <s v="Comp 860"/>
    <s v="Ventilador Preto"/>
    <s v="EP-9PIR-BWXH"/>
    <d v="2025-02-14T00:00:00"/>
    <n v="63.6"/>
    <n v="63.6"/>
    <n v="8.2680000000000007"/>
    <n v="55.33"/>
    <n v="17.329999999999998"/>
    <n v="0.2"/>
    <n v="0.39877104377104378"/>
    <n v="0"/>
    <n v="37.401228956228955"/>
    <n v="37.401228956228955"/>
    <x v="68"/>
    <x v="71"/>
    <x v="18"/>
    <d v="2025-03-17T00:00:00"/>
    <x v="3"/>
    <x v="0"/>
    <x v="4"/>
    <s v="ENTREGUE"/>
    <d v="2025-02-06T00:00:00"/>
    <x v="0"/>
    <m/>
    <n v="0"/>
    <n v="0"/>
    <n v="0"/>
    <n v="0"/>
    <n v="0"/>
  </r>
  <r>
    <x v="1"/>
    <s v="GO45684"/>
    <s v="Pedido 885"/>
    <d v="2025-01-26T00:00:00"/>
    <x v="69"/>
    <s v="PedidoF864"/>
    <s v="CódRastreio862"/>
    <n v="1"/>
    <s v="CPF 861"/>
    <s v="Nome 861"/>
    <s v="Tel 861"/>
    <s v="Cep 861"/>
    <s v="Rua 861"/>
    <s v="Comp 861"/>
    <s v="Ventilador Preto"/>
    <s v="EP-9PIR-BWXH"/>
    <d v="2025-02-20T00:00:00"/>
    <n v="63.6"/>
    <n v="63.6"/>
    <n v="8.2680000000000007"/>
    <n v="55.33"/>
    <n v="17.329999999999998"/>
    <n v="0.2"/>
    <n v="0.39877104377104378"/>
    <n v="0"/>
    <n v="37.401228956228955"/>
    <n v="37.401228956228955"/>
    <x v="70"/>
    <x v="73"/>
    <x v="18"/>
    <d v="2025-03-17T00:00:00"/>
    <x v="3"/>
    <x v="0"/>
    <x v="4"/>
    <s v="ENTREGUE"/>
    <d v="2025-02-08T00:00:00"/>
    <x v="0"/>
    <m/>
    <n v="0"/>
    <n v="0"/>
    <n v="0"/>
    <n v="0"/>
    <n v="0"/>
  </r>
  <r>
    <x v="1"/>
    <s v="GO45684"/>
    <s v="Pedido 886"/>
    <d v="2025-01-26T00:00:00"/>
    <x v="69"/>
    <s v="PedidoF865"/>
    <s v="CódRastreio863"/>
    <n v="1"/>
    <s v="CPF 862"/>
    <s v="Nome 862"/>
    <s v="Tel 862"/>
    <s v="Cep 862"/>
    <s v="Rua 862"/>
    <s v="Comp 862"/>
    <s v="Ventilador Preto"/>
    <s v="EP-9PIR-BWXH"/>
    <d v="2025-02-20T00:00:00"/>
    <n v="63.6"/>
    <n v="63.6"/>
    <n v="8.2680000000000007"/>
    <n v="55.33"/>
    <n v="10.61"/>
    <n v="0.2"/>
    <n v="0.39877104377104378"/>
    <n v="0"/>
    <n v="44.121228956228954"/>
    <n v="44.121228956228954"/>
    <x v="70"/>
    <x v="73"/>
    <x v="18"/>
    <d v="2025-03-17T00:00:00"/>
    <x v="3"/>
    <x v="0"/>
    <x v="4"/>
    <s v="ENTREGUE"/>
    <d v="2025-02-07T00:00:00"/>
    <x v="0"/>
    <m/>
    <n v="0"/>
    <n v="0"/>
    <n v="0"/>
    <n v="0"/>
    <n v="0"/>
  </r>
  <r>
    <x v="1"/>
    <s v="GO45684"/>
    <s v="Pedido 887"/>
    <d v="2025-01-26T00:00:00"/>
    <x v="69"/>
    <s v="PedidoF866"/>
    <s v="CódRastreio864"/>
    <n v="1"/>
    <s v="CPF 863"/>
    <s v="Nome 863"/>
    <s v="Tel 863"/>
    <s v="Cep 863"/>
    <s v="Rua 863"/>
    <s v="Comp 863"/>
    <s v="Ventilador Preto"/>
    <s v="EP-9PIR-BWXH"/>
    <d v="2025-02-14T00:00:00"/>
    <n v="63.6"/>
    <n v="63.6"/>
    <n v="8.2680000000000007"/>
    <n v="55.33"/>
    <n v="10.61"/>
    <n v="0.2"/>
    <n v="0.39877104377104378"/>
    <n v="0"/>
    <n v="44.121228956228954"/>
    <n v="44.121228956228954"/>
    <x v="68"/>
    <x v="71"/>
    <x v="18"/>
    <d v="2025-03-17T00:00:00"/>
    <x v="3"/>
    <x v="0"/>
    <x v="4"/>
    <s v="ENTREGUE"/>
    <d v="2025-02-07T00:00:00"/>
    <x v="0"/>
    <m/>
    <n v="0"/>
    <n v="0"/>
    <n v="0"/>
    <n v="0"/>
    <n v="0"/>
  </r>
  <r>
    <x v="1"/>
    <s v="GO45684"/>
    <s v="Pedido 888"/>
    <d v="2025-01-26T00:00:00"/>
    <x v="69"/>
    <s v="PedidoF867"/>
    <s v="CódRastreio865"/>
    <n v="1"/>
    <s v="CPF 864"/>
    <s v="Nome 864"/>
    <s v="Tel 864"/>
    <s v="Cep 864"/>
    <s v="Rua 864"/>
    <s v="Comp 864"/>
    <s v="Ventilador Preto"/>
    <s v="EP-9PIR-BWXH"/>
    <d v="2025-02-14T00:00:00"/>
    <n v="63.6"/>
    <n v="63.6"/>
    <n v="8.2680000000000007"/>
    <n v="55.33"/>
    <n v="10.61"/>
    <n v="0.2"/>
    <n v="0.39877104377104378"/>
    <n v="0"/>
    <n v="44.121228956228954"/>
    <n v="44.121228956228954"/>
    <x v="68"/>
    <x v="71"/>
    <x v="18"/>
    <d v="2025-03-17T00:00:00"/>
    <x v="3"/>
    <x v="0"/>
    <x v="4"/>
    <s v="ENTREGUE"/>
    <d v="2025-02-04T00:00:00"/>
    <x v="0"/>
    <m/>
    <n v="0"/>
    <n v="0"/>
    <n v="0"/>
    <n v="0"/>
    <n v="0"/>
  </r>
  <r>
    <x v="1"/>
    <s v="GO45684"/>
    <s v="Pedido 889"/>
    <d v="2025-01-27T00:00:00"/>
    <x v="69"/>
    <s v="PedidoF868"/>
    <s v="CódRastreio866"/>
    <n v="1"/>
    <s v="CPF 865"/>
    <s v="Nome 865"/>
    <s v="Tel 865"/>
    <s v="Cep 865"/>
    <s v="Rua 865"/>
    <s v="Comp 865"/>
    <s v="Ventilador Preto"/>
    <s v="EP-9PIR-BWXH"/>
    <d v="2025-02-21T00:00:00"/>
    <n v="63.6"/>
    <n v="63.6"/>
    <n v="8.2680000000000007"/>
    <n v="55.33"/>
    <n v="10.61"/>
    <n v="0.2"/>
    <n v="0.39877104377104378"/>
    <n v="0"/>
    <n v="44.121228956228954"/>
    <n v="44.121228956228954"/>
    <x v="71"/>
    <x v="74"/>
    <x v="18"/>
    <d v="2025-03-17T00:00:00"/>
    <x v="3"/>
    <x v="0"/>
    <x v="4"/>
    <s v="ENTREGUE"/>
    <d v="2025-02-11T00:00:00"/>
    <x v="0"/>
    <m/>
    <n v="0"/>
    <n v="0"/>
    <n v="0"/>
    <n v="0"/>
    <n v="0"/>
  </r>
  <r>
    <x v="1"/>
    <s v="GO45684"/>
    <s v="Pedido 890"/>
    <d v="2025-01-27T00:00:00"/>
    <x v="69"/>
    <s v="PedidoF869"/>
    <s v="CódRastreio867"/>
    <n v="1"/>
    <s v="CPF 866"/>
    <s v="Nome 866"/>
    <s v="Tel 866"/>
    <s v="Cep 866"/>
    <s v="Rua 866"/>
    <s v="Comp 866"/>
    <s v="Ventilador Preto"/>
    <s v="EP-9PIR-BWXH"/>
    <d v="2025-02-15T00:00:00"/>
    <n v="63.6"/>
    <n v="63.6"/>
    <n v="8.2680000000000007"/>
    <n v="55.33"/>
    <n v="10.61"/>
    <n v="0.2"/>
    <n v="0.39877104377104378"/>
    <n v="0"/>
    <n v="44.121228956228954"/>
    <n v="44.121228956228954"/>
    <x v="72"/>
    <x v="75"/>
    <x v="18"/>
    <d v="2025-03-17T00:00:00"/>
    <x v="3"/>
    <x v="0"/>
    <x v="4"/>
    <s v="ENTREGUE"/>
    <d v="2025-02-07T00:00:00"/>
    <x v="0"/>
    <m/>
    <n v="0"/>
    <n v="0"/>
    <n v="0"/>
    <n v="0"/>
    <n v="0"/>
  </r>
  <r>
    <x v="1"/>
    <s v="GO45685"/>
    <s v="Pedido 891"/>
    <d v="2025-01-28T00:00:00"/>
    <x v="70"/>
    <s v="PedidoF870"/>
    <s v="CódRastreio868"/>
    <n v="1"/>
    <s v="CPF 867"/>
    <s v="Nome 867"/>
    <s v="Tel 867"/>
    <s v="Cep 867"/>
    <s v="Rua 867"/>
    <s v="Comp 867"/>
    <s v="Ventilador Preto"/>
    <s v="EP-9PIR-BWXH"/>
    <d v="2025-02-18T00:00:00"/>
    <n v="65.900000000000006"/>
    <n v="65.900000000000006"/>
    <n v="8.5670000000000002"/>
    <n v="57.33"/>
    <n v="10.4"/>
    <n v="0.2"/>
    <n v="0.39877104377104378"/>
    <n v="0"/>
    <n v="46.331228956228955"/>
    <n v="46.331228956228955"/>
    <x v="74"/>
    <x v="77"/>
    <x v="18"/>
    <d v="2025-03-17T00:00:00"/>
    <x v="3"/>
    <x v="0"/>
    <x v="4"/>
    <s v="ENTREGUE"/>
    <d v="2025-02-07T00:00:00"/>
    <x v="0"/>
    <m/>
    <n v="0"/>
    <n v="0"/>
    <n v="0"/>
    <n v="0"/>
    <n v="0"/>
  </r>
  <r>
    <x v="1"/>
    <s v="GO45685"/>
    <s v="Pedido 892"/>
    <d v="2025-01-28T00:00:00"/>
    <x v="70"/>
    <s v="PedidoF871"/>
    <s v="CódRastreio869"/>
    <n v="1"/>
    <s v="CPF 868"/>
    <s v="Nome 868"/>
    <s v="Tel 868"/>
    <s v="Cep 868"/>
    <s v="Rua 868"/>
    <s v="Comp 868"/>
    <s v="Ventilador Preto"/>
    <s v="EP-9PIR-BWXH"/>
    <d v="2025-02-22T00:00:00"/>
    <n v="65.900000000000006"/>
    <n v="65.900000000000006"/>
    <n v="8.5670000000000002"/>
    <n v="57.33"/>
    <n v="0"/>
    <n v="0.2"/>
    <n v="0.39877104377104378"/>
    <n v="0"/>
    <n v="56.731228956228954"/>
    <n v="56.731228956228954"/>
    <x v="80"/>
    <x v="83"/>
    <x v="19"/>
    <d v="2025-03-17T00:00:00"/>
    <x v="4"/>
    <x v="0"/>
    <x v="4"/>
    <s v="ENTREGUE"/>
    <d v="2025-02-05T00:00:00"/>
    <x v="0"/>
    <m/>
    <n v="0"/>
    <n v="0"/>
    <n v="0"/>
    <n v="0"/>
    <n v="0"/>
  </r>
  <r>
    <x v="1"/>
    <s v="GO45685"/>
    <s v="Pedido 893"/>
    <d v="2025-01-28T00:00:00"/>
    <x v="70"/>
    <s v="PedidoF872"/>
    <s v="CódRastreio870"/>
    <n v="1"/>
    <s v="CPF 869"/>
    <s v="Nome 869"/>
    <s v="Tel 869"/>
    <s v="Cep 869"/>
    <s v="Rua 869"/>
    <s v="Comp 869"/>
    <s v="Ventilador Preto"/>
    <s v="EP-9PIR-BWXH"/>
    <d v="2025-02-18T00:00:00"/>
    <n v="65.900000000000006"/>
    <n v="65.900000000000006"/>
    <n v="8.5670000000000002"/>
    <n v="57.33"/>
    <n v="10.4"/>
    <n v="0.2"/>
    <n v="0.39877104377104378"/>
    <n v="0"/>
    <n v="46.331228956228955"/>
    <n v="46.331228956228955"/>
    <x v="74"/>
    <x v="77"/>
    <x v="18"/>
    <d v="2025-03-17T00:00:00"/>
    <x v="3"/>
    <x v="0"/>
    <x v="4"/>
    <s v="ENTREGUE"/>
    <d v="2025-02-10T00:00:00"/>
    <x v="0"/>
    <m/>
    <n v="0"/>
    <n v="0"/>
    <n v="0"/>
    <n v="0"/>
    <n v="0"/>
  </r>
  <r>
    <x v="1"/>
    <s v="GO45686"/>
    <s v="Pedido 894"/>
    <d v="2025-01-29T00:00:00"/>
    <x v="71"/>
    <s v="PedidoF873"/>
    <s v="CódRastreio871"/>
    <n v="1"/>
    <s v="CPF 870"/>
    <s v="Nome 870"/>
    <s v="Tel 870"/>
    <s v="Cep 870"/>
    <s v="Rua 870"/>
    <s v="Comp 870"/>
    <s v="Ventilador Preto"/>
    <s v="EP-9PIR-BWXH"/>
    <d v="2025-02-19T00:00:00"/>
    <n v="64.989999999999995"/>
    <n v="64.989999999999995"/>
    <n v="8.4486999999999988"/>
    <n v="56.54"/>
    <n v="10.17"/>
    <n v="0.2"/>
    <n v="0.39877104377104378"/>
    <n v="0"/>
    <n v="45.771228956228953"/>
    <n v="45.771228956228953"/>
    <x v="75"/>
    <x v="78"/>
    <x v="18"/>
    <d v="2025-03-17T00:00:00"/>
    <x v="3"/>
    <x v="0"/>
    <x v="4"/>
    <s v="ENTREGUE"/>
    <d v="2025-02-10T00:00:00"/>
    <x v="0"/>
    <m/>
    <n v="0"/>
    <n v="0"/>
    <n v="0"/>
    <n v="0"/>
    <n v="0"/>
  </r>
  <r>
    <x v="1"/>
    <s v="GO45688"/>
    <s v="Pedido 895"/>
    <d v="2025-01-30T00:00:00"/>
    <x v="72"/>
    <s v="PedidoF874"/>
    <s v="CódRastreio872"/>
    <n v="1"/>
    <s v="CPF 871"/>
    <s v="Nome 871"/>
    <s v="Tel 871"/>
    <s v="Cep 871"/>
    <s v="Rua 871"/>
    <s v="Comp 871"/>
    <s v="Ventilador Preto"/>
    <s v="EP-9PIR-BWXH"/>
    <d v="2025-02-20T00:00:00"/>
    <n v="64.989999999999995"/>
    <n v="64.989999999999995"/>
    <n v="8.4486999999999988"/>
    <n v="56.54"/>
    <n v="10.18"/>
    <n v="0.3"/>
    <n v="0.39877104377104378"/>
    <n v="0"/>
    <n v="45.661228956228953"/>
    <n v="45.661228956228953"/>
    <x v="70"/>
    <x v="73"/>
    <x v="18"/>
    <d v="2025-03-17T00:00:00"/>
    <x v="3"/>
    <x v="0"/>
    <x v="4"/>
    <s v="ENTREGUE"/>
    <d v="2025-02-12T00:00:00"/>
    <x v="0"/>
    <m/>
    <n v="0"/>
    <n v="0"/>
    <n v="0"/>
    <n v="0"/>
    <n v="0"/>
  </r>
  <r>
    <x v="1"/>
    <s v="GO45688"/>
    <s v="Pedido 896"/>
    <d v="2025-01-31T00:00:00"/>
    <x v="72"/>
    <s v="PedidoF875"/>
    <s v="CódRastreio873"/>
    <n v="1"/>
    <s v="CPF 872"/>
    <s v="Nome 872"/>
    <s v="Tel 872"/>
    <s v="Cep 872"/>
    <s v="Rua 872"/>
    <s v="Comp 872"/>
    <s v="Ventilador Preto"/>
    <s v="EP-9PIR-BWXH"/>
    <d v="2025-02-21T00:00:00"/>
    <n v="64.989999999999995"/>
    <n v="64.989999999999995"/>
    <n v="8.4486999999999988"/>
    <n v="56.54"/>
    <n v="10.18"/>
    <n v="0.3"/>
    <n v="0.39877104377104378"/>
    <n v="0"/>
    <n v="45.661228956228953"/>
    <n v="45.661228956228953"/>
    <x v="71"/>
    <x v="74"/>
    <x v="18"/>
    <d v="2025-03-17T00:00:00"/>
    <x v="3"/>
    <x v="0"/>
    <x v="4"/>
    <s v="ENTREGUE"/>
    <d v="2025-02-18T00:00:00"/>
    <x v="0"/>
    <m/>
    <n v="0"/>
    <n v="0"/>
    <n v="0"/>
    <n v="0"/>
    <n v="0"/>
  </r>
  <r>
    <x v="1"/>
    <s v="GO45691"/>
    <s v="Pedido 897"/>
    <d v="2025-01-31T00:00:00"/>
    <x v="73"/>
    <s v="PedidoF876"/>
    <s v="CódRastreio874"/>
    <n v="1"/>
    <s v="CPF 872"/>
    <s v="Nome 872"/>
    <s v="Tel 872"/>
    <s v="Cep 872"/>
    <s v="Rua 872"/>
    <s v="Comp 872"/>
    <s v="Ventilador Preto"/>
    <s v="EP-9PIR-BWXH"/>
    <d v="2025-02-21T00:00:00"/>
    <n v="64.989999999999995"/>
    <n v="64.989999999999995"/>
    <n v="8.4486999999999988"/>
    <n v="56.54"/>
    <n v="10.199999999999999"/>
    <n v="0.18"/>
    <n v="0.39877104377104378"/>
    <n v="0"/>
    <n v="45.761228956228955"/>
    <n v="45.761228956228955"/>
    <x v="71"/>
    <x v="74"/>
    <x v="18"/>
    <d v="2025-03-17T00:00:00"/>
    <x v="3"/>
    <x v="0"/>
    <x v="5"/>
    <s v="ENTREGUE"/>
    <d v="2025-02-10T00:00:00"/>
    <x v="0"/>
    <m/>
    <n v="0"/>
    <n v="0"/>
    <n v="0"/>
    <n v="0"/>
    <n v="0"/>
  </r>
  <r>
    <x v="1"/>
    <s v="GO45691"/>
    <s v="Pedido 898"/>
    <d v="2025-02-01T00:00:00"/>
    <x v="73"/>
    <s v="PedidoF877"/>
    <s v="CódRastreio875"/>
    <n v="1"/>
    <s v="CPF 873"/>
    <s v="Nome 873"/>
    <s v="Tel 873"/>
    <s v="Cep 873"/>
    <s v="Rua 873"/>
    <s v="Comp 873"/>
    <s v="Ventilador Preto"/>
    <s v="EP-9PIR-BWXH"/>
    <d v="2025-02-21T00:00:00"/>
    <n v="64.989999999999995"/>
    <n v="64.989999999999995"/>
    <n v="8.4486999999999988"/>
    <n v="56.54"/>
    <n v="10.199999999999999"/>
    <n v="0.18"/>
    <n v="0.39877104377104378"/>
    <n v="0"/>
    <n v="45.761228956228955"/>
    <n v="45.761228956228955"/>
    <x v="71"/>
    <x v="74"/>
    <x v="18"/>
    <d v="2025-03-17T00:00:00"/>
    <x v="3"/>
    <x v="0"/>
    <x v="5"/>
    <s v="ENTREGUE"/>
    <d v="2025-02-12T00:00:00"/>
    <x v="0"/>
    <m/>
    <n v="0"/>
    <n v="0"/>
    <n v="0"/>
    <n v="0"/>
    <n v="0"/>
  </r>
  <r>
    <x v="1"/>
    <s v="GO45691"/>
    <s v="Pedido 899"/>
    <d v="2025-02-01T00:00:00"/>
    <x v="73"/>
    <s v="PedidoF878"/>
    <s v="CódRastreio876"/>
    <n v="1"/>
    <s v="CPF 874"/>
    <s v="Nome 874"/>
    <s v="Tel 874"/>
    <s v="Cep 874"/>
    <s v="Rua 874"/>
    <s v="Comp 874"/>
    <s v="Ventilador Preto"/>
    <s v="EP-9PIR-BWXH"/>
    <d v="2025-02-21T00:00:00"/>
    <n v="64.989999999999995"/>
    <n v="64.989999999999995"/>
    <n v="8.4486999999999988"/>
    <n v="56.54"/>
    <n v="10.199999999999999"/>
    <n v="0.18"/>
    <n v="0.39877104377104378"/>
    <n v="0"/>
    <n v="45.761228956228955"/>
    <n v="45.761228956228955"/>
    <x v="71"/>
    <x v="74"/>
    <x v="18"/>
    <d v="2025-03-17T00:00:00"/>
    <x v="3"/>
    <x v="0"/>
    <x v="5"/>
    <s v="ENTREGUE"/>
    <d v="2025-02-10T00:00:00"/>
    <x v="0"/>
    <m/>
    <n v="0"/>
    <n v="0"/>
    <n v="0"/>
    <n v="0"/>
    <n v="0"/>
  </r>
  <r>
    <x v="1"/>
    <s v="GO45693"/>
    <s v="Pedido 900"/>
    <d v="2025-02-05T00:00:00"/>
    <x v="76"/>
    <s v="PedidoF879"/>
    <s v="CódRastreio877"/>
    <n v="1"/>
    <s v="CPF 875"/>
    <s v="Nome 875"/>
    <s v="Tel 875"/>
    <s v="Cep 875"/>
    <s v="Rua 875"/>
    <s v="Comp 875"/>
    <s v="Ventilador Preto"/>
    <s v="EP-9PIR-BWXH"/>
    <d v="2025-03-07T00:00:00"/>
    <n v="65.989999999999995"/>
    <n v="65.989999999999995"/>
    <n v="8.5786999999999995"/>
    <n v="57.41"/>
    <n v="10.210000000000001"/>
    <n v="0.25"/>
    <n v="0.39877104377104378"/>
    <n v="0"/>
    <n v="46.551228956228954"/>
    <n v="46.551228956228954"/>
    <x v="82"/>
    <x v="85"/>
    <x v="19"/>
    <d v="2025-03-17T00:00:00"/>
    <x v="4"/>
    <x v="0"/>
    <x v="5"/>
    <s v="ENTREGUE"/>
    <d v="2025-02-13T00:00:00"/>
    <x v="0"/>
    <m/>
    <n v="0"/>
    <n v="0"/>
    <n v="0"/>
    <n v="0"/>
    <n v="0"/>
  </r>
  <r>
    <x v="1"/>
    <s v="GO45693"/>
    <s v="Pedido 901"/>
    <d v="2025-02-06T00:00:00"/>
    <x v="76"/>
    <s v="PedidoF880"/>
    <s v="CódRastreio878"/>
    <n v="1"/>
    <s v="CPF 674"/>
    <s v="Nome 674"/>
    <s v="Tel 674"/>
    <s v="Cep 674"/>
    <s v="Rua 674"/>
    <s v="Comp 674"/>
    <s v="Ventilador Preto"/>
    <s v="EP-9PIR-BWXH"/>
    <d v="2025-03-07T00:00:00"/>
    <n v="65.989999999999995"/>
    <n v="65.989999999999995"/>
    <n v="8.5786999999999995"/>
    <n v="57.41"/>
    <n v="16.510000000000002"/>
    <n v="0.25"/>
    <n v="0.39877104377104378"/>
    <n v="0"/>
    <n v="40.25122895622895"/>
    <n v="40.25122895622895"/>
    <x v="82"/>
    <x v="85"/>
    <x v="19"/>
    <d v="2025-03-17T00:00:00"/>
    <x v="4"/>
    <x v="0"/>
    <x v="5"/>
    <s v="ENTREGUE"/>
    <d v="2025-02-25T00:00:00"/>
    <x v="0"/>
    <m/>
    <n v="0"/>
    <n v="0"/>
    <n v="0"/>
    <n v="0"/>
    <n v="0"/>
  </r>
  <r>
    <x v="2"/>
    <s v="MEI45694"/>
    <s v="Pedido 902"/>
    <d v="2025-02-05T00:00:00"/>
    <x v="78"/>
    <s v="PedidoF881"/>
    <s v="CódRastreio879"/>
    <n v="1"/>
    <s v="CPF 876"/>
    <s v="Nome 876"/>
    <s v="Tel 876"/>
    <s v="Cep 876"/>
    <s v="Rua 876"/>
    <s v="Comp 876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19T00:00:00"/>
    <x v="0"/>
    <m/>
    <n v="0"/>
    <n v="0"/>
    <n v="0"/>
    <n v="0"/>
    <n v="0"/>
  </r>
  <r>
    <x v="2"/>
    <s v="MEI45694"/>
    <s v="Pedido 903"/>
    <d v="2025-02-05T00:00:00"/>
    <x v="78"/>
    <s v="PedidoF882"/>
    <s v="CódRastreio880"/>
    <n v="1"/>
    <s v="CPF 877"/>
    <s v="Nome 877"/>
    <s v="Tel 877"/>
    <s v="Cep 877"/>
    <s v="Rua 877"/>
    <s v="Comp 877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20T00:00:00"/>
    <x v="0"/>
    <m/>
    <n v="0"/>
    <n v="0"/>
    <n v="0"/>
    <n v="0"/>
    <n v="0"/>
  </r>
  <r>
    <x v="2"/>
    <s v="MEI45694"/>
    <s v="Pedido 904"/>
    <d v="2025-02-05T00:00:00"/>
    <x v="78"/>
    <s v="PedidoF883"/>
    <s v="CódRastreio881"/>
    <n v="1"/>
    <s v="CPF 878"/>
    <s v="Nome 878"/>
    <s v="Tel 878"/>
    <s v="Cep 878"/>
    <s v="Rua 878"/>
    <s v="Comp 878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22T00:00:00"/>
    <x v="0"/>
    <m/>
    <n v="0"/>
    <n v="0"/>
    <n v="0"/>
    <n v="0"/>
    <n v="0"/>
  </r>
  <r>
    <x v="2"/>
    <s v="MEI45694"/>
    <s v="Pedido 905"/>
    <d v="2025-02-05T00:00:00"/>
    <x v="78"/>
    <s v="PedidoF884"/>
    <s v="CódRastreio882"/>
    <n v="1"/>
    <s v="CPF 879"/>
    <s v="Nome 879"/>
    <s v="Tel 879"/>
    <s v="Cep 879"/>
    <s v="Rua 879"/>
    <s v="Comp 879"/>
    <s v="Kit Forma de Gelo c/ Tampa 4 un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x v="82"/>
    <x v="85"/>
    <x v="19"/>
    <d v="2025-03-17T00:00:00"/>
    <x v="4"/>
    <x v="0"/>
    <x v="5"/>
    <s v="ENTREGUE"/>
    <d v="2025-02-26T00:00:00"/>
    <x v="0"/>
    <m/>
    <n v="0"/>
    <n v="0"/>
    <n v="0"/>
    <n v="0"/>
    <n v="0"/>
  </r>
  <r>
    <x v="2"/>
    <s v="MEI45694"/>
    <s v="Pedido 906"/>
    <d v="2025-02-05T00:00:00"/>
    <x v="78"/>
    <s v="PedidoF885"/>
    <s v="CódRastreio883"/>
    <n v="1"/>
    <s v="CPF 880"/>
    <s v="Nome 880"/>
    <s v="Tel 880"/>
    <s v="Cep 880"/>
    <s v="Rua 880"/>
    <s v="Comp 880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21T00:00:00"/>
    <x v="0"/>
    <m/>
    <n v="0"/>
    <n v="0"/>
    <n v="0"/>
    <n v="0"/>
    <n v="0"/>
  </r>
  <r>
    <x v="2"/>
    <s v="MEI45694"/>
    <s v="Pedido 907"/>
    <d v="2025-02-05T00:00:00"/>
    <x v="78"/>
    <s v="PedidoF886"/>
    <s v="CódRastreio884"/>
    <n v="1"/>
    <s v="CPF 881"/>
    <s v="Nome 881"/>
    <s v="Tel 881"/>
    <s v="Cep 881"/>
    <s v="Rua 881"/>
    <s v="Comp 881"/>
    <s v="Kit Forma de Gelo c/ Tampa 4 un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x v="82"/>
    <x v="85"/>
    <x v="19"/>
    <d v="2025-03-17T00:00:00"/>
    <x v="4"/>
    <x v="0"/>
    <x v="5"/>
    <s v="ENTREGUE"/>
    <d v="2025-02-24T00:00:00"/>
    <x v="0"/>
    <m/>
    <n v="0"/>
    <n v="0"/>
    <n v="0"/>
    <n v="0"/>
    <n v="0"/>
  </r>
  <r>
    <x v="2"/>
    <s v="MEI45694"/>
    <s v="Pedido 908"/>
    <d v="2025-02-05T00:00:00"/>
    <x v="78"/>
    <s v="PedidoF887"/>
    <s v="CódRastreio885"/>
    <n v="1"/>
    <s v="CPF 882"/>
    <s v="Nome 882"/>
    <s v="Tel 882"/>
    <s v="Cep 882"/>
    <s v="Rua 882"/>
    <s v="Comp 882"/>
    <s v="Kit Forma de Gelo c/ Tampa 4 un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x v="82"/>
    <x v="85"/>
    <x v="19"/>
    <d v="2025-03-17T00:00:00"/>
    <x v="4"/>
    <x v="0"/>
    <x v="5"/>
    <s v="ENTREGUE"/>
    <d v="2025-02-24T00:00:00"/>
    <x v="0"/>
    <m/>
    <n v="0"/>
    <n v="0"/>
    <n v="0"/>
    <n v="0"/>
    <n v="0"/>
  </r>
  <r>
    <x v="2"/>
    <s v="MEI45694"/>
    <s v="Pedido 909"/>
    <d v="2025-02-05T00:00:00"/>
    <x v="78"/>
    <s v="PedidoF888"/>
    <s v="CódRastreio886"/>
    <n v="1"/>
    <s v="CPF 883"/>
    <s v="Nome 883"/>
    <s v="Tel 883"/>
    <s v="Cep 883"/>
    <s v="Rua 883"/>
    <s v="Comp 883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24T00:00:00"/>
    <x v="0"/>
    <m/>
    <n v="0"/>
    <n v="0"/>
    <n v="0"/>
    <n v="0"/>
    <n v="0"/>
  </r>
  <r>
    <x v="2"/>
    <s v="MEI45694"/>
    <s v="Pedido 910"/>
    <d v="2025-02-05T00:00:00"/>
    <x v="78"/>
    <s v="PedidoF889"/>
    <s v="CódRastreio887"/>
    <n v="1"/>
    <s v="CPF 884"/>
    <s v="Nome 884"/>
    <s v="Tel 884"/>
    <s v="Cep 884"/>
    <s v="Rua 884"/>
    <s v="Comp 884"/>
    <s v="Kit Forma de Gelo c/ Tampa 4 un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x v="82"/>
    <x v="85"/>
    <x v="19"/>
    <d v="2025-03-17T00:00:00"/>
    <x v="4"/>
    <x v="0"/>
    <x v="5"/>
    <s v="ENTREGUE"/>
    <d v="2025-02-27T00:00:00"/>
    <x v="0"/>
    <m/>
    <n v="0"/>
    <n v="0"/>
    <n v="0"/>
    <n v="0"/>
    <n v="0"/>
  </r>
  <r>
    <x v="2"/>
    <s v="MEI45694"/>
    <s v="Pedido 911"/>
    <d v="2025-02-05T00:00:00"/>
    <x v="78"/>
    <s v="PedidoF890"/>
    <s v="CódRastreio888"/>
    <n v="1"/>
    <s v="CPF 885"/>
    <s v="Nome 885"/>
    <s v="Tel 885"/>
    <s v="Cep 885"/>
    <s v="Rua 885"/>
    <s v="Comp 885"/>
    <s v="Kit Forma de Gelo c/ Tampa 4 un"/>
    <s v="MZ-PGT3-IKGF"/>
    <d v="2025-03-14T00:00:00"/>
    <n v="34.99"/>
    <n v="34.99"/>
    <n v="4.1988000000000003"/>
    <n v="30.79"/>
    <n v="30.4"/>
    <n v="0.2"/>
    <n v="0.39877104377104378"/>
    <n v="0"/>
    <n v="-0.20877104377104416"/>
    <n v="-0.10438552188552208"/>
    <x v="85"/>
    <x v="88"/>
    <x v="20"/>
    <d v="2025-04-02T00:00:00"/>
    <x v="4"/>
    <x v="0"/>
    <x v="5"/>
    <s v="ENTREGUE"/>
    <d v="2025-02-21T00:00:00"/>
    <x v="0"/>
    <m/>
    <n v="0"/>
    <n v="0"/>
    <n v="0"/>
    <n v="0"/>
    <n v="0"/>
  </r>
  <r>
    <x v="2"/>
    <s v="MEI45694"/>
    <s v="Pedido 912"/>
    <d v="2025-02-05T00:00:00"/>
    <x v="78"/>
    <s v="PedidoF891"/>
    <s v="CódRastreio889"/>
    <n v="1"/>
    <s v="CPF 886"/>
    <s v="Nome 886"/>
    <s v="Tel 886"/>
    <s v="Cep 886"/>
    <s v="Rua 886"/>
    <s v="Comp 886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17T00:00:00"/>
    <x v="0"/>
    <m/>
    <n v="0"/>
    <n v="0"/>
    <n v="0"/>
    <n v="0"/>
    <n v="0"/>
  </r>
  <r>
    <x v="2"/>
    <s v="MEI45694"/>
    <s v="Pedido 913"/>
    <d v="2025-02-06T00:00:00"/>
    <x v="78"/>
    <s v="PedidoF892"/>
    <s v="CódRastreio890"/>
    <n v="1"/>
    <s v="CPF 887"/>
    <s v="Nome 887"/>
    <s v="Tel 887"/>
    <s v="Cep 887"/>
    <s v="Rua 887"/>
    <s v="Comp 887"/>
    <s v="Kit Forma de Gelo c/ Tampa 4 un"/>
    <s v="MZ-PGT3-IKGF"/>
    <d v="2025-03-14T00:00:00"/>
    <n v="34.99"/>
    <n v="34.99"/>
    <n v="4.1988000000000003"/>
    <n v="30.79"/>
    <n v="30.4"/>
    <n v="0.2"/>
    <n v="0.39877104377104378"/>
    <n v="0"/>
    <n v="-0.20877104377104416"/>
    <n v="-0.10438552188552208"/>
    <x v="85"/>
    <x v="88"/>
    <x v="20"/>
    <d v="2025-04-02T00:00:00"/>
    <x v="4"/>
    <x v="0"/>
    <x v="5"/>
    <s v="ENTREGUE"/>
    <d v="2025-03-13T00:00:00"/>
    <x v="0"/>
    <m/>
    <n v="0"/>
    <n v="0"/>
    <n v="0"/>
    <n v="0"/>
    <n v="0"/>
  </r>
  <r>
    <x v="2"/>
    <s v="MEI45694"/>
    <s v="Pedido 914"/>
    <d v="2025-02-06T00:00:00"/>
    <x v="78"/>
    <s v="PedidoF893"/>
    <s v="CódRastreio891"/>
    <n v="1"/>
    <s v="CPF 888"/>
    <s v="Nome 888"/>
    <s v="Tel 888"/>
    <s v="Cep 888"/>
    <s v="Rua 888"/>
    <s v="Comp 888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17T00:00:00"/>
    <x v="0"/>
    <m/>
    <n v="0"/>
    <n v="0"/>
    <n v="0"/>
    <n v="0"/>
    <n v="0"/>
  </r>
  <r>
    <x v="2"/>
    <s v="MEI45694"/>
    <s v="Pedido 915"/>
    <d v="2025-02-06T00:00:00"/>
    <x v="78"/>
    <s v="PedidoF894"/>
    <s v="CódRastreio892"/>
    <n v="1"/>
    <s v="CPF 889"/>
    <s v="Nome 889"/>
    <s v="Tel 889"/>
    <s v="Cep 889"/>
    <s v="Rua 889"/>
    <s v="Comp 889"/>
    <s v="Kit Forma de Gelo c/ Tampa 4 un"/>
    <s v="MZ-PGT3-IKGF"/>
    <d v="2025-03-07T00:00:00"/>
    <n v="34.99"/>
    <n v="34.99"/>
    <n v="4.1988000000000003"/>
    <n v="30.79"/>
    <n v="0"/>
    <n v="0.2"/>
    <n v="0.39877104377104378"/>
    <n v="0"/>
    <n v="30.191228956228954"/>
    <n v="15.095614478114477"/>
    <x v="82"/>
    <x v="85"/>
    <x v="19"/>
    <d v="2025-03-17T00:00:00"/>
    <x v="4"/>
    <x v="0"/>
    <x v="5"/>
    <s v="ENTREGUE"/>
    <d v="2025-02-27T09:26:37"/>
    <x v="0"/>
    <m/>
    <n v="0"/>
    <n v="0"/>
    <n v="0"/>
    <n v="0"/>
    <n v="0"/>
  </r>
  <r>
    <x v="2"/>
    <s v="MEI45694"/>
    <s v="Pedido 916"/>
    <d v="2025-02-06T00:00:00"/>
    <x v="78"/>
    <s v="PedidoF895"/>
    <s v="CódRastreio893"/>
    <n v="1"/>
    <s v="CPF 890"/>
    <s v="Nome 890"/>
    <s v="Tel 890"/>
    <s v="Cep 890"/>
    <s v="Rua 890"/>
    <s v="Comp 890"/>
    <s v="Kit Forma de Gelo c/ Tampa 4 un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x v="82"/>
    <x v="85"/>
    <x v="19"/>
    <d v="2025-03-17T00:00:00"/>
    <x v="4"/>
    <x v="0"/>
    <x v="5"/>
    <s v="ENTREGUE"/>
    <d v="2025-02-20T00:00:00"/>
    <x v="0"/>
    <m/>
    <n v="0"/>
    <n v="0"/>
    <n v="0"/>
    <n v="0"/>
    <n v="0"/>
  </r>
  <r>
    <x v="2"/>
    <s v="MEI45694"/>
    <s v="Pedido 917"/>
    <d v="2025-02-06T00:00:00"/>
    <x v="78"/>
    <s v="PedidoF896"/>
    <s v="CódRastreio894"/>
    <n v="1"/>
    <s v="CPF 891"/>
    <s v="Nome 891"/>
    <s v="Tel 891"/>
    <s v="Cep 891"/>
    <s v="Rua 891"/>
    <s v="Comp 891"/>
    <s v="Kit Forma de Gelo c/ Tampa 4 un"/>
    <s v="MZ-PGT3-IKGF"/>
    <d v="2025-03-07T00:00:00"/>
    <n v="34.99"/>
    <n v="34.99"/>
    <n v="4.1988000000000003"/>
    <n v="30.79"/>
    <n v="30.4"/>
    <n v="0.2"/>
    <n v="0.39877104377104378"/>
    <n v="0"/>
    <n v="-0.20877104377104416"/>
    <n v="-0.10438552188552208"/>
    <x v="82"/>
    <x v="85"/>
    <x v="19"/>
    <d v="2025-03-17T00:00:00"/>
    <x v="4"/>
    <x v="0"/>
    <x v="5"/>
    <s v="ENTREGUE"/>
    <d v="2025-02-17T00:00:00"/>
    <x v="0"/>
    <m/>
    <n v="0"/>
    <n v="0"/>
    <n v="0"/>
    <n v="0"/>
    <n v="0"/>
  </r>
  <r>
    <x v="2"/>
    <s v="MEI45694"/>
    <s v="Pedido 918"/>
    <d v="2025-02-06T00:00:00"/>
    <x v="78"/>
    <s v="PedidoF897"/>
    <s v="CódRastreio895"/>
    <n v="1"/>
    <s v="CPF 892"/>
    <s v="Nome 892"/>
    <s v="Tel 892"/>
    <s v="Cep 892"/>
    <s v="Rua 892"/>
    <s v="Comp 892"/>
    <s v="Kit Forma de Gelo c/ Tampa 4 un"/>
    <s v="MZ-PGT3-IKGF"/>
    <d v="2025-02-26T00:00:00"/>
    <n v="34.99"/>
    <n v="34.99"/>
    <n v="4.1988000000000003"/>
    <n v="30.79"/>
    <n v="30.4"/>
    <n v="0.2"/>
    <n v="0.39877104377104378"/>
    <n v="0"/>
    <n v="-0.20877104377104416"/>
    <n v="-0.10438552188552208"/>
    <x v="83"/>
    <x v="86"/>
    <x v="19"/>
    <d v="2025-03-17T00:00:00"/>
    <x v="4"/>
    <x v="0"/>
    <x v="5"/>
    <s v="ENTREGUE"/>
    <d v="2025-02-18T00:00:00"/>
    <x v="0"/>
    <m/>
    <n v="0"/>
    <n v="0"/>
    <n v="0"/>
    <n v="0"/>
    <n v="0"/>
  </r>
  <r>
    <x v="2"/>
    <s v="MEI45694"/>
    <s v="Pedido 919"/>
    <d v="2025-02-06T00:00:00"/>
    <x v="78"/>
    <s v="PedidoF898"/>
    <s v="CódRastreio896"/>
    <n v="1"/>
    <s v="CPF 893"/>
    <s v="Nome 893"/>
    <s v="Tel 893"/>
    <s v="Cep 893"/>
    <s v="Rua 893"/>
    <s v="Comp 893"/>
    <s v="Kit Forma de Gelo c/ Tampa 4 un"/>
    <s v="MZ-PGT3-IKGF"/>
    <d v="2025-02-27T00:00:00"/>
    <n v="65.989999999999995"/>
    <n v="65.989999999999995"/>
    <n v="7.9187999999999992"/>
    <n v="58.07"/>
    <n v="30.4"/>
    <n v="0.2"/>
    <n v="0.39877104377104378"/>
    <n v="0"/>
    <n v="27.071228956228957"/>
    <n v="13.535614478114478"/>
    <x v="79"/>
    <x v="82"/>
    <x v="19"/>
    <d v="2025-03-17T00:00:00"/>
    <x v="4"/>
    <x v="0"/>
    <x v="5"/>
    <s v="ENTREGUE"/>
    <d v="2025-02-13T00:00:00"/>
    <x v="0"/>
    <m/>
    <n v="0"/>
    <n v="0"/>
    <n v="0"/>
    <n v="0"/>
    <n v="0"/>
  </r>
  <r>
    <x v="2"/>
    <s v="MEI45694"/>
    <s v="Pedido 920"/>
    <d v="2025-02-06T00:00:00"/>
    <x v="78"/>
    <s v="PedidoF899"/>
    <s v="CódRastreio897"/>
    <n v="1"/>
    <s v="CPF 894"/>
    <s v="Nome 894"/>
    <s v="Tel 894"/>
    <s v="Cep 894"/>
    <s v="Rua 894"/>
    <s v="Comp 894"/>
    <s v="Kit Forma de Gelo c/ Tampa 4 un"/>
    <s v="MZ-PGT3-IKGF"/>
    <d v="2025-02-27T00:00:00"/>
    <n v="65.989999999999995"/>
    <n v="65.989999999999995"/>
    <n v="7.9187999999999992"/>
    <n v="58.07"/>
    <n v="30.4"/>
    <n v="0.2"/>
    <n v="0.39877104377104378"/>
    <n v="0"/>
    <n v="27.071228956228957"/>
    <n v="13.535614478114478"/>
    <x v="79"/>
    <x v="82"/>
    <x v="19"/>
    <d v="2025-03-17T00:00:00"/>
    <x v="4"/>
    <x v="0"/>
    <x v="5"/>
    <s v="ENTREGUE"/>
    <d v="2025-02-20T00:00:00"/>
    <x v="0"/>
    <m/>
    <n v="0"/>
    <n v="0"/>
    <n v="0"/>
    <n v="0"/>
    <n v="0"/>
  </r>
  <r>
    <x v="0"/>
    <s v="BV45695"/>
    <s v="Pedido 921"/>
    <d v="2025-02-07T00:00:00"/>
    <x v="75"/>
    <s v="PedidoF900"/>
    <s v="CódRastreio898"/>
    <n v="1"/>
    <s v="CPF 895"/>
    <s v="Nome 895"/>
    <s v="Tel 895"/>
    <s v="Cep 895"/>
    <s v="Rua 895"/>
    <s v="Comp 895"/>
    <s v="Suporte de Celular Branco"/>
    <s v="16-4EDB-WMZF"/>
    <d v="2025-02-27T00:00:00"/>
    <n v="19.600000000000001"/>
    <n v="19.600000000000001"/>
    <n v="2.94"/>
    <n v="16.66"/>
    <n v="6.99"/>
    <n v="0.2"/>
    <n v="0.39877104377104378"/>
    <n v="0"/>
    <n v="9.071228956228957"/>
    <n v="4.5356144781144785"/>
    <x v="79"/>
    <x v="82"/>
    <x v="19"/>
    <d v="2025-03-17T00:00:00"/>
    <x v="4"/>
    <x v="0"/>
    <x v="5"/>
    <s v="ENTREGUE"/>
    <d v="2025-02-13T00:00:00"/>
    <x v="0"/>
    <m/>
    <n v="0"/>
    <n v="0"/>
    <n v="0"/>
    <n v="0"/>
    <n v="0"/>
  </r>
  <r>
    <x v="0"/>
    <s v="BV45695"/>
    <s v="Pedido 922"/>
    <d v="2025-02-07T00:00:00"/>
    <x v="75"/>
    <s v="PedidoF901"/>
    <s v="CódRastreio899"/>
    <n v="1"/>
    <s v="CPF 896"/>
    <s v="Nome 896"/>
    <s v="Tel 896"/>
    <s v="Cep 896"/>
    <s v="Rua 896"/>
    <s v="Comp 896"/>
    <s v="Ventilador Rosa"/>
    <s v="IF-G2ZQ-79FO"/>
    <d v="2025-02-27T00:00:00"/>
    <n v="52.7"/>
    <n v="52.7"/>
    <n v="6.8510000000000009"/>
    <n v="45.85"/>
    <n v="16.16"/>
    <n v="0.2"/>
    <n v="0.39877104377104378"/>
    <n v="0"/>
    <n v="29.091228956228957"/>
    <n v="14.545614478114478"/>
    <x v="79"/>
    <x v="82"/>
    <x v="19"/>
    <d v="2025-03-17T00:00:00"/>
    <x v="4"/>
    <x v="0"/>
    <x v="5"/>
    <s v="ENTREGUE"/>
    <d v="2025-02-20T00:00:00"/>
    <x v="0"/>
    <m/>
    <n v="0"/>
    <n v="0"/>
    <n v="0"/>
    <n v="0"/>
    <n v="0"/>
  </r>
  <r>
    <x v="0"/>
    <s v="BV45695"/>
    <s v="Pedido 923"/>
    <d v="2025-02-07T00:00:00"/>
    <x v="75"/>
    <s v="PedidoF902"/>
    <s v="CódRastreio900"/>
    <n v="1"/>
    <s v="CPF 897"/>
    <s v="Nome 897"/>
    <s v="Tel 897"/>
    <s v="Cep 897"/>
    <s v="Rua 897"/>
    <s v="Comp 897"/>
    <s v="Ventilador Rosa"/>
    <s v="IF-G2ZQ-79FO"/>
    <d v="2025-02-28T00:00:00"/>
    <n v="52.7"/>
    <n v="52.7"/>
    <n v="6.8510000000000009"/>
    <n v="45.85"/>
    <n v="16.16"/>
    <n v="0.2"/>
    <n v="0.39877104377104378"/>
    <n v="0"/>
    <n v="29.091228956228957"/>
    <n v="14.545614478114478"/>
    <x v="76"/>
    <x v="79"/>
    <x v="19"/>
    <d v="2025-03-17T00:00:00"/>
    <x v="4"/>
    <x v="0"/>
    <x v="5"/>
    <s v="ENTREGUE"/>
    <d v="2025-02-18T00:00:00"/>
    <x v="0"/>
    <m/>
    <n v="0"/>
    <n v="0"/>
    <n v="0"/>
    <n v="0"/>
    <n v="0"/>
  </r>
  <r>
    <x v="0"/>
    <s v="BV45695"/>
    <s v="Pedido 924"/>
    <d v="2025-02-07T00:00:00"/>
    <x v="75"/>
    <s v="PedidoF903"/>
    <s v="CódRastreio901"/>
    <n v="1"/>
    <s v="CPF 898"/>
    <s v="Nome 898"/>
    <s v="Tel 898"/>
    <s v="Cep 898"/>
    <s v="Rua 898"/>
    <s v="Comp 898"/>
    <s v="Mini Liquidificador"/>
    <s v="CK-YL6M-P5Y6"/>
    <d v="2025-02-28T00:00:00"/>
    <n v="33.99"/>
    <n v="33.99"/>
    <n v="4.7586000000000004"/>
    <n v="29.23"/>
    <n v="14.99"/>
    <n v="0.2"/>
    <n v="0.39877104377104378"/>
    <n v="0"/>
    <n v="13.641228956228957"/>
    <n v="6.8206144781144786"/>
    <x v="76"/>
    <x v="79"/>
    <x v="19"/>
    <d v="2025-03-17T00:00:00"/>
    <x v="4"/>
    <x v="0"/>
    <x v="5"/>
    <s v="ENTREGUE"/>
    <d v="2025-02-24T00:00:00"/>
    <x v="0"/>
    <m/>
    <n v="0"/>
    <n v="0"/>
    <n v="0"/>
    <n v="0"/>
    <n v="0"/>
  </r>
  <r>
    <x v="0"/>
    <s v="BV45695"/>
    <s v="Pedido 925"/>
    <d v="2025-02-07T00:00:00"/>
    <x v="75"/>
    <s v="PedidoF904"/>
    <s v="CódRastreio902"/>
    <n v="1"/>
    <s v="CPF 899"/>
    <s v="Nome 899"/>
    <s v="Tel 899"/>
    <s v="Cep 899"/>
    <s v="Rua 899"/>
    <s v="Comp 899"/>
    <s v="Ventilador Rosa"/>
    <s v="IF-G2ZQ-79FO"/>
    <d v="2025-02-28T00:00:00"/>
    <n v="52.7"/>
    <n v="52.7"/>
    <n v="6.8510000000000009"/>
    <n v="45.85"/>
    <n v="16.16"/>
    <n v="0.2"/>
    <n v="0.39877104377104378"/>
    <n v="0"/>
    <n v="29.091228956228957"/>
    <n v="14.545614478114478"/>
    <x v="76"/>
    <x v="79"/>
    <x v="19"/>
    <d v="2025-03-17T00:00:00"/>
    <x v="4"/>
    <x v="0"/>
    <x v="5"/>
    <s v="ENTREGUE"/>
    <d v="2025-02-20T00:00:00"/>
    <x v="0"/>
    <m/>
    <n v="0"/>
    <n v="0"/>
    <n v="0"/>
    <n v="0"/>
    <n v="0"/>
  </r>
  <r>
    <x v="2"/>
    <s v="MEI45695"/>
    <s v="Pedido 926"/>
    <d v="2025-02-07T00:00:00"/>
    <x v="75"/>
    <s v="PedidoF905"/>
    <s v="CódRastreio903"/>
    <n v="1"/>
    <s v="CPF 900"/>
    <s v="Nome 900"/>
    <s v="Tel 900"/>
    <s v="Cep 900"/>
    <s v="Rua 900"/>
    <s v="Comp 900"/>
    <s v="Mini Liquidificador"/>
    <s v="A4-5W51-K3HF"/>
    <d v="2025-02-22T00:00:00"/>
    <n v="32.99"/>
    <n v="32.99"/>
    <n v="4.6186000000000007"/>
    <n v="28.37"/>
    <n v="14.99"/>
    <n v="0.2"/>
    <n v="0.39877104377104378"/>
    <n v="0"/>
    <n v="12.781228956228958"/>
    <n v="6.3906144781144789"/>
    <x v="80"/>
    <x v="83"/>
    <x v="19"/>
    <d v="2025-03-17T00:00:00"/>
    <x v="4"/>
    <x v="0"/>
    <x v="5"/>
    <s v="ENTREGUE"/>
    <d v="2025-02-13T00:00:00"/>
    <x v="0"/>
    <m/>
    <n v="0"/>
    <n v="0"/>
    <n v="0"/>
    <n v="0"/>
    <n v="0"/>
  </r>
  <r>
    <x v="2"/>
    <s v="MEI45695"/>
    <s v="Pedido 927"/>
    <d v="2025-02-08T00:00:00"/>
    <x v="75"/>
    <s v="PedidoF906"/>
    <s v="CódRastreio904"/>
    <n v="1"/>
    <s v="CPF 901"/>
    <s v="Nome 901"/>
    <s v="Tel 901"/>
    <s v="Cep 901"/>
    <s v="Rua 901"/>
    <s v="Comp 901"/>
    <s v="Mini Liquidificador"/>
    <s v="A4-5W51-K3HF"/>
    <d v="2025-02-28T00:00:00"/>
    <n v="32.99"/>
    <n v="32.99"/>
    <n v="4.6186000000000007"/>
    <n v="28.37"/>
    <n v="14.99"/>
    <n v="0.2"/>
    <n v="0.39877104377104378"/>
    <n v="0"/>
    <n v="12.781228956228958"/>
    <n v="6.3906144781144789"/>
    <x v="76"/>
    <x v="79"/>
    <x v="19"/>
    <d v="2025-03-17T00:00:00"/>
    <x v="4"/>
    <x v="0"/>
    <x v="5"/>
    <s v="ENTREGUE"/>
    <d v="2025-02-14T00:00:00"/>
    <x v="0"/>
    <m/>
    <n v="0"/>
    <n v="0"/>
    <n v="0"/>
    <n v="0"/>
    <n v="0"/>
  </r>
  <r>
    <x v="0"/>
    <s v="BV45697"/>
    <s v="Pedido 928"/>
    <d v="2025-02-08T00:00:00"/>
    <x v="79"/>
    <s v="PedidoF907"/>
    <s v="CódRastreio905"/>
    <n v="1"/>
    <s v="CPF 902"/>
    <s v="Nome 902"/>
    <s v="Tel 902"/>
    <s v="Cep 902"/>
    <s v="Rua 902"/>
    <s v="Comp 902"/>
    <s v="Suporte de Celular Branco"/>
    <s v="16-4EDB-WMZF"/>
    <d v="2025-02-26T00:00:00"/>
    <n v="24.99"/>
    <n v="24.99"/>
    <n v="3.7484999999999995"/>
    <n v="21.24"/>
    <n v="6.99"/>
    <n v="0.26"/>
    <n v="0.39877104377104378"/>
    <n v="0"/>
    <n v="13.591228956228955"/>
    <n v="6.7956144781144774"/>
    <x v="83"/>
    <x v="86"/>
    <x v="19"/>
    <d v="2025-03-17T00:00:00"/>
    <x v="4"/>
    <x v="0"/>
    <x v="5"/>
    <s v="ENTREGUE"/>
    <d v="2025-02-17T00:00:00"/>
    <x v="0"/>
    <m/>
    <n v="0"/>
    <n v="0"/>
    <n v="0"/>
    <n v="0"/>
    <n v="0"/>
  </r>
  <r>
    <x v="0"/>
    <s v="BV45697"/>
    <s v="Pedido 929"/>
    <d v="2025-02-08T00:00:00"/>
    <x v="79"/>
    <s v="PedidoF908"/>
    <s v="CódRastreio906"/>
    <n v="1"/>
    <s v="CPF 903"/>
    <s v="Nome 903"/>
    <s v="Tel 903"/>
    <s v="Cep 903"/>
    <s v="Rua 903"/>
    <s v="Comp 903"/>
    <s v="Ventilador Azul"/>
    <s v="U8-2VWS-OB6M"/>
    <d v="2025-02-28T00:00:00"/>
    <n v="61.99"/>
    <n v="61.99"/>
    <n v="8.0587"/>
    <n v="53.93"/>
    <n v="0"/>
    <n v="0.26"/>
    <n v="0.39877104377104378"/>
    <n v="0"/>
    <n v="53.271228956228953"/>
    <n v="26.635614478114476"/>
    <x v="76"/>
    <x v="79"/>
    <x v="19"/>
    <d v="2025-03-17T00:00:00"/>
    <x v="4"/>
    <x v="0"/>
    <x v="5"/>
    <s v="ENTREGUE"/>
    <d v="2025-02-18T00:00:00"/>
    <x v="0"/>
    <m/>
    <n v="0"/>
    <n v="0"/>
    <n v="0"/>
    <n v="0"/>
    <n v="0"/>
  </r>
  <r>
    <x v="0"/>
    <s v="BV45697"/>
    <s v="Pedido 930"/>
    <d v="2025-02-08T00:00:00"/>
    <x v="79"/>
    <s v="PedidoF909"/>
    <s v="CódRastreio907"/>
    <n v="1"/>
    <s v="CPF 904"/>
    <s v="Nome 904"/>
    <s v="Tel 904"/>
    <s v="Cep 904"/>
    <s v="Rua 904"/>
    <s v="Comp 904"/>
    <s v="Ventilador Preto"/>
    <s v="MU-J80P-95WF"/>
    <d v="2025-02-28T00:00:00"/>
    <n v="66.989999999999995"/>
    <n v="66.989999999999995"/>
    <n v="8.7087000000000003"/>
    <n v="58.28"/>
    <n v="16.260000000000002"/>
    <n v="0.26"/>
    <n v="0.39877104377104378"/>
    <n v="0"/>
    <n v="41.361228956228956"/>
    <n v="20.680614478114478"/>
    <x v="76"/>
    <x v="79"/>
    <x v="19"/>
    <d v="2025-03-17T00:00:00"/>
    <x v="4"/>
    <x v="0"/>
    <x v="5"/>
    <s v="ENTREGUE"/>
    <d v="2025-02-21T00:00:00"/>
    <x v="0"/>
    <m/>
    <n v="0"/>
    <n v="0"/>
    <n v="0"/>
    <n v="0"/>
    <n v="0"/>
  </r>
  <r>
    <x v="0"/>
    <s v="BV45697"/>
    <s v="Pedido 931"/>
    <d v="2025-02-09T00:00:00"/>
    <x v="79"/>
    <s v="PedidoF910"/>
    <s v="CódRastreio908"/>
    <n v="1"/>
    <s v="CPF 905"/>
    <s v="Nome 905"/>
    <s v="Tel 905"/>
    <s v="Cep 905"/>
    <s v="Rua 905"/>
    <s v="Comp 905"/>
    <s v="Adaptador Bluetooph"/>
    <s v="YA-AG3H-SPUK"/>
    <d v="2025-02-22T00:00:00"/>
    <n v="19.989999999999998"/>
    <n v="19.989999999999998"/>
    <n v="2.3987999999999996"/>
    <n v="17.59"/>
    <n v="6.99"/>
    <n v="0.26"/>
    <n v="0.39877104377104378"/>
    <n v="0"/>
    <n v="9.9412289562289562"/>
    <n v="4.9706144781144781"/>
    <x v="80"/>
    <x v="83"/>
    <x v="19"/>
    <d v="2025-03-17T00:00:00"/>
    <x v="4"/>
    <x v="0"/>
    <x v="5"/>
    <s v="ENTREGUE"/>
    <d v="2025-02-14T00:00:00"/>
    <x v="0"/>
    <m/>
    <n v="0"/>
    <n v="0"/>
    <n v="0"/>
    <n v="0"/>
    <n v="0"/>
  </r>
  <r>
    <x v="0"/>
    <s v="BV45698"/>
    <s v="Pedido 932"/>
    <d v="2025-02-09T00:00:00"/>
    <x v="80"/>
    <s v="PedidoF911"/>
    <s v="CódRastreio909"/>
    <n v="1"/>
    <s v="CPF 906"/>
    <s v="Nome 906"/>
    <s v="Tel 906"/>
    <s v="Cep 906"/>
    <s v="Rua 906"/>
    <s v="Comp 906"/>
    <s v="Ventilador Azul"/>
    <s v="U8-2VWS-OB6M"/>
    <d v="2025-03-11T00:00:00"/>
    <n v="61.99"/>
    <n v="61.99"/>
    <n v="8.0587"/>
    <n v="53.93"/>
    <n v="16.64"/>
    <n v="0.18"/>
    <n v="0.39877104377104378"/>
    <n v="0"/>
    <n v="36.71122895622895"/>
    <n v="18.355614478114475"/>
    <x v="78"/>
    <x v="81"/>
    <x v="20"/>
    <d v="2025-04-02T00:00:00"/>
    <x v="4"/>
    <x v="0"/>
    <x v="5"/>
    <s v="ENTREGUE"/>
    <d v="2025-02-22T00:00:00"/>
    <x v="0"/>
    <m/>
    <n v="0"/>
    <n v="0"/>
    <n v="0"/>
    <n v="0"/>
    <n v="0"/>
  </r>
  <r>
    <x v="0"/>
    <s v="BV45697"/>
    <s v="Pedido 933"/>
    <d v="2025-02-09T00:00:00"/>
    <x v="79"/>
    <s v="PedidoF912"/>
    <s v="CódRastreio910"/>
    <n v="1"/>
    <s v="CPF 907"/>
    <s v="Nome 907"/>
    <s v="Tel 907"/>
    <s v="Cep 907"/>
    <s v="Rua 907"/>
    <s v="Comp 907"/>
    <s v="Ventilador Rosa"/>
    <s v="IF-G2ZQ-79FO"/>
    <d v="2025-02-28T00:00:00"/>
    <n v="55.99"/>
    <n v="55.99"/>
    <n v="7.2787000000000006"/>
    <n v="48.71"/>
    <n v="16.899999999999999"/>
    <n v="0.26"/>
    <n v="0.39877104377104378"/>
    <n v="0"/>
    <n v="31.151228956228955"/>
    <n v="15.575614478114478"/>
    <x v="76"/>
    <x v="79"/>
    <x v="19"/>
    <d v="2025-03-17T00:00:00"/>
    <x v="4"/>
    <x v="0"/>
    <x v="5"/>
    <s v="ENTREGUE"/>
    <d v="2025-02-17T00:00:00"/>
    <x v="0"/>
    <m/>
    <n v="0"/>
    <n v="0"/>
    <n v="0"/>
    <n v="0"/>
    <n v="0"/>
  </r>
  <r>
    <x v="0"/>
    <s v="BV45697"/>
    <s v="Pedido 934"/>
    <d v="2025-02-09T00:00:00"/>
    <x v="79"/>
    <s v="PedidoF913"/>
    <s v="CódRastreio911"/>
    <n v="1"/>
    <s v="CPF 908"/>
    <s v="Nome 908"/>
    <s v="Tel 908"/>
    <s v="Cep 908"/>
    <s v="Rua 908"/>
    <s v="Comp 908"/>
    <s v="Ventilador Rosa"/>
    <s v="IF-G2ZQ-79FO"/>
    <d v="2025-02-28T00:00:00"/>
    <n v="55.99"/>
    <n v="55.99"/>
    <n v="7.2787000000000006"/>
    <n v="48.71"/>
    <n v="16.899999999999999"/>
    <n v="0.26"/>
    <n v="0.39877104377104378"/>
    <n v="0"/>
    <n v="31.151228956228955"/>
    <n v="15.575614478114478"/>
    <x v="76"/>
    <x v="79"/>
    <x v="19"/>
    <d v="2025-03-17T00:00:00"/>
    <x v="4"/>
    <x v="0"/>
    <x v="5"/>
    <s v="ENTREGUE"/>
    <d v="2025-02-17T00:00:00"/>
    <x v="0"/>
    <m/>
    <n v="0"/>
    <n v="0"/>
    <n v="0"/>
    <n v="0"/>
    <n v="0"/>
  </r>
  <r>
    <x v="0"/>
    <s v="BV45697"/>
    <s v="Pedido 935"/>
    <d v="2025-02-10T00:00:00"/>
    <x v="79"/>
    <s v="PedidoF914"/>
    <s v="CódRastreio912"/>
    <n v="1"/>
    <s v="CPF 909"/>
    <s v="Nome 909"/>
    <s v="Tel 909"/>
    <s v="Cep 909"/>
    <s v="Rua 909"/>
    <s v="Comp 909"/>
    <s v="Ventilador Rosa"/>
    <s v="IF-G2ZQ-79FO"/>
    <d v="2025-02-28T00:00:00"/>
    <n v="55.99"/>
    <n v="55.99"/>
    <n v="7.2787000000000006"/>
    <n v="48.71"/>
    <n v="16.899999999999999"/>
    <n v="0.26"/>
    <n v="0.39877104377104378"/>
    <n v="0"/>
    <n v="31.151228956228955"/>
    <n v="15.575614478114478"/>
    <x v="76"/>
    <x v="79"/>
    <x v="19"/>
    <d v="2025-03-17T00:00:00"/>
    <x v="4"/>
    <x v="0"/>
    <x v="5"/>
    <s v="ENTREGUE"/>
    <d v="2025-02-18T00:00:00"/>
    <x v="0"/>
    <m/>
    <n v="0"/>
    <n v="0"/>
    <n v="0"/>
    <n v="0"/>
    <n v="0"/>
  </r>
  <r>
    <x v="0"/>
    <s v="BV45698"/>
    <s v="Pedido 936"/>
    <d v="2025-02-10T00:00:00"/>
    <x v="80"/>
    <s v="PedidoF915"/>
    <s v="CódRastreio913"/>
    <n v="1"/>
    <s v="CPF 910"/>
    <s v="Nome 910"/>
    <s v="Tel 910"/>
    <s v="Cep 910"/>
    <s v="Rua 910"/>
    <s v="Comp 910"/>
    <s v="Ventilador Azul"/>
    <s v="U8-2VWS-OB6M"/>
    <d v="2025-03-18T00:00:00"/>
    <n v="61.99"/>
    <n v="61.99"/>
    <n v="8.0587"/>
    <n v="53.93"/>
    <n v="16.64"/>
    <n v="0.18"/>
    <n v="0.39877104377104378"/>
    <n v="0"/>
    <n v="36.71122895622895"/>
    <n v="18.355614478114475"/>
    <x v="86"/>
    <x v="89"/>
    <x v="20"/>
    <d v="2025-04-02T00:00:00"/>
    <x v="4"/>
    <x v="0"/>
    <x v="5"/>
    <s v="ENTREGUE"/>
    <d v="2025-03-01T00:00:00"/>
    <x v="0"/>
    <m/>
    <n v="0"/>
    <n v="0"/>
    <n v="0"/>
    <n v="0"/>
    <n v="0"/>
  </r>
  <r>
    <x v="1"/>
    <s v="GO45697"/>
    <s v="Pedido 937"/>
    <d v="2025-02-08T00:00:00"/>
    <x v="79"/>
    <s v="PedidoF916"/>
    <s v="CódRastreio914"/>
    <n v="1"/>
    <s v="CPF 856"/>
    <s v="Nome 856"/>
    <s v="Tel 856"/>
    <s v="Cep 856"/>
    <s v="Rua 856"/>
    <s v="Comp 856"/>
    <s v="Ventilador Preto"/>
    <s v="EP-9PIR-BWXH"/>
    <d v="2025-02-28T00:00:00"/>
    <n v="61.99"/>
    <n v="61.99"/>
    <n v="8.0587"/>
    <n v="53.93"/>
    <n v="12.96"/>
    <n v="0.2"/>
    <n v="0.39877104377104378"/>
    <n v="0"/>
    <n v="40.371228956228954"/>
    <n v="40.371228956228954"/>
    <x v="76"/>
    <x v="79"/>
    <x v="19"/>
    <d v="2025-03-17T00:00:00"/>
    <x v="4"/>
    <x v="0"/>
    <x v="5"/>
    <s v="ENTREGUE"/>
    <d v="2025-02-17T00:00:00"/>
    <x v="0"/>
    <m/>
    <n v="0"/>
    <n v="0"/>
    <n v="0"/>
    <n v="0"/>
    <n v="0"/>
  </r>
  <r>
    <x v="1"/>
    <s v="GO45697"/>
    <s v="Pedido 938"/>
    <d v="2025-02-08T00:00:00"/>
    <x v="79"/>
    <s v="PedidoF917"/>
    <s v="CódRastreio915"/>
    <n v="1"/>
    <s v="CPF 912"/>
    <s v="Nome 912"/>
    <s v="Tel 912"/>
    <s v="Cep 912"/>
    <s v="Rua 912"/>
    <s v="Comp 912"/>
    <s v="Ventilador Preto"/>
    <s v="EP-9PIR-BWXH"/>
    <d v="2025-03-18T00:00:00"/>
    <n v="61.99"/>
    <n v="61.99"/>
    <n v="8.0587"/>
    <n v="53.93"/>
    <n v="12.96"/>
    <n v="0.2"/>
    <n v="0.39877104377104378"/>
    <n v="0"/>
    <n v="40.371228956228954"/>
    <n v="40.371228956228954"/>
    <x v="86"/>
    <x v="89"/>
    <x v="20"/>
    <d v="2025-04-02T00:00:00"/>
    <x v="4"/>
    <x v="0"/>
    <x v="5"/>
    <s v="ENTREGUE"/>
    <d v="2025-03-11T00:00:00"/>
    <x v="0"/>
    <m/>
    <n v="0"/>
    <n v="0"/>
    <n v="0"/>
    <n v="0"/>
    <n v="0"/>
  </r>
  <r>
    <x v="1"/>
    <s v="GO45697"/>
    <s v="Pedido 939"/>
    <d v="2025-02-08T00:00:00"/>
    <x v="79"/>
    <s v="PedidoF918"/>
    <s v="CódRastreio916"/>
    <n v="1"/>
    <s v="CPF 913"/>
    <s v="Nome 913"/>
    <s v="Tel 913"/>
    <s v="Cep 913"/>
    <s v="Rua 913"/>
    <s v="Comp 913"/>
    <s v="Ventilador Preto"/>
    <s v="EP-9PIR-BWXH"/>
    <d v="2025-02-28T00:00:00"/>
    <n v="61.99"/>
    <n v="61.99"/>
    <n v="8.0587"/>
    <n v="53.93"/>
    <n v="12.96"/>
    <n v="0.2"/>
    <n v="0.39877104377104378"/>
    <n v="0"/>
    <n v="40.371228956228954"/>
    <n v="40.371228956228954"/>
    <x v="76"/>
    <x v="79"/>
    <x v="19"/>
    <d v="2025-03-17T00:00:00"/>
    <x v="4"/>
    <x v="0"/>
    <x v="5"/>
    <s v="ENTREGUE"/>
    <d v="2025-02-17T00:00:00"/>
    <x v="0"/>
    <m/>
    <n v="0"/>
    <n v="0"/>
    <n v="0"/>
    <n v="0"/>
    <n v="0"/>
  </r>
  <r>
    <x v="1"/>
    <s v="GO45697"/>
    <s v="Pedido 940"/>
    <d v="2025-02-08T00:00:00"/>
    <x v="79"/>
    <s v="PedidoF919"/>
    <s v="CódRastreio917"/>
    <n v="1"/>
    <s v="CPF 914"/>
    <s v="Nome 914"/>
    <s v="Tel 914"/>
    <s v="Cep 914"/>
    <s v="Rua 914"/>
    <s v="Comp 914"/>
    <s v="Ventilador Preto"/>
    <s v="EP-9PIR-BWXH"/>
    <d v="2025-03-18T00:00:00"/>
    <n v="61.99"/>
    <n v="61.99"/>
    <n v="8.0587"/>
    <n v="53.93"/>
    <n v="16.760000000000002"/>
    <n v="0.2"/>
    <n v="0.39877104377104378"/>
    <n v="0"/>
    <n v="36.57122895622895"/>
    <n v="36.57122895622895"/>
    <x v="86"/>
    <x v="89"/>
    <x v="20"/>
    <d v="2025-04-02T00:00:00"/>
    <x v="4"/>
    <x v="0"/>
    <x v="5"/>
    <s v="ENTREGUE"/>
    <d v="2025-02-24T00:00:00"/>
    <x v="0"/>
    <m/>
    <n v="0"/>
    <n v="0"/>
    <n v="0"/>
    <n v="0"/>
    <n v="0"/>
  </r>
  <r>
    <x v="1"/>
    <s v="GO45697"/>
    <s v="Pedido 941"/>
    <d v="2025-02-08T00:00:00"/>
    <x v="79"/>
    <s v="PedidoF920"/>
    <s v="CódRastreio918"/>
    <n v="1"/>
    <s v="CPF 915"/>
    <s v="Nome 915"/>
    <s v="Tel 915"/>
    <s v="Cep 915"/>
    <s v="Rua 915"/>
    <s v="Comp 915"/>
    <s v="Ventilador Preto"/>
    <s v="EP-9PIR-BWXH"/>
    <d v="2025-03-11T00:00:00"/>
    <n v="61.99"/>
    <n v="61.99"/>
    <n v="8.0587"/>
    <n v="53.93"/>
    <n v="16.760000000000002"/>
    <n v="0.2"/>
    <n v="0.39877104377104378"/>
    <n v="0"/>
    <n v="36.57122895622895"/>
    <n v="36.57122895622895"/>
    <x v="78"/>
    <x v="81"/>
    <x v="20"/>
    <d v="2025-04-02T00:00:00"/>
    <x v="4"/>
    <x v="0"/>
    <x v="5"/>
    <s v="ENTREGUE"/>
    <d v="2025-02-20T00:00:00"/>
    <x v="0"/>
    <m/>
    <n v="0"/>
    <n v="0"/>
    <n v="0"/>
    <n v="0"/>
    <n v="0"/>
  </r>
  <r>
    <x v="1"/>
    <s v="GO45697"/>
    <s v="Pedido 942"/>
    <d v="2025-02-09T00:00:00"/>
    <x v="79"/>
    <s v="PedidoF921"/>
    <s v="CódRastreio919"/>
    <n v="1"/>
    <s v="CPF 916"/>
    <s v="Nome 916"/>
    <s v="Tel 916"/>
    <s v="Cep 916"/>
    <s v="Rua 916"/>
    <s v="Comp 916"/>
    <s v="Ventilador Preto"/>
    <s v="EP-9PIR-BWXH"/>
    <d v="2025-03-11T00:00:00"/>
    <n v="61.99"/>
    <n v="61.99"/>
    <n v="8.0587"/>
    <n v="53.93"/>
    <n v="16.760000000000002"/>
    <n v="0.2"/>
    <n v="0.39877104377104378"/>
    <n v="0"/>
    <n v="36.57122895622895"/>
    <n v="36.57122895622895"/>
    <x v="78"/>
    <x v="81"/>
    <x v="20"/>
    <d v="2025-04-02T00:00:00"/>
    <x v="4"/>
    <x v="0"/>
    <x v="5"/>
    <s v="ENTREGUE"/>
    <d v="2025-02-24T00:00:00"/>
    <x v="0"/>
    <m/>
    <n v="0"/>
    <n v="0"/>
    <n v="0"/>
    <n v="0"/>
    <n v="0"/>
  </r>
  <r>
    <x v="1"/>
    <s v="GO45697"/>
    <s v="Pedido 943"/>
    <d v="2025-02-09T00:00:00"/>
    <x v="79"/>
    <s v="PedidoF922"/>
    <s v="CódRastreio920"/>
    <n v="1"/>
    <s v="CPF 917"/>
    <s v="Nome 917"/>
    <s v="Tel 917"/>
    <s v="Cep 917"/>
    <s v="Rua 917"/>
    <s v="Comp 917"/>
    <s v="Ventilador Preto"/>
    <s v="EP-9PIR-BWXH"/>
    <d v="2025-02-28T00:00:00"/>
    <n v="61.99"/>
    <n v="61.99"/>
    <n v="8.0587"/>
    <n v="53.93"/>
    <n v="16.760000000000002"/>
    <n v="0.2"/>
    <n v="0.39877104377104378"/>
    <n v="0"/>
    <n v="36.57122895622895"/>
    <n v="36.57122895622895"/>
    <x v="76"/>
    <x v="79"/>
    <x v="19"/>
    <d v="2025-03-17T00:00:00"/>
    <x v="4"/>
    <x v="0"/>
    <x v="5"/>
    <s v="ENTREGUE"/>
    <d v="2025-02-18T00:00:00"/>
    <x v="0"/>
    <m/>
    <n v="0"/>
    <n v="0"/>
    <n v="0"/>
    <n v="0"/>
    <n v="0"/>
  </r>
  <r>
    <x v="1"/>
    <s v="GO45698"/>
    <s v="Pedido 944"/>
    <d v="2025-02-10T00:00:00"/>
    <x v="80"/>
    <s v="PedidoF923"/>
    <s v="CódRastreio921"/>
    <n v="1"/>
    <s v="CPF 918"/>
    <s v="Nome 918"/>
    <s v="Tel 918"/>
    <s v="Cep 918"/>
    <s v="Rua 918"/>
    <s v="Comp 918"/>
    <s v="Ventilador Preto"/>
    <s v="EP-9PIR-BWXH"/>
    <d v="2025-03-11T00:00:00"/>
    <n v="61.99"/>
    <n v="61.99"/>
    <n v="8.0587"/>
    <n v="53.93"/>
    <n v="16.34"/>
    <n v="0.23"/>
    <n v="0.39877104377104378"/>
    <n v="0"/>
    <n v="36.96122895622895"/>
    <n v="36.96122895622895"/>
    <x v="78"/>
    <x v="81"/>
    <x v="20"/>
    <d v="2025-04-02T00:00:00"/>
    <x v="4"/>
    <x v="0"/>
    <x v="5"/>
    <s v="ENTREGUE"/>
    <d v="2025-03-08T00:00:00"/>
    <x v="0"/>
    <m/>
    <n v="0"/>
    <n v="0"/>
    <n v="0"/>
    <n v="0"/>
    <n v="0"/>
  </r>
  <r>
    <x v="1"/>
    <s v="GO45698"/>
    <s v="Pedido 945"/>
    <d v="2025-02-10T00:00:00"/>
    <x v="80"/>
    <s v="PedidoF924"/>
    <s v="CódRastreio922"/>
    <n v="1"/>
    <s v="CPF 683"/>
    <s v="Nome 683"/>
    <s v="Tel 683"/>
    <s v="Cep 683"/>
    <s v="Rua 683"/>
    <s v="Comp 683"/>
    <s v="Ventilador Preto"/>
    <s v="EP-9PIR-BWXH"/>
    <d v="2025-02-28T00:00:00"/>
    <n v="61.99"/>
    <n v="61.99"/>
    <n v="8.0587"/>
    <n v="53.93"/>
    <n v="16.34"/>
    <n v="0.23"/>
    <n v="0.39877104377104378"/>
    <n v="0"/>
    <n v="36.96122895622895"/>
    <n v="36.96122895622895"/>
    <x v="76"/>
    <x v="79"/>
    <x v="19"/>
    <d v="2025-03-17T00:00:00"/>
    <x v="4"/>
    <x v="0"/>
    <x v="5"/>
    <s v="ENTREGUE"/>
    <d v="2025-02-24T00:00:00"/>
    <x v="0"/>
    <m/>
    <n v="0"/>
    <n v="0"/>
    <n v="0"/>
    <n v="0"/>
    <n v="0"/>
  </r>
  <r>
    <x v="1"/>
    <s v="GO45698"/>
    <s v="Pedido 946"/>
    <d v="2025-02-10T00:00:00"/>
    <x v="80"/>
    <s v="PedidoF925"/>
    <s v="CódRastreio923"/>
    <n v="1"/>
    <s v="CPF 920"/>
    <s v="Nome 920"/>
    <s v="Tel 920"/>
    <s v="Cep 920"/>
    <s v="Rua 920"/>
    <s v="Comp 920"/>
    <s v="Ventilador Preto"/>
    <s v="EP-9PIR-BWXH"/>
    <d v="2025-02-28T00:00:00"/>
    <n v="61.99"/>
    <n v="61.99"/>
    <n v="8.0587"/>
    <n v="53.93"/>
    <n v="16.34"/>
    <n v="0.23"/>
    <n v="0.39877104377104378"/>
    <n v="0"/>
    <n v="36.96122895622895"/>
    <n v="36.96122895622895"/>
    <x v="76"/>
    <x v="79"/>
    <x v="19"/>
    <d v="2025-03-17T00:00:00"/>
    <x v="4"/>
    <x v="0"/>
    <x v="5"/>
    <s v="ENTREGUE"/>
    <d v="2025-02-24T00:00:00"/>
    <x v="0"/>
    <m/>
    <n v="0"/>
    <n v="0"/>
    <n v="0"/>
    <n v="0"/>
    <n v="0"/>
  </r>
  <r>
    <x v="0"/>
    <s v="BV45698"/>
    <s v="Pedido 947"/>
    <d v="2025-02-10T00:00:00"/>
    <x v="80"/>
    <s v="PedidoF926"/>
    <s v="CódRastreio924"/>
    <n v="1"/>
    <s v="CPF 921"/>
    <s v="Nome 921"/>
    <s v="Tel 921"/>
    <s v="Cep 921"/>
    <s v="Rua 921"/>
    <s v="Comp 921"/>
    <s v="Ventilador Rosa"/>
    <s v="IF-G2ZQ-79FO"/>
    <d v="2025-03-01T00:00:00"/>
    <n v="55.99"/>
    <n v="55.99"/>
    <n v="7.2787000000000006"/>
    <n v="48.71"/>
    <n v="16.989999999999998"/>
    <n v="0.18"/>
    <n v="0.39877104377104378"/>
    <n v="0"/>
    <n v="31.141228956228957"/>
    <n v="15.570614478114479"/>
    <x v="81"/>
    <x v="84"/>
    <x v="19"/>
    <d v="2025-03-17T00:00:00"/>
    <x v="4"/>
    <x v="0"/>
    <x v="5"/>
    <s v="ENTREGUE"/>
    <d v="2025-02-22T00:00:00"/>
    <x v="0"/>
    <m/>
    <n v="0"/>
    <n v="0"/>
    <n v="0"/>
    <n v="0"/>
    <n v="0"/>
  </r>
  <r>
    <x v="0"/>
    <s v="BV45698"/>
    <s v="Pedido 948"/>
    <d v="2025-02-10T00:00:00"/>
    <x v="80"/>
    <s v="PedidoF927"/>
    <s v="CódRastreio925"/>
    <n v="1"/>
    <s v="CPF 922"/>
    <s v="Nome 922"/>
    <s v="Tel 922"/>
    <s v="Cep 922"/>
    <s v="Rua 922"/>
    <s v="Comp 922"/>
    <s v="Ventilador Rosa"/>
    <s v="IF-G2ZQ-79FO"/>
    <d v="2025-03-12T00:00:00"/>
    <n v="55.99"/>
    <n v="55.99"/>
    <n v="7.2787000000000006"/>
    <n v="48.71"/>
    <n v="16.989999999999998"/>
    <n v="0.18"/>
    <n v="0.39877104377104378"/>
    <n v="0"/>
    <n v="31.141228956228957"/>
    <n v="15.570614478114479"/>
    <x v="87"/>
    <x v="90"/>
    <x v="20"/>
    <d v="2025-04-02T00:00:00"/>
    <x v="4"/>
    <x v="0"/>
    <x v="5"/>
    <s v="ENTREGUE"/>
    <d v="2025-02-26T00:00:00"/>
    <x v="0"/>
    <m/>
    <n v="0"/>
    <n v="0"/>
    <n v="0"/>
    <n v="0"/>
    <n v="0"/>
  </r>
  <r>
    <x v="0"/>
    <s v="BV45698"/>
    <s v="Pedido 949"/>
    <d v="2025-02-10T00:00:00"/>
    <x v="80"/>
    <s v="PedidoF928"/>
    <s v="CódRastreio926"/>
    <n v="1"/>
    <s v="CPF 923"/>
    <s v="Nome 923"/>
    <s v="Tel 923"/>
    <s v="Cep 923"/>
    <s v="Rua 923"/>
    <s v="Comp 923"/>
    <s v="Ventilador Rosa"/>
    <s v="IF-G2ZQ-79FO"/>
    <d v="2025-03-01T00:00:00"/>
    <n v="55.99"/>
    <n v="55.99"/>
    <n v="7.2787000000000006"/>
    <n v="48.71"/>
    <n v="16.989999999999998"/>
    <n v="0.18"/>
    <n v="0.39877104377104378"/>
    <n v="0"/>
    <n v="31.141228956228957"/>
    <n v="15.570614478114479"/>
    <x v="81"/>
    <x v="84"/>
    <x v="19"/>
    <d v="2025-03-17T00:00:00"/>
    <x v="4"/>
    <x v="0"/>
    <x v="5"/>
    <s v="ENTREGUE"/>
    <d v="2025-03-06T00:00:00"/>
    <x v="0"/>
    <m/>
    <n v="0"/>
    <n v="0"/>
    <n v="0"/>
    <n v="0"/>
    <n v="0"/>
  </r>
  <r>
    <x v="0"/>
    <s v="BV45698"/>
    <s v="Pedido 950"/>
    <d v="2025-02-10T00:00:00"/>
    <x v="80"/>
    <s v="PedidoF929"/>
    <s v="CódRastreio927"/>
    <n v="1"/>
    <s v="CPF 924"/>
    <s v="Nome 924"/>
    <s v="Tel 924"/>
    <s v="Cep 924"/>
    <s v="Rua 924"/>
    <s v="Comp 924"/>
    <s v="Ventilador Azul"/>
    <s v="U8-2VWS-OB6M"/>
    <d v="2025-03-12T00:00:00"/>
    <n v="61.99"/>
    <n v="61.99"/>
    <n v="8.0587"/>
    <n v="53.93"/>
    <n v="16.64"/>
    <n v="0.18"/>
    <n v="0.39877104377104378"/>
    <n v="0"/>
    <n v="36.71122895622895"/>
    <n v="18.355614478114475"/>
    <x v="87"/>
    <x v="90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698"/>
    <s v="Pedido 951"/>
    <d v="2025-02-10T00:00:00"/>
    <x v="80"/>
    <s v="PedidoF930"/>
    <s v="CódRastreio928"/>
    <n v="1"/>
    <s v="CPF 925"/>
    <s v="Nome 925"/>
    <s v="Tel 925"/>
    <s v="Cep 925"/>
    <s v="Rua 925"/>
    <s v="Comp 925"/>
    <s v="Ventilador Azul"/>
    <s v="U8-2VWS-OB6M"/>
    <d v="2025-03-01T00:00:00"/>
    <n v="61.99"/>
    <n v="61.99"/>
    <n v="8.0587"/>
    <n v="53.93"/>
    <n v="16.64"/>
    <n v="0.18"/>
    <n v="0.39877104377104378"/>
    <n v="0"/>
    <n v="36.71122895622895"/>
    <n v="18.355614478114475"/>
    <x v="81"/>
    <x v="84"/>
    <x v="19"/>
    <d v="2025-03-17T00:00:00"/>
    <x v="4"/>
    <x v="0"/>
    <x v="5"/>
    <s v="ENTREGUE"/>
    <d v="2025-02-21T00:00:00"/>
    <x v="0"/>
    <m/>
    <n v="0"/>
    <n v="0"/>
    <n v="0"/>
    <n v="0"/>
    <n v="0"/>
  </r>
  <r>
    <x v="0"/>
    <s v="BV45698"/>
    <s v="Pedido 952"/>
    <d v="2025-02-10T00:00:00"/>
    <x v="80"/>
    <s v="PedidoF931"/>
    <s v="CódRastreio929"/>
    <n v="1"/>
    <s v="CPF 925"/>
    <s v="Nome 925"/>
    <s v="Tel 925"/>
    <s v="Cep 925"/>
    <s v="Rua 925"/>
    <s v="Comp 925"/>
    <s v="Ventilador Azul"/>
    <s v="U8-2VWS-OB6M"/>
    <d v="2025-03-01T00:00:00"/>
    <n v="61.99"/>
    <n v="61.99"/>
    <n v="8.0587"/>
    <n v="53.93"/>
    <n v="16.64"/>
    <n v="0.18"/>
    <n v="0.39877104377104378"/>
    <n v="0"/>
    <n v="36.71122895622895"/>
    <n v="18.355614478114475"/>
    <x v="81"/>
    <x v="84"/>
    <x v="19"/>
    <d v="2025-03-17T00:00:00"/>
    <x v="4"/>
    <x v="0"/>
    <x v="5"/>
    <s v="ENTREGUE"/>
    <d v="2025-02-20T00:00:00"/>
    <x v="0"/>
    <m/>
    <n v="0"/>
    <n v="0"/>
    <n v="0"/>
    <n v="0"/>
    <n v="0"/>
  </r>
  <r>
    <x v="1"/>
    <s v="GO45698"/>
    <s v="Pedido 953"/>
    <d v="2025-02-10T00:00:00"/>
    <x v="80"/>
    <s v="PedidoF932"/>
    <s v="CódRastreio930"/>
    <n v="1"/>
    <s v="CPF 927"/>
    <s v="Nome 927"/>
    <s v="Tel 927"/>
    <s v="Cep 927"/>
    <s v="Rua 927"/>
    <s v="Comp 927"/>
    <s v="Ventilador Preto"/>
    <s v="EP-9PIR-BWXH"/>
    <d v="2025-03-12T00:00:00"/>
    <n v="61.99"/>
    <n v="61.99"/>
    <n v="8.0587"/>
    <n v="53.93"/>
    <n v="16.34"/>
    <n v="0.23"/>
    <n v="0.39877104377104378"/>
    <n v="0"/>
    <n v="36.96122895622895"/>
    <n v="36.96122895622895"/>
    <x v="87"/>
    <x v="90"/>
    <x v="20"/>
    <d v="2025-04-02T00:00:00"/>
    <x v="4"/>
    <x v="0"/>
    <x v="5"/>
    <s v="ENTREGUE"/>
    <d v="2025-02-25T00:00:00"/>
    <x v="0"/>
    <m/>
    <n v="0"/>
    <n v="0"/>
    <n v="0"/>
    <n v="0"/>
    <n v="0"/>
  </r>
  <r>
    <x v="1"/>
    <s v="GO45698"/>
    <s v="Pedido 954"/>
    <d v="2025-02-10T00:00:00"/>
    <x v="80"/>
    <s v="PedidoF933"/>
    <s v="CódRastreio931"/>
    <n v="1"/>
    <s v="CPF 928"/>
    <s v="Nome 928"/>
    <s v="Tel 928"/>
    <s v="Cep 928"/>
    <s v="Rua 928"/>
    <s v="Comp 928"/>
    <s v="Ventilador Preto"/>
    <s v="EP-9PIR-BWXH"/>
    <d v="2025-03-01T00:00:00"/>
    <n v="61.99"/>
    <n v="61.99"/>
    <n v="8.0587"/>
    <n v="53.93"/>
    <n v="16.34"/>
    <n v="0.23"/>
    <n v="0.39877104377104378"/>
    <n v="0"/>
    <n v="36.96122895622895"/>
    <n v="36.96122895622895"/>
    <x v="81"/>
    <x v="84"/>
    <x v="19"/>
    <d v="2025-03-17T00:00:00"/>
    <x v="4"/>
    <x v="0"/>
    <x v="5"/>
    <s v="ENTREGUE"/>
    <d v="2025-03-07T00:00:00"/>
    <x v="0"/>
    <m/>
    <n v="0"/>
    <n v="0"/>
    <n v="0"/>
    <n v="0"/>
    <n v="0"/>
  </r>
  <r>
    <x v="1"/>
    <s v="GO45698"/>
    <s v="Pedido 955"/>
    <d v="2025-02-10T00:00:00"/>
    <x v="80"/>
    <s v="PedidoF934"/>
    <s v="CódRastreio932"/>
    <n v="1"/>
    <s v="CPF 929"/>
    <s v="Nome 929"/>
    <s v="Tel 929"/>
    <s v="Cep 929"/>
    <s v="Rua 929"/>
    <s v="Comp 929"/>
    <s v="Ventilador Preto"/>
    <s v="EP-9PIR-BWXH"/>
    <d v="2025-03-19T00:00:00"/>
    <n v="61.99"/>
    <n v="61.99"/>
    <n v="8.0587"/>
    <n v="53.93"/>
    <n v="18.82"/>
    <n v="0.23"/>
    <n v="0.39877104377104378"/>
    <n v="0"/>
    <n v="34.481228956228954"/>
    <n v="34.481228956228954"/>
    <x v="88"/>
    <x v="91"/>
    <x v="20"/>
    <d v="2025-04-02T00:00:00"/>
    <x v="4"/>
    <x v="0"/>
    <x v="5"/>
    <s v="ENTREGUE"/>
    <d v="2025-02-25T00:00:00"/>
    <x v="0"/>
    <m/>
    <n v="0"/>
    <n v="0"/>
    <n v="0"/>
    <n v="0"/>
    <n v="0"/>
  </r>
  <r>
    <x v="1"/>
    <s v="GO45698"/>
    <s v="Pedido 956"/>
    <d v="2025-02-10T00:00:00"/>
    <x v="80"/>
    <s v="PedidoF935"/>
    <s v="CódRastreio933"/>
    <n v="1"/>
    <s v="CPF 930"/>
    <s v="Nome 930"/>
    <s v="Tel 930"/>
    <s v="Cep 930"/>
    <s v="Rua 930"/>
    <s v="Comp 930"/>
    <s v="Ventilador Preto"/>
    <s v="EP-9PIR-BWXH"/>
    <d v="2025-03-19T00:00:00"/>
    <n v="66.989999999999995"/>
    <n v="66.989999999999995"/>
    <n v="8.7087000000000003"/>
    <n v="58.28"/>
    <n v="18.82"/>
    <n v="0.23"/>
    <n v="0.39877104377104378"/>
    <n v="0"/>
    <n v="38.831228956228955"/>
    <n v="38.831228956228955"/>
    <x v="88"/>
    <x v="91"/>
    <x v="20"/>
    <d v="2025-04-02T00:00:00"/>
    <x v="4"/>
    <x v="0"/>
    <x v="5"/>
    <s v="ENTREGUE"/>
    <d v="2025-03-10T00:00:00"/>
    <x v="0"/>
    <m/>
    <n v="0"/>
    <n v="0"/>
    <n v="0"/>
    <n v="0"/>
    <n v="0"/>
  </r>
  <r>
    <x v="0"/>
    <s v="BV45699"/>
    <s v="Pedido 957"/>
    <d v="2025-02-11T00:00:00"/>
    <x v="81"/>
    <s v="PedidoF936"/>
    <s v="CódRastreio934"/>
    <n v="1"/>
    <s v="CPF 931"/>
    <s v="Nome 931"/>
    <s v="Tel 931"/>
    <s v="Cep 931"/>
    <s v="Rua 931"/>
    <s v="Comp 931"/>
    <s v="Ventilador Rosa"/>
    <s v="IF-G2ZQ-79FO"/>
    <d v="2025-03-07T00:00:00"/>
    <n v="55.99"/>
    <n v="55.99"/>
    <n v="7.2787000000000006"/>
    <n v="48.71"/>
    <n v="16.97"/>
    <n v="0.2"/>
    <n v="0.39877104377104378"/>
    <n v="0"/>
    <n v="31.141228956228957"/>
    <n v="15.570614478114479"/>
    <x v="82"/>
    <x v="85"/>
    <x v="19"/>
    <d v="2025-03-17T00:00:00"/>
    <x v="4"/>
    <x v="0"/>
    <x v="5"/>
    <s v="ENTREGUE"/>
    <d v="2025-03-04T00:00:00"/>
    <x v="0"/>
    <m/>
    <n v="0"/>
    <n v="0"/>
    <n v="0"/>
    <n v="0"/>
    <n v="0"/>
  </r>
  <r>
    <x v="2"/>
    <s v="MEI45699"/>
    <s v="Pedido 958"/>
    <d v="2025-02-11T00:00:00"/>
    <x v="81"/>
    <s v="PedidoF937"/>
    <s v="CódRastreio935"/>
    <n v="1"/>
    <s v="CPF 932"/>
    <s v="Nome 932"/>
    <s v="Tel 932"/>
    <s v="Cep 932"/>
    <s v="Rua 932"/>
    <s v="Comp 932"/>
    <s v="Ventilador Preto"/>
    <s v="WU-SS4J-LFOH"/>
    <d v="2025-03-07T00:00:00"/>
    <n v="61.99"/>
    <n v="61.99"/>
    <n v="8.0587"/>
    <n v="53.93"/>
    <n v="16.829999999999998"/>
    <n v="0.3"/>
    <n v="0.39877104377104378"/>
    <n v="0"/>
    <n v="36.401228956228955"/>
    <n v="18.200614478114478"/>
    <x v="82"/>
    <x v="85"/>
    <x v="19"/>
    <d v="2025-03-17T00:00:00"/>
    <x v="4"/>
    <x v="0"/>
    <x v="5"/>
    <s v="ENTREGUE"/>
    <d v="2025-02-24T00:00:00"/>
    <x v="0"/>
    <m/>
    <n v="0"/>
    <n v="0"/>
    <n v="0"/>
    <n v="0"/>
    <n v="0"/>
  </r>
  <r>
    <x v="2"/>
    <s v="MEI45699"/>
    <s v="Pedido 959"/>
    <d v="2025-02-11T00:00:00"/>
    <x v="81"/>
    <s v="PedidoF938"/>
    <s v="CódRastreio936"/>
    <n v="1"/>
    <s v="CPF 933"/>
    <s v="Nome 933"/>
    <s v="Tel 933"/>
    <s v="Cep 933"/>
    <s v="Rua 933"/>
    <s v="Comp 933"/>
    <s v="Ventilador Preto"/>
    <s v="WU-SS4J-LFOH"/>
    <d v="2025-03-07T00:00:00"/>
    <n v="61.99"/>
    <n v="61.99"/>
    <n v="8.0587"/>
    <n v="53.93"/>
    <n v="16.829999999999998"/>
    <n v="0.3"/>
    <n v="0.39877104377104378"/>
    <n v="0"/>
    <n v="36.401228956228955"/>
    <n v="18.200614478114478"/>
    <x v="82"/>
    <x v="85"/>
    <x v="19"/>
    <d v="2025-03-17T00:00:00"/>
    <x v="4"/>
    <x v="0"/>
    <x v="5"/>
    <s v="ENTREGUE"/>
    <d v="2025-02-24T00:00:00"/>
    <x v="0"/>
    <m/>
    <n v="0"/>
    <n v="0"/>
    <n v="0"/>
    <n v="0"/>
    <n v="0"/>
  </r>
  <r>
    <x v="2"/>
    <s v="MEI45699"/>
    <s v="Pedido 960"/>
    <d v="2025-02-11T00:00:00"/>
    <x v="81"/>
    <s v="PedidoF939"/>
    <s v="CódRastreio937"/>
    <n v="1"/>
    <s v="CPF 934"/>
    <s v="Nome 934"/>
    <s v="Tel 934"/>
    <s v="Cep 934"/>
    <s v="Rua 934"/>
    <s v="Comp 934"/>
    <s v="Mini Liquidificador"/>
    <s v="A4-5W51-K3HF"/>
    <d v="2025-02-26T00:00:00"/>
    <n v="30.99"/>
    <n v="30.99"/>
    <n v="4.3386000000000005"/>
    <n v="26.65"/>
    <n v="14.99"/>
    <n v="0.3"/>
    <n v="0.39877104377104378"/>
    <n v="0"/>
    <n v="10.961228956228954"/>
    <n v="5.480614478114477"/>
    <x v="83"/>
    <x v="86"/>
    <x v="19"/>
    <d v="2025-03-17T00:00:00"/>
    <x v="4"/>
    <x v="0"/>
    <x v="5"/>
    <s v="ENTREGUE"/>
    <d v="2025-02-14T00:00:00"/>
    <x v="0"/>
    <m/>
    <n v="0"/>
    <n v="0"/>
    <n v="0"/>
    <n v="0"/>
    <n v="0"/>
  </r>
  <r>
    <x v="2"/>
    <s v="MEI45699"/>
    <s v="Pedido 961"/>
    <d v="2025-02-11T00:00:00"/>
    <x v="81"/>
    <s v="PedidoF940"/>
    <s v="CódRastreio938"/>
    <n v="1"/>
    <s v="CPF 935"/>
    <s v="Nome 935"/>
    <s v="Tel 935"/>
    <s v="Cep 935"/>
    <s v="Rua 935"/>
    <s v="Comp 935"/>
    <s v="Mini Liquidificador"/>
    <s v="A4-5W51-K3HF"/>
    <d v="2025-02-28T00:00:00"/>
    <n v="30.99"/>
    <n v="30.99"/>
    <n v="4.3386000000000005"/>
    <n v="26.65"/>
    <n v="14.99"/>
    <n v="0.3"/>
    <n v="0.39877104377104378"/>
    <n v="0"/>
    <n v="10.961228956228954"/>
    <n v="5.480614478114477"/>
    <x v="76"/>
    <x v="79"/>
    <x v="19"/>
    <d v="2025-03-17T00:00:00"/>
    <x v="4"/>
    <x v="0"/>
    <x v="5"/>
    <s v="ENTREGUE"/>
    <d v="2025-02-15T00:00:00"/>
    <x v="0"/>
    <m/>
    <n v="0"/>
    <n v="0"/>
    <n v="0"/>
    <n v="0"/>
    <n v="0"/>
  </r>
  <r>
    <x v="2"/>
    <s v="MEI45699"/>
    <s v="Pedido 962"/>
    <d v="2025-02-11T00:00:00"/>
    <x v="81"/>
    <s v="PedidoF941"/>
    <s v="CódRastreio939"/>
    <n v="1"/>
    <s v="CPF 936"/>
    <s v="Nome 936"/>
    <s v="Tel 936"/>
    <s v="Cep 936"/>
    <s v="Rua 936"/>
    <s v="Comp 936"/>
    <s v="Mini Liquidificador"/>
    <s v="A4-5W51-K3HF"/>
    <d v="2025-02-26T00:00:00"/>
    <n v="30.99"/>
    <n v="30.99"/>
    <n v="4.3386000000000005"/>
    <n v="26.65"/>
    <n v="0"/>
    <n v="0.3"/>
    <n v="0.39877104377104378"/>
    <n v="0"/>
    <n v="25.951228956228956"/>
    <n v="12.975614478114478"/>
    <x v="83"/>
    <x v="86"/>
    <x v="19"/>
    <d v="2025-03-17T00:00:00"/>
    <x v="4"/>
    <x v="0"/>
    <x v="5"/>
    <s v="ENTREGUE"/>
    <d v="2025-02-14T00:00:00"/>
    <x v="0"/>
    <m/>
    <n v="0"/>
    <n v="0"/>
    <n v="0"/>
    <n v="0"/>
    <n v="0"/>
  </r>
  <r>
    <x v="2"/>
    <s v="MEI45699"/>
    <s v="Pedido 963"/>
    <d v="2025-02-11T00:00:00"/>
    <x v="81"/>
    <s v="PedidoF942"/>
    <s v="CódRastreio940"/>
    <n v="1"/>
    <s v="CPF 937"/>
    <s v="Nome 937"/>
    <s v="Tel 937"/>
    <s v="Cep 937"/>
    <s v="Rua 937"/>
    <s v="Comp 937"/>
    <s v="Ventilador Preto"/>
    <s v="WU-SS4J-LFOH"/>
    <d v="2025-03-13T00:00:00"/>
    <n v="61.99"/>
    <n v="61.99"/>
    <n v="8.0587"/>
    <n v="53.93"/>
    <n v="16.829999999999998"/>
    <n v="0.3"/>
    <n v="0.39877104377104378"/>
    <n v="0"/>
    <n v="36.401228956228955"/>
    <n v="18.200614478114478"/>
    <x v="89"/>
    <x v="92"/>
    <x v="20"/>
    <d v="2025-04-02T00:00:00"/>
    <x v="4"/>
    <x v="0"/>
    <x v="5"/>
    <s v="ENTREGUE"/>
    <d v="2025-02-26T00:00:00"/>
    <x v="0"/>
    <m/>
    <n v="0"/>
    <n v="0"/>
    <n v="0"/>
    <n v="0"/>
    <n v="0"/>
  </r>
  <r>
    <x v="2"/>
    <s v="MEI45699"/>
    <s v="Pedido 964"/>
    <d v="2025-02-11T00:00:00"/>
    <x v="81"/>
    <s v="PedidoF943"/>
    <s v="CódRastreio941"/>
    <n v="1"/>
    <s v="CPF 938"/>
    <s v="Nome 938"/>
    <s v="Tel 938"/>
    <s v="Cep 938"/>
    <s v="Rua 938"/>
    <s v="Comp 938"/>
    <s v="Ventilador Preto"/>
    <s v="WU-SS4J-LFOH"/>
    <d v="2025-03-07T00:00:00"/>
    <n v="61.99"/>
    <n v="61.99"/>
    <n v="8.0587"/>
    <n v="53.93"/>
    <n v="16.829999999999998"/>
    <n v="0.3"/>
    <n v="0.39877104377104378"/>
    <n v="0"/>
    <n v="36.401228956228955"/>
    <n v="18.200614478114478"/>
    <x v="82"/>
    <x v="85"/>
    <x v="19"/>
    <d v="2025-03-17T00:00:00"/>
    <x v="4"/>
    <x v="0"/>
    <x v="5"/>
    <s v="ENTREGUE"/>
    <d v="2025-02-25T00:00:00"/>
    <x v="0"/>
    <m/>
    <n v="0"/>
    <n v="0"/>
    <n v="0"/>
    <n v="0"/>
    <n v="0"/>
  </r>
  <r>
    <x v="2"/>
    <s v="MEI45699"/>
    <s v="Pedido 965"/>
    <d v="2025-02-11T00:00:00"/>
    <x v="81"/>
    <s v="PedidoF944"/>
    <s v="CódRastreio942"/>
    <n v="1"/>
    <s v="CPF 939"/>
    <s v="Nome 939"/>
    <s v="Tel 939"/>
    <s v="Cep 939"/>
    <s v="Rua 939"/>
    <s v="Comp 939"/>
    <s v="Mini Liquidificador"/>
    <s v="A4-5W51-K3HF"/>
    <d v="2025-03-07T00:00:00"/>
    <n v="30.99"/>
    <n v="30.99"/>
    <n v="4.3386000000000005"/>
    <n v="26.65"/>
    <n v="14.99"/>
    <n v="0.3"/>
    <n v="0.39877104377104378"/>
    <n v="0"/>
    <n v="10.961228956228954"/>
    <n v="5.480614478114477"/>
    <x v="82"/>
    <x v="85"/>
    <x v="19"/>
    <d v="2025-03-17T00:00:00"/>
    <x v="4"/>
    <x v="0"/>
    <x v="5"/>
    <s v="ENTREGUE"/>
    <d v="2025-02-15T00:00:00"/>
    <x v="0"/>
    <m/>
    <n v="0"/>
    <n v="0"/>
    <n v="0"/>
    <n v="0"/>
    <n v="0"/>
  </r>
  <r>
    <x v="2"/>
    <s v="MEI45700"/>
    <s v="Pedido 966"/>
    <d v="2025-02-11T00:00:00"/>
    <x v="82"/>
    <s v="PedidoF945"/>
    <s v="CódRastreio943"/>
    <n v="1"/>
    <s v="CPF 940"/>
    <s v="Nome 940"/>
    <s v="Tel 940"/>
    <s v="Cep 940"/>
    <s v="Rua 940"/>
    <s v="Comp 940"/>
    <s v="Ventilador Preto"/>
    <s v="WU-SS4J-LFOH"/>
    <d v="2025-03-07T00:00:00"/>
    <n v="61.99"/>
    <n v="61.99"/>
    <n v="8.0587"/>
    <n v="53.93"/>
    <n v="16.64"/>
    <n v="0.26"/>
    <n v="0.39877104377104378"/>
    <n v="0"/>
    <n v="36.631228956228952"/>
    <n v="18.315614478114476"/>
    <x v="82"/>
    <x v="85"/>
    <x v="19"/>
    <d v="2025-03-17T00:00:00"/>
    <x v="4"/>
    <x v="0"/>
    <x v="5"/>
    <s v="ENTREGUE"/>
    <d v="2025-02-23T00:00:00"/>
    <x v="0"/>
    <m/>
    <n v="0"/>
    <n v="0"/>
    <n v="0"/>
    <n v="0"/>
    <n v="0"/>
  </r>
  <r>
    <x v="1"/>
    <s v="GO45700"/>
    <s v="Pedido 967"/>
    <d v="2025-02-11T00:00:00"/>
    <x v="82"/>
    <s v="PedidoF946"/>
    <s v="CódRastreio944"/>
    <n v="1"/>
    <s v="CPF 941"/>
    <s v="Nome 941"/>
    <s v="Tel 941"/>
    <s v="Cep 941"/>
    <s v="Rua 941"/>
    <s v="Comp 941"/>
    <s v="Ventilador Preto"/>
    <s v="EP-9PIR-BWXH"/>
    <d v="2025-03-07T00:00:00"/>
    <n v="66.989999999999995"/>
    <n v="66.989999999999995"/>
    <n v="8.7087000000000003"/>
    <n v="58.28"/>
    <n v="16.64"/>
    <n v="0.2"/>
    <n v="0.39877104377104378"/>
    <n v="0"/>
    <n v="41.041228956228956"/>
    <n v="41.041228956228956"/>
    <x v="82"/>
    <x v="85"/>
    <x v="19"/>
    <d v="2025-03-17T00:00:00"/>
    <x v="4"/>
    <x v="0"/>
    <x v="5"/>
    <s v="ENTREGUE"/>
    <d v="2025-02-24T00:00:00"/>
    <x v="0"/>
    <m/>
    <n v="0"/>
    <n v="0"/>
    <n v="0"/>
    <n v="0"/>
    <n v="0"/>
  </r>
  <r>
    <x v="1"/>
    <s v="GO45699"/>
    <s v="Pedido 968"/>
    <d v="2025-02-11T00:00:00"/>
    <x v="81"/>
    <s v="PedidoF947"/>
    <s v="CódRastreio945"/>
    <n v="1"/>
    <s v="CPF 942"/>
    <s v="Nome 942"/>
    <s v="Tel 942"/>
    <s v="Cep 942"/>
    <s v="Rua 942"/>
    <s v="Comp 942"/>
    <s v="Ventilador Preto"/>
    <s v="EP-9PIR-BWXH"/>
    <d v="2025-03-13T00:00:00"/>
    <n v="66.989999999999995"/>
    <n v="66.989999999999995"/>
    <n v="8.7087000000000003"/>
    <n v="58.28"/>
    <n v="16.829999999999998"/>
    <n v="0.6"/>
    <n v="0.39877104377104378"/>
    <n v="0"/>
    <n v="40.45122895622896"/>
    <n v="40.45122895622896"/>
    <x v="89"/>
    <x v="92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0"/>
    <s v="Pedido 969"/>
    <d v="2025-02-12T00:00:00"/>
    <x v="82"/>
    <s v="PedidoF948"/>
    <s v="CódRastreio946"/>
    <n v="1"/>
    <s v="CPF 943"/>
    <s v="Nome 943"/>
    <s v="Tel 943"/>
    <s v="Cep 943"/>
    <s v="Rua 943"/>
    <s v="Comp 943"/>
    <s v="Ventilador Rosa"/>
    <s v="IF-G2ZQ-79FO"/>
    <d v="2025-03-14T00:00:00"/>
    <n v="55.99"/>
    <n v="55.99"/>
    <n v="7.2787000000000006"/>
    <n v="48.71"/>
    <n v="16.86"/>
    <n v="0.26"/>
    <n v="0.39877104377104378"/>
    <n v="0"/>
    <n v="31.191228956228954"/>
    <n v="15.595614478114477"/>
    <x v="85"/>
    <x v="88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0"/>
    <s v="Pedido 970"/>
    <d v="2025-02-12T00:00:00"/>
    <x v="82"/>
    <s v="PedidoF949"/>
    <s v="CódRastreio947"/>
    <n v="1"/>
    <s v="CPF 944"/>
    <s v="Nome 944"/>
    <s v="Tel 944"/>
    <s v="Cep 944"/>
    <s v="Rua 944"/>
    <s v="Comp 944"/>
    <s v="Ventilador Rosa"/>
    <s v="IF-G2ZQ-79FO"/>
    <d v="2025-03-08T00:00:00"/>
    <n v="55.99"/>
    <n v="55.99"/>
    <n v="7.2787000000000006"/>
    <n v="48.71"/>
    <n v="16.86"/>
    <n v="0.26"/>
    <n v="0.39877104377104378"/>
    <n v="0"/>
    <n v="31.191228956228954"/>
    <n v="15.595614478114477"/>
    <x v="90"/>
    <x v="93"/>
    <x v="21"/>
    <d v="2025-03-17T00:00:00"/>
    <x v="4"/>
    <x v="0"/>
    <x v="5"/>
    <s v="ENTREGUE"/>
    <d v="2025-02-22T00:00:00"/>
    <x v="0"/>
    <m/>
    <n v="0"/>
    <n v="0"/>
    <n v="0"/>
    <n v="0"/>
    <n v="0"/>
  </r>
  <r>
    <x v="0"/>
    <s v="BV45700"/>
    <s v="Pedido 971"/>
    <d v="2025-02-12T00:00:00"/>
    <x v="82"/>
    <s v="PedidoF950"/>
    <s v="CódRastreio948"/>
    <n v="1"/>
    <s v="CPF 945"/>
    <s v="Nome 945"/>
    <s v="Tel 945"/>
    <s v="Cep 945"/>
    <s v="Rua 945"/>
    <s v="Comp 945"/>
    <s v="Ventilador Azul"/>
    <s v="U8-2VWS-OB6M"/>
    <d v="2025-03-14T00:00:00"/>
    <n v="61.99"/>
    <n v="61.99"/>
    <n v="8.0587"/>
    <n v="53.93"/>
    <n v="17.649999999999999"/>
    <n v="0.26"/>
    <n v="0.39877104377104378"/>
    <n v="0"/>
    <n v="35.621228956228954"/>
    <n v="17.810614478114477"/>
    <x v="85"/>
    <x v="88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0"/>
    <s v="Pedido 972"/>
    <d v="2025-02-12T00:00:00"/>
    <x v="82"/>
    <s v="PedidoF951"/>
    <s v="CódRastreio949"/>
    <n v="1"/>
    <s v="CPF 946"/>
    <s v="Nome 946"/>
    <s v="Tel 946"/>
    <s v="Cep 946"/>
    <s v="Rua 946"/>
    <s v="Comp 946"/>
    <s v="Ventilador de teto"/>
    <s v="BP-NHG2-B8C1"/>
    <d v="2025-03-08T00:00:00"/>
    <n v="74.989999999999995"/>
    <n v="74.989999999999995"/>
    <n v="9.7486999999999995"/>
    <n v="65.239999999999995"/>
    <n v="45"/>
    <n v="0.26"/>
    <n v="0.39877104377104378"/>
    <n v="0"/>
    <n v="19.581228956228955"/>
    <n v="9.7906144781144775"/>
    <x v="90"/>
    <x v="93"/>
    <x v="21"/>
    <d v="2025-03-17T00:00:00"/>
    <x v="4"/>
    <x v="0"/>
    <x v="5"/>
    <s v="ENTREGUE"/>
    <d v="2025-02-24T00:00:00"/>
    <x v="0"/>
    <m/>
    <n v="0"/>
    <n v="0"/>
    <n v="0"/>
    <n v="0"/>
    <n v="0"/>
  </r>
  <r>
    <x v="0"/>
    <s v="BV45700"/>
    <s v="Pedido 973"/>
    <d v="2025-02-12T00:00:00"/>
    <x v="82"/>
    <s v="PedidoF952"/>
    <s v="CódRastreio950"/>
    <n v="1"/>
    <s v="CPF 947"/>
    <s v="Nome 947"/>
    <s v="Tel 947"/>
    <s v="Cep 947"/>
    <s v="Rua 947"/>
    <s v="Comp 947"/>
    <s v="Ventilador Azul"/>
    <s v="U8-2VWS-OB6M"/>
    <d v="2025-03-08T00:00:00"/>
    <n v="61.99"/>
    <n v="61.99"/>
    <n v="8.0587"/>
    <n v="53.93"/>
    <n v="17.649999999999999"/>
    <n v="0.26"/>
    <n v="0.39877104377104378"/>
    <n v="0"/>
    <n v="35.621228956228954"/>
    <n v="17.810614478114477"/>
    <x v="90"/>
    <x v="93"/>
    <x v="21"/>
    <d v="2025-03-17T00:00:00"/>
    <x v="4"/>
    <x v="0"/>
    <x v="5"/>
    <s v="ENTREGUE"/>
    <d v="2025-02-25T00:00:00"/>
    <x v="0"/>
    <m/>
    <n v="0"/>
    <n v="0"/>
    <n v="0"/>
    <n v="0"/>
    <n v="0"/>
  </r>
  <r>
    <x v="2"/>
    <s v="MEI45700"/>
    <s v="Pedido 974"/>
    <d v="2025-02-12T00:00:00"/>
    <x v="82"/>
    <s v="PedidoF953"/>
    <s v="CódRastreio951"/>
    <n v="1"/>
    <s v="CPF 948"/>
    <s v="Nome 948"/>
    <s v="Tel 948"/>
    <s v="Cep 948"/>
    <s v="Rua 948"/>
    <s v="Comp 948"/>
    <s v="Ventilador Preto"/>
    <s v="WU-SS4J-LFOH"/>
    <d v="2025-03-08T00:00:00"/>
    <n v="61.99"/>
    <n v="61.99"/>
    <n v="8.0587"/>
    <n v="53.93"/>
    <n v="16.64"/>
    <n v="0.26"/>
    <n v="0.39877104377104378"/>
    <n v="0"/>
    <n v="36.631228956228952"/>
    <n v="18.315614478114476"/>
    <x v="90"/>
    <x v="93"/>
    <x v="21"/>
    <d v="2025-03-17T00:00:00"/>
    <x v="4"/>
    <x v="0"/>
    <x v="5"/>
    <s v="ENTREGUE"/>
    <d v="2025-02-22T00:00:00"/>
    <x v="0"/>
    <m/>
    <n v="0"/>
    <n v="0"/>
    <n v="0"/>
    <n v="0"/>
    <n v="0"/>
  </r>
  <r>
    <x v="2"/>
    <s v="MEI45701"/>
    <s v="Pedido 975"/>
    <d v="2025-02-12T00:00:00"/>
    <x v="83"/>
    <s v="PedidoF954"/>
    <s v="CódRastreio952"/>
    <n v="1"/>
    <s v="CPF 949"/>
    <s v="Nome 949"/>
    <s v="Tel 949"/>
    <s v="Cep 949"/>
    <s v="Rua 949"/>
    <s v="Comp 949"/>
    <s v="Mini Liquidificador"/>
    <s v="A4-5W51-K3HF"/>
    <d v="2025-03-14T00:00:00"/>
    <n v="30.99"/>
    <n v="30.99"/>
    <n v="4.3386000000000005"/>
    <n v="26.65"/>
    <n v="14.99"/>
    <n v="0.15"/>
    <n v="0.39877104377104378"/>
    <n v="0"/>
    <n v="11.111228956228954"/>
    <n v="5.5556144781144772"/>
    <x v="85"/>
    <x v="88"/>
    <x v="20"/>
    <d v="2025-04-02T00:00:00"/>
    <x v="4"/>
    <x v="0"/>
    <x v="5"/>
    <s v="ENTREGUE"/>
    <d v="2025-02-22T00:00:00"/>
    <x v="0"/>
    <m/>
    <n v="0"/>
    <n v="0"/>
    <n v="0"/>
    <n v="0"/>
    <n v="0"/>
  </r>
  <r>
    <x v="0"/>
    <s v="BV45701"/>
    <s v="Pedido 976"/>
    <d v="2025-02-13T00:00:00"/>
    <x v="83"/>
    <s v="PedidoF955"/>
    <s v="CódRastreio953"/>
    <n v="1"/>
    <s v="CPF 950"/>
    <s v="Nome 950"/>
    <s v="Tel 950"/>
    <s v="Cep 950"/>
    <s v="Rua 950"/>
    <s v="Comp 950"/>
    <s v="Ventilador Azul"/>
    <s v="U8-2VWS-OB6M"/>
    <d v="2025-03-15T00:00:00"/>
    <n v="61.99"/>
    <n v="61.99"/>
    <n v="8.0587"/>
    <n v="53.93"/>
    <n v="13.69"/>
    <n v="0.25"/>
    <n v="0.39877104377104378"/>
    <n v="0"/>
    <n v="39.59122895622896"/>
    <n v="19.79561447811448"/>
    <x v="91"/>
    <x v="94"/>
    <x v="20"/>
    <d v="2025-04-02T00:00:00"/>
    <x v="4"/>
    <x v="0"/>
    <x v="5"/>
    <s v="ENTREGUE"/>
    <d v="2025-02-26T00:00:00"/>
    <x v="0"/>
    <m/>
    <n v="0"/>
    <n v="0"/>
    <n v="0"/>
    <n v="0"/>
    <n v="0"/>
  </r>
  <r>
    <x v="0"/>
    <s v="BV45701"/>
    <s v="Pedido 977"/>
    <d v="2025-02-13T00:00:00"/>
    <x v="83"/>
    <s v="PedidoF956"/>
    <s v="CódRastreio954"/>
    <n v="1"/>
    <s v="CPF 951"/>
    <s v="Nome 951"/>
    <s v="Tel 951"/>
    <s v="Cep 951"/>
    <s v="Rua 951"/>
    <s v="Comp 951"/>
    <s v="Ventilador Rosa"/>
    <s v="IF-G2ZQ-79FO"/>
    <d v="2025-03-11T00:00:00"/>
    <n v="55.99"/>
    <n v="55.99"/>
    <n v="7.2787000000000006"/>
    <n v="48.71"/>
    <n v="13.69"/>
    <n v="0.25"/>
    <n v="0.39877104377104378"/>
    <n v="0"/>
    <n v="34.371228956228961"/>
    <n v="17.185614478114481"/>
    <x v="78"/>
    <x v="81"/>
    <x v="20"/>
    <d v="2025-04-02T00:00:00"/>
    <x v="4"/>
    <x v="0"/>
    <x v="5"/>
    <s v="ENTREGUE"/>
    <d v="2025-02-27T00:00:00"/>
    <x v="0"/>
    <m/>
    <n v="0"/>
    <n v="0"/>
    <n v="0"/>
    <n v="0"/>
    <n v="0"/>
  </r>
  <r>
    <x v="0"/>
    <s v="BV45701"/>
    <s v="Pedido 978"/>
    <d v="2025-02-13T00:00:00"/>
    <x v="83"/>
    <s v="PedidoF957"/>
    <s v="CódRastreio955"/>
    <n v="1"/>
    <s v="CPF 952"/>
    <s v="Nome 952"/>
    <s v="Tel 952"/>
    <s v="Cep 952"/>
    <s v="Rua 952"/>
    <s v="Comp 952"/>
    <s v="Ventilador Azul"/>
    <s v="U8-2VWS-OB6M"/>
    <d v="2025-03-11T00:00:00"/>
    <n v="61.99"/>
    <n v="61.99"/>
    <n v="8.0587"/>
    <n v="53.93"/>
    <n v="13.69"/>
    <n v="0.25"/>
    <n v="0.39877104377104378"/>
    <n v="0"/>
    <n v="39.59122895622896"/>
    <n v="19.79561447811448"/>
    <x v="78"/>
    <x v="81"/>
    <x v="20"/>
    <d v="2025-04-02T00:00:00"/>
    <x v="4"/>
    <x v="0"/>
    <x v="5"/>
    <s v="ENTREGUE"/>
    <d v="2025-02-27T00:00:00"/>
    <x v="0"/>
    <m/>
    <n v="0"/>
    <n v="0"/>
    <n v="0"/>
    <n v="0"/>
    <n v="0"/>
  </r>
  <r>
    <x v="0"/>
    <s v="BV45701"/>
    <s v="Pedido 979"/>
    <d v="2025-02-13T00:00:00"/>
    <x v="83"/>
    <s v="PedidoF958"/>
    <s v="CódRastreio956"/>
    <n v="1"/>
    <s v="CPF 953"/>
    <s v="Nome 953"/>
    <s v="Tel 953"/>
    <s v="Cep 953"/>
    <s v="Rua 953"/>
    <s v="Comp 953"/>
    <s v="Ventilador Rosa"/>
    <s v="IF-G2ZQ-79FO"/>
    <d v="2025-03-11T00:00:00"/>
    <n v="55.99"/>
    <n v="55.99"/>
    <n v="7.2787000000000006"/>
    <n v="48.71"/>
    <n v="13.69"/>
    <n v="0.25"/>
    <n v="0.39877104377104378"/>
    <n v="0"/>
    <n v="34.371228956228961"/>
    <n v="17.185614478114481"/>
    <x v="78"/>
    <x v="81"/>
    <x v="20"/>
    <d v="2025-04-02T00:00:00"/>
    <x v="4"/>
    <x v="0"/>
    <x v="5"/>
    <s v="ENTREGUE"/>
    <d v="2025-02-24T00:00:00"/>
    <x v="0"/>
    <m/>
    <n v="0"/>
    <n v="0"/>
    <n v="0"/>
    <n v="0"/>
    <n v="0"/>
  </r>
  <r>
    <x v="2"/>
    <s v="MEI45701"/>
    <s v="Pedido 980"/>
    <d v="2025-02-13T00:00:00"/>
    <x v="83"/>
    <s v="PedidoF959"/>
    <s v="CódRastreio957"/>
    <n v="1"/>
    <s v="CPF 954"/>
    <s v="Nome 954"/>
    <s v="Tel 954"/>
    <s v="Cep 954"/>
    <s v="Rua 954"/>
    <s v="Comp 954"/>
    <s v="Mini Liquidificador"/>
    <s v="A4-5W51-K3HF"/>
    <d v="2025-03-08T00:00:00"/>
    <n v="30.99"/>
    <n v="30.99"/>
    <n v="4.3386000000000005"/>
    <n v="26.65"/>
    <n v="14.99"/>
    <n v="0.15"/>
    <n v="0.39877104377104378"/>
    <n v="0"/>
    <n v="11.111228956228954"/>
    <n v="5.5556144781144772"/>
    <x v="90"/>
    <x v="93"/>
    <x v="21"/>
    <d v="2025-03-17T00:00:00"/>
    <x v="4"/>
    <x v="0"/>
    <x v="5"/>
    <s v="ENTREGUE"/>
    <d v="2025-02-24T00:00:00"/>
    <x v="0"/>
    <m/>
    <n v="0"/>
    <n v="0"/>
    <n v="0"/>
    <n v="0"/>
    <n v="0"/>
  </r>
  <r>
    <x v="2"/>
    <s v="MEI45701"/>
    <s v="Pedido 981"/>
    <d v="2025-02-13T00:00:00"/>
    <x v="83"/>
    <s v="PedidoF960"/>
    <s v="CódRastreio958"/>
    <n v="1"/>
    <s v="CPF 955"/>
    <s v="Nome 955"/>
    <s v="Tel 955"/>
    <s v="Cep 955"/>
    <s v="Rua 955"/>
    <s v="Comp 955"/>
    <s v="Mini Liquidificador"/>
    <s v="A4-5W51-K3HF"/>
    <d v="2025-03-15T00:00:00"/>
    <n v="30.99"/>
    <n v="30.99"/>
    <n v="4.3386000000000005"/>
    <n v="26.65"/>
    <n v="0"/>
    <n v="0.15"/>
    <n v="0.39877104377104378"/>
    <n v="0"/>
    <n v="26.101228956228955"/>
    <n v="13.050614478114477"/>
    <x v="91"/>
    <x v="94"/>
    <x v="20"/>
    <d v="2025-04-02T00:00:00"/>
    <x v="4"/>
    <x v="0"/>
    <x v="5"/>
    <s v="ENTREGUE"/>
    <d v="2025-03-21T00:00:00"/>
    <x v="0"/>
    <m/>
    <n v="0"/>
    <n v="0"/>
    <n v="0"/>
    <n v="0"/>
    <n v="0"/>
  </r>
  <r>
    <x v="2"/>
    <s v="MEI45701"/>
    <s v="Pedido 982"/>
    <d v="2025-02-13T00:00:00"/>
    <x v="83"/>
    <s v="PedidoF961"/>
    <s v="CódRastreio959"/>
    <n v="1"/>
    <s v="CPF 956"/>
    <s v="Nome 956"/>
    <s v="Tel 956"/>
    <s v="Cep 956"/>
    <s v="Rua 956"/>
    <s v="Comp 956"/>
    <s v="Mini Liquidificador"/>
    <s v="A4-5W51-K3HF"/>
    <d v="2025-03-11T00:00:00"/>
    <n v="30.99"/>
    <n v="30.99"/>
    <n v="4.3386000000000005"/>
    <n v="26.65"/>
    <n v="14.99"/>
    <n v="0.15"/>
    <n v="0.39877104377104378"/>
    <n v="0"/>
    <n v="11.111228956228954"/>
    <n v="5.5556144781144772"/>
    <x v="78"/>
    <x v="81"/>
    <x v="20"/>
    <d v="2025-04-02T00:00:00"/>
    <x v="4"/>
    <x v="0"/>
    <x v="5"/>
    <s v="ENTREGUE"/>
    <d v="2025-02-20T00:00:00"/>
    <x v="0"/>
    <m/>
    <n v="0"/>
    <n v="0"/>
    <n v="0"/>
    <n v="0"/>
    <n v="0"/>
  </r>
  <r>
    <x v="0"/>
    <s v="BV45702"/>
    <s v="Pedido 983"/>
    <d v="2025-02-14T00:00:00"/>
    <x v="84"/>
    <s v="PedidoF962"/>
    <s v="CódRastreio960"/>
    <n v="1"/>
    <s v="CPF 957"/>
    <s v="Nome 957"/>
    <s v="Tel 957"/>
    <s v="Cep 957"/>
    <s v="Rua 957"/>
    <s v="Comp 957"/>
    <s v="Adaptador Bluetooph"/>
    <s v="YA-AG3H-SPUK"/>
    <d v="2025-03-12T00:00:00"/>
    <n v="19.989999999999998"/>
    <n v="19.989999999999998"/>
    <n v="2.3987999999999996"/>
    <n v="17.59"/>
    <n v="6.99"/>
    <n v="0.2"/>
    <n v="0.39877104377104378"/>
    <n v="0"/>
    <n v="10.001228956228957"/>
    <n v="5.0006144781144783"/>
    <x v="87"/>
    <x v="90"/>
    <x v="20"/>
    <d v="2025-04-02T00:00:00"/>
    <x v="4"/>
    <x v="0"/>
    <x v="5"/>
    <s v="ENTREGUE"/>
    <d v="2025-02-21T00:00:00"/>
    <x v="0"/>
    <m/>
    <n v="0"/>
    <n v="0"/>
    <n v="0"/>
    <n v="0"/>
    <n v="0"/>
  </r>
  <r>
    <x v="0"/>
    <s v="BV45702"/>
    <s v="Pedido 984"/>
    <d v="2025-02-14T00:00:00"/>
    <x v="84"/>
    <s v="PedidoF963"/>
    <s v="CódRastreio961"/>
    <n v="1"/>
    <s v="CPF 958"/>
    <s v="Nome 958"/>
    <s v="Tel 958"/>
    <s v="Cep 958"/>
    <s v="Rua 958"/>
    <s v="Comp 958"/>
    <s v="Ventilador de teto"/>
    <s v="BP-NHG2-B8C1"/>
    <d v="2025-03-12T00:00:00"/>
    <n v="74.989999999999995"/>
    <n v="74.989999999999995"/>
    <n v="9.7486999999999995"/>
    <n v="65.239999999999995"/>
    <n v="45.11"/>
    <n v="0.2"/>
    <n v="0.39877104377104378"/>
    <n v="0"/>
    <n v="19.531228956228951"/>
    <n v="9.7656144781144754"/>
    <x v="87"/>
    <x v="90"/>
    <x v="20"/>
    <d v="2025-04-02T00:00:00"/>
    <x v="4"/>
    <x v="0"/>
    <x v="5"/>
    <s v="ENTREGUE"/>
    <d v="2025-02-27T00:00:00"/>
    <x v="0"/>
    <m/>
    <n v="0"/>
    <n v="0"/>
    <n v="0"/>
    <n v="0"/>
    <n v="0"/>
  </r>
  <r>
    <x v="2"/>
    <s v="MEI45702"/>
    <s v="Pedido 985"/>
    <d v="2025-02-14T00:00:00"/>
    <x v="84"/>
    <s v="PedidoF964"/>
    <s v="CódRastreio962"/>
    <n v="1"/>
    <s v="CPF 959"/>
    <s v="Nome 959"/>
    <s v="Tel 959"/>
    <s v="Cep 959"/>
    <s v="Rua 959"/>
    <s v="Comp 959"/>
    <s v="Ventilador Preto"/>
    <s v="WU-SS4J-LFOH"/>
    <d v="2025-03-22T00:00:00"/>
    <n v="61.99"/>
    <n v="61.99"/>
    <n v="8.0587"/>
    <n v="53.93"/>
    <n v="35.83"/>
    <n v="0.2"/>
    <n v="0.39877104377104378"/>
    <n v="0"/>
    <n v="17.501228956228957"/>
    <n v="8.7506144781144783"/>
    <x v="92"/>
    <x v="95"/>
    <x v="20"/>
    <d v="2025-04-02T00:00:00"/>
    <x v="4"/>
    <x v="0"/>
    <x v="5"/>
    <s v="ENTREGUE"/>
    <d v="2025-02-27T00:00:00"/>
    <x v="0"/>
    <m/>
    <n v="0"/>
    <n v="0"/>
    <n v="0"/>
    <n v="0"/>
    <n v="0"/>
  </r>
  <r>
    <x v="2"/>
    <s v="MEI45702"/>
    <s v="Pedido 986"/>
    <d v="2025-02-14T00:00:00"/>
    <x v="84"/>
    <s v="PedidoF965"/>
    <s v="CódRastreio963"/>
    <n v="1"/>
    <s v="CPF 960"/>
    <s v="Nome 960"/>
    <s v="Tel 960"/>
    <s v="Cep 960"/>
    <s v="Rua 960"/>
    <s v="Comp 960"/>
    <s v="Mini Liquidificador"/>
    <s v="A4-5W51-K3HF"/>
    <d v="2025-03-12T00:00:00"/>
    <n v="30.99"/>
    <n v="30.99"/>
    <n v="4.3386000000000005"/>
    <n v="26.65"/>
    <n v="14.99"/>
    <n v="0.2"/>
    <n v="0.39877104377104378"/>
    <n v="0"/>
    <n v="11.061228956228955"/>
    <n v="5.5306144781144777"/>
    <x v="87"/>
    <x v="90"/>
    <x v="20"/>
    <d v="2025-04-02T00:00:00"/>
    <x v="4"/>
    <x v="0"/>
    <x v="5"/>
    <s v="ENTREGUE"/>
    <d v="2025-02-21T00:00:00"/>
    <x v="0"/>
    <m/>
    <n v="0"/>
    <n v="0"/>
    <n v="0"/>
    <n v="0"/>
    <n v="0"/>
  </r>
  <r>
    <x v="2"/>
    <s v="MEI45702"/>
    <s v="Pedido 987"/>
    <d v="2025-02-14T00:00:00"/>
    <x v="84"/>
    <s v="PedidoF966"/>
    <s v="CódRastreio964"/>
    <n v="1"/>
    <s v="CPF 961"/>
    <s v="Nome 961"/>
    <s v="Tel 961"/>
    <s v="Cep 961"/>
    <s v="Rua 961"/>
    <s v="Comp 961"/>
    <s v="Ventilador Preto"/>
    <s v="WU-SS4J-LFOH"/>
    <d v="2025-03-25T00:00:00"/>
    <n v="59.99"/>
    <n v="59.99"/>
    <n v="7.7987000000000002"/>
    <n v="52.19"/>
    <n v="36.68"/>
    <n v="0.2"/>
    <n v="0.39877104377104378"/>
    <n v="0"/>
    <n v="14.911228956228953"/>
    <n v="7.4556144781144766"/>
    <x v="93"/>
    <x v="96"/>
    <x v="22"/>
    <d v="2025-04-16T00:00:00"/>
    <x v="5"/>
    <x v="0"/>
    <x v="5"/>
    <s v="ENTREGUE"/>
    <d v="2025-03-12T14:24:08"/>
    <x v="0"/>
    <m/>
    <n v="0"/>
    <n v="0"/>
    <n v="0"/>
    <n v="0"/>
    <n v="0"/>
  </r>
  <r>
    <x v="2"/>
    <s v="MEI45705"/>
    <s v="Pedido 988"/>
    <d v="2025-02-14T00:00:00"/>
    <x v="85"/>
    <s v="PedidoF967"/>
    <s v="CódRastreio965"/>
    <n v="1"/>
    <s v="CPF 962"/>
    <s v="Nome 962"/>
    <s v="Tel 962"/>
    <s v="Cep 962"/>
    <s v="Rua 962"/>
    <s v="Comp 962"/>
    <s v="Ventilador Preto"/>
    <s v="WU-SS4J-LFOH"/>
    <d v="2025-03-12T00:00:00"/>
    <n v="59.99"/>
    <n v="59.99"/>
    <n v="7.7987000000000002"/>
    <n v="52.19"/>
    <n v="13.21"/>
    <n v="0.2"/>
    <n v="0.39877104377104378"/>
    <n v="0"/>
    <n v="38.381228956228952"/>
    <n v="19.190614478114476"/>
    <x v="87"/>
    <x v="90"/>
    <x v="20"/>
    <d v="2025-04-02T00:00:00"/>
    <x v="4"/>
    <x v="0"/>
    <x v="5"/>
    <s v="ENTREGUE"/>
    <d v="2025-02-28T00:00:00"/>
    <x v="0"/>
    <m/>
    <n v="0"/>
    <n v="0"/>
    <n v="0"/>
    <n v="0"/>
    <n v="0"/>
  </r>
  <r>
    <x v="2"/>
    <s v="MEI45705"/>
    <s v="Pedido 989"/>
    <d v="2025-02-14T00:00:00"/>
    <x v="85"/>
    <s v="PedidoF968"/>
    <s v="CódRastreio966"/>
    <n v="1"/>
    <s v="CPF 963"/>
    <s v="Nome 963"/>
    <s v="Tel 963"/>
    <s v="Cep 963"/>
    <s v="Rua 963"/>
    <s v="Comp 963"/>
    <s v="Ventilador Preto"/>
    <s v="WU-SS4J-LFOH"/>
    <d v="2025-03-12T00:00:00"/>
    <n v="59.99"/>
    <n v="59.99"/>
    <n v="7.7987000000000002"/>
    <n v="52.19"/>
    <n v="13.21"/>
    <n v="0.2"/>
    <n v="0.39877104377104378"/>
    <n v="0"/>
    <n v="38.381228956228952"/>
    <n v="19.190614478114476"/>
    <x v="87"/>
    <x v="90"/>
    <x v="20"/>
    <d v="2025-04-02T00:00:00"/>
    <x v="4"/>
    <x v="0"/>
    <x v="5"/>
    <s v="ENTREGUE"/>
    <d v="2025-03-06T00:00:00"/>
    <x v="0"/>
    <m/>
    <n v="0"/>
    <n v="0"/>
    <n v="0"/>
    <n v="0"/>
    <n v="0"/>
  </r>
  <r>
    <x v="0"/>
    <s v="BV45705"/>
    <s v="Pedido 990"/>
    <d v="2025-02-15T00:00:00"/>
    <x v="85"/>
    <s v="PedidoF969"/>
    <s v="CódRastreio967"/>
    <n v="1"/>
    <s v="CPF 964"/>
    <s v="Nome 964"/>
    <s v="Tel 964"/>
    <s v="Cep 964"/>
    <s v="Rua 964"/>
    <s v="Comp 964"/>
    <s v="Ventilador de teto"/>
    <s v="BP-NHG2-B8C1"/>
    <d v="2025-03-18T00:00:00"/>
    <n v="74.989999999999995"/>
    <n v="74.989999999999995"/>
    <n v="9.7486999999999995"/>
    <n v="65.239999999999995"/>
    <n v="26.37"/>
    <n v="0.24"/>
    <n v="0.39877104377104378"/>
    <n v="0"/>
    <n v="38.231228956228946"/>
    <n v="19.115614478114473"/>
    <x v="86"/>
    <x v="89"/>
    <x v="20"/>
    <d v="2025-04-02T00:00:00"/>
    <x v="4"/>
    <x v="0"/>
    <x v="5"/>
    <s v="ENTREGUE"/>
    <d v="2025-03-10T00:00:00"/>
    <x v="0"/>
    <m/>
    <n v="0"/>
    <n v="0"/>
    <n v="0"/>
    <n v="0"/>
    <n v="0"/>
  </r>
  <r>
    <x v="0"/>
    <s v="BV45705"/>
    <s v="Pedido 991"/>
    <d v="2025-02-15T00:00:00"/>
    <x v="85"/>
    <s v="PedidoF970"/>
    <s v="CódRastreio968"/>
    <n v="1"/>
    <s v="CPF 965"/>
    <s v="Nome 965"/>
    <s v="Tel 965"/>
    <s v="Cep 965"/>
    <s v="Rua 965"/>
    <s v="Comp 965"/>
    <s v="Adaptador Bluetooph"/>
    <s v="YA-AG3H-SPUK"/>
    <d v="2025-03-01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x v="81"/>
    <x v="84"/>
    <x v="19"/>
    <d v="2025-03-17T00:00:00"/>
    <x v="4"/>
    <x v="0"/>
    <x v="5"/>
    <s v="ENTREGUE"/>
    <d v="2025-02-20T00:00:00"/>
    <x v="0"/>
    <m/>
    <n v="0"/>
    <n v="0"/>
    <n v="0"/>
    <n v="0"/>
    <n v="0"/>
  </r>
  <r>
    <x v="0"/>
    <s v="BV45705"/>
    <s v="Pedido 992"/>
    <d v="2025-02-15T00:00:00"/>
    <x v="85"/>
    <s v="PedidoF971"/>
    <s v="CódRastreio969"/>
    <n v="1"/>
    <s v="CPF 966"/>
    <s v="Nome 966"/>
    <s v="Tel 966"/>
    <s v="Cep 966"/>
    <s v="Rua 966"/>
    <s v="Comp 966"/>
    <s v="Adaptador Bluetooph"/>
    <s v="YA-AG3H-SPUK"/>
    <d v="2025-03-12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x v="87"/>
    <x v="90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5"/>
    <s v="Pedido 993"/>
    <d v="2025-02-15T00:00:00"/>
    <x v="85"/>
    <s v="PedidoF972"/>
    <s v="CódRastreio970"/>
    <n v="1"/>
    <s v="CPF 967"/>
    <s v="Nome 967"/>
    <s v="Tel 967"/>
    <s v="Cep 967"/>
    <s v="Rua 967"/>
    <s v="Comp 967"/>
    <s v="Adaptador Bluetooph"/>
    <s v="YA-AG3H-SPUK"/>
    <d v="2025-03-12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x v="87"/>
    <x v="90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5"/>
    <s v="Pedido 994"/>
    <d v="2025-02-15T00:00:00"/>
    <x v="85"/>
    <s v="PedidoF973"/>
    <s v="CódRastreio971"/>
    <n v="1"/>
    <s v="CPF 968"/>
    <s v="Nome 968"/>
    <s v="Tel 968"/>
    <s v="Cep 968"/>
    <s v="Rua 968"/>
    <s v="Comp 968"/>
    <s v="Adaptador Bluetooph"/>
    <s v="YA-AG3H-SPUK"/>
    <d v="2025-03-12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x v="87"/>
    <x v="90"/>
    <x v="20"/>
    <d v="2025-04-02T00:00:00"/>
    <x v="4"/>
    <x v="0"/>
    <x v="5"/>
    <s v="ENTREGUE"/>
    <d v="2025-02-22T00:00:00"/>
    <x v="0"/>
    <m/>
    <n v="0"/>
    <n v="0"/>
    <n v="0"/>
    <n v="0"/>
    <n v="0"/>
  </r>
  <r>
    <x v="0"/>
    <s v="BV45705"/>
    <s v="Pedido 995"/>
    <d v="2025-02-15T00:00:00"/>
    <x v="85"/>
    <s v="PedidoF974"/>
    <s v="CódRastreio972"/>
    <n v="1"/>
    <s v="CPF 969"/>
    <s v="Nome 969"/>
    <s v="Tel 969"/>
    <s v="Cep 969"/>
    <s v="Rua 969"/>
    <s v="Comp 969"/>
    <s v="Suporte de Celular com Regulagem"/>
    <s v="1H-DC27-8GP7"/>
    <d v="2025-03-12T00:00:00"/>
    <n v="21.99"/>
    <n v="21.99"/>
    <n v="3.2984999999999998"/>
    <n v="18.690000000000001"/>
    <n v="6.99"/>
    <n v="0.24"/>
    <n v="0.39877104377104378"/>
    <n v="0"/>
    <n v="11.061228956228957"/>
    <n v="5.5306144781144786"/>
    <x v="87"/>
    <x v="90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5"/>
    <s v="Pedido 996"/>
    <d v="2025-02-15T00:00:00"/>
    <x v="85"/>
    <s v="PedidoF975"/>
    <s v="CódRastreio973"/>
    <n v="1"/>
    <s v="CPF 970"/>
    <s v="Nome 970"/>
    <s v="Tel 970"/>
    <s v="Cep 970"/>
    <s v="Rua 970"/>
    <s v="Comp 970"/>
    <s v="Ventilador Rosa"/>
    <s v="IF-G2ZQ-79FO"/>
    <d v="2025-03-12T00:00:00"/>
    <n v="78.989999999999995"/>
    <n v="78.989999999999995"/>
    <n v="10.268699999999999"/>
    <n v="68.72"/>
    <n v="13.5"/>
    <n v="0.24"/>
    <n v="0.39877104377104378"/>
    <n v="0"/>
    <n v="54.581228956228955"/>
    <n v="27.290614478114477"/>
    <x v="87"/>
    <x v="90"/>
    <x v="20"/>
    <d v="2025-04-02T00:00:00"/>
    <x v="4"/>
    <x v="0"/>
    <x v="5"/>
    <s v="ENTREGUE"/>
    <d v="2025-02-27T00:00:00"/>
    <x v="0"/>
    <m/>
    <n v="0"/>
    <n v="0"/>
    <n v="0"/>
    <n v="0"/>
    <n v="0"/>
  </r>
  <r>
    <x v="0"/>
    <s v="BV45705"/>
    <s v="Pedido 997"/>
    <d v="2025-02-16T00:00:00"/>
    <x v="85"/>
    <s v="PedidoF976"/>
    <s v="CódRastreio974"/>
    <n v="1"/>
    <s v="CPF 971"/>
    <s v="Nome 971"/>
    <s v="Tel 971"/>
    <s v="Cep 971"/>
    <s v="Rua 971"/>
    <s v="Comp 971"/>
    <s v="Adaptador Bluetooph"/>
    <s v="YA-AG3H-SPUK"/>
    <d v="2025-03-18T00:00:00"/>
    <n v="19.989999999999998"/>
    <n v="19.989999999999998"/>
    <n v="2.3987999999999996"/>
    <n v="17.59"/>
    <n v="6.99"/>
    <n v="0.24"/>
    <n v="0.39877104377104378"/>
    <n v="0"/>
    <n v="9.9612289562289558"/>
    <n v="4.9806144781144779"/>
    <x v="86"/>
    <x v="89"/>
    <x v="20"/>
    <d v="2025-04-02T00:00:00"/>
    <x v="4"/>
    <x v="0"/>
    <x v="5"/>
    <s v="ENTREGUE"/>
    <d v="2025-02-26T00:00:00"/>
    <x v="0"/>
    <m/>
    <n v="0"/>
    <n v="0"/>
    <n v="0"/>
    <n v="0"/>
    <n v="0"/>
  </r>
  <r>
    <x v="0"/>
    <s v="BV45705"/>
    <s v="Pedido 998"/>
    <d v="2025-02-16T00:00:00"/>
    <x v="85"/>
    <s v="PedidoF977"/>
    <s v="CódRastreio975"/>
    <n v="1"/>
    <s v="CPF 972"/>
    <s v="Nome 972"/>
    <s v="Tel 972"/>
    <s v="Cep 972"/>
    <s v="Rua 972"/>
    <s v="Comp 972"/>
    <s v="Garrafa Termica"/>
    <s v="FM-QQ8Y-RZT4"/>
    <d v="2025-03-12T00:00:00"/>
    <n v="33.99"/>
    <n v="33.99"/>
    <n v="4.4187000000000003"/>
    <n v="29.57"/>
    <n v="13.8"/>
    <n v="0.24"/>
    <n v="0.39877104377104378"/>
    <n v="0"/>
    <n v="15.131228956228956"/>
    <n v="7.5656144781144778"/>
    <x v="87"/>
    <x v="90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5"/>
    <s v="Pedido 999"/>
    <d v="2025-02-16T00:00:00"/>
    <x v="85"/>
    <s v="PedidoF978"/>
    <s v="CódRastreio976"/>
    <n v="1"/>
    <s v="CPF 973"/>
    <s v="Nome 973"/>
    <s v="Tel 973"/>
    <s v="Cep 973"/>
    <s v="Rua 973"/>
    <s v="Comp 973"/>
    <s v="Ventilador Rosa"/>
    <s v="IF-G2ZQ-79FO"/>
    <d v="2025-03-18T00:00:00"/>
    <n v="78.989999999999995"/>
    <n v="78.989999999999995"/>
    <n v="10.268699999999999"/>
    <n v="68.72"/>
    <n v="13.5"/>
    <n v="0.24"/>
    <n v="0.39877104377104378"/>
    <n v="0"/>
    <n v="54.581228956228955"/>
    <n v="27.290614478114477"/>
    <x v="86"/>
    <x v="89"/>
    <x v="20"/>
    <d v="2025-04-02T00:00:00"/>
    <x v="4"/>
    <x v="0"/>
    <x v="5"/>
    <s v="ENTREGUE"/>
    <d v="2025-03-01T00:00:00"/>
    <x v="0"/>
    <m/>
    <n v="0"/>
    <n v="0"/>
    <n v="0"/>
    <n v="0"/>
    <n v="0"/>
  </r>
  <r>
    <x v="0"/>
    <s v="BV45705"/>
    <s v="Pedido 1000"/>
    <d v="2025-02-16T00:00:00"/>
    <x v="85"/>
    <s v="PedidoF979"/>
    <s v="CódRastreio977"/>
    <n v="1"/>
    <s v="CPF 974"/>
    <s v="Nome 974"/>
    <s v="Tel 974"/>
    <s v="Cep 974"/>
    <s v="Rua 974"/>
    <s v="Comp 974"/>
    <s v="Lampada Led"/>
    <s v="RB-W251-UXV2"/>
    <d v="2025-03-01T00:00:00"/>
    <n v="30.99"/>
    <n v="30.99"/>
    <n v="4.0286999999999997"/>
    <n v="26.96"/>
    <n v="13.2"/>
    <n v="0.24"/>
    <n v="0.39877104377104378"/>
    <n v="0"/>
    <n v="13.121228956228958"/>
    <n v="6.5606144781144788"/>
    <x v="81"/>
    <x v="84"/>
    <x v="19"/>
    <d v="2025-03-17T00:00:00"/>
    <x v="4"/>
    <x v="0"/>
    <x v="5"/>
    <s v="ENTREGUE"/>
    <d v="2025-02-21T00:00:00"/>
    <x v="0"/>
    <m/>
    <n v="0"/>
    <n v="0"/>
    <n v="0"/>
    <n v="0"/>
    <n v="0"/>
  </r>
  <r>
    <x v="2"/>
    <s v="MEI45705"/>
    <s v="Pedido 1001"/>
    <d v="2025-02-15T00:00:00"/>
    <x v="85"/>
    <s v="PedidoF980"/>
    <s v="CódRastreio978"/>
    <n v="1"/>
    <s v="CPF 975"/>
    <s v="Nome 975"/>
    <s v="Tel 975"/>
    <s v="Cep 975"/>
    <s v="Rua 975"/>
    <s v="Comp 975"/>
    <s v="Ventilador Preto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7"/>
    <x v="90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05"/>
    <s v="Pedido 1002"/>
    <d v="2025-02-15T00:00:00"/>
    <x v="85"/>
    <s v="PedidoF981"/>
    <s v="CódRastreio979"/>
    <n v="1"/>
    <s v="CPF 976"/>
    <s v="Nome 976"/>
    <s v="Tel 976"/>
    <s v="Cep 976"/>
    <s v="Rua 976"/>
    <s v="Comp 976"/>
    <s v="Ventilador Preto"/>
    <s v="WU-SS4J-LFOH"/>
    <d v="2025-03-12T00:00:00"/>
    <n v="65.989999999999995"/>
    <n v="65.989999999999995"/>
    <n v="8.5786999999999995"/>
    <n v="57.41"/>
    <n v="0"/>
    <n v="0.2"/>
    <n v="0.39877104377104378"/>
    <n v="0"/>
    <n v="56.811228956228952"/>
    <n v="28.405614478114476"/>
    <x v="87"/>
    <x v="90"/>
    <x v="20"/>
    <d v="2025-04-02T00:00:00"/>
    <x v="4"/>
    <x v="0"/>
    <x v="5"/>
    <s v="ENTREGUE"/>
    <d v="2025-03-01T00:00:00"/>
    <x v="0"/>
    <m/>
    <n v="0"/>
    <n v="0"/>
    <n v="0"/>
    <n v="0"/>
    <n v="0"/>
  </r>
  <r>
    <x v="2"/>
    <s v="MEI45705"/>
    <s v="Pedido 1003"/>
    <d v="2025-02-15T00:00:00"/>
    <x v="85"/>
    <s v="PedidoF982"/>
    <s v="CódRastreio980"/>
    <n v="1"/>
    <s v="CPF 977"/>
    <s v="Nome 977"/>
    <s v="Tel 977"/>
    <s v="Cep 977"/>
    <s v="Rua 977"/>
    <s v="Comp 977"/>
    <s v="Ventilador Preto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6"/>
    <x v="89"/>
    <x v="20"/>
    <d v="2025-04-02T00:00:00"/>
    <x v="4"/>
    <x v="0"/>
    <x v="5"/>
    <s v="ENTREGUE"/>
    <d v="2025-03-14T00:00:00"/>
    <x v="0"/>
    <m/>
    <n v="0"/>
    <n v="0"/>
    <n v="0"/>
    <n v="0"/>
    <n v="0"/>
  </r>
  <r>
    <x v="2"/>
    <s v="MEI45705"/>
    <s v="Pedido 1004"/>
    <d v="2025-02-15T00:00:00"/>
    <x v="85"/>
    <s v="PedidoF983"/>
    <s v="CódRastreio981"/>
    <n v="1"/>
    <s v="CPF 978"/>
    <s v="Nome 978"/>
    <s v="Tel 978"/>
    <s v="Cep 978"/>
    <s v="Rua 978"/>
    <s v="Comp 978"/>
    <s v="Ventilador Preto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6"/>
    <x v="89"/>
    <x v="20"/>
    <d v="2025-04-02T00:00:00"/>
    <x v="4"/>
    <x v="0"/>
    <x v="5"/>
    <s v="ENTREGUE"/>
    <d v="2025-03-01T00:00:00"/>
    <x v="0"/>
    <m/>
    <n v="0"/>
    <n v="0"/>
    <n v="0"/>
    <n v="0"/>
    <n v="0"/>
  </r>
  <r>
    <x v="2"/>
    <s v="MEI45707"/>
    <s v="Pedido 1005"/>
    <d v="2025-02-15T00:00:00"/>
    <x v="86"/>
    <s v="PedidoF984"/>
    <s v="CódRastreio982"/>
    <n v="1"/>
    <s v="CPF 978"/>
    <s v="Nome 978"/>
    <s v="Tel 978"/>
    <s v="Cep 978"/>
    <s v="Rua 978"/>
    <s v="Comp 978"/>
    <s v="Ventilador Preto"/>
    <s v="WU-SS4J-LFOH"/>
    <d v="2025-03-18T00:00:00"/>
    <n v="65.989999999999995"/>
    <n v="65.989999999999995"/>
    <n v="8.5786999999999995"/>
    <n v="57.41"/>
    <n v="14.35"/>
    <n v="0.25"/>
    <n v="0.39877104377104378"/>
    <n v="0"/>
    <n v="42.411228956228953"/>
    <n v="21.205614478114477"/>
    <x v="86"/>
    <x v="89"/>
    <x v="20"/>
    <d v="2025-04-02T00:00:00"/>
    <x v="4"/>
    <x v="0"/>
    <x v="5"/>
    <s v="ENTREGUE"/>
    <d v="2025-03-07T00:00:00"/>
    <x v="0"/>
    <m/>
    <n v="0"/>
    <n v="0"/>
    <n v="0"/>
    <n v="0"/>
    <n v="0"/>
  </r>
  <r>
    <x v="2"/>
    <s v="MEI45705"/>
    <s v="Pedido 1006"/>
    <d v="2025-02-15T00:00:00"/>
    <x v="85"/>
    <s v="PedidoF985"/>
    <s v="CódRastreio983"/>
    <n v="1"/>
    <s v="CPF 979"/>
    <s v="Nome 979"/>
    <s v="Tel 979"/>
    <s v="Cep 979"/>
    <s v="Rua 979"/>
    <s v="Comp 979"/>
    <s v="Ventilador Preto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6"/>
    <x v="89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05"/>
    <s v="Pedido 1007"/>
    <d v="2025-02-16T00:00:00"/>
    <x v="85"/>
    <s v="PedidoF986"/>
    <s v="CódRastreio984"/>
    <n v="1"/>
    <s v="CPF 408"/>
    <s v="Nome 408"/>
    <s v="Tel 408"/>
    <s v="Cep 408"/>
    <s v="Rua 408"/>
    <s v="Comp 408"/>
    <s v="Ventilador Preto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7"/>
    <x v="90"/>
    <x v="20"/>
    <d v="2025-04-02T00:00:00"/>
    <x v="4"/>
    <x v="0"/>
    <x v="5"/>
    <s v="ENTREGUE"/>
    <d v="2025-03-05T00:00:00"/>
    <x v="0"/>
    <m/>
    <n v="0"/>
    <n v="0"/>
    <n v="0"/>
    <n v="0"/>
    <n v="0"/>
  </r>
  <r>
    <x v="2"/>
    <s v="MEI45705"/>
    <s v="Pedido 1008"/>
    <d v="2025-02-16T00:00:00"/>
    <x v="85"/>
    <s v="PedidoF987"/>
    <s v="CódRastreio985"/>
    <n v="1"/>
    <s v="CPF 980"/>
    <s v="Nome 980"/>
    <s v="Tel 980"/>
    <s v="Cep 980"/>
    <s v="Rua 980"/>
    <s v="Comp 980"/>
    <s v="Ventilador Preto"/>
    <s v="WU-SS4J-LFOH"/>
    <d v="2025-03-18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6"/>
    <x v="89"/>
    <x v="20"/>
    <d v="2025-04-02T00:00:00"/>
    <x v="4"/>
    <x v="0"/>
    <x v="5"/>
    <s v="ENTREGUE"/>
    <d v="2025-03-04T00:00:00"/>
    <x v="0"/>
    <m/>
    <n v="0"/>
    <n v="0"/>
    <n v="0"/>
    <n v="0"/>
    <n v="0"/>
  </r>
  <r>
    <x v="2"/>
    <s v="MEI45705"/>
    <s v="Pedido 1009"/>
    <d v="2025-02-16T00:00:00"/>
    <x v="85"/>
    <s v="PedidoF988"/>
    <s v="CódRastreio986"/>
    <n v="1"/>
    <s v="CPF 981"/>
    <s v="Nome 981"/>
    <s v="Tel 981"/>
    <s v="Cep 981"/>
    <s v="Rua 981"/>
    <s v="Comp 981"/>
    <s v="Ventilador Preto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7"/>
    <x v="90"/>
    <x v="20"/>
    <d v="2025-04-02T00:00:00"/>
    <x v="4"/>
    <x v="0"/>
    <x v="5"/>
    <s v="ENTREGUE"/>
    <d v="2025-02-28T00:00:00"/>
    <x v="0"/>
    <m/>
    <n v="0"/>
    <n v="0"/>
    <n v="0"/>
    <n v="0"/>
    <n v="0"/>
  </r>
  <r>
    <x v="2"/>
    <s v="MEI45705"/>
    <s v="Pedido 1010"/>
    <d v="2025-02-16T00:00:00"/>
    <x v="85"/>
    <s v="PedidoF989"/>
    <s v="CódRastreio987"/>
    <n v="1"/>
    <s v="CPF 982"/>
    <s v="Nome 982"/>
    <s v="Tel 982"/>
    <s v="Cep 982"/>
    <s v="Rua 982"/>
    <s v="Comp 982"/>
    <s v="Ventilador Preto"/>
    <s v="WU-SS4J-LFOH"/>
    <d v="2025-03-12T00:00:00"/>
    <n v="65.989999999999995"/>
    <n v="65.989999999999995"/>
    <n v="8.5786999999999995"/>
    <n v="57.41"/>
    <n v="13.21"/>
    <n v="0.2"/>
    <n v="0.39877104377104378"/>
    <n v="0"/>
    <n v="43.601228956228951"/>
    <n v="21.800614478114476"/>
    <x v="87"/>
    <x v="90"/>
    <x v="20"/>
    <d v="2025-04-02T00:00:00"/>
    <x v="4"/>
    <x v="0"/>
    <x v="5"/>
    <s v="ENTREGUE"/>
    <d v="2025-02-28T00:00:00"/>
    <x v="0"/>
    <m/>
    <n v="0"/>
    <n v="0"/>
    <n v="0"/>
    <n v="0"/>
    <n v="0"/>
  </r>
  <r>
    <x v="2"/>
    <s v="MEI45705"/>
    <s v="Pedido 1011"/>
    <d v="2025-02-16T00:00:00"/>
    <x v="85"/>
    <s v="PedidoF990"/>
    <s v="CódRastreio988"/>
    <n v="1"/>
    <s v="CPF 983"/>
    <s v="Nome 983"/>
    <s v="Tel 983"/>
    <s v="Cep 983"/>
    <s v="Rua 983"/>
    <s v="Comp 983"/>
    <s v="Mini Liquidificador"/>
    <s v="A4-5W51-K3HF"/>
    <d v="2025-03-12T00:00:00"/>
    <n v="30.99"/>
    <n v="30.99"/>
    <n v="4.3386000000000005"/>
    <n v="26.65"/>
    <n v="14.99"/>
    <n v="0.2"/>
    <n v="0.39877104377104378"/>
    <n v="0"/>
    <n v="11.061228956228955"/>
    <n v="5.5306144781144777"/>
    <x v="87"/>
    <x v="90"/>
    <x v="20"/>
    <d v="2025-04-02T00:00:00"/>
    <x v="4"/>
    <x v="0"/>
    <x v="5"/>
    <s v="ENTREGUE"/>
    <d v="2025-02-28T00:00:00"/>
    <x v="0"/>
    <m/>
    <n v="0"/>
    <n v="0"/>
    <n v="0"/>
    <n v="0"/>
    <n v="0"/>
  </r>
  <r>
    <x v="2"/>
    <s v="MEI45705"/>
    <s v="Pedido 1012"/>
    <d v="2025-02-17T00:00:00"/>
    <x v="85"/>
    <s v="PedidoF991"/>
    <s v="CódRastreio989"/>
    <n v="1"/>
    <s v="CPF 984"/>
    <s v="Nome 984"/>
    <s v="Tel 984"/>
    <s v="Cep 984"/>
    <s v="Rua 984"/>
    <s v="Comp 984"/>
    <s v="Ventilador Preto"/>
    <s v="WU-SS4J-LFOH"/>
    <d v="2025-03-13T00:00:00"/>
    <n v="65.989999999999995"/>
    <n v="65.989999999999995"/>
    <n v="8.5786999999999995"/>
    <n v="57.41"/>
    <n v="0"/>
    <n v="0.2"/>
    <n v="0.39877104377104378"/>
    <n v="0"/>
    <n v="56.811228956228952"/>
    <n v="28.405614478114476"/>
    <x v="89"/>
    <x v="92"/>
    <x v="20"/>
    <d v="2025-04-02T00:00:00"/>
    <x v="4"/>
    <x v="0"/>
    <x v="5"/>
    <s v="ENTREGUE"/>
    <d v="2025-04-01T00:00:00"/>
    <x v="0"/>
    <m/>
    <n v="0"/>
    <n v="0"/>
    <n v="0"/>
    <n v="0"/>
    <n v="0"/>
  </r>
  <r>
    <x v="0"/>
    <s v="BV45706"/>
    <s v="Pedido 1013"/>
    <d v="2025-02-17T00:00:00"/>
    <x v="87"/>
    <s v="PedidoF992"/>
    <s v="CódRastreio990"/>
    <n v="1"/>
    <s v="CPF 985"/>
    <s v="Nome 985"/>
    <s v="Tel 985"/>
    <s v="Cep 985"/>
    <s v="Rua 985"/>
    <s v="Comp 985"/>
    <s v="Ventilador Rosa"/>
    <s v="IF-G2ZQ-79FO"/>
    <d v="2025-03-19T00:00:00"/>
    <n v="78.989999999999995"/>
    <n v="78.989999999999995"/>
    <n v="10.268699999999999"/>
    <n v="68.72"/>
    <n v="13.29"/>
    <n v="0.2"/>
    <n v="0.39877104377104378"/>
    <n v="0"/>
    <n v="54.831228956228955"/>
    <n v="27.415614478114477"/>
    <x v="88"/>
    <x v="91"/>
    <x v="20"/>
    <d v="2025-04-02T00:00:00"/>
    <x v="4"/>
    <x v="0"/>
    <x v="5"/>
    <s v="ENTREGUE"/>
    <d v="2025-03-07T00:00:00"/>
    <x v="0"/>
    <m/>
    <n v="0"/>
    <n v="0"/>
    <n v="0"/>
    <n v="0"/>
    <n v="0"/>
  </r>
  <r>
    <x v="2"/>
    <s v="MEI45706"/>
    <s v="Pedido 1014"/>
    <d v="2025-02-17T00:00:00"/>
    <x v="87"/>
    <s v="PedidoF993"/>
    <s v="CódRastreio991"/>
    <n v="1"/>
    <s v="CPF 986"/>
    <s v="Nome 986"/>
    <s v="Tel 986"/>
    <s v="Cep 986"/>
    <s v="Rua 986"/>
    <s v="Comp 986"/>
    <s v="Ventilador Preto"/>
    <s v="WU-SS4J-LFOH"/>
    <d v="2025-03-19T00:00:00"/>
    <n v="65.989999999999995"/>
    <n v="65.989999999999995"/>
    <n v="8.5786999999999995"/>
    <n v="57.41"/>
    <n v="10.15"/>
    <n v="0.2"/>
    <n v="0.39877104377104378"/>
    <n v="0"/>
    <n v="46.661228956228953"/>
    <n v="23.330614478114477"/>
    <x v="88"/>
    <x v="91"/>
    <x v="20"/>
    <d v="2025-04-02T00:00:00"/>
    <x v="4"/>
    <x v="0"/>
    <x v="5"/>
    <s v="ENTREGUE"/>
    <d v="2025-03-08T00:00:00"/>
    <x v="0"/>
    <m/>
    <n v="0"/>
    <n v="0"/>
    <n v="0"/>
    <n v="0"/>
    <n v="0"/>
  </r>
  <r>
    <x v="2"/>
    <s v="MEI45706"/>
    <s v="Pedido 1015"/>
    <d v="2025-02-17T00:00:00"/>
    <x v="87"/>
    <s v="PedidoF994"/>
    <s v="CódRastreio992"/>
    <n v="1"/>
    <s v="CPF 987"/>
    <s v="Nome 987"/>
    <s v="Tel 987"/>
    <s v="Cep 987"/>
    <s v="Rua 987"/>
    <s v="Comp 987"/>
    <s v="Mini Liquidificador"/>
    <s v="A4-5W51-K3HF"/>
    <d v="2025-03-19T00:00:00"/>
    <n v="30.99"/>
    <n v="30.99"/>
    <n v="4.3386000000000005"/>
    <n v="26.65"/>
    <n v="14.99"/>
    <n v="0.2"/>
    <n v="0.39877104377104378"/>
    <n v="0"/>
    <n v="11.061228956228955"/>
    <n v="5.5306144781144777"/>
    <x v="88"/>
    <x v="91"/>
    <x v="20"/>
    <d v="2025-04-02T00:00:00"/>
    <x v="4"/>
    <x v="0"/>
    <x v="5"/>
    <s v="ENTREGUE"/>
    <d v="2025-02-27T00:00:00"/>
    <x v="0"/>
    <m/>
    <n v="0"/>
    <n v="0"/>
    <n v="0"/>
    <n v="0"/>
    <n v="0"/>
  </r>
  <r>
    <x v="2"/>
    <s v="MEI45706"/>
    <s v="Pedido 1016"/>
    <d v="2025-02-17T00:00:00"/>
    <x v="87"/>
    <s v="PedidoF995"/>
    <s v="CódRastreio993"/>
    <n v="1"/>
    <s v="CPF 988"/>
    <s v="Nome 988"/>
    <s v="Tel 988"/>
    <s v="Cep 988"/>
    <s v="Rua 988"/>
    <s v="Comp 988"/>
    <s v="Mini Liquidificador"/>
    <s v="A4-5W51-K3HF"/>
    <d v="2025-03-13T00:00:00"/>
    <n v="30.99"/>
    <n v="30.99"/>
    <n v="4.3386000000000005"/>
    <n v="26.65"/>
    <n v="14.99"/>
    <n v="0.2"/>
    <n v="0.39877104377104378"/>
    <n v="0"/>
    <n v="11.061228956228955"/>
    <n v="5.5306144781144777"/>
    <x v="89"/>
    <x v="92"/>
    <x v="20"/>
    <d v="2025-04-02T00:00:00"/>
    <x v="4"/>
    <x v="0"/>
    <x v="5"/>
    <s v="ENTREGUE"/>
    <d v="2025-02-24T00:00:00"/>
    <x v="0"/>
    <m/>
    <n v="0"/>
    <n v="0"/>
    <n v="0"/>
    <n v="0"/>
    <n v="0"/>
  </r>
  <r>
    <x v="2"/>
    <s v="MEI45706"/>
    <s v="Pedido 1017"/>
    <d v="2025-02-17T00:00:00"/>
    <x v="87"/>
    <s v="PedidoF996"/>
    <s v="CódRastreio994"/>
    <n v="1"/>
    <s v="CPF 989"/>
    <s v="Nome 989"/>
    <s v="Tel 989"/>
    <s v="Cep 989"/>
    <s v="Rua 989"/>
    <s v="Comp 989"/>
    <s v="Mini Liquidificador"/>
    <s v="A4-5W51-K3HF"/>
    <d v="2025-03-13T00:00:00"/>
    <n v="30.99"/>
    <n v="30.99"/>
    <n v="4.3386000000000005"/>
    <n v="26.65"/>
    <n v="14.99"/>
    <n v="0.2"/>
    <n v="0.39877104377104378"/>
    <n v="0"/>
    <n v="11.061228956228955"/>
    <n v="5.5306144781144777"/>
    <x v="89"/>
    <x v="92"/>
    <x v="20"/>
    <d v="2025-04-02T00:00:00"/>
    <x v="4"/>
    <x v="0"/>
    <x v="5"/>
    <s v="ENTREGUE"/>
    <d v="2025-02-22T00:00:00"/>
    <x v="0"/>
    <m/>
    <n v="0"/>
    <n v="0"/>
    <n v="0"/>
    <n v="0"/>
    <n v="0"/>
  </r>
  <r>
    <x v="2"/>
    <s v="MEI45706"/>
    <s v="Pedido 1018"/>
    <d v="2025-02-18T00:00:00"/>
    <x v="87"/>
    <s v="PedidoF997"/>
    <s v="CódRastreio995"/>
    <n v="1"/>
    <s v="CPF 990"/>
    <s v="Nome 990"/>
    <s v="Tel 990"/>
    <s v="Cep 990"/>
    <s v="Rua 990"/>
    <s v="Comp 990"/>
    <s v="Ventilador Preto"/>
    <s v="WU-SS4J-LFOH"/>
    <d v="2025-03-13T00:00:00"/>
    <n v="65.989999999999995"/>
    <n v="65.989999999999995"/>
    <n v="8.5786999999999995"/>
    <n v="57.41"/>
    <n v="10.15"/>
    <n v="0.2"/>
    <n v="0.39877104377104378"/>
    <n v="0"/>
    <n v="46.661228956228953"/>
    <n v="23.330614478114477"/>
    <x v="89"/>
    <x v="92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06"/>
    <s v="Pedido 1019"/>
    <d v="2025-02-18T00:00:00"/>
    <x v="87"/>
    <s v="PedidoF998"/>
    <s v="CódRastreio996"/>
    <n v="1"/>
    <s v="CPF 991"/>
    <s v="Nome 991"/>
    <s v="Tel 991"/>
    <s v="Cep 991"/>
    <s v="Rua 991"/>
    <s v="Comp 991"/>
    <s v="Mini Liquidificador"/>
    <s v="A4-5W51-K3HF"/>
    <d v="2025-03-14T00:00:00"/>
    <n v="30.99"/>
    <n v="30.99"/>
    <n v="4.3386000000000005"/>
    <n v="26.65"/>
    <n v="14.99"/>
    <n v="0.2"/>
    <n v="0.39877104377104378"/>
    <n v="0"/>
    <n v="11.061228956228955"/>
    <n v="5.5306144781144777"/>
    <x v="85"/>
    <x v="88"/>
    <x v="20"/>
    <d v="2025-04-02T00:00:00"/>
    <x v="4"/>
    <x v="0"/>
    <x v="5"/>
    <s v="ENTREGUE"/>
    <d v="2025-02-22T00:00:00"/>
    <x v="0"/>
    <m/>
    <n v="0"/>
    <n v="0"/>
    <n v="0"/>
    <n v="0"/>
    <n v="0"/>
  </r>
  <r>
    <x v="0"/>
    <s v="BV45707"/>
    <s v="Pedido 1020"/>
    <d v="2025-02-19T00:00:00"/>
    <x v="86"/>
    <s v="PedidoF999"/>
    <s v="CódRastreio997"/>
    <n v="1"/>
    <s v="CPF 992"/>
    <s v="Nome 992"/>
    <s v="Tel 992"/>
    <s v="Cep 992"/>
    <s v="Rua 992"/>
    <s v="Comp 992"/>
    <s v="Garrafa Termica"/>
    <s v="FM-QQ8Y-RZT4"/>
    <d v="2025-03-14T00:00:00"/>
    <n v="33.99"/>
    <n v="33.99"/>
    <n v="4.4187000000000003"/>
    <n v="29.57"/>
    <n v="13.8"/>
    <n v="0.2"/>
    <n v="0.39877104377104378"/>
    <n v="0"/>
    <n v="15.171228956228957"/>
    <n v="7.5856144781144783"/>
    <x v="85"/>
    <x v="88"/>
    <x v="20"/>
    <d v="2025-04-02T00:00:00"/>
    <x v="4"/>
    <x v="0"/>
    <x v="5"/>
    <s v="ENTREGUE"/>
    <d v="2025-02-24T00:00:00"/>
    <x v="0"/>
    <m/>
    <n v="0"/>
    <n v="0"/>
    <n v="0"/>
    <n v="0"/>
    <n v="0"/>
  </r>
  <r>
    <x v="0"/>
    <s v="BV45707"/>
    <s v="Pedido 1021"/>
    <d v="2025-02-19T00:00:00"/>
    <x v="86"/>
    <s v="PedidoF1000"/>
    <s v="CódRastreio998"/>
    <n v="1"/>
    <s v="CPF 993"/>
    <s v="Nome 993"/>
    <s v="Tel 993"/>
    <s v="Cep 993"/>
    <s v="Rua 993"/>
    <s v="Comp 993"/>
    <s v="Ventilador Rosa"/>
    <s v="IF-G2ZQ-79FO"/>
    <d v="2025-03-15T00:00:00"/>
    <n v="78.989999999999995"/>
    <n v="78.989999999999995"/>
    <n v="10.268699999999999"/>
    <n v="68.72"/>
    <n v="13.43"/>
    <n v="0.2"/>
    <n v="0.39877104377104378"/>
    <n v="0"/>
    <n v="54.691228956228954"/>
    <n v="27.345614478114477"/>
    <x v="91"/>
    <x v="94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07"/>
    <s v="Pedido 1022"/>
    <d v="2025-02-19T00:00:00"/>
    <x v="86"/>
    <s v="PedidoF1001"/>
    <s v="CódRastreio999"/>
    <n v="1"/>
    <s v="CPF 994"/>
    <s v="Nome 994"/>
    <s v="Tel 994"/>
    <s v="Cep 994"/>
    <s v="Rua 994"/>
    <s v="Comp 994"/>
    <s v="Ventilador Preto"/>
    <s v="WU-SS4J-LFOH"/>
    <d v="2025-03-14T00:00:00"/>
    <n v="65.989999999999995"/>
    <n v="65.989999999999995"/>
    <n v="8.5786999999999995"/>
    <n v="57.41"/>
    <n v="0"/>
    <n v="0.25"/>
    <n v="0.39877104377104378"/>
    <n v="0"/>
    <n v="56.761228956228955"/>
    <n v="28.380614478114477"/>
    <x v="85"/>
    <x v="88"/>
    <x v="20"/>
    <d v="2025-04-02T00:00:00"/>
    <x v="4"/>
    <x v="0"/>
    <x v="5"/>
    <s v="ENTREGUE"/>
    <d v="2025-03-03T00:00:00"/>
    <x v="0"/>
    <m/>
    <n v="0"/>
    <n v="0"/>
    <n v="0"/>
    <n v="0"/>
    <n v="0"/>
  </r>
  <r>
    <x v="2"/>
    <s v="MEI45707"/>
    <s v="Pedido 1023"/>
    <d v="2025-02-19T00:00:00"/>
    <x v="86"/>
    <s v="PedidoF1002"/>
    <s v="CódRastreio1000"/>
    <n v="1"/>
    <s v="CPF 995"/>
    <s v="Nome 995"/>
    <s v="Tel 995"/>
    <s v="Cep 995"/>
    <s v="Rua 995"/>
    <s v="Comp 995"/>
    <s v="Ventilador Preto"/>
    <s v="WU-SS4J-LFOH"/>
    <d v="2025-03-20T00:00:00"/>
    <n v="65.989999999999995"/>
    <n v="65.989999999999995"/>
    <n v="8.5786999999999995"/>
    <n v="57.41"/>
    <n v="14.35"/>
    <n v="0.25"/>
    <n v="0.39877104377104378"/>
    <n v="0"/>
    <n v="42.411228956228953"/>
    <n v="21.205614478114477"/>
    <x v="94"/>
    <x v="97"/>
    <x v="20"/>
    <d v="2025-04-02T00:00:00"/>
    <x v="4"/>
    <x v="0"/>
    <x v="5"/>
    <s v="ENTREGUE"/>
    <d v="2025-03-13T00:00:00"/>
    <x v="0"/>
    <m/>
    <n v="0"/>
    <n v="0"/>
    <n v="0"/>
    <n v="0"/>
    <n v="0"/>
  </r>
  <r>
    <x v="2"/>
    <s v="MEI45708"/>
    <s v="Pedido 1024"/>
    <d v="2025-02-19T00:00:00"/>
    <x v="88"/>
    <s v="PedidoF1003"/>
    <s v="CódRastreio1001"/>
    <n v="1"/>
    <s v="CPF 996"/>
    <s v="Nome 996"/>
    <s v="Tel 996"/>
    <s v="Cep 996"/>
    <s v="Rua 996"/>
    <s v="Comp 996"/>
    <s v="Ventilador Preto"/>
    <s v="WU-SS4J-LFOH"/>
    <d v="2025-03-14T00:00:00"/>
    <n v="65.989999999999995"/>
    <n v="65.989999999999995"/>
    <n v="8.5786999999999995"/>
    <n v="57.41"/>
    <n v="0"/>
    <n v="0.2"/>
    <n v="0.39877104377104378"/>
    <n v="0"/>
    <n v="56.811228956228952"/>
    <n v="28.405614478114476"/>
    <x v="85"/>
    <x v="88"/>
    <x v="20"/>
    <d v="2025-04-02T00:00:00"/>
    <x v="4"/>
    <x v="0"/>
    <x v="5"/>
    <s v="ENTREGUE"/>
    <d v="2025-04-03T00:00:00"/>
    <x v="0"/>
    <m/>
    <n v="0"/>
    <n v="0"/>
    <n v="0"/>
    <n v="0"/>
    <n v="0"/>
  </r>
  <r>
    <x v="2"/>
    <s v="MEI45707"/>
    <s v="Pedido 1025"/>
    <d v="2025-02-19T00:00:00"/>
    <x v="86"/>
    <s v="PedidoF1004"/>
    <s v="CódRastreio1002"/>
    <n v="1"/>
    <s v="CPF 997"/>
    <s v="Nome 997"/>
    <s v="Tel 997"/>
    <s v="Cep 997"/>
    <s v="Rua 997"/>
    <s v="Comp 997"/>
    <s v="Ventilador Preto"/>
    <s v="WU-SS4J-LFOH"/>
    <d v="2025-03-15T00:00:00"/>
    <n v="65.989999999999995"/>
    <n v="65.989999999999995"/>
    <n v="8.5786999999999995"/>
    <n v="57.41"/>
    <n v="14.35"/>
    <n v="0.25"/>
    <n v="0.39877104377104378"/>
    <n v="0"/>
    <n v="42.411228956228953"/>
    <n v="21.205614478114477"/>
    <x v="91"/>
    <x v="94"/>
    <x v="20"/>
    <d v="2025-04-02T00:00:00"/>
    <x v="4"/>
    <x v="0"/>
    <x v="5"/>
    <s v="ENTREGUE"/>
    <d v="2025-03-05T00:00:00"/>
    <x v="0"/>
    <m/>
    <n v="0"/>
    <n v="0"/>
    <n v="0"/>
    <n v="0"/>
    <n v="0"/>
  </r>
  <r>
    <x v="0"/>
    <s v="BV45708"/>
    <s v="Pedido 1026"/>
    <d v="2025-02-20T00:00:00"/>
    <x v="88"/>
    <s v="PedidoF1005"/>
    <s v="CódRastreio1003"/>
    <n v="1"/>
    <s v="CPF 998"/>
    <s v="Nome 998"/>
    <s v="Tel 998"/>
    <s v="Cep 998"/>
    <s v="Rua 998"/>
    <s v="Comp 998"/>
    <s v="Ventilador Rosa"/>
    <s v="IF-G2ZQ-79FO"/>
    <d v="2025-03-22T00:00:00"/>
    <n v="65.989999999999995"/>
    <n v="65.989999999999995"/>
    <n v="8.5786999999999995"/>
    <n v="57.41"/>
    <n v="13.47"/>
    <n v="0.4"/>
    <n v="0.39877104377104378"/>
    <n v="0"/>
    <n v="43.14122895622895"/>
    <n v="21.570614478114475"/>
    <x v="92"/>
    <x v="95"/>
    <x v="20"/>
    <d v="2025-04-02T00:00:00"/>
    <x v="4"/>
    <x v="0"/>
    <x v="5"/>
    <s v="ENTREGUE"/>
    <d v="2025-03-07T00:00:00"/>
    <x v="0"/>
    <m/>
    <n v="0"/>
    <n v="0"/>
    <n v="0"/>
    <n v="0"/>
    <n v="0"/>
  </r>
  <r>
    <x v="2"/>
    <s v="MEI45710"/>
    <s v="Pedido 1027"/>
    <d v="2025-02-20T00:00:00"/>
    <x v="89"/>
    <s v="PedidoF1006"/>
    <s v="CódRastreio1004"/>
    <n v="1"/>
    <s v="CPF 999"/>
    <s v="Nome 999"/>
    <s v="Tel 999"/>
    <s v="Cep 999"/>
    <s v="Rua 999"/>
    <s v="Comp 999"/>
    <s v="Ventilador Preto"/>
    <s v="WU-SS4J-LFOH"/>
    <d v="2025-03-18T00:00:00"/>
    <n v="65.989999999999995"/>
    <n v="65.989999999999995"/>
    <n v="8.5786999999999995"/>
    <n v="57.41"/>
    <n v="16.05"/>
    <n v="0.2"/>
    <n v="0.39877104377104378"/>
    <n v="0"/>
    <n v="40.761228956228948"/>
    <n v="20.380614478114474"/>
    <x v="86"/>
    <x v="89"/>
    <x v="20"/>
    <d v="2025-04-02T00:00:00"/>
    <x v="4"/>
    <x v="0"/>
    <x v="5"/>
    <s v="ENTREGUE"/>
    <d v="2025-02-28T00:00:00"/>
    <x v="0"/>
    <m/>
    <n v="0"/>
    <n v="0"/>
    <n v="0"/>
    <n v="0"/>
    <n v="0"/>
  </r>
  <r>
    <x v="0"/>
    <s v="BV45710"/>
    <s v="Pedido 1028"/>
    <d v="2025-02-20T00:00:00"/>
    <x v="89"/>
    <s v="PedidoF1007"/>
    <s v="CódRastreio1005"/>
    <n v="1"/>
    <s v="CPF 1000"/>
    <s v="Nome 1000"/>
    <s v="Tel 1000"/>
    <s v="Cep 1000"/>
    <s v="Rua 1000"/>
    <s v="Comp 1000"/>
    <s v="Garrafa Termica"/>
    <s v="FM-QQ8Y-RZT4"/>
    <d v="2025-03-12T00:00:00"/>
    <n v="23.5"/>
    <n v="23.5"/>
    <n v="3.0550000000000002"/>
    <n v="20.45"/>
    <n v="6.99"/>
    <n v="0.2"/>
    <n v="0.39877104377104378"/>
    <n v="0"/>
    <n v="12.861228956228956"/>
    <n v="6.4306144781144781"/>
    <x v="87"/>
    <x v="90"/>
    <x v="20"/>
    <d v="2025-04-02T00:00:00"/>
    <x v="4"/>
    <x v="0"/>
    <x v="5"/>
    <s v="ENTREGUE"/>
    <d v="2025-02-27T00:00:00"/>
    <x v="0"/>
    <m/>
    <n v="0"/>
    <n v="0"/>
    <n v="0"/>
    <n v="0"/>
    <n v="0"/>
  </r>
  <r>
    <x v="0"/>
    <s v="BV45710"/>
    <s v="Pedido 1029"/>
    <d v="2025-02-20T00:00:00"/>
    <x v="89"/>
    <s v="PedidoF1008"/>
    <s v="CódRastreio1006"/>
    <n v="1"/>
    <s v="CPF 1001"/>
    <s v="Nome 1001"/>
    <s v="Tel 1001"/>
    <s v="Cep 1001"/>
    <s v="Rua 1001"/>
    <s v="Comp 1001"/>
    <s v="Ventilador Rosa"/>
    <s v="IF-G2ZQ-79FO"/>
    <d v="2025-03-18T00:00:00"/>
    <n v="65.989999999999995"/>
    <n v="65.989999999999995"/>
    <n v="8.5786999999999995"/>
    <n v="57.41"/>
    <n v="15.28"/>
    <n v="0.2"/>
    <n v="0.39877104377104378"/>
    <n v="0"/>
    <n v="41.531228956228958"/>
    <n v="20.765614478114479"/>
    <x v="86"/>
    <x v="89"/>
    <x v="20"/>
    <d v="2025-04-02T00:00:00"/>
    <x v="4"/>
    <x v="0"/>
    <x v="5"/>
    <s v="ENTREGUE"/>
    <d v="2025-03-06T00:00:00"/>
    <x v="0"/>
    <m/>
    <n v="0"/>
    <n v="0"/>
    <n v="0"/>
    <n v="0"/>
    <n v="0"/>
  </r>
  <r>
    <x v="0"/>
    <s v="BV45710"/>
    <s v="Pedido 1030"/>
    <d v="2025-02-21T00:00:00"/>
    <x v="89"/>
    <s v="PedidoF1009"/>
    <s v="CódRastreio1007"/>
    <n v="1"/>
    <s v="CPF 1002"/>
    <s v="Nome 1002"/>
    <s v="Tel 1002"/>
    <s v="Cep 1002"/>
    <s v="Rua 1002"/>
    <s v="Comp 1002"/>
    <s v="Caixinha de som Preta"/>
    <s v="5D-KKPK-K70I"/>
    <d v="2025-03-25T00:00:00"/>
    <n v="25.99"/>
    <n v="25.99"/>
    <n v="3.8984999999999994"/>
    <n v="22.09"/>
    <n v="12.05"/>
    <n v="0.2"/>
    <n v="0.39877104377104378"/>
    <n v="0"/>
    <n v="9.4412289562289562"/>
    <n v="4.7206144781144781"/>
    <x v="93"/>
    <x v="96"/>
    <x v="22"/>
    <d v="2025-04-16T00:00:00"/>
    <x v="5"/>
    <x v="0"/>
    <x v="5"/>
    <s v="ENTREGUE"/>
    <d v="2025-03-18T00:00:00"/>
    <x v="0"/>
    <m/>
    <n v="0"/>
    <n v="0"/>
    <n v="0"/>
    <n v="0"/>
    <n v="0"/>
  </r>
  <r>
    <x v="0"/>
    <s v="BV45710"/>
    <s v="Pedido 1031"/>
    <d v="2025-02-21T00:00:00"/>
    <x v="89"/>
    <s v="PedidoF1010"/>
    <s v="CódRastreio1008"/>
    <n v="1"/>
    <s v="CPF 1003"/>
    <s v="Nome 1003"/>
    <s v="Tel 1003"/>
    <s v="Cep 1003"/>
    <s v="Rua 1003"/>
    <s v="Comp 1003"/>
    <s v="Garrafa Termica"/>
    <s v="FM-QQ8Y-RZT4"/>
    <d v="2025-03-13T00:00:00"/>
    <n v="23.5"/>
    <n v="23.5"/>
    <n v="3.0550000000000002"/>
    <n v="20.45"/>
    <n v="6.99"/>
    <n v="0.2"/>
    <n v="0.39877104377104378"/>
    <n v="0"/>
    <n v="12.861228956228956"/>
    <n v="6.4306144781144781"/>
    <x v="89"/>
    <x v="92"/>
    <x v="20"/>
    <d v="2025-04-02T00:00:00"/>
    <x v="4"/>
    <x v="0"/>
    <x v="5"/>
    <s v="ENTREGUE"/>
    <d v="2025-02-26T00:00:00"/>
    <x v="0"/>
    <m/>
    <n v="0"/>
    <n v="0"/>
    <n v="0"/>
    <n v="0"/>
    <n v="0"/>
  </r>
  <r>
    <x v="0"/>
    <s v="BV45710"/>
    <s v="Pedido 1032"/>
    <d v="2025-02-21T00:00:00"/>
    <x v="89"/>
    <s v="PedidoF1011"/>
    <s v="CódRastreio1009"/>
    <n v="1"/>
    <s v="CPF 1004"/>
    <s v="Nome 1004"/>
    <s v="Tel 1004"/>
    <s v="Cep 1004"/>
    <s v="Rua 1004"/>
    <s v="Comp 1004"/>
    <s v="Multi Processador USB 3 Laminas"/>
    <s v="QH-IFCI-7SW7"/>
    <d v="2025-03-11T00:00:00"/>
    <n v="26.99"/>
    <n v="26.99"/>
    <n v="3.5086999999999997"/>
    <n v="23.48"/>
    <n v="10.5"/>
    <n v="0.2"/>
    <n v="0.39877104377104378"/>
    <n v="0"/>
    <n v="12.381228956228957"/>
    <n v="6.1906144781144787"/>
    <x v="78"/>
    <x v="81"/>
    <x v="20"/>
    <d v="2025-04-02T00:00:00"/>
    <x v="4"/>
    <x v="0"/>
    <x v="5"/>
    <s v="ENTREGUE"/>
    <d v="2025-02-26T00:00:00"/>
    <x v="0"/>
    <m/>
    <n v="0"/>
    <n v="0"/>
    <n v="0"/>
    <n v="0"/>
    <n v="0"/>
  </r>
  <r>
    <x v="0"/>
    <s v="BV45710"/>
    <s v="Pedido 1033"/>
    <d v="2025-02-21T00:00:00"/>
    <x v="89"/>
    <s v="PedidoF1012"/>
    <s v="CódRastreio1010"/>
    <n v="1"/>
    <s v="CPF 1005"/>
    <s v="Nome 1005"/>
    <s v="Tel 1005"/>
    <s v="Cep 1005"/>
    <s v="Rua 1005"/>
    <s v="Comp 1005"/>
    <s v="Garrafa Termica"/>
    <s v="FM-QQ8Y-RZT4"/>
    <d v="2025-03-19T00:00:00"/>
    <n v="23.5"/>
    <n v="23.5"/>
    <n v="3.0550000000000002"/>
    <n v="20.45"/>
    <n v="29.01"/>
    <n v="0.2"/>
    <n v="0.39877104377104378"/>
    <n v="0"/>
    <n v="-9.158771043771047"/>
    <n v="-4.5793855218855235"/>
    <x v="88"/>
    <x v="91"/>
    <x v="20"/>
    <d v="2025-04-02T00:00:00"/>
    <x v="4"/>
    <x v="0"/>
    <x v="5"/>
    <s v="ENTREGUE"/>
    <d v="2025-03-05T00:00:00"/>
    <x v="0"/>
    <m/>
    <n v="0"/>
    <n v="0"/>
    <n v="0"/>
    <n v="0"/>
    <n v="0"/>
  </r>
  <r>
    <x v="1"/>
    <s v="GO45710"/>
    <s v="Pedido 1034"/>
    <d v="2025-02-21T00:00:00"/>
    <x v="89"/>
    <s v="PedidoF1013"/>
    <s v="CódRastreio1011"/>
    <n v="1"/>
    <s v="CPF 1006"/>
    <s v="Nome 1006"/>
    <s v="Tel 1006"/>
    <s v="Cep 1006"/>
    <s v="Rua 1006"/>
    <s v="Comp 1006"/>
    <s v="Webcam"/>
    <s v="HL-E4X9-IHLB"/>
    <d v="2025-03-25T00:00:00"/>
    <n v="51.99"/>
    <n v="51.99"/>
    <n v="7.7984999999999998"/>
    <n v="44.19"/>
    <n v="21.75"/>
    <n v="0.2"/>
    <n v="0.39877104377104378"/>
    <n v="0"/>
    <n v="21.841228956228953"/>
    <n v="21.841228956228953"/>
    <x v="93"/>
    <x v="96"/>
    <x v="22"/>
    <d v="2025-04-16T00:00:00"/>
    <x v="5"/>
    <x v="0"/>
    <x v="5"/>
    <s v="ENTREGUE"/>
    <d v="2025-03-07T00:00:00"/>
    <x v="0"/>
    <m/>
    <n v="0"/>
    <n v="0"/>
    <n v="0"/>
    <n v="0"/>
    <n v="0"/>
  </r>
  <r>
    <x v="0"/>
    <s v="BV45712"/>
    <s v="Pedido 1035"/>
    <d v="2025-02-22T00:00:00"/>
    <x v="90"/>
    <s v="PedidoF1014"/>
    <s v="CódRastreio1012"/>
    <n v="1"/>
    <s v="CPF 1007"/>
    <s v="Nome 1007"/>
    <s v="Tel 1007"/>
    <s v="Cep 1007"/>
    <s v="Rua 1007"/>
    <s v="Comp 1007"/>
    <s v="Copo Termico"/>
    <s v="KN-TBQL-K2MM"/>
    <d v="2025-03-13T00:00:00"/>
    <n v="23.9"/>
    <n v="23.9"/>
    <n v="3.1069999999999998"/>
    <n v="20.79"/>
    <n v="6.99"/>
    <n v="0.23"/>
    <n v="0.39877104377104378"/>
    <n v="0"/>
    <n v="13.171228956228955"/>
    <n v="6.5856144781144774"/>
    <x v="89"/>
    <x v="92"/>
    <x v="20"/>
    <d v="2025-04-02T00:00:00"/>
    <x v="4"/>
    <x v="0"/>
    <x v="5"/>
    <s v="ENTREGUE"/>
    <d v="2025-03-07T00:00:00"/>
    <x v="0"/>
    <m/>
    <n v="0"/>
    <n v="0"/>
    <n v="0"/>
    <n v="0"/>
    <n v="0"/>
  </r>
  <r>
    <x v="0"/>
    <s v="BV45712"/>
    <s v="Pedido 1036"/>
    <d v="2025-02-23T00:00:00"/>
    <x v="90"/>
    <s v="PedidoF1015"/>
    <s v="CódRastreio1013"/>
    <n v="1"/>
    <s v="CPF 1008"/>
    <s v="Nome 1008"/>
    <s v="Tel 1008"/>
    <s v="Cep 1008"/>
    <s v="Rua 1008"/>
    <s v="Comp 1008"/>
    <s v="Suporte de Celular Branco"/>
    <s v="16-4EDB-WMZF"/>
    <d v="2025-03-19T00:00:00"/>
    <n v="24.99"/>
    <n v="24.99"/>
    <n v="3.7484999999999995"/>
    <n v="21.24"/>
    <n v="0"/>
    <n v="0.23"/>
    <n v="0.39877104377104378"/>
    <n v="0"/>
    <n v="20.611228956228956"/>
    <n v="10.305614478114478"/>
    <x v="88"/>
    <x v="91"/>
    <x v="20"/>
    <d v="2025-04-02T00:00:00"/>
    <x v="4"/>
    <x v="0"/>
    <x v="5"/>
    <s v="ENTREGUE"/>
    <d v="2025-03-29T00:00:00"/>
    <x v="0"/>
    <m/>
    <n v="0"/>
    <n v="0"/>
    <n v="0"/>
    <n v="0"/>
    <n v="0"/>
  </r>
  <r>
    <x v="0"/>
    <s v="BV45712"/>
    <s v="Pedido 1037"/>
    <d v="2025-02-23T00:00:00"/>
    <x v="90"/>
    <s v="PedidoF1016"/>
    <s v="CódRastreio1014"/>
    <n v="1"/>
    <s v="CPF 1009"/>
    <s v="Nome 1009"/>
    <s v="Tel 1009"/>
    <s v="Cep 1009"/>
    <s v="Rua 1009"/>
    <s v="Comp 1009"/>
    <s v="Garrafa Termica"/>
    <s v="FM-QQ8Y-RZT4"/>
    <d v="2025-03-19T00:00:00"/>
    <n v="23.5"/>
    <n v="23.5"/>
    <n v="3.0550000000000002"/>
    <n v="20.45"/>
    <n v="15.8"/>
    <n v="0.23"/>
    <n v="0.39877104377104378"/>
    <n v="0"/>
    <n v="4.0212289562289527"/>
    <n v="2.0106144781144764"/>
    <x v="88"/>
    <x v="91"/>
    <x v="20"/>
    <d v="2025-04-02T00:00:00"/>
    <x v="4"/>
    <x v="0"/>
    <x v="5"/>
    <s v="ENTREGUE"/>
    <d v="2025-03-01T00:00:00"/>
    <x v="0"/>
    <m/>
    <n v="0"/>
    <n v="0"/>
    <n v="0"/>
    <n v="0"/>
    <n v="0"/>
  </r>
  <r>
    <x v="0"/>
    <s v="BV45716"/>
    <s v="Pedido 1038"/>
    <d v="2025-02-23T00:00:00"/>
    <x v="91"/>
    <s v="PedidoF1017"/>
    <s v="CódRastreio1015"/>
    <n v="1"/>
    <s v="CPF 1010"/>
    <s v="Nome 1010"/>
    <s v="Tel 1010"/>
    <s v="Cep 1010"/>
    <s v="Rua 1010"/>
    <s v="Comp 1010"/>
    <s v="Ventilador Umidificador Branco"/>
    <s v="IA-LLX9-MRV1"/>
    <d v="2025-04-01T00:00:00"/>
    <n v="65.989999999999995"/>
    <n v="65.989999999999995"/>
    <n v="9.2385999999999999"/>
    <n v="56.75"/>
    <n v="36.869999999999997"/>
    <n v="0.2"/>
    <n v="0.39877104377104378"/>
    <n v="0"/>
    <n v="19.281228956228958"/>
    <n v="9.6406144781144789"/>
    <x v="95"/>
    <x v="98"/>
    <x v="22"/>
    <d v="2025-04-16T00:00:00"/>
    <x v="5"/>
    <x v="0"/>
    <x v="5"/>
    <s v="ENTREGUE"/>
    <d v="2025-04-03T00:00:00"/>
    <x v="0"/>
    <m/>
    <n v="0"/>
    <n v="0"/>
    <n v="0"/>
    <n v="0"/>
    <n v="0"/>
  </r>
  <r>
    <x v="0"/>
    <s v="BV45712"/>
    <s v="Pedido 1039"/>
    <d v="2025-02-24T00:00:00"/>
    <x v="90"/>
    <s v="PedidoF1018"/>
    <s v="CódRastreio1016"/>
    <n v="1"/>
    <s v="CPF 1011"/>
    <s v="Nome 1011"/>
    <s v="Tel 1011"/>
    <s v="Cep 1011"/>
    <s v="Rua 1011"/>
    <s v="Comp 1011"/>
    <s v="Copo Termico"/>
    <s v="KN-TBQL-K2MM"/>
    <d v="2025-03-13T00:00:00"/>
    <n v="23.9"/>
    <n v="23.9"/>
    <n v="3.1069999999999998"/>
    <n v="20.79"/>
    <n v="6.99"/>
    <n v="0.23"/>
    <n v="0.39877104377104378"/>
    <n v="0"/>
    <n v="13.171228956228955"/>
    <n v="6.5856144781144774"/>
    <x v="89"/>
    <x v="92"/>
    <x v="20"/>
    <d v="2025-04-02T00:00:00"/>
    <x v="4"/>
    <x v="0"/>
    <x v="5"/>
    <s v="ENTREGUE"/>
    <d v="2025-02-26T00:00:00"/>
    <x v="0"/>
    <m/>
    <n v="0"/>
    <n v="0"/>
    <n v="0"/>
    <n v="0"/>
    <n v="0"/>
  </r>
  <r>
    <x v="0"/>
    <s v="BV45712"/>
    <s v="Pedido 1040"/>
    <d v="2025-02-24T00:00:00"/>
    <x v="90"/>
    <s v="PedidoF1019"/>
    <s v="CódRastreio1017"/>
    <n v="1"/>
    <s v="CPF 1012"/>
    <s v="Nome 1012"/>
    <s v="Tel 1012"/>
    <s v="Cep 1012"/>
    <s v="Rua 1012"/>
    <s v="Comp 1012"/>
    <s v="Copo Termico"/>
    <s v="KN-TBQL-K2MM"/>
    <d v="2025-03-26T00:00:00"/>
    <n v="23.9"/>
    <n v="23.9"/>
    <n v="3.1069999999999998"/>
    <n v="20.79"/>
    <n v="16.989999999999998"/>
    <n v="0.23"/>
    <n v="0.39877104377104378"/>
    <n v="0"/>
    <n v="3.1712289562289548"/>
    <n v="1.5856144781144774"/>
    <x v="96"/>
    <x v="99"/>
    <x v="22"/>
    <d v="2025-04-16T00:00:00"/>
    <x v="5"/>
    <x v="0"/>
    <x v="5"/>
    <s v="ENTREGUE"/>
    <d v="2025-03-03T00:00:00"/>
    <x v="0"/>
    <m/>
    <n v="0"/>
    <n v="0"/>
    <n v="0"/>
    <n v="0"/>
    <n v="0"/>
  </r>
  <r>
    <x v="0"/>
    <s v="BV45712"/>
    <s v="Pedido 1041"/>
    <d v="2025-02-24T00:00:00"/>
    <x v="90"/>
    <s v="PedidoF1020"/>
    <s v="CódRastreio1018"/>
    <n v="1"/>
    <s v="CPF 1013"/>
    <s v="Nome 1013"/>
    <s v="Tel 1013"/>
    <s v="Cep 1013"/>
    <s v="Rua 1013"/>
    <s v="Comp 1013"/>
    <s v="Copo Termico"/>
    <s v="KN-TBQL-K2MM"/>
    <d v="2025-03-14T00:00:00"/>
    <n v="23.9"/>
    <n v="23.9"/>
    <n v="3.1069999999999998"/>
    <n v="20.79"/>
    <n v="13.63"/>
    <n v="0.23"/>
    <n v="0.39877104377104378"/>
    <n v="0"/>
    <n v="6.5312289562289543"/>
    <n v="3.2656144781144771"/>
    <x v="85"/>
    <x v="88"/>
    <x v="20"/>
    <d v="2025-04-02T00:00:00"/>
    <x v="4"/>
    <x v="0"/>
    <x v="5"/>
    <s v="ENTREGUE"/>
    <d v="2025-03-07T00:00:00"/>
    <x v="0"/>
    <m/>
    <n v="0"/>
    <n v="0"/>
    <n v="0"/>
    <n v="0"/>
    <n v="0"/>
  </r>
  <r>
    <x v="0"/>
    <s v="BV45712"/>
    <s v="Pedido 1042"/>
    <d v="2025-02-24T00:00:00"/>
    <x v="90"/>
    <s v="PedidoF1021"/>
    <s v="CódRastreio1019"/>
    <n v="1"/>
    <s v="CPF 1014"/>
    <s v="Nome 1014"/>
    <s v="Tel 1014"/>
    <s v="Cep 1014"/>
    <s v="Rua 1014"/>
    <s v="Comp 1014"/>
    <s v="Ventilador Rosa"/>
    <s v="IF-G2ZQ-79FO"/>
    <d v="2025-03-20T00:00:00"/>
    <n v="65.989999999999995"/>
    <n v="65.989999999999995"/>
    <n v="8.5786999999999995"/>
    <n v="57.41"/>
    <n v="14.53"/>
    <n v="0.23"/>
    <n v="0.39877104377104378"/>
    <n v="0"/>
    <n v="42.251228956228957"/>
    <n v="21.125614478114478"/>
    <x v="94"/>
    <x v="97"/>
    <x v="20"/>
    <d v="2025-04-02T00:00:00"/>
    <x v="4"/>
    <x v="0"/>
    <x v="5"/>
    <s v="ENTREGUE"/>
    <d v="2025-03-10T00:00:00"/>
    <x v="0"/>
    <m/>
    <n v="0"/>
    <n v="0"/>
    <n v="0"/>
    <n v="0"/>
    <n v="0"/>
  </r>
  <r>
    <x v="2"/>
    <s v="MEI45712"/>
    <s v="Pedido 1043"/>
    <d v="2025-02-22T00:00:00"/>
    <x v="90"/>
    <s v="PedidoF1022"/>
    <s v="CódRastreio1020"/>
    <n v="1"/>
    <s v="CPF 408"/>
    <s v="Nome 408"/>
    <s v="Tel 408"/>
    <s v="Cep 408"/>
    <s v="Rua 408"/>
    <s v="Comp 408"/>
    <s v="Ventilador Preto"/>
    <s v="WU-SS4J-LFOH"/>
    <d v="2025-03-19T00:00:00"/>
    <n v="65.75"/>
    <n v="65.75"/>
    <n v="8.5474999999999994"/>
    <n v="57.2"/>
    <n v="12.08"/>
    <n v="0.2"/>
    <n v="0.39877104377104378"/>
    <n v="0"/>
    <n v="44.52122895622896"/>
    <n v="22.26061447811448"/>
    <x v="88"/>
    <x v="91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12"/>
    <s v="Pedido 1044"/>
    <d v="2025-02-22T00:00:00"/>
    <x v="90"/>
    <s v="PedidoF1023"/>
    <s v="CódRastreio1021"/>
    <n v="1"/>
    <s v="CPF 1015"/>
    <s v="Nome 1015"/>
    <s v="Tel 1015"/>
    <s v="Cep 1015"/>
    <s v="Rua 1015"/>
    <s v="Comp 1015"/>
    <s v="Ventilador Preto"/>
    <s v="WU-SS4J-LFOH"/>
    <d v="2025-03-19T00:00:00"/>
    <n v="65.75"/>
    <n v="65.75"/>
    <n v="8.5474999999999994"/>
    <n v="57.2"/>
    <n v="12.08"/>
    <n v="0.2"/>
    <n v="0.39877104377104378"/>
    <n v="0"/>
    <n v="44.52122895622896"/>
    <n v="22.26061447811448"/>
    <x v="88"/>
    <x v="91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12"/>
    <s v="Pedido 1045"/>
    <d v="2025-02-22T00:00:00"/>
    <x v="90"/>
    <s v="PedidoF1024"/>
    <s v="CódRastreio1022"/>
    <n v="1"/>
    <s v="CPF 1016"/>
    <s v="Nome 1016"/>
    <s v="Tel 1016"/>
    <s v="Cep 1016"/>
    <s v="Rua 1016"/>
    <s v="Comp 1016"/>
    <s v="Ventilador Preto"/>
    <s v="WU-SS4J-LFOH"/>
    <d v="2025-03-19T00:00:00"/>
    <n v="65.75"/>
    <n v="65.75"/>
    <n v="8.5474999999999994"/>
    <n v="57.2"/>
    <n v="12.08"/>
    <n v="0.2"/>
    <n v="0.39877104377104378"/>
    <n v="0"/>
    <n v="44.52122895622896"/>
    <n v="22.26061447811448"/>
    <x v="88"/>
    <x v="91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12"/>
    <s v="Pedido 1046"/>
    <d v="2025-02-24T00:00:00"/>
    <x v="90"/>
    <s v="PedidoF1025"/>
    <s v="CódRastreio1023"/>
    <n v="1"/>
    <s v="CPF 1017"/>
    <s v="Nome 1017"/>
    <s v="Tel 1017"/>
    <s v="Cep 1017"/>
    <s v="Rua 1017"/>
    <s v="Comp 1017"/>
    <s v="Ventilador Preto"/>
    <s v="WU-SS4J-LFOH"/>
    <d v="2025-03-25T00:00:00"/>
    <n v="65.75"/>
    <n v="65.75"/>
    <n v="8.5474999999999994"/>
    <n v="57.2"/>
    <n v="12.08"/>
    <n v="0.2"/>
    <n v="0.39877104377104378"/>
    <n v="0"/>
    <n v="44.52122895622896"/>
    <n v="22.26061447811448"/>
    <x v="93"/>
    <x v="96"/>
    <x v="22"/>
    <d v="2025-04-16T00:00:00"/>
    <x v="5"/>
    <x v="0"/>
    <x v="5"/>
    <s v="ENTREGUE"/>
    <d v="2025-03-14T00:00:00"/>
    <x v="0"/>
    <m/>
    <n v="0"/>
    <n v="0"/>
    <n v="0"/>
    <n v="0"/>
    <n v="0"/>
  </r>
  <r>
    <x v="2"/>
    <s v="MEI45712"/>
    <s v="Pedido 1047"/>
    <d v="2025-02-24T00:00:00"/>
    <x v="90"/>
    <s v="PedidoF1026"/>
    <s v="CódRastreio1024"/>
    <n v="1"/>
    <s v="CPF 1018"/>
    <s v="Nome 1018"/>
    <s v="Tel 1018"/>
    <s v="Cep 1018"/>
    <s v="Rua 1018"/>
    <s v="Comp 1018"/>
    <s v="Ventilador Preto"/>
    <s v="WU-SS4J-LFOH"/>
    <d v="2025-03-20T00:00:00"/>
    <n v="65.75"/>
    <n v="65.75"/>
    <n v="8.5474999999999994"/>
    <n v="57.2"/>
    <n v="12.08"/>
    <n v="0.2"/>
    <n v="0.39877104377104378"/>
    <n v="0"/>
    <n v="44.52122895622896"/>
    <n v="22.26061447811448"/>
    <x v="94"/>
    <x v="97"/>
    <x v="20"/>
    <d v="2025-04-02T00:00:00"/>
    <x v="4"/>
    <x v="0"/>
    <x v="5"/>
    <s v="ENTREGUE"/>
    <d v="2025-03-06T00:00:00"/>
    <x v="0"/>
    <m/>
    <n v="0"/>
    <n v="0"/>
    <n v="0"/>
    <n v="0"/>
    <n v="0"/>
  </r>
  <r>
    <x v="2"/>
    <s v="MEI45712"/>
    <s v="Pedido 1048"/>
    <d v="2025-02-24T00:00:00"/>
    <x v="90"/>
    <s v="PedidoF1027"/>
    <s v="CódRastreio1025"/>
    <n v="1"/>
    <s v="CPF 1019"/>
    <s v="Nome 1019"/>
    <s v="Tel 1019"/>
    <s v="Cep 1019"/>
    <s v="Rua 1019"/>
    <s v="Comp 1019"/>
    <s v="Ventilador Preto"/>
    <s v="WU-SS4J-LFOH"/>
    <d v="2025-03-20T00:00:00"/>
    <n v="65.75"/>
    <n v="65.75"/>
    <n v="8.5474999999999994"/>
    <n v="57.2"/>
    <n v="12.08"/>
    <n v="0.2"/>
    <n v="0.39877104377104378"/>
    <n v="0"/>
    <n v="44.52122895622896"/>
    <n v="22.26061447811448"/>
    <x v="94"/>
    <x v="97"/>
    <x v="20"/>
    <d v="2025-04-02T00:00:00"/>
    <x v="4"/>
    <x v="0"/>
    <x v="5"/>
    <s v="ENTREGUE"/>
    <d v="2025-03-10T00:00:00"/>
    <x v="0"/>
    <m/>
    <n v="0"/>
    <n v="0"/>
    <n v="0"/>
    <n v="0"/>
    <n v="0"/>
  </r>
  <r>
    <x v="2"/>
    <s v="MEI45712"/>
    <s v="Pedido 1049"/>
    <d v="2025-02-24T00:00:00"/>
    <x v="90"/>
    <s v="PedidoF1028"/>
    <s v="CódRastreio1026"/>
    <n v="1"/>
    <s v="CPF 1020"/>
    <s v="Nome 1020"/>
    <s v="Tel 1020"/>
    <s v="Cep 1020"/>
    <s v="Rua 1020"/>
    <s v="Comp 1020"/>
    <s v="Ventilador Preto"/>
    <s v="WU-SS4J-LFOH"/>
    <d v="2025-03-20T00:00:00"/>
    <n v="65.75"/>
    <n v="65.75"/>
    <n v="8.5474999999999994"/>
    <n v="57.2"/>
    <n v="12.08"/>
    <n v="0.2"/>
    <n v="0.39877104377104378"/>
    <n v="0"/>
    <n v="44.52122895622896"/>
    <n v="22.26061447811448"/>
    <x v="94"/>
    <x v="97"/>
    <x v="20"/>
    <d v="2025-04-02T00:00:00"/>
    <x v="4"/>
    <x v="0"/>
    <x v="5"/>
    <s v="ENTREGUE"/>
    <d v="2025-03-06T00:00:00"/>
    <x v="0"/>
    <m/>
    <n v="0"/>
    <n v="0"/>
    <n v="0"/>
    <n v="0"/>
    <n v="0"/>
  </r>
  <r>
    <x v="0"/>
    <s v="BV45715"/>
    <s v="Pedido 1050"/>
    <d v="2025-02-25T00:00:00"/>
    <x v="92"/>
    <s v="PedidoF1029"/>
    <s v="CódRastreio1027"/>
    <n v="1"/>
    <s v="CPF 1021"/>
    <s v="Nome 1021"/>
    <s v="Tel 1021"/>
    <s v="Cep 1021"/>
    <s v="Rua 1021"/>
    <s v="Comp 1021"/>
    <s v="Garrafa Termica"/>
    <s v="FM-QQ8Y-RZT4"/>
    <d v="2025-03-20T00:00:00"/>
    <n v="23.5"/>
    <n v="23.5"/>
    <n v="3.0550000000000002"/>
    <n v="20.45"/>
    <n v="13.8"/>
    <n v="0.31"/>
    <n v="0.39877104377104378"/>
    <n v="0"/>
    <n v="5.9412289562289544"/>
    <n v="2.9706144781144772"/>
    <x v="94"/>
    <x v="97"/>
    <x v="20"/>
    <d v="2025-04-02T00:00:00"/>
    <x v="4"/>
    <x v="0"/>
    <x v="5"/>
    <s v="ENTREGUE"/>
    <d v="2025-03-10T00:00:00"/>
    <x v="0"/>
    <m/>
    <n v="0"/>
    <n v="0"/>
    <n v="0"/>
    <n v="0"/>
    <n v="0"/>
  </r>
  <r>
    <x v="0"/>
    <s v="BV45714"/>
    <s v="Pedido 1051"/>
    <d v="2025-02-25T00:00:00"/>
    <x v="93"/>
    <s v="PedidoF1030"/>
    <s v="CódRastreio1028"/>
    <n v="1"/>
    <s v="CPF 1022"/>
    <s v="Nome 1022"/>
    <s v="Tel 1022"/>
    <s v="Cep 1022"/>
    <s v="Rua 1022"/>
    <s v="Comp 1022"/>
    <s v="Copo Termico"/>
    <s v="KN-TBQL-K2MM"/>
    <d v="2025-03-15T00:00:00"/>
    <n v="23.9"/>
    <n v="23.9"/>
    <n v="3.1069999999999998"/>
    <n v="20.79"/>
    <n v="6.99"/>
    <n v="0.25"/>
    <n v="0.39877104377104378"/>
    <n v="0"/>
    <n v="13.151228956228955"/>
    <n v="6.5756144781144776"/>
    <x v="91"/>
    <x v="94"/>
    <x v="20"/>
    <d v="2025-04-02T00:00:00"/>
    <x v="4"/>
    <x v="0"/>
    <x v="5"/>
    <s v="ENTREGUE"/>
    <d v="2025-02-28T00:00:00"/>
    <x v="0"/>
    <m/>
    <n v="0"/>
    <n v="0"/>
    <n v="0"/>
    <n v="0"/>
    <n v="0"/>
  </r>
  <r>
    <x v="0"/>
    <s v="BV45714"/>
    <s v="Pedido 1052"/>
    <d v="2025-02-25T00:00:00"/>
    <x v="93"/>
    <s v="PedidoF1031"/>
    <s v="CódRastreio1029"/>
    <n v="1"/>
    <s v="CPF 1023"/>
    <s v="Nome 1023"/>
    <s v="Tel 1023"/>
    <s v="Cep 1023"/>
    <s v="Rua 1023"/>
    <s v="Comp 1023"/>
    <s v="Lampada Led"/>
    <s v="RB-W251-UXV2"/>
    <d v="2025-03-15T00:00:00"/>
    <n v="26.99"/>
    <n v="26.99"/>
    <n v="3.5086999999999997"/>
    <n v="23.48"/>
    <n v="14.4"/>
    <n v="0.25"/>
    <n v="0.39877104377104378"/>
    <n v="0"/>
    <n v="8.4312289562289564"/>
    <n v="4.2156144781144782"/>
    <x v="91"/>
    <x v="94"/>
    <x v="20"/>
    <d v="2025-04-02T00:00:00"/>
    <x v="4"/>
    <x v="0"/>
    <x v="5"/>
    <s v="ENTREGUE"/>
    <d v="2025-03-06T00:00:00"/>
    <x v="0"/>
    <m/>
    <n v="0"/>
    <n v="0"/>
    <n v="0"/>
    <n v="0"/>
    <n v="0"/>
  </r>
  <r>
    <x v="0"/>
    <s v="BV45714"/>
    <s v="Pedido 1053"/>
    <d v="2025-02-26T00:00:00"/>
    <x v="93"/>
    <s v="PedidoF1032"/>
    <s v="CódRastreio1030"/>
    <n v="1"/>
    <s v="CPF 1024"/>
    <s v="Nome 1024"/>
    <s v="Tel 1024"/>
    <s v="Cep 1024"/>
    <s v="Rua 1024"/>
    <s v="Comp 1024"/>
    <s v="Ventilador de teto"/>
    <s v="BP-NHG2-B8C1"/>
    <d v="2025-03-22T00:00:00"/>
    <n v="70.5"/>
    <n v="70.5"/>
    <n v="9.1650000000000009"/>
    <n v="61.34"/>
    <n v="31.47"/>
    <n v="0.25"/>
    <n v="0.39877104377104378"/>
    <n v="0"/>
    <n v="29.221228956228963"/>
    <n v="14.610614478114481"/>
    <x v="92"/>
    <x v="95"/>
    <x v="20"/>
    <d v="2025-04-02T00:00:00"/>
    <x v="4"/>
    <x v="0"/>
    <x v="5"/>
    <s v="ENTREGUE"/>
    <d v="2025-03-13T00:00:00"/>
    <x v="0"/>
    <m/>
    <n v="0"/>
    <n v="0"/>
    <n v="0"/>
    <n v="0"/>
    <n v="0"/>
  </r>
  <r>
    <x v="0"/>
    <s v="BV45714"/>
    <s v="Pedido 1054"/>
    <d v="2025-02-26T00:00:00"/>
    <x v="93"/>
    <s v="PedidoF1033"/>
    <s v="CódRastreio1031"/>
    <n v="1"/>
    <s v="CPF 1025"/>
    <s v="Nome 1025"/>
    <s v="Tel 1025"/>
    <s v="Cep 1025"/>
    <s v="Rua 1025"/>
    <s v="Comp 1025"/>
    <s v="Ventilador Rosa"/>
    <s v="IF-G2ZQ-79FO"/>
    <d v="2025-03-22T00:00:00"/>
    <n v="61.8"/>
    <n v="61.8"/>
    <n v="8.0340000000000007"/>
    <n v="53.77"/>
    <n v="13.16"/>
    <n v="0.25"/>
    <n v="0.39877104377104378"/>
    <n v="0"/>
    <n v="39.961228956228958"/>
    <n v="19.980614478114479"/>
    <x v="92"/>
    <x v="95"/>
    <x v="20"/>
    <d v="2025-04-02T00:00:00"/>
    <x v="4"/>
    <x v="0"/>
    <x v="5"/>
    <s v="ENTREGUE"/>
    <d v="2025-03-12T14:37:02"/>
    <x v="0"/>
    <m/>
    <n v="0"/>
    <n v="0"/>
    <n v="0"/>
    <n v="0"/>
    <n v="0"/>
  </r>
  <r>
    <x v="2"/>
    <s v="MEI45714"/>
    <s v="Pedido 1055"/>
    <d v="2025-02-26T00:00:00"/>
    <x v="93"/>
    <s v="PedidoF1034"/>
    <s v="CódRastreio1032"/>
    <n v="1"/>
    <s v="CPF 1026"/>
    <s v="Nome 1026"/>
    <s v="Tel 1026"/>
    <s v="Cep 1026"/>
    <s v="Rua 1026"/>
    <s v="Comp 1026"/>
    <s v="Mini Liquidificador"/>
    <s v="A4-5W51-K3HF"/>
    <d v="2025-03-15T00:00:00"/>
    <n v="30.95"/>
    <n v="30.95"/>
    <n v="4.3330000000000002"/>
    <n v="26.62"/>
    <n v="14.99"/>
    <n v="0.25"/>
    <n v="0.39877104377104378"/>
    <n v="0"/>
    <n v="10.981228956228957"/>
    <n v="5.4906144781144786"/>
    <x v="91"/>
    <x v="94"/>
    <x v="20"/>
    <d v="2025-04-02T00:00:00"/>
    <x v="4"/>
    <x v="0"/>
    <x v="5"/>
    <s v="ENTREGUE"/>
    <d v="2025-02-28T00:00:00"/>
    <x v="0"/>
    <m/>
    <n v="0"/>
    <n v="0"/>
    <n v="0"/>
    <n v="0"/>
    <n v="0"/>
  </r>
  <r>
    <x v="2"/>
    <s v="MEI45714"/>
    <s v="Pedido 1056"/>
    <d v="2025-02-26T00:00:00"/>
    <x v="93"/>
    <s v="PedidoF1035"/>
    <s v="CódRastreio1033"/>
    <n v="1"/>
    <s v="CPF 1027"/>
    <s v="Nome 1027"/>
    <s v="Tel 1027"/>
    <s v="Cep 1027"/>
    <s v="Rua 1027"/>
    <s v="Comp 1027"/>
    <s v="Mini Liquidificador"/>
    <s v="A4-5W51-K3HF"/>
    <d v="2025-03-28T00:00:00"/>
    <n v="30.95"/>
    <n v="30.95"/>
    <n v="4.3330000000000002"/>
    <n v="26.62"/>
    <n v="14.99"/>
    <n v="0.25"/>
    <n v="0.39877104377104378"/>
    <n v="0"/>
    <n v="10.981228956228957"/>
    <n v="5.4906144781144786"/>
    <x v="97"/>
    <x v="100"/>
    <x v="22"/>
    <d v="2025-04-16T00:00:00"/>
    <x v="5"/>
    <x v="0"/>
    <x v="5"/>
    <s v="ENTREGUE"/>
    <d v="2025-03-05T00:00:00"/>
    <x v="0"/>
    <m/>
    <n v="0"/>
    <n v="0"/>
    <n v="0"/>
    <n v="0"/>
    <n v="0"/>
  </r>
  <r>
    <x v="2"/>
    <s v="MEI45714"/>
    <s v="Pedido 1057"/>
    <d v="2025-02-26T00:00:00"/>
    <x v="93"/>
    <s v="PedidoF1036"/>
    <s v="CódRastreio1034"/>
    <n v="1"/>
    <s v="CPF 1028"/>
    <s v="Nome 1028"/>
    <s v="Tel 1028"/>
    <s v="Cep 1028"/>
    <s v="Rua 1028"/>
    <s v="Comp 1028"/>
    <s v="Mini Liquidificador"/>
    <s v="A4-5W51-K3HF"/>
    <d v="2025-03-28T00:00:00"/>
    <n v="30.95"/>
    <n v="30.95"/>
    <n v="4.3330000000000002"/>
    <n v="26.62"/>
    <n v="14.99"/>
    <n v="0.25"/>
    <n v="0.39877104377104378"/>
    <n v="0"/>
    <n v="10.981228956228957"/>
    <n v="5.4906144781144786"/>
    <x v="97"/>
    <x v="100"/>
    <x v="22"/>
    <d v="2025-04-16T00:00:00"/>
    <x v="5"/>
    <x v="0"/>
    <x v="5"/>
    <s v="ENTREGUE"/>
    <d v="2025-03-14T00:00:00"/>
    <x v="0"/>
    <m/>
    <n v="0"/>
    <n v="0"/>
    <n v="0"/>
    <n v="0"/>
    <n v="0"/>
  </r>
  <r>
    <x v="2"/>
    <s v="MEI45714"/>
    <s v="Pedido 1058"/>
    <d v="2025-02-26T00:00:00"/>
    <x v="93"/>
    <s v="PedidoF1037"/>
    <s v="CódRastreio1035"/>
    <n v="1"/>
    <s v="CPF 1029"/>
    <s v="Nome 1029"/>
    <s v="Tel 1029"/>
    <s v="Cep 1029"/>
    <s v="Rua 1029"/>
    <s v="Comp 1029"/>
    <s v="Mini Liquidificador"/>
    <s v="A4-5W51-K3HF"/>
    <d v="2025-03-18T00:00:00"/>
    <n v="30.95"/>
    <n v="30.95"/>
    <n v="4.3330000000000002"/>
    <n v="26.62"/>
    <n v="14.99"/>
    <n v="0.25"/>
    <n v="0.39877104377104378"/>
    <n v="0"/>
    <n v="10.981228956228957"/>
    <n v="5.4906144781144786"/>
    <x v="86"/>
    <x v="89"/>
    <x v="20"/>
    <d v="2025-04-02T00:00:00"/>
    <x v="4"/>
    <x v="0"/>
    <x v="5"/>
    <s v="ENTREGUE"/>
    <d v="2025-03-06T00:00:00"/>
    <x v="0"/>
    <m/>
    <n v="0"/>
    <n v="0"/>
    <n v="0"/>
    <n v="0"/>
    <n v="0"/>
  </r>
  <r>
    <x v="0"/>
    <s v="BV45715"/>
    <s v="Pedido 1059"/>
    <d v="2025-02-27T00:00:00"/>
    <x v="92"/>
    <s v="PedidoF1038"/>
    <s v="CódRastreio1036"/>
    <n v="1"/>
    <s v="CPF 1030"/>
    <s v="Nome 1030"/>
    <s v="Tel 1030"/>
    <s v="Cep 1030"/>
    <s v="Rua 1030"/>
    <s v="Comp 1030"/>
    <s v="Ventilador Preto"/>
    <s v="MU-J80P-95WF"/>
    <d v="2025-03-25T00:00:00"/>
    <n v="70.989999999999995"/>
    <n v="70.989999999999995"/>
    <n v="9.2286999999999999"/>
    <n v="61.76"/>
    <n v="12.59"/>
    <n v="0.31"/>
    <n v="0.39877104377104378"/>
    <n v="0"/>
    <n v="48.46122895622895"/>
    <n v="24.230614478114475"/>
    <x v="93"/>
    <x v="96"/>
    <x v="22"/>
    <d v="2025-04-16T00:00:00"/>
    <x v="5"/>
    <x v="0"/>
    <x v="5"/>
    <s v="ENTREGUE"/>
    <d v="2025-03-11T00:00:00"/>
    <x v="0"/>
    <m/>
    <n v="0"/>
    <n v="0"/>
    <n v="0"/>
    <n v="0"/>
    <n v="0"/>
  </r>
  <r>
    <x v="0"/>
    <s v="BV45715"/>
    <s v="Pedido 1060"/>
    <d v="2025-02-27T00:00:00"/>
    <x v="92"/>
    <s v="PedidoF1039"/>
    <s v="CódRastreio1037"/>
    <n v="1"/>
    <s v="CPF 1031"/>
    <s v="Nome 1031"/>
    <s v="Tel 1031"/>
    <s v="Cep 1031"/>
    <s v="Rua 1031"/>
    <s v="Comp 1031"/>
    <s v="Garrafa Termica"/>
    <s v="FM-QQ8Y-RZT4"/>
    <d v="2025-03-29T00:00:00"/>
    <n v="23.5"/>
    <n v="23.5"/>
    <n v="3.0550000000000002"/>
    <n v="20.45"/>
    <n v="0"/>
    <n v="0.31"/>
    <n v="0.39877104377104378"/>
    <n v="0"/>
    <n v="19.741228956228955"/>
    <n v="9.8706144781144776"/>
    <x v="98"/>
    <x v="101"/>
    <x v="22"/>
    <d v="2025-04-16T00:00:00"/>
    <x v="5"/>
    <x v="0"/>
    <x v="5"/>
    <s v="ENTREGUE"/>
    <d v="2025-03-20T00:00:00"/>
    <x v="0"/>
    <m/>
    <n v="0"/>
    <n v="0"/>
    <n v="0"/>
    <n v="0"/>
    <n v="0"/>
  </r>
  <r>
    <x v="0"/>
    <s v="BV45716"/>
    <s v="Pedido 1061"/>
    <d v="2025-02-27T00:00:00"/>
    <x v="91"/>
    <s v="PedidoF1040"/>
    <s v="CódRastreio1038"/>
    <n v="1"/>
    <s v="CPF 1032"/>
    <s v="Nome 1032"/>
    <s v="Tel 1032"/>
    <s v="Cep 1032"/>
    <s v="Rua 1032"/>
    <s v="Comp 1032"/>
    <s v="Garrafa Termica"/>
    <s v="FM-QQ8Y-RZT4"/>
    <d v="2025-03-25T00:00:00"/>
    <n v="23.5"/>
    <n v="23.5"/>
    <n v="3.0550000000000002"/>
    <n v="20.45"/>
    <n v="13.8"/>
    <n v="0.2"/>
    <n v="0.39877104377104378"/>
    <n v="0"/>
    <n v="6.0512289562289556"/>
    <n v="3.0256144781144778"/>
    <x v="93"/>
    <x v="96"/>
    <x v="22"/>
    <d v="2025-04-16T00:00:00"/>
    <x v="5"/>
    <x v="0"/>
    <x v="5"/>
    <s v="ENTREGUE"/>
    <d v="2025-03-13T00:00:00"/>
    <x v="0"/>
    <m/>
    <n v="0"/>
    <n v="0"/>
    <n v="0"/>
    <n v="0"/>
    <n v="0"/>
  </r>
  <r>
    <x v="0"/>
    <s v="BV45715"/>
    <s v="Pedido 1062"/>
    <d v="2025-02-27T00:00:00"/>
    <x v="92"/>
    <s v="PedidoF1041"/>
    <s v="CódRastreio1039"/>
    <n v="1"/>
    <s v="CPF 1033"/>
    <s v="Nome 1033"/>
    <s v="Tel 1033"/>
    <s v="Cep 1033"/>
    <s v="Rua 1033"/>
    <s v="Comp 1033"/>
    <s v="Garrafa Termica"/>
    <s v="FM-QQ8Y-RZT4"/>
    <d v="2025-03-19T00:00:00"/>
    <n v="23.5"/>
    <n v="23.5"/>
    <n v="3.0550000000000002"/>
    <n v="20.45"/>
    <n v="0"/>
    <n v="0.31"/>
    <n v="0.39877104377104378"/>
    <n v="0"/>
    <n v="19.741228956228955"/>
    <n v="9.8706144781144776"/>
    <x v="88"/>
    <x v="91"/>
    <x v="20"/>
    <d v="2025-04-02T00:00:00"/>
    <x v="4"/>
    <x v="0"/>
    <x v="5"/>
    <s v="ENTREGUE"/>
    <d v="2025-04-22T00:00:00"/>
    <x v="0"/>
    <m/>
    <n v="0"/>
    <n v="0"/>
    <n v="0"/>
    <n v="0"/>
    <n v="0"/>
  </r>
  <r>
    <x v="0"/>
    <s v="BV45716"/>
    <s v="Pedido 1063"/>
    <d v="2025-02-27T00:00:00"/>
    <x v="91"/>
    <s v="PedidoF1042"/>
    <s v="CódRastreio1040"/>
    <n v="1"/>
    <s v="CPF 1034"/>
    <s v="Nome 1034"/>
    <s v="Tel 1034"/>
    <s v="Cep 1034"/>
    <s v="Rua 1034"/>
    <s v="Comp 1034"/>
    <s v="Caixinha de som Preta"/>
    <s v="5D-KKPK-K70I"/>
    <d v="2025-03-29T00:00:00"/>
    <n v="25.99"/>
    <n v="25.99"/>
    <n v="3.8984999999999994"/>
    <n v="22.09"/>
    <n v="13.3"/>
    <n v="0.2"/>
    <n v="0.39877104377104378"/>
    <n v="0"/>
    <n v="8.1912289562289562"/>
    <n v="4.0956144781144781"/>
    <x v="98"/>
    <x v="101"/>
    <x v="22"/>
    <d v="2025-04-16T00:00:00"/>
    <x v="5"/>
    <x v="0"/>
    <x v="5"/>
    <s v="ENTREGUE"/>
    <d v="2025-03-12T19:44:40"/>
    <x v="0"/>
    <m/>
    <n v="0"/>
    <n v="0"/>
    <n v="0"/>
    <n v="0"/>
    <n v="0"/>
  </r>
  <r>
    <x v="0"/>
    <s v="BV45715"/>
    <s v="Pedido 1064"/>
    <d v="2025-02-27T00:00:00"/>
    <x v="92"/>
    <s v="PedidoF1043"/>
    <s v="CódRastreio1041"/>
    <n v="1"/>
    <s v="CPF 1035"/>
    <s v="Nome 1035"/>
    <s v="Tel 1035"/>
    <s v="Cep 1035"/>
    <s v="Rua 1035"/>
    <s v="Comp 1035"/>
    <s v="Ventilador Preto"/>
    <s v="MU-J80P-95WF"/>
    <d v="2025-03-25T00:00:00"/>
    <n v="65.599999999999994"/>
    <n v="65.599999999999994"/>
    <n v="8.5279999999999987"/>
    <n v="57.07"/>
    <n v="12.54"/>
    <n v="0.31"/>
    <n v="0.39877104377104378"/>
    <n v="0"/>
    <n v="43.821228956228957"/>
    <n v="21.910614478114478"/>
    <x v="93"/>
    <x v="96"/>
    <x v="22"/>
    <d v="2025-04-16T00:00:00"/>
    <x v="5"/>
    <x v="0"/>
    <x v="5"/>
    <s v="ENTREGUE"/>
    <d v="2025-03-07T00:00:00"/>
    <x v="0"/>
    <m/>
    <n v="0"/>
    <n v="0"/>
    <n v="0"/>
    <n v="0"/>
    <n v="0"/>
  </r>
  <r>
    <x v="1"/>
    <s v="GO45715"/>
    <s v="Pedido 1065"/>
    <d v="2025-02-27T00:00:00"/>
    <x v="92"/>
    <s v="PedidoF1044"/>
    <s v="CódRastreio1042"/>
    <n v="1"/>
    <s v="CPF 1036"/>
    <s v="Nome 1036"/>
    <s v="Tel 1036"/>
    <s v="Cep 1036"/>
    <s v="Rua 1036"/>
    <s v="Comp 1036"/>
    <s v="Escova Multifuncional"/>
    <s v="E7-FW3C-EHOL"/>
    <d v="2025-03-19T00:00:00"/>
    <n v="35.99"/>
    <n v="35.99"/>
    <n v="5.3985000000000003"/>
    <n v="30.59"/>
    <n v="22.2"/>
    <n v="0.2"/>
    <n v="0.39877104377104378"/>
    <n v="0"/>
    <n v="7.7912289562289558"/>
    <n v="7.7912289562289558"/>
    <x v="88"/>
    <x v="91"/>
    <x v="20"/>
    <d v="2025-04-02T00:00:00"/>
    <x v="4"/>
    <x v="0"/>
    <x v="5"/>
    <s v="ENTREGUE"/>
    <d v="2025-03-17T00:00:00"/>
    <x v="0"/>
    <m/>
    <n v="0"/>
    <n v="0"/>
    <n v="0"/>
    <n v="0"/>
    <n v="0"/>
  </r>
  <r>
    <x v="0"/>
    <s v="BV45716"/>
    <s v="Pedido 1066"/>
    <d v="2025-02-28T00:00:00"/>
    <x v="91"/>
    <s v="PedidoF1045"/>
    <s v="CódRastreio1043"/>
    <n v="1"/>
    <s v="CPF 1037"/>
    <s v="Nome 1037"/>
    <s v="Tel 1037"/>
    <s v="Cep 1037"/>
    <s v="Rua 1037"/>
    <s v="Comp 1037"/>
    <s v="Ventilador Preto"/>
    <s v="MU-J80P-95WF"/>
    <d v="2025-03-25T00:00:00"/>
    <n v="65.599999999999994"/>
    <n v="65.599999999999994"/>
    <n v="8.5279999999999987"/>
    <n v="57.07"/>
    <n v="14.26"/>
    <n v="0.2"/>
    <n v="0.39877104377104378"/>
    <n v="0"/>
    <n v="42.211228956228958"/>
    <n v="21.105614478114479"/>
    <x v="93"/>
    <x v="96"/>
    <x v="22"/>
    <d v="2025-04-16T00:00:00"/>
    <x v="5"/>
    <x v="0"/>
    <x v="5"/>
    <s v="ENTREGUE"/>
    <d v="2025-03-10T00:00:00"/>
    <x v="0"/>
    <m/>
    <n v="0"/>
    <n v="0"/>
    <n v="0"/>
    <n v="0"/>
    <n v="0"/>
  </r>
  <r>
    <x v="0"/>
    <s v="BV45716"/>
    <s v="Pedido 1067"/>
    <d v="2025-02-28T00:00:00"/>
    <x v="91"/>
    <s v="PedidoF1046"/>
    <s v="CódRastreio1044"/>
    <n v="1"/>
    <s v="CPF 1038"/>
    <s v="Nome 1038"/>
    <s v="Tel 1038"/>
    <s v="Cep 1038"/>
    <s v="Rua 1038"/>
    <s v="Comp 1038"/>
    <s v="Ventilador Preto"/>
    <s v="MU-J80P-95WF"/>
    <d v="2025-03-26T00:00:00"/>
    <n v="65.599999999999994"/>
    <n v="65.599999999999994"/>
    <n v="8.5279999999999987"/>
    <n v="57.07"/>
    <n v="14.26"/>
    <n v="0.2"/>
    <n v="0.39877104377104378"/>
    <n v="0"/>
    <n v="42.211228956228958"/>
    <n v="21.105614478114479"/>
    <x v="96"/>
    <x v="99"/>
    <x v="22"/>
    <d v="2025-04-16T00:00:00"/>
    <x v="5"/>
    <x v="0"/>
    <x v="5"/>
    <s v="ENTREGUE"/>
    <d v="2025-03-10T00:00:00"/>
    <x v="0"/>
    <m/>
    <n v="0"/>
    <n v="0"/>
    <n v="0"/>
    <n v="0"/>
    <n v="0"/>
  </r>
  <r>
    <x v="0"/>
    <s v="BV45716"/>
    <s v="Pedido 1068"/>
    <d v="2025-02-28T00:00:00"/>
    <x v="91"/>
    <s v="PedidoF1047"/>
    <s v="CódRastreio1045"/>
    <n v="1"/>
    <s v="CPF 1039"/>
    <s v="Nome 1039"/>
    <s v="Tel 1039"/>
    <s v="Cep 1039"/>
    <s v="Rua 1039"/>
    <s v="Comp 1039"/>
    <s v="Garrafa Termica"/>
    <s v="FM-QQ8Y-RZT4"/>
    <d v="2025-03-26T00:00:00"/>
    <n v="23.5"/>
    <n v="23.5"/>
    <n v="3.0550000000000002"/>
    <n v="20.45"/>
    <n v="13.8"/>
    <n v="0.2"/>
    <n v="0.39877104377104378"/>
    <n v="0"/>
    <n v="6.0512289562289556"/>
    <n v="3.0256144781144778"/>
    <x v="96"/>
    <x v="99"/>
    <x v="22"/>
    <d v="2025-04-16T00:00:00"/>
    <x v="5"/>
    <x v="0"/>
    <x v="5"/>
    <s v="ENTREGUE"/>
    <d v="2025-03-14T00:00:00"/>
    <x v="0"/>
    <m/>
    <n v="0"/>
    <n v="0"/>
    <n v="0"/>
    <n v="0"/>
    <n v="0"/>
  </r>
  <r>
    <x v="0"/>
    <s v="BV45716"/>
    <s v="Pedido 1069"/>
    <d v="2025-02-28T00:00:00"/>
    <x v="91"/>
    <s v="PedidoF1048"/>
    <s v="CódRastreio1046"/>
    <n v="1"/>
    <s v="CPF 1040"/>
    <s v="Nome 1040"/>
    <s v="Tel 1040"/>
    <s v="Cep 1040"/>
    <s v="Rua 1040"/>
    <s v="Comp 1040"/>
    <s v="Karaoke portátil"/>
    <s v="08-PAJ9-YM9P"/>
    <d v="2025-04-01T00:00:00"/>
    <n v="55.99"/>
    <n v="55.99"/>
    <n v="8.3985000000000003"/>
    <n v="47.59"/>
    <n v="0"/>
    <n v="0.2"/>
    <n v="0.39877104377104378"/>
    <n v="0"/>
    <n v="46.991228956228959"/>
    <n v="23.495614478114479"/>
    <x v="95"/>
    <x v="98"/>
    <x v="22"/>
    <d v="2025-04-16T00:00:00"/>
    <x v="5"/>
    <x v="0"/>
    <x v="5"/>
    <s v="ENTREGUE"/>
    <d v="2025-03-13T00:00:00"/>
    <x v="0"/>
    <m/>
    <n v="0"/>
    <n v="0"/>
    <n v="0"/>
    <n v="0"/>
    <n v="0"/>
  </r>
  <r>
    <x v="0"/>
    <s v="BV45716"/>
    <s v="Pedido 1070"/>
    <d v="2025-02-28T00:00:00"/>
    <x v="91"/>
    <s v="PedidoF1049"/>
    <s v="CódRastreio1047"/>
    <n v="1"/>
    <s v="CPF 1041"/>
    <s v="Nome 1041"/>
    <s v="Tel 1041"/>
    <s v="Cep 1041"/>
    <s v="Rua 1041"/>
    <s v="Comp 1041"/>
    <s v="Ventilador Preto"/>
    <s v="MU-J80P-95WF"/>
    <d v="2025-04-01T00:00:00"/>
    <n v="65.599999999999994"/>
    <n v="65.599999999999994"/>
    <n v="8.5279999999999987"/>
    <n v="57.07"/>
    <n v="14.8"/>
    <n v="0.2"/>
    <n v="0.39877104377104378"/>
    <n v="0"/>
    <n v="41.671228956228958"/>
    <n v="20.835614478114479"/>
    <x v="95"/>
    <x v="98"/>
    <x v="22"/>
    <d v="2025-04-16T00:00:00"/>
    <x v="5"/>
    <x v="0"/>
    <x v="5"/>
    <s v="ENTREGUE"/>
    <d v="2025-03-20T00:00:00"/>
    <x v="0"/>
    <m/>
    <n v="0"/>
    <n v="0"/>
    <n v="0"/>
    <n v="0"/>
    <n v="0"/>
  </r>
  <r>
    <x v="0"/>
    <s v="BV45716"/>
    <s v="Pedido 1071"/>
    <d v="2025-02-28T00:00:00"/>
    <x v="91"/>
    <s v="PedidoF1050"/>
    <s v="CódRastreio1048"/>
    <n v="1"/>
    <s v="CPF 1042"/>
    <s v="Nome 1042"/>
    <s v="Tel 1042"/>
    <s v="Cep 1042"/>
    <s v="Rua 1042"/>
    <s v="Comp 1042"/>
    <s v="Garrafa Termica"/>
    <s v="FM-QQ8Y-RZT4"/>
    <d v="2025-04-01T00:00:00"/>
    <n v="23.5"/>
    <n v="23.5"/>
    <n v="3.0550000000000002"/>
    <n v="20.45"/>
    <n v="13.8"/>
    <n v="0.2"/>
    <n v="0.39877104377104378"/>
    <n v="0"/>
    <n v="6.0512289562289556"/>
    <n v="3.0256144781144778"/>
    <x v="95"/>
    <x v="98"/>
    <x v="22"/>
    <d v="2025-04-16T00:00:00"/>
    <x v="5"/>
    <x v="0"/>
    <x v="5"/>
    <s v="ENTREGUE"/>
    <d v="2025-03-15T00:00:00"/>
    <x v="0"/>
    <m/>
    <n v="0"/>
    <n v="0"/>
    <n v="0"/>
    <n v="0"/>
    <n v="0"/>
  </r>
  <r>
    <x v="0"/>
    <s v="BV45716"/>
    <s v="Pedido 1072"/>
    <d v="2025-02-28T00:00:00"/>
    <x v="91"/>
    <s v="PedidoF1051"/>
    <s v="CódRastreio1049"/>
    <n v="1"/>
    <s v="CPF 1043"/>
    <s v="Nome 1043"/>
    <s v="Tel 1043"/>
    <s v="Cep 1043"/>
    <s v="Rua 1043"/>
    <s v="Comp 1043"/>
    <s v="Karaoke portátil"/>
    <s v="08-PAJ9-YM9P"/>
    <d v="2025-03-26T00:00:00"/>
    <n v="55.99"/>
    <n v="55.99"/>
    <n v="8.3985000000000003"/>
    <n v="47.59"/>
    <n v="18.25"/>
    <n v="0.2"/>
    <n v="0.39877104377104378"/>
    <n v="0"/>
    <n v="28.741228956228959"/>
    <n v="14.370614478114479"/>
    <x v="96"/>
    <x v="99"/>
    <x v="22"/>
    <d v="2025-04-16T00:00:00"/>
    <x v="5"/>
    <x v="0"/>
    <x v="5"/>
    <s v="ENTREGUE"/>
    <d v="2025-03-10T00:00:00"/>
    <x v="0"/>
    <m/>
    <n v="0"/>
    <n v="0"/>
    <n v="0"/>
    <n v="0"/>
    <n v="0"/>
  </r>
  <r>
    <x v="0"/>
    <s v="BV45718"/>
    <s v="Pedido 1073"/>
    <d v="2025-03-01T00:00:00"/>
    <x v="94"/>
    <s v="PedidoF1052"/>
    <s v="CódRastreio1050"/>
    <n v="1"/>
    <s v="CPF 1044"/>
    <s v="Nome 1044"/>
    <s v="Tel 1044"/>
    <s v="Cep 1044"/>
    <s v="Rua 1044"/>
    <s v="Comp 1044"/>
    <s v="Karaoke portátil"/>
    <s v="08-PAJ9-YM9P"/>
    <d v="2025-04-01T00:00:00"/>
    <n v="55.99"/>
    <n v="55.99"/>
    <n v="8.3985000000000003"/>
    <n v="47.59"/>
    <n v="0"/>
    <n v="0.28000000000000003"/>
    <n v="0.39877104377104378"/>
    <n v="0"/>
    <n v="46.91122895622896"/>
    <n v="23.45561447811448"/>
    <x v="95"/>
    <x v="98"/>
    <x v="22"/>
    <d v="2025-04-16T00:00:00"/>
    <x v="5"/>
    <x v="0"/>
    <x v="6"/>
    <s v="ENTREGUE"/>
    <d v="2025-04-24T00:00:00"/>
    <x v="0"/>
    <m/>
    <n v="0"/>
    <n v="0"/>
    <n v="0"/>
    <n v="0"/>
    <n v="0"/>
  </r>
  <r>
    <x v="0"/>
    <s v="BV45722"/>
    <s v="Pedido 1074"/>
    <d v="2025-03-01T00:00:00"/>
    <x v="95"/>
    <s v="PedidoF1053"/>
    <s v="CódRastreio1051"/>
    <n v="1"/>
    <s v="CPF 1045"/>
    <s v="Nome 1045"/>
    <s v="Tel 1045"/>
    <s v="Cep 1045"/>
    <s v="Rua 1045"/>
    <s v="Comp 1045"/>
    <s v="Garrafa Termica"/>
    <s v="FM-QQ8Y-RZT4"/>
    <d v="2025-03-20T00:00:00"/>
    <n v="23.5"/>
    <n v="23.5"/>
    <n v="3.0550000000000002"/>
    <n v="20.45"/>
    <n v="12.8"/>
    <n v="0.19"/>
    <n v="0.39877104377104378"/>
    <n v="0"/>
    <n v="7.0612289562289554"/>
    <n v="3.5306144781144777"/>
    <x v="94"/>
    <x v="97"/>
    <x v="20"/>
    <d v="2025-04-02T00:00:00"/>
    <x v="4"/>
    <x v="0"/>
    <x v="6"/>
    <s v="ENTREGUE"/>
    <d v="2025-03-13T00:00:00"/>
    <x v="0"/>
    <m/>
    <n v="0"/>
    <n v="0"/>
    <n v="0"/>
    <n v="0"/>
    <n v="0"/>
  </r>
  <r>
    <x v="0"/>
    <s v="BV45718"/>
    <s v="Pedido 1075"/>
    <d v="2025-03-01T00:00:00"/>
    <x v="94"/>
    <s v="PedidoF1054"/>
    <s v="CódRastreio1052"/>
    <n v="1"/>
    <s v="CPF 1046"/>
    <s v="Nome 1046"/>
    <s v="Tel 1046"/>
    <s v="Cep 1046"/>
    <s v="Rua 1046"/>
    <s v="Comp 1046"/>
    <s v="Caixinha de som Preta"/>
    <s v="5D-KKPK-K70I"/>
    <d v="2025-04-01T00:00:00"/>
    <n v="25.99"/>
    <n v="25.99"/>
    <n v="3.8984999999999994"/>
    <n v="22.09"/>
    <n v="13.3"/>
    <n v="0.28000000000000003"/>
    <n v="0.39877104377104378"/>
    <n v="0"/>
    <n v="8.1112289562289561"/>
    <n v="4.0556144781144781"/>
    <x v="95"/>
    <x v="98"/>
    <x v="22"/>
    <d v="2025-04-16T00:00:00"/>
    <x v="5"/>
    <x v="0"/>
    <x v="6"/>
    <s v="ENTREGUE"/>
    <d v="2025-03-13T00:00:00"/>
    <x v="0"/>
    <m/>
    <n v="0"/>
    <n v="0"/>
    <n v="0"/>
    <n v="0"/>
    <n v="0"/>
  </r>
  <r>
    <x v="0"/>
    <s v="BV45718"/>
    <s v="Pedido 1076"/>
    <d v="2025-03-01T00:00:00"/>
    <x v="94"/>
    <s v="PedidoF1055"/>
    <s v="CódRastreio1053"/>
    <n v="1"/>
    <s v="CPF 1047"/>
    <s v="Nome 1047"/>
    <s v="Tel 1047"/>
    <s v="Cep 1047"/>
    <s v="Rua 1047"/>
    <s v="Comp 1047"/>
    <s v="Ventilador de teto"/>
    <s v="BP-NHG2-B8C1"/>
    <d v="2025-04-01T00:00:00"/>
    <n v="70.5"/>
    <n v="70.5"/>
    <n v="9.1650000000000009"/>
    <n v="61.34"/>
    <n v="28.91"/>
    <n v="0.28000000000000003"/>
    <n v="0.39877104377104378"/>
    <n v="0"/>
    <n v="31.751228956228957"/>
    <n v="15.875614478114478"/>
    <x v="95"/>
    <x v="98"/>
    <x v="22"/>
    <d v="2025-04-16T00:00:00"/>
    <x v="5"/>
    <x v="0"/>
    <x v="6"/>
    <s v="ENTREGUE"/>
    <d v="2025-03-12T15:59:37"/>
    <x v="0"/>
    <m/>
    <n v="0"/>
    <n v="0"/>
    <n v="0"/>
    <n v="0"/>
    <n v="0"/>
  </r>
  <r>
    <x v="0"/>
    <s v="BV45718"/>
    <s v="Pedido 1077"/>
    <d v="2025-03-01T00:00:00"/>
    <x v="94"/>
    <s v="PedidoF1056"/>
    <s v="CódRastreio1054"/>
    <n v="1"/>
    <s v="CPF 1048"/>
    <s v="Nome 1048"/>
    <s v="Tel 1048"/>
    <s v="Cep 1048"/>
    <s v="Rua 1048"/>
    <s v="Comp 1048"/>
    <s v="Ventilador Preto"/>
    <s v="MU-J80P-95WF"/>
    <d v="2025-04-01T00:00:00"/>
    <n v="65.599999999999994"/>
    <n v="65.599999999999994"/>
    <n v="8.5279999999999987"/>
    <n v="57.07"/>
    <n v="10.17"/>
    <n v="0.28000000000000003"/>
    <n v="0.39877104377104378"/>
    <n v="0"/>
    <n v="46.221228956228956"/>
    <n v="23.110614478114478"/>
    <x v="95"/>
    <x v="98"/>
    <x v="22"/>
    <d v="2025-04-16T00:00:00"/>
    <x v="5"/>
    <x v="0"/>
    <x v="6"/>
    <s v="ENTREGUE"/>
    <d v="2025-03-17T00:00:00"/>
    <x v="0"/>
    <m/>
    <n v="0"/>
    <n v="0"/>
    <n v="0"/>
    <n v="0"/>
    <n v="0"/>
  </r>
  <r>
    <x v="0"/>
    <s v="BV45722"/>
    <s v="Pedido 1078"/>
    <d v="2025-03-01T00:00:00"/>
    <x v="95"/>
    <s v="PedidoF1057"/>
    <s v="CódRastreio1055"/>
    <n v="1"/>
    <s v="CPF 1049"/>
    <s v="Nome 1049"/>
    <s v="Tel 1049"/>
    <s v="Cep 1049"/>
    <s v="Rua 1049"/>
    <s v="Comp 1049"/>
    <s v="Garrafa Termica"/>
    <s v="FM-QQ8Y-RZT4"/>
    <d v="2025-03-20T00:00:00"/>
    <n v="23.5"/>
    <n v="23.5"/>
    <n v="3.0550000000000002"/>
    <n v="20.45"/>
    <n v="0"/>
    <n v="0.19"/>
    <n v="0.39877104377104378"/>
    <n v="0"/>
    <n v="19.861228956228956"/>
    <n v="9.9306144781144781"/>
    <x v="94"/>
    <x v="97"/>
    <x v="20"/>
    <d v="2025-04-02T00:00:00"/>
    <x v="4"/>
    <x v="0"/>
    <x v="6"/>
    <s v="ENTREGUE"/>
    <d v="2025-03-17T00:00:00"/>
    <x v="0"/>
    <m/>
    <n v="22.56"/>
    <n v="0"/>
    <n v="0"/>
    <n v="0"/>
    <n v="22.56"/>
  </r>
  <r>
    <x v="0"/>
    <s v="BV45718"/>
    <s v="Pedido 1079"/>
    <d v="2025-03-01T00:00:00"/>
    <x v="94"/>
    <s v="PedidoF1058"/>
    <s v="CódRastreio1056"/>
    <n v="1"/>
    <s v="CPF 1050"/>
    <s v="Nome 1050"/>
    <s v="Tel 1050"/>
    <s v="Cep 1050"/>
    <s v="Rua 1050"/>
    <s v="Comp 1050"/>
    <s v="Ventilador Preto"/>
    <s v="MU-J80P-95WF"/>
    <d v="2025-04-01T00:00:00"/>
    <n v="65.599999999999994"/>
    <n v="65.599999999999994"/>
    <n v="8.5279999999999987"/>
    <n v="57.07"/>
    <n v="10.17"/>
    <n v="0.28000000000000003"/>
    <n v="0.39877104377104378"/>
    <n v="0"/>
    <n v="46.221228956228956"/>
    <n v="23.110614478114478"/>
    <x v="95"/>
    <x v="98"/>
    <x v="22"/>
    <d v="2025-04-16T00:00:00"/>
    <x v="5"/>
    <x v="0"/>
    <x v="6"/>
    <s v="ENTREGUE"/>
    <d v="2025-03-18T00:00:00"/>
    <x v="0"/>
    <m/>
    <n v="0"/>
    <n v="0"/>
    <n v="0"/>
    <n v="0"/>
    <n v="0"/>
  </r>
  <r>
    <x v="0"/>
    <s v="BV45720"/>
    <s v="Pedido 1080"/>
    <d v="2025-03-01T00:00:00"/>
    <x v="96"/>
    <s v="PedidoF1059"/>
    <s v="CódRastreio1057"/>
    <n v="1"/>
    <s v="CPF 1050"/>
    <s v="Nome 1050"/>
    <s v="Tel 1050"/>
    <s v="Cep 1050"/>
    <s v="Rua 1050"/>
    <s v="Comp 1050"/>
    <s v="Ventilador Preto"/>
    <s v="MU-J80P-95WF"/>
    <d v="2025-04-01T00:00:00"/>
    <n v="65.599999999999994"/>
    <n v="65.599999999999994"/>
    <n v="8.5279999999999987"/>
    <n v="57.07"/>
    <n v="10.52"/>
    <n v="0.25"/>
    <n v="0.39877104377104378"/>
    <n v="0"/>
    <n v="45.901228956228955"/>
    <n v="22.950614478114478"/>
    <x v="95"/>
    <x v="98"/>
    <x v="22"/>
    <d v="2025-04-16T00:00:00"/>
    <x v="5"/>
    <x v="0"/>
    <x v="6"/>
    <s v="ENTREGUE"/>
    <d v="2025-03-20T00:00:00"/>
    <x v="0"/>
    <m/>
    <n v="0"/>
    <n v="0"/>
    <n v="0"/>
    <n v="0"/>
    <n v="0"/>
  </r>
  <r>
    <x v="0"/>
    <s v="BV45718"/>
    <s v="Pedido 1081"/>
    <d v="2025-03-01T00:00:00"/>
    <x v="94"/>
    <s v="PedidoF1060"/>
    <s v="CódRastreio1058"/>
    <n v="1"/>
    <s v="CPF 1051"/>
    <s v="Nome 1051"/>
    <s v="Tel 1051"/>
    <s v="Cep 1051"/>
    <s v="Rua 1051"/>
    <s v="Comp 1051"/>
    <s v="Karaoke portátil"/>
    <s v="08-PAJ9-YM9P"/>
    <d v="2025-04-01T00:00:00"/>
    <n v="55.99"/>
    <n v="55.99"/>
    <n v="8.3985000000000003"/>
    <n v="47.59"/>
    <n v="12.77"/>
    <n v="0.28000000000000003"/>
    <n v="0.39877104377104378"/>
    <n v="0"/>
    <n v="34.141228956228957"/>
    <n v="17.070614478114479"/>
    <x v="95"/>
    <x v="98"/>
    <x v="22"/>
    <d v="2025-04-16T00:00:00"/>
    <x v="5"/>
    <x v="0"/>
    <x v="6"/>
    <s v="ENTREGUE"/>
    <d v="2025-03-14T00:00:00"/>
    <x v="0"/>
    <m/>
    <n v="0"/>
    <n v="0"/>
    <n v="0"/>
    <n v="0"/>
    <n v="0"/>
  </r>
  <r>
    <x v="0"/>
    <s v="BV45720"/>
    <s v="Pedido 1082"/>
    <d v="2025-03-02T00:00:00"/>
    <x v="96"/>
    <s v="PedidoF1061"/>
    <s v="CódRastreio1059"/>
    <n v="1"/>
    <s v="CPF 1052"/>
    <s v="Nome 1052"/>
    <s v="Tel 1052"/>
    <s v="Cep 1052"/>
    <s v="Rua 1052"/>
    <s v="Comp 1052"/>
    <s v="Copo Termico"/>
    <s v="KN-TBQL-K2MM"/>
    <d v="2025-03-20T00:00:00"/>
    <n v="23.9"/>
    <n v="23.9"/>
    <n v="3.1069999999999998"/>
    <n v="20.79"/>
    <n v="6.99"/>
    <n v="0.25"/>
    <n v="0.39877104377104378"/>
    <n v="0"/>
    <n v="13.151228956228955"/>
    <n v="6.5756144781144776"/>
    <x v="94"/>
    <x v="97"/>
    <x v="20"/>
    <d v="2025-04-02T00:00:00"/>
    <x v="4"/>
    <x v="0"/>
    <x v="6"/>
    <s v="ENTREGUE"/>
    <d v="2025-03-07T00:00:00"/>
    <x v="0"/>
    <m/>
    <n v="0"/>
    <n v="0"/>
    <n v="0"/>
    <n v="0"/>
    <n v="0"/>
  </r>
  <r>
    <x v="0"/>
    <s v="BV45718"/>
    <s v="Pedido 1083"/>
    <d v="2025-03-02T00:00:00"/>
    <x v="94"/>
    <s v="PedidoF1062"/>
    <s v="CódRastreio1060"/>
    <n v="1"/>
    <s v="CPF 1022"/>
    <s v="Nome 1022"/>
    <s v="Tel 1022"/>
    <s v="Cep 1022"/>
    <s v="Rua 1022"/>
    <s v="Comp 1022"/>
    <s v="Copo Termico"/>
    <s v="KN-TBQL-K2MM"/>
    <d v="2025-03-20T00:00:00"/>
    <n v="23.9"/>
    <n v="23.9"/>
    <n v="3.1069999999999998"/>
    <n v="20.79"/>
    <n v="6.99"/>
    <n v="0.28000000000000003"/>
    <n v="0.39877104377104378"/>
    <n v="0"/>
    <n v="13.121228956228954"/>
    <n v="6.5606144781144771"/>
    <x v="94"/>
    <x v="97"/>
    <x v="20"/>
    <d v="2025-04-02T00:00:00"/>
    <x v="4"/>
    <x v="0"/>
    <x v="6"/>
    <s v="ENTREGUE"/>
    <d v="2025-03-06T00:00:00"/>
    <x v="0"/>
    <m/>
    <n v="0"/>
    <n v="0"/>
    <n v="0"/>
    <n v="0"/>
    <n v="0"/>
  </r>
  <r>
    <x v="0"/>
    <s v="BV45718"/>
    <s v="Pedido 1084"/>
    <d v="2025-03-02T00:00:00"/>
    <x v="94"/>
    <s v="PedidoF1063"/>
    <s v="CódRastreio1061"/>
    <n v="1"/>
    <s v="CPF 1054"/>
    <s v="Nome 1054"/>
    <s v="Tel 1054"/>
    <s v="Cep 1054"/>
    <s v="Rua 1054"/>
    <s v="Comp 1054"/>
    <s v="Ventilador Preto"/>
    <s v="MU-J80P-95WF"/>
    <d v="2025-04-08T00:00:00"/>
    <n v="65.599999999999994"/>
    <n v="65.599999999999994"/>
    <n v="8.5279999999999987"/>
    <n v="57.07"/>
    <n v="12.69"/>
    <n v="0.28000000000000003"/>
    <n v="0.39877104377104378"/>
    <n v="0"/>
    <n v="43.70122895622896"/>
    <n v="21.85061447811448"/>
    <x v="99"/>
    <x v="102"/>
    <x v="22"/>
    <d v="2025-04-16T00:00:00"/>
    <x v="5"/>
    <x v="0"/>
    <x v="6"/>
    <s v="ENTREGUE"/>
    <d v="2025-03-17T00:00:00"/>
    <x v="0"/>
    <m/>
    <n v="0"/>
    <n v="0"/>
    <n v="0"/>
    <n v="0"/>
    <n v="0"/>
  </r>
  <r>
    <x v="2"/>
    <s v="MEI45718"/>
    <s v="Pedido 1085"/>
    <d v="2025-03-01T00:00:00"/>
    <x v="94"/>
    <s v="PedidoF1064"/>
    <s v="CódRastreio1062"/>
    <n v="1"/>
    <s v="CPF 1055"/>
    <s v="Nome 1055"/>
    <s v="Tel 1055"/>
    <s v="Cep 1055"/>
    <s v="Rua 1055"/>
    <s v="Comp 1055"/>
    <s v="Mini Liquidificador"/>
    <s v="A4-5W51-K3HF"/>
    <d v="2025-03-26T00:00:00"/>
    <n v="30.95"/>
    <n v="30.95"/>
    <n v="4.3330000000000002"/>
    <n v="26.62"/>
    <n v="14.99"/>
    <n v="0.2"/>
    <n v="0.39877104377104378"/>
    <n v="0"/>
    <n v="11.031228956228958"/>
    <n v="5.5156144781144789"/>
    <x v="96"/>
    <x v="99"/>
    <x v="22"/>
    <d v="2025-04-16T00:00:00"/>
    <x v="5"/>
    <x v="0"/>
    <x v="6"/>
    <s v="ENTREGUE"/>
    <d v="2025-03-11T00:00:00"/>
    <x v="0"/>
    <m/>
    <n v="0"/>
    <n v="0"/>
    <n v="0"/>
    <n v="0"/>
    <n v="0"/>
  </r>
  <r>
    <x v="2"/>
    <s v="MEI45718"/>
    <s v="Pedido 1086"/>
    <d v="2025-03-01T00:00:00"/>
    <x v="94"/>
    <s v="PedidoF1065"/>
    <s v="CódRastreio1063"/>
    <n v="1"/>
    <s v="CPF 1056"/>
    <s v="Nome 1056"/>
    <s v="Tel 1056"/>
    <s v="Cep 1056"/>
    <s v="Rua 1056"/>
    <s v="Comp 1056"/>
    <s v="Mini Liquidificador"/>
    <s v="A4-5W51-K3HF"/>
    <d v="2025-03-20T00:00:00"/>
    <n v="30.95"/>
    <n v="30.95"/>
    <n v="4.3330000000000002"/>
    <n v="26.62"/>
    <n v="14.99"/>
    <n v="0.2"/>
    <n v="0.39877104377104378"/>
    <n v="0"/>
    <n v="11.031228956228958"/>
    <n v="5.5156144781144789"/>
    <x v="94"/>
    <x v="97"/>
    <x v="20"/>
    <d v="2025-04-02T00:00:00"/>
    <x v="4"/>
    <x v="0"/>
    <x v="6"/>
    <s v="ENTREGUE"/>
    <d v="2025-03-07T00:00:00"/>
    <x v="0"/>
    <m/>
    <n v="0"/>
    <n v="0"/>
    <n v="0"/>
    <n v="0"/>
    <n v="0"/>
  </r>
  <r>
    <x v="2"/>
    <s v="MEI45718"/>
    <s v="Pedido 1087"/>
    <d v="2025-03-01T00:00:00"/>
    <x v="94"/>
    <s v="PedidoF1066"/>
    <s v="CódRastreio1064"/>
    <n v="1"/>
    <s v="CPF 1057"/>
    <s v="Nome 1057"/>
    <s v="Tel 1057"/>
    <s v="Cep 1057"/>
    <s v="Rua 1057"/>
    <s v="Comp 1057"/>
    <s v="Mini Liquidificador"/>
    <s v="A4-5W51-K3HF"/>
    <d v="2025-03-20T00:00:00"/>
    <n v="30.95"/>
    <n v="30.95"/>
    <n v="4.3330000000000002"/>
    <n v="26.62"/>
    <n v="14.99"/>
    <n v="0.2"/>
    <n v="0.39877104377104378"/>
    <n v="0"/>
    <n v="11.031228956228958"/>
    <n v="5.5156144781144789"/>
    <x v="94"/>
    <x v="97"/>
    <x v="20"/>
    <d v="2025-04-02T00:00:00"/>
    <x v="4"/>
    <x v="0"/>
    <x v="6"/>
    <s v="ENTREGUE"/>
    <d v="2025-03-07T00:00:00"/>
    <x v="0"/>
    <m/>
    <n v="0"/>
    <n v="0"/>
    <n v="0"/>
    <n v="0"/>
    <n v="0"/>
  </r>
  <r>
    <x v="2"/>
    <s v="MEI45718"/>
    <s v="Pedido 1088"/>
    <d v="2025-03-02T00:00:00"/>
    <x v="94"/>
    <s v="PedidoF1067"/>
    <s v="CódRastreio1065"/>
    <n v="1"/>
    <s v="CPF 1058"/>
    <s v="Nome 1058"/>
    <s v="Tel 1058"/>
    <s v="Cep 1058"/>
    <s v="Rua 1058"/>
    <s v="Comp 1058"/>
    <s v="Ventilador Preto"/>
    <s v="WU-SS4J-LFOH"/>
    <d v="2025-04-01T00:00:00"/>
    <n v="65.599999999999994"/>
    <n v="65.599999999999994"/>
    <n v="8.5279999999999987"/>
    <n v="57.07"/>
    <n v="10.17"/>
    <n v="0.2"/>
    <n v="0.39877104377104378"/>
    <n v="0"/>
    <n v="46.301228956228954"/>
    <n v="23.150614478114477"/>
    <x v="95"/>
    <x v="98"/>
    <x v="22"/>
    <d v="2025-04-16T00:00:00"/>
    <x v="5"/>
    <x v="0"/>
    <x v="6"/>
    <s v="ENTREGUE"/>
    <d v="2025-03-13T00:00:00"/>
    <x v="0"/>
    <m/>
    <n v="0"/>
    <n v="0"/>
    <n v="0"/>
    <n v="0"/>
    <n v="0"/>
  </r>
  <r>
    <x v="1"/>
    <s v="GO45718"/>
    <s v="Pedido 1089"/>
    <d v="2025-03-02T00:00:00"/>
    <x v="94"/>
    <s v="PedidoF1068"/>
    <s v="CódRastreio1066"/>
    <n v="1"/>
    <s v="CPF 1059"/>
    <s v="Nome 1059"/>
    <s v="Tel 1059"/>
    <s v="Cep 1059"/>
    <s v="Rua 1059"/>
    <s v="Comp 1059"/>
    <s v="Ventilador Preto"/>
    <s v="EP-9PIR-BWXH"/>
    <d v="2025-03-26T00:00:00"/>
    <n v="70.989999999999995"/>
    <n v="70.989999999999995"/>
    <n v="9.2286999999999999"/>
    <n v="61.76"/>
    <n v="10.17"/>
    <n v="0.2"/>
    <n v="0.39877104377104378"/>
    <n v="0"/>
    <n v="50.991228956228952"/>
    <n v="50.991228956228952"/>
    <x v="96"/>
    <x v="99"/>
    <x v="22"/>
    <d v="2025-04-16T00:00:00"/>
    <x v="5"/>
    <x v="0"/>
    <x v="6"/>
    <s v="ENTREGUE"/>
    <d v="2025-03-10T00:00:00"/>
    <x v="0"/>
    <m/>
    <n v="0"/>
    <n v="0"/>
    <n v="0"/>
    <n v="0"/>
    <n v="0"/>
  </r>
  <r>
    <x v="0"/>
    <s v="BV45721"/>
    <s v="Pedido 1090"/>
    <d v="2025-03-02T00:00:00"/>
    <x v="97"/>
    <s v="PedidoF1069"/>
    <s v="CódRastreio1067"/>
    <n v="1"/>
    <s v="CPF 1060"/>
    <s v="Nome 1060"/>
    <s v="Tel 1060"/>
    <s v="Cep 1060"/>
    <s v="Rua 1060"/>
    <s v="Comp 1060"/>
    <s v="Garrafa Termica"/>
    <s v="FM-QQ8Y-RZT4"/>
    <d v="2025-03-26T00:00:00"/>
    <n v="23.5"/>
    <n v="23.5"/>
    <n v="3.0550000000000002"/>
    <n v="20.45"/>
    <n v="12.8"/>
    <n v="0.2"/>
    <n v="0.39877104377104378"/>
    <n v="0"/>
    <n v="7.0512289562289556"/>
    <n v="3.5256144781144778"/>
    <x v="96"/>
    <x v="99"/>
    <x v="22"/>
    <d v="2025-04-16T00:00:00"/>
    <x v="5"/>
    <x v="0"/>
    <x v="6"/>
    <s v="ENTREGUE"/>
    <d v="2025-03-19T00:00:00"/>
    <x v="0"/>
    <m/>
    <n v="0"/>
    <n v="0"/>
    <n v="0"/>
    <n v="0"/>
    <n v="0"/>
  </r>
  <r>
    <x v="0"/>
    <s v="BV45720"/>
    <s v="Pedido 1091"/>
    <d v="2025-03-03T00:00:00"/>
    <x v="96"/>
    <s v="PedidoF1070"/>
    <s v="CódRastreio1068"/>
    <n v="1"/>
    <s v="CPF 1061"/>
    <s v="Nome 1061"/>
    <s v="Tel 1061"/>
    <s v="Cep 1061"/>
    <s v="Rua 1061"/>
    <s v="Comp 1061"/>
    <s v="Copo Termico"/>
    <s v="KN-TBQL-K2MM"/>
    <d v="2025-03-20T00:00:00"/>
    <n v="23.9"/>
    <n v="23.9"/>
    <n v="3.1069999999999998"/>
    <n v="20.79"/>
    <n v="6.99"/>
    <n v="0.25"/>
    <n v="0.39877104377104378"/>
    <n v="0"/>
    <n v="13.151228956228955"/>
    <n v="6.5756144781144776"/>
    <x v="94"/>
    <x v="97"/>
    <x v="20"/>
    <d v="2025-04-02T00:00:00"/>
    <x v="4"/>
    <x v="0"/>
    <x v="6"/>
    <s v="ENTREGUE"/>
    <d v="2025-03-13T00:00:00"/>
    <x v="0"/>
    <m/>
    <n v="0"/>
    <n v="0"/>
    <n v="0"/>
    <n v="0"/>
    <n v="0"/>
  </r>
  <r>
    <x v="0"/>
    <s v="BV45720"/>
    <s v="Pedido 1092"/>
    <d v="2025-03-03T00:00:00"/>
    <x v="96"/>
    <s v="PedidoF1071"/>
    <s v="CódRastreio1069"/>
    <n v="1"/>
    <s v="CPF 1062"/>
    <s v="Nome 1062"/>
    <s v="Tel 1062"/>
    <s v="Cep 1062"/>
    <s v="Rua 1062"/>
    <s v="Comp 1062"/>
    <s v="Copo Termico"/>
    <s v="KN-TBQL-K2MM"/>
    <d v="2025-03-20T00:00:00"/>
    <n v="23.9"/>
    <n v="23.9"/>
    <n v="3.1069999999999998"/>
    <n v="20.79"/>
    <n v="6.99"/>
    <n v="0.25"/>
    <n v="0.39877104377104378"/>
    <n v="0"/>
    <n v="13.151228956228955"/>
    <n v="6.5756144781144776"/>
    <x v="94"/>
    <x v="97"/>
    <x v="20"/>
    <d v="2025-04-02T00:00:00"/>
    <x v="4"/>
    <x v="0"/>
    <x v="6"/>
    <s v="ENTREGUE"/>
    <d v="2025-03-06T00:00:00"/>
    <x v="0"/>
    <m/>
    <n v="0"/>
    <n v="0"/>
    <n v="0"/>
    <n v="0"/>
    <n v="0"/>
  </r>
  <r>
    <x v="0"/>
    <s v="BV45720"/>
    <s v="Pedido 1093"/>
    <d v="2025-03-03T00:00:00"/>
    <x v="96"/>
    <s v="PedidoF1072"/>
    <s v="CódRastreio1070"/>
    <n v="1"/>
    <s v="CPF 1063"/>
    <s v="Nome 1063"/>
    <s v="Tel 1063"/>
    <s v="Cep 1063"/>
    <s v="Rua 1063"/>
    <s v="Comp 1063"/>
    <s v="Karaoke portátil"/>
    <s v="08-PAJ9-YM9P"/>
    <d v="2025-04-08T00:00:00"/>
    <n v="55.99"/>
    <n v="55.99"/>
    <n v="8.3985000000000003"/>
    <n v="47.59"/>
    <n v="0"/>
    <n v="0.25"/>
    <n v="0.39877104377104378"/>
    <n v="0"/>
    <n v="46.941228956228962"/>
    <n v="23.470614478114481"/>
    <x v="99"/>
    <x v="102"/>
    <x v="22"/>
    <d v="2025-04-16T00:00:00"/>
    <x v="5"/>
    <x v="0"/>
    <x v="6"/>
    <s v="ENTREGUE"/>
    <d v="2025-04-16T00:00:00"/>
    <x v="0"/>
    <m/>
    <n v="0"/>
    <n v="0"/>
    <n v="0"/>
    <n v="0"/>
    <n v="0"/>
  </r>
  <r>
    <x v="0"/>
    <s v="BV45720"/>
    <s v="Pedido 1094"/>
    <d v="2025-03-04T00:00:00"/>
    <x v="96"/>
    <s v="PedidoF1073"/>
    <s v="CódRastreio1071"/>
    <n v="1"/>
    <s v="CPF 1064"/>
    <s v="Nome 1064"/>
    <s v="Tel 1064"/>
    <s v="Cep 1064"/>
    <s v="Rua 1064"/>
    <s v="Comp 1064"/>
    <s v="Ventilador Preto"/>
    <s v="MU-J80P-95WF"/>
    <d v="2025-04-01T00:00:00"/>
    <n v="65.599999999999994"/>
    <n v="65.599999999999994"/>
    <n v="8.5279999999999987"/>
    <n v="57.07"/>
    <n v="10.52"/>
    <n v="0.25"/>
    <n v="0.39877104377104378"/>
    <n v="0"/>
    <n v="45.901228956228955"/>
    <n v="22.950614478114478"/>
    <x v="95"/>
    <x v="98"/>
    <x v="22"/>
    <d v="2025-04-16T00:00:00"/>
    <x v="5"/>
    <x v="0"/>
    <x v="6"/>
    <s v="ENTREGUE"/>
    <d v="2025-03-21T00:00:00"/>
    <x v="0"/>
    <m/>
    <n v="0"/>
    <n v="0"/>
    <n v="0"/>
    <n v="0"/>
    <n v="0"/>
  </r>
  <r>
    <x v="0"/>
    <s v="BV45720"/>
    <s v="Pedido 1095"/>
    <d v="2025-03-04T00:00:00"/>
    <x v="96"/>
    <s v="PedidoF1074"/>
    <s v="CódRastreio1072"/>
    <n v="1"/>
    <s v="CPF 1065"/>
    <s v="Nome 1065"/>
    <s v="Tel 1065"/>
    <s v="Cep 1065"/>
    <s v="Rua 1065"/>
    <s v="Comp 1065"/>
    <s v="Garrafa Termica"/>
    <s v="FM-QQ8Y-RZT4"/>
    <d v="2025-03-20T00:00:00"/>
    <n v="23.5"/>
    <n v="23.5"/>
    <n v="3.0550000000000002"/>
    <n v="20.45"/>
    <n v="13.8"/>
    <n v="0.25"/>
    <n v="0.39877104377104378"/>
    <n v="0"/>
    <n v="6.0012289562289549"/>
    <n v="3.0006144781144775"/>
    <x v="94"/>
    <x v="97"/>
    <x v="20"/>
    <d v="2025-04-02T00:00:00"/>
    <x v="4"/>
    <x v="0"/>
    <x v="6"/>
    <s v="ENTREGUE"/>
    <d v="2025-03-08T00:00:00"/>
    <x v="0"/>
    <m/>
    <n v="0"/>
    <n v="0"/>
    <n v="0"/>
    <n v="0"/>
    <n v="0"/>
  </r>
  <r>
    <x v="0"/>
    <s v="BV45721"/>
    <s v="Pedido 1096"/>
    <d v="2025-03-04T00:00:00"/>
    <x v="97"/>
    <s v="PedidoF1075"/>
    <s v="CódRastreio1073"/>
    <n v="1"/>
    <s v="CPF 1066"/>
    <s v="Nome 1066"/>
    <s v="Tel 1066"/>
    <s v="Cep 1066"/>
    <s v="Rua 1066"/>
    <s v="Comp 1066"/>
    <s v="Lampada Led"/>
    <s v="RB-W251-UXV2"/>
    <d v="2025-03-20T00:00:00"/>
    <n v="26.99"/>
    <n v="26.99"/>
    <n v="3.5086999999999997"/>
    <n v="23.48"/>
    <n v="13.4"/>
    <n v="0.2"/>
    <n v="0.39877104377104378"/>
    <n v="0"/>
    <n v="9.4812289562289571"/>
    <n v="4.7406144781144786"/>
    <x v="94"/>
    <x v="97"/>
    <x v="20"/>
    <d v="2025-04-02T00:00:00"/>
    <x v="4"/>
    <x v="0"/>
    <x v="6"/>
    <s v="ENTREGUE"/>
    <d v="2025-03-13T00:00:00"/>
    <x v="0"/>
    <m/>
    <n v="0"/>
    <n v="0"/>
    <n v="0"/>
    <n v="0"/>
    <n v="0"/>
  </r>
  <r>
    <x v="0"/>
    <s v="BV45721"/>
    <s v="Pedido 1097"/>
    <d v="2025-03-04T00:00:00"/>
    <x v="97"/>
    <s v="PedidoF1076"/>
    <s v="CódRastreio1074"/>
    <n v="1"/>
    <s v="CPF 1067"/>
    <s v="Nome 1067"/>
    <s v="Tel 1067"/>
    <s v="Cep 1067"/>
    <s v="Rua 1067"/>
    <s v="Comp 1067"/>
    <s v="Garrafa Termica"/>
    <s v="FM-QQ8Y-RZT4"/>
    <d v="2025-03-26T00:00:00"/>
    <n v="23.5"/>
    <n v="23.5"/>
    <n v="3.0550000000000002"/>
    <n v="20.45"/>
    <n v="12.8"/>
    <n v="0.2"/>
    <n v="0.39877104377104378"/>
    <n v="0"/>
    <n v="7.0512289562289556"/>
    <n v="3.5256144781144778"/>
    <x v="96"/>
    <x v="99"/>
    <x v="22"/>
    <d v="2025-04-16T00:00:00"/>
    <x v="5"/>
    <x v="0"/>
    <x v="6"/>
    <s v="ENTREGUE"/>
    <d v="2025-03-17T00:00:00"/>
    <x v="0"/>
    <m/>
    <n v="0"/>
    <n v="0"/>
    <n v="0"/>
    <n v="0"/>
    <n v="0"/>
  </r>
  <r>
    <x v="0"/>
    <s v="BV45721"/>
    <s v="Pedido 1098"/>
    <d v="2025-03-04T00:00:00"/>
    <x v="97"/>
    <s v="PedidoF1077"/>
    <s v="CódRastreio1075"/>
    <n v="1"/>
    <s v="CPF 1068"/>
    <s v="Nome 1068"/>
    <s v="Tel 1068"/>
    <s v="Cep 1068"/>
    <s v="Rua 1068"/>
    <s v="Comp 1068"/>
    <s v="Karaoke portátil"/>
    <s v="08-PAJ9-YM9P"/>
    <d v="2025-04-01T00:00:00"/>
    <n v="55.99"/>
    <n v="55.99"/>
    <n v="8.3985000000000003"/>
    <n v="47.59"/>
    <n v="0"/>
    <n v="0.2"/>
    <n v="0.39877104377104378"/>
    <n v="0"/>
    <n v="46.991228956228959"/>
    <n v="23.495614478114479"/>
    <x v="95"/>
    <x v="98"/>
    <x v="22"/>
    <d v="2025-04-16T00:00:00"/>
    <x v="5"/>
    <x v="0"/>
    <x v="6"/>
    <s v="ENTREGUE"/>
    <d v="2025-04-23T00:00:00"/>
    <x v="0"/>
    <m/>
    <n v="0"/>
    <n v="0"/>
    <n v="0"/>
    <n v="0"/>
    <n v="0"/>
  </r>
  <r>
    <x v="0"/>
    <s v="BV45721"/>
    <s v="Pedido 1099"/>
    <d v="2025-03-04T00:00:00"/>
    <x v="97"/>
    <s v="PedidoF1078"/>
    <s v="CódRastreio1076"/>
    <n v="1"/>
    <s v="CPF 1069"/>
    <s v="Nome 1069"/>
    <s v="Tel 1069"/>
    <s v="Cep 1069"/>
    <s v="Rua 1069"/>
    <s v="Comp 1069"/>
    <s v="Karaoke portátil"/>
    <s v="08-PAJ9-YM9P"/>
    <d v="2025-04-01T00:00:00"/>
    <n v="55.99"/>
    <n v="55.99"/>
    <n v="8.3985000000000003"/>
    <n v="47.59"/>
    <n v="0"/>
    <n v="0.2"/>
    <n v="0.39877104377104378"/>
    <n v="0"/>
    <n v="46.991228956228959"/>
    <n v="23.495614478114479"/>
    <x v="95"/>
    <x v="98"/>
    <x v="22"/>
    <d v="2025-04-16T00:00:00"/>
    <x v="5"/>
    <x v="0"/>
    <x v="6"/>
    <s v="ENTREGUE"/>
    <d v="2025-04-17T00:00:00"/>
    <x v="0"/>
    <m/>
    <n v="0"/>
    <n v="0"/>
    <n v="0"/>
    <n v="0"/>
    <n v="0"/>
  </r>
  <r>
    <x v="2"/>
    <s v="MEI45721"/>
    <s v="Pedido 1100"/>
    <d v="2025-03-04T00:00:00"/>
    <x v="97"/>
    <s v="PedidoF1079"/>
    <s v="CódRastreio1077"/>
    <n v="1"/>
    <s v="CPF 1070"/>
    <s v="Nome 1070"/>
    <s v="Tel 1070"/>
    <s v="Cep 1070"/>
    <s v="Rua 1070"/>
    <s v="Comp 1070"/>
    <s v="Mini Liquidificador"/>
    <s v="A4-5W51-K3HF"/>
    <d v="2025-03-26T00:00:00"/>
    <n v="30.95"/>
    <n v="30.95"/>
    <n v="4.3330000000000002"/>
    <n v="26.62"/>
    <n v="13.99"/>
    <n v="0.15"/>
    <n v="0.39877104377104378"/>
    <n v="0"/>
    <n v="12.081228956228957"/>
    <n v="6.0406144781144784"/>
    <x v="96"/>
    <x v="99"/>
    <x v="22"/>
    <d v="2025-04-16T00:00:00"/>
    <x v="5"/>
    <x v="0"/>
    <x v="6"/>
    <s v="ENTREGUE"/>
    <d v="2025-03-18T00:00:00"/>
    <x v="0"/>
    <m/>
    <n v="0"/>
    <n v="0"/>
    <n v="0"/>
    <n v="0"/>
    <n v="0"/>
  </r>
  <r>
    <x v="1"/>
    <s v="GO45721"/>
    <s v="Pedido 1101"/>
    <d v="2025-03-04T00:00:00"/>
    <x v="97"/>
    <s v="PedidoF1080"/>
    <s v="CódRastreio1078"/>
    <n v="1"/>
    <s v="CPF 1017"/>
    <s v="Nome 1017"/>
    <s v="Tel 1017"/>
    <s v="Cep 1017"/>
    <s v="Rua 1017"/>
    <s v="Comp 1017"/>
    <s v="Ventilador Preto"/>
    <s v="EP-9PIR-BWXH"/>
    <d v="2025-04-01T00:00:00"/>
    <n v="70.989999999999995"/>
    <n v="70.989999999999995"/>
    <n v="9.2286999999999999"/>
    <n v="61.76"/>
    <n v="14.7"/>
    <n v="0.15"/>
    <n v="0.39877104377104378"/>
    <n v="0"/>
    <n v="46.511228956228955"/>
    <n v="46.511228956228955"/>
    <x v="95"/>
    <x v="98"/>
    <x v="22"/>
    <d v="2025-04-16T00:00:00"/>
    <x v="5"/>
    <x v="0"/>
    <x v="6"/>
    <s v="ENTREGUE"/>
    <d v="2025-03-19T00:00:00"/>
    <x v="0"/>
    <m/>
    <n v="0"/>
    <n v="0"/>
    <n v="0"/>
    <n v="0"/>
    <n v="0"/>
  </r>
  <r>
    <x v="0"/>
    <s v="BV45721"/>
    <s v="Pedido 1102"/>
    <d v="2025-03-05T00:00:00"/>
    <x v="97"/>
    <s v="PedidoF1081"/>
    <s v="CódRastreio1079"/>
    <n v="1"/>
    <s v="CPF 1071"/>
    <s v="Nome 1071"/>
    <s v="Tel 1071"/>
    <s v="Cep 1071"/>
    <s v="Rua 1071"/>
    <s v="Comp 1071"/>
    <s v="Ventilador Preto"/>
    <s v="MU-J80P-95WF"/>
    <d v="2025-04-01T00:00:00"/>
    <n v="65.599999999999994"/>
    <n v="65.599999999999994"/>
    <n v="8.5279999999999987"/>
    <n v="57.07"/>
    <n v="10.15"/>
    <n v="0.2"/>
    <n v="0.39877104377104378"/>
    <n v="0"/>
    <n v="46.321228956228957"/>
    <n v="23.160614478114478"/>
    <x v="95"/>
    <x v="98"/>
    <x v="22"/>
    <d v="2025-04-16T00:00:00"/>
    <x v="5"/>
    <x v="0"/>
    <x v="6"/>
    <s v="ENTREGUE"/>
    <d v="2025-03-14T00:00:00"/>
    <x v="0"/>
    <m/>
    <n v="0"/>
    <n v="0"/>
    <n v="0"/>
    <n v="0"/>
    <n v="0"/>
  </r>
  <r>
    <x v="0"/>
    <s v="BV45721"/>
    <s v="Pedido 1103"/>
    <d v="2025-03-05T00:00:00"/>
    <x v="97"/>
    <s v="PedidoF1082"/>
    <s v="CódRastreio1080"/>
    <n v="1"/>
    <s v="CPF 1072"/>
    <s v="Nome 1072"/>
    <s v="Tel 1072"/>
    <s v="Cep 1072"/>
    <s v="Rua 1072"/>
    <s v="Comp 1072"/>
    <s v="Ventilador Preto"/>
    <s v="MU-J80P-95WF"/>
    <d v="2025-03-26T00:00:00"/>
    <n v="70.599999999999994"/>
    <n v="70.599999999999994"/>
    <n v="9.177999999999999"/>
    <n v="61.42"/>
    <n v="10.15"/>
    <n v="0.2"/>
    <n v="0.39877104377104378"/>
    <n v="0"/>
    <n v="50.671228956228958"/>
    <n v="25.335614478114479"/>
    <x v="96"/>
    <x v="99"/>
    <x v="22"/>
    <d v="2025-04-16T00:00:00"/>
    <x v="5"/>
    <x v="0"/>
    <x v="6"/>
    <s v="ENTREGUE"/>
    <d v="2025-03-24T00:00:00"/>
    <x v="0"/>
    <m/>
    <n v="0"/>
    <n v="0"/>
    <n v="0"/>
    <n v="0"/>
    <n v="0"/>
  </r>
  <r>
    <x v="0"/>
    <s v="BV45721"/>
    <s v="Pedido 1104"/>
    <d v="2025-03-05T00:00:00"/>
    <x v="97"/>
    <s v="PedidoF1083"/>
    <s v="CódRastreio1081"/>
    <n v="1"/>
    <s v="CPF 1073"/>
    <s v="Nome 1073"/>
    <s v="Tel 1073"/>
    <s v="Cep 1073"/>
    <s v="Rua 1073"/>
    <s v="Comp 1073"/>
    <s v="Caixinha de som Preta"/>
    <s v="5D-KKPK-K70I"/>
    <d v="2025-03-20T00:00:00"/>
    <n v="25.99"/>
    <n v="25.99"/>
    <n v="3.8984999999999994"/>
    <n v="22.09"/>
    <n v="12.3"/>
    <n v="0.2"/>
    <n v="0.39877104377104378"/>
    <n v="0"/>
    <n v="9.1912289562289562"/>
    <n v="4.5956144781144781"/>
    <x v="94"/>
    <x v="97"/>
    <x v="20"/>
    <d v="2025-04-02T00:00:00"/>
    <x v="4"/>
    <x v="0"/>
    <x v="6"/>
    <s v="ENTREGUE"/>
    <d v="2025-03-13T00:00:00"/>
    <x v="0"/>
    <m/>
    <n v="0"/>
    <n v="0"/>
    <n v="0"/>
    <n v="0"/>
    <n v="0"/>
  </r>
  <r>
    <x v="0"/>
    <s v="BV-"/>
    <s v="Pedido 1105"/>
    <d v="2025-03-05T00:00:00"/>
    <x v="0"/>
    <s v="-"/>
    <s v="-"/>
    <n v="1"/>
    <s v="CPF 1074"/>
    <s v="Nome 1074"/>
    <s v="Tel 1074"/>
    <s v="Cep 1074"/>
    <s v="Rua 1074"/>
    <s v="Comp 1074"/>
    <s v="Ventilador Rosa"/>
    <s v="IF-G2ZQ-79FO"/>
    <d v="2025-04-01T00:00:00"/>
    <n v="61.5"/>
    <n v="61.5"/>
    <n v="7.9950000000000001"/>
    <n v="53.51"/>
    <n v="0"/>
    <n v="0"/>
    <n v="0"/>
    <n v="0"/>
    <n v="53.51"/>
    <n v="26.754999999999999"/>
    <x v="95"/>
    <x v="98"/>
    <x v="22"/>
    <d v="2025-04-16T00:00:00"/>
    <x v="5"/>
    <x v="0"/>
    <x v="0"/>
    <s v="-"/>
    <s v="-"/>
    <x v="0"/>
    <m/>
    <n v="0"/>
    <n v="0"/>
    <n v="0"/>
    <n v="0"/>
    <n v="0"/>
  </r>
  <r>
    <x v="0"/>
    <s v="BV45721"/>
    <s v="Pedido 1106"/>
    <d v="2025-03-04T00:00:00"/>
    <x v="97"/>
    <s v="PedidoF1084"/>
    <s v="CódRastreio1082"/>
    <n v="1"/>
    <s v="CPF 1075"/>
    <s v="Nome 1075"/>
    <s v="Tel 1075"/>
    <s v="Cep 1075"/>
    <s v="Rua 1075"/>
    <s v="Comp 1075"/>
    <s v="Ventilador Rosa"/>
    <s v="IF-G2ZQ-79FO"/>
    <d v="2025-03-26T00:00:00"/>
    <n v="61.5"/>
    <n v="61.5"/>
    <n v="7.9950000000000001"/>
    <n v="53.51"/>
    <n v="13.36"/>
    <n v="0.2"/>
    <n v="0.39877104377104378"/>
    <n v="0"/>
    <n v="39.551228956228954"/>
    <n v="19.775614478114477"/>
    <x v="96"/>
    <x v="99"/>
    <x v="22"/>
    <d v="2025-04-16T00:00:00"/>
    <x v="5"/>
    <x v="0"/>
    <x v="6"/>
    <s v="ENTREGUE"/>
    <d v="2025-03-20T00:00:00"/>
    <x v="0"/>
    <m/>
    <n v="0"/>
    <n v="0"/>
    <n v="0"/>
    <n v="0"/>
    <n v="0"/>
  </r>
  <r>
    <x v="0"/>
    <s v="BV45721"/>
    <s v="Pedido 1107"/>
    <d v="2025-03-05T00:00:00"/>
    <x v="97"/>
    <s v="PedidoF1085"/>
    <s v="CódRastreio1083"/>
    <n v="1"/>
    <s v="CPF 1076"/>
    <s v="Nome 1076"/>
    <s v="Tel 1076"/>
    <s v="Cep 1076"/>
    <s v="Rua 1076"/>
    <s v="Comp 1076"/>
    <s v="Suporte de Celular Branco"/>
    <s v="16-4EDB-WMZF"/>
    <d v="2025-03-26T00:00:00"/>
    <n v="24.99"/>
    <n v="24.99"/>
    <n v="3.7484999999999995"/>
    <n v="21.24"/>
    <n v="0"/>
    <n v="0.2"/>
    <n v="0.39877104377104378"/>
    <n v="0"/>
    <n v="20.641228956228954"/>
    <n v="10.320614478114477"/>
    <x v="96"/>
    <x v="99"/>
    <x v="22"/>
    <d v="2025-04-16T00:00:00"/>
    <x v="5"/>
    <x v="0"/>
    <x v="6"/>
    <s v="ENTREGUE"/>
    <d v="2025-04-22T00:00:00"/>
    <x v="0"/>
    <m/>
    <n v="0"/>
    <n v="0"/>
    <n v="0"/>
    <n v="0"/>
    <n v="0"/>
  </r>
  <r>
    <x v="2"/>
    <s v="MEI45721"/>
    <s v="Pedido 1108"/>
    <d v="2025-03-05T00:00:00"/>
    <x v="97"/>
    <s v="PedidoF1086"/>
    <s v="CódRastreio1084"/>
    <n v="1"/>
    <s v="CPF 1077"/>
    <s v="Nome 1077"/>
    <s v="Tel 1077"/>
    <s v="Cep 1077"/>
    <s v="Rua 1077"/>
    <s v="Comp 1077"/>
    <s v="Ventilador Preto"/>
    <s v="WU-SS4J-LFOH"/>
    <d v="2025-04-01T00:00:00"/>
    <n v="65.599999999999994"/>
    <n v="65.599999999999994"/>
    <n v="8.5279999999999987"/>
    <n v="57.07"/>
    <n v="14.7"/>
    <n v="0.15"/>
    <n v="0.39877104377104378"/>
    <n v="0"/>
    <n v="41.821228956228957"/>
    <n v="20.910614478114478"/>
    <x v="95"/>
    <x v="98"/>
    <x v="22"/>
    <d v="2025-04-16T00:00:00"/>
    <x v="5"/>
    <x v="0"/>
    <x v="6"/>
    <s v="ENTREGUE"/>
    <d v="2025-03-13T00:00:00"/>
    <x v="0"/>
    <m/>
    <n v="0"/>
    <n v="0"/>
    <n v="0"/>
    <n v="0"/>
    <n v="0"/>
  </r>
  <r>
    <x v="2"/>
    <s v="MEI45721"/>
    <s v="Pedido 1109"/>
    <d v="2025-03-06T00:00:00"/>
    <x v="97"/>
    <s v="PedidoF1087"/>
    <s v="CódRastreio1085"/>
    <n v="1"/>
    <s v="CPF 1078"/>
    <s v="Nome 1078"/>
    <s v="Tel 1078"/>
    <s v="Cep 1078"/>
    <s v="Rua 1078"/>
    <s v="Comp 1078"/>
    <s v="Mini Liquidificador"/>
    <s v="A4-5W51-K3HF"/>
    <d v="2025-03-20T00:00:00"/>
    <n v="30.95"/>
    <n v="30.95"/>
    <n v="4.3330000000000002"/>
    <n v="26.62"/>
    <n v="13.99"/>
    <n v="0.15"/>
    <n v="0.39877104377104378"/>
    <n v="0"/>
    <n v="12.081228956228957"/>
    <n v="6.0406144781144784"/>
    <x v="94"/>
    <x v="97"/>
    <x v="20"/>
    <d v="2025-04-02T00:00:00"/>
    <x v="4"/>
    <x v="0"/>
    <x v="6"/>
    <s v="ENTREGUE"/>
    <d v="2025-03-13T00:00:00"/>
    <x v="0"/>
    <m/>
    <n v="0"/>
    <n v="0"/>
    <n v="0"/>
    <n v="0"/>
    <n v="0"/>
  </r>
  <r>
    <x v="0"/>
    <s v="BV45722"/>
    <s v="Pedido 1110"/>
    <d v="2025-03-06T00:00:00"/>
    <x v="95"/>
    <s v="PedidoF1088"/>
    <s v="CódRastreio1086"/>
    <n v="1"/>
    <s v="CPF 1079"/>
    <s v="Nome 1079"/>
    <s v="Tel 1079"/>
    <s v="Cep 1079"/>
    <s v="Rua 1079"/>
    <s v="Comp 1079"/>
    <s v="Garrafa Termica"/>
    <s v="FM-QQ8Y-RZT4"/>
    <d v="2025-03-27T00:00:00"/>
    <n v="23.5"/>
    <n v="23.5"/>
    <n v="3.0550000000000002"/>
    <n v="20.45"/>
    <n v="0"/>
    <n v="0.19"/>
    <n v="0.39877104377104378"/>
    <n v="0"/>
    <n v="19.861228956228956"/>
    <n v="9.9306144781144781"/>
    <x v="100"/>
    <x v="103"/>
    <x v="22"/>
    <d v="2025-04-16T00:00:00"/>
    <x v="5"/>
    <x v="0"/>
    <x v="6"/>
    <s v="ENTREGUE"/>
    <d v="2025-03-26T00:00:00"/>
    <x v="0"/>
    <m/>
    <n v="0"/>
    <n v="0"/>
    <n v="0"/>
    <n v="0"/>
    <n v="0"/>
  </r>
  <r>
    <x v="0"/>
    <s v="BV45722"/>
    <s v="Pedido 1111"/>
    <d v="2025-03-06T00:00:00"/>
    <x v="95"/>
    <s v="PedidoF1089"/>
    <s v="CódRastreio1087"/>
    <n v="1"/>
    <s v="CPF 1080"/>
    <s v="Nome 1080"/>
    <s v="Tel 1080"/>
    <s v="Cep 1080"/>
    <s v="Rua 1080"/>
    <s v="Comp 1080"/>
    <s v="Karaoke portátil"/>
    <s v="08-PAJ9-YM9P"/>
    <d v="2025-04-09T00:00:00"/>
    <n v="55.99"/>
    <n v="55.99"/>
    <n v="8.3985000000000003"/>
    <n v="47.59"/>
    <n v="14.07"/>
    <n v="0.19"/>
    <n v="0.39877104377104378"/>
    <n v="0"/>
    <n v="32.931228956228964"/>
    <n v="16.465614478114482"/>
    <x v="101"/>
    <x v="104"/>
    <x v="23"/>
    <d v="2025-05-06T00:00:00"/>
    <x v="5"/>
    <x v="0"/>
    <x v="6"/>
    <s v="ENTREGUE"/>
    <d v="2025-03-27T00:00:00"/>
    <x v="0"/>
    <m/>
    <n v="0"/>
    <n v="0"/>
    <n v="0"/>
    <n v="0"/>
    <n v="0"/>
  </r>
  <r>
    <x v="2"/>
    <s v="MEI45722"/>
    <s v="Pedido 1112"/>
    <d v="2025-03-06T00:00:00"/>
    <x v="95"/>
    <s v="PedidoF1090"/>
    <s v="CódRastreio1088"/>
    <n v="1"/>
    <s v="CPF 1081"/>
    <s v="Nome 1081"/>
    <s v="Tel 1081"/>
    <s v="Cep 1081"/>
    <s v="Rua 1081"/>
    <s v="Comp 1081"/>
    <s v="Ventilador Preto"/>
    <s v="WU-SS4J-LFOH"/>
    <d v="2025-03-29T00:00:00"/>
    <n v="65.599999999999994"/>
    <n v="65.599999999999994"/>
    <n v="8.5279999999999987"/>
    <n v="57.07"/>
    <n v="11.74"/>
    <n v="0.2"/>
    <n v="0.39877104377104378"/>
    <n v="0"/>
    <n v="44.731228956228961"/>
    <n v="22.36561447811448"/>
    <x v="98"/>
    <x v="101"/>
    <x v="22"/>
    <d v="2025-04-16T00:00:00"/>
    <x v="5"/>
    <x v="0"/>
    <x v="6"/>
    <s v="ENTREGUE"/>
    <d v="2025-03-18T00:00:00"/>
    <x v="0"/>
    <m/>
    <n v="0"/>
    <n v="0"/>
    <n v="0"/>
    <n v="0"/>
    <n v="0"/>
  </r>
  <r>
    <x v="2"/>
    <s v="MEI45722"/>
    <s v="Pedido 1113"/>
    <d v="2025-03-06T00:00:00"/>
    <x v="95"/>
    <s v="PedidoF1091"/>
    <s v="CódRastreio1089"/>
    <n v="1"/>
    <s v="CPF 1082"/>
    <s v="Nome 1082"/>
    <s v="Tel 1082"/>
    <s v="Cep 1082"/>
    <s v="Rua 1082"/>
    <s v="Comp 1082"/>
    <s v="Mini Liquidificador"/>
    <s v="A4-5W51-K3HF"/>
    <d v="2025-03-21T00:00:00"/>
    <n v="30.95"/>
    <n v="30.95"/>
    <n v="4.3330000000000002"/>
    <n v="26.62"/>
    <n v="13.99"/>
    <n v="0.2"/>
    <n v="0.39877104377104378"/>
    <n v="0"/>
    <n v="12.031228956228958"/>
    <n v="6.0156144781144789"/>
    <x v="102"/>
    <x v="105"/>
    <x v="20"/>
    <d v="2025-04-02T00:00:00"/>
    <x v="4"/>
    <x v="0"/>
    <x v="6"/>
    <s v="ENTREGUE"/>
    <d v="2025-03-13T00:00:00"/>
    <x v="0"/>
    <m/>
    <n v="0"/>
    <n v="0"/>
    <n v="0"/>
    <n v="0"/>
    <n v="0"/>
  </r>
  <r>
    <x v="2"/>
    <s v="MEI45722"/>
    <s v="Pedido 1114"/>
    <d v="2025-03-06T00:00:00"/>
    <x v="95"/>
    <s v="PedidoF1092"/>
    <s v="CódRastreio1090"/>
    <n v="1"/>
    <s v="CPF 1083"/>
    <s v="Nome 1083"/>
    <s v="Tel 1083"/>
    <s v="Cep 1083"/>
    <s v="Rua 1083"/>
    <s v="Comp 1083"/>
    <s v="Ventilador Preto"/>
    <s v="WU-SS4J-LFOH"/>
    <d v="2025-04-02T00:00:00"/>
    <n v="65.599999999999994"/>
    <n v="65.599999999999994"/>
    <n v="8.5279999999999987"/>
    <n v="57.07"/>
    <n v="11.74"/>
    <n v="0.2"/>
    <n v="0.39877104377104378"/>
    <n v="0"/>
    <n v="44.731228956228961"/>
    <n v="22.36561447811448"/>
    <x v="103"/>
    <x v="106"/>
    <x v="22"/>
    <d v="2025-04-16T00:00:00"/>
    <x v="5"/>
    <x v="0"/>
    <x v="6"/>
    <s v="ENTREGUE"/>
    <d v="2025-03-18T00:00:00"/>
    <x v="0"/>
    <m/>
    <n v="0"/>
    <n v="0"/>
    <n v="0"/>
    <n v="0"/>
    <n v="0"/>
  </r>
  <r>
    <x v="1"/>
    <s v="GO45722"/>
    <s v="Pedido 1115"/>
    <d v="2025-03-06T00:00:00"/>
    <x v="95"/>
    <s v="PedidoF1093"/>
    <s v="CódRastreio1091"/>
    <n v="1"/>
    <s v="CPF 1084"/>
    <s v="Nome 1084"/>
    <s v="Tel 1084"/>
    <s v="Cep 1084"/>
    <s v="Rua 1084"/>
    <s v="Comp 1084"/>
    <s v="Relógio Smart"/>
    <s v="AS-2K35-YDQV"/>
    <d v="2025-04-02T00:00:00"/>
    <n v="31.99"/>
    <n v="31.99"/>
    <n v="4.7984999999999998"/>
    <n v="27.19"/>
    <n v="10.17"/>
    <n v="0.2"/>
    <n v="0.39877104377104378"/>
    <n v="0"/>
    <n v="16.421228956228958"/>
    <n v="16.421228956228958"/>
    <x v="103"/>
    <x v="106"/>
    <x v="22"/>
    <d v="2025-04-16T00:00:00"/>
    <x v="5"/>
    <x v="0"/>
    <x v="6"/>
    <s v="ENTREGUE"/>
    <d v="2025-03-24T00:00:00"/>
    <x v="0"/>
    <m/>
    <n v="0"/>
    <n v="0"/>
    <n v="0"/>
    <n v="0"/>
    <n v="0"/>
  </r>
  <r>
    <x v="0"/>
    <s v="BV45726"/>
    <s v="Pedido 1116"/>
    <d v="2025-03-07T00:00:00"/>
    <x v="98"/>
    <s v="PedidoF1094"/>
    <s v="CódRastreio1092"/>
    <n v="1"/>
    <s v="CPF 1085"/>
    <s v="Nome 1085"/>
    <s v="Tel 1085"/>
    <s v="Cep 1085"/>
    <s v="Rua 1085"/>
    <s v="Comp 1085"/>
    <s v="Ventilador Rosa"/>
    <s v="IF-G2ZQ-79FO"/>
    <d v="2025-03-28T00:00:00"/>
    <n v="61.5"/>
    <n v="61.5"/>
    <n v="7.9950000000000001"/>
    <n v="53.51"/>
    <n v="12.74"/>
    <n v="0.2"/>
    <n v="0.39877104377104378"/>
    <n v="0"/>
    <n v="40.171228956228958"/>
    <n v="20.085614478114479"/>
    <x v="97"/>
    <x v="100"/>
    <x v="22"/>
    <d v="2025-04-16T00:00:00"/>
    <x v="5"/>
    <x v="0"/>
    <x v="6"/>
    <s v="ENTREGUE"/>
    <d v="2025-03-22T00:00:00"/>
    <x v="0"/>
    <m/>
    <n v="0"/>
    <n v="0"/>
    <n v="0"/>
    <n v="0"/>
    <n v="0"/>
  </r>
  <r>
    <x v="0"/>
    <s v="BV45723"/>
    <s v="Pedido 1117"/>
    <d v="2025-03-07T00:00:00"/>
    <x v="99"/>
    <s v="PedidoF1095"/>
    <s v="CódRastreio1093"/>
    <n v="1"/>
    <s v="CPF 1086"/>
    <s v="Nome 1086"/>
    <s v="Tel 1086"/>
    <s v="Cep 1086"/>
    <s v="Rua 1086"/>
    <s v="Comp 1086"/>
    <s v="Ventilador Rosa"/>
    <s v="IF-G2ZQ-79FO"/>
    <d v="2025-03-28T00:00:00"/>
    <n v="61.5"/>
    <n v="61.5"/>
    <n v="7.9950000000000001"/>
    <n v="53.51"/>
    <n v="13.46"/>
    <n v="0.4"/>
    <n v="0.39877104377104378"/>
    <n v="0"/>
    <n v="39.251228956228957"/>
    <n v="19.625614478114478"/>
    <x v="97"/>
    <x v="100"/>
    <x v="22"/>
    <d v="2025-04-16T00:00:00"/>
    <x v="5"/>
    <x v="0"/>
    <x v="6"/>
    <s v="ENTREGUE"/>
    <d v="2025-03-23T00:00:00"/>
    <x v="0"/>
    <m/>
    <n v="0"/>
    <n v="0"/>
    <n v="0"/>
    <n v="0"/>
    <n v="0"/>
  </r>
  <r>
    <x v="2"/>
    <s v="MEI45723"/>
    <s v="Pedido 1118"/>
    <d v="2025-03-07T00:00:00"/>
    <x v="99"/>
    <s v="PedidoF1096"/>
    <s v="CódRastreio1094"/>
    <n v="1"/>
    <s v="CPF 1087"/>
    <s v="Nome 1087"/>
    <s v="Tel 1087"/>
    <s v="Cep 1087"/>
    <s v="Rua 1087"/>
    <s v="Comp 1087"/>
    <s v="Mini Liquidificador"/>
    <s v="A4-5W51-K3HF"/>
    <d v="2025-03-28T00:00:00"/>
    <n v="30.95"/>
    <n v="30.95"/>
    <n v="4.3330000000000002"/>
    <n v="26.62"/>
    <n v="13.99"/>
    <n v="0.2"/>
    <n v="0.39877104377104378"/>
    <n v="0"/>
    <n v="12.031228956228958"/>
    <n v="6.0156144781144789"/>
    <x v="97"/>
    <x v="100"/>
    <x v="22"/>
    <d v="2025-04-16T00:00:00"/>
    <x v="5"/>
    <x v="0"/>
    <x v="6"/>
    <s v="ENTREGUE"/>
    <d v="2025-03-19T00:00:00"/>
    <x v="0"/>
    <m/>
    <n v="0"/>
    <n v="0"/>
    <n v="0"/>
    <n v="0"/>
    <n v="0"/>
  </r>
  <r>
    <x v="2"/>
    <s v="MEI45723"/>
    <s v="Pedido 1119"/>
    <d v="2025-03-07T00:00:00"/>
    <x v="99"/>
    <s v="PedidoF1097"/>
    <s v="CódRastreio1095"/>
    <n v="1"/>
    <s v="CPF 1088"/>
    <s v="Nome 1088"/>
    <s v="Tel 1088"/>
    <s v="Cep 1088"/>
    <s v="Rua 1088"/>
    <s v="Comp 1088"/>
    <s v="Mini Liquidificador"/>
    <s v="A4-5W51-K3HF"/>
    <d v="2025-04-03T00:00:00"/>
    <n v="30.95"/>
    <n v="30.95"/>
    <n v="4.3330000000000002"/>
    <n v="26.62"/>
    <n v="13.99"/>
    <n v="0.2"/>
    <n v="0.39877104377104378"/>
    <n v="0"/>
    <n v="12.031228956228958"/>
    <n v="6.0156144781144789"/>
    <x v="104"/>
    <x v="107"/>
    <x v="22"/>
    <d v="2025-04-16T00:00:00"/>
    <x v="5"/>
    <x v="0"/>
    <x v="6"/>
    <s v="ENTREGUE"/>
    <d v="2025-03-22T00:00:00"/>
    <x v="0"/>
    <m/>
    <n v="0"/>
    <n v="0"/>
    <n v="0"/>
    <n v="0"/>
    <n v="0"/>
  </r>
  <r>
    <x v="2"/>
    <s v="MEI45723"/>
    <s v="Pedido 1120"/>
    <d v="2025-03-07T00:00:00"/>
    <x v="99"/>
    <s v="PedidoF1098"/>
    <s v="CódRastreio1096"/>
    <n v="1"/>
    <s v="CPF 1089"/>
    <s v="Nome 1089"/>
    <s v="Tel 1089"/>
    <s v="Cep 1089"/>
    <s v="Rua 1089"/>
    <s v="Comp 1089"/>
    <s v="Mini Liquidificador"/>
    <s v="A4-5W51-K3HF"/>
    <d v="2025-04-03T00:00:00"/>
    <n v="30.95"/>
    <n v="30.95"/>
    <n v="4.3330000000000002"/>
    <n v="26.62"/>
    <n v="13.99"/>
    <n v="0.2"/>
    <n v="0.39877104377104378"/>
    <n v="0"/>
    <n v="12.031228956228958"/>
    <n v="6.0156144781144789"/>
    <x v="104"/>
    <x v="107"/>
    <x v="22"/>
    <d v="2025-04-16T00:00:00"/>
    <x v="5"/>
    <x v="0"/>
    <x v="6"/>
    <s v="ENTREGUE"/>
    <d v="2025-03-17T00:00:00"/>
    <x v="0"/>
    <m/>
    <n v="0"/>
    <n v="0"/>
    <n v="0"/>
    <n v="0"/>
    <n v="0"/>
  </r>
  <r>
    <x v="2"/>
    <s v="MEI45723"/>
    <s v="Pedido 1121"/>
    <d v="2025-03-07T00:00:00"/>
    <x v="99"/>
    <s v="PedidoF1099"/>
    <s v="CódRastreio1097"/>
    <n v="1"/>
    <s v="CPF 1090"/>
    <s v="Nome 1090"/>
    <s v="Tel 1090"/>
    <s v="Cep 1090"/>
    <s v="Rua 1090"/>
    <s v="Comp 1090"/>
    <s v="Mini Liquidificador"/>
    <s v="A4-5W51-K3HF"/>
    <d v="2025-03-22T00:00:00"/>
    <n v="30.95"/>
    <n v="30.95"/>
    <n v="4.3330000000000002"/>
    <n v="26.62"/>
    <n v="13.99"/>
    <n v="0.2"/>
    <n v="0.39877104377104378"/>
    <n v="0"/>
    <n v="12.031228956228958"/>
    <n v="6.0156144781144789"/>
    <x v="92"/>
    <x v="95"/>
    <x v="20"/>
    <d v="2025-04-02T00:00:00"/>
    <x v="4"/>
    <x v="0"/>
    <x v="6"/>
    <s v="ENTREGUE"/>
    <d v="2025-03-12T13:54:37"/>
    <x v="0"/>
    <m/>
    <n v="0"/>
    <n v="0"/>
    <n v="0"/>
    <n v="0"/>
    <n v="0"/>
  </r>
  <r>
    <x v="0"/>
    <s v="BV45726"/>
    <s v="Pedido 1122"/>
    <d v="2025-03-08T00:00:00"/>
    <x v="98"/>
    <s v="PedidoF1100"/>
    <s v="CódRastreio1098"/>
    <n v="1"/>
    <s v="CPF 1091"/>
    <s v="Nome 1091"/>
    <s v="Tel 1091"/>
    <s v="Cep 1091"/>
    <s v="Rua 1091"/>
    <s v="Comp 1091"/>
    <s v="Ventilador Rosa"/>
    <s v="IF-G2ZQ-79FO"/>
    <d v="2025-04-10T00:00:00"/>
    <n v="61.5"/>
    <n v="61.5"/>
    <n v="7.9950000000000001"/>
    <n v="53.51"/>
    <n v="12.74"/>
    <n v="0.2"/>
    <n v="0.39877104377104378"/>
    <n v="0"/>
    <n v="40.171228956228958"/>
    <n v="20.085614478114479"/>
    <x v="105"/>
    <x v="108"/>
    <x v="23"/>
    <d v="2025-05-06T00:00:00"/>
    <x v="5"/>
    <x v="0"/>
    <x v="6"/>
    <s v="ENTREGUE"/>
    <d v="2025-03-31T00:00:00"/>
    <x v="0"/>
    <m/>
    <n v="0"/>
    <n v="0"/>
    <n v="0"/>
    <n v="0"/>
    <n v="0"/>
  </r>
  <r>
    <x v="0"/>
    <s v="BV45726"/>
    <s v="Pedido 1123"/>
    <d v="2025-03-08T00:00:00"/>
    <x v="98"/>
    <s v="PedidoF1101"/>
    <s v="CódRastreio1099"/>
    <n v="1"/>
    <s v="CPF 1092"/>
    <s v="Nome 1092"/>
    <s v="Tel 1092"/>
    <s v="Cep 1092"/>
    <s v="Rua 1092"/>
    <s v="Comp 1092"/>
    <s v="Ventilador Rosa"/>
    <s v="IF-G2ZQ-79FO"/>
    <d v="2025-04-03T00:00:00"/>
    <n v="61.5"/>
    <n v="61.5"/>
    <n v="7.9950000000000001"/>
    <n v="53.51"/>
    <n v="12.74"/>
    <n v="0.2"/>
    <n v="0.39877104377104378"/>
    <n v="0"/>
    <n v="40.171228956228958"/>
    <n v="20.085614478114479"/>
    <x v="104"/>
    <x v="107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45726"/>
    <s v="Pedido 1124"/>
    <d v="2025-03-09T00:00:00"/>
    <x v="98"/>
    <s v="PedidoF1102"/>
    <s v="CódRastreio1100"/>
    <n v="1"/>
    <s v="CPF 1093"/>
    <s v="Nome 1093"/>
    <s v="Tel 1093"/>
    <s v="Cep 1093"/>
    <s v="Rua 1093"/>
    <s v="Comp 1093"/>
    <s v="Garrafa Termica"/>
    <s v="FM-QQ8Y-RZT4"/>
    <d v="2025-04-03T00:00:00"/>
    <n v="23.5"/>
    <n v="23.5"/>
    <n v="3.0550000000000002"/>
    <n v="20.45"/>
    <n v="12"/>
    <n v="0.2"/>
    <n v="0.39877104377104378"/>
    <n v="0"/>
    <n v="7.8512289562289563"/>
    <n v="3.9256144781144782"/>
    <x v="104"/>
    <x v="107"/>
    <x v="22"/>
    <d v="2025-04-16T00:00:00"/>
    <x v="5"/>
    <x v="0"/>
    <x v="6"/>
    <s v="ENTREGUE"/>
    <d v="2025-03-19T00:00:00"/>
    <x v="0"/>
    <m/>
    <n v="0"/>
    <n v="0"/>
    <n v="0"/>
    <n v="0"/>
    <n v="0"/>
  </r>
  <r>
    <x v="0"/>
    <s v="BV45726"/>
    <s v="Pedido 1125"/>
    <d v="2025-03-09T00:00:00"/>
    <x v="98"/>
    <s v="PedidoF1103"/>
    <s v="CódRastreio1101"/>
    <n v="1"/>
    <s v="CPF 1094"/>
    <s v="Nome 1094"/>
    <s v="Tel 1094"/>
    <s v="Cep 1094"/>
    <s v="Rua 1094"/>
    <s v="Comp 1094"/>
    <s v="Garrafa Termica"/>
    <s v="FM-QQ8Y-RZT4"/>
    <d v="2025-03-22T00:00:00"/>
    <n v="23.5"/>
    <n v="23.5"/>
    <n v="3.0550000000000002"/>
    <n v="20.45"/>
    <n v="12"/>
    <n v="0.2"/>
    <n v="0.39877104377104378"/>
    <n v="0"/>
    <n v="7.8512289562289563"/>
    <n v="3.9256144781144782"/>
    <x v="92"/>
    <x v="95"/>
    <x v="20"/>
    <d v="2025-04-02T00:00:00"/>
    <x v="4"/>
    <x v="0"/>
    <x v="6"/>
    <s v="ENTREGUE"/>
    <d v="2025-03-12T18:24:17"/>
    <x v="0"/>
    <m/>
    <n v="0"/>
    <n v="0"/>
    <n v="0"/>
    <n v="0"/>
    <n v="0"/>
  </r>
  <r>
    <x v="0"/>
    <s v="BV45726"/>
    <s v="Pedido 1126"/>
    <d v="2025-03-10T00:00:00"/>
    <x v="98"/>
    <s v="PedidoF1104"/>
    <s v="CódRastreio1102"/>
    <n v="1"/>
    <s v="CPF 1095"/>
    <s v="Nome 1095"/>
    <s v="Tel 1095"/>
    <s v="Cep 1095"/>
    <s v="Rua 1095"/>
    <s v="Comp 1095"/>
    <s v="Lampada Led"/>
    <s v="RB-W251-UXV2"/>
    <d v="2025-03-25T00:00:00"/>
    <n v="26.99"/>
    <n v="26.99"/>
    <n v="3.5086999999999997"/>
    <n v="23.48"/>
    <n v="11.28"/>
    <n v="0.2"/>
    <n v="0.39877104377104378"/>
    <n v="0"/>
    <n v="11.601228956228958"/>
    <n v="5.8006144781144791"/>
    <x v="93"/>
    <x v="96"/>
    <x v="22"/>
    <d v="2025-04-16T00:00:00"/>
    <x v="5"/>
    <x v="0"/>
    <x v="6"/>
    <s v="ENTREGUE"/>
    <d v="2025-03-14T00:00:00"/>
    <x v="0"/>
    <m/>
    <n v="0"/>
    <n v="0"/>
    <n v="0"/>
    <n v="0"/>
    <n v="0"/>
  </r>
  <r>
    <x v="0"/>
    <s v="BV45726"/>
    <s v="Pedido 1127"/>
    <d v="2025-03-10T00:00:00"/>
    <x v="98"/>
    <s v="PedidoF1105"/>
    <s v="CódRastreio1103"/>
    <n v="1"/>
    <s v="CPF 1096"/>
    <s v="Nome 1096"/>
    <s v="Tel 1096"/>
    <s v="Cep 1096"/>
    <s v="Rua 1096"/>
    <s v="Comp 1096"/>
    <s v="Ventilador Preto"/>
    <s v="MU-J80P-95WF"/>
    <d v="2025-03-29T00:00:00"/>
    <n v="65.599999999999994"/>
    <n v="65.599999999999994"/>
    <n v="8.5279999999999987"/>
    <n v="57.07"/>
    <n v="12.05"/>
    <n v="0.2"/>
    <n v="0.39877104377104378"/>
    <n v="0"/>
    <n v="44.421228956228958"/>
    <n v="22.210614478114479"/>
    <x v="98"/>
    <x v="101"/>
    <x v="22"/>
    <d v="2025-04-16T00:00:00"/>
    <x v="5"/>
    <x v="0"/>
    <x v="6"/>
    <s v="ENTREGUE"/>
    <d v="2025-03-25T00:00:00"/>
    <x v="0"/>
    <m/>
    <n v="0"/>
    <n v="0"/>
    <n v="0"/>
    <n v="0"/>
    <n v="0"/>
  </r>
  <r>
    <x v="2"/>
    <s v="MEI45726"/>
    <s v="Pedido 1128"/>
    <d v="2025-03-08T00:00:00"/>
    <x v="98"/>
    <s v="PedidoF1106"/>
    <s v="CódRastreio1104"/>
    <n v="1"/>
    <s v="CPF 1097"/>
    <s v="Nome 1097"/>
    <s v="Tel 1097"/>
    <s v="Cep 1097"/>
    <s v="Rua 1097"/>
    <s v="Comp 1097"/>
    <s v="Ventilador Preto"/>
    <s v="WU-SS4J-LFOH"/>
    <d v="2025-03-28T00:00:00"/>
    <n v="65.599999999999994"/>
    <n v="65.599999999999994"/>
    <n v="8.5279999999999987"/>
    <n v="57.07"/>
    <n v="0"/>
    <n v="0.23"/>
    <n v="0.39877104377104378"/>
    <n v="0"/>
    <n v="56.441228956228954"/>
    <n v="28.220614478114477"/>
    <x v="97"/>
    <x v="100"/>
    <x v="22"/>
    <d v="2025-04-16T00:00:00"/>
    <x v="5"/>
    <x v="0"/>
    <x v="6"/>
    <s v="ENTREGUE"/>
    <d v="2025-03-21T00:00:00"/>
    <x v="0"/>
    <m/>
    <n v="0"/>
    <n v="0"/>
    <n v="0"/>
    <n v="0"/>
    <n v="0"/>
  </r>
  <r>
    <x v="2"/>
    <s v="MEI45727"/>
    <s v="Pedido 1129"/>
    <d v="2025-03-06T00:00:00"/>
    <x v="100"/>
    <s v="PedidoF1107"/>
    <s v="CódRastreio1105"/>
    <n v="1"/>
    <s v="CPF 1098"/>
    <s v="Nome 1098"/>
    <s v="Tel 1098"/>
    <s v="Cep 1098"/>
    <s v="Rua 1098"/>
    <s v="Comp 1098"/>
    <s v="Ventilador Preto"/>
    <s v="WU-SS4J-LFOH"/>
    <d v="2025-03-28T00:00:00"/>
    <n v="65.599999999999994"/>
    <n v="65.599999999999994"/>
    <n v="8.5279999999999987"/>
    <n v="57.07"/>
    <n v="12.38"/>
    <n v="0.2"/>
    <n v="0.39877104377104378"/>
    <n v="0"/>
    <n v="44.09122895622896"/>
    <n v="22.04561447811448"/>
    <x v="97"/>
    <x v="100"/>
    <x v="22"/>
    <d v="2025-04-16T00:00:00"/>
    <x v="5"/>
    <x v="0"/>
    <x v="6"/>
    <s v="ENTREGUE"/>
    <d v="2025-03-24T00:00:00"/>
    <x v="0"/>
    <m/>
    <n v="0"/>
    <n v="0"/>
    <n v="0"/>
    <n v="0"/>
    <n v="0"/>
  </r>
  <r>
    <x v="2"/>
    <s v="MEI45726"/>
    <s v="Pedido 1130"/>
    <d v="2025-03-08T00:00:00"/>
    <x v="98"/>
    <s v="PedidoF1108"/>
    <s v="CódRastreio1106"/>
    <n v="1"/>
    <s v="CPF 1099"/>
    <s v="Nome 1099"/>
    <s v="Tel 1099"/>
    <s v="Cep 1099"/>
    <s v="Rua 1099"/>
    <s v="Comp 1099"/>
    <s v="Ventilador Preto"/>
    <s v="WU-SS4J-LFOH"/>
    <d v="2025-04-03T00:00:00"/>
    <n v="65.599999999999994"/>
    <n v="65.599999999999994"/>
    <n v="8.5279999999999987"/>
    <n v="57.07"/>
    <n v="12.05"/>
    <n v="0.23"/>
    <n v="0.39877104377104378"/>
    <n v="0"/>
    <n v="44.391228956228957"/>
    <n v="22.195614478114479"/>
    <x v="104"/>
    <x v="107"/>
    <x v="22"/>
    <d v="2025-04-16T00:00:00"/>
    <x v="5"/>
    <x v="0"/>
    <x v="6"/>
    <s v="ENTREGUE"/>
    <d v="2025-03-26T00:00:00"/>
    <x v="0"/>
    <m/>
    <n v="0"/>
    <n v="0"/>
    <n v="0"/>
    <n v="0"/>
    <n v="0"/>
  </r>
  <r>
    <x v="2"/>
    <s v="MEI45726"/>
    <s v="Pedido 1131"/>
    <d v="2025-03-09T00:00:00"/>
    <x v="98"/>
    <s v="PedidoF1109"/>
    <s v="CódRastreio1107"/>
    <n v="1"/>
    <s v="CPF 1100"/>
    <s v="Nome 1100"/>
    <s v="Tel 1100"/>
    <s v="Cep 1100"/>
    <s v="Rua 1100"/>
    <s v="Comp 1100"/>
    <s v="Mini Liquidificador"/>
    <s v="A4-5W51-K3HF"/>
    <d v="2025-03-28T00:00:00"/>
    <n v="30.95"/>
    <n v="30.95"/>
    <n v="4.3330000000000002"/>
    <n v="26.62"/>
    <n v="11.68"/>
    <n v="0.23"/>
    <n v="0.39877104377104378"/>
    <n v="0"/>
    <n v="14.311228956228957"/>
    <n v="7.1556144781144786"/>
    <x v="97"/>
    <x v="100"/>
    <x v="22"/>
    <d v="2025-04-16T00:00:00"/>
    <x v="5"/>
    <x v="0"/>
    <x v="6"/>
    <s v="ENTREGUE"/>
    <d v="2025-03-24T00:00:00"/>
    <x v="0"/>
    <m/>
    <n v="0"/>
    <n v="0"/>
    <n v="0"/>
    <n v="0"/>
    <n v="0"/>
  </r>
  <r>
    <x v="2"/>
    <s v="MEI45726"/>
    <s v="Pedido 1132"/>
    <d v="2025-03-09T00:00:00"/>
    <x v="98"/>
    <s v="PedidoF1110"/>
    <s v="CódRastreio1108"/>
    <n v="1"/>
    <s v="CPF 1101"/>
    <s v="Nome 1101"/>
    <s v="Tel 1101"/>
    <s v="Cep 1101"/>
    <s v="Rua 1101"/>
    <s v="Comp 1101"/>
    <s v="Mini Liquidificador"/>
    <s v="A4-5W51-K3HF"/>
    <d v="2025-03-26T00:00:00"/>
    <n v="30.95"/>
    <n v="30.95"/>
    <n v="4.3330000000000002"/>
    <n v="26.62"/>
    <n v="11.68"/>
    <n v="0.23"/>
    <n v="0.39877104377104378"/>
    <n v="0"/>
    <n v="14.311228956228957"/>
    <n v="7.1556144781144786"/>
    <x v="96"/>
    <x v="99"/>
    <x v="22"/>
    <d v="2025-04-16T00:00:00"/>
    <x v="5"/>
    <x v="0"/>
    <x v="6"/>
    <s v="ENTREGUE"/>
    <d v="2025-03-22T00:00:00"/>
    <x v="0"/>
    <m/>
    <n v="0"/>
    <n v="0"/>
    <n v="0"/>
    <n v="0"/>
    <n v="0"/>
  </r>
  <r>
    <x v="2"/>
    <s v="MEI45726"/>
    <s v="Pedido 1133"/>
    <d v="2025-03-10T00:00:00"/>
    <x v="98"/>
    <s v="PedidoF1111"/>
    <s v="CódRastreio1109"/>
    <n v="1"/>
    <s v="CPF 1102"/>
    <s v="Nome 1102"/>
    <s v="Tel 1102"/>
    <s v="Cep 1102"/>
    <s v="Rua 1102"/>
    <s v="Comp 1102"/>
    <s v="Ventilador Preto"/>
    <s v="WU-SS4J-LFOH"/>
    <d v="2025-04-04T00:00:00"/>
    <n v="65.599999999999994"/>
    <n v="65.599999999999994"/>
    <n v="8.5279999999999987"/>
    <n v="57.07"/>
    <n v="12.05"/>
    <n v="0.23"/>
    <n v="0.39877104377104378"/>
    <n v="0"/>
    <n v="44.391228956228957"/>
    <n v="22.195614478114479"/>
    <x v="106"/>
    <x v="109"/>
    <x v="22"/>
    <d v="2025-04-16T00:00:00"/>
    <x v="5"/>
    <x v="0"/>
    <x v="6"/>
    <s v="ENTREGUE"/>
    <d v="2025-03-26T00:00:00"/>
    <x v="0"/>
    <m/>
    <n v="0"/>
    <n v="0"/>
    <n v="0"/>
    <n v="0"/>
    <n v="0"/>
  </r>
  <r>
    <x v="2"/>
    <s v="MEI45726"/>
    <s v="Pedido 1134"/>
    <d v="2025-03-10T00:00:00"/>
    <x v="98"/>
    <s v="PedidoF1112"/>
    <s v="CódRastreio1110"/>
    <n v="1"/>
    <s v="CPF 1103"/>
    <s v="Nome 1103"/>
    <s v="Tel 1103"/>
    <s v="Cep 1103"/>
    <s v="Rua 1103"/>
    <s v="Comp 1103"/>
    <s v="Mini Liquidificador"/>
    <s v="A4-5W51-K3HF"/>
    <d v="2025-04-04T00:00:00"/>
    <n v="30.95"/>
    <n v="30.95"/>
    <n v="4.3330000000000002"/>
    <n v="26.62"/>
    <n v="11.68"/>
    <n v="0.23"/>
    <n v="0.39877104377104378"/>
    <n v="0"/>
    <n v="14.311228956228957"/>
    <n v="7.1556144781144786"/>
    <x v="106"/>
    <x v="109"/>
    <x v="22"/>
    <d v="2025-04-16T00:00:00"/>
    <x v="5"/>
    <x v="0"/>
    <x v="6"/>
    <s v="ENTREGUE"/>
    <d v="2025-03-26T00:00:00"/>
    <x v="0"/>
    <m/>
    <n v="0"/>
    <n v="0"/>
    <n v="0"/>
    <n v="0"/>
    <n v="0"/>
  </r>
  <r>
    <x v="2"/>
    <s v="MEI45726"/>
    <s v="Pedido 1135"/>
    <d v="2025-03-10T00:00:00"/>
    <x v="98"/>
    <s v="PedidoF1113"/>
    <s v="CódRastreio1111"/>
    <n v="1"/>
    <s v="CPF 1104"/>
    <s v="Nome 1104"/>
    <s v="Tel 1104"/>
    <s v="Cep 1104"/>
    <s v="Rua 1104"/>
    <s v="Comp 1104"/>
    <s v="Mini Liquidificador"/>
    <s v="A4-5W51-K3HF"/>
    <d v="2025-03-25T00:00:00"/>
    <n v="30.95"/>
    <n v="30.95"/>
    <n v="4.3330000000000002"/>
    <n v="26.62"/>
    <n v="11.68"/>
    <n v="0.23"/>
    <n v="0.39877104377104378"/>
    <n v="0"/>
    <n v="14.311228956228957"/>
    <n v="7.1556144781144786"/>
    <x v="93"/>
    <x v="96"/>
    <x v="22"/>
    <d v="2025-04-16T00:00:00"/>
    <x v="5"/>
    <x v="0"/>
    <x v="6"/>
    <s v="ENTREGUE"/>
    <d v="2025-03-24T00:00:00"/>
    <x v="0"/>
    <m/>
    <n v="0"/>
    <n v="0"/>
    <n v="0"/>
    <n v="0"/>
    <n v="0"/>
  </r>
  <r>
    <x v="1"/>
    <s v="GO45726"/>
    <s v="Pedido 1136"/>
    <d v="2025-03-09T00:00:00"/>
    <x v="98"/>
    <s v="PedidoF1114"/>
    <s v="CódRastreio1112"/>
    <n v="1"/>
    <s v="CPF 1105"/>
    <s v="Nome 1105"/>
    <s v="Tel 1105"/>
    <s v="Cep 1105"/>
    <s v="Rua 1105"/>
    <s v="Comp 1105"/>
    <s v="Ventilador Preto"/>
    <s v="EP-9PIR-BWXH"/>
    <d v="2025-03-28T00:00:00"/>
    <n v="70.989999999999995"/>
    <n v="70.989999999999995"/>
    <n v="9.2286999999999999"/>
    <n v="61.76"/>
    <n v="12.05"/>
    <n v="0.2"/>
    <n v="0.39877104377104378"/>
    <n v="0"/>
    <n v="49.111228956228956"/>
    <n v="49.111228956228956"/>
    <x v="97"/>
    <x v="100"/>
    <x v="22"/>
    <d v="2025-04-16T00:00:00"/>
    <x v="5"/>
    <x v="0"/>
    <x v="6"/>
    <s v="ENTREGUE"/>
    <d v="2025-03-28T00:00:00"/>
    <x v="0"/>
    <m/>
    <n v="0"/>
    <n v="0"/>
    <n v="0"/>
    <n v="0"/>
    <n v="0"/>
  </r>
  <r>
    <x v="0"/>
    <s v="BV45729"/>
    <s v="Pedido 1137"/>
    <d v="2025-03-11T00:00:00"/>
    <x v="101"/>
    <s v="PedidoF1115"/>
    <s v="CódRastreio1113"/>
    <n v="1"/>
    <s v="CPF 1106"/>
    <s v="Nome 1106"/>
    <s v="Tel 1106"/>
    <s v="Cep 1106"/>
    <s v="Rua 1106"/>
    <s v="Comp 1106"/>
    <s v="Lampada Led"/>
    <s v="RB-W251-UXV2"/>
    <d v="2025-03-25T00:00:00"/>
    <n v="26.99"/>
    <n v="26.99"/>
    <n v="3.5086999999999997"/>
    <n v="23.48"/>
    <n v="10.210000000000001"/>
    <n v="0.4"/>
    <n v="0.39877104377104378"/>
    <n v="0"/>
    <n v="12.471228956228956"/>
    <n v="6.2356144781144778"/>
    <x v="93"/>
    <x v="96"/>
    <x v="22"/>
    <d v="2025-04-16T00:00:00"/>
    <x v="5"/>
    <x v="0"/>
    <x v="6"/>
    <s v="ENTREGUE"/>
    <d v="2025-04-01T00:00:00"/>
    <x v="0"/>
    <m/>
    <n v="0"/>
    <n v="0"/>
    <n v="0"/>
    <n v="0"/>
    <n v="0"/>
  </r>
  <r>
    <x v="0"/>
    <s v="BV45727"/>
    <s v="Pedido 1138"/>
    <d v="2025-03-11T00:00:00"/>
    <x v="100"/>
    <s v="PedidoF1116"/>
    <s v="CódRastreio1114"/>
    <n v="1"/>
    <s v="CPF 1107"/>
    <s v="Nome 1107"/>
    <s v="Tel 1107"/>
    <s v="Cep 1107"/>
    <s v="Rua 1107"/>
    <s v="Comp 1107"/>
    <s v="Ventilador Rosa"/>
    <s v="IF-G2ZQ-79FO"/>
    <d v="2025-03-29T00:00:00"/>
    <n v="61.5"/>
    <n v="61.5"/>
    <n v="7.9950000000000001"/>
    <n v="53.51"/>
    <n v="13.15"/>
    <n v="0.6"/>
    <n v="0.39877104377104378"/>
    <n v="0"/>
    <n v="39.361228956228956"/>
    <n v="19.680614478114478"/>
    <x v="98"/>
    <x v="101"/>
    <x v="22"/>
    <d v="2025-04-16T00:00:00"/>
    <x v="5"/>
    <x v="0"/>
    <x v="6"/>
    <s v="ENTREGUE"/>
    <d v="2025-03-20T00:00:00"/>
    <x v="0"/>
    <m/>
    <n v="0"/>
    <n v="0"/>
    <n v="0"/>
    <n v="0"/>
    <n v="0"/>
  </r>
  <r>
    <x v="0"/>
    <s v="BV-"/>
    <s v="Pedido 1139"/>
    <d v="2025-03-11T00:00:00"/>
    <x v="0"/>
    <s v="-"/>
    <s v="-"/>
    <n v="1"/>
    <s v="CPF 1108"/>
    <s v="Nome 1108"/>
    <s v="Tel 1108"/>
    <s v="Cep 1108"/>
    <s v="Rua 1108"/>
    <s v="Comp 1108"/>
    <s v="Garrafa Termica"/>
    <s v="FM-QQ8Y-RZT4"/>
    <d v="2025-04-01T00:00:00"/>
    <n v="23.5"/>
    <n v="23.5"/>
    <n v="3.0550000000000002"/>
    <n v="20.45"/>
    <n v="0"/>
    <n v="0"/>
    <n v="0"/>
    <n v="0"/>
    <n v="20.45"/>
    <n v="10.225"/>
    <x v="95"/>
    <x v="98"/>
    <x v="22"/>
    <d v="2025-04-16T00:00:00"/>
    <x v="5"/>
    <x v="0"/>
    <x v="0"/>
    <s v="-"/>
    <s v="-"/>
    <x v="0"/>
    <m/>
    <n v="0"/>
    <n v="0"/>
    <n v="0"/>
    <n v="0"/>
    <n v="0"/>
  </r>
  <r>
    <x v="0"/>
    <s v="BV45727"/>
    <s v="Pedido 1140"/>
    <d v="2025-03-11T00:00:00"/>
    <x v="100"/>
    <s v="PedidoF1117"/>
    <s v="CódRastreio1115"/>
    <n v="1"/>
    <s v="CPF 1109"/>
    <s v="Nome 1109"/>
    <s v="Tel 1109"/>
    <s v="Cep 1109"/>
    <s v="Rua 1109"/>
    <s v="Comp 1109"/>
    <s v="Ventilador Azul"/>
    <s v="U8-2VWS-OB6M"/>
    <d v="2025-04-05T00:00:00"/>
    <n v="65.989999999999995"/>
    <n v="65.989999999999995"/>
    <n v="8.5786999999999995"/>
    <n v="57.41"/>
    <n v="15.29"/>
    <n v="0.6"/>
    <n v="0.39877104377104378"/>
    <n v="0"/>
    <n v="41.121228956228954"/>
    <n v="20.560614478114477"/>
    <x v="107"/>
    <x v="110"/>
    <x v="22"/>
    <d v="2025-04-16T00:00:00"/>
    <x v="5"/>
    <x v="0"/>
    <x v="6"/>
    <s v="ENTREGUE"/>
    <d v="2025-03-25T00:00:00"/>
    <x v="0"/>
    <m/>
    <n v="0"/>
    <n v="0"/>
    <n v="0"/>
    <n v="0"/>
    <n v="0"/>
  </r>
  <r>
    <x v="2"/>
    <s v="MEI45727"/>
    <s v="Pedido 1141"/>
    <d v="2025-03-11T00:00:00"/>
    <x v="100"/>
    <s v="PedidoF1118"/>
    <s v="CódRastreio1116"/>
    <n v="1"/>
    <s v="CPF 1110"/>
    <s v="Nome 1110"/>
    <s v="Tel 1110"/>
    <s v="Cep 1110"/>
    <s v="Rua 1110"/>
    <s v="Comp 1110"/>
    <s v="Mini Liquidificador"/>
    <s v="A4-5W51-K3HF"/>
    <d v="2025-03-28T00:00:00"/>
    <n v="30.95"/>
    <n v="30.95"/>
    <n v="4.3330000000000002"/>
    <n v="26.62"/>
    <n v="12.07"/>
    <n v="0.2"/>
    <n v="0.39877104377104378"/>
    <n v="0"/>
    <n v="13.951228956228958"/>
    <n v="6.9756144781144789"/>
    <x v="97"/>
    <x v="100"/>
    <x v="22"/>
    <d v="2025-04-16T00:00:00"/>
    <x v="5"/>
    <x v="0"/>
    <x v="6"/>
    <s v="ENTREGUE"/>
    <d v="2025-03-24T00:00:00"/>
    <x v="0"/>
    <m/>
    <n v="0"/>
    <n v="0"/>
    <n v="0"/>
    <n v="0"/>
    <n v="0"/>
  </r>
  <r>
    <x v="2"/>
    <s v="MEI45727"/>
    <s v="Pedido 1142"/>
    <d v="2025-03-11T00:00:00"/>
    <x v="100"/>
    <s v="PedidoF1119"/>
    <s v="CódRastreio1117"/>
    <n v="1"/>
    <s v="CPF 1111"/>
    <s v="Nome 1111"/>
    <s v="Tel 1111"/>
    <s v="Cep 1111"/>
    <s v="Rua 1111"/>
    <s v="Comp 1111"/>
    <s v="Mini Liquidificador"/>
    <s v="A4-5W51-K3HF"/>
    <d v="2025-04-01T00:00:00"/>
    <n v="30.95"/>
    <n v="30.95"/>
    <n v="4.3330000000000002"/>
    <n v="26.62"/>
    <n v="12.07"/>
    <n v="0.2"/>
    <n v="0.39877104377104378"/>
    <n v="0"/>
    <n v="13.951228956228958"/>
    <n v="6.9756144781144789"/>
    <x v="95"/>
    <x v="98"/>
    <x v="22"/>
    <d v="2025-04-16T00:00:00"/>
    <x v="5"/>
    <x v="0"/>
    <x v="6"/>
    <s v="ENTREGUE"/>
    <d v="2025-03-26T00:00:00"/>
    <x v="0"/>
    <m/>
    <n v="0"/>
    <n v="0"/>
    <n v="0"/>
    <n v="0"/>
    <n v="0"/>
  </r>
  <r>
    <x v="2"/>
    <s v="MEI45727"/>
    <s v="Pedido 1143"/>
    <d v="2025-03-11T00:00:00"/>
    <x v="100"/>
    <s v="PedidoF1120"/>
    <s v="CódRastreio1118"/>
    <n v="1"/>
    <s v="CPF 1112"/>
    <s v="Nome 1112"/>
    <s v="Tel 1112"/>
    <s v="Cep 1112"/>
    <s v="Rua 1112"/>
    <s v="Comp 1112"/>
    <s v="Ventilador Preto"/>
    <s v="WU-SS4J-LFOH"/>
    <d v="2025-04-12T00:00:00"/>
    <n v="65.599999999999994"/>
    <n v="65.599999999999994"/>
    <n v="8.5279999999999987"/>
    <n v="57.07"/>
    <n v="12.38"/>
    <n v="0.2"/>
    <n v="0.39877104377104378"/>
    <n v="0"/>
    <n v="44.09122895622896"/>
    <n v="22.04561447811448"/>
    <x v="108"/>
    <x v="111"/>
    <x v="23"/>
    <d v="2025-05-06T00:00:00"/>
    <x v="5"/>
    <x v="0"/>
    <x v="6"/>
    <s v="ENTREGUE"/>
    <d v="2025-04-03T00:00:00"/>
    <x v="0"/>
    <m/>
    <n v="0"/>
    <n v="0"/>
    <n v="0"/>
    <n v="0"/>
    <n v="0"/>
  </r>
  <r>
    <x v="0"/>
    <s v="BV45730"/>
    <s v="Pedido 1144"/>
    <d v="2025-03-12T00:00:00"/>
    <x v="102"/>
    <s v="PedidoF1121"/>
    <s v="CódRastreio1119"/>
    <n v="1"/>
    <s v="CPF 1113"/>
    <s v="Nome 1113"/>
    <s v="Tel 1113"/>
    <s v="Cep 1113"/>
    <s v="Rua 1113"/>
    <s v="Comp 1113"/>
    <s v="Suporte de Celular com Regulagem"/>
    <s v="1H-DC27-8GP7"/>
    <d v="2025-04-02T00:00:00"/>
    <n v="21.99"/>
    <n v="21.99"/>
    <n v="3.2984999999999998"/>
    <n v="18.690000000000001"/>
    <n v="7.99"/>
    <n v="0.23"/>
    <n v="0.39877104377104378"/>
    <n v="0"/>
    <n v="10.071228956228957"/>
    <n v="5.0356144781144785"/>
    <x v="103"/>
    <x v="106"/>
    <x v="22"/>
    <d v="2025-04-16T00:00:00"/>
    <x v="5"/>
    <x v="0"/>
    <x v="6"/>
    <s v="ENTREGUE"/>
    <d v="2025-03-25T00:00:00"/>
    <x v="0"/>
    <m/>
    <n v="0"/>
    <n v="0"/>
    <n v="0"/>
    <n v="0"/>
    <n v="0"/>
  </r>
  <r>
    <x v="0"/>
    <s v="BV45730"/>
    <s v="Pedido 1145"/>
    <d v="2025-03-12T00:00:00"/>
    <x v="102"/>
    <s v="PedidoF1122"/>
    <s v="CódRastreio1120"/>
    <n v="1"/>
    <s v="CPF 1114"/>
    <s v="Nome 1114"/>
    <s v="Tel 1114"/>
    <s v="Cep 1114"/>
    <s v="Rua 1114"/>
    <s v="Comp 1114"/>
    <s v="Suporte de Celular com Regulagem"/>
    <s v="1H-DC27-8GP7"/>
    <d v="2025-03-27T00:00:00"/>
    <n v="21.99"/>
    <n v="21.99"/>
    <n v="3.2984999999999998"/>
    <n v="18.690000000000001"/>
    <n v="7.99"/>
    <n v="0.23"/>
    <n v="0.39877104377104378"/>
    <n v="0"/>
    <n v="10.071228956228957"/>
    <n v="5.0356144781144785"/>
    <x v="100"/>
    <x v="103"/>
    <x v="22"/>
    <d v="2025-04-16T00:00:00"/>
    <x v="5"/>
    <x v="0"/>
    <x v="6"/>
    <s v="ENTREGUE"/>
    <d v="2025-03-21T00:00:00"/>
    <x v="0"/>
    <m/>
    <n v="0"/>
    <n v="0"/>
    <n v="0"/>
    <n v="0"/>
    <n v="0"/>
  </r>
  <r>
    <x v="0"/>
    <s v="BV45728"/>
    <s v="Pedido 1146"/>
    <d v="2025-03-12T00:00:00"/>
    <x v="103"/>
    <s v="PedidoF1123"/>
    <s v="CódRastreio1121"/>
    <n v="1"/>
    <s v="CPF 1115"/>
    <s v="Nome 1115"/>
    <s v="Tel 1115"/>
    <s v="Cep 1115"/>
    <s v="Rua 1115"/>
    <s v="Comp 1115"/>
    <s v="Copo Termico"/>
    <s v="KN-TBQL-K2MM"/>
    <d v="2025-04-08T00:00:00"/>
    <n v="23.9"/>
    <n v="23.9"/>
    <n v="3.1069999999999998"/>
    <n v="20.79"/>
    <n v="13.71"/>
    <n v="0.8"/>
    <n v="0.39877104377104378"/>
    <n v="0"/>
    <n v="5.8812289562289539"/>
    <n v="2.940614478114477"/>
    <x v="99"/>
    <x v="102"/>
    <x v="22"/>
    <d v="2025-04-16T00:00:00"/>
    <x v="5"/>
    <x v="0"/>
    <x v="6"/>
    <s v="ENTREGUE"/>
    <d v="2025-03-26T00:00:00"/>
    <x v="0"/>
    <m/>
    <n v="0"/>
    <n v="0"/>
    <n v="0"/>
    <n v="0"/>
    <n v="0"/>
  </r>
  <r>
    <x v="2"/>
    <s v="MEI45728"/>
    <s v="Pedido 1147"/>
    <d v="2025-03-12T00:00:00"/>
    <x v="103"/>
    <s v="PedidoF1124"/>
    <s v="CódRastreio1122"/>
    <n v="1"/>
    <s v="CPF 1116"/>
    <s v="Nome 1116"/>
    <s v="Tel 1116"/>
    <s v="Cep 1116"/>
    <s v="Rua 1116"/>
    <s v="Comp 1116"/>
    <s v="Mini Liquidificador"/>
    <s v="A4-5W51-K3HF"/>
    <d v="2025-04-02T00:00:00"/>
    <n v="30.95"/>
    <n v="30.95"/>
    <n v="4.3330000000000002"/>
    <n v="26.62"/>
    <n v="12.04"/>
    <n v="0.2"/>
    <n v="0.39877104377104378"/>
    <n v="0"/>
    <n v="13.981228956228959"/>
    <n v="6.9906144781144794"/>
    <x v="103"/>
    <x v="106"/>
    <x v="22"/>
    <d v="2025-04-16T00:00:00"/>
    <x v="5"/>
    <x v="0"/>
    <x v="6"/>
    <s v="ENTREGUE"/>
    <d v="2025-04-05T00:00:00"/>
    <x v="0"/>
    <m/>
    <n v="0"/>
    <n v="0"/>
    <n v="0"/>
    <n v="0"/>
    <n v="0"/>
  </r>
  <r>
    <x v="2"/>
    <s v="MEI45728"/>
    <s v="Pedido 1148"/>
    <d v="2025-03-12T00:00:00"/>
    <x v="103"/>
    <s v="PedidoF1125"/>
    <s v="CódRastreio1123"/>
    <n v="1"/>
    <s v="CPF 1117"/>
    <s v="Nome 1117"/>
    <s v="Tel 1117"/>
    <s v="Cep 1117"/>
    <s v="Rua 1117"/>
    <s v="Comp 1117"/>
    <s v="Mini Liquidificador"/>
    <s v="A4-5W51-K3HF"/>
    <d v="2025-04-08T00:00:00"/>
    <n v="30.95"/>
    <n v="30.95"/>
    <n v="4.3330000000000002"/>
    <n v="26.62"/>
    <n v="12.04"/>
    <n v="0.2"/>
    <n v="0.39877104377104378"/>
    <n v="0"/>
    <n v="13.981228956228959"/>
    <n v="6.9906144781144794"/>
    <x v="99"/>
    <x v="102"/>
    <x v="22"/>
    <d v="2025-04-16T00:00:00"/>
    <x v="5"/>
    <x v="0"/>
    <x v="6"/>
    <s v="ENTREGUE"/>
    <d v="2025-04-04T00:00:00"/>
    <x v="0"/>
    <m/>
    <n v="0"/>
    <n v="0"/>
    <n v="0"/>
    <n v="0"/>
    <n v="0"/>
  </r>
  <r>
    <x v="2"/>
    <s v="MEI45728"/>
    <s v="Pedido 1149"/>
    <d v="2025-03-12T00:00:00"/>
    <x v="103"/>
    <s v="PedidoF1126"/>
    <s v="CódRastreio1124"/>
    <n v="1"/>
    <s v="CPF 1118"/>
    <s v="Nome 1118"/>
    <s v="Tel 1118"/>
    <s v="Cep 1118"/>
    <s v="Rua 1118"/>
    <s v="Comp 1118"/>
    <s v="Ventilador Preto"/>
    <s v="WU-SS4J-LFOH"/>
    <d v="2025-04-02T00:00:00"/>
    <n v="65.599999999999994"/>
    <n v="65.599999999999994"/>
    <n v="8.5279999999999987"/>
    <n v="57.07"/>
    <n v="13.48"/>
    <n v="0.2"/>
    <n v="0.39877104377104378"/>
    <n v="0"/>
    <n v="42.991228956228959"/>
    <n v="21.495614478114479"/>
    <x v="103"/>
    <x v="106"/>
    <x v="22"/>
    <d v="2025-04-16T00:00:00"/>
    <x v="5"/>
    <x v="0"/>
    <x v="6"/>
    <s v="ENTREGUE"/>
    <d v="2025-03-31T00:00:00"/>
    <x v="0"/>
    <m/>
    <n v="0"/>
    <n v="0"/>
    <n v="0"/>
    <n v="0"/>
    <n v="0"/>
  </r>
  <r>
    <x v="2"/>
    <s v="MEI45728"/>
    <s v="Pedido 1150"/>
    <d v="2025-03-12T00:00:00"/>
    <x v="103"/>
    <s v="PedidoF1127"/>
    <s v="CódRastreio1125"/>
    <n v="1"/>
    <s v="CPF 1119"/>
    <s v="Nome 1119"/>
    <s v="Tel 1119"/>
    <s v="Cep 1119"/>
    <s v="Rua 1119"/>
    <s v="Comp 1119"/>
    <s v="Mini Liquidificador"/>
    <s v="A4-5W51-K3HF"/>
    <d v="2025-04-02T00:00:00"/>
    <n v="30.95"/>
    <n v="30.95"/>
    <n v="4.3330000000000002"/>
    <n v="26.62"/>
    <n v="12.04"/>
    <n v="0.2"/>
    <n v="0.39877104377104378"/>
    <n v="0"/>
    <n v="13.981228956228959"/>
    <n v="6.9906144781144794"/>
    <x v="103"/>
    <x v="106"/>
    <x v="22"/>
    <d v="2025-04-16T00:00:00"/>
    <x v="5"/>
    <x v="0"/>
    <x v="6"/>
    <s v="ENTREGUE"/>
    <d v="2025-04-01T00:00:00"/>
    <x v="0"/>
    <m/>
    <n v="0"/>
    <n v="0"/>
    <n v="0"/>
    <n v="0"/>
    <n v="0"/>
  </r>
  <r>
    <x v="2"/>
    <s v="MEI45728"/>
    <s v="Pedido 1151"/>
    <d v="2025-03-12T00:00:00"/>
    <x v="103"/>
    <s v="PedidoF1128"/>
    <s v="CódRastreio1126"/>
    <n v="1"/>
    <s v="CPF 1120"/>
    <s v="Nome 1120"/>
    <s v="Tel 1120"/>
    <s v="Cep 1120"/>
    <s v="Rua 1120"/>
    <s v="Comp 1120"/>
    <s v="Mini Liquidificador"/>
    <s v="A4-5W51-K3HF"/>
    <d v="2025-04-02T00:00:00"/>
    <n v="30.95"/>
    <n v="30.95"/>
    <n v="4.3330000000000002"/>
    <n v="26.62"/>
    <n v="12.04"/>
    <n v="0.2"/>
    <n v="0.39877104377104378"/>
    <n v="0"/>
    <n v="13.981228956228959"/>
    <n v="6.9906144781144794"/>
    <x v="103"/>
    <x v="106"/>
    <x v="22"/>
    <d v="2025-04-16T00:00:00"/>
    <x v="5"/>
    <x v="0"/>
    <x v="6"/>
    <s v="ENTREGUE"/>
    <d v="2025-04-02T00:00:00"/>
    <x v="0"/>
    <m/>
    <n v="0"/>
    <n v="0"/>
    <n v="0"/>
    <n v="0"/>
    <n v="0"/>
  </r>
  <r>
    <x v="0"/>
    <s v="BV45730"/>
    <s v="Pedido 1152"/>
    <d v="2025-03-13T00:00:00"/>
    <x v="102"/>
    <s v="PedidoF1129"/>
    <s v="CódRastreio1127"/>
    <n v="1"/>
    <s v="CPF 1121"/>
    <s v="Nome 1121"/>
    <s v="Tel 1121"/>
    <s v="Cep 1121"/>
    <s v="Rua 1121"/>
    <s v="Comp 1121"/>
    <s v="Garrafa Termica"/>
    <s v="FM-QQ8Y-RZT4"/>
    <d v="2025-04-09T00:00:00"/>
    <n v="23.5"/>
    <n v="23.5"/>
    <n v="3.0550000000000002"/>
    <n v="20.45"/>
    <n v="16.8"/>
    <n v="0.23"/>
    <n v="0.39877104377104378"/>
    <n v="0"/>
    <n v="3.0212289562289527"/>
    <n v="1.5106144781144764"/>
    <x v="101"/>
    <x v="104"/>
    <x v="23"/>
    <d v="2025-05-06T00:00:00"/>
    <x v="5"/>
    <x v="0"/>
    <x v="6"/>
    <s v="ENTREGUE"/>
    <d v="2025-03-27T00:00:00"/>
    <x v="0"/>
    <m/>
    <n v="0"/>
    <n v="0"/>
    <n v="0"/>
    <n v="0"/>
    <n v="0"/>
  </r>
  <r>
    <x v="0"/>
    <s v="BV45730"/>
    <s v="Pedido 1153"/>
    <d v="2025-03-13T00:00:00"/>
    <x v="102"/>
    <s v="PedidoF1130"/>
    <s v="CódRastreio1128"/>
    <n v="1"/>
    <s v="CPF 1122"/>
    <s v="Nome 1122"/>
    <s v="Tel 1122"/>
    <s v="Cep 1122"/>
    <s v="Rua 1122"/>
    <s v="Comp 1122"/>
    <s v="Garrafa Termica"/>
    <s v="FM-QQ8Y-RZT4"/>
    <d v="2025-04-09T00:00:00"/>
    <n v="23.5"/>
    <n v="23.5"/>
    <n v="3.0550000000000002"/>
    <n v="20.45"/>
    <n v="16.8"/>
    <n v="0.23"/>
    <n v="0.39877104377104378"/>
    <n v="0"/>
    <n v="3.0212289562289527"/>
    <n v="1.5106144781144764"/>
    <x v="101"/>
    <x v="104"/>
    <x v="23"/>
    <d v="2025-05-06T00:00:00"/>
    <x v="5"/>
    <x v="0"/>
    <x v="6"/>
    <s v="ENTREGUE"/>
    <d v="2025-03-27T00:00:00"/>
    <x v="0"/>
    <m/>
    <n v="0"/>
    <n v="0"/>
    <n v="0"/>
    <n v="0"/>
    <n v="0"/>
  </r>
  <r>
    <x v="0"/>
    <s v="BV45729"/>
    <s v="Pedido 1154"/>
    <d v="2025-03-13T00:00:00"/>
    <x v="101"/>
    <s v="PedidoF1131"/>
    <s v="CódRastreio1129"/>
    <n v="1"/>
    <s v="CPF 1123"/>
    <s v="Nome 1123"/>
    <s v="Tel 1123"/>
    <s v="Cep 1123"/>
    <s v="Rua 1123"/>
    <s v="Comp 1123"/>
    <s v="Lampada Led"/>
    <s v="RB-W251-UXV2"/>
    <d v="2025-04-03T00:00:00"/>
    <n v="26.99"/>
    <n v="26.99"/>
    <n v="3.5086999999999997"/>
    <n v="23.48"/>
    <n v="10.220000000000001"/>
    <n v="0.4"/>
    <n v="0.39877104377104378"/>
    <n v="0"/>
    <n v="12.461228956228956"/>
    <n v="6.2306144781144779"/>
    <x v="104"/>
    <x v="107"/>
    <x v="22"/>
    <d v="2025-04-16T00:00:00"/>
    <x v="5"/>
    <x v="0"/>
    <x v="6"/>
    <s v="ENTREGUE"/>
    <d v="2025-03-25T00:00:00"/>
    <x v="0"/>
    <m/>
    <n v="0"/>
    <n v="0"/>
    <n v="0"/>
    <n v="0"/>
    <n v="0"/>
  </r>
  <r>
    <x v="0"/>
    <s v="BV45729"/>
    <s v="Pedido 1155"/>
    <d v="2025-03-13T00:00:00"/>
    <x v="101"/>
    <s v="PedidoF1132"/>
    <s v="CódRastreio1130"/>
    <n v="1"/>
    <s v="CPF 1124"/>
    <s v="Nome 1124"/>
    <s v="Tel 1124"/>
    <s v="Cep 1124"/>
    <s v="Rua 1124"/>
    <s v="Comp 1124"/>
    <s v="Garrafa Termica"/>
    <s v="FM-QQ8Y-RZT4"/>
    <d v="2025-04-01T00:00:00"/>
    <n v="23.5"/>
    <n v="23.5"/>
    <n v="3.0550000000000002"/>
    <n v="20.45"/>
    <n v="0"/>
    <n v="0.4"/>
    <n v="0.39877104377104378"/>
    <n v="0"/>
    <n v="19.651228956228955"/>
    <n v="9.8256144781144776"/>
    <x v="95"/>
    <x v="98"/>
    <x v="22"/>
    <d v="2025-04-16T00:00:00"/>
    <x v="5"/>
    <x v="0"/>
    <x v="6"/>
    <s v="ENTREGUE"/>
    <d v="2025-04-28T00:00:00"/>
    <x v="0"/>
    <m/>
    <n v="0"/>
    <n v="0"/>
    <n v="0"/>
    <n v="0"/>
    <n v="0"/>
  </r>
  <r>
    <x v="0"/>
    <s v="BV45729"/>
    <s v="Pedido 1156"/>
    <d v="2025-03-13T00:00:00"/>
    <x v="101"/>
    <s v="PedidoF1133"/>
    <s v="CódRastreio1131"/>
    <n v="1"/>
    <s v="CPF 1125"/>
    <s v="Nome 1125"/>
    <s v="Tel 1125"/>
    <s v="Cep 1125"/>
    <s v="Rua 1125"/>
    <s v="Comp 1125"/>
    <s v="Garrafa Termica"/>
    <s v="FM-QQ8Y-RZT4"/>
    <d v="2025-04-09T00:00:00"/>
    <n v="23.5"/>
    <n v="23.5"/>
    <n v="3.0550000000000002"/>
    <n v="20.45"/>
    <n v="13.77"/>
    <n v="0.4"/>
    <n v="0.39877104377104378"/>
    <n v="0"/>
    <n v="5.8812289562289557"/>
    <n v="2.9406144781144778"/>
    <x v="101"/>
    <x v="104"/>
    <x v="23"/>
    <d v="2025-05-06T00:00:00"/>
    <x v="5"/>
    <x v="0"/>
    <x v="6"/>
    <s v="ENTREGUE"/>
    <d v="2025-04-02T00:00:00"/>
    <x v="0"/>
    <m/>
    <n v="0"/>
    <n v="0"/>
    <n v="0"/>
    <n v="0"/>
    <n v="0"/>
  </r>
  <r>
    <x v="2"/>
    <s v="MEI-"/>
    <s v="Pedido 1157"/>
    <d v="2025-03-12T00:00:00"/>
    <x v="0"/>
    <s v="PedidoF1134"/>
    <s v="CódRastreio1132"/>
    <n v="1"/>
    <s v="CPF 1126"/>
    <s v="Nome 1126"/>
    <s v="Tel 1126"/>
    <s v="Cep 1126"/>
    <s v="Rua 1126"/>
    <s v="Comp 1126"/>
    <s v="Suporte de Celular Preto"/>
    <s v="WI-HK5U-ED8J"/>
    <d v="2025-03-21T00:00:00"/>
    <n v="19.989999999999998"/>
    <n v="19.989999999999998"/>
    <n v="2.9984999999999995"/>
    <n v="16.989999999999998"/>
    <n v="0"/>
    <n v="0"/>
    <n v="0.39877104377104378"/>
    <n v="0"/>
    <n v="16.591228956228953"/>
    <n v="8.2956144781144765"/>
    <x v="102"/>
    <x v="105"/>
    <x v="20"/>
    <d v="2025-04-02T00:00:00"/>
    <x v="4"/>
    <x v="0"/>
    <x v="6"/>
    <s v="ENTREGUE"/>
    <s v="-"/>
    <x v="0"/>
    <m/>
    <n v="0"/>
    <n v="0"/>
    <n v="0"/>
    <n v="0"/>
    <n v="0"/>
  </r>
  <r>
    <x v="2"/>
    <s v="MEI45729"/>
    <s v="Pedido 1158"/>
    <d v="2025-03-13T00:00:00"/>
    <x v="101"/>
    <s v="PedidoF1135"/>
    <s v="CódRastreio1133"/>
    <n v="1"/>
    <s v="CPF 1127"/>
    <s v="Nome 1127"/>
    <s v="Tel 1127"/>
    <s v="Cep 1127"/>
    <s v="Rua 1127"/>
    <s v="Comp 1127"/>
    <s v="Maçarico Culinário Portátil"/>
    <s v="BG-DHRO-FAEE"/>
    <d v="2025-04-03T00:00:00"/>
    <n v="24.99"/>
    <n v="24.99"/>
    <n v="2.7488999999999999"/>
    <n v="22.24"/>
    <n v="11.69"/>
    <n v="0.23"/>
    <n v="0.39877104377104378"/>
    <n v="0"/>
    <n v="9.9212289562289548"/>
    <n v="4.9606144781144774"/>
    <x v="104"/>
    <x v="107"/>
    <x v="22"/>
    <d v="2025-04-16T00:00:00"/>
    <x v="5"/>
    <x v="0"/>
    <x v="6"/>
    <s v="ENTREGUE"/>
    <d v="2025-04-01T00:00:00"/>
    <x v="0"/>
    <m/>
    <n v="0"/>
    <n v="0"/>
    <n v="0"/>
    <n v="0"/>
    <n v="0"/>
  </r>
  <r>
    <x v="2"/>
    <s v="MEI45729"/>
    <s v="Pedido 1159"/>
    <d v="2025-03-13T00:00:00"/>
    <x v="101"/>
    <s v="PedidoF1136"/>
    <s v="CódRastreio1134"/>
    <n v="1"/>
    <s v="CPF 1128"/>
    <s v="Nome 1128"/>
    <s v="Tel 1128"/>
    <s v="Cep 1128"/>
    <s v="Rua 1128"/>
    <s v="Comp 1128"/>
    <s v="Hand Grip Fortalecedor"/>
    <s v="OV-P9KI-A5LS"/>
    <d v="2025-04-03T00:00:00"/>
    <n v="18.3"/>
    <n v="18.3"/>
    <n v="2.1960000000000002"/>
    <n v="16.100000000000001"/>
    <n v="6.99"/>
    <n v="0.23"/>
    <n v="0.39877104377104378"/>
    <n v="0"/>
    <n v="8.4812289562289571"/>
    <n v="4.2406144781144786"/>
    <x v="104"/>
    <x v="107"/>
    <x v="22"/>
    <d v="2025-04-16T00:00:00"/>
    <x v="5"/>
    <x v="0"/>
    <x v="6"/>
    <s v="ENTREGUE"/>
    <d v="2025-03-21T00:00:00"/>
    <x v="0"/>
    <m/>
    <n v="0"/>
    <n v="0"/>
    <n v="0"/>
    <n v="0"/>
    <n v="0"/>
  </r>
  <r>
    <x v="2"/>
    <s v="MEI45729"/>
    <s v="Pedido 1160"/>
    <d v="2025-03-13T00:00:00"/>
    <x v="101"/>
    <s v="PedidoF1137"/>
    <s v="CódRastreio1135"/>
    <n v="1"/>
    <s v="CPF 1129"/>
    <s v="Nome 1129"/>
    <s v="Tel 1129"/>
    <s v="Cep 1129"/>
    <s v="Rua 1129"/>
    <s v="Comp 1129"/>
    <s v="Mini Liquidificador"/>
    <s v="A4-5W51-K3HF"/>
    <d v="2025-04-03T00:00:00"/>
    <n v="30.95"/>
    <n v="30.95"/>
    <n v="4.3330000000000002"/>
    <n v="26.62"/>
    <n v="16.88"/>
    <n v="0.23"/>
    <n v="0.39877104377104378"/>
    <n v="0"/>
    <n v="9.1112289562289561"/>
    <n v="4.5556144781144781"/>
    <x v="104"/>
    <x v="107"/>
    <x v="22"/>
    <d v="2025-04-16T00:00:00"/>
    <x v="5"/>
    <x v="0"/>
    <x v="6"/>
    <s v="ENTREGUE"/>
    <d v="2025-03-29T00:00:00"/>
    <x v="0"/>
    <m/>
    <n v="0"/>
    <n v="0"/>
    <n v="0"/>
    <n v="0"/>
    <n v="0"/>
  </r>
  <r>
    <x v="2"/>
    <s v="MEI45729"/>
    <s v="Pedido 1161"/>
    <d v="2025-03-13T00:00:00"/>
    <x v="101"/>
    <s v="PedidoF1138"/>
    <s v="CódRastreio1136"/>
    <n v="1"/>
    <s v="CPF 1130"/>
    <s v="Nome 1130"/>
    <s v="Tel 1130"/>
    <s v="Cep 1130"/>
    <s v="Rua 1130"/>
    <s v="Comp 1130"/>
    <s v="Maçarico Culinário Portátil"/>
    <s v="BG-DHRO-FAEE"/>
    <d v="2025-04-03T00:00:00"/>
    <n v="24.99"/>
    <n v="24.99"/>
    <n v="2.7488999999999999"/>
    <n v="22.24"/>
    <n v="11.69"/>
    <n v="0.23"/>
    <n v="0.39877104377104378"/>
    <n v="0"/>
    <n v="9.9212289562289548"/>
    <n v="4.9606144781144774"/>
    <x v="104"/>
    <x v="107"/>
    <x v="22"/>
    <d v="2025-04-16T00:00:00"/>
    <x v="5"/>
    <x v="0"/>
    <x v="6"/>
    <s v="ENTREGUE"/>
    <d v="2025-03-27T00:00:00"/>
    <x v="0"/>
    <m/>
    <n v="0"/>
    <n v="0"/>
    <n v="0"/>
    <n v="0"/>
    <n v="0"/>
  </r>
  <r>
    <x v="2"/>
    <s v="MEI45729"/>
    <s v="Pedido 1162"/>
    <d v="2025-03-13T00:00:00"/>
    <x v="101"/>
    <s v="PedidoF1139"/>
    <s v="CódRastreio1137"/>
    <n v="1"/>
    <s v="CPF 1131"/>
    <s v="Nome 1131"/>
    <s v="Tel 1131"/>
    <s v="Cep 1131"/>
    <s v="Rua 1131"/>
    <s v="Comp 1131"/>
    <s v="Ventilador Preto"/>
    <s v="WU-SS4J-LFOH"/>
    <d v="2025-04-03T00:00:00"/>
    <n v="65.599999999999994"/>
    <n v="65.599999999999994"/>
    <n v="8.5279999999999987"/>
    <n v="57.07"/>
    <n v="14.04"/>
    <n v="0.23"/>
    <n v="0.39877104377104378"/>
    <n v="0"/>
    <n v="42.401228956228955"/>
    <n v="21.200614478114478"/>
    <x v="104"/>
    <x v="107"/>
    <x v="22"/>
    <d v="2025-04-16T00:00:00"/>
    <x v="5"/>
    <x v="0"/>
    <x v="6"/>
    <s v="ENTREGUE"/>
    <d v="2025-03-25T00:00:00"/>
    <x v="0"/>
    <m/>
    <n v="0"/>
    <n v="0"/>
    <n v="0"/>
    <n v="0"/>
    <n v="0"/>
  </r>
  <r>
    <x v="2"/>
    <s v="MEI45729"/>
    <s v="Pedido 1163"/>
    <d v="2025-03-13T00:00:00"/>
    <x v="101"/>
    <s v="PedidoF1140"/>
    <s v="CódRastreio1138"/>
    <n v="1"/>
    <s v="CPF 1132"/>
    <s v="Nome 1132"/>
    <s v="Tel 1132"/>
    <s v="Cep 1132"/>
    <s v="Rua 1132"/>
    <s v="Comp 1132"/>
    <s v="Mini Liquidificador"/>
    <s v="A4-5W51-K3HF"/>
    <d v="2025-03-28T00:00:00"/>
    <n v="30.95"/>
    <n v="30.95"/>
    <n v="4.3330000000000002"/>
    <n v="26.62"/>
    <n v="16.88"/>
    <n v="0.23"/>
    <n v="0.39877104377104378"/>
    <n v="0"/>
    <n v="9.1112289562289561"/>
    <n v="4.5556144781144781"/>
    <x v="97"/>
    <x v="100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0"/>
    <s v="Pedido 1164"/>
    <d v="2025-03-13T00:00:00"/>
    <x v="102"/>
    <s v="PedidoF1141"/>
    <s v="CódRastreio1139"/>
    <n v="1"/>
    <s v="CPF 1133"/>
    <s v="Nome 1133"/>
    <s v="Tel 1133"/>
    <s v="Cep 1133"/>
    <s v="Rua 1133"/>
    <s v="Comp 1133"/>
    <s v="Mini Liquidificador"/>
    <s v="A4-5W51-K3HF"/>
    <d v="2025-04-03T00:00:00"/>
    <n v="30.95"/>
    <n v="30.95"/>
    <n v="4.3330000000000002"/>
    <n v="26.62"/>
    <n v="16.48"/>
    <n v="0.33"/>
    <n v="0.39877104377104378"/>
    <n v="0"/>
    <n v="9.4112289562289568"/>
    <n v="4.7056144781144784"/>
    <x v="104"/>
    <x v="107"/>
    <x v="22"/>
    <d v="2025-04-16T00:00:00"/>
    <x v="5"/>
    <x v="0"/>
    <x v="6"/>
    <s v="ENTREGUE"/>
    <d v="2025-03-24T00:00:00"/>
    <x v="0"/>
    <m/>
    <n v="0"/>
    <n v="0"/>
    <n v="0"/>
    <n v="0"/>
    <n v="0"/>
  </r>
  <r>
    <x v="2"/>
    <s v="MEI45735"/>
    <s v="Pedido 1165"/>
    <d v="2025-03-13T00:00:00"/>
    <x v="104"/>
    <s v="PedidoF1142"/>
    <s v="CódRastreio1140"/>
    <n v="1"/>
    <s v="CPF 1134"/>
    <s v="Nome 1134"/>
    <s v="Tel 1134"/>
    <s v="Cep 1134"/>
    <s v="Rua 1134"/>
    <s v="Comp 1134"/>
    <s v="Hand Grip Fortalecedor"/>
    <s v="OV-P9KI-A5LS"/>
    <d v="2025-04-09T00:00:00"/>
    <n v="18.3"/>
    <n v="18.3"/>
    <n v="2.1960000000000002"/>
    <n v="16.100000000000001"/>
    <n v="10.199999999999999"/>
    <n v="0.2"/>
    <n v="0.39877104377104378"/>
    <n v="0"/>
    <n v="5.3012289562289592"/>
    <n v="2.6506144781144796"/>
    <x v="101"/>
    <x v="104"/>
    <x v="23"/>
    <d v="2025-05-06T00:00:00"/>
    <x v="5"/>
    <x v="0"/>
    <x v="6"/>
    <s v="ENTREGUE"/>
    <d v="2025-04-03T00:00:00"/>
    <x v="0"/>
    <m/>
    <n v="0"/>
    <n v="0"/>
    <n v="0"/>
    <n v="0"/>
    <n v="0"/>
  </r>
  <r>
    <x v="2"/>
    <s v="MEI45730"/>
    <s v="Pedido 1166"/>
    <d v="2025-03-13T00:00:00"/>
    <x v="102"/>
    <s v="PedidoF1143"/>
    <s v="CódRastreio1141"/>
    <n v="1"/>
    <s v="CPF 1135"/>
    <s v="Nome 1135"/>
    <s v="Tel 1135"/>
    <s v="Cep 1135"/>
    <s v="Rua 1135"/>
    <s v="Comp 1135"/>
    <s v="Brinquedo Bola Giratória voadora"/>
    <s v="Z0-F6CI-18CL"/>
    <d v="2025-04-09T00:00:00"/>
    <n v="45.9"/>
    <n v="45.9"/>
    <n v="5.508"/>
    <n v="40.39"/>
    <n v="12.61"/>
    <n v="0.33"/>
    <n v="0.39877104377104378"/>
    <n v="0"/>
    <n v="27.051228956228957"/>
    <n v="13.525614478114479"/>
    <x v="101"/>
    <x v="104"/>
    <x v="23"/>
    <d v="2025-05-06T00:00:00"/>
    <x v="5"/>
    <x v="0"/>
    <x v="6"/>
    <s v="ENTREGUE"/>
    <d v="2025-04-04T00:00:00"/>
    <x v="0"/>
    <m/>
    <n v="0"/>
    <n v="0"/>
    <n v="0"/>
    <n v="0"/>
    <n v="0"/>
  </r>
  <r>
    <x v="0"/>
    <s v="BV-"/>
    <s v="Pedido 1167"/>
    <d v="2025-03-14T00:00:00"/>
    <x v="0"/>
    <s v="-"/>
    <s v="-"/>
    <n v="1"/>
    <s v="CPF 1136"/>
    <s v="Nome 1136"/>
    <s v="Tel 1136"/>
    <s v="Cep 1136"/>
    <s v="Rua 1136"/>
    <s v="Comp 1136"/>
    <s v="Ventilador Umidificador Branco"/>
    <s v="IA-LLX9-MRV1"/>
    <d v="2025-04-04T00:00:00"/>
    <n v="65.989999999999995"/>
    <n v="65.989999999999995"/>
    <n v="9.2385999999999999"/>
    <n v="56.75"/>
    <n v="0"/>
    <n v="0"/>
    <n v="0"/>
    <n v="0"/>
    <n v="56.75"/>
    <n v="28.37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45730"/>
    <s v="Pedido 1168"/>
    <d v="2025-03-14T00:00:00"/>
    <x v="102"/>
    <s v="PedidoF1144"/>
    <s v="CódRastreio1142"/>
    <n v="1"/>
    <s v="CPF 1137"/>
    <s v="Nome 1137"/>
    <s v="Tel 1137"/>
    <s v="Cep 1137"/>
    <s v="Rua 1137"/>
    <s v="Comp 1137"/>
    <s v="Garrafa Termica"/>
    <s v="FM-QQ8Y-RZT4"/>
    <d v="2025-04-04T00:00:00"/>
    <n v="28.5"/>
    <n v="28.5"/>
    <n v="3.7050000000000001"/>
    <n v="24.8"/>
    <n v="16.8"/>
    <n v="0.23"/>
    <n v="0.39877104377104378"/>
    <n v="0"/>
    <n v="7.3712289562289541"/>
    <n v="3.6856144781144771"/>
    <x v="106"/>
    <x v="109"/>
    <x v="22"/>
    <d v="2025-04-16T00:00:00"/>
    <x v="5"/>
    <x v="0"/>
    <x v="6"/>
    <s v="ENTREGUE"/>
    <d v="2025-03-24T00:00:00"/>
    <x v="0"/>
    <m/>
    <n v="0"/>
    <n v="0"/>
    <n v="0"/>
    <n v="0"/>
    <n v="0"/>
  </r>
  <r>
    <x v="0"/>
    <s v="BV45730"/>
    <s v="Pedido 1169"/>
    <d v="2025-03-14T00:00:00"/>
    <x v="102"/>
    <s v="PedidoF1145"/>
    <s v="CódRastreio1143"/>
    <n v="1"/>
    <s v="CPF 1138"/>
    <s v="Nome 1138"/>
    <s v="Tel 1138"/>
    <s v="Cep 1138"/>
    <s v="Rua 1138"/>
    <s v="Comp 1138"/>
    <s v="Lampada Led"/>
    <s v="RB-W251-UXV2"/>
    <d v="2025-04-04T00:00:00"/>
    <n v="26.99"/>
    <n v="26.99"/>
    <n v="3.5086999999999997"/>
    <n v="23.48"/>
    <n v="10.199999999999999"/>
    <n v="0.23"/>
    <n v="0.39877104377104378"/>
    <n v="0"/>
    <n v="12.651228956228957"/>
    <n v="6.3256144781144785"/>
    <x v="106"/>
    <x v="109"/>
    <x v="22"/>
    <d v="2025-04-16T00:00:00"/>
    <x v="5"/>
    <x v="0"/>
    <x v="6"/>
    <s v="ENTREGUE"/>
    <d v="2025-04-01T00:00:00"/>
    <x v="0"/>
    <m/>
    <n v="0"/>
    <n v="0"/>
    <n v="0"/>
    <n v="0"/>
    <n v="0"/>
  </r>
  <r>
    <x v="2"/>
    <s v="MEI45733"/>
    <s v="Pedido 1170"/>
    <d v="2025-03-14T00:00:00"/>
    <x v="105"/>
    <s v="PedidoF1146"/>
    <s v="CódRastreio1144"/>
    <n v="1"/>
    <s v="CPF 1139"/>
    <s v="Nome 1139"/>
    <s v="Tel 1139"/>
    <s v="Cep 1139"/>
    <s v="Rua 1139"/>
    <s v="Comp 1139"/>
    <s v="Hand Grip Fortalecedor"/>
    <s v="OV-P9KI-A5LS"/>
    <d v="2025-04-09T00:00:00"/>
    <n v="18.3"/>
    <n v="18.3"/>
    <n v="2.1960000000000002"/>
    <n v="16.100000000000001"/>
    <n v="10.16"/>
    <n v="0.46"/>
    <n v="0.39877104377104378"/>
    <n v="0"/>
    <n v="5.0812289562289568"/>
    <n v="2.5406144781144784"/>
    <x v="101"/>
    <x v="104"/>
    <x v="23"/>
    <d v="2025-05-06T00:00:00"/>
    <x v="5"/>
    <x v="0"/>
    <x v="6"/>
    <s v="ENTREGUE"/>
    <d v="2025-04-02T00:00:00"/>
    <x v="0"/>
    <m/>
    <n v="0"/>
    <n v="0"/>
    <n v="0"/>
    <n v="0"/>
    <n v="0"/>
  </r>
  <r>
    <x v="2"/>
    <s v="MEI45730"/>
    <s v="Pedido 1171"/>
    <d v="2025-03-14T00:00:00"/>
    <x v="102"/>
    <s v="PedidoF1147"/>
    <s v="CódRastreio1145"/>
    <n v="1"/>
    <s v="CPF 1140"/>
    <s v="Nome 1140"/>
    <s v="Tel 1140"/>
    <s v="Cep 1140"/>
    <s v="Rua 1140"/>
    <s v="Comp 1140"/>
    <s v="Maçarico Culinário Portátil"/>
    <s v="BG-DHRO-FAEE"/>
    <d v="2025-04-17T00:00:00"/>
    <n v="24.99"/>
    <n v="24.99"/>
    <n v="2.7488999999999999"/>
    <n v="22.24"/>
    <n v="11.46"/>
    <n v="0.33"/>
    <n v="0.39877104377104378"/>
    <n v="0"/>
    <n v="10.051228956228954"/>
    <n v="5.0256144781144769"/>
    <x v="109"/>
    <x v="112"/>
    <x v="23"/>
    <d v="2025-05-06T00:00:00"/>
    <x v="5"/>
    <x v="0"/>
    <x v="6"/>
    <s v="ENTREGUE"/>
    <d v="2025-04-07T00:00:00"/>
    <x v="0"/>
    <m/>
    <n v="0"/>
    <n v="0"/>
    <n v="0"/>
    <n v="0"/>
    <n v="0"/>
  </r>
  <r>
    <x v="2"/>
    <s v="MEI45730"/>
    <s v="Pedido 1172"/>
    <d v="2025-03-14T00:00:00"/>
    <x v="102"/>
    <s v="PedidoF1148"/>
    <s v="CódRastreio1146"/>
    <n v="1"/>
    <s v="CPF 1141"/>
    <s v="Nome 1141"/>
    <s v="Tel 1141"/>
    <s v="Cep 1141"/>
    <s v="Rua 1141"/>
    <s v="Comp 1141"/>
    <s v="Mini Liquidificador"/>
    <s v="A4-5W51-K3HF"/>
    <d v="2025-04-04T00:00:00"/>
    <n v="30.95"/>
    <n v="30.95"/>
    <n v="4.3330000000000002"/>
    <n v="26.62"/>
    <n v="16.48"/>
    <n v="0.33"/>
    <n v="0.39877104377104378"/>
    <n v="0"/>
    <n v="9.4112289562289568"/>
    <n v="4.7056144781144784"/>
    <x v="106"/>
    <x v="109"/>
    <x v="22"/>
    <d v="2025-04-16T00:00:00"/>
    <x v="5"/>
    <x v="0"/>
    <x v="6"/>
    <s v="ENTREGUE"/>
    <d v="2025-03-22T00:00:00"/>
    <x v="0"/>
    <m/>
    <n v="0"/>
    <n v="0"/>
    <n v="0"/>
    <n v="0"/>
    <n v="0"/>
  </r>
  <r>
    <x v="2"/>
    <s v="MEI45730"/>
    <s v="Pedido 1173"/>
    <d v="2025-03-14T00:00:00"/>
    <x v="102"/>
    <s v="PedidoF1149"/>
    <s v="CódRastreio1147"/>
    <n v="1"/>
    <s v="CPF 1142"/>
    <s v="Nome 1142"/>
    <s v="Tel 1142"/>
    <s v="Cep 1142"/>
    <s v="Rua 1142"/>
    <s v="Comp 1142"/>
    <s v="Maçarico Culinário Portátil"/>
    <s v="BG-DHRO-FAEE"/>
    <d v="2025-04-10T00:00:00"/>
    <n v="24.99"/>
    <n v="24.99"/>
    <n v="2.7488999999999999"/>
    <n v="22.24"/>
    <n v="11.46"/>
    <n v="0.33"/>
    <n v="0.39877104377104378"/>
    <n v="0"/>
    <n v="10.051228956228954"/>
    <n v="5.0256144781144769"/>
    <x v="105"/>
    <x v="108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4"/>
    <s v="Pedido 1174"/>
    <d v="2025-03-14T00:00:00"/>
    <x v="106"/>
    <s v="PedidoF1150"/>
    <s v="CódRastreio1148"/>
    <n v="1"/>
    <s v="CPF 1143"/>
    <s v="Nome 1143"/>
    <s v="Tel 1143"/>
    <s v="Cep 1143"/>
    <s v="Rua 1143"/>
    <s v="Comp 1143"/>
    <s v="Bomba d'agua"/>
    <s v="U1-D95R-HYRT"/>
    <d v="2025-04-04T00:00:00"/>
    <n v="21"/>
    <n v="21"/>
    <n v="2.9400000000000004"/>
    <n v="18.059999999999999"/>
    <n v="0"/>
    <n v="0.42"/>
    <n v="0.39877104377104378"/>
    <n v="0"/>
    <n v="17.241228956228955"/>
    <n v="8.6206144781144776"/>
    <x v="106"/>
    <x v="109"/>
    <x v="22"/>
    <d v="2025-04-16T00:00:00"/>
    <x v="5"/>
    <x v="0"/>
    <x v="6"/>
    <s v="ENTREGUE"/>
    <d v="2025-04-11T00:00:00"/>
    <x v="0"/>
    <m/>
    <n v="0"/>
    <n v="0"/>
    <n v="0"/>
    <n v="0"/>
    <n v="0"/>
  </r>
  <r>
    <x v="2"/>
    <s v="MEI45730"/>
    <s v="Pedido 1175"/>
    <d v="2025-03-14T00:00:00"/>
    <x v="102"/>
    <s v="PedidoF1151"/>
    <s v="CódRastreio1149"/>
    <n v="1"/>
    <s v="CPF 1144"/>
    <s v="Nome 1144"/>
    <s v="Tel 1144"/>
    <s v="Cep 1144"/>
    <s v="Rua 1144"/>
    <s v="Comp 1144"/>
    <s v="Maçarico Culinário Portátil"/>
    <s v="BG-DHRO-FAEE"/>
    <d v="2025-04-04T00:00:00"/>
    <n v="24.99"/>
    <n v="24.99"/>
    <n v="2.7488999999999999"/>
    <n v="22.24"/>
    <n v="11.46"/>
    <n v="0.33"/>
    <n v="0.39877104377104378"/>
    <n v="0"/>
    <n v="10.051228956228954"/>
    <n v="5.0256144781144769"/>
    <x v="106"/>
    <x v="109"/>
    <x v="22"/>
    <d v="2025-04-16T00:00:00"/>
    <x v="5"/>
    <x v="0"/>
    <x v="6"/>
    <s v="ENTREGUE"/>
    <d v="2025-04-01T00:00:00"/>
    <x v="0"/>
    <m/>
    <n v="0"/>
    <n v="0"/>
    <n v="0"/>
    <n v="0"/>
    <n v="0"/>
  </r>
  <r>
    <x v="2"/>
    <s v="MEI45734"/>
    <s v="Pedido 1176"/>
    <d v="2025-03-14T00:00:00"/>
    <x v="106"/>
    <s v="PedidoF1152"/>
    <s v="CódRastreio1150"/>
    <n v="1"/>
    <s v="CPF 1145"/>
    <s v="Nome 1145"/>
    <s v="Tel 1145"/>
    <s v="Cep 1145"/>
    <s v="Rua 1145"/>
    <s v="Comp 1145"/>
    <s v="Máquina de cortar cabelo dragão"/>
    <s v="RX-DD1P-P5U2"/>
    <d v="2025-04-04T00:00:00"/>
    <n v="24.8"/>
    <n v="24.8"/>
    <n v="2.976"/>
    <n v="21.82"/>
    <n v="10.210000000000001"/>
    <n v="0.42"/>
    <n v="0.39877104377104378"/>
    <n v="0"/>
    <n v="10.791228956228956"/>
    <n v="5.3956144781144779"/>
    <x v="106"/>
    <x v="109"/>
    <x v="22"/>
    <d v="2025-04-16T00:00:00"/>
    <x v="5"/>
    <x v="0"/>
    <x v="6"/>
    <s v="ENTREGUE"/>
    <d v="2025-04-01T00:00:00"/>
    <x v="0"/>
    <m/>
    <n v="0"/>
    <n v="0"/>
    <n v="0"/>
    <n v="0"/>
    <n v="0"/>
  </r>
  <r>
    <x v="0"/>
    <s v="BV-"/>
    <s v="Pedido 1177"/>
    <d v="2025-03-15T00:00:00"/>
    <x v="0"/>
    <s v="-"/>
    <s v="-"/>
    <n v="1"/>
    <s v="CPF 1146"/>
    <s v="Nome 1146"/>
    <s v="Tel 1146"/>
    <s v="Cep 1146"/>
    <s v="Rua 1146"/>
    <s v="Comp 1146"/>
    <s v="Ventilador Umidificador Preto"/>
    <s v="HF-SI0F-XC7S"/>
    <d v="2025-04-10T00:00:00"/>
    <n v="44.9"/>
    <n v="44.9"/>
    <n v="6.2860000000000005"/>
    <n v="38.61"/>
    <n v="0"/>
    <n v="0"/>
    <n v="0"/>
    <n v="0"/>
    <n v="38.61"/>
    <n v="19.305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45732"/>
    <s v="Pedido 1178"/>
    <d v="2025-03-15T00:00:00"/>
    <x v="107"/>
    <s v="PedidoF1153"/>
    <s v="CódRastreio1151"/>
    <n v="1"/>
    <s v="CPF 1147"/>
    <s v="Nome 1147"/>
    <s v="Tel 1147"/>
    <s v="Cep 1147"/>
    <s v="Rua 1147"/>
    <s v="Comp 1147"/>
    <s v="Ventilador Azul"/>
    <s v="U8-2VWS-OB6M"/>
    <d v="2025-04-10T00:00:00"/>
    <n v="50.45"/>
    <n v="50.45"/>
    <n v="6.5585000000000004"/>
    <n v="43.89"/>
    <n v="13.7"/>
    <n v="0.82"/>
    <n v="0.39877104377104378"/>
    <n v="0"/>
    <n v="28.971228956228956"/>
    <n v="14.485614478114478"/>
    <x v="105"/>
    <x v="108"/>
    <x v="23"/>
    <d v="2025-05-06T00:00:00"/>
    <x v="5"/>
    <x v="0"/>
    <x v="6"/>
    <s v="ENTREGUE"/>
    <d v="2025-04-05T00:00:00"/>
    <x v="0"/>
    <m/>
    <n v="0"/>
    <n v="0"/>
    <n v="0"/>
    <n v="0"/>
    <n v="0"/>
  </r>
  <r>
    <x v="0"/>
    <s v="BV-"/>
    <s v="Pedido 1179"/>
    <d v="2025-03-15T00:00:00"/>
    <x v="0"/>
    <s v="-"/>
    <s v="-"/>
    <n v="1"/>
    <s v="CPF 1148"/>
    <s v="Nome 1148"/>
    <s v="Tel 1148"/>
    <s v="Cep 1148"/>
    <s v="Rua 1148"/>
    <s v="Comp 1148"/>
    <s v="Suporte de Celular Branco"/>
    <s v="16-4EDB-WMZF"/>
    <d v="2025-04-04T00:00:00"/>
    <n v="19.989999999999998"/>
    <n v="19.989999999999998"/>
    <n v="2.9984999999999995"/>
    <n v="16.989999999999998"/>
    <n v="0"/>
    <n v="0"/>
    <n v="0"/>
    <n v="0"/>
    <n v="16.989999999999998"/>
    <n v="8.4949999999999992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45735"/>
    <s v="Pedido 1180"/>
    <d v="2025-03-15T00:00:00"/>
    <x v="104"/>
    <s v="PedidoF1154"/>
    <s v="CódRastreio1152"/>
    <n v="1"/>
    <s v="CPF 1149"/>
    <s v="Nome 1149"/>
    <s v="Tel 1149"/>
    <s v="Cep 1149"/>
    <s v="Rua 1149"/>
    <s v="Comp 1149"/>
    <s v="Suporte de Celular Branco"/>
    <s v="16-4EDB-WMZF"/>
    <d v="2025-04-04T00:00:00"/>
    <n v="19.989999999999998"/>
    <n v="19.989999999999998"/>
    <n v="2.9984999999999995"/>
    <n v="16.989999999999998"/>
    <n v="9.94"/>
    <n v="2.72"/>
    <n v="0.39877104377104378"/>
    <n v="0"/>
    <n v="3.9312289562289546"/>
    <n v="1.9656144781144773"/>
    <x v="106"/>
    <x v="109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-"/>
    <s v="Pedido 1181"/>
    <d v="2025-03-15T00:00:00"/>
    <x v="0"/>
    <s v="-"/>
    <s v="-"/>
    <n v="1"/>
    <s v="CPF 1150"/>
    <s v="Nome 1150"/>
    <s v="Tel 1150"/>
    <s v="Cep 1150"/>
    <s v="Rua 1150"/>
    <s v="Comp 1150"/>
    <s v="Lampada Led"/>
    <s v="RB-W251-UXV2"/>
    <d v="2025-04-10T00:00:00"/>
    <n v="26.99"/>
    <n v="26.99"/>
    <n v="3.5086999999999997"/>
    <n v="23.48"/>
    <n v="0"/>
    <n v="0"/>
    <n v="0"/>
    <n v="0"/>
    <n v="23.48"/>
    <n v="11.74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45735"/>
    <s v="Pedido 1182"/>
    <d v="2025-03-15T00:00:00"/>
    <x v="104"/>
    <s v="PedidoF1155"/>
    <s v="CódRastreio1153"/>
    <n v="1"/>
    <s v="CPF 1151"/>
    <s v="Nome 1151"/>
    <s v="Tel 1151"/>
    <s v="Cep 1151"/>
    <s v="Rua 1151"/>
    <s v="Comp 1151"/>
    <s v="Suporte de Celular Branco"/>
    <s v="16-4EDB-WMZF"/>
    <d v="2025-04-04T00:00:00"/>
    <n v="19.989999999999998"/>
    <n v="19.989999999999998"/>
    <n v="2.9984999999999995"/>
    <n v="16.989999999999998"/>
    <n v="9.94"/>
    <n v="2.72"/>
    <n v="0.39877104377104378"/>
    <n v="0"/>
    <n v="3.9312289562289546"/>
    <n v="1.9656144781144773"/>
    <x v="106"/>
    <x v="109"/>
    <x v="22"/>
    <d v="2025-04-16T00:00:00"/>
    <x v="5"/>
    <x v="0"/>
    <x v="6"/>
    <s v="ENTREGUE"/>
    <d v="2025-04-01T00:00:00"/>
    <x v="0"/>
    <m/>
    <n v="0"/>
    <n v="0"/>
    <n v="0"/>
    <n v="0"/>
    <n v="0"/>
  </r>
  <r>
    <x v="0"/>
    <s v="BV45736"/>
    <s v="Pedido 1183"/>
    <d v="2025-03-15T00:00:00"/>
    <x v="108"/>
    <s v="PedidoF1156"/>
    <s v="CódRastreio1154"/>
    <n v="1"/>
    <s v="CPF 1152"/>
    <s v="Nome 1152"/>
    <s v="Tel 1152"/>
    <s v="Cep 1152"/>
    <s v="Rua 1152"/>
    <s v="Comp 1152"/>
    <s v="Suporte de Celular Branco"/>
    <s v="16-4EDB-WMZF"/>
    <d v="2025-04-10T00:00:00"/>
    <n v="19.989999999999998"/>
    <n v="19.989999999999998"/>
    <n v="2.9984999999999995"/>
    <n v="16.989999999999998"/>
    <n v="9"/>
    <n v="0.33"/>
    <n v="0.39877104377104378"/>
    <n v="0"/>
    <n v="7.2612289562289547"/>
    <n v="3.6306144781144774"/>
    <x v="105"/>
    <x v="108"/>
    <x v="23"/>
    <d v="2025-05-06T00:00:00"/>
    <x v="5"/>
    <x v="0"/>
    <x v="6"/>
    <s v="ENTREGUE"/>
    <d v="2025-04-09T00:00:00"/>
    <x v="0"/>
    <m/>
    <n v="0"/>
    <n v="0"/>
    <n v="0"/>
    <n v="0"/>
    <n v="0"/>
  </r>
  <r>
    <x v="0"/>
    <s v="BV-"/>
    <s v="Pedido 1184"/>
    <d v="2025-03-15T00:00:00"/>
    <x v="0"/>
    <s v="-"/>
    <s v="-"/>
    <n v="1"/>
    <s v="CPF 1153"/>
    <s v="Nome 1153"/>
    <s v="Tel 1153"/>
    <s v="Cep 1153"/>
    <s v="Rua 1153"/>
    <s v="Comp 1153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-"/>
    <s v="Pedido 1185"/>
    <d v="2025-03-15T00:00:00"/>
    <x v="0"/>
    <s v="-"/>
    <s v="-"/>
    <n v="1"/>
    <s v="CPF 1154"/>
    <s v="Nome 1154"/>
    <s v="Tel 1154"/>
    <s v="Cep 1154"/>
    <s v="Rua 1154"/>
    <s v="Comp 1154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45732"/>
    <s v="Pedido 1186"/>
    <d v="2025-03-15T00:00:00"/>
    <x v="107"/>
    <s v="PedidoF1157"/>
    <s v="CódRastreio1155"/>
    <n v="1"/>
    <s v="CPF 1155"/>
    <s v="Nome 1155"/>
    <s v="Tel 1155"/>
    <s v="Cep 1155"/>
    <s v="Rua 1155"/>
    <s v="Comp 1155"/>
    <s v="Ventilador Azul"/>
    <s v="U8-2VWS-OB6M"/>
    <d v="2025-04-10T00:00:00"/>
    <n v="50.45"/>
    <n v="50.45"/>
    <n v="6.5585000000000004"/>
    <n v="43.89"/>
    <n v="13.7"/>
    <n v="0.82"/>
    <n v="0.39877104377104378"/>
    <n v="0"/>
    <n v="28.971228956228956"/>
    <n v="14.485614478114478"/>
    <x v="105"/>
    <x v="108"/>
    <x v="23"/>
    <d v="2025-05-06T00:00:00"/>
    <x v="5"/>
    <x v="0"/>
    <x v="6"/>
    <s v="ENTREGUE"/>
    <d v="2025-04-08T00:00:00"/>
    <x v="0"/>
    <m/>
    <n v="0"/>
    <n v="0"/>
    <n v="0"/>
    <n v="0"/>
    <n v="0"/>
  </r>
  <r>
    <x v="0"/>
    <s v="BV-"/>
    <s v="Pedido 1187"/>
    <d v="2025-03-15T00:00:00"/>
    <x v="0"/>
    <s v="-"/>
    <s v="-"/>
    <n v="1"/>
    <s v="CPF 1156"/>
    <s v="Nome 1156"/>
    <s v="Tel 1156"/>
    <s v="Cep 1156"/>
    <s v="Rua 1156"/>
    <s v="Comp 1156"/>
    <s v="Suporte de Celular Branco"/>
    <s v="16-4EDB-WMZF"/>
    <d v="2025-04-04T00:00:00"/>
    <n v="19.989999999999998"/>
    <n v="19.989999999999998"/>
    <n v="2.9984999999999995"/>
    <n v="16.989999999999998"/>
    <n v="0"/>
    <n v="0"/>
    <n v="0"/>
    <n v="0"/>
    <n v="16.989999999999998"/>
    <n v="8.4949999999999992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-"/>
    <s v="Pedido 1188"/>
    <d v="2025-03-15T00:00:00"/>
    <x v="0"/>
    <s v="-"/>
    <s v="-"/>
    <n v="1"/>
    <s v="CPF 1157"/>
    <s v="Nome 1157"/>
    <s v="Tel 1157"/>
    <s v="Cep 1157"/>
    <s v="Rua 1157"/>
    <s v="Comp 1157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45677"/>
    <s v="Pedido 1189"/>
    <d v="2025-03-15T00:00:00"/>
    <x v="64"/>
    <s v="PedidoF1158"/>
    <s v="CódRastreio1156"/>
    <n v="1"/>
    <s v="CPF 1158"/>
    <s v="Nome 1158"/>
    <s v="Tel 1158"/>
    <s v="Cep 1158"/>
    <s v="Rua 1158"/>
    <s v="Comp 1158"/>
    <s v="Suporte de Celular Branco"/>
    <s v="16-4EDB-WMZF"/>
    <d v="2025-04-04T00:00:00"/>
    <n v="19.989999999999998"/>
    <n v="19.989999999999998"/>
    <n v="2.9984999999999995"/>
    <n v="16.989999999999998"/>
    <n v="13.59"/>
    <n v="0.19"/>
    <n v="0.39877104377104378"/>
    <n v="0"/>
    <n v="2.8112289562289554"/>
    <n v="1.4056144781144777"/>
    <x v="106"/>
    <x v="109"/>
    <x v="22"/>
    <d v="2025-04-16T00:00:00"/>
    <x v="5"/>
    <x v="0"/>
    <x v="4"/>
    <s v="ENTREGUE"/>
    <d v="2025-04-05T00:00:00"/>
    <x v="0"/>
    <m/>
    <n v="0"/>
    <n v="0"/>
    <n v="0"/>
    <n v="0"/>
    <n v="0"/>
  </r>
  <r>
    <x v="0"/>
    <s v="BV45677"/>
    <s v="Pedido 1190"/>
    <d v="2025-03-15T00:00:00"/>
    <x v="64"/>
    <s v="PedidoF1159"/>
    <s v="CódRastreio1157"/>
    <n v="1"/>
    <s v="CPF 1159"/>
    <s v="Nome 1159"/>
    <s v="Tel 1159"/>
    <s v="Cep 1159"/>
    <s v="Rua 1159"/>
    <s v="Comp 1159"/>
    <s v="Suporte de Celular Branco"/>
    <s v="16-4EDB-WMZF"/>
    <d v="2025-04-04T00:00:00"/>
    <n v="19.989999999999998"/>
    <n v="19.989999999999998"/>
    <n v="2.9984999999999995"/>
    <n v="16.989999999999998"/>
    <n v="13.59"/>
    <n v="0.19"/>
    <n v="0.39877104377104378"/>
    <n v="0"/>
    <n v="2.8112289562289554"/>
    <n v="1.4056144781144777"/>
    <x v="106"/>
    <x v="109"/>
    <x v="22"/>
    <d v="2025-04-16T00:00:00"/>
    <x v="5"/>
    <x v="0"/>
    <x v="4"/>
    <s v="ENTREGUE"/>
    <d v="2025-04-09T00:00:00"/>
    <x v="0"/>
    <m/>
    <n v="0"/>
    <n v="0"/>
    <n v="0"/>
    <n v="0"/>
    <n v="0"/>
  </r>
  <r>
    <x v="0"/>
    <s v="BV45732"/>
    <s v="Pedido 1191"/>
    <d v="2025-03-15T00:00:00"/>
    <x v="107"/>
    <s v="PedidoF1160"/>
    <s v="CódRastreio1158"/>
    <n v="1"/>
    <s v="CPF 1160"/>
    <s v="Nome 1160"/>
    <s v="Tel 1160"/>
    <s v="Cep 1160"/>
    <s v="Rua 1160"/>
    <s v="Comp 1160"/>
    <s v="Ventilador Rosa"/>
    <s v="IF-G2ZQ-79FO"/>
    <d v="2025-04-04T00:00:00"/>
    <n v="59.9"/>
    <n v="59.9"/>
    <n v="7.7869999999999999"/>
    <n v="52.11"/>
    <n v="13.98"/>
    <n v="0.82"/>
    <n v="0.39877104377104378"/>
    <n v="0"/>
    <n v="36.911228956228953"/>
    <n v="18.455614478114477"/>
    <x v="106"/>
    <x v="109"/>
    <x v="22"/>
    <d v="2025-04-16T00:00:00"/>
    <x v="5"/>
    <x v="0"/>
    <x v="6"/>
    <s v="ENTREGUE"/>
    <d v="2025-04-04T00:00:00"/>
    <x v="0"/>
    <m/>
    <n v="0"/>
    <n v="0"/>
    <n v="0"/>
    <n v="0"/>
    <n v="0"/>
  </r>
  <r>
    <x v="0"/>
    <s v="BV45732"/>
    <s v="Pedido 1192"/>
    <d v="2025-03-15T00:00:00"/>
    <x v="107"/>
    <s v="PedidoF1161"/>
    <s v="CódRastreio1159"/>
    <n v="1"/>
    <s v="CPF 1161"/>
    <s v="Nome 1161"/>
    <s v="Tel 1161"/>
    <s v="Cep 1161"/>
    <s v="Rua 1161"/>
    <s v="Comp 1161"/>
    <s v="Ventilador Azul"/>
    <s v="U8-2VWS-OB6M"/>
    <d v="2025-04-04T00:00:00"/>
    <n v="50.45"/>
    <n v="50.45"/>
    <n v="6.5585000000000004"/>
    <n v="43.89"/>
    <n v="13.7"/>
    <n v="0.82"/>
    <n v="0.39877104377104378"/>
    <n v="0"/>
    <n v="28.971228956228956"/>
    <n v="14.485614478114478"/>
    <x v="106"/>
    <x v="109"/>
    <x v="22"/>
    <d v="2025-04-16T00:00:00"/>
    <x v="5"/>
    <x v="0"/>
    <x v="6"/>
    <s v="ENTREGUE"/>
    <d v="2025-04-03T00:00:00"/>
    <x v="0"/>
    <m/>
    <n v="0"/>
    <n v="0"/>
    <n v="0"/>
    <n v="0"/>
    <n v="0"/>
  </r>
  <r>
    <x v="0"/>
    <s v="BV45732"/>
    <s v="Pedido 1193"/>
    <d v="2025-03-15T00:00:00"/>
    <x v="107"/>
    <s v="PedidoF1162"/>
    <s v="CódRastreio1160"/>
    <n v="1"/>
    <s v="CPF 1162"/>
    <s v="Nome 1162"/>
    <s v="Tel 1162"/>
    <s v="Cep 1162"/>
    <s v="Rua 1162"/>
    <s v="Comp 1162"/>
    <s v="Ventilador Rosa"/>
    <s v="IF-G2ZQ-79FO"/>
    <d v="2025-04-04T00:00:00"/>
    <n v="59.9"/>
    <n v="59.9"/>
    <n v="7.7869999999999999"/>
    <n v="52.11"/>
    <n v="13.98"/>
    <n v="0.82"/>
    <n v="0.39877104377104378"/>
    <n v="0"/>
    <n v="36.911228956228953"/>
    <n v="18.455614478114477"/>
    <x v="106"/>
    <x v="109"/>
    <x v="22"/>
    <d v="2025-04-16T00:00:00"/>
    <x v="5"/>
    <x v="0"/>
    <x v="6"/>
    <s v="ENTREGUE"/>
    <d v="2025-04-03T00:00:00"/>
    <x v="0"/>
    <m/>
    <n v="0"/>
    <n v="0"/>
    <n v="0"/>
    <n v="0"/>
    <n v="0"/>
  </r>
  <r>
    <x v="0"/>
    <s v="BV-"/>
    <s v="Pedido 1194"/>
    <d v="2025-03-15T00:00:00"/>
    <x v="0"/>
    <s v="-"/>
    <s v="-"/>
    <n v="1"/>
    <s v="CPF 1163"/>
    <s v="Nome 1163"/>
    <s v="Tel 1163"/>
    <s v="Cep 1163"/>
    <s v="Rua 1163"/>
    <s v="Comp 1163"/>
    <s v="Ventilador Umidificador Preto"/>
    <s v="HF-SI0F-XC7S"/>
    <d v="2025-04-10T00:00:00"/>
    <n v="44.9"/>
    <n v="44.9"/>
    <n v="6.2860000000000005"/>
    <n v="38.61"/>
    <n v="0"/>
    <n v="0"/>
    <n v="0"/>
    <n v="0"/>
    <n v="38.61"/>
    <n v="19.305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45732"/>
    <s v="Pedido 1195"/>
    <d v="2025-03-15T00:00:00"/>
    <x v="107"/>
    <s v="PedidoF1163"/>
    <s v="CódRastreio1161"/>
    <n v="1"/>
    <s v="CPF 1164"/>
    <s v="Nome 1164"/>
    <s v="Tel 1164"/>
    <s v="Cep 1164"/>
    <s v="Rua 1164"/>
    <s v="Comp 1164"/>
    <s v="Ventilador Azul"/>
    <s v="U8-2VWS-OB6M"/>
    <d v="2025-04-17T00:00:00"/>
    <n v="50.45"/>
    <n v="50.45"/>
    <n v="6.5585000000000004"/>
    <n v="43.89"/>
    <n v="13.7"/>
    <n v="0.82"/>
    <n v="0.39877104377104378"/>
    <n v="0"/>
    <n v="28.971228956228956"/>
    <n v="14.485614478114478"/>
    <x v="109"/>
    <x v="112"/>
    <x v="23"/>
    <d v="2025-05-06T00:00:00"/>
    <x v="5"/>
    <x v="0"/>
    <x v="6"/>
    <s v="ENTREGUE"/>
    <d v="2025-04-10T00:00:00"/>
    <x v="0"/>
    <m/>
    <n v="0"/>
    <n v="0"/>
    <n v="0"/>
    <n v="0"/>
    <n v="0"/>
  </r>
  <r>
    <x v="0"/>
    <s v="BV45732"/>
    <s v="Pedido 1196"/>
    <d v="2025-03-16T00:00:00"/>
    <x v="107"/>
    <s v="PedidoF1164"/>
    <s v="CódRastreio1162"/>
    <n v="1"/>
    <s v="CPF 1165"/>
    <s v="Nome 1165"/>
    <s v="Tel 1165"/>
    <s v="Cep 1165"/>
    <s v="Rua 1165"/>
    <s v="Comp 1165"/>
    <s v="Lampada Led"/>
    <s v="RB-W251-UXV2"/>
    <d v="2025-04-04T00:00:00"/>
    <n v="26.99"/>
    <n v="26.99"/>
    <n v="3.5086999999999997"/>
    <n v="23.48"/>
    <n v="10.199999999999999"/>
    <n v="0.82"/>
    <n v="0.39877104377104378"/>
    <n v="0"/>
    <n v="12.061228956228957"/>
    <n v="6.0306144781144786"/>
    <x v="106"/>
    <x v="109"/>
    <x v="22"/>
    <d v="2025-04-16T00:00:00"/>
    <x v="5"/>
    <x v="0"/>
    <x v="6"/>
    <s v="ENTREGUE"/>
    <d v="2025-04-04T00:00:00"/>
    <x v="0"/>
    <m/>
    <n v="0"/>
    <n v="0"/>
    <n v="0"/>
    <n v="0"/>
    <n v="0"/>
  </r>
  <r>
    <x v="0"/>
    <s v="BV-"/>
    <s v="Pedido 1197"/>
    <d v="2025-03-16T00:00:00"/>
    <x v="0"/>
    <s v="-"/>
    <s v="-"/>
    <n v="1"/>
    <s v="CPF 1166"/>
    <s v="Nome 1166"/>
    <s v="Tel 1166"/>
    <s v="Cep 1166"/>
    <s v="Rua 1166"/>
    <s v="Comp 1166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45677"/>
    <s v="Pedido 1198"/>
    <d v="2025-03-16T00:00:00"/>
    <x v="64"/>
    <s v="PedidoF1165"/>
    <s v="CódRastreio1163"/>
    <n v="1"/>
    <s v="CPF 1167"/>
    <s v="Nome 1167"/>
    <s v="Tel 1167"/>
    <s v="Cep 1167"/>
    <s v="Rua 1167"/>
    <s v="Comp 1167"/>
    <s v="Suporte de Celular Branco"/>
    <s v="16-4EDB-WMZF"/>
    <d v="2025-04-04T00:00:00"/>
    <n v="19.989999999999998"/>
    <n v="19.989999999999998"/>
    <n v="2.9984999999999995"/>
    <n v="16.989999999999998"/>
    <n v="13.59"/>
    <n v="0.19"/>
    <n v="0.39877104377104378"/>
    <n v="0"/>
    <n v="2.8112289562289554"/>
    <n v="1.4056144781144777"/>
    <x v="106"/>
    <x v="109"/>
    <x v="22"/>
    <d v="2025-04-16T00:00:00"/>
    <x v="5"/>
    <x v="0"/>
    <x v="4"/>
    <s v="ENTREGUE"/>
    <d v="2025-04-09T00:00:00"/>
    <x v="0"/>
    <m/>
    <n v="0"/>
    <n v="0"/>
    <n v="0"/>
    <n v="0"/>
    <n v="0"/>
  </r>
  <r>
    <x v="0"/>
    <s v="BV-"/>
    <s v="Pedido 1199"/>
    <d v="2025-03-16T00:00:00"/>
    <x v="0"/>
    <s v="-"/>
    <s v="-"/>
    <n v="1"/>
    <s v="CPF 1168"/>
    <s v="Nome 1168"/>
    <s v="Tel 1168"/>
    <s v="Cep 1168"/>
    <s v="Rua 1168"/>
    <s v="Comp 1168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-"/>
    <s v="Pedido 1200"/>
    <d v="2025-03-16T00:00:00"/>
    <x v="0"/>
    <s v="-"/>
    <s v="-"/>
    <n v="1"/>
    <s v="CPF 1169"/>
    <s v="Nome 1169"/>
    <s v="Tel 1169"/>
    <s v="Cep 1169"/>
    <s v="Rua 1169"/>
    <s v="Comp 1169"/>
    <s v="Ventilador Umidificador Preto"/>
    <s v="HF-SI0F-XC7S"/>
    <d v="2025-04-17T00:00:00"/>
    <n v="44.9"/>
    <n v="44.9"/>
    <n v="6.2860000000000005"/>
    <n v="38.61"/>
    <n v="0"/>
    <n v="0"/>
    <n v="0"/>
    <n v="0"/>
    <n v="38.61"/>
    <n v="19.305"/>
    <x v="109"/>
    <x v="112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01"/>
    <d v="2025-03-16T00:00:00"/>
    <x v="0"/>
    <s v="-"/>
    <s v="-"/>
    <n v="1"/>
    <s v="CPF 1169"/>
    <s v="Nome 1169"/>
    <s v="Tel 1169"/>
    <s v="Cep 1169"/>
    <s v="Rua 1169"/>
    <s v="Comp 1169"/>
    <s v="Ventilador Umidificador Preto"/>
    <s v="HF-SI0F-XC7S"/>
    <d v="2025-04-17T00:00:00"/>
    <n v="44.9"/>
    <n v="44.9"/>
    <n v="6.2860000000000005"/>
    <n v="38.61"/>
    <n v="0"/>
    <n v="0"/>
    <n v="0"/>
    <n v="0"/>
    <n v="38.61"/>
    <n v="19.305"/>
    <x v="109"/>
    <x v="112"/>
    <x v="23"/>
    <d v="2025-05-06T00:00:00"/>
    <x v="5"/>
    <x v="0"/>
    <x v="0"/>
    <s v="-"/>
    <s v="-"/>
    <x v="0"/>
    <m/>
    <n v="0"/>
    <n v="0"/>
    <n v="0"/>
    <n v="0"/>
    <n v="0"/>
  </r>
  <r>
    <x v="0"/>
    <s v="BV45734"/>
    <s v="Pedido 1202"/>
    <d v="2025-03-16T00:00:00"/>
    <x v="106"/>
    <s v="PedidoF1166"/>
    <s v="CódRastreio1164"/>
    <n v="1"/>
    <s v="CPF 1170"/>
    <s v="Nome 1170"/>
    <s v="Tel 1170"/>
    <s v="Cep 1170"/>
    <s v="Rua 1170"/>
    <s v="Comp 1170"/>
    <s v="Suporte de Celular Branco"/>
    <s v="16-4EDB-WMZF"/>
    <d v="2025-04-10T00:00:00"/>
    <n v="19.989999999999998"/>
    <n v="19.989999999999998"/>
    <n v="2.9984999999999995"/>
    <n v="16.989999999999998"/>
    <n v="7.94"/>
    <n v="1.1499999999999999"/>
    <n v="0.39877104377104378"/>
    <n v="0"/>
    <n v="7.5012289562289549"/>
    <n v="3.7506144781144775"/>
    <x v="105"/>
    <x v="108"/>
    <x v="23"/>
    <d v="2025-05-06T00:00:00"/>
    <x v="5"/>
    <x v="0"/>
    <x v="6"/>
    <s v="ENTREGUE"/>
    <d v="2025-04-02T00:00:00"/>
    <x v="0"/>
    <m/>
    <n v="0"/>
    <n v="0"/>
    <n v="0"/>
    <n v="0"/>
    <n v="0"/>
  </r>
  <r>
    <x v="0"/>
    <s v="BV-"/>
    <s v="Pedido 1203"/>
    <d v="2025-03-16T00:00:00"/>
    <x v="0"/>
    <s v="-"/>
    <s v="-"/>
    <n v="1"/>
    <s v="CPF 1169"/>
    <s v="Nome 1169"/>
    <s v="Tel 1169"/>
    <s v="Cep 1169"/>
    <s v="Rua 1169"/>
    <s v="Comp 1169"/>
    <s v="Ventilador Umidificador Preto"/>
    <s v="HF-SI0F-XC7S"/>
    <d v="2025-04-17T00:00:00"/>
    <n v="44.9"/>
    <n v="44.9"/>
    <n v="6.2860000000000005"/>
    <n v="38.61"/>
    <n v="0"/>
    <n v="0"/>
    <n v="0"/>
    <n v="0"/>
    <n v="38.61"/>
    <n v="19.305"/>
    <x v="109"/>
    <x v="112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04"/>
    <d v="2025-03-16T00:00:00"/>
    <x v="0"/>
    <s v="-"/>
    <s v="-"/>
    <n v="1"/>
    <s v="CPF 1169"/>
    <s v="Nome 1169"/>
    <s v="Tel 1169"/>
    <s v="Cep 1169"/>
    <s v="Rua 1169"/>
    <s v="Comp 1169"/>
    <s v="Ventilador Umidificador Preto"/>
    <s v="HF-SI0F-XC7S"/>
    <d v="2025-04-17T00:00:00"/>
    <n v="44.9"/>
    <n v="44.9"/>
    <n v="6.2860000000000005"/>
    <n v="38.61"/>
    <n v="29.98"/>
    <n v="0"/>
    <n v="0"/>
    <n v="0"/>
    <n v="8.629999999999999"/>
    <n v="4.3149999999999995"/>
    <x v="109"/>
    <x v="112"/>
    <x v="23"/>
    <d v="2025-05-06T00:00:00"/>
    <x v="5"/>
    <x v="0"/>
    <x v="0"/>
    <s v="-"/>
    <s v="-"/>
    <x v="0"/>
    <m/>
    <n v="0"/>
    <n v="0"/>
    <n v="0"/>
    <n v="0"/>
    <n v="0"/>
  </r>
  <r>
    <x v="0"/>
    <s v="BV45734"/>
    <s v="Pedido 1205"/>
    <d v="2025-03-16T00:00:00"/>
    <x v="106"/>
    <s v="PedidoF1167"/>
    <s v="CódRastreio1165"/>
    <n v="1"/>
    <s v="CPF 1171"/>
    <s v="Nome 1171"/>
    <s v="Tel 1171"/>
    <s v="Cep 1171"/>
    <s v="Rua 1171"/>
    <s v="Comp 1171"/>
    <s v="Suporte de Celular Branco"/>
    <s v="16-4EDB-WMZF"/>
    <d v="2025-04-04T00:00:00"/>
    <n v="19.989999999999998"/>
    <n v="19.989999999999998"/>
    <n v="2.9984999999999995"/>
    <n v="16.989999999999998"/>
    <n v="7.94"/>
    <n v="1.1499999999999999"/>
    <n v="0.39877104377104378"/>
    <n v="0"/>
    <n v="7.5012289562289549"/>
    <n v="3.7506144781144775"/>
    <x v="106"/>
    <x v="109"/>
    <x v="22"/>
    <d v="2025-04-16T00:00:00"/>
    <x v="5"/>
    <x v="0"/>
    <x v="6"/>
    <s v="ENTREGUE"/>
    <d v="2025-03-24T00:00:00"/>
    <x v="0"/>
    <m/>
    <n v="0"/>
    <n v="0"/>
    <n v="0"/>
    <n v="0"/>
    <n v="0"/>
  </r>
  <r>
    <x v="0"/>
    <s v="BV-"/>
    <s v="Pedido 1206"/>
    <d v="2025-03-16T00:00:00"/>
    <x v="0"/>
    <s v="-"/>
    <s v="-"/>
    <n v="1"/>
    <s v="CPF 1172"/>
    <s v="Nome 1172"/>
    <s v="Tel 1172"/>
    <s v="Cep 1172"/>
    <s v="Rua 1172"/>
    <s v="Comp 1172"/>
    <s v="Suporte de Celular Branco"/>
    <s v="16-4EDB-WMZF"/>
    <d v="2025-04-10T00:00:00"/>
    <n v="19.989999999999998"/>
    <n v="19.989999999999998"/>
    <n v="2.9984999999999995"/>
    <n v="16.989999999999998"/>
    <n v="0"/>
    <n v="0"/>
    <n v="0"/>
    <n v="0"/>
    <n v="16.989999999999998"/>
    <n v="8.4949999999999992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07"/>
    <d v="2025-03-16T00:00:00"/>
    <x v="0"/>
    <s v="-"/>
    <s v="-"/>
    <n v="1"/>
    <s v="CPF 1169"/>
    <s v="Nome 1169"/>
    <s v="Tel 1169"/>
    <s v="Cep 1169"/>
    <s v="Rua 1169"/>
    <s v="Comp 1169"/>
    <s v="Ventilador Umidificador Preto"/>
    <s v="HF-SI0F-XC7S"/>
    <d v="2025-04-17T00:00:00"/>
    <n v="44.9"/>
    <n v="44.9"/>
    <n v="6.2860000000000005"/>
    <n v="38.61"/>
    <n v="0"/>
    <n v="0"/>
    <n v="0"/>
    <n v="0"/>
    <n v="38.61"/>
    <n v="19.305"/>
    <x v="109"/>
    <x v="112"/>
    <x v="23"/>
    <d v="2025-05-06T00:00:00"/>
    <x v="5"/>
    <x v="0"/>
    <x v="0"/>
    <s v="-"/>
    <s v="-"/>
    <x v="0"/>
    <m/>
    <n v="0"/>
    <n v="0"/>
    <n v="0"/>
    <n v="0"/>
    <n v="0"/>
  </r>
  <r>
    <x v="0"/>
    <s v="BV45732"/>
    <s v="Pedido 1208"/>
    <d v="2025-03-16T00:00:00"/>
    <x v="107"/>
    <s v="PedidoF1168"/>
    <s v="CódRastreio1166"/>
    <n v="1"/>
    <s v="CPF 1174"/>
    <s v="Nome 1174"/>
    <s v="Tel 1174"/>
    <s v="Cep 1174"/>
    <s v="Rua 1174"/>
    <s v="Comp 1174"/>
    <s v="Ventilador Rosa"/>
    <s v="IF-G2ZQ-79FO"/>
    <d v="2025-04-04T00:00:00"/>
    <n v="59.9"/>
    <n v="59.9"/>
    <n v="7.7869999999999999"/>
    <n v="52.11"/>
    <n v="13.98"/>
    <n v="0.82"/>
    <n v="0.39877104377104378"/>
    <n v="0"/>
    <n v="36.911228956228953"/>
    <n v="18.455614478114477"/>
    <x v="106"/>
    <x v="109"/>
    <x v="22"/>
    <d v="2025-04-16T00:00:00"/>
    <x v="5"/>
    <x v="0"/>
    <x v="6"/>
    <s v="ENTREGUE"/>
    <d v="2025-04-07T00:00:00"/>
    <x v="0"/>
    <m/>
    <n v="0"/>
    <n v="0"/>
    <n v="0"/>
    <n v="0"/>
    <n v="0"/>
  </r>
  <r>
    <x v="0"/>
    <s v="BV45732"/>
    <s v="Pedido 1209"/>
    <d v="2025-03-16T00:00:00"/>
    <x v="107"/>
    <s v="PedidoF1169"/>
    <s v="CódRastreio1167"/>
    <n v="1"/>
    <s v="CPF 1175"/>
    <s v="Nome 1175"/>
    <s v="Tel 1175"/>
    <s v="Cep 1175"/>
    <s v="Rua 1175"/>
    <s v="Comp 1175"/>
    <s v="Ventilador Azul"/>
    <s v="U8-2VWS-OB6M"/>
    <d v="2025-04-04T00:00:00"/>
    <n v="50.45"/>
    <n v="50.45"/>
    <n v="6.5585000000000004"/>
    <n v="43.89"/>
    <n v="13.7"/>
    <n v="0.82"/>
    <n v="0.39877104377104378"/>
    <n v="0"/>
    <n v="28.971228956228956"/>
    <n v="14.485614478114478"/>
    <x v="106"/>
    <x v="109"/>
    <x v="22"/>
    <d v="2025-04-16T00:00:00"/>
    <x v="5"/>
    <x v="0"/>
    <x v="6"/>
    <s v="ENTREGUE"/>
    <d v="2025-04-04T00:00:00"/>
    <x v="0"/>
    <m/>
    <n v="0"/>
    <n v="0"/>
    <n v="0"/>
    <n v="0"/>
    <n v="0"/>
  </r>
  <r>
    <x v="0"/>
    <s v="BV-"/>
    <s v="Pedido 1210"/>
    <d v="2025-03-16T00:00:00"/>
    <x v="0"/>
    <s v="-"/>
    <s v="-"/>
    <n v="1"/>
    <s v="CPF 1176"/>
    <s v="Nome 1176"/>
    <s v="Tel 1176"/>
    <s v="Cep 1176"/>
    <s v="Rua 1176"/>
    <s v="Comp 1176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45732"/>
    <s v="Pedido 1211"/>
    <d v="2025-03-16T00:00:00"/>
    <x v="107"/>
    <s v="PedidoF1170"/>
    <s v="CódRastreio1168"/>
    <n v="1"/>
    <s v="CPF 1177"/>
    <s v="Nome 1177"/>
    <s v="Tel 1177"/>
    <s v="Cep 1177"/>
    <s v="Rua 1177"/>
    <s v="Comp 1177"/>
    <s v="Lampada Led"/>
    <s v="RB-W251-UXV2"/>
    <d v="2025-04-04T00:00:00"/>
    <n v="26.99"/>
    <n v="26.99"/>
    <n v="3.5086999999999997"/>
    <n v="23.48"/>
    <n v="10.199999999999999"/>
    <n v="0.82"/>
    <n v="0.39877104377104378"/>
    <n v="0"/>
    <n v="12.061228956228957"/>
    <n v="6.0306144781144786"/>
    <x v="106"/>
    <x v="109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2"/>
    <s v="Pedido 1212"/>
    <d v="2025-03-14T00:00:00"/>
    <x v="107"/>
    <s v="PedidoF1171"/>
    <s v="CódRastreio1169"/>
    <n v="1"/>
    <s v="CPF 1178"/>
    <s v="Nome 1178"/>
    <s v="Tel 1178"/>
    <s v="Cep 1178"/>
    <s v="Rua 1178"/>
    <s v="Comp 1178"/>
    <s v="Brinquedo Bola Giratória voadora"/>
    <s v="Z0-F6CI-18CL"/>
    <d v="2025-04-04T00:00:00"/>
    <n v="45.9"/>
    <n v="45.9"/>
    <n v="5.508"/>
    <n v="40.39"/>
    <n v="12.63"/>
    <n v="0.73"/>
    <n v="0.39877104377104378"/>
    <n v="0"/>
    <n v="26.631228956228956"/>
    <n v="13.315614478114478"/>
    <x v="106"/>
    <x v="109"/>
    <x v="22"/>
    <d v="2025-04-16T00:00:00"/>
    <x v="5"/>
    <x v="0"/>
    <x v="6"/>
    <s v="ENTREGUE"/>
    <d v="2025-04-03T00:00:00"/>
    <x v="0"/>
    <m/>
    <n v="0"/>
    <n v="0"/>
    <n v="0"/>
    <n v="0"/>
    <n v="0"/>
  </r>
  <r>
    <x v="2"/>
    <s v="MEI45732"/>
    <s v="Pedido 1213"/>
    <d v="2025-03-14T00:00:00"/>
    <x v="107"/>
    <s v="PedidoF1172"/>
    <s v="CódRastreio1170"/>
    <n v="1"/>
    <s v="CPF 1179"/>
    <s v="Nome 1179"/>
    <s v="Tel 1179"/>
    <s v="Cep 1179"/>
    <s v="Rua 1179"/>
    <s v="Comp 1179"/>
    <s v="Mini Liquidificador"/>
    <s v="A4-5W51-K3HF"/>
    <d v="2025-04-10T00:00:00"/>
    <n v="30.95"/>
    <n v="30.95"/>
    <n v="4.3330000000000002"/>
    <n v="26.62"/>
    <n v="16.489999999999998"/>
    <n v="0.73"/>
    <n v="0.39877104377104378"/>
    <n v="0"/>
    <n v="9.0012289562289567"/>
    <n v="4.5006144781144783"/>
    <x v="105"/>
    <x v="108"/>
    <x v="23"/>
    <d v="2025-05-06T00:00:00"/>
    <x v="5"/>
    <x v="0"/>
    <x v="6"/>
    <s v="ENTREGUE"/>
    <d v="2025-04-03T00:00:00"/>
    <x v="0"/>
    <m/>
    <n v="0"/>
    <n v="0"/>
    <n v="0"/>
    <n v="0"/>
    <n v="0"/>
  </r>
  <r>
    <x v="2"/>
    <s v="MEI45733"/>
    <s v="Pedido 1214"/>
    <d v="2025-03-14T00:00:00"/>
    <x v="105"/>
    <s v="PedidoF1173"/>
    <s v="CódRastreio1171"/>
    <n v="1"/>
    <s v="CPF 1180"/>
    <s v="Nome 1180"/>
    <s v="Tel 1180"/>
    <s v="Cep 1180"/>
    <s v="Rua 1180"/>
    <s v="Comp 1180"/>
    <s v="Máquina de cortar cabelo dragão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x v="106"/>
    <x v="109"/>
    <x v="22"/>
    <d v="2025-04-16T00:00:00"/>
    <x v="5"/>
    <x v="0"/>
    <x v="6"/>
    <s v="ENTREGUE"/>
    <d v="2025-04-02T00:00:00"/>
    <x v="0"/>
    <m/>
    <n v="0"/>
    <n v="0"/>
    <n v="0"/>
    <n v="0"/>
    <n v="0"/>
  </r>
  <r>
    <x v="2"/>
    <s v="MEI45732"/>
    <s v="Pedido 1215"/>
    <d v="2025-03-15T00:00:00"/>
    <x v="107"/>
    <s v="PedidoF1174"/>
    <s v="CódRastreio1172"/>
    <n v="1"/>
    <s v="CPF 1181"/>
    <s v="Nome 1181"/>
    <s v="Tel 1181"/>
    <s v="Cep 1181"/>
    <s v="Rua 1181"/>
    <s v="Comp 1181"/>
    <s v="Mini Liquidificador"/>
    <s v="A4-5W51-K3HF"/>
    <d v="2025-04-10T00:00:00"/>
    <n v="30.95"/>
    <n v="30.95"/>
    <n v="4.3330000000000002"/>
    <n v="26.62"/>
    <n v="16.489999999999998"/>
    <n v="0.73"/>
    <n v="0.39877104377104378"/>
    <n v="0"/>
    <n v="9.0012289562289567"/>
    <n v="4.5006144781144783"/>
    <x v="105"/>
    <x v="108"/>
    <x v="23"/>
    <d v="2025-05-06T00:00:00"/>
    <x v="5"/>
    <x v="0"/>
    <x v="6"/>
    <s v="ENTREGUE"/>
    <d v="2025-04-05T00:00:00"/>
    <x v="0"/>
    <m/>
    <n v="0"/>
    <n v="0"/>
    <n v="0"/>
    <n v="0"/>
    <n v="0"/>
  </r>
  <r>
    <x v="2"/>
    <s v="MEI45732"/>
    <s v="Pedido 1216"/>
    <d v="2025-03-14T00:00:00"/>
    <x v="107"/>
    <s v="PedidoF1175"/>
    <s v="CódRastreio1173"/>
    <n v="1"/>
    <s v="CPF 1182"/>
    <s v="Nome 1182"/>
    <s v="Tel 1182"/>
    <s v="Cep 1182"/>
    <s v="Rua 1182"/>
    <s v="Comp 1182"/>
    <s v="Maçarico Culinário Portátil"/>
    <s v="BG-DHRO-FAEE"/>
    <d v="2025-04-10T00:00:00"/>
    <n v="24.99"/>
    <n v="24.99"/>
    <n v="2.7488999999999999"/>
    <n v="22.24"/>
    <n v="11.49"/>
    <n v="0.73"/>
    <n v="0.39877104377104378"/>
    <n v="0"/>
    <n v="9.6212289562289541"/>
    <n v="4.8106144781144771"/>
    <x v="105"/>
    <x v="108"/>
    <x v="23"/>
    <d v="2025-05-06T00:00:00"/>
    <x v="5"/>
    <x v="0"/>
    <x v="6"/>
    <s v="ENTREGUE"/>
    <d v="2025-04-01T00:00:00"/>
    <x v="0"/>
    <m/>
    <n v="0"/>
    <n v="0"/>
    <n v="0"/>
    <n v="0"/>
    <n v="0"/>
  </r>
  <r>
    <x v="2"/>
    <s v="MEI45733"/>
    <s v="Pedido 1217"/>
    <d v="2025-03-15T00:00:00"/>
    <x v="105"/>
    <s v="PedidoF1176"/>
    <s v="CódRastreio1174"/>
    <n v="1"/>
    <s v="CPF 1183"/>
    <s v="Nome 1183"/>
    <s v="Tel 1183"/>
    <s v="Cep 1183"/>
    <s v="Rua 1183"/>
    <s v="Comp 1183"/>
    <s v="Mini Liquidificador"/>
    <s v="A4-5W51-K3HF"/>
    <d v="2025-04-04T00:00:00"/>
    <n v="30.95"/>
    <n v="30.95"/>
    <n v="4.3330000000000002"/>
    <n v="26.62"/>
    <n v="12.82"/>
    <n v="0.46"/>
    <n v="0.39877104377104378"/>
    <n v="0"/>
    <n v="12.941228956228956"/>
    <n v="6.4706144781144781"/>
    <x v="106"/>
    <x v="109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4"/>
    <s v="Pedido 1218"/>
    <d v="2025-03-15T00:00:00"/>
    <x v="106"/>
    <s v="PedidoF1177"/>
    <s v="CódRastreio1175"/>
    <n v="1"/>
    <s v="CPF 1184"/>
    <s v="Nome 1184"/>
    <s v="Tel 1184"/>
    <s v="Cep 1184"/>
    <s v="Rua 1184"/>
    <s v="Comp 1184"/>
    <s v="Bomba d'agua"/>
    <s v="U1-D95R-HYRT"/>
    <d v="2025-04-02T00:00:00"/>
    <n v="21"/>
    <n v="21"/>
    <n v="2.9400000000000004"/>
    <n v="18.059999999999999"/>
    <n v="13.65"/>
    <n v="0.42"/>
    <n v="0.39877104377104378"/>
    <n v="0"/>
    <n v="3.5912289562289548"/>
    <n v="1.7956144781144774"/>
    <x v="103"/>
    <x v="106"/>
    <x v="22"/>
    <d v="2025-04-16T00:00:00"/>
    <x v="5"/>
    <x v="0"/>
    <x v="6"/>
    <s v="ENTREGUE"/>
    <d v="2025-03-28T00:00:00"/>
    <x v="0"/>
    <m/>
    <n v="0"/>
    <n v="0"/>
    <n v="0"/>
    <n v="0"/>
    <n v="0"/>
  </r>
  <r>
    <x v="2"/>
    <s v="MEI45733"/>
    <s v="Pedido 1219"/>
    <d v="2025-03-15T00:00:00"/>
    <x v="105"/>
    <s v="PedidoF1178"/>
    <s v="CódRastreio1176"/>
    <n v="1"/>
    <s v="CPF 1185"/>
    <s v="Nome 1185"/>
    <s v="Tel 1185"/>
    <s v="Cep 1185"/>
    <s v="Rua 1185"/>
    <s v="Comp 1185"/>
    <s v="Máquina de cortar cabelo dragão"/>
    <s v="RX-DD1P-P5U2"/>
    <d v="2025-04-10T00:00:00"/>
    <n v="24.8"/>
    <n v="24.8"/>
    <n v="2.976"/>
    <n v="21.82"/>
    <n v="10.16"/>
    <n v="0.46"/>
    <n v="0.39877104377104378"/>
    <n v="0"/>
    <n v="10.801228956228956"/>
    <n v="5.4006144781144778"/>
    <x v="105"/>
    <x v="108"/>
    <x v="23"/>
    <d v="2025-05-06T00:00:00"/>
    <x v="5"/>
    <x v="0"/>
    <x v="6"/>
    <s v="ENTREGUE"/>
    <d v="2025-04-07T00:00:00"/>
    <x v="0"/>
    <m/>
    <n v="0"/>
    <n v="0"/>
    <n v="0"/>
    <n v="0"/>
    <n v="0"/>
  </r>
  <r>
    <x v="2"/>
    <s v="MEI45733"/>
    <s v="Pedido 1220"/>
    <d v="2025-03-15T00:00:00"/>
    <x v="105"/>
    <s v="PedidoF1179"/>
    <s v="CódRastreio1177"/>
    <n v="1"/>
    <s v="CPF 1186"/>
    <s v="Nome 1186"/>
    <s v="Tel 1186"/>
    <s v="Cep 1186"/>
    <s v="Rua 1186"/>
    <s v="Comp 1186"/>
    <s v="Maçarico Culinário Portátil"/>
    <s v="BG-DHRO-FAEE"/>
    <d v="2025-04-04T00:00:00"/>
    <n v="24.99"/>
    <n v="24.99"/>
    <n v="2.7488999999999999"/>
    <n v="22.24"/>
    <n v="10.16"/>
    <n v="0.46"/>
    <n v="0.39877104377104378"/>
    <n v="0"/>
    <n v="11.221228956228954"/>
    <n v="5.6106144781144769"/>
    <x v="106"/>
    <x v="109"/>
    <x v="22"/>
    <d v="2025-04-16T00:00:00"/>
    <x v="5"/>
    <x v="0"/>
    <x v="6"/>
    <s v="ENTREGUE"/>
    <d v="2025-03-31T00:00:00"/>
    <x v="0"/>
    <m/>
    <n v="0"/>
    <n v="0"/>
    <n v="0"/>
    <n v="0"/>
    <n v="0"/>
  </r>
  <r>
    <x v="2"/>
    <s v="MEI45733"/>
    <s v="Pedido 1221"/>
    <d v="2025-03-15T00:00:00"/>
    <x v="105"/>
    <s v="PedidoF1180"/>
    <s v="CódRastreio1178"/>
    <n v="1"/>
    <s v="CPF 1187"/>
    <s v="Nome 1187"/>
    <s v="Tel 1187"/>
    <s v="Cep 1187"/>
    <s v="Rua 1187"/>
    <s v="Comp 1187"/>
    <s v="Máquina de cortar cabelo dragão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x v="106"/>
    <x v="109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4"/>
    <s v="Pedido 1222"/>
    <d v="2025-03-15T00:00:00"/>
    <x v="106"/>
    <s v="PedidoF1181"/>
    <s v="CódRastreio1179"/>
    <n v="1"/>
    <s v="CPF 1188"/>
    <s v="Nome 1188"/>
    <s v="Tel 1188"/>
    <s v="Cep 1188"/>
    <s v="Rua 1188"/>
    <s v="Comp 1188"/>
    <s v="Máquina de cortar cabelo dragão"/>
    <s v="RX-DD1P-P5U2"/>
    <d v="2025-04-04T00:00:00"/>
    <n v="24.8"/>
    <n v="24.8"/>
    <n v="2.976"/>
    <n v="21.82"/>
    <n v="10.210000000000001"/>
    <n v="0.42"/>
    <n v="0.39877104377104378"/>
    <n v="0"/>
    <n v="10.791228956228956"/>
    <n v="5.3956144781144779"/>
    <x v="106"/>
    <x v="109"/>
    <x v="22"/>
    <d v="2025-04-16T00:00:00"/>
    <x v="5"/>
    <x v="0"/>
    <x v="6"/>
    <s v="ENTREGUE"/>
    <d v="2025-04-01T00:00:00"/>
    <x v="0"/>
    <m/>
    <n v="0"/>
    <n v="0"/>
    <n v="0"/>
    <n v="0"/>
    <n v="0"/>
  </r>
  <r>
    <x v="2"/>
    <s v="MEI45733"/>
    <s v="Pedido 1223"/>
    <d v="2025-03-15T00:00:00"/>
    <x v="105"/>
    <s v="PedidoF1182"/>
    <s v="CódRastreio1180"/>
    <n v="1"/>
    <s v="CPF 1189"/>
    <s v="Nome 1189"/>
    <s v="Tel 1189"/>
    <s v="Cep 1189"/>
    <s v="Rua 1189"/>
    <s v="Comp 1189"/>
    <s v="Bomba d'agua"/>
    <s v="U1-D95R-HYRT"/>
    <d v="2025-04-04T00:00:00"/>
    <n v="21"/>
    <n v="21"/>
    <n v="2.9400000000000004"/>
    <n v="18.059999999999999"/>
    <n v="13.78"/>
    <n v="0.46"/>
    <n v="0.39877104377104378"/>
    <n v="0"/>
    <n v="3.4212289562289548"/>
    <n v="1.7106144781144774"/>
    <x v="106"/>
    <x v="109"/>
    <x v="22"/>
    <d v="2025-04-16T00:00:00"/>
    <x v="5"/>
    <x v="0"/>
    <x v="6"/>
    <s v="ENTREGUE"/>
    <d v="2025-03-28T00:00:00"/>
    <x v="0"/>
    <m/>
    <n v="0"/>
    <n v="0"/>
    <n v="0"/>
    <n v="0"/>
    <n v="0"/>
  </r>
  <r>
    <x v="2"/>
    <s v="MEI45734"/>
    <s v="Pedido 1224"/>
    <d v="2025-03-15T00:00:00"/>
    <x v="106"/>
    <s v="PedidoF1183"/>
    <s v="CódRastreio1181"/>
    <n v="1"/>
    <s v="CPF 1190"/>
    <s v="Nome 1190"/>
    <s v="Tel 1190"/>
    <s v="Cep 1190"/>
    <s v="Rua 1190"/>
    <s v="Comp 1190"/>
    <s v="Maçarico Culinário Portátil"/>
    <s v="BG-DHRO-FAEE"/>
    <d v="2025-04-04T00:00:00"/>
    <n v="24.99"/>
    <n v="24.99"/>
    <n v="2.7488999999999999"/>
    <n v="22.24"/>
    <n v="15.82"/>
    <n v="0.42"/>
    <n v="0.39877104377104378"/>
    <n v="0"/>
    <n v="5.601228956228951"/>
    <n v="2.8006144781144755"/>
    <x v="106"/>
    <x v="109"/>
    <x v="22"/>
    <d v="2025-04-16T00:00:00"/>
    <x v="5"/>
    <x v="0"/>
    <x v="6"/>
    <s v="ENTREGUE"/>
    <d v="2025-04-09T00:00:00"/>
    <x v="0"/>
    <m/>
    <n v="0"/>
    <n v="0"/>
    <n v="0"/>
    <n v="0"/>
    <n v="0"/>
  </r>
  <r>
    <x v="2"/>
    <s v="MEI45733"/>
    <s v="Pedido 1225"/>
    <d v="2025-03-15T00:00:00"/>
    <x v="105"/>
    <s v="PedidoF1184"/>
    <s v="CódRastreio1182"/>
    <n v="1"/>
    <s v="CPF 1191"/>
    <s v="Nome 1191"/>
    <s v="Tel 1191"/>
    <s v="Cep 1191"/>
    <s v="Rua 1191"/>
    <s v="Comp 1191"/>
    <s v="Mini Liquidificador"/>
    <s v="A4-5W51-K3HF"/>
    <d v="2025-04-10T00:00:00"/>
    <n v="30.95"/>
    <n v="30.95"/>
    <n v="4.3330000000000002"/>
    <n v="26.62"/>
    <n v="12.82"/>
    <n v="0.46"/>
    <n v="0.39877104377104378"/>
    <n v="0"/>
    <n v="12.941228956228956"/>
    <n v="6.4706144781144781"/>
    <x v="105"/>
    <x v="108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3"/>
    <s v="Pedido 1226"/>
    <d v="2025-03-15T00:00:00"/>
    <x v="105"/>
    <s v="PedidoF1185"/>
    <s v="CódRastreio1183"/>
    <n v="1"/>
    <s v="CPF 1192"/>
    <s v="Nome 1192"/>
    <s v="Tel 1192"/>
    <s v="Cep 1192"/>
    <s v="Rua 1192"/>
    <s v="Comp 1192"/>
    <s v="Bomba d'agua"/>
    <s v="U1-D95R-HYRT"/>
    <d v="2025-04-02T00:00:00"/>
    <n v="21"/>
    <n v="21"/>
    <n v="2.9400000000000004"/>
    <n v="18.059999999999999"/>
    <n v="13.78"/>
    <n v="0.46"/>
    <n v="0.39877104377104378"/>
    <n v="0"/>
    <n v="3.4212289562289548"/>
    <n v="1.7106144781144774"/>
    <x v="103"/>
    <x v="106"/>
    <x v="22"/>
    <d v="2025-04-16T00:00:00"/>
    <x v="5"/>
    <x v="0"/>
    <x v="6"/>
    <s v="ENTREGUE"/>
    <d v="2025-03-27T00:00:00"/>
    <x v="0"/>
    <m/>
    <n v="0"/>
    <n v="0"/>
    <n v="0"/>
    <n v="0"/>
    <n v="0"/>
  </r>
  <r>
    <x v="2"/>
    <s v="MEI45733"/>
    <s v="Pedido 1227"/>
    <d v="2025-03-16T00:00:00"/>
    <x v="105"/>
    <s v="PedidoF1186"/>
    <s v="CódRastreio1184"/>
    <n v="1"/>
    <s v="CPF 1193"/>
    <s v="Nome 1193"/>
    <s v="Tel 1193"/>
    <s v="Cep 1193"/>
    <s v="Rua 1193"/>
    <s v="Comp 1193"/>
    <s v="Mini Liquidificador"/>
    <s v="A4-5W51-K3HF"/>
    <d v="2025-04-17T00:00:00"/>
    <n v="30.95"/>
    <n v="30.95"/>
    <n v="4.3330000000000002"/>
    <n v="26.62"/>
    <n v="0"/>
    <n v="0.46"/>
    <n v="0.39877104377104378"/>
    <n v="0"/>
    <n v="25.761228956228958"/>
    <n v="12.880614478114479"/>
    <x v="109"/>
    <x v="112"/>
    <x v="23"/>
    <d v="2025-05-06T00:00:00"/>
    <x v="5"/>
    <x v="0"/>
    <x v="6"/>
    <s v="ENTREGUE"/>
    <d v="2025-04-28T00:00:00"/>
    <x v="0"/>
    <m/>
    <n v="0"/>
    <n v="0"/>
    <n v="0"/>
    <n v="0"/>
    <n v="0"/>
  </r>
  <r>
    <x v="2"/>
    <s v="MEI45733"/>
    <s v="Pedido 1228"/>
    <d v="2025-03-16T00:00:00"/>
    <x v="105"/>
    <s v="PedidoF1187"/>
    <s v="CódRastreio1185"/>
    <n v="1"/>
    <s v="CPF 1194"/>
    <s v="Nome 1194"/>
    <s v="Tel 1194"/>
    <s v="Cep 1194"/>
    <s v="Rua 1194"/>
    <s v="Comp 1194"/>
    <s v="Brinquedo Bola Giratória voadora"/>
    <s v="Z0-F6CI-18CL"/>
    <d v="2025-04-10T00:00:00"/>
    <n v="44.95"/>
    <n v="44.95"/>
    <n v="5.3940000000000001"/>
    <n v="39.56"/>
    <n v="10.16"/>
    <n v="0.46"/>
    <n v="0.39877104377104378"/>
    <n v="0"/>
    <n v="28.541228956228956"/>
    <n v="14.270614478114478"/>
    <x v="105"/>
    <x v="108"/>
    <x v="23"/>
    <d v="2025-05-06T00:00:00"/>
    <x v="5"/>
    <x v="0"/>
    <x v="6"/>
    <s v="ENTREGUE"/>
    <d v="2025-04-04T00:00:00"/>
    <x v="0"/>
    <m/>
    <n v="0"/>
    <n v="0"/>
    <n v="0"/>
    <n v="0"/>
    <n v="0"/>
  </r>
  <r>
    <x v="2"/>
    <s v="MEI45734"/>
    <s v="Pedido 1229"/>
    <d v="2025-03-16T00:00:00"/>
    <x v="106"/>
    <s v="PedidoF1188"/>
    <s v="CódRastreio1186"/>
    <n v="1"/>
    <s v="CPF 1195"/>
    <s v="Nome 1195"/>
    <s v="Tel 1195"/>
    <s v="Cep 1195"/>
    <s v="Rua 1195"/>
    <s v="Comp 1195"/>
    <s v="Máquina de cortar cabelo dragão"/>
    <s v="RX-DD1P-P5U2"/>
    <d v="2025-04-10T00:00:00"/>
    <n v="24.8"/>
    <n v="24.8"/>
    <n v="2.976"/>
    <n v="21.82"/>
    <n v="10.210000000000001"/>
    <n v="0.42"/>
    <n v="0.39877104377104378"/>
    <n v="0"/>
    <n v="10.791228956228956"/>
    <n v="5.3956144781144779"/>
    <x v="105"/>
    <x v="108"/>
    <x v="23"/>
    <d v="2025-05-06T00:00:00"/>
    <x v="5"/>
    <x v="0"/>
    <x v="6"/>
    <s v="ENTREGUE"/>
    <d v="2025-04-02T00:00:00"/>
    <x v="0"/>
    <m/>
    <n v="0"/>
    <n v="0"/>
    <n v="0"/>
    <n v="0"/>
    <n v="0"/>
  </r>
  <r>
    <x v="2"/>
    <s v="MEI45733"/>
    <s v="Pedido 1230"/>
    <d v="2025-03-16T00:00:00"/>
    <x v="105"/>
    <s v="PedidoF1189"/>
    <s v="CódRastreio1187"/>
    <n v="1"/>
    <s v="CPF 1196"/>
    <s v="Nome 1196"/>
    <s v="Tel 1196"/>
    <s v="Cep 1196"/>
    <s v="Rua 1196"/>
    <s v="Comp 1196"/>
    <s v="Maçarico Culinário Portátil"/>
    <s v="BG-DHRO-FAEE"/>
    <d v="2025-04-04T00:00:00"/>
    <n v="24.99"/>
    <n v="24.99"/>
    <n v="2.7488999999999999"/>
    <n v="22.24"/>
    <n v="10.16"/>
    <n v="0.46"/>
    <n v="0.39877104377104378"/>
    <n v="0"/>
    <n v="11.221228956228954"/>
    <n v="5.6106144781144769"/>
    <x v="106"/>
    <x v="109"/>
    <x v="22"/>
    <d v="2025-04-16T00:00:00"/>
    <x v="5"/>
    <x v="0"/>
    <x v="6"/>
    <s v="ENTREGUE"/>
    <d v="2025-04-08T00:00:00"/>
    <x v="0"/>
    <m/>
    <n v="0"/>
    <n v="0"/>
    <n v="0"/>
    <n v="0"/>
    <n v="0"/>
  </r>
  <r>
    <x v="2"/>
    <s v="MEI45733"/>
    <s v="Pedido 1231"/>
    <d v="2025-03-16T00:00:00"/>
    <x v="105"/>
    <s v="PedidoF1190"/>
    <s v="CódRastreio1188"/>
    <n v="1"/>
    <s v="CPF 1197"/>
    <s v="Nome 1197"/>
    <s v="Tel 1197"/>
    <s v="Cep 1197"/>
    <s v="Rua 1197"/>
    <s v="Comp 1197"/>
    <s v="Ventilador Preto"/>
    <s v="WU-SS4J-LFOH"/>
    <d v="2025-04-10T00:00:00"/>
    <n v="65.599999999999994"/>
    <n v="65.599999999999994"/>
    <n v="8.5279999999999987"/>
    <n v="57.07"/>
    <n v="10.16"/>
    <n v="0.46"/>
    <n v="0.39877104377104378"/>
    <n v="0"/>
    <n v="46.051228956228954"/>
    <n v="23.025614478114477"/>
    <x v="105"/>
    <x v="108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3"/>
    <s v="Pedido 1232"/>
    <d v="2025-03-16T00:00:00"/>
    <x v="105"/>
    <s v="PedidoF1191"/>
    <s v="CódRastreio1189"/>
    <n v="1"/>
    <s v="CPF 1198"/>
    <s v="Nome 1198"/>
    <s v="Tel 1198"/>
    <s v="Cep 1198"/>
    <s v="Rua 1198"/>
    <s v="Comp 1198"/>
    <s v="Brinquedo Bola Giratória voadora"/>
    <s v="Z0-F6CI-18CL"/>
    <d v="2025-04-04T00:00:00"/>
    <n v="44.95"/>
    <n v="44.95"/>
    <n v="5.3940000000000001"/>
    <n v="39.56"/>
    <n v="10.16"/>
    <n v="0.46"/>
    <n v="0.39877104377104378"/>
    <n v="0"/>
    <n v="28.541228956228956"/>
    <n v="14.270614478114478"/>
    <x v="106"/>
    <x v="109"/>
    <x v="22"/>
    <d v="2025-04-16T00:00:00"/>
    <x v="5"/>
    <x v="0"/>
    <x v="6"/>
    <s v="ENTREGUE"/>
    <d v="2025-04-02T00:00:00"/>
    <x v="0"/>
    <m/>
    <n v="0"/>
    <n v="0"/>
    <n v="0"/>
    <n v="0"/>
    <n v="0"/>
  </r>
  <r>
    <x v="1"/>
    <s v="GO45732"/>
    <s v="Pedido 1233"/>
    <d v="2025-03-16T00:00:00"/>
    <x v="107"/>
    <s v="PedidoF1192"/>
    <s v="CódRastreio1190"/>
    <n v="1"/>
    <s v="CPF 1199"/>
    <s v="Nome 1199"/>
    <s v="Tel 1199"/>
    <s v="Cep 1199"/>
    <s v="Rua 1199"/>
    <s v="Comp 1199"/>
    <s v="Cortador de Legumes"/>
    <s v="33-SVS5-1AWY"/>
    <d v="2025-04-10T00:00:00"/>
    <n v="67.599999999999994"/>
    <n v="67.599999999999994"/>
    <n v="10.139999999999999"/>
    <n v="57.46"/>
    <n v="23.92"/>
    <n v="0.28999999999999998"/>
    <n v="0.39877104377104378"/>
    <n v="0"/>
    <n v="32.851228956228951"/>
    <n v="32.851228956228951"/>
    <x v="105"/>
    <x v="108"/>
    <x v="23"/>
    <d v="2025-05-06T00:00:00"/>
    <x v="5"/>
    <x v="0"/>
    <x v="6"/>
    <s v="ENTREGUE"/>
    <d v="2025-04-05T00:00:00"/>
    <x v="0"/>
    <m/>
    <n v="0"/>
    <n v="0"/>
    <n v="0"/>
    <n v="0"/>
    <n v="0"/>
  </r>
  <r>
    <x v="0"/>
    <s v="BV45736"/>
    <s v="Pedido 1234"/>
    <d v="2025-03-16T00:00:00"/>
    <x v="108"/>
    <s v="PedidoF1193"/>
    <s v="CódRastreio1191"/>
    <n v="1"/>
    <s v="CPF 1200"/>
    <s v="Nome 1200"/>
    <s v="Tel 1200"/>
    <s v="Cep 1200"/>
    <s v="Rua 1200"/>
    <s v="Comp 1200"/>
    <s v="Ventilador Azul"/>
    <s v="U8-2VWS-OB6M"/>
    <d v="2025-04-04T00:00:00"/>
    <n v="50.45"/>
    <n v="50.45"/>
    <n v="6.5585000000000004"/>
    <n v="43.89"/>
    <n v="40"/>
    <n v="0.33"/>
    <n v="0.39877104377104378"/>
    <n v="0"/>
    <n v="3.1612289562289604"/>
    <n v="1.5806144781144802"/>
    <x v="106"/>
    <x v="109"/>
    <x v="22"/>
    <d v="2025-04-16T00:00:00"/>
    <x v="5"/>
    <x v="0"/>
    <x v="6"/>
    <s v="ENTREGUE"/>
    <d v="2025-04-10T00:00:00"/>
    <x v="0"/>
    <m/>
    <n v="0"/>
    <n v="0"/>
    <n v="0"/>
    <n v="0"/>
    <n v="0"/>
  </r>
  <r>
    <x v="0"/>
    <s v="BV45734"/>
    <s v="Pedido 1235"/>
    <d v="2025-03-16T00:00:00"/>
    <x v="106"/>
    <s v="PedidoF1194"/>
    <s v="CódRastreio1192"/>
    <n v="1"/>
    <s v="CPF 1201"/>
    <s v="Nome 1201"/>
    <s v="Tel 1201"/>
    <s v="Cep 1201"/>
    <s v="Rua 1201"/>
    <s v="Comp 1201"/>
    <s v="Lampada Led"/>
    <s v="RB-W251-UXV2"/>
    <d v="2025-04-04T00:00:00"/>
    <n v="26.99"/>
    <n v="26.99"/>
    <n v="3.5086999999999997"/>
    <n v="23.48"/>
    <n v="10.210000000000001"/>
    <n v="1.1499999999999999"/>
    <n v="0.39877104377104378"/>
    <n v="0"/>
    <n v="11.721228956228956"/>
    <n v="5.8606144781144778"/>
    <x v="106"/>
    <x v="109"/>
    <x v="22"/>
    <d v="2025-04-16T00:00:00"/>
    <x v="5"/>
    <x v="0"/>
    <x v="6"/>
    <s v="ENTREGUE"/>
    <d v="2025-03-31T00:00:00"/>
    <x v="0"/>
    <m/>
    <n v="0"/>
    <n v="0"/>
    <n v="0"/>
    <n v="0"/>
    <n v="0"/>
  </r>
  <r>
    <x v="0"/>
    <s v="BV-"/>
    <s v="Pedido 1236"/>
    <d v="2025-03-16T00:00:00"/>
    <x v="0"/>
    <s v="-"/>
    <s v="-"/>
    <n v="1"/>
    <s v="CPF 1202"/>
    <s v="Nome 1202"/>
    <s v="Tel 1202"/>
    <s v="Cep 1202"/>
    <s v="Rua 1202"/>
    <s v="Comp 1202"/>
    <s v="Ventilador Umidificador Preto"/>
    <s v="HF-SI0F-XC7S"/>
    <d v="2025-04-04T00:00:00"/>
    <n v="44.9"/>
    <n v="44.9"/>
    <n v="6.2860000000000005"/>
    <n v="38.61"/>
    <n v="0"/>
    <n v="0"/>
    <n v="0"/>
    <n v="0"/>
    <n v="38.61"/>
    <n v="19.305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0"/>
    <s v="BV-"/>
    <s v="Pedido 1237"/>
    <d v="2025-03-16T00:00:00"/>
    <x v="0"/>
    <s v="-"/>
    <s v="-"/>
    <n v="1"/>
    <s v="CPF 1203"/>
    <s v="Nome 1203"/>
    <s v="Tel 1203"/>
    <s v="Cep 1203"/>
    <s v="Rua 1203"/>
    <s v="Comp 1203"/>
    <s v="Ventilador Umidificador Preto"/>
    <s v="HF-SI0F-XC7S"/>
    <d v="2025-04-10T00:00:00"/>
    <n v="44.9"/>
    <n v="44.9"/>
    <n v="6.2860000000000005"/>
    <n v="38.61"/>
    <n v="0"/>
    <n v="0"/>
    <n v="0"/>
    <n v="0"/>
    <n v="38.61"/>
    <n v="19.305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38"/>
    <d v="2025-03-16T00:00:00"/>
    <x v="0"/>
    <s v="-"/>
    <s v="-"/>
    <n v="1"/>
    <s v="CPF 1204"/>
    <s v="Nome 1204"/>
    <s v="Tel 1204"/>
    <s v="Cep 1204"/>
    <s v="Rua 1204"/>
    <s v="Comp 1204"/>
    <s v="Ventilador Umidificador Preto"/>
    <s v="HF-SI0F-XC7S"/>
    <d v="2025-04-10T00:00:00"/>
    <n v="44.9"/>
    <n v="44.9"/>
    <n v="6.2860000000000005"/>
    <n v="38.61"/>
    <n v="0"/>
    <n v="0"/>
    <n v="0"/>
    <n v="0"/>
    <n v="38.61"/>
    <n v="19.305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39"/>
    <d v="2025-03-16T00:00:00"/>
    <x v="0"/>
    <s v="-"/>
    <s v="-"/>
    <n v="1"/>
    <s v="CPF 1205"/>
    <s v="Nome 1205"/>
    <s v="Tel 1205"/>
    <s v="Cep 1205"/>
    <s v="Rua 1205"/>
    <s v="Comp 1205"/>
    <s v="Ventilador Umidificador Preto"/>
    <s v="HF-SI0F-XC7S"/>
    <d v="2025-04-10T00:00:00"/>
    <n v="44.9"/>
    <n v="44.9"/>
    <n v="6.2860000000000005"/>
    <n v="38.61"/>
    <n v="0"/>
    <n v="0"/>
    <n v="0"/>
    <n v="0"/>
    <n v="38.61"/>
    <n v="19.305"/>
    <x v="105"/>
    <x v="108"/>
    <x v="23"/>
    <d v="2025-05-06T00:00:00"/>
    <x v="5"/>
    <x v="0"/>
    <x v="0"/>
    <s v="-"/>
    <s v="-"/>
    <x v="0"/>
    <m/>
    <n v="0"/>
    <n v="0"/>
    <n v="0"/>
    <n v="0"/>
    <n v="0"/>
  </r>
  <r>
    <x v="0"/>
    <s v="BV45736"/>
    <s v="Pedido 1240"/>
    <d v="2025-03-16T00:00:00"/>
    <x v="108"/>
    <s v="PedidoF1195"/>
    <s v="CódRastreio1193"/>
    <n v="1"/>
    <s v="CPF 1206"/>
    <s v="Nome 1206"/>
    <s v="Tel 1206"/>
    <s v="Cep 1206"/>
    <s v="Rua 1206"/>
    <s v="Comp 1206"/>
    <s v="Balança"/>
    <s v="P4-K63S-8KOM"/>
    <d v="2025-03-29T00:00:00"/>
    <n v="28.99"/>
    <n v="28.99"/>
    <n v="3.7686999999999999"/>
    <n v="25.22"/>
    <n v="14.8"/>
    <n v="0.33"/>
    <n v="0.39877104377104378"/>
    <n v="0"/>
    <n v="9.6912289562289544"/>
    <n v="4.8456144781144772"/>
    <x v="98"/>
    <x v="101"/>
    <x v="22"/>
    <d v="2025-04-16T00:00:00"/>
    <x v="5"/>
    <x v="0"/>
    <x v="6"/>
    <s v="ENTREGUE"/>
    <d v="2025-03-25T00:00:00"/>
    <x v="0"/>
    <m/>
    <n v="0"/>
    <n v="0"/>
    <n v="0"/>
    <n v="0"/>
    <n v="0"/>
  </r>
  <r>
    <x v="0"/>
    <s v="BV45734"/>
    <s v="Pedido 1241"/>
    <d v="2025-03-17T00:00:00"/>
    <x v="106"/>
    <s v="PedidoF1196"/>
    <s v="CódRastreio1194"/>
    <n v="1"/>
    <s v="CPF 1207"/>
    <s v="Nome 1207"/>
    <s v="Tel 1207"/>
    <s v="Cep 1207"/>
    <s v="Rua 1207"/>
    <s v="Comp 1207"/>
    <s v="Ventilador Umidificador Preto"/>
    <s v="HF-SI0F-XC7S"/>
    <d v="2025-04-10T00:00:00"/>
    <n v="44.9"/>
    <n v="44.9"/>
    <n v="6.2860000000000005"/>
    <n v="38.61"/>
    <n v="0"/>
    <n v="1.1499999999999999"/>
    <n v="0.39877104377104378"/>
    <n v="0"/>
    <n v="37.061228956228959"/>
    <n v="18.530614478114479"/>
    <x v="105"/>
    <x v="108"/>
    <x v="23"/>
    <d v="2025-05-06T00:00:00"/>
    <x v="5"/>
    <x v="0"/>
    <x v="6"/>
    <s v="ENTREGUE"/>
    <d v="2025-03-29T00:00:00"/>
    <x v="0"/>
    <m/>
    <n v="0"/>
    <n v="0"/>
    <n v="0"/>
    <n v="0"/>
    <n v="0"/>
  </r>
  <r>
    <x v="0"/>
    <s v="BV45734"/>
    <s v="Pedido 1242"/>
    <d v="2025-03-17T00:00:00"/>
    <x v="106"/>
    <s v="PedidoF1197"/>
    <s v="CódRastreio1195"/>
    <n v="1"/>
    <s v="CPF 1208"/>
    <s v="Nome 1208"/>
    <s v="Tel 1208"/>
    <s v="Cep 1208"/>
    <s v="Rua 1208"/>
    <s v="Comp 1208"/>
    <s v="Ventilador Umidificador Preto"/>
    <s v="HF-SI0F-XC7S"/>
    <d v="2025-04-10T00:00:00"/>
    <n v="44.9"/>
    <n v="44.9"/>
    <n v="6.2860000000000005"/>
    <n v="38.61"/>
    <n v="19.14"/>
    <n v="1.1499999999999999"/>
    <n v="0.39877104377104378"/>
    <n v="0"/>
    <n v="17.921228956228955"/>
    <n v="8.9606144781144774"/>
    <x v="105"/>
    <x v="108"/>
    <x v="23"/>
    <d v="2025-05-06T00:00:00"/>
    <x v="5"/>
    <x v="0"/>
    <x v="6"/>
    <s v="ENTREGUE"/>
    <d v="2025-03-31T00:00:00"/>
    <x v="0"/>
    <m/>
    <n v="0"/>
    <n v="0"/>
    <n v="0"/>
    <n v="0"/>
    <n v="0"/>
  </r>
  <r>
    <x v="0"/>
    <s v="BV45736"/>
    <s v="Pedido 1243"/>
    <d v="2025-03-17T00:00:00"/>
    <x v="108"/>
    <s v="PedidoF1198"/>
    <s v="CódRastreio1196"/>
    <n v="1"/>
    <s v="CPF 1209"/>
    <s v="Nome 1209"/>
    <s v="Tel 1209"/>
    <s v="Cep 1209"/>
    <s v="Rua 1209"/>
    <s v="Comp 1209"/>
    <s v="Balança"/>
    <s v="P4-K63S-8KOM"/>
    <d v="2025-04-04T00:00:00"/>
    <n v="28.99"/>
    <n v="28.99"/>
    <n v="3.7686999999999999"/>
    <n v="25.22"/>
    <n v="14.8"/>
    <n v="0.33"/>
    <n v="0.39877104377104378"/>
    <n v="0"/>
    <n v="9.6912289562289544"/>
    <n v="4.8456144781144772"/>
    <x v="106"/>
    <x v="109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-"/>
    <s v="Pedido 1244"/>
    <d v="2025-03-17T00:00:00"/>
    <x v="0"/>
    <s v="-"/>
    <s v="-"/>
    <n v="1"/>
    <s v="CPF 1210"/>
    <s v="Nome 1210"/>
    <s v="Tel 1210"/>
    <s v="Cep 1210"/>
    <s v="Rua 1210"/>
    <s v="Comp 1210"/>
    <s v="Suporte de Celular Branco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x v="110"/>
    <x v="113"/>
    <x v="23"/>
    <d v="2025-05-06T00:00:00"/>
    <x v="5"/>
    <x v="0"/>
    <x v="0"/>
    <s v="-"/>
    <s v="-"/>
    <x v="0"/>
    <m/>
    <n v="0"/>
    <n v="0"/>
    <n v="0"/>
    <n v="0"/>
    <n v="0"/>
  </r>
  <r>
    <x v="0"/>
    <s v="BV45736"/>
    <s v="Pedido 1245"/>
    <d v="2025-03-17T00:00:00"/>
    <x v="108"/>
    <s v="PedidoF1199"/>
    <s v="CódRastreio1197"/>
    <n v="1"/>
    <s v="CPF 1211"/>
    <s v="Nome 1211"/>
    <s v="Tel 1211"/>
    <s v="Cep 1211"/>
    <s v="Rua 1211"/>
    <s v="Comp 1211"/>
    <s v="Balança"/>
    <s v="P4-K63S-8KOM"/>
    <d v="2025-04-11T00:00:00"/>
    <n v="28.99"/>
    <n v="28.99"/>
    <n v="3.7686999999999999"/>
    <n v="25.22"/>
    <n v="14.8"/>
    <n v="0.33"/>
    <n v="0.39877104377104378"/>
    <n v="0"/>
    <n v="9.6912289562289544"/>
    <n v="4.8456144781144772"/>
    <x v="110"/>
    <x v="113"/>
    <x v="23"/>
    <d v="2025-05-06T00:00:00"/>
    <x v="5"/>
    <x v="0"/>
    <x v="6"/>
    <s v="ENTREGUE"/>
    <d v="2025-03-29T00:00:00"/>
    <x v="0"/>
    <m/>
    <n v="0"/>
    <n v="0"/>
    <n v="0"/>
    <n v="0"/>
    <n v="0"/>
  </r>
  <r>
    <x v="0"/>
    <s v="BV45736"/>
    <s v="Pedido 1246"/>
    <d v="2025-03-17T00:00:00"/>
    <x v="108"/>
    <s v="PedidoF1200"/>
    <s v="CódRastreio1198"/>
    <n v="1"/>
    <s v="CPF 1212"/>
    <s v="Nome 1212"/>
    <s v="Tel 1212"/>
    <s v="Cep 1212"/>
    <s v="Rua 1212"/>
    <s v="Comp 1212"/>
    <s v="Balança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x v="107"/>
    <x v="110"/>
    <x v="22"/>
    <d v="2025-04-16T00:00:00"/>
    <x v="5"/>
    <x v="0"/>
    <x v="6"/>
    <s v="ENTREGUE"/>
    <d v="2025-04-04T00:00:00"/>
    <x v="0"/>
    <m/>
    <n v="0"/>
    <n v="0"/>
    <n v="0"/>
    <n v="0"/>
    <n v="0"/>
  </r>
  <r>
    <x v="0"/>
    <s v="BV45734"/>
    <s v="Pedido 1247"/>
    <d v="2025-03-17T00:00:00"/>
    <x v="106"/>
    <s v="PedidoF1201"/>
    <s v="CódRastreio1199"/>
    <n v="1"/>
    <s v="CPF 1213"/>
    <s v="Nome 1213"/>
    <s v="Tel 1213"/>
    <s v="Cep 1213"/>
    <s v="Rua 1213"/>
    <s v="Comp 1213"/>
    <s v="Ventilador Umidificador Preto"/>
    <s v="HF-SI0F-XC7S"/>
    <d v="2025-04-05T00:00:00"/>
    <n v="44.9"/>
    <n v="44.9"/>
    <n v="6.2860000000000005"/>
    <n v="38.61"/>
    <n v="0"/>
    <n v="1.1499999999999999"/>
    <n v="0.39877104377104378"/>
    <n v="0"/>
    <n v="37.061228956228959"/>
    <n v="18.530614478114479"/>
    <x v="107"/>
    <x v="110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-"/>
    <s v="Pedido 1248"/>
    <d v="2025-03-17T00:00:00"/>
    <x v="0"/>
    <s v="-"/>
    <s v="-"/>
    <n v="1"/>
    <s v="CPF 1214"/>
    <s v="Nome 1214"/>
    <s v="Tel 1214"/>
    <s v="Cep 1214"/>
    <s v="Rua 1214"/>
    <s v="Comp 1214"/>
    <s v="Suporte de Celular Branco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x v="110"/>
    <x v="113"/>
    <x v="23"/>
    <d v="2025-05-06T00:00:00"/>
    <x v="5"/>
    <x v="0"/>
    <x v="0"/>
    <s v="-"/>
    <s v="-"/>
    <x v="0"/>
    <m/>
    <n v="0"/>
    <n v="0"/>
    <n v="0"/>
    <n v="0"/>
    <n v="0"/>
  </r>
  <r>
    <x v="0"/>
    <s v="BV45736"/>
    <s v="Pedido 1249"/>
    <d v="2025-03-17T00:00:00"/>
    <x v="108"/>
    <s v="PedidoF1202"/>
    <s v="CódRastreio1200"/>
    <n v="1"/>
    <s v="CPF 1215"/>
    <s v="Nome 1215"/>
    <s v="Tel 1215"/>
    <s v="Cep 1215"/>
    <s v="Rua 1215"/>
    <s v="Comp 1215"/>
    <s v="Balança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x v="107"/>
    <x v="110"/>
    <x v="22"/>
    <d v="2025-04-16T00:00:00"/>
    <x v="5"/>
    <x v="0"/>
    <x v="6"/>
    <s v="ENTREGUE"/>
    <d v="2025-03-31T00:00:00"/>
    <x v="0"/>
    <m/>
    <n v="0"/>
    <n v="0"/>
    <n v="0"/>
    <n v="0"/>
    <n v="0"/>
  </r>
  <r>
    <x v="0"/>
    <s v="BV-"/>
    <s v="Pedido 1250"/>
    <d v="2025-03-17T00:00:00"/>
    <x v="0"/>
    <s v="-"/>
    <s v="-"/>
    <n v="1"/>
    <s v="CPF 1216"/>
    <s v="Nome 1216"/>
    <s v="Tel 1216"/>
    <s v="Cep 1216"/>
    <s v="Rua 1216"/>
    <s v="Comp 1216"/>
    <s v="Suporte de Celular Branco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x v="110"/>
    <x v="113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51"/>
    <d v="2025-03-17T00:00:00"/>
    <x v="0"/>
    <s v="-"/>
    <s v="-"/>
    <n v="1"/>
    <s v="CPF 1217"/>
    <s v="Nome 1217"/>
    <s v="Tel 1217"/>
    <s v="Cep 1217"/>
    <s v="Rua 1217"/>
    <s v="Comp 1217"/>
    <s v="Suporte de Celular Branco"/>
    <s v="16-4EDB-WMZF"/>
    <d v="2025-04-05T00:00:00"/>
    <n v="19.989999999999998"/>
    <n v="19.989999999999998"/>
    <n v="2.9984999999999995"/>
    <n v="16.989999999999998"/>
    <n v="0"/>
    <n v="0"/>
    <n v="0"/>
    <n v="0"/>
    <n v="16.989999999999998"/>
    <n v="8.4949999999999992"/>
    <x v="107"/>
    <x v="110"/>
    <x v="22"/>
    <d v="2025-04-16T00:00:00"/>
    <x v="5"/>
    <x v="0"/>
    <x v="0"/>
    <s v="-"/>
    <s v="-"/>
    <x v="0"/>
    <m/>
    <n v="0"/>
    <n v="0"/>
    <n v="0"/>
    <n v="0"/>
    <n v="0"/>
  </r>
  <r>
    <x v="0"/>
    <s v="BV45736"/>
    <s v="Pedido 1252"/>
    <d v="2025-03-17T00:00:00"/>
    <x v="108"/>
    <s v="PedidoF1203"/>
    <s v="CódRastreio1201"/>
    <n v="1"/>
    <s v="CPF 1218"/>
    <s v="Nome 1218"/>
    <s v="Tel 1218"/>
    <s v="Cep 1218"/>
    <s v="Rua 1218"/>
    <s v="Comp 1218"/>
    <s v="Balança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x v="107"/>
    <x v="110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-"/>
    <s v="Pedido 1253"/>
    <d v="2025-03-17T00:00:00"/>
    <x v="0"/>
    <s v="-"/>
    <s v="-"/>
    <n v="1"/>
    <s v="CPF 1219"/>
    <s v="Nome 1219"/>
    <s v="Tel 1219"/>
    <s v="Cep 1219"/>
    <s v="Rua 1219"/>
    <s v="Comp 1219"/>
    <s v="Ventilador Umidificador Preto"/>
    <s v="HF-SI0F-XC7S"/>
    <d v="2025-04-11T00:00:00"/>
    <n v="44.9"/>
    <n v="44.9"/>
    <n v="6.2860000000000005"/>
    <n v="38.61"/>
    <n v="0"/>
    <n v="0"/>
    <n v="0"/>
    <n v="0"/>
    <n v="38.61"/>
    <n v="19.305"/>
    <x v="110"/>
    <x v="113"/>
    <x v="23"/>
    <d v="2025-05-06T00:00:00"/>
    <x v="5"/>
    <x v="0"/>
    <x v="0"/>
    <s v="-"/>
    <s v="-"/>
    <x v="0"/>
    <m/>
    <n v="0"/>
    <n v="0"/>
    <n v="0"/>
    <n v="0"/>
    <n v="0"/>
  </r>
  <r>
    <x v="0"/>
    <s v="BV-"/>
    <s v="Pedido 1254"/>
    <d v="2025-03-17T00:00:00"/>
    <x v="0"/>
    <s v="-"/>
    <s v="-"/>
    <n v="1"/>
    <s v="CPF 1220"/>
    <s v="Nome 1220"/>
    <s v="Tel 1220"/>
    <s v="Cep 1220"/>
    <s v="Rua 1220"/>
    <s v="Comp 1220"/>
    <s v="Ventilador Umidificador Preto"/>
    <s v="HF-SI0F-XC7S"/>
    <d v="2025-04-05T00:00:00"/>
    <n v="44.9"/>
    <n v="44.9"/>
    <n v="6.2860000000000005"/>
    <n v="38.61"/>
    <n v="0"/>
    <n v="0"/>
    <n v="0"/>
    <n v="0"/>
    <n v="38.61"/>
    <n v="19.305"/>
    <x v="107"/>
    <x v="110"/>
    <x v="22"/>
    <d v="2025-04-16T00:00:00"/>
    <x v="5"/>
    <x v="0"/>
    <x v="0"/>
    <s v="-"/>
    <s v="-"/>
    <x v="0"/>
    <m/>
    <n v="0"/>
    <n v="0"/>
    <n v="0"/>
    <n v="0"/>
    <n v="0"/>
  </r>
  <r>
    <x v="0"/>
    <s v="BV45734"/>
    <s v="Pedido 1255"/>
    <d v="2025-03-17T00:00:00"/>
    <x v="106"/>
    <s v="PedidoF1204"/>
    <s v="CódRastreio1202"/>
    <n v="1"/>
    <s v="CPF 1221"/>
    <s v="Nome 1221"/>
    <s v="Tel 1221"/>
    <s v="Cep 1221"/>
    <s v="Rua 1221"/>
    <s v="Comp 1221"/>
    <s v="Balança"/>
    <s v="P4-K63S-8KOM"/>
    <d v="2025-04-11T00:00:00"/>
    <n v="28.99"/>
    <n v="28.99"/>
    <n v="3.7686999999999999"/>
    <n v="25.22"/>
    <n v="15.99"/>
    <n v="1.1499999999999999"/>
    <n v="0.39877104377104378"/>
    <n v="0"/>
    <n v="7.6812289562289529"/>
    <n v="3.8406144781144764"/>
    <x v="110"/>
    <x v="113"/>
    <x v="23"/>
    <d v="2025-05-06T00:00:00"/>
    <x v="5"/>
    <x v="0"/>
    <x v="6"/>
    <s v="ENTREGUE"/>
    <d v="2025-04-02T00:00:00"/>
    <x v="0"/>
    <m/>
    <n v="0"/>
    <n v="0"/>
    <n v="0"/>
    <n v="0"/>
    <n v="0"/>
  </r>
  <r>
    <x v="0"/>
    <s v="BV45736"/>
    <s v="Pedido 1256"/>
    <d v="2025-03-17T00:00:00"/>
    <x v="108"/>
    <s v="PedidoF1205"/>
    <s v="CódRastreio1203"/>
    <n v="1"/>
    <s v="CPF 1222"/>
    <s v="Nome 1222"/>
    <s v="Tel 1222"/>
    <s v="Cep 1222"/>
    <s v="Rua 1222"/>
    <s v="Comp 1222"/>
    <s v="Balança"/>
    <s v="P4-K63S-8KOM"/>
    <d v="2025-04-03T00:00:00"/>
    <n v="28.99"/>
    <n v="28.99"/>
    <n v="3.7686999999999999"/>
    <n v="25.22"/>
    <n v="14.8"/>
    <n v="0.33"/>
    <n v="0.39877104377104378"/>
    <n v="0"/>
    <n v="9.6912289562289544"/>
    <n v="4.8456144781144772"/>
    <x v="104"/>
    <x v="107"/>
    <x v="22"/>
    <d v="2025-04-16T00:00:00"/>
    <x v="5"/>
    <x v="0"/>
    <x v="6"/>
    <s v="ENTREGUE"/>
    <d v="2025-03-31T00:00:00"/>
    <x v="0"/>
    <m/>
    <n v="0"/>
    <n v="0"/>
    <n v="0"/>
    <n v="0"/>
    <n v="0"/>
  </r>
  <r>
    <x v="0"/>
    <s v="BV45736"/>
    <s v="Pedido 1257"/>
    <d v="2025-03-17T00:00:00"/>
    <x v="108"/>
    <s v="PedidoF1206"/>
    <s v="CódRastreio1204"/>
    <n v="1"/>
    <s v="CPF 1223"/>
    <s v="Nome 1223"/>
    <s v="Tel 1223"/>
    <s v="Cep 1223"/>
    <s v="Rua 1223"/>
    <s v="Comp 1223"/>
    <s v="Balança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x v="107"/>
    <x v="110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-"/>
    <s v="Pedido 1258"/>
    <d v="2025-03-17T00:00:00"/>
    <x v="0"/>
    <s v="-"/>
    <s v="-"/>
    <n v="1"/>
    <s v="CPF 1224"/>
    <s v="Nome 1224"/>
    <s v="Tel 1224"/>
    <s v="Cep 1224"/>
    <s v="Rua 1224"/>
    <s v="Comp 1224"/>
    <s v="Suporte de Celular Branco"/>
    <s v="16-4EDB-WMZF"/>
    <d v="2025-04-05T00:00:00"/>
    <n v="19.989999999999998"/>
    <n v="19.989999999999998"/>
    <n v="2.9984999999999995"/>
    <n v="16.989999999999998"/>
    <n v="0"/>
    <n v="0"/>
    <n v="0"/>
    <n v="0"/>
    <n v="16.989999999999998"/>
    <n v="8.4949999999999992"/>
    <x v="107"/>
    <x v="110"/>
    <x v="22"/>
    <d v="2025-04-16T00:00:00"/>
    <x v="5"/>
    <x v="0"/>
    <x v="0"/>
    <s v="-"/>
    <s v="-"/>
    <x v="0"/>
    <m/>
    <n v="0"/>
    <n v="0"/>
    <n v="0"/>
    <n v="0"/>
    <n v="0"/>
  </r>
  <r>
    <x v="0"/>
    <s v="BV-"/>
    <s v="Pedido 1259"/>
    <d v="2025-03-17T00:00:00"/>
    <x v="0"/>
    <s v="-"/>
    <s v="-"/>
    <n v="1"/>
    <s v="CPF 1225"/>
    <s v="Nome 1225"/>
    <s v="Tel 1225"/>
    <s v="Cep 1225"/>
    <s v="Rua 1225"/>
    <s v="Comp 1225"/>
    <s v="Suporte de Celular Branco"/>
    <s v="16-4EDB-WMZF"/>
    <d v="2025-04-05T00:00:00"/>
    <n v="19.989999999999998"/>
    <n v="19.989999999999998"/>
    <n v="2.9984999999999995"/>
    <n v="16.989999999999998"/>
    <n v="0"/>
    <n v="0"/>
    <n v="0"/>
    <n v="0"/>
    <n v="16.989999999999998"/>
    <n v="8.4949999999999992"/>
    <x v="107"/>
    <x v="110"/>
    <x v="22"/>
    <d v="2025-04-16T00:00:00"/>
    <x v="5"/>
    <x v="0"/>
    <x v="0"/>
    <s v="-"/>
    <s v="-"/>
    <x v="0"/>
    <m/>
    <n v="0"/>
    <n v="0"/>
    <n v="0"/>
    <n v="0"/>
    <n v="0"/>
  </r>
  <r>
    <x v="0"/>
    <s v="BV-"/>
    <s v="Pedido 1260"/>
    <d v="2025-03-17T00:00:00"/>
    <x v="0"/>
    <s v="-"/>
    <s v="-"/>
    <n v="1"/>
    <s v="CPF 1226"/>
    <s v="Nome 1226"/>
    <s v="Tel 1226"/>
    <s v="Cep 1226"/>
    <s v="Rua 1226"/>
    <s v="Comp 1226"/>
    <s v="Suporte de Celular Branco"/>
    <s v="16-4EDB-WMZF"/>
    <d v="2025-04-11T00:00:00"/>
    <n v="19.989999999999998"/>
    <n v="19.989999999999998"/>
    <n v="2.9984999999999995"/>
    <n v="16.989999999999998"/>
    <n v="0"/>
    <n v="0"/>
    <n v="0"/>
    <n v="0"/>
    <n v="16.989999999999998"/>
    <n v="8.4949999999999992"/>
    <x v="110"/>
    <x v="113"/>
    <x v="23"/>
    <d v="2025-05-06T00:00:00"/>
    <x v="5"/>
    <x v="0"/>
    <x v="0"/>
    <s v="-"/>
    <s v="-"/>
    <x v="0"/>
    <m/>
    <n v="0"/>
    <n v="0"/>
    <n v="0"/>
    <n v="0"/>
    <n v="0"/>
  </r>
  <r>
    <x v="0"/>
    <s v="BV45734"/>
    <s v="Pedido 1261"/>
    <d v="2025-03-17T00:00:00"/>
    <x v="106"/>
    <s v="PedidoF1207"/>
    <s v="CódRastreio1205"/>
    <n v="1"/>
    <s v="CPF 1227"/>
    <s v="Nome 1227"/>
    <s v="Tel 1227"/>
    <s v="Cep 1227"/>
    <s v="Rua 1227"/>
    <s v="Comp 1227"/>
    <s v="Ventilador Azul"/>
    <s v="U8-2VWS-OB6M"/>
    <d v="2025-04-11T00:00:00"/>
    <n v="50.45"/>
    <n v="50.45"/>
    <n v="6.5585000000000004"/>
    <n v="43.89"/>
    <n v="0"/>
    <n v="1.1499999999999999"/>
    <n v="0.39877104377104378"/>
    <n v="0"/>
    <n v="42.34122895622896"/>
    <n v="21.17061447811448"/>
    <x v="110"/>
    <x v="113"/>
    <x v="23"/>
    <d v="2025-05-06T00:00:00"/>
    <x v="5"/>
    <x v="0"/>
    <x v="6"/>
    <s v="ENTREGUE"/>
    <d v="2025-04-22T00:00:00"/>
    <x v="0"/>
    <m/>
    <n v="0"/>
    <n v="0"/>
    <n v="0"/>
    <n v="0"/>
    <n v="0"/>
  </r>
  <r>
    <x v="0"/>
    <s v="BV45734"/>
    <s v="Pedido 1262"/>
    <d v="2025-03-17T00:00:00"/>
    <x v="106"/>
    <s v="PedidoF1208"/>
    <s v="CódRastreio1206"/>
    <n v="1"/>
    <s v="CPF 1228"/>
    <s v="Nome 1228"/>
    <s v="Tel 1228"/>
    <s v="Cep 1228"/>
    <s v="Rua 1228"/>
    <s v="Comp 1228"/>
    <s v="Lampada Led"/>
    <s v="RB-W251-UXV2"/>
    <d v="2025-04-05T00:00:00"/>
    <n v="26.99"/>
    <n v="26.99"/>
    <n v="3.5086999999999997"/>
    <n v="23.48"/>
    <n v="10.210000000000001"/>
    <n v="1.1499999999999999"/>
    <n v="0.39877104377104378"/>
    <n v="0"/>
    <n v="11.721228956228956"/>
    <n v="5.8606144781144778"/>
    <x v="107"/>
    <x v="110"/>
    <x v="22"/>
    <d v="2025-04-16T00:00:00"/>
    <x v="5"/>
    <x v="0"/>
    <x v="6"/>
    <s v="ENTREGUE"/>
    <d v="2025-04-01T00:00:00"/>
    <x v="0"/>
    <m/>
    <n v="0"/>
    <n v="0"/>
    <n v="0"/>
    <n v="0"/>
    <n v="0"/>
  </r>
  <r>
    <x v="0"/>
    <s v="BV45736"/>
    <s v="Pedido 1263"/>
    <d v="2025-03-17T00:00:00"/>
    <x v="108"/>
    <s v="PedidoF1209"/>
    <s v="CódRastreio1207"/>
    <n v="1"/>
    <s v="CPF 1229"/>
    <s v="Nome 1229"/>
    <s v="Tel 1229"/>
    <s v="Cep 1229"/>
    <s v="Rua 1229"/>
    <s v="Comp 1229"/>
    <s v="Balança"/>
    <s v="P4-K63S-8KOM"/>
    <d v="2025-04-05T00:00:00"/>
    <n v="28.99"/>
    <n v="28.99"/>
    <n v="3.7686999999999999"/>
    <n v="25.22"/>
    <n v="14.8"/>
    <n v="0.33"/>
    <n v="0.39877104377104378"/>
    <n v="0"/>
    <n v="9.6912289562289544"/>
    <n v="4.8456144781144772"/>
    <x v="107"/>
    <x v="110"/>
    <x v="22"/>
    <d v="2025-04-16T00:00:00"/>
    <x v="5"/>
    <x v="0"/>
    <x v="6"/>
    <s v="ENTREGUE"/>
    <d v="2025-03-27T00:00:00"/>
    <x v="0"/>
    <m/>
    <n v="0"/>
    <n v="0"/>
    <n v="0"/>
    <n v="0"/>
    <n v="0"/>
  </r>
  <r>
    <x v="2"/>
    <s v="MEI45734"/>
    <s v="Pedido 1264"/>
    <d v="2025-03-16T00:00:00"/>
    <x v="106"/>
    <s v="PedidoF1210"/>
    <s v="CódRastreio1208"/>
    <n v="1"/>
    <s v="CPF 1230"/>
    <s v="Nome 1230"/>
    <s v="Tel 1230"/>
    <s v="Cep 1230"/>
    <s v="Rua 1230"/>
    <s v="Comp 1230"/>
    <s v="Máquina de cortar cabelo dragão"/>
    <s v="RX-DD1P-P5U2"/>
    <d v="2025-04-10T00:00:00"/>
    <n v="24.8"/>
    <n v="24.8"/>
    <n v="2.976"/>
    <n v="21.82"/>
    <n v="10.210000000000001"/>
    <n v="0.42"/>
    <n v="0.39877104377104378"/>
    <n v="0"/>
    <n v="10.791228956228956"/>
    <n v="5.3956144781144779"/>
    <x v="105"/>
    <x v="108"/>
    <x v="23"/>
    <d v="2025-05-06T00:00:00"/>
    <x v="5"/>
    <x v="0"/>
    <x v="6"/>
    <s v="ENTREGUE"/>
    <d v="2025-04-03T00:00:00"/>
    <x v="0"/>
    <m/>
    <n v="0"/>
    <n v="0"/>
    <n v="0"/>
    <n v="0"/>
    <n v="0"/>
  </r>
  <r>
    <x v="2"/>
    <s v="MEI45734"/>
    <s v="Pedido 1265"/>
    <d v="2025-03-16T00:00:00"/>
    <x v="106"/>
    <s v="PedidoF1211"/>
    <s v="CódRastreio1209"/>
    <n v="1"/>
    <s v="CPF 1231"/>
    <s v="Nome 1231"/>
    <s v="Tel 1231"/>
    <s v="Cep 1231"/>
    <s v="Rua 1231"/>
    <s v="Comp 1231"/>
    <s v="Maçarico Culinário Portátil"/>
    <s v="BG-DHRO-FAEE"/>
    <d v="2025-04-10T00:00:00"/>
    <n v="24.99"/>
    <n v="24.99"/>
    <n v="2.7488999999999999"/>
    <n v="22.24"/>
    <n v="10.15"/>
    <n v="0.42"/>
    <n v="0.39877104377104378"/>
    <n v="0"/>
    <n v="11.271228956228954"/>
    <n v="5.6356144781144772"/>
    <x v="105"/>
    <x v="108"/>
    <x v="23"/>
    <d v="2025-05-06T00:00:00"/>
    <x v="5"/>
    <x v="0"/>
    <x v="6"/>
    <s v="ENTREGUE"/>
    <d v="2025-04-01T00:00:00"/>
    <x v="0"/>
    <m/>
    <n v="0"/>
    <n v="0"/>
    <n v="0"/>
    <n v="0"/>
    <n v="0"/>
  </r>
  <r>
    <x v="2"/>
    <s v="MEI45736"/>
    <s v="Pedido 1266"/>
    <d v="2025-03-16T00:00:00"/>
    <x v="108"/>
    <s v="PedidoF1212"/>
    <s v="CódRastreio1210"/>
    <n v="1"/>
    <s v="CPF 1232"/>
    <s v="Nome 1232"/>
    <s v="Tel 1232"/>
    <s v="Cep 1232"/>
    <s v="Rua 1232"/>
    <s v="Comp 1232"/>
    <s v="Máquina de cortar cabelo dragão"/>
    <s v="RX-DD1P-P5U2"/>
    <d v="2025-04-10T00:00:00"/>
    <n v="24.8"/>
    <n v="24.8"/>
    <n v="2.976"/>
    <n v="21.82"/>
    <n v="10.54"/>
    <n v="0.47"/>
    <n v="0.39877104377104378"/>
    <n v="0"/>
    <n v="10.411228956228957"/>
    <n v="5.2056144781144784"/>
    <x v="105"/>
    <x v="108"/>
    <x v="23"/>
    <d v="2025-05-06T00:00:00"/>
    <x v="5"/>
    <x v="0"/>
    <x v="6"/>
    <s v="ENTREGUE"/>
    <d v="2025-04-02T00:00:00"/>
    <x v="0"/>
    <m/>
    <n v="0"/>
    <n v="0"/>
    <n v="0"/>
    <n v="0"/>
    <n v="0"/>
  </r>
  <r>
    <x v="2"/>
    <s v="MEI45736"/>
    <s v="Pedido 1267"/>
    <d v="2025-03-16T00:00:00"/>
    <x v="108"/>
    <s v="PedidoF1213"/>
    <s v="CódRastreio1211"/>
    <n v="1"/>
    <s v="CPF 1233"/>
    <s v="Nome 1233"/>
    <s v="Tel 1233"/>
    <s v="Cep 1233"/>
    <s v="Rua 1233"/>
    <s v="Comp 1233"/>
    <s v="Bomba d'agua"/>
    <s v="U1-D95R-HYRT"/>
    <d v="2025-04-04T00:00:00"/>
    <n v="21"/>
    <n v="21"/>
    <n v="2.9400000000000004"/>
    <n v="18.059999999999999"/>
    <n v="16.190000000000001"/>
    <n v="0.47"/>
    <n v="0.39877104377104378"/>
    <n v="0"/>
    <n v="1.0012289562289531"/>
    <n v="0.50061447811447657"/>
    <x v="106"/>
    <x v="109"/>
    <x v="22"/>
    <d v="2025-04-16T00:00:00"/>
    <x v="5"/>
    <x v="0"/>
    <x v="6"/>
    <s v="ENTREGUE"/>
    <d v="2025-04-09T00:00:00"/>
    <x v="0"/>
    <m/>
    <n v="0"/>
    <n v="0"/>
    <n v="0"/>
    <n v="0"/>
    <n v="0"/>
  </r>
  <r>
    <x v="2"/>
    <s v="MEI45733"/>
    <s v="Pedido 1268"/>
    <d v="2025-03-16T00:00:00"/>
    <x v="105"/>
    <s v="PedidoF1214"/>
    <s v="CódRastreio1212"/>
    <n v="1"/>
    <s v="CPF 1234"/>
    <s v="Nome 1234"/>
    <s v="Tel 1234"/>
    <s v="Cep 1234"/>
    <s v="Rua 1234"/>
    <s v="Comp 1234"/>
    <s v="Máquina de cortar cabelo dragão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x v="106"/>
    <x v="109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-"/>
    <s v="Pedido 1269"/>
    <d v="2025-03-16T00:00:00"/>
    <x v="0"/>
    <s v="-"/>
    <s v="-"/>
    <n v="1"/>
    <s v="CPF 1235"/>
    <s v="Nome 1235"/>
    <s v="Tel 1235"/>
    <s v="Cep 1235"/>
    <s v="Rua 1235"/>
    <s v="Comp 1235"/>
    <s v="Máquina de cortar cabelo dragão"/>
    <s v="RX-DD1P-P5U2"/>
    <d v="2025-04-04T00:00:00"/>
    <n v="24.8"/>
    <n v="24.8"/>
    <n v="2.976"/>
    <n v="21.82"/>
    <n v="0"/>
    <n v="0"/>
    <n v="0"/>
    <n v="0"/>
    <n v="21.82"/>
    <n v="10.91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2"/>
    <s v="MEI-"/>
    <s v="Pedido 1270"/>
    <d v="2025-03-16T00:00:00"/>
    <x v="0"/>
    <s v="-"/>
    <s v="-"/>
    <n v="1"/>
    <s v="CPF 1236"/>
    <s v="Nome 1236"/>
    <s v="Tel 1236"/>
    <s v="Cep 1236"/>
    <s v="Rua 1236"/>
    <s v="Comp 1236"/>
    <s v="Máquina de cortar cabelo dragão"/>
    <s v="RX-DD1P-P5U2"/>
    <d v="2025-04-04T00:00:00"/>
    <n v="24.8"/>
    <n v="24.8"/>
    <n v="2.976"/>
    <n v="21.82"/>
    <n v="0"/>
    <n v="0"/>
    <n v="0"/>
    <n v="0"/>
    <n v="21.82"/>
    <n v="10.91"/>
    <x v="106"/>
    <x v="109"/>
    <x v="22"/>
    <d v="2025-04-16T00:00:00"/>
    <x v="5"/>
    <x v="0"/>
    <x v="0"/>
    <s v="-"/>
    <s v="-"/>
    <x v="0"/>
    <m/>
    <n v="0"/>
    <n v="0"/>
    <n v="0"/>
    <n v="0"/>
    <n v="0"/>
  </r>
  <r>
    <x v="2"/>
    <s v="MEI45733"/>
    <s v="Pedido 1271"/>
    <d v="2025-03-16T00:00:00"/>
    <x v="105"/>
    <s v="PedidoF1215"/>
    <s v="CódRastreio1213"/>
    <n v="1"/>
    <s v="CPF 1237"/>
    <s v="Nome 1237"/>
    <s v="Tel 1237"/>
    <s v="Cep 1237"/>
    <s v="Rua 1237"/>
    <s v="Comp 1237"/>
    <s v="Máquina de cortar cabelo dragão"/>
    <s v="RX-DD1P-P5U2"/>
    <d v="2025-04-10T00:00:00"/>
    <n v="24.8"/>
    <n v="24.8"/>
    <n v="2.976"/>
    <n v="21.82"/>
    <n v="10.16"/>
    <n v="0.46"/>
    <n v="0.39877104377104378"/>
    <n v="0"/>
    <n v="10.801228956228956"/>
    <n v="5.4006144781144778"/>
    <x v="105"/>
    <x v="108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6"/>
    <s v="Pedido 1272"/>
    <d v="2025-03-16T00:00:00"/>
    <x v="108"/>
    <s v="PedidoF1216"/>
    <s v="CódRastreio1214"/>
    <n v="1"/>
    <s v="CPF 1238"/>
    <s v="Nome 1238"/>
    <s v="Tel 1238"/>
    <s v="Cep 1238"/>
    <s v="Rua 1238"/>
    <s v="Comp 1238"/>
    <s v="Máquina de cortar cabelo dragão"/>
    <s v="RX-DD1P-P5U2"/>
    <d v="2025-04-02T00:00:00"/>
    <n v="24.8"/>
    <n v="24.8"/>
    <n v="2.976"/>
    <n v="21.82"/>
    <n v="10.19"/>
    <n v="0.47"/>
    <n v="0.39877104377104378"/>
    <n v="0"/>
    <n v="10.761228956228956"/>
    <n v="5.3806144781144782"/>
    <x v="103"/>
    <x v="106"/>
    <x v="22"/>
    <d v="2025-04-16T00:00:00"/>
    <x v="5"/>
    <x v="0"/>
    <x v="6"/>
    <s v="ENTREGUE"/>
    <d v="2025-03-31T00:00:00"/>
    <x v="0"/>
    <m/>
    <n v="0"/>
    <n v="0"/>
    <n v="0"/>
    <n v="0"/>
    <n v="0"/>
  </r>
  <r>
    <x v="2"/>
    <s v="MEI45737"/>
    <s v="Pedido 1273"/>
    <d v="2025-03-17T00:00:00"/>
    <x v="109"/>
    <s v="PedidoF1217"/>
    <s v="CódRastreio1215"/>
    <n v="1"/>
    <s v="CPF 1239"/>
    <s v="Nome 1239"/>
    <s v="Tel 1239"/>
    <s v="Cep 1239"/>
    <s v="Rua 1239"/>
    <s v="Comp 1239"/>
    <s v="Máquina de cortar cabelo dragão"/>
    <s v="RX-DD1P-P5U2"/>
    <d v="2025-04-10T00:00:00"/>
    <n v="24.8"/>
    <n v="24.8"/>
    <n v="2.976"/>
    <n v="21.82"/>
    <n v="10.58"/>
    <n v="0.2"/>
    <n v="0.39877104377104378"/>
    <n v="0"/>
    <n v="10.641228956228957"/>
    <n v="5.3206144781144786"/>
    <x v="105"/>
    <x v="108"/>
    <x v="23"/>
    <d v="2025-05-06T00:00:00"/>
    <x v="5"/>
    <x v="0"/>
    <x v="6"/>
    <s v="ENTREGUE"/>
    <d v="2025-04-15T00:00:00"/>
    <x v="0"/>
    <m/>
    <n v="0"/>
    <n v="0"/>
    <n v="0"/>
    <n v="0"/>
    <n v="0"/>
  </r>
  <r>
    <x v="2"/>
    <s v="MEI45737"/>
    <s v="Pedido 1274"/>
    <d v="2025-03-17T00:00:00"/>
    <x v="109"/>
    <s v="PedidoF1218"/>
    <s v="CódRastreio1216"/>
    <n v="1"/>
    <s v="CPF 1240"/>
    <s v="Nome 1240"/>
    <s v="Tel 1240"/>
    <s v="Cep 1240"/>
    <s v="Rua 1240"/>
    <s v="Comp 1240"/>
    <s v="Máquina de cortar cabelo dragão"/>
    <s v="RX-DD1P-P5U2"/>
    <d v="2025-04-04T00:00:00"/>
    <n v="24.8"/>
    <n v="24.8"/>
    <n v="2.976"/>
    <n v="21.82"/>
    <n v="10.17"/>
    <n v="0.2"/>
    <n v="0.39877104377104378"/>
    <n v="0"/>
    <n v="11.051228956228957"/>
    <n v="5.5256144781144787"/>
    <x v="106"/>
    <x v="109"/>
    <x v="22"/>
    <d v="2025-04-16T00:00:00"/>
    <x v="5"/>
    <x v="0"/>
    <x v="6"/>
    <s v="ENTREGUE"/>
    <d v="2025-04-04T00:00:00"/>
    <x v="0"/>
    <m/>
    <n v="0"/>
    <n v="0"/>
    <n v="0"/>
    <n v="0"/>
    <n v="0"/>
  </r>
  <r>
    <x v="2"/>
    <s v="MEI45733"/>
    <s v="Pedido 1275"/>
    <d v="2025-03-17T00:00:00"/>
    <x v="105"/>
    <s v="PedidoF1219"/>
    <s v="CódRastreio1217"/>
    <n v="1"/>
    <s v="CPF 1241"/>
    <s v="Nome 1241"/>
    <s v="Tel 1241"/>
    <s v="Cep 1241"/>
    <s v="Rua 1241"/>
    <s v="Comp 1241"/>
    <s v="Máquina de cortar cabelo dragão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x v="106"/>
    <x v="109"/>
    <x v="22"/>
    <d v="2025-04-16T00:00:00"/>
    <x v="5"/>
    <x v="0"/>
    <x v="6"/>
    <s v="ENTREGUE"/>
    <d v="2025-04-05T00:00:00"/>
    <x v="0"/>
    <m/>
    <n v="0"/>
    <n v="0"/>
    <n v="0"/>
    <n v="0"/>
    <n v="0"/>
  </r>
  <r>
    <x v="2"/>
    <s v="MEI45733"/>
    <s v="Pedido 1276"/>
    <d v="2025-03-17T00:00:00"/>
    <x v="105"/>
    <s v="PedidoF1220"/>
    <s v="CódRastreio1218"/>
    <n v="1"/>
    <s v="CPF 1242"/>
    <s v="Nome 1242"/>
    <s v="Tel 1242"/>
    <s v="Cep 1242"/>
    <s v="Rua 1242"/>
    <s v="Comp 1242"/>
    <s v="Máquina de cortar cabelo dragão"/>
    <s v="RX-DD1P-P5U2"/>
    <d v="2025-04-04T00:00:00"/>
    <n v="24.8"/>
    <n v="24.8"/>
    <n v="2.976"/>
    <n v="21.82"/>
    <n v="10.16"/>
    <n v="0.46"/>
    <n v="0.39877104377104378"/>
    <n v="0"/>
    <n v="10.801228956228956"/>
    <n v="5.4006144781144778"/>
    <x v="106"/>
    <x v="109"/>
    <x v="22"/>
    <d v="2025-04-16T00:00:00"/>
    <x v="5"/>
    <x v="0"/>
    <x v="6"/>
    <s v="ENTREGUE"/>
    <d v="2025-04-08T00:00:00"/>
    <x v="0"/>
    <m/>
    <n v="0"/>
    <n v="0"/>
    <n v="0"/>
    <n v="0"/>
    <n v="0"/>
  </r>
  <r>
    <x v="2"/>
    <s v="MEI45737"/>
    <s v="Pedido 1277"/>
    <d v="2025-03-17T00:00:00"/>
    <x v="109"/>
    <s v="PedidoF1221"/>
    <s v="CódRastreio1219"/>
    <n v="1"/>
    <s v="CPF 1243"/>
    <s v="Nome 1243"/>
    <s v="Tel 1243"/>
    <s v="Cep 1243"/>
    <s v="Rua 1243"/>
    <s v="Comp 1243"/>
    <s v="Máquina de cortar cabelo dragão"/>
    <s v="RX-DD1P-P5U2"/>
    <d v="2025-04-10T00:00:00"/>
    <n v="24.8"/>
    <n v="24.8"/>
    <n v="2.976"/>
    <n v="21.82"/>
    <n v="10.17"/>
    <n v="0.2"/>
    <n v="0.39877104377104378"/>
    <n v="0"/>
    <n v="11.051228956228957"/>
    <n v="5.5256144781144787"/>
    <x v="105"/>
    <x v="108"/>
    <x v="23"/>
    <d v="2025-05-06T00:00:00"/>
    <x v="5"/>
    <x v="0"/>
    <x v="6"/>
    <s v="ENTREGUE"/>
    <d v="2025-04-01T00:00:00"/>
    <x v="0"/>
    <m/>
    <n v="0"/>
    <n v="0"/>
    <n v="0"/>
    <n v="0"/>
    <n v="0"/>
  </r>
  <r>
    <x v="2"/>
    <s v="MEI45737"/>
    <s v="Pedido 1278"/>
    <d v="2025-03-17T00:00:00"/>
    <x v="109"/>
    <s v="PedidoF1222"/>
    <s v="CódRastreio1220"/>
    <n v="1"/>
    <s v="CPF 1244"/>
    <s v="Nome 1244"/>
    <s v="Tel 1244"/>
    <s v="Cep 1244"/>
    <s v="Rua 1244"/>
    <s v="Comp 1244"/>
    <s v="Máquina de cortar cabelo dragão"/>
    <s v="RX-DD1P-P5U2"/>
    <d v="2025-04-04T00:00:00"/>
    <n v="24.8"/>
    <n v="24.8"/>
    <n v="2.976"/>
    <n v="21.82"/>
    <n v="10.17"/>
    <n v="0.2"/>
    <n v="0.39877104377104378"/>
    <n v="0"/>
    <n v="11.051228956228957"/>
    <n v="5.5256144781144787"/>
    <x v="106"/>
    <x v="109"/>
    <x v="22"/>
    <d v="2025-04-16T00:00:00"/>
    <x v="5"/>
    <x v="0"/>
    <x v="6"/>
    <s v="ENTREGUE"/>
    <d v="2025-04-03T00:00:00"/>
    <x v="0"/>
    <m/>
    <n v="0"/>
    <n v="0"/>
    <n v="0"/>
    <n v="0"/>
    <n v="0"/>
  </r>
  <r>
    <x v="2"/>
    <s v="MEI45737"/>
    <s v="Pedido 1279"/>
    <d v="2025-03-17T00:00:00"/>
    <x v="109"/>
    <s v="PedidoF1223"/>
    <s v="CódRastreio1221"/>
    <n v="1"/>
    <s v="CPF 1245"/>
    <s v="Nome 1245"/>
    <s v="Tel 1245"/>
    <s v="Cep 1245"/>
    <s v="Rua 1245"/>
    <s v="Comp 1245"/>
    <s v="Máquina de cortar cabelo dragão"/>
    <s v="RX-DD1P-P5U2"/>
    <d v="2025-04-02T00:00:00"/>
    <n v="24.8"/>
    <n v="24.8"/>
    <n v="2.976"/>
    <n v="21.82"/>
    <n v="10.17"/>
    <n v="0.2"/>
    <n v="0.39877104377104378"/>
    <n v="0"/>
    <n v="11.051228956228957"/>
    <n v="5.5256144781144787"/>
    <x v="103"/>
    <x v="106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3"/>
    <s v="Pedido 1280"/>
    <d v="2025-03-17T00:00:00"/>
    <x v="105"/>
    <s v="PedidoF1224"/>
    <s v="CódRastreio1222"/>
    <n v="1"/>
    <s v="CPF 1246"/>
    <s v="Nome 1246"/>
    <s v="Tel 1246"/>
    <s v="Cep 1246"/>
    <s v="Rua 1246"/>
    <s v="Comp 1246"/>
    <s v="Máquina de cortar cabelo dragão"/>
    <s v="RX-DD1P-P5U2"/>
    <d v="2025-04-10T00:00:00"/>
    <n v="24.8"/>
    <n v="24.8"/>
    <n v="2.976"/>
    <n v="21.82"/>
    <n v="10.16"/>
    <n v="0.46"/>
    <n v="0.39877104377104378"/>
    <n v="0"/>
    <n v="10.801228956228956"/>
    <n v="5.4006144781144778"/>
    <x v="105"/>
    <x v="108"/>
    <x v="23"/>
    <d v="2025-05-06T00:00:00"/>
    <x v="5"/>
    <x v="0"/>
    <x v="6"/>
    <s v="ENTREGUE"/>
    <d v="2025-04-10T00:00:00"/>
    <x v="0"/>
    <m/>
    <n v="0"/>
    <n v="0"/>
    <n v="0"/>
    <n v="0"/>
    <n v="0"/>
  </r>
  <r>
    <x v="2"/>
    <s v="MEI45737"/>
    <s v="Pedido 1281"/>
    <d v="2025-03-17T00:00:00"/>
    <x v="109"/>
    <s v="PedidoF1225"/>
    <s v="CódRastreio1223"/>
    <n v="1"/>
    <s v="CPF 1247"/>
    <s v="Nome 1247"/>
    <s v="Tel 1247"/>
    <s v="Cep 1247"/>
    <s v="Rua 1247"/>
    <s v="Comp 1247"/>
    <s v="Máquina de cortar cabelo dragão"/>
    <s v="RX-DD1P-P5U2"/>
    <d v="2025-04-10T00:00:00"/>
    <n v="24.8"/>
    <n v="24.8"/>
    <n v="2.976"/>
    <n v="21.82"/>
    <n v="10.17"/>
    <n v="0.2"/>
    <n v="0.39877104377104378"/>
    <n v="0"/>
    <n v="11.051228956228957"/>
    <n v="5.5256144781144787"/>
    <x v="105"/>
    <x v="108"/>
    <x v="23"/>
    <d v="2025-05-06T00:00:00"/>
    <x v="5"/>
    <x v="0"/>
    <x v="6"/>
    <s v="ENTREGUE"/>
    <d v="2025-04-02T00:00:00"/>
    <x v="0"/>
    <m/>
    <n v="0"/>
    <n v="0"/>
    <n v="0"/>
    <n v="0"/>
    <n v="0"/>
  </r>
  <r>
    <x v="2"/>
    <s v="MEI45737"/>
    <s v="Pedido 1282"/>
    <d v="2025-03-17T00:00:00"/>
    <x v="109"/>
    <s v="PedidoF1226"/>
    <s v="CódRastreio1224"/>
    <n v="1"/>
    <s v="CPF 1248"/>
    <s v="Nome 1248"/>
    <s v="Tel 1248"/>
    <s v="Cep 1248"/>
    <s v="Rua 1248"/>
    <s v="Comp 1248"/>
    <s v="Máquina de cortar cabelo dragão"/>
    <s v="RX-DD1P-P5U2"/>
    <d v="2025-04-11T00:00:00"/>
    <n v="24.8"/>
    <n v="24.8"/>
    <n v="2.976"/>
    <n v="21.82"/>
    <n v="10.17"/>
    <n v="0.2"/>
    <n v="0.39877104377104378"/>
    <n v="0"/>
    <n v="11.051228956228957"/>
    <n v="5.5256144781144787"/>
    <x v="110"/>
    <x v="113"/>
    <x v="23"/>
    <d v="2025-05-06T00:00:00"/>
    <x v="5"/>
    <x v="0"/>
    <x v="6"/>
    <s v="ENTREGUE"/>
    <d v="2025-04-04T00:00:00"/>
    <x v="0"/>
    <m/>
    <n v="0"/>
    <n v="0"/>
    <n v="0"/>
    <n v="0"/>
    <n v="0"/>
  </r>
  <r>
    <x v="2"/>
    <s v="MEI45737"/>
    <s v="Pedido 1283"/>
    <d v="2025-03-17T00:00:00"/>
    <x v="109"/>
    <s v="PedidoF1227"/>
    <s v="CódRastreio1225"/>
    <n v="1"/>
    <s v="CPF 1249"/>
    <s v="Nome 1249"/>
    <s v="Tel 1249"/>
    <s v="Cep 1249"/>
    <s v="Rua 1249"/>
    <s v="Comp 1249"/>
    <s v="Máquina de cortar cabelo dragão"/>
    <s v="RX-DD1P-P5U2"/>
    <d v="2025-04-11T00:00:00"/>
    <n v="24.8"/>
    <n v="24.8"/>
    <n v="2.976"/>
    <n v="21.82"/>
    <n v="10.58"/>
    <n v="0.2"/>
    <n v="0.39877104377104378"/>
    <n v="0"/>
    <n v="10.641228956228957"/>
    <n v="5.3206144781144786"/>
    <x v="110"/>
    <x v="113"/>
    <x v="23"/>
    <d v="2025-05-06T00:00:00"/>
    <x v="5"/>
    <x v="0"/>
    <x v="6"/>
    <s v="ENTREGUE"/>
    <d v="2025-04-15T00:00:00"/>
    <x v="0"/>
    <m/>
    <n v="0"/>
    <n v="0"/>
    <n v="0"/>
    <n v="0"/>
    <n v="0"/>
  </r>
  <r>
    <x v="2"/>
    <s v="MEI45737"/>
    <s v="Pedido 1284"/>
    <d v="2025-03-17T00:00:00"/>
    <x v="109"/>
    <s v="PedidoF1228"/>
    <s v="CódRastreio1226"/>
    <n v="1"/>
    <s v="CPF 1250"/>
    <s v="Nome 1250"/>
    <s v="Tel 1250"/>
    <s v="Cep 1250"/>
    <s v="Rua 1250"/>
    <s v="Comp 1250"/>
    <s v="Bomba d'agua"/>
    <s v="U1-D95R-HYRT"/>
    <d v="2025-04-11T00:00:00"/>
    <n v="21"/>
    <n v="21"/>
    <n v="2.9400000000000004"/>
    <n v="18.059999999999999"/>
    <n v="15.36"/>
    <n v="0.2"/>
    <n v="0.39877104377104378"/>
    <n v="0"/>
    <n v="2.1012289562289563"/>
    <n v="1.0506144781144782"/>
    <x v="110"/>
    <x v="113"/>
    <x v="23"/>
    <d v="2025-05-06T00:00:00"/>
    <x v="5"/>
    <x v="0"/>
    <x v="6"/>
    <s v="ENTREGUE"/>
    <d v="2025-04-05T00:00:00"/>
    <x v="0"/>
    <m/>
    <n v="0"/>
    <n v="0"/>
    <n v="0"/>
    <n v="0"/>
    <n v="0"/>
  </r>
  <r>
    <x v="2"/>
    <s v="MEI45737"/>
    <s v="Pedido 1285"/>
    <d v="2025-03-17T00:00:00"/>
    <x v="109"/>
    <s v="PedidoF1229"/>
    <s v="CódRastreio1227"/>
    <n v="1"/>
    <s v="CPF 1251"/>
    <s v="Nome 1251"/>
    <s v="Tel 1251"/>
    <s v="Cep 1251"/>
    <s v="Rua 1251"/>
    <s v="Comp 1251"/>
    <s v="Bomba d'agua"/>
    <s v="U1-D95R-HYRT"/>
    <d v="2025-04-05T00:00:00"/>
    <n v="21"/>
    <n v="21"/>
    <n v="2.9400000000000004"/>
    <n v="18.059999999999999"/>
    <n v="15.33"/>
    <n v="0.2"/>
    <n v="0.39877104377104378"/>
    <n v="0"/>
    <n v="2.1312289562289557"/>
    <n v="1.0656144781144778"/>
    <x v="107"/>
    <x v="110"/>
    <x v="22"/>
    <d v="2025-04-16T00:00:00"/>
    <x v="5"/>
    <x v="0"/>
    <x v="6"/>
    <s v="ENTREGUE"/>
    <d v="2025-04-04T00:00:00"/>
    <x v="0"/>
    <m/>
    <n v="0"/>
    <n v="0"/>
    <n v="0"/>
    <n v="0"/>
    <n v="0"/>
  </r>
  <r>
    <x v="2"/>
    <s v="MEI45737"/>
    <s v="Pedido 1286"/>
    <d v="2025-03-17T00:00:00"/>
    <x v="109"/>
    <s v="PedidoF1230"/>
    <s v="CódRastreio1228"/>
    <n v="1"/>
    <s v="CPF 1252"/>
    <s v="Nome 1252"/>
    <s v="Tel 1252"/>
    <s v="Cep 1252"/>
    <s v="Rua 1252"/>
    <s v="Comp 1252"/>
    <s v="Maçarico Culinário Portátil"/>
    <s v="BG-DHRO-FAEE"/>
    <d v="2025-04-05T00:00:00"/>
    <n v="24.99"/>
    <n v="24.99"/>
    <n v="2.7488999999999999"/>
    <n v="22.24"/>
    <n v="0"/>
    <n v="0.2"/>
    <n v="0.39877104377104378"/>
    <n v="0"/>
    <n v="21.641228956228954"/>
    <n v="10.820614478114477"/>
    <x v="107"/>
    <x v="110"/>
    <x v="22"/>
    <d v="2025-04-16T00:00:00"/>
    <x v="5"/>
    <x v="0"/>
    <x v="6"/>
    <s v="ENTREGUE"/>
    <d v="2025-04-15T00:00:00"/>
    <x v="0"/>
    <m/>
    <n v="0"/>
    <n v="0"/>
    <n v="0"/>
    <n v="0"/>
    <n v="0"/>
  </r>
  <r>
    <x v="2"/>
    <s v="MEI45737"/>
    <s v="Pedido 1287"/>
    <d v="2025-03-17T00:00:00"/>
    <x v="109"/>
    <s v="PedidoF1231"/>
    <s v="CódRastreio1229"/>
    <n v="1"/>
    <s v="CPF 1253"/>
    <s v="Nome 1253"/>
    <s v="Tel 1253"/>
    <s v="Cep 1253"/>
    <s v="Rua 1253"/>
    <s v="Comp 1253"/>
    <s v="Bomba d'agua"/>
    <s v="U1-D95R-HYRT"/>
    <d v="2025-04-05T00:00:00"/>
    <n v="21"/>
    <n v="21"/>
    <n v="2.9400000000000004"/>
    <n v="18.059999999999999"/>
    <n v="15.92"/>
    <n v="0.2"/>
    <n v="0.39877104377104378"/>
    <n v="0"/>
    <n v="1.5412289562289523"/>
    <n v="0.77061447811447614"/>
    <x v="107"/>
    <x v="110"/>
    <x v="22"/>
    <d v="2025-04-16T00:00:00"/>
    <x v="5"/>
    <x v="0"/>
    <x v="6"/>
    <s v="ENTREGUE"/>
    <d v="2025-04-08T00:00:00"/>
    <x v="0"/>
    <m/>
    <n v="0"/>
    <n v="0"/>
    <n v="0"/>
    <n v="0"/>
    <n v="0"/>
  </r>
  <r>
    <x v="2"/>
    <s v="MEI45737"/>
    <s v="Pedido 1288"/>
    <d v="2025-03-17T00:00:00"/>
    <x v="109"/>
    <s v="PedidoF1232"/>
    <s v="CódRastreio1230"/>
    <n v="1"/>
    <s v="CPF 1254"/>
    <s v="Nome 1254"/>
    <s v="Tel 1254"/>
    <s v="Cep 1254"/>
    <s v="Rua 1254"/>
    <s v="Comp 1254"/>
    <s v="Bomba d'agua"/>
    <s v="U1-D95R-HYRT"/>
    <d v="2025-04-11T00:00:00"/>
    <n v="21"/>
    <n v="21"/>
    <n v="2.9400000000000004"/>
    <n v="18.059999999999999"/>
    <n v="15.92"/>
    <n v="0.2"/>
    <n v="0.39877104377104378"/>
    <n v="0"/>
    <n v="1.5412289562289523"/>
    <n v="0.77061447811447614"/>
    <x v="110"/>
    <x v="113"/>
    <x v="23"/>
    <d v="2025-05-06T00:00:00"/>
    <x v="5"/>
    <x v="0"/>
    <x v="6"/>
    <s v="ENTREGUE"/>
    <d v="2025-04-05T00:00:00"/>
    <x v="0"/>
    <m/>
    <n v="0"/>
    <n v="0"/>
    <n v="0"/>
    <n v="0"/>
    <n v="0"/>
  </r>
  <r>
    <x v="2"/>
    <s v="MEI45737"/>
    <s v="Pedido 1289"/>
    <d v="2025-03-17T00:00:00"/>
    <x v="109"/>
    <s v="PedidoF1233"/>
    <s v="CódRastreio1231"/>
    <n v="1"/>
    <s v="CPF 1255"/>
    <s v="Nome 1255"/>
    <s v="Tel 1255"/>
    <s v="Cep 1255"/>
    <s v="Rua 1255"/>
    <s v="Comp 1255"/>
    <s v="Bomba d'agua"/>
    <s v="U1-D95R-HYRT"/>
    <d v="2025-04-05T00:00:00"/>
    <n v="21"/>
    <n v="21"/>
    <n v="2.9400000000000004"/>
    <n v="18.059999999999999"/>
    <n v="15.33"/>
    <n v="0.2"/>
    <n v="0.39877104377104378"/>
    <n v="0"/>
    <n v="2.1312289562289557"/>
    <n v="1.0656144781144778"/>
    <x v="107"/>
    <x v="110"/>
    <x v="22"/>
    <d v="2025-04-16T00:00:00"/>
    <x v="5"/>
    <x v="0"/>
    <x v="6"/>
    <s v="ENTREGUE"/>
    <d v="2025-04-02T00:00:00"/>
    <x v="0"/>
    <m/>
    <n v="0"/>
    <n v="0"/>
    <n v="0"/>
    <n v="0"/>
    <n v="0"/>
  </r>
  <r>
    <x v="2"/>
    <s v="MEI45737"/>
    <s v="Pedido 1290"/>
    <d v="2025-03-17T00:00:00"/>
    <x v="109"/>
    <s v="PedidoF1234"/>
    <s v="CódRastreio1232"/>
    <n v="1"/>
    <s v="CPF 1256"/>
    <s v="Nome 1256"/>
    <s v="Tel 1256"/>
    <s v="Cep 1256"/>
    <s v="Rua 1256"/>
    <s v="Comp 1256"/>
    <s v="Brinquedo Bola Giratória voadora"/>
    <s v="Z0-F6CI-18CL"/>
    <d v="2025-04-05T00:00:00"/>
    <n v="44.95"/>
    <n v="44.95"/>
    <n v="5.3940000000000001"/>
    <n v="39.56"/>
    <n v="11.21"/>
    <n v="0.2"/>
    <n v="0.39877104377104378"/>
    <n v="0"/>
    <n v="27.751228956228957"/>
    <n v="13.875614478114478"/>
    <x v="107"/>
    <x v="110"/>
    <x v="22"/>
    <d v="2025-04-16T00:00:00"/>
    <x v="5"/>
    <x v="0"/>
    <x v="6"/>
    <s v="ENTREGUE"/>
    <d v="2025-03-31T00:00:00"/>
    <x v="0"/>
    <m/>
    <n v="0"/>
    <n v="0"/>
    <n v="0"/>
    <n v="0"/>
    <n v="0"/>
  </r>
  <r>
    <x v="2"/>
    <s v="MEI45737"/>
    <s v="Pedido 1291"/>
    <d v="2025-03-17T00:00:00"/>
    <x v="109"/>
    <s v="PedidoF1235"/>
    <s v="CódRastreio1233"/>
    <n v="1"/>
    <s v="CPF 1257"/>
    <s v="Nome 1257"/>
    <s v="Tel 1257"/>
    <s v="Cep 1257"/>
    <s v="Rua 1257"/>
    <s v="Comp 1257"/>
    <s v="Bomba d'agua"/>
    <s v="U1-D95R-HYRT"/>
    <d v="2025-04-11T00:00:00"/>
    <n v="21"/>
    <n v="21"/>
    <n v="2.9400000000000004"/>
    <n v="18.059999999999999"/>
    <n v="15.92"/>
    <n v="0.2"/>
    <n v="0.39877104377104378"/>
    <n v="0"/>
    <n v="1.5412289562289523"/>
    <n v="0.77061447811447614"/>
    <x v="110"/>
    <x v="113"/>
    <x v="23"/>
    <d v="2025-05-06T00:00:00"/>
    <x v="5"/>
    <x v="0"/>
    <x v="6"/>
    <s v="ENTREGUE"/>
    <d v="2025-04-07T00:00:00"/>
    <x v="0"/>
    <m/>
    <n v="0"/>
    <n v="0"/>
    <n v="0"/>
    <n v="0"/>
    <n v="0"/>
  </r>
  <r>
    <x v="2"/>
    <s v="MEI45737"/>
    <s v="Pedido 1292"/>
    <d v="2025-03-17T00:00:00"/>
    <x v="109"/>
    <s v="PedidoF1236"/>
    <s v="CódRastreio1234"/>
    <n v="1"/>
    <s v="CPF 1258"/>
    <s v="Nome 1258"/>
    <s v="Tel 1258"/>
    <s v="Cep 1258"/>
    <s v="Rua 1258"/>
    <s v="Comp 1258"/>
    <s v="Bomba d'agua"/>
    <s v="U1-D95R-HYRT"/>
    <d v="2025-04-05T00:00:00"/>
    <n v="21"/>
    <n v="21"/>
    <n v="2.9400000000000004"/>
    <n v="18.059999999999999"/>
    <n v="15.33"/>
    <n v="0.2"/>
    <n v="0.39877104377104378"/>
    <n v="0"/>
    <n v="2.1312289562289557"/>
    <n v="1.0656144781144778"/>
    <x v="107"/>
    <x v="110"/>
    <x v="22"/>
    <d v="2025-04-16T00:00:00"/>
    <x v="5"/>
    <x v="0"/>
    <x v="6"/>
    <s v="ENTREGUE"/>
    <d v="2025-04-08T00:00:00"/>
    <x v="0"/>
    <m/>
    <n v="0"/>
    <n v="0"/>
    <n v="0"/>
    <n v="0"/>
    <n v="0"/>
  </r>
  <r>
    <x v="2"/>
    <s v="MEI45737"/>
    <s v="Pedido 1293"/>
    <d v="2025-03-17T00:00:00"/>
    <x v="109"/>
    <s v="PedidoF1237"/>
    <s v="CódRastreio1235"/>
    <n v="1"/>
    <s v="CPF 1259"/>
    <s v="Nome 1259"/>
    <s v="Tel 1259"/>
    <s v="Cep 1259"/>
    <s v="Rua 1259"/>
    <s v="Comp 1259"/>
    <s v="Maçarico Culinário Portátil"/>
    <s v="BG-DHRO-FAEE"/>
    <d v="2025-04-11T00:00:00"/>
    <n v="24.99"/>
    <n v="24.99"/>
    <n v="2.7488999999999999"/>
    <n v="22.24"/>
    <n v="10.58"/>
    <n v="0.2"/>
    <n v="0.39877104377104378"/>
    <n v="0"/>
    <n v="11.061228956228955"/>
    <n v="5.5306144781144777"/>
    <x v="110"/>
    <x v="113"/>
    <x v="23"/>
    <d v="2025-05-06T00:00:00"/>
    <x v="5"/>
    <x v="0"/>
    <x v="6"/>
    <s v="ENTREGUE"/>
    <d v="2025-04-15T00:00:00"/>
    <x v="0"/>
    <m/>
    <n v="0"/>
    <n v="0"/>
    <n v="0"/>
    <n v="0"/>
    <n v="0"/>
  </r>
  <r>
    <x v="2"/>
    <s v="MEI45737"/>
    <s v="Pedido 1294"/>
    <d v="2025-03-17T00:00:00"/>
    <x v="109"/>
    <s v="PedidoF1238"/>
    <s v="CódRastreio1236"/>
    <n v="1"/>
    <s v="CPF 1260"/>
    <s v="Nome 1260"/>
    <s v="Tel 1260"/>
    <s v="Cep 1260"/>
    <s v="Rua 1260"/>
    <s v="Comp 1260"/>
    <s v="Bomba d'agua"/>
    <s v="U1-D95R-HYRT"/>
    <d v="2025-04-11T00:00:00"/>
    <n v="21"/>
    <n v="21"/>
    <n v="2.9400000000000004"/>
    <n v="18.059999999999999"/>
    <n v="15.33"/>
    <n v="0.2"/>
    <n v="0.39877104377104378"/>
    <n v="0"/>
    <n v="2.1312289562289557"/>
    <n v="1.0656144781144778"/>
    <x v="110"/>
    <x v="113"/>
    <x v="23"/>
    <d v="2025-05-06T00:00:00"/>
    <x v="5"/>
    <x v="0"/>
    <x v="6"/>
    <s v="ENTREGUE"/>
    <d v="2025-04-07T00:00:00"/>
    <x v="0"/>
    <m/>
    <n v="0"/>
    <n v="0"/>
    <n v="0"/>
    <n v="0"/>
    <n v="0"/>
  </r>
  <r>
    <x v="2"/>
    <s v="MEI45737"/>
    <s v="Pedido 1295"/>
    <d v="2025-03-17T00:00:00"/>
    <x v="109"/>
    <s v="PedidoF1239"/>
    <s v="CódRastreio1237"/>
    <n v="1"/>
    <s v="CPF 1261"/>
    <s v="Nome 1261"/>
    <s v="Tel 1261"/>
    <s v="Cep 1261"/>
    <s v="Rua 1261"/>
    <s v="Comp 1261"/>
    <s v="Mini Liquidificador"/>
    <s v="A4-5W51-K3HF"/>
    <d v="2025-04-05T00:00:00"/>
    <n v="30.95"/>
    <n v="30.95"/>
    <n v="4.3330000000000002"/>
    <n v="26.62"/>
    <n v="15.7"/>
    <n v="0.2"/>
    <n v="0.39877104377104378"/>
    <n v="0"/>
    <n v="10.321228956228957"/>
    <n v="5.1606144781144785"/>
    <x v="107"/>
    <x v="110"/>
    <x v="22"/>
    <d v="2025-04-16T00:00:00"/>
    <x v="5"/>
    <x v="0"/>
    <x v="6"/>
    <s v="ENTREGUE"/>
    <d v="2025-04-01T00:00:00"/>
    <x v="0"/>
    <m/>
    <n v="0"/>
    <n v="0"/>
    <n v="0"/>
    <n v="0"/>
    <n v="0"/>
  </r>
  <r>
    <x v="2"/>
    <s v="MEI45737"/>
    <s v="Pedido 1296"/>
    <d v="2025-03-17T00:00:00"/>
    <x v="109"/>
    <s v="PedidoF1240"/>
    <s v="CódRastreio1238"/>
    <n v="1"/>
    <s v="CPF 1262"/>
    <s v="Nome 1262"/>
    <s v="Tel 1262"/>
    <s v="Cep 1262"/>
    <s v="Rua 1262"/>
    <s v="Comp 1262"/>
    <s v="Bomba d'agua"/>
    <s v="U1-D95R-HYRT"/>
    <d v="2025-04-11T00:00:00"/>
    <n v="21"/>
    <n v="21"/>
    <n v="2.9400000000000004"/>
    <n v="18.059999999999999"/>
    <n v="15.92"/>
    <n v="0.2"/>
    <n v="0.39877104377104378"/>
    <n v="0"/>
    <n v="1.5412289562289523"/>
    <n v="0.77061447811447614"/>
    <x v="110"/>
    <x v="113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7"/>
    <s v="Pedido 1297"/>
    <d v="2025-03-17T00:00:00"/>
    <x v="109"/>
    <s v="PedidoF1241"/>
    <s v="CódRastreio1239"/>
    <n v="1"/>
    <s v="CPF 1263"/>
    <s v="Nome 1263"/>
    <s v="Tel 1263"/>
    <s v="Cep 1263"/>
    <s v="Rua 1263"/>
    <s v="Comp 1263"/>
    <s v="Bomba d'agua"/>
    <s v="U1-D95R-HYRT"/>
    <d v="2025-04-11T00:00:00"/>
    <n v="21"/>
    <n v="21"/>
    <n v="2.9400000000000004"/>
    <n v="18.059999999999999"/>
    <n v="15.35"/>
    <n v="0.2"/>
    <n v="0.39877104377104378"/>
    <n v="0"/>
    <n v="2.1112289562289561"/>
    <n v="1.0556144781144781"/>
    <x v="110"/>
    <x v="113"/>
    <x v="23"/>
    <d v="2025-05-06T00:00:00"/>
    <x v="5"/>
    <x v="0"/>
    <x v="6"/>
    <s v="ENTREGUE"/>
    <d v="2025-04-07T00:00:00"/>
    <x v="0"/>
    <m/>
    <n v="0"/>
    <n v="0"/>
    <n v="0"/>
    <n v="0"/>
    <n v="0"/>
  </r>
  <r>
    <x v="0"/>
    <s v="BV45736"/>
    <s v="Pedido 1298"/>
    <d v="2025-03-18T00:00:00"/>
    <x v="108"/>
    <s v="PedidoF1242"/>
    <s v="CódRastreio1240"/>
    <n v="1"/>
    <s v="CPF 1264"/>
    <s v="Nome 1264"/>
    <s v="Tel 1264"/>
    <s v="Cep 1264"/>
    <s v="Rua 1264"/>
    <s v="Comp 1264"/>
    <s v="Balança"/>
    <s v="P4-K63S-8KOM"/>
    <d v="2025-04-03T00:00:00"/>
    <n v="28.99"/>
    <n v="28.99"/>
    <n v="3.7686999999999999"/>
    <n v="25.22"/>
    <n v="14.8"/>
    <n v="0.33"/>
    <n v="0.39877104377104378"/>
    <n v="0"/>
    <n v="9.6912289562289544"/>
    <n v="4.8456144781144772"/>
    <x v="104"/>
    <x v="107"/>
    <x v="22"/>
    <d v="2025-04-16T00:00:00"/>
    <x v="5"/>
    <x v="0"/>
    <x v="6"/>
    <s v="ENTREGUE"/>
    <d v="2025-03-27T00:00:00"/>
    <x v="0"/>
    <m/>
    <n v="0"/>
    <n v="0"/>
    <n v="0"/>
    <n v="0"/>
    <n v="0"/>
  </r>
  <r>
    <x v="0"/>
    <s v="BV45736"/>
    <s v="Pedido 1299"/>
    <d v="2025-03-18T00:00:00"/>
    <x v="108"/>
    <s v="PedidoF1243"/>
    <s v="CódRastreio1241"/>
    <n v="1"/>
    <s v="CPF 1265"/>
    <s v="Nome 1265"/>
    <s v="Tel 1265"/>
    <s v="Cep 1265"/>
    <s v="Rua 1265"/>
    <s v="Comp 1265"/>
    <s v="Ventilador Umidificador Preto"/>
    <s v="HF-SI0F-XC7S"/>
    <d v="2025-04-11T00:00:00"/>
    <n v="44.9"/>
    <n v="44.9"/>
    <n v="6.2860000000000005"/>
    <n v="38.61"/>
    <n v="21.62"/>
    <n v="0.33"/>
    <n v="0.39877104377104378"/>
    <n v="0"/>
    <n v="16.261228956228955"/>
    <n v="8.1306144781144774"/>
    <x v="110"/>
    <x v="113"/>
    <x v="23"/>
    <d v="2025-05-06T00:00:00"/>
    <x v="5"/>
    <x v="0"/>
    <x v="6"/>
    <s v="ENTREGUE"/>
    <d v="2025-04-03T00:00:00"/>
    <x v="0"/>
    <m/>
    <n v="0"/>
    <n v="0"/>
    <n v="0"/>
    <n v="0"/>
    <n v="0"/>
  </r>
  <r>
    <x v="0"/>
    <s v="BV45736"/>
    <s v="Pedido 1300"/>
    <d v="2025-03-18T00:00:00"/>
    <x v="108"/>
    <s v="PedidoF1244"/>
    <s v="CódRastreio1242"/>
    <n v="1"/>
    <s v="CPF 1266"/>
    <s v="Nome 1266"/>
    <s v="Tel 1266"/>
    <s v="Cep 1266"/>
    <s v="Rua 1266"/>
    <s v="Comp 1266"/>
    <s v="Lampada Led"/>
    <s v="RB-W251-UXV2"/>
    <d v="2025-04-18T00:00:00"/>
    <n v="26.99"/>
    <n v="26.99"/>
    <n v="3.5086999999999997"/>
    <n v="23.48"/>
    <n v="10.18"/>
    <n v="0.33"/>
    <n v="0.39877104377104378"/>
    <n v="0"/>
    <n v="12.571228956228957"/>
    <n v="6.2856144781144785"/>
    <x v="111"/>
    <x v="114"/>
    <x v="23"/>
    <d v="2025-05-06T00:00:00"/>
    <x v="5"/>
    <x v="0"/>
    <x v="6"/>
    <s v="ENTREGUE"/>
    <d v="2025-05-02T00:00:00"/>
    <x v="0"/>
    <m/>
    <n v="0"/>
    <n v="0"/>
    <n v="0"/>
    <n v="0"/>
    <n v="0"/>
  </r>
  <r>
    <x v="0"/>
    <s v="BV45736"/>
    <s v="Pedido 1301"/>
    <d v="2025-03-17T00:00:00"/>
    <x v="108"/>
    <s v="PedidoF1245"/>
    <s v="CódRastreio1243"/>
    <n v="1"/>
    <s v="CPF 1267"/>
    <s v="Nome 1267"/>
    <s v="Tel 1267"/>
    <s v="Cep 1267"/>
    <s v="Rua 1267"/>
    <s v="Comp 1267"/>
    <s v="Balança"/>
    <s v="P4-K63S-8KOM"/>
    <d v="2025-04-12T00:00:00"/>
    <n v="28.99"/>
    <n v="28.99"/>
    <n v="3.7686999999999999"/>
    <n v="25.22"/>
    <n v="14.8"/>
    <n v="0.33"/>
    <n v="0.39877104377104378"/>
    <n v="0"/>
    <n v="9.6912289562289544"/>
    <n v="4.8456144781144772"/>
    <x v="108"/>
    <x v="111"/>
    <x v="23"/>
    <d v="2025-05-06T00:00:00"/>
    <x v="5"/>
    <x v="0"/>
    <x v="6"/>
    <s v="ENTREGUE"/>
    <d v="2025-04-03T00:00:00"/>
    <x v="0"/>
    <m/>
    <n v="0"/>
    <n v="0"/>
    <n v="0"/>
    <n v="0"/>
    <n v="0"/>
  </r>
  <r>
    <x v="0"/>
    <s v="BV45736"/>
    <s v="Pedido 1302"/>
    <d v="2025-03-18T00:00:00"/>
    <x v="108"/>
    <s v="PedidoF1246"/>
    <s v="CódRastreio1244"/>
    <n v="1"/>
    <s v="CPF 1268"/>
    <s v="Nome 1268"/>
    <s v="Tel 1268"/>
    <s v="Cep 1268"/>
    <s v="Rua 1268"/>
    <s v="Comp 1268"/>
    <s v="Ventilador Umidificador Preto"/>
    <s v="HF-SI0F-XC7S"/>
    <d v="2025-04-12T00:00:00"/>
    <n v="44.9"/>
    <n v="44.9"/>
    <n v="6.2860000000000005"/>
    <n v="38.61"/>
    <n v="21.62"/>
    <n v="0.33"/>
    <n v="0.39877104377104378"/>
    <n v="0"/>
    <n v="16.261228956228955"/>
    <n v="8.1306144781144774"/>
    <x v="108"/>
    <x v="111"/>
    <x v="23"/>
    <d v="2025-05-06T00:00:00"/>
    <x v="5"/>
    <x v="0"/>
    <x v="6"/>
    <s v="ENTREGUE"/>
    <d v="2025-04-15T00:00:00"/>
    <x v="0"/>
    <m/>
    <n v="0"/>
    <n v="0"/>
    <n v="0"/>
    <n v="0"/>
    <n v="0"/>
  </r>
  <r>
    <x v="0"/>
    <s v="BV45736"/>
    <s v="Pedido 1303"/>
    <d v="2025-03-18T00:00:00"/>
    <x v="108"/>
    <s v="PedidoF1247"/>
    <s v="CódRastreio1245"/>
    <n v="1"/>
    <s v="CPF 1269"/>
    <s v="Nome 1269"/>
    <s v="Tel 1269"/>
    <s v="Cep 1269"/>
    <s v="Rua 1269"/>
    <s v="Comp 1269"/>
    <s v="Balança"/>
    <s v="P4-K63S-8KOM"/>
    <d v="2025-04-08T00:00:00"/>
    <n v="28.99"/>
    <n v="28.99"/>
    <n v="3.7686999999999999"/>
    <n v="25.22"/>
    <n v="14.8"/>
    <n v="0.33"/>
    <n v="0.39877104377104378"/>
    <n v="0"/>
    <n v="9.6912289562289544"/>
    <n v="4.8456144781144772"/>
    <x v="99"/>
    <x v="102"/>
    <x v="22"/>
    <d v="2025-04-16T00:00:00"/>
    <x v="5"/>
    <x v="0"/>
    <x v="6"/>
    <s v="ENTREGUE"/>
    <d v="2025-03-28T00:00:00"/>
    <x v="0"/>
    <m/>
    <n v="0"/>
    <n v="0"/>
    <n v="0"/>
    <n v="0"/>
    <n v="0"/>
  </r>
  <r>
    <x v="0"/>
    <s v="BV45736"/>
    <s v="Pedido 1304"/>
    <d v="2025-03-17T00:00:00"/>
    <x v="108"/>
    <s v="PedidoF1248"/>
    <s v="CódRastreio1246"/>
    <n v="1"/>
    <s v="CPF 1270"/>
    <s v="Nome 1270"/>
    <s v="Tel 1270"/>
    <s v="Cep 1270"/>
    <s v="Rua 1270"/>
    <s v="Comp 1270"/>
    <s v="Lampada Led"/>
    <s v="RB-W251-UXV2"/>
    <d v="2025-04-08T00:00:00"/>
    <n v="26.99"/>
    <n v="26.99"/>
    <n v="3.5086999999999997"/>
    <n v="23.48"/>
    <n v="10.18"/>
    <n v="0.33"/>
    <n v="0.39877104377104378"/>
    <n v="0"/>
    <n v="12.571228956228957"/>
    <n v="6.2856144781144785"/>
    <x v="99"/>
    <x v="102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7"/>
    <s v="Pedido 1305"/>
    <d v="2025-03-18T00:00:00"/>
    <x v="109"/>
    <s v="PedidoF1249"/>
    <s v="CódRastreio1247"/>
    <n v="1"/>
    <s v="CPF 1271"/>
    <s v="Nome 1271"/>
    <s v="Tel 1271"/>
    <s v="Cep 1271"/>
    <s v="Rua 1271"/>
    <s v="Comp 1271"/>
    <s v="Máquina de cortar cabelo dragão"/>
    <s v="RX-DD1P-P5U2"/>
    <d v="2025-04-18T00:00:00"/>
    <n v="24.8"/>
    <n v="24.8"/>
    <n v="2.976"/>
    <n v="21.82"/>
    <n v="10.17"/>
    <n v="0.2"/>
    <n v="0.39877104377104378"/>
    <n v="0"/>
    <n v="11.051228956228957"/>
    <n v="5.5256144781144787"/>
    <x v="111"/>
    <x v="114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7"/>
    <s v="Pedido 1306"/>
    <d v="2025-03-18T00:00:00"/>
    <x v="109"/>
    <s v="PedidoF1250"/>
    <s v="CódRastreio1248"/>
    <n v="1"/>
    <s v="CPF 1272"/>
    <s v="Nome 1272"/>
    <s v="Tel 1272"/>
    <s v="Cep 1272"/>
    <s v="Rua 1272"/>
    <s v="Comp 1272"/>
    <s v="Máquina de cortar cabelo dragão"/>
    <s v="RX-DD1P-P5U2"/>
    <d v="2025-04-05T00:00:00"/>
    <n v="24.8"/>
    <n v="24.8"/>
    <n v="2.976"/>
    <n v="21.82"/>
    <n v="10.17"/>
    <n v="0.2"/>
    <n v="0.39877104377104378"/>
    <n v="0"/>
    <n v="11.051228956228957"/>
    <n v="5.5256144781144787"/>
    <x v="107"/>
    <x v="110"/>
    <x v="22"/>
    <d v="2025-04-16T00:00:00"/>
    <x v="5"/>
    <x v="0"/>
    <x v="6"/>
    <s v="ENTREGUE"/>
    <d v="2025-04-07T00:00:00"/>
    <x v="0"/>
    <m/>
    <n v="0"/>
    <n v="0"/>
    <n v="0"/>
    <n v="0"/>
    <n v="0"/>
  </r>
  <r>
    <x v="2"/>
    <s v="MEI45737"/>
    <s v="Pedido 1307"/>
    <d v="2025-03-18T00:00:00"/>
    <x v="109"/>
    <s v="PedidoF1251"/>
    <s v="CódRastreio1249"/>
    <n v="1"/>
    <s v="CPF 1273"/>
    <s v="Nome 1273"/>
    <s v="Tel 1273"/>
    <s v="Cep 1273"/>
    <s v="Rua 1273"/>
    <s v="Comp 1273"/>
    <s v="Máquina de cortar cabelo dragão"/>
    <s v="RX-DD1P-P5U2"/>
    <d v="2025-04-23T00:00:00"/>
    <n v="24.8"/>
    <n v="24.8"/>
    <n v="2.976"/>
    <n v="21.82"/>
    <n v="10.58"/>
    <n v="0.2"/>
    <n v="0.39877104377104378"/>
    <n v="0"/>
    <n v="10.641228956228957"/>
    <n v="5.3206144781144786"/>
    <x v="112"/>
    <x v="115"/>
    <x v="23"/>
    <d v="2025-05-06T00:00:00"/>
    <x v="5"/>
    <x v="0"/>
    <x v="6"/>
    <s v="ENTREGUE"/>
    <d v="2025-04-10T00:00:00"/>
    <x v="0"/>
    <m/>
    <n v="0"/>
    <n v="0"/>
    <n v="0"/>
    <n v="0"/>
    <n v="0"/>
  </r>
  <r>
    <x v="2"/>
    <s v="MEI45737"/>
    <s v="Pedido 1308"/>
    <d v="2025-03-18T00:00:00"/>
    <x v="109"/>
    <s v="PedidoF1252"/>
    <s v="CódRastreio1250"/>
    <n v="1"/>
    <s v="CPF 1274"/>
    <s v="Nome 1274"/>
    <s v="Tel 1274"/>
    <s v="Cep 1274"/>
    <s v="Rua 1274"/>
    <s v="Comp 1274"/>
    <s v="Máquina de cortar cabelo dragão"/>
    <s v="RX-DD1P-P5U2"/>
    <d v="2025-04-12T00:00:00"/>
    <n v="24.8"/>
    <n v="24.8"/>
    <n v="2.976"/>
    <n v="21.82"/>
    <n v="10.17"/>
    <n v="0.2"/>
    <n v="0.39877104377104378"/>
    <n v="0"/>
    <n v="11.051228956228957"/>
    <n v="5.5256144781144787"/>
    <x v="108"/>
    <x v="111"/>
    <x v="23"/>
    <d v="2025-05-06T00:00:00"/>
    <x v="5"/>
    <x v="0"/>
    <x v="6"/>
    <s v="ENTREGUE"/>
    <d v="2025-04-08T00:00:00"/>
    <x v="0"/>
    <m/>
    <n v="0"/>
    <n v="0"/>
    <n v="0"/>
    <n v="0"/>
    <n v="0"/>
  </r>
  <r>
    <x v="2"/>
    <s v="MEI45737"/>
    <s v="Pedido 1309"/>
    <d v="2025-03-18T00:00:00"/>
    <x v="109"/>
    <s v="PedidoF1253"/>
    <s v="CódRastreio1251"/>
    <n v="1"/>
    <s v="CPF 1275"/>
    <s v="Nome 1275"/>
    <s v="Tel 1275"/>
    <s v="Cep 1275"/>
    <s v="Rua 1275"/>
    <s v="Comp 1275"/>
    <s v="Maçarico Culinário Portátil"/>
    <s v="BG-DHRO-FAEE"/>
    <d v="2025-04-08T00:00:00"/>
    <n v="100"/>
    <n v="100"/>
    <n v="11"/>
    <n v="89"/>
    <n v="10.17"/>
    <n v="0.2"/>
    <n v="0.39877104377104378"/>
    <n v="0"/>
    <n v="78.231228956228961"/>
    <n v="39.11561447811448"/>
    <x v="99"/>
    <x v="102"/>
    <x v="22"/>
    <d v="2025-04-16T00:00:00"/>
    <x v="5"/>
    <x v="0"/>
    <x v="6"/>
    <s v="ENTREGUE"/>
    <d v="2025-04-14T00:00:00"/>
    <x v="0"/>
    <m/>
    <n v="0"/>
    <n v="0"/>
    <n v="0"/>
    <n v="0"/>
    <n v="0"/>
  </r>
  <r>
    <x v="1"/>
    <s v="GO45734"/>
    <s v="Pedido 1310"/>
    <d v="2025-03-18T00:00:00"/>
    <x v="106"/>
    <s v="PedidoF1254"/>
    <s v="CódRastreio1252"/>
    <n v="1"/>
    <s v="CPF 1276"/>
    <s v="Nome 1276"/>
    <s v="Tel 1276"/>
    <s v="Cep 1276"/>
    <s v="Rua 1276"/>
    <s v="Comp 1276"/>
    <s v="Ventilador Umidificador Preto"/>
    <s v="K9-YV2I-FO7H"/>
    <d v="2025-04-08T00:00:00"/>
    <n v="44.9"/>
    <n v="44.9"/>
    <n v="6.2860000000000005"/>
    <n v="38.61"/>
    <n v="19.14"/>
    <n v="0.2"/>
    <n v="0.39877104377104378"/>
    <n v="0"/>
    <n v="18.871228956228954"/>
    <n v="18.871228956228954"/>
    <x v="99"/>
    <x v="102"/>
    <x v="22"/>
    <d v="2025-04-16T00:00:00"/>
    <x v="5"/>
    <x v="0"/>
    <x v="6"/>
    <s v="ENTREGUE"/>
    <d v="2025-03-27T00:00:00"/>
    <x v="0"/>
    <m/>
    <n v="0"/>
    <n v="0"/>
    <n v="0"/>
    <n v="0"/>
    <n v="0"/>
  </r>
  <r>
    <x v="1"/>
    <s v="GO45734"/>
    <s v="Pedido 1311"/>
    <d v="2025-03-18T00:00:00"/>
    <x v="106"/>
    <s v="PedidoF1255"/>
    <s v="CódRastreio1253"/>
    <n v="1"/>
    <s v="CPF 1277"/>
    <s v="Nome 1277"/>
    <s v="Tel 1277"/>
    <s v="Cep 1277"/>
    <s v="Rua 1277"/>
    <s v="Comp 1277"/>
    <s v="Máquina de cortar cabelo dragão"/>
    <s v="6G-56LI-EPD4"/>
    <d v="2025-04-12T00:00:00"/>
    <n v="24.8"/>
    <n v="24.8"/>
    <n v="2.976"/>
    <n v="21.82"/>
    <n v="10.210000000000001"/>
    <n v="0.2"/>
    <n v="0.39877104377104378"/>
    <n v="0"/>
    <n v="11.011228956228956"/>
    <n v="11.011228956228956"/>
    <x v="108"/>
    <x v="111"/>
    <x v="23"/>
    <d v="2025-05-06T00:00:00"/>
    <x v="5"/>
    <x v="0"/>
    <x v="6"/>
    <s v="ENTREGUE"/>
    <d v="2025-03-31T00:00:00"/>
    <x v="0"/>
    <m/>
    <n v="0"/>
    <n v="0"/>
    <n v="0"/>
    <n v="0"/>
    <n v="0"/>
  </r>
  <r>
    <x v="1"/>
    <s v="GO45734"/>
    <s v="Pedido 1312"/>
    <d v="2025-03-18T00:00:00"/>
    <x v="106"/>
    <s v="PedidoF1256"/>
    <s v="CódRastreio1254"/>
    <n v="1"/>
    <s v="CPF 1278"/>
    <s v="Nome 1278"/>
    <s v="Tel 1278"/>
    <s v="Cep 1278"/>
    <s v="Rua 1278"/>
    <s v="Comp 1278"/>
    <s v="Máquina de cortar cabelo dragão"/>
    <s v="6G-56LI-EPD4"/>
    <d v="2025-04-23T00:00:00"/>
    <n v="24.8"/>
    <n v="24.8"/>
    <n v="2.976"/>
    <n v="21.82"/>
    <n v="10.210000000000001"/>
    <n v="0.2"/>
    <n v="0.39877104377104378"/>
    <n v="0"/>
    <n v="11.011228956228956"/>
    <n v="11.011228956228956"/>
    <x v="112"/>
    <x v="115"/>
    <x v="23"/>
    <d v="2025-05-06T00:00:00"/>
    <x v="5"/>
    <x v="0"/>
    <x v="6"/>
    <s v="ENTREGUE"/>
    <d v="2025-04-10T00:00:00"/>
    <x v="0"/>
    <m/>
    <n v="0"/>
    <n v="0"/>
    <n v="0"/>
    <n v="0"/>
    <n v="0"/>
  </r>
  <r>
    <x v="1"/>
    <s v="GO45734"/>
    <s v="Pedido 1313"/>
    <d v="2025-03-18T00:00:00"/>
    <x v="106"/>
    <s v="PedidoF1257"/>
    <s v="CódRastreio1255"/>
    <n v="1"/>
    <s v="CPF 1279"/>
    <s v="Nome 1279"/>
    <s v="Tel 1279"/>
    <s v="Cep 1279"/>
    <s v="Rua 1279"/>
    <s v="Comp 1279"/>
    <s v="Máquina de cortar cabelo dragão"/>
    <s v="6G-56LI-EPD4"/>
    <d v="2025-04-23T00:00:00"/>
    <n v="24.8"/>
    <n v="24.8"/>
    <n v="2.976"/>
    <n v="21.82"/>
    <n v="10.210000000000001"/>
    <n v="0.2"/>
    <n v="0.39877104377104378"/>
    <n v="0"/>
    <n v="11.011228956228956"/>
    <n v="11.011228956228956"/>
    <x v="112"/>
    <x v="115"/>
    <x v="23"/>
    <d v="2025-05-06T00:00:00"/>
    <x v="5"/>
    <x v="0"/>
    <x v="6"/>
    <s v="ENTREGUE"/>
    <d v="2025-04-17T09:20:24"/>
    <x v="0"/>
    <m/>
    <n v="0"/>
    <n v="0"/>
    <n v="0"/>
    <n v="0"/>
    <n v="0"/>
  </r>
  <r>
    <x v="1"/>
    <s v="GO45734"/>
    <s v="Pedido 1314"/>
    <d v="2025-03-18T00:00:00"/>
    <x v="106"/>
    <s v="PedidoF1258"/>
    <s v="CódRastreio1256"/>
    <n v="1"/>
    <s v="CPF 1280"/>
    <s v="Nome 1280"/>
    <s v="Tel 1280"/>
    <s v="Cep 1280"/>
    <s v="Rua 1280"/>
    <s v="Comp 1280"/>
    <s v="Ventilador Umidificador Preto"/>
    <s v="K9-YV2I-FO7H"/>
    <d v="2025-04-12T00:00:00"/>
    <n v="44.9"/>
    <n v="44.9"/>
    <n v="6.2860000000000005"/>
    <n v="38.61"/>
    <n v="19.14"/>
    <n v="0.2"/>
    <n v="0.39877104377104378"/>
    <n v="0"/>
    <n v="18.871228956228954"/>
    <n v="18.871228956228954"/>
    <x v="108"/>
    <x v="111"/>
    <x v="23"/>
    <d v="2025-05-06T00:00:00"/>
    <x v="5"/>
    <x v="0"/>
    <x v="6"/>
    <s v="ENTREGUE"/>
    <d v="2025-03-28T00:00:00"/>
    <x v="0"/>
    <m/>
    <n v="0"/>
    <n v="0"/>
    <n v="0"/>
    <n v="0"/>
    <n v="0"/>
  </r>
  <r>
    <x v="1"/>
    <s v="GO45734"/>
    <s v="Pedido 1315"/>
    <d v="2025-03-18T00:00:00"/>
    <x v="106"/>
    <s v="PedidoF1259"/>
    <s v="CódRastreio1257"/>
    <n v="1"/>
    <s v="CPF 1281"/>
    <s v="Nome 1281"/>
    <s v="Tel 1281"/>
    <s v="Cep 1281"/>
    <s v="Rua 1281"/>
    <s v="Comp 1281"/>
    <s v="Máquina de cortar cabelo dragão"/>
    <s v="6G-56LI-EPD4"/>
    <d v="2025-04-12T00:00:00"/>
    <n v="24.17"/>
    <n v="24.17"/>
    <n v="2.9004000000000003"/>
    <n v="21.27"/>
    <n v="10.210000000000001"/>
    <n v="0.2"/>
    <n v="0.39877104377104378"/>
    <n v="0"/>
    <n v="10.461228956228956"/>
    <n v="10.461228956228956"/>
    <x v="108"/>
    <x v="111"/>
    <x v="23"/>
    <d v="2025-05-06T00:00:00"/>
    <x v="5"/>
    <x v="0"/>
    <x v="6"/>
    <s v="ENTREGUE"/>
    <d v="2025-04-02T00:00:00"/>
    <x v="0"/>
    <m/>
    <n v="0"/>
    <n v="0"/>
    <n v="0"/>
    <n v="0"/>
    <n v="0"/>
  </r>
  <r>
    <x v="1"/>
    <s v="GO45735"/>
    <s v="Pedido 1316"/>
    <d v="2025-03-18T00:00:00"/>
    <x v="104"/>
    <s v="PedidoF1260"/>
    <s v="CódRastreio1258"/>
    <n v="1"/>
    <s v="CPF 1282"/>
    <s v="Nome 1282"/>
    <s v="Tel 1282"/>
    <s v="Cep 1282"/>
    <s v="Rua 1282"/>
    <s v="Comp 1282"/>
    <s v="Lampada Led"/>
    <s v="U9-32BU-7J5P"/>
    <d v="2025-04-08T00:00:00"/>
    <n v="26.99"/>
    <n v="26.99"/>
    <n v="3.5086999999999997"/>
    <n v="23.48"/>
    <n v="10.199999999999999"/>
    <n v="0"/>
    <n v="0.39877104377104378"/>
    <n v="0"/>
    <n v="12.881228956228957"/>
    <n v="12.881228956228957"/>
    <x v="99"/>
    <x v="102"/>
    <x v="22"/>
    <d v="2025-04-16T00:00:00"/>
    <x v="5"/>
    <x v="0"/>
    <x v="6"/>
    <s v="ENTREGUE"/>
    <d v="2025-03-31T00:00:00"/>
    <x v="0"/>
    <m/>
    <n v="0"/>
    <n v="0"/>
    <n v="0"/>
    <n v="0"/>
    <n v="0"/>
  </r>
  <r>
    <x v="1"/>
    <s v="GO45738"/>
    <s v="Pedido 1317"/>
    <d v="2025-03-18T00:00:00"/>
    <x v="110"/>
    <s v="PedidoF1261"/>
    <s v="CódRastreio1259"/>
    <n v="1"/>
    <s v="CPF 1283"/>
    <s v="Nome 1283"/>
    <s v="Tel 1283"/>
    <s v="Cep 1283"/>
    <s v="Rua 1283"/>
    <s v="Comp 1283"/>
    <s v="Máquina de cortar cabelo dragão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x v="108"/>
    <x v="111"/>
    <x v="23"/>
    <d v="2025-05-06T00:00:00"/>
    <x v="5"/>
    <x v="0"/>
    <x v="6"/>
    <s v="ENTREGUE"/>
    <d v="2025-04-07T00:00:00"/>
    <x v="0"/>
    <m/>
    <n v="0"/>
    <n v="0"/>
    <n v="0"/>
    <n v="0"/>
    <n v="0"/>
  </r>
  <r>
    <x v="1"/>
    <s v="GO45738"/>
    <s v="Pedido 1318"/>
    <d v="2025-03-18T00:00:00"/>
    <x v="110"/>
    <s v="PedidoF1262"/>
    <s v="CódRastreio1260"/>
    <n v="1"/>
    <s v="CPF 1284"/>
    <s v="Nome 1284"/>
    <s v="Tel 1284"/>
    <s v="Cep 1284"/>
    <s v="Rua 1284"/>
    <s v="Comp 1284"/>
    <s v="Máquina de cortar cabelo dragão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x v="108"/>
    <x v="111"/>
    <x v="23"/>
    <d v="2025-05-06T00:00:00"/>
    <x v="5"/>
    <x v="0"/>
    <x v="6"/>
    <s v="ENTREGUE"/>
    <d v="2025-04-03T00:00:00"/>
    <x v="0"/>
    <m/>
    <n v="0"/>
    <n v="0"/>
    <n v="0"/>
    <n v="0"/>
    <n v="0"/>
  </r>
  <r>
    <x v="1"/>
    <s v="GO45738"/>
    <s v="Pedido 1319"/>
    <d v="2025-03-18T00:00:00"/>
    <x v="110"/>
    <s v="PedidoF1263"/>
    <s v="CódRastreio1261"/>
    <n v="1"/>
    <s v="CPF 1285"/>
    <s v="Nome 1285"/>
    <s v="Tel 1285"/>
    <s v="Cep 1285"/>
    <s v="Rua 1285"/>
    <s v="Comp 1285"/>
    <s v="Máquina de cortar cabelo dragão"/>
    <s v="6G-56LI-EPD4"/>
    <d v="2025-04-23T00:00:00"/>
    <n v="24.17"/>
    <n v="24.17"/>
    <n v="2.9004000000000003"/>
    <n v="21.27"/>
    <n v="0"/>
    <n v="0.27"/>
    <n v="0.39877104377104378"/>
    <n v="0"/>
    <n v="20.601228956228955"/>
    <n v="20.601228956228955"/>
    <x v="112"/>
    <x v="115"/>
    <x v="23"/>
    <d v="2025-05-06T00:00:00"/>
    <x v="5"/>
    <x v="0"/>
    <x v="6"/>
    <s v="ENTREGUE"/>
    <d v="2025-05-13T00:00:00"/>
    <x v="0"/>
    <m/>
    <n v="0"/>
    <n v="0"/>
    <n v="0"/>
    <n v="0"/>
    <n v="0"/>
  </r>
  <r>
    <x v="1"/>
    <s v="GO45740"/>
    <s v="Pedido 1320"/>
    <d v="2025-03-18T00:00:00"/>
    <x v="111"/>
    <s v="PedidoF1264"/>
    <s v="CódRastreio1262"/>
    <n v="1"/>
    <s v="CPF 1286"/>
    <s v="Nome 1286"/>
    <s v="Tel 1286"/>
    <s v="Cep 1286"/>
    <s v="Rua 1286"/>
    <s v="Comp 1286"/>
    <s v="Lampada Led"/>
    <s v="U9-32BU-7J5P"/>
    <d v="2025-04-08T00:00:00"/>
    <n v="26.99"/>
    <n v="26.99"/>
    <n v="3.5086999999999997"/>
    <n v="23.48"/>
    <n v="10.19"/>
    <n v="0.2"/>
    <n v="0.39877104377104378"/>
    <n v="0"/>
    <n v="12.691228956228958"/>
    <n v="12.691228956228958"/>
    <x v="99"/>
    <x v="102"/>
    <x v="22"/>
    <d v="2025-04-16T00:00:00"/>
    <x v="5"/>
    <x v="0"/>
    <x v="6"/>
    <s v="ENTREGUE"/>
    <d v="2025-04-03T00:00:00"/>
    <x v="0"/>
    <m/>
    <n v="0"/>
    <n v="0"/>
    <n v="0"/>
    <n v="0"/>
    <n v="0"/>
  </r>
  <r>
    <x v="1"/>
    <s v="GO45738"/>
    <s v="Pedido 1321"/>
    <d v="2025-03-18T00:00:00"/>
    <x v="110"/>
    <s v="PedidoF1265"/>
    <s v="CódRastreio1263"/>
    <n v="1"/>
    <s v="CPF 1283"/>
    <s v="Nome 1283"/>
    <s v="Tel 1283"/>
    <s v="Cep 1283"/>
    <s v="Rua 1283"/>
    <s v="Comp 1283"/>
    <s v="Máquina de cortar cabelo dragão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x v="108"/>
    <x v="111"/>
    <x v="23"/>
    <d v="2025-05-06T00:00:00"/>
    <x v="5"/>
    <x v="0"/>
    <x v="6"/>
    <s v="ENTREGUE"/>
    <d v="2025-04-07T00:00:00"/>
    <x v="0"/>
    <m/>
    <n v="0"/>
    <n v="0"/>
    <n v="0"/>
    <n v="0"/>
    <n v="0"/>
  </r>
  <r>
    <x v="1"/>
    <s v="GO45738"/>
    <s v="Pedido 1322"/>
    <d v="2025-03-18T00:00:00"/>
    <x v="110"/>
    <s v="PedidoF1266"/>
    <s v="CódRastreio1264"/>
    <n v="1"/>
    <s v="CPF 1287"/>
    <s v="Nome 1287"/>
    <s v="Tel 1287"/>
    <s v="Cep 1287"/>
    <s v="Rua 1287"/>
    <s v="Comp 1287"/>
    <s v="Maçarico Culinário Portátil"/>
    <s v="WS-5LUS-APOT"/>
    <d v="2025-04-23T00:00:00"/>
    <n v="25.99"/>
    <n v="25.99"/>
    <n v="2.8588999999999998"/>
    <n v="23.13"/>
    <n v="10.17"/>
    <n v="0.27"/>
    <n v="0.39877104377104378"/>
    <n v="0"/>
    <n v="12.291228956228956"/>
    <n v="12.291228956228956"/>
    <x v="112"/>
    <x v="115"/>
    <x v="23"/>
    <d v="2025-05-06T00:00:00"/>
    <x v="5"/>
    <x v="0"/>
    <x v="6"/>
    <s v="ENTREGUE"/>
    <d v="2025-04-24T00:00:00"/>
    <x v="0"/>
    <m/>
    <n v="0"/>
    <n v="0"/>
    <n v="0"/>
    <n v="0"/>
    <n v="0"/>
  </r>
  <r>
    <x v="1"/>
    <s v="GO45738"/>
    <s v="Pedido 1323"/>
    <d v="2025-03-18T00:00:00"/>
    <x v="110"/>
    <s v="PedidoF1267"/>
    <s v="CódRastreio1265"/>
    <n v="1"/>
    <s v="CPF 1288"/>
    <s v="Nome 1288"/>
    <s v="Tel 1288"/>
    <s v="Cep 1288"/>
    <s v="Rua 1288"/>
    <s v="Comp 1288"/>
    <s v="Máquina de cortar cabelo dragão"/>
    <s v="6G-56LI-EPD4"/>
    <d v="2025-04-08T00:00:00"/>
    <n v="24.17"/>
    <n v="24.17"/>
    <n v="2.9004000000000003"/>
    <n v="21.27"/>
    <n v="10.17"/>
    <n v="0.27"/>
    <n v="0.39877104377104378"/>
    <n v="0"/>
    <n v="10.431228956228956"/>
    <n v="10.431228956228956"/>
    <x v="99"/>
    <x v="102"/>
    <x v="22"/>
    <d v="2025-04-16T00:00:00"/>
    <x v="5"/>
    <x v="0"/>
    <x v="6"/>
    <s v="ENTREGUE"/>
    <d v="2025-04-07T00:00:00"/>
    <x v="0"/>
    <m/>
    <n v="0"/>
    <n v="0"/>
    <n v="0"/>
    <n v="0"/>
    <n v="0"/>
  </r>
  <r>
    <x v="1"/>
    <s v="GO45738"/>
    <s v="Pedido 1324"/>
    <d v="2025-03-18T00:00:00"/>
    <x v="110"/>
    <s v="PedidoF1268"/>
    <s v="CódRastreio1266"/>
    <n v="1"/>
    <s v="CPF 1289"/>
    <s v="Nome 1289"/>
    <s v="Tel 1289"/>
    <s v="Cep 1289"/>
    <s v="Rua 1289"/>
    <s v="Comp 1289"/>
    <s v="Ventilador Umidificador Preto"/>
    <s v="K9-YV2I-FO7H"/>
    <d v="2025-04-08T00:00:00"/>
    <n v="44.9"/>
    <n v="44.9"/>
    <n v="6.2860000000000005"/>
    <n v="38.61"/>
    <n v="22.88"/>
    <n v="0.27"/>
    <n v="0.39877104377104378"/>
    <n v="0"/>
    <n v="15.061228956228955"/>
    <n v="15.061228956228955"/>
    <x v="99"/>
    <x v="102"/>
    <x v="22"/>
    <d v="2025-04-16T00:00:00"/>
    <x v="5"/>
    <x v="0"/>
    <x v="6"/>
    <s v="ENTREGUE"/>
    <d v="2025-04-03T00:00:00"/>
    <x v="0"/>
    <m/>
    <n v="0"/>
    <n v="0"/>
    <n v="0"/>
    <n v="0"/>
    <n v="0"/>
  </r>
  <r>
    <x v="1"/>
    <s v="GO45738"/>
    <s v="Pedido 1325"/>
    <d v="2025-03-18T00:00:00"/>
    <x v="110"/>
    <s v="PedidoF1269"/>
    <s v="CódRastreio1267"/>
    <n v="1"/>
    <s v="CPF 1290"/>
    <s v="Nome 1290"/>
    <s v="Tel 1290"/>
    <s v="Cep 1290"/>
    <s v="Rua 1290"/>
    <s v="Comp 1290"/>
    <s v="Máquina de cortar cabelo dragão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x v="108"/>
    <x v="111"/>
    <x v="23"/>
    <d v="2025-05-06T00:00:00"/>
    <x v="5"/>
    <x v="0"/>
    <x v="6"/>
    <s v="ENTREGUE"/>
    <d v="2025-04-08T00:00:00"/>
    <x v="0"/>
    <m/>
    <n v="0"/>
    <n v="0"/>
    <n v="0"/>
    <n v="0"/>
    <n v="0"/>
  </r>
  <r>
    <x v="1"/>
    <s v="GO45738"/>
    <s v="Pedido 1326"/>
    <d v="2025-03-18T00:00:00"/>
    <x v="110"/>
    <s v="PedidoF1270"/>
    <s v="CódRastreio1268"/>
    <n v="1"/>
    <s v="CPF 1291"/>
    <s v="Nome 1291"/>
    <s v="Tel 1291"/>
    <s v="Cep 1291"/>
    <s v="Rua 1291"/>
    <s v="Comp 1291"/>
    <s v="Maçarico Culinário Portátil"/>
    <s v="WS-5LUS-APOT"/>
    <d v="2025-04-08T00:00:00"/>
    <n v="25.99"/>
    <n v="25.99"/>
    <n v="2.8588999999999998"/>
    <n v="23.13"/>
    <n v="10.58"/>
    <n v="0.27"/>
    <n v="0.39877104377104378"/>
    <n v="0"/>
    <n v="11.881228956228956"/>
    <n v="11.881228956228956"/>
    <x v="99"/>
    <x v="102"/>
    <x v="22"/>
    <d v="2025-04-16T00:00:00"/>
    <x v="5"/>
    <x v="0"/>
    <x v="6"/>
    <s v="ENTREGUE"/>
    <d v="2025-04-16T00:00:00"/>
    <x v="0"/>
    <m/>
    <n v="0"/>
    <n v="0"/>
    <n v="0"/>
    <n v="0"/>
    <n v="0"/>
  </r>
  <r>
    <x v="1"/>
    <s v="GO45740"/>
    <s v="Pedido 1327"/>
    <d v="2025-03-18T00:00:00"/>
    <x v="111"/>
    <s v="PedidoF1271"/>
    <s v="CódRastreio1269"/>
    <n v="1"/>
    <s v="CPF 1292"/>
    <s v="Nome 1292"/>
    <s v="Tel 1292"/>
    <s v="Cep 1292"/>
    <s v="Rua 1292"/>
    <s v="Comp 1292"/>
    <s v="Máquina de cortar cabelo dragão"/>
    <s v="6G-56LI-EPD4"/>
    <d v="2025-04-08T00:00:00"/>
    <n v="24.17"/>
    <n v="24.17"/>
    <n v="2.9004000000000003"/>
    <n v="21.27"/>
    <n v="10.61"/>
    <n v="0.2"/>
    <n v="0.39877104377104378"/>
    <n v="0"/>
    <n v="10.061228956228957"/>
    <n v="10.061228956228957"/>
    <x v="99"/>
    <x v="102"/>
    <x v="22"/>
    <d v="2025-04-16T00:00:00"/>
    <x v="5"/>
    <x v="0"/>
    <x v="6"/>
    <s v="ENTREGUE"/>
    <d v="2025-04-03T00:00:00"/>
    <x v="0"/>
    <m/>
    <n v="0"/>
    <n v="0"/>
    <n v="0"/>
    <n v="0"/>
    <n v="0"/>
  </r>
  <r>
    <x v="1"/>
    <s v="GO45738"/>
    <s v="Pedido 1328"/>
    <d v="2025-03-18T00:00:00"/>
    <x v="110"/>
    <s v="PedidoF1272"/>
    <s v="CódRastreio1270"/>
    <n v="1"/>
    <s v="CPF 1293"/>
    <s v="Nome 1293"/>
    <s v="Tel 1293"/>
    <s v="Cep 1293"/>
    <s v="Rua 1293"/>
    <s v="Comp 1293"/>
    <s v="Máquina de cortar cabelo dragão"/>
    <s v="6G-56LI-EPD4"/>
    <d v="2025-04-08T00:00:00"/>
    <n v="24.17"/>
    <n v="24.17"/>
    <n v="2.9004000000000003"/>
    <n v="21.27"/>
    <n v="10.58"/>
    <n v="0.27"/>
    <n v="0.39877104377104378"/>
    <n v="0"/>
    <n v="10.021228956228956"/>
    <n v="10.021228956228956"/>
    <x v="99"/>
    <x v="102"/>
    <x v="22"/>
    <d v="2025-04-16T00:00:00"/>
    <x v="5"/>
    <x v="0"/>
    <x v="6"/>
    <s v="ENTREGUE"/>
    <d v="2025-04-07T00:00:00"/>
    <x v="0"/>
    <m/>
    <n v="0"/>
    <n v="0"/>
    <n v="0"/>
    <n v="0"/>
    <n v="0"/>
  </r>
  <r>
    <x v="1"/>
    <s v="GO45740"/>
    <s v="Pedido 1329"/>
    <d v="2025-03-18T00:00:00"/>
    <x v="111"/>
    <s v="PedidoF1273"/>
    <s v="CódRastreio1271"/>
    <n v="1"/>
    <s v="CPF 1294"/>
    <s v="Nome 1294"/>
    <s v="Tel 1294"/>
    <s v="Cep 1294"/>
    <s v="Rua 1294"/>
    <s v="Comp 1294"/>
    <s v="Máquina de cortar cabelo dragão"/>
    <s v="6G-56LI-EPD4"/>
    <d v="2025-04-23T00:00:00"/>
    <n v="24.17"/>
    <n v="24.17"/>
    <n v="2.9004000000000003"/>
    <n v="21.27"/>
    <n v="10.19"/>
    <n v="0.2"/>
    <n v="0.39877104377104378"/>
    <n v="0"/>
    <n v="10.481228956228957"/>
    <n v="10.481228956228957"/>
    <x v="112"/>
    <x v="115"/>
    <x v="23"/>
    <d v="2025-05-06T00:00:00"/>
    <x v="5"/>
    <x v="0"/>
    <x v="6"/>
    <s v="ENTREGUE"/>
    <d v="2025-04-11T00:00:00"/>
    <x v="0"/>
    <m/>
    <n v="0"/>
    <n v="0"/>
    <n v="0"/>
    <n v="0"/>
    <n v="0"/>
  </r>
  <r>
    <x v="1"/>
    <s v="GO45738"/>
    <s v="Pedido 1330"/>
    <d v="2025-03-18T00:00:00"/>
    <x v="110"/>
    <s v="PedidoF1274"/>
    <s v="CódRastreio1272"/>
    <n v="1"/>
    <s v="CPF 1295"/>
    <s v="Nome 1295"/>
    <s v="Tel 1295"/>
    <s v="Cep 1295"/>
    <s v="Rua 1295"/>
    <s v="Comp 1295"/>
    <s v="Maçarico Culinário Portátil"/>
    <s v="WS-5LUS-APOT"/>
    <d v="2025-04-12T00:00:00"/>
    <n v="25.99"/>
    <n v="25.99"/>
    <n v="2.8588999999999998"/>
    <n v="23.13"/>
    <n v="10.17"/>
    <n v="0.27"/>
    <n v="0.39877104377104378"/>
    <n v="0"/>
    <n v="12.291228956228956"/>
    <n v="12.291228956228956"/>
    <x v="108"/>
    <x v="111"/>
    <x v="23"/>
    <d v="2025-05-06T00:00:00"/>
    <x v="5"/>
    <x v="0"/>
    <x v="6"/>
    <s v="ENTREGUE"/>
    <d v="2025-04-16T00:00:00"/>
    <x v="0"/>
    <m/>
    <n v="0"/>
    <n v="0"/>
    <n v="0"/>
    <n v="0"/>
    <n v="0"/>
  </r>
  <r>
    <x v="1"/>
    <s v="GO45738"/>
    <s v="Pedido 1331"/>
    <d v="2025-03-18T00:00:00"/>
    <x v="110"/>
    <s v="PedidoF1275"/>
    <s v="CódRastreio1273"/>
    <n v="1"/>
    <s v="CPF 1296"/>
    <s v="Nome 1296"/>
    <s v="Tel 1296"/>
    <s v="Cep 1296"/>
    <s v="Rua 1296"/>
    <s v="Comp 1296"/>
    <s v="Máquina de cortar cabelo dragão"/>
    <s v="6G-56LI-EPD4"/>
    <d v="2025-04-12T00:00:00"/>
    <n v="24.17"/>
    <n v="24.17"/>
    <n v="2.9004000000000003"/>
    <n v="21.27"/>
    <n v="10.58"/>
    <n v="0.27"/>
    <n v="0.39877104377104378"/>
    <n v="0"/>
    <n v="10.021228956228956"/>
    <n v="10.021228956228956"/>
    <x v="108"/>
    <x v="111"/>
    <x v="23"/>
    <d v="2025-05-06T00:00:00"/>
    <x v="5"/>
    <x v="0"/>
    <x v="6"/>
    <s v="ENTREGUE"/>
    <d v="2025-04-16T00:00:00"/>
    <x v="0"/>
    <m/>
    <n v="0"/>
    <n v="0"/>
    <n v="0"/>
    <n v="0"/>
    <n v="0"/>
  </r>
  <r>
    <x v="1"/>
    <s v="GO45738"/>
    <s v="Pedido 1332"/>
    <d v="2025-03-18T00:00:00"/>
    <x v="110"/>
    <s v="PedidoF1276"/>
    <s v="CódRastreio1274"/>
    <n v="1"/>
    <s v="CPF 1297"/>
    <s v="Nome 1297"/>
    <s v="Tel 1297"/>
    <s v="Cep 1297"/>
    <s v="Rua 1297"/>
    <s v="Comp 1297"/>
    <s v="Máquina de cortar cabelo dragão"/>
    <s v="6G-56LI-EPD4"/>
    <d v="2025-04-12T00:00:00"/>
    <n v="24.17"/>
    <n v="24.17"/>
    <n v="2.9004000000000003"/>
    <n v="21.27"/>
    <n v="10.58"/>
    <n v="0.27"/>
    <n v="0.39877104377104378"/>
    <n v="0"/>
    <n v="10.021228956228956"/>
    <n v="10.021228956228956"/>
    <x v="108"/>
    <x v="111"/>
    <x v="23"/>
    <d v="2025-05-06T00:00:00"/>
    <x v="5"/>
    <x v="0"/>
    <x v="6"/>
    <s v="ENTREGUE"/>
    <d v="2025-04-16T00:00:00"/>
    <x v="0"/>
    <m/>
    <n v="0"/>
    <n v="0"/>
    <n v="0"/>
    <n v="0"/>
    <n v="0"/>
  </r>
  <r>
    <x v="1"/>
    <s v="GO45738"/>
    <s v="Pedido 1333"/>
    <d v="2025-03-18T00:00:00"/>
    <x v="110"/>
    <s v="PedidoF1277"/>
    <s v="CódRastreio1275"/>
    <n v="1"/>
    <s v="CPF 1298"/>
    <s v="Nome 1298"/>
    <s v="Tel 1298"/>
    <s v="Cep 1298"/>
    <s v="Rua 1298"/>
    <s v="Comp 1298"/>
    <s v="Mini Liquidificador"/>
    <s v="Q3-ZLM0-OEUO"/>
    <d v="2025-04-12T00:00:00"/>
    <n v="30.95"/>
    <n v="30.95"/>
    <n v="4.3330000000000002"/>
    <n v="26.62"/>
    <n v="16.3"/>
    <n v="0.27"/>
    <n v="0.39877104377104378"/>
    <n v="0"/>
    <n v="9.6512289562289553"/>
    <n v="9.6512289562289553"/>
    <x v="108"/>
    <x v="111"/>
    <x v="23"/>
    <d v="2025-05-06T00:00:00"/>
    <x v="5"/>
    <x v="0"/>
    <x v="6"/>
    <s v="ENTREGUE"/>
    <d v="2025-04-08T00:00:00"/>
    <x v="0"/>
    <m/>
    <n v="0"/>
    <n v="0"/>
    <n v="0"/>
    <n v="0"/>
    <n v="0"/>
  </r>
  <r>
    <x v="1"/>
    <s v="GO45738"/>
    <s v="Pedido 1334"/>
    <d v="2025-03-18T00:00:00"/>
    <x v="110"/>
    <s v="PedidoF1278"/>
    <s v="CódRastreio1276"/>
    <n v="1"/>
    <s v="CPF 1299"/>
    <s v="Nome 1299"/>
    <s v="Tel 1299"/>
    <s v="Cep 1299"/>
    <s v="Rua 1299"/>
    <s v="Comp 1299"/>
    <s v="Máquina de cortar cabelo dragão"/>
    <s v="6G-56LI-EPD4"/>
    <d v="2025-04-23T00:00:00"/>
    <n v="24.17"/>
    <n v="24.17"/>
    <n v="2.9004000000000003"/>
    <n v="21.27"/>
    <n v="0"/>
    <n v="0.27"/>
    <n v="0.39877104377104378"/>
    <n v="0"/>
    <n v="20.601228956228955"/>
    <n v="20.601228956228955"/>
    <x v="112"/>
    <x v="115"/>
    <x v="23"/>
    <d v="2025-05-06T00:00:00"/>
    <x v="5"/>
    <x v="0"/>
    <x v="6"/>
    <s v="ENTREGUE"/>
    <d v="2025-05-13T00:00:00"/>
    <x v="0"/>
    <m/>
    <n v="0"/>
    <n v="0"/>
    <n v="0"/>
    <n v="0"/>
    <n v="0"/>
  </r>
  <r>
    <x v="1"/>
    <s v="GO45740"/>
    <s v="Pedido 1335"/>
    <d v="2025-03-18T00:00:00"/>
    <x v="111"/>
    <s v="PedidoF1279"/>
    <s v="CódRastreio1277"/>
    <n v="1"/>
    <s v="CPF 1300"/>
    <s v="Nome 1300"/>
    <s v="Tel 1300"/>
    <s v="Cep 1300"/>
    <s v="Rua 1300"/>
    <s v="Comp 1300"/>
    <s v="Máquina de cortar cabelo dragão"/>
    <s v="6G-56LI-EPD4"/>
    <d v="2025-04-12T00:00:00"/>
    <n v="24.17"/>
    <n v="24.17"/>
    <n v="2.9004000000000003"/>
    <n v="21.27"/>
    <n v="10.19"/>
    <n v="0.2"/>
    <n v="0.39877104377104378"/>
    <n v="0"/>
    <n v="10.481228956228957"/>
    <n v="10.481228956228957"/>
    <x v="108"/>
    <x v="111"/>
    <x v="23"/>
    <d v="2025-05-06T00:00:00"/>
    <x v="5"/>
    <x v="0"/>
    <x v="6"/>
    <s v="ENTREGUE"/>
    <d v="2025-04-15T00:00:00"/>
    <x v="0"/>
    <m/>
    <n v="0"/>
    <n v="0"/>
    <n v="0"/>
    <n v="0"/>
    <n v="0"/>
  </r>
  <r>
    <x v="1"/>
    <s v="GO45738"/>
    <s v="Pedido 1336"/>
    <d v="2025-03-18T00:00:00"/>
    <x v="110"/>
    <s v="PedidoF1280"/>
    <s v="CódRastreio1278"/>
    <n v="1"/>
    <s v="CPF 1301"/>
    <s v="Nome 1301"/>
    <s v="Tel 1301"/>
    <s v="Cep 1301"/>
    <s v="Rua 1301"/>
    <s v="Comp 1301"/>
    <s v="Máquina de cortar cabelo dragão"/>
    <s v="6G-56LI-EPD4"/>
    <d v="2025-04-12T00:00:00"/>
    <n v="24.17"/>
    <n v="24.17"/>
    <n v="2.9004000000000003"/>
    <n v="21.27"/>
    <n v="10.17"/>
    <n v="0.27"/>
    <n v="0.39877104377104378"/>
    <n v="0"/>
    <n v="10.431228956228956"/>
    <n v="10.431228956228956"/>
    <x v="108"/>
    <x v="111"/>
    <x v="23"/>
    <d v="2025-05-06T00:00:00"/>
    <x v="5"/>
    <x v="0"/>
    <x v="6"/>
    <s v="ENTREGUE"/>
    <d v="2025-04-11T00:00:00"/>
    <x v="0"/>
    <m/>
    <n v="0"/>
    <n v="0"/>
    <n v="0"/>
    <n v="0"/>
    <n v="0"/>
  </r>
  <r>
    <x v="1"/>
    <s v="GO45738"/>
    <s v="Pedido 1337"/>
    <d v="2025-03-18T00:00:00"/>
    <x v="110"/>
    <s v="PedidoF1281"/>
    <s v="CódRastreio1279"/>
    <n v="1"/>
    <s v="CPF 1302"/>
    <s v="Nome 1302"/>
    <s v="Tel 1302"/>
    <s v="Cep 1302"/>
    <s v="Rua 1302"/>
    <s v="Comp 1302"/>
    <s v="Máquina de cortar cabelo dragão"/>
    <s v="6G-56LI-EPD4"/>
    <d v="2025-04-12T00:00:00"/>
    <n v="24.17"/>
    <n v="24.17"/>
    <n v="2.9004000000000003"/>
    <n v="21.27"/>
    <n v="10.58"/>
    <n v="0.27"/>
    <n v="0.39877104377104378"/>
    <n v="0"/>
    <n v="10.021228956228956"/>
    <n v="10.021228956228956"/>
    <x v="108"/>
    <x v="111"/>
    <x v="23"/>
    <d v="2025-05-06T00:00:00"/>
    <x v="5"/>
    <x v="0"/>
    <x v="6"/>
    <s v="ENTREGUE"/>
    <d v="2025-04-08T00:00:00"/>
    <x v="0"/>
    <m/>
    <n v="0"/>
    <n v="0"/>
    <n v="0"/>
    <n v="0"/>
    <n v="0"/>
  </r>
  <r>
    <x v="1"/>
    <s v="GO45740"/>
    <s v="Pedido 1338"/>
    <d v="2025-03-18T00:00:00"/>
    <x v="111"/>
    <s v="PedidoF1282"/>
    <s v="CódRastreio1280"/>
    <n v="1"/>
    <s v="CPF 1303"/>
    <s v="Nome 1303"/>
    <s v="Tel 1303"/>
    <s v="Cep 1303"/>
    <s v="Rua 1303"/>
    <s v="Comp 1303"/>
    <s v="Máquina de cortar cabelo dragão"/>
    <s v="6G-56LI-EPD4"/>
    <d v="2025-04-12T00:00:00"/>
    <n v="24.17"/>
    <n v="24.17"/>
    <n v="2.9004000000000003"/>
    <n v="21.27"/>
    <n v="10.19"/>
    <n v="0.2"/>
    <n v="0.39877104377104378"/>
    <n v="0"/>
    <n v="10.481228956228957"/>
    <n v="10.481228956228957"/>
    <x v="108"/>
    <x v="111"/>
    <x v="23"/>
    <d v="2025-05-06T00:00:00"/>
    <x v="5"/>
    <x v="0"/>
    <x v="6"/>
    <s v="ENTREGUE"/>
    <d v="2025-04-04T00:00:00"/>
    <x v="0"/>
    <m/>
    <n v="0"/>
    <n v="0"/>
    <n v="0"/>
    <n v="0"/>
    <n v="0"/>
  </r>
  <r>
    <x v="1"/>
    <s v="GO45740"/>
    <s v="Pedido 1339"/>
    <d v="2025-03-18T00:00:00"/>
    <x v="111"/>
    <s v="PedidoF1283"/>
    <s v="CódRastreio1281"/>
    <n v="1"/>
    <s v="CPF 1304"/>
    <s v="Nome 1304"/>
    <s v="Tel 1304"/>
    <s v="Cep 1304"/>
    <s v="Rua 1304"/>
    <s v="Comp 1304"/>
    <s v="Ventilador Preto"/>
    <s v="EP-9PIR-BWXH"/>
    <d v="2025-04-12T00:00:00"/>
    <n v="100"/>
    <n v="100"/>
    <n v="13"/>
    <n v="87"/>
    <n v="12.3"/>
    <n v="0.2"/>
    <n v="0.39877104377104378"/>
    <n v="0"/>
    <n v="74.101228956228951"/>
    <n v="74.101228956228951"/>
    <x v="108"/>
    <x v="111"/>
    <x v="23"/>
    <d v="2025-05-06T00:00:00"/>
    <x v="5"/>
    <x v="0"/>
    <x v="6"/>
    <s v="ENTREGUE"/>
    <d v="2025-04-10T00:00:00"/>
    <x v="0"/>
    <m/>
    <n v="0"/>
    <n v="0"/>
    <n v="0"/>
    <n v="0"/>
    <n v="0"/>
  </r>
  <r>
    <x v="1"/>
    <s v="GO45738"/>
    <s v="Pedido 1340"/>
    <d v="2025-03-19T00:00:00"/>
    <x v="110"/>
    <s v="PedidoF1284"/>
    <s v="CódRastreio1282"/>
    <n v="1"/>
    <s v="CPF 1305"/>
    <s v="Nome 1305"/>
    <s v="Tel 1305"/>
    <s v="Cep 1305"/>
    <s v="Rua 1305"/>
    <s v="Comp 1305"/>
    <s v="Ventilador Preto"/>
    <s v="EP-9PIR-BWXH"/>
    <d v="2025-04-08T00:00:00"/>
    <n v="100"/>
    <n v="100"/>
    <n v="13"/>
    <n v="87"/>
    <n v="11.66"/>
    <n v="0.27"/>
    <n v="0.39877104377104378"/>
    <n v="0"/>
    <n v="74.671228956228958"/>
    <n v="74.671228956228958"/>
    <x v="99"/>
    <x v="102"/>
    <x v="22"/>
    <d v="2025-04-16T00:00:00"/>
    <x v="5"/>
    <x v="0"/>
    <x v="6"/>
    <s v="ENTREGUE"/>
    <d v="2025-04-04T00:00:00"/>
    <x v="0"/>
    <m/>
    <n v="0"/>
    <n v="0"/>
    <n v="0"/>
    <n v="0"/>
    <n v="0"/>
  </r>
  <r>
    <x v="2"/>
    <s v="MEI45740"/>
    <s v="Pedido 1341"/>
    <d v="2025-03-23T00:00:00"/>
    <x v="111"/>
    <s v="PedidoF1285"/>
    <s v="CódRastreio1283"/>
    <n v="1"/>
    <s v="CPF 1306"/>
    <s v="Nome 1306"/>
    <s v="Tel 1306"/>
    <s v="Cep 1306"/>
    <s v="Rua 1306"/>
    <s v="Comp 1306"/>
    <s v="Ventilador Azul"/>
    <s v="PK-L2Z7-MQRQ"/>
    <d v="2025-04-11T00:00:00"/>
    <n v="49.9"/>
    <n v="49.9"/>
    <n v="6.4870000000000001"/>
    <n v="43.41"/>
    <n v="11.77"/>
    <n v="0.24"/>
    <n v="0.39877104377104378"/>
    <n v="0"/>
    <n v="31.001228956228953"/>
    <n v="15.500614478114477"/>
    <x v="110"/>
    <x v="113"/>
    <x v="23"/>
    <d v="2025-05-06T00:00:00"/>
    <x v="5"/>
    <x v="0"/>
    <x v="6"/>
    <s v="ENTREGUE"/>
    <d v="2025-04-01T00:00:00"/>
    <x v="0"/>
    <m/>
    <n v="0"/>
    <n v="0"/>
    <n v="0"/>
    <n v="0"/>
    <n v="0"/>
  </r>
  <r>
    <x v="2"/>
    <s v="MEI-"/>
    <s v="Pedido 1342"/>
    <d v="2025-03-23T00:00:00"/>
    <x v="0"/>
    <s v="-"/>
    <s v="-"/>
    <n v="1"/>
    <s v="CPF 1307"/>
    <s v="Nome 1307"/>
    <s v="Tel 1307"/>
    <s v="Cep 1307"/>
    <s v="Rua 1307"/>
    <s v="Comp 1307"/>
    <s v="Ventilador Azul"/>
    <s v="PK-L2Z7-MQRQ"/>
    <d v="2025-04-11T00:00:00"/>
    <n v="49.9"/>
    <n v="49.9"/>
    <n v="6.4870000000000001"/>
    <n v="43.41"/>
    <n v="0"/>
    <n v="0"/>
    <n v="0"/>
    <n v="0"/>
    <n v="43.41"/>
    <n v="21.704999999999998"/>
    <x v="110"/>
    <x v="113"/>
    <x v="23"/>
    <d v="2025-05-06T00:00:00"/>
    <x v="5"/>
    <x v="0"/>
    <x v="0"/>
    <s v="-"/>
    <s v="-"/>
    <x v="0"/>
    <m/>
    <n v="0"/>
    <n v="0"/>
    <n v="0"/>
    <n v="0"/>
    <n v="0"/>
  </r>
  <r>
    <x v="2"/>
    <s v="MEI45740"/>
    <s v="Pedido 1343"/>
    <d v="2025-03-23T00:00:00"/>
    <x v="111"/>
    <s v="PedidoF1286"/>
    <s v="CódRastreio1284"/>
    <n v="1"/>
    <s v="CPF 1308"/>
    <s v="Nome 1308"/>
    <s v="Tel 1308"/>
    <s v="Cep 1308"/>
    <s v="Rua 1308"/>
    <s v="Comp 1308"/>
    <s v="Lampada Led"/>
    <s v="T1-SWVB-UPOW"/>
    <d v="2025-04-17T00:00:00"/>
    <n v="29.99"/>
    <n v="29.99"/>
    <n v="3.8986999999999998"/>
    <n v="26.09"/>
    <n v="10.61"/>
    <n v="0.24"/>
    <n v="0.39877104377104378"/>
    <n v="0"/>
    <n v="14.841228956228957"/>
    <n v="7.4206144781144783"/>
    <x v="109"/>
    <x v="112"/>
    <x v="23"/>
    <d v="2025-05-06T00:00:00"/>
    <x v="5"/>
    <x v="0"/>
    <x v="6"/>
    <s v="ENTREGUE"/>
    <d v="2025-04-09T00:00:00"/>
    <x v="0"/>
    <m/>
    <n v="0"/>
    <n v="0"/>
    <n v="0"/>
    <n v="0"/>
    <n v="0"/>
  </r>
  <r>
    <x v="2"/>
    <s v="MEI45740"/>
    <s v="Pedido 1344"/>
    <d v="2025-03-24T00:00:00"/>
    <x v="111"/>
    <s v="PedidoF1287"/>
    <s v="CódRastreio1285"/>
    <n v="1"/>
    <s v="CPF 1309"/>
    <s v="Nome 1309"/>
    <s v="Tel 1309"/>
    <s v="Cep 1309"/>
    <s v="Rua 1309"/>
    <s v="Comp 1309"/>
    <s v="Brinquedo Bola Giratória voadora"/>
    <s v="Z0-F6CI-18CL"/>
    <d v="2025-04-11T00:00:00"/>
    <n v="44.95"/>
    <n v="44.95"/>
    <n v="5.3940000000000001"/>
    <n v="39.56"/>
    <n v="11.48"/>
    <n v="0.24"/>
    <n v="0.39877104377104378"/>
    <n v="0"/>
    <n v="27.441228956228958"/>
    <n v="13.720614478114479"/>
    <x v="110"/>
    <x v="113"/>
    <x v="23"/>
    <d v="2025-05-06T00:00:00"/>
    <x v="5"/>
    <x v="0"/>
    <x v="6"/>
    <s v="ENTREGUE"/>
    <d v="2025-04-03T00:00:00"/>
    <x v="0"/>
    <m/>
    <n v="0"/>
    <n v="0"/>
    <n v="0"/>
    <n v="0"/>
    <n v="0"/>
  </r>
  <r>
    <x v="2"/>
    <s v="MEI45740"/>
    <s v="Pedido 1345"/>
    <d v="2025-03-24T00:00:00"/>
    <x v="111"/>
    <s v="PedidoF1288"/>
    <s v="CódRastreio1286"/>
    <n v="1"/>
    <s v="CPF 1310"/>
    <s v="Nome 1310"/>
    <s v="Tel 1310"/>
    <s v="Cep 1310"/>
    <s v="Rua 1310"/>
    <s v="Comp 1310"/>
    <s v="Ventilador Rosa"/>
    <s v="WR-82Y0-OV27"/>
    <d v="2025-04-17T00:00:00"/>
    <n v="59.89"/>
    <n v="59.89"/>
    <n v="7.7857000000000003"/>
    <n v="52.1"/>
    <n v="12.49"/>
    <n v="0.24"/>
    <n v="0.39877104377104378"/>
    <n v="0"/>
    <n v="38.971228956228956"/>
    <n v="19.485614478114478"/>
    <x v="109"/>
    <x v="112"/>
    <x v="23"/>
    <d v="2025-05-06T00:00:00"/>
    <x v="5"/>
    <x v="0"/>
    <x v="6"/>
    <s v="ENTREGUE"/>
    <d v="2025-04-11T00:00:00"/>
    <x v="0"/>
    <m/>
    <n v="0"/>
    <n v="0"/>
    <n v="0"/>
    <n v="0"/>
    <n v="0"/>
  </r>
  <r>
    <x v="2"/>
    <s v="MEI45740"/>
    <s v="Pedido 1346"/>
    <d v="2025-03-24T00:00:00"/>
    <x v="111"/>
    <s v="PedidoF1289"/>
    <s v="CódRastreio1287"/>
    <n v="1"/>
    <s v="CPF 1311"/>
    <s v="Nome 1311"/>
    <s v="Tel 1311"/>
    <s v="Cep 1311"/>
    <s v="Rua 1311"/>
    <s v="Comp 1311"/>
    <s v="Ventilador Azul"/>
    <s v="PK-L2Z7-MQRQ"/>
    <d v="2025-04-11T00:00:00"/>
    <n v="49.9"/>
    <n v="49.9"/>
    <n v="6.4870000000000001"/>
    <n v="43.41"/>
    <n v="11.77"/>
    <n v="0.24"/>
    <n v="0.39877104377104378"/>
    <n v="0"/>
    <n v="31.001228956228953"/>
    <n v="15.500614478114477"/>
    <x v="110"/>
    <x v="113"/>
    <x v="23"/>
    <d v="2025-05-06T00:00:00"/>
    <x v="5"/>
    <x v="0"/>
    <x v="6"/>
    <s v="ENTREGUE"/>
    <d v="2025-04-04T00:00:00"/>
    <x v="0"/>
    <m/>
    <n v="0"/>
    <n v="0"/>
    <n v="0"/>
    <n v="0"/>
    <n v="0"/>
  </r>
  <r>
    <x v="2"/>
    <s v="MEI45740"/>
    <s v="Pedido 1347"/>
    <d v="2025-03-24T00:00:00"/>
    <x v="111"/>
    <s v="PedidoF1290"/>
    <s v="CódRastreio1288"/>
    <n v="1"/>
    <s v="CPF 1312"/>
    <s v="Nome 1312"/>
    <s v="Tel 1312"/>
    <s v="Cep 1312"/>
    <s v="Rua 1312"/>
    <s v="Comp 1312"/>
    <s v="Lampada Led"/>
    <s v="T1-SWVB-UPOW"/>
    <d v="2025-04-29T00:00:00"/>
    <n v="29.99"/>
    <n v="29.99"/>
    <n v="3.8986999999999998"/>
    <n v="26.09"/>
    <n v="10.19"/>
    <n v="0.24"/>
    <n v="0.39877104377104378"/>
    <n v="0"/>
    <n v="15.261228956228956"/>
    <n v="7.6306144781144782"/>
    <x v="113"/>
    <x v="116"/>
    <x v="24"/>
    <d v="2025-05-20T00:00:00"/>
    <x v="6"/>
    <x v="0"/>
    <x v="6"/>
    <s v="ENTREGUE"/>
    <d v="2025-04-08T00:00:00"/>
    <x v="0"/>
    <m/>
    <n v="0"/>
    <n v="0"/>
    <n v="0"/>
    <n v="0"/>
    <n v="0"/>
  </r>
  <r>
    <x v="2"/>
    <s v="MEI45740"/>
    <s v="Pedido 1348"/>
    <d v="2025-03-24T00:00:00"/>
    <x v="111"/>
    <s v="PedidoF1291"/>
    <s v="CódRastreio1289"/>
    <n v="1"/>
    <s v="CPF 1313"/>
    <s v="Nome 1313"/>
    <s v="Tel 1313"/>
    <s v="Cep 1313"/>
    <s v="Rua 1313"/>
    <s v="Comp 1313"/>
    <s v="Máquina de cortar cabelo dragão"/>
    <s v="RX-DD1P-P5U2"/>
    <d v="2025-04-29T00:00:00"/>
    <n v="32.99"/>
    <n v="32.99"/>
    <n v="3.9588000000000001"/>
    <n v="29.03"/>
    <n v="10.19"/>
    <n v="0.24"/>
    <n v="0.39877104377104378"/>
    <n v="0"/>
    <n v="18.20122895622896"/>
    <n v="9.1006144781144798"/>
    <x v="113"/>
    <x v="116"/>
    <x v="24"/>
    <d v="2025-05-20T00:00:00"/>
    <x v="6"/>
    <x v="0"/>
    <x v="6"/>
    <s v="ENTREGUE"/>
    <d v="2025-04-09T00:00:00"/>
    <x v="0"/>
    <m/>
    <n v="0"/>
    <n v="0"/>
    <n v="0"/>
    <n v="0"/>
    <n v="0"/>
  </r>
  <r>
    <x v="2"/>
    <s v="MEI45740"/>
    <s v="Pedido 1349"/>
    <d v="2025-03-24T00:00:00"/>
    <x v="111"/>
    <s v="PedidoF1292"/>
    <s v="CódRastreio1290"/>
    <n v="1"/>
    <s v="CPF 1314"/>
    <s v="Nome 1314"/>
    <s v="Tel 1314"/>
    <s v="Cep 1314"/>
    <s v="Rua 1314"/>
    <s v="Comp 1314"/>
    <s v="Ventilador Azul"/>
    <s v="PK-L2Z7-MQRQ"/>
    <d v="2025-04-12T00:00:00"/>
    <n v="49.9"/>
    <n v="49.9"/>
    <n v="6.4870000000000001"/>
    <n v="43.41"/>
    <n v="11.77"/>
    <n v="0.24"/>
    <n v="0.39877104377104378"/>
    <n v="0"/>
    <n v="31.001228956228953"/>
    <n v="15.500614478114477"/>
    <x v="108"/>
    <x v="111"/>
    <x v="23"/>
    <d v="2025-05-06T00:00:00"/>
    <x v="5"/>
    <x v="0"/>
    <x v="6"/>
    <s v="ENTREGUE"/>
    <d v="2025-04-01T00:00:00"/>
    <x v="0"/>
    <m/>
    <n v="0"/>
    <n v="0"/>
    <n v="0"/>
    <n v="0"/>
    <n v="0"/>
  </r>
  <r>
    <x v="2"/>
    <s v="MEI45740"/>
    <s v="Pedido 1350"/>
    <d v="2025-03-24T00:00:00"/>
    <x v="111"/>
    <s v="PedidoF1293"/>
    <s v="CódRastreio1291"/>
    <n v="1"/>
    <s v="CPF 1315"/>
    <s v="Nome 1315"/>
    <s v="Tel 1315"/>
    <s v="Cep 1315"/>
    <s v="Rua 1315"/>
    <s v="Comp 1315"/>
    <s v="Ventilador de teto"/>
    <s v="JV-A3YY-I7XH"/>
    <d v="2025-04-12T00:00:00"/>
    <n v="70.489999999999995"/>
    <n v="70.489999999999995"/>
    <n v="9.1637000000000004"/>
    <n v="61.33"/>
    <n v="34.24"/>
    <n v="0.24"/>
    <n v="0.39877104377104378"/>
    <n v="0"/>
    <n v="26.451228956228952"/>
    <n v="13.225614478114476"/>
    <x v="108"/>
    <x v="111"/>
    <x v="23"/>
    <d v="2025-05-06T00:00:00"/>
    <x v="5"/>
    <x v="0"/>
    <x v="6"/>
    <s v="ENTREGUE"/>
    <d v="2025-04-10T00:00:00"/>
    <x v="0"/>
    <m/>
    <n v="0"/>
    <n v="0"/>
    <n v="0"/>
    <n v="0"/>
    <n v="0"/>
  </r>
  <r>
    <x v="2"/>
    <s v="MEI45741"/>
    <s v="Pedido 1351"/>
    <d v="2025-03-24T00:00:00"/>
    <x v="112"/>
    <s v="PedidoF1294"/>
    <s v="CódRastreio1292"/>
    <n v="1"/>
    <s v="CPF 1316"/>
    <s v="Nome 1316"/>
    <s v="Tel 1316"/>
    <s v="Cep 1316"/>
    <s v="Rua 1316"/>
    <s v="Comp 1316"/>
    <s v="Máquina de cortar cabelo dragão"/>
    <s v="RX-DD1P-P5U2"/>
    <d v="2025-04-29T00:00:00"/>
    <n v="32.99"/>
    <n v="32.99"/>
    <n v="3.9588000000000001"/>
    <n v="29.03"/>
    <n v="10.17"/>
    <n v="0.25"/>
    <n v="0.39877104377104378"/>
    <n v="0"/>
    <n v="18.211228956228958"/>
    <n v="9.1056144781144788"/>
    <x v="113"/>
    <x v="116"/>
    <x v="24"/>
    <d v="2025-05-20T00:00:00"/>
    <x v="6"/>
    <x v="0"/>
    <x v="6"/>
    <s v="ENTREGUE"/>
    <d v="2025-04-25T00:00:00"/>
    <x v="0"/>
    <m/>
    <n v="0"/>
    <n v="0"/>
    <n v="0"/>
    <n v="0"/>
    <n v="0"/>
  </r>
  <r>
    <x v="2"/>
    <s v="MEI45741"/>
    <s v="Pedido 1352"/>
    <d v="2025-03-25T00:00:00"/>
    <x v="112"/>
    <s v="PedidoF1295"/>
    <s v="CódRastreio1293"/>
    <n v="1"/>
    <s v="CPF 1317"/>
    <s v="Nome 1317"/>
    <s v="Tel 1317"/>
    <s v="Cep 1317"/>
    <s v="Rua 1317"/>
    <s v="Comp 1317"/>
    <s v="Ventilador Umidificador Preto"/>
    <s v="71-KHMZ-MLQW"/>
    <d v="2025-04-23T00:00:00"/>
    <n v="53"/>
    <n v="53"/>
    <n v="5.83"/>
    <n v="47.17"/>
    <n v="22.33"/>
    <n v="0.25"/>
    <n v="0.39877104377104378"/>
    <n v="0"/>
    <n v="24.191228956228958"/>
    <n v="12.095614478114479"/>
    <x v="112"/>
    <x v="115"/>
    <x v="23"/>
    <d v="2025-05-06T00:00:00"/>
    <x v="5"/>
    <x v="0"/>
    <x v="6"/>
    <s v="ENTREGUE"/>
    <d v="2025-04-09T00:00:00"/>
    <x v="0"/>
    <m/>
    <n v="0"/>
    <n v="0"/>
    <n v="0"/>
    <n v="0"/>
    <n v="0"/>
  </r>
  <r>
    <x v="2"/>
    <s v="MEI45741"/>
    <s v="Pedido 1353"/>
    <d v="2025-03-25T00:00:00"/>
    <x v="112"/>
    <s v="PedidoF1296"/>
    <s v="CódRastreio1294"/>
    <n v="1"/>
    <s v="CPF 1318"/>
    <s v="Nome 1318"/>
    <s v="Tel 1318"/>
    <s v="Cep 1318"/>
    <s v="Rua 1318"/>
    <s v="Comp 1318"/>
    <s v="Maçarico Culinário Portátil"/>
    <s v="BG-DHRO-FAEE"/>
    <d v="2025-04-30T00:00:00"/>
    <n v="32.99"/>
    <n v="32.99"/>
    <n v="3.6289000000000002"/>
    <n v="29.36"/>
    <n v="0"/>
    <n v="0.25"/>
    <n v="0.39877104377104378"/>
    <n v="0"/>
    <n v="28.711228956228954"/>
    <n v="14.355614478114477"/>
    <x v="114"/>
    <x v="117"/>
    <x v="24"/>
    <d v="2025-05-20T00:00:00"/>
    <x v="6"/>
    <x v="0"/>
    <x v="6"/>
    <s v="ENTREGUE"/>
    <d v="2025-05-20T00:00:00"/>
    <x v="0"/>
    <m/>
    <n v="0"/>
    <n v="0"/>
    <n v="0"/>
    <n v="0"/>
    <n v="0"/>
  </r>
  <r>
    <x v="2"/>
    <s v="MEI45741"/>
    <s v="Pedido 1354"/>
    <d v="2025-03-25T00:00:00"/>
    <x v="112"/>
    <s v="PedidoF1297"/>
    <s v="CódRastreio1295"/>
    <n v="1"/>
    <s v="CPF 1319"/>
    <s v="Nome 1319"/>
    <s v="Tel 1319"/>
    <s v="Cep 1319"/>
    <s v="Rua 1319"/>
    <s v="Comp 1319"/>
    <s v="Ventilador Azul"/>
    <s v="PK-L2Z7-MQRQ"/>
    <d v="2025-04-30T00:00:00"/>
    <n v="49.9"/>
    <n v="49.9"/>
    <n v="5.9879999999999995"/>
    <n v="43.91"/>
    <n v="11.57"/>
    <n v="0.25"/>
    <n v="0.39877104377104378"/>
    <n v="0"/>
    <n v="31.691228956228954"/>
    <n v="15.845614478114477"/>
    <x v="114"/>
    <x v="117"/>
    <x v="24"/>
    <d v="2025-05-20T00:00:00"/>
    <x v="6"/>
    <x v="0"/>
    <x v="6"/>
    <s v="ENTREGUE"/>
    <d v="2025-04-15T00:00:00"/>
    <x v="0"/>
    <m/>
    <n v="0"/>
    <n v="0"/>
    <n v="0"/>
    <n v="0"/>
    <n v="0"/>
  </r>
  <r>
    <x v="2"/>
    <s v="MEI45742"/>
    <s v="Pedido 1355"/>
    <d v="2025-03-26T00:00:00"/>
    <x v="113"/>
    <s v="PedidoF1298"/>
    <s v="CódRastreio1296"/>
    <n v="1"/>
    <s v="CPF 1320"/>
    <s v="Nome 1320"/>
    <s v="Tel 1320"/>
    <s v="Cep 1320"/>
    <s v="Rua 1320"/>
    <s v="Comp 1320"/>
    <s v="Maçarico Culinário Portátil"/>
    <s v="BG-DHRO-FAEE"/>
    <d v="2025-04-23T00:00:00"/>
    <n v="32.99"/>
    <n v="32.99"/>
    <n v="3.6289000000000002"/>
    <n v="29.36"/>
    <n v="10.16"/>
    <n v="0.6"/>
    <n v="0.39877104377104378"/>
    <n v="0"/>
    <n v="18.201228956228956"/>
    <n v="9.100614478114478"/>
    <x v="112"/>
    <x v="115"/>
    <x v="23"/>
    <d v="2025-05-06T00:00:00"/>
    <x v="5"/>
    <x v="0"/>
    <x v="6"/>
    <s v="ENTREGUE"/>
    <d v="2025-04-17T00:00:00"/>
    <x v="0"/>
    <m/>
    <n v="0"/>
    <n v="0"/>
    <n v="0"/>
    <n v="0"/>
    <n v="0"/>
  </r>
  <r>
    <x v="2"/>
    <s v="MEI45743"/>
    <s v="Pedido 1356"/>
    <d v="2025-03-26T00:00:00"/>
    <x v="114"/>
    <s v="PedidoF1299"/>
    <s v="CódRastreio1297"/>
    <n v="1"/>
    <s v="CPF 1321"/>
    <s v="Nome 1321"/>
    <s v="Tel 1321"/>
    <s v="Cep 1321"/>
    <s v="Rua 1321"/>
    <s v="Comp 1321"/>
    <s v="Ventilador Umidificador Preto"/>
    <s v="71-KHMZ-MLQW"/>
    <d v="2025-04-23T00:00:00"/>
    <n v="53"/>
    <n v="53"/>
    <n v="5.83"/>
    <n v="47.17"/>
    <n v="22.44"/>
    <n v="0.2"/>
    <n v="0.39877104377104378"/>
    <n v="0"/>
    <n v="24.131228956228956"/>
    <n v="12.065614478114478"/>
    <x v="112"/>
    <x v="115"/>
    <x v="23"/>
    <d v="2025-05-06T00:00:00"/>
    <x v="5"/>
    <x v="0"/>
    <x v="6"/>
    <s v="ENTREGUE"/>
    <d v="2025-04-11T00:00:00"/>
    <x v="0"/>
    <m/>
    <n v="0"/>
    <n v="0"/>
    <n v="0"/>
    <n v="0"/>
    <n v="0"/>
  </r>
  <r>
    <x v="2"/>
    <s v="MEI45743"/>
    <s v="Pedido 1357"/>
    <d v="2025-03-26T00:00:00"/>
    <x v="114"/>
    <s v="PedidoF1300"/>
    <s v="CódRastreio1298"/>
    <n v="1"/>
    <s v="CPF 1322"/>
    <s v="Nome 1322"/>
    <s v="Tel 1322"/>
    <s v="Cep 1322"/>
    <s v="Rua 1322"/>
    <s v="Comp 1322"/>
    <s v="Ventilador Umidificador Preto"/>
    <s v="71-KHMZ-MLQW"/>
    <d v="2025-05-01T00:00:00"/>
    <n v="53"/>
    <n v="53"/>
    <n v="5.83"/>
    <n v="47.17"/>
    <n v="21.66"/>
    <n v="0.2"/>
    <n v="0.39877104377104378"/>
    <n v="0"/>
    <n v="24.911228956228957"/>
    <n v="12.455614478114478"/>
    <x v="115"/>
    <x v="118"/>
    <x v="24"/>
    <d v="2025-05-20T00:00:00"/>
    <x v="6"/>
    <x v="0"/>
    <x v="6"/>
    <s v="ENTREGUE"/>
    <d v="2025-04-14T00:00:00"/>
    <x v="0"/>
    <m/>
    <n v="0"/>
    <n v="0"/>
    <n v="0"/>
    <n v="0"/>
    <n v="0"/>
  </r>
  <r>
    <x v="2"/>
    <s v="MEI45743"/>
    <s v="Pedido 1358"/>
    <d v="2025-03-27T00:00:00"/>
    <x v="114"/>
    <s v="PedidoF1301"/>
    <s v="CódRastreio1299"/>
    <n v="1"/>
    <s v="CPF 1323"/>
    <s v="Nome 1323"/>
    <s v="Tel 1323"/>
    <s v="Cep 1323"/>
    <s v="Rua 1323"/>
    <s v="Comp 1323"/>
    <s v="Ventilador Preto"/>
    <s v="WU-SS4J-LFOH"/>
    <d v="2025-04-17T00:00:00"/>
    <n v="65.75"/>
    <n v="65.75"/>
    <n v="7.89"/>
    <n v="57.86"/>
    <n v="17.22"/>
    <n v="0.2"/>
    <n v="0.39877104377104378"/>
    <n v="0"/>
    <n v="40.041228956228956"/>
    <n v="20.020614478114478"/>
    <x v="109"/>
    <x v="112"/>
    <x v="23"/>
    <d v="2025-05-06T00:00:00"/>
    <x v="5"/>
    <x v="0"/>
    <x v="6"/>
    <s v="ENTREGUE"/>
    <d v="2025-04-09T00:00:00"/>
    <x v="0"/>
    <m/>
    <n v="0"/>
    <n v="0"/>
    <n v="0"/>
    <n v="0"/>
    <n v="0"/>
  </r>
  <r>
    <x v="2"/>
    <s v="MEI45743"/>
    <s v="Pedido 1359"/>
    <d v="2025-03-27T00:00:00"/>
    <x v="114"/>
    <s v="PedidoF1302"/>
    <s v="CódRastreio1300"/>
    <n v="1"/>
    <s v="CPF 1324"/>
    <s v="Nome 1324"/>
    <s v="Tel 1324"/>
    <s v="Cep 1324"/>
    <s v="Rua 1324"/>
    <s v="Comp 1324"/>
    <s v="Fone de ouvido XT60"/>
    <s v="FM-VW6E-NXCZ"/>
    <d v="2025-04-17T00:00:00"/>
    <n v="99.77"/>
    <n v="99.77"/>
    <n v="12.9701"/>
    <n v="86.8"/>
    <n v="44.65"/>
    <n v="0.2"/>
    <n v="0.39877104377104378"/>
    <n v="0"/>
    <n v="41.551228956228954"/>
    <n v="20.775614478114477"/>
    <x v="109"/>
    <x v="112"/>
    <x v="23"/>
    <d v="2025-05-06T00:00:00"/>
    <x v="5"/>
    <x v="0"/>
    <x v="6"/>
    <s v="ENTREGUE"/>
    <d v="2025-04-07T00:00:00"/>
    <x v="0"/>
    <m/>
    <n v="0"/>
    <n v="0"/>
    <n v="0"/>
    <n v="0"/>
    <n v="0"/>
  </r>
  <r>
    <x v="2"/>
    <s v="MEI45743"/>
    <s v="Pedido 1360"/>
    <d v="2025-03-27T00:00:00"/>
    <x v="114"/>
    <s v="PedidoF1303"/>
    <s v="CódRastreio1301"/>
    <n v="1"/>
    <s v="CPF 1325"/>
    <s v="Nome 1325"/>
    <s v="Tel 1325"/>
    <s v="Cep 1325"/>
    <s v="Rua 1325"/>
    <s v="Comp 1325"/>
    <s v="Ventilador Rosa"/>
    <s v="WR-82Y0-OV27"/>
    <d v="2025-04-25T00:00:00"/>
    <n v="59.69"/>
    <n v="59.69"/>
    <n v="7.1627999999999998"/>
    <n v="52.53"/>
    <n v="17.440000000000001"/>
    <n v="0.2"/>
    <n v="0.39877104377104378"/>
    <n v="0"/>
    <n v="34.491228956228952"/>
    <n v="17.245614478114476"/>
    <x v="116"/>
    <x v="119"/>
    <x v="23"/>
    <d v="2025-05-06T00:00:00"/>
    <x v="6"/>
    <x v="0"/>
    <x v="6"/>
    <s v="ENTREGUE"/>
    <d v="2025-04-10T00:00:00"/>
    <x v="0"/>
    <m/>
    <n v="0"/>
    <n v="0"/>
    <n v="0"/>
    <n v="0"/>
    <n v="0"/>
  </r>
  <r>
    <x v="2"/>
    <s v="MEI45743"/>
    <s v="Pedido 1361"/>
    <d v="2025-03-27T00:00:00"/>
    <x v="114"/>
    <s v="PedidoF1304"/>
    <s v="CódRastreio1302"/>
    <n v="1"/>
    <s v="CPF 1326"/>
    <s v="Nome 1326"/>
    <s v="Tel 1326"/>
    <s v="Cep 1326"/>
    <s v="Rua 1326"/>
    <s v="Comp 1326"/>
    <s v="Ventilador Umidificador Preto"/>
    <s v="71-KHMZ-MLQW"/>
    <d v="2025-04-25T00:00:00"/>
    <n v="53"/>
    <n v="53"/>
    <n v="5.83"/>
    <n v="47.17"/>
    <n v="21.66"/>
    <n v="0.2"/>
    <n v="0.39877104377104378"/>
    <n v="0"/>
    <n v="24.911228956228957"/>
    <n v="12.455614478114478"/>
    <x v="116"/>
    <x v="119"/>
    <x v="23"/>
    <d v="2025-05-06T00:00:00"/>
    <x v="6"/>
    <x v="0"/>
    <x v="6"/>
    <s v="ENTREGUE"/>
    <d v="2025-04-08T00:00:00"/>
    <x v="0"/>
    <m/>
    <n v="0"/>
    <n v="0"/>
    <n v="0"/>
    <n v="0"/>
    <n v="0"/>
  </r>
  <r>
    <x v="2"/>
    <s v="MEI45744"/>
    <s v="Pedido 1362"/>
    <d v="2025-03-28T00:00:00"/>
    <x v="115"/>
    <s v="PedidoF1305"/>
    <s v="CódRastreio1303"/>
    <n v="1"/>
    <s v="CPF 1327"/>
    <s v="Nome 1327"/>
    <s v="Tel 1327"/>
    <s v="Cep 1327"/>
    <s v="Rua 1327"/>
    <s v="Comp 1327"/>
    <s v="Garrafa Termica"/>
    <s v="LF-R6MC-WKWP"/>
    <d v="2025-04-18T00:00:00"/>
    <n v="32.67"/>
    <n v="32.67"/>
    <n v="3.9203999999999999"/>
    <n v="28.75"/>
    <n v="17.899999999999999"/>
    <n v="0.2"/>
    <n v="0.39877104377104378"/>
    <n v="0"/>
    <n v="10.251228956228957"/>
    <n v="5.1256144781144783"/>
    <x v="111"/>
    <x v="114"/>
    <x v="23"/>
    <d v="2025-05-06T00:00:00"/>
    <x v="5"/>
    <x v="0"/>
    <x v="6"/>
    <s v="ENTREGUE"/>
    <d v="2025-04-09T00:00:00"/>
    <x v="0"/>
    <m/>
    <n v="0"/>
    <n v="0"/>
    <n v="0"/>
    <n v="0"/>
    <n v="0"/>
  </r>
  <r>
    <x v="2"/>
    <s v="MEI45746"/>
    <s v="Pedido 1363"/>
    <d v="2025-03-28T00:00:00"/>
    <x v="116"/>
    <s v="PedidoF1306"/>
    <s v="CódRastreio1304"/>
    <n v="1"/>
    <s v="CPF 1327"/>
    <s v="Nome 1327"/>
    <s v="Tel 1327"/>
    <s v="Cep 1327"/>
    <s v="Rua 1327"/>
    <s v="Comp 1327"/>
    <s v="Garrafa Termica"/>
    <s v="LF-R6MC-WKWP"/>
    <d v="2025-04-18T00:00:00"/>
    <n v="32.67"/>
    <n v="32.67"/>
    <n v="3.9203999999999999"/>
    <n v="28.75"/>
    <n v="13.3"/>
    <n v="0.35"/>
    <n v="0.39877104377104378"/>
    <n v="0"/>
    <n v="14.701228956228956"/>
    <n v="7.350614478114478"/>
    <x v="111"/>
    <x v="114"/>
    <x v="23"/>
    <d v="2025-05-06T00:00:00"/>
    <x v="5"/>
    <x v="0"/>
    <x v="6"/>
    <s v="ENTREGUE"/>
    <d v="2025-04-16T00:00:00"/>
    <x v="0"/>
    <m/>
    <n v="0"/>
    <n v="0"/>
    <n v="0"/>
    <n v="0"/>
    <n v="0"/>
  </r>
  <r>
    <x v="2"/>
    <s v="MEI45747"/>
    <s v="Pedido 1364"/>
    <d v="2025-03-29T00:00:00"/>
    <x v="117"/>
    <s v="PedidoF1307"/>
    <s v="CódRastreio1305"/>
    <n v="1"/>
    <s v="CPF 1328"/>
    <s v="Nome 1328"/>
    <s v="Tel 1328"/>
    <s v="Cep 1328"/>
    <s v="Rua 1328"/>
    <s v="Comp 1328"/>
    <s v="Lampada Led"/>
    <s v="T1-SWVB-UPOW"/>
    <d v="2025-04-26T00:00:00"/>
    <n v="29.99"/>
    <n v="29.99"/>
    <n v="3.5987999999999998"/>
    <n v="26.39"/>
    <n v="12.73"/>
    <n v="0.27"/>
    <n v="0.39877104377104378"/>
    <n v="0"/>
    <n v="12.991228956228957"/>
    <n v="6.4956144781144785"/>
    <x v="117"/>
    <x v="120"/>
    <x v="24"/>
    <d v="2025-05-20T00:00:00"/>
    <x v="6"/>
    <x v="0"/>
    <x v="6"/>
    <s v="ENTREGUE"/>
    <d v="2025-04-09T00:00:00"/>
    <x v="0"/>
    <m/>
    <n v="0"/>
    <n v="0"/>
    <n v="0"/>
    <n v="0"/>
    <n v="0"/>
  </r>
  <r>
    <x v="2"/>
    <s v="MEI-"/>
    <s v="Pedido 1365"/>
    <d v="2025-03-29T00:00:00"/>
    <x v="0"/>
    <s v="-"/>
    <s v="-"/>
    <n v="1"/>
    <s v="CPF 1329"/>
    <s v="Nome 1329"/>
    <s v="Tel 1329"/>
    <s v="Cep 1329"/>
    <s v="Rua 1329"/>
    <s v="Comp 1329"/>
    <s v="Ventilador Rosa"/>
    <s v="WR-82Y0-OV27"/>
    <d v="2025-04-18T00:00:00"/>
    <n v="59.69"/>
    <n v="59.69"/>
    <n v="7.1627999999999998"/>
    <n v="52.53"/>
    <n v="0"/>
    <n v="0"/>
    <n v="0"/>
    <n v="0"/>
    <n v="52.53"/>
    <n v="26.265000000000001"/>
    <x v="111"/>
    <x v="114"/>
    <x v="23"/>
    <d v="2025-05-06T00:00:00"/>
    <x v="5"/>
    <x v="0"/>
    <x v="0"/>
    <s v="-"/>
    <s v="-"/>
    <x v="0"/>
    <m/>
    <n v="0"/>
    <n v="0"/>
    <n v="0"/>
    <n v="0"/>
    <n v="0"/>
  </r>
  <r>
    <x v="2"/>
    <s v="MEI45747"/>
    <s v="Pedido 1366"/>
    <d v="2025-03-29T00:00:00"/>
    <x v="117"/>
    <s v="PedidoF1308"/>
    <s v="CódRastreio1306"/>
    <n v="1"/>
    <s v="CPF 1330"/>
    <s v="Nome 1330"/>
    <s v="Tel 1330"/>
    <s v="Cep 1330"/>
    <s v="Rua 1330"/>
    <s v="Comp 1330"/>
    <s v="Karaoke portátil"/>
    <s v="1I-EZPV-2Q78"/>
    <d v="2025-04-18T00:00:00"/>
    <n v="52.95"/>
    <n v="52.95"/>
    <n v="7.9424999999999999"/>
    <n v="45.01"/>
    <n v="23.28"/>
    <n v="0.27"/>
    <n v="0.39877104377104378"/>
    <n v="0"/>
    <n v="21.061228956228952"/>
    <n v="10.530614478114476"/>
    <x v="111"/>
    <x v="114"/>
    <x v="23"/>
    <d v="2025-05-06T00:00:00"/>
    <x v="5"/>
    <x v="0"/>
    <x v="6"/>
    <s v="ENTREGUE"/>
    <d v="2025-04-14T00:00:00"/>
    <x v="0"/>
    <m/>
    <n v="0"/>
    <n v="0"/>
    <n v="0"/>
    <n v="0"/>
    <n v="0"/>
  </r>
  <r>
    <x v="2"/>
    <s v="MEI45747"/>
    <s v="Pedido 1367"/>
    <d v="2025-03-30T00:00:00"/>
    <x v="117"/>
    <s v="PedidoF1309"/>
    <s v="CódRastreio1307"/>
    <n v="1"/>
    <s v="CPF 1331"/>
    <s v="Nome 1331"/>
    <s v="Tel 1331"/>
    <s v="Cep 1331"/>
    <s v="Rua 1331"/>
    <s v="Comp 1331"/>
    <s v="Lampada Led"/>
    <s v="T1-SWVB-UPOW"/>
    <d v="2025-04-18T00:00:00"/>
    <n v="29.99"/>
    <n v="29.99"/>
    <n v="3.5987999999999998"/>
    <n v="26.39"/>
    <n v="11.12"/>
    <n v="0.27"/>
    <n v="0.39877104377104378"/>
    <n v="0"/>
    <n v="14.601228956228958"/>
    <n v="7.3006144781144791"/>
    <x v="111"/>
    <x v="114"/>
    <x v="23"/>
    <d v="2025-05-06T00:00:00"/>
    <x v="5"/>
    <x v="0"/>
    <x v="6"/>
    <s v="ENTREGUE"/>
    <d v="2025-04-15T00:00:00"/>
    <x v="0"/>
    <m/>
    <n v="0"/>
    <n v="0"/>
    <n v="0"/>
    <n v="0"/>
    <n v="0"/>
  </r>
  <r>
    <x v="2"/>
    <s v="MEI45747"/>
    <s v="Pedido 1368"/>
    <d v="2025-03-30T00:00:00"/>
    <x v="117"/>
    <s v="PedidoF1310"/>
    <s v="CódRastreio1308"/>
    <n v="1"/>
    <s v="CPF 1332"/>
    <s v="Nome 1332"/>
    <s v="Tel 1332"/>
    <s v="Cep 1332"/>
    <s v="Rua 1332"/>
    <s v="Comp 1332"/>
    <s v="Karaoke portátil"/>
    <s v="1I-EZPV-2Q78"/>
    <d v="2025-04-18T00:00:00"/>
    <n v="52.95"/>
    <n v="52.95"/>
    <n v="7.9424999999999999"/>
    <n v="45.01"/>
    <n v="23.28"/>
    <n v="0.27"/>
    <n v="0.39877104377104378"/>
    <n v="0"/>
    <n v="21.061228956228952"/>
    <n v="10.530614478114476"/>
    <x v="111"/>
    <x v="114"/>
    <x v="23"/>
    <d v="2025-05-06T00:00:00"/>
    <x v="5"/>
    <x v="0"/>
    <x v="6"/>
    <s v="ENTREGUE"/>
    <d v="2025-04-09T00:00:00"/>
    <x v="0"/>
    <m/>
    <n v="0"/>
    <n v="0"/>
    <n v="0"/>
    <n v="0"/>
    <n v="0"/>
  </r>
  <r>
    <x v="2"/>
    <s v="MEI45747"/>
    <s v="Pedido 1369"/>
    <d v="2025-03-30T00:00:00"/>
    <x v="117"/>
    <s v="PedidoF1311"/>
    <s v="CódRastreio1309"/>
    <n v="1"/>
    <s v="CPF 1333"/>
    <s v="Nome 1333"/>
    <s v="Tel 1333"/>
    <s v="Cep 1333"/>
    <s v="Rua 1333"/>
    <s v="Comp 1333"/>
    <s v="Ventilador Umidificador Preto"/>
    <s v="71-KHMZ-MLQW"/>
    <d v="2025-04-26T00:00:00"/>
    <n v="53"/>
    <n v="53"/>
    <n v="5.83"/>
    <n v="47.17"/>
    <n v="33.11"/>
    <n v="0.27"/>
    <n v="0.39877104377104378"/>
    <n v="0"/>
    <n v="13.391228956228957"/>
    <n v="6.6956144781144786"/>
    <x v="117"/>
    <x v="120"/>
    <x v="24"/>
    <d v="2025-05-20T00:00:00"/>
    <x v="6"/>
    <x v="0"/>
    <x v="6"/>
    <s v="ENTREGUE"/>
    <d v="2025-04-22T00:00:00"/>
    <x v="0"/>
    <m/>
    <n v="0"/>
    <n v="0"/>
    <n v="0"/>
    <n v="0"/>
    <n v="0"/>
  </r>
  <r>
    <x v="2"/>
    <s v="MEI45747"/>
    <s v="Pedido 1370"/>
    <d v="2025-03-30T00:00:00"/>
    <x v="117"/>
    <s v="PedidoF1312"/>
    <s v="CódRastreio1310"/>
    <n v="1"/>
    <s v="CPF 1334"/>
    <s v="Nome 1334"/>
    <s v="Tel 1334"/>
    <s v="Cep 1334"/>
    <s v="Rua 1334"/>
    <s v="Comp 1334"/>
    <s v="Ventilador Preto"/>
    <s v="WU-SS4J-LFOH"/>
    <d v="2025-04-26T00:00:00"/>
    <n v="65.75"/>
    <n v="65.75"/>
    <n v="7.89"/>
    <n v="57.86"/>
    <n v="20.93"/>
    <n v="0.27"/>
    <n v="0.39877104377104378"/>
    <n v="0"/>
    <n v="36.261228956228955"/>
    <n v="18.130614478114477"/>
    <x v="117"/>
    <x v="120"/>
    <x v="24"/>
    <d v="2025-05-20T00:00:00"/>
    <x v="6"/>
    <x v="0"/>
    <x v="6"/>
    <s v="ENTREGUE"/>
    <d v="2025-04-11T00:00:00"/>
    <x v="0"/>
    <m/>
    <n v="0"/>
    <n v="0"/>
    <n v="0"/>
    <n v="0"/>
    <n v="0"/>
  </r>
  <r>
    <x v="2"/>
    <s v="MEI45747"/>
    <s v="Pedido 1371"/>
    <d v="2025-03-30T00:00:00"/>
    <x v="117"/>
    <s v="PedidoF1313"/>
    <s v="CódRastreio1311"/>
    <n v="1"/>
    <s v="CPF 1335"/>
    <s v="Nome 1335"/>
    <s v="Tel 1335"/>
    <s v="Cep 1335"/>
    <s v="Rua 1335"/>
    <s v="Comp 1335"/>
    <s v="Ventilador Preto"/>
    <s v="WU-SS4J-LFOH"/>
    <d v="2025-04-18T00:00:00"/>
    <n v="65.75"/>
    <n v="65.75"/>
    <n v="7.89"/>
    <n v="57.86"/>
    <n v="17.48"/>
    <n v="0.27"/>
    <n v="0.39877104377104378"/>
    <n v="0"/>
    <n v="39.71122895622895"/>
    <n v="19.855614478114475"/>
    <x v="111"/>
    <x v="114"/>
    <x v="23"/>
    <d v="2025-05-06T00:00:00"/>
    <x v="5"/>
    <x v="0"/>
    <x v="6"/>
    <s v="ENTREGUE"/>
    <d v="2025-04-09T00:00:00"/>
    <x v="0"/>
    <m/>
    <n v="0"/>
    <n v="0"/>
    <n v="0"/>
    <n v="0"/>
    <n v="0"/>
  </r>
  <r>
    <x v="2"/>
    <s v="MEI45747"/>
    <s v="Pedido 1372"/>
    <d v="2025-03-31T00:00:00"/>
    <x v="117"/>
    <s v="PedidoF1314"/>
    <s v="CódRastreio1312"/>
    <n v="1"/>
    <s v="CPF 1336"/>
    <s v="Nome 1336"/>
    <s v="Tel 1336"/>
    <s v="Cep 1336"/>
    <s v="Rua 1336"/>
    <s v="Comp 1336"/>
    <s v="Ventilador Umidificador Preto"/>
    <s v="71-KHMZ-MLQW"/>
    <d v="2025-04-26T00:00:00"/>
    <n v="53"/>
    <n v="53"/>
    <n v="5.83"/>
    <n v="47.17"/>
    <n v="34.26"/>
    <n v="0.27"/>
    <n v="0.39877104377104378"/>
    <n v="0"/>
    <n v="12.241228956228959"/>
    <n v="6.1206144781144793"/>
    <x v="117"/>
    <x v="120"/>
    <x v="24"/>
    <d v="2025-05-20T00:00:00"/>
    <x v="6"/>
    <x v="0"/>
    <x v="6"/>
    <s v="ENTREGUE"/>
    <d v="2025-04-17T00:00:00"/>
    <x v="0"/>
    <m/>
    <n v="0"/>
    <n v="0"/>
    <n v="0"/>
    <n v="0"/>
    <n v="0"/>
  </r>
  <r>
    <x v="2"/>
    <s v="MEI45749"/>
    <s v="Pedido 1373"/>
    <d v="2025-03-31T00:00:00"/>
    <x v="118"/>
    <s v="PedidoF1315"/>
    <s v="CódRastreio1313"/>
    <n v="1"/>
    <s v="CPF 1337"/>
    <s v="Nome 1337"/>
    <s v="Tel 1337"/>
    <s v="Cep 1337"/>
    <s v="Rua 1337"/>
    <s v="Comp 1337"/>
    <s v="Maçarico Culinário Portátil"/>
    <s v="BG-DHRO-FAEE"/>
    <d v="2025-04-26T00:00:00"/>
    <n v="26.99"/>
    <n v="26.99"/>
    <n v="2.9688999999999997"/>
    <n v="24.02"/>
    <n v="10.56"/>
    <n v="0.2"/>
    <n v="0.39877104377104378"/>
    <n v="0"/>
    <n v="12.861228956228956"/>
    <n v="6.4306144781144781"/>
    <x v="117"/>
    <x v="120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47"/>
    <s v="Pedido 1374"/>
    <d v="2025-03-31T00:00:00"/>
    <x v="117"/>
    <s v="PedidoF1316"/>
    <s v="CódRastreio1314"/>
    <n v="1"/>
    <s v="CPF 1338"/>
    <s v="Nome 1338"/>
    <s v="Tel 1338"/>
    <s v="Cep 1338"/>
    <s v="Rua 1338"/>
    <s v="Comp 1338"/>
    <s v="Maçarico Culinário Portátil"/>
    <s v="BG-DHRO-FAEE"/>
    <d v="2025-04-29T00:00:00"/>
    <n v="26.99"/>
    <n v="26.99"/>
    <n v="2.9688999999999997"/>
    <n v="24.02"/>
    <n v="10.210000000000001"/>
    <n v="0.27"/>
    <n v="0.39877104377104378"/>
    <n v="0"/>
    <n v="13.141228956228955"/>
    <n v="6.5706144781144777"/>
    <x v="113"/>
    <x v="116"/>
    <x v="24"/>
    <d v="2025-05-20T00:00:00"/>
    <x v="6"/>
    <x v="0"/>
    <x v="6"/>
    <s v="ENTREGUE"/>
    <d v="2025-04-22T00:00:00"/>
    <x v="0"/>
    <m/>
    <n v="0"/>
    <n v="0"/>
    <n v="0"/>
    <n v="0"/>
    <n v="0"/>
  </r>
  <r>
    <x v="2"/>
    <s v="MEI45747"/>
    <s v="Pedido 1375"/>
    <d v="2025-03-31T00:00:00"/>
    <x v="117"/>
    <s v="PedidoF1317"/>
    <s v="CódRastreio1315"/>
    <n v="1"/>
    <s v="CPF 1339"/>
    <s v="Nome 1339"/>
    <s v="Tel 1339"/>
    <s v="Cep 1339"/>
    <s v="Rua 1339"/>
    <s v="Comp 1339"/>
    <s v="Luminária Azul de mesa infantil"/>
    <s v="NO-Z0ZJ-Z61M"/>
    <d v="2025-04-29T00:00:00"/>
    <n v="49.99"/>
    <n v="49.99"/>
    <n v="5.9988000000000001"/>
    <n v="43.99"/>
    <n v="17.09"/>
    <n v="0.27"/>
    <n v="0.39877104377104378"/>
    <n v="0"/>
    <n v="26.231228956228957"/>
    <n v="13.115614478114479"/>
    <x v="113"/>
    <x v="116"/>
    <x v="24"/>
    <d v="2025-05-20T00:00:00"/>
    <x v="6"/>
    <x v="0"/>
    <x v="6"/>
    <s v="ENTREGUE"/>
    <d v="2025-04-16T00:00:00"/>
    <x v="0"/>
    <m/>
    <n v="0"/>
    <n v="0"/>
    <n v="0"/>
    <n v="0"/>
    <n v="0"/>
  </r>
  <r>
    <x v="2"/>
    <s v="MEI45749"/>
    <s v="Pedido 1376"/>
    <d v="2025-03-31T00:00:00"/>
    <x v="118"/>
    <s v="PedidoF1318"/>
    <s v="CódRastreio1316"/>
    <n v="1"/>
    <s v="CPF 1340"/>
    <s v="Nome 1340"/>
    <s v="Tel 1340"/>
    <s v="Cep 1340"/>
    <s v="Rua 1340"/>
    <s v="Comp 1340"/>
    <s v="Maçarico Culinário Portátil"/>
    <s v="BG-DHRO-FAEE"/>
    <d v="2025-04-29T00:00:00"/>
    <n v="26.99"/>
    <n v="26.99"/>
    <n v="2.9688999999999997"/>
    <n v="24.02"/>
    <n v="10.210000000000001"/>
    <n v="0.2"/>
    <n v="0.39877104377104378"/>
    <n v="0"/>
    <n v="13.211228956228956"/>
    <n v="6.6056144781144779"/>
    <x v="113"/>
    <x v="116"/>
    <x v="24"/>
    <d v="2025-05-20T00:00:00"/>
    <x v="6"/>
    <x v="0"/>
    <x v="7"/>
    <s v="ENTREGUE"/>
    <d v="2025-04-15T00:00:00"/>
    <x v="0"/>
    <m/>
    <n v="0"/>
    <n v="0"/>
    <n v="0"/>
    <n v="0"/>
    <n v="0"/>
  </r>
  <r>
    <x v="2"/>
    <s v="MEI45747"/>
    <s v="Pedido 1377"/>
    <d v="2025-03-31T00:00:00"/>
    <x v="117"/>
    <s v="PedidoF1319"/>
    <s v="CódRastreio1317"/>
    <n v="1"/>
    <s v="CPF 1341"/>
    <s v="Nome 1341"/>
    <s v="Tel 1341"/>
    <s v="Cep 1341"/>
    <s v="Rua 1341"/>
    <s v="Comp 1341"/>
    <s v="Caixinha de som Preta"/>
    <s v="K9-7YJH-TT9R"/>
    <d v="2025-04-29T00:00:00"/>
    <n v="25.88"/>
    <n v="25.88"/>
    <n v="3.8819999999999997"/>
    <n v="22"/>
    <n v="12.5"/>
    <n v="0.27"/>
    <n v="0.39877104377104378"/>
    <n v="0"/>
    <n v="8.8312289562289568"/>
    <n v="4.4156144781144784"/>
    <x v="113"/>
    <x v="116"/>
    <x v="24"/>
    <d v="2025-05-20T00:00:00"/>
    <x v="6"/>
    <x v="0"/>
    <x v="6"/>
    <s v="ENTREGUE"/>
    <d v="2025-04-07T00:00:00"/>
    <x v="0"/>
    <m/>
    <n v="0"/>
    <n v="0"/>
    <n v="0"/>
    <n v="0"/>
    <n v="0"/>
  </r>
  <r>
    <x v="2"/>
    <s v="MEI45749"/>
    <s v="Pedido 1378"/>
    <d v="2025-03-31T00:00:00"/>
    <x v="118"/>
    <s v="PedidoF1320"/>
    <s v="CódRastreio1318"/>
    <n v="1"/>
    <s v="CPF 1342"/>
    <s v="Nome 1342"/>
    <s v="Tel 1342"/>
    <s v="Cep 1342"/>
    <s v="Rua 1342"/>
    <s v="Comp 1342"/>
    <s v="Lampada Led"/>
    <s v="T1-SWVB-UPOW"/>
    <d v="2025-04-29T00:00:00"/>
    <n v="29.99"/>
    <n v="29.99"/>
    <n v="3.5987999999999998"/>
    <n v="26.39"/>
    <n v="10.56"/>
    <n v="0.2"/>
    <n v="0.39877104377104378"/>
    <n v="0"/>
    <n v="15.231228956228957"/>
    <n v="7.6156144781144786"/>
    <x v="113"/>
    <x v="116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47"/>
    <s v="Pedido 1379"/>
    <d v="2025-03-30T00:00:00"/>
    <x v="117"/>
    <s v="PedidoF1321"/>
    <s v="CódRastreio1319"/>
    <n v="1"/>
    <s v="CPF 1343"/>
    <s v="Nome 1343"/>
    <s v="Tel 1343"/>
    <s v="Cep 1343"/>
    <s v="Rua 1343"/>
    <s v="Comp 1343"/>
    <s v="Ventilador Umidificador Preto"/>
    <s v="71-KHMZ-MLQW"/>
    <d v="2025-04-23T00:00:00"/>
    <n v="53"/>
    <n v="53"/>
    <n v="5.83"/>
    <n v="47.17"/>
    <n v="31.96"/>
    <n v="0.27"/>
    <n v="0.39877104377104378"/>
    <n v="0"/>
    <n v="14.541228956228956"/>
    <n v="7.2706144781144779"/>
    <x v="112"/>
    <x v="115"/>
    <x v="23"/>
    <d v="2025-05-06T00:00:00"/>
    <x v="5"/>
    <x v="0"/>
    <x v="6"/>
    <s v="ENTREGUE"/>
    <d v="2025-04-16T00:00:00"/>
    <x v="0"/>
    <m/>
    <n v="0"/>
    <n v="0"/>
    <n v="0"/>
    <n v="0"/>
    <n v="0"/>
  </r>
  <r>
    <x v="2"/>
    <s v="MEI45749"/>
    <s v="Pedido 1380"/>
    <d v="2025-04-01T00:00:00"/>
    <x v="118"/>
    <s v="PedidoF1322"/>
    <s v="CódRastreio1320"/>
    <n v="1"/>
    <s v="CPF 1344"/>
    <s v="Nome 1344"/>
    <s v="Tel 1344"/>
    <s v="Cep 1344"/>
    <s v="Rua 1344"/>
    <s v="Comp 1344"/>
    <s v="Ventilador de teto"/>
    <s v="JV-A3YY-I7XH"/>
    <d v="2025-04-23T00:00:00"/>
    <n v="70.489999999999995"/>
    <n v="70.489999999999995"/>
    <n v="8.4587999999999983"/>
    <n v="62.03"/>
    <n v="43.94"/>
    <n v="0.2"/>
    <n v="0.39877104377104378"/>
    <n v="0"/>
    <n v="17.491228956228959"/>
    <n v="8.7456144781144793"/>
    <x v="112"/>
    <x v="115"/>
    <x v="23"/>
    <d v="2025-05-06T00:00:00"/>
    <x v="5"/>
    <x v="0"/>
    <x v="7"/>
    <s v="ENTREGUE"/>
    <d v="2025-04-11T00:00:00"/>
    <x v="0"/>
    <m/>
    <n v="0"/>
    <n v="0"/>
    <n v="0"/>
    <n v="0"/>
    <n v="0"/>
  </r>
  <r>
    <x v="2"/>
    <s v="MEI45749"/>
    <s v="Pedido 1381"/>
    <d v="2025-04-01T00:00:00"/>
    <x v="118"/>
    <s v="PedidoF1323"/>
    <s v="CódRastreio1321"/>
    <n v="1"/>
    <s v="CPF 1345"/>
    <s v="Nome 1345"/>
    <s v="Tel 1345"/>
    <s v="Cep 1345"/>
    <s v="Rua 1345"/>
    <s v="Comp 1345"/>
    <s v="Lampada Led"/>
    <s v="T1-SWVB-UPOW"/>
    <d v="2025-05-07T00:00:00"/>
    <n v="29.99"/>
    <n v="29.99"/>
    <n v="3.5987999999999998"/>
    <n v="26.39"/>
    <n v="10.210000000000001"/>
    <n v="0.2"/>
    <n v="0.39877104377104378"/>
    <n v="0"/>
    <n v="15.581228956228957"/>
    <n v="7.7906144781144784"/>
    <x v="118"/>
    <x v="121"/>
    <x v="24"/>
    <d v="2025-05-20T00:00:00"/>
    <x v="6"/>
    <x v="0"/>
    <x v="7"/>
    <s v="ENTREGUE"/>
    <d v="2025-05-06T00:00:00"/>
    <x v="0"/>
    <m/>
    <n v="0"/>
    <n v="0"/>
    <n v="0"/>
    <n v="0"/>
    <n v="0"/>
  </r>
  <r>
    <x v="2"/>
    <s v="MEI45750"/>
    <s v="Pedido 1382"/>
    <d v="2025-04-01T00:00:00"/>
    <x v="119"/>
    <s v="PedidoF1324"/>
    <s v="CódRastreio1322"/>
    <n v="1"/>
    <s v="CPF 1346"/>
    <s v="Nome 1346"/>
    <s v="Tel 1346"/>
    <s v="Cep 1346"/>
    <s v="Rua 1346"/>
    <s v="Comp 1346"/>
    <s v="Caixinha de som Preta"/>
    <s v="K9-7YJH-TT9R"/>
    <d v="2025-04-29T00:00:00"/>
    <n v="25.88"/>
    <n v="25.88"/>
    <n v="3.8819999999999997"/>
    <n v="22"/>
    <n v="11.8"/>
    <n v="0.25"/>
    <n v="0.39877104377104378"/>
    <n v="0"/>
    <n v="9.5512289562289556"/>
    <n v="4.7756144781144778"/>
    <x v="113"/>
    <x v="116"/>
    <x v="24"/>
    <d v="2025-05-20T00:00:00"/>
    <x v="6"/>
    <x v="0"/>
    <x v="7"/>
    <s v="ENTREGUE"/>
    <d v="2025-04-07T00:00:00"/>
    <x v="0"/>
    <m/>
    <n v="0"/>
    <n v="0"/>
    <n v="0"/>
    <n v="0"/>
    <n v="0"/>
  </r>
  <r>
    <x v="2"/>
    <s v="MEI45750"/>
    <s v="Pedido 1383"/>
    <d v="2025-04-01T00:00:00"/>
    <x v="119"/>
    <s v="PedidoF1325"/>
    <s v="CódRastreio1323"/>
    <n v="1"/>
    <s v="CPF 1347"/>
    <s v="Nome 1347"/>
    <s v="Tel 1347"/>
    <s v="Cep 1347"/>
    <s v="Rua 1347"/>
    <s v="Comp 1347"/>
    <s v="Caixinha de som Preta"/>
    <s v="K9-7YJH-TT9R"/>
    <d v="2025-04-30T00:00:00"/>
    <n v="25.88"/>
    <n v="25.88"/>
    <n v="3.8819999999999997"/>
    <n v="22"/>
    <n v="11.8"/>
    <n v="0.25"/>
    <n v="0.39877104377104378"/>
    <n v="0"/>
    <n v="9.5512289562289556"/>
    <n v="4.7756144781144778"/>
    <x v="114"/>
    <x v="117"/>
    <x v="24"/>
    <d v="2025-05-20T00:00:00"/>
    <x v="6"/>
    <x v="0"/>
    <x v="7"/>
    <s v="ENTREGUE"/>
    <d v="2025-04-08T00:00:00"/>
    <x v="0"/>
    <m/>
    <n v="0"/>
    <n v="0"/>
    <n v="0"/>
    <n v="0"/>
    <n v="0"/>
  </r>
  <r>
    <x v="2"/>
    <s v="MEI45750"/>
    <s v="Pedido 1384"/>
    <d v="2025-04-01T00:00:00"/>
    <x v="119"/>
    <s v="PedidoF1326"/>
    <s v="CódRastreio1324"/>
    <n v="1"/>
    <s v="CPF 1348"/>
    <s v="Nome 1348"/>
    <s v="Tel 1348"/>
    <s v="Cep 1348"/>
    <s v="Rua 1348"/>
    <s v="Comp 1348"/>
    <s v="Ventilador Preto"/>
    <s v="WU-SS4J-LFOH"/>
    <d v="2025-04-30T00:00:00"/>
    <n v="65.75"/>
    <n v="65.75"/>
    <n v="7.89"/>
    <n v="57.86"/>
    <n v="16.489999999999998"/>
    <n v="0.25"/>
    <n v="0.39877104377104378"/>
    <n v="0"/>
    <n v="40.721228956228956"/>
    <n v="20.360614478114478"/>
    <x v="114"/>
    <x v="117"/>
    <x v="24"/>
    <d v="2025-05-20T00:00:00"/>
    <x v="6"/>
    <x v="0"/>
    <x v="7"/>
    <s v="ENTREGUE"/>
    <d v="2025-04-12T00:00:00"/>
    <x v="0"/>
    <m/>
    <n v="0"/>
    <n v="0"/>
    <n v="0"/>
    <n v="0"/>
    <n v="0"/>
  </r>
  <r>
    <x v="2"/>
    <s v="MEI45750"/>
    <s v="Pedido 1385"/>
    <d v="2025-04-01T00:00:00"/>
    <x v="119"/>
    <s v="PedidoF1327"/>
    <s v="CódRastreio1325"/>
    <n v="1"/>
    <s v="CPF 1349"/>
    <s v="Nome 1349"/>
    <s v="Tel 1349"/>
    <s v="Cep 1349"/>
    <s v="Rua 1349"/>
    <s v="Comp 1349"/>
    <s v="Ventilador Umidificador Preto"/>
    <s v="71-KHMZ-MLQW"/>
    <d v="2025-04-30T00:00:00"/>
    <n v="53"/>
    <n v="53"/>
    <n v="5.83"/>
    <n v="47.17"/>
    <n v="29.75"/>
    <n v="0.25"/>
    <n v="0.39877104377104378"/>
    <n v="0"/>
    <n v="16.771228956228956"/>
    <n v="8.3856144781144781"/>
    <x v="114"/>
    <x v="117"/>
    <x v="24"/>
    <d v="2025-05-20T00:00:00"/>
    <x v="6"/>
    <x v="0"/>
    <x v="7"/>
    <s v="ENTREGUE"/>
    <d v="2025-04-16T00:00:00"/>
    <x v="0"/>
    <m/>
    <n v="0"/>
    <n v="0"/>
    <n v="0"/>
    <n v="0"/>
    <n v="0"/>
  </r>
  <r>
    <x v="2"/>
    <s v="MEI-"/>
    <s v="Pedido 1386"/>
    <d v="2025-04-02T00:00:00"/>
    <x v="0"/>
    <s v="-"/>
    <s v="-"/>
    <n v="1"/>
    <s v="CPF 1350"/>
    <s v="Nome 1350"/>
    <s v="Tel 1350"/>
    <s v="Cep 1350"/>
    <s v="Rua 1350"/>
    <s v="Comp 1350"/>
    <s v="Maçarico Culinário Portátil"/>
    <s v="BG-DHRO-FAEE"/>
    <d v="2025-04-30T00:00:00"/>
    <n v="26.99"/>
    <n v="26.99"/>
    <n v="2.9688999999999997"/>
    <n v="24.02"/>
    <n v="0"/>
    <n v="0"/>
    <n v="0"/>
    <n v="0"/>
    <n v="24.02"/>
    <n v="12.01"/>
    <x v="114"/>
    <x v="117"/>
    <x v="24"/>
    <d v="2025-05-20T00:00:00"/>
    <x v="6"/>
    <x v="0"/>
    <x v="0"/>
    <s v="-"/>
    <s v="-"/>
    <x v="0"/>
    <m/>
    <n v="0"/>
    <n v="0"/>
    <n v="0"/>
    <n v="0"/>
    <n v="0"/>
  </r>
  <r>
    <x v="2"/>
    <s v="MEI45750"/>
    <s v="Pedido 1387"/>
    <d v="2025-04-02T00:00:00"/>
    <x v="119"/>
    <s v="PedidoF1328"/>
    <s v="CódRastreio1326"/>
    <n v="1"/>
    <s v="CPF 1351"/>
    <s v="Nome 1351"/>
    <s v="Tel 1351"/>
    <s v="Cep 1351"/>
    <s v="Rua 1351"/>
    <s v="Comp 1351"/>
    <s v="Lampada Led"/>
    <s v="T1-SWVB-UPOW"/>
    <d v="2025-04-30T00:00:00"/>
    <n v="29.99"/>
    <n v="29.99"/>
    <n v="3.5987999999999998"/>
    <n v="26.39"/>
    <n v="18.32"/>
    <n v="0.25"/>
    <n v="0.39877104377104378"/>
    <n v="0"/>
    <n v="7.4212289562289548"/>
    <n v="3.7106144781144774"/>
    <x v="114"/>
    <x v="117"/>
    <x v="24"/>
    <d v="2025-05-20T00:00:00"/>
    <x v="6"/>
    <x v="0"/>
    <x v="7"/>
    <s v="ENTREGUE"/>
    <d v="2025-04-14T00:00:00"/>
    <x v="0"/>
    <m/>
    <n v="0"/>
    <n v="0"/>
    <n v="0"/>
    <n v="0"/>
    <n v="0"/>
  </r>
  <r>
    <x v="2"/>
    <s v="MEI45750"/>
    <s v="Pedido 1388"/>
    <d v="2025-04-02T00:00:00"/>
    <x v="119"/>
    <s v="PedidoF1329"/>
    <s v="CódRastreio1327"/>
    <n v="1"/>
    <s v="CPF 1352"/>
    <s v="Nome 1352"/>
    <s v="Tel 1352"/>
    <s v="Cep 1352"/>
    <s v="Rua 1352"/>
    <s v="Comp 1352"/>
    <s v="Ventilador Preto"/>
    <s v="WU-SS4J-LFOH"/>
    <d v="2025-04-30T00:00:00"/>
    <n v="65.75"/>
    <n v="65.75"/>
    <n v="7.89"/>
    <n v="57.86"/>
    <n v="16.11"/>
    <n v="0.25"/>
    <n v="0.39877104377104378"/>
    <n v="0"/>
    <n v="41.101228956228951"/>
    <n v="20.550614478114476"/>
    <x v="114"/>
    <x v="117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0"/>
    <s v="Pedido 1389"/>
    <d v="2025-04-02T00:00:00"/>
    <x v="119"/>
    <s v="PedidoF1330"/>
    <s v="CódRastreio1328"/>
    <n v="1"/>
    <s v="CPF 1353"/>
    <s v="Nome 1353"/>
    <s v="Tel 1353"/>
    <s v="Cep 1353"/>
    <s v="Rua 1353"/>
    <s v="Comp 1353"/>
    <s v="Mini Liquidificador"/>
    <s v="A4-5W51-K3HF"/>
    <d v="2025-05-08T00:00:00"/>
    <n v="36.950000000000003"/>
    <n v="36.950000000000003"/>
    <n v="4.4340000000000002"/>
    <n v="32.520000000000003"/>
    <n v="26.86"/>
    <n v="0.25"/>
    <n v="0.39877104377104378"/>
    <n v="0"/>
    <n v="5.0112289562289583"/>
    <n v="2.5056144781144791"/>
    <x v="119"/>
    <x v="122"/>
    <x v="24"/>
    <d v="2025-05-20T00:00:00"/>
    <x v="6"/>
    <x v="0"/>
    <x v="7"/>
    <s v="ENTREGUE"/>
    <d v="2025-04-15T00:00:00"/>
    <x v="0"/>
    <m/>
    <n v="0"/>
    <n v="0"/>
    <n v="0"/>
    <n v="0"/>
    <n v="0"/>
  </r>
  <r>
    <x v="2"/>
    <s v="MEI45750"/>
    <s v="Pedido 1390"/>
    <d v="2025-04-02T00:00:00"/>
    <x v="119"/>
    <s v="PedidoF1331"/>
    <s v="CódRastreio1329"/>
    <n v="1"/>
    <s v="CPF 1354"/>
    <s v="Nome 1354"/>
    <s v="Tel 1354"/>
    <s v="Cep 1354"/>
    <s v="Rua 1354"/>
    <s v="Comp 1354"/>
    <s v="Ventilador Azul"/>
    <s v="PK-L2Z7-MQRQ"/>
    <d v="2025-04-25T00:00:00"/>
    <n v="49.9"/>
    <n v="49.9"/>
    <n v="5.9879999999999995"/>
    <n v="43.91"/>
    <n v="36.5"/>
    <n v="0.25"/>
    <n v="0.39877104377104378"/>
    <n v="0"/>
    <n v="6.7612289562289547"/>
    <n v="3.3806144781144774"/>
    <x v="116"/>
    <x v="119"/>
    <x v="23"/>
    <d v="2025-05-06T00:00:00"/>
    <x v="6"/>
    <x v="0"/>
    <x v="7"/>
    <s v="ENTREGUE"/>
    <d v="2025-04-11T00:00:00"/>
    <x v="0"/>
    <m/>
    <n v="0"/>
    <n v="0"/>
    <n v="0"/>
    <n v="0"/>
    <n v="0"/>
  </r>
  <r>
    <x v="2"/>
    <s v="MEI45750"/>
    <s v="Pedido 1391"/>
    <d v="2025-04-02T00:00:00"/>
    <x v="119"/>
    <s v="PedidoF1332"/>
    <s v="CódRastreio1330"/>
    <n v="1"/>
    <s v="CPF 1355"/>
    <s v="Nome 1355"/>
    <s v="Tel 1355"/>
    <s v="Cep 1355"/>
    <s v="Rua 1355"/>
    <s v="Comp 1355"/>
    <s v="Ventilador Azul"/>
    <s v="PK-L2Z7-MQRQ"/>
    <d v="2025-05-01T00:00:00"/>
    <n v="49.9"/>
    <n v="49.9"/>
    <n v="5.9879999999999995"/>
    <n v="43.91"/>
    <n v="15.51"/>
    <n v="0.25"/>
    <n v="0.39877104377104378"/>
    <n v="0"/>
    <n v="27.751228956228953"/>
    <n v="13.875614478114477"/>
    <x v="115"/>
    <x v="118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1"/>
    <s v="Pedido 1392"/>
    <d v="2025-04-02T00:00:00"/>
    <x v="120"/>
    <s v="PedidoF1333"/>
    <s v="CódRastreio1331"/>
    <n v="1"/>
    <s v="CPF 1355"/>
    <s v="Nome 1355"/>
    <s v="Tel 1355"/>
    <s v="Cep 1355"/>
    <s v="Rua 1355"/>
    <s v="Comp 1355"/>
    <s v="Ventilador Azul"/>
    <s v="PK-L2Z7-MQRQ"/>
    <d v="2025-05-01T00:00:00"/>
    <n v="49.9"/>
    <n v="49.9"/>
    <n v="5.9879999999999995"/>
    <n v="43.91"/>
    <n v="15.95"/>
    <n v="0.24"/>
    <n v="0.39877104377104378"/>
    <n v="0"/>
    <n v="27.321228956228953"/>
    <n v="13.660614478114477"/>
    <x v="115"/>
    <x v="118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4"/>
    <s v="Pedido 1393"/>
    <d v="2025-04-02T00:00:00"/>
    <x v="121"/>
    <s v="PedidoF1334"/>
    <s v="CódRastreio1332"/>
    <n v="1"/>
    <s v="CPF 1355"/>
    <s v="Nome 1355"/>
    <s v="Tel 1355"/>
    <s v="Cep 1355"/>
    <s v="Rua 1355"/>
    <s v="Comp 1355"/>
    <s v="Ventilador Rosa"/>
    <s v="WR-82Y0-OV27"/>
    <d v="2025-05-01T00:00:00"/>
    <n v="59.69"/>
    <n v="59.69"/>
    <n v="7.1627999999999998"/>
    <n v="52.53"/>
    <n v="14.17"/>
    <n v="0.24"/>
    <n v="0.39877104377104378"/>
    <n v="0"/>
    <n v="37.721228956228956"/>
    <n v="18.860614478114478"/>
    <x v="115"/>
    <x v="118"/>
    <x v="24"/>
    <d v="2025-05-20T00:00:00"/>
    <x v="6"/>
    <x v="0"/>
    <x v="7"/>
    <s v="ENTREGUE"/>
    <d v="2025-04-19T00:00:00"/>
    <x v="0"/>
    <m/>
    <n v="0"/>
    <n v="0"/>
    <n v="0"/>
    <n v="0"/>
    <n v="0"/>
  </r>
  <r>
    <x v="2"/>
    <s v="MEI45750"/>
    <s v="Pedido 1394"/>
    <d v="2025-04-02T00:00:00"/>
    <x v="119"/>
    <s v="PedidoF1335"/>
    <s v="CódRastreio1333"/>
    <n v="1"/>
    <s v="CPF 1356"/>
    <s v="Nome 1356"/>
    <s v="Tel 1356"/>
    <s v="Cep 1356"/>
    <s v="Rua 1356"/>
    <s v="Comp 1356"/>
    <s v="Ventilador de teto"/>
    <s v="JV-A3YY-I7XH"/>
    <d v="2025-04-25T00:00:00"/>
    <n v="70.489999999999995"/>
    <n v="70.489999999999995"/>
    <n v="8.4587999999999983"/>
    <n v="62.03"/>
    <n v="48.97"/>
    <n v="0.25"/>
    <n v="0.39877104377104378"/>
    <n v="0"/>
    <n v="12.41122895622896"/>
    <n v="6.2056144781144802"/>
    <x v="116"/>
    <x v="119"/>
    <x v="23"/>
    <d v="2025-05-06T00:00:00"/>
    <x v="6"/>
    <x v="0"/>
    <x v="7"/>
    <s v="ENTREGUE"/>
    <d v="2025-04-15T00:00:00"/>
    <x v="0"/>
    <m/>
    <n v="0"/>
    <n v="0"/>
    <n v="0"/>
    <n v="0"/>
    <n v="0"/>
  </r>
  <r>
    <x v="2"/>
    <s v="MEI45750"/>
    <s v="Pedido 1395"/>
    <d v="2025-04-02T00:00:00"/>
    <x v="119"/>
    <s v="PedidoF1336"/>
    <s v="CódRastreio1334"/>
    <n v="1"/>
    <s v="CPF 1357"/>
    <s v="Nome 1357"/>
    <s v="Tel 1357"/>
    <s v="Cep 1357"/>
    <s v="Rua 1357"/>
    <s v="Comp 1357"/>
    <s v="Brinquedo Bola Giratória voadora"/>
    <s v="Z0-F6CI-18CL"/>
    <d v="2025-04-25T00:00:00"/>
    <n v="42.87"/>
    <n v="42.87"/>
    <n v="5.1443999999999992"/>
    <n v="37.729999999999997"/>
    <n v="15.21"/>
    <n v="0.25"/>
    <n v="0.39877104377104378"/>
    <n v="0"/>
    <n v="21.871228956228954"/>
    <n v="10.935614478114477"/>
    <x v="116"/>
    <x v="119"/>
    <x v="23"/>
    <d v="2025-05-06T00:00:00"/>
    <x v="6"/>
    <x v="0"/>
    <x v="7"/>
    <s v="ENTREGUE"/>
    <d v="2025-04-15T00:00:00"/>
    <x v="0"/>
    <m/>
    <n v="0"/>
    <n v="0"/>
    <n v="0"/>
    <n v="0"/>
    <n v="0"/>
  </r>
  <r>
    <x v="2"/>
    <s v="MEI45751"/>
    <s v="Pedido 1396"/>
    <d v="2025-04-02T00:00:00"/>
    <x v="120"/>
    <s v="PedidoF1337"/>
    <s v="CódRastreio1335"/>
    <n v="1"/>
    <s v="CPF 1358"/>
    <s v="Nome 1358"/>
    <s v="Tel 1358"/>
    <s v="Cep 1358"/>
    <s v="Rua 1358"/>
    <s v="Comp 1358"/>
    <s v="Lampada Led"/>
    <s v="T1-SWVB-UPOW"/>
    <d v="2025-05-01T00:00:00"/>
    <n v="29.99"/>
    <n v="29.99"/>
    <n v="3.5987999999999998"/>
    <n v="26.39"/>
    <n v="12.82"/>
    <n v="0.24"/>
    <n v="0.39877104377104378"/>
    <n v="0"/>
    <n v="12.931228956228956"/>
    <n v="6.4656144781144782"/>
    <x v="115"/>
    <x v="118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4"/>
    <s v="Pedido 1397"/>
    <d v="2025-04-02T00:00:00"/>
    <x v="121"/>
    <s v="PedidoF1338"/>
    <s v="CódRastreio1336"/>
    <n v="1"/>
    <s v="CPF 1359"/>
    <s v="Nome 1359"/>
    <s v="Tel 1359"/>
    <s v="Cep 1359"/>
    <s v="Rua 1359"/>
    <s v="Comp 1359"/>
    <s v="Lampada Led"/>
    <s v="T1-SWVB-UPOW"/>
    <d v="2025-05-01T00:00:00"/>
    <n v="29.99"/>
    <n v="29.99"/>
    <n v="3.5987999999999998"/>
    <n v="26.39"/>
    <n v="10.19"/>
    <n v="0.24"/>
    <n v="0.39877104377104378"/>
    <n v="0"/>
    <n v="15.561228956228957"/>
    <n v="7.7806144781144786"/>
    <x v="115"/>
    <x v="118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4"/>
    <s v="Pedido 1398"/>
    <d v="2025-04-02T00:00:00"/>
    <x v="121"/>
    <s v="PedidoF1339"/>
    <s v="CódRastreio1337"/>
    <n v="1"/>
    <s v="CPF 1360"/>
    <s v="Nome 1360"/>
    <s v="Tel 1360"/>
    <s v="Cep 1360"/>
    <s v="Rua 1360"/>
    <s v="Comp 1360"/>
    <s v="Garrafa Termica"/>
    <s v="LF-R6MC-WKWP"/>
    <d v="2025-05-09T00:00:00"/>
    <n v="32.67"/>
    <n v="32.67"/>
    <n v="3.9203999999999999"/>
    <n v="28.75"/>
    <n v="15.39"/>
    <n v="0.24"/>
    <n v="0.39877104377104378"/>
    <n v="0"/>
    <n v="12.721228956228956"/>
    <n v="6.3606144781144778"/>
    <x v="120"/>
    <x v="123"/>
    <x v="24"/>
    <d v="2025-05-20T00:00:00"/>
    <x v="6"/>
    <x v="0"/>
    <x v="7"/>
    <s v="ENTREGUE"/>
    <d v="2025-05-14T00:00:00"/>
    <x v="0"/>
    <m/>
    <n v="0"/>
    <n v="0"/>
    <n v="0"/>
    <n v="0"/>
    <n v="0"/>
  </r>
  <r>
    <x v="2"/>
    <s v="MEI45751"/>
    <s v="Pedido 1399"/>
    <d v="2025-04-02T00:00:00"/>
    <x v="120"/>
    <s v="PedidoF1340"/>
    <s v="CódRastreio1338"/>
    <n v="1"/>
    <s v="CPF 1361"/>
    <s v="Nome 1361"/>
    <s v="Tel 1361"/>
    <s v="Cep 1361"/>
    <s v="Rua 1361"/>
    <s v="Comp 1361"/>
    <s v="Lampada Led"/>
    <s v="T1-SWVB-UPOW"/>
    <d v="2025-05-01T00:00:00"/>
    <n v="29.99"/>
    <n v="29.99"/>
    <n v="3.5987999999999998"/>
    <n v="26.39"/>
    <n v="12.2"/>
    <n v="0.24"/>
    <n v="0.39877104377104378"/>
    <n v="0"/>
    <n v="13.551228956228957"/>
    <n v="6.7756144781144787"/>
    <x v="115"/>
    <x v="118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1"/>
    <s v="Pedido 1400"/>
    <d v="2025-04-02T00:00:00"/>
    <x v="120"/>
    <s v="PedidoF1341"/>
    <s v="CódRastreio1339"/>
    <n v="1"/>
    <s v="CPF 1362"/>
    <s v="Nome 1362"/>
    <s v="Tel 1362"/>
    <s v="Cep 1362"/>
    <s v="Rua 1362"/>
    <s v="Comp 1362"/>
    <s v="Maçarico Culinário Portátil"/>
    <s v="BG-DHRO-FAEE"/>
    <d v="2025-05-01T00:00:00"/>
    <n v="26.99"/>
    <n v="26.99"/>
    <n v="2.9688999999999997"/>
    <n v="24.02"/>
    <n v="10.16"/>
    <n v="0.24"/>
    <n v="0.39877104377104378"/>
    <n v="0"/>
    <n v="13.221228956228956"/>
    <n v="6.6106144781144778"/>
    <x v="115"/>
    <x v="118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1"/>
    <s v="Pedido 1401"/>
    <d v="2025-04-02T00:00:00"/>
    <x v="120"/>
    <s v="PedidoF1342"/>
    <s v="CódRastreio1340"/>
    <n v="1"/>
    <s v="CPF 1363"/>
    <s v="Nome 1363"/>
    <s v="Tel 1363"/>
    <s v="Cep 1363"/>
    <s v="Rua 1363"/>
    <s v="Comp 1363"/>
    <s v="Maçarico Culinário Portátil"/>
    <s v="BG-DHRO-FAEE"/>
    <d v="2025-05-01T00:00:00"/>
    <n v="26.99"/>
    <n v="26.99"/>
    <n v="2.9688999999999997"/>
    <n v="24.02"/>
    <n v="10.16"/>
    <n v="0.24"/>
    <n v="0.39877104377104378"/>
    <n v="0"/>
    <n v="13.221228956228956"/>
    <n v="6.6106144781144778"/>
    <x v="115"/>
    <x v="118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1"/>
    <s v="Pedido 1402"/>
    <d v="2025-04-02T00:00:00"/>
    <x v="120"/>
    <s v="PedidoF1343"/>
    <s v="CódRastreio1341"/>
    <n v="1"/>
    <s v="CPF 1364"/>
    <s v="Nome 1364"/>
    <s v="Tel 1364"/>
    <s v="Cep 1364"/>
    <s v="Rua 1364"/>
    <s v="Comp 1364"/>
    <s v="Ventilador Umidificador Preto"/>
    <s v="71-KHMZ-MLQW"/>
    <d v="2025-05-09T00:00:00"/>
    <n v="53"/>
    <n v="53"/>
    <n v="5.83"/>
    <n v="47.17"/>
    <n v="29.2"/>
    <n v="0.24"/>
    <n v="0.39877104377104378"/>
    <n v="0"/>
    <n v="17.331228956228959"/>
    <n v="8.6656144781144793"/>
    <x v="120"/>
    <x v="123"/>
    <x v="24"/>
    <d v="2025-05-20T00:00:00"/>
    <x v="6"/>
    <x v="0"/>
    <x v="7"/>
    <s v="ENTREGUE"/>
    <d v="2025-04-28T00:00:00"/>
    <x v="0"/>
    <m/>
    <n v="0"/>
    <n v="0"/>
    <n v="0"/>
    <n v="0"/>
    <n v="0"/>
  </r>
  <r>
    <x v="2"/>
    <s v="MEI45751"/>
    <s v="Pedido 1403"/>
    <d v="2025-04-02T00:00:00"/>
    <x v="120"/>
    <s v="PedidoF1344"/>
    <s v="CódRastreio1342"/>
    <n v="1"/>
    <s v="CPF 1365"/>
    <s v="Nome 1365"/>
    <s v="Tel 1365"/>
    <s v="Cep 1365"/>
    <s v="Rua 1365"/>
    <s v="Comp 1365"/>
    <s v="Ventilador Umidificador Preto"/>
    <s v="71-KHMZ-MLQW"/>
    <d v="2025-05-01T00:00:00"/>
    <n v="53"/>
    <n v="53"/>
    <n v="5.83"/>
    <n v="47.17"/>
    <n v="30.31"/>
    <n v="0.24"/>
    <n v="0.39877104377104378"/>
    <n v="0"/>
    <n v="16.221228956228959"/>
    <n v="8.1106144781144796"/>
    <x v="115"/>
    <x v="118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4"/>
    <s v="Pedido 1404"/>
    <d v="2025-04-02T00:00:00"/>
    <x v="121"/>
    <s v="PedidoF1345"/>
    <s v="CódRastreio1343"/>
    <n v="1"/>
    <s v="CPF 1366"/>
    <s v="Nome 1366"/>
    <s v="Tel 1366"/>
    <s v="Cep 1366"/>
    <s v="Rua 1366"/>
    <s v="Comp 1366"/>
    <s v="Maçarico Culinário Portátil"/>
    <s v="BG-DHRO-FAEE"/>
    <d v="2025-04-25T00:00:00"/>
    <n v="26.99"/>
    <n v="26.99"/>
    <n v="2.9688999999999997"/>
    <n v="24.02"/>
    <n v="11.1"/>
    <n v="0.24"/>
    <n v="0.39877104377104378"/>
    <n v="0"/>
    <n v="12.281228956228956"/>
    <n v="6.140614478114478"/>
    <x v="116"/>
    <x v="119"/>
    <x v="23"/>
    <d v="2025-05-06T00:00:00"/>
    <x v="6"/>
    <x v="0"/>
    <x v="7"/>
    <s v="ENTREGUE"/>
    <d v="2025-04-22T00:00:00"/>
    <x v="0"/>
    <m/>
    <n v="0"/>
    <n v="0"/>
    <n v="0"/>
    <n v="0"/>
    <n v="0"/>
  </r>
  <r>
    <x v="2"/>
    <s v="MEI45754"/>
    <s v="Pedido 1405"/>
    <d v="2025-04-02T00:00:00"/>
    <x v="121"/>
    <s v="PedidoF1346"/>
    <s v="CódRastreio1344"/>
    <n v="1"/>
    <s v="CPF 1367"/>
    <s v="Nome 1367"/>
    <s v="Tel 1367"/>
    <s v="Cep 1367"/>
    <s v="Rua 1367"/>
    <s v="Comp 1367"/>
    <s v="Ventilador Preto"/>
    <s v="WU-SS4J-LFOH"/>
    <d v="2025-04-25T00:00:00"/>
    <n v="65.75"/>
    <n v="65.75"/>
    <n v="7.89"/>
    <n v="57.86"/>
    <n v="15.51"/>
    <n v="0.24"/>
    <n v="0.39877104377104378"/>
    <n v="0"/>
    <n v="41.71122895622895"/>
    <n v="20.855614478114475"/>
    <x v="116"/>
    <x v="119"/>
    <x v="23"/>
    <d v="2025-05-06T00:00:00"/>
    <x v="6"/>
    <x v="0"/>
    <x v="7"/>
    <s v="ENTREGUE"/>
    <d v="2025-04-19T00:00:00"/>
    <x v="0"/>
    <m/>
    <n v="0"/>
    <n v="0"/>
    <n v="0"/>
    <n v="0"/>
    <n v="0"/>
  </r>
  <r>
    <x v="1"/>
    <s v="GO45749"/>
    <s v="Pedido 1406"/>
    <d v="2025-03-31T00:00:00"/>
    <x v="118"/>
    <s v="PedidoF1347"/>
    <s v="CódRastreio1345"/>
    <n v="1"/>
    <s v="CPF 1368"/>
    <s v="Nome 1368"/>
    <s v="Tel 1368"/>
    <s v="Cep 1368"/>
    <s v="Rua 1368"/>
    <s v="Comp 1368"/>
    <s v="Cortador de Legumes"/>
    <s v="33-SVS5-1AWY"/>
    <d v="2025-04-30T00:00:00"/>
    <n v="67.599999999999994"/>
    <n v="67.599999999999994"/>
    <n v="8.1119999999999983"/>
    <n v="59.49"/>
    <n v="34.659999999999997"/>
    <n v="0.2"/>
    <n v="0.39877104377104378"/>
    <n v="0"/>
    <n v="24.231228956228961"/>
    <n v="24.231228956228961"/>
    <x v="114"/>
    <x v="117"/>
    <x v="24"/>
    <d v="2025-05-20T00:00:00"/>
    <x v="6"/>
    <x v="0"/>
    <x v="7"/>
    <s v="ENTREGUE"/>
    <d v="2025-04-16T00:00:00"/>
    <x v="0"/>
    <m/>
    <n v="0"/>
    <n v="0"/>
    <n v="0"/>
    <n v="0"/>
    <n v="0"/>
  </r>
  <r>
    <x v="1"/>
    <s v="GO45749"/>
    <s v="Pedido 1407"/>
    <d v="2025-04-01T00:00:00"/>
    <x v="118"/>
    <s v="PedidoF1348"/>
    <s v="CódRastreio1346"/>
    <n v="1"/>
    <s v="CPF 1369"/>
    <s v="Nome 1369"/>
    <s v="Tel 1369"/>
    <s v="Cep 1369"/>
    <s v="Rua 1369"/>
    <s v="Comp 1369"/>
    <s v="Escova Multifuncional"/>
    <s v="E7-FW3C-EHOL"/>
    <d v="2025-05-08T00:00:00"/>
    <n v="40.4"/>
    <n v="40.4"/>
    <n v="4.8479999999999999"/>
    <n v="35.549999999999997"/>
    <n v="24.03"/>
    <n v="0.2"/>
    <n v="0.39877104377104378"/>
    <n v="0"/>
    <n v="10.921228956228951"/>
    <n v="10.921228956228951"/>
    <x v="119"/>
    <x v="122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1"/>
    <s v="Pedido 1408"/>
    <d v="2025-04-03T00:00:00"/>
    <x v="120"/>
    <s v="PedidoF1349"/>
    <s v="CódRastreio1347"/>
    <n v="1"/>
    <s v="CPF 1370"/>
    <s v="Nome 1370"/>
    <s v="Tel 1370"/>
    <s v="Cep 1370"/>
    <s v="Rua 1370"/>
    <s v="Comp 1370"/>
    <s v="Copo Termico"/>
    <s v="VI-4RT5-1FFO"/>
    <d v="2025-04-25T00:00:00"/>
    <n v="22.7"/>
    <n v="22.7"/>
    <n v="2.7239999999999998"/>
    <n v="19.98"/>
    <n v="12.91"/>
    <n v="0.24"/>
    <n v="0.39877104377104378"/>
    <n v="0"/>
    <n v="6.4312289562289564"/>
    <n v="3.2156144781144782"/>
    <x v="116"/>
    <x v="119"/>
    <x v="23"/>
    <d v="2025-05-06T00:00:00"/>
    <x v="6"/>
    <x v="0"/>
    <x v="7"/>
    <s v="ENTREGUE"/>
    <d v="2025-04-10T00:00:00"/>
    <x v="0"/>
    <m/>
    <n v="0"/>
    <n v="0"/>
    <n v="0"/>
    <n v="0"/>
    <n v="0"/>
  </r>
  <r>
    <x v="2"/>
    <s v="MEI45754"/>
    <s v="Pedido 1409"/>
    <d v="2025-04-03T00:00:00"/>
    <x v="121"/>
    <s v="PedidoF1350"/>
    <s v="CódRastreio1348"/>
    <n v="1"/>
    <s v="CPF 1371"/>
    <s v="Nome 1371"/>
    <s v="Tel 1371"/>
    <s v="Cep 1371"/>
    <s v="Rua 1371"/>
    <s v="Comp 1371"/>
    <s v="Copo Termico"/>
    <s v="VI-4RT5-1FFO"/>
    <d v="2025-05-01T00:00:00"/>
    <n v="22.7"/>
    <n v="22.7"/>
    <n v="2.7239999999999998"/>
    <n v="19.98"/>
    <n v="10.1"/>
    <n v="0.24"/>
    <n v="0.39877104377104378"/>
    <n v="0"/>
    <n v="9.2412289562289569"/>
    <n v="4.6206144781144785"/>
    <x v="115"/>
    <x v="118"/>
    <x v="24"/>
    <d v="2025-05-20T00:00:00"/>
    <x v="6"/>
    <x v="0"/>
    <x v="7"/>
    <s v="ENTREGUE"/>
    <d v="2025-04-16T00:00:00"/>
    <x v="0"/>
    <m/>
    <n v="0"/>
    <n v="0"/>
    <n v="0"/>
    <n v="0"/>
    <n v="0"/>
  </r>
  <r>
    <x v="2"/>
    <s v="MEI45754"/>
    <s v="Pedido 1410"/>
    <d v="2025-04-03T00:00:00"/>
    <x v="121"/>
    <s v="PedidoF1351"/>
    <s v="CódRastreio1349"/>
    <n v="1"/>
    <s v="CPF 1372"/>
    <s v="Nome 1372"/>
    <s v="Tel 1372"/>
    <s v="Cep 1372"/>
    <s v="Rua 1372"/>
    <s v="Comp 1372"/>
    <s v="Ventilador Rosa"/>
    <s v="WR-82Y0-OV27"/>
    <d v="2025-05-03T00:00:00"/>
    <n v="59.69"/>
    <n v="59.69"/>
    <n v="7.1627999999999998"/>
    <n v="52.53"/>
    <n v="14.17"/>
    <n v="0.24"/>
    <n v="0.39877104377104378"/>
    <n v="0"/>
    <n v="37.721228956228956"/>
    <n v="18.860614478114478"/>
    <x v="121"/>
    <x v="124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4"/>
    <s v="Pedido 1411"/>
    <d v="2025-04-03T00:00:00"/>
    <x v="121"/>
    <s v="PedidoF1352"/>
    <s v="CódRastreio1350"/>
    <n v="1"/>
    <s v="CPF 1373"/>
    <s v="Nome 1373"/>
    <s v="Tel 1373"/>
    <s v="Cep 1373"/>
    <s v="Rua 1373"/>
    <s v="Comp 1373"/>
    <s v="Copo Termico"/>
    <s v="VI-4RT5-1FFO"/>
    <d v="2025-04-26T00:00:00"/>
    <n v="22.7"/>
    <n v="22.7"/>
    <n v="2.7239999999999998"/>
    <n v="19.98"/>
    <n v="6.99"/>
    <n v="0.24"/>
    <n v="0.39877104377104378"/>
    <n v="0"/>
    <n v="12.351228956228956"/>
    <n v="6.1756144781144782"/>
    <x v="117"/>
    <x v="120"/>
    <x v="24"/>
    <d v="2025-05-20T00:00:00"/>
    <x v="6"/>
    <x v="0"/>
    <x v="7"/>
    <s v="ENTREGUE"/>
    <d v="2025-04-09T00:00:00"/>
    <x v="0"/>
    <m/>
    <n v="0"/>
    <n v="0"/>
    <n v="0"/>
    <n v="0"/>
    <n v="0"/>
  </r>
  <r>
    <x v="2"/>
    <s v="MEI45754"/>
    <s v="Pedido 1412"/>
    <d v="2025-04-03T00:00:00"/>
    <x v="121"/>
    <s v="PedidoF1353"/>
    <s v="CódRastreio1351"/>
    <n v="1"/>
    <s v="CPF 1374"/>
    <s v="Nome 1374"/>
    <s v="Tel 1374"/>
    <s v="Cep 1374"/>
    <s v="Rua 1374"/>
    <s v="Comp 1374"/>
    <s v="Maçarico Culinário Portátil"/>
    <s v="BG-DHRO-FAEE"/>
    <d v="2025-05-03T00:00:00"/>
    <n v="26.99"/>
    <n v="26.99"/>
    <n v="2.9688999999999997"/>
    <n v="24.02"/>
    <n v="11.53"/>
    <n v="0.24"/>
    <n v="0.39877104377104378"/>
    <n v="0"/>
    <n v="11.851228956228956"/>
    <n v="5.9256144781144782"/>
    <x v="121"/>
    <x v="124"/>
    <x v="24"/>
    <d v="2025-05-20T00:00:00"/>
    <x v="6"/>
    <x v="0"/>
    <x v="7"/>
    <s v="ENTREGUE"/>
    <d v="2025-04-24T00:00:00"/>
    <x v="0"/>
    <m/>
    <n v="0"/>
    <n v="0"/>
    <n v="0"/>
    <n v="0"/>
    <n v="0"/>
  </r>
  <r>
    <x v="2"/>
    <s v="MEI45754"/>
    <s v="Pedido 1413"/>
    <d v="2025-04-03T00:00:00"/>
    <x v="121"/>
    <s v="PedidoF1354"/>
    <s v="CódRastreio1352"/>
    <n v="1"/>
    <s v="CPF 1375"/>
    <s v="Nome 1375"/>
    <s v="Tel 1375"/>
    <s v="Cep 1375"/>
    <s v="Rua 1375"/>
    <s v="Comp 1375"/>
    <s v="Ventilador Umidificador Preto"/>
    <s v="71-KHMZ-MLQW"/>
    <d v="2025-05-10T00:00:00"/>
    <n v="53"/>
    <n v="53"/>
    <n v="5.83"/>
    <n v="47.17"/>
    <n v="31.7"/>
    <n v="0.24"/>
    <n v="0.39877104377104378"/>
    <n v="0"/>
    <n v="14.831228956228962"/>
    <n v="7.415614478114481"/>
    <x v="122"/>
    <x v="125"/>
    <x v="25"/>
    <d v="2025-06-02T00:00:00"/>
    <x v="6"/>
    <x v="0"/>
    <x v="7"/>
    <s v="ENTREGUE"/>
    <d v="2025-04-24T00:00:00"/>
    <x v="0"/>
    <m/>
    <n v="0"/>
    <n v="0"/>
    <n v="0"/>
    <n v="0"/>
    <n v="0"/>
  </r>
  <r>
    <x v="1"/>
    <s v="GO45754"/>
    <s v="Pedido 1414"/>
    <d v="2025-04-03T00:00:00"/>
    <x v="121"/>
    <s v="PedidoF1355"/>
    <s v="CódRastreio1353"/>
    <n v="1"/>
    <s v="CPF 1376"/>
    <s v="Nome 1376"/>
    <s v="Tel 1376"/>
    <s v="Cep 1376"/>
    <s v="Rua 1376"/>
    <s v="Comp 1376"/>
    <s v="Cortador de Legumes"/>
    <s v="33-SVS5-1AWY"/>
    <d v="2025-05-01T00:00:00"/>
    <n v="67.599999999999994"/>
    <n v="67.599999999999994"/>
    <n v="8.1119999999999983"/>
    <n v="59.49"/>
    <n v="37.25"/>
    <n v="0.2"/>
    <n v="0.39877104377104378"/>
    <n v="0"/>
    <n v="21.641228956228957"/>
    <n v="21.641228956228957"/>
    <x v="115"/>
    <x v="118"/>
    <x v="24"/>
    <d v="2025-05-20T00:00:00"/>
    <x v="6"/>
    <x v="0"/>
    <x v="7"/>
    <s v="ENTREGUE"/>
    <d v="2025-04-24T00:00:00"/>
    <x v="0"/>
    <m/>
    <n v="0"/>
    <n v="0"/>
    <n v="0"/>
    <n v="0"/>
    <n v="0"/>
  </r>
  <r>
    <x v="2"/>
    <s v="MEI45754"/>
    <s v="Pedido 1415"/>
    <d v="2025-04-03T00:00:00"/>
    <x v="121"/>
    <s v="PedidoF1356"/>
    <s v="CódRastreio1354"/>
    <n v="1"/>
    <s v="CPF 1377"/>
    <s v="Nome 1377"/>
    <s v="Tel 1377"/>
    <s v="Cep 1377"/>
    <s v="Rua 1377"/>
    <s v="Comp 1377"/>
    <s v="Maçarico Culinário Portátil"/>
    <s v="BG-DHRO-FAEE"/>
    <d v="2025-04-26T00:00:00"/>
    <n v="26.99"/>
    <n v="26.99"/>
    <n v="2.9688999999999997"/>
    <n v="24.02"/>
    <n v="11.11"/>
    <n v="0.24"/>
    <n v="0.39877104377104378"/>
    <n v="0"/>
    <n v="12.271228956228956"/>
    <n v="6.1356144781144781"/>
    <x v="117"/>
    <x v="120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54"/>
    <s v="Pedido 1416"/>
    <d v="2025-04-03T00:00:00"/>
    <x v="121"/>
    <s v="PedidoF1357"/>
    <s v="CódRastreio1355"/>
    <n v="1"/>
    <s v="CPF 1378"/>
    <s v="Nome 1378"/>
    <s v="Tel 1378"/>
    <s v="Cep 1378"/>
    <s v="Rua 1378"/>
    <s v="Comp 1378"/>
    <s v="Garrafa Termica"/>
    <s v="LF-R6MC-WKWP"/>
    <d v="2025-05-03T00:00:00"/>
    <n v="32.67"/>
    <n v="32.67"/>
    <n v="3.9203999999999999"/>
    <n v="28.75"/>
    <n v="12.3"/>
    <n v="0.24"/>
    <n v="0.39877104377104378"/>
    <n v="0"/>
    <n v="15.811228956228955"/>
    <n v="7.9056144781144777"/>
    <x v="121"/>
    <x v="124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4"/>
    <s v="Pedido 1417"/>
    <d v="2025-04-04T00:00:00"/>
    <x v="121"/>
    <s v="PedidoF1358"/>
    <s v="CódRastreio1356"/>
    <n v="1"/>
    <s v="CPF 1379"/>
    <s v="Nome 1379"/>
    <s v="Tel 1379"/>
    <s v="Cep 1379"/>
    <s v="Rua 1379"/>
    <s v="Comp 1379"/>
    <s v="Copo Termico"/>
    <s v="VI-4RT5-1FFO"/>
    <d v="2025-04-26T00:00:00"/>
    <n v="22.7"/>
    <n v="22.7"/>
    <n v="2.7239999999999998"/>
    <n v="19.98"/>
    <n v="6.99"/>
    <n v="0.24"/>
    <n v="0.39877104377104378"/>
    <n v="0"/>
    <n v="12.351228956228956"/>
    <n v="6.1756144781144782"/>
    <x v="117"/>
    <x v="120"/>
    <x v="24"/>
    <d v="2025-05-20T00:00:00"/>
    <x v="6"/>
    <x v="0"/>
    <x v="7"/>
    <s v="ENTREGUE"/>
    <d v="2025-04-10T00:00:00"/>
    <x v="0"/>
    <m/>
    <n v="0"/>
    <n v="0"/>
    <n v="0"/>
    <n v="0"/>
    <n v="0"/>
  </r>
  <r>
    <x v="2"/>
    <s v="MEI45755"/>
    <s v="Pedido 1418"/>
    <d v="2025-04-04T00:00:00"/>
    <x v="122"/>
    <s v="PedidoF1359"/>
    <s v="CódRastreio1357"/>
    <n v="1"/>
    <s v="CPF 1380"/>
    <s v="Nome 1380"/>
    <s v="Tel 1380"/>
    <s v="Cep 1380"/>
    <s v="Rua 1380"/>
    <s v="Comp 1380"/>
    <s v="Maçarico Culinário Portátil"/>
    <s v="BG-DHRO-FAEE"/>
    <d v="2025-05-06T00:00:00"/>
    <n v="26.99"/>
    <n v="26.99"/>
    <n v="2.9688999999999997"/>
    <n v="24.02"/>
    <n v="11.13"/>
    <n v="0.25"/>
    <n v="0.39877104377104378"/>
    <n v="0"/>
    <n v="12.241228956228955"/>
    <n v="6.1206144781144776"/>
    <x v="123"/>
    <x v="126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56"/>
    <s v="Pedido 1419"/>
    <d v="2025-04-04T00:00:00"/>
    <x v="123"/>
    <s v="PedidoF1360"/>
    <s v="CódRastreio1358"/>
    <n v="1"/>
    <s v="CPF 1381"/>
    <s v="Nome 1381"/>
    <s v="Tel 1381"/>
    <s v="Cep 1381"/>
    <s v="Rua 1381"/>
    <s v="Comp 1381"/>
    <s v="Copo Termico"/>
    <s v="VI-4RT5-1FFO"/>
    <d v="2025-05-13T00:00:00"/>
    <n v="22.7"/>
    <n v="22.7"/>
    <n v="2.7239999999999998"/>
    <n v="19.98"/>
    <n v="14.71"/>
    <n v="0.2"/>
    <n v="0.39877104377104378"/>
    <n v="0"/>
    <n v="4.6712289562289566"/>
    <n v="2.3356144781144783"/>
    <x v="124"/>
    <x v="127"/>
    <x v="25"/>
    <d v="2025-06-02T00:00:00"/>
    <x v="6"/>
    <x v="0"/>
    <x v="7"/>
    <s v="ENTREGUE"/>
    <d v="2025-04-19T00:00:00"/>
    <x v="0"/>
    <m/>
    <n v="0"/>
    <n v="0"/>
    <n v="0"/>
    <n v="0"/>
    <n v="0"/>
  </r>
  <r>
    <x v="2"/>
    <s v="MEI45755"/>
    <s v="Pedido 1420"/>
    <d v="2025-04-04T00:00:00"/>
    <x v="122"/>
    <s v="PedidoF1361"/>
    <s v="CódRastreio1359"/>
    <n v="1"/>
    <s v="CPF 1382"/>
    <s v="Nome 1382"/>
    <s v="Tel 1382"/>
    <s v="Cep 1382"/>
    <s v="Rua 1382"/>
    <s v="Comp 1382"/>
    <s v="Lampada Led"/>
    <s v="T1-SWVB-UPOW"/>
    <d v="2025-05-13T00:00:00"/>
    <n v="29.99"/>
    <n v="29.99"/>
    <n v="3.5987999999999998"/>
    <n v="26.39"/>
    <n v="10.14"/>
    <n v="0.25"/>
    <n v="0.39877104377104378"/>
    <n v="0"/>
    <n v="15.601228956228956"/>
    <n v="7.8006144781144782"/>
    <x v="124"/>
    <x v="127"/>
    <x v="25"/>
    <d v="2025-06-02T00:00:00"/>
    <x v="6"/>
    <x v="0"/>
    <x v="7"/>
    <s v="ENTREGUE"/>
    <d v="2025-05-06T00:00:00"/>
    <x v="0"/>
    <m/>
    <n v="0"/>
    <n v="0"/>
    <n v="0"/>
    <n v="0"/>
    <n v="0"/>
  </r>
  <r>
    <x v="2"/>
    <s v="MEI45755"/>
    <s v="Pedido 1421"/>
    <d v="2025-04-04T00:00:00"/>
    <x v="122"/>
    <s v="PedidoF1362"/>
    <s v="CódRastreio1360"/>
    <n v="1"/>
    <s v="CPF 1383"/>
    <s v="Nome 1383"/>
    <s v="Tel 1383"/>
    <s v="Cep 1383"/>
    <s v="Rua 1383"/>
    <s v="Comp 1383"/>
    <s v="Ventilador de teto"/>
    <s v="JV-A3YY-I7XH"/>
    <d v="2025-05-06T00:00:00"/>
    <n v="70.489999999999995"/>
    <n v="70.489999999999995"/>
    <n v="8.4587999999999983"/>
    <n v="62.03"/>
    <n v="47.66"/>
    <n v="0.25"/>
    <n v="0.39877104377104378"/>
    <n v="0"/>
    <n v="13.721228956228963"/>
    <n v="6.8606144781144813"/>
    <x v="123"/>
    <x v="12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5"/>
    <s v="Pedido 1422"/>
    <d v="2025-04-04T00:00:00"/>
    <x v="122"/>
    <s v="PedidoF1363"/>
    <s v="CódRastreio1361"/>
    <n v="1"/>
    <s v="CPF 1384"/>
    <s v="Nome 1384"/>
    <s v="Tel 1384"/>
    <s v="Cep 1384"/>
    <s v="Rua 1384"/>
    <s v="Comp 1384"/>
    <s v="Copo Termico"/>
    <s v="VI-4RT5-1FFO"/>
    <d v="2025-04-29T00:00:00"/>
    <n v="22.7"/>
    <n v="22.7"/>
    <n v="2.7239999999999998"/>
    <n v="19.98"/>
    <n v="11.77"/>
    <n v="0.25"/>
    <n v="0.39877104377104378"/>
    <n v="0"/>
    <n v="7.5612289562289572"/>
    <n v="3.7806144781144786"/>
    <x v="113"/>
    <x v="116"/>
    <x v="24"/>
    <d v="2025-05-20T00:00:00"/>
    <x v="6"/>
    <x v="0"/>
    <x v="7"/>
    <s v="ENTREGUE"/>
    <d v="2025-04-16T00:00:00"/>
    <x v="0"/>
    <m/>
    <n v="0"/>
    <n v="0"/>
    <n v="0"/>
    <n v="0"/>
    <n v="0"/>
  </r>
  <r>
    <x v="2"/>
    <s v="MEI45755"/>
    <s v="Pedido 1423"/>
    <d v="2025-04-04T00:00:00"/>
    <x v="122"/>
    <s v="PedidoF1364"/>
    <s v="CódRastreio1362"/>
    <n v="1"/>
    <s v="CPF 1385"/>
    <s v="Nome 1385"/>
    <s v="Tel 1385"/>
    <s v="Cep 1385"/>
    <s v="Rua 1385"/>
    <s v="Comp 1385"/>
    <s v="Lampada Led"/>
    <s v="T1-SWVB-UPOW"/>
    <d v="2025-04-29T00:00:00"/>
    <n v="29.99"/>
    <n v="29.99"/>
    <n v="3.5987999999999998"/>
    <n v="26.39"/>
    <n v="10.14"/>
    <n v="0.25"/>
    <n v="0.39877104377104378"/>
    <n v="0"/>
    <n v="15.601228956228956"/>
    <n v="7.8006144781144782"/>
    <x v="113"/>
    <x v="116"/>
    <x v="24"/>
    <d v="2025-05-20T00:00:00"/>
    <x v="6"/>
    <x v="0"/>
    <x v="7"/>
    <s v="ENTREGUE"/>
    <d v="2025-04-26T00:00:00"/>
    <x v="0"/>
    <m/>
    <n v="0"/>
    <n v="0"/>
    <n v="0"/>
    <n v="0"/>
    <n v="0"/>
  </r>
  <r>
    <x v="2"/>
    <s v="MEI45755"/>
    <s v="Pedido 1424"/>
    <d v="2025-04-04T00:00:00"/>
    <x v="122"/>
    <s v="PedidoF1365"/>
    <s v="CódRastreio1363"/>
    <n v="1"/>
    <s v="CPF 1386"/>
    <s v="Nome 1386"/>
    <s v="Tel 1386"/>
    <s v="Cep 1386"/>
    <s v="Rua 1386"/>
    <s v="Comp 1386"/>
    <s v="Lampada Led"/>
    <s v="T1-SWVB-UPOW"/>
    <d v="2025-04-29T00:00:00"/>
    <n v="29.99"/>
    <n v="29.99"/>
    <n v="3.5987999999999998"/>
    <n v="26.39"/>
    <n v="10.14"/>
    <n v="0.25"/>
    <n v="0.39877104377104378"/>
    <n v="0"/>
    <n v="15.601228956228956"/>
    <n v="7.8006144781144782"/>
    <x v="113"/>
    <x v="116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5"/>
    <s v="Pedido 1425"/>
    <d v="2025-04-04T00:00:00"/>
    <x v="122"/>
    <s v="PedidoF1366"/>
    <s v="CódRastreio1364"/>
    <n v="1"/>
    <s v="CPF 1387"/>
    <s v="Nome 1387"/>
    <s v="Tel 1387"/>
    <s v="Cep 1387"/>
    <s v="Rua 1387"/>
    <s v="Comp 1387"/>
    <s v="Ventilador Umidificador Preto"/>
    <s v="71-KHMZ-MLQW"/>
    <d v="2025-04-29T00:00:00"/>
    <n v="53"/>
    <n v="53"/>
    <n v="5.83"/>
    <n v="47.17"/>
    <n v="31.78"/>
    <n v="0.25"/>
    <n v="0.39877104377104378"/>
    <n v="0"/>
    <n v="14.741228956228959"/>
    <n v="7.3706144781144793"/>
    <x v="113"/>
    <x v="116"/>
    <x v="24"/>
    <d v="2025-05-20T00:00:00"/>
    <x v="6"/>
    <x v="0"/>
    <x v="7"/>
    <s v="ENTREGUE"/>
    <d v="2025-04-25T00:00:00"/>
    <x v="0"/>
    <m/>
    <n v="0"/>
    <n v="0"/>
    <n v="0"/>
    <n v="0"/>
    <n v="0"/>
  </r>
  <r>
    <x v="2"/>
    <s v="MEI-"/>
    <s v="Pedido 1426"/>
    <d v="2025-04-05T00:00:00"/>
    <x v="0"/>
    <s v="-"/>
    <s v="-"/>
    <n v="1"/>
    <s v="CPF 1388"/>
    <s v="Nome 1388"/>
    <s v="Tel 1388"/>
    <s v="Cep 1388"/>
    <s v="Rua 1388"/>
    <s v="Comp 1388"/>
    <s v="Brinquedo Bola Giratória voadora"/>
    <s v="Z0-F6CI-18CL"/>
    <d v="2025-05-06T00:00:00"/>
    <n v="42.87"/>
    <n v="42.87"/>
    <n v="5.1443999999999992"/>
    <n v="37.729999999999997"/>
    <n v="0"/>
    <n v="0"/>
    <n v="0"/>
    <n v="0"/>
    <n v="37.729999999999997"/>
    <n v="18.864999999999998"/>
    <x v="123"/>
    <x v="126"/>
    <x v="24"/>
    <d v="2025-05-20T00:00:00"/>
    <x v="6"/>
    <x v="0"/>
    <x v="0"/>
    <s v="-"/>
    <s v="-"/>
    <x v="0"/>
    <m/>
    <n v="0"/>
    <n v="0"/>
    <n v="0"/>
    <n v="0"/>
    <n v="0"/>
  </r>
  <r>
    <x v="2"/>
    <s v="MEI45755"/>
    <s v="Pedido 1427"/>
    <d v="2025-04-05T00:00:00"/>
    <x v="122"/>
    <s v="PedidoF1367"/>
    <s v="CódRastreio1365"/>
    <n v="1"/>
    <s v="CPF 1389"/>
    <s v="Nome 1389"/>
    <s v="Tel 1389"/>
    <s v="Cep 1389"/>
    <s v="Rua 1389"/>
    <s v="Comp 1389"/>
    <s v="Ventilador Azul"/>
    <s v="PK-L2Z7-MQRQ"/>
    <d v="2025-05-06T00:00:00"/>
    <n v="49.9"/>
    <n v="49.9"/>
    <n v="5.9879999999999995"/>
    <n v="43.91"/>
    <n v="0"/>
    <n v="0.25"/>
    <n v="0.39877104377104378"/>
    <n v="0"/>
    <n v="43.261228956228955"/>
    <n v="21.630614478114477"/>
    <x v="123"/>
    <x v="12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5"/>
    <s v="Pedido 1428"/>
    <d v="2025-04-05T00:00:00"/>
    <x v="122"/>
    <s v="PedidoF1368"/>
    <s v="CódRastreio1366"/>
    <n v="1"/>
    <s v="CPF 1390"/>
    <s v="Nome 1390"/>
    <s v="Tel 1390"/>
    <s v="Cep 1390"/>
    <s v="Rua 1390"/>
    <s v="Comp 1390"/>
    <s v="Suporte de Celular Branco"/>
    <s v="IQ-LISQ-0D65"/>
    <d v="2025-05-06T00:00:00"/>
    <n v="21.99"/>
    <n v="21.99"/>
    <n v="3.2984999999999998"/>
    <n v="18.690000000000001"/>
    <n v="6.99"/>
    <n v="0.25"/>
    <n v="0.39877104377104378"/>
    <n v="0"/>
    <n v="11.051228956228957"/>
    <n v="5.5256144781144787"/>
    <x v="123"/>
    <x v="126"/>
    <x v="24"/>
    <d v="2025-05-20T00:00:00"/>
    <x v="6"/>
    <x v="0"/>
    <x v="7"/>
    <s v="ENTREGUE"/>
    <d v="2025-04-15T00:00:00"/>
    <x v="0"/>
    <m/>
    <n v="0"/>
    <n v="0"/>
    <n v="0"/>
    <n v="0"/>
    <n v="0"/>
  </r>
  <r>
    <x v="2"/>
    <s v="MEI45755"/>
    <s v="Pedido 1429"/>
    <d v="2025-04-06T00:00:00"/>
    <x v="122"/>
    <s v="PedidoF1369"/>
    <s v="CódRastreio1367"/>
    <n v="1"/>
    <s v="CPF 1391"/>
    <s v="Nome 1391"/>
    <s v="Tel 1391"/>
    <s v="Cep 1391"/>
    <s v="Rua 1391"/>
    <s v="Comp 1391"/>
    <s v="Lampada Led"/>
    <s v="T1-SWVB-UPOW"/>
    <d v="2025-04-29T00:00:00"/>
    <n v="29.99"/>
    <n v="29.99"/>
    <n v="3.5987999999999998"/>
    <n v="26.39"/>
    <n v="10.15"/>
    <n v="0.25"/>
    <n v="0.39877104377104378"/>
    <n v="0"/>
    <n v="15.591228956228957"/>
    <n v="7.7956144781144783"/>
    <x v="113"/>
    <x v="116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5"/>
    <s v="Pedido 1430"/>
    <d v="2025-04-06T00:00:00"/>
    <x v="122"/>
    <s v="PedidoF1370"/>
    <s v="CódRastreio1368"/>
    <n v="1"/>
    <s v="CPF 1392"/>
    <s v="Nome 1392"/>
    <s v="Tel 1392"/>
    <s v="Cep 1392"/>
    <s v="Rua 1392"/>
    <s v="Comp 1392"/>
    <s v="Suporte de Celular Branco"/>
    <s v="IQ-LISQ-0D65"/>
    <d v="2025-05-06T00:00:00"/>
    <n v="21.99"/>
    <n v="21.99"/>
    <n v="3.2984999999999998"/>
    <n v="18.690000000000001"/>
    <n v="6.99"/>
    <n v="0.25"/>
    <n v="0.39877104377104378"/>
    <n v="0"/>
    <n v="11.051228956228957"/>
    <n v="5.5256144781144787"/>
    <x v="123"/>
    <x v="126"/>
    <x v="24"/>
    <d v="2025-05-20T00:00:00"/>
    <x v="6"/>
    <x v="0"/>
    <x v="7"/>
    <s v="ENTREGUE"/>
    <d v="2025-04-19T00:00:00"/>
    <x v="0"/>
    <m/>
    <n v="0"/>
    <n v="0"/>
    <n v="0"/>
    <n v="0"/>
    <n v="0"/>
  </r>
  <r>
    <x v="2"/>
    <s v="MEI45755"/>
    <s v="Pedido 1431"/>
    <d v="2025-04-06T00:00:00"/>
    <x v="122"/>
    <s v="PedidoF1371"/>
    <s v="CódRastreio1369"/>
    <n v="1"/>
    <s v="CPF 1393"/>
    <s v="Nome 1393"/>
    <s v="Tel 1393"/>
    <s v="Cep 1393"/>
    <s v="Rua 1393"/>
    <s v="Comp 1393"/>
    <s v="Suporte de Celular Branco"/>
    <s v="IQ-LISQ-0D65"/>
    <d v="2025-04-29T00:00:00"/>
    <n v="21.99"/>
    <n v="21.99"/>
    <n v="3.2984999999999998"/>
    <n v="18.690000000000001"/>
    <n v="6.99"/>
    <n v="0.25"/>
    <n v="0.39877104377104378"/>
    <n v="0"/>
    <n v="11.051228956228957"/>
    <n v="5.5256144781144787"/>
    <x v="113"/>
    <x v="116"/>
    <x v="24"/>
    <d v="2025-05-20T00:00:00"/>
    <x v="6"/>
    <x v="0"/>
    <x v="7"/>
    <s v="ENTREGUE"/>
    <d v="2025-04-16T00:00:00"/>
    <x v="0"/>
    <m/>
    <n v="0"/>
    <n v="0"/>
    <n v="0"/>
    <n v="0"/>
    <n v="0"/>
  </r>
  <r>
    <x v="2"/>
    <s v="MEI45755"/>
    <s v="Pedido 1432"/>
    <d v="2025-04-06T00:00:00"/>
    <x v="122"/>
    <s v="PedidoF1372"/>
    <s v="CódRastreio1370"/>
    <n v="1"/>
    <s v="CPF 1394"/>
    <s v="Nome 1394"/>
    <s v="Tel 1394"/>
    <s v="Cep 1394"/>
    <s v="Rua 1394"/>
    <s v="Comp 1394"/>
    <s v="Ventilador Rosa"/>
    <s v="WR-82Y0-OV27"/>
    <d v="2025-05-06T00:00:00"/>
    <n v="59.69"/>
    <n v="59.69"/>
    <n v="7.1627999999999998"/>
    <n v="52.53"/>
    <n v="14.72"/>
    <n v="0.25"/>
    <n v="0.39877104377104378"/>
    <n v="0"/>
    <n v="37.161228956228953"/>
    <n v="18.580614478114477"/>
    <x v="123"/>
    <x v="126"/>
    <x v="24"/>
    <d v="2025-05-20T00:00:00"/>
    <x v="6"/>
    <x v="0"/>
    <x v="7"/>
    <s v="ENTREGUE"/>
    <d v="2025-04-25T00:00:00"/>
    <x v="0"/>
    <m/>
    <n v="0"/>
    <n v="0"/>
    <n v="0"/>
    <n v="0"/>
    <n v="0"/>
  </r>
  <r>
    <x v="2"/>
    <s v="MEI45756"/>
    <s v="Pedido 1433"/>
    <d v="2025-04-06T00:00:00"/>
    <x v="123"/>
    <s v="PedidoF1373"/>
    <s v="CódRastreio1371"/>
    <n v="1"/>
    <s v="CPF 1395"/>
    <s v="Nome 1395"/>
    <s v="Tel 1395"/>
    <s v="Cep 1395"/>
    <s v="Rua 1395"/>
    <s v="Comp 1395"/>
    <s v="Maçarico Culinário Portátil"/>
    <s v="BG-DHRO-FAEE"/>
    <d v="2025-05-06T00:00:00"/>
    <n v="26.99"/>
    <n v="26.99"/>
    <n v="2.9688999999999997"/>
    <n v="24.02"/>
    <n v="19.71"/>
    <n v="0.2"/>
    <n v="0.39877104377104378"/>
    <n v="0"/>
    <n v="3.711228956228954"/>
    <n v="1.855614478114477"/>
    <x v="123"/>
    <x v="126"/>
    <x v="24"/>
    <d v="2025-05-20T00:00:00"/>
    <x v="6"/>
    <x v="0"/>
    <x v="7"/>
    <s v="ENTREGUE"/>
    <d v="2025-04-30T00:00:00"/>
    <x v="0"/>
    <m/>
    <n v="0"/>
    <n v="0"/>
    <n v="0"/>
    <n v="0"/>
    <n v="0"/>
  </r>
  <r>
    <x v="2"/>
    <s v="MEI45756"/>
    <s v="Pedido 1434"/>
    <d v="2025-04-06T00:00:00"/>
    <x v="123"/>
    <s v="PedidoF1374"/>
    <s v="CódRastreio1372"/>
    <n v="1"/>
    <s v="CPF 1396"/>
    <s v="Nome 1396"/>
    <s v="Tel 1396"/>
    <s v="Cep 1396"/>
    <s v="Rua 1396"/>
    <s v="Comp 1396"/>
    <s v="Maçarico Culinário Portátil"/>
    <s v="BG-DHRO-FAEE"/>
    <d v="2025-05-06T00:00:00"/>
    <n v="26.99"/>
    <n v="26.99"/>
    <n v="2.9688999999999997"/>
    <n v="24.02"/>
    <n v="15.56"/>
    <n v="0.2"/>
    <n v="0.39877104377104378"/>
    <n v="0"/>
    <n v="7.8612289562289561"/>
    <n v="3.9306144781144781"/>
    <x v="123"/>
    <x v="126"/>
    <x v="24"/>
    <d v="2025-05-20T00:00:00"/>
    <x v="6"/>
    <x v="0"/>
    <x v="7"/>
    <s v="ENTREGUE"/>
    <d v="2025-05-08T00:00:00"/>
    <x v="0"/>
    <m/>
    <n v="0"/>
    <n v="0"/>
    <n v="0"/>
    <n v="0"/>
    <n v="0"/>
  </r>
  <r>
    <x v="2"/>
    <s v="MEI45756"/>
    <s v="Pedido 1435"/>
    <d v="2025-04-06T00:00:00"/>
    <x v="123"/>
    <s v="PedidoF1375"/>
    <s v="CódRastreio1373"/>
    <n v="1"/>
    <s v="CPF 872"/>
    <s v="Nome 872"/>
    <s v="Tel 872"/>
    <s v="Cep 872"/>
    <s v="Rua 872"/>
    <s v="Comp 872"/>
    <s v="Ventilador Preto"/>
    <s v="WU-SS4J-LFOH"/>
    <d v="2025-04-29T00:00:00"/>
    <n v="65.75"/>
    <n v="65.75"/>
    <n v="7.89"/>
    <n v="57.86"/>
    <n v="16.66"/>
    <n v="0.2"/>
    <n v="0.39877104377104378"/>
    <n v="0"/>
    <n v="40.601228956228951"/>
    <n v="20.300614478114476"/>
    <x v="113"/>
    <x v="11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6"/>
    <s v="Pedido 1436"/>
    <d v="2025-04-06T00:00:00"/>
    <x v="123"/>
    <s v="PedidoF1376"/>
    <s v="CódRastreio1374"/>
    <n v="1"/>
    <s v="CPF 1397"/>
    <s v="Nome 1397"/>
    <s v="Tel 1397"/>
    <s v="Cep 1397"/>
    <s v="Rua 1397"/>
    <s v="Comp 1397"/>
    <s v="Suporte de Celular Branco"/>
    <s v="IQ-LISQ-0D65"/>
    <d v="2025-04-29T00:00:00"/>
    <n v="21.99"/>
    <n v="21.99"/>
    <n v="3.2984999999999998"/>
    <n v="18.690000000000001"/>
    <n v="9.99"/>
    <n v="0.2"/>
    <n v="0.39877104377104378"/>
    <n v="0"/>
    <n v="8.1012289562289581"/>
    <n v="4.0506144781144791"/>
    <x v="113"/>
    <x v="116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6"/>
    <s v="Pedido 1437"/>
    <d v="2025-04-06T00:00:00"/>
    <x v="123"/>
    <s v="PedidoF1377"/>
    <s v="CódRastreio1375"/>
    <n v="1"/>
    <s v="CPF 1398"/>
    <s v="Nome 1398"/>
    <s v="Tel 1398"/>
    <s v="Cep 1398"/>
    <s v="Rua 1398"/>
    <s v="Comp 1398"/>
    <s v="Suporte de Celular Branco"/>
    <s v="IQ-LISQ-0D65"/>
    <d v="2025-04-29T00:00:00"/>
    <n v="21.99"/>
    <n v="21.99"/>
    <n v="3.2984999999999998"/>
    <n v="18.690000000000001"/>
    <n v="9.99"/>
    <n v="0.2"/>
    <n v="0.39877104377104378"/>
    <n v="0"/>
    <n v="8.1012289562289581"/>
    <n v="4.0506144781144791"/>
    <x v="113"/>
    <x v="116"/>
    <x v="24"/>
    <d v="2025-05-20T00:00:00"/>
    <x v="6"/>
    <x v="0"/>
    <x v="7"/>
    <s v="ENTREGUE"/>
    <d v="2025-04-15T00:00:00"/>
    <x v="0"/>
    <m/>
    <n v="0"/>
    <n v="0"/>
    <n v="0"/>
    <n v="0"/>
    <n v="0"/>
  </r>
  <r>
    <x v="2"/>
    <s v="MEI45756"/>
    <s v="Pedido 1438"/>
    <d v="2025-04-06T00:00:00"/>
    <x v="123"/>
    <s v="PedidoF1378"/>
    <s v="CódRastreio1376"/>
    <n v="1"/>
    <s v="CPF 1399"/>
    <s v="Nome 1399"/>
    <s v="Tel 1399"/>
    <s v="Cep 1399"/>
    <s v="Rua 1399"/>
    <s v="Comp 1399"/>
    <s v="Karaoke portátil"/>
    <s v="1I-EZPV-2Q78"/>
    <d v="2025-05-06T00:00:00"/>
    <n v="52.93"/>
    <n v="52.93"/>
    <n v="7.9394999999999998"/>
    <n v="44.99"/>
    <n v="0"/>
    <n v="0.2"/>
    <n v="0.39877104377104378"/>
    <n v="0"/>
    <n v="44.391228956228957"/>
    <n v="22.195614478114479"/>
    <x v="123"/>
    <x v="12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6"/>
    <s v="Pedido 1439"/>
    <d v="2025-04-06T00:00:00"/>
    <x v="123"/>
    <s v="PedidoF1379"/>
    <s v="CódRastreio1377"/>
    <n v="1"/>
    <s v="CPF 1400"/>
    <s v="Nome 1400"/>
    <s v="Tel 1400"/>
    <s v="Cep 1400"/>
    <s v="Rua 1400"/>
    <s v="Comp 1400"/>
    <s v="Suporte de Celular Branco"/>
    <s v="IQ-LISQ-0D65"/>
    <d v="2025-05-06T00:00:00"/>
    <n v="21.99"/>
    <n v="21.99"/>
    <n v="3.2984999999999998"/>
    <n v="18.690000000000001"/>
    <n v="9.99"/>
    <n v="0.2"/>
    <n v="0.39877104377104378"/>
    <n v="0"/>
    <n v="8.1012289562289581"/>
    <n v="4.0506144781144791"/>
    <x v="123"/>
    <x v="126"/>
    <x v="24"/>
    <d v="2025-05-20T00:00:00"/>
    <x v="6"/>
    <x v="0"/>
    <x v="7"/>
    <s v="ENTREGUE"/>
    <d v="2025-04-18T00:00:00"/>
    <x v="0"/>
    <m/>
    <n v="0"/>
    <n v="0"/>
    <n v="0"/>
    <n v="0"/>
    <n v="0"/>
  </r>
  <r>
    <x v="2"/>
    <s v="MEI45756"/>
    <s v="Pedido 1440"/>
    <d v="2025-04-06T00:00:00"/>
    <x v="123"/>
    <s v="PedidoF1380"/>
    <s v="CódRastreio1378"/>
    <n v="1"/>
    <s v="CPF 1401"/>
    <s v="Nome 1401"/>
    <s v="Tel 1401"/>
    <s v="Cep 1401"/>
    <s v="Rua 1401"/>
    <s v="Comp 1401"/>
    <s v="Suporte de Celular Branco"/>
    <s v="IQ-LISQ-0D65"/>
    <d v="2025-04-29T00:00:00"/>
    <n v="21.99"/>
    <n v="21.99"/>
    <n v="3.2984999999999998"/>
    <n v="18.690000000000001"/>
    <n v="9.99"/>
    <n v="0.2"/>
    <n v="0.39877104377104378"/>
    <n v="0"/>
    <n v="8.1012289562289581"/>
    <n v="4.0506144781144791"/>
    <x v="113"/>
    <x v="11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6"/>
    <s v="Pedido 1441"/>
    <d v="2025-04-06T00:00:00"/>
    <x v="123"/>
    <s v="PedidoF1381"/>
    <s v="CódRastreio1379"/>
    <n v="1"/>
    <s v="CPF 1402"/>
    <s v="Nome 1402"/>
    <s v="Tel 1402"/>
    <s v="Cep 1402"/>
    <s v="Rua 1402"/>
    <s v="Comp 1402"/>
    <s v="Copo Termico"/>
    <s v="VI-4RT5-1FFO"/>
    <d v="2025-05-06T00:00:00"/>
    <n v="22.7"/>
    <n v="22.7"/>
    <n v="2.7239999999999998"/>
    <n v="19.98"/>
    <n v="18.3"/>
    <n v="0.2"/>
    <n v="0.39877104377104378"/>
    <n v="0"/>
    <n v="1.081228956228955"/>
    <n v="0.54061447811447749"/>
    <x v="123"/>
    <x v="126"/>
    <x v="24"/>
    <d v="2025-05-20T00:00:00"/>
    <x v="6"/>
    <x v="0"/>
    <x v="7"/>
    <s v="ENTREGUE"/>
    <d v="2025-04-15T00:00:00"/>
    <x v="0"/>
    <m/>
    <n v="0"/>
    <n v="0"/>
    <n v="0"/>
    <n v="0"/>
    <n v="0"/>
  </r>
  <r>
    <x v="2"/>
    <s v="MEI45756"/>
    <s v="Pedido 1442"/>
    <d v="2025-04-06T00:00:00"/>
    <x v="123"/>
    <s v="PedidoF1382"/>
    <s v="CódRastreio1380"/>
    <n v="1"/>
    <s v="CPF 1403"/>
    <s v="Nome 1403"/>
    <s v="Tel 1403"/>
    <s v="Cep 1403"/>
    <s v="Rua 1403"/>
    <s v="Comp 1403"/>
    <s v="Ventilador Azul"/>
    <s v="PK-L2Z7-MQRQ"/>
    <d v="2025-04-29T00:00:00"/>
    <n v="49.9"/>
    <n v="49.9"/>
    <n v="5.9879999999999995"/>
    <n v="43.91"/>
    <n v="15.28"/>
    <n v="0.2"/>
    <n v="0.39877104377104378"/>
    <n v="0"/>
    <n v="28.031228956228954"/>
    <n v="14.015614478114477"/>
    <x v="113"/>
    <x v="11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6"/>
    <s v="Pedido 1443"/>
    <d v="2025-04-06T00:00:00"/>
    <x v="123"/>
    <s v="PedidoF1383"/>
    <s v="CódRastreio1381"/>
    <n v="1"/>
    <s v="CPF 1404"/>
    <s v="Nome 1404"/>
    <s v="Tel 1404"/>
    <s v="Cep 1404"/>
    <s v="Rua 1404"/>
    <s v="Comp 1404"/>
    <s v="Lampada Led"/>
    <s v="T1-SWVB-UPOW"/>
    <d v="2025-04-29T00:00:00"/>
    <n v="29.99"/>
    <n v="29.99"/>
    <n v="3.5987999999999998"/>
    <n v="26.39"/>
    <n v="12.32"/>
    <n v="0.2"/>
    <n v="0.39877104377104378"/>
    <n v="0"/>
    <n v="13.471228956228957"/>
    <n v="6.7356144781144787"/>
    <x v="113"/>
    <x v="116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6"/>
    <s v="Pedido 1444"/>
    <d v="2025-04-06T00:00:00"/>
    <x v="123"/>
    <s v="PedidoF1384"/>
    <s v="CódRastreio1382"/>
    <n v="1"/>
    <s v="CPF 1405"/>
    <s v="Nome 1405"/>
    <s v="Tel 1405"/>
    <s v="Cep 1405"/>
    <s v="Rua 1405"/>
    <s v="Comp 1405"/>
    <s v="Ventilador Azul"/>
    <s v="PK-L2Z7-MQRQ"/>
    <d v="2025-05-06T00:00:00"/>
    <n v="49.9"/>
    <n v="49.9"/>
    <n v="5.9879999999999995"/>
    <n v="43.91"/>
    <n v="23.33"/>
    <n v="0.2"/>
    <n v="0.39877104377104378"/>
    <n v="0"/>
    <n v="19.981228956228954"/>
    <n v="9.9906144781144768"/>
    <x v="123"/>
    <x v="126"/>
    <x v="24"/>
    <d v="2025-05-20T00:00:00"/>
    <x v="6"/>
    <x v="0"/>
    <x v="7"/>
    <s v="ENTREGUE"/>
    <d v="2025-04-28T00:00:00"/>
    <x v="0"/>
    <m/>
    <n v="0"/>
    <n v="0"/>
    <n v="0"/>
    <n v="0"/>
    <n v="0"/>
  </r>
  <r>
    <x v="2"/>
    <s v="MEI45756"/>
    <s v="Pedido 1445"/>
    <d v="2025-04-06T00:00:00"/>
    <x v="123"/>
    <s v="PedidoF1385"/>
    <s v="CódRastreio1383"/>
    <n v="1"/>
    <s v="CPF 1406"/>
    <s v="Nome 1406"/>
    <s v="Tel 1406"/>
    <s v="Cep 1406"/>
    <s v="Rua 1406"/>
    <s v="Comp 1406"/>
    <s v="Suporte de Celular Branco"/>
    <s v="IQ-LISQ-0D65"/>
    <d v="2025-05-06T00:00:00"/>
    <n v="21.99"/>
    <n v="21.99"/>
    <n v="3.2984999999999998"/>
    <n v="18.690000000000001"/>
    <n v="6.99"/>
    <n v="0.2"/>
    <n v="0.39877104377104378"/>
    <n v="0"/>
    <n v="11.101228956228958"/>
    <n v="5.5506144781144791"/>
    <x v="123"/>
    <x v="126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6"/>
    <s v="Pedido 1446"/>
    <d v="2025-04-07T00:00:00"/>
    <x v="123"/>
    <s v="PedidoF1386"/>
    <s v="CódRastreio1384"/>
    <n v="1"/>
    <s v="CPF 1407"/>
    <s v="Nome 1407"/>
    <s v="Tel 1407"/>
    <s v="Cep 1407"/>
    <s v="Rua 1407"/>
    <s v="Comp 1407"/>
    <s v="Lampada Led"/>
    <s v="T1-SWVB-UPOW"/>
    <d v="2025-04-29T00:00:00"/>
    <n v="29.99"/>
    <n v="29.99"/>
    <n v="3.5987999999999998"/>
    <n v="26.39"/>
    <n v="12.32"/>
    <n v="0.2"/>
    <n v="0.39877104377104378"/>
    <n v="0"/>
    <n v="13.471228956228957"/>
    <n v="6.7356144781144787"/>
    <x v="113"/>
    <x v="11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6"/>
    <s v="Pedido 1447"/>
    <d v="2025-04-07T00:00:00"/>
    <x v="123"/>
    <s v="PedidoF1387"/>
    <s v="CódRastreio1385"/>
    <n v="1"/>
    <s v="CPF 1408"/>
    <s v="Nome 1408"/>
    <s v="Tel 1408"/>
    <s v="Cep 1408"/>
    <s v="Rua 1408"/>
    <s v="Comp 1408"/>
    <s v="Lampada Led"/>
    <s v="T1-SWVB-UPOW"/>
    <d v="2025-05-06T00:00:00"/>
    <n v="29.99"/>
    <n v="29.99"/>
    <n v="3.5987999999999998"/>
    <n v="26.39"/>
    <n v="19.59"/>
    <n v="0.2"/>
    <n v="0.39877104377104378"/>
    <n v="0"/>
    <n v="6.201228956228956"/>
    <n v="3.100614478114478"/>
    <x v="123"/>
    <x v="126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7"/>
    <s v="Pedido 1448"/>
    <d v="2025-04-07T00:00:00"/>
    <x v="124"/>
    <s v="PedidoF1388"/>
    <s v="CódRastreio1386"/>
    <n v="1"/>
    <s v="CPF 1409"/>
    <s v="Nome 1409"/>
    <s v="Tel 1409"/>
    <s v="Cep 1409"/>
    <s v="Rua 1409"/>
    <s v="Comp 1409"/>
    <s v="Ventilador Azul"/>
    <s v="PK-L2Z7-MQRQ"/>
    <d v="2025-05-13T00:00:00"/>
    <n v="49.9"/>
    <n v="49.9"/>
    <n v="5.9879999999999995"/>
    <n v="43.91"/>
    <n v="22.38"/>
    <n v="0.2"/>
    <n v="0.39877104377104378"/>
    <n v="0"/>
    <n v="20.931228956228953"/>
    <n v="10.465614478114476"/>
    <x v="124"/>
    <x v="127"/>
    <x v="25"/>
    <d v="2025-06-02T00:00:00"/>
    <x v="6"/>
    <x v="0"/>
    <x v="7"/>
    <s v="ENTREGUE"/>
    <d v="2025-04-26T00:00:00"/>
    <x v="0"/>
    <m/>
    <n v="0"/>
    <n v="0"/>
    <n v="0"/>
    <n v="0"/>
    <n v="0"/>
  </r>
  <r>
    <x v="2"/>
    <s v="MEI45757"/>
    <s v="Pedido 1449"/>
    <d v="2025-04-07T00:00:00"/>
    <x v="124"/>
    <s v="PedidoF1389"/>
    <s v="CódRastreio1387"/>
    <n v="1"/>
    <s v="CPF 1410"/>
    <s v="Nome 1410"/>
    <s v="Tel 1410"/>
    <s v="Cep 1410"/>
    <s v="Rua 1410"/>
    <s v="Comp 1410"/>
    <s v="Lampada Led"/>
    <s v="T1-SWVB-UPOW"/>
    <d v="2025-05-13T00:00:00"/>
    <n v="29.99"/>
    <n v="29.99"/>
    <n v="3.5987999999999998"/>
    <n v="26.39"/>
    <n v="0"/>
    <n v="0.2"/>
    <n v="0.39877104377104378"/>
    <n v="0"/>
    <n v="25.791228956228956"/>
    <n v="12.895614478114478"/>
    <x v="124"/>
    <x v="127"/>
    <x v="25"/>
    <d v="2025-06-02T00:00:00"/>
    <x v="6"/>
    <x v="0"/>
    <x v="7"/>
    <s v="ENTREGUE"/>
    <d v="2025-05-16T00:00:00"/>
    <x v="0"/>
    <m/>
    <n v="0"/>
    <n v="0"/>
    <n v="0"/>
    <n v="0"/>
    <n v="0"/>
  </r>
  <r>
    <x v="2"/>
    <s v="MEI45757"/>
    <s v="Pedido 1450"/>
    <d v="2025-04-04T00:00:00"/>
    <x v="124"/>
    <s v="PedidoF1390"/>
    <s v="CódRastreio1388"/>
    <n v="1"/>
    <s v="CPF 1411"/>
    <s v="Nome 1411"/>
    <s v="Tel 1411"/>
    <s v="Cep 1411"/>
    <s v="Rua 1411"/>
    <s v="Comp 1411"/>
    <s v="Karaoke portátil"/>
    <s v="1I-EZPV-2Q78"/>
    <d v="2025-05-14T00:00:00"/>
    <n v="52.93"/>
    <n v="52.93"/>
    <n v="7.9394999999999998"/>
    <n v="44.99"/>
    <n v="15.98"/>
    <n v="0.2"/>
    <n v="0.39877104377104378"/>
    <n v="0"/>
    <n v="28.411228956228957"/>
    <n v="14.205614478114478"/>
    <x v="125"/>
    <x v="128"/>
    <x v="25"/>
    <d v="2025-06-02T00:00:00"/>
    <x v="6"/>
    <x v="0"/>
    <x v="7"/>
    <s v="ENTREGUE"/>
    <d v="2025-05-02T00:00:00"/>
    <x v="0"/>
    <m/>
    <n v="0"/>
    <n v="0"/>
    <n v="0"/>
    <n v="0"/>
    <n v="0"/>
  </r>
  <r>
    <x v="2"/>
    <s v="MEI45757"/>
    <s v="Pedido 1451"/>
    <d v="2025-04-07T00:00:00"/>
    <x v="124"/>
    <s v="PedidoF1391"/>
    <s v="CódRastreio1389"/>
    <n v="1"/>
    <s v="CPF 1412"/>
    <s v="Nome 1412"/>
    <s v="Tel 1412"/>
    <s v="Cep 1412"/>
    <s v="Rua 1412"/>
    <s v="Comp 1412"/>
    <s v="Brinquedo Bola Giratória voadora"/>
    <s v="Z0-F6CI-18CL"/>
    <d v="2025-05-07T00:00:00"/>
    <n v="42.87"/>
    <n v="42.87"/>
    <n v="5.1443999999999992"/>
    <n v="37.729999999999997"/>
    <n v="18"/>
    <n v="0.2"/>
    <n v="0.39877104377104378"/>
    <n v="0"/>
    <n v="19.131228956228952"/>
    <n v="9.5656144781144761"/>
    <x v="118"/>
    <x v="121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58"/>
    <s v="Pedido 1452"/>
    <d v="2025-04-07T00:00:00"/>
    <x v="125"/>
    <s v="PedidoF1392"/>
    <s v="CódRastreio1390"/>
    <n v="1"/>
    <s v="CPF 1413"/>
    <s v="Nome 1413"/>
    <s v="Tel 1413"/>
    <s v="Cep 1413"/>
    <s v="Rua 1413"/>
    <s v="Comp 1413"/>
    <s v="Lampada Led"/>
    <s v="T1-SWVB-UPOW"/>
    <d v="2025-05-07T00:00:00"/>
    <n v="29.99"/>
    <n v="29.99"/>
    <n v="3.5987999999999998"/>
    <n v="26.39"/>
    <n v="11.87"/>
    <n v="0.28999999999999998"/>
    <n v="0.39877104377104378"/>
    <n v="0"/>
    <n v="13.831228956228959"/>
    <n v="6.9156144781144793"/>
    <x v="118"/>
    <x v="121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58"/>
    <s v="Pedido 1453"/>
    <d v="2025-04-07T00:00:00"/>
    <x v="125"/>
    <s v="PedidoF1393"/>
    <s v="CódRastreio1391"/>
    <n v="1"/>
    <s v="CPF 1414"/>
    <s v="Nome 1414"/>
    <s v="Tel 1414"/>
    <s v="Cep 1414"/>
    <s v="Rua 1414"/>
    <s v="Comp 1414"/>
    <s v="Ventilador Azul"/>
    <s v="PK-L2Z7-MQRQ"/>
    <d v="2025-05-07T00:00:00"/>
    <n v="49.9"/>
    <n v="49.9"/>
    <n v="5.9879999999999995"/>
    <n v="43.91"/>
    <n v="22.36"/>
    <n v="0.28999999999999998"/>
    <n v="0.39877104377104378"/>
    <n v="0"/>
    <n v="20.861228956228953"/>
    <n v="10.430614478114476"/>
    <x v="118"/>
    <x v="121"/>
    <x v="24"/>
    <d v="2025-05-20T00:00:00"/>
    <x v="6"/>
    <x v="0"/>
    <x v="7"/>
    <s v="ENTREGUE"/>
    <d v="2025-04-24T00:00:00"/>
    <x v="0"/>
    <m/>
    <n v="0"/>
    <n v="0"/>
    <n v="0"/>
    <n v="0"/>
    <n v="0"/>
  </r>
  <r>
    <x v="2"/>
    <s v="MEI45758"/>
    <s v="Pedido 1454"/>
    <d v="2025-04-07T00:00:00"/>
    <x v="125"/>
    <s v="PedidoF1394"/>
    <s v="CódRastreio1392"/>
    <n v="1"/>
    <s v="CPF 1415"/>
    <s v="Nome 1415"/>
    <s v="Tel 1415"/>
    <s v="Cep 1415"/>
    <s v="Rua 1415"/>
    <s v="Comp 1415"/>
    <s v="Maçarico Culinário Portátil"/>
    <s v="BG-DHRO-FAEE"/>
    <d v="2025-05-07T00:00:00"/>
    <n v="26.99"/>
    <n v="26.99"/>
    <n v="2.9688999999999997"/>
    <n v="24.02"/>
    <n v="10.19"/>
    <n v="0.28999999999999998"/>
    <n v="0.39877104377104378"/>
    <n v="0"/>
    <n v="13.141228956228957"/>
    <n v="6.5706144781144786"/>
    <x v="118"/>
    <x v="121"/>
    <x v="24"/>
    <d v="2025-05-20T00:00:00"/>
    <x v="6"/>
    <x v="0"/>
    <x v="7"/>
    <s v="ENTREGUE"/>
    <d v="2025-05-05T00:00:00"/>
    <x v="0"/>
    <m/>
    <n v="0"/>
    <n v="0"/>
    <n v="0"/>
    <n v="0"/>
    <n v="0"/>
  </r>
  <r>
    <x v="2"/>
    <s v="MEI-"/>
    <s v="Pedido 1455"/>
    <d v="2025-04-07T00:00:00"/>
    <x v="0"/>
    <s v="-"/>
    <s v="-"/>
    <n v="1"/>
    <s v="CPF 1416"/>
    <s v="Nome 1416"/>
    <s v="Tel 1416"/>
    <s v="Cep 1416"/>
    <s v="Rua 1416"/>
    <s v="Comp 1416"/>
    <s v="Ventilador Azul"/>
    <s v="PK-L2Z7-MQRQ"/>
    <d v="2025-05-07T00:00:00"/>
    <n v="49.9"/>
    <n v="49.9"/>
    <n v="5.9879999999999995"/>
    <n v="43.91"/>
    <n v="0"/>
    <n v="0"/>
    <n v="0"/>
    <n v="0"/>
    <n v="43.91"/>
    <n v="21.954999999999998"/>
    <x v="118"/>
    <x v="121"/>
    <x v="24"/>
    <d v="2025-05-20T00:00:00"/>
    <x v="6"/>
    <x v="0"/>
    <x v="0"/>
    <s v="-"/>
    <s v="-"/>
    <x v="0"/>
    <m/>
    <n v="0"/>
    <n v="0"/>
    <n v="0"/>
    <n v="0"/>
    <n v="0"/>
  </r>
  <r>
    <x v="2"/>
    <s v="MEI45758"/>
    <s v="Pedido 1456"/>
    <d v="2025-04-07T00:00:00"/>
    <x v="125"/>
    <s v="PedidoF1395"/>
    <s v="CódRastreio1393"/>
    <n v="1"/>
    <s v="CPF 1417"/>
    <s v="Nome 1417"/>
    <s v="Tel 1417"/>
    <s v="Cep 1417"/>
    <s v="Rua 1417"/>
    <s v="Comp 1417"/>
    <s v="Maçarico Culinário Portátil"/>
    <s v="BG-DHRO-FAEE"/>
    <d v="2025-05-07T00:00:00"/>
    <n v="26.99"/>
    <n v="26.99"/>
    <n v="2.9688999999999997"/>
    <n v="24.02"/>
    <n v="10.55"/>
    <n v="0.28999999999999998"/>
    <n v="0.39877104377104378"/>
    <n v="0"/>
    <n v="12.781228956228956"/>
    <n v="6.390614478114478"/>
    <x v="118"/>
    <x v="121"/>
    <x v="24"/>
    <d v="2025-05-20T00:00:00"/>
    <x v="6"/>
    <x v="0"/>
    <x v="7"/>
    <s v="ENTREGUE"/>
    <d v="2025-05-08T00:00:00"/>
    <x v="0"/>
    <m/>
    <n v="0"/>
    <n v="0"/>
    <n v="0"/>
    <n v="0"/>
    <n v="0"/>
  </r>
  <r>
    <x v="2"/>
    <s v="MEI-"/>
    <s v="Pedido 1457"/>
    <d v="2025-04-07T00:00:00"/>
    <x v="0"/>
    <s v="-"/>
    <s v="-"/>
    <n v="1"/>
    <s v="CPF 1418"/>
    <s v="Nome 1418"/>
    <s v="Tel 1418"/>
    <s v="Cep 1418"/>
    <s v="Rua 1418"/>
    <s v="Comp 1418"/>
    <s v="Lampada Led"/>
    <s v="T1-SWVB-UPOW"/>
    <d v="2025-05-07T00:00:00"/>
    <n v="29.99"/>
    <n v="29.99"/>
    <n v="3.5987999999999998"/>
    <n v="26.39"/>
    <n v="0"/>
    <n v="0"/>
    <n v="0"/>
    <n v="0"/>
    <n v="26.39"/>
    <n v="13.195"/>
    <x v="118"/>
    <x v="121"/>
    <x v="24"/>
    <d v="2025-05-20T00:00:00"/>
    <x v="6"/>
    <x v="0"/>
    <x v="0"/>
    <s v="-"/>
    <s v="-"/>
    <x v="0"/>
    <m/>
    <n v="0"/>
    <n v="0"/>
    <n v="0"/>
    <n v="0"/>
    <n v="0"/>
  </r>
  <r>
    <x v="2"/>
    <s v="MEI45758"/>
    <s v="Pedido 1458"/>
    <d v="2025-04-06T00:00:00"/>
    <x v="125"/>
    <s v="PedidoF1396"/>
    <s v="CódRastreio1394"/>
    <n v="1"/>
    <s v="CPF 1419"/>
    <s v="Nome 1419"/>
    <s v="Tel 1419"/>
    <s v="Cep 1419"/>
    <s v="Rua 1419"/>
    <s v="Comp 1419"/>
    <s v="Suporte de Celular Branco"/>
    <s v="IQ-LISQ-0D65"/>
    <d v="2025-04-30T00:00:00"/>
    <n v="21.99"/>
    <n v="21.99"/>
    <n v="3.2984999999999998"/>
    <n v="18.690000000000001"/>
    <n v="9.99"/>
    <n v="0.28999999999999998"/>
    <n v="0.39877104377104378"/>
    <n v="0"/>
    <n v="8.0112289562289583"/>
    <n v="4.0056144781144791"/>
    <x v="114"/>
    <x v="117"/>
    <x v="24"/>
    <d v="2025-05-20T00:00:00"/>
    <x v="6"/>
    <x v="0"/>
    <x v="7"/>
    <s v="ENTREGUE"/>
    <d v="2025-04-19T00:00:00"/>
    <x v="0"/>
    <m/>
    <n v="0"/>
    <n v="0"/>
    <n v="0"/>
    <n v="0"/>
    <n v="0"/>
  </r>
  <r>
    <x v="2"/>
    <s v="MEI45758"/>
    <s v="Pedido 1459"/>
    <d v="2025-04-07T00:00:00"/>
    <x v="125"/>
    <s v="PedidoF1397"/>
    <s v="CódRastreio1395"/>
    <n v="1"/>
    <s v="CPF 1420"/>
    <s v="Nome 1420"/>
    <s v="Tel 1420"/>
    <s v="Cep 1420"/>
    <s v="Rua 1420"/>
    <s v="Comp 1420"/>
    <s v="Karaoke portátil"/>
    <s v="1I-EZPV-2Q78"/>
    <d v="2025-04-30T00:00:00"/>
    <n v="52.93"/>
    <n v="52.93"/>
    <n v="7.9394999999999998"/>
    <n v="44.99"/>
    <n v="14.62"/>
    <n v="0.28999999999999998"/>
    <n v="0.39877104377104378"/>
    <n v="0"/>
    <n v="29.68122895622896"/>
    <n v="14.84061447811448"/>
    <x v="114"/>
    <x v="117"/>
    <x v="24"/>
    <d v="2025-05-20T00:00:00"/>
    <x v="6"/>
    <x v="0"/>
    <x v="7"/>
    <s v="ENTREGUE"/>
    <d v="2025-04-23T00:00:00"/>
    <x v="0"/>
    <m/>
    <n v="0"/>
    <n v="0"/>
    <n v="0"/>
    <n v="0"/>
    <n v="0"/>
  </r>
  <r>
    <x v="0"/>
    <s v="BV45758"/>
    <s v="Pedido 1460"/>
    <d v="2025-04-04T00:00:00"/>
    <x v="125"/>
    <s v="PedidoF1398"/>
    <s v="CódRastreio1396"/>
    <n v="1"/>
    <s v="CPF 1421"/>
    <s v="Nome 1421"/>
    <s v="Tel 1421"/>
    <s v="Cep 1421"/>
    <s v="Rua 1421"/>
    <s v="Comp 1421"/>
    <s v="Ventilador Azul"/>
    <s v="U8-2VWS-OB6M"/>
    <d v="2025-05-06T00:00:00"/>
    <n v="54.9"/>
    <n v="54.9"/>
    <n v="6.5879999999999992"/>
    <n v="48.31"/>
    <n v="15.09"/>
    <n v="0.2"/>
    <n v="0.39877104377104378"/>
    <n v="0"/>
    <n v="32.621228956228961"/>
    <n v="16.310614478114481"/>
    <x v="123"/>
    <x v="126"/>
    <x v="24"/>
    <d v="2025-05-20T00:00:00"/>
    <x v="6"/>
    <x v="0"/>
    <x v="7"/>
    <s v="ENTREGUE"/>
    <d v="2025-05-05T00:00:00"/>
    <x v="0"/>
    <m/>
    <n v="0"/>
    <n v="0"/>
    <n v="0"/>
    <n v="0"/>
    <n v="0"/>
  </r>
  <r>
    <x v="0"/>
    <s v="BV45758"/>
    <s v="Pedido 1461"/>
    <d v="2025-04-06T00:00:00"/>
    <x v="125"/>
    <s v="PedidoF1399"/>
    <s v="CódRastreio1397"/>
    <n v="1"/>
    <s v="CPF 1422"/>
    <s v="Nome 1422"/>
    <s v="Tel 1422"/>
    <s v="Cep 1422"/>
    <s v="Rua 1422"/>
    <s v="Comp 1422"/>
    <s v="Ventilador Azul"/>
    <s v="U8-2VWS-OB6M"/>
    <d v="2025-05-13T00:00:00"/>
    <n v="54.9"/>
    <n v="54.9"/>
    <n v="6.5879999999999992"/>
    <n v="48.31"/>
    <n v="15.09"/>
    <n v="0.2"/>
    <n v="0.39877104377104378"/>
    <n v="0"/>
    <n v="32.621228956228961"/>
    <n v="16.310614478114481"/>
    <x v="124"/>
    <x v="127"/>
    <x v="25"/>
    <d v="2025-06-02T00:00:00"/>
    <x v="6"/>
    <x v="0"/>
    <x v="7"/>
    <s v="ENTREGUE"/>
    <d v="2025-05-12T00:00:00"/>
    <x v="0"/>
    <m/>
    <n v="0"/>
    <n v="0"/>
    <n v="0"/>
    <n v="0"/>
    <n v="0"/>
  </r>
  <r>
    <x v="2"/>
    <s v="MEI45758"/>
    <s v="Pedido 1462"/>
    <d v="2025-04-07T00:00:00"/>
    <x v="125"/>
    <s v="PedidoF1400"/>
    <s v="CódRastreio1398"/>
    <n v="1"/>
    <s v="CPF 1423"/>
    <s v="Nome 1423"/>
    <s v="Tel 1423"/>
    <s v="Cep 1423"/>
    <s v="Rua 1423"/>
    <s v="Comp 1423"/>
    <s v="Karaoke portátil"/>
    <s v="1I-EZPV-2Q78"/>
    <d v="2025-05-07T00:00:00"/>
    <n v="52.93"/>
    <n v="52.93"/>
    <n v="7.9394999999999998"/>
    <n v="44.99"/>
    <n v="21.89"/>
    <n v="0.28999999999999998"/>
    <n v="0.39877104377104378"/>
    <n v="0"/>
    <n v="22.411228956228957"/>
    <n v="11.205614478114478"/>
    <x v="118"/>
    <x v="121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58"/>
    <s v="Pedido 1463"/>
    <d v="2025-04-08T00:00:00"/>
    <x v="125"/>
    <s v="PedidoF1401"/>
    <s v="CódRastreio1399"/>
    <n v="1"/>
    <s v="CPF 1424"/>
    <s v="Nome 1424"/>
    <s v="Tel 1424"/>
    <s v="Cep 1424"/>
    <s v="Rua 1424"/>
    <s v="Comp 1424"/>
    <s v="Brinquedo Bola Giratória voadora"/>
    <s v="Z0-F6CI-18CL"/>
    <d v="2025-05-07T00:00:00"/>
    <n v="42.87"/>
    <n v="42.87"/>
    <n v="5.1443999999999992"/>
    <n v="37.729999999999997"/>
    <n v="17.170000000000002"/>
    <n v="0.28999999999999998"/>
    <n v="0.39877104377104378"/>
    <n v="0"/>
    <n v="19.871228956228951"/>
    <n v="9.9356144781144753"/>
    <x v="118"/>
    <x v="121"/>
    <x v="24"/>
    <d v="2025-05-20T00:00:00"/>
    <x v="6"/>
    <x v="0"/>
    <x v="7"/>
    <s v="ENTREGUE"/>
    <d v="2025-04-25T00:00:00"/>
    <x v="0"/>
    <m/>
    <n v="0"/>
    <n v="0"/>
    <n v="0"/>
    <n v="0"/>
    <n v="0"/>
  </r>
  <r>
    <x v="2"/>
    <s v="MEI45758"/>
    <s v="Pedido 1464"/>
    <d v="2025-04-08T00:00:00"/>
    <x v="125"/>
    <s v="PedidoF1402"/>
    <s v="CódRastreio1400"/>
    <n v="1"/>
    <s v="CPF 1425"/>
    <s v="Nome 1425"/>
    <s v="Tel 1425"/>
    <s v="Cep 1425"/>
    <s v="Rua 1425"/>
    <s v="Comp 1425"/>
    <s v="Copo Termico"/>
    <s v="VI-4RT5-1FFO"/>
    <d v="2025-05-14T00:00:00"/>
    <n v="22.7"/>
    <n v="22.7"/>
    <n v="2.7239999999999998"/>
    <n v="19.98"/>
    <n v="16.649999999999999"/>
    <n v="0.28999999999999998"/>
    <n v="0.39877104377104378"/>
    <n v="0"/>
    <n v="2.6412289562289573"/>
    <n v="1.3206144781144786"/>
    <x v="125"/>
    <x v="128"/>
    <x v="25"/>
    <d v="2025-06-02T00:00:00"/>
    <x v="6"/>
    <x v="0"/>
    <x v="7"/>
    <s v="ENTREGUE"/>
    <d v="2025-04-25T00:00:00"/>
    <x v="0"/>
    <m/>
    <n v="0"/>
    <n v="0"/>
    <n v="0"/>
    <n v="0"/>
    <n v="0"/>
  </r>
  <r>
    <x v="2"/>
    <s v="MEI45758"/>
    <s v="Pedido 1465"/>
    <d v="2025-04-07T00:00:00"/>
    <x v="125"/>
    <s v="PedidoF1403"/>
    <s v="CódRastreio1401"/>
    <n v="1"/>
    <s v="CPF 1426"/>
    <s v="Nome 1426"/>
    <s v="Tel 1426"/>
    <s v="Cep 1426"/>
    <s v="Rua 1426"/>
    <s v="Comp 1426"/>
    <s v="Copo Termico"/>
    <s v="VI-4RT5-1FFO"/>
    <d v="2025-05-07T00:00:00"/>
    <n v="22.7"/>
    <n v="22.7"/>
    <n v="2.7239999999999998"/>
    <n v="19.98"/>
    <n v="14.41"/>
    <n v="0.28999999999999998"/>
    <n v="0.39877104377104378"/>
    <n v="0"/>
    <n v="4.8812289562289575"/>
    <n v="2.4406144781144787"/>
    <x v="118"/>
    <x v="121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59"/>
    <s v="Pedido 1466"/>
    <d v="2025-04-08T00:00:00"/>
    <x v="126"/>
    <s v="PedidoF1404"/>
    <s v="CódRastreio1402"/>
    <n v="1"/>
    <s v="CPF 1427"/>
    <s v="Nome 1427"/>
    <s v="Tel 1427"/>
    <s v="Cep 1427"/>
    <s v="Rua 1427"/>
    <s v="Comp 1427"/>
    <s v="Copo Termico"/>
    <s v="VI-4RT5-1FFO"/>
    <d v="2025-05-07T00:00:00"/>
    <n v="22.7"/>
    <n v="22.7"/>
    <n v="2.7239999999999998"/>
    <n v="19.98"/>
    <n v="11.92"/>
    <n v="0.15"/>
    <n v="0.39877104377104378"/>
    <n v="0"/>
    <n v="7.5112289562289565"/>
    <n v="3.7556144781144782"/>
    <x v="118"/>
    <x v="121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8"/>
    <s v="Pedido 1467"/>
    <d v="2025-04-08T00:00:00"/>
    <x v="125"/>
    <s v="PedidoF1405"/>
    <s v="CódRastreio1403"/>
    <n v="1"/>
    <s v="CPF 1428"/>
    <s v="Nome 1428"/>
    <s v="Tel 1428"/>
    <s v="Cep 1428"/>
    <s v="Rua 1428"/>
    <s v="Comp 1428"/>
    <s v="Brinquedo Bola Giratória voadora"/>
    <s v="Z0-F6CI-18CL"/>
    <d v="2025-05-01T00:00:00"/>
    <n v="42.87"/>
    <n v="42.87"/>
    <n v="5.1443999999999992"/>
    <n v="37.729999999999997"/>
    <n v="24.38"/>
    <n v="0.28999999999999998"/>
    <n v="0.39877104377104378"/>
    <n v="0"/>
    <n v="12.661228956228953"/>
    <n v="6.3306144781144766"/>
    <x v="115"/>
    <x v="118"/>
    <x v="24"/>
    <d v="2025-05-20T00:00:00"/>
    <x v="6"/>
    <x v="0"/>
    <x v="7"/>
    <s v="ENTREGUE"/>
    <d v="2025-04-24T00:00:00"/>
    <x v="0"/>
    <m/>
    <n v="0"/>
    <n v="0"/>
    <n v="0"/>
    <n v="0"/>
    <n v="0"/>
  </r>
  <r>
    <x v="2"/>
    <s v="MEI45758"/>
    <s v="Pedido 1468"/>
    <d v="2025-04-08T00:00:00"/>
    <x v="125"/>
    <s v="PedidoF1406"/>
    <s v="CódRastreio1404"/>
    <n v="1"/>
    <s v="CPF 1428"/>
    <s v="Nome 1428"/>
    <s v="Tel 1428"/>
    <s v="Cep 1428"/>
    <s v="Rua 1428"/>
    <s v="Comp 1428"/>
    <s v="Brinquedo Bola Giratória voadora"/>
    <s v="Z0-F6CI-18CL"/>
    <d v="2025-05-01T00:00:00"/>
    <n v="42.87"/>
    <n v="42.87"/>
    <n v="5.1443999999999992"/>
    <n v="37.729999999999997"/>
    <n v="24.38"/>
    <n v="0.28999999999999998"/>
    <n v="0.39877104377104378"/>
    <n v="0"/>
    <n v="12.661228956228953"/>
    <n v="6.3306144781144766"/>
    <x v="115"/>
    <x v="118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8"/>
    <s v="Pedido 1469"/>
    <d v="2025-04-08T00:00:00"/>
    <x v="125"/>
    <s v="PedidoF1407"/>
    <s v="CódRastreio1405"/>
    <n v="1"/>
    <s v="CPF 1429"/>
    <s v="Nome 1429"/>
    <s v="Tel 1429"/>
    <s v="Cep 1429"/>
    <s v="Rua 1429"/>
    <s v="Comp 1429"/>
    <s v="Ventilador Preto"/>
    <s v="WU-SS4J-LFOH"/>
    <d v="2025-05-15T00:00:00"/>
    <n v="65.75"/>
    <n v="65.75"/>
    <n v="7.89"/>
    <n v="57.86"/>
    <n v="22.15"/>
    <n v="0.28999999999999998"/>
    <n v="0.39877104377104378"/>
    <n v="0"/>
    <n v="35.021228956228953"/>
    <n v="17.510614478114476"/>
    <x v="126"/>
    <x v="129"/>
    <x v="25"/>
    <d v="2025-06-02T00:00:00"/>
    <x v="6"/>
    <x v="0"/>
    <x v="7"/>
    <s v="ENTREGUE"/>
    <d v="2025-05-13T00:00:00"/>
    <x v="0"/>
    <m/>
    <n v="0"/>
    <n v="0"/>
    <n v="0"/>
    <n v="0"/>
    <n v="0"/>
  </r>
  <r>
    <x v="2"/>
    <s v="MEI45758"/>
    <s v="Pedido 1470"/>
    <d v="2025-04-08T00:00:00"/>
    <x v="125"/>
    <s v="PedidoF1408"/>
    <s v="CódRastreio1406"/>
    <n v="1"/>
    <s v="CPF 1430"/>
    <s v="Nome 1430"/>
    <s v="Tel 1430"/>
    <s v="Cep 1430"/>
    <s v="Rua 1430"/>
    <s v="Comp 1430"/>
    <s v="Lampada Led"/>
    <s v="T1-SWVB-UPOW"/>
    <d v="2025-05-08T00:00:00"/>
    <n v="29.99"/>
    <n v="29.99"/>
    <n v="3.5987999999999998"/>
    <n v="26.39"/>
    <n v="19.29"/>
    <n v="0.28999999999999998"/>
    <n v="0.39877104377104378"/>
    <n v="0"/>
    <n v="6.4112289562289568"/>
    <n v="3.2056144781144784"/>
    <x v="119"/>
    <x v="122"/>
    <x v="24"/>
    <d v="2025-05-20T00:00:00"/>
    <x v="6"/>
    <x v="0"/>
    <x v="7"/>
    <s v="ENTREGUE"/>
    <d v="2025-04-30T00:00:00"/>
    <x v="0"/>
    <m/>
    <n v="0"/>
    <n v="0"/>
    <n v="0"/>
    <n v="0"/>
    <n v="0"/>
  </r>
  <r>
    <x v="2"/>
    <s v="MEI45758"/>
    <s v="Pedido 1471"/>
    <d v="2025-04-08T00:00:00"/>
    <x v="125"/>
    <s v="PedidoF1409"/>
    <s v="CódRastreio1407"/>
    <n v="1"/>
    <s v="CPF 1431"/>
    <s v="Nome 1431"/>
    <s v="Tel 1431"/>
    <s v="Cep 1431"/>
    <s v="Rua 1431"/>
    <s v="Comp 1431"/>
    <s v="Maçarico Culinário Portátil"/>
    <s v="BG-DHRO-FAEE"/>
    <d v="2025-05-08T00:00:00"/>
    <n v="26.99"/>
    <n v="26.99"/>
    <n v="2.9688999999999997"/>
    <n v="24.02"/>
    <n v="14.22"/>
    <n v="0.28999999999999998"/>
    <n v="0.39877104377104378"/>
    <n v="0"/>
    <n v="9.1112289562289561"/>
    <n v="4.5556144781144781"/>
    <x v="119"/>
    <x v="122"/>
    <x v="24"/>
    <d v="2025-05-20T00:00:00"/>
    <x v="6"/>
    <x v="0"/>
    <x v="7"/>
    <s v="ENTREGUE"/>
    <d v="2025-05-05T00:00:00"/>
    <x v="0"/>
    <m/>
    <n v="0"/>
    <n v="0"/>
    <n v="0"/>
    <n v="0"/>
    <n v="0"/>
  </r>
  <r>
    <x v="2"/>
    <s v="MEI45759"/>
    <s v="Pedido 1472"/>
    <d v="2025-04-08T00:00:00"/>
    <x v="126"/>
    <s v="PedidoF1410"/>
    <s v="CódRastreio1408"/>
    <n v="1"/>
    <s v="CPF 1432"/>
    <s v="Nome 1432"/>
    <s v="Tel 1432"/>
    <s v="Cep 1432"/>
    <s v="Rua 1432"/>
    <s v="Comp 1432"/>
    <s v="Caixinha de som Preta"/>
    <s v="K9-7YJH-TT9R"/>
    <d v="2025-05-01T00:00:00"/>
    <n v="25.88"/>
    <n v="25.88"/>
    <n v="3.8819999999999997"/>
    <n v="22"/>
    <n v="11.5"/>
    <n v="0.15"/>
    <n v="0.39877104377104378"/>
    <n v="0"/>
    <n v="9.951228956228956"/>
    <n v="4.975614478114478"/>
    <x v="115"/>
    <x v="118"/>
    <x v="24"/>
    <d v="2025-05-20T00:00:00"/>
    <x v="6"/>
    <x v="0"/>
    <x v="7"/>
    <s v="ENTREGUE"/>
    <d v="2025-04-17T00:00:00"/>
    <x v="0"/>
    <m/>
    <n v="0"/>
    <n v="0"/>
    <n v="0"/>
    <n v="0"/>
    <n v="0"/>
  </r>
  <r>
    <x v="2"/>
    <s v="MEI45758"/>
    <s v="Pedido 1473"/>
    <d v="2025-04-08T00:00:00"/>
    <x v="125"/>
    <s v="PedidoF1411"/>
    <s v="CódRastreio1409"/>
    <n v="1"/>
    <s v="CPF 1433"/>
    <s v="Nome 1433"/>
    <s v="Tel 1433"/>
    <s v="Cep 1433"/>
    <s v="Rua 1433"/>
    <s v="Comp 1433"/>
    <s v="Copo Termico"/>
    <s v="VI-4RT5-1FFO"/>
    <d v="2025-05-01T00:00:00"/>
    <n v="22.7"/>
    <n v="22.7"/>
    <n v="2.7239999999999998"/>
    <n v="19.98"/>
    <n v="10.1"/>
    <n v="0.28999999999999998"/>
    <n v="0.39877104377104378"/>
    <n v="0"/>
    <n v="9.191228956228958"/>
    <n v="4.595614478114479"/>
    <x v="115"/>
    <x v="118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58"/>
    <s v="Pedido 1474"/>
    <d v="2025-04-08T00:00:00"/>
    <x v="125"/>
    <s v="PedidoF1412"/>
    <s v="CódRastreio1410"/>
    <n v="1"/>
    <s v="CPF 1434"/>
    <s v="Nome 1434"/>
    <s v="Tel 1434"/>
    <s v="Cep 1434"/>
    <s v="Rua 1434"/>
    <s v="Comp 1434"/>
    <s v="Ventilador Preto"/>
    <s v="WU-SS4J-LFOH"/>
    <d v="2025-05-01T00:00:00"/>
    <n v="65.75"/>
    <n v="65.75"/>
    <n v="7.89"/>
    <n v="57.86"/>
    <n v="22.15"/>
    <n v="0.28999999999999998"/>
    <n v="0.39877104377104378"/>
    <n v="0"/>
    <n v="35.021228956228953"/>
    <n v="17.510614478114476"/>
    <x v="115"/>
    <x v="118"/>
    <x v="24"/>
    <d v="2025-05-20T00:00:00"/>
    <x v="6"/>
    <x v="0"/>
    <x v="7"/>
    <s v="ENTREGUE"/>
    <d v="2025-04-24T00:00:00"/>
    <x v="0"/>
    <m/>
    <n v="0"/>
    <n v="0"/>
    <n v="0"/>
    <n v="0"/>
    <n v="0"/>
  </r>
  <r>
    <x v="2"/>
    <s v="MEI45759"/>
    <s v="Pedido 1475"/>
    <d v="2025-04-09T00:00:00"/>
    <x v="126"/>
    <s v="PedidoF1413"/>
    <s v="CódRastreio1411"/>
    <n v="1"/>
    <s v="CPF 1435"/>
    <s v="Nome 1435"/>
    <s v="Tel 1435"/>
    <s v="Cep 1435"/>
    <s v="Rua 1435"/>
    <s v="Comp 1435"/>
    <s v="Mini Liquidificador"/>
    <s v="A4-5W51-K3HF"/>
    <d v="2025-05-09T00:00:00"/>
    <n v="36.950000000000003"/>
    <n v="36.950000000000003"/>
    <n v="4.4340000000000002"/>
    <n v="32.520000000000003"/>
    <n v="19.989999999999998"/>
    <n v="0.15"/>
    <n v="0.39877104377104378"/>
    <n v="0"/>
    <n v="11.981228956228961"/>
    <n v="5.9906144781144803"/>
    <x v="120"/>
    <x v="123"/>
    <x v="24"/>
    <d v="2025-05-20T00:00:00"/>
    <x v="6"/>
    <x v="0"/>
    <x v="7"/>
    <s v="ENTREGUE"/>
    <d v="2025-04-24T00:00:00"/>
    <x v="0"/>
    <m/>
    <n v="0"/>
    <n v="0"/>
    <n v="0"/>
    <n v="0"/>
    <n v="0"/>
  </r>
  <r>
    <x v="2"/>
    <s v="MEI45759"/>
    <s v="Pedido 1476"/>
    <d v="2025-04-09T00:00:00"/>
    <x v="126"/>
    <s v="PedidoF1414"/>
    <s v="CódRastreio1412"/>
    <n v="1"/>
    <s v="CPF 1436"/>
    <s v="Nome 1436"/>
    <s v="Tel 1436"/>
    <s v="Cep 1436"/>
    <s v="Rua 1436"/>
    <s v="Comp 1436"/>
    <s v="Maçarico Culinário Portátil"/>
    <s v="BG-DHRO-FAEE"/>
    <d v="2025-05-09T00:00:00"/>
    <n v="26.99"/>
    <n v="26.99"/>
    <n v="2.9688999999999997"/>
    <n v="24.02"/>
    <n v="14.35"/>
    <n v="0.15"/>
    <n v="0.39877104377104378"/>
    <n v="0"/>
    <n v="9.1212289562289559"/>
    <n v="4.560614478114478"/>
    <x v="120"/>
    <x v="123"/>
    <x v="24"/>
    <d v="2025-05-20T00:00:00"/>
    <x v="6"/>
    <x v="0"/>
    <x v="7"/>
    <s v="ENTREGUE"/>
    <d v="2025-05-06T00:00:00"/>
    <x v="0"/>
    <m/>
    <n v="0"/>
    <n v="0"/>
    <n v="0"/>
    <n v="0"/>
    <n v="0"/>
  </r>
  <r>
    <x v="2"/>
    <s v="MEI45759"/>
    <s v="Pedido 1477"/>
    <d v="2025-04-09T00:00:00"/>
    <x v="126"/>
    <s v="PedidoF1415"/>
    <s v="CódRastreio1413"/>
    <n v="1"/>
    <s v="CPF 1437"/>
    <s v="Nome 1437"/>
    <s v="Tel 1437"/>
    <s v="Cep 1437"/>
    <s v="Rua 1437"/>
    <s v="Comp 1437"/>
    <s v="Lampada Led"/>
    <s v="T1-SWVB-UPOW"/>
    <d v="2025-05-03T00:00:00"/>
    <n v="29.99"/>
    <n v="29.99"/>
    <n v="3.5987999999999998"/>
    <n v="26.39"/>
    <n v="11.5"/>
    <n v="0.15"/>
    <n v="0.39877104377104378"/>
    <n v="0"/>
    <n v="14.341228956228957"/>
    <n v="7.1706144781144783"/>
    <x v="121"/>
    <x v="124"/>
    <x v="24"/>
    <d v="2025-05-20T00:00:00"/>
    <x v="6"/>
    <x v="0"/>
    <x v="7"/>
    <s v="ENTREGUE"/>
    <d v="2025-04-18T00:00:00"/>
    <x v="0"/>
    <m/>
    <n v="0"/>
    <n v="0"/>
    <n v="0"/>
    <n v="0"/>
    <n v="0"/>
  </r>
  <r>
    <x v="2"/>
    <s v="MEI45759"/>
    <s v="Pedido 1478"/>
    <d v="2025-04-09T00:00:00"/>
    <x v="126"/>
    <s v="PedidoF1416"/>
    <s v="CódRastreio1414"/>
    <n v="1"/>
    <s v="CPF 1438"/>
    <s v="Nome 1438"/>
    <s v="Tel 1438"/>
    <s v="Cep 1438"/>
    <s v="Rua 1438"/>
    <s v="Comp 1438"/>
    <s v="Ventilador Azul"/>
    <s v="PK-L2Z7-MQRQ"/>
    <d v="2025-05-09T00:00:00"/>
    <n v="49.9"/>
    <n v="49.9"/>
    <n v="5.9879999999999995"/>
    <n v="43.91"/>
    <n v="23.31"/>
    <n v="0.15"/>
    <n v="0.39877104377104378"/>
    <n v="0"/>
    <n v="20.051228956228954"/>
    <n v="10.025614478114477"/>
    <x v="120"/>
    <x v="123"/>
    <x v="24"/>
    <d v="2025-05-20T00:00:00"/>
    <x v="6"/>
    <x v="0"/>
    <x v="7"/>
    <s v="ENTREGUE"/>
    <d v="2025-04-30T00:00:00"/>
    <x v="0"/>
    <m/>
    <n v="0"/>
    <n v="0"/>
    <n v="0"/>
    <n v="0"/>
    <n v="0"/>
  </r>
  <r>
    <x v="2"/>
    <s v="MEI45760"/>
    <s v="Pedido 1479"/>
    <d v="2025-04-09T00:00:00"/>
    <x v="127"/>
    <s v="PedidoF1417"/>
    <s v="CódRastreio1415"/>
    <n v="1"/>
    <s v="CPF 1439"/>
    <s v="Nome 1439"/>
    <s v="Tel 1439"/>
    <s v="Cep 1439"/>
    <s v="Rua 1439"/>
    <s v="Comp 1439"/>
    <s v="Caixinha de som Preta"/>
    <s v="K9-7YJH-TT9R"/>
    <d v="2025-05-09T00:00:00"/>
    <n v="25.88"/>
    <n v="25.88"/>
    <n v="3.8819999999999997"/>
    <n v="22"/>
    <n v="16.5"/>
    <n v="0.25"/>
    <n v="0.39877104377104378"/>
    <n v="0"/>
    <n v="4.8512289562289546"/>
    <n v="2.4256144781144773"/>
    <x v="120"/>
    <x v="123"/>
    <x v="24"/>
    <d v="2025-05-20T00:00:00"/>
    <x v="6"/>
    <x v="0"/>
    <x v="7"/>
    <s v="ENTREGUE"/>
    <d v="2025-04-21T00:00:00"/>
    <x v="0"/>
    <m/>
    <n v="0"/>
    <n v="0"/>
    <n v="0"/>
    <n v="0"/>
    <n v="0"/>
  </r>
  <r>
    <x v="2"/>
    <s v="MEI45759"/>
    <s v="Pedido 1480"/>
    <d v="2025-04-09T00:00:00"/>
    <x v="126"/>
    <s v="PedidoF1418"/>
    <s v="CódRastreio1416"/>
    <n v="1"/>
    <s v="CPF 1440"/>
    <s v="Nome 1440"/>
    <s v="Tel 1440"/>
    <s v="Cep 1440"/>
    <s v="Rua 1440"/>
    <s v="Comp 1440"/>
    <s v="Brinquedo Bola Giratória voadora"/>
    <s v="Z0-F6CI-18CL"/>
    <d v="2025-05-09T00:00:00"/>
    <n v="42.87"/>
    <n v="42.87"/>
    <n v="5.1443999999999992"/>
    <n v="37.729999999999997"/>
    <n v="24.48"/>
    <n v="0.15"/>
    <n v="0.39877104377104378"/>
    <n v="0"/>
    <n v="12.701228956228952"/>
    <n v="6.3506144781144762"/>
    <x v="120"/>
    <x v="123"/>
    <x v="24"/>
    <d v="2025-05-20T00:00:00"/>
    <x v="6"/>
    <x v="0"/>
    <x v="7"/>
    <s v="ENTREGUE"/>
    <d v="2025-04-30T00:00:00"/>
    <x v="0"/>
    <m/>
    <n v="0"/>
    <n v="0"/>
    <n v="0"/>
    <n v="0"/>
    <n v="0"/>
  </r>
  <r>
    <x v="2"/>
    <s v="MEI45759"/>
    <s v="Pedido 1481"/>
    <d v="2025-04-09T00:00:00"/>
    <x v="126"/>
    <s v="PedidoF1419"/>
    <s v="CódRastreio1417"/>
    <n v="1"/>
    <s v="CPF 1441"/>
    <s v="Nome 1441"/>
    <s v="Tel 1441"/>
    <s v="Cep 1441"/>
    <s v="Rua 1441"/>
    <s v="Comp 1441"/>
    <s v="Maçarico Culinário Portátil"/>
    <s v="BG-DHRO-FAEE"/>
    <d v="2025-05-03T00:00:00"/>
    <n v="26.99"/>
    <n v="26.99"/>
    <n v="2.9688999999999997"/>
    <n v="24.02"/>
    <n v="0"/>
    <n v="0.15"/>
    <n v="0.39877104377104378"/>
    <n v="0"/>
    <n v="23.471228956228956"/>
    <n v="11.735614478114478"/>
    <x v="121"/>
    <x v="124"/>
    <x v="24"/>
    <d v="2025-05-20T00:00:00"/>
    <x v="6"/>
    <x v="0"/>
    <x v="7"/>
    <s v="ENTREGUE"/>
    <d v="2025-05-08T00:00:00"/>
    <x v="0"/>
    <m/>
    <n v="0"/>
    <n v="0"/>
    <n v="0"/>
    <n v="0"/>
    <n v="0"/>
  </r>
  <r>
    <x v="2"/>
    <s v="MEI45761"/>
    <s v="Pedido 1482"/>
    <d v="2025-04-09T00:00:00"/>
    <x v="128"/>
    <s v="PedidoF1420"/>
    <s v="CódRastreio1418"/>
    <n v="1"/>
    <s v="CPF 1442"/>
    <s v="Nome 1442"/>
    <s v="Tel 1442"/>
    <s v="Cep 1442"/>
    <s v="Rua 1442"/>
    <s v="Comp 1442"/>
    <s v="Maçarico Culinário Portátil"/>
    <s v="BG-DHRO-FAEE"/>
    <d v="2025-05-09T00:00:00"/>
    <n v="26.99"/>
    <n v="26.99"/>
    <n v="2.9688999999999997"/>
    <n v="24.02"/>
    <n v="14.14"/>
    <n v="0.43"/>
    <n v="0.39877104377104378"/>
    <n v="0"/>
    <n v="9.0512289562289556"/>
    <n v="4.5256144781144778"/>
    <x v="120"/>
    <x v="123"/>
    <x v="24"/>
    <d v="2025-05-20T00:00:00"/>
    <x v="6"/>
    <x v="0"/>
    <x v="7"/>
    <s v="ENTREGUE"/>
    <d v="2025-05-07T00:00:00"/>
    <x v="0"/>
    <m/>
    <n v="0"/>
    <n v="0"/>
    <n v="0"/>
    <n v="0"/>
    <n v="0"/>
  </r>
  <r>
    <x v="2"/>
    <s v="MEI45760"/>
    <s v="Pedido 1483"/>
    <d v="2025-04-09T00:00:00"/>
    <x v="127"/>
    <s v="PedidoF1421"/>
    <s v="CódRastreio1419"/>
    <n v="1"/>
    <s v="CPF 1443"/>
    <s v="Nome 1443"/>
    <s v="Tel 1443"/>
    <s v="Cep 1443"/>
    <s v="Rua 1443"/>
    <s v="Comp 1443"/>
    <s v="Ventilador Azul"/>
    <s v="PK-L2Z7-MQRQ"/>
    <d v="2025-05-03T00:00:00"/>
    <n v="49.9"/>
    <n v="49.9"/>
    <n v="5.9879999999999995"/>
    <n v="43.91"/>
    <n v="36.880000000000003"/>
    <n v="0.25"/>
    <n v="0.39877104377104378"/>
    <n v="0"/>
    <n v="6.3812289562289521"/>
    <n v="3.1906144781144761"/>
    <x v="121"/>
    <x v="124"/>
    <x v="24"/>
    <d v="2025-05-20T00:00:00"/>
    <x v="6"/>
    <x v="0"/>
    <x v="7"/>
    <s v="ENTREGUE"/>
    <d v="2025-04-28T00:00:00"/>
    <x v="0"/>
    <m/>
    <n v="0"/>
    <n v="0"/>
    <n v="0"/>
    <n v="0"/>
    <n v="0"/>
  </r>
  <r>
    <x v="2"/>
    <s v="MEI45760"/>
    <s v="Pedido 1484"/>
    <d v="2025-04-10T00:00:00"/>
    <x v="127"/>
    <s v="PedidoF1422"/>
    <s v="CódRastreio1420"/>
    <n v="1"/>
    <s v="CPF 1444"/>
    <s v="Nome 1444"/>
    <s v="Tel 1444"/>
    <s v="Cep 1444"/>
    <s v="Rua 1444"/>
    <s v="Comp 1444"/>
    <s v="Copo Termico"/>
    <s v="VI-4RT5-1FFO"/>
    <d v="2025-05-09T00:00:00"/>
    <n v="22.7"/>
    <n v="22.7"/>
    <n v="2.7239999999999998"/>
    <n v="19.98"/>
    <n v="14.71"/>
    <n v="0.25"/>
    <n v="0.39877104377104378"/>
    <n v="0"/>
    <n v="4.6212289562289559"/>
    <n v="2.310614478114478"/>
    <x v="120"/>
    <x v="123"/>
    <x v="24"/>
    <d v="2025-05-20T00:00:00"/>
    <x v="6"/>
    <x v="0"/>
    <x v="7"/>
    <s v="ENTREGUE"/>
    <d v="2025-04-25T00:00:00"/>
    <x v="0"/>
    <m/>
    <n v="0"/>
    <n v="0"/>
    <n v="0"/>
    <n v="0"/>
    <n v="0"/>
  </r>
  <r>
    <x v="2"/>
    <s v="MEI45760"/>
    <s v="Pedido 1485"/>
    <d v="2025-04-10T00:00:00"/>
    <x v="127"/>
    <s v="PedidoF1423"/>
    <s v="CódRastreio1421"/>
    <n v="1"/>
    <s v="CPF 1445"/>
    <s v="Nome 1445"/>
    <s v="Tel 1445"/>
    <s v="Cep 1445"/>
    <s v="Rua 1445"/>
    <s v="Comp 1445"/>
    <s v="Maçarico Culinário Portátil"/>
    <s v="BG-DHRO-FAEE"/>
    <d v="2025-05-16T00:00:00"/>
    <n v="26.99"/>
    <n v="26.99"/>
    <n v="2.9688999999999997"/>
    <n v="24.02"/>
    <n v="0"/>
    <n v="0.25"/>
    <n v="0.39877104377104378"/>
    <n v="0"/>
    <n v="23.371228956228954"/>
    <n v="11.685614478114477"/>
    <x v="127"/>
    <x v="130"/>
    <x v="25"/>
    <d v="2025-06-02T00:00:00"/>
    <x v="6"/>
    <x v="0"/>
    <x v="7"/>
    <s v="ENTREGUE"/>
    <d v="2025-05-26T00:00:00"/>
    <x v="0"/>
    <m/>
    <n v="0"/>
    <n v="0"/>
    <n v="0"/>
    <n v="0"/>
    <n v="0"/>
  </r>
  <r>
    <x v="2"/>
    <s v="MEI45760"/>
    <s v="Pedido 1486"/>
    <d v="2025-04-10T00:00:00"/>
    <x v="127"/>
    <s v="PedidoF1424"/>
    <s v="CódRastreio1422"/>
    <n v="1"/>
    <s v="CPF 1446"/>
    <s v="Nome 1446"/>
    <s v="Tel 1446"/>
    <s v="Cep 1446"/>
    <s v="Rua 1446"/>
    <s v="Comp 1446"/>
    <s v="Maçarico Culinário Portátil"/>
    <s v="BG-DHRO-FAEE"/>
    <d v="2025-05-10T00:00:00"/>
    <n v="26.99"/>
    <n v="26.99"/>
    <n v="2.9688999999999997"/>
    <n v="24.02"/>
    <n v="14.35"/>
    <n v="0.25"/>
    <n v="0.39877104377104378"/>
    <n v="0"/>
    <n v="9.0212289562289563"/>
    <n v="4.5106144781144781"/>
    <x v="122"/>
    <x v="125"/>
    <x v="25"/>
    <d v="2025-06-02T00:00:00"/>
    <x v="6"/>
    <x v="0"/>
    <x v="7"/>
    <s v="ENTREGUE"/>
    <d v="2025-05-05T00:00:00"/>
    <x v="0"/>
    <m/>
    <n v="0"/>
    <n v="0"/>
    <n v="0"/>
    <n v="0"/>
    <n v="0"/>
  </r>
  <r>
    <x v="2"/>
    <s v="MEI45761"/>
    <s v="Pedido 1487"/>
    <d v="2025-04-10T00:00:00"/>
    <x v="128"/>
    <s v="PedidoF1425"/>
    <s v="CódRastreio1423"/>
    <n v="1"/>
    <s v="CPF 1447"/>
    <s v="Nome 1447"/>
    <s v="Tel 1447"/>
    <s v="Cep 1447"/>
    <s v="Rua 1447"/>
    <s v="Comp 1447"/>
    <s v="Lampada Led"/>
    <s v="T1-SWVB-UPOW"/>
    <d v="2025-05-10T00:00:00"/>
    <n v="29.99"/>
    <n v="29.99"/>
    <n v="3.5987999999999998"/>
    <n v="26.39"/>
    <n v="15.42"/>
    <n v="0.43"/>
    <n v="0.39877104377104378"/>
    <n v="0"/>
    <n v="10.141228956228957"/>
    <n v="5.0706144781144786"/>
    <x v="122"/>
    <x v="125"/>
    <x v="25"/>
    <d v="2025-06-02T00:00:00"/>
    <x v="6"/>
    <x v="0"/>
    <x v="7"/>
    <s v="ENTREGUE"/>
    <d v="2025-04-28T00:00:00"/>
    <x v="0"/>
    <m/>
    <n v="0"/>
    <n v="0"/>
    <n v="0"/>
    <n v="0"/>
    <n v="0"/>
  </r>
  <r>
    <x v="2"/>
    <s v="MEI45760"/>
    <s v="Pedido 1488"/>
    <d v="2025-04-10T00:00:00"/>
    <x v="127"/>
    <s v="PedidoF1426"/>
    <s v="CódRastreio1424"/>
    <n v="1"/>
    <s v="CPF 1448"/>
    <s v="Nome 1448"/>
    <s v="Tel 1448"/>
    <s v="Cep 1448"/>
    <s v="Rua 1448"/>
    <s v="Comp 1448"/>
    <s v="Ventilador Azul"/>
    <s v="PK-L2Z7-MQRQ"/>
    <d v="2025-05-10T00:00:00"/>
    <n v="49.9"/>
    <n v="49.9"/>
    <n v="5.9879999999999995"/>
    <n v="43.91"/>
    <n v="22.51"/>
    <n v="0.25"/>
    <n v="0.39877104377104378"/>
    <n v="0"/>
    <n v="20.75122895622895"/>
    <n v="10.375614478114475"/>
    <x v="122"/>
    <x v="125"/>
    <x v="25"/>
    <d v="2025-06-02T00:00:00"/>
    <x v="6"/>
    <x v="0"/>
    <x v="7"/>
    <s v="ENTREGUE"/>
    <d v="2025-04-29T00:00:00"/>
    <x v="0"/>
    <m/>
    <n v="0"/>
    <n v="0"/>
    <n v="0"/>
    <n v="0"/>
    <n v="0"/>
  </r>
  <r>
    <x v="2"/>
    <s v="MEI45760"/>
    <s v="Pedido 1489"/>
    <d v="2025-04-10T00:00:00"/>
    <x v="127"/>
    <s v="PedidoF1427"/>
    <s v="CódRastreio1425"/>
    <n v="1"/>
    <s v="CPF 1449"/>
    <s v="Nome 1449"/>
    <s v="Tel 1449"/>
    <s v="Cep 1449"/>
    <s v="Rua 1449"/>
    <s v="Comp 1449"/>
    <s v="Máquina de cortar cabelo dragão"/>
    <s v="RX-DD1P-P5U2"/>
    <d v="2025-05-17T00:00:00"/>
    <n v="26.99"/>
    <n v="26.99"/>
    <n v="3.2387999999999999"/>
    <n v="23.75"/>
    <n v="10.130000000000001"/>
    <n v="0.25"/>
    <n v="0.39877104377104378"/>
    <n v="0"/>
    <n v="12.971228956228956"/>
    <n v="6.4856144781144778"/>
    <x v="128"/>
    <x v="131"/>
    <x v="25"/>
    <d v="2025-06-02T00:00:00"/>
    <x v="6"/>
    <x v="0"/>
    <x v="7"/>
    <s v="ENTREGUE"/>
    <d v="2025-04-22T00:00:00"/>
    <x v="0"/>
    <m/>
    <n v="0"/>
    <n v="0"/>
    <n v="0"/>
    <n v="0"/>
    <n v="0"/>
  </r>
  <r>
    <x v="2"/>
    <s v="MEI45760"/>
    <s v="Pedido 1490"/>
    <d v="2025-04-10T00:00:00"/>
    <x v="127"/>
    <s v="PedidoF1428"/>
    <s v="CódRastreio1426"/>
    <n v="1"/>
    <s v="CPF 1450"/>
    <s v="Nome 1450"/>
    <s v="Tel 1450"/>
    <s v="Cep 1450"/>
    <s v="Rua 1450"/>
    <s v="Comp 1450"/>
    <s v="Máquina de cortar cabelo dragão"/>
    <s v="RX-DD1P-P5U2"/>
    <d v="2025-05-17T00:00:00"/>
    <n v="26.99"/>
    <n v="26.99"/>
    <n v="3.2387999999999999"/>
    <n v="23.75"/>
    <n v="10.130000000000001"/>
    <n v="0.25"/>
    <n v="0.39877104377104378"/>
    <n v="0"/>
    <n v="12.971228956228956"/>
    <n v="6.4856144781144778"/>
    <x v="128"/>
    <x v="131"/>
    <x v="25"/>
    <d v="2025-06-02T00:00:00"/>
    <x v="6"/>
    <x v="0"/>
    <x v="7"/>
    <s v="ENTREGUE"/>
    <d v="2025-04-22T00:00:00"/>
    <x v="0"/>
    <m/>
    <n v="0"/>
    <n v="0"/>
    <n v="0"/>
    <n v="0"/>
    <n v="0"/>
  </r>
  <r>
    <x v="2"/>
    <s v="MEI-"/>
    <s v="Pedido 1491"/>
    <d v="2025-04-10T00:00:00"/>
    <x v="0"/>
    <s v="-"/>
    <s v="-"/>
    <n v="1"/>
    <s v="CPF 1451"/>
    <s v="Nome 1451"/>
    <s v="Tel 1451"/>
    <s v="Cep 1451"/>
    <s v="Rua 1451"/>
    <s v="Comp 1451"/>
    <s v="Ventilador Azul"/>
    <s v="PK-L2Z7-MQRQ"/>
    <d v="2025-05-10T00:00:00"/>
    <n v="49.9"/>
    <n v="49.9"/>
    <n v="5.9879999999999995"/>
    <n v="43.91"/>
    <n v="0"/>
    <n v="0"/>
    <n v="0"/>
    <n v="0"/>
    <n v="43.91"/>
    <n v="21.954999999999998"/>
    <x v="122"/>
    <x v="125"/>
    <x v="25"/>
    <d v="2025-06-02T00:00:00"/>
    <x v="6"/>
    <x v="0"/>
    <x v="0"/>
    <s v="-"/>
    <s v="-"/>
    <x v="0"/>
    <m/>
    <n v="0"/>
    <n v="0"/>
    <n v="0"/>
    <n v="0"/>
    <n v="0"/>
  </r>
  <r>
    <x v="2"/>
    <s v="MEI45760"/>
    <s v="Pedido 1492"/>
    <d v="2025-04-10T00:00:00"/>
    <x v="127"/>
    <s v="PedidoF1429"/>
    <s v="CódRastreio1427"/>
    <n v="1"/>
    <s v="CPF 1452"/>
    <s v="Nome 1452"/>
    <s v="Tel 1452"/>
    <s v="Cep 1452"/>
    <s v="Rua 1452"/>
    <s v="Comp 1452"/>
    <s v="Ventilador Azul"/>
    <s v="PK-L2Z7-MQRQ"/>
    <d v="2025-05-10T00:00:00"/>
    <n v="49.9"/>
    <n v="49.9"/>
    <n v="5.9879999999999995"/>
    <n v="43.91"/>
    <n v="22.51"/>
    <n v="0.25"/>
    <n v="0.39877104377104378"/>
    <n v="0"/>
    <n v="20.75122895622895"/>
    <n v="10.375614478114475"/>
    <x v="122"/>
    <x v="125"/>
    <x v="25"/>
    <d v="2025-06-02T00:00:00"/>
    <x v="6"/>
    <x v="0"/>
    <x v="7"/>
    <s v="ENTREGUE"/>
    <d v="2025-04-28T00:00:00"/>
    <x v="0"/>
    <m/>
    <n v="0"/>
    <n v="0"/>
    <n v="0"/>
    <n v="0"/>
    <n v="0"/>
  </r>
  <r>
    <x v="2"/>
    <s v="MEI45760"/>
    <s v="Pedido 1493"/>
    <d v="2025-04-10T00:00:00"/>
    <x v="127"/>
    <s v="PedidoF1430"/>
    <s v="CódRastreio1428"/>
    <n v="1"/>
    <s v="CPF 1453"/>
    <s v="Nome 1453"/>
    <s v="Tel 1453"/>
    <s v="Cep 1453"/>
    <s v="Rua 1453"/>
    <s v="Comp 1453"/>
    <s v="Mini Liquidificador"/>
    <s v="A4-5W51-K3HF"/>
    <d v="2025-05-10T00:00:00"/>
    <n v="36.950000000000003"/>
    <n v="36.950000000000003"/>
    <n v="4.4340000000000002"/>
    <n v="32.520000000000003"/>
    <n v="0"/>
    <n v="0.25"/>
    <n v="0.39877104377104378"/>
    <n v="0"/>
    <n v="31.871228956228958"/>
    <n v="15.935614478114479"/>
    <x v="122"/>
    <x v="125"/>
    <x v="25"/>
    <d v="2025-06-02T00:00:00"/>
    <x v="6"/>
    <x v="0"/>
    <x v="7"/>
    <s v="ENTREGUE"/>
    <d v="2025-04-27T00:00:00"/>
    <x v="0"/>
    <m/>
    <n v="0"/>
    <n v="0"/>
    <n v="0"/>
    <n v="0"/>
    <n v="0"/>
  </r>
  <r>
    <x v="2"/>
    <s v="MEI45760"/>
    <s v="Pedido 1494"/>
    <d v="2025-04-11T00:00:00"/>
    <x v="127"/>
    <s v="PedidoF1431"/>
    <s v="CódRastreio1429"/>
    <n v="1"/>
    <s v="CPF 1454"/>
    <s v="Nome 1454"/>
    <s v="Tel 1454"/>
    <s v="Cep 1454"/>
    <s v="Rua 1454"/>
    <s v="Comp 1454"/>
    <s v="Copo Termico"/>
    <s v="VI-4RT5-1FFO"/>
    <d v="2025-05-06T00:00:00"/>
    <n v="22.7"/>
    <n v="22.7"/>
    <n v="2.7239999999999998"/>
    <n v="19.98"/>
    <n v="14.73"/>
    <n v="0.25"/>
    <n v="0.39877104377104378"/>
    <n v="0"/>
    <n v="4.6012289562289563"/>
    <n v="2.3006144781144782"/>
    <x v="123"/>
    <x v="126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-"/>
    <s v="Pedido 1495"/>
    <d v="2025-04-11T00:00:00"/>
    <x v="0"/>
    <s v="-"/>
    <s v="-"/>
    <n v="1"/>
    <s v="CPF 1455"/>
    <s v="Nome 1455"/>
    <s v="Tel 1455"/>
    <s v="Cep 1455"/>
    <s v="Rua 1455"/>
    <s v="Comp 1455"/>
    <s v="Máquina de cortar cabelo dragão"/>
    <s v="RX-DD1P-P5U2"/>
    <d v="2025-05-17T00:00:00"/>
    <n v="26.99"/>
    <n v="26.99"/>
    <n v="3.2387999999999999"/>
    <n v="23.75"/>
    <n v="0"/>
    <n v="0"/>
    <n v="0"/>
    <n v="0"/>
    <n v="23.75"/>
    <n v="11.875"/>
    <x v="128"/>
    <x v="131"/>
    <x v="25"/>
    <d v="2025-06-02T00:00:00"/>
    <x v="6"/>
    <x v="0"/>
    <x v="0"/>
    <s v="-"/>
    <s v="-"/>
    <x v="0"/>
    <m/>
    <n v="0"/>
    <n v="0"/>
    <n v="0"/>
    <n v="0"/>
    <n v="0"/>
  </r>
  <r>
    <x v="2"/>
    <s v="MEI45762"/>
    <s v="Pedido 1496"/>
    <d v="2025-04-11T00:00:00"/>
    <x v="129"/>
    <s v="PedidoF1432"/>
    <s v="CódRastreio1430"/>
    <n v="1"/>
    <s v="CPF 1456"/>
    <s v="Nome 1456"/>
    <s v="Tel 1456"/>
    <s v="Cep 1456"/>
    <s v="Rua 1456"/>
    <s v="Comp 1456"/>
    <s v="Maçarico Culinário Portátil"/>
    <s v="BG-DHRO-FAEE"/>
    <d v="2025-05-10T00:00:00"/>
    <n v="26.99"/>
    <n v="26.99"/>
    <n v="2.9688999999999997"/>
    <n v="24.02"/>
    <n v="15.77"/>
    <n v="0.2"/>
    <n v="0.39877104377104378"/>
    <n v="0"/>
    <n v="7.6512289562289553"/>
    <n v="3.8256144781144776"/>
    <x v="122"/>
    <x v="125"/>
    <x v="25"/>
    <d v="2025-06-02T00:00:00"/>
    <x v="6"/>
    <x v="0"/>
    <x v="7"/>
    <s v="ENTREGUE"/>
    <d v="2025-05-14T00:00:00"/>
    <x v="0"/>
    <m/>
    <n v="0"/>
    <n v="0"/>
    <n v="0"/>
    <n v="0"/>
    <n v="0"/>
  </r>
  <r>
    <x v="2"/>
    <s v="MEI45762"/>
    <s v="Pedido 1497"/>
    <d v="2025-04-11T00:00:00"/>
    <x v="129"/>
    <s v="PedidoF1433"/>
    <s v="CódRastreio1431"/>
    <n v="1"/>
    <s v="CPF 1457"/>
    <s v="Nome 1457"/>
    <s v="Tel 1457"/>
    <s v="Cep 1457"/>
    <s v="Rua 1457"/>
    <s v="Comp 1457"/>
    <s v="Lampada Led"/>
    <s v="T1-SWVB-UPOW"/>
    <d v="2025-05-17T00:00:00"/>
    <n v="29.99"/>
    <n v="29.99"/>
    <n v="3.5987999999999998"/>
    <n v="26.39"/>
    <n v="17.55"/>
    <n v="0.2"/>
    <n v="0.39877104377104378"/>
    <n v="0"/>
    <n v="8.2412289562289551"/>
    <n v="4.1206144781144776"/>
    <x v="128"/>
    <x v="131"/>
    <x v="25"/>
    <d v="2025-06-02T00:00:00"/>
    <x v="6"/>
    <x v="0"/>
    <x v="7"/>
    <s v="ENTREGUE"/>
    <d v="2025-05-23T00:00:00"/>
    <x v="0"/>
    <m/>
    <n v="0"/>
    <n v="0"/>
    <n v="0"/>
    <n v="0"/>
    <n v="0"/>
  </r>
  <r>
    <x v="2"/>
    <s v="MEI45762"/>
    <s v="Pedido 1498"/>
    <d v="2025-04-11T00:00:00"/>
    <x v="129"/>
    <s v="PedidoF1434"/>
    <s v="CódRastreio1432"/>
    <n v="1"/>
    <s v="CPF 1458"/>
    <s v="Nome 1458"/>
    <s v="Tel 1458"/>
    <s v="Cep 1458"/>
    <s v="Rua 1458"/>
    <s v="Comp 1458"/>
    <s v="Maçarico Culinário Portátil"/>
    <s v="BG-DHRO-FAEE"/>
    <d v="2025-05-06T00:00:00"/>
    <n v="26.99"/>
    <n v="26.99"/>
    <n v="2.9688999999999997"/>
    <n v="24.02"/>
    <n v="14.84"/>
    <n v="0.2"/>
    <n v="0.39877104377104378"/>
    <n v="0"/>
    <n v="8.5812289562289568"/>
    <n v="4.2906144781144784"/>
    <x v="123"/>
    <x v="126"/>
    <x v="24"/>
    <d v="2025-05-20T00:00:00"/>
    <x v="6"/>
    <x v="0"/>
    <x v="7"/>
    <s v="ENTREGUE"/>
    <d v="2025-05-05T00:00:00"/>
    <x v="0"/>
    <m/>
    <n v="0"/>
    <n v="0"/>
    <n v="0"/>
    <n v="0"/>
    <n v="0"/>
  </r>
  <r>
    <x v="2"/>
    <s v="MEI45762"/>
    <s v="Pedido 1499"/>
    <d v="2025-04-11T00:00:00"/>
    <x v="129"/>
    <s v="PedidoF1435"/>
    <s v="CódRastreio1433"/>
    <n v="1"/>
    <s v="CPF 789"/>
    <s v="Nome 789"/>
    <s v="Tel 789"/>
    <s v="Cep 789"/>
    <s v="Rua 789"/>
    <s v="Comp 789"/>
    <s v="Ventilador Azul"/>
    <s v="PK-L2Z7-MQRQ"/>
    <d v="2025-05-10T00:00:00"/>
    <n v="49.9"/>
    <n v="49.9"/>
    <n v="5.9879999999999995"/>
    <n v="43.91"/>
    <n v="22.31"/>
    <n v="0.2"/>
    <n v="0.39877104377104378"/>
    <n v="0"/>
    <n v="21.001228956228953"/>
    <n v="10.500614478114477"/>
    <x v="122"/>
    <x v="125"/>
    <x v="25"/>
    <d v="2025-06-02T00:00:00"/>
    <x v="6"/>
    <x v="0"/>
    <x v="7"/>
    <s v="ENTREGUE"/>
    <d v="2025-05-02T00:00:00"/>
    <x v="0"/>
    <m/>
    <n v="0"/>
    <n v="0"/>
    <n v="0"/>
    <n v="0"/>
    <n v="0"/>
  </r>
  <r>
    <x v="2"/>
    <s v="MEI45763"/>
    <s v="Pedido 1500"/>
    <d v="2025-04-11T00:00:00"/>
    <x v="130"/>
    <s v="PedidoF1436"/>
    <s v="CódRastreio1434"/>
    <n v="1"/>
    <s v="CPF 1459"/>
    <s v="Nome 1459"/>
    <s v="Tel 1459"/>
    <s v="Cep 1459"/>
    <s v="Rua 1459"/>
    <s v="Comp 1459"/>
    <s v="Máquina de cortar cabelo dragão"/>
    <s v="RX-DD1P-P5U2"/>
    <d v="2025-05-13T00:00:00"/>
    <n v="26.99"/>
    <n v="26.99"/>
    <n v="3.2387999999999999"/>
    <n v="23.75"/>
    <n v="22.92"/>
    <n v="0.25"/>
    <n v="0.39877104377104378"/>
    <n v="0"/>
    <n v="0.18122895622895285"/>
    <n v="9.0614478114476427E-2"/>
    <x v="124"/>
    <x v="127"/>
    <x v="25"/>
    <d v="2025-06-02T00:00:00"/>
    <x v="6"/>
    <x v="0"/>
    <x v="7"/>
    <s v="ENTREGUE"/>
    <d v="2025-05-30T00:00:00"/>
    <x v="0"/>
    <m/>
    <n v="0"/>
    <n v="0"/>
    <n v="0"/>
    <n v="0"/>
    <n v="0"/>
  </r>
  <r>
    <x v="2"/>
    <s v="MEI45763"/>
    <s v="Pedido 1501"/>
    <d v="2025-04-11T00:00:00"/>
    <x v="130"/>
    <s v="PedidoF1437"/>
    <s v="CódRastreio1435"/>
    <n v="1"/>
    <s v="CPF 1460"/>
    <s v="Nome 1460"/>
    <s v="Tel 1460"/>
    <s v="Cep 1460"/>
    <s v="Rua 1460"/>
    <s v="Comp 1460"/>
    <s v="Máquina de cortar cabelo dragão"/>
    <s v="RX-DD1P-P5U2"/>
    <d v="2025-05-13T00:00:00"/>
    <n v="26.99"/>
    <n v="26.99"/>
    <n v="3.2387999999999999"/>
    <n v="23.75"/>
    <n v="0"/>
    <n v="0.25"/>
    <n v="0.39877104377104378"/>
    <n v="0"/>
    <n v="23.101228956228955"/>
    <n v="11.550614478114477"/>
    <x v="124"/>
    <x v="127"/>
    <x v="25"/>
    <d v="2025-06-02T00:00:00"/>
    <x v="6"/>
    <x v="0"/>
    <x v="7"/>
    <s v="ENTREGUE"/>
    <d v="2025-05-06T00:00:00"/>
    <x v="0"/>
    <m/>
    <n v="0"/>
    <n v="0"/>
    <n v="0"/>
    <n v="0"/>
    <n v="0"/>
  </r>
  <r>
    <x v="2"/>
    <s v="MEI45763"/>
    <s v="Pedido 1502"/>
    <d v="2025-04-11T00:00:00"/>
    <x v="130"/>
    <s v="PedidoF1438"/>
    <s v="CódRastreio1436"/>
    <n v="1"/>
    <s v="CPF 1461"/>
    <s v="Nome 1461"/>
    <s v="Tel 1461"/>
    <s v="Cep 1461"/>
    <s v="Rua 1461"/>
    <s v="Comp 1461"/>
    <s v="Caixinha de som Preta"/>
    <s v="K9-7YJH-TT9R"/>
    <d v="2025-05-07T00:00:00"/>
    <n v="25.88"/>
    <n v="25.88"/>
    <n v="3.8819999999999997"/>
    <n v="22"/>
    <n v="22.58"/>
    <n v="0.25"/>
    <n v="0.39877104377104378"/>
    <n v="0"/>
    <n v="-1.2287710437710437"/>
    <n v="-0.61438552188552187"/>
    <x v="118"/>
    <x v="121"/>
    <x v="24"/>
    <d v="2025-05-20T00:00:00"/>
    <x v="6"/>
    <x v="0"/>
    <x v="7"/>
    <s v="ENTREGUE"/>
    <d v="2025-04-28T00:00:00"/>
    <x v="0"/>
    <m/>
    <n v="0"/>
    <n v="0"/>
    <n v="0"/>
    <n v="0"/>
    <n v="0"/>
  </r>
  <r>
    <x v="2"/>
    <s v="MEI45763"/>
    <s v="Pedido 1503"/>
    <d v="2025-04-11T00:00:00"/>
    <x v="130"/>
    <s v="PedidoF1439"/>
    <s v="CódRastreio1437"/>
    <n v="1"/>
    <s v="CPF 1462"/>
    <s v="Nome 1462"/>
    <s v="Tel 1462"/>
    <s v="Cep 1462"/>
    <s v="Rua 1462"/>
    <s v="Comp 1462"/>
    <s v="Máquina de cortar cabelo dragão"/>
    <s v="RX-DD1P-P5U2"/>
    <d v="2025-05-13T00:00:00"/>
    <n v="26.99"/>
    <n v="26.99"/>
    <n v="3.2387999999999999"/>
    <n v="23.75"/>
    <n v="10.16"/>
    <n v="0.25"/>
    <n v="0.39877104377104378"/>
    <n v="0"/>
    <n v="12.941228956228956"/>
    <n v="6.4706144781144781"/>
    <x v="124"/>
    <x v="127"/>
    <x v="25"/>
    <d v="2025-06-02T00:00:00"/>
    <x v="6"/>
    <x v="0"/>
    <x v="7"/>
    <s v="ENTREGUE"/>
    <d v="2025-06-03T00:00:00"/>
    <x v="0"/>
    <m/>
    <n v="0"/>
    <n v="0"/>
    <n v="0"/>
    <n v="0"/>
    <n v="0"/>
  </r>
  <r>
    <x v="2"/>
    <s v="MEI45763"/>
    <s v="Pedido 1504"/>
    <d v="2025-04-11T00:00:00"/>
    <x v="130"/>
    <s v="PedidoF1440"/>
    <s v="CódRastreio1438"/>
    <n v="1"/>
    <s v="CPF 1463"/>
    <s v="Nome 1463"/>
    <s v="Tel 1463"/>
    <s v="Cep 1463"/>
    <s v="Rua 1463"/>
    <s v="Comp 1463"/>
    <s v="Máquina de cortar cabelo dragão"/>
    <s v="RX-DD1P-P5U2"/>
    <d v="2025-05-13T00:00:00"/>
    <n v="26.99"/>
    <n v="26.99"/>
    <n v="3.2387999999999999"/>
    <n v="23.75"/>
    <n v="0"/>
    <n v="0.25"/>
    <n v="0.39877104377104378"/>
    <n v="0"/>
    <n v="23.101228956228955"/>
    <n v="11.550614478114477"/>
    <x v="124"/>
    <x v="127"/>
    <x v="25"/>
    <d v="2025-06-02T00:00:00"/>
    <x v="6"/>
    <x v="0"/>
    <x v="7"/>
    <s v="ENTREGUE"/>
    <d v="2025-05-23T00:00:00"/>
    <x v="0"/>
    <m/>
    <n v="0"/>
    <n v="0"/>
    <n v="0"/>
    <n v="0"/>
    <n v="0"/>
  </r>
  <r>
    <x v="2"/>
    <s v="MEI45763"/>
    <s v="Pedido 1505"/>
    <d v="2025-04-11T00:00:00"/>
    <x v="130"/>
    <s v="PedidoF1441"/>
    <s v="CódRastreio1439"/>
    <n v="1"/>
    <s v="CPF 1464"/>
    <s v="Nome 1464"/>
    <s v="Tel 1464"/>
    <s v="Cep 1464"/>
    <s v="Rua 1464"/>
    <s v="Comp 1464"/>
    <s v="Mini Liquidificador"/>
    <s v="A4-5W51-K3HF"/>
    <d v="2025-05-13T00:00:00"/>
    <n v="36.950000000000003"/>
    <n v="36.950000000000003"/>
    <n v="4.4340000000000002"/>
    <n v="32.520000000000003"/>
    <n v="14.99"/>
    <n v="0.25"/>
    <n v="0.39877104377104378"/>
    <n v="0"/>
    <n v="16.881228956228959"/>
    <n v="8.4406144781144796"/>
    <x v="124"/>
    <x v="127"/>
    <x v="25"/>
    <d v="2025-06-02T00:00:00"/>
    <x v="6"/>
    <x v="0"/>
    <x v="7"/>
    <s v="ENTREGUE"/>
    <d v="2025-04-30T00:00:00"/>
    <x v="0"/>
    <m/>
    <n v="0"/>
    <n v="0"/>
    <n v="0"/>
    <n v="0"/>
    <n v="0"/>
  </r>
  <r>
    <x v="2"/>
    <s v="MEI45763"/>
    <s v="Pedido 1506"/>
    <d v="2025-04-11T00:00:00"/>
    <x v="130"/>
    <s v="PedidoF1442"/>
    <s v="CódRastreio1440"/>
    <n v="1"/>
    <s v="CPF 1465"/>
    <s v="Nome 1465"/>
    <s v="Tel 1465"/>
    <s v="Cep 1465"/>
    <s v="Rua 1465"/>
    <s v="Comp 1465"/>
    <s v="Lampada Led"/>
    <s v="T1-SWVB-UPOW"/>
    <d v="2025-05-07T00:00:00"/>
    <n v="29.99"/>
    <n v="29.99"/>
    <n v="3.5987999999999998"/>
    <n v="26.39"/>
    <n v="17.829999999999998"/>
    <n v="0.25"/>
    <n v="0.39877104377104378"/>
    <n v="0"/>
    <n v="7.9112289562289568"/>
    <n v="3.9556144781144784"/>
    <x v="118"/>
    <x v="121"/>
    <x v="24"/>
    <d v="2025-05-20T00:00:00"/>
    <x v="6"/>
    <x v="0"/>
    <x v="7"/>
    <s v="ENTREGUE"/>
    <d v="2025-04-29T00:00:00"/>
    <x v="0"/>
    <m/>
    <n v="0"/>
    <n v="0"/>
    <n v="0"/>
    <n v="0"/>
    <n v="0"/>
  </r>
  <r>
    <x v="1"/>
    <s v="GO45758"/>
    <s v="Pedido 1507"/>
    <d v="2025-04-10T00:00:00"/>
    <x v="125"/>
    <s v="PedidoF1443"/>
    <s v="CódRastreio1441"/>
    <n v="1"/>
    <s v="CPF 1466"/>
    <s v="Nome 1466"/>
    <s v="Tel 1466"/>
    <s v="Cep 1466"/>
    <s v="Rua 1466"/>
    <s v="Comp 1466"/>
    <s v="Cortador de Legumes"/>
    <s v="33-SVS5-1AWY"/>
    <d v="2025-05-10T00:00:00"/>
    <n v="67.599999999999994"/>
    <n v="67.599999999999994"/>
    <n v="8.1119999999999983"/>
    <n v="59.49"/>
    <n v="44.86"/>
    <n v="0.2"/>
    <n v="0.39877104377104378"/>
    <n v="0"/>
    <n v="14.031228956228958"/>
    <n v="14.031228956228958"/>
    <x v="122"/>
    <x v="125"/>
    <x v="25"/>
    <d v="2025-06-02T00:00:00"/>
    <x v="6"/>
    <x v="0"/>
    <x v="7"/>
    <s v="ENTREGUE"/>
    <d v="2025-04-28T00:00:00"/>
    <x v="0"/>
    <m/>
    <n v="0"/>
    <n v="0"/>
    <n v="0"/>
    <n v="0"/>
    <n v="0"/>
  </r>
  <r>
    <x v="2"/>
    <s v="MEI45763"/>
    <s v="Pedido 1508"/>
    <d v="2025-04-11T00:00:00"/>
    <x v="130"/>
    <s v="PedidoF1444"/>
    <s v="CódRastreio1442"/>
    <n v="1"/>
    <s v="CPF 1467"/>
    <s v="Nome 1467"/>
    <s v="Tel 1467"/>
    <s v="Cep 1467"/>
    <s v="Rua 1467"/>
    <s v="Comp 1467"/>
    <s v="Máquina de cortar cabelo dragão"/>
    <s v="RX-DD1P-P5U2"/>
    <d v="2025-05-13T00:00:00"/>
    <n v="26.99"/>
    <n v="26.99"/>
    <n v="3.2387999999999999"/>
    <n v="23.75"/>
    <n v="0"/>
    <n v="0.25"/>
    <n v="0.39877104377104378"/>
    <n v="0"/>
    <n v="23.101228956228955"/>
    <n v="11.550614478114477"/>
    <x v="124"/>
    <x v="127"/>
    <x v="25"/>
    <d v="2025-06-02T00:00:00"/>
    <x v="6"/>
    <x v="0"/>
    <x v="7"/>
    <s v="ENTREGUE"/>
    <d v="2025-05-22T00:00:00"/>
    <x v="0"/>
    <m/>
    <n v="0"/>
    <n v="0"/>
    <n v="0"/>
    <n v="0"/>
    <n v="0"/>
  </r>
  <r>
    <x v="2"/>
    <s v="MEI45763"/>
    <s v="Pedido 1509"/>
    <d v="2025-04-11T00:00:00"/>
    <x v="130"/>
    <s v="PedidoF1445"/>
    <s v="CódRastreio1443"/>
    <n v="1"/>
    <s v="CPF 1468"/>
    <s v="Nome 1468"/>
    <s v="Tel 1468"/>
    <s v="Cep 1468"/>
    <s v="Rua 1468"/>
    <s v="Comp 1468"/>
    <s v="Máquina de cortar cabelo dragão"/>
    <s v="RX-DD1P-P5U2"/>
    <d v="2025-05-13T00:00:00"/>
    <n v="26.99"/>
    <n v="26.99"/>
    <n v="3.2387999999999999"/>
    <n v="23.75"/>
    <n v="10.16"/>
    <n v="0.25"/>
    <n v="0.39877104377104378"/>
    <n v="0"/>
    <n v="12.941228956228956"/>
    <n v="6.4706144781144781"/>
    <x v="124"/>
    <x v="127"/>
    <x v="25"/>
    <d v="2025-06-02T00:00:00"/>
    <x v="6"/>
    <x v="0"/>
    <x v="7"/>
    <s v="ENTREGUE"/>
    <d v="2025-04-30T00:00:00"/>
    <x v="0"/>
    <m/>
    <n v="0"/>
    <n v="0"/>
    <n v="0"/>
    <n v="0"/>
    <n v="0"/>
  </r>
  <r>
    <x v="2"/>
    <s v="MEI45763"/>
    <s v="Pedido 1510"/>
    <d v="2025-04-11T00:00:00"/>
    <x v="130"/>
    <s v="PedidoF1446"/>
    <s v="CódRastreio1444"/>
    <n v="1"/>
    <s v="CPF 1469"/>
    <s v="Nome 1469"/>
    <s v="Tel 1469"/>
    <s v="Cep 1469"/>
    <s v="Rua 1469"/>
    <s v="Comp 1469"/>
    <s v="Máquina de cortar cabelo dragão"/>
    <s v="RX-DD1P-P5U2"/>
    <d v="2025-05-13T00:00:00"/>
    <n v="26.99"/>
    <n v="26.99"/>
    <n v="3.2387999999999999"/>
    <n v="23.75"/>
    <n v="10.16"/>
    <n v="0.25"/>
    <n v="0.39877104377104378"/>
    <n v="0"/>
    <n v="12.941228956228956"/>
    <n v="6.4706144781144781"/>
    <x v="124"/>
    <x v="127"/>
    <x v="25"/>
    <d v="2025-06-02T00:00:00"/>
    <x v="6"/>
    <x v="0"/>
    <x v="7"/>
    <s v="ENTREGUE"/>
    <d v="2025-05-22T00:00:00"/>
    <x v="0"/>
    <m/>
    <n v="0"/>
    <n v="0"/>
    <n v="0"/>
    <n v="0"/>
    <n v="0"/>
  </r>
  <r>
    <x v="2"/>
    <s v="MEI45759"/>
    <s v="Pedido 1511"/>
    <d v="2025-04-12T00:00:00"/>
    <x v="126"/>
    <s v="PedidoF1447"/>
    <s v="CódRastreio1445"/>
    <n v="1"/>
    <s v="CPF 1470"/>
    <s v="Nome 1470"/>
    <s v="Tel 1470"/>
    <s v="Cep 1470"/>
    <s v="Rua 1470"/>
    <s v="Comp 1470"/>
    <s v="Máquina de cortar cabelo dragão"/>
    <s v="RX-DD1P-P5U2"/>
    <d v="2025-05-13T00:00:00"/>
    <n v="26.99"/>
    <n v="26.99"/>
    <n v="3.2387999999999999"/>
    <n v="23.75"/>
    <n v="10.56"/>
    <n v="0.15"/>
    <n v="0.39877104377104378"/>
    <n v="0"/>
    <n v="12.641228956228955"/>
    <n v="6.3206144781144777"/>
    <x v="124"/>
    <x v="127"/>
    <x v="25"/>
    <d v="2025-06-02T00:00:00"/>
    <x v="6"/>
    <x v="0"/>
    <x v="7"/>
    <s v="ENTREGUE"/>
    <d v="2025-04-25T00:00:00"/>
    <x v="0"/>
    <m/>
    <n v="0"/>
    <n v="0"/>
    <n v="0"/>
    <n v="0"/>
    <n v="0"/>
  </r>
  <r>
    <x v="2"/>
    <s v="MEI45759"/>
    <s v="Pedido 1512"/>
    <d v="2025-04-12T00:00:00"/>
    <x v="126"/>
    <s v="PedidoF1448"/>
    <s v="CódRastreio1446"/>
    <n v="1"/>
    <s v="CPF 1471"/>
    <s v="Nome 1471"/>
    <s v="Tel 1471"/>
    <s v="Cep 1471"/>
    <s v="Rua 1471"/>
    <s v="Comp 1471"/>
    <s v="Máquina de cortar cabelo dragão"/>
    <s v="RX-DD1P-P5U2"/>
    <d v="2025-05-20T00:00:00"/>
    <n v="26.99"/>
    <n v="26.99"/>
    <n v="3.2387999999999999"/>
    <n v="23.75"/>
    <n v="10.130000000000001"/>
    <n v="0.15"/>
    <n v="0.39877104377104378"/>
    <n v="0"/>
    <n v="13.071228956228955"/>
    <n v="6.5356144781144776"/>
    <x v="129"/>
    <x v="132"/>
    <x v="25"/>
    <d v="2025-06-02T00:00:00"/>
    <x v="6"/>
    <x v="0"/>
    <x v="7"/>
    <s v="ENTREGUE"/>
    <d v="2025-04-25T00:00:00"/>
    <x v="0"/>
    <m/>
    <n v="0"/>
    <n v="0"/>
    <n v="0"/>
    <n v="0"/>
    <n v="0"/>
  </r>
  <r>
    <x v="2"/>
    <s v="MEI45759"/>
    <s v="Pedido 1513"/>
    <d v="2025-04-12T00:00:00"/>
    <x v="126"/>
    <s v="PedidoF1449"/>
    <s v="CódRastreio1447"/>
    <n v="1"/>
    <s v="CPF 1472"/>
    <s v="Nome 1472"/>
    <s v="Tel 1472"/>
    <s v="Cep 1472"/>
    <s v="Rua 1472"/>
    <s v="Comp 1472"/>
    <s v="Máquina de cortar cabelo dragão"/>
    <s v="RX-DD1P-P5U2"/>
    <d v="2025-05-13T00:00:00"/>
    <n v="26.99"/>
    <n v="26.99"/>
    <n v="3.2387999999999999"/>
    <n v="23.75"/>
    <n v="10.56"/>
    <n v="0.15"/>
    <n v="0.39877104377104378"/>
    <n v="0"/>
    <n v="12.641228956228955"/>
    <n v="6.3206144781144777"/>
    <x v="124"/>
    <x v="127"/>
    <x v="25"/>
    <d v="2025-06-02T00:00:00"/>
    <x v="6"/>
    <x v="0"/>
    <x v="7"/>
    <s v="ENTREGUE"/>
    <d v="2025-04-22T00:00:00"/>
    <x v="0"/>
    <m/>
    <n v="0"/>
    <n v="0"/>
    <n v="0"/>
    <n v="0"/>
    <n v="0"/>
  </r>
  <r>
    <x v="2"/>
    <s v="MEI45759"/>
    <s v="Pedido 1514"/>
    <d v="2025-04-12T00:00:00"/>
    <x v="126"/>
    <s v="PedidoF1450"/>
    <s v="CódRastreio1448"/>
    <n v="1"/>
    <s v="CPF 1473"/>
    <s v="Nome 1473"/>
    <s v="Tel 1473"/>
    <s v="Cep 1473"/>
    <s v="Rua 1473"/>
    <s v="Comp 1473"/>
    <s v="Karaoke portátil"/>
    <s v="1I-EZPV-2Q78"/>
    <d v="2025-05-20T00:00:00"/>
    <n v="52.9"/>
    <n v="52.9"/>
    <n v="7.9349999999999996"/>
    <n v="44.97"/>
    <n v="22.92"/>
    <n v="0.15"/>
    <n v="0.39877104377104378"/>
    <n v="0"/>
    <n v="21.501228956228953"/>
    <n v="10.750614478114477"/>
    <x v="129"/>
    <x v="132"/>
    <x v="25"/>
    <d v="2025-06-02T00:00:00"/>
    <x v="6"/>
    <x v="0"/>
    <x v="7"/>
    <s v="ENTREGUE"/>
    <d v="2025-04-24T00:00:00"/>
    <x v="0"/>
    <m/>
    <n v="0"/>
    <n v="0"/>
    <n v="0"/>
    <n v="0"/>
    <n v="0"/>
  </r>
  <r>
    <x v="2"/>
    <s v="MEI45759"/>
    <s v="Pedido 1515"/>
    <d v="2025-04-12T00:00:00"/>
    <x v="126"/>
    <s v="PedidoF1451"/>
    <s v="CódRastreio1449"/>
    <n v="1"/>
    <s v="CPF 1474"/>
    <s v="Nome 1474"/>
    <s v="Tel 1474"/>
    <s v="Cep 1474"/>
    <s v="Rua 1474"/>
    <s v="Comp 1474"/>
    <s v="Caixinha de som Preta"/>
    <s v="K9-7YJH-TT9R"/>
    <d v="2025-05-07T00:00:00"/>
    <n v="25.88"/>
    <n v="25.88"/>
    <n v="3.8819999999999997"/>
    <n v="22"/>
    <n v="16.5"/>
    <n v="0.15"/>
    <n v="0.39877104377104378"/>
    <n v="0"/>
    <n v="4.951228956228956"/>
    <n v="2.475614478114478"/>
    <x v="118"/>
    <x v="121"/>
    <x v="24"/>
    <d v="2025-05-20T00:00:00"/>
    <x v="6"/>
    <x v="0"/>
    <x v="7"/>
    <s v="ENTREGUE"/>
    <d v="2025-04-19T00:00:00"/>
    <x v="0"/>
    <m/>
    <n v="0"/>
    <n v="0"/>
    <n v="0"/>
    <n v="0"/>
    <n v="0"/>
  </r>
  <r>
    <x v="2"/>
    <s v="MEI45759"/>
    <s v="Pedido 1516"/>
    <d v="2025-04-12T00:00:00"/>
    <x v="126"/>
    <s v="PedidoF1452"/>
    <s v="CódRastreio1450"/>
    <n v="1"/>
    <s v="CPF 1475"/>
    <s v="Nome 1475"/>
    <s v="Tel 1475"/>
    <s v="Cep 1475"/>
    <s v="Rua 1475"/>
    <s v="Comp 1475"/>
    <s v="Maçarico Culinário Portátil"/>
    <s v="BG-DHRO-FAEE"/>
    <d v="2025-05-20T00:00:00"/>
    <n v="26.99"/>
    <n v="26.99"/>
    <n v="2.9688999999999997"/>
    <n v="24.02"/>
    <n v="10.130000000000001"/>
    <n v="0.15"/>
    <n v="0.39877104377104378"/>
    <n v="0"/>
    <n v="13.341228956228955"/>
    <n v="6.6706144781144774"/>
    <x v="129"/>
    <x v="132"/>
    <x v="25"/>
    <d v="2025-06-02T00:00:00"/>
    <x v="6"/>
    <x v="0"/>
    <x v="7"/>
    <s v="ENTREGUE"/>
    <d v="2025-06-02T00:00:00"/>
    <x v="0"/>
    <m/>
    <n v="0"/>
    <n v="0"/>
    <n v="0"/>
    <n v="0"/>
    <n v="0"/>
  </r>
  <r>
    <x v="1"/>
    <s v="GO45759"/>
    <s v="Pedido 1517"/>
    <d v="2025-04-12T00:00:00"/>
    <x v="126"/>
    <s v="PedidoF1453"/>
    <s v="CódRastreio1451"/>
    <n v="1"/>
    <s v="CPF 1476"/>
    <s v="Nome 1476"/>
    <s v="Tel 1476"/>
    <s v="Cep 1476"/>
    <s v="Rua 1476"/>
    <s v="Comp 1476"/>
    <s v="Ventilador Azul"/>
    <s v="H8-IH9B-M87L"/>
    <d v="2025-05-13T00:00:00"/>
    <n v="54.9"/>
    <n v="54.9"/>
    <n v="6.5879999999999992"/>
    <n v="48.31"/>
    <n v="15.84"/>
    <n v="0.25"/>
    <n v="0.39877104377104378"/>
    <n v="0"/>
    <n v="31.821228956228957"/>
    <n v="31.821228956228957"/>
    <x v="124"/>
    <x v="127"/>
    <x v="25"/>
    <d v="2025-06-02T00:00:00"/>
    <x v="6"/>
    <x v="0"/>
    <x v="7"/>
    <s v="ENTREGUE"/>
    <d v="2025-04-28T00:00:00"/>
    <x v="0"/>
    <m/>
    <n v="0"/>
    <n v="0"/>
    <n v="0"/>
    <n v="0"/>
    <n v="0"/>
  </r>
  <r>
    <x v="1"/>
    <s v="GO45759"/>
    <s v="Pedido 1518"/>
    <d v="2025-04-12T00:00:00"/>
    <x v="126"/>
    <s v="PedidoF1454"/>
    <s v="CódRastreio1452"/>
    <n v="1"/>
    <s v="CPF 1477"/>
    <s v="Nome 1477"/>
    <s v="Tel 1477"/>
    <s v="Cep 1477"/>
    <s v="Rua 1477"/>
    <s v="Comp 1477"/>
    <s v="Ventilador Preto"/>
    <s v="EP-9PIR-BWXH"/>
    <d v="2025-05-20T00:00:00"/>
    <n v="65.739999999999995"/>
    <n v="65.739999999999995"/>
    <n v="7.8887999999999989"/>
    <n v="57.85"/>
    <n v="22.24"/>
    <n v="0.25"/>
    <n v="0.39877104377104378"/>
    <n v="0"/>
    <n v="34.961228956228958"/>
    <n v="34.961228956228958"/>
    <x v="129"/>
    <x v="132"/>
    <x v="25"/>
    <d v="2025-06-02T00:00:00"/>
    <x v="6"/>
    <x v="0"/>
    <x v="7"/>
    <s v="ENTREGUE"/>
    <d v="2025-05-06T00:00:00"/>
    <x v="0"/>
    <m/>
    <n v="0"/>
    <n v="0"/>
    <n v="0"/>
    <n v="0"/>
    <n v="0"/>
  </r>
  <r>
    <x v="2"/>
    <s v="MEI45760"/>
    <s v="Pedido 1519"/>
    <d v="2025-04-12T00:00:00"/>
    <x v="127"/>
    <s v="PedidoF1455"/>
    <s v="CódRastreio1453"/>
    <n v="1"/>
    <s v="CPF 1478"/>
    <s v="Nome 1478"/>
    <s v="Tel 1478"/>
    <s v="Cep 1478"/>
    <s v="Rua 1478"/>
    <s v="Comp 1478"/>
    <s v="Mini Liquidificador"/>
    <s v="A4-5W51-K3HF"/>
    <d v="2025-05-07T00:00:00"/>
    <n v="36.950000000000003"/>
    <n v="36.950000000000003"/>
    <n v="4.4340000000000002"/>
    <n v="32.520000000000003"/>
    <n v="14.99"/>
    <n v="0.25"/>
    <n v="0.39877104377104378"/>
    <n v="0"/>
    <n v="16.881228956228959"/>
    <n v="8.4406144781144796"/>
    <x v="118"/>
    <x v="121"/>
    <x v="24"/>
    <d v="2025-05-20T00:00:00"/>
    <x v="6"/>
    <x v="0"/>
    <x v="7"/>
    <s v="ENTREGUE"/>
    <d v="2025-04-22T00:00:00"/>
    <x v="0"/>
    <m/>
    <n v="0"/>
    <n v="0"/>
    <n v="0"/>
    <n v="0"/>
    <n v="0"/>
  </r>
  <r>
    <x v="2"/>
    <s v="MEI45760"/>
    <s v="Pedido 1520"/>
    <d v="2025-04-12T00:00:00"/>
    <x v="127"/>
    <s v="PedidoF1456"/>
    <s v="CódRastreio1454"/>
    <n v="1"/>
    <s v="CPF 1479"/>
    <s v="Nome 1479"/>
    <s v="Tel 1479"/>
    <s v="Cep 1479"/>
    <s v="Rua 1479"/>
    <s v="Comp 1479"/>
    <s v="Máquina de cortar cabelo dragão"/>
    <s v="RX-DD1P-P5U2"/>
    <d v="2025-05-13T00:00:00"/>
    <n v="36.99"/>
    <n v="36.99"/>
    <n v="4.4387999999999996"/>
    <n v="32.549999999999997"/>
    <n v="10.56"/>
    <n v="0.25"/>
    <n v="0.39877104377104378"/>
    <n v="0"/>
    <n v="21.341228956228953"/>
    <n v="10.670614478114476"/>
    <x v="124"/>
    <x v="127"/>
    <x v="25"/>
    <d v="2025-06-02T00:00:00"/>
    <x v="6"/>
    <x v="0"/>
    <x v="7"/>
    <s v="ENTREGUE"/>
    <d v="2025-04-25T00:00:00"/>
    <x v="0"/>
    <m/>
    <n v="0"/>
    <n v="0"/>
    <n v="0"/>
    <n v="0"/>
    <n v="0"/>
  </r>
  <r>
    <x v="2"/>
    <s v="MEI45760"/>
    <s v="Pedido 1521"/>
    <d v="2025-04-13T00:00:00"/>
    <x v="127"/>
    <s v="PedidoF1457"/>
    <s v="CódRastreio1455"/>
    <n v="1"/>
    <s v="CPF 1480"/>
    <s v="Nome 1480"/>
    <s v="Tel 1480"/>
    <s v="Cep 1480"/>
    <s v="Rua 1480"/>
    <s v="Comp 1480"/>
    <s v="Suporte de Celular Branco"/>
    <s v="IQ-LISQ-0D65"/>
    <d v="2025-05-07T00:00:00"/>
    <n v="21.99"/>
    <n v="21.99"/>
    <n v="3.2984999999999998"/>
    <n v="18.690000000000001"/>
    <n v="9.99"/>
    <n v="0.25"/>
    <n v="0.39877104377104378"/>
    <n v="0"/>
    <n v="8.0512289562289574"/>
    <n v="4.0256144781144787"/>
    <x v="118"/>
    <x v="121"/>
    <x v="24"/>
    <d v="2025-05-20T00:00:00"/>
    <x v="6"/>
    <x v="0"/>
    <x v="7"/>
    <s v="ENTREGUE"/>
    <d v="2025-04-21T00:00:00"/>
    <x v="0"/>
    <m/>
    <n v="0"/>
    <n v="0"/>
    <n v="0"/>
    <n v="0"/>
    <n v="0"/>
  </r>
  <r>
    <x v="2"/>
    <s v="MEI45760"/>
    <s v="Pedido 1522"/>
    <d v="2025-04-13T00:00:00"/>
    <x v="127"/>
    <s v="PedidoF1458"/>
    <s v="CódRastreio1456"/>
    <n v="1"/>
    <s v="CPF 1481"/>
    <s v="Nome 1481"/>
    <s v="Tel 1481"/>
    <s v="Cep 1481"/>
    <s v="Rua 1481"/>
    <s v="Comp 1481"/>
    <s v="Suporte de Celular Branco"/>
    <s v="IQ-LISQ-0D65"/>
    <d v="2025-05-13T00:00:00"/>
    <n v="21.99"/>
    <n v="21.99"/>
    <n v="3.2984999999999998"/>
    <n v="18.690000000000001"/>
    <n v="6.99"/>
    <n v="0.25"/>
    <n v="0.39877104377104378"/>
    <n v="0"/>
    <n v="11.051228956228957"/>
    <n v="5.5256144781144787"/>
    <x v="124"/>
    <x v="127"/>
    <x v="25"/>
    <d v="2025-06-02T00:00:00"/>
    <x v="6"/>
    <x v="0"/>
    <x v="7"/>
    <s v="ENTREGUE"/>
    <d v="2025-04-25T00:00:00"/>
    <x v="0"/>
    <m/>
    <n v="0"/>
    <n v="0"/>
    <n v="0"/>
    <n v="0"/>
    <n v="0"/>
  </r>
  <r>
    <x v="1"/>
    <s v="GO45760"/>
    <s v="Pedido 1523"/>
    <d v="2025-04-12T00:00:00"/>
    <x v="127"/>
    <s v="PedidoF1459"/>
    <s v="CódRastreio1457"/>
    <n v="1"/>
    <s v="CPF 1482"/>
    <s v="Nome 1482"/>
    <s v="Tel 1482"/>
    <s v="Cep 1482"/>
    <s v="Rua 1482"/>
    <s v="Comp 1482"/>
    <s v="Ventilador Azul"/>
    <s v="H8-IH9B-M87L"/>
    <d v="2025-05-13T00:00:00"/>
    <n v="54.9"/>
    <n v="54.9"/>
    <n v="6.5879999999999992"/>
    <n v="48.31"/>
    <n v="22.51"/>
    <n v="0.21"/>
    <n v="0.39877104377104378"/>
    <n v="0"/>
    <n v="25.191228956228954"/>
    <n v="25.191228956228954"/>
    <x v="124"/>
    <x v="127"/>
    <x v="25"/>
    <d v="2025-06-02T00:00:00"/>
    <x v="6"/>
    <x v="0"/>
    <x v="7"/>
    <s v="ENTREGUE"/>
    <d v="2025-04-28T00:00:00"/>
    <x v="0"/>
    <m/>
    <n v="0"/>
    <n v="0"/>
    <n v="0"/>
    <n v="0"/>
    <n v="0"/>
  </r>
  <r>
    <x v="1"/>
    <s v="GO45760"/>
    <s v="Pedido 1524"/>
    <d v="2025-04-12T00:00:00"/>
    <x v="127"/>
    <s v="PedidoF1460"/>
    <s v="CódRastreio1458"/>
    <n v="1"/>
    <s v="CPF 1483"/>
    <s v="Nome 1483"/>
    <s v="Tel 1483"/>
    <s v="Cep 1483"/>
    <s v="Rua 1483"/>
    <s v="Comp 1483"/>
    <s v="Ventilador Rosa"/>
    <s v="MK-OUQW-7L3Z"/>
    <d v="2025-05-13T00:00:00"/>
    <n v="64.89"/>
    <n v="64.89"/>
    <n v="7.7867999999999995"/>
    <n v="57.1"/>
    <n v="22.17"/>
    <n v="0.21"/>
    <n v="0.39877104377104378"/>
    <n v="0"/>
    <n v="34.32122895622895"/>
    <n v="34.32122895622895"/>
    <x v="124"/>
    <x v="127"/>
    <x v="25"/>
    <d v="2025-06-02T00:00:00"/>
    <x v="6"/>
    <x v="0"/>
    <x v="7"/>
    <s v="ENTREGUE"/>
    <d v="2025-04-28T00:00:00"/>
    <x v="0"/>
    <m/>
    <n v="0"/>
    <n v="0"/>
    <n v="0"/>
    <n v="0"/>
    <n v="0"/>
  </r>
  <r>
    <x v="1"/>
    <s v="GO45761"/>
    <s v="Pedido 1525"/>
    <d v="2025-04-13T00:00:00"/>
    <x v="128"/>
    <s v="PedidoF1461"/>
    <s v="CódRastreio1459"/>
    <n v="1"/>
    <s v="CPF 1484"/>
    <s v="Nome 1484"/>
    <s v="Tel 1484"/>
    <s v="Cep 1484"/>
    <s v="Rua 1484"/>
    <s v="Comp 1484"/>
    <s v="Ventilador Azul"/>
    <s v="H8-IH9B-M87L"/>
    <d v="2025-05-07T00:00:00"/>
    <n v="64.89"/>
    <n v="64.89"/>
    <n v="7.7867999999999995"/>
    <n v="57.1"/>
    <n v="22.25"/>
    <n v="0.38"/>
    <n v="0.39877104377104378"/>
    <n v="0"/>
    <n v="34.071228956228957"/>
    <n v="34.071228956228957"/>
    <x v="118"/>
    <x v="121"/>
    <x v="24"/>
    <d v="2025-05-20T00:00:00"/>
    <x v="6"/>
    <x v="0"/>
    <x v="7"/>
    <s v="ENTREGUE"/>
    <d v="2025-04-28T00:00:00"/>
    <x v="0"/>
    <m/>
    <n v="0"/>
    <n v="0"/>
    <n v="0"/>
    <n v="0"/>
    <n v="0"/>
  </r>
  <r>
    <x v="2"/>
    <s v="MEI-"/>
    <s v="Pedido 1526"/>
    <d v="2025-04-12T00:00:00"/>
    <x v="0"/>
    <s v="-"/>
    <s v="-"/>
    <n v="1"/>
    <s v="CPF 1485"/>
    <s v="Nome 1485"/>
    <s v="Tel 1485"/>
    <s v="Cep 1485"/>
    <s v="Rua 1485"/>
    <s v="Comp 1485"/>
    <s v="Copo Termico"/>
    <s v="VI-4RT5-1FFO"/>
    <d v="2025-05-07T00:00:00"/>
    <n v="22.7"/>
    <n v="22.7"/>
    <n v="2.7239999999999998"/>
    <n v="19.98"/>
    <n v="0"/>
    <n v="0"/>
    <n v="0"/>
    <n v="0"/>
    <n v="19.98"/>
    <n v="9.99"/>
    <x v="118"/>
    <x v="121"/>
    <x v="24"/>
    <d v="2025-05-20T00:00:00"/>
    <x v="6"/>
    <x v="0"/>
    <x v="0"/>
    <s v="-"/>
    <s v="-"/>
    <x v="0"/>
    <m/>
    <n v="0"/>
    <n v="0"/>
    <n v="0"/>
    <n v="0"/>
    <n v="0"/>
  </r>
  <r>
    <x v="2"/>
    <s v="MEI45761"/>
    <s v="Pedido 1527"/>
    <d v="2025-04-13T00:00:00"/>
    <x v="128"/>
    <s v="PedidoF1462"/>
    <s v="CódRastreio1460"/>
    <n v="1"/>
    <s v="CPF 1486"/>
    <s v="Nome 1486"/>
    <s v="Tel 1486"/>
    <s v="Cep 1486"/>
    <s v="Rua 1486"/>
    <s v="Comp 1486"/>
    <s v="Suporte de Celular Branco"/>
    <s v="IQ-LISQ-0D65"/>
    <d v="2025-05-07T00:00:00"/>
    <n v="21.99"/>
    <n v="21.99"/>
    <n v="3.2984999999999998"/>
    <n v="18.690000000000001"/>
    <n v="9.99"/>
    <n v="0.43"/>
    <n v="0.39877104377104378"/>
    <n v="0"/>
    <n v="7.8712289562289577"/>
    <n v="3.9356144781144788"/>
    <x v="118"/>
    <x v="121"/>
    <x v="24"/>
    <d v="2025-05-20T00:00:00"/>
    <x v="6"/>
    <x v="0"/>
    <x v="7"/>
    <s v="ENTREGUE"/>
    <d v="2025-04-23T00:00:00"/>
    <x v="0"/>
    <m/>
    <n v="0"/>
    <n v="0"/>
    <n v="0"/>
    <n v="0"/>
    <n v="0"/>
  </r>
  <r>
    <x v="2"/>
    <s v="MEI45761"/>
    <s v="Pedido 1528"/>
    <d v="2025-04-13T00:00:00"/>
    <x v="128"/>
    <s v="PedidoF1463"/>
    <s v="CódRastreio1461"/>
    <n v="1"/>
    <s v="CPF 1487"/>
    <s v="Nome 1487"/>
    <s v="Tel 1487"/>
    <s v="Cep 1487"/>
    <s v="Rua 1487"/>
    <s v="Comp 1487"/>
    <s v="Suporte de Celular Branco"/>
    <s v="IQ-LISQ-0D65"/>
    <d v="2025-05-07T00:00:00"/>
    <n v="21.99"/>
    <n v="21.99"/>
    <n v="3.2984999999999998"/>
    <n v="18.690000000000001"/>
    <n v="9.99"/>
    <n v="0.43"/>
    <n v="0.39877104377104378"/>
    <n v="0"/>
    <n v="7.8712289562289577"/>
    <n v="3.9356144781144788"/>
    <x v="118"/>
    <x v="121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61"/>
    <s v="Pedido 1529"/>
    <d v="2025-04-13T00:00:00"/>
    <x v="128"/>
    <s v="PedidoF1464"/>
    <s v="CódRastreio1462"/>
    <n v="1"/>
    <s v="CPF 1488"/>
    <s v="Nome 1488"/>
    <s v="Tel 1488"/>
    <s v="Cep 1488"/>
    <s v="Rua 1488"/>
    <s v="Comp 1488"/>
    <s v="Suporte de Celular Branco"/>
    <s v="IQ-LISQ-0D65"/>
    <d v="2025-05-13T00:00:00"/>
    <n v="21.99"/>
    <n v="21.99"/>
    <n v="3.2984999999999998"/>
    <n v="18.690000000000001"/>
    <n v="6.99"/>
    <n v="0.43"/>
    <n v="0.39877104377104378"/>
    <n v="0"/>
    <n v="10.871228956228958"/>
    <n v="5.4356144781144788"/>
    <x v="124"/>
    <x v="127"/>
    <x v="25"/>
    <d v="2025-06-02T00:00:00"/>
    <x v="6"/>
    <x v="0"/>
    <x v="7"/>
    <s v="ENTREGUE"/>
    <d v="2025-04-24T00:00:00"/>
    <x v="0"/>
    <m/>
    <n v="0"/>
    <n v="0"/>
    <n v="0"/>
    <n v="0"/>
    <n v="0"/>
  </r>
  <r>
    <x v="2"/>
    <s v="MEI-"/>
    <s v="Pedido 1530"/>
    <d v="2025-04-14T00:00:00"/>
    <x v="0"/>
    <s v="-"/>
    <s v="-"/>
    <n v="1"/>
    <s v="CPF 1489"/>
    <s v="Nome 1489"/>
    <s v="Tel 1489"/>
    <s v="Cep 1489"/>
    <s v="Rua 1489"/>
    <s v="Comp 1489"/>
    <s v="Mini Liquidificador"/>
    <s v="A4-5W51-K3HF"/>
    <d v="2025-05-20T00:00:00"/>
    <n v="36.950000000000003"/>
    <n v="36.950000000000003"/>
    <n v="4.4340000000000002"/>
    <n v="32.520000000000003"/>
    <n v="0"/>
    <n v="0"/>
    <n v="0"/>
    <n v="0"/>
    <n v="32.520000000000003"/>
    <n v="16.260000000000002"/>
    <x v="129"/>
    <x v="132"/>
    <x v="25"/>
    <d v="2025-06-02T00:00:00"/>
    <x v="6"/>
    <x v="0"/>
    <x v="0"/>
    <s v="-"/>
    <s v="-"/>
    <x v="0"/>
    <m/>
    <n v="0"/>
    <n v="0"/>
    <n v="0"/>
    <n v="0"/>
    <n v="0"/>
  </r>
  <r>
    <x v="2"/>
    <s v="MEI45761"/>
    <s v="Pedido 1531"/>
    <d v="2025-04-14T00:00:00"/>
    <x v="128"/>
    <s v="PedidoF1465"/>
    <s v="CódRastreio1463"/>
    <n v="1"/>
    <s v="CPF 1490"/>
    <s v="Nome 1490"/>
    <s v="Tel 1490"/>
    <s v="Cep 1490"/>
    <s v="Rua 1490"/>
    <s v="Comp 1490"/>
    <s v="Maçarico Culinário Portátil"/>
    <s v="BG-DHRO-FAEE"/>
    <d v="2025-05-14T00:00:00"/>
    <n v="26.99"/>
    <n v="26.99"/>
    <n v="2.9688999999999997"/>
    <n v="24.02"/>
    <n v="14.44"/>
    <n v="0.43"/>
    <n v="0.39877104377104378"/>
    <n v="0"/>
    <n v="8.7512289562289567"/>
    <n v="4.3756144781144783"/>
    <x v="125"/>
    <x v="128"/>
    <x v="25"/>
    <d v="2025-06-02T00:00:00"/>
    <x v="6"/>
    <x v="0"/>
    <x v="7"/>
    <s v="ENTREGUE"/>
    <d v="2025-06-17T00:00:00"/>
    <x v="0"/>
    <m/>
    <n v="0"/>
    <n v="0"/>
    <n v="0"/>
    <n v="0"/>
    <n v="0"/>
  </r>
  <r>
    <x v="2"/>
    <s v="MEI45761"/>
    <s v="Pedido 1532"/>
    <d v="2025-04-14T00:00:00"/>
    <x v="128"/>
    <s v="PedidoF1466"/>
    <s v="CódRastreio1464"/>
    <n v="1"/>
    <s v="CPF 1491"/>
    <s v="Nome 1491"/>
    <s v="Tel 1491"/>
    <s v="Cep 1491"/>
    <s v="Rua 1491"/>
    <s v="Comp 1491"/>
    <s v="Maçarico Culinário Portátil"/>
    <s v="BG-DHRO-FAEE"/>
    <d v="2025-05-14T00:00:00"/>
    <n v="26.99"/>
    <n v="26.99"/>
    <n v="2.9688999999999997"/>
    <n v="24.02"/>
    <n v="0"/>
    <n v="0.43"/>
    <n v="0.39877104377104378"/>
    <n v="0"/>
    <n v="23.191228956228954"/>
    <n v="11.595614478114477"/>
    <x v="125"/>
    <x v="128"/>
    <x v="25"/>
    <d v="2025-06-02T00:00:00"/>
    <x v="6"/>
    <x v="0"/>
    <x v="7"/>
    <s v="ENTREGUE"/>
    <d v="2025-06-05T00:00:00"/>
    <x v="0"/>
    <m/>
    <n v="0"/>
    <n v="0"/>
    <n v="0"/>
    <n v="0"/>
    <n v="0"/>
  </r>
  <r>
    <x v="1"/>
    <s v="GO45761"/>
    <s v="Pedido 1533"/>
    <d v="2025-04-13T00:00:00"/>
    <x v="128"/>
    <s v="PedidoF1467"/>
    <s v="CódRastreio1465"/>
    <n v="1"/>
    <s v="CPF 1492"/>
    <s v="Nome 1492"/>
    <s v="Tel 1492"/>
    <s v="Cep 1492"/>
    <s v="Rua 1492"/>
    <s v="Comp 1492"/>
    <s v="Ventilador Preto"/>
    <s v="EP-9PIR-BWXH"/>
    <d v="2025-05-13T00:00:00"/>
    <n v="65.739999999999995"/>
    <n v="65.739999999999995"/>
    <n v="7.8887999999999989"/>
    <n v="57.85"/>
    <n v="37.85"/>
    <n v="0.38"/>
    <n v="0.39877104377104378"/>
    <n v="0"/>
    <n v="19.221228956228956"/>
    <n v="19.221228956228956"/>
    <x v="124"/>
    <x v="127"/>
    <x v="25"/>
    <d v="2025-06-02T00:00:00"/>
    <x v="6"/>
    <x v="0"/>
    <x v="7"/>
    <s v="ENTREGUE"/>
    <d v="2025-05-02T00:00:00"/>
    <x v="0"/>
    <m/>
    <n v="0"/>
    <n v="0"/>
    <n v="0"/>
    <n v="0"/>
    <n v="0"/>
  </r>
  <r>
    <x v="1"/>
    <s v="GO45761"/>
    <s v="Pedido 1534"/>
    <d v="2025-04-14T00:00:00"/>
    <x v="128"/>
    <s v="PedidoF1468"/>
    <s v="CódRastreio1466"/>
    <n v="1"/>
    <s v="CPF 1493"/>
    <s v="Nome 1493"/>
    <s v="Tel 1493"/>
    <s v="Cep 1493"/>
    <s v="Rua 1493"/>
    <s v="Comp 1493"/>
    <s v="Ventilador Rosa"/>
    <s v="MK-OUQW-7L3Z"/>
    <d v="2025-05-14T00:00:00"/>
    <n v="64.89"/>
    <n v="64.89"/>
    <n v="7.7867999999999995"/>
    <n v="57.1"/>
    <n v="22.77"/>
    <n v="0.38"/>
    <n v="0.39877104377104378"/>
    <n v="0"/>
    <n v="33.551228956228954"/>
    <n v="33.551228956228954"/>
    <x v="125"/>
    <x v="128"/>
    <x v="25"/>
    <d v="2025-06-02T00:00:00"/>
    <x v="6"/>
    <x v="0"/>
    <x v="7"/>
    <s v="ENTREGUE"/>
    <d v="2025-05-05T00:00:00"/>
    <x v="0"/>
    <m/>
    <n v="0"/>
    <n v="0"/>
    <n v="0"/>
    <n v="0"/>
    <n v="0"/>
  </r>
  <r>
    <x v="1"/>
    <s v="GO45761"/>
    <s v="Pedido 1535"/>
    <d v="2025-04-14T00:00:00"/>
    <x v="128"/>
    <s v="PedidoF1469"/>
    <s v="CódRastreio1467"/>
    <n v="1"/>
    <s v="CPF 1494"/>
    <s v="Nome 1494"/>
    <s v="Tel 1494"/>
    <s v="Cep 1494"/>
    <s v="Rua 1494"/>
    <s v="Comp 1494"/>
    <s v="Ventilador Preto"/>
    <s v="EP-9PIR-BWXH"/>
    <d v="2025-05-08T00:00:00"/>
    <n v="65.739999999999995"/>
    <n v="65.739999999999995"/>
    <n v="7.8887999999999989"/>
    <n v="57.85"/>
    <n v="14.85"/>
    <n v="0.38"/>
    <n v="0.39877104377104378"/>
    <n v="0"/>
    <n v="42.221228956228956"/>
    <n v="42.221228956228956"/>
    <x v="119"/>
    <x v="122"/>
    <x v="24"/>
    <d v="2025-05-20T00:00:00"/>
    <x v="6"/>
    <x v="0"/>
    <x v="7"/>
    <s v="ENTREGUE"/>
    <d v="2025-04-30T00:00:00"/>
    <x v="0"/>
    <m/>
    <n v="0"/>
    <n v="0"/>
    <n v="0"/>
    <n v="0"/>
    <n v="0"/>
  </r>
  <r>
    <x v="2"/>
    <s v="MEI45762"/>
    <s v="Pedido 1536"/>
    <d v="2025-04-15T00:00:00"/>
    <x v="129"/>
    <s v="PedidoF1470"/>
    <s v="CódRastreio1468"/>
    <n v="1"/>
    <s v="CPF 1495"/>
    <s v="Nome 1495"/>
    <s v="Tel 1495"/>
    <s v="Cep 1495"/>
    <s v="Rua 1495"/>
    <s v="Comp 1495"/>
    <s v="Copo Termico"/>
    <s v="VI-4RT5-1FFO"/>
    <d v="2025-05-09T00:00:00"/>
    <n v="22.7"/>
    <n v="22.7"/>
    <n v="2.7239999999999998"/>
    <n v="19.98"/>
    <n v="10.1"/>
    <n v="0.2"/>
    <n v="0.39877104377104378"/>
    <n v="0"/>
    <n v="9.2812289562289578"/>
    <n v="4.6406144781144789"/>
    <x v="120"/>
    <x v="123"/>
    <x v="24"/>
    <d v="2025-05-20T00:00:00"/>
    <x v="6"/>
    <x v="0"/>
    <x v="7"/>
    <s v="ENTREGUE"/>
    <d v="2025-04-25T00:00:00"/>
    <x v="0"/>
    <m/>
    <n v="0"/>
    <n v="0"/>
    <n v="0"/>
    <n v="0"/>
    <n v="0"/>
  </r>
  <r>
    <x v="2"/>
    <s v="MEI45762"/>
    <s v="Pedido 1537"/>
    <d v="2025-04-15T00:00:00"/>
    <x v="129"/>
    <s v="PedidoF1471"/>
    <s v="CódRastreio1469"/>
    <n v="1"/>
    <s v="CPF 1496"/>
    <s v="Nome 1496"/>
    <s v="Tel 1496"/>
    <s v="Cep 1496"/>
    <s v="Rua 1496"/>
    <s v="Comp 1496"/>
    <s v="Maçarico Culinário Portátil"/>
    <s v="BG-DHRO-FAEE"/>
    <d v="2025-05-15T00:00:00"/>
    <n v="26.99"/>
    <n v="26.99"/>
    <n v="2.9688999999999997"/>
    <n v="24.02"/>
    <n v="14.84"/>
    <n v="0.2"/>
    <n v="0.39877104377104378"/>
    <n v="0"/>
    <n v="8.5812289562289568"/>
    <n v="4.2906144781144784"/>
    <x v="126"/>
    <x v="129"/>
    <x v="25"/>
    <d v="2025-06-02T00:00:00"/>
    <x v="6"/>
    <x v="0"/>
    <x v="7"/>
    <s v="ENTREGUE"/>
    <d v="2025-05-14T00:00:00"/>
    <x v="0"/>
    <m/>
    <n v="0"/>
    <n v="0"/>
    <n v="0"/>
    <n v="0"/>
    <n v="0"/>
  </r>
  <r>
    <x v="2"/>
    <s v="MEI-"/>
    <s v="Pedido 1538"/>
    <d v="2025-04-15T00:00:00"/>
    <x v="0"/>
    <s v="-"/>
    <s v="-"/>
    <n v="1"/>
    <s v="CPF 1497"/>
    <s v="Nome 1497"/>
    <s v="Tel 1497"/>
    <s v="Cep 1497"/>
    <s v="Rua 1497"/>
    <s v="Comp 1497"/>
    <s v="Maçarico Culinário Portátil"/>
    <s v="BG-DHRO-FAEE"/>
    <d v="2025-05-09T00:00:00"/>
    <n v="26.99"/>
    <n v="26.99"/>
    <n v="2.9688999999999997"/>
    <n v="24.02"/>
    <n v="0"/>
    <n v="0"/>
    <n v="0"/>
    <n v="0"/>
    <n v="24.02"/>
    <n v="12.01"/>
    <x v="120"/>
    <x v="123"/>
    <x v="24"/>
    <d v="2025-05-20T00:00:00"/>
    <x v="6"/>
    <x v="0"/>
    <x v="0"/>
    <s v="-"/>
    <s v="-"/>
    <x v="0"/>
    <m/>
    <n v="0"/>
    <n v="0"/>
    <n v="0"/>
    <n v="0"/>
    <n v="0"/>
  </r>
  <r>
    <x v="2"/>
    <s v="MEI-"/>
    <s v="Pedido 1539"/>
    <d v="2025-04-15T00:00:00"/>
    <x v="0"/>
    <s v="-"/>
    <s v="-"/>
    <n v="1"/>
    <s v="CPF 1498"/>
    <s v="Nome 1498"/>
    <s v="Tel 1498"/>
    <s v="Cep 1498"/>
    <s v="Rua 1498"/>
    <s v="Comp 1498"/>
    <s v="Mini Liquidificador"/>
    <s v="A4-5W51-K3HF"/>
    <d v="2025-05-22T00:00:00"/>
    <n v="36.950000000000003"/>
    <n v="36.950000000000003"/>
    <n v="4.4340000000000002"/>
    <n v="32.520000000000003"/>
    <n v="0"/>
    <n v="0"/>
    <n v="0"/>
    <n v="0"/>
    <n v="32.520000000000003"/>
    <n v="16.260000000000002"/>
    <x v="130"/>
    <x v="133"/>
    <x v="25"/>
    <d v="2025-06-02T00:00:00"/>
    <x v="6"/>
    <x v="0"/>
    <x v="0"/>
    <s v="-"/>
    <s v="-"/>
    <x v="0"/>
    <m/>
    <n v="0"/>
    <n v="0"/>
    <n v="0"/>
    <n v="0"/>
    <n v="0"/>
  </r>
  <r>
    <x v="2"/>
    <s v="MEI45768"/>
    <s v="Pedido 1540"/>
    <d v="2025-04-16T00:00:00"/>
    <x v="131"/>
    <s v="PedidoF1472"/>
    <s v="CódRastreio1470"/>
    <n v="1"/>
    <s v="CPF 1499"/>
    <s v="Nome 1499"/>
    <s v="Tel 1499"/>
    <s v="Cep 1499"/>
    <s v="Rua 1499"/>
    <s v="Comp 1499"/>
    <s v="Copo Termico"/>
    <s v="VI-4RT5-1FFO"/>
    <d v="2025-05-09T00:00:00"/>
    <n v="22.7"/>
    <n v="22.7"/>
    <n v="2.7239999999999998"/>
    <n v="19.98"/>
    <n v="11.92"/>
    <n v="1.17"/>
    <n v="0.39877104377104378"/>
    <n v="0"/>
    <n v="6.4912289562289569"/>
    <n v="3.2456144781144785"/>
    <x v="120"/>
    <x v="123"/>
    <x v="24"/>
    <d v="2025-05-20T00:00:00"/>
    <x v="6"/>
    <x v="0"/>
    <x v="7"/>
    <s v="ENTREGUE"/>
    <d v="2025-04-29T00:00:00"/>
    <x v="0"/>
    <m/>
    <n v="0"/>
    <n v="0"/>
    <n v="0"/>
    <n v="0"/>
    <n v="0"/>
  </r>
  <r>
    <x v="2"/>
    <s v="MEI45769"/>
    <s v="Pedido 1541"/>
    <d v="2025-04-16T00:00:00"/>
    <x v="132"/>
    <s v="PedidoF1473"/>
    <s v="CódRastreio1471"/>
    <n v="1"/>
    <s v="CPF 1500"/>
    <s v="Nome 1500"/>
    <s v="Tel 1500"/>
    <s v="Cep 1500"/>
    <s v="Rua 1500"/>
    <s v="Comp 1500"/>
    <s v="Maçarico Culinário Portátil"/>
    <s v="BG-DHRO-FAEE"/>
    <d v="2025-05-16T00:00:00"/>
    <n v="26.99"/>
    <n v="26.99"/>
    <n v="2.9688999999999997"/>
    <n v="24.02"/>
    <n v="16.5"/>
    <n v="0.18"/>
    <n v="0.39877104377104378"/>
    <n v="0"/>
    <n v="6.9412289562289544"/>
    <n v="3.4706144781144772"/>
    <x v="127"/>
    <x v="130"/>
    <x v="25"/>
    <d v="2025-06-02T00:00:00"/>
    <x v="6"/>
    <x v="0"/>
    <x v="7"/>
    <s v="ENTREGUE"/>
    <d v="2025-05-13T00:00:00"/>
    <x v="0"/>
    <m/>
    <n v="0"/>
    <n v="0"/>
    <n v="0"/>
    <n v="0"/>
    <n v="0"/>
  </r>
  <r>
    <x v="2"/>
    <s v="MEI45769"/>
    <s v="Pedido 1542"/>
    <d v="2025-04-16T00:00:00"/>
    <x v="132"/>
    <s v="PedidoF1474"/>
    <s v="CódRastreio1472"/>
    <n v="1"/>
    <s v="CPF 1501"/>
    <s v="Nome 1501"/>
    <s v="Tel 1501"/>
    <s v="Cep 1501"/>
    <s v="Rua 1501"/>
    <s v="Comp 1501"/>
    <s v="Maçarico Culinário Portátil"/>
    <s v="BG-DHRO-FAEE"/>
    <d v="2025-05-16T00:00:00"/>
    <n v="26.99"/>
    <n v="26.99"/>
    <n v="2.9688999999999997"/>
    <n v="24.02"/>
    <n v="0"/>
    <n v="0.18"/>
    <n v="0.39877104377104378"/>
    <n v="0"/>
    <n v="23.441228956228954"/>
    <n v="11.720614478114477"/>
    <x v="127"/>
    <x v="130"/>
    <x v="25"/>
    <d v="2025-06-02T00:00:00"/>
    <x v="6"/>
    <x v="0"/>
    <x v="7"/>
    <s v="ENTREGUE"/>
    <d v="2025-06-17T00:00:00"/>
    <x v="0"/>
    <m/>
    <n v="0"/>
    <n v="0"/>
    <n v="0"/>
    <n v="0"/>
    <n v="0"/>
  </r>
  <r>
    <x v="2"/>
    <s v="MEI45768"/>
    <s v="Pedido 1543"/>
    <d v="2025-04-16T00:00:00"/>
    <x v="131"/>
    <s v="PedidoF1475"/>
    <s v="CódRastreio1473"/>
    <n v="1"/>
    <s v="CPF 1502"/>
    <s v="Nome 1502"/>
    <s v="Tel 1502"/>
    <s v="Cep 1502"/>
    <s v="Rua 1502"/>
    <s v="Comp 1502"/>
    <s v="Ventilador Rosa"/>
    <s v="WR-82Y0-OV27"/>
    <d v="2025-05-16T00:00:00"/>
    <n v="64.89"/>
    <n v="64.89"/>
    <n v="7.7867999999999995"/>
    <n v="57.1"/>
    <n v="22.62"/>
    <n v="1.17"/>
    <n v="0.39877104377104378"/>
    <n v="0"/>
    <n v="32.911228956228953"/>
    <n v="16.455614478114477"/>
    <x v="127"/>
    <x v="130"/>
    <x v="25"/>
    <d v="2025-06-02T00:00:00"/>
    <x v="6"/>
    <x v="0"/>
    <x v="7"/>
    <s v="ENTREGUE"/>
    <d v="2025-05-09T00:00:00"/>
    <x v="0"/>
    <m/>
    <n v="0"/>
    <n v="0"/>
    <n v="0"/>
    <n v="0"/>
    <n v="0"/>
  </r>
  <r>
    <x v="2"/>
    <s v="MEI45769"/>
    <s v="Pedido 1544"/>
    <d v="2025-04-16T00:00:00"/>
    <x v="132"/>
    <s v="PedidoF1476"/>
    <s v="CódRastreio1474"/>
    <n v="1"/>
    <s v="CPF 1503"/>
    <s v="Nome 1503"/>
    <s v="Tel 1503"/>
    <s v="Cep 1503"/>
    <s v="Rua 1503"/>
    <s v="Comp 1503"/>
    <s v="Maçarico Culinário Portátil"/>
    <s v="BG-DHRO-FAEE"/>
    <d v="2025-05-16T00:00:00"/>
    <n v="26.99"/>
    <n v="26.99"/>
    <n v="2.9688999999999997"/>
    <n v="24.02"/>
    <n v="16.5"/>
    <n v="0.18"/>
    <n v="0.39877104377104378"/>
    <n v="0"/>
    <n v="6.9412289562289544"/>
    <n v="3.4706144781144772"/>
    <x v="127"/>
    <x v="130"/>
    <x v="25"/>
    <d v="2025-06-02T00:00:00"/>
    <x v="6"/>
    <x v="0"/>
    <x v="7"/>
    <s v="ENTREGUE"/>
    <d v="2025-05-27T00:00:00"/>
    <x v="0"/>
    <m/>
    <n v="0"/>
    <n v="0"/>
    <n v="0"/>
    <n v="0"/>
    <n v="0"/>
  </r>
  <r>
    <x v="1"/>
    <s v="GO45768"/>
    <s v="Pedido 1545"/>
    <d v="2025-04-16T00:00:00"/>
    <x v="131"/>
    <s v="PedidoF1477"/>
    <s v="CódRastreio1475"/>
    <n v="1"/>
    <s v="CPF 1504"/>
    <s v="Nome 1504"/>
    <s v="Tel 1504"/>
    <s v="Cep 1504"/>
    <s v="Rua 1504"/>
    <s v="Comp 1504"/>
    <s v="Ventilador Azul"/>
    <s v="H8-IH9B-M87L"/>
    <d v="2025-05-22T00:00:00"/>
    <n v="64.89"/>
    <n v="64.89"/>
    <n v="7.7867999999999995"/>
    <n v="57.1"/>
    <n v="22.11"/>
    <n v="0.25"/>
    <n v="0.39877104377104378"/>
    <n v="0"/>
    <n v="34.34122895622896"/>
    <n v="34.34122895622896"/>
    <x v="130"/>
    <x v="133"/>
    <x v="25"/>
    <d v="2025-06-02T00:00:00"/>
    <x v="6"/>
    <x v="0"/>
    <x v="7"/>
    <s v="ENTREGUE"/>
    <d v="2025-05-26T00:00:00"/>
    <x v="0"/>
    <m/>
    <n v="0"/>
    <n v="0"/>
    <n v="0"/>
    <n v="0"/>
    <n v="0"/>
  </r>
  <r>
    <x v="2"/>
    <s v="MEI45771"/>
    <s v="Pedido 1546"/>
    <d v="2025-04-16T00:00:00"/>
    <x v="133"/>
    <s v="PedidoF1478"/>
    <s v="CódRastreio1476"/>
    <n v="1"/>
    <s v="CPF 1505"/>
    <s v="Nome 1505"/>
    <s v="Tel 1505"/>
    <s v="Cep 1505"/>
    <s v="Rua 1505"/>
    <s v="Comp 1505"/>
    <s v="Maçarico Culinário Portátil"/>
    <s v="BG-DHRO-FAEE"/>
    <d v="2025-05-16T00:00:00"/>
    <n v="26.99"/>
    <n v="26.99"/>
    <n v="2.9688999999999997"/>
    <n v="24.02"/>
    <n v="10.210000000000001"/>
    <n v="0.28999999999999998"/>
    <n v="0.39877104377104378"/>
    <n v="0"/>
    <n v="13.121228956228956"/>
    <n v="6.560614478114478"/>
    <x v="127"/>
    <x v="130"/>
    <x v="25"/>
    <d v="2025-06-02T00:00:00"/>
    <x v="6"/>
    <x v="0"/>
    <x v="7"/>
    <s v="ENTREGUE"/>
    <d v="2025-05-13T00:00:00"/>
    <x v="0"/>
    <m/>
    <n v="0"/>
    <n v="0"/>
    <n v="0"/>
    <n v="0"/>
    <n v="0"/>
  </r>
  <r>
    <x v="2"/>
    <s v="MEI45771"/>
    <s v="Pedido 1547"/>
    <d v="2025-04-16T00:00:00"/>
    <x v="133"/>
    <s v="PedidoF1479"/>
    <s v="CódRastreio1477"/>
    <n v="1"/>
    <s v="CPF 1505"/>
    <s v="Nome 1505"/>
    <s v="Tel 1505"/>
    <s v="Cep 1505"/>
    <s v="Rua 1505"/>
    <s v="Comp 1505"/>
    <s v="Maçarico Culinário Portátil"/>
    <s v="BG-DHRO-FAEE"/>
    <d v="2025-05-16T00:00:00"/>
    <n v="26.99"/>
    <n v="26.99"/>
    <n v="2.9688999999999997"/>
    <n v="24.02"/>
    <n v="16.149999999999999"/>
    <n v="0.28999999999999998"/>
    <n v="0.39877104377104378"/>
    <n v="0"/>
    <n v="7.1812289562289564"/>
    <n v="3.5906144781144782"/>
    <x v="127"/>
    <x v="130"/>
    <x v="25"/>
    <d v="2025-06-02T00:00:00"/>
    <x v="6"/>
    <x v="0"/>
    <x v="7"/>
    <s v="ENTREGUE"/>
    <d v="2025-05-12T00:00:00"/>
    <x v="0"/>
    <m/>
    <n v="0"/>
    <n v="0"/>
    <n v="0"/>
    <n v="0"/>
    <n v="0"/>
  </r>
  <r>
    <x v="1"/>
    <s v="GO-"/>
    <s v="Pedido 1548"/>
    <d v="2025-04-17T00:00:00"/>
    <x v="0"/>
    <s v="-"/>
    <s v="-"/>
    <n v="1"/>
    <s v="CPF 1507"/>
    <s v="Nome 1507"/>
    <s v="Tel 1507"/>
    <s v="Cep 1507"/>
    <s v="Rua 1507"/>
    <s v="Comp 1507"/>
    <s v="Ventilador Preto"/>
    <s v="EP-9PIR-BWXH"/>
    <d v="2025-05-24T00:00:00"/>
    <n v="65.739999999999995"/>
    <n v="65.739999999999995"/>
    <n v="7.8887999999999989"/>
    <n v="57.85"/>
    <n v="0"/>
    <n v="0"/>
    <n v="0"/>
    <n v="0"/>
    <n v="57.85"/>
    <n v="57.85"/>
    <x v="131"/>
    <x v="134"/>
    <x v="26"/>
    <d v="2025-06-20T00:00:00"/>
    <x v="6"/>
    <x v="0"/>
    <x v="0"/>
    <s v="-"/>
    <s v="-"/>
    <x v="0"/>
    <m/>
    <n v="0"/>
    <n v="0"/>
    <n v="0"/>
    <n v="0"/>
    <n v="0"/>
  </r>
  <r>
    <x v="1"/>
    <s v="GO45768"/>
    <s v="Pedido 1549"/>
    <d v="2025-04-17T00:00:00"/>
    <x v="131"/>
    <s v="PedidoF1480"/>
    <s v="CódRastreio1478"/>
    <n v="1"/>
    <s v="CPF 1508"/>
    <s v="Nome 1508"/>
    <s v="Tel 1508"/>
    <s v="Cep 1508"/>
    <s v="Rua 1508"/>
    <s v="Comp 1508"/>
    <s v="Cortador de Legumes"/>
    <s v="33-SVS5-1AWY"/>
    <d v="2025-05-13T00:00:00"/>
    <n v="67.599999999999994"/>
    <n v="67.599999999999994"/>
    <n v="8.1119999999999983"/>
    <n v="59.49"/>
    <n v="44.03"/>
    <n v="0.25"/>
    <n v="0.39877104377104378"/>
    <n v="0"/>
    <n v="14.811228956228959"/>
    <n v="14.811228956228959"/>
    <x v="124"/>
    <x v="127"/>
    <x v="25"/>
    <d v="2025-06-02T00:00:00"/>
    <x v="6"/>
    <x v="0"/>
    <x v="7"/>
    <s v="ENTREGUE"/>
    <d v="2025-04-29T00:00:00"/>
    <x v="0"/>
    <m/>
    <n v="0"/>
    <n v="0"/>
    <n v="0"/>
    <n v="0"/>
    <n v="0"/>
  </r>
  <r>
    <x v="1"/>
    <s v="GO45768"/>
    <s v="Pedido 1550"/>
    <d v="2025-04-17T00:00:00"/>
    <x v="131"/>
    <s v="PedidoF1481"/>
    <s v="CódRastreio1479"/>
    <n v="1"/>
    <s v="CPF 1509"/>
    <s v="Nome 1509"/>
    <s v="Tel 1509"/>
    <s v="Cep 1509"/>
    <s v="Rua 1509"/>
    <s v="Comp 1509"/>
    <s v="Ventilador Rosa"/>
    <s v="MK-OUQW-7L3Z"/>
    <d v="2025-05-13T00:00:00"/>
    <n v="64.89"/>
    <n v="64.89"/>
    <n v="7.7867999999999995"/>
    <n v="57.1"/>
    <n v="21.77"/>
    <n v="0.25"/>
    <n v="0.39877104377104378"/>
    <n v="0"/>
    <n v="34.681228956228956"/>
    <n v="34.681228956228956"/>
    <x v="124"/>
    <x v="127"/>
    <x v="25"/>
    <d v="2025-06-02T00:00:00"/>
    <x v="6"/>
    <x v="0"/>
    <x v="7"/>
    <s v="ENTREGUE"/>
    <d v="2025-05-13T00:00:00"/>
    <x v="0"/>
    <m/>
    <n v="0"/>
    <n v="0"/>
    <n v="0"/>
    <n v="0"/>
    <n v="0"/>
  </r>
  <r>
    <x v="2"/>
    <s v="MEI45768"/>
    <s v="Pedido 1551"/>
    <d v="2025-04-21T00:00:00"/>
    <x v="131"/>
    <s v="PedidoF1482"/>
    <s v="CódRastreio1480"/>
    <n v="1"/>
    <s v="CPF 1510"/>
    <s v="Nome 1510"/>
    <s v="Tel 1510"/>
    <s v="Cep 1510"/>
    <s v="Rua 1510"/>
    <s v="Comp 1510"/>
    <s v="Ventilador Rosa"/>
    <s v="WR-82Y0-OV27"/>
    <d v="2025-05-24T00:00:00"/>
    <n v="64.89"/>
    <n v="64.89"/>
    <n v="7.7867999999999995"/>
    <n v="57.1"/>
    <n v="0"/>
    <n v="1.17"/>
    <n v="0.39877104377104378"/>
    <n v="0"/>
    <n v="55.531228956228958"/>
    <n v="27.765614478114479"/>
    <x v="131"/>
    <x v="134"/>
    <x v="26"/>
    <d v="2025-06-20T00:00:00"/>
    <x v="6"/>
    <x v="0"/>
    <x v="7"/>
    <s v="ENTREGUE"/>
    <d v="2025-06-23T10:04:30"/>
    <x v="0"/>
    <m/>
    <n v="0"/>
    <n v="0"/>
    <n v="0"/>
    <n v="0"/>
    <n v="0"/>
  </r>
  <r>
    <x v="2"/>
    <s v="MEI45769"/>
    <s v="Pedido 1552"/>
    <d v="2025-04-21T00:00:00"/>
    <x v="132"/>
    <s v="PedidoF1483"/>
    <s v="CódRastreio1481"/>
    <n v="1"/>
    <s v="CPF 1511"/>
    <s v="Nome 1511"/>
    <s v="Tel 1511"/>
    <s v="Cep 1511"/>
    <s v="Rua 1511"/>
    <s v="Comp 1511"/>
    <s v="Maçarico Culinário Portátil"/>
    <s v="BG-DHRO-FAEE"/>
    <d v="2025-05-13T00:00:00"/>
    <n v="26.99"/>
    <n v="26.99"/>
    <n v="2.9688999999999997"/>
    <n v="24.02"/>
    <n v="10.19"/>
    <n v="0.18"/>
    <n v="0.39877104377104378"/>
    <n v="0"/>
    <n v="13.251228956228957"/>
    <n v="6.6256144781144783"/>
    <x v="124"/>
    <x v="127"/>
    <x v="25"/>
    <d v="2025-06-02T00:00:00"/>
    <x v="6"/>
    <x v="0"/>
    <x v="7"/>
    <s v="ENTREGUE"/>
    <d v="2025-05-26T00:00:00"/>
    <x v="0"/>
    <m/>
    <n v="0"/>
    <n v="0"/>
    <n v="0"/>
    <n v="0"/>
    <n v="0"/>
  </r>
  <r>
    <x v="0"/>
    <s v="BV45768"/>
    <s v="Pedido 1553"/>
    <d v="2025-04-19T00:00:00"/>
    <x v="131"/>
    <s v="PedidoF1484"/>
    <s v="CódRastreio1482"/>
    <n v="1"/>
    <s v="CPF 1512"/>
    <s v="Nome 1512"/>
    <s v="Tel 1512"/>
    <s v="Cep 1512"/>
    <s v="Rua 1512"/>
    <s v="Comp 1512"/>
    <s v="Copo Termico"/>
    <s v="KN-TBQL-K2MM"/>
    <d v="2025-05-13T00:00:00"/>
    <n v="22.7"/>
    <n v="22.7"/>
    <n v="2.7239999999999998"/>
    <n v="19.98"/>
    <n v="11.92"/>
    <n v="0.25"/>
    <n v="0.39877104377104378"/>
    <n v="0"/>
    <n v="7.4112289562289568"/>
    <n v="3.7056144781144784"/>
    <x v="124"/>
    <x v="127"/>
    <x v="25"/>
    <d v="2025-06-02T00:00:00"/>
    <x v="6"/>
    <x v="0"/>
    <x v="7"/>
    <s v="ENTREGUE"/>
    <d v="2025-04-30T00:00:00"/>
    <x v="0"/>
    <m/>
    <n v="0"/>
    <n v="0"/>
    <n v="0"/>
    <n v="0"/>
    <n v="0"/>
  </r>
  <r>
    <x v="0"/>
    <s v="BV45768"/>
    <s v="Pedido 1554"/>
    <d v="2025-04-20T00:00:00"/>
    <x v="131"/>
    <s v="PedidoF1485"/>
    <s v="CódRastreio1483"/>
    <n v="1"/>
    <s v="CPF 1513"/>
    <s v="Nome 1513"/>
    <s v="Tel 1513"/>
    <s v="Cep 1513"/>
    <s v="Rua 1513"/>
    <s v="Comp 1513"/>
    <s v="Ventilador Umidificador Preto"/>
    <s v="HF-SI0F-XC7S"/>
    <d v="2025-05-17T00:00:00"/>
    <n v="51"/>
    <n v="51"/>
    <n v="5.61"/>
    <n v="45.39"/>
    <n v="38.450000000000003"/>
    <n v="0.25"/>
    <n v="0.39877104377104378"/>
    <n v="0"/>
    <n v="6.2912289562289558"/>
    <n v="3.1456144781144779"/>
    <x v="128"/>
    <x v="131"/>
    <x v="25"/>
    <d v="2025-06-02T00:00:00"/>
    <x v="6"/>
    <x v="0"/>
    <x v="7"/>
    <s v="ENTREGUE"/>
    <d v="2025-06-18T00:00:00"/>
    <x v="0"/>
    <m/>
    <n v="0"/>
    <n v="0"/>
    <n v="0"/>
    <n v="0"/>
    <n v="0"/>
  </r>
  <r>
    <x v="1"/>
    <s v="GO45768"/>
    <s v="Pedido 1555"/>
    <d v="2025-04-19T00:00:00"/>
    <x v="131"/>
    <s v="PedidoF1486"/>
    <s v="CódRastreio1484"/>
    <n v="1"/>
    <s v="CPF 1514"/>
    <s v="Nome 1514"/>
    <s v="Tel 1514"/>
    <s v="Cep 1514"/>
    <s v="Rua 1514"/>
    <s v="Comp 1514"/>
    <s v="Ventilador Preto"/>
    <s v="EP-9PIR-BWXH"/>
    <d v="2025-05-13T00:00:00"/>
    <n v="65.739999999999995"/>
    <n v="65.739999999999995"/>
    <n v="7.8887999999999989"/>
    <n v="57.85"/>
    <n v="21.89"/>
    <n v="0.25"/>
    <n v="0.39877104377104378"/>
    <n v="0"/>
    <n v="35.311228956228959"/>
    <n v="35.311228956228959"/>
    <x v="124"/>
    <x v="127"/>
    <x v="25"/>
    <d v="2025-06-02T00:00:00"/>
    <x v="6"/>
    <x v="0"/>
    <x v="7"/>
    <s v="ENTREGUE"/>
    <d v="2025-05-24T00:00:00"/>
    <x v="0"/>
    <m/>
    <n v="0"/>
    <n v="0"/>
    <n v="0"/>
    <n v="0"/>
    <n v="0"/>
  </r>
  <r>
    <x v="1"/>
    <s v="GO45768"/>
    <s v="Pedido 1556"/>
    <d v="2025-04-21T00:00:00"/>
    <x v="131"/>
    <s v="PedidoF1487"/>
    <s v="CódRastreio1485"/>
    <n v="1"/>
    <s v="CPF 1515"/>
    <s v="Nome 1515"/>
    <s v="Tel 1515"/>
    <s v="Cep 1515"/>
    <s v="Rua 1515"/>
    <s v="Comp 1515"/>
    <s v="Ventilador Rosa"/>
    <s v="MK-OUQW-7L3Z"/>
    <d v="2025-05-24T00:00:00"/>
    <n v="64.89"/>
    <n v="64.89"/>
    <n v="7.7867999999999995"/>
    <n v="57.1"/>
    <n v="0"/>
    <n v="0.25"/>
    <n v="0.39877104377104378"/>
    <n v="0"/>
    <n v="56.45122895622896"/>
    <n v="56.45122895622896"/>
    <x v="131"/>
    <x v="134"/>
    <x v="26"/>
    <d v="2025-06-20T00:00:00"/>
    <x v="6"/>
    <x v="0"/>
    <x v="7"/>
    <s v="ENTREGUE"/>
    <d v="2025-06-10T00:00:00"/>
    <x v="0"/>
    <m/>
    <n v="0"/>
    <n v="0"/>
    <n v="0"/>
    <n v="0"/>
    <n v="0"/>
  </r>
  <r>
    <x v="1"/>
    <s v="GO45768"/>
    <s v="Pedido 1557"/>
    <d v="2025-04-21T00:00:00"/>
    <x v="131"/>
    <s v="PedidoF1488"/>
    <s v="CódRastreio1486"/>
    <n v="1"/>
    <s v="CPF 1516"/>
    <s v="Nome 1516"/>
    <s v="Tel 1516"/>
    <s v="Cep 1516"/>
    <s v="Rua 1516"/>
    <s v="Comp 1516"/>
    <s v="Cortador de Legumes"/>
    <s v="33-SVS5-1AWY"/>
    <d v="2025-05-24T00:00:00"/>
    <n v="67.599999999999994"/>
    <n v="67.599999999999994"/>
    <n v="8.1119999999999983"/>
    <n v="59.49"/>
    <n v="0"/>
    <n v="0.25"/>
    <n v="0.39877104377104378"/>
    <n v="0"/>
    <n v="58.84122895622896"/>
    <n v="58.84122895622896"/>
    <x v="131"/>
    <x v="134"/>
    <x v="26"/>
    <d v="2025-06-20T00:00:00"/>
    <x v="6"/>
    <x v="0"/>
    <x v="7"/>
    <s v="ENTREGUE"/>
    <d v="2025-06-03T00:00:00"/>
    <x v="0"/>
    <m/>
    <n v="0"/>
    <n v="0"/>
    <n v="0"/>
    <n v="0"/>
    <n v="0"/>
  </r>
  <r>
    <x v="2"/>
    <s v="MEI45769"/>
    <s v="Pedido 1558"/>
    <d v="2025-04-21T00:00:00"/>
    <x v="132"/>
    <s v="PedidoF1489"/>
    <s v="CódRastreio1487"/>
    <n v="1"/>
    <s v="CPF 1517"/>
    <s v="Nome 1517"/>
    <s v="Tel 1517"/>
    <s v="Cep 1517"/>
    <s v="Rua 1517"/>
    <s v="Comp 1517"/>
    <s v="Maçarico Culinário Portátil"/>
    <s v="BG-DHRO-FAEE"/>
    <d v="2025-05-17T00:00:00"/>
    <n v="26.99"/>
    <n v="26.99"/>
    <n v="2.9688999999999997"/>
    <n v="24.02"/>
    <n v="0"/>
    <n v="0.18"/>
    <n v="0.39877104377104378"/>
    <n v="0"/>
    <n v="23.441228956228954"/>
    <n v="11.720614478114477"/>
    <x v="128"/>
    <x v="131"/>
    <x v="25"/>
    <d v="2025-06-02T00:00:00"/>
    <x v="6"/>
    <x v="0"/>
    <x v="7"/>
    <s v="ENTREGUE"/>
    <d v="2025-05-29T00:00:00"/>
    <x v="0"/>
    <m/>
    <n v="0"/>
    <n v="0"/>
    <n v="0"/>
    <n v="0"/>
    <n v="0"/>
  </r>
  <r>
    <x v="2"/>
    <s v="MEI45769"/>
    <s v="Pedido 1559"/>
    <d v="2025-04-22T00:00:00"/>
    <x v="132"/>
    <s v="PedidoF1490"/>
    <s v="CódRastreio1488"/>
    <n v="1"/>
    <s v="CPF 1518"/>
    <s v="Nome 1518"/>
    <s v="Tel 1518"/>
    <s v="Cep 1518"/>
    <s v="Rua 1518"/>
    <s v="Comp 1518"/>
    <s v="Maçarico Culinário Portátil"/>
    <s v="BG-DHRO-FAEE"/>
    <d v="2025-05-17T00:00:00"/>
    <n v="26.99"/>
    <n v="26.99"/>
    <n v="2.9688999999999997"/>
    <n v="24.02"/>
    <n v="10.55"/>
    <n v="0.18"/>
    <n v="0.39877104377104378"/>
    <n v="0"/>
    <n v="12.891228956228955"/>
    <n v="6.4456144781144777"/>
    <x v="128"/>
    <x v="131"/>
    <x v="25"/>
    <d v="2025-06-02T00:00:00"/>
    <x v="6"/>
    <x v="0"/>
    <x v="7"/>
    <s v="ENTREGUE"/>
    <d v="2025-05-28T00:00:00"/>
    <x v="0"/>
    <m/>
    <n v="0"/>
    <n v="0"/>
    <n v="0"/>
    <n v="0"/>
    <n v="0"/>
  </r>
  <r>
    <x v="2"/>
    <s v="MEI45770"/>
    <s v="Pedido 1560"/>
    <d v="2025-04-22T00:00:00"/>
    <x v="134"/>
    <s v="PedidoF1491"/>
    <s v="CódRastreio1489"/>
    <n v="1"/>
    <s v="CPF 1519"/>
    <s v="Nome 1519"/>
    <s v="Tel 1519"/>
    <s v="Cep 1519"/>
    <s v="Rua 1519"/>
    <s v="Comp 1519"/>
    <s v="Copo Termico"/>
    <s v="VI-4RT5-1FFO"/>
    <d v="2025-05-20T00:00:00"/>
    <n v="22.7"/>
    <n v="22.7"/>
    <n v="2.7239999999999998"/>
    <n v="19.98"/>
    <n v="19.57"/>
    <n v="0.12"/>
    <n v="0.39877104377104378"/>
    <n v="0"/>
    <n v="-0.10877104377104629"/>
    <n v="-5.4385521885523147E-2"/>
    <x v="129"/>
    <x v="132"/>
    <x v="25"/>
    <d v="2025-06-02T00:00:00"/>
    <x v="6"/>
    <x v="0"/>
    <x v="7"/>
    <s v="ENTREGUE"/>
    <d v="2025-04-30T00:00:00"/>
    <x v="0"/>
    <m/>
    <n v="0"/>
    <n v="0"/>
    <n v="0"/>
    <n v="0"/>
    <n v="0"/>
  </r>
  <r>
    <x v="2"/>
    <s v="MEI45770"/>
    <s v="Pedido 1561"/>
    <d v="2025-04-22T00:00:00"/>
    <x v="134"/>
    <s v="PedidoF1492"/>
    <s v="CódRastreio1490"/>
    <n v="1"/>
    <s v="CPF 1520"/>
    <s v="Nome 1520"/>
    <s v="Tel 1520"/>
    <s v="Cep 1520"/>
    <s v="Rua 1520"/>
    <s v="Comp 1520"/>
    <s v="Ventilador Umidificador Preto"/>
    <s v="71-KHMZ-MLQW"/>
    <d v="2025-05-20T00:00:00"/>
    <n v="52.99"/>
    <n v="52.99"/>
    <n v="5.8289"/>
    <n v="47.16"/>
    <n v="39.26"/>
    <n v="0.12"/>
    <n v="0.39877104377104378"/>
    <n v="0"/>
    <n v="7.3812289562289592"/>
    <n v="3.6906144781144796"/>
    <x v="129"/>
    <x v="132"/>
    <x v="25"/>
    <d v="2025-06-02T00:00:00"/>
    <x v="6"/>
    <x v="0"/>
    <x v="7"/>
    <s v="ENTREGUE"/>
    <d v="2025-05-15T00:00:00"/>
    <x v="0"/>
    <m/>
    <n v="0"/>
    <n v="0"/>
    <n v="0"/>
    <n v="0"/>
    <n v="0"/>
  </r>
  <r>
    <x v="2"/>
    <s v="MEI45770"/>
    <s v="Pedido 1562"/>
    <d v="2025-04-22T00:00:00"/>
    <x v="134"/>
    <s v="PedidoF1493"/>
    <s v="CódRastreio1491"/>
    <n v="1"/>
    <s v="CPF 1521"/>
    <s v="Nome 1521"/>
    <s v="Tel 1521"/>
    <s v="Cep 1521"/>
    <s v="Rua 1521"/>
    <s v="Comp 1521"/>
    <s v="Maçarico Culinário Portátil"/>
    <s v="BG-DHRO-FAEE"/>
    <d v="2025-05-20T00:00:00"/>
    <n v="26.99"/>
    <n v="26.99"/>
    <n v="2.9688999999999997"/>
    <n v="24.02"/>
    <n v="16.190000000000001"/>
    <n v="0.12"/>
    <n v="0.39877104377104378"/>
    <n v="0"/>
    <n v="7.3112289562289519"/>
    <n v="3.6556144781144759"/>
    <x v="129"/>
    <x v="132"/>
    <x v="25"/>
    <d v="2025-06-02T00:00:00"/>
    <x v="6"/>
    <x v="0"/>
    <x v="7"/>
    <s v="ENTREGUE"/>
    <d v="2025-06-04T00:00:00"/>
    <x v="0"/>
    <m/>
    <n v="0"/>
    <n v="0"/>
    <n v="0"/>
    <n v="0"/>
    <n v="0"/>
  </r>
  <r>
    <x v="2"/>
    <s v="MEI45770"/>
    <s v="Pedido 1563"/>
    <d v="2025-04-22T00:00:00"/>
    <x v="134"/>
    <s v="PedidoF1494"/>
    <s v="CódRastreio1492"/>
    <n v="1"/>
    <s v="CPF 1522"/>
    <s v="Nome 1522"/>
    <s v="Tel 1522"/>
    <s v="Cep 1522"/>
    <s v="Rua 1522"/>
    <s v="Comp 1522"/>
    <s v="Garrafa Termica"/>
    <s v="LF-R6MC-WKWP"/>
    <d v="2025-05-20T00:00:00"/>
    <n v="32.67"/>
    <n v="32.67"/>
    <n v="3.9203999999999999"/>
    <n v="28.75"/>
    <n v="17.3"/>
    <n v="0.12"/>
    <n v="0.39877104377104378"/>
    <n v="0"/>
    <n v="10.931228956228953"/>
    <n v="5.4656144781144764"/>
    <x v="129"/>
    <x v="132"/>
    <x v="25"/>
    <d v="2025-06-02T00:00:00"/>
    <x v="6"/>
    <x v="0"/>
    <x v="7"/>
    <s v="ENTREGUE"/>
    <d v="2025-05-06T00:00:00"/>
    <x v="0"/>
    <m/>
    <n v="0"/>
    <n v="0"/>
    <n v="0"/>
    <n v="0"/>
    <n v="0"/>
  </r>
  <r>
    <x v="0"/>
    <s v="BV45769"/>
    <s v="Pedido 1564"/>
    <d v="2025-04-22T00:00:00"/>
    <x v="132"/>
    <s v="PedidoF1495"/>
    <s v="CódRastreio1493"/>
    <n v="1"/>
    <s v="CPF 1523"/>
    <s v="Nome 1523"/>
    <s v="Tel 1523"/>
    <s v="Cep 1523"/>
    <s v="Rua 1523"/>
    <s v="Comp 1523"/>
    <s v="Ventilador Preto"/>
    <s v="MU-J80P-95WF"/>
    <d v="2025-05-14T00:00:00"/>
    <n v="65.739999999999995"/>
    <n v="65.739999999999995"/>
    <n v="7.8887999999999989"/>
    <n v="57.85"/>
    <n v="36.049999999999997"/>
    <n v="0.25"/>
    <n v="0.39877104377104378"/>
    <n v="0"/>
    <n v="21.151228956228962"/>
    <n v="10.575614478114481"/>
    <x v="125"/>
    <x v="128"/>
    <x v="25"/>
    <d v="2025-06-02T00:00:00"/>
    <x v="6"/>
    <x v="0"/>
    <x v="7"/>
    <s v="ENTREGUE"/>
    <d v="2025-05-06T00:00:00"/>
    <x v="0"/>
    <m/>
    <n v="0"/>
    <n v="0"/>
    <n v="0"/>
    <n v="0"/>
    <n v="0"/>
  </r>
  <r>
    <x v="1"/>
    <s v="GO45769"/>
    <s v="Pedido 1565"/>
    <d v="2025-04-21T00:00:00"/>
    <x v="132"/>
    <s v="PedidoF1496"/>
    <s v="CódRastreio1494"/>
    <n v="1"/>
    <s v="CPF 1524"/>
    <s v="Nome 1524"/>
    <s v="Tel 1524"/>
    <s v="Cep 1524"/>
    <s v="Rua 1524"/>
    <s v="Comp 1524"/>
    <s v="Ventilador Preto"/>
    <s v="EP-9PIR-BWXH"/>
    <d v="2025-05-17T00:00:00"/>
    <n v="65.739999999999995"/>
    <n v="65.739999999999995"/>
    <n v="7.8887999999999989"/>
    <n v="57.85"/>
    <n v="22.4"/>
    <n v="0.5"/>
    <n v="0.39877104377104378"/>
    <n v="0"/>
    <n v="34.551228956228954"/>
    <n v="34.551228956228954"/>
    <x v="128"/>
    <x v="131"/>
    <x v="25"/>
    <d v="2025-06-02T00:00:00"/>
    <x v="6"/>
    <x v="0"/>
    <x v="7"/>
    <s v="ENTREGUE"/>
    <d v="2025-05-22T00:00:00"/>
    <x v="0"/>
    <m/>
    <n v="0"/>
    <n v="0"/>
    <n v="0"/>
    <n v="0"/>
    <n v="0"/>
  </r>
  <r>
    <x v="2"/>
    <s v="MEI45770"/>
    <s v="Pedido 1566"/>
    <d v="2025-04-22T00:00:00"/>
    <x v="134"/>
    <s v="PedidoF1497"/>
    <s v="CódRastreio1495"/>
    <n v="1"/>
    <s v="CPF 1525"/>
    <s v="Nome 1525"/>
    <s v="Tel 1525"/>
    <s v="Cep 1525"/>
    <s v="Rua 1525"/>
    <s v="Comp 1525"/>
    <s v="Maçarico Culinário Portátil"/>
    <s v="BG-DHRO-FAEE"/>
    <d v="2025-05-14T00:00:00"/>
    <n v="26.99"/>
    <n v="26.99"/>
    <n v="2.9688999999999997"/>
    <n v="24.02"/>
    <n v="0"/>
    <n v="0.12"/>
    <n v="0.39877104377104378"/>
    <n v="0"/>
    <n v="23.501228956228957"/>
    <n v="11.750614478114478"/>
    <x v="125"/>
    <x v="128"/>
    <x v="25"/>
    <d v="2025-06-02T00:00:00"/>
    <x v="6"/>
    <x v="0"/>
    <x v="7"/>
    <s v="ENTREGUE"/>
    <d v="2025-05-27T00:00:00"/>
    <x v="0"/>
    <m/>
    <n v="0"/>
    <n v="0"/>
    <n v="0"/>
    <n v="0"/>
    <n v="0"/>
  </r>
  <r>
    <x v="2"/>
    <s v="MEI45770"/>
    <s v="Pedido 1567"/>
    <d v="2025-04-22T00:00:00"/>
    <x v="134"/>
    <s v="PedidoF1498"/>
    <s v="CódRastreio1496"/>
    <n v="1"/>
    <s v="CPF 1526"/>
    <s v="Nome 1526"/>
    <s v="Tel 1526"/>
    <s v="Cep 1526"/>
    <s v="Rua 1526"/>
    <s v="Comp 1526"/>
    <s v="Maçarico Culinário Portátil"/>
    <s v="BG-DHRO-FAEE"/>
    <d v="2025-05-20T00:00:00"/>
    <n v="26.99"/>
    <n v="26.99"/>
    <n v="2.9688999999999997"/>
    <n v="24.02"/>
    <n v="10.57"/>
    <n v="0.12"/>
    <n v="0.39877104377104378"/>
    <n v="0"/>
    <n v="12.931228956228956"/>
    <n v="6.4656144781144782"/>
    <x v="129"/>
    <x v="132"/>
    <x v="25"/>
    <d v="2025-06-02T00:00:00"/>
    <x v="6"/>
    <x v="0"/>
    <x v="7"/>
    <s v="ENTREGUE"/>
    <d v="2025-05-14T00:00:00"/>
    <x v="0"/>
    <m/>
    <n v="0"/>
    <n v="0"/>
    <n v="0"/>
    <n v="0"/>
    <n v="0"/>
  </r>
  <r>
    <x v="2"/>
    <s v="MEI45770"/>
    <s v="Pedido 1568"/>
    <d v="2025-04-23T00:00:00"/>
    <x v="134"/>
    <s v="PedidoF1499"/>
    <s v="CódRastreio1497"/>
    <n v="1"/>
    <s v="CPF 1527"/>
    <s v="Nome 1527"/>
    <s v="Tel 1527"/>
    <s v="Cep 1527"/>
    <s v="Rua 1527"/>
    <s v="Comp 1527"/>
    <s v="Maçarico Culinário Portátil"/>
    <s v="BG-DHRO-FAEE"/>
    <d v="2025-05-20T00:00:00"/>
    <n v="26.99"/>
    <n v="26.99"/>
    <n v="2.9688999999999997"/>
    <n v="24.02"/>
    <n v="16.190000000000001"/>
    <n v="0.12"/>
    <n v="0.39877104377104378"/>
    <n v="0"/>
    <n v="7.3112289562289519"/>
    <n v="3.6556144781144759"/>
    <x v="129"/>
    <x v="132"/>
    <x v="25"/>
    <d v="2025-06-02T00:00:00"/>
    <x v="6"/>
    <x v="0"/>
    <x v="7"/>
    <s v="ENTREGUE"/>
    <d v="2025-05-26T00:00:00"/>
    <x v="0"/>
    <m/>
    <n v="0"/>
    <n v="0"/>
    <n v="0"/>
    <n v="0"/>
    <n v="0"/>
  </r>
  <r>
    <x v="2"/>
    <s v="MEI45770"/>
    <s v="Pedido 1569"/>
    <d v="2025-04-23T00:00:00"/>
    <x v="134"/>
    <s v="PedidoF1500"/>
    <s v="CódRastreio1498"/>
    <n v="1"/>
    <s v="CPF 1528"/>
    <s v="Nome 1528"/>
    <s v="Tel 1528"/>
    <s v="Cep 1528"/>
    <s v="Rua 1528"/>
    <s v="Comp 1528"/>
    <s v="Luminária Azul de mesa infantil"/>
    <s v="NO-Z0ZJ-Z61M"/>
    <d v="2025-05-27T00:00:00"/>
    <n v="49.99"/>
    <n v="49.99"/>
    <n v="5.9988000000000001"/>
    <n v="43.99"/>
    <n v="0"/>
    <n v="0.12"/>
    <n v="0.39877104377104378"/>
    <n v="0"/>
    <n v="43.471228956228956"/>
    <n v="21.735614478114478"/>
    <x v="132"/>
    <x v="135"/>
    <x v="26"/>
    <d v="2025-06-20T00:00:00"/>
    <x v="7"/>
    <x v="0"/>
    <x v="7"/>
    <s v="ENTREGUE"/>
    <d v="2025-06-12T08:38:40"/>
    <x v="0"/>
    <m/>
    <n v="0"/>
    <n v="0"/>
    <n v="0"/>
    <n v="0"/>
    <n v="0"/>
  </r>
  <r>
    <x v="2"/>
    <s v="MEI45770"/>
    <s v="Pedido 1570"/>
    <d v="2025-04-23T00:00:00"/>
    <x v="134"/>
    <s v="PedidoF1501"/>
    <s v="CódRastreio1499"/>
    <n v="1"/>
    <s v="CPF 1529"/>
    <s v="Nome 1529"/>
    <s v="Tel 1529"/>
    <s v="Cep 1529"/>
    <s v="Rua 1529"/>
    <s v="Comp 1529"/>
    <s v="Copo Termico"/>
    <s v="VI-4RT5-1FFO"/>
    <d v="2025-05-14T00:00:00"/>
    <n v="22.7"/>
    <n v="22.7"/>
    <n v="2.7239999999999998"/>
    <n v="19.98"/>
    <n v="0"/>
    <n v="0.12"/>
    <n v="0.39877104377104378"/>
    <n v="0"/>
    <n v="19.461228956228958"/>
    <n v="9.7306144781144788"/>
    <x v="125"/>
    <x v="128"/>
    <x v="25"/>
    <d v="2025-06-02T00:00:00"/>
    <x v="6"/>
    <x v="0"/>
    <x v="7"/>
    <s v="ENTREGUE"/>
    <d v="2025-04-29T00:00:00"/>
    <x v="0"/>
    <m/>
    <n v="0"/>
    <n v="0"/>
    <n v="0"/>
    <n v="0"/>
    <n v="0"/>
  </r>
  <r>
    <x v="2"/>
    <s v="MEI45770"/>
    <s v="Pedido 1571"/>
    <d v="2025-04-23T00:00:00"/>
    <x v="134"/>
    <s v="PedidoF1502"/>
    <s v="CódRastreio1500"/>
    <n v="1"/>
    <s v="CPF 1530"/>
    <s v="Nome 1530"/>
    <s v="Tel 1530"/>
    <s v="Cep 1530"/>
    <s v="Rua 1530"/>
    <s v="Comp 1530"/>
    <s v="Copo Termico"/>
    <s v="VI-4RT5-1FFO"/>
    <d v="2025-05-15T00:00:00"/>
    <n v="22.7"/>
    <n v="22.7"/>
    <n v="2.7239999999999998"/>
    <n v="19.98"/>
    <n v="11.92"/>
    <n v="0.12"/>
    <n v="0.39877104377104378"/>
    <n v="0"/>
    <n v="7.5412289562289576"/>
    <n v="3.7706144781144788"/>
    <x v="126"/>
    <x v="129"/>
    <x v="25"/>
    <d v="2025-06-02T00:00:00"/>
    <x v="6"/>
    <x v="0"/>
    <x v="7"/>
    <s v="ENTREGUE"/>
    <d v="2025-04-29T00:00:00"/>
    <x v="0"/>
    <m/>
    <n v="0"/>
    <n v="0"/>
    <n v="0"/>
    <n v="0"/>
    <n v="0"/>
  </r>
  <r>
    <x v="2"/>
    <s v="MEI45770"/>
    <s v="Pedido 1572"/>
    <d v="2025-04-23T00:00:00"/>
    <x v="134"/>
    <s v="PedidoF1503"/>
    <s v="CódRastreio1501"/>
    <n v="1"/>
    <s v="CPF 1531"/>
    <s v="Nome 1531"/>
    <s v="Tel 1531"/>
    <s v="Cep 1531"/>
    <s v="Rua 1531"/>
    <s v="Comp 1531"/>
    <s v="Maçarico Culinário Portátil"/>
    <s v="BG-DHRO-FAEE"/>
    <d v="2025-05-21T00:00:00"/>
    <n v="26.99"/>
    <n v="26.99"/>
    <n v="2.9688999999999997"/>
    <n v="24.02"/>
    <n v="16.190000000000001"/>
    <n v="0.12"/>
    <n v="0.39877104377104378"/>
    <n v="0"/>
    <n v="7.3112289562289519"/>
    <n v="3.6556144781144759"/>
    <x v="133"/>
    <x v="136"/>
    <x v="25"/>
    <d v="2025-06-02T00:00:00"/>
    <x v="6"/>
    <x v="0"/>
    <x v="7"/>
    <s v="ENTREGUE"/>
    <d v="2025-05-16T00:00:00"/>
    <x v="0"/>
    <m/>
    <n v="0"/>
    <n v="0"/>
    <n v="0"/>
    <n v="0"/>
    <n v="0"/>
  </r>
  <r>
    <x v="2"/>
    <s v="MEI45770"/>
    <s v="Pedido 1573"/>
    <d v="2025-04-23T00:00:00"/>
    <x v="134"/>
    <s v="PedidoF1504"/>
    <s v="CódRastreio1502"/>
    <n v="1"/>
    <s v="CPF 1532"/>
    <s v="Nome 1532"/>
    <s v="Tel 1532"/>
    <s v="Cep 1532"/>
    <s v="Rua 1532"/>
    <s v="Comp 1532"/>
    <s v="Copo Termico"/>
    <s v="VI-4RT5-1FFO"/>
    <d v="2025-05-21T00:00:00"/>
    <n v="22.7"/>
    <n v="22.7"/>
    <n v="2.7239999999999998"/>
    <n v="19.98"/>
    <n v="14.71"/>
    <n v="0.12"/>
    <n v="0.39877104377104378"/>
    <n v="0"/>
    <n v="4.7512289562289567"/>
    <n v="2.3756144781144783"/>
    <x v="133"/>
    <x v="136"/>
    <x v="25"/>
    <d v="2025-06-02T00:00:00"/>
    <x v="6"/>
    <x v="0"/>
    <x v="7"/>
    <s v="ENTREGUE"/>
    <d v="2025-05-05T00:00:00"/>
    <x v="0"/>
    <m/>
    <n v="0"/>
    <n v="0"/>
    <n v="0"/>
    <n v="0"/>
    <n v="0"/>
  </r>
  <r>
    <x v="2"/>
    <s v="MEI45770"/>
    <s v="Pedido 1574"/>
    <d v="2025-04-23T00:00:00"/>
    <x v="134"/>
    <s v="PedidoF1505"/>
    <s v="CódRastreio1503"/>
    <n v="1"/>
    <s v="CPF 1533"/>
    <s v="Nome 1533"/>
    <s v="Tel 1533"/>
    <s v="Cep 1533"/>
    <s v="Rua 1533"/>
    <s v="Comp 1533"/>
    <s v="Ventilador Umidificador Preto"/>
    <s v="71-KHMZ-MLQW"/>
    <d v="2025-05-21T00:00:00"/>
    <n v="52.99"/>
    <n v="52.99"/>
    <n v="5.8289"/>
    <n v="47.16"/>
    <n v="30.69"/>
    <n v="0.12"/>
    <n v="0.39877104377104378"/>
    <n v="0"/>
    <n v="15.951228956228949"/>
    <n v="7.9756144781144744"/>
    <x v="133"/>
    <x v="136"/>
    <x v="25"/>
    <d v="2025-06-02T00:00:00"/>
    <x v="6"/>
    <x v="0"/>
    <x v="7"/>
    <s v="ENTREGUE"/>
    <d v="2025-05-09T00:00:00"/>
    <x v="0"/>
    <m/>
    <n v="0"/>
    <n v="0"/>
    <n v="0"/>
    <n v="0"/>
    <n v="0"/>
  </r>
  <r>
    <x v="2"/>
    <s v="MEI45770"/>
    <s v="Pedido 1575"/>
    <d v="2025-04-23T00:00:00"/>
    <x v="134"/>
    <s v="PedidoF1506"/>
    <s v="CódRastreio1504"/>
    <n v="1"/>
    <s v="CPF 1534"/>
    <s v="Nome 1534"/>
    <s v="Tel 1534"/>
    <s v="Cep 1534"/>
    <s v="Rua 1534"/>
    <s v="Comp 1534"/>
    <s v="Maçarico Culinário Portátil"/>
    <s v="BG-DHRO-FAEE"/>
    <d v="2025-05-15T00:00:00"/>
    <n v="26.99"/>
    <n v="26.99"/>
    <n v="2.9688999999999997"/>
    <n v="24.02"/>
    <n v="0"/>
    <n v="0.12"/>
    <n v="0.39877104377104378"/>
    <n v="0"/>
    <n v="23.501228956228957"/>
    <n v="11.750614478114478"/>
    <x v="126"/>
    <x v="129"/>
    <x v="25"/>
    <d v="2025-06-02T00:00:00"/>
    <x v="6"/>
    <x v="0"/>
    <x v="7"/>
    <s v="ENTREGUE"/>
    <d v="2025-05-19T00:00:00"/>
    <x v="0"/>
    <m/>
    <n v="0"/>
    <n v="0"/>
    <n v="0"/>
    <n v="0"/>
    <n v="0"/>
  </r>
  <r>
    <x v="1"/>
    <s v="GO45770"/>
    <s v="Pedido 1576"/>
    <d v="2025-04-23T00:00:00"/>
    <x v="134"/>
    <s v="PedidoF1507"/>
    <s v="CódRastreio1505"/>
    <n v="1"/>
    <s v="CPF 1535"/>
    <s v="Nome 1535"/>
    <s v="Tel 1535"/>
    <s v="Cep 1535"/>
    <s v="Rua 1535"/>
    <s v="Comp 1535"/>
    <s v="Ventilador Preto"/>
    <s v="EP-9PIR-BWXH"/>
    <d v="2025-05-21T00:00:00"/>
    <n v="65.739999999999995"/>
    <n v="65.739999999999995"/>
    <n v="7.8887999999999989"/>
    <n v="57.85"/>
    <n v="0"/>
    <n v="0.1"/>
    <n v="0.39877104377104378"/>
    <n v="0"/>
    <n v="57.351228956228958"/>
    <n v="57.351228956228958"/>
    <x v="133"/>
    <x v="136"/>
    <x v="25"/>
    <d v="2025-06-02T00:00:00"/>
    <x v="6"/>
    <x v="0"/>
    <x v="7"/>
    <s v="ENTREGUE"/>
    <d v="2025-05-09T00:00:00"/>
    <x v="0"/>
    <m/>
    <n v="0"/>
    <n v="0"/>
    <n v="0"/>
    <n v="0"/>
    <n v="0"/>
  </r>
  <r>
    <x v="2"/>
    <s v="MEI45771"/>
    <s v="Pedido 1577"/>
    <d v="2025-04-23T00:00:00"/>
    <x v="133"/>
    <s v="PedidoF1508"/>
    <s v="CódRastreio1506"/>
    <n v="1"/>
    <s v="CPF 1536"/>
    <s v="Nome 1536"/>
    <s v="Tel 1536"/>
    <s v="Cep 1536"/>
    <s v="Rua 1536"/>
    <s v="Comp 1536"/>
    <s v="Maçarico Culinário Portátil"/>
    <s v="BG-DHRO-FAEE"/>
    <d v="2025-05-21T00:00:00"/>
    <n v="26.99"/>
    <n v="26.99"/>
    <n v="2.9688999999999997"/>
    <n v="24.02"/>
    <n v="16.149999999999999"/>
    <n v="0.28999999999999998"/>
    <n v="0.39877104377104378"/>
    <n v="0"/>
    <n v="7.1812289562289564"/>
    <n v="3.5906144781144782"/>
    <x v="133"/>
    <x v="136"/>
    <x v="25"/>
    <d v="2025-06-02T00:00:00"/>
    <x v="6"/>
    <x v="0"/>
    <x v="7"/>
    <s v="ENTREGUE"/>
    <d v="2025-06-11T14:20:27"/>
    <x v="0"/>
    <m/>
    <n v="0"/>
    <n v="0"/>
    <n v="0"/>
    <n v="0"/>
    <n v="0"/>
  </r>
  <r>
    <x v="2"/>
    <s v="MEI45771"/>
    <s v="Pedido 1578"/>
    <d v="2025-04-23T00:00:00"/>
    <x v="133"/>
    <s v="PedidoF1509"/>
    <s v="CódRastreio1507"/>
    <n v="1"/>
    <s v="CPF 1537"/>
    <s v="Nome 1537"/>
    <s v="Tel 1537"/>
    <s v="Cep 1537"/>
    <s v="Rua 1537"/>
    <s v="Comp 1537"/>
    <s v="Ventilador Rosa"/>
    <s v="WR-82Y0-OV27"/>
    <d v="2025-05-21T00:00:00"/>
    <n v="64.89"/>
    <n v="64.89"/>
    <n v="7.7867999999999995"/>
    <n v="57.1"/>
    <n v="36.04"/>
    <n v="0.28999999999999998"/>
    <n v="0.39877104377104378"/>
    <n v="0"/>
    <n v="20.371228956228961"/>
    <n v="10.185614478114481"/>
    <x v="133"/>
    <x v="136"/>
    <x v="25"/>
    <d v="2025-06-02T00:00:00"/>
    <x v="6"/>
    <x v="0"/>
    <x v="7"/>
    <s v="ENTREGUE"/>
    <d v="2025-05-22T00:00:00"/>
    <x v="0"/>
    <m/>
    <n v="0"/>
    <n v="0"/>
    <n v="0"/>
    <n v="0"/>
    <n v="0"/>
  </r>
  <r>
    <x v="2"/>
    <s v="MEI45771"/>
    <s v="Pedido 1579"/>
    <d v="2025-04-23T00:00:00"/>
    <x v="133"/>
    <s v="PedidoF1510"/>
    <s v="CódRastreio1508"/>
    <n v="1"/>
    <s v="CPF 1538"/>
    <s v="Nome 1538"/>
    <s v="Tel 1538"/>
    <s v="Cep 1538"/>
    <s v="Rua 1538"/>
    <s v="Comp 1538"/>
    <s v="Ventilador Umidificador Preto"/>
    <s v="71-KHMZ-MLQW"/>
    <d v="2025-05-21T00:00:00"/>
    <n v="52.99"/>
    <n v="52.99"/>
    <n v="5.8289"/>
    <n v="47.16"/>
    <n v="31.74"/>
    <n v="0.28999999999999998"/>
    <n v="0.39877104377104378"/>
    <n v="0"/>
    <n v="14.731228956228954"/>
    <n v="7.3656144781144768"/>
    <x v="133"/>
    <x v="136"/>
    <x v="25"/>
    <d v="2025-06-02T00:00:00"/>
    <x v="6"/>
    <x v="0"/>
    <x v="7"/>
    <s v="ENTREGUE"/>
    <d v="2025-05-29T00:00:00"/>
    <x v="0"/>
    <m/>
    <n v="0"/>
    <n v="0"/>
    <n v="0"/>
    <n v="0"/>
    <n v="0"/>
  </r>
  <r>
    <x v="2"/>
    <s v="MEI45771"/>
    <s v="Pedido 1580"/>
    <d v="2025-04-24T00:00:00"/>
    <x v="133"/>
    <s v="PedidoF1511"/>
    <s v="CódRastreio1509"/>
    <n v="1"/>
    <s v="CPF 1539"/>
    <s v="Nome 1539"/>
    <s v="Tel 1539"/>
    <s v="Cep 1539"/>
    <s v="Rua 1539"/>
    <s v="Comp 1539"/>
    <s v="Ventilador Azul"/>
    <s v="PK-L2Z7-MQRQ"/>
    <d v="2025-05-22T00:00:00"/>
    <n v="49.9"/>
    <n v="49.9"/>
    <n v="5.9879999999999995"/>
    <n v="43.91"/>
    <n v="21.28"/>
    <n v="0.28999999999999998"/>
    <n v="0.39877104377104378"/>
    <n v="0"/>
    <n v="21.941228956228951"/>
    <n v="10.970614478114475"/>
    <x v="130"/>
    <x v="133"/>
    <x v="25"/>
    <d v="2025-06-02T00:00:00"/>
    <x v="6"/>
    <x v="0"/>
    <x v="7"/>
    <s v="ENTREGUE"/>
    <d v="2025-06-21T09:58:33"/>
    <x v="0"/>
    <m/>
    <n v="0"/>
    <n v="0"/>
    <n v="0"/>
    <n v="0"/>
    <n v="0"/>
  </r>
  <r>
    <x v="2"/>
    <s v="MEI45771"/>
    <s v="Pedido 1581"/>
    <d v="2025-04-24T00:00:00"/>
    <x v="133"/>
    <s v="PedidoF1512"/>
    <s v="CódRastreio1510"/>
    <n v="1"/>
    <s v="CPF 1540"/>
    <s v="Nome 1540"/>
    <s v="Tel 1540"/>
    <s v="Cep 1540"/>
    <s v="Rua 1540"/>
    <s v="Comp 1540"/>
    <s v="Ventilador Azul"/>
    <s v="PK-L2Z7-MQRQ"/>
    <d v="2025-05-22T00:00:00"/>
    <n v="49.9"/>
    <n v="49.9"/>
    <n v="5.9879999999999995"/>
    <n v="43.91"/>
    <n v="22.12"/>
    <n v="0.28999999999999998"/>
    <n v="0.39877104377104378"/>
    <n v="0"/>
    <n v="21.101228956228951"/>
    <n v="10.550614478114476"/>
    <x v="130"/>
    <x v="133"/>
    <x v="25"/>
    <d v="2025-06-02T00:00:00"/>
    <x v="6"/>
    <x v="0"/>
    <x v="7"/>
    <s v="ENTREGUE"/>
    <d v="2025-05-10T00:00:00"/>
    <x v="0"/>
    <m/>
    <n v="0"/>
    <n v="0"/>
    <n v="0"/>
    <n v="0"/>
    <n v="0"/>
  </r>
  <r>
    <x v="2"/>
    <s v="MEI45772"/>
    <s v="Pedido 1582"/>
    <d v="2025-04-24T00:00:00"/>
    <x v="135"/>
    <s v="PedidoF1513"/>
    <s v="CódRastreio1511"/>
    <n v="1"/>
    <s v="CPF 1541"/>
    <s v="Nome 1541"/>
    <s v="Tel 1541"/>
    <s v="Cep 1541"/>
    <s v="Rua 1541"/>
    <s v="Comp 1541"/>
    <s v="Maçarico Culinário Portátil"/>
    <s v="BG-DHRO-FAEE"/>
    <d v="2025-05-16T00:00:00"/>
    <n v="26.99"/>
    <n v="26.99"/>
    <n v="2.9688999999999997"/>
    <n v="24.02"/>
    <n v="10.15"/>
    <n v="0.1"/>
    <n v="0.39877104377104378"/>
    <n v="0"/>
    <n v="13.371228956228956"/>
    <n v="6.685614478114478"/>
    <x v="127"/>
    <x v="130"/>
    <x v="25"/>
    <d v="2025-06-02T00:00:00"/>
    <x v="6"/>
    <x v="0"/>
    <x v="7"/>
    <s v="ENTREGUE"/>
    <d v="2025-05-13T00:00:00"/>
    <x v="0"/>
    <m/>
    <n v="0"/>
    <n v="0"/>
    <n v="0"/>
    <n v="0"/>
    <n v="0"/>
  </r>
  <r>
    <x v="2"/>
    <s v="MEI45772"/>
    <s v="Pedido 1583"/>
    <d v="2025-04-24T00:00:00"/>
    <x v="135"/>
    <s v="PedidoF1514"/>
    <s v="CódRastreio1512"/>
    <n v="1"/>
    <s v="CPF 1542"/>
    <s v="Nome 1542"/>
    <s v="Tel 1542"/>
    <s v="Cep 1542"/>
    <s v="Rua 1542"/>
    <s v="Comp 1542"/>
    <s v="Lampada Led"/>
    <s v="T1-SWVB-UPOW"/>
    <d v="2025-05-29T00:00:00"/>
    <n v="29.95"/>
    <n v="29.95"/>
    <n v="3.5939999999999999"/>
    <n v="26.36"/>
    <n v="18.75"/>
    <n v="0.1"/>
    <n v="0.39877104377104378"/>
    <n v="0"/>
    <n v="7.1112289562289526"/>
    <n v="3.5556144781144763"/>
    <x v="134"/>
    <x v="137"/>
    <x v="26"/>
    <d v="2025-06-20T00:00:00"/>
    <x v="7"/>
    <x v="0"/>
    <x v="7"/>
    <s v="ENTREGUE"/>
    <d v="2025-06-09T00:00:00"/>
    <x v="0"/>
    <m/>
    <n v="0"/>
    <n v="0"/>
    <n v="0"/>
    <n v="0"/>
    <n v="0"/>
  </r>
  <r>
    <x v="2"/>
    <s v="MEI45772"/>
    <s v="Pedido 1584"/>
    <d v="2025-04-25T00:00:00"/>
    <x v="135"/>
    <s v="PedidoF1515"/>
    <s v="CódRastreio1513"/>
    <n v="1"/>
    <s v="CPF 1543"/>
    <s v="Nome 1543"/>
    <s v="Tel 1543"/>
    <s v="Cep 1543"/>
    <s v="Rua 1543"/>
    <s v="Comp 1543"/>
    <s v="Ventilador Umidificador Preto"/>
    <s v="71-KHMZ-MLQW"/>
    <d v="2025-05-23T00:00:00"/>
    <n v="52.99"/>
    <n v="52.99"/>
    <n v="5.8289"/>
    <n v="47.16"/>
    <n v="37.880000000000003"/>
    <n v="0.1"/>
    <n v="0.39877104377104378"/>
    <n v="0"/>
    <n v="8.7812289562289507"/>
    <n v="4.3906144781144754"/>
    <x v="135"/>
    <x v="138"/>
    <x v="25"/>
    <d v="2025-06-02T00:00:00"/>
    <x v="6"/>
    <x v="0"/>
    <x v="7"/>
    <s v="ENTREGUE"/>
    <d v="2025-06-13T12:07:12"/>
    <x v="0"/>
    <m/>
    <n v="0"/>
    <n v="0"/>
    <n v="0"/>
    <n v="0"/>
    <n v="0"/>
  </r>
  <r>
    <x v="2"/>
    <s v="MEI45772"/>
    <s v="Pedido 1585"/>
    <d v="2025-04-25T00:00:00"/>
    <x v="135"/>
    <s v="PedidoF1516"/>
    <s v="CódRastreio1514"/>
    <n v="1"/>
    <s v="CPF 1544"/>
    <s v="Nome 1544"/>
    <s v="Tel 1544"/>
    <s v="Cep 1544"/>
    <s v="Rua 1544"/>
    <s v="Comp 1544"/>
    <s v="Ventilador Azul"/>
    <s v="PK-L2Z7-MQRQ"/>
    <d v="2025-05-30T00:00:00"/>
    <n v="49.9"/>
    <n v="49.9"/>
    <n v="5.9879999999999995"/>
    <n v="43.91"/>
    <n v="14.14"/>
    <n v="0.1"/>
    <n v="0.39877104377104378"/>
    <n v="0"/>
    <n v="29.271228956228953"/>
    <n v="14.635614478114476"/>
    <x v="136"/>
    <x v="139"/>
    <x v="26"/>
    <d v="2025-06-20T00:00:00"/>
    <x v="7"/>
    <x v="0"/>
    <x v="7"/>
    <s v="ENTREGUE"/>
    <d v="2025-05-19T00:00:00"/>
    <x v="0"/>
    <m/>
    <n v="0"/>
    <n v="0"/>
    <n v="0"/>
    <n v="0"/>
    <n v="0"/>
  </r>
  <r>
    <x v="2"/>
    <s v="MEI45775"/>
    <s v="Pedido 1586"/>
    <d v="2025-04-26T00:00:00"/>
    <x v="136"/>
    <s v="PedidoF1517"/>
    <s v="CódRastreio1515"/>
    <n v="1"/>
    <s v="CPF 1545"/>
    <s v="Nome 1545"/>
    <s v="Tel 1545"/>
    <s v="Cep 1545"/>
    <s v="Rua 1545"/>
    <s v="Comp 1545"/>
    <s v="Ventilador Azul"/>
    <s v="PK-L2Z7-MQRQ"/>
    <d v="2025-05-23T00:00:00"/>
    <n v="49.9"/>
    <n v="49.9"/>
    <n v="5.9879999999999995"/>
    <n v="43.91"/>
    <n v="0"/>
    <n v="0.18"/>
    <n v="0.39877104377104378"/>
    <n v="0"/>
    <n v="43.331228956228955"/>
    <n v="21.665614478114477"/>
    <x v="135"/>
    <x v="138"/>
    <x v="25"/>
    <d v="2025-06-02T00:00:00"/>
    <x v="6"/>
    <x v="0"/>
    <x v="7"/>
    <s v="ENTREGUE"/>
    <d v="2025-06-12T13:56:28"/>
    <x v="0"/>
    <m/>
    <n v="0"/>
    <n v="0"/>
    <n v="0"/>
    <n v="0"/>
    <n v="0"/>
  </r>
  <r>
    <x v="2"/>
    <s v="MEI-"/>
    <s v="Pedido 1587"/>
    <d v="2025-04-26T00:00:00"/>
    <x v="0"/>
    <s v="-"/>
    <s v="-"/>
    <n v="1"/>
    <s v="CPF 1546"/>
    <s v="Nome 1546"/>
    <s v="Tel 1546"/>
    <s v="Cep 1546"/>
    <s v="Rua 1546"/>
    <s v="Comp 1546"/>
    <s v="Maçarico Culinário Portátil"/>
    <s v="BG-DHRO-FAEE"/>
    <d v="2025-05-23T00:00:00"/>
    <n v="23.99"/>
    <n v="23.99"/>
    <n v="2.6389"/>
    <n v="21.35"/>
    <n v="18.8"/>
    <n v="0"/>
    <n v="0"/>
    <n v="0"/>
    <n v="2.5500000000000007"/>
    <n v="1.2750000000000004"/>
    <x v="135"/>
    <x v="138"/>
    <x v="25"/>
    <d v="2025-06-02T00:00:00"/>
    <x v="6"/>
    <x v="0"/>
    <x v="0"/>
    <s v="-"/>
    <s v="-"/>
    <x v="0"/>
    <m/>
    <n v="0"/>
    <n v="0"/>
    <n v="0"/>
    <n v="0"/>
    <n v="0"/>
  </r>
  <r>
    <x v="2"/>
    <s v="MEI45775"/>
    <s v="Pedido 1588"/>
    <d v="2025-04-26T00:00:00"/>
    <x v="136"/>
    <s v="PedidoF1518"/>
    <s v="CódRastreio1516"/>
    <n v="1"/>
    <s v="CPF 1547"/>
    <s v="Nome 1547"/>
    <s v="Tel 1547"/>
    <s v="Cep 1547"/>
    <s v="Rua 1547"/>
    <s v="Comp 1547"/>
    <s v="Ventilador Umidificador Preto"/>
    <s v="71-KHMZ-MLQW"/>
    <d v="2025-05-30T00:00:00"/>
    <n v="49.99"/>
    <n v="49.99"/>
    <n v="5.4988999999999999"/>
    <n v="44.49"/>
    <n v="0"/>
    <n v="0.18"/>
    <n v="0.39877104377104378"/>
    <n v="0"/>
    <n v="43.91122895622896"/>
    <n v="21.95561447811448"/>
    <x v="136"/>
    <x v="139"/>
    <x v="26"/>
    <d v="2025-06-20T00:00:00"/>
    <x v="7"/>
    <x v="0"/>
    <x v="7"/>
    <s v="ENTREGUE"/>
    <d v="2025-07-02T00:00:00"/>
    <x v="0"/>
    <m/>
    <n v="0"/>
    <n v="0"/>
    <n v="0"/>
    <n v="0"/>
    <n v="0"/>
  </r>
  <r>
    <x v="2"/>
    <s v="MEI45779"/>
    <s v="Pedido 1589"/>
    <d v="2025-04-26T00:00:00"/>
    <x v="137"/>
    <s v="PedidoF1519"/>
    <s v="CódRastreio1517"/>
    <n v="1"/>
    <s v="CPF 1548"/>
    <s v="Nome 1548"/>
    <s v="Tel 1548"/>
    <s v="Cep 1548"/>
    <s v="Rua 1548"/>
    <s v="Comp 1548"/>
    <s v="Maçarico Culinário Portátil"/>
    <s v="BG-DHRO-FAEE"/>
    <d v="2025-05-23T00:00:00"/>
    <n v="23.99"/>
    <n v="23.99"/>
    <n v="2.6389"/>
    <n v="21.35"/>
    <n v="19.309999999999999"/>
    <n v="0.11"/>
    <n v="0.39877104377104378"/>
    <n v="0"/>
    <n v="1.5312289562289578"/>
    <n v="0.76561447811447891"/>
    <x v="135"/>
    <x v="138"/>
    <x v="25"/>
    <d v="2025-06-02T00:00:00"/>
    <x v="6"/>
    <x v="0"/>
    <x v="8"/>
    <s v="ENTREGUE"/>
    <d v="2025-05-10T00:00:00"/>
    <x v="0"/>
    <m/>
    <n v="0"/>
    <n v="0"/>
    <n v="0"/>
    <n v="0"/>
    <n v="0"/>
  </r>
  <r>
    <x v="2"/>
    <s v="MEI45775"/>
    <s v="Pedido 1590"/>
    <d v="2025-04-27T00:00:00"/>
    <x v="136"/>
    <s v="PedidoF1520"/>
    <s v="CódRastreio1518"/>
    <n v="1"/>
    <s v="CPF 1549"/>
    <s v="Nome 1549"/>
    <s v="Tel 1549"/>
    <s v="Cep 1549"/>
    <s v="Rua 1549"/>
    <s v="Comp 1549"/>
    <s v="Ventilador Rosa"/>
    <s v="WR-82Y0-OV27"/>
    <d v="2025-05-23T00:00:00"/>
    <n v="49.9"/>
    <n v="49.9"/>
    <n v="5.9879999999999995"/>
    <n v="43.91"/>
    <n v="22.48"/>
    <n v="0.18"/>
    <n v="0.39877104377104378"/>
    <n v="0"/>
    <n v="20.851228956228951"/>
    <n v="10.425614478114476"/>
    <x v="135"/>
    <x v="138"/>
    <x v="25"/>
    <d v="2025-06-02T00:00:00"/>
    <x v="6"/>
    <x v="0"/>
    <x v="7"/>
    <s v="ENTREGUE"/>
    <d v="2025-05-17T00:00:00"/>
    <x v="0"/>
    <m/>
    <n v="0"/>
    <n v="0"/>
    <n v="0"/>
    <n v="0"/>
    <n v="0"/>
  </r>
  <r>
    <x v="2"/>
    <s v="MEI45775"/>
    <s v="Pedido 1591"/>
    <d v="2025-04-27T00:00:00"/>
    <x v="136"/>
    <s v="PedidoF1521"/>
    <s v="CódRastreio1519"/>
    <n v="1"/>
    <s v="CPF 1550"/>
    <s v="Nome 1550"/>
    <s v="Tel 1550"/>
    <s v="Cep 1550"/>
    <s v="Rua 1550"/>
    <s v="Comp 1550"/>
    <s v="Ventilador Rosa"/>
    <s v="WR-82Y0-OV27"/>
    <d v="2025-05-23T00:00:00"/>
    <n v="49.9"/>
    <n v="49.9"/>
    <n v="5.9879999999999995"/>
    <n v="43.91"/>
    <n v="0"/>
    <n v="0.18"/>
    <n v="0.39877104377104378"/>
    <n v="0"/>
    <n v="43.331228956228955"/>
    <n v="21.665614478114477"/>
    <x v="135"/>
    <x v="138"/>
    <x v="25"/>
    <d v="2025-06-02T00:00:00"/>
    <x v="6"/>
    <x v="0"/>
    <x v="7"/>
    <s v="ENTREGUE"/>
    <d v="2025-06-04T00:00:00"/>
    <x v="0"/>
    <m/>
    <n v="0"/>
    <n v="0"/>
    <n v="0"/>
    <n v="0"/>
    <n v="0"/>
  </r>
  <r>
    <x v="2"/>
    <s v="MEI45775"/>
    <s v="Pedido 1592"/>
    <d v="2025-04-27T00:00:00"/>
    <x v="136"/>
    <s v="PedidoF1522"/>
    <s v="CódRastreio1520"/>
    <n v="1"/>
    <s v="CPF 1551"/>
    <s v="Nome 1551"/>
    <s v="Tel 1551"/>
    <s v="Cep 1551"/>
    <s v="Rua 1551"/>
    <s v="Comp 1551"/>
    <s v="Luminária Azul de mesa infantil"/>
    <s v="NO-Z0ZJ-Z61M"/>
    <d v="2025-05-23T00:00:00"/>
    <n v="49.99"/>
    <n v="49.99"/>
    <n v="5.9988000000000001"/>
    <n v="43.99"/>
    <n v="17.78"/>
    <n v="0.18"/>
    <n v="0.39877104377104378"/>
    <n v="0"/>
    <n v="25.631228956228956"/>
    <n v="12.815614478114478"/>
    <x v="135"/>
    <x v="138"/>
    <x v="25"/>
    <d v="2025-06-02T00:00:00"/>
    <x v="6"/>
    <x v="0"/>
    <x v="7"/>
    <s v="ENTREGUE"/>
    <d v="2025-05-07T00:00:00"/>
    <x v="0"/>
    <m/>
    <n v="0"/>
    <n v="0"/>
    <n v="0"/>
    <n v="0"/>
    <n v="0"/>
  </r>
  <r>
    <x v="2"/>
    <s v="MEI45776"/>
    <s v="Pedido 1593"/>
    <d v="2025-04-27T00:00:00"/>
    <x v="138"/>
    <s v="PedidoF1523"/>
    <s v="CódRastreio1521"/>
    <n v="1"/>
    <s v="CPF 1552"/>
    <s v="Nome 1552"/>
    <s v="Tel 1552"/>
    <s v="Cep 1552"/>
    <s v="Rua 1552"/>
    <s v="Comp 1552"/>
    <s v="Lampada Led"/>
    <s v="T1-SWVB-UPOW"/>
    <d v="2025-05-23T00:00:00"/>
    <n v="35.99"/>
    <n v="35.99"/>
    <n v="4.3188000000000004"/>
    <n v="31.67"/>
    <n v="21.22"/>
    <n v="0.14000000000000001"/>
    <n v="0.39877104377104378"/>
    <n v="0"/>
    <n v="9.9112289562289568"/>
    <n v="4.9556144781144784"/>
    <x v="135"/>
    <x v="138"/>
    <x v="25"/>
    <d v="2025-06-02T00:00:00"/>
    <x v="6"/>
    <x v="0"/>
    <x v="7"/>
    <s v="ENTREGUE"/>
    <d v="2025-05-15T00:00:00"/>
    <x v="0"/>
    <m/>
    <n v="0"/>
    <n v="0"/>
    <n v="0"/>
    <n v="0"/>
    <n v="0"/>
  </r>
  <r>
    <x v="2"/>
    <s v="MEI45779"/>
    <s v="Pedido 1594"/>
    <d v="2025-04-27T00:00:00"/>
    <x v="137"/>
    <s v="PedidoF1524"/>
    <s v="CódRastreio1522"/>
    <n v="1"/>
    <s v="CPF 1553"/>
    <s v="Nome 1553"/>
    <s v="Tel 1553"/>
    <s v="Cep 1553"/>
    <s v="Rua 1553"/>
    <s v="Comp 1553"/>
    <s v="Maçarico Culinário Portátil"/>
    <s v="BG-DHRO-FAEE"/>
    <d v="2025-05-17T00:00:00"/>
    <n v="23.99"/>
    <n v="23.99"/>
    <n v="2.6389"/>
    <n v="21.35"/>
    <n v="0"/>
    <n v="0.11"/>
    <n v="0.39877104377104378"/>
    <n v="0"/>
    <n v="20.841228956228957"/>
    <n v="10.420614478114478"/>
    <x v="128"/>
    <x v="131"/>
    <x v="25"/>
    <d v="2025-06-02T00:00:00"/>
    <x v="6"/>
    <x v="0"/>
    <x v="8"/>
    <s v="ENTREGUE"/>
    <d v="2025-05-10T00:00:00"/>
    <x v="0"/>
    <m/>
    <n v="0"/>
    <n v="0"/>
    <n v="0"/>
    <n v="0"/>
    <n v="0"/>
  </r>
  <r>
    <x v="2"/>
    <s v="MEI45775"/>
    <s v="Pedido 1595"/>
    <d v="2025-04-27T00:00:00"/>
    <x v="136"/>
    <s v="PedidoF1525"/>
    <s v="CódRastreio1523"/>
    <n v="1"/>
    <s v="CPF 1554"/>
    <s v="Nome 1554"/>
    <s v="Tel 1554"/>
    <s v="Cep 1554"/>
    <s v="Rua 1554"/>
    <s v="Comp 1554"/>
    <s v="Ventilador Azul"/>
    <s v="PK-L2Z7-MQRQ"/>
    <d v="2025-05-17T00:00:00"/>
    <n v="49.9"/>
    <n v="49.9"/>
    <n v="5.9879999999999995"/>
    <n v="43.91"/>
    <n v="0"/>
    <n v="0.18"/>
    <n v="0.39877104377104378"/>
    <n v="0"/>
    <n v="43.331228956228955"/>
    <n v="21.665614478114477"/>
    <x v="128"/>
    <x v="131"/>
    <x v="25"/>
    <d v="2025-06-02T00:00:00"/>
    <x v="6"/>
    <x v="0"/>
    <x v="7"/>
    <s v="ENTREGUE"/>
    <d v="2025-06-24T00:00:00"/>
    <x v="0"/>
    <m/>
    <n v="0"/>
    <n v="0"/>
    <n v="0"/>
    <n v="0"/>
    <n v="0"/>
  </r>
  <r>
    <x v="2"/>
    <s v="MEI45775"/>
    <s v="Pedido 1596"/>
    <d v="2025-04-27T00:00:00"/>
    <x v="136"/>
    <s v="PedidoF1526"/>
    <s v="CódRastreio1524"/>
    <n v="1"/>
    <s v="CPF 1555"/>
    <s v="Nome 1555"/>
    <s v="Tel 1555"/>
    <s v="Cep 1555"/>
    <s v="Rua 1555"/>
    <s v="Comp 1555"/>
    <s v="Ventilador Rosa"/>
    <s v="WR-82Y0-OV27"/>
    <d v="2025-05-23T00:00:00"/>
    <n v="49.9"/>
    <n v="49.9"/>
    <n v="5.9879999999999995"/>
    <n v="43.91"/>
    <n v="0"/>
    <n v="0.18"/>
    <n v="0.39877104377104378"/>
    <n v="0"/>
    <n v="43.331228956228955"/>
    <n v="21.665614478114477"/>
    <x v="135"/>
    <x v="138"/>
    <x v="25"/>
    <d v="2025-06-02T00:00:00"/>
    <x v="6"/>
    <x v="0"/>
    <x v="7"/>
    <s v="ENTREGUE"/>
    <d v="2025-07-02T00:00:00"/>
    <x v="0"/>
    <m/>
    <n v="0"/>
    <n v="0"/>
    <n v="0"/>
    <n v="0"/>
    <n v="0"/>
  </r>
  <r>
    <x v="2"/>
    <s v="MEI45779"/>
    <s v="Pedido 1597"/>
    <d v="2025-04-27T00:00:00"/>
    <x v="137"/>
    <s v="PedidoF1527"/>
    <s v="CódRastreio1525"/>
    <n v="1"/>
    <s v="CPF 1556"/>
    <s v="Nome 1556"/>
    <s v="Tel 1556"/>
    <s v="Cep 1556"/>
    <s v="Rua 1556"/>
    <s v="Comp 1556"/>
    <s v="Maçarico Culinário Portátil"/>
    <s v="BG-DHRO-FAEE"/>
    <d v="2025-05-17T00:00:00"/>
    <n v="23.99"/>
    <n v="23.99"/>
    <n v="2.6389"/>
    <n v="21.35"/>
    <n v="0"/>
    <n v="0.11"/>
    <n v="0.39877104377104378"/>
    <n v="0"/>
    <n v="20.841228956228957"/>
    <n v="10.420614478114478"/>
    <x v="128"/>
    <x v="131"/>
    <x v="25"/>
    <d v="2025-06-02T00:00:00"/>
    <x v="6"/>
    <x v="0"/>
    <x v="8"/>
    <s v="ENTREGUE"/>
    <d v="2025-05-09T00:00:00"/>
    <x v="0"/>
    <m/>
    <n v="0"/>
    <n v="0"/>
    <n v="0"/>
    <n v="0"/>
    <n v="0"/>
  </r>
  <r>
    <x v="2"/>
    <s v="MEI45775"/>
    <s v="Pedido 1598"/>
    <d v="2025-04-27T00:00:00"/>
    <x v="136"/>
    <s v="PedidoF1528"/>
    <s v="CódRastreio1526"/>
    <n v="1"/>
    <s v="CPF 1557"/>
    <s v="Nome 1557"/>
    <s v="Tel 1557"/>
    <s v="Cep 1557"/>
    <s v="Rua 1557"/>
    <s v="Comp 1557"/>
    <s v="Ventilador Rosa"/>
    <s v="WR-82Y0-OV27"/>
    <d v="2025-05-17T00:00:00"/>
    <n v="49.9"/>
    <n v="49.9"/>
    <n v="5.9879999999999995"/>
    <n v="43.91"/>
    <n v="22.48"/>
    <n v="0.18"/>
    <n v="0.39877104377104378"/>
    <n v="0"/>
    <n v="20.851228956228951"/>
    <n v="10.425614478114476"/>
    <x v="128"/>
    <x v="131"/>
    <x v="25"/>
    <d v="2025-06-02T00:00:00"/>
    <x v="6"/>
    <x v="0"/>
    <x v="7"/>
    <s v="ENTREGUE"/>
    <d v="2025-05-09T00:00:00"/>
    <x v="0"/>
    <m/>
    <n v="0"/>
    <n v="0"/>
    <n v="0"/>
    <n v="0"/>
    <n v="0"/>
  </r>
  <r>
    <x v="2"/>
    <s v="MEI45779"/>
    <s v="Pedido 1599"/>
    <d v="2025-04-27T00:00:00"/>
    <x v="137"/>
    <s v="PedidoF1529"/>
    <s v="CódRastreio1527"/>
    <n v="1"/>
    <s v="CPF 1558"/>
    <s v="Nome 1558"/>
    <s v="Tel 1558"/>
    <s v="Cep 1558"/>
    <s v="Rua 1558"/>
    <s v="Comp 1558"/>
    <s v="Maçarico Culinário Portátil"/>
    <s v="BG-DHRO-FAEE"/>
    <d v="2025-05-23T00:00:00"/>
    <n v="23.99"/>
    <n v="23.99"/>
    <n v="2.6389"/>
    <n v="21.35"/>
    <n v="0"/>
    <n v="0.11"/>
    <n v="0.39877104377104378"/>
    <n v="0"/>
    <n v="20.841228956228957"/>
    <n v="10.420614478114478"/>
    <x v="135"/>
    <x v="138"/>
    <x v="25"/>
    <d v="2025-06-02T00:00:00"/>
    <x v="6"/>
    <x v="0"/>
    <x v="8"/>
    <s v="ENTREGUE"/>
    <d v="2025-05-10T00:00:00"/>
    <x v="0"/>
    <m/>
    <n v="0"/>
    <n v="0"/>
    <n v="0"/>
    <n v="0"/>
    <n v="0"/>
  </r>
  <r>
    <x v="2"/>
    <s v="MEI45779"/>
    <s v="Pedido 1600"/>
    <d v="2025-04-27T00:00:00"/>
    <x v="137"/>
    <s v="PedidoF1530"/>
    <s v="CódRastreio1528"/>
    <n v="1"/>
    <s v="CPF 1559"/>
    <s v="Nome 1559"/>
    <s v="Tel 1559"/>
    <s v="Cep 1559"/>
    <s v="Rua 1559"/>
    <s v="Comp 1559"/>
    <s v="Maçarico Culinário Portátil"/>
    <s v="BG-DHRO-FAEE"/>
    <d v="2025-05-17T00:00:00"/>
    <n v="23.99"/>
    <n v="23.99"/>
    <n v="2.6389"/>
    <n v="21.35"/>
    <n v="0"/>
    <n v="0.11"/>
    <n v="0.39877104377104378"/>
    <n v="0"/>
    <n v="20.841228956228957"/>
    <n v="10.420614478114478"/>
    <x v="128"/>
    <x v="131"/>
    <x v="25"/>
    <d v="2025-06-02T00:00:00"/>
    <x v="6"/>
    <x v="0"/>
    <x v="8"/>
    <s v="ENTREGUE"/>
    <d v="2025-05-10T00:00:00"/>
    <x v="0"/>
    <m/>
    <n v="0"/>
    <n v="0"/>
    <n v="0"/>
    <n v="0"/>
    <n v="0"/>
  </r>
  <r>
    <x v="2"/>
    <s v="MEI45775"/>
    <s v="Pedido 1601"/>
    <d v="2025-04-27T00:00:00"/>
    <x v="136"/>
    <s v="PedidoF1531"/>
    <s v="CódRastreio1529"/>
    <n v="1"/>
    <s v="CPF 1560"/>
    <s v="Nome 1560"/>
    <s v="Tel 1560"/>
    <s v="Cep 1560"/>
    <s v="Rua 1560"/>
    <s v="Comp 1560"/>
    <s v="Ventilador Rosa"/>
    <s v="WR-82Y0-OV27"/>
    <d v="2025-05-23T00:00:00"/>
    <n v="49.9"/>
    <n v="49.9"/>
    <n v="5.9879999999999995"/>
    <n v="43.91"/>
    <n v="22.48"/>
    <n v="0.18"/>
    <n v="0.39877104377104378"/>
    <n v="0"/>
    <n v="20.851228956228951"/>
    <n v="10.425614478114476"/>
    <x v="135"/>
    <x v="138"/>
    <x v="25"/>
    <d v="2025-06-02T00:00:00"/>
    <x v="6"/>
    <x v="0"/>
    <x v="7"/>
    <s v="ENTREGUE"/>
    <d v="2025-05-23T00:00:00"/>
    <x v="0"/>
    <m/>
    <n v="0"/>
    <n v="0"/>
    <n v="0"/>
    <n v="0"/>
    <n v="0"/>
  </r>
  <r>
    <x v="2"/>
    <s v="MEI45779"/>
    <s v="Pedido 1602"/>
    <d v="2025-04-28T00:00:00"/>
    <x v="137"/>
    <s v="PedidoF1532"/>
    <s v="CódRastreio1530"/>
    <n v="1"/>
    <s v="CPF 1561"/>
    <s v="Nome 1561"/>
    <s v="Tel 1561"/>
    <s v="Cep 1561"/>
    <s v="Rua 1561"/>
    <s v="Comp 1561"/>
    <s v="Maçarico Culinário Portátil"/>
    <s v="BG-DHRO-FAEE"/>
    <d v="2025-05-17T00:00:00"/>
    <n v="23.99"/>
    <n v="23.99"/>
    <n v="2.6389"/>
    <n v="21.35"/>
    <n v="19.309999999999999"/>
    <n v="0.11"/>
    <n v="0.39877104377104378"/>
    <n v="0"/>
    <n v="1.5312289562289578"/>
    <n v="0.76561447811447891"/>
    <x v="128"/>
    <x v="131"/>
    <x v="25"/>
    <d v="2025-06-02T00:00:00"/>
    <x v="6"/>
    <x v="0"/>
    <x v="8"/>
    <s v="ENTREGUE"/>
    <d v="2025-05-10T00:00:00"/>
    <x v="0"/>
    <m/>
    <n v="0"/>
    <n v="0"/>
    <n v="0"/>
    <n v="0"/>
    <n v="0"/>
  </r>
  <r>
    <x v="2"/>
    <s v="MEI45775"/>
    <s v="Pedido 1603"/>
    <d v="2025-04-28T00:00:00"/>
    <x v="136"/>
    <s v="PedidoF1533"/>
    <s v="CódRastreio1531"/>
    <n v="1"/>
    <s v="CPF 1562"/>
    <s v="Nome 1562"/>
    <s v="Tel 1562"/>
    <s v="Cep 1562"/>
    <s v="Rua 1562"/>
    <s v="Comp 1562"/>
    <s v="Copo Termico"/>
    <s v="VI-4RT5-1FFO"/>
    <d v="2025-05-17T00:00:00"/>
    <n v="22.7"/>
    <n v="22.7"/>
    <n v="2.7239999999999998"/>
    <n v="19.98"/>
    <n v="12.91"/>
    <n v="0.18"/>
    <n v="0.39877104377104378"/>
    <n v="0"/>
    <n v="6.4912289562289569"/>
    <n v="3.2456144781144785"/>
    <x v="128"/>
    <x v="131"/>
    <x v="25"/>
    <d v="2025-06-02T00:00:00"/>
    <x v="6"/>
    <x v="0"/>
    <x v="7"/>
    <s v="ENTREGUE"/>
    <d v="2025-05-20T00:00:00"/>
    <x v="0"/>
    <m/>
    <n v="0"/>
    <n v="0"/>
    <n v="0"/>
    <n v="0"/>
    <n v="0"/>
  </r>
  <r>
    <x v="2"/>
    <s v="MEI45779"/>
    <s v="Pedido 1604"/>
    <d v="2025-04-28T00:00:00"/>
    <x v="137"/>
    <s v="PedidoF1534"/>
    <s v="CódRastreio1532"/>
    <n v="1"/>
    <s v="CPF 1563"/>
    <s v="Nome 1563"/>
    <s v="Tel 1563"/>
    <s v="Cep 1563"/>
    <s v="Rua 1563"/>
    <s v="Comp 1563"/>
    <s v="Maçarico Culinário Portátil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x v="131"/>
    <x v="134"/>
    <x v="26"/>
    <d v="2025-06-20T00:00:00"/>
    <x v="6"/>
    <x v="0"/>
    <x v="8"/>
    <s v="ENTREGUE"/>
    <d v="2025-05-10T00:00:00"/>
    <x v="0"/>
    <m/>
    <n v="0"/>
    <n v="0"/>
    <n v="0"/>
    <n v="0"/>
    <n v="0"/>
  </r>
  <r>
    <x v="2"/>
    <s v="MEI45775"/>
    <s v="Pedido 1605"/>
    <d v="2025-04-28T00:00:00"/>
    <x v="136"/>
    <s v="PedidoF1535"/>
    <s v="CódRastreio1533"/>
    <n v="1"/>
    <s v="CPF 1564"/>
    <s v="Nome 1564"/>
    <s v="Tel 1564"/>
    <s v="Cep 1564"/>
    <s v="Rua 1564"/>
    <s v="Comp 1564"/>
    <s v="Ventilador Rosa"/>
    <s v="WR-82Y0-OV27"/>
    <d v="2025-05-31T00:00:00"/>
    <n v="49.9"/>
    <n v="49.9"/>
    <n v="5.9879999999999995"/>
    <n v="43.91"/>
    <n v="0"/>
    <n v="0.18"/>
    <n v="0.39877104377104378"/>
    <n v="0"/>
    <n v="43.331228956228955"/>
    <n v="21.665614478114477"/>
    <x v="137"/>
    <x v="140"/>
    <x v="26"/>
    <d v="2025-06-20T00:00:00"/>
    <x v="7"/>
    <x v="0"/>
    <x v="7"/>
    <s v="ENTREGUE"/>
    <d v="2025-06-25T00:00:00"/>
    <x v="0"/>
    <m/>
    <n v="0"/>
    <n v="0"/>
    <n v="0"/>
    <n v="0"/>
    <n v="0"/>
  </r>
  <r>
    <x v="2"/>
    <s v="MEI45775"/>
    <s v="Pedido 1606"/>
    <d v="2025-04-28T00:00:00"/>
    <x v="136"/>
    <s v="PedidoF1536"/>
    <s v="CódRastreio1534"/>
    <n v="1"/>
    <s v="CPF 1565"/>
    <s v="Nome 1565"/>
    <s v="Tel 1565"/>
    <s v="Cep 1565"/>
    <s v="Rua 1565"/>
    <s v="Comp 1565"/>
    <s v="Ventilador Rosa"/>
    <s v="WR-82Y0-OV27"/>
    <d v="2025-05-24T00:00:00"/>
    <n v="49.9"/>
    <n v="49.9"/>
    <n v="5.9879999999999995"/>
    <n v="43.91"/>
    <n v="22.48"/>
    <n v="0.18"/>
    <n v="0.39877104377104378"/>
    <n v="0"/>
    <n v="20.851228956228951"/>
    <n v="10.425614478114476"/>
    <x v="131"/>
    <x v="134"/>
    <x v="26"/>
    <d v="2025-06-20T00:00:00"/>
    <x v="6"/>
    <x v="0"/>
    <x v="7"/>
    <s v="ENTREGUE"/>
    <d v="2025-06-04T00:00:00"/>
    <x v="0"/>
    <m/>
    <n v="0"/>
    <n v="0"/>
    <n v="0"/>
    <n v="0"/>
    <n v="0"/>
  </r>
  <r>
    <x v="2"/>
    <s v="MEI45775"/>
    <s v="Pedido 1607"/>
    <d v="2025-04-28T00:00:00"/>
    <x v="136"/>
    <s v="PedidoF1537"/>
    <s v="CódRastreio1535"/>
    <n v="1"/>
    <s v="CPF 1566"/>
    <s v="Nome 1566"/>
    <s v="Tel 1566"/>
    <s v="Cep 1566"/>
    <s v="Rua 1566"/>
    <s v="Comp 1566"/>
    <s v="Ventilador Azul"/>
    <s v="PK-L2Z7-MQRQ"/>
    <d v="2025-05-20T00:00:00"/>
    <n v="49.9"/>
    <n v="49.9"/>
    <n v="5.9879999999999995"/>
    <n v="43.91"/>
    <n v="14.03"/>
    <n v="0.18"/>
    <n v="0.39877104377104378"/>
    <n v="0"/>
    <n v="29.301228956228954"/>
    <n v="14.650614478114477"/>
    <x v="129"/>
    <x v="132"/>
    <x v="25"/>
    <d v="2025-06-02T00:00:00"/>
    <x v="6"/>
    <x v="0"/>
    <x v="7"/>
    <s v="ENTREGUE"/>
    <d v="2025-05-28T00:00:00"/>
    <x v="0"/>
    <m/>
    <n v="0"/>
    <n v="0"/>
    <n v="0"/>
    <n v="0"/>
    <n v="0"/>
  </r>
  <r>
    <x v="2"/>
    <s v="MEI45779"/>
    <s v="Pedido 1608"/>
    <d v="2025-04-28T00:00:00"/>
    <x v="137"/>
    <s v="PedidoF1538"/>
    <s v="CódRastreio1536"/>
    <n v="1"/>
    <s v="CPF 1567"/>
    <s v="Nome 1567"/>
    <s v="Tel 1567"/>
    <s v="Cep 1567"/>
    <s v="Rua 1567"/>
    <s v="Comp 1567"/>
    <s v="Maçarico Culinário Portátil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x v="131"/>
    <x v="134"/>
    <x v="26"/>
    <d v="2025-06-20T00:00:00"/>
    <x v="6"/>
    <x v="0"/>
    <x v="8"/>
    <s v="ENTREGUE"/>
    <d v="2025-05-10T00:00:00"/>
    <x v="0"/>
    <m/>
    <n v="0"/>
    <n v="0"/>
    <n v="0"/>
    <n v="0"/>
    <n v="0"/>
  </r>
  <r>
    <x v="2"/>
    <s v="MEI45775"/>
    <s v="Pedido 1609"/>
    <d v="2025-04-28T00:00:00"/>
    <x v="136"/>
    <s v="PedidoF1539"/>
    <s v="CódRastreio1537"/>
    <n v="1"/>
    <s v="CPF 1568"/>
    <s v="Nome 1568"/>
    <s v="Tel 1568"/>
    <s v="Cep 1568"/>
    <s v="Rua 1568"/>
    <s v="Comp 1568"/>
    <s v="Ventilador Azul"/>
    <s v="PK-L2Z7-MQRQ"/>
    <d v="2025-05-31T00:00:00"/>
    <n v="49.9"/>
    <n v="49.9"/>
    <n v="5.9879999999999995"/>
    <n v="43.91"/>
    <n v="0"/>
    <n v="0.18"/>
    <n v="0.39877104377104378"/>
    <n v="0"/>
    <n v="43.331228956228955"/>
    <n v="21.665614478114477"/>
    <x v="137"/>
    <x v="140"/>
    <x v="26"/>
    <d v="2025-06-20T00:00:00"/>
    <x v="7"/>
    <x v="0"/>
    <x v="7"/>
    <s v="ENTREGUE"/>
    <d v="2025-06-25T00:00:00"/>
    <x v="0"/>
    <m/>
    <n v="0"/>
    <n v="0"/>
    <n v="0"/>
    <n v="0"/>
    <n v="0"/>
  </r>
  <r>
    <x v="2"/>
    <s v="MEI45779"/>
    <s v="Pedido 1610"/>
    <d v="2025-04-28T00:00:00"/>
    <x v="137"/>
    <s v="PedidoF1540"/>
    <s v="CódRastreio1538"/>
    <n v="1"/>
    <s v="CPF 1569"/>
    <s v="Nome 1569"/>
    <s v="Tel 1569"/>
    <s v="Cep 1569"/>
    <s v="Rua 1569"/>
    <s v="Comp 1569"/>
    <s v="Maçarico Culinário Portátil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x v="131"/>
    <x v="134"/>
    <x v="26"/>
    <d v="2025-06-20T00:00:00"/>
    <x v="6"/>
    <x v="0"/>
    <x v="8"/>
    <s v="ENTREGUE"/>
    <d v="2025-05-09T00:00:00"/>
    <x v="0"/>
    <m/>
    <n v="0"/>
    <n v="0"/>
    <n v="0"/>
    <n v="0"/>
    <n v="0"/>
  </r>
  <r>
    <x v="2"/>
    <s v="MEI45777"/>
    <s v="Pedido 1611"/>
    <d v="2025-04-28T00:00:00"/>
    <x v="139"/>
    <s v="PedidoF1541"/>
    <s v="CódRastreio1539"/>
    <n v="1"/>
    <s v="CPF 1570"/>
    <s v="Nome 1570"/>
    <s v="Tel 1570"/>
    <s v="Cep 1570"/>
    <s v="Rua 1570"/>
    <s v="Comp 1570"/>
    <s v="Copo Termico"/>
    <s v="VI-4RT5-1FFO"/>
    <d v="2025-05-24T00:00:00"/>
    <n v="22.7"/>
    <n v="22.7"/>
    <n v="2.7239999999999998"/>
    <n v="19.98"/>
    <n v="17.170000000000002"/>
    <n v="0.12"/>
    <n v="0.39877104377104378"/>
    <n v="0"/>
    <n v="2.2912289562289523"/>
    <n v="1.1456144781144761"/>
    <x v="131"/>
    <x v="134"/>
    <x v="26"/>
    <d v="2025-06-20T00:00:00"/>
    <x v="6"/>
    <x v="0"/>
    <x v="7"/>
    <s v="ENTREGUE"/>
    <d v="2025-05-14T00:00:00"/>
    <x v="0"/>
    <m/>
    <n v="0"/>
    <n v="0"/>
    <n v="0"/>
    <n v="0"/>
    <n v="0"/>
  </r>
  <r>
    <x v="1"/>
    <s v="GO45775"/>
    <s v="Pedido 1612"/>
    <d v="2025-04-25T00:00:00"/>
    <x v="136"/>
    <s v="PedidoF1542"/>
    <s v="CódRastreio1540"/>
    <n v="1"/>
    <s v="CPF 1571"/>
    <s v="Nome 1571"/>
    <s v="Tel 1571"/>
    <s v="Cep 1571"/>
    <s v="Rua 1571"/>
    <s v="Comp 1571"/>
    <s v="Ventilador Preto"/>
    <s v="EP-9PIR-BWXH"/>
    <d v="2025-05-23T00:00:00"/>
    <n v="65.739999999999995"/>
    <n v="65.739999999999995"/>
    <n v="7.8887999999999989"/>
    <n v="57.85"/>
    <n v="13.82"/>
    <n v="0.1"/>
    <n v="0.39877104377104378"/>
    <n v="0"/>
    <n v="43.531228956228958"/>
    <n v="43.531228956228958"/>
    <x v="135"/>
    <x v="138"/>
    <x v="25"/>
    <d v="2025-06-02T00:00:00"/>
    <x v="6"/>
    <x v="0"/>
    <x v="7"/>
    <s v="ENTREGUE"/>
    <d v="2025-05-13T00:00:00"/>
    <x v="0"/>
    <m/>
    <n v="0"/>
    <n v="0"/>
    <n v="0"/>
    <n v="0"/>
    <n v="0"/>
  </r>
  <r>
    <x v="2"/>
    <s v="MEI45776"/>
    <s v="Pedido 1613"/>
    <d v="2025-04-28T00:00:00"/>
    <x v="138"/>
    <s v="PedidoF1543"/>
    <s v="CódRastreio1541"/>
    <n v="1"/>
    <s v="CPF 1572"/>
    <s v="Nome 1572"/>
    <s v="Tel 1572"/>
    <s v="Cep 1572"/>
    <s v="Rua 1572"/>
    <s v="Comp 1572"/>
    <s v="Ventilador Rosa"/>
    <s v="WR-82Y0-OV27"/>
    <d v="2025-05-24T00:00:00"/>
    <n v="49.9"/>
    <n v="49.9"/>
    <n v="5.9879999999999995"/>
    <n v="43.91"/>
    <n v="23.3"/>
    <n v="0.14000000000000001"/>
    <n v="0.39877104377104378"/>
    <n v="0"/>
    <n v="20.07122895622895"/>
    <n v="10.035614478114475"/>
    <x v="131"/>
    <x v="134"/>
    <x v="26"/>
    <d v="2025-06-20T00:00:00"/>
    <x v="6"/>
    <x v="0"/>
    <x v="7"/>
    <s v="ENTREGUE"/>
    <d v="2025-06-02T00:00:00"/>
    <x v="0"/>
    <m/>
    <n v="0"/>
    <n v="0"/>
    <n v="0"/>
    <n v="0"/>
    <n v="0"/>
  </r>
  <r>
    <x v="2"/>
    <s v="MEI45777"/>
    <s v="Pedido 1614"/>
    <d v="2025-04-28T00:00:00"/>
    <x v="139"/>
    <s v="PedidoF1544"/>
    <s v="CódRastreio1542"/>
    <n v="1"/>
    <s v="CPF 1573"/>
    <s v="Nome 1573"/>
    <s v="Tel 1573"/>
    <s v="Cep 1573"/>
    <s v="Rua 1573"/>
    <s v="Comp 1573"/>
    <s v="Ventilador Rosa"/>
    <s v="WR-82Y0-OV27"/>
    <d v="2025-05-24T00:00:00"/>
    <n v="49.9"/>
    <n v="49.9"/>
    <n v="5.9879999999999995"/>
    <n v="43.91"/>
    <n v="20.71"/>
    <n v="0.12"/>
    <n v="0.39877104377104378"/>
    <n v="0"/>
    <n v="22.681228956228949"/>
    <n v="11.340614478114475"/>
    <x v="131"/>
    <x v="134"/>
    <x v="26"/>
    <d v="2025-06-20T00:00:00"/>
    <x v="6"/>
    <x v="0"/>
    <x v="7"/>
    <s v="ENTREGUE"/>
    <d v="2025-05-30T00:00:00"/>
    <x v="0"/>
    <m/>
    <n v="0"/>
    <n v="0"/>
    <n v="0"/>
    <n v="0"/>
    <n v="0"/>
  </r>
  <r>
    <x v="2"/>
    <s v="MEI45779"/>
    <s v="Pedido 1615"/>
    <d v="2025-04-28T00:00:00"/>
    <x v="137"/>
    <s v="PedidoF1545"/>
    <s v="CódRastreio1543"/>
    <n v="1"/>
    <s v="CPF 1574"/>
    <s v="Nome 1574"/>
    <s v="Tel 1574"/>
    <s v="Cep 1574"/>
    <s v="Rua 1574"/>
    <s v="Comp 1574"/>
    <s v="Maçarico Culinário Portátil"/>
    <s v="BG-DHRO-FAEE"/>
    <d v="2025-05-24T00:00:00"/>
    <n v="23.99"/>
    <n v="23.99"/>
    <n v="2.6389"/>
    <n v="21.35"/>
    <n v="0"/>
    <n v="0.11"/>
    <n v="0.39877104377104378"/>
    <n v="0"/>
    <n v="20.841228956228957"/>
    <n v="10.420614478114478"/>
    <x v="131"/>
    <x v="134"/>
    <x v="26"/>
    <d v="2025-06-20T00:00:00"/>
    <x v="6"/>
    <x v="0"/>
    <x v="8"/>
    <s v="ENTREGUE"/>
    <d v="2025-05-11T00:00:00"/>
    <x v="0"/>
    <m/>
    <n v="0"/>
    <n v="0"/>
    <n v="0"/>
    <n v="0"/>
    <n v="0"/>
  </r>
  <r>
    <x v="2"/>
    <s v="MEI-"/>
    <s v="Pedido 1616"/>
    <d v="2025-04-28T00:00:00"/>
    <x v="0"/>
    <s v="-"/>
    <s v="-"/>
    <n v="1"/>
    <s v="CPF 1575"/>
    <s v="Nome 1575"/>
    <s v="Tel 1575"/>
    <s v="Cep 1575"/>
    <s v="Rua 1575"/>
    <s v="Comp 1575"/>
    <s v="Ventilador Rosa"/>
    <s v="WR-82Y0-OV27"/>
    <d v="2025-05-24T00:00:00"/>
    <n v="49.9"/>
    <n v="49.9"/>
    <n v="5.9879999999999995"/>
    <n v="43.91"/>
    <n v="0"/>
    <n v="0"/>
    <n v="0"/>
    <n v="0"/>
    <n v="43.91"/>
    <n v="21.954999999999998"/>
    <x v="131"/>
    <x v="134"/>
    <x v="26"/>
    <d v="2025-06-20T00:00:00"/>
    <x v="6"/>
    <x v="0"/>
    <x v="0"/>
    <s v="-"/>
    <s v="-"/>
    <x v="0"/>
    <m/>
    <n v="0"/>
    <n v="0"/>
    <n v="0"/>
    <n v="0"/>
    <n v="0"/>
  </r>
  <r>
    <x v="2"/>
    <s v="MEI45776"/>
    <s v="Pedido 1617"/>
    <d v="2025-04-29T00:00:00"/>
    <x v="138"/>
    <s v="PedidoF1546"/>
    <s v="CódRastreio1544"/>
    <n v="1"/>
    <s v="CPF 1576"/>
    <s v="Nome 1576"/>
    <s v="Tel 1576"/>
    <s v="Cep 1576"/>
    <s v="Rua 1576"/>
    <s v="Comp 1576"/>
    <s v="Ventilador Umidificador Preto"/>
    <s v="71-KHMZ-MLQW"/>
    <d v="2025-05-24T00:00:00"/>
    <n v="49.99"/>
    <n v="49.99"/>
    <n v="5.4988999999999999"/>
    <n v="44.49"/>
    <n v="0"/>
    <n v="0.14000000000000001"/>
    <n v="0.39877104377104378"/>
    <n v="0"/>
    <n v="43.95122895622896"/>
    <n v="21.97561447811448"/>
    <x v="131"/>
    <x v="134"/>
    <x v="26"/>
    <d v="2025-06-20T00:00:00"/>
    <x v="6"/>
    <x v="0"/>
    <x v="7"/>
    <s v="ENTREGUE"/>
    <d v="2025-05-07T00:00:00"/>
    <x v="0"/>
    <m/>
    <n v="0"/>
    <n v="0"/>
    <n v="0"/>
    <n v="0"/>
    <n v="0"/>
  </r>
  <r>
    <x v="2"/>
    <s v="MEI-"/>
    <s v="Pedido 1618"/>
    <d v="2025-04-29T00:00:00"/>
    <x v="0"/>
    <s v="-"/>
    <s v="-"/>
    <n v="1"/>
    <s v="CPF 1577"/>
    <s v="Nome 1577"/>
    <s v="Tel 1577"/>
    <s v="Cep 1577"/>
    <s v="Rua 1577"/>
    <s v="Comp 1577"/>
    <s v="Maçarico Culinário Portátil"/>
    <s v="BG-DHRO-FAEE"/>
    <d v="2025-05-24T00:00:00"/>
    <n v="23.99"/>
    <n v="23.99"/>
    <n v="2.6389"/>
    <n v="21.35"/>
    <n v="0"/>
    <n v="0"/>
    <n v="0"/>
    <n v="0"/>
    <n v="21.35"/>
    <n v="10.675000000000001"/>
    <x v="131"/>
    <x v="134"/>
    <x v="26"/>
    <d v="2025-06-20T00:00:00"/>
    <x v="6"/>
    <x v="0"/>
    <x v="0"/>
    <s v="-"/>
    <s v="-"/>
    <x v="0"/>
    <m/>
    <n v="0"/>
    <n v="0"/>
    <n v="0"/>
    <n v="0"/>
    <n v="0"/>
  </r>
  <r>
    <x v="2"/>
    <s v="MEI45776"/>
    <s v="Pedido 1619"/>
    <d v="2025-04-29T00:00:00"/>
    <x v="138"/>
    <s v="PedidoF1547"/>
    <s v="CódRastreio1545"/>
    <n v="1"/>
    <s v="CPF 1578"/>
    <s v="Nome 1578"/>
    <s v="Tel 1578"/>
    <s v="Cep 1578"/>
    <s v="Rua 1578"/>
    <s v="Comp 1578"/>
    <s v="Ventilador Azul"/>
    <s v="PK-L2Z7-MQRQ"/>
    <d v="2025-05-31T00:00:00"/>
    <n v="49.9"/>
    <n v="49.9"/>
    <n v="5.9879999999999995"/>
    <n v="43.91"/>
    <n v="0"/>
    <n v="0.14000000000000001"/>
    <n v="0.39877104377104378"/>
    <n v="0"/>
    <n v="43.371228956228954"/>
    <n v="21.685614478114477"/>
    <x v="137"/>
    <x v="140"/>
    <x v="26"/>
    <d v="2025-06-20T00:00:00"/>
    <x v="7"/>
    <x v="0"/>
    <x v="7"/>
    <s v="ENTREGUE"/>
    <d v="2025-06-24T00:00:00"/>
    <x v="0"/>
    <m/>
    <n v="0"/>
    <n v="0"/>
    <n v="0"/>
    <n v="0"/>
    <n v="0"/>
  </r>
  <r>
    <x v="2"/>
    <s v="MEI45777"/>
    <s v="Pedido 1620"/>
    <d v="2025-04-29T00:00:00"/>
    <x v="139"/>
    <s v="PedidoF1548"/>
    <s v="CódRastreio1546"/>
    <n v="1"/>
    <s v="CPF 1579"/>
    <s v="Nome 1579"/>
    <s v="Tel 1579"/>
    <s v="Cep 1579"/>
    <s v="Rua 1579"/>
    <s v="Comp 1579"/>
    <s v="Copo Termico"/>
    <s v="VI-4RT5-1FFO"/>
    <d v="2025-05-24T00:00:00"/>
    <n v="22.7"/>
    <n v="22.7"/>
    <n v="2.7239999999999998"/>
    <n v="19.98"/>
    <n v="12.17"/>
    <n v="0.12"/>
    <n v="0.39877104377104378"/>
    <n v="0"/>
    <n v="7.2912289562289576"/>
    <n v="3.6456144781144788"/>
    <x v="131"/>
    <x v="134"/>
    <x v="26"/>
    <d v="2025-06-20T00:00:00"/>
    <x v="6"/>
    <x v="0"/>
    <x v="7"/>
    <s v="ENTREGUE"/>
    <d v="2025-05-10T00:00:00"/>
    <x v="0"/>
    <m/>
    <n v="0"/>
    <n v="0"/>
    <n v="0"/>
    <n v="0"/>
    <n v="0"/>
  </r>
  <r>
    <x v="2"/>
    <s v="MEI45783"/>
    <s v="Pedido 1621"/>
    <d v="2025-04-29T00:00:00"/>
    <x v="140"/>
    <s v="PedidoF1549"/>
    <s v="CódRastreio1547"/>
    <n v="1"/>
    <s v="CPF 1580"/>
    <s v="Nome 1580"/>
    <s v="Tel 1580"/>
    <s v="Cep 1580"/>
    <s v="Rua 1580"/>
    <s v="Comp 1580"/>
    <s v="Maçarico Culinário Portátil"/>
    <s v="BG-DHRO-FAEE"/>
    <d v="2025-05-24T00:00:00"/>
    <n v="23.99"/>
    <n v="23.99"/>
    <n v="2.6389"/>
    <n v="21.35"/>
    <n v="0"/>
    <n v="0.12"/>
    <n v="0.39877104377104378"/>
    <n v="0"/>
    <n v="20.831228956228959"/>
    <n v="10.415614478114479"/>
    <x v="131"/>
    <x v="134"/>
    <x v="26"/>
    <d v="2025-06-20T00:00:00"/>
    <x v="6"/>
    <x v="0"/>
    <x v="8"/>
    <s v="ENTREGUE"/>
    <d v="2025-05-12T00:00:00"/>
    <x v="0"/>
    <m/>
    <n v="0"/>
    <n v="0"/>
    <n v="0"/>
    <n v="0"/>
    <n v="0"/>
  </r>
  <r>
    <x v="2"/>
    <s v="MEI45776"/>
    <s v="Pedido 1622"/>
    <d v="2025-04-29T00:00:00"/>
    <x v="138"/>
    <s v="PedidoF1550"/>
    <s v="CódRastreio1548"/>
    <n v="1"/>
    <s v="CPF 1581"/>
    <s v="Nome 1581"/>
    <s v="Tel 1581"/>
    <s v="Cep 1581"/>
    <s v="Rua 1581"/>
    <s v="Comp 1581"/>
    <s v="Ventilador Rosa"/>
    <s v="WR-82Y0-OV27"/>
    <d v="2025-05-27T00:00:00"/>
    <n v="49.9"/>
    <n v="49.9"/>
    <n v="5.9879999999999995"/>
    <n v="43.91"/>
    <n v="0"/>
    <n v="0.14000000000000001"/>
    <n v="0.39877104377104378"/>
    <n v="0"/>
    <n v="43.371228956228954"/>
    <n v="21.685614478114477"/>
    <x v="132"/>
    <x v="135"/>
    <x v="26"/>
    <d v="2025-06-20T00:00:00"/>
    <x v="7"/>
    <x v="0"/>
    <x v="7"/>
    <s v="ENTREGUE"/>
    <d v="2025-05-14T00:00:00"/>
    <x v="0"/>
    <m/>
    <n v="0"/>
    <n v="0"/>
    <n v="0"/>
    <n v="0"/>
    <n v="0"/>
  </r>
  <r>
    <x v="2"/>
    <s v="MEI45776"/>
    <s v="Pedido 1623"/>
    <d v="2025-04-29T00:00:00"/>
    <x v="138"/>
    <s v="PedidoF1551"/>
    <s v="CódRastreio1549"/>
    <n v="1"/>
    <s v="CPF 1582"/>
    <s v="Nome 1582"/>
    <s v="Tel 1582"/>
    <s v="Cep 1582"/>
    <s v="Rua 1582"/>
    <s v="Comp 1582"/>
    <s v="Ventilador Azul"/>
    <s v="PK-L2Z7-MQRQ"/>
    <d v="2025-05-27T00:00:00"/>
    <n v="49.9"/>
    <n v="49.9"/>
    <n v="5.9879999999999995"/>
    <n v="43.91"/>
    <n v="22.03"/>
    <n v="0.14000000000000001"/>
    <n v="0.39877104377104378"/>
    <n v="0"/>
    <n v="21.341228956228949"/>
    <n v="10.670614478114475"/>
    <x v="132"/>
    <x v="135"/>
    <x v="26"/>
    <d v="2025-06-20T00:00:00"/>
    <x v="7"/>
    <x v="0"/>
    <x v="7"/>
    <s v="ENTREGUE"/>
    <d v="2025-05-12T00:00:00"/>
    <x v="0"/>
    <m/>
    <n v="0"/>
    <n v="0"/>
    <n v="0"/>
    <n v="0"/>
    <n v="0"/>
  </r>
  <r>
    <x v="2"/>
    <s v="MEI45776"/>
    <s v="Pedido 1624"/>
    <d v="2025-04-29T00:00:00"/>
    <x v="138"/>
    <s v="PedidoF1552"/>
    <s v="CódRastreio1550"/>
    <n v="1"/>
    <s v="CPF 1583"/>
    <s v="Nome 1583"/>
    <s v="Tel 1583"/>
    <s v="Cep 1583"/>
    <s v="Rua 1583"/>
    <s v="Comp 1583"/>
    <s v="Ventilador Umidificador Preto"/>
    <s v="71-KHMZ-MLQW"/>
    <d v="2025-05-27T00:00:00"/>
    <n v="49.99"/>
    <n v="49.99"/>
    <n v="5.4988999999999999"/>
    <n v="44.49"/>
    <n v="0"/>
    <n v="0.14000000000000001"/>
    <n v="0.39877104377104378"/>
    <n v="0"/>
    <n v="43.95122895622896"/>
    <n v="21.97561447811448"/>
    <x v="132"/>
    <x v="135"/>
    <x v="26"/>
    <d v="2025-06-20T00:00:00"/>
    <x v="7"/>
    <x v="0"/>
    <x v="7"/>
    <s v="ENTREGUE"/>
    <d v="2025-07-30T00:00:00"/>
    <x v="0"/>
    <m/>
    <n v="0"/>
    <n v="0"/>
    <n v="0"/>
    <n v="0"/>
    <n v="0"/>
  </r>
  <r>
    <x v="2"/>
    <s v="MEI45783"/>
    <s v="Pedido 1625"/>
    <d v="2025-04-29T00:00:00"/>
    <x v="140"/>
    <s v="PedidoF1553"/>
    <s v="CódRastreio1551"/>
    <n v="1"/>
    <s v="CPF 1584"/>
    <s v="Nome 1584"/>
    <s v="Tel 1584"/>
    <s v="Cep 1584"/>
    <s v="Rua 1584"/>
    <s v="Comp 1584"/>
    <s v="Maçarico Culinário Portátil"/>
    <s v="BG-DHRO-FAEE"/>
    <d v="2025-05-27T00:00:00"/>
    <n v="23.99"/>
    <n v="23.99"/>
    <n v="2.6389"/>
    <n v="21.35"/>
    <n v="14.52"/>
    <n v="0.12"/>
    <n v="0.39877104377104378"/>
    <n v="0"/>
    <n v="6.311228956228959"/>
    <n v="3.1556144781144795"/>
    <x v="132"/>
    <x v="135"/>
    <x v="26"/>
    <d v="2025-06-20T00:00:00"/>
    <x v="7"/>
    <x v="0"/>
    <x v="8"/>
    <s v="ENTREGUE"/>
    <d v="2025-05-13T00:00:00"/>
    <x v="0"/>
    <m/>
    <n v="0"/>
    <n v="0"/>
    <n v="0"/>
    <n v="0"/>
    <n v="0"/>
  </r>
  <r>
    <x v="2"/>
    <s v="MEI45776"/>
    <s v="Pedido 1626"/>
    <d v="2025-04-29T00:00:00"/>
    <x v="138"/>
    <s v="PedidoF1554"/>
    <s v="CódRastreio1552"/>
    <n v="1"/>
    <s v="CPF 1585"/>
    <s v="Nome 1585"/>
    <s v="Tel 1585"/>
    <s v="Cep 1585"/>
    <s v="Rua 1585"/>
    <s v="Comp 1585"/>
    <s v="Ventilador Azul"/>
    <s v="PK-L2Z7-MQRQ"/>
    <d v="2025-06-03T00:00:00"/>
    <n v="49.9"/>
    <n v="49.9"/>
    <n v="5.9879999999999995"/>
    <n v="43.91"/>
    <n v="14.02"/>
    <n v="0.14000000000000001"/>
    <n v="0.39877104377104378"/>
    <n v="0"/>
    <n v="29.351228956228951"/>
    <n v="14.675614478114476"/>
    <x v="138"/>
    <x v="141"/>
    <x v="26"/>
    <d v="2025-06-20T00:00:00"/>
    <x v="7"/>
    <x v="0"/>
    <x v="7"/>
    <s v="ENTREGUE"/>
    <d v="2025-05-23T00:00:00"/>
    <x v="0"/>
    <m/>
    <n v="0"/>
    <n v="0"/>
    <n v="0"/>
    <n v="0"/>
    <n v="0"/>
  </r>
  <r>
    <x v="2"/>
    <s v="MEI45776"/>
    <s v="Pedido 1627"/>
    <d v="2025-04-29T00:00:00"/>
    <x v="138"/>
    <s v="PedidoF1555"/>
    <s v="CódRastreio1553"/>
    <n v="1"/>
    <s v="CPF 1586"/>
    <s v="Nome 1586"/>
    <s v="Tel 1586"/>
    <s v="Cep 1586"/>
    <s v="Rua 1586"/>
    <s v="Comp 1586"/>
    <s v="Ventilador Rosa"/>
    <s v="WR-82Y0-OV27"/>
    <d v="2025-05-27T00:00:00"/>
    <n v="49.9"/>
    <n v="49.9"/>
    <n v="5.9879999999999995"/>
    <n v="43.91"/>
    <n v="22.47"/>
    <n v="0.14000000000000001"/>
    <n v="0.39877104377104378"/>
    <n v="0"/>
    <n v="20.901228956228952"/>
    <n v="10.450614478114476"/>
    <x v="132"/>
    <x v="135"/>
    <x v="26"/>
    <d v="2025-06-20T00:00:00"/>
    <x v="7"/>
    <x v="0"/>
    <x v="7"/>
    <s v="ENTREGUE"/>
    <d v="2025-05-13T00:00:00"/>
    <x v="0"/>
    <m/>
    <n v="0"/>
    <n v="0"/>
    <n v="0"/>
    <n v="0"/>
    <n v="0"/>
  </r>
  <r>
    <x v="2"/>
    <s v="MEI-"/>
    <s v="Pedido 1628"/>
    <d v="2025-04-29T00:00:00"/>
    <x v="0"/>
    <s v="-"/>
    <s v="-"/>
    <n v="1"/>
    <s v="CPF 1587"/>
    <s v="Nome 1587"/>
    <s v="Tel 1587"/>
    <s v="Cep 1587"/>
    <s v="Rua 1587"/>
    <s v="Comp 1587"/>
    <s v="Ventilador Umidificador Preto"/>
    <s v="71-KHMZ-MLQW"/>
    <d v="2025-06-03T00:00:00"/>
    <n v="49.99"/>
    <n v="49.99"/>
    <n v="5.4988999999999999"/>
    <n v="44.49"/>
    <n v="0"/>
    <n v="0"/>
    <n v="0"/>
    <n v="0"/>
    <n v="44.49"/>
    <n v="22.245000000000001"/>
    <x v="138"/>
    <x v="141"/>
    <x v="26"/>
    <d v="2025-06-20T00:00:00"/>
    <x v="7"/>
    <x v="0"/>
    <x v="0"/>
    <s v="-"/>
    <s v="-"/>
    <x v="0"/>
    <m/>
    <n v="0"/>
    <n v="0"/>
    <n v="0"/>
    <n v="0"/>
    <n v="0"/>
  </r>
  <r>
    <x v="2"/>
    <s v="MEI45777"/>
    <s v="Pedido 1629"/>
    <d v="2025-04-29T00:00:00"/>
    <x v="139"/>
    <s v="PedidoF1556"/>
    <s v="CódRastreio1554"/>
    <n v="1"/>
    <s v="CPF 1588"/>
    <s v="Nome 1588"/>
    <s v="Tel 1588"/>
    <s v="Cep 1588"/>
    <s v="Rua 1588"/>
    <s v="Comp 1588"/>
    <s v="Ventilador Umidificador Preto"/>
    <s v="71-KHMZ-MLQW"/>
    <d v="2025-06-03T00:00:00"/>
    <n v="49.99"/>
    <n v="49.99"/>
    <n v="5.4988999999999999"/>
    <n v="44.49"/>
    <n v="24.58"/>
    <n v="0.12"/>
    <n v="0.39877104377104378"/>
    <n v="0"/>
    <n v="19.391228956228957"/>
    <n v="9.6956144781144786"/>
    <x v="138"/>
    <x v="141"/>
    <x v="26"/>
    <d v="2025-06-20T00:00:00"/>
    <x v="7"/>
    <x v="0"/>
    <x v="7"/>
    <s v="ENTREGUE"/>
    <d v="2025-05-20T00:00:00"/>
    <x v="0"/>
    <m/>
    <n v="0"/>
    <n v="0"/>
    <n v="0"/>
    <n v="0"/>
    <n v="0"/>
  </r>
  <r>
    <x v="2"/>
    <s v="MEI45777"/>
    <s v="Pedido 1630"/>
    <d v="2025-04-29T00:00:00"/>
    <x v="139"/>
    <s v="PedidoF1557"/>
    <s v="CódRastreio1555"/>
    <n v="1"/>
    <s v="CPF 1589"/>
    <s v="Nome 1589"/>
    <s v="Tel 1589"/>
    <s v="Cep 1589"/>
    <s v="Rua 1589"/>
    <s v="Comp 1589"/>
    <s v="Ventilador Preto"/>
    <s v="WU-SS4J-LFOH"/>
    <d v="2025-05-21T00:00:00"/>
    <n v="65.7"/>
    <n v="65.7"/>
    <n v="7.8840000000000003"/>
    <n v="57.82"/>
    <n v="20.91"/>
    <n v="0.12"/>
    <n v="0.39877104377104378"/>
    <n v="0"/>
    <n v="36.391228956228957"/>
    <n v="18.195614478114479"/>
    <x v="133"/>
    <x v="136"/>
    <x v="25"/>
    <d v="2025-06-02T00:00:00"/>
    <x v="6"/>
    <x v="0"/>
    <x v="7"/>
    <s v="ENTREGUE"/>
    <d v="2025-05-08T00:00:00"/>
    <x v="0"/>
    <m/>
    <n v="0"/>
    <n v="0"/>
    <n v="0"/>
    <n v="0"/>
    <n v="0"/>
  </r>
  <r>
    <x v="2"/>
    <s v="MEI-"/>
    <s v="Pedido 1631"/>
    <d v="2025-04-30T00:00:00"/>
    <x v="0"/>
    <s v="-"/>
    <s v="-"/>
    <n v="1"/>
    <s v="CPF 1590"/>
    <s v="Nome 1590"/>
    <s v="Tel 1590"/>
    <s v="Cep 1590"/>
    <s v="Rua 1590"/>
    <s v="Comp 1590"/>
    <s v="Maçarico Culinário Portátil"/>
    <s v="BG-DHRO-FAEE"/>
    <d v="2025-06-03T00:00:00"/>
    <n v="23.99"/>
    <n v="23.99"/>
    <n v="2.6389"/>
    <n v="21.35"/>
    <n v="0"/>
    <n v="0"/>
    <n v="0"/>
    <n v="0"/>
    <n v="21.35"/>
    <n v="10.675000000000001"/>
    <x v="138"/>
    <x v="141"/>
    <x v="26"/>
    <d v="2025-06-20T00:00:00"/>
    <x v="7"/>
    <x v="0"/>
    <x v="0"/>
    <s v="-"/>
    <s v="-"/>
    <x v="0"/>
    <m/>
    <n v="0"/>
    <n v="0"/>
    <n v="0"/>
    <n v="0"/>
    <n v="0"/>
  </r>
  <r>
    <x v="2"/>
    <s v="MEI45777"/>
    <s v="Pedido 1632"/>
    <d v="2025-04-30T00:00:00"/>
    <x v="139"/>
    <s v="PedidoF1558"/>
    <s v="CódRastreio1556"/>
    <n v="1"/>
    <s v="CPF 1591"/>
    <s v="Nome 1591"/>
    <s v="Tel 1591"/>
    <s v="Cep 1591"/>
    <s v="Rua 1591"/>
    <s v="Comp 1591"/>
    <s v="Copo Termico"/>
    <s v="VI-4RT5-1FFO"/>
    <d v="2025-05-21T00:00:00"/>
    <n v="22.7"/>
    <n v="22.7"/>
    <n v="2.7239999999999998"/>
    <n v="19.98"/>
    <n v="16.2"/>
    <n v="0.12"/>
    <n v="0.39877104377104378"/>
    <n v="0"/>
    <n v="3.2612289562289547"/>
    <n v="1.6306144781144774"/>
    <x v="133"/>
    <x v="136"/>
    <x v="25"/>
    <d v="2025-06-02T00:00:00"/>
    <x v="6"/>
    <x v="0"/>
    <x v="7"/>
    <s v="ENTREGUE"/>
    <d v="2025-05-28T00:00:00"/>
    <x v="0"/>
    <m/>
    <n v="0"/>
    <n v="0"/>
    <n v="0"/>
    <n v="0"/>
    <n v="0"/>
  </r>
  <r>
    <x v="2"/>
    <s v="MEI-"/>
    <s v="Pedido 1633"/>
    <d v="2025-04-30T00:00:00"/>
    <x v="0"/>
    <s v="-"/>
    <s v="-"/>
    <n v="1"/>
    <s v="CPF 1592"/>
    <s v="Nome 1592"/>
    <s v="Tel 1592"/>
    <s v="Cep 1592"/>
    <s v="Rua 1592"/>
    <s v="Comp 1592"/>
    <s v="Maçarico Culinário Portátil"/>
    <s v="BG-DHRO-FAEE"/>
    <d v="2025-05-22T00:00:00"/>
    <n v="23.99"/>
    <n v="23.99"/>
    <n v="2.6389"/>
    <n v="21.35"/>
    <n v="0"/>
    <n v="0"/>
    <n v="0"/>
    <n v="0"/>
    <n v="21.35"/>
    <n v="10.675000000000001"/>
    <x v="130"/>
    <x v="133"/>
    <x v="25"/>
    <d v="2025-06-02T00:00:00"/>
    <x v="6"/>
    <x v="0"/>
    <x v="0"/>
    <s v="-"/>
    <s v="-"/>
    <x v="0"/>
    <m/>
    <n v="0"/>
    <n v="0"/>
    <n v="0"/>
    <n v="0"/>
    <n v="0"/>
  </r>
  <r>
    <x v="2"/>
    <s v="MEI45777"/>
    <s v="Pedido 1634"/>
    <d v="2025-04-30T00:00:00"/>
    <x v="139"/>
    <s v="PedidoF1559"/>
    <s v="CódRastreio1557"/>
    <n v="1"/>
    <s v="CPF 1593"/>
    <s v="Nome 1593"/>
    <s v="Tel 1593"/>
    <s v="Cep 1593"/>
    <s v="Rua 1593"/>
    <s v="Comp 1593"/>
    <s v="Ventilador Umidificador Preto"/>
    <s v="71-KHMZ-MLQW"/>
    <d v="2025-05-28T00:00:00"/>
    <n v="49.99"/>
    <n v="49.99"/>
    <n v="5.4988999999999999"/>
    <n v="44.49"/>
    <n v="0"/>
    <n v="0.12"/>
    <n v="0.39877104377104378"/>
    <n v="0"/>
    <n v="43.971228956228956"/>
    <n v="21.985614478114478"/>
    <x v="139"/>
    <x v="142"/>
    <x v="26"/>
    <d v="2025-06-20T00:00:00"/>
    <x v="7"/>
    <x v="0"/>
    <x v="7"/>
    <s v="ENTREGUE"/>
    <d v="2025-06-21T00:00:00"/>
    <x v="0"/>
    <m/>
    <n v="0"/>
    <n v="0"/>
    <n v="0"/>
    <n v="0"/>
    <n v="0"/>
  </r>
  <r>
    <x v="2"/>
    <s v="MEI45783"/>
    <s v="Pedido 1635"/>
    <d v="2025-04-30T00:00:00"/>
    <x v="140"/>
    <s v="PedidoF1560"/>
    <s v="CódRastreio1558"/>
    <n v="1"/>
    <s v="CPF 1594"/>
    <s v="Nome 1594"/>
    <s v="Tel 1594"/>
    <s v="Cep 1594"/>
    <s v="Rua 1594"/>
    <s v="Comp 1594"/>
    <s v="Maçarico Culinário Portátil"/>
    <s v="BG-DHRO-FAEE"/>
    <d v="2025-05-22T00:00:00"/>
    <n v="23.99"/>
    <n v="23.99"/>
    <n v="2.6389"/>
    <n v="21.35"/>
    <n v="14.52"/>
    <n v="0.12"/>
    <n v="0.39877104377104378"/>
    <n v="0"/>
    <n v="6.311228956228959"/>
    <n v="3.1556144781144795"/>
    <x v="130"/>
    <x v="133"/>
    <x v="25"/>
    <d v="2025-06-02T00:00:00"/>
    <x v="6"/>
    <x v="0"/>
    <x v="8"/>
    <s v="ENTREGUE"/>
    <d v="2025-05-16T00:00:00"/>
    <x v="0"/>
    <m/>
    <n v="0"/>
    <n v="0"/>
    <n v="0"/>
    <n v="0"/>
    <n v="0"/>
  </r>
  <r>
    <x v="2"/>
    <s v="MEI45777"/>
    <s v="Pedido 1636"/>
    <d v="2025-04-30T00:00:00"/>
    <x v="139"/>
    <s v="PedidoF1561"/>
    <s v="CódRastreio1559"/>
    <n v="1"/>
    <s v="CPF 1595"/>
    <s v="Nome 1595"/>
    <s v="Tel 1595"/>
    <s v="Cep 1595"/>
    <s v="Rua 1595"/>
    <s v="Comp 1595"/>
    <s v="Ventilador Azul"/>
    <s v="PK-L2Z7-MQRQ"/>
    <d v="2025-05-28T00:00:00"/>
    <n v="49.9"/>
    <n v="49.9"/>
    <n v="5.9879999999999995"/>
    <n v="43.91"/>
    <n v="21.11"/>
    <n v="0.12"/>
    <n v="0.39877104377104378"/>
    <n v="0"/>
    <n v="22.281228956228951"/>
    <n v="11.140614478114475"/>
    <x v="139"/>
    <x v="142"/>
    <x v="26"/>
    <d v="2025-06-20T00:00:00"/>
    <x v="7"/>
    <x v="0"/>
    <x v="7"/>
    <s v="ENTREGUE"/>
    <d v="2025-05-28T00:00:00"/>
    <x v="0"/>
    <m/>
    <n v="0"/>
    <n v="0"/>
    <n v="0"/>
    <n v="0"/>
    <n v="0"/>
  </r>
  <r>
    <x v="2"/>
    <s v="MEI45783"/>
    <s v="Pedido 1637"/>
    <d v="2025-04-30T00:00:00"/>
    <x v="140"/>
    <s v="PedidoF1562"/>
    <s v="CódRastreio1560"/>
    <n v="1"/>
    <s v="CPF 1596"/>
    <s v="Nome 1596"/>
    <s v="Tel 1596"/>
    <s v="Cep 1596"/>
    <s v="Rua 1596"/>
    <s v="Comp 1596"/>
    <s v="Maçarico Culinário Portátil"/>
    <s v="BG-DHRO-FAEE"/>
    <d v="2025-05-28T00:00:00"/>
    <n v="23.99"/>
    <n v="23.99"/>
    <n v="2.6389"/>
    <n v="21.35"/>
    <n v="14.52"/>
    <n v="0.12"/>
    <n v="0.39877104377104378"/>
    <n v="0"/>
    <n v="6.311228956228959"/>
    <n v="3.1556144781144795"/>
    <x v="139"/>
    <x v="142"/>
    <x v="26"/>
    <d v="2025-06-20T00:00:00"/>
    <x v="7"/>
    <x v="0"/>
    <x v="8"/>
    <s v="ENTREGUE"/>
    <d v="2025-05-12T00:00:00"/>
    <x v="0"/>
    <m/>
    <n v="0"/>
    <n v="0"/>
    <n v="0"/>
    <n v="0"/>
    <n v="0"/>
  </r>
  <r>
    <x v="2"/>
    <s v="MEI45777"/>
    <s v="Pedido 1638"/>
    <d v="2025-04-30T00:00:00"/>
    <x v="139"/>
    <s v="PedidoF1563"/>
    <s v="CódRastreio1561"/>
    <n v="1"/>
    <s v="CPF 1597"/>
    <s v="Nome 1597"/>
    <s v="Tel 1597"/>
    <s v="Cep 1597"/>
    <s v="Rua 1597"/>
    <s v="Comp 1597"/>
    <s v="Ventilador Azul"/>
    <s v="PK-L2Z7-MQRQ"/>
    <d v="2025-05-28T00:00:00"/>
    <n v="49.9"/>
    <n v="49.9"/>
    <n v="5.9879999999999995"/>
    <n v="43.91"/>
    <n v="21.94"/>
    <n v="0.12"/>
    <n v="0.39877104377104378"/>
    <n v="0"/>
    <n v="21.451228956228949"/>
    <n v="10.725614478114474"/>
    <x v="139"/>
    <x v="142"/>
    <x v="26"/>
    <d v="2025-06-20T00:00:00"/>
    <x v="7"/>
    <x v="0"/>
    <x v="7"/>
    <s v="ENTREGUE"/>
    <d v="2025-05-28T00:00:00"/>
    <x v="0"/>
    <m/>
    <n v="0"/>
    <n v="0"/>
    <n v="0"/>
    <n v="0"/>
    <n v="0"/>
  </r>
  <r>
    <x v="2"/>
    <s v="MEI45777"/>
    <s v="Pedido 1639"/>
    <d v="2025-04-30T00:00:00"/>
    <x v="139"/>
    <s v="PedidoF1564"/>
    <s v="CódRastreio1562"/>
    <n v="1"/>
    <s v="CPF 1598"/>
    <s v="Nome 1598"/>
    <s v="Tel 1598"/>
    <s v="Cep 1598"/>
    <s v="Rua 1598"/>
    <s v="Comp 1598"/>
    <s v="Mini Liquidificador"/>
    <s v="A4-5W51-K3HF"/>
    <d v="2025-05-22T00:00:00"/>
    <n v="35.799999999999997"/>
    <n v="35.799999999999997"/>
    <n v="4.2959999999999994"/>
    <n v="31.5"/>
    <n v="19.989999999999998"/>
    <n v="0.12"/>
    <n v="0.39877104377104378"/>
    <n v="0"/>
    <n v="10.991228956228955"/>
    <n v="5.4956144781144776"/>
    <x v="130"/>
    <x v="133"/>
    <x v="25"/>
    <d v="2025-06-02T00:00:00"/>
    <x v="6"/>
    <x v="0"/>
    <x v="7"/>
    <s v="ENTREGUE"/>
    <d v="2025-05-10T00:00:00"/>
    <x v="0"/>
    <m/>
    <n v="0"/>
    <n v="0"/>
    <n v="0"/>
    <n v="0"/>
    <n v="0"/>
  </r>
  <r>
    <x v="2"/>
    <s v="MEI45783"/>
    <s v="Pedido 1640"/>
    <d v="2025-05-01T00:00:00"/>
    <x v="140"/>
    <s v="PedidoF1565"/>
    <s v="CódRastreio1563"/>
    <n v="1"/>
    <s v="CPF 1599"/>
    <s v="Nome 1599"/>
    <s v="Tel 1599"/>
    <s v="Cep 1599"/>
    <s v="Rua 1599"/>
    <s v="Comp 1599"/>
    <s v="Maçarico Culinário Portátil"/>
    <s v="BG-DHRO-FAEE"/>
    <d v="2025-05-28T00:00:00"/>
    <n v="31.99"/>
    <n v="31.99"/>
    <n v="3.5188999999999999"/>
    <n v="28.47"/>
    <n v="0"/>
    <n v="0.12"/>
    <n v="0.39877104377104378"/>
    <n v="0"/>
    <n v="27.951228956228956"/>
    <n v="13.975614478114478"/>
    <x v="139"/>
    <x v="142"/>
    <x v="26"/>
    <d v="2025-06-20T00:00:00"/>
    <x v="7"/>
    <x v="0"/>
    <x v="8"/>
    <s v="ENTREGUE"/>
    <d v="2025-05-12T00:00:00"/>
    <x v="0"/>
    <m/>
    <n v="0"/>
    <n v="0"/>
    <n v="0"/>
    <n v="0"/>
    <n v="0"/>
  </r>
  <r>
    <x v="2"/>
    <s v="MEI-"/>
    <s v="Pedido 1641"/>
    <d v="2025-05-01T00:00:00"/>
    <x v="0"/>
    <s v="-"/>
    <s v="-"/>
    <n v="1"/>
    <s v="CPF 1600"/>
    <s v="Nome 1600"/>
    <s v="Tel 1600"/>
    <s v="Cep 1600"/>
    <s v="Rua 1600"/>
    <s v="Comp 1600"/>
    <s v="Maçarico Culinário Portátil"/>
    <s v="BG-DHRO-FAEE"/>
    <d v="2025-06-04T00:00:00"/>
    <n v="31.99"/>
    <n v="31.99"/>
    <n v="3.5188999999999999"/>
    <n v="28.47"/>
    <n v="0"/>
    <n v="0"/>
    <n v="0"/>
    <n v="0"/>
    <n v="28.47"/>
    <n v="14.234999999999999"/>
    <x v="140"/>
    <x v="143"/>
    <x v="26"/>
    <d v="2025-06-20T00:00:00"/>
    <x v="7"/>
    <x v="0"/>
    <x v="0"/>
    <s v="-"/>
    <s v="-"/>
    <x v="0"/>
    <m/>
    <n v="0"/>
    <n v="0"/>
    <n v="0"/>
    <n v="0"/>
    <n v="0"/>
  </r>
  <r>
    <x v="2"/>
    <s v="MEI45779"/>
    <s v="Pedido 1642"/>
    <d v="2025-05-01T00:00:00"/>
    <x v="137"/>
    <s v="PedidoF1566"/>
    <s v="CódRastreio1564"/>
    <n v="1"/>
    <s v="CPF 1601"/>
    <s v="Nome 1601"/>
    <s v="Tel 1601"/>
    <s v="Cep 1601"/>
    <s v="Rua 1601"/>
    <s v="Comp 1601"/>
    <s v="Ventilador Azul"/>
    <s v="PK-L2Z7-MQRQ"/>
    <d v="2025-05-22T00:00:00"/>
    <n v="48.9"/>
    <n v="48.9"/>
    <n v="5.8679999999999994"/>
    <n v="43.03"/>
    <n v="21.44"/>
    <n v="0.11"/>
    <n v="0.39877104377104378"/>
    <n v="0"/>
    <n v="21.081228956228955"/>
    <n v="10.540614478114477"/>
    <x v="130"/>
    <x v="133"/>
    <x v="25"/>
    <d v="2025-06-02T00:00:00"/>
    <x v="6"/>
    <x v="0"/>
    <x v="8"/>
    <s v="ENTREGUE"/>
    <d v="2025-05-19T00:00:00"/>
    <x v="0"/>
    <m/>
    <n v="0"/>
    <n v="0"/>
    <n v="0"/>
    <n v="0"/>
    <n v="0"/>
  </r>
  <r>
    <x v="2"/>
    <s v="MEI-"/>
    <s v="Pedido 1643"/>
    <d v="2025-05-01T00:00:00"/>
    <x v="0"/>
    <s v="-"/>
    <s v="-"/>
    <n v="1"/>
    <s v="CPF 1602"/>
    <s v="Nome 1602"/>
    <s v="Tel 1602"/>
    <s v="Cep 1602"/>
    <s v="Rua 1602"/>
    <s v="Comp 1602"/>
    <s v="Ventilador Azul"/>
    <s v="PK-L2Z7-MQRQ"/>
    <d v="2025-06-04T00:00:00"/>
    <n v="48.9"/>
    <n v="48.9"/>
    <n v="5.8679999999999994"/>
    <n v="43.03"/>
    <n v="0"/>
    <n v="0"/>
    <n v="0"/>
    <n v="0"/>
    <n v="43.03"/>
    <n v="21.515000000000001"/>
    <x v="140"/>
    <x v="143"/>
    <x v="26"/>
    <d v="2025-06-20T00:00:00"/>
    <x v="7"/>
    <x v="0"/>
    <x v="0"/>
    <s v="-"/>
    <s v="-"/>
    <x v="0"/>
    <m/>
    <n v="0"/>
    <n v="0"/>
    <n v="0"/>
    <n v="0"/>
    <n v="0"/>
  </r>
  <r>
    <x v="2"/>
    <s v="MEI45779"/>
    <s v="Pedido 1644"/>
    <d v="2025-05-02T00:00:00"/>
    <x v="137"/>
    <s v="PedidoF1567"/>
    <s v="CódRastreio1565"/>
    <n v="1"/>
    <s v="CPF 1603"/>
    <s v="Nome 1603"/>
    <s v="Tel 1603"/>
    <s v="Cep 1603"/>
    <s v="Rua 1603"/>
    <s v="Comp 1603"/>
    <s v="Copo Termico"/>
    <s v="VI-4RT5-1FFO"/>
    <d v="2025-05-20T00:00:00"/>
    <n v="22.7"/>
    <n v="22.7"/>
    <n v="2.7239999999999998"/>
    <n v="19.98"/>
    <n v="11.92"/>
    <n v="0.11"/>
    <n v="0.39877104377104378"/>
    <n v="0"/>
    <n v="7.5512289562289574"/>
    <n v="3.7756144781144787"/>
    <x v="129"/>
    <x v="132"/>
    <x v="25"/>
    <d v="2025-06-02T00:00:00"/>
    <x v="6"/>
    <x v="0"/>
    <x v="8"/>
    <s v="ENTREGUE"/>
    <d v="2025-05-16T00:00:00"/>
    <x v="0"/>
    <m/>
    <n v="0"/>
    <n v="0"/>
    <n v="0"/>
    <n v="0"/>
    <n v="0"/>
  </r>
  <r>
    <x v="2"/>
    <s v="MEI45779"/>
    <s v="Pedido 1645"/>
    <d v="2025-04-29T00:00:00"/>
    <x v="137"/>
    <s v="PedidoF1568"/>
    <s v="CódRastreio1566"/>
    <n v="1"/>
    <s v="CPF 1604"/>
    <s v="Nome 1604"/>
    <s v="Tel 1604"/>
    <s v="Cep 1604"/>
    <s v="Rua 1604"/>
    <s v="Comp 1604"/>
    <s v="Mini Liquidificador"/>
    <s v="A4-5W51-K3HF"/>
    <d v="2025-05-22T00:00:00"/>
    <n v="35.799999999999997"/>
    <n v="35.799999999999997"/>
    <n v="4.2959999999999994"/>
    <n v="31.5"/>
    <n v="0"/>
    <n v="0.11"/>
    <n v="0.39877104377104378"/>
    <n v="0"/>
    <n v="30.991228956228955"/>
    <n v="15.495614478114478"/>
    <x v="130"/>
    <x v="133"/>
    <x v="25"/>
    <d v="2025-06-02T00:00:00"/>
    <x v="6"/>
    <x v="0"/>
    <x v="8"/>
    <s v="ENTREGUE"/>
    <d v="2025-06-06T00:00:00"/>
    <x v="0"/>
    <m/>
    <n v="0"/>
    <n v="0"/>
    <n v="0"/>
    <n v="0"/>
    <n v="0"/>
  </r>
  <r>
    <x v="2"/>
    <s v="MEI45779"/>
    <s v="Pedido 1646"/>
    <d v="2025-05-02T00:00:00"/>
    <x v="137"/>
    <s v="PedidoF1569"/>
    <s v="CódRastreio1567"/>
    <n v="1"/>
    <s v="CPF 1605"/>
    <s v="Nome 1605"/>
    <s v="Tel 1605"/>
    <s v="Cep 1605"/>
    <s v="Rua 1605"/>
    <s v="Comp 1605"/>
    <s v="Ventilador Preto"/>
    <s v="WU-SS4J-LFOH"/>
    <d v="2025-05-29T00:00:00"/>
    <n v="65.7"/>
    <n v="65.7"/>
    <n v="7.8840000000000003"/>
    <n v="57.82"/>
    <n v="14.51"/>
    <n v="0.11"/>
    <n v="0.39877104377104378"/>
    <n v="0"/>
    <n v="42.801228956228954"/>
    <n v="21.400614478114477"/>
    <x v="134"/>
    <x v="137"/>
    <x v="26"/>
    <d v="2025-06-20T00:00:00"/>
    <x v="7"/>
    <x v="0"/>
    <x v="8"/>
    <s v="ENTREGUE"/>
    <d v="2025-05-15T00:00:00"/>
    <x v="0"/>
    <m/>
    <n v="0"/>
    <n v="0"/>
    <n v="0"/>
    <n v="0"/>
    <n v="0"/>
  </r>
  <r>
    <x v="1"/>
    <s v="GO45779"/>
    <s v="Pedido 1647"/>
    <d v="2025-05-02T00:00:00"/>
    <x v="137"/>
    <s v="PedidoF1570"/>
    <s v="CódRastreio1568"/>
    <n v="1"/>
    <s v="CPF 1606"/>
    <s v="Nome 1606"/>
    <s v="Tel 1606"/>
    <s v="Cep 1606"/>
    <s v="Rua 1606"/>
    <s v="Comp 1606"/>
    <s v="Ventilador Rosa"/>
    <s v="MK-OUQW-7L3Z"/>
    <d v="2025-05-29T00:00:00"/>
    <n v="54.9"/>
    <n v="54.9"/>
    <n v="6.5879999999999992"/>
    <n v="48.31"/>
    <n v="13.85"/>
    <n v="0.1"/>
    <n v="0.39877104377104378"/>
    <n v="0"/>
    <n v="33.961228956228958"/>
    <n v="33.961228956228958"/>
    <x v="134"/>
    <x v="137"/>
    <x v="26"/>
    <d v="2025-06-20T00:00:00"/>
    <x v="7"/>
    <x v="0"/>
    <x v="8"/>
    <s v="ENTREGUE"/>
    <d v="2025-05-22T00:00:00"/>
    <x v="0"/>
    <m/>
    <n v="0"/>
    <n v="0"/>
    <n v="0"/>
    <n v="0"/>
    <n v="0"/>
  </r>
  <r>
    <x v="2"/>
    <s v="MEI45782"/>
    <s v="Pedido 1648"/>
    <d v="2025-05-02T00:00:00"/>
    <x v="141"/>
    <s v="PedidoF1571"/>
    <s v="CódRastreio1569"/>
    <n v="1"/>
    <s v="CPF 1607"/>
    <s v="Nome 1607"/>
    <s v="Tel 1607"/>
    <s v="Cep 1607"/>
    <s v="Rua 1607"/>
    <s v="Comp 1607"/>
    <s v="Garrafa Termica"/>
    <s v="LF-R6MC-WKWP"/>
    <d v="2025-05-29T00:00:00"/>
    <n v="32.67"/>
    <n v="32.67"/>
    <n v="3.9203999999999999"/>
    <n v="28.75"/>
    <n v="17.3"/>
    <n v="0.23"/>
    <n v="0.39877104377104378"/>
    <n v="0"/>
    <n v="10.821228956228953"/>
    <n v="5.4106144781144767"/>
    <x v="134"/>
    <x v="137"/>
    <x v="26"/>
    <d v="2025-06-20T00:00:00"/>
    <x v="7"/>
    <x v="0"/>
    <x v="8"/>
    <s v="ENTREGUE"/>
    <d v="2025-05-23T00:00:00"/>
    <x v="0"/>
    <m/>
    <n v="0"/>
    <n v="0"/>
    <n v="0"/>
    <n v="0"/>
    <n v="0"/>
  </r>
  <r>
    <x v="2"/>
    <s v="MEI45782"/>
    <s v="Pedido 1649"/>
    <d v="2025-05-02T00:00:00"/>
    <x v="141"/>
    <s v="PedidoF1572"/>
    <s v="CódRastreio1570"/>
    <n v="1"/>
    <s v="CPF 1608"/>
    <s v="Nome 1608"/>
    <s v="Tel 1608"/>
    <s v="Cep 1608"/>
    <s v="Rua 1608"/>
    <s v="Comp 1608"/>
    <s v="Ventilador Rosa"/>
    <s v="WR-82Y0-OV27"/>
    <d v="2025-06-05T00:00:00"/>
    <n v="49.9"/>
    <n v="49.9"/>
    <n v="5.9879999999999995"/>
    <n v="43.91"/>
    <n v="21.12"/>
    <n v="0.23"/>
    <n v="0.39877104377104378"/>
    <n v="0"/>
    <n v="22.16122895622895"/>
    <n v="11.080614478114475"/>
    <x v="141"/>
    <x v="144"/>
    <x v="26"/>
    <d v="2025-06-20T00:00:00"/>
    <x v="7"/>
    <x v="0"/>
    <x v="8"/>
    <s v="ENTREGUE"/>
    <d v="2025-06-24T00:00:00"/>
    <x v="0"/>
    <m/>
    <n v="0"/>
    <n v="0"/>
    <n v="0"/>
    <n v="0"/>
    <n v="0"/>
  </r>
  <r>
    <x v="2"/>
    <s v="MEI45782"/>
    <s v="Pedido 1650"/>
    <d v="2025-05-02T00:00:00"/>
    <x v="141"/>
    <s v="PedidoF1573"/>
    <s v="CódRastreio1571"/>
    <n v="1"/>
    <s v="CPF 1609"/>
    <s v="Nome 1609"/>
    <s v="Tel 1609"/>
    <s v="Cep 1609"/>
    <s v="Rua 1609"/>
    <s v="Comp 1609"/>
    <s v="Ventilador Azul"/>
    <s v="PK-L2Z7-MQRQ"/>
    <d v="2025-05-29T00:00:00"/>
    <n v="48.9"/>
    <n v="48.9"/>
    <n v="5.8679999999999994"/>
    <n v="43.03"/>
    <n v="24.46"/>
    <n v="0.23"/>
    <n v="0.39877104377104378"/>
    <n v="0"/>
    <n v="17.941228956228954"/>
    <n v="8.9706144781144772"/>
    <x v="134"/>
    <x v="137"/>
    <x v="26"/>
    <d v="2025-06-20T00:00:00"/>
    <x v="7"/>
    <x v="0"/>
    <x v="8"/>
    <s v="ENTREGUE"/>
    <d v="2025-05-19T00:00:00"/>
    <x v="0"/>
    <m/>
    <n v="0"/>
    <n v="0"/>
    <n v="0"/>
    <n v="0"/>
    <n v="0"/>
  </r>
  <r>
    <x v="2"/>
    <s v="MEI45782"/>
    <s v="Pedido 1651"/>
    <d v="2025-05-03T00:00:00"/>
    <x v="141"/>
    <s v="PedidoF1574"/>
    <s v="CódRastreio1572"/>
    <n v="1"/>
    <s v="CPF 1610"/>
    <s v="Nome 1610"/>
    <s v="Tel 1610"/>
    <s v="Cep 1610"/>
    <s v="Rua 1610"/>
    <s v="Comp 1610"/>
    <s v="Ventilador Rosa"/>
    <s v="WR-82Y0-OV27"/>
    <d v="2025-05-29T00:00:00"/>
    <n v="49.9"/>
    <n v="49.9"/>
    <n v="5.9879999999999995"/>
    <n v="43.91"/>
    <n v="14.41"/>
    <n v="0.23"/>
    <n v="0.39877104377104378"/>
    <n v="0"/>
    <n v="28.871228956228954"/>
    <n v="14.435614478114477"/>
    <x v="134"/>
    <x v="137"/>
    <x v="26"/>
    <d v="2025-06-20T00:00:00"/>
    <x v="7"/>
    <x v="0"/>
    <x v="8"/>
    <s v="ENTREGUE"/>
    <d v="2025-05-20T00:00:00"/>
    <x v="0"/>
    <m/>
    <n v="0"/>
    <n v="0"/>
    <n v="0"/>
    <n v="0"/>
    <n v="0"/>
  </r>
  <r>
    <x v="2"/>
    <s v="MEI45782"/>
    <s v="Pedido 1652"/>
    <d v="2025-05-03T00:00:00"/>
    <x v="141"/>
    <s v="PedidoF1575"/>
    <s v="CódRastreio1573"/>
    <n v="1"/>
    <s v="CPF 1611"/>
    <s v="Nome 1611"/>
    <s v="Tel 1611"/>
    <s v="Cep 1611"/>
    <s v="Rua 1611"/>
    <s v="Comp 1611"/>
    <s v="Ventilador Azul"/>
    <s v="PK-L2Z7-MQRQ"/>
    <d v="2025-05-29T00:00:00"/>
    <n v="48.9"/>
    <n v="48.9"/>
    <n v="5.8679999999999994"/>
    <n v="43.03"/>
    <n v="14.88"/>
    <n v="0.23"/>
    <n v="0.39877104377104378"/>
    <n v="0"/>
    <n v="27.521228956228956"/>
    <n v="13.760614478114478"/>
    <x v="134"/>
    <x v="137"/>
    <x v="26"/>
    <d v="2025-06-20T00:00:00"/>
    <x v="7"/>
    <x v="0"/>
    <x v="8"/>
    <s v="ENTREGUE"/>
    <d v="2025-05-23T00:00:00"/>
    <x v="0"/>
    <m/>
    <n v="0"/>
    <n v="0"/>
    <n v="0"/>
    <n v="0"/>
    <n v="0"/>
  </r>
  <r>
    <x v="2"/>
    <s v="MEI45782"/>
    <s v="Pedido 1653"/>
    <d v="2025-05-03T00:00:00"/>
    <x v="141"/>
    <s v="PedidoF1576"/>
    <s v="CódRastreio1574"/>
    <n v="1"/>
    <s v="CPF 1612"/>
    <s v="Nome 1612"/>
    <s v="Tel 1612"/>
    <s v="Cep 1612"/>
    <s v="Rua 1612"/>
    <s v="Comp 1612"/>
    <s v="Ventilador Rosa"/>
    <s v="WR-82Y0-OV27"/>
    <d v="2025-06-05T00:00:00"/>
    <n v="49.9"/>
    <n v="49.9"/>
    <n v="5.9879999999999995"/>
    <n v="43.91"/>
    <n v="21.12"/>
    <n v="0.23"/>
    <n v="0.39877104377104378"/>
    <n v="0"/>
    <n v="22.16122895622895"/>
    <n v="11.080614478114475"/>
    <x v="141"/>
    <x v="144"/>
    <x v="26"/>
    <d v="2025-06-20T00:00:00"/>
    <x v="7"/>
    <x v="0"/>
    <x v="8"/>
    <s v="ENTREGUE"/>
    <d v="2025-06-06T00:00:00"/>
    <x v="0"/>
    <m/>
    <n v="0"/>
    <n v="0"/>
    <n v="0"/>
    <n v="0"/>
    <n v="0"/>
  </r>
  <r>
    <x v="2"/>
    <s v="MEI45782"/>
    <s v="Pedido 1654"/>
    <d v="2025-05-03T00:00:00"/>
    <x v="141"/>
    <s v="PedidoF1577"/>
    <s v="CódRastreio1575"/>
    <n v="1"/>
    <s v="CPF 1613"/>
    <s v="Nome 1613"/>
    <s v="Tel 1613"/>
    <s v="Cep 1613"/>
    <s v="Rua 1613"/>
    <s v="Comp 1613"/>
    <s v="Ventilador Rosa"/>
    <s v="WR-82Y0-OV27"/>
    <d v="2025-05-29T00:00:00"/>
    <n v="49.9"/>
    <n v="49.9"/>
    <n v="5.9879999999999995"/>
    <n v="43.91"/>
    <n v="24.95"/>
    <n v="0.23"/>
    <n v="0.39877104377104378"/>
    <n v="0"/>
    <n v="18.331228956228951"/>
    <n v="9.1656144781144757"/>
    <x v="134"/>
    <x v="137"/>
    <x v="26"/>
    <d v="2025-06-20T00:00:00"/>
    <x v="7"/>
    <x v="0"/>
    <x v="8"/>
    <s v="ENTREGUE"/>
    <d v="2025-05-21T00:00:00"/>
    <x v="0"/>
    <m/>
    <n v="0"/>
    <n v="0"/>
    <n v="0"/>
    <n v="0"/>
    <n v="0"/>
  </r>
  <r>
    <x v="2"/>
    <s v="MEI45782"/>
    <s v="Pedido 1655"/>
    <d v="2025-05-03T00:00:00"/>
    <x v="141"/>
    <s v="PedidoF1578"/>
    <s v="CódRastreio1576"/>
    <n v="1"/>
    <s v="CPF 1614"/>
    <s v="Nome 1614"/>
    <s v="Tel 1614"/>
    <s v="Cep 1614"/>
    <s v="Rua 1614"/>
    <s v="Comp 1614"/>
    <s v="Copo Termico"/>
    <s v="VI-4RT5-1FFO"/>
    <d v="2025-05-23T00:00:00"/>
    <n v="22.7"/>
    <n v="22.7"/>
    <n v="2.7239999999999998"/>
    <n v="19.98"/>
    <n v="19.71"/>
    <n v="0.23"/>
    <n v="0.39877104377104378"/>
    <n v="0"/>
    <n v="-0.35877104377104629"/>
    <n v="-0.17938552188552315"/>
    <x v="135"/>
    <x v="138"/>
    <x v="25"/>
    <d v="2025-06-02T00:00:00"/>
    <x v="6"/>
    <x v="0"/>
    <x v="8"/>
    <s v="ENTREGUE"/>
    <d v="2025-05-13T00:00:00"/>
    <x v="0"/>
    <m/>
    <n v="0"/>
    <n v="0"/>
    <n v="0"/>
    <n v="0"/>
    <n v="0"/>
  </r>
  <r>
    <x v="2"/>
    <s v="MEI45782"/>
    <s v="Pedido 1656"/>
    <d v="2025-05-03T00:00:00"/>
    <x v="141"/>
    <s v="PedidoF1579"/>
    <s v="CódRastreio1577"/>
    <n v="1"/>
    <s v="CPF 1615"/>
    <s v="Nome 1615"/>
    <s v="Tel 1615"/>
    <s v="Cep 1615"/>
    <s v="Rua 1615"/>
    <s v="Comp 1615"/>
    <s v="Ventilador Umidificador Preto"/>
    <s v="71-KHMZ-MLQW"/>
    <d v="2025-05-29T00:00:00"/>
    <n v="49.99"/>
    <n v="49.99"/>
    <n v="5.4988999999999999"/>
    <n v="44.49"/>
    <n v="40.22"/>
    <n v="0.23"/>
    <n v="0.39877104377104378"/>
    <n v="0"/>
    <n v="3.6412289562289644"/>
    <n v="1.8206144781144822"/>
    <x v="134"/>
    <x v="137"/>
    <x v="26"/>
    <d v="2025-06-20T00:00:00"/>
    <x v="7"/>
    <x v="0"/>
    <x v="8"/>
    <s v="ENTREGUE"/>
    <d v="2025-05-23T00:00:00"/>
    <x v="0"/>
    <m/>
    <n v="0"/>
    <n v="0"/>
    <n v="0"/>
    <n v="0"/>
    <n v="0"/>
  </r>
  <r>
    <x v="2"/>
    <s v="MEI45782"/>
    <s v="Pedido 1657"/>
    <d v="2025-05-03T00:00:00"/>
    <x v="141"/>
    <s v="PedidoF1580"/>
    <s v="CódRastreio1578"/>
    <n v="1"/>
    <s v="CPF 1616"/>
    <s v="Nome 1616"/>
    <s v="Tel 1616"/>
    <s v="Cep 1616"/>
    <s v="Rua 1616"/>
    <s v="Comp 1616"/>
    <s v="Ventilador Rosa"/>
    <s v="WR-82Y0-OV27"/>
    <d v="2025-05-29T00:00:00"/>
    <n v="49.9"/>
    <n v="49.9"/>
    <n v="5.9879999999999995"/>
    <n v="43.91"/>
    <n v="14.41"/>
    <n v="0.23"/>
    <n v="0.39877104377104378"/>
    <n v="0"/>
    <n v="28.871228956228954"/>
    <n v="14.435614478114477"/>
    <x v="134"/>
    <x v="137"/>
    <x v="26"/>
    <d v="2025-06-20T00:00:00"/>
    <x v="7"/>
    <x v="0"/>
    <x v="8"/>
    <s v="ENTREGUE"/>
    <d v="2025-05-29T00:00:00"/>
    <x v="0"/>
    <m/>
    <n v="0"/>
    <n v="0"/>
    <n v="0"/>
    <n v="0"/>
    <n v="0"/>
  </r>
  <r>
    <x v="2"/>
    <s v="MEI45782"/>
    <s v="Pedido 1658"/>
    <d v="2025-05-03T00:00:00"/>
    <x v="141"/>
    <s v="PedidoF1581"/>
    <s v="CódRastreio1579"/>
    <n v="1"/>
    <s v="CPF 1617"/>
    <s v="Nome 1617"/>
    <s v="Tel 1617"/>
    <s v="Cep 1617"/>
    <s v="Rua 1617"/>
    <s v="Comp 1617"/>
    <s v="Ventilador Preto"/>
    <s v="WU-SS4J-LFOH"/>
    <d v="2025-05-29T00:00:00"/>
    <n v="65.7"/>
    <n v="65.7"/>
    <n v="7.8840000000000003"/>
    <n v="57.82"/>
    <n v="21.94"/>
    <n v="0.23"/>
    <n v="0.39877104377104378"/>
    <n v="0"/>
    <n v="35.251228956228957"/>
    <n v="17.625614478114478"/>
    <x v="134"/>
    <x v="137"/>
    <x v="26"/>
    <d v="2025-06-20T00:00:00"/>
    <x v="7"/>
    <x v="0"/>
    <x v="8"/>
    <s v="ENTREGUE"/>
    <d v="2025-05-26T00:00:00"/>
    <x v="0"/>
    <m/>
    <n v="0"/>
    <n v="0"/>
    <n v="0"/>
    <n v="0"/>
    <n v="0"/>
  </r>
  <r>
    <x v="2"/>
    <s v="MEI45783"/>
    <s v="Pedido 1659"/>
    <d v="2025-05-03T00:00:00"/>
    <x v="140"/>
    <s v="PedidoF1582"/>
    <s v="CódRastreio1580"/>
    <n v="1"/>
    <s v="CPF 1618"/>
    <s v="Nome 1618"/>
    <s v="Tel 1618"/>
    <s v="Cep 1618"/>
    <s v="Rua 1618"/>
    <s v="Comp 1618"/>
    <s v="Maçarico Culinário Portátil"/>
    <s v="BG-DHRO-FAEE"/>
    <d v="2025-05-29T00:00:00"/>
    <n v="31.99"/>
    <n v="31.99"/>
    <n v="3.5188999999999999"/>
    <n v="28.47"/>
    <n v="14.52"/>
    <n v="0.12"/>
    <n v="0.39877104377104378"/>
    <n v="0"/>
    <n v="13.431228956228956"/>
    <n v="6.7156144781144782"/>
    <x v="134"/>
    <x v="137"/>
    <x v="26"/>
    <d v="2025-06-20T00:00:00"/>
    <x v="7"/>
    <x v="0"/>
    <x v="8"/>
    <s v="ENTREGUE"/>
    <d v="2025-05-10T00:00:00"/>
    <x v="0"/>
    <m/>
    <n v="0"/>
    <n v="0"/>
    <n v="0"/>
    <n v="0"/>
    <n v="0"/>
  </r>
  <r>
    <x v="2"/>
    <s v="MEI45783"/>
    <s v="Pedido 1660"/>
    <d v="2025-05-04T00:00:00"/>
    <x v="140"/>
    <s v="PedidoF1583"/>
    <s v="CódRastreio1581"/>
    <n v="1"/>
    <s v="CPF 1619"/>
    <s v="Nome 1619"/>
    <s v="Tel 1619"/>
    <s v="Cep 1619"/>
    <s v="Rua 1619"/>
    <s v="Comp 1619"/>
    <s v="Ventilador Rosa"/>
    <s v="WR-82Y0-OV27"/>
    <d v="2025-05-29T00:00:00"/>
    <n v="49.9"/>
    <n v="49.9"/>
    <n v="5.9879999999999995"/>
    <n v="43.91"/>
    <n v="21.44"/>
    <n v="0.12"/>
    <n v="0.39877104377104378"/>
    <n v="0"/>
    <n v="21.951228956228949"/>
    <n v="10.975614478114474"/>
    <x v="134"/>
    <x v="137"/>
    <x v="26"/>
    <d v="2025-06-20T00:00:00"/>
    <x v="7"/>
    <x v="0"/>
    <x v="8"/>
    <s v="ENTREGUE"/>
    <d v="2025-05-21T00:00:00"/>
    <x v="0"/>
    <m/>
    <n v="0"/>
    <n v="0"/>
    <n v="0"/>
    <n v="0"/>
    <n v="0"/>
  </r>
  <r>
    <x v="2"/>
    <s v="MEI45784"/>
    <s v="Pedido 1661"/>
    <d v="2025-05-04T00:00:00"/>
    <x v="142"/>
    <s v="PedidoF1584"/>
    <s v="CódRastreio1582"/>
    <n v="1"/>
    <s v="CPF 1620"/>
    <s v="Nome 1620"/>
    <s v="Tel 1620"/>
    <s v="Cep 1620"/>
    <s v="Rua 1620"/>
    <s v="Comp 1620"/>
    <s v="Ventilador Umidificador Preto"/>
    <s v="71-KHMZ-MLQW"/>
    <d v="2025-06-05T00:00:00"/>
    <n v="49.99"/>
    <n v="49.99"/>
    <n v="5.4988999999999999"/>
    <n v="44.49"/>
    <n v="24.03"/>
    <n v="0.12"/>
    <n v="0.39877104377104378"/>
    <n v="0"/>
    <n v="19.941228956228954"/>
    <n v="9.9706144781144772"/>
    <x v="141"/>
    <x v="144"/>
    <x v="26"/>
    <d v="2025-06-20T00:00:00"/>
    <x v="7"/>
    <x v="0"/>
    <x v="8"/>
    <s v="ENTREGUE"/>
    <d v="2025-06-13T13:53:42"/>
    <x v="0"/>
    <m/>
    <n v="0"/>
    <n v="0"/>
    <n v="0"/>
    <n v="0"/>
    <n v="0"/>
  </r>
  <r>
    <x v="2"/>
    <s v="MEI45784"/>
    <s v="Pedido 1662"/>
    <d v="2025-05-04T00:00:00"/>
    <x v="142"/>
    <s v="PedidoF1585"/>
    <s v="CódRastreio1583"/>
    <n v="1"/>
    <s v="CPF 1621"/>
    <s v="Nome 1621"/>
    <s v="Tel 1621"/>
    <s v="Cep 1621"/>
    <s v="Rua 1621"/>
    <s v="Comp 1621"/>
    <s v="Copo Termico"/>
    <s v="VI-4RT5-1FFO"/>
    <d v="2025-05-23T00:00:00"/>
    <n v="22.7"/>
    <n v="22.7"/>
    <n v="2.7239999999999998"/>
    <n v="19.98"/>
    <n v="14.71"/>
    <n v="0.12"/>
    <n v="0.39877104377104378"/>
    <n v="0"/>
    <n v="4.7512289562289567"/>
    <n v="2.3756144781144783"/>
    <x v="135"/>
    <x v="138"/>
    <x v="25"/>
    <d v="2025-06-02T00:00:00"/>
    <x v="6"/>
    <x v="0"/>
    <x v="8"/>
    <s v="ENTREGUE"/>
    <d v="2025-05-17T00:00:00"/>
    <x v="0"/>
    <m/>
    <n v="0"/>
    <n v="0"/>
    <n v="0"/>
    <n v="0"/>
    <n v="0"/>
  </r>
  <r>
    <x v="2"/>
    <s v="MEI45784"/>
    <s v="Pedido 1663"/>
    <d v="2025-05-04T00:00:00"/>
    <x v="142"/>
    <s v="PedidoF1586"/>
    <s v="CódRastreio1584"/>
    <n v="1"/>
    <s v="CPF 1622"/>
    <s v="Nome 1622"/>
    <s v="Tel 1622"/>
    <s v="Cep 1622"/>
    <s v="Rua 1622"/>
    <s v="Comp 1622"/>
    <s v="Ventilador Umidificador Preto"/>
    <s v="71-KHMZ-MLQW"/>
    <d v="2025-05-29T00:00:00"/>
    <n v="49.99"/>
    <n v="49.99"/>
    <n v="5.4988999999999999"/>
    <n v="44.49"/>
    <n v="0"/>
    <n v="0.12"/>
    <n v="0.39877104377104378"/>
    <n v="0"/>
    <n v="43.971228956228956"/>
    <n v="21.985614478114478"/>
    <x v="134"/>
    <x v="137"/>
    <x v="26"/>
    <d v="2025-06-20T00:00:00"/>
    <x v="7"/>
    <x v="0"/>
    <x v="8"/>
    <s v="ENTREGUE"/>
    <d v="2025-06-12T15:06:19"/>
    <x v="0"/>
    <m/>
    <n v="0"/>
    <n v="0"/>
    <n v="0"/>
    <n v="0"/>
    <n v="0"/>
  </r>
  <r>
    <x v="2"/>
    <s v="MEI45784"/>
    <s v="Pedido 1664"/>
    <d v="2025-05-04T00:00:00"/>
    <x v="142"/>
    <s v="PedidoF1587"/>
    <s v="CódRastreio1585"/>
    <n v="1"/>
    <s v="CPF 1623"/>
    <s v="Nome 1623"/>
    <s v="Tel 1623"/>
    <s v="Cep 1623"/>
    <s v="Rua 1623"/>
    <s v="Comp 1623"/>
    <s v="Ventilador Azul"/>
    <s v="PK-L2Z7-MQRQ"/>
    <d v="2025-05-23T00:00:00"/>
    <n v="48.9"/>
    <n v="48.9"/>
    <n v="5.8679999999999994"/>
    <n v="43.03"/>
    <n v="22.01"/>
    <n v="0.12"/>
    <n v="0.39877104377104378"/>
    <n v="0"/>
    <n v="20.501228956228953"/>
    <n v="10.250614478114477"/>
    <x v="135"/>
    <x v="138"/>
    <x v="25"/>
    <d v="2025-06-02T00:00:00"/>
    <x v="6"/>
    <x v="0"/>
    <x v="8"/>
    <s v="ENTREGUE"/>
    <d v="2025-05-22T00:00:00"/>
    <x v="0"/>
    <m/>
    <n v="0"/>
    <n v="0"/>
    <n v="0"/>
    <n v="0"/>
    <n v="0"/>
  </r>
  <r>
    <x v="2"/>
    <s v="MEI45784"/>
    <s v="Pedido 1665"/>
    <d v="2025-05-05T00:00:00"/>
    <x v="142"/>
    <s v="PedidoF1588"/>
    <s v="CódRastreio1586"/>
    <n v="1"/>
    <s v="CPF 1624"/>
    <s v="Nome 1624"/>
    <s v="Tel 1624"/>
    <s v="Cep 1624"/>
    <s v="Rua 1624"/>
    <s v="Comp 1624"/>
    <s v="Ventilador Umidificador Preto"/>
    <s v="71-KHMZ-MLQW"/>
    <d v="2025-05-29T00:00:00"/>
    <n v="49.99"/>
    <n v="49.99"/>
    <n v="5.4988999999999999"/>
    <n v="44.49"/>
    <n v="39.94"/>
    <n v="0.12"/>
    <n v="0.39877104377104378"/>
    <n v="0"/>
    <n v="4.0312289562289649"/>
    <n v="2.0156144781144825"/>
    <x v="134"/>
    <x v="137"/>
    <x v="26"/>
    <d v="2025-06-20T00:00:00"/>
    <x v="7"/>
    <x v="0"/>
    <x v="8"/>
    <s v="ENTREGUE"/>
    <d v="2025-05-23T00:00:00"/>
    <x v="0"/>
    <m/>
    <n v="0"/>
    <n v="0"/>
    <n v="0"/>
    <n v="0"/>
    <n v="0"/>
  </r>
  <r>
    <x v="2"/>
    <s v="MEI45784"/>
    <s v="Pedido 1666"/>
    <d v="2025-05-05T00:00:00"/>
    <x v="142"/>
    <s v="PedidoF1589"/>
    <s v="CódRastreio1587"/>
    <n v="1"/>
    <s v="CPF 1625"/>
    <s v="Nome 1625"/>
    <s v="Tel 1625"/>
    <s v="Cep 1625"/>
    <s v="Rua 1625"/>
    <s v="Comp 1625"/>
    <s v="Ventilador Umidificador Preto"/>
    <s v="71-KHMZ-MLQW"/>
    <d v="2025-06-05T00:00:00"/>
    <n v="49.99"/>
    <n v="49.99"/>
    <n v="5.4988999999999999"/>
    <n v="44.49"/>
    <n v="16.739999999999998"/>
    <n v="0.12"/>
    <n v="0.39877104377104378"/>
    <n v="0"/>
    <n v="27.231228956228957"/>
    <n v="13.615614478114479"/>
    <x v="141"/>
    <x v="144"/>
    <x v="26"/>
    <d v="2025-06-20T00:00:00"/>
    <x v="7"/>
    <x v="0"/>
    <x v="8"/>
    <s v="ENTREGUE"/>
    <d v="2025-06-20T13:29:23"/>
    <x v="0"/>
    <m/>
    <n v="0"/>
    <n v="0"/>
    <n v="0"/>
    <n v="0"/>
    <n v="0"/>
  </r>
  <r>
    <x v="2"/>
    <s v="MEI45784"/>
    <s v="Pedido 1667"/>
    <d v="2025-05-05T00:00:00"/>
    <x v="142"/>
    <s v="PedidoF1590"/>
    <s v="CódRastreio1588"/>
    <n v="1"/>
    <s v="CPF 1626"/>
    <s v="Nome 1626"/>
    <s v="Tel 1626"/>
    <s v="Cep 1626"/>
    <s v="Rua 1626"/>
    <s v="Comp 1626"/>
    <s v="Luminária Azul de mesa infantil"/>
    <s v="NO-Z0ZJ-Z61M"/>
    <d v="2025-06-06T00:00:00"/>
    <n v="49.99"/>
    <n v="49.99"/>
    <n v="5.9988000000000001"/>
    <n v="43.99"/>
    <n v="0"/>
    <n v="0.12"/>
    <n v="0.39877104377104378"/>
    <n v="0"/>
    <n v="43.471228956228956"/>
    <n v="21.735614478114478"/>
    <x v="142"/>
    <x v="145"/>
    <x v="26"/>
    <d v="2025-06-20T00:00:00"/>
    <x v="7"/>
    <x v="0"/>
    <x v="8"/>
    <s v="ENTREGUE"/>
    <d v="2025-06-27T00:00:00"/>
    <x v="0"/>
    <m/>
    <n v="0"/>
    <n v="0"/>
    <n v="0"/>
    <n v="0"/>
    <n v="0"/>
  </r>
  <r>
    <x v="2"/>
    <s v="MEI45784"/>
    <s v="Pedido 1668"/>
    <d v="2025-05-05T00:00:00"/>
    <x v="142"/>
    <s v="PedidoF1591"/>
    <s v="CódRastreio1589"/>
    <n v="1"/>
    <s v="CPF 1627"/>
    <s v="Nome 1627"/>
    <s v="Tel 1627"/>
    <s v="Cep 1627"/>
    <s v="Rua 1627"/>
    <s v="Comp 1627"/>
    <s v="Ventilador Azul"/>
    <s v="PK-L2Z7-MQRQ"/>
    <d v="2025-05-24T00:00:00"/>
    <n v="48.9"/>
    <n v="48.9"/>
    <n v="5.8679999999999994"/>
    <n v="43.03"/>
    <n v="22.01"/>
    <n v="0.12"/>
    <n v="0.39877104377104378"/>
    <n v="0"/>
    <n v="20.501228956228953"/>
    <n v="10.250614478114477"/>
    <x v="131"/>
    <x v="134"/>
    <x v="26"/>
    <d v="2025-06-20T00:00:00"/>
    <x v="6"/>
    <x v="0"/>
    <x v="8"/>
    <s v="ENTREGUE"/>
    <d v="2025-05-20T00:00:00"/>
    <x v="0"/>
    <m/>
    <n v="0"/>
    <n v="0"/>
    <n v="0"/>
    <n v="0"/>
    <n v="0"/>
  </r>
  <r>
    <x v="2"/>
    <s v="MEI45784"/>
    <s v="Pedido 1669"/>
    <d v="2025-05-05T00:00:00"/>
    <x v="142"/>
    <s v="PedidoF1592"/>
    <s v="CódRastreio1590"/>
    <n v="1"/>
    <s v="CPF 1628"/>
    <s v="Nome 1628"/>
    <s v="Tel 1628"/>
    <s v="Cep 1628"/>
    <s v="Rua 1628"/>
    <s v="Comp 1628"/>
    <s v="Copo Termico"/>
    <s v="VI-4RT5-1FFO"/>
    <d v="2025-05-30T00:00:00"/>
    <n v="22.7"/>
    <n v="22.7"/>
    <n v="2.7239999999999998"/>
    <n v="19.98"/>
    <n v="17.170000000000002"/>
    <n v="0.12"/>
    <n v="0.39877104377104378"/>
    <n v="0"/>
    <n v="2.2912289562289523"/>
    <n v="1.1456144781144761"/>
    <x v="136"/>
    <x v="139"/>
    <x v="26"/>
    <d v="2025-06-20T00:00:00"/>
    <x v="7"/>
    <x v="0"/>
    <x v="8"/>
    <s v="ENTREGUE"/>
    <d v="2025-05-23T00:00:00"/>
    <x v="0"/>
    <m/>
    <n v="0"/>
    <n v="0"/>
    <n v="0"/>
    <n v="0"/>
    <n v="0"/>
  </r>
  <r>
    <x v="2"/>
    <s v="MEI45785"/>
    <s v="Pedido 1670"/>
    <d v="2025-05-05T00:00:00"/>
    <x v="143"/>
    <s v="PedidoF1593"/>
    <s v="CódRastreio1591"/>
    <n v="1"/>
    <s v="CPF 1629"/>
    <s v="Nome 1629"/>
    <s v="Tel 1629"/>
    <s v="Cep 1629"/>
    <s v="Rua 1629"/>
    <s v="Comp 1629"/>
    <s v="Maçarico Culinário Portátil"/>
    <s v="BG-DHRO-FAEE"/>
    <d v="2025-05-24T00:00:00"/>
    <n v="31.99"/>
    <n v="31.99"/>
    <n v="3.5188999999999999"/>
    <n v="28.47"/>
    <n v="14.52"/>
    <n v="0.14000000000000001"/>
    <n v="0.39877104377104378"/>
    <n v="0"/>
    <n v="13.411228956228955"/>
    <n v="6.7056144781144775"/>
    <x v="131"/>
    <x v="134"/>
    <x v="26"/>
    <d v="2025-06-20T00:00:00"/>
    <x v="6"/>
    <x v="0"/>
    <x v="8"/>
    <s v="ENTREGUE"/>
    <d v="2025-05-14T00:00:00"/>
    <x v="0"/>
    <m/>
    <n v="0"/>
    <n v="0"/>
    <n v="0"/>
    <n v="0"/>
    <n v="0"/>
  </r>
  <r>
    <x v="2"/>
    <s v="MEI45784"/>
    <s v="Pedido 1671"/>
    <d v="2025-05-05T00:00:00"/>
    <x v="142"/>
    <s v="PedidoF1594"/>
    <s v="CódRastreio1592"/>
    <n v="1"/>
    <s v="CPF 1630"/>
    <s v="Nome 1630"/>
    <s v="Tel 1630"/>
    <s v="Cep 1630"/>
    <s v="Rua 1630"/>
    <s v="Comp 1630"/>
    <s v="Fone de ouvido XT60"/>
    <s v="FM-VW6E-NXCZ"/>
    <d v="2025-05-24T00:00:00"/>
    <n v="96.87"/>
    <n v="96.87"/>
    <n v="12.593100000000002"/>
    <n v="84.28"/>
    <n v="63.83"/>
    <n v="0.12"/>
    <n v="0.39877104377104378"/>
    <n v="0"/>
    <n v="19.931228956228964"/>
    <n v="9.9656144781144818"/>
    <x v="131"/>
    <x v="134"/>
    <x v="26"/>
    <d v="2025-06-20T00:00:00"/>
    <x v="6"/>
    <x v="0"/>
    <x v="8"/>
    <s v="ENTREGUE"/>
    <d v="2025-05-20T00:00:00"/>
    <x v="0"/>
    <m/>
    <n v="0"/>
    <n v="0"/>
    <n v="0"/>
    <n v="0"/>
    <n v="0"/>
  </r>
  <r>
    <x v="2"/>
    <s v="MEI45784"/>
    <s v="Pedido 1672"/>
    <d v="2025-05-06T00:00:00"/>
    <x v="142"/>
    <s v="PedidoF1595"/>
    <s v="CódRastreio1593"/>
    <n v="1"/>
    <s v="CPF 1631"/>
    <s v="Nome 1631"/>
    <s v="Tel 1631"/>
    <s v="Cep 1631"/>
    <s v="Rua 1631"/>
    <s v="Comp 1631"/>
    <s v="Ventilador Azul"/>
    <s v="PK-L2Z7-MQRQ"/>
    <d v="2025-05-30T00:00:00"/>
    <n v="48.9"/>
    <n v="48.9"/>
    <n v="5.8679999999999994"/>
    <n v="43.03"/>
    <n v="15.27"/>
    <n v="0.12"/>
    <n v="0.39877104377104378"/>
    <n v="0"/>
    <n v="27.241228956228959"/>
    <n v="13.620614478114479"/>
    <x v="136"/>
    <x v="139"/>
    <x v="26"/>
    <d v="2025-06-20T00:00:00"/>
    <x v="7"/>
    <x v="0"/>
    <x v="8"/>
    <s v="ENTREGUE"/>
    <d v="2025-05-21T00:00:00"/>
    <x v="0"/>
    <m/>
    <n v="0"/>
    <n v="0"/>
    <n v="0"/>
    <n v="0"/>
    <n v="0"/>
  </r>
  <r>
    <x v="2"/>
    <s v="MEI45785"/>
    <s v="Pedido 1673"/>
    <d v="2025-05-05T00:00:00"/>
    <x v="143"/>
    <s v="PedidoF1596"/>
    <s v="CódRastreio1594"/>
    <n v="1"/>
    <s v="CPF 1632"/>
    <s v="Nome 1632"/>
    <s v="Tel 1632"/>
    <s v="Cep 1632"/>
    <s v="Rua 1632"/>
    <s v="Comp 1632"/>
    <s v="Garrafa Termica"/>
    <s v="LF-R6MC-WKWP"/>
    <d v="2025-05-24T00:00:00"/>
    <n v="32.67"/>
    <n v="32.67"/>
    <n v="3.9203999999999999"/>
    <n v="28.75"/>
    <n v="12.3"/>
    <n v="0.14000000000000001"/>
    <n v="0.39877104377104378"/>
    <n v="0"/>
    <n v="15.911228956228955"/>
    <n v="7.9556144781144775"/>
    <x v="131"/>
    <x v="134"/>
    <x v="26"/>
    <d v="2025-06-20T00:00:00"/>
    <x v="6"/>
    <x v="0"/>
    <x v="8"/>
    <s v="ENTREGUE"/>
    <d v="2025-05-20T00:00:00"/>
    <x v="0"/>
    <m/>
    <n v="0"/>
    <n v="0"/>
    <n v="0"/>
    <n v="0"/>
    <n v="0"/>
  </r>
  <r>
    <x v="2"/>
    <s v="MEI45784"/>
    <s v="Pedido 1674"/>
    <d v="2025-05-06T00:00:00"/>
    <x v="142"/>
    <s v="PedidoF1597"/>
    <s v="CódRastreio1595"/>
    <n v="1"/>
    <s v="CPF 1633"/>
    <s v="Nome 1633"/>
    <s v="Tel 1633"/>
    <s v="Cep 1633"/>
    <s v="Rua 1633"/>
    <s v="Comp 1633"/>
    <s v="Ventilador Azul"/>
    <s v="PK-L2Z7-MQRQ"/>
    <d v="2025-05-31T00:00:00"/>
    <n v="48.9"/>
    <n v="48.9"/>
    <n v="5.8679999999999994"/>
    <n v="43.03"/>
    <n v="0"/>
    <n v="0.12"/>
    <n v="0.39877104377104378"/>
    <n v="0"/>
    <n v="42.511228956228955"/>
    <n v="21.255614478114477"/>
    <x v="137"/>
    <x v="140"/>
    <x v="26"/>
    <d v="2025-06-20T00:00:00"/>
    <x v="7"/>
    <x v="0"/>
    <x v="8"/>
    <s v="ENTREGUE"/>
    <d v="2025-06-11T14:23:53"/>
    <x v="0"/>
    <m/>
    <n v="0"/>
    <n v="0"/>
    <n v="0"/>
    <n v="0"/>
    <n v="0"/>
  </r>
  <r>
    <x v="2"/>
    <s v="MEI45785"/>
    <s v="Pedido 1675"/>
    <d v="2025-05-06T00:00:00"/>
    <x v="143"/>
    <s v="PedidoF1598"/>
    <s v="CódRastreio1596"/>
    <n v="1"/>
    <s v="CPF 1634"/>
    <s v="Nome 1634"/>
    <s v="Tel 1634"/>
    <s v="Cep 1634"/>
    <s v="Rua 1634"/>
    <s v="Comp 1634"/>
    <s v="Ventilador Preto"/>
    <s v="WU-SS4J-LFOH"/>
    <d v="2025-05-27T00:00:00"/>
    <n v="65.7"/>
    <n v="65.7"/>
    <n v="7.8840000000000003"/>
    <n v="57.82"/>
    <n v="14.3"/>
    <n v="0.14000000000000001"/>
    <n v="0.39877104377104378"/>
    <n v="0"/>
    <n v="42.981228956228954"/>
    <n v="21.490614478114477"/>
    <x v="132"/>
    <x v="135"/>
    <x v="26"/>
    <d v="2025-06-20T00:00:00"/>
    <x v="7"/>
    <x v="0"/>
    <x v="8"/>
    <s v="ENTREGUE"/>
    <d v="2025-05-20T00:00:00"/>
    <x v="0"/>
    <m/>
    <n v="0"/>
    <n v="0"/>
    <n v="0"/>
    <n v="0"/>
    <n v="0"/>
  </r>
  <r>
    <x v="2"/>
    <s v="MEI45785"/>
    <s v="Pedido 1676"/>
    <d v="2025-05-07T00:00:00"/>
    <x v="143"/>
    <s v="PedidoF1599"/>
    <s v="CódRastreio1597"/>
    <n v="1"/>
    <s v="CPF 1635"/>
    <s v="Nome 1635"/>
    <s v="Tel 1635"/>
    <s v="Cep 1635"/>
    <s v="Rua 1635"/>
    <s v="Comp 1635"/>
    <s v="Ventilador Azul"/>
    <s v="PK-L2Z7-MQRQ"/>
    <d v="2025-06-07T00:00:00"/>
    <n v="48.9"/>
    <n v="48.9"/>
    <n v="5.8679999999999994"/>
    <n v="43.03"/>
    <n v="21.72"/>
    <n v="0.14000000000000001"/>
    <n v="0.39877104377104378"/>
    <n v="0"/>
    <n v="20.771228956228956"/>
    <n v="10.385614478114478"/>
    <x v="143"/>
    <x v="146"/>
    <x v="26"/>
    <d v="2025-06-20T00:00:00"/>
    <x v="7"/>
    <x v="0"/>
    <x v="8"/>
    <s v="ENTREGUE"/>
    <d v="2025-06-22T13:49:49"/>
    <x v="0"/>
    <m/>
    <n v="0"/>
    <n v="0"/>
    <n v="0"/>
    <n v="0"/>
    <n v="0"/>
  </r>
  <r>
    <x v="2"/>
    <s v="MEI45789"/>
    <s v="Pedido 1677"/>
    <d v="2025-05-07T00:00:00"/>
    <x v="144"/>
    <s v="PedidoF1600"/>
    <s v="CódRastreio1598"/>
    <n v="1"/>
    <s v="CPF 1636"/>
    <s v="Nome 1636"/>
    <s v="Tel 1636"/>
    <s v="Cep 1636"/>
    <s v="Rua 1636"/>
    <s v="Comp 1636"/>
    <s v="Ventilador Umidificador Preto"/>
    <s v="71-KHMZ-MLQW"/>
    <d v="2025-06-03T00:00:00"/>
    <n v="49.99"/>
    <n v="49.99"/>
    <n v="5.4988999999999999"/>
    <n v="44.49"/>
    <n v="0"/>
    <n v="1.2"/>
    <n v="0.39877104377104378"/>
    <n v="0"/>
    <n v="42.891228956228957"/>
    <n v="21.445614478114479"/>
    <x v="138"/>
    <x v="141"/>
    <x v="26"/>
    <d v="2025-06-20T00:00:00"/>
    <x v="7"/>
    <x v="0"/>
    <x v="8"/>
    <s v="ENTREGUE"/>
    <d v="2025-06-25T00:00:00"/>
    <x v="0"/>
    <m/>
    <n v="0"/>
    <n v="0"/>
    <n v="0"/>
    <n v="0"/>
    <n v="0"/>
  </r>
  <r>
    <x v="2"/>
    <s v="MEI45785"/>
    <s v="Pedido 1678"/>
    <d v="2025-05-07T00:00:00"/>
    <x v="143"/>
    <s v="PedidoF1601"/>
    <s v="CódRastreio1599"/>
    <n v="1"/>
    <s v="CPF 1637"/>
    <s v="Nome 1637"/>
    <s v="Tel 1637"/>
    <s v="Cep 1637"/>
    <s v="Rua 1637"/>
    <s v="Comp 1637"/>
    <s v="Lampada Led"/>
    <s v="T1-SWVB-UPOW"/>
    <d v="2025-06-03T00:00:00"/>
    <n v="35.99"/>
    <n v="35.99"/>
    <n v="4.3188000000000004"/>
    <n v="31.67"/>
    <n v="19.11"/>
    <n v="0.14000000000000001"/>
    <n v="0.39877104377104378"/>
    <n v="0"/>
    <n v="12.021228956228956"/>
    <n v="6.0106144781144781"/>
    <x v="138"/>
    <x v="141"/>
    <x v="26"/>
    <d v="2025-06-20T00:00:00"/>
    <x v="7"/>
    <x v="0"/>
    <x v="8"/>
    <s v="ENTREGUE"/>
    <d v="2025-07-03T00:00:00"/>
    <x v="0"/>
    <m/>
    <n v="0"/>
    <n v="0"/>
    <n v="0"/>
    <n v="0"/>
    <n v="0"/>
  </r>
  <r>
    <x v="2"/>
    <s v="MEI45785"/>
    <s v="Pedido 1679"/>
    <d v="2025-05-07T00:00:00"/>
    <x v="143"/>
    <s v="PedidoF1602"/>
    <s v="CódRastreio1600"/>
    <n v="1"/>
    <s v="CPF 1638"/>
    <s v="Nome 1638"/>
    <s v="Tel 1638"/>
    <s v="Cep 1638"/>
    <s v="Rua 1638"/>
    <s v="Comp 1638"/>
    <s v="Ventilador Rosa"/>
    <s v="WR-82Y0-OV27"/>
    <d v="2025-05-28T00:00:00"/>
    <n v="49.9"/>
    <n v="49.9"/>
    <n v="5.9879999999999995"/>
    <n v="43.91"/>
    <n v="14.1"/>
    <n v="0.14000000000000001"/>
    <n v="0.39877104377104378"/>
    <n v="0"/>
    <n v="29.271228956228953"/>
    <n v="14.635614478114476"/>
    <x v="139"/>
    <x v="142"/>
    <x v="26"/>
    <d v="2025-06-20T00:00:00"/>
    <x v="7"/>
    <x v="0"/>
    <x v="8"/>
    <s v="ENTREGUE"/>
    <d v="2025-05-20T00:00:00"/>
    <x v="0"/>
    <m/>
    <n v="0"/>
    <n v="0"/>
    <n v="0"/>
    <n v="0"/>
    <n v="0"/>
  </r>
  <r>
    <x v="2"/>
    <s v="MEI-"/>
    <s v="Pedido 1680"/>
    <d v="2025-05-07T00:00:00"/>
    <x v="0"/>
    <s v="-"/>
    <s v="-"/>
    <n v="1"/>
    <s v="CPF 1639"/>
    <s v="Nome 1639"/>
    <s v="Tel 1639"/>
    <s v="Cep 1639"/>
    <s v="Rua 1639"/>
    <s v="Comp 1639"/>
    <s v="Ventilador Azul"/>
    <s v="PK-L2Z7-MQRQ"/>
    <d v="2025-05-28T00:00:00"/>
    <n v="48.9"/>
    <n v="48.9"/>
    <n v="5.8679999999999994"/>
    <n v="43.03"/>
    <n v="0"/>
    <n v="0"/>
    <n v="0"/>
    <n v="0"/>
    <n v="43.03"/>
    <n v="21.515000000000001"/>
    <x v="139"/>
    <x v="142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81"/>
    <d v="2025-05-07T00:00:00"/>
    <x v="0"/>
    <s v="-"/>
    <s v="-"/>
    <n v="1"/>
    <s v="CPF 1640"/>
    <s v="Nome 1640"/>
    <s v="Tel 1640"/>
    <s v="Cep 1640"/>
    <s v="Rua 1640"/>
    <s v="Comp 1640"/>
    <s v="Brinquedo Bola Giratória voadora"/>
    <s v="Z0-F6CI-18CL"/>
    <d v="2025-06-03T00:00:00"/>
    <n v="39.47"/>
    <n v="39.47"/>
    <n v="4.7363999999999997"/>
    <n v="34.729999999999997"/>
    <n v="0"/>
    <n v="0"/>
    <n v="0"/>
    <n v="0"/>
    <n v="34.729999999999997"/>
    <n v="17.364999999999998"/>
    <x v="138"/>
    <x v="141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82"/>
    <d v="2025-05-07T00:00:00"/>
    <x v="0"/>
    <s v="-"/>
    <s v="-"/>
    <n v="1"/>
    <s v="CPF 1641"/>
    <s v="Nome 1641"/>
    <s v="Tel 1641"/>
    <s v="Cep 1641"/>
    <s v="Rua 1641"/>
    <s v="Comp 1641"/>
    <s v="Ventilador Rosa"/>
    <s v="WR-82Y0-OV27"/>
    <d v="2025-05-28T00:00:00"/>
    <n v="49.9"/>
    <n v="49.9"/>
    <n v="5.9879999999999995"/>
    <n v="43.91"/>
    <n v="0"/>
    <n v="0"/>
    <n v="0"/>
    <n v="0"/>
    <n v="43.91"/>
    <n v="21.954999999999998"/>
    <x v="139"/>
    <x v="142"/>
    <x v="26"/>
    <d v="2025-06-20T00:00:00"/>
    <x v="7"/>
    <x v="0"/>
    <x v="0"/>
    <s v="-"/>
    <s v="-"/>
    <x v="0"/>
    <m/>
    <n v="0"/>
    <n v="0"/>
    <n v="0"/>
    <n v="0"/>
    <n v="0"/>
  </r>
  <r>
    <x v="2"/>
    <s v="MEI45785"/>
    <s v="Pedido 1683"/>
    <d v="2025-05-07T00:00:00"/>
    <x v="143"/>
    <s v="PedidoF1603"/>
    <s v="CódRastreio1601"/>
    <n v="1"/>
    <s v="CPF 1642"/>
    <s v="Nome 1642"/>
    <s v="Tel 1642"/>
    <s v="Cep 1642"/>
    <s v="Rua 1642"/>
    <s v="Comp 1642"/>
    <s v="Ventilador Rosa"/>
    <s v="WR-82Y0-OV27"/>
    <d v="2025-06-03T00:00:00"/>
    <n v="49.9"/>
    <n v="49.9"/>
    <n v="5.9879999999999995"/>
    <n v="43.91"/>
    <n v="14.58"/>
    <n v="0.14000000000000001"/>
    <n v="0.39877104377104378"/>
    <n v="0"/>
    <n v="28.791228956228952"/>
    <n v="14.395614478114476"/>
    <x v="138"/>
    <x v="141"/>
    <x v="26"/>
    <d v="2025-06-20T00:00:00"/>
    <x v="7"/>
    <x v="0"/>
    <x v="8"/>
    <s v="ENTREGUE"/>
    <d v="2025-06-03T00:00:00"/>
    <x v="0"/>
    <m/>
    <n v="0"/>
    <n v="0"/>
    <n v="0"/>
    <n v="0"/>
    <n v="0"/>
  </r>
  <r>
    <x v="2"/>
    <s v="MEI45785"/>
    <s v="Pedido 1684"/>
    <d v="2025-05-08T00:00:00"/>
    <x v="143"/>
    <s v="PedidoF1604"/>
    <s v="CódRastreio1602"/>
    <n v="1"/>
    <s v="CPF 1643"/>
    <s v="Nome 1643"/>
    <s v="Tel 1643"/>
    <s v="Cep 1643"/>
    <s v="Rua 1643"/>
    <s v="Comp 1643"/>
    <s v="Ventilador Preto"/>
    <s v="WU-SS4J-LFOH"/>
    <d v="2025-05-29T00:00:00"/>
    <n v="65.7"/>
    <n v="65.7"/>
    <n v="7.8840000000000003"/>
    <n v="57.82"/>
    <n v="21.51"/>
    <n v="0.14000000000000001"/>
    <n v="0.39877104377104378"/>
    <n v="0"/>
    <n v="35.771228956228953"/>
    <n v="17.885614478114476"/>
    <x v="134"/>
    <x v="137"/>
    <x v="26"/>
    <d v="2025-06-20T00:00:00"/>
    <x v="7"/>
    <x v="0"/>
    <x v="8"/>
    <s v="ENTREGUE"/>
    <d v="2025-05-20T00:00:00"/>
    <x v="0"/>
    <m/>
    <n v="0"/>
    <n v="0"/>
    <n v="0"/>
    <n v="0"/>
    <n v="0"/>
  </r>
  <r>
    <x v="2"/>
    <s v="MEI45785"/>
    <s v="Pedido 1685"/>
    <d v="2025-05-08T00:00:00"/>
    <x v="143"/>
    <s v="PedidoF1605"/>
    <s v="CódRastreio1603"/>
    <n v="1"/>
    <s v="CPF 1644"/>
    <s v="Nome 1644"/>
    <s v="Tel 1644"/>
    <s v="Cep 1644"/>
    <s v="Rua 1644"/>
    <s v="Comp 1644"/>
    <s v="Karaoke portátil"/>
    <s v="1I-EZPV-2Q78"/>
    <d v="2025-06-04T00:00:00"/>
    <n v="52.73"/>
    <n v="52.73"/>
    <n v="7.9094999999999995"/>
    <n v="44.82"/>
    <n v="22.29"/>
    <n v="0.14000000000000001"/>
    <n v="0.39877104377104378"/>
    <n v="0"/>
    <n v="21.991228956228955"/>
    <n v="10.995614478114478"/>
    <x v="140"/>
    <x v="143"/>
    <x v="26"/>
    <d v="2025-06-20T00:00:00"/>
    <x v="7"/>
    <x v="0"/>
    <x v="8"/>
    <s v="ENTREGUE"/>
    <d v="2025-05-22T00:00:00"/>
    <x v="0"/>
    <m/>
    <n v="0"/>
    <n v="0"/>
    <n v="0"/>
    <n v="0"/>
    <n v="0"/>
  </r>
  <r>
    <x v="2"/>
    <s v="MEI-"/>
    <s v="Pedido 1686"/>
    <d v="2025-05-08T00:00:00"/>
    <x v="0"/>
    <s v="-"/>
    <s v="-"/>
    <n v="1"/>
    <s v="CPF 1645"/>
    <s v="Nome 1645"/>
    <s v="Tel 1645"/>
    <s v="Cep 1645"/>
    <s v="Rua 1645"/>
    <s v="Comp 1645"/>
    <s v="Ventilador Rosa"/>
    <s v="WR-82Y0-OV27"/>
    <d v="2025-06-04T00:00:00"/>
    <n v="49.9"/>
    <n v="49.9"/>
    <n v="5.9879999999999995"/>
    <n v="43.91"/>
    <n v="0"/>
    <n v="0"/>
    <n v="0"/>
    <n v="0"/>
    <n v="43.91"/>
    <n v="21.954999999999998"/>
    <x v="140"/>
    <x v="143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87"/>
    <d v="2025-05-09T00:00:00"/>
    <x v="0"/>
    <s v="-"/>
    <s v="-"/>
    <n v="1"/>
    <s v="CPF 1646"/>
    <s v="Nome 1646"/>
    <s v="Tel 1646"/>
    <s v="Cep 1646"/>
    <s v="Rua 1646"/>
    <s v="Comp 1646"/>
    <s v="Luminária Azul de mesa infantil"/>
    <s v="NO-Z0ZJ-Z61M"/>
    <d v="2025-06-05T00:00:00"/>
    <n v="49.99"/>
    <n v="49.99"/>
    <n v="5.9988000000000001"/>
    <n v="43.99"/>
    <n v="0"/>
    <n v="0"/>
    <n v="0"/>
    <n v="0"/>
    <n v="43.99"/>
    <n v="21.995000000000001"/>
    <x v="141"/>
    <x v="144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88"/>
    <d v="2025-05-09T00:00:00"/>
    <x v="0"/>
    <s v="-"/>
    <s v="-"/>
    <n v="1"/>
    <s v="CPF 1647"/>
    <s v="Nome 1647"/>
    <s v="Tel 1647"/>
    <s v="Cep 1647"/>
    <s v="Rua 1647"/>
    <s v="Comp 1647"/>
    <s v="Ventilador Rosa"/>
    <s v="WR-82Y0-OV27"/>
    <d v="2025-06-05T00:00:00"/>
    <n v="49.9"/>
    <n v="49.9"/>
    <n v="5.9879999999999995"/>
    <n v="43.91"/>
    <n v="0"/>
    <n v="0"/>
    <n v="0"/>
    <n v="0"/>
    <n v="43.91"/>
    <n v="21.954999999999998"/>
    <x v="141"/>
    <x v="144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89"/>
    <d v="2025-05-09T00:00:00"/>
    <x v="0"/>
    <s v="-"/>
    <s v="-"/>
    <n v="1"/>
    <s v="CPF 1648"/>
    <s v="Nome 1648"/>
    <s v="Tel 1648"/>
    <s v="Cep 1648"/>
    <s v="Rua 1648"/>
    <s v="Comp 1648"/>
    <s v="Ventilador Rosa"/>
    <s v="WR-82Y0-OV27"/>
    <d v="2025-06-05T00:00:00"/>
    <n v="49.9"/>
    <n v="49.9"/>
    <n v="5.9879999999999995"/>
    <n v="43.91"/>
    <n v="0"/>
    <n v="0"/>
    <n v="0"/>
    <n v="0"/>
    <n v="43.91"/>
    <n v="21.954999999999998"/>
    <x v="141"/>
    <x v="144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90"/>
    <d v="2025-05-09T00:00:00"/>
    <x v="0"/>
    <s v="-"/>
    <s v="-"/>
    <n v="1"/>
    <s v="CPF 1649"/>
    <s v="Nome 1649"/>
    <s v="Tel 1649"/>
    <s v="Cep 1649"/>
    <s v="Rua 1649"/>
    <s v="Comp 1649"/>
    <s v="Luminária Azul de mesa infantil"/>
    <s v="NO-Z0ZJ-Z61M"/>
    <d v="2025-05-30T00:00:00"/>
    <n v="49.99"/>
    <n v="49.99"/>
    <n v="5.9988000000000001"/>
    <n v="43.99"/>
    <n v="0"/>
    <n v="0"/>
    <n v="0"/>
    <n v="0"/>
    <n v="43.99"/>
    <n v="21.995000000000001"/>
    <x v="136"/>
    <x v="139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691"/>
    <d v="2025-05-09T00:00:00"/>
    <x v="0"/>
    <s v="-"/>
    <s v="-"/>
    <n v="1"/>
    <s v="CPF 1650"/>
    <s v="Nome 1650"/>
    <s v="Tel 1650"/>
    <s v="Cep 1650"/>
    <s v="Rua 1650"/>
    <s v="Comp 1650"/>
    <s v="Ventilador Azul"/>
    <s v="PK-L2Z7-MQRQ"/>
    <d v="2025-05-30T00:00:00"/>
    <n v="48.9"/>
    <n v="48.9"/>
    <n v="5.8679999999999994"/>
    <n v="43.03"/>
    <n v="0"/>
    <n v="0"/>
    <n v="0"/>
    <n v="0"/>
    <n v="43.03"/>
    <n v="21.515000000000001"/>
    <x v="136"/>
    <x v="139"/>
    <x v="26"/>
    <d v="2025-06-20T00:00:00"/>
    <x v="7"/>
    <x v="0"/>
    <x v="0"/>
    <s v="-"/>
    <s v="-"/>
    <x v="0"/>
    <m/>
    <n v="0"/>
    <n v="0"/>
    <n v="0"/>
    <n v="0"/>
    <n v="0"/>
  </r>
  <r>
    <x v="2"/>
    <s v="MEI45790"/>
    <s v="Pedido 1692"/>
    <d v="2025-05-10T00:00:00"/>
    <x v="145"/>
    <s v="PedidoF1606"/>
    <s v="CódRastreio1604"/>
    <n v="1"/>
    <s v="CPF 1651"/>
    <s v="Nome 1651"/>
    <s v="Tel 1651"/>
    <s v="Cep 1651"/>
    <s v="Rua 1651"/>
    <s v="Comp 1651"/>
    <s v="Ventilador Umidificador Preto"/>
    <s v="71-KHMZ-MLQW"/>
    <d v="2025-06-05T00:00:00"/>
    <n v="49.99"/>
    <n v="49.99"/>
    <n v="5.4988999999999999"/>
    <n v="44.49"/>
    <n v="37.64"/>
    <n v="0.45"/>
    <n v="0.39877104377104378"/>
    <n v="0"/>
    <n v="6.0012289562289567"/>
    <n v="3.0006144781144783"/>
    <x v="141"/>
    <x v="144"/>
    <x v="26"/>
    <d v="2025-06-20T00:00:00"/>
    <x v="7"/>
    <x v="0"/>
    <x v="8"/>
    <s v="EM TRÂNSITO"/>
    <s v="-"/>
    <x v="0"/>
    <m/>
    <n v="0"/>
    <n v="0"/>
    <n v="0"/>
    <n v="0"/>
    <n v="0"/>
  </r>
  <r>
    <x v="2"/>
    <s v="MEI45791"/>
    <s v="Pedido 1693"/>
    <d v="2025-05-10T00:00:00"/>
    <x v="146"/>
    <s v="PedidoF1607"/>
    <s v="CódRastreio1605"/>
    <n v="1"/>
    <s v="CPF 1652"/>
    <s v="Nome 1652"/>
    <s v="Tel 1652"/>
    <s v="Cep 1652"/>
    <s v="Rua 1652"/>
    <s v="Comp 1652"/>
    <s v="Máquina de cortar cabelo dragão"/>
    <s v="RX-DD1P-P5U2"/>
    <d v="2025-06-05T00:00:00"/>
    <n v="26.99"/>
    <n v="26.99"/>
    <n v="3.2387999999999999"/>
    <n v="23.75"/>
    <n v="0"/>
    <n v="0.64"/>
    <n v="0.39877104377104378"/>
    <n v="0"/>
    <n v="22.711228956228958"/>
    <n v="11.355614478114479"/>
    <x v="141"/>
    <x v="144"/>
    <x v="26"/>
    <d v="2025-06-20T00:00:00"/>
    <x v="7"/>
    <x v="0"/>
    <x v="8"/>
    <s v="ENTREGUE"/>
    <d v="2025-06-23T09:54:13"/>
    <x v="0"/>
    <m/>
    <n v="0"/>
    <n v="0"/>
    <n v="0"/>
    <n v="0"/>
    <n v="0"/>
  </r>
  <r>
    <x v="2"/>
    <s v="MEI45790"/>
    <s v="Pedido 1694"/>
    <d v="2025-05-10T00:00:00"/>
    <x v="145"/>
    <s v="PedidoF1608"/>
    <s v="CódRastreio1606"/>
    <n v="1"/>
    <s v="CPF 1653"/>
    <s v="Nome 1653"/>
    <s v="Tel 1653"/>
    <s v="Cep 1653"/>
    <s v="Rua 1653"/>
    <s v="Comp 1653"/>
    <s v="Copo Termico"/>
    <s v="VI-4RT5-1FFO"/>
    <d v="2025-05-24T00:00:00"/>
    <n v="22.7"/>
    <n v="22.7"/>
    <n v="2.7239999999999998"/>
    <n v="19.98"/>
    <n v="14.71"/>
    <n v="0.45"/>
    <n v="0.39877104377104378"/>
    <n v="0"/>
    <n v="4.4212289562289566"/>
    <n v="2.2106144781144783"/>
    <x v="131"/>
    <x v="134"/>
    <x v="26"/>
    <d v="2025-06-20T00:00:00"/>
    <x v="6"/>
    <x v="0"/>
    <x v="8"/>
    <s v="ENTREGUE"/>
    <d v="2025-05-16T00:00:00"/>
    <x v="0"/>
    <m/>
    <n v="0"/>
    <n v="0"/>
    <n v="0"/>
    <n v="0"/>
    <n v="0"/>
  </r>
  <r>
    <x v="2"/>
    <s v="MEI45791"/>
    <s v="Pedido 1695"/>
    <d v="2025-05-10T00:00:00"/>
    <x v="146"/>
    <s v="PedidoF1609"/>
    <s v="CódRastreio1607"/>
    <n v="1"/>
    <s v="CPF 1654"/>
    <s v="Nome 1654"/>
    <s v="Tel 1654"/>
    <s v="Cep 1654"/>
    <s v="Rua 1654"/>
    <s v="Comp 1654"/>
    <s v="Ventilador Umidificador Preto"/>
    <s v="71-KHMZ-MLQW"/>
    <d v="2025-05-30T00:00:00"/>
    <n v="49.99"/>
    <n v="49.99"/>
    <n v="5.4988999999999999"/>
    <n v="44.49"/>
    <n v="36.659999999999997"/>
    <n v="0.64"/>
    <n v="0.39877104377104378"/>
    <n v="0"/>
    <n v="6.7912289562289629"/>
    <n v="3.3956144781144815"/>
    <x v="136"/>
    <x v="139"/>
    <x v="26"/>
    <d v="2025-06-20T00:00:00"/>
    <x v="7"/>
    <x v="0"/>
    <x v="8"/>
    <s v="ENTREGUE"/>
    <d v="2025-06-11T17:10:36"/>
    <x v="0"/>
    <m/>
    <n v="0"/>
    <n v="0"/>
    <n v="0"/>
    <n v="0"/>
    <n v="0"/>
  </r>
  <r>
    <x v="2"/>
    <s v="MEI-"/>
    <s v="Pedido 1696"/>
    <d v="2025-05-11T00:00:00"/>
    <x v="0"/>
    <s v="-"/>
    <s v="-"/>
    <n v="1"/>
    <s v="CPF 1655"/>
    <s v="Nome 1655"/>
    <s v="Tel 1655"/>
    <s v="Cep 1655"/>
    <s v="Rua 1655"/>
    <s v="Comp 1655"/>
    <s v="Ventilador Azul"/>
    <s v="PK-L2Z7-MQRQ"/>
    <d v="2025-06-12T00:00:00"/>
    <n v="48.9"/>
    <n v="48.9"/>
    <n v="5.8679999999999994"/>
    <n v="43.03"/>
    <n v="0"/>
    <n v="0"/>
    <n v="0"/>
    <n v="0"/>
    <n v="43.03"/>
    <n v="21.515000000000001"/>
    <x v="144"/>
    <x v="147"/>
    <x v="27"/>
    <d v="2025-07-01T00:00:00"/>
    <x v="7"/>
    <x v="0"/>
    <x v="0"/>
    <s v="-"/>
    <s v="-"/>
    <x v="0"/>
    <m/>
    <n v="0"/>
    <n v="0"/>
    <n v="0"/>
    <n v="0"/>
    <n v="0"/>
  </r>
  <r>
    <x v="2"/>
    <s v="MEI-"/>
    <s v="Pedido 1697"/>
    <d v="2025-05-11T00:00:00"/>
    <x v="0"/>
    <s v="-"/>
    <s v="-"/>
    <n v="1"/>
    <s v="CPF 1656"/>
    <s v="Nome 1656"/>
    <s v="Tel 1656"/>
    <s v="Cep 1656"/>
    <s v="Rua 1656"/>
    <s v="Comp 1656"/>
    <s v="Ventilador Rosa"/>
    <s v="WR-82Y0-OV27"/>
    <d v="2025-05-30T00:00:00"/>
    <n v="49.9"/>
    <n v="49.9"/>
    <n v="5.9879999999999995"/>
    <n v="43.91"/>
    <n v="0"/>
    <n v="0"/>
    <n v="0"/>
    <n v="0"/>
    <n v="43.91"/>
    <n v="21.954999999999998"/>
    <x v="136"/>
    <x v="139"/>
    <x v="26"/>
    <d v="2025-06-20T00:00:00"/>
    <x v="7"/>
    <x v="0"/>
    <x v="0"/>
    <s v="-"/>
    <s v="-"/>
    <x v="0"/>
    <m/>
    <n v="0"/>
    <n v="0"/>
    <n v="0"/>
    <n v="0"/>
    <n v="0"/>
  </r>
  <r>
    <x v="2"/>
    <s v="MEI45791"/>
    <s v="Pedido 1698"/>
    <d v="2025-05-11T00:00:00"/>
    <x v="146"/>
    <s v="PedidoF1610"/>
    <s v="CódRastreio1608"/>
    <n v="1"/>
    <s v="CPF 1657"/>
    <s v="Nome 1657"/>
    <s v="Tel 1657"/>
    <s v="Cep 1657"/>
    <s v="Rua 1657"/>
    <s v="Comp 1657"/>
    <s v="Copo Termico"/>
    <s v="VI-4RT5-1FFO"/>
    <d v="2025-06-05T00:00:00"/>
    <n v="22.7"/>
    <n v="22.7"/>
    <n v="2.7239999999999998"/>
    <n v="19.98"/>
    <n v="14.71"/>
    <n v="0.64"/>
    <n v="0.39877104377104378"/>
    <n v="0"/>
    <n v="4.2312289562289553"/>
    <n v="2.1156144781144777"/>
    <x v="141"/>
    <x v="144"/>
    <x v="26"/>
    <d v="2025-06-20T00:00:00"/>
    <x v="7"/>
    <x v="0"/>
    <x v="8"/>
    <s v="ENTREGUE"/>
    <d v="2025-05-22T00:00:00"/>
    <x v="0"/>
    <m/>
    <n v="0"/>
    <n v="0"/>
    <n v="0"/>
    <n v="0"/>
    <n v="0"/>
  </r>
  <r>
    <x v="2"/>
    <s v="MEI45792"/>
    <s v="Pedido 1699"/>
    <d v="2025-05-11T00:00:00"/>
    <x v="147"/>
    <s v="PedidoF1611"/>
    <s v="CódRastreio1609"/>
    <n v="1"/>
    <s v="CPF 1658"/>
    <s v="Nome 1658"/>
    <s v="Tel 1658"/>
    <s v="Cep 1658"/>
    <s v="Rua 1658"/>
    <s v="Comp 1658"/>
    <s v="Ventilador Azul"/>
    <s v="PK-L2Z7-MQRQ"/>
    <d v="2025-06-12T00:00:00"/>
    <n v="48.9"/>
    <n v="48.9"/>
    <n v="5.8679999999999994"/>
    <n v="43.03"/>
    <n v="28.88"/>
    <n v="4.0999999999999996"/>
    <n v="0.39877104377104378"/>
    <n v="0"/>
    <n v="9.6512289562289624"/>
    <n v="4.8256144781144812"/>
    <x v="144"/>
    <x v="147"/>
    <x v="27"/>
    <d v="2025-07-01T00:00:00"/>
    <x v="7"/>
    <x v="0"/>
    <x v="8"/>
    <s v="ENTREGUE"/>
    <d v="2025-06-04T00:00:00"/>
    <x v="0"/>
    <m/>
    <n v="0"/>
    <n v="0"/>
    <n v="0"/>
    <n v="0"/>
    <n v="0"/>
  </r>
  <r>
    <x v="2"/>
    <s v="MEI-"/>
    <s v="Pedido 1700"/>
    <d v="2025-05-11T00:00:00"/>
    <x v="0"/>
    <s v="-"/>
    <s v="-"/>
    <n v="1"/>
    <s v="CPF 1659"/>
    <s v="Nome 1659"/>
    <s v="Tel 1659"/>
    <s v="Cep 1659"/>
    <s v="Rua 1659"/>
    <s v="Comp 1659"/>
    <s v="Ventilador Rosa"/>
    <s v="WR-82Y0-OV27"/>
    <d v="2025-06-05T00:00:00"/>
    <n v="49.9"/>
    <n v="49.9"/>
    <n v="5.9879999999999995"/>
    <n v="43.91"/>
    <n v="0"/>
    <n v="0"/>
    <n v="0"/>
    <n v="0"/>
    <n v="43.91"/>
    <n v="21.954999999999998"/>
    <x v="141"/>
    <x v="144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701"/>
    <d v="2025-05-11T00:00:00"/>
    <x v="0"/>
    <s v="-"/>
    <s v="-"/>
    <n v="1"/>
    <s v="CPF 1660"/>
    <s v="Nome 1660"/>
    <s v="Tel 1660"/>
    <s v="Cep 1660"/>
    <s v="Rua 1660"/>
    <s v="Comp 1660"/>
    <s v="Ventilador Azul"/>
    <s v="PK-L2Z7-MQRQ"/>
    <d v="2025-06-12T00:00:00"/>
    <n v="48.9"/>
    <n v="48.9"/>
    <n v="5.8679999999999994"/>
    <n v="43.03"/>
    <n v="0"/>
    <n v="0"/>
    <n v="0"/>
    <n v="0"/>
    <n v="43.03"/>
    <n v="21.515000000000001"/>
    <x v="144"/>
    <x v="147"/>
    <x v="27"/>
    <d v="2025-07-01T00:00:00"/>
    <x v="7"/>
    <x v="0"/>
    <x v="0"/>
    <s v="-"/>
    <s v="-"/>
    <x v="0"/>
    <m/>
    <n v="0"/>
    <n v="0"/>
    <n v="0"/>
    <n v="0"/>
    <n v="0"/>
  </r>
  <r>
    <x v="2"/>
    <s v="MEI-"/>
    <s v="Pedido 1702"/>
    <d v="2025-05-11T00:00:00"/>
    <x v="0"/>
    <s v="-"/>
    <s v="-"/>
    <n v="1"/>
    <s v="CPF 1661"/>
    <s v="Nome 1661"/>
    <s v="Tel 1661"/>
    <s v="Cep 1661"/>
    <s v="Rua 1661"/>
    <s v="Comp 1661"/>
    <s v="Ventilador Azul"/>
    <s v="PK-L2Z7-MQRQ"/>
    <d v="2025-06-12T00:00:00"/>
    <n v="48.9"/>
    <n v="48.9"/>
    <n v="5.8679999999999994"/>
    <n v="43.03"/>
    <n v="0"/>
    <n v="0"/>
    <n v="0"/>
    <n v="0"/>
    <n v="43.03"/>
    <n v="21.515000000000001"/>
    <x v="144"/>
    <x v="147"/>
    <x v="27"/>
    <d v="2025-07-01T00:00:00"/>
    <x v="7"/>
    <x v="0"/>
    <x v="0"/>
    <s v="-"/>
    <s v="-"/>
    <x v="0"/>
    <m/>
    <n v="0"/>
    <n v="0"/>
    <n v="0"/>
    <n v="0"/>
    <n v="0"/>
  </r>
  <r>
    <x v="2"/>
    <s v="MEI45791"/>
    <s v="Pedido 1703"/>
    <d v="2025-05-11T00:00:00"/>
    <x v="146"/>
    <s v="PedidoF1612"/>
    <s v="CódRastreio1610"/>
    <n v="1"/>
    <s v="CPF 1662"/>
    <s v="Nome 1662"/>
    <s v="Tel 1662"/>
    <s v="Cep 1662"/>
    <s v="Rua 1662"/>
    <s v="Comp 1662"/>
    <s v="Ventilador Umidificador Preto"/>
    <s v="71-KHMZ-MLQW"/>
    <d v="2025-06-12T00:00:00"/>
    <n v="49.99"/>
    <n v="49.99"/>
    <n v="5.4988999999999999"/>
    <n v="44.49"/>
    <n v="0"/>
    <n v="0.64"/>
    <n v="0.39877104377104378"/>
    <n v="0"/>
    <n v="43.45122895622896"/>
    <n v="21.72561447811448"/>
    <x v="144"/>
    <x v="147"/>
    <x v="27"/>
    <d v="2025-07-01T00:00:00"/>
    <x v="7"/>
    <x v="0"/>
    <x v="8"/>
    <s v="ENTREGUE"/>
    <d v="2025-07-09T00:00:00"/>
    <x v="0"/>
    <m/>
    <n v="0"/>
    <n v="0"/>
    <n v="0"/>
    <n v="0"/>
    <n v="0"/>
  </r>
  <r>
    <x v="2"/>
    <s v="MEI-"/>
    <s v="Pedido 1704"/>
    <d v="2025-05-11T00:00:00"/>
    <x v="0"/>
    <s v="-"/>
    <s v="-"/>
    <n v="1"/>
    <s v="CPF 1663"/>
    <s v="Nome 1663"/>
    <s v="Tel 1663"/>
    <s v="Cep 1663"/>
    <s v="Rua 1663"/>
    <s v="Comp 1663"/>
    <s v="Copo Termico"/>
    <s v="VI-4RT5-1FFO"/>
    <d v="2025-05-30T00:00:00"/>
    <n v="22.7"/>
    <n v="22.7"/>
    <n v="2.7239999999999998"/>
    <n v="19.98"/>
    <n v="0"/>
    <n v="0"/>
    <n v="0"/>
    <n v="0"/>
    <n v="19.98"/>
    <n v="9.99"/>
    <x v="136"/>
    <x v="139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705"/>
    <d v="2025-05-11T00:00:00"/>
    <x v="0"/>
    <s v="-"/>
    <s v="-"/>
    <n v="1"/>
    <s v="CPF 1664"/>
    <s v="Nome 1664"/>
    <s v="Tel 1664"/>
    <s v="Cep 1664"/>
    <s v="Rua 1664"/>
    <s v="Comp 1664"/>
    <s v="Ventilador Preto"/>
    <s v="WU-SS4J-LFOH"/>
    <d v="2025-06-12T00:00:00"/>
    <n v="65.7"/>
    <n v="65.7"/>
    <n v="7.8840000000000003"/>
    <n v="57.82"/>
    <n v="0"/>
    <n v="0"/>
    <n v="0"/>
    <n v="0"/>
    <n v="57.82"/>
    <n v="28.91"/>
    <x v="144"/>
    <x v="147"/>
    <x v="27"/>
    <d v="2025-07-01T00:00:00"/>
    <x v="7"/>
    <x v="0"/>
    <x v="0"/>
    <s v="-"/>
    <s v="-"/>
    <x v="0"/>
    <m/>
    <n v="0"/>
    <n v="0"/>
    <n v="0"/>
    <n v="0"/>
    <n v="0"/>
  </r>
  <r>
    <x v="2"/>
    <s v="MEI45793"/>
    <s v="Pedido 1706"/>
    <d v="2025-05-12T00:00:00"/>
    <x v="148"/>
    <s v="PedidoF1613"/>
    <s v="CódRastreio1611"/>
    <n v="1"/>
    <s v="CPF 1665"/>
    <s v="Nome 1665"/>
    <s v="Tel 1665"/>
    <s v="Cep 1665"/>
    <s v="Rua 1665"/>
    <s v="Comp 1665"/>
    <s v="Ventilador Azul"/>
    <s v="PK-L2Z7-MQRQ"/>
    <d v="2025-06-06T00:00:00"/>
    <n v="48.9"/>
    <n v="48.9"/>
    <n v="5.8679999999999994"/>
    <n v="43.03"/>
    <n v="22.66"/>
    <n v="0.2"/>
    <n v="0.39877104377104378"/>
    <n v="0"/>
    <n v="19.771228956228956"/>
    <n v="9.8856144781144781"/>
    <x v="142"/>
    <x v="145"/>
    <x v="26"/>
    <d v="2025-06-20T00:00:00"/>
    <x v="7"/>
    <x v="0"/>
    <x v="8"/>
    <s v="ENTREGUE"/>
    <d v="2025-05-30T00:00:00"/>
    <x v="0"/>
    <m/>
    <n v="0"/>
    <n v="0"/>
    <n v="0"/>
    <n v="0"/>
    <n v="0"/>
  </r>
  <r>
    <x v="2"/>
    <s v="MEI45794"/>
    <s v="Pedido 1707"/>
    <d v="2025-05-12T00:00:00"/>
    <x v="149"/>
    <s v="PedidoF1614"/>
    <s v="CódRastreio1612"/>
    <n v="1"/>
    <s v="CPF 1666"/>
    <s v="Nome 1666"/>
    <s v="Tel 1666"/>
    <s v="Cep 1666"/>
    <s v="Rua 1666"/>
    <s v="Comp 1666"/>
    <s v="Ventilador Azul"/>
    <s v="PK-L2Z7-MQRQ"/>
    <d v="2025-06-13T00:00:00"/>
    <n v="48.9"/>
    <n v="48.9"/>
    <n v="5.8679999999999994"/>
    <n v="43.03"/>
    <n v="12.56"/>
    <n v="0.3"/>
    <n v="0.39877104377104378"/>
    <n v="0"/>
    <n v="29.771228956228956"/>
    <n v="14.885614478114478"/>
    <x v="145"/>
    <x v="148"/>
    <x v="27"/>
    <d v="2025-07-01T00:00:00"/>
    <x v="7"/>
    <x v="0"/>
    <x v="8"/>
    <s v="ENTREGUE"/>
    <d v="2025-06-26T00:00:00"/>
    <x v="0"/>
    <m/>
    <n v="0"/>
    <n v="0"/>
    <n v="0"/>
    <n v="0"/>
    <n v="0"/>
  </r>
  <r>
    <x v="2"/>
    <s v="MEI45793"/>
    <s v="Pedido 1708"/>
    <d v="2025-05-12T00:00:00"/>
    <x v="148"/>
    <s v="PedidoF1615"/>
    <s v="CódRastreio1613"/>
    <n v="1"/>
    <s v="CPF 1667"/>
    <s v="Nome 1667"/>
    <s v="Tel 1667"/>
    <s v="Cep 1667"/>
    <s v="Rua 1667"/>
    <s v="Comp 1667"/>
    <s v="Ventilador Rosa"/>
    <s v="WR-82Y0-OV27"/>
    <d v="2025-06-06T00:00:00"/>
    <n v="49.9"/>
    <n v="49.9"/>
    <n v="5.9879999999999995"/>
    <n v="43.91"/>
    <n v="12.73"/>
    <n v="0.2"/>
    <n v="0.39877104377104378"/>
    <n v="0"/>
    <n v="30.581228956228955"/>
    <n v="15.290614478114477"/>
    <x v="142"/>
    <x v="145"/>
    <x v="26"/>
    <d v="2025-06-20T00:00:00"/>
    <x v="7"/>
    <x v="0"/>
    <x v="8"/>
    <s v="ENTREGUE"/>
    <d v="2025-06-02T00:00:00"/>
    <x v="0"/>
    <m/>
    <n v="0"/>
    <n v="0"/>
    <n v="0"/>
    <n v="0"/>
    <n v="0"/>
  </r>
  <r>
    <x v="2"/>
    <s v="MEI-"/>
    <s v="Pedido 1709"/>
    <d v="2025-05-12T00:00:00"/>
    <x v="0"/>
    <s v="-"/>
    <s v="-"/>
    <n v="1"/>
    <s v="CPF 1668"/>
    <s v="Nome 1668"/>
    <s v="Tel 1668"/>
    <s v="Cep 1668"/>
    <s v="Rua 1668"/>
    <s v="Comp 1668"/>
    <s v="Lampada Led"/>
    <s v="T1-SWVB-UPOW"/>
    <d v="2025-06-13T00:00:00"/>
    <n v="35.99"/>
    <n v="35.99"/>
    <n v="4.3188000000000004"/>
    <n v="31.67"/>
    <n v="0"/>
    <n v="0"/>
    <n v="0"/>
    <n v="0"/>
    <n v="31.67"/>
    <n v="15.835000000000001"/>
    <x v="145"/>
    <x v="148"/>
    <x v="27"/>
    <d v="2025-07-01T00:00:00"/>
    <x v="7"/>
    <x v="0"/>
    <x v="0"/>
    <s v="-"/>
    <s v="-"/>
    <x v="0"/>
    <m/>
    <n v="0"/>
    <n v="0"/>
    <n v="0"/>
    <n v="0"/>
    <n v="0"/>
  </r>
  <r>
    <x v="1"/>
    <s v="GO-"/>
    <s v="Pedido 1710"/>
    <d v="2025-05-10T00:00:00"/>
    <x v="0"/>
    <s v="-"/>
    <s v="-"/>
    <n v="1"/>
    <s v="CPF 1669"/>
    <s v="Nome 1669"/>
    <s v="Tel 1669"/>
    <s v="Cep 1669"/>
    <s v="Rua 1669"/>
    <s v="Comp 1669"/>
    <s v="Maçarico Culinário Portátil"/>
    <s v="WS-5LUS-APOT"/>
    <d v="2025-06-12T00:00:00"/>
    <n v="36.99"/>
    <n v="36.99"/>
    <n v="4.0689000000000002"/>
    <n v="32.92"/>
    <n v="0"/>
    <n v="0"/>
    <n v="0"/>
    <n v="0"/>
    <n v="32.92"/>
    <n v="32.92"/>
    <x v="144"/>
    <x v="147"/>
    <x v="27"/>
    <d v="2025-07-01T00:00:00"/>
    <x v="7"/>
    <x v="0"/>
    <x v="0"/>
    <s v="-"/>
    <s v="-"/>
    <x v="0"/>
    <m/>
    <n v="0"/>
    <n v="0"/>
    <n v="0"/>
    <n v="0"/>
    <n v="0"/>
  </r>
  <r>
    <x v="2"/>
    <s v="MEI45807"/>
    <s v="Pedido 1711"/>
    <d v="2025-05-14T00:00:00"/>
    <x v="150"/>
    <s v="PedidoF1616"/>
    <s v="CódRastreio1614"/>
    <n v="1"/>
    <s v="CPF 1670"/>
    <s v="Nome 1670"/>
    <s v="Tel 1670"/>
    <s v="Cep 1670"/>
    <s v="Rua 1670"/>
    <s v="Comp 1670"/>
    <s v="Karaoke portátil"/>
    <s v="1I-EZPV-2Q78"/>
    <d v="2025-06-10T00:00:00"/>
    <n v="52.73"/>
    <n v="52.73"/>
    <n v="7.9094999999999995"/>
    <n v="44.82"/>
    <n v="33.99"/>
    <n v="0"/>
    <n v="0.39877104377104378"/>
    <n v="0"/>
    <n v="10.431228956228956"/>
    <n v="5.2156144781144782"/>
    <x v="146"/>
    <x v="149"/>
    <x v="27"/>
    <d v="2025-07-01T00:00:00"/>
    <x v="7"/>
    <x v="0"/>
    <x v="8"/>
    <s v="ENTREGUE"/>
    <d v="2025-06-08T00:00:00"/>
    <x v="0"/>
    <m/>
    <n v="0"/>
    <n v="0"/>
    <n v="0"/>
    <n v="0"/>
    <n v="0"/>
  </r>
  <r>
    <x v="2"/>
    <s v="MEI45796"/>
    <s v="Pedido 1712"/>
    <d v="2025-05-14T00:00:00"/>
    <x v="151"/>
    <s v="PedidoF1617"/>
    <s v="CódRastreio1615"/>
    <n v="1"/>
    <s v="CPF 1671"/>
    <s v="Nome 1671"/>
    <s v="Tel 1671"/>
    <s v="Cep 1671"/>
    <s v="Rua 1671"/>
    <s v="Comp 1671"/>
    <s v="Ventilador Rosa"/>
    <s v="WR-82Y0-OV27"/>
    <d v="2025-06-10T00:00:00"/>
    <n v="49.9"/>
    <n v="49.9"/>
    <n v="5.9879999999999995"/>
    <n v="43.91"/>
    <n v="16.18"/>
    <n v="0.75"/>
    <n v="0.39877104377104378"/>
    <n v="0"/>
    <n v="26.581228956228951"/>
    <n v="13.290614478114476"/>
    <x v="146"/>
    <x v="149"/>
    <x v="27"/>
    <d v="2025-07-01T00:00:00"/>
    <x v="7"/>
    <x v="0"/>
    <x v="8"/>
    <s v="ENTREGUE"/>
    <d v="2025-06-04T00:00:00"/>
    <x v="0"/>
    <m/>
    <n v="0"/>
    <n v="0"/>
    <n v="0"/>
    <n v="0"/>
    <n v="0"/>
  </r>
  <r>
    <x v="2"/>
    <s v="MEI45797"/>
    <s v="Pedido 1713"/>
    <d v="2025-05-14T00:00:00"/>
    <x v="152"/>
    <s v="PedidoF1618"/>
    <s v="CódRastreio1616"/>
    <n v="1"/>
    <s v="CPF 1672"/>
    <s v="Nome 1672"/>
    <s v="Tel 1672"/>
    <s v="Cep 1672"/>
    <s v="Rua 1672"/>
    <s v="Comp 1672"/>
    <s v="Ventilador Preto"/>
    <s v="WU-SS4J-LFOH"/>
    <d v="2025-06-17T00:00:00"/>
    <n v="65.7"/>
    <n v="65.7"/>
    <n v="7.8840000000000003"/>
    <n v="57.82"/>
    <n v="24.6"/>
    <n v="0.9"/>
    <n v="0.39877104377104378"/>
    <n v="0"/>
    <n v="31.921228956228955"/>
    <n v="15.960614478114477"/>
    <x v="147"/>
    <x v="150"/>
    <x v="27"/>
    <d v="2025-07-01T00:00:00"/>
    <x v="7"/>
    <x v="0"/>
    <x v="8"/>
    <s v="ENTREGUE"/>
    <d v="2025-06-25T00:00:00"/>
    <x v="0"/>
    <m/>
    <n v="0"/>
    <n v="0"/>
    <n v="0"/>
    <n v="0"/>
    <n v="0"/>
  </r>
  <r>
    <x v="2"/>
    <s v="MEI45796"/>
    <s v="Pedido 1714"/>
    <d v="2025-05-14T00:00:00"/>
    <x v="151"/>
    <s v="PedidoF1619"/>
    <s v="CódRastreio1617"/>
    <n v="1"/>
    <s v="CPF 1673"/>
    <s v="Nome 1673"/>
    <s v="Tel 1673"/>
    <s v="Cep 1673"/>
    <s v="Rua 1673"/>
    <s v="Comp 1673"/>
    <s v="Ventilador Umidificador Preto"/>
    <s v="71-KHMZ-MLQW"/>
    <d v="2025-06-10T00:00:00"/>
    <n v="49.99"/>
    <n v="49.99"/>
    <n v="5.4988999999999999"/>
    <n v="44.49"/>
    <n v="40.049999999999997"/>
    <n v="0.75"/>
    <n v="0.39877104377104378"/>
    <n v="0"/>
    <n v="3.2912289562289629"/>
    <n v="1.6456144781144815"/>
    <x v="146"/>
    <x v="149"/>
    <x v="27"/>
    <d v="2025-07-01T00:00:00"/>
    <x v="7"/>
    <x v="0"/>
    <x v="8"/>
    <s v="ENTREGUE"/>
    <d v="2025-06-02T00:00:00"/>
    <x v="0"/>
    <m/>
    <n v="0"/>
    <n v="0"/>
    <n v="0"/>
    <n v="0"/>
    <n v="0"/>
  </r>
  <r>
    <x v="2"/>
    <s v="MEI45806"/>
    <s v="Pedido 1715"/>
    <d v="2025-05-15T00:00:00"/>
    <x v="153"/>
    <s v="PedidoF1620"/>
    <s v="CódRastreio1618"/>
    <n v="1"/>
    <s v="CPF 1674"/>
    <s v="Nome 1674"/>
    <s v="Tel 1674"/>
    <s v="Cep 1674"/>
    <s v="Rua 1674"/>
    <s v="Comp 1674"/>
    <s v="Ventilador Umidificador Preto"/>
    <s v="71-KHMZ-MLQW"/>
    <d v="2025-06-05T00:00:00"/>
    <n v="49.99"/>
    <n v="49.99"/>
    <n v="5.4988999999999999"/>
    <n v="44.49"/>
    <n v="36.72"/>
    <n v="0"/>
    <n v="0.39877104377104378"/>
    <n v="0"/>
    <n v="7.3712289562289612"/>
    <n v="3.6856144781144806"/>
    <x v="141"/>
    <x v="144"/>
    <x v="26"/>
    <d v="2025-06-20T00:00:00"/>
    <x v="7"/>
    <x v="0"/>
    <x v="8"/>
    <s v="ENTREGUE"/>
    <d v="2025-06-11T00:00:00"/>
    <x v="0"/>
    <m/>
    <n v="0"/>
    <n v="0"/>
    <n v="0"/>
    <n v="0"/>
    <n v="0"/>
  </r>
  <r>
    <x v="2"/>
    <s v="MEI-"/>
    <s v="Pedido 1716"/>
    <d v="2025-05-15T00:00:00"/>
    <x v="0"/>
    <s v="-"/>
    <s v="-"/>
    <n v="1"/>
    <s v="CPF 1675"/>
    <s v="Nome 1675"/>
    <s v="Tel 1675"/>
    <s v="Cep 1675"/>
    <s v="Rua 1675"/>
    <s v="Comp 1675"/>
    <s v="Ventilador Umidificador Preto"/>
    <s v="71-KHMZ-MLQW"/>
    <d v="2025-06-18T00:00:00"/>
    <n v="49.99"/>
    <n v="49.99"/>
    <n v="5.4988999999999999"/>
    <n v="44.49"/>
    <n v="0"/>
    <n v="0"/>
    <n v="0"/>
    <n v="0"/>
    <n v="44.49"/>
    <n v="22.245000000000001"/>
    <x v="148"/>
    <x v="151"/>
    <x v="27"/>
    <d v="2025-07-01T00:00:00"/>
    <x v="7"/>
    <x v="0"/>
    <x v="0"/>
    <s v="-"/>
    <s v="-"/>
    <x v="0"/>
    <m/>
    <n v="0"/>
    <n v="0"/>
    <n v="0"/>
    <n v="0"/>
    <n v="0"/>
  </r>
  <r>
    <x v="2"/>
    <s v="MEI45807"/>
    <s v="Pedido 1717"/>
    <d v="2025-05-15T00:00:00"/>
    <x v="150"/>
    <s v="PedidoF1621"/>
    <s v="CódRastreio1619"/>
    <n v="1"/>
    <s v="CPF 1676"/>
    <s v="Nome 1676"/>
    <s v="Tel 1676"/>
    <s v="Cep 1676"/>
    <s v="Rua 1676"/>
    <s v="Comp 1676"/>
    <s v="Brinquedo Bola Giratória voadora"/>
    <s v="Z0-F6CI-18CL"/>
    <d v="2025-06-18T00:00:00"/>
    <n v="39.47"/>
    <n v="39.47"/>
    <n v="4.7363999999999997"/>
    <n v="34.729999999999997"/>
    <n v="33.119999999999997"/>
    <n v="0"/>
    <n v="0.39877104377104378"/>
    <n v="0"/>
    <n v="1.2112289562289575"/>
    <n v="0.60561447811447877"/>
    <x v="148"/>
    <x v="151"/>
    <x v="27"/>
    <d v="2025-07-01T00:00:00"/>
    <x v="7"/>
    <x v="0"/>
    <x v="8"/>
    <s v="ENTREGUE"/>
    <d v="2025-06-09T00:00:00"/>
    <x v="0"/>
    <m/>
    <n v="0"/>
    <n v="0"/>
    <n v="0"/>
    <n v="0"/>
    <n v="0"/>
  </r>
  <r>
    <x v="2"/>
    <s v="MEI45797"/>
    <s v="Pedido 1718"/>
    <d v="2025-05-16T00:00:00"/>
    <x v="152"/>
    <s v="PedidoF1622"/>
    <s v="CódRastreio1620"/>
    <n v="1"/>
    <s v="CPF 1677"/>
    <s v="Nome 1677"/>
    <s v="Tel 1677"/>
    <s v="Cep 1677"/>
    <s v="Rua 1677"/>
    <s v="Comp 1677"/>
    <s v="Garrafa Termica"/>
    <s v="LF-R6MC-WKWP"/>
    <d v="2025-06-12T00:00:00"/>
    <n v="32.67"/>
    <n v="32.67"/>
    <n v="3.9203999999999999"/>
    <n v="28.75"/>
    <n v="0"/>
    <n v="0.9"/>
    <n v="0.39877104377104378"/>
    <n v="0"/>
    <n v="27.451228956228956"/>
    <n v="13.725614478114478"/>
    <x v="144"/>
    <x v="147"/>
    <x v="27"/>
    <d v="2025-07-01T00:00:00"/>
    <x v="7"/>
    <x v="0"/>
    <x v="8"/>
    <s v="ENTREGUE"/>
    <d v="2025-07-18T00:00:00"/>
    <x v="0"/>
    <m/>
    <n v="0"/>
    <n v="0"/>
    <n v="0"/>
    <n v="0"/>
    <n v="0"/>
  </r>
  <r>
    <x v="2"/>
    <s v="MEI45803"/>
    <s v="Pedido 1719"/>
    <d v="2025-05-16T00:00:00"/>
    <x v="154"/>
    <s v="PedidoF1623"/>
    <s v="CódRastreio1621"/>
    <n v="1"/>
    <s v="CPF 1678"/>
    <s v="Nome 1678"/>
    <s v="Tel 1678"/>
    <s v="Cep 1678"/>
    <s v="Rua 1678"/>
    <s v="Comp 1678"/>
    <s v="Hand Grip Fortalecedor"/>
    <s v="OV-P9KI-A5LS"/>
    <d v="2025-06-12T00:00:00"/>
    <n v="26.99"/>
    <n v="26.99"/>
    <n v="3.2387999999999999"/>
    <n v="23.75"/>
    <n v="12.49"/>
    <n v="0"/>
    <n v="0.39877104377104378"/>
    <n v="0"/>
    <n v="10.861228956228956"/>
    <n v="5.4306144781144781"/>
    <x v="144"/>
    <x v="147"/>
    <x v="27"/>
    <d v="2025-07-01T00:00:00"/>
    <x v="7"/>
    <x v="0"/>
    <x v="8"/>
    <s v="ENTREGUE"/>
    <d v="2025-06-07T00:00:00"/>
    <x v="0"/>
    <m/>
    <n v="0"/>
    <n v="0"/>
    <n v="0"/>
    <n v="0"/>
    <n v="0"/>
  </r>
  <r>
    <x v="1"/>
    <s v="GO-"/>
    <s v="Pedido 1720"/>
    <d v="2025-05-13T00:00:00"/>
    <x v="0"/>
    <s v="-"/>
    <s v="-"/>
    <n v="1"/>
    <s v="CPF 1679"/>
    <s v="Nome 1679"/>
    <s v="Tel 1679"/>
    <s v="Cep 1679"/>
    <s v="Rua 1679"/>
    <s v="Comp 1679"/>
    <s v="Ventilador Preto"/>
    <s v="EP-9PIR-BWXH"/>
    <d v="2025-06-11T00:00:00"/>
    <n v="70.7"/>
    <n v="70.7"/>
    <n v="8.484"/>
    <n v="62.22"/>
    <n v="0"/>
    <n v="0"/>
    <n v="0"/>
    <n v="0"/>
    <n v="62.22"/>
    <n v="62.22"/>
    <x v="149"/>
    <x v="152"/>
    <x v="27"/>
    <d v="2025-07-01T00:00:00"/>
    <x v="7"/>
    <x v="0"/>
    <x v="0"/>
    <s v="-"/>
    <s v="-"/>
    <x v="0"/>
    <m/>
    <n v="0"/>
    <n v="0"/>
    <n v="0"/>
    <n v="0"/>
    <n v="0"/>
  </r>
  <r>
    <x v="2"/>
    <s v="MEI45803"/>
    <s v="Pedido 1721"/>
    <d v="2025-05-17T00:00:00"/>
    <x v="154"/>
    <s v="PedidoF1624"/>
    <s v="CódRastreio1622"/>
    <n v="1"/>
    <s v="CPF 1680"/>
    <s v="Nome 1680"/>
    <s v="Tel 1680"/>
    <s v="Cep 1680"/>
    <s v="Rua 1680"/>
    <s v="Comp 1680"/>
    <s v="Brinquedo Bola Giratória voadora"/>
    <s v="Z0-F6CI-18CL"/>
    <d v="2025-06-06T00:00:00"/>
    <n v="39.47"/>
    <n v="39.47"/>
    <n v="4.7363999999999997"/>
    <n v="34.729999999999997"/>
    <n v="30.99"/>
    <n v="0"/>
    <n v="0.39877104377104378"/>
    <n v="0"/>
    <n v="3.341228956228953"/>
    <n v="1.6706144781144765"/>
    <x v="142"/>
    <x v="145"/>
    <x v="26"/>
    <d v="2025-06-20T00:00:00"/>
    <x v="7"/>
    <x v="0"/>
    <x v="8"/>
    <s v="ENTREGUE"/>
    <d v="2025-05-29T00:00:00"/>
    <x v="0"/>
    <m/>
    <n v="0"/>
    <n v="0"/>
    <n v="0"/>
    <n v="0"/>
    <n v="0"/>
  </r>
  <r>
    <x v="2"/>
    <s v="MEI45803"/>
    <s v="Pedido 1722"/>
    <d v="2025-05-17T00:00:00"/>
    <x v="154"/>
    <s v="PedidoF1624"/>
    <s v="CódRastreio1622"/>
    <n v="1"/>
    <s v="CPF 1680"/>
    <s v="Nome 1680"/>
    <s v="Tel 1680"/>
    <s v="Cep 1680"/>
    <s v="Rua 1680"/>
    <s v="Comp 1680"/>
    <s v="Brinquedo Bola Giratória voadora"/>
    <s v="Z0-F6CI-18CL"/>
    <d v="2025-06-06T00:00:00"/>
    <n v="39.47"/>
    <n v="39.47"/>
    <n v="4.7363999999999997"/>
    <n v="34.729999999999997"/>
    <n v="30.99"/>
    <n v="0"/>
    <n v="0.39877104377104378"/>
    <n v="0"/>
    <n v="3.341228956228953"/>
    <n v="1.6706144781144765"/>
    <x v="142"/>
    <x v="145"/>
    <x v="26"/>
    <d v="2025-06-20T00:00:00"/>
    <x v="7"/>
    <x v="0"/>
    <x v="8"/>
    <s v="ENTREGUE"/>
    <d v="2025-05-29T00:00:00"/>
    <x v="0"/>
    <m/>
    <n v="0"/>
    <n v="0"/>
    <n v="0"/>
    <n v="0"/>
    <n v="0"/>
  </r>
  <r>
    <x v="2"/>
    <s v="MEI45803"/>
    <s v="Pedido 1723"/>
    <d v="2025-05-17T00:00:00"/>
    <x v="154"/>
    <s v="PedidoF1625"/>
    <s v="CódRastreio1623"/>
    <n v="1"/>
    <s v="CPF 1681"/>
    <s v="Nome 1681"/>
    <s v="Tel 1681"/>
    <s v="Cep 1681"/>
    <s v="Rua 1681"/>
    <s v="Comp 1681"/>
    <s v="Ventilador Rosa"/>
    <s v="WR-82Y0-OV27"/>
    <d v="2025-06-12T00:00:00"/>
    <n v="54"/>
    <n v="54"/>
    <n v="6.4799999999999995"/>
    <n v="47.52"/>
    <n v="38.799999999999997"/>
    <n v="0"/>
    <n v="0.39877104377104378"/>
    <n v="0"/>
    <n v="8.3212289562289641"/>
    <n v="4.160614478114482"/>
    <x v="144"/>
    <x v="147"/>
    <x v="27"/>
    <d v="2025-07-01T00:00:00"/>
    <x v="7"/>
    <x v="0"/>
    <x v="8"/>
    <s v="RETORNANDO"/>
    <s v="-"/>
    <x v="0"/>
    <m/>
    <n v="0"/>
    <n v="0"/>
    <n v="0"/>
    <n v="0"/>
    <n v="0"/>
  </r>
  <r>
    <x v="2"/>
    <s v="MEI45803"/>
    <s v="Pedido 1724"/>
    <d v="2025-05-16T00:00:00"/>
    <x v="154"/>
    <s v="PedidoF1626"/>
    <s v="CódRastreio1624"/>
    <n v="1"/>
    <s v="CPF 1682"/>
    <s v="Nome 1682"/>
    <s v="Tel 1682"/>
    <s v="Cep 1682"/>
    <s v="Rua 1682"/>
    <s v="Comp 1682"/>
    <s v="Ventilador Preto"/>
    <s v="WU-SS4J-LFOH"/>
    <d v="2025-06-06T00:00:00"/>
    <n v="65.7"/>
    <n v="65.7"/>
    <n v="7.8840000000000003"/>
    <n v="57.82"/>
    <n v="57.4"/>
    <n v="0"/>
    <n v="0.39877104377104378"/>
    <n v="0"/>
    <n v="2.1228956228959817E-2"/>
    <n v="1.0614478114479908E-2"/>
    <x v="142"/>
    <x v="145"/>
    <x v="26"/>
    <d v="2025-06-20T00:00:00"/>
    <x v="7"/>
    <x v="0"/>
    <x v="8"/>
    <s v="ENTREGUE"/>
    <d v="2025-06-06T00:00:00"/>
    <x v="0"/>
    <m/>
    <n v="0"/>
    <n v="0"/>
    <n v="0"/>
    <n v="0"/>
    <n v="0"/>
  </r>
  <r>
    <x v="2"/>
    <s v="MEI45803"/>
    <s v="Pedido 1725"/>
    <d v="2025-05-18T00:00:00"/>
    <x v="154"/>
    <s v="PedidoF1627"/>
    <s v="CódRastreio1625"/>
    <n v="1"/>
    <s v="CPF 1683"/>
    <s v="Nome 1683"/>
    <s v="Tel 1683"/>
    <s v="Cep 1683"/>
    <s v="Rua 1683"/>
    <s v="Comp 1683"/>
    <s v="Ventilador Umidificador Preto"/>
    <s v="71-KHMZ-MLQW"/>
    <d v="2025-06-12T00:00:00"/>
    <n v="49.99"/>
    <n v="49.99"/>
    <n v="5.4988999999999999"/>
    <n v="44.49"/>
    <n v="36.72"/>
    <n v="0"/>
    <n v="0.39877104377104378"/>
    <n v="0"/>
    <n v="7.3712289562289612"/>
    <n v="3.6856144781144806"/>
    <x v="144"/>
    <x v="147"/>
    <x v="27"/>
    <d v="2025-07-01T00:00:00"/>
    <x v="7"/>
    <x v="0"/>
    <x v="8"/>
    <s v="ENTREGUE"/>
    <d v="2025-06-02T00:00:00"/>
    <x v="0"/>
    <m/>
    <n v="0"/>
    <n v="0"/>
    <n v="0"/>
    <n v="0"/>
    <n v="0"/>
  </r>
  <r>
    <x v="2"/>
    <s v="MEI45803"/>
    <s v="Pedido 1726"/>
    <d v="2025-05-18T00:00:00"/>
    <x v="154"/>
    <s v="PedidoF1628"/>
    <s v="CódRastreio1626"/>
    <n v="1"/>
    <s v="CPF 1684"/>
    <s v="Nome 1684"/>
    <s v="Tel 1684"/>
    <s v="Cep 1684"/>
    <s v="Rua 1684"/>
    <s v="Comp 1684"/>
    <s v="Ventilador Umidificador Preto"/>
    <s v="71-KHMZ-MLQW"/>
    <d v="2025-06-12T00:00:00"/>
    <n v="49.99"/>
    <n v="49.99"/>
    <n v="5.4988999999999999"/>
    <n v="44.49"/>
    <n v="0"/>
    <n v="0"/>
    <n v="0.39877104377104378"/>
    <n v="0"/>
    <n v="44.09122895622896"/>
    <n v="22.04561447811448"/>
    <x v="144"/>
    <x v="147"/>
    <x v="27"/>
    <d v="2025-07-01T00:00:00"/>
    <x v="7"/>
    <x v="0"/>
    <x v="8"/>
    <s v="ENTREGUE"/>
    <d v="2025-07-07T00:00:00"/>
    <x v="0"/>
    <m/>
    <n v="0"/>
    <n v="0"/>
    <n v="0"/>
    <n v="0"/>
    <n v="0"/>
  </r>
  <r>
    <x v="2"/>
    <s v="MEI-"/>
    <s v="Pedido 1727"/>
    <d v="2025-05-18T00:00:00"/>
    <x v="0"/>
    <s v="-"/>
    <s v="-"/>
    <n v="1"/>
    <s v="CPF 1685"/>
    <s v="Nome 1685"/>
    <s v="Tel 1685"/>
    <s v="Cep 1685"/>
    <s v="Rua 1685"/>
    <s v="Comp 1685"/>
    <s v="Luminária Azul de mesa infantil"/>
    <s v="NO-Z0ZJ-Z61M"/>
    <d v="2025-06-12T00:00:00"/>
    <n v="49.99"/>
    <n v="49.99"/>
    <n v="5.9988000000000001"/>
    <n v="43.99"/>
    <n v="0"/>
    <n v="0"/>
    <n v="0"/>
    <n v="0"/>
    <n v="43.99"/>
    <n v="21.995000000000001"/>
    <x v="144"/>
    <x v="147"/>
    <x v="27"/>
    <d v="2025-07-01T00:00:00"/>
    <x v="7"/>
    <x v="0"/>
    <x v="0"/>
    <s v="-"/>
    <s v="-"/>
    <x v="0"/>
    <m/>
    <n v="0"/>
    <n v="0"/>
    <n v="0"/>
    <n v="0"/>
    <n v="0"/>
  </r>
  <r>
    <x v="2"/>
    <s v="MEI45807"/>
    <s v="Pedido 1728"/>
    <d v="2025-05-18T00:00:00"/>
    <x v="150"/>
    <s v="PedidoF1629"/>
    <s v="CódRastreio1627"/>
    <n v="1"/>
    <s v="CPF 1686"/>
    <s v="Nome 1686"/>
    <s v="Tel 1686"/>
    <s v="Cep 1686"/>
    <s v="Rua 1686"/>
    <s v="Comp 1686"/>
    <s v="Karaoke portátil"/>
    <s v="1I-EZPV-2Q78"/>
    <d v="2025-06-06T00:00:00"/>
    <n v="52.73"/>
    <n v="52.73"/>
    <n v="7.9094999999999995"/>
    <n v="44.82"/>
    <n v="29.74"/>
    <n v="0"/>
    <n v="0.39877104377104378"/>
    <n v="0"/>
    <n v="14.681228956228956"/>
    <n v="7.3406144781144782"/>
    <x v="142"/>
    <x v="145"/>
    <x v="26"/>
    <d v="2025-06-20T00:00:00"/>
    <x v="7"/>
    <x v="0"/>
    <x v="8"/>
    <s v="ENTREGUE"/>
    <d v="2025-06-04T00:00:00"/>
    <x v="0"/>
    <m/>
    <n v="0"/>
    <n v="0"/>
    <n v="0"/>
    <n v="0"/>
    <n v="0"/>
  </r>
  <r>
    <x v="2"/>
    <s v="MEI45807"/>
    <s v="Pedido 1729"/>
    <d v="2025-05-19T00:00:00"/>
    <x v="150"/>
    <s v="PedidoF1630"/>
    <s v="CódRastreio1628"/>
    <n v="1"/>
    <s v="CPF 1687"/>
    <s v="Nome 1687"/>
    <s v="Tel 1687"/>
    <s v="Cep 1687"/>
    <s v="Rua 1687"/>
    <s v="Comp 1687"/>
    <s v="Maçarico Culinário Portátil"/>
    <s v="BG-DHRO-FAEE"/>
    <d v="2025-06-07T00:00:00"/>
    <n v="31.99"/>
    <n v="31.99"/>
    <n v="3.5188999999999999"/>
    <n v="28.47"/>
    <n v="17.16"/>
    <n v="0"/>
    <n v="0.39877104377104378"/>
    <n v="0"/>
    <n v="10.911228956228953"/>
    <n v="5.4556144781144766"/>
    <x v="143"/>
    <x v="146"/>
    <x v="26"/>
    <d v="2025-06-20T00:00:00"/>
    <x v="7"/>
    <x v="0"/>
    <x v="8"/>
    <s v="ENTREGUE"/>
    <d v="2025-06-06T00:00:00"/>
    <x v="0"/>
    <m/>
    <n v="0"/>
    <n v="0"/>
    <n v="0"/>
    <n v="0"/>
    <n v="0"/>
  </r>
  <r>
    <x v="2"/>
    <s v="MEI45803"/>
    <s v="Pedido 1730"/>
    <d v="2025-05-19T00:00:00"/>
    <x v="154"/>
    <s v="PedidoF1631"/>
    <s v="CódRastreio1629"/>
    <n v="1"/>
    <s v="CPF 1688"/>
    <s v="Nome 1688"/>
    <s v="Tel 1688"/>
    <s v="Cep 1688"/>
    <s v="Rua 1688"/>
    <s v="Comp 1688"/>
    <s v="Ventilador Umidificador Preto"/>
    <s v="71-KHMZ-MLQW"/>
    <d v="2025-06-13T00:00:00"/>
    <n v="49.99"/>
    <n v="49.99"/>
    <n v="5.4988999999999999"/>
    <n v="44.49"/>
    <n v="37.729999999999997"/>
    <n v="0"/>
    <n v="0.39877104377104378"/>
    <n v="0"/>
    <n v="6.3612289562289632"/>
    <n v="3.1806144781144816"/>
    <x v="145"/>
    <x v="148"/>
    <x v="27"/>
    <d v="2025-07-01T00:00:00"/>
    <x v="7"/>
    <x v="0"/>
    <x v="8"/>
    <s v="ENTREGUE"/>
    <d v="2025-06-02T00:00:00"/>
    <x v="0"/>
    <m/>
    <n v="0"/>
    <n v="0"/>
    <n v="0"/>
    <n v="0"/>
    <n v="0"/>
  </r>
  <r>
    <x v="2"/>
    <s v="MEI-"/>
    <s v="Pedido 1731"/>
    <d v="2025-05-19T00:00:00"/>
    <x v="0"/>
    <s v="-"/>
    <s v="-"/>
    <n v="1"/>
    <s v="CPF 1689"/>
    <s v="Nome 1689"/>
    <s v="Tel 1689"/>
    <s v="Cep 1689"/>
    <s v="Rua 1689"/>
    <s v="Comp 1689"/>
    <s v="Luminária Azul de mesa infantil"/>
    <s v="NO-Z0ZJ-Z61M"/>
    <d v="2025-06-07T00:00:00"/>
    <n v="49.99"/>
    <n v="49.99"/>
    <n v="5.9988000000000001"/>
    <n v="43.99"/>
    <n v="0"/>
    <n v="0"/>
    <n v="0"/>
    <n v="0"/>
    <n v="43.99"/>
    <n v="21.995000000000001"/>
    <x v="143"/>
    <x v="146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732"/>
    <d v="2025-05-19T00:00:00"/>
    <x v="0"/>
    <s v="-"/>
    <s v="-"/>
    <n v="1"/>
    <s v="CPF 1690"/>
    <s v="Nome 1690"/>
    <s v="Tel 1690"/>
    <s v="Cep 1690"/>
    <s v="Rua 1690"/>
    <s v="Comp 1690"/>
    <s v="Copo Termico"/>
    <s v="VI-4RT5-1FFO"/>
    <d v="2025-06-05T00:00:00"/>
    <n v="22.7"/>
    <n v="22.7"/>
    <n v="2.7239999999999998"/>
    <n v="19.98"/>
    <n v="0"/>
    <n v="0"/>
    <n v="0"/>
    <n v="0"/>
    <n v="19.98"/>
    <n v="9.99"/>
    <x v="141"/>
    <x v="144"/>
    <x v="26"/>
    <d v="2025-06-20T00:00:00"/>
    <x v="7"/>
    <x v="0"/>
    <x v="0"/>
    <s v="-"/>
    <s v="-"/>
    <x v="0"/>
    <m/>
    <n v="0"/>
    <n v="0"/>
    <n v="0"/>
    <n v="0"/>
    <n v="0"/>
  </r>
  <r>
    <x v="2"/>
    <s v="MEI-"/>
    <s v="Pedido 1733"/>
    <d v="2025-05-20T00:00:00"/>
    <x v="0"/>
    <s v="-"/>
    <s v="-"/>
    <n v="1"/>
    <s v="CPF 1691"/>
    <s v="Nome 1691"/>
    <s v="Tel 1691"/>
    <s v="Cep 1691"/>
    <s v="Rua 1691"/>
    <s v="Comp 1691"/>
    <s v="Lampada Led"/>
    <s v="T1-SWVB-UPOW"/>
    <d v="2025-06-21T00:00:00"/>
    <n v="35"/>
    <n v="35"/>
    <n v="4.2"/>
    <n v="30.8"/>
    <n v="0"/>
    <n v="0"/>
    <n v="0"/>
    <n v="0"/>
    <n v="30.8"/>
    <n v="15.4"/>
    <x v="150"/>
    <x v="153"/>
    <x v="27"/>
    <d v="2025-07-01T00:00:00"/>
    <x v="7"/>
    <x v="0"/>
    <x v="0"/>
    <s v="-"/>
    <s v="-"/>
    <x v="0"/>
    <m/>
    <n v="0"/>
    <n v="0"/>
    <n v="0"/>
    <n v="0"/>
    <n v="0"/>
  </r>
  <r>
    <x v="2"/>
    <s v="MEI45806"/>
    <s v="Pedido 1734"/>
    <d v="2025-05-20T00:00:00"/>
    <x v="153"/>
    <s v="PedidoF1632"/>
    <s v="CódRastreio1630"/>
    <n v="1"/>
    <s v="CPF 1692"/>
    <s v="Nome 1692"/>
    <s v="Tel 1692"/>
    <s v="Cep 1692"/>
    <s v="Rua 1692"/>
    <s v="Comp 1692"/>
    <s v="Ventilador Rosa"/>
    <s v="WR-82Y0-OV27"/>
    <d v="2025-06-24T00:00:00"/>
    <n v="54"/>
    <n v="54"/>
    <n v="6.4799999999999995"/>
    <n v="47.52"/>
    <n v="43.12"/>
    <n v="0"/>
    <n v="0.39877104377104378"/>
    <n v="0"/>
    <n v="4.0012289562289638"/>
    <n v="2.0006144781144819"/>
    <x v="151"/>
    <x v="154"/>
    <x v="28"/>
    <d v="2025-08-04T00:00:00"/>
    <x v="8"/>
    <x v="0"/>
    <x v="8"/>
    <s v="ENTREGUE"/>
    <d v="2025-06-11T00:00:00"/>
    <x v="0"/>
    <m/>
    <n v="0"/>
    <n v="0"/>
    <n v="0"/>
    <n v="0"/>
    <n v="0"/>
  </r>
  <r>
    <x v="2"/>
    <s v="MEI45806"/>
    <s v="Pedido 1735"/>
    <d v="2025-05-21T00:00:00"/>
    <x v="153"/>
    <s v="PedidoF1633"/>
    <s v="CódRastreio1631"/>
    <n v="1"/>
    <s v="CPF 1693"/>
    <s v="Nome 1693"/>
    <s v="Tel 1693"/>
    <s v="Cep 1693"/>
    <s v="Rua 1693"/>
    <s v="Comp 1693"/>
    <s v="Ventilador Rosa"/>
    <s v="WR-82Y0-OV27"/>
    <d v="2025-06-17T00:00:00"/>
    <n v="54"/>
    <n v="54"/>
    <n v="6.4799999999999995"/>
    <n v="47.52"/>
    <n v="44.73"/>
    <n v="0"/>
    <n v="0.39877104377104378"/>
    <n v="0"/>
    <n v="2.3912289562289644"/>
    <n v="1.1956144781144822"/>
    <x v="147"/>
    <x v="150"/>
    <x v="27"/>
    <d v="2025-07-01T00:00:00"/>
    <x v="7"/>
    <x v="0"/>
    <x v="8"/>
    <s v="ENTREGUE"/>
    <d v="2025-06-11T00:00:00"/>
    <x v="0"/>
    <m/>
    <n v="0"/>
    <n v="0"/>
    <n v="0"/>
    <n v="0"/>
    <n v="0"/>
  </r>
  <r>
    <x v="2"/>
    <s v="MEI45807"/>
    <s v="Pedido 1736"/>
    <d v="2025-05-22T00:00:00"/>
    <x v="150"/>
    <s v="PedidoF1634"/>
    <s v="CódRastreio1632"/>
    <n v="1"/>
    <s v="CPF 1694"/>
    <s v="Nome 1694"/>
    <s v="Tel 1694"/>
    <s v="Cep 1694"/>
    <s v="Rua 1694"/>
    <s v="Comp 1694"/>
    <s v="Ventilador Azul"/>
    <s v="PK-L2Z7-MQRQ"/>
    <d v="2025-06-26T00:00:00"/>
    <n v="54"/>
    <n v="54"/>
    <n v="6.4799999999999995"/>
    <n v="47.52"/>
    <n v="0"/>
    <n v="0"/>
    <n v="0.39877104377104378"/>
    <n v="0"/>
    <n v="47.121228956228961"/>
    <n v="23.560614478114481"/>
    <x v="152"/>
    <x v="155"/>
    <x v="28"/>
    <d v="2025-08-04T00:00:00"/>
    <x v="8"/>
    <x v="0"/>
    <x v="8"/>
    <s v="ENTREGUE"/>
    <d v="2025-06-11T00:00:00"/>
    <x v="0"/>
    <m/>
    <n v="0"/>
    <n v="0"/>
    <n v="0"/>
    <n v="0"/>
    <n v="0"/>
  </r>
  <r>
    <x v="2"/>
    <s v="MEI45806"/>
    <s v="Pedido 1736"/>
    <d v="2025-05-22T00:00:00"/>
    <x v="153"/>
    <s v="PedidoF1635"/>
    <s v="CódRastreio1633"/>
    <n v="1"/>
    <s v="CPF 1694"/>
    <s v="Nome 1694"/>
    <s v="Tel 1694"/>
    <s v="Cep 1694"/>
    <s v="Rua 1694"/>
    <s v="Comp 1694"/>
    <s v="Bomba d'agua"/>
    <s v="U1-D95R-HYRT"/>
    <d v="2025-06-26T00:00:00"/>
    <n v="35.99"/>
    <n v="35.99"/>
    <n v="4.3188000000000004"/>
    <n v="31.67"/>
    <n v="0"/>
    <n v="0"/>
    <n v="0.39877104377104378"/>
    <n v="0"/>
    <n v="31.271228956228956"/>
    <n v="15.635614478114478"/>
    <x v="152"/>
    <x v="155"/>
    <x v="28"/>
    <d v="2025-08-04T00:00:00"/>
    <x v="8"/>
    <x v="0"/>
    <x v="8"/>
    <s v="-"/>
    <s v="-"/>
    <x v="0"/>
    <m/>
    <n v="0"/>
    <n v="0"/>
    <n v="0"/>
    <n v="0"/>
    <n v="0"/>
  </r>
  <r>
    <x v="2"/>
    <s v="MEI45806"/>
    <s v="Pedido 1737"/>
    <d v="2025-05-24T00:00:00"/>
    <x v="153"/>
    <s v="PedidoF1636"/>
    <s v="CódRastreio1634"/>
    <n v="1"/>
    <s v="CPF 1695"/>
    <s v="Nome 1695"/>
    <s v="Tel 1695"/>
    <s v="Cep 1695"/>
    <s v="Rua 1695"/>
    <s v="Comp 1695"/>
    <s v="Ventilador Rosa"/>
    <s v="WR-82Y0-OV27"/>
    <d v="2025-06-19T00:00:00"/>
    <n v="54"/>
    <n v="54"/>
    <n v="6.4799999999999995"/>
    <n v="47.52"/>
    <n v="43.12"/>
    <n v="0"/>
    <n v="0.39877104377104378"/>
    <n v="0"/>
    <n v="4.0012289562289638"/>
    <n v="2.0006144781144819"/>
    <x v="153"/>
    <x v="156"/>
    <x v="27"/>
    <d v="2025-07-01T00:00:00"/>
    <x v="7"/>
    <x v="0"/>
    <x v="8"/>
    <s v="ENTREGUE"/>
    <d v="2025-06-10T00:00:00"/>
    <x v="0"/>
    <m/>
    <n v="0"/>
    <n v="0"/>
    <n v="0"/>
    <n v="0"/>
    <n v="0"/>
  </r>
  <r>
    <x v="1"/>
    <s v="GO45806"/>
    <s v="Pedido 1738"/>
    <d v="2025-05-24T00:00:00"/>
    <x v="153"/>
    <s v="PedidoF1637"/>
    <s v="CódRastreio1635"/>
    <n v="1"/>
    <s v="CPF 1696"/>
    <s v="Nome 1696"/>
    <s v="Tel 1696"/>
    <s v="Cep 1696"/>
    <s v="Rua 1696"/>
    <s v="Comp 1696"/>
    <s v="Mini Liquidificador"/>
    <s v="Q3-ZLM0-OEUO"/>
    <d v="2025-06-19T00:00:00"/>
    <n v="40.799999999999997"/>
    <n v="40.799999999999997"/>
    <n v="4.8959999999999999"/>
    <n v="35.9"/>
    <n v="29.51"/>
    <n v="0"/>
    <n v="0.39877104377104378"/>
    <n v="0"/>
    <n v="5.9912289562289516"/>
    <n v="5.9912289562289516"/>
    <x v="153"/>
    <x v="156"/>
    <x v="27"/>
    <d v="2025-07-01T00:00:00"/>
    <x v="7"/>
    <x v="0"/>
    <x v="8"/>
    <s v="ENTREGUE"/>
    <d v="2025-06-10T00:00:00"/>
    <x v="0"/>
    <m/>
    <n v="0"/>
    <n v="0"/>
    <n v="0"/>
    <n v="0"/>
    <n v="0"/>
  </r>
  <r>
    <x v="1"/>
    <s v="GO45806"/>
    <s v="Pedido 1739"/>
    <d v="2025-05-24T00:00:00"/>
    <x v="153"/>
    <s v="PedidoF1638"/>
    <s v="CódRastreio1636"/>
    <n v="1"/>
    <s v="CPF 1697"/>
    <s v="Nome 1697"/>
    <s v="Tel 1697"/>
    <s v="Cep 1697"/>
    <s v="Rua 1697"/>
    <s v="Comp 1697"/>
    <s v="Mini Liquidificador"/>
    <s v="Q3-ZLM0-OEUO"/>
    <d v="2025-06-27T00:00:00"/>
    <n v="40.799999999999997"/>
    <n v="40.799999999999997"/>
    <n v="4.8959999999999999"/>
    <n v="35.9"/>
    <n v="22.99"/>
    <n v="0"/>
    <n v="0.39877104377104378"/>
    <n v="0"/>
    <n v="12.511228956228955"/>
    <n v="12.511228956228955"/>
    <x v="154"/>
    <x v="157"/>
    <x v="28"/>
    <d v="2025-08-04T00:00:00"/>
    <x v="8"/>
    <x v="0"/>
    <x v="8"/>
    <s v="ENTREGUE"/>
    <d v="2025-06-09T00:00:00"/>
    <x v="0"/>
    <m/>
    <n v="0"/>
    <n v="0"/>
    <n v="0"/>
    <n v="0"/>
    <n v="0"/>
  </r>
  <r>
    <x v="2"/>
    <s v="MEI45806"/>
    <s v="Pedido 1740"/>
    <d v="2025-05-28T00:00:00"/>
    <x v="153"/>
    <s v="PedidoF1639"/>
    <s v="CódRastreio1637"/>
    <n v="1"/>
    <s v="CPF 1698"/>
    <s v="Nome 1698"/>
    <s v="Tel 1698"/>
    <s v="Cep 1698"/>
    <s v="Rua 1698"/>
    <s v="Comp 1698"/>
    <s v="Ventilador Rosa"/>
    <s v="WR-82Y0-OV27"/>
    <d v="2025-07-02T00:00:00"/>
    <n v="65.989999999999995"/>
    <n v="65.989999999999995"/>
    <n v="7.9187999999999992"/>
    <n v="58.07"/>
    <n v="33.81"/>
    <n v="0"/>
    <n v="0.39877104377104378"/>
    <n v="0"/>
    <n v="23.861228956228956"/>
    <n v="11.930614478114478"/>
    <x v="155"/>
    <x v="158"/>
    <x v="28"/>
    <d v="2025-08-04T00:00:00"/>
    <x v="8"/>
    <x v="0"/>
    <x v="8"/>
    <s v="ENTREGUE"/>
    <d v="2025-07-21T00:00:00"/>
    <x v="0"/>
    <m/>
    <n v="0"/>
    <n v="0"/>
    <n v="0"/>
    <n v="0"/>
    <n v="0"/>
  </r>
  <r>
    <x v="1"/>
    <s v="GO45806"/>
    <s v="Pedido 1741"/>
    <d v="2025-05-29T00:00:00"/>
    <x v="153"/>
    <s v="PedidoF1640"/>
    <s v="CódRastreio1638"/>
    <n v="1"/>
    <s v="CPF 1699"/>
    <s v="Nome 1699"/>
    <s v="Tel 1699"/>
    <s v="Cep 1699"/>
    <s v="Rua 1699"/>
    <s v="Comp 1699"/>
    <s v="Mini Liquidificador"/>
    <s v="Q3-ZLM0-OEUO"/>
    <d v="2025-07-03T00:00:00"/>
    <n v="40.799999999999997"/>
    <n v="40.799999999999997"/>
    <n v="4.8959999999999999"/>
    <n v="35.9"/>
    <n v="30.38"/>
    <n v="0"/>
    <n v="0.39877104377104378"/>
    <n v="0"/>
    <n v="5.1212289562289541"/>
    <n v="5.1212289562289541"/>
    <x v="156"/>
    <x v="159"/>
    <x v="28"/>
    <d v="2025-08-04T00:00:00"/>
    <x v="8"/>
    <x v="0"/>
    <x v="8"/>
    <s v="ENTREGUE"/>
    <d v="2025-06-15T00:00:00"/>
    <x v="0"/>
    <m/>
    <n v="0"/>
    <n v="0"/>
    <n v="0"/>
    <n v="0"/>
    <n v="0"/>
  </r>
  <r>
    <x v="1"/>
    <s v="GO45810"/>
    <s v="Pedido 1742"/>
    <d v="2025-06-01T00:00:00"/>
    <x v="155"/>
    <s v="PedidoF1641"/>
    <s v="CódRastreio1639"/>
    <n v="1"/>
    <s v="CPF 1700"/>
    <s v="Nome 1700"/>
    <s v="Tel 1700"/>
    <s v="Cep 1700"/>
    <s v="Rua 1700"/>
    <s v="Comp 1700"/>
    <s v="Escova Multifuncional"/>
    <s v="E7-FW3C-EHOL"/>
    <d v="2025-06-27T00:00:00"/>
    <n v="40.200000000000003"/>
    <n v="40.200000000000003"/>
    <n v="4.8239999999999998"/>
    <n v="35.380000000000003"/>
    <n v="22.99"/>
    <n v="0"/>
    <n v="0.39877104377104378"/>
    <n v="0"/>
    <n v="11.991228956228959"/>
    <n v="11.991228956228959"/>
    <x v="154"/>
    <x v="157"/>
    <x v="28"/>
    <d v="2025-08-04T00:00:00"/>
    <x v="8"/>
    <x v="0"/>
    <x v="9"/>
    <s v="ENTREGUE"/>
    <d v="2025-06-11T00:00:00"/>
    <x v="0"/>
    <m/>
    <n v="0"/>
    <n v="0"/>
    <n v="0"/>
    <n v="0"/>
    <n v="0"/>
  </r>
  <r>
    <x v="0"/>
    <s v="BV-"/>
    <s v="Pedido 1743"/>
    <d v="2025-06-03T00:00:00"/>
    <x v="0"/>
    <s v="-"/>
    <s v="CódRastreio1640"/>
    <n v="1"/>
    <s v="CPF 1701"/>
    <s v="Nome 1701"/>
    <s v="Tel 1701"/>
    <s v="Cep 1701"/>
    <s v="Rua 1701"/>
    <s v="Comp 1701"/>
    <s v="Máquina de cortar cabelo dragão"/>
    <s v="HG-2FNR-01A9"/>
    <d v="2025-06-24T00:00:00"/>
    <n v="25.99"/>
    <n v="25.99"/>
    <n v="3.1187999999999998"/>
    <n v="22.87"/>
    <n v="0"/>
    <n v="0"/>
    <n v="0"/>
    <n v="0"/>
    <n v="22.87"/>
    <n v="11.435"/>
    <x v="151"/>
    <x v="154"/>
    <x v="28"/>
    <d v="2025-08-04T00:00:00"/>
    <x v="8"/>
    <x v="0"/>
    <x v="0"/>
    <s v="ENTREGUE"/>
    <d v="2025-06-07T00:00:00"/>
    <x v="0"/>
    <m/>
    <n v="0"/>
    <n v="0"/>
    <n v="0"/>
    <n v="0"/>
    <n v="0"/>
  </r>
  <r>
    <x v="0"/>
    <s v="BV45811"/>
    <s v="Pedido 1744"/>
    <d v="2025-06-03T00:00:00"/>
    <x v="156"/>
    <s v="PedidoF1642"/>
    <s v="CódRastreio1641"/>
    <n v="1"/>
    <s v="CPF 1702"/>
    <s v="Nome 1702"/>
    <s v="Tel 1702"/>
    <s v="Cep 1702"/>
    <s v="Rua 1702"/>
    <s v="Comp 1702"/>
    <s v="Máquina de cortar cabelo dragão"/>
    <s v="HG-2FNR-01A9"/>
    <d v="2025-07-01T00:00:00"/>
    <n v="25.99"/>
    <n v="25.99"/>
    <n v="3.1187999999999998"/>
    <n v="22.87"/>
    <n v="16.8"/>
    <n v="0"/>
    <n v="0.39877104377104378"/>
    <n v="0"/>
    <n v="5.6712289562289548"/>
    <n v="2.8356144781144774"/>
    <x v="157"/>
    <x v="160"/>
    <x v="28"/>
    <d v="2025-08-04T00:00:00"/>
    <x v="8"/>
    <x v="0"/>
    <x v="9"/>
    <s v="ENTREGUE"/>
    <d v="2025-06-10T00:00:00"/>
    <x v="0"/>
    <m/>
    <n v="0"/>
    <n v="0"/>
    <n v="0"/>
    <n v="0"/>
    <n v="0"/>
  </r>
  <r>
    <x v="0"/>
    <s v="BV45811"/>
    <s v="Pedido 1745"/>
    <d v="2025-06-03T00:00:00"/>
    <x v="156"/>
    <s v="PedidoF1643"/>
    <s v="CódRastreio1641"/>
    <n v="1"/>
    <s v="CPF 1702"/>
    <s v="Nome 1702"/>
    <s v="Tel 1702"/>
    <s v="Cep 1702"/>
    <s v="Rua 1702"/>
    <s v="Comp 1702"/>
    <s v="Máquina de cortar cabelo dragão"/>
    <s v="HG-2FNR-01A9"/>
    <d v="2025-07-01T00:00:00"/>
    <n v="25.99"/>
    <n v="25.99"/>
    <n v="3.1187999999999998"/>
    <n v="22.87"/>
    <n v="16.809999999999999"/>
    <n v="0"/>
    <n v="0.39877104377104378"/>
    <n v="0"/>
    <n v="5.6612289562289568"/>
    <n v="2.8306144781144784"/>
    <x v="157"/>
    <x v="160"/>
    <x v="28"/>
    <d v="2025-08-04T00:00:00"/>
    <x v="8"/>
    <x v="0"/>
    <x v="9"/>
    <s v="ENTREGUE"/>
    <d v="2025-06-10T00:00:00"/>
    <x v="0"/>
    <m/>
    <n v="0"/>
    <n v="0"/>
    <n v="0"/>
    <n v="0"/>
    <n v="0"/>
  </r>
  <r>
    <x v="0"/>
    <s v="BV45817"/>
    <s v="Pedido 1746"/>
    <d v="2025-06-03T00:00:00"/>
    <x v="157"/>
    <s v="PedidoF1644"/>
    <s v="CódRastreio1642"/>
    <n v="1"/>
    <s v="CPF 1703"/>
    <s v="Nome 1703"/>
    <s v="Tel 1703"/>
    <s v="Cep 1703"/>
    <s v="Rua 1703"/>
    <s v="Comp 1703"/>
    <s v="Máquina de cortar cabelo dragão"/>
    <s v="HG-2FNR-01A9"/>
    <d v="2025-07-01T00:00:00"/>
    <n v="25.99"/>
    <n v="25.99"/>
    <n v="3.1187999999999998"/>
    <n v="22.87"/>
    <n v="10.199999999999999"/>
    <n v="0.67"/>
    <n v="0.39877104377104378"/>
    <n v="0"/>
    <n v="11.601228956228958"/>
    <n v="5.8006144781144791"/>
    <x v="157"/>
    <x v="160"/>
    <x v="28"/>
    <d v="2025-08-04T00:00:00"/>
    <x v="8"/>
    <x v="0"/>
    <x v="9"/>
    <s v="ENTREGUE"/>
    <d v="2025-07-01T00:00:00"/>
    <x v="0"/>
    <m/>
    <n v="0"/>
    <n v="0"/>
    <n v="0"/>
    <n v="0"/>
    <n v="0"/>
  </r>
  <r>
    <x v="0"/>
    <s v="BV45812"/>
    <s v="Pedido 1747"/>
    <d v="2025-06-04T00:00:00"/>
    <x v="158"/>
    <s v="PedidoF1645"/>
    <s v="CódRastreio1643"/>
    <n v="1"/>
    <s v="CPF 1704"/>
    <s v="Nome 1704"/>
    <s v="Tel 1704"/>
    <s v="Cep 1704"/>
    <s v="Rua 1704"/>
    <s v="Comp 1704"/>
    <s v="Máquina de cortar cabelo dragão"/>
    <s v="HG-2FNR-01A9"/>
    <d v="2025-07-02T00:00:00"/>
    <n v="25.99"/>
    <n v="25.99"/>
    <n v="3.1187999999999998"/>
    <n v="22.87"/>
    <n v="18.649999999999999"/>
    <n v="0"/>
    <n v="0.39877104377104378"/>
    <n v="0"/>
    <n v="3.821228956228957"/>
    <n v="1.9106144781144785"/>
    <x v="155"/>
    <x v="158"/>
    <x v="28"/>
    <d v="2025-08-04T00:00:00"/>
    <x v="8"/>
    <x v="0"/>
    <x v="9"/>
    <s v="ENTREGUE"/>
    <d v="2025-06-12T00:00:00"/>
    <x v="0"/>
    <m/>
    <n v="0"/>
    <n v="0"/>
    <n v="0"/>
    <n v="0"/>
    <n v="0"/>
  </r>
  <r>
    <x v="0"/>
    <s v="BV45813"/>
    <s v="Pedido 1748"/>
    <d v="2025-06-05T00:00:00"/>
    <x v="159"/>
    <s v="PedidoF1646"/>
    <s v="CódRastreio1644"/>
    <n v="1"/>
    <s v="CPF 1705"/>
    <s v="Nome 1705"/>
    <s v="Tel 1705"/>
    <s v="Cep 1705"/>
    <s v="Rua 1705"/>
    <s v="Comp 1705"/>
    <s v="Máquina de cortar cabelo dragão"/>
    <s v="HG-2FNR-01A9"/>
    <d v="2025-07-02T00:00:00"/>
    <n v="25.99"/>
    <n v="25.99"/>
    <n v="3.1187999999999998"/>
    <n v="22.87"/>
    <n v="18.95"/>
    <n v="7.0000000000000007E-2"/>
    <n v="0.39877104377104378"/>
    <n v="0"/>
    <n v="3.451228956228956"/>
    <n v="1.725614478114478"/>
    <x v="155"/>
    <x v="158"/>
    <x v="28"/>
    <d v="2025-08-04T00:00:00"/>
    <x v="8"/>
    <x v="0"/>
    <x v="9"/>
    <s v="ENTREGUE"/>
    <d v="2025-06-23T00:00:00"/>
    <x v="0"/>
    <m/>
    <n v="0"/>
    <n v="0"/>
    <n v="0"/>
    <n v="0"/>
    <n v="0"/>
  </r>
  <r>
    <x v="0"/>
    <s v="BV45813"/>
    <s v="Pedido 1749"/>
    <d v="2025-06-05T00:00:00"/>
    <x v="159"/>
    <s v="PedidoF1647"/>
    <s v="CódRastreio1645"/>
    <n v="1"/>
    <s v="CPF 1706"/>
    <s v="Nome 1706"/>
    <s v="Tel 1706"/>
    <s v="Cep 1706"/>
    <s v="Rua 1706"/>
    <s v="Comp 1706"/>
    <s v="Máquina de cortar cabelo dragão"/>
    <s v="HG-2FNR-01A9"/>
    <d v="2025-07-03T00:00:00"/>
    <n v="25.99"/>
    <n v="25.99"/>
    <n v="3.1187999999999998"/>
    <n v="22.87"/>
    <n v="17.45"/>
    <n v="7.0000000000000007E-2"/>
    <n v="0.39877104377104378"/>
    <n v="0"/>
    <n v="4.951228956228956"/>
    <n v="2.475614478114478"/>
    <x v="156"/>
    <x v="159"/>
    <x v="28"/>
    <d v="2025-08-04T00:00:00"/>
    <x v="8"/>
    <x v="0"/>
    <x v="9"/>
    <s v="ENTREGUE"/>
    <d v="2025-06-13T00:00:00"/>
    <x v="0"/>
    <m/>
    <n v="0"/>
    <n v="0"/>
    <n v="0"/>
    <n v="0"/>
    <n v="0"/>
  </r>
  <r>
    <x v="0"/>
    <s v="BV45817"/>
    <s v="Pedido 1750"/>
    <d v="2025-06-05T00:00:00"/>
    <x v="157"/>
    <s v="PedidoF1648"/>
    <s v="CódRastreio1646"/>
    <n v="1"/>
    <s v="CPF 1707"/>
    <s v="Nome 1707"/>
    <s v="Tel 1707"/>
    <s v="Cep 1707"/>
    <s v="Rua 1707"/>
    <s v="Comp 1707"/>
    <s v="Ventilador Azul"/>
    <s v="U8-2VWS-OB6M"/>
    <d v="2025-06-21T00:00:00"/>
    <n v="96.91"/>
    <n v="96.91"/>
    <n v="11.629199999999999"/>
    <n v="85.28"/>
    <n v="25.79"/>
    <n v="0.67"/>
    <n v="0.39877104377104378"/>
    <n v="0"/>
    <n v="58.421228956228958"/>
    <n v="29.210614478114479"/>
    <x v="150"/>
    <x v="153"/>
    <x v="27"/>
    <d v="2025-07-01T00:00:00"/>
    <x v="7"/>
    <x v="0"/>
    <x v="9"/>
    <s v="ENTREGUE"/>
    <d v="2025-06-18T15:24:32"/>
    <x v="0"/>
    <m/>
    <n v="0"/>
    <n v="0"/>
    <n v="0"/>
    <n v="0"/>
    <n v="0"/>
  </r>
  <r>
    <x v="0"/>
    <s v="BV45817"/>
    <s v="Pedido 1751"/>
    <d v="2025-06-06T00:00:00"/>
    <x v="157"/>
    <s v="PedidoF1649"/>
    <s v="CódRastreio1647"/>
    <n v="1"/>
    <s v="CPF 1708"/>
    <s v="Nome 1708"/>
    <s v="Tel 1708"/>
    <s v="Cep 1708"/>
    <s v="Rua 1708"/>
    <s v="Comp 1708"/>
    <s v="Máquina de cortar cabelo dragão"/>
    <s v="HG-2FNR-01A9"/>
    <d v="2025-07-04T00:00:00"/>
    <n v="25.99"/>
    <n v="25.99"/>
    <n v="3.1187999999999998"/>
    <n v="22.87"/>
    <n v="10.61"/>
    <n v="0.67"/>
    <n v="0.39877104377104378"/>
    <n v="0"/>
    <n v="11.191228956228958"/>
    <n v="5.595614478114479"/>
    <x v="158"/>
    <x v="161"/>
    <x v="28"/>
    <d v="2025-08-04T00:00:00"/>
    <x v="8"/>
    <x v="0"/>
    <x v="9"/>
    <s v="ENTREGUE"/>
    <d v="2025-07-03T00:00:00"/>
    <x v="0"/>
    <m/>
    <n v="0"/>
    <n v="0"/>
    <n v="0"/>
    <n v="0"/>
    <n v="0"/>
  </r>
  <r>
    <x v="0"/>
    <s v="BV45819"/>
    <s v="Pedido 1752"/>
    <d v="2025-06-06T00:00:00"/>
    <x v="160"/>
    <s v="PedidoF1650"/>
    <s v="CódRastreio1648"/>
    <n v="1"/>
    <s v="CPF 1709"/>
    <s v="Nome 1709"/>
    <s v="Tel 1709"/>
    <s v="Cep 1709"/>
    <s v="Rua 1709"/>
    <s v="Comp 1709"/>
    <s v="Máquina de cortar cabelo dragão"/>
    <s v="HG-2FNR-01A9"/>
    <d v="2025-06-28T00:00:00"/>
    <n v="25.99"/>
    <n v="25.99"/>
    <n v="3.1187999999999998"/>
    <n v="22.87"/>
    <n v="10.18"/>
    <n v="0.6"/>
    <n v="0.39877104377104378"/>
    <n v="0"/>
    <n v="11.691228956228958"/>
    <n v="5.845614478114479"/>
    <x v="159"/>
    <x v="162"/>
    <x v="28"/>
    <d v="2025-08-04T00:00:00"/>
    <x v="8"/>
    <x v="0"/>
    <x v="9"/>
    <s v="ENTREGUE"/>
    <d v="2025-07-04T00:00:00"/>
    <x v="0"/>
    <m/>
    <n v="0"/>
    <n v="0"/>
    <n v="0"/>
    <n v="0"/>
    <n v="0"/>
  </r>
  <r>
    <x v="1"/>
    <s v="GO45813"/>
    <s v="Pedido 1753"/>
    <d v="2025-06-05T00:00:00"/>
    <x v="159"/>
    <s v="PedidoF1651"/>
    <s v="CódRastreio1649"/>
    <n v="1"/>
    <s v="CPF 1710"/>
    <s v="Nome 1710"/>
    <s v="Tel 1710"/>
    <s v="Cep 1710"/>
    <s v="Rua 1710"/>
    <s v="Comp 1710"/>
    <s v="Escova Multifuncional"/>
    <s v="E7-FW3C-EHOL"/>
    <d v="2025-07-02T00:00:00"/>
    <n v="40.200000000000003"/>
    <n v="40.200000000000003"/>
    <n v="4.8239999999999998"/>
    <n v="35.380000000000003"/>
    <n v="24.99"/>
    <n v="0"/>
    <n v="0.39877104377104378"/>
    <n v="0"/>
    <n v="9.9912289562289587"/>
    <n v="9.9912289562289587"/>
    <x v="155"/>
    <x v="158"/>
    <x v="28"/>
    <d v="2025-08-04T00:00:00"/>
    <x v="8"/>
    <x v="0"/>
    <x v="9"/>
    <s v="ENTREGUE"/>
    <d v="2025-06-11T00:00:00"/>
    <x v="0"/>
    <m/>
    <n v="0"/>
    <n v="0"/>
    <n v="0"/>
    <n v="0"/>
    <n v="0"/>
  </r>
  <r>
    <x v="0"/>
    <s v="BV45818"/>
    <s v="Pedido 1754"/>
    <d v="2025-06-07T00:00:00"/>
    <x v="161"/>
    <s v="PedidoF1652"/>
    <s v="CódRastreio1650"/>
    <n v="1"/>
    <s v="CPF 1711"/>
    <s v="Nome 1711"/>
    <s v="Tel 1711"/>
    <s v="Cep 1711"/>
    <s v="Rua 1711"/>
    <s v="Comp 1711"/>
    <s v="Máquina de cortar cabelo dragão"/>
    <s v="HG-2FNR-01A9"/>
    <d v="2025-07-04T00:00:00"/>
    <n v="25.99"/>
    <n v="25.99"/>
    <n v="3.1187999999999998"/>
    <n v="22.87"/>
    <n v="10.59"/>
    <n v="0.8"/>
    <n v="0.39877104377104378"/>
    <n v="0"/>
    <n v="11.081228956228957"/>
    <n v="5.5406144781144784"/>
    <x v="158"/>
    <x v="161"/>
    <x v="28"/>
    <d v="2025-08-04T00:00:00"/>
    <x v="8"/>
    <x v="0"/>
    <x v="9"/>
    <s v="ENTREGUE"/>
    <d v="2025-06-30T00:00:00"/>
    <x v="0"/>
    <m/>
    <n v="0"/>
    <n v="0"/>
    <n v="0"/>
    <n v="0"/>
    <n v="0"/>
  </r>
  <r>
    <x v="0"/>
    <s v="BV45819"/>
    <s v="Pedido 1755"/>
    <d v="2025-06-10T00:00:00"/>
    <x v="160"/>
    <s v="PedidoF1653"/>
    <s v="CódRastreio1651"/>
    <n v="1"/>
    <s v="CPF 1712"/>
    <s v="Nome 1712"/>
    <s v="Tel 1712"/>
    <s v="Cep 1712"/>
    <s v="Rua 1712"/>
    <s v="Comp 1712"/>
    <s v="Máquina de cortar cabelo dragão"/>
    <s v="NQ-IMR8-W6Q4"/>
    <d v="2025-07-12T00:00:00"/>
    <n v="25.99"/>
    <n v="25.99"/>
    <n v="3.1187999999999998"/>
    <n v="22.87"/>
    <n v="0"/>
    <n v="0.6"/>
    <n v="0.39877104377104378"/>
    <n v="0"/>
    <n v="21.871228956228958"/>
    <n v="10.935614478114479"/>
    <x v="160"/>
    <x v="163"/>
    <x v="29"/>
    <d v="2025-08-04T00:00:00"/>
    <x v="8"/>
    <x v="0"/>
    <x v="9"/>
    <s v="RETORNANDO"/>
    <s v="-"/>
    <x v="0"/>
    <m/>
    <n v="0"/>
    <n v="0"/>
    <n v="0"/>
    <n v="0"/>
    <n v="0"/>
  </r>
  <r>
    <x v="0"/>
    <s v="BV45824"/>
    <s v="Pedido 1756"/>
    <d v="2025-06-10T00:00:00"/>
    <x v="162"/>
    <s v="PedidoF1654"/>
    <s v="CódRastreio1652"/>
    <n v="1"/>
    <s v="CPF 1713"/>
    <s v="Nome 1713"/>
    <s v="Tel 1713"/>
    <s v="Cep 1713"/>
    <s v="Rua 1713"/>
    <s v="Comp 1713"/>
    <s v="Máquina de cortar cabelo dragão"/>
    <s v="NQ-IMR8-W6Q4"/>
    <d v="2025-07-15T00:00:00"/>
    <n v="25.99"/>
    <n v="25.99"/>
    <n v="3.1187999999999998"/>
    <n v="22.87"/>
    <n v="10.17"/>
    <n v="0.3"/>
    <n v="0.39877104377104378"/>
    <n v="0"/>
    <n v="12.001228956228957"/>
    <n v="6.0006144781144783"/>
    <x v="161"/>
    <x v="164"/>
    <x v="29"/>
    <d v="2025-08-04T00:00:00"/>
    <x v="8"/>
    <x v="0"/>
    <x v="9"/>
    <s v="ENTREGUE"/>
    <d v="2025-07-28T00:00:00"/>
    <x v="0"/>
    <m/>
    <n v="0"/>
    <n v="0"/>
    <n v="0"/>
    <n v="0"/>
    <n v="0"/>
  </r>
  <r>
    <x v="0"/>
    <s v="BV45819"/>
    <s v="Pedido 1757"/>
    <d v="2025-06-10T00:00:00"/>
    <x v="160"/>
    <s v="PedidoF1655"/>
    <s v="CódRastreio1653"/>
    <n v="1"/>
    <s v="CPF 1714"/>
    <s v="Nome 1714"/>
    <s v="Tel 1714"/>
    <s v="Cep 1714"/>
    <s v="Rua 1714"/>
    <s v="Comp 1714"/>
    <s v="Máquina de cortar cabelo dragão"/>
    <s v="NQ-IMR8-W6Q4"/>
    <d v="2025-07-15T00:00:00"/>
    <n v="25.99"/>
    <n v="25.99"/>
    <n v="3.1187999999999998"/>
    <n v="22.87"/>
    <n v="10.18"/>
    <n v="0.6"/>
    <n v="0.39877104377104378"/>
    <n v="0"/>
    <n v="11.691228956228958"/>
    <n v="5.845614478114479"/>
    <x v="161"/>
    <x v="164"/>
    <x v="29"/>
    <d v="2025-08-04T00:00:00"/>
    <x v="8"/>
    <x v="0"/>
    <x v="9"/>
    <s v="ENTREGUE"/>
    <d v="2025-07-09T00:00:00"/>
    <x v="0"/>
    <m/>
    <n v="0"/>
    <n v="0"/>
    <n v="0"/>
    <n v="0"/>
    <n v="0"/>
  </r>
  <r>
    <x v="0"/>
    <s v="BV45819"/>
    <s v="Pedido 1758"/>
    <d v="2025-06-11T00:00:00"/>
    <x v="160"/>
    <s v="PedidoF1656"/>
    <s v="CódRastreio1654"/>
    <n v="1"/>
    <s v="CPF 1715"/>
    <s v="Nome 1715"/>
    <s v="Tel 1715"/>
    <s v="Cep 1715"/>
    <s v="Rua 1715"/>
    <s v="Comp 1715"/>
    <s v="Máquina de cortar cabelo dragão"/>
    <s v="HG-2FNR-01A9"/>
    <d v="2025-07-09T00:00:00"/>
    <n v="23.79"/>
    <n v="23.79"/>
    <n v="2.8548"/>
    <n v="20.94"/>
    <n v="10.59"/>
    <n v="0.6"/>
    <n v="0.39877104377104378"/>
    <n v="0"/>
    <n v="9.3512289562289581"/>
    <n v="4.6756144781144791"/>
    <x v="162"/>
    <x v="165"/>
    <x v="29"/>
    <d v="2025-08-04T00:00:00"/>
    <x v="8"/>
    <x v="0"/>
    <x v="9"/>
    <s v="ENTREGUE"/>
    <d v="2025-07-03T00:00:00"/>
    <x v="0"/>
    <m/>
    <n v="0"/>
    <n v="0"/>
    <n v="0"/>
    <n v="0"/>
    <n v="0"/>
  </r>
  <r>
    <x v="0"/>
    <s v="BV-"/>
    <s v="Pedido 1759"/>
    <d v="2025-06-11T00:00:00"/>
    <x v="0"/>
    <s v="-"/>
    <s v="-"/>
    <n v="1"/>
    <s v="CPF 1716"/>
    <s v="Nome 1716"/>
    <s v="Tel 1716"/>
    <s v="Cep 1716"/>
    <s v="Rua 1716"/>
    <s v="Comp 1716"/>
    <s v="Máquina de cortar cabelo dragão"/>
    <s v="HG-2FNR-01A9"/>
    <d v="2025-07-16T00:00:00"/>
    <n v="23.79"/>
    <n v="23.79"/>
    <n v="2.8548"/>
    <n v="20.94"/>
    <n v="0"/>
    <n v="0"/>
    <n v="0"/>
    <n v="0"/>
    <n v="20.94"/>
    <n v="10.47"/>
    <x v="163"/>
    <x v="166"/>
    <x v="29"/>
    <d v="2025-08-04T00:00:00"/>
    <x v="8"/>
    <x v="0"/>
    <x v="0"/>
    <s v="-"/>
    <s v="-"/>
    <x v="0"/>
    <m/>
    <n v="0"/>
    <n v="0"/>
    <n v="0"/>
    <n v="0"/>
    <n v="0"/>
  </r>
  <r>
    <x v="0"/>
    <s v="BV45826"/>
    <s v="Pedido 1760"/>
    <d v="2025-06-11T00:00:00"/>
    <x v="163"/>
    <s v="PedidoF1657"/>
    <s v="CódRastreio1655"/>
    <n v="1"/>
    <s v="CPF 1717"/>
    <s v="Nome 1717"/>
    <s v="Tel 1717"/>
    <s v="Cep 1717"/>
    <s v="Rua 1717"/>
    <s v="Comp 1717"/>
    <s v="Máquina de cortar cabelo dragão"/>
    <s v="HG-2FNR-01A9"/>
    <d v="2025-07-16T00:00:00"/>
    <n v="23.79"/>
    <n v="23.79"/>
    <n v="2.8548"/>
    <n v="20.94"/>
    <n v="10.210000000000001"/>
    <n v="0.49"/>
    <n v="0.39877104377104378"/>
    <n v="0"/>
    <n v="9.8412289562289565"/>
    <n v="4.9206144781144783"/>
    <x v="163"/>
    <x v="166"/>
    <x v="29"/>
    <d v="2025-08-04T00:00:00"/>
    <x v="8"/>
    <x v="0"/>
    <x v="9"/>
    <s v="ENTREGUE"/>
    <d v="2025-06-30T00:00:00"/>
    <x v="0"/>
    <m/>
    <n v="0"/>
    <n v="0"/>
    <n v="0"/>
    <n v="0"/>
    <n v="0"/>
  </r>
  <r>
    <x v="0"/>
    <s v="BV45824"/>
    <s v="Pedido 1761"/>
    <d v="2025-06-12T00:00:00"/>
    <x v="162"/>
    <s v="PedidoF1658"/>
    <s v="CódRastreio1656"/>
    <n v="1"/>
    <s v="CPF 1718"/>
    <s v="Nome 1718"/>
    <s v="Tel 1718"/>
    <s v="Cep 1718"/>
    <s v="Rua 1718"/>
    <s v="Comp 1718"/>
    <s v="Máquina de cortar cabelo dragão"/>
    <s v="HG-2FNR-01A9"/>
    <d v="2025-07-10T00:00:00"/>
    <n v="23.79"/>
    <n v="23.79"/>
    <n v="2.8548"/>
    <n v="20.94"/>
    <n v="15.37"/>
    <n v="0.3"/>
    <n v="0.39877104377104378"/>
    <n v="0"/>
    <n v="4.8712289562289577"/>
    <n v="2.4356144781144788"/>
    <x v="164"/>
    <x v="165"/>
    <x v="29"/>
    <d v="2025-08-04T00:00:00"/>
    <x v="8"/>
    <x v="0"/>
    <x v="9"/>
    <s v="ENTREGUE"/>
    <d v="2025-06-23T00:00:00"/>
    <x v="0"/>
    <m/>
    <n v="0"/>
    <n v="0"/>
    <n v="0"/>
    <n v="0"/>
    <n v="0"/>
  </r>
  <r>
    <x v="0"/>
    <s v="BV45821"/>
    <s v="Pedido 1762"/>
    <d v="2025-06-12T00:00:00"/>
    <x v="164"/>
    <s v="PedidoF1659"/>
    <s v="CódRastreio1657"/>
    <n v="1"/>
    <s v="CPF 1719"/>
    <s v="Nome 1719"/>
    <s v="Tel 1719"/>
    <s v="Cep 1719"/>
    <s v="Rua 1719"/>
    <s v="Comp 1719"/>
    <s v="Máquina de cortar cabelo dragão"/>
    <s v="HG-2FNR-01A9"/>
    <d v="2025-07-04T00:00:00"/>
    <n v="23.79"/>
    <n v="23.79"/>
    <n v="2.8548"/>
    <n v="20.94"/>
    <n v="17.96"/>
    <n v="0.8"/>
    <n v="0.39877104377104378"/>
    <n v="0"/>
    <n v="1.7812289562289543"/>
    <n v="0.89061447811447714"/>
    <x v="158"/>
    <x v="161"/>
    <x v="28"/>
    <d v="2025-08-04T00:00:00"/>
    <x v="8"/>
    <x v="0"/>
    <x v="9"/>
    <s v="ENTREGUE"/>
    <d v="2025-06-23T12:43:50"/>
    <x v="0"/>
    <m/>
    <n v="0"/>
    <n v="0"/>
    <n v="0"/>
    <n v="0"/>
    <n v="0"/>
  </r>
  <r>
    <x v="0"/>
    <s v="BV45826"/>
    <s v="Pedido 1763"/>
    <d v="2025-06-12T00:00:00"/>
    <x v="163"/>
    <s v="PedidoF1660"/>
    <s v="CódRastreio1658"/>
    <n v="1"/>
    <s v="CPF 1720"/>
    <s v="Nome 1720"/>
    <s v="Tel 1720"/>
    <s v="Cep 1720"/>
    <s v="Rua 1720"/>
    <s v="Comp 1720"/>
    <s v="Máquina de cortar cabelo dragão"/>
    <s v="HG-2FNR-01A9"/>
    <d v="2025-07-10T00:00:00"/>
    <n v="23.79"/>
    <n v="23.79"/>
    <n v="2.8548"/>
    <n v="20.94"/>
    <n v="10.210000000000001"/>
    <n v="0.49"/>
    <n v="0.39877104377104378"/>
    <n v="0"/>
    <n v="9.8412289562289565"/>
    <n v="4.9206144781144783"/>
    <x v="164"/>
    <x v="165"/>
    <x v="29"/>
    <d v="2025-08-04T00:00:00"/>
    <x v="8"/>
    <x v="0"/>
    <x v="9"/>
    <s v="ENTREGUE"/>
    <d v="2025-06-28T00:00:00"/>
    <x v="0"/>
    <m/>
    <n v="0"/>
    <n v="0"/>
    <n v="0"/>
    <n v="0"/>
    <n v="0"/>
  </r>
  <r>
    <x v="0"/>
    <s v="BV45824"/>
    <s v="Pedido 1764"/>
    <d v="2025-06-13T00:00:00"/>
    <x v="162"/>
    <s v="PedidoF1661"/>
    <s v="CódRastreio1659"/>
    <n v="1"/>
    <s v="CPF 1721"/>
    <s v="Nome 1721"/>
    <s v="Tel 1721"/>
    <s v="Cep 1721"/>
    <s v="Rua 1721"/>
    <s v="Comp 1721"/>
    <s v="Máquina de cortar cabelo dragão"/>
    <s v="HG-2FNR-01A9"/>
    <d v="2025-07-05T00:00:00"/>
    <n v="23.79"/>
    <n v="23.79"/>
    <n v="2.8548"/>
    <n v="20.94"/>
    <n v="15.76"/>
    <n v="0.3"/>
    <n v="0.39877104377104378"/>
    <n v="0"/>
    <n v="4.4812289562289571"/>
    <n v="2.2406144781144786"/>
    <x v="165"/>
    <x v="167"/>
    <x v="28"/>
    <d v="2025-08-04T00:00:00"/>
    <x v="8"/>
    <x v="0"/>
    <x v="9"/>
    <s v="ENTREGUE"/>
    <d v="2025-06-21T00:00:00"/>
    <x v="0"/>
    <m/>
    <n v="0"/>
    <n v="0"/>
    <n v="0"/>
    <n v="0"/>
    <n v="0"/>
  </r>
  <r>
    <x v="0"/>
    <s v="BV45824"/>
    <s v="Pedido 1765"/>
    <d v="2025-06-13T00:00:00"/>
    <x v="162"/>
    <s v="PedidoF1662"/>
    <s v="CódRastreio1660"/>
    <n v="1"/>
    <s v="CPF 1722"/>
    <s v="Nome 1722"/>
    <s v="Tel 1722"/>
    <s v="Cep 1722"/>
    <s v="Rua 1722"/>
    <s v="Comp 1722"/>
    <s v="Máquina de cortar cabelo dragão"/>
    <s v="HG-2FNR-01A9"/>
    <d v="2025-07-05T00:00:00"/>
    <n v="23.79"/>
    <n v="23.79"/>
    <n v="2.8548"/>
    <n v="20.94"/>
    <n v="14.95"/>
    <n v="0.3"/>
    <n v="0.39877104377104378"/>
    <n v="0"/>
    <n v="5.2912289562289576"/>
    <n v="2.6456144781144788"/>
    <x v="165"/>
    <x v="167"/>
    <x v="28"/>
    <d v="2025-08-04T00:00:00"/>
    <x v="8"/>
    <x v="0"/>
    <x v="9"/>
    <s v="ENTREGUE"/>
    <d v="2025-06-20T00:00:00"/>
    <x v="0"/>
    <m/>
    <n v="0"/>
    <n v="0"/>
    <n v="0"/>
    <n v="0"/>
    <n v="0"/>
  </r>
  <r>
    <x v="0"/>
    <s v="BV45826"/>
    <s v="Pedido 1766"/>
    <d v="2025-06-13T00:00:00"/>
    <x v="163"/>
    <s v="PedidoF1663"/>
    <s v="CódRastreio1661"/>
    <n v="1"/>
    <s v="CPF 1722"/>
    <s v="Nome 1722"/>
    <s v="Tel 1722"/>
    <s v="Cep 1722"/>
    <s v="Rua 1722"/>
    <s v="Comp 1722"/>
    <s v="Máquina de cortar cabelo dragão"/>
    <s v="HG-2FNR-01A9"/>
    <d v="2025-07-11T00:00:00"/>
    <n v="23.79"/>
    <n v="23.79"/>
    <n v="2.8548"/>
    <n v="20.94"/>
    <n v="10.56"/>
    <n v="0.49"/>
    <n v="0.39877104377104378"/>
    <n v="0"/>
    <n v="9.4912289562289569"/>
    <n v="4.7456144781144785"/>
    <x v="166"/>
    <x v="165"/>
    <x v="29"/>
    <d v="2025-08-04T00:00:00"/>
    <x v="8"/>
    <x v="0"/>
    <x v="9"/>
    <s v="ENTREGUE"/>
    <d v="2025-07-07T00:00:00"/>
    <x v="0"/>
    <m/>
    <n v="0"/>
    <n v="0"/>
    <n v="0"/>
    <n v="0"/>
    <n v="0"/>
  </r>
  <r>
    <x v="0"/>
    <s v="BV45824"/>
    <s v="Pedido 1767"/>
    <d v="2025-06-13T00:00:00"/>
    <x v="162"/>
    <s v="PedidoF1664"/>
    <s v="CódRastreio1662"/>
    <n v="1"/>
    <s v="CPF 1722"/>
    <s v="Nome 1722"/>
    <s v="Tel 1722"/>
    <s v="Cep 1722"/>
    <s v="Rua 1722"/>
    <s v="Comp 1722"/>
    <s v="Máquina de cortar cabelo dragão"/>
    <s v="HG-2FNR-01A9"/>
    <d v="2025-07-05T00:00:00"/>
    <n v="23.79"/>
    <n v="23.79"/>
    <n v="2.8548"/>
    <n v="20.94"/>
    <n v="14.9"/>
    <n v="0.3"/>
    <n v="0.39877104377104378"/>
    <n v="0"/>
    <n v="5.3412289562289565"/>
    <n v="2.6706144781144783"/>
    <x v="165"/>
    <x v="167"/>
    <x v="28"/>
    <d v="2025-08-04T00:00:00"/>
    <x v="8"/>
    <x v="0"/>
    <x v="9"/>
    <s v="ENTREGUE"/>
    <d v="2025-06-21T00:00:00"/>
    <x v="0"/>
    <m/>
    <n v="0"/>
    <n v="0"/>
    <n v="0"/>
    <n v="0"/>
    <n v="0"/>
  </r>
  <r>
    <x v="0"/>
    <s v="BV45824"/>
    <s v="Pedido 1768"/>
    <d v="2025-06-13T00:00:00"/>
    <x v="162"/>
    <s v="PedidoF1665"/>
    <s v="CódRastreio1663"/>
    <n v="1"/>
    <s v="CPF 1722"/>
    <s v="Nome 1722"/>
    <s v="Tel 1722"/>
    <s v="Cep 1722"/>
    <s v="Rua 1722"/>
    <s v="Comp 1722"/>
    <s v="Máquina de cortar cabelo dragão"/>
    <s v="HG-2FNR-01A9"/>
    <d v="2025-07-11T00:00:00"/>
    <n v="23.79"/>
    <n v="23.79"/>
    <n v="2.8548"/>
    <n v="20.94"/>
    <n v="15.11"/>
    <n v="0.3"/>
    <n v="0.39877104377104378"/>
    <n v="0"/>
    <n v="5.1312289562289575"/>
    <n v="2.5656144781144787"/>
    <x v="166"/>
    <x v="165"/>
    <x v="29"/>
    <d v="2025-08-04T00:00:00"/>
    <x v="8"/>
    <x v="0"/>
    <x v="9"/>
    <s v="ENTREGUE"/>
    <d v="2025-06-23T00:00:00"/>
    <x v="0"/>
    <m/>
    <n v="0"/>
    <n v="0"/>
    <n v="0"/>
    <n v="0"/>
    <n v="0"/>
  </r>
  <r>
    <x v="0"/>
    <s v="BV45826"/>
    <s v="Pedido 1769"/>
    <d v="2025-06-13T00:00:00"/>
    <x v="163"/>
    <s v="PedidoF1666"/>
    <s v="CódRastreio1664"/>
    <n v="1"/>
    <s v="CPF 1726"/>
    <s v="Nome 1726"/>
    <s v="Tel 1726"/>
    <s v="Cep 1726"/>
    <s v="Rua 1726"/>
    <s v="Comp 1726"/>
    <s v="Máquina de cortar cabelo dragão"/>
    <s v="NQ-IMR8-W6Q4"/>
    <d v="2025-07-18T00:00:00"/>
    <n v="25.99"/>
    <n v="25.99"/>
    <n v="3.1187999999999998"/>
    <n v="22.87"/>
    <n v="10.210000000000001"/>
    <n v="0.49"/>
    <n v="0.39877104377104378"/>
    <n v="0"/>
    <n v="11.771228956228956"/>
    <n v="5.8856144781144781"/>
    <x v="167"/>
    <x v="168"/>
    <x v="29"/>
    <d v="2025-08-04T00:00:00"/>
    <x v="8"/>
    <x v="0"/>
    <x v="9"/>
    <s v="ENTREGUE"/>
    <d v="2025-06-30T00:00:00"/>
    <x v="0"/>
    <m/>
    <n v="0"/>
    <n v="0"/>
    <n v="0"/>
    <n v="0"/>
    <n v="0"/>
  </r>
  <r>
    <x v="0"/>
    <s v="BV45826"/>
    <s v="Pedido 1770"/>
    <d v="2025-06-14T00:00:00"/>
    <x v="163"/>
    <s v="PedidoF1667"/>
    <s v="CódRastreio1665"/>
    <n v="1"/>
    <s v="CPF 1727"/>
    <s v="Nome 1727"/>
    <s v="Tel 1727"/>
    <s v="Cep 1727"/>
    <s v="Rua 1727"/>
    <s v="Comp 1727"/>
    <s v="Máquina de cortar cabelo dragão"/>
    <s v="HG-2FNR-01A9"/>
    <d v="2025-07-05T00:00:00"/>
    <n v="23.79"/>
    <n v="23.79"/>
    <n v="2.8548"/>
    <n v="20.94"/>
    <n v="10.210000000000001"/>
    <n v="0.49"/>
    <n v="0.39877104377104378"/>
    <n v="0"/>
    <n v="9.8412289562289565"/>
    <n v="4.9206144781144783"/>
    <x v="165"/>
    <x v="167"/>
    <x v="28"/>
    <d v="2025-08-04T00:00:00"/>
    <x v="8"/>
    <x v="0"/>
    <x v="9"/>
    <s v="ENTREGUE"/>
    <d v="2025-06-26T00:00:00"/>
    <x v="0"/>
    <m/>
    <n v="0"/>
    <n v="0"/>
    <n v="0"/>
    <n v="0"/>
    <n v="0"/>
  </r>
  <r>
    <x v="0"/>
    <s v="BV45824"/>
    <s v="Pedido 1771"/>
    <d v="2025-06-14T00:00:00"/>
    <x v="162"/>
    <s v="PedidoF1668"/>
    <s v="CódRastreio1666"/>
    <n v="1"/>
    <s v="CPF 1728"/>
    <s v="Nome 1728"/>
    <s v="Tel 1728"/>
    <s v="Cep 1728"/>
    <s v="Rua 1728"/>
    <s v="Comp 1728"/>
    <s v="Máquina de cortar cabelo dragão"/>
    <s v="HG-2FNR-01A9"/>
    <d v="2025-07-11T00:00:00"/>
    <n v="23.79"/>
    <n v="23.79"/>
    <n v="2.8548"/>
    <n v="20.94"/>
    <n v="14.9"/>
    <n v="0.3"/>
    <n v="0.39877104377104378"/>
    <n v="0"/>
    <n v="5.3412289562289565"/>
    <n v="2.6706144781144783"/>
    <x v="166"/>
    <x v="165"/>
    <x v="29"/>
    <d v="2025-08-04T00:00:00"/>
    <x v="8"/>
    <x v="0"/>
    <x v="9"/>
    <s v="ENTREGUE"/>
    <d v="2025-06-26T00:00:00"/>
    <x v="0"/>
    <m/>
    <n v="0"/>
    <n v="0"/>
    <n v="0"/>
    <n v="0"/>
    <n v="0"/>
  </r>
  <r>
    <x v="0"/>
    <s v="BV45826"/>
    <s v="Pedido 1772"/>
    <d v="2025-06-14T00:00:00"/>
    <x v="163"/>
    <s v="PedidoF1669"/>
    <s v="CódRastreio1667"/>
    <n v="1"/>
    <s v="CPF 1729"/>
    <s v="Nome 1729"/>
    <s v="Tel 1729"/>
    <s v="Cep 1729"/>
    <s v="Rua 1729"/>
    <s v="Comp 1729"/>
    <s v="Máquina de cortar cabelo dragão"/>
    <s v="HG-2FNR-01A9"/>
    <d v="2025-07-11T00:00:00"/>
    <n v="23.79"/>
    <n v="23.79"/>
    <n v="2.8548"/>
    <n v="20.94"/>
    <n v="10.210000000000001"/>
    <n v="0.49"/>
    <n v="0.39877104377104378"/>
    <n v="0"/>
    <n v="9.8412289562289565"/>
    <n v="4.9206144781144783"/>
    <x v="166"/>
    <x v="165"/>
    <x v="29"/>
    <d v="2025-08-04T00:00:00"/>
    <x v="8"/>
    <x v="0"/>
    <x v="9"/>
    <s v="ENTREGUE"/>
    <d v="2025-06-27T00:00:00"/>
    <x v="0"/>
    <m/>
    <n v="0"/>
    <n v="0"/>
    <n v="0"/>
    <n v="0"/>
    <n v="0"/>
  </r>
  <r>
    <x v="0"/>
    <s v="BV45824"/>
    <s v="Pedido 1773"/>
    <d v="2025-06-15T00:00:00"/>
    <x v="162"/>
    <s v="PedidoF1670"/>
    <s v="CódRastreio1668"/>
    <n v="1"/>
    <s v="CPF 1730"/>
    <s v="Nome 1730"/>
    <s v="Tel 1730"/>
    <s v="Cep 1730"/>
    <s v="Rua 1730"/>
    <s v="Comp 1730"/>
    <s v="Máquina de cortar cabelo dragão"/>
    <s v="HG-2FNR-01A9"/>
    <d v="2025-07-11T00:00:00"/>
    <n v="23.79"/>
    <n v="23.79"/>
    <n v="2.8548"/>
    <n v="20.94"/>
    <n v="14.9"/>
    <n v="0.3"/>
    <n v="0.39877104377104378"/>
    <n v="0"/>
    <n v="5.3412289562289565"/>
    <n v="2.6706144781144783"/>
    <x v="166"/>
    <x v="165"/>
    <x v="29"/>
    <d v="2025-08-04T00:00:00"/>
    <x v="8"/>
    <x v="0"/>
    <x v="9"/>
    <s v="ENTREGUE"/>
    <d v="2025-06-23T00:00:00"/>
    <x v="0"/>
    <m/>
    <n v="0"/>
    <n v="0"/>
    <n v="0"/>
    <n v="0"/>
    <n v="0"/>
  </r>
  <r>
    <x v="0"/>
    <s v="BV45826"/>
    <s v="Pedido 1774"/>
    <d v="2025-06-16T00:00:00"/>
    <x v="163"/>
    <s v="PedidoF1671"/>
    <s v="CódRastreio1669"/>
    <n v="1"/>
    <s v="CPF 1731"/>
    <s v="Nome 1731"/>
    <s v="Tel 1731"/>
    <s v="Cep 1731"/>
    <s v="Rua 1731"/>
    <s v="Comp 1731"/>
    <s v="Máquina de cortar cabelo dragão"/>
    <s v="HG-2FNR-01A9"/>
    <d v="2025-07-05T00:00:00"/>
    <n v="23.79"/>
    <n v="23.79"/>
    <n v="2.8548"/>
    <n v="20.94"/>
    <n v="10.210000000000001"/>
    <n v="0.49"/>
    <n v="0.39877104377104378"/>
    <n v="0"/>
    <n v="9.8412289562289565"/>
    <n v="4.9206144781144783"/>
    <x v="165"/>
    <x v="167"/>
    <x v="28"/>
    <d v="2025-08-04T00:00:00"/>
    <x v="8"/>
    <x v="0"/>
    <x v="9"/>
    <s v="ENTREGUE"/>
    <d v="2025-06-30T00:00:00"/>
    <x v="0"/>
    <m/>
    <n v="0"/>
    <n v="0"/>
    <n v="0"/>
    <n v="0"/>
    <n v="0"/>
  </r>
  <r>
    <x v="0"/>
    <s v="BV45826"/>
    <s v="Pedido 1775"/>
    <d v="2025-06-16T00:00:00"/>
    <x v="163"/>
    <s v="PedidoF1672"/>
    <s v="CódRastreio1670"/>
    <n v="1"/>
    <s v="CPF 1732"/>
    <s v="Nome 1732"/>
    <s v="Tel 1732"/>
    <s v="Cep 1732"/>
    <s v="Rua 1732"/>
    <s v="Comp 1732"/>
    <s v="Máquina de cortar cabelo dragão"/>
    <s v="NQ-IMR8-W6Q4"/>
    <d v="2025-07-18T00:00:00"/>
    <n v="25.99"/>
    <n v="25.99"/>
    <n v="3.1187999999999998"/>
    <n v="22.87"/>
    <n v="10.56"/>
    <n v="0.49"/>
    <n v="0.39877104377104378"/>
    <n v="0"/>
    <n v="11.421228956228957"/>
    <n v="5.7106144781144783"/>
    <x v="167"/>
    <x v="168"/>
    <x v="29"/>
    <d v="2025-08-04T00:00:00"/>
    <x v="8"/>
    <x v="0"/>
    <x v="9"/>
    <s v="ENTREGUE"/>
    <d v="2025-07-07T00:00:00"/>
    <x v="0"/>
    <m/>
    <n v="0"/>
    <n v="0"/>
    <n v="0"/>
    <n v="0"/>
    <n v="0"/>
  </r>
  <r>
    <x v="0"/>
    <s v="BV45826"/>
    <s v="Pedido 1776"/>
    <d v="2025-06-15T00:00:00"/>
    <x v="163"/>
    <s v="PedidoF1673"/>
    <s v="CódRastreio1671"/>
    <n v="1"/>
    <s v="CPF 1733"/>
    <s v="Nome 1733"/>
    <s v="Tel 1733"/>
    <s v="Cep 1733"/>
    <s v="Rua 1733"/>
    <s v="Comp 1733"/>
    <s v="Máquina de cortar cabelo dragão"/>
    <s v="HG-2FNR-01A9"/>
    <d v="2025-07-11T00:00:00"/>
    <n v="23.79"/>
    <n v="23.79"/>
    <n v="2.8548"/>
    <n v="20.94"/>
    <n v="10.56"/>
    <n v="0.49"/>
    <n v="0.39877104377104378"/>
    <n v="0"/>
    <n v="9.4912289562289569"/>
    <n v="4.7456144781144785"/>
    <x v="166"/>
    <x v="165"/>
    <x v="29"/>
    <d v="2025-08-04T00:00:00"/>
    <x v="8"/>
    <x v="0"/>
    <x v="9"/>
    <s v="ENTREGUE"/>
    <d v="2025-07-03T00:00:00"/>
    <x v="0"/>
    <m/>
    <n v="0"/>
    <n v="0"/>
    <n v="0"/>
    <n v="0"/>
    <n v="0"/>
  </r>
  <r>
    <x v="0"/>
    <s v="BV45828"/>
    <s v="Pedido 1777"/>
    <d v="2025-06-16T00:00:00"/>
    <x v="165"/>
    <s v="PedidoF1674"/>
    <s v="CódRastreio1672"/>
    <n v="1"/>
    <s v="CPF 1734"/>
    <s v="Nome 1734"/>
    <s v="Tel 1734"/>
    <s v="Cep 1734"/>
    <s v="Rua 1734"/>
    <s v="Comp 1734"/>
    <s v="Máquina de cortar cabelo dragão"/>
    <s v="HG-2FNR-01A9"/>
    <d v="2025-07-12T00:00:00"/>
    <n v="23.79"/>
    <n v="23.79"/>
    <n v="2.8548"/>
    <n v="20.94"/>
    <n v="10.56"/>
    <n v="0"/>
    <n v="0.39877104377104378"/>
    <n v="0"/>
    <n v="9.9812289562289571"/>
    <n v="4.9906144781144786"/>
    <x v="160"/>
    <x v="163"/>
    <x v="29"/>
    <d v="2025-08-04T00:00:00"/>
    <x v="8"/>
    <x v="0"/>
    <x v="9"/>
    <s v="ENTREGUE"/>
    <d v="2025-07-01T00:00:00"/>
    <x v="0"/>
    <m/>
    <n v="0"/>
    <n v="0"/>
    <n v="0"/>
    <n v="0"/>
    <n v="0"/>
  </r>
  <r>
    <x v="0"/>
    <s v="BV45828"/>
    <s v="Pedido 1778"/>
    <d v="2025-06-16T00:00:00"/>
    <x v="165"/>
    <s v="PedidoF1675"/>
    <s v="CódRastreio1673"/>
    <n v="1"/>
    <s v="CPF 1735"/>
    <s v="Nome 1735"/>
    <s v="Tel 1735"/>
    <s v="Cep 1735"/>
    <s v="Rua 1735"/>
    <s v="Comp 1735"/>
    <s v="Máquina de cortar cabelo dragão"/>
    <s v="HG-2FNR-01A9"/>
    <d v="2025-07-12T00:00:00"/>
    <n v="23.79"/>
    <n v="23.79"/>
    <n v="2.8548"/>
    <n v="20.94"/>
    <n v="11.43"/>
    <n v="0"/>
    <n v="0.39877104377104378"/>
    <n v="0"/>
    <n v="9.1112289562289579"/>
    <n v="4.5556144781144789"/>
    <x v="160"/>
    <x v="163"/>
    <x v="29"/>
    <d v="2025-08-04T00:00:00"/>
    <x v="8"/>
    <x v="0"/>
    <x v="9"/>
    <s v="ENTREGUE"/>
    <d v="2025-07-03T00:00:00"/>
    <x v="0"/>
    <m/>
    <n v="0"/>
    <n v="0"/>
    <n v="0"/>
    <n v="0"/>
    <n v="0"/>
  </r>
  <r>
    <x v="0"/>
    <s v="BV45828"/>
    <s v="Pedido 1779"/>
    <d v="2025-06-16T00:00:00"/>
    <x v="165"/>
    <s v="PedidoF1676"/>
    <s v="CódRastreio1674"/>
    <n v="1"/>
    <s v="CPF 1736"/>
    <s v="Nome 1736"/>
    <s v="Tel 1736"/>
    <s v="Cep 1736"/>
    <s v="Rua 1736"/>
    <s v="Comp 1736"/>
    <s v="Máquina de cortar cabelo dragão"/>
    <s v="NQ-IMR8-W6Q4"/>
    <d v="2025-07-12T00:00:00"/>
    <n v="25.99"/>
    <n v="25.99"/>
    <n v="3.1187999999999998"/>
    <n v="22.87"/>
    <n v="10.220000000000001"/>
    <n v="0"/>
    <n v="0.39877104377104378"/>
    <n v="0"/>
    <n v="12.251228956228957"/>
    <n v="6.1256144781144783"/>
    <x v="160"/>
    <x v="163"/>
    <x v="29"/>
    <d v="2025-08-04T00:00:00"/>
    <x v="8"/>
    <x v="0"/>
    <x v="9"/>
    <s v="ENTREGUE"/>
    <d v="2025-07-09T00:00:00"/>
    <x v="0"/>
    <m/>
    <n v="0"/>
    <n v="0"/>
    <n v="0"/>
    <n v="0"/>
    <n v="0"/>
  </r>
  <r>
    <x v="0"/>
    <s v="BV45828"/>
    <s v="Pedido 1780"/>
    <d v="2025-06-16T00:00:00"/>
    <x v="165"/>
    <s v="PedidoF1677"/>
    <s v="CódRastreio1675"/>
    <n v="1"/>
    <s v="CPF 1737"/>
    <s v="Nome 1737"/>
    <s v="Tel 1737"/>
    <s v="Cep 1737"/>
    <s v="Rua 1737"/>
    <s v="Comp 1737"/>
    <s v="Máquina de cortar cabelo dragão"/>
    <s v="NQ-IMR8-W6Q4"/>
    <d v="2025-07-19T00:00:00"/>
    <n v="25.99"/>
    <n v="25.99"/>
    <n v="3.1187999999999998"/>
    <n v="22.87"/>
    <n v="10.220000000000001"/>
    <n v="0"/>
    <n v="0.39877104377104378"/>
    <n v="0"/>
    <n v="12.251228956228957"/>
    <n v="6.1256144781144783"/>
    <x v="168"/>
    <x v="169"/>
    <x v="29"/>
    <d v="2025-08-04T00:00:00"/>
    <x v="8"/>
    <x v="0"/>
    <x v="9"/>
    <s v="ENTREGUE"/>
    <d v="2025-07-01T00:00:00"/>
    <x v="0"/>
    <m/>
    <n v="0"/>
    <n v="0"/>
    <n v="0"/>
    <n v="0"/>
    <n v="0"/>
  </r>
  <r>
    <x v="0"/>
    <s v="BV45828"/>
    <s v="Pedido 1781"/>
    <d v="2025-06-16T00:00:00"/>
    <x v="165"/>
    <s v="PedidoF1678"/>
    <s v="CódRastreio1676"/>
    <n v="1"/>
    <s v="CPF 1738"/>
    <s v="Nome 1738"/>
    <s v="Tel 1738"/>
    <s v="Cep 1738"/>
    <s v="Rua 1738"/>
    <s v="Comp 1738"/>
    <s v="Máquina de cortar cabelo dragão"/>
    <s v="NQ-IMR8-W6Q4"/>
    <d v="2025-07-19T00:00:00"/>
    <n v="25.99"/>
    <n v="25.99"/>
    <n v="3.1187999999999998"/>
    <n v="22.87"/>
    <n v="10.220000000000001"/>
    <n v="0"/>
    <n v="0.39877104377104378"/>
    <n v="0"/>
    <n v="12.251228956228957"/>
    <n v="6.1256144781144783"/>
    <x v="168"/>
    <x v="169"/>
    <x v="29"/>
    <d v="2025-08-04T00:00:00"/>
    <x v="8"/>
    <x v="0"/>
    <x v="9"/>
    <s v="ENTREGUE"/>
    <d v="2025-07-01T00:00:00"/>
    <x v="0"/>
    <m/>
    <n v="0"/>
    <n v="0"/>
    <n v="0"/>
    <n v="0"/>
    <n v="0"/>
  </r>
  <r>
    <x v="0"/>
    <s v="BV45824"/>
    <s v="Pedido 1782"/>
    <d v="2025-06-16T00:00:00"/>
    <x v="162"/>
    <s v="PedidoF1679"/>
    <s v="CódRastreio1677"/>
    <n v="1"/>
    <s v="CPF 1739"/>
    <s v="Nome 1739"/>
    <s v="Tel 1739"/>
    <s v="Cep 1739"/>
    <s v="Rua 1739"/>
    <s v="Comp 1739"/>
    <s v="Máquina de cortar cabelo dragão"/>
    <s v="HG-2FNR-01A9"/>
    <d v="2025-07-12T00:00:00"/>
    <n v="23.79"/>
    <n v="23.79"/>
    <n v="2.8548"/>
    <n v="20.94"/>
    <n v="15.01"/>
    <n v="0.3"/>
    <n v="0.39877104377104378"/>
    <n v="0"/>
    <n v="5.2312289562289571"/>
    <n v="2.6156144781144786"/>
    <x v="160"/>
    <x v="163"/>
    <x v="29"/>
    <d v="2025-08-04T00:00:00"/>
    <x v="8"/>
    <x v="0"/>
    <x v="9"/>
    <s v="ENTREGUE"/>
    <d v="2025-06-23T00:00:00"/>
    <x v="0"/>
    <m/>
    <n v="0"/>
    <n v="0"/>
    <n v="0"/>
    <n v="0"/>
    <n v="0"/>
  </r>
  <r>
    <x v="0"/>
    <s v="BV45824"/>
    <s v="Pedido 1783"/>
    <d v="2025-06-16T00:00:00"/>
    <x v="162"/>
    <s v="PedidoF1680"/>
    <s v="CódRastreio1678"/>
    <n v="1"/>
    <s v="CPF 1740"/>
    <s v="Nome 1740"/>
    <s v="Tel 1740"/>
    <s v="Cep 1740"/>
    <s v="Rua 1740"/>
    <s v="Comp 1740"/>
    <s v="Máquina de cortar cabelo dragão"/>
    <s v="HG-2FNR-01A9"/>
    <d v="2025-07-08T00:00:00"/>
    <n v="23.79"/>
    <n v="23.79"/>
    <n v="2.8548"/>
    <n v="20.94"/>
    <n v="15.55"/>
    <n v="0.3"/>
    <n v="0.39877104377104378"/>
    <n v="0"/>
    <n v="4.6912289562289544"/>
    <n v="2.3456144781144772"/>
    <x v="169"/>
    <x v="170"/>
    <x v="28"/>
    <d v="2025-08-04T00:00:00"/>
    <x v="8"/>
    <x v="0"/>
    <x v="9"/>
    <s v="ENTREGUE"/>
    <d v="2025-06-20T00:00:00"/>
    <x v="0"/>
    <m/>
    <n v="0"/>
    <n v="0"/>
    <n v="0"/>
    <n v="0"/>
    <n v="0"/>
  </r>
  <r>
    <x v="0"/>
    <s v="BV45828"/>
    <s v="Pedido 1784"/>
    <d v="2025-06-16T00:00:00"/>
    <x v="165"/>
    <s v="PedidoF1681"/>
    <s v="CódRastreio1679"/>
    <n v="1"/>
    <s v="CPF 1741"/>
    <s v="Nome 1741"/>
    <s v="Tel 1741"/>
    <s v="Cep 1741"/>
    <s v="Rua 1741"/>
    <s v="Comp 1741"/>
    <s v="Máquina de cortar cabelo dragão"/>
    <s v="HG-2FNR-01A9"/>
    <d v="2025-07-19T00:00:00"/>
    <n v="25.99"/>
    <n v="25.99"/>
    <n v="3.1187999999999998"/>
    <n v="22.87"/>
    <n v="10.220000000000001"/>
    <n v="0"/>
    <n v="0.39877104377104378"/>
    <n v="0"/>
    <n v="12.251228956228957"/>
    <n v="6.1256144781144783"/>
    <x v="168"/>
    <x v="169"/>
    <x v="29"/>
    <d v="2025-08-04T00:00:00"/>
    <x v="8"/>
    <x v="0"/>
    <x v="9"/>
    <s v="ENTREGUE"/>
    <d v="2025-07-08T00:00:00"/>
    <x v="0"/>
    <m/>
    <n v="0"/>
    <n v="0"/>
    <n v="0"/>
    <n v="0"/>
    <n v="0"/>
  </r>
  <r>
    <x v="1"/>
    <s v="GO45824"/>
    <s v="Pedido 1785"/>
    <d v="2025-06-13T00:00:00"/>
    <x v="162"/>
    <s v="PedidoF1682"/>
    <s v="CódRastreio1680"/>
    <n v="1"/>
    <s v="CPF 1742"/>
    <s v="Nome 1742"/>
    <s v="Tel 1742"/>
    <s v="Cep 1742"/>
    <s v="Rua 1742"/>
    <s v="Comp 1742"/>
    <s v="Cortador de Legumes"/>
    <s v="33-SVS5-1AWY"/>
    <d v="2025-07-11T00:00:00"/>
    <n v="67.599999999999994"/>
    <n v="67.599999999999994"/>
    <n v="8.1119999999999983"/>
    <n v="59.49"/>
    <n v="38.4"/>
    <n v="0"/>
    <n v="0.39877104377104378"/>
    <n v="0"/>
    <n v="20.691228956228962"/>
    <n v="20.691228956228962"/>
    <x v="166"/>
    <x v="165"/>
    <x v="29"/>
    <d v="2025-08-04T00:00:00"/>
    <x v="8"/>
    <x v="0"/>
    <x v="9"/>
    <s v="ENTREGUE"/>
    <d v="2025-06-26T00:00:00"/>
    <x v="0"/>
    <m/>
    <n v="0"/>
    <n v="0"/>
    <n v="0"/>
    <n v="0"/>
    <n v="0"/>
  </r>
  <r>
    <x v="1"/>
    <s v="GO45824"/>
    <s v="Pedido 1786"/>
    <d v="2025-06-16T00:00:00"/>
    <x v="162"/>
    <s v="PedidoF1683"/>
    <s v="CódRastreio1681"/>
    <n v="1"/>
    <s v="CPF 1743"/>
    <s v="Nome 1743"/>
    <s v="Tel 1743"/>
    <s v="Cep 1743"/>
    <s v="Rua 1743"/>
    <s v="Comp 1743"/>
    <s v="Ventilador Umidificador Preto"/>
    <s v="K9-YV2I-FO7H"/>
    <d v="2025-07-12T00:00:00"/>
    <n v="54.99"/>
    <n v="54.99"/>
    <n v="6.0489000000000006"/>
    <n v="48.94"/>
    <n v="38.46"/>
    <n v="0"/>
    <n v="0.39877104377104378"/>
    <n v="0"/>
    <n v="10.081228956228955"/>
    <n v="10.081228956228955"/>
    <x v="160"/>
    <x v="163"/>
    <x v="29"/>
    <d v="2025-08-04T00:00:00"/>
    <x v="8"/>
    <x v="0"/>
    <x v="9"/>
    <s v="ENTREGUE"/>
    <d v="2025-06-24T00:00:00"/>
    <x v="0"/>
    <m/>
    <n v="0"/>
    <n v="0"/>
    <n v="0"/>
    <n v="0"/>
    <n v="0"/>
  </r>
  <r>
    <x v="0"/>
    <s v="BV45831"/>
    <s v="Pedido 1787"/>
    <d v="2025-06-17T00:00:00"/>
    <x v="166"/>
    <s v="PedidoF1684"/>
    <s v="CódRastreio1682"/>
    <n v="1"/>
    <s v="CPF 1744"/>
    <s v="Nome 1744"/>
    <s v="Tel 1744"/>
    <s v="Cep 1744"/>
    <s v="Rua 1744"/>
    <s v="Comp 1744"/>
    <s v="Máquina de cortar cabelo dragão"/>
    <s v="HG-2FNR-01A9"/>
    <d v="2025-07-22T00:00:00"/>
    <n v="25.65"/>
    <n v="25.65"/>
    <n v="3.0779999999999998"/>
    <n v="22.57"/>
    <n v="10.17"/>
    <n v="0"/>
    <n v="0.39877104377104378"/>
    <n v="0"/>
    <n v="12.001228956228957"/>
    <n v="6.0006144781144783"/>
    <x v="170"/>
    <x v="171"/>
    <x v="29"/>
    <d v="2025-08-04T00:00:00"/>
    <x v="8"/>
    <x v="0"/>
    <x v="9"/>
    <s v="ENTREGUE"/>
    <d v="2025-07-11T00:00:00"/>
    <x v="0"/>
    <m/>
    <n v="0"/>
    <n v="0"/>
    <n v="0"/>
    <n v="0"/>
    <n v="0"/>
  </r>
  <r>
    <x v="0"/>
    <s v="BV45831"/>
    <s v="Pedido 1788"/>
    <d v="2025-06-18T00:00:00"/>
    <x v="166"/>
    <s v="PedidoF1685"/>
    <s v="CódRastreio1683"/>
    <n v="1"/>
    <s v="CPF 1745"/>
    <s v="Nome 1745"/>
    <s v="Tel 1745"/>
    <s v="Cep 1745"/>
    <s v="Rua 1745"/>
    <s v="Comp 1745"/>
    <s v="Máquina de cortar cabelo dragão"/>
    <s v="HG-2FNR-01A9"/>
    <d v="2025-07-16T00:00:00"/>
    <n v="23.9"/>
    <n v="23.9"/>
    <n v="2.8679999999999999"/>
    <n v="21.03"/>
    <n v="9.4"/>
    <n v="0"/>
    <n v="0.39877104377104378"/>
    <n v="0"/>
    <n v="11.231228956228957"/>
    <n v="5.6156144781144786"/>
    <x v="163"/>
    <x v="166"/>
    <x v="29"/>
    <d v="2025-08-04T00:00:00"/>
    <x v="8"/>
    <x v="0"/>
    <x v="9"/>
    <s v="ENTREGUE"/>
    <d v="2025-07-02T00:00:00"/>
    <x v="0"/>
    <m/>
    <n v="0"/>
    <n v="0"/>
    <n v="0"/>
    <n v="0"/>
    <n v="0"/>
  </r>
  <r>
    <x v="0"/>
    <s v="BV45831"/>
    <s v="Pedido 1789"/>
    <d v="2025-06-18T00:00:00"/>
    <x v="166"/>
    <s v="PedidoF1686"/>
    <s v="CódRastreio1684"/>
    <n v="1"/>
    <s v="CPF 1746"/>
    <s v="Nome 1746"/>
    <s v="Tel 1746"/>
    <s v="Cep 1746"/>
    <s v="Rua 1746"/>
    <s v="Comp 1746"/>
    <s v="Máquina de cortar cabelo dragão"/>
    <s v="HG-2FNR-01A9"/>
    <d v="2025-07-10T00:00:00"/>
    <n v="23.9"/>
    <n v="23.9"/>
    <n v="2.8679999999999999"/>
    <n v="21.03"/>
    <n v="10.17"/>
    <n v="0"/>
    <n v="0.39877104377104378"/>
    <n v="0"/>
    <n v="10.461228956228958"/>
    <n v="5.2306144781144788"/>
    <x v="164"/>
    <x v="165"/>
    <x v="29"/>
    <d v="2025-08-04T00:00:00"/>
    <x v="8"/>
    <x v="0"/>
    <x v="9"/>
    <s v="ENTREGUE"/>
    <d v="2025-07-02T00:00:00"/>
    <x v="0"/>
    <m/>
    <n v="0"/>
    <n v="0"/>
    <n v="0"/>
    <n v="0"/>
    <n v="0"/>
  </r>
  <r>
    <x v="0"/>
    <s v="BV45831"/>
    <s v="Pedido 1790"/>
    <d v="2025-06-18T00:00:00"/>
    <x v="166"/>
    <s v="PedidoF1687"/>
    <s v="CódRastreio1685"/>
    <n v="1"/>
    <s v="CPF 1747"/>
    <s v="Nome 1747"/>
    <s v="Tel 1747"/>
    <s v="Cep 1747"/>
    <s v="Rua 1747"/>
    <s v="Comp 1747"/>
    <s v="Máquina de cortar cabelo dragão"/>
    <s v="HG-2FNR-01A9"/>
    <d v="2025-07-16T00:00:00"/>
    <n v="23.9"/>
    <n v="23.9"/>
    <n v="2.8679999999999999"/>
    <n v="21.03"/>
    <n v="10.57"/>
    <n v="0"/>
    <n v="0.39877104377104378"/>
    <n v="0"/>
    <n v="10.061228956228957"/>
    <n v="5.0306144781144786"/>
    <x v="163"/>
    <x v="166"/>
    <x v="29"/>
    <d v="2025-08-04T00:00:00"/>
    <x v="8"/>
    <x v="0"/>
    <x v="9"/>
    <s v="ENTREGUE"/>
    <d v="2025-07-07T00:00:00"/>
    <x v="0"/>
    <m/>
    <n v="0"/>
    <n v="0"/>
    <n v="0"/>
    <n v="0"/>
    <n v="0"/>
  </r>
  <r>
    <x v="0"/>
    <s v="BV45831"/>
    <s v="Pedido 1791"/>
    <d v="2025-06-19T00:00:00"/>
    <x v="166"/>
    <s v="PedidoF1688"/>
    <s v="CódRastreio1686"/>
    <n v="1"/>
    <s v="CPF 1748"/>
    <s v="Nome 1748"/>
    <s v="Tel 1748"/>
    <s v="Cep 1748"/>
    <s v="Rua 1748"/>
    <s v="Comp 1748"/>
    <s v="Máquina de cortar cabelo dragão"/>
    <s v="HG-2FNR-01A9"/>
    <d v="2025-07-10T00:00:00"/>
    <n v="23.9"/>
    <n v="23.9"/>
    <n v="2.8679999999999999"/>
    <n v="21.03"/>
    <n v="10.17"/>
    <n v="0"/>
    <n v="0.39877104377104378"/>
    <n v="0"/>
    <n v="10.461228956228958"/>
    <n v="5.2306144781144788"/>
    <x v="164"/>
    <x v="165"/>
    <x v="29"/>
    <d v="2025-08-04T00:00:00"/>
    <x v="8"/>
    <x v="0"/>
    <x v="9"/>
    <s v="ENTREGUE"/>
    <d v="2025-07-03T00:00:00"/>
    <x v="0"/>
    <m/>
    <n v="0"/>
    <n v="0"/>
    <n v="0"/>
    <n v="0"/>
    <n v="0"/>
  </r>
  <r>
    <x v="0"/>
    <s v="BV45831"/>
    <s v="Pedido 1792"/>
    <d v="2025-06-19T00:00:00"/>
    <x v="166"/>
    <s v="PedidoF1689"/>
    <s v="CódRastreio1687"/>
    <n v="1"/>
    <s v="CPF 1749"/>
    <s v="Nome 1749"/>
    <s v="Tel 1749"/>
    <s v="Cep 1749"/>
    <s v="Rua 1749"/>
    <s v="Comp 1749"/>
    <s v="Máquina de cortar cabelo dragão"/>
    <s v="HG-2FNR-01A9"/>
    <d v="2025-07-16T00:00:00"/>
    <n v="23.9"/>
    <n v="23.9"/>
    <n v="2.8679999999999999"/>
    <n v="21.03"/>
    <n v="15.16"/>
    <n v="0"/>
    <n v="0.39877104377104378"/>
    <n v="0"/>
    <n v="5.4712289562289573"/>
    <n v="2.7356144781144787"/>
    <x v="163"/>
    <x v="166"/>
    <x v="29"/>
    <d v="2025-08-04T00:00:00"/>
    <x v="8"/>
    <x v="0"/>
    <x v="9"/>
    <s v="ENTREGUE"/>
    <d v="2025-07-07T00:00:00"/>
    <x v="0"/>
    <m/>
    <n v="0"/>
    <n v="0"/>
    <n v="0"/>
    <n v="0"/>
    <n v="0"/>
  </r>
  <r>
    <x v="0"/>
    <s v="BV45831"/>
    <s v="Pedido 1793"/>
    <d v="2025-06-19T00:00:00"/>
    <x v="166"/>
    <s v="PedidoF1690"/>
    <s v="CódRastreio1688"/>
    <n v="1"/>
    <s v="CPF 1750"/>
    <s v="Nome 1750"/>
    <s v="Tel 1750"/>
    <s v="Cep 1750"/>
    <s v="Rua 1750"/>
    <s v="Comp 1750"/>
    <s v="Máquina de cortar cabelo dragão"/>
    <s v="HG-2FNR-01A9"/>
    <d v="2025-07-16T00:00:00"/>
    <n v="23.9"/>
    <n v="23.9"/>
    <n v="2.8679999999999999"/>
    <n v="21.03"/>
    <n v="10.57"/>
    <n v="0"/>
    <n v="0.39877104377104378"/>
    <n v="0"/>
    <n v="10.061228956228957"/>
    <n v="5.0306144781144786"/>
    <x v="163"/>
    <x v="166"/>
    <x v="29"/>
    <d v="2025-08-04T00:00:00"/>
    <x v="8"/>
    <x v="0"/>
    <x v="9"/>
    <s v="ENTREGUE"/>
    <d v="2025-07-14T00:00:00"/>
    <x v="0"/>
    <m/>
    <n v="0"/>
    <n v="0"/>
    <n v="0"/>
    <n v="0"/>
    <n v="0"/>
  </r>
  <r>
    <x v="0"/>
    <s v="BV45831"/>
    <s v="Pedido 1794"/>
    <d v="2025-06-19T00:00:00"/>
    <x v="166"/>
    <s v="PedidoF1691"/>
    <s v="CódRastreio1689"/>
    <n v="1"/>
    <s v="CPF 1751"/>
    <s v="Nome 1751"/>
    <s v="Tel 1751"/>
    <s v="Cep 1751"/>
    <s v="Rua 1751"/>
    <s v="Comp 1751"/>
    <s v="Máquina de cortar cabelo dragão"/>
    <s v="HG-2FNR-01A9"/>
    <d v="2025-07-10T00:00:00"/>
    <n v="23.9"/>
    <n v="23.9"/>
    <n v="2.8679999999999999"/>
    <n v="21.03"/>
    <n v="12.27"/>
    <n v="0"/>
    <n v="0.39877104377104378"/>
    <n v="0"/>
    <n v="8.3612289562289579"/>
    <n v="4.1806144781144789"/>
    <x v="164"/>
    <x v="165"/>
    <x v="29"/>
    <d v="2025-08-04T00:00:00"/>
    <x v="8"/>
    <x v="0"/>
    <x v="9"/>
    <s v="ENTREGUE"/>
    <d v="2025-07-02T00:00:00"/>
    <x v="0"/>
    <m/>
    <n v="0"/>
    <n v="0"/>
    <n v="0"/>
    <n v="0"/>
    <n v="0"/>
  </r>
  <r>
    <x v="0"/>
    <s v="BV45831"/>
    <s v="Pedido 1795"/>
    <d v="2025-06-20T00:00:00"/>
    <x v="166"/>
    <s v="PedidoF1692"/>
    <s v="CódRastreio1690"/>
    <n v="1"/>
    <s v="CPF 1752"/>
    <s v="Nome 1752"/>
    <s v="Tel 1752"/>
    <s v="Cep 1752"/>
    <s v="Rua 1752"/>
    <s v="Comp 1752"/>
    <s v="Máquina de cortar cabelo dragão"/>
    <s v="HG-2FNR-01A9"/>
    <d v="2025-07-16T00:00:00"/>
    <n v="23.9"/>
    <n v="23.9"/>
    <n v="2.8679999999999999"/>
    <n v="21.03"/>
    <n v="9.4"/>
    <n v="0"/>
    <n v="0.39877104377104378"/>
    <n v="0"/>
    <n v="11.231228956228957"/>
    <n v="5.6156144781144786"/>
    <x v="163"/>
    <x v="166"/>
    <x v="29"/>
    <d v="2025-08-04T00:00:00"/>
    <x v="8"/>
    <x v="0"/>
    <x v="9"/>
    <s v="ENTREGUE"/>
    <d v="2025-07-01T00:00:00"/>
    <x v="0"/>
    <m/>
    <n v="0"/>
    <n v="0"/>
    <n v="0"/>
    <n v="0"/>
    <n v="0"/>
  </r>
  <r>
    <x v="0"/>
    <s v="BV45831"/>
    <s v="Pedido 1796"/>
    <d v="2025-06-20T00:00:00"/>
    <x v="166"/>
    <s v="PedidoF1693"/>
    <s v="CódRastreio1691"/>
    <n v="1"/>
    <s v="CPF 1753"/>
    <s v="Nome 1753"/>
    <s v="Tel 1753"/>
    <s v="Cep 1753"/>
    <s v="Rua 1753"/>
    <s v="Comp 1753"/>
    <s v="Máquina de cortar cabelo dragão"/>
    <s v="HG-2FNR-01A9"/>
    <d v="2025-07-10T00:00:00"/>
    <n v="23.9"/>
    <n v="23.9"/>
    <n v="2.8679999999999999"/>
    <n v="21.03"/>
    <n v="10.17"/>
    <n v="0"/>
    <n v="0.39877104377104378"/>
    <n v="0"/>
    <n v="10.461228956228958"/>
    <n v="5.2306144781144788"/>
    <x v="164"/>
    <x v="165"/>
    <x v="29"/>
    <d v="2025-08-04T00:00:00"/>
    <x v="8"/>
    <x v="0"/>
    <x v="9"/>
    <s v="ENTREGUE"/>
    <d v="2025-07-08T00:00:00"/>
    <x v="0"/>
    <m/>
    <n v="0"/>
    <n v="0"/>
    <n v="0"/>
    <n v="0"/>
    <n v="0"/>
  </r>
  <r>
    <x v="0"/>
    <s v="BV45832"/>
    <s v="Pedido 1797"/>
    <d v="2025-06-20T00:00:00"/>
    <x v="167"/>
    <s v="PedidoF1694"/>
    <s v="CódRastreio1692"/>
    <n v="1"/>
    <s v="CPF 1754"/>
    <s v="Nome 1754"/>
    <s v="Tel 1754"/>
    <s v="Cep 1754"/>
    <s v="Rua 1754"/>
    <s v="Comp 1754"/>
    <s v="Máquina de cortar cabelo dragão"/>
    <s v="NQ-IMR8-W6Q4"/>
    <d v="2025-07-23T00:00:00"/>
    <n v="23.9"/>
    <n v="23.9"/>
    <n v="2.8679999999999999"/>
    <n v="21.03"/>
    <n v="10.220000000000001"/>
    <n v="0"/>
    <n v="0.39877104377104378"/>
    <n v="0"/>
    <n v="10.411228956228957"/>
    <n v="5.2056144781144784"/>
    <x v="171"/>
    <x v="172"/>
    <x v="29"/>
    <d v="2025-08-04T00:00:00"/>
    <x v="8"/>
    <x v="0"/>
    <x v="9"/>
    <s v="ENTREGUE"/>
    <d v="2025-07-12T00:00:00"/>
    <x v="0"/>
    <m/>
    <n v="0"/>
    <n v="0"/>
    <n v="0"/>
    <n v="0"/>
    <n v="0"/>
  </r>
  <r>
    <x v="0"/>
    <s v="BV45832"/>
    <s v="Pedido 1798"/>
    <d v="2025-06-20T00:00:00"/>
    <x v="167"/>
    <s v="PedidoF1695"/>
    <s v="CódRastreio1693"/>
    <n v="1"/>
    <s v="CPF 1755"/>
    <s v="Nome 1755"/>
    <s v="Tel 1755"/>
    <s v="Cep 1755"/>
    <s v="Rua 1755"/>
    <s v="Comp 1755"/>
    <s v="Máquina de cortar cabelo dragão"/>
    <s v="NQ-IMR8-W6Q4"/>
    <d v="2025-07-23T00:00:00"/>
    <n v="23.9"/>
    <n v="23.9"/>
    <n v="2.8679999999999999"/>
    <n v="21.03"/>
    <n v="10.220000000000001"/>
    <n v="0"/>
    <n v="0.39877104377104378"/>
    <n v="0"/>
    <n v="10.411228956228957"/>
    <n v="5.2056144781144784"/>
    <x v="171"/>
    <x v="172"/>
    <x v="29"/>
    <d v="2025-08-04T00:00:00"/>
    <x v="8"/>
    <x v="0"/>
    <x v="9"/>
    <s v="ENTREGUE"/>
    <d v="2025-07-09T00:00:00"/>
    <x v="0"/>
    <m/>
    <n v="0"/>
    <n v="0"/>
    <n v="0"/>
    <n v="0"/>
    <n v="0"/>
  </r>
  <r>
    <x v="0"/>
    <s v="BV45832"/>
    <s v="Pedido 1799"/>
    <d v="2025-06-20T00:00:00"/>
    <x v="167"/>
    <s v="PedidoF1696"/>
    <s v="CódRastreio1694"/>
    <n v="1"/>
    <s v="CPF 1756"/>
    <s v="Nome 1756"/>
    <s v="Tel 1756"/>
    <s v="Cep 1756"/>
    <s v="Rua 1756"/>
    <s v="Comp 1756"/>
    <s v="Máquina de cortar cabelo dragão"/>
    <s v="NQ-IMR8-W6Q4"/>
    <d v="2025-07-10T00:00:00"/>
    <n v="23.9"/>
    <n v="23.9"/>
    <n v="2.8679999999999999"/>
    <n v="21.03"/>
    <n v="13.4"/>
    <n v="0"/>
    <n v="0.39877104377104378"/>
    <n v="0"/>
    <n v="7.2312289562289571"/>
    <n v="3.6156144781144786"/>
    <x v="164"/>
    <x v="165"/>
    <x v="29"/>
    <d v="2025-08-04T00:00:00"/>
    <x v="8"/>
    <x v="0"/>
    <x v="9"/>
    <s v="ENTREGUE"/>
    <d v="2025-07-01T00:00:00"/>
    <x v="0"/>
    <m/>
    <n v="0"/>
    <n v="0"/>
    <n v="0"/>
    <n v="0"/>
    <n v="0"/>
  </r>
  <r>
    <x v="0"/>
    <s v="BV45832"/>
    <s v="Pedido 1800"/>
    <d v="2025-06-22T00:00:00"/>
    <x v="167"/>
    <s v="PedidoF1697"/>
    <s v="CódRastreio1695"/>
    <n v="1"/>
    <s v="CPF 1757"/>
    <s v="Nome 1757"/>
    <s v="Tel 1757"/>
    <s v="Cep 1757"/>
    <s v="Rua 1757"/>
    <s v="Comp 1757"/>
    <s v="Máquina de cortar cabelo dragão"/>
    <s v="HG-2FNR-01A9"/>
    <d v="2025-07-24T00:00:00"/>
    <n v="22.79"/>
    <n v="22.79"/>
    <n v="2.7347999999999999"/>
    <n v="20.059999999999999"/>
    <n v="10.220000000000001"/>
    <n v="0"/>
    <n v="0.39877104377104378"/>
    <n v="0"/>
    <n v="9.4412289562289544"/>
    <n v="4.7206144781144772"/>
    <x v="172"/>
    <x v="173"/>
    <x v="29"/>
    <d v="2025-08-04T00:00:00"/>
    <x v="8"/>
    <x v="0"/>
    <x v="9"/>
    <s v="ENTREGUE"/>
    <d v="2025-07-09T00:00:00"/>
    <x v="0"/>
    <m/>
    <n v="0"/>
    <n v="0"/>
    <n v="0"/>
    <n v="0"/>
    <n v="0"/>
  </r>
  <r>
    <x v="0"/>
    <s v="BV45832"/>
    <s v="Pedido 1801"/>
    <d v="2025-06-22T00:00:00"/>
    <x v="167"/>
    <s v="PedidoF1698"/>
    <s v="CódRastreio1696"/>
    <n v="1"/>
    <s v="CPF 1758"/>
    <s v="Nome 1758"/>
    <s v="Tel 1758"/>
    <s v="Cep 1758"/>
    <s v="Rua 1758"/>
    <s v="Comp 1758"/>
    <s v="Máquina de cortar cabelo dragão"/>
    <s v="HG-2FNR-01A9"/>
    <d v="2025-07-11T00:00:00"/>
    <n v="22.79"/>
    <n v="22.79"/>
    <n v="2.7347999999999999"/>
    <n v="20.059999999999999"/>
    <n v="10.220000000000001"/>
    <n v="0"/>
    <n v="0.39877104377104378"/>
    <n v="0"/>
    <n v="9.4412289562289544"/>
    <n v="4.7206144781144772"/>
    <x v="166"/>
    <x v="165"/>
    <x v="29"/>
    <d v="2025-08-04T00:00:00"/>
    <x v="8"/>
    <x v="0"/>
    <x v="9"/>
    <s v="ENTREGUE"/>
    <d v="2025-07-03T00:00:00"/>
    <x v="0"/>
    <m/>
    <n v="0"/>
    <n v="0"/>
    <n v="0"/>
    <n v="0"/>
    <n v="0"/>
  </r>
  <r>
    <x v="0"/>
    <s v="BV45832"/>
    <s v="Pedido 1802"/>
    <d v="2025-06-22T00:00:00"/>
    <x v="167"/>
    <s v="PedidoF1699"/>
    <s v="CódRastreio1697"/>
    <n v="1"/>
    <s v="CPF 1759"/>
    <s v="Nome 1759"/>
    <s v="Tel 1759"/>
    <s v="Cep 1759"/>
    <s v="Rua 1759"/>
    <s v="Comp 1759"/>
    <s v="Máquina de cortar cabelo dragão"/>
    <s v="HG-2FNR-01A9"/>
    <d v="2025-07-17T00:00:00"/>
    <n v="22.79"/>
    <n v="22.79"/>
    <n v="2.7347999999999999"/>
    <n v="20.059999999999999"/>
    <n v="9.4"/>
    <n v="0"/>
    <n v="0.39877104377104378"/>
    <n v="0"/>
    <n v="10.261228956228955"/>
    <n v="5.1306144781144774"/>
    <x v="173"/>
    <x v="174"/>
    <x v="29"/>
    <d v="2025-08-04T00:00:00"/>
    <x v="8"/>
    <x v="0"/>
    <x v="9"/>
    <s v="ENTREGUE"/>
    <d v="2025-07-05T00:00:00"/>
    <x v="0"/>
    <m/>
    <n v="0"/>
    <n v="0"/>
    <n v="0"/>
    <n v="0"/>
    <n v="0"/>
  </r>
  <r>
    <x v="0"/>
    <s v="BV45832"/>
    <s v="Pedido 1803"/>
    <d v="2025-06-22T00:00:00"/>
    <x v="167"/>
    <s v="PedidoF1700"/>
    <s v="CódRastreio1698"/>
    <n v="1"/>
    <s v="CPF 1760"/>
    <s v="Nome 1760"/>
    <s v="Tel 1760"/>
    <s v="Cep 1760"/>
    <s v="Rua 1760"/>
    <s v="Comp 1760"/>
    <s v="Máquina de cortar cabelo dragão"/>
    <s v="HG-2FNR-01A9"/>
    <d v="2025-07-17T00:00:00"/>
    <n v="22.79"/>
    <n v="22.79"/>
    <n v="2.7347999999999999"/>
    <n v="20.059999999999999"/>
    <n v="10.56"/>
    <n v="0"/>
    <n v="0.39877104377104378"/>
    <n v="0"/>
    <n v="9.1012289562289546"/>
    <n v="4.5506144781144773"/>
    <x v="173"/>
    <x v="174"/>
    <x v="29"/>
    <d v="2025-08-04T00:00:00"/>
    <x v="8"/>
    <x v="0"/>
    <x v="9"/>
    <s v="ENTREGUE"/>
    <d v="2025-07-04T00:00:00"/>
    <x v="0"/>
    <m/>
    <n v="0"/>
    <n v="0"/>
    <n v="0"/>
    <n v="0"/>
    <n v="0"/>
  </r>
  <r>
    <x v="0"/>
    <s v="BV45833"/>
    <s v="Pedido 1804"/>
    <d v="2025-06-22T00:00:00"/>
    <x v="168"/>
    <s v="PedidoF1701"/>
    <s v="CódRastreio1699"/>
    <n v="1"/>
    <s v="CPF 1761"/>
    <s v="Nome 1761"/>
    <s v="Tel 1761"/>
    <s v="Cep 1761"/>
    <s v="Rua 1761"/>
    <s v="Comp 1761"/>
    <s v="Máquina de cortar cabelo dragão"/>
    <s v="HG-2FNR-01A9"/>
    <d v="2025-07-11T00:00:00"/>
    <n v="22.79"/>
    <n v="22.79"/>
    <n v="2.7347999999999999"/>
    <n v="20.059999999999999"/>
    <n v="10.17"/>
    <n v="0"/>
    <n v="0.39877104377104378"/>
    <n v="0"/>
    <n v="9.4912289562289551"/>
    <n v="4.7456144781144776"/>
    <x v="166"/>
    <x v="165"/>
    <x v="29"/>
    <d v="2025-08-04T00:00:00"/>
    <x v="8"/>
    <x v="0"/>
    <x v="9"/>
    <s v="ENTREGUE"/>
    <d v="2025-07-09T00:00:00"/>
    <x v="0"/>
    <m/>
    <n v="0"/>
    <n v="0"/>
    <n v="0"/>
    <n v="0"/>
    <n v="0"/>
  </r>
  <r>
    <x v="0"/>
    <s v="BV45833"/>
    <s v="Pedido 1805"/>
    <d v="2025-06-22T00:00:00"/>
    <x v="168"/>
    <s v="PedidoF1702"/>
    <s v="CódRastreio1700"/>
    <n v="1"/>
    <s v="CPF 1762"/>
    <s v="Nome 1762"/>
    <s v="Tel 1762"/>
    <s v="Cep 1762"/>
    <s v="Rua 1762"/>
    <s v="Comp 1762"/>
    <s v="Máquina de cortar cabelo dragão"/>
    <s v="HG-2FNR-01A9"/>
    <d v="2025-07-17T00:00:00"/>
    <n v="22.79"/>
    <n v="22.79"/>
    <n v="2.7347999999999999"/>
    <n v="20.059999999999999"/>
    <n v="10.57"/>
    <n v="0"/>
    <n v="0.39877104377104378"/>
    <n v="0"/>
    <n v="9.0912289562289548"/>
    <n v="4.5456144781144774"/>
    <x v="173"/>
    <x v="174"/>
    <x v="29"/>
    <d v="2025-08-04T00:00:00"/>
    <x v="8"/>
    <x v="0"/>
    <x v="9"/>
    <s v="ENTREGUE"/>
    <d v="2025-07-08T00:00:00"/>
    <x v="0"/>
    <m/>
    <n v="0"/>
    <n v="0"/>
    <n v="0"/>
    <n v="0"/>
    <n v="0"/>
  </r>
  <r>
    <x v="0"/>
    <s v="BV45833"/>
    <s v="Pedido 1806"/>
    <d v="2025-06-22T00:00:00"/>
    <x v="168"/>
    <s v="PedidoF1703"/>
    <s v="CódRastreio1701"/>
    <n v="1"/>
    <s v="CPF 1763"/>
    <s v="Nome 1763"/>
    <s v="Tel 1763"/>
    <s v="Cep 1763"/>
    <s v="Rua 1763"/>
    <s v="Comp 1763"/>
    <s v="Máquina de cortar cabelo dragão"/>
    <s v="HG-2FNR-01A9"/>
    <d v="2025-07-17T00:00:00"/>
    <n v="22.79"/>
    <n v="22.79"/>
    <n v="2.7347999999999999"/>
    <n v="20.059999999999999"/>
    <n v="10.17"/>
    <n v="0"/>
    <n v="0.39877104377104378"/>
    <n v="0"/>
    <n v="9.4912289562289551"/>
    <n v="4.7456144781144776"/>
    <x v="173"/>
    <x v="174"/>
    <x v="29"/>
    <d v="2025-08-04T00:00:00"/>
    <x v="8"/>
    <x v="0"/>
    <x v="9"/>
    <s v="ENTREGUE"/>
    <d v="2025-07-09T00:00:00"/>
    <x v="0"/>
    <m/>
    <n v="0"/>
    <n v="0"/>
    <n v="0"/>
    <n v="0"/>
    <n v="0"/>
  </r>
  <r>
    <x v="0"/>
    <s v="BV45833"/>
    <s v="Pedido 1807"/>
    <d v="2025-06-23T00:00:00"/>
    <x v="168"/>
    <s v="PedidoF1704"/>
    <s v="CódRastreio1702"/>
    <n v="1"/>
    <s v="CPF 1764"/>
    <s v="Nome 1764"/>
    <s v="Tel 1764"/>
    <s v="Cep 1764"/>
    <s v="Rua 1764"/>
    <s v="Comp 1764"/>
    <s v="Máquina de cortar cabelo dragão"/>
    <s v="HG-2FNR-01A9"/>
    <d v="2025-07-17T00:00:00"/>
    <n v="22.79"/>
    <n v="22.79"/>
    <n v="2.7347999999999999"/>
    <n v="20.059999999999999"/>
    <n v="10.57"/>
    <n v="0"/>
    <n v="0.39877104377104378"/>
    <n v="0"/>
    <n v="9.0912289562289548"/>
    <n v="4.5456144781144774"/>
    <x v="173"/>
    <x v="174"/>
    <x v="29"/>
    <d v="2025-08-04T00:00:00"/>
    <x v="8"/>
    <x v="0"/>
    <x v="9"/>
    <s v="ENTREGUE"/>
    <d v="2025-07-11T00:00:00"/>
    <x v="0"/>
    <m/>
    <n v="0"/>
    <n v="0"/>
    <n v="0"/>
    <n v="0"/>
    <n v="0"/>
  </r>
  <r>
    <x v="0"/>
    <s v="BV45833"/>
    <s v="Pedido 1808"/>
    <d v="2025-06-22T00:00:00"/>
    <x v="168"/>
    <s v="PedidoF1705"/>
    <s v="CódRastreio1703"/>
    <n v="1"/>
    <s v="CPF 1765"/>
    <s v="Nome 1765"/>
    <s v="Tel 1765"/>
    <s v="Cep 1765"/>
    <s v="Rua 1765"/>
    <s v="Comp 1765"/>
    <s v="Máquina de cortar cabelo dragão"/>
    <s v="HG-2FNR-01A9"/>
    <d v="2025-07-17T00:00:00"/>
    <n v="22.79"/>
    <n v="22.79"/>
    <n v="2.7347999999999999"/>
    <n v="20.059999999999999"/>
    <n v="10.17"/>
    <n v="0"/>
    <n v="0.39877104377104378"/>
    <n v="0"/>
    <n v="9.4912289562289551"/>
    <n v="4.7456144781144776"/>
    <x v="173"/>
    <x v="174"/>
    <x v="29"/>
    <d v="2025-08-04T00:00:00"/>
    <x v="8"/>
    <x v="0"/>
    <x v="9"/>
    <s v="ENTREGUE"/>
    <d v="2025-07-07T00:00:00"/>
    <x v="0"/>
    <m/>
    <n v="0"/>
    <n v="0"/>
    <n v="0"/>
    <n v="0"/>
    <n v="0"/>
  </r>
  <r>
    <x v="0"/>
    <s v="BV45834"/>
    <s v="Pedido 1809"/>
    <d v="2025-06-22T00:00:00"/>
    <x v="169"/>
    <s v="PedidoF1706"/>
    <s v="CódRastreio1704"/>
    <n v="1"/>
    <s v="CPF 1766"/>
    <s v="Nome 1766"/>
    <s v="Tel 1766"/>
    <s v="Cep 1766"/>
    <s v="Rua 1766"/>
    <s v="Comp 1766"/>
    <s v="Máquina de cortar cabelo dragão"/>
    <s v="HG-2FNR-01A9"/>
    <d v="2025-07-11T00:00:00"/>
    <n v="22.79"/>
    <n v="22.79"/>
    <n v="2.7347999999999999"/>
    <n v="20.059999999999999"/>
    <n v="10.18"/>
    <n v="0"/>
    <n v="0.39877104377104378"/>
    <n v="0"/>
    <n v="9.4812289562289553"/>
    <n v="4.7406144781144777"/>
    <x v="166"/>
    <x v="165"/>
    <x v="29"/>
    <d v="2025-08-04T00:00:00"/>
    <x v="8"/>
    <x v="0"/>
    <x v="9"/>
    <s v="ENTREGUE"/>
    <d v="2025-07-11T00:00:00"/>
    <x v="0"/>
    <m/>
    <n v="0"/>
    <n v="0"/>
    <n v="0"/>
    <n v="0"/>
    <n v="0"/>
  </r>
  <r>
    <x v="0"/>
    <s v="BV45833"/>
    <s v="Pedido 1810"/>
    <d v="2025-06-22T00:00:00"/>
    <x v="168"/>
    <s v="PedidoF1707"/>
    <s v="CódRastreio1705"/>
    <n v="1"/>
    <s v="CPF 1767"/>
    <s v="Nome 1767"/>
    <s v="Tel 1767"/>
    <s v="Cep 1767"/>
    <s v="Rua 1767"/>
    <s v="Comp 1767"/>
    <s v="Máquina de cortar cabelo dragão"/>
    <s v="HG-2FNR-01A9"/>
    <d v="2025-07-11T00:00:00"/>
    <n v="22.79"/>
    <n v="22.79"/>
    <n v="2.7347999999999999"/>
    <n v="20.059999999999999"/>
    <n v="14.43"/>
    <n v="0"/>
    <n v="0.39877104377104378"/>
    <n v="0"/>
    <n v="5.2312289562289553"/>
    <n v="2.6156144781144777"/>
    <x v="166"/>
    <x v="165"/>
    <x v="29"/>
    <d v="2025-08-04T00:00:00"/>
    <x v="8"/>
    <x v="0"/>
    <x v="9"/>
    <s v="ENTREGUE"/>
    <d v="2025-07-08T00:00:00"/>
    <x v="0"/>
    <m/>
    <n v="0"/>
    <n v="0"/>
    <n v="0"/>
    <n v="0"/>
    <n v="0"/>
  </r>
  <r>
    <x v="0"/>
    <s v="BV45834"/>
    <s v="Pedido 1811"/>
    <d v="2025-06-22T00:00:00"/>
    <x v="169"/>
    <s v="PedidoF1708"/>
    <s v="CódRastreio1706"/>
    <n v="1"/>
    <s v="CPF 1768"/>
    <s v="Nome 1768"/>
    <s v="Tel 1768"/>
    <s v="Cep 1768"/>
    <s v="Rua 1768"/>
    <s v="Comp 1768"/>
    <s v="Máquina de cortar cabelo dragão"/>
    <s v="HG-2FNR-01A9"/>
    <d v="2025-07-17T00:00:00"/>
    <n v="22.79"/>
    <n v="22.79"/>
    <n v="2.7347999999999999"/>
    <n v="20.059999999999999"/>
    <n v="10.18"/>
    <n v="0"/>
    <n v="0.39877104377104378"/>
    <n v="0"/>
    <n v="9.4812289562289553"/>
    <n v="4.7406144781144777"/>
    <x v="173"/>
    <x v="174"/>
    <x v="29"/>
    <d v="2025-08-04T00:00:00"/>
    <x v="8"/>
    <x v="0"/>
    <x v="9"/>
    <s v="ENTREGUE"/>
    <d v="2025-07-14T00:00:00"/>
    <x v="0"/>
    <m/>
    <n v="0"/>
    <n v="0"/>
    <n v="0"/>
    <n v="0"/>
    <n v="0"/>
  </r>
  <r>
    <x v="0"/>
    <s v="BV45834"/>
    <s v="Pedido 1812"/>
    <d v="2025-06-23T00:00:00"/>
    <x v="169"/>
    <s v="PedidoF1709"/>
    <s v="CódRastreio1707"/>
    <n v="1"/>
    <s v="CPF 1769"/>
    <s v="Nome 1769"/>
    <s v="Tel 1769"/>
    <s v="Cep 1769"/>
    <s v="Rua 1769"/>
    <s v="Comp 1769"/>
    <s v="Máquina de cortar cabelo dragão"/>
    <s v="HG-2FNR-01A9"/>
    <d v="2025-07-18T00:00:00"/>
    <n v="22.79"/>
    <n v="22.79"/>
    <n v="2.7347999999999999"/>
    <n v="20.059999999999999"/>
    <n v="0"/>
    <n v="0"/>
    <n v="0.39877104377104378"/>
    <n v="0"/>
    <n v="19.661228956228953"/>
    <n v="9.8306144781144766"/>
    <x v="167"/>
    <x v="168"/>
    <x v="29"/>
    <d v="2025-08-04T00:00:00"/>
    <x v="8"/>
    <x v="0"/>
    <x v="9"/>
    <s v="ENTREGUE"/>
    <s v="-"/>
    <x v="0"/>
    <m/>
    <n v="0"/>
    <n v="0"/>
    <n v="0"/>
    <n v="13.16"/>
    <n v="13.16"/>
  </r>
  <r>
    <x v="0"/>
    <s v="BV45834"/>
    <s v="Pedido 1813"/>
    <d v="2025-06-23T00:00:00"/>
    <x v="169"/>
    <s v="PedidoF1710"/>
    <s v="CódRastreio1708"/>
    <n v="1"/>
    <s v="CPF 1770"/>
    <s v="Nome 1770"/>
    <s v="Tel 1770"/>
    <s v="Cep 1770"/>
    <s v="Rua 1770"/>
    <s v="Comp 1770"/>
    <s v="Máquina de cortar cabelo dragão"/>
    <s v="HG-2FNR-01A9"/>
    <d v="2025-07-18T00:00:00"/>
    <n v="22.79"/>
    <n v="22.79"/>
    <n v="2.7347999999999999"/>
    <n v="20.059999999999999"/>
    <n v="10.18"/>
    <n v="0"/>
    <n v="0.39877104377104378"/>
    <n v="0"/>
    <n v="9.4812289562289553"/>
    <n v="4.7406144781144777"/>
    <x v="167"/>
    <x v="168"/>
    <x v="29"/>
    <d v="2025-08-04T00:00:00"/>
    <x v="8"/>
    <x v="0"/>
    <x v="9"/>
    <s v="ENTREGUE"/>
    <d v="2025-07-14T00:00:00"/>
    <x v="0"/>
    <m/>
    <n v="0"/>
    <n v="0"/>
    <n v="0"/>
    <n v="0"/>
    <n v="0"/>
  </r>
  <r>
    <x v="0"/>
    <s v="BV45834"/>
    <s v="Pedido 1814"/>
    <d v="2025-06-23T00:00:00"/>
    <x v="169"/>
    <s v="PedidoF1711"/>
    <s v="CódRastreio1709"/>
    <n v="1"/>
    <s v="CPF 1771"/>
    <s v="Nome 1771"/>
    <s v="Tel 1771"/>
    <s v="Cep 1771"/>
    <s v="Rua 1771"/>
    <s v="Comp 1771"/>
    <s v="Máquina de cortar cabelo dragão"/>
    <s v="HG-2FNR-01A9"/>
    <d v="2025-07-18T00:00:00"/>
    <n v="22.79"/>
    <n v="22.79"/>
    <n v="2.7347999999999999"/>
    <n v="20.059999999999999"/>
    <n v="10.18"/>
    <n v="0"/>
    <n v="0.39877104377104378"/>
    <n v="0"/>
    <n v="9.4812289562289553"/>
    <n v="4.7406144781144777"/>
    <x v="167"/>
    <x v="168"/>
    <x v="29"/>
    <d v="2025-08-04T00:00:00"/>
    <x v="8"/>
    <x v="0"/>
    <x v="9"/>
    <s v="ENTREGUE"/>
    <d v="2025-07-14T00:00:00"/>
    <x v="0"/>
    <m/>
    <n v="0"/>
    <n v="0"/>
    <n v="0"/>
    <n v="0"/>
    <n v="0"/>
  </r>
  <r>
    <x v="0"/>
    <s v="BV45834"/>
    <s v="Pedido 1815"/>
    <d v="2025-06-23T00:00:00"/>
    <x v="169"/>
    <s v="PedidoF1712"/>
    <s v="CódRastreio1710"/>
    <n v="1"/>
    <s v="CPF 1772"/>
    <s v="Nome 1772"/>
    <s v="Tel 1772"/>
    <s v="Cep 1772"/>
    <s v="Rua 1772"/>
    <s v="Comp 1772"/>
    <s v="Máquina de cortar cabelo dragão"/>
    <s v="HG-2FNR-01A9"/>
    <d v="2025-07-12T00:00:00"/>
    <n v="22.79"/>
    <n v="22.79"/>
    <n v="2.7347999999999999"/>
    <n v="20.059999999999999"/>
    <n v="0"/>
    <n v="0"/>
    <n v="0.39877104377104378"/>
    <n v="0"/>
    <n v="19.661228956228953"/>
    <n v="9.8306144781144766"/>
    <x v="160"/>
    <x v="163"/>
    <x v="29"/>
    <d v="2025-08-04T00:00:00"/>
    <x v="8"/>
    <x v="0"/>
    <x v="9"/>
    <s v="ENTREGUE"/>
    <d v="2025-08-18T00:00:00"/>
    <x v="0"/>
    <m/>
    <n v="0"/>
    <n v="0"/>
    <n v="0"/>
    <n v="0"/>
    <n v="0"/>
  </r>
  <r>
    <x v="0"/>
    <s v="BV45834"/>
    <s v="Pedido 1816"/>
    <d v="2025-06-23T00:00:00"/>
    <x v="169"/>
    <s v="PedidoF1713"/>
    <s v="CódRastreio1711"/>
    <n v="1"/>
    <s v="CPF 1773"/>
    <s v="Nome 1773"/>
    <s v="Tel 1773"/>
    <s v="Cep 1773"/>
    <s v="Rua 1773"/>
    <s v="Comp 1773"/>
    <s v="Máquina de cortar cabelo dragão"/>
    <s v="NQ-IMR8-W6Q4"/>
    <d v="2025-07-12T00:00:00"/>
    <n v="21.9"/>
    <n v="21.9"/>
    <n v="2.6279999999999997"/>
    <n v="19.27"/>
    <n v="16.16"/>
    <n v="0"/>
    <n v="0.39877104377104378"/>
    <n v="0"/>
    <n v="2.711228956228954"/>
    <n v="1.355614478114477"/>
    <x v="160"/>
    <x v="163"/>
    <x v="29"/>
    <d v="2025-08-04T00:00:00"/>
    <x v="8"/>
    <x v="0"/>
    <x v="9"/>
    <s v="ENTREGUE"/>
    <s v="-"/>
    <x v="0"/>
    <m/>
    <n v="0"/>
    <n v="0"/>
    <n v="0"/>
    <n v="0"/>
    <n v="0"/>
  </r>
  <r>
    <x v="0"/>
    <s v="BV45834"/>
    <s v="Pedido 1817"/>
    <d v="2025-06-23T00:00:00"/>
    <x v="169"/>
    <s v="PedidoF1714"/>
    <s v="CódRastreio1712"/>
    <n v="1"/>
    <s v="CPF 1774"/>
    <s v="Nome 1774"/>
    <s v="Tel 1774"/>
    <s v="Cep 1774"/>
    <s v="Rua 1774"/>
    <s v="Comp 1774"/>
    <s v="Máquina de cortar cabelo dragão"/>
    <s v="HG-2FNR-01A9"/>
    <d v="2025-07-18T00:00:00"/>
    <n v="22.79"/>
    <n v="22.79"/>
    <n v="2.7347999999999999"/>
    <n v="20.059999999999999"/>
    <n v="10.18"/>
    <n v="0"/>
    <n v="0.39877104377104378"/>
    <n v="0"/>
    <n v="9.4812289562289553"/>
    <n v="4.7406144781144777"/>
    <x v="167"/>
    <x v="168"/>
    <x v="29"/>
    <d v="2025-08-04T00:00:00"/>
    <x v="8"/>
    <x v="0"/>
    <x v="9"/>
    <s v="ENTREGUE"/>
    <d v="2025-07-15T00:00:00"/>
    <x v="0"/>
    <m/>
    <n v="0"/>
    <n v="0"/>
    <n v="0"/>
    <n v="0"/>
    <n v="0"/>
  </r>
  <r>
    <x v="0"/>
    <s v="BV45834"/>
    <s v="Pedido 1818"/>
    <d v="2025-06-23T00:00:00"/>
    <x v="169"/>
    <s v="PedidoF1715"/>
    <s v="CódRastreio1713"/>
    <n v="1"/>
    <s v="CPF 1775"/>
    <s v="Nome 1775"/>
    <s v="Tel 1775"/>
    <s v="Cep 1775"/>
    <s v="Rua 1775"/>
    <s v="Comp 1775"/>
    <s v="Máquina de cortar cabelo dragão"/>
    <s v="HG-2FNR-01A9"/>
    <d v="2025-07-12T00:00:00"/>
    <n v="22.79"/>
    <n v="22.79"/>
    <n v="2.7347999999999999"/>
    <n v="20.059999999999999"/>
    <n v="10.18"/>
    <n v="0"/>
    <n v="0.39877104377104378"/>
    <n v="0"/>
    <n v="9.4812289562289553"/>
    <n v="4.7406144781144777"/>
    <x v="160"/>
    <x v="163"/>
    <x v="29"/>
    <d v="2025-08-04T00:00:00"/>
    <x v="8"/>
    <x v="0"/>
    <x v="9"/>
    <s v="ENTREGUE"/>
    <d v="2025-08-12T00:00:00"/>
    <x v="0"/>
    <m/>
    <n v="0"/>
    <n v="0"/>
    <n v="0"/>
    <n v="0"/>
    <n v="0"/>
  </r>
  <r>
    <x v="0"/>
    <s v="BV45835"/>
    <s v="Pedido 1819"/>
    <d v="2025-06-23T00:00:00"/>
    <x v="170"/>
    <s v="PedidoF1716"/>
    <s v="CódRastreio1714"/>
    <n v="1"/>
    <s v="CPF 1776"/>
    <s v="Nome 1776"/>
    <s v="Tel 1776"/>
    <s v="Cep 1776"/>
    <s v="Rua 1776"/>
    <s v="Comp 1776"/>
    <s v="Máquina de cortar cabelo dragão"/>
    <s v="HG-2FNR-01A9"/>
    <d v="2025-07-18T00:00:00"/>
    <n v="22.79"/>
    <n v="22.79"/>
    <n v="2.7347999999999999"/>
    <n v="20.059999999999999"/>
    <n v="10.53"/>
    <n v="0"/>
    <n v="0.39877104377104378"/>
    <n v="0"/>
    <n v="9.1312289562289557"/>
    <n v="4.5656144781144778"/>
    <x v="167"/>
    <x v="168"/>
    <x v="29"/>
    <d v="2025-08-04T00:00:00"/>
    <x v="8"/>
    <x v="0"/>
    <x v="9"/>
    <s v="EM TRÂNSITO"/>
    <s v="-"/>
    <x v="0"/>
    <m/>
    <n v="0"/>
    <n v="0"/>
    <n v="0"/>
    <n v="0"/>
    <n v="0"/>
  </r>
  <r>
    <x v="0"/>
    <s v="BV-"/>
    <s v="Pedido 1820"/>
    <d v="2025-06-23T00:00:00"/>
    <x v="0"/>
    <s v="-"/>
    <s v="-"/>
    <n v="1"/>
    <s v="CPF 1777"/>
    <s v="Nome 1777"/>
    <s v="Tel 1777"/>
    <s v="Cep 1777"/>
    <s v="Rua 1777"/>
    <s v="Comp 1777"/>
    <s v="Máquina de cortar cabelo dragão"/>
    <s v="HG-2FNR-01A9"/>
    <d v="2025-07-18T00:00:00"/>
    <n v="22.79"/>
    <n v="22.79"/>
    <n v="2.7347999999999999"/>
    <n v="20.059999999999999"/>
    <n v="0"/>
    <n v="0"/>
    <n v="0"/>
    <n v="0"/>
    <n v="20.059999999999999"/>
    <n v="10.029999999999999"/>
    <x v="167"/>
    <x v="168"/>
    <x v="29"/>
    <d v="2025-08-04T00:00:00"/>
    <x v="8"/>
    <x v="0"/>
    <x v="0"/>
    <s v="-"/>
    <s v="-"/>
    <x v="0"/>
    <m/>
    <n v="0"/>
    <n v="0"/>
    <n v="0"/>
    <n v="0"/>
    <n v="0"/>
  </r>
  <r>
    <x v="0"/>
    <s v="BV-"/>
    <s v="Pedido 1821"/>
    <d v="2025-06-24T00:00:00"/>
    <x v="0"/>
    <s v="-"/>
    <s v="-"/>
    <n v="1"/>
    <s v="CPF 1778"/>
    <s v="Nome 1778"/>
    <s v="Tel 1778"/>
    <s v="Cep 1778"/>
    <s v="Rua 1778"/>
    <s v="Comp 1778"/>
    <s v="Máquina de cortar cabelo dragão"/>
    <s v="HG-2FNR-01A9"/>
    <d v="2025-07-18T00:00:00"/>
    <n v="22.79"/>
    <n v="22.79"/>
    <n v="2.7347999999999999"/>
    <n v="20.059999999999999"/>
    <n v="0"/>
    <n v="0"/>
    <n v="0"/>
    <n v="0"/>
    <n v="20.059999999999999"/>
    <n v="10.029999999999999"/>
    <x v="167"/>
    <x v="168"/>
    <x v="29"/>
    <d v="2025-08-04T00:00:00"/>
    <x v="8"/>
    <x v="0"/>
    <x v="0"/>
    <s v="-"/>
    <s v="-"/>
    <x v="0"/>
    <m/>
    <n v="0"/>
    <n v="0"/>
    <n v="0"/>
    <n v="0"/>
    <n v="0"/>
  </r>
  <r>
    <x v="0"/>
    <s v="BV45835"/>
    <s v="Pedido 1822"/>
    <d v="2025-06-24T00:00:00"/>
    <x v="170"/>
    <s v="PedidoF1717"/>
    <s v="CódRastreio1715"/>
    <n v="1"/>
    <s v="CPF 1779"/>
    <s v="Nome 1779"/>
    <s v="Tel 1779"/>
    <s v="Cep 1779"/>
    <s v="Rua 1779"/>
    <s v="Comp 1779"/>
    <s v="Máquina de cortar cabelo dragão"/>
    <s v="NQ-IMR8-W6Q4"/>
    <d v="2025-07-18T00:00:00"/>
    <n v="21.19"/>
    <n v="21.19"/>
    <n v="2.5428000000000002"/>
    <n v="18.649999999999999"/>
    <n v="10.17"/>
    <n v="0"/>
    <n v="0.39877104377104378"/>
    <n v="0"/>
    <n v="8.081228956228955"/>
    <n v="4.0406144781144775"/>
    <x v="167"/>
    <x v="168"/>
    <x v="29"/>
    <d v="2025-08-04T00:00:00"/>
    <x v="8"/>
    <x v="0"/>
    <x v="9"/>
    <s v="ENTREGUE"/>
    <d v="2025-07-17T00:00:00"/>
    <x v="0"/>
    <m/>
    <n v="0"/>
    <n v="0"/>
    <n v="0"/>
    <n v="0"/>
    <n v="0"/>
  </r>
  <r>
    <x v="0"/>
    <s v="BV45835"/>
    <s v="Pedido 1823"/>
    <d v="2025-06-24T00:00:00"/>
    <x v="170"/>
    <s v="PedidoF1718"/>
    <s v="CódRastreio1716"/>
    <n v="1"/>
    <s v="CPF 1780"/>
    <s v="Nome 1780"/>
    <s v="Tel 1780"/>
    <s v="Cep 1780"/>
    <s v="Rua 1780"/>
    <s v="Comp 1780"/>
    <s v="Máquina de cortar cabelo dragão"/>
    <s v="NQ-IMR8-W6Q4"/>
    <d v="2025-07-19T00:00:00"/>
    <n v="21.19"/>
    <n v="21.19"/>
    <n v="2.5428000000000002"/>
    <n v="18.649999999999999"/>
    <n v="10.53"/>
    <n v="0"/>
    <n v="0.39877104377104378"/>
    <n v="0"/>
    <n v="7.7212289562289556"/>
    <n v="3.8606144781144778"/>
    <x v="168"/>
    <x v="169"/>
    <x v="29"/>
    <d v="2025-08-04T00:00:00"/>
    <x v="8"/>
    <x v="0"/>
    <x v="9"/>
    <s v="ENTREGUE"/>
    <d v="2025-07-17T00:00:00"/>
    <x v="0"/>
    <m/>
    <n v="0"/>
    <n v="0"/>
    <n v="0"/>
    <n v="0"/>
    <n v="0"/>
  </r>
  <r>
    <x v="0"/>
    <s v="BV45835"/>
    <s v="Pedido 1824"/>
    <d v="2025-06-24T00:00:00"/>
    <x v="170"/>
    <s v="PedidoF1719"/>
    <s v="CódRastreio1717"/>
    <n v="1"/>
    <s v="CPF 1781"/>
    <s v="Nome 1781"/>
    <s v="Tel 1781"/>
    <s v="Cep 1781"/>
    <s v="Rua 1781"/>
    <s v="Comp 1781"/>
    <s v="Máquina de cortar cabelo dragão"/>
    <s v="HG-2FNR-01A9"/>
    <d v="2025-07-15T00:00:00"/>
    <n v="21.99"/>
    <n v="21.99"/>
    <n v="2.6387999999999998"/>
    <n v="19.350000000000001"/>
    <n v="10.17"/>
    <n v="0"/>
    <n v="0.39877104377104378"/>
    <n v="0"/>
    <n v="8.7812289562289578"/>
    <n v="4.3906144781144789"/>
    <x v="161"/>
    <x v="164"/>
    <x v="29"/>
    <d v="2025-08-04T00:00:00"/>
    <x v="8"/>
    <x v="0"/>
    <x v="9"/>
    <s v="ENTREGUE"/>
    <d v="2025-07-14T00:00:00"/>
    <x v="0"/>
    <m/>
    <n v="0"/>
    <n v="0"/>
    <n v="0"/>
    <n v="0"/>
    <n v="0"/>
  </r>
  <r>
    <x v="0"/>
    <s v="BV45835"/>
    <s v="Pedido 1825"/>
    <d v="2025-06-24T00:00:00"/>
    <x v="170"/>
    <s v="PedidoF1720"/>
    <s v="CódRastreio1718"/>
    <n v="1"/>
    <s v="CPF 1782"/>
    <s v="Nome 1782"/>
    <s v="Tel 1782"/>
    <s v="Cep 1782"/>
    <s v="Rua 1782"/>
    <s v="Comp 1782"/>
    <s v="Máquina de cortar cabelo dragão"/>
    <s v="NQ-IMR8-W6Q4"/>
    <d v="2025-07-26T00:00:00"/>
    <n v="21.19"/>
    <n v="21.19"/>
    <n v="2.5428000000000002"/>
    <n v="18.649999999999999"/>
    <n v="10.17"/>
    <n v="0"/>
    <n v="0.39877104377104378"/>
    <n v="0"/>
    <n v="8.081228956228955"/>
    <n v="4.0406144781144775"/>
    <x v="174"/>
    <x v="175"/>
    <x v="30"/>
    <d v="2025-08-19T00:00:00"/>
    <x v="9"/>
    <x v="0"/>
    <x v="9"/>
    <s v="ENTREGUE"/>
    <d v="2025-07-18T00:00:00"/>
    <x v="0"/>
    <m/>
    <n v="0"/>
    <n v="0"/>
    <n v="0"/>
    <n v="0"/>
    <n v="0"/>
  </r>
  <r>
    <x v="0"/>
    <s v="BV45835"/>
    <s v="Pedido 1826"/>
    <d v="2025-06-24T00:00:00"/>
    <x v="170"/>
    <s v="PedidoF1721"/>
    <s v="CódRastreio1719"/>
    <n v="1"/>
    <s v="CPF 1783"/>
    <s v="Nome 1783"/>
    <s v="Tel 1783"/>
    <s v="Cep 1783"/>
    <s v="Rua 1783"/>
    <s v="Comp 1783"/>
    <s v="Máquina de cortar cabelo dragão"/>
    <s v="NQ-IMR8-W6Q4"/>
    <d v="2025-07-19T00:00:00"/>
    <n v="21.19"/>
    <n v="21.19"/>
    <n v="2.5428000000000002"/>
    <n v="18.649999999999999"/>
    <n v="10.53"/>
    <n v="0"/>
    <n v="0.39877104377104378"/>
    <n v="0"/>
    <n v="7.7212289562289556"/>
    <n v="3.8606144781144778"/>
    <x v="168"/>
    <x v="169"/>
    <x v="29"/>
    <d v="2025-08-04T00:00:00"/>
    <x v="8"/>
    <x v="0"/>
    <x v="9"/>
    <s v="ENTREGUE"/>
    <d v="2025-07-12T00:00:00"/>
    <x v="0"/>
    <m/>
    <n v="0"/>
    <n v="0"/>
    <n v="0"/>
    <n v="0"/>
    <n v="0"/>
  </r>
  <r>
    <x v="0"/>
    <s v="BV-"/>
    <s v="Pedido 1827"/>
    <d v="2025-06-24T00:00:00"/>
    <x v="0"/>
    <s v="-"/>
    <s v="-"/>
    <n v="1"/>
    <s v="CPF 1784"/>
    <s v="Nome 1784"/>
    <s v="Tel 1784"/>
    <s v="Cep 1784"/>
    <s v="Rua 1784"/>
    <s v="Comp 1784"/>
    <s v="Máquina de cortar cabelo dragão"/>
    <s v="HG-2FNR-01A9"/>
    <d v="2025-07-15T00:00:00"/>
    <n v="21.99"/>
    <n v="21.99"/>
    <n v="2.6387999999999998"/>
    <n v="19.350000000000001"/>
    <n v="0"/>
    <n v="0"/>
    <n v="0"/>
    <n v="0"/>
    <n v="19.350000000000001"/>
    <n v="9.6750000000000007"/>
    <x v="161"/>
    <x v="164"/>
    <x v="29"/>
    <d v="2025-08-04T00:00:00"/>
    <x v="8"/>
    <x v="0"/>
    <x v="0"/>
    <s v="-"/>
    <s v="-"/>
    <x v="0"/>
    <m/>
    <n v="0"/>
    <n v="0"/>
    <n v="0"/>
    <n v="0"/>
    <n v="0"/>
  </r>
  <r>
    <x v="0"/>
    <s v="BV45835"/>
    <s v="Pedido 1828"/>
    <d v="2025-06-24T00:00:00"/>
    <x v="170"/>
    <s v="PedidoF1722"/>
    <s v="CódRastreio1720"/>
    <n v="1"/>
    <s v="CPF 1785"/>
    <s v="Nome 1785"/>
    <s v="Tel 1785"/>
    <s v="Cep 1785"/>
    <s v="Rua 1785"/>
    <s v="Comp 1785"/>
    <s v="Máquina de cortar cabelo dragão"/>
    <s v="HG-2FNR-01A9"/>
    <d v="2025-07-19T00:00:00"/>
    <n v="21.99"/>
    <n v="21.99"/>
    <n v="2.6387999999999998"/>
    <n v="19.350000000000001"/>
    <n v="10.17"/>
    <n v="0"/>
    <n v="0.39877104377104378"/>
    <n v="0"/>
    <n v="8.7812289562289578"/>
    <n v="4.3906144781144789"/>
    <x v="168"/>
    <x v="169"/>
    <x v="29"/>
    <d v="2025-08-04T00:00:00"/>
    <x v="8"/>
    <x v="0"/>
    <x v="9"/>
    <s v="ENTREGUE"/>
    <d v="2025-07-15T00:00:00"/>
    <x v="0"/>
    <m/>
    <n v="0"/>
    <n v="0"/>
    <n v="0"/>
    <n v="0"/>
    <n v="0"/>
  </r>
  <r>
    <x v="0"/>
    <s v="BV-"/>
    <s v="Pedido 1829"/>
    <d v="2025-06-24T00:00:00"/>
    <x v="0"/>
    <s v="-"/>
    <s v="-"/>
    <n v="1"/>
    <s v="CPF 1786"/>
    <s v="Nome 1786"/>
    <s v="Tel 1786"/>
    <s v="Cep 1786"/>
    <s v="Rua 1786"/>
    <s v="Comp 1786"/>
    <s v="Máquina de cortar cabelo dragão"/>
    <s v="HG-2FNR-01A9"/>
    <d v="2025-07-15T00:00:00"/>
    <n v="21.99"/>
    <n v="21.99"/>
    <n v="2.6387999999999998"/>
    <n v="19.350000000000001"/>
    <n v="0"/>
    <n v="0"/>
    <n v="0"/>
    <n v="0"/>
    <n v="19.350000000000001"/>
    <n v="9.6750000000000007"/>
    <x v="161"/>
    <x v="164"/>
    <x v="29"/>
    <d v="2025-08-04T00:00:00"/>
    <x v="8"/>
    <x v="0"/>
    <x v="0"/>
    <s v="-"/>
    <s v="-"/>
    <x v="0"/>
    <m/>
    <n v="0"/>
    <n v="0"/>
    <n v="0"/>
    <n v="0"/>
    <n v="0"/>
  </r>
  <r>
    <x v="0"/>
    <s v="BV45835"/>
    <s v="Pedido 1830"/>
    <d v="2025-06-24T00:00:00"/>
    <x v="170"/>
    <s v="PedidoF1723"/>
    <s v="CódRastreio1721"/>
    <n v="1"/>
    <s v="CPF 1787"/>
    <s v="Nome 1787"/>
    <s v="Tel 1787"/>
    <s v="Cep 1787"/>
    <s v="Rua 1787"/>
    <s v="Comp 1787"/>
    <s v="Máquina de cortar cabelo dragão"/>
    <s v="NQ-IMR8-W6Q4"/>
    <d v="2025-07-26T00:00:00"/>
    <n v="21.19"/>
    <n v="21.19"/>
    <n v="2.5428000000000002"/>
    <n v="18.649999999999999"/>
    <n v="16.16"/>
    <n v="0"/>
    <n v="0.39877104377104378"/>
    <n v="0"/>
    <n v="2.091228956228953"/>
    <n v="1.0456144781144765"/>
    <x v="174"/>
    <x v="175"/>
    <x v="30"/>
    <d v="2025-08-19T00:00:00"/>
    <x v="9"/>
    <x v="0"/>
    <x v="9"/>
    <s v="ENTREGUE"/>
    <d v="2025-07-03T00:00:00"/>
    <x v="0"/>
    <m/>
    <n v="0"/>
    <n v="0"/>
    <n v="0"/>
    <n v="0"/>
    <n v="0"/>
  </r>
  <r>
    <x v="0"/>
    <s v="BV45835"/>
    <s v="Pedido 1831"/>
    <d v="2025-06-24T00:00:00"/>
    <x v="170"/>
    <s v="PedidoF1723"/>
    <s v="CódRastreio1721"/>
    <n v="1"/>
    <s v="CPF 1787"/>
    <s v="Nome 1787"/>
    <s v="Tel 1787"/>
    <s v="Cep 1787"/>
    <s v="Rua 1787"/>
    <s v="Comp 1787"/>
    <s v="Máquina de cortar cabelo dragão"/>
    <s v="NQ-IMR8-W6Q4"/>
    <d v="2025-07-26T00:00:00"/>
    <n v="21.19"/>
    <n v="21.19"/>
    <n v="2.5428000000000002"/>
    <n v="18.649999999999999"/>
    <n v="16.16"/>
    <n v="0"/>
    <n v="0.39877104377104378"/>
    <n v="0"/>
    <n v="2.091228956228953"/>
    <n v="1.0456144781144765"/>
    <x v="174"/>
    <x v="175"/>
    <x v="30"/>
    <d v="2025-08-19T00:00:00"/>
    <x v="9"/>
    <x v="0"/>
    <x v="9"/>
    <s v="ENTREGUE"/>
    <d v="2025-07-03T00:00:00"/>
    <x v="0"/>
    <m/>
    <n v="0"/>
    <n v="0"/>
    <n v="0"/>
    <n v="0"/>
    <n v="0"/>
  </r>
  <r>
    <x v="0"/>
    <s v="BV45835"/>
    <s v="Pedido 1832"/>
    <d v="2025-06-24T00:00:00"/>
    <x v="170"/>
    <s v="PedidoF1724"/>
    <s v="CódRastreio1722"/>
    <n v="1"/>
    <s v="CPF 1788"/>
    <s v="Nome 1788"/>
    <s v="Tel 1788"/>
    <s v="Cep 1788"/>
    <s v="Rua 1788"/>
    <s v="Comp 1788"/>
    <s v="Máquina de cortar cabelo dragão"/>
    <s v="NQ-IMR8-W6Q4"/>
    <d v="2025-07-19T00:00:00"/>
    <n v="21.19"/>
    <n v="21.19"/>
    <n v="2.5428000000000002"/>
    <n v="18.649999999999999"/>
    <n v="10.17"/>
    <n v="0"/>
    <n v="0.39877104377104378"/>
    <n v="0"/>
    <n v="8.081228956228955"/>
    <n v="4.0406144781144775"/>
    <x v="168"/>
    <x v="169"/>
    <x v="29"/>
    <d v="2025-08-04T00:00:00"/>
    <x v="8"/>
    <x v="0"/>
    <x v="9"/>
    <s v="ENTREGUE"/>
    <d v="2025-07-17T00:00:00"/>
    <x v="0"/>
    <m/>
    <n v="0"/>
    <n v="0"/>
    <n v="0"/>
    <n v="0"/>
    <n v="0"/>
  </r>
  <r>
    <x v="0"/>
    <s v="BV-"/>
    <s v="Pedido 1833"/>
    <d v="2025-06-24T00:00:00"/>
    <x v="0"/>
    <s v="-"/>
    <s v="-"/>
    <n v="1"/>
    <s v="CPF 1789"/>
    <s v="Nome 1789"/>
    <s v="Tel 1789"/>
    <s v="Cep 1789"/>
    <s v="Rua 1789"/>
    <s v="Comp 1789"/>
    <s v="Máquina de cortar cabelo dragão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45835"/>
    <s v="Pedido 1834"/>
    <d v="2025-06-24T00:00:00"/>
    <x v="170"/>
    <s v="PedidoF1725"/>
    <s v="CódRastreio1723"/>
    <n v="1"/>
    <s v="CPF 1790"/>
    <s v="Nome 1790"/>
    <s v="Tel 1790"/>
    <s v="Cep 1790"/>
    <s v="Rua 1790"/>
    <s v="Comp 1790"/>
    <s v="Máquina de cortar cabelo dragão"/>
    <s v="NQ-IMR8-W6Q4"/>
    <d v="2025-07-26T00:00:00"/>
    <n v="21.19"/>
    <n v="21.19"/>
    <n v="2.5428000000000002"/>
    <n v="18.649999999999999"/>
    <n v="10.17"/>
    <n v="0"/>
    <n v="0.39877104377104378"/>
    <n v="0"/>
    <n v="8.081228956228955"/>
    <n v="4.0406144781144775"/>
    <x v="174"/>
    <x v="175"/>
    <x v="30"/>
    <d v="2025-08-19T00:00:00"/>
    <x v="9"/>
    <x v="0"/>
    <x v="9"/>
    <s v="ENTREGUE"/>
    <d v="2025-08-04T00:00:00"/>
    <x v="0"/>
    <m/>
    <n v="0"/>
    <n v="0"/>
    <n v="0"/>
    <n v="0"/>
    <n v="0"/>
  </r>
  <r>
    <x v="0"/>
    <s v="BV-"/>
    <s v="Pedido 1835"/>
    <d v="2025-06-24T00:00:00"/>
    <x v="0"/>
    <s v="-"/>
    <s v="-"/>
    <n v="1"/>
    <s v="CPF 1791"/>
    <s v="Nome 1791"/>
    <s v="Tel 1791"/>
    <s v="Cep 1791"/>
    <s v="Rua 1791"/>
    <s v="Comp 1791"/>
    <s v="Máquina de cortar cabelo dragão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-"/>
    <s v="Pedido 1836"/>
    <d v="2025-06-24T00:00:00"/>
    <x v="0"/>
    <s v="-"/>
    <s v="-"/>
    <n v="1"/>
    <s v="CPF 1792"/>
    <s v="Nome 1792"/>
    <s v="Tel 1792"/>
    <s v="Cep 1792"/>
    <s v="Rua 1792"/>
    <s v="Comp 1792"/>
    <s v="Máquina de cortar cabelo dragão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-"/>
    <s v="Pedido 1837"/>
    <d v="2025-06-24T00:00:00"/>
    <x v="0"/>
    <s v="-"/>
    <s v="-"/>
    <n v="1"/>
    <s v="CPF 1793"/>
    <s v="Nome 1793"/>
    <s v="Tel 1793"/>
    <s v="Cep 1793"/>
    <s v="Rua 1793"/>
    <s v="Comp 1793"/>
    <s v="Máquina de cortar cabelo dragão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-"/>
    <s v="Pedido 1838"/>
    <d v="2025-06-24T00:00:00"/>
    <x v="0"/>
    <s v="-"/>
    <s v="-"/>
    <n v="1"/>
    <s v="CPF 1794"/>
    <s v="Nome 1794"/>
    <s v="Tel 1794"/>
    <s v="Cep 1794"/>
    <s v="Rua 1794"/>
    <s v="Comp 1794"/>
    <s v="Máquina de cortar cabelo dragão"/>
    <s v="HG-2FNR-01A9"/>
    <d v="2025-07-19T00:00:00"/>
    <n v="21.99"/>
    <n v="21.99"/>
    <n v="2.6387999999999998"/>
    <n v="19.350000000000001"/>
    <n v="0"/>
    <n v="0"/>
    <n v="0"/>
    <n v="0"/>
    <n v="19.350000000000001"/>
    <n v="9.6750000000000007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-"/>
    <s v="Pedido 1839"/>
    <d v="2025-06-25T00:00:00"/>
    <x v="0"/>
    <s v="-"/>
    <s v="-"/>
    <n v="1"/>
    <s v="CPF 1795"/>
    <s v="Nome 1795"/>
    <s v="Tel 1795"/>
    <s v="Cep 1795"/>
    <s v="Rua 1795"/>
    <s v="Comp 1795"/>
    <s v="Máquina de cortar cabelo dragão"/>
    <s v="NQ-IMR8-W6Q4"/>
    <d v="2025-07-19T00:00:00"/>
    <n v="21.19"/>
    <n v="21.19"/>
    <n v="2.5428000000000002"/>
    <n v="18.649999999999999"/>
    <n v="0"/>
    <n v="0"/>
    <n v="0"/>
    <n v="0"/>
    <n v="18.649999999999999"/>
    <n v="9.3249999999999993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-"/>
    <s v="Pedido 1840"/>
    <d v="2025-06-25T00:00:00"/>
    <x v="0"/>
    <s v="-"/>
    <s v="-"/>
    <n v="1"/>
    <s v="CPF 1796"/>
    <s v="Nome 1796"/>
    <s v="Tel 1796"/>
    <s v="Cep 1796"/>
    <s v="Rua 1796"/>
    <s v="Comp 1796"/>
    <s v="Máquina de cortar cabelo dragão"/>
    <s v="NQ-IMR8-W6Q4"/>
    <d v="2025-07-19T00:00:00"/>
    <n v="23.9"/>
    <n v="23.9"/>
    <n v="2.8679999999999999"/>
    <n v="21.03"/>
    <n v="0"/>
    <n v="0"/>
    <n v="0"/>
    <n v="0"/>
    <n v="21.03"/>
    <n v="10.515000000000001"/>
    <x v="168"/>
    <x v="169"/>
    <x v="29"/>
    <d v="2025-08-04T00:00:00"/>
    <x v="8"/>
    <x v="0"/>
    <x v="0"/>
    <s v="-"/>
    <s v="-"/>
    <x v="0"/>
    <m/>
    <n v="0"/>
    <n v="0"/>
    <n v="0"/>
    <n v="0"/>
    <n v="0"/>
  </r>
  <r>
    <x v="0"/>
    <s v="BV45839"/>
    <s v="Pedido 1841"/>
    <d v="2025-06-25T00:00:00"/>
    <x v="171"/>
    <s v="PedidoF1726"/>
    <s v="CódRastreio1724"/>
    <n v="1"/>
    <s v="CPF 1797"/>
    <s v="Nome 1797"/>
    <s v="Tel 1797"/>
    <s v="Cep 1797"/>
    <s v="Rua 1797"/>
    <s v="Comp 1797"/>
    <s v="Máquina de cortar cabelo dragão"/>
    <s v="HG-2FNR-01A9"/>
    <d v="2025-07-22T00:00:00"/>
    <n v="23.9"/>
    <n v="23.9"/>
    <n v="2.8679999999999999"/>
    <n v="21.03"/>
    <n v="0"/>
    <n v="0"/>
    <n v="0.39877104377104378"/>
    <n v="0"/>
    <n v="20.631228956228956"/>
    <n v="10.315614478114478"/>
    <x v="170"/>
    <x v="171"/>
    <x v="29"/>
    <d v="2025-08-04T00:00:00"/>
    <x v="8"/>
    <x v="0"/>
    <x v="10"/>
    <s v="ENTREGUE"/>
    <d v="2025-07-29T00:00:00"/>
    <x v="0"/>
    <m/>
    <n v="0"/>
    <n v="0"/>
    <n v="0"/>
    <n v="0"/>
    <n v="0"/>
  </r>
  <r>
    <x v="0"/>
    <s v="BV45839"/>
    <s v="Pedido 1842"/>
    <d v="2025-06-25T00:00:00"/>
    <x v="171"/>
    <s v="PedidoF1727"/>
    <s v="CódRastreio1725"/>
    <n v="1"/>
    <s v="CPF 1798"/>
    <s v="Nome 1798"/>
    <s v="Tel 1798"/>
    <s v="Cep 1798"/>
    <s v="Rua 1798"/>
    <s v="Comp 1798"/>
    <s v="Máquina de cortar cabelo dragão"/>
    <s v="HG-2FNR-01A9"/>
    <d v="2025-07-16T00:00:00"/>
    <n v="21.99"/>
    <n v="21.99"/>
    <n v="2.6387999999999998"/>
    <n v="19.350000000000001"/>
    <n v="10.15"/>
    <n v="0"/>
    <n v="0.39877104377104378"/>
    <n v="0"/>
    <n v="8.8012289562289574"/>
    <n v="4.4006144781144787"/>
    <x v="163"/>
    <x v="166"/>
    <x v="29"/>
    <d v="2025-08-04T00:00:00"/>
    <x v="8"/>
    <x v="0"/>
    <x v="10"/>
    <s v="ENTREGUE"/>
    <d v="2025-08-01T00:00:00"/>
    <x v="0"/>
    <m/>
    <n v="0"/>
    <n v="0"/>
    <n v="0"/>
    <n v="0"/>
    <n v="0"/>
  </r>
  <r>
    <x v="0"/>
    <s v="BV45839"/>
    <s v="Pedido 1843"/>
    <d v="2025-06-25T00:00:00"/>
    <x v="171"/>
    <s v="PedidoF1728"/>
    <s v="CódRastreio1726"/>
    <n v="1"/>
    <s v="CPF 1799"/>
    <s v="Nome 1799"/>
    <s v="Tel 1799"/>
    <s v="Cep 1799"/>
    <s v="Rua 1799"/>
    <s v="Comp 1799"/>
    <s v="Máquina de cortar cabelo dragão"/>
    <s v="NQ-IMR8-W6Q4"/>
    <d v="2025-07-22T00:00:00"/>
    <n v="23.9"/>
    <n v="23.9"/>
    <n v="2.8679999999999999"/>
    <n v="21.03"/>
    <n v="0"/>
    <n v="0"/>
    <n v="0.39877104377104378"/>
    <n v="0"/>
    <n v="20.631228956228956"/>
    <n v="10.315614478114478"/>
    <x v="170"/>
    <x v="171"/>
    <x v="29"/>
    <d v="2025-08-04T00:00:00"/>
    <x v="8"/>
    <x v="0"/>
    <x v="10"/>
    <s v="ENTREGUE"/>
    <d v="2025-07-15T00:00:00"/>
    <x v="0"/>
    <m/>
    <n v="0"/>
    <n v="0"/>
    <n v="0"/>
    <n v="0"/>
    <n v="0"/>
  </r>
  <r>
    <x v="0"/>
    <s v="BV45841"/>
    <s v="Pedido 1844"/>
    <d v="2025-06-26T00:00:00"/>
    <x v="172"/>
    <s v="PedidoF1729"/>
    <s v="CódRastreio1727"/>
    <n v="1"/>
    <s v="CPF 1800"/>
    <s v="Nome 1800"/>
    <s v="Tel 1800"/>
    <s v="Cep 1800"/>
    <s v="Rua 1800"/>
    <s v="Comp 1800"/>
    <s v="Máquina de cortar cabelo dragão"/>
    <s v="HG-2FNR-01A9"/>
    <d v="2025-07-23T00:00:00"/>
    <n v="23.9"/>
    <n v="23.9"/>
    <n v="2.8679999999999999"/>
    <n v="21.03"/>
    <n v="17.14"/>
    <n v="0"/>
    <n v="0.39877104377104378"/>
    <n v="0"/>
    <n v="3.4912289562289551"/>
    <n v="1.7456144781144776"/>
    <x v="171"/>
    <x v="172"/>
    <x v="29"/>
    <d v="2025-08-04T00:00:00"/>
    <x v="8"/>
    <x v="0"/>
    <x v="10"/>
    <s v="ENTREGUE"/>
    <d v="2025-08-01T00:00:00"/>
    <x v="0"/>
    <m/>
    <n v="0"/>
    <n v="0"/>
    <n v="0"/>
    <n v="0"/>
    <n v="0"/>
  </r>
  <r>
    <x v="0"/>
    <s v="BV45839"/>
    <s v="Pedido 1845"/>
    <d v="2025-06-26T00:00:00"/>
    <x v="171"/>
    <s v="PedidoF1730"/>
    <s v="CódRastreio1728"/>
    <n v="1"/>
    <s v="CPF 1801"/>
    <s v="Nome 1801"/>
    <s v="Tel 1801"/>
    <s v="Cep 1801"/>
    <s v="Rua 1801"/>
    <s v="Comp 1801"/>
    <s v="Máquina de cortar cabelo dragão"/>
    <s v="HG-2FNR-01A9"/>
    <d v="2025-07-30T00:00:00"/>
    <n v="23.9"/>
    <n v="23.9"/>
    <n v="2.8679999999999999"/>
    <n v="21.03"/>
    <n v="10.15"/>
    <n v="0"/>
    <n v="0.39877104377104378"/>
    <n v="0"/>
    <n v="10.481228956228957"/>
    <n v="5.2406144781144786"/>
    <x v="175"/>
    <x v="176"/>
    <x v="30"/>
    <d v="2025-08-19T00:00:00"/>
    <x v="9"/>
    <x v="0"/>
    <x v="10"/>
    <s v="ENTREGUE"/>
    <d v="2025-07-18T00:00:00"/>
    <x v="0"/>
    <m/>
    <n v="0"/>
    <n v="0"/>
    <n v="0"/>
    <n v="0"/>
    <n v="0"/>
  </r>
  <r>
    <x v="0"/>
    <s v="BV45841"/>
    <s v="Pedido 1846"/>
    <d v="2025-06-28T00:00:00"/>
    <x v="172"/>
    <s v="PedidoF1731"/>
    <s v="CódRastreio1729"/>
    <n v="1"/>
    <s v="CPF 1802"/>
    <s v="Nome 1802"/>
    <s v="Tel 1802"/>
    <s v="Cep 1802"/>
    <s v="Rua 1802"/>
    <s v="Comp 1802"/>
    <s v="Máquina de cortar cabelo dragão"/>
    <s v="NQ-IMR8-W6Q4"/>
    <d v="2025-07-24T00:00:00"/>
    <n v="23.9"/>
    <n v="23.9"/>
    <n v="2.8679999999999999"/>
    <n v="21.03"/>
    <n v="17.8"/>
    <n v="0"/>
    <n v="0.39877104377104378"/>
    <n v="0"/>
    <n v="2.831228956228955"/>
    <n v="1.4156144781144775"/>
    <x v="172"/>
    <x v="173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1"/>
    <s v="Pedido 1847"/>
    <d v="2025-06-29T00:00:00"/>
    <x v="172"/>
    <s v="PedidoF1732"/>
    <s v="CódRastreio1730"/>
    <n v="1"/>
    <s v="CPF 1803"/>
    <s v="Nome 1803"/>
    <s v="Tel 1803"/>
    <s v="Cep 1803"/>
    <s v="Rua 1803"/>
    <s v="Comp 1803"/>
    <s v="Máquina de cortar cabelo dragão"/>
    <s v="HG-2FNR-01A9"/>
    <d v="2025-07-25T00:00:00"/>
    <n v="23"/>
    <n v="23"/>
    <n v="2.76"/>
    <n v="20.239999999999998"/>
    <n v="16.78"/>
    <n v="0"/>
    <n v="0.39877104377104378"/>
    <n v="0"/>
    <n v="3.0612289562289519"/>
    <n v="1.5306144781144759"/>
    <x v="176"/>
    <x v="177"/>
    <x v="29"/>
    <d v="2025-08-04T00:00:00"/>
    <x v="9"/>
    <x v="0"/>
    <x v="10"/>
    <s v="ENTREGUE"/>
    <d v="2025-07-10T00:00:00"/>
    <x v="0"/>
    <m/>
    <n v="0"/>
    <n v="0"/>
    <n v="0"/>
    <n v="0"/>
    <n v="0"/>
  </r>
  <r>
    <x v="0"/>
    <s v="BV45839"/>
    <s v="Pedido 1848"/>
    <d v="2025-07-01T00:00:00"/>
    <x v="171"/>
    <s v="PedidoF1733"/>
    <s v="CódRastreio1731"/>
    <n v="1"/>
    <s v="CPF 1804"/>
    <s v="Nome 1804"/>
    <s v="Tel 1804"/>
    <s v="Cep 1804"/>
    <s v="Rua 1804"/>
    <s v="Comp 1804"/>
    <s v="Máquina de cortar cabelo dragão"/>
    <s v="HG-2FNR-01A9"/>
    <d v="2025-07-25T00:00:00"/>
    <n v="23"/>
    <n v="23"/>
    <n v="2.76"/>
    <n v="20.239999999999998"/>
    <n v="10.51"/>
    <n v="0"/>
    <n v="0.39877104377104378"/>
    <n v="0"/>
    <n v="9.331228956228955"/>
    <n v="4.6656144781144775"/>
    <x v="176"/>
    <x v="177"/>
    <x v="29"/>
    <d v="2025-08-04T00:00:00"/>
    <x v="9"/>
    <x v="0"/>
    <x v="10"/>
    <s v="ENTREGUE"/>
    <d v="2025-07-15T00:00:00"/>
    <x v="0"/>
    <m/>
    <n v="0"/>
    <n v="0"/>
    <n v="0"/>
    <n v="0"/>
    <n v="0"/>
  </r>
  <r>
    <x v="0"/>
    <s v="BV45841"/>
    <s v="Pedido 1849"/>
    <d v="2025-07-01T00:00:00"/>
    <x v="172"/>
    <s v="PedidoF1734"/>
    <s v="CódRastreio1732"/>
    <n v="1"/>
    <s v="CPF 1805"/>
    <s v="Nome 1805"/>
    <s v="Tel 1805"/>
    <s v="Cep 1805"/>
    <s v="Rua 1805"/>
    <s v="Comp 1805"/>
    <s v="Máquina de cortar cabelo dragão"/>
    <s v="HG-2FNR-01A9"/>
    <d v="2025-07-25T00:00:00"/>
    <n v="23"/>
    <n v="23"/>
    <n v="2.76"/>
    <n v="20.239999999999998"/>
    <n v="17.89"/>
    <n v="0"/>
    <n v="0.39877104377104378"/>
    <n v="0"/>
    <n v="1.9512289562289524"/>
    <n v="0.97561447811447621"/>
    <x v="176"/>
    <x v="177"/>
    <x v="29"/>
    <d v="2025-08-04T00:00:00"/>
    <x v="9"/>
    <x v="0"/>
    <x v="10"/>
    <s v="ENTREGUE"/>
    <d v="2025-07-09T00:00:00"/>
    <x v="0"/>
    <m/>
    <n v="0"/>
    <n v="0"/>
    <n v="0"/>
    <n v="0"/>
    <n v="0"/>
  </r>
  <r>
    <x v="0"/>
    <s v="BV45839"/>
    <s v="Pedido 1850"/>
    <d v="2025-07-01T00:00:00"/>
    <x v="171"/>
    <s v="PedidoF1735"/>
    <s v="CódRastreio1733"/>
    <n v="1"/>
    <s v="CPF 1806"/>
    <s v="Nome 1806"/>
    <s v="Tel 1806"/>
    <s v="Cep 1806"/>
    <s v="Rua 1806"/>
    <s v="Comp 1806"/>
    <s v="Máquina de cortar cabelo dragão"/>
    <s v="HG-2FNR-01A9"/>
    <d v="2025-07-19T00:00:00"/>
    <n v="23"/>
    <n v="23"/>
    <n v="2.76"/>
    <n v="20.239999999999998"/>
    <n v="10.15"/>
    <n v="0"/>
    <n v="0.39877104377104378"/>
    <n v="0"/>
    <n v="9.6912289562289544"/>
    <n v="4.8456144781144772"/>
    <x v="168"/>
    <x v="169"/>
    <x v="29"/>
    <d v="2025-08-04T00:00:00"/>
    <x v="8"/>
    <x v="0"/>
    <x v="10"/>
    <s v="ENTREGUE"/>
    <d v="2025-07-14T00:00:00"/>
    <x v="0"/>
    <m/>
    <n v="0"/>
    <n v="0"/>
    <n v="0"/>
    <n v="0"/>
    <n v="0"/>
  </r>
  <r>
    <x v="0"/>
    <s v="BV45841"/>
    <s v="Pedido 1851"/>
    <d v="2025-07-01T00:00:00"/>
    <x v="172"/>
    <s v="PedidoF1736"/>
    <s v="CódRastreio1734"/>
    <n v="1"/>
    <s v="CPF 1807"/>
    <s v="Nome 1807"/>
    <s v="Tel 1807"/>
    <s v="Cep 1807"/>
    <s v="Rua 1807"/>
    <s v="Comp 1807"/>
    <s v="Máquina de cortar cabelo dragão"/>
    <s v="HG-2FNR-01A9"/>
    <d v="2025-07-25T00:00:00"/>
    <n v="23"/>
    <n v="23"/>
    <n v="2.76"/>
    <n v="20.239999999999998"/>
    <n v="20.49"/>
    <n v="0"/>
    <n v="0.39877104377104378"/>
    <n v="0"/>
    <n v="-0.64877104377104544"/>
    <n v="-0.32438552188552272"/>
    <x v="176"/>
    <x v="177"/>
    <x v="29"/>
    <d v="2025-08-04T00:00:00"/>
    <x v="9"/>
    <x v="0"/>
    <x v="10"/>
    <s v="ENTREGUE"/>
    <d v="2025-07-11T00:00:00"/>
    <x v="0"/>
    <m/>
    <n v="0"/>
    <n v="0"/>
    <n v="0"/>
    <n v="0"/>
    <n v="0"/>
  </r>
  <r>
    <x v="0"/>
    <s v="BV45841"/>
    <s v="Pedido 1852"/>
    <d v="2025-07-01T00:00:00"/>
    <x v="172"/>
    <s v="PedidoF1737"/>
    <s v="CódRastreio1735"/>
    <n v="1"/>
    <s v="CPF 1808"/>
    <s v="Nome 1808"/>
    <s v="Tel 1808"/>
    <s v="Cep 1808"/>
    <s v="Rua 1808"/>
    <s v="Comp 1808"/>
    <s v="Máquina de cortar cabelo dragão"/>
    <s v="HG-2FNR-01A9"/>
    <d v="2025-07-26T00:00:00"/>
    <n v="23"/>
    <n v="23"/>
    <n v="2.76"/>
    <n v="20.239999999999998"/>
    <n v="14.9"/>
    <n v="0"/>
    <n v="0.39877104377104378"/>
    <n v="0"/>
    <n v="4.9412289562289544"/>
    <n v="2.4706144781144772"/>
    <x v="174"/>
    <x v="175"/>
    <x v="30"/>
    <d v="2025-08-19T00:00:00"/>
    <x v="9"/>
    <x v="0"/>
    <x v="10"/>
    <s v="ENTREGUE"/>
    <d v="2025-07-10T00:00:00"/>
    <x v="0"/>
    <m/>
    <n v="0"/>
    <n v="0"/>
    <n v="0"/>
    <n v="0"/>
    <n v="0"/>
  </r>
  <r>
    <x v="0"/>
    <s v="BV45841"/>
    <s v="Pedido 1853"/>
    <d v="2025-07-01T00:00:00"/>
    <x v="172"/>
    <s v="PedidoF1738"/>
    <s v="CódRastreio1736"/>
    <n v="1"/>
    <s v="CPF 1809"/>
    <s v="Nome 1809"/>
    <s v="Tel 1809"/>
    <s v="Cep 1809"/>
    <s v="Rua 1809"/>
    <s v="Comp 1809"/>
    <s v="Máquina de cortar cabelo dragão"/>
    <s v="HG-2FNR-01A9"/>
    <d v="2025-07-26T00:00:00"/>
    <n v="23"/>
    <n v="23"/>
    <n v="2.76"/>
    <n v="20.239999999999998"/>
    <n v="15.65"/>
    <n v="0"/>
    <n v="0.39877104377104378"/>
    <n v="0"/>
    <n v="4.1912289562289544"/>
    <n v="2.0956144781144772"/>
    <x v="174"/>
    <x v="175"/>
    <x v="30"/>
    <d v="2025-08-19T00:00:00"/>
    <x v="9"/>
    <x v="0"/>
    <x v="10"/>
    <s v="ENTREGUE"/>
    <d v="2025-07-08T00:00:00"/>
    <x v="0"/>
    <m/>
    <n v="0"/>
    <n v="0"/>
    <n v="0"/>
    <n v="0"/>
    <n v="0"/>
  </r>
  <r>
    <x v="0"/>
    <s v="BV45841"/>
    <s v="Pedido 1854"/>
    <d v="2025-07-01T00:00:00"/>
    <x v="172"/>
    <s v="PedidoF1739"/>
    <s v="CódRastreio1737"/>
    <n v="1"/>
    <s v="CPF 1810"/>
    <s v="Nome 1810"/>
    <s v="Tel 1810"/>
    <s v="Cep 1810"/>
    <s v="Rua 1810"/>
    <s v="Comp 1810"/>
    <s v="Máquina de cortar cabelo dragão"/>
    <s v="HG-2FNR-01A9"/>
    <d v="2025-07-26T00:00:00"/>
    <n v="23"/>
    <n v="23"/>
    <n v="2.76"/>
    <n v="20.239999999999998"/>
    <n v="21.5"/>
    <n v="0"/>
    <n v="0.39877104377104378"/>
    <n v="0"/>
    <n v="-1.658771043771047"/>
    <n v="-0.8293855218855235"/>
    <x v="174"/>
    <x v="175"/>
    <x v="30"/>
    <d v="2025-08-19T00:00:00"/>
    <x v="9"/>
    <x v="0"/>
    <x v="10"/>
    <s v="ENTREGUE"/>
    <d v="2025-07-12T00:00:00"/>
    <x v="0"/>
    <m/>
    <n v="0"/>
    <n v="0"/>
    <n v="0"/>
    <n v="0"/>
    <n v="0"/>
  </r>
  <r>
    <x v="0"/>
    <s v="BV45841"/>
    <s v="Pedido 1855"/>
    <d v="2025-07-01T00:00:00"/>
    <x v="172"/>
    <s v="PedidoF1740"/>
    <s v="CódRastreio1738"/>
    <n v="1"/>
    <s v="CPF 1811"/>
    <s v="Nome 1811"/>
    <s v="Tel 1811"/>
    <s v="Cep 1811"/>
    <s v="Rua 1811"/>
    <s v="Comp 1811"/>
    <s v="Máquina de cortar cabelo dragão"/>
    <s v="HG-2FNR-01A9"/>
    <d v="2025-07-22T00:00:00"/>
    <n v="23"/>
    <n v="23"/>
    <n v="2.76"/>
    <n v="20.239999999999998"/>
    <n v="14.9"/>
    <n v="0"/>
    <n v="0.39877104377104378"/>
    <n v="0"/>
    <n v="4.9412289562289544"/>
    <n v="2.4706144781144772"/>
    <x v="170"/>
    <x v="171"/>
    <x v="29"/>
    <d v="2025-08-04T00:00:00"/>
    <x v="8"/>
    <x v="0"/>
    <x v="10"/>
    <s v="ENTREGUE"/>
    <d v="2025-07-07T00:00:00"/>
    <x v="0"/>
    <m/>
    <n v="0"/>
    <n v="0"/>
    <n v="0"/>
    <n v="0"/>
    <n v="0"/>
  </r>
  <r>
    <x v="0"/>
    <s v="BV45841"/>
    <s v="Pedido 1856"/>
    <d v="2025-07-01T00:00:00"/>
    <x v="172"/>
    <s v="PedidoF1741"/>
    <s v="CódRastreio1739"/>
    <n v="1"/>
    <s v="CPF 1812"/>
    <s v="Nome 1812"/>
    <s v="Tel 1812"/>
    <s v="Cep 1812"/>
    <s v="Rua 1812"/>
    <s v="Comp 1812"/>
    <s v="Máquina de cortar cabelo dragão"/>
    <s v="HG-2FNR-01A9"/>
    <d v="2025-07-22T00:00:00"/>
    <n v="23"/>
    <n v="23"/>
    <n v="2.76"/>
    <n v="20.239999999999998"/>
    <n v="14.9"/>
    <n v="0"/>
    <n v="0.39877104377104378"/>
    <n v="0"/>
    <n v="4.9412289562289544"/>
    <n v="2.4706144781144772"/>
    <x v="170"/>
    <x v="171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1"/>
    <s v="Pedido 1857"/>
    <d v="2025-07-01T00:00:00"/>
    <x v="172"/>
    <s v="PedidoF1742"/>
    <s v="CódRastreio1740"/>
    <n v="1"/>
    <s v="CPF 1813"/>
    <s v="Nome 1813"/>
    <s v="Tel 1813"/>
    <s v="Cep 1813"/>
    <s v="Rua 1813"/>
    <s v="Comp 1813"/>
    <s v="Máquina de cortar cabelo dragão"/>
    <s v="HG-2FNR-01A9"/>
    <d v="2025-07-26T00:00:00"/>
    <n v="23"/>
    <n v="23"/>
    <n v="2.76"/>
    <n v="20.239999999999998"/>
    <n v="23.73"/>
    <n v="0"/>
    <n v="0.39877104377104378"/>
    <n v="0"/>
    <n v="-3.8887710437710474"/>
    <n v="-1.9443855218855237"/>
    <x v="174"/>
    <x v="175"/>
    <x v="30"/>
    <d v="2025-08-19T00:00:00"/>
    <x v="9"/>
    <x v="0"/>
    <x v="10"/>
    <s v="EM TRÂNSITO"/>
    <s v="-"/>
    <x v="0"/>
    <m/>
    <n v="0"/>
    <n v="0"/>
    <n v="0"/>
    <n v="0"/>
    <n v="0"/>
  </r>
  <r>
    <x v="0"/>
    <s v="BV45841"/>
    <s v="Pedido 1858"/>
    <d v="2025-07-01T00:00:00"/>
    <x v="172"/>
    <s v="PedidoF1743"/>
    <s v="CódRastreio1741"/>
    <n v="1"/>
    <s v="CPF 1814"/>
    <s v="Nome 1814"/>
    <s v="Tel 1814"/>
    <s v="Cep 1814"/>
    <s v="Rua 1814"/>
    <s v="Comp 1814"/>
    <s v="Máquina de cortar cabelo dragão"/>
    <s v="HG-2FNR-01A9"/>
    <d v="2025-07-26T00:00:00"/>
    <n v="23"/>
    <n v="23"/>
    <n v="2.76"/>
    <n v="20.239999999999998"/>
    <n v="14.9"/>
    <n v="0"/>
    <n v="0.39877104377104378"/>
    <n v="0"/>
    <n v="4.9412289562289544"/>
    <n v="2.4706144781144772"/>
    <x v="174"/>
    <x v="175"/>
    <x v="30"/>
    <d v="2025-08-19T00:00:00"/>
    <x v="9"/>
    <x v="0"/>
    <x v="10"/>
    <s v="ENTREGUE"/>
    <d v="2025-07-07T00:00:00"/>
    <x v="0"/>
    <m/>
    <n v="0"/>
    <n v="0"/>
    <n v="0"/>
    <n v="0"/>
    <n v="0"/>
  </r>
  <r>
    <x v="0"/>
    <s v="BV45841"/>
    <s v="Pedido 1859"/>
    <d v="2025-07-01T00:00:00"/>
    <x v="172"/>
    <s v="PedidoF1744"/>
    <s v="CódRastreio1742"/>
    <n v="1"/>
    <s v="CPF 1815"/>
    <s v="Nome 1815"/>
    <s v="Tel 1815"/>
    <s v="Cep 1815"/>
    <s v="Rua 1815"/>
    <s v="Comp 1815"/>
    <s v="Máquina de cortar cabelo dragão"/>
    <s v="HG-2FNR-01A9"/>
    <d v="2025-07-26T00:00:00"/>
    <n v="23"/>
    <n v="23"/>
    <n v="2.76"/>
    <n v="20.239999999999998"/>
    <n v="14.9"/>
    <n v="0"/>
    <n v="0.39877104377104378"/>
    <n v="0"/>
    <n v="4.9412289562289544"/>
    <n v="2.4706144781144772"/>
    <x v="174"/>
    <x v="175"/>
    <x v="30"/>
    <d v="2025-08-19T00:00:00"/>
    <x v="9"/>
    <x v="0"/>
    <x v="10"/>
    <s v="ENTREGUE"/>
    <d v="2025-07-14T00:00:00"/>
    <x v="0"/>
    <m/>
    <n v="0"/>
    <n v="0"/>
    <n v="0"/>
    <n v="0"/>
    <n v="0"/>
  </r>
  <r>
    <x v="0"/>
    <s v="BV45841"/>
    <s v="Pedido 1860"/>
    <d v="2025-07-02T00:00:00"/>
    <x v="172"/>
    <s v="PedidoF1745"/>
    <s v="CódRastreio1743"/>
    <n v="1"/>
    <s v="CPF 1816"/>
    <s v="Nome 1816"/>
    <s v="Tel 1816"/>
    <s v="Cep 1816"/>
    <s v="Rua 1816"/>
    <s v="Comp 1816"/>
    <s v="Máquina de cortar cabelo dragão"/>
    <s v="HG-2FNR-01A9"/>
    <d v="2025-07-29T00:00:00"/>
    <n v="23"/>
    <n v="23"/>
    <n v="2.76"/>
    <n v="20.239999999999998"/>
    <n v="14.9"/>
    <n v="0"/>
    <n v="0.39877104377104378"/>
    <n v="0"/>
    <n v="4.9412289562289544"/>
    <n v="2.4706144781144772"/>
    <x v="177"/>
    <x v="178"/>
    <x v="30"/>
    <d v="2025-08-19T00:00:00"/>
    <x v="9"/>
    <x v="0"/>
    <x v="10"/>
    <s v="ENTREGUE"/>
    <d v="2025-07-09T00:00:00"/>
    <x v="0"/>
    <m/>
    <n v="0"/>
    <n v="0"/>
    <n v="0"/>
    <n v="0"/>
    <n v="0"/>
  </r>
  <r>
    <x v="0"/>
    <s v="BV45841"/>
    <s v="Pedido 1861"/>
    <d v="2025-07-02T00:00:00"/>
    <x v="172"/>
    <s v="PedidoF1746"/>
    <s v="CódRastreio1744"/>
    <n v="1"/>
    <s v="CPF 1817"/>
    <s v="Nome 1817"/>
    <s v="Tel 1817"/>
    <s v="Cep 1817"/>
    <s v="Rua 1817"/>
    <s v="Comp 1817"/>
    <s v="Máquina de cortar cabelo dragão"/>
    <s v="HG-2FNR-01A9"/>
    <d v="2025-07-29T00:00:00"/>
    <n v="23"/>
    <n v="23"/>
    <n v="2.76"/>
    <n v="20.239999999999998"/>
    <n v="15.68"/>
    <n v="0"/>
    <n v="0.39877104377104378"/>
    <n v="0"/>
    <n v="4.1612289562289533"/>
    <n v="2.0806144781144766"/>
    <x v="177"/>
    <x v="178"/>
    <x v="30"/>
    <d v="2025-08-19T00:00:00"/>
    <x v="9"/>
    <x v="0"/>
    <x v="10"/>
    <s v="ENTREGUE"/>
    <d v="2025-07-07T00:00:00"/>
    <x v="0"/>
    <m/>
    <n v="0"/>
    <n v="0"/>
    <n v="0"/>
    <n v="0"/>
    <n v="0"/>
  </r>
  <r>
    <x v="0"/>
    <s v="BV45841"/>
    <s v="Pedido 1862"/>
    <d v="2025-07-03T00:00:00"/>
    <x v="172"/>
    <s v="PedidoF1747"/>
    <s v="CódRastreio1745"/>
    <n v="1"/>
    <s v="CPF 1818"/>
    <s v="Nome 1818"/>
    <s v="Tel 1818"/>
    <s v="Cep 1818"/>
    <s v="Rua 1818"/>
    <s v="Comp 1818"/>
    <s v="Máquina de cortar cabelo dragão"/>
    <s v="HG-2FNR-01A9"/>
    <d v="2025-07-23T00:00:00"/>
    <n v="23"/>
    <n v="23"/>
    <n v="2.76"/>
    <n v="20.239999999999998"/>
    <n v="14.9"/>
    <n v="0"/>
    <n v="0.39877104377104378"/>
    <n v="0"/>
    <n v="4.9412289562289544"/>
    <n v="2.4706144781144772"/>
    <x v="171"/>
    <x v="172"/>
    <x v="29"/>
    <d v="2025-08-04T00:00:00"/>
    <x v="8"/>
    <x v="0"/>
    <x v="10"/>
    <s v="ENTREGUE"/>
    <d v="2025-07-08T00:00:00"/>
    <x v="0"/>
    <m/>
    <n v="0"/>
    <n v="0"/>
    <n v="0"/>
    <n v="0"/>
    <n v="0"/>
  </r>
  <r>
    <x v="0"/>
    <s v="BV45841"/>
    <s v="Pedido 1863"/>
    <d v="2025-07-03T00:00:00"/>
    <x v="172"/>
    <s v="PedidoF1748"/>
    <s v="CódRastreio1746"/>
    <n v="1"/>
    <s v="CPF 1819"/>
    <s v="Nome 1819"/>
    <s v="Tel 1819"/>
    <s v="Cep 1819"/>
    <s v="Rua 1819"/>
    <s v="Comp 1819"/>
    <s v="Máquina de cortar cabelo dragão"/>
    <s v="HG-2FNR-01A9"/>
    <d v="2025-07-23T00:00:00"/>
    <n v="23"/>
    <n v="23"/>
    <n v="2.76"/>
    <n v="20.239999999999998"/>
    <n v="14.9"/>
    <n v="0"/>
    <n v="0.39877104377104378"/>
    <n v="0"/>
    <n v="4.9412289562289544"/>
    <n v="2.4706144781144772"/>
    <x v="171"/>
    <x v="172"/>
    <x v="29"/>
    <d v="2025-08-04T00:00:00"/>
    <x v="8"/>
    <x v="0"/>
    <x v="10"/>
    <s v="ENTREGUE"/>
    <d v="2025-07-07T00:00:00"/>
    <x v="0"/>
    <m/>
    <n v="0"/>
    <n v="0"/>
    <n v="0"/>
    <n v="0"/>
    <n v="0"/>
  </r>
  <r>
    <x v="0"/>
    <s v="BV45841"/>
    <s v="Pedido 1864"/>
    <d v="2025-07-03T00:00:00"/>
    <x v="172"/>
    <s v="PedidoF1749"/>
    <s v="CódRastreio1747"/>
    <n v="1"/>
    <s v="CPF 1820"/>
    <s v="Nome 1820"/>
    <s v="Tel 1820"/>
    <s v="Cep 1820"/>
    <s v="Rua 1820"/>
    <s v="Comp 1820"/>
    <s v="Máquina de cortar cabelo dragão"/>
    <s v="HG-2FNR-01A9"/>
    <d v="2025-08-06T00:00:00"/>
    <n v="23"/>
    <n v="23"/>
    <n v="2.76"/>
    <n v="20.239999999999998"/>
    <n v="19.27"/>
    <n v="0"/>
    <n v="0.39877104377104378"/>
    <n v="0"/>
    <n v="0.57122895622895342"/>
    <n v="0.28561447811447671"/>
    <x v="178"/>
    <x v="179"/>
    <x v="30"/>
    <d v="2025-08-19T00:00:00"/>
    <x v="9"/>
    <x v="0"/>
    <x v="10"/>
    <s v="ENTREGUE"/>
    <d v="2025-07-05T00:00:00"/>
    <x v="0"/>
    <m/>
    <n v="0"/>
    <n v="0"/>
    <n v="0"/>
    <n v="0"/>
    <n v="0"/>
  </r>
  <r>
    <x v="0"/>
    <s v="BV45845"/>
    <s v="Pedido 1865"/>
    <d v="2025-07-05T00:00:00"/>
    <x v="173"/>
    <s v="PedidoF1750"/>
    <s v="CódRastreio1748"/>
    <n v="1"/>
    <s v="CPF 1821"/>
    <s v="Nome 1821"/>
    <s v="Tel 1821"/>
    <s v="Cep 1821"/>
    <s v="Rua 1821"/>
    <s v="Comp 1821"/>
    <s v="Máquina de cortar cabelo dragão"/>
    <s v="HG-2FNR-01A9"/>
    <d v="2025-07-19T00:00:00"/>
    <n v="23"/>
    <n v="23"/>
    <n v="2.76"/>
    <n v="20.239999999999998"/>
    <n v="13.41"/>
    <n v="0"/>
    <n v="0.39877104377104378"/>
    <n v="0"/>
    <n v="6.4312289562289546"/>
    <n v="3.2156144781144773"/>
    <x v="168"/>
    <x v="169"/>
    <x v="29"/>
    <d v="2025-08-04T00:00:00"/>
    <x v="8"/>
    <x v="0"/>
    <x v="10"/>
    <s v="ENTREGUE"/>
    <d v="2025-07-09T00:00:00"/>
    <x v="0"/>
    <m/>
    <n v="0"/>
    <n v="0"/>
    <n v="0"/>
    <n v="0"/>
    <n v="0"/>
  </r>
  <r>
    <x v="0"/>
    <s v="BV45845"/>
    <s v="Pedido 1866"/>
    <d v="2025-07-05T00:00:00"/>
    <x v="173"/>
    <s v="PedidoF1751"/>
    <s v="CódRastreio1749"/>
    <n v="1"/>
    <s v="CPF 1822"/>
    <s v="Nome 1822"/>
    <s v="Tel 1822"/>
    <s v="Cep 1822"/>
    <s v="Rua 1822"/>
    <s v="Comp 1822"/>
    <s v="Máquina de cortar cabelo dragão"/>
    <s v="NQ-IMR8-W6Q4"/>
    <d v="2025-08-13T00:00:00"/>
    <n v="23.9"/>
    <n v="23.9"/>
    <n v="2.8679999999999999"/>
    <n v="21.03"/>
    <n v="17.21"/>
    <n v="0"/>
    <n v="0.39877104377104378"/>
    <n v="15"/>
    <n v="-11.578771043771042"/>
    <n v="-5.7893855218855208"/>
    <x v="179"/>
    <x v="180"/>
    <x v="31"/>
    <d v="2025-08-19T00:00:00"/>
    <x v="9"/>
    <x v="0"/>
    <x v="10"/>
    <s v="ENTREGUE"/>
    <d v="2025-07-16T00:00:00"/>
    <x v="0"/>
    <m/>
    <n v="0"/>
    <n v="0"/>
    <n v="0"/>
    <n v="0"/>
    <n v="0"/>
  </r>
  <r>
    <x v="0"/>
    <s v="BV45845"/>
    <s v="Pedido 1867"/>
    <d v="2025-07-05T00:00:00"/>
    <x v="173"/>
    <s v="PedidoF1752"/>
    <s v="CódRastreio1750"/>
    <n v="1"/>
    <s v="CPF 1823"/>
    <s v="Nome 1823"/>
    <s v="Tel 1823"/>
    <s v="Cep 1823"/>
    <s v="Rua 1823"/>
    <s v="Comp 1823"/>
    <s v="Máquina de cortar cabelo dragão"/>
    <s v="HG-2FNR-01A9"/>
    <d v="2025-07-19T00:00:00"/>
    <n v="23"/>
    <n v="23"/>
    <n v="2.76"/>
    <n v="20.239999999999998"/>
    <n v="13.41"/>
    <n v="0"/>
    <n v="0.39877104377104378"/>
    <n v="0"/>
    <n v="6.4312289562289546"/>
    <n v="3.2156144781144773"/>
    <x v="168"/>
    <x v="169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5"/>
    <s v="Pedido 1868"/>
    <d v="2025-07-06T00:00:00"/>
    <x v="173"/>
    <s v="PedidoF1753"/>
    <s v="CódRastreio1751"/>
    <n v="1"/>
    <s v="CPF 1824"/>
    <s v="Nome 1824"/>
    <s v="Tel 1824"/>
    <s v="Cep 1824"/>
    <s v="Rua 1824"/>
    <s v="Comp 1824"/>
    <s v="Bolsa térmica"/>
    <s v="6I-CK1S-8HYZ"/>
    <d v="2025-07-25T00:00:00"/>
    <n v="28.5"/>
    <n v="28.5"/>
    <n v="3.42"/>
    <n v="25.08"/>
    <n v="18.940000000000001"/>
    <n v="0"/>
    <n v="0.39877104377104378"/>
    <n v="0"/>
    <n v="5.7412289562289516"/>
    <n v="2.8706144781144758"/>
    <x v="176"/>
    <x v="177"/>
    <x v="29"/>
    <d v="2025-08-04T00:00:00"/>
    <x v="9"/>
    <x v="0"/>
    <x v="10"/>
    <s v="ENTREGUE"/>
    <d v="2025-07-10T00:00:00"/>
    <x v="0"/>
    <m/>
    <n v="0"/>
    <n v="0"/>
    <n v="0"/>
    <n v="0"/>
    <n v="0"/>
  </r>
  <r>
    <x v="0"/>
    <s v="BV45845"/>
    <s v="Pedido 1869"/>
    <d v="2025-07-06T00:00:00"/>
    <x v="173"/>
    <s v="PedidoF1754"/>
    <s v="CódRastreio1752"/>
    <n v="1"/>
    <s v="CPF 1825"/>
    <s v="Nome 1825"/>
    <s v="Tel 1825"/>
    <s v="Cep 1825"/>
    <s v="Rua 1825"/>
    <s v="Comp 1825"/>
    <s v="Máquina de cortar cabelo dragão"/>
    <s v="HG-2FNR-01A9"/>
    <d v="2025-07-23T00:00:00"/>
    <n v="23"/>
    <n v="23"/>
    <n v="2.76"/>
    <n v="20.239999999999998"/>
    <n v="15.37"/>
    <n v="0"/>
    <n v="0.39877104377104378"/>
    <n v="0"/>
    <n v="4.4712289562289556"/>
    <n v="2.2356144781144778"/>
    <x v="171"/>
    <x v="172"/>
    <x v="29"/>
    <d v="2025-08-04T00:00:00"/>
    <x v="8"/>
    <x v="0"/>
    <x v="10"/>
    <s v="ENTREGUE"/>
    <d v="2025-07-11T00:00:00"/>
    <x v="0"/>
    <m/>
    <n v="0"/>
    <n v="0"/>
    <n v="0"/>
    <n v="0"/>
    <n v="0"/>
  </r>
  <r>
    <x v="0"/>
    <s v="BV45845"/>
    <s v="Pedido 1870"/>
    <d v="2025-07-06T00:00:00"/>
    <x v="173"/>
    <s v="PedidoF1755"/>
    <s v="CódRastreio1753"/>
    <n v="1"/>
    <s v="CPF 1826"/>
    <s v="Nome 1826"/>
    <s v="Tel 1826"/>
    <s v="Cep 1826"/>
    <s v="Rua 1826"/>
    <s v="Comp 1826"/>
    <s v="Máquina de cortar cabelo dragão"/>
    <s v="HG-2FNR-01A9"/>
    <d v="2025-07-25T00:00:00"/>
    <n v="23"/>
    <n v="23"/>
    <n v="2.76"/>
    <n v="20.239999999999998"/>
    <n v="16.63"/>
    <n v="0"/>
    <n v="0.39877104377104378"/>
    <n v="0"/>
    <n v="3.211228956228954"/>
    <n v="1.605614478114477"/>
    <x v="176"/>
    <x v="177"/>
    <x v="29"/>
    <d v="2025-08-04T00:00:00"/>
    <x v="9"/>
    <x v="0"/>
    <x v="10"/>
    <s v="ENTREGUE"/>
    <d v="2025-07-12T00:00:00"/>
    <x v="0"/>
    <m/>
    <n v="0"/>
    <n v="0"/>
    <n v="0"/>
    <n v="0"/>
    <n v="0"/>
  </r>
  <r>
    <x v="0"/>
    <s v="BV45845"/>
    <s v="Pedido 1871"/>
    <d v="2025-07-06T00:00:00"/>
    <x v="173"/>
    <s v="PedidoF1756"/>
    <s v="CódRastreio1754"/>
    <n v="1"/>
    <s v="CPF 1827"/>
    <s v="Nome 1827"/>
    <s v="Tel 1827"/>
    <s v="Cep 1827"/>
    <s v="Rua 1827"/>
    <s v="Comp 1827"/>
    <s v="Bolsa térmica"/>
    <s v="6I-CK1S-8HYZ"/>
    <d v="2025-07-25T00:00:00"/>
    <n v="28.5"/>
    <n v="28.5"/>
    <n v="3.42"/>
    <n v="25.08"/>
    <n v="18.57"/>
    <n v="0"/>
    <n v="0.39877104377104378"/>
    <n v="0"/>
    <n v="6.1112289562289526"/>
    <n v="3.0556144781144763"/>
    <x v="176"/>
    <x v="177"/>
    <x v="29"/>
    <d v="2025-08-04T00:00:00"/>
    <x v="9"/>
    <x v="0"/>
    <x v="10"/>
    <s v="ENTREGUE"/>
    <d v="2025-07-10T00:00:00"/>
    <x v="0"/>
    <m/>
    <n v="0"/>
    <n v="0"/>
    <n v="0"/>
    <n v="0"/>
    <n v="0"/>
  </r>
  <r>
    <x v="0"/>
    <s v="BV45845"/>
    <s v="Pedido 1872"/>
    <d v="2025-07-06T00:00:00"/>
    <x v="173"/>
    <s v="PedidoF1757"/>
    <s v="CódRastreio1755"/>
    <n v="1"/>
    <s v="CPF 1828"/>
    <s v="Nome 1828"/>
    <s v="Tel 1828"/>
    <s v="Cep 1828"/>
    <s v="Rua 1828"/>
    <s v="Comp 1828"/>
    <s v="Bolsa térmica"/>
    <s v="6I-CK1S-8HYZ"/>
    <d v="2025-07-19T00:00:00"/>
    <n v="28.5"/>
    <n v="28.5"/>
    <n v="3.42"/>
    <n v="25.08"/>
    <n v="18.420000000000002"/>
    <n v="0"/>
    <n v="0.39877104377104378"/>
    <n v="0"/>
    <n v="6.2612289562289511"/>
    <n v="3.1306144781144756"/>
    <x v="168"/>
    <x v="169"/>
    <x v="29"/>
    <d v="2025-08-04T00:00:00"/>
    <x v="8"/>
    <x v="0"/>
    <x v="10"/>
    <s v="ENTREGUE"/>
    <d v="2025-07-09T00:00:00"/>
    <x v="0"/>
    <m/>
    <n v="0"/>
    <n v="0"/>
    <n v="0"/>
    <n v="0"/>
    <n v="0"/>
  </r>
  <r>
    <x v="0"/>
    <s v="BV45845"/>
    <s v="Pedido 1873"/>
    <d v="2025-07-06T00:00:00"/>
    <x v="173"/>
    <s v="PedidoF1758"/>
    <s v="CódRastreio1756"/>
    <n v="1"/>
    <s v="CPF 1829"/>
    <s v="Nome 1829"/>
    <s v="Tel 1829"/>
    <s v="Cep 1829"/>
    <s v="Rua 1829"/>
    <s v="Comp 1829"/>
    <s v="Máquina de cortar cabelo dragão"/>
    <s v="HG-2FNR-01A9"/>
    <d v="2025-07-19T00:00:00"/>
    <n v="23"/>
    <n v="23"/>
    <n v="2.76"/>
    <n v="20.239999999999998"/>
    <n v="14.42"/>
    <n v="0"/>
    <n v="0.39877104377104378"/>
    <n v="0"/>
    <n v="5.4212289562289548"/>
    <n v="2.7106144781144774"/>
    <x v="168"/>
    <x v="169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5"/>
    <s v="Pedido 1874"/>
    <d v="2025-07-06T00:00:00"/>
    <x v="173"/>
    <s v="PedidoF1759"/>
    <s v="CódRastreio1757"/>
    <n v="1"/>
    <s v="CPF 1830"/>
    <s v="Nome 1830"/>
    <s v="Tel 1830"/>
    <s v="Cep 1830"/>
    <s v="Rua 1830"/>
    <s v="Comp 1830"/>
    <s v="Bolsa térmica"/>
    <s v="6I-CK1S-8HYZ"/>
    <d v="2025-07-23T00:00:00"/>
    <n v="28.5"/>
    <n v="28.5"/>
    <n v="3.42"/>
    <n v="25.08"/>
    <n v="19.309999999999999"/>
    <n v="0"/>
    <n v="0.39877104377104378"/>
    <n v="0"/>
    <n v="5.3712289562289541"/>
    <n v="2.6856144781144771"/>
    <x v="171"/>
    <x v="172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5"/>
    <s v="Pedido 1875"/>
    <d v="2025-07-06T00:00:00"/>
    <x v="173"/>
    <s v="PedidoF1760"/>
    <s v="CódRastreio1758"/>
    <n v="1"/>
    <s v="CPF 1831"/>
    <s v="Nome 1831"/>
    <s v="Tel 1831"/>
    <s v="Cep 1831"/>
    <s v="Rua 1831"/>
    <s v="Comp 1831"/>
    <s v="Bolsa térmica"/>
    <s v="6I-CK1S-8HYZ"/>
    <d v="2025-07-25T00:00:00"/>
    <n v="28.5"/>
    <n v="28.5"/>
    <n v="3.42"/>
    <n v="25.08"/>
    <n v="20.09"/>
    <n v="0"/>
    <n v="0.39877104377104378"/>
    <n v="0"/>
    <n v="4.591228956228953"/>
    <n v="2.2956144781144765"/>
    <x v="176"/>
    <x v="177"/>
    <x v="29"/>
    <d v="2025-08-04T00:00:00"/>
    <x v="9"/>
    <x v="0"/>
    <x v="10"/>
    <s v="ENTREGUE"/>
    <d v="2025-07-11T00:00:00"/>
    <x v="0"/>
    <m/>
    <n v="0"/>
    <n v="0"/>
    <n v="0"/>
    <n v="0"/>
    <n v="0"/>
  </r>
  <r>
    <x v="0"/>
    <s v="BV45845"/>
    <s v="Pedido 1876"/>
    <d v="2025-07-07T00:00:00"/>
    <x v="173"/>
    <s v="PedidoF1761"/>
    <s v="CódRastreio1759"/>
    <n v="2"/>
    <s v="CPF 1832"/>
    <s v="Nome 1832"/>
    <s v="Tel 1832"/>
    <s v="Cep 1832"/>
    <s v="Rua 1832"/>
    <s v="Comp 1832"/>
    <s v="Bolsa térmica"/>
    <s v="6I-CK1S-8HYZ"/>
    <d v="2025-07-23T00:00:00"/>
    <n v="57"/>
    <n v="57"/>
    <n v="6.84"/>
    <n v="50.16"/>
    <n v="36.96"/>
    <n v="0"/>
    <n v="0.39877104377104378"/>
    <n v="0"/>
    <n v="12.801228956228954"/>
    <n v="6.4006144781144769"/>
    <x v="171"/>
    <x v="172"/>
    <x v="29"/>
    <d v="2025-08-04T00:00:00"/>
    <x v="8"/>
    <x v="0"/>
    <x v="10"/>
    <s v="ENTREGUE"/>
    <d v="2025-07-11T00:00:00"/>
    <x v="0"/>
    <m/>
    <n v="0"/>
    <n v="0"/>
    <n v="0"/>
    <n v="0"/>
    <n v="0"/>
  </r>
  <r>
    <x v="0"/>
    <s v="BV45845"/>
    <s v="Pedido 1877"/>
    <d v="2025-07-07T00:00:00"/>
    <x v="173"/>
    <s v="PedidoF1762"/>
    <s v="CódRastreio1760"/>
    <n v="1"/>
    <s v="CPF 1833"/>
    <s v="Nome 1833"/>
    <s v="Tel 1833"/>
    <s v="Cep 1833"/>
    <s v="Rua 1833"/>
    <s v="Comp 1833"/>
    <s v="Bolsa térmica"/>
    <s v="6I-CK1S-8HYZ"/>
    <d v="2025-07-19T00:00:00"/>
    <n v="28.5"/>
    <n v="28.5"/>
    <n v="3.42"/>
    <n v="25.08"/>
    <n v="19.989999999999998"/>
    <n v="0"/>
    <n v="0.39877104377104378"/>
    <n v="0"/>
    <n v="4.6912289562289544"/>
    <n v="2.3456144781144772"/>
    <x v="168"/>
    <x v="169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5"/>
    <s v="Pedido 1878"/>
    <d v="2025-07-06T00:00:00"/>
    <x v="173"/>
    <s v="PedidoF1763"/>
    <s v="CódRastreio1761"/>
    <n v="1"/>
    <s v="CPF 1834"/>
    <s v="Nome 1834"/>
    <s v="Tel 1834"/>
    <s v="Cep 1834"/>
    <s v="Rua 1834"/>
    <s v="Comp 1834"/>
    <s v="Bolsa térmica"/>
    <s v="6I-CK1S-8HYZ"/>
    <d v="2025-07-19T00:00:00"/>
    <n v="28.5"/>
    <n v="28.5"/>
    <n v="3.42"/>
    <n v="25.08"/>
    <n v="18.38"/>
    <n v="0"/>
    <n v="0.39877104377104378"/>
    <n v="0"/>
    <n v="6.3012289562289538"/>
    <n v="3.1506144781144769"/>
    <x v="168"/>
    <x v="169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5"/>
    <s v="Pedido 1879"/>
    <d v="2025-07-07T00:00:00"/>
    <x v="173"/>
    <s v="PedidoF1764"/>
    <s v="CódRastreio1762"/>
    <n v="1"/>
    <s v="CPF 1835"/>
    <s v="Nome 1835"/>
    <s v="Tel 1835"/>
    <s v="Cep 1835"/>
    <s v="Rua 1835"/>
    <s v="Comp 1835"/>
    <s v="Bolsa térmica"/>
    <s v="6I-CK1S-8HYZ"/>
    <d v="2025-07-22T00:00:00"/>
    <n v="28.5"/>
    <n v="28.5"/>
    <n v="3.42"/>
    <n v="25.08"/>
    <n v="18"/>
    <n v="0"/>
    <n v="0.39877104377104378"/>
    <n v="0"/>
    <n v="6.6812289562289529"/>
    <n v="3.3406144781144764"/>
    <x v="170"/>
    <x v="171"/>
    <x v="29"/>
    <d v="2025-08-04T00:00:00"/>
    <x v="8"/>
    <x v="0"/>
    <x v="10"/>
    <s v="ENTREGUE"/>
    <d v="2025-07-10T00:00:00"/>
    <x v="0"/>
    <m/>
    <n v="0"/>
    <n v="0"/>
    <n v="0"/>
    <n v="0"/>
    <n v="0"/>
  </r>
  <r>
    <x v="0"/>
    <s v="BV45845"/>
    <s v="Pedido 1880"/>
    <d v="2025-07-07T00:00:00"/>
    <x v="173"/>
    <s v="PedidoF1765"/>
    <s v="CódRastreio1763"/>
    <n v="1"/>
    <s v="CPF 1836"/>
    <s v="Nome 1836"/>
    <s v="Tel 1836"/>
    <s v="Cep 1836"/>
    <s v="Rua 1836"/>
    <s v="Comp 1836"/>
    <s v="Bolsa térmica"/>
    <s v="6I-CK1S-8HYZ"/>
    <d v="2025-07-26T00:00:00"/>
    <n v="28.5"/>
    <n v="28.5"/>
    <n v="3.42"/>
    <n v="25.08"/>
    <n v="18.649999999999999"/>
    <n v="0"/>
    <n v="0.39877104377104378"/>
    <n v="0"/>
    <n v="6.0312289562289543"/>
    <n v="3.0156144781144771"/>
    <x v="174"/>
    <x v="175"/>
    <x v="30"/>
    <d v="2025-08-19T00:00:00"/>
    <x v="9"/>
    <x v="0"/>
    <x v="10"/>
    <s v="ENTREGUE"/>
    <d v="2025-07-11T00:00:00"/>
    <x v="0"/>
    <m/>
    <n v="0"/>
    <n v="0"/>
    <n v="0"/>
    <n v="0"/>
    <n v="0"/>
  </r>
  <r>
    <x v="0"/>
    <s v="BV45845"/>
    <s v="Pedido 1881"/>
    <d v="2025-07-07T00:00:00"/>
    <x v="173"/>
    <s v="PedidoF1766"/>
    <s v="CódRastreio1764"/>
    <n v="1"/>
    <s v="CPF 1837"/>
    <s v="Nome 1837"/>
    <s v="Tel 1837"/>
    <s v="Cep 1837"/>
    <s v="Rua 1837"/>
    <s v="Comp 1837"/>
    <s v="Bolsa térmica"/>
    <s v="6I-CK1S-8HYZ"/>
    <d v="2025-07-24T00:00:00"/>
    <n v="28.5"/>
    <n v="28.5"/>
    <n v="3.42"/>
    <n v="25.08"/>
    <n v="20.05"/>
    <n v="0"/>
    <n v="0.39877104377104378"/>
    <n v="0"/>
    <n v="4.6312289562289521"/>
    <n v="2.3156144781144761"/>
    <x v="172"/>
    <x v="173"/>
    <x v="29"/>
    <d v="2025-08-04T00:00:00"/>
    <x v="8"/>
    <x v="0"/>
    <x v="10"/>
    <s v="ENTREGUE"/>
    <d v="2025-07-12T00:00:00"/>
    <x v="0"/>
    <m/>
    <n v="0"/>
    <n v="0"/>
    <n v="0"/>
    <n v="0"/>
    <n v="0"/>
  </r>
  <r>
    <x v="0"/>
    <s v="BV45845"/>
    <s v="Pedido 1882"/>
    <d v="2025-07-07T00:00:00"/>
    <x v="173"/>
    <s v="PedidoF1767"/>
    <s v="CódRastreio1765"/>
    <n v="1"/>
    <s v="CPF 1838"/>
    <s v="Nome 1838"/>
    <s v="Tel 1838"/>
    <s v="Cep 1838"/>
    <s v="Rua 1838"/>
    <s v="Comp 1838"/>
    <s v="Brinquedo Bola Giratória voadora"/>
    <s v="ZV-W7II-K7TO"/>
    <d v="2025-07-22T00:00:00"/>
    <n v="41.9"/>
    <n v="41.9"/>
    <n v="5.0279999999999996"/>
    <n v="36.869999999999997"/>
    <n v="33.299999999999997"/>
    <n v="0"/>
    <n v="0.39877104377104378"/>
    <n v="0"/>
    <n v="3.1712289562289584"/>
    <n v="1.5856144781144792"/>
    <x v="170"/>
    <x v="171"/>
    <x v="29"/>
    <d v="2025-08-04T00:00:00"/>
    <x v="8"/>
    <x v="0"/>
    <x v="10"/>
    <s v="ENTREGUE"/>
    <d v="2025-07-11T00:00:00"/>
    <x v="0"/>
    <m/>
    <n v="0"/>
    <n v="0"/>
    <n v="0"/>
    <n v="0"/>
    <n v="0"/>
  </r>
  <r>
    <x v="0"/>
    <s v="BV45845"/>
    <s v="Pedido 1883"/>
    <d v="2025-07-07T00:00:00"/>
    <x v="173"/>
    <s v="PedidoF1768"/>
    <s v="CódRastreio1766"/>
    <n v="1"/>
    <s v="CPF 1839"/>
    <s v="Nome 1839"/>
    <s v="Tel 1839"/>
    <s v="Cep 1839"/>
    <s v="Rua 1839"/>
    <s v="Comp 1839"/>
    <s v="Bolsa térmica"/>
    <s v="6I-CK1S-8HYZ"/>
    <d v="2025-07-26T00:00:00"/>
    <n v="28.5"/>
    <n v="28.5"/>
    <n v="3.42"/>
    <n v="25.08"/>
    <n v="21.27"/>
    <n v="0"/>
    <n v="0.39877104377104378"/>
    <n v="1"/>
    <n v="2.4112289562289533"/>
    <n v="1.2056144781144766"/>
    <x v="174"/>
    <x v="175"/>
    <x v="30"/>
    <d v="2025-08-19T00:00:00"/>
    <x v="9"/>
    <x v="0"/>
    <x v="10"/>
    <s v="ENTREGUE"/>
    <d v="2025-07-12T00:00:00"/>
    <x v="0"/>
    <m/>
    <n v="0"/>
    <n v="0"/>
    <n v="0"/>
    <n v="0"/>
    <n v="0"/>
  </r>
  <r>
    <x v="0"/>
    <s v="BV45845"/>
    <s v="Pedido 1884"/>
    <d v="2025-07-07T00:00:00"/>
    <x v="173"/>
    <s v="PedidoF1769"/>
    <s v="CódRastreio1767"/>
    <n v="1"/>
    <s v="CPF 1840"/>
    <s v="Nome 1840"/>
    <s v="Tel 1840"/>
    <s v="Cep 1840"/>
    <s v="Rua 1840"/>
    <s v="Comp 1840"/>
    <s v="Bolsa térmica"/>
    <s v="6I-CK1S-8HYZ"/>
    <d v="2025-07-26T00:00:00"/>
    <n v="28.5"/>
    <n v="28.5"/>
    <n v="3.42"/>
    <n v="25.08"/>
    <n v="18.920000000000002"/>
    <n v="0"/>
    <n v="0.39877104377104378"/>
    <n v="0"/>
    <n v="5.7612289562289511"/>
    <n v="2.8806144781144756"/>
    <x v="174"/>
    <x v="175"/>
    <x v="30"/>
    <d v="2025-08-19T00:00:00"/>
    <x v="9"/>
    <x v="0"/>
    <x v="10"/>
    <s v="ENTREGUE"/>
    <d v="2025-07-15T00:00:00"/>
    <x v="0"/>
    <m/>
    <n v="0"/>
    <n v="0"/>
    <n v="0"/>
    <n v="0"/>
    <n v="0"/>
  </r>
  <r>
    <x v="0"/>
    <s v="BV45845"/>
    <s v="Pedido 1885"/>
    <d v="2025-07-07T00:00:00"/>
    <x v="173"/>
    <s v="PedidoF1770"/>
    <s v="CódRastreio1768"/>
    <n v="1"/>
    <s v="CPF 1841"/>
    <s v="Nome 1841"/>
    <s v="Tel 1841"/>
    <s v="Cep 1841"/>
    <s v="Rua 1841"/>
    <s v="Comp 1841"/>
    <s v="Bolsa térmica"/>
    <s v="6I-CK1S-8HYZ"/>
    <d v="2025-08-01T00:00:00"/>
    <n v="28.5"/>
    <n v="28.5"/>
    <n v="3.42"/>
    <n v="25.08"/>
    <n v="20.75"/>
    <n v="0"/>
    <n v="0.39877104377104378"/>
    <n v="3"/>
    <n v="0.93122895622895285"/>
    <n v="0.46561447811447643"/>
    <x v="180"/>
    <x v="181"/>
    <x v="30"/>
    <d v="2025-08-19T00:00:00"/>
    <x v="9"/>
    <x v="0"/>
    <x v="10"/>
    <s v="ENTREGUE"/>
    <d v="2025-07-11T00:00:00"/>
    <x v="0"/>
    <m/>
    <n v="0"/>
    <n v="0"/>
    <n v="0"/>
    <n v="0"/>
    <n v="0"/>
  </r>
  <r>
    <x v="0"/>
    <s v="BV45845"/>
    <s v="Pedido 1886"/>
    <d v="2025-07-07T00:00:00"/>
    <x v="173"/>
    <s v="PedidoF1771"/>
    <s v="CódRastreio1769"/>
    <n v="1"/>
    <s v="CPF 1842"/>
    <s v="Nome 1842"/>
    <s v="Tel 1842"/>
    <s v="Cep 1842"/>
    <s v="Rua 1842"/>
    <s v="Comp 1842"/>
    <s v="Bolsa térmica"/>
    <s v="6I-CK1S-8HYZ"/>
    <d v="2025-07-24T00:00:00"/>
    <n v="28.5"/>
    <n v="28.5"/>
    <n v="3.42"/>
    <n v="25.08"/>
    <n v="22.56"/>
    <n v="0"/>
    <n v="0.39877104377104378"/>
    <n v="0"/>
    <n v="2.1212289562289541"/>
    <n v="1.0606144781144771"/>
    <x v="172"/>
    <x v="173"/>
    <x v="29"/>
    <d v="2025-08-04T00:00:00"/>
    <x v="8"/>
    <x v="0"/>
    <x v="10"/>
    <s v="EM TRÂNSITO"/>
    <s v="-"/>
    <x v="0"/>
    <m/>
    <n v="0"/>
    <n v="0"/>
    <n v="0"/>
    <n v="0"/>
    <n v="0"/>
  </r>
  <r>
    <x v="0"/>
    <s v="BV45845"/>
    <s v="Pedido 1887"/>
    <d v="2025-07-07T00:00:00"/>
    <x v="173"/>
    <s v="PedidoF1772"/>
    <s v="CódRastreio1770"/>
    <n v="1"/>
    <s v="CPF 1843"/>
    <s v="Nome 1843"/>
    <s v="Tel 1843"/>
    <s v="Cep 1843"/>
    <s v="Rua 1843"/>
    <s v="Comp 1843"/>
    <s v="Bolsa térmica"/>
    <s v="6I-CK1S-8HYZ"/>
    <d v="2025-07-24T00:00:00"/>
    <n v="28.5"/>
    <n v="28.5"/>
    <n v="3.42"/>
    <n v="25.08"/>
    <n v="22.73"/>
    <n v="0"/>
    <n v="0.39877104377104378"/>
    <n v="0"/>
    <n v="1.9512289562289524"/>
    <n v="0.97561447811447621"/>
    <x v="172"/>
    <x v="173"/>
    <x v="29"/>
    <d v="2025-08-04T00:00:00"/>
    <x v="8"/>
    <x v="0"/>
    <x v="10"/>
    <s v="ENTREGUE"/>
    <d v="2025-07-11T00:00:00"/>
    <x v="0"/>
    <m/>
    <n v="0"/>
    <n v="0"/>
    <n v="0"/>
    <n v="0"/>
    <n v="0"/>
  </r>
  <r>
    <x v="0"/>
    <s v="BV45846"/>
    <s v="Pedido 1888"/>
    <d v="2025-07-07T00:00:00"/>
    <x v="174"/>
    <s v="PedidoF1773"/>
    <s v="CódRastreio1771"/>
    <n v="1"/>
    <s v="CPF 1844"/>
    <s v="Nome 1844"/>
    <s v="Tel 1844"/>
    <s v="Cep 1844"/>
    <s v="Rua 1844"/>
    <s v="Comp 1844"/>
    <s v="Brinquedo Bola Giratória voadora"/>
    <s v="ZV-W7II-K7TO"/>
    <d v="2025-07-26T00:00:00"/>
    <n v="41.9"/>
    <n v="41.9"/>
    <n v="5.0279999999999996"/>
    <n v="36.869999999999997"/>
    <n v="40.369999999999997"/>
    <n v="0"/>
    <n v="0.39877104377104378"/>
    <n v="1"/>
    <n v="-4.8987710437710419"/>
    <n v="-2.4493855218855209"/>
    <x v="174"/>
    <x v="175"/>
    <x v="30"/>
    <d v="2025-08-19T00:00:00"/>
    <x v="9"/>
    <x v="0"/>
    <x v="10"/>
    <s v="ENTREGUE"/>
    <d v="2025-07-14T00:00:00"/>
    <x v="0"/>
    <m/>
    <n v="0"/>
    <n v="0"/>
    <n v="0"/>
    <n v="0"/>
    <n v="0"/>
  </r>
  <r>
    <x v="0"/>
    <s v="BV45846"/>
    <s v="Pedido 1889"/>
    <d v="2025-07-07T00:00:00"/>
    <x v="174"/>
    <s v="PedidoF1774"/>
    <s v="CódRastreio1772"/>
    <n v="1"/>
    <s v="CPF 1845"/>
    <s v="Nome 1845"/>
    <s v="Tel 1845"/>
    <s v="Cep 1845"/>
    <s v="Rua 1845"/>
    <s v="Comp 1845"/>
    <s v="Brinquedo Bola Giratória voadora"/>
    <s v="ZV-W7II-K7TO"/>
    <d v="2025-07-24T00:00:00"/>
    <n v="41.9"/>
    <n v="41.9"/>
    <n v="5.0279999999999996"/>
    <n v="36.869999999999997"/>
    <n v="40.799999999999997"/>
    <n v="0"/>
    <n v="0.39877104377104378"/>
    <n v="0"/>
    <n v="-4.3287710437710416"/>
    <n v="-2.1643855218855208"/>
    <x v="172"/>
    <x v="173"/>
    <x v="29"/>
    <d v="2025-08-04T00:00:00"/>
    <x v="8"/>
    <x v="0"/>
    <x v="10"/>
    <s v="ENTREGUE"/>
    <d v="2025-07-13T00:00:00"/>
    <x v="0"/>
    <m/>
    <n v="0"/>
    <n v="0"/>
    <n v="0"/>
    <n v="0"/>
    <n v="0"/>
  </r>
  <r>
    <x v="0"/>
    <s v="BV45847"/>
    <s v="Pedido 1890"/>
    <d v="2025-07-07T00:00:00"/>
    <x v="175"/>
    <s v="PedidoF1775"/>
    <s v="CódRastreio1773"/>
    <n v="1"/>
    <s v="CPF 1846"/>
    <s v="Nome 1846"/>
    <s v="Tel 1846"/>
    <s v="Cep 1846"/>
    <s v="Rua 1846"/>
    <s v="Comp 1846"/>
    <s v="Máquina de cortar cabelo dragão"/>
    <s v="HG-2FNR-01A9"/>
    <d v="2025-07-24T00:00:00"/>
    <n v="23"/>
    <n v="23"/>
    <n v="2.76"/>
    <n v="20.239999999999998"/>
    <n v="16.93"/>
    <n v="0"/>
    <n v="0.39877104377104378"/>
    <n v="0"/>
    <n v="2.9112289562289533"/>
    <n v="1.4556144781144766"/>
    <x v="172"/>
    <x v="173"/>
    <x v="29"/>
    <d v="2025-08-04T00:00:00"/>
    <x v="8"/>
    <x v="0"/>
    <x v="10"/>
    <s v="ENTREGUE"/>
    <d v="2025-07-18T00:00:00"/>
    <x v="0"/>
    <m/>
    <n v="0"/>
    <n v="0"/>
    <n v="0"/>
    <n v="0"/>
    <n v="0"/>
  </r>
  <r>
    <x v="0"/>
    <s v="BV45847"/>
    <s v="Pedido 1891"/>
    <d v="2025-07-08T00:00:00"/>
    <x v="175"/>
    <s v="PedidoF1776"/>
    <s v="CódRastreio1774"/>
    <n v="1"/>
    <s v="CPF 1847"/>
    <s v="Nome 1847"/>
    <s v="Tel 1847"/>
    <s v="Cep 1847"/>
    <s v="Rua 1847"/>
    <s v="Comp 1847"/>
    <s v="Máquina de cortar cabelo dragão"/>
    <s v="HG-2FNR-01A9"/>
    <d v="2025-07-26T00:00:00"/>
    <n v="23"/>
    <n v="23"/>
    <n v="2.76"/>
    <n v="20.239999999999998"/>
    <n v="17.03"/>
    <n v="0"/>
    <n v="0.39877104377104378"/>
    <n v="0"/>
    <n v="2.8112289562289519"/>
    <n v="1.4056144781144759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892"/>
    <d v="2025-07-08T00:00:00"/>
    <x v="176"/>
    <s v="PedidoF1777"/>
    <s v="CódRastreio1775"/>
    <n v="1"/>
    <s v="CPF 1848"/>
    <s v="Nome 1848"/>
    <s v="Tel 1848"/>
    <s v="Cep 1848"/>
    <s v="Rua 1848"/>
    <s v="Comp 1848"/>
    <s v="Bolsa térmica"/>
    <s v="6I-CK1S-8HYZ"/>
    <d v="2025-07-26T00:00:00"/>
    <n v="28.5"/>
    <n v="28.5"/>
    <n v="3.42"/>
    <n v="25.08"/>
    <n v="20"/>
    <n v="0"/>
    <n v="0.39877104377104378"/>
    <n v="0"/>
    <n v="4.6812289562289529"/>
    <n v="2.3406144781144764"/>
    <x v="174"/>
    <x v="175"/>
    <x v="30"/>
    <d v="2025-08-19T00:00:00"/>
    <x v="9"/>
    <x v="0"/>
    <x v="10"/>
    <s v="ENTREGUE"/>
    <d v="2025-07-14T00:00:00"/>
    <x v="0"/>
    <m/>
    <n v="0"/>
    <n v="0"/>
    <n v="0"/>
    <n v="0"/>
    <n v="0"/>
  </r>
  <r>
    <x v="0"/>
    <s v="BV45849"/>
    <s v="Pedido 1893"/>
    <d v="2025-07-08T00:00:00"/>
    <x v="176"/>
    <s v="PedidoF1778"/>
    <s v="CódRastreio1776"/>
    <n v="1"/>
    <s v="CPF 1849"/>
    <s v="Nome 1849"/>
    <s v="Tel 1849"/>
    <s v="Cep 1849"/>
    <s v="Rua 1849"/>
    <s v="Comp 1849"/>
    <s v="Bolsa térmica"/>
    <s v="6I-CK1S-8HYZ"/>
    <d v="2025-07-26T00:00:00"/>
    <n v="28.5"/>
    <n v="28.5"/>
    <n v="3.42"/>
    <n v="25.08"/>
    <n v="20.190000000000001"/>
    <n v="0"/>
    <n v="0.39877104377104378"/>
    <n v="0"/>
    <n v="4.4912289562289516"/>
    <n v="2.2456144781144758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894"/>
    <d v="2025-07-08T00:00:00"/>
    <x v="176"/>
    <s v="PedidoF1779"/>
    <s v="CódRastreio1777"/>
    <n v="1"/>
    <s v="CPF 1850"/>
    <s v="Nome 1850"/>
    <s v="Tel 1850"/>
    <s v="Cep 1850"/>
    <s v="Rua 1850"/>
    <s v="Comp 1850"/>
    <s v="Bolsa térmica"/>
    <s v="6I-CK1S-8HYZ"/>
    <d v="2025-07-26T00:00:00"/>
    <n v="28.5"/>
    <n v="28.5"/>
    <n v="3.42"/>
    <n v="25.08"/>
    <n v="20.3"/>
    <n v="0"/>
    <n v="0.39877104377104378"/>
    <n v="0"/>
    <n v="4.3812289562289521"/>
    <n v="2.1906144781144761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895"/>
    <d v="2025-07-08T00:00:00"/>
    <x v="176"/>
    <s v="PedidoF1780"/>
    <s v="CódRastreio1778"/>
    <n v="1"/>
    <s v="CPF 1851"/>
    <s v="Nome 1851"/>
    <s v="Tel 1851"/>
    <s v="Cep 1851"/>
    <s v="Rua 1851"/>
    <s v="Comp 1851"/>
    <s v="Bolsa térmica"/>
    <s v="6I-CK1S-8HYZ"/>
    <d v="2025-07-29T00:00:00"/>
    <n v="28.5"/>
    <n v="28.5"/>
    <n v="3.42"/>
    <n v="25.08"/>
    <n v="19.7"/>
    <n v="0"/>
    <n v="0.39877104377104378"/>
    <n v="1"/>
    <n v="3.9812289562289536"/>
    <n v="1.9906144781144768"/>
    <x v="177"/>
    <x v="178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49"/>
    <s v="Pedido 1896"/>
    <d v="2025-07-08T00:00:00"/>
    <x v="176"/>
    <s v="PedidoF1781"/>
    <s v="CódRastreio1779"/>
    <n v="2"/>
    <s v="CPF 1852"/>
    <s v="Nome 1852"/>
    <s v="Tel 1852"/>
    <s v="Cep 1852"/>
    <s v="Rua 1852"/>
    <s v="Comp 1852"/>
    <s v="Bolsa térmica"/>
    <s v="6I-CK1S-8HYZ"/>
    <d v="2025-07-25T00:00:00"/>
    <n v="57"/>
    <n v="57"/>
    <n v="6.84"/>
    <n v="50.16"/>
    <n v="39.950000000000003"/>
    <n v="0"/>
    <n v="0.39877104377104378"/>
    <n v="0"/>
    <n v="9.8112289562289519"/>
    <n v="4.9056144781144759"/>
    <x v="176"/>
    <x v="177"/>
    <x v="29"/>
    <d v="2025-08-04T00:00:00"/>
    <x v="9"/>
    <x v="0"/>
    <x v="10"/>
    <s v="ENTREGUE"/>
    <d v="2025-07-15T00:00:00"/>
    <x v="0"/>
    <m/>
    <n v="0"/>
    <n v="0"/>
    <n v="0"/>
    <n v="0"/>
    <n v="0"/>
  </r>
  <r>
    <x v="0"/>
    <s v="BV45847"/>
    <s v="Pedido 1897"/>
    <d v="2025-07-08T00:00:00"/>
    <x v="175"/>
    <s v="PedidoF1782"/>
    <s v="CódRastreio1780"/>
    <n v="1"/>
    <s v="CPF 1853"/>
    <s v="Nome 1853"/>
    <s v="Tel 1853"/>
    <s v="Cep 1853"/>
    <s v="Rua 1853"/>
    <s v="Comp 1853"/>
    <s v="Brinquedo Bola Giratória voadora"/>
    <s v="ZV-W7II-K7TO"/>
    <d v="2025-07-25T00:00:00"/>
    <n v="43.99"/>
    <n v="43.99"/>
    <n v="5.2788000000000004"/>
    <n v="38.71"/>
    <n v="33.630000000000003"/>
    <n v="0"/>
    <n v="0.39877104377104378"/>
    <n v="0"/>
    <n v="4.6812289562289564"/>
    <n v="2.3406144781144782"/>
    <x v="176"/>
    <x v="177"/>
    <x v="29"/>
    <d v="2025-08-04T00:00:00"/>
    <x v="9"/>
    <x v="0"/>
    <x v="10"/>
    <s v="ENTREGUE"/>
    <d v="2025-07-13T00:00:00"/>
    <x v="0"/>
    <m/>
    <n v="0"/>
    <n v="0"/>
    <n v="0"/>
    <n v="0"/>
    <n v="0"/>
  </r>
  <r>
    <x v="0"/>
    <s v="BV45849"/>
    <s v="Pedido 1898"/>
    <d v="2025-07-08T00:00:00"/>
    <x v="176"/>
    <s v="PedidoF1783"/>
    <s v="CódRastreio1781"/>
    <n v="1"/>
    <s v="CPF 1854"/>
    <s v="Nome 1854"/>
    <s v="Tel 1854"/>
    <s v="Cep 1854"/>
    <s v="Rua 1854"/>
    <s v="Comp 1854"/>
    <s v="Bolsa térmica"/>
    <s v="6I-CK1S-8HYZ"/>
    <d v="2025-07-25T00:00:00"/>
    <n v="28.5"/>
    <n v="28.5"/>
    <n v="3.42"/>
    <n v="25.08"/>
    <n v="20.260000000000002"/>
    <n v="0"/>
    <n v="0.39877104377104378"/>
    <n v="0"/>
    <n v="4.4212289562289513"/>
    <n v="2.2106144781144756"/>
    <x v="176"/>
    <x v="177"/>
    <x v="29"/>
    <d v="2025-08-04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899"/>
    <d v="2025-07-08T00:00:00"/>
    <x v="176"/>
    <s v="PedidoF1784"/>
    <s v="CódRastreio1782"/>
    <n v="1"/>
    <s v="CPF 1855"/>
    <s v="Nome 1855"/>
    <s v="Tel 1855"/>
    <s v="Cep 1855"/>
    <s v="Rua 1855"/>
    <s v="Comp 1855"/>
    <s v="Bolsa térmica"/>
    <s v="6I-CK1S-8HYZ"/>
    <d v="2025-07-25T00:00:00"/>
    <n v="28.5"/>
    <n v="28.5"/>
    <n v="3.42"/>
    <n v="25.08"/>
    <n v="20.16"/>
    <n v="0"/>
    <n v="0.39877104377104378"/>
    <n v="0"/>
    <n v="4.5212289562289527"/>
    <n v="2.2606144781144764"/>
    <x v="176"/>
    <x v="177"/>
    <x v="29"/>
    <d v="2025-08-04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900"/>
    <d v="2025-07-08T00:00:00"/>
    <x v="176"/>
    <s v="PedidoF1785"/>
    <s v="CódRastreio1783"/>
    <n v="1"/>
    <s v="CPF 1856"/>
    <s v="Nome 1856"/>
    <s v="Tel 1856"/>
    <s v="Cep 1856"/>
    <s v="Rua 1856"/>
    <s v="Comp 1856"/>
    <s v="Bolsa térmica"/>
    <s v="6I-CK1S-8HYZ"/>
    <d v="2025-07-25T00:00:00"/>
    <n v="28.5"/>
    <n v="28.5"/>
    <n v="3.42"/>
    <n v="25.08"/>
    <n v="20.239999999999998"/>
    <n v="0"/>
    <n v="0.39877104377104378"/>
    <n v="0"/>
    <n v="4.4412289562289544"/>
    <n v="2.2206144781144772"/>
    <x v="176"/>
    <x v="177"/>
    <x v="29"/>
    <d v="2025-08-04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901"/>
    <d v="2025-07-08T00:00:00"/>
    <x v="176"/>
    <s v="PedidoF1786"/>
    <s v="CódRastreio1784"/>
    <n v="1"/>
    <s v="CPF 1857"/>
    <s v="Nome 1857"/>
    <s v="Tel 1857"/>
    <s v="Cep 1857"/>
    <s v="Rua 1857"/>
    <s v="Comp 1857"/>
    <s v="Bolsa térmica"/>
    <s v="6I-CK1S-8HYZ"/>
    <d v="2025-07-29T00:00:00"/>
    <n v="28.5"/>
    <n v="28.5"/>
    <n v="3.42"/>
    <n v="25.08"/>
    <n v="20.37"/>
    <n v="0"/>
    <n v="0.39877104377104378"/>
    <n v="0"/>
    <n v="4.3112289562289519"/>
    <n v="2.1556144781144759"/>
    <x v="177"/>
    <x v="178"/>
    <x v="30"/>
    <d v="2025-08-19T00:00:00"/>
    <x v="9"/>
    <x v="0"/>
    <x v="10"/>
    <s v="ENTREGUE"/>
    <d v="2025-07-20T00:00:00"/>
    <x v="0"/>
    <m/>
    <n v="0"/>
    <n v="0"/>
    <n v="0"/>
    <n v="0"/>
    <n v="0"/>
  </r>
  <r>
    <x v="0"/>
    <s v="BV45849"/>
    <s v="Pedido 1902"/>
    <d v="2025-07-08T00:00:00"/>
    <x v="176"/>
    <s v="PedidoF1787"/>
    <s v="CódRastreio1785"/>
    <n v="1"/>
    <s v="CPF 1858"/>
    <s v="Nome 1858"/>
    <s v="Tel 1858"/>
    <s v="Cep 1858"/>
    <s v="Rua 1858"/>
    <s v="Comp 1858"/>
    <s v="Bolsa térmica"/>
    <s v="6I-CK1S-8HYZ"/>
    <d v="2025-07-29T00:00:00"/>
    <n v="28.5"/>
    <n v="28.5"/>
    <n v="3.42"/>
    <n v="25.08"/>
    <n v="19.5"/>
    <n v="0"/>
    <n v="0.39877104377104378"/>
    <n v="0"/>
    <n v="5.1812289562289529"/>
    <n v="2.5906144781144764"/>
    <x v="177"/>
    <x v="178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49"/>
    <s v="Pedido 1903"/>
    <d v="2025-07-08T00:00:00"/>
    <x v="176"/>
    <s v="PedidoF1788"/>
    <s v="CódRastreio1786"/>
    <n v="1"/>
    <s v="CPF 1859"/>
    <s v="Nome 1859"/>
    <s v="Tel 1859"/>
    <s v="Cep 1859"/>
    <s v="Rua 1859"/>
    <s v="Comp 1859"/>
    <s v="Bolsa térmica"/>
    <s v="6I-CK1S-8HYZ"/>
    <d v="2025-07-29T00:00:00"/>
    <n v="28.5"/>
    <n v="28.5"/>
    <n v="3.42"/>
    <n v="25.08"/>
    <n v="20.29"/>
    <n v="0"/>
    <n v="0.39877104377104378"/>
    <n v="0"/>
    <n v="4.3912289562289537"/>
    <n v="2.1956144781144769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2"/>
    <s v="Pedido 1904"/>
    <d v="2025-07-08T00:00:00"/>
    <x v="177"/>
    <s v="PedidoF1789"/>
    <s v="CódRastreio1787"/>
    <n v="1"/>
    <s v="CPF 1860"/>
    <s v="Nome 1860"/>
    <s v="Tel 1860"/>
    <s v="Cep 1860"/>
    <s v="Rua 1860"/>
    <s v="Comp 1860"/>
    <s v="Máquina de cortar cabelo dragão"/>
    <s v="HG-2FNR-01A9"/>
    <d v="2025-08-02T00:00:00"/>
    <n v="23.9"/>
    <n v="23.9"/>
    <n v="2.8679999999999999"/>
    <n v="21.03"/>
    <n v="20.170000000000002"/>
    <n v="0"/>
    <n v="0.39877104377104378"/>
    <n v="5"/>
    <n v="-4.538771043771046"/>
    <n v="-2.269385521885523"/>
    <x v="181"/>
    <x v="182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49"/>
    <s v="Pedido 1905"/>
    <d v="2025-07-08T00:00:00"/>
    <x v="176"/>
    <s v="PedidoF1790"/>
    <s v="CódRastreio1788"/>
    <n v="1"/>
    <s v="CPF 1861"/>
    <s v="Nome 1861"/>
    <s v="Tel 1861"/>
    <s v="Cep 1861"/>
    <s v="Rua 1861"/>
    <s v="Comp 1861"/>
    <s v="Bolsa térmica"/>
    <s v="6I-CK1S-8HYZ"/>
    <d v="2025-07-29T00:00:00"/>
    <n v="28.5"/>
    <n v="28.5"/>
    <n v="3.42"/>
    <n v="25.08"/>
    <n v="19.89"/>
    <n v="0"/>
    <n v="0.39877104377104378"/>
    <n v="0"/>
    <n v="4.7912289562289523"/>
    <n v="2.3956144781144761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906"/>
    <d v="2025-07-08T00:00:00"/>
    <x v="176"/>
    <s v="PedidoF1791"/>
    <s v="CódRastreio1789"/>
    <n v="1"/>
    <s v="CPF 1862"/>
    <s v="Nome 1862"/>
    <s v="Tel 1862"/>
    <s v="Cep 1862"/>
    <s v="Rua 1862"/>
    <s v="Comp 1862"/>
    <s v="Bolsa térmica"/>
    <s v="6I-CK1S-8HYZ"/>
    <d v="2025-07-25T00:00:00"/>
    <n v="28.5"/>
    <n v="28.5"/>
    <n v="3.42"/>
    <n v="25.08"/>
    <n v="20.32"/>
    <n v="0"/>
    <n v="0.39877104377104378"/>
    <n v="0"/>
    <n v="4.3612289562289526"/>
    <n v="2.1806144781144763"/>
    <x v="176"/>
    <x v="177"/>
    <x v="29"/>
    <d v="2025-08-04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907"/>
    <d v="2025-07-09T00:00:00"/>
    <x v="176"/>
    <s v="PedidoF1792"/>
    <s v="CódRastreio1790"/>
    <n v="1"/>
    <s v="CPF 1863"/>
    <s v="Nome 1863"/>
    <s v="Tel 1863"/>
    <s v="Cep 1863"/>
    <s v="Rua 1863"/>
    <s v="Comp 1863"/>
    <s v="Bolsa térmica"/>
    <s v="6I-CK1S-8HYZ"/>
    <d v="2025-07-30T00:00:00"/>
    <n v="28.5"/>
    <n v="28.5"/>
    <n v="3.42"/>
    <n v="25.08"/>
    <n v="19.5"/>
    <n v="0"/>
    <n v="0.39877104377104378"/>
    <n v="0"/>
    <n v="5.1812289562289529"/>
    <n v="2.5906144781144764"/>
    <x v="175"/>
    <x v="176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49"/>
    <s v="Pedido 1908"/>
    <d v="2025-07-09T00:00:00"/>
    <x v="176"/>
    <s v="PedidoF1793"/>
    <s v="CódRastreio1791"/>
    <n v="1"/>
    <s v="CPF 1864"/>
    <s v="Nome 1864"/>
    <s v="Tel 1864"/>
    <s v="Cep 1864"/>
    <s v="Rua 1864"/>
    <s v="Comp 1864"/>
    <s v="Bolsa térmica"/>
    <s v="6I-CK1S-8HYZ"/>
    <d v="2025-08-05T00:00:00"/>
    <n v="28.5"/>
    <n v="28.5"/>
    <n v="3.42"/>
    <n v="25.08"/>
    <n v="20.18"/>
    <n v="0"/>
    <n v="0.39877104377104378"/>
    <n v="3"/>
    <n v="1.5012289562289531"/>
    <n v="0.75061447811447657"/>
    <x v="182"/>
    <x v="183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2"/>
    <s v="Pedido 1909"/>
    <d v="2025-07-09T00:00:00"/>
    <x v="177"/>
    <s v="PedidoF1794"/>
    <s v="CódRastreio1792"/>
    <n v="1"/>
    <s v="CPF 1865"/>
    <s v="Nome 1865"/>
    <s v="Tel 1865"/>
    <s v="Cep 1865"/>
    <s v="Rua 1865"/>
    <s v="Comp 1865"/>
    <s v="Máquina de cortar cabelo dragão"/>
    <s v="HG-2FNR-01A9"/>
    <d v="2025-08-05T00:00:00"/>
    <n v="23.9"/>
    <n v="23.9"/>
    <n v="2.8679999999999999"/>
    <n v="21.03"/>
    <n v="22.78"/>
    <n v="0"/>
    <n v="0.39877104377104378"/>
    <n v="5"/>
    <n v="-7.1487710437710454"/>
    <n v="-3.5743855218855227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2"/>
    <s v="Pedido 1910"/>
    <d v="2025-07-09T00:00:00"/>
    <x v="177"/>
    <s v="PedidoF1795"/>
    <s v="CódRastreio1793"/>
    <n v="1"/>
    <s v="CPF 1866"/>
    <s v="Nome 1866"/>
    <s v="Tel 1866"/>
    <s v="Cep 1866"/>
    <s v="Rua 1866"/>
    <s v="Comp 1866"/>
    <s v="Máquina de cortar cabelo dragão"/>
    <s v="HG-2FNR-01A9"/>
    <d v="2025-08-05T00:00:00"/>
    <n v="23.9"/>
    <n v="23.9"/>
    <n v="2.8679999999999999"/>
    <n v="21.03"/>
    <n v="16.98"/>
    <n v="0"/>
    <n v="0.39877104377104378"/>
    <n v="3"/>
    <n v="0.65122895622895527"/>
    <n v="0.32561447811447763"/>
    <x v="182"/>
    <x v="183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49"/>
    <s v="Pedido 1911"/>
    <d v="2025-07-09T00:00:00"/>
    <x v="176"/>
    <s v="PedidoF1796"/>
    <s v="CódRastreio1794"/>
    <n v="1"/>
    <s v="CPF 1867"/>
    <s v="Nome 1867"/>
    <s v="Tel 1867"/>
    <s v="Cep 1867"/>
    <s v="Rua 1867"/>
    <s v="Comp 1867"/>
    <s v="Bolsa térmica"/>
    <s v="6I-CK1S-8HYZ"/>
    <d v="2025-07-30T00:00:00"/>
    <n v="28.5"/>
    <n v="28.5"/>
    <n v="3.42"/>
    <n v="25.08"/>
    <n v="20.41"/>
    <n v="0"/>
    <n v="0.39877104377104378"/>
    <n v="0"/>
    <n v="4.2712289562289527"/>
    <n v="2.1356144781144764"/>
    <x v="175"/>
    <x v="176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49"/>
    <s v="Pedido 1912"/>
    <d v="2025-07-09T00:00:00"/>
    <x v="176"/>
    <s v="PedidoF1797"/>
    <s v="CódRastreio1795"/>
    <n v="1"/>
    <s v="CPF 1868"/>
    <s v="Nome 1868"/>
    <s v="Tel 1868"/>
    <s v="Cep 1868"/>
    <s v="Rua 1868"/>
    <s v="Comp 1868"/>
    <s v="Bolsa térmica"/>
    <s v="6I-CK1S-8HYZ"/>
    <d v="2025-07-30T00:00:00"/>
    <n v="28.5"/>
    <n v="28.5"/>
    <n v="3.42"/>
    <n v="25.08"/>
    <n v="19.5"/>
    <n v="0"/>
    <n v="0.39877104377104378"/>
    <n v="0"/>
    <n v="5.1812289562289529"/>
    <n v="2.5906144781144764"/>
    <x v="175"/>
    <x v="176"/>
    <x v="30"/>
    <d v="2025-08-19T00:00:00"/>
    <x v="9"/>
    <x v="0"/>
    <x v="10"/>
    <s v="ENTREGUE"/>
    <d v="2025-07-16T00:00:00"/>
    <x v="0"/>
    <m/>
    <n v="0"/>
    <n v="0"/>
    <n v="0"/>
    <n v="0"/>
    <n v="0"/>
  </r>
  <r>
    <x v="0"/>
    <s v="BV45849"/>
    <s v="Pedido 1913"/>
    <d v="2025-07-09T00:00:00"/>
    <x v="176"/>
    <s v="PedidoF1798"/>
    <s v="CódRastreio1796"/>
    <n v="1"/>
    <s v="CPF 1869"/>
    <s v="Nome 1869"/>
    <s v="Tel 1869"/>
    <s v="Cep 1869"/>
    <s v="Rua 1869"/>
    <s v="Comp 1869"/>
    <s v="Bolsa térmica"/>
    <s v="6I-CK1S-8HYZ"/>
    <d v="2025-07-30T00:00:00"/>
    <n v="28.5"/>
    <n v="28.5"/>
    <n v="3.42"/>
    <n v="25.08"/>
    <n v="20.53"/>
    <n v="0"/>
    <n v="0.39877104377104378"/>
    <n v="0"/>
    <n v="4.1512289562289517"/>
    <n v="2.0756144781144759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49"/>
    <s v="Pedido 1914"/>
    <d v="2025-07-09T00:00:00"/>
    <x v="176"/>
    <s v="PedidoF1799"/>
    <s v="CódRastreio1797"/>
    <n v="1"/>
    <s v="CPF 1870"/>
    <s v="Nome 1870"/>
    <s v="Tel 1870"/>
    <s v="Cep 1870"/>
    <s v="Rua 1870"/>
    <s v="Comp 1870"/>
    <s v="Bolsa térmica"/>
    <s v="6I-CK1S-8HYZ"/>
    <d v="2025-07-30T00:00:00"/>
    <n v="28.5"/>
    <n v="28.5"/>
    <n v="3.42"/>
    <n v="25.08"/>
    <n v="20.58"/>
    <n v="0"/>
    <n v="0.39877104377104378"/>
    <n v="0"/>
    <n v="4.1012289562289546"/>
    <n v="2.0506144781144773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2"/>
    <s v="Pedido 1915"/>
    <d v="2025-07-09T00:00:00"/>
    <x v="177"/>
    <s v="PedidoF1800"/>
    <s v="CódRastreio1798"/>
    <n v="1"/>
    <s v="CPF 1871"/>
    <s v="Nome 1871"/>
    <s v="Tel 1871"/>
    <s v="Cep 1871"/>
    <s v="Rua 1871"/>
    <s v="Comp 1871"/>
    <s v="Máquina de cortar cabelo dragão"/>
    <s v="HG-2FNR-01A9"/>
    <d v="2025-08-05T00:00:00"/>
    <n v="23.9"/>
    <n v="23.9"/>
    <n v="2.8679999999999999"/>
    <n v="21.03"/>
    <n v="16.98"/>
    <n v="0"/>
    <n v="0.39877104377104378"/>
    <n v="3"/>
    <n v="0.65122895622895527"/>
    <n v="0.32561447811447763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3"/>
    <s v="Pedido 1916"/>
    <d v="2025-07-09T00:00:00"/>
    <x v="178"/>
    <s v="PedidoF1801"/>
    <s v="CódRastreio1799"/>
    <n v="1"/>
    <s v="CPF 1872"/>
    <s v="Nome 1872"/>
    <s v="Tel 1872"/>
    <s v="Cep 1872"/>
    <s v="Rua 1872"/>
    <s v="Comp 1872"/>
    <s v="Bolsa térmica"/>
    <s v="6I-CK1S-8HYZ"/>
    <d v="2025-07-30T00:00:00"/>
    <n v="28.5"/>
    <n v="28.5"/>
    <n v="3.42"/>
    <n v="25.08"/>
    <n v="14.38"/>
    <n v="0"/>
    <n v="0.39877104377104378"/>
    <n v="0"/>
    <n v="10.301228956228954"/>
    <n v="5.1506144781144769"/>
    <x v="175"/>
    <x v="176"/>
    <x v="30"/>
    <d v="2025-08-19T00:00:00"/>
    <x v="9"/>
    <x v="0"/>
    <x v="10"/>
    <s v="ENTREGUE"/>
    <d v="2025-08-05T00:00:00"/>
    <x v="0"/>
    <m/>
    <n v="0"/>
    <n v="0"/>
    <n v="0"/>
    <n v="0"/>
    <n v="0"/>
  </r>
  <r>
    <x v="0"/>
    <s v="BV45853"/>
    <s v="Pedido 1917"/>
    <d v="2025-07-09T00:00:00"/>
    <x v="178"/>
    <s v="PedidoF1802"/>
    <s v="CódRastreio1800"/>
    <n v="1"/>
    <s v="CPF 1873"/>
    <s v="Nome 1873"/>
    <s v="Tel 1873"/>
    <s v="Cep 1873"/>
    <s v="Rua 1873"/>
    <s v="Comp 1873"/>
    <s v="Bolsa térmica"/>
    <s v="6I-CK1S-8HYZ"/>
    <d v="2025-07-30T00:00:00"/>
    <n v="28.5"/>
    <n v="28.5"/>
    <n v="3.42"/>
    <n v="25.08"/>
    <n v="18.25"/>
    <n v="0"/>
    <n v="0.39877104377104378"/>
    <n v="0"/>
    <n v="6.4312289562289529"/>
    <n v="3.2156144781144764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3"/>
    <s v="Pedido 1918"/>
    <d v="2025-07-09T00:00:00"/>
    <x v="178"/>
    <s v="PedidoF1803"/>
    <s v="CódRastreio1801"/>
    <n v="1"/>
    <s v="CPF 1874"/>
    <s v="Nome 1874"/>
    <s v="Tel 1874"/>
    <s v="Cep 1874"/>
    <s v="Rua 1874"/>
    <s v="Comp 1874"/>
    <s v="Bolsa térmica"/>
    <s v="6I-CK1S-8HYZ"/>
    <d v="2025-07-30T00:00:00"/>
    <n v="28.5"/>
    <n v="28.5"/>
    <n v="3.42"/>
    <n v="25.08"/>
    <n v="20.03"/>
    <n v="0"/>
    <n v="0.39877104377104378"/>
    <n v="0"/>
    <n v="4.6512289562289517"/>
    <n v="2.3256144781144759"/>
    <x v="175"/>
    <x v="176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3"/>
    <s v="Pedido 1919"/>
    <d v="2025-07-09T00:00:00"/>
    <x v="178"/>
    <s v="PedidoF1804"/>
    <s v="CódRastreio1802"/>
    <n v="1"/>
    <s v="CPF 1875"/>
    <s v="Nome 1875"/>
    <s v="Tel 1875"/>
    <s v="Cep 1875"/>
    <s v="Rua 1875"/>
    <s v="Comp 1875"/>
    <s v="Bolsa térmica"/>
    <s v="6I-CK1S-8HYZ"/>
    <d v="2025-07-30T00:00:00"/>
    <n v="28.5"/>
    <n v="28.5"/>
    <n v="3.42"/>
    <n v="25.08"/>
    <n v="19.579999999999998"/>
    <n v="0"/>
    <n v="0.39877104377104378"/>
    <n v="0"/>
    <n v="5.1012289562289546"/>
    <n v="2.5506144781144773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2"/>
    <s v="Pedido 1920"/>
    <d v="2025-07-10T00:00:00"/>
    <x v="177"/>
    <s v="PedidoF1805"/>
    <s v="CódRastreio1803"/>
    <n v="1"/>
    <s v="CPF 1876"/>
    <s v="Nome 1876"/>
    <s v="Tel 1876"/>
    <s v="Cep 1876"/>
    <s v="Rua 1876"/>
    <s v="Comp 1876"/>
    <s v="Máquina de cortar cabelo dragão"/>
    <s v="HG-2FNR-01A9"/>
    <d v="2025-07-24T00:00:00"/>
    <n v="23.9"/>
    <n v="23.9"/>
    <n v="2.8679999999999999"/>
    <n v="21.03"/>
    <n v="16.98"/>
    <n v="0"/>
    <n v="0.39877104377104378"/>
    <n v="0"/>
    <n v="3.6512289562289553"/>
    <n v="1.8256144781144776"/>
    <x v="172"/>
    <x v="173"/>
    <x v="29"/>
    <d v="2025-08-04T00:00:00"/>
    <x v="8"/>
    <x v="0"/>
    <x v="10"/>
    <s v="ENTREGUE"/>
    <d v="2025-07-26T00:00:00"/>
    <x v="0"/>
    <m/>
    <n v="0"/>
    <n v="0"/>
    <n v="0"/>
    <n v="0"/>
    <n v="0"/>
  </r>
  <r>
    <x v="0"/>
    <s v="BV45852"/>
    <s v="Pedido 1921"/>
    <d v="2025-07-10T00:00:00"/>
    <x v="177"/>
    <s v="PedidoF1806"/>
    <s v="CódRastreio1804"/>
    <n v="1"/>
    <s v="CPF 1877"/>
    <s v="Nome 1877"/>
    <s v="Tel 1877"/>
    <s v="Cep 1877"/>
    <s v="Rua 1877"/>
    <s v="Comp 1877"/>
    <s v="Máquina de cortar cabelo dragão"/>
    <s v="HG-2FNR-01A9"/>
    <d v="2025-08-06T00:00:00"/>
    <n v="23.9"/>
    <n v="23.9"/>
    <n v="2.8679999999999999"/>
    <n v="21.03"/>
    <n v="21.23"/>
    <n v="0"/>
    <n v="0.39877104377104378"/>
    <n v="5"/>
    <n v="-5.5987710437710447"/>
    <n v="-2.7993855218855224"/>
    <x v="178"/>
    <x v="179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3"/>
    <s v="Pedido 1922"/>
    <d v="2025-07-10T00:00:00"/>
    <x v="178"/>
    <s v="PedidoF1807"/>
    <s v="CódRastreio1805"/>
    <n v="2"/>
    <s v="CPF 1878"/>
    <s v="Nome 1878"/>
    <s v="Tel 1878"/>
    <s v="Cep 1878"/>
    <s v="Rua 1878"/>
    <s v="Comp 1878"/>
    <s v="Bolsa térmica"/>
    <s v="6I-CK1S-8HYZ"/>
    <d v="2025-07-31T00:00:00"/>
    <n v="57"/>
    <n v="57"/>
    <n v="6.84"/>
    <n v="50.16"/>
    <n v="35.86"/>
    <n v="0"/>
    <n v="0.39877104377104378"/>
    <n v="0"/>
    <n v="13.901228956228955"/>
    <n v="6.9506144781144776"/>
    <x v="183"/>
    <x v="184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3"/>
    <s v="Pedido 1923"/>
    <d v="2025-07-10T00:00:00"/>
    <x v="178"/>
    <s v="PedidoF1808"/>
    <s v="CódRastreio1806"/>
    <n v="1"/>
    <s v="CPF 1879"/>
    <s v="Nome 1879"/>
    <s v="Tel 1879"/>
    <s v="Cep 1879"/>
    <s v="Rua 1879"/>
    <s v="Comp 1879"/>
    <s v="Bolsa térmica"/>
    <s v="6I-CK1S-8HYZ"/>
    <d v="2025-07-31T00:00:00"/>
    <n v="28.5"/>
    <n v="28.5"/>
    <n v="3.42"/>
    <n v="25.08"/>
    <n v="18.38"/>
    <n v="0"/>
    <n v="0.39877104377104378"/>
    <n v="1"/>
    <n v="5.3012289562289538"/>
    <n v="2.6506144781144769"/>
    <x v="183"/>
    <x v="184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3"/>
    <s v="Pedido 1924"/>
    <d v="2025-07-10T00:00:00"/>
    <x v="178"/>
    <s v="PedidoF1809"/>
    <s v="CódRastreio1807"/>
    <n v="2"/>
    <s v="CPF 1880"/>
    <s v="Nome 1880"/>
    <s v="Tel 1880"/>
    <s v="Cep 1880"/>
    <s v="Rua 1880"/>
    <s v="Comp 1880"/>
    <s v="Bolsa térmica"/>
    <s v="6I-CK1S-8HYZ"/>
    <d v="2025-07-31T00:00:00"/>
    <n v="57"/>
    <n v="57"/>
    <n v="6.84"/>
    <n v="50.16"/>
    <n v="36.32"/>
    <n v="0"/>
    <n v="0.39877104377104378"/>
    <n v="0"/>
    <n v="13.441228956228954"/>
    <n v="6.7206144781144772"/>
    <x v="183"/>
    <x v="184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3"/>
    <s v="Pedido 1925"/>
    <d v="2025-07-11T00:00:00"/>
    <x v="178"/>
    <s v="PedidoF1810"/>
    <s v="CódRastreio1808"/>
    <n v="1"/>
    <s v="CPF 1881"/>
    <s v="Nome 1881"/>
    <s v="Tel 1881"/>
    <s v="Cep 1881"/>
    <s v="Rua 1881"/>
    <s v="Comp 1881"/>
    <s v="Bolsa térmica"/>
    <s v="6I-CK1S-8HYZ"/>
    <d v="2025-07-25T00:00:00"/>
    <n v="28.5"/>
    <n v="28.5"/>
    <n v="3.42"/>
    <n v="25.08"/>
    <n v="17.55"/>
    <n v="0"/>
    <n v="0.39877104377104378"/>
    <n v="0"/>
    <n v="7.1312289562289521"/>
    <n v="3.5656144781144761"/>
    <x v="176"/>
    <x v="177"/>
    <x v="29"/>
    <d v="2025-08-04T00:00:00"/>
    <x v="9"/>
    <x v="0"/>
    <x v="10"/>
    <s v="ENTREGUE"/>
    <d v="2025-07-19T00:00:00"/>
    <x v="0"/>
    <m/>
    <n v="0"/>
    <n v="0"/>
    <n v="0"/>
    <n v="0"/>
    <n v="0"/>
  </r>
  <r>
    <x v="0"/>
    <s v="BV45853"/>
    <s v="Pedido 1926"/>
    <d v="2025-07-11T00:00:00"/>
    <x v="178"/>
    <s v="PedidoF1811"/>
    <s v="CódRastreio1809"/>
    <n v="1"/>
    <s v="CPF 1882"/>
    <s v="Nome 1882"/>
    <s v="Tel 1882"/>
    <s v="Cep 1882"/>
    <s v="Rua 1882"/>
    <s v="Comp 1882"/>
    <s v="Brinquedo Bola Giratória voadora"/>
    <s v="ZV-W7II-K7TO"/>
    <d v="2025-07-25T00:00:00"/>
    <n v="49.99"/>
    <n v="49.99"/>
    <n v="5.9988000000000001"/>
    <n v="43.99"/>
    <n v="0"/>
    <n v="0"/>
    <n v="0.39877104377104378"/>
    <n v="0"/>
    <n v="43.59122895622896"/>
    <n v="21.79561447811448"/>
    <x v="176"/>
    <x v="177"/>
    <x v="29"/>
    <d v="2025-08-04T00:00:00"/>
    <x v="9"/>
    <x v="0"/>
    <x v="10"/>
    <s v="ENTREGUE"/>
    <d v="2025-08-12T00:00:00"/>
    <x v="0"/>
    <m/>
    <n v="0"/>
    <n v="0"/>
    <n v="0.4"/>
    <n v="0"/>
    <n v="0.4"/>
  </r>
  <r>
    <x v="0"/>
    <s v="BV45853"/>
    <s v="Pedido 1927"/>
    <d v="2025-07-11T00:00:00"/>
    <x v="178"/>
    <s v="PedidoF1812"/>
    <s v="CódRastreio1810"/>
    <n v="1"/>
    <s v="CPF 1883"/>
    <s v="Nome 1883"/>
    <s v="Tel 1883"/>
    <s v="Cep 1883"/>
    <s v="Rua 1883"/>
    <s v="Comp 1883"/>
    <s v="Bolsa térmica"/>
    <s v="6I-CK1S-8HYZ"/>
    <d v="2025-07-25T00:00:00"/>
    <n v="28.5"/>
    <n v="28.5"/>
    <n v="3.42"/>
    <n v="25.08"/>
    <n v="17.600000000000001"/>
    <n v="0"/>
    <n v="0.39877104377104378"/>
    <n v="0"/>
    <n v="7.0812289562289514"/>
    <n v="3.5406144781144757"/>
    <x v="176"/>
    <x v="177"/>
    <x v="29"/>
    <d v="2025-08-04T00:00:00"/>
    <x v="9"/>
    <x v="0"/>
    <x v="10"/>
    <s v="ENTREGUE"/>
    <d v="2025-07-19T00:00:00"/>
    <x v="0"/>
    <m/>
    <n v="0"/>
    <n v="0"/>
    <n v="0"/>
    <n v="0"/>
    <n v="0"/>
  </r>
  <r>
    <x v="0"/>
    <s v="BV45853"/>
    <s v="Pedido 1928"/>
    <d v="2025-07-11T00:00:00"/>
    <x v="178"/>
    <s v="PedidoF1813"/>
    <s v="CódRastreio1811"/>
    <n v="1"/>
    <s v="CPF 1884"/>
    <s v="Nome 1884"/>
    <s v="Tel 1884"/>
    <s v="Cep 1884"/>
    <s v="Rua 1884"/>
    <s v="Comp 1884"/>
    <s v="Bolsa térmica"/>
    <s v="6I-CK1S-8HYZ"/>
    <d v="2025-07-25T00:00:00"/>
    <n v="28.5"/>
    <n v="28.5"/>
    <n v="3.42"/>
    <n v="25.08"/>
    <n v="23.36"/>
    <n v="0"/>
    <n v="0.39877104377104378"/>
    <n v="0"/>
    <n v="1.3212289562289534"/>
    <n v="0.66061447811447671"/>
    <x v="176"/>
    <x v="177"/>
    <x v="29"/>
    <d v="2025-08-04T00:00:00"/>
    <x v="9"/>
    <x v="0"/>
    <x v="10"/>
    <s v="ENTREGUE"/>
    <d v="2025-07-21T00:00:00"/>
    <x v="0"/>
    <m/>
    <n v="0"/>
    <n v="0"/>
    <n v="0"/>
    <n v="0"/>
    <n v="0"/>
  </r>
  <r>
    <x v="0"/>
    <s v="BV45853"/>
    <s v="Pedido 1929"/>
    <d v="2025-07-11T00:00:00"/>
    <x v="178"/>
    <s v="PedidoF1814"/>
    <s v="CódRastreio1812"/>
    <n v="1"/>
    <s v="CPF 1885"/>
    <s v="Nome 1885"/>
    <s v="Tel 1885"/>
    <s v="Cep 1885"/>
    <s v="Rua 1885"/>
    <s v="Comp 1885"/>
    <s v="Bolsa térmica"/>
    <s v="6I-CK1S-8HYZ"/>
    <d v="2025-07-26T00:00:00"/>
    <n v="28.5"/>
    <n v="28.5"/>
    <n v="3.42"/>
    <n v="25.08"/>
    <n v="21.96"/>
    <n v="0"/>
    <n v="0.39877104377104378"/>
    <n v="0"/>
    <n v="2.721228956228952"/>
    <n v="1.360614478114476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4"/>
    <s v="Pedido 1930"/>
    <d v="2025-07-11T00:00:00"/>
    <x v="179"/>
    <s v="PedidoF1815"/>
    <s v="CódRastreio1813"/>
    <n v="1"/>
    <s v="CPF 1886"/>
    <s v="Nome 1886"/>
    <s v="Tel 1886"/>
    <s v="Cep 1886"/>
    <s v="Rua 1886"/>
    <s v="Comp 1886"/>
    <s v="Bolsa térmica"/>
    <s v="6I-CK1S-8HYZ"/>
    <d v="2025-08-01T00:00:00"/>
    <n v="28.5"/>
    <n v="28.5"/>
    <n v="3.42"/>
    <n v="25.08"/>
    <n v="24.57"/>
    <n v="0"/>
    <n v="0.39877104377104378"/>
    <n v="0"/>
    <n v="0.11122895622895257"/>
    <n v="5.5614478114476285E-2"/>
    <x v="180"/>
    <x v="181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31"/>
    <d v="2025-07-11T00:00:00"/>
    <x v="180"/>
    <s v="PedidoF1816"/>
    <s v="CódRastreio1814"/>
    <n v="1"/>
    <s v="CPF 1887"/>
    <s v="Nome 1887"/>
    <s v="Tel 1887"/>
    <s v="Cep 1887"/>
    <s v="Rua 1887"/>
    <s v="Comp 1887"/>
    <s v="Bolsa térmica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x v="175"/>
    <x v="176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5"/>
    <s v="Pedido 1932"/>
    <d v="2025-07-11T00:00:00"/>
    <x v="180"/>
    <s v="PedidoF1817"/>
    <s v="CódRastreio1815"/>
    <n v="1"/>
    <s v="CPF 1888"/>
    <s v="Nome 1888"/>
    <s v="Tel 1888"/>
    <s v="Cep 1888"/>
    <s v="Rua 1888"/>
    <s v="Comp 1888"/>
    <s v="Bolsa térmica"/>
    <s v="6I-CK1S-8HYZ"/>
    <d v="2025-07-26T00:00:00"/>
    <n v="28.5"/>
    <n v="28.5"/>
    <n v="3.42"/>
    <n v="25.08"/>
    <n v="23.21"/>
    <n v="0"/>
    <n v="0.39877104377104378"/>
    <n v="0"/>
    <n v="1.471228956228952"/>
    <n v="0.735614478114476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33"/>
    <d v="2025-07-11T00:00:00"/>
    <x v="180"/>
    <s v="PedidoF1818"/>
    <s v="CódRastreio1816"/>
    <n v="1"/>
    <s v="CPF 1889"/>
    <s v="Nome 1889"/>
    <s v="Tel 1889"/>
    <s v="Cep 1889"/>
    <s v="Rua 1889"/>
    <s v="Comp 1889"/>
    <s v="Bolsa térmica"/>
    <s v="6I-CK1S-8HYZ"/>
    <d v="2025-07-26T00:00:00"/>
    <n v="28.5"/>
    <n v="28.5"/>
    <n v="3.42"/>
    <n v="25.08"/>
    <n v="23.49"/>
    <n v="0"/>
    <n v="0.39877104377104378"/>
    <n v="0"/>
    <n v="1.1912289562289544"/>
    <n v="0.59561447811447721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1"/>
    <s v="GO45854"/>
    <s v="Pedido 1934"/>
    <d v="2025-07-11T00:00:00"/>
    <x v="179"/>
    <s v="PedidoF1819"/>
    <s v="CódRastreio1817"/>
    <n v="1"/>
    <s v="CPF 1890"/>
    <s v="Nome 1890"/>
    <s v="Tel 1890"/>
    <s v="Cep 1890"/>
    <s v="Rua 1890"/>
    <s v="Comp 1890"/>
    <s v="Brinquedo Bola Giratória voadora"/>
    <s v="EL-YKJD-0WWL"/>
    <d v="2025-08-06T00:00:00"/>
    <n v="54.99"/>
    <n v="54.99"/>
    <n v="6.5987999999999998"/>
    <n v="48.39"/>
    <n v="0"/>
    <n v="0"/>
    <n v="0.39877104377104378"/>
    <n v="0"/>
    <n v="47.991228956228959"/>
    <n v="47.991228956228959"/>
    <x v="178"/>
    <x v="179"/>
    <x v="30"/>
    <d v="2025-08-19T00:00:00"/>
    <x v="9"/>
    <x v="0"/>
    <x v="10"/>
    <s v="ENTREGUE"/>
    <d v="2025-07-28T00:00:00"/>
    <x v="0"/>
    <m/>
    <n v="0"/>
    <n v="0"/>
    <n v="0"/>
    <n v="45.29"/>
    <n v="45.29"/>
  </r>
  <r>
    <x v="0"/>
    <s v="BV45855"/>
    <s v="Pedido 1935"/>
    <d v="2025-07-12T00:00:00"/>
    <x v="180"/>
    <s v="PedidoF1820"/>
    <s v="CódRastreio1818"/>
    <n v="1"/>
    <s v="CPF 1891"/>
    <s v="Nome 1891"/>
    <s v="Tel 1891"/>
    <s v="Cep 1891"/>
    <s v="Rua 1891"/>
    <s v="Comp 1891"/>
    <s v="Bolsa térmica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36"/>
    <d v="2025-07-12T00:00:00"/>
    <x v="180"/>
    <s v="PedidoF1821"/>
    <s v="CódRastreio1819"/>
    <n v="1"/>
    <s v="CPF 1892"/>
    <s v="Nome 1892"/>
    <s v="Tel 1892"/>
    <s v="Cep 1892"/>
    <s v="Rua 1892"/>
    <s v="Comp 1892"/>
    <s v="Bolsa térmica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x v="175"/>
    <x v="176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5"/>
    <s v="Pedido 1937"/>
    <d v="2025-07-12T00:00:00"/>
    <x v="180"/>
    <s v="PedidoF1822"/>
    <s v="CódRastreio1820"/>
    <n v="1"/>
    <s v="CPF 1893"/>
    <s v="Nome 1893"/>
    <s v="Tel 1893"/>
    <s v="Cep 1893"/>
    <s v="Rua 1893"/>
    <s v="Comp 1893"/>
    <s v="Bolsa térmica"/>
    <s v="6I-CK1S-8HYZ"/>
    <d v="2025-08-01T00:00:00"/>
    <n v="28.5"/>
    <n v="28.5"/>
    <n v="3.42"/>
    <n v="25.08"/>
    <n v="22.58"/>
    <n v="0"/>
    <n v="0.39877104377104378"/>
    <n v="0"/>
    <n v="2.1012289562289546"/>
    <n v="1.0506144781144773"/>
    <x v="180"/>
    <x v="181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5"/>
    <s v="Pedido 1938"/>
    <d v="2025-07-12T00:00:00"/>
    <x v="180"/>
    <s v="PedidoF1823"/>
    <s v="CódRastreio1821"/>
    <n v="1"/>
    <s v="CPF 1894"/>
    <s v="Nome 1894"/>
    <s v="Tel 1894"/>
    <s v="Cep 1894"/>
    <s v="Rua 1894"/>
    <s v="Comp 1894"/>
    <s v="Bolsa térmica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39"/>
    <d v="2025-07-12T00:00:00"/>
    <x v="180"/>
    <s v="PedidoF1824"/>
    <s v="CódRastreio1822"/>
    <n v="1"/>
    <s v="CPF 1895"/>
    <s v="Nome 1895"/>
    <s v="Tel 1895"/>
    <s v="Cep 1895"/>
    <s v="Rua 1895"/>
    <s v="Comp 1895"/>
    <s v="Bolsa térmica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40"/>
    <d v="2025-07-12T00:00:00"/>
    <x v="180"/>
    <s v="PedidoF1825"/>
    <s v="CódRastreio1823"/>
    <n v="1"/>
    <s v="CPF 1896"/>
    <s v="Nome 1896"/>
    <s v="Tel 1896"/>
    <s v="Cep 1896"/>
    <s v="Rua 1896"/>
    <s v="Comp 1896"/>
    <s v="Bolsa térmica"/>
    <s v="6I-CK1S-8HYZ"/>
    <d v="2025-07-26T00:00:00"/>
    <n v="28.5"/>
    <n v="28.5"/>
    <n v="3.42"/>
    <n v="25.08"/>
    <n v="23.21"/>
    <n v="0"/>
    <n v="0.39877104377104378"/>
    <n v="0"/>
    <n v="1.471228956228952"/>
    <n v="0.735614478114476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41"/>
    <d v="2025-07-12T00:00:00"/>
    <x v="180"/>
    <s v="PedidoF1826"/>
    <s v="CódRastreio1824"/>
    <n v="1"/>
    <s v="CPF 1897"/>
    <s v="Nome 1897"/>
    <s v="Tel 1897"/>
    <s v="Cep 1897"/>
    <s v="Rua 1897"/>
    <s v="Comp 1897"/>
    <s v="Bolsa térmica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x v="174"/>
    <x v="175"/>
    <x v="30"/>
    <d v="2025-08-19T00:00:00"/>
    <x v="9"/>
    <x v="0"/>
    <x v="10"/>
    <s v="ENTREGUE"/>
    <d v="2025-07-20T00:00:00"/>
    <x v="0"/>
    <m/>
    <n v="0"/>
    <n v="0"/>
    <n v="0"/>
    <n v="0"/>
    <n v="0"/>
  </r>
  <r>
    <x v="0"/>
    <s v="BV45855"/>
    <s v="Pedido 1942"/>
    <d v="2025-07-12T00:00:00"/>
    <x v="180"/>
    <s v="PedidoF1827"/>
    <s v="CódRastreio1825"/>
    <n v="1"/>
    <s v="CPF 1898"/>
    <s v="Nome 1898"/>
    <s v="Tel 1898"/>
    <s v="Cep 1898"/>
    <s v="Rua 1898"/>
    <s v="Comp 1898"/>
    <s v="Bolsa térmica"/>
    <s v="6I-CK1S-8HYZ"/>
    <d v="2025-08-01T00:00:00"/>
    <n v="28.5"/>
    <n v="28.5"/>
    <n v="3.42"/>
    <n v="25.08"/>
    <n v="23.49"/>
    <n v="0"/>
    <n v="0.39877104377104378"/>
    <n v="0"/>
    <n v="1.1912289562289544"/>
    <n v="0.59561447811447721"/>
    <x v="180"/>
    <x v="181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5"/>
    <s v="Pedido 1943"/>
    <d v="2025-07-12T00:00:00"/>
    <x v="180"/>
    <s v="PedidoF1828"/>
    <s v="CódRastreio1826"/>
    <n v="1"/>
    <s v="CPF 1899"/>
    <s v="Nome 1899"/>
    <s v="Tel 1899"/>
    <s v="Cep 1899"/>
    <s v="Rua 1899"/>
    <s v="Comp 1899"/>
    <s v="Bolsa térmica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x v="175"/>
    <x v="176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5"/>
    <s v="Pedido 1944"/>
    <d v="2025-07-12T00:00:00"/>
    <x v="180"/>
    <s v="PedidoF1829"/>
    <s v="CódRastreio1827"/>
    <n v="1"/>
    <s v="CPF 1900"/>
    <s v="Nome 1900"/>
    <s v="Tel 1900"/>
    <s v="Cep 1900"/>
    <s v="Rua 1900"/>
    <s v="Comp 1900"/>
    <s v="Bolsa térmica"/>
    <s v="6I-CK1S-8HYZ"/>
    <d v="2025-07-26T00:00:00"/>
    <n v="28.5"/>
    <n v="28.5"/>
    <n v="3.42"/>
    <n v="25.08"/>
    <n v="23.43"/>
    <n v="0"/>
    <n v="0.39877104377104378"/>
    <n v="0"/>
    <n v="1.2512289562289531"/>
    <n v="0.62561447811447657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45"/>
    <d v="2025-07-13T00:00:00"/>
    <x v="181"/>
    <s v="PedidoF1830"/>
    <s v="CódRastreio1828"/>
    <n v="1"/>
    <s v="CPF 1901"/>
    <s v="Nome 1901"/>
    <s v="Tel 1901"/>
    <s v="Cep 1901"/>
    <s v="Rua 1901"/>
    <s v="Comp 1901"/>
    <s v="Bolsa térmica"/>
    <s v="6I-CK1S-8HYZ"/>
    <d v="2025-08-01T00:00:00"/>
    <n v="28.5"/>
    <n v="28.5"/>
    <n v="3.42"/>
    <n v="25.08"/>
    <n v="22.58"/>
    <n v="0"/>
    <n v="0.39877104377104378"/>
    <n v="0"/>
    <n v="2.1012289562289546"/>
    <n v="1.0506144781144773"/>
    <x v="180"/>
    <x v="181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5"/>
    <s v="Pedido 1946"/>
    <d v="2025-07-13T00:00:00"/>
    <x v="180"/>
    <s v="PedidoF1831"/>
    <s v="CódRastreio1829"/>
    <n v="1"/>
    <s v="CPF 1902"/>
    <s v="Nome 1902"/>
    <s v="Tel 1902"/>
    <s v="Cep 1902"/>
    <s v="Rua 1902"/>
    <s v="Comp 1902"/>
    <s v="Bolsa térmica"/>
    <s v="6I-CK1S-8HYZ"/>
    <d v="2025-08-01T00:00:00"/>
    <n v="28.5"/>
    <n v="28.5"/>
    <n v="3.42"/>
    <n v="25.08"/>
    <n v="22.58"/>
    <n v="0"/>
    <n v="0.39877104377104378"/>
    <n v="0"/>
    <n v="2.1012289562289546"/>
    <n v="1.0506144781144773"/>
    <x v="180"/>
    <x v="181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3"/>
    <s v="Pedido 1947"/>
    <d v="2025-07-13T00:00:00"/>
    <x v="178"/>
    <s v="PedidoF1832"/>
    <s v="CódRastreio1830"/>
    <n v="2"/>
    <s v="CPF 1903"/>
    <s v="Nome 1903"/>
    <s v="Tel 1903"/>
    <s v="Cep 1903"/>
    <s v="Rua 1903"/>
    <s v="Comp 1903"/>
    <s v="Bolsa térmica"/>
    <s v="6I-CK1S-8HYZ"/>
    <d v="2025-07-26T00:00:00"/>
    <n v="57"/>
    <n v="57"/>
    <n v="6.84"/>
    <n v="50.16"/>
    <n v="35.26"/>
    <n v="0"/>
    <n v="0.39877104377104378"/>
    <n v="0"/>
    <n v="14.501228956228957"/>
    <n v="7.2506144781144783"/>
    <x v="174"/>
    <x v="175"/>
    <x v="30"/>
    <d v="2025-08-19T00:00:00"/>
    <x v="9"/>
    <x v="0"/>
    <x v="10"/>
    <s v="ENTREGUE"/>
    <d v="2025-07-18T00:00:00"/>
    <x v="0"/>
    <m/>
    <n v="0"/>
    <n v="0"/>
    <n v="0"/>
    <n v="0"/>
    <n v="0"/>
  </r>
  <r>
    <x v="0"/>
    <s v="BV45856"/>
    <s v="Pedido 1948"/>
    <d v="2025-07-13T00:00:00"/>
    <x v="181"/>
    <s v="PedidoF1833"/>
    <s v="CódRastreio1831"/>
    <n v="1"/>
    <s v="CPF 1904"/>
    <s v="Nome 1904"/>
    <s v="Tel 1904"/>
    <s v="Cep 1904"/>
    <s v="Rua 1904"/>
    <s v="Comp 1904"/>
    <s v="Bolsa térmica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x v="175"/>
    <x v="176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6"/>
    <s v="Pedido 1949"/>
    <d v="2025-07-13T00:00:00"/>
    <x v="181"/>
    <s v="PedidoF1834"/>
    <s v="CódRastreio1832"/>
    <n v="1"/>
    <s v="CPF 1905"/>
    <s v="Nome 1905"/>
    <s v="Tel 1905"/>
    <s v="Cep 1905"/>
    <s v="Rua 1905"/>
    <s v="Comp 1905"/>
    <s v="Bolsa térmica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50"/>
    <d v="2025-07-13T00:00:00"/>
    <x v="181"/>
    <s v="PedidoF1835"/>
    <s v="CódRastreio1833"/>
    <n v="1"/>
    <s v="CPF 1906"/>
    <s v="Nome 1906"/>
    <s v="Tel 1906"/>
    <s v="Cep 1906"/>
    <s v="Rua 1906"/>
    <s v="Comp 1906"/>
    <s v="Bolsa térmica"/>
    <s v="6I-CK1S-8HYZ"/>
    <d v="2025-07-26T00:00:00"/>
    <n v="28.5"/>
    <n v="28.5"/>
    <n v="3.42"/>
    <n v="25.08"/>
    <n v="22.58"/>
    <n v="0"/>
    <n v="0.39877104377104378"/>
    <n v="0"/>
    <n v="2.1012289562289546"/>
    <n v="1.0506144781144773"/>
    <x v="174"/>
    <x v="175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2"/>
    <s v="Pedido 1951"/>
    <d v="2025-07-12T00:00:00"/>
    <x v="177"/>
    <s v="PedidoF1836"/>
    <s v="CódRastreio1834"/>
    <n v="1"/>
    <s v="CPF 1907"/>
    <s v="Nome 1907"/>
    <s v="Tel 1907"/>
    <s v="Cep 1907"/>
    <s v="Rua 1907"/>
    <s v="Comp 1907"/>
    <s v="Máquina de cortar cabelo dragão"/>
    <s v="HG-2FNR-01A9"/>
    <d v="2025-07-30T00:00:00"/>
    <n v="23.9"/>
    <n v="23.9"/>
    <n v="2.8679999999999999"/>
    <n v="21.03"/>
    <n v="16.98"/>
    <n v="0"/>
    <n v="0.39877104377104378"/>
    <n v="0"/>
    <n v="3.6512289562289553"/>
    <n v="1.8256144781144776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52"/>
    <d v="2025-07-14T00:00:00"/>
    <x v="181"/>
    <s v="PedidoF1837"/>
    <s v="CódRastreio1835"/>
    <n v="1"/>
    <s v="CPF 1908"/>
    <s v="Nome 1908"/>
    <s v="Tel 1908"/>
    <s v="Cep 1908"/>
    <s v="Rua 1908"/>
    <s v="Comp 1908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53"/>
    <d v="2025-07-14T00:00:00"/>
    <x v="181"/>
    <s v="PedidoF1838"/>
    <s v="CódRastreio1836"/>
    <n v="1"/>
    <s v="CPF 1909"/>
    <s v="Nome 1909"/>
    <s v="Tel 1909"/>
    <s v="Cep 1909"/>
    <s v="Rua 1909"/>
    <s v="Comp 1909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6"/>
    <s v="Pedido 1954"/>
    <d v="2025-07-14T00:00:00"/>
    <x v="181"/>
    <s v="PedidoF1839"/>
    <s v="CódRastreio1837"/>
    <n v="1"/>
    <s v="CPF 1910"/>
    <s v="Nome 1910"/>
    <s v="Tel 1910"/>
    <s v="Cep 1910"/>
    <s v="Rua 1910"/>
    <s v="Comp 1910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55"/>
    <d v="2025-07-14T00:00:00"/>
    <x v="181"/>
    <s v="PedidoF1840"/>
    <s v="CódRastreio1838"/>
    <n v="1"/>
    <s v="CPF 1911"/>
    <s v="Nome 1911"/>
    <s v="Tel 1911"/>
    <s v="Cep 1911"/>
    <s v="Rua 1911"/>
    <s v="Comp 1911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0T00:00:00"/>
    <x v="0"/>
    <m/>
    <n v="0"/>
    <n v="0"/>
    <n v="0"/>
    <n v="0"/>
    <n v="0"/>
  </r>
  <r>
    <x v="0"/>
    <s v="BV45856"/>
    <s v="Pedido 1956"/>
    <d v="2025-07-14T00:00:00"/>
    <x v="181"/>
    <s v="PedidoF1841"/>
    <s v="CódRastreio1839"/>
    <n v="1"/>
    <s v="CPF 1912"/>
    <s v="Nome 1912"/>
    <s v="Tel 1912"/>
    <s v="Cep 1912"/>
    <s v="Rua 1912"/>
    <s v="Comp 1912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57"/>
    <d v="2025-07-14T00:00:00"/>
    <x v="181"/>
    <s v="PedidoF1842"/>
    <s v="CódRastreio1840"/>
    <n v="1"/>
    <s v="CPF 1913"/>
    <s v="Nome 1913"/>
    <s v="Tel 1913"/>
    <s v="Cep 1913"/>
    <s v="Rua 1913"/>
    <s v="Comp 1913"/>
    <s v="Bolsa térmica"/>
    <s v="6I-CK1S-8HYZ"/>
    <d v="2025-08-02T00:00:00"/>
    <n v="28.5"/>
    <n v="28.5"/>
    <n v="3.42"/>
    <n v="25.08"/>
    <n v="22.58"/>
    <n v="0"/>
    <n v="0.39877104377104378"/>
    <n v="0"/>
    <n v="2.1012289562289546"/>
    <n v="1.0506144781144773"/>
    <x v="181"/>
    <x v="182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6"/>
    <s v="Pedido 1958"/>
    <d v="2025-07-14T00:00:00"/>
    <x v="181"/>
    <s v="PedidoF1843"/>
    <s v="CódRastreio1841"/>
    <n v="1"/>
    <s v="CPF 1914"/>
    <s v="Nome 1914"/>
    <s v="Tel 1914"/>
    <s v="Cep 1914"/>
    <s v="Rua 1914"/>
    <s v="Comp 1914"/>
    <s v="Bolsa térmica"/>
    <s v="6I-CK1S-8HYZ"/>
    <d v="2025-08-08T00:00:00"/>
    <n v="28.5"/>
    <n v="28.5"/>
    <n v="3.42"/>
    <n v="25.08"/>
    <n v="22.58"/>
    <n v="0"/>
    <n v="0.39877104377104378"/>
    <n v="2"/>
    <n v="0.10122895622895456"/>
    <n v="5.0614478114477279E-2"/>
    <x v="184"/>
    <x v="185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59"/>
    <d v="2025-07-14T00:00:00"/>
    <x v="181"/>
    <s v="PedidoF1844"/>
    <s v="CódRastreio1842"/>
    <n v="1"/>
    <s v="CPF 1915"/>
    <s v="Nome 1915"/>
    <s v="Tel 1915"/>
    <s v="Cep 1915"/>
    <s v="Rua 1915"/>
    <s v="Comp 1915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3"/>
    <s v="Pedido 1960"/>
    <d v="2025-07-14T00:00:00"/>
    <x v="178"/>
    <s v="PedidoF1845"/>
    <s v="CódRastreio1843"/>
    <n v="3"/>
    <s v="CPF 1916"/>
    <s v="Nome 1916"/>
    <s v="Tel 1916"/>
    <s v="Cep 1916"/>
    <s v="Rua 1916"/>
    <s v="Comp 1916"/>
    <s v="Bolsa térmica"/>
    <s v="6I-CK1S-8HYZ"/>
    <d v="2025-07-31T00:00:00"/>
    <n v="85.5"/>
    <n v="85.5"/>
    <n v="10.26"/>
    <n v="75.239999999999995"/>
    <n v="56.18"/>
    <n v="0"/>
    <n v="0.39877104377104378"/>
    <n v="0"/>
    <n v="18.661228956228953"/>
    <n v="9.3306144781144766"/>
    <x v="183"/>
    <x v="184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61"/>
    <d v="2025-07-14T00:00:00"/>
    <x v="181"/>
    <s v="PedidoF1846"/>
    <s v="CódRastreio1844"/>
    <n v="1"/>
    <s v="CPF 1917"/>
    <s v="Nome 1917"/>
    <s v="Tel 1917"/>
    <s v="Cep 1917"/>
    <s v="Rua 1917"/>
    <s v="Comp 1917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6"/>
    <s v="Pedido 1962"/>
    <d v="2025-07-14T00:00:00"/>
    <x v="181"/>
    <s v="PedidoF1847"/>
    <s v="CódRastreio1845"/>
    <n v="1"/>
    <s v="CPF 1918"/>
    <s v="Nome 1918"/>
    <s v="Tel 1918"/>
    <s v="Cep 1918"/>
    <s v="Rua 1918"/>
    <s v="Comp 1918"/>
    <s v="Bolsa térmica"/>
    <s v="6I-CK1S-8HYZ"/>
    <d v="2025-08-02T00:00:00"/>
    <n v="28.5"/>
    <n v="28.5"/>
    <n v="3.42"/>
    <n v="25.08"/>
    <n v="22.58"/>
    <n v="0"/>
    <n v="0.39877104377104378"/>
    <n v="0"/>
    <n v="2.1012289562289546"/>
    <n v="1.0506144781144773"/>
    <x v="181"/>
    <x v="182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3"/>
    <s v="Pedido 1963"/>
    <d v="2025-07-14T00:00:00"/>
    <x v="178"/>
    <s v="PedidoF1848"/>
    <s v="CódRastreio1846"/>
    <n v="1"/>
    <s v="CPF 1919"/>
    <s v="Nome 1919"/>
    <s v="Tel 1919"/>
    <s v="Cep 1919"/>
    <s v="Rua 1919"/>
    <s v="Comp 1919"/>
    <s v="Bolsa térmica"/>
    <s v="6I-CK1S-8HYZ"/>
    <d v="2025-08-02T00:00:00"/>
    <n v="28.5"/>
    <n v="28.5"/>
    <n v="3.42"/>
    <n v="25.08"/>
    <n v="25.2"/>
    <n v="0"/>
    <n v="0.39877104377104378"/>
    <n v="10"/>
    <n v="-10.518771043771046"/>
    <n v="-5.2593855218855232"/>
    <x v="181"/>
    <x v="182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3"/>
    <s v="Pedido 1964"/>
    <d v="2025-07-14T00:00:00"/>
    <x v="178"/>
    <s v="PedidoF1849"/>
    <s v="CódRastreio1847"/>
    <n v="1"/>
    <s v="CPF 1920"/>
    <s v="Nome 1920"/>
    <s v="Tel 1920"/>
    <s v="Cep 1920"/>
    <s v="Rua 1920"/>
    <s v="Comp 1920"/>
    <s v="Brinquedo Bola Giratória voadora"/>
    <s v="ZV-W7II-K7TO"/>
    <d v="2025-08-08T00:00:00"/>
    <n v="49.99"/>
    <n v="49.99"/>
    <n v="5.9988000000000001"/>
    <n v="43.99"/>
    <n v="10.59"/>
    <n v="0"/>
    <n v="0.39877104377104378"/>
    <n v="3"/>
    <n v="30.001228956228957"/>
    <n v="15.000614478114478"/>
    <x v="184"/>
    <x v="185"/>
    <x v="30"/>
    <d v="2025-08-19T00:00:00"/>
    <x v="9"/>
    <x v="0"/>
    <x v="10"/>
    <s v="ENTREGUE"/>
    <d v="2025-08-01T00:00:00"/>
    <x v="0"/>
    <m/>
    <n v="0"/>
    <n v="0"/>
    <n v="0"/>
    <n v="0"/>
    <n v="0"/>
  </r>
  <r>
    <x v="1"/>
    <s v="GO-"/>
    <s v="Pedido 1965"/>
    <d v="2025-07-13T00:00:00"/>
    <x v="0"/>
    <s v="-"/>
    <s v="-"/>
    <n v="1"/>
    <s v="CPF 1921"/>
    <s v="Nome 1921"/>
    <s v="Tel 1921"/>
    <s v="Cep 1921"/>
    <s v="Rua 1921"/>
    <s v="Comp 1921"/>
    <s v="Ventilador Umidificador Preto"/>
    <s v="K9-YV2I-FO7H"/>
    <d v="2025-08-07T00:00:00"/>
    <n v="54.99"/>
    <n v="54.99"/>
    <n v="6.0489000000000006"/>
    <n v="48.94"/>
    <n v="0"/>
    <n v="0"/>
    <n v="0"/>
    <n v="0"/>
    <n v="48.94"/>
    <n v="48.94"/>
    <x v="185"/>
    <x v="186"/>
    <x v="30"/>
    <d v="2025-08-19T00:00:00"/>
    <x v="9"/>
    <x v="0"/>
    <x v="0"/>
    <s v="-"/>
    <s v="-"/>
    <x v="0"/>
    <m/>
    <n v="0"/>
    <n v="0"/>
    <n v="0"/>
    <n v="0"/>
    <n v="0"/>
  </r>
  <r>
    <x v="0"/>
    <s v="BV45856"/>
    <s v="Pedido 1966"/>
    <d v="2025-07-14T00:00:00"/>
    <x v="181"/>
    <s v="PedidoF1850"/>
    <s v="CódRastreio1848"/>
    <n v="1"/>
    <s v="CPF 1922"/>
    <s v="Nome 1922"/>
    <s v="Tel 1922"/>
    <s v="Cep 1922"/>
    <s v="Rua 1922"/>
    <s v="Comp 1922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67"/>
    <d v="2025-07-14T00:00:00"/>
    <x v="181"/>
    <s v="PedidoF1851"/>
    <s v="CódRastreio1849"/>
    <n v="1"/>
    <s v="CPF 1923"/>
    <s v="Nome 1923"/>
    <s v="Tel 1923"/>
    <s v="Cep 1923"/>
    <s v="Rua 1923"/>
    <s v="Comp 1923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68"/>
    <d v="2025-07-14T00:00:00"/>
    <x v="181"/>
    <s v="PedidoF1852"/>
    <s v="CódRastreio1850"/>
    <n v="1"/>
    <s v="CPF 1924"/>
    <s v="Nome 1924"/>
    <s v="Tel 1924"/>
    <s v="Cep 1924"/>
    <s v="Rua 1924"/>
    <s v="Comp 1924"/>
    <s v="Bolsa térmica"/>
    <s v="6I-CK1S-8HYZ"/>
    <d v="2025-07-29T00:00:00"/>
    <n v="28.5"/>
    <n v="28.5"/>
    <n v="3.42"/>
    <n v="25.08"/>
    <n v="22.58"/>
    <n v="0"/>
    <n v="0.39877104377104378"/>
    <n v="0"/>
    <n v="2.1012289562289546"/>
    <n v="1.0506144781144773"/>
    <x v="177"/>
    <x v="178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4"/>
    <s v="Pedido 1969"/>
    <d v="2025-07-15T00:00:00"/>
    <x v="179"/>
    <s v="PedidoF1853"/>
    <s v="CódRastreio1851"/>
    <n v="2"/>
    <s v="CPF 1925"/>
    <s v="Nome 1925"/>
    <s v="Tel 1925"/>
    <s v="Cep 1925"/>
    <s v="Rua 1925"/>
    <s v="Comp 1925"/>
    <s v="Bolsa térmica"/>
    <s v="6I-CK1S-8HYZ"/>
    <d v="2025-08-02T00:00:00"/>
    <n v="57"/>
    <n v="57"/>
    <n v="6.84"/>
    <n v="50.16"/>
    <n v="41.19"/>
    <n v="0"/>
    <n v="0.39877104377104378"/>
    <n v="0"/>
    <n v="8.571228956228957"/>
    <n v="4.2856144781144785"/>
    <x v="181"/>
    <x v="182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6"/>
    <s v="Pedido 1970"/>
    <d v="2025-07-14T00:00:00"/>
    <x v="181"/>
    <s v="PedidoF1854"/>
    <s v="CódRastreio1852"/>
    <n v="1"/>
    <s v="CPF 1926"/>
    <s v="Nome 1926"/>
    <s v="Tel 1926"/>
    <s v="Cep 1926"/>
    <s v="Rua 1926"/>
    <s v="Comp 1926"/>
    <s v="Bolsa térmica"/>
    <s v="6I-CK1S-8HYZ"/>
    <d v="2025-08-02T00:00:00"/>
    <n v="29.5"/>
    <n v="29.5"/>
    <n v="3.54"/>
    <n v="25.96"/>
    <n v="23.56"/>
    <n v="0"/>
    <n v="0.39877104377104378"/>
    <n v="0"/>
    <n v="2.0012289562289567"/>
    <n v="1.0006144781144783"/>
    <x v="181"/>
    <x v="182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71"/>
    <d v="2025-07-15T00:00:00"/>
    <x v="181"/>
    <s v="PedidoF1855"/>
    <s v="CódRastreio1853"/>
    <n v="1"/>
    <s v="CPF 1927"/>
    <s v="Nome 1927"/>
    <s v="Tel 1927"/>
    <s v="Cep 1927"/>
    <s v="Rua 1927"/>
    <s v="Comp 1927"/>
    <s v="Bolsa térmica"/>
    <s v="6I-CK1S-8HYZ"/>
    <d v="2025-08-22T00:00:00"/>
    <n v="29.5"/>
    <n v="29.5"/>
    <n v="3.54"/>
    <n v="25.96"/>
    <n v="22.58"/>
    <n v="0"/>
    <n v="0.39877104377104378"/>
    <n v="5"/>
    <n v="-2.0187710437710429"/>
    <n v="-1.0093855218855214"/>
    <x v="186"/>
    <x v="187"/>
    <x v="31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54"/>
    <s v="Pedido 1972"/>
    <d v="2025-07-15T00:00:00"/>
    <x v="179"/>
    <s v="PedidoF1856"/>
    <s v="CódRastreio1854"/>
    <n v="1"/>
    <s v="CPF 1928"/>
    <s v="Nome 1928"/>
    <s v="Tel 1928"/>
    <s v="Cep 1928"/>
    <s v="Rua 1928"/>
    <s v="Comp 1928"/>
    <s v="Máquina de cortar cabelo dragão"/>
    <s v="HG-2FNR-01A9"/>
    <d v="2025-08-09T00:00:00"/>
    <n v="23.9"/>
    <n v="23.9"/>
    <n v="2.8679999999999999"/>
    <n v="21.03"/>
    <n v="18.97"/>
    <n v="0"/>
    <n v="0.39877104377104378"/>
    <n v="10"/>
    <n v="-8.3387710437710432"/>
    <n v="-4.1693855218855216"/>
    <x v="187"/>
    <x v="188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73"/>
    <d v="2025-07-15T00:00:00"/>
    <x v="181"/>
    <s v="PedidoF1857"/>
    <s v="CódRastreio1855"/>
    <n v="1"/>
    <s v="CPF 1929"/>
    <s v="Nome 1929"/>
    <s v="Tel 1929"/>
    <s v="Cep 1929"/>
    <s v="Rua 1929"/>
    <s v="Comp 1929"/>
    <s v="Bolsa térmica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x v="182"/>
    <x v="183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4"/>
    <s v="Pedido 1974"/>
    <d v="2025-07-15T00:00:00"/>
    <x v="179"/>
    <s v="PedidoF1858"/>
    <s v="CódRastreio1856"/>
    <n v="2"/>
    <s v="CPF 1930"/>
    <s v="Nome 1930"/>
    <s v="Tel 1930"/>
    <s v="Cep 1930"/>
    <s v="Rua 1930"/>
    <s v="Comp 1930"/>
    <s v="Bolsa térmica"/>
    <s v="6I-CK1S-8HYZ"/>
    <d v="2025-07-30T00:00:00"/>
    <n v="59"/>
    <n v="59"/>
    <n v="7.08"/>
    <n v="51.92"/>
    <n v="39.79"/>
    <n v="0"/>
    <n v="0.39877104377104378"/>
    <n v="0"/>
    <n v="11.731228956228961"/>
    <n v="5.8656144781144803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75"/>
    <d v="2025-07-15T00:00:00"/>
    <x v="181"/>
    <s v="PedidoF1859"/>
    <s v="CódRastreio1857"/>
    <n v="1"/>
    <s v="CPF 1931"/>
    <s v="Nome 1931"/>
    <s v="Tel 1931"/>
    <s v="Cep 1931"/>
    <s v="Rua 1931"/>
    <s v="Comp 1931"/>
    <s v="Bolsa térmica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x v="182"/>
    <x v="183"/>
    <x v="30"/>
    <d v="2025-08-19T00:00:00"/>
    <x v="9"/>
    <x v="0"/>
    <x v="10"/>
    <s v="ENTREGUE"/>
    <d v="2025-07-30T00:00:00"/>
    <x v="0"/>
    <m/>
    <n v="0"/>
    <n v="0"/>
    <n v="0"/>
    <n v="0"/>
    <n v="0"/>
  </r>
  <r>
    <x v="0"/>
    <s v="BV45856"/>
    <s v="Pedido 1976"/>
    <d v="2025-07-15T00:00:00"/>
    <x v="181"/>
    <s v="PedidoF1860"/>
    <s v="CódRastreio1858"/>
    <n v="1"/>
    <s v="CPF 1932"/>
    <s v="Nome 1932"/>
    <s v="Tel 1932"/>
    <s v="Cep 1932"/>
    <s v="Rua 1932"/>
    <s v="Comp 1932"/>
    <s v="Bolsa térmica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x v="180"/>
    <x v="181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77"/>
    <d v="2025-07-15T00:00:00"/>
    <x v="181"/>
    <s v="PedidoF1861"/>
    <s v="CódRastreio1859"/>
    <n v="1"/>
    <s v="CPF 1933"/>
    <s v="Nome 1933"/>
    <s v="Tel 1933"/>
    <s v="Cep 1933"/>
    <s v="Rua 1933"/>
    <s v="Comp 1933"/>
    <s v="Bolsa térmica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x v="175"/>
    <x v="176"/>
    <x v="30"/>
    <d v="2025-08-19T00:00:00"/>
    <x v="9"/>
    <x v="0"/>
    <x v="10"/>
    <s v="EM TRÂNSITO"/>
    <s v="-"/>
    <x v="0"/>
    <m/>
    <n v="0"/>
    <n v="0"/>
    <n v="0"/>
    <n v="0"/>
    <n v="0"/>
  </r>
  <r>
    <x v="0"/>
    <s v="BV45854"/>
    <s v="Pedido 1978"/>
    <d v="2025-07-15T00:00:00"/>
    <x v="179"/>
    <s v="PedidoF1862"/>
    <s v="CódRastreio1860"/>
    <n v="1"/>
    <s v="CPF 1934"/>
    <s v="Nome 1934"/>
    <s v="Tel 1934"/>
    <s v="Cep 1934"/>
    <s v="Rua 1934"/>
    <s v="Comp 1934"/>
    <s v="Máquina de cortar cabelo dragão"/>
    <s v="HG-2FNR-01A9"/>
    <d v="2025-08-01T00:00:00"/>
    <n v="23.9"/>
    <n v="23.9"/>
    <n v="2.8679999999999999"/>
    <n v="21.03"/>
    <n v="14.99"/>
    <n v="0"/>
    <n v="0.39877104377104378"/>
    <n v="0"/>
    <n v="5.6412289562289573"/>
    <n v="2.8206144781144786"/>
    <x v="180"/>
    <x v="181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6"/>
    <s v="Pedido 1979"/>
    <d v="2025-07-15T00:00:00"/>
    <x v="181"/>
    <s v="PedidoF1863"/>
    <s v="CódRastreio1861"/>
    <n v="1"/>
    <s v="CPF 1935"/>
    <s v="Nome 1935"/>
    <s v="Tel 1935"/>
    <s v="Cep 1935"/>
    <s v="Rua 1935"/>
    <s v="Comp 1935"/>
    <s v="Bolsa térmica"/>
    <s v="6I-CK1S-8HYZ"/>
    <d v="2025-08-09T00:00:00"/>
    <n v="29.5"/>
    <n v="29.5"/>
    <n v="3.54"/>
    <n v="25.96"/>
    <n v="22.58"/>
    <n v="0"/>
    <n v="0.39877104377104378"/>
    <n v="3"/>
    <n v="-1.8771043771042883E-2"/>
    <n v="-9.3855218855214417E-3"/>
    <x v="187"/>
    <x v="188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6"/>
    <s v="Pedido 1980"/>
    <d v="2025-07-15T00:00:00"/>
    <x v="181"/>
    <s v="PedidoF1864"/>
    <s v="CódRastreio1862"/>
    <n v="1"/>
    <s v="CPF 1936"/>
    <s v="Nome 1936"/>
    <s v="Tel 1936"/>
    <s v="Cep 1936"/>
    <s v="Rua 1936"/>
    <s v="Comp 1936"/>
    <s v="Bolsa térmica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x v="175"/>
    <x v="176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6"/>
    <s v="Pedido 1981"/>
    <d v="2025-07-15T00:00:00"/>
    <x v="181"/>
    <s v="PedidoF1865"/>
    <s v="CódRastreio1863"/>
    <n v="1"/>
    <s v="CPF 1937"/>
    <s v="Nome 1937"/>
    <s v="Tel 1937"/>
    <s v="Cep 1937"/>
    <s v="Rua 1937"/>
    <s v="Comp 1937"/>
    <s v="Bolsa térmica"/>
    <s v="6I-CK1S-8HYZ"/>
    <d v="2025-08-05T00:00:00"/>
    <n v="29.5"/>
    <n v="29.5"/>
    <n v="3.54"/>
    <n v="25.96"/>
    <n v="22.58"/>
    <n v="0"/>
    <n v="0.39877104377104378"/>
    <n v="1"/>
    <n v="1.9812289562289571"/>
    <n v="0.99061447811447856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82"/>
    <d v="2025-07-15T00:00:00"/>
    <x v="181"/>
    <s v="PedidoF1866"/>
    <s v="CódRastreio1864"/>
    <n v="1"/>
    <s v="CPF 1938"/>
    <s v="Nome 1938"/>
    <s v="Tel 1938"/>
    <s v="Cep 1938"/>
    <s v="Rua 1938"/>
    <s v="Comp 1938"/>
    <s v="Bolsa térmica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83"/>
    <d v="2025-07-15T00:00:00"/>
    <x v="181"/>
    <s v="PedidoF1867"/>
    <s v="CódRastreio1865"/>
    <n v="1"/>
    <s v="CPF 1939"/>
    <s v="Nome 1939"/>
    <s v="Tel 1939"/>
    <s v="Cep 1939"/>
    <s v="Rua 1939"/>
    <s v="Comp 1939"/>
    <s v="Bolsa térmica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x v="175"/>
    <x v="176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6"/>
    <s v="Pedido 1984"/>
    <d v="2025-07-15T00:00:00"/>
    <x v="181"/>
    <s v="PedidoF1868"/>
    <s v="CódRastreio1866"/>
    <n v="1"/>
    <s v="CPF 1940"/>
    <s v="Nome 1940"/>
    <s v="Tel 1940"/>
    <s v="Cep 1940"/>
    <s v="Rua 1940"/>
    <s v="Comp 1940"/>
    <s v="Bolsa térmica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85"/>
    <d v="2025-07-15T00:00:00"/>
    <x v="181"/>
    <s v="PedidoF1869"/>
    <s v="CódRastreio1867"/>
    <n v="1"/>
    <s v="CPF 1941"/>
    <s v="Nome 1941"/>
    <s v="Tel 1941"/>
    <s v="Cep 1941"/>
    <s v="Rua 1941"/>
    <s v="Comp 1941"/>
    <s v="Bolsa térmica"/>
    <s v="6I-CK1S-8HYZ"/>
    <d v="2025-08-05T00:00:00"/>
    <n v="29.5"/>
    <n v="29.5"/>
    <n v="3.54"/>
    <n v="25.96"/>
    <n v="22.58"/>
    <n v="0"/>
    <n v="0.39877104377104378"/>
    <n v="1"/>
    <n v="1.9812289562289571"/>
    <n v="0.99061447811447856"/>
    <x v="182"/>
    <x v="183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6"/>
    <s v="Pedido 1986"/>
    <d v="2025-07-15T00:00:00"/>
    <x v="181"/>
    <s v="PedidoF1870"/>
    <s v="CódRastreio1868"/>
    <n v="1"/>
    <s v="CPF 1942"/>
    <s v="Nome 1942"/>
    <s v="Tel 1942"/>
    <s v="Cep 1942"/>
    <s v="Rua 1942"/>
    <s v="Comp 1942"/>
    <s v="Bolsa térmica"/>
    <s v="6I-CK1S-8HYZ"/>
    <d v="2025-08-05T00:00:00"/>
    <n v="29.5"/>
    <n v="29.5"/>
    <n v="3.54"/>
    <n v="25.96"/>
    <n v="22.58"/>
    <n v="0"/>
    <n v="0.39877104377104378"/>
    <n v="1"/>
    <n v="1.9812289562289571"/>
    <n v="0.99061447811447856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87"/>
    <d v="2025-07-15T00:00:00"/>
    <x v="181"/>
    <s v="PedidoF1871"/>
    <s v="CódRastreio1869"/>
    <n v="1"/>
    <s v="CPF 1943"/>
    <s v="Nome 1943"/>
    <s v="Tel 1943"/>
    <s v="Cep 1943"/>
    <s v="Rua 1943"/>
    <s v="Comp 1943"/>
    <s v="Bolsa térmica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x v="180"/>
    <x v="181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6"/>
    <s v="Pedido 1988"/>
    <d v="2025-07-15T00:00:00"/>
    <x v="181"/>
    <s v="PedidoF1872"/>
    <s v="CódRastreio1870"/>
    <n v="1"/>
    <s v="CPF 1944"/>
    <s v="Nome 1944"/>
    <s v="Tel 1944"/>
    <s v="Cep 1944"/>
    <s v="Rua 1944"/>
    <s v="Comp 1944"/>
    <s v="Bolsa térmica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x v="175"/>
    <x v="176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56"/>
    <s v="Pedido 1989"/>
    <d v="2025-07-15T00:00:00"/>
    <x v="181"/>
    <s v="PedidoF1873"/>
    <s v="CódRastreio1871"/>
    <n v="1"/>
    <s v="CPF 1945"/>
    <s v="Nome 1945"/>
    <s v="Tel 1945"/>
    <s v="Cep 1945"/>
    <s v="Rua 1945"/>
    <s v="Comp 1945"/>
    <s v="Bolsa térmica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x v="182"/>
    <x v="183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6"/>
    <s v="Pedido 1990"/>
    <d v="2025-07-15T00:00:00"/>
    <x v="181"/>
    <s v="PedidoF1874"/>
    <s v="CódRastreio1872"/>
    <n v="1"/>
    <s v="CPF 1946"/>
    <s v="Nome 1946"/>
    <s v="Tel 1946"/>
    <s v="Cep 1946"/>
    <s v="Rua 1946"/>
    <s v="Comp 1946"/>
    <s v="Bolsa térmica"/>
    <s v="6I-CK1S-8HYZ"/>
    <d v="2025-08-05T00:00:00"/>
    <n v="29.5"/>
    <n v="29.5"/>
    <n v="3.54"/>
    <n v="25.96"/>
    <n v="22.58"/>
    <n v="0"/>
    <n v="0.39877104377104378"/>
    <n v="0"/>
    <n v="2.9812289562289571"/>
    <n v="1.4906144781144786"/>
    <x v="182"/>
    <x v="183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6"/>
    <s v="Pedido 1991"/>
    <d v="2025-07-15T00:00:00"/>
    <x v="181"/>
    <s v="PedidoF1875"/>
    <s v="CódRastreio1873"/>
    <n v="1"/>
    <s v="CPF 1947"/>
    <s v="Nome 1947"/>
    <s v="Tel 1947"/>
    <s v="Cep 1947"/>
    <s v="Rua 1947"/>
    <s v="Comp 1947"/>
    <s v="Bolsa térmica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x v="175"/>
    <x v="176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6"/>
    <s v="Pedido 1992"/>
    <d v="2025-07-15T00:00:00"/>
    <x v="181"/>
    <s v="PedidoF1876"/>
    <s v="CódRastreio1874"/>
    <n v="1"/>
    <s v="CPF 1948"/>
    <s v="Nome 1948"/>
    <s v="Tel 1948"/>
    <s v="Cep 1948"/>
    <s v="Rua 1948"/>
    <s v="Comp 1948"/>
    <s v="Bolsa térmica"/>
    <s v="6I-CK1S-8HYZ"/>
    <d v="2025-07-30T00:00:00"/>
    <n v="29.5"/>
    <n v="29.5"/>
    <n v="3.54"/>
    <n v="25.96"/>
    <n v="22.58"/>
    <n v="0"/>
    <n v="0.39877104377104378"/>
    <n v="0"/>
    <n v="2.9812289562289571"/>
    <n v="1.4906144781144786"/>
    <x v="175"/>
    <x v="176"/>
    <x v="30"/>
    <d v="2025-08-19T00:00:00"/>
    <x v="9"/>
    <x v="0"/>
    <x v="10"/>
    <s v="ENTREGUE"/>
    <d v="2025-07-22T00:00:00"/>
    <x v="0"/>
    <m/>
    <n v="0"/>
    <n v="0"/>
    <n v="0"/>
    <n v="0"/>
    <n v="0"/>
  </r>
  <r>
    <x v="0"/>
    <s v="BV45856"/>
    <s v="Pedido 1993"/>
    <d v="2025-07-15T00:00:00"/>
    <x v="181"/>
    <s v="PedidoF1877"/>
    <s v="CódRastreio1875"/>
    <n v="1"/>
    <s v="CPF 1949"/>
    <s v="Nome 1949"/>
    <s v="Tel 1949"/>
    <s v="Cep 1949"/>
    <s v="Rua 1949"/>
    <s v="Comp 1949"/>
    <s v="Bolsa térmica"/>
    <s v="6I-CK1S-8HYZ"/>
    <d v="2025-07-30T00:00:00"/>
    <n v="28.5"/>
    <n v="28.5"/>
    <n v="3.42"/>
    <n v="25.08"/>
    <n v="22.58"/>
    <n v="0"/>
    <n v="0.39877104377104378"/>
    <n v="0"/>
    <n v="2.1012289562289546"/>
    <n v="1.0506144781144773"/>
    <x v="175"/>
    <x v="176"/>
    <x v="30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4"/>
    <s v="Pedido 1994"/>
    <d v="2025-07-16T00:00:00"/>
    <x v="179"/>
    <s v="PedidoF1878"/>
    <s v="CódRastreio1876"/>
    <n v="1"/>
    <s v="CPF 1950"/>
    <s v="Nome 1950"/>
    <s v="Tel 1950"/>
    <s v="Cep 1950"/>
    <s v="Rua 1950"/>
    <s v="Comp 1950"/>
    <s v="Máquina de cortar cabelo dragão"/>
    <s v="NQ-IMR8-W6Q4"/>
    <d v="2025-08-12T00:00:00"/>
    <n v="23.9"/>
    <n v="23.9"/>
    <n v="2.8679999999999999"/>
    <n v="21.03"/>
    <n v="14.99"/>
    <n v="0"/>
    <n v="0.39877104377104378"/>
    <n v="5"/>
    <n v="0.64122895622895726"/>
    <n v="0.32061447811447863"/>
    <x v="188"/>
    <x v="189"/>
    <x v="31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9"/>
    <s v="Pedido 1995"/>
    <d v="2025-07-16T00:00:00"/>
    <x v="182"/>
    <s v="PedidoF1879"/>
    <s v="CódRastreio1877"/>
    <n v="1"/>
    <s v="CPF 1951"/>
    <s v="Nome 1951"/>
    <s v="Tel 1951"/>
    <s v="Cep 1951"/>
    <s v="Rua 1951"/>
    <s v="Comp 1951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59"/>
    <s v="Pedido 1996"/>
    <d v="2025-07-16T00:00:00"/>
    <x v="182"/>
    <s v="PedidoF1880"/>
    <s v="CódRastreio1878"/>
    <n v="1"/>
    <s v="CPF 1952"/>
    <s v="Nome 1952"/>
    <s v="Tel 1952"/>
    <s v="Cep 1952"/>
    <s v="Rua 1952"/>
    <s v="Comp 1952"/>
    <s v="Bolsa térmica"/>
    <s v="6I-CK1S-8HYZ"/>
    <d v="2025-08-06T00:00:00"/>
    <n v="29.5"/>
    <n v="29.5"/>
    <n v="3.54"/>
    <n v="25.96"/>
    <n v="22.58"/>
    <n v="0"/>
    <n v="0.39877104377104378"/>
    <n v="1"/>
    <n v="1.9812289562289571"/>
    <n v="0.99061447811447856"/>
    <x v="178"/>
    <x v="179"/>
    <x v="30"/>
    <d v="2025-08-19T00:00:00"/>
    <x v="9"/>
    <x v="0"/>
    <x v="10"/>
    <s v="ENTREGUE"/>
    <d v="2025-07-30T00:00:00"/>
    <x v="0"/>
    <m/>
    <n v="0"/>
    <n v="0"/>
    <n v="0"/>
    <n v="0"/>
    <n v="0"/>
  </r>
  <r>
    <x v="0"/>
    <s v="BV45859"/>
    <s v="Pedido 1997"/>
    <d v="2025-07-16T00:00:00"/>
    <x v="182"/>
    <s v="PedidoF1881"/>
    <s v="CódRastreio1879"/>
    <n v="1"/>
    <s v="CPF 1953"/>
    <s v="Nome 1953"/>
    <s v="Tel 1953"/>
    <s v="Cep 1953"/>
    <s v="Rua 1953"/>
    <s v="Comp 1953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9"/>
    <s v="Pedido 1998"/>
    <d v="2025-07-16T00:00:00"/>
    <x v="182"/>
    <s v="PedidoF1882"/>
    <s v="CódRastreio1880"/>
    <n v="1"/>
    <s v="CPF 1954"/>
    <s v="Nome 1954"/>
    <s v="Tel 1954"/>
    <s v="Cep 1954"/>
    <s v="Rua 1954"/>
    <s v="Comp 1954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9"/>
    <s v="Pedido 1999"/>
    <d v="2025-07-16T00:00:00"/>
    <x v="182"/>
    <s v="PedidoF1883"/>
    <s v="CódRastreio1881"/>
    <n v="1"/>
    <s v="CPF 1955"/>
    <s v="Nome 1955"/>
    <s v="Tel 1955"/>
    <s v="Cep 1955"/>
    <s v="Rua 1955"/>
    <s v="Comp 1955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9T00:00:00"/>
    <x v="0"/>
    <m/>
    <n v="0"/>
    <n v="0"/>
    <n v="0"/>
    <n v="0"/>
    <n v="0"/>
  </r>
  <r>
    <x v="0"/>
    <s v="BV45859"/>
    <s v="Pedido 2000"/>
    <d v="2025-07-16T00:00:00"/>
    <x v="182"/>
    <s v="PedidoF1884"/>
    <s v="CódRastreio1882"/>
    <n v="1"/>
    <s v="CPF 1956"/>
    <s v="Nome 1956"/>
    <s v="Tel 1956"/>
    <s v="Cep 1956"/>
    <s v="Rua 1956"/>
    <s v="Comp 1956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9"/>
    <s v="Pedido 2001"/>
    <d v="2025-07-16T00:00:00"/>
    <x v="182"/>
    <s v="PedidoF1885"/>
    <s v="CódRastreio1883"/>
    <n v="1"/>
    <s v="CPF 1957"/>
    <s v="Nome 1957"/>
    <s v="Tel 1957"/>
    <s v="Cep 1957"/>
    <s v="Rua 1957"/>
    <s v="Comp 1957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4"/>
    <s v="Pedido 2002"/>
    <d v="2025-07-16T00:00:00"/>
    <x v="179"/>
    <s v="PedidoF1886"/>
    <s v="CódRastreio1884"/>
    <n v="2"/>
    <s v="CPF 1958"/>
    <s v="Nome 1958"/>
    <s v="Tel 1958"/>
    <s v="Cep 1958"/>
    <s v="Rua 1958"/>
    <s v="Comp 1958"/>
    <s v="Bolsa térmica"/>
    <s v="6I-CK1S-8HYZ"/>
    <d v="2025-08-06T00:00:00"/>
    <n v="59"/>
    <n v="59"/>
    <n v="7.08"/>
    <n v="51.92"/>
    <n v="38.590000000000003"/>
    <n v="0"/>
    <n v="0.39877104377104378"/>
    <n v="0"/>
    <n v="12.931228956228956"/>
    <n v="6.4656144781144782"/>
    <x v="178"/>
    <x v="179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4"/>
    <s v="Pedido 2003"/>
    <d v="2025-07-16T00:00:00"/>
    <x v="179"/>
    <s v="PedidoF1887"/>
    <s v="CódRastreio1885"/>
    <n v="1"/>
    <s v="CPF 1959"/>
    <s v="Nome 1959"/>
    <s v="Tel 1959"/>
    <s v="Cep 1959"/>
    <s v="Rua 1959"/>
    <s v="Comp 1959"/>
    <s v="Máquina de cortar cabelo dragão"/>
    <s v="HG-2FNR-01A9"/>
    <d v="2025-07-31T00:00:00"/>
    <n v="23.9"/>
    <n v="23.9"/>
    <n v="2.8679999999999999"/>
    <n v="21.03"/>
    <n v="0"/>
    <n v="0"/>
    <n v="0.39877104377104378"/>
    <n v="0"/>
    <n v="20.631228956228956"/>
    <n v="10.315614478114478"/>
    <x v="183"/>
    <x v="184"/>
    <x v="30"/>
    <d v="2025-08-19T00:00:00"/>
    <x v="9"/>
    <x v="0"/>
    <x v="10"/>
    <s v="ENTREGUE"/>
    <d v="2025-07-19T00:00:00"/>
    <x v="0"/>
    <m/>
    <n v="0"/>
    <n v="0"/>
    <n v="0"/>
    <n v="14.99"/>
    <n v="14.99"/>
  </r>
  <r>
    <x v="0"/>
    <s v="BV45859"/>
    <s v="Pedido 2004"/>
    <d v="2025-07-16T00:00:00"/>
    <x v="182"/>
    <s v="PedidoF1888"/>
    <s v="CódRastreio1886"/>
    <n v="1"/>
    <s v="CPF 1960"/>
    <s v="Nome 1960"/>
    <s v="Tel 1960"/>
    <s v="Cep 1960"/>
    <s v="Rua 1960"/>
    <s v="Comp 1960"/>
    <s v="Bolsa térmica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x v="181"/>
    <x v="182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4"/>
    <s v="Pedido 2005"/>
    <d v="2025-07-16T00:00:00"/>
    <x v="179"/>
    <s v="PedidoF1889"/>
    <s v="CódRastreio1887"/>
    <n v="1"/>
    <s v="CPF 1961"/>
    <s v="Nome 1961"/>
    <s v="Tel 1961"/>
    <s v="Cep 1961"/>
    <s v="Rua 1961"/>
    <s v="Comp 1961"/>
    <s v="Brinquedo Bola Giratória voadora"/>
    <s v="ZV-W7II-K7TO"/>
    <d v="2025-08-02T00:00:00"/>
    <n v="49.99"/>
    <n v="49.99"/>
    <n v="5.9988000000000001"/>
    <n v="43.99"/>
    <n v="38.99"/>
    <n v="0"/>
    <n v="0.39877104377104378"/>
    <n v="0"/>
    <n v="4.6012289562289581"/>
    <n v="2.3006144781144791"/>
    <x v="181"/>
    <x v="182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4"/>
    <s v="Pedido 2006"/>
    <d v="2025-07-16T00:00:00"/>
    <x v="179"/>
    <s v="PedidoF1890"/>
    <s v="CódRastreio1888"/>
    <n v="1"/>
    <s v="CPF 1962"/>
    <s v="Nome 1962"/>
    <s v="Tel 1962"/>
    <s v="Cep 1962"/>
    <s v="Rua 1962"/>
    <s v="Comp 1962"/>
    <s v="Máquina de cortar cabelo dragão"/>
    <s v="HG-2FNR-01A9"/>
    <d v="2025-08-02T00:00:00"/>
    <n v="23.9"/>
    <n v="23.9"/>
    <n v="2.8679999999999999"/>
    <n v="21.03"/>
    <n v="15.15"/>
    <n v="0"/>
    <n v="0.39877104377104378"/>
    <n v="0"/>
    <n v="5.4812289562289571"/>
    <n v="2.7406144781144786"/>
    <x v="181"/>
    <x v="182"/>
    <x v="30"/>
    <d v="2025-08-19T00:00:00"/>
    <x v="9"/>
    <x v="0"/>
    <x v="10"/>
    <s v="ENTREGUE"/>
    <d v="2025-07-21T00:00:00"/>
    <x v="0"/>
    <m/>
    <n v="0"/>
    <n v="0"/>
    <n v="0"/>
    <n v="0"/>
    <n v="0"/>
  </r>
  <r>
    <x v="0"/>
    <s v="BV45859"/>
    <s v="Pedido 2007"/>
    <d v="2025-07-16T00:00:00"/>
    <x v="182"/>
    <s v="PedidoF1891"/>
    <s v="CódRastreio1889"/>
    <n v="1"/>
    <s v="CPF 1963"/>
    <s v="Nome 1963"/>
    <s v="Tel 1963"/>
    <s v="Cep 1963"/>
    <s v="Rua 1963"/>
    <s v="Comp 1963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30T00:00:00"/>
    <x v="0"/>
    <m/>
    <n v="0"/>
    <n v="0"/>
    <n v="0"/>
    <n v="0"/>
    <n v="0"/>
  </r>
  <r>
    <x v="0"/>
    <s v="BV45854"/>
    <s v="Pedido 2008"/>
    <d v="2025-07-16T00:00:00"/>
    <x v="179"/>
    <s v="PedidoF1892"/>
    <s v="CódRastreio1890"/>
    <n v="1"/>
    <s v="CPF 1964"/>
    <s v="Nome 1964"/>
    <s v="Tel 1964"/>
    <s v="Cep 1964"/>
    <s v="Rua 1964"/>
    <s v="Comp 1964"/>
    <s v="Máquina de cortar cabelo dragão"/>
    <s v="HG-2FNR-01A9"/>
    <d v="2025-07-31T00:00:00"/>
    <n v="23.9"/>
    <n v="23.9"/>
    <n v="2.8679999999999999"/>
    <n v="21.03"/>
    <n v="15.46"/>
    <n v="0"/>
    <n v="0.39877104377104378"/>
    <n v="0"/>
    <n v="5.1712289562289566"/>
    <n v="2.5856144781144783"/>
    <x v="183"/>
    <x v="184"/>
    <x v="30"/>
    <d v="2025-08-19T00:00:00"/>
    <x v="9"/>
    <x v="0"/>
    <x v="10"/>
    <s v="ENTREGUE"/>
    <d v="2025-07-19T00:00:00"/>
    <x v="0"/>
    <m/>
    <n v="0"/>
    <n v="0"/>
    <n v="0"/>
    <n v="0"/>
    <n v="0"/>
  </r>
  <r>
    <x v="0"/>
    <s v="BV45859"/>
    <s v="Pedido 2009"/>
    <d v="2025-07-16T00:00:00"/>
    <x v="182"/>
    <s v="PedidoF1893"/>
    <s v="CódRastreio1891"/>
    <n v="1"/>
    <s v="CPF 1965"/>
    <s v="Nome 1965"/>
    <s v="Tel 1965"/>
    <s v="Cep 1965"/>
    <s v="Rua 1965"/>
    <s v="Comp 1965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54"/>
    <s v="Pedido 2010"/>
    <d v="2025-07-16T00:00:00"/>
    <x v="179"/>
    <s v="PedidoF1894"/>
    <s v="CódRastreio1892"/>
    <n v="1"/>
    <s v="CPF 1966"/>
    <s v="Nome 1966"/>
    <s v="Tel 1966"/>
    <s v="Cep 1966"/>
    <s v="Rua 1966"/>
    <s v="Comp 1966"/>
    <s v="Máquina de cortar cabelo dragão"/>
    <s v="HG-2FNR-01A9"/>
    <d v="2025-07-31T00:00:00"/>
    <n v="23.9"/>
    <n v="23.9"/>
    <n v="2.8679999999999999"/>
    <n v="21.03"/>
    <n v="15.82"/>
    <n v="0"/>
    <n v="0.39877104377104378"/>
    <n v="0"/>
    <n v="4.8112289562289554"/>
    <n v="2.4056144781144777"/>
    <x v="183"/>
    <x v="184"/>
    <x v="30"/>
    <d v="2025-08-19T00:00:00"/>
    <x v="9"/>
    <x v="0"/>
    <x v="10"/>
    <s v="EM TRÂNSITO"/>
    <s v="-"/>
    <x v="0"/>
    <m/>
    <n v="0"/>
    <n v="0"/>
    <n v="0"/>
    <n v="0"/>
    <n v="0"/>
  </r>
  <r>
    <x v="1"/>
    <s v="GO45854"/>
    <s v="Pedido 2011"/>
    <d v="2025-07-15T00:00:00"/>
    <x v="179"/>
    <s v="PedidoF1895"/>
    <s v="CódRastreio1893"/>
    <n v="1"/>
    <s v="CPF 1967"/>
    <s v="Nome 1967"/>
    <s v="Tel 1967"/>
    <s v="Cep 1967"/>
    <s v="Rua 1967"/>
    <s v="Comp 1967"/>
    <s v="Ventilador Umidificador Preto"/>
    <s v="K9-YV2I-FO7H"/>
    <d v="2025-07-30T00:00:00"/>
    <n v="54.99"/>
    <n v="54.99"/>
    <n v="6.0489000000000006"/>
    <n v="48.94"/>
    <n v="32.99"/>
    <n v="0"/>
    <n v="0.39877104377104378"/>
    <n v="0"/>
    <n v="15.551228956228954"/>
    <n v="15.551228956228954"/>
    <x v="175"/>
    <x v="176"/>
    <x v="30"/>
    <d v="2025-08-19T00:00:00"/>
    <x v="9"/>
    <x v="0"/>
    <x v="10"/>
    <s v="ENTREGUE"/>
    <d v="2025-07-21T00:00:00"/>
    <x v="0"/>
    <m/>
    <n v="0"/>
    <n v="0"/>
    <n v="0"/>
    <n v="0"/>
    <n v="0"/>
  </r>
  <r>
    <x v="1"/>
    <s v="GO45854"/>
    <s v="Pedido 2012"/>
    <d v="2025-07-15T00:00:00"/>
    <x v="179"/>
    <s v="PedidoF1896"/>
    <s v="CódRastreio1894"/>
    <n v="1"/>
    <s v="CPF 1968"/>
    <s v="Nome 1968"/>
    <s v="Tel 1968"/>
    <s v="Cep 1968"/>
    <s v="Rua 1968"/>
    <s v="Comp 1968"/>
    <s v="Ventilador Umidificador Preto"/>
    <s v="K9-YV2I-FO7H"/>
    <d v="2025-08-05T00:00:00"/>
    <n v="54.99"/>
    <n v="54.99"/>
    <n v="6.0489000000000006"/>
    <n v="48.94"/>
    <n v="32.99"/>
    <n v="0"/>
    <n v="0.39877104377104378"/>
    <n v="0"/>
    <n v="15.551228956228954"/>
    <n v="15.551228956228954"/>
    <x v="182"/>
    <x v="183"/>
    <x v="30"/>
    <d v="2025-08-19T00:00:00"/>
    <x v="9"/>
    <x v="0"/>
    <x v="10"/>
    <s v="ENTREGUE"/>
    <d v="2025-07-30T00:00:00"/>
    <x v="0"/>
    <m/>
    <n v="0"/>
    <n v="0"/>
    <n v="0"/>
    <n v="0"/>
    <n v="0"/>
  </r>
  <r>
    <x v="1"/>
    <s v="GO45854"/>
    <s v="Pedido 2013"/>
    <d v="2025-07-15T00:00:00"/>
    <x v="179"/>
    <s v="PedidoF1897"/>
    <s v="CódRastreio1895"/>
    <n v="1"/>
    <s v="CPF 1969"/>
    <s v="Nome 1969"/>
    <s v="Tel 1969"/>
    <s v="Cep 1969"/>
    <s v="Rua 1969"/>
    <s v="Comp 1969"/>
    <s v="Brinquedo Bola Giratória voadora"/>
    <s v="EL-YKJD-0WWL"/>
    <d v="2025-08-05T00:00:00"/>
    <n v="54.99"/>
    <n v="54.99"/>
    <n v="6.5987999999999998"/>
    <n v="48.39"/>
    <n v="44.17"/>
    <n v="0"/>
    <n v="0.39877104377104378"/>
    <n v="0"/>
    <n v="3.821228956228957"/>
    <n v="3.821228956228957"/>
    <x v="182"/>
    <x v="183"/>
    <x v="30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54"/>
    <s v="Pedido 2014"/>
    <d v="2025-07-16T00:00:00"/>
    <x v="179"/>
    <s v="PedidoF1898"/>
    <s v="CódRastreio1896"/>
    <n v="1"/>
    <s v="CPF 1970"/>
    <s v="Nome 1970"/>
    <s v="Tel 1970"/>
    <s v="Cep 1970"/>
    <s v="Rua 1970"/>
    <s v="Comp 1970"/>
    <s v="Ventilador Umidificador Preto"/>
    <s v="K9-YV2I-FO7H"/>
    <d v="2025-08-12T00:00:00"/>
    <n v="54.99"/>
    <n v="54.99"/>
    <n v="6.0489000000000006"/>
    <n v="48.94"/>
    <n v="32.99"/>
    <n v="0"/>
    <n v="0.39877104377104378"/>
    <n v="0"/>
    <n v="15.551228956228954"/>
    <n v="15.551228956228954"/>
    <x v="188"/>
    <x v="189"/>
    <x v="31"/>
    <d v="2025-08-19T00:00:00"/>
    <x v="9"/>
    <x v="0"/>
    <x v="10"/>
    <s v="ENTREGUE"/>
    <d v="2025-07-23T00:00:00"/>
    <x v="0"/>
    <m/>
    <n v="0"/>
    <n v="0"/>
    <n v="0"/>
    <n v="0"/>
    <n v="0"/>
  </r>
  <r>
    <x v="0"/>
    <s v="BV45859"/>
    <s v="Pedido 2015"/>
    <d v="2025-07-16T00:00:00"/>
    <x v="182"/>
    <s v="PedidoF1899"/>
    <s v="CódRastreio1897"/>
    <n v="1"/>
    <s v="CPF 1971"/>
    <s v="Nome 1971"/>
    <s v="Tel 1971"/>
    <s v="Cep 1971"/>
    <s v="Rua 1971"/>
    <s v="Comp 1971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9"/>
    <s v="Pedido 2016"/>
    <d v="2025-07-16T00:00:00"/>
    <x v="182"/>
    <s v="PedidoF1900"/>
    <s v="CódRastreio1898"/>
    <n v="1"/>
    <s v="CPF 1972"/>
    <s v="Nome 1972"/>
    <s v="Tel 1972"/>
    <s v="Cep 1972"/>
    <s v="Rua 1972"/>
    <s v="Comp 1972"/>
    <s v="Bolsa térmica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x v="181"/>
    <x v="182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9"/>
    <s v="Pedido 2017"/>
    <d v="2025-07-16T00:00:00"/>
    <x v="182"/>
    <s v="PedidoF1901"/>
    <s v="CódRastreio1899"/>
    <n v="1"/>
    <s v="CPF 1973"/>
    <s v="Nome 1973"/>
    <s v="Tel 1973"/>
    <s v="Cep 1973"/>
    <s v="Rua 1973"/>
    <s v="Comp 1973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M TRÂNSITO"/>
    <s v="-"/>
    <x v="0"/>
    <m/>
    <n v="0"/>
    <n v="0"/>
    <n v="0"/>
    <n v="0"/>
    <n v="0"/>
  </r>
  <r>
    <x v="0"/>
    <s v="BV45859"/>
    <s v="Pedido 2018"/>
    <d v="2025-07-16T00:00:00"/>
    <x v="182"/>
    <s v="PedidoF1902"/>
    <s v="CódRastreio1900"/>
    <n v="1"/>
    <s v="CPF 1974"/>
    <s v="Nome 1974"/>
    <s v="Tel 1974"/>
    <s v="Cep 1974"/>
    <s v="Rua 1974"/>
    <s v="Comp 1974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60"/>
    <s v="Pedido 2019"/>
    <d v="2025-07-16T00:00:00"/>
    <x v="183"/>
    <s v="PedidoF1903"/>
    <s v="CódRastreio1901"/>
    <n v="1"/>
    <s v="CPF 1975"/>
    <s v="Nome 1975"/>
    <s v="Tel 1975"/>
    <s v="Cep 1975"/>
    <s v="Rua 1975"/>
    <s v="Comp 1975"/>
    <s v="Brinquedo Bola Giratória voadora"/>
    <s v="ZV-W7II-K7TO"/>
    <d v="2025-08-06T00:00:00"/>
    <n v="49.99"/>
    <n v="49.99"/>
    <n v="5.9988000000000001"/>
    <n v="43.99"/>
    <n v="39.86"/>
    <n v="0"/>
    <n v="0.39877104377104378"/>
    <n v="0"/>
    <n v="3.7312289562289607"/>
    <n v="1.8656144781144803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59"/>
    <s v="Pedido 2020"/>
    <d v="2025-07-16T00:00:00"/>
    <x v="182"/>
    <s v="PedidoF1904"/>
    <s v="CódRastreio1902"/>
    <n v="1"/>
    <s v="CPF 1976"/>
    <s v="Nome 1976"/>
    <s v="Tel 1976"/>
    <s v="Cep 1976"/>
    <s v="Rua 1976"/>
    <s v="Comp 1976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60"/>
    <s v="Pedido 2021"/>
    <d v="2025-07-16T00:00:00"/>
    <x v="183"/>
    <s v="PedidoF1905"/>
    <s v="CódRastreio1903"/>
    <n v="1"/>
    <s v="CPF 1977"/>
    <s v="Nome 1977"/>
    <s v="Tel 1977"/>
    <s v="Cep 1977"/>
    <s v="Rua 1977"/>
    <s v="Comp 1977"/>
    <s v="Máquina de cortar cabelo dragão"/>
    <s v="HG-2FNR-01A9"/>
    <d v="2025-08-02T00:00:00"/>
    <n v="23.9"/>
    <n v="23.9"/>
    <n v="2.8679999999999999"/>
    <n v="21.03"/>
    <n v="15.99"/>
    <n v="0"/>
    <n v="0.39877104377104378"/>
    <n v="0"/>
    <n v="4.6412289562289573"/>
    <n v="2.3206144781144786"/>
    <x v="181"/>
    <x v="182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59"/>
    <s v="Pedido 2022"/>
    <d v="2025-07-16T00:00:00"/>
    <x v="182"/>
    <s v="PedidoF1906"/>
    <s v="CódRastreio1904"/>
    <n v="1"/>
    <s v="CPF 1978"/>
    <s v="Nome 1978"/>
    <s v="Tel 1978"/>
    <s v="Cep 1978"/>
    <s v="Rua 1978"/>
    <s v="Comp 1978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9"/>
    <s v="Pedido 2023"/>
    <d v="2025-07-16T00:00:00"/>
    <x v="182"/>
    <s v="PedidoF1907"/>
    <s v="CódRastreio1905"/>
    <n v="1"/>
    <s v="CPF 1979"/>
    <s v="Nome 1979"/>
    <s v="Tel 1979"/>
    <s v="Cep 1979"/>
    <s v="Rua 1979"/>
    <s v="Comp 1979"/>
    <s v="Bolsa térmica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x v="181"/>
    <x v="182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9"/>
    <s v="Pedido 2024"/>
    <d v="2025-07-16T00:00:00"/>
    <x v="182"/>
    <s v="PedidoF1908"/>
    <s v="CódRastreio1906"/>
    <n v="2"/>
    <s v="CPF 1980"/>
    <s v="Nome 1980"/>
    <s v="Tel 1980"/>
    <s v="Cep 1980"/>
    <s v="Rua 1980"/>
    <s v="Comp 1980"/>
    <s v="Bolsa térmica"/>
    <s v="6I-CK1S-8HYZ"/>
    <d v="2025-07-31T00:00:00"/>
    <n v="59"/>
    <n v="59"/>
    <n v="7.08"/>
    <n v="51.92"/>
    <n v="40.659999999999997"/>
    <n v="0"/>
    <n v="0.39877104377104378"/>
    <n v="0"/>
    <n v="10.861228956228963"/>
    <n v="5.430614478114481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60"/>
    <s v="Pedido 2025"/>
    <d v="2025-07-16T00:00:00"/>
    <x v="183"/>
    <s v="PedidoF1909"/>
    <s v="CódRastreio1907"/>
    <n v="1"/>
    <s v="CPF 1981"/>
    <s v="Nome 1981"/>
    <s v="Tel 1981"/>
    <s v="Cep 1981"/>
    <s v="Rua 1981"/>
    <s v="Comp 1981"/>
    <s v="Máquina de cortar cabelo dragão"/>
    <s v="HG-2FNR-01A9"/>
    <d v="2025-07-31T00:00:00"/>
    <n v="23.9"/>
    <n v="23.9"/>
    <n v="2.8679999999999999"/>
    <n v="21.03"/>
    <n v="15.99"/>
    <n v="0"/>
    <n v="0.39877104377104378"/>
    <n v="0"/>
    <n v="4.6412289562289573"/>
    <n v="2.3206144781144786"/>
    <x v="183"/>
    <x v="184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59"/>
    <s v="Pedido 2026"/>
    <d v="2025-07-16T00:00:00"/>
    <x v="182"/>
    <s v="PedidoF1910"/>
    <s v="CódRastreio1908"/>
    <n v="1"/>
    <s v="CPF 1982"/>
    <s v="Nome 1982"/>
    <s v="Tel 1982"/>
    <s v="Cep 1982"/>
    <s v="Rua 1982"/>
    <s v="Comp 1982"/>
    <s v="Bolsa térmica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x v="181"/>
    <x v="182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59"/>
    <s v="Pedido 2027"/>
    <d v="2025-07-16T00:00:00"/>
    <x v="182"/>
    <s v="PedidoF1911"/>
    <s v="CódRastreio1909"/>
    <n v="1"/>
    <s v="CPF 1983"/>
    <s v="Nome 1983"/>
    <s v="Tel 1983"/>
    <s v="Cep 1983"/>
    <s v="Rua 1983"/>
    <s v="Comp 1983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59"/>
    <s v="Pedido 2028"/>
    <d v="2025-07-16T00:00:00"/>
    <x v="182"/>
    <s v="PedidoF1912"/>
    <s v="CódRastreio1910"/>
    <n v="1"/>
    <s v="CPF 1984"/>
    <s v="Nome 1984"/>
    <s v="Tel 1984"/>
    <s v="Cep 1984"/>
    <s v="Rua 1984"/>
    <s v="Comp 1984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60"/>
    <s v="Pedido 2029"/>
    <d v="2025-07-16T00:00:00"/>
    <x v="183"/>
    <s v="PedidoF1913"/>
    <s v="CódRastreio1911"/>
    <n v="1"/>
    <s v="CPF 1985"/>
    <s v="Nome 1985"/>
    <s v="Tel 1985"/>
    <s v="Cep 1985"/>
    <s v="Rua 1985"/>
    <s v="Comp 1985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60"/>
    <s v="Pedido 2030"/>
    <d v="2025-07-16T00:00:00"/>
    <x v="183"/>
    <s v="PedidoF1914"/>
    <s v="CódRastreio1912"/>
    <n v="1"/>
    <s v="CPF 1986"/>
    <s v="Nome 1986"/>
    <s v="Tel 1986"/>
    <s v="Cep 1986"/>
    <s v="Rua 1986"/>
    <s v="Comp 1986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60"/>
    <s v="Pedido 2031"/>
    <d v="2025-07-16T00:00:00"/>
    <x v="183"/>
    <s v="PedidoF1915"/>
    <s v="CódRastreio1913"/>
    <n v="1"/>
    <s v="CPF 1987"/>
    <s v="Nome 1987"/>
    <s v="Tel 1987"/>
    <s v="Cep 1987"/>
    <s v="Rua 1987"/>
    <s v="Comp 1987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60"/>
    <s v="Pedido 2032"/>
    <d v="2025-07-16T00:00:00"/>
    <x v="183"/>
    <s v="PedidoF1916"/>
    <s v="CódRastreio1914"/>
    <n v="1"/>
    <s v="CPF 1988"/>
    <s v="Nome 1988"/>
    <s v="Tel 1988"/>
    <s v="Cep 1988"/>
    <s v="Rua 1988"/>
    <s v="Comp 1988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60"/>
    <s v="Pedido 2033"/>
    <d v="2025-07-16T00:00:00"/>
    <x v="183"/>
    <s v="PedidoF1917"/>
    <s v="CódRastreio1915"/>
    <n v="1"/>
    <s v="CPF 1989"/>
    <s v="Nome 1989"/>
    <s v="Tel 1989"/>
    <s v="Cep 1989"/>
    <s v="Rua 1989"/>
    <s v="Comp 1989"/>
    <s v="Bolsa térmica"/>
    <s v="6I-CK1S-8HYZ"/>
    <d v="2025-07-31T00:00:00"/>
    <n v="29.5"/>
    <n v="29.5"/>
    <n v="3.54"/>
    <n v="25.96"/>
    <n v="22.58"/>
    <n v="0"/>
    <n v="0.39877104377104378"/>
    <n v="0"/>
    <n v="2.9812289562289571"/>
    <n v="1.4906144781144786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60"/>
    <s v="Pedido 2034"/>
    <d v="2025-07-17T00:00:00"/>
    <x v="183"/>
    <s v="PedidoF1918"/>
    <s v="CódRastreio1916"/>
    <n v="1"/>
    <s v="CPF 1990"/>
    <s v="Nome 1990"/>
    <s v="Tel 1990"/>
    <s v="Cep 1990"/>
    <s v="Rua 1990"/>
    <s v="Comp 1990"/>
    <s v="Bolsa térmica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x v="180"/>
    <x v="181"/>
    <x v="30"/>
    <d v="2025-08-19T00:00:00"/>
    <x v="9"/>
    <x v="0"/>
    <x v="10"/>
    <s v="EM TRÂNSITO"/>
    <s v="-"/>
    <x v="0"/>
    <m/>
    <n v="0"/>
    <n v="0"/>
    <n v="0"/>
    <n v="0"/>
    <n v="0"/>
  </r>
  <r>
    <x v="0"/>
    <s v="BV45860"/>
    <s v="Pedido 2035"/>
    <d v="2025-07-17T00:00:00"/>
    <x v="183"/>
    <s v="PedidoF1919"/>
    <s v="CódRastreio1917"/>
    <n v="1"/>
    <s v="CPF 1991"/>
    <s v="Nome 1991"/>
    <s v="Tel 1991"/>
    <s v="Cep 1991"/>
    <s v="Rua 1991"/>
    <s v="Comp 1991"/>
    <s v="Bolsa térmica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x v="180"/>
    <x v="181"/>
    <x v="30"/>
    <d v="2025-08-19T00:00:00"/>
    <x v="9"/>
    <x v="0"/>
    <x v="10"/>
    <s v="ENTREGUE"/>
    <d v="2025-07-24T00:00:00"/>
    <x v="0"/>
    <m/>
    <n v="0"/>
    <n v="0"/>
    <n v="0"/>
    <n v="0"/>
    <n v="0"/>
  </r>
  <r>
    <x v="0"/>
    <s v="BV45860"/>
    <s v="Pedido 2036"/>
    <d v="2025-07-17T00:00:00"/>
    <x v="183"/>
    <s v="PedidoF1920"/>
    <s v="CódRastreio1918"/>
    <n v="1"/>
    <s v="CPF 1992"/>
    <s v="Nome 1992"/>
    <s v="Tel 1992"/>
    <s v="Cep 1992"/>
    <s v="Rua 1992"/>
    <s v="Comp 1992"/>
    <s v="Bolsa térmica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x v="180"/>
    <x v="181"/>
    <x v="30"/>
    <d v="2025-08-19T00:00:00"/>
    <x v="9"/>
    <x v="0"/>
    <x v="10"/>
    <s v="ENTREGUE"/>
    <d v="2025-07-25T00:00:00"/>
    <x v="0"/>
    <m/>
    <n v="0"/>
    <n v="0"/>
    <n v="0"/>
    <n v="0"/>
    <n v="0"/>
  </r>
  <r>
    <x v="0"/>
    <s v="BV45860"/>
    <s v="Pedido 2037"/>
    <d v="2025-07-17T00:00:00"/>
    <x v="183"/>
    <s v="PedidoF1921"/>
    <s v="CódRastreio1919"/>
    <n v="1"/>
    <s v="CPF 1993"/>
    <s v="Nome 1993"/>
    <s v="Tel 1993"/>
    <s v="Cep 1993"/>
    <s v="Rua 1993"/>
    <s v="Comp 1993"/>
    <s v="Bolsa térmica"/>
    <s v="6I-CK1S-8HYZ"/>
    <d v="2025-08-07T00:00:00"/>
    <n v="29.5"/>
    <n v="29.5"/>
    <n v="3.54"/>
    <n v="25.96"/>
    <n v="22.58"/>
    <n v="0"/>
    <n v="0.39877104377104378"/>
    <n v="0"/>
    <n v="2.9812289562289571"/>
    <n v="1.4906144781144786"/>
    <x v="185"/>
    <x v="186"/>
    <x v="30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60"/>
    <s v="Pedido 2038"/>
    <d v="2025-07-17T00:00:00"/>
    <x v="183"/>
    <s v="PedidoF1922"/>
    <s v="CódRastreio1920"/>
    <n v="2"/>
    <s v="CPF 1994"/>
    <s v="Nome 1994"/>
    <s v="Tel 1994"/>
    <s v="Cep 1994"/>
    <s v="Rua 1994"/>
    <s v="Comp 1994"/>
    <s v="Bolsa térmica"/>
    <s v="6I-CK1S-8HYZ"/>
    <d v="2025-08-07T00:00:00"/>
    <n v="59"/>
    <n v="59"/>
    <n v="7.08"/>
    <n v="51.92"/>
    <n v="40.659999999999997"/>
    <n v="0"/>
    <n v="0.39877104377104378"/>
    <n v="0"/>
    <n v="10.861228956228963"/>
    <n v="5.4306144781144816"/>
    <x v="185"/>
    <x v="186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60"/>
    <s v="Pedido 2039"/>
    <d v="2025-07-17T00:00:00"/>
    <x v="183"/>
    <s v="PedidoF1923"/>
    <s v="CódRastreio1921"/>
    <n v="1"/>
    <s v="CPF 1995"/>
    <s v="Nome 1995"/>
    <s v="Tel 1995"/>
    <s v="Cep 1995"/>
    <s v="Rua 1995"/>
    <s v="Comp 1995"/>
    <s v="Bolsa térmica"/>
    <s v="6I-CK1S-8HYZ"/>
    <d v="2025-08-07T00:00:00"/>
    <n v="29.5"/>
    <n v="29.5"/>
    <n v="3.54"/>
    <n v="25.96"/>
    <n v="22.58"/>
    <n v="0"/>
    <n v="0.39877104377104378"/>
    <n v="1"/>
    <n v="1.9812289562289571"/>
    <n v="0.99061447811447856"/>
    <x v="185"/>
    <x v="186"/>
    <x v="30"/>
    <d v="2025-08-19T00:00:00"/>
    <x v="9"/>
    <x v="0"/>
    <x v="10"/>
    <s v="ENTREGUE"/>
    <d v="2025-07-26T00:00:00"/>
    <x v="0"/>
    <m/>
    <n v="0"/>
    <n v="0"/>
    <n v="0"/>
    <n v="0"/>
    <n v="0"/>
  </r>
  <r>
    <x v="1"/>
    <s v="GO45860"/>
    <s v="Pedido 2040"/>
    <d v="2025-07-17T00:00:00"/>
    <x v="183"/>
    <s v="PedidoF1924"/>
    <s v="CódRastreio1922"/>
    <n v="1"/>
    <s v="CPF 1996"/>
    <s v="Nome 1996"/>
    <s v="Tel 1996"/>
    <s v="Cep 1996"/>
    <s v="Rua 1996"/>
    <s v="Comp 1996"/>
    <s v="Ventilador Umidificador Preto"/>
    <s v="K9-YV2I-FO7H"/>
    <d v="2025-08-12T00:00:00"/>
    <n v="54.99"/>
    <n v="54.99"/>
    <n v="6.0489000000000006"/>
    <n v="48.94"/>
    <n v="36.72"/>
    <n v="0"/>
    <n v="0.39877104377104378"/>
    <n v="0"/>
    <n v="11.821228956228957"/>
    <n v="11.821228956228957"/>
    <x v="188"/>
    <x v="189"/>
    <x v="31"/>
    <d v="2025-08-19T00:00:00"/>
    <x v="9"/>
    <x v="0"/>
    <x v="10"/>
    <s v="ENTREGUE"/>
    <d v="2025-07-26T00:00:00"/>
    <x v="0"/>
    <m/>
    <n v="0"/>
    <n v="0"/>
    <n v="0"/>
    <n v="0"/>
    <n v="0"/>
  </r>
  <r>
    <x v="0"/>
    <s v="BV45861"/>
    <s v="Pedido 2041"/>
    <d v="2025-07-18T00:00:00"/>
    <x v="184"/>
    <s v="PedidoF1925"/>
    <s v="CódRastreio1923"/>
    <n v="1"/>
    <s v="CPF 1997"/>
    <s v="Nome 1997"/>
    <s v="Tel 1997"/>
    <s v="Cep 1997"/>
    <s v="Rua 1997"/>
    <s v="Comp 1997"/>
    <s v="Bolsa térmica"/>
    <s v="6I-CK1S-8HYZ"/>
    <d v="2025-08-01T00:00:00"/>
    <n v="29.5"/>
    <n v="29.5"/>
    <n v="3.54"/>
    <n v="25.96"/>
    <n v="22.58"/>
    <n v="0"/>
    <n v="0.39877104377104378"/>
    <n v="0"/>
    <n v="2.9812289562289571"/>
    <n v="1.4906144781144786"/>
    <x v="180"/>
    <x v="181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61"/>
    <s v="Pedido 2042"/>
    <d v="2025-07-18T00:00:00"/>
    <x v="184"/>
    <s v="PedidoF1926"/>
    <s v="CódRastreio1924"/>
    <n v="1"/>
    <s v="CPF 1998"/>
    <s v="Nome 1998"/>
    <s v="Tel 1998"/>
    <s v="Cep 1998"/>
    <s v="Rua 1998"/>
    <s v="Comp 1998"/>
    <s v="Bolsa térmica"/>
    <s v="6I-CK1S-8HYZ"/>
    <d v="2025-08-02T00:00:00"/>
    <n v="29.5"/>
    <n v="29.5"/>
    <n v="3.54"/>
    <n v="25.96"/>
    <n v="22.58"/>
    <n v="0"/>
    <n v="0.39877104377104378"/>
    <n v="0"/>
    <n v="2.9812289562289571"/>
    <n v="1.4906144781144786"/>
    <x v="181"/>
    <x v="182"/>
    <x v="30"/>
    <d v="2025-08-19T00:00:00"/>
    <x v="9"/>
    <x v="0"/>
    <x v="10"/>
    <s v="EM TRÂNSITO"/>
    <s v="-"/>
    <x v="0"/>
    <m/>
    <n v="0"/>
    <n v="0"/>
    <n v="0"/>
    <n v="0"/>
    <n v="0"/>
  </r>
  <r>
    <x v="0"/>
    <s v="BV45861"/>
    <s v="Pedido 2043"/>
    <d v="2025-07-18T00:00:00"/>
    <x v="184"/>
    <s v="PedidoF1927"/>
    <s v="CódRastreio1925"/>
    <n v="1"/>
    <s v="CPF 1999"/>
    <s v="Nome 1999"/>
    <s v="Tel 1999"/>
    <s v="Cep 1999"/>
    <s v="Rua 1999"/>
    <s v="Comp 1999"/>
    <s v="Bolsa térmica"/>
    <s v="6I-CK1S-8HYZ"/>
    <d v="2025-08-06T00:00:00"/>
    <n v="29.5"/>
    <n v="29.5"/>
    <n v="3.54"/>
    <n v="25.96"/>
    <n v="22.58"/>
    <n v="0"/>
    <n v="0.39877104377104378"/>
    <n v="0"/>
    <n v="2.9812289562289571"/>
    <n v="1.4906144781144786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0"/>
    <s v="BV45861"/>
    <s v="Pedido 2044"/>
    <d v="2025-07-18T00:00:00"/>
    <x v="184"/>
    <s v="PedidoF1928"/>
    <s v="CódRastreio1926"/>
    <n v="1"/>
    <s v="CPF 2000"/>
    <s v="Nome 2000"/>
    <s v="Tel 2000"/>
    <s v="Cep 2000"/>
    <s v="Rua 2000"/>
    <s v="Comp 2000"/>
    <s v="Bolsa térmica"/>
    <s v="6I-CK1S-8HYZ"/>
    <d v="2025-08-08T00:00:00"/>
    <n v="29.5"/>
    <n v="29.5"/>
    <n v="3.54"/>
    <n v="25.96"/>
    <n v="22.58"/>
    <n v="0"/>
    <n v="0.39877104377104378"/>
    <n v="0"/>
    <n v="2.9812289562289571"/>
    <n v="1.4906144781144786"/>
    <x v="184"/>
    <x v="185"/>
    <x v="30"/>
    <d v="2025-08-19T00:00:00"/>
    <x v="9"/>
    <x v="0"/>
    <x v="10"/>
    <s v="ENTREGUE"/>
    <d v="2025-07-29T00:00:00"/>
    <x v="0"/>
    <m/>
    <n v="0"/>
    <n v="0"/>
    <n v="0"/>
    <n v="0"/>
    <n v="0"/>
  </r>
  <r>
    <x v="0"/>
    <s v="BV45861"/>
    <s v="Pedido 2045"/>
    <d v="2025-07-21T00:00:00"/>
    <x v="184"/>
    <s v="PedidoF1929"/>
    <s v="CódRastreio1927"/>
    <n v="1"/>
    <s v="CPF 2001"/>
    <s v="Nome 2001"/>
    <s v="Tel 2001"/>
    <s v="Cep 2001"/>
    <s v="Rua 2001"/>
    <s v="Comp 2001"/>
    <s v="Bolsa térmica"/>
    <s v="6I-CK1S-8HYZ"/>
    <d v="2025-08-06T00:00:00"/>
    <n v="31.99"/>
    <n v="31.99"/>
    <n v="3.8387999999999995"/>
    <n v="28.15"/>
    <n v="22.58"/>
    <n v="0"/>
    <n v="0.39877104377104378"/>
    <n v="0"/>
    <n v="5.1712289562289548"/>
    <n v="2.5856144781144774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0"/>
    <s v="Pedido 2046"/>
    <d v="2025-07-22T00:00:00"/>
    <x v="183"/>
    <s v="PedidoF1930"/>
    <s v="CódRastreio1928"/>
    <n v="1"/>
    <s v="CPF 2002"/>
    <s v="Nome 2002"/>
    <s v="Tel 2002"/>
    <s v="Cep 2002"/>
    <s v="Rua 2002"/>
    <s v="Comp 2002"/>
    <s v="Ventilador Umidificador Preto"/>
    <s v="K9-YV2I-FO7H"/>
    <d v="2025-08-12T00:00:00"/>
    <n v="54.99"/>
    <n v="54.99"/>
    <n v="6.0489000000000006"/>
    <n v="48.94"/>
    <n v="36.72"/>
    <n v="0"/>
    <n v="0.39877104377104378"/>
    <n v="0"/>
    <n v="11.821228956228957"/>
    <n v="11.821228956228957"/>
    <x v="188"/>
    <x v="189"/>
    <x v="31"/>
    <d v="2025-08-19T00:00:00"/>
    <x v="9"/>
    <x v="0"/>
    <x v="10"/>
    <s v="ENTREGUE"/>
    <d v="2025-07-26T00:00:00"/>
    <x v="0"/>
    <m/>
    <n v="0"/>
    <n v="0"/>
    <n v="0"/>
    <n v="0"/>
    <n v="0"/>
  </r>
  <r>
    <x v="1"/>
    <s v="GO45860"/>
    <s v="Pedido 2047"/>
    <d v="2025-07-22T00:00:00"/>
    <x v="183"/>
    <s v="PedidoF1930"/>
    <s v="CódRastreio1928"/>
    <n v="1"/>
    <s v="CPF 2002"/>
    <s v="Nome 2002"/>
    <s v="Tel 2002"/>
    <s v="Cep 2002"/>
    <s v="Rua 2002"/>
    <s v="Comp 2002"/>
    <s v="Ventilador Umidificador Preto"/>
    <s v="K9-YV2I-FO7H"/>
    <d v="2025-08-12T00:00:00"/>
    <n v="54.99"/>
    <n v="54.99"/>
    <n v="6.0489000000000006"/>
    <n v="48.94"/>
    <n v="36.72"/>
    <n v="0"/>
    <n v="0.39877104377104378"/>
    <n v="0"/>
    <n v="11.821228956228957"/>
    <n v="11.821228956228957"/>
    <x v="188"/>
    <x v="189"/>
    <x v="31"/>
    <d v="2025-08-19T00:00:00"/>
    <x v="9"/>
    <x v="0"/>
    <x v="10"/>
    <s v="ENTREGUE"/>
    <d v="2025-07-26T00:00:00"/>
    <x v="0"/>
    <m/>
    <n v="0"/>
    <n v="0"/>
    <n v="0"/>
    <n v="0"/>
    <n v="0"/>
  </r>
  <r>
    <x v="1"/>
    <s v="GO45860"/>
    <s v="Pedido 2048"/>
    <d v="2025-07-22T00:00:00"/>
    <x v="183"/>
    <s v="PedidoF1931"/>
    <s v="CódRastreio1929"/>
    <n v="1"/>
    <s v="CPF 2003"/>
    <s v="Nome 2003"/>
    <s v="Tel 2003"/>
    <s v="Cep 2003"/>
    <s v="Rua 2003"/>
    <s v="Comp 2003"/>
    <s v="Bolsa térmica"/>
    <s v="UX-4N1H-UQ8A"/>
    <d v="2025-08-05T00:00:00"/>
    <n v="30.99"/>
    <n v="30.99"/>
    <n v="3.7187999999999999"/>
    <n v="27.27"/>
    <n v="22.58"/>
    <n v="0"/>
    <n v="0.39877104377104378"/>
    <n v="0"/>
    <n v="4.2912289562289558"/>
    <n v="4.2912289562289558"/>
    <x v="182"/>
    <x v="183"/>
    <x v="30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60"/>
    <s v="Pedido 2049"/>
    <d v="2025-07-22T00:00:00"/>
    <x v="183"/>
    <s v="PedidoF1932"/>
    <s v="CódRastreio1930"/>
    <n v="1"/>
    <s v="CPF 2004"/>
    <s v="Nome 2004"/>
    <s v="Tel 2004"/>
    <s v="Cep 2004"/>
    <s v="Rua 2004"/>
    <s v="Comp 2004"/>
    <s v="Bolsa térmica"/>
    <s v="UX-4N1H-UQ8A"/>
    <d v="2025-07-31T00:00:00"/>
    <n v="30.97"/>
    <n v="30.97"/>
    <n v="3.7163999999999997"/>
    <n v="27.25"/>
    <n v="22.58"/>
    <n v="0"/>
    <n v="0.39877104377104378"/>
    <n v="0"/>
    <n v="4.2712289562289563"/>
    <n v="4.2712289562289563"/>
    <x v="183"/>
    <x v="184"/>
    <x v="30"/>
    <d v="2025-08-19T00:00:00"/>
    <x v="9"/>
    <x v="0"/>
    <x v="10"/>
    <s v="ENTREGUE"/>
    <d v="2025-07-25T00:00:00"/>
    <x v="0"/>
    <m/>
    <n v="0"/>
    <n v="0"/>
    <n v="0"/>
    <n v="0"/>
    <n v="0"/>
  </r>
  <r>
    <x v="1"/>
    <s v="GO45861"/>
    <s v="Pedido 2050"/>
    <d v="2025-07-22T00:00:00"/>
    <x v="184"/>
    <s v="PedidoF1933"/>
    <s v="CódRastreio1931"/>
    <n v="1"/>
    <s v="CPF 2005"/>
    <s v="Nome 2005"/>
    <s v="Tel 2005"/>
    <s v="Cep 2005"/>
    <s v="Rua 2005"/>
    <s v="Comp 2005"/>
    <s v="Bolsa térmica"/>
    <s v="UX-4N1H-UQ8A"/>
    <d v="2025-07-31T00:00:00"/>
    <n v="30.97"/>
    <n v="30.97"/>
    <n v="3.7163999999999997"/>
    <n v="27.25"/>
    <n v="22.58"/>
    <n v="0"/>
    <n v="0.39877104377104378"/>
    <n v="0"/>
    <n v="4.2712289562289563"/>
    <n v="4.2712289562289563"/>
    <x v="183"/>
    <x v="184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51"/>
    <d v="2025-07-23T00:00:00"/>
    <x v="184"/>
    <s v="PedidoF1934"/>
    <s v="CódRastreio1932"/>
    <n v="2"/>
    <s v="CPF 2006"/>
    <s v="Nome 2006"/>
    <s v="Tel 2006"/>
    <s v="Cep 2006"/>
    <s v="Rua 2006"/>
    <s v="Comp 2006"/>
    <s v="Bolsa térmica"/>
    <s v="UX-4N1H-UQ8A"/>
    <d v="2025-07-31T00:00:00"/>
    <n v="61.94"/>
    <n v="61.94"/>
    <n v="7.4327999999999994"/>
    <n v="54.51"/>
    <n v="40.659999999999997"/>
    <n v="0"/>
    <n v="0.39877104377104378"/>
    <n v="0"/>
    <n v="13.45122895622896"/>
    <n v="13.45122895622896"/>
    <x v="183"/>
    <x v="184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52"/>
    <d v="2025-07-23T00:00:00"/>
    <x v="184"/>
    <s v="PedidoF1935"/>
    <s v="CódRastreio1933"/>
    <n v="2"/>
    <s v="CPF 2007"/>
    <s v="Nome 2007"/>
    <s v="Tel 2007"/>
    <s v="Cep 2007"/>
    <s v="Rua 2007"/>
    <s v="Comp 2007"/>
    <s v="Bolsa térmica"/>
    <s v="UX-4N1H-UQ8A"/>
    <d v="2025-08-06T00:00:00"/>
    <n v="61.94"/>
    <n v="61.94"/>
    <n v="7.4327999999999994"/>
    <n v="54.51"/>
    <n v="40.659999999999997"/>
    <n v="0"/>
    <n v="0.39877104377104378"/>
    <n v="0"/>
    <n v="13.45122895622896"/>
    <n v="13.45122895622896"/>
    <x v="178"/>
    <x v="179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53"/>
    <d v="2025-07-23T00:00:00"/>
    <x v="184"/>
    <s v="PedidoF1936"/>
    <s v="CódRastreio1934"/>
    <n v="1"/>
    <s v="CPF 2008"/>
    <s v="Nome 2008"/>
    <s v="Tel 2008"/>
    <s v="Cep 2008"/>
    <s v="Rua 2008"/>
    <s v="Comp 2008"/>
    <s v="Bolsa térmica"/>
    <s v="UX-4N1H-UQ8A"/>
    <d v="2025-08-06T00:00:00"/>
    <n v="30.97"/>
    <n v="30.97"/>
    <n v="3.7163999999999997"/>
    <n v="27.25"/>
    <n v="22.58"/>
    <n v="0"/>
    <n v="0.39877104377104378"/>
    <n v="0"/>
    <n v="4.2712289562289563"/>
    <n v="4.2712289562289563"/>
    <x v="178"/>
    <x v="179"/>
    <x v="30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61"/>
    <s v="Pedido 2054"/>
    <d v="2025-07-23T00:00:00"/>
    <x v="184"/>
    <s v="PedidoF1937"/>
    <s v="CódRastreio1935"/>
    <n v="1"/>
    <s v="CPF 2009"/>
    <s v="Nome 2009"/>
    <s v="Tel 2009"/>
    <s v="Cep 2009"/>
    <s v="Rua 2009"/>
    <s v="Comp 2009"/>
    <s v="Bolsa térmica"/>
    <s v="UX-4N1H-UQ8A"/>
    <d v="2025-08-12T00:00:00"/>
    <n v="30.97"/>
    <n v="30.97"/>
    <n v="3.7163999999999997"/>
    <n v="27.25"/>
    <n v="22.58"/>
    <n v="0"/>
    <n v="0.39877104377104378"/>
    <n v="0"/>
    <n v="4.2712289562289563"/>
    <n v="4.2712289562289563"/>
    <x v="188"/>
    <x v="189"/>
    <x v="31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61"/>
    <s v="Pedido 2055"/>
    <d v="2025-07-23T00:00:00"/>
    <x v="184"/>
    <s v="PedidoF1938"/>
    <s v="CódRastreio1936"/>
    <n v="1"/>
    <s v="CPF 2010"/>
    <s v="Nome 2010"/>
    <s v="Tel 2010"/>
    <s v="Cep 2010"/>
    <s v="Rua 2010"/>
    <s v="Comp 2010"/>
    <s v="Bolsa térmica"/>
    <s v="UX-4N1H-UQ8A"/>
    <d v="2025-07-31T00:00:00"/>
    <n v="30.97"/>
    <n v="30.97"/>
    <n v="3.7163999999999997"/>
    <n v="27.25"/>
    <n v="22.58"/>
    <n v="0"/>
    <n v="0.39877104377104378"/>
    <n v="0"/>
    <n v="4.2712289562289563"/>
    <n v="4.2712289562289563"/>
    <x v="183"/>
    <x v="184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56"/>
    <d v="2025-07-23T00:00:00"/>
    <x v="184"/>
    <s v="PedidoF1939"/>
    <s v="CódRastreio1937"/>
    <n v="1"/>
    <s v="CPF 2011"/>
    <s v="Nome 2011"/>
    <s v="Tel 2011"/>
    <s v="Cep 2011"/>
    <s v="Rua 2011"/>
    <s v="Comp 2011"/>
    <s v="Bolsa térmica"/>
    <s v="UX-4N1H-UQ8A"/>
    <d v="2025-08-05T00:00:00"/>
    <n v="30.97"/>
    <n v="30.97"/>
    <n v="3.7163999999999997"/>
    <n v="27.25"/>
    <n v="22.58"/>
    <n v="0"/>
    <n v="0.39877104377104378"/>
    <n v="0"/>
    <n v="4.2712289562289563"/>
    <n v="4.2712289562289563"/>
    <x v="182"/>
    <x v="183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57"/>
    <d v="2025-07-23T00:00:00"/>
    <x v="184"/>
    <s v="PedidoF1940"/>
    <s v="CódRastreio1938"/>
    <n v="1"/>
    <s v="CPF 2012"/>
    <s v="Nome 2012"/>
    <s v="Tel 2012"/>
    <s v="Cep 2012"/>
    <s v="Rua 2012"/>
    <s v="Comp 2012"/>
    <s v="Bolsa térmica"/>
    <s v="UX-4N1H-UQ8A"/>
    <d v="2025-08-01T00:00:00"/>
    <n v="30.97"/>
    <n v="30.97"/>
    <n v="3.7163999999999997"/>
    <n v="27.25"/>
    <n v="22.58"/>
    <n v="0"/>
    <n v="0.39877104377104378"/>
    <n v="0"/>
    <n v="4.2712289562289563"/>
    <n v="4.2712289562289563"/>
    <x v="180"/>
    <x v="181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58"/>
    <d v="2025-07-23T00:00:00"/>
    <x v="184"/>
    <s v="PedidoF1941"/>
    <s v="CódRastreio1939"/>
    <n v="1"/>
    <s v="CPF 2013"/>
    <s v="Nome 2013"/>
    <s v="Tel 2013"/>
    <s v="Cep 2013"/>
    <s v="Rua 2013"/>
    <s v="Comp 2013"/>
    <s v="Bolsa térmica"/>
    <s v="UX-4N1H-UQ8A"/>
    <d v="2025-08-07T00:00:00"/>
    <n v="30.97"/>
    <n v="30.97"/>
    <n v="3.7163999999999997"/>
    <n v="27.25"/>
    <n v="22.58"/>
    <n v="0"/>
    <n v="0.39877104377104378"/>
    <n v="0"/>
    <n v="4.2712289562289563"/>
    <n v="4.2712289562289563"/>
    <x v="185"/>
    <x v="186"/>
    <x v="30"/>
    <d v="2025-08-19T00:00:00"/>
    <x v="9"/>
    <x v="0"/>
    <x v="10"/>
    <s v="ENTREGUE"/>
    <d v="2025-07-31T00:00:00"/>
    <x v="0"/>
    <m/>
    <n v="0"/>
    <n v="0"/>
    <n v="0"/>
    <n v="0"/>
    <n v="0"/>
  </r>
  <r>
    <x v="1"/>
    <s v="GO45861"/>
    <s v="Pedido 2059"/>
    <d v="2025-07-23T00:00:00"/>
    <x v="184"/>
    <s v="PedidoF1942"/>
    <s v="CódRastreio1940"/>
    <n v="1"/>
    <s v="CPF 2014"/>
    <s v="Nome 2014"/>
    <s v="Tel 2014"/>
    <s v="Cep 2014"/>
    <s v="Rua 2014"/>
    <s v="Comp 2014"/>
    <s v="Bolsa térmica"/>
    <s v="UX-4N1H-UQ8A"/>
    <d v="2025-08-01T00:00:00"/>
    <n v="30.97"/>
    <n v="30.97"/>
    <n v="3.7163999999999997"/>
    <n v="27.25"/>
    <n v="22.58"/>
    <n v="0"/>
    <n v="0.39877104377104378"/>
    <n v="0"/>
    <n v="4.2712289562289563"/>
    <n v="4.2712289562289563"/>
    <x v="180"/>
    <x v="181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1"/>
    <s v="Pedido 2060"/>
    <d v="2025-07-23T00:00:00"/>
    <x v="184"/>
    <s v="PedidoF1943"/>
    <s v="CódRastreio1941"/>
    <n v="4"/>
    <s v="CPF 2015"/>
    <s v="Nome 2015"/>
    <s v="Tel 2015"/>
    <s v="Cep 2015"/>
    <s v="Rua 2015"/>
    <s v="Comp 2015"/>
    <s v="Bolsa térmica"/>
    <s v="UX-4N1H-UQ8A"/>
    <d v="2025-08-07T00:00:00"/>
    <n v="123.88"/>
    <n v="123.88"/>
    <n v="14.865599999999999"/>
    <n v="109.01"/>
    <n v="81.319999999999993"/>
    <n v="0"/>
    <n v="0.39877104377104378"/>
    <n v="0"/>
    <n v="27.291228956228963"/>
    <n v="27.291228956228963"/>
    <x v="185"/>
    <x v="186"/>
    <x v="30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61"/>
    <s v="Pedido 2061"/>
    <d v="2025-07-23T00:00:00"/>
    <x v="184"/>
    <s v="PedidoF1944"/>
    <s v="CódRastreio1942"/>
    <n v="1"/>
    <s v="CPF 2016"/>
    <s v="Nome 2016"/>
    <s v="Tel 2016"/>
    <s v="Cep 2016"/>
    <s v="Rua 2016"/>
    <s v="Comp 2016"/>
    <s v="Bolsa térmica"/>
    <s v="UX-4N1H-UQ8A"/>
    <d v="2025-08-01T00:00:00"/>
    <n v="30.97"/>
    <n v="30.97"/>
    <n v="3.7163999999999997"/>
    <n v="27.25"/>
    <n v="22.58"/>
    <n v="0"/>
    <n v="0.39877104377104378"/>
    <n v="0"/>
    <n v="4.2712289562289563"/>
    <n v="4.2712289562289563"/>
    <x v="180"/>
    <x v="181"/>
    <x v="30"/>
    <d v="2025-08-19T00:00:00"/>
    <x v="9"/>
    <x v="0"/>
    <x v="10"/>
    <s v="ENTREGUE"/>
    <d v="2025-07-27T00:00:00"/>
    <x v="0"/>
    <m/>
    <n v="0"/>
    <n v="0"/>
    <n v="0"/>
    <n v="0"/>
    <n v="0"/>
  </r>
  <r>
    <x v="1"/>
    <s v="GO45861"/>
    <s v="Pedido 2062"/>
    <d v="2025-07-24T00:00:00"/>
    <x v="184"/>
    <s v="PedidoF1945"/>
    <s v="CódRastreio1943"/>
    <n v="1"/>
    <s v="CPF 2017"/>
    <s v="Nome 2017"/>
    <s v="Tel 2017"/>
    <s v="Cep 2017"/>
    <s v="Rua 2017"/>
    <s v="Comp 2017"/>
    <s v="Bolsa térmica"/>
    <s v="UX-4N1H-UQ8A"/>
    <d v="2025-08-07T00:00:00"/>
    <n v="30.97"/>
    <n v="30.97"/>
    <n v="3.7163999999999997"/>
    <n v="27.25"/>
    <n v="22.58"/>
    <n v="0"/>
    <n v="0.39877104377104378"/>
    <n v="0"/>
    <n v="4.2712289562289563"/>
    <n v="4.2712289562289563"/>
    <x v="185"/>
    <x v="186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2"/>
    <s v="Pedido 2063"/>
    <d v="2025-07-24T00:00:00"/>
    <x v="185"/>
    <s v="PedidoF1946"/>
    <s v="CódRastreio1944"/>
    <n v="1"/>
    <s v="CPF 2018"/>
    <s v="Nome 2018"/>
    <s v="Tel 2018"/>
    <s v="Cep 2018"/>
    <s v="Rua 2018"/>
    <s v="Comp 2018"/>
    <s v="Bolsa térmica"/>
    <s v="UX-4N1H-UQ8A"/>
    <d v="2025-08-20T00:00:00"/>
    <n v="30.97"/>
    <n v="30.97"/>
    <n v="3.7163999999999997"/>
    <n v="27.25"/>
    <n v="22.58"/>
    <n v="0"/>
    <n v="0.39877104377104378"/>
    <n v="0"/>
    <n v="4.2712289562289563"/>
    <n v="4.2712289562289563"/>
    <x v="189"/>
    <x v="190"/>
    <x v="31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62"/>
    <s v="Pedido 2064"/>
    <d v="2025-07-24T00:00:00"/>
    <x v="185"/>
    <s v="PedidoF1947"/>
    <s v="CódRastreio1945"/>
    <n v="1"/>
    <s v="CPF 2019"/>
    <s v="Nome 2019"/>
    <s v="Tel 2019"/>
    <s v="Cep 2019"/>
    <s v="Rua 2019"/>
    <s v="Comp 2019"/>
    <s v="Bolsa térmica"/>
    <s v="UX-4N1H-UQ8A"/>
    <d v="2025-08-14T00:00:00"/>
    <n v="30.97"/>
    <n v="30.97"/>
    <n v="3.7163999999999997"/>
    <n v="27.25"/>
    <n v="22.58"/>
    <n v="0"/>
    <n v="0.39877104377104378"/>
    <n v="0"/>
    <n v="4.2712289562289563"/>
    <n v="4.2712289562289563"/>
    <x v="190"/>
    <x v="191"/>
    <x v="31"/>
    <d v="2025-08-19T00:00:00"/>
    <x v="9"/>
    <x v="0"/>
    <x v="10"/>
    <s v="ENTREGUE"/>
    <d v="2025-07-29T00:00:00"/>
    <x v="0"/>
    <m/>
    <n v="0"/>
    <n v="0"/>
    <n v="0"/>
    <n v="0"/>
    <n v="0"/>
  </r>
  <r>
    <x v="1"/>
    <s v="GO45862"/>
    <s v="Pedido 2065"/>
    <d v="2025-07-24T00:00:00"/>
    <x v="185"/>
    <s v="PedidoF1948"/>
    <s v="CódRastreio1946"/>
    <n v="1"/>
    <s v="CPF 1896"/>
    <s v="Nome 1896"/>
    <s v="Tel 1896"/>
    <s v="Cep 1896"/>
    <s v="Rua 1896"/>
    <s v="Comp 1896"/>
    <s v="Bolsa térmica"/>
    <s v="UX-4N1H-UQ8A"/>
    <d v="2025-08-08T00:00:00"/>
    <n v="30.97"/>
    <n v="30.97"/>
    <n v="3.7163999999999997"/>
    <n v="27.25"/>
    <n v="22.58"/>
    <n v="0"/>
    <n v="0.39877104377104378"/>
    <n v="0"/>
    <n v="4.2712289562289563"/>
    <n v="4.2712289562289563"/>
    <x v="184"/>
    <x v="185"/>
    <x v="30"/>
    <d v="2025-08-19T00:00:00"/>
    <x v="9"/>
    <x v="0"/>
    <x v="10"/>
    <s v="ENTREGUE"/>
    <d v="2025-07-28T00:00:00"/>
    <x v="0"/>
    <m/>
    <n v="0"/>
    <n v="0"/>
    <n v="0"/>
    <n v="0"/>
    <n v="0"/>
  </r>
  <r>
    <x v="1"/>
    <s v="GO45866"/>
    <s v="Pedido 2066"/>
    <d v="2025-07-25T00:00:00"/>
    <x v="186"/>
    <s v="PedidoF1949"/>
    <s v="CódRastreio1947"/>
    <n v="1"/>
    <s v="CPF 2021"/>
    <s v="Nome 2021"/>
    <s v="Tel 2021"/>
    <s v="Cep 2021"/>
    <s v="Rua 2021"/>
    <s v="Comp 2021"/>
    <s v="Bolsa térmica"/>
    <s v="UX-4N1H-UQ8A"/>
    <d v="2025-08-08T00:00:00"/>
    <n v="30.97"/>
    <n v="30.97"/>
    <n v="3.7163999999999997"/>
    <n v="27.25"/>
    <n v="22.58"/>
    <n v="0"/>
    <n v="0.39877104377104378"/>
    <n v="0"/>
    <n v="4.2712289562289563"/>
    <n v="4.2712289562289563"/>
    <x v="184"/>
    <x v="185"/>
    <x v="30"/>
    <d v="2025-08-19T00:00:00"/>
    <x v="9"/>
    <x v="0"/>
    <x v="10"/>
    <s v="ENTREGUE"/>
    <d v="2025-08-01T00:00:00"/>
    <x v="0"/>
    <m/>
    <n v="0"/>
    <n v="0"/>
    <n v="0"/>
    <n v="0"/>
    <n v="0"/>
  </r>
  <r>
    <x v="1"/>
    <s v="GO45866"/>
    <s v="Pedido 2067"/>
    <d v="2025-07-28T00:00:00"/>
    <x v="186"/>
    <s v="PedidoF1950"/>
    <s v="CódRastreio1948"/>
    <n v="1"/>
    <s v="CPF 2022"/>
    <s v="Nome 2022"/>
    <s v="Tel 2022"/>
    <s v="Cep 2022"/>
    <s v="Rua 2022"/>
    <s v="Comp 2022"/>
    <s v="Ventilador Umidificador Preto"/>
    <s v="K9-YV2I-FO7H"/>
    <d v="2025-08-14T00:00:00"/>
    <n v="54.99"/>
    <n v="54.99"/>
    <n v="6.0489000000000006"/>
    <n v="48.94"/>
    <n v="36.72"/>
    <n v="0"/>
    <n v="0.39877104377104378"/>
    <n v="0"/>
    <n v="11.821228956228957"/>
    <n v="11.821228956228957"/>
    <x v="190"/>
    <x v="191"/>
    <x v="31"/>
    <d v="2025-08-19T00:00:00"/>
    <x v="9"/>
    <x v="0"/>
    <x v="10"/>
    <s v="ENTREGUE"/>
    <d v="2025-08-01T00:00:00"/>
    <x v="0"/>
    <m/>
    <n v="0"/>
    <n v="0"/>
    <n v="0"/>
    <n v="0"/>
    <n v="0"/>
  </r>
  <r>
    <x v="1"/>
    <s v="GO45866"/>
    <s v="Pedido 2068"/>
    <d v="2025-07-28T00:00:00"/>
    <x v="186"/>
    <s v="PedidoF1951"/>
    <s v="CódRastreio1949"/>
    <n v="1"/>
    <s v="CPF 2023"/>
    <s v="Nome 2023"/>
    <s v="Tel 2023"/>
    <s v="Cep 2023"/>
    <s v="Rua 2023"/>
    <s v="Comp 2023"/>
    <s v="Bolsa térmica"/>
    <s v="UX-4N1H-UQ8A"/>
    <d v="2025-08-12T00:00:00"/>
    <n v="29.5"/>
    <n v="29.5"/>
    <n v="3.54"/>
    <n v="25.96"/>
    <n v="22.58"/>
    <n v="0"/>
    <n v="0.39877104377104378"/>
    <n v="0"/>
    <n v="2.9812289562289571"/>
    <n v="2.9812289562289571"/>
    <x v="188"/>
    <x v="189"/>
    <x v="31"/>
    <d v="2025-08-19T00:00:00"/>
    <x v="9"/>
    <x v="0"/>
    <x v="10"/>
    <s v="ENTREGUE"/>
    <d v="2025-08-01T00:00:00"/>
    <x v="0"/>
    <m/>
    <n v="0"/>
    <n v="0"/>
    <n v="0"/>
    <n v="0"/>
    <n v="0"/>
  </r>
  <r>
    <x v="0"/>
    <s v="BV45875"/>
    <s v="Pedido 2069"/>
    <d v="2025-08-03T00:00:00"/>
    <x v="187"/>
    <s v="PedidoF1952"/>
    <s v="CódRastreio1950"/>
    <n v="2"/>
    <s v="CPF 2024"/>
    <s v="Nome 2024"/>
    <s v="Tel 2024"/>
    <s v="Cep 2024"/>
    <s v="Rua 2024"/>
    <s v="Comp 2024"/>
    <s v="Máquina de cortar cabelo dragão"/>
    <s v="HG-2FNR-01A9"/>
    <d v="2025-08-16T00:00:00"/>
    <n v="47.8"/>
    <n v="47.8"/>
    <n v="5.7359999999999998"/>
    <n v="42.06"/>
    <n v="32.07"/>
    <n v="0"/>
    <n v="0.39877104377104378"/>
    <n v="0"/>
    <n v="9.5912289562289601"/>
    <n v="4.7956144781144801"/>
    <x v="191"/>
    <x v="192"/>
    <x v="31"/>
    <d v="2025-08-19T00:00:00"/>
    <x v="9"/>
    <x v="0"/>
    <x v="11"/>
    <s v="EM TRÂNSITO"/>
    <s v="-"/>
    <x v="0"/>
    <m/>
    <n v="0"/>
    <n v="0"/>
    <n v="0"/>
    <n v="0"/>
    <n v="0"/>
  </r>
  <r>
    <x v="0"/>
    <s v="BV45875"/>
    <s v="Pedido 2070"/>
    <d v="2025-08-04T00:00:00"/>
    <x v="187"/>
    <s v="PedidoF1953"/>
    <s v="CódRastreio1951"/>
    <n v="1"/>
    <s v="CPF 2025"/>
    <s v="Nome 2025"/>
    <s v="Tel 2025"/>
    <s v="Cep 2025"/>
    <s v="Rua 2025"/>
    <s v="Comp 2025"/>
    <s v="Máquina de cortar cabelo dragão"/>
    <s v="HG-2FNR-01A9"/>
    <d v="2025-08-29T00:00:00"/>
    <n v="25.99"/>
    <n v="25.99"/>
    <n v="3.1187999999999998"/>
    <n v="22.87"/>
    <n v="10.54"/>
    <n v="0"/>
    <n v="0.39877104377104378"/>
    <n v="0"/>
    <n v="11.931228956228958"/>
    <n v="5.9656144781144791"/>
    <x v="192"/>
    <x v="193"/>
    <x v="31"/>
    <d v="2025-09-15T00:00:00"/>
    <x v="10"/>
    <x v="0"/>
    <x v="11"/>
    <s v="ENTREGUE"/>
    <d v="2025-08-19T00:00:00"/>
    <x v="0"/>
    <m/>
    <n v="0"/>
    <n v="0"/>
    <n v="0"/>
    <n v="0"/>
    <n v="0"/>
  </r>
  <r>
    <x v="1"/>
    <s v="GO45875"/>
    <s v="Pedido 2071"/>
    <d v="2025-08-06T00:00:00"/>
    <x v="187"/>
    <s v="PedidoF1954"/>
    <s v="CódRastreio1952"/>
    <n v="1"/>
    <s v="CPF 2026"/>
    <s v="Nome 2026"/>
    <s v="Tel 2026"/>
    <s v="Cep 2026"/>
    <s v="Rua 2026"/>
    <s v="Comp 2026"/>
    <s v="Bolsa térmica"/>
    <s v="UX-4N1H-UQ8A"/>
    <d v="2025-08-30T00:00:00"/>
    <n v="35.99"/>
    <n v="35.99"/>
    <n v="4.3188000000000004"/>
    <n v="31.67"/>
    <n v="26.48"/>
    <n v="0"/>
    <n v="0.39877104377104378"/>
    <n v="0"/>
    <n v="4.7912289562289558"/>
    <n v="4.7912289562289558"/>
    <x v="193"/>
    <x v="194"/>
    <x v="31"/>
    <d v="2025-09-15T00:00:00"/>
    <x v="10"/>
    <x v="0"/>
    <x v="11"/>
    <s v="EM TRÂNSITO"/>
    <s v="-"/>
    <x v="0"/>
    <m/>
    <n v="0"/>
    <n v="0"/>
    <n v="0"/>
    <n v="0"/>
    <n v="0"/>
  </r>
  <r>
    <x v="1"/>
    <s v="GO45875"/>
    <s v="Pedido 2072"/>
    <d v="2025-08-06T00:00:00"/>
    <x v="187"/>
    <s v="PedidoF1955"/>
    <s v="CódRastreio1953"/>
    <n v="1"/>
    <s v="CPF 2027"/>
    <s v="Nome 2027"/>
    <s v="Tel 2027"/>
    <s v="Cep 2027"/>
    <s v="Rua 2027"/>
    <s v="Comp 2027"/>
    <s v="Mini Liquidificador"/>
    <s v="Q3-ZLM0-OEUO"/>
    <d v="2025-08-27T00:00:00"/>
    <n v="26.99"/>
    <n v="26.99"/>
    <n v="3.2387999999999999"/>
    <n v="23.75"/>
    <n v="6.99"/>
    <n v="0"/>
    <n v="0.39877104377104378"/>
    <n v="0"/>
    <n v="16.361228956228956"/>
    <n v="16.361228956228956"/>
    <x v="194"/>
    <x v="195"/>
    <x v="31"/>
    <d v="2025-09-15T00:00:00"/>
    <x v="10"/>
    <x v="0"/>
    <x v="11"/>
    <s v="ENTREGUE"/>
    <d v="2025-08-12T00:00:00"/>
    <x v="0"/>
    <m/>
    <n v="0"/>
    <n v="0"/>
    <n v="0"/>
    <n v="0"/>
    <n v="0"/>
  </r>
  <r>
    <x v="1"/>
    <s v="GO45880"/>
    <s v="Pedido 2073"/>
    <d v="2025-08-09T00:00:00"/>
    <x v="188"/>
    <s v="PedidoF1956"/>
    <s v="CódRastreio1954"/>
    <n v="1"/>
    <s v="CPF 2028"/>
    <s v="Nome 2028"/>
    <s v="Tel 2028"/>
    <s v="Cep 2028"/>
    <s v="Rua 2028"/>
    <s v="Comp 2028"/>
    <s v="Mini Liquidificador"/>
    <s v="Q3-ZLM0-OEUO"/>
    <d v="2025-09-03T00:00:00"/>
    <n v="26.99"/>
    <n v="26.99"/>
    <n v="3.2387999999999999"/>
    <n v="23.75"/>
    <n v="11.99"/>
    <n v="0"/>
    <n v="0.39877104377104378"/>
    <n v="0"/>
    <n v="11.361228956228956"/>
    <n v="11.361228956228956"/>
    <x v="195"/>
    <x v="196"/>
    <x v="31"/>
    <d v="2025-09-15T00:00:00"/>
    <x v="10"/>
    <x v="0"/>
    <x v="11"/>
    <s v="ENTREGUE"/>
    <d v="2025-08-20T00:00:00"/>
    <x v="0"/>
    <m/>
    <n v="0"/>
    <n v="0"/>
    <n v="0"/>
    <n v="0"/>
    <n v="0"/>
  </r>
  <r>
    <x v="0"/>
    <s v="BV45882"/>
    <s v="Pedido 2074"/>
    <d v="2025-08-11T00:00:00"/>
    <x v="189"/>
    <s v="PedidoF1957"/>
    <s v="CódRastreio1955"/>
    <n v="1"/>
    <s v="CPF 2029"/>
    <s v="Nome 2029"/>
    <s v="Tel 2029"/>
    <s v="Cep 2029"/>
    <s v="Rua 2029"/>
    <s v="Comp 2029"/>
    <s v="Máquina de cortar cabelo dragão"/>
    <s v="NQ-IMR8-W6Q4"/>
    <d v="2025-08-30T00:00:00"/>
    <n v="25.99"/>
    <n v="25.99"/>
    <n v="3.1187999999999998"/>
    <n v="22.87"/>
    <n v="23.689999999999998"/>
    <n v="0"/>
    <n v="0.39877104377104378"/>
    <n v="0"/>
    <n v="-1.2187710437710422"/>
    <n v="-0.60938552188552109"/>
    <x v="193"/>
    <x v="194"/>
    <x v="31"/>
    <d v="2025-09-15T00:00:00"/>
    <x v="10"/>
    <x v="0"/>
    <x v="11"/>
    <s v="RETIRADA"/>
    <s v="-"/>
    <x v="0"/>
    <m/>
    <n v="0"/>
    <n v="0"/>
    <n v="0"/>
    <n v="0"/>
    <n v="0"/>
  </r>
  <r>
    <x v="0"/>
    <s v="BV45882"/>
    <s v="Pedido 2075"/>
    <d v="2025-08-11T00:00:00"/>
    <x v="189"/>
    <s v="PedidoF1958"/>
    <s v="CódRastreio1956"/>
    <n v="1"/>
    <s v="CPF 2030"/>
    <s v="Nome 2030"/>
    <s v="Tel 2030"/>
    <s v="Cep 2030"/>
    <s v="Rua 2030"/>
    <s v="Comp 2030"/>
    <s v="Bolsa térmica"/>
    <s v="6I-CK1S-8HYZ"/>
    <d v="2025-08-30T00:00:00"/>
    <n v="35.99"/>
    <n v="35.99"/>
    <n v="4.3188000000000004"/>
    <n v="31.67"/>
    <n v="20.05"/>
    <n v="0"/>
    <n v="0.39877104377104378"/>
    <n v="0"/>
    <n v="11.221228956228956"/>
    <n v="5.6106144781144778"/>
    <x v="193"/>
    <x v="194"/>
    <x v="31"/>
    <d v="2025-09-15T00:00:00"/>
    <x v="10"/>
    <x v="0"/>
    <x v="11"/>
    <s v="ENTREGUE"/>
    <d v="2025-08-22T00:00:00"/>
    <x v="0"/>
    <m/>
    <n v="0"/>
    <n v="0"/>
    <n v="0"/>
    <n v="0"/>
    <n v="0"/>
  </r>
  <r>
    <x v="1"/>
    <s v="GO45882"/>
    <s v="Pedido 2076"/>
    <d v="2025-08-11T00:00:00"/>
    <x v="189"/>
    <s v="PedidoF1959"/>
    <s v="CódRastreio1957"/>
    <n v="1"/>
    <s v="CPF 2031"/>
    <s v="Nome 2031"/>
    <s v="Tel 2031"/>
    <s v="Cep 2031"/>
    <s v="Rua 2031"/>
    <s v="Comp 2031"/>
    <s v="Luminária Rosa de mesa infantil"/>
    <s v="WE-ZKJU-QB71"/>
    <d v="2025-08-30T00:00:00"/>
    <n v="49.99"/>
    <n v="49.99"/>
    <n v="5.9988000000000001"/>
    <n v="43.99"/>
    <n v="12.37"/>
    <n v="0"/>
    <n v="0.39877104377104378"/>
    <n v="0"/>
    <n v="31.221228956228959"/>
    <n v="31.221228956228959"/>
    <x v="193"/>
    <x v="194"/>
    <x v="31"/>
    <d v="2025-09-15T00:00:00"/>
    <x v="10"/>
    <x v="0"/>
    <x v="11"/>
    <s v="ENTREGUE"/>
    <d v="2025-08-22T00:00:00"/>
    <x v="0"/>
    <m/>
    <n v="0"/>
    <n v="0"/>
    <n v="0"/>
    <n v="0"/>
    <n v="0"/>
  </r>
  <r>
    <x v="1"/>
    <s v="GO45883"/>
    <s v="Pedido 2077"/>
    <d v="2025-08-14T00:00:00"/>
    <x v="190"/>
    <s v="PedidoF1960"/>
    <s v="CódRastreio1958"/>
    <n v="1"/>
    <s v="CPF 2032"/>
    <s v="Nome 2032"/>
    <s v="Tel 2032"/>
    <s v="Cep 2032"/>
    <s v="Rua 2032"/>
    <s v="Comp 2032"/>
    <s v="Mini Liquidificador"/>
    <s v="Q3-ZLM0-OEUO"/>
    <d v="2025-09-09T00:00:00"/>
    <n v="26.99"/>
    <n v="26.99"/>
    <n v="3.2387999999999999"/>
    <n v="23.75"/>
    <n v="10.99"/>
    <n v="0"/>
    <n v="0.39877104377104378"/>
    <n v="0"/>
    <n v="12.361228956228956"/>
    <n v="12.361228956228956"/>
    <x v="196"/>
    <x v="197"/>
    <x v="32"/>
    <s v="-"/>
    <x v="10"/>
    <x v="0"/>
    <x v="11"/>
    <s v="ENTREGUE"/>
    <d v="2025-08-22T00:00:00"/>
    <x v="0"/>
    <m/>
    <n v="0"/>
    <n v="0"/>
    <n v="0"/>
    <n v="0"/>
    <n v="0"/>
  </r>
  <r>
    <x v="1"/>
    <s v="GO45887"/>
    <s v="Pedido 2078"/>
    <d v="2025-08-15T00:00:00"/>
    <x v="191"/>
    <s v="PedidoF1961"/>
    <s v="CódRastreio1959"/>
    <n v="1"/>
    <s v="CPF 2033"/>
    <s v="Nome 2033"/>
    <s v="Tel 2033"/>
    <s v="Cep 2033"/>
    <s v="Rua 2033"/>
    <s v="Comp 2033"/>
    <s v="Mini Liquidificador"/>
    <s v="Q3-ZLM0-OEUO"/>
    <d v="2025-08-30T00:00:00"/>
    <n v="26.99"/>
    <n v="26.99"/>
    <n v="3.2387999999999999"/>
    <n v="23.75"/>
    <n v="17.989999999999998"/>
    <n v="0"/>
    <n v="0.39877104377104378"/>
    <n v="0"/>
    <n v="5.3612289562289561"/>
    <n v="5.3612289562289561"/>
    <x v="193"/>
    <x v="194"/>
    <x v="31"/>
    <d v="2025-09-15T00:00:00"/>
    <x v="10"/>
    <x v="0"/>
    <x v="11"/>
    <s v="ENTREGUE"/>
    <d v="2025-08-27T00:00:00"/>
    <x v="0"/>
    <m/>
    <n v="0"/>
    <n v="0"/>
    <n v="0"/>
    <n v="0"/>
    <n v="0"/>
  </r>
  <r>
    <x v="1"/>
    <s v="GO45887"/>
    <s v="Pedido 2079"/>
    <d v="2025-08-18T00:00:00"/>
    <x v="191"/>
    <s v="PedidoF1962"/>
    <s v="CódRastreio1960"/>
    <n v="1"/>
    <s v="CPF 2034"/>
    <s v="Nome 2034"/>
    <s v="Tel 2034"/>
    <s v="Cep 2034"/>
    <s v="Rua 2034"/>
    <s v="Comp 2034"/>
    <s v="Ventilador Rosa"/>
    <s v="MK-OUQW-7L3Z"/>
    <d v="2025-09-12T00:00:00"/>
    <n v="50.99"/>
    <n v="50.99"/>
    <n v="6.1188000000000002"/>
    <n v="44.87"/>
    <n v="22.08"/>
    <n v="0"/>
    <n v="0.39877104377104378"/>
    <n v="0"/>
    <n v="22.391228956228954"/>
    <n v="22.391228956228954"/>
    <x v="197"/>
    <x v="197"/>
    <x v="32"/>
    <s v="-"/>
    <x v="10"/>
    <x v="0"/>
    <x v="11"/>
    <s v="EM SEPARAÇÃO"/>
    <s v="-"/>
    <x v="0"/>
    <m/>
    <n v="0"/>
    <n v="0"/>
    <n v="0"/>
    <n v="0"/>
    <n v="0"/>
  </r>
  <r>
    <x v="1"/>
    <s v="GO45888"/>
    <s v="Pedido 2080"/>
    <d v="2025-08-19T00:00:00"/>
    <x v="192"/>
    <s v="PedidoF1963"/>
    <s v="CódRastreio1961"/>
    <n v="1"/>
    <s v="CPF 2035"/>
    <s v="Nome 2035"/>
    <s v="Tel 2035"/>
    <s v="Cep 2035"/>
    <s v="Rua 2035"/>
    <s v="Comp 2035"/>
    <s v="Mini Liquidificador"/>
    <s v="Q3-ZLM0-OEUO"/>
    <d v="2025-09-08T00:00:00"/>
    <n v="26.99"/>
    <n v="26.99"/>
    <n v="3.2387999999999999"/>
    <n v="23.75"/>
    <n v="15.99"/>
    <n v="0"/>
    <n v="0.39877104377104378"/>
    <n v="0"/>
    <n v="7.3612289562289561"/>
    <n v="7.3612289562289561"/>
    <x v="198"/>
    <x v="198"/>
    <x v="31"/>
    <d v="2025-09-15T00:00:00"/>
    <x v="10"/>
    <x v="0"/>
    <x v="11"/>
    <s v="ENTREGUE"/>
    <d v="2025-08-25T00:00:00"/>
    <x v="0"/>
    <m/>
    <n v="0"/>
    <n v="0"/>
    <n v="0"/>
    <n v="0"/>
    <n v="0"/>
  </r>
  <r>
    <x v="1"/>
    <s v="GO45894"/>
    <s v="Pedido 2081"/>
    <d v="2025-08-23T00:00:00"/>
    <x v="193"/>
    <s v="PedidoF1964"/>
    <s v="CódRastreio1962"/>
    <n v="1"/>
    <s v="CPF 2036"/>
    <s v="Nome 2036"/>
    <s v="Tel 2036"/>
    <s v="Cep 2036"/>
    <s v="Rua 2036"/>
    <s v="Comp 2036"/>
    <s v="Brinquedo Bola Giratória voadora"/>
    <s v="EL-YKJD-0WWL"/>
    <d v="2025-09-25T00:00:00"/>
    <n v="38.99"/>
    <n v="38.99"/>
    <n v="4.6787999999999998"/>
    <n v="34.31"/>
    <n v="25.03"/>
    <n v="0"/>
    <n v="0.39877104377104378"/>
    <n v="0"/>
    <n v="8.8812289562289557"/>
    <n v="8.8812289562289557"/>
    <x v="199"/>
    <x v="199"/>
    <x v="32"/>
    <s v="-"/>
    <x v="11"/>
    <x v="0"/>
    <x v="11"/>
    <s v="EM SEPARAÇÃO"/>
    <s v="-"/>
    <x v="0"/>
    <m/>
    <n v="0"/>
    <n v="0"/>
    <n v="0"/>
    <n v="0"/>
    <n v="0"/>
  </r>
  <r>
    <x v="1"/>
    <s v="GO45894"/>
    <s v="Pedido 2082"/>
    <d v="2025-08-24T00:00:00"/>
    <x v="193"/>
    <s v="PedidoF1965"/>
    <s v="CódRastreio1963"/>
    <n v="1"/>
    <s v="CPF 2037"/>
    <s v="Nome 2037"/>
    <s v="Tel 2037"/>
    <s v="Cep 2037"/>
    <s v="Rua 2037"/>
    <s v="Comp 2037"/>
    <s v="Brinquedo Bola Giratória voadora"/>
    <s v="EL-YKJD-0WWL"/>
    <d v="2025-09-12T00:00:00"/>
    <n v="38.99"/>
    <n v="38.99"/>
    <n v="4.6787999999999998"/>
    <n v="34.31"/>
    <n v="25.03"/>
    <n v="0"/>
    <n v="0.39877104377104378"/>
    <n v="0"/>
    <n v="8.8812289562289557"/>
    <n v="8.8812289562289557"/>
    <x v="197"/>
    <x v="197"/>
    <x v="32"/>
    <s v="-"/>
    <x v="10"/>
    <x v="0"/>
    <x v="11"/>
    <s v="EM SEPARAÇÃO"/>
    <s v="-"/>
    <x v="0"/>
    <m/>
    <n v="0"/>
    <n v="0"/>
    <n v="0"/>
    <n v="0"/>
    <n v="0"/>
  </r>
  <r>
    <x v="2"/>
    <s v="MEI45894"/>
    <s v="Pedido 2083"/>
    <d v="2025-08-22T00:00:00"/>
    <x v="193"/>
    <s v="PedidoF1966"/>
    <s v="CódRastreio1964"/>
    <n v="1"/>
    <s v="CPF 2038"/>
    <s v="Nome 2038"/>
    <s v="Tel 2038"/>
    <s v="Cep 2038"/>
    <s v="Rua 2038"/>
    <s v="Comp 2038"/>
    <s v="Brinquedo Bola Giratória voadora"/>
    <s v="Z0-F6CI-18CL"/>
    <d v="2025-09-17T00:00:00"/>
    <n v="38.99"/>
    <n v="38.99"/>
    <n v="4.6787999999999998"/>
    <n v="34.31"/>
    <n v="25.03"/>
    <n v="0"/>
    <n v="0.39877104377104378"/>
    <n v="0"/>
    <n v="8.8812289562289557"/>
    <n v="4.4406144781144778"/>
    <x v="200"/>
    <x v="197"/>
    <x v="32"/>
    <s v="-"/>
    <x v="10"/>
    <x v="0"/>
    <x v="11"/>
    <s v="EM SEPARAÇÃO"/>
    <s v="-"/>
    <x v="0"/>
    <m/>
    <n v="0"/>
    <n v="0"/>
    <n v="0"/>
    <n v="0"/>
    <n v="0"/>
  </r>
  <r>
    <x v="2"/>
    <s v="MEI45894"/>
    <s v="Pedido 2084"/>
    <d v="2025-08-24T00:00:00"/>
    <x v="193"/>
    <s v="PedidoF1967"/>
    <s v="CódRastreio1965"/>
    <n v="1"/>
    <s v="CPF 2039"/>
    <s v="Nome 2039"/>
    <s v="Tel 2039"/>
    <s v="Cep 2039"/>
    <s v="Rua 2039"/>
    <s v="Comp 2039"/>
    <s v="Brinquedo Bola Giratória voadora"/>
    <s v="Z0-F6CI-18CL"/>
    <d v="2025-09-12T00:00:00"/>
    <n v="38.99"/>
    <n v="38.99"/>
    <n v="4.6787999999999998"/>
    <n v="34.31"/>
    <n v="25.03"/>
    <n v="0"/>
    <n v="0.39877104377104378"/>
    <n v="0"/>
    <n v="8.8812289562289557"/>
    <n v="4.4406144781144778"/>
    <x v="197"/>
    <x v="197"/>
    <x v="32"/>
    <s v="-"/>
    <x v="10"/>
    <x v="0"/>
    <x v="11"/>
    <s v="EM SEPARAÇÃO"/>
    <s v="-"/>
    <x v="0"/>
    <m/>
    <n v="0"/>
    <n v="0"/>
    <n v="0"/>
    <n v="0"/>
    <n v="0"/>
  </r>
  <r>
    <x v="2"/>
    <s v="MEI45894"/>
    <s v="Pedido 2085"/>
    <d v="2025-08-24T00:00:00"/>
    <x v="193"/>
    <s v="PedidoF1968"/>
    <s v="CódRastreio1966"/>
    <n v="1"/>
    <s v="CPF 2040"/>
    <s v="Nome 2040"/>
    <s v="Tel 2040"/>
    <s v="Cep 2040"/>
    <s v="Rua 2040"/>
    <s v="Comp 2040"/>
    <s v="Brinquedo Bola Giratória voadora"/>
    <s v="Z0-F6CI-18CL"/>
    <d v="2025-09-12T00:00:00"/>
    <n v="38.99"/>
    <n v="38.99"/>
    <n v="4.6787999999999998"/>
    <n v="34.31"/>
    <n v="25.03"/>
    <n v="0"/>
    <n v="0.39877104377104378"/>
    <n v="0"/>
    <n v="8.8812289562289557"/>
    <n v="4.4406144781144778"/>
    <x v="197"/>
    <x v="197"/>
    <x v="32"/>
    <s v="-"/>
    <x v="10"/>
    <x v="0"/>
    <x v="11"/>
    <s v="EM SEPARAÇÃO"/>
    <s v="-"/>
    <x v="0"/>
    <m/>
    <n v="0"/>
    <n v="0"/>
    <n v="0"/>
    <n v="0"/>
    <n v="0"/>
  </r>
  <r>
    <x v="1"/>
    <s v="GO45895"/>
    <s v="Pedido 2086"/>
    <d v="2025-08-25T00:00:00"/>
    <x v="194"/>
    <s v="PedidoF1969"/>
    <s v="CódRastreio1967"/>
    <n v="1"/>
    <s v="CPF 2041"/>
    <s v="Nome 2041"/>
    <s v="Tel 2041"/>
    <s v="Cep 2041"/>
    <s v="Rua 2041"/>
    <s v="Comp 2041"/>
    <s v="Brinquedo Bola Giratória voadora"/>
    <s v="EL-YKJD-0WWL"/>
    <d v="2025-09-12T00:00:00"/>
    <n v="38.99"/>
    <n v="38.99"/>
    <n v="4.6787999999999998"/>
    <n v="34.31"/>
    <n v="26.34"/>
    <n v="0"/>
    <n v="0.39877104377104378"/>
    <n v="0"/>
    <n v="7.571228956228957"/>
    <n v="7.571228956228957"/>
    <x v="197"/>
    <x v="197"/>
    <x v="32"/>
    <s v="-"/>
    <x v="10"/>
    <x v="0"/>
    <x v="11"/>
    <s v="EM SEPARAÇÃO"/>
    <s v="-"/>
    <x v="0"/>
    <m/>
    <n v="0"/>
    <n v="0"/>
    <n v="0"/>
    <n v="0"/>
    <n v="0"/>
  </r>
  <r>
    <x v="2"/>
    <s v="MEI45897"/>
    <s v="Pedido 2087"/>
    <d v="2025-08-27T00:00:00"/>
    <x v="195"/>
    <s v="PedidoF1970"/>
    <s v="CódRastreio1968"/>
    <n v="1"/>
    <s v="CPF 2042"/>
    <s v="Nome 2042"/>
    <s v="Tel 2042"/>
    <s v="Cep 2042"/>
    <s v="Rua 2042"/>
    <s v="Comp 2042"/>
    <s v="Brinquedo Bola Giratória voadora"/>
    <s v="Z0-F6CI-18CL"/>
    <d v="2025-09-17T00:00:00"/>
    <n v="49.99"/>
    <n v="49.99"/>
    <n v="5.9988000000000001"/>
    <n v="43.99"/>
    <n v="24.4"/>
    <n v="0"/>
    <n v="0.39877104377104378"/>
    <n v="0"/>
    <n v="19.191228956228958"/>
    <n v="9.595614478114479"/>
    <x v="200"/>
    <x v="197"/>
    <x v="32"/>
    <s v="-"/>
    <x v="10"/>
    <x v="0"/>
    <x v="11"/>
    <s v="EM SEPARAÇÃO"/>
    <s v="-"/>
    <x v="0"/>
    <m/>
    <n v="0"/>
    <n v="0"/>
    <n v="0"/>
    <n v="0"/>
    <n v="0"/>
  </r>
  <r>
    <x v="2"/>
    <s v="MEI45898"/>
    <s v="Pedido 2088"/>
    <d v="2025-08-27T00:00:00"/>
    <x v="196"/>
    <s v="PedidoF1971"/>
    <s v="CódRastreio1969"/>
    <n v="1"/>
    <s v="CPF 2043"/>
    <s v="Nome 2043"/>
    <s v="Tel 2043"/>
    <s v="Cep 2043"/>
    <s v="Rua 2043"/>
    <s v="Comp 2043"/>
    <s v="Ventilador Rosa"/>
    <s v="WR-82Y0-OV27"/>
    <d v="2025-09-17T00:00:00"/>
    <n v="50.99"/>
    <n v="50.99"/>
    <n v="6.1188000000000002"/>
    <n v="44.87"/>
    <n v="36.619999999999997"/>
    <n v="0"/>
    <n v="0.39877104377104378"/>
    <n v="0"/>
    <n v="7.8512289562289581"/>
    <n v="3.9256144781144791"/>
    <x v="200"/>
    <x v="197"/>
    <x v="32"/>
    <s v="-"/>
    <x v="10"/>
    <x v="0"/>
    <x v="11"/>
    <s v="EM SEPARAÇÃO"/>
    <s v="-"/>
    <x v="0"/>
    <m/>
    <n v="0"/>
    <n v="0"/>
    <n v="0"/>
    <n v="0"/>
    <n v="0"/>
  </r>
  <r>
    <x v="2"/>
    <s v="MEI45902"/>
    <s v="Pedido 2089"/>
    <d v="2025-08-29T00:00:00"/>
    <x v="197"/>
    <s v="PedidoF1972"/>
    <s v="CódRastreio1970"/>
    <n v="1"/>
    <s v="CPF 2044"/>
    <s v="Nome 2044"/>
    <s v="Tel 2044"/>
    <s v="Cep 2044"/>
    <s v="Rua 2044"/>
    <s v="Comp 2044"/>
    <s v="Ventilador Rosa"/>
    <s v="WR-82Y0-OV27"/>
    <d v="2025-09-25T00:00:00"/>
    <n v="50.99"/>
    <n v="50.99"/>
    <n v="6.1188000000000002"/>
    <n v="44.87"/>
    <n v="0"/>
    <n v="0"/>
    <n v="0.39877104377104378"/>
    <n v="0"/>
    <n v="44.471228956228956"/>
    <n v="22.235614478114478"/>
    <x v="199"/>
    <x v="199"/>
    <x v="32"/>
    <s v="-"/>
    <x v="11"/>
    <x v="0"/>
    <x v="12"/>
    <s v="EM SEPARAÇÃO"/>
    <s v="-"/>
    <x v="0"/>
    <m/>
    <n v="0"/>
    <n v="0"/>
    <n v="0"/>
    <n v="0"/>
    <n v="0"/>
  </r>
  <r>
    <x v="2"/>
    <s v="MEI45902"/>
    <s v="Pedido 2090"/>
    <d v="2025-09-02T00:00:00"/>
    <x v="197"/>
    <s v="PedidoF1973"/>
    <s v="CódRastreio1971"/>
    <n v="1"/>
    <s v="CPF 2045"/>
    <s v="Nome 2045"/>
    <s v="Tel 2045"/>
    <s v="Cep 2045"/>
    <s v="Rua 2045"/>
    <s v="Comp 2045"/>
    <s v="Brinquedo Bola Giratória voadora"/>
    <s v="Z0-F6CI-18CL"/>
    <d v="2025-09-23T00:00:00"/>
    <n v="49.99"/>
    <n v="49.99"/>
    <n v="5.9988000000000001"/>
    <n v="43.99"/>
    <n v="24.97"/>
    <n v="0"/>
    <n v="0.39877104377104378"/>
    <n v="0"/>
    <n v="18.621228956228958"/>
    <n v="9.3106144781144788"/>
    <x v="201"/>
    <x v="197"/>
    <x v="32"/>
    <s v="-"/>
    <x v="10"/>
    <x v="0"/>
    <x v="12"/>
    <s v="EM SEPARAÇÃO"/>
    <s v="-"/>
    <x v="0"/>
    <m/>
    <n v="0"/>
    <n v="0"/>
    <n v="0"/>
    <n v="0"/>
    <n v="0"/>
  </r>
  <r>
    <x v="1"/>
    <s v="GO45902"/>
    <s v="Pedido 2091"/>
    <d v="2025-09-01T00:00:00"/>
    <x v="197"/>
    <s v="PedidoF1974"/>
    <s v="CódRastreio1972"/>
    <n v="1"/>
    <s v="CPF 2046"/>
    <s v="Nome 2046"/>
    <s v="Tel 2046"/>
    <s v="Cep 2046"/>
    <s v="Rua 2046"/>
    <s v="Comp 2046"/>
    <s v="Mini Liquidificador"/>
    <s v="Q3-ZLM0-OEUO"/>
    <d v="2025-09-13T00:00:00"/>
    <n v="31.99"/>
    <n v="31.99"/>
    <n v="3.8387999999999995"/>
    <n v="28.15"/>
    <n v="25.99"/>
    <n v="0"/>
    <n v="0.39877104377104378"/>
    <n v="0"/>
    <n v="1.7612289562289547"/>
    <n v="1.7612289562289547"/>
    <x v="202"/>
    <x v="197"/>
    <x v="32"/>
    <s v="-"/>
    <x v="10"/>
    <x v="0"/>
    <x v="12"/>
    <s v="EM SEPARAÇÃO"/>
    <s v="-"/>
    <x v="0"/>
    <m/>
    <n v="0"/>
    <n v="0"/>
    <n v="0"/>
    <n v="0"/>
    <n v="0"/>
  </r>
  <r>
    <x v="1"/>
    <s v="GO45902"/>
    <s v="Pedido 2092"/>
    <d v="2025-09-02T00:00:00"/>
    <x v="197"/>
    <s v="PedidoF1975"/>
    <s v="CódRastreio1973"/>
    <n v="1"/>
    <s v="CPF 2047"/>
    <s v="Nome 2047"/>
    <s v="Tel 2047"/>
    <s v="Cep 2047"/>
    <s v="Rua 2047"/>
    <s v="Comp 2047"/>
    <s v="Mini Liquidificador"/>
    <s v="Q3-ZLM0-OEUO"/>
    <d v="2025-09-16T00:00:00"/>
    <n v="31.99"/>
    <n v="31.99"/>
    <n v="3.8387999999999995"/>
    <n v="28.15"/>
    <n v="25.99"/>
    <n v="0"/>
    <n v="0.39877104377104378"/>
    <n v="0"/>
    <n v="1.7612289562289547"/>
    <n v="1.7612289562289547"/>
    <x v="203"/>
    <x v="197"/>
    <x v="32"/>
    <s v="-"/>
    <x v="10"/>
    <x v="0"/>
    <x v="12"/>
    <s v="EM SEPARAÇÃO"/>
    <s v="-"/>
    <x v="0"/>
    <m/>
    <n v="0"/>
    <n v="0"/>
    <n v="0"/>
    <n v="0"/>
    <n v="0"/>
  </r>
  <r>
    <x v="1"/>
    <s v="GO45902"/>
    <s v="Pedido 2093"/>
    <d v="2025-09-02T00:00:00"/>
    <x v="197"/>
    <s v="PedidoF1976"/>
    <s v="CódRastreio1974"/>
    <n v="1"/>
    <s v="CPF 2048"/>
    <s v="Nome 2048"/>
    <s v="Tel 2048"/>
    <s v="Cep 2048"/>
    <s v="Rua 2048"/>
    <s v="Comp 2048"/>
    <s v="Mini Liquidificador"/>
    <s v="Q3-ZLM0-OEUO"/>
    <d v="2025-09-20T00:00:00"/>
    <n v="31.99"/>
    <n v="31.99"/>
    <n v="3.8387999999999995"/>
    <n v="28.15"/>
    <n v="25.99"/>
    <n v="0"/>
    <n v="0.39877104377104378"/>
    <n v="0"/>
    <n v="1.7612289562289547"/>
    <n v="1.7612289562289547"/>
    <x v="204"/>
    <x v="197"/>
    <x v="32"/>
    <s v="-"/>
    <x v="10"/>
    <x v="0"/>
    <x v="12"/>
    <s v="EM SEPARAÇÃO"/>
    <s v="-"/>
    <x v="0"/>
    <m/>
    <n v="0"/>
    <n v="0"/>
    <n v="0"/>
    <n v="0"/>
    <n v="0"/>
  </r>
  <r>
    <x v="1"/>
    <s v="GO45908"/>
    <s v="Pedido 2094"/>
    <d v="2025-09-05T00:00:00"/>
    <x v="198"/>
    <s v="PedidoF1977"/>
    <s v="CódRastreio1975"/>
    <n v="1"/>
    <s v="CPF 2049"/>
    <s v="Nome 2049"/>
    <s v="Tel 2049"/>
    <s v="Cep 2049"/>
    <s v="Rua 2049"/>
    <s v="Comp 2049"/>
    <s v="Mini Liquidificador"/>
    <s v="Q3-ZLM0-OEUO"/>
    <d v="2025-09-20T00:00:00"/>
    <n v="31.99"/>
    <n v="31.99"/>
    <n v="3.8387999999999995"/>
    <n v="28.15"/>
    <n v="23.99"/>
    <n v="0"/>
    <n v="0.39877104377104378"/>
    <n v="0"/>
    <n v="3.7612289562289547"/>
    <n v="3.7612289562289547"/>
    <x v="204"/>
    <x v="197"/>
    <x v="32"/>
    <s v="-"/>
    <x v="10"/>
    <x v="0"/>
    <x v="12"/>
    <s v="-"/>
    <s v="-"/>
    <x v="0"/>
    <m/>
    <n v="0"/>
    <n v="0"/>
    <n v="0"/>
    <n v="0"/>
    <n v="0"/>
  </r>
  <r>
    <x v="1"/>
    <s v="GO45908"/>
    <s v="Pedido 2095"/>
    <d v="2025-09-08T00:00:00"/>
    <x v="198"/>
    <s v="PedidoF1978"/>
    <s v="CódRastreio1976"/>
    <n v="1"/>
    <s v="CPF 2050"/>
    <s v="Nome 2050"/>
    <s v="Tel 2050"/>
    <s v="Cep 2050"/>
    <s v="Rua 2050"/>
    <s v="Comp 2050"/>
    <s v="Mini Liquidificador"/>
    <s v="Q3-ZLM0-OEUO"/>
    <d v="2025-09-23T00:00:00"/>
    <n v="31.99"/>
    <n v="31.99"/>
    <n v="3.8387999999999995"/>
    <n v="28.15"/>
    <n v="23.99"/>
    <n v="0"/>
    <n v="0.39877104377104378"/>
    <n v="0"/>
    <n v="3.7612289562289547"/>
    <n v="3.7612289562289547"/>
    <x v="201"/>
    <x v="197"/>
    <x v="32"/>
    <s v="-"/>
    <x v="10"/>
    <x v="0"/>
    <x v="12"/>
    <s v="-"/>
    <s v="-"/>
    <x v="0"/>
    <m/>
    <n v="0"/>
    <n v="0"/>
    <n v="0"/>
    <n v="0"/>
    <n v="0"/>
  </r>
  <r>
    <x v="2"/>
    <s v="MEI45910"/>
    <s v="Pedido 2096"/>
    <d v="2025-09-09T00:00:00"/>
    <x v="199"/>
    <s v="PedidoF1979"/>
    <s v="CódRastreio1977"/>
    <n v="1"/>
    <s v="CPF 2051"/>
    <s v="Nome 2051"/>
    <s v="Tel 2051"/>
    <s v="Cep 2051"/>
    <s v="Rua 2051"/>
    <s v="Comp 2051"/>
    <s v="Ventilador Rosa"/>
    <s v="WR-82Y0-OV27"/>
    <d v="2025-10-10T00:00:00"/>
    <n v="50.99"/>
    <n v="50.99"/>
    <n v="6.1188000000000002"/>
    <n v="44.87"/>
    <n v="25.27"/>
    <n v="0"/>
    <n v="0.39877104377104378"/>
    <n v="0"/>
    <n v="19.201228956228952"/>
    <n v="9.6006144781144762"/>
    <x v="205"/>
    <x v="199"/>
    <x v="32"/>
    <s v="-"/>
    <x v="11"/>
    <x v="0"/>
    <x v="12"/>
    <s v="-"/>
    <s v="-"/>
    <x v="0"/>
    <m/>
    <n v="0"/>
    <n v="0"/>
    <n v="0"/>
    <n v="0"/>
    <n v="0"/>
  </r>
  <r>
    <x v="2"/>
    <s v="MEI45916"/>
    <s v="Pedido 2097"/>
    <d v="2025-09-11T00:00:00"/>
    <x v="200"/>
    <s v="PedidoF1980"/>
    <s v="CódRastreio1978"/>
    <n v="1"/>
    <s v="CPF 2052"/>
    <s v="Nome 2052"/>
    <s v="Tel 2052"/>
    <s v="Cep 2052"/>
    <s v="Rua 2052"/>
    <s v="Comp 2052"/>
    <s v="Ventilador Azul"/>
    <s v="PK-L2Z7-MQRQ"/>
    <d v="2025-10-02T00:00:00"/>
    <n v="48.5"/>
    <n v="48.5"/>
    <n v="5.8199999999999994"/>
    <n v="42.68"/>
    <n v="16.97"/>
    <n v="0"/>
    <n v="0.39877104377104378"/>
    <n v="0"/>
    <n v="25.311228956228955"/>
    <n v="12.655614478114478"/>
    <x v="206"/>
    <x v="199"/>
    <x v="32"/>
    <s v="-"/>
    <x v="11"/>
    <x v="0"/>
    <x v="12"/>
    <s v="-"/>
    <s v="-"/>
    <x v="0"/>
    <m/>
    <n v="0"/>
    <n v="0"/>
    <n v="0"/>
    <n v="0"/>
    <n v="0"/>
  </r>
  <r>
    <x v="2"/>
    <s v="MEI45915"/>
    <s v="Pedido 2097"/>
    <d v="2025-09-11T00:00:00"/>
    <x v="201"/>
    <s v="PedidoF1981"/>
    <s v="CódRastreio1979"/>
    <n v="1"/>
    <s v="CPF 2052"/>
    <s v="Nome 2052"/>
    <s v="Tel 2052"/>
    <s v="Cep 2052"/>
    <s v="Rua 2052"/>
    <s v="Comp 2052"/>
    <s v="Ventilador Rosa"/>
    <s v="WR-82Y0-OV27"/>
    <d v="2025-10-02T00:00:00"/>
    <n v="50.99"/>
    <n v="50.99"/>
    <n v="6.1188000000000002"/>
    <n v="44.87"/>
    <n v="23.31"/>
    <n v="0"/>
    <n v="0.39877104377104378"/>
    <n v="0"/>
    <n v="21.161228956228953"/>
    <n v="10.580614478114477"/>
    <x v="206"/>
    <x v="199"/>
    <x v="32"/>
    <s v="-"/>
    <x v="11"/>
    <x v="0"/>
    <x v="12"/>
    <s v="-"/>
    <s v="-"/>
    <x v="0"/>
    <m/>
    <n v="0"/>
    <n v="0"/>
    <n v="0"/>
    <n v="0"/>
    <n v="0"/>
  </r>
  <r>
    <x v="1"/>
    <s v="GO45915"/>
    <s v="Pedido 2098"/>
    <d v="2025-09-11T00:00:00"/>
    <x v="201"/>
    <s v="PedidoF1982"/>
    <s v="CódRastreio1980"/>
    <n v="1"/>
    <s v="CPF 2053"/>
    <s v="Nome 2053"/>
    <s v="Tel 2053"/>
    <s v="Cep 2053"/>
    <s v="Rua 2053"/>
    <s v="Comp 2053"/>
    <s v="Mini Liquidificador"/>
    <s v="Q3-ZLM0-OEUO"/>
    <d v="2025-10-08T00:00:00"/>
    <n v="31.99"/>
    <n v="31.99"/>
    <n v="3.8387999999999995"/>
    <n v="28.15"/>
    <n v="19.989999999999998"/>
    <n v="0"/>
    <n v="0.39877104377104378"/>
    <n v="0"/>
    <n v="7.7612289562289547"/>
    <n v="7.7612289562289547"/>
    <x v="207"/>
    <x v="199"/>
    <x v="32"/>
    <s v="-"/>
    <x v="11"/>
    <x v="0"/>
    <x v="12"/>
    <s v="-"/>
    <s v="-"/>
    <x v="0"/>
    <m/>
    <n v="0"/>
    <n v="0"/>
    <n v="0"/>
    <n v="0"/>
    <n v="0"/>
  </r>
  <r>
    <x v="2"/>
    <s v="MEI45916"/>
    <s v="Pedido 2099"/>
    <d v="2025-09-15T00:00:00"/>
    <x v="200"/>
    <s v="PedidoF1983"/>
    <s v="CódRastreio1981"/>
    <n v="1"/>
    <s v="CPF 2054"/>
    <s v="Nome 2054"/>
    <s v="Tel 2054"/>
    <s v="Cep 2054"/>
    <s v="Rua 2054"/>
    <s v="Comp 2054"/>
    <s v="Ventilador Rosa"/>
    <s v="WR-82Y0-OV27"/>
    <d v="2025-10-16T00:00:00"/>
    <n v="50.99"/>
    <n v="50.99"/>
    <n v="6.1188000000000002"/>
    <n v="44.87"/>
    <n v="22.71"/>
    <n v="0"/>
    <n v="0.39877104377104378"/>
    <n v="0"/>
    <n v="21.761228956228951"/>
    <n v="10.880614478114476"/>
    <x v="208"/>
    <x v="199"/>
    <x v="32"/>
    <s v="-"/>
    <x v="11"/>
    <x v="0"/>
    <x v="12"/>
    <s v="-"/>
    <s v="-"/>
    <x v="0"/>
    <m/>
    <n v="0"/>
    <n v="0"/>
    <n v="0"/>
    <n v="0"/>
    <n v="0"/>
  </r>
  <r>
    <x v="1"/>
    <s v="GO45916"/>
    <s v="Pedido 2100"/>
    <d v="2025-09-15T00:00:00"/>
    <x v="200"/>
    <s v="PedidoF1984"/>
    <s v="CódRastreio1982"/>
    <n v="1"/>
    <s v="CPF 2055"/>
    <s v="Nome 2055"/>
    <s v="Tel 2055"/>
    <s v="Cep 2055"/>
    <s v="Rua 2055"/>
    <s v="Comp 2055"/>
    <s v="Mini Liquidificador"/>
    <s v="Q3-ZLM0-OEUO"/>
    <d v="2025-10-03T00:00:00"/>
    <n v="31.99"/>
    <n v="31.99"/>
    <n v="3.8387999999999995"/>
    <n v="28.15"/>
    <n v="19.989999999999998"/>
    <n v="0"/>
    <n v="0.39877104377104378"/>
    <n v="0"/>
    <n v="7.7612289562289547"/>
    <n v="7.7612289562289547"/>
    <x v="209"/>
    <x v="199"/>
    <x v="32"/>
    <s v="-"/>
    <x v="11"/>
    <x v="0"/>
    <x v="12"/>
    <s v="-"/>
    <s v="-"/>
    <x v="0"/>
    <m/>
    <n v="0"/>
    <n v="0"/>
    <n v="0"/>
    <n v="0"/>
    <n v="0"/>
  </r>
  <r>
    <x v="1"/>
    <s v="GO45916"/>
    <s v="Pedido 2101"/>
    <d v="2025-09-16T00:00:00"/>
    <x v="200"/>
    <s v="PedidoF1985"/>
    <s v="CódRastreio1983"/>
    <n v="1"/>
    <s v="CPF 2056"/>
    <s v="Nome 2056"/>
    <s v="Tel 2056"/>
    <s v="Cep 2056"/>
    <s v="Rua 2056"/>
    <s v="Comp 2056"/>
    <s v="Mini Liquidificador"/>
    <s v="Q3-ZLM0-OEUO"/>
    <d v="2025-10-10T00:00:00"/>
    <n v="31.99"/>
    <n v="31.99"/>
    <n v="3.8387999999999995"/>
    <n v="28.15"/>
    <n v="19.989999999999998"/>
    <n v="0"/>
    <n v="0.39877104377104378"/>
    <n v="0"/>
    <n v="7.7612289562289547"/>
    <n v="7.7612289562289547"/>
    <x v="205"/>
    <x v="199"/>
    <x v="32"/>
    <s v="-"/>
    <x v="11"/>
    <x v="0"/>
    <x v="12"/>
    <s v="-"/>
    <s v="-"/>
    <x v="0"/>
    <m/>
    <n v="0"/>
    <n v="0"/>
    <n v="0"/>
    <n v="0"/>
    <n v="0"/>
  </r>
  <r>
    <x v="1"/>
    <s v="GO45922"/>
    <s v="Pedido 2102"/>
    <d v="2025-09-18T00:00:00"/>
    <x v="202"/>
    <s v="PedidoF1986"/>
    <s v="CódRastreio1984"/>
    <n v="1"/>
    <s v="CPF 2057"/>
    <s v="Nome 2057"/>
    <s v="Tel 2057"/>
    <s v="Cep 2057"/>
    <s v="Rua 2057"/>
    <s v="Comp 2057"/>
    <s v="Mini Liquidificador"/>
    <s v="Q3-ZLM0-OEUO"/>
    <d v="2025-10-09T00:00:00"/>
    <n v="31.99"/>
    <n v="31.99"/>
    <n v="3.8387999999999995"/>
    <n v="28.15"/>
    <n v="19.8"/>
    <n v="0"/>
    <n v="0.39877104377104378"/>
    <n v="0"/>
    <n v="7.9512289562289524"/>
    <n v="7.9512289562289524"/>
    <x v="210"/>
    <x v="199"/>
    <x v="32"/>
    <s v="-"/>
    <x v="11"/>
    <x v="0"/>
    <x v="12"/>
    <s v="-"/>
    <s v="-"/>
    <x v="0"/>
    <m/>
    <n v="0"/>
    <n v="0"/>
    <n v="0"/>
    <n v="0"/>
    <n v="0"/>
  </r>
  <r>
    <x v="1"/>
    <s v="GO45922"/>
    <s v="Pedido 2103"/>
    <d v="2025-09-18T00:00:00"/>
    <x v="202"/>
    <s v="PedidoF1987"/>
    <s v="CódRastreio1985"/>
    <n v="1"/>
    <s v="CPF 2031"/>
    <s v="Nome 2031"/>
    <s v="Tel 2031"/>
    <s v="Cep 2031"/>
    <s v="Rua 2031"/>
    <s v="Comp 2031"/>
    <s v="Luminária Azul de mesa infantil"/>
    <s v="0M-4B77-4TO6"/>
    <d v="2025-10-09T00:00:00"/>
    <n v="54.99"/>
    <n v="54.99"/>
    <n v="6.5987999999999998"/>
    <n v="48.39"/>
    <n v="45.84"/>
    <n v="0"/>
    <n v="0.39877104377104378"/>
    <n v="0"/>
    <n v="2.1512289562289553"/>
    <n v="2.1512289562289553"/>
    <x v="210"/>
    <x v="199"/>
    <x v="32"/>
    <s v="-"/>
    <x v="11"/>
    <x v="0"/>
    <x v="12"/>
    <s v="-"/>
    <s v="-"/>
    <x v="0"/>
    <m/>
    <n v="0"/>
    <n v="0"/>
    <n v="0"/>
    <n v="0"/>
    <n v="0"/>
  </r>
  <r>
    <x v="1"/>
    <s v="GO45922"/>
    <s v="Pedido 2104"/>
    <d v="2025-09-22T00:00:00"/>
    <x v="202"/>
    <s v="PedidoF1988"/>
    <s v="CódRastreio1986"/>
    <n v="1"/>
    <s v="CPF 2058"/>
    <s v="Nome 2058"/>
    <s v="Tel 2058"/>
    <s v="Cep 2058"/>
    <s v="Rua 2058"/>
    <s v="Comp 2058"/>
    <s v="Mini Liquidificador"/>
    <s v="Q3-ZLM0-OEUO"/>
    <d v="2025-10-17T00:00:00"/>
    <n v="31.99"/>
    <n v="31.99"/>
    <n v="3.8387999999999995"/>
    <n v="28.15"/>
    <n v="19.8"/>
    <n v="0"/>
    <n v="0.39877104377104378"/>
    <n v="0"/>
    <n v="7.9512289562289524"/>
    <n v="7.9512289562289524"/>
    <x v="211"/>
    <x v="199"/>
    <x v="32"/>
    <s v="-"/>
    <x v="11"/>
    <x v="0"/>
    <x v="12"/>
    <s v="-"/>
    <s v="-"/>
    <x v="0"/>
    <m/>
    <n v="0"/>
    <n v="0"/>
    <n v="0"/>
    <n v="0"/>
    <n v="0"/>
  </r>
  <r>
    <x v="2"/>
    <s v="MEI45929"/>
    <s v="Pedido 2105"/>
    <d v="2025-09-23T00:00:00"/>
    <x v="203"/>
    <s v="PedidoF1989"/>
    <s v="CódRastreio1987"/>
    <n v="1"/>
    <s v="CPF 2059"/>
    <s v="Nome 2059"/>
    <s v="Tel 2059"/>
    <s v="Cep 2059"/>
    <s v="Rua 2059"/>
    <s v="Comp 2059"/>
    <s v="Brinquedo Bola Giratória voadora"/>
    <s v="Z0-F6CI-18CL"/>
    <d v="2025-10-25T00:00:00"/>
    <n v="49.99"/>
    <n v="49.99"/>
    <n v="5.9988000000000001"/>
    <n v="43.99"/>
    <n v="30.67"/>
    <n v="0"/>
    <n v="0.39877104377104378"/>
    <n v="0"/>
    <n v="12.921228956228955"/>
    <n v="6.4606144781144774"/>
    <x v="212"/>
    <x v="199"/>
    <x v="32"/>
    <s v="-"/>
    <x v="12"/>
    <x v="0"/>
    <x v="12"/>
    <s v="-"/>
    <s v="-"/>
    <x v="0"/>
    <m/>
    <n v="0"/>
    <n v="0"/>
    <n v="0"/>
    <n v="0"/>
    <n v="0"/>
  </r>
  <r>
    <x v="2"/>
    <s v="MEI-"/>
    <s v="Pedido 2106"/>
    <d v="2025-09-24T00:00:00"/>
    <x v="0"/>
    <s v="-"/>
    <s v="-"/>
    <n v="1"/>
    <s v="CPF 2060"/>
    <s v="Nome 2060"/>
    <s v="Tel 2060"/>
    <s v="Cep 2060"/>
    <s v="Rua 2060"/>
    <s v="Comp 2060"/>
    <s v="Ventilador Rosa"/>
    <s v="WR-82Y0-OV27"/>
    <d v="2025-10-15T00:00:00"/>
    <n v="50.99"/>
    <n v="50.99"/>
    <n v="6.1188000000000002"/>
    <n v="44.87"/>
    <n v="0"/>
    <n v="0"/>
    <n v="0"/>
    <n v="0"/>
    <n v="44.87"/>
    <n v="22.434999999999999"/>
    <x v="213"/>
    <x v="199"/>
    <x v="32"/>
    <s v="-"/>
    <x v="11"/>
    <x v="0"/>
    <x v="0"/>
    <s v="-"/>
    <s v="-"/>
    <x v="0"/>
    <m/>
    <n v="0"/>
    <n v="0"/>
    <n v="0"/>
    <n v="0"/>
    <n v="0"/>
  </r>
  <r>
    <x v="1"/>
    <s v="GO45929"/>
    <s v="Pedido 2107"/>
    <d v="2025-09-27T00:00:00"/>
    <x v="203"/>
    <s v="PedidoF1990"/>
    <s v="CódRastreio1988"/>
    <n v="1"/>
    <s v="CPF 2061"/>
    <s v="Nome 2061"/>
    <s v="Tel 2061"/>
    <s v="Cep 2061"/>
    <s v="Rua 2061"/>
    <s v="Comp 2061"/>
    <s v="Mini Liquidificador"/>
    <s v="Q3-ZLM0-OEUO"/>
    <d v="2025-10-17T00:00:00"/>
    <n v="31.99"/>
    <n v="31.99"/>
    <n v="3.8387999999999995"/>
    <n v="28.15"/>
    <n v="20.14"/>
    <n v="0"/>
    <n v="0.39877104377104378"/>
    <n v="0"/>
    <n v="7.6112289562289526"/>
    <n v="7.6112289562289526"/>
    <x v="211"/>
    <x v="199"/>
    <x v="32"/>
    <s v="-"/>
    <x v="11"/>
    <x v="0"/>
    <x v="12"/>
    <s v="-"/>
    <s v="-"/>
    <x v="0"/>
    <m/>
    <n v="0"/>
    <n v="0"/>
    <n v="0"/>
    <n v="0"/>
    <n v="0"/>
  </r>
  <r>
    <x v="1"/>
    <s v="GO45929"/>
    <s v="Pedido 2108"/>
    <d v="2025-09-29T00:00:00"/>
    <x v="203"/>
    <s v="PedidoF1991"/>
    <s v="CódRastreio1989"/>
    <n v="1"/>
    <s v="CPF 2062"/>
    <s v="Nome 2062"/>
    <s v="Tel 2062"/>
    <s v="Cep 2062"/>
    <s v="Rua 2062"/>
    <s v="Comp 2062"/>
    <s v="Mini Liquidificador"/>
    <s v="Q3-ZLM0-OEUO"/>
    <d v="2025-10-24T00:00:00"/>
    <n v="31.99"/>
    <n v="31.99"/>
    <n v="3.8387999999999995"/>
    <n v="28.15"/>
    <n v="19.8"/>
    <n v="0"/>
    <n v="0.39877104377104378"/>
    <n v="0"/>
    <n v="7.9512289562289524"/>
    <n v="7.9512289562289524"/>
    <x v="214"/>
    <x v="199"/>
    <x v="32"/>
    <s v="-"/>
    <x v="11"/>
    <x v="0"/>
    <x v="12"/>
    <s v="-"/>
    <s v="-"/>
    <x v="0"/>
    <m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91AE2-9B06-48C0-9763-A359F439EC87}" name="Tabela dinâmica3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:D7" firstHeaderRow="1" firstDataRow="2" firstDataCol="1"/>
  <pivotFields count="15">
    <pivotField dataField="1" showAll="0"/>
    <pivotField showAll="0"/>
    <pivotField showAll="0"/>
    <pivotField showAll="0"/>
    <pivotField numFmtId="14"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numFmtId="14" showAll="0"/>
    <pivotField showAll="0"/>
    <pivotField axis="axisRow" showAll="0">
      <items count="16">
        <item x="4"/>
        <item m="1" x="7"/>
        <item h="1" x="0"/>
        <item m="1" x="5"/>
        <item m="1" x="14"/>
        <item m="1" x="13"/>
        <item m="1" x="12"/>
        <item m="1" x="11"/>
        <item m="1" x="6"/>
        <item m="1" x="8"/>
        <item m="1" x="9"/>
        <item x="2"/>
        <item m="1" x="10"/>
        <item x="1"/>
        <item h="1" x="3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1"/>
    </i>
    <i>
      <x v="1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ntagem de Id Pedido" fld="0" subtotal="count" baseField="0" baseItem="0"/>
  </dataFields>
  <formats count="6">
    <format dxfId="163">
      <pivotArea outline="0" collapsedLevelsAreSubtotals="1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11" type="button" dataOnly="0" labelOnly="1" outline="0" axis="axisRow" fieldPosition="0"/>
    </format>
    <format dxfId="159">
      <pivotArea dataOnly="0" labelOnly="1" fieldPosition="0">
        <references count="1">
          <reference field="11" count="0"/>
        </references>
      </pivotArea>
    </format>
    <format dxfId="158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C3408-9D51-4313-A085-D49E5D9C072B}" name="Tabela dinâ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F2:G5" firstHeaderRow="1" firstDataRow="1" firstDataCol="1"/>
  <pivotFields count="15"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m="1" x="7"/>
        <item x="0"/>
        <item m="1" x="6"/>
        <item m="1" x="5"/>
        <item x="1"/>
        <item m="1" x="2"/>
        <item m="1" x="4"/>
        <item m="1" x="3"/>
        <item t="default"/>
      </items>
    </pivotField>
    <pivotField showAll="0"/>
  </pivotFields>
  <rowFields count="1">
    <field x="13"/>
  </rowFields>
  <rowItems count="3">
    <i>
      <x v="1"/>
    </i>
    <i>
      <x v="4"/>
    </i>
    <i t="grand">
      <x/>
    </i>
  </rowItems>
  <colItems count="1">
    <i/>
  </colItems>
  <dataFields count="1">
    <dataField name="Contagem de CODRASTREIO" fld="1" subtotal="count" baseField="0" baseItem="0"/>
  </dataFields>
  <formats count="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13" type="button" dataOnly="0" labelOnly="1" outline="0" axis="axisRow" fieldPosition="0"/>
    </format>
    <format dxfId="166">
      <pivotArea dataOnly="0" labelOnly="1" fieldPosition="0">
        <references count="1">
          <reference field="13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13574-C15D-4E8D-AFF7-BCB1B4C0A7E3}" name="Tabela dinâmica1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G6" firstHeaderRow="0" firstDataRow="1" firstDataCol="1" rowPageCount="1" colPageCount="1"/>
  <pivotFields count="43"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44" showAll="0"/>
    <pivotField numFmtId="164" showAll="0"/>
    <pivotField numFmtId="4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dataField="1" numFmtId="164" showAll="0"/>
    <pivotField dataField="1" numFmtId="164" showAll="0"/>
    <pivotField numFmtId="14" showAll="0"/>
    <pivotField showAll="0"/>
    <pivotField showAll="0"/>
    <pivotField showAll="0"/>
    <pivotField showAll="0"/>
    <pivotField axis="axisRow" showAll="0" defaultSubtotal="0">
      <items count="8">
        <item m="1" x="6"/>
        <item sd="0" x="0"/>
        <item sd="0" m="1" x="2"/>
        <item sd="0" m="1" x="3"/>
        <item sd="0" m="1" x="1"/>
        <item m="1" x="5"/>
        <item sd="0" m="1" x="4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numFmtId="44" showAll="0"/>
    <pivotField numFmtId="44" showAll="0"/>
    <pivotField showAll="0"/>
    <pivotField numFmtId="44" showAll="0"/>
    <pivotField dataField="1" showAll="0"/>
  </pivotFields>
  <rowFields count="1">
    <field x="32"/>
  </rowFields>
  <rowItems count="2"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Soma de Valor Compra" fld="21" baseField="0" baseItem="0" numFmtId="164"/>
    <dataField name="Soma de SMS" fld="22" baseField="0" baseItem="0" numFmtId="164"/>
    <dataField name="Soma de PROXY" fld="23" baseField="0" baseItem="0" numFmtId="164"/>
    <dataField name="Soma de Valor Ocorrência" fld="42" baseField="32" baseItem="0" numFmtId="44"/>
    <dataField name="Soma de Valor Liquido" fld="25" baseField="0" baseItem="0" numFmtId="164"/>
    <dataField name="Soma de Liquido Final" fld="26" baseField="0" baseItem="0" numFmtId="164"/>
  </dataFields>
  <formats count="10">
    <format dxfId="75">
      <pivotArea collapsedLevelsAreSubtotals="1" fieldPosition="0">
        <references count="2">
          <reference field="4294967294" count="1" selected="0">
            <x v="3"/>
          </reference>
          <reference field="32" count="1">
            <x v="1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3"/>
          </reference>
          <reference field="32" count="1">
            <x v="2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3"/>
          </reference>
          <reference field="32" count="1">
            <x v="3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3"/>
          </reference>
          <reference field="32" count="1">
            <x v="4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3"/>
          </reference>
          <reference field="32" count="1">
            <x v="6"/>
          </reference>
        </references>
      </pivotArea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67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66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B28AE-3C5F-40AF-8022-023B1E225CE7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6" firstHeaderRow="1" firstDataRow="2" firstDataCol="1"/>
  <pivotFields count="43"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44" showAll="0"/>
    <pivotField numFmtId="164" showAll="0"/>
    <pivotField numFmtId="4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2">
        <item m="1" x="128"/>
        <item m="1" x="129"/>
        <item m="1" x="126"/>
        <item m="1" x="122"/>
        <item m="1" x="119"/>
        <item m="1" x="127"/>
        <item m="1" x="120"/>
        <item m="1" x="130"/>
        <item m="1" x="117"/>
        <item m="1" x="125"/>
        <item m="1" x="124"/>
        <item m="1" x="118"/>
        <item m="1" x="123"/>
        <item m="1" x="104"/>
        <item m="1" x="114"/>
        <item m="1" x="109"/>
        <item m="1" x="112"/>
        <item m="1" x="116"/>
        <item m="1" x="115"/>
        <item m="1" x="121"/>
        <item m="1" x="99"/>
        <item m="1" x="108"/>
        <item m="1" x="110"/>
        <item m="1" x="98"/>
        <item m="1" x="102"/>
        <item m="1" x="96"/>
        <item m="1" x="91"/>
        <item m="1" x="103"/>
        <item m="1" x="113"/>
        <item m="1" x="93"/>
        <item m="1" x="111"/>
        <item m="1" x="84"/>
        <item m="1" x="92"/>
        <item m="1" x="107"/>
        <item m="1" x="88"/>
        <item m="1" x="100"/>
        <item m="1" x="79"/>
        <item m="1" x="94"/>
        <item m="1" x="101"/>
        <item m="1" x="81"/>
        <item m="1" x="95"/>
        <item m="1" x="80"/>
        <item m="1" x="86"/>
        <item m="1" x="83"/>
        <item m="1" x="87"/>
        <item m="1" x="106"/>
        <item m="1" x="74"/>
        <item m="1" x="97"/>
        <item m="1" x="78"/>
        <item m="1" x="105"/>
        <item m="1" x="77"/>
        <item m="1" x="90"/>
        <item m="1" x="70"/>
        <item m="1" x="89"/>
        <item m="1" x="59"/>
        <item m="1" x="71"/>
        <item m="1" x="85"/>
        <item m="1" x="60"/>
        <item m="1" x="76"/>
        <item m="1" x="82"/>
        <item m="1" x="75"/>
        <item m="1" x="66"/>
        <item m="1" x="65"/>
        <item m="1" x="62"/>
        <item m="1" x="61"/>
        <item m="1" x="73"/>
        <item m="1" x="58"/>
        <item m="1" x="56"/>
        <item m="1" x="55"/>
        <item m="1" x="72"/>
        <item m="1" x="69"/>
        <item m="1" x="54"/>
        <item m="1" x="67"/>
        <item m="1" x="57"/>
        <item m="1" x="64"/>
        <item m="1" x="51"/>
        <item m="1" x="52"/>
        <item m="1" x="68"/>
        <item m="1" x="53"/>
        <item m="1" x="45"/>
        <item m="1" x="49"/>
        <item m="1" x="63"/>
        <item m="1" x="42"/>
        <item m="1" x="50"/>
        <item m="1" x="46"/>
        <item m="1" x="43"/>
        <item m="1" x="47"/>
        <item m="1" x="48"/>
        <item m="1" x="39"/>
        <item m="1" x="38"/>
        <item m="1" x="44"/>
        <item m="1" x="41"/>
        <item m="1" x="40"/>
        <item m="1" x="30"/>
        <item m="1" x="35"/>
        <item m="1" x="20"/>
        <item m="1" x="32"/>
        <item m="1" x="31"/>
        <item m="1" x="29"/>
        <item m="1" x="17"/>
        <item m="1" x="37"/>
        <item m="1" x="28"/>
        <item m="1" x="22"/>
        <item m="1" x="36"/>
        <item m="1" x="25"/>
        <item m="1" x="33"/>
        <item m="1" x="34"/>
        <item m="1" x="16"/>
        <item m="1" x="11"/>
        <item m="1" x="26"/>
        <item m="1" x="18"/>
        <item m="1" x="14"/>
        <item m="1" x="27"/>
        <item m="1" x="23"/>
        <item m="1" x="7"/>
        <item m="1" x="21"/>
        <item m="1" x="24"/>
        <item m="1" x="15"/>
        <item m="1" x="9"/>
        <item m="1" x="12"/>
        <item m="1" x="6"/>
        <item m="1" x="10"/>
        <item m="1" x="8"/>
        <item m="1" x="19"/>
        <item m="1" x="13"/>
        <item m="1" x="1"/>
        <item m="1" x="2"/>
        <item m="1" x="3"/>
        <item m="1" x="4"/>
        <item m="1" x="5"/>
        <item x="0"/>
        <item t="default"/>
      </items>
    </pivotField>
    <pivotField showAll="0"/>
    <pivotField numFmtId="44" showAll="0"/>
    <pivotField numFmtId="44" showAll="0"/>
    <pivotField showAll="0"/>
    <pivotField numFmtId="44" showAll="0"/>
    <pivotField numFmtId="44" showAll="0"/>
  </pivotFields>
  <rowFields count="1">
    <field x="36"/>
  </rowFields>
  <rowItems count="2">
    <i>
      <x v="13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ntagem de Data Compr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A9C95-0378-4CE2-80B4-CE1283186262}" name="Tabela dinâmica3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B5:I18" firstHeaderRow="0" firstDataRow="1" firstDataCol="2" rowPageCount="1" colPageCount="1"/>
  <pivotFields count="43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164" outline="0" showAll="0"/>
    <pivotField compact="0" numFmtId="44" outline="0" showAll="0"/>
    <pivotField compact="0" numFmtId="164" outline="0" showAll="0"/>
    <pivotField dataField="1" compact="0" outline="0" showAll="0"/>
    <pivotField dataField="1"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dataField="1" compact="0" numFmtId="164" outline="0" showAll="0"/>
    <pivotField axis="axisRow" compact="0" outline="0" showAll="0" sortType="ascending" defaultSubtotal="0">
      <items count="217">
        <item m="1" x="216"/>
        <item x="9"/>
        <item x="8"/>
        <item x="6"/>
        <item x="12"/>
        <item x="10"/>
        <item x="4"/>
        <item x="11"/>
        <item x="15"/>
        <item x="5"/>
        <item x="7"/>
        <item x="13"/>
        <item x="16"/>
        <item x="18"/>
        <item x="19"/>
        <item x="21"/>
        <item x="2"/>
        <item x="20"/>
        <item x="17"/>
        <item x="27"/>
        <item x="3"/>
        <item x="14"/>
        <item x="22"/>
        <item x="25"/>
        <item x="28"/>
        <item x="29"/>
        <item x="23"/>
        <item x="24"/>
        <item x="26"/>
        <item x="1"/>
        <item x="0"/>
        <item x="30"/>
        <item x="33"/>
        <item x="34"/>
        <item x="31"/>
        <item x="32"/>
        <item x="37"/>
        <item x="39"/>
        <item x="35"/>
        <item x="36"/>
        <item x="40"/>
        <item x="38"/>
        <item x="43"/>
        <item x="48"/>
        <item x="45"/>
        <item x="41"/>
        <item x="42"/>
        <item x="44"/>
        <item x="50"/>
        <item x="46"/>
        <item x="47"/>
        <item x="55"/>
        <item x="49"/>
        <item x="52"/>
        <item x="51"/>
        <item x="54"/>
        <item x="57"/>
        <item x="59"/>
        <item x="60"/>
        <item x="53"/>
        <item x="56"/>
        <item x="58"/>
        <item x="63"/>
        <item x="84"/>
        <item x="64"/>
        <item x="61"/>
        <item x="62"/>
        <item x="67"/>
        <item x="69"/>
        <item x="65"/>
        <item x="73"/>
        <item x="66"/>
        <item x="68"/>
        <item x="72"/>
        <item x="74"/>
        <item x="75"/>
        <item x="70"/>
        <item x="71"/>
        <item x="80"/>
        <item x="77"/>
        <item x="83"/>
        <item x="79"/>
        <item x="76"/>
        <item x="81"/>
        <item x="82"/>
        <item x="90"/>
        <item x="78"/>
        <item x="87"/>
        <item x="89"/>
        <item x="85"/>
        <item x="91"/>
        <item x="86"/>
        <item x="88"/>
        <item x="94"/>
        <item x="102"/>
        <item x="92"/>
        <item x="93"/>
        <item x="96"/>
        <item x="100"/>
        <item x="97"/>
        <item x="98"/>
        <item x="95"/>
        <item x="103"/>
        <item x="104"/>
        <item x="106"/>
        <item x="107"/>
        <item x="99"/>
        <item x="101"/>
        <item x="105"/>
        <item x="110"/>
        <item x="108"/>
        <item x="109"/>
        <item x="111"/>
        <item x="112"/>
        <item x="116"/>
        <item x="117"/>
        <item x="113"/>
        <item x="114"/>
        <item x="115"/>
        <item x="121"/>
        <item x="123"/>
        <item x="118"/>
        <item x="119"/>
        <item x="120"/>
        <item x="122"/>
        <item x="124"/>
        <item x="125"/>
        <item x="126"/>
        <item x="127"/>
        <item x="128"/>
        <item x="129"/>
        <item x="133"/>
        <item x="130"/>
        <item x="135"/>
        <item x="131"/>
        <item x="132"/>
        <item x="139"/>
        <item x="134"/>
        <item x="136"/>
        <item x="137"/>
        <item x="138"/>
        <item x="140"/>
        <item x="141"/>
        <item x="142"/>
        <item x="143"/>
        <item x="146"/>
        <item x="149"/>
        <item x="144"/>
        <item x="145"/>
        <item x="147"/>
        <item x="148"/>
        <item x="153"/>
        <item x="150"/>
        <item x="151"/>
        <item x="152"/>
        <item x="154"/>
        <item x="159"/>
        <item x="157"/>
        <item x="155"/>
        <item x="156"/>
        <item x="158"/>
        <item x="165"/>
        <item x="169"/>
        <item x="162"/>
        <item x="164"/>
        <item x="166"/>
        <item x="160"/>
        <item x="161"/>
        <item x="163"/>
        <item x="173"/>
        <item x="167"/>
        <item x="168"/>
        <item x="170"/>
        <item x="171"/>
        <item x="172"/>
        <item x="176"/>
        <item x="174"/>
        <item x="177"/>
        <item x="175"/>
        <item x="183"/>
        <item x="180"/>
        <item x="181"/>
        <item x="182"/>
        <item x="178"/>
        <item x="185"/>
        <item x="184"/>
        <item x="187"/>
        <item x="188"/>
        <item x="179"/>
        <item x="190"/>
        <item x="191"/>
        <item x="189"/>
        <item x="186"/>
        <item x="194"/>
        <item x="192"/>
        <item x="193"/>
        <item x="195"/>
        <item x="198"/>
        <item x="196"/>
        <item m="1" x="215"/>
        <item x="197"/>
        <item x="202"/>
        <item x="203"/>
        <item x="200"/>
        <item x="204"/>
        <item x="201"/>
        <item x="199"/>
        <item x="206"/>
        <item x="209"/>
        <item x="207"/>
        <item x="210"/>
        <item x="205"/>
        <item x="213"/>
        <item x="208"/>
        <item x="211"/>
        <item x="214"/>
        <item x="2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5">
        <item h="1" x="1"/>
        <item h="1" x="0"/>
        <item h="1" x="2"/>
        <item h="1" x="3"/>
        <item h="1" x="4"/>
        <item h="1" x="5"/>
        <item h="1" x="6"/>
        <item h="1" m="1" x="13"/>
        <item h="1" x="7"/>
        <item h="1" x="8"/>
        <item h="1" x="9"/>
        <item h="1" x="10"/>
        <item x="11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outline="0" showAll="0"/>
    <pivotField compact="0" numFmtId="44" outline="0" showAll="0"/>
    <pivotField dataField="1" compact="0" numFmtId="44" outline="0" showAll="0"/>
  </pivotFields>
  <rowFields count="2">
    <field x="27"/>
    <field x="0"/>
  </rowFields>
  <rowItems count="13">
    <i>
      <x v="206"/>
      <x v="1"/>
    </i>
    <i r="1">
      <x v="2"/>
    </i>
    <i>
      <x v="207"/>
      <x v="2"/>
    </i>
    <i>
      <x v="208"/>
      <x v="1"/>
    </i>
    <i>
      <x v="209"/>
      <x v="1"/>
    </i>
    <i>
      <x v="210"/>
      <x v="1"/>
    </i>
    <i>
      <x v="211"/>
      <x v="1"/>
    </i>
    <i r="1">
      <x v="2"/>
    </i>
    <i>
      <x v="212"/>
      <x v="2"/>
    </i>
    <i>
      <x v="213"/>
      <x v="2"/>
    </i>
    <i>
      <x v="214"/>
      <x v="1"/>
    </i>
    <i>
      <x v="215"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1" hier="-1"/>
  </pageFields>
  <dataFields count="6">
    <dataField name="Soma de Valor Compra" fld="21" baseField="0" baseItem="0"/>
    <dataField name="Soma de SMS" fld="22" baseField="0" baseItem="0" numFmtId="164"/>
    <dataField name="Soma de PROXY" fld="23" baseField="0" baseItem="0" numFmtId="164"/>
    <dataField name="Soma de Valor Ocorrência" fld="42" baseField="0" baseItem="0" numFmtId="44"/>
    <dataField name="Soma de Valor Liquido" fld="25" baseField="0" baseItem="0" numFmtId="164"/>
    <dataField name="Soma de Liquido Final" fld="26" baseField="0" baseItem="0" numFmtId="164"/>
  </dataFields>
  <formats count="32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fieldPosition="0">
        <references count="1">
          <reference field="27" count="12"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</reference>
        </references>
      </pivotArea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7" type="button" dataOnly="0" labelOnly="1" outline="0" axis="axisRow" fieldPosition="0"/>
    </format>
    <format dxfId="56">
      <pivotArea dataOnly="0" labelOnly="1" outline="0" fieldPosition="0">
        <references count="1">
          <reference field="27" count="12"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</reference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outline="0" fieldPosition="0">
        <references count="1">
          <reference field="27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2">
      <pivotArea dataOnly="0" labelOnly="1" outline="0" fieldPosition="0">
        <references count="1">
          <reference field="27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">
      <pivotArea field="27" grandRow="1" outline="0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field="27" type="button" dataOnly="0" labelOnly="1" outline="0" axis="axisRow" fieldPosition="0"/>
    </format>
    <format dxfId="48">
      <pivotArea dataOnly="0" labelOnly="1" outline="0" fieldPosition="0">
        <references count="1">
          <reference field="27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47">
      <pivotArea dataOnly="0" labelOnly="1" grandRow="1" outline="0" fieldPosition="0"/>
    </format>
    <format dxfId="46">
      <pivotArea outline="0" fieldPosition="0">
        <references count="1">
          <reference field="27" count="1" selected="0">
            <x v="10"/>
          </reference>
        </references>
      </pivotArea>
    </format>
    <format dxfId="45">
      <pivotArea dataOnly="0" labelOnly="1" outline="0" fieldPosition="0">
        <references count="1">
          <reference field="27" count="1">
            <x v="10"/>
          </reference>
        </references>
      </pivotArea>
    </format>
    <format dxfId="44">
      <pivotArea outline="0" fieldPosition="0">
        <references count="1">
          <reference field="27" count="2" selected="0">
            <x v="27"/>
            <x v="28"/>
          </reference>
        </references>
      </pivotArea>
    </format>
    <format dxfId="43">
      <pivotArea dataOnly="0" labelOnly="1" outline="0" fieldPosition="0">
        <references count="1">
          <reference field="27" count="2">
            <x v="27"/>
            <x v="28"/>
          </reference>
        </references>
      </pivotArea>
    </format>
    <format dxfId="42">
      <pivotArea outline="0" fieldPosition="0">
        <references count="1">
          <reference field="27" count="11" selected="0"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41">
      <pivotArea dataOnly="0" labelOnly="1" outline="0" fieldPosition="0">
        <references count="1">
          <reference field="27" count="11"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40">
      <pivotArea outline="0" fieldPosition="0">
        <references count="1">
          <reference field="27" count="1" selected="0">
            <x v="26"/>
          </reference>
        </references>
      </pivotArea>
    </format>
    <format dxfId="39">
      <pivotArea dataOnly="0" labelOnly="1" outline="0" fieldPosition="0">
        <references count="1">
          <reference field="27" count="1">
            <x v="26"/>
          </reference>
        </references>
      </pivotArea>
    </format>
    <format dxfId="38">
      <pivotArea outline="0" fieldPosition="0">
        <references count="1">
          <reference field="27" count="10" selected="0"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37">
      <pivotArea dataOnly="0" labelOnly="1" outline="0" fieldPosition="0">
        <references count="1">
          <reference field="27" count="10"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5">
      <pivotArea field="27" grandRow="1" outline="0" axis="axisRow" fieldPosition="0">
        <references count="1">
          <reference field="4294967294" count="1" selected="0">
            <x v="3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5BCCC-41E5-4739-AA80-40122EE44892}" name="Tabela dinâmica5" cacheId="2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B4:I16" firstHeaderRow="0" firstDataRow="1" firstDataCol="2" rowPageCount="1" colPageCount="1"/>
  <pivotFields count="43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217">
        <item x="0"/>
        <item m="1" x="208"/>
        <item m="1" x="216"/>
        <item x="1"/>
        <item x="2"/>
        <item x="3"/>
        <item x="4"/>
        <item x="5"/>
        <item x="7"/>
        <item x="9"/>
        <item x="10"/>
        <item x="11"/>
        <item x="14"/>
        <item x="12"/>
        <item x="15"/>
        <item x="16"/>
        <item x="17"/>
        <item x="18"/>
        <item x="19"/>
        <item x="20"/>
        <item x="22"/>
        <item x="13"/>
        <item x="21"/>
        <item x="23"/>
        <item x="25"/>
        <item x="24"/>
        <item x="26"/>
        <item x="27"/>
        <item m="1" x="215"/>
        <item x="28"/>
        <item x="8"/>
        <item x="29"/>
        <item x="30"/>
        <item x="6"/>
        <item x="31"/>
        <item x="32"/>
        <item x="33"/>
        <item x="34"/>
        <item x="35"/>
        <item x="36"/>
        <item x="37"/>
        <item x="38"/>
        <item x="39"/>
        <item m="1" x="214"/>
        <item x="40"/>
        <item x="41"/>
        <item x="42"/>
        <item x="43"/>
        <item x="44"/>
        <item x="45"/>
        <item x="47"/>
        <item x="46"/>
        <item x="48"/>
        <item x="49"/>
        <item x="50"/>
        <item x="51"/>
        <item x="53"/>
        <item x="52"/>
        <item x="54"/>
        <item m="1" x="210"/>
        <item x="55"/>
        <item x="56"/>
        <item m="1" x="213"/>
        <item x="57"/>
        <item x="58"/>
        <item m="1" x="212"/>
        <item x="59"/>
        <item x="60"/>
        <item x="62"/>
        <item x="61"/>
        <item m="1" x="211"/>
        <item x="77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8"/>
        <item x="75"/>
        <item x="79"/>
        <item x="80"/>
        <item x="81"/>
        <item x="82"/>
        <item x="83"/>
        <item x="84"/>
        <item x="85"/>
        <item x="87"/>
        <item x="86"/>
        <item x="88"/>
        <item x="89"/>
        <item x="90"/>
        <item m="1" x="209"/>
        <item x="93"/>
        <item x="92"/>
        <item x="91"/>
        <item x="94"/>
        <item x="96"/>
        <item x="97"/>
        <item x="95"/>
        <item x="99"/>
        <item x="98"/>
        <item x="100"/>
        <item x="103"/>
        <item x="101"/>
        <item x="102"/>
        <item x="107"/>
        <item x="105"/>
        <item x="106"/>
        <item x="104"/>
        <item x="108"/>
        <item x="109"/>
        <item x="110"/>
        <item x="111"/>
        <item x="112"/>
        <item x="113"/>
        <item x="114"/>
        <item x="115"/>
        <item x="116"/>
        <item x="117"/>
        <item m="1" x="20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3"/>
        <item x="135"/>
        <item x="136"/>
        <item x="138"/>
        <item x="139"/>
        <item x="137"/>
        <item x="141"/>
        <item x="140"/>
        <item x="142"/>
        <item x="143"/>
        <item x="144"/>
        <item x="145"/>
        <item x="146"/>
        <item x="147"/>
        <item x="148"/>
        <item x="149"/>
        <item x="151"/>
        <item x="152"/>
        <item m="1" x="206"/>
        <item x="154"/>
        <item x="153"/>
        <item x="150"/>
        <item x="155"/>
        <item x="156"/>
        <item x="158"/>
        <item x="159"/>
        <item x="157"/>
        <item x="161"/>
        <item x="160"/>
        <item x="164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m="1" x="205"/>
        <item x="187"/>
        <item x="188"/>
        <item x="189"/>
        <item x="190"/>
        <item x="191"/>
        <item x="192"/>
        <item x="193"/>
        <item x="194"/>
        <item m="1" x="204"/>
        <item x="195"/>
        <item x="196"/>
        <item x="197"/>
        <item x="198"/>
        <item x="199"/>
        <item x="201"/>
        <item x="200"/>
        <item x="202"/>
        <item x="2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164" outline="0" showAll="0"/>
    <pivotField compact="0" numFmtId="44" outline="0" showAll="0"/>
    <pivotField compact="0" numFmtId="164" outline="0" showAll="0"/>
    <pivotField dataField="1" compact="0" outline="0" showAll="0"/>
    <pivotField dataField="1" compact="0" numFmtId="164" outline="0" showAll="0"/>
    <pivotField dataField="1" compact="0" numFmtId="164" outline="0" showAll="0"/>
    <pivotField compact="0" numFmtId="164" outline="0" showAll="0"/>
    <pivotField dataField="1" compact="0" numFmtId="164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2">
        <item h="1" m="1" x="20"/>
        <item h="1" m="1" x="15"/>
        <item h="1" m="1" x="14"/>
        <item h="1" m="1" x="16"/>
        <item h="1" m="1" x="19"/>
        <item h="1" m="1" x="17"/>
        <item m="1" x="18"/>
        <item h="1" x="2"/>
        <item h="1" x="1"/>
        <item h="1" x="3"/>
        <item h="1" x="4"/>
        <item h="1" x="5"/>
        <item h="1" x="0"/>
        <item h="1" x="6"/>
        <item h="1" m="1" x="13"/>
        <item h="1" x="7"/>
        <item h="1" x="8"/>
        <item h="1" x="9"/>
        <item h="1" x="10"/>
        <item h="1" x="11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outline="0" showAll="0"/>
    <pivotField compact="0" numFmtId="44" outline="0" showAll="0"/>
    <pivotField dataField="1" compact="0" numFmtId="44" outline="0" showAll="0"/>
  </pivotFields>
  <rowFields count="2">
    <field x="4"/>
    <field x="0"/>
  </rowFields>
  <rowItems count="12">
    <i>
      <x v="210"/>
      <x v="1"/>
    </i>
    <i r="1">
      <x v="2"/>
    </i>
    <i>
      <x v="211"/>
      <x v="1"/>
    </i>
    <i>
      <x v="212"/>
      <x v="2"/>
    </i>
    <i>
      <x v="213"/>
      <x v="1"/>
    </i>
    <i r="1">
      <x v="2"/>
    </i>
    <i>
      <x v="214"/>
      <x v="1"/>
    </i>
    <i r="1">
      <x v="2"/>
    </i>
    <i>
      <x v="215"/>
      <x v="1"/>
    </i>
    <i>
      <x v="216"/>
      <x v="1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3" hier="-1"/>
  </pageFields>
  <dataFields count="6">
    <dataField name="Soma de Valor Compra" fld="21" baseField="4" baseItem="2"/>
    <dataField name="Soma de SMS" fld="22" baseField="0" baseItem="0"/>
    <dataField name="Soma de PROXY" fld="23" baseField="0" baseItem="0"/>
    <dataField name="Soma de Valor Ocorrência" fld="42" baseField="0" baseItem="0" numFmtId="44"/>
    <dataField name="Soma de Valor Liquido" fld="25" baseField="0" baseItem="0" numFmtId="164"/>
    <dataField name="Soma de Liquido Final" fld="26" baseField="0" baseItem="0" numFmtId="164"/>
  </dataFields>
  <formats count="15"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field="4" grandRow="1" outline="0" axis="axisRow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9B422-5AC1-4240-B2C6-86851480715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C39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8">
        <item x="13"/>
        <item x="5"/>
        <item x="2"/>
        <item x="6"/>
        <item x="8"/>
        <item x="1"/>
        <item x="7"/>
        <item x="0"/>
        <item x="9"/>
        <item x="4"/>
        <item x="12"/>
        <item x="11"/>
        <item x="10"/>
        <item x="3"/>
        <item x="14"/>
        <item x="15"/>
        <item x="16"/>
        <item x="17"/>
        <item x="18"/>
        <item m="1" x="36"/>
        <item x="19"/>
        <item x="20"/>
        <item m="1" x="3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164" showAll="0"/>
    <pivotField numFmtId="4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44" showAll="0"/>
    <pivotField numFmtId="44" showAll="0"/>
    <pivotField showAll="0"/>
    <pivotField numFmtId="44" showAll="0"/>
    <pivotField numFmtId="44" showAll="0"/>
  </pivotFields>
  <rowFields count="1">
    <field x="14"/>
  </rowFields>
  <rowItems count="36">
    <i>
      <x v="12"/>
    </i>
    <i>
      <x v="31"/>
    </i>
    <i>
      <x v="13"/>
    </i>
    <i>
      <x v="35"/>
    </i>
    <i>
      <x v="7"/>
    </i>
    <i>
      <x v="5"/>
    </i>
    <i>
      <x v="2"/>
    </i>
    <i>
      <x v="10"/>
    </i>
    <i>
      <x v="28"/>
    </i>
    <i>
      <x v="15"/>
    </i>
    <i>
      <x v="3"/>
    </i>
    <i>
      <x/>
    </i>
    <i>
      <x v="11"/>
    </i>
    <i>
      <x v="16"/>
    </i>
    <i>
      <x v="1"/>
    </i>
    <i>
      <x v="4"/>
    </i>
    <i>
      <x v="30"/>
    </i>
    <i>
      <x v="9"/>
    </i>
    <i>
      <x v="20"/>
    </i>
    <i>
      <x v="24"/>
    </i>
    <i>
      <x v="21"/>
    </i>
    <i>
      <x v="34"/>
    </i>
    <i>
      <x v="32"/>
    </i>
    <i>
      <x v="17"/>
    </i>
    <i>
      <x v="23"/>
    </i>
    <i>
      <x v="6"/>
    </i>
    <i>
      <x v="29"/>
    </i>
    <i>
      <x v="18"/>
    </i>
    <i>
      <x v="8"/>
    </i>
    <i>
      <x v="14"/>
    </i>
    <i>
      <x v="33"/>
    </i>
    <i>
      <x v="25"/>
    </i>
    <i>
      <x v="36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Nome Produto" fld="14" subtotal="count" baseField="0" baseItem="0"/>
    <dataField name="Contagem de Data Reembolso" fld="36" subtotal="countNums" baseField="9" baseItem="11"/>
  </dataFields>
  <formats count="4"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28B8F6-3D89-4427-A3C2-018AE1D9FC0A}" name="Controle_Pedidos" displayName="Controle_Pedidos" ref="A4:S2126" totalsRowShown="0" headerRowDxfId="190" dataDxfId="189">
  <autoFilter ref="A4:S2126" xr:uid="{BA28B8F6-3D89-4427-A3C2-018AE1D9FC0A}"/>
  <tableColumns count="19">
    <tableColumn id="1" xr3:uid="{2F1AB800-BBEC-4F92-A851-D32A26CF02A3}" name="Loja" dataDxfId="188"/>
    <tableColumn id="2" xr3:uid="{872599D2-2560-48BA-B636-9E48EEE67BFE}" name="Número Pedido Cliente" dataDxfId="187"/>
    <tableColumn id="3" xr3:uid="{CEE04FEE-015A-4042-B596-85858502D364}" name="Data Pedido" dataDxfId="186"/>
    <tableColumn id="4" xr3:uid="{B9BE872C-A70A-409C-9373-A5A92D0544F3}" name="Data Compra" dataDxfId="185"/>
    <tableColumn id="5" xr3:uid="{4EFF7A6F-3EEA-4DCF-BAF0-FFFF9E3D9DC2}" name="Pedido Fornecedor" dataDxfId="184"/>
    <tableColumn id="6" xr3:uid="{E17C4474-B0F0-4E65-8A00-4CFB38C9CB0D}" name="Cód Rastreamento" dataDxfId="183"/>
    <tableColumn id="8" xr3:uid="{693D01F8-470D-4779-AFC3-A20685888230}" name="Nome Produto" dataDxfId="182"/>
    <tableColumn id="9" xr3:uid="{E0355A21-313F-47C3-B92B-FEEF20AC823E}" name="Qtd" dataDxfId="181"/>
    <tableColumn id="10" xr3:uid="{C47911EF-2A3B-46C3-AD8F-B3EF4341FD27}" name="CPF" dataDxfId="180"/>
    <tableColumn id="11" xr3:uid="{F894EF8E-536F-4CB8-8A8D-2BF6DCBAE401}" name="NOME" dataDxfId="179"/>
    <tableColumn id="12" xr3:uid="{4B0C9E00-CBEB-418A-9AC5-0E4446BB38EF}" name="Telefone" dataDxfId="178"/>
    <tableColumn id="13" xr3:uid="{CA975AAD-3FCB-42BC-A0AB-17CAA2FC2004}" name="Cep" dataDxfId="177"/>
    <tableColumn id="14" xr3:uid="{61E6DC74-60F0-492F-B180-04E32007771A}" name="Rua" dataDxfId="176"/>
    <tableColumn id="15" xr3:uid="{0D115573-2B57-4C59-A70F-415383ECA838}" name="Complemento" dataDxfId="175"/>
    <tableColumn id="16" xr3:uid="{4BE85A2F-9E55-4AA6-9D0E-9C8BE563AC68}" name="SKU" dataDxfId="174"/>
    <tableColumn id="17" xr3:uid="{7905E2CD-516E-46C3-A2C0-C175EF556CE0}" name="Prazo Entrega" dataDxfId="173"/>
    <tableColumn id="18" xr3:uid="{8FB9F81F-7AFB-4636-8B58-2D0775DF1303}" name="Valor Pedido" dataDxfId="172" dataCellStyle="Moeda"/>
    <tableColumn id="7" xr3:uid="{46802057-CF5F-4DA0-8CE1-15DABFFEC42F}" name="Valor Compra" dataDxfId="171" dataCellStyle="Moeda"/>
    <tableColumn id="19" xr3:uid="{EC42446F-AF07-4881-8705-DDD96D58DCA7}" name="Frete" dataDxfId="170" dataCellStyle="Mo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BDC05-D6AA-4F0B-9257-D2FA65C9AA9C}" name="Follow" displayName="Follow" ref="A11:O1988" totalsRowShown="0" headerRowDxfId="157" dataDxfId="156">
  <autoFilter ref="A11:O1988" xr:uid="{8EFAE2A5-C48F-40D8-BC8A-16B3062EA5FC}"/>
  <tableColumns count="15">
    <tableColumn id="9" xr3:uid="{4B4375C2-BCE8-4FB3-8C45-CED0C5F023CB}" name="Id Pedido" dataDxfId="155">
      <calculatedColumnFormula>_xlfn.XLOOKUP(Follow[[#This Row],[CODRASTREIO]],Controle_Pedidos[Cód Rastreamento],Controle_Pedidos[Número Pedido Cliente])</calculatedColumnFormula>
    </tableColumn>
    <tableColumn id="1" xr3:uid="{57FF10B1-C377-4674-8B4D-B71FBE90ADFB}" name="CODRASTREIO" dataDxfId="154"/>
    <tableColumn id="6" xr3:uid="{10670BDB-B0EB-483D-9E2D-CFD5AC19CE41}" name="CODRASTREIO2" dataDxfId="153">
      <calculatedColumnFormula>Follow[[#This Row],[CODRASTREIO]]&amp;" B"</calculatedColumnFormula>
    </tableColumn>
    <tableColumn id="15" xr3:uid="{5F7B3086-38EF-4157-B659-6C63E368C14C}" name="Loja" dataDxfId="152">
      <calculatedColumnFormula>_xlfn.XLOOKUP(Follow[[#This Row],[Id Pedido]],Controle_Pedidos[Número Pedido Cliente],Controle_Pedidos[Loja])</calculatedColumnFormula>
    </tableColumn>
    <tableColumn id="10" xr3:uid="{08E435F6-C724-467A-B6B9-5D9CCFE33DFE}" name="Prev Entrega" dataDxfId="151">
      <calculatedColumnFormula>IFERROR(_xlfn.XLOOKUP(Follow[[#This Row],[CODRASTREIO]],'Banco de Dados'!$G$2:$G$2123,'Banco de Dados'!$Q$2:$Q$2123),_xlfn.XLOOKUP(Follow[[#This Row],[CODRASTREIO]],#REF!,#REF!))</calculatedColumnFormula>
    </tableColumn>
    <tableColumn id="12" xr3:uid="{19D2BCAD-2DAC-47E6-B8F9-A30541C89544}" name="Transp" dataDxfId="150"/>
    <tableColumn id="16" xr3:uid="{2414ABF6-8503-4E9E-BB6A-4B1A03031671}" name="Novo Cód de Rastreio" dataDxfId="149"/>
    <tableColumn id="2" xr3:uid="{DE71409C-8891-4194-8815-8F7F0C3FE747}" name="PAISORIGEM" dataDxfId="148"/>
    <tableColumn id="3" xr3:uid="{7CCB2D62-9EA1-4986-909A-BEAB5BB894CB}" name="PAISDESTINO" dataDxfId="147"/>
    <tableColumn id="4" xr3:uid="{0632F898-293E-4057-9648-92F00F59B820}" name="DATAATUALIZAÇÃO" dataDxfId="146"/>
    <tableColumn id="5" xr3:uid="{575E5CC5-4A29-45D9-A150-093EF23696C8}" name="-" dataDxfId="145" dataCellStyle="Vírgula"/>
    <tableColumn id="7" xr3:uid="{89D32E71-EF9B-4AAD-A315-00A195DE7D3A}" name="STATUS" dataDxfId="144"/>
    <tableColumn id="13" xr3:uid="{A964D6E5-9243-4877-BB64-F3798222AAC8}" name="Obs" dataDxfId="143"/>
    <tableColumn id="8" xr3:uid="{DE47B933-C59B-409A-99FE-DA71477A34AE}" name="Prazo" dataDxfId="142">
      <calculatedColumnFormula>IF(Follow[[#This Row],[DATAATUALIZAÇÃO]]&lt;=Follow[[#This Row],[Prev Entrega]],"Dentro do Prazo","Fora do Prazo")</calculatedColumnFormula>
    </tableColumn>
    <tableColumn id="11" xr3:uid="{3E60B875-3841-40AB-A0AA-42D5F4DDC479}" name="MSG" dataDxfId="141">
      <calculatedColumnFormula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7E405-40F5-47AB-8661-DBD3C77E3681}" name="Ocorrencias_Pedidos" displayName="Ocorrencias_Pedidos" ref="A1:F304" totalsRowShown="0" headerRowDxfId="140">
  <autoFilter ref="A1:F304" xr:uid="{9687E405-40F5-47AB-8661-DBD3C77E3681}"/>
  <tableColumns count="6">
    <tableColumn id="1" xr3:uid="{CD972A24-163E-47B0-837D-27863310D5E1}" name="Pedido Cliente" dataDxfId="139"/>
    <tableColumn id="6" xr3:uid="{5F3DD995-9664-4C5A-B6DA-1A5F71E2DAC5}" name="Tipo Ocorrência" dataDxfId="138"/>
    <tableColumn id="2" xr3:uid="{4FAFF4CA-CCB1-4ED9-9267-879259965923}" name="MOTIVO" dataDxfId="137"/>
    <tableColumn id="3" xr3:uid="{E2B2FAB0-7940-45A7-939D-7187A1751DBE}" name="OBS" dataDxfId="136"/>
    <tableColumn id="4" xr3:uid="{023FA498-3F90-408E-8964-A6AFBC37DA12}" name="Data Reembolso" dataDxfId="135" dataCellStyle="Moeda"/>
    <tableColumn id="5" xr3:uid="{D368745C-21EA-4B05-8CEB-549802769CD2}" name="Fornecedor Reembolsou?" dataDxfId="134" dataCellStyle="Moeda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C003C4-45FD-4EF1-8981-A1CE153460B7}" name="SKU_Taxas" displayName="SKU_Taxas" ref="A1:O65" totalsRowShown="0" dataDxfId="133">
  <autoFilter ref="A1:O65" xr:uid="{E9B89181-DC81-4DBA-99DB-0993A3CCEAAC}"/>
  <tableColumns count="15">
    <tableColumn id="1" xr3:uid="{E1D882D3-2A1C-40B6-B7F9-46B53DCBB39A}" name="NCIM" dataDxfId="132"/>
    <tableColumn id="2" xr3:uid="{48EB1443-2E97-4047-8A26-25554C0D6A60}" name="BV" dataDxfId="131"/>
    <tableColumn id="3" xr3:uid="{9D2E851E-445A-458D-8ACD-6B521110ACA1}" name="GO" dataDxfId="130"/>
    <tableColumn id="4" xr3:uid="{02C4FEB7-3FAB-40F6-9B36-034D7FBC70A0}" name="MEI" dataDxfId="129"/>
    <tableColumn id="5" xr3:uid="{EABE0923-FB10-46B7-A864-43DFBC621DA0}" name="Status" dataDxfId="128"/>
    <tableColumn id="6" xr3:uid="{BDB46FF0-EB9D-4EBC-8AD3-4F4BAA918C28}" name="Nome resumido" dataDxfId="127"/>
    <tableColumn id="7" xr3:uid="{35E0A901-AAEA-426A-9163-F2E7D1540415}" name="Data Inicío Vigência" dataDxfId="126"/>
    <tableColumn id="8" xr3:uid="{6599D498-CD27-486D-95DA-6F01F8B9AF40}" name="% E-commerce" dataDxfId="125"/>
    <tableColumn id="9" xr3:uid="{74076DE0-A11E-4858-B4E1-9065E6842622}" name="Preço Venda" dataDxfId="124" dataCellStyle="Moeda"/>
    <tableColumn id="10" xr3:uid="{2326391B-2816-446E-A047-4F3B9F063AAF}" name="Valor Compra" dataDxfId="123" dataCellStyle="Moeda"/>
    <tableColumn id="11" xr3:uid="{9B206D21-87D1-470E-8FF7-0979F77322BF}" name="Taxa E-commerce" dataDxfId="122"/>
    <tableColumn id="12" xr3:uid="{8A60C0C8-872E-4422-9A37-5FACB43586BA}" name="Serviços" dataDxfId="121"/>
    <tableColumn id="13" xr3:uid="{9B67C19C-BE70-44A8-8CE0-8B19C1506BD0}" name="% Lucro" dataDxfId="120"/>
    <tableColumn id="14" xr3:uid="{025F0CEA-7813-45D6-B8B9-E968721B352D}" name="Valor Liquido" dataDxfId="119"/>
    <tableColumn id="15" xr3:uid="{7BC955AC-2646-4ECA-AB49-ADE4C88AFBC2}" name="Liquido Dividido" dataDxfId="118"/>
  </tableColumns>
  <tableStyleInfo name="Estilo de Tabe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DBF42D-E1B9-487B-A589-89443776F5B1}" name="ValorProxyTT" displayName="ValorProxyTT" ref="A1:G6" totalsRowShown="0" headerRowDxfId="117">
  <tableColumns count="7">
    <tableColumn id="1" xr3:uid="{10931631-45E3-45B4-8FD7-31576AC68CD9}" name="Data" dataDxfId="116" totalsRowDxfId="115"/>
    <tableColumn id="4" xr3:uid="{C7EC24E4-DE27-4FB7-85BD-EB42959321BC}" name="Loja" dataDxfId="114" totalsRowDxfId="113" dataCellStyle="Normal 2 2"/>
    <tableColumn id="2" xr3:uid="{1E172B9B-C3DC-45F6-8639-2CEB29EADFC0}" name="Serviço"/>
    <tableColumn id="3" xr3:uid="{046199DA-1DCD-4FF0-8A44-B95A71692909}" name="Valor" dataDxfId="112" totalsRowDxfId="111"/>
    <tableColumn id="10" xr3:uid="{6718CDFB-F901-4F0E-8593-362C2DBFC281}" name="GB" dataDxfId="110" totalsRowDxfId="109"/>
    <tableColumn id="9" xr3:uid="{229494D3-ADDE-4EF0-A0FC-BFD9CDE508A1}" name="Valor por GB" dataDxfId="108" totalsRowDxfId="107">
      <calculatedColumnFormula>ValorProxyTT[[#This Row],[Valor]]/ValorProxyTT[[#This Row],[GB]]</calculatedColumnFormula>
    </tableColumn>
    <tableColumn id="5" xr3:uid="{83096260-A937-429A-B619-ADE87627C3BA}" name="Status" dataDxfId="106" totalsRowDxfId="10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5F7EB4-6A3D-4661-83C7-8E38D70C726B}" name="ProxyDD" displayName="ProxyDD" ref="I1:P191" totalsRowShown="0" headerRowDxfId="104" dataDxfId="103" headerRowCellStyle="Normal 2 2" dataCellStyle="Normal 2 2">
  <autoFilter ref="I1:P191" xr:uid="{425F7EB4-6A3D-4661-83C7-8E38D70C726B}"/>
  <tableColumns count="8">
    <tableColumn id="1" xr3:uid="{B319020A-88BD-4728-A1CC-689DF71E3F15}" name="Data" dataDxfId="102" dataCellStyle="Normal 2 2"/>
    <tableColumn id="2" xr3:uid="{CA24D543-3B88-4B42-9F44-44BAA1E4B41C}" name="Loja" dataDxfId="101" dataCellStyle="Normal 2 2"/>
    <tableColumn id="3" xr3:uid="{4CC3B92E-A581-47A4-9893-E1A55F98C9F1}" name="Chave" dataDxfId="100" dataCellStyle="Normal 2 2">
      <calculatedColumnFormula>_xlfn.CONCAT(J2,I2)</calculatedColumnFormula>
    </tableColumn>
    <tableColumn id="4" xr3:uid="{ABEF3D43-A386-4C04-90E0-36F26DEFEBD2}" name="GB atual" dataDxfId="99" dataCellStyle="Normal 2 2"/>
    <tableColumn id="5" xr3:uid="{01D2F4FA-306E-4B2A-826C-198B96258CFD}" name="Gasto total" dataDxfId="98" dataCellStyle="Normal 2 2"/>
    <tableColumn id="6" xr3:uid="{7F479C9D-2DFB-44E2-ABFF-478D9190896C}" name="Gasto do dia" dataDxfId="97" dataCellStyle="Normal 2 2"/>
    <tableColumn id="7" xr3:uid="{C7723D89-71E4-459C-BAF1-98C365804C34}" name="Qtd Pedidos" dataDxfId="96" dataCellStyle="Normal 2 2"/>
    <tableColumn id="8" xr3:uid="{28EFE948-47B8-4EC5-9438-2F5B4E3A3E5A}" name="Valor por pedido" dataDxfId="95" dataCellStyle="Normal 2 2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728958-5971-437D-8A49-6C5F22281C76}" name="Serviços" displayName="Serviços" ref="A1:M238" totalsRowShown="0" headerRowDxfId="94">
  <autoFilter ref="A1:M238" xr:uid="{82E0390A-B287-4BEE-B6E9-7A24A371256F}">
    <filterColumn colId="0">
      <filters>
        <dateGroupItem year="2025" dateTimeGrouping="year"/>
      </filters>
    </filterColumn>
  </autoFilter>
  <tableColumns count="13">
    <tableColumn id="1" xr3:uid="{068EF412-23EB-4555-8EA5-F0B25C29E783}" name="Data" dataDxfId="93"/>
    <tableColumn id="12" xr3:uid="{36485DC0-B7BE-4335-8D9B-F182890E604C}" name="Chave" dataDxfId="92" dataCellStyle="Normal 2 2">
      <calculatedColumnFormula>_xlfn.CONCAT(Serviços[[#This Row],[Loja]],Serviços[[#This Row],[Data]])</calculatedColumnFormula>
    </tableColumn>
    <tableColumn id="7" xr3:uid="{D1EC4FEA-59FE-4E47-BE49-B19A417AE02B}" name="Loja" dataDxfId="91" dataCellStyle="Normal 2 2"/>
    <tableColumn id="2" xr3:uid="{70D0EC42-DE60-4683-BAED-A8F5AFE33A5B}" name="Serviço"/>
    <tableColumn id="3" xr3:uid="{8B0C7593-3E3C-470C-9E3F-8EF958FC2123}" name="Valor Inicial" dataDxfId="90"/>
    <tableColumn id="4" xr3:uid="{C85AAE09-1DE7-4793-B47A-D36A02BA14E3}" name="Recarga" dataDxfId="89"/>
    <tableColumn id="10" xr3:uid="{F9DB8317-FD4A-4DF4-B2AB-8659091FF492}" name="Bonus" dataDxfId="88"/>
    <tableColumn id="5" xr3:uid="{D88304D4-E94F-4DC5-A40A-B8EAC6AA09B4}" name="Saldo" dataDxfId="87"/>
    <tableColumn id="6" xr3:uid="{14704D72-BE59-4D47-AAD3-A55A337CED88}" name="Gasto" dataDxfId="86" dataCellStyle="Normal 2 2">
      <calculatedColumnFormula>SUM(Serviços[[#This Row],[Valor Inicial]:[Bonus]])-Serviços[[#This Row],[Saldo]]</calculatedColumnFormula>
    </tableColumn>
    <tableColumn id="8" xr3:uid="{D607EF96-6E32-4061-9952-5ED4D934A2F9}" name="Pedidos" dataDxfId="85">
      <calculatedColumnFormula>COUNTIFS('Banco de Dados'!$F$2:$F$2123,"&lt;&gt;-",'Banco de Dados'!$B$2:$B$2123,Serviços[[#This Row],[Chave]])</calculatedColumnFormula>
    </tableColumn>
    <tableColumn id="9" xr3:uid="{CA30E7E7-7075-482E-A1C9-82916A1E8E68}" name="Valor p/ pedido" dataDxfId="84">
      <calculatedColumnFormula>IFERROR(ROUND(Serviços[[#This Row],[Gasto]]/Serviços[[#This Row],[Pedidos]],2),0)</calculatedColumnFormula>
    </tableColumn>
    <tableColumn id="13" xr3:uid="{1DB5ADA1-CBBD-4222-B7C4-F56ED352C188}" name="Pagamento" dataDxfId="83"/>
    <tableColumn id="14" xr3:uid="{13E12FC2-8882-4A72-B149-25E64B934D09}" name="Coluna1" dataDxfId="8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FD4DB1-CAA4-4ECD-A840-8915EBD60566}" name="Fluxo_Caixa1" displayName="Fluxo_Caixa1" ref="B13:D27" totalsRowShown="0" headerRowDxfId="81">
  <autoFilter ref="B13:D27" xr:uid="{3D6BF845-5276-4337-95C4-26F3CC7DF47C}"/>
  <tableColumns count="3">
    <tableColumn id="1" xr3:uid="{3ED407AA-A344-44A8-998F-EFD3C7AC09FD}" name="-"/>
    <tableColumn id="2" xr3:uid="{3A7D25D4-649D-486A-AEE1-42567092790D}" name="Data" dataDxfId="80"/>
    <tableColumn id="3" xr3:uid="{E6DE9A99-8B72-4802-A6A1-3DFDCCC53A6E}" name="Valor" dataDxfId="7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C924F2-5681-458B-B145-7F0C18FCF2F7}" name="Fluxo_Caixa2" displayName="Fluxo_Caixa2" ref="F13:H19" totalsRowShown="0" headerRowDxfId="78">
  <autoFilter ref="F13:H19" xr:uid="{47C924F2-5681-458B-B145-7F0C18FCF2F7}"/>
  <tableColumns count="3">
    <tableColumn id="1" xr3:uid="{984E8172-9836-4316-9006-BAB768485AB7}" name="-"/>
    <tableColumn id="2" xr3:uid="{EF92B6D0-C8FD-47E4-B08B-E5347E51237C}" name="Data" dataDxfId="77"/>
    <tableColumn id="3" xr3:uid="{18526C10-DBCD-4814-BC3A-A7AB0C057EB6}" name="Valor" dataDxfId="7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3" dT="2025-04-23T01:32:53.63" personId="{17EE120A-5A71-42B7-942F-B49066A95ECD}" id="{DBF856DE-E95C-4E9F-8D0F-352CE01A280A}">
    <text>Pedido Cancelado</text>
  </threadedComment>
  <threadedComment ref="A205" dT="2025-04-22T21:43:58.37" personId="{17EE120A-5A71-42B7-942F-B49066A95ECD}" id="{8628805F-175C-41AA-8328-6502B8656352}">
    <text>Foi cancelado</text>
  </threadedComment>
  <threadedComment ref="A206" dT="2025-04-23T01:59:08.64" personId="{17EE120A-5A71-42B7-942F-B49066A95ECD}" id="{D97528C8-2DBF-4A8F-9CF1-3AB6939BA91E}">
    <text>Compra falhou por 2 vezes</text>
  </threadedComment>
  <threadedComment ref="A217" dT="2025-04-30T00:40:57.73" personId="{17EE120A-5A71-42B7-942F-B49066A95ECD}" id="{1D5A5500-9DAA-4B4B-843E-CB658C291824}">
    <text>Cancelado</text>
  </threadedComment>
  <threadedComment ref="A217" dT="2025-05-05T22:44:27.54" personId="{17EE120A-5A71-42B7-942F-B49066A95ECD}" id="{BFA6B28C-6FEA-4ABE-BD3E-9CC0240F9DF4}" parentId="{1D5A5500-9DAA-4B4B-843E-CB658C291824}">
    <text>Cancelado</text>
  </threadedComment>
  <threadedComment ref="A220" dT="2025-04-30T00:42:46.85" personId="{17EE120A-5A71-42B7-942F-B49066A95ECD}" id="{4E182AA1-E2ED-46F5-BA1A-C149F804A614}">
    <text>Cancelado</text>
  </threadedComment>
  <threadedComment ref="A224" dT="2025-04-30T00:44:03.00" personId="{17EE120A-5A71-42B7-942F-B49066A95ECD}" id="{2572A296-695F-42EC-B95F-B44200D577DB}">
    <text>Cancelado</text>
  </threadedComment>
  <threadedComment ref="A226" dT="2025-04-30T00:45:40.32" personId="{17EE120A-5A71-42B7-942F-B49066A95ECD}" id="{B957D582-C910-4266-8FC4-D8BED7A80149}">
    <text>Cancelado</text>
  </threadedComment>
  <threadedComment ref="A233" dT="2025-05-07T00:24:09.10" personId="{17EE120A-5A71-42B7-942F-B49066A95ECD}" id="{7AE2AAE3-8B1E-4942-9A4E-359B2C72C731}">
    <text>Cancelado</text>
  </threadedComment>
  <threadedComment ref="A238" dT="2025-04-30T21:58:52.77" personId="{17EE120A-5A71-42B7-942F-B49066A95ECD}" id="{09E26134-2C2C-4394-A161-5CDD176A215C}">
    <text>Cancelado</text>
  </threadedComment>
  <threadedComment ref="A238" dT="2025-04-30T23:25:40.98" personId="{17EE120A-5A71-42B7-942F-B49066A95ECD}" id="{12158FEE-B63B-44D8-AE31-D50CD98B6653}" parentId="{09E26134-2C2C-4394-A161-5CDD176A215C}">
    <text>Compra falhou</text>
  </threadedComment>
  <threadedComment ref="A239" dT="2025-05-07T02:11:37.01" personId="{17EE120A-5A71-42B7-942F-B49066A95ECD}" id="{B246768F-9AF1-4F3C-B687-0F4346F03F8A}">
    <text>Interior</text>
  </threadedComment>
  <threadedComment ref="A240" dT="2025-05-07T22:41:01.67" personId="{17EE120A-5A71-42B7-942F-B49066A95ECD}" id="{ADBC2B7D-F200-4CFC-8432-CFE539486757}">
    <text>Cancelado</text>
  </threadedComment>
  <threadedComment ref="A243" dT="2025-05-07T02:30:12.41" personId="{17EE120A-5A71-42B7-942F-B49066A95ECD}" id="{AC7DE3BA-6542-4136-8BA3-E18877CEBDB7}">
    <text>Interior</text>
  </threadedComment>
  <threadedComment ref="A244" dT="2025-05-02T23:44:35.84" personId="{17EE120A-5A71-42B7-942F-B49066A95ECD}" id="{33E235EF-7298-4EFA-8EDE-FB72057CB8DE}">
    <text>Compra falhou</text>
  </threadedComment>
  <threadedComment ref="A244" dT="2025-05-05T23:36:14.88" personId="{17EE120A-5A71-42B7-942F-B49066A95ECD}" id="{72EE5CFB-DD5B-415F-A141-23FBA72118A1}" parentId="{33E235EF-7298-4EFA-8EDE-FB72057CB8DE}">
    <text>Compra falhou</text>
  </threadedComment>
  <threadedComment ref="A249" dT="2025-05-09T00:14:58.61" personId="{17EE120A-5A71-42B7-942F-B49066A95ECD}" id="{C6D7CD7E-77BD-4DA4-8927-1090B4906EAE}">
    <text>Muito caro</text>
  </threadedComment>
  <threadedComment ref="A250" dT="2025-05-09T01:11:43.55" personId="{17EE120A-5A71-42B7-942F-B49066A95ECD}" id="{C4337DA5-12F4-42FF-B73A-6FF6E93D425F}">
    <text>Compra falhou</text>
  </threadedComment>
  <threadedComment ref="A250" dT="2025-05-13T01:15:36.61" personId="{17EE120A-5A71-42B7-942F-B49066A95ECD}" id="{AB528DB6-3586-4AC9-99C5-8C6063DB2661}" parentId="{C4337DA5-12F4-42FF-B73A-6FF6E93D425F}">
    <text>Cancelado</text>
  </threadedComment>
  <threadedComment ref="A251" dT="2025-05-13T00:12:32.29" personId="{17EE120A-5A71-42B7-942F-B49066A95ECD}" id="{0227447A-E98C-4A9D-80E6-97DDD3A4CE7F}">
    <text>Cancelado</text>
  </threadedComment>
  <threadedComment ref="A251" dT="2025-05-13T01:24:30.20" personId="{17EE120A-5A71-42B7-942F-B49066A95ECD}" id="{D5798D64-5BB7-4C98-8CD0-96AA5AEF3CF9}" parentId="{0227447A-E98C-4A9D-80E6-97DDD3A4CE7F}">
    <text>Pagamento falhou</text>
  </threadedComment>
  <threadedComment ref="A252" dT="2025-05-09T01:32:43.32" personId="{17EE120A-5A71-42B7-942F-B49066A95ECD}" id="{7D211309-013B-4778-9994-345B7737A657}">
    <text>Compra falhou</text>
  </threadedComment>
  <threadedComment ref="A252" dT="2025-05-13T21:55:24.17" personId="{17EE120A-5A71-42B7-942F-B49066A95ECD}" id="{5CE323FB-E61E-40F2-9EE1-898CE402C8CC}" parentId="{7D211309-013B-4778-9994-345B7737A657}">
    <text>Cancelado</text>
  </threadedComment>
  <threadedComment ref="A253" dT="2025-05-13T21:56:31.82" personId="{17EE120A-5A71-42B7-942F-B49066A95ECD}" id="{0C9F418C-851D-453C-A091-EFC966C9DBD8}">
    <text>Cancelado</text>
  </threadedComment>
  <threadedComment ref="A253" dT="2025-05-13T22:36:29.00" personId="{17EE120A-5A71-42B7-942F-B49066A95ECD}" id="{5C2BC2D3-77CA-4483-8706-95F58F75A1F0}" parentId="{0C9F418C-851D-453C-A091-EFC966C9DBD8}">
    <text>Cancelado</text>
  </threadedComment>
  <threadedComment ref="A253" dT="2025-05-15T22:16:32.29" personId="{17EE120A-5A71-42B7-942F-B49066A95ECD}" id="{8536555E-9CFA-43EE-A474-4992DE247D61}" parentId="{0C9F418C-851D-453C-A091-EFC966C9DBD8}">
    <text>Cancelado</text>
  </threadedComment>
  <threadedComment ref="A254" dT="2025-05-13T01:48:15.81" personId="{17EE120A-5A71-42B7-942F-B49066A95ECD}" id="{8E38C181-F639-440C-BBD6-1E9B25ADF746}">
    <text>Cancelado</text>
  </threadedComment>
  <threadedComment ref="A254" dT="2025-05-14T22:23:34.22" personId="{17EE120A-5A71-42B7-942F-B49066A95ECD}" id="{05A41FA5-1C06-464C-A201-C2F688787B5B}" parentId="{8E38C181-F639-440C-BBD6-1E9B25ADF746}">
    <text>Cancelado</text>
  </threadedComment>
  <threadedComment ref="A254" dT="2025-05-14T23:07:53.76" personId="{17EE120A-5A71-42B7-942F-B49066A95ECD}" id="{2404FFF2-E3C5-492E-A8E2-86D10587DE38}" parentId="{8E38C181-F639-440C-BBD6-1E9B25ADF746}">
    <text>cANCELADO</text>
  </threadedComment>
  <threadedComment ref="A255" dT="2025-05-14T22:23:57.60" personId="{17EE120A-5A71-42B7-942F-B49066A95ECD}" id="{D08044DE-7CBB-44E0-A48F-4FF0AC7A3136}">
    <text>Cancelado</text>
  </threadedComment>
  <threadedComment ref="A255" dT="2025-05-14T23:12:14.87" personId="{17EE120A-5A71-42B7-942F-B49066A95ECD}" id="{59416851-E3EF-4739-9009-ADB805B8EF48}" parentId="{D08044DE-7CBB-44E0-A48F-4FF0AC7A3136}">
    <text>cANCELADO</text>
  </threadedComment>
  <threadedComment ref="A256" dT="2025-05-13T23:05:03.53" personId="{17EE120A-5A71-42B7-942F-B49066A95ECD}" id="{9ECDC9A2-2C27-400E-8A23-EF48D2551A0B}">
    <text>Compra falhou</text>
  </threadedComment>
  <threadedComment ref="A256" dT="2025-05-14T23:22:01.75" personId="{17EE120A-5A71-42B7-942F-B49066A95ECD}" id="{1E916470-6967-4A20-BA8E-9BB341C3CBB4}" parentId="{9ECDC9A2-2C27-400E-8A23-EF48D2551A0B}">
    <text>Compra falhou</text>
  </threadedComment>
  <threadedComment ref="A256" dT="2025-05-16T01:30:30.05" personId="{17EE120A-5A71-42B7-942F-B49066A95ECD}" id="{3C2BEC48-2075-4F69-BA82-AF53A4B13002}" parentId="{9ECDC9A2-2C27-400E-8A23-EF48D2551A0B}">
    <text>COMPRA FALHOU</text>
  </threadedComment>
  <threadedComment ref="A257" dT="2025-05-13T23:13:55.41" personId="{17EE120A-5A71-42B7-942F-B49066A95ECD}" id="{569BCD83-6CC9-4F52-ABE2-D388B83A711F}">
    <text>Compra falhou</text>
  </threadedComment>
  <threadedComment ref="A257" dT="2025-05-15T22:21:19.19" personId="{17EE120A-5A71-42B7-942F-B49066A95ECD}" id="{1E6FDA08-0977-4B94-9B7F-A7723407F14A}" parentId="{569BCD83-6CC9-4F52-ABE2-D388B83A711F}">
    <text>Cancelado</text>
  </threadedComment>
  <threadedComment ref="A257" dT="2025-05-16T01:42:04.12" personId="{17EE120A-5A71-42B7-942F-B49066A95ECD}" id="{2E5C625A-21A2-477D-AFC3-02A88175CB8E}" parentId="{569BCD83-6CC9-4F52-ABE2-D388B83A711F}">
    <text>Compra falhou</text>
  </threadedComment>
  <threadedComment ref="A258" dT="2025-05-15T22:21:41.16" personId="{17EE120A-5A71-42B7-942F-B49066A95ECD}" id="{9A0077B9-AD7E-455A-BAEB-5E2C0A1F6FD3}">
    <text>Cancelado</text>
  </threadedComment>
  <threadedComment ref="A258" dT="2025-05-16T01:46:10.90" personId="{17EE120A-5A71-42B7-942F-B49066A95ECD}" id="{35B3B357-200F-45D4-B0EB-56362A3BF79F}" parentId="{9A0077B9-AD7E-455A-BAEB-5E2C0A1F6FD3}">
    <text>Compra falhou</text>
  </threadedComment>
  <threadedComment ref="A259" dT="2025-05-14T00:12:49.77" personId="{17EE120A-5A71-42B7-942F-B49066A95ECD}" id="{5D11DFF2-D9E1-4DA9-AF80-FDCE767DE2D6}">
    <text xml:space="preserve">Caro
</text>
  </threadedComment>
  <threadedComment ref="A260" dT="2025-05-15T22:24:31.17" personId="{17EE120A-5A71-42B7-942F-B49066A95ECD}" id="{D9743A57-FF4C-4C28-BE4C-4154B5E4495C}">
    <text>Cancelado</text>
  </threadedComment>
  <threadedComment ref="A260" dT="2025-05-16T01:49:53.60" personId="{17EE120A-5A71-42B7-942F-B49066A95ECD}" id="{F1D93645-01A3-42D8-858F-8866797BE061}" parentId="{D9743A57-FF4C-4C28-BE4C-4154B5E4495C}">
    <text>Cancelado</text>
  </threadedComment>
  <threadedComment ref="A261" dT="2025-05-15T00:12:01.44" personId="{17EE120A-5A71-42B7-942F-B49066A95ECD}" id="{BDA3A657-F090-45C5-992E-DF3DDB0456D5}">
    <text>Compra falhou</text>
  </threadedComment>
  <threadedComment ref="A261" dT="2025-05-16T01:54:10.52" personId="{17EE120A-5A71-42B7-942F-B49066A95ECD}" id="{1B359957-CC2D-4F39-A46A-713E458451AD}" parentId="{BDA3A657-F090-45C5-992E-DF3DDB0456D5}">
    <text xml:space="preserve">Cancelado
</text>
  </threadedComment>
  <threadedComment ref="A262" dT="2025-05-15T00:30:00.06" personId="{17EE120A-5A71-42B7-942F-B49066A95ECD}" id="{54A1247B-B9CA-4383-B39F-88CBED3CA745}">
    <text>Cancelado</text>
  </threadedComment>
  <threadedComment ref="A262" dT="2025-05-16T02:09:36.65" personId="{17EE120A-5A71-42B7-942F-B49066A95ECD}" id="{B3B96545-903B-485D-8EF9-9F13F5264C47}" parentId="{54A1247B-B9CA-4383-B39F-88CBED3CA745}">
    <text>Cancelado</text>
  </threadedComment>
  <threadedComment ref="A263" dT="2025-05-15T22:24:59.75" personId="{17EE120A-5A71-42B7-942F-B49066A95ECD}" id="{ADDBF44B-044D-4346-AF0E-F9A887BC4E6E}">
    <text>Cancelado</text>
  </threadedComment>
  <threadedComment ref="A264" dT="2025-05-15T22:25:45.87" personId="{17EE120A-5A71-42B7-942F-B49066A95ECD}" id="{B98B4D9B-FC2A-4151-919A-DF4D8B95E7A7}">
    <text>Cancelado</text>
  </threadedComment>
  <threadedComment ref="A266" dT="2025-05-15T01:14:14.62" personId="{17EE120A-5A71-42B7-942F-B49066A95ECD}" id="{2101FCC9-2DE6-4063-A31F-0226D8DF38E3}">
    <text>Compra falhou</text>
  </threadedComment>
  <threadedComment ref="A268" dT="2025-06-19T00:07:07.74" personId="{17EE120A-5A71-42B7-942F-B49066A95ECD}" id="{7CB77F82-45B7-4E66-8300-16543B81304E}">
    <text>Ficou pra trás, sem reembolso</text>
  </threadedComment>
  <threadedComment ref="A269" dT="2025-05-15T22:26:34.42" personId="{17EE120A-5A71-42B7-942F-B49066A95ECD}" id="{592DB5BB-CC06-4A24-884D-A203D8BB16B9}">
    <text>Cancelado</text>
  </threadedComment>
  <threadedComment ref="A270" dT="2025-06-19T00:07:11.89" personId="{17EE120A-5A71-42B7-942F-B49066A95ECD}" id="{B88D56C8-55CA-439C-940A-B122367D6CB1}">
    <text>Ficou pra trás, sem reembolso</text>
  </threadedComment>
  <threadedComment ref="A271" dT="2025-05-20T01:28:31.00" personId="{17EE120A-5A71-42B7-942F-B49066A95ECD}" id="{56590D05-512B-455E-AFB7-6054A254F7FC}">
    <text>Compra falhou</text>
  </threadedComment>
  <threadedComment ref="A274" dT="2025-06-19T00:07:15.53" personId="{17EE120A-5A71-42B7-942F-B49066A95ECD}" id="{52252753-9A6F-4147-A0D1-B2DA9D85EDA5}">
    <text>Ficou pra trás, sem reembolso</text>
  </threadedComment>
  <threadedComment ref="A276" dT="2025-06-19T00:07:18.91" personId="{17EE120A-5A71-42B7-942F-B49066A95ECD}" id="{C94DE511-97D4-4117-A899-02E2DF1DDB87}">
    <text>Ficou pra trás, sem reembolso</text>
  </threadedComment>
  <threadedComment ref="A279" dT="2025-06-12T00:12:21.05" personId="{17EE120A-5A71-42B7-942F-B49066A95ECD}" id="{D7F06886-0609-4C83-8E5D-82CF850ACB3F}">
    <text>Falta Número</text>
  </threadedComment>
  <threadedComment ref="A280" dT="2025-06-30T21:44:34.87" personId="{17EE120A-5A71-42B7-942F-B49066A95ECD}" id="{10876DCE-2A7C-44D2-A9FD-C4CA81720689}">
    <text>Pedi errado</text>
  </threadedComment>
  <threadedComment ref="A282" dT="2025-06-30T21:47:03.05" personId="{17EE120A-5A71-42B7-942F-B49066A95ECD}" id="{1E88D961-8372-4C6E-9751-2CF34A3C8007}">
    <text>Pedi errado</text>
  </threadedComment>
  <threadedComment ref="A283" dT="2025-06-30T21:48:46.73" personId="{17EE120A-5A71-42B7-942F-B49066A95ECD}" id="{B17E4D7C-4E36-4940-88BE-577495192B06}">
    <text>Cancelado</text>
  </threadedComment>
  <threadedComment ref="A284" dT="2025-06-30T21:49:33.59" personId="{17EE120A-5A71-42B7-942F-B49066A95ECD}" id="{7370B769-F65D-4BE0-A637-4F854C17CB38}">
    <text>Cancelado</text>
  </threadedComment>
  <threadedComment ref="A286" dT="2025-06-30T21:52:42.73" personId="{17EE120A-5A71-42B7-942F-B49066A95ECD}" id="{4AAAC0D1-BBE0-4982-AAB9-7492F579C9D3}">
    <text>Cancelado</text>
  </threadedComment>
  <threadedComment ref="A287" dT="2025-06-30T21:56:00.91" personId="{17EE120A-5A71-42B7-942F-B49066A95ECD}" id="{AD37196E-BA45-4F4E-962D-F405EFEF58E3}">
    <text>Cancelado</text>
  </threadedComment>
  <threadedComment ref="A299" dT="2025-07-16T23:43:35.37" personId="{17EE120A-5A71-42B7-942F-B49066A95ECD}" id="{A1C535C9-380E-44CD-BE61-804B144E09AB}">
    <text>CPF inválido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551" dT="2025-04-23T01:32:53.63" personId="{17EE120A-5A71-42B7-942F-B49066A95ECD}" id="{8464F977-FF0C-402C-B267-49449E0D2F29}">
    <text>Pedido Cancelado</text>
  </threadedComment>
  <threadedComment ref="C1555" dT="2025-04-22T21:43:58.37" personId="{17EE120A-5A71-42B7-942F-B49066A95ECD}" id="{671D7133-DCCD-44B9-B743-3ED5E0A68865}">
    <text>Foi cancelado</text>
  </threadedComment>
  <threadedComment ref="C1557" dT="2025-04-22T21:51:07.75" personId="{17EE120A-5A71-42B7-942F-B49066A95ECD}" id="{BE657C5C-BA34-48CE-9E92-C85E099A6110}">
    <text>Foi cancelado</text>
  </threadedComment>
  <threadedComment ref="I1559" dT="2025-04-24T19:59:08.09" personId="{17EE120A-5A71-42B7-942F-B49066A95ECD}" id="{3E7E4C72-CC85-46F3-A17A-3DA4D0389EF4}">
    <text xml:space="preserve">03686275945 </text>
  </threadedComment>
  <threadedComment ref="I1560" dT="2025-04-24T19:59:21.94" personId="{17EE120A-5A71-42B7-942F-B49066A95ECD}" id="{79E3505B-5F09-448C-8AEC-831C5566B3C8}">
    <text xml:space="preserve">85712892987 </text>
  </threadedComment>
  <threadedComment ref="C1561" dT="2025-04-23T01:59:08.64" personId="{17EE120A-5A71-42B7-942F-B49066A95ECD}" id="{46C9FFCD-E857-472B-8EA1-B2CF5AB91A97}">
    <text>Compra falhou por 2 vezes</text>
  </threadedComment>
  <threadedComment ref="C1565" dT="2025-04-23T00:11:41.54" personId="{17EE120A-5A71-42B7-942F-B49066A95ECD}" id="{8A19FB27-D404-41C6-84F4-33D71401A10D}">
    <text>Pedido cancelado</text>
  </threadedComment>
  <threadedComment ref="C1591" dT="2025-04-24T22:20:09.97" personId="{17EE120A-5A71-42B7-942F-B49066A95ECD}" id="{90651CDB-B0FA-4A56-A8CB-B45517EE1DF2}">
    <text>Compra falhou</text>
  </threadedComment>
  <threadedComment ref="C1600" dT="2025-04-30T00:40:57.73" personId="{17EE120A-5A71-42B7-942F-B49066A95ECD}" id="{2B068195-6988-4886-AD38-D5DFAA29F5A2}">
    <text>Cancelado</text>
  </threadedComment>
  <threadedComment ref="C1600" dT="2025-05-05T22:44:27.54" personId="{17EE120A-5A71-42B7-942F-B49066A95ECD}" id="{FCB9DB70-97D5-4BD7-9513-5CB32A09E154}" parentId="{2B068195-6988-4886-AD38-D5DFAA29F5A2}">
    <text>Cancelado</text>
  </threadedComment>
  <threadedComment ref="C1602" dT="2025-04-30T00:41:04.95" personId="{17EE120A-5A71-42B7-942F-B49066A95ECD}" id="{E6344232-ABA0-4E79-9332-221362660C15}">
    <text>Cancelado</text>
  </threadedComment>
  <threadedComment ref="C1606" dT="2025-04-30T00:42:19.22" personId="{17EE120A-5A71-42B7-942F-B49066A95ECD}" id="{A1DA99CA-EBCF-4F0C-82C5-5D1AA0F6D208}">
    <text>Cancelado</text>
  </threadedComment>
  <threadedComment ref="C1607" dT="2025-04-30T00:42:46.85" personId="{17EE120A-5A71-42B7-942F-B49066A95ECD}" id="{08A49996-02A6-4F94-948E-992B8F77398A}">
    <text>Cancelado</text>
  </threadedComment>
  <threadedComment ref="C1612" dT="2025-04-30T00:44:03.00" personId="{17EE120A-5A71-42B7-942F-B49066A95ECD}" id="{0DD2AF79-164C-4910-BEA8-2A8459581326}">
    <text>Cancelado</text>
  </threadedComment>
  <threadedComment ref="C1615" dT="2025-04-30T00:44:39.93" personId="{17EE120A-5A71-42B7-942F-B49066A95ECD}" id="{296552E0-646A-412D-9FB0-59D1A7DF33C2}">
    <text>Cancelado</text>
  </threadedComment>
  <threadedComment ref="C1617" dT="2025-04-30T00:45:40.32" personId="{17EE120A-5A71-42B7-942F-B49066A95ECD}" id="{5BF10890-A26C-4D50-AC3F-3B379A4D17B9}">
    <text>Cancelado</text>
  </threadedComment>
  <threadedComment ref="C1624" dT="2025-04-30T01:30:33.85" personId="{17EE120A-5A71-42B7-942F-B49066A95ECD}" id="{65E36102-AB36-4268-98FE-D8D84E771987}">
    <text>Está Caro</text>
  </threadedComment>
  <threadedComment ref="C1627" dT="2025-04-30T01:59:04.53" personId="{17EE120A-5A71-42B7-942F-B49066A95ECD}" id="{4399EE07-01D9-4A64-B2F5-5D968BE581AB}">
    <text>Compra falhou</text>
  </threadedComment>
  <threadedComment ref="C1629" dT="2025-04-30T01:59:39.32" personId="{17EE120A-5A71-42B7-942F-B49066A95ECD}" id="{4211C219-C9BA-43C8-A5A8-E835DB4852C7}">
    <text>Está faltando o número</text>
  </threadedComment>
  <threadedComment ref="C1631" dT="2025-05-07T00:24:09.10" personId="{17EE120A-5A71-42B7-942F-B49066A95ECD}" id="{543526DE-23A2-453F-A06D-2DA1A222E4DD}">
    <text>Cancelado</text>
  </threadedComment>
  <threadedComment ref="C1633" dT="2025-04-30T02:20:53.81" personId="{17EE120A-5A71-42B7-942F-B49066A95ECD}" id="{06EE1F8B-886B-4171-8E06-781BB445640D}">
    <text>Está Caro</text>
  </threadedComment>
  <threadedComment ref="C1641" dT="2025-04-30T21:58:52.77" personId="{17EE120A-5A71-42B7-942F-B49066A95ECD}" id="{6355FDC6-3C1C-4062-B866-EBCD92186D2A}">
    <text>Cancelado</text>
  </threadedComment>
  <threadedComment ref="C1641" dT="2025-04-30T23:25:40.98" personId="{17EE120A-5A71-42B7-942F-B49066A95ECD}" id="{B8C1E042-D09C-49CD-B630-F6F0014984FF}" parentId="{6355FDC6-3C1C-4062-B866-EBCD92186D2A}">
    <text>Compra falhou</text>
  </threadedComment>
  <threadedComment ref="C1644" dT="2025-05-07T02:11:37.01" personId="{17EE120A-5A71-42B7-942F-B49066A95ECD}" id="{1E6B48A8-1388-4D87-A943-FA6D215491B3}">
    <text>Interior</text>
  </threadedComment>
  <threadedComment ref="C1646" dT="2025-05-07T22:41:01.67" personId="{17EE120A-5A71-42B7-942F-B49066A95ECD}" id="{8106EEE3-373A-4FE0-8256-5A73BFF4D9BD}">
    <text>Cancelado</text>
  </threadedComment>
  <threadedComment ref="C1654" dT="2025-05-07T02:30:12.41" personId="{17EE120A-5A71-42B7-942F-B49066A95ECD}" id="{8485490C-580C-4F7C-A0EC-8529D5014261}">
    <text>Interior</text>
  </threadedComment>
  <threadedComment ref="C1656" dT="2025-05-02T23:44:35.84" personId="{17EE120A-5A71-42B7-942F-B49066A95ECD}" id="{4838541E-1592-42DF-90A2-A107015A4E4B}">
    <text>Compra falhou</text>
  </threadedComment>
  <threadedComment ref="C1656" dT="2025-05-05T23:36:14.88" personId="{17EE120A-5A71-42B7-942F-B49066A95ECD}" id="{189A6570-A4CC-4078-A64A-ACA4C0BA9F23}" parentId="{4838541E-1592-42DF-90A2-A107015A4E4B}">
    <text>Compra falhou</text>
  </threadedComment>
  <threadedComment ref="C1683" dT="2025-05-08T00:55:41.59" personId="{17EE120A-5A71-42B7-942F-B49066A95ECD}" id="{CE7EBC1F-2475-449A-BE7B-552A2272AB10}">
    <text>Pedido fechado</text>
  </threadedComment>
  <threadedComment ref="C1686" dT="2025-05-08T01:13:46.16" personId="{17EE120A-5A71-42B7-942F-B49066A95ECD}" id="{7A0B34EC-C364-4EB4-BD84-56C16B78576A}">
    <text>Pedido fechado</text>
  </threadedComment>
  <threadedComment ref="C1690" dT="2025-05-09T00:14:58.61" personId="{17EE120A-5A71-42B7-942F-B49066A95ECD}" id="{9C0D6398-D67D-47C4-AF35-085847369F59}">
    <text>Muito caro</text>
  </threadedComment>
  <threadedComment ref="C1693" dT="2025-05-09T01:11:43.55" personId="{17EE120A-5A71-42B7-942F-B49066A95ECD}" id="{D816901C-0A88-4984-8962-13F126ECDFDB}">
    <text>Compra falhou</text>
  </threadedComment>
  <threadedComment ref="C1693" dT="2025-05-13T01:15:36.61" personId="{17EE120A-5A71-42B7-942F-B49066A95ECD}" id="{29A37219-DF48-4160-BAAB-AD814631E85A}" parentId="{D816901C-0A88-4984-8962-13F126ECDFDB}">
    <text>Cancelado</text>
  </threadedComment>
  <threadedComment ref="C1694" dT="2025-05-13T00:12:32.29" personId="{17EE120A-5A71-42B7-942F-B49066A95ECD}" id="{E7FEFC0A-B0E1-4A8B-92B5-84CE006D4875}">
    <text>Cancelado</text>
  </threadedComment>
  <threadedComment ref="C1694" dT="2025-05-13T01:24:30.20" personId="{17EE120A-5A71-42B7-942F-B49066A95ECD}" id="{6B9E528C-0E23-4B7A-BE3C-0B4AF49041A3}" parentId="{E7FEFC0A-B0E1-4A8B-92B5-84CE006D4875}">
    <text>Pagamento falhou</text>
  </threadedComment>
  <threadedComment ref="C1695" dT="2025-05-09T01:32:43.32" personId="{17EE120A-5A71-42B7-942F-B49066A95ECD}" id="{CFAD8CA3-D5A3-4B7B-B1F0-B56791DEB1E6}">
    <text>Compra falhou</text>
  </threadedComment>
  <threadedComment ref="C1695" dT="2025-05-13T21:55:24.17" personId="{17EE120A-5A71-42B7-942F-B49066A95ECD}" id="{B7685D3E-B623-40CE-9BFD-F93CD77D1F3E}" parentId="{CFAD8CA3-D5A3-4B7B-B1F0-B56791DEB1E6}">
    <text>Cancelado</text>
  </threadedComment>
  <threadedComment ref="C1699" dT="2025-05-13T21:56:31.82" personId="{17EE120A-5A71-42B7-942F-B49066A95ECD}" id="{A1E1D9E5-4340-4E81-9483-EF8C21848AE4}">
    <text>Cancelado</text>
  </threadedComment>
  <threadedComment ref="C1699" dT="2025-05-13T22:36:29.00" personId="{17EE120A-5A71-42B7-942F-B49066A95ECD}" id="{F22DCEA4-EBBA-4FBA-85D2-240209EEE07D}" parentId="{A1E1D9E5-4340-4E81-9483-EF8C21848AE4}">
    <text>Cancelado</text>
  </threadedComment>
  <threadedComment ref="C1699" dT="2025-05-15T22:16:32.29" personId="{17EE120A-5A71-42B7-942F-B49066A95ECD}" id="{508FA566-474B-4178-8F05-C9BA2EE16B6C}" parentId="{A1E1D9E5-4340-4E81-9483-EF8C21848AE4}">
    <text>Cancelado</text>
  </threadedComment>
  <threadedComment ref="C1700" dT="2025-05-13T01:48:15.81" personId="{17EE120A-5A71-42B7-942F-B49066A95ECD}" id="{F6E9C8BF-ADCC-408F-B425-3267A4F6C882}">
    <text>Cancelado</text>
  </threadedComment>
  <threadedComment ref="C1700" dT="2025-05-14T22:23:34.22" personId="{17EE120A-5A71-42B7-942F-B49066A95ECD}" id="{D16D8CC6-2E16-40E5-B121-7B33B608D075}" parentId="{F6E9C8BF-ADCC-408F-B425-3267A4F6C882}">
    <text>Cancelado</text>
  </threadedComment>
  <threadedComment ref="C1700" dT="2025-05-14T23:07:53.76" personId="{17EE120A-5A71-42B7-942F-B49066A95ECD}" id="{116F0637-6118-45FC-A466-4E04D1514B90}" parentId="{F6E9C8BF-ADCC-408F-B425-3267A4F6C882}">
    <text>cANCELADO</text>
  </threadedComment>
  <threadedComment ref="C1701" dT="2025-05-14T22:23:57.60" personId="{17EE120A-5A71-42B7-942F-B49066A95ECD}" id="{B0EAE073-F5F6-4509-976B-F895CCD6F53C}">
    <text>Cancelado</text>
  </threadedComment>
  <threadedComment ref="C1701" dT="2025-05-14T23:12:14.87" personId="{17EE120A-5A71-42B7-942F-B49066A95ECD}" id="{4594F400-7266-41C3-85AC-AD97BCF08310}" parentId="{B0EAE073-F5F6-4509-976B-F895CCD6F53C}">
    <text>cANCELADO</text>
  </threadedComment>
  <threadedComment ref="C1702" dT="2025-05-13T23:05:03.53" personId="{17EE120A-5A71-42B7-942F-B49066A95ECD}" id="{8CE3A165-455A-4C1D-B262-E4B156AA3FE5}">
    <text>Compra falhou</text>
  </threadedComment>
  <threadedComment ref="C1702" dT="2025-05-14T23:22:01.75" personId="{17EE120A-5A71-42B7-942F-B49066A95ECD}" id="{23DCF2E4-754A-46D4-B924-D5C0A4294380}" parentId="{8CE3A165-455A-4C1D-B262-E4B156AA3FE5}">
    <text>Compra falhou</text>
  </threadedComment>
  <threadedComment ref="C1702" dT="2025-05-16T01:30:30.05" personId="{17EE120A-5A71-42B7-942F-B49066A95ECD}" id="{BA8C7985-5DCC-43F0-B000-DB96C9175B70}" parentId="{8CE3A165-455A-4C1D-B262-E4B156AA3FE5}">
    <text>COMPRA FALHOU</text>
  </threadedComment>
  <threadedComment ref="C1703" dT="2025-05-13T23:13:55.41" personId="{17EE120A-5A71-42B7-942F-B49066A95ECD}" id="{58CCBF07-D58E-4CF4-94F5-5CD2824AC0A0}">
    <text>Compra falhou</text>
  </threadedComment>
  <threadedComment ref="C1703" dT="2025-05-15T22:21:19.19" personId="{17EE120A-5A71-42B7-942F-B49066A95ECD}" id="{6EA3651E-608C-41F2-9C54-BDA91DDE6CFE}" parentId="{58CCBF07-D58E-4CF4-94F5-5CD2824AC0A0}">
    <text>Cancelado</text>
  </threadedComment>
  <threadedComment ref="C1703" dT="2025-05-16T01:42:04.12" personId="{17EE120A-5A71-42B7-942F-B49066A95ECD}" id="{92042416-CE5B-4FCC-8031-6358A5B0A426}" parentId="{58CCBF07-D58E-4CF4-94F5-5CD2824AC0A0}">
    <text>Compra falhou</text>
  </threadedComment>
  <threadedComment ref="C1704" dT="2025-05-15T22:21:41.16" personId="{17EE120A-5A71-42B7-942F-B49066A95ECD}" id="{CE76A650-4B1F-4948-8D41-878A6FC25579}">
    <text>Cancelado</text>
  </threadedComment>
  <threadedComment ref="C1704" dT="2025-05-16T01:46:10.90" personId="{17EE120A-5A71-42B7-942F-B49066A95ECD}" id="{B0194DDE-DF67-4A92-AB43-2ABF89F62CDA}" parentId="{CE76A650-4B1F-4948-8D41-878A6FC25579}">
    <text>Compra falhou</text>
  </threadedComment>
  <threadedComment ref="C1706" dT="2025-05-14T00:12:49.77" personId="{17EE120A-5A71-42B7-942F-B49066A95ECD}" id="{6BBEACD2-E23F-4DD2-B368-F9245E801F41}">
    <text xml:space="preserve">Caro
</text>
  </threadedComment>
  <threadedComment ref="C1709" dT="2025-05-15T22:24:31.17" personId="{17EE120A-5A71-42B7-942F-B49066A95ECD}" id="{7204A780-0A46-410F-9347-D1CF55750867}">
    <text>Cancelado</text>
  </threadedComment>
  <threadedComment ref="C1709" dT="2025-05-16T01:49:53.60" personId="{17EE120A-5A71-42B7-942F-B49066A95ECD}" id="{73523AD1-89A8-4CF6-9DFF-27EBDFE88754}" parentId="{7204A780-0A46-410F-9347-D1CF55750867}">
    <text>Cancelado</text>
  </threadedComment>
  <threadedComment ref="C1710" dT="2025-05-15T00:12:01.44" personId="{17EE120A-5A71-42B7-942F-B49066A95ECD}" id="{26BE40F6-018C-4050-BE5D-9F1958E35073}">
    <text>Compra falhou</text>
  </threadedComment>
  <threadedComment ref="C1710" dT="2025-05-16T01:54:10.52" personId="{17EE120A-5A71-42B7-942F-B49066A95ECD}" id="{080EC34A-ECB5-4598-8AEA-6B3D3FCD137B}" parentId="{26BE40F6-018C-4050-BE5D-9F1958E35073}">
    <text xml:space="preserve">Cancelado
</text>
  </threadedComment>
  <threadedComment ref="C1712" dT="2025-05-15T00:23:02.02" personId="{17EE120A-5A71-42B7-942F-B49066A95ECD}" id="{6F5BCB4E-1C06-4D78-B4CD-69E1903EA455}">
    <text>Cancelado</text>
  </threadedComment>
  <threadedComment ref="C1713" dT="2025-05-15T00:30:00.06" personId="{17EE120A-5A71-42B7-942F-B49066A95ECD}" id="{772BA615-B48D-479F-8218-B90044E17901}">
    <text>Cancelado</text>
  </threadedComment>
  <threadedComment ref="C1713" dT="2025-05-16T02:09:36.65" personId="{17EE120A-5A71-42B7-942F-B49066A95ECD}" id="{EE785BE6-0977-491E-BD65-25FB2B8EE688}" parentId="{772BA615-B48D-479F-8218-B90044E17901}">
    <text>Cancelado</text>
  </threadedComment>
  <threadedComment ref="C1714" dT="2025-05-15T22:24:59.75" personId="{17EE120A-5A71-42B7-942F-B49066A95ECD}" id="{D4AEB1C6-9401-4B8E-B4A6-2181440BA759}">
    <text>Cancelado</text>
  </threadedComment>
  <threadedComment ref="C1715" dT="2025-05-15T22:25:45.87" personId="{17EE120A-5A71-42B7-942F-B49066A95ECD}" id="{6C490219-532D-4FEF-90A2-CCC6A8F4160F}">
    <text>Cancelado</text>
  </threadedComment>
  <threadedComment ref="C1717" dT="2025-05-15T01:14:14.62" personId="{17EE120A-5A71-42B7-942F-B49066A95ECD}" id="{BABF0CF3-0F11-4CF5-8EEC-C0D3F7CF485B}">
    <text>Compra falhou</text>
  </threadedComment>
  <threadedComment ref="C1720" dT="2025-05-17T00:55:22.78" personId="{17EE120A-5A71-42B7-942F-B49066A95ECD}" id="{0E986000-0285-4369-B136-09DB1D007F04}">
    <text>Compra falhou</text>
  </threadedComment>
  <threadedComment ref="C1722" dT="2025-06-19T00:07:07.74" personId="{17EE120A-5A71-42B7-942F-B49066A95ECD}" id="{162EE430-100C-41A2-8E69-DD10D9FC868F}">
    <text>Ficou pra trás, sem reembolso</text>
  </threadedComment>
  <threadedComment ref="C1723" dT="2025-05-15T22:26:34.42" personId="{17EE120A-5A71-42B7-942F-B49066A95ECD}" id="{8D9C6F68-153B-4457-A1FE-C2BD7038A1A4}">
    <text>Cancelado</text>
  </threadedComment>
  <threadedComment ref="C1726" dT="2025-05-21T00:57:43.10" personId="{17EE120A-5A71-42B7-942F-B49066A95ECD}" id="{E857F3E6-B07E-44E4-BCDE-13189ABE5729}">
    <text>Compra falhou</text>
  </threadedComment>
  <threadedComment ref="C1729" dT="2025-06-19T00:07:11.89" personId="{17EE120A-5A71-42B7-942F-B49066A95ECD}" id="{5CFF2998-BC01-47A1-A098-BE9AEDE82D96}">
    <text>Ficou pra trás, sem reembolso</text>
  </threadedComment>
  <threadedComment ref="C1730" dT="2025-05-21T00:27:33.11" personId="{17EE120A-5A71-42B7-942F-B49066A95ECD}" id="{500472C3-DD5B-4758-92E0-2FE59A8DC16A}">
    <text>Cancelado</text>
  </threadedComment>
  <threadedComment ref="C1730" dT="2025-05-22T00:06:36.80" personId="{17EE120A-5A71-42B7-942F-B49066A95ECD}" id="{95C7425F-1DBE-49A5-829B-93DD1A099615}" parentId="{500472C3-DD5B-4758-92E0-2FE59A8DC16A}">
    <text>Cancelado</text>
  </threadedComment>
  <threadedComment ref="C1730" dT="2025-05-23T00:39:30.38" personId="{17EE120A-5A71-42B7-942F-B49066A95ECD}" id="{AF49F150-BE11-4DEF-8BFE-C2EDF73D7A2D}" parentId="{500472C3-DD5B-4758-92E0-2FE59A8DC16A}">
    <text xml:space="preserve">Cancelado
</text>
  </threadedComment>
  <threadedComment ref="C1730" dT="2025-05-26T22:06:31.27" personId="{17EE120A-5A71-42B7-942F-B49066A95ECD}" id="{5DBD90F9-C1F3-406C-B22E-096A67F563D3}" parentId="{500472C3-DD5B-4758-92E0-2FE59A8DC16A}">
    <text>Cancelado</text>
  </threadedComment>
  <threadedComment ref="C1731" dT="2025-05-20T01:28:31.00" personId="{17EE120A-5A71-42B7-942F-B49066A95ECD}" id="{BA83133A-B83C-4FF9-B02C-511C1AC41F3A}">
    <text>Compra falhou</text>
  </threadedComment>
  <threadedComment ref="C1732" dT="2025-05-22T00:07:33.28" personId="{17EE120A-5A71-42B7-942F-B49066A95ECD}" id="{519DB659-10A2-46C3-89C0-9190D6102EC3}">
    <text>Cancelado</text>
  </threadedComment>
  <threadedComment ref="C1732" dT="2025-05-23T00:40:07.86" personId="{17EE120A-5A71-42B7-942F-B49066A95ECD}" id="{2695F9EA-F7FB-45DE-8477-41283EECEB4C}" parentId="{519DB659-10A2-46C3-89C0-9190D6102EC3}">
    <text>Cancelado</text>
  </threadedComment>
  <threadedComment ref="C1734" dT="2025-05-23T00:40:46.60" personId="{17EE120A-5A71-42B7-942F-B49066A95ECD}" id="{7818ACC5-FAA2-4C6D-A8BC-23ED93DA1D38}">
    <text>Cancelado</text>
  </threadedComment>
  <threadedComment ref="C1735" dT="2025-05-22T01:46:07.62" personId="{17EE120A-5A71-42B7-942F-B49066A95ECD}" id="{1F0769D1-1DCE-43CC-997A-4113BBEFEB21}">
    <text xml:space="preserve">Conta bloqueada
</text>
  </threadedComment>
  <threadedComment ref="C1736" dT="2025-05-22T01:52:42.42" personId="{17EE120A-5A71-42B7-942F-B49066A95ECD}" id="{3829265D-646E-4EB7-918B-952D65B308D2}">
    <text>Conta bloqueada</text>
  </threadedComment>
  <threadedComment ref="C1740" dT="2025-06-19T00:07:15.53" personId="{17EE120A-5A71-42B7-942F-B49066A95ECD}" id="{5261CD28-C370-4166-9E2A-1A2264FF1190}">
    <text>Ficou pra trás, sem reembolso</text>
  </threadedComment>
  <threadedComment ref="C1746" dT="2025-06-19T00:07:18.91" personId="{17EE120A-5A71-42B7-942F-B49066A95ECD}" id="{E5439E12-129B-4F29-A42D-EE5D15474C60}">
    <text>Ficou pra trás, sem reembolso</text>
  </threadedComment>
  <threadedComment ref="C1760" dT="2025-06-07T02:18:32.92" personId="{17EE120A-5A71-42B7-942F-B49066A95ECD}" id="{58E89951-0287-4AA3-86B1-E1AC336F15C8}">
    <text>Aguardando cliente com o número da residência</text>
  </threadedComment>
  <threadedComment ref="C1770" dT="2025-06-12T00:12:29.44" personId="{17EE120A-5A71-42B7-942F-B49066A95ECD}" id="{EFBAEDBA-7819-4506-AB52-356EEBB3C07D}">
    <text>Compra falhou</text>
  </threadedComment>
  <threadedComment ref="C1773" dT="2025-06-12T00:12:21.05" personId="{17EE120A-5A71-42B7-942F-B49066A95ECD}" id="{F500CE48-2B83-42E7-8D90-FBB47AD45F21}">
    <text>Falta Número</text>
  </threadedComment>
  <threadedComment ref="C1774" dT="2025-06-12T00:12:37.80" personId="{17EE120A-5A71-42B7-942F-B49066A95ECD}" id="{85FC7C23-A988-4667-A59A-B08CEB63A133}">
    <text>Compra falhou</text>
  </threadedComment>
  <threadedComment ref="C1775" dT="2025-06-13T21:59:51.51" personId="{17EE120A-5A71-42B7-942F-B49066A95ECD}" id="{F2169041-68DB-4B52-B6AB-5D59729105B0}">
    <text>Ficou caro</text>
  </threadedComment>
  <threadedComment ref="C1826" dT="2025-06-30T21:44:34.87" personId="{17EE120A-5A71-42B7-942F-B49066A95ECD}" id="{B8E0D7AD-46D6-4DC7-AEE3-77C3F1B09557}">
    <text>Pedi errado</text>
  </threadedComment>
  <threadedComment ref="C1830" dT="2025-06-30T21:47:03.05" personId="{17EE120A-5A71-42B7-942F-B49066A95ECD}" id="{AC735E85-846C-4C16-A195-499CE96A5BD0}">
    <text>Pedi errado</text>
  </threadedComment>
  <threadedComment ref="C1834" dT="2025-06-30T21:48:46.73" personId="{17EE120A-5A71-42B7-942F-B49066A95ECD}" id="{D112570E-A8AF-4F52-8355-AE1C6D1EF69F}">
    <text>Cancelado</text>
  </threadedComment>
  <threadedComment ref="C1835" dT="2025-06-30T21:49:33.59" personId="{17EE120A-5A71-42B7-942F-B49066A95ECD}" id="{FD1FD00A-40E1-4FA7-8D1E-3FCA25CD2346}">
    <text>Cancelado</text>
  </threadedComment>
  <threadedComment ref="C1843" dT="2025-06-30T21:52:42.73" personId="{17EE120A-5A71-42B7-942F-B49066A95ECD}" id="{3A0168FA-F7B2-4F74-8C57-0C37FD49D79B}">
    <text>Cancelado</text>
  </threadedComment>
  <threadedComment ref="C1847" dT="2025-06-30T21:56:00.91" personId="{17EE120A-5A71-42B7-942F-B49066A95ECD}" id="{175A0FEF-4B3A-42E6-9F10-6CE417FD65A1}">
    <text>Cancelado</text>
  </threadedComment>
  <threadedComment ref="C1860" dT="2025-07-03T23:01:09.90" personId="{17EE120A-5A71-42B7-942F-B49066A95ECD}" id="{5C5C8CE0-038B-43CF-813B-A4BB5D948F4A}">
    <text>Cancelado</text>
  </threadedComment>
  <threadedComment ref="C1861" dT="2025-07-03T23:01:54.76" personId="{17EE120A-5A71-42B7-942F-B49066A95ECD}" id="{70387120-5AA3-4992-87A7-FD6C3CCB35B6}">
    <text>Cancelado</text>
  </threadedComment>
  <threadedComment ref="C1863" dT="2025-07-03T23:03:08.26" personId="{17EE120A-5A71-42B7-942F-B49066A95ECD}" id="{45EBBFC3-40A1-4149-96A7-D386177C4669}">
    <text>Cancelado</text>
  </threadedComment>
  <threadedComment ref="C1959" dT="2025-07-18T02:47:38.93" personId="{17EE120A-5A71-42B7-942F-B49066A95ECD}" id="{633F43DE-D691-45F4-B092-A9FC239FBAF7}">
    <text>Mto Caro</text>
  </threadedComment>
  <threadedComment ref="C1962" dT="2025-07-18T02:51:22.50" personId="{17EE120A-5A71-42B7-942F-B49066A95ECD}" id="{44C72B9E-FF05-4E6F-8F59-71559C9E1E80}">
    <text>Mto caro</text>
  </threadedComment>
  <threadedComment ref="C1979" dT="2025-07-16T23:43:35.37" personId="{17EE120A-5A71-42B7-942F-B49066A95ECD}" id="{683B4453-CD5F-48FB-B7A1-7BDF2968582A}">
    <text>CPF inválido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D555396-91AB-4286-BF6F-65B60A68AAD5}">
  <we:reference id="wa200003696" version="1.3.0.0" store="pt-BR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8C95418-3A41-4F26-9D04-9D55E728EDF3}">
  <we:reference id="wa104381637" version="1.0.0.0" store="pt-BR" storeType="OMEX"/>
  <we:alternateReferences>
    <we:reference id="WA104381637" version="1.0.0.0" store="WA10438163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5B03-13A7-427F-99D2-D56ADF67FB43}">
  <dimension ref="A1:A52"/>
  <sheetViews>
    <sheetView showGridLines="0" tabSelected="1" workbookViewId="0">
      <selection activeCell="K6" sqref="K6"/>
    </sheetView>
  </sheetViews>
  <sheetFormatPr defaultRowHeight="15"/>
  <sheetData>
    <row r="1" spans="1:1">
      <c r="A1" s="233" t="s">
        <v>19466</v>
      </c>
    </row>
    <row r="2" spans="1:1">
      <c r="A2" t="s">
        <v>19467</v>
      </c>
    </row>
    <row r="4" spans="1:1">
      <c r="A4" s="233" t="s">
        <v>19468</v>
      </c>
    </row>
    <row r="5" spans="1:1">
      <c r="A5" t="s">
        <v>19469</v>
      </c>
    </row>
    <row r="6" spans="1:1">
      <c r="A6" t="s">
        <v>19470</v>
      </c>
    </row>
    <row r="8" spans="1:1">
      <c r="A8" t="s">
        <v>19471</v>
      </c>
    </row>
    <row r="10" spans="1:1">
      <c r="A10" t="s">
        <v>19472</v>
      </c>
    </row>
    <row r="11" spans="1:1">
      <c r="A11" t="s">
        <v>19473</v>
      </c>
    </row>
    <row r="13" spans="1:1">
      <c r="A13" s="233" t="s">
        <v>19474</v>
      </c>
    </row>
    <row r="14" spans="1:1">
      <c r="A14" t="s">
        <v>19475</v>
      </c>
    </row>
    <row r="15" spans="1:1">
      <c r="A15" s="234"/>
    </row>
    <row r="16" spans="1:1">
      <c r="A16" s="235" t="s">
        <v>19476</v>
      </c>
    </row>
    <row r="17" spans="1:1">
      <c r="A17" s="235" t="s">
        <v>19477</v>
      </c>
    </row>
    <row r="19" spans="1:1">
      <c r="A19" t="s">
        <v>19478</v>
      </c>
    </row>
    <row r="21" spans="1:1">
      <c r="A21" s="233" t="s">
        <v>19479</v>
      </c>
    </row>
    <row r="22" spans="1:1">
      <c r="A22" s="234"/>
    </row>
    <row r="23" spans="1:1">
      <c r="A23" s="234" t="s">
        <v>19480</v>
      </c>
    </row>
    <row r="24" spans="1:1">
      <c r="A24" s="234" t="s">
        <v>19481</v>
      </c>
    </row>
    <row r="25" spans="1:1">
      <c r="A25" s="234" t="s">
        <v>19482</v>
      </c>
    </row>
    <row r="26" spans="1:1">
      <c r="A26" s="234" t="s">
        <v>19483</v>
      </c>
    </row>
    <row r="27" spans="1:1">
      <c r="A27" s="234" t="s">
        <v>19484</v>
      </c>
    </row>
    <row r="28" spans="1:1">
      <c r="A28" s="234" t="s">
        <v>19485</v>
      </c>
    </row>
    <row r="29" spans="1:1">
      <c r="A29" s="234" t="s">
        <v>19486</v>
      </c>
    </row>
    <row r="30" spans="1:1">
      <c r="A30" s="234" t="s">
        <v>19487</v>
      </c>
    </row>
    <row r="32" spans="1:1">
      <c r="A32" s="233" t="s">
        <v>19488</v>
      </c>
    </row>
    <row r="33" spans="1:1">
      <c r="A33" s="234"/>
    </row>
    <row r="34" spans="1:1">
      <c r="A34" s="235" t="s">
        <v>19489</v>
      </c>
    </row>
    <row r="35" spans="1:1">
      <c r="A35" s="235" t="s">
        <v>19490</v>
      </c>
    </row>
    <row r="36" spans="1:1">
      <c r="A36" s="235" t="s">
        <v>19491</v>
      </c>
    </row>
    <row r="37" spans="1:1">
      <c r="A37" s="235" t="s">
        <v>19492</v>
      </c>
    </row>
    <row r="38" spans="1:1">
      <c r="A38" s="235" t="s">
        <v>19493</v>
      </c>
    </row>
    <row r="39" spans="1:1">
      <c r="A39" s="235" t="s">
        <v>19494</v>
      </c>
    </row>
    <row r="40" spans="1:1">
      <c r="A40" s="235" t="s">
        <v>19495</v>
      </c>
    </row>
    <row r="41" spans="1:1">
      <c r="A41" s="235" t="s">
        <v>19496</v>
      </c>
    </row>
    <row r="42" spans="1:1">
      <c r="A42" s="235" t="s">
        <v>19497</v>
      </c>
    </row>
    <row r="44" spans="1:1">
      <c r="A44" s="233" t="s">
        <v>19498</v>
      </c>
    </row>
    <row r="45" spans="1:1">
      <c r="A45" s="234"/>
    </row>
    <row r="46" spans="1:1">
      <c r="A46" s="234" t="s">
        <v>19499</v>
      </c>
    </row>
    <row r="47" spans="1:1">
      <c r="A47" s="234" t="s">
        <v>19500</v>
      </c>
    </row>
    <row r="48" spans="1:1">
      <c r="A48" s="234" t="s">
        <v>19501</v>
      </c>
    </row>
    <row r="49" spans="1:1">
      <c r="A49" s="234" t="s">
        <v>19502</v>
      </c>
    </row>
    <row r="51" spans="1:1">
      <c r="A51" s="233" t="s">
        <v>19503</v>
      </c>
    </row>
    <row r="52" spans="1:1">
      <c r="A52" t="s">
        <v>19504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8C68-62D3-45E9-BA15-E574F3299C53}">
  <dimension ref="A4:T2126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RowHeight="15"/>
  <cols>
    <col min="1" max="1" width="13.140625" bestFit="1" customWidth="1"/>
    <col min="2" max="2" width="34.42578125" bestFit="1" customWidth="1"/>
    <col min="3" max="3" width="14.140625" style="142" bestFit="1" customWidth="1"/>
    <col min="4" max="4" width="15" style="142" bestFit="1" customWidth="1"/>
    <col min="5" max="5" width="22.7109375" customWidth="1"/>
    <col min="6" max="6" width="20.42578125" bestFit="1" customWidth="1"/>
    <col min="7" max="7" width="35.28515625" bestFit="1" customWidth="1"/>
    <col min="8" max="8" width="32.140625" bestFit="1" customWidth="1"/>
    <col min="9" max="9" width="6.5703125" bestFit="1" customWidth="1"/>
    <col min="10" max="10" width="13" style="52" bestFit="1" customWidth="1"/>
    <col min="11" max="11" width="15" style="52" bestFit="1" customWidth="1"/>
    <col min="12" max="12" width="18.28515625" style="52" customWidth="1"/>
    <col min="13" max="14" width="12.85546875" style="52" bestFit="1" customWidth="1"/>
    <col min="15" max="15" width="23.85546875" style="52" bestFit="1" customWidth="1"/>
    <col min="16" max="16" width="18.28515625" bestFit="1" customWidth="1"/>
    <col min="17" max="17" width="15.5703125" style="142" bestFit="1" customWidth="1"/>
    <col min="18" max="18" width="16.7109375" style="13" bestFit="1" customWidth="1"/>
    <col min="19" max="19" width="18" style="13" bestFit="1" customWidth="1"/>
    <col min="20" max="20" width="9.5703125" style="13" bestFit="1" customWidth="1"/>
  </cols>
  <sheetData>
    <row r="4" spans="1:20">
      <c r="A4" s="5" t="s">
        <v>1</v>
      </c>
      <c r="B4" s="5" t="s">
        <v>1012</v>
      </c>
      <c r="C4" s="4" t="s">
        <v>4</v>
      </c>
      <c r="D4" s="201" t="s">
        <v>5</v>
      </c>
      <c r="E4" s="202" t="s">
        <v>1017</v>
      </c>
      <c r="F4" s="202" t="s">
        <v>1020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4" t="s">
        <v>15</v>
      </c>
      <c r="Q4" s="15" t="s">
        <v>1026</v>
      </c>
      <c r="R4" s="15" t="s">
        <v>16</v>
      </c>
      <c r="S4" s="15" t="s">
        <v>19</v>
      </c>
      <c r="T4"/>
    </row>
    <row r="5" spans="1:20">
      <c r="A5" s="5" t="s">
        <v>36</v>
      </c>
      <c r="B5" s="5" t="s">
        <v>13344</v>
      </c>
      <c r="C5" s="4">
        <v>45627</v>
      </c>
      <c r="D5" s="4" t="s">
        <v>37</v>
      </c>
      <c r="E5" s="5" t="s">
        <v>37</v>
      </c>
      <c r="F5" s="5" t="s">
        <v>37</v>
      </c>
      <c r="G5" s="5" t="s">
        <v>824</v>
      </c>
      <c r="H5" s="5">
        <v>1</v>
      </c>
      <c r="I5" s="8" t="s">
        <v>7193</v>
      </c>
      <c r="J5" s="8" t="s">
        <v>7191</v>
      </c>
      <c r="K5" s="8" t="s">
        <v>1039</v>
      </c>
      <c r="L5" s="8" t="s">
        <v>11293</v>
      </c>
      <c r="M5" s="8" t="s">
        <v>3091</v>
      </c>
      <c r="N5" s="8" t="s">
        <v>5140</v>
      </c>
      <c r="O5" s="5" t="s">
        <v>38</v>
      </c>
      <c r="P5" s="4">
        <v>45639</v>
      </c>
      <c r="Q5" s="15">
        <v>14.8</v>
      </c>
      <c r="R5" s="15">
        <v>0</v>
      </c>
      <c r="S5" s="15">
        <v>0</v>
      </c>
      <c r="T5"/>
    </row>
    <row r="6" spans="1:20">
      <c r="A6" s="5" t="s">
        <v>36</v>
      </c>
      <c r="B6" s="5" t="s">
        <v>13345</v>
      </c>
      <c r="C6" s="4">
        <v>45627</v>
      </c>
      <c r="D6" s="4" t="s">
        <v>37</v>
      </c>
      <c r="E6" s="5" t="s">
        <v>37</v>
      </c>
      <c r="F6" s="5" t="s">
        <v>37</v>
      </c>
      <c r="G6" s="5" t="s">
        <v>824</v>
      </c>
      <c r="H6" s="5">
        <v>1</v>
      </c>
      <c r="I6" s="8" t="s">
        <v>7194</v>
      </c>
      <c r="J6" s="8" t="s">
        <v>7192</v>
      </c>
      <c r="K6" s="8" t="s">
        <v>1040</v>
      </c>
      <c r="L6" s="8" t="s">
        <v>11294</v>
      </c>
      <c r="M6" s="8" t="s">
        <v>3093</v>
      </c>
      <c r="N6" s="8" t="s">
        <v>5141</v>
      </c>
      <c r="O6" s="5" t="s">
        <v>38</v>
      </c>
      <c r="P6" s="4">
        <v>45638</v>
      </c>
      <c r="Q6" s="15">
        <v>14.8</v>
      </c>
      <c r="R6" s="15">
        <v>0</v>
      </c>
      <c r="S6" s="15">
        <v>0</v>
      </c>
      <c r="T6"/>
    </row>
    <row r="7" spans="1:20">
      <c r="A7" s="5" t="s">
        <v>36</v>
      </c>
      <c r="B7" s="5" t="s">
        <v>13346</v>
      </c>
      <c r="C7" s="4">
        <v>45627</v>
      </c>
      <c r="D7" s="4" t="s">
        <v>37</v>
      </c>
      <c r="E7" s="5" t="s">
        <v>37</v>
      </c>
      <c r="F7" s="5" t="s">
        <v>37</v>
      </c>
      <c r="G7" s="5" t="s">
        <v>817</v>
      </c>
      <c r="H7" s="5">
        <v>1</v>
      </c>
      <c r="I7" s="8" t="s">
        <v>7195</v>
      </c>
      <c r="J7" s="8" t="s">
        <v>9244</v>
      </c>
      <c r="K7" s="8" t="s">
        <v>1042</v>
      </c>
      <c r="L7" s="8" t="s">
        <v>11295</v>
      </c>
      <c r="M7" s="8" t="s">
        <v>3092</v>
      </c>
      <c r="N7" s="8" t="s">
        <v>5142</v>
      </c>
      <c r="O7" s="5" t="s">
        <v>39</v>
      </c>
      <c r="P7" s="4">
        <v>45622</v>
      </c>
      <c r="Q7" s="15">
        <v>30.99</v>
      </c>
      <c r="R7" s="15">
        <v>0</v>
      </c>
      <c r="S7" s="15">
        <v>0</v>
      </c>
      <c r="T7"/>
    </row>
    <row r="8" spans="1:20">
      <c r="A8" s="5" t="s">
        <v>36</v>
      </c>
      <c r="B8" s="5" t="s">
        <v>13347</v>
      </c>
      <c r="C8" s="4">
        <v>45627</v>
      </c>
      <c r="D8" s="4" t="s">
        <v>37</v>
      </c>
      <c r="E8" s="5" t="s">
        <v>37</v>
      </c>
      <c r="F8" s="5" t="s">
        <v>37</v>
      </c>
      <c r="G8" s="5" t="s">
        <v>829</v>
      </c>
      <c r="H8" s="5">
        <v>1</v>
      </c>
      <c r="I8" s="8" t="s">
        <v>7196</v>
      </c>
      <c r="J8" s="8" t="s">
        <v>9245</v>
      </c>
      <c r="K8" s="8" t="s">
        <v>1043</v>
      </c>
      <c r="L8" s="8" t="s">
        <v>11296</v>
      </c>
      <c r="M8" s="8" t="s">
        <v>3090</v>
      </c>
      <c r="N8" s="8" t="s">
        <v>5143</v>
      </c>
      <c r="O8" s="5" t="s">
        <v>40</v>
      </c>
      <c r="P8" s="4">
        <v>45626</v>
      </c>
      <c r="Q8" s="15">
        <v>16.5</v>
      </c>
      <c r="R8" s="15">
        <v>0</v>
      </c>
      <c r="S8" s="15">
        <v>0</v>
      </c>
      <c r="T8"/>
    </row>
    <row r="9" spans="1:20">
      <c r="A9" s="5" t="s">
        <v>36</v>
      </c>
      <c r="B9" s="5" t="s">
        <v>13348</v>
      </c>
      <c r="C9" s="4">
        <v>45627</v>
      </c>
      <c r="D9" s="4" t="s">
        <v>37</v>
      </c>
      <c r="E9" s="5" t="s">
        <v>37</v>
      </c>
      <c r="F9" s="5" t="s">
        <v>37</v>
      </c>
      <c r="G9" s="5" t="s">
        <v>829</v>
      </c>
      <c r="H9" s="5">
        <v>1</v>
      </c>
      <c r="I9" s="8" t="s">
        <v>7197</v>
      </c>
      <c r="J9" s="8" t="s">
        <v>9246</v>
      </c>
      <c r="K9" s="8" t="s">
        <v>1044</v>
      </c>
      <c r="L9" s="8" t="s">
        <v>11297</v>
      </c>
      <c r="M9" s="8" t="s">
        <v>89</v>
      </c>
      <c r="N9" s="8" t="s">
        <v>5144</v>
      </c>
      <c r="O9" s="5" t="s">
        <v>40</v>
      </c>
      <c r="P9" s="4">
        <v>45605</v>
      </c>
      <c r="Q9" s="15">
        <v>16.989999999999998</v>
      </c>
      <c r="R9" s="15">
        <v>0</v>
      </c>
      <c r="S9" s="15">
        <v>0</v>
      </c>
      <c r="T9"/>
    </row>
    <row r="10" spans="1:20">
      <c r="A10" s="5" t="s">
        <v>36</v>
      </c>
      <c r="B10" s="5" t="s">
        <v>13349</v>
      </c>
      <c r="C10" s="4">
        <v>45627</v>
      </c>
      <c r="D10" s="4" t="s">
        <v>37</v>
      </c>
      <c r="E10" s="5" t="s">
        <v>37</v>
      </c>
      <c r="F10" s="5" t="s">
        <v>37</v>
      </c>
      <c r="G10" s="5" t="s">
        <v>817</v>
      </c>
      <c r="H10" s="5">
        <v>1</v>
      </c>
      <c r="I10" s="8" t="s">
        <v>7198</v>
      </c>
      <c r="J10" s="8" t="s">
        <v>9247</v>
      </c>
      <c r="K10" s="8" t="s">
        <v>1041</v>
      </c>
      <c r="L10" s="8" t="s">
        <v>11298</v>
      </c>
      <c r="M10" s="8" t="s">
        <v>3094</v>
      </c>
      <c r="N10" s="8" t="s">
        <v>5145</v>
      </c>
      <c r="O10" s="5" t="s">
        <v>39</v>
      </c>
      <c r="P10" s="4">
        <v>45610</v>
      </c>
      <c r="Q10" s="15">
        <v>31.99</v>
      </c>
      <c r="R10" s="15">
        <v>0</v>
      </c>
      <c r="S10" s="15">
        <v>0</v>
      </c>
      <c r="T10"/>
    </row>
    <row r="11" spans="1:20">
      <c r="A11" s="5" t="s">
        <v>36</v>
      </c>
      <c r="B11" s="5" t="s">
        <v>13350</v>
      </c>
      <c r="C11" s="4">
        <v>45627</v>
      </c>
      <c r="D11" s="4" t="s">
        <v>37</v>
      </c>
      <c r="E11" s="5" t="s">
        <v>37</v>
      </c>
      <c r="F11" s="5" t="s">
        <v>37</v>
      </c>
      <c r="G11" s="5" t="s">
        <v>831</v>
      </c>
      <c r="H11" s="5">
        <v>1</v>
      </c>
      <c r="I11" s="8" t="s">
        <v>7199</v>
      </c>
      <c r="J11" s="8" t="s">
        <v>9248</v>
      </c>
      <c r="K11" s="8" t="s">
        <v>1045</v>
      </c>
      <c r="L11" s="8" t="s">
        <v>11299</v>
      </c>
      <c r="M11" s="8" t="s">
        <v>3095</v>
      </c>
      <c r="N11" s="8" t="s">
        <v>5146</v>
      </c>
      <c r="O11" s="5" t="s">
        <v>41</v>
      </c>
      <c r="P11" s="4">
        <v>45610</v>
      </c>
      <c r="Q11" s="15">
        <v>59.99</v>
      </c>
      <c r="R11" s="15">
        <v>0</v>
      </c>
      <c r="S11" s="15">
        <v>0</v>
      </c>
      <c r="T11"/>
    </row>
    <row r="12" spans="1:20">
      <c r="A12" s="5" t="s">
        <v>36</v>
      </c>
      <c r="B12" s="5" t="s">
        <v>13351</v>
      </c>
      <c r="C12" s="4">
        <v>45627</v>
      </c>
      <c r="D12" s="4" t="s">
        <v>37</v>
      </c>
      <c r="E12" s="5" t="s">
        <v>37</v>
      </c>
      <c r="F12" s="5" t="s">
        <v>37</v>
      </c>
      <c r="G12" s="5" t="s">
        <v>817</v>
      </c>
      <c r="H12" s="5">
        <v>1</v>
      </c>
      <c r="I12" s="8" t="s">
        <v>7200</v>
      </c>
      <c r="J12" s="8" t="s">
        <v>9249</v>
      </c>
      <c r="K12" s="8" t="s">
        <v>1046</v>
      </c>
      <c r="L12" s="8" t="s">
        <v>11300</v>
      </c>
      <c r="M12" s="8" t="s">
        <v>3096</v>
      </c>
      <c r="N12" s="8" t="s">
        <v>5147</v>
      </c>
      <c r="O12" s="5" t="s">
        <v>39</v>
      </c>
      <c r="P12" s="4">
        <v>45602</v>
      </c>
      <c r="Q12" s="15">
        <v>26.99</v>
      </c>
      <c r="R12" s="15">
        <v>0</v>
      </c>
      <c r="S12" s="15">
        <v>0</v>
      </c>
      <c r="T12"/>
    </row>
    <row r="13" spans="1:20">
      <c r="A13" s="5" t="s">
        <v>36</v>
      </c>
      <c r="B13" s="5" t="s">
        <v>13352</v>
      </c>
      <c r="C13" s="4">
        <v>45627</v>
      </c>
      <c r="D13" s="4" t="s">
        <v>37</v>
      </c>
      <c r="E13" s="5" t="s">
        <v>37</v>
      </c>
      <c r="F13" s="5" t="s">
        <v>37</v>
      </c>
      <c r="G13" s="5" t="s">
        <v>824</v>
      </c>
      <c r="H13" s="5">
        <v>1</v>
      </c>
      <c r="I13" s="8" t="s">
        <v>7201</v>
      </c>
      <c r="J13" s="8" t="s">
        <v>9250</v>
      </c>
      <c r="K13" s="8" t="s">
        <v>1047</v>
      </c>
      <c r="L13" s="8" t="s">
        <v>11301</v>
      </c>
      <c r="M13" s="8" t="s">
        <v>3097</v>
      </c>
      <c r="N13" s="8" t="s">
        <v>5148</v>
      </c>
      <c r="O13" s="5" t="s">
        <v>38</v>
      </c>
      <c r="P13" s="4">
        <v>45611</v>
      </c>
      <c r="Q13" s="15">
        <v>14.99</v>
      </c>
      <c r="R13" s="15">
        <v>0</v>
      </c>
      <c r="S13" s="15">
        <v>0</v>
      </c>
      <c r="T13"/>
    </row>
    <row r="14" spans="1:20">
      <c r="A14" s="5" t="s">
        <v>36</v>
      </c>
      <c r="B14" s="5" t="s">
        <v>13353</v>
      </c>
      <c r="C14" s="4">
        <f>Controle_Pedidos[[#This Row],[Data Compra]]</f>
        <v>45585</v>
      </c>
      <c r="D14" s="4">
        <v>45585</v>
      </c>
      <c r="E14" s="5" t="s">
        <v>15452</v>
      </c>
      <c r="F14" s="5" t="s">
        <v>17443</v>
      </c>
      <c r="G14" s="5" t="s">
        <v>824</v>
      </c>
      <c r="H14" s="5">
        <v>1</v>
      </c>
      <c r="I14" s="8" t="s">
        <v>7202</v>
      </c>
      <c r="J14" s="8" t="s">
        <v>9251</v>
      </c>
      <c r="K14" s="8" t="s">
        <v>1048</v>
      </c>
      <c r="L14" s="8" t="s">
        <v>11302</v>
      </c>
      <c r="M14" s="8" t="s">
        <v>3098</v>
      </c>
      <c r="N14" s="8" t="s">
        <v>5149</v>
      </c>
      <c r="O14" s="5" t="s">
        <v>38</v>
      </c>
      <c r="P14" s="4">
        <v>45601</v>
      </c>
      <c r="Q14" s="15">
        <v>14.99</v>
      </c>
      <c r="R14" s="15">
        <v>4.99</v>
      </c>
      <c r="S14" s="15">
        <v>0</v>
      </c>
      <c r="T14"/>
    </row>
    <row r="15" spans="1:20">
      <c r="A15" s="5" t="s">
        <v>36</v>
      </c>
      <c r="B15" s="5" t="s">
        <v>13354</v>
      </c>
      <c r="C15" s="4">
        <f>Controle_Pedidos[[#This Row],[Data Compra]]</f>
        <v>45586</v>
      </c>
      <c r="D15" s="4">
        <v>45586</v>
      </c>
      <c r="E15" s="5" t="s">
        <v>15453</v>
      </c>
      <c r="F15" s="5" t="s">
        <v>17444</v>
      </c>
      <c r="G15" s="5" t="s">
        <v>826</v>
      </c>
      <c r="H15" s="5">
        <v>1</v>
      </c>
      <c r="I15" s="8" t="s">
        <v>7203</v>
      </c>
      <c r="J15" s="8" t="s">
        <v>9252</v>
      </c>
      <c r="K15" s="8" t="s">
        <v>1049</v>
      </c>
      <c r="L15" s="8" t="s">
        <v>11303</v>
      </c>
      <c r="M15" s="8" t="s">
        <v>3099</v>
      </c>
      <c r="N15" s="8" t="s">
        <v>5150</v>
      </c>
      <c r="O15" s="5" t="s">
        <v>42</v>
      </c>
      <c r="P15" s="4">
        <v>45598</v>
      </c>
      <c r="Q15" s="15">
        <v>14.99</v>
      </c>
      <c r="R15" s="15">
        <v>4.99</v>
      </c>
      <c r="S15" s="15">
        <v>0</v>
      </c>
      <c r="T15"/>
    </row>
    <row r="16" spans="1:20">
      <c r="A16" s="5" t="s">
        <v>36</v>
      </c>
      <c r="B16" s="5" t="s">
        <v>13355</v>
      </c>
      <c r="C16" s="4">
        <f>Controle_Pedidos[[#This Row],[Data Compra]]</f>
        <v>45586</v>
      </c>
      <c r="D16" s="4">
        <v>45586</v>
      </c>
      <c r="E16" s="5" t="s">
        <v>15454</v>
      </c>
      <c r="F16" s="5" t="s">
        <v>17445</v>
      </c>
      <c r="G16" s="5" t="s">
        <v>824</v>
      </c>
      <c r="H16" s="5">
        <v>1</v>
      </c>
      <c r="I16" s="8" t="s">
        <v>7204</v>
      </c>
      <c r="J16" s="8" t="s">
        <v>9253</v>
      </c>
      <c r="K16" s="8" t="s">
        <v>1050</v>
      </c>
      <c r="L16" s="8" t="s">
        <v>11304</v>
      </c>
      <c r="M16" s="8" t="s">
        <v>3100</v>
      </c>
      <c r="N16" s="8" t="s">
        <v>5151</v>
      </c>
      <c r="O16" s="5" t="s">
        <v>38</v>
      </c>
      <c r="P16" s="4">
        <v>45604</v>
      </c>
      <c r="Q16" s="15">
        <v>14.99</v>
      </c>
      <c r="R16" s="15">
        <v>4.99</v>
      </c>
      <c r="S16" s="15">
        <v>0</v>
      </c>
      <c r="T16"/>
    </row>
    <row r="17" spans="1:20">
      <c r="A17" s="5" t="s">
        <v>36</v>
      </c>
      <c r="B17" s="5" t="s">
        <v>13356</v>
      </c>
      <c r="C17" s="4">
        <f>Controle_Pedidos[[#This Row],[Data Compra]]</f>
        <v>45586</v>
      </c>
      <c r="D17" s="4">
        <v>45586</v>
      </c>
      <c r="E17" s="5" t="s">
        <v>15455</v>
      </c>
      <c r="F17" s="5" t="s">
        <v>17446</v>
      </c>
      <c r="G17" s="5" t="s">
        <v>826</v>
      </c>
      <c r="H17" s="5">
        <v>1</v>
      </c>
      <c r="I17" s="8" t="s">
        <v>7205</v>
      </c>
      <c r="J17" s="8" t="s">
        <v>9254</v>
      </c>
      <c r="K17" s="8" t="s">
        <v>1051</v>
      </c>
      <c r="L17" s="8" t="s">
        <v>11305</v>
      </c>
      <c r="M17" s="8" t="s">
        <v>3101</v>
      </c>
      <c r="N17" s="8" t="s">
        <v>5152</v>
      </c>
      <c r="O17" s="5" t="s">
        <v>42</v>
      </c>
      <c r="P17" s="4">
        <v>45598</v>
      </c>
      <c r="Q17" s="15">
        <v>14.99</v>
      </c>
      <c r="R17" s="15">
        <v>4.99</v>
      </c>
      <c r="S17" s="15">
        <v>0</v>
      </c>
      <c r="T17"/>
    </row>
    <row r="18" spans="1:20">
      <c r="A18" s="5" t="s">
        <v>36</v>
      </c>
      <c r="B18" s="5" t="s">
        <v>13357</v>
      </c>
      <c r="C18" s="4">
        <f>Controle_Pedidos[[#This Row],[Data Compra]]</f>
        <v>45586</v>
      </c>
      <c r="D18" s="4">
        <v>45586</v>
      </c>
      <c r="E18" s="5" t="s">
        <v>15456</v>
      </c>
      <c r="F18" s="5" t="s">
        <v>17447</v>
      </c>
      <c r="G18" s="5" t="s">
        <v>826</v>
      </c>
      <c r="H18" s="5">
        <v>1</v>
      </c>
      <c r="I18" s="8" t="s">
        <v>7206</v>
      </c>
      <c r="J18" s="8" t="s">
        <v>9255</v>
      </c>
      <c r="K18" s="8" t="s">
        <v>1052</v>
      </c>
      <c r="L18" s="8" t="s">
        <v>11306</v>
      </c>
      <c r="M18" s="8" t="s">
        <v>3102</v>
      </c>
      <c r="N18" s="8" t="s">
        <v>5153</v>
      </c>
      <c r="O18" s="5" t="s">
        <v>42</v>
      </c>
      <c r="P18" s="4">
        <v>45610</v>
      </c>
      <c r="Q18" s="15">
        <v>14.99</v>
      </c>
      <c r="R18" s="15">
        <v>4.99</v>
      </c>
      <c r="S18" s="15">
        <v>0</v>
      </c>
      <c r="T18"/>
    </row>
    <row r="19" spans="1:20">
      <c r="A19" s="5" t="s">
        <v>36</v>
      </c>
      <c r="B19" s="5" t="s">
        <v>13358</v>
      </c>
      <c r="C19" s="4">
        <f>Controle_Pedidos[[#This Row],[Data Compra]]</f>
        <v>45586</v>
      </c>
      <c r="D19" s="4">
        <v>45586</v>
      </c>
      <c r="E19" s="5" t="s">
        <v>15457</v>
      </c>
      <c r="F19" s="5" t="s">
        <v>17448</v>
      </c>
      <c r="G19" s="5" t="s">
        <v>829</v>
      </c>
      <c r="H19" s="5">
        <v>1</v>
      </c>
      <c r="I19" s="8" t="s">
        <v>7207</v>
      </c>
      <c r="J19" s="8" t="s">
        <v>9256</v>
      </c>
      <c r="K19" s="8" t="s">
        <v>1053</v>
      </c>
      <c r="L19" s="8" t="s">
        <v>11307</v>
      </c>
      <c r="M19" s="8" t="s">
        <v>3103</v>
      </c>
      <c r="N19" s="8" t="s">
        <v>5154</v>
      </c>
      <c r="O19" s="5" t="s">
        <v>40</v>
      </c>
      <c r="P19" s="4">
        <v>45610</v>
      </c>
      <c r="Q19" s="15">
        <v>17.329999999999998</v>
      </c>
      <c r="R19" s="15">
        <v>6.46</v>
      </c>
      <c r="S19" s="15">
        <v>0</v>
      </c>
      <c r="T19"/>
    </row>
    <row r="20" spans="1:20">
      <c r="A20" s="5" t="s">
        <v>36</v>
      </c>
      <c r="B20" s="5" t="s">
        <v>13359</v>
      </c>
      <c r="C20" s="4">
        <f>Controle_Pedidos[[#This Row],[Data Compra]]</f>
        <v>45586</v>
      </c>
      <c r="D20" s="4">
        <v>45586</v>
      </c>
      <c r="E20" s="5" t="s">
        <v>15458</v>
      </c>
      <c r="F20" s="5" t="s">
        <v>17449</v>
      </c>
      <c r="G20" s="5" t="s">
        <v>829</v>
      </c>
      <c r="H20" s="5">
        <v>1</v>
      </c>
      <c r="I20" s="8" t="s">
        <v>7208</v>
      </c>
      <c r="J20" s="8" t="s">
        <v>9257</v>
      </c>
      <c r="K20" s="8" t="s">
        <v>1054</v>
      </c>
      <c r="L20" s="8" t="s">
        <v>11308</v>
      </c>
      <c r="M20" s="8" t="s">
        <v>3104</v>
      </c>
      <c r="N20" s="8" t="s">
        <v>5155</v>
      </c>
      <c r="O20" s="5" t="s">
        <v>40</v>
      </c>
      <c r="P20" s="4">
        <v>45610</v>
      </c>
      <c r="Q20" s="15">
        <v>17.329999999999998</v>
      </c>
      <c r="R20" s="15">
        <v>6.46</v>
      </c>
      <c r="S20" s="15">
        <v>0</v>
      </c>
      <c r="T20"/>
    </row>
    <row r="21" spans="1:20">
      <c r="A21" s="5" t="s">
        <v>36</v>
      </c>
      <c r="B21" s="5" t="s">
        <v>13360</v>
      </c>
      <c r="C21" s="4">
        <f>Controle_Pedidos[[#This Row],[Data Compra]]</f>
        <v>45586</v>
      </c>
      <c r="D21" s="4">
        <v>45586</v>
      </c>
      <c r="E21" s="5" t="s">
        <v>15459</v>
      </c>
      <c r="F21" s="5" t="s">
        <v>17450</v>
      </c>
      <c r="G21" s="5" t="s">
        <v>829</v>
      </c>
      <c r="H21" s="5">
        <v>1</v>
      </c>
      <c r="I21" s="8" t="s">
        <v>7209</v>
      </c>
      <c r="J21" s="8" t="s">
        <v>9258</v>
      </c>
      <c r="K21" s="8" t="s">
        <v>1055</v>
      </c>
      <c r="L21" s="8" t="s">
        <v>11309</v>
      </c>
      <c r="M21" s="8" t="s">
        <v>3105</v>
      </c>
      <c r="N21" s="8" t="s">
        <v>5156</v>
      </c>
      <c r="O21" s="5" t="s">
        <v>40</v>
      </c>
      <c r="P21" s="4">
        <v>45604</v>
      </c>
      <c r="Q21" s="15">
        <v>17.329999999999998</v>
      </c>
      <c r="R21" s="15">
        <v>6.46</v>
      </c>
      <c r="S21" s="15">
        <v>0</v>
      </c>
      <c r="T21"/>
    </row>
    <row r="22" spans="1:20">
      <c r="A22" s="5" t="s">
        <v>36</v>
      </c>
      <c r="B22" s="5" t="s">
        <v>13361</v>
      </c>
      <c r="C22" s="4">
        <f>Controle_Pedidos[[#This Row],[Data Compra]]</f>
        <v>45586</v>
      </c>
      <c r="D22" s="4">
        <v>45586</v>
      </c>
      <c r="E22" s="5" t="s">
        <v>15460</v>
      </c>
      <c r="F22" s="5" t="s">
        <v>17451</v>
      </c>
      <c r="G22" s="5" t="s">
        <v>824</v>
      </c>
      <c r="H22" s="5">
        <v>1</v>
      </c>
      <c r="I22" s="8" t="s">
        <v>7210</v>
      </c>
      <c r="J22" s="8" t="s">
        <v>9259</v>
      </c>
      <c r="K22" s="8" t="s">
        <v>1056</v>
      </c>
      <c r="L22" s="8" t="s">
        <v>11310</v>
      </c>
      <c r="M22" s="8" t="s">
        <v>3106</v>
      </c>
      <c r="N22" s="8" t="s">
        <v>5157</v>
      </c>
      <c r="O22" s="5" t="s">
        <v>38</v>
      </c>
      <c r="P22" s="4">
        <v>45610</v>
      </c>
      <c r="Q22" s="15">
        <v>14.99</v>
      </c>
      <c r="R22" s="15">
        <v>4.99</v>
      </c>
      <c r="S22" s="15">
        <v>0</v>
      </c>
      <c r="T22"/>
    </row>
    <row r="23" spans="1:20">
      <c r="A23" s="5" t="s">
        <v>36</v>
      </c>
      <c r="B23" s="5" t="s">
        <v>13362</v>
      </c>
      <c r="C23" s="4">
        <f>Controle_Pedidos[[#This Row],[Data Compra]]</f>
        <v>45587</v>
      </c>
      <c r="D23" s="4">
        <v>45587</v>
      </c>
      <c r="E23" s="5" t="s">
        <v>15461</v>
      </c>
      <c r="F23" s="5" t="s">
        <v>17452</v>
      </c>
      <c r="G23" s="5" t="s">
        <v>829</v>
      </c>
      <c r="H23" s="5">
        <v>1</v>
      </c>
      <c r="I23" s="8" t="s">
        <v>7211</v>
      </c>
      <c r="J23" s="8" t="s">
        <v>9260</v>
      </c>
      <c r="K23" s="8" t="s">
        <v>1057</v>
      </c>
      <c r="L23" s="8" t="s">
        <v>11311</v>
      </c>
      <c r="M23" s="8" t="s">
        <v>3107</v>
      </c>
      <c r="N23" s="8" t="s">
        <v>5158</v>
      </c>
      <c r="O23" s="5" t="s">
        <v>40</v>
      </c>
      <c r="P23" s="4">
        <v>45605</v>
      </c>
      <c r="Q23" s="15">
        <v>17.329999999999998</v>
      </c>
      <c r="R23" s="15">
        <v>6.46</v>
      </c>
      <c r="S23" s="15">
        <v>0</v>
      </c>
      <c r="T23"/>
    </row>
    <row r="24" spans="1:20">
      <c r="A24" s="5" t="s">
        <v>36</v>
      </c>
      <c r="B24" s="5" t="s">
        <v>13363</v>
      </c>
      <c r="C24" s="4">
        <f>Controle_Pedidos[[#This Row],[Data Compra]]</f>
        <v>45587</v>
      </c>
      <c r="D24" s="4">
        <v>45587</v>
      </c>
      <c r="E24" s="5" t="s">
        <v>15462</v>
      </c>
      <c r="F24" s="5" t="s">
        <v>17453</v>
      </c>
      <c r="G24" s="5" t="s">
        <v>821</v>
      </c>
      <c r="H24" s="5">
        <v>1</v>
      </c>
      <c r="I24" s="8" t="s">
        <v>7212</v>
      </c>
      <c r="J24" s="8" t="s">
        <v>9261</v>
      </c>
      <c r="K24" s="8" t="s">
        <v>1058</v>
      </c>
      <c r="L24" s="8" t="s">
        <v>11312</v>
      </c>
      <c r="M24" s="8" t="s">
        <v>3108</v>
      </c>
      <c r="N24" s="8" t="s">
        <v>5159</v>
      </c>
      <c r="O24" s="5" t="s">
        <v>43</v>
      </c>
      <c r="P24" s="4">
        <v>45605</v>
      </c>
      <c r="Q24" s="15">
        <v>17.989999999999998</v>
      </c>
      <c r="R24" s="15">
        <v>7.99</v>
      </c>
      <c r="S24" s="15">
        <v>0</v>
      </c>
      <c r="T24"/>
    </row>
    <row r="25" spans="1:20">
      <c r="A25" s="5" t="s">
        <v>36</v>
      </c>
      <c r="B25" s="5" t="s">
        <v>13364</v>
      </c>
      <c r="C25" s="4">
        <f>Controle_Pedidos[[#This Row],[Data Compra]]</f>
        <v>45587</v>
      </c>
      <c r="D25" s="4">
        <v>45587</v>
      </c>
      <c r="E25" s="5" t="s">
        <v>15463</v>
      </c>
      <c r="F25" s="5" t="s">
        <v>17454</v>
      </c>
      <c r="G25" s="5" t="s">
        <v>826</v>
      </c>
      <c r="H25" s="5">
        <v>1</v>
      </c>
      <c r="I25" s="8" t="s">
        <v>7213</v>
      </c>
      <c r="J25" s="8" t="s">
        <v>9262</v>
      </c>
      <c r="K25" s="8" t="s">
        <v>1059</v>
      </c>
      <c r="L25" s="8" t="s">
        <v>11313</v>
      </c>
      <c r="M25" s="8" t="s">
        <v>3109</v>
      </c>
      <c r="N25" s="8" t="s">
        <v>5160</v>
      </c>
      <c r="O25" s="5" t="s">
        <v>42</v>
      </c>
      <c r="P25" s="4">
        <v>45605</v>
      </c>
      <c r="Q25" s="15">
        <v>14.99</v>
      </c>
      <c r="R25" s="15">
        <v>4.99</v>
      </c>
      <c r="S25" s="15">
        <v>0</v>
      </c>
      <c r="T25"/>
    </row>
    <row r="26" spans="1:20">
      <c r="A26" s="5" t="s">
        <v>36</v>
      </c>
      <c r="B26" s="5" t="s">
        <v>13365</v>
      </c>
      <c r="C26" s="4">
        <f>Controle_Pedidos[[#This Row],[Data Compra]]</f>
        <v>45587</v>
      </c>
      <c r="D26" s="4">
        <v>45587</v>
      </c>
      <c r="E26" s="5" t="s">
        <v>15464</v>
      </c>
      <c r="F26" s="5" t="s">
        <v>17455</v>
      </c>
      <c r="G26" s="5" t="s">
        <v>821</v>
      </c>
      <c r="H26" s="5">
        <v>1</v>
      </c>
      <c r="I26" s="8" t="s">
        <v>7214</v>
      </c>
      <c r="J26" s="8" t="s">
        <v>9263</v>
      </c>
      <c r="K26" s="8" t="s">
        <v>1060</v>
      </c>
      <c r="L26" s="8" t="s">
        <v>11314</v>
      </c>
      <c r="M26" s="8" t="s">
        <v>3110</v>
      </c>
      <c r="N26" s="8" t="s">
        <v>5161</v>
      </c>
      <c r="O26" s="5" t="s">
        <v>43</v>
      </c>
      <c r="P26" s="4">
        <v>45605</v>
      </c>
      <c r="Q26" s="15">
        <v>17.989999999999998</v>
      </c>
      <c r="R26" s="15">
        <v>7.99</v>
      </c>
      <c r="S26" s="15">
        <v>0</v>
      </c>
      <c r="T26"/>
    </row>
    <row r="27" spans="1:20">
      <c r="A27" s="5" t="s">
        <v>36</v>
      </c>
      <c r="B27" s="5" t="s">
        <v>13366</v>
      </c>
      <c r="C27" s="4">
        <f>Controle_Pedidos[[#This Row],[Data Compra]]</f>
        <v>45588</v>
      </c>
      <c r="D27" s="4">
        <v>45588</v>
      </c>
      <c r="E27" s="5" t="s">
        <v>15465</v>
      </c>
      <c r="F27" s="5" t="s">
        <v>17456</v>
      </c>
      <c r="G27" s="5" t="s">
        <v>829</v>
      </c>
      <c r="H27" s="5">
        <v>1</v>
      </c>
      <c r="I27" s="8" t="s">
        <v>7215</v>
      </c>
      <c r="J27" s="8" t="s">
        <v>9264</v>
      </c>
      <c r="K27" s="8" t="s">
        <v>1061</v>
      </c>
      <c r="L27" s="8" t="s">
        <v>11315</v>
      </c>
      <c r="M27" s="8" t="s">
        <v>3111</v>
      </c>
      <c r="N27" s="8" t="s">
        <v>5162</v>
      </c>
      <c r="O27" s="5" t="s">
        <v>40</v>
      </c>
      <c r="P27" s="4">
        <v>45608</v>
      </c>
      <c r="Q27" s="15">
        <v>17.329999999999998</v>
      </c>
      <c r="R27" s="15">
        <v>4.99</v>
      </c>
      <c r="S27" s="15">
        <v>0</v>
      </c>
      <c r="T27"/>
    </row>
    <row r="28" spans="1:20">
      <c r="A28" s="5" t="s">
        <v>36</v>
      </c>
      <c r="B28" s="5" t="s">
        <v>13367</v>
      </c>
      <c r="C28" s="4">
        <f>Controle_Pedidos[[#This Row],[Data Compra]]</f>
        <v>45587</v>
      </c>
      <c r="D28" s="4">
        <v>45587</v>
      </c>
      <c r="E28" s="5" t="s">
        <v>15466</v>
      </c>
      <c r="F28" s="5" t="s">
        <v>17457</v>
      </c>
      <c r="G28" s="5" t="s">
        <v>824</v>
      </c>
      <c r="H28" s="5">
        <v>1</v>
      </c>
      <c r="I28" s="8" t="s">
        <v>7201</v>
      </c>
      <c r="J28" s="8" t="s">
        <v>9250</v>
      </c>
      <c r="K28" s="8" t="s">
        <v>1047</v>
      </c>
      <c r="L28" s="8" t="s">
        <v>11301</v>
      </c>
      <c r="M28" s="8" t="s">
        <v>3097</v>
      </c>
      <c r="N28" s="8" t="s">
        <v>5148</v>
      </c>
      <c r="O28" s="5" t="s">
        <v>38</v>
      </c>
      <c r="P28" s="4">
        <v>45611</v>
      </c>
      <c r="Q28" s="15">
        <v>14.99</v>
      </c>
      <c r="R28" s="15">
        <v>4.99</v>
      </c>
      <c r="S28" s="15">
        <v>0</v>
      </c>
      <c r="T28"/>
    </row>
    <row r="29" spans="1:20">
      <c r="A29" s="5" t="s">
        <v>36</v>
      </c>
      <c r="B29" s="5" t="s">
        <v>13368</v>
      </c>
      <c r="C29" s="4">
        <f>Controle_Pedidos[[#This Row],[Data Compra]]</f>
        <v>45587</v>
      </c>
      <c r="D29" s="4">
        <v>45587</v>
      </c>
      <c r="E29" s="5" t="s">
        <v>15467</v>
      </c>
      <c r="F29" s="5" t="s">
        <v>17458</v>
      </c>
      <c r="G29" s="5" t="s">
        <v>824</v>
      </c>
      <c r="H29" s="5">
        <v>1</v>
      </c>
      <c r="I29" s="8" t="s">
        <v>7201</v>
      </c>
      <c r="J29" s="8" t="s">
        <v>9250</v>
      </c>
      <c r="K29" s="8" t="s">
        <v>1047</v>
      </c>
      <c r="L29" s="8" t="s">
        <v>11301</v>
      </c>
      <c r="M29" s="8" t="s">
        <v>3097</v>
      </c>
      <c r="N29" s="8" t="s">
        <v>5148</v>
      </c>
      <c r="O29" s="5" t="s">
        <v>38</v>
      </c>
      <c r="P29" s="4">
        <v>45611</v>
      </c>
      <c r="Q29" s="15">
        <v>14.99</v>
      </c>
      <c r="R29" s="15">
        <v>4.99</v>
      </c>
      <c r="S29" s="15">
        <v>0</v>
      </c>
      <c r="T29"/>
    </row>
    <row r="30" spans="1:20">
      <c r="A30" s="5" t="s">
        <v>36</v>
      </c>
      <c r="B30" s="5" t="s">
        <v>13369</v>
      </c>
      <c r="C30" s="4">
        <f>Controle_Pedidos[[#This Row],[Data Compra]]</f>
        <v>45587</v>
      </c>
      <c r="D30" s="4">
        <v>45587</v>
      </c>
      <c r="E30" s="5" t="s">
        <v>15468</v>
      </c>
      <c r="F30" s="5" t="s">
        <v>17459</v>
      </c>
      <c r="G30" s="5" t="s">
        <v>821</v>
      </c>
      <c r="H30" s="5">
        <v>1</v>
      </c>
      <c r="I30" s="8" t="s">
        <v>7216</v>
      </c>
      <c r="J30" s="8" t="s">
        <v>9265</v>
      </c>
      <c r="K30" s="8" t="s">
        <v>1062</v>
      </c>
      <c r="L30" s="8" t="s">
        <v>11316</v>
      </c>
      <c r="M30" s="8" t="s">
        <v>3112</v>
      </c>
      <c r="N30" s="8" t="s">
        <v>5163</v>
      </c>
      <c r="O30" s="5" t="s">
        <v>43</v>
      </c>
      <c r="P30" s="4">
        <v>45605</v>
      </c>
      <c r="Q30" s="15">
        <v>17.989999999999998</v>
      </c>
      <c r="R30" s="15">
        <v>7.99</v>
      </c>
      <c r="S30" s="15">
        <v>0</v>
      </c>
      <c r="T30"/>
    </row>
    <row r="31" spans="1:20">
      <c r="A31" s="5" t="s">
        <v>36</v>
      </c>
      <c r="B31" s="5" t="s">
        <v>13370</v>
      </c>
      <c r="C31" s="4">
        <f>Controle_Pedidos[[#This Row],[Data Compra]]</f>
        <v>45587</v>
      </c>
      <c r="D31" s="4">
        <v>45587</v>
      </c>
      <c r="E31" s="5" t="s">
        <v>15469</v>
      </c>
      <c r="F31" s="5" t="s">
        <v>17460</v>
      </c>
      <c r="G31" s="5" t="s">
        <v>829</v>
      </c>
      <c r="H31" s="5">
        <v>1</v>
      </c>
      <c r="I31" s="8" t="s">
        <v>7217</v>
      </c>
      <c r="J31" s="8" t="s">
        <v>9266</v>
      </c>
      <c r="K31" s="8" t="s">
        <v>1063</v>
      </c>
      <c r="L31" s="8" t="s">
        <v>11317</v>
      </c>
      <c r="M31" s="8" t="s">
        <v>3113</v>
      </c>
      <c r="N31" s="8" t="s">
        <v>5164</v>
      </c>
      <c r="O31" s="5" t="s">
        <v>40</v>
      </c>
      <c r="P31" s="4">
        <v>45605</v>
      </c>
      <c r="Q31" s="15">
        <v>17.329999999999998</v>
      </c>
      <c r="R31" s="15">
        <v>6.46</v>
      </c>
      <c r="S31" s="15">
        <v>0</v>
      </c>
      <c r="T31"/>
    </row>
    <row r="32" spans="1:20">
      <c r="A32" s="5" t="s">
        <v>36</v>
      </c>
      <c r="B32" s="5" t="s">
        <v>13371</v>
      </c>
      <c r="C32" s="4">
        <f>Controle_Pedidos[[#This Row],[Data Compra]]</f>
        <v>45587</v>
      </c>
      <c r="D32" s="4">
        <v>45587</v>
      </c>
      <c r="E32" s="5" t="s">
        <v>15470</v>
      </c>
      <c r="F32" s="5" t="s">
        <v>17461</v>
      </c>
      <c r="G32" s="5" t="s">
        <v>821</v>
      </c>
      <c r="H32" s="5">
        <v>1</v>
      </c>
      <c r="I32" s="8" t="s">
        <v>7218</v>
      </c>
      <c r="J32" s="8" t="s">
        <v>9267</v>
      </c>
      <c r="K32" s="8" t="s">
        <v>1064</v>
      </c>
      <c r="L32" s="8" t="s">
        <v>11318</v>
      </c>
      <c r="M32" s="8" t="s">
        <v>3114</v>
      </c>
      <c r="N32" s="8" t="s">
        <v>5165</v>
      </c>
      <c r="O32" s="5" t="s">
        <v>43</v>
      </c>
      <c r="P32" s="4">
        <v>45601</v>
      </c>
      <c r="Q32" s="15">
        <v>17.989999999999998</v>
      </c>
      <c r="R32" s="15">
        <v>7.99</v>
      </c>
      <c r="S32" s="15">
        <v>0</v>
      </c>
      <c r="T32"/>
    </row>
    <row r="33" spans="1:20">
      <c r="A33" s="5" t="s">
        <v>36</v>
      </c>
      <c r="B33" s="5" t="s">
        <v>13372</v>
      </c>
      <c r="C33" s="4">
        <f>Controle_Pedidos[[#This Row],[Data Compra]]</f>
        <v>45587</v>
      </c>
      <c r="D33" s="4">
        <v>45587</v>
      </c>
      <c r="E33" s="5" t="s">
        <v>15471</v>
      </c>
      <c r="F33" s="5" t="s">
        <v>17462</v>
      </c>
      <c r="G33" s="5" t="s">
        <v>821</v>
      </c>
      <c r="H33" s="5">
        <v>1</v>
      </c>
      <c r="I33" s="8" t="s">
        <v>7219</v>
      </c>
      <c r="J33" s="8" t="s">
        <v>9268</v>
      </c>
      <c r="K33" s="8" t="s">
        <v>1065</v>
      </c>
      <c r="L33" s="8" t="s">
        <v>11319</v>
      </c>
      <c r="M33" s="8" t="s">
        <v>3115</v>
      </c>
      <c r="N33" s="8" t="s">
        <v>5166</v>
      </c>
      <c r="O33" s="5" t="s">
        <v>43</v>
      </c>
      <c r="P33" s="4">
        <v>45605</v>
      </c>
      <c r="Q33" s="15">
        <v>17.989999999999998</v>
      </c>
      <c r="R33" s="15">
        <v>7.99</v>
      </c>
      <c r="S33" s="15">
        <v>0</v>
      </c>
      <c r="T33"/>
    </row>
    <row r="34" spans="1:20">
      <c r="A34" s="5" t="s">
        <v>36</v>
      </c>
      <c r="B34" s="5" t="s">
        <v>13373</v>
      </c>
      <c r="C34" s="4">
        <f>Controle_Pedidos[[#This Row],[Data Compra]]</f>
        <v>45587</v>
      </c>
      <c r="D34" s="4">
        <v>45587</v>
      </c>
      <c r="E34" s="5" t="s">
        <v>15472</v>
      </c>
      <c r="F34" s="5" t="s">
        <v>17463</v>
      </c>
      <c r="G34" s="5" t="s">
        <v>824</v>
      </c>
      <c r="H34" s="5">
        <v>1</v>
      </c>
      <c r="I34" s="8" t="s">
        <v>7220</v>
      </c>
      <c r="J34" s="8" t="s">
        <v>9269</v>
      </c>
      <c r="K34" s="8" t="s">
        <v>1066</v>
      </c>
      <c r="L34" s="8" t="s">
        <v>11320</v>
      </c>
      <c r="M34" s="8" t="s">
        <v>3116</v>
      </c>
      <c r="N34" s="8" t="s">
        <v>5167</v>
      </c>
      <c r="O34" s="5" t="s">
        <v>38</v>
      </c>
      <c r="P34" s="4">
        <v>45603</v>
      </c>
      <c r="Q34" s="15">
        <v>14.99</v>
      </c>
      <c r="R34" s="15">
        <v>4.99</v>
      </c>
      <c r="S34" s="15">
        <v>0</v>
      </c>
      <c r="T34"/>
    </row>
    <row r="35" spans="1:20">
      <c r="A35" s="5" t="s">
        <v>36</v>
      </c>
      <c r="B35" s="5" t="s">
        <v>13374</v>
      </c>
      <c r="C35" s="4">
        <f>Controle_Pedidos[[#This Row],[Data Compra]]</f>
        <v>45587</v>
      </c>
      <c r="D35" s="4">
        <v>45587</v>
      </c>
      <c r="E35" s="5" t="s">
        <v>15473</v>
      </c>
      <c r="F35" s="5" t="s">
        <v>17464</v>
      </c>
      <c r="G35" s="5" t="s">
        <v>821</v>
      </c>
      <c r="H35" s="5">
        <v>1</v>
      </c>
      <c r="I35" s="8" t="s">
        <v>7221</v>
      </c>
      <c r="J35" s="8" t="s">
        <v>9270</v>
      </c>
      <c r="K35" s="8" t="s">
        <v>1067</v>
      </c>
      <c r="L35" s="8" t="s">
        <v>11321</v>
      </c>
      <c r="M35" s="8" t="s">
        <v>3117</v>
      </c>
      <c r="N35" s="8" t="s">
        <v>5168</v>
      </c>
      <c r="O35" s="5" t="s">
        <v>43</v>
      </c>
      <c r="P35" s="4">
        <v>45601</v>
      </c>
      <c r="Q35" s="15">
        <v>17.989999999999998</v>
      </c>
      <c r="R35" s="15">
        <v>7.99</v>
      </c>
      <c r="S35" s="15">
        <v>0</v>
      </c>
      <c r="T35"/>
    </row>
    <row r="36" spans="1:20">
      <c r="A36" s="5" t="s">
        <v>36</v>
      </c>
      <c r="B36" s="5" t="s">
        <v>13375</v>
      </c>
      <c r="C36" s="4">
        <f>Controle_Pedidos[[#This Row],[Data Compra]]</f>
        <v>45587</v>
      </c>
      <c r="D36" s="4">
        <v>45587</v>
      </c>
      <c r="E36" s="5" t="s">
        <v>15474</v>
      </c>
      <c r="F36" s="5" t="s">
        <v>17465</v>
      </c>
      <c r="G36" s="5" t="s">
        <v>829</v>
      </c>
      <c r="H36" s="5">
        <v>1</v>
      </c>
      <c r="I36" s="8" t="s">
        <v>7222</v>
      </c>
      <c r="J36" s="8" t="s">
        <v>9271</v>
      </c>
      <c r="K36" s="8" t="s">
        <v>1068</v>
      </c>
      <c r="L36" s="8" t="s">
        <v>11322</v>
      </c>
      <c r="M36" s="8" t="s">
        <v>3118</v>
      </c>
      <c r="N36" s="8" t="s">
        <v>5169</v>
      </c>
      <c r="O36" s="5" t="s">
        <v>40</v>
      </c>
      <c r="P36" s="4">
        <v>45601</v>
      </c>
      <c r="Q36" s="15">
        <v>19.329999999999998</v>
      </c>
      <c r="R36" s="15">
        <v>6.46</v>
      </c>
      <c r="S36" s="15">
        <v>0</v>
      </c>
      <c r="T36"/>
    </row>
    <row r="37" spans="1:20">
      <c r="A37" s="5" t="s">
        <v>36</v>
      </c>
      <c r="B37" s="5" t="s">
        <v>13376</v>
      </c>
      <c r="C37" s="4">
        <f>Controle_Pedidos[[#This Row],[Data Compra]]</f>
        <v>45587</v>
      </c>
      <c r="D37" s="4">
        <v>45587</v>
      </c>
      <c r="E37" s="5" t="s">
        <v>15475</v>
      </c>
      <c r="F37" s="5" t="s">
        <v>17466</v>
      </c>
      <c r="G37" s="5" t="s">
        <v>824</v>
      </c>
      <c r="H37" s="5">
        <v>1</v>
      </c>
      <c r="I37" s="8" t="s">
        <v>7223</v>
      </c>
      <c r="J37" s="8" t="s">
        <v>9272</v>
      </c>
      <c r="K37" s="8" t="s">
        <v>1069</v>
      </c>
      <c r="L37" s="8" t="s">
        <v>11323</v>
      </c>
      <c r="M37" s="8" t="s">
        <v>3119</v>
      </c>
      <c r="N37" s="8" t="s">
        <v>5170</v>
      </c>
      <c r="O37" s="5" t="s">
        <v>38</v>
      </c>
      <c r="P37" s="4">
        <v>45611</v>
      </c>
      <c r="Q37" s="15">
        <v>14.99</v>
      </c>
      <c r="R37" s="15">
        <v>4.99</v>
      </c>
      <c r="S37" s="15">
        <v>0</v>
      </c>
      <c r="T37"/>
    </row>
    <row r="38" spans="1:20">
      <c r="A38" s="5" t="s">
        <v>36</v>
      </c>
      <c r="B38" s="5" t="s">
        <v>13377</v>
      </c>
      <c r="C38" s="4">
        <f>Controle_Pedidos[[#This Row],[Data Compra]]</f>
        <v>45587</v>
      </c>
      <c r="D38" s="4">
        <v>45587</v>
      </c>
      <c r="E38" s="5" t="s">
        <v>15476</v>
      </c>
      <c r="F38" s="5" t="s">
        <v>17467</v>
      </c>
      <c r="G38" s="5" t="s">
        <v>829</v>
      </c>
      <c r="H38" s="5">
        <v>1</v>
      </c>
      <c r="I38" s="8" t="s">
        <v>7224</v>
      </c>
      <c r="J38" s="8" t="s">
        <v>9273</v>
      </c>
      <c r="K38" s="8" t="s">
        <v>1070</v>
      </c>
      <c r="L38" s="8" t="s">
        <v>11324</v>
      </c>
      <c r="M38" s="8" t="s">
        <v>3120</v>
      </c>
      <c r="N38" s="8" t="s">
        <v>5171</v>
      </c>
      <c r="O38" s="5" t="s">
        <v>40</v>
      </c>
      <c r="P38" s="4">
        <v>45605</v>
      </c>
      <c r="Q38" s="15">
        <v>17.329999999999998</v>
      </c>
      <c r="R38" s="15">
        <v>6.46</v>
      </c>
      <c r="S38" s="15">
        <v>0</v>
      </c>
      <c r="T38"/>
    </row>
    <row r="39" spans="1:20">
      <c r="A39" s="5" t="s">
        <v>36</v>
      </c>
      <c r="B39" s="5" t="s">
        <v>13378</v>
      </c>
      <c r="C39" s="4">
        <f>Controle_Pedidos[[#This Row],[Data Compra]]</f>
        <v>45588</v>
      </c>
      <c r="D39" s="4">
        <v>45588</v>
      </c>
      <c r="E39" s="5" t="s">
        <v>15477</v>
      </c>
      <c r="F39" s="5" t="s">
        <v>17468</v>
      </c>
      <c r="G39" s="5" t="s">
        <v>821</v>
      </c>
      <c r="H39" s="5">
        <v>1</v>
      </c>
      <c r="I39" s="8" t="s">
        <v>7225</v>
      </c>
      <c r="J39" s="8" t="s">
        <v>9274</v>
      </c>
      <c r="K39" s="8" t="s">
        <v>1071</v>
      </c>
      <c r="L39" s="8" t="s">
        <v>11325</v>
      </c>
      <c r="M39" s="8" t="s">
        <v>3121</v>
      </c>
      <c r="N39" s="8" t="s">
        <v>5172</v>
      </c>
      <c r="O39" s="5" t="s">
        <v>43</v>
      </c>
      <c r="P39" s="4">
        <v>45605</v>
      </c>
      <c r="Q39" s="15">
        <v>17.989999999999998</v>
      </c>
      <c r="R39" s="15">
        <v>7.99</v>
      </c>
      <c r="S39" s="15">
        <v>0</v>
      </c>
      <c r="T39"/>
    </row>
    <row r="40" spans="1:20">
      <c r="A40" s="5" t="s">
        <v>36</v>
      </c>
      <c r="B40" s="5" t="s">
        <v>13379</v>
      </c>
      <c r="C40" s="4">
        <f>Controle_Pedidos[[#This Row],[Data Compra]]</f>
        <v>45588</v>
      </c>
      <c r="D40" s="4">
        <v>45588</v>
      </c>
      <c r="E40" s="5" t="s">
        <v>15478</v>
      </c>
      <c r="F40" s="5" t="s">
        <v>17469</v>
      </c>
      <c r="G40" s="5" t="s">
        <v>821</v>
      </c>
      <c r="H40" s="5">
        <v>1</v>
      </c>
      <c r="I40" s="8" t="s">
        <v>7226</v>
      </c>
      <c r="J40" s="8" t="s">
        <v>9275</v>
      </c>
      <c r="K40" s="8" t="s">
        <v>1072</v>
      </c>
      <c r="L40" s="8" t="s">
        <v>11326</v>
      </c>
      <c r="M40" s="8" t="s">
        <v>3122</v>
      </c>
      <c r="N40" s="8" t="s">
        <v>5173</v>
      </c>
      <c r="O40" s="5" t="s">
        <v>43</v>
      </c>
      <c r="P40" s="4">
        <v>45602</v>
      </c>
      <c r="Q40" s="15">
        <v>17.3</v>
      </c>
      <c r="R40" s="15">
        <v>7.99</v>
      </c>
      <c r="S40" s="15">
        <v>0</v>
      </c>
      <c r="T40"/>
    </row>
    <row r="41" spans="1:20">
      <c r="A41" s="5" t="s">
        <v>36</v>
      </c>
      <c r="B41" s="5" t="s">
        <v>13380</v>
      </c>
      <c r="C41" s="4">
        <f>Controle_Pedidos[[#This Row],[Data Compra]]</f>
        <v>45588</v>
      </c>
      <c r="D41" s="4">
        <v>45588</v>
      </c>
      <c r="E41" s="5" t="s">
        <v>15479</v>
      </c>
      <c r="F41" s="5" t="s">
        <v>17470</v>
      </c>
      <c r="G41" s="5" t="s">
        <v>821</v>
      </c>
      <c r="H41" s="5">
        <v>1</v>
      </c>
      <c r="I41" s="8" t="s">
        <v>7227</v>
      </c>
      <c r="J41" s="8" t="s">
        <v>9276</v>
      </c>
      <c r="K41" s="8" t="s">
        <v>1073</v>
      </c>
      <c r="L41" s="8" t="s">
        <v>11327</v>
      </c>
      <c r="M41" s="8" t="s">
        <v>3123</v>
      </c>
      <c r="N41" s="8" t="s">
        <v>5174</v>
      </c>
      <c r="O41" s="5" t="s">
        <v>43</v>
      </c>
      <c r="P41" s="4">
        <v>45605</v>
      </c>
      <c r="Q41" s="15">
        <v>17.3</v>
      </c>
      <c r="R41" s="15">
        <v>7.99</v>
      </c>
      <c r="S41" s="15">
        <v>0</v>
      </c>
      <c r="T41"/>
    </row>
    <row r="42" spans="1:20">
      <c r="A42" s="5" t="s">
        <v>36</v>
      </c>
      <c r="B42" s="5" t="s">
        <v>13381</v>
      </c>
      <c r="C42" s="4">
        <f>Controle_Pedidos[[#This Row],[Data Compra]]</f>
        <v>45588</v>
      </c>
      <c r="D42" s="4">
        <v>45588</v>
      </c>
      <c r="E42" s="5" t="s">
        <v>15480</v>
      </c>
      <c r="F42" s="5" t="s">
        <v>17471</v>
      </c>
      <c r="G42" s="5" t="s">
        <v>824</v>
      </c>
      <c r="H42" s="5">
        <v>1</v>
      </c>
      <c r="I42" s="8" t="s">
        <v>7228</v>
      </c>
      <c r="J42" s="8" t="s">
        <v>9277</v>
      </c>
      <c r="K42" s="8" t="s">
        <v>1074</v>
      </c>
      <c r="L42" s="8" t="s">
        <v>11328</v>
      </c>
      <c r="M42" s="8" t="s">
        <v>3124</v>
      </c>
      <c r="N42" s="8" t="s">
        <v>5175</v>
      </c>
      <c r="O42" s="5" t="s">
        <v>38</v>
      </c>
      <c r="P42" s="4">
        <v>45608</v>
      </c>
      <c r="Q42" s="15">
        <v>15.99</v>
      </c>
      <c r="R42" s="15">
        <v>4.99</v>
      </c>
      <c r="S42" s="15">
        <v>0</v>
      </c>
      <c r="T42"/>
    </row>
    <row r="43" spans="1:20">
      <c r="A43" s="5" t="s">
        <v>36</v>
      </c>
      <c r="B43" s="5" t="s">
        <v>13382</v>
      </c>
      <c r="C43" s="4">
        <f>Controle_Pedidos[[#This Row],[Data Compra]]</f>
        <v>45588</v>
      </c>
      <c r="D43" s="4">
        <v>45588</v>
      </c>
      <c r="E43" s="5" t="s">
        <v>15481</v>
      </c>
      <c r="F43" s="5" t="s">
        <v>17472</v>
      </c>
      <c r="G43" s="5" t="s">
        <v>821</v>
      </c>
      <c r="H43" s="5">
        <v>1</v>
      </c>
      <c r="I43" s="8" t="s">
        <v>7229</v>
      </c>
      <c r="J43" s="8" t="s">
        <v>9278</v>
      </c>
      <c r="K43" s="8" t="s">
        <v>1075</v>
      </c>
      <c r="L43" s="8" t="s">
        <v>11329</v>
      </c>
      <c r="M43" s="8" t="s">
        <v>3125</v>
      </c>
      <c r="N43" s="8" t="s">
        <v>5176</v>
      </c>
      <c r="O43" s="5" t="s">
        <v>43</v>
      </c>
      <c r="P43" s="4">
        <v>45604</v>
      </c>
      <c r="Q43" s="15">
        <v>17.989999999999998</v>
      </c>
      <c r="R43" s="15">
        <v>8.74</v>
      </c>
      <c r="S43" s="15">
        <v>0</v>
      </c>
      <c r="T43"/>
    </row>
    <row r="44" spans="1:20">
      <c r="A44" s="5" t="s">
        <v>36</v>
      </c>
      <c r="B44" s="5" t="s">
        <v>13383</v>
      </c>
      <c r="C44" s="4">
        <f>Controle_Pedidos[[#This Row],[Data Compra]]</f>
        <v>45588</v>
      </c>
      <c r="D44" s="4">
        <v>45588</v>
      </c>
      <c r="E44" s="5" t="s">
        <v>15482</v>
      </c>
      <c r="F44" s="5" t="s">
        <v>17473</v>
      </c>
      <c r="G44" s="5" t="s">
        <v>821</v>
      </c>
      <c r="H44" s="5">
        <v>1</v>
      </c>
      <c r="I44" s="8" t="s">
        <v>7230</v>
      </c>
      <c r="J44" s="8" t="s">
        <v>9279</v>
      </c>
      <c r="K44" s="8" t="s">
        <v>1076</v>
      </c>
      <c r="L44" s="8" t="s">
        <v>11330</v>
      </c>
      <c r="M44" s="8" t="s">
        <v>3126</v>
      </c>
      <c r="N44" s="8" t="s">
        <v>5177</v>
      </c>
      <c r="O44" s="5" t="s">
        <v>43</v>
      </c>
      <c r="P44" s="4">
        <v>45608</v>
      </c>
      <c r="Q44" s="15">
        <v>17.989999999999998</v>
      </c>
      <c r="R44" s="15">
        <v>8.74</v>
      </c>
      <c r="S44" s="15">
        <v>0</v>
      </c>
      <c r="T44"/>
    </row>
    <row r="45" spans="1:20">
      <c r="A45" s="5" t="s">
        <v>36</v>
      </c>
      <c r="B45" s="5" t="s">
        <v>13384</v>
      </c>
      <c r="C45" s="4">
        <f>Controle_Pedidos[[#This Row],[Data Compra]]</f>
        <v>45589</v>
      </c>
      <c r="D45" s="4">
        <v>45589</v>
      </c>
      <c r="E45" s="5" t="s">
        <v>15483</v>
      </c>
      <c r="F45" s="5" t="s">
        <v>17474</v>
      </c>
      <c r="G45" s="5" t="s">
        <v>821</v>
      </c>
      <c r="H45" s="5">
        <v>1</v>
      </c>
      <c r="I45" s="8" t="s">
        <v>7231</v>
      </c>
      <c r="J45" s="8" t="s">
        <v>9280</v>
      </c>
      <c r="K45" s="8" t="s">
        <v>1077</v>
      </c>
      <c r="L45" s="8" t="s">
        <v>11331</v>
      </c>
      <c r="M45" s="8" t="s">
        <v>3127</v>
      </c>
      <c r="N45" s="8" t="s">
        <v>5178</v>
      </c>
      <c r="O45" s="5" t="s">
        <v>43</v>
      </c>
      <c r="P45" s="4">
        <v>45604</v>
      </c>
      <c r="Q45" s="15">
        <v>17.989999999999998</v>
      </c>
      <c r="R45" s="15">
        <v>8.74</v>
      </c>
      <c r="S45" s="15">
        <v>0</v>
      </c>
      <c r="T45"/>
    </row>
    <row r="46" spans="1:20">
      <c r="A46" s="5" t="s">
        <v>36</v>
      </c>
      <c r="B46" s="5" t="s">
        <v>13385</v>
      </c>
      <c r="C46" s="4">
        <f>Controle_Pedidos[[#This Row],[Data Compra]]</f>
        <v>45588</v>
      </c>
      <c r="D46" s="4">
        <v>45588</v>
      </c>
      <c r="E46" s="5" t="s">
        <v>15484</v>
      </c>
      <c r="F46" s="5" t="s">
        <v>17475</v>
      </c>
      <c r="G46" s="5" t="s">
        <v>824</v>
      </c>
      <c r="H46" s="5">
        <v>1</v>
      </c>
      <c r="I46" s="8" t="s">
        <v>7232</v>
      </c>
      <c r="J46" s="8" t="s">
        <v>9281</v>
      </c>
      <c r="K46" s="8" t="s">
        <v>1078</v>
      </c>
      <c r="L46" s="8" t="s">
        <v>11332</v>
      </c>
      <c r="M46" s="8" t="s">
        <v>3128</v>
      </c>
      <c r="N46" s="8" t="s">
        <v>5179</v>
      </c>
      <c r="O46" s="5" t="s">
        <v>38</v>
      </c>
      <c r="P46" s="4">
        <v>45615</v>
      </c>
      <c r="Q46" s="15">
        <v>15.99</v>
      </c>
      <c r="R46" s="15">
        <v>4.99</v>
      </c>
      <c r="S46" s="15">
        <v>0</v>
      </c>
      <c r="T46"/>
    </row>
    <row r="47" spans="1:20">
      <c r="A47" s="5" t="s">
        <v>36</v>
      </c>
      <c r="B47" s="5" t="s">
        <v>13386</v>
      </c>
      <c r="C47" s="4">
        <f>Controle_Pedidos[[#This Row],[Data Compra]]</f>
        <v>45589</v>
      </c>
      <c r="D47" s="4">
        <v>45589</v>
      </c>
      <c r="E47" s="5" t="s">
        <v>15485</v>
      </c>
      <c r="F47" s="5" t="s">
        <v>17476</v>
      </c>
      <c r="G47" s="5" t="s">
        <v>821</v>
      </c>
      <c r="H47" s="5">
        <v>1</v>
      </c>
      <c r="I47" s="8" t="s">
        <v>7233</v>
      </c>
      <c r="J47" s="8" t="s">
        <v>9282</v>
      </c>
      <c r="K47" s="8" t="s">
        <v>1079</v>
      </c>
      <c r="L47" s="8" t="s">
        <v>11333</v>
      </c>
      <c r="M47" s="8" t="s">
        <v>3129</v>
      </c>
      <c r="N47" s="8" t="s">
        <v>5180</v>
      </c>
      <c r="O47" s="5" t="s">
        <v>43</v>
      </c>
      <c r="P47" s="4">
        <v>45602</v>
      </c>
      <c r="Q47" s="15">
        <v>17.989999999999998</v>
      </c>
      <c r="R47" s="15">
        <v>8.74</v>
      </c>
      <c r="S47" s="15">
        <v>0</v>
      </c>
      <c r="T47"/>
    </row>
    <row r="48" spans="1:20">
      <c r="A48" s="5" t="s">
        <v>36</v>
      </c>
      <c r="B48" s="5" t="s">
        <v>13387</v>
      </c>
      <c r="C48" s="4">
        <f>Controle_Pedidos[[#This Row],[Data Compra]]</f>
        <v>45588</v>
      </c>
      <c r="D48" s="4">
        <v>45588</v>
      </c>
      <c r="E48" s="5" t="s">
        <v>15486</v>
      </c>
      <c r="F48" s="5" t="s">
        <v>17477</v>
      </c>
      <c r="G48" s="5" t="s">
        <v>826</v>
      </c>
      <c r="H48" s="5">
        <v>1</v>
      </c>
      <c r="I48" s="8" t="s">
        <v>7234</v>
      </c>
      <c r="J48" s="8" t="s">
        <v>9283</v>
      </c>
      <c r="K48" s="8" t="s">
        <v>1080</v>
      </c>
      <c r="L48" s="8" t="s">
        <v>11334</v>
      </c>
      <c r="M48" s="8" t="s">
        <v>3130</v>
      </c>
      <c r="N48" s="8" t="s">
        <v>5181</v>
      </c>
      <c r="O48" s="5" t="s">
        <v>42</v>
      </c>
      <c r="P48" s="4">
        <v>45608</v>
      </c>
      <c r="Q48" s="15">
        <v>15.99</v>
      </c>
      <c r="R48" s="15">
        <v>4.99</v>
      </c>
      <c r="S48" s="15">
        <v>0</v>
      </c>
      <c r="T48"/>
    </row>
    <row r="49" spans="1:20">
      <c r="A49" s="5" t="s">
        <v>36</v>
      </c>
      <c r="B49" s="5" t="s">
        <v>13388</v>
      </c>
      <c r="C49" s="4">
        <f>Controle_Pedidos[[#This Row],[Data Compra]]</f>
        <v>45588</v>
      </c>
      <c r="D49" s="4">
        <v>45588</v>
      </c>
      <c r="E49" s="5" t="s">
        <v>15487</v>
      </c>
      <c r="F49" s="5" t="s">
        <v>17478</v>
      </c>
      <c r="G49" s="5" t="s">
        <v>824</v>
      </c>
      <c r="H49" s="5">
        <v>1</v>
      </c>
      <c r="I49" s="8" t="s">
        <v>7235</v>
      </c>
      <c r="J49" s="8" t="s">
        <v>9284</v>
      </c>
      <c r="K49" s="8" t="s">
        <v>1081</v>
      </c>
      <c r="L49" s="8" t="s">
        <v>11335</v>
      </c>
      <c r="M49" s="8" t="s">
        <v>3131</v>
      </c>
      <c r="N49" s="8" t="s">
        <v>5182</v>
      </c>
      <c r="O49" s="5" t="s">
        <v>38</v>
      </c>
      <c r="P49" s="4">
        <v>45608</v>
      </c>
      <c r="Q49" s="15">
        <v>15.99</v>
      </c>
      <c r="R49" s="15">
        <v>4.99</v>
      </c>
      <c r="S49" s="15">
        <v>0</v>
      </c>
      <c r="T49"/>
    </row>
    <row r="50" spans="1:20">
      <c r="A50" s="5" t="s">
        <v>36</v>
      </c>
      <c r="B50" s="5" t="s">
        <v>13389</v>
      </c>
      <c r="C50" s="4">
        <f>Controle_Pedidos[[#This Row],[Data Compra]]</f>
        <v>45588</v>
      </c>
      <c r="D50" s="4">
        <v>45588</v>
      </c>
      <c r="E50" s="5" t="s">
        <v>15488</v>
      </c>
      <c r="F50" s="5" t="s">
        <v>17479</v>
      </c>
      <c r="G50" s="5" t="s">
        <v>821</v>
      </c>
      <c r="H50" s="5">
        <v>1</v>
      </c>
      <c r="I50" s="8" t="s">
        <v>7236</v>
      </c>
      <c r="J50" s="8" t="s">
        <v>9285</v>
      </c>
      <c r="K50" s="8" t="s">
        <v>1082</v>
      </c>
      <c r="L50" s="8" t="s">
        <v>11336</v>
      </c>
      <c r="M50" s="8" t="s">
        <v>3132</v>
      </c>
      <c r="N50" s="8" t="s">
        <v>5183</v>
      </c>
      <c r="O50" s="5" t="s">
        <v>43</v>
      </c>
      <c r="P50" s="4">
        <v>45608</v>
      </c>
      <c r="Q50" s="15">
        <v>17.989999999999998</v>
      </c>
      <c r="R50" s="15">
        <v>8.74</v>
      </c>
      <c r="S50" s="15">
        <v>0</v>
      </c>
      <c r="T50"/>
    </row>
    <row r="51" spans="1:20">
      <c r="A51" s="5" t="s">
        <v>36</v>
      </c>
      <c r="B51" s="5" t="s">
        <v>13390</v>
      </c>
      <c r="C51" s="4">
        <f>Controle_Pedidos[[#This Row],[Data Compra]]</f>
        <v>45589</v>
      </c>
      <c r="D51" s="4">
        <v>45589</v>
      </c>
      <c r="E51" s="5" t="s">
        <v>15489</v>
      </c>
      <c r="F51" s="5" t="s">
        <v>17480</v>
      </c>
      <c r="G51" s="5" t="s">
        <v>821</v>
      </c>
      <c r="H51" s="5">
        <v>1</v>
      </c>
      <c r="I51" s="8" t="s">
        <v>7237</v>
      </c>
      <c r="J51" s="8" t="s">
        <v>9286</v>
      </c>
      <c r="K51" s="8" t="s">
        <v>1083</v>
      </c>
      <c r="L51" s="8" t="s">
        <v>11337</v>
      </c>
      <c r="M51" s="8" t="s">
        <v>3133</v>
      </c>
      <c r="N51" s="8" t="s">
        <v>5184</v>
      </c>
      <c r="O51" s="5" t="s">
        <v>43</v>
      </c>
      <c r="P51" s="4">
        <v>45602</v>
      </c>
      <c r="Q51" s="15">
        <v>17.989999999999998</v>
      </c>
      <c r="R51" s="15">
        <v>8.74</v>
      </c>
      <c r="S51" s="15">
        <v>0</v>
      </c>
      <c r="T51"/>
    </row>
    <row r="52" spans="1:20">
      <c r="A52" s="5" t="s">
        <v>36</v>
      </c>
      <c r="B52" s="5" t="s">
        <v>13391</v>
      </c>
      <c r="C52" s="4">
        <f>Controle_Pedidos[[#This Row],[Data Compra]]</f>
        <v>45588</v>
      </c>
      <c r="D52" s="4">
        <v>45588</v>
      </c>
      <c r="E52" s="5" t="s">
        <v>15490</v>
      </c>
      <c r="F52" s="5" t="s">
        <v>17481</v>
      </c>
      <c r="G52" s="5" t="s">
        <v>821</v>
      </c>
      <c r="H52" s="5">
        <v>1</v>
      </c>
      <c r="I52" s="8" t="s">
        <v>7238</v>
      </c>
      <c r="J52" s="8" t="s">
        <v>9287</v>
      </c>
      <c r="K52" s="8" t="s">
        <v>1084</v>
      </c>
      <c r="L52" s="8" t="s">
        <v>11338</v>
      </c>
      <c r="M52" s="8" t="s">
        <v>3134</v>
      </c>
      <c r="N52" s="8" t="s">
        <v>5185</v>
      </c>
      <c r="O52" s="5" t="s">
        <v>43</v>
      </c>
      <c r="P52" s="4">
        <v>45608</v>
      </c>
      <c r="Q52" s="15">
        <v>17.989999999999998</v>
      </c>
      <c r="R52" s="15">
        <v>8.74</v>
      </c>
      <c r="S52" s="15">
        <v>0</v>
      </c>
      <c r="T52"/>
    </row>
    <row r="53" spans="1:20">
      <c r="A53" s="5" t="s">
        <v>36</v>
      </c>
      <c r="B53" s="5" t="s">
        <v>13392</v>
      </c>
      <c r="C53" s="4">
        <f>Controle_Pedidos[[#This Row],[Data Compra]]</f>
        <v>45588</v>
      </c>
      <c r="D53" s="4">
        <v>45588</v>
      </c>
      <c r="E53" s="5" t="s">
        <v>15491</v>
      </c>
      <c r="F53" s="5" t="s">
        <v>17482</v>
      </c>
      <c r="G53" s="5" t="s">
        <v>821</v>
      </c>
      <c r="H53" s="5">
        <v>1</v>
      </c>
      <c r="I53" s="8" t="s">
        <v>7239</v>
      </c>
      <c r="J53" s="8" t="s">
        <v>9288</v>
      </c>
      <c r="K53" s="8" t="s">
        <v>1085</v>
      </c>
      <c r="L53" s="8" t="s">
        <v>11339</v>
      </c>
      <c r="M53" s="8" t="s">
        <v>3135</v>
      </c>
      <c r="N53" s="8" t="s">
        <v>5186</v>
      </c>
      <c r="O53" s="5" t="s">
        <v>43</v>
      </c>
      <c r="P53" s="4">
        <v>45615</v>
      </c>
      <c r="Q53" s="15">
        <v>17.989999999999998</v>
      </c>
      <c r="R53" s="15">
        <v>8.74</v>
      </c>
      <c r="S53" s="15">
        <v>0</v>
      </c>
      <c r="T53"/>
    </row>
    <row r="54" spans="1:20">
      <c r="A54" s="5" t="s">
        <v>36</v>
      </c>
      <c r="B54" s="5" t="s">
        <v>13393</v>
      </c>
      <c r="C54" s="4">
        <f>Controle_Pedidos[[#This Row],[Data Compra]]</f>
        <v>45588</v>
      </c>
      <c r="D54" s="4">
        <v>45588</v>
      </c>
      <c r="E54" s="5" t="s">
        <v>15492</v>
      </c>
      <c r="F54" s="5" t="s">
        <v>17483</v>
      </c>
      <c r="G54" s="5" t="s">
        <v>821</v>
      </c>
      <c r="H54" s="5">
        <v>1</v>
      </c>
      <c r="I54" s="8" t="s">
        <v>7240</v>
      </c>
      <c r="J54" s="8" t="s">
        <v>9289</v>
      </c>
      <c r="K54" s="8" t="s">
        <v>1086</v>
      </c>
      <c r="L54" s="8" t="s">
        <v>11340</v>
      </c>
      <c r="M54" s="8" t="s">
        <v>3136</v>
      </c>
      <c r="N54" s="8" t="s">
        <v>5187</v>
      </c>
      <c r="O54" s="5" t="s">
        <v>43</v>
      </c>
      <c r="P54" s="4">
        <v>45608</v>
      </c>
      <c r="Q54" s="15">
        <v>17.989999999999998</v>
      </c>
      <c r="R54" s="15">
        <v>8.74</v>
      </c>
      <c r="S54" s="15">
        <v>0</v>
      </c>
      <c r="T54"/>
    </row>
    <row r="55" spans="1:20">
      <c r="A55" s="5" t="s">
        <v>36</v>
      </c>
      <c r="B55" s="5" t="s">
        <v>13394</v>
      </c>
      <c r="C55" s="4">
        <f>Controle_Pedidos[[#This Row],[Data Compra]]</f>
        <v>45589</v>
      </c>
      <c r="D55" s="4">
        <v>45589</v>
      </c>
      <c r="E55" s="5" t="s">
        <v>15493</v>
      </c>
      <c r="F55" s="5" t="s">
        <v>17484</v>
      </c>
      <c r="G55" s="5" t="s">
        <v>821</v>
      </c>
      <c r="H55" s="5">
        <v>1</v>
      </c>
      <c r="I55" s="8" t="s">
        <v>7241</v>
      </c>
      <c r="J55" s="8" t="s">
        <v>9290</v>
      </c>
      <c r="K55" s="8" t="s">
        <v>1087</v>
      </c>
      <c r="L55" s="8" t="s">
        <v>11341</v>
      </c>
      <c r="M55" s="8" t="s">
        <v>3137</v>
      </c>
      <c r="N55" s="8" t="s">
        <v>5188</v>
      </c>
      <c r="O55" s="5" t="s">
        <v>43</v>
      </c>
      <c r="P55" s="4">
        <v>45615</v>
      </c>
      <c r="Q55" s="15">
        <v>17.989999999999998</v>
      </c>
      <c r="R55" s="15">
        <v>8.74</v>
      </c>
      <c r="S55" s="15">
        <v>0</v>
      </c>
      <c r="T55"/>
    </row>
    <row r="56" spans="1:20">
      <c r="A56" s="5" t="s">
        <v>36</v>
      </c>
      <c r="B56" s="5" t="s">
        <v>13395</v>
      </c>
      <c r="C56" s="4">
        <f>Controle_Pedidos[[#This Row],[Data Compra]]</f>
        <v>45588</v>
      </c>
      <c r="D56" s="4">
        <v>45588</v>
      </c>
      <c r="E56" s="5" t="s">
        <v>15494</v>
      </c>
      <c r="F56" s="5" t="s">
        <v>17485</v>
      </c>
      <c r="G56" s="5" t="s">
        <v>821</v>
      </c>
      <c r="H56" s="5">
        <v>1</v>
      </c>
      <c r="I56" s="8" t="s">
        <v>7242</v>
      </c>
      <c r="J56" s="8" t="s">
        <v>9291</v>
      </c>
      <c r="K56" s="8" t="s">
        <v>1088</v>
      </c>
      <c r="L56" s="8" t="s">
        <v>11342</v>
      </c>
      <c r="M56" s="8" t="s">
        <v>3138</v>
      </c>
      <c r="N56" s="8" t="s">
        <v>5189</v>
      </c>
      <c r="O56" s="5" t="s">
        <v>43</v>
      </c>
      <c r="P56" s="4">
        <v>45615</v>
      </c>
      <c r="Q56" s="15">
        <v>17.989999999999998</v>
      </c>
      <c r="R56" s="15">
        <v>8.74</v>
      </c>
      <c r="S56" s="15">
        <v>0</v>
      </c>
      <c r="T56"/>
    </row>
    <row r="57" spans="1:20">
      <c r="A57" s="5" t="s">
        <v>36</v>
      </c>
      <c r="B57" s="5" t="s">
        <v>13396</v>
      </c>
      <c r="C57" s="4">
        <f>Controle_Pedidos[[#This Row],[Data Compra]]</f>
        <v>45588</v>
      </c>
      <c r="D57" s="4">
        <v>45588</v>
      </c>
      <c r="E57" s="5" t="s">
        <v>15495</v>
      </c>
      <c r="F57" s="5" t="s">
        <v>17486</v>
      </c>
      <c r="G57" s="5" t="s">
        <v>829</v>
      </c>
      <c r="H57" s="5">
        <v>1</v>
      </c>
      <c r="I57" s="8" t="s">
        <v>7243</v>
      </c>
      <c r="J57" s="8" t="s">
        <v>9292</v>
      </c>
      <c r="K57" s="8" t="s">
        <v>1089</v>
      </c>
      <c r="L57" s="8" t="s">
        <v>11343</v>
      </c>
      <c r="M57" s="8" t="s">
        <v>3139</v>
      </c>
      <c r="N57" s="8" t="s">
        <v>5190</v>
      </c>
      <c r="O57" s="5" t="s">
        <v>40</v>
      </c>
      <c r="P57" s="4">
        <v>45615</v>
      </c>
      <c r="Q57" s="15">
        <v>18.2</v>
      </c>
      <c r="R57" s="15">
        <v>4.99</v>
      </c>
      <c r="S57" s="15">
        <v>0</v>
      </c>
      <c r="T57"/>
    </row>
    <row r="58" spans="1:20">
      <c r="A58" s="5" t="s">
        <v>36</v>
      </c>
      <c r="B58" s="5" t="s">
        <v>13397</v>
      </c>
      <c r="C58" s="4">
        <f>Controle_Pedidos[[#This Row],[Data Compra]]</f>
        <v>45617</v>
      </c>
      <c r="D58" s="4">
        <v>45617</v>
      </c>
      <c r="E58" s="5" t="s">
        <v>15496</v>
      </c>
      <c r="F58" s="5" t="s">
        <v>17487</v>
      </c>
      <c r="G58" s="5" t="s">
        <v>817</v>
      </c>
      <c r="H58" s="5">
        <v>1</v>
      </c>
      <c r="I58" s="8" t="s">
        <v>7244</v>
      </c>
      <c r="J58" s="8" t="s">
        <v>9293</v>
      </c>
      <c r="K58" s="8" t="s">
        <v>1090</v>
      </c>
      <c r="L58" s="8" t="s">
        <v>11344</v>
      </c>
      <c r="M58" s="8" t="s">
        <v>3140</v>
      </c>
      <c r="N58" s="8" t="s">
        <v>5191</v>
      </c>
      <c r="O58" s="5" t="s">
        <v>39</v>
      </c>
      <c r="P58" s="4">
        <v>45627</v>
      </c>
      <c r="Q58" s="15">
        <v>24.99</v>
      </c>
      <c r="R58" s="15">
        <v>14.99</v>
      </c>
      <c r="S58" s="15">
        <v>0</v>
      </c>
      <c r="T58"/>
    </row>
    <row r="59" spans="1:20">
      <c r="A59" s="5" t="s">
        <v>36</v>
      </c>
      <c r="B59" s="5" t="s">
        <v>13398</v>
      </c>
      <c r="C59" s="4">
        <f>Controle_Pedidos[[#This Row],[Data Compra]]</f>
        <v>45589</v>
      </c>
      <c r="D59" s="4">
        <v>45589</v>
      </c>
      <c r="E59" s="5" t="s">
        <v>15497</v>
      </c>
      <c r="F59" s="5" t="s">
        <v>17488</v>
      </c>
      <c r="G59" s="5" t="s">
        <v>821</v>
      </c>
      <c r="H59" s="5">
        <v>1</v>
      </c>
      <c r="I59" s="8" t="s">
        <v>7245</v>
      </c>
      <c r="J59" s="8" t="s">
        <v>9294</v>
      </c>
      <c r="K59" s="8" t="s">
        <v>1091</v>
      </c>
      <c r="L59" s="8" t="s">
        <v>11345</v>
      </c>
      <c r="M59" s="8" t="s">
        <v>3141</v>
      </c>
      <c r="N59" s="8" t="s">
        <v>5192</v>
      </c>
      <c r="O59" s="5" t="s">
        <v>43</v>
      </c>
      <c r="P59" s="4">
        <v>45608</v>
      </c>
      <c r="Q59" s="15">
        <v>17.989999999999998</v>
      </c>
      <c r="R59" s="15">
        <v>8.74</v>
      </c>
      <c r="S59" s="15">
        <v>0</v>
      </c>
      <c r="T59"/>
    </row>
    <row r="60" spans="1:20">
      <c r="A60" s="5" t="s">
        <v>36</v>
      </c>
      <c r="B60" s="5" t="s">
        <v>13399</v>
      </c>
      <c r="C60" s="4">
        <f>Controle_Pedidos[[#This Row],[Data Compra]]</f>
        <v>45588</v>
      </c>
      <c r="D60" s="4">
        <v>45588</v>
      </c>
      <c r="E60" s="5" t="s">
        <v>15498</v>
      </c>
      <c r="F60" s="5" t="s">
        <v>17489</v>
      </c>
      <c r="G60" s="5" t="s">
        <v>817</v>
      </c>
      <c r="H60" s="5">
        <v>1</v>
      </c>
      <c r="I60" s="8" t="s">
        <v>7246</v>
      </c>
      <c r="J60" s="8" t="s">
        <v>9295</v>
      </c>
      <c r="K60" s="8" t="s">
        <v>1092</v>
      </c>
      <c r="L60" s="8" t="s">
        <v>11346</v>
      </c>
      <c r="M60" s="8" t="s">
        <v>3142</v>
      </c>
      <c r="N60" s="8" t="s">
        <v>5193</v>
      </c>
      <c r="O60" s="5" t="s">
        <v>39</v>
      </c>
      <c r="P60" s="4">
        <v>45602</v>
      </c>
      <c r="Q60" s="15">
        <v>24.99</v>
      </c>
      <c r="R60" s="15">
        <v>9.99</v>
      </c>
      <c r="S60" s="15">
        <v>0</v>
      </c>
      <c r="T60"/>
    </row>
    <row r="61" spans="1:20">
      <c r="A61" s="5" t="s">
        <v>36</v>
      </c>
      <c r="B61" s="5" t="s">
        <v>13400</v>
      </c>
      <c r="C61" s="4">
        <f>Controle_Pedidos[[#This Row],[Data Compra]]</f>
        <v>45588</v>
      </c>
      <c r="D61" s="4">
        <v>45588</v>
      </c>
      <c r="E61" s="5" t="s">
        <v>15499</v>
      </c>
      <c r="F61" s="5" t="s">
        <v>17490</v>
      </c>
      <c r="G61" s="5" t="s">
        <v>817</v>
      </c>
      <c r="H61" s="5">
        <v>1</v>
      </c>
      <c r="I61" s="8" t="s">
        <v>7247</v>
      </c>
      <c r="J61" s="8" t="s">
        <v>9296</v>
      </c>
      <c r="K61" s="8" t="s">
        <v>1093</v>
      </c>
      <c r="L61" s="8" t="s">
        <v>11347</v>
      </c>
      <c r="M61" s="8" t="s">
        <v>3143</v>
      </c>
      <c r="N61" s="8" t="s">
        <v>5194</v>
      </c>
      <c r="O61" s="5" t="s">
        <v>39</v>
      </c>
      <c r="P61" s="4">
        <v>45602</v>
      </c>
      <c r="Q61" s="15">
        <v>26.99</v>
      </c>
      <c r="R61" s="15">
        <v>9.99</v>
      </c>
      <c r="S61" s="15">
        <v>0</v>
      </c>
      <c r="T61"/>
    </row>
    <row r="62" spans="1:20">
      <c r="A62" s="5" t="s">
        <v>36</v>
      </c>
      <c r="B62" s="5" t="s">
        <v>13401</v>
      </c>
      <c r="C62" s="4">
        <f>Controle_Pedidos[[#This Row],[Data Compra]]</f>
        <v>45589</v>
      </c>
      <c r="D62" s="4">
        <v>45589</v>
      </c>
      <c r="E62" s="5" t="s">
        <v>15500</v>
      </c>
      <c r="F62" s="5" t="s">
        <v>17491</v>
      </c>
      <c r="G62" s="5" t="s">
        <v>821</v>
      </c>
      <c r="H62" s="5">
        <v>1</v>
      </c>
      <c r="I62" s="8" t="s">
        <v>7248</v>
      </c>
      <c r="J62" s="8" t="s">
        <v>9297</v>
      </c>
      <c r="K62" s="8" t="s">
        <v>1094</v>
      </c>
      <c r="L62" s="8" t="s">
        <v>11348</v>
      </c>
      <c r="M62" s="8" t="s">
        <v>3144</v>
      </c>
      <c r="N62" s="8" t="s">
        <v>5195</v>
      </c>
      <c r="O62" s="5" t="s">
        <v>43</v>
      </c>
      <c r="P62" s="4">
        <v>45602</v>
      </c>
      <c r="Q62" s="15">
        <v>19.989999999999998</v>
      </c>
      <c r="R62" s="15">
        <v>8.74</v>
      </c>
      <c r="S62" s="15">
        <v>0</v>
      </c>
      <c r="T62"/>
    </row>
    <row r="63" spans="1:20">
      <c r="A63" s="5" t="s">
        <v>36</v>
      </c>
      <c r="B63" s="5" t="s">
        <v>13402</v>
      </c>
      <c r="C63" s="4">
        <f>Controle_Pedidos[[#This Row],[Data Compra]]</f>
        <v>45588</v>
      </c>
      <c r="D63" s="4">
        <v>45588</v>
      </c>
      <c r="E63" s="5" t="s">
        <v>15501</v>
      </c>
      <c r="F63" s="5" t="s">
        <v>17492</v>
      </c>
      <c r="G63" s="5" t="s">
        <v>817</v>
      </c>
      <c r="H63" s="5">
        <v>1</v>
      </c>
      <c r="I63" s="8" t="s">
        <v>7249</v>
      </c>
      <c r="J63" s="8" t="s">
        <v>9298</v>
      </c>
      <c r="K63" s="8" t="s">
        <v>1095</v>
      </c>
      <c r="L63" s="8" t="s">
        <v>11349</v>
      </c>
      <c r="M63" s="8" t="s">
        <v>3145</v>
      </c>
      <c r="N63" s="8" t="s">
        <v>5196</v>
      </c>
      <c r="O63" s="5" t="s">
        <v>39</v>
      </c>
      <c r="P63" s="4">
        <v>45604</v>
      </c>
      <c r="Q63" s="15">
        <v>26.99</v>
      </c>
      <c r="R63" s="15">
        <v>9.99</v>
      </c>
      <c r="S63" s="15">
        <v>0</v>
      </c>
      <c r="T63"/>
    </row>
    <row r="64" spans="1:20">
      <c r="A64" s="5" t="s">
        <v>36</v>
      </c>
      <c r="B64" s="5" t="s">
        <v>13403</v>
      </c>
      <c r="C64" s="4">
        <f>Controle_Pedidos[[#This Row],[Data Compra]]</f>
        <v>45589</v>
      </c>
      <c r="D64" s="4">
        <v>45589</v>
      </c>
      <c r="E64" s="5" t="s">
        <v>15502</v>
      </c>
      <c r="F64" s="5" t="s">
        <v>17493</v>
      </c>
      <c r="G64" s="5" t="s">
        <v>826</v>
      </c>
      <c r="H64" s="5">
        <v>1</v>
      </c>
      <c r="I64" s="8" t="s">
        <v>7250</v>
      </c>
      <c r="J64" s="8" t="s">
        <v>9299</v>
      </c>
      <c r="K64" s="8" t="s">
        <v>1096</v>
      </c>
      <c r="L64" s="8" t="s">
        <v>11350</v>
      </c>
      <c r="M64" s="8" t="s">
        <v>3146</v>
      </c>
      <c r="N64" s="8" t="s">
        <v>5197</v>
      </c>
      <c r="O64" s="5" t="s">
        <v>42</v>
      </c>
      <c r="P64" s="4">
        <v>45609</v>
      </c>
      <c r="Q64" s="15">
        <v>15.99</v>
      </c>
      <c r="R64" s="15">
        <v>4.99</v>
      </c>
      <c r="S64" s="15">
        <v>0</v>
      </c>
      <c r="T64"/>
    </row>
    <row r="65" spans="1:20">
      <c r="A65" s="5" t="s">
        <v>36</v>
      </c>
      <c r="B65" s="5" t="s">
        <v>13404</v>
      </c>
      <c r="C65" s="4">
        <f>Controle_Pedidos[[#This Row],[Data Compra]]</f>
        <v>45589</v>
      </c>
      <c r="D65" s="4">
        <v>45589</v>
      </c>
      <c r="E65" s="5" t="s">
        <v>15503</v>
      </c>
      <c r="F65" s="5" t="s">
        <v>17494</v>
      </c>
      <c r="G65" s="5" t="s">
        <v>817</v>
      </c>
      <c r="H65" s="5">
        <v>1</v>
      </c>
      <c r="I65" s="8" t="s">
        <v>7251</v>
      </c>
      <c r="J65" s="8" t="s">
        <v>9300</v>
      </c>
      <c r="K65" s="8" t="s">
        <v>1097</v>
      </c>
      <c r="L65" s="8" t="s">
        <v>11351</v>
      </c>
      <c r="M65" s="8" t="s">
        <v>3147</v>
      </c>
      <c r="N65" s="8" t="s">
        <v>5198</v>
      </c>
      <c r="O65" s="5" t="s">
        <v>39</v>
      </c>
      <c r="P65" s="4">
        <v>45615</v>
      </c>
      <c r="Q65" s="15">
        <v>30</v>
      </c>
      <c r="R65" s="15">
        <v>9.99</v>
      </c>
      <c r="S65" s="15">
        <v>0</v>
      </c>
      <c r="T65"/>
    </row>
    <row r="66" spans="1:20">
      <c r="A66" s="5" t="s">
        <v>36</v>
      </c>
      <c r="B66" s="5" t="s">
        <v>13405</v>
      </c>
      <c r="C66" s="4">
        <f>Controle_Pedidos[[#This Row],[Data Compra]]</f>
        <v>45589</v>
      </c>
      <c r="D66" s="4">
        <v>45589</v>
      </c>
      <c r="E66" s="5" t="s">
        <v>15504</v>
      </c>
      <c r="F66" s="5" t="s">
        <v>17495</v>
      </c>
      <c r="G66" s="5" t="s">
        <v>831</v>
      </c>
      <c r="H66" s="5">
        <v>1</v>
      </c>
      <c r="I66" s="8" t="s">
        <v>7252</v>
      </c>
      <c r="J66" s="8" t="s">
        <v>9301</v>
      </c>
      <c r="K66" s="8" t="s">
        <v>1098</v>
      </c>
      <c r="L66" s="8" t="s">
        <v>11352</v>
      </c>
      <c r="M66" s="8" t="s">
        <v>3148</v>
      </c>
      <c r="N66" s="8" t="s">
        <v>5199</v>
      </c>
      <c r="O66" s="5" t="s">
        <v>41</v>
      </c>
      <c r="P66" s="4">
        <v>45616</v>
      </c>
      <c r="Q66" s="15">
        <v>50.2</v>
      </c>
      <c r="R66" s="15">
        <v>10.34</v>
      </c>
      <c r="S66" s="15">
        <v>0</v>
      </c>
      <c r="T66"/>
    </row>
    <row r="67" spans="1:20">
      <c r="A67" s="5" t="s">
        <v>36</v>
      </c>
      <c r="B67" s="5" t="s">
        <v>13406</v>
      </c>
      <c r="C67" s="4">
        <f>Controle_Pedidos[[#This Row],[Data Compra]]</f>
        <v>45589</v>
      </c>
      <c r="D67" s="4">
        <v>45589</v>
      </c>
      <c r="E67" s="5" t="s">
        <v>15505</v>
      </c>
      <c r="F67" s="5" t="s">
        <v>17496</v>
      </c>
      <c r="G67" s="5" t="s">
        <v>824</v>
      </c>
      <c r="H67" s="5">
        <v>1</v>
      </c>
      <c r="I67" s="8" t="s">
        <v>7253</v>
      </c>
      <c r="J67" s="8" t="s">
        <v>9302</v>
      </c>
      <c r="K67" s="8" t="s">
        <v>1099</v>
      </c>
      <c r="L67" s="8" t="s">
        <v>11353</v>
      </c>
      <c r="M67" s="8" t="s">
        <v>3149</v>
      </c>
      <c r="N67" s="8" t="s">
        <v>5200</v>
      </c>
      <c r="O67" s="5" t="s">
        <v>38</v>
      </c>
      <c r="P67" s="4">
        <v>45609</v>
      </c>
      <c r="Q67" s="15">
        <v>15.99</v>
      </c>
      <c r="R67" s="15">
        <v>4.99</v>
      </c>
      <c r="S67" s="15">
        <v>0</v>
      </c>
      <c r="T67"/>
    </row>
    <row r="68" spans="1:20">
      <c r="A68" s="5" t="s">
        <v>36</v>
      </c>
      <c r="B68" s="5" t="s">
        <v>13407</v>
      </c>
      <c r="C68" s="4">
        <f>Controle_Pedidos[[#This Row],[Data Compra]]</f>
        <v>45589</v>
      </c>
      <c r="D68" s="4">
        <v>45589</v>
      </c>
      <c r="E68" s="5" t="s">
        <v>15506</v>
      </c>
      <c r="F68" s="5" t="s">
        <v>17497</v>
      </c>
      <c r="G68" s="5" t="s">
        <v>824</v>
      </c>
      <c r="H68" s="5">
        <v>1</v>
      </c>
      <c r="I68" s="8" t="s">
        <v>7254</v>
      </c>
      <c r="J68" s="8" t="s">
        <v>9303</v>
      </c>
      <c r="K68" s="8" t="s">
        <v>1100</v>
      </c>
      <c r="L68" s="8" t="s">
        <v>11354</v>
      </c>
      <c r="M68" s="8" t="s">
        <v>3150</v>
      </c>
      <c r="N68" s="8" t="s">
        <v>5201</v>
      </c>
      <c r="O68" s="5" t="s">
        <v>38</v>
      </c>
      <c r="P68" s="4">
        <v>45616</v>
      </c>
      <c r="Q68" s="15">
        <v>15.99</v>
      </c>
      <c r="R68" s="15">
        <v>4.99</v>
      </c>
      <c r="S68" s="15">
        <v>0</v>
      </c>
      <c r="T68"/>
    </row>
    <row r="69" spans="1:20">
      <c r="A69" s="5" t="s">
        <v>36</v>
      </c>
      <c r="B69" s="5" t="s">
        <v>13408</v>
      </c>
      <c r="C69" s="4">
        <f>Controle_Pedidos[[#This Row],[Data Compra]]</f>
        <v>45589</v>
      </c>
      <c r="D69" s="4">
        <v>45589</v>
      </c>
      <c r="E69" s="5" t="s">
        <v>15507</v>
      </c>
      <c r="F69" s="5" t="s">
        <v>17498</v>
      </c>
      <c r="G69" s="5" t="s">
        <v>824</v>
      </c>
      <c r="H69" s="5">
        <v>1</v>
      </c>
      <c r="I69" s="8" t="s">
        <v>7255</v>
      </c>
      <c r="J69" s="8" t="s">
        <v>9304</v>
      </c>
      <c r="K69" s="8" t="s">
        <v>1101</v>
      </c>
      <c r="L69" s="8" t="s">
        <v>11355</v>
      </c>
      <c r="M69" s="8" t="s">
        <v>3151</v>
      </c>
      <c r="N69" s="8" t="s">
        <v>5202</v>
      </c>
      <c r="O69" s="5" t="s">
        <v>38</v>
      </c>
      <c r="P69" s="4">
        <v>45616</v>
      </c>
      <c r="Q69" s="15">
        <v>15.99</v>
      </c>
      <c r="R69" s="15">
        <v>4.99</v>
      </c>
      <c r="S69" s="15">
        <v>0</v>
      </c>
      <c r="T69"/>
    </row>
    <row r="70" spans="1:20">
      <c r="A70" s="5" t="s">
        <v>36</v>
      </c>
      <c r="B70" s="5" t="s">
        <v>13409</v>
      </c>
      <c r="C70" s="4">
        <f>Controle_Pedidos[[#This Row],[Data Compra]]</f>
        <v>45589</v>
      </c>
      <c r="D70" s="4">
        <v>45589</v>
      </c>
      <c r="E70" s="5" t="s">
        <v>15508</v>
      </c>
      <c r="F70" s="5" t="s">
        <v>17499</v>
      </c>
      <c r="G70" s="5" t="s">
        <v>824</v>
      </c>
      <c r="H70" s="5">
        <v>1</v>
      </c>
      <c r="I70" s="8" t="s">
        <v>7256</v>
      </c>
      <c r="J70" s="8" t="s">
        <v>9305</v>
      </c>
      <c r="K70" s="8" t="s">
        <v>1102</v>
      </c>
      <c r="L70" s="8" t="s">
        <v>11356</v>
      </c>
      <c r="M70" s="8" t="s">
        <v>3152</v>
      </c>
      <c r="N70" s="8" t="s">
        <v>5203</v>
      </c>
      <c r="O70" s="5" t="s">
        <v>38</v>
      </c>
      <c r="P70" s="4">
        <v>45603</v>
      </c>
      <c r="Q70" s="15">
        <v>15.99</v>
      </c>
      <c r="R70" s="15">
        <v>4.99</v>
      </c>
      <c r="S70" s="15">
        <v>0</v>
      </c>
      <c r="T70"/>
    </row>
    <row r="71" spans="1:20">
      <c r="A71" s="5" t="s">
        <v>36</v>
      </c>
      <c r="B71" s="5" t="s">
        <v>13410</v>
      </c>
      <c r="C71" s="4">
        <f>Controle_Pedidos[[#This Row],[Data Compra]]</f>
        <v>45589</v>
      </c>
      <c r="D71" s="4">
        <v>45589</v>
      </c>
      <c r="E71" s="5" t="s">
        <v>15509</v>
      </c>
      <c r="F71" s="5" t="s">
        <v>17500</v>
      </c>
      <c r="G71" s="5" t="s">
        <v>824</v>
      </c>
      <c r="H71" s="5">
        <v>1</v>
      </c>
      <c r="I71" s="8" t="s">
        <v>7257</v>
      </c>
      <c r="J71" s="8" t="s">
        <v>9306</v>
      </c>
      <c r="K71" s="8" t="s">
        <v>1103</v>
      </c>
      <c r="L71" s="8" t="s">
        <v>11357</v>
      </c>
      <c r="M71" s="8" t="s">
        <v>3153</v>
      </c>
      <c r="N71" s="8" t="s">
        <v>5204</v>
      </c>
      <c r="O71" s="5" t="s">
        <v>38</v>
      </c>
      <c r="P71" s="4">
        <v>45609</v>
      </c>
      <c r="Q71" s="15">
        <v>15.99</v>
      </c>
      <c r="R71" s="15">
        <v>4.99</v>
      </c>
      <c r="S71" s="15">
        <v>0</v>
      </c>
      <c r="T71"/>
    </row>
    <row r="72" spans="1:20">
      <c r="A72" s="5" t="s">
        <v>36</v>
      </c>
      <c r="B72" s="5" t="s">
        <v>13411</v>
      </c>
      <c r="C72" s="4">
        <f>Controle_Pedidos[[#This Row],[Data Compra]]</f>
        <v>45589</v>
      </c>
      <c r="D72" s="4">
        <v>45589</v>
      </c>
      <c r="E72" s="5" t="s">
        <v>15510</v>
      </c>
      <c r="F72" s="5" t="s">
        <v>17501</v>
      </c>
      <c r="G72" s="5" t="s">
        <v>824</v>
      </c>
      <c r="H72" s="5">
        <v>1</v>
      </c>
      <c r="I72" s="8" t="s">
        <v>7258</v>
      </c>
      <c r="J72" s="8" t="s">
        <v>9307</v>
      </c>
      <c r="K72" s="8" t="s">
        <v>1104</v>
      </c>
      <c r="L72" s="8" t="s">
        <v>11358</v>
      </c>
      <c r="M72" s="8" t="s">
        <v>3154</v>
      </c>
      <c r="N72" s="8" t="s">
        <v>5205</v>
      </c>
      <c r="O72" s="5" t="s">
        <v>38</v>
      </c>
      <c r="P72" s="4">
        <v>45603</v>
      </c>
      <c r="Q72" s="15">
        <v>15.99</v>
      </c>
      <c r="R72" s="15">
        <v>4.99</v>
      </c>
      <c r="S72" s="15">
        <v>0</v>
      </c>
      <c r="T72"/>
    </row>
    <row r="73" spans="1:20">
      <c r="A73" s="5" t="s">
        <v>36</v>
      </c>
      <c r="B73" s="5" t="s">
        <v>13412</v>
      </c>
      <c r="C73" s="4">
        <f>Controle_Pedidos[[#This Row],[Data Compra]]</f>
        <v>45590</v>
      </c>
      <c r="D73" s="4">
        <v>45590</v>
      </c>
      <c r="E73" s="5" t="s">
        <v>15511</v>
      </c>
      <c r="F73" s="5" t="s">
        <v>17502</v>
      </c>
      <c r="G73" s="5" t="s">
        <v>824</v>
      </c>
      <c r="H73" s="5">
        <v>1</v>
      </c>
      <c r="I73" s="8" t="s">
        <v>7259</v>
      </c>
      <c r="J73" s="8" t="s">
        <v>9308</v>
      </c>
      <c r="K73" s="8" t="s">
        <v>1105</v>
      </c>
      <c r="L73" s="8" t="s">
        <v>11359</v>
      </c>
      <c r="M73" s="8" t="s">
        <v>3155</v>
      </c>
      <c r="N73" s="8" t="s">
        <v>5206</v>
      </c>
      <c r="O73" s="5" t="s">
        <v>38</v>
      </c>
      <c r="P73" s="4">
        <v>45605</v>
      </c>
      <c r="Q73" s="15">
        <v>15.99</v>
      </c>
      <c r="R73" s="15">
        <v>4.99</v>
      </c>
      <c r="S73" s="15">
        <v>0</v>
      </c>
      <c r="T73"/>
    </row>
    <row r="74" spans="1:20">
      <c r="A74" s="5" t="s">
        <v>36</v>
      </c>
      <c r="B74" s="5" t="s">
        <v>13413</v>
      </c>
      <c r="C74" s="4">
        <f>Controle_Pedidos[[#This Row],[Data Compra]]</f>
        <v>45589</v>
      </c>
      <c r="D74" s="4">
        <v>45589</v>
      </c>
      <c r="E74" s="5" t="s">
        <v>15512</v>
      </c>
      <c r="F74" s="5" t="s">
        <v>17503</v>
      </c>
      <c r="G74" s="5" t="s">
        <v>824</v>
      </c>
      <c r="H74" s="5">
        <v>1</v>
      </c>
      <c r="I74" s="8" t="s">
        <v>7260</v>
      </c>
      <c r="J74" s="8" t="s">
        <v>9309</v>
      </c>
      <c r="K74" s="8" t="s">
        <v>1106</v>
      </c>
      <c r="L74" s="8" t="s">
        <v>11360</v>
      </c>
      <c r="M74" s="8" t="s">
        <v>3156</v>
      </c>
      <c r="N74" s="8" t="s">
        <v>5207</v>
      </c>
      <c r="O74" s="5" t="s">
        <v>38</v>
      </c>
      <c r="P74" s="4">
        <v>45603</v>
      </c>
      <c r="Q74" s="15">
        <v>15.99</v>
      </c>
      <c r="R74" s="15">
        <v>4.99</v>
      </c>
      <c r="S74" s="15">
        <v>0</v>
      </c>
      <c r="T74"/>
    </row>
    <row r="75" spans="1:20">
      <c r="A75" s="5" t="s">
        <v>36</v>
      </c>
      <c r="B75" s="5" t="s">
        <v>13414</v>
      </c>
      <c r="C75" s="4">
        <f>Controle_Pedidos[[#This Row],[Data Compra]]</f>
        <v>45589</v>
      </c>
      <c r="D75" s="4">
        <v>45589</v>
      </c>
      <c r="E75" s="5" t="s">
        <v>15513</v>
      </c>
      <c r="F75" s="5" t="s">
        <v>17504</v>
      </c>
      <c r="G75" s="5" t="s">
        <v>824</v>
      </c>
      <c r="H75" s="5">
        <v>1</v>
      </c>
      <c r="I75" s="8" t="s">
        <v>7261</v>
      </c>
      <c r="J75" s="8" t="s">
        <v>9310</v>
      </c>
      <c r="K75" s="8" t="s">
        <v>1107</v>
      </c>
      <c r="L75" s="8" t="s">
        <v>11361</v>
      </c>
      <c r="M75" s="8" t="s">
        <v>3157</v>
      </c>
      <c r="N75" s="8" t="s">
        <v>5208</v>
      </c>
      <c r="O75" s="5" t="s">
        <v>38</v>
      </c>
      <c r="P75" s="4">
        <v>45616</v>
      </c>
      <c r="Q75" s="15">
        <v>14.99</v>
      </c>
      <c r="R75" s="15">
        <v>4.99</v>
      </c>
      <c r="S75" s="15">
        <v>0</v>
      </c>
      <c r="T75"/>
    </row>
    <row r="76" spans="1:20">
      <c r="A76" s="5" t="s">
        <v>36</v>
      </c>
      <c r="B76" s="5" t="s">
        <v>13415</v>
      </c>
      <c r="C76" s="4">
        <f>Controle_Pedidos[[#This Row],[Data Compra]]</f>
        <v>45590</v>
      </c>
      <c r="D76" s="4">
        <v>45590</v>
      </c>
      <c r="E76" s="5" t="s">
        <v>15514</v>
      </c>
      <c r="F76" s="5" t="s">
        <v>17505</v>
      </c>
      <c r="G76" s="5" t="s">
        <v>817</v>
      </c>
      <c r="H76" s="5">
        <v>1</v>
      </c>
      <c r="I76" s="8" t="s">
        <v>7262</v>
      </c>
      <c r="J76" s="8" t="s">
        <v>9311</v>
      </c>
      <c r="K76" s="8" t="s">
        <v>1108</v>
      </c>
      <c r="L76" s="8" t="s">
        <v>11362</v>
      </c>
      <c r="M76" s="8" t="s">
        <v>3158</v>
      </c>
      <c r="N76" s="8" t="s">
        <v>5209</v>
      </c>
      <c r="O76" s="5" t="s">
        <v>39</v>
      </c>
      <c r="P76" s="4">
        <v>45610</v>
      </c>
      <c r="Q76" s="15">
        <v>29.99</v>
      </c>
      <c r="R76" s="15">
        <v>9.99</v>
      </c>
      <c r="S76" s="15">
        <v>0</v>
      </c>
      <c r="T76"/>
    </row>
    <row r="77" spans="1:20">
      <c r="A77" s="5" t="s">
        <v>36</v>
      </c>
      <c r="B77" s="5" t="s">
        <v>13416</v>
      </c>
      <c r="C77" s="4">
        <f>Controle_Pedidos[[#This Row],[Data Compra]]</f>
        <v>45590</v>
      </c>
      <c r="D77" s="4">
        <v>45590</v>
      </c>
      <c r="E77" s="5" t="s">
        <v>15515</v>
      </c>
      <c r="F77" s="5" t="s">
        <v>17506</v>
      </c>
      <c r="G77" s="5" t="s">
        <v>829</v>
      </c>
      <c r="H77" s="5">
        <v>1</v>
      </c>
      <c r="I77" s="8" t="s">
        <v>7263</v>
      </c>
      <c r="J77" s="8" t="s">
        <v>9312</v>
      </c>
      <c r="K77" s="8" t="s">
        <v>1109</v>
      </c>
      <c r="L77" s="8" t="s">
        <v>11363</v>
      </c>
      <c r="M77" s="8" t="s">
        <v>3159</v>
      </c>
      <c r="N77" s="8" t="s">
        <v>5210</v>
      </c>
      <c r="O77" s="5" t="s">
        <v>40</v>
      </c>
      <c r="P77" s="4">
        <v>45616</v>
      </c>
      <c r="Q77" s="15">
        <v>18.2</v>
      </c>
      <c r="R77" s="15">
        <v>4.99</v>
      </c>
      <c r="S77" s="15">
        <v>0</v>
      </c>
      <c r="T77"/>
    </row>
    <row r="78" spans="1:20">
      <c r="A78" s="5" t="s">
        <v>36</v>
      </c>
      <c r="B78" s="5" t="s">
        <v>13417</v>
      </c>
      <c r="C78" s="4">
        <f>Controle_Pedidos[[#This Row],[Data Compra]]</f>
        <v>45590</v>
      </c>
      <c r="D78" s="4">
        <v>45590</v>
      </c>
      <c r="E78" s="5" t="s">
        <v>15516</v>
      </c>
      <c r="F78" s="5" t="s">
        <v>17507</v>
      </c>
      <c r="G78" s="5" t="s">
        <v>831</v>
      </c>
      <c r="H78" s="5">
        <v>1</v>
      </c>
      <c r="I78" s="8" t="s">
        <v>7264</v>
      </c>
      <c r="J78" s="8" t="s">
        <v>9313</v>
      </c>
      <c r="K78" s="8" t="s">
        <v>1110</v>
      </c>
      <c r="L78" s="8" t="s">
        <v>11364</v>
      </c>
      <c r="M78" s="8" t="s">
        <v>3160</v>
      </c>
      <c r="N78" s="8" t="s">
        <v>5211</v>
      </c>
      <c r="O78" s="5" t="s">
        <v>41</v>
      </c>
      <c r="P78" s="4">
        <v>45624</v>
      </c>
      <c r="Q78" s="15">
        <v>59.99</v>
      </c>
      <c r="R78" s="15">
        <v>7.26</v>
      </c>
      <c r="S78" s="15">
        <v>0</v>
      </c>
      <c r="T78"/>
    </row>
    <row r="79" spans="1:20">
      <c r="A79" s="5" t="s">
        <v>36</v>
      </c>
      <c r="B79" s="5" t="s">
        <v>13418</v>
      </c>
      <c r="C79" s="4">
        <f>Controle_Pedidos[[#This Row],[Data Compra]]</f>
        <v>45590</v>
      </c>
      <c r="D79" s="4">
        <v>45590</v>
      </c>
      <c r="E79" s="5" t="s">
        <v>15517</v>
      </c>
      <c r="F79" s="5" t="s">
        <v>17508</v>
      </c>
      <c r="G79" s="5" t="s">
        <v>826</v>
      </c>
      <c r="H79" s="5">
        <v>1</v>
      </c>
      <c r="I79" s="8" t="s">
        <v>7265</v>
      </c>
      <c r="J79" s="8" t="s">
        <v>9314</v>
      </c>
      <c r="K79" s="8" t="s">
        <v>1111</v>
      </c>
      <c r="L79" s="8" t="s">
        <v>11365</v>
      </c>
      <c r="M79" s="8" t="s">
        <v>3161</v>
      </c>
      <c r="N79" s="8" t="s">
        <v>5212</v>
      </c>
      <c r="O79" s="5" t="s">
        <v>42</v>
      </c>
      <c r="P79" s="4">
        <v>45604</v>
      </c>
      <c r="Q79" s="15">
        <v>15.99</v>
      </c>
      <c r="R79" s="15">
        <v>4.99</v>
      </c>
      <c r="S79" s="15">
        <v>0</v>
      </c>
      <c r="T79"/>
    </row>
    <row r="80" spans="1:20">
      <c r="A80" s="5" t="s">
        <v>36</v>
      </c>
      <c r="B80" s="5" t="s">
        <v>13419</v>
      </c>
      <c r="C80" s="4">
        <f>Controle_Pedidos[[#This Row],[Data Compra]]</f>
        <v>45590</v>
      </c>
      <c r="D80" s="4">
        <v>45590</v>
      </c>
      <c r="E80" s="5" t="s">
        <v>15518</v>
      </c>
      <c r="F80" s="5" t="s">
        <v>17509</v>
      </c>
      <c r="G80" s="5" t="s">
        <v>824</v>
      </c>
      <c r="H80" s="5">
        <v>1</v>
      </c>
      <c r="I80" s="8" t="s">
        <v>7266</v>
      </c>
      <c r="J80" s="8" t="s">
        <v>9315</v>
      </c>
      <c r="K80" s="8" t="s">
        <v>1112</v>
      </c>
      <c r="L80" s="8" t="s">
        <v>11366</v>
      </c>
      <c r="M80" s="8" t="s">
        <v>3162</v>
      </c>
      <c r="N80" s="8" t="s">
        <v>5213</v>
      </c>
      <c r="O80" s="5" t="s">
        <v>38</v>
      </c>
      <c r="P80" s="4">
        <v>45617</v>
      </c>
      <c r="Q80" s="15">
        <v>15.99</v>
      </c>
      <c r="R80" s="15">
        <v>4.99</v>
      </c>
      <c r="S80" s="15">
        <v>0</v>
      </c>
      <c r="T80"/>
    </row>
    <row r="81" spans="1:20">
      <c r="A81" s="5" t="s">
        <v>36</v>
      </c>
      <c r="B81" s="5" t="s">
        <v>13420</v>
      </c>
      <c r="C81" s="4">
        <f>Controle_Pedidos[[#This Row],[Data Compra]]</f>
        <v>45590</v>
      </c>
      <c r="D81" s="4">
        <v>45590</v>
      </c>
      <c r="E81" s="5" t="s">
        <v>15519</v>
      </c>
      <c r="F81" s="5" t="s">
        <v>17510</v>
      </c>
      <c r="G81" s="5" t="s">
        <v>824</v>
      </c>
      <c r="H81" s="5">
        <v>1</v>
      </c>
      <c r="I81" s="8" t="s">
        <v>7267</v>
      </c>
      <c r="J81" s="8" t="s">
        <v>9316</v>
      </c>
      <c r="K81" s="8" t="s">
        <v>1113</v>
      </c>
      <c r="L81" s="8" t="s">
        <v>11367</v>
      </c>
      <c r="M81" s="8" t="s">
        <v>3163</v>
      </c>
      <c r="N81" s="8" t="s">
        <v>5214</v>
      </c>
      <c r="O81" s="5" t="s">
        <v>38</v>
      </c>
      <c r="P81" s="4">
        <v>45610</v>
      </c>
      <c r="Q81" s="15">
        <v>15.99</v>
      </c>
      <c r="R81" s="15">
        <v>4.99</v>
      </c>
      <c r="S81" s="15">
        <v>0</v>
      </c>
      <c r="T81"/>
    </row>
    <row r="82" spans="1:20">
      <c r="A82" s="5" t="s">
        <v>36</v>
      </c>
      <c r="B82" s="5" t="s">
        <v>13421</v>
      </c>
      <c r="C82" s="4">
        <f>Controle_Pedidos[[#This Row],[Data Compra]]</f>
        <v>45590</v>
      </c>
      <c r="D82" s="4">
        <v>45590</v>
      </c>
      <c r="E82" s="5" t="s">
        <v>15520</v>
      </c>
      <c r="F82" s="5" t="s">
        <v>17511</v>
      </c>
      <c r="G82" s="5" t="s">
        <v>829</v>
      </c>
      <c r="H82" s="5">
        <v>1</v>
      </c>
      <c r="I82" s="8" t="s">
        <v>7268</v>
      </c>
      <c r="J82" s="8" t="s">
        <v>9317</v>
      </c>
      <c r="K82" s="8" t="s">
        <v>1114</v>
      </c>
      <c r="L82" s="8" t="s">
        <v>11368</v>
      </c>
      <c r="M82" s="8" t="s">
        <v>3164</v>
      </c>
      <c r="N82" s="8" t="s">
        <v>5215</v>
      </c>
      <c r="O82" s="5" t="s">
        <v>40</v>
      </c>
      <c r="P82" s="4">
        <v>45617</v>
      </c>
      <c r="Q82" s="15">
        <v>18.2</v>
      </c>
      <c r="R82" s="15">
        <v>4.99</v>
      </c>
      <c r="S82" s="15">
        <v>0</v>
      </c>
      <c r="T82"/>
    </row>
    <row r="83" spans="1:20">
      <c r="A83" s="5" t="s">
        <v>36</v>
      </c>
      <c r="B83" s="5" t="s">
        <v>13422</v>
      </c>
      <c r="C83" s="4">
        <f>Controle_Pedidos[[#This Row],[Data Compra]]</f>
        <v>45614</v>
      </c>
      <c r="D83" s="4">
        <v>45614</v>
      </c>
      <c r="E83" s="5" t="s">
        <v>15521</v>
      </c>
      <c r="F83" s="5" t="s">
        <v>17512</v>
      </c>
      <c r="G83" s="5" t="s">
        <v>829</v>
      </c>
      <c r="H83" s="5">
        <v>1</v>
      </c>
      <c r="I83" s="8" t="s">
        <v>7269</v>
      </c>
      <c r="J83" s="8" t="s">
        <v>9318</v>
      </c>
      <c r="K83" s="8" t="s">
        <v>1115</v>
      </c>
      <c r="L83" s="8" t="s">
        <v>11369</v>
      </c>
      <c r="M83" s="8" t="s">
        <v>3165</v>
      </c>
      <c r="N83" s="8" t="s">
        <v>5216</v>
      </c>
      <c r="O83" s="5" t="s">
        <v>40</v>
      </c>
      <c r="P83" s="4">
        <v>45610</v>
      </c>
      <c r="Q83" s="15">
        <v>18.2</v>
      </c>
      <c r="R83" s="15">
        <v>6.99</v>
      </c>
      <c r="S83" s="15">
        <v>0</v>
      </c>
      <c r="T83"/>
    </row>
    <row r="84" spans="1:20">
      <c r="A84" s="5" t="s">
        <v>36</v>
      </c>
      <c r="B84" s="5" t="s">
        <v>13423</v>
      </c>
      <c r="C84" s="4">
        <f>Controle_Pedidos[[#This Row],[Data Compra]]</f>
        <v>45590</v>
      </c>
      <c r="D84" s="4">
        <v>45590</v>
      </c>
      <c r="E84" s="5" t="s">
        <v>15522</v>
      </c>
      <c r="F84" s="5" t="s">
        <v>17513</v>
      </c>
      <c r="G84" s="5" t="s">
        <v>826</v>
      </c>
      <c r="H84" s="5">
        <v>1</v>
      </c>
      <c r="I84" s="8" t="s">
        <v>7270</v>
      </c>
      <c r="J84" s="8" t="s">
        <v>9319</v>
      </c>
      <c r="K84" s="8" t="s">
        <v>1116</v>
      </c>
      <c r="L84" s="8" t="s">
        <v>11370</v>
      </c>
      <c r="M84" s="8" t="s">
        <v>3166</v>
      </c>
      <c r="N84" s="8" t="s">
        <v>5217</v>
      </c>
      <c r="O84" s="5" t="s">
        <v>42</v>
      </c>
      <c r="P84" s="4">
        <v>45604</v>
      </c>
      <c r="Q84" s="15">
        <v>15.99</v>
      </c>
      <c r="R84" s="15">
        <v>4.99</v>
      </c>
      <c r="S84" s="15">
        <v>0</v>
      </c>
      <c r="T84"/>
    </row>
    <row r="85" spans="1:20">
      <c r="A85" s="5" t="s">
        <v>36</v>
      </c>
      <c r="B85" s="5" t="s">
        <v>13424</v>
      </c>
      <c r="C85" s="4">
        <f>Controle_Pedidos[[#This Row],[Data Compra]]</f>
        <v>45590</v>
      </c>
      <c r="D85" s="4">
        <v>45590</v>
      </c>
      <c r="E85" s="5" t="s">
        <v>15523</v>
      </c>
      <c r="F85" s="5" t="s">
        <v>17514</v>
      </c>
      <c r="G85" s="5" t="s">
        <v>833</v>
      </c>
      <c r="H85" s="5">
        <v>1</v>
      </c>
      <c r="I85" s="8" t="s">
        <v>7271</v>
      </c>
      <c r="J85" s="8" t="s">
        <v>9320</v>
      </c>
      <c r="K85" s="8" t="s">
        <v>1117</v>
      </c>
      <c r="L85" s="8" t="s">
        <v>11371</v>
      </c>
      <c r="M85" s="8" t="s">
        <v>3167</v>
      </c>
      <c r="N85" s="8" t="s">
        <v>5218</v>
      </c>
      <c r="O85" s="5" t="s">
        <v>49</v>
      </c>
      <c r="P85" s="4">
        <v>45617</v>
      </c>
      <c r="Q85" s="15">
        <v>22.99</v>
      </c>
      <c r="R85" s="15">
        <v>6.32</v>
      </c>
      <c r="S85" s="15">
        <v>0</v>
      </c>
      <c r="T85"/>
    </row>
    <row r="86" spans="1:20">
      <c r="A86" s="5" t="s">
        <v>36</v>
      </c>
      <c r="B86" s="5" t="s">
        <v>13424</v>
      </c>
      <c r="C86" s="4">
        <f>Controle_Pedidos[[#This Row],[Data Compra]]</f>
        <v>45591</v>
      </c>
      <c r="D86" s="4">
        <v>45591</v>
      </c>
      <c r="E86" s="5" t="s">
        <v>15524</v>
      </c>
      <c r="F86" s="5" t="s">
        <v>17515</v>
      </c>
      <c r="G86" s="5" t="s">
        <v>826</v>
      </c>
      <c r="H86" s="5">
        <v>1</v>
      </c>
      <c r="I86" s="8" t="s">
        <v>7271</v>
      </c>
      <c r="J86" s="8" t="s">
        <v>9320</v>
      </c>
      <c r="K86" s="8" t="s">
        <v>1117</v>
      </c>
      <c r="L86" s="8" t="s">
        <v>11371</v>
      </c>
      <c r="M86" s="8" t="s">
        <v>3167</v>
      </c>
      <c r="N86" s="8" t="s">
        <v>5218</v>
      </c>
      <c r="O86" s="5" t="s">
        <v>42</v>
      </c>
      <c r="P86" s="4">
        <v>45617</v>
      </c>
      <c r="Q86" s="15">
        <v>15.99</v>
      </c>
      <c r="R86" s="15">
        <v>4.99</v>
      </c>
      <c r="S86" s="15">
        <v>0</v>
      </c>
      <c r="T86"/>
    </row>
    <row r="87" spans="1:20">
      <c r="A87" s="5" t="s">
        <v>36</v>
      </c>
      <c r="B87" s="5" t="s">
        <v>13424</v>
      </c>
      <c r="C87" s="4">
        <f>Controle_Pedidos[[#This Row],[Data Compra]]</f>
        <v>45591</v>
      </c>
      <c r="D87" s="4">
        <v>45591</v>
      </c>
      <c r="E87" s="5" t="s">
        <v>15525</v>
      </c>
      <c r="F87" s="5" t="s">
        <v>17516</v>
      </c>
      <c r="G87" s="5" t="s">
        <v>824</v>
      </c>
      <c r="H87" s="5">
        <v>1</v>
      </c>
      <c r="I87" s="8" t="s">
        <v>7271</v>
      </c>
      <c r="J87" s="8" t="s">
        <v>9320</v>
      </c>
      <c r="K87" s="8" t="s">
        <v>1117</v>
      </c>
      <c r="L87" s="8" t="s">
        <v>11371</v>
      </c>
      <c r="M87" s="8" t="s">
        <v>3167</v>
      </c>
      <c r="N87" s="8" t="s">
        <v>5218</v>
      </c>
      <c r="O87" s="5" t="s">
        <v>38</v>
      </c>
      <c r="P87" s="4">
        <v>45617</v>
      </c>
      <c r="Q87" s="15">
        <v>15.99</v>
      </c>
      <c r="R87" s="15">
        <v>4.99</v>
      </c>
      <c r="S87" s="15">
        <v>0</v>
      </c>
      <c r="T87"/>
    </row>
    <row r="88" spans="1:20">
      <c r="A88" s="5" t="s">
        <v>36</v>
      </c>
      <c r="B88" s="5" t="s">
        <v>13425</v>
      </c>
      <c r="C88" s="4">
        <f>Controle_Pedidos[[#This Row],[Data Compra]]</f>
        <v>45590</v>
      </c>
      <c r="D88" s="4">
        <v>45590</v>
      </c>
      <c r="E88" s="5" t="s">
        <v>15526</v>
      </c>
      <c r="F88" s="5" t="s">
        <v>17517</v>
      </c>
      <c r="G88" s="5" t="s">
        <v>829</v>
      </c>
      <c r="H88" s="5">
        <v>1</v>
      </c>
      <c r="I88" s="8" t="s">
        <v>7272</v>
      </c>
      <c r="J88" s="8" t="s">
        <v>9321</v>
      </c>
      <c r="K88" s="8" t="s">
        <v>1118</v>
      </c>
      <c r="L88" s="8" t="s">
        <v>11372</v>
      </c>
      <c r="M88" s="8" t="s">
        <v>3168</v>
      </c>
      <c r="N88" s="8" t="s">
        <v>5219</v>
      </c>
      <c r="O88" s="5" t="s">
        <v>40</v>
      </c>
      <c r="P88" s="4">
        <v>45617</v>
      </c>
      <c r="Q88" s="15">
        <v>18.2</v>
      </c>
      <c r="R88" s="15">
        <v>4.99</v>
      </c>
      <c r="S88" s="15">
        <v>0</v>
      </c>
      <c r="T88"/>
    </row>
    <row r="89" spans="1:20">
      <c r="A89" s="5" t="s">
        <v>36</v>
      </c>
      <c r="B89" s="5" t="s">
        <v>13426</v>
      </c>
      <c r="C89" s="4">
        <f>Controle_Pedidos[[#This Row],[Data Compra]]</f>
        <v>45590</v>
      </c>
      <c r="D89" s="4">
        <v>45590</v>
      </c>
      <c r="E89" s="5" t="s">
        <v>15527</v>
      </c>
      <c r="F89" s="5" t="s">
        <v>17518</v>
      </c>
      <c r="G89" s="5" t="s">
        <v>824</v>
      </c>
      <c r="H89" s="5">
        <v>1</v>
      </c>
      <c r="I89" s="8" t="s">
        <v>7273</v>
      </c>
      <c r="J89" s="8" t="s">
        <v>9322</v>
      </c>
      <c r="K89" s="8" t="s">
        <v>1119</v>
      </c>
      <c r="L89" s="8" t="s">
        <v>11373</v>
      </c>
      <c r="M89" s="8" t="s">
        <v>3169</v>
      </c>
      <c r="N89" s="8" t="s">
        <v>5220</v>
      </c>
      <c r="O89" s="5" t="s">
        <v>38</v>
      </c>
      <c r="P89" s="4">
        <v>45617</v>
      </c>
      <c r="Q89" s="15">
        <v>15.99</v>
      </c>
      <c r="R89" s="15">
        <v>4.99</v>
      </c>
      <c r="S89" s="15">
        <v>0</v>
      </c>
      <c r="T89"/>
    </row>
    <row r="90" spans="1:20">
      <c r="A90" s="5" t="s">
        <v>36</v>
      </c>
      <c r="B90" s="5" t="s">
        <v>13427</v>
      </c>
      <c r="C90" s="4">
        <f>Controle_Pedidos[[#This Row],[Data Compra]]</f>
        <v>45590</v>
      </c>
      <c r="D90" s="4">
        <v>45590</v>
      </c>
      <c r="E90" s="5" t="s">
        <v>15528</v>
      </c>
      <c r="F90" s="5" t="s">
        <v>17519</v>
      </c>
      <c r="G90" s="5" t="s">
        <v>817</v>
      </c>
      <c r="H90" s="5">
        <v>1</v>
      </c>
      <c r="I90" s="8" t="s">
        <v>7274</v>
      </c>
      <c r="J90" s="8" t="s">
        <v>9323</v>
      </c>
      <c r="K90" s="8" t="s">
        <v>1120</v>
      </c>
      <c r="L90" s="8" t="s">
        <v>11374</v>
      </c>
      <c r="M90" s="8" t="s">
        <v>3170</v>
      </c>
      <c r="N90" s="8" t="s">
        <v>5221</v>
      </c>
      <c r="O90" s="5" t="s">
        <v>39</v>
      </c>
      <c r="P90" s="4">
        <v>45617</v>
      </c>
      <c r="Q90" s="15">
        <v>38.99</v>
      </c>
      <c r="R90" s="15">
        <v>9.99</v>
      </c>
      <c r="S90" s="15">
        <v>0</v>
      </c>
      <c r="T90"/>
    </row>
    <row r="91" spans="1:20">
      <c r="A91" s="5" t="s">
        <v>36</v>
      </c>
      <c r="B91" s="5" t="s">
        <v>13428</v>
      </c>
      <c r="C91" s="4">
        <f>Controle_Pedidos[[#This Row],[Data Compra]]</f>
        <v>45590</v>
      </c>
      <c r="D91" s="4">
        <v>45590</v>
      </c>
      <c r="E91" s="5" t="s">
        <v>15529</v>
      </c>
      <c r="F91" s="5" t="s">
        <v>17520</v>
      </c>
      <c r="G91" s="5" t="s">
        <v>824</v>
      </c>
      <c r="H91" s="5">
        <v>1</v>
      </c>
      <c r="I91" s="8" t="s">
        <v>7275</v>
      </c>
      <c r="J91" s="8" t="s">
        <v>9324</v>
      </c>
      <c r="K91" s="8" t="s">
        <v>1121</v>
      </c>
      <c r="L91" s="8" t="s">
        <v>11375</v>
      </c>
      <c r="M91" s="8" t="s">
        <v>3171</v>
      </c>
      <c r="N91" s="8" t="s">
        <v>5222</v>
      </c>
      <c r="O91" s="5" t="s">
        <v>38</v>
      </c>
      <c r="P91" s="4">
        <v>45610</v>
      </c>
      <c r="Q91" s="15">
        <v>25.99</v>
      </c>
      <c r="R91" s="15">
        <v>4.99</v>
      </c>
      <c r="S91" s="15">
        <v>0</v>
      </c>
      <c r="T91"/>
    </row>
    <row r="92" spans="1:20">
      <c r="A92" s="5" t="s">
        <v>36</v>
      </c>
      <c r="B92" s="5" t="s">
        <v>13429</v>
      </c>
      <c r="C92" s="4">
        <f>Controle_Pedidos[[#This Row],[Data Compra]]</f>
        <v>45591</v>
      </c>
      <c r="D92" s="4">
        <v>45591</v>
      </c>
      <c r="E92" s="5" t="s">
        <v>15530</v>
      </c>
      <c r="F92" s="5" t="s">
        <v>17521</v>
      </c>
      <c r="G92" s="5" t="s">
        <v>831</v>
      </c>
      <c r="H92" s="5">
        <v>1</v>
      </c>
      <c r="I92" s="8" t="s">
        <v>7276</v>
      </c>
      <c r="J92" s="8" t="s">
        <v>9325</v>
      </c>
      <c r="K92" s="8" t="s">
        <v>1122</v>
      </c>
      <c r="L92" s="8" t="s">
        <v>11376</v>
      </c>
      <c r="M92" s="8" t="s">
        <v>3172</v>
      </c>
      <c r="N92" s="8" t="s">
        <v>5223</v>
      </c>
      <c r="O92" s="5" t="s">
        <v>41</v>
      </c>
      <c r="P92" s="4">
        <v>45610</v>
      </c>
      <c r="Q92" s="15">
        <v>59.99</v>
      </c>
      <c r="R92" s="15">
        <v>7.25</v>
      </c>
      <c r="S92" s="15">
        <v>0</v>
      </c>
      <c r="T92"/>
    </row>
    <row r="93" spans="1:20">
      <c r="A93" s="5" t="s">
        <v>36</v>
      </c>
      <c r="B93" s="5" t="s">
        <v>13430</v>
      </c>
      <c r="C93" s="4">
        <f>Controle_Pedidos[[#This Row],[Data Compra]]</f>
        <v>45591</v>
      </c>
      <c r="D93" s="4">
        <v>45591</v>
      </c>
      <c r="E93" s="5" t="s">
        <v>15531</v>
      </c>
      <c r="F93" s="5" t="s">
        <v>17522</v>
      </c>
      <c r="G93" s="5" t="s">
        <v>824</v>
      </c>
      <c r="H93" s="5">
        <v>1</v>
      </c>
      <c r="I93" s="8" t="s">
        <v>7277</v>
      </c>
      <c r="J93" s="8" t="s">
        <v>9326</v>
      </c>
      <c r="K93" s="8" t="s">
        <v>1123</v>
      </c>
      <c r="L93" s="8" t="s">
        <v>11377</v>
      </c>
      <c r="M93" s="8" t="s">
        <v>3173</v>
      </c>
      <c r="N93" s="8" t="s">
        <v>5224</v>
      </c>
      <c r="O93" s="5" t="s">
        <v>38</v>
      </c>
      <c r="P93" s="4">
        <v>45604</v>
      </c>
      <c r="Q93" s="15">
        <v>15.99</v>
      </c>
      <c r="R93" s="15">
        <v>4.99</v>
      </c>
      <c r="S93" s="15">
        <v>0</v>
      </c>
      <c r="T93"/>
    </row>
    <row r="94" spans="1:20">
      <c r="A94" s="5" t="s">
        <v>36</v>
      </c>
      <c r="B94" s="5" t="s">
        <v>13431</v>
      </c>
      <c r="C94" s="4">
        <f>Controle_Pedidos[[#This Row],[Data Compra]]</f>
        <v>45591</v>
      </c>
      <c r="D94" s="4">
        <v>45591</v>
      </c>
      <c r="E94" s="5" t="s">
        <v>15532</v>
      </c>
      <c r="F94" s="5" t="s">
        <v>17523</v>
      </c>
      <c r="G94" s="5" t="s">
        <v>824</v>
      </c>
      <c r="H94" s="5">
        <v>1</v>
      </c>
      <c r="I94" s="8" t="s">
        <v>7278</v>
      </c>
      <c r="J94" s="8" t="s">
        <v>9327</v>
      </c>
      <c r="K94" s="8" t="s">
        <v>1124</v>
      </c>
      <c r="L94" s="8" t="s">
        <v>11378</v>
      </c>
      <c r="M94" s="8" t="s">
        <v>3174</v>
      </c>
      <c r="N94" s="8" t="s">
        <v>5225</v>
      </c>
      <c r="O94" s="5" t="s">
        <v>38</v>
      </c>
      <c r="P94" s="4">
        <v>45608</v>
      </c>
      <c r="Q94" s="15">
        <v>15.99</v>
      </c>
      <c r="R94" s="15">
        <v>4.99</v>
      </c>
      <c r="S94" s="15">
        <v>0</v>
      </c>
      <c r="T94"/>
    </row>
    <row r="95" spans="1:20">
      <c r="A95" s="5" t="s">
        <v>36</v>
      </c>
      <c r="B95" s="5" t="s">
        <v>13432</v>
      </c>
      <c r="C95" s="4">
        <f>Controle_Pedidos[[#This Row],[Data Compra]]</f>
        <v>45591</v>
      </c>
      <c r="D95" s="4">
        <v>45591</v>
      </c>
      <c r="E95" s="5" t="s">
        <v>15533</v>
      </c>
      <c r="F95" s="5" t="s">
        <v>17524</v>
      </c>
      <c r="G95" s="5" t="s">
        <v>824</v>
      </c>
      <c r="H95" s="5">
        <v>1</v>
      </c>
      <c r="I95" s="8" t="s">
        <v>7279</v>
      </c>
      <c r="J95" s="8" t="s">
        <v>9328</v>
      </c>
      <c r="K95" s="8" t="s">
        <v>1125</v>
      </c>
      <c r="L95" s="8" t="s">
        <v>11379</v>
      </c>
      <c r="M95" s="8" t="s">
        <v>3175</v>
      </c>
      <c r="N95" s="8" t="s">
        <v>5226</v>
      </c>
      <c r="O95" s="5" t="s">
        <v>38</v>
      </c>
      <c r="P95" s="4">
        <v>45610</v>
      </c>
      <c r="Q95" s="15">
        <v>15.99</v>
      </c>
      <c r="R95" s="15">
        <v>4.99</v>
      </c>
      <c r="S95" s="15">
        <v>0</v>
      </c>
      <c r="T95"/>
    </row>
    <row r="96" spans="1:20">
      <c r="A96" s="5" t="s">
        <v>36</v>
      </c>
      <c r="B96" s="5" t="s">
        <v>13433</v>
      </c>
      <c r="C96" s="4">
        <f>Controle_Pedidos[[#This Row],[Data Compra]]</f>
        <v>45591</v>
      </c>
      <c r="D96" s="4">
        <v>45591</v>
      </c>
      <c r="E96" s="5" t="s">
        <v>15534</v>
      </c>
      <c r="F96" s="5" t="s">
        <v>17525</v>
      </c>
      <c r="G96" s="5" t="s">
        <v>829</v>
      </c>
      <c r="H96" s="5">
        <v>1</v>
      </c>
      <c r="I96" s="8" t="s">
        <v>7280</v>
      </c>
      <c r="J96" s="8" t="s">
        <v>9329</v>
      </c>
      <c r="K96" s="8" t="s">
        <v>1126</v>
      </c>
      <c r="L96" s="8" t="s">
        <v>11380</v>
      </c>
      <c r="M96" s="8" t="s">
        <v>3176</v>
      </c>
      <c r="N96" s="8" t="s">
        <v>5227</v>
      </c>
      <c r="O96" s="5" t="s">
        <v>40</v>
      </c>
      <c r="P96" s="4">
        <v>45610</v>
      </c>
      <c r="Q96" s="15">
        <v>18.3</v>
      </c>
      <c r="R96" s="15">
        <v>4.99</v>
      </c>
      <c r="S96" s="15">
        <v>0</v>
      </c>
      <c r="T96"/>
    </row>
    <row r="97" spans="1:20">
      <c r="A97" s="5" t="s">
        <v>36</v>
      </c>
      <c r="B97" s="5" t="s">
        <v>13434</v>
      </c>
      <c r="C97" s="4">
        <f>Controle_Pedidos[[#This Row],[Data Compra]]</f>
        <v>45591</v>
      </c>
      <c r="D97" s="4">
        <v>45591</v>
      </c>
      <c r="E97" s="5" t="s">
        <v>15535</v>
      </c>
      <c r="F97" s="5" t="s">
        <v>17526</v>
      </c>
      <c r="G97" s="5" t="s">
        <v>824</v>
      </c>
      <c r="H97" s="5">
        <v>1</v>
      </c>
      <c r="I97" s="8" t="s">
        <v>7281</v>
      </c>
      <c r="J97" s="8" t="s">
        <v>9330</v>
      </c>
      <c r="K97" s="8" t="s">
        <v>1127</v>
      </c>
      <c r="L97" s="8" t="s">
        <v>11381</v>
      </c>
      <c r="M97" s="8" t="s">
        <v>3177</v>
      </c>
      <c r="N97" s="8" t="s">
        <v>5228</v>
      </c>
      <c r="O97" s="5" t="s">
        <v>38</v>
      </c>
      <c r="P97" s="4">
        <v>45617</v>
      </c>
      <c r="Q97" s="15">
        <v>15.99</v>
      </c>
      <c r="R97" s="15">
        <v>4.99</v>
      </c>
      <c r="S97" s="15">
        <v>0</v>
      </c>
      <c r="T97"/>
    </row>
    <row r="98" spans="1:20">
      <c r="A98" s="5" t="s">
        <v>36</v>
      </c>
      <c r="B98" s="5" t="s">
        <v>13435</v>
      </c>
      <c r="C98" s="4">
        <f>Controle_Pedidos[[#This Row],[Data Compra]]</f>
        <v>45591</v>
      </c>
      <c r="D98" s="4">
        <v>45591</v>
      </c>
      <c r="E98" s="5" t="s">
        <v>15536</v>
      </c>
      <c r="F98" s="5" t="s">
        <v>17527</v>
      </c>
      <c r="G98" s="5" t="s">
        <v>829</v>
      </c>
      <c r="H98" s="5">
        <v>1</v>
      </c>
      <c r="I98" s="8" t="s">
        <v>7282</v>
      </c>
      <c r="J98" s="8" t="s">
        <v>9331</v>
      </c>
      <c r="K98" s="8" t="s">
        <v>1128</v>
      </c>
      <c r="L98" s="8" t="s">
        <v>11382</v>
      </c>
      <c r="M98" s="8" t="s">
        <v>3178</v>
      </c>
      <c r="N98" s="8" t="s">
        <v>5229</v>
      </c>
      <c r="O98" s="5" t="s">
        <v>40</v>
      </c>
      <c r="P98" s="4">
        <v>45617</v>
      </c>
      <c r="Q98" s="15">
        <v>18.3</v>
      </c>
      <c r="R98" s="15">
        <v>4.99</v>
      </c>
      <c r="S98" s="15">
        <v>0</v>
      </c>
      <c r="T98"/>
    </row>
    <row r="99" spans="1:20">
      <c r="A99" s="5" t="s">
        <v>36</v>
      </c>
      <c r="B99" s="5" t="s">
        <v>13436</v>
      </c>
      <c r="C99" s="4">
        <f>Controle_Pedidos[[#This Row],[Data Compra]]</f>
        <v>45591</v>
      </c>
      <c r="D99" s="4">
        <v>45591</v>
      </c>
      <c r="E99" s="5" t="s">
        <v>15537</v>
      </c>
      <c r="F99" s="5" t="s">
        <v>17528</v>
      </c>
      <c r="G99" s="5" t="s">
        <v>829</v>
      </c>
      <c r="H99" s="5">
        <v>1</v>
      </c>
      <c r="I99" s="8" t="s">
        <v>7283</v>
      </c>
      <c r="J99" s="8" t="s">
        <v>9332</v>
      </c>
      <c r="K99" s="8" t="s">
        <v>1129</v>
      </c>
      <c r="L99" s="8" t="s">
        <v>11383</v>
      </c>
      <c r="M99" s="8" t="s">
        <v>3179</v>
      </c>
      <c r="N99" s="8" t="s">
        <v>5230</v>
      </c>
      <c r="O99" s="5" t="s">
        <v>40</v>
      </c>
      <c r="P99" s="4">
        <v>45617</v>
      </c>
      <c r="Q99" s="15">
        <v>18.3</v>
      </c>
      <c r="R99" s="15">
        <v>4.99</v>
      </c>
      <c r="S99" s="15">
        <v>0</v>
      </c>
      <c r="T99"/>
    </row>
    <row r="100" spans="1:20">
      <c r="A100" s="5" t="s">
        <v>36</v>
      </c>
      <c r="B100" s="5" t="s">
        <v>13437</v>
      </c>
      <c r="C100" s="4">
        <f>Controle_Pedidos[[#This Row],[Data Compra]]</f>
        <v>45591</v>
      </c>
      <c r="D100" s="4">
        <v>45591</v>
      </c>
      <c r="E100" s="5" t="s">
        <v>15538</v>
      </c>
      <c r="F100" s="5" t="s">
        <v>17529</v>
      </c>
      <c r="G100" s="5" t="s">
        <v>829</v>
      </c>
      <c r="H100" s="5">
        <v>1</v>
      </c>
      <c r="I100" s="8" t="s">
        <v>7284</v>
      </c>
      <c r="J100" s="8" t="s">
        <v>9333</v>
      </c>
      <c r="K100" s="8" t="s">
        <v>1130</v>
      </c>
      <c r="L100" s="8" t="s">
        <v>11384</v>
      </c>
      <c r="M100" s="8" t="s">
        <v>3180</v>
      </c>
      <c r="N100" s="8" t="s">
        <v>5231</v>
      </c>
      <c r="O100" s="5" t="s">
        <v>40</v>
      </c>
      <c r="P100" s="4">
        <v>45617</v>
      </c>
      <c r="Q100" s="15">
        <v>18.3</v>
      </c>
      <c r="R100" s="15">
        <v>4.99</v>
      </c>
      <c r="S100" s="15">
        <v>0</v>
      </c>
      <c r="T100"/>
    </row>
    <row r="101" spans="1:20">
      <c r="A101" s="5" t="s">
        <v>36</v>
      </c>
      <c r="B101" s="5" t="s">
        <v>13438</v>
      </c>
      <c r="C101" s="4">
        <f>Controle_Pedidos[[#This Row],[Data Compra]]</f>
        <v>45591</v>
      </c>
      <c r="D101" s="4">
        <v>45591</v>
      </c>
      <c r="E101" s="5" t="s">
        <v>15539</v>
      </c>
      <c r="F101" s="5" t="s">
        <v>17530</v>
      </c>
      <c r="G101" s="5" t="s">
        <v>824</v>
      </c>
      <c r="H101" s="5">
        <v>1</v>
      </c>
      <c r="I101" s="8" t="s">
        <v>7285</v>
      </c>
      <c r="J101" s="8" t="s">
        <v>9334</v>
      </c>
      <c r="K101" s="8" t="s">
        <v>1131</v>
      </c>
      <c r="L101" s="8" t="s">
        <v>11385</v>
      </c>
      <c r="M101" s="8" t="s">
        <v>3181</v>
      </c>
      <c r="N101" s="8" t="s">
        <v>5232</v>
      </c>
      <c r="O101" s="5" t="s">
        <v>38</v>
      </c>
      <c r="P101" s="4">
        <v>45610</v>
      </c>
      <c r="Q101" s="15">
        <v>15.99</v>
      </c>
      <c r="R101" s="15">
        <v>4.99</v>
      </c>
      <c r="S101" s="15">
        <v>0</v>
      </c>
      <c r="T101"/>
    </row>
    <row r="102" spans="1:20">
      <c r="A102" s="5" t="s">
        <v>36</v>
      </c>
      <c r="B102" s="5" t="s">
        <v>13439</v>
      </c>
      <c r="C102" s="4">
        <f>Controle_Pedidos[[#This Row],[Data Compra]]</f>
        <v>45591</v>
      </c>
      <c r="D102" s="4">
        <v>45591</v>
      </c>
      <c r="E102" s="5" t="s">
        <v>15540</v>
      </c>
      <c r="F102" s="5" t="s">
        <v>17531</v>
      </c>
      <c r="G102" s="5" t="s">
        <v>824</v>
      </c>
      <c r="H102" s="5">
        <v>1</v>
      </c>
      <c r="I102" s="8" t="s">
        <v>7266</v>
      </c>
      <c r="J102" s="8" t="s">
        <v>9315</v>
      </c>
      <c r="K102" s="8" t="s">
        <v>1112</v>
      </c>
      <c r="L102" s="8" t="s">
        <v>11366</v>
      </c>
      <c r="M102" s="8" t="s">
        <v>3162</v>
      </c>
      <c r="N102" s="8" t="s">
        <v>5213</v>
      </c>
      <c r="O102" s="5" t="s">
        <v>38</v>
      </c>
      <c r="P102" s="4">
        <v>45617</v>
      </c>
      <c r="Q102" s="15">
        <v>15.99</v>
      </c>
      <c r="R102" s="15">
        <v>4.99</v>
      </c>
      <c r="S102" s="15">
        <v>0</v>
      </c>
      <c r="T102"/>
    </row>
    <row r="103" spans="1:20">
      <c r="A103" s="5" t="s">
        <v>36</v>
      </c>
      <c r="B103" s="5" t="s">
        <v>13440</v>
      </c>
      <c r="C103" s="4">
        <f>Controle_Pedidos[[#This Row],[Data Compra]]</f>
        <v>45591</v>
      </c>
      <c r="D103" s="4">
        <v>45591</v>
      </c>
      <c r="E103" s="5" t="s">
        <v>15541</v>
      </c>
      <c r="F103" s="5" t="s">
        <v>17532</v>
      </c>
      <c r="G103" s="5" t="s">
        <v>824</v>
      </c>
      <c r="H103" s="5">
        <v>1</v>
      </c>
      <c r="I103" s="8" t="s">
        <v>7286</v>
      </c>
      <c r="J103" s="8" t="s">
        <v>9335</v>
      </c>
      <c r="K103" s="8" t="s">
        <v>1132</v>
      </c>
      <c r="L103" s="8" t="s">
        <v>11386</v>
      </c>
      <c r="M103" s="8" t="s">
        <v>3182</v>
      </c>
      <c r="N103" s="8" t="s">
        <v>5233</v>
      </c>
      <c r="O103" s="5" t="s">
        <v>38</v>
      </c>
      <c r="P103" s="4">
        <v>45617</v>
      </c>
      <c r="Q103" s="15">
        <v>15.99</v>
      </c>
      <c r="R103" s="15">
        <v>4.99</v>
      </c>
      <c r="S103" s="15">
        <v>0</v>
      </c>
      <c r="T103"/>
    </row>
    <row r="104" spans="1:20">
      <c r="A104" s="5" t="s">
        <v>36</v>
      </c>
      <c r="B104" s="5" t="s">
        <v>13441</v>
      </c>
      <c r="C104" s="4">
        <f>Controle_Pedidos[[#This Row],[Data Compra]]</f>
        <v>45591</v>
      </c>
      <c r="D104" s="4">
        <v>45591</v>
      </c>
      <c r="E104" s="5" t="s">
        <v>15542</v>
      </c>
      <c r="F104" s="5" t="s">
        <v>17533</v>
      </c>
      <c r="G104" s="5" t="s">
        <v>817</v>
      </c>
      <c r="H104" s="5">
        <v>1</v>
      </c>
      <c r="I104" s="8" t="s">
        <v>7287</v>
      </c>
      <c r="J104" s="8" t="s">
        <v>9336</v>
      </c>
      <c r="K104" s="8" t="s">
        <v>1133</v>
      </c>
      <c r="L104" s="8" t="s">
        <v>11387</v>
      </c>
      <c r="M104" s="8" t="s">
        <v>3183</v>
      </c>
      <c r="N104" s="8" t="s">
        <v>5234</v>
      </c>
      <c r="O104" s="5" t="s">
        <v>39</v>
      </c>
      <c r="P104" s="4">
        <v>45610</v>
      </c>
      <c r="Q104" s="15">
        <v>33.99</v>
      </c>
      <c r="R104" s="15">
        <v>9.99</v>
      </c>
      <c r="S104" s="15">
        <v>0</v>
      </c>
      <c r="T104"/>
    </row>
    <row r="105" spans="1:20">
      <c r="A105" s="5" t="s">
        <v>36</v>
      </c>
      <c r="B105" s="5" t="s">
        <v>13442</v>
      </c>
      <c r="C105" s="4">
        <f>Controle_Pedidos[[#This Row],[Data Compra]]</f>
        <v>45591</v>
      </c>
      <c r="D105" s="4">
        <v>45591</v>
      </c>
      <c r="E105" s="5" t="s">
        <v>15543</v>
      </c>
      <c r="F105" s="5" t="s">
        <v>17534</v>
      </c>
      <c r="G105" s="5" t="s">
        <v>817</v>
      </c>
      <c r="H105" s="5">
        <v>1</v>
      </c>
      <c r="I105" s="8" t="s">
        <v>7288</v>
      </c>
      <c r="J105" s="8" t="s">
        <v>9337</v>
      </c>
      <c r="K105" s="8" t="s">
        <v>1134</v>
      </c>
      <c r="L105" s="8" t="s">
        <v>11388</v>
      </c>
      <c r="M105" s="8" t="s">
        <v>3184</v>
      </c>
      <c r="N105" s="8" t="s">
        <v>5235</v>
      </c>
      <c r="O105" s="5" t="s">
        <v>39</v>
      </c>
      <c r="P105" s="4">
        <v>45608</v>
      </c>
      <c r="Q105" s="15">
        <v>23.99</v>
      </c>
      <c r="R105" s="15">
        <v>9.99</v>
      </c>
      <c r="S105" s="15">
        <v>0</v>
      </c>
      <c r="T105"/>
    </row>
    <row r="106" spans="1:20">
      <c r="A106" s="5" t="s">
        <v>36</v>
      </c>
      <c r="B106" s="5" t="s">
        <v>13443</v>
      </c>
      <c r="C106" s="4">
        <f>Controle_Pedidos[[#This Row],[Data Compra]]</f>
        <v>45591</v>
      </c>
      <c r="D106" s="4">
        <v>45591</v>
      </c>
      <c r="E106" s="5" t="s">
        <v>15544</v>
      </c>
      <c r="F106" s="5" t="s">
        <v>17535</v>
      </c>
      <c r="G106" s="5" t="s">
        <v>826</v>
      </c>
      <c r="H106" s="5">
        <v>1</v>
      </c>
      <c r="I106" s="8" t="s">
        <v>7289</v>
      </c>
      <c r="J106" s="8" t="s">
        <v>9338</v>
      </c>
      <c r="K106" s="8" t="s">
        <v>1135</v>
      </c>
      <c r="L106" s="8" t="s">
        <v>11389</v>
      </c>
      <c r="M106" s="8" t="s">
        <v>3185</v>
      </c>
      <c r="N106" s="8" t="s">
        <v>5236</v>
      </c>
      <c r="O106" s="5" t="s">
        <v>42</v>
      </c>
      <c r="P106" s="4">
        <v>45610</v>
      </c>
      <c r="Q106" s="15">
        <v>15.2</v>
      </c>
      <c r="R106" s="15">
        <v>4.99</v>
      </c>
      <c r="S106" s="15">
        <v>0</v>
      </c>
      <c r="T106"/>
    </row>
    <row r="107" spans="1:20">
      <c r="A107" s="5" t="s">
        <v>36</v>
      </c>
      <c r="B107" s="5" t="s">
        <v>13444</v>
      </c>
      <c r="C107" s="4">
        <f>Controle_Pedidos[[#This Row],[Data Compra]]</f>
        <v>45591</v>
      </c>
      <c r="D107" s="4">
        <v>45591</v>
      </c>
      <c r="E107" s="5" t="s">
        <v>15545</v>
      </c>
      <c r="F107" s="5" t="s">
        <v>17536</v>
      </c>
      <c r="G107" s="5" t="s">
        <v>826</v>
      </c>
      <c r="H107" s="5">
        <v>1</v>
      </c>
      <c r="I107" s="8" t="s">
        <v>7290</v>
      </c>
      <c r="J107" s="8" t="s">
        <v>9339</v>
      </c>
      <c r="K107" s="8" t="s">
        <v>1136</v>
      </c>
      <c r="L107" s="8" t="s">
        <v>11390</v>
      </c>
      <c r="M107" s="8" t="s">
        <v>3186</v>
      </c>
      <c r="N107" s="8" t="s">
        <v>5237</v>
      </c>
      <c r="O107" s="5" t="s">
        <v>42</v>
      </c>
      <c r="P107" s="4">
        <v>45617</v>
      </c>
      <c r="Q107" s="15">
        <v>15.2</v>
      </c>
      <c r="R107" s="15">
        <v>4.99</v>
      </c>
      <c r="S107" s="15">
        <v>0</v>
      </c>
      <c r="T107"/>
    </row>
    <row r="108" spans="1:20">
      <c r="A108" s="5" t="s">
        <v>36</v>
      </c>
      <c r="B108" s="5" t="s">
        <v>13445</v>
      </c>
      <c r="C108" s="4">
        <f>Controle_Pedidos[[#This Row],[Data Compra]]</f>
        <v>45591</v>
      </c>
      <c r="D108" s="4">
        <v>45591</v>
      </c>
      <c r="E108" s="5" t="s">
        <v>15546</v>
      </c>
      <c r="F108" s="5" t="s">
        <v>17537</v>
      </c>
      <c r="G108" s="5" t="s">
        <v>821</v>
      </c>
      <c r="H108" s="5">
        <v>1</v>
      </c>
      <c r="I108" s="8" t="s">
        <v>7291</v>
      </c>
      <c r="J108" s="8" t="s">
        <v>9340</v>
      </c>
      <c r="K108" s="8" t="s">
        <v>1137</v>
      </c>
      <c r="L108" s="8" t="s">
        <v>11391</v>
      </c>
      <c r="M108" s="8" t="s">
        <v>3187</v>
      </c>
      <c r="N108" s="8" t="s">
        <v>5238</v>
      </c>
      <c r="O108" s="5" t="s">
        <v>43</v>
      </c>
      <c r="P108" s="4">
        <v>45610</v>
      </c>
      <c r="Q108" s="15">
        <v>15.98</v>
      </c>
      <c r="R108" s="15">
        <v>8.74</v>
      </c>
      <c r="S108" s="15">
        <v>0</v>
      </c>
      <c r="T108"/>
    </row>
    <row r="109" spans="1:20">
      <c r="A109" s="5" t="s">
        <v>36</v>
      </c>
      <c r="B109" s="5" t="s">
        <v>13446</v>
      </c>
      <c r="C109" s="4">
        <f>Controle_Pedidos[[#This Row],[Data Compra]]</f>
        <v>45591</v>
      </c>
      <c r="D109" s="4">
        <v>45591</v>
      </c>
      <c r="E109" s="5" t="s">
        <v>15547</v>
      </c>
      <c r="F109" s="5" t="s">
        <v>17538</v>
      </c>
      <c r="G109" s="5" t="s">
        <v>829</v>
      </c>
      <c r="H109" s="5">
        <v>1</v>
      </c>
      <c r="I109" s="8" t="s">
        <v>7292</v>
      </c>
      <c r="J109" s="8" t="s">
        <v>9341</v>
      </c>
      <c r="K109" s="8" t="s">
        <v>1138</v>
      </c>
      <c r="L109" s="8" t="s">
        <v>11392</v>
      </c>
      <c r="M109" s="8" t="s">
        <v>3188</v>
      </c>
      <c r="N109" s="8" t="s">
        <v>5239</v>
      </c>
      <c r="O109" s="5" t="s">
        <v>40</v>
      </c>
      <c r="P109" s="4">
        <v>45617</v>
      </c>
      <c r="Q109" s="15">
        <v>18.3</v>
      </c>
      <c r="R109" s="15">
        <v>4.99</v>
      </c>
      <c r="S109" s="15">
        <v>0</v>
      </c>
      <c r="T109"/>
    </row>
    <row r="110" spans="1:20">
      <c r="A110" s="5" t="s">
        <v>36</v>
      </c>
      <c r="B110" s="5" t="s">
        <v>13447</v>
      </c>
      <c r="C110" s="4">
        <f>Controle_Pedidos[[#This Row],[Data Compra]]</f>
        <v>45591</v>
      </c>
      <c r="D110" s="4">
        <v>45591</v>
      </c>
      <c r="E110" s="5" t="s">
        <v>15548</v>
      </c>
      <c r="F110" s="5" t="s">
        <v>17539</v>
      </c>
      <c r="G110" s="5" t="s">
        <v>831</v>
      </c>
      <c r="H110" s="5">
        <v>1</v>
      </c>
      <c r="I110" s="8" t="s">
        <v>7293</v>
      </c>
      <c r="J110" s="8" t="s">
        <v>9342</v>
      </c>
      <c r="K110" s="8" t="s">
        <v>1139</v>
      </c>
      <c r="L110" s="8" t="s">
        <v>11393</v>
      </c>
      <c r="M110" s="8" t="s">
        <v>3189</v>
      </c>
      <c r="N110" s="8" t="s">
        <v>5240</v>
      </c>
      <c r="O110" s="5" t="s">
        <v>41</v>
      </c>
      <c r="P110" s="4">
        <v>45624</v>
      </c>
      <c r="Q110" s="15">
        <v>59.99</v>
      </c>
      <c r="R110" s="15">
        <v>7.25</v>
      </c>
      <c r="S110" s="15">
        <v>0</v>
      </c>
      <c r="T110"/>
    </row>
    <row r="111" spans="1:20">
      <c r="A111" s="5" t="s">
        <v>36</v>
      </c>
      <c r="B111" s="5" t="s">
        <v>13448</v>
      </c>
      <c r="C111" s="4">
        <f>Controle_Pedidos[[#This Row],[Data Compra]]</f>
        <v>45591</v>
      </c>
      <c r="D111" s="4">
        <v>45591</v>
      </c>
      <c r="E111" s="5" t="s">
        <v>15549</v>
      </c>
      <c r="F111" s="5" t="s">
        <v>17540</v>
      </c>
      <c r="G111" s="5" t="s">
        <v>824</v>
      </c>
      <c r="H111" s="5">
        <v>1</v>
      </c>
      <c r="I111" s="8" t="s">
        <v>7294</v>
      </c>
      <c r="J111" s="8" t="s">
        <v>9343</v>
      </c>
      <c r="K111" s="8" t="s">
        <v>1140</v>
      </c>
      <c r="L111" s="8" t="s">
        <v>11394</v>
      </c>
      <c r="M111" s="8" t="s">
        <v>3190</v>
      </c>
      <c r="N111" s="8" t="s">
        <v>5241</v>
      </c>
      <c r="O111" s="5" t="s">
        <v>38</v>
      </c>
      <c r="P111" s="4">
        <v>45610</v>
      </c>
      <c r="Q111" s="15">
        <v>30</v>
      </c>
      <c r="R111" s="15">
        <v>0</v>
      </c>
      <c r="S111" s="15">
        <v>0</v>
      </c>
      <c r="T111"/>
    </row>
    <row r="112" spans="1:20">
      <c r="A112" s="5" t="s">
        <v>36</v>
      </c>
      <c r="B112" s="5" t="s">
        <v>13449</v>
      </c>
      <c r="C112" s="4">
        <f>Controle_Pedidos[[#This Row],[Data Compra]]</f>
        <v>45592</v>
      </c>
      <c r="D112" s="4">
        <v>45592</v>
      </c>
      <c r="E112" s="5" t="s">
        <v>15550</v>
      </c>
      <c r="F112" s="5" t="s">
        <v>17541</v>
      </c>
      <c r="G112" s="5" t="s">
        <v>824</v>
      </c>
      <c r="H112" s="5">
        <v>1</v>
      </c>
      <c r="I112" s="8" t="s">
        <v>7295</v>
      </c>
      <c r="J112" s="8" t="s">
        <v>9344</v>
      </c>
      <c r="K112" s="8" t="s">
        <v>1141</v>
      </c>
      <c r="L112" s="8" t="s">
        <v>11395</v>
      </c>
      <c r="M112" s="8" t="s">
        <v>3191</v>
      </c>
      <c r="N112" s="8" t="s">
        <v>5242</v>
      </c>
      <c r="O112" s="5" t="s">
        <v>38</v>
      </c>
      <c r="P112" s="4">
        <v>45610</v>
      </c>
      <c r="Q112" s="15">
        <v>15.99</v>
      </c>
      <c r="R112" s="15">
        <v>4.99</v>
      </c>
      <c r="S112" s="15">
        <v>0</v>
      </c>
      <c r="T112"/>
    </row>
    <row r="113" spans="1:20">
      <c r="A113" s="5" t="s">
        <v>36</v>
      </c>
      <c r="B113" s="5" t="s">
        <v>13450</v>
      </c>
      <c r="C113" s="4">
        <f>Controle_Pedidos[[#This Row],[Data Compra]]</f>
        <v>45592</v>
      </c>
      <c r="D113" s="4">
        <v>45592</v>
      </c>
      <c r="E113" s="5" t="s">
        <v>15551</v>
      </c>
      <c r="F113" s="5" t="s">
        <v>17542</v>
      </c>
      <c r="G113" s="5" t="s">
        <v>824</v>
      </c>
      <c r="H113" s="5">
        <v>1</v>
      </c>
      <c r="I113" s="8" t="s">
        <v>7296</v>
      </c>
      <c r="J113" s="8" t="s">
        <v>9345</v>
      </c>
      <c r="K113" s="8" t="s">
        <v>1142</v>
      </c>
      <c r="L113" s="8" t="s">
        <v>11396</v>
      </c>
      <c r="M113" s="8" t="s">
        <v>3192</v>
      </c>
      <c r="N113" s="8" t="s">
        <v>5243</v>
      </c>
      <c r="O113" s="5" t="s">
        <v>38</v>
      </c>
      <c r="P113" s="4">
        <v>45610</v>
      </c>
      <c r="Q113" s="15">
        <v>15.99</v>
      </c>
      <c r="R113" s="15">
        <v>4.99</v>
      </c>
      <c r="S113" s="15">
        <v>0</v>
      </c>
      <c r="T113"/>
    </row>
    <row r="114" spans="1:20">
      <c r="A114" s="5" t="s">
        <v>36</v>
      </c>
      <c r="B114" s="5" t="s">
        <v>13451</v>
      </c>
      <c r="C114" s="4">
        <f>Controle_Pedidos[[#This Row],[Data Compra]]</f>
        <v>45592</v>
      </c>
      <c r="D114" s="4">
        <v>45592</v>
      </c>
      <c r="E114" s="5" t="s">
        <v>15552</v>
      </c>
      <c r="F114" s="5" t="s">
        <v>17543</v>
      </c>
      <c r="G114" s="5" t="s">
        <v>829</v>
      </c>
      <c r="H114" s="5">
        <v>1</v>
      </c>
      <c r="I114" s="8" t="s">
        <v>7297</v>
      </c>
      <c r="J114" s="8" t="s">
        <v>9346</v>
      </c>
      <c r="K114" s="8" t="s">
        <v>1143</v>
      </c>
      <c r="L114" s="8" t="s">
        <v>11397</v>
      </c>
      <c r="M114" s="8" t="s">
        <v>3193</v>
      </c>
      <c r="N114" s="8" t="s">
        <v>5244</v>
      </c>
      <c r="O114" s="5" t="s">
        <v>40</v>
      </c>
      <c r="P114" s="4">
        <v>45617</v>
      </c>
      <c r="Q114" s="15">
        <v>18.2</v>
      </c>
      <c r="R114" s="15">
        <v>4.99</v>
      </c>
      <c r="S114" s="15">
        <v>0</v>
      </c>
      <c r="T114"/>
    </row>
    <row r="115" spans="1:20">
      <c r="A115" s="5" t="s">
        <v>36</v>
      </c>
      <c r="B115" s="5" t="s">
        <v>13452</v>
      </c>
      <c r="C115" s="4">
        <f>Controle_Pedidos[[#This Row],[Data Compra]]</f>
        <v>45592</v>
      </c>
      <c r="D115" s="4">
        <v>45592</v>
      </c>
      <c r="E115" s="5" t="s">
        <v>15553</v>
      </c>
      <c r="F115" s="5" t="s">
        <v>17544</v>
      </c>
      <c r="G115" s="5" t="s">
        <v>829</v>
      </c>
      <c r="H115" s="5">
        <v>1</v>
      </c>
      <c r="I115" s="8" t="s">
        <v>7298</v>
      </c>
      <c r="J115" s="8" t="s">
        <v>9347</v>
      </c>
      <c r="K115" s="8" t="s">
        <v>1144</v>
      </c>
      <c r="L115" s="8" t="s">
        <v>11398</v>
      </c>
      <c r="M115" s="8" t="s">
        <v>3194</v>
      </c>
      <c r="N115" s="8" t="s">
        <v>5245</v>
      </c>
      <c r="O115" s="5" t="s">
        <v>40</v>
      </c>
      <c r="P115" s="4">
        <v>45617</v>
      </c>
      <c r="Q115" s="15">
        <v>18.2</v>
      </c>
      <c r="R115" s="15">
        <v>4.99</v>
      </c>
      <c r="S115" s="15">
        <v>0</v>
      </c>
      <c r="T115"/>
    </row>
    <row r="116" spans="1:20">
      <c r="A116" s="5" t="s">
        <v>36</v>
      </c>
      <c r="B116" s="5" t="s">
        <v>13453</v>
      </c>
      <c r="C116" s="4">
        <f>Controle_Pedidos[[#This Row],[Data Compra]]</f>
        <v>45592</v>
      </c>
      <c r="D116" s="4">
        <v>45592</v>
      </c>
      <c r="E116" s="5" t="s">
        <v>15554</v>
      </c>
      <c r="F116" s="5" t="s">
        <v>17545</v>
      </c>
      <c r="G116" s="5" t="s">
        <v>829</v>
      </c>
      <c r="H116" s="5">
        <v>1</v>
      </c>
      <c r="I116" s="8" t="s">
        <v>7299</v>
      </c>
      <c r="J116" s="8" t="s">
        <v>9348</v>
      </c>
      <c r="K116" s="8" t="s">
        <v>1145</v>
      </c>
      <c r="L116" s="8" t="s">
        <v>11399</v>
      </c>
      <c r="M116" s="8" t="s">
        <v>3195</v>
      </c>
      <c r="N116" s="8" t="s">
        <v>5246</v>
      </c>
      <c r="O116" s="5" t="s">
        <v>40</v>
      </c>
      <c r="P116" s="4">
        <v>45610</v>
      </c>
      <c r="Q116" s="15">
        <v>18.2</v>
      </c>
      <c r="R116" s="15">
        <v>4.99</v>
      </c>
      <c r="S116" s="15">
        <v>0</v>
      </c>
      <c r="T116"/>
    </row>
    <row r="117" spans="1:20">
      <c r="A117" s="5" t="s">
        <v>36</v>
      </c>
      <c r="B117" s="5" t="s">
        <v>13454</v>
      </c>
      <c r="C117" s="4">
        <f>Controle_Pedidos[[#This Row],[Data Compra]]</f>
        <v>45592</v>
      </c>
      <c r="D117" s="4">
        <v>45592</v>
      </c>
      <c r="E117" s="5" t="s">
        <v>15555</v>
      </c>
      <c r="F117" s="5" t="s">
        <v>17546</v>
      </c>
      <c r="G117" s="5" t="s">
        <v>824</v>
      </c>
      <c r="H117" s="5">
        <v>1</v>
      </c>
      <c r="I117" s="8" t="s">
        <v>7300</v>
      </c>
      <c r="J117" s="8" t="s">
        <v>9349</v>
      </c>
      <c r="K117" s="8" t="s">
        <v>1146</v>
      </c>
      <c r="L117" s="8" t="s">
        <v>11400</v>
      </c>
      <c r="M117" s="8" t="s">
        <v>3196</v>
      </c>
      <c r="N117" s="8" t="s">
        <v>5247</v>
      </c>
      <c r="O117" s="5" t="s">
        <v>38</v>
      </c>
      <c r="P117" s="4">
        <v>45608</v>
      </c>
      <c r="Q117" s="15">
        <v>15.99</v>
      </c>
      <c r="R117" s="15">
        <v>4.99</v>
      </c>
      <c r="S117" s="15">
        <v>0</v>
      </c>
      <c r="T117"/>
    </row>
    <row r="118" spans="1:20">
      <c r="A118" s="5" t="s">
        <v>36</v>
      </c>
      <c r="B118" s="5" t="s">
        <v>13455</v>
      </c>
      <c r="C118" s="4">
        <f>Controle_Pedidos[[#This Row],[Data Compra]]</f>
        <v>45592</v>
      </c>
      <c r="D118" s="4">
        <v>45592</v>
      </c>
      <c r="E118" s="5" t="s">
        <v>15556</v>
      </c>
      <c r="F118" s="5" t="s">
        <v>17547</v>
      </c>
      <c r="G118" s="5" t="s">
        <v>824</v>
      </c>
      <c r="H118" s="5">
        <v>1</v>
      </c>
      <c r="I118" s="8" t="s">
        <v>7301</v>
      </c>
      <c r="J118" s="8" t="s">
        <v>9350</v>
      </c>
      <c r="K118" s="8" t="s">
        <v>1147</v>
      </c>
      <c r="L118" s="8" t="s">
        <v>11401</v>
      </c>
      <c r="M118" s="8" t="s">
        <v>3197</v>
      </c>
      <c r="N118" s="8" t="s">
        <v>5248</v>
      </c>
      <c r="O118" s="5" t="s">
        <v>38</v>
      </c>
      <c r="P118" s="4">
        <v>45610</v>
      </c>
      <c r="Q118" s="15">
        <v>15.99</v>
      </c>
      <c r="R118" s="15">
        <v>4.99</v>
      </c>
      <c r="S118" s="15">
        <v>0</v>
      </c>
      <c r="T118"/>
    </row>
    <row r="119" spans="1:20">
      <c r="A119" s="5" t="s">
        <v>36</v>
      </c>
      <c r="B119" s="5" t="s">
        <v>13456</v>
      </c>
      <c r="C119" s="4">
        <f>Controle_Pedidos[[#This Row],[Data Compra]]</f>
        <v>45592</v>
      </c>
      <c r="D119" s="4">
        <v>45592</v>
      </c>
      <c r="E119" s="5" t="s">
        <v>15557</v>
      </c>
      <c r="F119" s="5" t="s">
        <v>17548</v>
      </c>
      <c r="G119" s="5" t="s">
        <v>817</v>
      </c>
      <c r="H119" s="5">
        <v>1</v>
      </c>
      <c r="I119" s="8" t="s">
        <v>7302</v>
      </c>
      <c r="J119" s="8" t="s">
        <v>9351</v>
      </c>
      <c r="K119" s="8" t="s">
        <v>1148</v>
      </c>
      <c r="L119" s="8" t="s">
        <v>11402</v>
      </c>
      <c r="M119" s="8" t="s">
        <v>3198</v>
      </c>
      <c r="N119" s="8" t="s">
        <v>5249</v>
      </c>
      <c r="O119" s="5" t="s">
        <v>39</v>
      </c>
      <c r="P119" s="4">
        <v>45617</v>
      </c>
      <c r="Q119" s="15">
        <v>23.2</v>
      </c>
      <c r="R119" s="15">
        <v>9.99</v>
      </c>
      <c r="S119" s="15">
        <v>0</v>
      </c>
      <c r="T119"/>
    </row>
    <row r="120" spans="1:20">
      <c r="A120" s="5" t="s">
        <v>36</v>
      </c>
      <c r="B120" s="5" t="s">
        <v>13457</v>
      </c>
      <c r="C120" s="4">
        <f>Controle_Pedidos[[#This Row],[Data Compra]]</f>
        <v>45592</v>
      </c>
      <c r="D120" s="4">
        <v>45592</v>
      </c>
      <c r="E120" s="5" t="s">
        <v>15558</v>
      </c>
      <c r="F120" s="5" t="s">
        <v>17549</v>
      </c>
      <c r="G120" s="5" t="s">
        <v>817</v>
      </c>
      <c r="H120" s="5">
        <v>1</v>
      </c>
      <c r="I120" s="8" t="s">
        <v>7303</v>
      </c>
      <c r="J120" s="8" t="s">
        <v>9352</v>
      </c>
      <c r="K120" s="8" t="s">
        <v>1149</v>
      </c>
      <c r="L120" s="8" t="s">
        <v>11403</v>
      </c>
      <c r="M120" s="8" t="s">
        <v>3199</v>
      </c>
      <c r="N120" s="8" t="s">
        <v>5250</v>
      </c>
      <c r="O120" s="5" t="s">
        <v>39</v>
      </c>
      <c r="P120" s="4">
        <v>45617</v>
      </c>
      <c r="Q120" s="15">
        <v>23.2</v>
      </c>
      <c r="R120" s="15">
        <v>9.99</v>
      </c>
      <c r="S120" s="15">
        <v>0</v>
      </c>
      <c r="T120"/>
    </row>
    <row r="121" spans="1:20">
      <c r="A121" s="5" t="s">
        <v>36</v>
      </c>
      <c r="B121" s="5" t="s">
        <v>13458</v>
      </c>
      <c r="C121" s="4">
        <f>Controle_Pedidos[[#This Row],[Data Compra]]</f>
        <v>45592</v>
      </c>
      <c r="D121" s="4">
        <v>45592</v>
      </c>
      <c r="E121" s="5" t="s">
        <v>15559</v>
      </c>
      <c r="F121" s="5" t="s">
        <v>17550</v>
      </c>
      <c r="G121" s="5" t="s">
        <v>824</v>
      </c>
      <c r="H121" s="5">
        <v>1</v>
      </c>
      <c r="I121" s="8" t="s">
        <v>7304</v>
      </c>
      <c r="J121" s="8" t="s">
        <v>9353</v>
      </c>
      <c r="K121" s="8" t="s">
        <v>1150</v>
      </c>
      <c r="L121" s="8" t="s">
        <v>11404</v>
      </c>
      <c r="M121" s="8" t="s">
        <v>3200</v>
      </c>
      <c r="N121" s="8" t="s">
        <v>5251</v>
      </c>
      <c r="O121" s="5" t="s">
        <v>38</v>
      </c>
      <c r="P121" s="4">
        <v>45610</v>
      </c>
      <c r="Q121" s="15">
        <v>15.99</v>
      </c>
      <c r="R121" s="15">
        <v>4.99</v>
      </c>
      <c r="S121" s="15">
        <v>0</v>
      </c>
      <c r="T121"/>
    </row>
    <row r="122" spans="1:20">
      <c r="A122" s="5" t="s">
        <v>36</v>
      </c>
      <c r="B122" s="5" t="s">
        <v>13459</v>
      </c>
      <c r="C122" s="4">
        <f>Controle_Pedidos[[#This Row],[Data Compra]]</f>
        <v>45592</v>
      </c>
      <c r="D122" s="4">
        <v>45592</v>
      </c>
      <c r="E122" s="5" t="s">
        <v>15560</v>
      </c>
      <c r="F122" s="5" t="s">
        <v>17551</v>
      </c>
      <c r="G122" s="5" t="s">
        <v>829</v>
      </c>
      <c r="H122" s="5">
        <v>1</v>
      </c>
      <c r="I122" s="8" t="s">
        <v>7305</v>
      </c>
      <c r="J122" s="8" t="s">
        <v>9354</v>
      </c>
      <c r="K122" s="8" t="s">
        <v>1151</v>
      </c>
      <c r="L122" s="8" t="s">
        <v>11405</v>
      </c>
      <c r="M122" s="8" t="s">
        <v>3201</v>
      </c>
      <c r="N122" s="8" t="s">
        <v>5252</v>
      </c>
      <c r="O122" s="5" t="s">
        <v>40</v>
      </c>
      <c r="P122" s="4">
        <v>45617</v>
      </c>
      <c r="Q122" s="15">
        <v>18.2</v>
      </c>
      <c r="R122" s="15">
        <v>4.99</v>
      </c>
      <c r="S122" s="15">
        <v>0</v>
      </c>
      <c r="T122"/>
    </row>
    <row r="123" spans="1:20">
      <c r="A123" s="5" t="s">
        <v>36</v>
      </c>
      <c r="B123" s="5" t="s">
        <v>13460</v>
      </c>
      <c r="C123" s="4">
        <f>Controle_Pedidos[[#This Row],[Data Compra]]</f>
        <v>45592</v>
      </c>
      <c r="D123" s="4">
        <v>45592</v>
      </c>
      <c r="E123" s="5" t="s">
        <v>15561</v>
      </c>
      <c r="F123" s="5" t="s">
        <v>17552</v>
      </c>
      <c r="G123" s="5" t="s">
        <v>824</v>
      </c>
      <c r="H123" s="5">
        <v>1</v>
      </c>
      <c r="I123" s="8" t="s">
        <v>7306</v>
      </c>
      <c r="J123" s="8" t="s">
        <v>9355</v>
      </c>
      <c r="K123" s="8" t="s">
        <v>1152</v>
      </c>
      <c r="L123" s="8" t="s">
        <v>11406</v>
      </c>
      <c r="M123" s="8" t="s">
        <v>3202</v>
      </c>
      <c r="N123" s="8" t="s">
        <v>5253</v>
      </c>
      <c r="O123" s="5" t="s">
        <v>38</v>
      </c>
      <c r="P123" s="4">
        <v>45604</v>
      </c>
      <c r="Q123" s="15">
        <v>15.99</v>
      </c>
      <c r="R123" s="15">
        <v>4.99</v>
      </c>
      <c r="S123" s="15">
        <v>0</v>
      </c>
      <c r="T123"/>
    </row>
    <row r="124" spans="1:20">
      <c r="A124" s="5" t="s">
        <v>36</v>
      </c>
      <c r="B124" s="5" t="s">
        <v>13461</v>
      </c>
      <c r="C124" s="4">
        <f>Controle_Pedidos[[#This Row],[Data Compra]]</f>
        <v>45592</v>
      </c>
      <c r="D124" s="4">
        <v>45592</v>
      </c>
      <c r="E124" s="5" t="s">
        <v>15562</v>
      </c>
      <c r="F124" s="5" t="s">
        <v>17553</v>
      </c>
      <c r="G124" s="5" t="s">
        <v>824</v>
      </c>
      <c r="H124" s="5">
        <v>1</v>
      </c>
      <c r="I124" s="8" t="s">
        <v>7307</v>
      </c>
      <c r="J124" s="8" t="s">
        <v>9356</v>
      </c>
      <c r="K124" s="8" t="s">
        <v>1153</v>
      </c>
      <c r="L124" s="8" t="s">
        <v>11407</v>
      </c>
      <c r="M124" s="8" t="s">
        <v>3203</v>
      </c>
      <c r="N124" s="8" t="s">
        <v>5254</v>
      </c>
      <c r="O124" s="5" t="s">
        <v>38</v>
      </c>
      <c r="P124" s="4">
        <v>45610</v>
      </c>
      <c r="Q124" s="15">
        <v>15.99</v>
      </c>
      <c r="R124" s="15">
        <v>4.99</v>
      </c>
      <c r="S124" s="15">
        <v>0</v>
      </c>
      <c r="T124"/>
    </row>
    <row r="125" spans="1:20">
      <c r="A125" s="5" t="s">
        <v>36</v>
      </c>
      <c r="B125" s="5" t="s">
        <v>13462</v>
      </c>
      <c r="C125" s="4">
        <f>Controle_Pedidos[[#This Row],[Data Compra]]</f>
        <v>45592</v>
      </c>
      <c r="D125" s="4">
        <v>45592</v>
      </c>
      <c r="E125" s="5" t="s">
        <v>15563</v>
      </c>
      <c r="F125" s="5" t="s">
        <v>17554</v>
      </c>
      <c r="G125" s="5" t="s">
        <v>834</v>
      </c>
      <c r="H125" s="5">
        <v>1</v>
      </c>
      <c r="I125" s="8" t="s">
        <v>7308</v>
      </c>
      <c r="J125" s="8" t="s">
        <v>9357</v>
      </c>
      <c r="K125" s="8" t="s">
        <v>1154</v>
      </c>
      <c r="L125" s="8" t="s">
        <v>11408</v>
      </c>
      <c r="M125" s="8" t="s">
        <v>3204</v>
      </c>
      <c r="N125" s="8" t="s">
        <v>5255</v>
      </c>
      <c r="O125" s="5" t="s">
        <v>54</v>
      </c>
      <c r="P125" s="4">
        <v>45604</v>
      </c>
      <c r="Q125" s="15">
        <v>26.2</v>
      </c>
      <c r="R125" s="15">
        <v>9.59</v>
      </c>
      <c r="S125" s="15">
        <v>0</v>
      </c>
      <c r="T125"/>
    </row>
    <row r="126" spans="1:20">
      <c r="A126" s="5" t="s">
        <v>36</v>
      </c>
      <c r="B126" s="5" t="s">
        <v>13463</v>
      </c>
      <c r="C126" s="4">
        <f>Controle_Pedidos[[#This Row],[Data Compra]]</f>
        <v>45592</v>
      </c>
      <c r="D126" s="4">
        <v>45592</v>
      </c>
      <c r="E126" s="5" t="s">
        <v>15564</v>
      </c>
      <c r="F126" s="5" t="s">
        <v>17555</v>
      </c>
      <c r="G126" s="5" t="s">
        <v>817</v>
      </c>
      <c r="H126" s="5">
        <v>1</v>
      </c>
      <c r="I126" s="8" t="s">
        <v>7309</v>
      </c>
      <c r="J126" s="8" t="s">
        <v>9358</v>
      </c>
      <c r="K126" s="8" t="s">
        <v>1155</v>
      </c>
      <c r="L126" s="8" t="s">
        <v>11409</v>
      </c>
      <c r="M126" s="8" t="s">
        <v>3205</v>
      </c>
      <c r="N126" s="8" t="s">
        <v>5256</v>
      </c>
      <c r="O126" s="5" t="s">
        <v>39</v>
      </c>
      <c r="P126" s="4">
        <v>45604</v>
      </c>
      <c r="Q126" s="15">
        <v>23.2</v>
      </c>
      <c r="R126" s="15">
        <v>9.99</v>
      </c>
      <c r="S126" s="15">
        <v>0</v>
      </c>
      <c r="T126"/>
    </row>
    <row r="127" spans="1:20">
      <c r="A127" s="5" t="s">
        <v>36</v>
      </c>
      <c r="B127" s="5" t="s">
        <v>13464</v>
      </c>
      <c r="C127" s="4">
        <f>Controle_Pedidos[[#This Row],[Data Compra]]</f>
        <v>45592</v>
      </c>
      <c r="D127" s="4">
        <v>45592</v>
      </c>
      <c r="E127" s="5" t="s">
        <v>15565</v>
      </c>
      <c r="F127" s="5" t="s">
        <v>17556</v>
      </c>
      <c r="G127" s="5" t="s">
        <v>831</v>
      </c>
      <c r="H127" s="5">
        <v>1</v>
      </c>
      <c r="I127" s="8" t="s">
        <v>7310</v>
      </c>
      <c r="J127" s="8" t="s">
        <v>9359</v>
      </c>
      <c r="K127" s="8" t="s">
        <v>1156</v>
      </c>
      <c r="L127" s="8" t="s">
        <v>11410</v>
      </c>
      <c r="M127" s="8" t="s">
        <v>3206</v>
      </c>
      <c r="N127" s="8" t="s">
        <v>5257</v>
      </c>
      <c r="O127" s="5" t="s">
        <v>41</v>
      </c>
      <c r="P127" s="4">
        <v>45610</v>
      </c>
      <c r="Q127" s="15">
        <v>64.989999999999995</v>
      </c>
      <c r="R127" s="15">
        <v>7.25</v>
      </c>
      <c r="S127" s="15">
        <v>0</v>
      </c>
      <c r="T127"/>
    </row>
    <row r="128" spans="1:20">
      <c r="A128" s="5" t="s">
        <v>36</v>
      </c>
      <c r="B128" s="5" t="s">
        <v>13465</v>
      </c>
      <c r="C128" s="4">
        <f>Controle_Pedidos[[#This Row],[Data Compra]]</f>
        <v>45592</v>
      </c>
      <c r="D128" s="4">
        <v>45592</v>
      </c>
      <c r="E128" s="5" t="s">
        <v>15566</v>
      </c>
      <c r="F128" s="5" t="s">
        <v>17557</v>
      </c>
      <c r="G128" s="5" t="s">
        <v>829</v>
      </c>
      <c r="H128" s="5">
        <v>1</v>
      </c>
      <c r="I128" s="8" t="s">
        <v>7311</v>
      </c>
      <c r="J128" s="8" t="s">
        <v>9360</v>
      </c>
      <c r="K128" s="8" t="s">
        <v>1157</v>
      </c>
      <c r="L128" s="8" t="s">
        <v>11411</v>
      </c>
      <c r="M128" s="8" t="s">
        <v>3207</v>
      </c>
      <c r="N128" s="8" t="s">
        <v>5258</v>
      </c>
      <c r="O128" s="5" t="s">
        <v>40</v>
      </c>
      <c r="P128" s="4">
        <v>45617</v>
      </c>
      <c r="Q128" s="15">
        <v>18.2</v>
      </c>
      <c r="R128" s="15">
        <v>4.99</v>
      </c>
      <c r="S128" s="15">
        <v>0</v>
      </c>
      <c r="T128"/>
    </row>
    <row r="129" spans="1:20">
      <c r="A129" s="5" t="s">
        <v>36</v>
      </c>
      <c r="B129" s="5" t="s">
        <v>13466</v>
      </c>
      <c r="C129" s="4">
        <f>Controle_Pedidos[[#This Row],[Data Compra]]</f>
        <v>45592</v>
      </c>
      <c r="D129" s="4">
        <v>45592</v>
      </c>
      <c r="E129" s="5" t="s">
        <v>15567</v>
      </c>
      <c r="F129" s="5" t="s">
        <v>17558</v>
      </c>
      <c r="G129" s="5" t="s">
        <v>831</v>
      </c>
      <c r="H129" s="5">
        <v>1</v>
      </c>
      <c r="I129" s="8" t="s">
        <v>7312</v>
      </c>
      <c r="J129" s="8" t="s">
        <v>9361</v>
      </c>
      <c r="K129" s="8" t="s">
        <v>1158</v>
      </c>
      <c r="L129" s="8" t="s">
        <v>11412</v>
      </c>
      <c r="M129" s="8" t="s">
        <v>3208</v>
      </c>
      <c r="N129" s="8" t="s">
        <v>5259</v>
      </c>
      <c r="O129" s="5" t="s">
        <v>41</v>
      </c>
      <c r="P129" s="4">
        <v>45624</v>
      </c>
      <c r="Q129" s="15">
        <v>64.989999999999995</v>
      </c>
      <c r="R129" s="15">
        <v>7.25</v>
      </c>
      <c r="S129" s="15">
        <v>0</v>
      </c>
      <c r="T129"/>
    </row>
    <row r="130" spans="1:20">
      <c r="A130" s="5" t="s">
        <v>36</v>
      </c>
      <c r="B130" s="5" t="s">
        <v>13467</v>
      </c>
      <c r="C130" s="4">
        <f>Controle_Pedidos[[#This Row],[Data Compra]]</f>
        <v>45593</v>
      </c>
      <c r="D130" s="4">
        <v>45593</v>
      </c>
      <c r="E130" s="5" t="s">
        <v>15568</v>
      </c>
      <c r="F130" s="5" t="s">
        <v>17559</v>
      </c>
      <c r="G130" s="5" t="s">
        <v>824</v>
      </c>
      <c r="H130" s="5">
        <v>1</v>
      </c>
      <c r="I130" s="8" t="s">
        <v>7313</v>
      </c>
      <c r="J130" s="8" t="s">
        <v>9362</v>
      </c>
      <c r="K130" s="8" t="s">
        <v>1159</v>
      </c>
      <c r="L130" s="8" t="s">
        <v>11413</v>
      </c>
      <c r="M130" s="8" t="s">
        <v>3209</v>
      </c>
      <c r="N130" s="8" t="s">
        <v>5260</v>
      </c>
      <c r="O130" s="5" t="s">
        <v>38</v>
      </c>
      <c r="P130" s="4">
        <v>45618</v>
      </c>
      <c r="Q130" s="15">
        <v>16.989999999999998</v>
      </c>
      <c r="R130" s="15">
        <v>4.99</v>
      </c>
      <c r="S130" s="15">
        <v>0</v>
      </c>
      <c r="T130"/>
    </row>
    <row r="131" spans="1:20">
      <c r="A131" s="5" t="s">
        <v>36</v>
      </c>
      <c r="B131" s="5" t="s">
        <v>13468</v>
      </c>
      <c r="C131" s="4">
        <f>Controle_Pedidos[[#This Row],[Data Compra]]</f>
        <v>45593</v>
      </c>
      <c r="D131" s="4">
        <v>45593</v>
      </c>
      <c r="E131" s="5" t="s">
        <v>15569</v>
      </c>
      <c r="F131" s="5" t="s">
        <v>17560</v>
      </c>
      <c r="G131" s="5" t="s">
        <v>829</v>
      </c>
      <c r="H131" s="5">
        <v>1</v>
      </c>
      <c r="I131" s="8" t="s">
        <v>7314</v>
      </c>
      <c r="J131" s="8" t="s">
        <v>9363</v>
      </c>
      <c r="K131" s="8" t="s">
        <v>1160</v>
      </c>
      <c r="L131" s="8" t="s">
        <v>11414</v>
      </c>
      <c r="M131" s="8" t="s">
        <v>3210</v>
      </c>
      <c r="N131" s="8" t="s">
        <v>5261</v>
      </c>
      <c r="O131" s="5" t="s">
        <v>40</v>
      </c>
      <c r="P131" s="4">
        <v>45611</v>
      </c>
      <c r="Q131" s="15">
        <v>18.2</v>
      </c>
      <c r="R131" s="15">
        <v>4.99</v>
      </c>
      <c r="S131" s="15">
        <v>0</v>
      </c>
      <c r="T131"/>
    </row>
    <row r="132" spans="1:20">
      <c r="A132" s="5" t="s">
        <v>36</v>
      </c>
      <c r="B132" s="5" t="s">
        <v>13469</v>
      </c>
      <c r="C132" s="4">
        <f>Controle_Pedidos[[#This Row],[Data Compra]]</f>
        <v>45593</v>
      </c>
      <c r="D132" s="4">
        <v>45593</v>
      </c>
      <c r="E132" s="5" t="s">
        <v>15570</v>
      </c>
      <c r="F132" s="5" t="s">
        <v>17561</v>
      </c>
      <c r="G132" s="5" t="s">
        <v>824</v>
      </c>
      <c r="H132" s="5">
        <v>1</v>
      </c>
      <c r="I132" s="8" t="s">
        <v>7315</v>
      </c>
      <c r="J132" s="8" t="s">
        <v>9364</v>
      </c>
      <c r="K132" s="8" t="s">
        <v>1161</v>
      </c>
      <c r="L132" s="8" t="s">
        <v>11415</v>
      </c>
      <c r="M132" s="8" t="s">
        <v>3211</v>
      </c>
      <c r="N132" s="8" t="s">
        <v>5262</v>
      </c>
      <c r="O132" s="5" t="s">
        <v>38</v>
      </c>
      <c r="P132" s="4">
        <v>45605</v>
      </c>
      <c r="Q132" s="15">
        <v>16.989999999999998</v>
      </c>
      <c r="R132" s="15">
        <v>4.99</v>
      </c>
      <c r="S132" s="15">
        <v>0</v>
      </c>
      <c r="T132"/>
    </row>
    <row r="133" spans="1:20">
      <c r="A133" s="5" t="s">
        <v>36</v>
      </c>
      <c r="B133" s="5" t="s">
        <v>13470</v>
      </c>
      <c r="C133" s="4">
        <f>Controle_Pedidos[[#This Row],[Data Compra]]</f>
        <v>45593</v>
      </c>
      <c r="D133" s="4">
        <v>45593</v>
      </c>
      <c r="E133" s="5" t="s">
        <v>15571</v>
      </c>
      <c r="F133" s="5" t="s">
        <v>17562</v>
      </c>
      <c r="G133" s="5" t="s">
        <v>836</v>
      </c>
      <c r="H133" s="5">
        <v>1</v>
      </c>
      <c r="I133" s="8" t="s">
        <v>7316</v>
      </c>
      <c r="J133" s="8" t="s">
        <v>9365</v>
      </c>
      <c r="K133" s="8" t="s">
        <v>1162</v>
      </c>
      <c r="L133" s="8" t="s">
        <v>11416</v>
      </c>
      <c r="M133" s="8" t="s">
        <v>3212</v>
      </c>
      <c r="N133" s="8" t="s">
        <v>5263</v>
      </c>
      <c r="O133" s="5" t="s">
        <v>55</v>
      </c>
      <c r="P133" s="4">
        <v>45605</v>
      </c>
      <c r="Q133" s="15">
        <v>21.3</v>
      </c>
      <c r="R133" s="15">
        <v>6.97</v>
      </c>
      <c r="S133" s="15">
        <v>0</v>
      </c>
      <c r="T133"/>
    </row>
    <row r="134" spans="1:20">
      <c r="A134" s="5" t="s">
        <v>36</v>
      </c>
      <c r="B134" s="5" t="s">
        <v>13471</v>
      </c>
      <c r="C134" s="4">
        <f>Controle_Pedidos[[#This Row],[Data Compra]]</f>
        <v>45593</v>
      </c>
      <c r="D134" s="4">
        <v>45593</v>
      </c>
      <c r="E134" s="5" t="s">
        <v>15572</v>
      </c>
      <c r="F134" s="5" t="s">
        <v>17563</v>
      </c>
      <c r="G134" s="5" t="s">
        <v>829</v>
      </c>
      <c r="H134" s="5">
        <v>1</v>
      </c>
      <c r="I134" s="8" t="s">
        <v>7317</v>
      </c>
      <c r="J134" s="8" t="s">
        <v>9366</v>
      </c>
      <c r="K134" s="8" t="s">
        <v>1163</v>
      </c>
      <c r="L134" s="8" t="s">
        <v>11417</v>
      </c>
      <c r="M134" s="8" t="s">
        <v>3213</v>
      </c>
      <c r="N134" s="8" t="s">
        <v>5264</v>
      </c>
      <c r="O134" s="5" t="s">
        <v>40</v>
      </c>
      <c r="P134" s="4">
        <v>45605</v>
      </c>
      <c r="Q134" s="15">
        <v>18.2</v>
      </c>
      <c r="R134" s="15">
        <v>4.99</v>
      </c>
      <c r="S134" s="15">
        <v>0</v>
      </c>
      <c r="T134"/>
    </row>
    <row r="135" spans="1:20">
      <c r="A135" s="5" t="s">
        <v>36</v>
      </c>
      <c r="B135" s="5" t="s">
        <v>13472</v>
      </c>
      <c r="C135" s="4">
        <f>Controle_Pedidos[[#This Row],[Data Compra]]</f>
        <v>45593</v>
      </c>
      <c r="D135" s="4">
        <v>45593</v>
      </c>
      <c r="E135" s="5" t="s">
        <v>15573</v>
      </c>
      <c r="F135" s="5" t="s">
        <v>17564</v>
      </c>
      <c r="G135" s="5" t="s">
        <v>817</v>
      </c>
      <c r="H135" s="5">
        <v>1</v>
      </c>
      <c r="I135" s="8" t="s">
        <v>7318</v>
      </c>
      <c r="J135" s="8" t="s">
        <v>9367</v>
      </c>
      <c r="K135" s="8" t="s">
        <v>1164</v>
      </c>
      <c r="L135" s="8" t="s">
        <v>11418</v>
      </c>
      <c r="M135" s="8" t="s">
        <v>3214</v>
      </c>
      <c r="N135" s="8" t="s">
        <v>5265</v>
      </c>
      <c r="O135" s="5" t="s">
        <v>39</v>
      </c>
      <c r="P135" s="4">
        <v>45605</v>
      </c>
      <c r="Q135" s="15">
        <v>23.2</v>
      </c>
      <c r="R135" s="15">
        <v>9.99</v>
      </c>
      <c r="S135" s="15">
        <v>0</v>
      </c>
      <c r="T135"/>
    </row>
    <row r="136" spans="1:20">
      <c r="A136" s="5" t="s">
        <v>36</v>
      </c>
      <c r="B136" s="5" t="s">
        <v>13473</v>
      </c>
      <c r="C136" s="4">
        <f>Controle_Pedidos[[#This Row],[Data Compra]]</f>
        <v>45593</v>
      </c>
      <c r="D136" s="4">
        <v>45593</v>
      </c>
      <c r="E136" s="5" t="s">
        <v>15574</v>
      </c>
      <c r="F136" s="5" t="s">
        <v>17565</v>
      </c>
      <c r="G136" s="5" t="s">
        <v>824</v>
      </c>
      <c r="H136" s="5">
        <v>1</v>
      </c>
      <c r="I136" s="8" t="s">
        <v>7319</v>
      </c>
      <c r="J136" s="8" t="s">
        <v>9368</v>
      </c>
      <c r="K136" s="8" t="s">
        <v>1165</v>
      </c>
      <c r="L136" s="8" t="s">
        <v>11419</v>
      </c>
      <c r="M136" s="8" t="s">
        <v>3215</v>
      </c>
      <c r="N136" s="8" t="s">
        <v>5266</v>
      </c>
      <c r="O136" s="5" t="s">
        <v>38</v>
      </c>
      <c r="P136" s="4">
        <v>45611</v>
      </c>
      <c r="Q136" s="15">
        <v>15.99</v>
      </c>
      <c r="R136" s="15">
        <v>4.99</v>
      </c>
      <c r="S136" s="15">
        <v>0</v>
      </c>
      <c r="T136"/>
    </row>
    <row r="137" spans="1:20">
      <c r="A137" s="5" t="s">
        <v>36</v>
      </c>
      <c r="B137" s="5" t="s">
        <v>13474</v>
      </c>
      <c r="C137" s="4">
        <f>Controle_Pedidos[[#This Row],[Data Compra]]</f>
        <v>45593</v>
      </c>
      <c r="D137" s="4">
        <v>45593</v>
      </c>
      <c r="E137" s="5" t="s">
        <v>15575</v>
      </c>
      <c r="F137" s="5" t="s">
        <v>17566</v>
      </c>
      <c r="G137" s="5" t="s">
        <v>829</v>
      </c>
      <c r="H137" s="5">
        <v>1</v>
      </c>
      <c r="I137" s="8" t="s">
        <v>7320</v>
      </c>
      <c r="J137" s="8" t="s">
        <v>9369</v>
      </c>
      <c r="K137" s="8" t="s">
        <v>1166</v>
      </c>
      <c r="L137" s="8" t="s">
        <v>11420</v>
      </c>
      <c r="M137" s="8" t="s">
        <v>3216</v>
      </c>
      <c r="N137" s="8" t="s">
        <v>5267</v>
      </c>
      <c r="O137" s="5" t="s">
        <v>40</v>
      </c>
      <c r="P137" s="4">
        <v>45618</v>
      </c>
      <c r="Q137" s="15">
        <v>18.2</v>
      </c>
      <c r="R137" s="15">
        <v>0</v>
      </c>
      <c r="S137" s="15">
        <v>0</v>
      </c>
      <c r="T137"/>
    </row>
    <row r="138" spans="1:20">
      <c r="A138" s="5" t="s">
        <v>36</v>
      </c>
      <c r="B138" s="5" t="s">
        <v>13475</v>
      </c>
      <c r="C138" s="4">
        <f>Controle_Pedidos[[#This Row],[Data Compra]]</f>
        <v>45595</v>
      </c>
      <c r="D138" s="4">
        <v>45595</v>
      </c>
      <c r="E138" s="5" t="s">
        <v>15576</v>
      </c>
      <c r="F138" s="5" t="s">
        <v>17567</v>
      </c>
      <c r="G138" s="5" t="s">
        <v>829</v>
      </c>
      <c r="H138" s="5">
        <v>1</v>
      </c>
      <c r="I138" s="8" t="s">
        <v>7321</v>
      </c>
      <c r="J138" s="8" t="s">
        <v>9370</v>
      </c>
      <c r="K138" s="8" t="s">
        <v>1167</v>
      </c>
      <c r="L138" s="8" t="s">
        <v>11421</v>
      </c>
      <c r="M138" s="8" t="s">
        <v>3217</v>
      </c>
      <c r="N138" s="8" t="s">
        <v>5268</v>
      </c>
      <c r="O138" s="5" t="s">
        <v>40</v>
      </c>
      <c r="P138" s="4">
        <v>45623</v>
      </c>
      <c r="Q138" s="15">
        <v>18.2</v>
      </c>
      <c r="R138" s="15">
        <v>4.99</v>
      </c>
      <c r="S138" s="15">
        <v>0</v>
      </c>
      <c r="T138"/>
    </row>
    <row r="139" spans="1:20">
      <c r="A139" s="5" t="s">
        <v>36</v>
      </c>
      <c r="B139" s="5" t="s">
        <v>13476</v>
      </c>
      <c r="C139" s="4">
        <f>Controle_Pedidos[[#This Row],[Data Compra]]</f>
        <v>45593</v>
      </c>
      <c r="D139" s="4">
        <v>45593</v>
      </c>
      <c r="E139" s="5" t="s">
        <v>15577</v>
      </c>
      <c r="F139" s="5" t="s">
        <v>17568</v>
      </c>
      <c r="G139" s="5" t="s">
        <v>829</v>
      </c>
      <c r="H139" s="5">
        <v>1</v>
      </c>
      <c r="I139" s="8" t="s">
        <v>7322</v>
      </c>
      <c r="J139" s="8" t="s">
        <v>9371</v>
      </c>
      <c r="K139" s="8" t="s">
        <v>1168</v>
      </c>
      <c r="L139" s="8" t="s">
        <v>11422</v>
      </c>
      <c r="M139" s="8" t="s">
        <v>3218</v>
      </c>
      <c r="N139" s="8" t="s">
        <v>5269</v>
      </c>
      <c r="O139" s="5" t="s">
        <v>40</v>
      </c>
      <c r="P139" s="4">
        <v>45605</v>
      </c>
      <c r="Q139" s="15">
        <v>18.2</v>
      </c>
      <c r="R139" s="15">
        <v>0</v>
      </c>
      <c r="S139" s="15">
        <v>0</v>
      </c>
      <c r="T139"/>
    </row>
    <row r="140" spans="1:20">
      <c r="A140" s="5" t="s">
        <v>36</v>
      </c>
      <c r="B140" s="5" t="s">
        <v>13477</v>
      </c>
      <c r="C140" s="4">
        <f>Controle_Pedidos[[#This Row],[Data Compra]]</f>
        <v>45603</v>
      </c>
      <c r="D140" s="4">
        <v>45603</v>
      </c>
      <c r="E140" s="5" t="s">
        <v>15578</v>
      </c>
      <c r="F140" s="5" t="s">
        <v>17569</v>
      </c>
      <c r="G140" s="5" t="s">
        <v>817</v>
      </c>
      <c r="H140" s="5">
        <v>1</v>
      </c>
      <c r="I140" s="8" t="s">
        <v>7323</v>
      </c>
      <c r="J140" s="8" t="s">
        <v>9372</v>
      </c>
      <c r="K140" s="8" t="s">
        <v>1169</v>
      </c>
      <c r="L140" s="8" t="s">
        <v>11423</v>
      </c>
      <c r="M140" s="8" t="s">
        <v>3219</v>
      </c>
      <c r="N140" s="8" t="s">
        <v>5270</v>
      </c>
      <c r="O140" s="5" t="s">
        <v>39</v>
      </c>
      <c r="P140" s="4">
        <v>45605</v>
      </c>
      <c r="Q140" s="15">
        <v>23.2</v>
      </c>
      <c r="R140" s="15">
        <v>0</v>
      </c>
      <c r="S140" s="15">
        <v>0</v>
      </c>
      <c r="T140"/>
    </row>
    <row r="141" spans="1:20">
      <c r="A141" s="5" t="s">
        <v>36</v>
      </c>
      <c r="B141" s="5" t="s">
        <v>13478</v>
      </c>
      <c r="C141" s="4">
        <f>Controle_Pedidos[[#This Row],[Data Compra]]</f>
        <v>45593</v>
      </c>
      <c r="D141" s="4">
        <v>45593</v>
      </c>
      <c r="E141" s="5" t="s">
        <v>15579</v>
      </c>
      <c r="F141" s="5" t="s">
        <v>17570</v>
      </c>
      <c r="G141" s="5" t="s">
        <v>839</v>
      </c>
      <c r="H141" s="5">
        <v>1</v>
      </c>
      <c r="I141" s="8" t="s">
        <v>7324</v>
      </c>
      <c r="J141" s="8" t="s">
        <v>9373</v>
      </c>
      <c r="K141" s="8" t="s">
        <v>1170</v>
      </c>
      <c r="L141" s="8" t="s">
        <v>11424</v>
      </c>
      <c r="M141" s="8" t="s">
        <v>3220</v>
      </c>
      <c r="N141" s="8" t="s">
        <v>5271</v>
      </c>
      <c r="O141" s="5" t="s">
        <v>59</v>
      </c>
      <c r="P141" s="4">
        <v>45605</v>
      </c>
      <c r="Q141" s="15">
        <v>16.989999999999998</v>
      </c>
      <c r="R141" s="15">
        <v>4.99</v>
      </c>
      <c r="S141" s="15">
        <v>0</v>
      </c>
      <c r="T141"/>
    </row>
    <row r="142" spans="1:20">
      <c r="A142" s="5" t="s">
        <v>36</v>
      </c>
      <c r="B142" s="5" t="s">
        <v>13479</v>
      </c>
      <c r="C142" s="4">
        <f>Controle_Pedidos[[#This Row],[Data Compra]]</f>
        <v>45593</v>
      </c>
      <c r="D142" s="4">
        <v>45593</v>
      </c>
      <c r="E142" s="5" t="s">
        <v>15580</v>
      </c>
      <c r="F142" s="5" t="s">
        <v>17571</v>
      </c>
      <c r="G142" s="5" t="s">
        <v>829</v>
      </c>
      <c r="H142" s="5">
        <v>1</v>
      </c>
      <c r="I142" s="8" t="s">
        <v>7325</v>
      </c>
      <c r="J142" s="8" t="s">
        <v>9374</v>
      </c>
      <c r="K142" s="8" t="s">
        <v>1171</v>
      </c>
      <c r="L142" s="8" t="s">
        <v>11425</v>
      </c>
      <c r="M142" s="8" t="s">
        <v>3221</v>
      </c>
      <c r="N142" s="8" t="s">
        <v>5272</v>
      </c>
      <c r="O142" s="5" t="s">
        <v>40</v>
      </c>
      <c r="P142" s="4">
        <v>45618</v>
      </c>
      <c r="Q142" s="15">
        <v>18.2</v>
      </c>
      <c r="R142" s="15">
        <v>0</v>
      </c>
      <c r="S142" s="15">
        <v>0</v>
      </c>
      <c r="T142"/>
    </row>
    <row r="143" spans="1:20">
      <c r="A143" s="5" t="s">
        <v>36</v>
      </c>
      <c r="B143" s="5" t="s">
        <v>13480</v>
      </c>
      <c r="C143" s="4">
        <f>Controle_Pedidos[[#This Row],[Data Compra]]</f>
        <v>45593</v>
      </c>
      <c r="D143" s="4">
        <v>45593</v>
      </c>
      <c r="E143" s="5" t="s">
        <v>15581</v>
      </c>
      <c r="F143" s="5" t="s">
        <v>17572</v>
      </c>
      <c r="G143" s="5" t="s">
        <v>824</v>
      </c>
      <c r="H143" s="5">
        <v>1</v>
      </c>
      <c r="I143" s="8" t="s">
        <v>7326</v>
      </c>
      <c r="J143" s="8" t="s">
        <v>9375</v>
      </c>
      <c r="K143" s="8" t="s">
        <v>1172</v>
      </c>
      <c r="L143" s="8" t="s">
        <v>11426</v>
      </c>
      <c r="M143" s="8" t="s">
        <v>3222</v>
      </c>
      <c r="N143" s="8" t="s">
        <v>5273</v>
      </c>
      <c r="O143" s="5" t="s">
        <v>38</v>
      </c>
      <c r="P143" s="4">
        <v>45618</v>
      </c>
      <c r="Q143" s="15">
        <v>15.99</v>
      </c>
      <c r="R143" s="15">
        <v>4.99</v>
      </c>
      <c r="S143" s="15">
        <v>0</v>
      </c>
      <c r="T143"/>
    </row>
    <row r="144" spans="1:20">
      <c r="A144" s="5" t="s">
        <v>36</v>
      </c>
      <c r="B144" s="5" t="s">
        <v>13481</v>
      </c>
      <c r="C144" s="4">
        <f>Controle_Pedidos[[#This Row],[Data Compra]]</f>
        <v>45593</v>
      </c>
      <c r="D144" s="4">
        <v>45593</v>
      </c>
      <c r="E144" s="5" t="s">
        <v>15582</v>
      </c>
      <c r="F144" s="5" t="s">
        <v>17573</v>
      </c>
      <c r="G144" s="5" t="s">
        <v>824</v>
      </c>
      <c r="H144" s="5">
        <v>1</v>
      </c>
      <c r="I144" s="8" t="s">
        <v>7327</v>
      </c>
      <c r="J144" s="8" t="s">
        <v>9376</v>
      </c>
      <c r="K144" s="8" t="s">
        <v>1173</v>
      </c>
      <c r="L144" s="8" t="s">
        <v>11427</v>
      </c>
      <c r="M144" s="8" t="s">
        <v>3223</v>
      </c>
      <c r="N144" s="8" t="s">
        <v>5274</v>
      </c>
      <c r="O144" s="5" t="s">
        <v>38</v>
      </c>
      <c r="P144" s="4">
        <v>45611</v>
      </c>
      <c r="Q144" s="15">
        <v>15.99</v>
      </c>
      <c r="R144" s="15">
        <v>4.99</v>
      </c>
      <c r="S144" s="15">
        <v>0</v>
      </c>
      <c r="T144"/>
    </row>
    <row r="145" spans="1:20">
      <c r="A145" s="5" t="s">
        <v>36</v>
      </c>
      <c r="B145" s="5" t="s">
        <v>13482</v>
      </c>
      <c r="C145" s="4">
        <f>Controle_Pedidos[[#This Row],[Data Compra]]</f>
        <v>45593</v>
      </c>
      <c r="D145" s="4">
        <v>45593</v>
      </c>
      <c r="E145" s="5" t="s">
        <v>15583</v>
      </c>
      <c r="F145" s="5" t="s">
        <v>17574</v>
      </c>
      <c r="G145" s="5" t="s">
        <v>824</v>
      </c>
      <c r="H145" s="5">
        <v>1</v>
      </c>
      <c r="I145" s="8" t="s">
        <v>7328</v>
      </c>
      <c r="J145" s="8" t="s">
        <v>9377</v>
      </c>
      <c r="K145" s="8" t="s">
        <v>1174</v>
      </c>
      <c r="L145" s="8" t="s">
        <v>11428</v>
      </c>
      <c r="M145" s="8" t="s">
        <v>3224</v>
      </c>
      <c r="N145" s="8" t="s">
        <v>5275</v>
      </c>
      <c r="O145" s="5" t="s">
        <v>38</v>
      </c>
      <c r="P145" s="4">
        <v>45609</v>
      </c>
      <c r="Q145" s="15">
        <v>40</v>
      </c>
      <c r="R145" s="15">
        <v>4.99</v>
      </c>
      <c r="S145" s="15">
        <v>0</v>
      </c>
      <c r="T145"/>
    </row>
    <row r="146" spans="1:20">
      <c r="A146" s="5" t="s">
        <v>36</v>
      </c>
      <c r="B146" s="5" t="s">
        <v>13483</v>
      </c>
      <c r="C146" s="4">
        <f>Controle_Pedidos[[#This Row],[Data Compra]]</f>
        <v>45593</v>
      </c>
      <c r="D146" s="4">
        <v>45593</v>
      </c>
      <c r="E146" s="5" t="s">
        <v>15584</v>
      </c>
      <c r="F146" s="5" t="s">
        <v>17575</v>
      </c>
      <c r="G146" s="5" t="s">
        <v>829</v>
      </c>
      <c r="H146" s="5">
        <v>1</v>
      </c>
      <c r="I146" s="8" t="s">
        <v>7329</v>
      </c>
      <c r="J146" s="8" t="s">
        <v>9378</v>
      </c>
      <c r="K146" s="8" t="s">
        <v>1175</v>
      </c>
      <c r="L146" s="8" t="s">
        <v>11429</v>
      </c>
      <c r="M146" s="8" t="s">
        <v>3225</v>
      </c>
      <c r="N146" s="8" t="s">
        <v>5276</v>
      </c>
      <c r="O146" s="5" t="s">
        <v>40</v>
      </c>
      <c r="P146" s="4">
        <v>45611</v>
      </c>
      <c r="Q146" s="15">
        <v>18.2</v>
      </c>
      <c r="R146" s="15">
        <v>0</v>
      </c>
      <c r="S146" s="15">
        <v>0</v>
      </c>
      <c r="T146"/>
    </row>
    <row r="147" spans="1:20">
      <c r="A147" s="5" t="s">
        <v>36</v>
      </c>
      <c r="B147" s="5" t="s">
        <v>13484</v>
      </c>
      <c r="C147" s="4">
        <f>Controle_Pedidos[[#This Row],[Data Compra]]</f>
        <v>45593</v>
      </c>
      <c r="D147" s="4">
        <v>45593</v>
      </c>
      <c r="E147" s="5" t="s">
        <v>15585</v>
      </c>
      <c r="F147" s="5" t="s">
        <v>17576</v>
      </c>
      <c r="G147" s="5" t="s">
        <v>829</v>
      </c>
      <c r="H147" s="5">
        <v>1</v>
      </c>
      <c r="I147" s="8" t="s">
        <v>7330</v>
      </c>
      <c r="J147" s="8" t="s">
        <v>9379</v>
      </c>
      <c r="K147" s="8" t="s">
        <v>1176</v>
      </c>
      <c r="L147" s="8" t="s">
        <v>11430</v>
      </c>
      <c r="M147" s="8" t="s">
        <v>3226</v>
      </c>
      <c r="N147" s="8" t="s">
        <v>5277</v>
      </c>
      <c r="O147" s="5" t="s">
        <v>40</v>
      </c>
      <c r="P147" s="4">
        <v>45605</v>
      </c>
      <c r="Q147" s="15">
        <v>18.2</v>
      </c>
      <c r="R147" s="15">
        <v>0</v>
      </c>
      <c r="S147" s="15">
        <v>0</v>
      </c>
      <c r="T147"/>
    </row>
    <row r="148" spans="1:20">
      <c r="A148" s="5" t="s">
        <v>36</v>
      </c>
      <c r="B148" s="5" t="s">
        <v>13485</v>
      </c>
      <c r="C148" s="4">
        <f>Controle_Pedidos[[#This Row],[Data Compra]]</f>
        <v>45593</v>
      </c>
      <c r="D148" s="4">
        <v>45593</v>
      </c>
      <c r="E148" s="5" t="s">
        <v>15586</v>
      </c>
      <c r="F148" s="5" t="s">
        <v>17577</v>
      </c>
      <c r="G148" s="5" t="s">
        <v>849</v>
      </c>
      <c r="H148" s="5">
        <v>1</v>
      </c>
      <c r="I148" s="8" t="s">
        <v>7331</v>
      </c>
      <c r="J148" s="8" t="s">
        <v>9380</v>
      </c>
      <c r="K148" s="8" t="s">
        <v>1177</v>
      </c>
      <c r="L148" s="8" t="s">
        <v>11431</v>
      </c>
      <c r="M148" s="8" t="s">
        <v>3227</v>
      </c>
      <c r="N148" s="8" t="s">
        <v>5278</v>
      </c>
      <c r="O148" s="5" t="s">
        <v>61</v>
      </c>
      <c r="P148" s="4">
        <v>45618</v>
      </c>
      <c r="Q148" s="15">
        <v>59.99</v>
      </c>
      <c r="R148" s="15">
        <v>7.26</v>
      </c>
      <c r="S148" s="15">
        <v>0</v>
      </c>
      <c r="T148"/>
    </row>
    <row r="149" spans="1:20">
      <c r="A149" s="5" t="s">
        <v>36</v>
      </c>
      <c r="B149" s="5" t="s">
        <v>13486</v>
      </c>
      <c r="C149" s="4">
        <f>Controle_Pedidos[[#This Row],[Data Compra]]</f>
        <v>45593</v>
      </c>
      <c r="D149" s="4">
        <v>45593</v>
      </c>
      <c r="E149" s="5" t="s">
        <v>15587</v>
      </c>
      <c r="F149" s="5" t="s">
        <v>17578</v>
      </c>
      <c r="G149" s="5" t="s">
        <v>821</v>
      </c>
      <c r="H149" s="5">
        <v>1</v>
      </c>
      <c r="I149" s="8" t="s">
        <v>7332</v>
      </c>
      <c r="J149" s="8" t="s">
        <v>9381</v>
      </c>
      <c r="K149" s="8" t="s">
        <v>1178</v>
      </c>
      <c r="L149" s="8" t="s">
        <v>11432</v>
      </c>
      <c r="M149" s="8" t="s">
        <v>3228</v>
      </c>
      <c r="N149" s="8" t="s">
        <v>5279</v>
      </c>
      <c r="O149" s="5" t="s">
        <v>43</v>
      </c>
      <c r="P149" s="4">
        <v>45605</v>
      </c>
      <c r="Q149" s="15">
        <v>17.989999999999998</v>
      </c>
      <c r="R149" s="15">
        <v>8.74</v>
      </c>
      <c r="S149" s="15">
        <v>0</v>
      </c>
      <c r="T149"/>
    </row>
    <row r="150" spans="1:20">
      <c r="A150" s="5" t="s">
        <v>36</v>
      </c>
      <c r="B150" s="5" t="s">
        <v>13487</v>
      </c>
      <c r="C150" s="4">
        <f>Controle_Pedidos[[#This Row],[Data Compra]]</f>
        <v>45593</v>
      </c>
      <c r="D150" s="4">
        <v>45593</v>
      </c>
      <c r="E150" s="5" t="s">
        <v>15588</v>
      </c>
      <c r="F150" s="5" t="s">
        <v>17579</v>
      </c>
      <c r="G150" s="5" t="s">
        <v>817</v>
      </c>
      <c r="H150" s="5">
        <v>1</v>
      </c>
      <c r="I150" s="8" t="s">
        <v>7333</v>
      </c>
      <c r="J150" s="8" t="s">
        <v>9382</v>
      </c>
      <c r="K150" s="8" t="s">
        <v>1179</v>
      </c>
      <c r="L150" s="8" t="s">
        <v>11433</v>
      </c>
      <c r="M150" s="8" t="s">
        <v>3229</v>
      </c>
      <c r="N150" s="8" t="s">
        <v>5280</v>
      </c>
      <c r="O150" s="5" t="s">
        <v>39</v>
      </c>
      <c r="P150" s="4">
        <v>45605</v>
      </c>
      <c r="Q150" s="15">
        <v>23.2</v>
      </c>
      <c r="R150" s="15">
        <v>9.99</v>
      </c>
      <c r="S150" s="15">
        <v>0</v>
      </c>
      <c r="T150"/>
    </row>
    <row r="151" spans="1:20">
      <c r="A151" s="5" t="s">
        <v>36</v>
      </c>
      <c r="B151" s="5" t="s">
        <v>13488</v>
      </c>
      <c r="C151" s="4">
        <f>Controle_Pedidos[[#This Row],[Data Compra]]</f>
        <v>45593</v>
      </c>
      <c r="D151" s="4">
        <v>45593</v>
      </c>
      <c r="E151" s="5" t="s">
        <v>15589</v>
      </c>
      <c r="F151" s="5" t="s">
        <v>17580</v>
      </c>
      <c r="G151" s="5" t="s">
        <v>817</v>
      </c>
      <c r="H151" s="5">
        <v>1</v>
      </c>
      <c r="I151" s="8" t="s">
        <v>7334</v>
      </c>
      <c r="J151" s="8" t="s">
        <v>9383</v>
      </c>
      <c r="K151" s="8" t="s">
        <v>1180</v>
      </c>
      <c r="L151" s="8" t="s">
        <v>11434</v>
      </c>
      <c r="M151" s="8" t="s">
        <v>3230</v>
      </c>
      <c r="N151" s="8" t="s">
        <v>5281</v>
      </c>
      <c r="O151" s="5" t="s">
        <v>39</v>
      </c>
      <c r="P151" s="4">
        <v>45605</v>
      </c>
      <c r="Q151" s="15">
        <v>23.2</v>
      </c>
      <c r="R151" s="15">
        <v>9.99</v>
      </c>
      <c r="S151" s="15">
        <v>0</v>
      </c>
      <c r="T151"/>
    </row>
    <row r="152" spans="1:20">
      <c r="A152" s="5" t="s">
        <v>36</v>
      </c>
      <c r="B152" s="5" t="s">
        <v>13489</v>
      </c>
      <c r="C152" s="4">
        <f>Controle_Pedidos[[#This Row],[Data Compra]]</f>
        <v>45594</v>
      </c>
      <c r="D152" s="4">
        <v>45594</v>
      </c>
      <c r="E152" s="5" t="s">
        <v>15590</v>
      </c>
      <c r="F152" s="5" t="s">
        <v>17581</v>
      </c>
      <c r="G152" s="5" t="s">
        <v>829</v>
      </c>
      <c r="H152" s="5">
        <v>1</v>
      </c>
      <c r="I152" s="8" t="s">
        <v>7335</v>
      </c>
      <c r="J152" s="8" t="s">
        <v>9384</v>
      </c>
      <c r="K152" s="8" t="s">
        <v>1181</v>
      </c>
      <c r="L152" s="8" t="s">
        <v>11435</v>
      </c>
      <c r="M152" s="8" t="s">
        <v>3231</v>
      </c>
      <c r="N152" s="8" t="s">
        <v>5282</v>
      </c>
      <c r="O152" s="5" t="s">
        <v>40</v>
      </c>
      <c r="P152" s="4">
        <v>45615</v>
      </c>
      <c r="Q152" s="15">
        <v>18.2</v>
      </c>
      <c r="R152" s="15">
        <v>4.99</v>
      </c>
      <c r="S152" s="15">
        <v>0</v>
      </c>
      <c r="T152"/>
    </row>
    <row r="153" spans="1:20">
      <c r="A153" s="5" t="s">
        <v>36</v>
      </c>
      <c r="B153" s="5" t="s">
        <v>13490</v>
      </c>
      <c r="C153" s="4">
        <f>Controle_Pedidos[[#This Row],[Data Compra]]</f>
        <v>45595</v>
      </c>
      <c r="D153" s="4">
        <v>45595</v>
      </c>
      <c r="E153" s="5" t="s">
        <v>15591</v>
      </c>
      <c r="F153" s="5" t="s">
        <v>17582</v>
      </c>
      <c r="G153" s="5" t="s">
        <v>821</v>
      </c>
      <c r="H153" s="5">
        <v>1</v>
      </c>
      <c r="I153" s="8" t="s">
        <v>7336</v>
      </c>
      <c r="J153" s="8" t="s">
        <v>9385</v>
      </c>
      <c r="K153" s="8" t="s">
        <v>1182</v>
      </c>
      <c r="L153" s="8" t="s">
        <v>11436</v>
      </c>
      <c r="M153" s="8" t="s">
        <v>3232</v>
      </c>
      <c r="N153" s="8" t="s">
        <v>5283</v>
      </c>
      <c r="O153" s="5" t="s">
        <v>43</v>
      </c>
      <c r="P153" s="4">
        <v>45610</v>
      </c>
      <c r="Q153" s="15">
        <v>17.7</v>
      </c>
      <c r="R153" s="15">
        <v>9.73</v>
      </c>
      <c r="S153" s="15">
        <v>0</v>
      </c>
      <c r="T153"/>
    </row>
    <row r="154" spans="1:20">
      <c r="A154" s="5" t="s">
        <v>36</v>
      </c>
      <c r="B154" s="5" t="s">
        <v>13491</v>
      </c>
      <c r="C154" s="4">
        <f>Controle_Pedidos[[#This Row],[Data Compra]]</f>
        <v>45594</v>
      </c>
      <c r="D154" s="4">
        <v>45594</v>
      </c>
      <c r="E154" s="5" t="s">
        <v>15592</v>
      </c>
      <c r="F154" s="5" t="s">
        <v>17583</v>
      </c>
      <c r="G154" s="5" t="s">
        <v>821</v>
      </c>
      <c r="H154" s="5">
        <v>1</v>
      </c>
      <c r="I154" s="8" t="s">
        <v>7337</v>
      </c>
      <c r="J154" s="8" t="s">
        <v>9386</v>
      </c>
      <c r="K154" s="8" t="s">
        <v>1183</v>
      </c>
      <c r="L154" s="8" t="s">
        <v>11437</v>
      </c>
      <c r="M154" s="8" t="s">
        <v>3233</v>
      </c>
      <c r="N154" s="8" t="s">
        <v>5284</v>
      </c>
      <c r="O154" s="5" t="s">
        <v>43</v>
      </c>
      <c r="P154" s="4">
        <v>45608</v>
      </c>
      <c r="Q154" s="15">
        <v>17.7</v>
      </c>
      <c r="R154" s="15">
        <v>9</v>
      </c>
      <c r="S154" s="15">
        <v>0</v>
      </c>
      <c r="T154"/>
    </row>
    <row r="155" spans="1:20">
      <c r="A155" s="5" t="s">
        <v>36</v>
      </c>
      <c r="B155" s="5" t="s">
        <v>13492</v>
      </c>
      <c r="C155" s="4">
        <f>Controle_Pedidos[[#This Row],[Data Compra]]</f>
        <v>45594</v>
      </c>
      <c r="D155" s="4">
        <v>45594</v>
      </c>
      <c r="E155" s="5" t="s">
        <v>15593</v>
      </c>
      <c r="F155" s="5" t="s">
        <v>17584</v>
      </c>
      <c r="G155" s="5" t="s">
        <v>821</v>
      </c>
      <c r="H155" s="5">
        <v>1</v>
      </c>
      <c r="I155" s="8" t="s">
        <v>7338</v>
      </c>
      <c r="J155" s="8" t="s">
        <v>9387</v>
      </c>
      <c r="K155" s="8" t="s">
        <v>1184</v>
      </c>
      <c r="L155" s="8" t="s">
        <v>11438</v>
      </c>
      <c r="M155" s="8" t="s">
        <v>3234</v>
      </c>
      <c r="N155" s="8" t="s">
        <v>5285</v>
      </c>
      <c r="O155" s="5" t="s">
        <v>43</v>
      </c>
      <c r="P155" s="4">
        <v>45608</v>
      </c>
      <c r="Q155" s="15">
        <v>17.7</v>
      </c>
      <c r="R155" s="15">
        <v>9</v>
      </c>
      <c r="S155" s="15">
        <v>0</v>
      </c>
      <c r="T155"/>
    </row>
    <row r="156" spans="1:20">
      <c r="A156" s="5" t="s">
        <v>36</v>
      </c>
      <c r="B156" s="5" t="s">
        <v>13493</v>
      </c>
      <c r="C156" s="4">
        <f>Controle_Pedidos[[#This Row],[Data Compra]]</f>
        <v>45594</v>
      </c>
      <c r="D156" s="4">
        <v>45594</v>
      </c>
      <c r="E156" s="5" t="s">
        <v>15594</v>
      </c>
      <c r="F156" s="5" t="s">
        <v>17585</v>
      </c>
      <c r="G156" s="5" t="s">
        <v>826</v>
      </c>
      <c r="H156" s="5">
        <v>1</v>
      </c>
      <c r="I156" s="8" t="s">
        <v>7339</v>
      </c>
      <c r="J156" s="8" t="s">
        <v>9388</v>
      </c>
      <c r="K156" s="8" t="s">
        <v>1185</v>
      </c>
      <c r="L156" s="8" t="s">
        <v>11439</v>
      </c>
      <c r="M156" s="8" t="s">
        <v>3235</v>
      </c>
      <c r="N156" s="8" t="s">
        <v>5286</v>
      </c>
      <c r="O156" s="5" t="s">
        <v>42</v>
      </c>
      <c r="P156" s="4">
        <v>45619</v>
      </c>
      <c r="Q156" s="15">
        <v>15.99</v>
      </c>
      <c r="R156" s="15">
        <v>4.99</v>
      </c>
      <c r="S156" s="15">
        <v>0</v>
      </c>
      <c r="T156"/>
    </row>
    <row r="157" spans="1:20">
      <c r="A157" s="5" t="s">
        <v>36</v>
      </c>
      <c r="B157" s="5" t="s">
        <v>13494</v>
      </c>
      <c r="C157" s="4">
        <f>Controle_Pedidos[[#This Row],[Data Compra]]</f>
        <v>45594</v>
      </c>
      <c r="D157" s="4">
        <v>45594</v>
      </c>
      <c r="E157" s="5" t="s">
        <v>15595</v>
      </c>
      <c r="F157" s="5" t="s">
        <v>17586</v>
      </c>
      <c r="G157" s="5" t="s">
        <v>829</v>
      </c>
      <c r="H157" s="5">
        <v>1</v>
      </c>
      <c r="I157" s="8" t="s">
        <v>7340</v>
      </c>
      <c r="J157" s="8" t="s">
        <v>9389</v>
      </c>
      <c r="K157" s="8" t="s">
        <v>1186</v>
      </c>
      <c r="L157" s="8" t="s">
        <v>11440</v>
      </c>
      <c r="M157" s="8" t="s">
        <v>3236</v>
      </c>
      <c r="N157" s="8" t="s">
        <v>5287</v>
      </c>
      <c r="O157" s="5" t="s">
        <v>40</v>
      </c>
      <c r="P157" s="4">
        <v>45619</v>
      </c>
      <c r="Q157" s="15">
        <v>18.2</v>
      </c>
      <c r="R157" s="15">
        <v>4.99</v>
      </c>
      <c r="S157" s="15">
        <v>0</v>
      </c>
      <c r="T157"/>
    </row>
    <row r="158" spans="1:20">
      <c r="A158" s="5" t="s">
        <v>36</v>
      </c>
      <c r="B158" s="5" t="s">
        <v>13495</v>
      </c>
      <c r="C158" s="4">
        <f>Controle_Pedidos[[#This Row],[Data Compra]]</f>
        <v>45594</v>
      </c>
      <c r="D158" s="4">
        <v>45594</v>
      </c>
      <c r="E158" s="5" t="s">
        <v>15596</v>
      </c>
      <c r="F158" s="5" t="s">
        <v>17587</v>
      </c>
      <c r="G158" s="5" t="s">
        <v>821</v>
      </c>
      <c r="H158" s="5">
        <v>1</v>
      </c>
      <c r="I158" s="8" t="s">
        <v>7341</v>
      </c>
      <c r="J158" s="8" t="s">
        <v>9390</v>
      </c>
      <c r="K158" s="8" t="s">
        <v>1187</v>
      </c>
      <c r="L158" s="8" t="s">
        <v>11441</v>
      </c>
      <c r="M158" s="8" t="s">
        <v>3237</v>
      </c>
      <c r="N158" s="8" t="s">
        <v>5288</v>
      </c>
      <c r="O158" s="5" t="s">
        <v>43</v>
      </c>
      <c r="P158" s="4">
        <v>45608</v>
      </c>
      <c r="Q158" s="15">
        <v>17.7</v>
      </c>
      <c r="R158" s="15">
        <v>9</v>
      </c>
      <c r="S158" s="15">
        <v>0</v>
      </c>
      <c r="T158"/>
    </row>
    <row r="159" spans="1:20">
      <c r="A159" s="5" t="s">
        <v>36</v>
      </c>
      <c r="B159" s="5" t="s">
        <v>13496</v>
      </c>
      <c r="C159" s="4">
        <f>Controle_Pedidos[[#This Row],[Data Compra]]</f>
        <v>45594</v>
      </c>
      <c r="D159" s="4">
        <v>45594</v>
      </c>
      <c r="E159" s="5" t="s">
        <v>15597</v>
      </c>
      <c r="F159" s="5" t="s">
        <v>17588</v>
      </c>
      <c r="G159" s="5" t="s">
        <v>848</v>
      </c>
      <c r="H159" s="5">
        <v>1</v>
      </c>
      <c r="I159" s="8" t="s">
        <v>7342</v>
      </c>
      <c r="J159" s="8" t="s">
        <v>9391</v>
      </c>
      <c r="K159" s="8" t="s">
        <v>1188</v>
      </c>
      <c r="L159" s="8" t="s">
        <v>11442</v>
      </c>
      <c r="M159" s="8" t="s">
        <v>3238</v>
      </c>
      <c r="N159" s="8" t="s">
        <v>5289</v>
      </c>
      <c r="O159" s="5" t="s">
        <v>62</v>
      </c>
      <c r="P159" s="4">
        <v>45615</v>
      </c>
      <c r="Q159" s="15">
        <v>59.99</v>
      </c>
      <c r="R159" s="15">
        <v>0</v>
      </c>
      <c r="S159" s="15">
        <v>0</v>
      </c>
      <c r="T159"/>
    </row>
    <row r="160" spans="1:20">
      <c r="A160" s="5" t="s">
        <v>36</v>
      </c>
      <c r="B160" s="5" t="s">
        <v>13497</v>
      </c>
      <c r="C160" s="4">
        <f>Controle_Pedidos[[#This Row],[Data Compra]]</f>
        <v>45594</v>
      </c>
      <c r="D160" s="4">
        <v>45594</v>
      </c>
      <c r="E160" s="5" t="s">
        <v>15598</v>
      </c>
      <c r="F160" s="5" t="s">
        <v>17589</v>
      </c>
      <c r="G160" s="5" t="s">
        <v>821</v>
      </c>
      <c r="H160" s="5">
        <v>1</v>
      </c>
      <c r="I160" s="8" t="s">
        <v>7343</v>
      </c>
      <c r="J160" s="8" t="s">
        <v>9392</v>
      </c>
      <c r="K160" s="8" t="s">
        <v>1189</v>
      </c>
      <c r="L160" s="8" t="s">
        <v>11443</v>
      </c>
      <c r="M160" s="8" t="s">
        <v>3239</v>
      </c>
      <c r="N160" s="8" t="s">
        <v>5290</v>
      </c>
      <c r="O160" s="5" t="s">
        <v>43</v>
      </c>
      <c r="P160" s="4">
        <v>45619</v>
      </c>
      <c r="Q160" s="15">
        <v>17.7</v>
      </c>
      <c r="R160" s="15">
        <v>9</v>
      </c>
      <c r="S160" s="15">
        <v>0</v>
      </c>
      <c r="T160"/>
    </row>
    <row r="161" spans="1:20">
      <c r="A161" s="5" t="s">
        <v>36</v>
      </c>
      <c r="B161" s="5" t="s">
        <v>13498</v>
      </c>
      <c r="C161" s="4">
        <f>Controle_Pedidos[[#This Row],[Data Compra]]</f>
        <v>45594</v>
      </c>
      <c r="D161" s="4">
        <v>45594</v>
      </c>
      <c r="E161" s="5" t="s">
        <v>15599</v>
      </c>
      <c r="F161" s="5" t="s">
        <v>17590</v>
      </c>
      <c r="G161" s="5" t="s">
        <v>824</v>
      </c>
      <c r="H161" s="5">
        <v>1</v>
      </c>
      <c r="I161" s="8" t="s">
        <v>7344</v>
      </c>
      <c r="J161" s="8" t="s">
        <v>9393</v>
      </c>
      <c r="K161" s="8" t="s">
        <v>1190</v>
      </c>
      <c r="L161" s="8" t="s">
        <v>11444</v>
      </c>
      <c r="M161" s="8" t="s">
        <v>3240</v>
      </c>
      <c r="N161" s="8" t="s">
        <v>5291</v>
      </c>
      <c r="O161" s="5" t="s">
        <v>38</v>
      </c>
      <c r="P161" s="4">
        <v>45619</v>
      </c>
      <c r="Q161" s="15">
        <v>15.99</v>
      </c>
      <c r="R161" s="15">
        <v>4.99</v>
      </c>
      <c r="S161" s="15">
        <v>0</v>
      </c>
      <c r="T161"/>
    </row>
    <row r="162" spans="1:20">
      <c r="A162" s="5" t="s">
        <v>36</v>
      </c>
      <c r="B162" s="5" t="s">
        <v>13499</v>
      </c>
      <c r="C162" s="4">
        <f>Controle_Pedidos[[#This Row],[Data Compra]]</f>
        <v>45594</v>
      </c>
      <c r="D162" s="4">
        <v>45594</v>
      </c>
      <c r="E162" s="5" t="s">
        <v>15600</v>
      </c>
      <c r="F162" s="5" t="s">
        <v>17591</v>
      </c>
      <c r="G162" s="5" t="s">
        <v>824</v>
      </c>
      <c r="H162" s="5">
        <v>1</v>
      </c>
      <c r="I162" s="8" t="s">
        <v>7345</v>
      </c>
      <c r="J162" s="8" t="s">
        <v>9394</v>
      </c>
      <c r="K162" s="8" t="s">
        <v>1191</v>
      </c>
      <c r="L162" s="8" t="s">
        <v>11445</v>
      </c>
      <c r="M162" s="8" t="s">
        <v>3241</v>
      </c>
      <c r="N162" s="8" t="s">
        <v>5292</v>
      </c>
      <c r="O162" s="5" t="s">
        <v>38</v>
      </c>
      <c r="P162" s="4">
        <v>45615</v>
      </c>
      <c r="Q162" s="15">
        <v>15.99</v>
      </c>
      <c r="R162" s="15">
        <v>4.99</v>
      </c>
      <c r="S162" s="15">
        <v>0</v>
      </c>
      <c r="T162"/>
    </row>
    <row r="163" spans="1:20">
      <c r="A163" s="5" t="s">
        <v>36</v>
      </c>
      <c r="B163" s="5" t="s">
        <v>13500</v>
      </c>
      <c r="C163" s="4">
        <f>Controle_Pedidos[[#This Row],[Data Compra]]</f>
        <v>45594</v>
      </c>
      <c r="D163" s="4">
        <v>45594</v>
      </c>
      <c r="E163" s="5" t="s">
        <v>15601</v>
      </c>
      <c r="F163" s="5" t="s">
        <v>17592</v>
      </c>
      <c r="G163" s="5" t="s">
        <v>831</v>
      </c>
      <c r="H163" s="5">
        <v>1</v>
      </c>
      <c r="I163" s="8" t="s">
        <v>7346</v>
      </c>
      <c r="J163" s="8" t="s">
        <v>9395</v>
      </c>
      <c r="K163" s="8" t="s">
        <v>1192</v>
      </c>
      <c r="L163" s="8" t="s">
        <v>11446</v>
      </c>
      <c r="M163" s="8" t="s">
        <v>3242</v>
      </c>
      <c r="N163" s="8" t="s">
        <v>5293</v>
      </c>
      <c r="O163" s="5" t="s">
        <v>41</v>
      </c>
      <c r="P163" s="4">
        <v>45626</v>
      </c>
      <c r="Q163" s="15">
        <v>59.99</v>
      </c>
      <c r="R163" s="15">
        <v>7.26</v>
      </c>
      <c r="S163" s="15">
        <v>0</v>
      </c>
      <c r="T163"/>
    </row>
    <row r="164" spans="1:20">
      <c r="A164" s="5" t="s">
        <v>36</v>
      </c>
      <c r="B164" s="5" t="s">
        <v>13501</v>
      </c>
      <c r="C164" s="4">
        <f>Controle_Pedidos[[#This Row],[Data Compra]]</f>
        <v>45594</v>
      </c>
      <c r="D164" s="4">
        <v>45594</v>
      </c>
      <c r="E164" s="5" t="s">
        <v>15602</v>
      </c>
      <c r="F164" s="5" t="s">
        <v>17593</v>
      </c>
      <c r="G164" s="5" t="s">
        <v>826</v>
      </c>
      <c r="H164" s="5">
        <v>1</v>
      </c>
      <c r="I164" s="8" t="s">
        <v>7347</v>
      </c>
      <c r="J164" s="8" t="s">
        <v>9396</v>
      </c>
      <c r="K164" s="8" t="s">
        <v>1193</v>
      </c>
      <c r="L164" s="8" t="s">
        <v>11447</v>
      </c>
      <c r="M164" s="8" t="s">
        <v>3243</v>
      </c>
      <c r="N164" s="8" t="s">
        <v>5294</v>
      </c>
      <c r="O164" s="5" t="s">
        <v>42</v>
      </c>
      <c r="P164" s="4">
        <v>45619</v>
      </c>
      <c r="Q164" s="15">
        <v>15.99</v>
      </c>
      <c r="R164" s="15">
        <v>4.99</v>
      </c>
      <c r="S164" s="15">
        <v>0</v>
      </c>
      <c r="T164"/>
    </row>
    <row r="165" spans="1:20">
      <c r="A165" s="5" t="s">
        <v>36</v>
      </c>
      <c r="B165" s="5" t="s">
        <v>13502</v>
      </c>
      <c r="C165" s="4">
        <f>Controle_Pedidos[[#This Row],[Data Compra]]</f>
        <v>45595</v>
      </c>
      <c r="D165" s="4">
        <v>45595</v>
      </c>
      <c r="E165" s="5" t="s">
        <v>15603</v>
      </c>
      <c r="F165" s="5" t="s">
        <v>17594</v>
      </c>
      <c r="G165" s="5" t="s">
        <v>821</v>
      </c>
      <c r="H165" s="5">
        <v>1</v>
      </c>
      <c r="I165" s="8" t="s">
        <v>7348</v>
      </c>
      <c r="J165" s="8" t="s">
        <v>9397</v>
      </c>
      <c r="K165" s="8" t="s">
        <v>1194</v>
      </c>
      <c r="L165" s="8" t="s">
        <v>11448</v>
      </c>
      <c r="M165" s="8" t="s">
        <v>3244</v>
      </c>
      <c r="N165" s="8" t="s">
        <v>5295</v>
      </c>
      <c r="O165" s="5" t="s">
        <v>43</v>
      </c>
      <c r="P165" s="4">
        <v>45610</v>
      </c>
      <c r="Q165" s="15">
        <v>17.7</v>
      </c>
      <c r="R165" s="15">
        <v>9.73</v>
      </c>
      <c r="S165" s="15">
        <v>0</v>
      </c>
      <c r="T165"/>
    </row>
    <row r="166" spans="1:20">
      <c r="A166" s="5" t="s">
        <v>36</v>
      </c>
      <c r="B166" s="5" t="s">
        <v>13503</v>
      </c>
      <c r="C166" s="4">
        <f>Controle_Pedidos[[#This Row],[Data Compra]]</f>
        <v>45594</v>
      </c>
      <c r="D166" s="4">
        <v>45594</v>
      </c>
      <c r="E166" s="5" t="s">
        <v>15604</v>
      </c>
      <c r="F166" s="5" t="s">
        <v>17595</v>
      </c>
      <c r="G166" s="5" t="s">
        <v>824</v>
      </c>
      <c r="H166" s="5">
        <v>1</v>
      </c>
      <c r="I166" s="8" t="s">
        <v>7349</v>
      </c>
      <c r="J166" s="8" t="s">
        <v>9398</v>
      </c>
      <c r="K166" s="8" t="s">
        <v>1195</v>
      </c>
      <c r="L166" s="8" t="s">
        <v>11449</v>
      </c>
      <c r="M166" s="8" t="s">
        <v>3245</v>
      </c>
      <c r="N166" s="8" t="s">
        <v>5296</v>
      </c>
      <c r="O166" s="5" t="s">
        <v>38</v>
      </c>
      <c r="P166" s="4">
        <v>45610</v>
      </c>
      <c r="Q166" s="15">
        <v>15.99</v>
      </c>
      <c r="R166" s="15">
        <v>4.99</v>
      </c>
      <c r="S166" s="15">
        <v>0</v>
      </c>
      <c r="T166"/>
    </row>
    <row r="167" spans="1:20">
      <c r="A167" s="5" t="s">
        <v>36</v>
      </c>
      <c r="B167" s="5" t="s">
        <v>13504</v>
      </c>
      <c r="C167" s="4">
        <f>Controle_Pedidos[[#This Row],[Data Compra]]</f>
        <v>45594</v>
      </c>
      <c r="D167" s="4">
        <v>45594</v>
      </c>
      <c r="E167" s="5" t="s">
        <v>15605</v>
      </c>
      <c r="F167" s="5" t="s">
        <v>17596</v>
      </c>
      <c r="G167" s="5" t="s">
        <v>829</v>
      </c>
      <c r="H167" s="5">
        <v>1</v>
      </c>
      <c r="I167" s="8" t="s">
        <v>7350</v>
      </c>
      <c r="J167" s="8" t="s">
        <v>9399</v>
      </c>
      <c r="K167" s="8" t="s">
        <v>1196</v>
      </c>
      <c r="L167" s="8" t="s">
        <v>11450</v>
      </c>
      <c r="M167" s="8" t="s">
        <v>3246</v>
      </c>
      <c r="N167" s="8" t="s">
        <v>5297</v>
      </c>
      <c r="O167" s="5" t="s">
        <v>40</v>
      </c>
      <c r="P167" s="4">
        <v>45619</v>
      </c>
      <c r="Q167" s="15">
        <v>18.2</v>
      </c>
      <c r="R167" s="15">
        <v>4.99</v>
      </c>
      <c r="S167" s="15">
        <v>0</v>
      </c>
      <c r="T167"/>
    </row>
    <row r="168" spans="1:20">
      <c r="A168" s="5" t="s">
        <v>36</v>
      </c>
      <c r="B168" s="5" t="s">
        <v>13505</v>
      </c>
      <c r="C168" s="4">
        <f>Controle_Pedidos[[#This Row],[Data Compra]]</f>
        <v>45594</v>
      </c>
      <c r="D168" s="4">
        <v>45594</v>
      </c>
      <c r="E168" s="5" t="s">
        <v>15606</v>
      </c>
      <c r="F168" s="5" t="s">
        <v>17597</v>
      </c>
      <c r="G168" s="5" t="s">
        <v>826</v>
      </c>
      <c r="H168" s="5">
        <v>1</v>
      </c>
      <c r="I168" s="8" t="s">
        <v>7351</v>
      </c>
      <c r="J168" s="8" t="s">
        <v>9400</v>
      </c>
      <c r="K168" s="8" t="s">
        <v>1197</v>
      </c>
      <c r="L168" s="8" t="s">
        <v>11451</v>
      </c>
      <c r="M168" s="8" t="s">
        <v>3247</v>
      </c>
      <c r="N168" s="8" t="s">
        <v>5298</v>
      </c>
      <c r="O168" s="5" t="s">
        <v>42</v>
      </c>
      <c r="P168" s="4">
        <v>45619</v>
      </c>
      <c r="Q168" s="15">
        <v>15.99</v>
      </c>
      <c r="R168" s="15">
        <v>4.99</v>
      </c>
      <c r="S168" s="15">
        <v>0</v>
      </c>
      <c r="T168"/>
    </row>
    <row r="169" spans="1:20">
      <c r="A169" s="5" t="s">
        <v>36</v>
      </c>
      <c r="B169" s="5" t="s">
        <v>13506</v>
      </c>
      <c r="C169" s="4">
        <f>Controle_Pedidos[[#This Row],[Data Compra]]</f>
        <v>45594</v>
      </c>
      <c r="D169" s="4">
        <v>45594</v>
      </c>
      <c r="E169" s="5" t="s">
        <v>15607</v>
      </c>
      <c r="F169" s="5" t="s">
        <v>17598</v>
      </c>
      <c r="G169" s="5" t="s">
        <v>821</v>
      </c>
      <c r="H169" s="5">
        <v>1</v>
      </c>
      <c r="I169" s="8" t="s">
        <v>7352</v>
      </c>
      <c r="J169" s="8" t="s">
        <v>9401</v>
      </c>
      <c r="K169" s="8" t="s">
        <v>1198</v>
      </c>
      <c r="L169" s="8" t="s">
        <v>11452</v>
      </c>
      <c r="M169" s="8" t="s">
        <v>3248</v>
      </c>
      <c r="N169" s="8" t="s">
        <v>5299</v>
      </c>
      <c r="O169" s="5" t="s">
        <v>43</v>
      </c>
      <c r="P169" s="4">
        <v>45608</v>
      </c>
      <c r="Q169" s="15">
        <v>17.7</v>
      </c>
      <c r="R169" s="15">
        <v>9</v>
      </c>
      <c r="S169" s="15">
        <v>0</v>
      </c>
      <c r="T169"/>
    </row>
    <row r="170" spans="1:20">
      <c r="A170" s="5" t="s">
        <v>36</v>
      </c>
      <c r="B170" s="5" t="s">
        <v>13507</v>
      </c>
      <c r="C170" s="4">
        <f>Controle_Pedidos[[#This Row],[Data Compra]]</f>
        <v>45594</v>
      </c>
      <c r="D170" s="4">
        <v>45594</v>
      </c>
      <c r="E170" s="5" t="s">
        <v>15608</v>
      </c>
      <c r="F170" s="5" t="s">
        <v>17599</v>
      </c>
      <c r="G170" s="5" t="s">
        <v>824</v>
      </c>
      <c r="H170" s="5">
        <v>1</v>
      </c>
      <c r="I170" s="8" t="s">
        <v>7353</v>
      </c>
      <c r="J170" s="8" t="s">
        <v>9402</v>
      </c>
      <c r="K170" s="8" t="s">
        <v>1199</v>
      </c>
      <c r="L170" s="8" t="s">
        <v>11453</v>
      </c>
      <c r="M170" s="8" t="s">
        <v>3249</v>
      </c>
      <c r="N170" s="8" t="s">
        <v>5300</v>
      </c>
      <c r="O170" s="5" t="s">
        <v>38</v>
      </c>
      <c r="P170" s="4">
        <v>45615</v>
      </c>
      <c r="Q170" s="15">
        <v>15.99</v>
      </c>
      <c r="R170" s="15">
        <v>4.99</v>
      </c>
      <c r="S170" s="15">
        <v>0</v>
      </c>
      <c r="T170"/>
    </row>
    <row r="171" spans="1:20">
      <c r="A171" s="5" t="s">
        <v>36</v>
      </c>
      <c r="B171" s="5" t="s">
        <v>13508</v>
      </c>
      <c r="C171" s="4">
        <f>Controle_Pedidos[[#This Row],[Data Compra]]</f>
        <v>45594</v>
      </c>
      <c r="D171" s="4">
        <v>45594</v>
      </c>
      <c r="E171" s="5" t="s">
        <v>15609</v>
      </c>
      <c r="F171" s="5" t="s">
        <v>17600</v>
      </c>
      <c r="G171" s="5" t="s">
        <v>848</v>
      </c>
      <c r="H171" s="5">
        <v>1</v>
      </c>
      <c r="I171" s="8" t="s">
        <v>7354</v>
      </c>
      <c r="J171" s="8" t="s">
        <v>9403</v>
      </c>
      <c r="K171" s="8" t="s">
        <v>1200</v>
      </c>
      <c r="L171" s="8" t="s">
        <v>11454</v>
      </c>
      <c r="M171" s="8" t="s">
        <v>3250</v>
      </c>
      <c r="N171" s="8" t="s">
        <v>5301</v>
      </c>
      <c r="O171" s="5" t="s">
        <v>62</v>
      </c>
      <c r="P171" s="4">
        <v>45622</v>
      </c>
      <c r="Q171" s="15">
        <v>59.4</v>
      </c>
      <c r="R171" s="15">
        <v>7.26</v>
      </c>
      <c r="S171" s="15">
        <v>0</v>
      </c>
      <c r="T171"/>
    </row>
    <row r="172" spans="1:20">
      <c r="A172" s="5" t="s">
        <v>36</v>
      </c>
      <c r="B172" s="5" t="s">
        <v>13509</v>
      </c>
      <c r="C172" s="4">
        <f>Controle_Pedidos[[#This Row],[Data Compra]]</f>
        <v>45594</v>
      </c>
      <c r="D172" s="4">
        <v>45594</v>
      </c>
      <c r="E172" s="5" t="s">
        <v>15610</v>
      </c>
      <c r="F172" s="5" t="s">
        <v>17601</v>
      </c>
      <c r="G172" s="5" t="s">
        <v>848</v>
      </c>
      <c r="H172" s="5">
        <v>1</v>
      </c>
      <c r="I172" s="8" t="s">
        <v>7355</v>
      </c>
      <c r="J172" s="8" t="s">
        <v>9404</v>
      </c>
      <c r="K172" s="8" t="s">
        <v>1201</v>
      </c>
      <c r="L172" s="8" t="s">
        <v>11455</v>
      </c>
      <c r="M172" s="8" t="s">
        <v>3251</v>
      </c>
      <c r="N172" s="8" t="s">
        <v>5302</v>
      </c>
      <c r="O172" s="5" t="s">
        <v>62</v>
      </c>
      <c r="P172" s="4">
        <v>45622</v>
      </c>
      <c r="Q172" s="15">
        <v>59.4</v>
      </c>
      <c r="R172" s="15">
        <v>7.26</v>
      </c>
      <c r="S172" s="15">
        <v>0</v>
      </c>
      <c r="T172"/>
    </row>
    <row r="173" spans="1:20">
      <c r="A173" s="5" t="s">
        <v>36</v>
      </c>
      <c r="B173" s="5" t="s">
        <v>13510</v>
      </c>
      <c r="C173" s="4">
        <f>Controle_Pedidos[[#This Row],[Data Compra]]</f>
        <v>45595</v>
      </c>
      <c r="D173" s="4">
        <v>45595</v>
      </c>
      <c r="E173" s="5" t="s">
        <v>15611</v>
      </c>
      <c r="F173" s="5" t="s">
        <v>17602</v>
      </c>
      <c r="G173" s="5" t="s">
        <v>829</v>
      </c>
      <c r="H173" s="5">
        <v>1</v>
      </c>
      <c r="I173" s="8" t="s">
        <v>7356</v>
      </c>
      <c r="J173" s="8" t="s">
        <v>9405</v>
      </c>
      <c r="K173" s="8" t="s">
        <v>1202</v>
      </c>
      <c r="L173" s="8" t="s">
        <v>11456</v>
      </c>
      <c r="M173" s="8" t="s">
        <v>3252</v>
      </c>
      <c r="N173" s="8" t="s">
        <v>5303</v>
      </c>
      <c r="O173" s="5" t="s">
        <v>40</v>
      </c>
      <c r="P173" s="4">
        <v>45608</v>
      </c>
      <c r="Q173" s="15">
        <v>18.2</v>
      </c>
      <c r="R173" s="15">
        <v>4.99</v>
      </c>
      <c r="S173" s="15">
        <v>0</v>
      </c>
      <c r="T173"/>
    </row>
    <row r="174" spans="1:20">
      <c r="A174" s="5" t="s">
        <v>36</v>
      </c>
      <c r="B174" s="5" t="s">
        <v>13511</v>
      </c>
      <c r="C174" s="4">
        <f>Controle_Pedidos[[#This Row],[Data Compra]]</f>
        <v>45595</v>
      </c>
      <c r="D174" s="4">
        <v>45595</v>
      </c>
      <c r="E174" s="5" t="s">
        <v>15612</v>
      </c>
      <c r="F174" s="5" t="s">
        <v>17603</v>
      </c>
      <c r="G174" s="5" t="s">
        <v>829</v>
      </c>
      <c r="H174" s="5">
        <v>1</v>
      </c>
      <c r="I174" s="8" t="s">
        <v>7357</v>
      </c>
      <c r="J174" s="8" t="s">
        <v>9406</v>
      </c>
      <c r="K174" s="8" t="s">
        <v>1203</v>
      </c>
      <c r="L174" s="8" t="s">
        <v>11457</v>
      </c>
      <c r="M174" s="8" t="s">
        <v>3253</v>
      </c>
      <c r="N174" s="8" t="s">
        <v>5304</v>
      </c>
      <c r="O174" s="5" t="s">
        <v>40</v>
      </c>
      <c r="P174" s="4">
        <v>45610</v>
      </c>
      <c r="Q174" s="15">
        <v>18.2</v>
      </c>
      <c r="R174" s="15">
        <v>4.99</v>
      </c>
      <c r="S174" s="15">
        <v>0</v>
      </c>
      <c r="T174"/>
    </row>
    <row r="175" spans="1:20">
      <c r="A175" s="5" t="s">
        <v>36</v>
      </c>
      <c r="B175" s="5" t="s">
        <v>13512</v>
      </c>
      <c r="C175" s="4">
        <f>Controle_Pedidos[[#This Row],[Data Compra]]</f>
        <v>45595</v>
      </c>
      <c r="D175" s="4">
        <v>45595</v>
      </c>
      <c r="E175" s="5" t="s">
        <v>15613</v>
      </c>
      <c r="F175" s="5" t="s">
        <v>17604</v>
      </c>
      <c r="G175" s="5" t="s">
        <v>824</v>
      </c>
      <c r="H175" s="5">
        <v>1</v>
      </c>
      <c r="I175" s="8" t="s">
        <v>7358</v>
      </c>
      <c r="J175" s="8" t="s">
        <v>9407</v>
      </c>
      <c r="K175" s="8" t="s">
        <v>1204</v>
      </c>
      <c r="L175" s="8" t="s">
        <v>11458</v>
      </c>
      <c r="M175" s="8" t="s">
        <v>3254</v>
      </c>
      <c r="N175" s="8" t="s">
        <v>5305</v>
      </c>
      <c r="O175" s="5" t="s">
        <v>38</v>
      </c>
      <c r="P175" s="4">
        <v>45610</v>
      </c>
      <c r="Q175" s="15">
        <v>15.99</v>
      </c>
      <c r="R175" s="15">
        <v>4.99</v>
      </c>
      <c r="S175" s="15">
        <v>0</v>
      </c>
      <c r="T175"/>
    </row>
    <row r="176" spans="1:20">
      <c r="A176" s="5" t="s">
        <v>36</v>
      </c>
      <c r="B176" s="5" t="s">
        <v>13513</v>
      </c>
      <c r="C176" s="4">
        <f>Controle_Pedidos[[#This Row],[Data Compra]]</f>
        <v>45595</v>
      </c>
      <c r="D176" s="4">
        <v>45595</v>
      </c>
      <c r="E176" s="5" t="s">
        <v>15614</v>
      </c>
      <c r="F176" s="5" t="s">
        <v>17605</v>
      </c>
      <c r="G176" s="5" t="s">
        <v>824</v>
      </c>
      <c r="H176" s="5">
        <v>1</v>
      </c>
      <c r="I176" s="8" t="s">
        <v>7359</v>
      </c>
      <c r="J176" s="8" t="s">
        <v>9408</v>
      </c>
      <c r="K176" s="8" t="s">
        <v>1205</v>
      </c>
      <c r="L176" s="8" t="s">
        <v>11459</v>
      </c>
      <c r="M176" s="8" t="s">
        <v>3255</v>
      </c>
      <c r="N176" s="8" t="s">
        <v>5306</v>
      </c>
      <c r="O176" s="5" t="s">
        <v>38</v>
      </c>
      <c r="P176" s="4">
        <v>45610</v>
      </c>
      <c r="Q176" s="15">
        <v>15.99</v>
      </c>
      <c r="R176" s="15">
        <v>4.99</v>
      </c>
      <c r="S176" s="15">
        <v>0</v>
      </c>
      <c r="T176"/>
    </row>
    <row r="177" spans="1:20">
      <c r="A177" s="5" t="s">
        <v>36</v>
      </c>
      <c r="B177" s="5" t="s">
        <v>13514</v>
      </c>
      <c r="C177" s="4">
        <f>Controle_Pedidos[[#This Row],[Data Compra]]</f>
        <v>45595</v>
      </c>
      <c r="D177" s="4">
        <v>45595</v>
      </c>
      <c r="E177" s="5" t="s">
        <v>15615</v>
      </c>
      <c r="F177" s="5" t="s">
        <v>17606</v>
      </c>
      <c r="G177" s="5" t="s">
        <v>829</v>
      </c>
      <c r="H177" s="5">
        <v>1</v>
      </c>
      <c r="I177" s="8" t="s">
        <v>7360</v>
      </c>
      <c r="J177" s="8" t="s">
        <v>9409</v>
      </c>
      <c r="K177" s="8" t="s">
        <v>1206</v>
      </c>
      <c r="L177" s="8" t="s">
        <v>11460</v>
      </c>
      <c r="M177" s="8" t="s">
        <v>3256</v>
      </c>
      <c r="N177" s="8" t="s">
        <v>5307</v>
      </c>
      <c r="O177" s="5" t="s">
        <v>40</v>
      </c>
      <c r="P177" s="4">
        <v>45610</v>
      </c>
      <c r="Q177" s="15">
        <v>18.2</v>
      </c>
      <c r="R177" s="15">
        <v>4.99</v>
      </c>
      <c r="S177" s="15">
        <v>0</v>
      </c>
      <c r="T177"/>
    </row>
    <row r="178" spans="1:20">
      <c r="A178" s="5" t="s">
        <v>36</v>
      </c>
      <c r="B178" s="5" t="s">
        <v>13515</v>
      </c>
      <c r="C178" s="4">
        <f>Controle_Pedidos[[#This Row],[Data Compra]]</f>
        <v>45595</v>
      </c>
      <c r="D178" s="4">
        <v>45595</v>
      </c>
      <c r="E178" s="5" t="s">
        <v>15616</v>
      </c>
      <c r="F178" s="5" t="s">
        <v>17607</v>
      </c>
      <c r="G178" s="5" t="s">
        <v>829</v>
      </c>
      <c r="H178" s="5">
        <v>1</v>
      </c>
      <c r="I178" s="8" t="s">
        <v>7361</v>
      </c>
      <c r="J178" s="8" t="s">
        <v>9410</v>
      </c>
      <c r="K178" s="8" t="s">
        <v>1207</v>
      </c>
      <c r="L178" s="8" t="s">
        <v>11461</v>
      </c>
      <c r="M178" s="8" t="s">
        <v>3257</v>
      </c>
      <c r="N178" s="8" t="s">
        <v>5308</v>
      </c>
      <c r="O178" s="5" t="s">
        <v>40</v>
      </c>
      <c r="P178" s="4">
        <v>45604</v>
      </c>
      <c r="Q178" s="15">
        <v>18.2</v>
      </c>
      <c r="R178" s="15">
        <v>4.99</v>
      </c>
      <c r="S178" s="15">
        <v>0</v>
      </c>
      <c r="T178"/>
    </row>
    <row r="179" spans="1:20">
      <c r="A179" s="5" t="s">
        <v>36</v>
      </c>
      <c r="B179" s="5" t="s">
        <v>13516</v>
      </c>
      <c r="C179" s="4">
        <f>Controle_Pedidos[[#This Row],[Data Compra]]</f>
        <v>45595</v>
      </c>
      <c r="D179" s="4">
        <v>45595</v>
      </c>
      <c r="E179" s="5" t="s">
        <v>15617</v>
      </c>
      <c r="F179" s="5" t="s">
        <v>17608</v>
      </c>
      <c r="G179" s="5" t="s">
        <v>824</v>
      </c>
      <c r="H179" s="5">
        <v>1</v>
      </c>
      <c r="I179" s="8" t="s">
        <v>7362</v>
      </c>
      <c r="J179" s="8" t="s">
        <v>9411</v>
      </c>
      <c r="K179" s="8" t="s">
        <v>1208</v>
      </c>
      <c r="L179" s="8" t="s">
        <v>11462</v>
      </c>
      <c r="M179" s="8" t="s">
        <v>3258</v>
      </c>
      <c r="N179" s="8" t="s">
        <v>5309</v>
      </c>
      <c r="O179" s="5" t="s">
        <v>38</v>
      </c>
      <c r="P179" s="4">
        <v>45604</v>
      </c>
      <c r="Q179" s="15">
        <v>15.99</v>
      </c>
      <c r="R179" s="15">
        <v>4.99</v>
      </c>
      <c r="S179" s="15">
        <v>0</v>
      </c>
      <c r="T179"/>
    </row>
    <row r="180" spans="1:20">
      <c r="A180" s="5" t="s">
        <v>36</v>
      </c>
      <c r="B180" s="5" t="s">
        <v>13517</v>
      </c>
      <c r="C180" s="4">
        <f>Controle_Pedidos[[#This Row],[Data Compra]]</f>
        <v>45595</v>
      </c>
      <c r="D180" s="4">
        <v>45595</v>
      </c>
      <c r="E180" s="5" t="s">
        <v>15618</v>
      </c>
      <c r="F180" s="5" t="s">
        <v>17609</v>
      </c>
      <c r="G180" s="5" t="s">
        <v>824</v>
      </c>
      <c r="H180" s="5">
        <v>1</v>
      </c>
      <c r="I180" s="8" t="s">
        <v>7363</v>
      </c>
      <c r="J180" s="8" t="s">
        <v>9412</v>
      </c>
      <c r="K180" s="8" t="s">
        <v>1209</v>
      </c>
      <c r="L180" s="8" t="s">
        <v>11463</v>
      </c>
      <c r="M180" s="8" t="s">
        <v>3259</v>
      </c>
      <c r="N180" s="8" t="s">
        <v>5310</v>
      </c>
      <c r="O180" s="5" t="s">
        <v>38</v>
      </c>
      <c r="P180" s="4">
        <v>45608</v>
      </c>
      <c r="Q180" s="15">
        <v>15.99</v>
      </c>
      <c r="R180" s="15">
        <v>4.99</v>
      </c>
      <c r="S180" s="15">
        <v>0</v>
      </c>
      <c r="T180"/>
    </row>
    <row r="181" spans="1:20">
      <c r="A181" s="5" t="s">
        <v>36</v>
      </c>
      <c r="B181" s="5" t="s">
        <v>13518</v>
      </c>
      <c r="C181" s="4">
        <f>Controle_Pedidos[[#This Row],[Data Compra]]</f>
        <v>45595</v>
      </c>
      <c r="D181" s="4">
        <v>45595</v>
      </c>
      <c r="E181" s="5" t="s">
        <v>15619</v>
      </c>
      <c r="F181" s="5" t="s">
        <v>17610</v>
      </c>
      <c r="G181" s="5" t="s">
        <v>829</v>
      </c>
      <c r="H181" s="5">
        <v>1</v>
      </c>
      <c r="I181" s="8" t="s">
        <v>7364</v>
      </c>
      <c r="J181" s="8" t="s">
        <v>9413</v>
      </c>
      <c r="K181" s="8" t="s">
        <v>1210</v>
      </c>
      <c r="L181" s="8" t="s">
        <v>11464</v>
      </c>
      <c r="M181" s="8" t="s">
        <v>3260</v>
      </c>
      <c r="N181" s="8" t="s">
        <v>5311</v>
      </c>
      <c r="O181" s="5" t="s">
        <v>40</v>
      </c>
      <c r="P181" s="4">
        <v>45610</v>
      </c>
      <c r="Q181" s="15">
        <v>18.2</v>
      </c>
      <c r="R181" s="15">
        <v>4.99</v>
      </c>
      <c r="S181" s="15">
        <v>0</v>
      </c>
      <c r="T181"/>
    </row>
    <row r="182" spans="1:20">
      <c r="A182" s="5" t="s">
        <v>36</v>
      </c>
      <c r="B182" s="5" t="s">
        <v>13519</v>
      </c>
      <c r="C182" s="4">
        <f>Controle_Pedidos[[#This Row],[Data Compra]]</f>
        <v>45595</v>
      </c>
      <c r="D182" s="4">
        <v>45595</v>
      </c>
      <c r="E182" s="5" t="s">
        <v>15620</v>
      </c>
      <c r="F182" s="5" t="s">
        <v>17611</v>
      </c>
      <c r="G182" s="5" t="s">
        <v>824</v>
      </c>
      <c r="H182" s="5">
        <v>1</v>
      </c>
      <c r="I182" s="8" t="s">
        <v>7365</v>
      </c>
      <c r="J182" s="8" t="s">
        <v>9414</v>
      </c>
      <c r="K182" s="8" t="s">
        <v>1211</v>
      </c>
      <c r="L182" s="8" t="s">
        <v>11465</v>
      </c>
      <c r="M182" s="8" t="s">
        <v>3261</v>
      </c>
      <c r="N182" s="8" t="s">
        <v>5312</v>
      </c>
      <c r="O182" s="5" t="s">
        <v>38</v>
      </c>
      <c r="P182" s="4">
        <v>45610</v>
      </c>
      <c r="Q182" s="15">
        <v>15.99</v>
      </c>
      <c r="R182" s="15">
        <v>4.99</v>
      </c>
      <c r="S182" s="15">
        <v>0</v>
      </c>
      <c r="T182"/>
    </row>
    <row r="183" spans="1:20">
      <c r="A183" s="5" t="s">
        <v>36</v>
      </c>
      <c r="B183" s="5" t="s">
        <v>13520</v>
      </c>
      <c r="C183" s="4">
        <f>Controle_Pedidos[[#This Row],[Data Compra]]</f>
        <v>45595</v>
      </c>
      <c r="D183" s="4">
        <v>45595</v>
      </c>
      <c r="E183" s="5" t="s">
        <v>15621</v>
      </c>
      <c r="F183" s="5" t="s">
        <v>17612</v>
      </c>
      <c r="G183" s="5" t="s">
        <v>824</v>
      </c>
      <c r="H183" s="5">
        <v>1</v>
      </c>
      <c r="I183" s="8" t="s">
        <v>7366</v>
      </c>
      <c r="J183" s="8" t="s">
        <v>9415</v>
      </c>
      <c r="K183" s="8" t="s">
        <v>1212</v>
      </c>
      <c r="L183" s="8" t="s">
        <v>11466</v>
      </c>
      <c r="M183" s="8" t="s">
        <v>3262</v>
      </c>
      <c r="N183" s="8" t="s">
        <v>5313</v>
      </c>
      <c r="O183" s="5" t="s">
        <v>38</v>
      </c>
      <c r="P183" s="4">
        <v>45618</v>
      </c>
      <c r="Q183" s="15">
        <v>15.99</v>
      </c>
      <c r="R183" s="15">
        <v>4.99</v>
      </c>
      <c r="S183" s="15">
        <v>0</v>
      </c>
      <c r="T183"/>
    </row>
    <row r="184" spans="1:20">
      <c r="A184" s="5" t="s">
        <v>36</v>
      </c>
      <c r="B184" s="5" t="s">
        <v>13521</v>
      </c>
      <c r="C184" s="4">
        <f>Controle_Pedidos[[#This Row],[Data Compra]]</f>
        <v>45595</v>
      </c>
      <c r="D184" s="4">
        <v>45595</v>
      </c>
      <c r="E184" s="5" t="s">
        <v>15622</v>
      </c>
      <c r="F184" s="5" t="s">
        <v>17613</v>
      </c>
      <c r="G184" s="5" t="s">
        <v>849</v>
      </c>
      <c r="H184" s="5">
        <v>1</v>
      </c>
      <c r="I184" s="8" t="s">
        <v>7367</v>
      </c>
      <c r="J184" s="8" t="s">
        <v>9416</v>
      </c>
      <c r="K184" s="8" t="s">
        <v>1213</v>
      </c>
      <c r="L184" s="8" t="s">
        <v>11467</v>
      </c>
      <c r="M184" s="8" t="s">
        <v>3263</v>
      </c>
      <c r="N184" s="8" t="s">
        <v>5314</v>
      </c>
      <c r="O184" s="5" t="s">
        <v>61</v>
      </c>
      <c r="P184" s="4">
        <v>45610</v>
      </c>
      <c r="Q184" s="15">
        <v>59.99</v>
      </c>
      <c r="R184" s="15">
        <v>7.3</v>
      </c>
      <c r="S184" s="15">
        <v>0</v>
      </c>
      <c r="T184"/>
    </row>
    <row r="185" spans="1:20">
      <c r="A185" s="5" t="s">
        <v>36</v>
      </c>
      <c r="B185" s="5" t="s">
        <v>13522</v>
      </c>
      <c r="C185" s="4">
        <f>Controle_Pedidos[[#This Row],[Data Compra]]</f>
        <v>45595</v>
      </c>
      <c r="D185" s="4">
        <v>45595</v>
      </c>
      <c r="E185" s="5" t="s">
        <v>15623</v>
      </c>
      <c r="F185" s="5" t="s">
        <v>17614</v>
      </c>
      <c r="G185" s="5" t="s">
        <v>848</v>
      </c>
      <c r="H185" s="5">
        <v>1</v>
      </c>
      <c r="I185" s="8" t="s">
        <v>7368</v>
      </c>
      <c r="J185" s="8" t="s">
        <v>9417</v>
      </c>
      <c r="K185" s="8" t="s">
        <v>1214</v>
      </c>
      <c r="L185" s="8" t="s">
        <v>11468</v>
      </c>
      <c r="M185" s="8" t="s">
        <v>3264</v>
      </c>
      <c r="N185" s="8" t="s">
        <v>5315</v>
      </c>
      <c r="O185" s="5" t="s">
        <v>62</v>
      </c>
      <c r="P185" s="4">
        <v>45610</v>
      </c>
      <c r="Q185" s="15">
        <v>58.99</v>
      </c>
      <c r="R185" s="15">
        <v>0</v>
      </c>
      <c r="S185" s="15">
        <v>0</v>
      </c>
      <c r="T185"/>
    </row>
    <row r="186" spans="1:20">
      <c r="A186" s="5" t="s">
        <v>36</v>
      </c>
      <c r="B186" s="5" t="s">
        <v>13523</v>
      </c>
      <c r="C186" s="4">
        <f>Controle_Pedidos[[#This Row],[Data Compra]]</f>
        <v>45595</v>
      </c>
      <c r="D186" s="4">
        <v>45595</v>
      </c>
      <c r="E186" s="5" t="s">
        <v>15624</v>
      </c>
      <c r="F186" s="5" t="s">
        <v>17615</v>
      </c>
      <c r="G186" s="5" t="s">
        <v>824</v>
      </c>
      <c r="H186" s="5">
        <v>1</v>
      </c>
      <c r="I186" s="8" t="s">
        <v>7369</v>
      </c>
      <c r="J186" s="8" t="s">
        <v>9418</v>
      </c>
      <c r="K186" s="8" t="s">
        <v>1215</v>
      </c>
      <c r="L186" s="8" t="s">
        <v>11469</v>
      </c>
      <c r="M186" s="8" t="s">
        <v>3265</v>
      </c>
      <c r="N186" s="8" t="s">
        <v>5316</v>
      </c>
      <c r="O186" s="5" t="s">
        <v>38</v>
      </c>
      <c r="P186" s="4">
        <v>45610</v>
      </c>
      <c r="Q186" s="15">
        <v>15.99</v>
      </c>
      <c r="R186" s="15">
        <v>4.99</v>
      </c>
      <c r="S186" s="15">
        <v>0</v>
      </c>
      <c r="T186"/>
    </row>
    <row r="187" spans="1:20">
      <c r="A187" s="5" t="s">
        <v>36</v>
      </c>
      <c r="B187" s="5" t="s">
        <v>13524</v>
      </c>
      <c r="C187" s="4">
        <f>Controle_Pedidos[[#This Row],[Data Compra]]</f>
        <v>45595</v>
      </c>
      <c r="D187" s="4">
        <v>45595</v>
      </c>
      <c r="E187" s="5" t="s">
        <v>15625</v>
      </c>
      <c r="F187" s="5" t="s">
        <v>17616</v>
      </c>
      <c r="G187" s="5" t="s">
        <v>824</v>
      </c>
      <c r="H187" s="5">
        <v>1</v>
      </c>
      <c r="I187" s="8" t="s">
        <v>7370</v>
      </c>
      <c r="J187" s="8" t="s">
        <v>9419</v>
      </c>
      <c r="K187" s="8" t="s">
        <v>1216</v>
      </c>
      <c r="L187" s="8" t="s">
        <v>11470</v>
      </c>
      <c r="M187" s="8" t="s">
        <v>3266</v>
      </c>
      <c r="N187" s="8" t="s">
        <v>5317</v>
      </c>
      <c r="O187" s="5" t="s">
        <v>38</v>
      </c>
      <c r="P187" s="4">
        <v>45610</v>
      </c>
      <c r="Q187" s="15">
        <v>40</v>
      </c>
      <c r="R187" s="15">
        <v>4.99</v>
      </c>
      <c r="S187" s="15">
        <v>0</v>
      </c>
      <c r="T187"/>
    </row>
    <row r="188" spans="1:20">
      <c r="A188" s="5" t="s">
        <v>36</v>
      </c>
      <c r="B188" s="5" t="s">
        <v>13525</v>
      </c>
      <c r="C188" s="4">
        <f>Controle_Pedidos[[#This Row],[Data Compra]]</f>
        <v>45595</v>
      </c>
      <c r="D188" s="4">
        <v>45595</v>
      </c>
      <c r="E188" s="5" t="s">
        <v>15626</v>
      </c>
      <c r="F188" s="5" t="s">
        <v>17617</v>
      </c>
      <c r="G188" s="5" t="s">
        <v>829</v>
      </c>
      <c r="H188" s="5">
        <v>1</v>
      </c>
      <c r="I188" s="8" t="s">
        <v>7371</v>
      </c>
      <c r="J188" s="8" t="s">
        <v>9420</v>
      </c>
      <c r="K188" s="8" t="s">
        <v>1217</v>
      </c>
      <c r="L188" s="8" t="s">
        <v>11471</v>
      </c>
      <c r="M188" s="8" t="s">
        <v>3267</v>
      </c>
      <c r="N188" s="8" t="s">
        <v>5318</v>
      </c>
      <c r="O188" s="5" t="s">
        <v>40</v>
      </c>
      <c r="P188" s="4">
        <v>45610</v>
      </c>
      <c r="Q188" s="15">
        <v>40</v>
      </c>
      <c r="R188" s="15">
        <v>4.99</v>
      </c>
      <c r="S188" s="15">
        <v>0</v>
      </c>
      <c r="T188"/>
    </row>
    <row r="189" spans="1:20">
      <c r="A189" s="5" t="s">
        <v>36</v>
      </c>
      <c r="B189" s="5" t="s">
        <v>13526</v>
      </c>
      <c r="C189" s="4">
        <f>Controle_Pedidos[[#This Row],[Data Compra]]</f>
        <v>45595</v>
      </c>
      <c r="D189" s="4">
        <v>45595</v>
      </c>
      <c r="E189" s="5" t="s">
        <v>15627</v>
      </c>
      <c r="F189" s="5" t="s">
        <v>17618</v>
      </c>
      <c r="G189" s="5" t="s">
        <v>849</v>
      </c>
      <c r="H189" s="5">
        <v>1</v>
      </c>
      <c r="I189" s="8" t="s">
        <v>7372</v>
      </c>
      <c r="J189" s="8" t="s">
        <v>9421</v>
      </c>
      <c r="K189" s="8" t="s">
        <v>1218</v>
      </c>
      <c r="L189" s="8" t="s">
        <v>11472</v>
      </c>
      <c r="M189" s="8" t="s">
        <v>3268</v>
      </c>
      <c r="N189" s="8" t="s">
        <v>5319</v>
      </c>
      <c r="O189" s="5" t="s">
        <v>61</v>
      </c>
      <c r="P189" s="4">
        <v>45618</v>
      </c>
      <c r="Q189" s="15">
        <v>59.99</v>
      </c>
      <c r="R189" s="15">
        <v>7.3</v>
      </c>
      <c r="S189" s="15">
        <v>0</v>
      </c>
      <c r="T189"/>
    </row>
    <row r="190" spans="1:20">
      <c r="A190" s="5" t="s">
        <v>36</v>
      </c>
      <c r="B190" s="5" t="s">
        <v>13527</v>
      </c>
      <c r="C190" s="4">
        <f>Controle_Pedidos[[#This Row],[Data Compra]]</f>
        <v>45595</v>
      </c>
      <c r="D190" s="4">
        <v>45595</v>
      </c>
      <c r="E190" s="5" t="s">
        <v>15628</v>
      </c>
      <c r="F190" s="5" t="s">
        <v>17619</v>
      </c>
      <c r="G190" s="5" t="s">
        <v>817</v>
      </c>
      <c r="H190" s="5">
        <v>1</v>
      </c>
      <c r="I190" s="8" t="s">
        <v>7373</v>
      </c>
      <c r="J190" s="8" t="s">
        <v>9422</v>
      </c>
      <c r="K190" s="8" t="s">
        <v>1219</v>
      </c>
      <c r="L190" s="8" t="s">
        <v>11473</v>
      </c>
      <c r="M190" s="8" t="s">
        <v>3269</v>
      </c>
      <c r="N190" s="8" t="s">
        <v>5320</v>
      </c>
      <c r="O190" s="5" t="s">
        <v>39</v>
      </c>
      <c r="P190" s="4">
        <v>45618</v>
      </c>
      <c r="Q190" s="15">
        <v>31.99</v>
      </c>
      <c r="R190" s="15">
        <v>0</v>
      </c>
      <c r="S190" s="15">
        <v>0</v>
      </c>
      <c r="T190"/>
    </row>
    <row r="191" spans="1:20">
      <c r="A191" s="5" t="s">
        <v>36</v>
      </c>
      <c r="B191" s="5" t="s">
        <v>13528</v>
      </c>
      <c r="C191" s="4">
        <f>Controle_Pedidos[[#This Row],[Data Compra]]</f>
        <v>45595</v>
      </c>
      <c r="D191" s="4">
        <v>45595</v>
      </c>
      <c r="E191" s="5" t="s">
        <v>15629</v>
      </c>
      <c r="F191" s="5" t="s">
        <v>17620</v>
      </c>
      <c r="G191" s="5" t="s">
        <v>829</v>
      </c>
      <c r="H191" s="5">
        <v>1</v>
      </c>
      <c r="I191" s="8" t="s">
        <v>7374</v>
      </c>
      <c r="J191" s="8" t="s">
        <v>9423</v>
      </c>
      <c r="K191" s="8" t="s">
        <v>1220</v>
      </c>
      <c r="L191" s="8" t="s">
        <v>11474</v>
      </c>
      <c r="M191" s="8" t="s">
        <v>3270</v>
      </c>
      <c r="N191" s="8" t="s">
        <v>5321</v>
      </c>
      <c r="O191" s="5" t="s">
        <v>40</v>
      </c>
      <c r="P191" s="4">
        <v>45604</v>
      </c>
      <c r="Q191" s="15">
        <v>17.989999999999998</v>
      </c>
      <c r="R191" s="15">
        <v>4.99</v>
      </c>
      <c r="S191" s="15">
        <v>0</v>
      </c>
      <c r="T191"/>
    </row>
    <row r="192" spans="1:20">
      <c r="A192" s="5" t="s">
        <v>36</v>
      </c>
      <c r="B192" s="5" t="s">
        <v>13529</v>
      </c>
      <c r="C192" s="4">
        <f>Controle_Pedidos[[#This Row],[Data Compra]]</f>
        <v>45595</v>
      </c>
      <c r="D192" s="4">
        <v>45595</v>
      </c>
      <c r="E192" s="5" t="s">
        <v>15630</v>
      </c>
      <c r="F192" s="5" t="s">
        <v>17621</v>
      </c>
      <c r="G192" s="5" t="s">
        <v>829</v>
      </c>
      <c r="H192" s="5">
        <v>1</v>
      </c>
      <c r="I192" s="8" t="s">
        <v>7375</v>
      </c>
      <c r="J192" s="8" t="s">
        <v>9424</v>
      </c>
      <c r="K192" s="8" t="s">
        <v>1221</v>
      </c>
      <c r="L192" s="8" t="s">
        <v>11475</v>
      </c>
      <c r="M192" s="8" t="s">
        <v>3271</v>
      </c>
      <c r="N192" s="8" t="s">
        <v>5322</v>
      </c>
      <c r="O192" s="5" t="s">
        <v>40</v>
      </c>
      <c r="P192" s="4">
        <v>45604</v>
      </c>
      <c r="Q192" s="15">
        <v>17.989999999999998</v>
      </c>
      <c r="R192" s="15">
        <v>4.99</v>
      </c>
      <c r="S192" s="15">
        <v>0</v>
      </c>
      <c r="T192"/>
    </row>
    <row r="193" spans="1:20">
      <c r="A193" s="5" t="s">
        <v>36</v>
      </c>
      <c r="B193" s="5" t="s">
        <v>13530</v>
      </c>
      <c r="C193" s="4">
        <f>Controle_Pedidos[[#This Row],[Data Compra]]</f>
        <v>45595</v>
      </c>
      <c r="D193" s="4">
        <v>45595</v>
      </c>
      <c r="E193" s="5" t="s">
        <v>15631</v>
      </c>
      <c r="F193" s="5" t="s">
        <v>17622</v>
      </c>
      <c r="G193" s="5" t="s">
        <v>849</v>
      </c>
      <c r="H193" s="5">
        <v>1</v>
      </c>
      <c r="I193" s="8" t="s">
        <v>7376</v>
      </c>
      <c r="J193" s="8" t="s">
        <v>9425</v>
      </c>
      <c r="K193" s="8" t="s">
        <v>1222</v>
      </c>
      <c r="L193" s="8" t="s">
        <v>11476</v>
      </c>
      <c r="M193" s="8" t="s">
        <v>3272</v>
      </c>
      <c r="N193" s="8" t="s">
        <v>5323</v>
      </c>
      <c r="O193" s="5" t="s">
        <v>61</v>
      </c>
      <c r="P193" s="4">
        <v>45618</v>
      </c>
      <c r="Q193" s="15">
        <v>59.99</v>
      </c>
      <c r="R193" s="15">
        <v>7.3</v>
      </c>
      <c r="S193" s="15">
        <v>0</v>
      </c>
      <c r="T193"/>
    </row>
    <row r="194" spans="1:20">
      <c r="A194" s="5" t="s">
        <v>36</v>
      </c>
      <c r="B194" s="5" t="s">
        <v>13531</v>
      </c>
      <c r="C194" s="4">
        <f>Controle_Pedidos[[#This Row],[Data Compra]]</f>
        <v>45596</v>
      </c>
      <c r="D194" s="4">
        <v>45596</v>
      </c>
      <c r="E194" s="5" t="s">
        <v>15632</v>
      </c>
      <c r="F194" s="5" t="s">
        <v>17623</v>
      </c>
      <c r="G194" s="5" t="s">
        <v>849</v>
      </c>
      <c r="H194" s="5">
        <v>1</v>
      </c>
      <c r="I194" s="8" t="s">
        <v>7377</v>
      </c>
      <c r="J194" s="8" t="s">
        <v>9426</v>
      </c>
      <c r="K194" s="8" t="s">
        <v>1223</v>
      </c>
      <c r="L194" s="8" t="s">
        <v>11477</v>
      </c>
      <c r="M194" s="8" t="s">
        <v>3273</v>
      </c>
      <c r="N194" s="8" t="s">
        <v>5324</v>
      </c>
      <c r="O194" s="5" t="s">
        <v>61</v>
      </c>
      <c r="P194" s="4">
        <v>45611</v>
      </c>
      <c r="Q194" s="15">
        <v>59.99</v>
      </c>
      <c r="R194" s="15">
        <v>9.11</v>
      </c>
      <c r="S194" s="15">
        <v>0</v>
      </c>
      <c r="T194"/>
    </row>
    <row r="195" spans="1:20">
      <c r="A195" s="5" t="s">
        <v>36</v>
      </c>
      <c r="B195" s="5" t="s">
        <v>13532</v>
      </c>
      <c r="C195" s="4">
        <f>Controle_Pedidos[[#This Row],[Data Compra]]</f>
        <v>45596</v>
      </c>
      <c r="D195" s="4">
        <v>45596</v>
      </c>
      <c r="E195" s="5" t="s">
        <v>15633</v>
      </c>
      <c r="F195" s="5" t="s">
        <v>17624</v>
      </c>
      <c r="G195" s="5" t="s">
        <v>826</v>
      </c>
      <c r="H195" s="5">
        <v>1</v>
      </c>
      <c r="I195" s="8" t="s">
        <v>7378</v>
      </c>
      <c r="J195" s="8" t="s">
        <v>9427</v>
      </c>
      <c r="K195" s="8" t="s">
        <v>1224</v>
      </c>
      <c r="L195" s="8" t="s">
        <v>11478</v>
      </c>
      <c r="M195" s="8" t="s">
        <v>3274</v>
      </c>
      <c r="N195" s="8" t="s">
        <v>5325</v>
      </c>
      <c r="O195" s="5" t="s">
        <v>42</v>
      </c>
      <c r="P195" s="4">
        <v>45605</v>
      </c>
      <c r="Q195" s="15">
        <v>18.989999999999998</v>
      </c>
      <c r="R195" s="15">
        <v>4.99</v>
      </c>
      <c r="S195" s="15">
        <v>0</v>
      </c>
      <c r="T195"/>
    </row>
    <row r="196" spans="1:20">
      <c r="A196" s="5" t="s">
        <v>36</v>
      </c>
      <c r="B196" s="5" t="s">
        <v>13533</v>
      </c>
      <c r="C196" s="4">
        <f>Controle_Pedidos[[#This Row],[Data Compra]]</f>
        <v>45596</v>
      </c>
      <c r="D196" s="4">
        <v>45596</v>
      </c>
      <c r="E196" s="5" t="s">
        <v>15634</v>
      </c>
      <c r="F196" s="5" t="s">
        <v>17625</v>
      </c>
      <c r="G196" s="5" t="s">
        <v>829</v>
      </c>
      <c r="H196" s="5">
        <v>1</v>
      </c>
      <c r="I196" s="8" t="s">
        <v>7379</v>
      </c>
      <c r="J196" s="8" t="s">
        <v>9428</v>
      </c>
      <c r="K196" s="8" t="s">
        <v>1225</v>
      </c>
      <c r="L196" s="8" t="s">
        <v>11479</v>
      </c>
      <c r="M196" s="8" t="s">
        <v>3275</v>
      </c>
      <c r="N196" s="8" t="s">
        <v>5326</v>
      </c>
      <c r="O196" s="5" t="s">
        <v>40</v>
      </c>
      <c r="P196" s="4">
        <v>45611</v>
      </c>
      <c r="Q196" s="15">
        <v>16.989999999999998</v>
      </c>
      <c r="R196" s="15">
        <v>4.99</v>
      </c>
      <c r="S196" s="15">
        <v>0</v>
      </c>
      <c r="T196"/>
    </row>
    <row r="197" spans="1:20">
      <c r="A197" s="5" t="s">
        <v>36</v>
      </c>
      <c r="B197" s="5" t="s">
        <v>13534</v>
      </c>
      <c r="C197" s="4">
        <f>Controle_Pedidos[[#This Row],[Data Compra]]</f>
        <v>45596</v>
      </c>
      <c r="D197" s="4">
        <v>45596</v>
      </c>
      <c r="E197" s="5" t="s">
        <v>15635</v>
      </c>
      <c r="F197" s="5" t="s">
        <v>17626</v>
      </c>
      <c r="G197" s="5" t="s">
        <v>834</v>
      </c>
      <c r="H197" s="5">
        <v>1</v>
      </c>
      <c r="I197" s="8" t="s">
        <v>7380</v>
      </c>
      <c r="J197" s="8" t="s">
        <v>9429</v>
      </c>
      <c r="K197" s="8" t="s">
        <v>1226</v>
      </c>
      <c r="L197" s="8" t="s">
        <v>11480</v>
      </c>
      <c r="M197" s="8" t="s">
        <v>3276</v>
      </c>
      <c r="N197" s="8" t="s">
        <v>5327</v>
      </c>
      <c r="O197" s="5" t="s">
        <v>54</v>
      </c>
      <c r="P197" s="4">
        <v>45605</v>
      </c>
      <c r="Q197" s="15">
        <v>23.99</v>
      </c>
      <c r="R197" s="15">
        <v>9.59</v>
      </c>
      <c r="S197" s="15">
        <v>0</v>
      </c>
      <c r="T197"/>
    </row>
    <row r="198" spans="1:20">
      <c r="A198" s="5" t="s">
        <v>36</v>
      </c>
      <c r="B198" s="5" t="s">
        <v>13535</v>
      </c>
      <c r="C198" s="4">
        <f>Controle_Pedidos[[#This Row],[Data Compra]]</f>
        <v>45596</v>
      </c>
      <c r="D198" s="4">
        <v>45596</v>
      </c>
      <c r="E198" s="5" t="s">
        <v>15636</v>
      </c>
      <c r="F198" s="5" t="s">
        <v>17627</v>
      </c>
      <c r="G198" s="5" t="s">
        <v>829</v>
      </c>
      <c r="H198" s="5">
        <v>1</v>
      </c>
      <c r="I198" s="8" t="s">
        <v>7381</v>
      </c>
      <c r="J198" s="8" t="s">
        <v>9430</v>
      </c>
      <c r="K198" s="8" t="s">
        <v>1227</v>
      </c>
      <c r="L198" s="8" t="s">
        <v>11481</v>
      </c>
      <c r="M198" s="8" t="s">
        <v>3277</v>
      </c>
      <c r="N198" s="8" t="s">
        <v>5328</v>
      </c>
      <c r="O198" s="5" t="s">
        <v>40</v>
      </c>
      <c r="P198" s="4">
        <v>45611</v>
      </c>
      <c r="Q198" s="15">
        <v>16.989999999999998</v>
      </c>
      <c r="R198" s="15">
        <v>4.99</v>
      </c>
      <c r="S198" s="15">
        <v>0</v>
      </c>
      <c r="T198"/>
    </row>
    <row r="199" spans="1:20">
      <c r="A199" s="5" t="s">
        <v>36</v>
      </c>
      <c r="B199" s="5" t="s">
        <v>13536</v>
      </c>
      <c r="C199" s="4">
        <f>Controle_Pedidos[[#This Row],[Data Compra]]</f>
        <v>45596</v>
      </c>
      <c r="D199" s="4">
        <v>45596</v>
      </c>
      <c r="E199" s="5" t="s">
        <v>15637</v>
      </c>
      <c r="F199" s="5" t="s">
        <v>17628</v>
      </c>
      <c r="G199" s="5" t="s">
        <v>829</v>
      </c>
      <c r="H199" s="5">
        <v>1</v>
      </c>
      <c r="I199" s="8" t="s">
        <v>7382</v>
      </c>
      <c r="J199" s="8" t="s">
        <v>9431</v>
      </c>
      <c r="K199" s="8" t="s">
        <v>1228</v>
      </c>
      <c r="L199" s="8" t="s">
        <v>11482</v>
      </c>
      <c r="M199" s="8" t="s">
        <v>3278</v>
      </c>
      <c r="N199" s="8" t="s">
        <v>5329</v>
      </c>
      <c r="O199" s="5" t="s">
        <v>40</v>
      </c>
      <c r="P199" s="4">
        <v>45605</v>
      </c>
      <c r="Q199" s="15">
        <v>16.989999999999998</v>
      </c>
      <c r="R199" s="15">
        <v>4.99</v>
      </c>
      <c r="S199" s="15">
        <v>0</v>
      </c>
      <c r="T199"/>
    </row>
    <row r="200" spans="1:20">
      <c r="A200" s="5" t="s">
        <v>36</v>
      </c>
      <c r="B200" s="5" t="s">
        <v>13537</v>
      </c>
      <c r="C200" s="4">
        <f>Controle_Pedidos[[#This Row],[Data Compra]]</f>
        <v>45596</v>
      </c>
      <c r="D200" s="4">
        <v>45596</v>
      </c>
      <c r="E200" s="5" t="s">
        <v>15638</v>
      </c>
      <c r="F200" s="5" t="s">
        <v>17629</v>
      </c>
      <c r="G200" s="5" t="s">
        <v>849</v>
      </c>
      <c r="H200" s="5">
        <v>1</v>
      </c>
      <c r="I200" s="8" t="s">
        <v>7383</v>
      </c>
      <c r="J200" s="8" t="s">
        <v>9432</v>
      </c>
      <c r="K200" s="8" t="s">
        <v>1229</v>
      </c>
      <c r="L200" s="8" t="s">
        <v>11483</v>
      </c>
      <c r="M200" s="8" t="s">
        <v>3279</v>
      </c>
      <c r="N200" s="8" t="s">
        <v>5330</v>
      </c>
      <c r="O200" s="5" t="s">
        <v>61</v>
      </c>
      <c r="P200" s="4">
        <v>45626</v>
      </c>
      <c r="Q200" s="15">
        <v>59.99</v>
      </c>
      <c r="R200" s="15">
        <v>9.11</v>
      </c>
      <c r="S200" s="15">
        <v>0</v>
      </c>
      <c r="T200"/>
    </row>
    <row r="201" spans="1:20">
      <c r="A201" s="5" t="s">
        <v>36</v>
      </c>
      <c r="B201" s="5" t="s">
        <v>13538</v>
      </c>
      <c r="C201" s="4">
        <f>Controle_Pedidos[[#This Row],[Data Compra]]</f>
        <v>45596</v>
      </c>
      <c r="D201" s="4">
        <v>45596</v>
      </c>
      <c r="E201" s="5" t="s">
        <v>15639</v>
      </c>
      <c r="F201" s="5" t="s">
        <v>17630</v>
      </c>
      <c r="G201" s="5" t="s">
        <v>829</v>
      </c>
      <c r="H201" s="5">
        <v>1</v>
      </c>
      <c r="I201" s="8" t="s">
        <v>7384</v>
      </c>
      <c r="J201" s="8" t="s">
        <v>9433</v>
      </c>
      <c r="K201" s="8" t="s">
        <v>1230</v>
      </c>
      <c r="L201" s="8" t="s">
        <v>11484</v>
      </c>
      <c r="M201" s="8" t="s">
        <v>3280</v>
      </c>
      <c r="N201" s="8" t="s">
        <v>5331</v>
      </c>
      <c r="O201" s="5" t="s">
        <v>40</v>
      </c>
      <c r="P201" s="4">
        <v>45605</v>
      </c>
      <c r="Q201" s="15">
        <v>16.989999999999998</v>
      </c>
      <c r="R201" s="15">
        <v>4.99</v>
      </c>
      <c r="S201" s="15">
        <v>0</v>
      </c>
      <c r="T201"/>
    </row>
    <row r="202" spans="1:20">
      <c r="A202" s="5" t="s">
        <v>36</v>
      </c>
      <c r="B202" s="5" t="s">
        <v>13539</v>
      </c>
      <c r="C202" s="4">
        <f>Controle_Pedidos[[#This Row],[Data Compra]]</f>
        <v>45596</v>
      </c>
      <c r="D202" s="4">
        <v>45596</v>
      </c>
      <c r="E202" s="5" t="s">
        <v>15640</v>
      </c>
      <c r="F202" s="5" t="s">
        <v>17631</v>
      </c>
      <c r="G202" s="5" t="s">
        <v>848</v>
      </c>
      <c r="H202" s="5">
        <v>1</v>
      </c>
      <c r="I202" s="8" t="s">
        <v>7385</v>
      </c>
      <c r="J202" s="8" t="s">
        <v>9434</v>
      </c>
      <c r="K202" s="8" t="s">
        <v>1231</v>
      </c>
      <c r="L202" s="8" t="s">
        <v>11485</v>
      </c>
      <c r="M202" s="8" t="s">
        <v>3281</v>
      </c>
      <c r="N202" s="8" t="s">
        <v>5332</v>
      </c>
      <c r="O202" s="5" t="s">
        <v>62</v>
      </c>
      <c r="P202" s="4">
        <v>45611</v>
      </c>
      <c r="Q202" s="15">
        <v>58.9</v>
      </c>
      <c r="R202" s="15">
        <v>7.29</v>
      </c>
      <c r="S202" s="15">
        <v>0</v>
      </c>
      <c r="T202"/>
    </row>
    <row r="203" spans="1:20">
      <c r="A203" s="5" t="s">
        <v>36</v>
      </c>
      <c r="B203" s="5" t="s">
        <v>13540</v>
      </c>
      <c r="C203" s="4">
        <f>Controle_Pedidos[[#This Row],[Data Compra]]</f>
        <v>45596</v>
      </c>
      <c r="D203" s="4">
        <v>45596</v>
      </c>
      <c r="E203" s="5" t="s">
        <v>15641</v>
      </c>
      <c r="F203" s="5" t="s">
        <v>17632</v>
      </c>
      <c r="G203" s="5" t="s">
        <v>829</v>
      </c>
      <c r="H203" s="5">
        <v>1</v>
      </c>
      <c r="I203" s="8" t="s">
        <v>7386</v>
      </c>
      <c r="J203" s="8" t="s">
        <v>9435</v>
      </c>
      <c r="K203" s="8" t="s">
        <v>1232</v>
      </c>
      <c r="L203" s="8" t="s">
        <v>11486</v>
      </c>
      <c r="M203" s="8" t="s">
        <v>3282</v>
      </c>
      <c r="N203" s="8" t="s">
        <v>5333</v>
      </c>
      <c r="O203" s="5" t="s">
        <v>40</v>
      </c>
      <c r="P203" s="4">
        <v>45611</v>
      </c>
      <c r="Q203" s="15">
        <v>16.989999999999998</v>
      </c>
      <c r="R203" s="15">
        <v>4.99</v>
      </c>
      <c r="S203" s="15">
        <v>0</v>
      </c>
      <c r="T203"/>
    </row>
    <row r="204" spans="1:20">
      <c r="A204" s="5" t="s">
        <v>36</v>
      </c>
      <c r="B204" s="5" t="s">
        <v>13541</v>
      </c>
      <c r="C204" s="4">
        <f>Controle_Pedidos[[#This Row],[Data Compra]]</f>
        <v>45596</v>
      </c>
      <c r="D204" s="4">
        <v>45596</v>
      </c>
      <c r="E204" s="5" t="s">
        <v>15642</v>
      </c>
      <c r="F204" s="5" t="s">
        <v>17633</v>
      </c>
      <c r="G204" s="5" t="s">
        <v>817</v>
      </c>
      <c r="H204" s="5">
        <v>1</v>
      </c>
      <c r="I204" s="8" t="s">
        <v>7387</v>
      </c>
      <c r="J204" s="8" t="s">
        <v>9436</v>
      </c>
      <c r="K204" s="8" t="s">
        <v>1233</v>
      </c>
      <c r="L204" s="8" t="s">
        <v>11487</v>
      </c>
      <c r="M204" s="8" t="s">
        <v>3283</v>
      </c>
      <c r="N204" s="8" t="s">
        <v>5334</v>
      </c>
      <c r="O204" s="5" t="s">
        <v>39</v>
      </c>
      <c r="P204" s="4">
        <v>45611</v>
      </c>
      <c r="Q204" s="15">
        <v>31.99</v>
      </c>
      <c r="R204" s="15">
        <v>9.99</v>
      </c>
      <c r="S204" s="15">
        <v>0</v>
      </c>
      <c r="T204"/>
    </row>
    <row r="205" spans="1:20">
      <c r="A205" s="5" t="s">
        <v>36</v>
      </c>
      <c r="B205" s="5" t="s">
        <v>13542</v>
      </c>
      <c r="C205" s="4">
        <f>Controle_Pedidos[[#This Row],[Data Compra]]</f>
        <v>45596</v>
      </c>
      <c r="D205" s="4">
        <v>45596</v>
      </c>
      <c r="E205" s="5" t="s">
        <v>15643</v>
      </c>
      <c r="F205" s="5" t="s">
        <v>17634</v>
      </c>
      <c r="G205" s="5" t="s">
        <v>848</v>
      </c>
      <c r="H205" s="5">
        <v>1</v>
      </c>
      <c r="I205" s="8" t="s">
        <v>7388</v>
      </c>
      <c r="J205" s="8" t="s">
        <v>9437</v>
      </c>
      <c r="K205" s="8" t="s">
        <v>1234</v>
      </c>
      <c r="L205" s="8" t="s">
        <v>11488</v>
      </c>
      <c r="M205" s="8" t="s">
        <v>3284</v>
      </c>
      <c r="N205" s="8" t="s">
        <v>5335</v>
      </c>
      <c r="O205" s="5" t="s">
        <v>62</v>
      </c>
      <c r="P205" s="4">
        <v>45611</v>
      </c>
      <c r="Q205" s="15">
        <v>58.9</v>
      </c>
      <c r="R205" s="15">
        <v>7.29</v>
      </c>
      <c r="S205" s="15">
        <v>0</v>
      </c>
      <c r="T205"/>
    </row>
    <row r="206" spans="1:20">
      <c r="A206" s="5" t="s">
        <v>36</v>
      </c>
      <c r="B206" s="5" t="s">
        <v>13543</v>
      </c>
      <c r="C206" s="4">
        <f>Controle_Pedidos[[#This Row],[Data Compra]]</f>
        <v>45597</v>
      </c>
      <c r="D206" s="4">
        <v>45597</v>
      </c>
      <c r="E206" s="5" t="s">
        <v>15644</v>
      </c>
      <c r="F206" s="5" t="s">
        <v>17635</v>
      </c>
      <c r="G206" s="5" t="s">
        <v>829</v>
      </c>
      <c r="H206" s="5">
        <v>1</v>
      </c>
      <c r="I206" s="8" t="s">
        <v>7389</v>
      </c>
      <c r="J206" s="8" t="s">
        <v>9438</v>
      </c>
      <c r="K206" s="8" t="s">
        <v>1235</v>
      </c>
      <c r="L206" s="8" t="s">
        <v>11489</v>
      </c>
      <c r="M206" s="8" t="s">
        <v>3285</v>
      </c>
      <c r="N206" s="8" t="s">
        <v>5336</v>
      </c>
      <c r="O206" s="5" t="s">
        <v>40</v>
      </c>
      <c r="P206" s="4">
        <v>45618</v>
      </c>
      <c r="Q206" s="15">
        <v>16.5</v>
      </c>
      <c r="R206" s="15">
        <v>6.57</v>
      </c>
      <c r="S206" s="15">
        <v>0</v>
      </c>
      <c r="T206"/>
    </row>
    <row r="207" spans="1:20">
      <c r="A207" s="5" t="s">
        <v>36</v>
      </c>
      <c r="B207" s="5" t="s">
        <v>13544</v>
      </c>
      <c r="C207" s="4">
        <f>Controle_Pedidos[[#This Row],[Data Compra]]</f>
        <v>45597</v>
      </c>
      <c r="D207" s="4">
        <v>45597</v>
      </c>
      <c r="E207" s="5" t="s">
        <v>15645</v>
      </c>
      <c r="F207" s="5" t="s">
        <v>17636</v>
      </c>
      <c r="G207" s="5" t="s">
        <v>829</v>
      </c>
      <c r="H207" s="5">
        <v>1</v>
      </c>
      <c r="I207" s="8" t="s">
        <v>7390</v>
      </c>
      <c r="J207" s="8" t="s">
        <v>9439</v>
      </c>
      <c r="K207" s="8" t="s">
        <v>1236</v>
      </c>
      <c r="L207" s="8" t="s">
        <v>11490</v>
      </c>
      <c r="M207" s="8" t="s">
        <v>3286</v>
      </c>
      <c r="N207" s="8" t="s">
        <v>5337</v>
      </c>
      <c r="O207" s="5" t="s">
        <v>40</v>
      </c>
      <c r="P207" s="4">
        <v>45615</v>
      </c>
      <c r="Q207" s="15">
        <v>16.5</v>
      </c>
      <c r="R207" s="15">
        <v>5.91</v>
      </c>
      <c r="S207" s="15">
        <v>0</v>
      </c>
      <c r="T207"/>
    </row>
    <row r="208" spans="1:20">
      <c r="A208" s="5" t="s">
        <v>36</v>
      </c>
      <c r="B208" s="5" t="s">
        <v>13545</v>
      </c>
      <c r="C208" s="4">
        <f>Controle_Pedidos[[#This Row],[Data Compra]]</f>
        <v>45597</v>
      </c>
      <c r="D208" s="4">
        <v>45597</v>
      </c>
      <c r="E208" s="5" t="s">
        <v>15646</v>
      </c>
      <c r="F208" s="5" t="s">
        <v>17637</v>
      </c>
      <c r="G208" s="5" t="s">
        <v>829</v>
      </c>
      <c r="H208" s="5">
        <v>1</v>
      </c>
      <c r="I208" s="8" t="s">
        <v>7391</v>
      </c>
      <c r="J208" s="8" t="s">
        <v>9440</v>
      </c>
      <c r="K208" s="8" t="s">
        <v>1237</v>
      </c>
      <c r="L208" s="8" t="s">
        <v>11491</v>
      </c>
      <c r="M208" s="8" t="s">
        <v>3287</v>
      </c>
      <c r="N208" s="8" t="s">
        <v>5338</v>
      </c>
      <c r="O208" s="5" t="s">
        <v>40</v>
      </c>
      <c r="P208" s="4">
        <v>45615</v>
      </c>
      <c r="Q208" s="15">
        <v>16.5</v>
      </c>
      <c r="R208" s="15">
        <v>5.91</v>
      </c>
      <c r="S208" s="15">
        <v>0</v>
      </c>
      <c r="T208"/>
    </row>
    <row r="209" spans="1:20">
      <c r="A209" s="5" t="s">
        <v>36</v>
      </c>
      <c r="B209" s="5" t="s">
        <v>13546</v>
      </c>
      <c r="C209" s="4">
        <f>Controle_Pedidos[[#This Row],[Data Compra]]</f>
        <v>45597</v>
      </c>
      <c r="D209" s="4">
        <v>45597</v>
      </c>
      <c r="E209" s="5" t="s">
        <v>15647</v>
      </c>
      <c r="F209" s="5" t="s">
        <v>17638</v>
      </c>
      <c r="G209" s="5" t="s">
        <v>829</v>
      </c>
      <c r="H209" s="5">
        <v>1</v>
      </c>
      <c r="I209" s="8" t="s">
        <v>7392</v>
      </c>
      <c r="J209" s="8" t="s">
        <v>9441</v>
      </c>
      <c r="K209" s="8" t="s">
        <v>1238</v>
      </c>
      <c r="L209" s="8" t="s">
        <v>11492</v>
      </c>
      <c r="M209" s="8" t="s">
        <v>3288</v>
      </c>
      <c r="N209" s="8" t="s">
        <v>5339</v>
      </c>
      <c r="O209" s="5" t="s">
        <v>40</v>
      </c>
      <c r="P209" s="4">
        <v>45622</v>
      </c>
      <c r="Q209" s="15">
        <v>16.5</v>
      </c>
      <c r="R209" s="15">
        <v>5.91</v>
      </c>
      <c r="S209" s="15">
        <v>0</v>
      </c>
      <c r="T209"/>
    </row>
    <row r="210" spans="1:20">
      <c r="A210" s="5" t="s">
        <v>36</v>
      </c>
      <c r="B210" s="5" t="s">
        <v>13547</v>
      </c>
      <c r="C210" s="4">
        <f>Controle_Pedidos[[#This Row],[Data Compra]]</f>
        <v>45597</v>
      </c>
      <c r="D210" s="4">
        <v>45597</v>
      </c>
      <c r="E210" s="5" t="s">
        <v>15648</v>
      </c>
      <c r="F210" s="5" t="s">
        <v>17639</v>
      </c>
      <c r="G210" s="5" t="s">
        <v>829</v>
      </c>
      <c r="H210" s="5">
        <v>1</v>
      </c>
      <c r="I210" s="8" t="s">
        <v>7393</v>
      </c>
      <c r="J210" s="8" t="s">
        <v>9442</v>
      </c>
      <c r="K210" s="8" t="s">
        <v>1239</v>
      </c>
      <c r="L210" s="8" t="s">
        <v>11493</v>
      </c>
      <c r="M210" s="8" t="s">
        <v>3289</v>
      </c>
      <c r="N210" s="8" t="s">
        <v>5340</v>
      </c>
      <c r="O210" s="5" t="s">
        <v>40</v>
      </c>
      <c r="P210" s="4">
        <v>45615</v>
      </c>
      <c r="Q210" s="15">
        <v>16.5</v>
      </c>
      <c r="R210" s="15">
        <v>5.91</v>
      </c>
      <c r="S210" s="15">
        <v>0</v>
      </c>
      <c r="T210"/>
    </row>
    <row r="211" spans="1:20">
      <c r="A211" s="5" t="s">
        <v>36</v>
      </c>
      <c r="B211" s="5" t="s">
        <v>13548</v>
      </c>
      <c r="C211" s="4">
        <f>Controle_Pedidos[[#This Row],[Data Compra]]</f>
        <v>45597</v>
      </c>
      <c r="D211" s="4">
        <v>45597</v>
      </c>
      <c r="E211" s="5" t="s">
        <v>15649</v>
      </c>
      <c r="F211" s="5" t="s">
        <v>17640</v>
      </c>
      <c r="G211" s="5" t="s">
        <v>817</v>
      </c>
      <c r="H211" s="5">
        <v>1</v>
      </c>
      <c r="I211" s="8" t="s">
        <v>7394</v>
      </c>
      <c r="J211" s="8" t="s">
        <v>9443</v>
      </c>
      <c r="K211" s="8" t="s">
        <v>1240</v>
      </c>
      <c r="L211" s="8" t="s">
        <v>11494</v>
      </c>
      <c r="M211" s="8" t="s">
        <v>3290</v>
      </c>
      <c r="N211" s="8" t="s">
        <v>5341</v>
      </c>
      <c r="O211" s="5" t="s">
        <v>39</v>
      </c>
      <c r="P211" s="4">
        <v>45626</v>
      </c>
      <c r="Q211" s="15">
        <v>31.5</v>
      </c>
      <c r="R211" s="15">
        <v>11.99</v>
      </c>
      <c r="S211" s="15">
        <v>0</v>
      </c>
      <c r="T211"/>
    </row>
    <row r="212" spans="1:20">
      <c r="A212" s="5" t="s">
        <v>36</v>
      </c>
      <c r="B212" s="5" t="s">
        <v>13549</v>
      </c>
      <c r="C212" s="4">
        <f>Controle_Pedidos[[#This Row],[Data Compra]]</f>
        <v>45597</v>
      </c>
      <c r="D212" s="4">
        <v>45597</v>
      </c>
      <c r="E212" s="5" t="s">
        <v>15650</v>
      </c>
      <c r="F212" s="5" t="s">
        <v>17641</v>
      </c>
      <c r="G212" s="5" t="s">
        <v>829</v>
      </c>
      <c r="H212" s="5">
        <v>1</v>
      </c>
      <c r="I212" s="8" t="s">
        <v>7395</v>
      </c>
      <c r="J212" s="8" t="s">
        <v>9444</v>
      </c>
      <c r="K212" s="8" t="s">
        <v>1241</v>
      </c>
      <c r="L212" s="8" t="s">
        <v>11495</v>
      </c>
      <c r="M212" s="8" t="s">
        <v>3291</v>
      </c>
      <c r="N212" s="8" t="s">
        <v>5342</v>
      </c>
      <c r="O212" s="5" t="s">
        <v>40</v>
      </c>
      <c r="P212" s="4">
        <v>45626</v>
      </c>
      <c r="Q212" s="15">
        <v>16.5</v>
      </c>
      <c r="R212" s="15">
        <v>5.91</v>
      </c>
      <c r="S212" s="15">
        <v>0</v>
      </c>
      <c r="T212"/>
    </row>
    <row r="213" spans="1:20">
      <c r="A213" s="5" t="s">
        <v>36</v>
      </c>
      <c r="B213" s="5" t="s">
        <v>13550</v>
      </c>
      <c r="C213" s="4">
        <f>Controle_Pedidos[[#This Row],[Data Compra]]</f>
        <v>45597</v>
      </c>
      <c r="D213" s="4">
        <v>45597</v>
      </c>
      <c r="E213" s="5" t="s">
        <v>15651</v>
      </c>
      <c r="F213" s="5" t="s">
        <v>17642</v>
      </c>
      <c r="G213" s="5" t="s">
        <v>845</v>
      </c>
      <c r="H213" s="5">
        <v>1</v>
      </c>
      <c r="I213" s="8" t="s">
        <v>7396</v>
      </c>
      <c r="J213" s="8" t="s">
        <v>9445</v>
      </c>
      <c r="K213" s="8" t="s">
        <v>1242</v>
      </c>
      <c r="L213" s="8" t="s">
        <v>11496</v>
      </c>
      <c r="M213" s="8" t="s">
        <v>3292</v>
      </c>
      <c r="N213" s="8" t="s">
        <v>5343</v>
      </c>
      <c r="O213" s="5" t="s">
        <v>67</v>
      </c>
      <c r="P213" s="4">
        <v>45622</v>
      </c>
      <c r="Q213" s="15">
        <v>64.989999999999995</v>
      </c>
      <c r="R213" s="15">
        <v>7.29</v>
      </c>
      <c r="S213" s="15">
        <v>0</v>
      </c>
      <c r="T213"/>
    </row>
    <row r="214" spans="1:20">
      <c r="A214" s="5" t="s">
        <v>36</v>
      </c>
      <c r="B214" s="5" t="s">
        <v>13551</v>
      </c>
      <c r="C214" s="4">
        <f>Controle_Pedidos[[#This Row],[Data Compra]]</f>
        <v>45597</v>
      </c>
      <c r="D214" s="4">
        <v>45597</v>
      </c>
      <c r="E214" s="5" t="s">
        <v>15652</v>
      </c>
      <c r="F214" s="5" t="s">
        <v>17643</v>
      </c>
      <c r="G214" s="5" t="s">
        <v>852</v>
      </c>
      <c r="H214" s="5">
        <v>1</v>
      </c>
      <c r="I214" s="8" t="s">
        <v>7397</v>
      </c>
      <c r="J214" s="8" t="s">
        <v>9446</v>
      </c>
      <c r="K214" s="8" t="s">
        <v>1243</v>
      </c>
      <c r="L214" s="8" t="s">
        <v>11497</v>
      </c>
      <c r="M214" s="8" t="s">
        <v>3293</v>
      </c>
      <c r="N214" s="8" t="s">
        <v>5344</v>
      </c>
      <c r="O214" s="5" t="s">
        <v>68</v>
      </c>
      <c r="P214" s="4">
        <v>45615</v>
      </c>
      <c r="Q214" s="15">
        <v>17.989999999999998</v>
      </c>
      <c r="R214" s="15">
        <v>4.99</v>
      </c>
      <c r="S214" s="15">
        <v>0</v>
      </c>
      <c r="T214"/>
    </row>
    <row r="215" spans="1:20">
      <c r="A215" s="5" t="s">
        <v>36</v>
      </c>
      <c r="B215" s="5" t="s">
        <v>13552</v>
      </c>
      <c r="C215" s="4">
        <f>Controle_Pedidos[[#This Row],[Data Compra]]</f>
        <v>45597</v>
      </c>
      <c r="D215" s="4">
        <v>45597</v>
      </c>
      <c r="E215" s="5" t="s">
        <v>15653</v>
      </c>
      <c r="F215" s="5" t="s">
        <v>17644</v>
      </c>
      <c r="G215" s="5" t="s">
        <v>852</v>
      </c>
      <c r="H215" s="5">
        <v>1</v>
      </c>
      <c r="I215" s="8" t="s">
        <v>7398</v>
      </c>
      <c r="J215" s="8" t="s">
        <v>9447</v>
      </c>
      <c r="K215" s="8" t="s">
        <v>1244</v>
      </c>
      <c r="L215" s="8" t="s">
        <v>11498</v>
      </c>
      <c r="M215" s="8" t="s">
        <v>3294</v>
      </c>
      <c r="N215" s="8" t="s">
        <v>5345</v>
      </c>
      <c r="O215" s="5" t="s">
        <v>68</v>
      </c>
      <c r="P215" s="4">
        <v>45610</v>
      </c>
      <c r="Q215" s="15">
        <v>17.989999999999998</v>
      </c>
      <c r="R215" s="15">
        <v>4.99</v>
      </c>
      <c r="S215" s="15">
        <v>0</v>
      </c>
      <c r="T215"/>
    </row>
    <row r="216" spans="1:20">
      <c r="A216" s="5" t="s">
        <v>36</v>
      </c>
      <c r="B216" s="5" t="s">
        <v>13553</v>
      </c>
      <c r="C216" s="4">
        <f>Controle_Pedidos[[#This Row],[Data Compra]]</f>
        <v>45597</v>
      </c>
      <c r="D216" s="4">
        <v>45597</v>
      </c>
      <c r="E216" s="5" t="s">
        <v>15654</v>
      </c>
      <c r="F216" s="5" t="s">
        <v>17645</v>
      </c>
      <c r="G216" s="5" t="s">
        <v>821</v>
      </c>
      <c r="H216" s="5">
        <v>1</v>
      </c>
      <c r="I216" s="8" t="s">
        <v>7399</v>
      </c>
      <c r="J216" s="8" t="s">
        <v>9448</v>
      </c>
      <c r="K216" s="8" t="s">
        <v>1245</v>
      </c>
      <c r="L216" s="8" t="s">
        <v>11499</v>
      </c>
      <c r="M216" s="8" t="s">
        <v>3295</v>
      </c>
      <c r="N216" s="8" t="s">
        <v>5346</v>
      </c>
      <c r="O216" s="5" t="s">
        <v>43</v>
      </c>
      <c r="P216" s="4">
        <v>45622</v>
      </c>
      <c r="Q216" s="15">
        <v>17.5</v>
      </c>
      <c r="R216" s="15">
        <v>10.49</v>
      </c>
      <c r="S216" s="15">
        <v>0</v>
      </c>
      <c r="T216"/>
    </row>
    <row r="217" spans="1:20">
      <c r="A217" s="5" t="s">
        <v>36</v>
      </c>
      <c r="B217" s="5" t="s">
        <v>13554</v>
      </c>
      <c r="C217" s="4">
        <f>Controle_Pedidos[[#This Row],[Data Compra]]</f>
        <v>45598</v>
      </c>
      <c r="D217" s="4">
        <v>45598</v>
      </c>
      <c r="E217" s="5" t="s">
        <v>15655</v>
      </c>
      <c r="F217" s="5" t="s">
        <v>17646</v>
      </c>
      <c r="G217" s="5" t="s">
        <v>829</v>
      </c>
      <c r="H217" s="5">
        <v>1</v>
      </c>
      <c r="I217" s="8" t="s">
        <v>7400</v>
      </c>
      <c r="J217" s="8" t="s">
        <v>9449</v>
      </c>
      <c r="K217" s="8" t="s">
        <v>1246</v>
      </c>
      <c r="L217" s="8" t="s">
        <v>11500</v>
      </c>
      <c r="M217" s="8" t="s">
        <v>3296</v>
      </c>
      <c r="N217" s="8" t="s">
        <v>5347</v>
      </c>
      <c r="O217" s="5" t="s">
        <v>40</v>
      </c>
      <c r="P217" s="4">
        <v>45622</v>
      </c>
      <c r="Q217" s="15">
        <v>16.5</v>
      </c>
      <c r="R217" s="15">
        <v>4.99</v>
      </c>
      <c r="S217" s="15">
        <v>0</v>
      </c>
      <c r="T217"/>
    </row>
    <row r="218" spans="1:20">
      <c r="A218" s="5" t="s">
        <v>36</v>
      </c>
      <c r="B218" s="5" t="s">
        <v>13555</v>
      </c>
      <c r="C218" s="4">
        <f>Controle_Pedidos[[#This Row],[Data Compra]]</f>
        <v>45599</v>
      </c>
      <c r="D218" s="4">
        <v>45599</v>
      </c>
      <c r="E218" s="5" t="s">
        <v>15656</v>
      </c>
      <c r="F218" s="5" t="s">
        <v>17647</v>
      </c>
      <c r="G218" s="5" t="s">
        <v>829</v>
      </c>
      <c r="H218" s="5">
        <v>1</v>
      </c>
      <c r="I218" s="8" t="s">
        <v>7401</v>
      </c>
      <c r="J218" s="8" t="s">
        <v>9450</v>
      </c>
      <c r="K218" s="8" t="s">
        <v>1247</v>
      </c>
      <c r="L218" s="8" t="s">
        <v>11501</v>
      </c>
      <c r="M218" s="8" t="s">
        <v>3297</v>
      </c>
      <c r="N218" s="8" t="s">
        <v>5348</v>
      </c>
      <c r="O218" s="5" t="s">
        <v>40</v>
      </c>
      <c r="P218" s="4">
        <v>45626</v>
      </c>
      <c r="Q218" s="15">
        <v>16.5</v>
      </c>
      <c r="R218" s="15">
        <v>4.99</v>
      </c>
      <c r="S218" s="15">
        <v>0</v>
      </c>
      <c r="T218"/>
    </row>
    <row r="219" spans="1:20">
      <c r="A219" s="5" t="s">
        <v>36</v>
      </c>
      <c r="B219" s="5" t="s">
        <v>13556</v>
      </c>
      <c r="C219" s="4">
        <f>Controle_Pedidos[[#This Row],[Data Compra]]</f>
        <v>45597</v>
      </c>
      <c r="D219" s="4">
        <v>45597</v>
      </c>
      <c r="E219" s="5" t="s">
        <v>15657</v>
      </c>
      <c r="F219" s="5" t="s">
        <v>17648</v>
      </c>
      <c r="G219" s="5" t="s">
        <v>821</v>
      </c>
      <c r="H219" s="5">
        <v>1</v>
      </c>
      <c r="I219" s="8" t="s">
        <v>7402</v>
      </c>
      <c r="J219" s="8" t="s">
        <v>9451</v>
      </c>
      <c r="K219" s="8" t="s">
        <v>1248</v>
      </c>
      <c r="L219" s="8" t="s">
        <v>11502</v>
      </c>
      <c r="M219" s="8" t="s">
        <v>3298</v>
      </c>
      <c r="N219" s="8" t="s">
        <v>5349</v>
      </c>
      <c r="O219" s="5" t="s">
        <v>43</v>
      </c>
      <c r="P219" s="4">
        <v>45615</v>
      </c>
      <c r="Q219" s="15">
        <v>17.5</v>
      </c>
      <c r="R219" s="15">
        <v>11.73</v>
      </c>
      <c r="S219" s="15">
        <v>0</v>
      </c>
      <c r="T219"/>
    </row>
    <row r="220" spans="1:20">
      <c r="A220" s="5" t="s">
        <v>36</v>
      </c>
      <c r="B220" s="5" t="s">
        <v>13557</v>
      </c>
      <c r="C220" s="4">
        <f>Controle_Pedidos[[#This Row],[Data Compra]]</f>
        <v>45597</v>
      </c>
      <c r="D220" s="4">
        <v>45597</v>
      </c>
      <c r="E220" s="5" t="s">
        <v>15658</v>
      </c>
      <c r="F220" s="5" t="s">
        <v>17649</v>
      </c>
      <c r="G220" s="5" t="s">
        <v>821</v>
      </c>
      <c r="H220" s="5">
        <v>1</v>
      </c>
      <c r="I220" s="8" t="s">
        <v>7403</v>
      </c>
      <c r="J220" s="8" t="s">
        <v>9452</v>
      </c>
      <c r="K220" s="8" t="s">
        <v>1249</v>
      </c>
      <c r="L220" s="8" t="s">
        <v>11503</v>
      </c>
      <c r="M220" s="8" t="s">
        <v>3299</v>
      </c>
      <c r="N220" s="8" t="s">
        <v>5350</v>
      </c>
      <c r="O220" s="5" t="s">
        <v>43</v>
      </c>
      <c r="P220" s="4">
        <v>45622</v>
      </c>
      <c r="Q220" s="15">
        <v>17.5</v>
      </c>
      <c r="R220" s="15">
        <v>10.49</v>
      </c>
      <c r="S220" s="15">
        <v>0</v>
      </c>
      <c r="T220"/>
    </row>
    <row r="221" spans="1:20">
      <c r="A221" s="5" t="s">
        <v>36</v>
      </c>
      <c r="B221" s="5" t="s">
        <v>13558</v>
      </c>
      <c r="C221" s="4">
        <f>Controle_Pedidos[[#This Row],[Data Compra]]</f>
        <v>45597</v>
      </c>
      <c r="D221" s="4">
        <v>45597</v>
      </c>
      <c r="E221" s="5" t="s">
        <v>15659</v>
      </c>
      <c r="F221" s="5" t="s">
        <v>17650</v>
      </c>
      <c r="G221" s="5" t="s">
        <v>829</v>
      </c>
      <c r="H221" s="5">
        <v>1</v>
      </c>
      <c r="I221" s="8" t="s">
        <v>7404</v>
      </c>
      <c r="J221" s="8" t="s">
        <v>9453</v>
      </c>
      <c r="K221" s="8" t="s">
        <v>1250</v>
      </c>
      <c r="L221" s="8" t="s">
        <v>11504</v>
      </c>
      <c r="M221" s="8" t="s">
        <v>3300</v>
      </c>
      <c r="N221" s="8" t="s">
        <v>5351</v>
      </c>
      <c r="O221" s="5" t="s">
        <v>40</v>
      </c>
      <c r="P221" s="4">
        <v>45626</v>
      </c>
      <c r="Q221" s="15">
        <v>16.5</v>
      </c>
      <c r="R221" s="15">
        <v>4.99</v>
      </c>
      <c r="S221" s="15">
        <v>0</v>
      </c>
      <c r="T221"/>
    </row>
    <row r="222" spans="1:20">
      <c r="A222" s="5" t="s">
        <v>36</v>
      </c>
      <c r="B222" s="5" t="s">
        <v>13559</v>
      </c>
      <c r="C222" s="4">
        <f>Controle_Pedidos[[#This Row],[Data Compra]]</f>
        <v>45598</v>
      </c>
      <c r="D222" s="4">
        <v>45598</v>
      </c>
      <c r="E222" s="5" t="s">
        <v>15660</v>
      </c>
      <c r="F222" s="5" t="s">
        <v>17651</v>
      </c>
      <c r="G222" s="5" t="s">
        <v>821</v>
      </c>
      <c r="H222" s="5">
        <v>1</v>
      </c>
      <c r="I222" s="8" t="s">
        <v>7405</v>
      </c>
      <c r="J222" s="8" t="s">
        <v>9454</v>
      </c>
      <c r="K222" s="8" t="s">
        <v>1251</v>
      </c>
      <c r="L222" s="8" t="s">
        <v>11505</v>
      </c>
      <c r="M222" s="8" t="s">
        <v>3301</v>
      </c>
      <c r="N222" s="8" t="s">
        <v>5352</v>
      </c>
      <c r="O222" s="5" t="s">
        <v>43</v>
      </c>
      <c r="P222" s="4">
        <v>45615</v>
      </c>
      <c r="Q222" s="15">
        <v>17.5</v>
      </c>
      <c r="R222" s="15">
        <v>10.49</v>
      </c>
      <c r="S222" s="15">
        <v>0</v>
      </c>
      <c r="T222"/>
    </row>
    <row r="223" spans="1:20">
      <c r="A223" s="5" t="s">
        <v>36</v>
      </c>
      <c r="B223" s="5" t="s">
        <v>13560</v>
      </c>
      <c r="C223" s="4">
        <f>Controle_Pedidos[[#This Row],[Data Compra]]</f>
        <v>45598</v>
      </c>
      <c r="D223" s="4">
        <v>45598</v>
      </c>
      <c r="E223" s="5" t="s">
        <v>15661</v>
      </c>
      <c r="F223" s="5" t="s">
        <v>17652</v>
      </c>
      <c r="G223" s="5" t="s">
        <v>849</v>
      </c>
      <c r="H223" s="5">
        <v>1</v>
      </c>
      <c r="I223" s="8" t="s">
        <v>7406</v>
      </c>
      <c r="J223" s="8" t="s">
        <v>9455</v>
      </c>
      <c r="K223" s="8" t="s">
        <v>1252</v>
      </c>
      <c r="L223" s="8" t="s">
        <v>11506</v>
      </c>
      <c r="M223" s="8" t="s">
        <v>3302</v>
      </c>
      <c r="N223" s="8" t="s">
        <v>5353</v>
      </c>
      <c r="O223" s="5" t="s">
        <v>61</v>
      </c>
      <c r="P223" s="4">
        <v>45626</v>
      </c>
      <c r="Q223" s="15">
        <v>100</v>
      </c>
      <c r="R223" s="15">
        <v>7.29</v>
      </c>
      <c r="S223" s="15">
        <v>0</v>
      </c>
      <c r="T223"/>
    </row>
    <row r="224" spans="1:20">
      <c r="A224" s="5" t="s">
        <v>36</v>
      </c>
      <c r="B224" s="5" t="s">
        <v>13561</v>
      </c>
      <c r="C224" s="4">
        <f>Controle_Pedidos[[#This Row],[Data Compra]]</f>
        <v>45598</v>
      </c>
      <c r="D224" s="4">
        <v>45598</v>
      </c>
      <c r="E224" s="5" t="s">
        <v>15662</v>
      </c>
      <c r="F224" s="5" t="s">
        <v>17653</v>
      </c>
      <c r="G224" s="5" t="s">
        <v>829</v>
      </c>
      <c r="H224" s="5">
        <v>1</v>
      </c>
      <c r="I224" s="8" t="s">
        <v>7407</v>
      </c>
      <c r="J224" s="8" t="s">
        <v>9456</v>
      </c>
      <c r="K224" s="8" t="s">
        <v>1253</v>
      </c>
      <c r="L224" s="8" t="s">
        <v>11507</v>
      </c>
      <c r="M224" s="8" t="s">
        <v>3303</v>
      </c>
      <c r="N224" s="8" t="s">
        <v>5354</v>
      </c>
      <c r="O224" s="5" t="s">
        <v>40</v>
      </c>
      <c r="P224" s="4">
        <v>45622</v>
      </c>
      <c r="Q224" s="15">
        <v>16.5</v>
      </c>
      <c r="R224" s="15">
        <v>4.99</v>
      </c>
      <c r="S224" s="15">
        <v>0</v>
      </c>
      <c r="T224"/>
    </row>
    <row r="225" spans="1:20">
      <c r="A225" s="5" t="s">
        <v>36</v>
      </c>
      <c r="B225" s="5" t="s">
        <v>13562</v>
      </c>
      <c r="C225" s="4">
        <f>Controle_Pedidos[[#This Row],[Data Compra]]</f>
        <v>45598</v>
      </c>
      <c r="D225" s="4">
        <v>45598</v>
      </c>
      <c r="E225" s="5" t="s">
        <v>15663</v>
      </c>
      <c r="F225" s="5" t="s">
        <v>17654</v>
      </c>
      <c r="G225" s="5" t="s">
        <v>821</v>
      </c>
      <c r="H225" s="5">
        <v>1</v>
      </c>
      <c r="I225" s="8" t="s">
        <v>7408</v>
      </c>
      <c r="J225" s="8" t="s">
        <v>9457</v>
      </c>
      <c r="K225" s="8" t="s">
        <v>1254</v>
      </c>
      <c r="L225" s="8" t="s">
        <v>11508</v>
      </c>
      <c r="M225" s="8" t="s">
        <v>3304</v>
      </c>
      <c r="N225" s="8" t="s">
        <v>5355</v>
      </c>
      <c r="O225" s="5" t="s">
        <v>43</v>
      </c>
      <c r="P225" s="4">
        <v>45622</v>
      </c>
      <c r="Q225" s="15">
        <v>17.5</v>
      </c>
      <c r="R225" s="15">
        <v>10.49</v>
      </c>
      <c r="S225" s="15">
        <v>0</v>
      </c>
      <c r="T225"/>
    </row>
    <row r="226" spans="1:20">
      <c r="A226" s="5" t="s">
        <v>36</v>
      </c>
      <c r="B226" s="5" t="s">
        <v>13563</v>
      </c>
      <c r="C226" s="4">
        <f>Controle_Pedidos[[#This Row],[Data Compra]]</f>
        <v>45598</v>
      </c>
      <c r="D226" s="4">
        <v>45598</v>
      </c>
      <c r="E226" s="5" t="s">
        <v>15664</v>
      </c>
      <c r="F226" s="5" t="s">
        <v>17655</v>
      </c>
      <c r="G226" s="5" t="s">
        <v>848</v>
      </c>
      <c r="H226" s="5">
        <v>1</v>
      </c>
      <c r="I226" s="8" t="s">
        <v>7409</v>
      </c>
      <c r="J226" s="8" t="s">
        <v>9458</v>
      </c>
      <c r="K226" s="8" t="s">
        <v>1255</v>
      </c>
      <c r="L226" s="8" t="s">
        <v>11509</v>
      </c>
      <c r="M226" s="8" t="s">
        <v>3305</v>
      </c>
      <c r="N226" s="8" t="s">
        <v>5356</v>
      </c>
      <c r="O226" s="5" t="s">
        <v>62</v>
      </c>
      <c r="P226" s="4">
        <v>45626</v>
      </c>
      <c r="Q226" s="15">
        <v>48.5</v>
      </c>
      <c r="R226" s="15">
        <v>7.29</v>
      </c>
      <c r="S226" s="15">
        <v>0</v>
      </c>
      <c r="T226"/>
    </row>
    <row r="227" spans="1:20">
      <c r="A227" s="5" t="s">
        <v>36</v>
      </c>
      <c r="B227" s="5" t="s">
        <v>13564</v>
      </c>
      <c r="C227" s="4">
        <f>Controle_Pedidos[[#This Row],[Data Compra]]</f>
        <v>45600</v>
      </c>
      <c r="D227" s="4">
        <v>45600</v>
      </c>
      <c r="E227" s="5" t="s">
        <v>15665</v>
      </c>
      <c r="F227" s="5" t="s">
        <v>17656</v>
      </c>
      <c r="G227" s="5" t="s">
        <v>848</v>
      </c>
      <c r="H227" s="5">
        <v>1</v>
      </c>
      <c r="I227" s="8" t="s">
        <v>7410</v>
      </c>
      <c r="J227" s="8" t="s">
        <v>9459</v>
      </c>
      <c r="K227" s="8" t="s">
        <v>1256</v>
      </c>
      <c r="L227" s="8" t="s">
        <v>11510</v>
      </c>
      <c r="M227" s="8" t="s">
        <v>3306</v>
      </c>
      <c r="N227" s="8" t="s">
        <v>5357</v>
      </c>
      <c r="O227" s="5" t="s">
        <v>62</v>
      </c>
      <c r="P227" s="4">
        <v>45629</v>
      </c>
      <c r="Q227" s="15">
        <v>48.5</v>
      </c>
      <c r="R227" s="15">
        <v>7.31</v>
      </c>
      <c r="S227" s="15">
        <v>0</v>
      </c>
      <c r="T227"/>
    </row>
    <row r="228" spans="1:20">
      <c r="A228" s="5" t="s">
        <v>36</v>
      </c>
      <c r="B228" s="5" t="s">
        <v>13565</v>
      </c>
      <c r="C228" s="4">
        <f>Controle_Pedidos[[#This Row],[Data Compra]]</f>
        <v>45598</v>
      </c>
      <c r="D228" s="4">
        <v>45598</v>
      </c>
      <c r="E228" s="5" t="s">
        <v>15666</v>
      </c>
      <c r="F228" s="5" t="s">
        <v>17657</v>
      </c>
      <c r="G228" s="5" t="s">
        <v>829</v>
      </c>
      <c r="H228" s="5">
        <v>1</v>
      </c>
      <c r="I228" s="8" t="s">
        <v>7411</v>
      </c>
      <c r="J228" s="8" t="s">
        <v>9460</v>
      </c>
      <c r="K228" s="8" t="s">
        <v>1257</v>
      </c>
      <c r="L228" s="8" t="s">
        <v>11511</v>
      </c>
      <c r="M228" s="8" t="s">
        <v>3307</v>
      </c>
      <c r="N228" s="8" t="s">
        <v>5358</v>
      </c>
      <c r="O228" s="5" t="s">
        <v>40</v>
      </c>
      <c r="P228" s="4">
        <v>45622</v>
      </c>
      <c r="Q228" s="15">
        <v>16.5</v>
      </c>
      <c r="R228" s="15">
        <v>4.99</v>
      </c>
      <c r="S228" s="15">
        <v>0</v>
      </c>
      <c r="T228"/>
    </row>
    <row r="229" spans="1:20">
      <c r="A229" s="5" t="s">
        <v>36</v>
      </c>
      <c r="B229" s="5" t="s">
        <v>13566</v>
      </c>
      <c r="C229" s="4">
        <f>Controle_Pedidos[[#This Row],[Data Compra]]</f>
        <v>45598</v>
      </c>
      <c r="D229" s="4">
        <v>45598</v>
      </c>
      <c r="E229" s="5" t="s">
        <v>15667</v>
      </c>
      <c r="F229" s="5" t="s">
        <v>17658</v>
      </c>
      <c r="G229" s="5" t="s">
        <v>833</v>
      </c>
      <c r="H229" s="5">
        <v>1</v>
      </c>
      <c r="I229" s="8" t="s">
        <v>7412</v>
      </c>
      <c r="J229" s="8" t="s">
        <v>9461</v>
      </c>
      <c r="K229" s="8" t="s">
        <v>1258</v>
      </c>
      <c r="L229" s="8" t="s">
        <v>11512</v>
      </c>
      <c r="M229" s="8" t="s">
        <v>3308</v>
      </c>
      <c r="N229" s="8" t="s">
        <v>5359</v>
      </c>
      <c r="O229" s="5" t="s">
        <v>49</v>
      </c>
      <c r="P229" s="4">
        <v>45626</v>
      </c>
      <c r="Q229" s="15">
        <v>19.5</v>
      </c>
      <c r="R229" s="15">
        <v>6.62</v>
      </c>
      <c r="S229" s="15">
        <v>0</v>
      </c>
      <c r="T229"/>
    </row>
    <row r="230" spans="1:20">
      <c r="A230" s="5" t="s">
        <v>36</v>
      </c>
      <c r="B230" s="5" t="s">
        <v>13567</v>
      </c>
      <c r="C230" s="4">
        <f>Controle_Pedidos[[#This Row],[Data Compra]]</f>
        <v>45598</v>
      </c>
      <c r="D230" s="4">
        <v>45598</v>
      </c>
      <c r="E230" s="5" t="s">
        <v>15668</v>
      </c>
      <c r="F230" s="5" t="s">
        <v>17659</v>
      </c>
      <c r="G230" s="5" t="s">
        <v>829</v>
      </c>
      <c r="H230" s="5">
        <v>1</v>
      </c>
      <c r="I230" s="8" t="s">
        <v>7413</v>
      </c>
      <c r="J230" s="8" t="s">
        <v>9462</v>
      </c>
      <c r="K230" s="8" t="s">
        <v>1259</v>
      </c>
      <c r="L230" s="8" t="s">
        <v>11513</v>
      </c>
      <c r="M230" s="8" t="s">
        <v>3309</v>
      </c>
      <c r="N230" s="8" t="s">
        <v>5360</v>
      </c>
      <c r="O230" s="5" t="s">
        <v>40</v>
      </c>
      <c r="P230" s="4">
        <v>45622</v>
      </c>
      <c r="Q230" s="15">
        <v>16.5</v>
      </c>
      <c r="R230" s="15">
        <v>4.99</v>
      </c>
      <c r="S230" s="15">
        <v>0</v>
      </c>
      <c r="T230"/>
    </row>
    <row r="231" spans="1:20">
      <c r="A231" s="5" t="s">
        <v>36</v>
      </c>
      <c r="B231" s="5" t="s">
        <v>13568</v>
      </c>
      <c r="C231" s="4">
        <f>Controle_Pedidos[[#This Row],[Data Compra]]</f>
        <v>45598</v>
      </c>
      <c r="D231" s="4">
        <v>45598</v>
      </c>
      <c r="E231" s="5" t="s">
        <v>15669</v>
      </c>
      <c r="F231" s="5" t="s">
        <v>17660</v>
      </c>
      <c r="G231" s="5" t="s">
        <v>829</v>
      </c>
      <c r="H231" s="5">
        <v>1</v>
      </c>
      <c r="I231" s="8" t="s">
        <v>7414</v>
      </c>
      <c r="J231" s="8" t="s">
        <v>9463</v>
      </c>
      <c r="K231" s="8" t="s">
        <v>1260</v>
      </c>
      <c r="L231" s="8" t="s">
        <v>11514</v>
      </c>
      <c r="M231" s="8" t="s">
        <v>3310</v>
      </c>
      <c r="N231" s="8" t="s">
        <v>5361</v>
      </c>
      <c r="O231" s="5" t="s">
        <v>40</v>
      </c>
      <c r="P231" s="4">
        <v>45626</v>
      </c>
      <c r="Q231" s="15">
        <v>16.5</v>
      </c>
      <c r="R231" s="15">
        <v>4.99</v>
      </c>
      <c r="S231" s="15">
        <v>0</v>
      </c>
      <c r="T231"/>
    </row>
    <row r="232" spans="1:20">
      <c r="A232" s="5" t="s">
        <v>36</v>
      </c>
      <c r="B232" s="5" t="s">
        <v>13569</v>
      </c>
      <c r="C232" s="4">
        <f>Controle_Pedidos[[#This Row],[Data Compra]]</f>
        <v>45598</v>
      </c>
      <c r="D232" s="4">
        <v>45598</v>
      </c>
      <c r="E232" s="5" t="s">
        <v>15670</v>
      </c>
      <c r="F232" s="5" t="s">
        <v>17661</v>
      </c>
      <c r="G232" s="5" t="s">
        <v>829</v>
      </c>
      <c r="H232" s="5">
        <v>1</v>
      </c>
      <c r="I232" s="8" t="s">
        <v>7415</v>
      </c>
      <c r="J232" s="8" t="s">
        <v>9464</v>
      </c>
      <c r="K232" s="8" t="s">
        <v>1261</v>
      </c>
      <c r="L232" s="8" t="s">
        <v>11515</v>
      </c>
      <c r="M232" s="8" t="s">
        <v>3311</v>
      </c>
      <c r="N232" s="8" t="s">
        <v>5362</v>
      </c>
      <c r="O232" s="5" t="s">
        <v>40</v>
      </c>
      <c r="P232" s="4">
        <v>45615</v>
      </c>
      <c r="Q232" s="15">
        <v>16.5</v>
      </c>
      <c r="R232" s="15">
        <v>4.99</v>
      </c>
      <c r="S232" s="15">
        <v>0</v>
      </c>
      <c r="T232"/>
    </row>
    <row r="233" spans="1:20">
      <c r="A233" s="5" t="s">
        <v>36</v>
      </c>
      <c r="B233" s="5" t="s">
        <v>13570</v>
      </c>
      <c r="C233" s="4">
        <f>Controle_Pedidos[[#This Row],[Data Compra]]</f>
        <v>45598</v>
      </c>
      <c r="D233" s="4">
        <v>45598</v>
      </c>
      <c r="E233" s="5" t="s">
        <v>15671</v>
      </c>
      <c r="F233" s="5" t="s">
        <v>17662</v>
      </c>
      <c r="G233" s="5" t="s">
        <v>829</v>
      </c>
      <c r="H233" s="5">
        <v>1</v>
      </c>
      <c r="I233" s="8" t="s">
        <v>7416</v>
      </c>
      <c r="J233" s="8" t="s">
        <v>9465</v>
      </c>
      <c r="K233" s="8" t="s">
        <v>1262</v>
      </c>
      <c r="L233" s="8" t="s">
        <v>11516</v>
      </c>
      <c r="M233" s="8" t="s">
        <v>3312</v>
      </c>
      <c r="N233" s="8" t="s">
        <v>5363</v>
      </c>
      <c r="O233" s="5" t="s">
        <v>40</v>
      </c>
      <c r="P233" s="4">
        <v>45615</v>
      </c>
      <c r="Q233" s="15">
        <v>16.5</v>
      </c>
      <c r="R233" s="15">
        <v>4.99</v>
      </c>
      <c r="S233" s="15">
        <v>0</v>
      </c>
      <c r="T233"/>
    </row>
    <row r="234" spans="1:20">
      <c r="A234" s="5" t="s">
        <v>36</v>
      </c>
      <c r="B234" s="5" t="s">
        <v>13571</v>
      </c>
      <c r="C234" s="4">
        <f>Controle_Pedidos[[#This Row],[Data Compra]]</f>
        <v>45598</v>
      </c>
      <c r="D234" s="4">
        <v>45598</v>
      </c>
      <c r="E234" s="5" t="s">
        <v>15672</v>
      </c>
      <c r="F234" s="5" t="s">
        <v>17663</v>
      </c>
      <c r="G234" s="5" t="s">
        <v>829</v>
      </c>
      <c r="H234" s="5">
        <v>1</v>
      </c>
      <c r="I234" s="8" t="s">
        <v>7417</v>
      </c>
      <c r="J234" s="8" t="s">
        <v>9466</v>
      </c>
      <c r="K234" s="8" t="s">
        <v>1263</v>
      </c>
      <c r="L234" s="8" t="s">
        <v>11517</v>
      </c>
      <c r="M234" s="8" t="s">
        <v>3313</v>
      </c>
      <c r="N234" s="8" t="s">
        <v>5364</v>
      </c>
      <c r="O234" s="5" t="s">
        <v>40</v>
      </c>
      <c r="P234" s="4">
        <v>45622</v>
      </c>
      <c r="Q234" s="15">
        <v>16.5</v>
      </c>
      <c r="R234" s="15">
        <v>4.99</v>
      </c>
      <c r="S234" s="15">
        <v>0</v>
      </c>
      <c r="T234"/>
    </row>
    <row r="235" spans="1:20">
      <c r="A235" s="5" t="s">
        <v>36</v>
      </c>
      <c r="B235" s="5" t="s">
        <v>13572</v>
      </c>
      <c r="C235" s="4">
        <f>Controle_Pedidos[[#This Row],[Data Compra]]</f>
        <v>45598</v>
      </c>
      <c r="D235" s="4">
        <v>45598</v>
      </c>
      <c r="E235" s="5" t="s">
        <v>15673</v>
      </c>
      <c r="F235" s="5" t="s">
        <v>17664</v>
      </c>
      <c r="G235" s="5" t="s">
        <v>848</v>
      </c>
      <c r="H235" s="5">
        <v>1</v>
      </c>
      <c r="I235" s="8" t="s">
        <v>7418</v>
      </c>
      <c r="J235" s="8" t="s">
        <v>9467</v>
      </c>
      <c r="K235" s="8" t="s">
        <v>1264</v>
      </c>
      <c r="L235" s="8" t="s">
        <v>11518</v>
      </c>
      <c r="M235" s="8" t="s">
        <v>3314</v>
      </c>
      <c r="N235" s="8" t="s">
        <v>5365</v>
      </c>
      <c r="O235" s="5" t="s">
        <v>62</v>
      </c>
      <c r="P235" s="4">
        <v>45626</v>
      </c>
      <c r="Q235" s="15">
        <v>48.5</v>
      </c>
      <c r="R235" s="15">
        <v>7.29</v>
      </c>
      <c r="S235" s="15">
        <v>0</v>
      </c>
      <c r="T235"/>
    </row>
    <row r="236" spans="1:20">
      <c r="A236" s="5" t="s">
        <v>36</v>
      </c>
      <c r="B236" s="5" t="s">
        <v>13573</v>
      </c>
      <c r="C236" s="4">
        <f>Controle_Pedidos[[#This Row],[Data Compra]]</f>
        <v>45598</v>
      </c>
      <c r="D236" s="4">
        <v>45598</v>
      </c>
      <c r="E236" s="5" t="s">
        <v>15674</v>
      </c>
      <c r="F236" s="5" t="s">
        <v>17665</v>
      </c>
      <c r="G236" s="5" t="s">
        <v>829</v>
      </c>
      <c r="H236" s="5">
        <v>1</v>
      </c>
      <c r="I236" s="8" t="s">
        <v>7419</v>
      </c>
      <c r="J236" s="8" t="s">
        <v>9468</v>
      </c>
      <c r="K236" s="8" t="s">
        <v>1265</v>
      </c>
      <c r="L236" s="8" t="s">
        <v>11519</v>
      </c>
      <c r="M236" s="8" t="s">
        <v>3315</v>
      </c>
      <c r="N236" s="8" t="s">
        <v>5366</v>
      </c>
      <c r="O236" s="5" t="s">
        <v>40</v>
      </c>
      <c r="P236" s="4">
        <v>45626</v>
      </c>
      <c r="Q236" s="15">
        <v>16.5</v>
      </c>
      <c r="R236" s="15">
        <v>4.99</v>
      </c>
      <c r="S236" s="15">
        <v>0</v>
      </c>
      <c r="T236"/>
    </row>
    <row r="237" spans="1:20">
      <c r="A237" s="5" t="s">
        <v>36</v>
      </c>
      <c r="B237" s="5" t="s">
        <v>13574</v>
      </c>
      <c r="C237" s="4">
        <f>Controle_Pedidos[[#This Row],[Data Compra]]</f>
        <v>45599</v>
      </c>
      <c r="D237" s="4">
        <v>45599</v>
      </c>
      <c r="E237" s="5" t="s">
        <v>15675</v>
      </c>
      <c r="F237" s="5" t="s">
        <v>17666</v>
      </c>
      <c r="G237" s="5" t="s">
        <v>817</v>
      </c>
      <c r="H237" s="5">
        <v>1</v>
      </c>
      <c r="I237" s="8" t="s">
        <v>7420</v>
      </c>
      <c r="J237" s="8" t="s">
        <v>9469</v>
      </c>
      <c r="K237" s="8" t="s">
        <v>1266</v>
      </c>
      <c r="L237" s="8" t="s">
        <v>11520</v>
      </c>
      <c r="M237" s="8" t="s">
        <v>3316</v>
      </c>
      <c r="N237" s="8" t="s">
        <v>5367</v>
      </c>
      <c r="O237" s="5" t="s">
        <v>39</v>
      </c>
      <c r="P237" s="4">
        <v>45622</v>
      </c>
      <c r="Q237" s="15">
        <v>30.99</v>
      </c>
      <c r="R237" s="15">
        <v>11.99</v>
      </c>
      <c r="S237" s="15">
        <v>0</v>
      </c>
      <c r="T237"/>
    </row>
    <row r="238" spans="1:20">
      <c r="A238" s="5" t="s">
        <v>36</v>
      </c>
      <c r="B238" s="5" t="s">
        <v>13575</v>
      </c>
      <c r="C238" s="4">
        <f>Controle_Pedidos[[#This Row],[Data Compra]]</f>
        <v>45598</v>
      </c>
      <c r="D238" s="4">
        <v>45598</v>
      </c>
      <c r="E238" s="5" t="s">
        <v>15676</v>
      </c>
      <c r="F238" s="5" t="s">
        <v>17667</v>
      </c>
      <c r="G238" s="5" t="s">
        <v>817</v>
      </c>
      <c r="H238" s="5">
        <v>1</v>
      </c>
      <c r="I238" s="8" t="s">
        <v>7421</v>
      </c>
      <c r="J238" s="8" t="s">
        <v>9470</v>
      </c>
      <c r="K238" s="8" t="s">
        <v>1267</v>
      </c>
      <c r="L238" s="8" t="s">
        <v>11521</v>
      </c>
      <c r="M238" s="8" t="s">
        <v>3317</v>
      </c>
      <c r="N238" s="8" t="s">
        <v>5368</v>
      </c>
      <c r="O238" s="5" t="s">
        <v>39</v>
      </c>
      <c r="P238" s="4">
        <v>45626</v>
      </c>
      <c r="Q238" s="15">
        <v>30.99</v>
      </c>
      <c r="R238" s="15">
        <v>11.99</v>
      </c>
      <c r="S238" s="15">
        <v>0</v>
      </c>
      <c r="T238"/>
    </row>
    <row r="239" spans="1:20">
      <c r="A239" s="5" t="s">
        <v>36</v>
      </c>
      <c r="B239" s="5" t="s">
        <v>13576</v>
      </c>
      <c r="C239" s="4">
        <f>Controle_Pedidos[[#This Row],[Data Compra]]</f>
        <v>45598</v>
      </c>
      <c r="D239" s="4">
        <v>45598</v>
      </c>
      <c r="E239" s="5" t="s">
        <v>15677</v>
      </c>
      <c r="F239" s="5" t="s">
        <v>17668</v>
      </c>
      <c r="G239" s="5" t="s">
        <v>848</v>
      </c>
      <c r="H239" s="5">
        <v>1</v>
      </c>
      <c r="I239" s="8" t="s">
        <v>7422</v>
      </c>
      <c r="J239" s="8" t="s">
        <v>9471</v>
      </c>
      <c r="K239" s="8" t="s">
        <v>1268</v>
      </c>
      <c r="L239" s="8" t="s">
        <v>11522</v>
      </c>
      <c r="M239" s="8" t="s">
        <v>3318</v>
      </c>
      <c r="N239" s="8" t="s">
        <v>5369</v>
      </c>
      <c r="O239" s="5" t="s">
        <v>62</v>
      </c>
      <c r="P239" s="4">
        <v>45622</v>
      </c>
      <c r="Q239" s="15">
        <v>48.5</v>
      </c>
      <c r="R239" s="15">
        <v>7.29</v>
      </c>
      <c r="S239" s="15">
        <v>0</v>
      </c>
      <c r="T239"/>
    </row>
    <row r="240" spans="1:20">
      <c r="A240" s="5" t="s">
        <v>36</v>
      </c>
      <c r="B240" s="5" t="s">
        <v>13577</v>
      </c>
      <c r="C240" s="4">
        <f>Controle_Pedidos[[#This Row],[Data Compra]]</f>
        <v>45599</v>
      </c>
      <c r="D240" s="4">
        <v>45599</v>
      </c>
      <c r="E240" s="5" t="s">
        <v>15678</v>
      </c>
      <c r="F240" s="5" t="s">
        <v>17669</v>
      </c>
      <c r="G240" s="5" t="s">
        <v>826</v>
      </c>
      <c r="H240" s="5">
        <v>1</v>
      </c>
      <c r="I240" s="8" t="s">
        <v>7423</v>
      </c>
      <c r="J240" s="8" t="s">
        <v>9472</v>
      </c>
      <c r="K240" s="8" t="s">
        <v>1269</v>
      </c>
      <c r="L240" s="8" t="s">
        <v>11523</v>
      </c>
      <c r="M240" s="8" t="s">
        <v>3319</v>
      </c>
      <c r="N240" s="8" t="s">
        <v>5370</v>
      </c>
      <c r="O240" s="5" t="s">
        <v>42</v>
      </c>
      <c r="P240" s="4">
        <v>45622</v>
      </c>
      <c r="Q240" s="15">
        <v>15.5</v>
      </c>
      <c r="R240" s="15">
        <v>7.29</v>
      </c>
      <c r="S240" s="15">
        <v>0</v>
      </c>
      <c r="T240"/>
    </row>
    <row r="241" spans="1:20">
      <c r="A241" s="5" t="s">
        <v>36</v>
      </c>
      <c r="B241" s="5" t="s">
        <v>13578</v>
      </c>
      <c r="C241" s="4">
        <f>Controle_Pedidos[[#This Row],[Data Compra]]</f>
        <v>45600</v>
      </c>
      <c r="D241" s="4">
        <v>45600</v>
      </c>
      <c r="E241" s="5" t="s">
        <v>15679</v>
      </c>
      <c r="F241" s="5" t="s">
        <v>17670</v>
      </c>
      <c r="G241" s="5" t="s">
        <v>829</v>
      </c>
      <c r="H241" s="5">
        <v>1</v>
      </c>
      <c r="I241" s="8" t="s">
        <v>7424</v>
      </c>
      <c r="J241" s="8" t="s">
        <v>9473</v>
      </c>
      <c r="K241" s="8" t="s">
        <v>1270</v>
      </c>
      <c r="L241" s="8" t="s">
        <v>11524</v>
      </c>
      <c r="M241" s="8" t="s">
        <v>3320</v>
      </c>
      <c r="N241" s="8" t="s">
        <v>5371</v>
      </c>
      <c r="O241" s="5" t="s">
        <v>40</v>
      </c>
      <c r="P241" s="4">
        <v>45623</v>
      </c>
      <c r="Q241" s="15">
        <v>16.5</v>
      </c>
      <c r="R241" s="15">
        <v>4.99</v>
      </c>
      <c r="S241" s="15">
        <v>0</v>
      </c>
      <c r="T241"/>
    </row>
    <row r="242" spans="1:20">
      <c r="A242" s="5" t="s">
        <v>36</v>
      </c>
      <c r="B242" s="5" t="s">
        <v>13579</v>
      </c>
      <c r="C242" s="4">
        <f>Controle_Pedidos[[#This Row],[Data Compra]]</f>
        <v>45599</v>
      </c>
      <c r="D242" s="4">
        <v>45599</v>
      </c>
      <c r="E242" s="5" t="s">
        <v>15680</v>
      </c>
      <c r="F242" s="5" t="s">
        <v>17671</v>
      </c>
      <c r="G242" s="5" t="s">
        <v>829</v>
      </c>
      <c r="H242" s="5">
        <v>1</v>
      </c>
      <c r="I242" s="8" t="s">
        <v>7425</v>
      </c>
      <c r="J242" s="8" t="s">
        <v>9474</v>
      </c>
      <c r="K242" s="8" t="s">
        <v>1271</v>
      </c>
      <c r="L242" s="8" t="s">
        <v>11525</v>
      </c>
      <c r="M242" s="8" t="s">
        <v>3321</v>
      </c>
      <c r="N242" s="8" t="s">
        <v>5372</v>
      </c>
      <c r="O242" s="5" t="s">
        <v>40</v>
      </c>
      <c r="P242" s="4">
        <v>45618</v>
      </c>
      <c r="Q242" s="15">
        <v>16.5</v>
      </c>
      <c r="R242" s="15">
        <v>4.99</v>
      </c>
      <c r="S242" s="15">
        <v>0</v>
      </c>
      <c r="T242"/>
    </row>
    <row r="243" spans="1:20">
      <c r="A243" s="5" t="s">
        <v>36</v>
      </c>
      <c r="B243" s="5" t="s">
        <v>13580</v>
      </c>
      <c r="C243" s="4">
        <f>Controle_Pedidos[[#This Row],[Data Compra]]</f>
        <v>45599</v>
      </c>
      <c r="D243" s="4">
        <v>45599</v>
      </c>
      <c r="E243" s="5" t="s">
        <v>15681</v>
      </c>
      <c r="F243" s="5" t="s">
        <v>17672</v>
      </c>
      <c r="G243" s="5" t="s">
        <v>824</v>
      </c>
      <c r="H243" s="5">
        <v>1</v>
      </c>
      <c r="I243" s="8" t="s">
        <v>7426</v>
      </c>
      <c r="J243" s="8" t="s">
        <v>9475</v>
      </c>
      <c r="K243" s="8" t="s">
        <v>1272</v>
      </c>
      <c r="L243" s="8" t="s">
        <v>11526</v>
      </c>
      <c r="M243" s="8" t="s">
        <v>3322</v>
      </c>
      <c r="N243" s="8" t="s">
        <v>5373</v>
      </c>
      <c r="O243" s="5" t="s">
        <v>38</v>
      </c>
      <c r="P243" s="4">
        <v>45633</v>
      </c>
      <c r="Q243" s="15">
        <v>15.5</v>
      </c>
      <c r="R243" s="15">
        <v>7.29</v>
      </c>
      <c r="S243" s="15">
        <v>0</v>
      </c>
      <c r="T243"/>
    </row>
    <row r="244" spans="1:20">
      <c r="A244" s="5" t="s">
        <v>36</v>
      </c>
      <c r="B244" s="5" t="s">
        <v>13581</v>
      </c>
      <c r="C244" s="4">
        <f>Controle_Pedidos[[#This Row],[Data Compra]]</f>
        <v>45599</v>
      </c>
      <c r="D244" s="4">
        <v>45599</v>
      </c>
      <c r="E244" s="5" t="s">
        <v>15682</v>
      </c>
      <c r="F244" s="5" t="s">
        <v>17673</v>
      </c>
      <c r="G244" s="5" t="s">
        <v>829</v>
      </c>
      <c r="H244" s="5">
        <v>1</v>
      </c>
      <c r="I244" s="8" t="s">
        <v>7427</v>
      </c>
      <c r="J244" s="8" t="s">
        <v>9476</v>
      </c>
      <c r="K244" s="8" t="s">
        <v>1273</v>
      </c>
      <c r="L244" s="8" t="s">
        <v>11527</v>
      </c>
      <c r="M244" s="8" t="s">
        <v>3323</v>
      </c>
      <c r="N244" s="8" t="s">
        <v>5374</v>
      </c>
      <c r="O244" s="5" t="s">
        <v>40</v>
      </c>
      <c r="P244" s="4">
        <v>45626</v>
      </c>
      <c r="Q244" s="15">
        <v>16.5</v>
      </c>
      <c r="R244" s="15">
        <v>4.99</v>
      </c>
      <c r="S244" s="15">
        <v>0</v>
      </c>
      <c r="T244"/>
    </row>
    <row r="245" spans="1:20">
      <c r="A245" s="5" t="s">
        <v>36</v>
      </c>
      <c r="B245" s="5" t="s">
        <v>13582</v>
      </c>
      <c r="C245" s="4">
        <f>Controle_Pedidos[[#This Row],[Data Compra]]</f>
        <v>45599</v>
      </c>
      <c r="D245" s="4">
        <v>45599</v>
      </c>
      <c r="E245" s="5" t="s">
        <v>15683</v>
      </c>
      <c r="F245" s="5" t="s">
        <v>17674</v>
      </c>
      <c r="G245" s="5" t="s">
        <v>824</v>
      </c>
      <c r="H245" s="5">
        <v>1</v>
      </c>
      <c r="I245" s="8" t="s">
        <v>7428</v>
      </c>
      <c r="J245" s="8" t="s">
        <v>9477</v>
      </c>
      <c r="K245" s="8" t="s">
        <v>1274</v>
      </c>
      <c r="L245" s="8" t="s">
        <v>11528</v>
      </c>
      <c r="M245" s="8" t="s">
        <v>3324</v>
      </c>
      <c r="N245" s="8" t="s">
        <v>5375</v>
      </c>
      <c r="O245" s="5" t="s">
        <v>38</v>
      </c>
      <c r="P245" s="4">
        <v>45626</v>
      </c>
      <c r="Q245" s="15">
        <v>15.5</v>
      </c>
      <c r="R245" s="15">
        <v>7.29</v>
      </c>
      <c r="S245" s="15">
        <v>0</v>
      </c>
      <c r="T245"/>
    </row>
    <row r="246" spans="1:20">
      <c r="A246" s="5" t="s">
        <v>36</v>
      </c>
      <c r="B246" s="5" t="s">
        <v>13583</v>
      </c>
      <c r="C246" s="4">
        <f>Controle_Pedidos[[#This Row],[Data Compra]]</f>
        <v>45599</v>
      </c>
      <c r="D246" s="4">
        <v>45599</v>
      </c>
      <c r="E246" s="5" t="s">
        <v>15684</v>
      </c>
      <c r="F246" s="5" t="s">
        <v>17675</v>
      </c>
      <c r="G246" s="5" t="s">
        <v>829</v>
      </c>
      <c r="H246" s="5">
        <v>1</v>
      </c>
      <c r="I246" s="8" t="s">
        <v>7429</v>
      </c>
      <c r="J246" s="8" t="s">
        <v>9478</v>
      </c>
      <c r="K246" s="8" t="s">
        <v>1275</v>
      </c>
      <c r="L246" s="8" t="s">
        <v>11529</v>
      </c>
      <c r="M246" s="8" t="s">
        <v>3325</v>
      </c>
      <c r="N246" s="8" t="s">
        <v>5376</v>
      </c>
      <c r="O246" s="5" t="s">
        <v>40</v>
      </c>
      <c r="P246" s="4">
        <v>45615</v>
      </c>
      <c r="Q246" s="15">
        <v>16.5</v>
      </c>
      <c r="R246" s="15">
        <v>4.99</v>
      </c>
      <c r="S246" s="15">
        <v>0</v>
      </c>
      <c r="T246"/>
    </row>
    <row r="247" spans="1:20">
      <c r="A247" s="5" t="s">
        <v>36</v>
      </c>
      <c r="B247" s="5" t="s">
        <v>13584</v>
      </c>
      <c r="C247" s="4">
        <f>Controle_Pedidos[[#This Row],[Data Compra]]</f>
        <v>45599</v>
      </c>
      <c r="D247" s="4">
        <v>45599</v>
      </c>
      <c r="E247" s="5" t="s">
        <v>15685</v>
      </c>
      <c r="F247" s="5" t="s">
        <v>17676</v>
      </c>
      <c r="G247" s="5" t="s">
        <v>829</v>
      </c>
      <c r="H247" s="5">
        <v>1</v>
      </c>
      <c r="I247" s="8" t="s">
        <v>7430</v>
      </c>
      <c r="J247" s="8" t="s">
        <v>9479</v>
      </c>
      <c r="K247" s="8" t="s">
        <v>1276</v>
      </c>
      <c r="L247" s="8" t="s">
        <v>11530</v>
      </c>
      <c r="M247" s="8" t="s">
        <v>3326</v>
      </c>
      <c r="N247" s="8" t="s">
        <v>5377</v>
      </c>
      <c r="O247" s="5" t="s">
        <v>40</v>
      </c>
      <c r="P247" s="4">
        <v>45618</v>
      </c>
      <c r="Q247" s="15">
        <v>16.5</v>
      </c>
      <c r="R247" s="15">
        <v>4.99</v>
      </c>
      <c r="S247" s="15">
        <v>0</v>
      </c>
      <c r="T247"/>
    </row>
    <row r="248" spans="1:20">
      <c r="A248" s="5" t="s">
        <v>36</v>
      </c>
      <c r="B248" s="5" t="s">
        <v>13585</v>
      </c>
      <c r="C248" s="4">
        <f>Controle_Pedidos[[#This Row],[Data Compra]]</f>
        <v>45599</v>
      </c>
      <c r="D248" s="4">
        <v>45599</v>
      </c>
      <c r="E248" s="5" t="s">
        <v>15686</v>
      </c>
      <c r="F248" s="5" t="s">
        <v>17677</v>
      </c>
      <c r="G248" s="5" t="s">
        <v>829</v>
      </c>
      <c r="H248" s="5">
        <v>1</v>
      </c>
      <c r="I248" s="8" t="s">
        <v>7431</v>
      </c>
      <c r="J248" s="8" t="s">
        <v>9480</v>
      </c>
      <c r="K248" s="8" t="s">
        <v>1277</v>
      </c>
      <c r="L248" s="8" t="s">
        <v>11531</v>
      </c>
      <c r="M248" s="8" t="s">
        <v>3327</v>
      </c>
      <c r="N248" s="8" t="s">
        <v>5378</v>
      </c>
      <c r="O248" s="5" t="s">
        <v>40</v>
      </c>
      <c r="P248" s="4">
        <v>45622</v>
      </c>
      <c r="Q248" s="15">
        <v>16.5</v>
      </c>
      <c r="R248" s="15">
        <v>4.99</v>
      </c>
      <c r="S248" s="15">
        <v>0</v>
      </c>
      <c r="T248"/>
    </row>
    <row r="249" spans="1:20">
      <c r="A249" s="5" t="s">
        <v>36</v>
      </c>
      <c r="B249" s="5" t="s">
        <v>13586</v>
      </c>
      <c r="C249" s="4">
        <f>Controle_Pedidos[[#This Row],[Data Compra]]</f>
        <v>45601</v>
      </c>
      <c r="D249" s="4">
        <v>45601</v>
      </c>
      <c r="E249" s="5" t="s">
        <v>15687</v>
      </c>
      <c r="F249" s="5" t="s">
        <v>17678</v>
      </c>
      <c r="G249" s="5" t="s">
        <v>829</v>
      </c>
      <c r="H249" s="5">
        <v>1</v>
      </c>
      <c r="I249" s="8" t="s">
        <v>7431</v>
      </c>
      <c r="J249" s="8" t="s">
        <v>9480</v>
      </c>
      <c r="K249" s="8" t="s">
        <v>1277</v>
      </c>
      <c r="L249" s="8" t="s">
        <v>11531</v>
      </c>
      <c r="M249" s="8" t="s">
        <v>3327</v>
      </c>
      <c r="N249" s="8" t="s">
        <v>5378</v>
      </c>
      <c r="O249" s="5" t="s">
        <v>40</v>
      </c>
      <c r="P249" s="4">
        <v>45622</v>
      </c>
      <c r="Q249" s="15">
        <v>16.5</v>
      </c>
      <c r="R249" s="15">
        <v>4.99</v>
      </c>
      <c r="S249" s="15">
        <v>0</v>
      </c>
      <c r="T249"/>
    </row>
    <row r="250" spans="1:20">
      <c r="A250" s="5" t="s">
        <v>36</v>
      </c>
      <c r="B250" s="5" t="s">
        <v>13587</v>
      </c>
      <c r="C250" s="4">
        <f>Controle_Pedidos[[#This Row],[Data Compra]]</f>
        <v>45599</v>
      </c>
      <c r="D250" s="4">
        <v>45599</v>
      </c>
      <c r="E250" s="5" t="s">
        <v>15688</v>
      </c>
      <c r="F250" s="5" t="s">
        <v>17679</v>
      </c>
      <c r="G250" s="5" t="s">
        <v>826</v>
      </c>
      <c r="H250" s="5">
        <v>1</v>
      </c>
      <c r="I250" s="8" t="s">
        <v>7432</v>
      </c>
      <c r="J250" s="8" t="s">
        <v>9481</v>
      </c>
      <c r="K250" s="8" t="s">
        <v>1278</v>
      </c>
      <c r="L250" s="8" t="s">
        <v>11532</v>
      </c>
      <c r="M250" s="8" t="s">
        <v>3328</v>
      </c>
      <c r="N250" s="8" t="s">
        <v>5379</v>
      </c>
      <c r="O250" s="5" t="s">
        <v>42</v>
      </c>
      <c r="P250" s="4">
        <v>45626</v>
      </c>
      <c r="Q250" s="15">
        <v>18.5</v>
      </c>
      <c r="R250" s="15">
        <v>7.29</v>
      </c>
      <c r="S250" s="15">
        <v>0</v>
      </c>
      <c r="T250"/>
    </row>
    <row r="251" spans="1:20">
      <c r="A251" s="5" t="s">
        <v>36</v>
      </c>
      <c r="B251" s="5" t="s">
        <v>13588</v>
      </c>
      <c r="C251" s="4">
        <f>Controle_Pedidos[[#This Row],[Data Compra]]</f>
        <v>45599</v>
      </c>
      <c r="D251" s="4">
        <v>45599</v>
      </c>
      <c r="E251" s="5" t="s">
        <v>15689</v>
      </c>
      <c r="F251" s="5" t="s">
        <v>17680</v>
      </c>
      <c r="G251" s="5" t="s">
        <v>848</v>
      </c>
      <c r="H251" s="5">
        <v>1</v>
      </c>
      <c r="I251" s="8" t="s">
        <v>7433</v>
      </c>
      <c r="J251" s="8" t="s">
        <v>9482</v>
      </c>
      <c r="K251" s="8" t="s">
        <v>1279</v>
      </c>
      <c r="L251" s="8" t="s">
        <v>11533</v>
      </c>
      <c r="M251" s="8" t="s">
        <v>3329</v>
      </c>
      <c r="N251" s="8" t="s">
        <v>5380</v>
      </c>
      <c r="O251" s="5" t="s">
        <v>62</v>
      </c>
      <c r="P251" s="4">
        <v>45626</v>
      </c>
      <c r="Q251" s="15">
        <v>54.5</v>
      </c>
      <c r="R251" s="15">
        <v>7.29</v>
      </c>
      <c r="S251" s="15">
        <v>0</v>
      </c>
      <c r="T251"/>
    </row>
    <row r="252" spans="1:20">
      <c r="A252" s="5" t="s">
        <v>36</v>
      </c>
      <c r="B252" s="5" t="s">
        <v>13589</v>
      </c>
      <c r="C252" s="4">
        <f>Controle_Pedidos[[#This Row],[Data Compra]]</f>
        <v>45599</v>
      </c>
      <c r="D252" s="4">
        <v>45599</v>
      </c>
      <c r="E252" s="5" t="s">
        <v>15690</v>
      </c>
      <c r="F252" s="5" t="s">
        <v>17681</v>
      </c>
      <c r="G252" s="5" t="s">
        <v>848</v>
      </c>
      <c r="H252" s="5">
        <v>1</v>
      </c>
      <c r="I252" s="8" t="s">
        <v>7434</v>
      </c>
      <c r="J252" s="8" t="s">
        <v>9483</v>
      </c>
      <c r="K252" s="8" t="s">
        <v>1280</v>
      </c>
      <c r="L252" s="8" t="s">
        <v>11534</v>
      </c>
      <c r="M252" s="8" t="s">
        <v>3330</v>
      </c>
      <c r="N252" s="8" t="s">
        <v>5381</v>
      </c>
      <c r="O252" s="5" t="s">
        <v>62</v>
      </c>
      <c r="P252" s="4">
        <v>45626</v>
      </c>
      <c r="Q252" s="15">
        <v>54.5</v>
      </c>
      <c r="R252" s="15">
        <v>7.29</v>
      </c>
      <c r="S252" s="15">
        <v>0</v>
      </c>
      <c r="T252"/>
    </row>
    <row r="253" spans="1:20">
      <c r="A253" s="5" t="s">
        <v>36</v>
      </c>
      <c r="B253" s="5" t="s">
        <v>13590</v>
      </c>
      <c r="C253" s="4">
        <f>Controle_Pedidos[[#This Row],[Data Compra]]</f>
        <v>45599</v>
      </c>
      <c r="D253" s="4">
        <v>45599</v>
      </c>
      <c r="E253" s="5" t="s">
        <v>15691</v>
      </c>
      <c r="F253" s="5" t="s">
        <v>17682</v>
      </c>
      <c r="G253" s="5" t="s">
        <v>849</v>
      </c>
      <c r="H253" s="5">
        <v>1</v>
      </c>
      <c r="I253" s="8" t="s">
        <v>7435</v>
      </c>
      <c r="J253" s="8" t="s">
        <v>9484</v>
      </c>
      <c r="K253" s="8" t="s">
        <v>1281</v>
      </c>
      <c r="L253" s="8" t="s">
        <v>11535</v>
      </c>
      <c r="M253" s="8" t="s">
        <v>3331</v>
      </c>
      <c r="N253" s="8" t="s">
        <v>5382</v>
      </c>
      <c r="O253" s="5" t="s">
        <v>61</v>
      </c>
      <c r="P253" s="4">
        <v>45626</v>
      </c>
      <c r="Q253" s="15">
        <v>65.33</v>
      </c>
      <c r="R253" s="15">
        <v>7.29</v>
      </c>
      <c r="S253" s="15">
        <v>0</v>
      </c>
      <c r="T253"/>
    </row>
    <row r="254" spans="1:20">
      <c r="A254" s="5" t="s">
        <v>36</v>
      </c>
      <c r="B254" s="5" t="s">
        <v>13591</v>
      </c>
      <c r="C254" s="4">
        <f>Controle_Pedidos[[#This Row],[Data Compra]]</f>
        <v>45599</v>
      </c>
      <c r="D254" s="4">
        <v>45599</v>
      </c>
      <c r="E254" s="5" t="s">
        <v>15692</v>
      </c>
      <c r="F254" s="5" t="s">
        <v>17683</v>
      </c>
      <c r="G254" s="5" t="s">
        <v>829</v>
      </c>
      <c r="H254" s="5">
        <v>1</v>
      </c>
      <c r="I254" s="8" t="s">
        <v>7436</v>
      </c>
      <c r="J254" s="8" t="s">
        <v>9485</v>
      </c>
      <c r="K254" s="8" t="s">
        <v>1282</v>
      </c>
      <c r="L254" s="8" t="s">
        <v>11536</v>
      </c>
      <c r="M254" s="8" t="s">
        <v>3332</v>
      </c>
      <c r="N254" s="8" t="s">
        <v>5383</v>
      </c>
      <c r="O254" s="5" t="s">
        <v>40</v>
      </c>
      <c r="P254" s="4">
        <v>45618</v>
      </c>
      <c r="Q254" s="15">
        <v>16.5</v>
      </c>
      <c r="R254" s="15">
        <v>4.99</v>
      </c>
      <c r="S254" s="15">
        <v>0</v>
      </c>
      <c r="T254"/>
    </row>
    <row r="255" spans="1:20">
      <c r="A255" s="5" t="s">
        <v>36</v>
      </c>
      <c r="B255" s="5" t="s">
        <v>13592</v>
      </c>
      <c r="C255" s="4">
        <f>Controle_Pedidos[[#This Row],[Data Compra]]</f>
        <v>45599</v>
      </c>
      <c r="D255" s="4">
        <v>45599</v>
      </c>
      <c r="E255" s="5" t="s">
        <v>15693</v>
      </c>
      <c r="F255" s="5" t="s">
        <v>17684</v>
      </c>
      <c r="G255" s="5" t="s">
        <v>849</v>
      </c>
      <c r="H255" s="5">
        <v>1</v>
      </c>
      <c r="I255" s="8" t="s">
        <v>7437</v>
      </c>
      <c r="J255" s="8" t="s">
        <v>9486</v>
      </c>
      <c r="K255" s="8" t="s">
        <v>1283</v>
      </c>
      <c r="L255" s="8" t="s">
        <v>11537</v>
      </c>
      <c r="M255" s="8" t="s">
        <v>3333</v>
      </c>
      <c r="N255" s="8" t="s">
        <v>5384</v>
      </c>
      <c r="O255" s="5" t="s">
        <v>61</v>
      </c>
      <c r="P255" s="4">
        <v>45633</v>
      </c>
      <c r="Q255" s="15">
        <v>100</v>
      </c>
      <c r="R255" s="15">
        <v>7.29</v>
      </c>
      <c r="S255" s="15">
        <v>0</v>
      </c>
      <c r="T255"/>
    </row>
    <row r="256" spans="1:20">
      <c r="A256" s="5" t="s">
        <v>36</v>
      </c>
      <c r="B256" s="5" t="s">
        <v>13593</v>
      </c>
      <c r="C256" s="4">
        <f>Controle_Pedidos[[#This Row],[Data Compra]]</f>
        <v>45600</v>
      </c>
      <c r="D256" s="4">
        <v>45600</v>
      </c>
      <c r="E256" s="5" t="s">
        <v>15694</v>
      </c>
      <c r="F256" s="5" t="s">
        <v>17685</v>
      </c>
      <c r="G256" s="5" t="s">
        <v>829</v>
      </c>
      <c r="H256" s="5">
        <v>1</v>
      </c>
      <c r="I256" s="8" t="s">
        <v>7438</v>
      </c>
      <c r="J256" s="8" t="s">
        <v>9487</v>
      </c>
      <c r="K256" s="8" t="s">
        <v>1284</v>
      </c>
      <c r="L256" s="8" t="s">
        <v>11538</v>
      </c>
      <c r="M256" s="8" t="s">
        <v>3334</v>
      </c>
      <c r="N256" s="8" t="s">
        <v>5385</v>
      </c>
      <c r="O256" s="5" t="s">
        <v>40</v>
      </c>
      <c r="P256" s="4">
        <v>45629</v>
      </c>
      <c r="Q256" s="15">
        <v>16.5</v>
      </c>
      <c r="R256" s="15">
        <v>4.99</v>
      </c>
      <c r="S256" s="15">
        <v>0</v>
      </c>
      <c r="T256"/>
    </row>
    <row r="257" spans="1:20">
      <c r="A257" s="5" t="s">
        <v>36</v>
      </c>
      <c r="B257" s="5" t="s">
        <v>13594</v>
      </c>
      <c r="C257" s="4">
        <f>Controle_Pedidos[[#This Row],[Data Compra]]</f>
        <v>45600</v>
      </c>
      <c r="D257" s="4">
        <v>45600</v>
      </c>
      <c r="E257" s="5" t="s">
        <v>15695</v>
      </c>
      <c r="F257" s="5" t="s">
        <v>17686</v>
      </c>
      <c r="G257" s="5" t="s">
        <v>829</v>
      </c>
      <c r="H257" s="5">
        <v>1</v>
      </c>
      <c r="I257" s="8" t="s">
        <v>7439</v>
      </c>
      <c r="J257" s="8" t="s">
        <v>9488</v>
      </c>
      <c r="K257" s="8" t="s">
        <v>1285</v>
      </c>
      <c r="L257" s="8" t="s">
        <v>11539</v>
      </c>
      <c r="M257" s="8" t="s">
        <v>3335</v>
      </c>
      <c r="N257" s="8" t="s">
        <v>5386</v>
      </c>
      <c r="O257" s="5" t="s">
        <v>40</v>
      </c>
      <c r="P257" s="4">
        <v>45619</v>
      </c>
      <c r="Q257" s="15">
        <v>16.5</v>
      </c>
      <c r="R257" s="15">
        <v>4.99</v>
      </c>
      <c r="S257" s="15">
        <v>0</v>
      </c>
      <c r="T257"/>
    </row>
    <row r="258" spans="1:20">
      <c r="A258" s="5" t="s">
        <v>36</v>
      </c>
      <c r="B258" s="5" t="s">
        <v>13595</v>
      </c>
      <c r="C258" s="4">
        <f>Controle_Pedidos[[#This Row],[Data Compra]]</f>
        <v>45600</v>
      </c>
      <c r="D258" s="4">
        <v>45600</v>
      </c>
      <c r="E258" s="5" t="s">
        <v>15696</v>
      </c>
      <c r="F258" s="5" t="s">
        <v>17687</v>
      </c>
      <c r="G258" s="5" t="s">
        <v>829</v>
      </c>
      <c r="H258" s="5">
        <v>1</v>
      </c>
      <c r="I258" s="8" t="s">
        <v>7440</v>
      </c>
      <c r="J258" s="8" t="s">
        <v>9489</v>
      </c>
      <c r="K258" s="8" t="s">
        <v>1286</v>
      </c>
      <c r="L258" s="8" t="s">
        <v>11540</v>
      </c>
      <c r="M258" s="8" t="s">
        <v>3336</v>
      </c>
      <c r="N258" s="8" t="s">
        <v>5387</v>
      </c>
      <c r="O258" s="5" t="s">
        <v>40</v>
      </c>
      <c r="P258" s="4">
        <v>45623</v>
      </c>
      <c r="Q258" s="15">
        <v>16.5</v>
      </c>
      <c r="R258" s="15">
        <v>4.99</v>
      </c>
      <c r="S258" s="15">
        <v>0</v>
      </c>
      <c r="T258"/>
    </row>
    <row r="259" spans="1:20">
      <c r="A259" s="5" t="s">
        <v>36</v>
      </c>
      <c r="B259" s="5" t="s">
        <v>13596</v>
      </c>
      <c r="C259" s="4">
        <f>Controle_Pedidos[[#This Row],[Data Compra]]</f>
        <v>45600</v>
      </c>
      <c r="D259" s="4">
        <v>45600</v>
      </c>
      <c r="E259" s="5" t="s">
        <v>15697</v>
      </c>
      <c r="F259" s="5" t="s">
        <v>17688</v>
      </c>
      <c r="G259" s="5" t="s">
        <v>829</v>
      </c>
      <c r="H259" s="5">
        <v>1</v>
      </c>
      <c r="I259" s="8" t="s">
        <v>7441</v>
      </c>
      <c r="J259" s="8" t="s">
        <v>9490</v>
      </c>
      <c r="K259" s="8" t="s">
        <v>1287</v>
      </c>
      <c r="L259" s="8" t="s">
        <v>11541</v>
      </c>
      <c r="M259" s="8" t="s">
        <v>3337</v>
      </c>
      <c r="N259" s="8" t="s">
        <v>5388</v>
      </c>
      <c r="O259" s="5" t="s">
        <v>40</v>
      </c>
      <c r="P259" s="4">
        <v>45629</v>
      </c>
      <c r="Q259" s="15">
        <v>16.5</v>
      </c>
      <c r="R259" s="15">
        <v>4.99</v>
      </c>
      <c r="S259" s="15">
        <v>0</v>
      </c>
      <c r="T259"/>
    </row>
    <row r="260" spans="1:20">
      <c r="A260" s="5" t="s">
        <v>36</v>
      </c>
      <c r="B260" s="5" t="s">
        <v>13597</v>
      </c>
      <c r="C260" s="4">
        <f>Controle_Pedidos[[#This Row],[Data Compra]]</f>
        <v>45600</v>
      </c>
      <c r="D260" s="4">
        <v>45600</v>
      </c>
      <c r="E260" s="5" t="s">
        <v>15698</v>
      </c>
      <c r="F260" s="5" t="s">
        <v>17689</v>
      </c>
      <c r="G260" s="5" t="s">
        <v>824</v>
      </c>
      <c r="H260" s="5">
        <v>1</v>
      </c>
      <c r="I260" s="8" t="s">
        <v>7442</v>
      </c>
      <c r="J260" s="8" t="s">
        <v>9491</v>
      </c>
      <c r="K260" s="8" t="s">
        <v>1288</v>
      </c>
      <c r="L260" s="8" t="s">
        <v>11542</v>
      </c>
      <c r="M260" s="8" t="s">
        <v>3338</v>
      </c>
      <c r="N260" s="8" t="s">
        <v>5389</v>
      </c>
      <c r="O260" s="5" t="s">
        <v>38</v>
      </c>
      <c r="P260" s="4">
        <v>45636</v>
      </c>
      <c r="Q260" s="15">
        <v>17.989999999999998</v>
      </c>
      <c r="R260" s="15">
        <v>7.31</v>
      </c>
      <c r="S260" s="15">
        <v>0</v>
      </c>
      <c r="T260"/>
    </row>
    <row r="261" spans="1:20">
      <c r="A261" s="5" t="s">
        <v>36</v>
      </c>
      <c r="B261" s="5" t="s">
        <v>13598</v>
      </c>
      <c r="C261" s="4">
        <f>Controle_Pedidos[[#This Row],[Data Compra]]</f>
        <v>45604</v>
      </c>
      <c r="D261" s="4">
        <v>45604</v>
      </c>
      <c r="E261" s="5" t="s">
        <v>15699</v>
      </c>
      <c r="F261" s="5" t="s">
        <v>17690</v>
      </c>
      <c r="G261" s="5" t="s">
        <v>829</v>
      </c>
      <c r="H261" s="5">
        <v>1</v>
      </c>
      <c r="I261" s="8" t="s">
        <v>7443</v>
      </c>
      <c r="J261" s="8" t="s">
        <v>9492</v>
      </c>
      <c r="K261" s="8" t="s">
        <v>1289</v>
      </c>
      <c r="L261" s="8" t="s">
        <v>11543</v>
      </c>
      <c r="M261" s="8" t="s">
        <v>3339</v>
      </c>
      <c r="N261" s="8" t="s">
        <v>5390</v>
      </c>
      <c r="O261" s="5" t="s">
        <v>40</v>
      </c>
      <c r="P261" s="4">
        <v>45623</v>
      </c>
      <c r="Q261" s="15">
        <v>16.5</v>
      </c>
      <c r="R261" s="15">
        <v>6.57</v>
      </c>
      <c r="S261" s="15">
        <v>0</v>
      </c>
      <c r="T261"/>
    </row>
    <row r="262" spans="1:20">
      <c r="A262" s="5" t="s">
        <v>36</v>
      </c>
      <c r="B262" s="5" t="s">
        <v>13599</v>
      </c>
      <c r="C262" s="4">
        <f>Controle_Pedidos[[#This Row],[Data Compra]]</f>
        <v>45600</v>
      </c>
      <c r="D262" s="4">
        <v>45600</v>
      </c>
      <c r="E262" s="5" t="s">
        <v>15700</v>
      </c>
      <c r="F262" s="5" t="s">
        <v>17691</v>
      </c>
      <c r="G262" s="5" t="s">
        <v>829</v>
      </c>
      <c r="H262" s="5">
        <v>1</v>
      </c>
      <c r="I262" s="8" t="s">
        <v>7444</v>
      </c>
      <c r="J262" s="8" t="s">
        <v>9493</v>
      </c>
      <c r="K262" s="8" t="s">
        <v>1290</v>
      </c>
      <c r="L262" s="8" t="s">
        <v>11544</v>
      </c>
      <c r="M262" s="8" t="s">
        <v>3340</v>
      </c>
      <c r="N262" s="8" t="s">
        <v>5391</v>
      </c>
      <c r="O262" s="5" t="s">
        <v>40</v>
      </c>
      <c r="P262" s="4">
        <v>45629</v>
      </c>
      <c r="Q262" s="15">
        <v>16.5</v>
      </c>
      <c r="R262" s="15">
        <v>4.99</v>
      </c>
      <c r="S262" s="15">
        <v>0</v>
      </c>
      <c r="T262"/>
    </row>
    <row r="263" spans="1:20">
      <c r="A263" s="5" t="s">
        <v>36</v>
      </c>
      <c r="B263" s="5" t="s">
        <v>13600</v>
      </c>
      <c r="C263" s="4">
        <f>Controle_Pedidos[[#This Row],[Data Compra]]</f>
        <v>45600</v>
      </c>
      <c r="D263" s="4">
        <v>45600</v>
      </c>
      <c r="E263" s="5" t="s">
        <v>15701</v>
      </c>
      <c r="F263" s="5" t="s">
        <v>17692</v>
      </c>
      <c r="G263" s="5" t="s">
        <v>829</v>
      </c>
      <c r="H263" s="5">
        <v>1</v>
      </c>
      <c r="I263" s="8" t="s">
        <v>7445</v>
      </c>
      <c r="J263" s="8" t="s">
        <v>9494</v>
      </c>
      <c r="K263" s="8" t="s">
        <v>1291</v>
      </c>
      <c r="L263" s="8" t="s">
        <v>11545</v>
      </c>
      <c r="M263" s="8" t="s">
        <v>3341</v>
      </c>
      <c r="N263" s="8" t="s">
        <v>5392</v>
      </c>
      <c r="O263" s="5" t="s">
        <v>40</v>
      </c>
      <c r="P263" s="4">
        <v>45629</v>
      </c>
      <c r="Q263" s="15">
        <v>16.5</v>
      </c>
      <c r="R263" s="15">
        <v>4.99</v>
      </c>
      <c r="S263" s="15">
        <v>0</v>
      </c>
      <c r="T263"/>
    </row>
    <row r="264" spans="1:20">
      <c r="A264" s="5" t="s">
        <v>36</v>
      </c>
      <c r="B264" s="5" t="s">
        <v>13601</v>
      </c>
      <c r="C264" s="4">
        <f>Controle_Pedidos[[#This Row],[Data Compra]]</f>
        <v>45600</v>
      </c>
      <c r="D264" s="4">
        <v>45600</v>
      </c>
      <c r="E264" s="5" t="s">
        <v>15702</v>
      </c>
      <c r="F264" s="5" t="s">
        <v>17693</v>
      </c>
      <c r="G264" s="5" t="s">
        <v>829</v>
      </c>
      <c r="H264" s="5">
        <v>1</v>
      </c>
      <c r="I264" s="8" t="s">
        <v>7446</v>
      </c>
      <c r="J264" s="8" t="s">
        <v>9495</v>
      </c>
      <c r="K264" s="8" t="s">
        <v>1292</v>
      </c>
      <c r="L264" s="8" t="s">
        <v>11546</v>
      </c>
      <c r="M264" s="8" t="s">
        <v>3342</v>
      </c>
      <c r="N264" s="8" t="s">
        <v>5393</v>
      </c>
      <c r="O264" s="5" t="s">
        <v>40</v>
      </c>
      <c r="P264" s="4">
        <v>45623</v>
      </c>
      <c r="Q264" s="15">
        <v>16.5</v>
      </c>
      <c r="R264" s="15">
        <v>4.99</v>
      </c>
      <c r="S264" s="15">
        <v>0</v>
      </c>
      <c r="T264"/>
    </row>
    <row r="265" spans="1:20">
      <c r="A265" s="5" t="s">
        <v>36</v>
      </c>
      <c r="B265" s="5" t="s">
        <v>13602</v>
      </c>
      <c r="C265" s="4">
        <f>Controle_Pedidos[[#This Row],[Data Compra]]</f>
        <v>45600</v>
      </c>
      <c r="D265" s="4">
        <v>45600</v>
      </c>
      <c r="E265" s="5" t="s">
        <v>15703</v>
      </c>
      <c r="F265" s="5" t="s">
        <v>17694</v>
      </c>
      <c r="G265" s="5" t="s">
        <v>829</v>
      </c>
      <c r="H265" s="5">
        <v>1</v>
      </c>
      <c r="I265" s="8" t="s">
        <v>7447</v>
      </c>
      <c r="J265" s="8" t="s">
        <v>9496</v>
      </c>
      <c r="K265" s="8" t="s">
        <v>1293</v>
      </c>
      <c r="L265" s="8" t="s">
        <v>11547</v>
      </c>
      <c r="M265" s="8" t="s">
        <v>3343</v>
      </c>
      <c r="N265" s="8" t="s">
        <v>5394</v>
      </c>
      <c r="O265" s="5" t="s">
        <v>40</v>
      </c>
      <c r="P265" s="4">
        <v>45623</v>
      </c>
      <c r="Q265" s="15">
        <v>16.5</v>
      </c>
      <c r="R265" s="15">
        <v>4.99</v>
      </c>
      <c r="S265" s="15">
        <v>0</v>
      </c>
      <c r="T265"/>
    </row>
    <row r="266" spans="1:20">
      <c r="A266" s="5" t="s">
        <v>36</v>
      </c>
      <c r="B266" s="5" t="s">
        <v>13603</v>
      </c>
      <c r="C266" s="4">
        <f>Controle_Pedidos[[#This Row],[Data Compra]]</f>
        <v>45601</v>
      </c>
      <c r="D266" s="4">
        <v>45601</v>
      </c>
      <c r="E266" s="5" t="s">
        <v>15704</v>
      </c>
      <c r="F266" s="5" t="s">
        <v>17695</v>
      </c>
      <c r="G266" s="5" t="s">
        <v>829</v>
      </c>
      <c r="H266" s="5">
        <v>1</v>
      </c>
      <c r="I266" s="8" t="s">
        <v>7447</v>
      </c>
      <c r="J266" s="8" t="s">
        <v>9496</v>
      </c>
      <c r="K266" s="8" t="s">
        <v>1293</v>
      </c>
      <c r="L266" s="8" t="s">
        <v>11547</v>
      </c>
      <c r="M266" s="8" t="s">
        <v>3343</v>
      </c>
      <c r="N266" s="8" t="s">
        <v>5394</v>
      </c>
      <c r="O266" s="5" t="s">
        <v>40</v>
      </c>
      <c r="P266" s="4">
        <v>45623</v>
      </c>
      <c r="Q266" s="15">
        <v>16.5</v>
      </c>
      <c r="R266" s="15">
        <v>4.99</v>
      </c>
      <c r="S266" s="15">
        <v>0</v>
      </c>
      <c r="T266"/>
    </row>
    <row r="267" spans="1:20">
      <c r="A267" s="5" t="s">
        <v>36</v>
      </c>
      <c r="B267" s="5" t="s">
        <v>13604</v>
      </c>
      <c r="C267" s="4">
        <f>Controle_Pedidos[[#This Row],[Data Compra]]</f>
        <v>45600</v>
      </c>
      <c r="D267" s="4">
        <v>45600</v>
      </c>
      <c r="E267" s="5" t="s">
        <v>15705</v>
      </c>
      <c r="F267" s="5" t="s">
        <v>17696</v>
      </c>
      <c r="G267" s="5" t="s">
        <v>829</v>
      </c>
      <c r="H267" s="5">
        <v>1</v>
      </c>
      <c r="I267" s="8" t="s">
        <v>7448</v>
      </c>
      <c r="J267" s="8" t="s">
        <v>9497</v>
      </c>
      <c r="K267" s="8" t="s">
        <v>1294</v>
      </c>
      <c r="L267" s="8" t="s">
        <v>11548</v>
      </c>
      <c r="M267" s="8" t="s">
        <v>3344</v>
      </c>
      <c r="N267" s="8" t="s">
        <v>5395</v>
      </c>
      <c r="O267" s="5" t="s">
        <v>40</v>
      </c>
      <c r="P267" s="4">
        <v>45629</v>
      </c>
      <c r="Q267" s="15">
        <v>16.5</v>
      </c>
      <c r="R267" s="15">
        <v>0</v>
      </c>
      <c r="S267" s="15">
        <v>0</v>
      </c>
      <c r="T267"/>
    </row>
    <row r="268" spans="1:20">
      <c r="A268" s="5" t="s">
        <v>36</v>
      </c>
      <c r="B268" s="5" t="s">
        <v>13605</v>
      </c>
      <c r="C268" s="4">
        <f>Controle_Pedidos[[#This Row],[Data Compra]]</f>
        <v>45600</v>
      </c>
      <c r="D268" s="4">
        <v>45600</v>
      </c>
      <c r="E268" s="5" t="s">
        <v>15706</v>
      </c>
      <c r="F268" s="5" t="s">
        <v>17697</v>
      </c>
      <c r="G268" s="5" t="s">
        <v>831</v>
      </c>
      <c r="H268" s="5">
        <v>1</v>
      </c>
      <c r="I268" s="8" t="s">
        <v>7449</v>
      </c>
      <c r="J268" s="8" t="s">
        <v>9498</v>
      </c>
      <c r="K268" s="8" t="s">
        <v>1295</v>
      </c>
      <c r="L268" s="8" t="s">
        <v>11549</v>
      </c>
      <c r="M268" s="8" t="s">
        <v>3345</v>
      </c>
      <c r="N268" s="8" t="s">
        <v>5396</v>
      </c>
      <c r="O268" s="5" t="s">
        <v>41</v>
      </c>
      <c r="P268" s="4">
        <v>45623</v>
      </c>
      <c r="Q268" s="15">
        <v>44.5</v>
      </c>
      <c r="R268" s="15">
        <v>7.31</v>
      </c>
      <c r="S268" s="15">
        <v>0</v>
      </c>
      <c r="T268"/>
    </row>
    <row r="269" spans="1:20">
      <c r="A269" s="5" t="s">
        <v>36</v>
      </c>
      <c r="B269" s="5" t="s">
        <v>13606</v>
      </c>
      <c r="C269" s="4">
        <f>Controle_Pedidos[[#This Row],[Data Compra]]</f>
        <v>45601</v>
      </c>
      <c r="D269" s="4">
        <v>45601</v>
      </c>
      <c r="E269" s="5" t="s">
        <v>15707</v>
      </c>
      <c r="F269" s="5" t="s">
        <v>17698</v>
      </c>
      <c r="G269" s="5" t="s">
        <v>836</v>
      </c>
      <c r="H269" s="5">
        <v>1</v>
      </c>
      <c r="I269" s="8" t="s">
        <v>7450</v>
      </c>
      <c r="J269" s="8" t="s">
        <v>9499</v>
      </c>
      <c r="K269" s="8" t="s">
        <v>1296</v>
      </c>
      <c r="L269" s="8" t="s">
        <v>11550</v>
      </c>
      <c r="M269" s="8" t="s">
        <v>3346</v>
      </c>
      <c r="N269" s="8" t="s">
        <v>5397</v>
      </c>
      <c r="O269" s="5" t="s">
        <v>55</v>
      </c>
      <c r="P269" s="4">
        <v>45616</v>
      </c>
      <c r="Q269" s="15">
        <v>18.5</v>
      </c>
      <c r="R269" s="15">
        <v>10.8</v>
      </c>
      <c r="S269" s="15">
        <v>0</v>
      </c>
      <c r="T269"/>
    </row>
    <row r="270" spans="1:20">
      <c r="A270" s="5" t="s">
        <v>36</v>
      </c>
      <c r="B270" s="5" t="s">
        <v>13607</v>
      </c>
      <c r="C270" s="4">
        <f>Controle_Pedidos[[#This Row],[Data Compra]]</f>
        <v>45600</v>
      </c>
      <c r="D270" s="4">
        <v>45600</v>
      </c>
      <c r="E270" s="5" t="s">
        <v>15708</v>
      </c>
      <c r="F270" s="5" t="s">
        <v>17699</v>
      </c>
      <c r="G270" s="5" t="s">
        <v>834</v>
      </c>
      <c r="H270" s="5">
        <v>1</v>
      </c>
      <c r="I270" s="8" t="s">
        <v>7451</v>
      </c>
      <c r="J270" s="8" t="s">
        <v>9500</v>
      </c>
      <c r="K270" s="8" t="s">
        <v>1297</v>
      </c>
      <c r="L270" s="8" t="s">
        <v>11551</v>
      </c>
      <c r="M270" s="8" t="s">
        <v>3347</v>
      </c>
      <c r="N270" s="8" t="s">
        <v>5398</v>
      </c>
      <c r="O270" s="5" t="s">
        <v>54</v>
      </c>
      <c r="P270" s="4">
        <v>45629</v>
      </c>
      <c r="Q270" s="15">
        <v>23.8</v>
      </c>
      <c r="R270" s="15">
        <v>10.039999999999999</v>
      </c>
      <c r="S270" s="15">
        <v>0</v>
      </c>
      <c r="T270"/>
    </row>
    <row r="271" spans="1:20">
      <c r="A271" s="5" t="s">
        <v>36</v>
      </c>
      <c r="B271" s="5" t="s">
        <v>13608</v>
      </c>
      <c r="C271" s="4">
        <f>Controle_Pedidos[[#This Row],[Data Compra]]</f>
        <v>45600</v>
      </c>
      <c r="D271" s="4">
        <v>45600</v>
      </c>
      <c r="E271" s="5" t="s">
        <v>15709</v>
      </c>
      <c r="F271" s="5" t="s">
        <v>17700</v>
      </c>
      <c r="G271" s="5" t="s">
        <v>817</v>
      </c>
      <c r="H271" s="5">
        <v>1</v>
      </c>
      <c r="I271" s="8" t="s">
        <v>7452</v>
      </c>
      <c r="J271" s="8" t="s">
        <v>9501</v>
      </c>
      <c r="K271" s="8" t="s">
        <v>1298</v>
      </c>
      <c r="L271" s="8" t="s">
        <v>11552</v>
      </c>
      <c r="M271" s="8" t="s">
        <v>3348</v>
      </c>
      <c r="N271" s="8" t="s">
        <v>5399</v>
      </c>
      <c r="O271" s="5" t="s">
        <v>39</v>
      </c>
      <c r="P271" s="4">
        <v>45616</v>
      </c>
      <c r="Q271" s="15">
        <v>30.99</v>
      </c>
      <c r="R271" s="15">
        <v>11.99</v>
      </c>
      <c r="S271" s="15">
        <v>0</v>
      </c>
      <c r="T271"/>
    </row>
    <row r="272" spans="1:20">
      <c r="A272" s="5" t="s">
        <v>36</v>
      </c>
      <c r="B272" s="5" t="s">
        <v>13609</v>
      </c>
      <c r="C272" s="4">
        <f>Controle_Pedidos[[#This Row],[Data Compra]]</f>
        <v>45600</v>
      </c>
      <c r="D272" s="4">
        <v>45600</v>
      </c>
      <c r="E272" s="5" t="s">
        <v>15710</v>
      </c>
      <c r="F272" s="5" t="s">
        <v>17701</v>
      </c>
      <c r="G272" s="5" t="s">
        <v>829</v>
      </c>
      <c r="H272" s="5">
        <v>1</v>
      </c>
      <c r="I272" s="8" t="s">
        <v>7453</v>
      </c>
      <c r="J272" s="8" t="s">
        <v>9502</v>
      </c>
      <c r="K272" s="8" t="s">
        <v>1299</v>
      </c>
      <c r="L272" s="8" t="s">
        <v>11553</v>
      </c>
      <c r="M272" s="8" t="s">
        <v>3349</v>
      </c>
      <c r="N272" s="8" t="s">
        <v>5400</v>
      </c>
      <c r="O272" s="5" t="s">
        <v>40</v>
      </c>
      <c r="P272" s="4">
        <v>45616</v>
      </c>
      <c r="Q272" s="15">
        <v>16.989999999999998</v>
      </c>
      <c r="R272" s="15">
        <v>4.99</v>
      </c>
      <c r="S272" s="15">
        <v>0</v>
      </c>
      <c r="T272"/>
    </row>
    <row r="273" spans="1:20">
      <c r="A273" s="5" t="s">
        <v>36</v>
      </c>
      <c r="B273" s="5" t="s">
        <v>13610</v>
      </c>
      <c r="C273" s="4">
        <f>Controle_Pedidos[[#This Row],[Data Compra]]</f>
        <v>45600</v>
      </c>
      <c r="D273" s="4">
        <v>45600</v>
      </c>
      <c r="E273" s="5" t="s">
        <v>15711</v>
      </c>
      <c r="F273" s="5" t="s">
        <v>17702</v>
      </c>
      <c r="G273" s="5" t="s">
        <v>829</v>
      </c>
      <c r="H273" s="5">
        <v>1</v>
      </c>
      <c r="I273" s="8" t="s">
        <v>7454</v>
      </c>
      <c r="J273" s="8" t="s">
        <v>9503</v>
      </c>
      <c r="K273" s="8" t="s">
        <v>1300</v>
      </c>
      <c r="L273" s="8" t="s">
        <v>11554</v>
      </c>
      <c r="M273" s="8" t="s">
        <v>3350</v>
      </c>
      <c r="N273" s="8" t="s">
        <v>5401</v>
      </c>
      <c r="O273" s="5" t="s">
        <v>40</v>
      </c>
      <c r="P273" s="4">
        <v>45616</v>
      </c>
      <c r="Q273" s="15">
        <v>16.989999999999998</v>
      </c>
      <c r="R273" s="15">
        <v>4.99</v>
      </c>
      <c r="S273" s="15">
        <v>0</v>
      </c>
      <c r="T273"/>
    </row>
    <row r="274" spans="1:20">
      <c r="A274" s="5" t="s">
        <v>36</v>
      </c>
      <c r="B274" s="5" t="s">
        <v>13611</v>
      </c>
      <c r="C274" s="4">
        <f>Controle_Pedidos[[#This Row],[Data Compra]]</f>
        <v>45601</v>
      </c>
      <c r="D274" s="4">
        <v>45601</v>
      </c>
      <c r="E274" s="5" t="s">
        <v>15712</v>
      </c>
      <c r="F274" s="5" t="s">
        <v>17703</v>
      </c>
      <c r="G274" s="5" t="s">
        <v>848</v>
      </c>
      <c r="H274" s="5">
        <v>1</v>
      </c>
      <c r="I274" s="8" t="s">
        <v>7455</v>
      </c>
      <c r="J274" s="8" t="s">
        <v>9504</v>
      </c>
      <c r="K274" s="8" t="s">
        <v>1301</v>
      </c>
      <c r="L274" s="8" t="s">
        <v>11555</v>
      </c>
      <c r="M274" s="8" t="s">
        <v>3351</v>
      </c>
      <c r="N274" s="8" t="s">
        <v>5402</v>
      </c>
      <c r="O274" s="5" t="s">
        <v>62</v>
      </c>
      <c r="P274" s="4">
        <v>45630</v>
      </c>
      <c r="Q274" s="15">
        <v>51.99</v>
      </c>
      <c r="R274" s="15">
        <v>7.3</v>
      </c>
      <c r="S274" s="15">
        <v>0</v>
      </c>
      <c r="T274"/>
    </row>
    <row r="275" spans="1:20">
      <c r="A275" s="5" t="s">
        <v>36</v>
      </c>
      <c r="B275" s="5" t="s">
        <v>13612</v>
      </c>
      <c r="C275" s="4">
        <f>Controle_Pedidos[[#This Row],[Data Compra]]</f>
        <v>45601</v>
      </c>
      <c r="D275" s="4">
        <v>45601</v>
      </c>
      <c r="E275" s="5" t="s">
        <v>15713</v>
      </c>
      <c r="F275" s="5" t="s">
        <v>17704</v>
      </c>
      <c r="G275" s="5" t="s">
        <v>852</v>
      </c>
      <c r="H275" s="5">
        <v>1</v>
      </c>
      <c r="I275" s="8" t="s">
        <v>7456</v>
      </c>
      <c r="J275" s="8" t="s">
        <v>9505</v>
      </c>
      <c r="K275" s="8" t="s">
        <v>1302</v>
      </c>
      <c r="L275" s="8" t="s">
        <v>11556</v>
      </c>
      <c r="M275" s="8" t="s">
        <v>3352</v>
      </c>
      <c r="N275" s="8" t="s">
        <v>5403</v>
      </c>
      <c r="O275" s="5" t="s">
        <v>68</v>
      </c>
      <c r="P275" s="4">
        <v>45618</v>
      </c>
      <c r="Q275" s="15">
        <v>16.5</v>
      </c>
      <c r="R275" s="15">
        <v>4.99</v>
      </c>
      <c r="S275" s="15">
        <v>0</v>
      </c>
      <c r="T275"/>
    </row>
    <row r="276" spans="1:20">
      <c r="A276" s="5" t="s">
        <v>36</v>
      </c>
      <c r="B276" s="5" t="s">
        <v>13613</v>
      </c>
      <c r="C276" s="4">
        <f>Controle_Pedidos[[#This Row],[Data Compra]]</f>
        <v>45601</v>
      </c>
      <c r="D276" s="4">
        <v>45601</v>
      </c>
      <c r="E276" s="5" t="s">
        <v>15714</v>
      </c>
      <c r="F276" s="5" t="s">
        <v>17705</v>
      </c>
      <c r="G276" s="5" t="s">
        <v>826</v>
      </c>
      <c r="H276" s="5">
        <v>1</v>
      </c>
      <c r="I276" s="8" t="s">
        <v>7457</v>
      </c>
      <c r="J276" s="8" t="s">
        <v>9506</v>
      </c>
      <c r="K276" s="8" t="s">
        <v>1303</v>
      </c>
      <c r="L276" s="8" t="s">
        <v>11557</v>
      </c>
      <c r="M276" s="8" t="s">
        <v>3353</v>
      </c>
      <c r="N276" s="8" t="s">
        <v>5404</v>
      </c>
      <c r="O276" s="5" t="s">
        <v>42</v>
      </c>
      <c r="P276" s="4">
        <v>45624</v>
      </c>
      <c r="Q276" s="15">
        <v>15.1</v>
      </c>
      <c r="R276" s="15">
        <v>4.99</v>
      </c>
      <c r="S276" s="15">
        <v>0</v>
      </c>
      <c r="T276"/>
    </row>
    <row r="277" spans="1:20">
      <c r="A277" s="5" t="s">
        <v>36</v>
      </c>
      <c r="B277" s="5" t="s">
        <v>13614</v>
      </c>
      <c r="C277" s="4">
        <f>Controle_Pedidos[[#This Row],[Data Compra]]</f>
        <v>45601</v>
      </c>
      <c r="D277" s="4">
        <v>45601</v>
      </c>
      <c r="E277" s="5" t="s">
        <v>15715</v>
      </c>
      <c r="F277" s="5" t="s">
        <v>17706</v>
      </c>
      <c r="G277" s="5" t="s">
        <v>826</v>
      </c>
      <c r="H277" s="5">
        <v>1</v>
      </c>
      <c r="I277" s="8" t="s">
        <v>7458</v>
      </c>
      <c r="J277" s="8" t="s">
        <v>9507</v>
      </c>
      <c r="K277" s="8" t="s">
        <v>1304</v>
      </c>
      <c r="L277" s="8" t="s">
        <v>11558</v>
      </c>
      <c r="M277" s="8" t="s">
        <v>3354</v>
      </c>
      <c r="N277" s="8" t="s">
        <v>5405</v>
      </c>
      <c r="O277" s="5" t="s">
        <v>42</v>
      </c>
      <c r="P277" s="4">
        <v>45630</v>
      </c>
      <c r="Q277" s="15">
        <v>15.1</v>
      </c>
      <c r="R277" s="15">
        <v>4.99</v>
      </c>
      <c r="S277" s="15">
        <v>0</v>
      </c>
      <c r="T277"/>
    </row>
    <row r="278" spans="1:20">
      <c r="A278" s="5" t="s">
        <v>36</v>
      </c>
      <c r="B278" s="5" t="s">
        <v>13615</v>
      </c>
      <c r="C278" s="4">
        <f>Controle_Pedidos[[#This Row],[Data Compra]]</f>
        <v>45604</v>
      </c>
      <c r="D278" s="4">
        <v>45604</v>
      </c>
      <c r="E278" s="5" t="s">
        <v>15716</v>
      </c>
      <c r="F278" s="5" t="s">
        <v>17707</v>
      </c>
      <c r="G278" s="5" t="s">
        <v>824</v>
      </c>
      <c r="H278" s="5">
        <v>1</v>
      </c>
      <c r="I278" s="8" t="s">
        <v>7459</v>
      </c>
      <c r="J278" s="8" t="s">
        <v>9508</v>
      </c>
      <c r="K278" s="8" t="s">
        <v>1305</v>
      </c>
      <c r="L278" s="8" t="s">
        <v>11559</v>
      </c>
      <c r="M278" s="8" t="s">
        <v>3355</v>
      </c>
      <c r="N278" s="8" t="s">
        <v>5406</v>
      </c>
      <c r="O278" s="5" t="s">
        <v>38</v>
      </c>
      <c r="P278" s="4">
        <v>45630</v>
      </c>
      <c r="Q278" s="15">
        <v>15.1</v>
      </c>
      <c r="R278" s="15">
        <v>4.99</v>
      </c>
      <c r="S278" s="15">
        <v>0</v>
      </c>
      <c r="T278"/>
    </row>
    <row r="279" spans="1:20">
      <c r="A279" s="5" t="s">
        <v>36</v>
      </c>
      <c r="B279" s="5" t="s">
        <v>13616</v>
      </c>
      <c r="C279" s="4">
        <f>Controle_Pedidos[[#This Row],[Data Compra]]</f>
        <v>45601</v>
      </c>
      <c r="D279" s="4">
        <v>45601</v>
      </c>
      <c r="E279" s="5" t="s">
        <v>15717</v>
      </c>
      <c r="F279" s="5" t="s">
        <v>17708</v>
      </c>
      <c r="G279" s="5" t="s">
        <v>829</v>
      </c>
      <c r="H279" s="5">
        <v>1</v>
      </c>
      <c r="I279" s="8" t="s">
        <v>7460</v>
      </c>
      <c r="J279" s="8" t="s">
        <v>9509</v>
      </c>
      <c r="K279" s="8" t="s">
        <v>1306</v>
      </c>
      <c r="L279" s="8" t="s">
        <v>11560</v>
      </c>
      <c r="M279" s="8" t="s">
        <v>3356</v>
      </c>
      <c r="N279" s="8" t="s">
        <v>5407</v>
      </c>
      <c r="O279" s="5" t="s">
        <v>40</v>
      </c>
      <c r="P279" s="4">
        <v>45630</v>
      </c>
      <c r="Q279" s="15">
        <v>16.5</v>
      </c>
      <c r="R279" s="15">
        <v>4.99</v>
      </c>
      <c r="S279" s="15">
        <v>0</v>
      </c>
      <c r="T279"/>
    </row>
    <row r="280" spans="1:20">
      <c r="A280" s="5" t="s">
        <v>36</v>
      </c>
      <c r="B280" s="5" t="s">
        <v>13617</v>
      </c>
      <c r="C280" s="4">
        <f>Controle_Pedidos[[#This Row],[Data Compra]]</f>
        <v>45601</v>
      </c>
      <c r="D280" s="4">
        <v>45601</v>
      </c>
      <c r="E280" s="5" t="s">
        <v>15718</v>
      </c>
      <c r="F280" s="5" t="s">
        <v>17709</v>
      </c>
      <c r="G280" s="5" t="s">
        <v>834</v>
      </c>
      <c r="H280" s="5">
        <v>1</v>
      </c>
      <c r="I280" s="8" t="s">
        <v>7461</v>
      </c>
      <c r="J280" s="8" t="s">
        <v>9510</v>
      </c>
      <c r="K280" s="8" t="s">
        <v>1307</v>
      </c>
      <c r="L280" s="8" t="s">
        <v>11561</v>
      </c>
      <c r="M280" s="8" t="s">
        <v>3357</v>
      </c>
      <c r="N280" s="8" t="s">
        <v>5408</v>
      </c>
      <c r="O280" s="5" t="s">
        <v>54</v>
      </c>
      <c r="P280" s="4">
        <v>45630</v>
      </c>
      <c r="Q280" s="15">
        <v>23.8</v>
      </c>
      <c r="R280" s="15">
        <v>0</v>
      </c>
      <c r="S280" s="15">
        <v>0</v>
      </c>
      <c r="T280"/>
    </row>
    <row r="281" spans="1:20">
      <c r="A281" s="5" t="s">
        <v>36</v>
      </c>
      <c r="B281" s="5" t="s">
        <v>13618</v>
      </c>
      <c r="C281" s="4">
        <f>Controle_Pedidos[[#This Row],[Data Compra]]</f>
        <v>45602</v>
      </c>
      <c r="D281" s="4">
        <v>45602</v>
      </c>
      <c r="E281" s="5" t="s">
        <v>15719</v>
      </c>
      <c r="F281" s="5" t="s">
        <v>17710</v>
      </c>
      <c r="G281" s="5" t="s">
        <v>829</v>
      </c>
      <c r="H281" s="5">
        <v>1</v>
      </c>
      <c r="I281" s="8" t="s">
        <v>7462</v>
      </c>
      <c r="J281" s="8" t="s">
        <v>9511</v>
      </c>
      <c r="K281" s="8" t="s">
        <v>1308</v>
      </c>
      <c r="L281" s="8" t="s">
        <v>11562</v>
      </c>
      <c r="M281" s="8" t="s">
        <v>3358</v>
      </c>
      <c r="N281" s="8" t="s">
        <v>5409</v>
      </c>
      <c r="O281" s="5" t="s">
        <v>40</v>
      </c>
      <c r="P281" s="4">
        <v>45630</v>
      </c>
      <c r="Q281" s="15">
        <v>16.5</v>
      </c>
      <c r="R281" s="15">
        <v>4.99</v>
      </c>
      <c r="S281" s="15">
        <v>0</v>
      </c>
      <c r="T281"/>
    </row>
    <row r="282" spans="1:20">
      <c r="A282" s="5" t="s">
        <v>36</v>
      </c>
      <c r="B282" s="5" t="s">
        <v>13619</v>
      </c>
      <c r="C282" s="4">
        <f>Controle_Pedidos[[#This Row],[Data Compra]]</f>
        <v>45604</v>
      </c>
      <c r="D282" s="4">
        <v>45604</v>
      </c>
      <c r="E282" s="5" t="s">
        <v>15720</v>
      </c>
      <c r="F282" s="5" t="s">
        <v>17711</v>
      </c>
      <c r="G282" s="5" t="s">
        <v>829</v>
      </c>
      <c r="H282" s="5">
        <v>1</v>
      </c>
      <c r="I282" s="8" t="s">
        <v>7463</v>
      </c>
      <c r="J282" s="8" t="s">
        <v>9512</v>
      </c>
      <c r="K282" s="8" t="s">
        <v>1309</v>
      </c>
      <c r="L282" s="8" t="s">
        <v>11563</v>
      </c>
      <c r="M282" s="8" t="s">
        <v>3359</v>
      </c>
      <c r="N282" s="8" t="s">
        <v>5410</v>
      </c>
      <c r="O282" s="5" t="s">
        <v>40</v>
      </c>
      <c r="P282" s="4">
        <v>45622</v>
      </c>
      <c r="Q282" s="15">
        <v>16.5</v>
      </c>
      <c r="R282" s="15">
        <v>6.57</v>
      </c>
      <c r="S282" s="15">
        <v>0</v>
      </c>
      <c r="T282"/>
    </row>
    <row r="283" spans="1:20">
      <c r="A283" s="5" t="s">
        <v>36</v>
      </c>
      <c r="B283" s="5" t="s">
        <v>13620</v>
      </c>
      <c r="C283" s="4">
        <f>Controle_Pedidos[[#This Row],[Data Compra]]</f>
        <v>45602</v>
      </c>
      <c r="D283" s="4">
        <v>45602</v>
      </c>
      <c r="E283" s="5" t="s">
        <v>15721</v>
      </c>
      <c r="F283" s="5" t="s">
        <v>17712</v>
      </c>
      <c r="G283" s="5" t="s">
        <v>824</v>
      </c>
      <c r="H283" s="5">
        <v>1</v>
      </c>
      <c r="I283" s="8" t="s">
        <v>7464</v>
      </c>
      <c r="J283" s="8" t="s">
        <v>9513</v>
      </c>
      <c r="K283" s="8" t="s">
        <v>1310</v>
      </c>
      <c r="L283" s="8" t="s">
        <v>11564</v>
      </c>
      <c r="M283" s="8" t="s">
        <v>3360</v>
      </c>
      <c r="N283" s="8" t="s">
        <v>5411</v>
      </c>
      <c r="O283" s="5" t="s">
        <v>38</v>
      </c>
      <c r="P283" s="4">
        <v>45630</v>
      </c>
      <c r="Q283" s="15">
        <v>15.1</v>
      </c>
      <c r="R283" s="15">
        <v>4.99</v>
      </c>
      <c r="S283" s="15">
        <v>0</v>
      </c>
      <c r="T283"/>
    </row>
    <row r="284" spans="1:20">
      <c r="A284" s="5" t="s">
        <v>36</v>
      </c>
      <c r="B284" s="5" t="s">
        <v>13621</v>
      </c>
      <c r="C284" s="4">
        <f>Controle_Pedidos[[#This Row],[Data Compra]]</f>
        <v>45602</v>
      </c>
      <c r="D284" s="4">
        <v>45602</v>
      </c>
      <c r="E284" s="5" t="s">
        <v>15722</v>
      </c>
      <c r="F284" s="5" t="s">
        <v>17713</v>
      </c>
      <c r="G284" s="5" t="s">
        <v>829</v>
      </c>
      <c r="H284" s="5">
        <v>1</v>
      </c>
      <c r="I284" s="8" t="s">
        <v>7465</v>
      </c>
      <c r="J284" s="8" t="s">
        <v>9514</v>
      </c>
      <c r="K284" s="8" t="s">
        <v>1311</v>
      </c>
      <c r="L284" s="8" t="s">
        <v>11565</v>
      </c>
      <c r="M284" s="8" t="s">
        <v>3361</v>
      </c>
      <c r="N284" s="8" t="s">
        <v>5412</v>
      </c>
      <c r="O284" s="5" t="s">
        <v>40</v>
      </c>
      <c r="P284" s="4">
        <v>45618</v>
      </c>
      <c r="Q284" s="15">
        <v>16.5</v>
      </c>
      <c r="R284" s="15">
        <v>4.99</v>
      </c>
      <c r="S284" s="15">
        <v>0</v>
      </c>
      <c r="T284"/>
    </row>
    <row r="285" spans="1:20">
      <c r="A285" s="5" t="s">
        <v>36</v>
      </c>
      <c r="B285" s="5" t="s">
        <v>13622</v>
      </c>
      <c r="C285" s="4">
        <f>Controle_Pedidos[[#This Row],[Data Compra]]</f>
        <v>45602</v>
      </c>
      <c r="D285" s="4">
        <v>45602</v>
      </c>
      <c r="E285" s="5" t="s">
        <v>15723</v>
      </c>
      <c r="F285" s="5" t="s">
        <v>17714</v>
      </c>
      <c r="G285" s="5" t="s">
        <v>824</v>
      </c>
      <c r="H285" s="5">
        <v>1</v>
      </c>
      <c r="I285" s="8" t="s">
        <v>7466</v>
      </c>
      <c r="J285" s="8" t="s">
        <v>9515</v>
      </c>
      <c r="K285" s="8" t="s">
        <v>1312</v>
      </c>
      <c r="L285" s="8" t="s">
        <v>11566</v>
      </c>
      <c r="M285" s="8" t="s">
        <v>3362</v>
      </c>
      <c r="N285" s="8" t="s">
        <v>5413</v>
      </c>
      <c r="O285" s="5" t="s">
        <v>38</v>
      </c>
      <c r="P285" s="4">
        <v>45630</v>
      </c>
      <c r="Q285" s="15">
        <v>15.1</v>
      </c>
      <c r="R285" s="15">
        <v>4.99</v>
      </c>
      <c r="S285" s="15">
        <v>0</v>
      </c>
      <c r="T285"/>
    </row>
    <row r="286" spans="1:20">
      <c r="A286" s="5" t="s">
        <v>36</v>
      </c>
      <c r="B286" s="5" t="s">
        <v>13623</v>
      </c>
      <c r="C286" s="4">
        <f>Controle_Pedidos[[#This Row],[Data Compra]]</f>
        <v>45602</v>
      </c>
      <c r="D286" s="4">
        <v>45602</v>
      </c>
      <c r="E286" s="5" t="s">
        <v>15724</v>
      </c>
      <c r="F286" s="5" t="s">
        <v>17715</v>
      </c>
      <c r="G286" s="5" t="s">
        <v>824</v>
      </c>
      <c r="H286" s="5">
        <v>1</v>
      </c>
      <c r="I286" s="8" t="s">
        <v>7467</v>
      </c>
      <c r="J286" s="8" t="s">
        <v>9516</v>
      </c>
      <c r="K286" s="8" t="s">
        <v>1313</v>
      </c>
      <c r="L286" s="8" t="s">
        <v>11567</v>
      </c>
      <c r="M286" s="8" t="s">
        <v>3363</v>
      </c>
      <c r="N286" s="8" t="s">
        <v>5414</v>
      </c>
      <c r="O286" s="5" t="s">
        <v>38</v>
      </c>
      <c r="P286" s="4">
        <v>45630</v>
      </c>
      <c r="Q286" s="15">
        <v>15.1</v>
      </c>
      <c r="R286" s="15">
        <v>4.99</v>
      </c>
      <c r="S286" s="15">
        <v>0</v>
      </c>
      <c r="T286"/>
    </row>
    <row r="287" spans="1:20">
      <c r="A287" s="5" t="s">
        <v>36</v>
      </c>
      <c r="B287" s="5" t="s">
        <v>13624</v>
      </c>
      <c r="C287" s="4">
        <f>Controle_Pedidos[[#This Row],[Data Compra]]</f>
        <v>45602</v>
      </c>
      <c r="D287" s="4">
        <v>45602</v>
      </c>
      <c r="E287" s="5" t="s">
        <v>15725</v>
      </c>
      <c r="F287" s="5" t="s">
        <v>17716</v>
      </c>
      <c r="G287" s="5" t="s">
        <v>829</v>
      </c>
      <c r="H287" s="5">
        <v>1</v>
      </c>
      <c r="I287" s="8" t="s">
        <v>7468</v>
      </c>
      <c r="J287" s="8" t="s">
        <v>9517</v>
      </c>
      <c r="K287" s="8" t="s">
        <v>1314</v>
      </c>
      <c r="L287" s="8" t="s">
        <v>11568</v>
      </c>
      <c r="M287" s="8" t="s">
        <v>3364</v>
      </c>
      <c r="N287" s="8" t="s">
        <v>5415</v>
      </c>
      <c r="O287" s="5" t="s">
        <v>40</v>
      </c>
      <c r="P287" s="4">
        <v>45618</v>
      </c>
      <c r="Q287" s="15">
        <v>16.5</v>
      </c>
      <c r="R287" s="15">
        <v>4.99</v>
      </c>
      <c r="S287" s="15">
        <v>0</v>
      </c>
      <c r="T287"/>
    </row>
    <row r="288" spans="1:20">
      <c r="A288" s="5" t="s">
        <v>36</v>
      </c>
      <c r="B288" s="5" t="s">
        <v>13625</v>
      </c>
      <c r="C288" s="4">
        <f>Controle_Pedidos[[#This Row],[Data Compra]]</f>
        <v>45602</v>
      </c>
      <c r="D288" s="4">
        <v>45602</v>
      </c>
      <c r="E288" s="5" t="s">
        <v>15726</v>
      </c>
      <c r="F288" s="5" t="s">
        <v>17717</v>
      </c>
      <c r="G288" s="5" t="s">
        <v>834</v>
      </c>
      <c r="H288" s="5">
        <v>1</v>
      </c>
      <c r="I288" s="8" t="s">
        <v>7469</v>
      </c>
      <c r="J288" s="8" t="s">
        <v>9518</v>
      </c>
      <c r="K288" s="8" t="s">
        <v>1315</v>
      </c>
      <c r="L288" s="8" t="s">
        <v>11569</v>
      </c>
      <c r="M288" s="8" t="s">
        <v>3365</v>
      </c>
      <c r="N288" s="8" t="s">
        <v>5416</v>
      </c>
      <c r="O288" s="5" t="s">
        <v>54</v>
      </c>
      <c r="P288" s="4">
        <v>45618</v>
      </c>
      <c r="Q288" s="15">
        <v>23.8</v>
      </c>
      <c r="R288" s="15">
        <v>10.039999999999999</v>
      </c>
      <c r="S288" s="15">
        <v>0</v>
      </c>
      <c r="T288"/>
    </row>
    <row r="289" spans="1:20">
      <c r="A289" s="5" t="s">
        <v>36</v>
      </c>
      <c r="B289" s="5" t="s">
        <v>13626</v>
      </c>
      <c r="C289" s="4">
        <f>Controle_Pedidos[[#This Row],[Data Compra]]</f>
        <v>45602</v>
      </c>
      <c r="D289" s="4">
        <v>45602</v>
      </c>
      <c r="E289" s="5" t="s">
        <v>15727</v>
      </c>
      <c r="F289" s="5" t="s">
        <v>17718</v>
      </c>
      <c r="G289" s="5" t="s">
        <v>852</v>
      </c>
      <c r="H289" s="5">
        <v>1</v>
      </c>
      <c r="I289" s="8" t="s">
        <v>7470</v>
      </c>
      <c r="J289" s="8" t="s">
        <v>9519</v>
      </c>
      <c r="K289" s="8" t="s">
        <v>1316</v>
      </c>
      <c r="L289" s="8" t="s">
        <v>11570</v>
      </c>
      <c r="M289" s="8" t="s">
        <v>3366</v>
      </c>
      <c r="N289" s="8" t="s">
        <v>5417</v>
      </c>
      <c r="O289" s="5" t="s">
        <v>68</v>
      </c>
      <c r="P289" s="4">
        <v>45618</v>
      </c>
      <c r="Q289" s="15">
        <v>16.5</v>
      </c>
      <c r="R289" s="15">
        <v>5.48</v>
      </c>
      <c r="S289" s="15">
        <v>0</v>
      </c>
      <c r="T289"/>
    </row>
    <row r="290" spans="1:20">
      <c r="A290" s="5" t="s">
        <v>36</v>
      </c>
      <c r="B290" s="5" t="s">
        <v>13627</v>
      </c>
      <c r="C290" s="4">
        <f>Controle_Pedidos[[#This Row],[Data Compra]]</f>
        <v>45602</v>
      </c>
      <c r="D290" s="4">
        <v>45602</v>
      </c>
      <c r="E290" s="5" t="s">
        <v>15728</v>
      </c>
      <c r="F290" s="5" t="s">
        <v>17719</v>
      </c>
      <c r="G290" s="5" t="s">
        <v>829</v>
      </c>
      <c r="H290" s="5">
        <v>1</v>
      </c>
      <c r="I290" s="8" t="s">
        <v>7471</v>
      </c>
      <c r="J290" s="8" t="s">
        <v>9520</v>
      </c>
      <c r="K290" s="8" t="s">
        <v>1317</v>
      </c>
      <c r="L290" s="8" t="s">
        <v>11571</v>
      </c>
      <c r="M290" s="8" t="s">
        <v>3367</v>
      </c>
      <c r="N290" s="8" t="s">
        <v>5418</v>
      </c>
      <c r="O290" s="5" t="s">
        <v>40</v>
      </c>
      <c r="P290" s="4">
        <v>45630</v>
      </c>
      <c r="Q290" s="15">
        <v>16.5</v>
      </c>
      <c r="R290" s="15">
        <v>4.99</v>
      </c>
      <c r="S290" s="15">
        <v>0</v>
      </c>
      <c r="T290"/>
    </row>
    <row r="291" spans="1:20">
      <c r="A291" s="5" t="s">
        <v>36</v>
      </c>
      <c r="B291" s="5" t="s">
        <v>13628</v>
      </c>
      <c r="C291" s="4">
        <f>Controle_Pedidos[[#This Row],[Data Compra]]</f>
        <v>45602</v>
      </c>
      <c r="D291" s="4">
        <v>45602</v>
      </c>
      <c r="E291" s="5" t="s">
        <v>15729</v>
      </c>
      <c r="F291" s="5" t="s">
        <v>17720</v>
      </c>
      <c r="G291" s="5" t="s">
        <v>824</v>
      </c>
      <c r="H291" s="5">
        <v>1</v>
      </c>
      <c r="I291" s="8" t="s">
        <v>7472</v>
      </c>
      <c r="J291" s="8" t="s">
        <v>9521</v>
      </c>
      <c r="K291" s="8" t="s">
        <v>1318</v>
      </c>
      <c r="L291" s="8" t="s">
        <v>11572</v>
      </c>
      <c r="M291" s="8" t="s">
        <v>3368</v>
      </c>
      <c r="N291" s="8" t="s">
        <v>5419</v>
      </c>
      <c r="O291" s="5" t="s">
        <v>38</v>
      </c>
      <c r="P291" s="4">
        <v>45637</v>
      </c>
      <c r="Q291" s="15">
        <v>15.1</v>
      </c>
      <c r="R291" s="15">
        <v>7.31</v>
      </c>
      <c r="S291" s="15">
        <v>0</v>
      </c>
      <c r="T291"/>
    </row>
    <row r="292" spans="1:20">
      <c r="A292" s="5" t="s">
        <v>36</v>
      </c>
      <c r="B292" s="5" t="s">
        <v>13629</v>
      </c>
      <c r="C292" s="4">
        <f>Controle_Pedidos[[#This Row],[Data Compra]]</f>
        <v>45602</v>
      </c>
      <c r="D292" s="4">
        <v>45602</v>
      </c>
      <c r="E292" s="5" t="s">
        <v>15730</v>
      </c>
      <c r="F292" s="5" t="s">
        <v>17721</v>
      </c>
      <c r="G292" s="5" t="s">
        <v>824</v>
      </c>
      <c r="H292" s="5">
        <v>1</v>
      </c>
      <c r="I292" s="8" t="s">
        <v>7473</v>
      </c>
      <c r="J292" s="8" t="s">
        <v>9522</v>
      </c>
      <c r="K292" s="8" t="s">
        <v>1319</v>
      </c>
      <c r="L292" s="8" t="s">
        <v>11573</v>
      </c>
      <c r="M292" s="8" t="s">
        <v>3369</v>
      </c>
      <c r="N292" s="8" t="s">
        <v>5420</v>
      </c>
      <c r="O292" s="5" t="s">
        <v>38</v>
      </c>
      <c r="P292" s="4">
        <v>45630</v>
      </c>
      <c r="Q292" s="15">
        <v>15.1</v>
      </c>
      <c r="R292" s="15">
        <v>4.99</v>
      </c>
      <c r="S292" s="15">
        <v>0</v>
      </c>
      <c r="T292"/>
    </row>
    <row r="293" spans="1:20">
      <c r="A293" s="5" t="s">
        <v>36</v>
      </c>
      <c r="B293" s="5" t="s">
        <v>13630</v>
      </c>
      <c r="C293" s="4">
        <f>Controle_Pedidos[[#This Row],[Data Compra]]</f>
        <v>45602</v>
      </c>
      <c r="D293" s="4">
        <v>45602</v>
      </c>
      <c r="E293" s="5" t="s">
        <v>15731</v>
      </c>
      <c r="F293" s="5" t="s">
        <v>17722</v>
      </c>
      <c r="G293" s="5" t="s">
        <v>824</v>
      </c>
      <c r="H293" s="5">
        <v>1</v>
      </c>
      <c r="I293" s="8" t="s">
        <v>7474</v>
      </c>
      <c r="J293" s="8" t="s">
        <v>9523</v>
      </c>
      <c r="K293" s="8" t="s">
        <v>1320</v>
      </c>
      <c r="L293" s="8" t="s">
        <v>11574</v>
      </c>
      <c r="M293" s="8" t="s">
        <v>3370</v>
      </c>
      <c r="N293" s="8" t="s">
        <v>5421</v>
      </c>
      <c r="O293" s="5" t="s">
        <v>38</v>
      </c>
      <c r="P293" s="4">
        <v>45624</v>
      </c>
      <c r="Q293" s="15">
        <v>15.1</v>
      </c>
      <c r="R293" s="15">
        <v>4.99</v>
      </c>
      <c r="S293" s="15">
        <v>0</v>
      </c>
      <c r="T293"/>
    </row>
    <row r="294" spans="1:20">
      <c r="A294" s="5" t="s">
        <v>36</v>
      </c>
      <c r="B294" s="5" t="s">
        <v>13631</v>
      </c>
      <c r="C294" s="4">
        <f>Controle_Pedidos[[#This Row],[Data Compra]]</f>
        <v>45602</v>
      </c>
      <c r="D294" s="4">
        <v>45602</v>
      </c>
      <c r="E294" s="5" t="s">
        <v>15732</v>
      </c>
      <c r="F294" s="5" t="s">
        <v>17723</v>
      </c>
      <c r="G294" s="5" t="s">
        <v>829</v>
      </c>
      <c r="H294" s="5">
        <v>1</v>
      </c>
      <c r="I294" s="8" t="s">
        <v>7475</v>
      </c>
      <c r="J294" s="8" t="s">
        <v>9524</v>
      </c>
      <c r="K294" s="8" t="s">
        <v>1321</v>
      </c>
      <c r="L294" s="8" t="s">
        <v>11575</v>
      </c>
      <c r="M294" s="8" t="s">
        <v>3371</v>
      </c>
      <c r="N294" s="8" t="s">
        <v>5422</v>
      </c>
      <c r="O294" s="5" t="s">
        <v>40</v>
      </c>
      <c r="P294" s="4">
        <v>45622</v>
      </c>
      <c r="Q294" s="15">
        <v>16.5</v>
      </c>
      <c r="R294" s="15">
        <v>4.99</v>
      </c>
      <c r="S294" s="15">
        <v>0</v>
      </c>
      <c r="T294"/>
    </row>
    <row r="295" spans="1:20">
      <c r="A295" s="5" t="s">
        <v>36</v>
      </c>
      <c r="B295" s="5" t="s">
        <v>13632</v>
      </c>
      <c r="C295" s="4">
        <f>Controle_Pedidos[[#This Row],[Data Compra]]</f>
        <v>45602</v>
      </c>
      <c r="D295" s="4">
        <v>45602</v>
      </c>
      <c r="E295" s="5" t="s">
        <v>15733</v>
      </c>
      <c r="F295" s="5" t="s">
        <v>17724</v>
      </c>
      <c r="G295" s="5" t="s">
        <v>848</v>
      </c>
      <c r="H295" s="5">
        <v>1</v>
      </c>
      <c r="I295" s="8" t="s">
        <v>7476</v>
      </c>
      <c r="J295" s="8" t="s">
        <v>9525</v>
      </c>
      <c r="K295" s="8" t="s">
        <v>1322</v>
      </c>
      <c r="L295" s="8" t="s">
        <v>11576</v>
      </c>
      <c r="M295" s="8" t="s">
        <v>3372</v>
      </c>
      <c r="N295" s="8" t="s">
        <v>5423</v>
      </c>
      <c r="O295" s="5" t="s">
        <v>62</v>
      </c>
      <c r="P295" s="4">
        <v>45630</v>
      </c>
      <c r="Q295" s="15">
        <v>51.99</v>
      </c>
      <c r="R295" s="15">
        <v>7.29</v>
      </c>
      <c r="S295" s="15">
        <v>0</v>
      </c>
      <c r="T295"/>
    </row>
    <row r="296" spans="1:20">
      <c r="A296" s="5" t="s">
        <v>36</v>
      </c>
      <c r="B296" s="5" t="s">
        <v>13633</v>
      </c>
      <c r="C296" s="4">
        <f>Controle_Pedidos[[#This Row],[Data Compra]]</f>
        <v>45602</v>
      </c>
      <c r="D296" s="4">
        <v>45602</v>
      </c>
      <c r="E296" s="5" t="s">
        <v>15734</v>
      </c>
      <c r="F296" s="5" t="s">
        <v>17725</v>
      </c>
      <c r="G296" s="5" t="s">
        <v>829</v>
      </c>
      <c r="H296" s="5">
        <v>1</v>
      </c>
      <c r="I296" s="8" t="s">
        <v>7477</v>
      </c>
      <c r="J296" s="8" t="s">
        <v>9526</v>
      </c>
      <c r="K296" s="8" t="s">
        <v>1323</v>
      </c>
      <c r="L296" s="8" t="s">
        <v>11577</v>
      </c>
      <c r="M296" s="8" t="s">
        <v>3373</v>
      </c>
      <c r="N296" s="8" t="s">
        <v>5424</v>
      </c>
      <c r="O296" s="5" t="s">
        <v>40</v>
      </c>
      <c r="P296" s="4">
        <v>45630</v>
      </c>
      <c r="Q296" s="15">
        <v>16.5</v>
      </c>
      <c r="R296" s="15">
        <v>4.99</v>
      </c>
      <c r="S296" s="15">
        <v>0</v>
      </c>
      <c r="T296"/>
    </row>
    <row r="297" spans="1:20">
      <c r="A297" s="5" t="s">
        <v>36</v>
      </c>
      <c r="B297" s="5" t="s">
        <v>13634</v>
      </c>
      <c r="C297" s="4">
        <f>Controle_Pedidos[[#This Row],[Data Compra]]</f>
        <v>45602</v>
      </c>
      <c r="D297" s="4">
        <v>45602</v>
      </c>
      <c r="E297" s="5" t="s">
        <v>15735</v>
      </c>
      <c r="F297" s="5" t="s">
        <v>17726</v>
      </c>
      <c r="G297" s="5" t="s">
        <v>829</v>
      </c>
      <c r="H297" s="5">
        <v>1</v>
      </c>
      <c r="I297" s="8" t="s">
        <v>7478</v>
      </c>
      <c r="J297" s="8" t="s">
        <v>9527</v>
      </c>
      <c r="K297" s="8" t="s">
        <v>1324</v>
      </c>
      <c r="L297" s="8" t="s">
        <v>11578</v>
      </c>
      <c r="M297" s="8" t="s">
        <v>3374</v>
      </c>
      <c r="N297" s="8" t="s">
        <v>5425</v>
      </c>
      <c r="O297" s="5" t="s">
        <v>40</v>
      </c>
      <c r="P297" s="4">
        <v>45624</v>
      </c>
      <c r="Q297" s="15">
        <v>16.5</v>
      </c>
      <c r="R297" s="15">
        <v>4.99</v>
      </c>
      <c r="S297" s="15">
        <v>0</v>
      </c>
      <c r="T297"/>
    </row>
    <row r="298" spans="1:20">
      <c r="A298" s="5" t="s">
        <v>36</v>
      </c>
      <c r="B298" s="5" t="s">
        <v>13635</v>
      </c>
      <c r="C298" s="4">
        <f>Controle_Pedidos[[#This Row],[Data Compra]]</f>
        <v>45602</v>
      </c>
      <c r="D298" s="4">
        <v>45602</v>
      </c>
      <c r="E298" s="5" t="s">
        <v>15736</v>
      </c>
      <c r="F298" s="5" t="s">
        <v>17727</v>
      </c>
      <c r="G298" s="5" t="s">
        <v>849</v>
      </c>
      <c r="H298" s="5">
        <v>1</v>
      </c>
      <c r="I298" s="8" t="s">
        <v>7479</v>
      </c>
      <c r="J298" s="8" t="s">
        <v>9528</v>
      </c>
      <c r="K298" s="8" t="s">
        <v>1325</v>
      </c>
      <c r="L298" s="8" t="s">
        <v>11579</v>
      </c>
      <c r="M298" s="8" t="s">
        <v>3375</v>
      </c>
      <c r="N298" s="8" t="s">
        <v>5426</v>
      </c>
      <c r="O298" s="5" t="s">
        <v>61</v>
      </c>
      <c r="P298" s="4">
        <v>45630</v>
      </c>
      <c r="Q298" s="15">
        <v>100</v>
      </c>
      <c r="R298" s="15">
        <v>7.29</v>
      </c>
      <c r="S298" s="15">
        <v>0</v>
      </c>
      <c r="T298"/>
    </row>
    <row r="299" spans="1:20">
      <c r="A299" s="5" t="s">
        <v>36</v>
      </c>
      <c r="B299" s="5" t="s">
        <v>13636</v>
      </c>
      <c r="C299" s="4">
        <f>Controle_Pedidos[[#This Row],[Data Compra]]</f>
        <v>45602</v>
      </c>
      <c r="D299" s="4">
        <v>45602</v>
      </c>
      <c r="E299" s="5" t="s">
        <v>15737</v>
      </c>
      <c r="F299" s="5" t="s">
        <v>17728</v>
      </c>
      <c r="G299" s="5" t="s">
        <v>849</v>
      </c>
      <c r="H299" s="5">
        <v>1</v>
      </c>
      <c r="I299" s="8" t="s">
        <v>7480</v>
      </c>
      <c r="J299" s="8" t="s">
        <v>9529</v>
      </c>
      <c r="K299" s="8" t="s">
        <v>1326</v>
      </c>
      <c r="L299" s="8" t="s">
        <v>11580</v>
      </c>
      <c r="M299" s="8" t="s">
        <v>3376</v>
      </c>
      <c r="N299" s="8" t="s">
        <v>5427</v>
      </c>
      <c r="O299" s="5" t="s">
        <v>61</v>
      </c>
      <c r="P299" s="4">
        <v>45624</v>
      </c>
      <c r="Q299" s="15">
        <v>100</v>
      </c>
      <c r="R299" s="15">
        <v>7.29</v>
      </c>
      <c r="S299" s="15">
        <v>0</v>
      </c>
      <c r="T299"/>
    </row>
    <row r="300" spans="1:20">
      <c r="A300" s="5" t="s">
        <v>36</v>
      </c>
      <c r="B300" s="5" t="s">
        <v>13637</v>
      </c>
      <c r="C300" s="4">
        <f>Controle_Pedidos[[#This Row],[Data Compra]]</f>
        <v>45603</v>
      </c>
      <c r="D300" s="4">
        <v>45603</v>
      </c>
      <c r="E300" s="5" t="s">
        <v>15738</v>
      </c>
      <c r="F300" s="5" t="s">
        <v>17729</v>
      </c>
      <c r="G300" s="5" t="s">
        <v>817</v>
      </c>
      <c r="H300" s="5">
        <v>1</v>
      </c>
      <c r="I300" s="8" t="s">
        <v>7481</v>
      </c>
      <c r="J300" s="8" t="s">
        <v>9530</v>
      </c>
      <c r="K300" s="8" t="s">
        <v>1327</v>
      </c>
      <c r="L300" s="8" t="s">
        <v>11581</v>
      </c>
      <c r="M300" s="8" t="s">
        <v>3377</v>
      </c>
      <c r="N300" s="8" t="s">
        <v>5428</v>
      </c>
      <c r="O300" s="5" t="s">
        <v>39</v>
      </c>
      <c r="P300" s="4">
        <v>45625</v>
      </c>
      <c r="Q300" s="15">
        <v>32.5</v>
      </c>
      <c r="R300" s="15">
        <v>0</v>
      </c>
      <c r="S300" s="15">
        <v>0</v>
      </c>
      <c r="T300"/>
    </row>
    <row r="301" spans="1:20">
      <c r="A301" s="5" t="s">
        <v>36</v>
      </c>
      <c r="B301" s="5" t="s">
        <v>13638</v>
      </c>
      <c r="C301" s="4">
        <f>Controle_Pedidos[[#This Row],[Data Compra]]</f>
        <v>45603</v>
      </c>
      <c r="D301" s="4">
        <v>45603</v>
      </c>
      <c r="E301" s="5" t="s">
        <v>15739</v>
      </c>
      <c r="F301" s="5" t="s">
        <v>17730</v>
      </c>
      <c r="G301" s="5" t="s">
        <v>829</v>
      </c>
      <c r="H301" s="5">
        <v>1</v>
      </c>
      <c r="I301" s="8" t="s">
        <v>7482</v>
      </c>
      <c r="J301" s="8" t="s">
        <v>9531</v>
      </c>
      <c r="K301" s="8" t="s">
        <v>1328</v>
      </c>
      <c r="L301" s="8" t="s">
        <v>11582</v>
      </c>
      <c r="M301" s="8" t="s">
        <v>3378</v>
      </c>
      <c r="N301" s="8" t="s">
        <v>5429</v>
      </c>
      <c r="O301" s="5" t="s">
        <v>40</v>
      </c>
      <c r="P301" s="4">
        <v>45625</v>
      </c>
      <c r="Q301" s="15">
        <v>16.5</v>
      </c>
      <c r="R301" s="15">
        <v>4.99</v>
      </c>
      <c r="S301" s="15">
        <v>0</v>
      </c>
      <c r="T301"/>
    </row>
    <row r="302" spans="1:20">
      <c r="A302" s="5" t="s">
        <v>36</v>
      </c>
      <c r="B302" s="5" t="s">
        <v>13639</v>
      </c>
      <c r="C302" s="4">
        <f>Controle_Pedidos[[#This Row],[Data Compra]]</f>
        <v>45604</v>
      </c>
      <c r="D302" s="4">
        <v>45604</v>
      </c>
      <c r="E302" s="5" t="s">
        <v>15740</v>
      </c>
      <c r="F302" s="5" t="s">
        <v>17731</v>
      </c>
      <c r="G302" s="5" t="s">
        <v>824</v>
      </c>
      <c r="H302" s="5">
        <v>1</v>
      </c>
      <c r="I302" s="8" t="s">
        <v>7483</v>
      </c>
      <c r="J302" s="8" t="s">
        <v>9532</v>
      </c>
      <c r="K302" s="8" t="s">
        <v>1329</v>
      </c>
      <c r="L302" s="8" t="s">
        <v>11583</v>
      </c>
      <c r="M302" s="8" t="s">
        <v>3379</v>
      </c>
      <c r="N302" s="8" t="s">
        <v>5430</v>
      </c>
      <c r="O302" s="5" t="s">
        <v>38</v>
      </c>
      <c r="P302" s="4">
        <v>45631</v>
      </c>
      <c r="Q302" s="15">
        <v>14.8</v>
      </c>
      <c r="R302" s="15">
        <v>4.99</v>
      </c>
      <c r="S302" s="15">
        <v>0</v>
      </c>
      <c r="T302"/>
    </row>
    <row r="303" spans="1:20">
      <c r="A303" s="5" t="s">
        <v>36</v>
      </c>
      <c r="B303" s="5" t="s">
        <v>13640</v>
      </c>
      <c r="C303" s="4">
        <f>Controle_Pedidos[[#This Row],[Data Compra]]</f>
        <v>45603</v>
      </c>
      <c r="D303" s="4">
        <v>45603</v>
      </c>
      <c r="E303" s="5" t="s">
        <v>15741</v>
      </c>
      <c r="F303" s="5" t="s">
        <v>17732</v>
      </c>
      <c r="G303" s="5" t="s">
        <v>824</v>
      </c>
      <c r="H303" s="5">
        <v>1</v>
      </c>
      <c r="I303" s="8" t="s">
        <v>7484</v>
      </c>
      <c r="J303" s="8" t="s">
        <v>9533</v>
      </c>
      <c r="K303" s="8" t="s">
        <v>1330</v>
      </c>
      <c r="L303" s="8" t="s">
        <v>11584</v>
      </c>
      <c r="M303" s="8" t="s">
        <v>3380</v>
      </c>
      <c r="N303" s="8" t="s">
        <v>5431</v>
      </c>
      <c r="O303" s="5" t="s">
        <v>38</v>
      </c>
      <c r="P303" s="4">
        <v>45625</v>
      </c>
      <c r="Q303" s="15">
        <v>14.8</v>
      </c>
      <c r="R303" s="15">
        <v>0</v>
      </c>
      <c r="S303" s="15">
        <v>0</v>
      </c>
      <c r="T303"/>
    </row>
    <row r="304" spans="1:20">
      <c r="A304" s="5" t="s">
        <v>36</v>
      </c>
      <c r="B304" s="5" t="s">
        <v>13641</v>
      </c>
      <c r="C304" s="4">
        <f>Controle_Pedidos[[#This Row],[Data Compra]]</f>
        <v>45603</v>
      </c>
      <c r="D304" s="4">
        <v>45603</v>
      </c>
      <c r="E304" s="5" t="s">
        <v>15742</v>
      </c>
      <c r="F304" s="5" t="s">
        <v>17733</v>
      </c>
      <c r="G304" s="5" t="s">
        <v>829</v>
      </c>
      <c r="H304" s="5">
        <v>1</v>
      </c>
      <c r="I304" s="8" t="s">
        <v>7485</v>
      </c>
      <c r="J304" s="8" t="s">
        <v>9534</v>
      </c>
      <c r="K304" s="8" t="s">
        <v>1331</v>
      </c>
      <c r="L304" s="8" t="s">
        <v>11585</v>
      </c>
      <c r="M304" s="8" t="s">
        <v>3381</v>
      </c>
      <c r="N304" s="8" t="s">
        <v>5432</v>
      </c>
      <c r="O304" s="5" t="s">
        <v>40</v>
      </c>
      <c r="P304" s="4">
        <v>45631</v>
      </c>
      <c r="Q304" s="15">
        <v>16.5</v>
      </c>
      <c r="R304" s="15">
        <v>4.99</v>
      </c>
      <c r="S304" s="15">
        <v>0</v>
      </c>
      <c r="T304"/>
    </row>
    <row r="305" spans="1:20">
      <c r="A305" s="5" t="s">
        <v>36</v>
      </c>
      <c r="B305" s="5" t="s">
        <v>13642</v>
      </c>
      <c r="C305" s="4">
        <f>Controle_Pedidos[[#This Row],[Data Compra]]</f>
        <v>45605</v>
      </c>
      <c r="D305" s="4">
        <v>45605</v>
      </c>
      <c r="E305" s="5" t="s">
        <v>15743</v>
      </c>
      <c r="F305" s="5" t="s">
        <v>17734</v>
      </c>
      <c r="G305" s="5" t="s">
        <v>829</v>
      </c>
      <c r="H305" s="5">
        <v>1</v>
      </c>
      <c r="I305" s="8" t="s">
        <v>7485</v>
      </c>
      <c r="J305" s="8" t="s">
        <v>9534</v>
      </c>
      <c r="K305" s="8" t="s">
        <v>1331</v>
      </c>
      <c r="L305" s="8" t="s">
        <v>11585</v>
      </c>
      <c r="M305" s="8" t="s">
        <v>3381</v>
      </c>
      <c r="N305" s="8" t="s">
        <v>5432</v>
      </c>
      <c r="O305" s="5" t="s">
        <v>40</v>
      </c>
      <c r="P305" s="4">
        <v>45631</v>
      </c>
      <c r="Q305" s="15">
        <v>16.5</v>
      </c>
      <c r="R305" s="15">
        <v>6.57</v>
      </c>
      <c r="S305" s="15">
        <v>0</v>
      </c>
      <c r="T305"/>
    </row>
    <row r="306" spans="1:20">
      <c r="A306" s="5" t="s">
        <v>36</v>
      </c>
      <c r="B306" s="5" t="s">
        <v>13643</v>
      </c>
      <c r="C306" s="4">
        <f>Controle_Pedidos[[#This Row],[Data Compra]]</f>
        <v>45603</v>
      </c>
      <c r="D306" s="4">
        <v>45603</v>
      </c>
      <c r="E306" s="5" t="s">
        <v>15744</v>
      </c>
      <c r="F306" s="5" t="s">
        <v>17735</v>
      </c>
      <c r="G306" s="5" t="s">
        <v>829</v>
      </c>
      <c r="H306" s="5">
        <v>1</v>
      </c>
      <c r="I306" s="8" t="s">
        <v>7486</v>
      </c>
      <c r="J306" s="8" t="s">
        <v>9535</v>
      </c>
      <c r="K306" s="8" t="s">
        <v>1332</v>
      </c>
      <c r="L306" s="8" t="s">
        <v>11586</v>
      </c>
      <c r="M306" s="8" t="s">
        <v>3382</v>
      </c>
      <c r="N306" s="8" t="s">
        <v>5433</v>
      </c>
      <c r="O306" s="5" t="s">
        <v>40</v>
      </c>
      <c r="P306" s="4">
        <v>45632</v>
      </c>
      <c r="Q306" s="15">
        <v>16.5</v>
      </c>
      <c r="R306" s="15">
        <v>4.99</v>
      </c>
      <c r="S306" s="15">
        <v>0</v>
      </c>
      <c r="T306"/>
    </row>
    <row r="307" spans="1:20">
      <c r="A307" s="5" t="s">
        <v>36</v>
      </c>
      <c r="B307" s="5" t="s">
        <v>13644</v>
      </c>
      <c r="C307" s="4">
        <f>Controle_Pedidos[[#This Row],[Data Compra]]</f>
        <v>45603</v>
      </c>
      <c r="D307" s="4">
        <v>45603</v>
      </c>
      <c r="E307" s="5" t="s">
        <v>15745</v>
      </c>
      <c r="F307" s="5" t="s">
        <v>17736</v>
      </c>
      <c r="G307" s="5" t="s">
        <v>848</v>
      </c>
      <c r="H307" s="5">
        <v>1</v>
      </c>
      <c r="I307" s="8" t="s">
        <v>7487</v>
      </c>
      <c r="J307" s="8" t="s">
        <v>9536</v>
      </c>
      <c r="K307" s="8" t="s">
        <v>1333</v>
      </c>
      <c r="L307" s="8" t="s">
        <v>11587</v>
      </c>
      <c r="M307" s="8" t="s">
        <v>3383</v>
      </c>
      <c r="N307" s="8" t="s">
        <v>5434</v>
      </c>
      <c r="O307" s="5" t="s">
        <v>62</v>
      </c>
      <c r="P307" s="4">
        <v>45626</v>
      </c>
      <c r="Q307" s="15">
        <v>59.9</v>
      </c>
      <c r="R307" s="15">
        <v>7.27</v>
      </c>
      <c r="S307" s="15">
        <v>0</v>
      </c>
      <c r="T307"/>
    </row>
    <row r="308" spans="1:20">
      <c r="A308" s="5" t="s">
        <v>36</v>
      </c>
      <c r="B308" s="5" t="s">
        <v>13645</v>
      </c>
      <c r="C308" s="4">
        <f>Controle_Pedidos[[#This Row],[Data Compra]]</f>
        <v>45603</v>
      </c>
      <c r="D308" s="4">
        <v>45603</v>
      </c>
      <c r="E308" s="5" t="s">
        <v>15746</v>
      </c>
      <c r="F308" s="5" t="s">
        <v>17737</v>
      </c>
      <c r="G308" s="5" t="s">
        <v>824</v>
      </c>
      <c r="H308" s="5">
        <v>1</v>
      </c>
      <c r="I308" s="8" t="s">
        <v>7488</v>
      </c>
      <c r="J308" s="8" t="s">
        <v>9537</v>
      </c>
      <c r="K308" s="8" t="s">
        <v>1334</v>
      </c>
      <c r="L308" s="8" t="s">
        <v>11588</v>
      </c>
      <c r="M308" s="8" t="s">
        <v>3384</v>
      </c>
      <c r="N308" s="8" t="s">
        <v>5435</v>
      </c>
      <c r="O308" s="5" t="s">
        <v>38</v>
      </c>
      <c r="P308" s="4">
        <v>45632</v>
      </c>
      <c r="Q308" s="15">
        <v>14.8</v>
      </c>
      <c r="R308" s="15">
        <v>4.99</v>
      </c>
      <c r="S308" s="15">
        <v>0</v>
      </c>
      <c r="T308"/>
    </row>
    <row r="309" spans="1:20">
      <c r="A309" s="5" t="s">
        <v>36</v>
      </c>
      <c r="B309" s="5" t="s">
        <v>13646</v>
      </c>
      <c r="C309" s="4">
        <f>Controle_Pedidos[[#This Row],[Data Compra]]</f>
        <v>45603</v>
      </c>
      <c r="D309" s="4">
        <v>45603</v>
      </c>
      <c r="E309" s="5" t="s">
        <v>15747</v>
      </c>
      <c r="F309" s="5" t="s">
        <v>17738</v>
      </c>
      <c r="G309" s="5" t="s">
        <v>829</v>
      </c>
      <c r="H309" s="5">
        <v>1</v>
      </c>
      <c r="I309" s="8" t="s">
        <v>7489</v>
      </c>
      <c r="J309" s="8" t="s">
        <v>9538</v>
      </c>
      <c r="K309" s="8" t="s">
        <v>1335</v>
      </c>
      <c r="L309" s="8" t="s">
        <v>11589</v>
      </c>
      <c r="M309" s="8" t="s">
        <v>3385</v>
      </c>
      <c r="N309" s="8" t="s">
        <v>5436</v>
      </c>
      <c r="O309" s="5" t="s">
        <v>40</v>
      </c>
      <c r="P309" s="4">
        <v>45626</v>
      </c>
      <c r="Q309" s="15">
        <v>16.5</v>
      </c>
      <c r="R309" s="15">
        <v>4.99</v>
      </c>
      <c r="S309" s="15">
        <v>0</v>
      </c>
      <c r="T309"/>
    </row>
    <row r="310" spans="1:20">
      <c r="A310" s="5" t="s">
        <v>36</v>
      </c>
      <c r="B310" s="5" t="s">
        <v>13647</v>
      </c>
      <c r="C310" s="4">
        <f>Controle_Pedidos[[#This Row],[Data Compra]]</f>
        <v>45603</v>
      </c>
      <c r="D310" s="4">
        <v>45603</v>
      </c>
      <c r="E310" s="5" t="s">
        <v>15748</v>
      </c>
      <c r="F310" s="5" t="s">
        <v>17739</v>
      </c>
      <c r="G310" s="5" t="s">
        <v>824</v>
      </c>
      <c r="H310" s="5">
        <v>1</v>
      </c>
      <c r="I310" s="8" t="s">
        <v>7490</v>
      </c>
      <c r="J310" s="8" t="s">
        <v>9539</v>
      </c>
      <c r="K310" s="8" t="s">
        <v>1336</v>
      </c>
      <c r="L310" s="8" t="s">
        <v>11590</v>
      </c>
      <c r="M310" s="8" t="s">
        <v>3386</v>
      </c>
      <c r="N310" s="8" t="s">
        <v>5437</v>
      </c>
      <c r="O310" s="5" t="s">
        <v>38</v>
      </c>
      <c r="P310" s="4">
        <v>45632</v>
      </c>
      <c r="Q310" s="15">
        <v>14.8</v>
      </c>
      <c r="R310" s="15">
        <v>4.99</v>
      </c>
      <c r="S310" s="15">
        <v>0</v>
      </c>
      <c r="T310"/>
    </row>
    <row r="311" spans="1:20">
      <c r="A311" s="5" t="s">
        <v>36</v>
      </c>
      <c r="B311" s="5" t="s">
        <v>13648</v>
      </c>
      <c r="C311" s="4">
        <f>Controle_Pedidos[[#This Row],[Data Compra]]</f>
        <v>45603</v>
      </c>
      <c r="D311" s="4">
        <v>45603</v>
      </c>
      <c r="E311" s="5" t="s">
        <v>15749</v>
      </c>
      <c r="F311" s="5" t="s">
        <v>17740</v>
      </c>
      <c r="G311" s="5" t="s">
        <v>824</v>
      </c>
      <c r="H311" s="5">
        <v>1</v>
      </c>
      <c r="I311" s="8" t="s">
        <v>7491</v>
      </c>
      <c r="J311" s="8" t="s">
        <v>9540</v>
      </c>
      <c r="K311" s="8" t="s">
        <v>1337</v>
      </c>
      <c r="L311" s="8" t="s">
        <v>11591</v>
      </c>
      <c r="M311" s="8" t="s">
        <v>3387</v>
      </c>
      <c r="N311" s="8" t="s">
        <v>5438</v>
      </c>
      <c r="O311" s="5" t="s">
        <v>38</v>
      </c>
      <c r="P311" s="4">
        <v>45632</v>
      </c>
      <c r="Q311" s="15">
        <v>14.8</v>
      </c>
      <c r="R311" s="15">
        <v>4.99</v>
      </c>
      <c r="S311" s="15">
        <v>0</v>
      </c>
      <c r="T311"/>
    </row>
    <row r="312" spans="1:20">
      <c r="A312" s="5" t="s">
        <v>36</v>
      </c>
      <c r="B312" s="5" t="s">
        <v>13649</v>
      </c>
      <c r="C312" s="4">
        <f>Controle_Pedidos[[#This Row],[Data Compra]]</f>
        <v>45603</v>
      </c>
      <c r="D312" s="4">
        <v>45603</v>
      </c>
      <c r="E312" s="5" t="s">
        <v>15750</v>
      </c>
      <c r="F312" s="5" t="s">
        <v>17741</v>
      </c>
      <c r="G312" s="5" t="s">
        <v>824</v>
      </c>
      <c r="H312" s="5">
        <v>1</v>
      </c>
      <c r="I312" s="8" t="s">
        <v>7492</v>
      </c>
      <c r="J312" s="8" t="s">
        <v>9541</v>
      </c>
      <c r="K312" s="8" t="s">
        <v>1338</v>
      </c>
      <c r="L312" s="8" t="s">
        <v>11592</v>
      </c>
      <c r="M312" s="8" t="s">
        <v>3388</v>
      </c>
      <c r="N312" s="8" t="s">
        <v>5439</v>
      </c>
      <c r="O312" s="5" t="s">
        <v>38</v>
      </c>
      <c r="P312" s="4">
        <v>45632</v>
      </c>
      <c r="Q312" s="15">
        <v>14.8</v>
      </c>
      <c r="R312" s="15">
        <v>4.99</v>
      </c>
      <c r="S312" s="15">
        <v>0</v>
      </c>
      <c r="T312"/>
    </row>
    <row r="313" spans="1:20">
      <c r="A313" s="5" t="s">
        <v>36</v>
      </c>
      <c r="B313" s="5" t="s">
        <v>13650</v>
      </c>
      <c r="C313" s="4">
        <f>Controle_Pedidos[[#This Row],[Data Compra]]</f>
        <v>45603</v>
      </c>
      <c r="D313" s="4">
        <v>45603</v>
      </c>
      <c r="E313" s="5" t="s">
        <v>15751</v>
      </c>
      <c r="F313" s="5" t="s">
        <v>17742</v>
      </c>
      <c r="G313" s="5" t="s">
        <v>824</v>
      </c>
      <c r="H313" s="5">
        <v>1</v>
      </c>
      <c r="I313" s="8" t="s">
        <v>7493</v>
      </c>
      <c r="J313" s="8" t="s">
        <v>9542</v>
      </c>
      <c r="K313" s="8" t="s">
        <v>1339</v>
      </c>
      <c r="L313" s="8" t="s">
        <v>11593</v>
      </c>
      <c r="M313" s="8" t="s">
        <v>3389</v>
      </c>
      <c r="N313" s="8" t="s">
        <v>5440</v>
      </c>
      <c r="O313" s="5" t="s">
        <v>38</v>
      </c>
      <c r="P313" s="4">
        <v>45632</v>
      </c>
      <c r="Q313" s="15">
        <v>14.8</v>
      </c>
      <c r="R313" s="15">
        <v>4.99</v>
      </c>
      <c r="S313" s="15">
        <v>0</v>
      </c>
      <c r="T313"/>
    </row>
    <row r="314" spans="1:20">
      <c r="A314" s="5" t="s">
        <v>36</v>
      </c>
      <c r="B314" s="5" t="s">
        <v>13651</v>
      </c>
      <c r="C314" s="4">
        <f>Controle_Pedidos[[#This Row],[Data Compra]]</f>
        <v>45603</v>
      </c>
      <c r="D314" s="4">
        <v>45603</v>
      </c>
      <c r="E314" s="5" t="s">
        <v>15752</v>
      </c>
      <c r="F314" s="5" t="s">
        <v>17743</v>
      </c>
      <c r="G314" s="5" t="s">
        <v>824</v>
      </c>
      <c r="H314" s="5">
        <v>1</v>
      </c>
      <c r="I314" s="8" t="s">
        <v>7494</v>
      </c>
      <c r="J314" s="8" t="s">
        <v>9543</v>
      </c>
      <c r="K314" s="8" t="s">
        <v>1340</v>
      </c>
      <c r="L314" s="8" t="s">
        <v>11594</v>
      </c>
      <c r="M314" s="8" t="s">
        <v>3390</v>
      </c>
      <c r="N314" s="8" t="s">
        <v>5441</v>
      </c>
      <c r="O314" s="5" t="s">
        <v>38</v>
      </c>
      <c r="P314" s="4">
        <v>45626</v>
      </c>
      <c r="Q314" s="15">
        <v>14.8</v>
      </c>
      <c r="R314" s="15">
        <v>4.99</v>
      </c>
      <c r="S314" s="15">
        <v>0</v>
      </c>
      <c r="T314"/>
    </row>
    <row r="315" spans="1:20">
      <c r="A315" s="5" t="s">
        <v>36</v>
      </c>
      <c r="B315" s="5" t="s">
        <v>13652</v>
      </c>
      <c r="C315" s="4">
        <f>Controle_Pedidos[[#This Row],[Data Compra]]</f>
        <v>45603</v>
      </c>
      <c r="D315" s="4">
        <v>45603</v>
      </c>
      <c r="E315" s="5" t="s">
        <v>15753</v>
      </c>
      <c r="F315" s="5" t="s">
        <v>17744</v>
      </c>
      <c r="G315" s="5" t="s">
        <v>829</v>
      </c>
      <c r="H315" s="5">
        <v>1</v>
      </c>
      <c r="I315" s="8" t="s">
        <v>7495</v>
      </c>
      <c r="J315" s="8" t="s">
        <v>9544</v>
      </c>
      <c r="K315" s="8" t="s">
        <v>1341</v>
      </c>
      <c r="L315" s="8" t="s">
        <v>11595</v>
      </c>
      <c r="M315" s="8" t="s">
        <v>3391</v>
      </c>
      <c r="N315" s="8" t="s">
        <v>5442</v>
      </c>
      <c r="O315" s="5" t="s">
        <v>40</v>
      </c>
      <c r="P315" s="4">
        <v>45632</v>
      </c>
      <c r="Q315" s="15">
        <v>16.5</v>
      </c>
      <c r="R315" s="15">
        <v>4.99</v>
      </c>
      <c r="S315" s="15">
        <v>0</v>
      </c>
      <c r="T315"/>
    </row>
    <row r="316" spans="1:20">
      <c r="A316" s="5" t="s">
        <v>36</v>
      </c>
      <c r="B316" s="5" t="s">
        <v>13653</v>
      </c>
      <c r="C316" s="4">
        <f>Controle_Pedidos[[#This Row],[Data Compra]]</f>
        <v>45604</v>
      </c>
      <c r="D316" s="4">
        <v>45604</v>
      </c>
      <c r="E316" s="5" t="s">
        <v>15754</v>
      </c>
      <c r="F316" s="5" t="s">
        <v>17745</v>
      </c>
      <c r="G316" s="5" t="s">
        <v>824</v>
      </c>
      <c r="H316" s="5">
        <v>1</v>
      </c>
      <c r="I316" s="8" t="s">
        <v>7496</v>
      </c>
      <c r="J316" s="8" t="s">
        <v>9545</v>
      </c>
      <c r="K316" s="8" t="s">
        <v>1342</v>
      </c>
      <c r="L316" s="8" t="s">
        <v>11596</v>
      </c>
      <c r="M316" s="8" t="s">
        <v>3392</v>
      </c>
      <c r="N316" s="8" t="s">
        <v>5443</v>
      </c>
      <c r="O316" s="5" t="s">
        <v>38</v>
      </c>
      <c r="P316" s="4">
        <v>45632</v>
      </c>
      <c r="Q316" s="15">
        <v>14.8</v>
      </c>
      <c r="R316" s="15">
        <v>4.99</v>
      </c>
      <c r="S316" s="15">
        <v>0</v>
      </c>
      <c r="T316"/>
    </row>
    <row r="317" spans="1:20">
      <c r="A317" s="5" t="s">
        <v>36</v>
      </c>
      <c r="B317" s="5" t="s">
        <v>13654</v>
      </c>
      <c r="C317" s="4">
        <f>Controle_Pedidos[[#This Row],[Data Compra]]</f>
        <v>45604</v>
      </c>
      <c r="D317" s="4">
        <v>45604</v>
      </c>
      <c r="E317" s="5" t="s">
        <v>15755</v>
      </c>
      <c r="F317" s="5" t="s">
        <v>17746</v>
      </c>
      <c r="G317" s="5" t="s">
        <v>829</v>
      </c>
      <c r="H317" s="5">
        <v>1</v>
      </c>
      <c r="I317" s="8" t="s">
        <v>7497</v>
      </c>
      <c r="J317" s="8" t="s">
        <v>9546</v>
      </c>
      <c r="K317" s="8" t="s">
        <v>1343</v>
      </c>
      <c r="L317" s="8" t="s">
        <v>11597</v>
      </c>
      <c r="M317" s="8" t="s">
        <v>3393</v>
      </c>
      <c r="N317" s="8" t="s">
        <v>5444</v>
      </c>
      <c r="O317" s="5" t="s">
        <v>40</v>
      </c>
      <c r="P317" s="4">
        <v>45624</v>
      </c>
      <c r="Q317" s="15">
        <v>16.5</v>
      </c>
      <c r="R317" s="15">
        <v>6.57</v>
      </c>
      <c r="S317" s="15">
        <v>0</v>
      </c>
      <c r="T317"/>
    </row>
    <row r="318" spans="1:20">
      <c r="A318" s="5" t="s">
        <v>36</v>
      </c>
      <c r="B318" s="5" t="s">
        <v>13655</v>
      </c>
      <c r="C318" s="4">
        <f>Controle_Pedidos[[#This Row],[Data Compra]]</f>
        <v>45604</v>
      </c>
      <c r="D318" s="4">
        <v>45604</v>
      </c>
      <c r="E318" s="5" t="s">
        <v>15756</v>
      </c>
      <c r="F318" s="5" t="s">
        <v>17747</v>
      </c>
      <c r="G318" s="5" t="s">
        <v>829</v>
      </c>
      <c r="H318" s="5">
        <v>1</v>
      </c>
      <c r="I318" s="8" t="s">
        <v>7498</v>
      </c>
      <c r="J318" s="8" t="s">
        <v>9547</v>
      </c>
      <c r="K318" s="8" t="s">
        <v>1344</v>
      </c>
      <c r="L318" s="8" t="s">
        <v>11598</v>
      </c>
      <c r="M318" s="8" t="s">
        <v>3394</v>
      </c>
      <c r="N318" s="8" t="s">
        <v>5445</v>
      </c>
      <c r="O318" s="5" t="s">
        <v>40</v>
      </c>
      <c r="P318" s="4">
        <v>45632</v>
      </c>
      <c r="Q318" s="15">
        <v>16.5</v>
      </c>
      <c r="R318" s="15">
        <v>6.57</v>
      </c>
      <c r="S318" s="15">
        <v>0</v>
      </c>
      <c r="T318"/>
    </row>
    <row r="319" spans="1:20">
      <c r="A319" s="5" t="s">
        <v>36</v>
      </c>
      <c r="B319" s="5" t="s">
        <v>13656</v>
      </c>
      <c r="C319" s="4">
        <f>Controle_Pedidos[[#This Row],[Data Compra]]</f>
        <v>45604</v>
      </c>
      <c r="D319" s="4">
        <v>45604</v>
      </c>
      <c r="E319" s="5" t="s">
        <v>15757</v>
      </c>
      <c r="F319" s="5" t="s">
        <v>17748</v>
      </c>
      <c r="G319" s="5" t="s">
        <v>824</v>
      </c>
      <c r="H319" s="5">
        <v>1</v>
      </c>
      <c r="I319" s="8" t="s">
        <v>7499</v>
      </c>
      <c r="J319" s="8" t="s">
        <v>9548</v>
      </c>
      <c r="K319" s="8" t="s">
        <v>1345</v>
      </c>
      <c r="L319" s="8" t="s">
        <v>11599</v>
      </c>
      <c r="M319" s="8" t="s">
        <v>3395</v>
      </c>
      <c r="N319" s="8" t="s">
        <v>5446</v>
      </c>
      <c r="O319" s="5" t="s">
        <v>38</v>
      </c>
      <c r="P319" s="4">
        <v>45632</v>
      </c>
      <c r="Q319" s="15">
        <v>14.8</v>
      </c>
      <c r="R319" s="15">
        <v>4.99</v>
      </c>
      <c r="S319" s="15">
        <v>0</v>
      </c>
      <c r="T319"/>
    </row>
    <row r="320" spans="1:20">
      <c r="A320" s="5" t="s">
        <v>36</v>
      </c>
      <c r="B320" s="5" t="s">
        <v>13657</v>
      </c>
      <c r="C320" s="4">
        <f>Controle_Pedidos[[#This Row],[Data Compra]]</f>
        <v>45604</v>
      </c>
      <c r="D320" s="4">
        <v>45604</v>
      </c>
      <c r="E320" s="5" t="s">
        <v>15758</v>
      </c>
      <c r="F320" s="5" t="s">
        <v>17749</v>
      </c>
      <c r="G320" s="5" t="s">
        <v>829</v>
      </c>
      <c r="H320" s="5">
        <v>1</v>
      </c>
      <c r="I320" s="8" t="s">
        <v>7500</v>
      </c>
      <c r="J320" s="8" t="s">
        <v>9549</v>
      </c>
      <c r="K320" s="8" t="s">
        <v>1346</v>
      </c>
      <c r="L320" s="8" t="s">
        <v>11600</v>
      </c>
      <c r="M320" s="8" t="s">
        <v>3396</v>
      </c>
      <c r="N320" s="8" t="s">
        <v>5447</v>
      </c>
      <c r="O320" s="5" t="s">
        <v>40</v>
      </c>
      <c r="P320" s="4">
        <v>45632</v>
      </c>
      <c r="Q320" s="15">
        <v>16.5</v>
      </c>
      <c r="R320" s="15">
        <v>6.57</v>
      </c>
      <c r="S320" s="15">
        <v>0</v>
      </c>
      <c r="T320"/>
    </row>
    <row r="321" spans="1:20">
      <c r="A321" s="5" t="s">
        <v>36</v>
      </c>
      <c r="B321" s="5" t="s">
        <v>13658</v>
      </c>
      <c r="C321" s="4">
        <f>Controle_Pedidos[[#This Row],[Data Compra]]</f>
        <v>45604</v>
      </c>
      <c r="D321" s="4">
        <v>45604</v>
      </c>
      <c r="E321" s="5" t="s">
        <v>15759</v>
      </c>
      <c r="F321" s="5" t="s">
        <v>17750</v>
      </c>
      <c r="G321" s="5" t="s">
        <v>829</v>
      </c>
      <c r="H321" s="5">
        <v>1</v>
      </c>
      <c r="I321" s="8" t="s">
        <v>7501</v>
      </c>
      <c r="J321" s="8" t="s">
        <v>9550</v>
      </c>
      <c r="K321" s="8" t="s">
        <v>1347</v>
      </c>
      <c r="L321" s="8" t="s">
        <v>11601</v>
      </c>
      <c r="M321" s="8" t="s">
        <v>3397</v>
      </c>
      <c r="N321" s="8" t="s">
        <v>5448</v>
      </c>
      <c r="O321" s="5" t="s">
        <v>40</v>
      </c>
      <c r="P321" s="4">
        <v>45622</v>
      </c>
      <c r="Q321" s="15">
        <v>16.5</v>
      </c>
      <c r="R321" s="15">
        <v>6.57</v>
      </c>
      <c r="S321" s="15">
        <v>0</v>
      </c>
      <c r="T321"/>
    </row>
    <row r="322" spans="1:20">
      <c r="A322" s="5" t="s">
        <v>36</v>
      </c>
      <c r="B322" s="5" t="s">
        <v>13659</v>
      </c>
      <c r="C322" s="4">
        <f>Controle_Pedidos[[#This Row],[Data Compra]]</f>
        <v>45604</v>
      </c>
      <c r="D322" s="4">
        <v>45604</v>
      </c>
      <c r="E322" s="5" t="s">
        <v>15760</v>
      </c>
      <c r="F322" s="5" t="s">
        <v>17751</v>
      </c>
      <c r="G322" s="5" t="s">
        <v>829</v>
      </c>
      <c r="H322" s="5">
        <v>1</v>
      </c>
      <c r="I322" s="8" t="s">
        <v>7502</v>
      </c>
      <c r="J322" s="8" t="s">
        <v>9551</v>
      </c>
      <c r="K322" s="8" t="s">
        <v>1348</v>
      </c>
      <c r="L322" s="8" t="s">
        <v>11602</v>
      </c>
      <c r="M322" s="8" t="s">
        <v>3398</v>
      </c>
      <c r="N322" s="8" t="s">
        <v>5449</v>
      </c>
      <c r="O322" s="5" t="s">
        <v>40</v>
      </c>
      <c r="P322" s="4">
        <v>45632</v>
      </c>
      <c r="Q322" s="15">
        <v>16.5</v>
      </c>
      <c r="R322" s="15">
        <v>6.57</v>
      </c>
      <c r="S322" s="15">
        <v>0</v>
      </c>
      <c r="T322"/>
    </row>
    <row r="323" spans="1:20">
      <c r="A323" s="5" t="s">
        <v>36</v>
      </c>
      <c r="B323" s="5" t="s">
        <v>13660</v>
      </c>
      <c r="C323" s="4">
        <f>Controle_Pedidos[[#This Row],[Data Compra]]</f>
        <v>45604</v>
      </c>
      <c r="D323" s="4">
        <v>45604</v>
      </c>
      <c r="E323" s="5" t="s">
        <v>15761</v>
      </c>
      <c r="F323" s="5" t="s">
        <v>17752</v>
      </c>
      <c r="G323" s="5" t="s">
        <v>829</v>
      </c>
      <c r="H323" s="5">
        <v>1</v>
      </c>
      <c r="I323" s="8" t="s">
        <v>7503</v>
      </c>
      <c r="J323" s="8" t="s">
        <v>9552</v>
      </c>
      <c r="K323" s="8" t="s">
        <v>1349</v>
      </c>
      <c r="L323" s="8" t="s">
        <v>11603</v>
      </c>
      <c r="M323" s="8" t="s">
        <v>3399</v>
      </c>
      <c r="N323" s="8" t="s">
        <v>5450</v>
      </c>
      <c r="O323" s="5" t="s">
        <v>40</v>
      </c>
      <c r="P323" s="4">
        <v>45624</v>
      </c>
      <c r="Q323" s="15">
        <v>16.5</v>
      </c>
      <c r="R323" s="15">
        <v>6.57</v>
      </c>
      <c r="S323" s="15">
        <v>0</v>
      </c>
      <c r="T323"/>
    </row>
    <row r="324" spans="1:20">
      <c r="A324" s="5" t="s">
        <v>36</v>
      </c>
      <c r="B324" s="5" t="s">
        <v>13661</v>
      </c>
      <c r="C324" s="4">
        <f>Controle_Pedidos[[#This Row],[Data Compra]]</f>
        <v>45604</v>
      </c>
      <c r="D324" s="4">
        <v>45604</v>
      </c>
      <c r="E324" s="5" t="s">
        <v>15762</v>
      </c>
      <c r="F324" s="5" t="s">
        <v>17753</v>
      </c>
      <c r="G324" s="5" t="s">
        <v>824</v>
      </c>
      <c r="H324" s="5">
        <v>1</v>
      </c>
      <c r="I324" s="8" t="s">
        <v>7504</v>
      </c>
      <c r="J324" s="8" t="s">
        <v>9553</v>
      </c>
      <c r="K324" s="8" t="s">
        <v>1350</v>
      </c>
      <c r="L324" s="8" t="s">
        <v>11604</v>
      </c>
      <c r="M324" s="8" t="s">
        <v>3400</v>
      </c>
      <c r="N324" s="8" t="s">
        <v>5451</v>
      </c>
      <c r="O324" s="5" t="s">
        <v>38</v>
      </c>
      <c r="P324" s="4">
        <v>45629</v>
      </c>
      <c r="Q324" s="15">
        <v>14.8</v>
      </c>
      <c r="R324" s="15">
        <v>4.99</v>
      </c>
      <c r="S324" s="15">
        <v>0</v>
      </c>
      <c r="T324"/>
    </row>
    <row r="325" spans="1:20">
      <c r="A325" s="5" t="s">
        <v>36</v>
      </c>
      <c r="B325" s="5" t="s">
        <v>13662</v>
      </c>
      <c r="C325" s="4">
        <f>Controle_Pedidos[[#This Row],[Data Compra]]</f>
        <v>45604</v>
      </c>
      <c r="D325" s="4">
        <v>45604</v>
      </c>
      <c r="E325" s="5" t="s">
        <v>15763</v>
      </c>
      <c r="F325" s="5" t="s">
        <v>17754</v>
      </c>
      <c r="G325" s="5" t="s">
        <v>824</v>
      </c>
      <c r="H325" s="5">
        <v>1</v>
      </c>
      <c r="I325" s="8" t="s">
        <v>7505</v>
      </c>
      <c r="J325" s="8" t="s">
        <v>9554</v>
      </c>
      <c r="K325" s="8" t="s">
        <v>1351</v>
      </c>
      <c r="L325" s="8" t="s">
        <v>11605</v>
      </c>
      <c r="M325" s="8" t="s">
        <v>3401</v>
      </c>
      <c r="N325" s="8" t="s">
        <v>5452</v>
      </c>
      <c r="O325" s="5" t="s">
        <v>38</v>
      </c>
      <c r="P325" s="4">
        <v>45623</v>
      </c>
      <c r="Q325" s="15">
        <v>19.3</v>
      </c>
      <c r="R325" s="15">
        <v>4.99</v>
      </c>
      <c r="S325" s="15">
        <v>0</v>
      </c>
      <c r="T325"/>
    </row>
    <row r="326" spans="1:20">
      <c r="A326" s="5" t="s">
        <v>36</v>
      </c>
      <c r="B326" s="5" t="s">
        <v>13663</v>
      </c>
      <c r="C326" s="4">
        <f>Controle_Pedidos[[#This Row],[Data Compra]]</f>
        <v>45604</v>
      </c>
      <c r="D326" s="4">
        <v>45604</v>
      </c>
      <c r="E326" s="5" t="s">
        <v>15764</v>
      </c>
      <c r="F326" s="5" t="s">
        <v>17755</v>
      </c>
      <c r="G326" s="5" t="s">
        <v>817</v>
      </c>
      <c r="H326" s="5">
        <v>1</v>
      </c>
      <c r="I326" s="8" t="s">
        <v>7506</v>
      </c>
      <c r="J326" s="8" t="s">
        <v>9555</v>
      </c>
      <c r="K326" s="8" t="s">
        <v>1352</v>
      </c>
      <c r="L326" s="8" t="s">
        <v>11606</v>
      </c>
      <c r="M326" s="8" t="s">
        <v>3402</v>
      </c>
      <c r="N326" s="8" t="s">
        <v>5453</v>
      </c>
      <c r="O326" s="5" t="s">
        <v>39</v>
      </c>
      <c r="P326" s="4">
        <v>45629</v>
      </c>
      <c r="Q326" s="15">
        <v>32.299999999999997</v>
      </c>
      <c r="R326" s="15">
        <v>11.99</v>
      </c>
      <c r="S326" s="15">
        <v>0</v>
      </c>
      <c r="T326"/>
    </row>
    <row r="327" spans="1:20">
      <c r="A327" s="5" t="s">
        <v>36</v>
      </c>
      <c r="B327" s="5" t="s">
        <v>13664</v>
      </c>
      <c r="C327" s="4">
        <f>Controle_Pedidos[[#This Row],[Data Compra]]</f>
        <v>45604</v>
      </c>
      <c r="D327" s="4">
        <v>45604</v>
      </c>
      <c r="E327" s="5" t="s">
        <v>15765</v>
      </c>
      <c r="F327" s="5" t="s">
        <v>17756</v>
      </c>
      <c r="G327" s="5" t="s">
        <v>848</v>
      </c>
      <c r="H327" s="5">
        <v>1</v>
      </c>
      <c r="I327" s="8" t="s">
        <v>7507</v>
      </c>
      <c r="J327" s="8" t="s">
        <v>9556</v>
      </c>
      <c r="K327" s="8" t="s">
        <v>1353</v>
      </c>
      <c r="L327" s="8" t="s">
        <v>11607</v>
      </c>
      <c r="M327" s="8" t="s">
        <v>3403</v>
      </c>
      <c r="N327" s="8" t="s">
        <v>5454</v>
      </c>
      <c r="O327" s="5" t="s">
        <v>62</v>
      </c>
      <c r="P327" s="4">
        <v>45633</v>
      </c>
      <c r="Q327" s="15">
        <v>49.99</v>
      </c>
      <c r="R327" s="15">
        <v>0</v>
      </c>
      <c r="S327" s="15">
        <v>0</v>
      </c>
      <c r="T327"/>
    </row>
    <row r="328" spans="1:20">
      <c r="A328" s="5" t="s">
        <v>36</v>
      </c>
      <c r="B328" s="5" t="s">
        <v>13665</v>
      </c>
      <c r="C328" s="4">
        <f>Controle_Pedidos[[#This Row],[Data Compra]]</f>
        <v>45604</v>
      </c>
      <c r="D328" s="4">
        <v>45604</v>
      </c>
      <c r="E328" s="5" t="s">
        <v>15766</v>
      </c>
      <c r="F328" s="5" t="s">
        <v>17757</v>
      </c>
      <c r="G328" s="5" t="s">
        <v>848</v>
      </c>
      <c r="H328" s="5">
        <v>1</v>
      </c>
      <c r="I328" s="8" t="s">
        <v>7508</v>
      </c>
      <c r="J328" s="8" t="s">
        <v>9557</v>
      </c>
      <c r="K328" s="8" t="s">
        <v>1354</v>
      </c>
      <c r="L328" s="8" t="s">
        <v>11608</v>
      </c>
      <c r="M328" s="8" t="s">
        <v>3404</v>
      </c>
      <c r="N328" s="8" t="s">
        <v>5455</v>
      </c>
      <c r="O328" s="5" t="s">
        <v>62</v>
      </c>
      <c r="P328" s="4">
        <v>45629</v>
      </c>
      <c r="Q328" s="15">
        <v>49.99</v>
      </c>
      <c r="R328" s="15">
        <v>7.27</v>
      </c>
      <c r="S328" s="15">
        <v>0</v>
      </c>
      <c r="T328"/>
    </row>
    <row r="329" spans="1:20">
      <c r="A329" s="5" t="s">
        <v>36</v>
      </c>
      <c r="B329" s="5" t="s">
        <v>13666</v>
      </c>
      <c r="C329" s="4">
        <f>Controle_Pedidos[[#This Row],[Data Compra]]</f>
        <v>45604</v>
      </c>
      <c r="D329" s="4">
        <v>45604</v>
      </c>
      <c r="E329" s="5" t="s">
        <v>15767</v>
      </c>
      <c r="F329" s="5" t="s">
        <v>17758</v>
      </c>
      <c r="G329" s="5" t="s">
        <v>817</v>
      </c>
      <c r="H329" s="5">
        <v>1</v>
      </c>
      <c r="I329" s="8" t="s">
        <v>7509</v>
      </c>
      <c r="J329" s="8" t="s">
        <v>9558</v>
      </c>
      <c r="K329" s="8" t="s">
        <v>1355</v>
      </c>
      <c r="L329" s="8" t="s">
        <v>11609</v>
      </c>
      <c r="M329" s="8" t="s">
        <v>3405</v>
      </c>
      <c r="N329" s="8" t="s">
        <v>5456</v>
      </c>
      <c r="O329" s="5" t="s">
        <v>39</v>
      </c>
      <c r="P329" s="4">
        <v>45629</v>
      </c>
      <c r="Q329" s="15">
        <v>32.299999999999997</v>
      </c>
      <c r="R329" s="15">
        <v>11.99</v>
      </c>
      <c r="S329" s="15">
        <v>0</v>
      </c>
      <c r="T329"/>
    </row>
    <row r="330" spans="1:20">
      <c r="A330" s="5" t="s">
        <v>36</v>
      </c>
      <c r="B330" s="5" t="s">
        <v>13667</v>
      </c>
      <c r="C330" s="4">
        <f>Controle_Pedidos[[#This Row],[Data Compra]]</f>
        <v>45604</v>
      </c>
      <c r="D330" s="4">
        <v>45604</v>
      </c>
      <c r="E330" s="5" t="s">
        <v>15768</v>
      </c>
      <c r="F330" s="5" t="s">
        <v>17759</v>
      </c>
      <c r="G330" s="5" t="s">
        <v>848</v>
      </c>
      <c r="H330" s="5">
        <v>1</v>
      </c>
      <c r="I330" s="8" t="s">
        <v>7510</v>
      </c>
      <c r="J330" s="8" t="s">
        <v>9559</v>
      </c>
      <c r="K330" s="8" t="s">
        <v>1356</v>
      </c>
      <c r="L330" s="8" t="s">
        <v>11610</v>
      </c>
      <c r="M330" s="8" t="s">
        <v>3406</v>
      </c>
      <c r="N330" s="8" t="s">
        <v>5457</v>
      </c>
      <c r="O330" s="5" t="s">
        <v>62</v>
      </c>
      <c r="P330" s="4">
        <v>45640</v>
      </c>
      <c r="Q330" s="15">
        <v>49.99</v>
      </c>
      <c r="R330" s="15">
        <v>7.27</v>
      </c>
      <c r="S330" s="15">
        <v>0</v>
      </c>
      <c r="T330"/>
    </row>
    <row r="331" spans="1:20">
      <c r="A331" s="5" t="s">
        <v>36</v>
      </c>
      <c r="B331" s="5" t="s">
        <v>13668</v>
      </c>
      <c r="C331" s="4">
        <f>Controle_Pedidos[[#This Row],[Data Compra]]</f>
        <v>45604</v>
      </c>
      <c r="D331" s="4">
        <v>45604</v>
      </c>
      <c r="E331" s="5" t="s">
        <v>15769</v>
      </c>
      <c r="F331" s="5" t="s">
        <v>17760</v>
      </c>
      <c r="G331" s="5" t="s">
        <v>829</v>
      </c>
      <c r="H331" s="5">
        <v>1</v>
      </c>
      <c r="I331" s="8" t="s">
        <v>7511</v>
      </c>
      <c r="J331" s="8" t="s">
        <v>9560</v>
      </c>
      <c r="K331" s="8" t="s">
        <v>1357</v>
      </c>
      <c r="L331" s="8" t="s">
        <v>11611</v>
      </c>
      <c r="M331" s="8" t="s">
        <v>3407</v>
      </c>
      <c r="N331" s="8" t="s">
        <v>5458</v>
      </c>
      <c r="O331" s="5" t="s">
        <v>40</v>
      </c>
      <c r="P331" s="4">
        <v>45623</v>
      </c>
      <c r="Q331" s="15">
        <v>18.5</v>
      </c>
      <c r="R331" s="15">
        <v>6.57</v>
      </c>
      <c r="S331" s="15">
        <v>0</v>
      </c>
      <c r="T331"/>
    </row>
    <row r="332" spans="1:20">
      <c r="A332" s="5" t="s">
        <v>36</v>
      </c>
      <c r="B332" s="5" t="s">
        <v>13669</v>
      </c>
      <c r="C332" s="4">
        <f>Controle_Pedidos[[#This Row],[Data Compra]]</f>
        <v>45604</v>
      </c>
      <c r="D332" s="4">
        <v>45604</v>
      </c>
      <c r="E332" s="5" t="s">
        <v>15770</v>
      </c>
      <c r="F332" s="5" t="s">
        <v>17761</v>
      </c>
      <c r="G332" s="5" t="s">
        <v>826</v>
      </c>
      <c r="H332" s="5">
        <v>1</v>
      </c>
      <c r="I332" s="8" t="s">
        <v>7512</v>
      </c>
      <c r="J332" s="8" t="s">
        <v>9561</v>
      </c>
      <c r="K332" s="8" t="s">
        <v>1358</v>
      </c>
      <c r="L332" s="8" t="s">
        <v>11612</v>
      </c>
      <c r="M332" s="8" t="s">
        <v>3408</v>
      </c>
      <c r="N332" s="8" t="s">
        <v>5459</v>
      </c>
      <c r="O332" s="5" t="s">
        <v>42</v>
      </c>
      <c r="P332" s="4">
        <v>45625</v>
      </c>
      <c r="Q332" s="15">
        <v>19.3</v>
      </c>
      <c r="R332" s="15">
        <v>4.99</v>
      </c>
      <c r="S332" s="15">
        <v>0</v>
      </c>
      <c r="T332"/>
    </row>
    <row r="333" spans="1:20">
      <c r="A333" s="5" t="s">
        <v>36</v>
      </c>
      <c r="B333" s="5" t="s">
        <v>13670</v>
      </c>
      <c r="C333" s="4">
        <f>Controle_Pedidos[[#This Row],[Data Compra]]</f>
        <v>45604</v>
      </c>
      <c r="D333" s="4">
        <v>45604</v>
      </c>
      <c r="E333" s="5" t="s">
        <v>15771</v>
      </c>
      <c r="F333" s="5" t="s">
        <v>17762</v>
      </c>
      <c r="G333" s="5" t="s">
        <v>848</v>
      </c>
      <c r="H333" s="5">
        <v>1</v>
      </c>
      <c r="I333" s="8" t="s">
        <v>7513</v>
      </c>
      <c r="J333" s="8" t="s">
        <v>9562</v>
      </c>
      <c r="K333" s="8" t="s">
        <v>1359</v>
      </c>
      <c r="L333" s="8" t="s">
        <v>11613</v>
      </c>
      <c r="M333" s="8" t="s">
        <v>3409</v>
      </c>
      <c r="N333" s="8" t="s">
        <v>5460</v>
      </c>
      <c r="O333" s="5" t="s">
        <v>62</v>
      </c>
      <c r="P333" s="4">
        <v>45633</v>
      </c>
      <c r="Q333" s="15">
        <v>49.99</v>
      </c>
      <c r="R333" s="15">
        <v>7.27</v>
      </c>
      <c r="S333" s="15">
        <v>0</v>
      </c>
      <c r="T333"/>
    </row>
    <row r="334" spans="1:20">
      <c r="A334" s="5" t="s">
        <v>36</v>
      </c>
      <c r="B334" s="5" t="s">
        <v>13671</v>
      </c>
      <c r="C334" s="4">
        <f>Controle_Pedidos[[#This Row],[Data Compra]]</f>
        <v>45604</v>
      </c>
      <c r="D334" s="4">
        <v>45604</v>
      </c>
      <c r="E334" s="5" t="s">
        <v>15772</v>
      </c>
      <c r="F334" s="5" t="s">
        <v>17763</v>
      </c>
      <c r="G334" s="5" t="s">
        <v>848</v>
      </c>
      <c r="H334" s="5">
        <v>1</v>
      </c>
      <c r="I334" s="8" t="s">
        <v>7514</v>
      </c>
      <c r="J334" s="8" t="s">
        <v>9563</v>
      </c>
      <c r="K334" s="8" t="s">
        <v>1360</v>
      </c>
      <c r="L334" s="8" t="s">
        <v>11614</v>
      </c>
      <c r="M334" s="8" t="s">
        <v>3410</v>
      </c>
      <c r="N334" s="8" t="s">
        <v>5461</v>
      </c>
      <c r="O334" s="5" t="s">
        <v>62</v>
      </c>
      <c r="P334" s="4">
        <v>45640</v>
      </c>
      <c r="Q334" s="15">
        <v>49.99</v>
      </c>
      <c r="R334" s="15">
        <v>7.27</v>
      </c>
      <c r="S334" s="15">
        <v>0</v>
      </c>
      <c r="T334"/>
    </row>
    <row r="335" spans="1:20">
      <c r="A335" s="5" t="s">
        <v>36</v>
      </c>
      <c r="B335" s="5" t="s">
        <v>13672</v>
      </c>
      <c r="C335" s="4">
        <f>Controle_Pedidos[[#This Row],[Data Compra]]</f>
        <v>45604</v>
      </c>
      <c r="D335" s="4">
        <v>45604</v>
      </c>
      <c r="E335" s="5" t="s">
        <v>15773</v>
      </c>
      <c r="F335" s="5" t="s">
        <v>17764</v>
      </c>
      <c r="G335" s="5" t="s">
        <v>848</v>
      </c>
      <c r="H335" s="5">
        <v>1</v>
      </c>
      <c r="I335" s="8" t="s">
        <v>7515</v>
      </c>
      <c r="J335" s="8" t="s">
        <v>9564</v>
      </c>
      <c r="K335" s="8" t="s">
        <v>1361</v>
      </c>
      <c r="L335" s="8" t="s">
        <v>11615</v>
      </c>
      <c r="M335" s="8" t="s">
        <v>3411</v>
      </c>
      <c r="N335" s="8" t="s">
        <v>5462</v>
      </c>
      <c r="O335" s="5" t="s">
        <v>62</v>
      </c>
      <c r="P335" s="4">
        <v>45629</v>
      </c>
      <c r="Q335" s="15">
        <v>49.99</v>
      </c>
      <c r="R335" s="15">
        <v>7.27</v>
      </c>
      <c r="S335" s="15">
        <v>0</v>
      </c>
      <c r="T335"/>
    </row>
    <row r="336" spans="1:20">
      <c r="A336" s="5" t="s">
        <v>36</v>
      </c>
      <c r="B336" s="5" t="s">
        <v>13673</v>
      </c>
      <c r="C336" s="4">
        <f>Controle_Pedidos[[#This Row],[Data Compra]]</f>
        <v>45608</v>
      </c>
      <c r="D336" s="4">
        <v>45608</v>
      </c>
      <c r="E336" s="5" t="s">
        <v>15774</v>
      </c>
      <c r="F336" s="5" t="s">
        <v>17765</v>
      </c>
      <c r="G336" s="5" t="s">
        <v>848</v>
      </c>
      <c r="H336" s="5">
        <v>1</v>
      </c>
      <c r="I336" s="8" t="s">
        <v>7516</v>
      </c>
      <c r="J336" s="8" t="s">
        <v>9565</v>
      </c>
      <c r="K336" s="8" t="s">
        <v>1362</v>
      </c>
      <c r="L336" s="8" t="s">
        <v>11616</v>
      </c>
      <c r="M336" s="8" t="s">
        <v>3412</v>
      </c>
      <c r="N336" s="8" t="s">
        <v>5463</v>
      </c>
      <c r="O336" s="5" t="s">
        <v>62</v>
      </c>
      <c r="P336" s="4">
        <v>45631</v>
      </c>
      <c r="Q336" s="15">
        <v>29.76</v>
      </c>
      <c r="R336" s="15">
        <v>7.29</v>
      </c>
      <c r="S336" s="15">
        <v>0</v>
      </c>
      <c r="T336"/>
    </row>
    <row r="337" spans="1:20">
      <c r="A337" s="5" t="s">
        <v>36</v>
      </c>
      <c r="B337" s="5" t="s">
        <v>13673</v>
      </c>
      <c r="C337" s="4">
        <f>Controle_Pedidos[[#This Row],[Data Compra]]</f>
        <v>45608</v>
      </c>
      <c r="D337" s="4">
        <v>45608</v>
      </c>
      <c r="E337" s="5" t="s">
        <v>15774</v>
      </c>
      <c r="F337" s="5" t="s">
        <v>17765</v>
      </c>
      <c r="G337" s="5" t="s">
        <v>848</v>
      </c>
      <c r="H337" s="5">
        <v>1</v>
      </c>
      <c r="I337" s="8" t="s">
        <v>7516</v>
      </c>
      <c r="J337" s="8" t="s">
        <v>9565</v>
      </c>
      <c r="K337" s="8" t="s">
        <v>1362</v>
      </c>
      <c r="L337" s="8" t="s">
        <v>11616</v>
      </c>
      <c r="M337" s="8" t="s">
        <v>3412</v>
      </c>
      <c r="N337" s="8" t="s">
        <v>5463</v>
      </c>
      <c r="O337" s="5" t="s">
        <v>62</v>
      </c>
      <c r="P337" s="4">
        <v>45631</v>
      </c>
      <c r="Q337" s="15">
        <v>29.75</v>
      </c>
      <c r="R337" s="15">
        <v>0</v>
      </c>
      <c r="S337" s="15">
        <v>0</v>
      </c>
      <c r="T337"/>
    </row>
    <row r="338" spans="1:20">
      <c r="A338" s="5" t="s">
        <v>36</v>
      </c>
      <c r="B338" s="5" t="s">
        <v>13674</v>
      </c>
      <c r="C338" s="4">
        <f>Controle_Pedidos[[#This Row],[Data Compra]]</f>
        <v>45605</v>
      </c>
      <c r="D338" s="4">
        <v>45605</v>
      </c>
      <c r="E338" s="5" t="s">
        <v>15775</v>
      </c>
      <c r="F338" s="5" t="s">
        <v>17766</v>
      </c>
      <c r="G338" s="5" t="s">
        <v>848</v>
      </c>
      <c r="H338" s="5">
        <v>1</v>
      </c>
      <c r="I338" s="8" t="s">
        <v>7517</v>
      </c>
      <c r="J338" s="8" t="s">
        <v>9566</v>
      </c>
      <c r="K338" s="8" t="s">
        <v>1363</v>
      </c>
      <c r="L338" s="8" t="s">
        <v>11617</v>
      </c>
      <c r="M338" s="8" t="s">
        <v>3413</v>
      </c>
      <c r="N338" s="8" t="s">
        <v>5464</v>
      </c>
      <c r="O338" s="5" t="s">
        <v>62</v>
      </c>
      <c r="P338" s="4">
        <v>45629</v>
      </c>
      <c r="Q338" s="15">
        <v>59.5</v>
      </c>
      <c r="R338" s="15">
        <v>7.27</v>
      </c>
      <c r="S338" s="15">
        <v>0</v>
      </c>
      <c r="T338"/>
    </row>
    <row r="339" spans="1:20">
      <c r="A339" s="5" t="s">
        <v>36</v>
      </c>
      <c r="B339" s="5" t="s">
        <v>13675</v>
      </c>
      <c r="C339" s="4">
        <f>Controle_Pedidos[[#This Row],[Data Compra]]</f>
        <v>45605</v>
      </c>
      <c r="D339" s="4">
        <v>45605</v>
      </c>
      <c r="E339" s="5" t="s">
        <v>15776</v>
      </c>
      <c r="F339" s="5" t="s">
        <v>17767</v>
      </c>
      <c r="G339" s="5" t="s">
        <v>817</v>
      </c>
      <c r="H339" s="5">
        <v>1</v>
      </c>
      <c r="I339" s="8" t="s">
        <v>7518</v>
      </c>
      <c r="J339" s="8" t="s">
        <v>9567</v>
      </c>
      <c r="K339" s="8" t="s">
        <v>1364</v>
      </c>
      <c r="L339" s="8" t="s">
        <v>11618</v>
      </c>
      <c r="M339" s="8" t="s">
        <v>3414</v>
      </c>
      <c r="N339" s="8" t="s">
        <v>5465</v>
      </c>
      <c r="O339" s="5" t="s">
        <v>39</v>
      </c>
      <c r="P339" s="4">
        <v>45629</v>
      </c>
      <c r="Q339" s="15">
        <v>32.299999999999997</v>
      </c>
      <c r="R339" s="15">
        <v>11.99</v>
      </c>
      <c r="S339" s="15">
        <v>0</v>
      </c>
      <c r="T339"/>
    </row>
    <row r="340" spans="1:20">
      <c r="A340" s="5" t="s">
        <v>36</v>
      </c>
      <c r="B340" s="5" t="s">
        <v>13676</v>
      </c>
      <c r="C340" s="4">
        <f>Controle_Pedidos[[#This Row],[Data Compra]]</f>
        <v>45605</v>
      </c>
      <c r="D340" s="4">
        <v>45605</v>
      </c>
      <c r="E340" s="5" t="s">
        <v>15777</v>
      </c>
      <c r="F340" s="5" t="s">
        <v>17768</v>
      </c>
      <c r="G340" s="5" t="s">
        <v>848</v>
      </c>
      <c r="H340" s="5">
        <v>1</v>
      </c>
      <c r="I340" s="8" t="s">
        <v>7519</v>
      </c>
      <c r="J340" s="8" t="s">
        <v>9568</v>
      </c>
      <c r="K340" s="8" t="s">
        <v>1365</v>
      </c>
      <c r="L340" s="8" t="s">
        <v>11619</v>
      </c>
      <c r="M340" s="8" t="s">
        <v>3415</v>
      </c>
      <c r="N340" s="8" t="s">
        <v>5466</v>
      </c>
      <c r="O340" s="5" t="s">
        <v>62</v>
      </c>
      <c r="P340" s="4">
        <v>45629</v>
      </c>
      <c r="Q340" s="15">
        <v>59.5</v>
      </c>
      <c r="R340" s="15">
        <v>7.27</v>
      </c>
      <c r="S340" s="15">
        <v>0</v>
      </c>
      <c r="T340"/>
    </row>
    <row r="341" spans="1:20">
      <c r="A341" s="5" t="s">
        <v>36</v>
      </c>
      <c r="B341" s="5" t="s">
        <v>13677</v>
      </c>
      <c r="C341" s="4">
        <f>Controle_Pedidos[[#This Row],[Data Compra]]</f>
        <v>45605</v>
      </c>
      <c r="D341" s="4">
        <v>45605</v>
      </c>
      <c r="E341" s="5" t="s">
        <v>15778</v>
      </c>
      <c r="F341" s="5" t="s">
        <v>17769</v>
      </c>
      <c r="G341" s="5" t="s">
        <v>848</v>
      </c>
      <c r="H341" s="5">
        <v>1</v>
      </c>
      <c r="I341" s="8" t="s">
        <v>7520</v>
      </c>
      <c r="J341" s="8" t="s">
        <v>9569</v>
      </c>
      <c r="K341" s="8" t="s">
        <v>1366</v>
      </c>
      <c r="L341" s="8" t="s">
        <v>11620</v>
      </c>
      <c r="M341" s="8" t="s">
        <v>3416</v>
      </c>
      <c r="N341" s="8" t="s">
        <v>5467</v>
      </c>
      <c r="O341" s="5" t="s">
        <v>62</v>
      </c>
      <c r="P341" s="4">
        <v>45633</v>
      </c>
      <c r="Q341" s="15">
        <v>59.5</v>
      </c>
      <c r="R341" s="15">
        <v>7.27</v>
      </c>
      <c r="S341" s="15">
        <v>0</v>
      </c>
      <c r="T341"/>
    </row>
    <row r="342" spans="1:20">
      <c r="A342" s="5" t="s">
        <v>36</v>
      </c>
      <c r="B342" s="5" t="s">
        <v>13678</v>
      </c>
      <c r="C342" s="4">
        <f>Controle_Pedidos[[#This Row],[Data Compra]]</f>
        <v>45605</v>
      </c>
      <c r="D342" s="4">
        <v>45605</v>
      </c>
      <c r="E342" s="5" t="s">
        <v>15779</v>
      </c>
      <c r="F342" s="5" t="s">
        <v>17770</v>
      </c>
      <c r="G342" s="5" t="s">
        <v>817</v>
      </c>
      <c r="H342" s="5">
        <v>1</v>
      </c>
      <c r="I342" s="8" t="s">
        <v>7521</v>
      </c>
      <c r="J342" s="8" t="s">
        <v>9570</v>
      </c>
      <c r="K342" s="8" t="s">
        <v>1367</v>
      </c>
      <c r="L342" s="8" t="s">
        <v>11621</v>
      </c>
      <c r="M342" s="8" t="s">
        <v>3417</v>
      </c>
      <c r="N342" s="8" t="s">
        <v>5468</v>
      </c>
      <c r="O342" s="5" t="s">
        <v>39</v>
      </c>
      <c r="P342" s="4">
        <v>45629</v>
      </c>
      <c r="Q342" s="15">
        <v>32.299999999999997</v>
      </c>
      <c r="R342" s="15">
        <v>11.99</v>
      </c>
      <c r="S342" s="15">
        <v>0</v>
      </c>
      <c r="T342"/>
    </row>
    <row r="343" spans="1:20">
      <c r="A343" s="5" t="s">
        <v>36</v>
      </c>
      <c r="B343" s="5" t="s">
        <v>13679</v>
      </c>
      <c r="C343" s="4">
        <f>Controle_Pedidos[[#This Row],[Data Compra]]</f>
        <v>45607</v>
      </c>
      <c r="D343" s="4">
        <v>45607</v>
      </c>
      <c r="E343" s="5" t="s">
        <v>15780</v>
      </c>
      <c r="F343" s="5" t="s">
        <v>17771</v>
      </c>
      <c r="G343" s="5" t="s">
        <v>845</v>
      </c>
      <c r="H343" s="5">
        <v>1</v>
      </c>
      <c r="I343" s="8" t="s">
        <v>7522</v>
      </c>
      <c r="J343" s="8" t="s">
        <v>9571</v>
      </c>
      <c r="K343" s="8" t="s">
        <v>1368</v>
      </c>
      <c r="L343" s="8" t="s">
        <v>11622</v>
      </c>
      <c r="M343" s="8" t="s">
        <v>3418</v>
      </c>
      <c r="N343" s="8" t="s">
        <v>5469</v>
      </c>
      <c r="O343" s="5" t="s">
        <v>67</v>
      </c>
      <c r="P343" s="4">
        <v>45633</v>
      </c>
      <c r="Q343" s="15">
        <v>100</v>
      </c>
      <c r="R343" s="15">
        <v>7.29</v>
      </c>
      <c r="S343" s="15">
        <v>0</v>
      </c>
      <c r="T343"/>
    </row>
    <row r="344" spans="1:20">
      <c r="A344" s="5" t="s">
        <v>36</v>
      </c>
      <c r="B344" s="5" t="s">
        <v>13680</v>
      </c>
      <c r="C344" s="4">
        <f>Controle_Pedidos[[#This Row],[Data Compra]]</f>
        <v>45607</v>
      </c>
      <c r="D344" s="4">
        <v>45607</v>
      </c>
      <c r="E344" s="5" t="s">
        <v>15781</v>
      </c>
      <c r="F344" s="5" t="s">
        <v>17772</v>
      </c>
      <c r="G344" s="5" t="s">
        <v>853</v>
      </c>
      <c r="H344" s="5">
        <v>1</v>
      </c>
      <c r="I344" s="8" t="s">
        <v>7523</v>
      </c>
      <c r="J344" s="8" t="s">
        <v>9572</v>
      </c>
      <c r="K344" s="8" t="s">
        <v>1369</v>
      </c>
      <c r="L344" s="8" t="s">
        <v>11623</v>
      </c>
      <c r="M344" s="8" t="s">
        <v>3419</v>
      </c>
      <c r="N344" s="8" t="s">
        <v>5470</v>
      </c>
      <c r="O344" s="5" t="s">
        <v>73</v>
      </c>
      <c r="P344" s="4">
        <v>45640</v>
      </c>
      <c r="Q344" s="15">
        <v>60</v>
      </c>
      <c r="R344" s="15">
        <v>7.29</v>
      </c>
      <c r="S344" s="15">
        <v>0</v>
      </c>
      <c r="T344"/>
    </row>
    <row r="345" spans="1:20">
      <c r="A345" s="5" t="s">
        <v>36</v>
      </c>
      <c r="B345" s="5" t="s">
        <v>13681</v>
      </c>
      <c r="C345" s="4">
        <f>Controle_Pedidos[[#This Row],[Data Compra]]</f>
        <v>45607</v>
      </c>
      <c r="D345" s="4">
        <v>45607</v>
      </c>
      <c r="E345" s="5" t="s">
        <v>15782</v>
      </c>
      <c r="F345" s="5" t="s">
        <v>17773</v>
      </c>
      <c r="G345" s="5" t="s">
        <v>829</v>
      </c>
      <c r="H345" s="5">
        <v>1</v>
      </c>
      <c r="I345" s="8" t="s">
        <v>7524</v>
      </c>
      <c r="J345" s="8" t="s">
        <v>9573</v>
      </c>
      <c r="K345" s="8" t="s">
        <v>1370</v>
      </c>
      <c r="L345" s="8" t="s">
        <v>11624</v>
      </c>
      <c r="M345" s="8" t="s">
        <v>3420</v>
      </c>
      <c r="N345" s="8" t="s">
        <v>5471</v>
      </c>
      <c r="O345" s="5" t="s">
        <v>40</v>
      </c>
      <c r="P345" s="4">
        <v>45624</v>
      </c>
      <c r="Q345" s="15">
        <v>16.8</v>
      </c>
      <c r="R345" s="15">
        <v>6.57</v>
      </c>
      <c r="S345" s="15">
        <v>0</v>
      </c>
      <c r="T345"/>
    </row>
    <row r="346" spans="1:20">
      <c r="A346" s="5" t="s">
        <v>36</v>
      </c>
      <c r="B346" s="5" t="s">
        <v>13682</v>
      </c>
      <c r="C346" s="4">
        <f>Controle_Pedidos[[#This Row],[Data Compra]]</f>
        <v>45607</v>
      </c>
      <c r="D346" s="4">
        <v>45607</v>
      </c>
      <c r="E346" s="5" t="s">
        <v>15783</v>
      </c>
      <c r="F346" s="5" t="s">
        <v>17774</v>
      </c>
      <c r="G346" s="5" t="s">
        <v>848</v>
      </c>
      <c r="H346" s="5">
        <v>1</v>
      </c>
      <c r="I346" s="8" t="s">
        <v>7525</v>
      </c>
      <c r="J346" s="8" t="s">
        <v>9574</v>
      </c>
      <c r="K346" s="8" t="s">
        <v>1371</v>
      </c>
      <c r="L346" s="8" t="s">
        <v>11625</v>
      </c>
      <c r="M346" s="8" t="s">
        <v>3421</v>
      </c>
      <c r="N346" s="8" t="s">
        <v>5472</v>
      </c>
      <c r="O346" s="5" t="s">
        <v>62</v>
      </c>
      <c r="P346" s="4">
        <v>45636</v>
      </c>
      <c r="Q346" s="15">
        <v>59.5</v>
      </c>
      <c r="R346" s="15">
        <v>10.31</v>
      </c>
      <c r="S346" s="15">
        <v>0</v>
      </c>
      <c r="T346"/>
    </row>
    <row r="347" spans="1:20">
      <c r="A347" s="5" t="s">
        <v>36</v>
      </c>
      <c r="B347" s="5" t="s">
        <v>13683</v>
      </c>
      <c r="C347" s="4">
        <f>Controle_Pedidos[[#This Row],[Data Compra]]</f>
        <v>45608</v>
      </c>
      <c r="D347" s="4">
        <v>45608</v>
      </c>
      <c r="E347" s="5" t="s">
        <v>15784</v>
      </c>
      <c r="F347" s="5" t="s">
        <v>17775</v>
      </c>
      <c r="G347" s="5" t="s">
        <v>848</v>
      </c>
      <c r="H347" s="5">
        <v>1</v>
      </c>
      <c r="I347" s="8" t="s">
        <v>7526</v>
      </c>
      <c r="J347" s="8" t="s">
        <v>9575</v>
      </c>
      <c r="K347" s="8" t="s">
        <v>1372</v>
      </c>
      <c r="L347" s="8" t="s">
        <v>11626</v>
      </c>
      <c r="M347" s="8" t="s">
        <v>3422</v>
      </c>
      <c r="N347" s="8" t="s">
        <v>5473</v>
      </c>
      <c r="O347" s="5" t="s">
        <v>62</v>
      </c>
      <c r="P347" s="4">
        <v>45631</v>
      </c>
      <c r="Q347" s="15">
        <v>59.5</v>
      </c>
      <c r="R347" s="15">
        <v>7.29</v>
      </c>
      <c r="S347" s="15">
        <v>0</v>
      </c>
      <c r="T347"/>
    </row>
    <row r="348" spans="1:20">
      <c r="A348" s="5" t="s">
        <v>36</v>
      </c>
      <c r="B348" s="5" t="s">
        <v>13684</v>
      </c>
      <c r="C348" s="4">
        <f>Controle_Pedidos[[#This Row],[Data Compra]]</f>
        <v>45607</v>
      </c>
      <c r="D348" s="4">
        <v>45607</v>
      </c>
      <c r="E348" s="5" t="s">
        <v>15785</v>
      </c>
      <c r="F348" s="5" t="s">
        <v>17776</v>
      </c>
      <c r="G348" s="5" t="s">
        <v>829</v>
      </c>
      <c r="H348" s="5">
        <v>1</v>
      </c>
      <c r="I348" s="8" t="s">
        <v>7527</v>
      </c>
      <c r="J348" s="8" t="s">
        <v>9576</v>
      </c>
      <c r="K348" s="8" t="s">
        <v>1373</v>
      </c>
      <c r="L348" s="8" t="s">
        <v>11627</v>
      </c>
      <c r="M348" s="8" t="s">
        <v>3423</v>
      </c>
      <c r="N348" s="8" t="s">
        <v>5474</v>
      </c>
      <c r="O348" s="5" t="s">
        <v>40</v>
      </c>
      <c r="P348" s="4">
        <v>45624</v>
      </c>
      <c r="Q348" s="15">
        <v>16.8</v>
      </c>
      <c r="R348" s="15">
        <v>6.57</v>
      </c>
      <c r="S348" s="15">
        <v>0</v>
      </c>
      <c r="T348"/>
    </row>
    <row r="349" spans="1:20">
      <c r="A349" s="5" t="s">
        <v>36</v>
      </c>
      <c r="B349" s="5" t="s">
        <v>13685</v>
      </c>
      <c r="C349" s="4">
        <f>Controle_Pedidos[[#This Row],[Data Compra]]</f>
        <v>45607</v>
      </c>
      <c r="D349" s="4">
        <v>45607</v>
      </c>
      <c r="E349" s="5" t="s">
        <v>15786</v>
      </c>
      <c r="F349" s="5" t="s">
        <v>17777</v>
      </c>
      <c r="G349" s="5" t="s">
        <v>853</v>
      </c>
      <c r="H349" s="5">
        <v>1</v>
      </c>
      <c r="I349" s="8" t="s">
        <v>7528</v>
      </c>
      <c r="J349" s="8" t="s">
        <v>9577</v>
      </c>
      <c r="K349" s="8" t="s">
        <v>1374</v>
      </c>
      <c r="L349" s="8" t="s">
        <v>11628</v>
      </c>
      <c r="M349" s="8" t="s">
        <v>3424</v>
      </c>
      <c r="N349" s="8" t="s">
        <v>5475</v>
      </c>
      <c r="O349" s="5" t="s">
        <v>73</v>
      </c>
      <c r="P349" s="4">
        <v>45636</v>
      </c>
      <c r="Q349" s="15">
        <v>65.989999999999995</v>
      </c>
      <c r="R349" s="15">
        <v>7.29</v>
      </c>
      <c r="S349" s="15">
        <v>0</v>
      </c>
      <c r="T349"/>
    </row>
    <row r="350" spans="1:20">
      <c r="A350" s="5" t="s">
        <v>36</v>
      </c>
      <c r="B350" s="5" t="s">
        <v>13686</v>
      </c>
      <c r="C350" s="4">
        <f>Controle_Pedidos[[#This Row],[Data Compra]]</f>
        <v>45607</v>
      </c>
      <c r="D350" s="4">
        <v>45607</v>
      </c>
      <c r="E350" s="5" t="s">
        <v>15787</v>
      </c>
      <c r="F350" s="5" t="s">
        <v>17778</v>
      </c>
      <c r="G350" s="5" t="s">
        <v>853</v>
      </c>
      <c r="H350" s="5">
        <v>1</v>
      </c>
      <c r="I350" s="8" t="s">
        <v>7529</v>
      </c>
      <c r="J350" s="8" t="s">
        <v>9578</v>
      </c>
      <c r="K350" s="8" t="s">
        <v>1375</v>
      </c>
      <c r="L350" s="8" t="s">
        <v>11629</v>
      </c>
      <c r="M350" s="8" t="s">
        <v>3425</v>
      </c>
      <c r="N350" s="8" t="s">
        <v>5476</v>
      </c>
      <c r="O350" s="5" t="s">
        <v>73</v>
      </c>
      <c r="P350" s="4">
        <v>45630</v>
      </c>
      <c r="Q350" s="15">
        <v>65.989999999999995</v>
      </c>
      <c r="R350" s="15">
        <v>0</v>
      </c>
      <c r="S350" s="15">
        <v>0</v>
      </c>
      <c r="T350"/>
    </row>
    <row r="351" spans="1:20">
      <c r="A351" s="5" t="s">
        <v>36</v>
      </c>
      <c r="B351" s="5" t="s">
        <v>13687</v>
      </c>
      <c r="C351" s="4">
        <f>Controle_Pedidos[[#This Row],[Data Compra]]</f>
        <v>45607</v>
      </c>
      <c r="D351" s="4">
        <v>45607</v>
      </c>
      <c r="E351" s="5" t="s">
        <v>15788</v>
      </c>
      <c r="F351" s="5" t="s">
        <v>17779</v>
      </c>
      <c r="G351" s="5" t="s">
        <v>849</v>
      </c>
      <c r="H351" s="5">
        <v>1</v>
      </c>
      <c r="I351" s="8" t="s">
        <v>7530</v>
      </c>
      <c r="J351" s="8" t="s">
        <v>9579</v>
      </c>
      <c r="K351" s="8" t="s">
        <v>1376</v>
      </c>
      <c r="L351" s="8" t="s">
        <v>11630</v>
      </c>
      <c r="M351" s="8" t="s">
        <v>3426</v>
      </c>
      <c r="N351" s="8" t="s">
        <v>5477</v>
      </c>
      <c r="O351" s="5" t="s">
        <v>61</v>
      </c>
      <c r="P351" s="4">
        <v>45630</v>
      </c>
      <c r="Q351" s="15">
        <v>65.989999999999995</v>
      </c>
      <c r="R351" s="15">
        <v>7.29</v>
      </c>
      <c r="S351" s="15">
        <v>0</v>
      </c>
      <c r="T351"/>
    </row>
    <row r="352" spans="1:20">
      <c r="A352" s="5" t="s">
        <v>36</v>
      </c>
      <c r="B352" s="5" t="s">
        <v>13688</v>
      </c>
      <c r="C352" s="4">
        <f>Controle_Pedidos[[#This Row],[Data Compra]]</f>
        <v>45608</v>
      </c>
      <c r="D352" s="4">
        <v>45608</v>
      </c>
      <c r="E352" s="5" t="s">
        <v>15789</v>
      </c>
      <c r="F352" s="5" t="s">
        <v>17780</v>
      </c>
      <c r="G352" s="5" t="s">
        <v>833</v>
      </c>
      <c r="H352" s="5">
        <v>1</v>
      </c>
      <c r="I352" s="8" t="s">
        <v>7531</v>
      </c>
      <c r="J352" s="8" t="s">
        <v>9580</v>
      </c>
      <c r="K352" s="8" t="s">
        <v>1377</v>
      </c>
      <c r="L352" s="8" t="s">
        <v>11631</v>
      </c>
      <c r="M352" s="8" t="s">
        <v>3427</v>
      </c>
      <c r="N352" s="8" t="s">
        <v>5478</v>
      </c>
      <c r="O352" s="5" t="s">
        <v>49</v>
      </c>
      <c r="P352" s="4">
        <v>45637</v>
      </c>
      <c r="Q352" s="15">
        <v>17.399999999999999</v>
      </c>
      <c r="R352" s="15">
        <v>5.2</v>
      </c>
      <c r="S352" s="15">
        <v>0</v>
      </c>
      <c r="T352"/>
    </row>
    <row r="353" spans="1:20">
      <c r="A353" s="5" t="s">
        <v>36</v>
      </c>
      <c r="B353" s="5" t="s">
        <v>13689</v>
      </c>
      <c r="C353" s="4">
        <f>Controle_Pedidos[[#This Row],[Data Compra]]</f>
        <v>45609</v>
      </c>
      <c r="D353" s="4">
        <v>45609</v>
      </c>
      <c r="E353" s="5" t="s">
        <v>15790</v>
      </c>
      <c r="F353" s="5" t="s">
        <v>17781</v>
      </c>
      <c r="G353" s="5" t="s">
        <v>833</v>
      </c>
      <c r="H353" s="5">
        <v>1</v>
      </c>
      <c r="I353" s="8" t="s">
        <v>7531</v>
      </c>
      <c r="J353" s="8" t="s">
        <v>9580</v>
      </c>
      <c r="K353" s="8" t="s">
        <v>1377</v>
      </c>
      <c r="L353" s="8" t="s">
        <v>11631</v>
      </c>
      <c r="M353" s="8" t="s">
        <v>3427</v>
      </c>
      <c r="N353" s="8" t="s">
        <v>5478</v>
      </c>
      <c r="O353" s="5" t="s">
        <v>49</v>
      </c>
      <c r="P353" s="4">
        <v>45637</v>
      </c>
      <c r="Q353" s="15">
        <v>17.399999999999999</v>
      </c>
      <c r="R353" s="15">
        <v>6.99</v>
      </c>
      <c r="S353" s="15">
        <v>0</v>
      </c>
      <c r="T353"/>
    </row>
    <row r="354" spans="1:20">
      <c r="A354" s="5" t="s">
        <v>36</v>
      </c>
      <c r="B354" s="5" t="s">
        <v>13690</v>
      </c>
      <c r="C354" s="4">
        <f>Controle_Pedidos[[#This Row],[Data Compra]]</f>
        <v>45608</v>
      </c>
      <c r="D354" s="4">
        <v>45608</v>
      </c>
      <c r="E354" s="5" t="s">
        <v>15791</v>
      </c>
      <c r="F354" s="5" t="s">
        <v>17782</v>
      </c>
      <c r="G354" s="5" t="s">
        <v>860</v>
      </c>
      <c r="H354" s="5">
        <v>1</v>
      </c>
      <c r="I354" s="8" t="s">
        <v>7532</v>
      </c>
      <c r="J354" s="8" t="s">
        <v>9581</v>
      </c>
      <c r="K354" s="8" t="s">
        <v>1378</v>
      </c>
      <c r="L354" s="8" t="s">
        <v>11632</v>
      </c>
      <c r="M354" s="8" t="s">
        <v>3428</v>
      </c>
      <c r="N354" s="8" t="s">
        <v>5479</v>
      </c>
      <c r="O354" s="5" t="s">
        <v>75</v>
      </c>
      <c r="P354" s="4">
        <v>45631</v>
      </c>
      <c r="Q354" s="15">
        <v>54.5</v>
      </c>
      <c r="R354" s="15">
        <v>7.29</v>
      </c>
      <c r="S354" s="15">
        <v>0</v>
      </c>
      <c r="T354"/>
    </row>
    <row r="355" spans="1:20">
      <c r="A355" s="5" t="s">
        <v>36</v>
      </c>
      <c r="B355" s="5" t="s">
        <v>13691</v>
      </c>
      <c r="C355" s="4">
        <f>Controle_Pedidos[[#This Row],[Data Compra]]</f>
        <v>45608</v>
      </c>
      <c r="D355" s="4">
        <v>45608</v>
      </c>
      <c r="E355" s="5" t="s">
        <v>15792</v>
      </c>
      <c r="F355" s="5" t="s">
        <v>17783</v>
      </c>
      <c r="G355" s="5" t="s">
        <v>817</v>
      </c>
      <c r="H355" s="5">
        <v>1</v>
      </c>
      <c r="I355" s="8" t="s">
        <v>7533</v>
      </c>
      <c r="J355" s="8" t="s">
        <v>9582</v>
      </c>
      <c r="K355" s="8" t="s">
        <v>1379</v>
      </c>
      <c r="L355" s="8" t="s">
        <v>11633</v>
      </c>
      <c r="M355" s="8" t="s">
        <v>3429</v>
      </c>
      <c r="N355" s="8" t="s">
        <v>5480</v>
      </c>
      <c r="O355" s="5" t="s">
        <v>39</v>
      </c>
      <c r="P355" s="4">
        <v>45637</v>
      </c>
      <c r="Q355" s="15">
        <v>31.5</v>
      </c>
      <c r="R355" s="15">
        <v>0</v>
      </c>
      <c r="S355" s="15">
        <v>0</v>
      </c>
      <c r="T355"/>
    </row>
    <row r="356" spans="1:20">
      <c r="A356" s="5" t="s">
        <v>36</v>
      </c>
      <c r="B356" s="5" t="s">
        <v>13692</v>
      </c>
      <c r="C356" s="4">
        <f>Controle_Pedidos[[#This Row],[Data Compra]]</f>
        <v>45608</v>
      </c>
      <c r="D356" s="4">
        <v>45608</v>
      </c>
      <c r="E356" s="5" t="s">
        <v>15793</v>
      </c>
      <c r="F356" s="5" t="s">
        <v>17784</v>
      </c>
      <c r="G356" s="5" t="s">
        <v>849</v>
      </c>
      <c r="H356" s="5">
        <v>1</v>
      </c>
      <c r="I356" s="8" t="s">
        <v>7534</v>
      </c>
      <c r="J356" s="8" t="s">
        <v>9583</v>
      </c>
      <c r="K356" s="8" t="s">
        <v>1380</v>
      </c>
      <c r="L356" s="8" t="s">
        <v>11634</v>
      </c>
      <c r="M356" s="8" t="s">
        <v>3430</v>
      </c>
      <c r="N356" s="8" t="s">
        <v>5481</v>
      </c>
      <c r="O356" s="5" t="s">
        <v>61</v>
      </c>
      <c r="P356" s="4">
        <v>45637</v>
      </c>
      <c r="Q356" s="15">
        <v>59.5</v>
      </c>
      <c r="R356" s="15">
        <v>7.29</v>
      </c>
      <c r="S356" s="15">
        <v>0</v>
      </c>
      <c r="T356"/>
    </row>
    <row r="357" spans="1:20">
      <c r="A357" s="5" t="s">
        <v>36</v>
      </c>
      <c r="B357" s="5" t="s">
        <v>13693</v>
      </c>
      <c r="C357" s="4">
        <f>Controle_Pedidos[[#This Row],[Data Compra]]</f>
        <v>45608</v>
      </c>
      <c r="D357" s="4">
        <v>45608</v>
      </c>
      <c r="E357" s="5" t="s">
        <v>15794</v>
      </c>
      <c r="F357" s="5" t="s">
        <v>17785</v>
      </c>
      <c r="G357" s="5" t="s">
        <v>849</v>
      </c>
      <c r="H357" s="5">
        <v>1</v>
      </c>
      <c r="I357" s="8" t="s">
        <v>7535</v>
      </c>
      <c r="J357" s="8" t="s">
        <v>9584</v>
      </c>
      <c r="K357" s="8" t="s">
        <v>1381</v>
      </c>
      <c r="L357" s="8" t="s">
        <v>11635</v>
      </c>
      <c r="M357" s="8" t="s">
        <v>3431</v>
      </c>
      <c r="N357" s="8" t="s">
        <v>5482</v>
      </c>
      <c r="O357" s="5" t="s">
        <v>61</v>
      </c>
      <c r="P357" s="4">
        <v>45631</v>
      </c>
      <c r="Q357" s="15">
        <v>59.5</v>
      </c>
      <c r="R357" s="15">
        <v>0</v>
      </c>
      <c r="S357" s="15">
        <v>0</v>
      </c>
      <c r="T357"/>
    </row>
    <row r="358" spans="1:20">
      <c r="A358" s="5" t="s">
        <v>36</v>
      </c>
      <c r="B358" s="5" t="s">
        <v>13694</v>
      </c>
      <c r="C358" s="4">
        <f>Controle_Pedidos[[#This Row],[Data Compra]]</f>
        <v>45608</v>
      </c>
      <c r="D358" s="4">
        <v>45608</v>
      </c>
      <c r="E358" s="5" t="s">
        <v>15795</v>
      </c>
      <c r="F358" s="5" t="s">
        <v>17786</v>
      </c>
      <c r="G358" s="5" t="s">
        <v>824</v>
      </c>
      <c r="H358" s="5">
        <v>1</v>
      </c>
      <c r="I358" s="8" t="s">
        <v>7536</v>
      </c>
      <c r="J358" s="8" t="s">
        <v>9585</v>
      </c>
      <c r="K358" s="8" t="s">
        <v>1382</v>
      </c>
      <c r="L358" s="8" t="s">
        <v>11636</v>
      </c>
      <c r="M358" s="8" t="s">
        <v>3432</v>
      </c>
      <c r="N358" s="8" t="s">
        <v>5483</v>
      </c>
      <c r="O358" s="5" t="s">
        <v>38</v>
      </c>
      <c r="P358" s="4">
        <v>45625</v>
      </c>
      <c r="Q358" s="15">
        <v>15.5</v>
      </c>
      <c r="R358" s="15">
        <v>4.99</v>
      </c>
      <c r="S358" s="15">
        <v>0</v>
      </c>
      <c r="T358"/>
    </row>
    <row r="359" spans="1:20">
      <c r="A359" s="5" t="s">
        <v>36</v>
      </c>
      <c r="B359" s="5" t="s">
        <v>13695</v>
      </c>
      <c r="C359" s="4">
        <f>Controle_Pedidos[[#This Row],[Data Compra]]</f>
        <v>45608</v>
      </c>
      <c r="D359" s="4">
        <v>45608</v>
      </c>
      <c r="E359" s="5" t="s">
        <v>15796</v>
      </c>
      <c r="F359" s="5" t="s">
        <v>17787</v>
      </c>
      <c r="G359" s="5" t="s">
        <v>852</v>
      </c>
      <c r="H359" s="5">
        <v>1</v>
      </c>
      <c r="I359" s="8" t="s">
        <v>7537</v>
      </c>
      <c r="J359" s="8" t="s">
        <v>9586</v>
      </c>
      <c r="K359" s="8" t="s">
        <v>1383</v>
      </c>
      <c r="L359" s="8" t="s">
        <v>11637</v>
      </c>
      <c r="M359" s="8" t="s">
        <v>3433</v>
      </c>
      <c r="N359" s="8" t="s">
        <v>5484</v>
      </c>
      <c r="O359" s="5" t="s">
        <v>68</v>
      </c>
      <c r="P359" s="4">
        <v>45631</v>
      </c>
      <c r="Q359" s="15">
        <v>16.989999999999998</v>
      </c>
      <c r="R359" s="15">
        <v>5.48</v>
      </c>
      <c r="S359" s="15">
        <v>0</v>
      </c>
      <c r="T359"/>
    </row>
    <row r="360" spans="1:20">
      <c r="A360" s="5" t="s">
        <v>36</v>
      </c>
      <c r="B360" s="5" t="s">
        <v>13696</v>
      </c>
      <c r="C360" s="4">
        <f>Controle_Pedidos[[#This Row],[Data Compra]]</f>
        <v>45608</v>
      </c>
      <c r="D360" s="4">
        <v>45608</v>
      </c>
      <c r="E360" s="5" t="s">
        <v>15797</v>
      </c>
      <c r="F360" s="5" t="s">
        <v>17788</v>
      </c>
      <c r="G360" s="5" t="s">
        <v>824</v>
      </c>
      <c r="H360" s="5">
        <v>1</v>
      </c>
      <c r="I360" s="8" t="s">
        <v>7538</v>
      </c>
      <c r="J360" s="8" t="s">
        <v>9587</v>
      </c>
      <c r="K360" s="8" t="s">
        <v>1384</v>
      </c>
      <c r="L360" s="8" t="s">
        <v>11638</v>
      </c>
      <c r="M360" s="8" t="s">
        <v>3434</v>
      </c>
      <c r="N360" s="8" t="s">
        <v>5485</v>
      </c>
      <c r="O360" s="5" t="s">
        <v>38</v>
      </c>
      <c r="P360" s="4">
        <v>45631</v>
      </c>
      <c r="Q360" s="15">
        <v>15.5</v>
      </c>
      <c r="R360" s="15">
        <v>4.99</v>
      </c>
      <c r="S360" s="15">
        <v>0</v>
      </c>
      <c r="T360"/>
    </row>
    <row r="361" spans="1:20">
      <c r="A361" s="5" t="s">
        <v>36</v>
      </c>
      <c r="B361" s="5" t="s">
        <v>13697</v>
      </c>
      <c r="C361" s="4">
        <f>Controle_Pedidos[[#This Row],[Data Compra]]</f>
        <v>45608</v>
      </c>
      <c r="D361" s="4">
        <v>45608</v>
      </c>
      <c r="E361" s="5" t="s">
        <v>15798</v>
      </c>
      <c r="F361" s="5" t="s">
        <v>17789</v>
      </c>
      <c r="G361" s="5" t="s">
        <v>824</v>
      </c>
      <c r="H361" s="5">
        <v>1</v>
      </c>
      <c r="I361" s="8" t="s">
        <v>7539</v>
      </c>
      <c r="J361" s="8" t="s">
        <v>9588</v>
      </c>
      <c r="K361" s="8" t="s">
        <v>1385</v>
      </c>
      <c r="L361" s="8" t="s">
        <v>11639</v>
      </c>
      <c r="M361" s="8" t="s">
        <v>3435</v>
      </c>
      <c r="N361" s="8" t="s">
        <v>5486</v>
      </c>
      <c r="O361" s="5" t="s">
        <v>38</v>
      </c>
      <c r="P361" s="4">
        <v>45631</v>
      </c>
      <c r="Q361" s="15">
        <v>15.5</v>
      </c>
      <c r="R361" s="15">
        <v>4.99</v>
      </c>
      <c r="S361" s="15">
        <v>0</v>
      </c>
      <c r="T361"/>
    </row>
    <row r="362" spans="1:20">
      <c r="A362" s="5" t="s">
        <v>36</v>
      </c>
      <c r="B362" s="5" t="s">
        <v>13698</v>
      </c>
      <c r="C362" s="4">
        <f>Controle_Pedidos[[#This Row],[Data Compra]]</f>
        <v>45608</v>
      </c>
      <c r="D362" s="4">
        <v>45608</v>
      </c>
      <c r="E362" s="5" t="s">
        <v>15799</v>
      </c>
      <c r="F362" s="5" t="s">
        <v>17790</v>
      </c>
      <c r="G362" s="5" t="s">
        <v>848</v>
      </c>
      <c r="H362" s="5">
        <v>1</v>
      </c>
      <c r="I362" s="8" t="s">
        <v>7540</v>
      </c>
      <c r="J362" s="8" t="s">
        <v>9589</v>
      </c>
      <c r="K362" s="8" t="s">
        <v>1386</v>
      </c>
      <c r="L362" s="8" t="s">
        <v>11640</v>
      </c>
      <c r="M362" s="8" t="s">
        <v>3436</v>
      </c>
      <c r="N362" s="8" t="s">
        <v>5487</v>
      </c>
      <c r="O362" s="5" t="s">
        <v>76</v>
      </c>
      <c r="P362" s="4">
        <v>45637</v>
      </c>
      <c r="Q362" s="15">
        <v>49.5</v>
      </c>
      <c r="R362" s="15">
        <v>7.29</v>
      </c>
      <c r="S362" s="15">
        <v>0</v>
      </c>
      <c r="T362"/>
    </row>
    <row r="363" spans="1:20">
      <c r="A363" s="5" t="s">
        <v>36</v>
      </c>
      <c r="B363" s="5" t="s">
        <v>13699</v>
      </c>
      <c r="C363" s="4">
        <f>Controle_Pedidos[[#This Row],[Data Compra]]</f>
        <v>45608</v>
      </c>
      <c r="D363" s="4">
        <v>45608</v>
      </c>
      <c r="E363" s="5" t="s">
        <v>15800</v>
      </c>
      <c r="F363" s="5" t="s">
        <v>17791</v>
      </c>
      <c r="G363" s="5" t="s">
        <v>852</v>
      </c>
      <c r="H363" s="5">
        <v>1</v>
      </c>
      <c r="I363" s="8" t="s">
        <v>7541</v>
      </c>
      <c r="J363" s="8" t="s">
        <v>9590</v>
      </c>
      <c r="K363" s="8" t="s">
        <v>1387</v>
      </c>
      <c r="L363" s="8" t="s">
        <v>11641</v>
      </c>
      <c r="M363" s="8" t="s">
        <v>3437</v>
      </c>
      <c r="N363" s="8" t="s">
        <v>5488</v>
      </c>
      <c r="O363" s="5" t="s">
        <v>68</v>
      </c>
      <c r="P363" s="4">
        <v>45631</v>
      </c>
      <c r="Q363" s="15">
        <v>16.989999999999998</v>
      </c>
      <c r="R363" s="15">
        <v>5.48</v>
      </c>
      <c r="S363" s="15">
        <v>0</v>
      </c>
      <c r="T363"/>
    </row>
    <row r="364" spans="1:20">
      <c r="A364" s="5" t="s">
        <v>36</v>
      </c>
      <c r="B364" s="5" t="s">
        <v>13700</v>
      </c>
      <c r="C364" s="4">
        <f>Controle_Pedidos[[#This Row],[Data Compra]]</f>
        <v>45608</v>
      </c>
      <c r="D364" s="4">
        <v>45608</v>
      </c>
      <c r="E364" s="5" t="s">
        <v>15801</v>
      </c>
      <c r="F364" s="5" t="s">
        <v>17792</v>
      </c>
      <c r="G364" s="5" t="s">
        <v>848</v>
      </c>
      <c r="H364" s="5">
        <v>1</v>
      </c>
      <c r="I364" s="8" t="s">
        <v>7542</v>
      </c>
      <c r="J364" s="8" t="s">
        <v>9591</v>
      </c>
      <c r="K364" s="8" t="s">
        <v>1388</v>
      </c>
      <c r="L364" s="8" t="s">
        <v>11642</v>
      </c>
      <c r="M364" s="8" t="s">
        <v>3438</v>
      </c>
      <c r="N364" s="8" t="s">
        <v>5489</v>
      </c>
      <c r="O364" s="5" t="s">
        <v>76</v>
      </c>
      <c r="P364" s="4">
        <v>45631</v>
      </c>
      <c r="Q364" s="15">
        <v>49.5</v>
      </c>
      <c r="R364" s="15">
        <v>7.29</v>
      </c>
      <c r="S364" s="15">
        <v>0</v>
      </c>
      <c r="T364"/>
    </row>
    <row r="365" spans="1:20">
      <c r="A365" s="5" t="s">
        <v>36</v>
      </c>
      <c r="B365" s="5" t="s">
        <v>13701</v>
      </c>
      <c r="C365" s="4">
        <f>Controle_Pedidos[[#This Row],[Data Compra]]</f>
        <v>45608</v>
      </c>
      <c r="D365" s="4">
        <v>45608</v>
      </c>
      <c r="E365" s="5" t="s">
        <v>15802</v>
      </c>
      <c r="F365" s="5" t="s">
        <v>17793</v>
      </c>
      <c r="G365" s="5" t="s">
        <v>824</v>
      </c>
      <c r="H365" s="5">
        <v>1</v>
      </c>
      <c r="I365" s="8" t="s">
        <v>7543</v>
      </c>
      <c r="J365" s="8" t="s">
        <v>9592</v>
      </c>
      <c r="K365" s="8" t="s">
        <v>1389</v>
      </c>
      <c r="L365" s="8" t="s">
        <v>11643</v>
      </c>
      <c r="M365" s="8" t="s">
        <v>3439</v>
      </c>
      <c r="N365" s="8" t="s">
        <v>5490</v>
      </c>
      <c r="O365" s="5" t="s">
        <v>38</v>
      </c>
      <c r="P365" s="4">
        <v>45625</v>
      </c>
      <c r="Q365" s="15">
        <v>15.5</v>
      </c>
      <c r="R365" s="15">
        <v>4.99</v>
      </c>
      <c r="S365" s="15">
        <v>0</v>
      </c>
      <c r="T365"/>
    </row>
    <row r="366" spans="1:20">
      <c r="A366" s="5" t="s">
        <v>36</v>
      </c>
      <c r="B366" s="5" t="s">
        <v>13702</v>
      </c>
      <c r="C366" s="4">
        <v>45627</v>
      </c>
      <c r="D366" s="4" t="s">
        <v>37</v>
      </c>
      <c r="E366" s="5" t="s">
        <v>37</v>
      </c>
      <c r="F366" s="5" t="s">
        <v>37</v>
      </c>
      <c r="G366" s="5" t="s">
        <v>833</v>
      </c>
      <c r="H366" s="5">
        <v>1</v>
      </c>
      <c r="I366" s="8" t="s">
        <v>7531</v>
      </c>
      <c r="J366" s="8" t="s">
        <v>9580</v>
      </c>
      <c r="K366" s="8" t="s">
        <v>1377</v>
      </c>
      <c r="L366" s="8" t="s">
        <v>11631</v>
      </c>
      <c r="M366" s="8" t="s">
        <v>3427</v>
      </c>
      <c r="N366" s="8" t="s">
        <v>5478</v>
      </c>
      <c r="O366" s="5" t="s">
        <v>49</v>
      </c>
      <c r="P366" s="4">
        <v>45638</v>
      </c>
      <c r="Q366" s="15">
        <v>17.399999999999999</v>
      </c>
      <c r="R366" s="15">
        <v>0</v>
      </c>
      <c r="S366" s="15">
        <v>0</v>
      </c>
      <c r="T366"/>
    </row>
    <row r="367" spans="1:20">
      <c r="A367" s="5" t="s">
        <v>36</v>
      </c>
      <c r="B367" s="5" t="s">
        <v>13703</v>
      </c>
      <c r="C367" s="4">
        <v>45627</v>
      </c>
      <c r="D367" s="4" t="s">
        <v>37</v>
      </c>
      <c r="E367" s="5" t="s">
        <v>37</v>
      </c>
      <c r="F367" s="5" t="s">
        <v>37</v>
      </c>
      <c r="G367" s="5" t="s">
        <v>833</v>
      </c>
      <c r="H367" s="5">
        <v>1</v>
      </c>
      <c r="I367" s="8" t="s">
        <v>7531</v>
      </c>
      <c r="J367" s="8" t="s">
        <v>9580</v>
      </c>
      <c r="K367" s="8" t="s">
        <v>1377</v>
      </c>
      <c r="L367" s="8" t="s">
        <v>11631</v>
      </c>
      <c r="M367" s="8" t="s">
        <v>3427</v>
      </c>
      <c r="N367" s="8" t="s">
        <v>5478</v>
      </c>
      <c r="O367" s="5" t="s">
        <v>49</v>
      </c>
      <c r="P367" s="4">
        <v>45638</v>
      </c>
      <c r="Q367" s="15">
        <v>17.399999999999999</v>
      </c>
      <c r="R367" s="15">
        <v>0</v>
      </c>
      <c r="S367" s="15">
        <v>0</v>
      </c>
      <c r="T367"/>
    </row>
    <row r="368" spans="1:20">
      <c r="A368" s="5" t="s">
        <v>36</v>
      </c>
      <c r="B368" s="5" t="s">
        <v>13704</v>
      </c>
      <c r="C368" s="4">
        <v>45627</v>
      </c>
      <c r="D368" s="4" t="s">
        <v>37</v>
      </c>
      <c r="E368" s="5" t="s">
        <v>37</v>
      </c>
      <c r="F368" s="5" t="s">
        <v>37</v>
      </c>
      <c r="G368" s="5" t="s">
        <v>833</v>
      </c>
      <c r="H368" s="5">
        <v>1</v>
      </c>
      <c r="I368" s="8" t="s">
        <v>7531</v>
      </c>
      <c r="J368" s="8" t="s">
        <v>9580</v>
      </c>
      <c r="K368" s="8" t="s">
        <v>1377</v>
      </c>
      <c r="L368" s="8" t="s">
        <v>11631</v>
      </c>
      <c r="M368" s="8" t="s">
        <v>3427</v>
      </c>
      <c r="N368" s="8" t="s">
        <v>5478</v>
      </c>
      <c r="O368" s="5" t="s">
        <v>49</v>
      </c>
      <c r="P368" s="4">
        <v>45638</v>
      </c>
      <c r="Q368" s="15">
        <v>17.399999999999999</v>
      </c>
      <c r="R368" s="15">
        <v>0</v>
      </c>
      <c r="S368" s="15">
        <v>0</v>
      </c>
      <c r="T368"/>
    </row>
    <row r="369" spans="1:20">
      <c r="A369" s="5" t="s">
        <v>36</v>
      </c>
      <c r="B369" s="5" t="s">
        <v>13705</v>
      </c>
      <c r="C369" s="4">
        <v>45627</v>
      </c>
      <c r="D369" s="4" t="s">
        <v>37</v>
      </c>
      <c r="E369" s="5" t="s">
        <v>37</v>
      </c>
      <c r="F369" s="5" t="s">
        <v>37</v>
      </c>
      <c r="G369" s="5" t="s">
        <v>833</v>
      </c>
      <c r="H369" s="5">
        <v>1</v>
      </c>
      <c r="I369" s="8" t="s">
        <v>7531</v>
      </c>
      <c r="J369" s="8" t="s">
        <v>9580</v>
      </c>
      <c r="K369" s="8" t="s">
        <v>1377</v>
      </c>
      <c r="L369" s="8" t="s">
        <v>11631</v>
      </c>
      <c r="M369" s="8" t="s">
        <v>3427</v>
      </c>
      <c r="N369" s="8" t="s">
        <v>5478</v>
      </c>
      <c r="O369" s="5" t="s">
        <v>49</v>
      </c>
      <c r="P369" s="4">
        <v>45638</v>
      </c>
      <c r="Q369" s="15">
        <v>17.399999999999999</v>
      </c>
      <c r="R369" s="15">
        <v>0</v>
      </c>
      <c r="S369" s="15">
        <v>0</v>
      </c>
      <c r="T369"/>
    </row>
    <row r="370" spans="1:20">
      <c r="A370" s="5" t="s">
        <v>36</v>
      </c>
      <c r="B370" s="5" t="s">
        <v>13706</v>
      </c>
      <c r="C370" s="4">
        <f>Controle_Pedidos[[#This Row],[Data Compra]]</f>
        <v>45610</v>
      </c>
      <c r="D370" s="4">
        <v>45610</v>
      </c>
      <c r="E370" s="5" t="s">
        <v>15803</v>
      </c>
      <c r="F370" s="5" t="s">
        <v>17794</v>
      </c>
      <c r="G370" s="5" t="s">
        <v>849</v>
      </c>
      <c r="H370" s="5">
        <v>1</v>
      </c>
      <c r="I370" s="8" t="s">
        <v>7544</v>
      </c>
      <c r="J370" s="8" t="s">
        <v>9593</v>
      </c>
      <c r="K370" s="8" t="s">
        <v>1390</v>
      </c>
      <c r="L370" s="8" t="s">
        <v>11644</v>
      </c>
      <c r="M370" s="8" t="s">
        <v>3440</v>
      </c>
      <c r="N370" s="8" t="s">
        <v>5491</v>
      </c>
      <c r="O370" s="5" t="s">
        <v>61</v>
      </c>
      <c r="P370" s="4">
        <v>45645</v>
      </c>
      <c r="Q370" s="15">
        <v>59.5</v>
      </c>
      <c r="R370" s="15">
        <v>0</v>
      </c>
      <c r="S370" s="15">
        <v>0</v>
      </c>
      <c r="T370"/>
    </row>
    <row r="371" spans="1:20">
      <c r="A371" s="5" t="s">
        <v>36</v>
      </c>
      <c r="B371" s="5" t="s">
        <v>13706</v>
      </c>
      <c r="C371" s="4">
        <f>Controle_Pedidos[[#This Row],[Data Compra]]</f>
        <v>45609</v>
      </c>
      <c r="D371" s="4">
        <v>45609</v>
      </c>
      <c r="E371" s="5" t="s">
        <v>15804</v>
      </c>
      <c r="F371" s="5" t="s">
        <v>17795</v>
      </c>
      <c r="G371" s="5" t="s">
        <v>831</v>
      </c>
      <c r="H371" s="5">
        <v>1</v>
      </c>
      <c r="I371" s="8" t="s">
        <v>7544</v>
      </c>
      <c r="J371" s="8" t="s">
        <v>9593</v>
      </c>
      <c r="K371" s="8" t="s">
        <v>1390</v>
      </c>
      <c r="L371" s="8" t="s">
        <v>11644</v>
      </c>
      <c r="M371" s="8" t="s">
        <v>3440</v>
      </c>
      <c r="N371" s="8" t="s">
        <v>5491</v>
      </c>
      <c r="O371" s="5" t="s">
        <v>41</v>
      </c>
      <c r="P371" s="4">
        <v>45645</v>
      </c>
      <c r="Q371" s="15">
        <v>59.5</v>
      </c>
      <c r="R371" s="15">
        <v>0</v>
      </c>
      <c r="S371" s="15">
        <v>0</v>
      </c>
      <c r="T371"/>
    </row>
    <row r="372" spans="1:20">
      <c r="A372" s="5" t="s">
        <v>36</v>
      </c>
      <c r="B372" s="5" t="s">
        <v>13707</v>
      </c>
      <c r="C372" s="4">
        <f>Controle_Pedidos[[#This Row],[Data Compra]]</f>
        <v>45609</v>
      </c>
      <c r="D372" s="4">
        <v>45609</v>
      </c>
      <c r="E372" s="5" t="s">
        <v>15805</v>
      </c>
      <c r="F372" s="5" t="s">
        <v>17796</v>
      </c>
      <c r="G372" s="5" t="s">
        <v>826</v>
      </c>
      <c r="H372" s="5">
        <v>1</v>
      </c>
      <c r="I372" s="8" t="s">
        <v>7545</v>
      </c>
      <c r="J372" s="8" t="s">
        <v>9594</v>
      </c>
      <c r="K372" s="8" t="s">
        <v>1391</v>
      </c>
      <c r="L372" s="8" t="s">
        <v>11645</v>
      </c>
      <c r="M372" s="8" t="s">
        <v>3441</v>
      </c>
      <c r="N372" s="8" t="s">
        <v>5492</v>
      </c>
      <c r="O372" s="5" t="s">
        <v>42</v>
      </c>
      <c r="P372" s="4">
        <v>45638</v>
      </c>
      <c r="Q372" s="15">
        <v>17.989999999999998</v>
      </c>
      <c r="R372" s="15">
        <v>0</v>
      </c>
      <c r="S372" s="15">
        <v>0</v>
      </c>
      <c r="T372"/>
    </row>
    <row r="373" spans="1:20">
      <c r="A373" s="5" t="s">
        <v>36</v>
      </c>
      <c r="B373" s="5" t="s">
        <v>13708</v>
      </c>
      <c r="C373" s="4">
        <f>Controle_Pedidos[[#This Row],[Data Compra]]</f>
        <v>45609</v>
      </c>
      <c r="D373" s="4">
        <v>45609</v>
      </c>
      <c r="E373" s="5" t="s">
        <v>15806</v>
      </c>
      <c r="F373" s="5" t="s">
        <v>17797</v>
      </c>
      <c r="G373" s="5" t="s">
        <v>817</v>
      </c>
      <c r="H373" s="5">
        <v>1</v>
      </c>
      <c r="I373" s="8" t="s">
        <v>7546</v>
      </c>
      <c r="J373" s="8" t="s">
        <v>9595</v>
      </c>
      <c r="K373" s="8" t="s">
        <v>1392</v>
      </c>
      <c r="L373" s="8" t="s">
        <v>11646</v>
      </c>
      <c r="M373" s="8" t="s">
        <v>3442</v>
      </c>
      <c r="N373" s="8" t="s">
        <v>5493</v>
      </c>
      <c r="O373" s="5" t="s">
        <v>39</v>
      </c>
      <c r="P373" s="4">
        <v>45638</v>
      </c>
      <c r="Q373" s="15">
        <v>31.5</v>
      </c>
      <c r="R373" s="15">
        <v>11.99</v>
      </c>
      <c r="S373" s="15">
        <v>0</v>
      </c>
      <c r="T373"/>
    </row>
    <row r="374" spans="1:20">
      <c r="A374" s="5" t="s">
        <v>36</v>
      </c>
      <c r="B374" s="5" t="s">
        <v>13709</v>
      </c>
      <c r="C374" s="4">
        <f>Controle_Pedidos[[#This Row],[Data Compra]]</f>
        <v>45609</v>
      </c>
      <c r="D374" s="4">
        <v>45609</v>
      </c>
      <c r="E374" s="5" t="s">
        <v>15807</v>
      </c>
      <c r="F374" s="5" t="s">
        <v>17798</v>
      </c>
      <c r="G374" s="5" t="s">
        <v>826</v>
      </c>
      <c r="H374" s="5">
        <v>1</v>
      </c>
      <c r="I374" s="8" t="s">
        <v>7547</v>
      </c>
      <c r="J374" s="8" t="s">
        <v>9596</v>
      </c>
      <c r="K374" s="8" t="s">
        <v>1393</v>
      </c>
      <c r="L374" s="8" t="s">
        <v>11647</v>
      </c>
      <c r="M374" s="8" t="s">
        <v>3443</v>
      </c>
      <c r="N374" s="8" t="s">
        <v>5494</v>
      </c>
      <c r="O374" s="5" t="s">
        <v>42</v>
      </c>
      <c r="P374" s="4">
        <v>45632</v>
      </c>
      <c r="Q374" s="15">
        <v>17.989999999999998</v>
      </c>
      <c r="R374" s="15">
        <v>6.99</v>
      </c>
      <c r="S374" s="15">
        <v>0</v>
      </c>
      <c r="T374"/>
    </row>
    <row r="375" spans="1:20">
      <c r="A375" s="5" t="s">
        <v>36</v>
      </c>
      <c r="B375" s="5" t="s">
        <v>13710</v>
      </c>
      <c r="C375" s="4">
        <f>Controle_Pedidos[[#This Row],[Data Compra]]</f>
        <v>45609</v>
      </c>
      <c r="D375" s="4">
        <v>45609</v>
      </c>
      <c r="E375" s="5" t="s">
        <v>15808</v>
      </c>
      <c r="F375" s="5" t="s">
        <v>17799</v>
      </c>
      <c r="G375" s="5" t="s">
        <v>848</v>
      </c>
      <c r="H375" s="5">
        <v>1</v>
      </c>
      <c r="I375" s="8" t="s">
        <v>7548</v>
      </c>
      <c r="J375" s="8" t="s">
        <v>9597</v>
      </c>
      <c r="K375" s="8" t="s">
        <v>1394</v>
      </c>
      <c r="L375" s="8" t="s">
        <v>11648</v>
      </c>
      <c r="M375" s="8" t="s">
        <v>3444</v>
      </c>
      <c r="N375" s="8" t="s">
        <v>5495</v>
      </c>
      <c r="O375" s="5" t="s">
        <v>76</v>
      </c>
      <c r="P375" s="4">
        <v>45638</v>
      </c>
      <c r="Q375" s="15">
        <v>49.5</v>
      </c>
      <c r="R375" s="15">
        <v>10.71</v>
      </c>
      <c r="S375" s="15">
        <v>0</v>
      </c>
      <c r="T375"/>
    </row>
    <row r="376" spans="1:20">
      <c r="A376" s="5" t="s">
        <v>36</v>
      </c>
      <c r="B376" s="5" t="s">
        <v>13711</v>
      </c>
      <c r="C376" s="4">
        <f>Controle_Pedidos[[#This Row],[Data Compra]]</f>
        <v>45609</v>
      </c>
      <c r="D376" s="4">
        <v>45609</v>
      </c>
      <c r="E376" s="5" t="s">
        <v>15809</v>
      </c>
      <c r="F376" s="5" t="s">
        <v>17800</v>
      </c>
      <c r="G376" s="5" t="s">
        <v>833</v>
      </c>
      <c r="H376" s="5">
        <v>1</v>
      </c>
      <c r="I376" s="8" t="s">
        <v>7549</v>
      </c>
      <c r="J376" s="8" t="s">
        <v>9598</v>
      </c>
      <c r="K376" s="8" t="s">
        <v>1395</v>
      </c>
      <c r="L376" s="8" t="s">
        <v>11649</v>
      </c>
      <c r="M376" s="8" t="s">
        <v>3445</v>
      </c>
      <c r="N376" s="8" t="s">
        <v>5496</v>
      </c>
      <c r="O376" s="5" t="s">
        <v>49</v>
      </c>
      <c r="P376" s="4">
        <v>45638</v>
      </c>
      <c r="Q376" s="15">
        <v>17.399999999999999</v>
      </c>
      <c r="R376" s="15">
        <v>6.99</v>
      </c>
      <c r="S376" s="15">
        <v>0</v>
      </c>
      <c r="T376"/>
    </row>
    <row r="377" spans="1:20">
      <c r="A377" s="5" t="s">
        <v>36</v>
      </c>
      <c r="B377" s="5" t="s">
        <v>13712</v>
      </c>
      <c r="C377" s="4">
        <f>Controle_Pedidos[[#This Row],[Data Compra]]</f>
        <v>45609</v>
      </c>
      <c r="D377" s="4">
        <v>45609</v>
      </c>
      <c r="E377" s="5" t="s">
        <v>15810</v>
      </c>
      <c r="F377" s="5" t="s">
        <v>17801</v>
      </c>
      <c r="G377" s="5" t="s">
        <v>817</v>
      </c>
      <c r="H377" s="5">
        <v>1</v>
      </c>
      <c r="I377" s="8" t="s">
        <v>7550</v>
      </c>
      <c r="J377" s="8" t="s">
        <v>9599</v>
      </c>
      <c r="K377" s="8" t="s">
        <v>1396</v>
      </c>
      <c r="L377" s="8" t="s">
        <v>11650</v>
      </c>
      <c r="M377" s="8" t="s">
        <v>3446</v>
      </c>
      <c r="N377" s="8" t="s">
        <v>5497</v>
      </c>
      <c r="O377" s="5" t="s">
        <v>39</v>
      </c>
      <c r="P377" s="4">
        <v>45638</v>
      </c>
      <c r="Q377" s="15">
        <v>31.5</v>
      </c>
      <c r="R377" s="15">
        <v>11.99</v>
      </c>
      <c r="S377" s="15">
        <v>0</v>
      </c>
      <c r="T377"/>
    </row>
    <row r="378" spans="1:20">
      <c r="A378" s="5" t="s">
        <v>36</v>
      </c>
      <c r="B378" s="5" t="s">
        <v>13713</v>
      </c>
      <c r="C378" s="4">
        <f>Controle_Pedidos[[#This Row],[Data Compra]]</f>
        <v>45609</v>
      </c>
      <c r="D378" s="4">
        <v>45609</v>
      </c>
      <c r="E378" s="5" t="s">
        <v>15811</v>
      </c>
      <c r="F378" s="5" t="s">
        <v>17802</v>
      </c>
      <c r="G378" s="5" t="s">
        <v>845</v>
      </c>
      <c r="H378" s="5">
        <v>1</v>
      </c>
      <c r="I378" s="8" t="s">
        <v>7551</v>
      </c>
      <c r="J378" s="8" t="s">
        <v>9600</v>
      </c>
      <c r="K378" s="8" t="s">
        <v>1397</v>
      </c>
      <c r="L378" s="8" t="s">
        <v>11651</v>
      </c>
      <c r="M378" s="8" t="s">
        <v>3447</v>
      </c>
      <c r="N378" s="8" t="s">
        <v>5498</v>
      </c>
      <c r="O378" s="5" t="s">
        <v>67</v>
      </c>
      <c r="P378" s="4">
        <v>45638</v>
      </c>
      <c r="Q378" s="15">
        <v>59.5</v>
      </c>
      <c r="R378" s="15">
        <v>10.18</v>
      </c>
      <c r="S378" s="15">
        <v>0</v>
      </c>
      <c r="T378"/>
    </row>
    <row r="379" spans="1:20">
      <c r="A379" s="5" t="s">
        <v>36</v>
      </c>
      <c r="B379" s="5" t="s">
        <v>13714</v>
      </c>
      <c r="C379" s="4">
        <f>Controle_Pedidos[[#This Row],[Data Compra]]</f>
        <v>45610</v>
      </c>
      <c r="D379" s="4">
        <v>45610</v>
      </c>
      <c r="E379" s="5" t="s">
        <v>15812</v>
      </c>
      <c r="F379" s="5" t="s">
        <v>17803</v>
      </c>
      <c r="G379" s="5" t="s">
        <v>826</v>
      </c>
      <c r="H379" s="5">
        <v>1</v>
      </c>
      <c r="I379" s="8" t="s">
        <v>7552</v>
      </c>
      <c r="J379" s="8" t="s">
        <v>9601</v>
      </c>
      <c r="K379" s="8" t="s">
        <v>1398</v>
      </c>
      <c r="L379" s="8" t="s">
        <v>11652</v>
      </c>
      <c r="M379" s="8" t="s">
        <v>3448</v>
      </c>
      <c r="N379" s="8" t="s">
        <v>5499</v>
      </c>
      <c r="O379" s="5" t="s">
        <v>42</v>
      </c>
      <c r="P379" s="4">
        <v>45639</v>
      </c>
      <c r="Q379" s="15">
        <v>18.5</v>
      </c>
      <c r="R379" s="15">
        <v>6.99</v>
      </c>
      <c r="S379" s="15">
        <v>0</v>
      </c>
      <c r="T379"/>
    </row>
    <row r="380" spans="1:20">
      <c r="A380" s="5" t="s">
        <v>36</v>
      </c>
      <c r="B380" s="5" t="s">
        <v>13715</v>
      </c>
      <c r="C380" s="4">
        <f>Controle_Pedidos[[#This Row],[Data Compra]]</f>
        <v>45610</v>
      </c>
      <c r="D380" s="4">
        <v>45610</v>
      </c>
      <c r="E380" s="5" t="s">
        <v>15813</v>
      </c>
      <c r="F380" s="5" t="s">
        <v>17804</v>
      </c>
      <c r="G380" s="5" t="s">
        <v>849</v>
      </c>
      <c r="H380" s="5">
        <v>1</v>
      </c>
      <c r="I380" s="8" t="s">
        <v>7553</v>
      </c>
      <c r="J380" s="8" t="s">
        <v>9602</v>
      </c>
      <c r="K380" s="8" t="s">
        <v>1399</v>
      </c>
      <c r="L380" s="8" t="s">
        <v>11653</v>
      </c>
      <c r="M380" s="8" t="s">
        <v>3449</v>
      </c>
      <c r="N380" s="8" t="s">
        <v>5500</v>
      </c>
      <c r="O380" s="5" t="s">
        <v>61</v>
      </c>
      <c r="P380" s="4">
        <v>45639</v>
      </c>
      <c r="Q380" s="15">
        <v>59.5</v>
      </c>
      <c r="R380" s="15">
        <v>10.23</v>
      </c>
      <c r="S380" s="15">
        <v>0</v>
      </c>
      <c r="T380"/>
    </row>
    <row r="381" spans="1:20">
      <c r="A381" s="5" t="s">
        <v>36</v>
      </c>
      <c r="B381" s="5" t="s">
        <v>13716</v>
      </c>
      <c r="C381" s="4">
        <f>Controle_Pedidos[[#This Row],[Data Compra]]</f>
        <v>45610</v>
      </c>
      <c r="D381" s="4">
        <v>45610</v>
      </c>
      <c r="E381" s="5" t="s">
        <v>15814</v>
      </c>
      <c r="F381" s="5" t="s">
        <v>17805</v>
      </c>
      <c r="G381" s="5" t="s">
        <v>817</v>
      </c>
      <c r="H381" s="5">
        <v>1</v>
      </c>
      <c r="I381" s="8" t="s">
        <v>7554</v>
      </c>
      <c r="J381" s="8" t="s">
        <v>9603</v>
      </c>
      <c r="K381" s="8" t="s">
        <v>1400</v>
      </c>
      <c r="L381" s="8" t="s">
        <v>11654</v>
      </c>
      <c r="M381" s="8" t="s">
        <v>3450</v>
      </c>
      <c r="N381" s="8" t="s">
        <v>5501</v>
      </c>
      <c r="O381" s="5" t="s">
        <v>39</v>
      </c>
      <c r="P381" s="4">
        <v>45633</v>
      </c>
      <c r="Q381" s="15">
        <v>29.5</v>
      </c>
      <c r="R381" s="15">
        <v>11.99</v>
      </c>
      <c r="S381" s="15">
        <v>0</v>
      </c>
      <c r="T381"/>
    </row>
    <row r="382" spans="1:20">
      <c r="A382" s="5" t="s">
        <v>36</v>
      </c>
      <c r="B382" s="5" t="s">
        <v>13717</v>
      </c>
      <c r="C382" s="4">
        <f>Controle_Pedidos[[#This Row],[Data Compra]]</f>
        <v>45610</v>
      </c>
      <c r="D382" s="4">
        <v>45610</v>
      </c>
      <c r="E382" s="5" t="s">
        <v>15815</v>
      </c>
      <c r="F382" s="5" t="s">
        <v>17806</v>
      </c>
      <c r="G382" s="5" t="s">
        <v>860</v>
      </c>
      <c r="H382" s="5">
        <v>1</v>
      </c>
      <c r="I382" s="8" t="s">
        <v>7555</v>
      </c>
      <c r="J382" s="8" t="s">
        <v>9604</v>
      </c>
      <c r="K382" s="8" t="s">
        <v>1401</v>
      </c>
      <c r="L382" s="8" t="s">
        <v>11655</v>
      </c>
      <c r="M382" s="8" t="s">
        <v>3451</v>
      </c>
      <c r="N382" s="8" t="s">
        <v>5502</v>
      </c>
      <c r="O382" s="5" t="s">
        <v>75</v>
      </c>
      <c r="P382" s="4">
        <v>45646</v>
      </c>
      <c r="Q382" s="15">
        <v>54.4</v>
      </c>
      <c r="R382" s="15">
        <v>10.23</v>
      </c>
      <c r="S382" s="15">
        <v>0</v>
      </c>
      <c r="T382"/>
    </row>
    <row r="383" spans="1:20">
      <c r="A383" s="5" t="s">
        <v>36</v>
      </c>
      <c r="B383" s="5" t="s">
        <v>13718</v>
      </c>
      <c r="C383" s="4">
        <f>Controle_Pedidos[[#This Row],[Data Compra]]</f>
        <v>45610</v>
      </c>
      <c r="D383" s="4">
        <v>45610</v>
      </c>
      <c r="E383" s="5" t="s">
        <v>15816</v>
      </c>
      <c r="F383" s="5" t="s">
        <v>17807</v>
      </c>
      <c r="G383" s="5" t="s">
        <v>817</v>
      </c>
      <c r="H383" s="5">
        <v>1</v>
      </c>
      <c r="I383" s="8" t="s">
        <v>7556</v>
      </c>
      <c r="J383" s="8" t="s">
        <v>9605</v>
      </c>
      <c r="K383" s="8" t="s">
        <v>1402</v>
      </c>
      <c r="L383" s="8" t="s">
        <v>11656</v>
      </c>
      <c r="M383" s="8" t="s">
        <v>3452</v>
      </c>
      <c r="N383" s="8" t="s">
        <v>5503</v>
      </c>
      <c r="O383" s="5" t="s">
        <v>39</v>
      </c>
      <c r="P383" s="4">
        <v>45633</v>
      </c>
      <c r="Q383" s="15">
        <v>29.5</v>
      </c>
      <c r="R383" s="15">
        <v>11.99</v>
      </c>
      <c r="S383" s="15">
        <v>0</v>
      </c>
      <c r="T383"/>
    </row>
    <row r="384" spans="1:20">
      <c r="A384" s="5" t="s">
        <v>36</v>
      </c>
      <c r="B384" s="5" t="s">
        <v>13719</v>
      </c>
      <c r="C384" s="4">
        <f>Controle_Pedidos[[#This Row],[Data Compra]]</f>
        <v>45610</v>
      </c>
      <c r="D384" s="4">
        <v>45610</v>
      </c>
      <c r="E384" s="5" t="s">
        <v>15817</v>
      </c>
      <c r="F384" s="5" t="s">
        <v>17808</v>
      </c>
      <c r="G384" s="5" t="s">
        <v>817</v>
      </c>
      <c r="H384" s="5">
        <v>1</v>
      </c>
      <c r="I384" s="8" t="s">
        <v>7557</v>
      </c>
      <c r="J384" s="8" t="s">
        <v>9606</v>
      </c>
      <c r="K384" s="8" t="s">
        <v>1403</v>
      </c>
      <c r="L384" s="8" t="s">
        <v>11657</v>
      </c>
      <c r="M384" s="8" t="s">
        <v>3453</v>
      </c>
      <c r="N384" s="8" t="s">
        <v>5504</v>
      </c>
      <c r="O384" s="5" t="s">
        <v>39</v>
      </c>
      <c r="P384" s="4">
        <v>45633</v>
      </c>
      <c r="Q384" s="15">
        <v>29.5</v>
      </c>
      <c r="R384" s="15">
        <v>11.99</v>
      </c>
      <c r="S384" s="15">
        <v>0</v>
      </c>
      <c r="T384"/>
    </row>
    <row r="385" spans="1:20">
      <c r="A385" s="5" t="s">
        <v>36</v>
      </c>
      <c r="B385" s="5" t="s">
        <v>13720</v>
      </c>
      <c r="C385" s="4">
        <f>Controle_Pedidos[[#This Row],[Data Compra]]</f>
        <v>45610</v>
      </c>
      <c r="D385" s="4">
        <v>45610</v>
      </c>
      <c r="E385" s="5" t="s">
        <v>15818</v>
      </c>
      <c r="F385" s="5" t="s">
        <v>17809</v>
      </c>
      <c r="G385" s="5" t="s">
        <v>817</v>
      </c>
      <c r="H385" s="5">
        <v>1</v>
      </c>
      <c r="I385" s="8" t="s">
        <v>7558</v>
      </c>
      <c r="J385" s="8" t="s">
        <v>9607</v>
      </c>
      <c r="K385" s="8" t="s">
        <v>1404</v>
      </c>
      <c r="L385" s="8" t="s">
        <v>11658</v>
      </c>
      <c r="M385" s="8" t="s">
        <v>3454</v>
      </c>
      <c r="N385" s="8" t="s">
        <v>5505</v>
      </c>
      <c r="O385" s="5" t="s">
        <v>39</v>
      </c>
      <c r="P385" s="4">
        <v>45629</v>
      </c>
      <c r="Q385" s="15">
        <v>29.5</v>
      </c>
      <c r="R385" s="15">
        <v>11.99</v>
      </c>
      <c r="S385" s="15">
        <v>0</v>
      </c>
      <c r="T385"/>
    </row>
    <row r="386" spans="1:20">
      <c r="A386" s="5" t="s">
        <v>36</v>
      </c>
      <c r="B386" s="5" t="s">
        <v>13721</v>
      </c>
      <c r="C386" s="4">
        <f>Controle_Pedidos[[#This Row],[Data Compra]]</f>
        <v>45613</v>
      </c>
      <c r="D386" s="4">
        <v>45613</v>
      </c>
      <c r="E386" s="5" t="s">
        <v>15819</v>
      </c>
      <c r="F386" s="5" t="s">
        <v>17810</v>
      </c>
      <c r="G386" s="5" t="s">
        <v>845</v>
      </c>
      <c r="H386" s="5">
        <v>1</v>
      </c>
      <c r="I386" s="8" t="s">
        <v>7559</v>
      </c>
      <c r="J386" s="8" t="s">
        <v>9608</v>
      </c>
      <c r="K386" s="8" t="s">
        <v>1405</v>
      </c>
      <c r="L386" s="8" t="s">
        <v>11659</v>
      </c>
      <c r="M386" s="8" t="s">
        <v>3455</v>
      </c>
      <c r="N386" s="8" t="s">
        <v>5506</v>
      </c>
      <c r="O386" s="5" t="s">
        <v>67</v>
      </c>
      <c r="P386" s="4">
        <v>45646</v>
      </c>
      <c r="Q386" s="15">
        <v>100</v>
      </c>
      <c r="R386" s="15">
        <v>10.220000000000001</v>
      </c>
      <c r="S386" s="15">
        <v>0</v>
      </c>
      <c r="T386"/>
    </row>
    <row r="387" spans="1:20">
      <c r="A387" s="5" t="s">
        <v>36</v>
      </c>
      <c r="B387" s="5" t="s">
        <v>13722</v>
      </c>
      <c r="C387" s="4">
        <f>Controle_Pedidos[[#This Row],[Data Compra]]</f>
        <v>45614</v>
      </c>
      <c r="D387" s="4">
        <v>45614</v>
      </c>
      <c r="E387" s="5" t="s">
        <v>15820</v>
      </c>
      <c r="F387" s="5" t="s">
        <v>17811</v>
      </c>
      <c r="G387" s="5" t="s">
        <v>831</v>
      </c>
      <c r="H387" s="5">
        <v>1</v>
      </c>
      <c r="I387" s="8" t="s">
        <v>7560</v>
      </c>
      <c r="J387" s="8" t="s">
        <v>9609</v>
      </c>
      <c r="K387" s="8" t="s">
        <v>1406</v>
      </c>
      <c r="L387" s="8" t="s">
        <v>11660</v>
      </c>
      <c r="M387" s="8" t="s">
        <v>3456</v>
      </c>
      <c r="N387" s="8" t="s">
        <v>5507</v>
      </c>
      <c r="O387" s="5" t="s">
        <v>41</v>
      </c>
      <c r="P387" s="4">
        <v>45633</v>
      </c>
      <c r="Q387" s="15">
        <v>59.2</v>
      </c>
      <c r="R387" s="15">
        <v>10.199999999999999</v>
      </c>
      <c r="S387" s="15">
        <v>0</v>
      </c>
      <c r="T387"/>
    </row>
    <row r="388" spans="1:20">
      <c r="A388" s="5" t="s">
        <v>36</v>
      </c>
      <c r="B388" s="5" t="s">
        <v>13723</v>
      </c>
      <c r="C388" s="4">
        <f>Controle_Pedidos[[#This Row],[Data Compra]]</f>
        <v>45614</v>
      </c>
      <c r="D388" s="4">
        <v>45614</v>
      </c>
      <c r="E388" s="5" t="s">
        <v>15821</v>
      </c>
      <c r="F388" s="5" t="s">
        <v>17812</v>
      </c>
      <c r="G388" s="5" t="s">
        <v>845</v>
      </c>
      <c r="H388" s="5">
        <v>1</v>
      </c>
      <c r="I388" s="8" t="s">
        <v>7561</v>
      </c>
      <c r="J388" s="8" t="s">
        <v>9610</v>
      </c>
      <c r="K388" s="8" t="s">
        <v>1407</v>
      </c>
      <c r="L388" s="8" t="s">
        <v>11661</v>
      </c>
      <c r="M388" s="8" t="s">
        <v>3457</v>
      </c>
      <c r="N388" s="8" t="s">
        <v>5508</v>
      </c>
      <c r="O388" s="5" t="s">
        <v>67</v>
      </c>
      <c r="P388" s="4">
        <v>45639</v>
      </c>
      <c r="Q388" s="15">
        <v>59.2</v>
      </c>
      <c r="R388" s="15">
        <v>10.199999999999999</v>
      </c>
      <c r="S388" s="15">
        <v>0</v>
      </c>
      <c r="T388"/>
    </row>
    <row r="389" spans="1:20">
      <c r="A389" s="5" t="s">
        <v>36</v>
      </c>
      <c r="B389" s="5" t="s">
        <v>13724</v>
      </c>
      <c r="C389" s="4">
        <f>Controle_Pedidos[[#This Row],[Data Compra]]</f>
        <v>45614</v>
      </c>
      <c r="D389" s="4">
        <v>45614</v>
      </c>
      <c r="E389" s="5" t="s">
        <v>15822</v>
      </c>
      <c r="F389" s="5" t="s">
        <v>17813</v>
      </c>
      <c r="G389" s="5" t="s">
        <v>817</v>
      </c>
      <c r="H389" s="5">
        <v>1</v>
      </c>
      <c r="I389" s="8" t="s">
        <v>7562</v>
      </c>
      <c r="J389" s="8" t="s">
        <v>9611</v>
      </c>
      <c r="K389" s="8" t="s">
        <v>1408</v>
      </c>
      <c r="L389" s="8" t="s">
        <v>11662</v>
      </c>
      <c r="M389" s="8" t="s">
        <v>3458</v>
      </c>
      <c r="N389" s="8" t="s">
        <v>5509</v>
      </c>
      <c r="O389" s="5" t="s">
        <v>39</v>
      </c>
      <c r="P389" s="4">
        <v>45630</v>
      </c>
      <c r="Q389" s="15">
        <v>31.5</v>
      </c>
      <c r="R389" s="15">
        <v>11.99</v>
      </c>
      <c r="S389" s="15">
        <v>0</v>
      </c>
      <c r="T389"/>
    </row>
    <row r="390" spans="1:20">
      <c r="A390" s="5" t="s">
        <v>36</v>
      </c>
      <c r="B390" s="5" t="s">
        <v>13725</v>
      </c>
      <c r="C390" s="4">
        <f>Controle_Pedidos[[#This Row],[Data Compra]]</f>
        <v>45614</v>
      </c>
      <c r="D390" s="4">
        <v>45614</v>
      </c>
      <c r="E390" s="5" t="s">
        <v>15823</v>
      </c>
      <c r="F390" s="5" t="s">
        <v>17814</v>
      </c>
      <c r="G390" s="5" t="s">
        <v>817</v>
      </c>
      <c r="H390" s="5">
        <v>1</v>
      </c>
      <c r="I390" s="8" t="s">
        <v>7563</v>
      </c>
      <c r="J390" s="8" t="s">
        <v>9612</v>
      </c>
      <c r="K390" s="8" t="s">
        <v>1409</v>
      </c>
      <c r="L390" s="8" t="s">
        <v>11663</v>
      </c>
      <c r="M390" s="8" t="s">
        <v>3459</v>
      </c>
      <c r="N390" s="8" t="s">
        <v>5510</v>
      </c>
      <c r="O390" s="5" t="s">
        <v>39</v>
      </c>
      <c r="P390" s="4">
        <v>45636</v>
      </c>
      <c r="Q390" s="15">
        <v>31.5</v>
      </c>
      <c r="R390" s="15">
        <v>11.99</v>
      </c>
      <c r="S390" s="15">
        <v>0</v>
      </c>
      <c r="T390"/>
    </row>
    <row r="391" spans="1:20">
      <c r="A391" s="5" t="s">
        <v>36</v>
      </c>
      <c r="B391" s="5" t="s">
        <v>13726</v>
      </c>
      <c r="C391" s="4">
        <f>Controle_Pedidos[[#This Row],[Data Compra]]</f>
        <v>45614</v>
      </c>
      <c r="D391" s="4">
        <v>45614</v>
      </c>
      <c r="E391" s="5" t="s">
        <v>15824</v>
      </c>
      <c r="F391" s="5" t="s">
        <v>17815</v>
      </c>
      <c r="G391" s="5" t="s">
        <v>852</v>
      </c>
      <c r="H391" s="5">
        <v>1</v>
      </c>
      <c r="I391" s="8" t="s">
        <v>7564</v>
      </c>
      <c r="J391" s="8" t="s">
        <v>9613</v>
      </c>
      <c r="K391" s="8" t="s">
        <v>1410</v>
      </c>
      <c r="L391" s="8" t="s">
        <v>11664</v>
      </c>
      <c r="M391" s="8" t="s">
        <v>3460</v>
      </c>
      <c r="N391" s="8" t="s">
        <v>5511</v>
      </c>
      <c r="O391" s="5" t="s">
        <v>68</v>
      </c>
      <c r="P391" s="4">
        <v>45630</v>
      </c>
      <c r="Q391" s="15">
        <v>17.100000000000001</v>
      </c>
      <c r="R391" s="15">
        <v>6.99</v>
      </c>
      <c r="S391" s="15">
        <v>0</v>
      </c>
      <c r="T391"/>
    </row>
    <row r="392" spans="1:20">
      <c r="A392" s="5" t="s">
        <v>36</v>
      </c>
      <c r="B392" s="5" t="s">
        <v>13727</v>
      </c>
      <c r="C392" s="4">
        <f>Controle_Pedidos[[#This Row],[Data Compra]]</f>
        <v>45614</v>
      </c>
      <c r="D392" s="4">
        <v>45614</v>
      </c>
      <c r="E392" s="5" t="s">
        <v>15825</v>
      </c>
      <c r="F392" s="5" t="s">
        <v>17816</v>
      </c>
      <c r="G392" s="5" t="s">
        <v>845</v>
      </c>
      <c r="H392" s="5">
        <v>1</v>
      </c>
      <c r="I392" s="8" t="s">
        <v>7565</v>
      </c>
      <c r="J392" s="8" t="s">
        <v>9614</v>
      </c>
      <c r="K392" s="8" t="s">
        <v>1411</v>
      </c>
      <c r="L392" s="8" t="s">
        <v>11665</v>
      </c>
      <c r="M392" s="8" t="s">
        <v>3461</v>
      </c>
      <c r="N392" s="8" t="s">
        <v>5512</v>
      </c>
      <c r="O392" s="5" t="s">
        <v>67</v>
      </c>
      <c r="P392" s="4">
        <v>45640</v>
      </c>
      <c r="Q392" s="15">
        <v>59.2</v>
      </c>
      <c r="R392" s="15">
        <v>0</v>
      </c>
      <c r="S392" s="15">
        <v>0</v>
      </c>
      <c r="T392"/>
    </row>
    <row r="393" spans="1:20">
      <c r="A393" s="5" t="s">
        <v>36</v>
      </c>
      <c r="B393" s="5" t="s">
        <v>13728</v>
      </c>
      <c r="C393" s="4">
        <f>Controle_Pedidos[[#This Row],[Data Compra]]</f>
        <v>45614</v>
      </c>
      <c r="D393" s="4">
        <v>45614</v>
      </c>
      <c r="E393" s="5" t="s">
        <v>15826</v>
      </c>
      <c r="F393" s="5" t="s">
        <v>17817</v>
      </c>
      <c r="G393" s="5" t="s">
        <v>831</v>
      </c>
      <c r="H393" s="5">
        <v>1</v>
      </c>
      <c r="I393" s="8" t="s">
        <v>7566</v>
      </c>
      <c r="J393" s="8" t="s">
        <v>9615</v>
      </c>
      <c r="K393" s="8" t="s">
        <v>1412</v>
      </c>
      <c r="L393" s="8" t="s">
        <v>11666</v>
      </c>
      <c r="M393" s="8" t="s">
        <v>3462</v>
      </c>
      <c r="N393" s="8" t="s">
        <v>5513</v>
      </c>
      <c r="O393" s="5" t="s">
        <v>41</v>
      </c>
      <c r="P393" s="4">
        <v>45636</v>
      </c>
      <c r="Q393" s="15">
        <v>59.2</v>
      </c>
      <c r="R393" s="15">
        <v>10.199999999999999</v>
      </c>
      <c r="S393" s="15">
        <v>0</v>
      </c>
      <c r="T393"/>
    </row>
    <row r="394" spans="1:20">
      <c r="A394" s="5" t="s">
        <v>36</v>
      </c>
      <c r="B394" s="5" t="s">
        <v>13729</v>
      </c>
      <c r="C394" s="4">
        <f>Controle_Pedidos[[#This Row],[Data Compra]]</f>
        <v>45614</v>
      </c>
      <c r="D394" s="4">
        <v>45614</v>
      </c>
      <c r="E394" s="5" t="s">
        <v>15827</v>
      </c>
      <c r="F394" s="5" t="s">
        <v>17818</v>
      </c>
      <c r="G394" s="5" t="s">
        <v>848</v>
      </c>
      <c r="H394" s="5">
        <v>1</v>
      </c>
      <c r="I394" s="8" t="s">
        <v>7567</v>
      </c>
      <c r="J394" s="8" t="s">
        <v>9616</v>
      </c>
      <c r="K394" s="8" t="s">
        <v>1413</v>
      </c>
      <c r="L394" s="8" t="s">
        <v>11667</v>
      </c>
      <c r="M394" s="8" t="s">
        <v>3463</v>
      </c>
      <c r="N394" s="8" t="s">
        <v>5514</v>
      </c>
      <c r="O394" s="5" t="s">
        <v>76</v>
      </c>
      <c r="P394" s="4">
        <v>45636</v>
      </c>
      <c r="Q394" s="15">
        <v>48.5</v>
      </c>
      <c r="R394" s="15">
        <v>10.199999999999999</v>
      </c>
      <c r="S394" s="15">
        <v>0</v>
      </c>
      <c r="T394"/>
    </row>
    <row r="395" spans="1:20">
      <c r="A395" s="5" t="s">
        <v>36</v>
      </c>
      <c r="B395" s="5" t="s">
        <v>13730</v>
      </c>
      <c r="C395" s="4">
        <f>Controle_Pedidos[[#This Row],[Data Compra]]</f>
        <v>45614</v>
      </c>
      <c r="D395" s="4">
        <v>45614</v>
      </c>
      <c r="E395" s="5" t="s">
        <v>15828</v>
      </c>
      <c r="F395" s="5" t="s">
        <v>17819</v>
      </c>
      <c r="G395" s="5" t="s">
        <v>831</v>
      </c>
      <c r="H395" s="5">
        <v>1</v>
      </c>
      <c r="I395" s="8" t="s">
        <v>7568</v>
      </c>
      <c r="J395" s="8" t="s">
        <v>9617</v>
      </c>
      <c r="K395" s="8" t="s">
        <v>1414</v>
      </c>
      <c r="L395" s="8" t="s">
        <v>11668</v>
      </c>
      <c r="M395" s="8" t="s">
        <v>3464</v>
      </c>
      <c r="N395" s="8" t="s">
        <v>5515</v>
      </c>
      <c r="O395" s="5" t="s">
        <v>41</v>
      </c>
      <c r="P395" s="4">
        <v>45640</v>
      </c>
      <c r="Q395" s="15">
        <v>59.2</v>
      </c>
      <c r="R395" s="15">
        <v>10.199999999999999</v>
      </c>
      <c r="S395" s="15">
        <v>0</v>
      </c>
      <c r="T395"/>
    </row>
    <row r="396" spans="1:20">
      <c r="A396" s="5" t="s">
        <v>36</v>
      </c>
      <c r="B396" s="5" t="s">
        <v>13731</v>
      </c>
      <c r="C396" s="4">
        <f>Controle_Pedidos[[#This Row],[Data Compra]]</f>
        <v>45614</v>
      </c>
      <c r="D396" s="4">
        <v>45614</v>
      </c>
      <c r="E396" s="5" t="s">
        <v>15829</v>
      </c>
      <c r="F396" s="5" t="s">
        <v>17820</v>
      </c>
      <c r="G396" s="5" t="s">
        <v>817</v>
      </c>
      <c r="H396" s="5">
        <v>1</v>
      </c>
      <c r="I396" s="8" t="s">
        <v>7569</v>
      </c>
      <c r="J396" s="8" t="s">
        <v>9618</v>
      </c>
      <c r="K396" s="8" t="s">
        <v>1415</v>
      </c>
      <c r="L396" s="8" t="s">
        <v>11669</v>
      </c>
      <c r="M396" s="8" t="s">
        <v>3465</v>
      </c>
      <c r="N396" s="8" t="s">
        <v>5516</v>
      </c>
      <c r="O396" s="5" t="s">
        <v>39</v>
      </c>
      <c r="P396" s="4">
        <v>45632</v>
      </c>
      <c r="Q396" s="15">
        <v>31.5</v>
      </c>
      <c r="R396" s="15">
        <v>11.99</v>
      </c>
      <c r="S396" s="15">
        <v>0</v>
      </c>
      <c r="T396"/>
    </row>
    <row r="397" spans="1:20">
      <c r="A397" s="5" t="s">
        <v>36</v>
      </c>
      <c r="B397" s="5" t="s">
        <v>13732</v>
      </c>
      <c r="C397" s="4">
        <f>Controle_Pedidos[[#This Row],[Data Compra]]</f>
        <v>45614</v>
      </c>
      <c r="D397" s="4">
        <v>45614</v>
      </c>
      <c r="E397" s="5" t="s">
        <v>15830</v>
      </c>
      <c r="F397" s="5" t="s">
        <v>17821</v>
      </c>
      <c r="G397" s="5" t="s">
        <v>817</v>
      </c>
      <c r="H397" s="5">
        <v>1</v>
      </c>
      <c r="I397" s="8" t="s">
        <v>7506</v>
      </c>
      <c r="J397" s="8" t="s">
        <v>9555</v>
      </c>
      <c r="K397" s="8" t="s">
        <v>1352</v>
      </c>
      <c r="L397" s="8" t="s">
        <v>11606</v>
      </c>
      <c r="M397" s="8" t="s">
        <v>3402</v>
      </c>
      <c r="N397" s="8" t="s">
        <v>5453</v>
      </c>
      <c r="O397" s="5" t="s">
        <v>39</v>
      </c>
      <c r="P397" s="4">
        <v>45636</v>
      </c>
      <c r="Q397" s="15">
        <v>31.5</v>
      </c>
      <c r="R397" s="15">
        <v>11.99</v>
      </c>
      <c r="S397" s="15">
        <v>0</v>
      </c>
      <c r="T397"/>
    </row>
    <row r="398" spans="1:20">
      <c r="A398" s="5" t="s">
        <v>36</v>
      </c>
      <c r="B398" s="5" t="s">
        <v>13733</v>
      </c>
      <c r="C398" s="4">
        <f>Controle_Pedidos[[#This Row],[Data Compra]]</f>
        <v>45615</v>
      </c>
      <c r="D398" s="4">
        <v>45615</v>
      </c>
      <c r="E398" s="5" t="s">
        <v>15831</v>
      </c>
      <c r="F398" s="5" t="s">
        <v>17822</v>
      </c>
      <c r="G398" s="5" t="s">
        <v>848</v>
      </c>
      <c r="H398" s="5">
        <v>1</v>
      </c>
      <c r="I398" s="8" t="s">
        <v>7570</v>
      </c>
      <c r="J398" s="8" t="s">
        <v>9619</v>
      </c>
      <c r="K398" s="8" t="s">
        <v>1416</v>
      </c>
      <c r="L398" s="8" t="s">
        <v>11670</v>
      </c>
      <c r="M398" s="8" t="s">
        <v>3466</v>
      </c>
      <c r="N398" s="8" t="s">
        <v>5517</v>
      </c>
      <c r="O398" s="5" t="s">
        <v>76</v>
      </c>
      <c r="P398" s="4">
        <v>45636</v>
      </c>
      <c r="Q398" s="15">
        <v>48.99</v>
      </c>
      <c r="R398" s="15">
        <v>10.199999999999999</v>
      </c>
      <c r="S398" s="15">
        <v>0</v>
      </c>
      <c r="T398"/>
    </row>
    <row r="399" spans="1:20">
      <c r="A399" s="5" t="s">
        <v>36</v>
      </c>
      <c r="B399" s="5" t="s">
        <v>13734</v>
      </c>
      <c r="C399" s="4">
        <f>Controle_Pedidos[[#This Row],[Data Compra]]</f>
        <v>45615</v>
      </c>
      <c r="D399" s="4">
        <v>45615</v>
      </c>
      <c r="E399" s="5" t="s">
        <v>15832</v>
      </c>
      <c r="F399" s="5" t="s">
        <v>17823</v>
      </c>
      <c r="G399" s="5" t="s">
        <v>849</v>
      </c>
      <c r="H399" s="5">
        <v>1</v>
      </c>
      <c r="I399" s="8" t="s">
        <v>7571</v>
      </c>
      <c r="J399" s="8" t="s">
        <v>9620</v>
      </c>
      <c r="K399" s="8" t="s">
        <v>1417</v>
      </c>
      <c r="L399" s="8" t="s">
        <v>11671</v>
      </c>
      <c r="M399" s="8" t="s">
        <v>3467</v>
      </c>
      <c r="N399" s="8" t="s">
        <v>5518</v>
      </c>
      <c r="O399" s="5" t="s">
        <v>61</v>
      </c>
      <c r="P399" s="4">
        <v>45636</v>
      </c>
      <c r="Q399" s="15">
        <v>59.2</v>
      </c>
      <c r="R399" s="15">
        <v>0</v>
      </c>
      <c r="S399" s="15">
        <v>0</v>
      </c>
      <c r="T399"/>
    </row>
    <row r="400" spans="1:20">
      <c r="A400" s="5" t="s">
        <v>36</v>
      </c>
      <c r="B400" s="5" t="s">
        <v>13735</v>
      </c>
      <c r="C400" s="4">
        <f>Controle_Pedidos[[#This Row],[Data Compra]]</f>
        <v>45615</v>
      </c>
      <c r="D400" s="4">
        <v>45615</v>
      </c>
      <c r="E400" s="5" t="s">
        <v>15833</v>
      </c>
      <c r="F400" s="5" t="s">
        <v>17824</v>
      </c>
      <c r="G400" s="5" t="s">
        <v>848</v>
      </c>
      <c r="H400" s="5">
        <v>1</v>
      </c>
      <c r="I400" s="8" t="s">
        <v>7572</v>
      </c>
      <c r="J400" s="8" t="s">
        <v>9621</v>
      </c>
      <c r="K400" s="8" t="s">
        <v>1418</v>
      </c>
      <c r="L400" s="8" t="s">
        <v>11672</v>
      </c>
      <c r="M400" s="8" t="s">
        <v>3468</v>
      </c>
      <c r="N400" s="8" t="s">
        <v>5519</v>
      </c>
      <c r="O400" s="5" t="s">
        <v>76</v>
      </c>
      <c r="P400" s="4">
        <v>45636</v>
      </c>
      <c r="Q400" s="15">
        <v>48.99</v>
      </c>
      <c r="R400" s="15">
        <v>10.199999999999999</v>
      </c>
      <c r="S400" s="15">
        <v>0</v>
      </c>
      <c r="T400"/>
    </row>
    <row r="401" spans="1:20">
      <c r="A401" s="5" t="s">
        <v>36</v>
      </c>
      <c r="B401" s="5" t="s">
        <v>13736</v>
      </c>
      <c r="C401" s="4">
        <f>Controle_Pedidos[[#This Row],[Data Compra]]</f>
        <v>45615</v>
      </c>
      <c r="D401" s="4">
        <v>45615</v>
      </c>
      <c r="E401" s="5" t="s">
        <v>15834</v>
      </c>
      <c r="F401" s="5" t="s">
        <v>17825</v>
      </c>
      <c r="G401" s="5" t="s">
        <v>848</v>
      </c>
      <c r="H401" s="5">
        <v>1</v>
      </c>
      <c r="I401" s="8" t="s">
        <v>7570</v>
      </c>
      <c r="J401" s="8" t="s">
        <v>9619</v>
      </c>
      <c r="K401" s="8" t="s">
        <v>1416</v>
      </c>
      <c r="L401" s="8" t="s">
        <v>11670</v>
      </c>
      <c r="M401" s="8" t="s">
        <v>3466</v>
      </c>
      <c r="N401" s="8" t="s">
        <v>5517</v>
      </c>
      <c r="O401" s="5" t="s">
        <v>76</v>
      </c>
      <c r="P401" s="4">
        <v>45636</v>
      </c>
      <c r="Q401" s="15">
        <v>48.99</v>
      </c>
      <c r="R401" s="15">
        <v>10.199999999999999</v>
      </c>
      <c r="S401" s="15">
        <v>0</v>
      </c>
      <c r="T401"/>
    </row>
    <row r="402" spans="1:20">
      <c r="A402" s="5" t="s">
        <v>36</v>
      </c>
      <c r="B402" s="5" t="s">
        <v>13737</v>
      </c>
      <c r="C402" s="4">
        <f>Controle_Pedidos[[#This Row],[Data Compra]]</f>
        <v>45615</v>
      </c>
      <c r="D402" s="4">
        <v>45615</v>
      </c>
      <c r="E402" s="5" t="s">
        <v>15835</v>
      </c>
      <c r="F402" s="5" t="s">
        <v>17826</v>
      </c>
      <c r="G402" s="5" t="s">
        <v>855</v>
      </c>
      <c r="H402" s="5">
        <v>1</v>
      </c>
      <c r="I402" s="8" t="s">
        <v>7573</v>
      </c>
      <c r="J402" s="8" t="s">
        <v>9622</v>
      </c>
      <c r="K402" s="8" t="s">
        <v>1419</v>
      </c>
      <c r="L402" s="8" t="s">
        <v>11673</v>
      </c>
      <c r="M402" s="8" t="s">
        <v>3469</v>
      </c>
      <c r="N402" s="8" t="s">
        <v>5520</v>
      </c>
      <c r="O402" s="5" t="s">
        <v>81</v>
      </c>
      <c r="P402" s="4">
        <v>45643</v>
      </c>
      <c r="Q402" s="15">
        <v>27.99</v>
      </c>
      <c r="R402" s="15">
        <v>10.19</v>
      </c>
      <c r="S402" s="15">
        <v>0</v>
      </c>
      <c r="T402"/>
    </row>
    <row r="403" spans="1:20">
      <c r="A403" s="5" t="s">
        <v>36</v>
      </c>
      <c r="B403" s="5" t="s">
        <v>13738</v>
      </c>
      <c r="C403" s="4">
        <f>Controle_Pedidos[[#This Row],[Data Compra]]</f>
        <v>45615</v>
      </c>
      <c r="D403" s="4">
        <v>45615</v>
      </c>
      <c r="E403" s="5" t="s">
        <v>15836</v>
      </c>
      <c r="F403" s="5" t="s">
        <v>17827</v>
      </c>
      <c r="G403" s="5" t="s">
        <v>817</v>
      </c>
      <c r="H403" s="5">
        <v>1</v>
      </c>
      <c r="I403" s="8" t="s">
        <v>7574</v>
      </c>
      <c r="J403" s="8" t="s">
        <v>9623</v>
      </c>
      <c r="K403" s="8" t="s">
        <v>1420</v>
      </c>
      <c r="L403" s="8" t="s">
        <v>11674</v>
      </c>
      <c r="M403" s="8" t="s">
        <v>3470</v>
      </c>
      <c r="N403" s="8" t="s">
        <v>5521</v>
      </c>
      <c r="O403" s="5" t="s">
        <v>39</v>
      </c>
      <c r="P403" s="4">
        <v>45637</v>
      </c>
      <c r="Q403" s="15">
        <v>31.5</v>
      </c>
      <c r="R403" s="15">
        <v>11.99</v>
      </c>
      <c r="S403" s="15">
        <v>0</v>
      </c>
      <c r="T403"/>
    </row>
    <row r="404" spans="1:20">
      <c r="A404" s="5" t="s">
        <v>36</v>
      </c>
      <c r="B404" s="5" t="s">
        <v>13739</v>
      </c>
      <c r="C404" s="4">
        <f>Controle_Pedidos[[#This Row],[Data Compra]]</f>
        <v>45615</v>
      </c>
      <c r="D404" s="4">
        <v>45615</v>
      </c>
      <c r="E404" s="5" t="s">
        <v>15837</v>
      </c>
      <c r="F404" s="5" t="s">
        <v>17828</v>
      </c>
      <c r="G404" s="5" t="s">
        <v>848</v>
      </c>
      <c r="H404" s="5">
        <v>1</v>
      </c>
      <c r="I404" s="8" t="s">
        <v>7575</v>
      </c>
      <c r="J404" s="8" t="s">
        <v>9624</v>
      </c>
      <c r="K404" s="8" t="s">
        <v>1421</v>
      </c>
      <c r="L404" s="8" t="s">
        <v>11675</v>
      </c>
      <c r="M404" s="8" t="s">
        <v>3471</v>
      </c>
      <c r="N404" s="8" t="s">
        <v>5522</v>
      </c>
      <c r="O404" s="5" t="s">
        <v>76</v>
      </c>
      <c r="P404" s="4">
        <v>45643</v>
      </c>
      <c r="Q404" s="15">
        <v>48.99</v>
      </c>
      <c r="R404" s="15">
        <v>10.19</v>
      </c>
      <c r="S404" s="15">
        <v>0</v>
      </c>
      <c r="T404"/>
    </row>
    <row r="405" spans="1:20">
      <c r="A405" s="5" t="s">
        <v>36</v>
      </c>
      <c r="B405" s="5" t="s">
        <v>13740</v>
      </c>
      <c r="C405" s="4">
        <f>Controle_Pedidos[[#This Row],[Data Compra]]</f>
        <v>45615</v>
      </c>
      <c r="D405" s="4">
        <v>45615</v>
      </c>
      <c r="E405" s="5" t="s">
        <v>15838</v>
      </c>
      <c r="F405" s="5" t="s">
        <v>17829</v>
      </c>
      <c r="G405" s="5" t="s">
        <v>848</v>
      </c>
      <c r="H405" s="5">
        <v>1</v>
      </c>
      <c r="I405" s="8" t="s">
        <v>7576</v>
      </c>
      <c r="J405" s="8" t="s">
        <v>9625</v>
      </c>
      <c r="K405" s="8" t="s">
        <v>1422</v>
      </c>
      <c r="L405" s="8" t="s">
        <v>11676</v>
      </c>
      <c r="M405" s="8" t="s">
        <v>3472</v>
      </c>
      <c r="N405" s="8" t="s">
        <v>5523</v>
      </c>
      <c r="O405" s="5" t="s">
        <v>76</v>
      </c>
      <c r="P405" s="4">
        <v>45643</v>
      </c>
      <c r="Q405" s="15">
        <v>48.99</v>
      </c>
      <c r="R405" s="15">
        <v>10.19</v>
      </c>
      <c r="S405" s="15">
        <v>0</v>
      </c>
      <c r="T405"/>
    </row>
    <row r="406" spans="1:20">
      <c r="A406" s="5" t="s">
        <v>36</v>
      </c>
      <c r="B406" s="5" t="s">
        <v>13741</v>
      </c>
      <c r="C406" s="4">
        <f>Controle_Pedidos[[#This Row],[Data Compra]]</f>
        <v>45615</v>
      </c>
      <c r="D406" s="4">
        <v>45615</v>
      </c>
      <c r="E406" s="5" t="s">
        <v>15839</v>
      </c>
      <c r="F406" s="5" t="s">
        <v>17830</v>
      </c>
      <c r="G406" s="5" t="s">
        <v>817</v>
      </c>
      <c r="H406" s="5">
        <v>1</v>
      </c>
      <c r="I406" s="8" t="s">
        <v>7577</v>
      </c>
      <c r="J406" s="8" t="s">
        <v>9626</v>
      </c>
      <c r="K406" s="8" t="s">
        <v>1423</v>
      </c>
      <c r="L406" s="8" t="s">
        <v>11677</v>
      </c>
      <c r="M406" s="8" t="s">
        <v>3473</v>
      </c>
      <c r="N406" s="8" t="s">
        <v>5524</v>
      </c>
      <c r="O406" s="5" t="s">
        <v>39</v>
      </c>
      <c r="P406" s="4">
        <v>45643</v>
      </c>
      <c r="Q406" s="15">
        <v>31.5</v>
      </c>
      <c r="R406" s="15">
        <v>11.99</v>
      </c>
      <c r="S406" s="15">
        <v>0</v>
      </c>
      <c r="T406"/>
    </row>
    <row r="407" spans="1:20">
      <c r="A407" s="5" t="s">
        <v>36</v>
      </c>
      <c r="B407" s="5" t="s">
        <v>13742</v>
      </c>
      <c r="C407" s="4">
        <f>Controle_Pedidos[[#This Row],[Data Compra]]</f>
        <v>45615</v>
      </c>
      <c r="D407" s="4">
        <v>45615</v>
      </c>
      <c r="E407" s="5" t="s">
        <v>15840</v>
      </c>
      <c r="F407" s="5" t="s">
        <v>17831</v>
      </c>
      <c r="G407" s="5" t="s">
        <v>817</v>
      </c>
      <c r="H407" s="5">
        <v>1</v>
      </c>
      <c r="I407" s="8" t="s">
        <v>7578</v>
      </c>
      <c r="J407" s="8" t="s">
        <v>9627</v>
      </c>
      <c r="K407" s="8" t="s">
        <v>1424</v>
      </c>
      <c r="L407" s="8" t="s">
        <v>11678</v>
      </c>
      <c r="M407" s="8" t="s">
        <v>3474</v>
      </c>
      <c r="N407" s="8" t="s">
        <v>5525</v>
      </c>
      <c r="O407" s="5" t="s">
        <v>39</v>
      </c>
      <c r="P407" s="4">
        <v>45633</v>
      </c>
      <c r="Q407" s="15">
        <v>31.5</v>
      </c>
      <c r="R407" s="15">
        <v>11.99</v>
      </c>
      <c r="S407" s="15">
        <v>0</v>
      </c>
      <c r="T407"/>
    </row>
    <row r="408" spans="1:20">
      <c r="A408" s="5" t="s">
        <v>36</v>
      </c>
      <c r="B408" s="5" t="s">
        <v>13743</v>
      </c>
      <c r="C408" s="4">
        <f>Controle_Pedidos[[#This Row],[Data Compra]]</f>
        <v>45615</v>
      </c>
      <c r="D408" s="4">
        <v>45615</v>
      </c>
      <c r="E408" s="5" t="s">
        <v>15841</v>
      </c>
      <c r="F408" s="5" t="s">
        <v>17832</v>
      </c>
      <c r="G408" s="5" t="s">
        <v>849</v>
      </c>
      <c r="H408" s="5">
        <v>1</v>
      </c>
      <c r="I408" s="8" t="s">
        <v>7579</v>
      </c>
      <c r="J408" s="8" t="s">
        <v>9628</v>
      </c>
      <c r="K408" s="8" t="s">
        <v>1425</v>
      </c>
      <c r="L408" s="8" t="s">
        <v>11679</v>
      </c>
      <c r="M408" s="8" t="s">
        <v>3475</v>
      </c>
      <c r="N408" s="8" t="s">
        <v>5526</v>
      </c>
      <c r="O408" s="5" t="s">
        <v>61</v>
      </c>
      <c r="P408" s="4">
        <v>45643</v>
      </c>
      <c r="Q408" s="15">
        <v>59.2</v>
      </c>
      <c r="R408" s="15">
        <v>10.19</v>
      </c>
      <c r="S408" s="15">
        <v>0</v>
      </c>
      <c r="T408"/>
    </row>
    <row r="409" spans="1:20">
      <c r="A409" s="5" t="s">
        <v>36</v>
      </c>
      <c r="B409" s="5" t="s">
        <v>13744</v>
      </c>
      <c r="C409" s="4">
        <f>Controle_Pedidos[[#This Row],[Data Compra]]</f>
        <v>45615</v>
      </c>
      <c r="D409" s="4">
        <v>45615</v>
      </c>
      <c r="E409" s="5" t="s">
        <v>15842</v>
      </c>
      <c r="F409" s="5" t="s">
        <v>17833</v>
      </c>
      <c r="G409" s="5" t="s">
        <v>817</v>
      </c>
      <c r="H409" s="5">
        <v>1</v>
      </c>
      <c r="I409" s="8" t="s">
        <v>7580</v>
      </c>
      <c r="J409" s="8" t="s">
        <v>9629</v>
      </c>
      <c r="K409" s="8" t="s">
        <v>1426</v>
      </c>
      <c r="L409" s="8" t="s">
        <v>11680</v>
      </c>
      <c r="M409" s="8" t="s">
        <v>3476</v>
      </c>
      <c r="N409" s="8" t="s">
        <v>5527</v>
      </c>
      <c r="O409" s="5" t="s">
        <v>39</v>
      </c>
      <c r="P409" s="4">
        <v>45637</v>
      </c>
      <c r="Q409" s="15">
        <v>31.5</v>
      </c>
      <c r="R409" s="15">
        <v>11.99</v>
      </c>
      <c r="S409" s="15">
        <v>0</v>
      </c>
      <c r="T409"/>
    </row>
    <row r="410" spans="1:20">
      <c r="A410" s="5" t="s">
        <v>36</v>
      </c>
      <c r="B410" s="5" t="s">
        <v>13745</v>
      </c>
      <c r="C410" s="4">
        <f>Controle_Pedidos[[#This Row],[Data Compra]]</f>
        <v>45615</v>
      </c>
      <c r="D410" s="4">
        <v>45615</v>
      </c>
      <c r="E410" s="5" t="s">
        <v>15843</v>
      </c>
      <c r="F410" s="5" t="s">
        <v>17834</v>
      </c>
      <c r="G410" s="5" t="s">
        <v>848</v>
      </c>
      <c r="H410" s="5">
        <v>1</v>
      </c>
      <c r="I410" s="8" t="s">
        <v>7581</v>
      </c>
      <c r="J410" s="8" t="s">
        <v>9630</v>
      </c>
      <c r="K410" s="8" t="s">
        <v>1427</v>
      </c>
      <c r="L410" s="8" t="s">
        <v>11681</v>
      </c>
      <c r="M410" s="8" t="s">
        <v>3477</v>
      </c>
      <c r="N410" s="8" t="s">
        <v>5528</v>
      </c>
      <c r="O410" s="5" t="s">
        <v>76</v>
      </c>
      <c r="P410" s="4">
        <v>45643</v>
      </c>
      <c r="Q410" s="15">
        <v>48.99</v>
      </c>
      <c r="R410" s="15">
        <v>10.19</v>
      </c>
      <c r="S410" s="15">
        <v>0</v>
      </c>
      <c r="T410"/>
    </row>
    <row r="411" spans="1:20">
      <c r="A411" s="5" t="s">
        <v>36</v>
      </c>
      <c r="B411" s="5" t="s">
        <v>13746</v>
      </c>
      <c r="C411" s="4">
        <f>Controle_Pedidos[[#This Row],[Data Compra]]</f>
        <v>45615</v>
      </c>
      <c r="D411" s="4">
        <v>45615</v>
      </c>
      <c r="E411" s="5" t="s">
        <v>15844</v>
      </c>
      <c r="F411" s="5" t="s">
        <v>17835</v>
      </c>
      <c r="G411" s="5" t="s">
        <v>836</v>
      </c>
      <c r="H411" s="5">
        <v>1</v>
      </c>
      <c r="I411" s="8" t="s">
        <v>7582</v>
      </c>
      <c r="J411" s="8" t="s">
        <v>9631</v>
      </c>
      <c r="K411" s="8" t="s">
        <v>1428</v>
      </c>
      <c r="L411" s="8" t="s">
        <v>11682</v>
      </c>
      <c r="M411" s="8" t="s">
        <v>3478</v>
      </c>
      <c r="N411" s="8" t="s">
        <v>5529</v>
      </c>
      <c r="O411" s="5" t="s">
        <v>55</v>
      </c>
      <c r="P411" s="4">
        <v>45631</v>
      </c>
      <c r="Q411" s="15">
        <v>22.5</v>
      </c>
      <c r="R411" s="15">
        <v>11.99</v>
      </c>
      <c r="S411" s="15">
        <v>0</v>
      </c>
      <c r="T411"/>
    </row>
    <row r="412" spans="1:20">
      <c r="A412" s="5" t="s">
        <v>36</v>
      </c>
      <c r="B412" s="5" t="s">
        <v>13747</v>
      </c>
      <c r="C412" s="4">
        <f>Controle_Pedidos[[#This Row],[Data Compra]]</f>
        <v>45616</v>
      </c>
      <c r="D412" s="4">
        <v>45616</v>
      </c>
      <c r="E412" s="5" t="s">
        <v>15845</v>
      </c>
      <c r="F412" s="5" t="s">
        <v>17836</v>
      </c>
      <c r="G412" s="5" t="s">
        <v>866</v>
      </c>
      <c r="H412" s="5">
        <v>1</v>
      </c>
      <c r="I412" s="8" t="s">
        <v>7583</v>
      </c>
      <c r="J412" s="8" t="s">
        <v>9632</v>
      </c>
      <c r="K412" s="8" t="s">
        <v>1429</v>
      </c>
      <c r="L412" s="8" t="s">
        <v>11683</v>
      </c>
      <c r="M412" s="8" t="s">
        <v>3479</v>
      </c>
      <c r="N412" s="8" t="s">
        <v>5530</v>
      </c>
      <c r="O412" s="5" t="s">
        <v>82</v>
      </c>
      <c r="P412" s="4">
        <v>45643</v>
      </c>
      <c r="Q412" s="15">
        <v>52.99</v>
      </c>
      <c r="R412" s="15">
        <v>10.18</v>
      </c>
      <c r="S412" s="15">
        <v>0</v>
      </c>
      <c r="T412"/>
    </row>
    <row r="413" spans="1:20">
      <c r="A413" s="5" t="s">
        <v>36</v>
      </c>
      <c r="B413" s="5" t="s">
        <v>13748</v>
      </c>
      <c r="C413" s="4">
        <v>45627</v>
      </c>
      <c r="D413" s="4" t="s">
        <v>37</v>
      </c>
      <c r="E413" s="5" t="s">
        <v>37</v>
      </c>
      <c r="F413" s="5" t="s">
        <v>37</v>
      </c>
      <c r="G413" s="5" t="s">
        <v>848</v>
      </c>
      <c r="H413" s="5">
        <v>1</v>
      </c>
      <c r="I413" s="8" t="s">
        <v>7584</v>
      </c>
      <c r="J413" s="8" t="s">
        <v>9633</v>
      </c>
      <c r="K413" s="8" t="s">
        <v>1430</v>
      </c>
      <c r="L413" s="8" t="s">
        <v>11684</v>
      </c>
      <c r="M413" s="8" t="s">
        <v>3480</v>
      </c>
      <c r="N413" s="8" t="s">
        <v>5531</v>
      </c>
      <c r="O413" s="5" t="s">
        <v>76</v>
      </c>
      <c r="P413" s="4">
        <v>45637</v>
      </c>
      <c r="Q413" s="15">
        <v>48.99</v>
      </c>
      <c r="R413" s="15">
        <v>0</v>
      </c>
      <c r="S413" s="15">
        <v>0</v>
      </c>
      <c r="T413"/>
    </row>
    <row r="414" spans="1:20">
      <c r="A414" s="5" t="s">
        <v>36</v>
      </c>
      <c r="B414" s="5" t="s">
        <v>13749</v>
      </c>
      <c r="C414" s="4">
        <f>Controle_Pedidos[[#This Row],[Data Compra]]</f>
        <v>45616</v>
      </c>
      <c r="D414" s="4">
        <v>45616</v>
      </c>
      <c r="E414" s="5" t="s">
        <v>15846</v>
      </c>
      <c r="F414" s="5" t="s">
        <v>17837</v>
      </c>
      <c r="G414" s="5" t="s">
        <v>849</v>
      </c>
      <c r="H414" s="5">
        <v>1</v>
      </c>
      <c r="I414" s="8" t="s">
        <v>7585</v>
      </c>
      <c r="J414" s="8" t="s">
        <v>9634</v>
      </c>
      <c r="K414" s="8" t="s">
        <v>1431</v>
      </c>
      <c r="L414" s="8" t="s">
        <v>11685</v>
      </c>
      <c r="M414" s="8" t="s">
        <v>3481</v>
      </c>
      <c r="N414" s="8" t="s">
        <v>5532</v>
      </c>
      <c r="O414" s="5" t="s">
        <v>61</v>
      </c>
      <c r="P414" s="4">
        <v>45637</v>
      </c>
      <c r="Q414" s="15">
        <v>59.2</v>
      </c>
      <c r="R414" s="15">
        <v>10.81</v>
      </c>
      <c r="S414" s="15">
        <v>0</v>
      </c>
      <c r="T414"/>
    </row>
    <row r="415" spans="1:20">
      <c r="A415" s="5" t="s">
        <v>36</v>
      </c>
      <c r="B415" s="5" t="s">
        <v>13750</v>
      </c>
      <c r="C415" s="4">
        <f>Controle_Pedidos[[#This Row],[Data Compra]]</f>
        <v>45616</v>
      </c>
      <c r="D415" s="4">
        <v>45616</v>
      </c>
      <c r="E415" s="5" t="s">
        <v>15847</v>
      </c>
      <c r="F415" s="5" t="s">
        <v>17838</v>
      </c>
      <c r="G415" s="5" t="s">
        <v>849</v>
      </c>
      <c r="H415" s="5">
        <v>1</v>
      </c>
      <c r="I415" s="8" t="s">
        <v>7586</v>
      </c>
      <c r="J415" s="8" t="s">
        <v>9635</v>
      </c>
      <c r="K415" s="8" t="s">
        <v>1432</v>
      </c>
      <c r="L415" s="8" t="s">
        <v>11686</v>
      </c>
      <c r="M415" s="8" t="s">
        <v>3482</v>
      </c>
      <c r="N415" s="8" t="s">
        <v>5533</v>
      </c>
      <c r="O415" s="5" t="s">
        <v>61</v>
      </c>
      <c r="P415" s="4">
        <v>45637</v>
      </c>
      <c r="Q415" s="15">
        <v>59.2</v>
      </c>
      <c r="R415" s="15">
        <v>11.14</v>
      </c>
      <c r="S415" s="15">
        <v>0</v>
      </c>
      <c r="T415"/>
    </row>
    <row r="416" spans="1:20">
      <c r="A416" s="5" t="s">
        <v>36</v>
      </c>
      <c r="B416" s="5" t="s">
        <v>13751</v>
      </c>
      <c r="C416" s="4">
        <f>Controle_Pedidos[[#This Row],[Data Compra]]</f>
        <v>45616</v>
      </c>
      <c r="D416" s="4">
        <v>45616</v>
      </c>
      <c r="E416" s="5" t="s">
        <v>15848</v>
      </c>
      <c r="F416" s="5" t="s">
        <v>17839</v>
      </c>
      <c r="G416" s="5" t="s">
        <v>849</v>
      </c>
      <c r="H416" s="5">
        <v>1</v>
      </c>
      <c r="I416" s="8" t="s">
        <v>7587</v>
      </c>
      <c r="J416" s="8" t="s">
        <v>9636</v>
      </c>
      <c r="K416" s="8" t="s">
        <v>1433</v>
      </c>
      <c r="L416" s="8" t="s">
        <v>11687</v>
      </c>
      <c r="M416" s="8" t="s">
        <v>3483</v>
      </c>
      <c r="N416" s="8" t="s">
        <v>5534</v>
      </c>
      <c r="O416" s="5" t="s">
        <v>61</v>
      </c>
      <c r="P416" s="4">
        <v>45637</v>
      </c>
      <c r="Q416" s="15">
        <v>59.2</v>
      </c>
      <c r="R416" s="15">
        <v>11.14</v>
      </c>
      <c r="S416" s="15">
        <v>0</v>
      </c>
      <c r="T416"/>
    </row>
    <row r="417" spans="1:20">
      <c r="A417" s="5" t="s">
        <v>36</v>
      </c>
      <c r="B417" s="5" t="s">
        <v>13752</v>
      </c>
      <c r="C417" s="4">
        <f>Controle_Pedidos[[#This Row],[Data Compra]]</f>
        <v>45616</v>
      </c>
      <c r="D417" s="4">
        <v>45616</v>
      </c>
      <c r="E417" s="5" t="s">
        <v>15849</v>
      </c>
      <c r="F417" s="5" t="s">
        <v>17840</v>
      </c>
      <c r="G417" s="5" t="s">
        <v>836</v>
      </c>
      <c r="H417" s="5">
        <v>1</v>
      </c>
      <c r="I417" s="8" t="s">
        <v>7588</v>
      </c>
      <c r="J417" s="8" t="s">
        <v>9637</v>
      </c>
      <c r="K417" s="8" t="s">
        <v>1434</v>
      </c>
      <c r="L417" s="8" t="s">
        <v>11688</v>
      </c>
      <c r="M417" s="8" t="s">
        <v>3484</v>
      </c>
      <c r="N417" s="8" t="s">
        <v>5535</v>
      </c>
      <c r="O417" s="5" t="s">
        <v>55</v>
      </c>
      <c r="P417" s="4">
        <v>45631</v>
      </c>
      <c r="Q417" s="15">
        <v>22.5</v>
      </c>
      <c r="R417" s="15">
        <v>10.18</v>
      </c>
      <c r="S417" s="15">
        <v>0</v>
      </c>
      <c r="T417"/>
    </row>
    <row r="418" spans="1:20">
      <c r="A418" s="5" t="s">
        <v>36</v>
      </c>
      <c r="B418" s="5" t="s">
        <v>13753</v>
      </c>
      <c r="C418" s="4">
        <f>Controle_Pedidos[[#This Row],[Data Compra]]</f>
        <v>45616</v>
      </c>
      <c r="D418" s="4">
        <v>45616</v>
      </c>
      <c r="E418" s="5" t="s">
        <v>15850</v>
      </c>
      <c r="F418" s="5" t="s">
        <v>17841</v>
      </c>
      <c r="G418" s="5" t="s">
        <v>826</v>
      </c>
      <c r="H418" s="5">
        <v>1</v>
      </c>
      <c r="I418" s="8" t="s">
        <v>7589</v>
      </c>
      <c r="J418" s="8" t="s">
        <v>9638</v>
      </c>
      <c r="K418" s="8" t="s">
        <v>1435</v>
      </c>
      <c r="L418" s="8" t="s">
        <v>11689</v>
      </c>
      <c r="M418" s="8" t="s">
        <v>3485</v>
      </c>
      <c r="N418" s="8" t="s">
        <v>5536</v>
      </c>
      <c r="O418" s="5" t="s">
        <v>42</v>
      </c>
      <c r="P418" s="4">
        <v>45637</v>
      </c>
      <c r="Q418" s="15">
        <v>18.100000000000001</v>
      </c>
      <c r="R418" s="15">
        <v>6.99</v>
      </c>
      <c r="S418" s="15">
        <v>0</v>
      </c>
      <c r="T418"/>
    </row>
    <row r="419" spans="1:20">
      <c r="A419" s="5" t="s">
        <v>36</v>
      </c>
      <c r="B419" s="5" t="s">
        <v>13754</v>
      </c>
      <c r="C419" s="4">
        <f>Controle_Pedidos[[#This Row],[Data Compra]]</f>
        <v>45616</v>
      </c>
      <c r="D419" s="4">
        <v>45616</v>
      </c>
      <c r="E419" s="5" t="s">
        <v>15851</v>
      </c>
      <c r="F419" s="5" t="s">
        <v>17842</v>
      </c>
      <c r="G419" s="5" t="s">
        <v>869</v>
      </c>
      <c r="H419" s="5">
        <v>1</v>
      </c>
      <c r="I419" s="8" t="s">
        <v>7590</v>
      </c>
      <c r="J419" s="8" t="s">
        <v>9639</v>
      </c>
      <c r="K419" s="8" t="s">
        <v>1436</v>
      </c>
      <c r="L419" s="8" t="s">
        <v>11690</v>
      </c>
      <c r="M419" s="8" t="s">
        <v>3486</v>
      </c>
      <c r="N419" s="8" t="s">
        <v>5537</v>
      </c>
      <c r="O419" s="5" t="s">
        <v>83</v>
      </c>
      <c r="P419" s="4">
        <v>45643</v>
      </c>
      <c r="Q419" s="15">
        <v>18.989999999999998</v>
      </c>
      <c r="R419" s="15">
        <v>6.99</v>
      </c>
      <c r="S419" s="15">
        <v>0</v>
      </c>
      <c r="T419"/>
    </row>
    <row r="420" spans="1:20">
      <c r="A420" s="5" t="s">
        <v>36</v>
      </c>
      <c r="B420" s="5" t="s">
        <v>13755</v>
      </c>
      <c r="C420" s="4">
        <f>Controle_Pedidos[[#This Row],[Data Compra]]</f>
        <v>45616</v>
      </c>
      <c r="D420" s="4">
        <v>45616</v>
      </c>
      <c r="E420" s="5" t="s">
        <v>15852</v>
      </c>
      <c r="F420" s="5" t="s">
        <v>17843</v>
      </c>
      <c r="G420" s="5" t="s">
        <v>817</v>
      </c>
      <c r="H420" s="5">
        <v>1</v>
      </c>
      <c r="I420" s="8" t="s">
        <v>7591</v>
      </c>
      <c r="J420" s="8" t="s">
        <v>9640</v>
      </c>
      <c r="K420" s="8" t="s">
        <v>1437</v>
      </c>
      <c r="L420" s="8" t="s">
        <v>11691</v>
      </c>
      <c r="M420" s="8" t="s">
        <v>3487</v>
      </c>
      <c r="N420" s="8" t="s">
        <v>5538</v>
      </c>
      <c r="O420" s="5" t="s">
        <v>39</v>
      </c>
      <c r="P420" s="4">
        <v>45637</v>
      </c>
      <c r="Q420" s="15">
        <v>31.5</v>
      </c>
      <c r="R420" s="15">
        <v>13.99</v>
      </c>
      <c r="S420" s="15">
        <v>0</v>
      </c>
      <c r="T420"/>
    </row>
    <row r="421" spans="1:20">
      <c r="A421" s="5" t="s">
        <v>36</v>
      </c>
      <c r="B421" s="5" t="s">
        <v>13756</v>
      </c>
      <c r="C421" s="4">
        <f>Controle_Pedidos[[#This Row],[Data Compra]]</f>
        <v>45616</v>
      </c>
      <c r="D421" s="4">
        <v>45616</v>
      </c>
      <c r="E421" s="5" t="s">
        <v>15853</v>
      </c>
      <c r="F421" s="5" t="s">
        <v>17844</v>
      </c>
      <c r="G421" s="5" t="s">
        <v>831</v>
      </c>
      <c r="H421" s="5">
        <v>1</v>
      </c>
      <c r="I421" s="8" t="s">
        <v>7592</v>
      </c>
      <c r="J421" s="8" t="s">
        <v>9641</v>
      </c>
      <c r="K421" s="8" t="s">
        <v>1438</v>
      </c>
      <c r="L421" s="8" t="s">
        <v>11692</v>
      </c>
      <c r="M421" s="8" t="s">
        <v>3488</v>
      </c>
      <c r="N421" s="8" t="s">
        <v>5539</v>
      </c>
      <c r="O421" s="5" t="s">
        <v>41</v>
      </c>
      <c r="P421" s="4">
        <v>45643</v>
      </c>
      <c r="Q421" s="15">
        <v>59.2</v>
      </c>
      <c r="R421" s="15">
        <v>10.59</v>
      </c>
      <c r="S421" s="15">
        <v>0</v>
      </c>
      <c r="T421"/>
    </row>
    <row r="422" spans="1:20">
      <c r="A422" s="5" t="s">
        <v>36</v>
      </c>
      <c r="B422" s="5" t="s">
        <v>13757</v>
      </c>
      <c r="C422" s="4">
        <f>Controle_Pedidos[[#This Row],[Data Compra]]</f>
        <v>45616</v>
      </c>
      <c r="D422" s="4">
        <v>45616</v>
      </c>
      <c r="E422" s="5" t="s">
        <v>15854</v>
      </c>
      <c r="F422" s="5" t="s">
        <v>17845</v>
      </c>
      <c r="G422" s="5" t="s">
        <v>869</v>
      </c>
      <c r="H422" s="5">
        <v>1</v>
      </c>
      <c r="I422" s="8" t="s">
        <v>7593</v>
      </c>
      <c r="J422" s="8" t="s">
        <v>9642</v>
      </c>
      <c r="K422" s="8" t="s">
        <v>1439</v>
      </c>
      <c r="L422" s="8" t="s">
        <v>11693</v>
      </c>
      <c r="M422" s="8" t="s">
        <v>3489</v>
      </c>
      <c r="N422" s="8" t="s">
        <v>5540</v>
      </c>
      <c r="O422" s="5" t="s">
        <v>83</v>
      </c>
      <c r="P422" s="4">
        <v>45643</v>
      </c>
      <c r="Q422" s="15">
        <v>18.989999999999998</v>
      </c>
      <c r="R422" s="15">
        <v>6.99</v>
      </c>
      <c r="S422" s="15">
        <v>0</v>
      </c>
      <c r="T422"/>
    </row>
    <row r="423" spans="1:20">
      <c r="A423" s="5" t="s">
        <v>36</v>
      </c>
      <c r="B423" s="5" t="s">
        <v>13758</v>
      </c>
      <c r="C423" s="4">
        <f>Controle_Pedidos[[#This Row],[Data Compra]]</f>
        <v>45617</v>
      </c>
      <c r="D423" s="4">
        <v>45617</v>
      </c>
      <c r="E423" s="5" t="s">
        <v>15855</v>
      </c>
      <c r="F423" s="5" t="s">
        <v>17846</v>
      </c>
      <c r="G423" s="5" t="s">
        <v>852</v>
      </c>
      <c r="H423" s="5">
        <v>1</v>
      </c>
      <c r="I423" s="8" t="s">
        <v>7594</v>
      </c>
      <c r="J423" s="8" t="s">
        <v>9643</v>
      </c>
      <c r="K423" s="8" t="s">
        <v>1440</v>
      </c>
      <c r="L423" s="8" t="s">
        <v>11694</v>
      </c>
      <c r="M423" s="8" t="s">
        <v>3490</v>
      </c>
      <c r="N423" s="8" t="s">
        <v>5541</v>
      </c>
      <c r="O423" s="5" t="s">
        <v>68</v>
      </c>
      <c r="P423" s="4">
        <v>45644</v>
      </c>
      <c r="Q423" s="15">
        <v>16.989999999999998</v>
      </c>
      <c r="R423" s="15">
        <v>6.99</v>
      </c>
      <c r="S423" s="15">
        <v>0</v>
      </c>
      <c r="T423"/>
    </row>
    <row r="424" spans="1:20">
      <c r="A424" s="5" t="s">
        <v>36</v>
      </c>
      <c r="B424" s="5" t="s">
        <v>13758</v>
      </c>
      <c r="C424" s="4">
        <v>45627</v>
      </c>
      <c r="D424" s="4" t="s">
        <v>37</v>
      </c>
      <c r="E424" s="5" t="s">
        <v>37</v>
      </c>
      <c r="F424" s="5" t="s">
        <v>37</v>
      </c>
      <c r="G424" s="5" t="s">
        <v>852</v>
      </c>
      <c r="H424" s="5">
        <v>1</v>
      </c>
      <c r="I424" s="8" t="s">
        <v>7594</v>
      </c>
      <c r="J424" s="8" t="s">
        <v>9643</v>
      </c>
      <c r="K424" s="8" t="s">
        <v>1440</v>
      </c>
      <c r="L424" s="8" t="s">
        <v>11694</v>
      </c>
      <c r="M424" s="8" t="s">
        <v>3490</v>
      </c>
      <c r="N424" s="8" t="s">
        <v>5541</v>
      </c>
      <c r="O424" s="5" t="s">
        <v>68</v>
      </c>
      <c r="P424" s="4">
        <v>45644</v>
      </c>
      <c r="Q424" s="15">
        <v>16.989999999999998</v>
      </c>
      <c r="R424" s="15">
        <v>0</v>
      </c>
      <c r="S424" s="15">
        <v>0</v>
      </c>
      <c r="T424"/>
    </row>
    <row r="425" spans="1:20">
      <c r="A425" s="5" t="s">
        <v>36</v>
      </c>
      <c r="B425" s="5" t="s">
        <v>13759</v>
      </c>
      <c r="C425" s="4">
        <f>Controle_Pedidos[[#This Row],[Data Compra]]</f>
        <v>45617</v>
      </c>
      <c r="D425" s="4">
        <v>45617</v>
      </c>
      <c r="E425" s="5" t="s">
        <v>15856</v>
      </c>
      <c r="F425" s="5" t="s">
        <v>17847</v>
      </c>
      <c r="G425" s="5" t="s">
        <v>826</v>
      </c>
      <c r="H425" s="5">
        <v>1</v>
      </c>
      <c r="I425" s="8" t="s">
        <v>7595</v>
      </c>
      <c r="J425" s="8" t="s">
        <v>9644</v>
      </c>
      <c r="K425" s="8" t="s">
        <v>1441</v>
      </c>
      <c r="L425" s="8" t="s">
        <v>11695</v>
      </c>
      <c r="M425" s="8" t="s">
        <v>3491</v>
      </c>
      <c r="N425" s="8" t="s">
        <v>5542</v>
      </c>
      <c r="O425" s="5" t="s">
        <v>42</v>
      </c>
      <c r="P425" s="4">
        <v>45632</v>
      </c>
      <c r="Q425" s="15">
        <v>18.100000000000001</v>
      </c>
      <c r="R425" s="15">
        <v>6.99</v>
      </c>
      <c r="S425" s="15">
        <v>0</v>
      </c>
      <c r="T425"/>
    </row>
    <row r="426" spans="1:20">
      <c r="A426" s="5" t="s">
        <v>36</v>
      </c>
      <c r="B426" s="5" t="s">
        <v>13760</v>
      </c>
      <c r="C426" s="4">
        <f>Controle_Pedidos[[#This Row],[Data Compra]]</f>
        <v>45617</v>
      </c>
      <c r="D426" s="4">
        <v>45617</v>
      </c>
      <c r="E426" s="5" t="s">
        <v>15857</v>
      </c>
      <c r="F426" s="5" t="s">
        <v>17848</v>
      </c>
      <c r="G426" s="5" t="s">
        <v>849</v>
      </c>
      <c r="H426" s="5">
        <v>1</v>
      </c>
      <c r="I426" s="8" t="s">
        <v>7596</v>
      </c>
      <c r="J426" s="8" t="s">
        <v>9645</v>
      </c>
      <c r="K426" s="8" t="s">
        <v>1442</v>
      </c>
      <c r="L426" s="8" t="s">
        <v>11696</v>
      </c>
      <c r="M426" s="8" t="s">
        <v>3492</v>
      </c>
      <c r="N426" s="8" t="s">
        <v>5543</v>
      </c>
      <c r="O426" s="5" t="s">
        <v>61</v>
      </c>
      <c r="P426" s="4">
        <v>45638</v>
      </c>
      <c r="Q426" s="15">
        <v>59.2</v>
      </c>
      <c r="R426" s="15">
        <v>16.010000000000002</v>
      </c>
      <c r="S426" s="15">
        <v>0</v>
      </c>
      <c r="T426"/>
    </row>
    <row r="427" spans="1:20">
      <c r="A427" s="5" t="s">
        <v>36</v>
      </c>
      <c r="B427" s="5" t="s">
        <v>13761</v>
      </c>
      <c r="C427" s="4">
        <f>Controle_Pedidos[[#This Row],[Data Compra]]</f>
        <v>45617</v>
      </c>
      <c r="D427" s="4">
        <v>45617</v>
      </c>
      <c r="E427" s="5" t="s">
        <v>15858</v>
      </c>
      <c r="F427" s="5" t="s">
        <v>17849</v>
      </c>
      <c r="G427" s="5" t="s">
        <v>849</v>
      </c>
      <c r="H427" s="5">
        <v>1</v>
      </c>
      <c r="I427" s="8" t="s">
        <v>7596</v>
      </c>
      <c r="J427" s="8" t="s">
        <v>9645</v>
      </c>
      <c r="K427" s="8" t="s">
        <v>1442</v>
      </c>
      <c r="L427" s="8" t="s">
        <v>11696</v>
      </c>
      <c r="M427" s="8" t="s">
        <v>3492</v>
      </c>
      <c r="N427" s="8" t="s">
        <v>5543</v>
      </c>
      <c r="O427" s="5" t="s">
        <v>61</v>
      </c>
      <c r="P427" s="4">
        <v>45638</v>
      </c>
      <c r="Q427" s="15">
        <v>59.2</v>
      </c>
      <c r="R427" s="15">
        <v>16.010000000000002</v>
      </c>
      <c r="S427" s="15">
        <v>0</v>
      </c>
      <c r="T427"/>
    </row>
    <row r="428" spans="1:20">
      <c r="A428" s="5" t="s">
        <v>36</v>
      </c>
      <c r="B428" s="5" t="s">
        <v>13762</v>
      </c>
      <c r="C428" s="4">
        <f>Controle_Pedidos[[#This Row],[Data Compra]]</f>
        <v>45617</v>
      </c>
      <c r="D428" s="4">
        <v>45617</v>
      </c>
      <c r="E428" s="5" t="s">
        <v>15859</v>
      </c>
      <c r="F428" s="5" t="s">
        <v>17850</v>
      </c>
      <c r="G428" s="5" t="s">
        <v>831</v>
      </c>
      <c r="H428" s="5">
        <v>1</v>
      </c>
      <c r="I428" s="8" t="s">
        <v>7597</v>
      </c>
      <c r="J428" s="8" t="s">
        <v>9646</v>
      </c>
      <c r="K428" s="8" t="s">
        <v>1443</v>
      </c>
      <c r="L428" s="8" t="s">
        <v>11697</v>
      </c>
      <c r="M428" s="8" t="s">
        <v>3493</v>
      </c>
      <c r="N428" s="8" t="s">
        <v>5544</v>
      </c>
      <c r="O428" s="5" t="s">
        <v>41</v>
      </c>
      <c r="P428" s="4">
        <v>45653</v>
      </c>
      <c r="Q428" s="15">
        <v>59.2</v>
      </c>
      <c r="R428" s="15">
        <v>15.36</v>
      </c>
      <c r="S428" s="15">
        <v>0</v>
      </c>
      <c r="T428"/>
    </row>
    <row r="429" spans="1:20">
      <c r="A429" s="5" t="s">
        <v>36</v>
      </c>
      <c r="B429" s="5" t="s">
        <v>13763</v>
      </c>
      <c r="C429" s="4">
        <f>Controle_Pedidos[[#This Row],[Data Compra]]</f>
        <v>45617</v>
      </c>
      <c r="D429" s="4">
        <v>45617</v>
      </c>
      <c r="E429" s="5" t="s">
        <v>15860</v>
      </c>
      <c r="F429" s="5" t="s">
        <v>17851</v>
      </c>
      <c r="G429" s="5" t="s">
        <v>845</v>
      </c>
      <c r="H429" s="5">
        <v>1</v>
      </c>
      <c r="I429" s="8" t="s">
        <v>7598</v>
      </c>
      <c r="J429" s="8" t="s">
        <v>9647</v>
      </c>
      <c r="K429" s="8" t="s">
        <v>1444</v>
      </c>
      <c r="L429" s="8" t="s">
        <v>11698</v>
      </c>
      <c r="M429" s="8" t="s">
        <v>3494</v>
      </c>
      <c r="N429" s="8" t="s">
        <v>5545</v>
      </c>
      <c r="O429" s="5" t="s">
        <v>67</v>
      </c>
      <c r="P429" s="4">
        <v>45653</v>
      </c>
      <c r="Q429" s="15">
        <v>59.2</v>
      </c>
      <c r="R429" s="15">
        <v>15.36</v>
      </c>
      <c r="S429" s="15">
        <v>0</v>
      </c>
      <c r="T429"/>
    </row>
    <row r="430" spans="1:20">
      <c r="A430" s="5" t="s">
        <v>36</v>
      </c>
      <c r="B430" s="5" t="s">
        <v>13764</v>
      </c>
      <c r="C430" s="4">
        <f>Controle_Pedidos[[#This Row],[Data Compra]]</f>
        <v>45617</v>
      </c>
      <c r="D430" s="4">
        <v>45617</v>
      </c>
      <c r="E430" s="5" t="s">
        <v>15861</v>
      </c>
      <c r="F430" s="5" t="s">
        <v>17852</v>
      </c>
      <c r="G430" s="5" t="s">
        <v>831</v>
      </c>
      <c r="H430" s="5">
        <v>1</v>
      </c>
      <c r="I430" s="8" t="s">
        <v>7599</v>
      </c>
      <c r="J430" s="8" t="s">
        <v>9648</v>
      </c>
      <c r="K430" s="8" t="s">
        <v>1445</v>
      </c>
      <c r="L430" s="8" t="s">
        <v>11699</v>
      </c>
      <c r="M430" s="8" t="s">
        <v>3495</v>
      </c>
      <c r="N430" s="8" t="s">
        <v>5546</v>
      </c>
      <c r="O430" s="5" t="s">
        <v>41</v>
      </c>
      <c r="P430" s="4">
        <v>45653</v>
      </c>
      <c r="Q430" s="15">
        <v>59.2</v>
      </c>
      <c r="R430" s="15">
        <v>15.36</v>
      </c>
      <c r="S430" s="15">
        <v>0</v>
      </c>
      <c r="T430"/>
    </row>
    <row r="431" spans="1:20">
      <c r="A431" s="5" t="s">
        <v>36</v>
      </c>
      <c r="B431" s="5" t="s">
        <v>13765</v>
      </c>
      <c r="C431" s="4">
        <f>Controle_Pedidos[[#This Row],[Data Compra]]</f>
        <v>45617</v>
      </c>
      <c r="D431" s="4">
        <v>45617</v>
      </c>
      <c r="E431" s="5" t="s">
        <v>15862</v>
      </c>
      <c r="F431" s="5" t="s">
        <v>17853</v>
      </c>
      <c r="G431" s="5" t="s">
        <v>849</v>
      </c>
      <c r="H431" s="5">
        <v>1</v>
      </c>
      <c r="I431" s="8" t="s">
        <v>7600</v>
      </c>
      <c r="J431" s="8" t="s">
        <v>9649</v>
      </c>
      <c r="K431" s="8" t="s">
        <v>1446</v>
      </c>
      <c r="L431" s="8" t="s">
        <v>11700</v>
      </c>
      <c r="M431" s="8" t="s">
        <v>3496</v>
      </c>
      <c r="N431" s="8" t="s">
        <v>5547</v>
      </c>
      <c r="O431" s="5" t="s">
        <v>61</v>
      </c>
      <c r="P431" s="4">
        <v>45638</v>
      </c>
      <c r="Q431" s="15">
        <v>59.2</v>
      </c>
      <c r="R431" s="15">
        <v>16.010000000000002</v>
      </c>
      <c r="S431" s="15">
        <v>0</v>
      </c>
      <c r="T431"/>
    </row>
    <row r="432" spans="1:20">
      <c r="A432" s="5" t="s">
        <v>36</v>
      </c>
      <c r="B432" s="5" t="s">
        <v>13766</v>
      </c>
      <c r="C432" s="4">
        <v>45627</v>
      </c>
      <c r="D432" s="4" t="s">
        <v>37</v>
      </c>
      <c r="E432" s="5" t="s">
        <v>37</v>
      </c>
      <c r="F432" s="5" t="s">
        <v>37</v>
      </c>
      <c r="G432" s="5" t="s">
        <v>829</v>
      </c>
      <c r="H432" s="5">
        <v>1</v>
      </c>
      <c r="I432" s="8" t="s">
        <v>7601</v>
      </c>
      <c r="J432" s="8" t="s">
        <v>9650</v>
      </c>
      <c r="K432" s="8" t="s">
        <v>1447</v>
      </c>
      <c r="L432" s="8" t="s">
        <v>11701</v>
      </c>
      <c r="M432" s="8" t="s">
        <v>3497</v>
      </c>
      <c r="N432" s="8" t="s">
        <v>5548</v>
      </c>
      <c r="O432" s="5" t="s">
        <v>40</v>
      </c>
      <c r="P432" s="4">
        <v>45632</v>
      </c>
      <c r="Q432" s="15">
        <v>18.5</v>
      </c>
      <c r="R432" s="15">
        <v>0</v>
      </c>
      <c r="S432" s="15">
        <v>0</v>
      </c>
      <c r="T432"/>
    </row>
    <row r="433" spans="1:20">
      <c r="A433" s="5" t="s">
        <v>36</v>
      </c>
      <c r="B433" s="5" t="s">
        <v>13767</v>
      </c>
      <c r="C433" s="4">
        <v>45627</v>
      </c>
      <c r="D433" s="4" t="s">
        <v>37</v>
      </c>
      <c r="E433" s="5" t="s">
        <v>37</v>
      </c>
      <c r="F433" s="5" t="s">
        <v>37</v>
      </c>
      <c r="G433" s="5" t="s">
        <v>836</v>
      </c>
      <c r="H433" s="5">
        <v>1</v>
      </c>
      <c r="I433" s="8" t="s">
        <v>7602</v>
      </c>
      <c r="J433" s="8" t="s">
        <v>9651</v>
      </c>
      <c r="K433" s="8" t="s">
        <v>1448</v>
      </c>
      <c r="L433" s="8" t="s">
        <v>11702</v>
      </c>
      <c r="M433" s="8" t="s">
        <v>3498</v>
      </c>
      <c r="N433" s="8" t="s">
        <v>5549</v>
      </c>
      <c r="O433" s="5" t="s">
        <v>55</v>
      </c>
      <c r="P433" s="4">
        <v>45644</v>
      </c>
      <c r="Q433" s="15">
        <v>22.5</v>
      </c>
      <c r="R433" s="15">
        <v>0</v>
      </c>
      <c r="S433" s="15">
        <v>0</v>
      </c>
      <c r="T433"/>
    </row>
    <row r="434" spans="1:20">
      <c r="A434" s="5" t="s">
        <v>36</v>
      </c>
      <c r="B434" s="5" t="s">
        <v>13768</v>
      </c>
      <c r="C434" s="4">
        <f>Controle_Pedidos[[#This Row],[Data Compra]]</f>
        <v>45617</v>
      </c>
      <c r="D434" s="4">
        <v>45617</v>
      </c>
      <c r="E434" s="5" t="s">
        <v>15863</v>
      </c>
      <c r="F434" s="5" t="s">
        <v>17854</v>
      </c>
      <c r="G434" s="5" t="s">
        <v>852</v>
      </c>
      <c r="H434" s="5">
        <v>1</v>
      </c>
      <c r="I434" s="8" t="s">
        <v>7603</v>
      </c>
      <c r="J434" s="8" t="s">
        <v>9652</v>
      </c>
      <c r="K434" s="8" t="s">
        <v>1449</v>
      </c>
      <c r="L434" s="8" t="s">
        <v>11703</v>
      </c>
      <c r="M434" s="8" t="s">
        <v>3499</v>
      </c>
      <c r="N434" s="8" t="s">
        <v>5550</v>
      </c>
      <c r="O434" s="5" t="s">
        <v>68</v>
      </c>
      <c r="P434" s="4">
        <v>45632</v>
      </c>
      <c r="Q434" s="15">
        <v>16.989999999999998</v>
      </c>
      <c r="R434" s="15">
        <v>6.99</v>
      </c>
      <c r="S434" s="15">
        <v>0</v>
      </c>
      <c r="T434"/>
    </row>
    <row r="435" spans="1:20">
      <c r="A435" s="5" t="s">
        <v>36</v>
      </c>
      <c r="B435" s="5" t="s">
        <v>13769</v>
      </c>
      <c r="C435" s="4">
        <f>Controle_Pedidos[[#This Row],[Data Compra]]</f>
        <v>45618</v>
      </c>
      <c r="D435" s="4">
        <v>45618</v>
      </c>
      <c r="E435" s="5" t="s">
        <v>15864</v>
      </c>
      <c r="F435" s="5" t="s">
        <v>17855</v>
      </c>
      <c r="G435" s="5" t="s">
        <v>852</v>
      </c>
      <c r="H435" s="5">
        <v>1</v>
      </c>
      <c r="I435" s="8" t="s">
        <v>7604</v>
      </c>
      <c r="J435" s="8" t="s">
        <v>9653</v>
      </c>
      <c r="K435" s="8" t="s">
        <v>1450</v>
      </c>
      <c r="L435" s="8" t="s">
        <v>11704</v>
      </c>
      <c r="M435" s="8" t="s">
        <v>3500</v>
      </c>
      <c r="N435" s="8" t="s">
        <v>5551</v>
      </c>
      <c r="O435" s="5" t="s">
        <v>68</v>
      </c>
      <c r="P435" s="4">
        <v>45645</v>
      </c>
      <c r="Q435" s="15">
        <v>16.990000000000002</v>
      </c>
      <c r="R435" s="15">
        <v>0</v>
      </c>
      <c r="S435" s="15">
        <v>0</v>
      </c>
      <c r="T435"/>
    </row>
    <row r="436" spans="1:20">
      <c r="A436" s="5" t="s">
        <v>36</v>
      </c>
      <c r="B436" s="5" t="s">
        <v>13769</v>
      </c>
      <c r="C436" s="4">
        <f>Controle_Pedidos[[#This Row],[Data Compra]]</f>
        <v>45621</v>
      </c>
      <c r="D436" s="4">
        <v>45621</v>
      </c>
      <c r="E436" s="5" t="s">
        <v>15865</v>
      </c>
      <c r="F436" s="5" t="s">
        <v>17856</v>
      </c>
      <c r="G436" s="5" t="s">
        <v>852</v>
      </c>
      <c r="H436" s="5">
        <v>1</v>
      </c>
      <c r="I436" s="8" t="s">
        <v>7604</v>
      </c>
      <c r="J436" s="8" t="s">
        <v>9653</v>
      </c>
      <c r="K436" s="8" t="s">
        <v>1450</v>
      </c>
      <c r="L436" s="8" t="s">
        <v>11704</v>
      </c>
      <c r="M436" s="8" t="s">
        <v>3500</v>
      </c>
      <c r="N436" s="8" t="s">
        <v>5551</v>
      </c>
      <c r="O436" s="5" t="s">
        <v>68</v>
      </c>
      <c r="P436" s="4">
        <v>45645</v>
      </c>
      <c r="Q436" s="15">
        <v>16.990000000000002</v>
      </c>
      <c r="R436" s="15">
        <v>0</v>
      </c>
      <c r="S436" s="15">
        <v>0</v>
      </c>
      <c r="T436"/>
    </row>
    <row r="437" spans="1:20">
      <c r="A437" s="5" t="s">
        <v>36</v>
      </c>
      <c r="B437" s="5" t="s">
        <v>13769</v>
      </c>
      <c r="C437" s="4">
        <f>Controle_Pedidos[[#This Row],[Data Compra]]</f>
        <v>45622</v>
      </c>
      <c r="D437" s="4">
        <v>45622</v>
      </c>
      <c r="E437" s="5" t="s">
        <v>15866</v>
      </c>
      <c r="F437" s="5" t="s">
        <v>17857</v>
      </c>
      <c r="G437" s="5" t="s">
        <v>852</v>
      </c>
      <c r="H437" s="5">
        <v>1</v>
      </c>
      <c r="I437" s="8" t="s">
        <v>7604</v>
      </c>
      <c r="J437" s="8" t="s">
        <v>9653</v>
      </c>
      <c r="K437" s="8" t="s">
        <v>1450</v>
      </c>
      <c r="L437" s="8" t="s">
        <v>11704</v>
      </c>
      <c r="M437" s="8" t="s">
        <v>3500</v>
      </c>
      <c r="N437" s="8" t="s">
        <v>5551</v>
      </c>
      <c r="O437" s="5" t="s">
        <v>68</v>
      </c>
      <c r="P437" s="4">
        <v>45645</v>
      </c>
      <c r="Q437" s="15">
        <v>16.990000000000002</v>
      </c>
      <c r="R437" s="15">
        <v>0</v>
      </c>
      <c r="S437" s="15">
        <v>0</v>
      </c>
      <c r="T437"/>
    </row>
    <row r="438" spans="1:20">
      <c r="A438" s="5" t="s">
        <v>36</v>
      </c>
      <c r="B438" s="5" t="s">
        <v>13769</v>
      </c>
      <c r="C438" s="4">
        <v>45627</v>
      </c>
      <c r="D438" s="4" t="s">
        <v>37</v>
      </c>
      <c r="E438" s="5" t="s">
        <v>37</v>
      </c>
      <c r="F438" s="5" t="s">
        <v>37</v>
      </c>
      <c r="G438" s="5" t="s">
        <v>852</v>
      </c>
      <c r="H438" s="5">
        <v>1</v>
      </c>
      <c r="I438" s="8" t="s">
        <v>7604</v>
      </c>
      <c r="J438" s="8" t="s">
        <v>9653</v>
      </c>
      <c r="K438" s="8" t="s">
        <v>1450</v>
      </c>
      <c r="L438" s="8" t="s">
        <v>11704</v>
      </c>
      <c r="M438" s="8" t="s">
        <v>3500</v>
      </c>
      <c r="N438" s="8" t="s">
        <v>5551</v>
      </c>
      <c r="O438" s="5" t="s">
        <v>68</v>
      </c>
      <c r="P438" s="4">
        <v>45645</v>
      </c>
      <c r="Q438" s="15">
        <v>16.990000000000002</v>
      </c>
      <c r="R438" s="15">
        <v>0</v>
      </c>
      <c r="S438" s="15">
        <v>0</v>
      </c>
      <c r="T438"/>
    </row>
    <row r="439" spans="1:20">
      <c r="A439" s="5" t="s">
        <v>36</v>
      </c>
      <c r="B439" s="5" t="s">
        <v>13769</v>
      </c>
      <c r="C439" s="4">
        <v>45627</v>
      </c>
      <c r="D439" s="4" t="s">
        <v>37</v>
      </c>
      <c r="E439" s="5" t="s">
        <v>37</v>
      </c>
      <c r="F439" s="5" t="s">
        <v>37</v>
      </c>
      <c r="G439" s="5" t="s">
        <v>852</v>
      </c>
      <c r="H439" s="5">
        <v>1</v>
      </c>
      <c r="I439" s="8" t="s">
        <v>7604</v>
      </c>
      <c r="J439" s="8" t="s">
        <v>9653</v>
      </c>
      <c r="K439" s="8" t="s">
        <v>1450</v>
      </c>
      <c r="L439" s="8" t="s">
        <v>11704</v>
      </c>
      <c r="M439" s="8" t="s">
        <v>3500</v>
      </c>
      <c r="N439" s="8" t="s">
        <v>5551</v>
      </c>
      <c r="O439" s="5" t="s">
        <v>68</v>
      </c>
      <c r="P439" s="4">
        <v>45645</v>
      </c>
      <c r="Q439" s="15">
        <v>16.990000000000002</v>
      </c>
      <c r="R439" s="15">
        <v>0</v>
      </c>
      <c r="S439" s="15">
        <v>0</v>
      </c>
      <c r="T439"/>
    </row>
    <row r="440" spans="1:20">
      <c r="A440" s="5" t="s">
        <v>36</v>
      </c>
      <c r="B440" s="5" t="s">
        <v>13770</v>
      </c>
      <c r="C440" s="4">
        <v>45627</v>
      </c>
      <c r="D440" s="4" t="s">
        <v>37</v>
      </c>
      <c r="E440" s="5" t="s">
        <v>37</v>
      </c>
      <c r="F440" s="5" t="s">
        <v>37</v>
      </c>
      <c r="G440" s="5" t="s">
        <v>849</v>
      </c>
      <c r="H440" s="5">
        <v>1</v>
      </c>
      <c r="I440" s="8" t="s">
        <v>7605</v>
      </c>
      <c r="J440" s="8" t="s">
        <v>9654</v>
      </c>
      <c r="K440" s="8" t="s">
        <v>1451</v>
      </c>
      <c r="L440" s="8" t="s">
        <v>11705</v>
      </c>
      <c r="M440" s="8" t="s">
        <v>3501</v>
      </c>
      <c r="N440" s="8" t="s">
        <v>5552</v>
      </c>
      <c r="O440" s="5" t="s">
        <v>61</v>
      </c>
      <c r="P440" s="4">
        <v>45645</v>
      </c>
      <c r="Q440" s="15">
        <v>65.989999999999995</v>
      </c>
      <c r="R440" s="15">
        <v>0</v>
      </c>
      <c r="S440" s="15">
        <v>0</v>
      </c>
      <c r="T440"/>
    </row>
    <row r="441" spans="1:20">
      <c r="A441" s="5" t="s">
        <v>36</v>
      </c>
      <c r="B441" s="5" t="s">
        <v>13771</v>
      </c>
      <c r="C441" s="4">
        <v>45627</v>
      </c>
      <c r="D441" s="4" t="s">
        <v>37</v>
      </c>
      <c r="E441" s="5" t="s">
        <v>37</v>
      </c>
      <c r="F441" s="5" t="s">
        <v>37</v>
      </c>
      <c r="G441" s="5" t="s">
        <v>833</v>
      </c>
      <c r="H441" s="5">
        <v>1</v>
      </c>
      <c r="I441" s="8" t="s">
        <v>7606</v>
      </c>
      <c r="J441" s="8" t="s">
        <v>9655</v>
      </c>
      <c r="K441" s="8" t="s">
        <v>1452</v>
      </c>
      <c r="L441" s="8" t="s">
        <v>11706</v>
      </c>
      <c r="M441" s="8" t="s">
        <v>3502</v>
      </c>
      <c r="N441" s="8" t="s">
        <v>5553</v>
      </c>
      <c r="O441" s="5" t="s">
        <v>49</v>
      </c>
      <c r="P441" s="4">
        <v>45654</v>
      </c>
      <c r="Q441" s="15">
        <v>28.2</v>
      </c>
      <c r="R441" s="15">
        <v>0</v>
      </c>
      <c r="S441" s="15">
        <v>0</v>
      </c>
      <c r="T441"/>
    </row>
    <row r="442" spans="1:20">
      <c r="A442" s="5" t="s">
        <v>36</v>
      </c>
      <c r="B442" s="5" t="s">
        <v>13772</v>
      </c>
      <c r="C442" s="4">
        <v>45627</v>
      </c>
      <c r="D442" s="4" t="s">
        <v>37</v>
      </c>
      <c r="E442" s="5" t="s">
        <v>37</v>
      </c>
      <c r="F442" s="5" t="s">
        <v>37</v>
      </c>
      <c r="G442" s="5" t="s">
        <v>833</v>
      </c>
      <c r="H442" s="5">
        <v>1</v>
      </c>
      <c r="I442" s="8" t="s">
        <v>7606</v>
      </c>
      <c r="J442" s="8" t="s">
        <v>9655</v>
      </c>
      <c r="K442" s="8" t="s">
        <v>1452</v>
      </c>
      <c r="L442" s="8" t="s">
        <v>11706</v>
      </c>
      <c r="M442" s="8" t="s">
        <v>3502</v>
      </c>
      <c r="N442" s="8" t="s">
        <v>5553</v>
      </c>
      <c r="O442" s="5" t="s">
        <v>49</v>
      </c>
      <c r="P442" s="4">
        <v>45654</v>
      </c>
      <c r="Q442" s="15">
        <v>28.2</v>
      </c>
      <c r="R442" s="15">
        <v>0</v>
      </c>
      <c r="S442" s="15">
        <v>0</v>
      </c>
      <c r="T442"/>
    </row>
    <row r="443" spans="1:20">
      <c r="A443" s="5" t="s">
        <v>36</v>
      </c>
      <c r="B443" s="5" t="s">
        <v>13773</v>
      </c>
      <c r="C443" s="4">
        <f>Controle_Pedidos[[#This Row],[Data Compra]]</f>
        <v>45618</v>
      </c>
      <c r="D443" s="4">
        <v>45618</v>
      </c>
      <c r="E443" s="5" t="s">
        <v>15867</v>
      </c>
      <c r="F443" s="5" t="s">
        <v>17858</v>
      </c>
      <c r="G443" s="5" t="s">
        <v>849</v>
      </c>
      <c r="H443" s="5">
        <v>1</v>
      </c>
      <c r="I443" s="8" t="s">
        <v>7607</v>
      </c>
      <c r="J443" s="8" t="s">
        <v>9656</v>
      </c>
      <c r="K443" s="8" t="s">
        <v>1453</v>
      </c>
      <c r="L443" s="8" t="s">
        <v>11707</v>
      </c>
      <c r="M443" s="8" t="s">
        <v>3503</v>
      </c>
      <c r="N443" s="8" t="s">
        <v>5554</v>
      </c>
      <c r="O443" s="5" t="s">
        <v>61</v>
      </c>
      <c r="P443" s="4">
        <v>45639</v>
      </c>
      <c r="Q443" s="15">
        <v>65.989999999999995</v>
      </c>
      <c r="R443" s="15">
        <v>10.210000000000001</v>
      </c>
      <c r="S443" s="15">
        <v>0</v>
      </c>
      <c r="T443"/>
    </row>
    <row r="444" spans="1:20">
      <c r="A444" s="5" t="s">
        <v>36</v>
      </c>
      <c r="B444" s="5" t="s">
        <v>13774</v>
      </c>
      <c r="C444" s="4">
        <f>Controle_Pedidos[[#This Row],[Data Compra]]</f>
        <v>45621</v>
      </c>
      <c r="D444" s="4">
        <v>45621</v>
      </c>
      <c r="E444" s="5" t="s">
        <v>15868</v>
      </c>
      <c r="F444" s="5" t="s">
        <v>17859</v>
      </c>
      <c r="G444" s="5" t="s">
        <v>849</v>
      </c>
      <c r="H444" s="5">
        <v>1</v>
      </c>
      <c r="I444" s="8" t="s">
        <v>7608</v>
      </c>
      <c r="J444" s="8" t="s">
        <v>9657</v>
      </c>
      <c r="K444" s="8" t="s">
        <v>1454</v>
      </c>
      <c r="L444" s="8" t="s">
        <v>11708</v>
      </c>
      <c r="M444" s="8" t="s">
        <v>3504</v>
      </c>
      <c r="N444" s="8" t="s">
        <v>5555</v>
      </c>
      <c r="O444" s="5" t="s">
        <v>61</v>
      </c>
      <c r="P444" s="4">
        <v>45646</v>
      </c>
      <c r="Q444" s="15">
        <v>65.989999999999995</v>
      </c>
      <c r="R444" s="15">
        <v>10.220000000000001</v>
      </c>
      <c r="S444" s="15">
        <v>0</v>
      </c>
      <c r="T444"/>
    </row>
    <row r="445" spans="1:20">
      <c r="A445" s="5" t="s">
        <v>36</v>
      </c>
      <c r="B445" s="5" t="s">
        <v>13775</v>
      </c>
      <c r="C445" s="4">
        <f>Controle_Pedidos[[#This Row],[Data Compra]]</f>
        <v>45621</v>
      </c>
      <c r="D445" s="4">
        <v>45621</v>
      </c>
      <c r="E445" s="5" t="s">
        <v>15869</v>
      </c>
      <c r="F445" s="5" t="s">
        <v>17860</v>
      </c>
      <c r="G445" s="5" t="s">
        <v>849</v>
      </c>
      <c r="H445" s="5">
        <v>1</v>
      </c>
      <c r="I445" s="8" t="s">
        <v>7609</v>
      </c>
      <c r="J445" s="8" t="s">
        <v>9658</v>
      </c>
      <c r="K445" s="8" t="s">
        <v>1455</v>
      </c>
      <c r="L445" s="8" t="s">
        <v>11709</v>
      </c>
      <c r="M445" s="8" t="s">
        <v>3505</v>
      </c>
      <c r="N445" s="8" t="s">
        <v>5556</v>
      </c>
      <c r="O445" s="5" t="s">
        <v>61</v>
      </c>
      <c r="P445" s="4">
        <v>45646</v>
      </c>
      <c r="Q445" s="15">
        <v>65.989999999999995</v>
      </c>
      <c r="R445" s="15">
        <v>10.220000000000001</v>
      </c>
      <c r="S445" s="15">
        <v>0</v>
      </c>
      <c r="T445"/>
    </row>
    <row r="446" spans="1:20">
      <c r="A446" s="5" t="s">
        <v>36</v>
      </c>
      <c r="B446" s="5" t="s">
        <v>13776</v>
      </c>
      <c r="C446" s="4">
        <f>Controle_Pedidos[[#This Row],[Data Compra]]</f>
        <v>45621</v>
      </c>
      <c r="D446" s="4">
        <v>45621</v>
      </c>
      <c r="E446" s="5" t="s">
        <v>15870</v>
      </c>
      <c r="F446" s="5" t="s">
        <v>17861</v>
      </c>
      <c r="G446" s="5" t="s">
        <v>817</v>
      </c>
      <c r="H446" s="5">
        <v>1</v>
      </c>
      <c r="I446" s="8" t="s">
        <v>7610</v>
      </c>
      <c r="J446" s="8" t="s">
        <v>9659</v>
      </c>
      <c r="K446" s="8" t="s">
        <v>1456</v>
      </c>
      <c r="L446" s="8" t="s">
        <v>11710</v>
      </c>
      <c r="M446" s="8" t="s">
        <v>3506</v>
      </c>
      <c r="N446" s="8" t="s">
        <v>5557</v>
      </c>
      <c r="O446" s="5" t="s">
        <v>39</v>
      </c>
      <c r="P446" s="4">
        <v>45640</v>
      </c>
      <c r="Q446" s="15">
        <v>39.99</v>
      </c>
      <c r="R446" s="15">
        <v>14.99</v>
      </c>
      <c r="S446" s="15">
        <v>0</v>
      </c>
      <c r="T446"/>
    </row>
    <row r="447" spans="1:20">
      <c r="A447" s="5" t="s">
        <v>36</v>
      </c>
      <c r="B447" s="5" t="s">
        <v>13777</v>
      </c>
      <c r="C447" s="4">
        <f>Controle_Pedidos[[#This Row],[Data Compra]]</f>
        <v>45621</v>
      </c>
      <c r="D447" s="4">
        <v>45621</v>
      </c>
      <c r="E447" s="5" t="s">
        <v>15871</v>
      </c>
      <c r="F447" s="5" t="s">
        <v>17862</v>
      </c>
      <c r="G447" s="5" t="s">
        <v>849</v>
      </c>
      <c r="H447" s="5">
        <v>1</v>
      </c>
      <c r="I447" s="8" t="s">
        <v>7611</v>
      </c>
      <c r="J447" s="8" t="s">
        <v>9660</v>
      </c>
      <c r="K447" s="8" t="s">
        <v>1457</v>
      </c>
      <c r="L447" s="8" t="s">
        <v>11711</v>
      </c>
      <c r="M447" s="8" t="s">
        <v>3507</v>
      </c>
      <c r="N447" s="8" t="s">
        <v>5558</v>
      </c>
      <c r="O447" s="5" t="s">
        <v>61</v>
      </c>
      <c r="P447" s="4">
        <v>45646</v>
      </c>
      <c r="Q447" s="15">
        <v>65.989999999999995</v>
      </c>
      <c r="R447" s="15">
        <v>10.220000000000001</v>
      </c>
      <c r="S447" s="15">
        <v>0</v>
      </c>
      <c r="T447"/>
    </row>
    <row r="448" spans="1:20">
      <c r="A448" s="5" t="s">
        <v>36</v>
      </c>
      <c r="B448" s="5" t="s">
        <v>13778</v>
      </c>
      <c r="C448" s="4">
        <f>Controle_Pedidos[[#This Row],[Data Compra]]</f>
        <v>45622</v>
      </c>
      <c r="D448" s="4">
        <v>45622</v>
      </c>
      <c r="E448" s="5" t="s">
        <v>15872</v>
      </c>
      <c r="F448" s="5" t="s">
        <v>17863</v>
      </c>
      <c r="G448" s="5" t="s">
        <v>833</v>
      </c>
      <c r="H448" s="5">
        <v>1</v>
      </c>
      <c r="I448" s="8" t="s">
        <v>7612</v>
      </c>
      <c r="J448" s="8" t="s">
        <v>9661</v>
      </c>
      <c r="K448" s="8" t="s">
        <v>1458</v>
      </c>
      <c r="L448" s="8" t="s">
        <v>11712</v>
      </c>
      <c r="M448" s="8" t="s">
        <v>3508</v>
      </c>
      <c r="N448" s="8" t="s">
        <v>5559</v>
      </c>
      <c r="O448" s="5" t="s">
        <v>49</v>
      </c>
      <c r="P448" s="4">
        <v>45636</v>
      </c>
      <c r="Q448" s="15">
        <v>27.99</v>
      </c>
      <c r="R448" s="15">
        <v>10.119999999999999</v>
      </c>
      <c r="S448" s="15">
        <v>0</v>
      </c>
      <c r="T448"/>
    </row>
    <row r="449" spans="1:20">
      <c r="A449" s="5" t="s">
        <v>36</v>
      </c>
      <c r="B449" s="5" t="s">
        <v>13779</v>
      </c>
      <c r="C449" s="4">
        <f>Controle_Pedidos[[#This Row],[Data Compra]]</f>
        <v>45622</v>
      </c>
      <c r="D449" s="4">
        <v>45622</v>
      </c>
      <c r="E449" s="5" t="s">
        <v>15873</v>
      </c>
      <c r="F449" s="5" t="s">
        <v>17864</v>
      </c>
      <c r="G449" s="5" t="s">
        <v>849</v>
      </c>
      <c r="H449" s="5">
        <v>1</v>
      </c>
      <c r="I449" s="8" t="s">
        <v>7613</v>
      </c>
      <c r="J449" s="8" t="s">
        <v>9662</v>
      </c>
      <c r="K449" s="8" t="s">
        <v>1459</v>
      </c>
      <c r="L449" s="8" t="s">
        <v>11713</v>
      </c>
      <c r="M449" s="8" t="s">
        <v>3509</v>
      </c>
      <c r="N449" s="8" t="s">
        <v>5560</v>
      </c>
      <c r="O449" s="5" t="s">
        <v>61</v>
      </c>
      <c r="P449" s="4">
        <v>45646</v>
      </c>
      <c r="Q449" s="15">
        <v>65.989999999999995</v>
      </c>
      <c r="R449" s="15">
        <v>10.210000000000001</v>
      </c>
      <c r="S449" s="15">
        <v>0</v>
      </c>
      <c r="T449"/>
    </row>
    <row r="450" spans="1:20">
      <c r="A450" s="5" t="s">
        <v>36</v>
      </c>
      <c r="B450" s="5" t="s">
        <v>13780</v>
      </c>
      <c r="C450" s="4">
        <f>Controle_Pedidos[[#This Row],[Data Compra]]</f>
        <v>45622</v>
      </c>
      <c r="D450" s="4">
        <v>45622</v>
      </c>
      <c r="E450" s="5" t="s">
        <v>15874</v>
      </c>
      <c r="F450" s="5" t="s">
        <v>37</v>
      </c>
      <c r="G450" s="5" t="s">
        <v>833</v>
      </c>
      <c r="H450" s="5">
        <v>1</v>
      </c>
      <c r="I450" s="8" t="s">
        <v>7614</v>
      </c>
      <c r="J450" s="8" t="s">
        <v>9663</v>
      </c>
      <c r="K450" s="8" t="s">
        <v>1460</v>
      </c>
      <c r="L450" s="8" t="s">
        <v>11714</v>
      </c>
      <c r="M450" s="8" t="s">
        <v>3510</v>
      </c>
      <c r="N450" s="8" t="s">
        <v>5561</v>
      </c>
      <c r="O450" s="5" t="s">
        <v>49</v>
      </c>
      <c r="P450" s="4">
        <v>45647</v>
      </c>
      <c r="Q450" s="15">
        <v>27.99</v>
      </c>
      <c r="R450" s="15">
        <v>0</v>
      </c>
      <c r="S450" s="15">
        <v>0</v>
      </c>
      <c r="T450"/>
    </row>
    <row r="451" spans="1:20">
      <c r="A451" s="5" t="s">
        <v>36</v>
      </c>
      <c r="B451" s="5" t="s">
        <v>13781</v>
      </c>
      <c r="C451" s="4">
        <f>Controle_Pedidos[[#This Row],[Data Compra]]</f>
        <v>45622</v>
      </c>
      <c r="D451" s="4">
        <v>45622</v>
      </c>
      <c r="E451" s="5" t="s">
        <v>15875</v>
      </c>
      <c r="F451" s="5" t="s">
        <v>17865</v>
      </c>
      <c r="G451" s="5" t="s">
        <v>849</v>
      </c>
      <c r="H451" s="5">
        <v>1</v>
      </c>
      <c r="I451" s="8" t="s">
        <v>7615</v>
      </c>
      <c r="J451" s="8" t="s">
        <v>9664</v>
      </c>
      <c r="K451" s="8" t="s">
        <v>1461</v>
      </c>
      <c r="L451" s="8" t="s">
        <v>11715</v>
      </c>
      <c r="M451" s="8" t="s">
        <v>3511</v>
      </c>
      <c r="N451" s="8" t="s">
        <v>5562</v>
      </c>
      <c r="O451" s="5" t="s">
        <v>61</v>
      </c>
      <c r="P451" s="4">
        <v>45647</v>
      </c>
      <c r="Q451" s="15">
        <v>65.989999999999995</v>
      </c>
      <c r="R451" s="15">
        <v>10.210000000000001</v>
      </c>
      <c r="S451" s="15">
        <v>0</v>
      </c>
      <c r="T451"/>
    </row>
    <row r="452" spans="1:20">
      <c r="A452" s="5" t="s">
        <v>36</v>
      </c>
      <c r="B452" s="5" t="s">
        <v>13782</v>
      </c>
      <c r="C452" s="4">
        <f>Controle_Pedidos[[#This Row],[Data Compra]]</f>
        <v>45622</v>
      </c>
      <c r="D452" s="4">
        <v>45622</v>
      </c>
      <c r="E452" s="5" t="s">
        <v>15876</v>
      </c>
      <c r="F452" s="5" t="s">
        <v>17866</v>
      </c>
      <c r="G452" s="5" t="s">
        <v>845</v>
      </c>
      <c r="H452" s="5">
        <v>1</v>
      </c>
      <c r="I452" s="8" t="s">
        <v>7616</v>
      </c>
      <c r="J452" s="8" t="s">
        <v>9665</v>
      </c>
      <c r="K452" s="8" t="s">
        <v>1462</v>
      </c>
      <c r="L452" s="8" t="s">
        <v>11716</v>
      </c>
      <c r="M452" s="8" t="s">
        <v>3512</v>
      </c>
      <c r="N452" s="8" t="s">
        <v>5563</v>
      </c>
      <c r="O452" s="5" t="s">
        <v>67</v>
      </c>
      <c r="P452" s="4">
        <v>45660</v>
      </c>
      <c r="Q452" s="15">
        <v>65.989999999999995</v>
      </c>
      <c r="R452" s="15">
        <v>10.210000000000001</v>
      </c>
      <c r="S452" s="15">
        <v>0</v>
      </c>
      <c r="T452"/>
    </row>
    <row r="453" spans="1:20">
      <c r="A453" s="5" t="s">
        <v>36</v>
      </c>
      <c r="B453" s="5" t="s">
        <v>13783</v>
      </c>
      <c r="C453" s="4">
        <f>Controle_Pedidos[[#This Row],[Data Compra]]</f>
        <v>45622</v>
      </c>
      <c r="D453" s="4">
        <v>45622</v>
      </c>
      <c r="E453" s="5" t="s">
        <v>15877</v>
      </c>
      <c r="F453" s="5" t="s">
        <v>17867</v>
      </c>
      <c r="G453" s="5" t="s">
        <v>831</v>
      </c>
      <c r="H453" s="5">
        <v>1</v>
      </c>
      <c r="I453" s="8" t="s">
        <v>7617</v>
      </c>
      <c r="J453" s="8" t="s">
        <v>9666</v>
      </c>
      <c r="K453" s="8" t="s">
        <v>1463</v>
      </c>
      <c r="L453" s="8" t="s">
        <v>11717</v>
      </c>
      <c r="M453" s="8" t="s">
        <v>3513</v>
      </c>
      <c r="N453" s="8" t="s">
        <v>5564</v>
      </c>
      <c r="O453" s="5" t="s">
        <v>41</v>
      </c>
      <c r="P453" s="4">
        <v>45647</v>
      </c>
      <c r="Q453" s="15">
        <v>65.989999999999995</v>
      </c>
      <c r="R453" s="15">
        <v>11.19</v>
      </c>
      <c r="S453" s="15">
        <v>0</v>
      </c>
      <c r="T453"/>
    </row>
    <row r="454" spans="1:20">
      <c r="A454" s="5" t="s">
        <v>36</v>
      </c>
      <c r="B454" s="5" t="s">
        <v>13784</v>
      </c>
      <c r="C454" s="4">
        <f>Controle_Pedidos[[#This Row],[Data Compra]]</f>
        <v>45622</v>
      </c>
      <c r="D454" s="4">
        <v>45622</v>
      </c>
      <c r="E454" s="5" t="s">
        <v>15878</v>
      </c>
      <c r="F454" s="5" t="s">
        <v>17868</v>
      </c>
      <c r="G454" s="5" t="s">
        <v>833</v>
      </c>
      <c r="H454" s="5">
        <v>1</v>
      </c>
      <c r="I454" s="8" t="s">
        <v>7618</v>
      </c>
      <c r="J454" s="8" t="s">
        <v>9667</v>
      </c>
      <c r="K454" s="8" t="s">
        <v>1464</v>
      </c>
      <c r="L454" s="8" t="s">
        <v>11718</v>
      </c>
      <c r="M454" s="8" t="s">
        <v>3514</v>
      </c>
      <c r="N454" s="8" t="s">
        <v>5565</v>
      </c>
      <c r="O454" s="5" t="s">
        <v>49</v>
      </c>
      <c r="P454" s="4">
        <v>45647</v>
      </c>
      <c r="Q454" s="15">
        <v>27.99</v>
      </c>
      <c r="R454" s="15">
        <v>8.1999999999999993</v>
      </c>
      <c r="S454" s="15">
        <v>0</v>
      </c>
      <c r="T454"/>
    </row>
    <row r="455" spans="1:20">
      <c r="A455" s="5" t="s">
        <v>36</v>
      </c>
      <c r="B455" s="5" t="s">
        <v>13785</v>
      </c>
      <c r="C455" s="4">
        <f>Controle_Pedidos[[#This Row],[Data Compra]]</f>
        <v>45622</v>
      </c>
      <c r="D455" s="4">
        <v>45622</v>
      </c>
      <c r="E455" s="5" t="s">
        <v>15879</v>
      </c>
      <c r="F455" s="5" t="s">
        <v>17869</v>
      </c>
      <c r="G455" s="5" t="s">
        <v>833</v>
      </c>
      <c r="H455" s="5">
        <v>1</v>
      </c>
      <c r="I455" s="8" t="s">
        <v>7619</v>
      </c>
      <c r="J455" s="8" t="s">
        <v>9668</v>
      </c>
      <c r="K455" s="8" t="s">
        <v>1465</v>
      </c>
      <c r="L455" s="8" t="s">
        <v>11719</v>
      </c>
      <c r="M455" s="8" t="s">
        <v>3515</v>
      </c>
      <c r="N455" s="8" t="s">
        <v>5566</v>
      </c>
      <c r="O455" s="5" t="s">
        <v>49</v>
      </c>
      <c r="P455" s="4">
        <v>45643</v>
      </c>
      <c r="Q455" s="15">
        <v>27.99</v>
      </c>
      <c r="R455" s="15">
        <v>10.119999999999999</v>
      </c>
      <c r="S455" s="15">
        <v>0</v>
      </c>
      <c r="T455"/>
    </row>
    <row r="456" spans="1:20">
      <c r="A456" s="5" t="s">
        <v>36</v>
      </c>
      <c r="B456" s="5" t="s">
        <v>13786</v>
      </c>
      <c r="C456" s="4">
        <f>Controle_Pedidos[[#This Row],[Data Compra]]</f>
        <v>45622</v>
      </c>
      <c r="D456" s="4">
        <v>45622</v>
      </c>
      <c r="E456" s="5" t="s">
        <v>15880</v>
      </c>
      <c r="F456" s="5" t="s">
        <v>17870</v>
      </c>
      <c r="G456" s="5" t="s">
        <v>845</v>
      </c>
      <c r="H456" s="5">
        <v>1</v>
      </c>
      <c r="I456" s="8" t="s">
        <v>7620</v>
      </c>
      <c r="J456" s="8" t="s">
        <v>9669</v>
      </c>
      <c r="K456" s="8" t="s">
        <v>1466</v>
      </c>
      <c r="L456" s="8" t="s">
        <v>11720</v>
      </c>
      <c r="M456" s="8" t="s">
        <v>3516</v>
      </c>
      <c r="N456" s="8" t="s">
        <v>5567</v>
      </c>
      <c r="O456" s="5" t="s">
        <v>67</v>
      </c>
      <c r="P456" s="4">
        <v>45643</v>
      </c>
      <c r="Q456" s="15">
        <v>65.989999999999995</v>
      </c>
      <c r="R456" s="15">
        <v>10.210000000000001</v>
      </c>
      <c r="S456" s="15">
        <v>0</v>
      </c>
      <c r="T456"/>
    </row>
    <row r="457" spans="1:20">
      <c r="A457" s="5" t="s">
        <v>36</v>
      </c>
      <c r="B457" s="5" t="s">
        <v>13786</v>
      </c>
      <c r="C457" s="4">
        <f>Controle_Pedidos[[#This Row],[Data Compra]]</f>
        <v>45622</v>
      </c>
      <c r="D457" s="4">
        <v>45622</v>
      </c>
      <c r="E457" s="5" t="s">
        <v>15881</v>
      </c>
      <c r="F457" s="5" t="s">
        <v>17871</v>
      </c>
      <c r="G457" s="5" t="s">
        <v>849</v>
      </c>
      <c r="H457" s="5">
        <v>1</v>
      </c>
      <c r="I457" s="8" t="s">
        <v>7620</v>
      </c>
      <c r="J457" s="8" t="s">
        <v>9669</v>
      </c>
      <c r="K457" s="8" t="s">
        <v>1466</v>
      </c>
      <c r="L457" s="8" t="s">
        <v>11720</v>
      </c>
      <c r="M457" s="8" t="s">
        <v>3516</v>
      </c>
      <c r="N457" s="8" t="s">
        <v>5567</v>
      </c>
      <c r="O457" s="5" t="s">
        <v>61</v>
      </c>
      <c r="P457" s="4">
        <v>45643</v>
      </c>
      <c r="Q457" s="15">
        <v>65.989999999999995</v>
      </c>
      <c r="R457" s="15">
        <v>10.210000000000001</v>
      </c>
      <c r="S457" s="15">
        <v>0</v>
      </c>
      <c r="T457"/>
    </row>
    <row r="458" spans="1:20">
      <c r="A458" s="5" t="s">
        <v>36</v>
      </c>
      <c r="B458" s="5" t="s">
        <v>13787</v>
      </c>
      <c r="C458" s="4">
        <f>Controle_Pedidos[[#This Row],[Data Compra]]</f>
        <v>45622</v>
      </c>
      <c r="D458" s="4">
        <v>45622</v>
      </c>
      <c r="E458" s="5" t="s">
        <v>15882</v>
      </c>
      <c r="F458" s="5" t="s">
        <v>17872</v>
      </c>
      <c r="G458" s="5" t="s">
        <v>831</v>
      </c>
      <c r="H458" s="5">
        <v>1</v>
      </c>
      <c r="I458" s="8" t="s">
        <v>7621</v>
      </c>
      <c r="J458" s="8" t="s">
        <v>9670</v>
      </c>
      <c r="K458" s="8" t="s">
        <v>1467</v>
      </c>
      <c r="L458" s="8" t="s">
        <v>11721</v>
      </c>
      <c r="M458" s="8" t="s">
        <v>3517</v>
      </c>
      <c r="N458" s="8" t="s">
        <v>5568</v>
      </c>
      <c r="O458" s="5" t="s">
        <v>41</v>
      </c>
      <c r="P458" s="4">
        <v>45660</v>
      </c>
      <c r="Q458" s="15">
        <v>65.989999999999995</v>
      </c>
      <c r="R458" s="15">
        <v>11.19</v>
      </c>
      <c r="S458" s="15">
        <v>0</v>
      </c>
      <c r="T458"/>
    </row>
    <row r="459" spans="1:20">
      <c r="A459" s="5" t="s">
        <v>36</v>
      </c>
      <c r="B459" s="5" t="s">
        <v>13788</v>
      </c>
      <c r="C459" s="4">
        <f>Controle_Pedidos[[#This Row],[Data Compra]]</f>
        <v>45622</v>
      </c>
      <c r="D459" s="4">
        <v>45622</v>
      </c>
      <c r="E459" s="5" t="s">
        <v>15883</v>
      </c>
      <c r="F459" s="5" t="s">
        <v>17873</v>
      </c>
      <c r="G459" s="5" t="s">
        <v>833</v>
      </c>
      <c r="H459" s="5">
        <v>1</v>
      </c>
      <c r="I459" s="8" t="s">
        <v>7622</v>
      </c>
      <c r="J459" s="8" t="s">
        <v>9671</v>
      </c>
      <c r="K459" s="8" t="s">
        <v>1468</v>
      </c>
      <c r="L459" s="8" t="s">
        <v>11722</v>
      </c>
      <c r="M459" s="8" t="s">
        <v>3518</v>
      </c>
      <c r="N459" s="8" t="s">
        <v>5569</v>
      </c>
      <c r="O459" s="5" t="s">
        <v>49</v>
      </c>
      <c r="P459" s="4">
        <v>45637</v>
      </c>
      <c r="Q459" s="15">
        <v>27.99</v>
      </c>
      <c r="R459" s="15">
        <v>10.119999999999999</v>
      </c>
      <c r="S459" s="15">
        <v>0</v>
      </c>
      <c r="T459"/>
    </row>
    <row r="460" spans="1:20">
      <c r="A460" s="5" t="s">
        <v>36</v>
      </c>
      <c r="B460" s="5" t="s">
        <v>13789</v>
      </c>
      <c r="C460" s="4">
        <f>Controle_Pedidos[[#This Row],[Data Compra]]</f>
        <v>45622</v>
      </c>
      <c r="D460" s="4">
        <v>45622</v>
      </c>
      <c r="E460" s="5" t="s">
        <v>15884</v>
      </c>
      <c r="F460" s="5" t="s">
        <v>17874</v>
      </c>
      <c r="G460" s="5" t="s">
        <v>833</v>
      </c>
      <c r="H460" s="5">
        <v>1</v>
      </c>
      <c r="I460" s="8" t="s">
        <v>7623</v>
      </c>
      <c r="J460" s="8" t="s">
        <v>9672</v>
      </c>
      <c r="K460" s="8" t="s">
        <v>1469</v>
      </c>
      <c r="L460" s="8" t="s">
        <v>11723</v>
      </c>
      <c r="M460" s="8" t="s">
        <v>3519</v>
      </c>
      <c r="N460" s="8" t="s">
        <v>5570</v>
      </c>
      <c r="O460" s="5" t="s">
        <v>49</v>
      </c>
      <c r="P460" s="4">
        <v>45647</v>
      </c>
      <c r="Q460" s="15">
        <v>27.99</v>
      </c>
      <c r="R460" s="15">
        <v>8.1999999999999993</v>
      </c>
      <c r="S460" s="15">
        <v>0</v>
      </c>
      <c r="T460"/>
    </row>
    <row r="461" spans="1:20">
      <c r="A461" s="5" t="s">
        <v>36</v>
      </c>
      <c r="B461" s="5" t="s">
        <v>13790</v>
      </c>
      <c r="C461" s="4">
        <f>Controle_Pedidos[[#This Row],[Data Compra]]</f>
        <v>45622</v>
      </c>
      <c r="D461" s="4">
        <v>45622</v>
      </c>
      <c r="E461" s="5" t="s">
        <v>15885</v>
      </c>
      <c r="F461" s="5" t="s">
        <v>17875</v>
      </c>
      <c r="G461" s="5" t="s">
        <v>831</v>
      </c>
      <c r="H461" s="5">
        <v>1</v>
      </c>
      <c r="I461" s="8" t="s">
        <v>7624</v>
      </c>
      <c r="J461" s="8" t="s">
        <v>9673</v>
      </c>
      <c r="K461" s="8" t="s">
        <v>1470</v>
      </c>
      <c r="L461" s="8" t="s">
        <v>11724</v>
      </c>
      <c r="M461" s="8" t="s">
        <v>3520</v>
      </c>
      <c r="N461" s="8" t="s">
        <v>5571</v>
      </c>
      <c r="O461" s="5" t="s">
        <v>41</v>
      </c>
      <c r="P461" s="4">
        <v>45643</v>
      </c>
      <c r="Q461" s="15">
        <v>65.989999999999995</v>
      </c>
      <c r="R461" s="15">
        <v>11.19</v>
      </c>
      <c r="S461" s="15">
        <v>0</v>
      </c>
      <c r="T461"/>
    </row>
    <row r="462" spans="1:20">
      <c r="A462" s="5" t="s">
        <v>36</v>
      </c>
      <c r="B462" s="5" t="s">
        <v>13791</v>
      </c>
      <c r="C462" s="4">
        <f>Controle_Pedidos[[#This Row],[Data Compra]]</f>
        <v>45623</v>
      </c>
      <c r="D462" s="4">
        <v>45623</v>
      </c>
      <c r="E462" s="5" t="s">
        <v>15886</v>
      </c>
      <c r="F462" s="5" t="s">
        <v>17876</v>
      </c>
      <c r="G462" s="5" t="s">
        <v>845</v>
      </c>
      <c r="H462" s="5">
        <v>1</v>
      </c>
      <c r="I462" s="8" t="s">
        <v>7625</v>
      </c>
      <c r="J462" s="8" t="s">
        <v>9674</v>
      </c>
      <c r="K462" s="8" t="s">
        <v>1471</v>
      </c>
      <c r="L462" s="8" t="s">
        <v>11725</v>
      </c>
      <c r="M462" s="8" t="s">
        <v>3521</v>
      </c>
      <c r="N462" s="8" t="s">
        <v>5572</v>
      </c>
      <c r="O462" s="5" t="s">
        <v>67</v>
      </c>
      <c r="P462" s="4">
        <v>45650</v>
      </c>
      <c r="Q462" s="15">
        <v>65.989999999999995</v>
      </c>
      <c r="R462" s="15">
        <v>10.52</v>
      </c>
      <c r="S462" s="15">
        <v>0</v>
      </c>
      <c r="T462"/>
    </row>
    <row r="463" spans="1:20">
      <c r="A463" s="5" t="s">
        <v>36</v>
      </c>
      <c r="B463" s="5" t="s">
        <v>13792</v>
      </c>
      <c r="C463" s="4">
        <f>Controle_Pedidos[[#This Row],[Data Compra]]</f>
        <v>45623</v>
      </c>
      <c r="D463" s="4">
        <v>45623</v>
      </c>
      <c r="E463" s="5" t="s">
        <v>15887</v>
      </c>
      <c r="F463" s="5" t="s">
        <v>17877</v>
      </c>
      <c r="G463" s="5" t="s">
        <v>833</v>
      </c>
      <c r="H463" s="5">
        <v>1</v>
      </c>
      <c r="I463" s="8" t="s">
        <v>7626</v>
      </c>
      <c r="J463" s="8" t="s">
        <v>9675</v>
      </c>
      <c r="K463" s="8" t="s">
        <v>1472</v>
      </c>
      <c r="L463" s="8" t="s">
        <v>11726</v>
      </c>
      <c r="M463" s="8" t="s">
        <v>3522</v>
      </c>
      <c r="N463" s="8" t="s">
        <v>5573</v>
      </c>
      <c r="O463" s="5" t="s">
        <v>49</v>
      </c>
      <c r="P463" s="4">
        <v>45638</v>
      </c>
      <c r="Q463" s="15">
        <v>27.99</v>
      </c>
      <c r="R463" s="15">
        <v>9.1999999999999993</v>
      </c>
      <c r="S463" s="15">
        <v>0</v>
      </c>
      <c r="T463"/>
    </row>
    <row r="464" spans="1:20">
      <c r="A464" s="5" t="s">
        <v>36</v>
      </c>
      <c r="B464" s="5" t="s">
        <v>13793</v>
      </c>
      <c r="C464" s="4">
        <f>Controle_Pedidos[[#This Row],[Data Compra]]</f>
        <v>45623</v>
      </c>
      <c r="D464" s="4">
        <v>45623</v>
      </c>
      <c r="E464" s="5" t="s">
        <v>15888</v>
      </c>
      <c r="F464" s="5" t="s">
        <v>17878</v>
      </c>
      <c r="G464" s="5" t="s">
        <v>831</v>
      </c>
      <c r="H464" s="5">
        <v>1</v>
      </c>
      <c r="I464" s="8" t="s">
        <v>7627</v>
      </c>
      <c r="J464" s="8" t="s">
        <v>9676</v>
      </c>
      <c r="K464" s="8" t="s">
        <v>1473</v>
      </c>
      <c r="L464" s="8" t="s">
        <v>11727</v>
      </c>
      <c r="M464" s="8" t="s">
        <v>3523</v>
      </c>
      <c r="N464" s="8" t="s">
        <v>5574</v>
      </c>
      <c r="O464" s="5" t="s">
        <v>41</v>
      </c>
      <c r="P464" s="4">
        <v>45644</v>
      </c>
      <c r="Q464" s="15">
        <v>65.989999999999995</v>
      </c>
      <c r="R464" s="15">
        <v>12.89</v>
      </c>
      <c r="S464" s="15">
        <v>0</v>
      </c>
      <c r="T464"/>
    </row>
    <row r="465" spans="1:20">
      <c r="A465" s="5" t="s">
        <v>36</v>
      </c>
      <c r="B465" s="5" t="s">
        <v>13794</v>
      </c>
      <c r="C465" s="4">
        <v>45627</v>
      </c>
      <c r="D465" s="4" t="s">
        <v>37</v>
      </c>
      <c r="E465" s="5" t="s">
        <v>37</v>
      </c>
      <c r="F465" s="5" t="s">
        <v>37</v>
      </c>
      <c r="G465" s="5" t="s">
        <v>833</v>
      </c>
      <c r="H465" s="5">
        <v>1</v>
      </c>
      <c r="I465" s="8" t="s">
        <v>7628</v>
      </c>
      <c r="J465" s="8" t="s">
        <v>9677</v>
      </c>
      <c r="K465" s="8" t="s">
        <v>1474</v>
      </c>
      <c r="L465" s="8" t="s">
        <v>11728</v>
      </c>
      <c r="M465" s="8" t="s">
        <v>3524</v>
      </c>
      <c r="N465" s="8" t="s">
        <v>5575</v>
      </c>
      <c r="O465" s="5" t="s">
        <v>49</v>
      </c>
      <c r="P465" s="4">
        <v>45644</v>
      </c>
      <c r="Q465" s="15">
        <v>27.99</v>
      </c>
      <c r="R465" s="15">
        <v>0</v>
      </c>
      <c r="S465" s="15">
        <v>0</v>
      </c>
      <c r="T465"/>
    </row>
    <row r="466" spans="1:20">
      <c r="A466" s="5" t="s">
        <v>36</v>
      </c>
      <c r="B466" s="5" t="s">
        <v>13795</v>
      </c>
      <c r="C466" s="4">
        <f>Controle_Pedidos[[#This Row],[Data Compra]]</f>
        <v>45623</v>
      </c>
      <c r="D466" s="4">
        <v>45623</v>
      </c>
      <c r="E466" s="5" t="s">
        <v>15889</v>
      </c>
      <c r="F466" s="5" t="s">
        <v>17879</v>
      </c>
      <c r="G466" s="5" t="s">
        <v>866</v>
      </c>
      <c r="H466" s="5">
        <v>1</v>
      </c>
      <c r="I466" s="8" t="s">
        <v>7629</v>
      </c>
      <c r="J466" s="8" t="s">
        <v>9678</v>
      </c>
      <c r="K466" s="8" t="s">
        <v>1475</v>
      </c>
      <c r="L466" s="8" t="s">
        <v>11729</v>
      </c>
      <c r="M466" s="8" t="s">
        <v>3525</v>
      </c>
      <c r="N466" s="8" t="s">
        <v>5576</v>
      </c>
      <c r="O466" s="5" t="s">
        <v>82</v>
      </c>
      <c r="P466" s="4">
        <v>45644</v>
      </c>
      <c r="Q466" s="15">
        <v>54.5</v>
      </c>
      <c r="R466" s="15">
        <v>10.17</v>
      </c>
      <c r="S466" s="15">
        <v>0</v>
      </c>
      <c r="T466"/>
    </row>
    <row r="467" spans="1:20">
      <c r="A467" s="5" t="s">
        <v>36</v>
      </c>
      <c r="B467" s="5" t="s">
        <v>13796</v>
      </c>
      <c r="C467" s="4">
        <f>Controle_Pedidos[[#This Row],[Data Compra]]</f>
        <v>45623</v>
      </c>
      <c r="D467" s="4">
        <v>45623</v>
      </c>
      <c r="E467" s="5" t="s">
        <v>15890</v>
      </c>
      <c r="F467" s="5" t="s">
        <v>17880</v>
      </c>
      <c r="G467" s="5" t="s">
        <v>869</v>
      </c>
      <c r="H467" s="5">
        <v>1</v>
      </c>
      <c r="I467" s="8" t="s">
        <v>7630</v>
      </c>
      <c r="J467" s="8" t="s">
        <v>9679</v>
      </c>
      <c r="K467" s="8" t="s">
        <v>1476</v>
      </c>
      <c r="L467" s="8" t="s">
        <v>11730</v>
      </c>
      <c r="M467" s="8" t="s">
        <v>3526</v>
      </c>
      <c r="N467" s="8" t="s">
        <v>5577</v>
      </c>
      <c r="O467" s="5" t="s">
        <v>83</v>
      </c>
      <c r="P467" s="4">
        <v>45644</v>
      </c>
      <c r="Q467" s="15">
        <v>18.989999999999998</v>
      </c>
      <c r="R467" s="15">
        <v>6.99</v>
      </c>
      <c r="S467" s="15">
        <v>0</v>
      </c>
      <c r="T467"/>
    </row>
    <row r="468" spans="1:20">
      <c r="A468" s="5" t="s">
        <v>36</v>
      </c>
      <c r="B468" s="5" t="s">
        <v>13797</v>
      </c>
      <c r="C468" s="4">
        <f>Controle_Pedidos[[#This Row],[Data Compra]]</f>
        <v>45624</v>
      </c>
      <c r="D468" s="4">
        <v>45624</v>
      </c>
      <c r="E468" s="5" t="s">
        <v>15891</v>
      </c>
      <c r="F468" s="5" t="s">
        <v>17881</v>
      </c>
      <c r="G468" s="5" t="s">
        <v>866</v>
      </c>
      <c r="H468" s="5">
        <v>1</v>
      </c>
      <c r="I468" s="8" t="s">
        <v>7631</v>
      </c>
      <c r="J468" s="8" t="s">
        <v>9680</v>
      </c>
      <c r="K468" s="8" t="s">
        <v>1477</v>
      </c>
      <c r="L468" s="8" t="s">
        <v>11731</v>
      </c>
      <c r="M468" s="8" t="s">
        <v>3527</v>
      </c>
      <c r="N468" s="8" t="s">
        <v>5578</v>
      </c>
      <c r="O468" s="5" t="s">
        <v>82</v>
      </c>
      <c r="P468" s="4">
        <v>45645</v>
      </c>
      <c r="Q468" s="15">
        <v>54.5</v>
      </c>
      <c r="R468" s="15">
        <v>10.38</v>
      </c>
      <c r="S468" s="15">
        <v>0</v>
      </c>
      <c r="T468"/>
    </row>
    <row r="469" spans="1:20">
      <c r="A469" s="5" t="s">
        <v>36</v>
      </c>
      <c r="B469" s="5" t="s">
        <v>13798</v>
      </c>
      <c r="C469" s="4">
        <f>Controle_Pedidos[[#This Row],[Data Compra]]</f>
        <v>45624</v>
      </c>
      <c r="D469" s="4">
        <v>45624</v>
      </c>
      <c r="E469" s="5" t="s">
        <v>15892</v>
      </c>
      <c r="F469" s="5" t="s">
        <v>17882</v>
      </c>
      <c r="G469" s="5" t="s">
        <v>849</v>
      </c>
      <c r="H469" s="5">
        <v>1</v>
      </c>
      <c r="I469" s="8" t="s">
        <v>7632</v>
      </c>
      <c r="J469" s="8" t="s">
        <v>9681</v>
      </c>
      <c r="K469" s="8" t="s">
        <v>1478</v>
      </c>
      <c r="L469" s="8" t="s">
        <v>11732</v>
      </c>
      <c r="M469" s="8" t="s">
        <v>3528</v>
      </c>
      <c r="N469" s="8" t="s">
        <v>5579</v>
      </c>
      <c r="O469" s="5" t="s">
        <v>61</v>
      </c>
      <c r="P469" s="4">
        <v>45645</v>
      </c>
      <c r="Q469" s="15">
        <v>65.989999999999995</v>
      </c>
      <c r="R469" s="15">
        <v>14.67</v>
      </c>
      <c r="S469" s="15">
        <v>0</v>
      </c>
      <c r="T469"/>
    </row>
    <row r="470" spans="1:20">
      <c r="A470" s="5" t="s">
        <v>36</v>
      </c>
      <c r="B470" s="5" t="s">
        <v>13799</v>
      </c>
      <c r="C470" s="4">
        <f>Controle_Pedidos[[#This Row],[Data Compra]]</f>
        <v>45624</v>
      </c>
      <c r="D470" s="4">
        <v>45624</v>
      </c>
      <c r="E470" s="5" t="s">
        <v>15893</v>
      </c>
      <c r="F470" s="5" t="s">
        <v>17883</v>
      </c>
      <c r="G470" s="5" t="s">
        <v>849</v>
      </c>
      <c r="H470" s="5">
        <v>1</v>
      </c>
      <c r="I470" s="8" t="s">
        <v>7633</v>
      </c>
      <c r="J470" s="8" t="s">
        <v>9682</v>
      </c>
      <c r="K470" s="8" t="s">
        <v>1479</v>
      </c>
      <c r="L470" s="8" t="s">
        <v>11733</v>
      </c>
      <c r="M470" s="8" t="s">
        <v>3529</v>
      </c>
      <c r="N470" s="8" t="s">
        <v>5580</v>
      </c>
      <c r="O470" s="5" t="s">
        <v>61</v>
      </c>
      <c r="P470" s="4">
        <v>45645</v>
      </c>
      <c r="Q470" s="15">
        <v>65.989999999999995</v>
      </c>
      <c r="R470" s="15">
        <v>14.67</v>
      </c>
      <c r="S470" s="15">
        <v>0</v>
      </c>
      <c r="T470"/>
    </row>
    <row r="471" spans="1:20">
      <c r="A471" s="5" t="s">
        <v>36</v>
      </c>
      <c r="B471" s="5" t="s">
        <v>13800</v>
      </c>
      <c r="C471" s="4">
        <f>Controle_Pedidos[[#This Row],[Data Compra]]</f>
        <v>45624</v>
      </c>
      <c r="D471" s="4">
        <v>45624</v>
      </c>
      <c r="E471" s="5" t="s">
        <v>15894</v>
      </c>
      <c r="F471" s="5" t="s">
        <v>17884</v>
      </c>
      <c r="G471" s="5" t="s">
        <v>817</v>
      </c>
      <c r="H471" s="5">
        <v>1</v>
      </c>
      <c r="I471" s="8" t="s">
        <v>7634</v>
      </c>
      <c r="J471" s="8" t="s">
        <v>9683</v>
      </c>
      <c r="K471" s="8" t="s">
        <v>1480</v>
      </c>
      <c r="L471" s="8" t="s">
        <v>11734</v>
      </c>
      <c r="M471" s="8" t="s">
        <v>3530</v>
      </c>
      <c r="N471" s="8" t="s">
        <v>5581</v>
      </c>
      <c r="O471" s="5" t="s">
        <v>39</v>
      </c>
      <c r="P471" s="4">
        <v>45653</v>
      </c>
      <c r="Q471" s="15">
        <v>39.99</v>
      </c>
      <c r="R471" s="15">
        <v>17.989999999999998</v>
      </c>
      <c r="S471" s="15">
        <v>0</v>
      </c>
      <c r="T471"/>
    </row>
    <row r="472" spans="1:20">
      <c r="A472" s="5" t="s">
        <v>36</v>
      </c>
      <c r="B472" s="5" t="s">
        <v>13801</v>
      </c>
      <c r="C472" s="4">
        <f>Controle_Pedidos[[#This Row],[Data Compra]]</f>
        <v>45624</v>
      </c>
      <c r="D472" s="4">
        <v>45624</v>
      </c>
      <c r="E472" s="5" t="s">
        <v>15895</v>
      </c>
      <c r="F472" s="5" t="s">
        <v>17885</v>
      </c>
      <c r="G472" s="5" t="s">
        <v>849</v>
      </c>
      <c r="H472" s="5">
        <v>1</v>
      </c>
      <c r="I472" s="8" t="s">
        <v>7635</v>
      </c>
      <c r="J472" s="8" t="s">
        <v>9684</v>
      </c>
      <c r="K472" s="8" t="s">
        <v>1481</v>
      </c>
      <c r="L472" s="8" t="s">
        <v>11735</v>
      </c>
      <c r="M472" s="8" t="s">
        <v>3531</v>
      </c>
      <c r="N472" s="8" t="s">
        <v>5582</v>
      </c>
      <c r="O472" s="5" t="s">
        <v>61</v>
      </c>
      <c r="P472" s="4">
        <v>45645</v>
      </c>
      <c r="Q472" s="15">
        <v>65.989999999999995</v>
      </c>
      <c r="R472" s="15">
        <v>14.67</v>
      </c>
      <c r="S472" s="15">
        <v>0</v>
      </c>
      <c r="T472"/>
    </row>
    <row r="473" spans="1:20">
      <c r="A473" s="5" t="s">
        <v>36</v>
      </c>
      <c r="B473" s="5" t="s">
        <v>13802</v>
      </c>
      <c r="C473" s="4">
        <f>Controle_Pedidos[[#This Row],[Data Compra]]</f>
        <v>45624</v>
      </c>
      <c r="D473" s="4">
        <v>45624</v>
      </c>
      <c r="E473" s="5" t="s">
        <v>15896</v>
      </c>
      <c r="F473" s="5" t="s">
        <v>17886</v>
      </c>
      <c r="G473" s="5" t="s">
        <v>852</v>
      </c>
      <c r="H473" s="5">
        <v>1</v>
      </c>
      <c r="I473" s="8" t="s">
        <v>7636</v>
      </c>
      <c r="J473" s="8" t="s">
        <v>9685</v>
      </c>
      <c r="K473" s="8" t="s">
        <v>1482</v>
      </c>
      <c r="L473" s="8" t="s">
        <v>11736</v>
      </c>
      <c r="M473" s="8" t="s">
        <v>3532</v>
      </c>
      <c r="N473" s="8" t="s">
        <v>5583</v>
      </c>
      <c r="O473" s="5" t="s">
        <v>68</v>
      </c>
      <c r="P473" s="4">
        <v>45643</v>
      </c>
      <c r="Q473" s="15">
        <v>18.5</v>
      </c>
      <c r="R473" s="15">
        <v>8.58</v>
      </c>
      <c r="S473" s="15">
        <v>0</v>
      </c>
      <c r="T473"/>
    </row>
    <row r="474" spans="1:20">
      <c r="A474" s="5" t="s">
        <v>36</v>
      </c>
      <c r="B474" s="5" t="s">
        <v>13803</v>
      </c>
      <c r="C474" s="4">
        <f>Controle_Pedidos[[#This Row],[Data Compra]]</f>
        <v>45624</v>
      </c>
      <c r="D474" s="4">
        <v>45624</v>
      </c>
      <c r="E474" s="5" t="s">
        <v>15897</v>
      </c>
      <c r="F474" s="5" t="s">
        <v>17887</v>
      </c>
      <c r="G474" s="5" t="s">
        <v>852</v>
      </c>
      <c r="H474" s="5">
        <v>1</v>
      </c>
      <c r="I474" s="8" t="s">
        <v>7637</v>
      </c>
      <c r="J474" s="8" t="s">
        <v>9686</v>
      </c>
      <c r="K474" s="8" t="s">
        <v>1483</v>
      </c>
      <c r="L474" s="8" t="s">
        <v>11737</v>
      </c>
      <c r="M474" s="8" t="s">
        <v>3533</v>
      </c>
      <c r="N474" s="8" t="s">
        <v>5584</v>
      </c>
      <c r="O474" s="5" t="s">
        <v>68</v>
      </c>
      <c r="P474" s="4">
        <v>45645</v>
      </c>
      <c r="Q474" s="15">
        <v>18.5</v>
      </c>
      <c r="R474" s="15">
        <v>8.58</v>
      </c>
      <c r="S474" s="15">
        <v>0</v>
      </c>
      <c r="T474"/>
    </row>
    <row r="475" spans="1:20">
      <c r="A475" s="5" t="s">
        <v>36</v>
      </c>
      <c r="B475" s="5" t="s">
        <v>13804</v>
      </c>
      <c r="C475" s="4">
        <f>Controle_Pedidos[[#This Row],[Data Compra]]</f>
        <v>45624</v>
      </c>
      <c r="D475" s="4">
        <v>45624</v>
      </c>
      <c r="E475" s="5" t="s">
        <v>15898</v>
      </c>
      <c r="F475" s="5" t="s">
        <v>17888</v>
      </c>
      <c r="G475" s="5" t="s">
        <v>866</v>
      </c>
      <c r="H475" s="5">
        <v>1</v>
      </c>
      <c r="I475" s="8" t="s">
        <v>7638</v>
      </c>
      <c r="J475" s="8" t="s">
        <v>9687</v>
      </c>
      <c r="K475" s="8" t="s">
        <v>1484</v>
      </c>
      <c r="L475" s="8" t="s">
        <v>11738</v>
      </c>
      <c r="M475" s="8" t="s">
        <v>3534</v>
      </c>
      <c r="N475" s="8" t="s">
        <v>5585</v>
      </c>
      <c r="O475" s="5" t="s">
        <v>82</v>
      </c>
      <c r="P475" s="4">
        <v>45653</v>
      </c>
      <c r="Q475" s="15">
        <v>54.5</v>
      </c>
      <c r="R475" s="15">
        <v>10.38</v>
      </c>
      <c r="S475" s="15">
        <v>0</v>
      </c>
      <c r="T475"/>
    </row>
    <row r="476" spans="1:20">
      <c r="A476" s="5" t="s">
        <v>36</v>
      </c>
      <c r="B476" s="5" t="s">
        <v>13805</v>
      </c>
      <c r="C476" s="4">
        <f>Controle_Pedidos[[#This Row],[Data Compra]]</f>
        <v>45625</v>
      </c>
      <c r="D476" s="4">
        <v>45625</v>
      </c>
      <c r="E476" s="5" t="s">
        <v>15899</v>
      </c>
      <c r="F476" s="5" t="s">
        <v>17889</v>
      </c>
      <c r="G476" s="5" t="s">
        <v>829</v>
      </c>
      <c r="H476" s="5">
        <v>1</v>
      </c>
      <c r="I476" s="8" t="s">
        <v>7639</v>
      </c>
      <c r="J476" s="8" t="s">
        <v>9688</v>
      </c>
      <c r="K476" s="8" t="s">
        <v>1485</v>
      </c>
      <c r="L476" s="8" t="s">
        <v>11739</v>
      </c>
      <c r="M476" s="8" t="s">
        <v>3535</v>
      </c>
      <c r="N476" s="8" t="s">
        <v>5586</v>
      </c>
      <c r="O476" s="5" t="s">
        <v>40</v>
      </c>
      <c r="P476" s="4">
        <v>45643</v>
      </c>
      <c r="Q476" s="15">
        <v>25.99</v>
      </c>
      <c r="R476" s="15">
        <v>14.4</v>
      </c>
      <c r="S476" s="15">
        <v>0</v>
      </c>
      <c r="T476"/>
    </row>
    <row r="477" spans="1:20">
      <c r="A477" s="5" t="s">
        <v>36</v>
      </c>
      <c r="B477" s="5" t="s">
        <v>13806</v>
      </c>
      <c r="C477" s="4">
        <f>Controle_Pedidos[[#This Row],[Data Compra]]</f>
        <v>45624</v>
      </c>
      <c r="D477" s="4">
        <v>45624</v>
      </c>
      <c r="E477" s="5" t="s">
        <v>15900</v>
      </c>
      <c r="F477" s="5" t="s">
        <v>17890</v>
      </c>
      <c r="G477" s="5" t="s">
        <v>817</v>
      </c>
      <c r="H477" s="5">
        <v>1</v>
      </c>
      <c r="I477" s="8" t="s">
        <v>7640</v>
      </c>
      <c r="J477" s="8" t="s">
        <v>9689</v>
      </c>
      <c r="K477" s="8" t="s">
        <v>1486</v>
      </c>
      <c r="L477" s="8" t="s">
        <v>11740</v>
      </c>
      <c r="M477" s="8" t="s">
        <v>3536</v>
      </c>
      <c r="N477" s="8" t="s">
        <v>5587</v>
      </c>
      <c r="O477" s="5" t="s">
        <v>39</v>
      </c>
      <c r="P477" s="4">
        <v>45653</v>
      </c>
      <c r="Q477" s="15">
        <v>39.99</v>
      </c>
      <c r="R477" s="15">
        <v>17.989999999999998</v>
      </c>
      <c r="S477" s="15">
        <v>0</v>
      </c>
      <c r="T477"/>
    </row>
    <row r="478" spans="1:20">
      <c r="A478" s="5" t="s">
        <v>36</v>
      </c>
      <c r="B478" s="5" t="s">
        <v>13807</v>
      </c>
      <c r="C478" s="4">
        <f>Controle_Pedidos[[#This Row],[Data Compra]]</f>
        <v>45624</v>
      </c>
      <c r="D478" s="4">
        <v>45624</v>
      </c>
      <c r="E478" s="5" t="s">
        <v>15901</v>
      </c>
      <c r="F478" s="5" t="s">
        <v>17891</v>
      </c>
      <c r="G478" s="5" t="s">
        <v>831</v>
      </c>
      <c r="H478" s="5">
        <v>1</v>
      </c>
      <c r="I478" s="8" t="s">
        <v>7641</v>
      </c>
      <c r="J478" s="8" t="s">
        <v>9690</v>
      </c>
      <c r="K478" s="8" t="s">
        <v>1487</v>
      </c>
      <c r="L478" s="8" t="s">
        <v>11741</v>
      </c>
      <c r="M478" s="8" t="s">
        <v>3537</v>
      </c>
      <c r="N478" s="8" t="s">
        <v>5588</v>
      </c>
      <c r="O478" s="5" t="s">
        <v>41</v>
      </c>
      <c r="P478" s="4">
        <v>45645</v>
      </c>
      <c r="Q478" s="15">
        <v>65.989999999999995</v>
      </c>
      <c r="R478" s="15">
        <v>14.19</v>
      </c>
      <c r="S478" s="15">
        <v>0</v>
      </c>
      <c r="T478"/>
    </row>
    <row r="479" spans="1:20">
      <c r="A479" s="5" t="s">
        <v>36</v>
      </c>
      <c r="B479" s="5" t="s">
        <v>13808</v>
      </c>
      <c r="C479" s="4">
        <f>Controle_Pedidos[[#This Row],[Data Compra]]</f>
        <v>45625</v>
      </c>
      <c r="D479" s="4">
        <v>45625</v>
      </c>
      <c r="E479" s="5" t="s">
        <v>15902</v>
      </c>
      <c r="F479" s="5" t="s">
        <v>17892</v>
      </c>
      <c r="G479" s="5" t="s">
        <v>849</v>
      </c>
      <c r="H479" s="5">
        <v>1</v>
      </c>
      <c r="I479" s="8" t="s">
        <v>7642</v>
      </c>
      <c r="J479" s="8" t="s">
        <v>9691</v>
      </c>
      <c r="K479" s="8" t="s">
        <v>1488</v>
      </c>
      <c r="L479" s="8" t="s">
        <v>11742</v>
      </c>
      <c r="M479" s="8" t="s">
        <v>3538</v>
      </c>
      <c r="N479" s="8" t="s">
        <v>5589</v>
      </c>
      <c r="O479" s="5" t="s">
        <v>61</v>
      </c>
      <c r="P479" s="4">
        <v>45646</v>
      </c>
      <c r="Q479" s="15">
        <v>65.989999999999995</v>
      </c>
      <c r="R479" s="15">
        <v>15.22</v>
      </c>
      <c r="S479" s="15">
        <v>0</v>
      </c>
      <c r="T479"/>
    </row>
    <row r="480" spans="1:20">
      <c r="A480" s="5" t="s">
        <v>36</v>
      </c>
      <c r="B480" s="5" t="s">
        <v>13809</v>
      </c>
      <c r="C480" s="4">
        <f>Controle_Pedidos[[#This Row],[Data Compra]]</f>
        <v>45625</v>
      </c>
      <c r="D480" s="4">
        <v>45625</v>
      </c>
      <c r="E480" s="5" t="s">
        <v>15903</v>
      </c>
      <c r="F480" s="5" t="s">
        <v>17893</v>
      </c>
      <c r="G480" s="5" t="s">
        <v>845</v>
      </c>
      <c r="H480" s="5">
        <v>1</v>
      </c>
      <c r="I480" s="8" t="s">
        <v>7643</v>
      </c>
      <c r="J480" s="8" t="s">
        <v>9692</v>
      </c>
      <c r="K480" s="8" t="s">
        <v>1489</v>
      </c>
      <c r="L480" s="8" t="s">
        <v>11743</v>
      </c>
      <c r="M480" s="8" t="s">
        <v>3539</v>
      </c>
      <c r="N480" s="8" t="s">
        <v>5590</v>
      </c>
      <c r="O480" s="5" t="s">
        <v>67</v>
      </c>
      <c r="P480" s="4">
        <v>45646</v>
      </c>
      <c r="Q480" s="15">
        <v>65.989999999999995</v>
      </c>
      <c r="R480" s="15">
        <v>14.69</v>
      </c>
      <c r="S480" s="15">
        <v>0</v>
      </c>
      <c r="T480"/>
    </row>
    <row r="481" spans="1:20">
      <c r="A481" s="5" t="s">
        <v>36</v>
      </c>
      <c r="B481" s="5" t="s">
        <v>13810</v>
      </c>
      <c r="C481" s="4">
        <f>Controle_Pedidos[[#This Row],[Data Compra]]</f>
        <v>45625</v>
      </c>
      <c r="D481" s="4">
        <v>45625</v>
      </c>
      <c r="E481" s="5" t="s">
        <v>15904</v>
      </c>
      <c r="F481" s="5" t="s">
        <v>17894</v>
      </c>
      <c r="G481" s="5" t="s">
        <v>845</v>
      </c>
      <c r="H481" s="5">
        <v>1</v>
      </c>
      <c r="I481" s="8" t="s">
        <v>7644</v>
      </c>
      <c r="J481" s="8" t="s">
        <v>9693</v>
      </c>
      <c r="K481" s="8" t="s">
        <v>1490</v>
      </c>
      <c r="L481" s="8" t="s">
        <v>11744</v>
      </c>
      <c r="M481" s="8" t="s">
        <v>3540</v>
      </c>
      <c r="N481" s="8" t="s">
        <v>5591</v>
      </c>
      <c r="O481" s="5" t="s">
        <v>67</v>
      </c>
      <c r="P481" s="4">
        <v>45654</v>
      </c>
      <c r="Q481" s="15">
        <v>65.989999999999995</v>
      </c>
      <c r="R481" s="15">
        <v>0</v>
      </c>
      <c r="S481" s="15">
        <v>0</v>
      </c>
      <c r="T481"/>
    </row>
    <row r="482" spans="1:20">
      <c r="A482" s="5" t="s">
        <v>36</v>
      </c>
      <c r="B482" s="5" t="s">
        <v>13811</v>
      </c>
      <c r="C482" s="4">
        <f>Controle_Pedidos[[#This Row],[Data Compra]]</f>
        <v>45625</v>
      </c>
      <c r="D482" s="4">
        <v>45625</v>
      </c>
      <c r="E482" s="5" t="s">
        <v>15905</v>
      </c>
      <c r="F482" s="5" t="s">
        <v>17895</v>
      </c>
      <c r="G482" s="5" t="s">
        <v>845</v>
      </c>
      <c r="H482" s="5">
        <v>1</v>
      </c>
      <c r="I482" s="8" t="s">
        <v>7645</v>
      </c>
      <c r="J482" s="8" t="s">
        <v>9694</v>
      </c>
      <c r="K482" s="8" t="s">
        <v>1491</v>
      </c>
      <c r="L482" s="8" t="s">
        <v>11745</v>
      </c>
      <c r="M482" s="8" t="s">
        <v>3541</v>
      </c>
      <c r="N482" s="8" t="s">
        <v>5592</v>
      </c>
      <c r="O482" s="5" t="s">
        <v>67</v>
      </c>
      <c r="P482" s="4">
        <v>45654</v>
      </c>
      <c r="Q482" s="15">
        <v>65.989999999999995</v>
      </c>
      <c r="R482" s="15">
        <v>14.69</v>
      </c>
      <c r="S482" s="15">
        <v>0</v>
      </c>
      <c r="T482"/>
    </row>
    <row r="483" spans="1:20">
      <c r="A483" s="5" t="s">
        <v>36</v>
      </c>
      <c r="B483" s="5" t="s">
        <v>13812</v>
      </c>
      <c r="C483" s="4">
        <f>Controle_Pedidos[[#This Row],[Data Compra]]</f>
        <v>45625</v>
      </c>
      <c r="D483" s="4">
        <v>45625</v>
      </c>
      <c r="E483" s="5" t="s">
        <v>15906</v>
      </c>
      <c r="F483" s="5" t="s">
        <v>17896</v>
      </c>
      <c r="G483" s="5" t="s">
        <v>831</v>
      </c>
      <c r="H483" s="5">
        <v>1</v>
      </c>
      <c r="I483" s="8" t="s">
        <v>7646</v>
      </c>
      <c r="J483" s="8" t="s">
        <v>9695</v>
      </c>
      <c r="K483" s="8" t="s">
        <v>1492</v>
      </c>
      <c r="L483" s="8" t="s">
        <v>11746</v>
      </c>
      <c r="M483" s="8" t="s">
        <v>3542</v>
      </c>
      <c r="N483" s="8" t="s">
        <v>5593</v>
      </c>
      <c r="O483" s="5" t="s">
        <v>41</v>
      </c>
      <c r="P483" s="4">
        <v>45646</v>
      </c>
      <c r="Q483" s="15">
        <v>65.989999999999995</v>
      </c>
      <c r="R483" s="15">
        <v>14.69</v>
      </c>
      <c r="S483" s="15">
        <v>0</v>
      </c>
      <c r="T483"/>
    </row>
    <row r="484" spans="1:20">
      <c r="A484" s="5" t="s">
        <v>36</v>
      </c>
      <c r="B484" s="5" t="s">
        <v>13813</v>
      </c>
      <c r="C484" s="4">
        <f>Controle_Pedidos[[#This Row],[Data Compra]]</f>
        <v>45628</v>
      </c>
      <c r="D484" s="4">
        <v>45628</v>
      </c>
      <c r="E484" s="5" t="s">
        <v>15907</v>
      </c>
      <c r="F484" s="5" t="s">
        <v>17897</v>
      </c>
      <c r="G484" s="5" t="s">
        <v>852</v>
      </c>
      <c r="H484" s="5">
        <v>1</v>
      </c>
      <c r="I484" s="8" t="s">
        <v>7647</v>
      </c>
      <c r="J484" s="8" t="s">
        <v>9696</v>
      </c>
      <c r="K484" s="8" t="s">
        <v>1493</v>
      </c>
      <c r="L484" s="8" t="s">
        <v>11747</v>
      </c>
      <c r="M484" s="8" t="s">
        <v>3543</v>
      </c>
      <c r="N484" s="8" t="s">
        <v>5594</v>
      </c>
      <c r="O484" s="5" t="s">
        <v>68</v>
      </c>
      <c r="P484" s="4">
        <v>45644</v>
      </c>
      <c r="Q484" s="15">
        <v>22.5</v>
      </c>
      <c r="R484" s="15">
        <v>9.0399999999999991</v>
      </c>
      <c r="S484" s="15">
        <v>0</v>
      </c>
      <c r="T484"/>
    </row>
    <row r="485" spans="1:20">
      <c r="A485" s="5" t="s">
        <v>36</v>
      </c>
      <c r="B485" s="5" t="s">
        <v>13814</v>
      </c>
      <c r="C485" s="4">
        <f>Controle_Pedidos[[#This Row],[Data Compra]]</f>
        <v>45625</v>
      </c>
      <c r="D485" s="4">
        <v>45625</v>
      </c>
      <c r="E485" s="5" t="s">
        <v>15908</v>
      </c>
      <c r="F485" s="5" t="s">
        <v>17898</v>
      </c>
      <c r="G485" s="5" t="s">
        <v>845</v>
      </c>
      <c r="H485" s="5">
        <v>1</v>
      </c>
      <c r="I485" s="8" t="s">
        <v>7648</v>
      </c>
      <c r="J485" s="8" t="s">
        <v>9697</v>
      </c>
      <c r="K485" s="8" t="s">
        <v>1494</v>
      </c>
      <c r="L485" s="8" t="s">
        <v>11748</v>
      </c>
      <c r="M485" s="8" t="s">
        <v>3544</v>
      </c>
      <c r="N485" s="8" t="s">
        <v>5595</v>
      </c>
      <c r="O485" s="5" t="s">
        <v>67</v>
      </c>
      <c r="P485" s="4">
        <v>45646</v>
      </c>
      <c r="Q485" s="15">
        <v>65.989999999999995</v>
      </c>
      <c r="R485" s="15">
        <v>14.69</v>
      </c>
      <c r="S485" s="15">
        <v>0</v>
      </c>
      <c r="T485"/>
    </row>
    <row r="486" spans="1:20">
      <c r="A486" s="5" t="s">
        <v>36</v>
      </c>
      <c r="B486" s="5" t="s">
        <v>13815</v>
      </c>
      <c r="C486" s="4">
        <f>Controle_Pedidos[[#This Row],[Data Compra]]</f>
        <v>45625</v>
      </c>
      <c r="D486" s="4">
        <v>45625</v>
      </c>
      <c r="E486" s="5" t="s">
        <v>15909</v>
      </c>
      <c r="F486" s="5" t="s">
        <v>17899</v>
      </c>
      <c r="G486" s="5" t="s">
        <v>849</v>
      </c>
      <c r="H486" s="5">
        <v>1</v>
      </c>
      <c r="I486" s="8" t="s">
        <v>7649</v>
      </c>
      <c r="J486" s="8" t="s">
        <v>9698</v>
      </c>
      <c r="K486" s="8" t="s">
        <v>1495</v>
      </c>
      <c r="L486" s="8" t="s">
        <v>11749</v>
      </c>
      <c r="M486" s="8" t="s">
        <v>3545</v>
      </c>
      <c r="N486" s="8" t="s">
        <v>5596</v>
      </c>
      <c r="O486" s="5" t="s">
        <v>61</v>
      </c>
      <c r="P486" s="4">
        <v>45654</v>
      </c>
      <c r="Q486" s="15">
        <v>65.989999999999995</v>
      </c>
      <c r="R486" s="15">
        <v>15.22</v>
      </c>
      <c r="S486" s="15">
        <v>0</v>
      </c>
      <c r="T486"/>
    </row>
    <row r="487" spans="1:20">
      <c r="A487" s="5" t="s">
        <v>36</v>
      </c>
      <c r="B487" s="5" t="s">
        <v>13816</v>
      </c>
      <c r="C487" s="4">
        <f>Controle_Pedidos[[#This Row],[Data Compra]]</f>
        <v>45628</v>
      </c>
      <c r="D487" s="4">
        <v>45628</v>
      </c>
      <c r="E487" s="5" t="s">
        <v>15910</v>
      </c>
      <c r="F487" s="5" t="s">
        <v>17900</v>
      </c>
      <c r="G487" s="5" t="s">
        <v>852</v>
      </c>
      <c r="H487" s="5">
        <v>1</v>
      </c>
      <c r="I487" s="8" t="s">
        <v>7650</v>
      </c>
      <c r="J487" s="8" t="s">
        <v>9699</v>
      </c>
      <c r="K487" s="8" t="s">
        <v>1496</v>
      </c>
      <c r="L487" s="8" t="s">
        <v>11750</v>
      </c>
      <c r="M487" s="8" t="s">
        <v>3546</v>
      </c>
      <c r="N487" s="8" t="s">
        <v>5597</v>
      </c>
      <c r="O487" s="5" t="s">
        <v>68</v>
      </c>
      <c r="P487" s="4">
        <v>45640</v>
      </c>
      <c r="Q487" s="15">
        <v>22.5</v>
      </c>
      <c r="R487" s="15">
        <v>9.0399999999999991</v>
      </c>
      <c r="S487" s="15">
        <v>0</v>
      </c>
      <c r="T487"/>
    </row>
    <row r="488" spans="1:20">
      <c r="A488" s="5" t="s">
        <v>36</v>
      </c>
      <c r="B488" s="5" t="s">
        <v>13817</v>
      </c>
      <c r="C488" s="4">
        <f>Controle_Pedidos[[#This Row],[Data Compra]]</f>
        <v>45625</v>
      </c>
      <c r="D488" s="4">
        <v>45625</v>
      </c>
      <c r="E488" s="5" t="s">
        <v>15911</v>
      </c>
      <c r="F488" s="5" t="s">
        <v>17901</v>
      </c>
      <c r="G488" s="5" t="s">
        <v>849</v>
      </c>
      <c r="H488" s="5">
        <v>1</v>
      </c>
      <c r="I488" s="8" t="s">
        <v>7651</v>
      </c>
      <c r="J488" s="8" t="s">
        <v>9700</v>
      </c>
      <c r="K488" s="8" t="s">
        <v>1497</v>
      </c>
      <c r="L488" s="8" t="s">
        <v>11751</v>
      </c>
      <c r="M488" s="8" t="s">
        <v>3547</v>
      </c>
      <c r="N488" s="8" t="s">
        <v>5598</v>
      </c>
      <c r="O488" s="5" t="s">
        <v>61</v>
      </c>
      <c r="P488" s="4">
        <v>45646</v>
      </c>
      <c r="Q488" s="15">
        <v>65.989999999999995</v>
      </c>
      <c r="R488" s="15">
        <v>15.22</v>
      </c>
      <c r="S488" s="15">
        <v>0</v>
      </c>
      <c r="T488"/>
    </row>
    <row r="489" spans="1:20">
      <c r="A489" s="5" t="s">
        <v>36</v>
      </c>
      <c r="B489" s="5" t="s">
        <v>13818</v>
      </c>
      <c r="C489" s="4">
        <f>Controle_Pedidos[[#This Row],[Data Compra]]</f>
        <v>45625</v>
      </c>
      <c r="D489" s="4">
        <v>45625</v>
      </c>
      <c r="E489" s="5" t="s">
        <v>15912</v>
      </c>
      <c r="F489" s="5" t="s">
        <v>17902</v>
      </c>
      <c r="G489" s="5" t="s">
        <v>849</v>
      </c>
      <c r="H489" s="5">
        <v>1</v>
      </c>
      <c r="I489" s="8" t="s">
        <v>7652</v>
      </c>
      <c r="J489" s="8" t="s">
        <v>9701</v>
      </c>
      <c r="K489" s="8" t="s">
        <v>1498</v>
      </c>
      <c r="L489" s="8" t="s">
        <v>11752</v>
      </c>
      <c r="M489" s="8" t="s">
        <v>3548</v>
      </c>
      <c r="N489" s="8" t="s">
        <v>5599</v>
      </c>
      <c r="O489" s="5" t="s">
        <v>61</v>
      </c>
      <c r="P489" s="4">
        <v>45646</v>
      </c>
      <c r="Q489" s="15">
        <v>65.989999999999995</v>
      </c>
      <c r="R489" s="15">
        <v>15.22</v>
      </c>
      <c r="S489" s="15">
        <v>0</v>
      </c>
      <c r="T489"/>
    </row>
    <row r="490" spans="1:20">
      <c r="A490" s="5" t="s">
        <v>36</v>
      </c>
      <c r="B490" s="5" t="s">
        <v>13819</v>
      </c>
      <c r="C490" s="4">
        <f>Controle_Pedidos[[#This Row],[Data Compra]]</f>
        <v>45628</v>
      </c>
      <c r="D490" s="4">
        <v>45628</v>
      </c>
      <c r="E490" s="5" t="s">
        <v>15913</v>
      </c>
      <c r="F490" s="5" t="s">
        <v>17903</v>
      </c>
      <c r="G490" s="5" t="s">
        <v>852</v>
      </c>
      <c r="H490" s="5">
        <v>1</v>
      </c>
      <c r="I490" s="8" t="s">
        <v>7653</v>
      </c>
      <c r="J490" s="8" t="s">
        <v>9702</v>
      </c>
      <c r="K490" s="8" t="s">
        <v>1499</v>
      </c>
      <c r="L490" s="8" t="s">
        <v>11753</v>
      </c>
      <c r="M490" s="8" t="s">
        <v>3549</v>
      </c>
      <c r="N490" s="8" t="s">
        <v>5600</v>
      </c>
      <c r="O490" s="5" t="s">
        <v>68</v>
      </c>
      <c r="P490" s="4">
        <v>45646</v>
      </c>
      <c r="Q490" s="15">
        <v>60</v>
      </c>
      <c r="R490" s="15">
        <v>9.0399999999999991</v>
      </c>
      <c r="S490" s="15">
        <v>0</v>
      </c>
      <c r="T490"/>
    </row>
    <row r="491" spans="1:20">
      <c r="A491" s="5" t="s">
        <v>36</v>
      </c>
      <c r="B491" s="5" t="s">
        <v>13820</v>
      </c>
      <c r="C491" s="4">
        <f>Controle_Pedidos[[#This Row],[Data Compra]]</f>
        <v>45628</v>
      </c>
      <c r="D491" s="4">
        <v>45628</v>
      </c>
      <c r="E491" s="5" t="s">
        <v>15914</v>
      </c>
      <c r="F491" s="5" t="s">
        <v>17904</v>
      </c>
      <c r="G491" s="5" t="s">
        <v>831</v>
      </c>
      <c r="H491" s="5">
        <v>1</v>
      </c>
      <c r="I491" s="8" t="s">
        <v>7654</v>
      </c>
      <c r="J491" s="8" t="s">
        <v>9703</v>
      </c>
      <c r="K491" s="8" t="s">
        <v>1500</v>
      </c>
      <c r="L491" s="8" t="s">
        <v>11754</v>
      </c>
      <c r="M491" s="8" t="s">
        <v>3550</v>
      </c>
      <c r="N491" s="8" t="s">
        <v>5601</v>
      </c>
      <c r="O491" s="5" t="s">
        <v>41</v>
      </c>
      <c r="P491" s="4">
        <v>45646</v>
      </c>
      <c r="Q491" s="15">
        <v>100</v>
      </c>
      <c r="R491" s="15">
        <v>19.48</v>
      </c>
      <c r="S491" s="15">
        <v>0</v>
      </c>
      <c r="T491"/>
    </row>
    <row r="492" spans="1:20">
      <c r="A492" s="5" t="s">
        <v>36</v>
      </c>
      <c r="B492" s="5" t="s">
        <v>13821</v>
      </c>
      <c r="C492" s="4">
        <f>Controle_Pedidos[[#This Row],[Data Compra]]</f>
        <v>45628</v>
      </c>
      <c r="D492" s="4">
        <v>45628</v>
      </c>
      <c r="E492" s="5" t="s">
        <v>15915</v>
      </c>
      <c r="F492" s="5" t="s">
        <v>17905</v>
      </c>
      <c r="G492" s="5" t="s">
        <v>849</v>
      </c>
      <c r="H492" s="5">
        <v>1</v>
      </c>
      <c r="I492" s="8" t="s">
        <v>7655</v>
      </c>
      <c r="J492" s="8" t="s">
        <v>9704</v>
      </c>
      <c r="K492" s="8" t="s">
        <v>1501</v>
      </c>
      <c r="L492" s="8" t="s">
        <v>11755</v>
      </c>
      <c r="M492" s="8" t="s">
        <v>3551</v>
      </c>
      <c r="N492" s="8" t="s">
        <v>5602</v>
      </c>
      <c r="O492" s="5" t="s">
        <v>61</v>
      </c>
      <c r="P492" s="4">
        <v>45654</v>
      </c>
      <c r="Q492" s="15">
        <v>100</v>
      </c>
      <c r="R492" s="15">
        <v>19.34</v>
      </c>
      <c r="S492" s="15">
        <v>0</v>
      </c>
      <c r="T492"/>
    </row>
    <row r="493" spans="1:20">
      <c r="A493" s="5" t="s">
        <v>36</v>
      </c>
      <c r="B493" s="5" t="s">
        <v>13822</v>
      </c>
      <c r="C493" s="4">
        <f>Controle_Pedidos[[#This Row],[Data Compra]]</f>
        <v>45628</v>
      </c>
      <c r="D493" s="4">
        <v>45628</v>
      </c>
      <c r="E493" s="5" t="s">
        <v>15916</v>
      </c>
      <c r="F493" s="5" t="s">
        <v>17906</v>
      </c>
      <c r="G493" s="5" t="s">
        <v>849</v>
      </c>
      <c r="H493" s="5">
        <v>1</v>
      </c>
      <c r="I493" s="8" t="s">
        <v>7656</v>
      </c>
      <c r="J493" s="8" t="s">
        <v>9705</v>
      </c>
      <c r="K493" s="8" t="s">
        <v>1502</v>
      </c>
      <c r="L493" s="8" t="s">
        <v>11756</v>
      </c>
      <c r="M493" s="8" t="s">
        <v>3552</v>
      </c>
      <c r="N493" s="8" t="s">
        <v>5603</v>
      </c>
      <c r="O493" s="5" t="s">
        <v>61</v>
      </c>
      <c r="P493" s="4">
        <v>45657</v>
      </c>
      <c r="Q493" s="15">
        <v>100</v>
      </c>
      <c r="R493" s="15">
        <v>19.34</v>
      </c>
      <c r="S493" s="15">
        <v>0</v>
      </c>
      <c r="T493"/>
    </row>
    <row r="494" spans="1:20">
      <c r="A494" s="5" t="s">
        <v>36</v>
      </c>
      <c r="B494" s="5" t="s">
        <v>13823</v>
      </c>
      <c r="C494" s="4">
        <f>Controle_Pedidos[[#This Row],[Data Compra]]</f>
        <v>45628</v>
      </c>
      <c r="D494" s="4">
        <v>45628</v>
      </c>
      <c r="E494" s="5" t="s">
        <v>15917</v>
      </c>
      <c r="F494" s="5" t="s">
        <v>17907</v>
      </c>
      <c r="G494" s="5" t="s">
        <v>845</v>
      </c>
      <c r="H494" s="5">
        <v>1</v>
      </c>
      <c r="I494" s="8" t="s">
        <v>7657</v>
      </c>
      <c r="J494" s="8" t="s">
        <v>9706</v>
      </c>
      <c r="K494" s="8" t="s">
        <v>1503</v>
      </c>
      <c r="L494" s="8" t="s">
        <v>11757</v>
      </c>
      <c r="M494" s="8" t="s">
        <v>3553</v>
      </c>
      <c r="N494" s="8" t="s">
        <v>5604</v>
      </c>
      <c r="O494" s="5" t="s">
        <v>67</v>
      </c>
      <c r="P494" s="4">
        <v>45647</v>
      </c>
      <c r="Q494" s="15">
        <v>65.989999999999995</v>
      </c>
      <c r="R494" s="15">
        <v>19.28</v>
      </c>
      <c r="S494" s="15">
        <v>0</v>
      </c>
      <c r="T494"/>
    </row>
    <row r="495" spans="1:20">
      <c r="A495" s="5" t="s">
        <v>36</v>
      </c>
      <c r="B495" s="5" t="s">
        <v>13824</v>
      </c>
      <c r="C495" s="4">
        <f>Controle_Pedidos[[#This Row],[Data Compra]]</f>
        <v>45628</v>
      </c>
      <c r="D495" s="4">
        <v>45628</v>
      </c>
      <c r="E495" s="5" t="s">
        <v>15918</v>
      </c>
      <c r="F495" s="5" t="s">
        <v>17908</v>
      </c>
      <c r="G495" s="5" t="s">
        <v>849</v>
      </c>
      <c r="H495" s="5">
        <v>1</v>
      </c>
      <c r="I495" s="8" t="s">
        <v>7658</v>
      </c>
      <c r="J495" s="8" t="s">
        <v>9707</v>
      </c>
      <c r="K495" s="8" t="s">
        <v>1504</v>
      </c>
      <c r="L495" s="8" t="s">
        <v>11758</v>
      </c>
      <c r="M495" s="8" t="s">
        <v>3554</v>
      </c>
      <c r="N495" s="8" t="s">
        <v>5605</v>
      </c>
      <c r="O495" s="5" t="s">
        <v>61</v>
      </c>
      <c r="P495" s="4">
        <v>45647</v>
      </c>
      <c r="Q495" s="15">
        <v>65.989999999999995</v>
      </c>
      <c r="R495" s="15">
        <v>19.34</v>
      </c>
      <c r="S495" s="15">
        <v>0</v>
      </c>
      <c r="T495"/>
    </row>
    <row r="496" spans="1:20">
      <c r="A496" s="5" t="s">
        <v>36</v>
      </c>
      <c r="B496" s="5" t="s">
        <v>13825</v>
      </c>
      <c r="C496" s="4">
        <f>Controle_Pedidos[[#This Row],[Data Compra]]</f>
        <v>45628</v>
      </c>
      <c r="D496" s="4">
        <v>45628</v>
      </c>
      <c r="E496" s="5" t="s">
        <v>15919</v>
      </c>
      <c r="F496" s="5" t="s">
        <v>17909</v>
      </c>
      <c r="G496" s="5" t="s">
        <v>845</v>
      </c>
      <c r="H496" s="5">
        <v>1</v>
      </c>
      <c r="I496" s="8" t="s">
        <v>7659</v>
      </c>
      <c r="J496" s="8" t="s">
        <v>9708</v>
      </c>
      <c r="K496" s="8" t="s">
        <v>1505</v>
      </c>
      <c r="L496" s="8" t="s">
        <v>11759</v>
      </c>
      <c r="M496" s="8" t="s">
        <v>3555</v>
      </c>
      <c r="N496" s="8" t="s">
        <v>5606</v>
      </c>
      <c r="O496" s="5" t="s">
        <v>67</v>
      </c>
      <c r="P496" s="4">
        <v>45647</v>
      </c>
      <c r="Q496" s="15">
        <v>65.989999999999995</v>
      </c>
      <c r="R496" s="15">
        <v>19.28</v>
      </c>
      <c r="S496" s="15">
        <v>0</v>
      </c>
      <c r="T496"/>
    </row>
    <row r="497" spans="1:20">
      <c r="A497" s="5" t="s">
        <v>36</v>
      </c>
      <c r="B497" s="5" t="s">
        <v>13826</v>
      </c>
      <c r="C497" s="4">
        <f>Controle_Pedidos[[#This Row],[Data Compra]]</f>
        <v>45628</v>
      </c>
      <c r="D497" s="4">
        <v>45628</v>
      </c>
      <c r="E497" s="5" t="s">
        <v>15920</v>
      </c>
      <c r="F497" s="5" t="s">
        <v>17910</v>
      </c>
      <c r="G497" s="5" t="s">
        <v>852</v>
      </c>
      <c r="H497" s="5">
        <v>1</v>
      </c>
      <c r="I497" s="8" t="s">
        <v>7660</v>
      </c>
      <c r="J497" s="8" t="s">
        <v>9709</v>
      </c>
      <c r="K497" s="8" t="s">
        <v>1506</v>
      </c>
      <c r="L497" s="8" t="s">
        <v>11760</v>
      </c>
      <c r="M497" s="8" t="s">
        <v>3556</v>
      </c>
      <c r="N497" s="8" t="s">
        <v>5607</v>
      </c>
      <c r="O497" s="5" t="s">
        <v>68</v>
      </c>
      <c r="P497" s="4">
        <v>45657</v>
      </c>
      <c r="Q497" s="15">
        <v>23.9</v>
      </c>
      <c r="R497" s="15">
        <v>9.0399999999999991</v>
      </c>
      <c r="S497" s="15">
        <v>0</v>
      </c>
      <c r="T497"/>
    </row>
    <row r="498" spans="1:20">
      <c r="A498" s="5" t="s">
        <v>36</v>
      </c>
      <c r="B498" s="5" t="s">
        <v>13827</v>
      </c>
      <c r="C498" s="4">
        <f>Controle_Pedidos[[#This Row],[Data Compra]]</f>
        <v>45628</v>
      </c>
      <c r="D498" s="4">
        <v>45628</v>
      </c>
      <c r="E498" s="5" t="s">
        <v>15921</v>
      </c>
      <c r="F498" s="5" t="s">
        <v>17911</v>
      </c>
      <c r="G498" s="5" t="s">
        <v>831</v>
      </c>
      <c r="H498" s="5">
        <v>1</v>
      </c>
      <c r="I498" s="8" t="s">
        <v>7661</v>
      </c>
      <c r="J498" s="8" t="s">
        <v>9710</v>
      </c>
      <c r="K498" s="8" t="s">
        <v>1507</v>
      </c>
      <c r="L498" s="8" t="s">
        <v>11761</v>
      </c>
      <c r="M498" s="8" t="s">
        <v>3557</v>
      </c>
      <c r="N498" s="8" t="s">
        <v>5608</v>
      </c>
      <c r="O498" s="5" t="s">
        <v>41</v>
      </c>
      <c r="P498" s="4">
        <v>45647</v>
      </c>
      <c r="Q498" s="15">
        <v>65.900000000000006</v>
      </c>
      <c r="R498" s="15">
        <v>0</v>
      </c>
      <c r="S498" s="15">
        <v>0</v>
      </c>
      <c r="T498"/>
    </row>
    <row r="499" spans="1:20">
      <c r="A499" s="5" t="s">
        <v>36</v>
      </c>
      <c r="B499" s="5" t="s">
        <v>13828</v>
      </c>
      <c r="C499" s="4">
        <f>Controle_Pedidos[[#This Row],[Data Compra]]</f>
        <v>45628</v>
      </c>
      <c r="D499" s="4">
        <v>45628</v>
      </c>
      <c r="E499" s="5" t="s">
        <v>15922</v>
      </c>
      <c r="F499" s="5" t="s">
        <v>17912</v>
      </c>
      <c r="G499" s="5" t="s">
        <v>852</v>
      </c>
      <c r="H499" s="5">
        <v>1</v>
      </c>
      <c r="I499" s="8" t="s">
        <v>7662</v>
      </c>
      <c r="J499" s="8" t="s">
        <v>9711</v>
      </c>
      <c r="K499" s="8" t="s">
        <v>1508</v>
      </c>
      <c r="L499" s="8" t="s">
        <v>11762</v>
      </c>
      <c r="M499" s="8" t="s">
        <v>3558</v>
      </c>
      <c r="N499" s="8" t="s">
        <v>5609</v>
      </c>
      <c r="O499" s="5" t="s">
        <v>68</v>
      </c>
      <c r="P499" s="4">
        <v>45647</v>
      </c>
      <c r="Q499" s="15">
        <v>23.9</v>
      </c>
      <c r="R499" s="15">
        <v>9.0399999999999991</v>
      </c>
      <c r="S499" s="15">
        <v>0</v>
      </c>
      <c r="T499"/>
    </row>
    <row r="500" spans="1:20">
      <c r="A500" s="5" t="s">
        <v>36</v>
      </c>
      <c r="B500" s="5" t="s">
        <v>13829</v>
      </c>
      <c r="C500" s="4">
        <f>Controle_Pedidos[[#This Row],[Data Compra]]</f>
        <v>45628</v>
      </c>
      <c r="D500" s="4">
        <v>45628</v>
      </c>
      <c r="E500" s="5" t="s">
        <v>15923</v>
      </c>
      <c r="F500" s="5" t="s">
        <v>17913</v>
      </c>
      <c r="G500" s="5" t="s">
        <v>849</v>
      </c>
      <c r="H500" s="5">
        <v>1</v>
      </c>
      <c r="I500" s="8" t="s">
        <v>7663</v>
      </c>
      <c r="J500" s="8" t="s">
        <v>9712</v>
      </c>
      <c r="K500" s="8" t="s">
        <v>1509</v>
      </c>
      <c r="L500" s="8" t="s">
        <v>11763</v>
      </c>
      <c r="M500" s="8" t="s">
        <v>3559</v>
      </c>
      <c r="N500" s="8" t="s">
        <v>5610</v>
      </c>
      <c r="O500" s="5" t="s">
        <v>61</v>
      </c>
      <c r="P500" s="4">
        <v>45647</v>
      </c>
      <c r="Q500" s="15">
        <v>65.989999999999995</v>
      </c>
      <c r="R500" s="15">
        <v>19.34</v>
      </c>
      <c r="S500" s="15">
        <v>0</v>
      </c>
      <c r="T500"/>
    </row>
    <row r="501" spans="1:20">
      <c r="A501" s="5" t="s">
        <v>36</v>
      </c>
      <c r="B501" s="5" t="s">
        <v>13830</v>
      </c>
      <c r="C501" s="4">
        <f>Controle_Pedidos[[#This Row],[Data Compra]]</f>
        <v>45628</v>
      </c>
      <c r="D501" s="4">
        <v>45628</v>
      </c>
      <c r="E501" s="5" t="s">
        <v>15924</v>
      </c>
      <c r="F501" s="5" t="s">
        <v>17914</v>
      </c>
      <c r="G501" s="5" t="s">
        <v>849</v>
      </c>
      <c r="H501" s="5">
        <v>1</v>
      </c>
      <c r="I501" s="8" t="s">
        <v>7664</v>
      </c>
      <c r="J501" s="8" t="s">
        <v>9713</v>
      </c>
      <c r="K501" s="8" t="s">
        <v>1510</v>
      </c>
      <c r="L501" s="8" t="s">
        <v>11764</v>
      </c>
      <c r="M501" s="8" t="s">
        <v>3560</v>
      </c>
      <c r="N501" s="8" t="s">
        <v>5611</v>
      </c>
      <c r="O501" s="5" t="s">
        <v>61</v>
      </c>
      <c r="P501" s="4">
        <v>45647</v>
      </c>
      <c r="Q501" s="15">
        <v>65.989999999999995</v>
      </c>
      <c r="R501" s="15">
        <v>19.34</v>
      </c>
      <c r="S501" s="15">
        <v>0</v>
      </c>
      <c r="T501"/>
    </row>
    <row r="502" spans="1:20">
      <c r="A502" s="5" t="s">
        <v>36</v>
      </c>
      <c r="B502" s="5" t="s">
        <v>13831</v>
      </c>
      <c r="C502" s="4">
        <f>Controle_Pedidos[[#This Row],[Data Compra]]</f>
        <v>45628</v>
      </c>
      <c r="D502" s="4">
        <v>45628</v>
      </c>
      <c r="E502" s="5" t="s">
        <v>15925</v>
      </c>
      <c r="F502" s="5" t="s">
        <v>17915</v>
      </c>
      <c r="G502" s="5" t="s">
        <v>849</v>
      </c>
      <c r="H502" s="5">
        <v>1</v>
      </c>
      <c r="I502" s="8" t="s">
        <v>7665</v>
      </c>
      <c r="J502" s="8" t="s">
        <v>9714</v>
      </c>
      <c r="K502" s="8" t="s">
        <v>1511</v>
      </c>
      <c r="L502" s="8" t="s">
        <v>11765</v>
      </c>
      <c r="M502" s="8" t="s">
        <v>3561</v>
      </c>
      <c r="N502" s="8" t="s">
        <v>5612</v>
      </c>
      <c r="O502" s="5" t="s">
        <v>61</v>
      </c>
      <c r="P502" s="4">
        <v>45666</v>
      </c>
      <c r="Q502" s="15">
        <v>65.989999999999995</v>
      </c>
      <c r="R502" s="15">
        <v>19.34</v>
      </c>
      <c r="S502" s="15">
        <v>0</v>
      </c>
      <c r="T502"/>
    </row>
    <row r="503" spans="1:20">
      <c r="A503" s="5" t="s">
        <v>36</v>
      </c>
      <c r="B503" s="5" t="s">
        <v>13831</v>
      </c>
      <c r="C503" s="4">
        <f>Controle_Pedidos[[#This Row],[Data Compra]]</f>
        <v>45628</v>
      </c>
      <c r="D503" s="4">
        <v>45628</v>
      </c>
      <c r="E503" s="5" t="s">
        <v>15926</v>
      </c>
      <c r="F503" s="5" t="s">
        <v>17916</v>
      </c>
      <c r="G503" s="5" t="s">
        <v>845</v>
      </c>
      <c r="H503" s="5">
        <v>1</v>
      </c>
      <c r="I503" s="8" t="s">
        <v>7665</v>
      </c>
      <c r="J503" s="8" t="s">
        <v>9714</v>
      </c>
      <c r="K503" s="8" t="s">
        <v>1511</v>
      </c>
      <c r="L503" s="8" t="s">
        <v>11765</v>
      </c>
      <c r="M503" s="8" t="s">
        <v>3561</v>
      </c>
      <c r="N503" s="8" t="s">
        <v>5612</v>
      </c>
      <c r="O503" s="5" t="s">
        <v>67</v>
      </c>
      <c r="P503" s="4">
        <v>45666</v>
      </c>
      <c r="Q503" s="15">
        <v>65.989999999999995</v>
      </c>
      <c r="R503" s="15">
        <v>19.28</v>
      </c>
      <c r="S503" s="15">
        <v>0</v>
      </c>
      <c r="T503"/>
    </row>
    <row r="504" spans="1:20">
      <c r="A504" s="5" t="s">
        <v>36</v>
      </c>
      <c r="B504" s="5" t="s">
        <v>13832</v>
      </c>
      <c r="C504" s="4">
        <f>Controle_Pedidos[[#This Row],[Data Compra]]</f>
        <v>45628</v>
      </c>
      <c r="D504" s="4">
        <v>45628</v>
      </c>
      <c r="E504" s="5" t="s">
        <v>15927</v>
      </c>
      <c r="F504" s="5" t="s">
        <v>17917</v>
      </c>
      <c r="G504" s="5" t="s">
        <v>849</v>
      </c>
      <c r="H504" s="5">
        <v>1</v>
      </c>
      <c r="I504" s="8" t="s">
        <v>7666</v>
      </c>
      <c r="J504" s="8" t="s">
        <v>9715</v>
      </c>
      <c r="K504" s="8" t="s">
        <v>1512</v>
      </c>
      <c r="L504" s="8" t="s">
        <v>11766</v>
      </c>
      <c r="M504" s="8" t="s">
        <v>3562</v>
      </c>
      <c r="N504" s="8" t="s">
        <v>5613</v>
      </c>
      <c r="O504" s="5" t="s">
        <v>61</v>
      </c>
      <c r="P504" s="4">
        <v>45647</v>
      </c>
      <c r="Q504" s="15">
        <v>65.989999999999995</v>
      </c>
      <c r="R504" s="15">
        <v>19.34</v>
      </c>
      <c r="S504" s="15">
        <v>0</v>
      </c>
      <c r="T504"/>
    </row>
    <row r="505" spans="1:20">
      <c r="A505" s="5" t="s">
        <v>36</v>
      </c>
      <c r="B505" s="5" t="s">
        <v>13833</v>
      </c>
      <c r="C505" s="4">
        <f>Controle_Pedidos[[#This Row],[Data Compra]]</f>
        <v>45628</v>
      </c>
      <c r="D505" s="4">
        <v>45628</v>
      </c>
      <c r="E505" s="5" t="s">
        <v>15928</v>
      </c>
      <c r="F505" s="5" t="s">
        <v>17918</v>
      </c>
      <c r="G505" s="5" t="s">
        <v>826</v>
      </c>
      <c r="H505" s="5">
        <v>1</v>
      </c>
      <c r="I505" s="8" t="s">
        <v>7667</v>
      </c>
      <c r="J505" s="8" t="s">
        <v>9716</v>
      </c>
      <c r="K505" s="8" t="s">
        <v>1513</v>
      </c>
      <c r="L505" s="8" t="s">
        <v>11767</v>
      </c>
      <c r="M505" s="8" t="s">
        <v>3563</v>
      </c>
      <c r="N505" s="8" t="s">
        <v>5614</v>
      </c>
      <c r="O505" s="5" t="s">
        <v>42</v>
      </c>
      <c r="P505" s="4">
        <v>45657</v>
      </c>
      <c r="Q505" s="15">
        <v>21.99</v>
      </c>
      <c r="R505" s="15">
        <v>7.99</v>
      </c>
      <c r="S505" s="15">
        <v>0</v>
      </c>
      <c r="T505"/>
    </row>
    <row r="506" spans="1:20">
      <c r="A506" s="5" t="s">
        <v>36</v>
      </c>
      <c r="B506" s="5" t="s">
        <v>13834</v>
      </c>
      <c r="C506" s="4">
        <f>Controle_Pedidos[[#This Row],[Data Compra]]</f>
        <v>45629</v>
      </c>
      <c r="D506" s="4">
        <v>45629</v>
      </c>
      <c r="E506" s="5" t="s">
        <v>15929</v>
      </c>
      <c r="F506" s="5" t="s">
        <v>17919</v>
      </c>
      <c r="G506" s="5" t="s">
        <v>849</v>
      </c>
      <c r="H506" s="5">
        <v>1</v>
      </c>
      <c r="I506" s="8" t="s">
        <v>7668</v>
      </c>
      <c r="J506" s="8" t="s">
        <v>9717</v>
      </c>
      <c r="K506" s="8" t="s">
        <v>1514</v>
      </c>
      <c r="L506" s="8" t="s">
        <v>11768</v>
      </c>
      <c r="M506" s="8" t="s">
        <v>3564</v>
      </c>
      <c r="N506" s="8" t="s">
        <v>5615</v>
      </c>
      <c r="O506" s="5" t="s">
        <v>61</v>
      </c>
      <c r="P506" s="4">
        <v>45647</v>
      </c>
      <c r="Q506" s="15">
        <v>65.989999999999995</v>
      </c>
      <c r="R506" s="15">
        <v>19.54</v>
      </c>
      <c r="S506" s="15">
        <v>0</v>
      </c>
      <c r="T506"/>
    </row>
    <row r="507" spans="1:20">
      <c r="A507" s="5" t="s">
        <v>36</v>
      </c>
      <c r="B507" s="5" t="s">
        <v>13835</v>
      </c>
      <c r="C507" s="4">
        <f>Controle_Pedidos[[#This Row],[Data Compra]]</f>
        <v>45629</v>
      </c>
      <c r="D507" s="4">
        <v>45629</v>
      </c>
      <c r="E507" s="5" t="s">
        <v>15930</v>
      </c>
      <c r="F507" s="5" t="s">
        <v>17920</v>
      </c>
      <c r="G507" s="5" t="s">
        <v>845</v>
      </c>
      <c r="H507" s="5">
        <v>1</v>
      </c>
      <c r="I507" s="8" t="s">
        <v>7669</v>
      </c>
      <c r="J507" s="8" t="s">
        <v>9718</v>
      </c>
      <c r="K507" s="8" t="s">
        <v>1515</v>
      </c>
      <c r="L507" s="8" t="s">
        <v>11769</v>
      </c>
      <c r="M507" s="8" t="s">
        <v>3565</v>
      </c>
      <c r="N507" s="8" t="s">
        <v>5616</v>
      </c>
      <c r="O507" s="5" t="s">
        <v>67</v>
      </c>
      <c r="P507" s="4">
        <v>45660</v>
      </c>
      <c r="Q507" s="15">
        <v>65.989999999999995</v>
      </c>
      <c r="R507" s="15">
        <v>19.399999999999999</v>
      </c>
      <c r="S507" s="15">
        <v>0</v>
      </c>
      <c r="T507"/>
    </row>
    <row r="508" spans="1:20">
      <c r="A508" s="5" t="s">
        <v>36</v>
      </c>
      <c r="B508" s="5" t="s">
        <v>13836</v>
      </c>
      <c r="C508" s="4">
        <f>Controle_Pedidos[[#This Row],[Data Compra]]</f>
        <v>45629</v>
      </c>
      <c r="D508" s="4">
        <v>45629</v>
      </c>
      <c r="E508" s="5" t="s">
        <v>15931</v>
      </c>
      <c r="F508" s="5" t="s">
        <v>17921</v>
      </c>
      <c r="G508" s="5" t="s">
        <v>848</v>
      </c>
      <c r="H508" s="5">
        <v>1</v>
      </c>
      <c r="I508" s="8" t="s">
        <v>7670</v>
      </c>
      <c r="J508" s="8" t="s">
        <v>9719</v>
      </c>
      <c r="K508" s="8" t="s">
        <v>1516</v>
      </c>
      <c r="L508" s="8" t="s">
        <v>11770</v>
      </c>
      <c r="M508" s="8" t="s">
        <v>3566</v>
      </c>
      <c r="N508" s="8" t="s">
        <v>5617</v>
      </c>
      <c r="O508" s="5" t="s">
        <v>76</v>
      </c>
      <c r="P508" s="4">
        <v>45660</v>
      </c>
      <c r="Q508" s="15">
        <v>65.989999999999995</v>
      </c>
      <c r="R508" s="15">
        <v>21.47</v>
      </c>
      <c r="S508" s="15">
        <v>0</v>
      </c>
      <c r="T508"/>
    </row>
    <row r="509" spans="1:20">
      <c r="A509" s="5" t="s">
        <v>36</v>
      </c>
      <c r="B509" s="5" t="s">
        <v>13837</v>
      </c>
      <c r="C509" s="4">
        <f>Controle_Pedidos[[#This Row],[Data Compra]]</f>
        <v>45629</v>
      </c>
      <c r="D509" s="4">
        <v>45629</v>
      </c>
      <c r="E509" s="5" t="s">
        <v>15932</v>
      </c>
      <c r="F509" s="5" t="s">
        <v>17922</v>
      </c>
      <c r="G509" s="5" t="s">
        <v>860</v>
      </c>
      <c r="H509" s="5">
        <v>1</v>
      </c>
      <c r="I509" s="8" t="s">
        <v>7671</v>
      </c>
      <c r="J509" s="8" t="s">
        <v>9720</v>
      </c>
      <c r="K509" s="8" t="s">
        <v>1517</v>
      </c>
      <c r="L509" s="8" t="s">
        <v>11771</v>
      </c>
      <c r="M509" s="8" t="s">
        <v>3567</v>
      </c>
      <c r="N509" s="8" t="s">
        <v>5618</v>
      </c>
      <c r="O509" s="5" t="s">
        <v>75</v>
      </c>
      <c r="P509" s="4">
        <v>45650</v>
      </c>
      <c r="Q509" s="15">
        <v>51.9</v>
      </c>
      <c r="R509" s="15">
        <v>13.57</v>
      </c>
      <c r="S509" s="15">
        <v>0</v>
      </c>
      <c r="T509"/>
    </row>
    <row r="510" spans="1:20">
      <c r="A510" s="5" t="s">
        <v>36</v>
      </c>
      <c r="B510" s="5" t="s">
        <v>13838</v>
      </c>
      <c r="C510" s="4">
        <f>Controle_Pedidos[[#This Row],[Data Compra]]</f>
        <v>45629</v>
      </c>
      <c r="D510" s="4">
        <v>45629</v>
      </c>
      <c r="E510" s="5" t="s">
        <v>15933</v>
      </c>
      <c r="F510" s="5" t="s">
        <v>17923</v>
      </c>
      <c r="G510" s="5" t="s">
        <v>845</v>
      </c>
      <c r="H510" s="5">
        <v>1</v>
      </c>
      <c r="I510" s="8" t="s">
        <v>7663</v>
      </c>
      <c r="J510" s="8" t="s">
        <v>9712</v>
      </c>
      <c r="K510" s="8" t="s">
        <v>1509</v>
      </c>
      <c r="L510" s="8" t="s">
        <v>11763</v>
      </c>
      <c r="M510" s="8" t="s">
        <v>3559</v>
      </c>
      <c r="N510" s="8" t="s">
        <v>5610</v>
      </c>
      <c r="O510" s="5" t="s">
        <v>67</v>
      </c>
      <c r="P510" s="4">
        <v>45650</v>
      </c>
      <c r="Q510" s="15">
        <v>65.989999999999995</v>
      </c>
      <c r="R510" s="15">
        <v>19.399999999999999</v>
      </c>
      <c r="S510" s="15">
        <v>0</v>
      </c>
      <c r="T510"/>
    </row>
    <row r="511" spans="1:20">
      <c r="A511" s="5" t="s">
        <v>36</v>
      </c>
      <c r="B511" s="5" t="s">
        <v>13839</v>
      </c>
      <c r="C511" s="4">
        <f>Controle_Pedidos[[#This Row],[Data Compra]]</f>
        <v>45629</v>
      </c>
      <c r="D511" s="4">
        <v>45629</v>
      </c>
      <c r="E511" s="5" t="s">
        <v>15934</v>
      </c>
      <c r="F511" s="5" t="s">
        <v>17924</v>
      </c>
      <c r="G511" s="5" t="s">
        <v>849</v>
      </c>
      <c r="H511" s="5">
        <v>1</v>
      </c>
      <c r="I511" s="8" t="s">
        <v>7672</v>
      </c>
      <c r="J511" s="8" t="s">
        <v>9721</v>
      </c>
      <c r="K511" s="8" t="s">
        <v>1518</v>
      </c>
      <c r="L511" s="8" t="s">
        <v>11772</v>
      </c>
      <c r="M511" s="8" t="s">
        <v>3568</v>
      </c>
      <c r="N511" s="8" t="s">
        <v>5619</v>
      </c>
      <c r="O511" s="5" t="s">
        <v>61</v>
      </c>
      <c r="P511" s="4">
        <v>45650</v>
      </c>
      <c r="Q511" s="15">
        <v>65.989999999999995</v>
      </c>
      <c r="R511" s="15">
        <v>19.54</v>
      </c>
      <c r="S511" s="15">
        <v>0</v>
      </c>
      <c r="T511"/>
    </row>
    <row r="512" spans="1:20">
      <c r="A512" s="5" t="s">
        <v>36</v>
      </c>
      <c r="B512" s="5" t="s">
        <v>13840</v>
      </c>
      <c r="C512" s="4">
        <f>Controle_Pedidos[[#This Row],[Data Compra]]</f>
        <v>45629</v>
      </c>
      <c r="D512" s="4">
        <v>45629</v>
      </c>
      <c r="E512" s="5" t="s">
        <v>15935</v>
      </c>
      <c r="F512" s="5" t="s">
        <v>17925</v>
      </c>
      <c r="G512" s="5" t="s">
        <v>849</v>
      </c>
      <c r="H512" s="5">
        <v>1</v>
      </c>
      <c r="I512" s="8" t="s">
        <v>7673</v>
      </c>
      <c r="J512" s="8" t="s">
        <v>9722</v>
      </c>
      <c r="K512" s="8" t="s">
        <v>1519</v>
      </c>
      <c r="L512" s="8" t="s">
        <v>11773</v>
      </c>
      <c r="M512" s="8" t="s">
        <v>3569</v>
      </c>
      <c r="N512" s="8" t="s">
        <v>5620</v>
      </c>
      <c r="O512" s="5" t="s">
        <v>61</v>
      </c>
      <c r="P512" s="4">
        <v>45650</v>
      </c>
      <c r="Q512" s="15">
        <v>65.989999999999995</v>
      </c>
      <c r="R512" s="15">
        <v>25.94</v>
      </c>
      <c r="S512" s="15">
        <v>0</v>
      </c>
      <c r="T512"/>
    </row>
    <row r="513" spans="1:20">
      <c r="A513" s="5" t="s">
        <v>36</v>
      </c>
      <c r="B513" s="5" t="s">
        <v>13841</v>
      </c>
      <c r="C513" s="4">
        <f>Controle_Pedidos[[#This Row],[Data Compra]]</f>
        <v>45629</v>
      </c>
      <c r="D513" s="4">
        <v>45629</v>
      </c>
      <c r="E513" s="5" t="s">
        <v>15936</v>
      </c>
      <c r="F513" s="5" t="s">
        <v>17926</v>
      </c>
      <c r="G513" s="5" t="s">
        <v>849</v>
      </c>
      <c r="H513" s="5">
        <v>1</v>
      </c>
      <c r="I513" s="8" t="s">
        <v>7674</v>
      </c>
      <c r="J513" s="8" t="s">
        <v>9723</v>
      </c>
      <c r="K513" s="8" t="s">
        <v>1520</v>
      </c>
      <c r="L513" s="8" t="s">
        <v>11774</v>
      </c>
      <c r="M513" s="8" t="s">
        <v>3570</v>
      </c>
      <c r="N513" s="8" t="s">
        <v>5621</v>
      </c>
      <c r="O513" s="5" t="s">
        <v>61</v>
      </c>
      <c r="P513" s="4">
        <v>45667</v>
      </c>
      <c r="Q513" s="15">
        <v>65.989999999999995</v>
      </c>
      <c r="R513" s="15">
        <v>19.54</v>
      </c>
      <c r="S513" s="15">
        <v>0</v>
      </c>
      <c r="T513"/>
    </row>
    <row r="514" spans="1:20">
      <c r="A514" s="5" t="s">
        <v>36</v>
      </c>
      <c r="B514" s="5" t="s">
        <v>13842</v>
      </c>
      <c r="C514" s="4">
        <f>Controle_Pedidos[[#This Row],[Data Compra]]</f>
        <v>45629</v>
      </c>
      <c r="D514" s="4">
        <v>45629</v>
      </c>
      <c r="E514" s="5" t="s">
        <v>15937</v>
      </c>
      <c r="F514" s="5" t="s">
        <v>17927</v>
      </c>
      <c r="G514" s="5" t="s">
        <v>831</v>
      </c>
      <c r="H514" s="5">
        <v>1</v>
      </c>
      <c r="I514" s="8" t="s">
        <v>7675</v>
      </c>
      <c r="J514" s="8" t="s">
        <v>9724</v>
      </c>
      <c r="K514" s="8" t="s">
        <v>1521</v>
      </c>
      <c r="L514" s="8" t="s">
        <v>11775</v>
      </c>
      <c r="M514" s="8" t="s">
        <v>3571</v>
      </c>
      <c r="N514" s="8" t="s">
        <v>5622</v>
      </c>
      <c r="O514" s="5" t="s">
        <v>41</v>
      </c>
      <c r="P514" s="4">
        <v>45660</v>
      </c>
      <c r="Q514" s="15">
        <v>65.900000000000006</v>
      </c>
      <c r="R514" s="15">
        <v>26.11</v>
      </c>
      <c r="S514" s="15">
        <v>0</v>
      </c>
      <c r="T514"/>
    </row>
    <row r="515" spans="1:20">
      <c r="A515" s="5" t="s">
        <v>36</v>
      </c>
      <c r="B515" s="5" t="s">
        <v>13843</v>
      </c>
      <c r="C515" s="4">
        <f>Controle_Pedidos[[#This Row],[Data Compra]]</f>
        <v>45629</v>
      </c>
      <c r="D515" s="4">
        <v>45629</v>
      </c>
      <c r="E515" s="5" t="s">
        <v>15938</v>
      </c>
      <c r="F515" s="5" t="s">
        <v>17928</v>
      </c>
      <c r="G515" s="5" t="s">
        <v>845</v>
      </c>
      <c r="H515" s="5">
        <v>1</v>
      </c>
      <c r="I515" s="8" t="s">
        <v>7676</v>
      </c>
      <c r="J515" s="8" t="s">
        <v>9725</v>
      </c>
      <c r="K515" s="8" t="s">
        <v>1522</v>
      </c>
      <c r="L515" s="8" t="s">
        <v>11776</v>
      </c>
      <c r="M515" s="8" t="s">
        <v>3572</v>
      </c>
      <c r="N515" s="8" t="s">
        <v>5623</v>
      </c>
      <c r="O515" s="5" t="s">
        <v>67</v>
      </c>
      <c r="P515" s="4">
        <v>45650</v>
      </c>
      <c r="Q515" s="15">
        <v>65.989999999999995</v>
      </c>
      <c r="R515" s="15">
        <v>25.87</v>
      </c>
      <c r="S515" s="15">
        <v>0</v>
      </c>
      <c r="T515"/>
    </row>
    <row r="516" spans="1:20">
      <c r="A516" s="5" t="s">
        <v>36</v>
      </c>
      <c r="B516" s="5" t="s">
        <v>13844</v>
      </c>
      <c r="C516" s="4">
        <f>Controle_Pedidos[[#This Row],[Data Compra]]</f>
        <v>45630</v>
      </c>
      <c r="D516" s="4">
        <v>45630</v>
      </c>
      <c r="E516" s="5" t="s">
        <v>15939</v>
      </c>
      <c r="F516" s="5" t="s">
        <v>17929</v>
      </c>
      <c r="G516" s="5" t="s">
        <v>831</v>
      </c>
      <c r="H516" s="5">
        <v>1</v>
      </c>
      <c r="I516" s="8" t="s">
        <v>7677</v>
      </c>
      <c r="J516" s="8" t="s">
        <v>9726</v>
      </c>
      <c r="K516" s="8" t="s">
        <v>1523</v>
      </c>
      <c r="L516" s="8" t="s">
        <v>11777</v>
      </c>
      <c r="M516" s="8" t="s">
        <v>3573</v>
      </c>
      <c r="N516" s="8" t="s">
        <v>5624</v>
      </c>
      <c r="O516" s="5" t="s">
        <v>41</v>
      </c>
      <c r="P516" s="4">
        <v>45661</v>
      </c>
      <c r="Q516" s="15">
        <v>65.900000000000006</v>
      </c>
      <c r="R516" s="15">
        <v>21.95</v>
      </c>
      <c r="S516" s="15">
        <v>0</v>
      </c>
      <c r="T516"/>
    </row>
    <row r="517" spans="1:20">
      <c r="A517" s="5" t="s">
        <v>36</v>
      </c>
      <c r="B517" s="5" t="s">
        <v>13845</v>
      </c>
      <c r="C517" s="4">
        <f>Controle_Pedidos[[#This Row],[Data Compra]]</f>
        <v>45630</v>
      </c>
      <c r="D517" s="4">
        <v>45630</v>
      </c>
      <c r="E517" s="5" t="s">
        <v>15940</v>
      </c>
      <c r="F517" s="5" t="s">
        <v>17930</v>
      </c>
      <c r="G517" s="5" t="s">
        <v>849</v>
      </c>
      <c r="H517" s="5">
        <v>1</v>
      </c>
      <c r="I517" s="8" t="s">
        <v>7678</v>
      </c>
      <c r="J517" s="8" t="s">
        <v>9727</v>
      </c>
      <c r="K517" s="8" t="s">
        <v>1524</v>
      </c>
      <c r="L517" s="8" t="s">
        <v>11778</v>
      </c>
      <c r="M517" s="8" t="s">
        <v>3574</v>
      </c>
      <c r="N517" s="8" t="s">
        <v>5625</v>
      </c>
      <c r="O517" s="5" t="s">
        <v>61</v>
      </c>
      <c r="P517" s="4">
        <v>45653</v>
      </c>
      <c r="Q517" s="15">
        <v>65.989999999999995</v>
      </c>
      <c r="R517" s="15">
        <v>22.53</v>
      </c>
      <c r="S517" s="15">
        <v>0</v>
      </c>
      <c r="T517"/>
    </row>
    <row r="518" spans="1:20">
      <c r="A518" s="5" t="s">
        <v>36</v>
      </c>
      <c r="B518" s="5" t="s">
        <v>13846</v>
      </c>
      <c r="C518" s="4">
        <f>Controle_Pedidos[[#This Row],[Data Compra]]</f>
        <v>45630</v>
      </c>
      <c r="D518" s="4">
        <v>45630</v>
      </c>
      <c r="E518" s="5" t="s">
        <v>15941</v>
      </c>
      <c r="F518" s="5" t="s">
        <v>17931</v>
      </c>
      <c r="G518" s="5" t="s">
        <v>831</v>
      </c>
      <c r="H518" s="5">
        <v>1</v>
      </c>
      <c r="I518" s="8" t="s">
        <v>7679</v>
      </c>
      <c r="J518" s="8" t="s">
        <v>9728</v>
      </c>
      <c r="K518" s="8" t="s">
        <v>1525</v>
      </c>
      <c r="L518" s="8" t="s">
        <v>11779</v>
      </c>
      <c r="M518" s="8" t="s">
        <v>3575</v>
      </c>
      <c r="N518" s="8" t="s">
        <v>5626</v>
      </c>
      <c r="O518" s="5" t="s">
        <v>41</v>
      </c>
      <c r="P518" s="4">
        <v>45653</v>
      </c>
      <c r="Q518" s="15">
        <v>65.900000000000006</v>
      </c>
      <c r="R518" s="15">
        <v>21.95</v>
      </c>
      <c r="S518" s="15">
        <v>0</v>
      </c>
      <c r="T518"/>
    </row>
    <row r="519" spans="1:20">
      <c r="A519" s="5" t="s">
        <v>36</v>
      </c>
      <c r="B519" s="5" t="s">
        <v>13847</v>
      </c>
      <c r="C519" s="4">
        <f>Controle_Pedidos[[#This Row],[Data Compra]]</f>
        <v>45630</v>
      </c>
      <c r="D519" s="4">
        <v>45630</v>
      </c>
      <c r="E519" s="5" t="s">
        <v>15942</v>
      </c>
      <c r="F519" s="5" t="s">
        <v>17932</v>
      </c>
      <c r="G519" s="5" t="s">
        <v>849</v>
      </c>
      <c r="H519" s="5">
        <v>1</v>
      </c>
      <c r="I519" s="8" t="s">
        <v>7680</v>
      </c>
      <c r="J519" s="8" t="s">
        <v>9729</v>
      </c>
      <c r="K519" s="8" t="s">
        <v>1526</v>
      </c>
      <c r="L519" s="8" t="s">
        <v>11780</v>
      </c>
      <c r="M519" s="8" t="s">
        <v>3576</v>
      </c>
      <c r="N519" s="8" t="s">
        <v>5627</v>
      </c>
      <c r="O519" s="5" t="s">
        <v>61</v>
      </c>
      <c r="P519" s="4">
        <v>45661</v>
      </c>
      <c r="Q519" s="15">
        <v>65.989999999999995</v>
      </c>
      <c r="R519" s="15">
        <v>22.53</v>
      </c>
      <c r="S519" s="15">
        <v>0</v>
      </c>
      <c r="T519"/>
    </row>
    <row r="520" spans="1:20">
      <c r="A520" s="5" t="s">
        <v>36</v>
      </c>
      <c r="B520" s="5" t="s">
        <v>13848</v>
      </c>
      <c r="C520" s="4">
        <f>Controle_Pedidos[[#This Row],[Data Compra]]</f>
        <v>45630</v>
      </c>
      <c r="D520" s="4">
        <v>45630</v>
      </c>
      <c r="E520" s="5" t="s">
        <v>15943</v>
      </c>
      <c r="F520" s="5" t="s">
        <v>17933</v>
      </c>
      <c r="G520" s="5" t="s">
        <v>849</v>
      </c>
      <c r="H520" s="5">
        <v>1</v>
      </c>
      <c r="I520" s="8" t="s">
        <v>7681</v>
      </c>
      <c r="J520" s="8" t="s">
        <v>9730</v>
      </c>
      <c r="K520" s="8" t="s">
        <v>1527</v>
      </c>
      <c r="L520" s="8" t="s">
        <v>11781</v>
      </c>
      <c r="M520" s="8" t="s">
        <v>3577</v>
      </c>
      <c r="N520" s="8" t="s">
        <v>5628</v>
      </c>
      <c r="O520" s="5" t="s">
        <v>61</v>
      </c>
      <c r="P520" s="4">
        <v>45653</v>
      </c>
      <c r="Q520" s="15">
        <v>65.989999999999995</v>
      </c>
      <c r="R520" s="15">
        <v>22.53</v>
      </c>
      <c r="S520" s="15">
        <v>0</v>
      </c>
      <c r="T520"/>
    </row>
    <row r="521" spans="1:20">
      <c r="A521" s="5" t="s">
        <v>36</v>
      </c>
      <c r="B521" s="5" t="s">
        <v>13849</v>
      </c>
      <c r="C521" s="4">
        <f>Controle_Pedidos[[#This Row],[Data Compra]]</f>
        <v>45630</v>
      </c>
      <c r="D521" s="4">
        <v>45630</v>
      </c>
      <c r="E521" s="5" t="s">
        <v>15944</v>
      </c>
      <c r="F521" s="5" t="s">
        <v>17934</v>
      </c>
      <c r="G521" s="5" t="s">
        <v>849</v>
      </c>
      <c r="H521" s="5">
        <v>1</v>
      </c>
      <c r="I521" s="8" t="s">
        <v>7682</v>
      </c>
      <c r="J521" s="8" t="s">
        <v>9731</v>
      </c>
      <c r="K521" s="8" t="s">
        <v>1528</v>
      </c>
      <c r="L521" s="8" t="s">
        <v>11782</v>
      </c>
      <c r="M521" s="8" t="s">
        <v>3578</v>
      </c>
      <c r="N521" s="8" t="s">
        <v>5629</v>
      </c>
      <c r="O521" s="5" t="s">
        <v>61</v>
      </c>
      <c r="P521" s="4">
        <v>45668</v>
      </c>
      <c r="Q521" s="15">
        <v>65.989999999999995</v>
      </c>
      <c r="R521" s="15">
        <v>22.53</v>
      </c>
      <c r="S521" s="15">
        <v>0</v>
      </c>
      <c r="T521"/>
    </row>
    <row r="522" spans="1:20">
      <c r="A522" s="5" t="s">
        <v>36</v>
      </c>
      <c r="B522" s="5" t="s">
        <v>13850</v>
      </c>
      <c r="C522" s="4">
        <f>Controle_Pedidos[[#This Row],[Data Compra]]</f>
        <v>45630</v>
      </c>
      <c r="D522" s="4">
        <v>45630</v>
      </c>
      <c r="E522" s="5" t="s">
        <v>15945</v>
      </c>
      <c r="F522" s="5" t="s">
        <v>17935</v>
      </c>
      <c r="G522" s="5" t="s">
        <v>849</v>
      </c>
      <c r="H522" s="5">
        <v>1</v>
      </c>
      <c r="I522" s="8" t="s">
        <v>7683</v>
      </c>
      <c r="J522" s="8" t="s">
        <v>9732</v>
      </c>
      <c r="K522" s="8" t="s">
        <v>1529</v>
      </c>
      <c r="L522" s="8" t="s">
        <v>11783</v>
      </c>
      <c r="M522" s="8" t="s">
        <v>3579</v>
      </c>
      <c r="N522" s="8" t="s">
        <v>5630</v>
      </c>
      <c r="O522" s="5" t="s">
        <v>61</v>
      </c>
      <c r="P522" s="4">
        <v>45661</v>
      </c>
      <c r="Q522" s="15">
        <v>65.989999999999995</v>
      </c>
      <c r="R522" s="15">
        <v>22.53</v>
      </c>
      <c r="S522" s="15">
        <v>0</v>
      </c>
      <c r="T522"/>
    </row>
    <row r="523" spans="1:20">
      <c r="A523" s="5" t="s">
        <v>36</v>
      </c>
      <c r="B523" s="5" t="s">
        <v>13851</v>
      </c>
      <c r="C523" s="4">
        <f>Controle_Pedidos[[#This Row],[Data Compra]]</f>
        <v>45630</v>
      </c>
      <c r="D523" s="4">
        <v>45630</v>
      </c>
      <c r="E523" s="5" t="s">
        <v>15946</v>
      </c>
      <c r="F523" s="5" t="s">
        <v>17936</v>
      </c>
      <c r="G523" s="5" t="s">
        <v>845</v>
      </c>
      <c r="H523" s="5">
        <v>1</v>
      </c>
      <c r="I523" s="8" t="s">
        <v>7684</v>
      </c>
      <c r="J523" s="8" t="s">
        <v>9733</v>
      </c>
      <c r="K523" s="8" t="s">
        <v>1530</v>
      </c>
      <c r="L523" s="8" t="s">
        <v>11784</v>
      </c>
      <c r="M523" s="8" t="s">
        <v>3580</v>
      </c>
      <c r="N523" s="8" t="s">
        <v>5631</v>
      </c>
      <c r="O523" s="5" t="s">
        <v>67</v>
      </c>
      <c r="P523" s="4">
        <v>45661</v>
      </c>
      <c r="Q523" s="15">
        <v>65.989999999999995</v>
      </c>
      <c r="R523" s="15">
        <v>21.95</v>
      </c>
      <c r="S523" s="15">
        <v>0</v>
      </c>
      <c r="T523"/>
    </row>
    <row r="524" spans="1:20">
      <c r="A524" s="5" t="s">
        <v>36</v>
      </c>
      <c r="B524" s="5" t="s">
        <v>13852</v>
      </c>
      <c r="C524" s="4">
        <f>Controle_Pedidos[[#This Row],[Data Compra]]</f>
        <v>45632</v>
      </c>
      <c r="D524" s="4">
        <v>45632</v>
      </c>
      <c r="E524" s="5" t="s">
        <v>15947</v>
      </c>
      <c r="F524" s="5" t="s">
        <v>37</v>
      </c>
      <c r="G524" s="5" t="s">
        <v>845</v>
      </c>
      <c r="H524" s="5">
        <v>1</v>
      </c>
      <c r="I524" s="8" t="s">
        <v>7685</v>
      </c>
      <c r="J524" s="8" t="s">
        <v>9734</v>
      </c>
      <c r="K524" s="8" t="s">
        <v>1531</v>
      </c>
      <c r="L524" s="8" t="s">
        <v>11785</v>
      </c>
      <c r="M524" s="8" t="s">
        <v>3581</v>
      </c>
      <c r="N524" s="8" t="s">
        <v>5632</v>
      </c>
      <c r="O524" s="5" t="s">
        <v>67</v>
      </c>
      <c r="P524" s="4">
        <v>45654</v>
      </c>
      <c r="Q524" s="15">
        <v>65.989999999999995</v>
      </c>
      <c r="R524" s="15">
        <v>0</v>
      </c>
      <c r="S524" s="15">
        <v>0</v>
      </c>
      <c r="T524"/>
    </row>
    <row r="525" spans="1:20">
      <c r="A525" s="5" t="s">
        <v>36</v>
      </c>
      <c r="B525" s="5" t="s">
        <v>13853</v>
      </c>
      <c r="C525" s="4">
        <f>Controle_Pedidos[[#This Row],[Data Compra]]</f>
        <v>45632</v>
      </c>
      <c r="D525" s="4">
        <v>45632</v>
      </c>
      <c r="E525" s="5" t="s">
        <v>15948</v>
      </c>
      <c r="F525" s="5" t="s">
        <v>17937</v>
      </c>
      <c r="G525" s="5" t="s">
        <v>866</v>
      </c>
      <c r="H525" s="5">
        <v>1</v>
      </c>
      <c r="I525" s="8" t="s">
        <v>7686</v>
      </c>
      <c r="J525" s="8" t="s">
        <v>9735</v>
      </c>
      <c r="K525" s="8" t="s">
        <v>1532</v>
      </c>
      <c r="L525" s="8" t="s">
        <v>11786</v>
      </c>
      <c r="M525" s="8" t="s">
        <v>3582</v>
      </c>
      <c r="N525" s="8" t="s">
        <v>5633</v>
      </c>
      <c r="O525" s="5" t="s">
        <v>82</v>
      </c>
      <c r="P525" s="4">
        <v>45657</v>
      </c>
      <c r="Q525" s="15">
        <v>54.2</v>
      </c>
      <c r="R525" s="15">
        <v>0</v>
      </c>
      <c r="S525" s="15">
        <v>0</v>
      </c>
      <c r="T525"/>
    </row>
    <row r="526" spans="1:20">
      <c r="A526" s="5" t="s">
        <v>36</v>
      </c>
      <c r="B526" s="5" t="s">
        <v>13854</v>
      </c>
      <c r="C526" s="4">
        <f>Controle_Pedidos[[#This Row],[Data Compra]]</f>
        <v>45632</v>
      </c>
      <c r="D526" s="4">
        <v>45632</v>
      </c>
      <c r="E526" s="5" t="s">
        <v>15949</v>
      </c>
      <c r="F526" s="5" t="s">
        <v>17938</v>
      </c>
      <c r="G526" s="5" t="s">
        <v>824</v>
      </c>
      <c r="H526" s="5">
        <v>1</v>
      </c>
      <c r="I526" s="8" t="s">
        <v>7687</v>
      </c>
      <c r="J526" s="8" t="s">
        <v>9736</v>
      </c>
      <c r="K526" s="8" t="s">
        <v>1533</v>
      </c>
      <c r="L526" s="8" t="s">
        <v>11787</v>
      </c>
      <c r="M526" s="8" t="s">
        <v>3583</v>
      </c>
      <c r="N526" s="8" t="s">
        <v>5634</v>
      </c>
      <c r="O526" s="5" t="s">
        <v>38</v>
      </c>
      <c r="P526" s="4">
        <v>45665</v>
      </c>
      <c r="Q526" s="15">
        <v>18.899999999999999</v>
      </c>
      <c r="R526" s="15">
        <v>7.99</v>
      </c>
      <c r="S526" s="15">
        <v>0</v>
      </c>
      <c r="T526"/>
    </row>
    <row r="527" spans="1:20">
      <c r="A527" s="5" t="s">
        <v>36</v>
      </c>
      <c r="B527" s="5" t="s">
        <v>13855</v>
      </c>
      <c r="C527" s="4">
        <f>Controle_Pedidos[[#This Row],[Data Compra]]</f>
        <v>45632</v>
      </c>
      <c r="D527" s="4">
        <v>45632</v>
      </c>
      <c r="E527" s="5" t="s">
        <v>15950</v>
      </c>
      <c r="F527" s="5" t="s">
        <v>17939</v>
      </c>
      <c r="G527" s="5" t="s">
        <v>824</v>
      </c>
      <c r="H527" s="5">
        <v>1</v>
      </c>
      <c r="I527" s="8" t="s">
        <v>7688</v>
      </c>
      <c r="J527" s="8" t="s">
        <v>9737</v>
      </c>
      <c r="K527" s="8" t="s">
        <v>1534</v>
      </c>
      <c r="L527" s="8" t="s">
        <v>11788</v>
      </c>
      <c r="M527" s="8" t="s">
        <v>3584</v>
      </c>
      <c r="N527" s="8" t="s">
        <v>5635</v>
      </c>
      <c r="O527" s="5" t="s">
        <v>38</v>
      </c>
      <c r="P527" s="4">
        <v>45657</v>
      </c>
      <c r="Q527" s="15">
        <v>18.899999999999999</v>
      </c>
      <c r="R527" s="15">
        <v>7.99</v>
      </c>
      <c r="S527" s="15">
        <v>0</v>
      </c>
      <c r="T527"/>
    </row>
    <row r="528" spans="1:20">
      <c r="A528" s="5" t="s">
        <v>36</v>
      </c>
      <c r="B528" s="5" t="s">
        <v>13856</v>
      </c>
      <c r="C528" s="4">
        <f>Controle_Pedidos[[#This Row],[Data Compra]]</f>
        <v>45632</v>
      </c>
      <c r="D528" s="4">
        <v>45632</v>
      </c>
      <c r="E528" s="5" t="s">
        <v>15951</v>
      </c>
      <c r="F528" s="5" t="s">
        <v>17940</v>
      </c>
      <c r="G528" s="5" t="s">
        <v>831</v>
      </c>
      <c r="H528" s="5">
        <v>1</v>
      </c>
      <c r="I528" s="8" t="s">
        <v>7689</v>
      </c>
      <c r="J528" s="8" t="s">
        <v>9738</v>
      </c>
      <c r="K528" s="8" t="s">
        <v>1535</v>
      </c>
      <c r="L528" s="8" t="s">
        <v>11789</v>
      </c>
      <c r="M528" s="8" t="s">
        <v>3585</v>
      </c>
      <c r="N528" s="8" t="s">
        <v>5636</v>
      </c>
      <c r="O528" s="5" t="s">
        <v>41</v>
      </c>
      <c r="P528" s="4">
        <v>45657</v>
      </c>
      <c r="Q528" s="15">
        <v>39.799999999999997</v>
      </c>
      <c r="R528" s="15">
        <v>16.48</v>
      </c>
      <c r="S528" s="15">
        <v>0</v>
      </c>
      <c r="T528"/>
    </row>
    <row r="529" spans="1:20">
      <c r="A529" s="5" t="s">
        <v>36</v>
      </c>
      <c r="B529" s="5" t="s">
        <v>13857</v>
      </c>
      <c r="C529" s="4">
        <f>Controle_Pedidos[[#This Row],[Data Compra]]</f>
        <v>45632</v>
      </c>
      <c r="D529" s="4">
        <v>45632</v>
      </c>
      <c r="E529" s="5" t="s">
        <v>15952</v>
      </c>
      <c r="F529" s="5" t="s">
        <v>17941</v>
      </c>
      <c r="G529" s="5" t="s">
        <v>831</v>
      </c>
      <c r="H529" s="5">
        <v>1</v>
      </c>
      <c r="I529" s="8" t="s">
        <v>7690</v>
      </c>
      <c r="J529" s="8" t="s">
        <v>9739</v>
      </c>
      <c r="K529" s="8" t="s">
        <v>1536</v>
      </c>
      <c r="L529" s="8" t="s">
        <v>11790</v>
      </c>
      <c r="M529" s="8" t="s">
        <v>3586</v>
      </c>
      <c r="N529" s="8" t="s">
        <v>5637</v>
      </c>
      <c r="O529" s="5" t="s">
        <v>41</v>
      </c>
      <c r="P529" s="4">
        <v>45665</v>
      </c>
      <c r="Q529" s="15">
        <v>39.799999999999997</v>
      </c>
      <c r="R529" s="15">
        <v>16.48</v>
      </c>
      <c r="S529" s="15">
        <v>0</v>
      </c>
      <c r="T529"/>
    </row>
    <row r="530" spans="1:20">
      <c r="A530" s="5" t="s">
        <v>36</v>
      </c>
      <c r="B530" s="5" t="s">
        <v>13858</v>
      </c>
      <c r="C530" s="4">
        <f>Controle_Pedidos[[#This Row],[Data Compra]]</f>
        <v>45632</v>
      </c>
      <c r="D530" s="4">
        <v>45632</v>
      </c>
      <c r="E530" s="5" t="s">
        <v>15953</v>
      </c>
      <c r="F530" s="5" t="s">
        <v>17942</v>
      </c>
      <c r="G530" s="5" t="s">
        <v>849</v>
      </c>
      <c r="H530" s="5">
        <v>1</v>
      </c>
      <c r="I530" s="8" t="s">
        <v>7691</v>
      </c>
      <c r="J530" s="8" t="s">
        <v>9740</v>
      </c>
      <c r="K530" s="8" t="s">
        <v>1537</v>
      </c>
      <c r="L530" s="8" t="s">
        <v>11791</v>
      </c>
      <c r="M530" s="8" t="s">
        <v>3587</v>
      </c>
      <c r="N530" s="8" t="s">
        <v>5638</v>
      </c>
      <c r="O530" s="5" t="s">
        <v>61</v>
      </c>
      <c r="P530" s="4">
        <v>45657</v>
      </c>
      <c r="Q530" s="15">
        <v>65.7</v>
      </c>
      <c r="R530" s="15">
        <v>27.89</v>
      </c>
      <c r="S530" s="15">
        <v>0</v>
      </c>
      <c r="T530"/>
    </row>
    <row r="531" spans="1:20">
      <c r="A531" s="5" t="s">
        <v>36</v>
      </c>
      <c r="B531" s="5" t="s">
        <v>13859</v>
      </c>
      <c r="C531" s="4">
        <f>Controle_Pedidos[[#This Row],[Data Compra]]</f>
        <v>45632</v>
      </c>
      <c r="D531" s="4">
        <v>45632</v>
      </c>
      <c r="E531" s="5" t="s">
        <v>15954</v>
      </c>
      <c r="F531" s="5" t="s">
        <v>17943</v>
      </c>
      <c r="G531" s="5" t="s">
        <v>831</v>
      </c>
      <c r="H531" s="5">
        <v>1</v>
      </c>
      <c r="I531" s="8" t="s">
        <v>7692</v>
      </c>
      <c r="J531" s="8" t="s">
        <v>9741</v>
      </c>
      <c r="K531" s="8" t="s">
        <v>1538</v>
      </c>
      <c r="L531" s="8" t="s">
        <v>11792</v>
      </c>
      <c r="M531" s="8" t="s">
        <v>3588</v>
      </c>
      <c r="N531" s="8" t="s">
        <v>5639</v>
      </c>
      <c r="O531" s="5" t="s">
        <v>41</v>
      </c>
      <c r="P531" s="4">
        <v>45672</v>
      </c>
      <c r="Q531" s="15">
        <v>42.8</v>
      </c>
      <c r="R531" s="15">
        <v>23.73</v>
      </c>
      <c r="S531" s="15">
        <v>0</v>
      </c>
      <c r="T531"/>
    </row>
    <row r="532" spans="1:20">
      <c r="A532" s="5" t="s">
        <v>36</v>
      </c>
      <c r="B532" s="5" t="s">
        <v>13860</v>
      </c>
      <c r="C532" s="4">
        <f>Controle_Pedidos[[#This Row],[Data Compra]]</f>
        <v>45632</v>
      </c>
      <c r="D532" s="4">
        <v>45632</v>
      </c>
      <c r="E532" s="5" t="s">
        <v>15955</v>
      </c>
      <c r="F532" s="5" t="s">
        <v>17944</v>
      </c>
      <c r="G532" s="5" t="s">
        <v>848</v>
      </c>
      <c r="H532" s="5">
        <v>1</v>
      </c>
      <c r="I532" s="8" t="s">
        <v>7693</v>
      </c>
      <c r="J532" s="8" t="s">
        <v>9742</v>
      </c>
      <c r="K532" s="8" t="s">
        <v>1539</v>
      </c>
      <c r="L532" s="8" t="s">
        <v>11793</v>
      </c>
      <c r="M532" s="8" t="s">
        <v>3589</v>
      </c>
      <c r="N532" s="8" t="s">
        <v>5640</v>
      </c>
      <c r="O532" s="5" t="s">
        <v>76</v>
      </c>
      <c r="P532" s="4">
        <v>45665</v>
      </c>
      <c r="Q532" s="15">
        <v>56.99</v>
      </c>
      <c r="R532" s="15">
        <v>18.23</v>
      </c>
      <c r="S532" s="15">
        <v>0</v>
      </c>
      <c r="T532"/>
    </row>
    <row r="533" spans="1:20">
      <c r="A533" s="5" t="s">
        <v>36</v>
      </c>
      <c r="B533" s="5" t="s">
        <v>13861</v>
      </c>
      <c r="C533" s="4">
        <f>Controle_Pedidos[[#This Row],[Data Compra]]</f>
        <v>45632</v>
      </c>
      <c r="D533" s="4">
        <v>45632</v>
      </c>
      <c r="E533" s="5" t="s">
        <v>15956</v>
      </c>
      <c r="F533" s="5" t="s">
        <v>17945</v>
      </c>
      <c r="G533" s="5" t="s">
        <v>845</v>
      </c>
      <c r="H533" s="5">
        <v>1</v>
      </c>
      <c r="I533" s="8" t="s">
        <v>7694</v>
      </c>
      <c r="J533" s="8" t="s">
        <v>9743</v>
      </c>
      <c r="K533" s="8" t="s">
        <v>1540</v>
      </c>
      <c r="L533" s="8" t="s">
        <v>11794</v>
      </c>
      <c r="M533" s="8" t="s">
        <v>3590</v>
      </c>
      <c r="N533" s="8" t="s">
        <v>5641</v>
      </c>
      <c r="O533" s="5" t="s">
        <v>67</v>
      </c>
      <c r="P533" s="4">
        <v>45657</v>
      </c>
      <c r="Q533" s="15">
        <v>65.7</v>
      </c>
      <c r="R533" s="15">
        <v>26.62</v>
      </c>
      <c r="S533" s="15">
        <v>0</v>
      </c>
      <c r="T533"/>
    </row>
    <row r="534" spans="1:20">
      <c r="A534" s="5" t="s">
        <v>36</v>
      </c>
      <c r="B534" s="5" t="s">
        <v>13862</v>
      </c>
      <c r="C534" s="4">
        <f>Controle_Pedidos[[#This Row],[Data Compra]]</f>
        <v>45632</v>
      </c>
      <c r="D534" s="4">
        <v>45632</v>
      </c>
      <c r="E534" s="5" t="s">
        <v>15957</v>
      </c>
      <c r="F534" s="5" t="s">
        <v>17946</v>
      </c>
      <c r="G534" s="5" t="s">
        <v>831</v>
      </c>
      <c r="H534" s="5">
        <v>1</v>
      </c>
      <c r="I534" s="8" t="s">
        <v>7695</v>
      </c>
      <c r="J534" s="8" t="s">
        <v>9744</v>
      </c>
      <c r="K534" s="8" t="s">
        <v>1541</v>
      </c>
      <c r="L534" s="8" t="s">
        <v>11795</v>
      </c>
      <c r="M534" s="8" t="s">
        <v>3591</v>
      </c>
      <c r="N534" s="8" t="s">
        <v>5642</v>
      </c>
      <c r="O534" s="5" t="s">
        <v>41</v>
      </c>
      <c r="P534" s="4">
        <v>45672</v>
      </c>
      <c r="Q534" s="15">
        <v>42.8</v>
      </c>
      <c r="R534" s="15">
        <v>23.73</v>
      </c>
      <c r="S534" s="15">
        <v>0</v>
      </c>
      <c r="T534"/>
    </row>
    <row r="535" spans="1:20">
      <c r="A535" s="5" t="s">
        <v>36</v>
      </c>
      <c r="B535" s="5" t="s">
        <v>13863</v>
      </c>
      <c r="C535" s="4">
        <f>Controle_Pedidos[[#This Row],[Data Compra]]</f>
        <v>45635</v>
      </c>
      <c r="D535" s="4">
        <v>45635</v>
      </c>
      <c r="E535" s="5" t="s">
        <v>15958</v>
      </c>
      <c r="F535" s="5" t="s">
        <v>17947</v>
      </c>
      <c r="G535" s="5" t="s">
        <v>849</v>
      </c>
      <c r="H535" s="5">
        <v>1</v>
      </c>
      <c r="I535" s="8" t="s">
        <v>7696</v>
      </c>
      <c r="J535" s="8" t="s">
        <v>9745</v>
      </c>
      <c r="K535" s="8" t="s">
        <v>1542</v>
      </c>
      <c r="L535" s="8" t="s">
        <v>11796</v>
      </c>
      <c r="M535" s="8" t="s">
        <v>3592</v>
      </c>
      <c r="N535" s="8" t="s">
        <v>5643</v>
      </c>
      <c r="O535" s="5" t="s">
        <v>61</v>
      </c>
      <c r="P535" s="4">
        <v>45657</v>
      </c>
      <c r="Q535" s="15">
        <v>100</v>
      </c>
      <c r="R535" s="15">
        <v>19.690000000000001</v>
      </c>
      <c r="S535" s="15">
        <v>0</v>
      </c>
      <c r="T535"/>
    </row>
    <row r="536" spans="1:20">
      <c r="A536" s="5" t="s">
        <v>36</v>
      </c>
      <c r="B536" s="5" t="s">
        <v>13864</v>
      </c>
      <c r="C536" s="4">
        <f>Controle_Pedidos[[#This Row],[Data Compra]]</f>
        <v>45635</v>
      </c>
      <c r="D536" s="4">
        <v>45635</v>
      </c>
      <c r="E536" s="5" t="s">
        <v>15959</v>
      </c>
      <c r="F536" s="5" t="s">
        <v>17948</v>
      </c>
      <c r="G536" s="5" t="s">
        <v>849</v>
      </c>
      <c r="H536" s="5">
        <v>1</v>
      </c>
      <c r="I536" s="8" t="s">
        <v>7697</v>
      </c>
      <c r="J536" s="8" t="s">
        <v>9746</v>
      </c>
      <c r="K536" s="8" t="s">
        <v>1543</v>
      </c>
      <c r="L536" s="8" t="s">
        <v>11797</v>
      </c>
      <c r="M536" s="8" t="s">
        <v>3593</v>
      </c>
      <c r="N536" s="8" t="s">
        <v>5644</v>
      </c>
      <c r="O536" s="5" t="s">
        <v>61</v>
      </c>
      <c r="P536" s="4">
        <v>45666</v>
      </c>
      <c r="Q536" s="15">
        <v>65.599999999999994</v>
      </c>
      <c r="R536" s="15">
        <v>19.690000000000001</v>
      </c>
      <c r="S536" s="15">
        <v>0</v>
      </c>
      <c r="T536"/>
    </row>
    <row r="537" spans="1:20">
      <c r="A537" s="5" t="s">
        <v>36</v>
      </c>
      <c r="B537" s="5" t="s">
        <v>13865</v>
      </c>
      <c r="C537" s="4">
        <f>Controle_Pedidos[[#This Row],[Data Compra]]</f>
        <v>45635</v>
      </c>
      <c r="D537" s="4">
        <v>45635</v>
      </c>
      <c r="E537" s="5" t="s">
        <v>15960</v>
      </c>
      <c r="F537" s="5" t="s">
        <v>17949</v>
      </c>
      <c r="G537" s="5" t="s">
        <v>826</v>
      </c>
      <c r="H537" s="5">
        <v>1</v>
      </c>
      <c r="I537" s="8" t="s">
        <v>7698</v>
      </c>
      <c r="J537" s="8" t="s">
        <v>9747</v>
      </c>
      <c r="K537" s="8" t="s">
        <v>1544</v>
      </c>
      <c r="L537" s="8" t="s">
        <v>11798</v>
      </c>
      <c r="M537" s="8" t="s">
        <v>3594</v>
      </c>
      <c r="N537" s="8" t="s">
        <v>5645</v>
      </c>
      <c r="O537" s="5" t="s">
        <v>42</v>
      </c>
      <c r="P537" s="4">
        <v>45654</v>
      </c>
      <c r="Q537" s="15">
        <v>17.899999999999999</v>
      </c>
      <c r="R537" s="15">
        <v>6.99</v>
      </c>
      <c r="S537" s="15">
        <v>0</v>
      </c>
      <c r="T537"/>
    </row>
    <row r="538" spans="1:20">
      <c r="A538" s="5" t="s">
        <v>36</v>
      </c>
      <c r="B538" s="5" t="s">
        <v>13866</v>
      </c>
      <c r="C538" s="4">
        <f>Controle_Pedidos[[#This Row],[Data Compra]]</f>
        <v>45635</v>
      </c>
      <c r="D538" s="4">
        <v>45635</v>
      </c>
      <c r="E538" s="5" t="s">
        <v>15961</v>
      </c>
      <c r="F538" s="5" t="s">
        <v>17950</v>
      </c>
      <c r="G538" s="5" t="s">
        <v>845</v>
      </c>
      <c r="H538" s="5">
        <v>1</v>
      </c>
      <c r="I538" s="8" t="s">
        <v>7699</v>
      </c>
      <c r="J538" s="8" t="s">
        <v>9748</v>
      </c>
      <c r="K538" s="8" t="s">
        <v>1545</v>
      </c>
      <c r="L538" s="8" t="s">
        <v>11799</v>
      </c>
      <c r="M538" s="8" t="s">
        <v>3595</v>
      </c>
      <c r="N538" s="8" t="s">
        <v>5646</v>
      </c>
      <c r="O538" s="5" t="s">
        <v>67</v>
      </c>
      <c r="P538" s="4">
        <v>45666</v>
      </c>
      <c r="Q538" s="15">
        <v>65.599999999999994</v>
      </c>
      <c r="R538" s="15">
        <v>19.62</v>
      </c>
      <c r="S538" s="15">
        <v>0</v>
      </c>
      <c r="T538"/>
    </row>
    <row r="539" spans="1:20">
      <c r="A539" s="5" t="s">
        <v>36</v>
      </c>
      <c r="B539" s="5" t="s">
        <v>13867</v>
      </c>
      <c r="C539" s="4">
        <f>Controle_Pedidos[[#This Row],[Data Compra]]</f>
        <v>45635</v>
      </c>
      <c r="D539" s="4">
        <v>45635</v>
      </c>
      <c r="E539" s="5" t="s">
        <v>15962</v>
      </c>
      <c r="F539" s="5" t="s">
        <v>17951</v>
      </c>
      <c r="G539" s="5" t="s">
        <v>831</v>
      </c>
      <c r="H539" s="5">
        <v>1</v>
      </c>
      <c r="I539" s="8" t="s">
        <v>7700</v>
      </c>
      <c r="J539" s="8" t="s">
        <v>9749</v>
      </c>
      <c r="K539" s="8" t="s">
        <v>1546</v>
      </c>
      <c r="L539" s="8" t="s">
        <v>11800</v>
      </c>
      <c r="M539" s="8" t="s">
        <v>3596</v>
      </c>
      <c r="N539" s="8" t="s">
        <v>5647</v>
      </c>
      <c r="O539" s="5" t="s">
        <v>41</v>
      </c>
      <c r="P539" s="4">
        <v>45673</v>
      </c>
      <c r="Q539" s="15">
        <v>54.8</v>
      </c>
      <c r="R539" s="15">
        <v>13.75</v>
      </c>
      <c r="S539" s="15">
        <v>0</v>
      </c>
      <c r="T539"/>
    </row>
    <row r="540" spans="1:20">
      <c r="A540" s="5" t="s">
        <v>36</v>
      </c>
      <c r="B540" s="5" t="s">
        <v>13868</v>
      </c>
      <c r="C540" s="4">
        <f>Controle_Pedidos[[#This Row],[Data Compra]]</f>
        <v>45635</v>
      </c>
      <c r="D540" s="4">
        <v>45635</v>
      </c>
      <c r="E540" s="5" t="s">
        <v>15963</v>
      </c>
      <c r="F540" s="5" t="s">
        <v>17952</v>
      </c>
      <c r="G540" s="5" t="s">
        <v>849</v>
      </c>
      <c r="H540" s="5">
        <v>1</v>
      </c>
      <c r="I540" s="8" t="s">
        <v>7701</v>
      </c>
      <c r="J540" s="8" t="s">
        <v>9750</v>
      </c>
      <c r="K540" s="8" t="s">
        <v>1547</v>
      </c>
      <c r="L540" s="8" t="s">
        <v>11801</v>
      </c>
      <c r="M540" s="8" t="s">
        <v>3597</v>
      </c>
      <c r="N540" s="8" t="s">
        <v>5648</v>
      </c>
      <c r="O540" s="5" t="s">
        <v>61</v>
      </c>
      <c r="P540" s="4">
        <v>45660</v>
      </c>
      <c r="Q540" s="15">
        <v>65.599999999999994</v>
      </c>
      <c r="R540" s="15">
        <v>19.690000000000001</v>
      </c>
      <c r="S540" s="15">
        <v>0</v>
      </c>
      <c r="T540"/>
    </row>
    <row r="541" spans="1:20">
      <c r="A541" s="5" t="s">
        <v>36</v>
      </c>
      <c r="B541" s="5" t="s">
        <v>13869</v>
      </c>
      <c r="C541" s="4">
        <f>Controle_Pedidos[[#This Row],[Data Compra]]</f>
        <v>45636</v>
      </c>
      <c r="D541" s="4">
        <v>45636</v>
      </c>
      <c r="E541" s="5" t="s">
        <v>15964</v>
      </c>
      <c r="F541" s="5" t="s">
        <v>17953</v>
      </c>
      <c r="G541" s="5" t="s">
        <v>849</v>
      </c>
      <c r="H541" s="5">
        <v>1</v>
      </c>
      <c r="I541" s="8" t="s">
        <v>7702</v>
      </c>
      <c r="J541" s="8" t="s">
        <v>9751</v>
      </c>
      <c r="K541" s="8" t="s">
        <v>1548</v>
      </c>
      <c r="L541" s="8" t="s">
        <v>11802</v>
      </c>
      <c r="M541" s="8" t="s">
        <v>3598</v>
      </c>
      <c r="N541" s="8" t="s">
        <v>5649</v>
      </c>
      <c r="O541" s="5" t="s">
        <v>61</v>
      </c>
      <c r="P541" s="4">
        <v>45667</v>
      </c>
      <c r="Q541" s="15">
        <v>65.599999999999994</v>
      </c>
      <c r="R541" s="15">
        <v>19.809999999999999</v>
      </c>
      <c r="S541" s="15">
        <v>0</v>
      </c>
      <c r="T541"/>
    </row>
    <row r="542" spans="1:20">
      <c r="A542" s="5" t="s">
        <v>36</v>
      </c>
      <c r="B542" s="5" t="s">
        <v>13870</v>
      </c>
      <c r="C542" s="4">
        <f>Controle_Pedidos[[#This Row],[Data Compra]]</f>
        <v>45636</v>
      </c>
      <c r="D542" s="4">
        <v>45636</v>
      </c>
      <c r="E542" s="5" t="s">
        <v>15965</v>
      </c>
      <c r="F542" s="5" t="s">
        <v>17954</v>
      </c>
      <c r="G542" s="5" t="s">
        <v>852</v>
      </c>
      <c r="H542" s="5">
        <v>1</v>
      </c>
      <c r="I542" s="8" t="s">
        <v>7703</v>
      </c>
      <c r="J542" s="8" t="s">
        <v>9752</v>
      </c>
      <c r="K542" s="8" t="s">
        <v>1549</v>
      </c>
      <c r="L542" s="8" t="s">
        <v>11803</v>
      </c>
      <c r="M542" s="8" t="s">
        <v>3599</v>
      </c>
      <c r="N542" s="8" t="s">
        <v>5650</v>
      </c>
      <c r="O542" s="5" t="s">
        <v>68</v>
      </c>
      <c r="P542" s="4">
        <v>45667</v>
      </c>
      <c r="Q542" s="15">
        <v>18.989999999999998</v>
      </c>
      <c r="R542" s="15">
        <v>8.0399999999999991</v>
      </c>
      <c r="S542" s="15">
        <v>0</v>
      </c>
      <c r="T542"/>
    </row>
    <row r="543" spans="1:20">
      <c r="A543" s="5" t="s">
        <v>36</v>
      </c>
      <c r="B543" s="5" t="s">
        <v>13871</v>
      </c>
      <c r="C543" s="4">
        <f>Controle_Pedidos[[#This Row],[Data Compra]]</f>
        <v>45636</v>
      </c>
      <c r="D543" s="4">
        <v>45636</v>
      </c>
      <c r="E543" s="5" t="s">
        <v>15966</v>
      </c>
      <c r="F543" s="5" t="s">
        <v>17955</v>
      </c>
      <c r="G543" s="5" t="s">
        <v>849</v>
      </c>
      <c r="H543" s="5">
        <v>1</v>
      </c>
      <c r="I543" s="8" t="s">
        <v>7704</v>
      </c>
      <c r="J543" s="8" t="s">
        <v>9753</v>
      </c>
      <c r="K543" s="8" t="s">
        <v>1550</v>
      </c>
      <c r="L543" s="8" t="s">
        <v>11804</v>
      </c>
      <c r="M543" s="8" t="s">
        <v>3600</v>
      </c>
      <c r="N543" s="8" t="s">
        <v>5651</v>
      </c>
      <c r="O543" s="5" t="s">
        <v>61</v>
      </c>
      <c r="P543" s="4">
        <v>45667</v>
      </c>
      <c r="Q543" s="15">
        <v>65.599999999999994</v>
      </c>
      <c r="R543" s="15">
        <v>19.809999999999999</v>
      </c>
      <c r="S543" s="15">
        <v>0</v>
      </c>
      <c r="T543"/>
    </row>
    <row r="544" spans="1:20">
      <c r="A544" s="5" t="s">
        <v>36</v>
      </c>
      <c r="B544" s="5" t="s">
        <v>13872</v>
      </c>
      <c r="C544" s="4">
        <f>Controle_Pedidos[[#This Row],[Data Compra]]</f>
        <v>45637</v>
      </c>
      <c r="D544" s="4">
        <v>45637</v>
      </c>
      <c r="E544" s="5" t="s">
        <v>15967</v>
      </c>
      <c r="F544" s="5" t="s">
        <v>17956</v>
      </c>
      <c r="G544" s="5" t="s">
        <v>849</v>
      </c>
      <c r="H544" s="5">
        <v>1</v>
      </c>
      <c r="I544" s="8" t="s">
        <v>7705</v>
      </c>
      <c r="J544" s="8" t="s">
        <v>9754</v>
      </c>
      <c r="K544" s="8" t="s">
        <v>1551</v>
      </c>
      <c r="L544" s="8" t="s">
        <v>11805</v>
      </c>
      <c r="M544" s="8" t="s">
        <v>3601</v>
      </c>
      <c r="N544" s="8" t="s">
        <v>5652</v>
      </c>
      <c r="O544" s="5" t="s">
        <v>61</v>
      </c>
      <c r="P544" s="4">
        <v>45664</v>
      </c>
      <c r="Q544" s="15">
        <v>65.599999999999994</v>
      </c>
      <c r="R544" s="15">
        <v>19.809999999999999</v>
      </c>
      <c r="S544" s="15">
        <v>0</v>
      </c>
      <c r="T544"/>
    </row>
    <row r="545" spans="1:20">
      <c r="A545" s="5" t="s">
        <v>36</v>
      </c>
      <c r="B545" s="5" t="s">
        <v>13873</v>
      </c>
      <c r="C545" s="4">
        <f>Controle_Pedidos[[#This Row],[Data Compra]]</f>
        <v>45637</v>
      </c>
      <c r="D545" s="4">
        <v>45637</v>
      </c>
      <c r="E545" s="5" t="s">
        <v>15968</v>
      </c>
      <c r="F545" s="5" t="s">
        <v>17957</v>
      </c>
      <c r="G545" s="5" t="s">
        <v>852</v>
      </c>
      <c r="H545" s="5">
        <v>1</v>
      </c>
      <c r="I545" s="8" t="s">
        <v>7706</v>
      </c>
      <c r="J545" s="8" t="s">
        <v>9755</v>
      </c>
      <c r="K545" s="8" t="s">
        <v>1552</v>
      </c>
      <c r="L545" s="8" t="s">
        <v>11806</v>
      </c>
      <c r="M545" s="8" t="s">
        <v>3602</v>
      </c>
      <c r="N545" s="8" t="s">
        <v>5653</v>
      </c>
      <c r="O545" s="5" t="s">
        <v>68</v>
      </c>
      <c r="P545" s="4">
        <v>45668</v>
      </c>
      <c r="Q545" s="15">
        <v>18.989999999999998</v>
      </c>
      <c r="R545" s="15">
        <v>8.0399999999999991</v>
      </c>
      <c r="S545" s="15">
        <v>0</v>
      </c>
      <c r="T545"/>
    </row>
    <row r="546" spans="1:20">
      <c r="A546" s="5" t="s">
        <v>36</v>
      </c>
      <c r="B546" s="5" t="s">
        <v>13874</v>
      </c>
      <c r="C546" s="4">
        <f>Controle_Pedidos[[#This Row],[Data Compra]]</f>
        <v>45637</v>
      </c>
      <c r="D546" s="4">
        <v>45637</v>
      </c>
      <c r="E546" s="5" t="s">
        <v>15969</v>
      </c>
      <c r="F546" s="5" t="s">
        <v>17958</v>
      </c>
      <c r="G546" s="5" t="s">
        <v>852</v>
      </c>
      <c r="H546" s="5">
        <v>1</v>
      </c>
      <c r="I546" s="8" t="s">
        <v>7707</v>
      </c>
      <c r="J546" s="8" t="s">
        <v>9756</v>
      </c>
      <c r="K546" s="8" t="s">
        <v>1553</v>
      </c>
      <c r="L546" s="8" t="s">
        <v>11807</v>
      </c>
      <c r="M546" s="8" t="s">
        <v>3603</v>
      </c>
      <c r="N546" s="8" t="s">
        <v>5654</v>
      </c>
      <c r="O546" s="5" t="s">
        <v>68</v>
      </c>
      <c r="P546" s="4">
        <v>45664</v>
      </c>
      <c r="Q546" s="15">
        <v>18.989999999999998</v>
      </c>
      <c r="R546" s="15">
        <v>8.0399999999999991</v>
      </c>
      <c r="S546" s="15">
        <v>0</v>
      </c>
      <c r="T546"/>
    </row>
    <row r="547" spans="1:20">
      <c r="A547" s="5" t="s">
        <v>36</v>
      </c>
      <c r="B547" s="5" t="s">
        <v>13875</v>
      </c>
      <c r="C547" s="4">
        <f>Controle_Pedidos[[#This Row],[Data Compra]]</f>
        <v>45637</v>
      </c>
      <c r="D547" s="4">
        <v>45637</v>
      </c>
      <c r="E547" s="5" t="s">
        <v>15970</v>
      </c>
      <c r="F547" s="5" t="s">
        <v>17959</v>
      </c>
      <c r="G547" s="5" t="s">
        <v>831</v>
      </c>
      <c r="H547" s="5">
        <v>1</v>
      </c>
      <c r="I547" s="8" t="s">
        <v>7708</v>
      </c>
      <c r="J547" s="8" t="s">
        <v>9757</v>
      </c>
      <c r="K547" s="8" t="s">
        <v>1554</v>
      </c>
      <c r="L547" s="8" t="s">
        <v>11808</v>
      </c>
      <c r="M547" s="8" t="s">
        <v>3604</v>
      </c>
      <c r="N547" s="8" t="s">
        <v>5655</v>
      </c>
      <c r="O547" s="5" t="s">
        <v>41</v>
      </c>
      <c r="P547" s="4">
        <v>45664</v>
      </c>
      <c r="Q547" s="15">
        <v>54.8</v>
      </c>
      <c r="R547" s="15">
        <v>13.87</v>
      </c>
      <c r="S547" s="15">
        <v>0</v>
      </c>
      <c r="T547"/>
    </row>
    <row r="548" spans="1:20">
      <c r="A548" s="5" t="s">
        <v>36</v>
      </c>
      <c r="B548" s="5" t="s">
        <v>13876</v>
      </c>
      <c r="C548" s="4">
        <f>Controle_Pedidos[[#This Row],[Data Compra]]</f>
        <v>45637</v>
      </c>
      <c r="D548" s="4">
        <v>45637</v>
      </c>
      <c r="E548" s="5" t="s">
        <v>15971</v>
      </c>
      <c r="F548" s="5" t="s">
        <v>17960</v>
      </c>
      <c r="G548" s="5" t="s">
        <v>831</v>
      </c>
      <c r="H548" s="5">
        <v>1</v>
      </c>
      <c r="I548" s="8" t="s">
        <v>7709</v>
      </c>
      <c r="J548" s="8" t="s">
        <v>9758</v>
      </c>
      <c r="K548" s="8" t="s">
        <v>1555</v>
      </c>
      <c r="L548" s="8" t="s">
        <v>11809</v>
      </c>
      <c r="M548" s="8" t="s">
        <v>3605</v>
      </c>
      <c r="N548" s="8" t="s">
        <v>5656</v>
      </c>
      <c r="O548" s="5" t="s">
        <v>41</v>
      </c>
      <c r="P548" s="4">
        <v>45675</v>
      </c>
      <c r="Q548" s="15">
        <v>54.8</v>
      </c>
      <c r="R548" s="15">
        <v>13.87</v>
      </c>
      <c r="S548" s="15">
        <v>0</v>
      </c>
      <c r="T548"/>
    </row>
    <row r="549" spans="1:20">
      <c r="A549" s="5" t="s">
        <v>36</v>
      </c>
      <c r="B549" s="5" t="s">
        <v>13877</v>
      </c>
      <c r="C549" s="4">
        <f>Controle_Pedidos[[#This Row],[Data Compra]]</f>
        <v>45637</v>
      </c>
      <c r="D549" s="4">
        <v>45637</v>
      </c>
      <c r="E549" s="5" t="s">
        <v>15972</v>
      </c>
      <c r="F549" s="5" t="s">
        <v>17961</v>
      </c>
      <c r="G549" s="5" t="s">
        <v>849</v>
      </c>
      <c r="H549" s="5">
        <v>1</v>
      </c>
      <c r="I549" s="8" t="s">
        <v>7710</v>
      </c>
      <c r="J549" s="8" t="s">
        <v>9759</v>
      </c>
      <c r="K549" s="8" t="s">
        <v>1556</v>
      </c>
      <c r="L549" s="8" t="s">
        <v>11810</v>
      </c>
      <c r="M549" s="8" t="s">
        <v>3606</v>
      </c>
      <c r="N549" s="8" t="s">
        <v>5657</v>
      </c>
      <c r="O549" s="5" t="s">
        <v>61</v>
      </c>
      <c r="P549" s="4">
        <v>45664</v>
      </c>
      <c r="Q549" s="15">
        <v>65.599999999999994</v>
      </c>
      <c r="R549" s="15">
        <v>19.809999999999999</v>
      </c>
      <c r="S549" s="15">
        <v>0</v>
      </c>
      <c r="T549"/>
    </row>
    <row r="550" spans="1:20">
      <c r="A550" s="5" t="s">
        <v>36</v>
      </c>
      <c r="B550" s="5" t="s">
        <v>13878</v>
      </c>
      <c r="C550" s="4">
        <f>Controle_Pedidos[[#This Row],[Data Compra]]</f>
        <v>45637</v>
      </c>
      <c r="D550" s="4">
        <v>45637</v>
      </c>
      <c r="E550" s="5" t="s">
        <v>15973</v>
      </c>
      <c r="F550" s="5" t="s">
        <v>17962</v>
      </c>
      <c r="G550" s="5" t="s">
        <v>824</v>
      </c>
      <c r="H550" s="5">
        <v>1</v>
      </c>
      <c r="I550" s="8" t="s">
        <v>7711</v>
      </c>
      <c r="J550" s="8" t="s">
        <v>9760</v>
      </c>
      <c r="K550" s="8" t="s">
        <v>1557</v>
      </c>
      <c r="L550" s="8" t="s">
        <v>11811</v>
      </c>
      <c r="M550" s="8" t="s">
        <v>3607</v>
      </c>
      <c r="N550" s="8" t="s">
        <v>5658</v>
      </c>
      <c r="O550" s="5" t="s">
        <v>38</v>
      </c>
      <c r="P550" s="4">
        <v>45664</v>
      </c>
      <c r="Q550" s="15">
        <v>17.899999999999999</v>
      </c>
      <c r="R550" s="15">
        <v>6.99</v>
      </c>
      <c r="S550" s="15">
        <v>0</v>
      </c>
      <c r="T550"/>
    </row>
    <row r="551" spans="1:20">
      <c r="A551" s="5" t="s">
        <v>36</v>
      </c>
      <c r="B551" s="5" t="s">
        <v>13879</v>
      </c>
      <c r="C551" s="4">
        <f>Controle_Pedidos[[#This Row],[Data Compra]]</f>
        <v>45637</v>
      </c>
      <c r="D551" s="4">
        <v>45637</v>
      </c>
      <c r="E551" s="5" t="s">
        <v>15974</v>
      </c>
      <c r="F551" s="5" t="s">
        <v>17963</v>
      </c>
      <c r="G551" s="5" t="s">
        <v>824</v>
      </c>
      <c r="H551" s="5">
        <v>1</v>
      </c>
      <c r="I551" s="8" t="s">
        <v>7712</v>
      </c>
      <c r="J551" s="8" t="s">
        <v>9761</v>
      </c>
      <c r="K551" s="8" t="s">
        <v>1558</v>
      </c>
      <c r="L551" s="8" t="s">
        <v>11812</v>
      </c>
      <c r="M551" s="8" t="s">
        <v>3608</v>
      </c>
      <c r="N551" s="8" t="s">
        <v>5659</v>
      </c>
      <c r="O551" s="5" t="s">
        <v>38</v>
      </c>
      <c r="P551" s="4">
        <v>45664</v>
      </c>
      <c r="Q551" s="15">
        <v>17.899999999999999</v>
      </c>
      <c r="R551" s="15">
        <v>6.99</v>
      </c>
      <c r="S551" s="15">
        <v>0</v>
      </c>
      <c r="T551"/>
    </row>
    <row r="552" spans="1:20">
      <c r="A552" s="5" t="s">
        <v>36</v>
      </c>
      <c r="B552" s="5" t="s">
        <v>13880</v>
      </c>
      <c r="C552" s="4">
        <f>Controle_Pedidos[[#This Row],[Data Compra]]</f>
        <v>45637</v>
      </c>
      <c r="D552" s="4">
        <v>45637</v>
      </c>
      <c r="E552" s="5" t="s">
        <v>15975</v>
      </c>
      <c r="F552" s="5" t="s">
        <v>17964</v>
      </c>
      <c r="G552" s="5" t="s">
        <v>849</v>
      </c>
      <c r="H552" s="5">
        <v>1</v>
      </c>
      <c r="I552" s="8" t="s">
        <v>7713</v>
      </c>
      <c r="J552" s="8" t="s">
        <v>9762</v>
      </c>
      <c r="K552" s="8" t="s">
        <v>1559</v>
      </c>
      <c r="L552" s="8" t="s">
        <v>11813</v>
      </c>
      <c r="M552" s="8" t="s">
        <v>3609</v>
      </c>
      <c r="N552" s="8" t="s">
        <v>5660</v>
      </c>
      <c r="O552" s="5" t="s">
        <v>61</v>
      </c>
      <c r="P552" s="4">
        <v>45664</v>
      </c>
      <c r="Q552" s="15">
        <v>65.599999999999994</v>
      </c>
      <c r="R552" s="15">
        <v>19.809999999999999</v>
      </c>
      <c r="S552" s="15">
        <v>0</v>
      </c>
      <c r="T552"/>
    </row>
    <row r="553" spans="1:20">
      <c r="A553" s="5" t="s">
        <v>36</v>
      </c>
      <c r="B553" s="5" t="s">
        <v>13881</v>
      </c>
      <c r="C553" s="4">
        <f>Controle_Pedidos[[#This Row],[Data Compra]]</f>
        <v>45638</v>
      </c>
      <c r="D553" s="4">
        <v>45638</v>
      </c>
      <c r="E553" s="5" t="s">
        <v>15976</v>
      </c>
      <c r="F553" s="5" t="s">
        <v>17965</v>
      </c>
      <c r="G553" s="5" t="s">
        <v>831</v>
      </c>
      <c r="H553" s="5">
        <v>1</v>
      </c>
      <c r="I553" s="8" t="s">
        <v>7714</v>
      </c>
      <c r="J553" s="8" t="s">
        <v>9763</v>
      </c>
      <c r="K553" s="8" t="s">
        <v>1560</v>
      </c>
      <c r="L553" s="8" t="s">
        <v>11814</v>
      </c>
      <c r="M553" s="8" t="s">
        <v>3610</v>
      </c>
      <c r="N553" s="8" t="s">
        <v>5661</v>
      </c>
      <c r="O553" s="5" t="s">
        <v>41</v>
      </c>
      <c r="P553" s="4">
        <v>45675</v>
      </c>
      <c r="Q553" s="15">
        <v>54.8</v>
      </c>
      <c r="R553" s="15">
        <v>11.5</v>
      </c>
      <c r="S553" s="15">
        <v>0</v>
      </c>
      <c r="T553"/>
    </row>
    <row r="554" spans="1:20">
      <c r="A554" s="5" t="s">
        <v>36</v>
      </c>
      <c r="B554" s="5" t="s">
        <v>13882</v>
      </c>
      <c r="C554" s="4">
        <f>Controle_Pedidos[[#This Row],[Data Compra]]</f>
        <v>45638</v>
      </c>
      <c r="D554" s="4">
        <v>45638</v>
      </c>
      <c r="E554" s="5" t="s">
        <v>15977</v>
      </c>
      <c r="F554" s="5" t="s">
        <v>17966</v>
      </c>
      <c r="G554" s="5" t="s">
        <v>824</v>
      </c>
      <c r="H554" s="5">
        <v>1</v>
      </c>
      <c r="I554" s="8" t="s">
        <v>7715</v>
      </c>
      <c r="J554" s="8" t="s">
        <v>9764</v>
      </c>
      <c r="K554" s="8" t="s">
        <v>1561</v>
      </c>
      <c r="L554" s="8" t="s">
        <v>11815</v>
      </c>
      <c r="M554" s="8" t="s">
        <v>3611</v>
      </c>
      <c r="N554" s="8" t="s">
        <v>5662</v>
      </c>
      <c r="O554" s="5" t="s">
        <v>38</v>
      </c>
      <c r="P554" s="4">
        <v>45671</v>
      </c>
      <c r="Q554" s="15">
        <v>17.899999999999999</v>
      </c>
      <c r="R554" s="15">
        <v>6.99</v>
      </c>
      <c r="S554" s="15">
        <v>0</v>
      </c>
      <c r="T554"/>
    </row>
    <row r="555" spans="1:20">
      <c r="A555" s="5" t="s">
        <v>36</v>
      </c>
      <c r="B555" s="5" t="s">
        <v>13883</v>
      </c>
      <c r="C555" s="4">
        <f>Controle_Pedidos[[#This Row],[Data Compra]]</f>
        <v>45638</v>
      </c>
      <c r="D555" s="4">
        <v>45638</v>
      </c>
      <c r="E555" s="5" t="s">
        <v>15978</v>
      </c>
      <c r="F555" s="5" t="s">
        <v>17967</v>
      </c>
      <c r="G555" s="5" t="s">
        <v>824</v>
      </c>
      <c r="H555" s="5">
        <v>1</v>
      </c>
      <c r="I555" s="8" t="s">
        <v>7716</v>
      </c>
      <c r="J555" s="8" t="s">
        <v>9765</v>
      </c>
      <c r="K555" s="8" t="s">
        <v>1562</v>
      </c>
      <c r="L555" s="8" t="s">
        <v>11816</v>
      </c>
      <c r="M555" s="8" t="s">
        <v>3612</v>
      </c>
      <c r="N555" s="8" t="s">
        <v>5663</v>
      </c>
      <c r="O555" s="5" t="s">
        <v>38</v>
      </c>
      <c r="P555" s="4">
        <v>45665</v>
      </c>
      <c r="Q555" s="15">
        <v>17.899999999999999</v>
      </c>
      <c r="R555" s="15">
        <v>6.99</v>
      </c>
      <c r="S555" s="15">
        <v>0</v>
      </c>
      <c r="T555"/>
    </row>
    <row r="556" spans="1:20">
      <c r="A556" s="5" t="s">
        <v>36</v>
      </c>
      <c r="B556" s="5" t="s">
        <v>13884</v>
      </c>
      <c r="C556" s="4">
        <f>Controle_Pedidos[[#This Row],[Data Compra]]</f>
        <v>45638</v>
      </c>
      <c r="D556" s="4">
        <v>45638</v>
      </c>
      <c r="E556" s="5" t="s">
        <v>15979</v>
      </c>
      <c r="F556" s="5" t="s">
        <v>17968</v>
      </c>
      <c r="G556" s="5" t="s">
        <v>824</v>
      </c>
      <c r="H556" s="5">
        <v>1</v>
      </c>
      <c r="I556" s="8" t="s">
        <v>7716</v>
      </c>
      <c r="J556" s="8" t="s">
        <v>9765</v>
      </c>
      <c r="K556" s="8" t="s">
        <v>1562</v>
      </c>
      <c r="L556" s="8" t="s">
        <v>11816</v>
      </c>
      <c r="M556" s="8" t="s">
        <v>3612</v>
      </c>
      <c r="N556" s="8" t="s">
        <v>5663</v>
      </c>
      <c r="O556" s="5" t="s">
        <v>38</v>
      </c>
      <c r="P556" s="4">
        <v>45665</v>
      </c>
      <c r="Q556" s="15">
        <v>17.899999999999999</v>
      </c>
      <c r="R556" s="15">
        <v>6.99</v>
      </c>
      <c r="S556" s="15">
        <v>0</v>
      </c>
      <c r="T556"/>
    </row>
    <row r="557" spans="1:20">
      <c r="A557" s="5" t="s">
        <v>36</v>
      </c>
      <c r="B557" s="5" t="s">
        <v>13885</v>
      </c>
      <c r="C557" s="4">
        <f>Controle_Pedidos[[#This Row],[Data Compra]]</f>
        <v>45638</v>
      </c>
      <c r="D557" s="4">
        <v>45638</v>
      </c>
      <c r="E557" s="5" t="s">
        <v>15980</v>
      </c>
      <c r="F557" s="5" t="s">
        <v>17969</v>
      </c>
      <c r="G557" s="5" t="s">
        <v>824</v>
      </c>
      <c r="H557" s="5">
        <v>1</v>
      </c>
      <c r="I557" s="8" t="s">
        <v>7717</v>
      </c>
      <c r="J557" s="8" t="s">
        <v>9766</v>
      </c>
      <c r="K557" s="8" t="s">
        <v>1563</v>
      </c>
      <c r="L557" s="8" t="s">
        <v>11817</v>
      </c>
      <c r="M557" s="8" t="s">
        <v>3613</v>
      </c>
      <c r="N557" s="8" t="s">
        <v>5664</v>
      </c>
      <c r="O557" s="5" t="s">
        <v>38</v>
      </c>
      <c r="P557" s="4">
        <v>45665</v>
      </c>
      <c r="Q557" s="15">
        <v>17.899999999999999</v>
      </c>
      <c r="R557" s="15">
        <v>6.99</v>
      </c>
      <c r="S557" s="15">
        <v>0</v>
      </c>
      <c r="T557"/>
    </row>
    <row r="558" spans="1:20">
      <c r="A558" s="5" t="s">
        <v>36</v>
      </c>
      <c r="B558" s="5" t="s">
        <v>13886</v>
      </c>
      <c r="C558" s="4">
        <f>Controle_Pedidos[[#This Row],[Data Compra]]</f>
        <v>45638</v>
      </c>
      <c r="D558" s="4">
        <v>45638</v>
      </c>
      <c r="E558" s="5" t="s">
        <v>15981</v>
      </c>
      <c r="F558" s="5" t="s">
        <v>17970</v>
      </c>
      <c r="G558" s="5" t="s">
        <v>824</v>
      </c>
      <c r="H558" s="5">
        <v>1</v>
      </c>
      <c r="I558" s="8" t="s">
        <v>7718</v>
      </c>
      <c r="J558" s="8" t="s">
        <v>9767</v>
      </c>
      <c r="K558" s="8" t="s">
        <v>1564</v>
      </c>
      <c r="L558" s="8" t="s">
        <v>11818</v>
      </c>
      <c r="M558" s="8" t="s">
        <v>3614</v>
      </c>
      <c r="N558" s="8" t="s">
        <v>5665</v>
      </c>
      <c r="O558" s="5" t="s">
        <v>38</v>
      </c>
      <c r="P558" s="4">
        <v>45665</v>
      </c>
      <c r="Q558" s="15">
        <v>17.899999999999999</v>
      </c>
      <c r="R558" s="15">
        <v>6.99</v>
      </c>
      <c r="S558" s="15">
        <v>0</v>
      </c>
      <c r="T558"/>
    </row>
    <row r="559" spans="1:20">
      <c r="A559" s="5" t="s">
        <v>36</v>
      </c>
      <c r="B559" s="5" t="s">
        <v>13887</v>
      </c>
      <c r="C559" s="4">
        <f>Controle_Pedidos[[#This Row],[Data Compra]]</f>
        <v>45638</v>
      </c>
      <c r="D559" s="4">
        <v>45638</v>
      </c>
      <c r="E559" s="5" t="s">
        <v>15982</v>
      </c>
      <c r="F559" s="5" t="s">
        <v>17971</v>
      </c>
      <c r="G559" s="5" t="s">
        <v>831</v>
      </c>
      <c r="H559" s="5">
        <v>1</v>
      </c>
      <c r="I559" s="8" t="s">
        <v>7719</v>
      </c>
      <c r="J559" s="8" t="s">
        <v>9768</v>
      </c>
      <c r="K559" s="8" t="s">
        <v>1565</v>
      </c>
      <c r="L559" s="8" t="s">
        <v>11819</v>
      </c>
      <c r="M559" s="8" t="s">
        <v>3615</v>
      </c>
      <c r="N559" s="8" t="s">
        <v>5666</v>
      </c>
      <c r="O559" s="5" t="s">
        <v>41</v>
      </c>
      <c r="P559" s="4">
        <v>45665</v>
      </c>
      <c r="Q559" s="15">
        <v>54.8</v>
      </c>
      <c r="R559" s="15">
        <v>11.5</v>
      </c>
      <c r="S559" s="15">
        <v>0</v>
      </c>
      <c r="T559"/>
    </row>
    <row r="560" spans="1:20">
      <c r="A560" s="5" t="s">
        <v>36</v>
      </c>
      <c r="B560" s="5" t="s">
        <v>13888</v>
      </c>
      <c r="C560" s="4">
        <f>Controle_Pedidos[[#This Row],[Data Compra]]</f>
        <v>45638</v>
      </c>
      <c r="D560" s="4">
        <v>45638</v>
      </c>
      <c r="E560" s="5" t="s">
        <v>15983</v>
      </c>
      <c r="F560" s="5" t="s">
        <v>17972</v>
      </c>
      <c r="G560" s="5" t="s">
        <v>845</v>
      </c>
      <c r="H560" s="5">
        <v>1</v>
      </c>
      <c r="I560" s="8" t="s">
        <v>7720</v>
      </c>
      <c r="J560" s="8" t="s">
        <v>9769</v>
      </c>
      <c r="K560" s="8" t="s">
        <v>1566</v>
      </c>
      <c r="L560" s="8" t="s">
        <v>11820</v>
      </c>
      <c r="M560" s="8" t="s">
        <v>3616</v>
      </c>
      <c r="N560" s="8" t="s">
        <v>5667</v>
      </c>
      <c r="O560" s="5" t="s">
        <v>67</v>
      </c>
      <c r="P560" s="4">
        <v>45671</v>
      </c>
      <c r="Q560" s="15">
        <v>65.599999999999994</v>
      </c>
      <c r="R560" s="15">
        <v>16.579999999999998</v>
      </c>
      <c r="S560" s="15">
        <v>0</v>
      </c>
      <c r="T560"/>
    </row>
    <row r="561" spans="1:20">
      <c r="A561" s="5" t="s">
        <v>36</v>
      </c>
      <c r="B561" s="5" t="s">
        <v>13889</v>
      </c>
      <c r="C561" s="4">
        <f>Controle_Pedidos[[#This Row],[Data Compra]]</f>
        <v>45638</v>
      </c>
      <c r="D561" s="4">
        <v>45638</v>
      </c>
      <c r="E561" s="5" t="s">
        <v>15984</v>
      </c>
      <c r="F561" s="5" t="s">
        <v>17973</v>
      </c>
      <c r="G561" s="5" t="s">
        <v>824</v>
      </c>
      <c r="H561" s="5">
        <v>1</v>
      </c>
      <c r="I561" s="8" t="s">
        <v>7721</v>
      </c>
      <c r="J561" s="8" t="s">
        <v>9770</v>
      </c>
      <c r="K561" s="8" t="s">
        <v>1567</v>
      </c>
      <c r="L561" s="8" t="s">
        <v>11821</v>
      </c>
      <c r="M561" s="8" t="s">
        <v>3617</v>
      </c>
      <c r="N561" s="8" t="s">
        <v>5668</v>
      </c>
      <c r="O561" s="5" t="s">
        <v>38</v>
      </c>
      <c r="P561" s="4">
        <v>45661</v>
      </c>
      <c r="Q561" s="15">
        <v>17.899999999999999</v>
      </c>
      <c r="R561" s="15">
        <v>6.99</v>
      </c>
      <c r="S561" s="15">
        <v>0</v>
      </c>
      <c r="T561"/>
    </row>
    <row r="562" spans="1:20">
      <c r="A562" s="5" t="s">
        <v>36</v>
      </c>
      <c r="B562" s="5" t="s">
        <v>13890</v>
      </c>
      <c r="C562" s="4">
        <f>Controle_Pedidos[[#This Row],[Data Compra]]</f>
        <v>45638</v>
      </c>
      <c r="D562" s="4">
        <v>45638</v>
      </c>
      <c r="E562" s="5" t="s">
        <v>15985</v>
      </c>
      <c r="F562" s="5" t="s">
        <v>17974</v>
      </c>
      <c r="G562" s="5" t="s">
        <v>852</v>
      </c>
      <c r="H562" s="5">
        <v>1</v>
      </c>
      <c r="I562" s="8" t="s">
        <v>7722</v>
      </c>
      <c r="J562" s="8" t="s">
        <v>9771</v>
      </c>
      <c r="K562" s="8" t="s">
        <v>1568</v>
      </c>
      <c r="L562" s="8" t="s">
        <v>11822</v>
      </c>
      <c r="M562" s="8" t="s">
        <v>3618</v>
      </c>
      <c r="N562" s="8" t="s">
        <v>5669</v>
      </c>
      <c r="O562" s="5" t="s">
        <v>68</v>
      </c>
      <c r="P562" s="4">
        <v>45671</v>
      </c>
      <c r="Q562" s="15">
        <v>18.989999999999998</v>
      </c>
      <c r="R562" s="15">
        <v>0</v>
      </c>
      <c r="S562" s="15">
        <v>0</v>
      </c>
      <c r="T562"/>
    </row>
    <row r="563" spans="1:20">
      <c r="A563" s="5" t="s">
        <v>36</v>
      </c>
      <c r="B563" s="5" t="s">
        <v>13891</v>
      </c>
      <c r="C563" s="4">
        <f>Controle_Pedidos[[#This Row],[Data Compra]]</f>
        <v>45638</v>
      </c>
      <c r="D563" s="4">
        <v>45638</v>
      </c>
      <c r="E563" s="5" t="s">
        <v>15986</v>
      </c>
      <c r="F563" s="5" t="s">
        <v>17975</v>
      </c>
      <c r="G563" s="5" t="s">
        <v>849</v>
      </c>
      <c r="H563" s="5">
        <v>1</v>
      </c>
      <c r="I563" s="8" t="s">
        <v>7723</v>
      </c>
      <c r="J563" s="8" t="s">
        <v>9772</v>
      </c>
      <c r="K563" s="8" t="s">
        <v>1569</v>
      </c>
      <c r="L563" s="8" t="s">
        <v>11823</v>
      </c>
      <c r="M563" s="8" t="s">
        <v>3619</v>
      </c>
      <c r="N563" s="8" t="s">
        <v>5670</v>
      </c>
      <c r="O563" s="5" t="s">
        <v>61</v>
      </c>
      <c r="P563" s="4">
        <v>45671</v>
      </c>
      <c r="Q563" s="15">
        <v>65.599999999999994</v>
      </c>
      <c r="R563" s="15">
        <v>17.27</v>
      </c>
      <c r="S563" s="15">
        <v>0</v>
      </c>
      <c r="T563"/>
    </row>
    <row r="564" spans="1:20">
      <c r="A564" s="5" t="s">
        <v>36</v>
      </c>
      <c r="B564" s="5" t="s">
        <v>13892</v>
      </c>
      <c r="C564" s="4">
        <f>Controle_Pedidos[[#This Row],[Data Compra]]</f>
        <v>45638</v>
      </c>
      <c r="D564" s="4">
        <v>45638</v>
      </c>
      <c r="E564" s="5" t="s">
        <v>15987</v>
      </c>
      <c r="F564" s="5" t="s">
        <v>17976</v>
      </c>
      <c r="G564" s="5" t="s">
        <v>849</v>
      </c>
      <c r="H564" s="5">
        <v>1</v>
      </c>
      <c r="I564" s="8" t="s">
        <v>7724</v>
      </c>
      <c r="J564" s="8" t="s">
        <v>9773</v>
      </c>
      <c r="K564" s="8" t="s">
        <v>1570</v>
      </c>
      <c r="L564" s="8" t="s">
        <v>11824</v>
      </c>
      <c r="M564" s="8" t="s">
        <v>3620</v>
      </c>
      <c r="N564" s="8" t="s">
        <v>5671</v>
      </c>
      <c r="O564" s="5" t="s">
        <v>61</v>
      </c>
      <c r="P564" s="4">
        <v>45671</v>
      </c>
      <c r="Q564" s="15">
        <v>65.599999999999994</v>
      </c>
      <c r="R564" s="15">
        <v>17.27</v>
      </c>
      <c r="S564" s="15">
        <v>0</v>
      </c>
      <c r="T564"/>
    </row>
    <row r="565" spans="1:20">
      <c r="A565" s="5" t="s">
        <v>36</v>
      </c>
      <c r="B565" s="5" t="s">
        <v>13893</v>
      </c>
      <c r="C565" s="4">
        <f>Controle_Pedidos[[#This Row],[Data Compra]]</f>
        <v>45639</v>
      </c>
      <c r="D565" s="4">
        <v>45639</v>
      </c>
      <c r="E565" s="5" t="s">
        <v>15988</v>
      </c>
      <c r="F565" s="5" t="s">
        <v>17977</v>
      </c>
      <c r="G565" s="5" t="s">
        <v>824</v>
      </c>
      <c r="H565" s="5">
        <v>1</v>
      </c>
      <c r="I565" s="8" t="s">
        <v>7725</v>
      </c>
      <c r="J565" s="8" t="s">
        <v>9774</v>
      </c>
      <c r="K565" s="8" t="s">
        <v>1571</v>
      </c>
      <c r="L565" s="8" t="s">
        <v>11825</v>
      </c>
      <c r="M565" s="8" t="s">
        <v>3621</v>
      </c>
      <c r="N565" s="8" t="s">
        <v>5672</v>
      </c>
      <c r="O565" s="5" t="s">
        <v>38</v>
      </c>
      <c r="P565" s="4">
        <v>45672</v>
      </c>
      <c r="Q565" s="15">
        <v>17.899999999999999</v>
      </c>
      <c r="R565" s="15">
        <v>6.99</v>
      </c>
      <c r="S565" s="15">
        <v>0</v>
      </c>
      <c r="T565"/>
    </row>
    <row r="566" spans="1:20">
      <c r="A566" s="5" t="s">
        <v>36</v>
      </c>
      <c r="B566" s="5" t="s">
        <v>13894</v>
      </c>
      <c r="C566" s="4">
        <f>Controle_Pedidos[[#This Row],[Data Compra]]</f>
        <v>45639</v>
      </c>
      <c r="D566" s="4">
        <v>45639</v>
      </c>
      <c r="E566" s="5" t="s">
        <v>15989</v>
      </c>
      <c r="F566" s="5" t="s">
        <v>17978</v>
      </c>
      <c r="G566" s="5" t="s">
        <v>824</v>
      </c>
      <c r="H566" s="5">
        <v>1</v>
      </c>
      <c r="I566" s="8" t="s">
        <v>7726</v>
      </c>
      <c r="J566" s="8" t="s">
        <v>9775</v>
      </c>
      <c r="K566" s="8" t="s">
        <v>1572</v>
      </c>
      <c r="L566" s="8" t="s">
        <v>11826</v>
      </c>
      <c r="M566" s="8" t="s">
        <v>3622</v>
      </c>
      <c r="N566" s="8" t="s">
        <v>5673</v>
      </c>
      <c r="O566" s="5" t="s">
        <v>38</v>
      </c>
      <c r="P566" s="4">
        <v>45672</v>
      </c>
      <c r="Q566" s="15">
        <v>17.899999999999999</v>
      </c>
      <c r="R566" s="15">
        <v>6.99</v>
      </c>
      <c r="S566" s="15">
        <v>0</v>
      </c>
      <c r="T566"/>
    </row>
    <row r="567" spans="1:20">
      <c r="A567" s="5" t="s">
        <v>36</v>
      </c>
      <c r="B567" s="5" t="s">
        <v>13895</v>
      </c>
      <c r="C567" s="4">
        <f>Controle_Pedidos[[#This Row],[Data Compra]]</f>
        <v>45639</v>
      </c>
      <c r="D567" s="4">
        <v>45639</v>
      </c>
      <c r="E567" s="5" t="s">
        <v>15990</v>
      </c>
      <c r="F567" s="5" t="s">
        <v>17979</v>
      </c>
      <c r="G567" s="5" t="s">
        <v>855</v>
      </c>
      <c r="H567" s="5">
        <v>1</v>
      </c>
      <c r="I567" s="8" t="s">
        <v>7727</v>
      </c>
      <c r="J567" s="8" t="s">
        <v>9776</v>
      </c>
      <c r="K567" s="8" t="s">
        <v>1573</v>
      </c>
      <c r="L567" s="8" t="s">
        <v>11827</v>
      </c>
      <c r="M567" s="8" t="s">
        <v>3623</v>
      </c>
      <c r="N567" s="8" t="s">
        <v>5674</v>
      </c>
      <c r="O567" s="5" t="s">
        <v>81</v>
      </c>
      <c r="P567" s="4">
        <v>45672</v>
      </c>
      <c r="Q567" s="15">
        <v>34.1</v>
      </c>
      <c r="R567" s="15">
        <v>14.18</v>
      </c>
      <c r="S567" s="15">
        <v>0</v>
      </c>
      <c r="T567"/>
    </row>
    <row r="568" spans="1:20">
      <c r="A568" s="5" t="s">
        <v>36</v>
      </c>
      <c r="B568" s="5" t="s">
        <v>13896</v>
      </c>
      <c r="C568" s="4">
        <f>Controle_Pedidos[[#This Row],[Data Compra]]</f>
        <v>45639</v>
      </c>
      <c r="D568" s="4">
        <v>45639</v>
      </c>
      <c r="E568" s="5" t="s">
        <v>15991</v>
      </c>
      <c r="F568" s="5" t="s">
        <v>17980</v>
      </c>
      <c r="G568" s="5" t="s">
        <v>824</v>
      </c>
      <c r="H568" s="5">
        <v>1</v>
      </c>
      <c r="I568" s="8" t="s">
        <v>7728</v>
      </c>
      <c r="J568" s="8" t="s">
        <v>9777</v>
      </c>
      <c r="K568" s="8" t="s">
        <v>1574</v>
      </c>
      <c r="L568" s="8" t="s">
        <v>11828</v>
      </c>
      <c r="M568" s="8" t="s">
        <v>3624</v>
      </c>
      <c r="N568" s="8" t="s">
        <v>5675</v>
      </c>
      <c r="O568" s="5" t="s">
        <v>38</v>
      </c>
      <c r="P568" s="4">
        <v>45672</v>
      </c>
      <c r="Q568" s="15">
        <v>17.899999999999999</v>
      </c>
      <c r="R568" s="15">
        <v>6.99</v>
      </c>
      <c r="S568" s="15">
        <v>0</v>
      </c>
      <c r="T568"/>
    </row>
    <row r="569" spans="1:20">
      <c r="A569" s="5" t="s">
        <v>36</v>
      </c>
      <c r="B569" s="5" t="s">
        <v>13897</v>
      </c>
      <c r="C569" s="4">
        <f>Controle_Pedidos[[#This Row],[Data Compra]]</f>
        <v>45639</v>
      </c>
      <c r="D569" s="4">
        <v>45639</v>
      </c>
      <c r="E569" s="5" t="s">
        <v>15992</v>
      </c>
      <c r="F569" s="5" t="s">
        <v>17981</v>
      </c>
      <c r="G569" s="5" t="s">
        <v>831</v>
      </c>
      <c r="H569" s="5">
        <v>1</v>
      </c>
      <c r="I569" s="8" t="s">
        <v>7729</v>
      </c>
      <c r="J569" s="8" t="s">
        <v>9778</v>
      </c>
      <c r="K569" s="8" t="s">
        <v>1575</v>
      </c>
      <c r="L569" s="8" t="s">
        <v>11829</v>
      </c>
      <c r="M569" s="8" t="s">
        <v>3625</v>
      </c>
      <c r="N569" s="8" t="s">
        <v>5676</v>
      </c>
      <c r="O569" s="5" t="s">
        <v>41</v>
      </c>
      <c r="P569" s="4">
        <v>45666</v>
      </c>
      <c r="Q569" s="15">
        <v>54.8</v>
      </c>
      <c r="R569" s="15">
        <v>12.19</v>
      </c>
      <c r="S569" s="15">
        <v>0</v>
      </c>
      <c r="T569"/>
    </row>
    <row r="570" spans="1:20">
      <c r="A570" s="5" t="s">
        <v>36</v>
      </c>
      <c r="B570" s="5" t="s">
        <v>13898</v>
      </c>
      <c r="C570" s="4">
        <f>Controle_Pedidos[[#This Row],[Data Compra]]</f>
        <v>45642</v>
      </c>
      <c r="D570" s="4">
        <v>45642</v>
      </c>
      <c r="E570" s="5" t="s">
        <v>15993</v>
      </c>
      <c r="F570" s="5" t="s">
        <v>17982</v>
      </c>
      <c r="G570" s="5" t="s">
        <v>848</v>
      </c>
      <c r="H570" s="5">
        <v>1</v>
      </c>
      <c r="I570" s="8" t="s">
        <v>7730</v>
      </c>
      <c r="J570" s="8" t="s">
        <v>9779</v>
      </c>
      <c r="K570" s="8" t="s">
        <v>1576</v>
      </c>
      <c r="L570" s="8" t="s">
        <v>11830</v>
      </c>
      <c r="M570" s="8" t="s">
        <v>3626</v>
      </c>
      <c r="N570" s="8" t="s">
        <v>5677</v>
      </c>
      <c r="O570" s="5" t="s">
        <v>76</v>
      </c>
      <c r="P570" s="4">
        <v>45666</v>
      </c>
      <c r="Q570" s="15">
        <v>53.9</v>
      </c>
      <c r="R570" s="15">
        <v>0</v>
      </c>
      <c r="S570" s="15">
        <v>0</v>
      </c>
      <c r="T570"/>
    </row>
    <row r="571" spans="1:20">
      <c r="A571" s="5" t="s">
        <v>36</v>
      </c>
      <c r="B571" s="5" t="s">
        <v>13899</v>
      </c>
      <c r="C571" s="4">
        <f>Controle_Pedidos[[#This Row],[Data Compra]]</f>
        <v>45639</v>
      </c>
      <c r="D571" s="4">
        <v>45639</v>
      </c>
      <c r="E571" s="5" t="s">
        <v>15994</v>
      </c>
      <c r="F571" s="5" t="s">
        <v>17983</v>
      </c>
      <c r="G571" s="5" t="s">
        <v>824</v>
      </c>
      <c r="H571" s="5">
        <v>1</v>
      </c>
      <c r="I571" s="8" t="s">
        <v>7731</v>
      </c>
      <c r="J571" s="8" t="s">
        <v>9780</v>
      </c>
      <c r="K571" s="8" t="s">
        <v>1577</v>
      </c>
      <c r="L571" s="8" t="s">
        <v>11831</v>
      </c>
      <c r="M571" s="8" t="s">
        <v>3627</v>
      </c>
      <c r="N571" s="8" t="s">
        <v>5678</v>
      </c>
      <c r="O571" s="5" t="s">
        <v>38</v>
      </c>
      <c r="P571" s="4">
        <v>45666</v>
      </c>
      <c r="Q571" s="15">
        <v>17.899999999999999</v>
      </c>
      <c r="R571" s="15">
        <v>6.99</v>
      </c>
      <c r="S571" s="15">
        <v>0</v>
      </c>
      <c r="T571"/>
    </row>
    <row r="572" spans="1:20">
      <c r="A572" s="5" t="s">
        <v>36</v>
      </c>
      <c r="B572" s="5" t="s">
        <v>13900</v>
      </c>
      <c r="C572" s="4">
        <f>Controle_Pedidos[[#This Row],[Data Compra]]</f>
        <v>45639</v>
      </c>
      <c r="D572" s="4">
        <v>45639</v>
      </c>
      <c r="E572" s="5" t="s">
        <v>15995</v>
      </c>
      <c r="F572" s="5" t="s">
        <v>17984</v>
      </c>
      <c r="G572" s="5" t="s">
        <v>833</v>
      </c>
      <c r="H572" s="5">
        <v>1</v>
      </c>
      <c r="I572" s="8" t="s">
        <v>7732</v>
      </c>
      <c r="J572" s="8" t="s">
        <v>9781</v>
      </c>
      <c r="K572" s="8" t="s">
        <v>1578</v>
      </c>
      <c r="L572" s="8" t="s">
        <v>11832</v>
      </c>
      <c r="M572" s="8" t="s">
        <v>3628</v>
      </c>
      <c r="N572" s="8" t="s">
        <v>5679</v>
      </c>
      <c r="O572" s="5" t="s">
        <v>49</v>
      </c>
      <c r="P572" s="4">
        <v>45666</v>
      </c>
      <c r="Q572" s="15">
        <v>32.9</v>
      </c>
      <c r="R572" s="15">
        <v>11.2</v>
      </c>
      <c r="S572" s="15">
        <v>0</v>
      </c>
      <c r="T572"/>
    </row>
    <row r="573" spans="1:20">
      <c r="A573" s="5" t="s">
        <v>36</v>
      </c>
      <c r="B573" s="5" t="s">
        <v>13901</v>
      </c>
      <c r="C573" s="4">
        <f>Controle_Pedidos[[#This Row],[Data Compra]]</f>
        <v>45639</v>
      </c>
      <c r="D573" s="4">
        <v>45639</v>
      </c>
      <c r="E573" s="5" t="s">
        <v>15996</v>
      </c>
      <c r="F573" s="5" t="s">
        <v>17985</v>
      </c>
      <c r="G573" s="5" t="s">
        <v>824</v>
      </c>
      <c r="H573" s="5">
        <v>1</v>
      </c>
      <c r="I573" s="8" t="s">
        <v>7733</v>
      </c>
      <c r="J573" s="8" t="s">
        <v>9782</v>
      </c>
      <c r="K573" s="8" t="s">
        <v>1579</v>
      </c>
      <c r="L573" s="8" t="s">
        <v>11833</v>
      </c>
      <c r="M573" s="8" t="s">
        <v>3629</v>
      </c>
      <c r="N573" s="8" t="s">
        <v>5680</v>
      </c>
      <c r="O573" s="5" t="s">
        <v>38</v>
      </c>
      <c r="P573" s="4">
        <v>45666</v>
      </c>
      <c r="Q573" s="15">
        <v>17.899999999999999</v>
      </c>
      <c r="R573" s="15">
        <v>6.99</v>
      </c>
      <c r="S573" s="15">
        <v>0</v>
      </c>
      <c r="T573"/>
    </row>
    <row r="574" spans="1:20">
      <c r="A574" s="5" t="s">
        <v>36</v>
      </c>
      <c r="B574" s="5" t="s">
        <v>13902</v>
      </c>
      <c r="C574" s="4">
        <f>Controle_Pedidos[[#This Row],[Data Compra]]</f>
        <v>45639</v>
      </c>
      <c r="D574" s="4">
        <v>45639</v>
      </c>
      <c r="E574" s="5" t="s">
        <v>15997</v>
      </c>
      <c r="F574" s="5" t="s">
        <v>17986</v>
      </c>
      <c r="G574" s="5" t="s">
        <v>831</v>
      </c>
      <c r="H574" s="5">
        <v>1</v>
      </c>
      <c r="I574" s="8" t="s">
        <v>7734</v>
      </c>
      <c r="J574" s="8" t="s">
        <v>9783</v>
      </c>
      <c r="K574" s="8" t="s">
        <v>1580</v>
      </c>
      <c r="L574" s="8" t="s">
        <v>11834</v>
      </c>
      <c r="M574" s="8" t="s">
        <v>3630</v>
      </c>
      <c r="N574" s="8" t="s">
        <v>5681</v>
      </c>
      <c r="O574" s="5" t="s">
        <v>41</v>
      </c>
      <c r="P574" s="4">
        <v>45679</v>
      </c>
      <c r="Q574" s="15">
        <v>54.8</v>
      </c>
      <c r="R574" s="15">
        <v>12.19</v>
      </c>
      <c r="S574" s="15">
        <v>0</v>
      </c>
      <c r="T574"/>
    </row>
    <row r="575" spans="1:20">
      <c r="A575" s="5" t="s">
        <v>36</v>
      </c>
      <c r="B575" s="5" t="s">
        <v>13903</v>
      </c>
      <c r="C575" s="4">
        <f>Controle_Pedidos[[#This Row],[Data Compra]]</f>
        <v>45639</v>
      </c>
      <c r="D575" s="4">
        <v>45639</v>
      </c>
      <c r="E575" s="5" t="s">
        <v>15998</v>
      </c>
      <c r="F575" s="5" t="s">
        <v>17987</v>
      </c>
      <c r="G575" s="5" t="s">
        <v>831</v>
      </c>
      <c r="H575" s="5">
        <v>1</v>
      </c>
      <c r="I575" s="8" t="s">
        <v>7735</v>
      </c>
      <c r="J575" s="8" t="s">
        <v>9784</v>
      </c>
      <c r="K575" s="8" t="s">
        <v>1581</v>
      </c>
      <c r="L575" s="8" t="s">
        <v>11835</v>
      </c>
      <c r="M575" s="8" t="s">
        <v>3631</v>
      </c>
      <c r="N575" s="8" t="s">
        <v>5682</v>
      </c>
      <c r="O575" s="5" t="s">
        <v>41</v>
      </c>
      <c r="P575" s="4">
        <v>45666</v>
      </c>
      <c r="Q575" s="15">
        <v>54.8</v>
      </c>
      <c r="R575" s="15">
        <v>0</v>
      </c>
      <c r="S575" s="15">
        <v>0</v>
      </c>
      <c r="T575"/>
    </row>
    <row r="576" spans="1:20">
      <c r="A576" s="5" t="s">
        <v>36</v>
      </c>
      <c r="B576" s="5" t="s">
        <v>13904</v>
      </c>
      <c r="C576" s="4">
        <f>Controle_Pedidos[[#This Row],[Data Compra]]</f>
        <v>45639</v>
      </c>
      <c r="D576" s="4">
        <v>45639</v>
      </c>
      <c r="E576" s="5" t="s">
        <v>15999</v>
      </c>
      <c r="F576" s="5" t="s">
        <v>17988</v>
      </c>
      <c r="G576" s="5" t="s">
        <v>831</v>
      </c>
      <c r="H576" s="5">
        <v>1</v>
      </c>
      <c r="I576" s="8" t="s">
        <v>7736</v>
      </c>
      <c r="J576" s="8" t="s">
        <v>9785</v>
      </c>
      <c r="K576" s="8" t="s">
        <v>1582</v>
      </c>
      <c r="L576" s="8" t="s">
        <v>11836</v>
      </c>
      <c r="M576" s="8" t="s">
        <v>3632</v>
      </c>
      <c r="N576" s="8" t="s">
        <v>5683</v>
      </c>
      <c r="O576" s="5" t="s">
        <v>41</v>
      </c>
      <c r="P576" s="4">
        <v>45666</v>
      </c>
      <c r="Q576" s="15">
        <v>54.8</v>
      </c>
      <c r="R576" s="15">
        <v>12.19</v>
      </c>
      <c r="S576" s="15">
        <v>0</v>
      </c>
      <c r="T576"/>
    </row>
    <row r="577" spans="1:20">
      <c r="A577" s="5" t="s">
        <v>36</v>
      </c>
      <c r="B577" s="5" t="s">
        <v>13905</v>
      </c>
      <c r="C577" s="4">
        <f>Controle_Pedidos[[#This Row],[Data Compra]]</f>
        <v>45642</v>
      </c>
      <c r="D577" s="4">
        <v>45642</v>
      </c>
      <c r="E577" s="5" t="s">
        <v>16000</v>
      </c>
      <c r="F577" s="5" t="s">
        <v>17989</v>
      </c>
      <c r="G577" s="5" t="s">
        <v>848</v>
      </c>
      <c r="H577" s="5">
        <v>1</v>
      </c>
      <c r="I577" s="8" t="s">
        <v>7737</v>
      </c>
      <c r="J577" s="8" t="s">
        <v>9786</v>
      </c>
      <c r="K577" s="8" t="s">
        <v>1583</v>
      </c>
      <c r="L577" s="8" t="s">
        <v>11837</v>
      </c>
      <c r="M577" s="8" t="s">
        <v>3633</v>
      </c>
      <c r="N577" s="8" t="s">
        <v>5684</v>
      </c>
      <c r="O577" s="5" t="s">
        <v>76</v>
      </c>
      <c r="P577" s="4">
        <v>45672</v>
      </c>
      <c r="Q577" s="15">
        <v>53.9</v>
      </c>
      <c r="R577" s="15">
        <v>32.42</v>
      </c>
      <c r="S577" s="15">
        <v>0</v>
      </c>
      <c r="T577"/>
    </row>
    <row r="578" spans="1:20">
      <c r="A578" s="5" t="s">
        <v>36</v>
      </c>
      <c r="B578" s="5" t="s">
        <v>13906</v>
      </c>
      <c r="C578" s="4">
        <f>Controle_Pedidos[[#This Row],[Data Compra]]</f>
        <v>45639</v>
      </c>
      <c r="D578" s="4">
        <v>45639</v>
      </c>
      <c r="E578" s="5" t="s">
        <v>16001</v>
      </c>
      <c r="F578" s="5" t="s">
        <v>17990</v>
      </c>
      <c r="G578" s="5" t="s">
        <v>824</v>
      </c>
      <c r="H578" s="5">
        <v>1</v>
      </c>
      <c r="I578" s="8" t="s">
        <v>7738</v>
      </c>
      <c r="J578" s="8" t="s">
        <v>9787</v>
      </c>
      <c r="K578" s="8" t="s">
        <v>1584</v>
      </c>
      <c r="L578" s="8" t="s">
        <v>11838</v>
      </c>
      <c r="M578" s="8" t="s">
        <v>3634</v>
      </c>
      <c r="N578" s="8" t="s">
        <v>5685</v>
      </c>
      <c r="O578" s="5" t="s">
        <v>38</v>
      </c>
      <c r="P578" s="4">
        <v>45666</v>
      </c>
      <c r="Q578" s="15">
        <v>17.899999999999999</v>
      </c>
      <c r="R578" s="15">
        <v>6.99</v>
      </c>
      <c r="S578" s="15">
        <v>0</v>
      </c>
      <c r="T578"/>
    </row>
    <row r="579" spans="1:20">
      <c r="A579" s="5" t="s">
        <v>36</v>
      </c>
      <c r="B579" s="5" t="s">
        <v>13907</v>
      </c>
      <c r="C579" s="4">
        <f>Controle_Pedidos[[#This Row],[Data Compra]]</f>
        <v>45639</v>
      </c>
      <c r="D579" s="4">
        <v>45639</v>
      </c>
      <c r="E579" s="5" t="s">
        <v>16002</v>
      </c>
      <c r="F579" s="5" t="s">
        <v>17991</v>
      </c>
      <c r="G579" s="5" t="s">
        <v>849</v>
      </c>
      <c r="H579" s="5">
        <v>1</v>
      </c>
      <c r="I579" s="8" t="s">
        <v>7739</v>
      </c>
      <c r="J579" s="8" t="s">
        <v>9788</v>
      </c>
      <c r="K579" s="8" t="s">
        <v>1585</v>
      </c>
      <c r="L579" s="8" t="s">
        <v>11839</v>
      </c>
      <c r="M579" s="8" t="s">
        <v>3635</v>
      </c>
      <c r="N579" s="8" t="s">
        <v>5686</v>
      </c>
      <c r="O579" s="5" t="s">
        <v>61</v>
      </c>
      <c r="P579" s="4">
        <v>45666</v>
      </c>
      <c r="Q579" s="15">
        <v>65.599999999999994</v>
      </c>
      <c r="R579" s="15">
        <v>23.93</v>
      </c>
      <c r="S579" s="15">
        <v>0</v>
      </c>
      <c r="T579"/>
    </row>
    <row r="580" spans="1:20">
      <c r="A580" s="5" t="s">
        <v>36</v>
      </c>
      <c r="B580" s="5" t="s">
        <v>13908</v>
      </c>
      <c r="C580" s="4">
        <f>Controle_Pedidos[[#This Row],[Data Compra]]</f>
        <v>45639</v>
      </c>
      <c r="D580" s="4">
        <v>45639</v>
      </c>
      <c r="E580" s="5" t="s">
        <v>16003</v>
      </c>
      <c r="F580" s="5" t="s">
        <v>17992</v>
      </c>
      <c r="G580" s="5" t="s">
        <v>824</v>
      </c>
      <c r="H580" s="5">
        <v>1</v>
      </c>
      <c r="I580" s="8" t="s">
        <v>7740</v>
      </c>
      <c r="J580" s="8" t="s">
        <v>9789</v>
      </c>
      <c r="K580" s="8" t="s">
        <v>1586</v>
      </c>
      <c r="L580" s="8" t="s">
        <v>11840</v>
      </c>
      <c r="M580" s="8" t="s">
        <v>3636</v>
      </c>
      <c r="N580" s="8" t="s">
        <v>5687</v>
      </c>
      <c r="O580" s="5" t="s">
        <v>38</v>
      </c>
      <c r="P580" s="4">
        <v>45666</v>
      </c>
      <c r="Q580" s="15">
        <v>17.899999999999999</v>
      </c>
      <c r="R580" s="15">
        <v>6.99</v>
      </c>
      <c r="S580" s="15">
        <v>0</v>
      </c>
      <c r="T580"/>
    </row>
    <row r="581" spans="1:20">
      <c r="A581" s="5" t="s">
        <v>36</v>
      </c>
      <c r="B581" s="5" t="s">
        <v>13909</v>
      </c>
      <c r="C581" s="4">
        <f>Controle_Pedidos[[#This Row],[Data Compra]]</f>
        <v>45639</v>
      </c>
      <c r="D581" s="4">
        <v>45639</v>
      </c>
      <c r="E581" s="5" t="s">
        <v>16004</v>
      </c>
      <c r="F581" s="5" t="s">
        <v>17993</v>
      </c>
      <c r="G581" s="5" t="s">
        <v>824</v>
      </c>
      <c r="H581" s="5">
        <v>1</v>
      </c>
      <c r="I581" s="8" t="s">
        <v>7741</v>
      </c>
      <c r="J581" s="8" t="s">
        <v>9790</v>
      </c>
      <c r="K581" s="8" t="s">
        <v>1587</v>
      </c>
      <c r="L581" s="8" t="s">
        <v>11841</v>
      </c>
      <c r="M581" s="8" t="s">
        <v>3637</v>
      </c>
      <c r="N581" s="8" t="s">
        <v>5688</v>
      </c>
      <c r="O581" s="5" t="s">
        <v>38</v>
      </c>
      <c r="P581" s="4">
        <v>45666</v>
      </c>
      <c r="Q581" s="15">
        <v>17.899999999999999</v>
      </c>
      <c r="R581" s="15">
        <v>6.99</v>
      </c>
      <c r="S581" s="15">
        <v>0</v>
      </c>
      <c r="T581"/>
    </row>
    <row r="582" spans="1:20">
      <c r="A582" s="5" t="s">
        <v>36</v>
      </c>
      <c r="B582" s="5" t="s">
        <v>13910</v>
      </c>
      <c r="C582" s="4">
        <f>Controle_Pedidos[[#This Row],[Data Compra]]</f>
        <v>45641</v>
      </c>
      <c r="D582" s="4">
        <v>45641</v>
      </c>
      <c r="E582" s="5" t="s">
        <v>16005</v>
      </c>
      <c r="F582" s="5" t="s">
        <v>17994</v>
      </c>
      <c r="G582" s="5" t="s">
        <v>848</v>
      </c>
      <c r="H582" s="5">
        <v>1</v>
      </c>
      <c r="I582" s="8" t="s">
        <v>7742</v>
      </c>
      <c r="J582" s="8" t="s">
        <v>9791</v>
      </c>
      <c r="K582" s="8" t="s">
        <v>1588</v>
      </c>
      <c r="L582" s="8" t="s">
        <v>11842</v>
      </c>
      <c r="M582" s="8" t="s">
        <v>3638</v>
      </c>
      <c r="N582" s="8" t="s">
        <v>5689</v>
      </c>
      <c r="O582" s="5" t="s">
        <v>76</v>
      </c>
      <c r="P582" s="4">
        <v>45672</v>
      </c>
      <c r="Q582" s="15">
        <v>72.989999999999995</v>
      </c>
      <c r="R582" s="15">
        <v>31.75</v>
      </c>
      <c r="S582" s="15">
        <v>0</v>
      </c>
      <c r="T582"/>
    </row>
    <row r="583" spans="1:20">
      <c r="A583" s="5" t="s">
        <v>36</v>
      </c>
      <c r="B583" s="5" t="s">
        <v>13911</v>
      </c>
      <c r="C583" s="4">
        <f>Controle_Pedidos[[#This Row],[Data Compra]]</f>
        <v>45641</v>
      </c>
      <c r="D583" s="4">
        <v>45641</v>
      </c>
      <c r="E583" s="5" t="s">
        <v>16006</v>
      </c>
      <c r="F583" s="5" t="s">
        <v>17995</v>
      </c>
      <c r="G583" s="5" t="s">
        <v>831</v>
      </c>
      <c r="H583" s="5">
        <v>1</v>
      </c>
      <c r="I583" s="8" t="s">
        <v>7743</v>
      </c>
      <c r="J583" s="8" t="s">
        <v>9792</v>
      </c>
      <c r="K583" s="8" t="s">
        <v>1589</v>
      </c>
      <c r="L583" s="8" t="s">
        <v>11843</v>
      </c>
      <c r="M583" s="8" t="s">
        <v>3639</v>
      </c>
      <c r="N583" s="8" t="s">
        <v>5690</v>
      </c>
      <c r="O583" s="5" t="s">
        <v>41</v>
      </c>
      <c r="P583" s="4">
        <v>45672</v>
      </c>
      <c r="Q583" s="15">
        <v>54.8</v>
      </c>
      <c r="R583" s="15">
        <v>12.2</v>
      </c>
      <c r="S583" s="15">
        <v>0</v>
      </c>
      <c r="T583"/>
    </row>
    <row r="584" spans="1:20">
      <c r="A584" s="5" t="s">
        <v>36</v>
      </c>
      <c r="B584" s="5" t="s">
        <v>13912</v>
      </c>
      <c r="C584" s="4">
        <f>Controle_Pedidos[[#This Row],[Data Compra]]</f>
        <v>45641</v>
      </c>
      <c r="D584" s="4">
        <v>45641</v>
      </c>
      <c r="E584" s="5" t="s">
        <v>16007</v>
      </c>
      <c r="F584" s="5" t="s">
        <v>17996</v>
      </c>
      <c r="G584" s="5" t="s">
        <v>833</v>
      </c>
      <c r="H584" s="5">
        <v>1</v>
      </c>
      <c r="I584" s="8" t="s">
        <v>7744</v>
      </c>
      <c r="J584" s="8" t="s">
        <v>9793</v>
      </c>
      <c r="K584" s="8" t="s">
        <v>1590</v>
      </c>
      <c r="L584" s="8" t="s">
        <v>11844</v>
      </c>
      <c r="M584" s="8" t="s">
        <v>3640</v>
      </c>
      <c r="N584" s="8" t="s">
        <v>5691</v>
      </c>
      <c r="O584" s="5" t="s">
        <v>49</v>
      </c>
      <c r="P584" s="4">
        <v>45666</v>
      </c>
      <c r="Q584" s="15">
        <v>32.9</v>
      </c>
      <c r="R584" s="15">
        <v>11.2</v>
      </c>
      <c r="S584" s="15">
        <v>0</v>
      </c>
      <c r="T584"/>
    </row>
    <row r="585" spans="1:20">
      <c r="A585" s="5" t="s">
        <v>36</v>
      </c>
      <c r="B585" s="5" t="s">
        <v>13913</v>
      </c>
      <c r="C585" s="4">
        <f>Controle_Pedidos[[#This Row],[Data Compra]]</f>
        <v>45641</v>
      </c>
      <c r="D585" s="4">
        <v>45641</v>
      </c>
      <c r="E585" s="5" t="s">
        <v>16008</v>
      </c>
      <c r="F585" s="5" t="s">
        <v>17997</v>
      </c>
      <c r="G585" s="5" t="s">
        <v>845</v>
      </c>
      <c r="H585" s="5">
        <v>1</v>
      </c>
      <c r="I585" s="8" t="s">
        <v>7745</v>
      </c>
      <c r="J585" s="8" t="s">
        <v>9794</v>
      </c>
      <c r="K585" s="8" t="s">
        <v>1591</v>
      </c>
      <c r="L585" s="8" t="s">
        <v>11845</v>
      </c>
      <c r="M585" s="8" t="s">
        <v>3641</v>
      </c>
      <c r="N585" s="8" t="s">
        <v>5692</v>
      </c>
      <c r="O585" s="5" t="s">
        <v>67</v>
      </c>
      <c r="P585" s="4">
        <v>45666</v>
      </c>
      <c r="Q585" s="15">
        <v>65.599999999999994</v>
      </c>
      <c r="R585" s="15">
        <v>17.350000000000001</v>
      </c>
      <c r="S585" s="15">
        <v>0</v>
      </c>
      <c r="T585"/>
    </row>
    <row r="586" spans="1:20">
      <c r="A586" s="5" t="s">
        <v>36</v>
      </c>
      <c r="B586" s="5" t="s">
        <v>13914</v>
      </c>
      <c r="C586" s="4">
        <f>Controle_Pedidos[[#This Row],[Data Compra]]</f>
        <v>45641</v>
      </c>
      <c r="D586" s="4">
        <v>45641</v>
      </c>
      <c r="E586" s="5" t="s">
        <v>16009</v>
      </c>
      <c r="F586" s="5" t="s">
        <v>17998</v>
      </c>
      <c r="G586" s="5" t="s">
        <v>836</v>
      </c>
      <c r="H586" s="5">
        <v>1</v>
      </c>
      <c r="I586" s="8" t="s">
        <v>7746</v>
      </c>
      <c r="J586" s="8" t="s">
        <v>9795</v>
      </c>
      <c r="K586" s="8" t="s">
        <v>1592</v>
      </c>
      <c r="L586" s="8" t="s">
        <v>11846</v>
      </c>
      <c r="M586" s="8" t="s">
        <v>3642</v>
      </c>
      <c r="N586" s="8" t="s">
        <v>5693</v>
      </c>
      <c r="O586" s="5" t="s">
        <v>55</v>
      </c>
      <c r="P586" s="4">
        <v>45666</v>
      </c>
      <c r="Q586" s="15">
        <v>34.9</v>
      </c>
      <c r="R586" s="15">
        <v>13</v>
      </c>
      <c r="S586" s="15">
        <v>0</v>
      </c>
      <c r="T586"/>
    </row>
    <row r="587" spans="1:20">
      <c r="A587" s="5" t="s">
        <v>36</v>
      </c>
      <c r="B587" s="5" t="s">
        <v>13915</v>
      </c>
      <c r="C587" s="4">
        <f>Controle_Pedidos[[#This Row],[Data Compra]]</f>
        <v>45641</v>
      </c>
      <c r="D587" s="4">
        <v>45641</v>
      </c>
      <c r="E587" s="5" t="s">
        <v>16010</v>
      </c>
      <c r="F587" s="5" t="s">
        <v>17999</v>
      </c>
      <c r="G587" s="5" t="s">
        <v>817</v>
      </c>
      <c r="H587" s="5">
        <v>1</v>
      </c>
      <c r="I587" s="8" t="s">
        <v>7747</v>
      </c>
      <c r="J587" s="8" t="s">
        <v>9796</v>
      </c>
      <c r="K587" s="8" t="s">
        <v>1593</v>
      </c>
      <c r="L587" s="8" t="s">
        <v>11847</v>
      </c>
      <c r="M587" s="8" t="s">
        <v>3643</v>
      </c>
      <c r="N587" s="8" t="s">
        <v>5694</v>
      </c>
      <c r="O587" s="5" t="s">
        <v>39</v>
      </c>
      <c r="P587" s="4">
        <v>45664</v>
      </c>
      <c r="Q587" s="15">
        <v>33.9</v>
      </c>
      <c r="R587" s="15">
        <v>13.9</v>
      </c>
      <c r="S587" s="15">
        <v>0</v>
      </c>
      <c r="T587"/>
    </row>
    <row r="588" spans="1:20">
      <c r="A588" s="5" t="s">
        <v>36</v>
      </c>
      <c r="B588" s="5" t="s">
        <v>13916</v>
      </c>
      <c r="C588" s="4">
        <f>Controle_Pedidos[[#This Row],[Data Compra]]</f>
        <v>45641</v>
      </c>
      <c r="D588" s="4">
        <v>45641</v>
      </c>
      <c r="E588" s="5" t="s">
        <v>16011</v>
      </c>
      <c r="F588" s="5" t="s">
        <v>18000</v>
      </c>
      <c r="G588" s="5" t="s">
        <v>831</v>
      </c>
      <c r="H588" s="5">
        <v>1</v>
      </c>
      <c r="I588" s="8" t="s">
        <v>7748</v>
      </c>
      <c r="J588" s="8" t="s">
        <v>9797</v>
      </c>
      <c r="K588" s="8" t="s">
        <v>1594</v>
      </c>
      <c r="L588" s="8" t="s">
        <v>11848</v>
      </c>
      <c r="M588" s="8" t="s">
        <v>3644</v>
      </c>
      <c r="N588" s="8" t="s">
        <v>5695</v>
      </c>
      <c r="O588" s="5" t="s">
        <v>41</v>
      </c>
      <c r="P588" s="4">
        <v>45672</v>
      </c>
      <c r="Q588" s="15">
        <v>54.8</v>
      </c>
      <c r="R588" s="15">
        <v>12.2</v>
      </c>
      <c r="S588" s="15">
        <v>0</v>
      </c>
      <c r="T588"/>
    </row>
    <row r="589" spans="1:20">
      <c r="A589" s="5" t="s">
        <v>36</v>
      </c>
      <c r="B589" s="5" t="s">
        <v>13917</v>
      </c>
      <c r="C589" s="4">
        <f>Controle_Pedidos[[#This Row],[Data Compra]]</f>
        <v>45641</v>
      </c>
      <c r="D589" s="4">
        <v>45641</v>
      </c>
      <c r="E589" s="5" t="s">
        <v>16012</v>
      </c>
      <c r="F589" s="5" t="s">
        <v>18001</v>
      </c>
      <c r="G589" s="5" t="s">
        <v>849</v>
      </c>
      <c r="H589" s="5">
        <v>1</v>
      </c>
      <c r="I589" s="8" t="s">
        <v>7749</v>
      </c>
      <c r="J589" s="8" t="s">
        <v>9798</v>
      </c>
      <c r="K589" s="8" t="s">
        <v>1595</v>
      </c>
      <c r="L589" s="8" t="s">
        <v>11849</v>
      </c>
      <c r="M589" s="8" t="s">
        <v>3645</v>
      </c>
      <c r="N589" s="8" t="s">
        <v>5696</v>
      </c>
      <c r="O589" s="5" t="s">
        <v>61</v>
      </c>
      <c r="P589" s="4">
        <v>45666</v>
      </c>
      <c r="Q589" s="15">
        <v>65.599999999999994</v>
      </c>
      <c r="R589" s="15">
        <v>0</v>
      </c>
      <c r="S589" s="15">
        <v>0</v>
      </c>
      <c r="T589"/>
    </row>
    <row r="590" spans="1:20">
      <c r="A590" s="5" t="s">
        <v>36</v>
      </c>
      <c r="B590" s="5" t="s">
        <v>13918</v>
      </c>
      <c r="C590" s="4">
        <f>Controle_Pedidos[[#This Row],[Data Compra]]</f>
        <v>45641</v>
      </c>
      <c r="D590" s="4">
        <v>45641</v>
      </c>
      <c r="E590" s="5" t="s">
        <v>16013</v>
      </c>
      <c r="F590" s="5" t="s">
        <v>18002</v>
      </c>
      <c r="G590" s="5" t="s">
        <v>845</v>
      </c>
      <c r="H590" s="5">
        <v>1</v>
      </c>
      <c r="I590" s="8" t="s">
        <v>7750</v>
      </c>
      <c r="J590" s="8" t="s">
        <v>9799</v>
      </c>
      <c r="K590" s="8" t="s">
        <v>1596</v>
      </c>
      <c r="L590" s="8" t="s">
        <v>11850</v>
      </c>
      <c r="M590" s="8" t="s">
        <v>3646</v>
      </c>
      <c r="N590" s="8" t="s">
        <v>5697</v>
      </c>
      <c r="O590" s="5" t="s">
        <v>67</v>
      </c>
      <c r="P590" s="4">
        <v>45666</v>
      </c>
      <c r="Q590" s="15">
        <v>65.599999999999994</v>
      </c>
      <c r="R590" s="15">
        <v>17.350000000000001</v>
      </c>
      <c r="S590" s="15">
        <v>0</v>
      </c>
      <c r="T590"/>
    </row>
    <row r="591" spans="1:20">
      <c r="A591" s="5" t="s">
        <v>36</v>
      </c>
      <c r="B591" s="5" t="s">
        <v>13919</v>
      </c>
      <c r="C591" s="4">
        <f>Controle_Pedidos[[#This Row],[Data Compra]]</f>
        <v>45642</v>
      </c>
      <c r="D591" s="4">
        <v>45642</v>
      </c>
      <c r="E591" s="5" t="s">
        <v>16014</v>
      </c>
      <c r="F591" s="5" t="s">
        <v>18003</v>
      </c>
      <c r="G591" s="5" t="s">
        <v>849</v>
      </c>
      <c r="H591" s="5">
        <v>1</v>
      </c>
      <c r="I591" s="8" t="s">
        <v>7751</v>
      </c>
      <c r="J591" s="8" t="s">
        <v>9800</v>
      </c>
      <c r="K591" s="8" t="s">
        <v>1597</v>
      </c>
      <c r="L591" s="8" t="s">
        <v>11851</v>
      </c>
      <c r="M591" s="8" t="s">
        <v>3647</v>
      </c>
      <c r="N591" s="8" t="s">
        <v>5698</v>
      </c>
      <c r="O591" s="5" t="s">
        <v>61</v>
      </c>
      <c r="P591" s="4">
        <v>45667</v>
      </c>
      <c r="Q591" s="15">
        <v>65.599999999999994</v>
      </c>
      <c r="R591" s="15">
        <v>19.52</v>
      </c>
      <c r="S591" s="15">
        <v>0</v>
      </c>
      <c r="T591"/>
    </row>
    <row r="592" spans="1:20">
      <c r="A592" s="5" t="s">
        <v>36</v>
      </c>
      <c r="B592" s="5" t="s">
        <v>13920</v>
      </c>
      <c r="C592" s="4">
        <f>Controle_Pedidos[[#This Row],[Data Compra]]</f>
        <v>45642</v>
      </c>
      <c r="D592" s="4">
        <v>45642</v>
      </c>
      <c r="E592" s="5" t="s">
        <v>16015</v>
      </c>
      <c r="F592" s="5" t="s">
        <v>18004</v>
      </c>
      <c r="G592" s="5" t="s">
        <v>831</v>
      </c>
      <c r="H592" s="5">
        <v>1</v>
      </c>
      <c r="I592" s="8" t="s">
        <v>7752</v>
      </c>
      <c r="J592" s="8" t="s">
        <v>9801</v>
      </c>
      <c r="K592" s="8" t="s">
        <v>1598</v>
      </c>
      <c r="L592" s="8" t="s">
        <v>11852</v>
      </c>
      <c r="M592" s="8" t="s">
        <v>3648</v>
      </c>
      <c r="N592" s="8" t="s">
        <v>5699</v>
      </c>
      <c r="O592" s="5" t="s">
        <v>41</v>
      </c>
      <c r="P592" s="4">
        <v>45673</v>
      </c>
      <c r="Q592" s="15">
        <v>54.8</v>
      </c>
      <c r="R592" s="15">
        <v>18.940000000000001</v>
      </c>
      <c r="S592" s="15">
        <v>0</v>
      </c>
      <c r="T592"/>
    </row>
    <row r="593" spans="1:20">
      <c r="A593" s="5" t="s">
        <v>36</v>
      </c>
      <c r="B593" s="5" t="s">
        <v>13921</v>
      </c>
      <c r="C593" s="4">
        <f>Controle_Pedidos[[#This Row],[Data Compra]]</f>
        <v>45642</v>
      </c>
      <c r="D593" s="4">
        <v>45642</v>
      </c>
      <c r="E593" s="5" t="s">
        <v>16016</v>
      </c>
      <c r="F593" s="5" t="s">
        <v>18005</v>
      </c>
      <c r="G593" s="5" t="s">
        <v>849</v>
      </c>
      <c r="H593" s="5">
        <v>1</v>
      </c>
      <c r="I593" s="8" t="s">
        <v>7696</v>
      </c>
      <c r="J593" s="8" t="s">
        <v>9745</v>
      </c>
      <c r="K593" s="8" t="s">
        <v>1542</v>
      </c>
      <c r="L593" s="8" t="s">
        <v>11796</v>
      </c>
      <c r="M593" s="8" t="s">
        <v>3592</v>
      </c>
      <c r="N593" s="8" t="s">
        <v>5643</v>
      </c>
      <c r="O593" s="5" t="s">
        <v>61</v>
      </c>
      <c r="P593" s="4">
        <v>45667</v>
      </c>
      <c r="Q593" s="15">
        <v>65.599999999999994</v>
      </c>
      <c r="R593" s="15">
        <v>19.52</v>
      </c>
      <c r="S593" s="15">
        <v>0</v>
      </c>
      <c r="T593"/>
    </row>
    <row r="594" spans="1:20">
      <c r="A594" s="5" t="s">
        <v>36</v>
      </c>
      <c r="B594" s="5" t="s">
        <v>13922</v>
      </c>
      <c r="C594" s="4">
        <f>Controle_Pedidos[[#This Row],[Data Compra]]</f>
        <v>45642</v>
      </c>
      <c r="D594" s="4">
        <v>45642</v>
      </c>
      <c r="E594" s="5" t="s">
        <v>16017</v>
      </c>
      <c r="F594" s="5" t="s">
        <v>18006</v>
      </c>
      <c r="G594" s="5" t="s">
        <v>849</v>
      </c>
      <c r="H594" s="5">
        <v>1</v>
      </c>
      <c r="I594" s="8" t="s">
        <v>7753</v>
      </c>
      <c r="J594" s="8" t="s">
        <v>9802</v>
      </c>
      <c r="K594" s="8" t="s">
        <v>1599</v>
      </c>
      <c r="L594" s="8" t="s">
        <v>11853</v>
      </c>
      <c r="M594" s="8" t="s">
        <v>3649</v>
      </c>
      <c r="N594" s="8" t="s">
        <v>5700</v>
      </c>
      <c r="O594" s="5" t="s">
        <v>61</v>
      </c>
      <c r="P594" s="4">
        <v>45667</v>
      </c>
      <c r="Q594" s="15">
        <v>65.599999999999994</v>
      </c>
      <c r="R594" s="15">
        <v>19.53</v>
      </c>
      <c r="S594" s="15">
        <v>0</v>
      </c>
      <c r="T594"/>
    </row>
    <row r="595" spans="1:20">
      <c r="A595" s="5" t="s">
        <v>36</v>
      </c>
      <c r="B595" s="5" t="s">
        <v>13923</v>
      </c>
      <c r="C595" s="4">
        <f>Controle_Pedidos[[#This Row],[Data Compra]]</f>
        <v>45642</v>
      </c>
      <c r="D595" s="4">
        <v>45642</v>
      </c>
      <c r="E595" s="5" t="s">
        <v>16018</v>
      </c>
      <c r="F595" s="5" t="s">
        <v>18007</v>
      </c>
      <c r="G595" s="5" t="s">
        <v>849</v>
      </c>
      <c r="H595" s="5">
        <v>1</v>
      </c>
      <c r="I595" s="8" t="s">
        <v>7754</v>
      </c>
      <c r="J595" s="8" t="s">
        <v>9803</v>
      </c>
      <c r="K595" s="8" t="s">
        <v>1600</v>
      </c>
      <c r="L595" s="8" t="s">
        <v>11854</v>
      </c>
      <c r="M595" s="8" t="s">
        <v>3650</v>
      </c>
      <c r="N595" s="8" t="s">
        <v>5701</v>
      </c>
      <c r="O595" s="5" t="s">
        <v>61</v>
      </c>
      <c r="P595" s="4">
        <v>45673</v>
      </c>
      <c r="Q595" s="15">
        <v>65.599999999999994</v>
      </c>
      <c r="R595" s="15">
        <v>19.53</v>
      </c>
      <c r="S595" s="15">
        <v>0</v>
      </c>
      <c r="T595"/>
    </row>
    <row r="596" spans="1:20">
      <c r="A596" s="5" t="s">
        <v>36</v>
      </c>
      <c r="B596" s="5" t="s">
        <v>13924</v>
      </c>
      <c r="C596" s="4">
        <f>Controle_Pedidos[[#This Row],[Data Compra]]</f>
        <v>45642</v>
      </c>
      <c r="D596" s="4">
        <v>45642</v>
      </c>
      <c r="E596" s="5" t="s">
        <v>16019</v>
      </c>
      <c r="F596" s="5" t="s">
        <v>18008</v>
      </c>
      <c r="G596" s="5" t="s">
        <v>845</v>
      </c>
      <c r="H596" s="5">
        <v>1</v>
      </c>
      <c r="I596" s="8" t="s">
        <v>7755</v>
      </c>
      <c r="J596" s="8" t="s">
        <v>9804</v>
      </c>
      <c r="K596" s="8" t="s">
        <v>1601</v>
      </c>
      <c r="L596" s="8" t="s">
        <v>11855</v>
      </c>
      <c r="M596" s="8" t="s">
        <v>3651</v>
      </c>
      <c r="N596" s="8" t="s">
        <v>5702</v>
      </c>
      <c r="O596" s="5" t="s">
        <v>67</v>
      </c>
      <c r="P596" s="4">
        <v>45667</v>
      </c>
      <c r="Q596" s="15">
        <v>65.599999999999994</v>
      </c>
      <c r="R596" s="15">
        <v>18.940000000000001</v>
      </c>
      <c r="S596" s="15">
        <v>0</v>
      </c>
      <c r="T596"/>
    </row>
    <row r="597" spans="1:20">
      <c r="A597" s="5" t="s">
        <v>36</v>
      </c>
      <c r="B597" s="5" t="s">
        <v>13925</v>
      </c>
      <c r="C597" s="4">
        <f>Controle_Pedidos[[#This Row],[Data Compra]]</f>
        <v>45642</v>
      </c>
      <c r="D597" s="4">
        <v>45642</v>
      </c>
      <c r="E597" s="5" t="s">
        <v>16020</v>
      </c>
      <c r="F597" s="5" t="s">
        <v>18009</v>
      </c>
      <c r="G597" s="5" t="s">
        <v>831</v>
      </c>
      <c r="H597" s="5">
        <v>1</v>
      </c>
      <c r="I597" s="8" t="s">
        <v>7756</v>
      </c>
      <c r="J597" s="8" t="s">
        <v>9805</v>
      </c>
      <c r="K597" s="8" t="s">
        <v>1602</v>
      </c>
      <c r="L597" s="8" t="s">
        <v>11856</v>
      </c>
      <c r="M597" s="8" t="s">
        <v>3652</v>
      </c>
      <c r="N597" s="8" t="s">
        <v>5703</v>
      </c>
      <c r="O597" s="5" t="s">
        <v>41</v>
      </c>
      <c r="P597" s="4">
        <v>45673</v>
      </c>
      <c r="Q597" s="15">
        <v>54.8</v>
      </c>
      <c r="R597" s="15">
        <v>18.940000000000001</v>
      </c>
      <c r="S597" s="15">
        <v>0</v>
      </c>
      <c r="T597"/>
    </row>
    <row r="598" spans="1:20">
      <c r="A598" s="5" t="s">
        <v>36</v>
      </c>
      <c r="B598" s="5" t="s">
        <v>13926</v>
      </c>
      <c r="C598" s="4">
        <f>Controle_Pedidos[[#This Row],[Data Compra]]</f>
        <v>45642</v>
      </c>
      <c r="D598" s="4">
        <v>45642</v>
      </c>
      <c r="E598" s="5" t="s">
        <v>16021</v>
      </c>
      <c r="F598" s="5" t="s">
        <v>18010</v>
      </c>
      <c r="G598" s="5" t="s">
        <v>831</v>
      </c>
      <c r="H598" s="5">
        <v>1</v>
      </c>
      <c r="I598" s="8" t="s">
        <v>7757</v>
      </c>
      <c r="J598" s="8" t="s">
        <v>9806</v>
      </c>
      <c r="K598" s="8" t="s">
        <v>1603</v>
      </c>
      <c r="L598" s="8" t="s">
        <v>11857</v>
      </c>
      <c r="M598" s="8" t="s">
        <v>3653</v>
      </c>
      <c r="N598" s="8" t="s">
        <v>5704</v>
      </c>
      <c r="O598" s="5" t="s">
        <v>41</v>
      </c>
      <c r="P598" s="4">
        <v>45673</v>
      </c>
      <c r="Q598" s="15">
        <v>54.8</v>
      </c>
      <c r="R598" s="15">
        <v>18.940000000000001</v>
      </c>
      <c r="S598" s="15">
        <v>0</v>
      </c>
      <c r="T598"/>
    </row>
    <row r="599" spans="1:20">
      <c r="A599" s="5" t="s">
        <v>36</v>
      </c>
      <c r="B599" s="5" t="s">
        <v>13927</v>
      </c>
      <c r="C599" s="4">
        <f>Controle_Pedidos[[#This Row],[Data Compra]]</f>
        <v>45642</v>
      </c>
      <c r="D599" s="4">
        <v>45642</v>
      </c>
      <c r="E599" s="5" t="s">
        <v>16022</v>
      </c>
      <c r="F599" s="5" t="s">
        <v>18011</v>
      </c>
      <c r="G599" s="5" t="s">
        <v>849</v>
      </c>
      <c r="H599" s="5">
        <v>1</v>
      </c>
      <c r="I599" s="8" t="s">
        <v>7758</v>
      </c>
      <c r="J599" s="8" t="s">
        <v>9807</v>
      </c>
      <c r="K599" s="8" t="s">
        <v>1604</v>
      </c>
      <c r="L599" s="8" t="s">
        <v>11858</v>
      </c>
      <c r="M599" s="8" t="s">
        <v>3654</v>
      </c>
      <c r="N599" s="8" t="s">
        <v>5705</v>
      </c>
      <c r="O599" s="5" t="s">
        <v>61</v>
      </c>
      <c r="P599" s="4">
        <v>45667</v>
      </c>
      <c r="Q599" s="15">
        <v>65.599999999999994</v>
      </c>
      <c r="R599" s="15">
        <v>19.53</v>
      </c>
      <c r="S599" s="15">
        <v>0</v>
      </c>
      <c r="T599"/>
    </row>
    <row r="600" spans="1:20">
      <c r="A600" s="5" t="s">
        <v>36</v>
      </c>
      <c r="B600" s="5" t="s">
        <v>13928</v>
      </c>
      <c r="C600" s="4">
        <f>Controle_Pedidos[[#This Row],[Data Compra]]</f>
        <v>45643</v>
      </c>
      <c r="D600" s="4">
        <v>45643</v>
      </c>
      <c r="E600" s="5" t="s">
        <v>16023</v>
      </c>
      <c r="F600" s="5" t="s">
        <v>18012</v>
      </c>
      <c r="G600" s="5" t="s">
        <v>849</v>
      </c>
      <c r="H600" s="5">
        <v>1</v>
      </c>
      <c r="I600" s="8" t="s">
        <v>7759</v>
      </c>
      <c r="J600" s="8" t="s">
        <v>9808</v>
      </c>
      <c r="K600" s="8" t="s">
        <v>1605</v>
      </c>
      <c r="L600" s="8" t="s">
        <v>11859</v>
      </c>
      <c r="M600" s="8" t="s">
        <v>3655</v>
      </c>
      <c r="N600" s="8" t="s">
        <v>5706</v>
      </c>
      <c r="O600" s="5" t="s">
        <v>61</v>
      </c>
      <c r="P600" s="4">
        <v>45668</v>
      </c>
      <c r="Q600" s="15">
        <v>65.599999999999994</v>
      </c>
      <c r="R600" s="15">
        <v>17.14</v>
      </c>
      <c r="S600" s="15">
        <v>0</v>
      </c>
      <c r="T600"/>
    </row>
    <row r="601" spans="1:20">
      <c r="A601" s="5" t="s">
        <v>36</v>
      </c>
      <c r="B601" s="5" t="s">
        <v>13929</v>
      </c>
      <c r="C601" s="4">
        <f>Controle_Pedidos[[#This Row],[Data Compra]]</f>
        <v>45643</v>
      </c>
      <c r="D601" s="4">
        <v>45643</v>
      </c>
      <c r="E601" s="5" t="s">
        <v>16024</v>
      </c>
      <c r="F601" s="5" t="s">
        <v>18013</v>
      </c>
      <c r="G601" s="5" t="s">
        <v>849</v>
      </c>
      <c r="H601" s="5">
        <v>1</v>
      </c>
      <c r="I601" s="8" t="s">
        <v>7760</v>
      </c>
      <c r="J601" s="8" t="s">
        <v>9809</v>
      </c>
      <c r="K601" s="8" t="s">
        <v>1606</v>
      </c>
      <c r="L601" s="8" t="s">
        <v>11860</v>
      </c>
      <c r="M601" s="8" t="s">
        <v>3656</v>
      </c>
      <c r="N601" s="8" t="s">
        <v>5707</v>
      </c>
      <c r="O601" s="5" t="s">
        <v>61</v>
      </c>
      <c r="P601" s="4">
        <v>45668</v>
      </c>
      <c r="Q601" s="15">
        <v>65.599999999999994</v>
      </c>
      <c r="R601" s="15">
        <v>17.14</v>
      </c>
      <c r="S601" s="15">
        <v>0</v>
      </c>
      <c r="T601"/>
    </row>
    <row r="602" spans="1:20">
      <c r="A602" s="5" t="s">
        <v>36</v>
      </c>
      <c r="B602" s="5" t="s">
        <v>13930</v>
      </c>
      <c r="C602" s="4">
        <f>Controle_Pedidos[[#This Row],[Data Compra]]</f>
        <v>45643</v>
      </c>
      <c r="D602" s="4">
        <v>45643</v>
      </c>
      <c r="E602" s="5" t="s">
        <v>16025</v>
      </c>
      <c r="F602" s="5" t="s">
        <v>18014</v>
      </c>
      <c r="G602" s="5" t="s">
        <v>849</v>
      </c>
      <c r="H602" s="5">
        <v>1</v>
      </c>
      <c r="I602" s="8" t="s">
        <v>7761</v>
      </c>
      <c r="J602" s="8" t="s">
        <v>9810</v>
      </c>
      <c r="K602" s="8" t="s">
        <v>1607</v>
      </c>
      <c r="L602" s="8" t="s">
        <v>11861</v>
      </c>
      <c r="M602" s="8" t="s">
        <v>3657</v>
      </c>
      <c r="N602" s="8" t="s">
        <v>5708</v>
      </c>
      <c r="O602" s="5" t="s">
        <v>61</v>
      </c>
      <c r="P602" s="4">
        <v>45668</v>
      </c>
      <c r="Q602" s="15">
        <v>65.599999999999994</v>
      </c>
      <c r="R602" s="15">
        <v>17.14</v>
      </c>
      <c r="S602" s="15">
        <v>0</v>
      </c>
      <c r="T602"/>
    </row>
    <row r="603" spans="1:20">
      <c r="A603" s="5" t="s">
        <v>36</v>
      </c>
      <c r="B603" s="5" t="s">
        <v>13931</v>
      </c>
      <c r="C603" s="4">
        <f>Controle_Pedidos[[#This Row],[Data Compra]]</f>
        <v>45645</v>
      </c>
      <c r="D603" s="4">
        <v>45645</v>
      </c>
      <c r="E603" s="5" t="s">
        <v>16026</v>
      </c>
      <c r="F603" s="5" t="s">
        <v>18015</v>
      </c>
      <c r="G603" s="5" t="s">
        <v>849</v>
      </c>
      <c r="H603" s="5">
        <v>1</v>
      </c>
      <c r="I603" s="8" t="s">
        <v>7762</v>
      </c>
      <c r="J603" s="8" t="s">
        <v>9811</v>
      </c>
      <c r="K603" s="8" t="s">
        <v>1608</v>
      </c>
      <c r="L603" s="8" t="s">
        <v>11862</v>
      </c>
      <c r="M603" s="8" t="s">
        <v>3658</v>
      </c>
      <c r="N603" s="8" t="s">
        <v>5709</v>
      </c>
      <c r="O603" s="5" t="s">
        <v>61</v>
      </c>
      <c r="P603" s="4">
        <v>45671</v>
      </c>
      <c r="Q603" s="15">
        <v>65.599999999999994</v>
      </c>
      <c r="R603" s="15">
        <v>17.86</v>
      </c>
      <c r="S603" s="15">
        <v>0</v>
      </c>
      <c r="T603"/>
    </row>
    <row r="604" spans="1:20">
      <c r="A604" s="5" t="s">
        <v>36</v>
      </c>
      <c r="B604" s="5" t="s">
        <v>13932</v>
      </c>
      <c r="C604" s="4">
        <f>Controle_Pedidos[[#This Row],[Data Compra]]</f>
        <v>45645</v>
      </c>
      <c r="D604" s="4">
        <v>45645</v>
      </c>
      <c r="E604" s="5" t="s">
        <v>16027</v>
      </c>
      <c r="F604" s="5" t="s">
        <v>18016</v>
      </c>
      <c r="G604" s="5" t="s">
        <v>852</v>
      </c>
      <c r="H604" s="5">
        <v>1</v>
      </c>
      <c r="I604" s="8" t="s">
        <v>7763</v>
      </c>
      <c r="J604" s="8" t="s">
        <v>9812</v>
      </c>
      <c r="K604" s="8" t="s">
        <v>1609</v>
      </c>
      <c r="L604" s="8" t="s">
        <v>11863</v>
      </c>
      <c r="M604" s="8" t="s">
        <v>3659</v>
      </c>
      <c r="N604" s="8" t="s">
        <v>5710</v>
      </c>
      <c r="O604" s="5" t="s">
        <v>68</v>
      </c>
      <c r="P604" s="4">
        <v>45675</v>
      </c>
      <c r="Q604" s="15">
        <v>21.99</v>
      </c>
      <c r="R604" s="15">
        <v>6.99</v>
      </c>
      <c r="S604" s="15">
        <v>0</v>
      </c>
      <c r="T604"/>
    </row>
    <row r="605" spans="1:20">
      <c r="A605" s="5" t="s">
        <v>36</v>
      </c>
      <c r="B605" s="5" t="s">
        <v>13933</v>
      </c>
      <c r="C605" s="4">
        <f>Controle_Pedidos[[#This Row],[Data Compra]]</f>
        <v>45645</v>
      </c>
      <c r="D605" s="4">
        <v>45645</v>
      </c>
      <c r="E605" s="5" t="s">
        <v>16028</v>
      </c>
      <c r="F605" s="5" t="s">
        <v>18017</v>
      </c>
      <c r="G605" s="5" t="s">
        <v>849</v>
      </c>
      <c r="H605" s="5">
        <v>1</v>
      </c>
      <c r="I605" s="8" t="s">
        <v>7764</v>
      </c>
      <c r="J605" s="8" t="s">
        <v>9813</v>
      </c>
      <c r="K605" s="8" t="s">
        <v>1610</v>
      </c>
      <c r="L605" s="8" t="s">
        <v>11864</v>
      </c>
      <c r="M605" s="8" t="s">
        <v>3660</v>
      </c>
      <c r="N605" s="8" t="s">
        <v>5711</v>
      </c>
      <c r="O605" s="5" t="s">
        <v>61</v>
      </c>
      <c r="P605" s="4">
        <v>45671</v>
      </c>
      <c r="Q605" s="15">
        <v>65.599999999999994</v>
      </c>
      <c r="R605" s="15">
        <v>17.86</v>
      </c>
      <c r="S605" s="15">
        <v>0</v>
      </c>
      <c r="T605"/>
    </row>
    <row r="606" spans="1:20">
      <c r="A606" s="5" t="s">
        <v>36</v>
      </c>
      <c r="B606" s="5" t="s">
        <v>13934</v>
      </c>
      <c r="C606" s="4">
        <f>Controle_Pedidos[[#This Row],[Data Compra]]</f>
        <v>45645</v>
      </c>
      <c r="D606" s="4">
        <v>45645</v>
      </c>
      <c r="E606" s="5" t="s">
        <v>16029</v>
      </c>
      <c r="F606" s="5" t="s">
        <v>18018</v>
      </c>
      <c r="G606" s="5" t="s">
        <v>848</v>
      </c>
      <c r="H606" s="5">
        <v>1</v>
      </c>
      <c r="I606" s="8" t="s">
        <v>7765</v>
      </c>
      <c r="J606" s="8" t="s">
        <v>9814</v>
      </c>
      <c r="K606" s="8" t="s">
        <v>1611</v>
      </c>
      <c r="L606" s="8" t="s">
        <v>11865</v>
      </c>
      <c r="M606" s="8" t="s">
        <v>3661</v>
      </c>
      <c r="N606" s="8" t="s">
        <v>5712</v>
      </c>
      <c r="O606" s="5" t="s">
        <v>76</v>
      </c>
      <c r="P606" s="4">
        <v>45678</v>
      </c>
      <c r="Q606" s="15">
        <v>74.989999999999995</v>
      </c>
      <c r="R606" s="15">
        <v>34.42</v>
      </c>
      <c r="S606" s="15">
        <v>0</v>
      </c>
      <c r="T606"/>
    </row>
    <row r="607" spans="1:20">
      <c r="A607" s="5" t="s">
        <v>36</v>
      </c>
      <c r="B607" s="5" t="s">
        <v>13935</v>
      </c>
      <c r="C607" s="4">
        <f>Controle_Pedidos[[#This Row],[Data Compra]]</f>
        <v>45645</v>
      </c>
      <c r="D607" s="4">
        <v>45645</v>
      </c>
      <c r="E607" s="5" t="s">
        <v>16030</v>
      </c>
      <c r="F607" s="5" t="s">
        <v>18019</v>
      </c>
      <c r="G607" s="5" t="s">
        <v>852</v>
      </c>
      <c r="H607" s="5">
        <v>1</v>
      </c>
      <c r="I607" s="8" t="s">
        <v>7766</v>
      </c>
      <c r="J607" s="8" t="s">
        <v>9815</v>
      </c>
      <c r="K607" s="8" t="s">
        <v>1612</v>
      </c>
      <c r="L607" s="8" t="s">
        <v>11866</v>
      </c>
      <c r="M607" s="8" t="s">
        <v>3662</v>
      </c>
      <c r="N607" s="8" t="s">
        <v>5713</v>
      </c>
      <c r="O607" s="5" t="s">
        <v>68</v>
      </c>
      <c r="P607" s="4">
        <v>45666</v>
      </c>
      <c r="Q607" s="15">
        <v>21.99</v>
      </c>
      <c r="R607" s="15">
        <v>6.99</v>
      </c>
      <c r="S607" s="15">
        <v>0</v>
      </c>
      <c r="T607"/>
    </row>
    <row r="608" spans="1:20">
      <c r="A608" s="5" t="s">
        <v>36</v>
      </c>
      <c r="B608" s="5" t="s">
        <v>13936</v>
      </c>
      <c r="C608" s="4">
        <f>Controle_Pedidos[[#This Row],[Data Compra]]</f>
        <v>45645</v>
      </c>
      <c r="D608" s="4">
        <v>45645</v>
      </c>
      <c r="E608" s="5" t="s">
        <v>16031</v>
      </c>
      <c r="F608" s="5" t="s">
        <v>18020</v>
      </c>
      <c r="G608" s="5" t="s">
        <v>852</v>
      </c>
      <c r="H608" s="5">
        <v>1</v>
      </c>
      <c r="I608" s="8" t="s">
        <v>7767</v>
      </c>
      <c r="J608" s="8" t="s">
        <v>9816</v>
      </c>
      <c r="K608" s="8" t="s">
        <v>1613</v>
      </c>
      <c r="L608" s="8" t="s">
        <v>11867</v>
      </c>
      <c r="M608" s="8" t="s">
        <v>3663</v>
      </c>
      <c r="N608" s="8" t="s">
        <v>5714</v>
      </c>
      <c r="O608" s="5" t="s">
        <v>68</v>
      </c>
      <c r="P608" s="4">
        <v>45672</v>
      </c>
      <c r="Q608" s="15">
        <v>21.99</v>
      </c>
      <c r="R608" s="15">
        <v>6.99</v>
      </c>
      <c r="S608" s="15">
        <v>0</v>
      </c>
      <c r="T608"/>
    </row>
    <row r="609" spans="1:20">
      <c r="A609" s="5" t="s">
        <v>36</v>
      </c>
      <c r="B609" s="5" t="s">
        <v>13937</v>
      </c>
      <c r="C609" s="4">
        <f>Controle_Pedidos[[#This Row],[Data Compra]]</f>
        <v>45645</v>
      </c>
      <c r="D609" s="4">
        <v>45645</v>
      </c>
      <c r="E609" s="5" t="s">
        <v>16032</v>
      </c>
      <c r="F609" s="5" t="s">
        <v>18021</v>
      </c>
      <c r="G609" s="5" t="s">
        <v>852</v>
      </c>
      <c r="H609" s="5">
        <v>1</v>
      </c>
      <c r="I609" s="8" t="s">
        <v>7768</v>
      </c>
      <c r="J609" s="8" t="s">
        <v>9817</v>
      </c>
      <c r="K609" s="8" t="s">
        <v>1614</v>
      </c>
      <c r="L609" s="8" t="s">
        <v>11868</v>
      </c>
      <c r="M609" s="8" t="s">
        <v>3664</v>
      </c>
      <c r="N609" s="8" t="s">
        <v>5715</v>
      </c>
      <c r="O609" s="5" t="s">
        <v>68</v>
      </c>
      <c r="P609" s="4">
        <v>45666</v>
      </c>
      <c r="Q609" s="15">
        <v>21.99</v>
      </c>
      <c r="R609" s="15">
        <v>6.99</v>
      </c>
      <c r="S609" s="15">
        <v>0</v>
      </c>
      <c r="T609"/>
    </row>
    <row r="610" spans="1:20">
      <c r="A610" s="5" t="s">
        <v>36</v>
      </c>
      <c r="B610" s="5" t="s">
        <v>13938</v>
      </c>
      <c r="C610" s="4">
        <f>Controle_Pedidos[[#This Row],[Data Compra]]</f>
        <v>45645</v>
      </c>
      <c r="D610" s="4">
        <v>45645</v>
      </c>
      <c r="E610" s="5" t="s">
        <v>16033</v>
      </c>
      <c r="F610" s="5" t="s">
        <v>18022</v>
      </c>
      <c r="G610" s="5" t="s">
        <v>817</v>
      </c>
      <c r="H610" s="5">
        <v>1</v>
      </c>
      <c r="I610" s="8" t="s">
        <v>7769</v>
      </c>
      <c r="J610" s="8" t="s">
        <v>9818</v>
      </c>
      <c r="K610" s="8" t="s">
        <v>1615</v>
      </c>
      <c r="L610" s="8" t="s">
        <v>11869</v>
      </c>
      <c r="M610" s="8" t="s">
        <v>3665</v>
      </c>
      <c r="N610" s="8" t="s">
        <v>5716</v>
      </c>
      <c r="O610" s="5" t="s">
        <v>39</v>
      </c>
      <c r="P610" s="4">
        <v>45666</v>
      </c>
      <c r="Q610" s="15">
        <v>33.9</v>
      </c>
      <c r="R610" s="15">
        <v>6.99</v>
      </c>
      <c r="S610" s="15">
        <v>0</v>
      </c>
      <c r="T610"/>
    </row>
    <row r="611" spans="1:20">
      <c r="A611" s="5" t="s">
        <v>36</v>
      </c>
      <c r="B611" s="5" t="s">
        <v>13939</v>
      </c>
      <c r="C611" s="4">
        <f>Controle_Pedidos[[#This Row],[Data Compra]]</f>
        <v>45647</v>
      </c>
      <c r="D611" s="4">
        <v>45647</v>
      </c>
      <c r="E611" s="5" t="s">
        <v>16034</v>
      </c>
      <c r="F611" s="5" t="s">
        <v>18023</v>
      </c>
      <c r="G611" s="5" t="s">
        <v>845</v>
      </c>
      <c r="H611" s="5">
        <v>1</v>
      </c>
      <c r="I611" s="8" t="s">
        <v>7770</v>
      </c>
      <c r="J611" s="8" t="s">
        <v>9819</v>
      </c>
      <c r="K611" s="8" t="s">
        <v>1616</v>
      </c>
      <c r="L611" s="8" t="s">
        <v>11870</v>
      </c>
      <c r="M611" s="8" t="s">
        <v>3666</v>
      </c>
      <c r="N611" s="8" t="s">
        <v>5717</v>
      </c>
      <c r="O611" s="5" t="s">
        <v>67</v>
      </c>
      <c r="P611" s="4">
        <v>45679</v>
      </c>
      <c r="Q611" s="15">
        <v>65.599999999999994</v>
      </c>
      <c r="R611" s="15">
        <v>16.05</v>
      </c>
      <c r="S611" s="15">
        <v>0</v>
      </c>
      <c r="T611"/>
    </row>
    <row r="612" spans="1:20">
      <c r="A612" s="5" t="s">
        <v>36</v>
      </c>
      <c r="B612" s="5" t="s">
        <v>13940</v>
      </c>
      <c r="C612" s="4">
        <f>Controle_Pedidos[[#This Row],[Data Compra]]</f>
        <v>45647</v>
      </c>
      <c r="D612" s="4">
        <v>45647</v>
      </c>
      <c r="E612" s="5" t="s">
        <v>16035</v>
      </c>
      <c r="F612" s="5" t="s">
        <v>18024</v>
      </c>
      <c r="G612" s="5" t="s">
        <v>849</v>
      </c>
      <c r="H612" s="5">
        <v>1</v>
      </c>
      <c r="I612" s="8" t="s">
        <v>7771</v>
      </c>
      <c r="J612" s="8" t="s">
        <v>9820</v>
      </c>
      <c r="K612" s="8" t="s">
        <v>1617</v>
      </c>
      <c r="L612" s="8" t="s">
        <v>11871</v>
      </c>
      <c r="M612" s="8" t="s">
        <v>3667</v>
      </c>
      <c r="N612" s="8" t="s">
        <v>5718</v>
      </c>
      <c r="O612" s="5" t="s">
        <v>61</v>
      </c>
      <c r="P612" s="4">
        <v>45686</v>
      </c>
      <c r="Q612" s="15">
        <v>65.599999999999994</v>
      </c>
      <c r="R612" s="15">
        <v>16.7</v>
      </c>
      <c r="S612" s="15">
        <v>0</v>
      </c>
      <c r="T612"/>
    </row>
    <row r="613" spans="1:20">
      <c r="A613" s="5" t="s">
        <v>36</v>
      </c>
      <c r="B613" s="5" t="s">
        <v>13941</v>
      </c>
      <c r="C613" s="4">
        <f>Controle_Pedidos[[#This Row],[Data Compra]]</f>
        <v>45647</v>
      </c>
      <c r="D613" s="4">
        <v>45647</v>
      </c>
      <c r="E613" s="5" t="s">
        <v>16036</v>
      </c>
      <c r="F613" s="5" t="s">
        <v>18025</v>
      </c>
      <c r="G613" s="5" t="s">
        <v>869</v>
      </c>
      <c r="H613" s="5">
        <v>1</v>
      </c>
      <c r="I613" s="8" t="s">
        <v>7772</v>
      </c>
      <c r="J613" s="8" t="s">
        <v>9821</v>
      </c>
      <c r="K613" s="8" t="s">
        <v>1618</v>
      </c>
      <c r="L613" s="8" t="s">
        <v>11872</v>
      </c>
      <c r="M613" s="8" t="s">
        <v>3668</v>
      </c>
      <c r="N613" s="8" t="s">
        <v>5719</v>
      </c>
      <c r="O613" s="5" t="s">
        <v>83</v>
      </c>
      <c r="P613" s="4">
        <v>45673</v>
      </c>
      <c r="Q613" s="15">
        <v>21.99</v>
      </c>
      <c r="R613" s="15">
        <v>6.99</v>
      </c>
      <c r="S613" s="15">
        <v>0</v>
      </c>
      <c r="T613"/>
    </row>
    <row r="614" spans="1:20">
      <c r="A614" s="5" t="s">
        <v>36</v>
      </c>
      <c r="B614" s="5" t="s">
        <v>13942</v>
      </c>
      <c r="C614" s="4">
        <f>Controle_Pedidos[[#This Row],[Data Compra]]</f>
        <v>45647</v>
      </c>
      <c r="D614" s="4">
        <v>45647</v>
      </c>
      <c r="E614" s="5" t="s">
        <v>16037</v>
      </c>
      <c r="F614" s="5" t="s">
        <v>18026</v>
      </c>
      <c r="G614" s="5" t="s">
        <v>852</v>
      </c>
      <c r="H614" s="5">
        <v>1</v>
      </c>
      <c r="I614" s="8" t="s">
        <v>7773</v>
      </c>
      <c r="J614" s="8" t="s">
        <v>9822</v>
      </c>
      <c r="K614" s="8" t="s">
        <v>1619</v>
      </c>
      <c r="L614" s="8" t="s">
        <v>11873</v>
      </c>
      <c r="M614" s="8" t="s">
        <v>3669</v>
      </c>
      <c r="N614" s="8" t="s">
        <v>5720</v>
      </c>
      <c r="O614" s="5" t="s">
        <v>68</v>
      </c>
      <c r="P614" s="4">
        <v>45673</v>
      </c>
      <c r="Q614" s="15">
        <v>21.99</v>
      </c>
      <c r="R614" s="15">
        <v>6.99</v>
      </c>
      <c r="S614" s="15">
        <v>0</v>
      </c>
      <c r="T614"/>
    </row>
    <row r="615" spans="1:20">
      <c r="A615" s="5" t="s">
        <v>36</v>
      </c>
      <c r="B615" s="5" t="s">
        <v>13943</v>
      </c>
      <c r="C615" s="4">
        <f>Controle_Pedidos[[#This Row],[Data Compra]]</f>
        <v>45647</v>
      </c>
      <c r="D615" s="4">
        <v>45647</v>
      </c>
      <c r="E615" s="5" t="s">
        <v>16038</v>
      </c>
      <c r="F615" s="5" t="s">
        <v>18027</v>
      </c>
      <c r="G615" s="5" t="s">
        <v>852</v>
      </c>
      <c r="H615" s="5">
        <v>1</v>
      </c>
      <c r="I615" s="8" t="s">
        <v>7774</v>
      </c>
      <c r="J615" s="8" t="s">
        <v>9823</v>
      </c>
      <c r="K615" s="8" t="s">
        <v>1620</v>
      </c>
      <c r="L615" s="8" t="s">
        <v>11874</v>
      </c>
      <c r="M615" s="8" t="s">
        <v>3670</v>
      </c>
      <c r="N615" s="8" t="s">
        <v>5721</v>
      </c>
      <c r="O615" s="5" t="s">
        <v>68</v>
      </c>
      <c r="P615" s="4">
        <v>45673</v>
      </c>
      <c r="Q615" s="15">
        <v>21.99</v>
      </c>
      <c r="R615" s="15">
        <v>6.99</v>
      </c>
      <c r="S615" s="15">
        <v>0</v>
      </c>
      <c r="T615"/>
    </row>
    <row r="616" spans="1:20">
      <c r="A616" s="5" t="s">
        <v>36</v>
      </c>
      <c r="B616" s="5" t="s">
        <v>13944</v>
      </c>
      <c r="C616" s="4">
        <f>Controle_Pedidos[[#This Row],[Data Compra]]</f>
        <v>45648</v>
      </c>
      <c r="D616" s="4">
        <v>45648</v>
      </c>
      <c r="E616" s="5" t="s">
        <v>16039</v>
      </c>
      <c r="F616" s="5" t="s">
        <v>18028</v>
      </c>
      <c r="G616" s="5" t="s">
        <v>831</v>
      </c>
      <c r="H616" s="5">
        <v>1</v>
      </c>
      <c r="I616" s="8" t="s">
        <v>7775</v>
      </c>
      <c r="J616" s="8" t="s">
        <v>9824</v>
      </c>
      <c r="K616" s="8" t="s">
        <v>1621</v>
      </c>
      <c r="L616" s="8" t="s">
        <v>11875</v>
      </c>
      <c r="M616" s="8" t="s">
        <v>3671</v>
      </c>
      <c r="N616" s="8" t="s">
        <v>5722</v>
      </c>
      <c r="O616" s="5" t="s">
        <v>41</v>
      </c>
      <c r="P616" s="4">
        <v>45679</v>
      </c>
      <c r="Q616" s="15">
        <v>49.4</v>
      </c>
      <c r="R616" s="15">
        <v>16.05</v>
      </c>
      <c r="S616" s="15">
        <v>0</v>
      </c>
      <c r="T616"/>
    </row>
    <row r="617" spans="1:20">
      <c r="A617" s="5" t="s">
        <v>36</v>
      </c>
      <c r="B617" s="5" t="s">
        <v>13945</v>
      </c>
      <c r="C617" s="4">
        <f>Controle_Pedidos[[#This Row],[Data Compra]]</f>
        <v>45648</v>
      </c>
      <c r="D617" s="4">
        <v>45648</v>
      </c>
      <c r="E617" s="5" t="s">
        <v>16040</v>
      </c>
      <c r="F617" s="5" t="s">
        <v>18029</v>
      </c>
      <c r="G617" s="5" t="s">
        <v>831</v>
      </c>
      <c r="H617" s="5">
        <v>1</v>
      </c>
      <c r="I617" s="8" t="s">
        <v>7776</v>
      </c>
      <c r="J617" s="8" t="s">
        <v>9825</v>
      </c>
      <c r="K617" s="8" t="s">
        <v>1622</v>
      </c>
      <c r="L617" s="8" t="s">
        <v>11876</v>
      </c>
      <c r="M617" s="8" t="s">
        <v>3672</v>
      </c>
      <c r="N617" s="8" t="s">
        <v>5723</v>
      </c>
      <c r="O617" s="5" t="s">
        <v>41</v>
      </c>
      <c r="P617" s="4">
        <v>45679</v>
      </c>
      <c r="Q617" s="15">
        <v>49.4</v>
      </c>
      <c r="R617" s="15">
        <v>16.05</v>
      </c>
      <c r="S617" s="15">
        <v>0</v>
      </c>
      <c r="T617"/>
    </row>
    <row r="618" spans="1:20">
      <c r="A618" s="5" t="s">
        <v>36</v>
      </c>
      <c r="B618" s="5" t="s">
        <v>13946</v>
      </c>
      <c r="C618" s="4">
        <f>Controle_Pedidos[[#This Row],[Data Compra]]</f>
        <v>45653</v>
      </c>
      <c r="D618" s="4">
        <v>45653</v>
      </c>
      <c r="E618" s="5" t="s">
        <v>16041</v>
      </c>
      <c r="F618" s="5" t="s">
        <v>18030</v>
      </c>
      <c r="G618" s="5" t="s">
        <v>849</v>
      </c>
      <c r="H618" s="5">
        <v>1</v>
      </c>
      <c r="I618" s="8" t="s">
        <v>7777</v>
      </c>
      <c r="J618" s="8" t="s">
        <v>9826</v>
      </c>
      <c r="K618" s="8" t="s">
        <v>1623</v>
      </c>
      <c r="L618" s="8" t="s">
        <v>11877</v>
      </c>
      <c r="M618" s="8" t="s">
        <v>3673</v>
      </c>
      <c r="N618" s="8" t="s">
        <v>5724</v>
      </c>
      <c r="O618" s="5" t="s">
        <v>61</v>
      </c>
      <c r="P618" s="4">
        <v>45673</v>
      </c>
      <c r="Q618" s="15">
        <v>65.599999999999994</v>
      </c>
      <c r="R618" s="15">
        <v>17.399999999999999</v>
      </c>
      <c r="S618" s="15">
        <v>0</v>
      </c>
      <c r="T618"/>
    </row>
    <row r="619" spans="1:20">
      <c r="A619" s="5" t="s">
        <v>36</v>
      </c>
      <c r="B619" s="5" t="s">
        <v>13947</v>
      </c>
      <c r="C619" s="4">
        <v>45627</v>
      </c>
      <c r="D619" s="4" t="s">
        <v>37</v>
      </c>
      <c r="E619" s="5" t="s">
        <v>37</v>
      </c>
      <c r="F619" s="5" t="s">
        <v>37</v>
      </c>
      <c r="G619" s="5" t="s">
        <v>845</v>
      </c>
      <c r="H619" s="5">
        <v>1</v>
      </c>
      <c r="I619" s="8" t="s">
        <v>7778</v>
      </c>
      <c r="J619" s="8" t="s">
        <v>9827</v>
      </c>
      <c r="K619" s="8" t="s">
        <v>1624</v>
      </c>
      <c r="L619" s="8" t="s">
        <v>11878</v>
      </c>
      <c r="M619" s="8" t="s">
        <v>3674</v>
      </c>
      <c r="N619" s="8" t="s">
        <v>5725</v>
      </c>
      <c r="O619" s="5" t="s">
        <v>67</v>
      </c>
      <c r="P619" s="4">
        <v>45679</v>
      </c>
      <c r="Q619" s="15">
        <v>65.599999999999994</v>
      </c>
      <c r="R619" s="15">
        <v>0</v>
      </c>
      <c r="S619" s="15">
        <v>0</v>
      </c>
      <c r="T619"/>
    </row>
    <row r="620" spans="1:20">
      <c r="A620" s="5" t="s">
        <v>36</v>
      </c>
      <c r="B620" s="5" t="s">
        <v>13947</v>
      </c>
      <c r="C620" s="4">
        <v>45627</v>
      </c>
      <c r="D620" s="4" t="s">
        <v>37</v>
      </c>
      <c r="E620" s="5" t="s">
        <v>37</v>
      </c>
      <c r="F620" s="5" t="s">
        <v>37</v>
      </c>
      <c r="G620" s="5" t="s">
        <v>831</v>
      </c>
      <c r="H620" s="5">
        <v>1</v>
      </c>
      <c r="I620" s="8" t="s">
        <v>7778</v>
      </c>
      <c r="J620" s="8" t="s">
        <v>9827</v>
      </c>
      <c r="K620" s="8" t="s">
        <v>1624</v>
      </c>
      <c r="L620" s="8" t="s">
        <v>11878</v>
      </c>
      <c r="M620" s="8" t="s">
        <v>3674</v>
      </c>
      <c r="N620" s="8" t="s">
        <v>5725</v>
      </c>
      <c r="O620" s="5" t="s">
        <v>41</v>
      </c>
      <c r="P620" s="4">
        <v>45679</v>
      </c>
      <c r="Q620" s="15">
        <v>49.4</v>
      </c>
      <c r="R620" s="15">
        <v>0</v>
      </c>
      <c r="S620" s="15">
        <v>0</v>
      </c>
      <c r="T620"/>
    </row>
    <row r="621" spans="1:20">
      <c r="A621" s="5" t="s">
        <v>36</v>
      </c>
      <c r="B621" s="5" t="s">
        <v>13948</v>
      </c>
      <c r="C621" s="4">
        <f>Controle_Pedidos[[#This Row],[Data Compra]]</f>
        <v>45648</v>
      </c>
      <c r="D621" s="4">
        <v>45648</v>
      </c>
      <c r="E621" s="5" t="s">
        <v>16042</v>
      </c>
      <c r="F621" s="5" t="s">
        <v>18031</v>
      </c>
      <c r="G621" s="5" t="s">
        <v>849</v>
      </c>
      <c r="H621" s="5">
        <v>1</v>
      </c>
      <c r="I621" s="8" t="s">
        <v>7673</v>
      </c>
      <c r="J621" s="8" t="s">
        <v>9722</v>
      </c>
      <c r="K621" s="8" t="s">
        <v>1519</v>
      </c>
      <c r="L621" s="8" t="s">
        <v>11773</v>
      </c>
      <c r="M621" s="8" t="s">
        <v>3569</v>
      </c>
      <c r="N621" s="8" t="s">
        <v>5620</v>
      </c>
      <c r="O621" s="5" t="s">
        <v>61</v>
      </c>
      <c r="P621" s="4">
        <v>45673</v>
      </c>
      <c r="Q621" s="15">
        <v>65.599999999999994</v>
      </c>
      <c r="R621" s="15">
        <v>16.7</v>
      </c>
      <c r="S621" s="15">
        <v>0</v>
      </c>
      <c r="T621"/>
    </row>
    <row r="622" spans="1:20">
      <c r="A622" s="5" t="s">
        <v>36</v>
      </c>
      <c r="B622" s="5" t="s">
        <v>13949</v>
      </c>
      <c r="C622" s="4">
        <f>Controle_Pedidos[[#This Row],[Data Compra]]</f>
        <v>45648</v>
      </c>
      <c r="D622" s="4">
        <v>45648</v>
      </c>
      <c r="E622" s="5" t="s">
        <v>16043</v>
      </c>
      <c r="F622" s="5" t="s">
        <v>18032</v>
      </c>
      <c r="G622" s="5" t="s">
        <v>831</v>
      </c>
      <c r="H622" s="5">
        <v>1</v>
      </c>
      <c r="I622" s="8" t="s">
        <v>7779</v>
      </c>
      <c r="J622" s="8" t="s">
        <v>9828</v>
      </c>
      <c r="K622" s="8" t="s">
        <v>1625</v>
      </c>
      <c r="L622" s="8" t="s">
        <v>11879</v>
      </c>
      <c r="M622" s="8" t="s">
        <v>3675</v>
      </c>
      <c r="N622" s="8" t="s">
        <v>5726</v>
      </c>
      <c r="O622" s="5" t="s">
        <v>41</v>
      </c>
      <c r="P622" s="4">
        <v>45673</v>
      </c>
      <c r="Q622" s="15">
        <v>49.4</v>
      </c>
      <c r="R622" s="15">
        <v>16.05</v>
      </c>
      <c r="S622" s="15">
        <v>0</v>
      </c>
      <c r="T622"/>
    </row>
    <row r="623" spans="1:20">
      <c r="A623" s="5" t="s">
        <v>36</v>
      </c>
      <c r="B623" s="5" t="s">
        <v>13950</v>
      </c>
      <c r="C623" s="4">
        <f>Controle_Pedidos[[#This Row],[Data Compra]]</f>
        <v>45648</v>
      </c>
      <c r="D623" s="4">
        <v>45648</v>
      </c>
      <c r="E623" s="5" t="s">
        <v>16044</v>
      </c>
      <c r="F623" s="5" t="s">
        <v>18033</v>
      </c>
      <c r="G623" s="5" t="s">
        <v>833</v>
      </c>
      <c r="H623" s="5">
        <v>1</v>
      </c>
      <c r="I623" s="8" t="s">
        <v>7780</v>
      </c>
      <c r="J623" s="8" t="s">
        <v>9829</v>
      </c>
      <c r="K623" s="8" t="s">
        <v>1626</v>
      </c>
      <c r="L623" s="8" t="s">
        <v>11880</v>
      </c>
      <c r="M623" s="8" t="s">
        <v>3676</v>
      </c>
      <c r="N623" s="8" t="s">
        <v>5727</v>
      </c>
      <c r="O623" s="5" t="s">
        <v>49</v>
      </c>
      <c r="P623" s="4">
        <v>45673</v>
      </c>
      <c r="Q623" s="15">
        <v>24.8</v>
      </c>
      <c r="R623" s="15">
        <v>9.1999999999999993</v>
      </c>
      <c r="S623" s="15">
        <v>0</v>
      </c>
      <c r="T623"/>
    </row>
    <row r="624" spans="1:20">
      <c r="A624" s="5" t="s">
        <v>36</v>
      </c>
      <c r="B624" s="5" t="s">
        <v>13951</v>
      </c>
      <c r="C624" s="4">
        <f>Controle_Pedidos[[#This Row],[Data Compra]]</f>
        <v>45648</v>
      </c>
      <c r="D624" s="4">
        <v>45648</v>
      </c>
      <c r="E624" s="5" t="s">
        <v>16045</v>
      </c>
      <c r="F624" s="5" t="s">
        <v>18034</v>
      </c>
      <c r="G624" s="5" t="s">
        <v>831</v>
      </c>
      <c r="H624" s="5">
        <v>1</v>
      </c>
      <c r="I624" s="8" t="s">
        <v>7781</v>
      </c>
      <c r="J624" s="8" t="s">
        <v>9830</v>
      </c>
      <c r="K624" s="8" t="s">
        <v>1627</v>
      </c>
      <c r="L624" s="8" t="s">
        <v>11881</v>
      </c>
      <c r="M624" s="8" t="s">
        <v>3677</v>
      </c>
      <c r="N624" s="8" t="s">
        <v>5728</v>
      </c>
      <c r="O624" s="5" t="s">
        <v>41</v>
      </c>
      <c r="P624" s="4">
        <v>45673</v>
      </c>
      <c r="Q624" s="15">
        <v>49.4</v>
      </c>
      <c r="R624" s="15">
        <v>16.05</v>
      </c>
      <c r="S624" s="15">
        <v>0</v>
      </c>
      <c r="T624"/>
    </row>
    <row r="625" spans="1:20">
      <c r="A625" s="5" t="s">
        <v>36</v>
      </c>
      <c r="B625" s="5" t="s">
        <v>13952</v>
      </c>
      <c r="C625" s="4">
        <f>Controle_Pedidos[[#This Row],[Data Compra]]</f>
        <v>45648</v>
      </c>
      <c r="D625" s="4">
        <v>45648</v>
      </c>
      <c r="E625" s="5" t="s">
        <v>16046</v>
      </c>
      <c r="F625" s="5" t="s">
        <v>18035</v>
      </c>
      <c r="G625" s="5" t="s">
        <v>849</v>
      </c>
      <c r="H625" s="5">
        <v>1</v>
      </c>
      <c r="I625" s="8" t="s">
        <v>7782</v>
      </c>
      <c r="J625" s="8" t="s">
        <v>9831</v>
      </c>
      <c r="K625" s="8" t="s">
        <v>1628</v>
      </c>
      <c r="L625" s="8" t="s">
        <v>11882</v>
      </c>
      <c r="M625" s="8" t="s">
        <v>3678</v>
      </c>
      <c r="N625" s="8" t="s">
        <v>5729</v>
      </c>
      <c r="O625" s="5" t="s">
        <v>61</v>
      </c>
      <c r="P625" s="4">
        <v>45673</v>
      </c>
      <c r="Q625" s="15">
        <v>65.599999999999994</v>
      </c>
      <c r="R625" s="15">
        <v>16.7</v>
      </c>
      <c r="S625" s="15">
        <v>0</v>
      </c>
      <c r="T625"/>
    </row>
    <row r="626" spans="1:20">
      <c r="A626" s="5" t="s">
        <v>36</v>
      </c>
      <c r="B626" s="5" t="s">
        <v>13953</v>
      </c>
      <c r="C626" s="4">
        <v>45627</v>
      </c>
      <c r="D626" s="4" t="s">
        <v>37</v>
      </c>
      <c r="E626" s="5" t="s">
        <v>37</v>
      </c>
      <c r="F626" s="5" t="s">
        <v>37</v>
      </c>
      <c r="G626" s="5" t="s">
        <v>817</v>
      </c>
      <c r="H626" s="5">
        <v>1</v>
      </c>
      <c r="I626" s="8" t="s">
        <v>7783</v>
      </c>
      <c r="J626" s="8" t="s">
        <v>9832</v>
      </c>
      <c r="K626" s="8" t="s">
        <v>1629</v>
      </c>
      <c r="L626" s="8" t="s">
        <v>11883</v>
      </c>
      <c r="M626" s="8" t="s">
        <v>3679</v>
      </c>
      <c r="N626" s="8" t="s">
        <v>5730</v>
      </c>
      <c r="O626" s="5" t="s">
        <v>39</v>
      </c>
      <c r="P626" s="4">
        <v>45667</v>
      </c>
      <c r="Q626" s="15">
        <v>33.9</v>
      </c>
      <c r="R626" s="15">
        <v>0</v>
      </c>
      <c r="S626" s="15">
        <v>0</v>
      </c>
      <c r="T626"/>
    </row>
    <row r="627" spans="1:20">
      <c r="A627" s="5" t="s">
        <v>36</v>
      </c>
      <c r="B627" s="5" t="s">
        <v>13954</v>
      </c>
      <c r="C627" s="4">
        <f>Controle_Pedidos[[#This Row],[Data Compra]]</f>
        <v>45648</v>
      </c>
      <c r="D627" s="4">
        <v>45648</v>
      </c>
      <c r="E627" s="5" t="s">
        <v>16047</v>
      </c>
      <c r="F627" s="5" t="s">
        <v>18036</v>
      </c>
      <c r="G627" s="5" t="s">
        <v>849</v>
      </c>
      <c r="H627" s="5">
        <v>1</v>
      </c>
      <c r="I627" s="8" t="s">
        <v>7784</v>
      </c>
      <c r="J627" s="8" t="s">
        <v>9833</v>
      </c>
      <c r="K627" s="8" t="s">
        <v>1630</v>
      </c>
      <c r="L627" s="8" t="s">
        <v>11884</v>
      </c>
      <c r="M627" s="8" t="s">
        <v>3680</v>
      </c>
      <c r="N627" s="8" t="s">
        <v>5731</v>
      </c>
      <c r="O627" s="5" t="s">
        <v>61</v>
      </c>
      <c r="P627" s="4">
        <v>45686</v>
      </c>
      <c r="Q627" s="15">
        <v>65.599999999999994</v>
      </c>
      <c r="R627" s="15">
        <v>16.7</v>
      </c>
      <c r="S627" s="15">
        <v>0</v>
      </c>
      <c r="T627"/>
    </row>
    <row r="628" spans="1:20">
      <c r="A628" s="5" t="s">
        <v>36</v>
      </c>
      <c r="B628" s="5" t="s">
        <v>13955</v>
      </c>
      <c r="C628" s="4">
        <f>Controle_Pedidos[[#This Row],[Data Compra]]</f>
        <v>45652</v>
      </c>
      <c r="D628" s="4">
        <v>45652</v>
      </c>
      <c r="E628" s="5" t="s">
        <v>16048</v>
      </c>
      <c r="F628" s="5" t="s">
        <v>18037</v>
      </c>
      <c r="G628" s="5" t="s">
        <v>831</v>
      </c>
      <c r="H628" s="5">
        <v>1</v>
      </c>
      <c r="I628" s="8" t="s">
        <v>7785</v>
      </c>
      <c r="J628" s="8" t="s">
        <v>9834</v>
      </c>
      <c r="K628" s="8" t="s">
        <v>1631</v>
      </c>
      <c r="L628" s="8" t="s">
        <v>11885</v>
      </c>
      <c r="M628" s="8" t="s">
        <v>3681</v>
      </c>
      <c r="N628" s="8" t="s">
        <v>5732</v>
      </c>
      <c r="O628" s="5" t="s">
        <v>41</v>
      </c>
      <c r="P628" s="4">
        <v>45686</v>
      </c>
      <c r="Q628" s="15">
        <v>49.4</v>
      </c>
      <c r="R628" s="15">
        <v>16.64</v>
      </c>
      <c r="S628" s="15">
        <v>0</v>
      </c>
      <c r="T628"/>
    </row>
    <row r="629" spans="1:20">
      <c r="A629" s="5" t="s">
        <v>36</v>
      </c>
      <c r="B629" s="5" t="s">
        <v>13956</v>
      </c>
      <c r="C629" s="4">
        <f>Controle_Pedidos[[#This Row],[Data Compra]]</f>
        <v>45652</v>
      </c>
      <c r="D629" s="4">
        <v>45652</v>
      </c>
      <c r="E629" s="5" t="s">
        <v>16049</v>
      </c>
      <c r="F629" s="5" t="s">
        <v>18038</v>
      </c>
      <c r="G629" s="5" t="s">
        <v>849</v>
      </c>
      <c r="H629" s="5">
        <v>1</v>
      </c>
      <c r="I629" s="8" t="s">
        <v>7786</v>
      </c>
      <c r="J629" s="8" t="s">
        <v>9835</v>
      </c>
      <c r="K629" s="8" t="s">
        <v>1632</v>
      </c>
      <c r="L629" s="8" t="s">
        <v>11886</v>
      </c>
      <c r="M629" s="8" t="s">
        <v>3682</v>
      </c>
      <c r="N629" s="8" t="s">
        <v>5733</v>
      </c>
      <c r="O629" s="5" t="s">
        <v>61</v>
      </c>
      <c r="P629" s="4">
        <v>45686</v>
      </c>
      <c r="Q629" s="15">
        <v>65.599999999999994</v>
      </c>
      <c r="R629" s="15">
        <v>17.23</v>
      </c>
      <c r="S629" s="15">
        <v>0</v>
      </c>
      <c r="T629"/>
    </row>
    <row r="630" spans="1:20">
      <c r="A630" s="5" t="s">
        <v>36</v>
      </c>
      <c r="B630" s="5" t="s">
        <v>13957</v>
      </c>
      <c r="C630" s="4">
        <f>Controle_Pedidos[[#This Row],[Data Compra]]</f>
        <v>45652</v>
      </c>
      <c r="D630" s="4">
        <v>45652</v>
      </c>
      <c r="E630" s="5" t="s">
        <v>16050</v>
      </c>
      <c r="F630" s="5" t="s">
        <v>18039</v>
      </c>
      <c r="G630" s="5" t="s">
        <v>833</v>
      </c>
      <c r="H630" s="5">
        <v>1</v>
      </c>
      <c r="I630" s="8" t="s">
        <v>7787</v>
      </c>
      <c r="J630" s="8" t="s">
        <v>9836</v>
      </c>
      <c r="K630" s="8" t="s">
        <v>1633</v>
      </c>
      <c r="L630" s="8" t="s">
        <v>11887</v>
      </c>
      <c r="M630" s="8" t="s">
        <v>3683</v>
      </c>
      <c r="N630" s="8" t="s">
        <v>5734</v>
      </c>
      <c r="O630" s="5" t="s">
        <v>49</v>
      </c>
      <c r="P630" s="4">
        <v>45667</v>
      </c>
      <c r="Q630" s="15">
        <v>24.8</v>
      </c>
      <c r="R630" s="15">
        <v>11.9</v>
      </c>
      <c r="S630" s="15">
        <v>0</v>
      </c>
      <c r="T630"/>
    </row>
    <row r="631" spans="1:20">
      <c r="A631" s="5" t="s">
        <v>36</v>
      </c>
      <c r="B631" s="5" t="s">
        <v>13958</v>
      </c>
      <c r="C631" s="4">
        <f>Controle_Pedidos[[#This Row],[Data Compra]]</f>
        <v>45652</v>
      </c>
      <c r="D631" s="4">
        <v>45652</v>
      </c>
      <c r="E631" s="5" t="s">
        <v>16051</v>
      </c>
      <c r="F631" s="5" t="s">
        <v>18040</v>
      </c>
      <c r="G631" s="5" t="s">
        <v>831</v>
      </c>
      <c r="H631" s="5">
        <v>1</v>
      </c>
      <c r="I631" s="8" t="s">
        <v>7788</v>
      </c>
      <c r="J631" s="8" t="s">
        <v>9837</v>
      </c>
      <c r="K631" s="8" t="s">
        <v>1634</v>
      </c>
      <c r="L631" s="8" t="s">
        <v>11888</v>
      </c>
      <c r="M631" s="8" t="s">
        <v>3684</v>
      </c>
      <c r="N631" s="8" t="s">
        <v>5735</v>
      </c>
      <c r="O631" s="5" t="s">
        <v>41</v>
      </c>
      <c r="P631" s="4">
        <v>45673</v>
      </c>
      <c r="Q631" s="15">
        <v>49.4</v>
      </c>
      <c r="R631" s="15">
        <v>16.64</v>
      </c>
      <c r="S631" s="15">
        <v>0</v>
      </c>
      <c r="T631"/>
    </row>
    <row r="632" spans="1:20">
      <c r="A632" s="5" t="s">
        <v>36</v>
      </c>
      <c r="B632" s="5" t="s">
        <v>13959</v>
      </c>
      <c r="C632" s="4">
        <f>Controle_Pedidos[[#This Row],[Data Compra]]</f>
        <v>45652</v>
      </c>
      <c r="D632" s="4">
        <v>45652</v>
      </c>
      <c r="E632" s="5" t="s">
        <v>16052</v>
      </c>
      <c r="F632" s="5" t="s">
        <v>18041</v>
      </c>
      <c r="G632" s="5" t="s">
        <v>849</v>
      </c>
      <c r="H632" s="5">
        <v>1</v>
      </c>
      <c r="I632" s="8" t="s">
        <v>7611</v>
      </c>
      <c r="J632" s="8" t="s">
        <v>9660</v>
      </c>
      <c r="K632" s="8" t="s">
        <v>1457</v>
      </c>
      <c r="L632" s="8" t="s">
        <v>11711</v>
      </c>
      <c r="M632" s="8" t="s">
        <v>3507</v>
      </c>
      <c r="N632" s="8" t="s">
        <v>5558</v>
      </c>
      <c r="O632" s="5" t="s">
        <v>61</v>
      </c>
      <c r="P632" s="4">
        <v>45680</v>
      </c>
      <c r="Q632" s="15">
        <v>65.599999999999994</v>
      </c>
      <c r="R632" s="15">
        <v>17.23</v>
      </c>
      <c r="S632" s="15">
        <v>0</v>
      </c>
      <c r="T632"/>
    </row>
    <row r="633" spans="1:20">
      <c r="A633" s="5" t="s">
        <v>36</v>
      </c>
      <c r="B633" s="5" t="s">
        <v>13960</v>
      </c>
      <c r="C633" s="4">
        <f>Controle_Pedidos[[#This Row],[Data Compra]]</f>
        <v>45652</v>
      </c>
      <c r="D633" s="4">
        <v>45652</v>
      </c>
      <c r="E633" s="5" t="s">
        <v>16053</v>
      </c>
      <c r="F633" s="5" t="s">
        <v>18042</v>
      </c>
      <c r="G633" s="5" t="s">
        <v>849</v>
      </c>
      <c r="H633" s="5">
        <v>1</v>
      </c>
      <c r="I633" s="8" t="s">
        <v>7789</v>
      </c>
      <c r="J633" s="8" t="s">
        <v>9838</v>
      </c>
      <c r="K633" s="8" t="s">
        <v>1635</v>
      </c>
      <c r="L633" s="8" t="s">
        <v>11889</v>
      </c>
      <c r="M633" s="8" t="s">
        <v>3685</v>
      </c>
      <c r="N633" s="8" t="s">
        <v>5736</v>
      </c>
      <c r="O633" s="5" t="s">
        <v>61</v>
      </c>
      <c r="P633" s="4">
        <v>45680</v>
      </c>
      <c r="Q633" s="15">
        <v>65.599999999999994</v>
      </c>
      <c r="R633" s="15">
        <v>17.23</v>
      </c>
      <c r="S633" s="15">
        <v>0</v>
      </c>
      <c r="T633"/>
    </row>
    <row r="634" spans="1:20">
      <c r="A634" s="5" t="s">
        <v>36</v>
      </c>
      <c r="B634" s="5" t="s">
        <v>13961</v>
      </c>
      <c r="C634" s="4">
        <f>Controle_Pedidos[[#This Row],[Data Compra]]</f>
        <v>45652</v>
      </c>
      <c r="D634" s="4">
        <v>45652</v>
      </c>
      <c r="E634" s="5" t="s">
        <v>16054</v>
      </c>
      <c r="F634" s="5" t="s">
        <v>18043</v>
      </c>
      <c r="G634" s="5" t="s">
        <v>831</v>
      </c>
      <c r="H634" s="5">
        <v>1</v>
      </c>
      <c r="I634" s="8" t="s">
        <v>7790</v>
      </c>
      <c r="J634" s="8" t="s">
        <v>9839</v>
      </c>
      <c r="K634" s="8" t="s">
        <v>1636</v>
      </c>
      <c r="L634" s="8" t="s">
        <v>11890</v>
      </c>
      <c r="M634" s="8" t="s">
        <v>3686</v>
      </c>
      <c r="N634" s="8" t="s">
        <v>5737</v>
      </c>
      <c r="O634" s="5" t="s">
        <v>41</v>
      </c>
      <c r="P634" s="4">
        <v>45680</v>
      </c>
      <c r="Q634" s="15">
        <v>49.4</v>
      </c>
      <c r="R634" s="15">
        <v>16.64</v>
      </c>
      <c r="S634" s="15">
        <v>0</v>
      </c>
      <c r="T634"/>
    </row>
    <row r="635" spans="1:20">
      <c r="A635" s="5" t="s">
        <v>36</v>
      </c>
      <c r="B635" s="5" t="s">
        <v>13962</v>
      </c>
      <c r="C635" s="4">
        <f>Controle_Pedidos[[#This Row],[Data Compra]]</f>
        <v>45652</v>
      </c>
      <c r="D635" s="4">
        <v>45652</v>
      </c>
      <c r="E635" s="5" t="s">
        <v>16055</v>
      </c>
      <c r="F635" s="5" t="s">
        <v>18044</v>
      </c>
      <c r="G635" s="5" t="s">
        <v>849</v>
      </c>
      <c r="H635" s="5">
        <v>1</v>
      </c>
      <c r="I635" s="8" t="s">
        <v>7791</v>
      </c>
      <c r="J635" s="8" t="s">
        <v>9840</v>
      </c>
      <c r="K635" s="8" t="s">
        <v>1637</v>
      </c>
      <c r="L635" s="8" t="s">
        <v>11891</v>
      </c>
      <c r="M635" s="8" t="s">
        <v>3687</v>
      </c>
      <c r="N635" s="8" t="s">
        <v>5738</v>
      </c>
      <c r="O635" s="5" t="s">
        <v>61</v>
      </c>
      <c r="P635" s="4">
        <v>45674</v>
      </c>
      <c r="Q635" s="15">
        <v>65.599999999999994</v>
      </c>
      <c r="R635" s="15">
        <v>17.23</v>
      </c>
      <c r="S635" s="15">
        <v>0</v>
      </c>
      <c r="T635"/>
    </row>
    <row r="636" spans="1:20">
      <c r="A636" s="5" t="s">
        <v>36</v>
      </c>
      <c r="B636" s="5" t="s">
        <v>13963</v>
      </c>
      <c r="C636" s="4">
        <f>Controle_Pedidos[[#This Row],[Data Compra]]</f>
        <v>45652</v>
      </c>
      <c r="D636" s="4">
        <v>45652</v>
      </c>
      <c r="E636" s="5" t="s">
        <v>16056</v>
      </c>
      <c r="F636" s="5" t="s">
        <v>18045</v>
      </c>
      <c r="G636" s="5" t="s">
        <v>849</v>
      </c>
      <c r="H636" s="5">
        <v>1</v>
      </c>
      <c r="I636" s="8" t="s">
        <v>7792</v>
      </c>
      <c r="J636" s="8" t="s">
        <v>9841</v>
      </c>
      <c r="K636" s="8" t="s">
        <v>1638</v>
      </c>
      <c r="L636" s="8" t="s">
        <v>11892</v>
      </c>
      <c r="M636" s="8" t="s">
        <v>3688</v>
      </c>
      <c r="N636" s="8" t="s">
        <v>5739</v>
      </c>
      <c r="O636" s="5" t="s">
        <v>61</v>
      </c>
      <c r="P636" s="4">
        <v>45687</v>
      </c>
      <c r="Q636" s="15">
        <v>65.599999999999994</v>
      </c>
      <c r="R636" s="15">
        <v>17.23</v>
      </c>
      <c r="S636" s="15">
        <v>0</v>
      </c>
      <c r="T636"/>
    </row>
    <row r="637" spans="1:20">
      <c r="A637" s="5" t="s">
        <v>36</v>
      </c>
      <c r="B637" s="5" t="s">
        <v>13964</v>
      </c>
      <c r="C637" s="4">
        <f>Controle_Pedidos[[#This Row],[Data Compra]]</f>
        <v>45652</v>
      </c>
      <c r="D637" s="4">
        <v>45652</v>
      </c>
      <c r="E637" s="5" t="s">
        <v>16057</v>
      </c>
      <c r="F637" s="5" t="s">
        <v>18046</v>
      </c>
      <c r="G637" s="5" t="s">
        <v>831</v>
      </c>
      <c r="H637" s="5">
        <v>1</v>
      </c>
      <c r="I637" s="8" t="s">
        <v>7793</v>
      </c>
      <c r="J637" s="8" t="s">
        <v>9842</v>
      </c>
      <c r="K637" s="8" t="s">
        <v>1639</v>
      </c>
      <c r="L637" s="8" t="s">
        <v>11893</v>
      </c>
      <c r="M637" s="8" t="s">
        <v>3689</v>
      </c>
      <c r="N637" s="8" t="s">
        <v>5740</v>
      </c>
      <c r="O637" s="5" t="s">
        <v>41</v>
      </c>
      <c r="P637" s="4">
        <v>45680</v>
      </c>
      <c r="Q637" s="15">
        <v>49.4</v>
      </c>
      <c r="R637" s="15">
        <v>16.64</v>
      </c>
      <c r="S637" s="15">
        <v>0</v>
      </c>
      <c r="T637"/>
    </row>
    <row r="638" spans="1:20">
      <c r="A638" s="5" t="s">
        <v>36</v>
      </c>
      <c r="B638" s="5" t="s">
        <v>13965</v>
      </c>
      <c r="C638" s="4">
        <f>Controle_Pedidos[[#This Row],[Data Compra]]</f>
        <v>45652</v>
      </c>
      <c r="D638" s="4">
        <v>45652</v>
      </c>
      <c r="E638" s="5" t="s">
        <v>16058</v>
      </c>
      <c r="F638" s="5" t="s">
        <v>18047</v>
      </c>
      <c r="G638" s="5" t="s">
        <v>849</v>
      </c>
      <c r="H638" s="5">
        <v>1</v>
      </c>
      <c r="I638" s="8" t="s">
        <v>7794</v>
      </c>
      <c r="J638" s="8" t="s">
        <v>9843</v>
      </c>
      <c r="K638" s="8" t="s">
        <v>1640</v>
      </c>
      <c r="L638" s="8" t="s">
        <v>11894</v>
      </c>
      <c r="M638" s="8" t="s">
        <v>3690</v>
      </c>
      <c r="N638" s="8" t="s">
        <v>5741</v>
      </c>
      <c r="O638" s="5" t="s">
        <v>61</v>
      </c>
      <c r="P638" s="4">
        <v>45674</v>
      </c>
      <c r="Q638" s="15">
        <v>65.599999999999994</v>
      </c>
      <c r="R638" s="15">
        <v>17.23</v>
      </c>
      <c r="S638" s="15">
        <v>0</v>
      </c>
      <c r="T638"/>
    </row>
    <row r="639" spans="1:20">
      <c r="A639" s="5" t="s">
        <v>36</v>
      </c>
      <c r="B639" s="5" t="s">
        <v>13966</v>
      </c>
      <c r="C639" s="4">
        <f>Controle_Pedidos[[#This Row],[Data Compra]]</f>
        <v>45652</v>
      </c>
      <c r="D639" s="4">
        <v>45652</v>
      </c>
      <c r="E639" s="5" t="s">
        <v>16059</v>
      </c>
      <c r="F639" s="5" t="s">
        <v>18048</v>
      </c>
      <c r="G639" s="5" t="s">
        <v>831</v>
      </c>
      <c r="H639" s="5">
        <v>1</v>
      </c>
      <c r="I639" s="8" t="s">
        <v>7795</v>
      </c>
      <c r="J639" s="8" t="s">
        <v>9844</v>
      </c>
      <c r="K639" s="8" t="s">
        <v>1641</v>
      </c>
      <c r="L639" s="8" t="s">
        <v>11895</v>
      </c>
      <c r="M639" s="8" t="s">
        <v>3691</v>
      </c>
      <c r="N639" s="8" t="s">
        <v>5742</v>
      </c>
      <c r="O639" s="5" t="s">
        <v>41</v>
      </c>
      <c r="P639" s="4">
        <v>45680</v>
      </c>
      <c r="Q639" s="15">
        <v>49.4</v>
      </c>
      <c r="R639" s="15">
        <v>16.64</v>
      </c>
      <c r="S639" s="15">
        <v>0</v>
      </c>
      <c r="T639"/>
    </row>
    <row r="640" spans="1:20">
      <c r="A640" s="5" t="s">
        <v>36</v>
      </c>
      <c r="B640" s="5" t="s">
        <v>13967</v>
      </c>
      <c r="C640" s="4">
        <f>Controle_Pedidos[[#This Row],[Data Compra]]</f>
        <v>45652</v>
      </c>
      <c r="D640" s="4">
        <v>45652</v>
      </c>
      <c r="E640" s="5" t="s">
        <v>16060</v>
      </c>
      <c r="F640" s="5" t="s">
        <v>18049</v>
      </c>
      <c r="G640" s="5" t="s">
        <v>849</v>
      </c>
      <c r="H640" s="5">
        <v>1</v>
      </c>
      <c r="I640" s="8" t="s">
        <v>7796</v>
      </c>
      <c r="J640" s="8" t="s">
        <v>9845</v>
      </c>
      <c r="K640" s="8" t="s">
        <v>1642</v>
      </c>
      <c r="L640" s="8" t="s">
        <v>11896</v>
      </c>
      <c r="M640" s="8" t="s">
        <v>3692</v>
      </c>
      <c r="N640" s="8" t="s">
        <v>5743</v>
      </c>
      <c r="O640" s="5" t="s">
        <v>61</v>
      </c>
      <c r="P640" s="4">
        <v>45687</v>
      </c>
      <c r="Q640" s="15">
        <v>65.599999999999994</v>
      </c>
      <c r="R640" s="15">
        <v>17.23</v>
      </c>
      <c r="S640" s="15">
        <v>0</v>
      </c>
      <c r="T640"/>
    </row>
    <row r="641" spans="1:20">
      <c r="A641" s="5" t="s">
        <v>36</v>
      </c>
      <c r="B641" s="5" t="s">
        <v>13968</v>
      </c>
      <c r="C641" s="4">
        <v>45627</v>
      </c>
      <c r="D641" s="4" t="s">
        <v>37</v>
      </c>
      <c r="E641" s="5" t="s">
        <v>37</v>
      </c>
      <c r="F641" s="5" t="s">
        <v>37</v>
      </c>
      <c r="G641" s="5" t="s">
        <v>833</v>
      </c>
      <c r="H641" s="5">
        <v>1</v>
      </c>
      <c r="I641" s="8" t="s">
        <v>7797</v>
      </c>
      <c r="J641" s="8" t="s">
        <v>9846</v>
      </c>
      <c r="K641" s="8" t="s">
        <v>1643</v>
      </c>
      <c r="L641" s="8" t="s">
        <v>11897</v>
      </c>
      <c r="M641" s="8" t="s">
        <v>3693</v>
      </c>
      <c r="N641" s="8" t="s">
        <v>5744</v>
      </c>
      <c r="O641" s="5" t="s">
        <v>49</v>
      </c>
      <c r="P641" s="4">
        <v>45674</v>
      </c>
      <c r="Q641" s="15">
        <v>24.8</v>
      </c>
      <c r="R641" s="15">
        <v>0</v>
      </c>
      <c r="S641" s="15">
        <v>0</v>
      </c>
      <c r="T641"/>
    </row>
    <row r="642" spans="1:20">
      <c r="A642" s="5" t="s">
        <v>36</v>
      </c>
      <c r="B642" s="5" t="s">
        <v>13969</v>
      </c>
      <c r="C642" s="4">
        <f>Controle_Pedidos[[#This Row],[Data Compra]]</f>
        <v>45652</v>
      </c>
      <c r="D642" s="4">
        <v>45652</v>
      </c>
      <c r="E642" s="5" t="s">
        <v>16061</v>
      </c>
      <c r="F642" s="5" t="s">
        <v>18050</v>
      </c>
      <c r="G642" s="5" t="s">
        <v>831</v>
      </c>
      <c r="H642" s="5">
        <v>1</v>
      </c>
      <c r="I642" s="8" t="s">
        <v>7798</v>
      </c>
      <c r="J642" s="8" t="s">
        <v>9847</v>
      </c>
      <c r="K642" s="8" t="s">
        <v>1644</v>
      </c>
      <c r="L642" s="8" t="s">
        <v>11898</v>
      </c>
      <c r="M642" s="8" t="s">
        <v>3694</v>
      </c>
      <c r="N642" s="8" t="s">
        <v>5745</v>
      </c>
      <c r="O642" s="5" t="s">
        <v>41</v>
      </c>
      <c r="P642" s="4">
        <v>45674</v>
      </c>
      <c r="Q642" s="15">
        <v>49.4</v>
      </c>
      <c r="R642" s="15">
        <v>16.64</v>
      </c>
      <c r="S642" s="15">
        <v>0</v>
      </c>
      <c r="T642"/>
    </row>
    <row r="643" spans="1:20">
      <c r="A643" s="5" t="s">
        <v>36</v>
      </c>
      <c r="B643" s="5" t="s">
        <v>13970</v>
      </c>
      <c r="C643" s="4">
        <f>Controle_Pedidos[[#This Row],[Data Compra]]</f>
        <v>45652</v>
      </c>
      <c r="D643" s="4">
        <v>45652</v>
      </c>
      <c r="E643" s="5" t="s">
        <v>16062</v>
      </c>
      <c r="F643" s="5" t="s">
        <v>18051</v>
      </c>
      <c r="G643" s="5" t="s">
        <v>831</v>
      </c>
      <c r="H643" s="5">
        <v>1</v>
      </c>
      <c r="I643" s="8" t="s">
        <v>7799</v>
      </c>
      <c r="J643" s="8" t="s">
        <v>9848</v>
      </c>
      <c r="K643" s="8" t="s">
        <v>1645</v>
      </c>
      <c r="L643" s="8" t="s">
        <v>11899</v>
      </c>
      <c r="M643" s="8" t="s">
        <v>3695</v>
      </c>
      <c r="N643" s="8" t="s">
        <v>5746</v>
      </c>
      <c r="O643" s="5" t="s">
        <v>41</v>
      </c>
      <c r="P643" s="4">
        <v>45674</v>
      </c>
      <c r="Q643" s="15">
        <v>49.4</v>
      </c>
      <c r="R643" s="15">
        <v>16.64</v>
      </c>
      <c r="S643" s="15">
        <v>0</v>
      </c>
      <c r="T643"/>
    </row>
    <row r="644" spans="1:20">
      <c r="A644" s="5" t="s">
        <v>36</v>
      </c>
      <c r="B644" s="5" t="s">
        <v>13971</v>
      </c>
      <c r="C644" s="4">
        <f>Controle_Pedidos[[#This Row],[Data Compra]]</f>
        <v>45652</v>
      </c>
      <c r="D644" s="4">
        <v>45652</v>
      </c>
      <c r="E644" s="5" t="s">
        <v>16063</v>
      </c>
      <c r="F644" s="5" t="s">
        <v>18052</v>
      </c>
      <c r="G644" s="5" t="s">
        <v>833</v>
      </c>
      <c r="H644" s="5">
        <v>1</v>
      </c>
      <c r="I644" s="8" t="s">
        <v>7800</v>
      </c>
      <c r="J644" s="8" t="s">
        <v>9849</v>
      </c>
      <c r="K644" s="8" t="s">
        <v>1646</v>
      </c>
      <c r="L644" s="8" t="s">
        <v>11900</v>
      </c>
      <c r="M644" s="8" t="s">
        <v>3696</v>
      </c>
      <c r="N644" s="8" t="s">
        <v>5747</v>
      </c>
      <c r="O644" s="5" t="s">
        <v>49</v>
      </c>
      <c r="P644" s="4">
        <v>45671</v>
      </c>
      <c r="Q644" s="15">
        <v>24.8</v>
      </c>
      <c r="R644" s="15">
        <v>11.9</v>
      </c>
      <c r="S644" s="15">
        <v>0</v>
      </c>
      <c r="T644"/>
    </row>
    <row r="645" spans="1:20">
      <c r="A645" s="5" t="s">
        <v>36</v>
      </c>
      <c r="B645" s="5" t="s">
        <v>13972</v>
      </c>
      <c r="C645" s="4">
        <f>Controle_Pedidos[[#This Row],[Data Compra]]</f>
        <v>45652</v>
      </c>
      <c r="D645" s="4">
        <v>45652</v>
      </c>
      <c r="E645" s="5" t="s">
        <v>16064</v>
      </c>
      <c r="F645" s="5" t="s">
        <v>18053</v>
      </c>
      <c r="G645" s="5" t="s">
        <v>831</v>
      </c>
      <c r="H645" s="5">
        <v>1</v>
      </c>
      <c r="I645" s="8" t="s">
        <v>7801</v>
      </c>
      <c r="J645" s="8" t="s">
        <v>9850</v>
      </c>
      <c r="K645" s="8" t="s">
        <v>1647</v>
      </c>
      <c r="L645" s="8" t="s">
        <v>11901</v>
      </c>
      <c r="M645" s="8" t="s">
        <v>3697</v>
      </c>
      <c r="N645" s="8" t="s">
        <v>5748</v>
      </c>
      <c r="O645" s="5" t="s">
        <v>41</v>
      </c>
      <c r="P645" s="4">
        <v>45681</v>
      </c>
      <c r="Q645" s="15">
        <v>49.4</v>
      </c>
      <c r="R645" s="15">
        <v>16.64</v>
      </c>
      <c r="S645" s="15">
        <v>0</v>
      </c>
      <c r="T645"/>
    </row>
    <row r="646" spans="1:20">
      <c r="A646" s="5" t="s">
        <v>36</v>
      </c>
      <c r="B646" s="5" t="s">
        <v>13973</v>
      </c>
      <c r="C646" s="4">
        <f>Controle_Pedidos[[#This Row],[Data Compra]]</f>
        <v>45652</v>
      </c>
      <c r="D646" s="4">
        <v>45652</v>
      </c>
      <c r="E646" s="5" t="s">
        <v>16065</v>
      </c>
      <c r="F646" s="5" t="s">
        <v>18054</v>
      </c>
      <c r="G646" s="5" t="s">
        <v>845</v>
      </c>
      <c r="H646" s="5">
        <v>1</v>
      </c>
      <c r="I646" s="8" t="s">
        <v>7802</v>
      </c>
      <c r="J646" s="8" t="s">
        <v>9851</v>
      </c>
      <c r="K646" s="8" t="s">
        <v>1648</v>
      </c>
      <c r="L646" s="8" t="s">
        <v>11902</v>
      </c>
      <c r="M646" s="8" t="s">
        <v>3698</v>
      </c>
      <c r="N646" s="8" t="s">
        <v>5749</v>
      </c>
      <c r="O646" s="5" t="s">
        <v>67</v>
      </c>
      <c r="P646" s="4">
        <v>45675</v>
      </c>
      <c r="Q646" s="15">
        <v>65.599999999999994</v>
      </c>
      <c r="R646" s="15">
        <v>16.64</v>
      </c>
      <c r="S646" s="15">
        <v>0</v>
      </c>
      <c r="T646"/>
    </row>
    <row r="647" spans="1:20">
      <c r="A647" s="5" t="s">
        <v>36</v>
      </c>
      <c r="B647" s="5" t="s">
        <v>13974</v>
      </c>
      <c r="C647" s="4">
        <f>Controle_Pedidos[[#This Row],[Data Compra]]</f>
        <v>45653</v>
      </c>
      <c r="D647" s="4">
        <v>45653</v>
      </c>
      <c r="E647" s="5" t="s">
        <v>16066</v>
      </c>
      <c r="F647" s="5" t="s">
        <v>18055</v>
      </c>
      <c r="G647" s="5" t="s">
        <v>833</v>
      </c>
      <c r="H647" s="5">
        <v>1</v>
      </c>
      <c r="I647" s="8" t="s">
        <v>7803</v>
      </c>
      <c r="J647" s="8" t="s">
        <v>9852</v>
      </c>
      <c r="K647" s="8" t="s">
        <v>1649</v>
      </c>
      <c r="L647" s="8" t="s">
        <v>11903</v>
      </c>
      <c r="M647" s="8" t="s">
        <v>3699</v>
      </c>
      <c r="N647" s="8" t="s">
        <v>5750</v>
      </c>
      <c r="O647" s="5" t="s">
        <v>49</v>
      </c>
      <c r="P647" s="4">
        <v>45675</v>
      </c>
      <c r="Q647" s="15">
        <v>24.8</v>
      </c>
      <c r="R647" s="15">
        <v>11.9</v>
      </c>
      <c r="S647" s="15">
        <v>0</v>
      </c>
      <c r="T647"/>
    </row>
    <row r="648" spans="1:20">
      <c r="A648" s="5" t="s">
        <v>36</v>
      </c>
      <c r="B648" s="5" t="s">
        <v>13975</v>
      </c>
      <c r="C648" s="4">
        <f>Controle_Pedidos[[#This Row],[Data Compra]]</f>
        <v>45652</v>
      </c>
      <c r="D648" s="4">
        <v>45652</v>
      </c>
      <c r="E648" s="5" t="s">
        <v>16067</v>
      </c>
      <c r="F648" s="5" t="s">
        <v>18056</v>
      </c>
      <c r="G648" s="5" t="s">
        <v>831</v>
      </c>
      <c r="H648" s="5">
        <v>1</v>
      </c>
      <c r="I648" s="8" t="s">
        <v>7804</v>
      </c>
      <c r="J648" s="8" t="s">
        <v>9853</v>
      </c>
      <c r="K648" s="8" t="s">
        <v>1650</v>
      </c>
      <c r="L648" s="8" t="s">
        <v>11904</v>
      </c>
      <c r="M648" s="8" t="s">
        <v>3700</v>
      </c>
      <c r="N648" s="8" t="s">
        <v>5751</v>
      </c>
      <c r="O648" s="5" t="s">
        <v>41</v>
      </c>
      <c r="P648" s="4">
        <v>45688</v>
      </c>
      <c r="Q648" s="15">
        <v>49.4</v>
      </c>
      <c r="R648" s="15">
        <v>16.64</v>
      </c>
      <c r="S648" s="15">
        <v>0</v>
      </c>
      <c r="T648"/>
    </row>
    <row r="649" spans="1:20">
      <c r="A649" s="5" t="s">
        <v>36</v>
      </c>
      <c r="B649" s="5" t="s">
        <v>13976</v>
      </c>
      <c r="C649" s="4">
        <f>Controle_Pedidos[[#This Row],[Data Compra]]</f>
        <v>45652</v>
      </c>
      <c r="D649" s="4">
        <v>45652</v>
      </c>
      <c r="E649" s="5" t="s">
        <v>16068</v>
      </c>
      <c r="F649" s="5" t="s">
        <v>18057</v>
      </c>
      <c r="G649" s="5" t="s">
        <v>831</v>
      </c>
      <c r="H649" s="5">
        <v>1</v>
      </c>
      <c r="I649" s="8" t="s">
        <v>7805</v>
      </c>
      <c r="J649" s="8" t="s">
        <v>9854</v>
      </c>
      <c r="K649" s="8" t="s">
        <v>1651</v>
      </c>
      <c r="L649" s="8" t="s">
        <v>11905</v>
      </c>
      <c r="M649" s="8" t="s">
        <v>3701</v>
      </c>
      <c r="N649" s="8" t="s">
        <v>5752</v>
      </c>
      <c r="O649" s="5" t="s">
        <v>41</v>
      </c>
      <c r="P649" s="4">
        <v>45681</v>
      </c>
      <c r="Q649" s="15">
        <v>49.4</v>
      </c>
      <c r="R649" s="15">
        <v>16.64</v>
      </c>
      <c r="S649" s="15">
        <v>0</v>
      </c>
      <c r="T649"/>
    </row>
    <row r="650" spans="1:20">
      <c r="A650" s="5" t="s">
        <v>36</v>
      </c>
      <c r="B650" s="5" t="s">
        <v>13977</v>
      </c>
      <c r="C650" s="4">
        <f>Controle_Pedidos[[#This Row],[Data Compra]]</f>
        <v>45652</v>
      </c>
      <c r="D650" s="4">
        <v>45652</v>
      </c>
      <c r="E650" s="5" t="s">
        <v>16069</v>
      </c>
      <c r="F650" s="5" t="s">
        <v>18058</v>
      </c>
      <c r="G650" s="5" t="s">
        <v>845</v>
      </c>
      <c r="H650" s="5">
        <v>1</v>
      </c>
      <c r="I650" s="8" t="s">
        <v>7806</v>
      </c>
      <c r="J650" s="8" t="s">
        <v>9855</v>
      </c>
      <c r="K650" s="8" t="s">
        <v>1652</v>
      </c>
      <c r="L650" s="8" t="s">
        <v>11906</v>
      </c>
      <c r="M650" s="8" t="s">
        <v>3702</v>
      </c>
      <c r="N650" s="8" t="s">
        <v>5753</v>
      </c>
      <c r="O650" s="5" t="s">
        <v>67</v>
      </c>
      <c r="P650" s="4">
        <v>45681</v>
      </c>
      <c r="Q650" s="15">
        <v>65.599999999999994</v>
      </c>
      <c r="R650" s="15">
        <v>16.64</v>
      </c>
      <c r="S650" s="15">
        <v>0</v>
      </c>
      <c r="T650"/>
    </row>
    <row r="651" spans="1:20">
      <c r="A651" s="5" t="s">
        <v>36</v>
      </c>
      <c r="B651" s="5" t="s">
        <v>13978</v>
      </c>
      <c r="C651" s="4">
        <f>Controle_Pedidos[[#This Row],[Data Compra]]</f>
        <v>45653</v>
      </c>
      <c r="D651" s="4">
        <v>45653</v>
      </c>
      <c r="E651" s="5" t="s">
        <v>16070</v>
      </c>
      <c r="F651" s="5" t="s">
        <v>18059</v>
      </c>
      <c r="G651" s="5" t="s">
        <v>849</v>
      </c>
      <c r="H651" s="5">
        <v>1</v>
      </c>
      <c r="I651" s="8" t="s">
        <v>7807</v>
      </c>
      <c r="J651" s="8" t="s">
        <v>9856</v>
      </c>
      <c r="K651" s="8" t="s">
        <v>1653</v>
      </c>
      <c r="L651" s="8" t="s">
        <v>11907</v>
      </c>
      <c r="M651" s="8" t="s">
        <v>3703</v>
      </c>
      <c r="N651" s="8" t="s">
        <v>5754</v>
      </c>
      <c r="O651" s="5" t="s">
        <v>61</v>
      </c>
      <c r="P651" s="4">
        <v>45681</v>
      </c>
      <c r="Q651" s="15">
        <v>65.599999999999994</v>
      </c>
      <c r="R651" s="15">
        <v>17.399999999999999</v>
      </c>
      <c r="S651" s="15">
        <v>0</v>
      </c>
      <c r="T651"/>
    </row>
    <row r="652" spans="1:20">
      <c r="A652" s="5" t="s">
        <v>36</v>
      </c>
      <c r="B652" s="5" t="s">
        <v>13979</v>
      </c>
      <c r="C652" s="4">
        <f>Controle_Pedidos[[#This Row],[Data Compra]]</f>
        <v>45653</v>
      </c>
      <c r="D652" s="4">
        <v>45653</v>
      </c>
      <c r="E652" s="5" t="s">
        <v>16071</v>
      </c>
      <c r="F652" s="5" t="s">
        <v>18060</v>
      </c>
      <c r="G652" s="5" t="s">
        <v>852</v>
      </c>
      <c r="H652" s="5">
        <v>1</v>
      </c>
      <c r="I652" s="8" t="s">
        <v>7808</v>
      </c>
      <c r="J652" s="8" t="s">
        <v>9857</v>
      </c>
      <c r="K652" s="8" t="s">
        <v>1654</v>
      </c>
      <c r="L652" s="8" t="s">
        <v>11908</v>
      </c>
      <c r="M652" s="8" t="s">
        <v>3704</v>
      </c>
      <c r="N652" s="8" t="s">
        <v>5755</v>
      </c>
      <c r="O652" s="5" t="s">
        <v>68</v>
      </c>
      <c r="P652" s="4">
        <v>45682</v>
      </c>
      <c r="Q652" s="15">
        <v>21.99</v>
      </c>
      <c r="R652" s="15">
        <v>6.99</v>
      </c>
      <c r="S652" s="15">
        <v>0</v>
      </c>
      <c r="T652"/>
    </row>
    <row r="653" spans="1:20">
      <c r="A653" s="5" t="s">
        <v>36</v>
      </c>
      <c r="B653" s="5" t="s">
        <v>13980</v>
      </c>
      <c r="C653" s="4">
        <f>Controle_Pedidos[[#This Row],[Data Compra]]</f>
        <v>45653</v>
      </c>
      <c r="D653" s="4">
        <v>45653</v>
      </c>
      <c r="E653" s="5" t="s">
        <v>16072</v>
      </c>
      <c r="F653" s="5" t="s">
        <v>18061</v>
      </c>
      <c r="G653" s="5" t="s">
        <v>831</v>
      </c>
      <c r="H653" s="5">
        <v>1</v>
      </c>
      <c r="I653" s="8" t="s">
        <v>7809</v>
      </c>
      <c r="J653" s="8" t="s">
        <v>9858</v>
      </c>
      <c r="K653" s="8" t="s">
        <v>1655</v>
      </c>
      <c r="L653" s="8" t="s">
        <v>11909</v>
      </c>
      <c r="M653" s="8" t="s">
        <v>3705</v>
      </c>
      <c r="N653" s="8" t="s">
        <v>5756</v>
      </c>
      <c r="O653" s="5" t="s">
        <v>41</v>
      </c>
      <c r="P653" s="4">
        <v>45682</v>
      </c>
      <c r="Q653" s="15">
        <v>49.4</v>
      </c>
      <c r="R653" s="15">
        <v>16.809999999999999</v>
      </c>
      <c r="S653" s="15">
        <v>0</v>
      </c>
      <c r="T653"/>
    </row>
    <row r="654" spans="1:20">
      <c r="A654" s="5" t="s">
        <v>36</v>
      </c>
      <c r="B654" s="5" t="s">
        <v>13981</v>
      </c>
      <c r="C654" s="4">
        <f>Controle_Pedidos[[#This Row],[Data Compra]]</f>
        <v>45653</v>
      </c>
      <c r="D654" s="4">
        <v>45653</v>
      </c>
      <c r="E654" s="5" t="s">
        <v>16073</v>
      </c>
      <c r="F654" s="5" t="s">
        <v>18062</v>
      </c>
      <c r="G654" s="5" t="s">
        <v>831</v>
      </c>
      <c r="H654" s="5">
        <v>1</v>
      </c>
      <c r="I654" s="8" t="s">
        <v>7810</v>
      </c>
      <c r="J654" s="8" t="s">
        <v>9859</v>
      </c>
      <c r="K654" s="8" t="s">
        <v>1656</v>
      </c>
      <c r="L654" s="8" t="s">
        <v>11910</v>
      </c>
      <c r="M654" s="8" t="s">
        <v>3706</v>
      </c>
      <c r="N654" s="8" t="s">
        <v>5757</v>
      </c>
      <c r="O654" s="5" t="s">
        <v>41</v>
      </c>
      <c r="P654" s="4">
        <v>45682</v>
      </c>
      <c r="Q654" s="15">
        <v>49.4</v>
      </c>
      <c r="R654" s="15">
        <v>16.809999999999999</v>
      </c>
      <c r="S654" s="15">
        <v>0</v>
      </c>
      <c r="T654"/>
    </row>
    <row r="655" spans="1:20">
      <c r="A655" s="5" t="s">
        <v>36</v>
      </c>
      <c r="B655" s="5" t="s">
        <v>13982</v>
      </c>
      <c r="C655" s="4">
        <f>Controle_Pedidos[[#This Row],[Data Compra]]</f>
        <v>45653</v>
      </c>
      <c r="D655" s="4">
        <v>45653</v>
      </c>
      <c r="E655" s="5" t="s">
        <v>16074</v>
      </c>
      <c r="F655" s="5" t="s">
        <v>18063</v>
      </c>
      <c r="G655" s="5" t="s">
        <v>852</v>
      </c>
      <c r="H655" s="5">
        <v>1</v>
      </c>
      <c r="I655" s="8" t="s">
        <v>7811</v>
      </c>
      <c r="J655" s="8" t="s">
        <v>9860</v>
      </c>
      <c r="K655" s="8" t="s">
        <v>1657</v>
      </c>
      <c r="L655" s="8" t="s">
        <v>11911</v>
      </c>
      <c r="M655" s="8" t="s">
        <v>3707</v>
      </c>
      <c r="N655" s="8" t="s">
        <v>5758</v>
      </c>
      <c r="O655" s="5" t="s">
        <v>68</v>
      </c>
      <c r="P655" s="4">
        <v>45682</v>
      </c>
      <c r="Q655" s="15">
        <v>21.99</v>
      </c>
      <c r="R655" s="15">
        <v>6.99</v>
      </c>
      <c r="S655" s="15">
        <v>0</v>
      </c>
      <c r="T655"/>
    </row>
    <row r="656" spans="1:20">
      <c r="A656" s="5" t="s">
        <v>36</v>
      </c>
      <c r="B656" s="5" t="s">
        <v>13983</v>
      </c>
      <c r="C656" s="4">
        <f>Controle_Pedidos[[#This Row],[Data Compra]]</f>
        <v>45653</v>
      </c>
      <c r="D656" s="4">
        <v>45653</v>
      </c>
      <c r="E656" s="5" t="s">
        <v>16075</v>
      </c>
      <c r="F656" s="5" t="s">
        <v>18064</v>
      </c>
      <c r="G656" s="5" t="s">
        <v>817</v>
      </c>
      <c r="H656" s="5">
        <v>1</v>
      </c>
      <c r="I656" s="8" t="s">
        <v>7812</v>
      </c>
      <c r="J656" s="8" t="s">
        <v>9861</v>
      </c>
      <c r="K656" s="8" t="s">
        <v>1658</v>
      </c>
      <c r="L656" s="8" t="s">
        <v>11912</v>
      </c>
      <c r="M656" s="8" t="s">
        <v>3708</v>
      </c>
      <c r="N656" s="8" t="s">
        <v>5759</v>
      </c>
      <c r="O656" s="5" t="s">
        <v>39</v>
      </c>
      <c r="P656" s="4">
        <v>45674</v>
      </c>
      <c r="Q656" s="15">
        <v>33.9</v>
      </c>
      <c r="R656" s="15">
        <v>15.99</v>
      </c>
      <c r="S656" s="15">
        <v>0</v>
      </c>
      <c r="T656"/>
    </row>
    <row r="657" spans="1:20">
      <c r="A657" s="5" t="s">
        <v>36</v>
      </c>
      <c r="B657" s="5" t="s">
        <v>13984</v>
      </c>
      <c r="C657" s="4">
        <v>45627</v>
      </c>
      <c r="D657" s="4" t="s">
        <v>37</v>
      </c>
      <c r="E657" s="5" t="s">
        <v>37</v>
      </c>
      <c r="F657" s="5" t="s">
        <v>37</v>
      </c>
      <c r="G657" s="5" t="s">
        <v>831</v>
      </c>
      <c r="H657" s="5">
        <v>1</v>
      </c>
      <c r="I657" s="8" t="s">
        <v>7813</v>
      </c>
      <c r="J657" s="8" t="s">
        <v>9862</v>
      </c>
      <c r="K657" s="8" t="s">
        <v>1659</v>
      </c>
      <c r="L657" s="8" t="s">
        <v>11913</v>
      </c>
      <c r="M657" s="8" t="s">
        <v>3709</v>
      </c>
      <c r="N657" s="8" t="s">
        <v>5760</v>
      </c>
      <c r="O657" s="5" t="s">
        <v>41</v>
      </c>
      <c r="P657" s="4">
        <v>45682</v>
      </c>
      <c r="Q657" s="15">
        <v>49.4</v>
      </c>
      <c r="R657" s="15">
        <v>0</v>
      </c>
      <c r="S657" s="15">
        <v>0</v>
      </c>
      <c r="T657"/>
    </row>
    <row r="658" spans="1:20">
      <c r="A658" s="5" t="s">
        <v>36</v>
      </c>
      <c r="B658" s="5" t="s">
        <v>13985</v>
      </c>
      <c r="C658" s="4">
        <f>Controle_Pedidos[[#This Row],[Data Compra]]</f>
        <v>45656</v>
      </c>
      <c r="D658" s="4">
        <v>45656</v>
      </c>
      <c r="E658" s="5" t="s">
        <v>16076</v>
      </c>
      <c r="F658" s="5" t="s">
        <v>18065</v>
      </c>
      <c r="G658" s="5" t="s">
        <v>849</v>
      </c>
      <c r="H658" s="5">
        <v>1</v>
      </c>
      <c r="I658" s="8" t="s">
        <v>7814</v>
      </c>
      <c r="J658" s="8" t="s">
        <v>9863</v>
      </c>
      <c r="K658" s="8" t="s">
        <v>1660</v>
      </c>
      <c r="L658" s="8" t="s">
        <v>11914</v>
      </c>
      <c r="M658" s="8" t="s">
        <v>3710</v>
      </c>
      <c r="N658" s="8" t="s">
        <v>5761</v>
      </c>
      <c r="O658" s="5" t="s">
        <v>61</v>
      </c>
      <c r="P658" s="4">
        <v>45682</v>
      </c>
      <c r="Q658" s="15">
        <v>65.599999999999994</v>
      </c>
      <c r="R658" s="15">
        <v>19.14</v>
      </c>
      <c r="S658" s="15">
        <v>0</v>
      </c>
      <c r="T658"/>
    </row>
    <row r="659" spans="1:20">
      <c r="A659" s="5" t="s">
        <v>36</v>
      </c>
      <c r="B659" s="5" t="s">
        <v>13986</v>
      </c>
      <c r="C659" s="4">
        <f>Controle_Pedidos[[#This Row],[Data Compra]]</f>
        <v>45656</v>
      </c>
      <c r="D659" s="4">
        <v>45656</v>
      </c>
      <c r="E659" s="5" t="s">
        <v>16077</v>
      </c>
      <c r="F659" s="5" t="s">
        <v>18066</v>
      </c>
      <c r="G659" s="5" t="s">
        <v>836</v>
      </c>
      <c r="H659" s="5">
        <v>1</v>
      </c>
      <c r="I659" s="8" t="s">
        <v>7815</v>
      </c>
      <c r="J659" s="8" t="s">
        <v>9864</v>
      </c>
      <c r="K659" s="8" t="s">
        <v>1661</v>
      </c>
      <c r="L659" s="8" t="s">
        <v>11915</v>
      </c>
      <c r="M659" s="8" t="s">
        <v>3711</v>
      </c>
      <c r="N659" s="8" t="s">
        <v>5762</v>
      </c>
      <c r="O659" s="5" t="s">
        <v>55</v>
      </c>
      <c r="P659" s="4">
        <v>45682</v>
      </c>
      <c r="Q659" s="15">
        <v>34.9</v>
      </c>
      <c r="R659" s="15">
        <v>15.97</v>
      </c>
      <c r="S659" s="15">
        <v>0</v>
      </c>
      <c r="T659"/>
    </row>
    <row r="660" spans="1:20">
      <c r="A660" s="5" t="s">
        <v>36</v>
      </c>
      <c r="B660" s="5" t="s">
        <v>13987</v>
      </c>
      <c r="C660" s="4">
        <f>Controle_Pedidos[[#This Row],[Data Compra]]</f>
        <v>45656</v>
      </c>
      <c r="D660" s="4">
        <v>45656</v>
      </c>
      <c r="E660" s="5" t="s">
        <v>16078</v>
      </c>
      <c r="F660" s="5" t="s">
        <v>18067</v>
      </c>
      <c r="G660" s="5" t="s">
        <v>852</v>
      </c>
      <c r="H660" s="5">
        <v>1</v>
      </c>
      <c r="I660" s="8" t="s">
        <v>7816</v>
      </c>
      <c r="J660" s="8" t="s">
        <v>9865</v>
      </c>
      <c r="K660" s="8" t="s">
        <v>1662</v>
      </c>
      <c r="L660" s="8" t="s">
        <v>11916</v>
      </c>
      <c r="M660" s="8" t="s">
        <v>3712</v>
      </c>
      <c r="N660" s="8" t="s">
        <v>5763</v>
      </c>
      <c r="O660" s="5" t="s">
        <v>68</v>
      </c>
      <c r="P660" s="4">
        <v>45682</v>
      </c>
      <c r="Q660" s="15">
        <v>21.99</v>
      </c>
      <c r="R660" s="15">
        <v>6.99</v>
      </c>
      <c r="S660" s="15">
        <v>0</v>
      </c>
      <c r="T660"/>
    </row>
    <row r="661" spans="1:20">
      <c r="A661" s="5" t="s">
        <v>36</v>
      </c>
      <c r="B661" s="5" t="s">
        <v>13988</v>
      </c>
      <c r="C661" s="4">
        <f>Controle_Pedidos[[#This Row],[Data Compra]]</f>
        <v>45659</v>
      </c>
      <c r="D661" s="4">
        <v>45659</v>
      </c>
      <c r="E661" s="5" t="s">
        <v>16079</v>
      </c>
      <c r="F661" s="5" t="s">
        <v>18068</v>
      </c>
      <c r="G661" s="5" t="s">
        <v>833</v>
      </c>
      <c r="H661" s="5">
        <v>1</v>
      </c>
      <c r="I661" s="8" t="s">
        <v>7817</v>
      </c>
      <c r="J661" s="8" t="s">
        <v>9866</v>
      </c>
      <c r="K661" s="8" t="s">
        <v>1663</v>
      </c>
      <c r="L661" s="8" t="s">
        <v>11917</v>
      </c>
      <c r="M661" s="8" t="s">
        <v>3713</v>
      </c>
      <c r="N661" s="8" t="s">
        <v>5764</v>
      </c>
      <c r="O661" s="5" t="s">
        <v>49</v>
      </c>
      <c r="P661" s="4">
        <v>45674</v>
      </c>
      <c r="Q661" s="15">
        <v>27.99</v>
      </c>
      <c r="R661" s="15">
        <v>0</v>
      </c>
      <c r="S661" s="15">
        <v>0</v>
      </c>
      <c r="T661"/>
    </row>
    <row r="662" spans="1:20">
      <c r="A662" s="5" t="s">
        <v>36</v>
      </c>
      <c r="B662" s="5" t="s">
        <v>13989</v>
      </c>
      <c r="C662" s="4">
        <f>Controle_Pedidos[[#This Row],[Data Compra]]</f>
        <v>45659</v>
      </c>
      <c r="D662" s="4">
        <v>45659</v>
      </c>
      <c r="E662" s="5" t="s">
        <v>16080</v>
      </c>
      <c r="F662" s="5" t="s">
        <v>18069</v>
      </c>
      <c r="G662" s="5" t="s">
        <v>852</v>
      </c>
      <c r="H662" s="5">
        <v>1</v>
      </c>
      <c r="I662" s="8" t="s">
        <v>7818</v>
      </c>
      <c r="J662" s="8" t="s">
        <v>9867</v>
      </c>
      <c r="K662" s="8" t="s">
        <v>1664</v>
      </c>
      <c r="L662" s="8" t="s">
        <v>11918</v>
      </c>
      <c r="M662" s="8" t="s">
        <v>3714</v>
      </c>
      <c r="N662" s="8" t="s">
        <v>5765</v>
      </c>
      <c r="O662" s="5" t="s">
        <v>68</v>
      </c>
      <c r="P662" s="4">
        <v>45678</v>
      </c>
      <c r="Q662" s="15">
        <v>21.99</v>
      </c>
      <c r="R662" s="15">
        <v>6.99</v>
      </c>
      <c r="S662" s="15">
        <v>0</v>
      </c>
      <c r="T662"/>
    </row>
    <row r="663" spans="1:20">
      <c r="A663" s="5" t="s">
        <v>36</v>
      </c>
      <c r="B663" s="5" t="s">
        <v>13990</v>
      </c>
      <c r="C663" s="4">
        <f>Controle_Pedidos[[#This Row],[Data Compra]]</f>
        <v>45656</v>
      </c>
      <c r="D663" s="4">
        <v>45656</v>
      </c>
      <c r="E663" s="5" t="s">
        <v>16081</v>
      </c>
      <c r="F663" s="5" t="s">
        <v>18070</v>
      </c>
      <c r="G663" s="5" t="s">
        <v>849</v>
      </c>
      <c r="H663" s="5">
        <v>1</v>
      </c>
      <c r="I663" s="8" t="s">
        <v>7819</v>
      </c>
      <c r="J663" s="8" t="s">
        <v>9868</v>
      </c>
      <c r="K663" s="8" t="s">
        <v>1665</v>
      </c>
      <c r="L663" s="8" t="s">
        <v>11919</v>
      </c>
      <c r="M663" s="8" t="s">
        <v>3715</v>
      </c>
      <c r="N663" s="8" t="s">
        <v>5766</v>
      </c>
      <c r="O663" s="5" t="s">
        <v>61</v>
      </c>
      <c r="P663" s="4">
        <v>45678</v>
      </c>
      <c r="Q663" s="15">
        <v>65.599999999999994</v>
      </c>
      <c r="R663" s="15">
        <v>19.100000000000001</v>
      </c>
      <c r="S663" s="15">
        <v>0</v>
      </c>
      <c r="T663"/>
    </row>
    <row r="664" spans="1:20">
      <c r="A664" s="5" t="s">
        <v>36</v>
      </c>
      <c r="B664" s="5" t="s">
        <v>13991</v>
      </c>
      <c r="C664" s="4">
        <f>Controle_Pedidos[[#This Row],[Data Compra]]</f>
        <v>45659</v>
      </c>
      <c r="D664" s="4">
        <v>45659</v>
      </c>
      <c r="E664" s="5" t="s">
        <v>16082</v>
      </c>
      <c r="F664" s="5" t="s">
        <v>18071</v>
      </c>
      <c r="G664" s="5" t="s">
        <v>852</v>
      </c>
      <c r="H664" s="5">
        <v>1</v>
      </c>
      <c r="I664" s="8" t="s">
        <v>7820</v>
      </c>
      <c r="J664" s="8" t="s">
        <v>9869</v>
      </c>
      <c r="K664" s="8" t="s">
        <v>1666</v>
      </c>
      <c r="L664" s="8" t="s">
        <v>11920</v>
      </c>
      <c r="M664" s="8" t="s">
        <v>3716</v>
      </c>
      <c r="N664" s="8" t="s">
        <v>5767</v>
      </c>
      <c r="O664" s="5" t="s">
        <v>68</v>
      </c>
      <c r="P664" s="4">
        <v>45678</v>
      </c>
      <c r="Q664" s="15">
        <v>21.99</v>
      </c>
      <c r="R664" s="15">
        <v>6.99</v>
      </c>
      <c r="S664" s="15">
        <v>0</v>
      </c>
      <c r="T664"/>
    </row>
    <row r="665" spans="1:20">
      <c r="A665" s="5" t="s">
        <v>36</v>
      </c>
      <c r="B665" s="5" t="s">
        <v>13992</v>
      </c>
      <c r="C665" s="4">
        <f>Controle_Pedidos[[#This Row],[Data Compra]]</f>
        <v>45656</v>
      </c>
      <c r="D665" s="4">
        <v>45656</v>
      </c>
      <c r="E665" s="5" t="s">
        <v>16083</v>
      </c>
      <c r="F665" s="5" t="s">
        <v>18072</v>
      </c>
      <c r="G665" s="5" t="s">
        <v>831</v>
      </c>
      <c r="H665" s="5">
        <v>1</v>
      </c>
      <c r="I665" s="8" t="s">
        <v>7821</v>
      </c>
      <c r="J665" s="8" t="s">
        <v>9870</v>
      </c>
      <c r="K665" s="8" t="s">
        <v>1667</v>
      </c>
      <c r="L665" s="8" t="s">
        <v>11921</v>
      </c>
      <c r="M665" s="8" t="s">
        <v>3717</v>
      </c>
      <c r="N665" s="8" t="s">
        <v>5768</v>
      </c>
      <c r="O665" s="5" t="s">
        <v>41</v>
      </c>
      <c r="P665" s="4">
        <v>45678</v>
      </c>
      <c r="Q665" s="15">
        <v>49.4</v>
      </c>
      <c r="R665" s="15">
        <v>18.510000000000002</v>
      </c>
      <c r="S665" s="15">
        <v>0</v>
      </c>
      <c r="T665"/>
    </row>
    <row r="666" spans="1:20">
      <c r="A666" s="5" t="s">
        <v>36</v>
      </c>
      <c r="B666" s="5" t="s">
        <v>13993</v>
      </c>
      <c r="C666" s="4">
        <f>Controle_Pedidos[[#This Row],[Data Compra]]</f>
        <v>45656</v>
      </c>
      <c r="D666" s="4">
        <v>45656</v>
      </c>
      <c r="E666" s="5" t="s">
        <v>16084</v>
      </c>
      <c r="F666" s="5" t="s">
        <v>18073</v>
      </c>
      <c r="G666" s="5" t="s">
        <v>849</v>
      </c>
      <c r="H666" s="5">
        <v>1</v>
      </c>
      <c r="I666" s="8" t="s">
        <v>7822</v>
      </c>
      <c r="J666" s="8" t="s">
        <v>9871</v>
      </c>
      <c r="K666" s="8" t="s">
        <v>1668</v>
      </c>
      <c r="L666" s="8" t="s">
        <v>11922</v>
      </c>
      <c r="M666" s="8" t="s">
        <v>3718</v>
      </c>
      <c r="N666" s="8" t="s">
        <v>5769</v>
      </c>
      <c r="O666" s="5" t="s">
        <v>61</v>
      </c>
      <c r="P666" s="4">
        <v>45678</v>
      </c>
      <c r="Q666" s="15">
        <v>65.599999999999994</v>
      </c>
      <c r="R666" s="15">
        <v>19.14</v>
      </c>
      <c r="S666" s="15">
        <v>0</v>
      </c>
      <c r="T666"/>
    </row>
    <row r="667" spans="1:20">
      <c r="A667" s="5" t="s">
        <v>36</v>
      </c>
      <c r="B667" s="5" t="s">
        <v>13994</v>
      </c>
      <c r="C667" s="4">
        <f>Controle_Pedidos[[#This Row],[Data Compra]]</f>
        <v>45656</v>
      </c>
      <c r="D667" s="4">
        <v>45656</v>
      </c>
      <c r="E667" s="5" t="s">
        <v>16085</v>
      </c>
      <c r="F667" s="5" t="s">
        <v>18074</v>
      </c>
      <c r="G667" s="5" t="s">
        <v>845</v>
      </c>
      <c r="H667" s="5">
        <v>1</v>
      </c>
      <c r="I667" s="8" t="s">
        <v>7823</v>
      </c>
      <c r="J667" s="8" t="s">
        <v>9872</v>
      </c>
      <c r="K667" s="8" t="s">
        <v>1669</v>
      </c>
      <c r="L667" s="8" t="s">
        <v>11923</v>
      </c>
      <c r="M667" s="8" t="s">
        <v>3719</v>
      </c>
      <c r="N667" s="8" t="s">
        <v>5770</v>
      </c>
      <c r="O667" s="5" t="s">
        <v>67</v>
      </c>
      <c r="P667" s="4">
        <v>45682</v>
      </c>
      <c r="Q667" s="15">
        <v>64.989999999999995</v>
      </c>
      <c r="R667" s="15">
        <v>18.510000000000002</v>
      </c>
      <c r="S667" s="15">
        <v>0</v>
      </c>
      <c r="T667"/>
    </row>
    <row r="668" spans="1:20">
      <c r="A668" s="5" t="s">
        <v>36</v>
      </c>
      <c r="B668" s="5" t="s">
        <v>13995</v>
      </c>
      <c r="C668" s="4">
        <f>Controle_Pedidos[[#This Row],[Data Compra]]</f>
        <v>45656</v>
      </c>
      <c r="D668" s="4">
        <v>45656</v>
      </c>
      <c r="E668" s="5" t="s">
        <v>16086</v>
      </c>
      <c r="F668" s="5" t="s">
        <v>18075</v>
      </c>
      <c r="G668" s="5" t="s">
        <v>849</v>
      </c>
      <c r="H668" s="5">
        <v>1</v>
      </c>
      <c r="I668" s="8" t="s">
        <v>7824</v>
      </c>
      <c r="J668" s="8" t="s">
        <v>9873</v>
      </c>
      <c r="K668" s="8" t="s">
        <v>1670</v>
      </c>
      <c r="L668" s="8" t="s">
        <v>11924</v>
      </c>
      <c r="M668" s="8" t="s">
        <v>3720</v>
      </c>
      <c r="N668" s="8" t="s">
        <v>5771</v>
      </c>
      <c r="O668" s="5" t="s">
        <v>61</v>
      </c>
      <c r="P668" s="4">
        <v>45678</v>
      </c>
      <c r="Q668" s="15">
        <v>65.599999999999994</v>
      </c>
      <c r="R668" s="15">
        <v>19.14</v>
      </c>
      <c r="S668" s="15">
        <v>0</v>
      </c>
      <c r="T668"/>
    </row>
    <row r="669" spans="1:20">
      <c r="A669" s="5" t="s">
        <v>36</v>
      </c>
      <c r="B669" s="5" t="s">
        <v>13996</v>
      </c>
      <c r="C669" s="4">
        <f>Controle_Pedidos[[#This Row],[Data Compra]]</f>
        <v>45656</v>
      </c>
      <c r="D669" s="4">
        <v>45656</v>
      </c>
      <c r="E669" s="5" t="s">
        <v>16087</v>
      </c>
      <c r="F669" s="5" t="s">
        <v>18076</v>
      </c>
      <c r="G669" s="5" t="s">
        <v>831</v>
      </c>
      <c r="H669" s="5">
        <v>1</v>
      </c>
      <c r="I669" s="8" t="s">
        <v>7825</v>
      </c>
      <c r="J669" s="8" t="s">
        <v>9874</v>
      </c>
      <c r="K669" s="8" t="s">
        <v>1671</v>
      </c>
      <c r="L669" s="8" t="s">
        <v>11925</v>
      </c>
      <c r="M669" s="8" t="s">
        <v>3721</v>
      </c>
      <c r="N669" s="8" t="s">
        <v>5772</v>
      </c>
      <c r="O669" s="5" t="s">
        <v>41</v>
      </c>
      <c r="P669" s="4">
        <v>45682</v>
      </c>
      <c r="Q669" s="15">
        <v>49.4</v>
      </c>
      <c r="R669" s="15">
        <v>18.510000000000002</v>
      </c>
      <c r="S669" s="15">
        <v>0</v>
      </c>
      <c r="T669"/>
    </row>
    <row r="670" spans="1:20">
      <c r="A670" s="5" t="s">
        <v>36</v>
      </c>
      <c r="B670" s="5" t="s">
        <v>13997</v>
      </c>
      <c r="C670" s="4">
        <v>45627</v>
      </c>
      <c r="D670" s="4" t="s">
        <v>37</v>
      </c>
      <c r="E670" s="5" t="s">
        <v>37</v>
      </c>
      <c r="F670" s="5" t="s">
        <v>37</v>
      </c>
      <c r="G670" s="5" t="s">
        <v>876</v>
      </c>
      <c r="H670" s="5">
        <v>1</v>
      </c>
      <c r="I670" s="8" t="s">
        <v>7826</v>
      </c>
      <c r="J670" s="8" t="s">
        <v>9875</v>
      </c>
      <c r="K670" s="8" t="s">
        <v>1672</v>
      </c>
      <c r="L670" s="8" t="s">
        <v>11926</v>
      </c>
      <c r="M670" s="8" t="s">
        <v>3722</v>
      </c>
      <c r="N670" s="8" t="s">
        <v>5773</v>
      </c>
      <c r="O670" s="5" t="s">
        <v>93</v>
      </c>
      <c r="P670" s="4">
        <v>45682</v>
      </c>
      <c r="Q670" s="15">
        <v>62.9</v>
      </c>
      <c r="R670" s="15">
        <v>0</v>
      </c>
      <c r="S670" s="15">
        <v>0</v>
      </c>
      <c r="T670"/>
    </row>
    <row r="671" spans="1:20">
      <c r="A671" s="5" t="s">
        <v>36</v>
      </c>
      <c r="B671" s="5" t="s">
        <v>13998</v>
      </c>
      <c r="C671" s="4">
        <f>Controle_Pedidos[[#This Row],[Data Compra]]</f>
        <v>45656</v>
      </c>
      <c r="D671" s="4">
        <v>45656</v>
      </c>
      <c r="E671" s="5" t="s">
        <v>16088</v>
      </c>
      <c r="F671" s="5" t="s">
        <v>18077</v>
      </c>
      <c r="G671" s="5" t="s">
        <v>831</v>
      </c>
      <c r="H671" s="5">
        <v>1</v>
      </c>
      <c r="I671" s="8" t="s">
        <v>7827</v>
      </c>
      <c r="J671" s="8" t="s">
        <v>9876</v>
      </c>
      <c r="K671" s="8" t="s">
        <v>1673</v>
      </c>
      <c r="L671" s="8" t="s">
        <v>11927</v>
      </c>
      <c r="M671" s="8" t="s">
        <v>3723</v>
      </c>
      <c r="N671" s="8" t="s">
        <v>5774</v>
      </c>
      <c r="O671" s="5" t="s">
        <v>41</v>
      </c>
      <c r="P671" s="4">
        <v>45682</v>
      </c>
      <c r="Q671" s="15">
        <v>49.4</v>
      </c>
      <c r="R671" s="15">
        <v>18.510000000000002</v>
      </c>
      <c r="S671" s="15">
        <v>0</v>
      </c>
      <c r="T671"/>
    </row>
    <row r="672" spans="1:20">
      <c r="A672" s="5" t="s">
        <v>36</v>
      </c>
      <c r="B672" s="5" t="s">
        <v>13999</v>
      </c>
      <c r="C672" s="4">
        <f>Controle_Pedidos[[#This Row],[Data Compra]]</f>
        <v>45656</v>
      </c>
      <c r="D672" s="4">
        <v>45656</v>
      </c>
      <c r="E672" s="5" t="s">
        <v>16089</v>
      </c>
      <c r="F672" s="5" t="s">
        <v>18078</v>
      </c>
      <c r="G672" s="5" t="s">
        <v>849</v>
      </c>
      <c r="H672" s="5">
        <v>1</v>
      </c>
      <c r="I672" s="8" t="s">
        <v>7828</v>
      </c>
      <c r="J672" s="8" t="s">
        <v>9877</v>
      </c>
      <c r="K672" s="8" t="s">
        <v>1674</v>
      </c>
      <c r="L672" s="8" t="s">
        <v>11928</v>
      </c>
      <c r="M672" s="8" t="s">
        <v>3724</v>
      </c>
      <c r="N672" s="8" t="s">
        <v>5775</v>
      </c>
      <c r="O672" s="5" t="s">
        <v>61</v>
      </c>
      <c r="P672" s="4">
        <v>45679</v>
      </c>
      <c r="Q672" s="15">
        <v>65.599999999999994</v>
      </c>
      <c r="R672" s="15">
        <v>19.14</v>
      </c>
      <c r="S672" s="15">
        <v>0</v>
      </c>
      <c r="T672"/>
    </row>
    <row r="673" spans="1:20">
      <c r="A673" s="5" t="s">
        <v>36</v>
      </c>
      <c r="B673" s="5" t="s">
        <v>14000</v>
      </c>
      <c r="C673" s="4">
        <f>Controle_Pedidos[[#This Row],[Data Compra]]</f>
        <v>45656</v>
      </c>
      <c r="D673" s="4">
        <v>45656</v>
      </c>
      <c r="E673" s="5" t="s">
        <v>16090</v>
      </c>
      <c r="F673" s="5" t="s">
        <v>18079</v>
      </c>
      <c r="G673" s="5" t="s">
        <v>848</v>
      </c>
      <c r="H673" s="5">
        <v>1</v>
      </c>
      <c r="I673" s="8" t="s">
        <v>7829</v>
      </c>
      <c r="J673" s="8" t="s">
        <v>9878</v>
      </c>
      <c r="K673" s="8" t="s">
        <v>1675</v>
      </c>
      <c r="L673" s="8" t="s">
        <v>11929</v>
      </c>
      <c r="M673" s="8" t="s">
        <v>3725</v>
      </c>
      <c r="N673" s="8" t="s">
        <v>5776</v>
      </c>
      <c r="O673" s="5" t="s">
        <v>76</v>
      </c>
      <c r="P673" s="4">
        <v>45679</v>
      </c>
      <c r="Q673" s="15">
        <v>76.989999999999995</v>
      </c>
      <c r="R673" s="15">
        <v>34.25</v>
      </c>
      <c r="S673" s="15">
        <v>0</v>
      </c>
      <c r="T673"/>
    </row>
    <row r="674" spans="1:20">
      <c r="A674" s="5" t="s">
        <v>36</v>
      </c>
      <c r="B674" s="5" t="s">
        <v>14001</v>
      </c>
      <c r="C674" s="4">
        <f>Controle_Pedidos[[#This Row],[Data Compra]]</f>
        <v>45656</v>
      </c>
      <c r="D674" s="4">
        <v>45656</v>
      </c>
      <c r="E674" s="5" t="s">
        <v>16091</v>
      </c>
      <c r="F674" s="5" t="s">
        <v>18080</v>
      </c>
      <c r="G674" s="5" t="s">
        <v>849</v>
      </c>
      <c r="H674" s="5">
        <v>1</v>
      </c>
      <c r="I674" s="8" t="s">
        <v>7830</v>
      </c>
      <c r="J674" s="8" t="s">
        <v>9879</v>
      </c>
      <c r="K674" s="8" t="s">
        <v>1676</v>
      </c>
      <c r="L674" s="8" t="s">
        <v>11930</v>
      </c>
      <c r="M674" s="8" t="s">
        <v>3726</v>
      </c>
      <c r="N674" s="8" t="s">
        <v>5777</v>
      </c>
      <c r="O674" s="5" t="s">
        <v>61</v>
      </c>
      <c r="P674" s="4">
        <v>45685</v>
      </c>
      <c r="Q674" s="15">
        <v>65.599999999999994</v>
      </c>
      <c r="R674" s="15">
        <v>19.14</v>
      </c>
      <c r="S674" s="15">
        <v>0</v>
      </c>
      <c r="T674"/>
    </row>
    <row r="675" spans="1:20">
      <c r="A675" s="5" t="s">
        <v>36</v>
      </c>
      <c r="B675" s="5" t="s">
        <v>14002</v>
      </c>
      <c r="C675" s="4">
        <f>Controle_Pedidos[[#This Row],[Data Compra]]</f>
        <v>45656</v>
      </c>
      <c r="D675" s="4">
        <v>45656</v>
      </c>
      <c r="E675" s="5" t="s">
        <v>16092</v>
      </c>
      <c r="F675" s="5" t="s">
        <v>18081</v>
      </c>
      <c r="G675" s="5" t="s">
        <v>831</v>
      </c>
      <c r="H675" s="5">
        <v>1</v>
      </c>
      <c r="I675" s="8" t="s">
        <v>7831</v>
      </c>
      <c r="J675" s="8" t="s">
        <v>9880</v>
      </c>
      <c r="K675" s="8" t="s">
        <v>1677</v>
      </c>
      <c r="L675" s="8" t="s">
        <v>11931</v>
      </c>
      <c r="M675" s="8" t="s">
        <v>3727</v>
      </c>
      <c r="N675" s="8" t="s">
        <v>5778</v>
      </c>
      <c r="O675" s="5" t="s">
        <v>41</v>
      </c>
      <c r="P675" s="4">
        <v>45679</v>
      </c>
      <c r="Q675" s="15">
        <v>49.4</v>
      </c>
      <c r="R675" s="15">
        <v>18.510000000000002</v>
      </c>
      <c r="S675" s="15">
        <v>0</v>
      </c>
      <c r="T675"/>
    </row>
    <row r="676" spans="1:20">
      <c r="A676" s="5" t="s">
        <v>36</v>
      </c>
      <c r="B676" s="5" t="s">
        <v>14003</v>
      </c>
      <c r="C676" s="4">
        <f>Controle_Pedidos[[#This Row],[Data Compra]]</f>
        <v>45656</v>
      </c>
      <c r="D676" s="4">
        <v>45656</v>
      </c>
      <c r="E676" s="5" t="s">
        <v>16093</v>
      </c>
      <c r="F676" s="5" t="s">
        <v>18082</v>
      </c>
      <c r="G676" s="5" t="s">
        <v>831</v>
      </c>
      <c r="H676" s="5">
        <v>1</v>
      </c>
      <c r="I676" s="8" t="s">
        <v>7832</v>
      </c>
      <c r="J676" s="8" t="s">
        <v>9881</v>
      </c>
      <c r="K676" s="8" t="s">
        <v>1678</v>
      </c>
      <c r="L676" s="8" t="s">
        <v>11932</v>
      </c>
      <c r="M676" s="8" t="s">
        <v>3728</v>
      </c>
      <c r="N676" s="8" t="s">
        <v>5779</v>
      </c>
      <c r="O676" s="5" t="s">
        <v>41</v>
      </c>
      <c r="P676" s="4">
        <v>45685</v>
      </c>
      <c r="Q676" s="15">
        <v>49.4</v>
      </c>
      <c r="R676" s="15">
        <v>18.510000000000002</v>
      </c>
      <c r="S676" s="15">
        <v>0</v>
      </c>
      <c r="T676"/>
    </row>
    <row r="677" spans="1:20">
      <c r="A677" s="5" t="s">
        <v>36</v>
      </c>
      <c r="B677" s="5" t="s">
        <v>14004</v>
      </c>
      <c r="C677" s="4">
        <f>Controle_Pedidos[[#This Row],[Data Compra]]</f>
        <v>45656</v>
      </c>
      <c r="D677" s="4">
        <v>45656</v>
      </c>
      <c r="E677" s="5" t="s">
        <v>16094</v>
      </c>
      <c r="F677" s="5" t="s">
        <v>18083</v>
      </c>
      <c r="G677" s="5" t="s">
        <v>855</v>
      </c>
      <c r="H677" s="5">
        <v>1</v>
      </c>
      <c r="I677" s="8" t="s">
        <v>7833</v>
      </c>
      <c r="J677" s="8" t="s">
        <v>9882</v>
      </c>
      <c r="K677" s="8" t="s">
        <v>1679</v>
      </c>
      <c r="L677" s="8" t="s">
        <v>11933</v>
      </c>
      <c r="M677" s="8" t="s">
        <v>3729</v>
      </c>
      <c r="N677" s="8" t="s">
        <v>5780</v>
      </c>
      <c r="O677" s="5" t="s">
        <v>81</v>
      </c>
      <c r="P677" s="4">
        <v>45679</v>
      </c>
      <c r="Q677" s="15">
        <v>32.4</v>
      </c>
      <c r="R677" s="15">
        <v>0</v>
      </c>
      <c r="S677" s="15">
        <v>0</v>
      </c>
      <c r="T677"/>
    </row>
    <row r="678" spans="1:20">
      <c r="A678" s="5" t="s">
        <v>36</v>
      </c>
      <c r="B678" s="5" t="s">
        <v>14005</v>
      </c>
      <c r="C678" s="4">
        <f>Controle_Pedidos[[#This Row],[Data Compra]]</f>
        <v>45659</v>
      </c>
      <c r="D678" s="4">
        <v>45659</v>
      </c>
      <c r="E678" s="5" t="s">
        <v>16095</v>
      </c>
      <c r="F678" s="5" t="s">
        <v>18084</v>
      </c>
      <c r="G678" s="5" t="s">
        <v>824</v>
      </c>
      <c r="H678" s="5">
        <v>1</v>
      </c>
      <c r="I678" s="8" t="s">
        <v>7834</v>
      </c>
      <c r="J678" s="8" t="s">
        <v>9883</v>
      </c>
      <c r="K678" s="8" t="s">
        <v>1680</v>
      </c>
      <c r="L678" s="8" t="s">
        <v>11934</v>
      </c>
      <c r="M678" s="8" t="s">
        <v>3730</v>
      </c>
      <c r="N678" s="8" t="s">
        <v>5781</v>
      </c>
      <c r="O678" s="5" t="s">
        <v>38</v>
      </c>
      <c r="P678" s="4">
        <v>45685</v>
      </c>
      <c r="Q678" s="15">
        <v>21.99</v>
      </c>
      <c r="R678" s="15">
        <v>6.99</v>
      </c>
      <c r="S678" s="15">
        <v>0</v>
      </c>
      <c r="T678"/>
    </row>
    <row r="679" spans="1:20">
      <c r="A679" s="5" t="s">
        <v>36</v>
      </c>
      <c r="B679" s="5" t="s">
        <v>14006</v>
      </c>
      <c r="C679" s="4">
        <f>Controle_Pedidos[[#This Row],[Data Compra]]</f>
        <v>45659</v>
      </c>
      <c r="D679" s="4">
        <v>45659</v>
      </c>
      <c r="E679" s="5" t="s">
        <v>16096</v>
      </c>
      <c r="F679" s="5" t="s">
        <v>18085</v>
      </c>
      <c r="G679" s="5" t="s">
        <v>817</v>
      </c>
      <c r="H679" s="5">
        <v>1</v>
      </c>
      <c r="I679" s="8" t="s">
        <v>7835</v>
      </c>
      <c r="J679" s="8" t="s">
        <v>9884</v>
      </c>
      <c r="K679" s="8" t="s">
        <v>1681</v>
      </c>
      <c r="L679" s="8" t="s">
        <v>11935</v>
      </c>
      <c r="M679" s="8" t="s">
        <v>3731</v>
      </c>
      <c r="N679" s="8" t="s">
        <v>5782</v>
      </c>
      <c r="O679" s="5" t="s">
        <v>39</v>
      </c>
      <c r="P679" s="4">
        <v>45685</v>
      </c>
      <c r="Q679" s="15">
        <v>33.9</v>
      </c>
      <c r="R679" s="15">
        <v>15.99</v>
      </c>
      <c r="S679" s="15">
        <v>0</v>
      </c>
      <c r="T679"/>
    </row>
    <row r="680" spans="1:20">
      <c r="A680" s="5" t="s">
        <v>36</v>
      </c>
      <c r="B680" s="5" t="s">
        <v>14007</v>
      </c>
      <c r="C680" s="4">
        <f>Controle_Pedidos[[#This Row],[Data Compra]]</f>
        <v>45659</v>
      </c>
      <c r="D680" s="4">
        <v>45659</v>
      </c>
      <c r="E680" s="5" t="s">
        <v>16097</v>
      </c>
      <c r="F680" s="5" t="s">
        <v>18086</v>
      </c>
      <c r="G680" s="5" t="s">
        <v>824</v>
      </c>
      <c r="H680" s="5">
        <v>1</v>
      </c>
      <c r="I680" s="8" t="s">
        <v>7836</v>
      </c>
      <c r="J680" s="8" t="s">
        <v>9885</v>
      </c>
      <c r="K680" s="8" t="s">
        <v>1682</v>
      </c>
      <c r="L680" s="8" t="s">
        <v>11936</v>
      </c>
      <c r="M680" s="8" t="s">
        <v>3732</v>
      </c>
      <c r="N680" s="8" t="s">
        <v>5783</v>
      </c>
      <c r="O680" s="5" t="s">
        <v>38</v>
      </c>
      <c r="P680" s="4">
        <v>45685</v>
      </c>
      <c r="Q680" s="15">
        <v>21.99</v>
      </c>
      <c r="R680" s="15">
        <v>6.99</v>
      </c>
      <c r="S680" s="15">
        <v>0</v>
      </c>
      <c r="T680"/>
    </row>
    <row r="681" spans="1:20">
      <c r="A681" s="5" t="s">
        <v>36</v>
      </c>
      <c r="B681" s="5" t="s">
        <v>14008</v>
      </c>
      <c r="C681" s="4">
        <f>Controle_Pedidos[[#This Row],[Data Compra]]</f>
        <v>45659</v>
      </c>
      <c r="D681" s="4">
        <v>45659</v>
      </c>
      <c r="E681" s="5" t="s">
        <v>16098</v>
      </c>
      <c r="F681" s="5" t="s">
        <v>18087</v>
      </c>
      <c r="G681" s="5" t="s">
        <v>876</v>
      </c>
      <c r="H681" s="5">
        <v>1</v>
      </c>
      <c r="I681" s="8" t="s">
        <v>7837</v>
      </c>
      <c r="J681" s="8" t="s">
        <v>9886</v>
      </c>
      <c r="K681" s="8" t="s">
        <v>1683</v>
      </c>
      <c r="L681" s="8" t="s">
        <v>11937</v>
      </c>
      <c r="M681" s="8" t="s">
        <v>3733</v>
      </c>
      <c r="N681" s="8" t="s">
        <v>5784</v>
      </c>
      <c r="O681" s="5" t="s">
        <v>93</v>
      </c>
      <c r="P681" s="4">
        <v>45685</v>
      </c>
      <c r="Q681" s="15">
        <v>62.9</v>
      </c>
      <c r="R681" s="15">
        <v>16.57</v>
      </c>
      <c r="S681" s="15">
        <v>0</v>
      </c>
      <c r="T681"/>
    </row>
    <row r="682" spans="1:20">
      <c r="A682" s="5" t="s">
        <v>36</v>
      </c>
      <c r="B682" s="5" t="s">
        <v>14009</v>
      </c>
      <c r="C682" s="4">
        <f>Controle_Pedidos[[#This Row],[Data Compra]]</f>
        <v>45659</v>
      </c>
      <c r="D682" s="4">
        <v>45659</v>
      </c>
      <c r="E682" s="5" t="s">
        <v>16099</v>
      </c>
      <c r="F682" s="5" t="s">
        <v>18088</v>
      </c>
      <c r="G682" s="5" t="s">
        <v>831</v>
      </c>
      <c r="H682" s="5">
        <v>1</v>
      </c>
      <c r="I682" s="8" t="s">
        <v>7838</v>
      </c>
      <c r="J682" s="8" t="s">
        <v>9887</v>
      </c>
      <c r="K682" s="8" t="s">
        <v>1684</v>
      </c>
      <c r="L682" s="8" t="s">
        <v>11938</v>
      </c>
      <c r="M682" s="8" t="s">
        <v>3734</v>
      </c>
      <c r="N682" s="8" t="s">
        <v>5785</v>
      </c>
      <c r="O682" s="5" t="s">
        <v>41</v>
      </c>
      <c r="P682" s="4">
        <v>45679</v>
      </c>
      <c r="Q682" s="15">
        <v>49.4</v>
      </c>
      <c r="R682" s="15">
        <v>10.18</v>
      </c>
      <c r="S682" s="15">
        <v>0</v>
      </c>
      <c r="T682"/>
    </row>
    <row r="683" spans="1:20">
      <c r="A683" s="5" t="s">
        <v>36</v>
      </c>
      <c r="B683" s="5" t="s">
        <v>14010</v>
      </c>
      <c r="C683" s="4">
        <f>Controle_Pedidos[[#This Row],[Data Compra]]</f>
        <v>45659</v>
      </c>
      <c r="D683" s="4">
        <v>45659</v>
      </c>
      <c r="E683" s="5" t="s">
        <v>16100</v>
      </c>
      <c r="F683" s="5" t="s">
        <v>18089</v>
      </c>
      <c r="G683" s="5" t="s">
        <v>831</v>
      </c>
      <c r="H683" s="5">
        <v>1</v>
      </c>
      <c r="I683" s="8" t="s">
        <v>7839</v>
      </c>
      <c r="J683" s="8" t="s">
        <v>9888</v>
      </c>
      <c r="K683" s="8" t="s">
        <v>1685</v>
      </c>
      <c r="L683" s="8" t="s">
        <v>11939</v>
      </c>
      <c r="M683" s="8" t="s">
        <v>3735</v>
      </c>
      <c r="N683" s="8" t="s">
        <v>5786</v>
      </c>
      <c r="O683" s="5" t="s">
        <v>41</v>
      </c>
      <c r="P683" s="4">
        <v>45679</v>
      </c>
      <c r="Q683" s="15">
        <v>49.4</v>
      </c>
      <c r="R683" s="15">
        <v>10.18</v>
      </c>
      <c r="S683" s="15">
        <v>0</v>
      </c>
      <c r="T683"/>
    </row>
    <row r="684" spans="1:20">
      <c r="A684" s="5" t="s">
        <v>36</v>
      </c>
      <c r="B684" s="5" t="s">
        <v>14011</v>
      </c>
      <c r="C684" s="4">
        <f>Controle_Pedidos[[#This Row],[Data Compra]]</f>
        <v>45659</v>
      </c>
      <c r="D684" s="4">
        <v>45659</v>
      </c>
      <c r="E684" s="5" t="s">
        <v>16101</v>
      </c>
      <c r="F684" s="5" t="s">
        <v>18090</v>
      </c>
      <c r="G684" s="5" t="s">
        <v>836</v>
      </c>
      <c r="H684" s="5">
        <v>1</v>
      </c>
      <c r="I684" s="8" t="s">
        <v>7840</v>
      </c>
      <c r="J684" s="8" t="s">
        <v>9889</v>
      </c>
      <c r="K684" s="8" t="s">
        <v>1686</v>
      </c>
      <c r="L684" s="8" t="s">
        <v>11940</v>
      </c>
      <c r="M684" s="8" t="s">
        <v>3736</v>
      </c>
      <c r="N684" s="8" t="s">
        <v>5787</v>
      </c>
      <c r="O684" s="5" t="s">
        <v>55</v>
      </c>
      <c r="P684" s="4">
        <v>45679</v>
      </c>
      <c r="Q684" s="15">
        <v>34.9</v>
      </c>
      <c r="R684" s="15">
        <v>6.99</v>
      </c>
      <c r="S684" s="15">
        <v>0</v>
      </c>
      <c r="T684"/>
    </row>
    <row r="685" spans="1:20">
      <c r="A685" s="5" t="s">
        <v>36</v>
      </c>
      <c r="B685" s="5" t="s">
        <v>14012</v>
      </c>
      <c r="C685" s="4">
        <f>Controle_Pedidos[[#This Row],[Data Compra]]</f>
        <v>45659</v>
      </c>
      <c r="D685" s="4">
        <v>45659</v>
      </c>
      <c r="E685" s="5" t="s">
        <v>16102</v>
      </c>
      <c r="F685" s="5" t="s">
        <v>18091</v>
      </c>
      <c r="G685" s="5" t="s">
        <v>817</v>
      </c>
      <c r="H685" s="5">
        <v>1</v>
      </c>
      <c r="I685" s="8" t="s">
        <v>7841</v>
      </c>
      <c r="J685" s="8" t="s">
        <v>9890</v>
      </c>
      <c r="K685" s="8" t="s">
        <v>1687</v>
      </c>
      <c r="L685" s="8" t="s">
        <v>11941</v>
      </c>
      <c r="M685" s="8" t="s">
        <v>3737</v>
      </c>
      <c r="N685" s="8" t="s">
        <v>5788</v>
      </c>
      <c r="O685" s="5" t="s">
        <v>39</v>
      </c>
      <c r="P685" s="4">
        <v>45673</v>
      </c>
      <c r="Q685" s="15">
        <v>33.9</v>
      </c>
      <c r="R685" s="15">
        <v>15.99</v>
      </c>
      <c r="S685" s="15">
        <v>0</v>
      </c>
      <c r="T685"/>
    </row>
    <row r="686" spans="1:20">
      <c r="A686" s="5" t="s">
        <v>36</v>
      </c>
      <c r="B686" s="5" t="s">
        <v>14013</v>
      </c>
      <c r="C686" s="4">
        <f>Controle_Pedidos[[#This Row],[Data Compra]]</f>
        <v>45659</v>
      </c>
      <c r="D686" s="4">
        <v>45659</v>
      </c>
      <c r="E686" s="5" t="s">
        <v>16103</v>
      </c>
      <c r="F686" s="5" t="s">
        <v>18092</v>
      </c>
      <c r="G686" s="5" t="s">
        <v>876</v>
      </c>
      <c r="H686" s="5">
        <v>1</v>
      </c>
      <c r="I686" s="8" t="s">
        <v>7842</v>
      </c>
      <c r="J686" s="8" t="s">
        <v>9891</v>
      </c>
      <c r="K686" s="8" t="s">
        <v>1688</v>
      </c>
      <c r="L686" s="8" t="s">
        <v>11942</v>
      </c>
      <c r="M686" s="8" t="s">
        <v>3738</v>
      </c>
      <c r="N686" s="8" t="s">
        <v>5789</v>
      </c>
      <c r="O686" s="5" t="s">
        <v>93</v>
      </c>
      <c r="P686" s="4">
        <v>45679</v>
      </c>
      <c r="Q686" s="15">
        <v>62.9</v>
      </c>
      <c r="R686" s="15">
        <v>16.57</v>
      </c>
      <c r="S686" s="15">
        <v>0</v>
      </c>
      <c r="T686"/>
    </row>
    <row r="687" spans="1:20">
      <c r="A687" s="5" t="s">
        <v>36</v>
      </c>
      <c r="B687" s="5" t="s">
        <v>14014</v>
      </c>
      <c r="C687" s="4">
        <f>Controle_Pedidos[[#This Row],[Data Compra]]</f>
        <v>45659</v>
      </c>
      <c r="D687" s="4">
        <v>45659</v>
      </c>
      <c r="E687" s="5" t="s">
        <v>16104</v>
      </c>
      <c r="F687" s="5" t="s">
        <v>18093</v>
      </c>
      <c r="G687" s="5" t="s">
        <v>849</v>
      </c>
      <c r="H687" s="5">
        <v>1</v>
      </c>
      <c r="I687" s="8" t="s">
        <v>7843</v>
      </c>
      <c r="J687" s="8" t="s">
        <v>9892</v>
      </c>
      <c r="K687" s="8" t="s">
        <v>1689</v>
      </c>
      <c r="L687" s="8" t="s">
        <v>11943</v>
      </c>
      <c r="M687" s="8" t="s">
        <v>3739</v>
      </c>
      <c r="N687" s="8" t="s">
        <v>5790</v>
      </c>
      <c r="O687" s="5" t="s">
        <v>61</v>
      </c>
      <c r="P687" s="4">
        <v>45685</v>
      </c>
      <c r="Q687" s="15">
        <v>65.599999999999994</v>
      </c>
      <c r="R687" s="15">
        <v>10.18</v>
      </c>
      <c r="S687" s="15">
        <v>0</v>
      </c>
      <c r="T687"/>
    </row>
    <row r="688" spans="1:20">
      <c r="A688" s="5" t="s">
        <v>36</v>
      </c>
      <c r="B688" s="5" t="s">
        <v>14015</v>
      </c>
      <c r="C688" s="4">
        <f>Controle_Pedidos[[#This Row],[Data Compra]]</f>
        <v>45659</v>
      </c>
      <c r="D688" s="4">
        <v>45659</v>
      </c>
      <c r="E688" s="5" t="s">
        <v>16105</v>
      </c>
      <c r="F688" s="5" t="s">
        <v>18094</v>
      </c>
      <c r="G688" s="5" t="s">
        <v>876</v>
      </c>
      <c r="H688" s="5">
        <v>1</v>
      </c>
      <c r="I688" s="8" t="s">
        <v>7837</v>
      </c>
      <c r="J688" s="8" t="s">
        <v>9886</v>
      </c>
      <c r="K688" s="8" t="s">
        <v>1683</v>
      </c>
      <c r="L688" s="8" t="s">
        <v>11937</v>
      </c>
      <c r="M688" s="8" t="s">
        <v>3733</v>
      </c>
      <c r="N688" s="8" t="s">
        <v>5784</v>
      </c>
      <c r="O688" s="5" t="s">
        <v>93</v>
      </c>
      <c r="P688" s="4">
        <v>45685</v>
      </c>
      <c r="Q688" s="15">
        <v>62.9</v>
      </c>
      <c r="R688" s="15">
        <v>16.57</v>
      </c>
      <c r="S688" s="15">
        <v>0</v>
      </c>
      <c r="T688"/>
    </row>
    <row r="689" spans="1:20">
      <c r="A689" s="5" t="s">
        <v>36</v>
      </c>
      <c r="B689" s="5" t="s">
        <v>14016</v>
      </c>
      <c r="C689" s="4">
        <f>Controle_Pedidos[[#This Row],[Data Compra]]</f>
        <v>45659</v>
      </c>
      <c r="D689" s="4">
        <v>45659</v>
      </c>
      <c r="E689" s="5" t="s">
        <v>16106</v>
      </c>
      <c r="F689" s="5" t="s">
        <v>18095</v>
      </c>
      <c r="G689" s="5" t="s">
        <v>817</v>
      </c>
      <c r="H689" s="5">
        <v>1</v>
      </c>
      <c r="I689" s="8" t="s">
        <v>7844</v>
      </c>
      <c r="J689" s="8" t="s">
        <v>9893</v>
      </c>
      <c r="K689" s="8" t="s">
        <v>1690</v>
      </c>
      <c r="L689" s="8" t="s">
        <v>11944</v>
      </c>
      <c r="M689" s="8" t="s">
        <v>3740</v>
      </c>
      <c r="N689" s="8" t="s">
        <v>5791</v>
      </c>
      <c r="O689" s="5" t="s">
        <v>39</v>
      </c>
      <c r="P689" s="4">
        <v>45675</v>
      </c>
      <c r="Q689" s="15">
        <v>33.9</v>
      </c>
      <c r="R689" s="15">
        <v>15.99</v>
      </c>
      <c r="S689" s="15">
        <v>0</v>
      </c>
      <c r="T689"/>
    </row>
    <row r="690" spans="1:20">
      <c r="A690" s="5" t="s">
        <v>36</v>
      </c>
      <c r="B690" s="5" t="s">
        <v>14017</v>
      </c>
      <c r="C690" s="4">
        <f>Controle_Pedidos[[#This Row],[Data Compra]]</f>
        <v>45659</v>
      </c>
      <c r="D690" s="4">
        <v>45659</v>
      </c>
      <c r="E690" s="5" t="s">
        <v>16107</v>
      </c>
      <c r="F690" s="5" t="s">
        <v>18096</v>
      </c>
      <c r="G690" s="5" t="s">
        <v>849</v>
      </c>
      <c r="H690" s="5">
        <v>1</v>
      </c>
      <c r="I690" s="8" t="s">
        <v>7843</v>
      </c>
      <c r="J690" s="8" t="s">
        <v>9892</v>
      </c>
      <c r="K690" s="8" t="s">
        <v>1689</v>
      </c>
      <c r="L690" s="8" t="s">
        <v>11943</v>
      </c>
      <c r="M690" s="8" t="s">
        <v>3739</v>
      </c>
      <c r="N690" s="8" t="s">
        <v>5790</v>
      </c>
      <c r="O690" s="5" t="s">
        <v>61</v>
      </c>
      <c r="P690" s="4">
        <v>45685</v>
      </c>
      <c r="Q690" s="15">
        <v>65.599999999999994</v>
      </c>
      <c r="R690" s="15">
        <v>10.18</v>
      </c>
      <c r="S690" s="15">
        <v>0</v>
      </c>
      <c r="T690"/>
    </row>
    <row r="691" spans="1:20">
      <c r="A691" s="5" t="s">
        <v>36</v>
      </c>
      <c r="B691" s="5" t="s">
        <v>14018</v>
      </c>
      <c r="C691" s="4">
        <f>Controle_Pedidos[[#This Row],[Data Compra]]</f>
        <v>45659</v>
      </c>
      <c r="D691" s="4">
        <v>45659</v>
      </c>
      <c r="E691" s="5" t="s">
        <v>16108</v>
      </c>
      <c r="F691" s="5" t="s">
        <v>18097</v>
      </c>
      <c r="G691" s="5" t="s">
        <v>831</v>
      </c>
      <c r="H691" s="5">
        <v>1</v>
      </c>
      <c r="I691" s="8" t="s">
        <v>7845</v>
      </c>
      <c r="J691" s="8" t="s">
        <v>9894</v>
      </c>
      <c r="K691" s="8" t="s">
        <v>1691</v>
      </c>
      <c r="L691" s="8" t="s">
        <v>11945</v>
      </c>
      <c r="M691" s="8" t="s">
        <v>3741</v>
      </c>
      <c r="N691" s="8" t="s">
        <v>5792</v>
      </c>
      <c r="O691" s="5" t="s">
        <v>41</v>
      </c>
      <c r="P691" s="4">
        <v>45679</v>
      </c>
      <c r="Q691" s="15">
        <v>49.4</v>
      </c>
      <c r="R691" s="15">
        <v>10.18</v>
      </c>
      <c r="S691" s="15">
        <v>0</v>
      </c>
      <c r="T691"/>
    </row>
    <row r="692" spans="1:20">
      <c r="A692" s="5" t="s">
        <v>36</v>
      </c>
      <c r="B692" s="5" t="s">
        <v>14019</v>
      </c>
      <c r="C692" s="4">
        <f>Controle_Pedidos[[#This Row],[Data Compra]]</f>
        <v>45659</v>
      </c>
      <c r="D692" s="4">
        <v>45659</v>
      </c>
      <c r="E692" s="5" t="s">
        <v>16109</v>
      </c>
      <c r="F692" s="5" t="s">
        <v>18098</v>
      </c>
      <c r="G692" s="5" t="s">
        <v>852</v>
      </c>
      <c r="H692" s="5">
        <v>1</v>
      </c>
      <c r="I692" s="8" t="s">
        <v>7846</v>
      </c>
      <c r="J692" s="8" t="s">
        <v>9895</v>
      </c>
      <c r="K692" s="8" t="s">
        <v>1692</v>
      </c>
      <c r="L692" s="8" t="s">
        <v>11946</v>
      </c>
      <c r="M692" s="8" t="s">
        <v>3742</v>
      </c>
      <c r="N692" s="8" t="s">
        <v>5793</v>
      </c>
      <c r="O692" s="5" t="s">
        <v>68</v>
      </c>
      <c r="P692" s="4">
        <v>45685</v>
      </c>
      <c r="Q692" s="15">
        <v>21.99</v>
      </c>
      <c r="R692" s="15">
        <v>6.99</v>
      </c>
      <c r="S692" s="15">
        <v>0</v>
      </c>
      <c r="T692"/>
    </row>
    <row r="693" spans="1:20">
      <c r="A693" s="5" t="s">
        <v>36</v>
      </c>
      <c r="B693" s="5" t="s">
        <v>14020</v>
      </c>
      <c r="C693" s="4">
        <f>Controle_Pedidos[[#This Row],[Data Compra]]</f>
        <v>45659</v>
      </c>
      <c r="D693" s="4">
        <v>45659</v>
      </c>
      <c r="E693" s="5" t="s">
        <v>16110</v>
      </c>
      <c r="F693" s="5" t="s">
        <v>18099</v>
      </c>
      <c r="G693" s="5" t="s">
        <v>852</v>
      </c>
      <c r="H693" s="5">
        <v>1</v>
      </c>
      <c r="I693" s="8" t="s">
        <v>7847</v>
      </c>
      <c r="J693" s="8" t="s">
        <v>9896</v>
      </c>
      <c r="K693" s="8" t="s">
        <v>1693</v>
      </c>
      <c r="L693" s="8" t="s">
        <v>11947</v>
      </c>
      <c r="M693" s="8" t="s">
        <v>3743</v>
      </c>
      <c r="N693" s="8" t="s">
        <v>5794</v>
      </c>
      <c r="O693" s="5" t="s">
        <v>68</v>
      </c>
      <c r="P693" s="4">
        <v>45686</v>
      </c>
      <c r="Q693" s="15">
        <v>21.99</v>
      </c>
      <c r="R693" s="15">
        <v>6.99</v>
      </c>
      <c r="S693" s="15">
        <v>0</v>
      </c>
      <c r="T693"/>
    </row>
    <row r="694" spans="1:20">
      <c r="A694" s="5" t="s">
        <v>36</v>
      </c>
      <c r="B694" s="5" t="s">
        <v>14021</v>
      </c>
      <c r="C694" s="4">
        <f>Controle_Pedidos[[#This Row],[Data Compra]]</f>
        <v>45659</v>
      </c>
      <c r="D694" s="4">
        <v>45659</v>
      </c>
      <c r="E694" s="5" t="s">
        <v>16111</v>
      </c>
      <c r="F694" s="5" t="s">
        <v>18100</v>
      </c>
      <c r="G694" s="5" t="s">
        <v>852</v>
      </c>
      <c r="H694" s="5">
        <v>1</v>
      </c>
      <c r="I694" s="8" t="s">
        <v>7848</v>
      </c>
      <c r="J694" s="8" t="s">
        <v>9897</v>
      </c>
      <c r="K694" s="8" t="s">
        <v>1694</v>
      </c>
      <c r="L694" s="8" t="s">
        <v>11948</v>
      </c>
      <c r="M694" s="8" t="s">
        <v>3744</v>
      </c>
      <c r="N694" s="8" t="s">
        <v>5795</v>
      </c>
      <c r="O694" s="5" t="s">
        <v>68</v>
      </c>
      <c r="P694" s="4">
        <v>45686</v>
      </c>
      <c r="Q694" s="15">
        <v>21.99</v>
      </c>
      <c r="R694" s="15">
        <v>6.99</v>
      </c>
      <c r="S694" s="15">
        <v>0</v>
      </c>
      <c r="T694"/>
    </row>
    <row r="695" spans="1:20">
      <c r="A695" s="5" t="s">
        <v>36</v>
      </c>
      <c r="B695" s="5" t="s">
        <v>14022</v>
      </c>
      <c r="C695" s="4">
        <f>Controle_Pedidos[[#This Row],[Data Compra]]</f>
        <v>45659</v>
      </c>
      <c r="D695" s="4">
        <v>45659</v>
      </c>
      <c r="E695" s="5" t="s">
        <v>16112</v>
      </c>
      <c r="F695" s="5" t="s">
        <v>18101</v>
      </c>
      <c r="G695" s="5" t="s">
        <v>831</v>
      </c>
      <c r="H695" s="5">
        <v>1</v>
      </c>
      <c r="I695" s="8" t="s">
        <v>7849</v>
      </c>
      <c r="J695" s="8" t="s">
        <v>9898</v>
      </c>
      <c r="K695" s="8" t="s">
        <v>1695</v>
      </c>
      <c r="L695" s="8" t="s">
        <v>11949</v>
      </c>
      <c r="M695" s="8" t="s">
        <v>3745</v>
      </c>
      <c r="N695" s="8" t="s">
        <v>5796</v>
      </c>
      <c r="O695" s="5" t="s">
        <v>41</v>
      </c>
      <c r="P695" s="4">
        <v>45686</v>
      </c>
      <c r="Q695" s="15">
        <v>49.4</v>
      </c>
      <c r="R695" s="15">
        <v>10.18</v>
      </c>
      <c r="S695" s="15">
        <v>0</v>
      </c>
      <c r="T695"/>
    </row>
    <row r="696" spans="1:20">
      <c r="A696" s="5" t="s">
        <v>36</v>
      </c>
      <c r="B696" s="5" t="s">
        <v>14023</v>
      </c>
      <c r="C696" s="4">
        <f>Controle_Pedidos[[#This Row],[Data Compra]]</f>
        <v>45659</v>
      </c>
      <c r="D696" s="4">
        <v>45659</v>
      </c>
      <c r="E696" s="5" t="s">
        <v>16113</v>
      </c>
      <c r="F696" s="5" t="s">
        <v>18102</v>
      </c>
      <c r="G696" s="5" t="s">
        <v>831</v>
      </c>
      <c r="H696" s="5">
        <v>1</v>
      </c>
      <c r="I696" s="8" t="s">
        <v>7850</v>
      </c>
      <c r="J696" s="8" t="s">
        <v>9899</v>
      </c>
      <c r="K696" s="8" t="s">
        <v>1696</v>
      </c>
      <c r="L696" s="8" t="s">
        <v>11950</v>
      </c>
      <c r="M696" s="8" t="s">
        <v>3746</v>
      </c>
      <c r="N696" s="8" t="s">
        <v>5797</v>
      </c>
      <c r="O696" s="5" t="s">
        <v>41</v>
      </c>
      <c r="P696" s="4">
        <v>45686</v>
      </c>
      <c r="Q696" s="15">
        <v>49.4</v>
      </c>
      <c r="R696" s="15">
        <v>10.18</v>
      </c>
      <c r="S696" s="15">
        <v>0</v>
      </c>
      <c r="T696"/>
    </row>
    <row r="697" spans="1:20">
      <c r="A697" s="5" t="s">
        <v>36</v>
      </c>
      <c r="B697" s="5" t="s">
        <v>14024</v>
      </c>
      <c r="C697" s="4">
        <f>Controle_Pedidos[[#This Row],[Data Compra]]</f>
        <v>45659</v>
      </c>
      <c r="D697" s="4">
        <v>45659</v>
      </c>
      <c r="E697" s="5" t="s">
        <v>16114</v>
      </c>
      <c r="F697" s="5" t="s">
        <v>18103</v>
      </c>
      <c r="G697" s="5" t="s">
        <v>849</v>
      </c>
      <c r="H697" s="5">
        <v>1</v>
      </c>
      <c r="I697" s="8" t="s">
        <v>7851</v>
      </c>
      <c r="J697" s="8" t="s">
        <v>9900</v>
      </c>
      <c r="K697" s="8" t="s">
        <v>1697</v>
      </c>
      <c r="L697" s="8" t="s">
        <v>11951</v>
      </c>
      <c r="M697" s="8" t="s">
        <v>3747</v>
      </c>
      <c r="N697" s="8" t="s">
        <v>5798</v>
      </c>
      <c r="O697" s="5" t="s">
        <v>61</v>
      </c>
      <c r="P697" s="4">
        <v>45693</v>
      </c>
      <c r="Q697" s="15">
        <v>65.599999999999994</v>
      </c>
      <c r="R697" s="15">
        <v>10.18</v>
      </c>
      <c r="S697" s="15">
        <v>0</v>
      </c>
      <c r="T697"/>
    </row>
    <row r="698" spans="1:20">
      <c r="A698" s="5" t="s">
        <v>36</v>
      </c>
      <c r="B698" s="5" t="s">
        <v>14025</v>
      </c>
      <c r="C698" s="4">
        <f>Controle_Pedidos[[#This Row],[Data Compra]]</f>
        <v>45659</v>
      </c>
      <c r="D698" s="4">
        <v>45659</v>
      </c>
      <c r="E698" s="5" t="s">
        <v>16115</v>
      </c>
      <c r="F698" s="5" t="s">
        <v>18104</v>
      </c>
      <c r="G698" s="5" t="s">
        <v>876</v>
      </c>
      <c r="H698" s="5">
        <v>1</v>
      </c>
      <c r="I698" s="8" t="s">
        <v>7852</v>
      </c>
      <c r="J698" s="8" t="s">
        <v>9901</v>
      </c>
      <c r="K698" s="8" t="s">
        <v>1698</v>
      </c>
      <c r="L698" s="8" t="s">
        <v>11952</v>
      </c>
      <c r="M698" s="8" t="s">
        <v>3748</v>
      </c>
      <c r="N698" s="8" t="s">
        <v>5799</v>
      </c>
      <c r="O698" s="5" t="s">
        <v>93</v>
      </c>
      <c r="P698" s="4">
        <v>45686</v>
      </c>
      <c r="Q698" s="15">
        <v>62.9</v>
      </c>
      <c r="R698" s="15">
        <v>16.57</v>
      </c>
      <c r="S698" s="15">
        <v>0</v>
      </c>
      <c r="T698"/>
    </row>
    <row r="699" spans="1:20">
      <c r="A699" s="5" t="s">
        <v>36</v>
      </c>
      <c r="B699" s="5" t="s">
        <v>14026</v>
      </c>
      <c r="C699" s="4">
        <f>Controle_Pedidos[[#This Row],[Data Compra]]</f>
        <v>45659</v>
      </c>
      <c r="D699" s="4">
        <v>45659</v>
      </c>
      <c r="E699" s="5" t="s">
        <v>16116</v>
      </c>
      <c r="F699" s="5" t="s">
        <v>18105</v>
      </c>
      <c r="G699" s="5" t="s">
        <v>831</v>
      </c>
      <c r="H699" s="5">
        <v>1</v>
      </c>
      <c r="I699" s="8" t="s">
        <v>7853</v>
      </c>
      <c r="J699" s="8" t="s">
        <v>9902</v>
      </c>
      <c r="K699" s="8" t="s">
        <v>1699</v>
      </c>
      <c r="L699" s="8" t="s">
        <v>11953</v>
      </c>
      <c r="M699" s="8" t="s">
        <v>3749</v>
      </c>
      <c r="N699" s="8" t="s">
        <v>5800</v>
      </c>
      <c r="O699" s="5" t="s">
        <v>41</v>
      </c>
      <c r="P699" s="4">
        <v>45686</v>
      </c>
      <c r="Q699" s="15">
        <v>49.4</v>
      </c>
      <c r="R699" s="15">
        <v>10.18</v>
      </c>
      <c r="S699" s="15">
        <v>0</v>
      </c>
      <c r="T699"/>
    </row>
    <row r="700" spans="1:20">
      <c r="A700" s="5" t="s">
        <v>36</v>
      </c>
      <c r="B700" s="5" t="s">
        <v>14027</v>
      </c>
      <c r="C700" s="4">
        <f>Controle_Pedidos[[#This Row],[Data Compra]]</f>
        <v>45659</v>
      </c>
      <c r="D700" s="4">
        <v>45659</v>
      </c>
      <c r="E700" s="5" t="s">
        <v>16117</v>
      </c>
      <c r="F700" s="5" t="s">
        <v>18106</v>
      </c>
      <c r="G700" s="5" t="s">
        <v>849</v>
      </c>
      <c r="H700" s="5">
        <v>1</v>
      </c>
      <c r="I700" s="8" t="s">
        <v>7854</v>
      </c>
      <c r="J700" s="8" t="s">
        <v>9903</v>
      </c>
      <c r="K700" s="8" t="s">
        <v>1700</v>
      </c>
      <c r="L700" s="8" t="s">
        <v>11954</v>
      </c>
      <c r="M700" s="8" t="s">
        <v>3750</v>
      </c>
      <c r="N700" s="8" t="s">
        <v>5801</v>
      </c>
      <c r="O700" s="5" t="s">
        <v>61</v>
      </c>
      <c r="P700" s="4">
        <v>45693</v>
      </c>
      <c r="Q700" s="15">
        <v>65.599999999999994</v>
      </c>
      <c r="R700" s="15">
        <v>10.18</v>
      </c>
      <c r="S700" s="15">
        <v>0</v>
      </c>
      <c r="T700"/>
    </row>
    <row r="701" spans="1:20">
      <c r="A701" s="5" t="s">
        <v>36</v>
      </c>
      <c r="B701" s="5" t="s">
        <v>14028</v>
      </c>
      <c r="C701" s="4">
        <f>Controle_Pedidos[[#This Row],[Data Compra]]</f>
        <v>45660</v>
      </c>
      <c r="D701" s="4">
        <v>45660</v>
      </c>
      <c r="E701" s="5" t="s">
        <v>16118</v>
      </c>
      <c r="F701" s="5" t="s">
        <v>18107</v>
      </c>
      <c r="G701" s="5" t="s">
        <v>849</v>
      </c>
      <c r="H701" s="5">
        <v>1</v>
      </c>
      <c r="I701" s="8" t="s">
        <v>7855</v>
      </c>
      <c r="J701" s="8" t="s">
        <v>9904</v>
      </c>
      <c r="K701" s="8" t="s">
        <v>1701</v>
      </c>
      <c r="L701" s="8" t="s">
        <v>11955</v>
      </c>
      <c r="M701" s="8" t="s">
        <v>3751</v>
      </c>
      <c r="N701" s="8" t="s">
        <v>5802</v>
      </c>
      <c r="O701" s="5" t="s">
        <v>61</v>
      </c>
      <c r="P701" s="4">
        <v>45680</v>
      </c>
      <c r="Q701" s="15">
        <v>65.599999999999994</v>
      </c>
      <c r="R701" s="15">
        <v>10.15</v>
      </c>
      <c r="S701" s="15">
        <v>0</v>
      </c>
      <c r="T701"/>
    </row>
    <row r="702" spans="1:20">
      <c r="A702" s="5" t="s">
        <v>36</v>
      </c>
      <c r="B702" s="5" t="s">
        <v>14029</v>
      </c>
      <c r="C702" s="4">
        <f>Controle_Pedidos[[#This Row],[Data Compra]]</f>
        <v>45660</v>
      </c>
      <c r="D702" s="4">
        <v>45660</v>
      </c>
      <c r="E702" s="5" t="s">
        <v>16119</v>
      </c>
      <c r="F702" s="5" t="s">
        <v>18108</v>
      </c>
      <c r="G702" s="5" t="s">
        <v>831</v>
      </c>
      <c r="H702" s="5">
        <v>1</v>
      </c>
      <c r="I702" s="8" t="s">
        <v>7856</v>
      </c>
      <c r="J702" s="8" t="s">
        <v>9905</v>
      </c>
      <c r="K702" s="8" t="s">
        <v>1702</v>
      </c>
      <c r="L702" s="8" t="s">
        <v>11956</v>
      </c>
      <c r="M702" s="8" t="s">
        <v>3752</v>
      </c>
      <c r="N702" s="8" t="s">
        <v>5803</v>
      </c>
      <c r="O702" s="5" t="s">
        <v>41</v>
      </c>
      <c r="P702" s="4">
        <v>45686</v>
      </c>
      <c r="Q702" s="15">
        <v>46.9</v>
      </c>
      <c r="R702" s="15">
        <v>13.25</v>
      </c>
      <c r="S702" s="15">
        <v>0</v>
      </c>
      <c r="T702"/>
    </row>
    <row r="703" spans="1:20">
      <c r="A703" s="5" t="s">
        <v>36</v>
      </c>
      <c r="B703" s="5" t="s">
        <v>14030</v>
      </c>
      <c r="C703" s="4">
        <f>Controle_Pedidos[[#This Row],[Data Compra]]</f>
        <v>45660</v>
      </c>
      <c r="D703" s="4">
        <v>45660</v>
      </c>
      <c r="E703" s="5" t="s">
        <v>16120</v>
      </c>
      <c r="F703" s="5" t="s">
        <v>18109</v>
      </c>
      <c r="G703" s="5" t="s">
        <v>849</v>
      </c>
      <c r="H703" s="5">
        <v>1</v>
      </c>
      <c r="I703" s="8" t="s">
        <v>7857</v>
      </c>
      <c r="J703" s="8" t="s">
        <v>9906</v>
      </c>
      <c r="K703" s="8" t="s">
        <v>1703</v>
      </c>
      <c r="L703" s="8" t="s">
        <v>11957</v>
      </c>
      <c r="M703" s="8" t="s">
        <v>3753</v>
      </c>
      <c r="N703" s="8" t="s">
        <v>5804</v>
      </c>
      <c r="O703" s="5" t="s">
        <v>61</v>
      </c>
      <c r="P703" s="4">
        <v>45687</v>
      </c>
      <c r="Q703" s="15">
        <v>65.599999999999994</v>
      </c>
      <c r="R703" s="15">
        <v>10.15</v>
      </c>
      <c r="S703" s="15">
        <v>0</v>
      </c>
      <c r="T703"/>
    </row>
    <row r="704" spans="1:20">
      <c r="A704" s="5" t="s">
        <v>36</v>
      </c>
      <c r="B704" s="5" t="s">
        <v>14031</v>
      </c>
      <c r="C704" s="4">
        <f>Controle_Pedidos[[#This Row],[Data Compra]]</f>
        <v>45660</v>
      </c>
      <c r="D704" s="4">
        <v>45660</v>
      </c>
      <c r="E704" s="5" t="s">
        <v>16121</v>
      </c>
      <c r="F704" s="5" t="s">
        <v>18110</v>
      </c>
      <c r="G704" s="5" t="s">
        <v>824</v>
      </c>
      <c r="H704" s="5">
        <v>1</v>
      </c>
      <c r="I704" s="8" t="s">
        <v>7858</v>
      </c>
      <c r="J704" s="8" t="s">
        <v>9907</v>
      </c>
      <c r="K704" s="8" t="s">
        <v>1704</v>
      </c>
      <c r="L704" s="8" t="s">
        <v>11958</v>
      </c>
      <c r="M704" s="8" t="s">
        <v>3754</v>
      </c>
      <c r="N704" s="8" t="s">
        <v>5805</v>
      </c>
      <c r="O704" s="5" t="s">
        <v>38</v>
      </c>
      <c r="P704" s="4">
        <v>45687</v>
      </c>
      <c r="Q704" s="15">
        <v>21.99</v>
      </c>
      <c r="R704" s="15">
        <v>6.99</v>
      </c>
      <c r="S704" s="15">
        <v>0</v>
      </c>
      <c r="T704"/>
    </row>
    <row r="705" spans="1:20">
      <c r="A705" s="5" t="s">
        <v>36</v>
      </c>
      <c r="B705" s="5" t="s">
        <v>14032</v>
      </c>
      <c r="C705" s="4">
        <f>Controle_Pedidos[[#This Row],[Data Compra]]</f>
        <v>45660</v>
      </c>
      <c r="D705" s="4">
        <v>45660</v>
      </c>
      <c r="E705" s="5" t="s">
        <v>16122</v>
      </c>
      <c r="F705" s="5" t="s">
        <v>18111</v>
      </c>
      <c r="G705" s="5" t="s">
        <v>831</v>
      </c>
      <c r="H705" s="5">
        <v>1</v>
      </c>
      <c r="I705" s="8" t="s">
        <v>7859</v>
      </c>
      <c r="J705" s="8" t="s">
        <v>9908</v>
      </c>
      <c r="K705" s="8" t="s">
        <v>1705</v>
      </c>
      <c r="L705" s="8" t="s">
        <v>11959</v>
      </c>
      <c r="M705" s="8" t="s">
        <v>3755</v>
      </c>
      <c r="N705" s="8" t="s">
        <v>5806</v>
      </c>
      <c r="O705" s="5" t="s">
        <v>41</v>
      </c>
      <c r="P705" s="4">
        <v>45687</v>
      </c>
      <c r="Q705" s="15">
        <v>46.9</v>
      </c>
      <c r="R705" s="15">
        <v>10.15</v>
      </c>
      <c r="S705" s="15">
        <v>0</v>
      </c>
      <c r="T705"/>
    </row>
    <row r="706" spans="1:20">
      <c r="A706" s="5" t="s">
        <v>36</v>
      </c>
      <c r="B706" s="5" t="s">
        <v>14033</v>
      </c>
      <c r="C706" s="4">
        <f>Controle_Pedidos[[#This Row],[Data Compra]]</f>
        <v>45660</v>
      </c>
      <c r="D706" s="4">
        <v>45660</v>
      </c>
      <c r="E706" s="5" t="s">
        <v>16123</v>
      </c>
      <c r="F706" s="5" t="s">
        <v>18112</v>
      </c>
      <c r="G706" s="5" t="s">
        <v>852</v>
      </c>
      <c r="H706" s="5">
        <v>1</v>
      </c>
      <c r="I706" s="8" t="s">
        <v>7860</v>
      </c>
      <c r="J706" s="8" t="s">
        <v>9909</v>
      </c>
      <c r="K706" s="8" t="s">
        <v>1706</v>
      </c>
      <c r="L706" s="8" t="s">
        <v>11960</v>
      </c>
      <c r="M706" s="8" t="s">
        <v>3756</v>
      </c>
      <c r="N706" s="8" t="s">
        <v>5807</v>
      </c>
      <c r="O706" s="5" t="s">
        <v>68</v>
      </c>
      <c r="P706" s="4">
        <v>45687</v>
      </c>
      <c r="Q706" s="15">
        <v>21.99</v>
      </c>
      <c r="R706" s="15">
        <v>6.99</v>
      </c>
      <c r="S706" s="15">
        <v>0</v>
      </c>
      <c r="T706"/>
    </row>
    <row r="707" spans="1:20">
      <c r="A707" s="5" t="s">
        <v>36</v>
      </c>
      <c r="B707" s="5" t="s">
        <v>14034</v>
      </c>
      <c r="C707" s="4">
        <f>Controle_Pedidos[[#This Row],[Data Compra]]</f>
        <v>45660</v>
      </c>
      <c r="D707" s="4">
        <v>45660</v>
      </c>
      <c r="E707" s="5" t="s">
        <v>16124</v>
      </c>
      <c r="F707" s="5" t="s">
        <v>18113</v>
      </c>
      <c r="G707" s="5" t="s">
        <v>831</v>
      </c>
      <c r="H707" s="5">
        <v>1</v>
      </c>
      <c r="I707" s="8" t="s">
        <v>7861</v>
      </c>
      <c r="J707" s="8" t="s">
        <v>9910</v>
      </c>
      <c r="K707" s="8" t="s">
        <v>1707</v>
      </c>
      <c r="L707" s="8" t="s">
        <v>11961</v>
      </c>
      <c r="M707" s="8" t="s">
        <v>3757</v>
      </c>
      <c r="N707" s="8" t="s">
        <v>5808</v>
      </c>
      <c r="O707" s="5" t="s">
        <v>41</v>
      </c>
      <c r="P707" s="4">
        <v>45687</v>
      </c>
      <c r="Q707" s="15">
        <v>46.9</v>
      </c>
      <c r="R707" s="15">
        <v>10.15</v>
      </c>
      <c r="S707" s="15">
        <v>0</v>
      </c>
      <c r="T707"/>
    </row>
    <row r="708" spans="1:20">
      <c r="A708" s="5" t="s">
        <v>36</v>
      </c>
      <c r="B708" s="5" t="s">
        <v>14035</v>
      </c>
      <c r="C708" s="4">
        <f>Controle_Pedidos[[#This Row],[Data Compra]]</f>
        <v>45660</v>
      </c>
      <c r="D708" s="4">
        <v>45660</v>
      </c>
      <c r="E708" s="5" t="s">
        <v>16125</v>
      </c>
      <c r="F708" s="5" t="s">
        <v>18114</v>
      </c>
      <c r="G708" s="5" t="s">
        <v>831</v>
      </c>
      <c r="H708" s="5">
        <v>1</v>
      </c>
      <c r="I708" s="8" t="s">
        <v>7862</v>
      </c>
      <c r="J708" s="8" t="s">
        <v>9911</v>
      </c>
      <c r="K708" s="8" t="s">
        <v>1708</v>
      </c>
      <c r="L708" s="8" t="s">
        <v>11962</v>
      </c>
      <c r="M708" s="8" t="s">
        <v>3758</v>
      </c>
      <c r="N708" s="8" t="s">
        <v>5809</v>
      </c>
      <c r="O708" s="5" t="s">
        <v>41</v>
      </c>
      <c r="P708" s="4">
        <v>45694</v>
      </c>
      <c r="Q708" s="15">
        <v>46.9</v>
      </c>
      <c r="R708" s="15">
        <v>10.15</v>
      </c>
      <c r="S708" s="15">
        <v>0</v>
      </c>
      <c r="T708"/>
    </row>
    <row r="709" spans="1:20">
      <c r="A709" s="5" t="s">
        <v>36</v>
      </c>
      <c r="B709" s="5" t="s">
        <v>14036</v>
      </c>
      <c r="C709" s="4">
        <f>Controle_Pedidos[[#This Row],[Data Compra]]</f>
        <v>45660</v>
      </c>
      <c r="D709" s="4">
        <v>45660</v>
      </c>
      <c r="E709" s="5" t="s">
        <v>16126</v>
      </c>
      <c r="F709" s="5" t="s">
        <v>18115</v>
      </c>
      <c r="G709" s="5" t="s">
        <v>852</v>
      </c>
      <c r="H709" s="5">
        <v>1</v>
      </c>
      <c r="I709" s="8" t="s">
        <v>7863</v>
      </c>
      <c r="J709" s="8" t="s">
        <v>9912</v>
      </c>
      <c r="K709" s="8" t="s">
        <v>1709</v>
      </c>
      <c r="L709" s="8" t="s">
        <v>11963</v>
      </c>
      <c r="M709" s="8" t="s">
        <v>3759</v>
      </c>
      <c r="N709" s="8" t="s">
        <v>5810</v>
      </c>
      <c r="O709" s="5" t="s">
        <v>68</v>
      </c>
      <c r="P709" s="4">
        <v>45681</v>
      </c>
      <c r="Q709" s="15">
        <v>21.99</v>
      </c>
      <c r="R709" s="15">
        <v>6.99</v>
      </c>
      <c r="S709" s="15">
        <v>0</v>
      </c>
      <c r="T709"/>
    </row>
    <row r="710" spans="1:20">
      <c r="A710" s="5" t="s">
        <v>36</v>
      </c>
      <c r="B710" s="5" t="s">
        <v>14037</v>
      </c>
      <c r="C710" s="4">
        <f>Controle_Pedidos[[#This Row],[Data Compra]]</f>
        <v>45660</v>
      </c>
      <c r="D710" s="4">
        <v>45660</v>
      </c>
      <c r="E710" s="5" t="s">
        <v>16127</v>
      </c>
      <c r="F710" s="5" t="s">
        <v>18116</v>
      </c>
      <c r="G710" s="5" t="s">
        <v>852</v>
      </c>
      <c r="H710" s="5">
        <v>1</v>
      </c>
      <c r="I710" s="8" t="s">
        <v>7864</v>
      </c>
      <c r="J710" s="8" t="s">
        <v>9913</v>
      </c>
      <c r="K710" s="8" t="s">
        <v>1710</v>
      </c>
      <c r="L710" s="8" t="s">
        <v>11964</v>
      </c>
      <c r="M710" s="8" t="s">
        <v>3760</v>
      </c>
      <c r="N710" s="8" t="s">
        <v>5811</v>
      </c>
      <c r="O710" s="5" t="s">
        <v>68</v>
      </c>
      <c r="P710" s="4">
        <v>45681</v>
      </c>
      <c r="Q710" s="15">
        <v>21.99</v>
      </c>
      <c r="R710" s="15">
        <v>6.99</v>
      </c>
      <c r="S710" s="15">
        <v>0</v>
      </c>
      <c r="T710"/>
    </row>
    <row r="711" spans="1:20">
      <c r="A711" s="5" t="s">
        <v>36</v>
      </c>
      <c r="B711" s="5" t="s">
        <v>14038</v>
      </c>
      <c r="C711" s="4">
        <f>Controle_Pedidos[[#This Row],[Data Compra]]</f>
        <v>45660</v>
      </c>
      <c r="D711" s="4">
        <v>45660</v>
      </c>
      <c r="E711" s="5" t="s">
        <v>16128</v>
      </c>
      <c r="F711" s="5" t="s">
        <v>18117</v>
      </c>
      <c r="G711" s="5" t="s">
        <v>831</v>
      </c>
      <c r="H711" s="5">
        <v>1</v>
      </c>
      <c r="I711" s="8" t="s">
        <v>7865</v>
      </c>
      <c r="J711" s="8" t="s">
        <v>9914</v>
      </c>
      <c r="K711" s="8" t="s">
        <v>1711</v>
      </c>
      <c r="L711" s="8" t="s">
        <v>11965</v>
      </c>
      <c r="M711" s="8" t="s">
        <v>3761</v>
      </c>
      <c r="N711" s="8" t="s">
        <v>5812</v>
      </c>
      <c r="O711" s="5" t="s">
        <v>41</v>
      </c>
      <c r="P711" s="4">
        <v>45687</v>
      </c>
      <c r="Q711" s="15">
        <v>46.9</v>
      </c>
      <c r="R711" s="15">
        <v>10.15</v>
      </c>
      <c r="S711" s="15">
        <v>0</v>
      </c>
      <c r="T711"/>
    </row>
    <row r="712" spans="1:20">
      <c r="A712" s="5" t="s">
        <v>36</v>
      </c>
      <c r="B712" s="5" t="s">
        <v>14039</v>
      </c>
      <c r="C712" s="4">
        <f>Controle_Pedidos[[#This Row],[Data Compra]]</f>
        <v>45660</v>
      </c>
      <c r="D712" s="4">
        <v>45660</v>
      </c>
      <c r="E712" s="5" t="s">
        <v>16129</v>
      </c>
      <c r="F712" s="5" t="s">
        <v>18118</v>
      </c>
      <c r="G712" s="5" t="s">
        <v>817</v>
      </c>
      <c r="H712" s="5">
        <v>1</v>
      </c>
      <c r="I712" s="8" t="s">
        <v>7866</v>
      </c>
      <c r="J712" s="8" t="s">
        <v>9915</v>
      </c>
      <c r="K712" s="8" t="s">
        <v>1712</v>
      </c>
      <c r="L712" s="8" t="s">
        <v>11966</v>
      </c>
      <c r="M712" s="8" t="s">
        <v>3762</v>
      </c>
      <c r="N712" s="8" t="s">
        <v>5813</v>
      </c>
      <c r="O712" s="5" t="s">
        <v>39</v>
      </c>
      <c r="P712" s="4">
        <v>45675</v>
      </c>
      <c r="Q712" s="15">
        <v>33.9</v>
      </c>
      <c r="R712" s="15">
        <v>15.99</v>
      </c>
      <c r="S712" s="15">
        <v>0</v>
      </c>
      <c r="T712"/>
    </row>
    <row r="713" spans="1:20">
      <c r="A713" s="5" t="s">
        <v>36</v>
      </c>
      <c r="B713" s="5" t="s">
        <v>14040</v>
      </c>
      <c r="C713" s="4">
        <f>Controle_Pedidos[[#This Row],[Data Compra]]</f>
        <v>45660</v>
      </c>
      <c r="D713" s="4">
        <v>45660</v>
      </c>
      <c r="E713" s="5" t="s">
        <v>16130</v>
      </c>
      <c r="F713" s="5" t="s">
        <v>18119</v>
      </c>
      <c r="G713" s="5" t="s">
        <v>852</v>
      </c>
      <c r="H713" s="5">
        <v>1</v>
      </c>
      <c r="I713" s="8" t="s">
        <v>7867</v>
      </c>
      <c r="J713" s="8" t="s">
        <v>9916</v>
      </c>
      <c r="K713" s="8" t="s">
        <v>1713</v>
      </c>
      <c r="L713" s="8" t="s">
        <v>11967</v>
      </c>
      <c r="M713" s="8" t="s">
        <v>3763</v>
      </c>
      <c r="N713" s="8" t="s">
        <v>5814</v>
      </c>
      <c r="O713" s="5" t="s">
        <v>68</v>
      </c>
      <c r="P713" s="4">
        <v>45681</v>
      </c>
      <c r="Q713" s="15">
        <v>21.99</v>
      </c>
      <c r="R713" s="15">
        <v>6.99</v>
      </c>
      <c r="S713" s="15">
        <v>0</v>
      </c>
      <c r="T713"/>
    </row>
    <row r="714" spans="1:20">
      <c r="A714" s="5" t="s">
        <v>36</v>
      </c>
      <c r="B714" s="5" t="s">
        <v>14041</v>
      </c>
      <c r="C714" s="4">
        <f>Controle_Pedidos[[#This Row],[Data Compra]]</f>
        <v>45660</v>
      </c>
      <c r="D714" s="4">
        <v>45660</v>
      </c>
      <c r="E714" s="5" t="s">
        <v>16131</v>
      </c>
      <c r="F714" s="5" t="s">
        <v>18120</v>
      </c>
      <c r="G714" s="5" t="s">
        <v>831</v>
      </c>
      <c r="H714" s="5">
        <v>1</v>
      </c>
      <c r="I714" s="8" t="s">
        <v>7868</v>
      </c>
      <c r="J714" s="8" t="s">
        <v>9917</v>
      </c>
      <c r="K714" s="8" t="s">
        <v>1714</v>
      </c>
      <c r="L714" s="8" t="s">
        <v>11968</v>
      </c>
      <c r="M714" s="8" t="s">
        <v>3764</v>
      </c>
      <c r="N714" s="8" t="s">
        <v>5815</v>
      </c>
      <c r="O714" s="5" t="s">
        <v>41</v>
      </c>
      <c r="P714" s="4">
        <v>45681</v>
      </c>
      <c r="Q714" s="15">
        <v>46.9</v>
      </c>
      <c r="R714" s="15">
        <v>10.15</v>
      </c>
      <c r="S714" s="15">
        <v>0</v>
      </c>
      <c r="T714"/>
    </row>
    <row r="715" spans="1:20">
      <c r="A715" s="5" t="s">
        <v>36</v>
      </c>
      <c r="B715" s="5" t="s">
        <v>14042</v>
      </c>
      <c r="C715" s="4">
        <v>45627</v>
      </c>
      <c r="D715" s="4" t="s">
        <v>37</v>
      </c>
      <c r="E715" s="5" t="s">
        <v>37</v>
      </c>
      <c r="F715" s="5" t="s">
        <v>37</v>
      </c>
      <c r="G715" s="5" t="s">
        <v>849</v>
      </c>
      <c r="H715" s="5">
        <v>1</v>
      </c>
      <c r="I715" s="8" t="s">
        <v>7869</v>
      </c>
      <c r="J715" s="8" t="s">
        <v>9918</v>
      </c>
      <c r="K715" s="8" t="s">
        <v>1715</v>
      </c>
      <c r="L715" s="8" t="s">
        <v>11969</v>
      </c>
      <c r="M715" s="8" t="s">
        <v>3765</v>
      </c>
      <c r="N715" s="8" t="s">
        <v>5816</v>
      </c>
      <c r="O715" s="5" t="s">
        <v>61</v>
      </c>
      <c r="P715" s="4">
        <v>45681</v>
      </c>
      <c r="Q715" s="15">
        <v>65.599999999999994</v>
      </c>
      <c r="R715" s="15">
        <v>0</v>
      </c>
      <c r="S715" s="15">
        <v>0</v>
      </c>
      <c r="T715"/>
    </row>
    <row r="716" spans="1:20">
      <c r="A716" s="5" t="s">
        <v>36</v>
      </c>
      <c r="B716" s="5" t="s">
        <v>14043</v>
      </c>
      <c r="C716" s="4">
        <f>Controle_Pedidos[[#This Row],[Data Compra]]</f>
        <v>45660</v>
      </c>
      <c r="D716" s="4">
        <v>45660</v>
      </c>
      <c r="E716" s="5" t="s">
        <v>16132</v>
      </c>
      <c r="F716" s="5" t="s">
        <v>18121</v>
      </c>
      <c r="G716" s="5" t="s">
        <v>817</v>
      </c>
      <c r="H716" s="5">
        <v>1</v>
      </c>
      <c r="I716" s="8" t="s">
        <v>7870</v>
      </c>
      <c r="J716" s="8" t="s">
        <v>9919</v>
      </c>
      <c r="K716" s="8" t="s">
        <v>1716</v>
      </c>
      <c r="L716" s="8" t="s">
        <v>11970</v>
      </c>
      <c r="M716" s="8" t="s">
        <v>3766</v>
      </c>
      <c r="N716" s="8" t="s">
        <v>5817</v>
      </c>
      <c r="O716" s="5" t="s">
        <v>39</v>
      </c>
      <c r="P716" s="4">
        <v>45687</v>
      </c>
      <c r="Q716" s="15">
        <v>33.9</v>
      </c>
      <c r="R716" s="15">
        <v>15.99</v>
      </c>
      <c r="S716" s="15">
        <v>0</v>
      </c>
      <c r="T716"/>
    </row>
    <row r="717" spans="1:20">
      <c r="A717" s="5" t="s">
        <v>36</v>
      </c>
      <c r="B717" s="5" t="s">
        <v>14044</v>
      </c>
      <c r="C717" s="4">
        <f>Controle_Pedidos[[#This Row],[Data Compra]]</f>
        <v>45662</v>
      </c>
      <c r="D717" s="4">
        <v>45662</v>
      </c>
      <c r="E717" s="5" t="s">
        <v>16133</v>
      </c>
      <c r="F717" s="5" t="s">
        <v>18122</v>
      </c>
      <c r="G717" s="5" t="s">
        <v>852</v>
      </c>
      <c r="H717" s="5">
        <v>1</v>
      </c>
      <c r="I717" s="8" t="s">
        <v>7871</v>
      </c>
      <c r="J717" s="8" t="s">
        <v>9920</v>
      </c>
      <c r="K717" s="8" t="s">
        <v>1717</v>
      </c>
      <c r="L717" s="8" t="s">
        <v>11971</v>
      </c>
      <c r="M717" s="8" t="s">
        <v>3767</v>
      </c>
      <c r="N717" s="8" t="s">
        <v>5818</v>
      </c>
      <c r="O717" s="5" t="s">
        <v>68</v>
      </c>
      <c r="P717" s="4">
        <v>45675</v>
      </c>
      <c r="Q717" s="15">
        <v>21.99</v>
      </c>
      <c r="R717" s="15">
        <v>6.99</v>
      </c>
      <c r="S717" s="15">
        <v>0</v>
      </c>
      <c r="T717"/>
    </row>
    <row r="718" spans="1:20">
      <c r="A718" s="5" t="s">
        <v>36</v>
      </c>
      <c r="B718" s="5" t="s">
        <v>14045</v>
      </c>
      <c r="C718" s="4">
        <f>Controle_Pedidos[[#This Row],[Data Compra]]</f>
        <v>45662</v>
      </c>
      <c r="D718" s="4">
        <v>45662</v>
      </c>
      <c r="E718" s="5" t="s">
        <v>16134</v>
      </c>
      <c r="F718" s="5" t="s">
        <v>18123</v>
      </c>
      <c r="G718" s="5" t="s">
        <v>831</v>
      </c>
      <c r="H718" s="5">
        <v>1</v>
      </c>
      <c r="I718" s="8" t="s">
        <v>7872</v>
      </c>
      <c r="J718" s="8" t="s">
        <v>9921</v>
      </c>
      <c r="K718" s="8" t="s">
        <v>1718</v>
      </c>
      <c r="L718" s="8" t="s">
        <v>11972</v>
      </c>
      <c r="M718" s="8" t="s">
        <v>3768</v>
      </c>
      <c r="N718" s="8" t="s">
        <v>5819</v>
      </c>
      <c r="O718" s="5" t="s">
        <v>41</v>
      </c>
      <c r="P718" s="4">
        <v>45694</v>
      </c>
      <c r="Q718" s="15">
        <v>46.9</v>
      </c>
      <c r="R718" s="15">
        <v>10.15</v>
      </c>
      <c r="S718" s="15">
        <v>0</v>
      </c>
      <c r="T718"/>
    </row>
    <row r="719" spans="1:20">
      <c r="A719" s="5" t="s">
        <v>36</v>
      </c>
      <c r="B719" s="5" t="s">
        <v>14046</v>
      </c>
      <c r="C719" s="4">
        <f>Controle_Pedidos[[#This Row],[Data Compra]]</f>
        <v>45662</v>
      </c>
      <c r="D719" s="4">
        <v>45662</v>
      </c>
      <c r="E719" s="5" t="s">
        <v>16135</v>
      </c>
      <c r="F719" s="5" t="s">
        <v>18124</v>
      </c>
      <c r="G719" s="5" t="s">
        <v>836</v>
      </c>
      <c r="H719" s="5">
        <v>1</v>
      </c>
      <c r="I719" s="8" t="s">
        <v>7873</v>
      </c>
      <c r="J719" s="8" t="s">
        <v>9922</v>
      </c>
      <c r="K719" s="8" t="s">
        <v>1719</v>
      </c>
      <c r="L719" s="8" t="s">
        <v>11973</v>
      </c>
      <c r="M719" s="8" t="s">
        <v>3769</v>
      </c>
      <c r="N719" s="8" t="s">
        <v>5820</v>
      </c>
      <c r="O719" s="5" t="s">
        <v>55</v>
      </c>
      <c r="P719" s="4">
        <v>45679</v>
      </c>
      <c r="Q719" s="15">
        <v>34.9</v>
      </c>
      <c r="R719" s="15">
        <v>6.99</v>
      </c>
      <c r="S719" s="15">
        <v>0</v>
      </c>
      <c r="T719"/>
    </row>
    <row r="720" spans="1:20">
      <c r="A720" s="5" t="s">
        <v>36</v>
      </c>
      <c r="B720" s="5" t="s">
        <v>14047</v>
      </c>
      <c r="C720" s="4">
        <f>Controle_Pedidos[[#This Row],[Data Compra]]</f>
        <v>45662</v>
      </c>
      <c r="D720" s="4">
        <v>45662</v>
      </c>
      <c r="E720" s="5" t="s">
        <v>16136</v>
      </c>
      <c r="F720" s="5" t="s">
        <v>18125</v>
      </c>
      <c r="G720" s="5" t="s">
        <v>849</v>
      </c>
      <c r="H720" s="5">
        <v>1</v>
      </c>
      <c r="I720" s="8" t="s">
        <v>7874</v>
      </c>
      <c r="J720" s="8" t="s">
        <v>9923</v>
      </c>
      <c r="K720" s="8" t="s">
        <v>1720</v>
      </c>
      <c r="L720" s="8" t="s">
        <v>11974</v>
      </c>
      <c r="M720" s="8" t="s">
        <v>3770</v>
      </c>
      <c r="N720" s="8" t="s">
        <v>5821</v>
      </c>
      <c r="O720" s="5" t="s">
        <v>61</v>
      </c>
      <c r="P720" s="4">
        <v>45681</v>
      </c>
      <c r="Q720" s="15">
        <v>65.599999999999994</v>
      </c>
      <c r="R720" s="15">
        <v>10.15</v>
      </c>
      <c r="S720" s="15">
        <v>0</v>
      </c>
      <c r="T720"/>
    </row>
    <row r="721" spans="1:20">
      <c r="A721" s="5" t="s">
        <v>36</v>
      </c>
      <c r="B721" s="5" t="s">
        <v>14048</v>
      </c>
      <c r="C721" s="4">
        <f>Controle_Pedidos[[#This Row],[Data Compra]]</f>
        <v>45662</v>
      </c>
      <c r="D721" s="4">
        <v>45662</v>
      </c>
      <c r="E721" s="5" t="s">
        <v>16137</v>
      </c>
      <c r="F721" s="5" t="s">
        <v>18126</v>
      </c>
      <c r="G721" s="5" t="s">
        <v>852</v>
      </c>
      <c r="H721" s="5">
        <v>1</v>
      </c>
      <c r="I721" s="8" t="s">
        <v>7875</v>
      </c>
      <c r="J721" s="8" t="s">
        <v>9924</v>
      </c>
      <c r="K721" s="8" t="s">
        <v>1721</v>
      </c>
      <c r="L721" s="8" t="s">
        <v>11975</v>
      </c>
      <c r="M721" s="8" t="s">
        <v>3771</v>
      </c>
      <c r="N721" s="8" t="s">
        <v>5822</v>
      </c>
      <c r="O721" s="5" t="s">
        <v>68</v>
      </c>
      <c r="P721" s="4">
        <v>45681</v>
      </c>
      <c r="Q721" s="15">
        <v>21.99</v>
      </c>
      <c r="R721" s="15">
        <v>6.99</v>
      </c>
      <c r="S721" s="15">
        <v>0</v>
      </c>
      <c r="T721"/>
    </row>
    <row r="722" spans="1:20">
      <c r="A722" s="5" t="s">
        <v>36</v>
      </c>
      <c r="B722" s="5" t="s">
        <v>14049</v>
      </c>
      <c r="C722" s="4">
        <f>Controle_Pedidos[[#This Row],[Data Compra]]</f>
        <v>45662</v>
      </c>
      <c r="D722" s="4">
        <v>45662</v>
      </c>
      <c r="E722" s="5" t="s">
        <v>16138</v>
      </c>
      <c r="F722" s="5" t="s">
        <v>18127</v>
      </c>
      <c r="G722" s="5" t="s">
        <v>831</v>
      </c>
      <c r="H722" s="5">
        <v>1</v>
      </c>
      <c r="I722" s="8" t="s">
        <v>7849</v>
      </c>
      <c r="J722" s="8" t="s">
        <v>9898</v>
      </c>
      <c r="K722" s="8" t="s">
        <v>1695</v>
      </c>
      <c r="L722" s="8" t="s">
        <v>11949</v>
      </c>
      <c r="M722" s="8" t="s">
        <v>3745</v>
      </c>
      <c r="N722" s="8" t="s">
        <v>5796</v>
      </c>
      <c r="O722" s="5" t="s">
        <v>41</v>
      </c>
      <c r="P722" s="4">
        <v>45687</v>
      </c>
      <c r="Q722" s="15">
        <v>49.4</v>
      </c>
      <c r="R722" s="15">
        <v>10.15</v>
      </c>
      <c r="S722" s="15">
        <v>0</v>
      </c>
      <c r="T722"/>
    </row>
    <row r="723" spans="1:20">
      <c r="A723" s="5" t="s">
        <v>36</v>
      </c>
      <c r="B723" s="5" t="s">
        <v>14050</v>
      </c>
      <c r="C723" s="4">
        <f>Controle_Pedidos[[#This Row],[Data Compra]]</f>
        <v>45662</v>
      </c>
      <c r="D723" s="4">
        <v>45662</v>
      </c>
      <c r="E723" s="5" t="s">
        <v>16139</v>
      </c>
      <c r="F723" s="5" t="s">
        <v>18128</v>
      </c>
      <c r="G723" s="5" t="s">
        <v>824</v>
      </c>
      <c r="H723" s="5">
        <v>1</v>
      </c>
      <c r="I723" s="8" t="s">
        <v>7876</v>
      </c>
      <c r="J723" s="8" t="s">
        <v>9925</v>
      </c>
      <c r="K723" s="8" t="s">
        <v>1722</v>
      </c>
      <c r="L723" s="8" t="s">
        <v>11976</v>
      </c>
      <c r="M723" s="8" t="s">
        <v>3772</v>
      </c>
      <c r="N723" s="8" t="s">
        <v>5823</v>
      </c>
      <c r="O723" s="5" t="s">
        <v>38</v>
      </c>
      <c r="P723" s="4">
        <v>45681</v>
      </c>
      <c r="Q723" s="15">
        <v>21.99</v>
      </c>
      <c r="R723" s="15">
        <v>6.99</v>
      </c>
      <c r="S723" s="15">
        <v>0</v>
      </c>
      <c r="T723"/>
    </row>
    <row r="724" spans="1:20">
      <c r="A724" s="5" t="s">
        <v>36</v>
      </c>
      <c r="B724" s="5" t="s">
        <v>14051</v>
      </c>
      <c r="C724" s="4">
        <f>Controle_Pedidos[[#This Row],[Data Compra]]</f>
        <v>45662</v>
      </c>
      <c r="D724" s="4">
        <v>45662</v>
      </c>
      <c r="E724" s="5" t="s">
        <v>16140</v>
      </c>
      <c r="F724" s="5" t="s">
        <v>18129</v>
      </c>
      <c r="G724" s="5" t="s">
        <v>852</v>
      </c>
      <c r="H724" s="5">
        <v>1</v>
      </c>
      <c r="I724" s="8" t="s">
        <v>7877</v>
      </c>
      <c r="J724" s="8" t="s">
        <v>9926</v>
      </c>
      <c r="K724" s="8" t="s">
        <v>1723</v>
      </c>
      <c r="L724" s="8" t="s">
        <v>11977</v>
      </c>
      <c r="M724" s="8" t="s">
        <v>3773</v>
      </c>
      <c r="N724" s="8" t="s">
        <v>5824</v>
      </c>
      <c r="O724" s="5" t="s">
        <v>68</v>
      </c>
      <c r="P724" s="4">
        <v>45675</v>
      </c>
      <c r="Q724" s="15">
        <v>21.99</v>
      </c>
      <c r="R724" s="15">
        <v>6.99</v>
      </c>
      <c r="S724" s="15">
        <v>0</v>
      </c>
      <c r="T724"/>
    </row>
    <row r="725" spans="1:20">
      <c r="A725" s="5" t="s">
        <v>36</v>
      </c>
      <c r="B725" s="5" t="s">
        <v>14052</v>
      </c>
      <c r="C725" s="4">
        <f>Controle_Pedidos[[#This Row],[Data Compra]]</f>
        <v>45662</v>
      </c>
      <c r="D725" s="4">
        <v>45662</v>
      </c>
      <c r="E725" s="5" t="s">
        <v>16141</v>
      </c>
      <c r="F725" s="5" t="s">
        <v>18130</v>
      </c>
      <c r="G725" s="5" t="s">
        <v>852</v>
      </c>
      <c r="H725" s="5">
        <v>1</v>
      </c>
      <c r="I725" s="8" t="s">
        <v>7878</v>
      </c>
      <c r="J725" s="8" t="s">
        <v>9927</v>
      </c>
      <c r="K725" s="8" t="s">
        <v>1724</v>
      </c>
      <c r="L725" s="8" t="s">
        <v>11978</v>
      </c>
      <c r="M725" s="8" t="s">
        <v>3774</v>
      </c>
      <c r="N725" s="8" t="s">
        <v>5825</v>
      </c>
      <c r="O725" s="5" t="s">
        <v>68</v>
      </c>
      <c r="P725" s="4">
        <v>45681</v>
      </c>
      <c r="Q725" s="15">
        <v>21.99</v>
      </c>
      <c r="R725" s="15">
        <v>6.99</v>
      </c>
      <c r="S725" s="15">
        <v>0</v>
      </c>
      <c r="T725"/>
    </row>
    <row r="726" spans="1:20">
      <c r="A726" s="5" t="s">
        <v>36</v>
      </c>
      <c r="B726" s="5" t="s">
        <v>14053</v>
      </c>
      <c r="C726" s="4">
        <f>Controle_Pedidos[[#This Row],[Data Compra]]</f>
        <v>45662</v>
      </c>
      <c r="D726" s="4">
        <v>45662</v>
      </c>
      <c r="E726" s="5" t="s">
        <v>16142</v>
      </c>
      <c r="F726" s="5" t="s">
        <v>18131</v>
      </c>
      <c r="G726" s="5" t="s">
        <v>849</v>
      </c>
      <c r="H726" s="5">
        <v>1</v>
      </c>
      <c r="I726" s="8" t="s">
        <v>7879</v>
      </c>
      <c r="J726" s="8" t="s">
        <v>9928</v>
      </c>
      <c r="K726" s="8" t="s">
        <v>1725</v>
      </c>
      <c r="L726" s="8" t="s">
        <v>11979</v>
      </c>
      <c r="M726" s="8" t="s">
        <v>3775</v>
      </c>
      <c r="N726" s="8" t="s">
        <v>5826</v>
      </c>
      <c r="O726" s="5" t="s">
        <v>61</v>
      </c>
      <c r="P726" s="4">
        <v>45681</v>
      </c>
      <c r="Q726" s="15">
        <v>65.599999999999994</v>
      </c>
      <c r="R726" s="15">
        <v>10.15</v>
      </c>
      <c r="S726" s="15">
        <v>0</v>
      </c>
      <c r="T726"/>
    </row>
    <row r="727" spans="1:20">
      <c r="A727" s="5" t="s">
        <v>36</v>
      </c>
      <c r="B727" s="5" t="s">
        <v>14054</v>
      </c>
      <c r="C727" s="4">
        <f>Controle_Pedidos[[#This Row],[Data Compra]]</f>
        <v>45662</v>
      </c>
      <c r="D727" s="4">
        <v>45662</v>
      </c>
      <c r="E727" s="5" t="s">
        <v>16143</v>
      </c>
      <c r="F727" s="5" t="s">
        <v>18132</v>
      </c>
      <c r="G727" s="5" t="s">
        <v>831</v>
      </c>
      <c r="H727" s="5">
        <v>1</v>
      </c>
      <c r="I727" s="8" t="s">
        <v>7880</v>
      </c>
      <c r="J727" s="8" t="s">
        <v>9929</v>
      </c>
      <c r="K727" s="8" t="s">
        <v>1726</v>
      </c>
      <c r="L727" s="8" t="s">
        <v>11980</v>
      </c>
      <c r="M727" s="8" t="s">
        <v>3776</v>
      </c>
      <c r="N727" s="8" t="s">
        <v>5827</v>
      </c>
      <c r="O727" s="5" t="s">
        <v>41</v>
      </c>
      <c r="P727" s="4">
        <v>45694</v>
      </c>
      <c r="Q727" s="15">
        <v>46.9</v>
      </c>
      <c r="R727" s="15">
        <v>10.15</v>
      </c>
      <c r="S727" s="15">
        <v>0</v>
      </c>
      <c r="T727"/>
    </row>
    <row r="728" spans="1:20">
      <c r="A728" s="5" t="s">
        <v>36</v>
      </c>
      <c r="B728" s="5" t="s">
        <v>14055</v>
      </c>
      <c r="C728" s="4">
        <f>Controle_Pedidos[[#This Row],[Data Compra]]</f>
        <v>45662</v>
      </c>
      <c r="D728" s="4">
        <v>45662</v>
      </c>
      <c r="E728" s="5" t="s">
        <v>16144</v>
      </c>
      <c r="F728" s="5" t="s">
        <v>18133</v>
      </c>
      <c r="G728" s="5" t="s">
        <v>829</v>
      </c>
      <c r="H728" s="5">
        <v>1</v>
      </c>
      <c r="I728" s="8" t="s">
        <v>7881</v>
      </c>
      <c r="J728" s="8" t="s">
        <v>9930</v>
      </c>
      <c r="K728" s="8" t="s">
        <v>1727</v>
      </c>
      <c r="L728" s="8" t="s">
        <v>11981</v>
      </c>
      <c r="M728" s="8" t="s">
        <v>3777</v>
      </c>
      <c r="N728" s="8" t="s">
        <v>5828</v>
      </c>
      <c r="O728" s="5" t="s">
        <v>40</v>
      </c>
      <c r="P728" s="4">
        <v>45687</v>
      </c>
      <c r="Q728" s="15">
        <v>22.99</v>
      </c>
      <c r="R728" s="15">
        <v>6.99</v>
      </c>
      <c r="S728" s="15">
        <v>0</v>
      </c>
      <c r="T728"/>
    </row>
    <row r="729" spans="1:20">
      <c r="A729" s="5" t="s">
        <v>36</v>
      </c>
      <c r="B729" s="5" t="s">
        <v>14056</v>
      </c>
      <c r="C729" s="4">
        <f>Controle_Pedidos[[#This Row],[Data Compra]]</f>
        <v>45662</v>
      </c>
      <c r="D729" s="4">
        <v>45662</v>
      </c>
      <c r="E729" s="5" t="s">
        <v>16145</v>
      </c>
      <c r="F729" s="5" t="s">
        <v>18134</v>
      </c>
      <c r="G729" s="5" t="s">
        <v>829</v>
      </c>
      <c r="H729" s="5">
        <v>1</v>
      </c>
      <c r="I729" s="8" t="s">
        <v>7882</v>
      </c>
      <c r="J729" s="8" t="s">
        <v>9931</v>
      </c>
      <c r="K729" s="8" t="s">
        <v>1728</v>
      </c>
      <c r="L729" s="8" t="s">
        <v>11982</v>
      </c>
      <c r="M729" s="8" t="s">
        <v>3778</v>
      </c>
      <c r="N729" s="8" t="s">
        <v>5829</v>
      </c>
      <c r="O729" s="5" t="s">
        <v>40</v>
      </c>
      <c r="P729" s="4">
        <v>45687</v>
      </c>
      <c r="Q729" s="15">
        <v>22.99</v>
      </c>
      <c r="R729" s="15">
        <v>6.99</v>
      </c>
      <c r="S729" s="15">
        <v>0</v>
      </c>
      <c r="T729"/>
    </row>
    <row r="730" spans="1:20">
      <c r="A730" s="5" t="s">
        <v>36</v>
      </c>
      <c r="B730" s="5" t="s">
        <v>14057</v>
      </c>
      <c r="C730" s="4">
        <f>Controle_Pedidos[[#This Row],[Data Compra]]</f>
        <v>45662</v>
      </c>
      <c r="D730" s="4">
        <v>45662</v>
      </c>
      <c r="E730" s="5" t="s">
        <v>16146</v>
      </c>
      <c r="F730" s="5" t="s">
        <v>18135</v>
      </c>
      <c r="G730" s="5" t="s">
        <v>829</v>
      </c>
      <c r="H730" s="5">
        <v>1</v>
      </c>
      <c r="I730" s="8" t="s">
        <v>7883</v>
      </c>
      <c r="J730" s="8" t="s">
        <v>9932</v>
      </c>
      <c r="K730" s="8" t="s">
        <v>1729</v>
      </c>
      <c r="L730" s="8" t="s">
        <v>11983</v>
      </c>
      <c r="M730" s="8" t="s">
        <v>3779</v>
      </c>
      <c r="N730" s="8" t="s">
        <v>5830</v>
      </c>
      <c r="O730" s="5" t="s">
        <v>40</v>
      </c>
      <c r="P730" s="4">
        <v>45681</v>
      </c>
      <c r="Q730" s="15">
        <v>22.99</v>
      </c>
      <c r="R730" s="15">
        <v>6.99</v>
      </c>
      <c r="S730" s="15">
        <v>0</v>
      </c>
      <c r="T730"/>
    </row>
    <row r="731" spans="1:20">
      <c r="A731" s="5" t="s">
        <v>36</v>
      </c>
      <c r="B731" s="5" t="s">
        <v>14058</v>
      </c>
      <c r="C731" s="4">
        <f>Controle_Pedidos[[#This Row],[Data Compra]]</f>
        <v>45662</v>
      </c>
      <c r="D731" s="4">
        <v>45662</v>
      </c>
      <c r="E731" s="5" t="s">
        <v>16147</v>
      </c>
      <c r="F731" s="5" t="s">
        <v>18136</v>
      </c>
      <c r="G731" s="5" t="s">
        <v>829</v>
      </c>
      <c r="H731" s="5">
        <v>1</v>
      </c>
      <c r="I731" s="8" t="s">
        <v>7884</v>
      </c>
      <c r="J731" s="8" t="s">
        <v>9933</v>
      </c>
      <c r="K731" s="8" t="s">
        <v>1730</v>
      </c>
      <c r="L731" s="8" t="s">
        <v>11984</v>
      </c>
      <c r="M731" s="8" t="s">
        <v>3780</v>
      </c>
      <c r="N731" s="8" t="s">
        <v>5831</v>
      </c>
      <c r="O731" s="5" t="s">
        <v>40</v>
      </c>
      <c r="P731" s="4">
        <v>45687</v>
      </c>
      <c r="Q731" s="15">
        <v>22.99</v>
      </c>
      <c r="R731" s="15">
        <v>6.99</v>
      </c>
      <c r="S731" s="15">
        <v>0</v>
      </c>
      <c r="T731"/>
    </row>
    <row r="732" spans="1:20">
      <c r="A732" s="5" t="s">
        <v>36</v>
      </c>
      <c r="B732" s="5" t="s">
        <v>14059</v>
      </c>
      <c r="C732" s="4">
        <f>Controle_Pedidos[[#This Row],[Data Compra]]</f>
        <v>45663</v>
      </c>
      <c r="D732" s="4">
        <v>45663</v>
      </c>
      <c r="E732" s="5" t="s">
        <v>16148</v>
      </c>
      <c r="F732" s="5" t="s">
        <v>18137</v>
      </c>
      <c r="G732" s="5" t="s">
        <v>829</v>
      </c>
      <c r="H732" s="5">
        <v>1</v>
      </c>
      <c r="I732" s="8" t="s">
        <v>7885</v>
      </c>
      <c r="J732" s="8" t="s">
        <v>9934</v>
      </c>
      <c r="K732" s="8" t="s">
        <v>1731</v>
      </c>
      <c r="L732" s="8" t="s">
        <v>11985</v>
      </c>
      <c r="M732" s="8" t="s">
        <v>3781</v>
      </c>
      <c r="N732" s="8" t="s">
        <v>5832</v>
      </c>
      <c r="O732" s="5" t="s">
        <v>40</v>
      </c>
      <c r="P732" s="4">
        <v>45687</v>
      </c>
      <c r="Q732" s="15">
        <v>22.99</v>
      </c>
      <c r="R732" s="15">
        <v>6.99</v>
      </c>
      <c r="S732" s="15">
        <v>0</v>
      </c>
      <c r="T732"/>
    </row>
    <row r="733" spans="1:20">
      <c r="A733" s="5" t="s">
        <v>36</v>
      </c>
      <c r="B733" s="5" t="s">
        <v>14060</v>
      </c>
      <c r="C733" s="4">
        <f>Controle_Pedidos[[#This Row],[Data Compra]]</f>
        <v>45662</v>
      </c>
      <c r="D733" s="4">
        <v>45662</v>
      </c>
      <c r="E733" s="5" t="s">
        <v>16149</v>
      </c>
      <c r="F733" s="5" t="s">
        <v>18138</v>
      </c>
      <c r="G733" s="5" t="s">
        <v>829</v>
      </c>
      <c r="H733" s="5">
        <v>1</v>
      </c>
      <c r="I733" s="8" t="s">
        <v>7886</v>
      </c>
      <c r="J733" s="8" t="s">
        <v>9935</v>
      </c>
      <c r="K733" s="8" t="s">
        <v>1732</v>
      </c>
      <c r="L733" s="8" t="s">
        <v>11986</v>
      </c>
      <c r="M733" s="8" t="s">
        <v>3782</v>
      </c>
      <c r="N733" s="8" t="s">
        <v>5833</v>
      </c>
      <c r="O733" s="5" t="s">
        <v>40</v>
      </c>
      <c r="P733" s="4">
        <v>45681</v>
      </c>
      <c r="Q733" s="15">
        <v>22.99</v>
      </c>
      <c r="R733" s="15">
        <v>6.99</v>
      </c>
      <c r="S733" s="15">
        <v>0</v>
      </c>
      <c r="T733"/>
    </row>
    <row r="734" spans="1:20">
      <c r="A734" s="5" t="s">
        <v>36</v>
      </c>
      <c r="B734" s="5" t="s">
        <v>14061</v>
      </c>
      <c r="C734" s="4">
        <f>Controle_Pedidos[[#This Row],[Data Compra]]</f>
        <v>45662</v>
      </c>
      <c r="D734" s="4">
        <v>45662</v>
      </c>
      <c r="E734" s="5" t="s">
        <v>16150</v>
      </c>
      <c r="F734" s="5" t="s">
        <v>18139</v>
      </c>
      <c r="G734" s="5" t="s">
        <v>829</v>
      </c>
      <c r="H734" s="5">
        <v>1</v>
      </c>
      <c r="I734" s="8" t="s">
        <v>7887</v>
      </c>
      <c r="J734" s="8" t="s">
        <v>9936</v>
      </c>
      <c r="K734" s="8" t="s">
        <v>1733</v>
      </c>
      <c r="L734" s="8" t="s">
        <v>11987</v>
      </c>
      <c r="M734" s="8" t="s">
        <v>3783</v>
      </c>
      <c r="N734" s="8" t="s">
        <v>5834</v>
      </c>
      <c r="O734" s="5" t="s">
        <v>40</v>
      </c>
      <c r="P734" s="4">
        <v>45687</v>
      </c>
      <c r="Q734" s="15">
        <v>22.99</v>
      </c>
      <c r="R734" s="15">
        <v>6.99</v>
      </c>
      <c r="S734" s="15">
        <v>0</v>
      </c>
      <c r="T734"/>
    </row>
    <row r="735" spans="1:20">
      <c r="A735" s="5" t="s">
        <v>36</v>
      </c>
      <c r="B735" s="5" t="s">
        <v>14062</v>
      </c>
      <c r="C735" s="4">
        <f>Controle_Pedidos[[#This Row],[Data Compra]]</f>
        <v>45662</v>
      </c>
      <c r="D735" s="4">
        <v>45662</v>
      </c>
      <c r="E735" s="5" t="s">
        <v>16151</v>
      </c>
      <c r="F735" s="5" t="s">
        <v>18140</v>
      </c>
      <c r="G735" s="5" t="s">
        <v>829</v>
      </c>
      <c r="H735" s="5">
        <v>1</v>
      </c>
      <c r="I735" s="8" t="s">
        <v>7888</v>
      </c>
      <c r="J735" s="8" t="s">
        <v>9937</v>
      </c>
      <c r="K735" s="8" t="s">
        <v>1734</v>
      </c>
      <c r="L735" s="8" t="s">
        <v>11988</v>
      </c>
      <c r="M735" s="8" t="s">
        <v>3784</v>
      </c>
      <c r="N735" s="8" t="s">
        <v>5835</v>
      </c>
      <c r="O735" s="5" t="s">
        <v>40</v>
      </c>
      <c r="P735" s="4">
        <v>45687</v>
      </c>
      <c r="Q735" s="15">
        <v>22.99</v>
      </c>
      <c r="R735" s="15">
        <v>6.99</v>
      </c>
      <c r="S735" s="15">
        <v>0</v>
      </c>
      <c r="T735"/>
    </row>
    <row r="736" spans="1:20">
      <c r="A736" s="5" t="s">
        <v>36</v>
      </c>
      <c r="B736" s="5" t="s">
        <v>14063</v>
      </c>
      <c r="C736" s="4">
        <f>Controle_Pedidos[[#This Row],[Data Compra]]</f>
        <v>45662</v>
      </c>
      <c r="D736" s="4">
        <v>45662</v>
      </c>
      <c r="E736" s="5" t="s">
        <v>16152</v>
      </c>
      <c r="F736" s="5" t="s">
        <v>18141</v>
      </c>
      <c r="G736" s="5" t="s">
        <v>831</v>
      </c>
      <c r="H736" s="5">
        <v>1</v>
      </c>
      <c r="I736" s="8" t="s">
        <v>7889</v>
      </c>
      <c r="J736" s="8" t="s">
        <v>9938</v>
      </c>
      <c r="K736" s="8" t="s">
        <v>1735</v>
      </c>
      <c r="L736" s="8" t="s">
        <v>11989</v>
      </c>
      <c r="M736" s="8" t="s">
        <v>3785</v>
      </c>
      <c r="N736" s="8" t="s">
        <v>5836</v>
      </c>
      <c r="O736" s="5" t="s">
        <v>41</v>
      </c>
      <c r="P736" s="4">
        <v>45681</v>
      </c>
      <c r="Q736" s="15">
        <v>46.9</v>
      </c>
      <c r="R736" s="15">
        <v>10.15</v>
      </c>
      <c r="S736" s="15">
        <v>0</v>
      </c>
      <c r="T736"/>
    </row>
    <row r="737" spans="1:20">
      <c r="A737" s="5" t="s">
        <v>36</v>
      </c>
      <c r="B737" s="5" t="s">
        <v>14064</v>
      </c>
      <c r="C737" s="4">
        <f>Controle_Pedidos[[#This Row],[Data Compra]]</f>
        <v>45666</v>
      </c>
      <c r="D737" s="4">
        <v>45666</v>
      </c>
      <c r="E737" s="5" t="s">
        <v>16153</v>
      </c>
      <c r="F737" s="5" t="s">
        <v>18142</v>
      </c>
      <c r="G737" s="5" t="s">
        <v>831</v>
      </c>
      <c r="H737" s="5">
        <v>1</v>
      </c>
      <c r="I737" s="8" t="s">
        <v>7890</v>
      </c>
      <c r="J737" s="8" t="s">
        <v>9939</v>
      </c>
      <c r="K737" s="8" t="s">
        <v>1736</v>
      </c>
      <c r="L737" s="8" t="s">
        <v>11990</v>
      </c>
      <c r="M737" s="8" t="s">
        <v>3786</v>
      </c>
      <c r="N737" s="8" t="s">
        <v>5837</v>
      </c>
      <c r="O737" s="5" t="s">
        <v>41</v>
      </c>
      <c r="P737" s="4">
        <v>45687</v>
      </c>
      <c r="Q737" s="15">
        <v>46.9</v>
      </c>
      <c r="R737" s="15">
        <v>19.510000000000002</v>
      </c>
      <c r="S737" s="15">
        <v>0</v>
      </c>
      <c r="T737"/>
    </row>
    <row r="738" spans="1:20">
      <c r="A738" s="5" t="s">
        <v>36</v>
      </c>
      <c r="B738" s="5" t="s">
        <v>14065</v>
      </c>
      <c r="C738" s="4">
        <f>Controle_Pedidos[[#This Row],[Data Compra]]</f>
        <v>45666</v>
      </c>
      <c r="D738" s="4">
        <v>45666</v>
      </c>
      <c r="E738" s="5" t="s">
        <v>16154</v>
      </c>
      <c r="F738" s="5" t="s">
        <v>18143</v>
      </c>
      <c r="G738" s="5" t="s">
        <v>831</v>
      </c>
      <c r="H738" s="5">
        <v>1</v>
      </c>
      <c r="I738" s="8" t="s">
        <v>7891</v>
      </c>
      <c r="J738" s="8" t="s">
        <v>9940</v>
      </c>
      <c r="K738" s="8" t="s">
        <v>1737</v>
      </c>
      <c r="L738" s="8" t="s">
        <v>11991</v>
      </c>
      <c r="M738" s="8" t="s">
        <v>3787</v>
      </c>
      <c r="N738" s="8" t="s">
        <v>5838</v>
      </c>
      <c r="O738" s="5" t="s">
        <v>41</v>
      </c>
      <c r="P738" s="4">
        <v>45687</v>
      </c>
      <c r="Q738" s="15">
        <v>46.9</v>
      </c>
      <c r="R738" s="15">
        <v>19.510000000000002</v>
      </c>
      <c r="S738" s="15">
        <v>0</v>
      </c>
      <c r="T738"/>
    </row>
    <row r="739" spans="1:20">
      <c r="A739" s="5" t="s">
        <v>36</v>
      </c>
      <c r="B739" s="5" t="s">
        <v>14066</v>
      </c>
      <c r="C739" s="4">
        <f>Controle_Pedidos[[#This Row],[Data Compra]]</f>
        <v>45666</v>
      </c>
      <c r="D739" s="4">
        <v>45666</v>
      </c>
      <c r="E739" s="5" t="s">
        <v>16155</v>
      </c>
      <c r="F739" s="5" t="s">
        <v>18144</v>
      </c>
      <c r="G739" s="5" t="s">
        <v>831</v>
      </c>
      <c r="H739" s="5">
        <v>1</v>
      </c>
      <c r="I739" s="8" t="s">
        <v>7892</v>
      </c>
      <c r="J739" s="8" t="s">
        <v>9941</v>
      </c>
      <c r="K739" s="8" t="s">
        <v>1738</v>
      </c>
      <c r="L739" s="8" t="s">
        <v>11992</v>
      </c>
      <c r="M739" s="8" t="s">
        <v>3788</v>
      </c>
      <c r="N739" s="8" t="s">
        <v>5839</v>
      </c>
      <c r="O739" s="5" t="s">
        <v>41</v>
      </c>
      <c r="P739" s="4">
        <v>45694</v>
      </c>
      <c r="Q739" s="15">
        <v>46.9</v>
      </c>
      <c r="R739" s="15">
        <v>19.510000000000002</v>
      </c>
      <c r="S739" s="15">
        <v>0</v>
      </c>
      <c r="T739"/>
    </row>
    <row r="740" spans="1:20">
      <c r="A740" s="5" t="s">
        <v>36</v>
      </c>
      <c r="B740" s="5" t="s">
        <v>14067</v>
      </c>
      <c r="C740" s="4">
        <v>45627</v>
      </c>
      <c r="D740" s="4" t="s">
        <v>37</v>
      </c>
      <c r="E740" s="5" t="s">
        <v>37</v>
      </c>
      <c r="F740" s="5" t="s">
        <v>37</v>
      </c>
      <c r="G740" s="5" t="s">
        <v>872</v>
      </c>
      <c r="H740" s="5">
        <v>1</v>
      </c>
      <c r="I740" s="8" t="s">
        <v>7893</v>
      </c>
      <c r="J740" s="8" t="s">
        <v>9942</v>
      </c>
      <c r="K740" s="8" t="s">
        <v>1739</v>
      </c>
      <c r="L740" s="8" t="s">
        <v>11993</v>
      </c>
      <c r="M740" s="8" t="s">
        <v>3789</v>
      </c>
      <c r="N740" s="8" t="s">
        <v>5840</v>
      </c>
      <c r="O740" s="5" t="s">
        <v>98</v>
      </c>
      <c r="P740" s="4">
        <v>45681</v>
      </c>
      <c r="Q740" s="15">
        <v>23.8</v>
      </c>
      <c r="R740" s="15">
        <v>0</v>
      </c>
      <c r="S740" s="15">
        <v>0</v>
      </c>
      <c r="T740"/>
    </row>
    <row r="741" spans="1:20">
      <c r="A741" s="5" t="s">
        <v>36</v>
      </c>
      <c r="B741" s="5" t="s">
        <v>14068</v>
      </c>
      <c r="C741" s="4">
        <f>Controle_Pedidos[[#This Row],[Data Compra]]</f>
        <v>45666</v>
      </c>
      <c r="D741" s="4">
        <v>45666</v>
      </c>
      <c r="E741" s="5" t="s">
        <v>16156</v>
      </c>
      <c r="F741" s="5" t="s">
        <v>18145</v>
      </c>
      <c r="G741" s="5" t="s">
        <v>831</v>
      </c>
      <c r="H741" s="5">
        <v>1</v>
      </c>
      <c r="I741" s="8" t="s">
        <v>7894</v>
      </c>
      <c r="J741" s="8" t="s">
        <v>9943</v>
      </c>
      <c r="K741" s="8" t="s">
        <v>1740</v>
      </c>
      <c r="L741" s="8" t="s">
        <v>11994</v>
      </c>
      <c r="M741" s="8" t="s">
        <v>3790</v>
      </c>
      <c r="N741" s="8" t="s">
        <v>5841</v>
      </c>
      <c r="O741" s="5" t="s">
        <v>41</v>
      </c>
      <c r="P741" s="4">
        <v>45694</v>
      </c>
      <c r="Q741" s="15">
        <v>46.9</v>
      </c>
      <c r="R741" s="15">
        <v>19.510000000000002</v>
      </c>
      <c r="S741" s="15">
        <v>0</v>
      </c>
      <c r="T741"/>
    </row>
    <row r="742" spans="1:20">
      <c r="A742" s="5" t="s">
        <v>36</v>
      </c>
      <c r="B742" s="5" t="s">
        <v>14069</v>
      </c>
      <c r="C742" s="4">
        <v>45627</v>
      </c>
      <c r="D742" s="4" t="s">
        <v>37</v>
      </c>
      <c r="E742" s="5" t="s">
        <v>37</v>
      </c>
      <c r="F742" s="5" t="s">
        <v>37</v>
      </c>
      <c r="G742" s="5" t="s">
        <v>849</v>
      </c>
      <c r="H742" s="5">
        <v>1</v>
      </c>
      <c r="I742" s="8" t="s">
        <v>7895</v>
      </c>
      <c r="J742" s="8" t="s">
        <v>9944</v>
      </c>
      <c r="K742" s="8" t="s">
        <v>1741</v>
      </c>
      <c r="L742" s="8" t="s">
        <v>11995</v>
      </c>
      <c r="M742" s="8" t="s">
        <v>3791</v>
      </c>
      <c r="N742" s="8" t="s">
        <v>5842</v>
      </c>
      <c r="O742" s="5" t="s">
        <v>61</v>
      </c>
      <c r="P742" s="4">
        <v>45694</v>
      </c>
      <c r="Q742" s="15">
        <v>65.599999999999994</v>
      </c>
      <c r="R742" s="15">
        <v>0</v>
      </c>
      <c r="S742" s="15">
        <v>0</v>
      </c>
      <c r="T742"/>
    </row>
    <row r="743" spans="1:20">
      <c r="A743" s="5" t="s">
        <v>36</v>
      </c>
      <c r="B743" s="5" t="s">
        <v>14070</v>
      </c>
      <c r="C743" s="4">
        <f>Controle_Pedidos[[#This Row],[Data Compra]]</f>
        <v>45666</v>
      </c>
      <c r="D743" s="4">
        <v>45666</v>
      </c>
      <c r="E743" s="5" t="s">
        <v>16157</v>
      </c>
      <c r="F743" s="5" t="s">
        <v>18146</v>
      </c>
      <c r="G743" s="5" t="s">
        <v>852</v>
      </c>
      <c r="H743" s="5">
        <v>1</v>
      </c>
      <c r="I743" s="8" t="s">
        <v>7896</v>
      </c>
      <c r="J743" s="8" t="s">
        <v>9945</v>
      </c>
      <c r="K743" s="8" t="s">
        <v>1742</v>
      </c>
      <c r="L743" s="8" t="s">
        <v>11996</v>
      </c>
      <c r="M743" s="8" t="s">
        <v>3792</v>
      </c>
      <c r="N743" s="8" t="s">
        <v>5843</v>
      </c>
      <c r="O743" s="5" t="s">
        <v>68</v>
      </c>
      <c r="P743" s="4">
        <v>45681</v>
      </c>
      <c r="Q743" s="15">
        <v>21.99</v>
      </c>
      <c r="R743" s="15">
        <v>11.72</v>
      </c>
      <c r="S743" s="15">
        <v>0</v>
      </c>
      <c r="T743"/>
    </row>
    <row r="744" spans="1:20">
      <c r="A744" s="5" t="s">
        <v>36</v>
      </c>
      <c r="B744" s="5" t="s">
        <v>14071</v>
      </c>
      <c r="C744" s="4">
        <f>Controle_Pedidos[[#This Row],[Data Compra]]</f>
        <v>45666</v>
      </c>
      <c r="D744" s="4">
        <v>45666</v>
      </c>
      <c r="E744" s="5" t="s">
        <v>16158</v>
      </c>
      <c r="F744" s="5" t="s">
        <v>18147</v>
      </c>
      <c r="G744" s="5" t="s">
        <v>831</v>
      </c>
      <c r="H744" s="5">
        <v>1</v>
      </c>
      <c r="I744" s="8" t="s">
        <v>7897</v>
      </c>
      <c r="J744" s="8" t="s">
        <v>9946</v>
      </c>
      <c r="K744" s="8" t="s">
        <v>1743</v>
      </c>
      <c r="L744" s="8" t="s">
        <v>11997</v>
      </c>
      <c r="M744" s="8" t="s">
        <v>3793</v>
      </c>
      <c r="N744" s="8" t="s">
        <v>5844</v>
      </c>
      <c r="O744" s="5" t="s">
        <v>41</v>
      </c>
      <c r="P744" s="4">
        <v>45688</v>
      </c>
      <c r="Q744" s="15">
        <v>46.9</v>
      </c>
      <c r="R744" s="15">
        <v>19.510000000000002</v>
      </c>
      <c r="S744" s="15">
        <v>0</v>
      </c>
      <c r="T744"/>
    </row>
    <row r="745" spans="1:20">
      <c r="A745" s="5" t="s">
        <v>36</v>
      </c>
      <c r="B745" s="5" t="s">
        <v>14072</v>
      </c>
      <c r="C745" s="4">
        <f>Controle_Pedidos[[#This Row],[Data Compra]]</f>
        <v>45666</v>
      </c>
      <c r="D745" s="4">
        <v>45666</v>
      </c>
      <c r="E745" s="5" t="s">
        <v>16159</v>
      </c>
      <c r="F745" s="5" t="s">
        <v>18148</v>
      </c>
      <c r="G745" s="5" t="s">
        <v>831</v>
      </c>
      <c r="H745" s="5">
        <v>1</v>
      </c>
      <c r="I745" s="8" t="s">
        <v>7898</v>
      </c>
      <c r="J745" s="8" t="s">
        <v>9947</v>
      </c>
      <c r="K745" s="8" t="s">
        <v>1744</v>
      </c>
      <c r="L745" s="8" t="s">
        <v>11998</v>
      </c>
      <c r="M745" s="8" t="s">
        <v>3794</v>
      </c>
      <c r="N745" s="8" t="s">
        <v>5845</v>
      </c>
      <c r="O745" s="5" t="s">
        <v>41</v>
      </c>
      <c r="P745" s="4">
        <v>45682</v>
      </c>
      <c r="Q745" s="15">
        <v>46.9</v>
      </c>
      <c r="R745" s="15">
        <v>19.510000000000002</v>
      </c>
      <c r="S745" s="15">
        <v>0</v>
      </c>
      <c r="T745"/>
    </row>
    <row r="746" spans="1:20">
      <c r="A746" s="5" t="s">
        <v>36</v>
      </c>
      <c r="B746" s="5" t="s">
        <v>14073</v>
      </c>
      <c r="C746" s="4">
        <f>Controle_Pedidos[[#This Row],[Data Compra]]</f>
        <v>45666</v>
      </c>
      <c r="D746" s="4">
        <v>45666</v>
      </c>
      <c r="E746" s="5" t="s">
        <v>16160</v>
      </c>
      <c r="F746" s="5" t="s">
        <v>18149</v>
      </c>
      <c r="G746" s="5" t="s">
        <v>831</v>
      </c>
      <c r="H746" s="5">
        <v>1</v>
      </c>
      <c r="I746" s="8" t="s">
        <v>7899</v>
      </c>
      <c r="J746" s="8" t="s">
        <v>9948</v>
      </c>
      <c r="K746" s="8" t="s">
        <v>1745</v>
      </c>
      <c r="L746" s="8" t="s">
        <v>11999</v>
      </c>
      <c r="M746" s="8" t="s">
        <v>3795</v>
      </c>
      <c r="N746" s="8" t="s">
        <v>5846</v>
      </c>
      <c r="O746" s="5" t="s">
        <v>41</v>
      </c>
      <c r="P746" s="4">
        <v>45688</v>
      </c>
      <c r="Q746" s="15">
        <v>46.9</v>
      </c>
      <c r="R746" s="15">
        <v>19.510000000000002</v>
      </c>
      <c r="S746" s="15">
        <v>0</v>
      </c>
      <c r="T746"/>
    </row>
    <row r="747" spans="1:20">
      <c r="A747" s="5" t="s">
        <v>36</v>
      </c>
      <c r="B747" s="5" t="s">
        <v>14074</v>
      </c>
      <c r="C747" s="4">
        <f>Controle_Pedidos[[#This Row],[Data Compra]]</f>
        <v>45666</v>
      </c>
      <c r="D747" s="4">
        <v>45666</v>
      </c>
      <c r="E747" s="5" t="s">
        <v>16161</v>
      </c>
      <c r="F747" s="5" t="s">
        <v>18150</v>
      </c>
      <c r="G747" s="5" t="s">
        <v>831</v>
      </c>
      <c r="H747" s="5">
        <v>1</v>
      </c>
      <c r="I747" s="8" t="s">
        <v>7900</v>
      </c>
      <c r="J747" s="8" t="s">
        <v>9949</v>
      </c>
      <c r="K747" s="8" t="s">
        <v>1746</v>
      </c>
      <c r="L747" s="8" t="s">
        <v>12000</v>
      </c>
      <c r="M747" s="8" t="s">
        <v>3796</v>
      </c>
      <c r="N747" s="8" t="s">
        <v>5847</v>
      </c>
      <c r="O747" s="5" t="s">
        <v>41</v>
      </c>
      <c r="P747" s="4">
        <v>45688</v>
      </c>
      <c r="Q747" s="15">
        <v>46.9</v>
      </c>
      <c r="R747" s="15">
        <v>19.510000000000002</v>
      </c>
      <c r="S747" s="15">
        <v>0</v>
      </c>
      <c r="T747"/>
    </row>
    <row r="748" spans="1:20">
      <c r="A748" s="5" t="s">
        <v>36</v>
      </c>
      <c r="B748" s="5" t="s">
        <v>14075</v>
      </c>
      <c r="C748" s="4">
        <f>Controle_Pedidos[[#This Row],[Data Compra]]</f>
        <v>45667</v>
      </c>
      <c r="D748" s="4">
        <v>45667</v>
      </c>
      <c r="E748" s="5" t="s">
        <v>16162</v>
      </c>
      <c r="F748" s="5" t="s">
        <v>18151</v>
      </c>
      <c r="G748" s="5" t="s">
        <v>852</v>
      </c>
      <c r="H748" s="5">
        <v>1</v>
      </c>
      <c r="I748" s="8" t="s">
        <v>7901</v>
      </c>
      <c r="J748" s="8" t="s">
        <v>9950</v>
      </c>
      <c r="K748" s="8" t="s">
        <v>1747</v>
      </c>
      <c r="L748" s="8" t="s">
        <v>12001</v>
      </c>
      <c r="M748" s="8" t="s">
        <v>3797</v>
      </c>
      <c r="N748" s="8" t="s">
        <v>5848</v>
      </c>
      <c r="O748" s="5" t="s">
        <v>68</v>
      </c>
      <c r="P748" s="4">
        <v>45682</v>
      </c>
      <c r="Q748" s="15">
        <v>21.99</v>
      </c>
      <c r="R748" s="15">
        <v>11.72</v>
      </c>
      <c r="S748" s="15">
        <v>0</v>
      </c>
      <c r="T748"/>
    </row>
    <row r="749" spans="1:20">
      <c r="A749" s="5" t="s">
        <v>36</v>
      </c>
      <c r="B749" s="5" t="s">
        <v>14076</v>
      </c>
      <c r="C749" s="4">
        <f>Controle_Pedidos[[#This Row],[Data Compra]]</f>
        <v>45667</v>
      </c>
      <c r="D749" s="4">
        <v>45667</v>
      </c>
      <c r="E749" s="5" t="s">
        <v>16163</v>
      </c>
      <c r="F749" s="5" t="s">
        <v>18152</v>
      </c>
      <c r="G749" s="5" t="s">
        <v>852</v>
      </c>
      <c r="H749" s="5">
        <v>1</v>
      </c>
      <c r="I749" s="8" t="s">
        <v>7902</v>
      </c>
      <c r="J749" s="8" t="s">
        <v>9951</v>
      </c>
      <c r="K749" s="8" t="s">
        <v>1748</v>
      </c>
      <c r="L749" s="8" t="s">
        <v>12002</v>
      </c>
      <c r="M749" s="8" t="s">
        <v>3798</v>
      </c>
      <c r="N749" s="8" t="s">
        <v>5849</v>
      </c>
      <c r="O749" s="5" t="s">
        <v>68</v>
      </c>
      <c r="P749" s="4">
        <v>45680</v>
      </c>
      <c r="Q749" s="15">
        <v>21.99</v>
      </c>
      <c r="R749" s="15">
        <v>11.72</v>
      </c>
      <c r="S749" s="15">
        <v>0</v>
      </c>
      <c r="T749"/>
    </row>
    <row r="750" spans="1:20">
      <c r="A750" s="5" t="s">
        <v>36</v>
      </c>
      <c r="B750" s="5" t="s">
        <v>14077</v>
      </c>
      <c r="C750" s="4">
        <f>Controle_Pedidos[[#This Row],[Data Compra]]</f>
        <v>45667</v>
      </c>
      <c r="D750" s="4">
        <v>45667</v>
      </c>
      <c r="E750" s="5" t="s">
        <v>16164</v>
      </c>
      <c r="F750" s="5" t="s">
        <v>18153</v>
      </c>
      <c r="G750" s="5" t="s">
        <v>831</v>
      </c>
      <c r="H750" s="5">
        <v>1</v>
      </c>
      <c r="I750" s="8" t="s">
        <v>7903</v>
      </c>
      <c r="J750" s="8" t="s">
        <v>9952</v>
      </c>
      <c r="K750" s="8" t="s">
        <v>1749</v>
      </c>
      <c r="L750" s="8" t="s">
        <v>12003</v>
      </c>
      <c r="M750" s="8" t="s">
        <v>3799</v>
      </c>
      <c r="N750" s="8" t="s">
        <v>5850</v>
      </c>
      <c r="O750" s="5" t="s">
        <v>41</v>
      </c>
      <c r="P750" s="4">
        <v>45688</v>
      </c>
      <c r="Q750" s="15">
        <v>46.9</v>
      </c>
      <c r="R750" s="15">
        <v>19.510000000000002</v>
      </c>
      <c r="S750" s="15">
        <v>0</v>
      </c>
      <c r="T750"/>
    </row>
    <row r="751" spans="1:20">
      <c r="A751" s="5" t="s">
        <v>36</v>
      </c>
      <c r="B751" s="5" t="s">
        <v>14078</v>
      </c>
      <c r="C751" s="4">
        <f>Controle_Pedidos[[#This Row],[Data Compra]]</f>
        <v>45667</v>
      </c>
      <c r="D751" s="4">
        <v>45667</v>
      </c>
      <c r="E751" s="5" t="s">
        <v>16165</v>
      </c>
      <c r="F751" s="5" t="s">
        <v>18154</v>
      </c>
      <c r="G751" s="5" t="s">
        <v>817</v>
      </c>
      <c r="H751" s="5">
        <v>1</v>
      </c>
      <c r="I751" s="8" t="s">
        <v>7904</v>
      </c>
      <c r="J751" s="8" t="s">
        <v>9953</v>
      </c>
      <c r="K751" s="8" t="s">
        <v>1750</v>
      </c>
      <c r="L751" s="8" t="s">
        <v>12004</v>
      </c>
      <c r="M751" s="8" t="s">
        <v>3800</v>
      </c>
      <c r="N751" s="8" t="s">
        <v>5851</v>
      </c>
      <c r="O751" s="5" t="s">
        <v>39</v>
      </c>
      <c r="P751" s="4">
        <v>45682</v>
      </c>
      <c r="Q751" s="15">
        <v>33.9</v>
      </c>
      <c r="R751" s="15">
        <v>15.99</v>
      </c>
      <c r="S751" s="15">
        <v>0</v>
      </c>
      <c r="T751"/>
    </row>
    <row r="752" spans="1:20">
      <c r="A752" s="5" t="s">
        <v>36</v>
      </c>
      <c r="B752" s="5" t="s">
        <v>14079</v>
      </c>
      <c r="C752" s="4">
        <f>Controle_Pedidos[[#This Row],[Data Compra]]</f>
        <v>45667</v>
      </c>
      <c r="D752" s="4">
        <v>45667</v>
      </c>
      <c r="E752" s="5" t="s">
        <v>16166</v>
      </c>
      <c r="F752" s="5" t="s">
        <v>18155</v>
      </c>
      <c r="G752" s="5" t="s">
        <v>852</v>
      </c>
      <c r="H752" s="5">
        <v>1</v>
      </c>
      <c r="I752" s="8" t="s">
        <v>7905</v>
      </c>
      <c r="J752" s="8" t="s">
        <v>9954</v>
      </c>
      <c r="K752" s="8" t="s">
        <v>1751</v>
      </c>
      <c r="L752" s="8" t="s">
        <v>12005</v>
      </c>
      <c r="M752" s="8" t="s">
        <v>3801</v>
      </c>
      <c r="N752" s="8" t="s">
        <v>5852</v>
      </c>
      <c r="O752" s="5" t="s">
        <v>68</v>
      </c>
      <c r="P752" s="4">
        <v>45682</v>
      </c>
      <c r="Q752" s="15">
        <v>21.99</v>
      </c>
      <c r="R752" s="15">
        <v>11.72</v>
      </c>
      <c r="S752" s="15">
        <v>0</v>
      </c>
      <c r="T752"/>
    </row>
    <row r="753" spans="1:20">
      <c r="A753" s="5" t="s">
        <v>36</v>
      </c>
      <c r="B753" s="5" t="s">
        <v>14080</v>
      </c>
      <c r="C753" s="4">
        <f>Controle_Pedidos[[#This Row],[Data Compra]]</f>
        <v>45667</v>
      </c>
      <c r="D753" s="4">
        <v>45667</v>
      </c>
      <c r="E753" s="5" t="s">
        <v>16167</v>
      </c>
      <c r="F753" s="5" t="s">
        <v>18156</v>
      </c>
      <c r="G753" s="5" t="s">
        <v>831</v>
      </c>
      <c r="H753" s="5">
        <v>1</v>
      </c>
      <c r="I753" s="8" t="s">
        <v>7906</v>
      </c>
      <c r="J753" s="8" t="s">
        <v>9955</v>
      </c>
      <c r="K753" s="8" t="s">
        <v>1752</v>
      </c>
      <c r="L753" s="8" t="s">
        <v>12006</v>
      </c>
      <c r="M753" s="8" t="s">
        <v>3802</v>
      </c>
      <c r="N753" s="8" t="s">
        <v>5853</v>
      </c>
      <c r="O753" s="5" t="s">
        <v>41</v>
      </c>
      <c r="P753" s="4">
        <v>45688</v>
      </c>
      <c r="Q753" s="15">
        <v>46.9</v>
      </c>
      <c r="R753" s="15">
        <v>19.510000000000002</v>
      </c>
      <c r="S753" s="15">
        <v>0</v>
      </c>
      <c r="T753"/>
    </row>
    <row r="754" spans="1:20">
      <c r="A754" s="5" t="s">
        <v>36</v>
      </c>
      <c r="B754" s="5" t="s">
        <v>14081</v>
      </c>
      <c r="C754" s="4">
        <f>Controle_Pedidos[[#This Row],[Data Compra]]</f>
        <v>45667</v>
      </c>
      <c r="D754" s="4">
        <v>45667</v>
      </c>
      <c r="E754" s="5" t="s">
        <v>16168</v>
      </c>
      <c r="F754" s="5" t="s">
        <v>18157</v>
      </c>
      <c r="G754" s="5" t="s">
        <v>852</v>
      </c>
      <c r="H754" s="5">
        <v>1</v>
      </c>
      <c r="I754" s="8" t="s">
        <v>7907</v>
      </c>
      <c r="J754" s="8" t="s">
        <v>9956</v>
      </c>
      <c r="K754" s="8" t="s">
        <v>1753</v>
      </c>
      <c r="L754" s="8" t="s">
        <v>12007</v>
      </c>
      <c r="M754" s="8" t="s">
        <v>3803</v>
      </c>
      <c r="N754" s="8" t="s">
        <v>5854</v>
      </c>
      <c r="O754" s="5" t="s">
        <v>68</v>
      </c>
      <c r="P754" s="4">
        <v>45685</v>
      </c>
      <c r="Q754" s="15">
        <v>21.99</v>
      </c>
      <c r="R754" s="15">
        <v>11.72</v>
      </c>
      <c r="S754" s="15">
        <v>0</v>
      </c>
      <c r="T754"/>
    </row>
    <row r="755" spans="1:20">
      <c r="A755" s="5" t="s">
        <v>36</v>
      </c>
      <c r="B755" s="5" t="s">
        <v>14082</v>
      </c>
      <c r="C755" s="4">
        <f>Controle_Pedidos[[#This Row],[Data Compra]]</f>
        <v>45667</v>
      </c>
      <c r="D755" s="4">
        <v>45667</v>
      </c>
      <c r="E755" s="5" t="s">
        <v>16169</v>
      </c>
      <c r="F755" s="5" t="s">
        <v>18158</v>
      </c>
      <c r="G755" s="5" t="s">
        <v>831</v>
      </c>
      <c r="H755" s="5">
        <v>1</v>
      </c>
      <c r="I755" s="8" t="s">
        <v>7908</v>
      </c>
      <c r="J755" s="8" t="s">
        <v>9957</v>
      </c>
      <c r="K755" s="8" t="s">
        <v>1754</v>
      </c>
      <c r="L755" s="8" t="s">
        <v>12008</v>
      </c>
      <c r="M755" s="8" t="s">
        <v>3804</v>
      </c>
      <c r="N755" s="8" t="s">
        <v>5855</v>
      </c>
      <c r="O755" s="5" t="s">
        <v>41</v>
      </c>
      <c r="P755" s="4">
        <v>45689</v>
      </c>
      <c r="Q755" s="15">
        <v>46.9</v>
      </c>
      <c r="R755" s="15">
        <v>19.190000000000001</v>
      </c>
      <c r="S755" s="15">
        <v>0</v>
      </c>
      <c r="T755"/>
    </row>
    <row r="756" spans="1:20">
      <c r="A756" s="5" t="s">
        <v>36</v>
      </c>
      <c r="B756" s="5" t="s">
        <v>14083</v>
      </c>
      <c r="C756" s="4">
        <f>Controle_Pedidos[[#This Row],[Data Compra]]</f>
        <v>45667</v>
      </c>
      <c r="D756" s="4">
        <v>45667</v>
      </c>
      <c r="E756" s="5" t="s">
        <v>16170</v>
      </c>
      <c r="F756" s="5" t="s">
        <v>18159</v>
      </c>
      <c r="G756" s="5" t="s">
        <v>849</v>
      </c>
      <c r="H756" s="5">
        <v>1</v>
      </c>
      <c r="I756" s="8" t="s">
        <v>7909</v>
      </c>
      <c r="J756" s="8" t="s">
        <v>9958</v>
      </c>
      <c r="K756" s="8" t="s">
        <v>1755</v>
      </c>
      <c r="L756" s="8" t="s">
        <v>12009</v>
      </c>
      <c r="M756" s="8" t="s">
        <v>3805</v>
      </c>
      <c r="N756" s="8" t="s">
        <v>5856</v>
      </c>
      <c r="O756" s="5" t="s">
        <v>61</v>
      </c>
      <c r="P756" s="4">
        <v>45689</v>
      </c>
      <c r="Q756" s="15">
        <v>65.599999999999994</v>
      </c>
      <c r="R756" s="15">
        <v>19.64</v>
      </c>
      <c r="S756" s="15">
        <v>0</v>
      </c>
      <c r="T756"/>
    </row>
    <row r="757" spans="1:20">
      <c r="A757" s="5" t="s">
        <v>36</v>
      </c>
      <c r="B757" s="5" t="s">
        <v>14084</v>
      </c>
      <c r="C757" s="4">
        <f>Controle_Pedidos[[#This Row],[Data Compra]]</f>
        <v>45667</v>
      </c>
      <c r="D757" s="4">
        <v>45667</v>
      </c>
      <c r="E757" s="5" t="s">
        <v>16171</v>
      </c>
      <c r="F757" s="5" t="s">
        <v>18160</v>
      </c>
      <c r="G757" s="5" t="s">
        <v>831</v>
      </c>
      <c r="H757" s="5">
        <v>1</v>
      </c>
      <c r="I757" s="8" t="s">
        <v>7910</v>
      </c>
      <c r="J757" s="8" t="s">
        <v>9959</v>
      </c>
      <c r="K757" s="8" t="s">
        <v>1756</v>
      </c>
      <c r="L757" s="8" t="s">
        <v>12010</v>
      </c>
      <c r="M757" s="8" t="s">
        <v>3806</v>
      </c>
      <c r="N757" s="8" t="s">
        <v>5857</v>
      </c>
      <c r="O757" s="5" t="s">
        <v>41</v>
      </c>
      <c r="P757" s="4">
        <v>45689</v>
      </c>
      <c r="Q757" s="15">
        <v>46.9</v>
      </c>
      <c r="R757" s="15">
        <v>19.510000000000002</v>
      </c>
      <c r="S757" s="15">
        <v>0</v>
      </c>
      <c r="T757"/>
    </row>
    <row r="758" spans="1:20">
      <c r="A758" s="5" t="s">
        <v>36</v>
      </c>
      <c r="B758" s="5" t="s">
        <v>14085</v>
      </c>
      <c r="C758" s="4">
        <f>Controle_Pedidos[[#This Row],[Data Compra]]</f>
        <v>45667</v>
      </c>
      <c r="D758" s="4">
        <v>45667</v>
      </c>
      <c r="E758" s="5" t="s">
        <v>16172</v>
      </c>
      <c r="F758" s="5" t="s">
        <v>18161</v>
      </c>
      <c r="G758" s="5" t="s">
        <v>833</v>
      </c>
      <c r="H758" s="5">
        <v>1</v>
      </c>
      <c r="I758" s="8" t="s">
        <v>7911</v>
      </c>
      <c r="J758" s="8" t="s">
        <v>9960</v>
      </c>
      <c r="K758" s="8" t="s">
        <v>1757</v>
      </c>
      <c r="L758" s="8" t="s">
        <v>12011</v>
      </c>
      <c r="M758" s="8" t="s">
        <v>3807</v>
      </c>
      <c r="N758" s="8" t="s">
        <v>5858</v>
      </c>
      <c r="O758" s="5" t="s">
        <v>49</v>
      </c>
      <c r="P758" s="4">
        <v>45679</v>
      </c>
      <c r="Q758" s="15">
        <v>27.99</v>
      </c>
      <c r="R758" s="15">
        <v>9.1999999999999993</v>
      </c>
      <c r="S758" s="15">
        <v>0</v>
      </c>
      <c r="T758"/>
    </row>
    <row r="759" spans="1:20">
      <c r="A759" s="5" t="s">
        <v>36</v>
      </c>
      <c r="B759" s="5" t="s">
        <v>14086</v>
      </c>
      <c r="C759" s="4">
        <f>Controle_Pedidos[[#This Row],[Data Compra]]</f>
        <v>45667</v>
      </c>
      <c r="D759" s="4">
        <v>45667</v>
      </c>
      <c r="E759" s="5" t="s">
        <v>16173</v>
      </c>
      <c r="F759" s="5" t="s">
        <v>18162</v>
      </c>
      <c r="G759" s="5" t="s">
        <v>852</v>
      </c>
      <c r="H759" s="5">
        <v>1</v>
      </c>
      <c r="I759" s="8" t="s">
        <v>7912</v>
      </c>
      <c r="J759" s="8" t="s">
        <v>9961</v>
      </c>
      <c r="K759" s="8" t="s">
        <v>1758</v>
      </c>
      <c r="L759" s="8" t="s">
        <v>12012</v>
      </c>
      <c r="M759" s="8" t="s">
        <v>3808</v>
      </c>
      <c r="N759" s="8" t="s">
        <v>5859</v>
      </c>
      <c r="O759" s="5" t="s">
        <v>68</v>
      </c>
      <c r="P759" s="4">
        <v>45689</v>
      </c>
      <c r="Q759" s="15">
        <v>21.99</v>
      </c>
      <c r="R759" s="15">
        <v>11.72</v>
      </c>
      <c r="S759" s="15">
        <v>0</v>
      </c>
      <c r="T759"/>
    </row>
    <row r="760" spans="1:20">
      <c r="A760" s="5" t="s">
        <v>36</v>
      </c>
      <c r="B760" s="5" t="s">
        <v>14087</v>
      </c>
      <c r="C760" s="4">
        <f>Controle_Pedidos[[#This Row],[Data Compra]]</f>
        <v>45667</v>
      </c>
      <c r="D760" s="4">
        <v>45667</v>
      </c>
      <c r="E760" s="5" t="s">
        <v>16174</v>
      </c>
      <c r="F760" s="5" t="s">
        <v>18163</v>
      </c>
      <c r="G760" s="5" t="s">
        <v>852</v>
      </c>
      <c r="H760" s="5">
        <v>1</v>
      </c>
      <c r="I760" s="8" t="s">
        <v>7913</v>
      </c>
      <c r="J760" s="8" t="s">
        <v>9962</v>
      </c>
      <c r="K760" s="8" t="s">
        <v>1759</v>
      </c>
      <c r="L760" s="8" t="s">
        <v>12013</v>
      </c>
      <c r="M760" s="8" t="s">
        <v>3809</v>
      </c>
      <c r="N760" s="8" t="s">
        <v>5860</v>
      </c>
      <c r="O760" s="5" t="s">
        <v>68</v>
      </c>
      <c r="P760" s="4">
        <v>45679</v>
      </c>
      <c r="Q760" s="15">
        <v>21.99</v>
      </c>
      <c r="R760" s="15">
        <v>11.72</v>
      </c>
      <c r="S760" s="15">
        <v>0</v>
      </c>
      <c r="T760"/>
    </row>
    <row r="761" spans="1:20">
      <c r="A761" s="5" t="s">
        <v>36</v>
      </c>
      <c r="B761" s="5" t="s">
        <v>14088</v>
      </c>
      <c r="C761" s="4">
        <f>Controle_Pedidos[[#This Row],[Data Compra]]</f>
        <v>45667</v>
      </c>
      <c r="D761" s="4">
        <v>45667</v>
      </c>
      <c r="E761" s="5" t="s">
        <v>16175</v>
      </c>
      <c r="F761" s="5" t="s">
        <v>18164</v>
      </c>
      <c r="G761" s="5" t="s">
        <v>852</v>
      </c>
      <c r="H761" s="5">
        <v>1</v>
      </c>
      <c r="I761" s="8" t="s">
        <v>7914</v>
      </c>
      <c r="J761" s="8" t="s">
        <v>9963</v>
      </c>
      <c r="K761" s="8" t="s">
        <v>1760</v>
      </c>
      <c r="L761" s="8" t="s">
        <v>12014</v>
      </c>
      <c r="M761" s="8" t="s">
        <v>3810</v>
      </c>
      <c r="N761" s="8" t="s">
        <v>5861</v>
      </c>
      <c r="O761" s="5" t="s">
        <v>68</v>
      </c>
      <c r="P761" s="4">
        <v>45689</v>
      </c>
      <c r="Q761" s="15">
        <v>21.99</v>
      </c>
      <c r="R761" s="15">
        <v>11.72</v>
      </c>
      <c r="S761" s="15">
        <v>0</v>
      </c>
      <c r="T761"/>
    </row>
    <row r="762" spans="1:20">
      <c r="A762" s="5" t="s">
        <v>36</v>
      </c>
      <c r="B762" s="5" t="s">
        <v>14089</v>
      </c>
      <c r="C762" s="4">
        <f>Controle_Pedidos[[#This Row],[Data Compra]]</f>
        <v>45667</v>
      </c>
      <c r="D762" s="4">
        <v>45667</v>
      </c>
      <c r="E762" s="5" t="s">
        <v>16176</v>
      </c>
      <c r="F762" s="5" t="s">
        <v>18165</v>
      </c>
      <c r="G762" s="5" t="s">
        <v>824</v>
      </c>
      <c r="H762" s="5">
        <v>1</v>
      </c>
      <c r="I762" s="8" t="s">
        <v>7915</v>
      </c>
      <c r="J762" s="8" t="s">
        <v>9964</v>
      </c>
      <c r="K762" s="8" t="s">
        <v>1761</v>
      </c>
      <c r="L762" s="8" t="s">
        <v>12015</v>
      </c>
      <c r="M762" s="8" t="s">
        <v>3811</v>
      </c>
      <c r="N762" s="8" t="s">
        <v>5862</v>
      </c>
      <c r="O762" s="5" t="s">
        <v>38</v>
      </c>
      <c r="P762" s="4">
        <v>45689</v>
      </c>
      <c r="Q762" s="15">
        <v>21.99</v>
      </c>
      <c r="R762" s="15">
        <v>9.99</v>
      </c>
      <c r="S762" s="15">
        <v>0</v>
      </c>
      <c r="T762"/>
    </row>
    <row r="763" spans="1:20">
      <c r="A763" s="5" t="s">
        <v>36</v>
      </c>
      <c r="B763" s="5" t="s">
        <v>14090</v>
      </c>
      <c r="C763" s="4">
        <f>Controle_Pedidos[[#This Row],[Data Compra]]</f>
        <v>45667</v>
      </c>
      <c r="D763" s="4">
        <v>45667</v>
      </c>
      <c r="E763" s="5" t="s">
        <v>16177</v>
      </c>
      <c r="F763" s="5" t="s">
        <v>18166</v>
      </c>
      <c r="G763" s="5" t="s">
        <v>849</v>
      </c>
      <c r="H763" s="5">
        <v>1</v>
      </c>
      <c r="I763" s="8" t="s">
        <v>7916</v>
      </c>
      <c r="J763" s="8" t="s">
        <v>9965</v>
      </c>
      <c r="K763" s="8" t="s">
        <v>1762</v>
      </c>
      <c r="L763" s="8" t="s">
        <v>12016</v>
      </c>
      <c r="M763" s="8" t="s">
        <v>3812</v>
      </c>
      <c r="N763" s="8" t="s">
        <v>5863</v>
      </c>
      <c r="O763" s="5" t="s">
        <v>61</v>
      </c>
      <c r="P763" s="4">
        <v>45689</v>
      </c>
      <c r="Q763" s="15">
        <v>65.599999999999994</v>
      </c>
      <c r="R763" s="15">
        <v>19.64</v>
      </c>
      <c r="S763" s="15">
        <v>0</v>
      </c>
      <c r="T763"/>
    </row>
    <row r="764" spans="1:20">
      <c r="A764" s="5" t="s">
        <v>36</v>
      </c>
      <c r="B764" s="5" t="s">
        <v>14091</v>
      </c>
      <c r="C764" s="4">
        <f>Controle_Pedidos[[#This Row],[Data Compra]]</f>
        <v>45667</v>
      </c>
      <c r="D764" s="4">
        <v>45667</v>
      </c>
      <c r="E764" s="5" t="s">
        <v>16178</v>
      </c>
      <c r="F764" s="5" t="s">
        <v>18167</v>
      </c>
      <c r="G764" s="5" t="s">
        <v>824</v>
      </c>
      <c r="H764" s="5">
        <v>1</v>
      </c>
      <c r="I764" s="8" t="s">
        <v>7917</v>
      </c>
      <c r="J764" s="8" t="s">
        <v>9966</v>
      </c>
      <c r="K764" s="8" t="s">
        <v>1763</v>
      </c>
      <c r="L764" s="8" t="s">
        <v>12017</v>
      </c>
      <c r="M764" s="8" t="s">
        <v>3813</v>
      </c>
      <c r="N764" s="8" t="s">
        <v>5864</v>
      </c>
      <c r="O764" s="5" t="s">
        <v>38</v>
      </c>
      <c r="P764" s="4">
        <v>45689</v>
      </c>
      <c r="Q764" s="15">
        <v>21.99</v>
      </c>
      <c r="R764" s="15">
        <v>9.99</v>
      </c>
      <c r="S764" s="15">
        <v>0</v>
      </c>
      <c r="T764"/>
    </row>
    <row r="765" spans="1:20">
      <c r="A765" s="5" t="s">
        <v>36</v>
      </c>
      <c r="B765" s="5" t="s">
        <v>14092</v>
      </c>
      <c r="C765" s="4">
        <f>Controle_Pedidos[[#This Row],[Data Compra]]</f>
        <v>45667</v>
      </c>
      <c r="D765" s="4">
        <v>45667</v>
      </c>
      <c r="E765" s="5" t="s">
        <v>16179</v>
      </c>
      <c r="F765" s="5" t="s">
        <v>18168</v>
      </c>
      <c r="G765" s="5" t="s">
        <v>852</v>
      </c>
      <c r="H765" s="5">
        <v>1</v>
      </c>
      <c r="I765" s="8" t="s">
        <v>7918</v>
      </c>
      <c r="J765" s="8" t="s">
        <v>9967</v>
      </c>
      <c r="K765" s="8" t="s">
        <v>1764</v>
      </c>
      <c r="L765" s="8" t="s">
        <v>12018</v>
      </c>
      <c r="M765" s="8" t="s">
        <v>3814</v>
      </c>
      <c r="N765" s="8" t="s">
        <v>5865</v>
      </c>
      <c r="O765" s="5" t="s">
        <v>68</v>
      </c>
      <c r="P765" s="4">
        <v>45685</v>
      </c>
      <c r="Q765" s="15">
        <v>21.99</v>
      </c>
      <c r="R765" s="15">
        <v>11.72</v>
      </c>
      <c r="S765" s="15">
        <v>0</v>
      </c>
      <c r="T765"/>
    </row>
    <row r="766" spans="1:20">
      <c r="A766" s="5" t="s">
        <v>36</v>
      </c>
      <c r="B766" s="5" t="s">
        <v>14093</v>
      </c>
      <c r="C766" s="4">
        <f>Controle_Pedidos[[#This Row],[Data Compra]]</f>
        <v>45667</v>
      </c>
      <c r="D766" s="4">
        <v>45667</v>
      </c>
      <c r="E766" s="5" t="s">
        <v>16180</v>
      </c>
      <c r="F766" s="5" t="s">
        <v>18169</v>
      </c>
      <c r="G766" s="5" t="s">
        <v>849</v>
      </c>
      <c r="H766" s="5">
        <v>1</v>
      </c>
      <c r="I766" s="8" t="s">
        <v>7919</v>
      </c>
      <c r="J766" s="8" t="s">
        <v>9968</v>
      </c>
      <c r="K766" s="8" t="s">
        <v>1765</v>
      </c>
      <c r="L766" s="8" t="s">
        <v>12019</v>
      </c>
      <c r="M766" s="8" t="s">
        <v>3815</v>
      </c>
      <c r="N766" s="8" t="s">
        <v>5866</v>
      </c>
      <c r="O766" s="5" t="s">
        <v>61</v>
      </c>
      <c r="P766" s="4">
        <v>45692</v>
      </c>
      <c r="Q766" s="15">
        <v>66.989999999999995</v>
      </c>
      <c r="R766" s="15">
        <v>0</v>
      </c>
      <c r="S766" s="15">
        <v>0</v>
      </c>
      <c r="T766"/>
    </row>
    <row r="767" spans="1:20">
      <c r="A767" s="5" t="s">
        <v>36</v>
      </c>
      <c r="B767" s="5" t="s">
        <v>14094</v>
      </c>
      <c r="C767" s="4">
        <f>Controle_Pedidos[[#This Row],[Data Compra]]</f>
        <v>45667</v>
      </c>
      <c r="D767" s="4">
        <v>45667</v>
      </c>
      <c r="E767" s="5" t="s">
        <v>16181</v>
      </c>
      <c r="F767" s="5" t="s">
        <v>18170</v>
      </c>
      <c r="G767" s="5" t="s">
        <v>855</v>
      </c>
      <c r="H767" s="5">
        <v>1</v>
      </c>
      <c r="I767" s="8" t="s">
        <v>7920</v>
      </c>
      <c r="J767" s="8" t="s">
        <v>9969</v>
      </c>
      <c r="K767" s="8" t="s">
        <v>1766</v>
      </c>
      <c r="L767" s="8" t="s">
        <v>12020</v>
      </c>
      <c r="M767" s="8" t="s">
        <v>3816</v>
      </c>
      <c r="N767" s="8" t="s">
        <v>5867</v>
      </c>
      <c r="O767" s="5" t="s">
        <v>81</v>
      </c>
      <c r="P767" s="4">
        <v>45692</v>
      </c>
      <c r="Q767" s="15">
        <v>34.99</v>
      </c>
      <c r="R767" s="15">
        <v>15.4</v>
      </c>
      <c r="S767" s="15">
        <v>0</v>
      </c>
      <c r="T767"/>
    </row>
    <row r="768" spans="1:20">
      <c r="A768" s="5" t="s">
        <v>36</v>
      </c>
      <c r="B768" s="5" t="s">
        <v>14095</v>
      </c>
      <c r="C768" s="4">
        <f>Controle_Pedidos[[#This Row],[Data Compra]]</f>
        <v>45667</v>
      </c>
      <c r="D768" s="4">
        <v>45667</v>
      </c>
      <c r="E768" s="5" t="s">
        <v>16182</v>
      </c>
      <c r="F768" s="5" t="s">
        <v>18171</v>
      </c>
      <c r="G768" s="5" t="s">
        <v>849</v>
      </c>
      <c r="H768" s="5">
        <v>1</v>
      </c>
      <c r="I768" s="8" t="s">
        <v>7921</v>
      </c>
      <c r="J768" s="8" t="s">
        <v>9970</v>
      </c>
      <c r="K768" s="8" t="s">
        <v>1767</v>
      </c>
      <c r="L768" s="8" t="s">
        <v>12021</v>
      </c>
      <c r="M768" s="8" t="s">
        <v>3817</v>
      </c>
      <c r="N768" s="8" t="s">
        <v>5868</v>
      </c>
      <c r="O768" s="5" t="s">
        <v>61</v>
      </c>
      <c r="P768" s="4">
        <v>45699</v>
      </c>
      <c r="Q768" s="15">
        <v>66.989999999999995</v>
      </c>
      <c r="R768" s="15">
        <v>19.64</v>
      </c>
      <c r="S768" s="15">
        <v>0</v>
      </c>
      <c r="T768"/>
    </row>
    <row r="769" spans="1:20">
      <c r="A769" s="5" t="s">
        <v>36</v>
      </c>
      <c r="B769" s="5" t="s">
        <v>14096</v>
      </c>
      <c r="C769" s="4">
        <f>Controle_Pedidos[[#This Row],[Data Compra]]</f>
        <v>45669</v>
      </c>
      <c r="D769" s="4">
        <v>45669</v>
      </c>
      <c r="E769" s="5" t="s">
        <v>16183</v>
      </c>
      <c r="F769" s="5" t="s">
        <v>18172</v>
      </c>
      <c r="G769" s="5" t="s">
        <v>845</v>
      </c>
      <c r="H769" s="5">
        <v>1</v>
      </c>
      <c r="I769" s="8" t="s">
        <v>7922</v>
      </c>
      <c r="J769" s="8" t="s">
        <v>9971</v>
      </c>
      <c r="K769" s="8" t="s">
        <v>1768</v>
      </c>
      <c r="L769" s="8" t="s">
        <v>12022</v>
      </c>
      <c r="M769" s="8" t="s">
        <v>3818</v>
      </c>
      <c r="N769" s="8" t="s">
        <v>5869</v>
      </c>
      <c r="O769" s="5" t="s">
        <v>67</v>
      </c>
      <c r="P769" s="4">
        <v>45693</v>
      </c>
      <c r="Q769" s="15">
        <v>66.989999999999995</v>
      </c>
      <c r="R769" s="15">
        <v>0</v>
      </c>
      <c r="S769" s="15">
        <v>0</v>
      </c>
      <c r="T769"/>
    </row>
    <row r="770" spans="1:20">
      <c r="A770" s="5" t="s">
        <v>36</v>
      </c>
      <c r="B770" s="5" t="s">
        <v>14097</v>
      </c>
      <c r="C770" s="4">
        <f>Controle_Pedidos[[#This Row],[Data Compra]]</f>
        <v>45667</v>
      </c>
      <c r="D770" s="4">
        <v>45667</v>
      </c>
      <c r="E770" s="5" t="s">
        <v>16184</v>
      </c>
      <c r="F770" s="5" t="s">
        <v>18173</v>
      </c>
      <c r="G770" s="5" t="s">
        <v>845</v>
      </c>
      <c r="H770" s="5">
        <v>1</v>
      </c>
      <c r="I770" s="8" t="s">
        <v>7923</v>
      </c>
      <c r="J770" s="8" t="s">
        <v>9972</v>
      </c>
      <c r="K770" s="8" t="s">
        <v>1769</v>
      </c>
      <c r="L770" s="8" t="s">
        <v>12023</v>
      </c>
      <c r="M770" s="8" t="s">
        <v>3819</v>
      </c>
      <c r="N770" s="8" t="s">
        <v>5870</v>
      </c>
      <c r="O770" s="5" t="s">
        <v>67</v>
      </c>
      <c r="P770" s="4">
        <v>45687</v>
      </c>
      <c r="Q770" s="15">
        <v>66.989999999999995</v>
      </c>
      <c r="R770" s="15">
        <v>19.64</v>
      </c>
      <c r="S770" s="15">
        <v>0</v>
      </c>
      <c r="T770"/>
    </row>
    <row r="771" spans="1:20">
      <c r="A771" s="5" t="s">
        <v>36</v>
      </c>
      <c r="B771" s="5" t="s">
        <v>14098</v>
      </c>
      <c r="C771" s="4">
        <f>Controle_Pedidos[[#This Row],[Data Compra]]</f>
        <v>45668</v>
      </c>
      <c r="D771" s="4">
        <v>45668</v>
      </c>
      <c r="E771" s="5" t="s">
        <v>16185</v>
      </c>
      <c r="F771" s="5" t="s">
        <v>18174</v>
      </c>
      <c r="G771" s="5" t="s">
        <v>849</v>
      </c>
      <c r="H771" s="5">
        <v>1</v>
      </c>
      <c r="I771" s="8" t="s">
        <v>7924</v>
      </c>
      <c r="J771" s="8" t="s">
        <v>9973</v>
      </c>
      <c r="K771" s="8" t="s">
        <v>1770</v>
      </c>
      <c r="L771" s="8" t="s">
        <v>12024</v>
      </c>
      <c r="M771" s="8" t="s">
        <v>3820</v>
      </c>
      <c r="N771" s="8" t="s">
        <v>5871</v>
      </c>
      <c r="O771" s="5" t="s">
        <v>61</v>
      </c>
      <c r="P771" s="4">
        <v>45694</v>
      </c>
      <c r="Q771" s="15">
        <v>66.989999999999995</v>
      </c>
      <c r="R771" s="15">
        <v>19.329999999999998</v>
      </c>
      <c r="S771" s="15">
        <v>0</v>
      </c>
      <c r="T771"/>
    </row>
    <row r="772" spans="1:20">
      <c r="A772" s="5" t="s">
        <v>36</v>
      </c>
      <c r="B772" s="5" t="s">
        <v>14099</v>
      </c>
      <c r="C772" s="4">
        <f>Controle_Pedidos[[#This Row],[Data Compra]]</f>
        <v>45669</v>
      </c>
      <c r="D772" s="4">
        <v>45669</v>
      </c>
      <c r="E772" s="5" t="s">
        <v>16186</v>
      </c>
      <c r="F772" s="5" t="s">
        <v>18175</v>
      </c>
      <c r="G772" s="5" t="s">
        <v>848</v>
      </c>
      <c r="H772" s="5">
        <v>1</v>
      </c>
      <c r="I772" s="8" t="s">
        <v>7925</v>
      </c>
      <c r="J772" s="8" t="s">
        <v>9974</v>
      </c>
      <c r="K772" s="8" t="s">
        <v>1771</v>
      </c>
      <c r="L772" s="8" t="s">
        <v>12025</v>
      </c>
      <c r="M772" s="8" t="s">
        <v>3821</v>
      </c>
      <c r="N772" s="8" t="s">
        <v>5872</v>
      </c>
      <c r="O772" s="5" t="s">
        <v>76</v>
      </c>
      <c r="P772" s="4">
        <v>45688</v>
      </c>
      <c r="Q772" s="15">
        <v>75.989999999999995</v>
      </c>
      <c r="R772" s="15">
        <v>34.39</v>
      </c>
      <c r="S772" s="15">
        <v>0</v>
      </c>
      <c r="T772"/>
    </row>
    <row r="773" spans="1:20">
      <c r="A773" s="5" t="s">
        <v>36</v>
      </c>
      <c r="B773" s="5" t="s">
        <v>14100</v>
      </c>
      <c r="C773" s="4">
        <f>Controle_Pedidos[[#This Row],[Data Compra]]</f>
        <v>45667</v>
      </c>
      <c r="D773" s="4">
        <v>45667</v>
      </c>
      <c r="E773" s="5" t="s">
        <v>16187</v>
      </c>
      <c r="F773" s="5" t="s">
        <v>18176</v>
      </c>
      <c r="G773" s="5" t="s">
        <v>855</v>
      </c>
      <c r="H773" s="5">
        <v>1</v>
      </c>
      <c r="I773" s="8" t="s">
        <v>7926</v>
      </c>
      <c r="J773" s="8" t="s">
        <v>9975</v>
      </c>
      <c r="K773" s="8" t="s">
        <v>1772</v>
      </c>
      <c r="L773" s="8" t="s">
        <v>12026</v>
      </c>
      <c r="M773" s="8" t="s">
        <v>3822</v>
      </c>
      <c r="N773" s="8" t="s">
        <v>5873</v>
      </c>
      <c r="O773" s="5" t="s">
        <v>81</v>
      </c>
      <c r="P773" s="4">
        <v>45688</v>
      </c>
      <c r="Q773" s="15">
        <v>33.99</v>
      </c>
      <c r="R773" s="15">
        <v>15.4</v>
      </c>
      <c r="S773" s="15">
        <v>0</v>
      </c>
      <c r="T773"/>
    </row>
    <row r="774" spans="1:20">
      <c r="A774" s="5" t="s">
        <v>36</v>
      </c>
      <c r="B774" s="5" t="s">
        <v>14101</v>
      </c>
      <c r="C774" s="4">
        <f>Controle_Pedidos[[#This Row],[Data Compra]]</f>
        <v>45668</v>
      </c>
      <c r="D774" s="4">
        <v>45668</v>
      </c>
      <c r="E774" s="5" t="s">
        <v>16188</v>
      </c>
      <c r="F774" s="5" t="s">
        <v>18177</v>
      </c>
      <c r="G774" s="5" t="s">
        <v>845</v>
      </c>
      <c r="H774" s="5">
        <v>1</v>
      </c>
      <c r="I774" s="8" t="s">
        <v>7927</v>
      </c>
      <c r="J774" s="8" t="s">
        <v>9976</v>
      </c>
      <c r="K774" s="8" t="s">
        <v>1773</v>
      </c>
      <c r="L774" s="8" t="s">
        <v>12027</v>
      </c>
      <c r="M774" s="8" t="s">
        <v>3823</v>
      </c>
      <c r="N774" s="8" t="s">
        <v>5874</v>
      </c>
      <c r="O774" s="5" t="s">
        <v>67</v>
      </c>
      <c r="P774" s="4">
        <v>45694</v>
      </c>
      <c r="Q774" s="15">
        <v>66.989999999999995</v>
      </c>
      <c r="R774" s="15">
        <v>19.329999999999998</v>
      </c>
      <c r="S774" s="15">
        <v>0</v>
      </c>
      <c r="T774"/>
    </row>
    <row r="775" spans="1:20">
      <c r="A775" s="5" t="s">
        <v>36</v>
      </c>
      <c r="B775" s="5" t="s">
        <v>14102</v>
      </c>
      <c r="C775" s="4">
        <f>Controle_Pedidos[[#This Row],[Data Compra]]</f>
        <v>45669</v>
      </c>
      <c r="D775" s="4">
        <v>45669</v>
      </c>
      <c r="E775" s="5" t="s">
        <v>16189</v>
      </c>
      <c r="F775" s="5" t="s">
        <v>18178</v>
      </c>
      <c r="G775" s="5" t="s">
        <v>849</v>
      </c>
      <c r="H775" s="5">
        <v>1</v>
      </c>
      <c r="I775" s="8" t="s">
        <v>7928</v>
      </c>
      <c r="J775" s="8" t="s">
        <v>9977</v>
      </c>
      <c r="K775" s="8" t="s">
        <v>1774</v>
      </c>
      <c r="L775" s="8" t="s">
        <v>12028</v>
      </c>
      <c r="M775" s="8" t="s">
        <v>3824</v>
      </c>
      <c r="N775" s="8" t="s">
        <v>5875</v>
      </c>
      <c r="O775" s="5" t="s">
        <v>61</v>
      </c>
      <c r="P775" s="4">
        <v>45688</v>
      </c>
      <c r="Q775" s="15">
        <v>66.989999999999995</v>
      </c>
      <c r="R775" s="15">
        <v>19.2</v>
      </c>
      <c r="S775" s="15">
        <v>0</v>
      </c>
      <c r="T775"/>
    </row>
    <row r="776" spans="1:20">
      <c r="A776" s="5" t="s">
        <v>36</v>
      </c>
      <c r="B776" s="5" t="s">
        <v>14103</v>
      </c>
      <c r="C776" s="4">
        <f>Controle_Pedidos[[#This Row],[Data Compra]]</f>
        <v>45669</v>
      </c>
      <c r="D776" s="4">
        <v>45669</v>
      </c>
      <c r="E776" s="5" t="s">
        <v>16190</v>
      </c>
      <c r="F776" s="5" t="s">
        <v>18179</v>
      </c>
      <c r="G776" s="5" t="s">
        <v>849</v>
      </c>
      <c r="H776" s="5">
        <v>1</v>
      </c>
      <c r="I776" s="8" t="s">
        <v>7929</v>
      </c>
      <c r="J776" s="8" t="s">
        <v>9978</v>
      </c>
      <c r="K776" s="8" t="s">
        <v>1775</v>
      </c>
      <c r="L776" s="8" t="s">
        <v>12029</v>
      </c>
      <c r="M776" s="8" t="s">
        <v>3825</v>
      </c>
      <c r="N776" s="8" t="s">
        <v>5876</v>
      </c>
      <c r="O776" s="5" t="s">
        <v>61</v>
      </c>
      <c r="P776" s="4">
        <v>45701</v>
      </c>
      <c r="Q776" s="15">
        <v>66.989999999999995</v>
      </c>
      <c r="R776" s="15">
        <v>19.2</v>
      </c>
      <c r="S776" s="15">
        <v>0</v>
      </c>
      <c r="T776"/>
    </row>
    <row r="777" spans="1:20">
      <c r="A777" s="5" t="s">
        <v>36</v>
      </c>
      <c r="B777" s="5" t="s">
        <v>14104</v>
      </c>
      <c r="C777" s="4">
        <f>Controle_Pedidos[[#This Row],[Data Compra]]</f>
        <v>45669</v>
      </c>
      <c r="D777" s="4">
        <v>45669</v>
      </c>
      <c r="E777" s="5" t="s">
        <v>16191</v>
      </c>
      <c r="F777" s="5" t="s">
        <v>18180</v>
      </c>
      <c r="G777" s="5" t="s">
        <v>845</v>
      </c>
      <c r="H777" s="5">
        <v>1</v>
      </c>
      <c r="I777" s="8" t="s">
        <v>7930</v>
      </c>
      <c r="J777" s="8" t="s">
        <v>9979</v>
      </c>
      <c r="K777" s="8" t="s">
        <v>1776</v>
      </c>
      <c r="L777" s="8" t="s">
        <v>12030</v>
      </c>
      <c r="M777" s="8" t="s">
        <v>3826</v>
      </c>
      <c r="N777" s="8" t="s">
        <v>5877</v>
      </c>
      <c r="O777" s="5" t="s">
        <v>67</v>
      </c>
      <c r="P777" s="4">
        <v>45694</v>
      </c>
      <c r="Q777" s="15">
        <v>66.989999999999995</v>
      </c>
      <c r="R777" s="15">
        <v>19.2</v>
      </c>
      <c r="S777" s="15">
        <v>0</v>
      </c>
      <c r="T777"/>
    </row>
    <row r="778" spans="1:20">
      <c r="A778" s="5" t="s">
        <v>36</v>
      </c>
      <c r="B778" s="5" t="s">
        <v>14105</v>
      </c>
      <c r="C778" s="4">
        <f>Controle_Pedidos[[#This Row],[Data Compra]]</f>
        <v>45669</v>
      </c>
      <c r="D778" s="4">
        <v>45669</v>
      </c>
      <c r="E778" s="5" t="s">
        <v>16192</v>
      </c>
      <c r="F778" s="5" t="s">
        <v>18181</v>
      </c>
      <c r="G778" s="5" t="s">
        <v>817</v>
      </c>
      <c r="H778" s="5">
        <v>1</v>
      </c>
      <c r="I778" s="8" t="s">
        <v>7931</v>
      </c>
      <c r="J778" s="8" t="s">
        <v>9980</v>
      </c>
      <c r="K778" s="8" t="s">
        <v>1777</v>
      </c>
      <c r="L778" s="8" t="s">
        <v>12031</v>
      </c>
      <c r="M778" s="8" t="s">
        <v>3827</v>
      </c>
      <c r="N778" s="8" t="s">
        <v>5878</v>
      </c>
      <c r="O778" s="5" t="s">
        <v>39</v>
      </c>
      <c r="P778" s="4">
        <v>45688</v>
      </c>
      <c r="Q778" s="15">
        <v>35.99</v>
      </c>
      <c r="R778" s="15">
        <v>0</v>
      </c>
      <c r="S778" s="15">
        <v>0</v>
      </c>
      <c r="T778"/>
    </row>
    <row r="779" spans="1:20">
      <c r="A779" s="5" t="s">
        <v>36</v>
      </c>
      <c r="B779" s="5" t="s">
        <v>14106</v>
      </c>
      <c r="C779" s="4">
        <f>Controle_Pedidos[[#This Row],[Data Compra]]</f>
        <v>45673</v>
      </c>
      <c r="D779" s="4">
        <v>45673</v>
      </c>
      <c r="E779" s="5" t="s">
        <v>16193</v>
      </c>
      <c r="F779" s="5" t="s">
        <v>18182</v>
      </c>
      <c r="G779" s="5" t="s">
        <v>849</v>
      </c>
      <c r="H779" s="5">
        <v>1</v>
      </c>
      <c r="I779" s="8" t="s">
        <v>7932</v>
      </c>
      <c r="J779" s="8" t="s">
        <v>9981</v>
      </c>
      <c r="K779" s="8" t="s">
        <v>1778</v>
      </c>
      <c r="L779" s="8" t="s">
        <v>12032</v>
      </c>
      <c r="M779" s="8" t="s">
        <v>3828</v>
      </c>
      <c r="N779" s="8" t="s">
        <v>5879</v>
      </c>
      <c r="O779" s="5" t="s">
        <v>61</v>
      </c>
      <c r="P779" s="4">
        <v>45688</v>
      </c>
      <c r="Q779" s="15">
        <v>66.989999999999995</v>
      </c>
      <c r="R779" s="15">
        <v>0</v>
      </c>
      <c r="S779" s="15">
        <v>0</v>
      </c>
      <c r="T779"/>
    </row>
    <row r="780" spans="1:20">
      <c r="A780" s="5" t="s">
        <v>36</v>
      </c>
      <c r="B780" s="5" t="s">
        <v>14107</v>
      </c>
      <c r="C780" s="4">
        <f>Controle_Pedidos[[#This Row],[Data Compra]]</f>
        <v>45669</v>
      </c>
      <c r="D780" s="4">
        <v>45669</v>
      </c>
      <c r="E780" s="5" t="s">
        <v>16194</v>
      </c>
      <c r="F780" s="5" t="s">
        <v>18183</v>
      </c>
      <c r="G780" s="5" t="s">
        <v>836</v>
      </c>
      <c r="H780" s="5">
        <v>1</v>
      </c>
      <c r="I780" s="8" t="s">
        <v>7933</v>
      </c>
      <c r="J780" s="8" t="s">
        <v>9982</v>
      </c>
      <c r="K780" s="8" t="s">
        <v>1779</v>
      </c>
      <c r="L780" s="8" t="s">
        <v>12033</v>
      </c>
      <c r="M780" s="8" t="s">
        <v>3829</v>
      </c>
      <c r="N780" s="8" t="s">
        <v>5880</v>
      </c>
      <c r="O780" s="5" t="s">
        <v>55</v>
      </c>
      <c r="P780" s="4">
        <v>45688</v>
      </c>
      <c r="Q780" s="15">
        <v>34.9</v>
      </c>
      <c r="R780" s="15">
        <v>14.8</v>
      </c>
      <c r="S780" s="15">
        <v>0</v>
      </c>
      <c r="T780"/>
    </row>
    <row r="781" spans="1:20">
      <c r="A781" s="5" t="s">
        <v>36</v>
      </c>
      <c r="B781" s="5" t="s">
        <v>14108</v>
      </c>
      <c r="C781" s="4">
        <f>Controle_Pedidos[[#This Row],[Data Compra]]</f>
        <v>45673</v>
      </c>
      <c r="D781" s="4">
        <v>45673</v>
      </c>
      <c r="E781" s="5" t="s">
        <v>16195</v>
      </c>
      <c r="F781" s="5" t="s">
        <v>18184</v>
      </c>
      <c r="G781" s="5" t="s">
        <v>849</v>
      </c>
      <c r="H781" s="5">
        <v>1</v>
      </c>
      <c r="I781" s="8" t="s">
        <v>7934</v>
      </c>
      <c r="J781" s="8" t="s">
        <v>9983</v>
      </c>
      <c r="K781" s="8" t="s">
        <v>1780</v>
      </c>
      <c r="L781" s="8" t="s">
        <v>12034</v>
      </c>
      <c r="M781" s="8" t="s">
        <v>3830</v>
      </c>
      <c r="N781" s="8" t="s">
        <v>5881</v>
      </c>
      <c r="O781" s="5" t="s">
        <v>61</v>
      </c>
      <c r="P781" s="4">
        <v>45694</v>
      </c>
      <c r="Q781" s="15">
        <v>66.989999999999995</v>
      </c>
      <c r="R781" s="15">
        <v>24.93</v>
      </c>
      <c r="S781" s="15">
        <v>0</v>
      </c>
      <c r="T781"/>
    </row>
    <row r="782" spans="1:20">
      <c r="A782" s="5" t="s">
        <v>36</v>
      </c>
      <c r="B782" s="5" t="s">
        <v>14109</v>
      </c>
      <c r="C782" s="4">
        <v>45669</v>
      </c>
      <c r="D782" s="4">
        <v>45673</v>
      </c>
      <c r="E782" s="5" t="s">
        <v>16196</v>
      </c>
      <c r="F782" s="5" t="s">
        <v>18185</v>
      </c>
      <c r="G782" s="5" t="s">
        <v>849</v>
      </c>
      <c r="H782" s="5">
        <v>1</v>
      </c>
      <c r="I782" s="8" t="s">
        <v>7935</v>
      </c>
      <c r="J782" s="8" t="s">
        <v>9984</v>
      </c>
      <c r="K782" s="8" t="s">
        <v>1781</v>
      </c>
      <c r="L782" s="8" t="s">
        <v>12035</v>
      </c>
      <c r="M782" s="8" t="s">
        <v>3831</v>
      </c>
      <c r="N782" s="8" t="s">
        <v>5882</v>
      </c>
      <c r="O782" s="5" t="s">
        <v>61</v>
      </c>
      <c r="P782" s="4">
        <v>45694</v>
      </c>
      <c r="Q782" s="15">
        <v>66.989999999999995</v>
      </c>
      <c r="R782" s="15">
        <v>24.93</v>
      </c>
      <c r="S782" s="15">
        <v>0</v>
      </c>
      <c r="T782"/>
    </row>
    <row r="783" spans="1:20">
      <c r="A783" s="5" t="s">
        <v>36</v>
      </c>
      <c r="B783" s="5" t="s">
        <v>14110</v>
      </c>
      <c r="C783" s="4">
        <v>45669</v>
      </c>
      <c r="D783" s="4">
        <v>45673</v>
      </c>
      <c r="E783" s="5" t="s">
        <v>16197</v>
      </c>
      <c r="F783" s="5" t="s">
        <v>18186</v>
      </c>
      <c r="G783" s="5" t="s">
        <v>849</v>
      </c>
      <c r="H783" s="5">
        <v>1</v>
      </c>
      <c r="I783" s="8" t="s">
        <v>7936</v>
      </c>
      <c r="J783" s="8" t="s">
        <v>9985</v>
      </c>
      <c r="K783" s="8" t="s">
        <v>1782</v>
      </c>
      <c r="L783" s="8" t="s">
        <v>12036</v>
      </c>
      <c r="M783" s="8" t="s">
        <v>3832</v>
      </c>
      <c r="N783" s="8" t="s">
        <v>5883</v>
      </c>
      <c r="O783" s="5" t="s">
        <v>61</v>
      </c>
      <c r="P783" s="4">
        <v>45688</v>
      </c>
      <c r="Q783" s="15">
        <v>66.989999999999995</v>
      </c>
      <c r="R783" s="15">
        <v>0</v>
      </c>
      <c r="S783" s="15">
        <v>0</v>
      </c>
      <c r="T783"/>
    </row>
    <row r="784" spans="1:20">
      <c r="A784" s="5" t="s">
        <v>36</v>
      </c>
      <c r="B784" s="5" t="s">
        <v>14111</v>
      </c>
      <c r="C784" s="4">
        <v>45669</v>
      </c>
      <c r="D784" s="4">
        <v>45673</v>
      </c>
      <c r="E784" s="5" t="s">
        <v>16198</v>
      </c>
      <c r="F784" s="5" t="s">
        <v>18187</v>
      </c>
      <c r="G784" s="5" t="s">
        <v>845</v>
      </c>
      <c r="H784" s="5">
        <v>1</v>
      </c>
      <c r="I784" s="8" t="s">
        <v>7937</v>
      </c>
      <c r="J784" s="8" t="s">
        <v>9986</v>
      </c>
      <c r="K784" s="8" t="s">
        <v>1783</v>
      </c>
      <c r="L784" s="8" t="s">
        <v>12037</v>
      </c>
      <c r="M784" s="8" t="s">
        <v>3833</v>
      </c>
      <c r="N784" s="8" t="s">
        <v>5884</v>
      </c>
      <c r="O784" s="5" t="s">
        <v>67</v>
      </c>
      <c r="P784" s="4">
        <v>45701</v>
      </c>
      <c r="Q784" s="15">
        <v>66.989999999999995</v>
      </c>
      <c r="R784" s="15">
        <v>24.93</v>
      </c>
      <c r="S784" s="15">
        <v>0</v>
      </c>
      <c r="T784"/>
    </row>
    <row r="785" spans="1:20">
      <c r="A785" s="5" t="s">
        <v>36</v>
      </c>
      <c r="B785" s="5" t="s">
        <v>14112</v>
      </c>
      <c r="C785" s="4">
        <v>45669</v>
      </c>
      <c r="D785" s="4">
        <v>45673</v>
      </c>
      <c r="E785" s="5" t="s">
        <v>16199</v>
      </c>
      <c r="F785" s="5" t="s">
        <v>18188</v>
      </c>
      <c r="G785" s="5" t="s">
        <v>831</v>
      </c>
      <c r="H785" s="5">
        <v>1</v>
      </c>
      <c r="I785" s="8" t="s">
        <v>7938</v>
      </c>
      <c r="J785" s="8" t="s">
        <v>9987</v>
      </c>
      <c r="K785" s="8" t="s">
        <v>1784</v>
      </c>
      <c r="L785" s="8" t="s">
        <v>12038</v>
      </c>
      <c r="M785" s="8" t="s">
        <v>3834</v>
      </c>
      <c r="N785" s="8" t="s">
        <v>5885</v>
      </c>
      <c r="O785" s="5" t="s">
        <v>41</v>
      </c>
      <c r="P785" s="4">
        <v>45688</v>
      </c>
      <c r="Q785" s="15">
        <v>66.989999999999995</v>
      </c>
      <c r="R785" s="15">
        <v>24.8</v>
      </c>
      <c r="S785" s="15">
        <v>0</v>
      </c>
      <c r="T785"/>
    </row>
    <row r="786" spans="1:20">
      <c r="A786" s="5" t="s">
        <v>36</v>
      </c>
      <c r="B786" s="5" t="s">
        <v>14113</v>
      </c>
      <c r="C786" s="4">
        <v>45670</v>
      </c>
      <c r="D786" s="4">
        <v>45673</v>
      </c>
      <c r="E786" s="5" t="s">
        <v>16200</v>
      </c>
      <c r="F786" s="5" t="s">
        <v>18189</v>
      </c>
      <c r="G786" s="5" t="s">
        <v>845</v>
      </c>
      <c r="H786" s="5">
        <v>1</v>
      </c>
      <c r="I786" s="8" t="s">
        <v>7939</v>
      </c>
      <c r="J786" s="8" t="s">
        <v>9988</v>
      </c>
      <c r="K786" s="8" t="s">
        <v>1785</v>
      </c>
      <c r="L786" s="8" t="s">
        <v>12039</v>
      </c>
      <c r="M786" s="8" t="s">
        <v>3835</v>
      </c>
      <c r="N786" s="8" t="s">
        <v>5886</v>
      </c>
      <c r="O786" s="5" t="s">
        <v>67</v>
      </c>
      <c r="P786" s="4">
        <v>45688</v>
      </c>
      <c r="Q786" s="15">
        <v>66.989999999999995</v>
      </c>
      <c r="R786" s="15">
        <v>24.93</v>
      </c>
      <c r="S786" s="15">
        <v>0</v>
      </c>
      <c r="T786"/>
    </row>
    <row r="787" spans="1:20">
      <c r="A787" s="5" t="s">
        <v>36</v>
      </c>
      <c r="B787" s="5" t="s">
        <v>14114</v>
      </c>
      <c r="C787" s="4">
        <v>45670</v>
      </c>
      <c r="D787" s="4">
        <v>45673</v>
      </c>
      <c r="E787" s="5" t="s">
        <v>16201</v>
      </c>
      <c r="F787" s="5" t="s">
        <v>18190</v>
      </c>
      <c r="G787" s="5" t="s">
        <v>817</v>
      </c>
      <c r="H787" s="5">
        <v>1</v>
      </c>
      <c r="I787" s="8" t="s">
        <v>7940</v>
      </c>
      <c r="J787" s="8" t="s">
        <v>9989</v>
      </c>
      <c r="K787" s="8" t="s">
        <v>1786</v>
      </c>
      <c r="L787" s="8" t="s">
        <v>12040</v>
      </c>
      <c r="M787" s="8" t="s">
        <v>3836</v>
      </c>
      <c r="N787" s="8" t="s">
        <v>5887</v>
      </c>
      <c r="O787" s="5" t="s">
        <v>39</v>
      </c>
      <c r="P787" s="4">
        <v>45689</v>
      </c>
      <c r="Q787" s="15">
        <v>35.99</v>
      </c>
      <c r="R787" s="15">
        <v>19.989999999999998</v>
      </c>
      <c r="S787" s="15">
        <v>0</v>
      </c>
      <c r="T787"/>
    </row>
    <row r="788" spans="1:20">
      <c r="A788" s="5" t="s">
        <v>36</v>
      </c>
      <c r="B788" s="5" t="s">
        <v>14115</v>
      </c>
      <c r="C788" s="4">
        <v>45670</v>
      </c>
      <c r="D788" s="4">
        <v>45673</v>
      </c>
      <c r="E788" s="5" t="s">
        <v>16202</v>
      </c>
      <c r="F788" s="5" t="s">
        <v>18191</v>
      </c>
      <c r="G788" s="5" t="s">
        <v>849</v>
      </c>
      <c r="H788" s="5">
        <v>1</v>
      </c>
      <c r="I788" s="8" t="s">
        <v>7941</v>
      </c>
      <c r="J788" s="8" t="s">
        <v>9990</v>
      </c>
      <c r="K788" s="8" t="s">
        <v>1787</v>
      </c>
      <c r="L788" s="8" t="s">
        <v>12041</v>
      </c>
      <c r="M788" s="8" t="s">
        <v>3837</v>
      </c>
      <c r="N788" s="8" t="s">
        <v>5888</v>
      </c>
      <c r="O788" s="5" t="s">
        <v>61</v>
      </c>
      <c r="P788" s="4">
        <v>45695</v>
      </c>
      <c r="Q788" s="15">
        <v>66.989999999999995</v>
      </c>
      <c r="R788" s="15">
        <v>24.93</v>
      </c>
      <c r="S788" s="15">
        <v>0</v>
      </c>
      <c r="T788"/>
    </row>
    <row r="789" spans="1:20">
      <c r="A789" s="5" t="s">
        <v>36</v>
      </c>
      <c r="B789" s="5" t="s">
        <v>14116</v>
      </c>
      <c r="C789" s="4">
        <v>45670</v>
      </c>
      <c r="D789" s="4">
        <v>45673</v>
      </c>
      <c r="E789" s="5" t="s">
        <v>16203</v>
      </c>
      <c r="F789" s="5" t="s">
        <v>18192</v>
      </c>
      <c r="G789" s="5" t="s">
        <v>845</v>
      </c>
      <c r="H789" s="5">
        <v>1</v>
      </c>
      <c r="I789" s="8" t="s">
        <v>7942</v>
      </c>
      <c r="J789" s="8" t="s">
        <v>9991</v>
      </c>
      <c r="K789" s="8" t="s">
        <v>1788</v>
      </c>
      <c r="L789" s="8" t="s">
        <v>12042</v>
      </c>
      <c r="M789" s="8" t="s">
        <v>3838</v>
      </c>
      <c r="N789" s="8" t="s">
        <v>5889</v>
      </c>
      <c r="O789" s="5" t="s">
        <v>67</v>
      </c>
      <c r="P789" s="4">
        <v>45702</v>
      </c>
      <c r="Q789" s="15">
        <v>66.989999999999995</v>
      </c>
      <c r="R789" s="15">
        <v>24.93</v>
      </c>
      <c r="S789" s="15">
        <v>0</v>
      </c>
      <c r="T789"/>
    </row>
    <row r="790" spans="1:20">
      <c r="A790" s="5" t="s">
        <v>36</v>
      </c>
      <c r="B790" s="5" t="s">
        <v>14117</v>
      </c>
      <c r="C790" s="4">
        <v>45670</v>
      </c>
      <c r="D790" s="4">
        <v>45673</v>
      </c>
      <c r="E790" s="5" t="s">
        <v>16204</v>
      </c>
      <c r="F790" s="5" t="s">
        <v>18193</v>
      </c>
      <c r="G790" s="5" t="s">
        <v>848</v>
      </c>
      <c r="H790" s="5">
        <v>1</v>
      </c>
      <c r="I790" s="8" t="s">
        <v>7943</v>
      </c>
      <c r="J790" s="8" t="s">
        <v>9992</v>
      </c>
      <c r="K790" s="8" t="s">
        <v>1789</v>
      </c>
      <c r="L790" s="8" t="s">
        <v>12043</v>
      </c>
      <c r="M790" s="8" t="s">
        <v>3839</v>
      </c>
      <c r="N790" s="8" t="s">
        <v>5890</v>
      </c>
      <c r="O790" s="5" t="s">
        <v>76</v>
      </c>
      <c r="P790" s="4">
        <v>45695</v>
      </c>
      <c r="Q790" s="15">
        <v>75.989999999999995</v>
      </c>
      <c r="R790" s="15">
        <v>39.97</v>
      </c>
      <c r="S790" s="15">
        <v>0</v>
      </c>
      <c r="T790"/>
    </row>
    <row r="791" spans="1:20">
      <c r="A791" s="5" t="s">
        <v>36</v>
      </c>
      <c r="B791" s="5" t="s">
        <v>14118</v>
      </c>
      <c r="C791" s="4">
        <v>45671</v>
      </c>
      <c r="D791" s="4">
        <v>45677</v>
      </c>
      <c r="E791" s="5" t="s">
        <v>16205</v>
      </c>
      <c r="F791" s="5" t="s">
        <v>18194</v>
      </c>
      <c r="G791" s="5" t="s">
        <v>845</v>
      </c>
      <c r="H791" s="5">
        <v>1</v>
      </c>
      <c r="I791" s="8" t="s">
        <v>7944</v>
      </c>
      <c r="J791" s="8" t="s">
        <v>9993</v>
      </c>
      <c r="K791" s="8" t="s">
        <v>1790</v>
      </c>
      <c r="L791" s="8" t="s">
        <v>12044</v>
      </c>
      <c r="M791" s="8" t="s">
        <v>3840</v>
      </c>
      <c r="N791" s="8" t="s">
        <v>5891</v>
      </c>
      <c r="O791" s="5" t="s">
        <v>67</v>
      </c>
      <c r="P791" s="4">
        <v>45695</v>
      </c>
      <c r="Q791" s="15">
        <v>66.989999999999995</v>
      </c>
      <c r="R791" s="15">
        <v>19.649999999999999</v>
      </c>
      <c r="S791" s="15">
        <v>0</v>
      </c>
      <c r="T791"/>
    </row>
    <row r="792" spans="1:20">
      <c r="A792" s="5" t="s">
        <v>36</v>
      </c>
      <c r="B792" s="5" t="s">
        <v>14119</v>
      </c>
      <c r="C792" s="4">
        <v>45671</v>
      </c>
      <c r="D792" s="4">
        <v>45673</v>
      </c>
      <c r="E792" s="5" t="s">
        <v>16206</v>
      </c>
      <c r="F792" s="5" t="s">
        <v>18195</v>
      </c>
      <c r="G792" s="5" t="s">
        <v>836</v>
      </c>
      <c r="H792" s="5">
        <v>1</v>
      </c>
      <c r="I792" s="8" t="s">
        <v>7945</v>
      </c>
      <c r="J792" s="8" t="s">
        <v>9994</v>
      </c>
      <c r="K792" s="8" t="s">
        <v>1791</v>
      </c>
      <c r="L792" s="8" t="s">
        <v>12045</v>
      </c>
      <c r="M792" s="8" t="s">
        <v>3841</v>
      </c>
      <c r="N792" s="8" t="s">
        <v>5892</v>
      </c>
      <c r="O792" s="5" t="s">
        <v>55</v>
      </c>
      <c r="P792" s="4">
        <v>45692</v>
      </c>
      <c r="Q792" s="15">
        <v>34.9</v>
      </c>
      <c r="R792" s="15">
        <v>18.8</v>
      </c>
      <c r="S792" s="15">
        <v>0</v>
      </c>
      <c r="T792"/>
    </row>
    <row r="793" spans="1:20">
      <c r="A793" s="5" t="s">
        <v>36</v>
      </c>
      <c r="B793" s="5" t="s">
        <v>14120</v>
      </c>
      <c r="C793" s="4">
        <v>45671</v>
      </c>
      <c r="D793" s="4">
        <v>45677</v>
      </c>
      <c r="E793" s="5" t="s">
        <v>16207</v>
      </c>
      <c r="F793" s="5" t="s">
        <v>18196</v>
      </c>
      <c r="G793" s="5" t="s">
        <v>845</v>
      </c>
      <c r="H793" s="5">
        <v>1</v>
      </c>
      <c r="I793" s="8" t="s">
        <v>7946</v>
      </c>
      <c r="J793" s="8" t="s">
        <v>9995</v>
      </c>
      <c r="K793" s="8" t="s">
        <v>1792</v>
      </c>
      <c r="L793" s="8" t="s">
        <v>12046</v>
      </c>
      <c r="M793" s="8" t="s">
        <v>3842</v>
      </c>
      <c r="N793" s="8" t="s">
        <v>5893</v>
      </c>
      <c r="O793" s="5" t="s">
        <v>67</v>
      </c>
      <c r="P793" s="4">
        <v>45696</v>
      </c>
      <c r="Q793" s="15">
        <v>66.989999999999995</v>
      </c>
      <c r="R793" s="15">
        <v>19.649999999999999</v>
      </c>
      <c r="S793" s="15">
        <v>0</v>
      </c>
      <c r="T793"/>
    </row>
    <row r="794" spans="1:20">
      <c r="A794" s="5" t="s">
        <v>36</v>
      </c>
      <c r="B794" s="5" t="s">
        <v>14121</v>
      </c>
      <c r="C794" s="4">
        <v>45671</v>
      </c>
      <c r="D794" s="4">
        <v>45677</v>
      </c>
      <c r="E794" s="5" t="s">
        <v>16208</v>
      </c>
      <c r="F794" s="5" t="s">
        <v>18197</v>
      </c>
      <c r="G794" s="5" t="s">
        <v>845</v>
      </c>
      <c r="H794" s="5">
        <v>1</v>
      </c>
      <c r="I794" s="8" t="s">
        <v>7947</v>
      </c>
      <c r="J794" s="8" t="s">
        <v>9996</v>
      </c>
      <c r="K794" s="8" t="s">
        <v>1793</v>
      </c>
      <c r="L794" s="8" t="s">
        <v>12047</v>
      </c>
      <c r="M794" s="8" t="s">
        <v>3843</v>
      </c>
      <c r="N794" s="8" t="s">
        <v>5894</v>
      </c>
      <c r="O794" s="5" t="s">
        <v>67</v>
      </c>
      <c r="P794" s="4">
        <v>45696</v>
      </c>
      <c r="Q794" s="15">
        <v>66.989999999999995</v>
      </c>
      <c r="R794" s="15">
        <v>19.649999999999999</v>
      </c>
      <c r="S794" s="15">
        <v>0</v>
      </c>
      <c r="T794"/>
    </row>
    <row r="795" spans="1:20">
      <c r="A795" s="5" t="s">
        <v>36</v>
      </c>
      <c r="B795" s="5" t="s">
        <v>14122</v>
      </c>
      <c r="C795" s="4">
        <v>45672</v>
      </c>
      <c r="D795" s="4">
        <v>45677</v>
      </c>
      <c r="E795" s="5" t="s">
        <v>16209</v>
      </c>
      <c r="F795" s="5" t="s">
        <v>18198</v>
      </c>
      <c r="G795" s="5" t="s">
        <v>855</v>
      </c>
      <c r="H795" s="5">
        <v>1</v>
      </c>
      <c r="I795" s="8" t="s">
        <v>7948</v>
      </c>
      <c r="J795" s="8" t="s">
        <v>9997</v>
      </c>
      <c r="K795" s="8" t="s">
        <v>1794</v>
      </c>
      <c r="L795" s="8" t="s">
        <v>12048</v>
      </c>
      <c r="M795" s="8" t="s">
        <v>3844</v>
      </c>
      <c r="N795" s="8" t="s">
        <v>5895</v>
      </c>
      <c r="O795" s="5" t="s">
        <v>81</v>
      </c>
      <c r="P795" s="4">
        <v>45686</v>
      </c>
      <c r="Q795" s="15">
        <v>33.99</v>
      </c>
      <c r="R795" s="15">
        <v>15.4</v>
      </c>
      <c r="S795" s="15">
        <v>0</v>
      </c>
      <c r="T795"/>
    </row>
    <row r="796" spans="1:20">
      <c r="A796" s="5" t="s">
        <v>36</v>
      </c>
      <c r="B796" s="5" t="s">
        <v>14123</v>
      </c>
      <c r="C796" s="4">
        <v>45672</v>
      </c>
      <c r="D796" s="4">
        <v>45677</v>
      </c>
      <c r="E796" s="5" t="s">
        <v>16210</v>
      </c>
      <c r="F796" s="5" t="s">
        <v>18199</v>
      </c>
      <c r="G796" s="5" t="s">
        <v>849</v>
      </c>
      <c r="H796" s="5">
        <v>1</v>
      </c>
      <c r="I796" s="8" t="s">
        <v>7949</v>
      </c>
      <c r="J796" s="8" t="s">
        <v>9998</v>
      </c>
      <c r="K796" s="8" t="s">
        <v>1795</v>
      </c>
      <c r="L796" s="8" t="s">
        <v>12049</v>
      </c>
      <c r="M796" s="8" t="s">
        <v>3845</v>
      </c>
      <c r="N796" s="8" t="s">
        <v>5896</v>
      </c>
      <c r="O796" s="5" t="s">
        <v>61</v>
      </c>
      <c r="P796" s="4">
        <v>45699</v>
      </c>
      <c r="Q796" s="15">
        <v>66.989999999999995</v>
      </c>
      <c r="R796" s="15">
        <v>14.15</v>
      </c>
      <c r="S796" s="15">
        <v>0</v>
      </c>
      <c r="T796"/>
    </row>
    <row r="797" spans="1:20">
      <c r="A797" s="5" t="s">
        <v>36</v>
      </c>
      <c r="B797" s="5" t="s">
        <v>14124</v>
      </c>
      <c r="C797" s="4">
        <v>45672</v>
      </c>
      <c r="D797" s="4">
        <v>45677</v>
      </c>
      <c r="E797" s="5" t="s">
        <v>16211</v>
      </c>
      <c r="F797" s="5" t="s">
        <v>18200</v>
      </c>
      <c r="G797" s="5" t="s">
        <v>849</v>
      </c>
      <c r="H797" s="5">
        <v>1</v>
      </c>
      <c r="I797" s="8" t="s">
        <v>7950</v>
      </c>
      <c r="J797" s="8" t="s">
        <v>9999</v>
      </c>
      <c r="K797" s="8" t="s">
        <v>1796</v>
      </c>
      <c r="L797" s="8" t="s">
        <v>12050</v>
      </c>
      <c r="M797" s="8" t="s">
        <v>3846</v>
      </c>
      <c r="N797" s="8" t="s">
        <v>5897</v>
      </c>
      <c r="O797" s="5" t="s">
        <v>61</v>
      </c>
      <c r="P797" s="4">
        <v>45693</v>
      </c>
      <c r="Q797" s="15">
        <v>66.989999999999995</v>
      </c>
      <c r="R797" s="15">
        <v>14.15</v>
      </c>
      <c r="S797" s="15">
        <v>0</v>
      </c>
      <c r="T797"/>
    </row>
    <row r="798" spans="1:20">
      <c r="A798" s="5" t="s">
        <v>36</v>
      </c>
      <c r="B798" s="5" t="s">
        <v>14125</v>
      </c>
      <c r="C798" s="4">
        <v>45672</v>
      </c>
      <c r="D798" s="4">
        <v>45677</v>
      </c>
      <c r="E798" s="5" t="s">
        <v>16212</v>
      </c>
      <c r="F798" s="5" t="s">
        <v>18201</v>
      </c>
      <c r="G798" s="5" t="s">
        <v>817</v>
      </c>
      <c r="H798" s="5">
        <v>1</v>
      </c>
      <c r="I798" s="8" t="s">
        <v>7951</v>
      </c>
      <c r="J798" s="8" t="s">
        <v>10000</v>
      </c>
      <c r="K798" s="8" t="s">
        <v>1797</v>
      </c>
      <c r="L798" s="8" t="s">
        <v>12051</v>
      </c>
      <c r="M798" s="8" t="s">
        <v>3847</v>
      </c>
      <c r="N798" s="8" t="s">
        <v>5898</v>
      </c>
      <c r="O798" s="5" t="s">
        <v>39</v>
      </c>
      <c r="P798" s="4">
        <v>45693</v>
      </c>
      <c r="Q798" s="15">
        <v>35.99</v>
      </c>
      <c r="R798" s="15">
        <v>15.99</v>
      </c>
      <c r="S798" s="15">
        <v>0</v>
      </c>
      <c r="T798"/>
    </row>
    <row r="799" spans="1:20">
      <c r="A799" s="5" t="s">
        <v>36</v>
      </c>
      <c r="B799" s="5" t="s">
        <v>14126</v>
      </c>
      <c r="C799" s="4">
        <v>45673</v>
      </c>
      <c r="D799" s="4">
        <v>45677</v>
      </c>
      <c r="E799" s="5" t="s">
        <v>16213</v>
      </c>
      <c r="F799" s="5" t="s">
        <v>18202</v>
      </c>
      <c r="G799" s="5" t="s">
        <v>849</v>
      </c>
      <c r="H799" s="5">
        <v>1</v>
      </c>
      <c r="I799" s="8" t="s">
        <v>7952</v>
      </c>
      <c r="J799" s="8" t="s">
        <v>10001</v>
      </c>
      <c r="K799" s="8" t="s">
        <v>1798</v>
      </c>
      <c r="L799" s="8" t="s">
        <v>12052</v>
      </c>
      <c r="M799" s="8" t="s">
        <v>3848</v>
      </c>
      <c r="N799" s="8" t="s">
        <v>5899</v>
      </c>
      <c r="O799" s="5" t="s">
        <v>61</v>
      </c>
      <c r="P799" s="4">
        <v>45694</v>
      </c>
      <c r="Q799" s="15">
        <v>66.989999999999995</v>
      </c>
      <c r="R799" s="15">
        <v>14.15</v>
      </c>
      <c r="S799" s="15">
        <v>0</v>
      </c>
      <c r="T799"/>
    </row>
    <row r="800" spans="1:20">
      <c r="A800" s="5" t="s">
        <v>36</v>
      </c>
      <c r="B800" s="5" t="s">
        <v>14127</v>
      </c>
      <c r="C800" s="4">
        <v>45673</v>
      </c>
      <c r="D800" s="4">
        <v>45677</v>
      </c>
      <c r="E800" s="5" t="s">
        <v>16214</v>
      </c>
      <c r="F800" s="5" t="s">
        <v>18203</v>
      </c>
      <c r="G800" s="5" t="s">
        <v>855</v>
      </c>
      <c r="H800" s="5">
        <v>1</v>
      </c>
      <c r="I800" s="8" t="s">
        <v>7953</v>
      </c>
      <c r="J800" s="8" t="s">
        <v>10002</v>
      </c>
      <c r="K800" s="8" t="s">
        <v>1799</v>
      </c>
      <c r="L800" s="8" t="s">
        <v>12053</v>
      </c>
      <c r="M800" s="8" t="s">
        <v>3849</v>
      </c>
      <c r="N800" s="8" t="s">
        <v>5900</v>
      </c>
      <c r="O800" s="5" t="s">
        <v>81</v>
      </c>
      <c r="P800" s="4">
        <v>45692</v>
      </c>
      <c r="Q800" s="15">
        <v>34.99</v>
      </c>
      <c r="R800" s="15">
        <v>15.4</v>
      </c>
      <c r="S800" s="15">
        <v>0</v>
      </c>
      <c r="T800"/>
    </row>
    <row r="801" spans="1:20">
      <c r="A801" s="5" t="s">
        <v>36</v>
      </c>
      <c r="B801" s="5" t="s">
        <v>14128</v>
      </c>
      <c r="C801" s="4">
        <v>45674</v>
      </c>
      <c r="D801" s="4">
        <v>45677</v>
      </c>
      <c r="E801" s="5" t="s">
        <v>16215</v>
      </c>
      <c r="F801" s="5" t="s">
        <v>18204</v>
      </c>
      <c r="G801" s="5" t="s">
        <v>817</v>
      </c>
      <c r="H801" s="5">
        <v>1</v>
      </c>
      <c r="I801" s="8" t="s">
        <v>7954</v>
      </c>
      <c r="J801" s="8" t="s">
        <v>10003</v>
      </c>
      <c r="K801" s="8" t="s">
        <v>1800</v>
      </c>
      <c r="L801" s="8" t="s">
        <v>12054</v>
      </c>
      <c r="M801" s="8" t="s">
        <v>3850</v>
      </c>
      <c r="N801" s="8" t="s">
        <v>5901</v>
      </c>
      <c r="O801" s="5" t="s">
        <v>39</v>
      </c>
      <c r="P801" s="4">
        <v>45694</v>
      </c>
      <c r="Q801" s="15">
        <v>35.99</v>
      </c>
      <c r="R801" s="15">
        <v>15.99</v>
      </c>
      <c r="S801" s="15">
        <v>0</v>
      </c>
      <c r="T801"/>
    </row>
    <row r="802" spans="1:20">
      <c r="A802" s="5" t="s">
        <v>36</v>
      </c>
      <c r="B802" s="5" t="s">
        <v>14129</v>
      </c>
      <c r="C802" s="4">
        <v>45674</v>
      </c>
      <c r="D802" s="4">
        <v>45677</v>
      </c>
      <c r="E802" s="5" t="s">
        <v>16216</v>
      </c>
      <c r="F802" s="5" t="s">
        <v>18205</v>
      </c>
      <c r="G802" s="5" t="s">
        <v>849</v>
      </c>
      <c r="H802" s="5">
        <v>1</v>
      </c>
      <c r="I802" s="8" t="s">
        <v>7955</v>
      </c>
      <c r="J802" s="8" t="s">
        <v>10004</v>
      </c>
      <c r="K802" s="8" t="s">
        <v>1801</v>
      </c>
      <c r="L802" s="8" t="s">
        <v>12055</v>
      </c>
      <c r="M802" s="8" t="s">
        <v>3851</v>
      </c>
      <c r="N802" s="8" t="s">
        <v>5902</v>
      </c>
      <c r="O802" s="5" t="s">
        <v>61</v>
      </c>
      <c r="P802" s="4">
        <v>45708</v>
      </c>
      <c r="Q802" s="15">
        <v>66.989999999999995</v>
      </c>
      <c r="R802" s="15">
        <v>14.15</v>
      </c>
      <c r="S802" s="15">
        <v>0</v>
      </c>
      <c r="T802"/>
    </row>
    <row r="803" spans="1:20">
      <c r="A803" s="5" t="s">
        <v>36</v>
      </c>
      <c r="B803" s="5" t="s">
        <v>14130</v>
      </c>
      <c r="C803" s="4">
        <v>45674</v>
      </c>
      <c r="D803" s="4">
        <v>45677</v>
      </c>
      <c r="E803" s="5" t="s">
        <v>16217</v>
      </c>
      <c r="F803" s="5" t="s">
        <v>18206</v>
      </c>
      <c r="G803" s="5" t="s">
        <v>817</v>
      </c>
      <c r="H803" s="5">
        <v>1</v>
      </c>
      <c r="I803" s="8" t="s">
        <v>7956</v>
      </c>
      <c r="J803" s="8" t="s">
        <v>10005</v>
      </c>
      <c r="K803" s="8" t="s">
        <v>1802</v>
      </c>
      <c r="L803" s="8" t="s">
        <v>12056</v>
      </c>
      <c r="M803" s="8" t="s">
        <v>3852</v>
      </c>
      <c r="N803" s="8" t="s">
        <v>5903</v>
      </c>
      <c r="O803" s="5" t="s">
        <v>39</v>
      </c>
      <c r="P803" s="4">
        <v>45701</v>
      </c>
      <c r="Q803" s="15">
        <v>35.99</v>
      </c>
      <c r="R803" s="15">
        <v>15.99</v>
      </c>
      <c r="S803" s="15">
        <v>0</v>
      </c>
      <c r="T803"/>
    </row>
    <row r="804" spans="1:20">
      <c r="A804" s="5" t="s">
        <v>36</v>
      </c>
      <c r="B804" s="5" t="s">
        <v>14131</v>
      </c>
      <c r="C804" s="4">
        <v>45675</v>
      </c>
      <c r="D804" s="4">
        <v>45677</v>
      </c>
      <c r="E804" s="5" t="s">
        <v>16218</v>
      </c>
      <c r="F804" s="5" t="s">
        <v>18207</v>
      </c>
      <c r="G804" s="5" t="s">
        <v>849</v>
      </c>
      <c r="H804" s="5">
        <v>1</v>
      </c>
      <c r="I804" s="8" t="s">
        <v>7957</v>
      </c>
      <c r="J804" s="8" t="s">
        <v>10006</v>
      </c>
      <c r="K804" s="8" t="s">
        <v>1803</v>
      </c>
      <c r="L804" s="8" t="s">
        <v>12057</v>
      </c>
      <c r="M804" s="8" t="s">
        <v>3853</v>
      </c>
      <c r="N804" s="8" t="s">
        <v>5904</v>
      </c>
      <c r="O804" s="5" t="s">
        <v>61</v>
      </c>
      <c r="P804" s="4">
        <v>45695</v>
      </c>
      <c r="Q804" s="15">
        <v>66.989999999999995</v>
      </c>
      <c r="R804" s="15">
        <v>14.15</v>
      </c>
      <c r="S804" s="15">
        <v>0</v>
      </c>
      <c r="T804"/>
    </row>
    <row r="805" spans="1:20">
      <c r="A805" s="5" t="s">
        <v>36</v>
      </c>
      <c r="B805" s="5" t="s">
        <v>14132</v>
      </c>
      <c r="C805" s="4">
        <v>45675</v>
      </c>
      <c r="D805" s="4">
        <v>45677</v>
      </c>
      <c r="E805" s="5" t="s">
        <v>16219</v>
      </c>
      <c r="F805" s="5" t="s">
        <v>18208</v>
      </c>
      <c r="G805" s="5" t="s">
        <v>849</v>
      </c>
      <c r="H805" s="5">
        <v>1</v>
      </c>
      <c r="I805" s="8" t="s">
        <v>7958</v>
      </c>
      <c r="J805" s="8" t="s">
        <v>10007</v>
      </c>
      <c r="K805" s="8" t="s">
        <v>1804</v>
      </c>
      <c r="L805" s="8" t="s">
        <v>12058</v>
      </c>
      <c r="M805" s="8" t="s">
        <v>3854</v>
      </c>
      <c r="N805" s="8" t="s">
        <v>5905</v>
      </c>
      <c r="O805" s="5" t="s">
        <v>61</v>
      </c>
      <c r="P805" s="4">
        <v>45701</v>
      </c>
      <c r="Q805" s="15">
        <v>66.989999999999995</v>
      </c>
      <c r="R805" s="15">
        <v>14.15</v>
      </c>
      <c r="S805" s="15">
        <v>0</v>
      </c>
      <c r="T805"/>
    </row>
    <row r="806" spans="1:20">
      <c r="A806" s="5" t="s">
        <v>36</v>
      </c>
      <c r="B806" s="5" t="s">
        <v>14133</v>
      </c>
      <c r="C806" s="4">
        <v>45675</v>
      </c>
      <c r="D806" s="4">
        <v>45677</v>
      </c>
      <c r="E806" s="5" t="s">
        <v>16220</v>
      </c>
      <c r="F806" s="5" t="s">
        <v>18209</v>
      </c>
      <c r="G806" s="5" t="s">
        <v>849</v>
      </c>
      <c r="H806" s="5">
        <v>1</v>
      </c>
      <c r="I806" s="8" t="s">
        <v>7959</v>
      </c>
      <c r="J806" s="8" t="s">
        <v>10008</v>
      </c>
      <c r="K806" s="8" t="s">
        <v>1805</v>
      </c>
      <c r="L806" s="8" t="s">
        <v>12059</v>
      </c>
      <c r="M806" s="8" t="s">
        <v>3855</v>
      </c>
      <c r="N806" s="8" t="s">
        <v>5906</v>
      </c>
      <c r="O806" s="5" t="s">
        <v>61</v>
      </c>
      <c r="P806" s="4">
        <v>45695</v>
      </c>
      <c r="Q806" s="15">
        <v>66.989999999999995</v>
      </c>
      <c r="R806" s="15">
        <v>14.15</v>
      </c>
      <c r="S806" s="15">
        <v>0</v>
      </c>
      <c r="T806"/>
    </row>
    <row r="807" spans="1:20">
      <c r="A807" s="5" t="s">
        <v>36</v>
      </c>
      <c r="B807" s="5" t="s">
        <v>14134</v>
      </c>
      <c r="C807" s="4">
        <v>45675</v>
      </c>
      <c r="D807" s="4">
        <v>45678</v>
      </c>
      <c r="E807" s="5" t="s">
        <v>16221</v>
      </c>
      <c r="F807" s="5" t="s">
        <v>18210</v>
      </c>
      <c r="G807" s="5" t="s">
        <v>849</v>
      </c>
      <c r="H807" s="5">
        <v>1</v>
      </c>
      <c r="I807" s="8" t="s">
        <v>7959</v>
      </c>
      <c r="J807" s="8" t="s">
        <v>10008</v>
      </c>
      <c r="K807" s="8" t="s">
        <v>1805</v>
      </c>
      <c r="L807" s="8" t="s">
        <v>12059</v>
      </c>
      <c r="M807" s="8" t="s">
        <v>3855</v>
      </c>
      <c r="N807" s="8" t="s">
        <v>5906</v>
      </c>
      <c r="O807" s="5" t="s">
        <v>61</v>
      </c>
      <c r="P807" s="4">
        <v>45695</v>
      </c>
      <c r="Q807" s="15">
        <v>66.989999999999995</v>
      </c>
      <c r="R807" s="15">
        <v>14.11</v>
      </c>
      <c r="S807" s="15">
        <v>0</v>
      </c>
      <c r="T807"/>
    </row>
    <row r="808" spans="1:20">
      <c r="A808" s="5" t="s">
        <v>36</v>
      </c>
      <c r="B808" s="5" t="s">
        <v>14135</v>
      </c>
      <c r="C808" s="4">
        <v>45675</v>
      </c>
      <c r="D808" s="4">
        <v>45677</v>
      </c>
      <c r="E808" s="5" t="s">
        <v>16222</v>
      </c>
      <c r="F808" s="5" t="s">
        <v>18211</v>
      </c>
      <c r="G808" s="5" t="s">
        <v>849</v>
      </c>
      <c r="H808" s="5">
        <v>1</v>
      </c>
      <c r="I808" s="8" t="s">
        <v>7960</v>
      </c>
      <c r="J808" s="8" t="s">
        <v>10009</v>
      </c>
      <c r="K808" s="8" t="s">
        <v>1806</v>
      </c>
      <c r="L808" s="8" t="s">
        <v>12060</v>
      </c>
      <c r="M808" s="8" t="s">
        <v>3856</v>
      </c>
      <c r="N808" s="8" t="s">
        <v>5907</v>
      </c>
      <c r="O808" s="5" t="s">
        <v>61</v>
      </c>
      <c r="P808" s="4">
        <v>45695</v>
      </c>
      <c r="Q808" s="15">
        <v>66.989999999999995</v>
      </c>
      <c r="R808" s="15">
        <v>14.15</v>
      </c>
      <c r="S808" s="15">
        <v>0</v>
      </c>
      <c r="T808"/>
    </row>
    <row r="809" spans="1:20">
      <c r="A809" s="5" t="s">
        <v>36</v>
      </c>
      <c r="B809" s="5" t="s">
        <v>14136</v>
      </c>
      <c r="C809" s="4">
        <v>45675</v>
      </c>
      <c r="D809" s="4">
        <v>45677</v>
      </c>
      <c r="E809" s="5" t="s">
        <v>16223</v>
      </c>
      <c r="F809" s="5" t="s">
        <v>18212</v>
      </c>
      <c r="G809" s="5" t="s">
        <v>849</v>
      </c>
      <c r="H809" s="5">
        <v>1</v>
      </c>
      <c r="I809" s="8" t="s">
        <v>7961</v>
      </c>
      <c r="J809" s="8" t="s">
        <v>10010</v>
      </c>
      <c r="K809" s="8" t="s">
        <v>1807</v>
      </c>
      <c r="L809" s="8" t="s">
        <v>12061</v>
      </c>
      <c r="M809" s="8" t="s">
        <v>3857</v>
      </c>
      <c r="N809" s="8" t="s">
        <v>5908</v>
      </c>
      <c r="O809" s="5" t="s">
        <v>61</v>
      </c>
      <c r="P809" s="4">
        <v>45701</v>
      </c>
      <c r="Q809" s="15">
        <v>66.989999999999995</v>
      </c>
      <c r="R809" s="15">
        <v>14.15</v>
      </c>
      <c r="S809" s="15">
        <v>0</v>
      </c>
      <c r="T809"/>
    </row>
    <row r="810" spans="1:20">
      <c r="A810" s="5" t="s">
        <v>36</v>
      </c>
      <c r="B810" s="5" t="s">
        <v>14137</v>
      </c>
      <c r="C810" s="4">
        <v>45676</v>
      </c>
      <c r="D810" s="4">
        <v>45677</v>
      </c>
      <c r="E810" s="5" t="s">
        <v>16224</v>
      </c>
      <c r="F810" s="5" t="s">
        <v>18213</v>
      </c>
      <c r="G810" s="5" t="s">
        <v>849</v>
      </c>
      <c r="H810" s="5">
        <v>1</v>
      </c>
      <c r="I810" s="8" t="s">
        <v>7962</v>
      </c>
      <c r="J810" s="8" t="s">
        <v>10011</v>
      </c>
      <c r="K810" s="8" t="s">
        <v>1808</v>
      </c>
      <c r="L810" s="8" t="s">
        <v>12062</v>
      </c>
      <c r="M810" s="8" t="s">
        <v>3858</v>
      </c>
      <c r="N810" s="8" t="s">
        <v>5909</v>
      </c>
      <c r="O810" s="5" t="s">
        <v>61</v>
      </c>
      <c r="P810" s="4">
        <v>45695</v>
      </c>
      <c r="Q810" s="15">
        <v>66.989999999999995</v>
      </c>
      <c r="R810" s="15">
        <v>14.15</v>
      </c>
      <c r="S810" s="15">
        <v>0</v>
      </c>
      <c r="T810"/>
    </row>
    <row r="811" spans="1:20">
      <c r="A811" s="5" t="s">
        <v>36</v>
      </c>
      <c r="B811" s="5" t="s">
        <v>14138</v>
      </c>
      <c r="C811" s="4">
        <v>45676</v>
      </c>
      <c r="D811" s="4">
        <v>45677</v>
      </c>
      <c r="E811" s="5" t="s">
        <v>16225</v>
      </c>
      <c r="F811" s="5" t="s">
        <v>18214</v>
      </c>
      <c r="G811" s="5" t="s">
        <v>849</v>
      </c>
      <c r="H811" s="5">
        <v>1</v>
      </c>
      <c r="I811" s="8" t="s">
        <v>7963</v>
      </c>
      <c r="J811" s="8" t="s">
        <v>10012</v>
      </c>
      <c r="K811" s="8" t="s">
        <v>1809</v>
      </c>
      <c r="L811" s="8" t="s">
        <v>12063</v>
      </c>
      <c r="M811" s="8" t="s">
        <v>3859</v>
      </c>
      <c r="N811" s="8" t="s">
        <v>5910</v>
      </c>
      <c r="O811" s="5" t="s">
        <v>61</v>
      </c>
      <c r="P811" s="4">
        <v>45695</v>
      </c>
      <c r="Q811" s="15">
        <v>66.989999999999995</v>
      </c>
      <c r="R811" s="15">
        <v>14.15</v>
      </c>
      <c r="S811" s="15">
        <v>0</v>
      </c>
      <c r="T811"/>
    </row>
    <row r="812" spans="1:20">
      <c r="A812" s="5" t="s">
        <v>36</v>
      </c>
      <c r="B812" s="5" t="s">
        <v>14139</v>
      </c>
      <c r="C812" s="4">
        <v>45676</v>
      </c>
      <c r="D812" s="4">
        <v>45677</v>
      </c>
      <c r="E812" s="5" t="s">
        <v>16226</v>
      </c>
      <c r="F812" s="5" t="s">
        <v>18215</v>
      </c>
      <c r="G812" s="5" t="s">
        <v>849</v>
      </c>
      <c r="H812" s="5">
        <v>1</v>
      </c>
      <c r="I812" s="8" t="s">
        <v>7964</v>
      </c>
      <c r="J812" s="8" t="s">
        <v>10013</v>
      </c>
      <c r="K812" s="8" t="s">
        <v>1810</v>
      </c>
      <c r="L812" s="8" t="s">
        <v>12064</v>
      </c>
      <c r="M812" s="8" t="s">
        <v>3860</v>
      </c>
      <c r="N812" s="8" t="s">
        <v>5911</v>
      </c>
      <c r="O812" s="5" t="s">
        <v>61</v>
      </c>
      <c r="P812" s="4">
        <v>45695</v>
      </c>
      <c r="Q812" s="15">
        <v>66.989999999999995</v>
      </c>
      <c r="R812" s="15">
        <v>14.15</v>
      </c>
      <c r="S812" s="15">
        <v>0</v>
      </c>
      <c r="T812"/>
    </row>
    <row r="813" spans="1:20">
      <c r="A813" s="5" t="s">
        <v>36</v>
      </c>
      <c r="B813" s="5" t="s">
        <v>14140</v>
      </c>
      <c r="C813" s="4">
        <v>45676</v>
      </c>
      <c r="D813" s="4">
        <v>45677</v>
      </c>
      <c r="E813" s="5" t="s">
        <v>16227</v>
      </c>
      <c r="F813" s="5" t="s">
        <v>18216</v>
      </c>
      <c r="G813" s="5" t="s">
        <v>849</v>
      </c>
      <c r="H813" s="5">
        <v>1</v>
      </c>
      <c r="I813" s="8" t="s">
        <v>7965</v>
      </c>
      <c r="J813" s="8" t="s">
        <v>10014</v>
      </c>
      <c r="K813" s="8" t="s">
        <v>1811</v>
      </c>
      <c r="L813" s="8" t="s">
        <v>12065</v>
      </c>
      <c r="M813" s="8" t="s">
        <v>3861</v>
      </c>
      <c r="N813" s="8" t="s">
        <v>5912</v>
      </c>
      <c r="O813" s="5" t="s">
        <v>61</v>
      </c>
      <c r="P813" s="4">
        <v>45695</v>
      </c>
      <c r="Q813" s="15">
        <v>66.989999999999995</v>
      </c>
      <c r="R813" s="15">
        <v>14.15</v>
      </c>
      <c r="S813" s="15">
        <v>0</v>
      </c>
      <c r="T813"/>
    </row>
    <row r="814" spans="1:20">
      <c r="A814" s="5" t="s">
        <v>36</v>
      </c>
      <c r="B814" s="5" t="s">
        <v>14141</v>
      </c>
      <c r="C814" s="4">
        <v>45676</v>
      </c>
      <c r="D814" s="4">
        <v>45677</v>
      </c>
      <c r="E814" s="5" t="s">
        <v>16228</v>
      </c>
      <c r="F814" s="5" t="s">
        <v>18217</v>
      </c>
      <c r="G814" s="5" t="s">
        <v>836</v>
      </c>
      <c r="H814" s="5">
        <v>1</v>
      </c>
      <c r="I814" s="8" t="s">
        <v>7966</v>
      </c>
      <c r="J814" s="8" t="s">
        <v>10015</v>
      </c>
      <c r="K814" s="8" t="s">
        <v>1812</v>
      </c>
      <c r="L814" s="8" t="s">
        <v>12066</v>
      </c>
      <c r="M814" s="8" t="s">
        <v>3862</v>
      </c>
      <c r="N814" s="8" t="s">
        <v>5913</v>
      </c>
      <c r="O814" s="5" t="s">
        <v>55</v>
      </c>
      <c r="P814" s="4">
        <v>45693</v>
      </c>
      <c r="Q814" s="15">
        <v>34.9</v>
      </c>
      <c r="R814" s="15">
        <v>14.8</v>
      </c>
      <c r="S814" s="15">
        <v>0</v>
      </c>
      <c r="T814"/>
    </row>
    <row r="815" spans="1:20">
      <c r="A815" s="5" t="s">
        <v>36</v>
      </c>
      <c r="B815" s="5" t="s">
        <v>14142</v>
      </c>
      <c r="C815" s="4">
        <v>45676</v>
      </c>
      <c r="D815" s="4">
        <v>45677</v>
      </c>
      <c r="E815" s="5" t="s">
        <v>16229</v>
      </c>
      <c r="F815" s="5" t="s">
        <v>18218</v>
      </c>
      <c r="G815" s="5" t="s">
        <v>849</v>
      </c>
      <c r="H815" s="5">
        <v>1</v>
      </c>
      <c r="I815" s="8" t="s">
        <v>7967</v>
      </c>
      <c r="J815" s="8" t="s">
        <v>10016</v>
      </c>
      <c r="K815" s="8" t="s">
        <v>1813</v>
      </c>
      <c r="L815" s="8" t="s">
        <v>12067</v>
      </c>
      <c r="M815" s="8" t="s">
        <v>3863</v>
      </c>
      <c r="N815" s="8" t="s">
        <v>5914</v>
      </c>
      <c r="O815" s="5" t="s">
        <v>61</v>
      </c>
      <c r="P815" s="4">
        <v>45695</v>
      </c>
      <c r="Q815" s="15">
        <v>66.989999999999995</v>
      </c>
      <c r="R815" s="15">
        <v>14.15</v>
      </c>
      <c r="S815" s="15">
        <v>0</v>
      </c>
      <c r="T815"/>
    </row>
    <row r="816" spans="1:20">
      <c r="A816" s="5" t="s">
        <v>36</v>
      </c>
      <c r="B816" s="5" t="s">
        <v>14143</v>
      </c>
      <c r="C816" s="4">
        <v>45676</v>
      </c>
      <c r="D816" s="4">
        <v>45677</v>
      </c>
      <c r="E816" s="5" t="s">
        <v>16230</v>
      </c>
      <c r="F816" s="5" t="s">
        <v>18219</v>
      </c>
      <c r="G816" s="5" t="s">
        <v>849</v>
      </c>
      <c r="H816" s="5">
        <v>1</v>
      </c>
      <c r="I816" s="8" t="s">
        <v>7968</v>
      </c>
      <c r="J816" s="8" t="s">
        <v>10017</v>
      </c>
      <c r="K816" s="8" t="s">
        <v>1814</v>
      </c>
      <c r="L816" s="8" t="s">
        <v>12068</v>
      </c>
      <c r="M816" s="8" t="s">
        <v>3864</v>
      </c>
      <c r="N816" s="8" t="s">
        <v>5915</v>
      </c>
      <c r="O816" s="5" t="s">
        <v>61</v>
      </c>
      <c r="P816" s="4">
        <v>45708</v>
      </c>
      <c r="Q816" s="15">
        <v>66.989999999999995</v>
      </c>
      <c r="R816" s="15">
        <v>14.15</v>
      </c>
      <c r="S816" s="15">
        <v>0</v>
      </c>
      <c r="T816"/>
    </row>
    <row r="817" spans="1:20">
      <c r="A817" s="5" t="s">
        <v>36</v>
      </c>
      <c r="B817" s="5" t="s">
        <v>14144</v>
      </c>
      <c r="C817" s="4">
        <v>45677</v>
      </c>
      <c r="D817" s="4">
        <v>45677</v>
      </c>
      <c r="E817" s="5" t="s">
        <v>16231</v>
      </c>
      <c r="F817" s="5" t="s">
        <v>18220</v>
      </c>
      <c r="G817" s="5" t="s">
        <v>817</v>
      </c>
      <c r="H817" s="5">
        <v>1</v>
      </c>
      <c r="I817" s="8" t="s">
        <v>7969</v>
      </c>
      <c r="J817" s="8" t="s">
        <v>10018</v>
      </c>
      <c r="K817" s="8" t="s">
        <v>1815</v>
      </c>
      <c r="L817" s="8" t="s">
        <v>12069</v>
      </c>
      <c r="M817" s="8" t="s">
        <v>3865</v>
      </c>
      <c r="N817" s="8" t="s">
        <v>5916</v>
      </c>
      <c r="O817" s="5" t="s">
        <v>39</v>
      </c>
      <c r="P817" s="4">
        <v>45693</v>
      </c>
      <c r="Q817" s="15">
        <v>35.99</v>
      </c>
      <c r="R817" s="15">
        <v>15.99</v>
      </c>
      <c r="S817" s="15">
        <v>0</v>
      </c>
      <c r="T817"/>
    </row>
    <row r="818" spans="1:20">
      <c r="A818" s="5" t="s">
        <v>36</v>
      </c>
      <c r="B818" s="5" t="s">
        <v>14145</v>
      </c>
      <c r="C818" s="4">
        <v>45677</v>
      </c>
      <c r="D818" s="4">
        <v>45677</v>
      </c>
      <c r="E818" s="5" t="s">
        <v>16232</v>
      </c>
      <c r="F818" s="5" t="s">
        <v>18221</v>
      </c>
      <c r="G818" s="5" t="s">
        <v>849</v>
      </c>
      <c r="H818" s="5">
        <v>1</v>
      </c>
      <c r="I818" s="8" t="s">
        <v>7970</v>
      </c>
      <c r="J818" s="8" t="s">
        <v>10019</v>
      </c>
      <c r="K818" s="8" t="s">
        <v>1816</v>
      </c>
      <c r="L818" s="8" t="s">
        <v>12070</v>
      </c>
      <c r="M818" s="8" t="s">
        <v>3866</v>
      </c>
      <c r="N818" s="8" t="s">
        <v>5917</v>
      </c>
      <c r="O818" s="5" t="s">
        <v>61</v>
      </c>
      <c r="P818" s="4">
        <v>45695</v>
      </c>
      <c r="Q818" s="15">
        <v>66.989999999999995</v>
      </c>
      <c r="R818" s="15">
        <v>14.15</v>
      </c>
      <c r="S818" s="15">
        <v>0</v>
      </c>
      <c r="T818"/>
    </row>
    <row r="819" spans="1:20">
      <c r="A819" s="5" t="s">
        <v>36</v>
      </c>
      <c r="B819" s="5" t="s">
        <v>14146</v>
      </c>
      <c r="C819" s="4">
        <v>45677</v>
      </c>
      <c r="D819" s="4">
        <v>45677</v>
      </c>
      <c r="E819" s="5" t="s">
        <v>16233</v>
      </c>
      <c r="F819" s="5" t="s">
        <v>18222</v>
      </c>
      <c r="G819" s="5" t="s">
        <v>831</v>
      </c>
      <c r="H819" s="5">
        <v>1</v>
      </c>
      <c r="I819" s="8" t="s">
        <v>7971</v>
      </c>
      <c r="J819" s="8" t="s">
        <v>10020</v>
      </c>
      <c r="K819" s="8" t="s">
        <v>1817</v>
      </c>
      <c r="L819" s="8" t="s">
        <v>12071</v>
      </c>
      <c r="M819" s="8" t="s">
        <v>3867</v>
      </c>
      <c r="N819" s="8" t="s">
        <v>5918</v>
      </c>
      <c r="O819" s="5" t="s">
        <v>41</v>
      </c>
      <c r="P819" s="4">
        <v>45702</v>
      </c>
      <c r="Q819" s="15">
        <v>66.989999999999995</v>
      </c>
      <c r="R819" s="15">
        <v>18.23</v>
      </c>
      <c r="S819" s="15">
        <v>0</v>
      </c>
      <c r="T819"/>
    </row>
    <row r="820" spans="1:20">
      <c r="A820" s="5" t="s">
        <v>36</v>
      </c>
      <c r="B820" s="5" t="s">
        <v>14147</v>
      </c>
      <c r="C820" s="4">
        <v>45677</v>
      </c>
      <c r="D820" s="4">
        <v>45677</v>
      </c>
      <c r="E820" s="5" t="s">
        <v>16234</v>
      </c>
      <c r="F820" s="5" t="s">
        <v>18223</v>
      </c>
      <c r="G820" s="5" t="s">
        <v>849</v>
      </c>
      <c r="H820" s="5">
        <v>1</v>
      </c>
      <c r="I820" s="8" t="s">
        <v>7972</v>
      </c>
      <c r="J820" s="8" t="s">
        <v>10021</v>
      </c>
      <c r="K820" s="8" t="s">
        <v>1818</v>
      </c>
      <c r="L820" s="8" t="s">
        <v>12072</v>
      </c>
      <c r="M820" s="8" t="s">
        <v>3868</v>
      </c>
      <c r="N820" s="8" t="s">
        <v>5919</v>
      </c>
      <c r="O820" s="5" t="s">
        <v>61</v>
      </c>
      <c r="P820" s="4">
        <v>45696</v>
      </c>
      <c r="Q820" s="15">
        <v>66.989999999999995</v>
      </c>
      <c r="R820" s="15">
        <v>14.15</v>
      </c>
      <c r="S820" s="15">
        <v>0</v>
      </c>
      <c r="T820"/>
    </row>
    <row r="821" spans="1:20">
      <c r="A821" s="5" t="s">
        <v>36</v>
      </c>
      <c r="B821" s="5" t="s">
        <v>14148</v>
      </c>
      <c r="C821" s="4">
        <v>45677</v>
      </c>
      <c r="D821" s="4">
        <v>45677</v>
      </c>
      <c r="E821" s="5" t="s">
        <v>16235</v>
      </c>
      <c r="F821" s="5" t="s">
        <v>18224</v>
      </c>
      <c r="G821" s="5" t="s">
        <v>849</v>
      </c>
      <c r="H821" s="5">
        <v>1</v>
      </c>
      <c r="I821" s="8" t="s">
        <v>7973</v>
      </c>
      <c r="J821" s="8" t="s">
        <v>10022</v>
      </c>
      <c r="K821" s="8" t="s">
        <v>1819</v>
      </c>
      <c r="L821" s="8" t="s">
        <v>12073</v>
      </c>
      <c r="M821" s="8" t="s">
        <v>3869</v>
      </c>
      <c r="N821" s="8" t="s">
        <v>5920</v>
      </c>
      <c r="O821" s="5" t="s">
        <v>61</v>
      </c>
      <c r="P821" s="4">
        <v>45696</v>
      </c>
      <c r="Q821" s="15">
        <v>66.989999999999995</v>
      </c>
      <c r="R821" s="15">
        <v>0</v>
      </c>
      <c r="S821" s="15">
        <v>0</v>
      </c>
      <c r="T821"/>
    </row>
    <row r="822" spans="1:20">
      <c r="A822" s="5" t="s">
        <v>36</v>
      </c>
      <c r="B822" s="5" t="s">
        <v>14149</v>
      </c>
      <c r="C822" s="4">
        <v>45677</v>
      </c>
      <c r="D822" s="4">
        <v>45677</v>
      </c>
      <c r="E822" s="5" t="s">
        <v>16236</v>
      </c>
      <c r="F822" s="5" t="s">
        <v>18225</v>
      </c>
      <c r="G822" s="5" t="s">
        <v>849</v>
      </c>
      <c r="H822" s="5">
        <v>1</v>
      </c>
      <c r="I822" s="8" t="s">
        <v>7974</v>
      </c>
      <c r="J822" s="8" t="s">
        <v>10023</v>
      </c>
      <c r="K822" s="8" t="s">
        <v>1820</v>
      </c>
      <c r="L822" s="8" t="s">
        <v>12074</v>
      </c>
      <c r="M822" s="8" t="s">
        <v>3870</v>
      </c>
      <c r="N822" s="8" t="s">
        <v>5921</v>
      </c>
      <c r="O822" s="5" t="s">
        <v>61</v>
      </c>
      <c r="P822" s="4">
        <v>45709</v>
      </c>
      <c r="Q822" s="15">
        <v>66.989999999999995</v>
      </c>
      <c r="R822" s="15">
        <v>14.15</v>
      </c>
      <c r="S822" s="15">
        <v>0</v>
      </c>
      <c r="T822"/>
    </row>
    <row r="823" spans="1:20">
      <c r="A823" s="5" t="s">
        <v>36</v>
      </c>
      <c r="B823" s="5" t="s">
        <v>14150</v>
      </c>
      <c r="C823" s="4">
        <v>45677</v>
      </c>
      <c r="D823" s="4">
        <v>45677</v>
      </c>
      <c r="E823" s="5" t="s">
        <v>16237</v>
      </c>
      <c r="F823" s="5" t="s">
        <v>18226</v>
      </c>
      <c r="G823" s="5" t="s">
        <v>849</v>
      </c>
      <c r="H823" s="5">
        <v>1</v>
      </c>
      <c r="I823" s="8" t="s">
        <v>7975</v>
      </c>
      <c r="J823" s="8" t="s">
        <v>10024</v>
      </c>
      <c r="K823" s="8" t="s">
        <v>1821</v>
      </c>
      <c r="L823" s="8" t="s">
        <v>12075</v>
      </c>
      <c r="M823" s="8" t="s">
        <v>3871</v>
      </c>
      <c r="N823" s="8" t="s">
        <v>5922</v>
      </c>
      <c r="O823" s="5" t="s">
        <v>61</v>
      </c>
      <c r="P823" s="4">
        <v>45696</v>
      </c>
      <c r="Q823" s="15">
        <v>66.989999999999995</v>
      </c>
      <c r="R823" s="15">
        <v>14.15</v>
      </c>
      <c r="S823" s="15">
        <v>0</v>
      </c>
      <c r="T823"/>
    </row>
    <row r="824" spans="1:20">
      <c r="A824" s="5" t="s">
        <v>36</v>
      </c>
      <c r="B824" s="5" t="s">
        <v>14151</v>
      </c>
      <c r="C824" s="4">
        <v>45677</v>
      </c>
      <c r="D824" s="4">
        <v>45677</v>
      </c>
      <c r="E824" s="5" t="s">
        <v>16238</v>
      </c>
      <c r="F824" s="5" t="s">
        <v>18227</v>
      </c>
      <c r="G824" s="5" t="s">
        <v>849</v>
      </c>
      <c r="H824" s="5">
        <v>1</v>
      </c>
      <c r="I824" s="8" t="s">
        <v>7976</v>
      </c>
      <c r="J824" s="8" t="s">
        <v>10025</v>
      </c>
      <c r="K824" s="8" t="s">
        <v>1822</v>
      </c>
      <c r="L824" s="8" t="s">
        <v>12076</v>
      </c>
      <c r="M824" s="8" t="s">
        <v>3872</v>
      </c>
      <c r="N824" s="8" t="s">
        <v>5923</v>
      </c>
      <c r="O824" s="5" t="s">
        <v>61</v>
      </c>
      <c r="P824" s="4">
        <v>45696</v>
      </c>
      <c r="Q824" s="15">
        <v>66.989999999999995</v>
      </c>
      <c r="R824" s="15">
        <v>14.15</v>
      </c>
      <c r="S824" s="15">
        <v>0</v>
      </c>
      <c r="T824"/>
    </row>
    <row r="825" spans="1:20">
      <c r="A825" s="5" t="s">
        <v>36</v>
      </c>
      <c r="B825" s="5" t="s">
        <v>14152</v>
      </c>
      <c r="C825" s="4">
        <v>45677</v>
      </c>
      <c r="D825" s="4">
        <v>45677</v>
      </c>
      <c r="E825" s="5" t="s">
        <v>16239</v>
      </c>
      <c r="F825" s="5" t="s">
        <v>18228</v>
      </c>
      <c r="G825" s="5" t="s">
        <v>845</v>
      </c>
      <c r="H825" s="5">
        <v>1</v>
      </c>
      <c r="I825" s="8" t="s">
        <v>7977</v>
      </c>
      <c r="J825" s="8" t="s">
        <v>10026</v>
      </c>
      <c r="K825" s="8" t="s">
        <v>1823</v>
      </c>
      <c r="L825" s="8" t="s">
        <v>12077</v>
      </c>
      <c r="M825" s="8" t="s">
        <v>3873</v>
      </c>
      <c r="N825" s="8" t="s">
        <v>5924</v>
      </c>
      <c r="O825" s="5" t="s">
        <v>67</v>
      </c>
      <c r="P825" s="4">
        <v>45702</v>
      </c>
      <c r="Q825" s="15">
        <v>66.989999999999995</v>
      </c>
      <c r="R825" s="15">
        <v>19.649999999999999</v>
      </c>
      <c r="S825" s="15">
        <v>0</v>
      </c>
      <c r="T825"/>
    </row>
    <row r="826" spans="1:20">
      <c r="A826" s="5" t="s">
        <v>36</v>
      </c>
      <c r="B826" s="5" t="s">
        <v>14153</v>
      </c>
      <c r="C826" s="4">
        <v>45678</v>
      </c>
      <c r="D826" s="4">
        <v>45678</v>
      </c>
      <c r="E826" s="5" t="s">
        <v>16240</v>
      </c>
      <c r="F826" s="5" t="s">
        <v>18229</v>
      </c>
      <c r="G826" s="5" t="s">
        <v>836</v>
      </c>
      <c r="H826" s="5">
        <v>1</v>
      </c>
      <c r="I826" s="8" t="s">
        <v>7978</v>
      </c>
      <c r="J826" s="8" t="s">
        <v>10027</v>
      </c>
      <c r="K826" s="8" t="s">
        <v>1824</v>
      </c>
      <c r="L826" s="8" t="s">
        <v>12078</v>
      </c>
      <c r="M826" s="8" t="s">
        <v>3874</v>
      </c>
      <c r="N826" s="8" t="s">
        <v>5925</v>
      </c>
      <c r="O826" s="5" t="s">
        <v>55</v>
      </c>
      <c r="P826" s="4">
        <v>45694</v>
      </c>
      <c r="Q826" s="15">
        <v>34.9</v>
      </c>
      <c r="R826" s="15">
        <v>14.8</v>
      </c>
      <c r="S826" s="15">
        <v>0</v>
      </c>
      <c r="T826"/>
    </row>
    <row r="827" spans="1:20">
      <c r="A827" s="5" t="s">
        <v>36</v>
      </c>
      <c r="B827" s="5" t="s">
        <v>14154</v>
      </c>
      <c r="C827" s="4">
        <v>45678</v>
      </c>
      <c r="D827" s="4">
        <v>45678</v>
      </c>
      <c r="E827" s="5" t="s">
        <v>16241</v>
      </c>
      <c r="F827" s="5" t="s">
        <v>18230</v>
      </c>
      <c r="G827" s="5" t="s">
        <v>849</v>
      </c>
      <c r="H827" s="5">
        <v>1</v>
      </c>
      <c r="I827" s="8" t="s">
        <v>7979</v>
      </c>
      <c r="J827" s="8" t="s">
        <v>10028</v>
      </c>
      <c r="K827" s="8" t="s">
        <v>1825</v>
      </c>
      <c r="L827" s="8" t="s">
        <v>12079</v>
      </c>
      <c r="M827" s="8" t="s">
        <v>3875</v>
      </c>
      <c r="N827" s="8" t="s">
        <v>5926</v>
      </c>
      <c r="O827" s="5" t="s">
        <v>61</v>
      </c>
      <c r="P827" s="4">
        <v>45702</v>
      </c>
      <c r="Q827" s="15">
        <v>66.989999999999995</v>
      </c>
      <c r="R827" s="15">
        <v>14.11</v>
      </c>
      <c r="S827" s="15">
        <v>0</v>
      </c>
      <c r="T827"/>
    </row>
    <row r="828" spans="1:20">
      <c r="A828" s="5" t="s">
        <v>36</v>
      </c>
      <c r="B828" s="5" t="s">
        <v>14155</v>
      </c>
      <c r="C828" s="4">
        <v>45678</v>
      </c>
      <c r="D828" s="4">
        <v>45678</v>
      </c>
      <c r="E828" s="5" t="s">
        <v>16242</v>
      </c>
      <c r="F828" s="5" t="s">
        <v>18231</v>
      </c>
      <c r="G828" s="5" t="s">
        <v>845</v>
      </c>
      <c r="H828" s="5">
        <v>1</v>
      </c>
      <c r="I828" s="8" t="s">
        <v>7980</v>
      </c>
      <c r="J828" s="8" t="s">
        <v>10029</v>
      </c>
      <c r="K828" s="8" t="s">
        <v>1826</v>
      </c>
      <c r="L828" s="8" t="s">
        <v>12080</v>
      </c>
      <c r="M828" s="8" t="s">
        <v>3876</v>
      </c>
      <c r="N828" s="8" t="s">
        <v>5927</v>
      </c>
      <c r="O828" s="5" t="s">
        <v>67</v>
      </c>
      <c r="P828" s="4">
        <v>45703</v>
      </c>
      <c r="Q828" s="15">
        <v>66.989999999999995</v>
      </c>
      <c r="R828" s="15">
        <v>0</v>
      </c>
      <c r="S828" s="15">
        <v>0</v>
      </c>
      <c r="T828"/>
    </row>
    <row r="829" spans="1:20">
      <c r="A829" s="5" t="s">
        <v>36</v>
      </c>
      <c r="B829" s="5" t="s">
        <v>14156</v>
      </c>
      <c r="C829" s="4">
        <v>45678</v>
      </c>
      <c r="D829" s="4">
        <v>45678</v>
      </c>
      <c r="E829" s="5" t="s">
        <v>16243</v>
      </c>
      <c r="F829" s="5" t="s">
        <v>18232</v>
      </c>
      <c r="G829" s="5" t="s">
        <v>849</v>
      </c>
      <c r="H829" s="5">
        <v>1</v>
      </c>
      <c r="I829" s="8" t="s">
        <v>7981</v>
      </c>
      <c r="J829" s="8" t="s">
        <v>10030</v>
      </c>
      <c r="K829" s="8" t="s">
        <v>1827</v>
      </c>
      <c r="L829" s="8" t="s">
        <v>12081</v>
      </c>
      <c r="M829" s="8" t="s">
        <v>3877</v>
      </c>
      <c r="N829" s="8" t="s">
        <v>5928</v>
      </c>
      <c r="O829" s="5" t="s">
        <v>61</v>
      </c>
      <c r="P829" s="4">
        <v>45699</v>
      </c>
      <c r="Q829" s="15">
        <v>66.989999999999995</v>
      </c>
      <c r="R829" s="15">
        <v>0</v>
      </c>
      <c r="S829" s="15">
        <v>0</v>
      </c>
      <c r="T829"/>
    </row>
    <row r="830" spans="1:20">
      <c r="A830" s="5" t="s">
        <v>36</v>
      </c>
      <c r="B830" s="5" t="s">
        <v>14157</v>
      </c>
      <c r="C830" s="4">
        <v>45678</v>
      </c>
      <c r="D830" s="4">
        <v>45678</v>
      </c>
      <c r="E830" s="5" t="s">
        <v>16244</v>
      </c>
      <c r="F830" s="5" t="s">
        <v>18233</v>
      </c>
      <c r="G830" s="5" t="s">
        <v>849</v>
      </c>
      <c r="H830" s="5">
        <v>1</v>
      </c>
      <c r="I830" s="8" t="s">
        <v>7982</v>
      </c>
      <c r="J830" s="8" t="s">
        <v>10031</v>
      </c>
      <c r="K830" s="8" t="s">
        <v>1828</v>
      </c>
      <c r="L830" s="8" t="s">
        <v>12082</v>
      </c>
      <c r="M830" s="8" t="s">
        <v>3878</v>
      </c>
      <c r="N830" s="8" t="s">
        <v>5929</v>
      </c>
      <c r="O830" s="5" t="s">
        <v>61</v>
      </c>
      <c r="P830" s="4">
        <v>45699</v>
      </c>
      <c r="Q830" s="15">
        <v>66.989999999999995</v>
      </c>
      <c r="R830" s="15">
        <v>14.11</v>
      </c>
      <c r="S830" s="15">
        <v>0</v>
      </c>
      <c r="T830"/>
    </row>
    <row r="831" spans="1:20">
      <c r="A831" s="5" t="s">
        <v>36</v>
      </c>
      <c r="B831" s="5" t="s">
        <v>14158</v>
      </c>
      <c r="C831" s="4">
        <v>45678</v>
      </c>
      <c r="D831" s="4">
        <v>45678</v>
      </c>
      <c r="E831" s="5" t="s">
        <v>16245</v>
      </c>
      <c r="F831" s="5" t="s">
        <v>18234</v>
      </c>
      <c r="G831" s="5" t="s">
        <v>849</v>
      </c>
      <c r="H831" s="5">
        <v>1</v>
      </c>
      <c r="I831" s="8" t="s">
        <v>7983</v>
      </c>
      <c r="J831" s="8" t="s">
        <v>10032</v>
      </c>
      <c r="K831" s="8" t="s">
        <v>1829</v>
      </c>
      <c r="L831" s="8" t="s">
        <v>12083</v>
      </c>
      <c r="M831" s="8" t="s">
        <v>3879</v>
      </c>
      <c r="N831" s="8" t="s">
        <v>5930</v>
      </c>
      <c r="O831" s="5" t="s">
        <v>61</v>
      </c>
      <c r="P831" s="4">
        <v>45699</v>
      </c>
      <c r="Q831" s="15">
        <v>66.989999999999995</v>
      </c>
      <c r="R831" s="15">
        <v>14.11</v>
      </c>
      <c r="S831" s="15">
        <v>0</v>
      </c>
      <c r="T831"/>
    </row>
    <row r="832" spans="1:20">
      <c r="A832" s="5" t="s">
        <v>36</v>
      </c>
      <c r="B832" s="5" t="s">
        <v>14159</v>
      </c>
      <c r="C832" s="4">
        <v>45678</v>
      </c>
      <c r="D832" s="4">
        <v>45678</v>
      </c>
      <c r="E832" s="5" t="s">
        <v>16246</v>
      </c>
      <c r="F832" s="5" t="s">
        <v>18235</v>
      </c>
      <c r="G832" s="5" t="s">
        <v>845</v>
      </c>
      <c r="H832" s="5">
        <v>1</v>
      </c>
      <c r="I832" s="8" t="s">
        <v>7984</v>
      </c>
      <c r="J832" s="8" t="s">
        <v>10033</v>
      </c>
      <c r="K832" s="8" t="s">
        <v>1830</v>
      </c>
      <c r="L832" s="8" t="s">
        <v>12084</v>
      </c>
      <c r="M832" s="8" t="s">
        <v>3880</v>
      </c>
      <c r="N832" s="8" t="s">
        <v>5931</v>
      </c>
      <c r="O832" s="5" t="s">
        <v>67</v>
      </c>
      <c r="P832" s="4">
        <v>45699</v>
      </c>
      <c r="Q832" s="15">
        <v>66.989999999999995</v>
      </c>
      <c r="R832" s="15">
        <v>0</v>
      </c>
      <c r="S832" s="15">
        <v>0</v>
      </c>
      <c r="T832"/>
    </row>
    <row r="833" spans="1:20">
      <c r="A833" s="5" t="s">
        <v>36</v>
      </c>
      <c r="B833" s="5" t="s">
        <v>14160</v>
      </c>
      <c r="C833" s="4">
        <v>45678</v>
      </c>
      <c r="D833" s="4">
        <v>45678</v>
      </c>
      <c r="E833" s="5" t="s">
        <v>16247</v>
      </c>
      <c r="F833" s="5" t="s">
        <v>18236</v>
      </c>
      <c r="G833" s="5" t="s">
        <v>849</v>
      </c>
      <c r="H833" s="5">
        <v>1</v>
      </c>
      <c r="I833" s="8" t="s">
        <v>7985</v>
      </c>
      <c r="J833" s="8" t="s">
        <v>10034</v>
      </c>
      <c r="K833" s="8" t="s">
        <v>1831</v>
      </c>
      <c r="L833" s="8" t="s">
        <v>12085</v>
      </c>
      <c r="M833" s="8" t="s">
        <v>3881</v>
      </c>
      <c r="N833" s="8" t="s">
        <v>5932</v>
      </c>
      <c r="O833" s="5" t="s">
        <v>61</v>
      </c>
      <c r="P833" s="4">
        <v>45699</v>
      </c>
      <c r="Q833" s="15">
        <v>66.989999999999995</v>
      </c>
      <c r="R833" s="15">
        <v>14.11</v>
      </c>
      <c r="S833" s="15">
        <v>0</v>
      </c>
      <c r="T833"/>
    </row>
    <row r="834" spans="1:20">
      <c r="A834" s="5" t="s">
        <v>36</v>
      </c>
      <c r="B834" s="5" t="s">
        <v>14161</v>
      </c>
      <c r="C834" s="4">
        <v>45679</v>
      </c>
      <c r="D834" s="4">
        <v>45679</v>
      </c>
      <c r="E834" s="5" t="s">
        <v>16248</v>
      </c>
      <c r="F834" s="5" t="s">
        <v>18237</v>
      </c>
      <c r="G834" s="5" t="s">
        <v>849</v>
      </c>
      <c r="H834" s="5">
        <v>1</v>
      </c>
      <c r="I834" s="8" t="s">
        <v>7986</v>
      </c>
      <c r="J834" s="8" t="s">
        <v>10035</v>
      </c>
      <c r="K834" s="8" t="s">
        <v>1832</v>
      </c>
      <c r="L834" s="8" t="s">
        <v>12086</v>
      </c>
      <c r="M834" s="8" t="s">
        <v>3882</v>
      </c>
      <c r="N834" s="8" t="s">
        <v>5933</v>
      </c>
      <c r="O834" s="5" t="s">
        <v>61</v>
      </c>
      <c r="P834" s="4">
        <v>45700</v>
      </c>
      <c r="Q834" s="15">
        <v>66.989999999999995</v>
      </c>
      <c r="R834" s="15">
        <v>13.93</v>
      </c>
      <c r="S834" s="15">
        <v>0</v>
      </c>
      <c r="T834"/>
    </row>
    <row r="835" spans="1:20">
      <c r="A835" s="5" t="s">
        <v>36</v>
      </c>
      <c r="B835" s="5" t="s">
        <v>14162</v>
      </c>
      <c r="C835" s="4">
        <v>45679</v>
      </c>
      <c r="D835" s="4">
        <v>45679</v>
      </c>
      <c r="E835" s="5" t="s">
        <v>16249</v>
      </c>
      <c r="F835" s="5" t="s">
        <v>18238</v>
      </c>
      <c r="G835" s="5" t="s">
        <v>845</v>
      </c>
      <c r="H835" s="5">
        <v>1</v>
      </c>
      <c r="I835" s="8" t="s">
        <v>7987</v>
      </c>
      <c r="J835" s="8" t="s">
        <v>10036</v>
      </c>
      <c r="K835" s="8" t="s">
        <v>1833</v>
      </c>
      <c r="L835" s="8" t="s">
        <v>12087</v>
      </c>
      <c r="M835" s="8" t="s">
        <v>3883</v>
      </c>
      <c r="N835" s="8" t="s">
        <v>5934</v>
      </c>
      <c r="O835" s="5" t="s">
        <v>67</v>
      </c>
      <c r="P835" s="4">
        <v>45706</v>
      </c>
      <c r="Q835" s="15">
        <v>66.989999999999995</v>
      </c>
      <c r="R835" s="15">
        <v>19.329999999999998</v>
      </c>
      <c r="S835" s="15">
        <v>0</v>
      </c>
      <c r="T835"/>
    </row>
    <row r="836" spans="1:20">
      <c r="A836" s="5" t="s">
        <v>36</v>
      </c>
      <c r="B836" s="5" t="s">
        <v>14163</v>
      </c>
      <c r="C836" s="4">
        <v>45679</v>
      </c>
      <c r="D836" s="4">
        <v>45679</v>
      </c>
      <c r="E836" s="5" t="s">
        <v>16250</v>
      </c>
      <c r="F836" s="5" t="s">
        <v>18239</v>
      </c>
      <c r="G836" s="5" t="s">
        <v>849</v>
      </c>
      <c r="H836" s="5">
        <v>1</v>
      </c>
      <c r="I836" s="8" t="s">
        <v>7988</v>
      </c>
      <c r="J836" s="8" t="s">
        <v>10037</v>
      </c>
      <c r="K836" s="8" t="s">
        <v>1834</v>
      </c>
      <c r="L836" s="8" t="s">
        <v>12088</v>
      </c>
      <c r="M836" s="8" t="s">
        <v>3884</v>
      </c>
      <c r="N836" s="8" t="s">
        <v>5935</v>
      </c>
      <c r="O836" s="5" t="s">
        <v>61</v>
      </c>
      <c r="P836" s="4">
        <v>45700</v>
      </c>
      <c r="Q836" s="15">
        <v>66.989999999999995</v>
      </c>
      <c r="R836" s="15">
        <v>0</v>
      </c>
      <c r="S836" s="15">
        <v>0</v>
      </c>
      <c r="T836"/>
    </row>
    <row r="837" spans="1:20">
      <c r="A837" s="5" t="s">
        <v>36</v>
      </c>
      <c r="B837" s="5" t="s">
        <v>14164</v>
      </c>
      <c r="C837" s="4">
        <v>45679</v>
      </c>
      <c r="D837" s="4">
        <v>45679</v>
      </c>
      <c r="E837" s="5" t="s">
        <v>16251</v>
      </c>
      <c r="F837" s="5" t="s">
        <v>18240</v>
      </c>
      <c r="G837" s="5" t="s">
        <v>849</v>
      </c>
      <c r="H837" s="5">
        <v>1</v>
      </c>
      <c r="I837" s="8" t="s">
        <v>7989</v>
      </c>
      <c r="J837" s="8" t="s">
        <v>10038</v>
      </c>
      <c r="K837" s="8" t="s">
        <v>1835</v>
      </c>
      <c r="L837" s="8" t="s">
        <v>12089</v>
      </c>
      <c r="M837" s="8" t="s">
        <v>3885</v>
      </c>
      <c r="N837" s="8" t="s">
        <v>5936</v>
      </c>
      <c r="O837" s="5" t="s">
        <v>61</v>
      </c>
      <c r="P837" s="4">
        <v>45700</v>
      </c>
      <c r="Q837" s="15">
        <v>66.989999999999995</v>
      </c>
      <c r="R837" s="15">
        <v>0</v>
      </c>
      <c r="S837" s="15">
        <v>0</v>
      </c>
      <c r="T837"/>
    </row>
    <row r="838" spans="1:20">
      <c r="A838" s="5" t="s">
        <v>36</v>
      </c>
      <c r="B838" s="5" t="s">
        <v>14165</v>
      </c>
      <c r="C838" s="4">
        <v>45679</v>
      </c>
      <c r="D838" s="4">
        <v>45679</v>
      </c>
      <c r="E838" s="5" t="s">
        <v>16252</v>
      </c>
      <c r="F838" s="5" t="s">
        <v>18241</v>
      </c>
      <c r="G838" s="5" t="s">
        <v>845</v>
      </c>
      <c r="H838" s="5">
        <v>1</v>
      </c>
      <c r="I838" s="8" t="s">
        <v>7679</v>
      </c>
      <c r="J838" s="8" t="s">
        <v>9728</v>
      </c>
      <c r="K838" s="8" t="s">
        <v>1525</v>
      </c>
      <c r="L838" s="8" t="s">
        <v>11779</v>
      </c>
      <c r="M838" s="8" t="s">
        <v>3575</v>
      </c>
      <c r="N838" s="8" t="s">
        <v>5626</v>
      </c>
      <c r="O838" s="5" t="s">
        <v>67</v>
      </c>
      <c r="P838" s="4">
        <v>45700</v>
      </c>
      <c r="Q838" s="15">
        <v>66.989999999999995</v>
      </c>
      <c r="R838" s="15">
        <v>19.329999999999998</v>
      </c>
      <c r="S838" s="15">
        <v>0</v>
      </c>
      <c r="T838"/>
    </row>
    <row r="839" spans="1:20">
      <c r="A839" s="5" t="s">
        <v>36</v>
      </c>
      <c r="B839" s="5" t="s">
        <v>14166</v>
      </c>
      <c r="C839" s="4">
        <v>45680</v>
      </c>
      <c r="D839" s="4">
        <v>45680</v>
      </c>
      <c r="E839" s="5" t="s">
        <v>16253</v>
      </c>
      <c r="F839" s="5" t="s">
        <v>18242</v>
      </c>
      <c r="G839" s="5" t="s">
        <v>852</v>
      </c>
      <c r="H839" s="5">
        <v>1</v>
      </c>
      <c r="I839" s="8" t="s">
        <v>7990</v>
      </c>
      <c r="J839" s="8" t="s">
        <v>10039</v>
      </c>
      <c r="K839" s="8" t="s">
        <v>1836</v>
      </c>
      <c r="L839" s="8" t="s">
        <v>12090</v>
      </c>
      <c r="M839" s="8" t="s">
        <v>3886</v>
      </c>
      <c r="N839" s="8" t="s">
        <v>5937</v>
      </c>
      <c r="O839" s="5" t="s">
        <v>68</v>
      </c>
      <c r="P839" s="4">
        <v>45694</v>
      </c>
      <c r="Q839" s="15">
        <v>22.99</v>
      </c>
      <c r="R839" s="15">
        <v>6.99</v>
      </c>
      <c r="S839" s="15">
        <v>0</v>
      </c>
      <c r="T839"/>
    </row>
    <row r="840" spans="1:20">
      <c r="A840" s="5" t="s">
        <v>36</v>
      </c>
      <c r="B840" s="5" t="s">
        <v>14167</v>
      </c>
      <c r="C840" s="4">
        <v>45680</v>
      </c>
      <c r="D840" s="4">
        <v>45680</v>
      </c>
      <c r="E840" s="5" t="s">
        <v>16254</v>
      </c>
      <c r="F840" s="5" t="s">
        <v>18243</v>
      </c>
      <c r="G840" s="5" t="s">
        <v>852</v>
      </c>
      <c r="H840" s="5">
        <v>1</v>
      </c>
      <c r="I840" s="8" t="s">
        <v>7991</v>
      </c>
      <c r="J840" s="8" t="s">
        <v>10040</v>
      </c>
      <c r="K840" s="8" t="s">
        <v>1837</v>
      </c>
      <c r="L840" s="8" t="s">
        <v>12091</v>
      </c>
      <c r="M840" s="8" t="s">
        <v>3887</v>
      </c>
      <c r="N840" s="8" t="s">
        <v>5938</v>
      </c>
      <c r="O840" s="5" t="s">
        <v>68</v>
      </c>
      <c r="P840" s="4">
        <v>45700</v>
      </c>
      <c r="Q840" s="15">
        <v>22.99</v>
      </c>
      <c r="R840" s="15">
        <v>6.99</v>
      </c>
      <c r="S840" s="15">
        <v>0</v>
      </c>
      <c r="T840"/>
    </row>
    <row r="841" spans="1:20">
      <c r="A841" s="5" t="s">
        <v>36</v>
      </c>
      <c r="B841" s="5" t="s">
        <v>14168</v>
      </c>
      <c r="C841" s="4">
        <v>45680</v>
      </c>
      <c r="D841" s="4">
        <v>45680</v>
      </c>
      <c r="E841" s="5" t="s">
        <v>16255</v>
      </c>
      <c r="F841" s="5" t="s">
        <v>18244</v>
      </c>
      <c r="G841" s="5" t="s">
        <v>817</v>
      </c>
      <c r="H841" s="5">
        <v>1</v>
      </c>
      <c r="I841" s="8" t="s">
        <v>7992</v>
      </c>
      <c r="J841" s="8" t="s">
        <v>10041</v>
      </c>
      <c r="K841" s="8" t="s">
        <v>1838</v>
      </c>
      <c r="L841" s="8" t="s">
        <v>12092</v>
      </c>
      <c r="M841" s="8" t="s">
        <v>3888</v>
      </c>
      <c r="N841" s="8" t="s">
        <v>5939</v>
      </c>
      <c r="O841" s="5" t="s">
        <v>39</v>
      </c>
      <c r="P841" s="4">
        <v>45696</v>
      </c>
      <c r="Q841" s="15">
        <v>32.99</v>
      </c>
      <c r="R841" s="15">
        <v>14.99</v>
      </c>
      <c r="S841" s="15">
        <v>0</v>
      </c>
      <c r="T841"/>
    </row>
    <row r="842" spans="1:20">
      <c r="A842" s="5" t="s">
        <v>36</v>
      </c>
      <c r="B842" s="5" t="s">
        <v>14169</v>
      </c>
      <c r="C842" s="4">
        <v>45680</v>
      </c>
      <c r="D842" s="4">
        <v>45681</v>
      </c>
      <c r="E842" s="5" t="s">
        <v>16256</v>
      </c>
      <c r="F842" s="5" t="s">
        <v>18245</v>
      </c>
      <c r="G842" s="5" t="s">
        <v>831</v>
      </c>
      <c r="H842" s="5">
        <v>1</v>
      </c>
      <c r="I842" s="8" t="s">
        <v>7993</v>
      </c>
      <c r="J842" s="8" t="s">
        <v>10042</v>
      </c>
      <c r="K842" s="8" t="s">
        <v>1839</v>
      </c>
      <c r="L842" s="8" t="s">
        <v>12093</v>
      </c>
      <c r="M842" s="8" t="s">
        <v>3889</v>
      </c>
      <c r="N842" s="8" t="s">
        <v>5940</v>
      </c>
      <c r="O842" s="5" t="s">
        <v>41</v>
      </c>
      <c r="P842" s="4">
        <v>45701</v>
      </c>
      <c r="Q842" s="15">
        <v>59.8</v>
      </c>
      <c r="R842" s="15">
        <v>18.62</v>
      </c>
      <c r="S842" s="15">
        <v>0</v>
      </c>
      <c r="T842"/>
    </row>
    <row r="843" spans="1:20">
      <c r="A843" s="5" t="s">
        <v>36</v>
      </c>
      <c r="B843" s="5" t="s">
        <v>14170</v>
      </c>
      <c r="C843" s="4">
        <v>45680</v>
      </c>
      <c r="D843" s="4">
        <v>45680</v>
      </c>
      <c r="E843" s="5" t="s">
        <v>16257</v>
      </c>
      <c r="F843" s="5" t="s">
        <v>18246</v>
      </c>
      <c r="G843" s="5" t="s">
        <v>849</v>
      </c>
      <c r="H843" s="5">
        <v>1</v>
      </c>
      <c r="I843" s="8" t="s">
        <v>7994</v>
      </c>
      <c r="J843" s="8" t="s">
        <v>10043</v>
      </c>
      <c r="K843" s="8" t="s">
        <v>1840</v>
      </c>
      <c r="L843" s="8" t="s">
        <v>12094</v>
      </c>
      <c r="M843" s="8" t="s">
        <v>3890</v>
      </c>
      <c r="N843" s="8" t="s">
        <v>5941</v>
      </c>
      <c r="O843" s="5" t="s">
        <v>61</v>
      </c>
      <c r="P843" s="4">
        <v>45707</v>
      </c>
      <c r="Q843" s="15">
        <v>65.989999999999995</v>
      </c>
      <c r="R843" s="15">
        <v>17.309999999999999</v>
      </c>
      <c r="S843" s="15">
        <v>0</v>
      </c>
      <c r="T843"/>
    </row>
    <row r="844" spans="1:20">
      <c r="A844" s="5" t="s">
        <v>36</v>
      </c>
      <c r="B844" s="5" t="s">
        <v>14171</v>
      </c>
      <c r="C844" s="4">
        <v>45681</v>
      </c>
      <c r="D844" s="4">
        <v>45681</v>
      </c>
      <c r="E844" s="5" t="s">
        <v>16258</v>
      </c>
      <c r="F844" s="5" t="s">
        <v>18247</v>
      </c>
      <c r="G844" s="5" t="s">
        <v>845</v>
      </c>
      <c r="H844" s="5">
        <v>1</v>
      </c>
      <c r="I844" s="8" t="s">
        <v>7995</v>
      </c>
      <c r="J844" s="8" t="s">
        <v>10044</v>
      </c>
      <c r="K844" s="8" t="s">
        <v>1841</v>
      </c>
      <c r="L844" s="8" t="s">
        <v>12095</v>
      </c>
      <c r="M844" s="8" t="s">
        <v>3891</v>
      </c>
      <c r="N844" s="8" t="s">
        <v>5942</v>
      </c>
      <c r="O844" s="5" t="s">
        <v>67</v>
      </c>
      <c r="P844" s="4">
        <v>45702</v>
      </c>
      <c r="Q844" s="15">
        <v>66.989999999999995</v>
      </c>
      <c r="R844" s="15">
        <v>17.36</v>
      </c>
      <c r="S844" s="15">
        <v>0</v>
      </c>
      <c r="T844"/>
    </row>
    <row r="845" spans="1:20">
      <c r="A845" s="5" t="s">
        <v>36</v>
      </c>
      <c r="B845" s="5" t="s">
        <v>14172</v>
      </c>
      <c r="C845" s="4">
        <v>45681</v>
      </c>
      <c r="D845" s="4">
        <v>45681</v>
      </c>
      <c r="E845" s="5" t="s">
        <v>16259</v>
      </c>
      <c r="F845" s="5" t="s">
        <v>18248</v>
      </c>
      <c r="G845" s="5" t="s">
        <v>845</v>
      </c>
      <c r="H845" s="5">
        <v>1</v>
      </c>
      <c r="I845" s="8" t="s">
        <v>7996</v>
      </c>
      <c r="J845" s="8" t="s">
        <v>10045</v>
      </c>
      <c r="K845" s="8" t="s">
        <v>1842</v>
      </c>
      <c r="L845" s="8" t="s">
        <v>12096</v>
      </c>
      <c r="M845" s="8" t="s">
        <v>3892</v>
      </c>
      <c r="N845" s="8" t="s">
        <v>5943</v>
      </c>
      <c r="O845" s="5" t="s">
        <v>67</v>
      </c>
      <c r="P845" s="4">
        <v>45702</v>
      </c>
      <c r="Q845" s="15">
        <v>66.989999999999995</v>
      </c>
      <c r="R845" s="15">
        <v>17.36</v>
      </c>
      <c r="S845" s="15">
        <v>0</v>
      </c>
      <c r="T845"/>
    </row>
    <row r="846" spans="1:20">
      <c r="A846" s="5" t="s">
        <v>36</v>
      </c>
      <c r="B846" s="5" t="s">
        <v>14173</v>
      </c>
      <c r="C846" s="4">
        <v>45681</v>
      </c>
      <c r="D846" s="4">
        <v>45681</v>
      </c>
      <c r="E846" s="5" t="s">
        <v>16260</v>
      </c>
      <c r="F846" s="5" t="s">
        <v>18249</v>
      </c>
      <c r="G846" s="5" t="s">
        <v>817</v>
      </c>
      <c r="H846" s="5">
        <v>1</v>
      </c>
      <c r="I846" s="8" t="s">
        <v>7997</v>
      </c>
      <c r="J846" s="8" t="s">
        <v>10046</v>
      </c>
      <c r="K846" s="8" t="s">
        <v>1843</v>
      </c>
      <c r="L846" s="8" t="s">
        <v>12097</v>
      </c>
      <c r="M846" s="8" t="s">
        <v>3893</v>
      </c>
      <c r="N846" s="8" t="s">
        <v>5944</v>
      </c>
      <c r="O846" s="5" t="s">
        <v>39</v>
      </c>
      <c r="P846" s="4">
        <v>45696</v>
      </c>
      <c r="Q846" s="15">
        <v>32.99</v>
      </c>
      <c r="R846" s="15">
        <v>14.99</v>
      </c>
      <c r="S846" s="15">
        <v>0</v>
      </c>
      <c r="T846"/>
    </row>
    <row r="847" spans="1:20">
      <c r="A847" s="5" t="s">
        <v>36</v>
      </c>
      <c r="B847" s="5" t="s">
        <v>14174</v>
      </c>
      <c r="C847" s="4">
        <v>45682</v>
      </c>
      <c r="D847" s="4">
        <v>45684</v>
      </c>
      <c r="E847" s="5" t="s">
        <v>16261</v>
      </c>
      <c r="F847" s="5" t="s">
        <v>18250</v>
      </c>
      <c r="G847" s="5" t="s">
        <v>860</v>
      </c>
      <c r="H847" s="5">
        <v>1</v>
      </c>
      <c r="I847" s="8" t="s">
        <v>7998</v>
      </c>
      <c r="J847" s="8" t="s">
        <v>10047</v>
      </c>
      <c r="K847" s="8" t="s">
        <v>1844</v>
      </c>
      <c r="L847" s="8" t="s">
        <v>12098</v>
      </c>
      <c r="M847" s="8" t="s">
        <v>3894</v>
      </c>
      <c r="N847" s="8" t="s">
        <v>5945</v>
      </c>
      <c r="O847" s="5" t="s">
        <v>75</v>
      </c>
      <c r="P847" s="4">
        <v>45702</v>
      </c>
      <c r="Q847" s="15">
        <v>64.900000000000006</v>
      </c>
      <c r="R847" s="15">
        <v>19.34</v>
      </c>
      <c r="S847" s="15">
        <v>0</v>
      </c>
      <c r="T847"/>
    </row>
    <row r="848" spans="1:20">
      <c r="A848" s="5" t="s">
        <v>36</v>
      </c>
      <c r="B848" s="5" t="s">
        <v>14175</v>
      </c>
      <c r="C848" s="4">
        <v>45682</v>
      </c>
      <c r="D848" s="4">
        <v>45684</v>
      </c>
      <c r="E848" s="5" t="s">
        <v>16262</v>
      </c>
      <c r="F848" s="5" t="s">
        <v>18251</v>
      </c>
      <c r="G848" s="5" t="s">
        <v>845</v>
      </c>
      <c r="H848" s="5">
        <v>1</v>
      </c>
      <c r="I848" s="8" t="s">
        <v>7999</v>
      </c>
      <c r="J848" s="8" t="s">
        <v>10048</v>
      </c>
      <c r="K848" s="8" t="s">
        <v>1845</v>
      </c>
      <c r="L848" s="8" t="s">
        <v>12099</v>
      </c>
      <c r="M848" s="8" t="s">
        <v>3895</v>
      </c>
      <c r="N848" s="8" t="s">
        <v>5946</v>
      </c>
      <c r="O848" s="5" t="s">
        <v>67</v>
      </c>
      <c r="P848" s="4">
        <v>45702</v>
      </c>
      <c r="Q848" s="15">
        <v>66.989999999999995</v>
      </c>
      <c r="R848" s="15">
        <v>17.420000000000002</v>
      </c>
      <c r="S848" s="15">
        <v>0</v>
      </c>
      <c r="T848"/>
    </row>
    <row r="849" spans="1:20">
      <c r="A849" s="5" t="s">
        <v>36</v>
      </c>
      <c r="B849" s="5" t="s">
        <v>14176</v>
      </c>
      <c r="C849" s="4">
        <v>45678</v>
      </c>
      <c r="D849" s="4">
        <v>45684</v>
      </c>
      <c r="E849" s="5" t="s">
        <v>16263</v>
      </c>
      <c r="F849" s="5" t="s">
        <v>18252</v>
      </c>
      <c r="G849" s="5" t="s">
        <v>849</v>
      </c>
      <c r="H849" s="5">
        <v>1</v>
      </c>
      <c r="I849" s="8" t="s">
        <v>8000</v>
      </c>
      <c r="J849" s="8" t="s">
        <v>10049</v>
      </c>
      <c r="K849" s="8" t="s">
        <v>1846</v>
      </c>
      <c r="L849" s="8" t="s">
        <v>12100</v>
      </c>
      <c r="M849" s="8" t="s">
        <v>3896</v>
      </c>
      <c r="N849" s="8" t="s">
        <v>5947</v>
      </c>
      <c r="O849" s="5" t="s">
        <v>61</v>
      </c>
      <c r="P849" s="4">
        <v>45702</v>
      </c>
      <c r="Q849" s="15">
        <v>66.989999999999995</v>
      </c>
      <c r="R849" s="15">
        <v>10.61</v>
      </c>
      <c r="S849" s="15">
        <v>0</v>
      </c>
      <c r="T849"/>
    </row>
    <row r="850" spans="1:20">
      <c r="A850" s="5" t="s">
        <v>36</v>
      </c>
      <c r="B850" s="5" t="s">
        <v>14177</v>
      </c>
      <c r="C850" s="4">
        <v>45683</v>
      </c>
      <c r="D850" s="4">
        <v>45684</v>
      </c>
      <c r="E850" s="5" t="s">
        <v>16264</v>
      </c>
      <c r="F850" s="5" t="s">
        <v>18253</v>
      </c>
      <c r="G850" s="5" t="s">
        <v>860</v>
      </c>
      <c r="H850" s="5">
        <v>1</v>
      </c>
      <c r="I850" s="8" t="s">
        <v>8001</v>
      </c>
      <c r="J850" s="8" t="s">
        <v>10050</v>
      </c>
      <c r="K850" s="8" t="s">
        <v>1847</v>
      </c>
      <c r="L850" s="8" t="s">
        <v>12101</v>
      </c>
      <c r="M850" s="8" t="s">
        <v>3897</v>
      </c>
      <c r="N850" s="8" t="s">
        <v>5948</v>
      </c>
      <c r="O850" s="5" t="s">
        <v>75</v>
      </c>
      <c r="P850" s="4">
        <v>45702</v>
      </c>
      <c r="Q850" s="15">
        <v>64.900000000000006</v>
      </c>
      <c r="R850" s="15">
        <v>0</v>
      </c>
      <c r="S850" s="15">
        <v>0</v>
      </c>
      <c r="T850"/>
    </row>
    <row r="851" spans="1:20">
      <c r="A851" s="5" t="s">
        <v>36</v>
      </c>
      <c r="B851" s="5" t="s">
        <v>14178</v>
      </c>
      <c r="C851" s="4">
        <v>45683</v>
      </c>
      <c r="D851" s="4">
        <v>45684</v>
      </c>
      <c r="E851" s="5" t="s">
        <v>16265</v>
      </c>
      <c r="F851" s="5" t="s">
        <v>18254</v>
      </c>
      <c r="G851" s="5" t="s">
        <v>845</v>
      </c>
      <c r="H851" s="5">
        <v>1</v>
      </c>
      <c r="I851" s="8" t="s">
        <v>8002</v>
      </c>
      <c r="J851" s="8" t="s">
        <v>10051</v>
      </c>
      <c r="K851" s="8" t="s">
        <v>1848</v>
      </c>
      <c r="L851" s="8" t="s">
        <v>12102</v>
      </c>
      <c r="M851" s="8" t="s">
        <v>3898</v>
      </c>
      <c r="N851" s="8" t="s">
        <v>5949</v>
      </c>
      <c r="O851" s="5" t="s">
        <v>67</v>
      </c>
      <c r="P851" s="4">
        <v>45702</v>
      </c>
      <c r="Q851" s="15">
        <v>66.989999999999995</v>
      </c>
      <c r="R851" s="15">
        <v>17.420000000000002</v>
      </c>
      <c r="S851" s="15">
        <v>0</v>
      </c>
      <c r="T851"/>
    </row>
    <row r="852" spans="1:20">
      <c r="A852" s="5" t="s">
        <v>36</v>
      </c>
      <c r="B852" s="5" t="s">
        <v>14179</v>
      </c>
      <c r="C852" s="4">
        <v>45684</v>
      </c>
      <c r="D852" s="4">
        <v>45684</v>
      </c>
      <c r="E852" s="5" t="s">
        <v>16266</v>
      </c>
      <c r="F852" s="5" t="s">
        <v>18255</v>
      </c>
      <c r="G852" s="5" t="s">
        <v>831</v>
      </c>
      <c r="H852" s="5">
        <v>1</v>
      </c>
      <c r="I852" s="8" t="s">
        <v>8003</v>
      </c>
      <c r="J852" s="8" t="s">
        <v>10052</v>
      </c>
      <c r="K852" s="8" t="s">
        <v>1849</v>
      </c>
      <c r="L852" s="8" t="s">
        <v>12103</v>
      </c>
      <c r="M852" s="8" t="s">
        <v>3899</v>
      </c>
      <c r="N852" s="8" t="s">
        <v>5950</v>
      </c>
      <c r="O852" s="5" t="s">
        <v>41</v>
      </c>
      <c r="P852" s="4">
        <v>45709</v>
      </c>
      <c r="Q852" s="15">
        <v>59.8</v>
      </c>
      <c r="R852" s="15">
        <v>17.78</v>
      </c>
      <c r="S852" s="15">
        <v>0</v>
      </c>
      <c r="T852"/>
    </row>
    <row r="853" spans="1:20">
      <c r="A853" s="5" t="s">
        <v>36</v>
      </c>
      <c r="B853" s="5" t="s">
        <v>14180</v>
      </c>
      <c r="C853" s="4">
        <v>45684</v>
      </c>
      <c r="D853" s="4">
        <v>45684</v>
      </c>
      <c r="E853" s="5" t="s">
        <v>16267</v>
      </c>
      <c r="F853" s="5" t="s">
        <v>18256</v>
      </c>
      <c r="G853" s="5" t="s">
        <v>817</v>
      </c>
      <c r="H853" s="5">
        <v>1</v>
      </c>
      <c r="I853" s="8" t="s">
        <v>8004</v>
      </c>
      <c r="J853" s="8" t="s">
        <v>10053</v>
      </c>
      <c r="K853" s="8" t="s">
        <v>1850</v>
      </c>
      <c r="L853" s="8" t="s">
        <v>12104</v>
      </c>
      <c r="M853" s="8" t="s">
        <v>3900</v>
      </c>
      <c r="N853" s="8" t="s">
        <v>5951</v>
      </c>
      <c r="O853" s="5" t="s">
        <v>39</v>
      </c>
      <c r="P853" s="4">
        <v>45709</v>
      </c>
      <c r="Q853" s="15">
        <v>32.99</v>
      </c>
      <c r="R853" s="15">
        <v>14.99</v>
      </c>
      <c r="S853" s="15">
        <v>0</v>
      </c>
      <c r="T853"/>
    </row>
    <row r="854" spans="1:20">
      <c r="A854" s="5" t="s">
        <v>36</v>
      </c>
      <c r="B854" s="5" t="s">
        <v>14181</v>
      </c>
      <c r="C854" s="4">
        <v>45685</v>
      </c>
      <c r="D854" s="4">
        <v>45685</v>
      </c>
      <c r="E854" s="5" t="s">
        <v>16268</v>
      </c>
      <c r="F854" s="5" t="s">
        <v>18257</v>
      </c>
      <c r="G854" s="5" t="s">
        <v>845</v>
      </c>
      <c r="H854" s="5">
        <v>1</v>
      </c>
      <c r="I854" s="8" t="s">
        <v>8005</v>
      </c>
      <c r="J854" s="8" t="s">
        <v>10054</v>
      </c>
      <c r="K854" s="8" t="s">
        <v>1851</v>
      </c>
      <c r="L854" s="8" t="s">
        <v>12105</v>
      </c>
      <c r="M854" s="8" t="s">
        <v>3901</v>
      </c>
      <c r="N854" s="8" t="s">
        <v>5952</v>
      </c>
      <c r="O854" s="5" t="s">
        <v>67</v>
      </c>
      <c r="P854" s="4">
        <v>45716</v>
      </c>
      <c r="Q854" s="15">
        <v>66.989999999999995</v>
      </c>
      <c r="R854" s="15">
        <v>17.190000000000001</v>
      </c>
      <c r="S854" s="15">
        <v>0</v>
      </c>
      <c r="T854"/>
    </row>
    <row r="855" spans="1:20">
      <c r="A855" s="5" t="s">
        <v>36</v>
      </c>
      <c r="B855" s="5" t="s">
        <v>14182</v>
      </c>
      <c r="C855" s="4">
        <v>45686</v>
      </c>
      <c r="D855" s="4">
        <v>45686</v>
      </c>
      <c r="E855" s="5" t="s">
        <v>16269</v>
      </c>
      <c r="F855" s="5" t="s">
        <v>18258</v>
      </c>
      <c r="G855" s="5" t="s">
        <v>849</v>
      </c>
      <c r="H855" s="5">
        <v>1</v>
      </c>
      <c r="I855" s="8" t="s">
        <v>8006</v>
      </c>
      <c r="J855" s="8" t="s">
        <v>10055</v>
      </c>
      <c r="K855" s="8" t="s">
        <v>1852</v>
      </c>
      <c r="L855" s="8" t="s">
        <v>12106</v>
      </c>
      <c r="M855" s="8" t="s">
        <v>3902</v>
      </c>
      <c r="N855" s="8" t="s">
        <v>5953</v>
      </c>
      <c r="O855" s="5" t="s">
        <v>61</v>
      </c>
      <c r="P855" s="4">
        <v>45713</v>
      </c>
      <c r="Q855" s="15">
        <v>65.989999999999995</v>
      </c>
      <c r="R855" s="15">
        <v>10.17</v>
      </c>
      <c r="S855" s="15">
        <v>0</v>
      </c>
      <c r="T855"/>
    </row>
    <row r="856" spans="1:20">
      <c r="A856" s="5" t="s">
        <v>36</v>
      </c>
      <c r="B856" s="5" t="s">
        <v>14183</v>
      </c>
      <c r="C856" s="4">
        <v>45686</v>
      </c>
      <c r="D856" s="4">
        <v>45686</v>
      </c>
      <c r="E856" s="5" t="s">
        <v>16270</v>
      </c>
      <c r="F856" s="5" t="s">
        <v>18259</v>
      </c>
      <c r="G856" s="5" t="s">
        <v>848</v>
      </c>
      <c r="H856" s="5">
        <v>1</v>
      </c>
      <c r="I856" s="8" t="s">
        <v>8007</v>
      </c>
      <c r="J856" s="8" t="s">
        <v>10056</v>
      </c>
      <c r="K856" s="8" t="s">
        <v>1853</v>
      </c>
      <c r="L856" s="8" t="s">
        <v>12107</v>
      </c>
      <c r="M856" s="8" t="s">
        <v>3903</v>
      </c>
      <c r="N856" s="8" t="s">
        <v>5954</v>
      </c>
      <c r="O856" s="5" t="s">
        <v>76</v>
      </c>
      <c r="P856" s="4">
        <v>45707</v>
      </c>
      <c r="Q856" s="15">
        <v>75.989999999999995</v>
      </c>
      <c r="R856" s="15">
        <v>0</v>
      </c>
      <c r="S856" s="15">
        <v>0</v>
      </c>
      <c r="T856"/>
    </row>
    <row r="857" spans="1:20">
      <c r="A857" s="5" t="s">
        <v>36</v>
      </c>
      <c r="B857" s="5" t="s">
        <v>14184</v>
      </c>
      <c r="C857" s="4">
        <v>45687</v>
      </c>
      <c r="D857" s="4">
        <v>45688</v>
      </c>
      <c r="E857" s="5" t="s">
        <v>16271</v>
      </c>
      <c r="F857" s="5" t="s">
        <v>18260</v>
      </c>
      <c r="G857" s="5" t="s">
        <v>849</v>
      </c>
      <c r="H857" s="5">
        <v>1</v>
      </c>
      <c r="I857" s="8" t="s">
        <v>8008</v>
      </c>
      <c r="J857" s="8" t="s">
        <v>10057</v>
      </c>
      <c r="K857" s="8" t="s">
        <v>1854</v>
      </c>
      <c r="L857" s="8" t="s">
        <v>12108</v>
      </c>
      <c r="M857" s="8" t="s">
        <v>3904</v>
      </c>
      <c r="N857" s="8" t="s">
        <v>5955</v>
      </c>
      <c r="O857" s="5" t="s">
        <v>61</v>
      </c>
      <c r="P857" s="4">
        <v>45708</v>
      </c>
      <c r="Q857" s="15">
        <v>65.989999999999995</v>
      </c>
      <c r="R857" s="15">
        <v>10.18</v>
      </c>
      <c r="S857" s="15">
        <v>0</v>
      </c>
      <c r="T857"/>
    </row>
    <row r="858" spans="1:20">
      <c r="A858" s="5" t="s">
        <v>36</v>
      </c>
      <c r="B858" s="5" t="s">
        <v>14185</v>
      </c>
      <c r="C858" s="4">
        <v>45687</v>
      </c>
      <c r="D858" s="4">
        <v>45688</v>
      </c>
      <c r="E858" s="5" t="s">
        <v>16272</v>
      </c>
      <c r="F858" s="5" t="s">
        <v>18261</v>
      </c>
      <c r="G858" s="5" t="s">
        <v>817</v>
      </c>
      <c r="H858" s="5">
        <v>1</v>
      </c>
      <c r="I858" s="8" t="s">
        <v>8009</v>
      </c>
      <c r="J858" s="8" t="s">
        <v>10058</v>
      </c>
      <c r="K858" s="8" t="s">
        <v>1855</v>
      </c>
      <c r="L858" s="8" t="s">
        <v>12109</v>
      </c>
      <c r="M858" s="8" t="s">
        <v>3905</v>
      </c>
      <c r="N858" s="8" t="s">
        <v>5956</v>
      </c>
      <c r="O858" s="5" t="s">
        <v>39</v>
      </c>
      <c r="P858" s="4">
        <v>45706</v>
      </c>
      <c r="Q858" s="15">
        <v>32.99</v>
      </c>
      <c r="R858" s="15">
        <v>14.99</v>
      </c>
      <c r="S858" s="15">
        <v>0</v>
      </c>
      <c r="T858"/>
    </row>
    <row r="859" spans="1:20">
      <c r="A859" s="5" t="s">
        <v>36</v>
      </c>
      <c r="B859" s="5" t="s">
        <v>14186</v>
      </c>
      <c r="C859" s="4">
        <v>45688</v>
      </c>
      <c r="D859" s="4">
        <v>45688</v>
      </c>
      <c r="E859" s="5" t="s">
        <v>16273</v>
      </c>
      <c r="F859" s="5" t="s">
        <v>18262</v>
      </c>
      <c r="G859" s="5" t="s">
        <v>817</v>
      </c>
      <c r="H859" s="5">
        <v>1</v>
      </c>
      <c r="I859" s="8" t="s">
        <v>8010</v>
      </c>
      <c r="J859" s="8" t="s">
        <v>10059</v>
      </c>
      <c r="K859" s="8" t="s">
        <v>1856</v>
      </c>
      <c r="L859" s="8" t="s">
        <v>12110</v>
      </c>
      <c r="M859" s="8" t="s">
        <v>3906</v>
      </c>
      <c r="N859" s="8" t="s">
        <v>5957</v>
      </c>
      <c r="O859" s="5" t="s">
        <v>39</v>
      </c>
      <c r="P859" s="4">
        <v>45703</v>
      </c>
      <c r="Q859" s="15">
        <v>32.99</v>
      </c>
      <c r="R859" s="15">
        <v>14.99</v>
      </c>
      <c r="S859" s="15">
        <v>0</v>
      </c>
      <c r="T859"/>
    </row>
    <row r="860" spans="1:20">
      <c r="A860" s="5" t="s">
        <v>36</v>
      </c>
      <c r="B860" s="5" t="s">
        <v>14187</v>
      </c>
      <c r="C860" s="4">
        <v>45689</v>
      </c>
      <c r="D860" s="4">
        <v>45691</v>
      </c>
      <c r="E860" s="5" t="s">
        <v>16274</v>
      </c>
      <c r="F860" s="5" t="s">
        <v>18263</v>
      </c>
      <c r="G860" s="5" t="s">
        <v>824</v>
      </c>
      <c r="H860" s="5">
        <v>1</v>
      </c>
      <c r="I860" s="8" t="s">
        <v>8011</v>
      </c>
      <c r="J860" s="8" t="s">
        <v>10060</v>
      </c>
      <c r="K860" s="8" t="s">
        <v>1857</v>
      </c>
      <c r="L860" s="8" t="s">
        <v>12111</v>
      </c>
      <c r="M860" s="8" t="s">
        <v>3907</v>
      </c>
      <c r="N860" s="8" t="s">
        <v>5958</v>
      </c>
      <c r="O860" s="5" t="s">
        <v>38</v>
      </c>
      <c r="P860" s="4">
        <v>45709</v>
      </c>
      <c r="Q860" s="15">
        <v>18.899999999999999</v>
      </c>
      <c r="R860" s="15">
        <v>6.99</v>
      </c>
      <c r="S860" s="15">
        <v>0</v>
      </c>
      <c r="T860"/>
    </row>
    <row r="861" spans="1:20">
      <c r="A861" s="5" t="s">
        <v>36</v>
      </c>
      <c r="B861" s="5" t="s">
        <v>14188</v>
      </c>
      <c r="C861" s="4">
        <v>45689</v>
      </c>
      <c r="D861" s="4">
        <v>45691</v>
      </c>
      <c r="E861" s="5" t="s">
        <v>16275</v>
      </c>
      <c r="F861" s="5" t="s">
        <v>18264</v>
      </c>
      <c r="G861" s="5" t="s">
        <v>824</v>
      </c>
      <c r="H861" s="5">
        <v>1</v>
      </c>
      <c r="I861" s="8" t="s">
        <v>8012</v>
      </c>
      <c r="J861" s="8" t="s">
        <v>10061</v>
      </c>
      <c r="K861" s="8" t="s">
        <v>1858</v>
      </c>
      <c r="L861" s="8" t="s">
        <v>12112</v>
      </c>
      <c r="M861" s="8" t="s">
        <v>3908</v>
      </c>
      <c r="N861" s="8" t="s">
        <v>5959</v>
      </c>
      <c r="O861" s="5" t="s">
        <v>38</v>
      </c>
      <c r="P861" s="4">
        <v>45709</v>
      </c>
      <c r="Q861" s="15">
        <v>18.899999999999999</v>
      </c>
      <c r="R861" s="15">
        <v>6.99</v>
      </c>
      <c r="S861" s="15">
        <v>0</v>
      </c>
      <c r="T861"/>
    </row>
    <row r="862" spans="1:20">
      <c r="A862" s="5" t="s">
        <v>36</v>
      </c>
      <c r="B862" s="5" t="s">
        <v>14189</v>
      </c>
      <c r="C862" s="4">
        <v>45689</v>
      </c>
      <c r="D862" s="4">
        <v>45691</v>
      </c>
      <c r="E862" s="5" t="s">
        <v>16276</v>
      </c>
      <c r="F862" s="5" t="s">
        <v>18265</v>
      </c>
      <c r="G862" s="5" t="s">
        <v>824</v>
      </c>
      <c r="H862" s="5">
        <v>1</v>
      </c>
      <c r="I862" s="8" t="s">
        <v>8013</v>
      </c>
      <c r="J862" s="8" t="s">
        <v>10062</v>
      </c>
      <c r="K862" s="8" t="s">
        <v>1859</v>
      </c>
      <c r="L862" s="8" t="s">
        <v>12113</v>
      </c>
      <c r="M862" s="8" t="s">
        <v>3909</v>
      </c>
      <c r="N862" s="8" t="s">
        <v>5960</v>
      </c>
      <c r="O862" s="5" t="s">
        <v>38</v>
      </c>
      <c r="P862" s="4">
        <v>45709</v>
      </c>
      <c r="Q862" s="15">
        <v>18.899999999999999</v>
      </c>
      <c r="R862" s="15">
        <v>6.99</v>
      </c>
      <c r="S862" s="15">
        <v>0</v>
      </c>
      <c r="T862"/>
    </row>
    <row r="863" spans="1:20">
      <c r="A863" s="5" t="s">
        <v>36</v>
      </c>
      <c r="B863" s="5" t="s">
        <v>14190</v>
      </c>
      <c r="C863" s="4">
        <v>45689</v>
      </c>
      <c r="D863" s="4">
        <v>45691</v>
      </c>
      <c r="E863" s="5" t="s">
        <v>16277</v>
      </c>
      <c r="F863" s="5" t="s">
        <v>18266</v>
      </c>
      <c r="G863" s="5" t="s">
        <v>872</v>
      </c>
      <c r="H863" s="5">
        <v>1</v>
      </c>
      <c r="I863" s="8" t="s">
        <v>8014</v>
      </c>
      <c r="J863" s="8" t="s">
        <v>10063</v>
      </c>
      <c r="K863" s="8" t="s">
        <v>1860</v>
      </c>
      <c r="L863" s="8" t="s">
        <v>12114</v>
      </c>
      <c r="M863" s="8" t="s">
        <v>3910</v>
      </c>
      <c r="N863" s="8" t="s">
        <v>5961</v>
      </c>
      <c r="O863" s="5" t="s">
        <v>98</v>
      </c>
      <c r="P863" s="4">
        <v>45703</v>
      </c>
      <c r="Q863" s="15">
        <v>29.99</v>
      </c>
      <c r="R863" s="15">
        <v>13.3</v>
      </c>
      <c r="S863" s="15">
        <v>0</v>
      </c>
      <c r="T863"/>
    </row>
    <row r="864" spans="1:20">
      <c r="A864" s="5" t="s">
        <v>36</v>
      </c>
      <c r="B864" s="5" t="s">
        <v>14191</v>
      </c>
      <c r="C864" s="4">
        <v>45689</v>
      </c>
      <c r="D864" s="4">
        <v>45691</v>
      </c>
      <c r="E864" s="5" t="s">
        <v>16278</v>
      </c>
      <c r="F864" s="5" t="s">
        <v>18267</v>
      </c>
      <c r="G864" s="5" t="s">
        <v>831</v>
      </c>
      <c r="H864" s="5">
        <v>1</v>
      </c>
      <c r="I864" s="8" t="s">
        <v>8015</v>
      </c>
      <c r="J864" s="8" t="s">
        <v>10064</v>
      </c>
      <c r="K864" s="8" t="s">
        <v>1861</v>
      </c>
      <c r="L864" s="8" t="s">
        <v>12115</v>
      </c>
      <c r="M864" s="8" t="s">
        <v>3911</v>
      </c>
      <c r="N864" s="8" t="s">
        <v>5962</v>
      </c>
      <c r="O864" s="5" t="s">
        <v>41</v>
      </c>
      <c r="P864" s="4">
        <v>45709</v>
      </c>
      <c r="Q864" s="15">
        <v>52.7</v>
      </c>
      <c r="R864" s="15">
        <v>16.57</v>
      </c>
      <c r="S864" s="15">
        <v>0</v>
      </c>
      <c r="T864"/>
    </row>
    <row r="865" spans="1:20">
      <c r="A865" s="5" t="s">
        <v>36</v>
      </c>
      <c r="B865" s="5" t="s">
        <v>14192</v>
      </c>
      <c r="C865" s="4">
        <v>45690</v>
      </c>
      <c r="D865" s="4">
        <v>45691</v>
      </c>
      <c r="E865" s="5" t="s">
        <v>16279</v>
      </c>
      <c r="F865" s="5" t="s">
        <v>18268</v>
      </c>
      <c r="G865" s="5" t="s">
        <v>855</v>
      </c>
      <c r="H865" s="5">
        <v>1</v>
      </c>
      <c r="I865" s="8" t="s">
        <v>8016</v>
      </c>
      <c r="J865" s="8" t="s">
        <v>10065</v>
      </c>
      <c r="K865" s="8" t="s">
        <v>1862</v>
      </c>
      <c r="L865" s="8" t="s">
        <v>12116</v>
      </c>
      <c r="M865" s="8" t="s">
        <v>3912</v>
      </c>
      <c r="N865" s="8" t="s">
        <v>5963</v>
      </c>
      <c r="O865" s="5" t="s">
        <v>81</v>
      </c>
      <c r="P865" s="4">
        <v>45709</v>
      </c>
      <c r="Q865" s="15">
        <v>32.99</v>
      </c>
      <c r="R865" s="15">
        <v>14.4</v>
      </c>
      <c r="S865" s="15">
        <v>0</v>
      </c>
      <c r="T865"/>
    </row>
    <row r="866" spans="1:20">
      <c r="A866" s="5" t="s">
        <v>36</v>
      </c>
      <c r="B866" s="5" t="s">
        <v>14193</v>
      </c>
      <c r="C866" s="4">
        <v>45690</v>
      </c>
      <c r="D866" s="4">
        <v>45691</v>
      </c>
      <c r="E866" s="5" t="s">
        <v>16280</v>
      </c>
      <c r="F866" s="5" t="s">
        <v>18269</v>
      </c>
      <c r="G866" s="5" t="s">
        <v>831</v>
      </c>
      <c r="H866" s="5">
        <v>1</v>
      </c>
      <c r="I866" s="8" t="s">
        <v>8017</v>
      </c>
      <c r="J866" s="8" t="s">
        <v>10066</v>
      </c>
      <c r="K866" s="8" t="s">
        <v>1863</v>
      </c>
      <c r="L866" s="8" t="s">
        <v>12117</v>
      </c>
      <c r="M866" s="8" t="s">
        <v>3913</v>
      </c>
      <c r="N866" s="8" t="s">
        <v>5964</v>
      </c>
      <c r="O866" s="5" t="s">
        <v>41</v>
      </c>
      <c r="P866" s="4">
        <v>45727</v>
      </c>
      <c r="Q866" s="15">
        <v>52.7</v>
      </c>
      <c r="R866" s="15">
        <v>16.57</v>
      </c>
      <c r="S866" s="15">
        <v>0</v>
      </c>
      <c r="T866"/>
    </row>
    <row r="867" spans="1:20">
      <c r="A867" s="5" t="s">
        <v>36</v>
      </c>
      <c r="B867" s="5" t="s">
        <v>14194</v>
      </c>
      <c r="C867" s="4">
        <v>45690</v>
      </c>
      <c r="D867" s="4">
        <v>45691</v>
      </c>
      <c r="E867" s="5" t="s">
        <v>16281</v>
      </c>
      <c r="F867" s="5" t="s">
        <v>18270</v>
      </c>
      <c r="G867" s="5" t="s">
        <v>824</v>
      </c>
      <c r="H867" s="5">
        <v>1</v>
      </c>
      <c r="I867" s="8" t="s">
        <v>8018</v>
      </c>
      <c r="J867" s="8" t="s">
        <v>10067</v>
      </c>
      <c r="K867" s="8" t="s">
        <v>1864</v>
      </c>
      <c r="L867" s="8" t="s">
        <v>12118</v>
      </c>
      <c r="M867" s="8" t="s">
        <v>3914</v>
      </c>
      <c r="N867" s="8" t="s">
        <v>5965</v>
      </c>
      <c r="O867" s="5" t="s">
        <v>38</v>
      </c>
      <c r="P867" s="4">
        <v>45709</v>
      </c>
      <c r="Q867" s="15">
        <v>18.899999999999999</v>
      </c>
      <c r="R867" s="15">
        <v>6.99</v>
      </c>
      <c r="S867" s="15">
        <v>0</v>
      </c>
      <c r="T867"/>
    </row>
    <row r="868" spans="1:20">
      <c r="A868" s="5" t="s">
        <v>36</v>
      </c>
      <c r="B868" s="5" t="s">
        <v>14195</v>
      </c>
      <c r="C868" s="4">
        <v>45690</v>
      </c>
      <c r="D868" s="4">
        <v>45691</v>
      </c>
      <c r="E868" s="5" t="s">
        <v>16282</v>
      </c>
      <c r="F868" s="5" t="s">
        <v>18271</v>
      </c>
      <c r="G868" s="5" t="s">
        <v>824</v>
      </c>
      <c r="H868" s="5">
        <v>1</v>
      </c>
      <c r="I868" s="8" t="s">
        <v>8019</v>
      </c>
      <c r="J868" s="8" t="s">
        <v>10068</v>
      </c>
      <c r="K868" s="8" t="s">
        <v>1865</v>
      </c>
      <c r="L868" s="8" t="s">
        <v>12119</v>
      </c>
      <c r="M868" s="8" t="s">
        <v>3915</v>
      </c>
      <c r="N868" s="8" t="s">
        <v>5966</v>
      </c>
      <c r="O868" s="5" t="s">
        <v>38</v>
      </c>
      <c r="P868" s="4">
        <v>45715</v>
      </c>
      <c r="Q868" s="15">
        <v>18.899999999999999</v>
      </c>
      <c r="R868" s="15">
        <v>6.99</v>
      </c>
      <c r="S868" s="15">
        <v>0</v>
      </c>
      <c r="T868"/>
    </row>
    <row r="869" spans="1:20">
      <c r="A869" s="5" t="s">
        <v>36</v>
      </c>
      <c r="B869" s="5" t="s">
        <v>14196</v>
      </c>
      <c r="C869" s="4">
        <v>45690</v>
      </c>
      <c r="D869" s="4">
        <v>45691</v>
      </c>
      <c r="E869" s="5" t="s">
        <v>16283</v>
      </c>
      <c r="F869" s="5" t="s">
        <v>18272</v>
      </c>
      <c r="G869" s="5" t="s">
        <v>831</v>
      </c>
      <c r="H869" s="5">
        <v>1</v>
      </c>
      <c r="I869" s="8" t="s">
        <v>8020</v>
      </c>
      <c r="J869" s="8" t="s">
        <v>10069</v>
      </c>
      <c r="K869" s="8" t="s">
        <v>1866</v>
      </c>
      <c r="L869" s="8" t="s">
        <v>12120</v>
      </c>
      <c r="M869" s="8" t="s">
        <v>3916</v>
      </c>
      <c r="N869" s="8" t="s">
        <v>5967</v>
      </c>
      <c r="O869" s="5" t="s">
        <v>41</v>
      </c>
      <c r="P869" s="4">
        <v>45709</v>
      </c>
      <c r="Q869" s="15">
        <v>52.7</v>
      </c>
      <c r="R869" s="15">
        <v>16.57</v>
      </c>
      <c r="S869" s="15">
        <v>0</v>
      </c>
      <c r="T869"/>
    </row>
    <row r="870" spans="1:20">
      <c r="A870" s="5" t="s">
        <v>36</v>
      </c>
      <c r="B870" s="5" t="s">
        <v>14197</v>
      </c>
      <c r="C870" s="4">
        <v>45690</v>
      </c>
      <c r="D870" s="4">
        <v>45691</v>
      </c>
      <c r="E870" s="5" t="s">
        <v>16284</v>
      </c>
      <c r="F870" s="5" t="s">
        <v>18273</v>
      </c>
      <c r="G870" s="5" t="s">
        <v>817</v>
      </c>
      <c r="H870" s="5">
        <v>1</v>
      </c>
      <c r="I870" s="8" t="s">
        <v>8021</v>
      </c>
      <c r="J870" s="8" t="s">
        <v>10070</v>
      </c>
      <c r="K870" s="8" t="s">
        <v>1867</v>
      </c>
      <c r="L870" s="8" t="s">
        <v>12121</v>
      </c>
      <c r="M870" s="8" t="s">
        <v>3917</v>
      </c>
      <c r="N870" s="8" t="s">
        <v>5968</v>
      </c>
      <c r="O870" s="5" t="s">
        <v>39</v>
      </c>
      <c r="P870" s="4">
        <v>45707</v>
      </c>
      <c r="Q870" s="15">
        <v>32.99</v>
      </c>
      <c r="R870" s="15">
        <v>14.99</v>
      </c>
      <c r="S870" s="15">
        <v>0</v>
      </c>
      <c r="T870"/>
    </row>
    <row r="871" spans="1:20">
      <c r="A871" s="5" t="s">
        <v>36</v>
      </c>
      <c r="B871" s="5" t="s">
        <v>14198</v>
      </c>
      <c r="C871" s="4">
        <v>45690</v>
      </c>
      <c r="D871" s="4">
        <v>45691</v>
      </c>
      <c r="E871" s="5" t="s">
        <v>16285</v>
      </c>
      <c r="F871" s="5" t="s">
        <v>18274</v>
      </c>
      <c r="G871" s="5" t="s">
        <v>848</v>
      </c>
      <c r="H871" s="5">
        <v>1</v>
      </c>
      <c r="I871" s="8" t="s">
        <v>8022</v>
      </c>
      <c r="J871" s="8" t="s">
        <v>10071</v>
      </c>
      <c r="K871" s="8" t="s">
        <v>1868</v>
      </c>
      <c r="L871" s="8" t="s">
        <v>12122</v>
      </c>
      <c r="M871" s="8" t="s">
        <v>3918</v>
      </c>
      <c r="N871" s="8" t="s">
        <v>5969</v>
      </c>
      <c r="O871" s="5" t="s">
        <v>76</v>
      </c>
      <c r="P871" s="4">
        <v>45709</v>
      </c>
      <c r="Q871" s="15">
        <v>74.989999999999995</v>
      </c>
      <c r="R871" s="15">
        <v>0</v>
      </c>
      <c r="S871" s="15">
        <v>0</v>
      </c>
      <c r="T871"/>
    </row>
    <row r="872" spans="1:20">
      <c r="A872" s="5" t="s">
        <v>36</v>
      </c>
      <c r="B872" s="5" t="s">
        <v>14199</v>
      </c>
      <c r="C872" s="4">
        <v>45690</v>
      </c>
      <c r="D872" s="4">
        <v>45691</v>
      </c>
      <c r="E872" s="5" t="s">
        <v>16286</v>
      </c>
      <c r="F872" s="5" t="s">
        <v>18275</v>
      </c>
      <c r="G872" s="5" t="s">
        <v>824</v>
      </c>
      <c r="H872" s="5">
        <v>1</v>
      </c>
      <c r="I872" s="8" t="s">
        <v>8023</v>
      </c>
      <c r="J872" s="8" t="s">
        <v>10072</v>
      </c>
      <c r="K872" s="8" t="s">
        <v>1869</v>
      </c>
      <c r="L872" s="8" t="s">
        <v>12123</v>
      </c>
      <c r="M872" s="8" t="s">
        <v>3919</v>
      </c>
      <c r="N872" s="8" t="s">
        <v>5970</v>
      </c>
      <c r="O872" s="5" t="s">
        <v>38</v>
      </c>
      <c r="P872" s="4">
        <v>45715</v>
      </c>
      <c r="Q872" s="15">
        <v>18.899999999999999</v>
      </c>
      <c r="R872" s="15">
        <v>6.99</v>
      </c>
      <c r="S872" s="15">
        <v>0</v>
      </c>
      <c r="T872"/>
    </row>
    <row r="873" spans="1:20">
      <c r="A873" s="5" t="s">
        <v>36</v>
      </c>
      <c r="B873" s="5" t="s">
        <v>14200</v>
      </c>
      <c r="C873" s="4">
        <v>45691</v>
      </c>
      <c r="D873" s="4">
        <v>45691</v>
      </c>
      <c r="E873" s="5" t="s">
        <v>16287</v>
      </c>
      <c r="F873" s="5" t="s">
        <v>18276</v>
      </c>
      <c r="G873" s="5" t="s">
        <v>836</v>
      </c>
      <c r="H873" s="5">
        <v>1</v>
      </c>
      <c r="I873" s="8" t="s">
        <v>8024</v>
      </c>
      <c r="J873" s="8" t="s">
        <v>10073</v>
      </c>
      <c r="K873" s="8" t="s">
        <v>1870</v>
      </c>
      <c r="L873" s="8" t="s">
        <v>12124</v>
      </c>
      <c r="M873" s="8" t="s">
        <v>3920</v>
      </c>
      <c r="N873" s="8" t="s">
        <v>5971</v>
      </c>
      <c r="O873" s="5" t="s">
        <v>55</v>
      </c>
      <c r="P873" s="4">
        <v>45715</v>
      </c>
      <c r="Q873" s="15">
        <v>34.5</v>
      </c>
      <c r="R873" s="15">
        <v>17</v>
      </c>
      <c r="S873" s="15">
        <v>0</v>
      </c>
      <c r="T873"/>
    </row>
    <row r="874" spans="1:20">
      <c r="A874" s="5" t="s">
        <v>36</v>
      </c>
      <c r="B874" s="5" t="s">
        <v>14201</v>
      </c>
      <c r="C874" s="4">
        <v>45691</v>
      </c>
      <c r="D874" s="4">
        <v>45691</v>
      </c>
      <c r="E874" s="5" t="s">
        <v>16288</v>
      </c>
      <c r="F874" s="5" t="s">
        <v>18277</v>
      </c>
      <c r="G874" s="5" t="s">
        <v>824</v>
      </c>
      <c r="H874" s="5">
        <v>1</v>
      </c>
      <c r="I874" s="8" t="s">
        <v>8025</v>
      </c>
      <c r="J874" s="8" t="s">
        <v>10074</v>
      </c>
      <c r="K874" s="8" t="s">
        <v>1871</v>
      </c>
      <c r="L874" s="8" t="s">
        <v>12125</v>
      </c>
      <c r="M874" s="8" t="s">
        <v>3921</v>
      </c>
      <c r="N874" s="8" t="s">
        <v>5972</v>
      </c>
      <c r="O874" s="5" t="s">
        <v>38</v>
      </c>
      <c r="P874" s="4">
        <v>45709</v>
      </c>
      <c r="Q874" s="15">
        <v>18.899999999999999</v>
      </c>
      <c r="R874" s="15">
        <v>6.99</v>
      </c>
      <c r="S874" s="15">
        <v>0</v>
      </c>
      <c r="T874"/>
    </row>
    <row r="875" spans="1:20">
      <c r="A875" s="5" t="s">
        <v>36</v>
      </c>
      <c r="B875" s="5" t="s">
        <v>14202</v>
      </c>
      <c r="C875" s="4">
        <v>45691</v>
      </c>
      <c r="D875" s="4">
        <v>45691</v>
      </c>
      <c r="E875" s="5" t="s">
        <v>16289</v>
      </c>
      <c r="F875" s="5" t="s">
        <v>18278</v>
      </c>
      <c r="G875" s="5" t="s">
        <v>817</v>
      </c>
      <c r="H875" s="5">
        <v>1</v>
      </c>
      <c r="I875" s="8" t="s">
        <v>8026</v>
      </c>
      <c r="J875" s="8" t="s">
        <v>10075</v>
      </c>
      <c r="K875" s="8" t="s">
        <v>1872</v>
      </c>
      <c r="L875" s="8" t="s">
        <v>12126</v>
      </c>
      <c r="M875" s="8" t="s">
        <v>3922</v>
      </c>
      <c r="N875" s="8" t="s">
        <v>5973</v>
      </c>
      <c r="O875" s="5" t="s">
        <v>39</v>
      </c>
      <c r="P875" s="4">
        <v>45716</v>
      </c>
      <c r="Q875" s="15">
        <v>32.99</v>
      </c>
      <c r="R875" s="15">
        <v>14.99</v>
      </c>
      <c r="S875" s="15">
        <v>0</v>
      </c>
      <c r="T875"/>
    </row>
    <row r="876" spans="1:20">
      <c r="A876" s="5" t="s">
        <v>36</v>
      </c>
      <c r="B876" s="5" t="s">
        <v>14203</v>
      </c>
      <c r="C876" s="4">
        <v>45691</v>
      </c>
      <c r="D876" s="4">
        <v>45691</v>
      </c>
      <c r="E876" s="5" t="s">
        <v>16290</v>
      </c>
      <c r="F876" s="5" t="s">
        <v>18279</v>
      </c>
      <c r="G876" s="5" t="s">
        <v>824</v>
      </c>
      <c r="H876" s="5">
        <v>1</v>
      </c>
      <c r="I876" s="8" t="s">
        <v>8027</v>
      </c>
      <c r="J876" s="8" t="s">
        <v>10076</v>
      </c>
      <c r="K876" s="8" t="s">
        <v>1873</v>
      </c>
      <c r="L876" s="8" t="s">
        <v>12127</v>
      </c>
      <c r="M876" s="8" t="s">
        <v>3923</v>
      </c>
      <c r="N876" s="8" t="s">
        <v>5974</v>
      </c>
      <c r="O876" s="5" t="s">
        <v>38</v>
      </c>
      <c r="P876" s="4">
        <v>45710</v>
      </c>
      <c r="Q876" s="15">
        <v>18.899999999999999</v>
      </c>
      <c r="R876" s="15">
        <v>6.99</v>
      </c>
      <c r="S876" s="15">
        <v>0</v>
      </c>
      <c r="T876"/>
    </row>
    <row r="877" spans="1:20">
      <c r="A877" s="5" t="s">
        <v>36</v>
      </c>
      <c r="B877" s="5" t="s">
        <v>14204</v>
      </c>
      <c r="C877" s="4">
        <v>45691</v>
      </c>
      <c r="D877" s="4">
        <v>45691</v>
      </c>
      <c r="E877" s="5" t="s">
        <v>16291</v>
      </c>
      <c r="F877" s="5" t="s">
        <v>18280</v>
      </c>
      <c r="G877" s="5" t="s">
        <v>817</v>
      </c>
      <c r="H877" s="5">
        <v>1</v>
      </c>
      <c r="I877" s="8" t="s">
        <v>8028</v>
      </c>
      <c r="J877" s="8" t="s">
        <v>10077</v>
      </c>
      <c r="K877" s="8" t="s">
        <v>1874</v>
      </c>
      <c r="L877" s="8" t="s">
        <v>12128</v>
      </c>
      <c r="M877" s="8" t="s">
        <v>3924</v>
      </c>
      <c r="N877" s="8" t="s">
        <v>5975</v>
      </c>
      <c r="O877" s="5" t="s">
        <v>39</v>
      </c>
      <c r="P877" s="4">
        <v>45708</v>
      </c>
      <c r="Q877" s="15">
        <v>32.99</v>
      </c>
      <c r="R877" s="15">
        <v>14.99</v>
      </c>
      <c r="S877" s="15">
        <v>0</v>
      </c>
      <c r="T877"/>
    </row>
    <row r="878" spans="1:20">
      <c r="A878" s="5" t="s">
        <v>36</v>
      </c>
      <c r="B878" s="5" t="s">
        <v>14205</v>
      </c>
      <c r="C878" s="4">
        <v>45691</v>
      </c>
      <c r="D878" s="4">
        <v>45691</v>
      </c>
      <c r="E878" s="5" t="s">
        <v>16292</v>
      </c>
      <c r="F878" s="5" t="s">
        <v>18281</v>
      </c>
      <c r="G878" s="5" t="s">
        <v>849</v>
      </c>
      <c r="H878" s="5">
        <v>1</v>
      </c>
      <c r="I878" s="8" t="s">
        <v>8029</v>
      </c>
      <c r="J878" s="8" t="s">
        <v>10078</v>
      </c>
      <c r="K878" s="8" t="s">
        <v>1875</v>
      </c>
      <c r="L878" s="8" t="s">
        <v>12129</v>
      </c>
      <c r="M878" s="8" t="s">
        <v>3925</v>
      </c>
      <c r="N878" s="8" t="s">
        <v>5976</v>
      </c>
      <c r="O878" s="5" t="s">
        <v>61</v>
      </c>
      <c r="P878" s="4">
        <v>45710</v>
      </c>
      <c r="Q878" s="15">
        <v>65.989999999999995</v>
      </c>
      <c r="R878" s="15">
        <v>10.19</v>
      </c>
      <c r="S878" s="15">
        <v>0</v>
      </c>
      <c r="T878"/>
    </row>
    <row r="879" spans="1:20">
      <c r="A879" s="5" t="s">
        <v>36</v>
      </c>
      <c r="B879" s="5" t="s">
        <v>14206</v>
      </c>
      <c r="C879" s="4">
        <v>45691</v>
      </c>
      <c r="D879" s="4">
        <v>45691</v>
      </c>
      <c r="E879" s="5" t="s">
        <v>16293</v>
      </c>
      <c r="F879" s="5" t="s">
        <v>18282</v>
      </c>
      <c r="G879" s="5" t="s">
        <v>824</v>
      </c>
      <c r="H879" s="5">
        <v>1</v>
      </c>
      <c r="I879" s="8" t="s">
        <v>8030</v>
      </c>
      <c r="J879" s="8" t="s">
        <v>10079</v>
      </c>
      <c r="K879" s="8" t="s">
        <v>1876</v>
      </c>
      <c r="L879" s="8" t="s">
        <v>12130</v>
      </c>
      <c r="M879" s="8" t="s">
        <v>3926</v>
      </c>
      <c r="N879" s="8" t="s">
        <v>5977</v>
      </c>
      <c r="O879" s="5" t="s">
        <v>38</v>
      </c>
      <c r="P879" s="4">
        <v>45710</v>
      </c>
      <c r="Q879" s="15">
        <v>18.899999999999999</v>
      </c>
      <c r="R879" s="15">
        <v>6.99</v>
      </c>
      <c r="S879" s="15">
        <v>0</v>
      </c>
      <c r="T879"/>
    </row>
    <row r="880" spans="1:20">
      <c r="A880" s="5" t="s">
        <v>36</v>
      </c>
      <c r="B880" s="5" t="s">
        <v>14207</v>
      </c>
      <c r="C880" s="4">
        <v>45691</v>
      </c>
      <c r="D880" s="4">
        <v>45691</v>
      </c>
      <c r="E880" s="5" t="s">
        <v>16294</v>
      </c>
      <c r="F880" s="5" t="s">
        <v>18283</v>
      </c>
      <c r="G880" s="5" t="s">
        <v>824</v>
      </c>
      <c r="H880" s="5">
        <v>1</v>
      </c>
      <c r="I880" s="8" t="s">
        <v>8031</v>
      </c>
      <c r="J880" s="8" t="s">
        <v>10080</v>
      </c>
      <c r="K880" s="8" t="s">
        <v>1877</v>
      </c>
      <c r="L880" s="8" t="s">
        <v>12131</v>
      </c>
      <c r="M880" s="8" t="s">
        <v>3927</v>
      </c>
      <c r="N880" s="8" t="s">
        <v>5978</v>
      </c>
      <c r="O880" s="5" t="s">
        <v>38</v>
      </c>
      <c r="P880" s="4">
        <v>45716</v>
      </c>
      <c r="Q880" s="15">
        <v>18.899999999999999</v>
      </c>
      <c r="R880" s="15">
        <v>6.99</v>
      </c>
      <c r="S880" s="15">
        <v>0</v>
      </c>
      <c r="T880"/>
    </row>
    <row r="881" spans="1:20">
      <c r="A881" s="5" t="s">
        <v>36</v>
      </c>
      <c r="B881" s="5" t="s">
        <v>14208</v>
      </c>
      <c r="C881" s="4">
        <v>45692</v>
      </c>
      <c r="D881" s="4">
        <v>45692</v>
      </c>
      <c r="E881" s="5" t="s">
        <v>16295</v>
      </c>
      <c r="F881" s="5" t="s">
        <v>18284</v>
      </c>
      <c r="G881" s="5" t="s">
        <v>824</v>
      </c>
      <c r="H881" s="5">
        <v>1</v>
      </c>
      <c r="I881" s="8" t="s">
        <v>8032</v>
      </c>
      <c r="J881" s="8" t="s">
        <v>10081</v>
      </c>
      <c r="K881" s="8" t="s">
        <v>1878</v>
      </c>
      <c r="L881" s="8" t="s">
        <v>12132</v>
      </c>
      <c r="M881" s="8" t="s">
        <v>3928</v>
      </c>
      <c r="N881" s="8" t="s">
        <v>5979</v>
      </c>
      <c r="O881" s="5" t="s">
        <v>38</v>
      </c>
      <c r="P881" s="4">
        <v>45710</v>
      </c>
      <c r="Q881" s="15">
        <v>18.899999999999999</v>
      </c>
      <c r="R881" s="15">
        <v>6.99</v>
      </c>
      <c r="S881" s="15">
        <v>0</v>
      </c>
      <c r="T881"/>
    </row>
    <row r="882" spans="1:20">
      <c r="A882" s="5" t="s">
        <v>36</v>
      </c>
      <c r="B882" s="5" t="s">
        <v>14209</v>
      </c>
      <c r="C882" s="4">
        <v>45692</v>
      </c>
      <c r="D882" s="4">
        <v>45692</v>
      </c>
      <c r="E882" s="5" t="s">
        <v>16296</v>
      </c>
      <c r="F882" s="5" t="s">
        <v>18285</v>
      </c>
      <c r="G882" s="5" t="s">
        <v>824</v>
      </c>
      <c r="H882" s="5">
        <v>1</v>
      </c>
      <c r="I882" s="8" t="s">
        <v>8033</v>
      </c>
      <c r="J882" s="8" t="s">
        <v>10082</v>
      </c>
      <c r="K882" s="8" t="s">
        <v>1879</v>
      </c>
      <c r="L882" s="8" t="s">
        <v>12133</v>
      </c>
      <c r="M882" s="8" t="s">
        <v>3929</v>
      </c>
      <c r="N882" s="8" t="s">
        <v>5980</v>
      </c>
      <c r="O882" s="5" t="s">
        <v>38</v>
      </c>
      <c r="P882" s="4">
        <v>45710</v>
      </c>
      <c r="Q882" s="15">
        <v>18.899999999999999</v>
      </c>
      <c r="R882" s="15">
        <v>6.99</v>
      </c>
      <c r="S882" s="15">
        <v>0</v>
      </c>
      <c r="T882"/>
    </row>
    <row r="883" spans="1:20">
      <c r="A883" s="5" t="s">
        <v>36</v>
      </c>
      <c r="B883" s="5" t="s">
        <v>14210</v>
      </c>
      <c r="C883" s="4">
        <v>45692</v>
      </c>
      <c r="D883" s="4">
        <v>45692</v>
      </c>
      <c r="E883" s="5" t="s">
        <v>16297</v>
      </c>
      <c r="F883" s="5" t="s">
        <v>18286</v>
      </c>
      <c r="G883" s="5" t="s">
        <v>831</v>
      </c>
      <c r="H883" s="5">
        <v>1</v>
      </c>
      <c r="I883" s="8" t="s">
        <v>8034</v>
      </c>
      <c r="J883" s="8" t="s">
        <v>10083</v>
      </c>
      <c r="K883" s="8" t="s">
        <v>1880</v>
      </c>
      <c r="L883" s="8" t="s">
        <v>12134</v>
      </c>
      <c r="M883" s="8" t="s">
        <v>3930</v>
      </c>
      <c r="N883" s="8" t="s">
        <v>5981</v>
      </c>
      <c r="O883" s="5" t="s">
        <v>41</v>
      </c>
      <c r="P883" s="4">
        <v>45717</v>
      </c>
      <c r="Q883" s="15">
        <v>52.7</v>
      </c>
      <c r="R883" s="15">
        <v>16.440000000000001</v>
      </c>
      <c r="S883" s="15">
        <v>0</v>
      </c>
      <c r="T883"/>
    </row>
    <row r="884" spans="1:20">
      <c r="A884" s="5" t="s">
        <v>36</v>
      </c>
      <c r="B884" s="5" t="s">
        <v>14211</v>
      </c>
      <c r="C884" s="4">
        <v>45692</v>
      </c>
      <c r="D884" s="4">
        <v>45692</v>
      </c>
      <c r="E884" s="5" t="s">
        <v>16298</v>
      </c>
      <c r="F884" s="5" t="s">
        <v>18287</v>
      </c>
      <c r="G884" s="5" t="s">
        <v>817</v>
      </c>
      <c r="H884" s="5">
        <v>1</v>
      </c>
      <c r="I884" s="8" t="s">
        <v>8035</v>
      </c>
      <c r="J884" s="8" t="s">
        <v>10084</v>
      </c>
      <c r="K884" s="8" t="s">
        <v>1881</v>
      </c>
      <c r="L884" s="8" t="s">
        <v>12135</v>
      </c>
      <c r="M884" s="8" t="s">
        <v>3931</v>
      </c>
      <c r="N884" s="8" t="s">
        <v>5982</v>
      </c>
      <c r="O884" s="5" t="s">
        <v>39</v>
      </c>
      <c r="P884" s="4">
        <v>45709</v>
      </c>
      <c r="Q884" s="15">
        <v>33.99</v>
      </c>
      <c r="R884" s="15">
        <v>14.99</v>
      </c>
      <c r="S884" s="15">
        <v>0</v>
      </c>
      <c r="T884"/>
    </row>
    <row r="885" spans="1:20">
      <c r="A885" s="5" t="s">
        <v>36</v>
      </c>
      <c r="B885" s="5" t="s">
        <v>14212</v>
      </c>
      <c r="C885" s="4">
        <v>45692</v>
      </c>
      <c r="D885" s="4">
        <v>45692</v>
      </c>
      <c r="E885" s="5" t="s">
        <v>16299</v>
      </c>
      <c r="F885" s="5" t="s">
        <v>18288</v>
      </c>
      <c r="G885" s="5" t="s">
        <v>824</v>
      </c>
      <c r="H885" s="5">
        <v>1</v>
      </c>
      <c r="I885" s="8" t="s">
        <v>8036</v>
      </c>
      <c r="J885" s="8" t="s">
        <v>10085</v>
      </c>
      <c r="K885" s="8" t="s">
        <v>1882</v>
      </c>
      <c r="L885" s="8" t="s">
        <v>12136</v>
      </c>
      <c r="M885" s="8" t="s">
        <v>3932</v>
      </c>
      <c r="N885" s="8" t="s">
        <v>5983</v>
      </c>
      <c r="O885" s="5" t="s">
        <v>38</v>
      </c>
      <c r="P885" s="4">
        <v>45717</v>
      </c>
      <c r="Q885" s="15">
        <v>19.600000000000001</v>
      </c>
      <c r="R885" s="15">
        <v>6.99</v>
      </c>
      <c r="S885" s="15">
        <v>0</v>
      </c>
      <c r="T885"/>
    </row>
    <row r="886" spans="1:20">
      <c r="A886" s="5" t="s">
        <v>36</v>
      </c>
      <c r="B886" s="5" t="s">
        <v>14213</v>
      </c>
      <c r="C886" s="4">
        <v>45692</v>
      </c>
      <c r="D886" s="4">
        <v>45692</v>
      </c>
      <c r="E886" s="5" t="s">
        <v>16300</v>
      </c>
      <c r="F886" s="5" t="s">
        <v>18289</v>
      </c>
      <c r="G886" s="5" t="s">
        <v>824</v>
      </c>
      <c r="H886" s="5">
        <v>1</v>
      </c>
      <c r="I886" s="8" t="s">
        <v>8037</v>
      </c>
      <c r="J886" s="8" t="s">
        <v>10086</v>
      </c>
      <c r="K886" s="8" t="s">
        <v>1883</v>
      </c>
      <c r="L886" s="8" t="s">
        <v>12137</v>
      </c>
      <c r="M886" s="8" t="s">
        <v>3933</v>
      </c>
      <c r="N886" s="8" t="s">
        <v>5984</v>
      </c>
      <c r="O886" s="5" t="s">
        <v>38</v>
      </c>
      <c r="P886" s="4">
        <v>45713</v>
      </c>
      <c r="Q886" s="15">
        <v>19.600000000000001</v>
      </c>
      <c r="R886" s="15">
        <v>6.99</v>
      </c>
      <c r="S886" s="15">
        <v>0</v>
      </c>
      <c r="T886"/>
    </row>
    <row r="887" spans="1:20">
      <c r="A887" s="5" t="s">
        <v>36</v>
      </c>
      <c r="B887" s="5" t="s">
        <v>14214</v>
      </c>
      <c r="C887" s="4">
        <v>45692</v>
      </c>
      <c r="D887" s="4">
        <v>45692</v>
      </c>
      <c r="E887" s="5" t="s">
        <v>16301</v>
      </c>
      <c r="F887" s="5" t="s">
        <v>18290</v>
      </c>
      <c r="G887" s="5" t="s">
        <v>849</v>
      </c>
      <c r="H887" s="5">
        <v>1</v>
      </c>
      <c r="I887" s="8" t="s">
        <v>8038</v>
      </c>
      <c r="J887" s="8" t="s">
        <v>10087</v>
      </c>
      <c r="K887" s="8" t="s">
        <v>1884</v>
      </c>
      <c r="L887" s="8" t="s">
        <v>12138</v>
      </c>
      <c r="M887" s="8" t="s">
        <v>3934</v>
      </c>
      <c r="N887" s="8" t="s">
        <v>5985</v>
      </c>
      <c r="O887" s="5" t="s">
        <v>61</v>
      </c>
      <c r="P887" s="4">
        <v>45713</v>
      </c>
      <c r="Q887" s="15">
        <v>65.989999999999995</v>
      </c>
      <c r="R887" s="15">
        <v>10.16</v>
      </c>
      <c r="S887" s="15">
        <v>0</v>
      </c>
      <c r="T887"/>
    </row>
    <row r="888" spans="1:20">
      <c r="A888" s="5" t="s">
        <v>36</v>
      </c>
      <c r="B888" s="5" t="s">
        <v>14215</v>
      </c>
      <c r="C888" s="4">
        <v>45692</v>
      </c>
      <c r="D888" s="4">
        <v>45692</v>
      </c>
      <c r="E888" s="5" t="s">
        <v>16302</v>
      </c>
      <c r="F888" s="5" t="s">
        <v>18291</v>
      </c>
      <c r="G888" s="5" t="s">
        <v>849</v>
      </c>
      <c r="H888" s="5">
        <v>1</v>
      </c>
      <c r="I888" s="8" t="s">
        <v>8039</v>
      </c>
      <c r="J888" s="8" t="s">
        <v>10088</v>
      </c>
      <c r="K888" s="8" t="s">
        <v>1885</v>
      </c>
      <c r="L888" s="8" t="s">
        <v>12139</v>
      </c>
      <c r="M888" s="8" t="s">
        <v>3935</v>
      </c>
      <c r="N888" s="8" t="s">
        <v>5986</v>
      </c>
      <c r="O888" s="5" t="s">
        <v>61</v>
      </c>
      <c r="P888" s="4">
        <v>45713</v>
      </c>
      <c r="Q888" s="15">
        <v>65.989999999999995</v>
      </c>
      <c r="R888" s="15">
        <v>10.16</v>
      </c>
      <c r="S888" s="15">
        <v>0</v>
      </c>
      <c r="T888"/>
    </row>
    <row r="889" spans="1:20">
      <c r="A889" s="5" t="s">
        <v>36</v>
      </c>
      <c r="B889" s="5" t="s">
        <v>14216</v>
      </c>
      <c r="C889" s="4">
        <v>45693</v>
      </c>
      <c r="D889" s="4">
        <v>45695</v>
      </c>
      <c r="E889" s="5" t="s">
        <v>16303</v>
      </c>
      <c r="F889" s="5" t="s">
        <v>18292</v>
      </c>
      <c r="G889" s="5" t="s">
        <v>849</v>
      </c>
      <c r="H889" s="5">
        <v>1</v>
      </c>
      <c r="I889" s="8" t="s">
        <v>8040</v>
      </c>
      <c r="J889" s="8" t="s">
        <v>10089</v>
      </c>
      <c r="K889" s="8" t="s">
        <v>1886</v>
      </c>
      <c r="L889" s="8" t="s">
        <v>12140</v>
      </c>
      <c r="M889" s="8" t="s">
        <v>3936</v>
      </c>
      <c r="N889" s="8" t="s">
        <v>5987</v>
      </c>
      <c r="O889" s="5" t="s">
        <v>61</v>
      </c>
      <c r="P889" s="4">
        <v>45717</v>
      </c>
      <c r="Q889" s="15">
        <v>75.989999999999995</v>
      </c>
      <c r="R889" s="15">
        <v>14.65</v>
      </c>
      <c r="S889" s="15">
        <v>0</v>
      </c>
      <c r="T889"/>
    </row>
    <row r="890" spans="1:20">
      <c r="A890" s="5" t="s">
        <v>36</v>
      </c>
      <c r="B890" s="5" t="s">
        <v>14217</v>
      </c>
      <c r="C890" s="4">
        <v>45693</v>
      </c>
      <c r="D890" s="4">
        <v>45693</v>
      </c>
      <c r="E890" s="5" t="s">
        <v>16304</v>
      </c>
      <c r="F890" s="5" t="s">
        <v>18293</v>
      </c>
      <c r="G890" s="5" t="s">
        <v>845</v>
      </c>
      <c r="H890" s="5">
        <v>1</v>
      </c>
      <c r="I890" s="8" t="s">
        <v>8041</v>
      </c>
      <c r="J890" s="8" t="s">
        <v>10090</v>
      </c>
      <c r="K890" s="8" t="s">
        <v>1887</v>
      </c>
      <c r="L890" s="8" t="s">
        <v>12141</v>
      </c>
      <c r="M890" s="8" t="s">
        <v>3937</v>
      </c>
      <c r="N890" s="8" t="s">
        <v>5988</v>
      </c>
      <c r="O890" s="5" t="s">
        <v>67</v>
      </c>
      <c r="P890" s="4">
        <v>45723</v>
      </c>
      <c r="Q890" s="15">
        <v>65.989999999999995</v>
      </c>
      <c r="R890" s="15">
        <v>10.68</v>
      </c>
      <c r="S890" s="15">
        <v>0</v>
      </c>
      <c r="T890"/>
    </row>
    <row r="891" spans="1:20">
      <c r="A891" s="5" t="s">
        <v>36</v>
      </c>
      <c r="B891" s="5" t="s">
        <v>14218</v>
      </c>
      <c r="C891" s="4">
        <v>45693</v>
      </c>
      <c r="D891" s="4">
        <v>45693</v>
      </c>
      <c r="E891" s="5" t="s">
        <v>16305</v>
      </c>
      <c r="F891" s="5" t="s">
        <v>18294</v>
      </c>
      <c r="G891" s="5" t="s">
        <v>817</v>
      </c>
      <c r="H891" s="5">
        <v>1</v>
      </c>
      <c r="I891" s="8" t="s">
        <v>8042</v>
      </c>
      <c r="J891" s="8" t="s">
        <v>10091</v>
      </c>
      <c r="K891" s="8" t="s">
        <v>1888</v>
      </c>
      <c r="L891" s="8" t="s">
        <v>12142</v>
      </c>
      <c r="M891" s="8" t="s">
        <v>3938</v>
      </c>
      <c r="N891" s="8" t="s">
        <v>5989</v>
      </c>
      <c r="O891" s="5" t="s">
        <v>39</v>
      </c>
      <c r="P891" s="4">
        <v>45710</v>
      </c>
      <c r="Q891" s="15">
        <v>33.99</v>
      </c>
      <c r="R891" s="15">
        <v>14.99</v>
      </c>
      <c r="S891" s="15">
        <v>0</v>
      </c>
      <c r="T891"/>
    </row>
    <row r="892" spans="1:20">
      <c r="A892" s="5" t="s">
        <v>36</v>
      </c>
      <c r="B892" s="5" t="s">
        <v>14219</v>
      </c>
      <c r="C892" s="4">
        <v>45693</v>
      </c>
      <c r="D892" s="4">
        <v>45693</v>
      </c>
      <c r="E892" s="5" t="s">
        <v>16306</v>
      </c>
      <c r="F892" s="5" t="s">
        <v>18295</v>
      </c>
      <c r="G892" s="5" t="s">
        <v>848</v>
      </c>
      <c r="H892" s="5">
        <v>1</v>
      </c>
      <c r="I892" s="8" t="s">
        <v>8043</v>
      </c>
      <c r="J892" s="8" t="s">
        <v>10092</v>
      </c>
      <c r="K892" s="8" t="s">
        <v>1889</v>
      </c>
      <c r="L892" s="8" t="s">
        <v>12143</v>
      </c>
      <c r="M892" s="8" t="s">
        <v>3939</v>
      </c>
      <c r="N892" s="8" t="s">
        <v>5990</v>
      </c>
      <c r="O892" s="5" t="s">
        <v>76</v>
      </c>
      <c r="P892" s="4">
        <v>45714</v>
      </c>
      <c r="Q892" s="15">
        <v>74.989999999999995</v>
      </c>
      <c r="R892" s="15">
        <v>27.94</v>
      </c>
      <c r="S892" s="15">
        <v>0</v>
      </c>
      <c r="T892"/>
    </row>
    <row r="893" spans="1:20">
      <c r="A893" s="5" t="s">
        <v>36</v>
      </c>
      <c r="B893" s="5" t="s">
        <v>14220</v>
      </c>
      <c r="C893" s="4">
        <v>45693</v>
      </c>
      <c r="D893" s="4">
        <v>45693</v>
      </c>
      <c r="E893" s="5" t="s">
        <v>16307</v>
      </c>
      <c r="F893" s="5" t="s">
        <v>18296</v>
      </c>
      <c r="G893" s="5" t="s">
        <v>845</v>
      </c>
      <c r="H893" s="5">
        <v>1</v>
      </c>
      <c r="I893" s="8" t="s">
        <v>8044</v>
      </c>
      <c r="J893" s="8" t="s">
        <v>10093</v>
      </c>
      <c r="K893" s="8" t="s">
        <v>1890</v>
      </c>
      <c r="L893" s="8" t="s">
        <v>12144</v>
      </c>
      <c r="M893" s="8" t="s">
        <v>3940</v>
      </c>
      <c r="N893" s="8" t="s">
        <v>5991</v>
      </c>
      <c r="O893" s="5" t="s">
        <v>67</v>
      </c>
      <c r="P893" s="4">
        <v>45714</v>
      </c>
      <c r="Q893" s="15">
        <v>65.989999999999995</v>
      </c>
      <c r="R893" s="15">
        <v>10.68</v>
      </c>
      <c r="S893" s="15">
        <v>0</v>
      </c>
      <c r="T893"/>
    </row>
    <row r="894" spans="1:20">
      <c r="A894" s="5" t="s">
        <v>108</v>
      </c>
      <c r="B894" s="5" t="s">
        <v>14221</v>
      </c>
      <c r="C894" s="4">
        <v>45672</v>
      </c>
      <c r="D894" s="4">
        <v>45672</v>
      </c>
      <c r="E894" s="5" t="s">
        <v>16308</v>
      </c>
      <c r="F894" s="5" t="s">
        <v>18297</v>
      </c>
      <c r="G894" s="5" t="s">
        <v>826</v>
      </c>
      <c r="H894" s="5">
        <v>1</v>
      </c>
      <c r="I894" s="8" t="s">
        <v>8045</v>
      </c>
      <c r="J894" s="8" t="s">
        <v>10094</v>
      </c>
      <c r="K894" s="8" t="s">
        <v>1891</v>
      </c>
      <c r="L894" s="8" t="s">
        <v>12145</v>
      </c>
      <c r="M894" s="8" t="s">
        <v>3941</v>
      </c>
      <c r="N894" s="8" t="s">
        <v>5992</v>
      </c>
      <c r="O894" s="5" t="s">
        <v>109</v>
      </c>
      <c r="P894" s="4">
        <v>45691</v>
      </c>
      <c r="Q894" s="15">
        <v>19.78</v>
      </c>
      <c r="R894" s="15">
        <v>11.99</v>
      </c>
      <c r="S894" s="15">
        <v>0</v>
      </c>
      <c r="T894"/>
    </row>
    <row r="895" spans="1:20">
      <c r="A895" s="5" t="s">
        <v>108</v>
      </c>
      <c r="B895" s="5" t="s">
        <v>14222</v>
      </c>
      <c r="C895" s="4">
        <v>45678</v>
      </c>
      <c r="D895" s="4">
        <v>45678</v>
      </c>
      <c r="E895" s="5" t="s">
        <v>16309</v>
      </c>
      <c r="F895" s="5" t="s">
        <v>18298</v>
      </c>
      <c r="G895" s="5" t="s">
        <v>884</v>
      </c>
      <c r="H895" s="5">
        <v>1</v>
      </c>
      <c r="I895" s="8" t="s">
        <v>8046</v>
      </c>
      <c r="J895" s="8" t="s">
        <v>10095</v>
      </c>
      <c r="K895" s="8" t="s">
        <v>1892</v>
      </c>
      <c r="L895" s="8" t="s">
        <v>12146</v>
      </c>
      <c r="M895" s="8" t="s">
        <v>3942</v>
      </c>
      <c r="N895" s="8" t="s">
        <v>5993</v>
      </c>
      <c r="O895" s="5" t="s">
        <v>110</v>
      </c>
      <c r="P895" s="4">
        <v>45699</v>
      </c>
      <c r="Q895" s="15">
        <v>41.4</v>
      </c>
      <c r="R895" s="15">
        <v>21.89</v>
      </c>
      <c r="S895" s="15">
        <v>0</v>
      </c>
      <c r="T895"/>
    </row>
    <row r="896" spans="1:20">
      <c r="A896" s="5" t="s">
        <v>108</v>
      </c>
      <c r="B896" s="5" t="s">
        <v>14223</v>
      </c>
      <c r="C896" s="4">
        <v>45681</v>
      </c>
      <c r="D896" s="4">
        <v>45681</v>
      </c>
      <c r="E896" s="5" t="s">
        <v>16310</v>
      </c>
      <c r="F896" s="5" t="s">
        <v>18299</v>
      </c>
      <c r="G896" s="5" t="s">
        <v>849</v>
      </c>
      <c r="H896" s="5">
        <v>1</v>
      </c>
      <c r="I896" s="8" t="s">
        <v>8047</v>
      </c>
      <c r="J896" s="8" t="s">
        <v>10096</v>
      </c>
      <c r="K896" s="8" t="s">
        <v>1893</v>
      </c>
      <c r="L896" s="8" t="s">
        <v>12147</v>
      </c>
      <c r="M896" s="8" t="s">
        <v>3943</v>
      </c>
      <c r="N896" s="8" t="s">
        <v>5994</v>
      </c>
      <c r="O896" s="5" t="s">
        <v>111</v>
      </c>
      <c r="P896" s="4">
        <v>45702</v>
      </c>
      <c r="Q896" s="15">
        <v>64</v>
      </c>
      <c r="R896" s="15">
        <v>17.02</v>
      </c>
      <c r="S896" s="15">
        <v>0</v>
      </c>
      <c r="T896"/>
    </row>
    <row r="897" spans="1:20">
      <c r="A897" s="5" t="s">
        <v>108</v>
      </c>
      <c r="B897" s="5" t="s">
        <v>14224</v>
      </c>
      <c r="C897" s="4">
        <v>45681</v>
      </c>
      <c r="D897" s="4">
        <v>45681</v>
      </c>
      <c r="E897" s="5" t="s">
        <v>16311</v>
      </c>
      <c r="F897" s="5" t="s">
        <v>18300</v>
      </c>
      <c r="G897" s="5" t="s">
        <v>849</v>
      </c>
      <c r="H897" s="5">
        <v>1</v>
      </c>
      <c r="I897" s="8" t="s">
        <v>8048</v>
      </c>
      <c r="J897" s="8" t="s">
        <v>10097</v>
      </c>
      <c r="K897" s="8" t="s">
        <v>1894</v>
      </c>
      <c r="L897" s="8" t="s">
        <v>12148</v>
      </c>
      <c r="M897" s="8" t="s">
        <v>3944</v>
      </c>
      <c r="N897" s="8" t="s">
        <v>5995</v>
      </c>
      <c r="O897" s="5" t="s">
        <v>111</v>
      </c>
      <c r="P897" s="4">
        <v>45702</v>
      </c>
      <c r="Q897" s="15">
        <v>64</v>
      </c>
      <c r="R897" s="15">
        <v>17.02</v>
      </c>
      <c r="S897" s="15">
        <v>0</v>
      </c>
      <c r="T897"/>
    </row>
    <row r="898" spans="1:20">
      <c r="A898" s="5" t="s">
        <v>108</v>
      </c>
      <c r="B898" s="5" t="s">
        <v>14225</v>
      </c>
      <c r="C898" s="4">
        <v>45682</v>
      </c>
      <c r="D898" s="4">
        <v>45684</v>
      </c>
      <c r="E898" s="5" t="s">
        <v>16312</v>
      </c>
      <c r="F898" s="5" t="s">
        <v>18301</v>
      </c>
      <c r="G898" s="5" t="s">
        <v>849</v>
      </c>
      <c r="H898" s="5">
        <v>1</v>
      </c>
      <c r="I898" s="8" t="s">
        <v>8049</v>
      </c>
      <c r="J898" s="8" t="s">
        <v>10098</v>
      </c>
      <c r="K898" s="8" t="s">
        <v>1895</v>
      </c>
      <c r="L898" s="8" t="s">
        <v>12149</v>
      </c>
      <c r="M898" s="8" t="s">
        <v>3945</v>
      </c>
      <c r="N898" s="8" t="s">
        <v>5996</v>
      </c>
      <c r="O898" s="5" t="s">
        <v>111</v>
      </c>
      <c r="P898" s="4">
        <v>45708</v>
      </c>
      <c r="Q898" s="15">
        <v>64</v>
      </c>
      <c r="R898" s="15">
        <v>17.329999999999998</v>
      </c>
      <c r="S898" s="15">
        <v>0</v>
      </c>
      <c r="T898"/>
    </row>
    <row r="899" spans="1:20">
      <c r="A899" s="5" t="s">
        <v>108</v>
      </c>
      <c r="B899" s="5" t="s">
        <v>14226</v>
      </c>
      <c r="C899" s="4">
        <v>45682</v>
      </c>
      <c r="D899" s="4">
        <v>45684</v>
      </c>
      <c r="E899" s="5" t="s">
        <v>16313</v>
      </c>
      <c r="F899" s="5" t="s">
        <v>18302</v>
      </c>
      <c r="G899" s="5" t="s">
        <v>849</v>
      </c>
      <c r="H899" s="5">
        <v>1</v>
      </c>
      <c r="I899" s="8" t="s">
        <v>8050</v>
      </c>
      <c r="J899" s="8" t="s">
        <v>10099</v>
      </c>
      <c r="K899" s="8" t="s">
        <v>1896</v>
      </c>
      <c r="L899" s="8" t="s">
        <v>12150</v>
      </c>
      <c r="M899" s="8" t="s">
        <v>3946</v>
      </c>
      <c r="N899" s="8" t="s">
        <v>5997</v>
      </c>
      <c r="O899" s="5" t="s">
        <v>111</v>
      </c>
      <c r="P899" s="4">
        <v>45702</v>
      </c>
      <c r="Q899" s="15">
        <v>64</v>
      </c>
      <c r="R899" s="15">
        <v>17.329999999999998</v>
      </c>
      <c r="S899" s="15">
        <v>0</v>
      </c>
      <c r="T899"/>
    </row>
    <row r="900" spans="1:20">
      <c r="A900" s="5" t="s">
        <v>108</v>
      </c>
      <c r="B900" s="5" t="s">
        <v>14227</v>
      </c>
      <c r="C900" s="4">
        <v>45683</v>
      </c>
      <c r="D900" s="4">
        <v>45684</v>
      </c>
      <c r="E900" s="5" t="s">
        <v>16314</v>
      </c>
      <c r="F900" s="5" t="s">
        <v>18303</v>
      </c>
      <c r="G900" s="5" t="s">
        <v>849</v>
      </c>
      <c r="H900" s="5">
        <v>1</v>
      </c>
      <c r="I900" s="8" t="s">
        <v>8051</v>
      </c>
      <c r="J900" s="8" t="s">
        <v>10100</v>
      </c>
      <c r="K900" s="8" t="s">
        <v>1897</v>
      </c>
      <c r="L900" s="8" t="s">
        <v>12151</v>
      </c>
      <c r="M900" s="8" t="s">
        <v>3947</v>
      </c>
      <c r="N900" s="8" t="s">
        <v>5998</v>
      </c>
      <c r="O900" s="5" t="s">
        <v>111</v>
      </c>
      <c r="P900" s="4">
        <v>45702</v>
      </c>
      <c r="Q900" s="15">
        <v>63.6</v>
      </c>
      <c r="R900" s="15">
        <v>17.329999999999998</v>
      </c>
      <c r="S900" s="15">
        <v>0</v>
      </c>
      <c r="T900"/>
    </row>
    <row r="901" spans="1:20">
      <c r="A901" s="5" t="s">
        <v>108</v>
      </c>
      <c r="B901" s="5" t="s">
        <v>14228</v>
      </c>
      <c r="C901" s="4">
        <v>45683</v>
      </c>
      <c r="D901" s="4">
        <v>45684</v>
      </c>
      <c r="E901" s="5" t="s">
        <v>16315</v>
      </c>
      <c r="F901" s="5" t="s">
        <v>18304</v>
      </c>
      <c r="G901" s="5" t="s">
        <v>849</v>
      </c>
      <c r="H901" s="5">
        <v>1</v>
      </c>
      <c r="I901" s="8" t="s">
        <v>8052</v>
      </c>
      <c r="J901" s="8" t="s">
        <v>10101</v>
      </c>
      <c r="K901" s="8" t="s">
        <v>1898</v>
      </c>
      <c r="L901" s="8" t="s">
        <v>12152</v>
      </c>
      <c r="M901" s="8" t="s">
        <v>3948</v>
      </c>
      <c r="N901" s="8" t="s">
        <v>5999</v>
      </c>
      <c r="O901" s="5" t="s">
        <v>111</v>
      </c>
      <c r="P901" s="4">
        <v>45708</v>
      </c>
      <c r="Q901" s="15">
        <v>63.6</v>
      </c>
      <c r="R901" s="15">
        <v>17.329999999999998</v>
      </c>
      <c r="S901" s="15">
        <v>0</v>
      </c>
      <c r="T901"/>
    </row>
    <row r="902" spans="1:20">
      <c r="A902" s="5" t="s">
        <v>108</v>
      </c>
      <c r="B902" s="5" t="s">
        <v>14229</v>
      </c>
      <c r="C902" s="4">
        <v>45683</v>
      </c>
      <c r="D902" s="4">
        <v>45684</v>
      </c>
      <c r="E902" s="5" t="s">
        <v>16316</v>
      </c>
      <c r="F902" s="5" t="s">
        <v>18305</v>
      </c>
      <c r="G902" s="5" t="s">
        <v>849</v>
      </c>
      <c r="H902" s="5">
        <v>1</v>
      </c>
      <c r="I902" s="8" t="s">
        <v>8053</v>
      </c>
      <c r="J902" s="8" t="s">
        <v>10102</v>
      </c>
      <c r="K902" s="8" t="s">
        <v>1899</v>
      </c>
      <c r="L902" s="8" t="s">
        <v>12153</v>
      </c>
      <c r="M902" s="8" t="s">
        <v>3949</v>
      </c>
      <c r="N902" s="8" t="s">
        <v>6000</v>
      </c>
      <c r="O902" s="5" t="s">
        <v>111</v>
      </c>
      <c r="P902" s="4">
        <v>45708</v>
      </c>
      <c r="Q902" s="15">
        <v>63.6</v>
      </c>
      <c r="R902" s="15">
        <v>10.61</v>
      </c>
      <c r="S902" s="15">
        <v>0</v>
      </c>
      <c r="T902"/>
    </row>
    <row r="903" spans="1:20">
      <c r="A903" s="5" t="s">
        <v>108</v>
      </c>
      <c r="B903" s="5" t="s">
        <v>14230</v>
      </c>
      <c r="C903" s="4">
        <v>45683</v>
      </c>
      <c r="D903" s="4">
        <v>45684</v>
      </c>
      <c r="E903" s="5" t="s">
        <v>16317</v>
      </c>
      <c r="F903" s="5" t="s">
        <v>18306</v>
      </c>
      <c r="G903" s="5" t="s">
        <v>849</v>
      </c>
      <c r="H903" s="5">
        <v>1</v>
      </c>
      <c r="I903" s="8" t="s">
        <v>8054</v>
      </c>
      <c r="J903" s="8" t="s">
        <v>10103</v>
      </c>
      <c r="K903" s="8" t="s">
        <v>1900</v>
      </c>
      <c r="L903" s="8" t="s">
        <v>12154</v>
      </c>
      <c r="M903" s="8" t="s">
        <v>3950</v>
      </c>
      <c r="N903" s="8" t="s">
        <v>6001</v>
      </c>
      <c r="O903" s="5" t="s">
        <v>111</v>
      </c>
      <c r="P903" s="4">
        <v>45702</v>
      </c>
      <c r="Q903" s="15">
        <v>63.6</v>
      </c>
      <c r="R903" s="15">
        <v>10.61</v>
      </c>
      <c r="S903" s="15">
        <v>0</v>
      </c>
      <c r="T903"/>
    </row>
    <row r="904" spans="1:20">
      <c r="A904" s="5" t="s">
        <v>108</v>
      </c>
      <c r="B904" s="5" t="s">
        <v>14231</v>
      </c>
      <c r="C904" s="4">
        <v>45683</v>
      </c>
      <c r="D904" s="4">
        <v>45684</v>
      </c>
      <c r="E904" s="5" t="s">
        <v>16318</v>
      </c>
      <c r="F904" s="5" t="s">
        <v>18307</v>
      </c>
      <c r="G904" s="5" t="s">
        <v>849</v>
      </c>
      <c r="H904" s="5">
        <v>1</v>
      </c>
      <c r="I904" s="8" t="s">
        <v>8055</v>
      </c>
      <c r="J904" s="8" t="s">
        <v>10104</v>
      </c>
      <c r="K904" s="8" t="s">
        <v>1901</v>
      </c>
      <c r="L904" s="8" t="s">
        <v>12155</v>
      </c>
      <c r="M904" s="8" t="s">
        <v>3951</v>
      </c>
      <c r="N904" s="8" t="s">
        <v>6002</v>
      </c>
      <c r="O904" s="5" t="s">
        <v>111</v>
      </c>
      <c r="P904" s="4">
        <v>45702</v>
      </c>
      <c r="Q904" s="15">
        <v>63.6</v>
      </c>
      <c r="R904" s="15">
        <v>10.61</v>
      </c>
      <c r="S904" s="15">
        <v>0</v>
      </c>
      <c r="T904"/>
    </row>
    <row r="905" spans="1:20">
      <c r="A905" s="5" t="s">
        <v>108</v>
      </c>
      <c r="B905" s="5" t="s">
        <v>14232</v>
      </c>
      <c r="C905" s="4">
        <v>45684</v>
      </c>
      <c r="D905" s="4">
        <v>45684</v>
      </c>
      <c r="E905" s="5" t="s">
        <v>16319</v>
      </c>
      <c r="F905" s="5" t="s">
        <v>18308</v>
      </c>
      <c r="G905" s="5" t="s">
        <v>849</v>
      </c>
      <c r="H905" s="5">
        <v>1</v>
      </c>
      <c r="I905" s="8" t="s">
        <v>8056</v>
      </c>
      <c r="J905" s="8" t="s">
        <v>10105</v>
      </c>
      <c r="K905" s="8" t="s">
        <v>1902</v>
      </c>
      <c r="L905" s="8" t="s">
        <v>12156</v>
      </c>
      <c r="M905" s="8" t="s">
        <v>3952</v>
      </c>
      <c r="N905" s="8" t="s">
        <v>6003</v>
      </c>
      <c r="O905" s="5" t="s">
        <v>111</v>
      </c>
      <c r="P905" s="4">
        <v>45709</v>
      </c>
      <c r="Q905" s="15">
        <v>63.6</v>
      </c>
      <c r="R905" s="15">
        <v>10.61</v>
      </c>
      <c r="S905" s="15">
        <v>0</v>
      </c>
      <c r="T905"/>
    </row>
    <row r="906" spans="1:20">
      <c r="A906" s="5" t="s">
        <v>108</v>
      </c>
      <c r="B906" s="5" t="s">
        <v>14233</v>
      </c>
      <c r="C906" s="4">
        <v>45684</v>
      </c>
      <c r="D906" s="4">
        <v>45684</v>
      </c>
      <c r="E906" s="5" t="s">
        <v>16320</v>
      </c>
      <c r="F906" s="5" t="s">
        <v>18309</v>
      </c>
      <c r="G906" s="5" t="s">
        <v>849</v>
      </c>
      <c r="H906" s="5">
        <v>1</v>
      </c>
      <c r="I906" s="8" t="s">
        <v>8057</v>
      </c>
      <c r="J906" s="8" t="s">
        <v>10106</v>
      </c>
      <c r="K906" s="8" t="s">
        <v>1903</v>
      </c>
      <c r="L906" s="8" t="s">
        <v>12157</v>
      </c>
      <c r="M906" s="8" t="s">
        <v>3953</v>
      </c>
      <c r="N906" s="8" t="s">
        <v>6004</v>
      </c>
      <c r="O906" s="5" t="s">
        <v>111</v>
      </c>
      <c r="P906" s="4">
        <v>45703</v>
      </c>
      <c r="Q906" s="15">
        <v>63.6</v>
      </c>
      <c r="R906" s="15">
        <v>10.61</v>
      </c>
      <c r="S906" s="15">
        <v>0</v>
      </c>
      <c r="T906"/>
    </row>
    <row r="907" spans="1:20">
      <c r="A907" s="5" t="s">
        <v>108</v>
      </c>
      <c r="B907" s="5" t="s">
        <v>14234</v>
      </c>
      <c r="C907" s="4">
        <v>45685</v>
      </c>
      <c r="D907" s="4">
        <v>45685</v>
      </c>
      <c r="E907" s="5" t="s">
        <v>16321</v>
      </c>
      <c r="F907" s="5" t="s">
        <v>18310</v>
      </c>
      <c r="G907" s="5" t="s">
        <v>849</v>
      </c>
      <c r="H907" s="5">
        <v>1</v>
      </c>
      <c r="I907" s="8" t="s">
        <v>8058</v>
      </c>
      <c r="J907" s="8" t="s">
        <v>10107</v>
      </c>
      <c r="K907" s="8" t="s">
        <v>1904</v>
      </c>
      <c r="L907" s="8" t="s">
        <v>12158</v>
      </c>
      <c r="M907" s="8" t="s">
        <v>3954</v>
      </c>
      <c r="N907" s="8" t="s">
        <v>6005</v>
      </c>
      <c r="O907" s="5" t="s">
        <v>111</v>
      </c>
      <c r="P907" s="4">
        <v>45706</v>
      </c>
      <c r="Q907" s="15">
        <v>65.900000000000006</v>
      </c>
      <c r="R907" s="15">
        <v>10.4</v>
      </c>
      <c r="S907" s="15">
        <v>0</v>
      </c>
      <c r="T907"/>
    </row>
    <row r="908" spans="1:20">
      <c r="A908" s="5" t="s">
        <v>108</v>
      </c>
      <c r="B908" s="5" t="s">
        <v>14235</v>
      </c>
      <c r="C908" s="4">
        <v>45685</v>
      </c>
      <c r="D908" s="4">
        <v>45685</v>
      </c>
      <c r="E908" s="5" t="s">
        <v>16322</v>
      </c>
      <c r="F908" s="5" t="s">
        <v>18311</v>
      </c>
      <c r="G908" s="5" t="s">
        <v>849</v>
      </c>
      <c r="H908" s="5">
        <v>1</v>
      </c>
      <c r="I908" s="8" t="s">
        <v>8059</v>
      </c>
      <c r="J908" s="8" t="s">
        <v>10108</v>
      </c>
      <c r="K908" s="8" t="s">
        <v>1905</v>
      </c>
      <c r="L908" s="8" t="s">
        <v>12159</v>
      </c>
      <c r="M908" s="8" t="s">
        <v>3955</v>
      </c>
      <c r="N908" s="8" t="s">
        <v>6006</v>
      </c>
      <c r="O908" s="5" t="s">
        <v>111</v>
      </c>
      <c r="P908" s="4">
        <v>45710</v>
      </c>
      <c r="Q908" s="15">
        <v>65.900000000000006</v>
      </c>
      <c r="R908" s="15">
        <v>0</v>
      </c>
      <c r="S908" s="15">
        <v>0</v>
      </c>
      <c r="T908"/>
    </row>
    <row r="909" spans="1:20">
      <c r="A909" s="5" t="s">
        <v>108</v>
      </c>
      <c r="B909" s="5" t="s">
        <v>14236</v>
      </c>
      <c r="C909" s="4">
        <v>45685</v>
      </c>
      <c r="D909" s="4">
        <v>45685</v>
      </c>
      <c r="E909" s="5" t="s">
        <v>16323</v>
      </c>
      <c r="F909" s="5" t="s">
        <v>18312</v>
      </c>
      <c r="G909" s="5" t="s">
        <v>849</v>
      </c>
      <c r="H909" s="5">
        <v>1</v>
      </c>
      <c r="I909" s="8" t="s">
        <v>8060</v>
      </c>
      <c r="J909" s="8" t="s">
        <v>10109</v>
      </c>
      <c r="K909" s="8" t="s">
        <v>1906</v>
      </c>
      <c r="L909" s="8" t="s">
        <v>12160</v>
      </c>
      <c r="M909" s="8" t="s">
        <v>3956</v>
      </c>
      <c r="N909" s="8" t="s">
        <v>6007</v>
      </c>
      <c r="O909" s="5" t="s">
        <v>111</v>
      </c>
      <c r="P909" s="4">
        <v>45706</v>
      </c>
      <c r="Q909" s="15">
        <v>65.900000000000006</v>
      </c>
      <c r="R909" s="15">
        <v>10.4</v>
      </c>
      <c r="S909" s="15">
        <v>0</v>
      </c>
      <c r="T909"/>
    </row>
    <row r="910" spans="1:20">
      <c r="A910" s="5" t="s">
        <v>108</v>
      </c>
      <c r="B910" s="5" t="s">
        <v>14237</v>
      </c>
      <c r="C910" s="4">
        <v>45686</v>
      </c>
      <c r="D910" s="4">
        <v>45686</v>
      </c>
      <c r="E910" s="5" t="s">
        <v>16324</v>
      </c>
      <c r="F910" s="5" t="s">
        <v>18313</v>
      </c>
      <c r="G910" s="5" t="s">
        <v>849</v>
      </c>
      <c r="H910" s="5">
        <v>1</v>
      </c>
      <c r="I910" s="8" t="s">
        <v>8061</v>
      </c>
      <c r="J910" s="8" t="s">
        <v>10110</v>
      </c>
      <c r="K910" s="8" t="s">
        <v>1907</v>
      </c>
      <c r="L910" s="8" t="s">
        <v>12161</v>
      </c>
      <c r="M910" s="8" t="s">
        <v>3957</v>
      </c>
      <c r="N910" s="8" t="s">
        <v>6008</v>
      </c>
      <c r="O910" s="5" t="s">
        <v>111</v>
      </c>
      <c r="P910" s="4">
        <v>45707</v>
      </c>
      <c r="Q910" s="15">
        <v>64.989999999999995</v>
      </c>
      <c r="R910" s="15">
        <v>10.17</v>
      </c>
      <c r="S910" s="15">
        <v>0</v>
      </c>
      <c r="T910"/>
    </row>
    <row r="911" spans="1:20">
      <c r="A911" s="5" t="s">
        <v>108</v>
      </c>
      <c r="B911" s="5" t="s">
        <v>14238</v>
      </c>
      <c r="C911" s="4">
        <v>45687</v>
      </c>
      <c r="D911" s="4">
        <v>45688</v>
      </c>
      <c r="E911" s="5" t="s">
        <v>16325</v>
      </c>
      <c r="F911" s="5" t="s">
        <v>18314</v>
      </c>
      <c r="G911" s="5" t="s">
        <v>849</v>
      </c>
      <c r="H911" s="5">
        <v>1</v>
      </c>
      <c r="I911" s="8" t="s">
        <v>8062</v>
      </c>
      <c r="J911" s="8" t="s">
        <v>10111</v>
      </c>
      <c r="K911" s="8" t="s">
        <v>1908</v>
      </c>
      <c r="L911" s="8" t="s">
        <v>12162</v>
      </c>
      <c r="M911" s="8" t="s">
        <v>3958</v>
      </c>
      <c r="N911" s="8" t="s">
        <v>6009</v>
      </c>
      <c r="O911" s="5" t="s">
        <v>111</v>
      </c>
      <c r="P911" s="4">
        <v>45708</v>
      </c>
      <c r="Q911" s="15">
        <v>64.989999999999995</v>
      </c>
      <c r="R911" s="15">
        <v>10.18</v>
      </c>
      <c r="S911" s="15">
        <v>0</v>
      </c>
      <c r="T911"/>
    </row>
    <row r="912" spans="1:20">
      <c r="A912" s="5" t="s">
        <v>108</v>
      </c>
      <c r="B912" s="5" t="s">
        <v>14239</v>
      </c>
      <c r="C912" s="4">
        <v>45688</v>
      </c>
      <c r="D912" s="4">
        <v>45688</v>
      </c>
      <c r="E912" s="5" t="s">
        <v>16326</v>
      </c>
      <c r="F912" s="5" t="s">
        <v>18315</v>
      </c>
      <c r="G912" s="5" t="s">
        <v>849</v>
      </c>
      <c r="H912" s="5">
        <v>1</v>
      </c>
      <c r="I912" s="8" t="s">
        <v>8063</v>
      </c>
      <c r="J912" s="8" t="s">
        <v>10112</v>
      </c>
      <c r="K912" s="8" t="s">
        <v>1909</v>
      </c>
      <c r="L912" s="8" t="s">
        <v>12163</v>
      </c>
      <c r="M912" s="8" t="s">
        <v>3959</v>
      </c>
      <c r="N912" s="8" t="s">
        <v>6010</v>
      </c>
      <c r="O912" s="5" t="s">
        <v>111</v>
      </c>
      <c r="P912" s="4">
        <v>45709</v>
      </c>
      <c r="Q912" s="15">
        <v>64.989999999999995</v>
      </c>
      <c r="R912" s="15">
        <v>10.18</v>
      </c>
      <c r="S912" s="15">
        <v>0</v>
      </c>
      <c r="T912"/>
    </row>
    <row r="913" spans="1:20">
      <c r="A913" s="5" t="s">
        <v>108</v>
      </c>
      <c r="B913" s="5" t="s">
        <v>14240</v>
      </c>
      <c r="C913" s="4">
        <v>45688</v>
      </c>
      <c r="D913" s="4">
        <v>45691</v>
      </c>
      <c r="E913" s="5" t="s">
        <v>16327</v>
      </c>
      <c r="F913" s="5" t="s">
        <v>18316</v>
      </c>
      <c r="G913" s="5" t="s">
        <v>849</v>
      </c>
      <c r="H913" s="5">
        <v>1</v>
      </c>
      <c r="I913" s="8" t="s">
        <v>8063</v>
      </c>
      <c r="J913" s="8" t="s">
        <v>10112</v>
      </c>
      <c r="K913" s="8" t="s">
        <v>1909</v>
      </c>
      <c r="L913" s="8" t="s">
        <v>12163</v>
      </c>
      <c r="M913" s="8" t="s">
        <v>3959</v>
      </c>
      <c r="N913" s="8" t="s">
        <v>6010</v>
      </c>
      <c r="O913" s="5" t="s">
        <v>111</v>
      </c>
      <c r="P913" s="4">
        <v>45709</v>
      </c>
      <c r="Q913" s="15">
        <v>64.989999999999995</v>
      </c>
      <c r="R913" s="15">
        <v>10.199999999999999</v>
      </c>
      <c r="S913" s="15">
        <v>0</v>
      </c>
      <c r="T913"/>
    </row>
    <row r="914" spans="1:20">
      <c r="A914" s="5" t="s">
        <v>108</v>
      </c>
      <c r="B914" s="5" t="s">
        <v>14241</v>
      </c>
      <c r="C914" s="4">
        <v>45689</v>
      </c>
      <c r="D914" s="4">
        <v>45691</v>
      </c>
      <c r="E914" s="5" t="s">
        <v>16328</v>
      </c>
      <c r="F914" s="5" t="s">
        <v>18317</v>
      </c>
      <c r="G914" s="5" t="s">
        <v>849</v>
      </c>
      <c r="H914" s="5">
        <v>1</v>
      </c>
      <c r="I914" s="8" t="s">
        <v>8064</v>
      </c>
      <c r="J914" s="8" t="s">
        <v>10113</v>
      </c>
      <c r="K914" s="8" t="s">
        <v>1910</v>
      </c>
      <c r="L914" s="8" t="s">
        <v>12164</v>
      </c>
      <c r="M914" s="8" t="s">
        <v>3960</v>
      </c>
      <c r="N914" s="8" t="s">
        <v>6011</v>
      </c>
      <c r="O914" s="5" t="s">
        <v>111</v>
      </c>
      <c r="P914" s="4">
        <v>45709</v>
      </c>
      <c r="Q914" s="15">
        <v>64.989999999999995</v>
      </c>
      <c r="R914" s="15">
        <v>10.199999999999999</v>
      </c>
      <c r="S914" s="15">
        <v>0</v>
      </c>
      <c r="T914"/>
    </row>
    <row r="915" spans="1:20">
      <c r="A915" s="5" t="s">
        <v>108</v>
      </c>
      <c r="B915" s="5" t="s">
        <v>14242</v>
      </c>
      <c r="C915" s="4">
        <v>45689</v>
      </c>
      <c r="D915" s="4">
        <v>45691</v>
      </c>
      <c r="E915" s="5" t="s">
        <v>16329</v>
      </c>
      <c r="F915" s="5" t="s">
        <v>18318</v>
      </c>
      <c r="G915" s="5" t="s">
        <v>849</v>
      </c>
      <c r="H915" s="5">
        <v>1</v>
      </c>
      <c r="I915" s="8" t="s">
        <v>8065</v>
      </c>
      <c r="J915" s="8" t="s">
        <v>10114</v>
      </c>
      <c r="K915" s="8" t="s">
        <v>1911</v>
      </c>
      <c r="L915" s="8" t="s">
        <v>12165</v>
      </c>
      <c r="M915" s="8" t="s">
        <v>3961</v>
      </c>
      <c r="N915" s="8" t="s">
        <v>6012</v>
      </c>
      <c r="O915" s="5" t="s">
        <v>111</v>
      </c>
      <c r="P915" s="4">
        <v>45709</v>
      </c>
      <c r="Q915" s="15">
        <v>64.989999999999995</v>
      </c>
      <c r="R915" s="15">
        <v>10.199999999999999</v>
      </c>
      <c r="S915" s="15">
        <v>0</v>
      </c>
      <c r="T915"/>
    </row>
    <row r="916" spans="1:20">
      <c r="A916" s="5" t="s">
        <v>108</v>
      </c>
      <c r="B916" s="5" t="s">
        <v>14243</v>
      </c>
      <c r="C916" s="4">
        <v>45693</v>
      </c>
      <c r="D916" s="4">
        <v>45693</v>
      </c>
      <c r="E916" s="5" t="s">
        <v>16330</v>
      </c>
      <c r="F916" s="5" t="s">
        <v>18319</v>
      </c>
      <c r="G916" s="5" t="s">
        <v>849</v>
      </c>
      <c r="H916" s="5">
        <v>1</v>
      </c>
      <c r="I916" s="8" t="s">
        <v>8066</v>
      </c>
      <c r="J916" s="8" t="s">
        <v>10115</v>
      </c>
      <c r="K916" s="8" t="s">
        <v>1912</v>
      </c>
      <c r="L916" s="8" t="s">
        <v>12166</v>
      </c>
      <c r="M916" s="8" t="s">
        <v>3962</v>
      </c>
      <c r="N916" s="8" t="s">
        <v>6013</v>
      </c>
      <c r="O916" s="5" t="s">
        <v>111</v>
      </c>
      <c r="P916" s="4">
        <v>45723</v>
      </c>
      <c r="Q916" s="15">
        <v>65.989999999999995</v>
      </c>
      <c r="R916" s="15">
        <v>10.210000000000001</v>
      </c>
      <c r="S916" s="15">
        <v>0</v>
      </c>
      <c r="T916"/>
    </row>
    <row r="917" spans="1:20">
      <c r="A917" s="5" t="s">
        <v>108</v>
      </c>
      <c r="B917" s="5" t="s">
        <v>14244</v>
      </c>
      <c r="C917" s="4">
        <v>45694</v>
      </c>
      <c r="D917" s="4">
        <v>45693</v>
      </c>
      <c r="E917" s="5" t="s">
        <v>16331</v>
      </c>
      <c r="F917" s="5" t="s">
        <v>18320</v>
      </c>
      <c r="G917" s="5" t="s">
        <v>849</v>
      </c>
      <c r="H917" s="5">
        <v>1</v>
      </c>
      <c r="I917" s="8" t="s">
        <v>7865</v>
      </c>
      <c r="J917" s="8" t="s">
        <v>9914</v>
      </c>
      <c r="K917" s="8" t="s">
        <v>1711</v>
      </c>
      <c r="L917" s="8" t="s">
        <v>11965</v>
      </c>
      <c r="M917" s="8" t="s">
        <v>3761</v>
      </c>
      <c r="N917" s="8" t="s">
        <v>5812</v>
      </c>
      <c r="O917" s="5" t="s">
        <v>111</v>
      </c>
      <c r="P917" s="4">
        <v>45723</v>
      </c>
      <c r="Q917" s="15">
        <v>65.989999999999995</v>
      </c>
      <c r="R917" s="15">
        <v>16.510000000000002</v>
      </c>
      <c r="S917" s="15">
        <v>0</v>
      </c>
      <c r="T917"/>
    </row>
    <row r="918" spans="1:20">
      <c r="A918" s="5" t="s">
        <v>113</v>
      </c>
      <c r="B918" s="5" t="s">
        <v>14245</v>
      </c>
      <c r="C918" s="4">
        <v>45693</v>
      </c>
      <c r="D918" s="4">
        <v>45694</v>
      </c>
      <c r="E918" s="5" t="s">
        <v>16332</v>
      </c>
      <c r="F918" s="5" t="s">
        <v>18321</v>
      </c>
      <c r="G918" s="5" t="s">
        <v>885</v>
      </c>
      <c r="H918" s="5">
        <v>1</v>
      </c>
      <c r="I918" s="8" t="s">
        <v>8067</v>
      </c>
      <c r="J918" s="8" t="s">
        <v>10116</v>
      </c>
      <c r="K918" s="8" t="s">
        <v>1913</v>
      </c>
      <c r="L918" s="8" t="s">
        <v>12167</v>
      </c>
      <c r="M918" s="8" t="s">
        <v>3963</v>
      </c>
      <c r="N918" s="8" t="s">
        <v>6014</v>
      </c>
      <c r="O918" s="5" t="s">
        <v>114</v>
      </c>
      <c r="P918" s="4">
        <v>45714</v>
      </c>
      <c r="Q918" s="15">
        <v>34.99</v>
      </c>
      <c r="R918" s="15">
        <v>30.4</v>
      </c>
      <c r="S918" s="15">
        <v>0</v>
      </c>
      <c r="T918"/>
    </row>
    <row r="919" spans="1:20">
      <c r="A919" s="5" t="s">
        <v>113</v>
      </c>
      <c r="B919" s="5" t="s">
        <v>14246</v>
      </c>
      <c r="C919" s="4">
        <v>45693</v>
      </c>
      <c r="D919" s="4">
        <v>45694</v>
      </c>
      <c r="E919" s="5" t="s">
        <v>16333</v>
      </c>
      <c r="F919" s="5" t="s">
        <v>18322</v>
      </c>
      <c r="G919" s="5" t="s">
        <v>885</v>
      </c>
      <c r="H919" s="5">
        <v>1</v>
      </c>
      <c r="I919" s="8" t="s">
        <v>8068</v>
      </c>
      <c r="J919" s="8" t="s">
        <v>10117</v>
      </c>
      <c r="K919" s="8" t="s">
        <v>1914</v>
      </c>
      <c r="L919" s="8" t="s">
        <v>12168</v>
      </c>
      <c r="M919" s="8" t="s">
        <v>3964</v>
      </c>
      <c r="N919" s="8" t="s">
        <v>6015</v>
      </c>
      <c r="O919" s="5" t="s">
        <v>114</v>
      </c>
      <c r="P919" s="4">
        <v>45714</v>
      </c>
      <c r="Q919" s="15">
        <v>34.99</v>
      </c>
      <c r="R919" s="15">
        <v>30.4</v>
      </c>
      <c r="S919" s="15">
        <v>0</v>
      </c>
      <c r="T919"/>
    </row>
    <row r="920" spans="1:20">
      <c r="A920" s="5" t="s">
        <v>113</v>
      </c>
      <c r="B920" s="5" t="s">
        <v>14247</v>
      </c>
      <c r="C920" s="4">
        <v>45693</v>
      </c>
      <c r="D920" s="4">
        <v>45694</v>
      </c>
      <c r="E920" s="5" t="s">
        <v>16334</v>
      </c>
      <c r="F920" s="5" t="s">
        <v>18323</v>
      </c>
      <c r="G920" s="5" t="s">
        <v>885</v>
      </c>
      <c r="H920" s="5">
        <v>1</v>
      </c>
      <c r="I920" s="8" t="s">
        <v>8069</v>
      </c>
      <c r="J920" s="8" t="s">
        <v>10118</v>
      </c>
      <c r="K920" s="8" t="s">
        <v>1915</v>
      </c>
      <c r="L920" s="8" t="s">
        <v>12169</v>
      </c>
      <c r="M920" s="8" t="s">
        <v>3965</v>
      </c>
      <c r="N920" s="8" t="s">
        <v>6016</v>
      </c>
      <c r="O920" s="5" t="s">
        <v>114</v>
      </c>
      <c r="P920" s="4">
        <v>45714</v>
      </c>
      <c r="Q920" s="15">
        <v>34.99</v>
      </c>
      <c r="R920" s="15">
        <v>30.4</v>
      </c>
      <c r="S920" s="15">
        <v>0</v>
      </c>
      <c r="T920"/>
    </row>
    <row r="921" spans="1:20">
      <c r="A921" s="5" t="s">
        <v>113</v>
      </c>
      <c r="B921" s="5" t="s">
        <v>14248</v>
      </c>
      <c r="C921" s="4">
        <v>45693</v>
      </c>
      <c r="D921" s="4">
        <v>45694</v>
      </c>
      <c r="E921" s="5" t="s">
        <v>16335</v>
      </c>
      <c r="F921" s="5" t="s">
        <v>18324</v>
      </c>
      <c r="G921" s="5" t="s">
        <v>885</v>
      </c>
      <c r="H921" s="5">
        <v>1</v>
      </c>
      <c r="I921" s="8" t="s">
        <v>8070</v>
      </c>
      <c r="J921" s="8" t="s">
        <v>10119</v>
      </c>
      <c r="K921" s="8" t="s">
        <v>1916</v>
      </c>
      <c r="L921" s="8" t="s">
        <v>12170</v>
      </c>
      <c r="M921" s="8" t="s">
        <v>3966</v>
      </c>
      <c r="N921" s="8" t="s">
        <v>6017</v>
      </c>
      <c r="O921" s="5" t="s">
        <v>114</v>
      </c>
      <c r="P921" s="4">
        <v>45723</v>
      </c>
      <c r="Q921" s="15">
        <v>34.99</v>
      </c>
      <c r="R921" s="15">
        <v>30.4</v>
      </c>
      <c r="S921" s="15">
        <v>0</v>
      </c>
      <c r="T921"/>
    </row>
    <row r="922" spans="1:20">
      <c r="A922" s="5" t="s">
        <v>113</v>
      </c>
      <c r="B922" s="5" t="s">
        <v>14249</v>
      </c>
      <c r="C922" s="4">
        <v>45693</v>
      </c>
      <c r="D922" s="4">
        <v>45694</v>
      </c>
      <c r="E922" s="5" t="s">
        <v>16336</v>
      </c>
      <c r="F922" s="5" t="s">
        <v>18325</v>
      </c>
      <c r="G922" s="5" t="s">
        <v>885</v>
      </c>
      <c r="H922" s="5">
        <v>1</v>
      </c>
      <c r="I922" s="8" t="s">
        <v>8071</v>
      </c>
      <c r="J922" s="8" t="s">
        <v>10120</v>
      </c>
      <c r="K922" s="8" t="s">
        <v>1917</v>
      </c>
      <c r="L922" s="8" t="s">
        <v>12171</v>
      </c>
      <c r="M922" s="8" t="s">
        <v>3967</v>
      </c>
      <c r="N922" s="8" t="s">
        <v>6018</v>
      </c>
      <c r="O922" s="5" t="s">
        <v>114</v>
      </c>
      <c r="P922" s="4">
        <v>45714</v>
      </c>
      <c r="Q922" s="15">
        <v>34.99</v>
      </c>
      <c r="R922" s="15">
        <v>30.4</v>
      </c>
      <c r="S922" s="15">
        <v>0</v>
      </c>
      <c r="T922"/>
    </row>
    <row r="923" spans="1:20">
      <c r="A923" s="5" t="s">
        <v>113</v>
      </c>
      <c r="B923" s="5" t="s">
        <v>14250</v>
      </c>
      <c r="C923" s="4">
        <v>45693</v>
      </c>
      <c r="D923" s="4">
        <v>45694</v>
      </c>
      <c r="E923" s="5" t="s">
        <v>16337</v>
      </c>
      <c r="F923" s="5" t="s">
        <v>18326</v>
      </c>
      <c r="G923" s="5" t="s">
        <v>885</v>
      </c>
      <c r="H923" s="5">
        <v>1</v>
      </c>
      <c r="I923" s="8" t="s">
        <v>8072</v>
      </c>
      <c r="J923" s="8" t="s">
        <v>10121</v>
      </c>
      <c r="K923" s="8" t="s">
        <v>1918</v>
      </c>
      <c r="L923" s="8" t="s">
        <v>12172</v>
      </c>
      <c r="M923" s="8" t="s">
        <v>3968</v>
      </c>
      <c r="N923" s="8" t="s">
        <v>6019</v>
      </c>
      <c r="O923" s="5" t="s">
        <v>114</v>
      </c>
      <c r="P923" s="4">
        <v>45723</v>
      </c>
      <c r="Q923" s="15">
        <v>34.99</v>
      </c>
      <c r="R923" s="15">
        <v>30.4</v>
      </c>
      <c r="S923" s="15">
        <v>0</v>
      </c>
      <c r="T923"/>
    </row>
    <row r="924" spans="1:20">
      <c r="A924" s="5" t="s">
        <v>113</v>
      </c>
      <c r="B924" s="5" t="s">
        <v>14251</v>
      </c>
      <c r="C924" s="4">
        <v>45693</v>
      </c>
      <c r="D924" s="4">
        <v>45694</v>
      </c>
      <c r="E924" s="5" t="s">
        <v>16338</v>
      </c>
      <c r="F924" s="5" t="s">
        <v>18327</v>
      </c>
      <c r="G924" s="5" t="s">
        <v>885</v>
      </c>
      <c r="H924" s="5">
        <v>1</v>
      </c>
      <c r="I924" s="8" t="s">
        <v>8073</v>
      </c>
      <c r="J924" s="8" t="s">
        <v>10122</v>
      </c>
      <c r="K924" s="8" t="s">
        <v>1919</v>
      </c>
      <c r="L924" s="8" t="s">
        <v>12173</v>
      </c>
      <c r="M924" s="8" t="s">
        <v>3969</v>
      </c>
      <c r="N924" s="8" t="s">
        <v>6020</v>
      </c>
      <c r="O924" s="5" t="s">
        <v>114</v>
      </c>
      <c r="P924" s="4">
        <v>45723</v>
      </c>
      <c r="Q924" s="15">
        <v>34.99</v>
      </c>
      <c r="R924" s="15">
        <v>30.4</v>
      </c>
      <c r="S924" s="15">
        <v>0</v>
      </c>
      <c r="T924"/>
    </row>
    <row r="925" spans="1:20">
      <c r="A925" s="5" t="s">
        <v>113</v>
      </c>
      <c r="B925" s="5" t="s">
        <v>14252</v>
      </c>
      <c r="C925" s="4">
        <v>45693</v>
      </c>
      <c r="D925" s="4">
        <v>45694</v>
      </c>
      <c r="E925" s="5" t="s">
        <v>16339</v>
      </c>
      <c r="F925" s="5" t="s">
        <v>18328</v>
      </c>
      <c r="G925" s="5" t="s">
        <v>885</v>
      </c>
      <c r="H925" s="5">
        <v>1</v>
      </c>
      <c r="I925" s="8" t="s">
        <v>8074</v>
      </c>
      <c r="J925" s="8" t="s">
        <v>10123</v>
      </c>
      <c r="K925" s="8" t="s">
        <v>1920</v>
      </c>
      <c r="L925" s="8" t="s">
        <v>12174</v>
      </c>
      <c r="M925" s="8" t="s">
        <v>3970</v>
      </c>
      <c r="N925" s="8" t="s">
        <v>6021</v>
      </c>
      <c r="O925" s="5" t="s">
        <v>114</v>
      </c>
      <c r="P925" s="4">
        <v>45714</v>
      </c>
      <c r="Q925" s="15">
        <v>34.99</v>
      </c>
      <c r="R925" s="15">
        <v>30.4</v>
      </c>
      <c r="S925" s="15">
        <v>0</v>
      </c>
      <c r="T925"/>
    </row>
    <row r="926" spans="1:20">
      <c r="A926" s="5" t="s">
        <v>113</v>
      </c>
      <c r="B926" s="5" t="s">
        <v>14253</v>
      </c>
      <c r="C926" s="4">
        <v>45693</v>
      </c>
      <c r="D926" s="4">
        <v>45694</v>
      </c>
      <c r="E926" s="5" t="s">
        <v>16340</v>
      </c>
      <c r="F926" s="5" t="s">
        <v>18329</v>
      </c>
      <c r="G926" s="5" t="s">
        <v>885</v>
      </c>
      <c r="H926" s="5">
        <v>1</v>
      </c>
      <c r="I926" s="8" t="s">
        <v>8075</v>
      </c>
      <c r="J926" s="8" t="s">
        <v>10124</v>
      </c>
      <c r="K926" s="8" t="s">
        <v>1921</v>
      </c>
      <c r="L926" s="8" t="s">
        <v>12175</v>
      </c>
      <c r="M926" s="8" t="s">
        <v>3971</v>
      </c>
      <c r="N926" s="8" t="s">
        <v>6022</v>
      </c>
      <c r="O926" s="5" t="s">
        <v>114</v>
      </c>
      <c r="P926" s="4">
        <v>45723</v>
      </c>
      <c r="Q926" s="15">
        <v>34.99</v>
      </c>
      <c r="R926" s="15">
        <v>30.4</v>
      </c>
      <c r="S926" s="15">
        <v>0</v>
      </c>
      <c r="T926"/>
    </row>
    <row r="927" spans="1:20">
      <c r="A927" s="5" t="s">
        <v>113</v>
      </c>
      <c r="B927" s="5" t="s">
        <v>14254</v>
      </c>
      <c r="C927" s="4">
        <v>45693</v>
      </c>
      <c r="D927" s="4">
        <v>45694</v>
      </c>
      <c r="E927" s="5" t="s">
        <v>16341</v>
      </c>
      <c r="F927" s="5" t="s">
        <v>18330</v>
      </c>
      <c r="G927" s="5" t="s">
        <v>885</v>
      </c>
      <c r="H927" s="5">
        <v>1</v>
      </c>
      <c r="I927" s="8" t="s">
        <v>8076</v>
      </c>
      <c r="J927" s="8" t="s">
        <v>10125</v>
      </c>
      <c r="K927" s="8" t="s">
        <v>1922</v>
      </c>
      <c r="L927" s="8" t="s">
        <v>12176</v>
      </c>
      <c r="M927" s="8" t="s">
        <v>3972</v>
      </c>
      <c r="N927" s="8" t="s">
        <v>6023</v>
      </c>
      <c r="O927" s="5" t="s">
        <v>114</v>
      </c>
      <c r="P927" s="4">
        <v>45730</v>
      </c>
      <c r="Q927" s="15">
        <v>34.99</v>
      </c>
      <c r="R927" s="15">
        <v>30.4</v>
      </c>
      <c r="S927" s="15">
        <v>0</v>
      </c>
      <c r="T927"/>
    </row>
    <row r="928" spans="1:20">
      <c r="A928" s="5" t="s">
        <v>113</v>
      </c>
      <c r="B928" s="5" t="s">
        <v>14255</v>
      </c>
      <c r="C928" s="4">
        <v>45693</v>
      </c>
      <c r="D928" s="4">
        <v>45694</v>
      </c>
      <c r="E928" s="5" t="s">
        <v>16342</v>
      </c>
      <c r="F928" s="5" t="s">
        <v>18331</v>
      </c>
      <c r="G928" s="5" t="s">
        <v>885</v>
      </c>
      <c r="H928" s="5">
        <v>1</v>
      </c>
      <c r="I928" s="8" t="s">
        <v>8077</v>
      </c>
      <c r="J928" s="8" t="s">
        <v>10126</v>
      </c>
      <c r="K928" s="8" t="s">
        <v>1923</v>
      </c>
      <c r="L928" s="8" t="s">
        <v>12177</v>
      </c>
      <c r="M928" s="8" t="s">
        <v>3973</v>
      </c>
      <c r="N928" s="8" t="s">
        <v>6024</v>
      </c>
      <c r="O928" s="5" t="s">
        <v>114</v>
      </c>
      <c r="P928" s="4">
        <v>45714</v>
      </c>
      <c r="Q928" s="15">
        <v>34.99</v>
      </c>
      <c r="R928" s="15">
        <v>30.4</v>
      </c>
      <c r="S928" s="15">
        <v>0</v>
      </c>
      <c r="T928"/>
    </row>
    <row r="929" spans="1:20">
      <c r="A929" s="5" t="s">
        <v>113</v>
      </c>
      <c r="B929" s="5" t="s">
        <v>14256</v>
      </c>
      <c r="C929" s="4">
        <v>45694</v>
      </c>
      <c r="D929" s="4">
        <v>45694</v>
      </c>
      <c r="E929" s="5" t="s">
        <v>16343</v>
      </c>
      <c r="F929" s="5" t="s">
        <v>18332</v>
      </c>
      <c r="G929" s="5" t="s">
        <v>885</v>
      </c>
      <c r="H929" s="5">
        <v>1</v>
      </c>
      <c r="I929" s="8" t="s">
        <v>8078</v>
      </c>
      <c r="J929" s="8" t="s">
        <v>10127</v>
      </c>
      <c r="K929" s="8" t="s">
        <v>1924</v>
      </c>
      <c r="L929" s="8" t="s">
        <v>12178</v>
      </c>
      <c r="M929" s="8" t="s">
        <v>3974</v>
      </c>
      <c r="N929" s="8" t="s">
        <v>6025</v>
      </c>
      <c r="O929" s="5" t="s">
        <v>114</v>
      </c>
      <c r="P929" s="4">
        <v>45730</v>
      </c>
      <c r="Q929" s="15">
        <v>34.99</v>
      </c>
      <c r="R929" s="15">
        <v>30.4</v>
      </c>
      <c r="S929" s="15">
        <v>0</v>
      </c>
      <c r="T929"/>
    </row>
    <row r="930" spans="1:20">
      <c r="A930" s="5" t="s">
        <v>113</v>
      </c>
      <c r="B930" s="5" t="s">
        <v>14257</v>
      </c>
      <c r="C930" s="4">
        <v>45694</v>
      </c>
      <c r="D930" s="4">
        <v>45694</v>
      </c>
      <c r="E930" s="5" t="s">
        <v>16344</v>
      </c>
      <c r="F930" s="5" t="s">
        <v>18333</v>
      </c>
      <c r="G930" s="5" t="s">
        <v>885</v>
      </c>
      <c r="H930" s="5">
        <v>1</v>
      </c>
      <c r="I930" s="8" t="s">
        <v>8079</v>
      </c>
      <c r="J930" s="8" t="s">
        <v>10128</v>
      </c>
      <c r="K930" s="8" t="s">
        <v>1925</v>
      </c>
      <c r="L930" s="8" t="s">
        <v>12179</v>
      </c>
      <c r="M930" s="8" t="s">
        <v>3975</v>
      </c>
      <c r="N930" s="8" t="s">
        <v>6026</v>
      </c>
      <c r="O930" s="5" t="s">
        <v>114</v>
      </c>
      <c r="P930" s="4">
        <v>45714</v>
      </c>
      <c r="Q930" s="15">
        <v>34.99</v>
      </c>
      <c r="R930" s="15">
        <v>30.4</v>
      </c>
      <c r="S930" s="15">
        <v>0</v>
      </c>
      <c r="T930"/>
    </row>
    <row r="931" spans="1:20">
      <c r="A931" s="5" t="s">
        <v>113</v>
      </c>
      <c r="B931" s="5" t="s">
        <v>14258</v>
      </c>
      <c r="C931" s="4">
        <v>45694</v>
      </c>
      <c r="D931" s="4">
        <v>45694</v>
      </c>
      <c r="E931" s="5" t="s">
        <v>16345</v>
      </c>
      <c r="F931" s="5" t="s">
        <v>18334</v>
      </c>
      <c r="G931" s="5" t="s">
        <v>885</v>
      </c>
      <c r="H931" s="5">
        <v>1</v>
      </c>
      <c r="I931" s="8" t="s">
        <v>8080</v>
      </c>
      <c r="J931" s="8" t="s">
        <v>10129</v>
      </c>
      <c r="K931" s="8" t="s">
        <v>1926</v>
      </c>
      <c r="L931" s="8" t="s">
        <v>12180</v>
      </c>
      <c r="M931" s="8" t="s">
        <v>3976</v>
      </c>
      <c r="N931" s="8" t="s">
        <v>6027</v>
      </c>
      <c r="O931" s="5" t="s">
        <v>114</v>
      </c>
      <c r="P931" s="4">
        <v>45723</v>
      </c>
      <c r="Q931" s="15">
        <v>34.99</v>
      </c>
      <c r="R931" s="15">
        <v>0</v>
      </c>
      <c r="S931" s="15">
        <v>0</v>
      </c>
      <c r="T931"/>
    </row>
    <row r="932" spans="1:20">
      <c r="A932" s="5" t="s">
        <v>113</v>
      </c>
      <c r="B932" s="5" t="s">
        <v>14259</v>
      </c>
      <c r="C932" s="4">
        <v>45694</v>
      </c>
      <c r="D932" s="4">
        <v>45694</v>
      </c>
      <c r="E932" s="5" t="s">
        <v>16346</v>
      </c>
      <c r="F932" s="5" t="s">
        <v>18335</v>
      </c>
      <c r="G932" s="5" t="s">
        <v>885</v>
      </c>
      <c r="H932" s="5">
        <v>1</v>
      </c>
      <c r="I932" s="8" t="s">
        <v>8081</v>
      </c>
      <c r="J932" s="8" t="s">
        <v>10130</v>
      </c>
      <c r="K932" s="8" t="s">
        <v>1927</v>
      </c>
      <c r="L932" s="8" t="s">
        <v>12181</v>
      </c>
      <c r="M932" s="8" t="s">
        <v>3977</v>
      </c>
      <c r="N932" s="8" t="s">
        <v>6028</v>
      </c>
      <c r="O932" s="5" t="s">
        <v>114</v>
      </c>
      <c r="P932" s="4">
        <v>45723</v>
      </c>
      <c r="Q932" s="15">
        <v>34.99</v>
      </c>
      <c r="R932" s="15">
        <v>30.4</v>
      </c>
      <c r="S932" s="15">
        <v>0</v>
      </c>
      <c r="T932"/>
    </row>
    <row r="933" spans="1:20">
      <c r="A933" s="5" t="s">
        <v>113</v>
      </c>
      <c r="B933" s="5" t="s">
        <v>14260</v>
      </c>
      <c r="C933" s="4">
        <v>45694</v>
      </c>
      <c r="D933" s="4">
        <v>45694</v>
      </c>
      <c r="E933" s="5" t="s">
        <v>16347</v>
      </c>
      <c r="F933" s="5" t="s">
        <v>18336</v>
      </c>
      <c r="G933" s="5" t="s">
        <v>885</v>
      </c>
      <c r="H933" s="5">
        <v>1</v>
      </c>
      <c r="I933" s="8" t="s">
        <v>8082</v>
      </c>
      <c r="J933" s="8" t="s">
        <v>10131</v>
      </c>
      <c r="K933" s="8" t="s">
        <v>1928</v>
      </c>
      <c r="L933" s="8" t="s">
        <v>12182</v>
      </c>
      <c r="M933" s="8" t="s">
        <v>3978</v>
      </c>
      <c r="N933" s="8" t="s">
        <v>6029</v>
      </c>
      <c r="O933" s="5" t="s">
        <v>114</v>
      </c>
      <c r="P933" s="4">
        <v>45723</v>
      </c>
      <c r="Q933" s="15">
        <v>34.99</v>
      </c>
      <c r="R933" s="15">
        <v>30.4</v>
      </c>
      <c r="S933" s="15">
        <v>0</v>
      </c>
      <c r="T933"/>
    </row>
    <row r="934" spans="1:20">
      <c r="A934" s="5" t="s">
        <v>113</v>
      </c>
      <c r="B934" s="5" t="s">
        <v>14261</v>
      </c>
      <c r="C934" s="4">
        <v>45694</v>
      </c>
      <c r="D934" s="4">
        <v>45694</v>
      </c>
      <c r="E934" s="5" t="s">
        <v>16348</v>
      </c>
      <c r="F934" s="5" t="s">
        <v>18337</v>
      </c>
      <c r="G934" s="5" t="s">
        <v>885</v>
      </c>
      <c r="H934" s="5">
        <v>1</v>
      </c>
      <c r="I934" s="8" t="s">
        <v>8083</v>
      </c>
      <c r="J934" s="8" t="s">
        <v>10132</v>
      </c>
      <c r="K934" s="8" t="s">
        <v>1929</v>
      </c>
      <c r="L934" s="8" t="s">
        <v>12183</v>
      </c>
      <c r="M934" s="8" t="s">
        <v>3979</v>
      </c>
      <c r="N934" s="8" t="s">
        <v>6030</v>
      </c>
      <c r="O934" s="5" t="s">
        <v>114</v>
      </c>
      <c r="P934" s="4">
        <v>45714</v>
      </c>
      <c r="Q934" s="15">
        <v>34.99</v>
      </c>
      <c r="R934" s="15">
        <v>30.4</v>
      </c>
      <c r="S934" s="15">
        <v>0</v>
      </c>
      <c r="T934"/>
    </row>
    <row r="935" spans="1:20">
      <c r="A935" s="5" t="s">
        <v>113</v>
      </c>
      <c r="B935" s="5" t="s">
        <v>14262</v>
      </c>
      <c r="C935" s="4">
        <v>45694</v>
      </c>
      <c r="D935" s="4">
        <v>45694</v>
      </c>
      <c r="E935" s="5" t="s">
        <v>16349</v>
      </c>
      <c r="F935" s="5" t="s">
        <v>18338</v>
      </c>
      <c r="G935" s="5" t="s">
        <v>885</v>
      </c>
      <c r="H935" s="5">
        <v>1</v>
      </c>
      <c r="I935" s="8" t="s">
        <v>8084</v>
      </c>
      <c r="J935" s="8" t="s">
        <v>10133</v>
      </c>
      <c r="K935" s="8" t="s">
        <v>1930</v>
      </c>
      <c r="L935" s="8" t="s">
        <v>12184</v>
      </c>
      <c r="M935" s="8" t="s">
        <v>3980</v>
      </c>
      <c r="N935" s="8" t="s">
        <v>6031</v>
      </c>
      <c r="O935" s="5" t="s">
        <v>114</v>
      </c>
      <c r="P935" s="4">
        <v>45715</v>
      </c>
      <c r="Q935" s="15">
        <v>65.989999999999995</v>
      </c>
      <c r="R935" s="15">
        <v>30.4</v>
      </c>
      <c r="S935" s="15">
        <v>0</v>
      </c>
      <c r="T935"/>
    </row>
    <row r="936" spans="1:20">
      <c r="A936" s="5" t="s">
        <v>113</v>
      </c>
      <c r="B936" s="5" t="s">
        <v>14263</v>
      </c>
      <c r="C936" s="4">
        <v>45694</v>
      </c>
      <c r="D936" s="4">
        <v>45694</v>
      </c>
      <c r="E936" s="5" t="s">
        <v>16350</v>
      </c>
      <c r="F936" s="5" t="s">
        <v>18339</v>
      </c>
      <c r="G936" s="5" t="s">
        <v>885</v>
      </c>
      <c r="H936" s="5">
        <v>1</v>
      </c>
      <c r="I936" s="8" t="s">
        <v>8085</v>
      </c>
      <c r="J936" s="8" t="s">
        <v>10134</v>
      </c>
      <c r="K936" s="8" t="s">
        <v>1931</v>
      </c>
      <c r="L936" s="8" t="s">
        <v>12185</v>
      </c>
      <c r="M936" s="8" t="s">
        <v>3981</v>
      </c>
      <c r="N936" s="8" t="s">
        <v>6032</v>
      </c>
      <c r="O936" s="5" t="s">
        <v>114</v>
      </c>
      <c r="P936" s="4">
        <v>45715</v>
      </c>
      <c r="Q936" s="15">
        <v>65.989999999999995</v>
      </c>
      <c r="R936" s="15">
        <v>30.4</v>
      </c>
      <c r="S936" s="15">
        <v>0</v>
      </c>
      <c r="T936"/>
    </row>
    <row r="937" spans="1:20">
      <c r="A937" s="5" t="s">
        <v>36</v>
      </c>
      <c r="B937" s="5" t="s">
        <v>14264</v>
      </c>
      <c r="C937" s="4">
        <v>45695</v>
      </c>
      <c r="D937" s="4">
        <v>45695</v>
      </c>
      <c r="E937" s="5" t="s">
        <v>16351</v>
      </c>
      <c r="F937" s="5" t="s">
        <v>18340</v>
      </c>
      <c r="G937" s="5" t="s">
        <v>824</v>
      </c>
      <c r="H937" s="5">
        <v>1</v>
      </c>
      <c r="I937" s="8" t="s">
        <v>8086</v>
      </c>
      <c r="J937" s="8" t="s">
        <v>10135</v>
      </c>
      <c r="K937" s="8" t="s">
        <v>1932</v>
      </c>
      <c r="L937" s="8" t="s">
        <v>12186</v>
      </c>
      <c r="M937" s="8" t="s">
        <v>3982</v>
      </c>
      <c r="N937" s="8" t="s">
        <v>6033</v>
      </c>
      <c r="O937" s="5" t="s">
        <v>38</v>
      </c>
      <c r="P937" s="4">
        <v>45715</v>
      </c>
      <c r="Q937" s="15">
        <v>19.600000000000001</v>
      </c>
      <c r="R937" s="15">
        <v>6.99</v>
      </c>
      <c r="S937" s="15">
        <v>0</v>
      </c>
      <c r="T937"/>
    </row>
    <row r="938" spans="1:20">
      <c r="A938" s="5" t="s">
        <v>36</v>
      </c>
      <c r="B938" s="5" t="s">
        <v>14265</v>
      </c>
      <c r="C938" s="4">
        <v>45695</v>
      </c>
      <c r="D938" s="4">
        <v>45695</v>
      </c>
      <c r="E938" s="5" t="s">
        <v>16352</v>
      </c>
      <c r="F938" s="5" t="s">
        <v>18341</v>
      </c>
      <c r="G938" s="5" t="s">
        <v>831</v>
      </c>
      <c r="H938" s="5">
        <v>1</v>
      </c>
      <c r="I938" s="8" t="s">
        <v>8087</v>
      </c>
      <c r="J938" s="8" t="s">
        <v>10136</v>
      </c>
      <c r="K938" s="8" t="s">
        <v>1933</v>
      </c>
      <c r="L938" s="8" t="s">
        <v>12187</v>
      </c>
      <c r="M938" s="8" t="s">
        <v>3983</v>
      </c>
      <c r="N938" s="8" t="s">
        <v>6034</v>
      </c>
      <c r="O938" s="5" t="s">
        <v>41</v>
      </c>
      <c r="P938" s="4">
        <v>45715</v>
      </c>
      <c r="Q938" s="15">
        <v>52.7</v>
      </c>
      <c r="R938" s="15">
        <v>16.16</v>
      </c>
      <c r="S938" s="15">
        <v>0</v>
      </c>
      <c r="T938"/>
    </row>
    <row r="939" spans="1:20">
      <c r="A939" s="5" t="s">
        <v>36</v>
      </c>
      <c r="B939" s="5" t="s">
        <v>14266</v>
      </c>
      <c r="C939" s="4">
        <v>45695</v>
      </c>
      <c r="D939" s="4">
        <v>45695</v>
      </c>
      <c r="E939" s="5" t="s">
        <v>16353</v>
      </c>
      <c r="F939" s="5" t="s">
        <v>18342</v>
      </c>
      <c r="G939" s="5" t="s">
        <v>831</v>
      </c>
      <c r="H939" s="5">
        <v>1</v>
      </c>
      <c r="I939" s="8" t="s">
        <v>8088</v>
      </c>
      <c r="J939" s="8" t="s">
        <v>10137</v>
      </c>
      <c r="K939" s="8" t="s">
        <v>1934</v>
      </c>
      <c r="L939" s="8" t="s">
        <v>12188</v>
      </c>
      <c r="M939" s="8" t="s">
        <v>3984</v>
      </c>
      <c r="N939" s="8" t="s">
        <v>6035</v>
      </c>
      <c r="O939" s="5" t="s">
        <v>41</v>
      </c>
      <c r="P939" s="4">
        <v>45716</v>
      </c>
      <c r="Q939" s="15">
        <v>52.7</v>
      </c>
      <c r="R939" s="15">
        <v>16.16</v>
      </c>
      <c r="S939" s="15">
        <v>0</v>
      </c>
      <c r="T939"/>
    </row>
    <row r="940" spans="1:20">
      <c r="A940" s="5" t="s">
        <v>36</v>
      </c>
      <c r="B940" s="5" t="s">
        <v>14267</v>
      </c>
      <c r="C940" s="4">
        <v>45695</v>
      </c>
      <c r="D940" s="4">
        <v>45695</v>
      </c>
      <c r="E940" s="5" t="s">
        <v>16354</v>
      </c>
      <c r="F940" s="5" t="s">
        <v>18343</v>
      </c>
      <c r="G940" s="5" t="s">
        <v>817</v>
      </c>
      <c r="H940" s="5">
        <v>1</v>
      </c>
      <c r="I940" s="8" t="s">
        <v>8089</v>
      </c>
      <c r="J940" s="8" t="s">
        <v>10138</v>
      </c>
      <c r="K940" s="8" t="s">
        <v>1935</v>
      </c>
      <c r="L940" s="8" t="s">
        <v>12189</v>
      </c>
      <c r="M940" s="8" t="s">
        <v>3985</v>
      </c>
      <c r="N940" s="8" t="s">
        <v>6036</v>
      </c>
      <c r="O940" s="5" t="s">
        <v>39</v>
      </c>
      <c r="P940" s="4">
        <v>45716</v>
      </c>
      <c r="Q940" s="15">
        <v>33.99</v>
      </c>
      <c r="R940" s="15">
        <v>14.99</v>
      </c>
      <c r="S940" s="15">
        <v>0</v>
      </c>
      <c r="T940"/>
    </row>
    <row r="941" spans="1:20">
      <c r="A941" s="5" t="s">
        <v>36</v>
      </c>
      <c r="B941" s="5" t="s">
        <v>14268</v>
      </c>
      <c r="C941" s="4">
        <v>45695</v>
      </c>
      <c r="D941" s="4">
        <v>45695</v>
      </c>
      <c r="E941" s="5" t="s">
        <v>16355</v>
      </c>
      <c r="F941" s="5" t="s">
        <v>18344</v>
      </c>
      <c r="G941" s="5" t="s">
        <v>831</v>
      </c>
      <c r="H941" s="5">
        <v>1</v>
      </c>
      <c r="I941" s="8" t="s">
        <v>8090</v>
      </c>
      <c r="J941" s="8" t="s">
        <v>10139</v>
      </c>
      <c r="K941" s="8" t="s">
        <v>1936</v>
      </c>
      <c r="L941" s="8" t="s">
        <v>12190</v>
      </c>
      <c r="M941" s="8" t="s">
        <v>3986</v>
      </c>
      <c r="N941" s="8" t="s">
        <v>6037</v>
      </c>
      <c r="O941" s="5" t="s">
        <v>41</v>
      </c>
      <c r="P941" s="4">
        <v>45716</v>
      </c>
      <c r="Q941" s="15">
        <v>52.7</v>
      </c>
      <c r="R941" s="15">
        <v>16.16</v>
      </c>
      <c r="S941" s="15">
        <v>0</v>
      </c>
      <c r="T941"/>
    </row>
    <row r="942" spans="1:20">
      <c r="A942" s="5" t="s">
        <v>113</v>
      </c>
      <c r="B942" s="5" t="s">
        <v>14269</v>
      </c>
      <c r="C942" s="4">
        <v>45695</v>
      </c>
      <c r="D942" s="4">
        <v>45695</v>
      </c>
      <c r="E942" s="5" t="s">
        <v>16356</v>
      </c>
      <c r="F942" s="5" t="s">
        <v>18345</v>
      </c>
      <c r="G942" s="5" t="s">
        <v>817</v>
      </c>
      <c r="H942" s="5">
        <v>1</v>
      </c>
      <c r="I942" s="8" t="s">
        <v>8091</v>
      </c>
      <c r="J942" s="8" t="s">
        <v>10140</v>
      </c>
      <c r="K942" s="8" t="s">
        <v>1937</v>
      </c>
      <c r="L942" s="8" t="s">
        <v>12191</v>
      </c>
      <c r="M942" s="8" t="s">
        <v>3987</v>
      </c>
      <c r="N942" s="8" t="s">
        <v>6038</v>
      </c>
      <c r="O942" s="5" t="s">
        <v>115</v>
      </c>
      <c r="P942" s="4">
        <v>45710</v>
      </c>
      <c r="Q942" s="15">
        <v>32.99</v>
      </c>
      <c r="R942" s="15">
        <v>14.99</v>
      </c>
      <c r="S942" s="15">
        <v>0</v>
      </c>
      <c r="T942"/>
    </row>
    <row r="943" spans="1:20">
      <c r="A943" s="5" t="s">
        <v>113</v>
      </c>
      <c r="B943" s="5" t="s">
        <v>14270</v>
      </c>
      <c r="C943" s="4">
        <v>45696</v>
      </c>
      <c r="D943" s="4">
        <v>45695</v>
      </c>
      <c r="E943" s="5" t="s">
        <v>16357</v>
      </c>
      <c r="F943" s="5" t="s">
        <v>18346</v>
      </c>
      <c r="G943" s="5" t="s">
        <v>817</v>
      </c>
      <c r="H943" s="5">
        <v>1</v>
      </c>
      <c r="I943" s="8" t="s">
        <v>8092</v>
      </c>
      <c r="J943" s="8" t="s">
        <v>10141</v>
      </c>
      <c r="K943" s="8" t="s">
        <v>1938</v>
      </c>
      <c r="L943" s="8" t="s">
        <v>12192</v>
      </c>
      <c r="M943" s="8" t="s">
        <v>3988</v>
      </c>
      <c r="N943" s="8" t="s">
        <v>6039</v>
      </c>
      <c r="O943" s="5" t="s">
        <v>115</v>
      </c>
      <c r="P943" s="4">
        <v>45716</v>
      </c>
      <c r="Q943" s="15">
        <v>32.99</v>
      </c>
      <c r="R943" s="15">
        <v>14.99</v>
      </c>
      <c r="S943" s="15">
        <v>0</v>
      </c>
      <c r="T943"/>
    </row>
    <row r="944" spans="1:20">
      <c r="A944" s="5" t="s">
        <v>36</v>
      </c>
      <c r="B944" s="5" t="s">
        <v>14271</v>
      </c>
      <c r="C944" s="4">
        <v>45696</v>
      </c>
      <c r="D944" s="4">
        <v>45697</v>
      </c>
      <c r="E944" s="5" t="s">
        <v>16358</v>
      </c>
      <c r="F944" s="5" t="s">
        <v>18347</v>
      </c>
      <c r="G944" s="5" t="s">
        <v>824</v>
      </c>
      <c r="H944" s="5">
        <v>1</v>
      </c>
      <c r="I944" s="8" t="s">
        <v>8093</v>
      </c>
      <c r="J944" s="8" t="s">
        <v>10142</v>
      </c>
      <c r="K944" s="8" t="s">
        <v>1939</v>
      </c>
      <c r="L944" s="8" t="s">
        <v>12193</v>
      </c>
      <c r="M944" s="8" t="s">
        <v>3989</v>
      </c>
      <c r="N944" s="8" t="s">
        <v>6040</v>
      </c>
      <c r="O944" s="5" t="s">
        <v>38</v>
      </c>
      <c r="P944" s="4">
        <v>45714</v>
      </c>
      <c r="Q944" s="15">
        <v>24.99</v>
      </c>
      <c r="R944" s="15">
        <v>6.99</v>
      </c>
      <c r="S944" s="15">
        <v>0</v>
      </c>
      <c r="T944"/>
    </row>
    <row r="945" spans="1:20">
      <c r="A945" s="5" t="s">
        <v>36</v>
      </c>
      <c r="B945" s="5" t="s">
        <v>14272</v>
      </c>
      <c r="C945" s="4">
        <v>45696</v>
      </c>
      <c r="D945" s="4">
        <v>45697</v>
      </c>
      <c r="E945" s="5" t="s">
        <v>16359</v>
      </c>
      <c r="F945" s="5" t="s">
        <v>18348</v>
      </c>
      <c r="G945" s="5" t="s">
        <v>845</v>
      </c>
      <c r="H945" s="5">
        <v>1</v>
      </c>
      <c r="I945" s="8" t="s">
        <v>8094</v>
      </c>
      <c r="J945" s="8" t="s">
        <v>10143</v>
      </c>
      <c r="K945" s="8" t="s">
        <v>1940</v>
      </c>
      <c r="L945" s="8" t="s">
        <v>12194</v>
      </c>
      <c r="M945" s="8" t="s">
        <v>3990</v>
      </c>
      <c r="N945" s="8" t="s">
        <v>6041</v>
      </c>
      <c r="O945" s="5" t="s">
        <v>67</v>
      </c>
      <c r="P945" s="4">
        <v>45716</v>
      </c>
      <c r="Q945" s="15">
        <v>61.99</v>
      </c>
      <c r="R945" s="15">
        <v>0</v>
      </c>
      <c r="S945" s="15">
        <v>0</v>
      </c>
      <c r="T945"/>
    </row>
    <row r="946" spans="1:20">
      <c r="A946" s="5" t="s">
        <v>36</v>
      </c>
      <c r="B946" s="5" t="s">
        <v>14273</v>
      </c>
      <c r="C946" s="4">
        <v>45696</v>
      </c>
      <c r="D946" s="4">
        <v>45697</v>
      </c>
      <c r="E946" s="5" t="s">
        <v>16360</v>
      </c>
      <c r="F946" s="5" t="s">
        <v>18349</v>
      </c>
      <c r="G946" s="5" t="s">
        <v>849</v>
      </c>
      <c r="H946" s="5">
        <v>1</v>
      </c>
      <c r="I946" s="8" t="s">
        <v>8095</v>
      </c>
      <c r="J946" s="8" t="s">
        <v>10144</v>
      </c>
      <c r="K946" s="8" t="s">
        <v>1941</v>
      </c>
      <c r="L946" s="8" t="s">
        <v>12195</v>
      </c>
      <c r="M946" s="8" t="s">
        <v>3991</v>
      </c>
      <c r="N946" s="8" t="s">
        <v>6042</v>
      </c>
      <c r="O946" s="5" t="s">
        <v>61</v>
      </c>
      <c r="P946" s="4">
        <v>45716</v>
      </c>
      <c r="Q946" s="15">
        <v>66.989999999999995</v>
      </c>
      <c r="R946" s="15">
        <v>16.260000000000002</v>
      </c>
      <c r="S946" s="15">
        <v>0</v>
      </c>
      <c r="T946"/>
    </row>
    <row r="947" spans="1:20">
      <c r="A947" s="5" t="s">
        <v>36</v>
      </c>
      <c r="B947" s="5" t="s">
        <v>14274</v>
      </c>
      <c r="C947" s="4">
        <v>45697</v>
      </c>
      <c r="D947" s="4">
        <v>45697</v>
      </c>
      <c r="E947" s="5" t="s">
        <v>16361</v>
      </c>
      <c r="F947" s="5" t="s">
        <v>18350</v>
      </c>
      <c r="G947" s="5" t="s">
        <v>852</v>
      </c>
      <c r="H947" s="5">
        <v>1</v>
      </c>
      <c r="I947" s="8" t="s">
        <v>8096</v>
      </c>
      <c r="J947" s="8" t="s">
        <v>10145</v>
      </c>
      <c r="K947" s="8" t="s">
        <v>1942</v>
      </c>
      <c r="L947" s="8" t="s">
        <v>12196</v>
      </c>
      <c r="M947" s="8" t="s">
        <v>3992</v>
      </c>
      <c r="N947" s="8" t="s">
        <v>6043</v>
      </c>
      <c r="O947" s="5" t="s">
        <v>68</v>
      </c>
      <c r="P947" s="4">
        <v>45710</v>
      </c>
      <c r="Q947" s="15">
        <v>19.989999999999998</v>
      </c>
      <c r="R947" s="15">
        <v>6.99</v>
      </c>
      <c r="S947" s="15">
        <v>0</v>
      </c>
      <c r="T947"/>
    </row>
    <row r="948" spans="1:20">
      <c r="A948" s="5" t="s">
        <v>36</v>
      </c>
      <c r="B948" s="5" t="s">
        <v>14275</v>
      </c>
      <c r="C948" s="4">
        <v>45697</v>
      </c>
      <c r="D948" s="4">
        <v>45698</v>
      </c>
      <c r="E948" s="5" t="s">
        <v>16362</v>
      </c>
      <c r="F948" s="5" t="s">
        <v>18351</v>
      </c>
      <c r="G948" s="5" t="s">
        <v>845</v>
      </c>
      <c r="H948" s="5">
        <v>1</v>
      </c>
      <c r="I948" s="8" t="s">
        <v>8097</v>
      </c>
      <c r="J948" s="8" t="s">
        <v>10146</v>
      </c>
      <c r="K948" s="8" t="s">
        <v>1943</v>
      </c>
      <c r="L948" s="8" t="s">
        <v>12197</v>
      </c>
      <c r="M948" s="8" t="s">
        <v>3993</v>
      </c>
      <c r="N948" s="8" t="s">
        <v>6044</v>
      </c>
      <c r="O948" s="5" t="s">
        <v>67</v>
      </c>
      <c r="P948" s="4">
        <v>45727</v>
      </c>
      <c r="Q948" s="15">
        <v>61.99</v>
      </c>
      <c r="R948" s="15">
        <v>16.64</v>
      </c>
      <c r="S948" s="15">
        <v>0</v>
      </c>
      <c r="T948"/>
    </row>
    <row r="949" spans="1:20">
      <c r="A949" s="5" t="s">
        <v>36</v>
      </c>
      <c r="B949" s="5" t="s">
        <v>14276</v>
      </c>
      <c r="C949" s="4">
        <v>45697</v>
      </c>
      <c r="D949" s="4">
        <v>45697</v>
      </c>
      <c r="E949" s="5" t="s">
        <v>16363</v>
      </c>
      <c r="F949" s="5" t="s">
        <v>18352</v>
      </c>
      <c r="G949" s="5" t="s">
        <v>831</v>
      </c>
      <c r="H949" s="5">
        <v>1</v>
      </c>
      <c r="I949" s="8" t="s">
        <v>8098</v>
      </c>
      <c r="J949" s="8" t="s">
        <v>10147</v>
      </c>
      <c r="K949" s="8" t="s">
        <v>1944</v>
      </c>
      <c r="L949" s="8" t="s">
        <v>12198</v>
      </c>
      <c r="M949" s="8" t="s">
        <v>3994</v>
      </c>
      <c r="N949" s="8" t="s">
        <v>6045</v>
      </c>
      <c r="O949" s="5" t="s">
        <v>41</v>
      </c>
      <c r="P949" s="4">
        <v>45716</v>
      </c>
      <c r="Q949" s="15">
        <v>55.99</v>
      </c>
      <c r="R949" s="15">
        <v>16.899999999999999</v>
      </c>
      <c r="S949" s="15">
        <v>0</v>
      </c>
      <c r="T949"/>
    </row>
    <row r="950" spans="1:20">
      <c r="A950" s="5" t="s">
        <v>36</v>
      </c>
      <c r="B950" s="5" t="s">
        <v>14277</v>
      </c>
      <c r="C950" s="4">
        <v>45697</v>
      </c>
      <c r="D950" s="4">
        <v>45697</v>
      </c>
      <c r="E950" s="5" t="s">
        <v>16364</v>
      </c>
      <c r="F950" s="5" t="s">
        <v>18353</v>
      </c>
      <c r="G950" s="5" t="s">
        <v>831</v>
      </c>
      <c r="H950" s="5">
        <v>1</v>
      </c>
      <c r="I950" s="8" t="s">
        <v>8099</v>
      </c>
      <c r="J950" s="8" t="s">
        <v>10148</v>
      </c>
      <c r="K950" s="8" t="s">
        <v>1945</v>
      </c>
      <c r="L950" s="8" t="s">
        <v>12199</v>
      </c>
      <c r="M950" s="8" t="s">
        <v>3995</v>
      </c>
      <c r="N950" s="8" t="s">
        <v>6046</v>
      </c>
      <c r="O950" s="5" t="s">
        <v>41</v>
      </c>
      <c r="P950" s="4">
        <v>45716</v>
      </c>
      <c r="Q950" s="15">
        <v>55.99</v>
      </c>
      <c r="R950" s="15">
        <v>16.899999999999999</v>
      </c>
      <c r="S950" s="15">
        <v>0</v>
      </c>
      <c r="T950"/>
    </row>
    <row r="951" spans="1:20">
      <c r="A951" s="5" t="s">
        <v>36</v>
      </c>
      <c r="B951" s="5" t="s">
        <v>14278</v>
      </c>
      <c r="C951" s="4">
        <v>45698</v>
      </c>
      <c r="D951" s="4">
        <v>45697</v>
      </c>
      <c r="E951" s="5" t="s">
        <v>16365</v>
      </c>
      <c r="F951" s="5" t="s">
        <v>18354</v>
      </c>
      <c r="G951" s="5" t="s">
        <v>831</v>
      </c>
      <c r="H951" s="5">
        <v>1</v>
      </c>
      <c r="I951" s="8" t="s">
        <v>8100</v>
      </c>
      <c r="J951" s="8" t="s">
        <v>10149</v>
      </c>
      <c r="K951" s="8" t="s">
        <v>1946</v>
      </c>
      <c r="L951" s="8" t="s">
        <v>12200</v>
      </c>
      <c r="M951" s="8" t="s">
        <v>3996</v>
      </c>
      <c r="N951" s="8" t="s">
        <v>6047</v>
      </c>
      <c r="O951" s="5" t="s">
        <v>41</v>
      </c>
      <c r="P951" s="4">
        <v>45716</v>
      </c>
      <c r="Q951" s="15">
        <v>55.99</v>
      </c>
      <c r="R951" s="15">
        <v>16.899999999999999</v>
      </c>
      <c r="S951" s="15">
        <v>0</v>
      </c>
      <c r="T951"/>
    </row>
    <row r="952" spans="1:20">
      <c r="A952" s="5" t="s">
        <v>36</v>
      </c>
      <c r="B952" s="5" t="s">
        <v>14279</v>
      </c>
      <c r="C952" s="4">
        <v>45698</v>
      </c>
      <c r="D952" s="4">
        <v>45698</v>
      </c>
      <c r="E952" s="5" t="s">
        <v>16366</v>
      </c>
      <c r="F952" s="5" t="s">
        <v>18355</v>
      </c>
      <c r="G952" s="5" t="s">
        <v>845</v>
      </c>
      <c r="H952" s="5">
        <v>1</v>
      </c>
      <c r="I952" s="8" t="s">
        <v>8101</v>
      </c>
      <c r="J952" s="8" t="s">
        <v>10150</v>
      </c>
      <c r="K952" s="8" t="s">
        <v>1947</v>
      </c>
      <c r="L952" s="8" t="s">
        <v>12201</v>
      </c>
      <c r="M952" s="8" t="s">
        <v>3997</v>
      </c>
      <c r="N952" s="8" t="s">
        <v>6048</v>
      </c>
      <c r="O952" s="5" t="s">
        <v>67</v>
      </c>
      <c r="P952" s="4">
        <v>45734</v>
      </c>
      <c r="Q952" s="15">
        <v>61.99</v>
      </c>
      <c r="R952" s="15">
        <v>16.64</v>
      </c>
      <c r="S952" s="15">
        <v>0</v>
      </c>
      <c r="T952"/>
    </row>
    <row r="953" spans="1:20">
      <c r="A953" s="5" t="s">
        <v>108</v>
      </c>
      <c r="B953" s="5" t="s">
        <v>14280</v>
      </c>
      <c r="C953" s="4">
        <v>45696</v>
      </c>
      <c r="D953" s="4">
        <v>45697</v>
      </c>
      <c r="E953" s="5" t="s">
        <v>16367</v>
      </c>
      <c r="F953" s="5" t="s">
        <v>18356</v>
      </c>
      <c r="G953" s="5" t="s">
        <v>849</v>
      </c>
      <c r="H953" s="5">
        <v>1</v>
      </c>
      <c r="I953" s="8" t="s">
        <v>8047</v>
      </c>
      <c r="J953" s="8" t="s">
        <v>10096</v>
      </c>
      <c r="K953" s="8" t="s">
        <v>1893</v>
      </c>
      <c r="L953" s="8" t="s">
        <v>12147</v>
      </c>
      <c r="M953" s="8" t="s">
        <v>3943</v>
      </c>
      <c r="N953" s="8" t="s">
        <v>5994</v>
      </c>
      <c r="O953" s="5" t="s">
        <v>111</v>
      </c>
      <c r="P953" s="4">
        <v>45716</v>
      </c>
      <c r="Q953" s="15">
        <v>61.99</v>
      </c>
      <c r="R953" s="15">
        <v>12.96</v>
      </c>
      <c r="S953" s="15">
        <v>0</v>
      </c>
      <c r="T953"/>
    </row>
    <row r="954" spans="1:20">
      <c r="A954" s="5" t="s">
        <v>108</v>
      </c>
      <c r="B954" s="5" t="s">
        <v>14281</v>
      </c>
      <c r="C954" s="4">
        <v>45696</v>
      </c>
      <c r="D954" s="4">
        <v>45697</v>
      </c>
      <c r="E954" s="5" t="s">
        <v>16368</v>
      </c>
      <c r="F954" s="5" t="s">
        <v>18357</v>
      </c>
      <c r="G954" s="5" t="s">
        <v>849</v>
      </c>
      <c r="H954" s="5">
        <v>1</v>
      </c>
      <c r="I954" s="8" t="s">
        <v>8102</v>
      </c>
      <c r="J954" s="8" t="s">
        <v>10151</v>
      </c>
      <c r="K954" s="8" t="s">
        <v>1948</v>
      </c>
      <c r="L954" s="8" t="s">
        <v>12202</v>
      </c>
      <c r="M954" s="8" t="s">
        <v>3998</v>
      </c>
      <c r="N954" s="8" t="s">
        <v>6049</v>
      </c>
      <c r="O954" s="5" t="s">
        <v>111</v>
      </c>
      <c r="P954" s="4">
        <v>45734</v>
      </c>
      <c r="Q954" s="15">
        <v>61.99</v>
      </c>
      <c r="R954" s="15">
        <v>12.96</v>
      </c>
      <c r="S954" s="15">
        <v>0</v>
      </c>
      <c r="T954"/>
    </row>
    <row r="955" spans="1:20">
      <c r="A955" s="5" t="s">
        <v>108</v>
      </c>
      <c r="B955" s="5" t="s">
        <v>14282</v>
      </c>
      <c r="C955" s="4">
        <v>45696</v>
      </c>
      <c r="D955" s="4">
        <v>45697</v>
      </c>
      <c r="E955" s="5" t="s">
        <v>16369</v>
      </c>
      <c r="F955" s="5" t="s">
        <v>18358</v>
      </c>
      <c r="G955" s="5" t="s">
        <v>849</v>
      </c>
      <c r="H955" s="5">
        <v>1</v>
      </c>
      <c r="I955" s="8" t="s">
        <v>8103</v>
      </c>
      <c r="J955" s="8" t="s">
        <v>10152</v>
      </c>
      <c r="K955" s="8" t="s">
        <v>1949</v>
      </c>
      <c r="L955" s="8" t="s">
        <v>12203</v>
      </c>
      <c r="M955" s="8" t="s">
        <v>3999</v>
      </c>
      <c r="N955" s="8" t="s">
        <v>6050</v>
      </c>
      <c r="O955" s="5" t="s">
        <v>111</v>
      </c>
      <c r="P955" s="4">
        <v>45716</v>
      </c>
      <c r="Q955" s="15">
        <v>61.99</v>
      </c>
      <c r="R955" s="15">
        <v>12.96</v>
      </c>
      <c r="S955" s="15">
        <v>0</v>
      </c>
      <c r="T955"/>
    </row>
    <row r="956" spans="1:20">
      <c r="A956" s="5" t="s">
        <v>108</v>
      </c>
      <c r="B956" s="5" t="s">
        <v>14283</v>
      </c>
      <c r="C956" s="4">
        <v>45696</v>
      </c>
      <c r="D956" s="4">
        <v>45697</v>
      </c>
      <c r="E956" s="5" t="s">
        <v>16370</v>
      </c>
      <c r="F956" s="5" t="s">
        <v>18359</v>
      </c>
      <c r="G956" s="5" t="s">
        <v>849</v>
      </c>
      <c r="H956" s="5">
        <v>1</v>
      </c>
      <c r="I956" s="8" t="s">
        <v>8104</v>
      </c>
      <c r="J956" s="8" t="s">
        <v>10153</v>
      </c>
      <c r="K956" s="8" t="s">
        <v>1950</v>
      </c>
      <c r="L956" s="8" t="s">
        <v>12204</v>
      </c>
      <c r="M956" s="8" t="s">
        <v>4000</v>
      </c>
      <c r="N956" s="8" t="s">
        <v>6051</v>
      </c>
      <c r="O956" s="5" t="s">
        <v>111</v>
      </c>
      <c r="P956" s="4">
        <v>45734</v>
      </c>
      <c r="Q956" s="15">
        <v>61.99</v>
      </c>
      <c r="R956" s="15">
        <v>16.760000000000002</v>
      </c>
      <c r="S956" s="15">
        <v>0</v>
      </c>
      <c r="T956"/>
    </row>
    <row r="957" spans="1:20">
      <c r="A957" s="5" t="s">
        <v>108</v>
      </c>
      <c r="B957" s="5" t="s">
        <v>14284</v>
      </c>
      <c r="C957" s="4">
        <v>45696</v>
      </c>
      <c r="D957" s="4">
        <v>45697</v>
      </c>
      <c r="E957" s="5" t="s">
        <v>16371</v>
      </c>
      <c r="F957" s="5" t="s">
        <v>18360</v>
      </c>
      <c r="G957" s="5" t="s">
        <v>849</v>
      </c>
      <c r="H957" s="5">
        <v>1</v>
      </c>
      <c r="I957" s="8" t="s">
        <v>8105</v>
      </c>
      <c r="J957" s="8" t="s">
        <v>10154</v>
      </c>
      <c r="K957" s="8" t="s">
        <v>1951</v>
      </c>
      <c r="L957" s="8" t="s">
        <v>12205</v>
      </c>
      <c r="M957" s="8" t="s">
        <v>4001</v>
      </c>
      <c r="N957" s="8" t="s">
        <v>6052</v>
      </c>
      <c r="O957" s="5" t="s">
        <v>111</v>
      </c>
      <c r="P957" s="4">
        <v>45727</v>
      </c>
      <c r="Q957" s="15">
        <v>61.99</v>
      </c>
      <c r="R957" s="15">
        <v>16.760000000000002</v>
      </c>
      <c r="S957" s="15">
        <v>0</v>
      </c>
      <c r="T957"/>
    </row>
    <row r="958" spans="1:20">
      <c r="A958" s="5" t="s">
        <v>108</v>
      </c>
      <c r="B958" s="5" t="s">
        <v>14285</v>
      </c>
      <c r="C958" s="4">
        <v>45697</v>
      </c>
      <c r="D958" s="4">
        <v>45697</v>
      </c>
      <c r="E958" s="5" t="s">
        <v>16372</v>
      </c>
      <c r="F958" s="5" t="s">
        <v>18361</v>
      </c>
      <c r="G958" s="5" t="s">
        <v>849</v>
      </c>
      <c r="H958" s="5">
        <v>1</v>
      </c>
      <c r="I958" s="8" t="s">
        <v>8106</v>
      </c>
      <c r="J958" s="8" t="s">
        <v>10155</v>
      </c>
      <c r="K958" s="8" t="s">
        <v>1952</v>
      </c>
      <c r="L958" s="8" t="s">
        <v>12206</v>
      </c>
      <c r="M958" s="8" t="s">
        <v>4002</v>
      </c>
      <c r="N958" s="8" t="s">
        <v>6053</v>
      </c>
      <c r="O958" s="5" t="s">
        <v>111</v>
      </c>
      <c r="P958" s="4">
        <v>45727</v>
      </c>
      <c r="Q958" s="15">
        <v>61.99</v>
      </c>
      <c r="R958" s="15">
        <v>16.760000000000002</v>
      </c>
      <c r="S958" s="15">
        <v>0</v>
      </c>
      <c r="T958"/>
    </row>
    <row r="959" spans="1:20">
      <c r="A959" s="5" t="s">
        <v>108</v>
      </c>
      <c r="B959" s="5" t="s">
        <v>14286</v>
      </c>
      <c r="C959" s="4">
        <v>45697</v>
      </c>
      <c r="D959" s="4">
        <v>45697</v>
      </c>
      <c r="E959" s="5" t="s">
        <v>16373</v>
      </c>
      <c r="F959" s="5" t="s">
        <v>18362</v>
      </c>
      <c r="G959" s="5" t="s">
        <v>849</v>
      </c>
      <c r="H959" s="5">
        <v>1</v>
      </c>
      <c r="I959" s="8" t="s">
        <v>8107</v>
      </c>
      <c r="J959" s="8" t="s">
        <v>10156</v>
      </c>
      <c r="K959" s="8" t="s">
        <v>1953</v>
      </c>
      <c r="L959" s="8" t="s">
        <v>12207</v>
      </c>
      <c r="M959" s="8" t="s">
        <v>4003</v>
      </c>
      <c r="N959" s="8" t="s">
        <v>6054</v>
      </c>
      <c r="O959" s="5" t="s">
        <v>111</v>
      </c>
      <c r="P959" s="4">
        <v>45716</v>
      </c>
      <c r="Q959" s="15">
        <v>61.99</v>
      </c>
      <c r="R959" s="15">
        <v>16.760000000000002</v>
      </c>
      <c r="S959" s="15">
        <v>0</v>
      </c>
      <c r="T959"/>
    </row>
    <row r="960" spans="1:20">
      <c r="A960" s="5" t="s">
        <v>108</v>
      </c>
      <c r="B960" s="5" t="s">
        <v>14287</v>
      </c>
      <c r="C960" s="4">
        <v>45698</v>
      </c>
      <c r="D960" s="4">
        <v>45698</v>
      </c>
      <c r="E960" s="5" t="s">
        <v>16374</v>
      </c>
      <c r="F960" s="5" t="s">
        <v>18363</v>
      </c>
      <c r="G960" s="5" t="s">
        <v>849</v>
      </c>
      <c r="H960" s="5">
        <v>1</v>
      </c>
      <c r="I960" s="8" t="s">
        <v>8108</v>
      </c>
      <c r="J960" s="8" t="s">
        <v>10157</v>
      </c>
      <c r="K960" s="8" t="s">
        <v>1954</v>
      </c>
      <c r="L960" s="8" t="s">
        <v>12208</v>
      </c>
      <c r="M960" s="8" t="s">
        <v>4004</v>
      </c>
      <c r="N960" s="8" t="s">
        <v>6055</v>
      </c>
      <c r="O960" s="5" t="s">
        <v>111</v>
      </c>
      <c r="P960" s="4">
        <v>45727</v>
      </c>
      <c r="Q960" s="15">
        <v>61.99</v>
      </c>
      <c r="R960" s="15">
        <v>16.34</v>
      </c>
      <c r="S960" s="15">
        <v>0</v>
      </c>
      <c r="T960"/>
    </row>
    <row r="961" spans="1:20">
      <c r="A961" s="5" t="s">
        <v>108</v>
      </c>
      <c r="B961" s="5" t="s">
        <v>14288</v>
      </c>
      <c r="C961" s="4">
        <v>45698</v>
      </c>
      <c r="D961" s="4">
        <v>45698</v>
      </c>
      <c r="E961" s="5" t="s">
        <v>16375</v>
      </c>
      <c r="F961" s="5" t="s">
        <v>18364</v>
      </c>
      <c r="G961" s="5" t="s">
        <v>849</v>
      </c>
      <c r="H961" s="5">
        <v>1</v>
      </c>
      <c r="I961" s="8" t="s">
        <v>7874</v>
      </c>
      <c r="J961" s="8" t="s">
        <v>9923</v>
      </c>
      <c r="K961" s="8" t="s">
        <v>1720</v>
      </c>
      <c r="L961" s="8" t="s">
        <v>11974</v>
      </c>
      <c r="M961" s="8" t="s">
        <v>3770</v>
      </c>
      <c r="N961" s="8" t="s">
        <v>5821</v>
      </c>
      <c r="O961" s="5" t="s">
        <v>111</v>
      </c>
      <c r="P961" s="4">
        <v>45716</v>
      </c>
      <c r="Q961" s="15">
        <v>61.99</v>
      </c>
      <c r="R961" s="15">
        <v>16.34</v>
      </c>
      <c r="S961" s="15">
        <v>0</v>
      </c>
      <c r="T961"/>
    </row>
    <row r="962" spans="1:20">
      <c r="A962" s="5" t="s">
        <v>108</v>
      </c>
      <c r="B962" s="5" t="s">
        <v>14289</v>
      </c>
      <c r="C962" s="4">
        <v>45698</v>
      </c>
      <c r="D962" s="4">
        <v>45698</v>
      </c>
      <c r="E962" s="5" t="s">
        <v>16376</v>
      </c>
      <c r="F962" s="5" t="s">
        <v>18365</v>
      </c>
      <c r="G962" s="5" t="s">
        <v>849</v>
      </c>
      <c r="H962" s="5">
        <v>1</v>
      </c>
      <c r="I962" s="8" t="s">
        <v>8109</v>
      </c>
      <c r="J962" s="8" t="s">
        <v>10158</v>
      </c>
      <c r="K962" s="8" t="s">
        <v>1955</v>
      </c>
      <c r="L962" s="8" t="s">
        <v>12209</v>
      </c>
      <c r="M962" s="8" t="s">
        <v>4005</v>
      </c>
      <c r="N962" s="8" t="s">
        <v>6056</v>
      </c>
      <c r="O962" s="5" t="s">
        <v>111</v>
      </c>
      <c r="P962" s="4">
        <v>45716</v>
      </c>
      <c r="Q962" s="15">
        <v>61.99</v>
      </c>
      <c r="R962" s="15">
        <v>16.34</v>
      </c>
      <c r="S962" s="15">
        <v>0</v>
      </c>
      <c r="T962"/>
    </row>
    <row r="963" spans="1:20">
      <c r="A963" s="5" t="s">
        <v>36</v>
      </c>
      <c r="B963" s="5" t="s">
        <v>14290</v>
      </c>
      <c r="C963" s="4">
        <v>45698</v>
      </c>
      <c r="D963" s="4">
        <v>45698</v>
      </c>
      <c r="E963" s="5" t="s">
        <v>16377</v>
      </c>
      <c r="F963" s="5" t="s">
        <v>18366</v>
      </c>
      <c r="G963" s="5" t="s">
        <v>831</v>
      </c>
      <c r="H963" s="5">
        <v>1</v>
      </c>
      <c r="I963" s="8" t="s">
        <v>8110</v>
      </c>
      <c r="J963" s="8" t="s">
        <v>10159</v>
      </c>
      <c r="K963" s="8" t="s">
        <v>1956</v>
      </c>
      <c r="L963" s="8" t="s">
        <v>12210</v>
      </c>
      <c r="M963" s="8" t="s">
        <v>4006</v>
      </c>
      <c r="N963" s="8" t="s">
        <v>6057</v>
      </c>
      <c r="O963" s="5" t="s">
        <v>41</v>
      </c>
      <c r="P963" s="4">
        <v>45717</v>
      </c>
      <c r="Q963" s="15">
        <v>55.99</v>
      </c>
      <c r="R963" s="15">
        <v>16.989999999999998</v>
      </c>
      <c r="S963" s="15">
        <v>0</v>
      </c>
      <c r="T963"/>
    </row>
    <row r="964" spans="1:20">
      <c r="A964" s="5" t="s">
        <v>36</v>
      </c>
      <c r="B964" s="5" t="s">
        <v>14291</v>
      </c>
      <c r="C964" s="4">
        <v>45698</v>
      </c>
      <c r="D964" s="4">
        <v>45698</v>
      </c>
      <c r="E964" s="5" t="s">
        <v>16378</v>
      </c>
      <c r="F964" s="5" t="s">
        <v>18367</v>
      </c>
      <c r="G964" s="5" t="s">
        <v>831</v>
      </c>
      <c r="H964" s="5">
        <v>1</v>
      </c>
      <c r="I964" s="8" t="s">
        <v>8111</v>
      </c>
      <c r="J964" s="8" t="s">
        <v>10160</v>
      </c>
      <c r="K964" s="8" t="s">
        <v>1957</v>
      </c>
      <c r="L964" s="8" t="s">
        <v>12211</v>
      </c>
      <c r="M964" s="8" t="s">
        <v>4007</v>
      </c>
      <c r="N964" s="8" t="s">
        <v>6058</v>
      </c>
      <c r="O964" s="5" t="s">
        <v>41</v>
      </c>
      <c r="P964" s="4">
        <v>45728</v>
      </c>
      <c r="Q964" s="15">
        <v>55.99</v>
      </c>
      <c r="R964" s="15">
        <v>16.989999999999998</v>
      </c>
      <c r="S964" s="15">
        <v>0</v>
      </c>
      <c r="T964"/>
    </row>
    <row r="965" spans="1:20">
      <c r="A965" s="5" t="s">
        <v>36</v>
      </c>
      <c r="B965" s="5" t="s">
        <v>14292</v>
      </c>
      <c r="C965" s="4">
        <v>45698</v>
      </c>
      <c r="D965" s="4">
        <v>45698</v>
      </c>
      <c r="E965" s="5" t="s">
        <v>16379</v>
      </c>
      <c r="F965" s="5" t="s">
        <v>18368</v>
      </c>
      <c r="G965" s="5" t="s">
        <v>831</v>
      </c>
      <c r="H965" s="5">
        <v>1</v>
      </c>
      <c r="I965" s="8" t="s">
        <v>8112</v>
      </c>
      <c r="J965" s="8" t="s">
        <v>10161</v>
      </c>
      <c r="K965" s="8" t="s">
        <v>1958</v>
      </c>
      <c r="L965" s="8" t="s">
        <v>12212</v>
      </c>
      <c r="M965" s="8" t="s">
        <v>4008</v>
      </c>
      <c r="N965" s="8" t="s">
        <v>6059</v>
      </c>
      <c r="O965" s="5" t="s">
        <v>41</v>
      </c>
      <c r="P965" s="4">
        <v>45717</v>
      </c>
      <c r="Q965" s="15">
        <v>55.99</v>
      </c>
      <c r="R965" s="15">
        <v>16.989999999999998</v>
      </c>
      <c r="S965" s="15">
        <v>0</v>
      </c>
      <c r="T965"/>
    </row>
    <row r="966" spans="1:20">
      <c r="A966" s="5" t="s">
        <v>36</v>
      </c>
      <c r="B966" s="5" t="s">
        <v>14293</v>
      </c>
      <c r="C966" s="4">
        <v>45698</v>
      </c>
      <c r="D966" s="4">
        <v>45698</v>
      </c>
      <c r="E966" s="5" t="s">
        <v>16380</v>
      </c>
      <c r="F966" s="5" t="s">
        <v>18369</v>
      </c>
      <c r="G966" s="5" t="s">
        <v>845</v>
      </c>
      <c r="H966" s="5">
        <v>1</v>
      </c>
      <c r="I966" s="8" t="s">
        <v>8113</v>
      </c>
      <c r="J966" s="8" t="s">
        <v>10162</v>
      </c>
      <c r="K966" s="8" t="s">
        <v>1959</v>
      </c>
      <c r="L966" s="8" t="s">
        <v>12213</v>
      </c>
      <c r="M966" s="8" t="s">
        <v>4009</v>
      </c>
      <c r="N966" s="8" t="s">
        <v>6060</v>
      </c>
      <c r="O966" s="5" t="s">
        <v>67</v>
      </c>
      <c r="P966" s="4">
        <v>45728</v>
      </c>
      <c r="Q966" s="15">
        <v>61.99</v>
      </c>
      <c r="R966" s="15">
        <v>16.64</v>
      </c>
      <c r="S966" s="15">
        <v>0</v>
      </c>
      <c r="T966"/>
    </row>
    <row r="967" spans="1:20">
      <c r="A967" s="5" t="s">
        <v>36</v>
      </c>
      <c r="B967" s="5" t="s">
        <v>14294</v>
      </c>
      <c r="C967" s="4">
        <v>45698</v>
      </c>
      <c r="D967" s="4">
        <v>45698</v>
      </c>
      <c r="E967" s="5" t="s">
        <v>16381</v>
      </c>
      <c r="F967" s="5" t="s">
        <v>18370</v>
      </c>
      <c r="G967" s="5" t="s">
        <v>845</v>
      </c>
      <c r="H967" s="5">
        <v>1</v>
      </c>
      <c r="I967" s="8" t="s">
        <v>8114</v>
      </c>
      <c r="J967" s="8" t="s">
        <v>10163</v>
      </c>
      <c r="K967" s="8" t="s">
        <v>1960</v>
      </c>
      <c r="L967" s="8" t="s">
        <v>12214</v>
      </c>
      <c r="M967" s="8" t="s">
        <v>4010</v>
      </c>
      <c r="N967" s="8" t="s">
        <v>6061</v>
      </c>
      <c r="O967" s="5" t="s">
        <v>67</v>
      </c>
      <c r="P967" s="4">
        <v>45717</v>
      </c>
      <c r="Q967" s="15">
        <v>61.99</v>
      </c>
      <c r="R967" s="15">
        <v>16.64</v>
      </c>
      <c r="S967" s="15">
        <v>0</v>
      </c>
      <c r="T967"/>
    </row>
    <row r="968" spans="1:20">
      <c r="A968" s="5" t="s">
        <v>36</v>
      </c>
      <c r="B968" s="5" t="s">
        <v>14295</v>
      </c>
      <c r="C968" s="4">
        <v>45698</v>
      </c>
      <c r="D968" s="4">
        <v>45698</v>
      </c>
      <c r="E968" s="5" t="s">
        <v>16382</v>
      </c>
      <c r="F968" s="5" t="s">
        <v>18371</v>
      </c>
      <c r="G968" s="5" t="s">
        <v>845</v>
      </c>
      <c r="H968" s="5">
        <v>1</v>
      </c>
      <c r="I968" s="8" t="s">
        <v>8114</v>
      </c>
      <c r="J968" s="8" t="s">
        <v>10163</v>
      </c>
      <c r="K968" s="8" t="s">
        <v>1960</v>
      </c>
      <c r="L968" s="8" t="s">
        <v>12214</v>
      </c>
      <c r="M968" s="8" t="s">
        <v>4010</v>
      </c>
      <c r="N968" s="8" t="s">
        <v>6061</v>
      </c>
      <c r="O968" s="5" t="s">
        <v>67</v>
      </c>
      <c r="P968" s="4">
        <v>45717</v>
      </c>
      <c r="Q968" s="15">
        <v>61.99</v>
      </c>
      <c r="R968" s="15">
        <v>16.64</v>
      </c>
      <c r="S968" s="15">
        <v>0</v>
      </c>
      <c r="T968"/>
    </row>
    <row r="969" spans="1:20">
      <c r="A969" s="5" t="s">
        <v>108</v>
      </c>
      <c r="B969" s="5" t="s">
        <v>14296</v>
      </c>
      <c r="C969" s="4">
        <v>45698</v>
      </c>
      <c r="D969" s="4">
        <v>45698</v>
      </c>
      <c r="E969" s="5" t="s">
        <v>16383</v>
      </c>
      <c r="F969" s="5" t="s">
        <v>18372</v>
      </c>
      <c r="G969" s="5" t="s">
        <v>849</v>
      </c>
      <c r="H969" s="5">
        <v>1</v>
      </c>
      <c r="I969" s="8" t="s">
        <v>8115</v>
      </c>
      <c r="J969" s="8" t="s">
        <v>10164</v>
      </c>
      <c r="K969" s="8" t="s">
        <v>1961</v>
      </c>
      <c r="L969" s="8" t="s">
        <v>12215</v>
      </c>
      <c r="M969" s="8" t="s">
        <v>4011</v>
      </c>
      <c r="N969" s="8" t="s">
        <v>6062</v>
      </c>
      <c r="O969" s="5" t="s">
        <v>111</v>
      </c>
      <c r="P969" s="4">
        <v>45728</v>
      </c>
      <c r="Q969" s="15">
        <v>61.99</v>
      </c>
      <c r="R969" s="15">
        <v>16.34</v>
      </c>
      <c r="S969" s="15">
        <v>0</v>
      </c>
      <c r="T969"/>
    </row>
    <row r="970" spans="1:20">
      <c r="A970" s="5" t="s">
        <v>108</v>
      </c>
      <c r="B970" s="5" t="s">
        <v>14297</v>
      </c>
      <c r="C970" s="4">
        <v>45698</v>
      </c>
      <c r="D970" s="4">
        <v>45698</v>
      </c>
      <c r="E970" s="5" t="s">
        <v>16384</v>
      </c>
      <c r="F970" s="5" t="s">
        <v>18373</v>
      </c>
      <c r="G970" s="5" t="s">
        <v>849</v>
      </c>
      <c r="H970" s="5">
        <v>1</v>
      </c>
      <c r="I970" s="8" t="s">
        <v>8116</v>
      </c>
      <c r="J970" s="8" t="s">
        <v>10165</v>
      </c>
      <c r="K970" s="8" t="s">
        <v>1962</v>
      </c>
      <c r="L970" s="8" t="s">
        <v>12216</v>
      </c>
      <c r="M970" s="8" t="s">
        <v>4012</v>
      </c>
      <c r="N970" s="8" t="s">
        <v>6063</v>
      </c>
      <c r="O970" s="5" t="s">
        <v>111</v>
      </c>
      <c r="P970" s="4">
        <v>45717</v>
      </c>
      <c r="Q970" s="15">
        <v>61.99</v>
      </c>
      <c r="R970" s="15">
        <v>16.34</v>
      </c>
      <c r="S970" s="15">
        <v>0</v>
      </c>
      <c r="T970"/>
    </row>
    <row r="971" spans="1:20">
      <c r="A971" s="5" t="s">
        <v>108</v>
      </c>
      <c r="B971" s="5" t="s">
        <v>14298</v>
      </c>
      <c r="C971" s="4">
        <v>45698</v>
      </c>
      <c r="D971" s="4">
        <v>45698</v>
      </c>
      <c r="E971" s="5" t="s">
        <v>16385</v>
      </c>
      <c r="F971" s="5" t="s">
        <v>18374</v>
      </c>
      <c r="G971" s="5" t="s">
        <v>849</v>
      </c>
      <c r="H971" s="5">
        <v>1</v>
      </c>
      <c r="I971" s="8" t="s">
        <v>8117</v>
      </c>
      <c r="J971" s="8" t="s">
        <v>10166</v>
      </c>
      <c r="K971" s="8" t="s">
        <v>1963</v>
      </c>
      <c r="L971" s="8" t="s">
        <v>12217</v>
      </c>
      <c r="M971" s="8" t="s">
        <v>4013</v>
      </c>
      <c r="N971" s="8" t="s">
        <v>6064</v>
      </c>
      <c r="O971" s="5" t="s">
        <v>111</v>
      </c>
      <c r="P971" s="4">
        <v>45735</v>
      </c>
      <c r="Q971" s="15">
        <v>61.99</v>
      </c>
      <c r="R971" s="15">
        <v>18.82</v>
      </c>
      <c r="S971" s="15">
        <v>0</v>
      </c>
      <c r="T971"/>
    </row>
    <row r="972" spans="1:20">
      <c r="A972" s="5" t="s">
        <v>108</v>
      </c>
      <c r="B972" s="5" t="s">
        <v>14299</v>
      </c>
      <c r="C972" s="4">
        <v>45698</v>
      </c>
      <c r="D972" s="4">
        <v>45698</v>
      </c>
      <c r="E972" s="5" t="s">
        <v>16386</v>
      </c>
      <c r="F972" s="5" t="s">
        <v>18375</v>
      </c>
      <c r="G972" s="5" t="s">
        <v>849</v>
      </c>
      <c r="H972" s="5">
        <v>1</v>
      </c>
      <c r="I972" s="8" t="s">
        <v>8118</v>
      </c>
      <c r="J972" s="8" t="s">
        <v>10167</v>
      </c>
      <c r="K972" s="8" t="s">
        <v>1964</v>
      </c>
      <c r="L972" s="8" t="s">
        <v>12218</v>
      </c>
      <c r="M972" s="8" t="s">
        <v>4014</v>
      </c>
      <c r="N972" s="8" t="s">
        <v>6065</v>
      </c>
      <c r="O972" s="5" t="s">
        <v>111</v>
      </c>
      <c r="P972" s="4">
        <v>45735</v>
      </c>
      <c r="Q972" s="15">
        <v>66.989999999999995</v>
      </c>
      <c r="R972" s="15">
        <v>18.82</v>
      </c>
      <c r="S972" s="15">
        <v>0</v>
      </c>
      <c r="T972"/>
    </row>
    <row r="973" spans="1:20">
      <c r="A973" s="5" t="s">
        <v>36</v>
      </c>
      <c r="B973" s="5" t="s">
        <v>14300</v>
      </c>
      <c r="C973" s="4">
        <v>45699</v>
      </c>
      <c r="D973" s="4">
        <v>45699</v>
      </c>
      <c r="E973" s="5" t="s">
        <v>16387</v>
      </c>
      <c r="F973" s="5" t="s">
        <v>18376</v>
      </c>
      <c r="G973" s="5" t="s">
        <v>831</v>
      </c>
      <c r="H973" s="5">
        <v>1</v>
      </c>
      <c r="I973" s="8" t="s">
        <v>8119</v>
      </c>
      <c r="J973" s="8" t="s">
        <v>10168</v>
      </c>
      <c r="K973" s="8" t="s">
        <v>1965</v>
      </c>
      <c r="L973" s="8" t="s">
        <v>12219</v>
      </c>
      <c r="M973" s="8" t="s">
        <v>4015</v>
      </c>
      <c r="N973" s="8" t="s">
        <v>6066</v>
      </c>
      <c r="O973" s="5" t="s">
        <v>41</v>
      </c>
      <c r="P973" s="4">
        <v>45723</v>
      </c>
      <c r="Q973" s="15">
        <v>55.99</v>
      </c>
      <c r="R973" s="15">
        <v>16.97</v>
      </c>
      <c r="S973" s="15">
        <v>0</v>
      </c>
      <c r="T973"/>
    </row>
    <row r="974" spans="1:20">
      <c r="A974" s="5" t="s">
        <v>113</v>
      </c>
      <c r="B974" s="5" t="s">
        <v>14301</v>
      </c>
      <c r="C974" s="4">
        <v>45699</v>
      </c>
      <c r="D974" s="4">
        <v>45699</v>
      </c>
      <c r="E974" s="5" t="s">
        <v>16388</v>
      </c>
      <c r="F974" s="5" t="s">
        <v>18377</v>
      </c>
      <c r="G974" s="5" t="s">
        <v>849</v>
      </c>
      <c r="H974" s="5">
        <v>1</v>
      </c>
      <c r="I974" s="8" t="s">
        <v>8120</v>
      </c>
      <c r="J974" s="8" t="s">
        <v>10169</v>
      </c>
      <c r="K974" s="8" t="s">
        <v>1966</v>
      </c>
      <c r="L974" s="8" t="s">
        <v>12220</v>
      </c>
      <c r="M974" s="8" t="s">
        <v>4016</v>
      </c>
      <c r="N974" s="8" t="s">
        <v>6067</v>
      </c>
      <c r="O974" s="5" t="s">
        <v>116</v>
      </c>
      <c r="P974" s="4">
        <v>45723</v>
      </c>
      <c r="Q974" s="15">
        <v>61.99</v>
      </c>
      <c r="R974" s="15">
        <v>16.829999999999998</v>
      </c>
      <c r="S974" s="15">
        <v>0</v>
      </c>
      <c r="T974"/>
    </row>
    <row r="975" spans="1:20">
      <c r="A975" s="5" t="s">
        <v>113</v>
      </c>
      <c r="B975" s="5" t="s">
        <v>14302</v>
      </c>
      <c r="C975" s="4">
        <v>45699</v>
      </c>
      <c r="D975" s="4">
        <v>45699</v>
      </c>
      <c r="E975" s="5" t="s">
        <v>16389</v>
      </c>
      <c r="F975" s="5" t="s">
        <v>18378</v>
      </c>
      <c r="G975" s="5" t="s">
        <v>849</v>
      </c>
      <c r="H975" s="5">
        <v>1</v>
      </c>
      <c r="I975" s="8" t="s">
        <v>8121</v>
      </c>
      <c r="J975" s="8" t="s">
        <v>10170</v>
      </c>
      <c r="K975" s="8" t="s">
        <v>1967</v>
      </c>
      <c r="L975" s="8" t="s">
        <v>12221</v>
      </c>
      <c r="M975" s="8" t="s">
        <v>4017</v>
      </c>
      <c r="N975" s="8" t="s">
        <v>6068</v>
      </c>
      <c r="O975" s="5" t="s">
        <v>116</v>
      </c>
      <c r="P975" s="4">
        <v>45723</v>
      </c>
      <c r="Q975" s="15">
        <v>61.99</v>
      </c>
      <c r="R975" s="15">
        <v>16.829999999999998</v>
      </c>
      <c r="S975" s="15">
        <v>0</v>
      </c>
      <c r="T975"/>
    </row>
    <row r="976" spans="1:20">
      <c r="A976" s="5" t="s">
        <v>113</v>
      </c>
      <c r="B976" s="5" t="s">
        <v>14303</v>
      </c>
      <c r="C976" s="4">
        <v>45699</v>
      </c>
      <c r="D976" s="4">
        <v>45699</v>
      </c>
      <c r="E976" s="5" t="s">
        <v>16390</v>
      </c>
      <c r="F976" s="5" t="s">
        <v>18379</v>
      </c>
      <c r="G976" s="5" t="s">
        <v>817</v>
      </c>
      <c r="H976" s="5">
        <v>1</v>
      </c>
      <c r="I976" s="8" t="s">
        <v>8122</v>
      </c>
      <c r="J976" s="8" t="s">
        <v>10171</v>
      </c>
      <c r="K976" s="8" t="s">
        <v>1968</v>
      </c>
      <c r="L976" s="8" t="s">
        <v>12222</v>
      </c>
      <c r="M976" s="8" t="s">
        <v>4018</v>
      </c>
      <c r="N976" s="8" t="s">
        <v>6069</v>
      </c>
      <c r="O976" s="5" t="s">
        <v>115</v>
      </c>
      <c r="P976" s="4">
        <v>45714</v>
      </c>
      <c r="Q976" s="15">
        <v>30.99</v>
      </c>
      <c r="R976" s="15">
        <v>14.99</v>
      </c>
      <c r="S976" s="15">
        <v>0</v>
      </c>
      <c r="T976"/>
    </row>
    <row r="977" spans="1:20">
      <c r="A977" s="5" t="s">
        <v>113</v>
      </c>
      <c r="B977" s="5" t="s">
        <v>14304</v>
      </c>
      <c r="C977" s="4">
        <v>45699</v>
      </c>
      <c r="D977" s="4">
        <v>45699</v>
      </c>
      <c r="E977" s="5" t="s">
        <v>16391</v>
      </c>
      <c r="F977" s="5" t="s">
        <v>18380</v>
      </c>
      <c r="G977" s="5" t="s">
        <v>817</v>
      </c>
      <c r="H977" s="5">
        <v>1</v>
      </c>
      <c r="I977" s="8" t="s">
        <v>8123</v>
      </c>
      <c r="J977" s="8" t="s">
        <v>10172</v>
      </c>
      <c r="K977" s="8" t="s">
        <v>1969</v>
      </c>
      <c r="L977" s="8" t="s">
        <v>12223</v>
      </c>
      <c r="M977" s="8" t="s">
        <v>4019</v>
      </c>
      <c r="N977" s="8" t="s">
        <v>6070</v>
      </c>
      <c r="O977" s="5" t="s">
        <v>115</v>
      </c>
      <c r="P977" s="4">
        <v>45716</v>
      </c>
      <c r="Q977" s="15">
        <v>30.99</v>
      </c>
      <c r="R977" s="15">
        <v>14.99</v>
      </c>
      <c r="S977" s="15">
        <v>0</v>
      </c>
      <c r="T977"/>
    </row>
    <row r="978" spans="1:20">
      <c r="A978" s="5" t="s">
        <v>113</v>
      </c>
      <c r="B978" s="5" t="s">
        <v>14305</v>
      </c>
      <c r="C978" s="4">
        <v>45699</v>
      </c>
      <c r="D978" s="4">
        <v>45699</v>
      </c>
      <c r="E978" s="5" t="s">
        <v>16392</v>
      </c>
      <c r="F978" s="5" t="s">
        <v>18381</v>
      </c>
      <c r="G978" s="5" t="s">
        <v>817</v>
      </c>
      <c r="H978" s="5">
        <v>1</v>
      </c>
      <c r="I978" s="8" t="s">
        <v>8124</v>
      </c>
      <c r="J978" s="8" t="s">
        <v>10173</v>
      </c>
      <c r="K978" s="8" t="s">
        <v>1970</v>
      </c>
      <c r="L978" s="8" t="s">
        <v>12224</v>
      </c>
      <c r="M978" s="8" t="s">
        <v>4020</v>
      </c>
      <c r="N978" s="8" t="s">
        <v>6071</v>
      </c>
      <c r="O978" s="5" t="s">
        <v>115</v>
      </c>
      <c r="P978" s="4">
        <v>45714</v>
      </c>
      <c r="Q978" s="15">
        <v>30.99</v>
      </c>
      <c r="R978" s="15">
        <v>0</v>
      </c>
      <c r="S978" s="15">
        <v>0</v>
      </c>
      <c r="T978"/>
    </row>
    <row r="979" spans="1:20">
      <c r="A979" s="5" t="s">
        <v>113</v>
      </c>
      <c r="B979" s="5" t="s">
        <v>14306</v>
      </c>
      <c r="C979" s="4">
        <v>45699</v>
      </c>
      <c r="D979" s="4">
        <v>45699</v>
      </c>
      <c r="E979" s="5" t="s">
        <v>16393</v>
      </c>
      <c r="F979" s="5" t="s">
        <v>18382</v>
      </c>
      <c r="G979" s="5" t="s">
        <v>849</v>
      </c>
      <c r="H979" s="5">
        <v>1</v>
      </c>
      <c r="I979" s="8" t="s">
        <v>8125</v>
      </c>
      <c r="J979" s="8" t="s">
        <v>10174</v>
      </c>
      <c r="K979" s="8" t="s">
        <v>1971</v>
      </c>
      <c r="L979" s="8" t="s">
        <v>12225</v>
      </c>
      <c r="M979" s="8" t="s">
        <v>4021</v>
      </c>
      <c r="N979" s="8" t="s">
        <v>6072</v>
      </c>
      <c r="O979" s="5" t="s">
        <v>116</v>
      </c>
      <c r="P979" s="4">
        <v>45729</v>
      </c>
      <c r="Q979" s="15">
        <v>61.99</v>
      </c>
      <c r="R979" s="15">
        <v>16.829999999999998</v>
      </c>
      <c r="S979" s="15">
        <v>0</v>
      </c>
      <c r="T979"/>
    </row>
    <row r="980" spans="1:20">
      <c r="A980" s="5" t="s">
        <v>113</v>
      </c>
      <c r="B980" s="5" t="s">
        <v>14307</v>
      </c>
      <c r="C980" s="4">
        <v>45699</v>
      </c>
      <c r="D980" s="4">
        <v>45699</v>
      </c>
      <c r="E980" s="5" t="s">
        <v>16394</v>
      </c>
      <c r="F980" s="5" t="s">
        <v>18383</v>
      </c>
      <c r="G980" s="5" t="s">
        <v>849</v>
      </c>
      <c r="H980" s="5">
        <v>1</v>
      </c>
      <c r="I980" s="8" t="s">
        <v>8126</v>
      </c>
      <c r="J980" s="8" t="s">
        <v>10175</v>
      </c>
      <c r="K980" s="8" t="s">
        <v>1972</v>
      </c>
      <c r="L980" s="8" t="s">
        <v>12226</v>
      </c>
      <c r="M980" s="8" t="s">
        <v>4022</v>
      </c>
      <c r="N980" s="8" t="s">
        <v>6073</v>
      </c>
      <c r="O980" s="5" t="s">
        <v>116</v>
      </c>
      <c r="P980" s="4">
        <v>45723</v>
      </c>
      <c r="Q980" s="15">
        <v>61.99</v>
      </c>
      <c r="R980" s="15">
        <v>16.829999999999998</v>
      </c>
      <c r="S980" s="15">
        <v>0</v>
      </c>
      <c r="T980"/>
    </row>
    <row r="981" spans="1:20">
      <c r="A981" s="5" t="s">
        <v>113</v>
      </c>
      <c r="B981" s="5" t="s">
        <v>14308</v>
      </c>
      <c r="C981" s="4">
        <v>45699</v>
      </c>
      <c r="D981" s="4">
        <v>45699</v>
      </c>
      <c r="E981" s="5" t="s">
        <v>16395</v>
      </c>
      <c r="F981" s="5" t="s">
        <v>18384</v>
      </c>
      <c r="G981" s="5" t="s">
        <v>817</v>
      </c>
      <c r="H981" s="5">
        <v>1</v>
      </c>
      <c r="I981" s="8" t="s">
        <v>8127</v>
      </c>
      <c r="J981" s="8" t="s">
        <v>10176</v>
      </c>
      <c r="K981" s="8" t="s">
        <v>1973</v>
      </c>
      <c r="L981" s="8" t="s">
        <v>12227</v>
      </c>
      <c r="M981" s="8" t="s">
        <v>4023</v>
      </c>
      <c r="N981" s="8" t="s">
        <v>6074</v>
      </c>
      <c r="O981" s="5" t="s">
        <v>115</v>
      </c>
      <c r="P981" s="4">
        <v>45723</v>
      </c>
      <c r="Q981" s="15">
        <v>30.99</v>
      </c>
      <c r="R981" s="15">
        <v>14.99</v>
      </c>
      <c r="S981" s="15">
        <v>0</v>
      </c>
      <c r="T981"/>
    </row>
    <row r="982" spans="1:20">
      <c r="A982" s="5" t="s">
        <v>113</v>
      </c>
      <c r="B982" s="5" t="s">
        <v>14309</v>
      </c>
      <c r="C982" s="4">
        <v>45699</v>
      </c>
      <c r="D982" s="4">
        <v>45700</v>
      </c>
      <c r="E982" s="5" t="s">
        <v>16396</v>
      </c>
      <c r="F982" s="5" t="s">
        <v>18385</v>
      </c>
      <c r="G982" s="5" t="s">
        <v>849</v>
      </c>
      <c r="H982" s="5">
        <v>1</v>
      </c>
      <c r="I982" s="8" t="s">
        <v>8128</v>
      </c>
      <c r="J982" s="8" t="s">
        <v>10177</v>
      </c>
      <c r="K982" s="8" t="s">
        <v>1974</v>
      </c>
      <c r="L982" s="8" t="s">
        <v>12228</v>
      </c>
      <c r="M982" s="8" t="s">
        <v>4024</v>
      </c>
      <c r="N982" s="8" t="s">
        <v>6075</v>
      </c>
      <c r="O982" s="5" t="s">
        <v>116</v>
      </c>
      <c r="P982" s="4">
        <v>45723</v>
      </c>
      <c r="Q982" s="15">
        <v>61.99</v>
      </c>
      <c r="R982" s="15">
        <v>16.64</v>
      </c>
      <c r="S982" s="15">
        <v>0</v>
      </c>
      <c r="T982"/>
    </row>
    <row r="983" spans="1:20">
      <c r="A983" s="5" t="s">
        <v>108</v>
      </c>
      <c r="B983" s="5" t="s">
        <v>14310</v>
      </c>
      <c r="C983" s="4">
        <v>45699</v>
      </c>
      <c r="D983" s="4">
        <v>45700</v>
      </c>
      <c r="E983" s="5" t="s">
        <v>16397</v>
      </c>
      <c r="F983" s="5" t="s">
        <v>18386</v>
      </c>
      <c r="G983" s="5" t="s">
        <v>849</v>
      </c>
      <c r="H983" s="5">
        <v>1</v>
      </c>
      <c r="I983" s="8" t="s">
        <v>8129</v>
      </c>
      <c r="J983" s="8" t="s">
        <v>10178</v>
      </c>
      <c r="K983" s="8" t="s">
        <v>1975</v>
      </c>
      <c r="L983" s="8" t="s">
        <v>12229</v>
      </c>
      <c r="M983" s="8" t="s">
        <v>4025</v>
      </c>
      <c r="N983" s="8" t="s">
        <v>6076</v>
      </c>
      <c r="O983" s="5" t="s">
        <v>111</v>
      </c>
      <c r="P983" s="4">
        <v>45723</v>
      </c>
      <c r="Q983" s="15">
        <v>66.989999999999995</v>
      </c>
      <c r="R983" s="15">
        <v>16.64</v>
      </c>
      <c r="S983" s="15">
        <v>0</v>
      </c>
      <c r="T983"/>
    </row>
    <row r="984" spans="1:20">
      <c r="A984" s="5" t="s">
        <v>108</v>
      </c>
      <c r="B984" s="5" t="s">
        <v>14311</v>
      </c>
      <c r="C984" s="4">
        <v>45699</v>
      </c>
      <c r="D984" s="4">
        <v>45699</v>
      </c>
      <c r="E984" s="5" t="s">
        <v>16398</v>
      </c>
      <c r="F984" s="5" t="s">
        <v>18387</v>
      </c>
      <c r="G984" s="5" t="s">
        <v>849</v>
      </c>
      <c r="H984" s="5">
        <v>1</v>
      </c>
      <c r="I984" s="8" t="s">
        <v>8130</v>
      </c>
      <c r="J984" s="8" t="s">
        <v>10179</v>
      </c>
      <c r="K984" s="8" t="s">
        <v>1976</v>
      </c>
      <c r="L984" s="8" t="s">
        <v>12230</v>
      </c>
      <c r="M984" s="8" t="s">
        <v>4026</v>
      </c>
      <c r="N984" s="8" t="s">
        <v>6077</v>
      </c>
      <c r="O984" s="5" t="s">
        <v>111</v>
      </c>
      <c r="P984" s="4">
        <v>45729</v>
      </c>
      <c r="Q984" s="15">
        <v>66.989999999999995</v>
      </c>
      <c r="R984" s="15">
        <v>16.829999999999998</v>
      </c>
      <c r="S984" s="15">
        <v>0</v>
      </c>
      <c r="T984"/>
    </row>
    <row r="985" spans="1:20">
      <c r="A985" s="5" t="s">
        <v>36</v>
      </c>
      <c r="B985" s="5" t="s">
        <v>14312</v>
      </c>
      <c r="C985" s="4">
        <v>45700</v>
      </c>
      <c r="D985" s="4">
        <v>45700</v>
      </c>
      <c r="E985" s="5" t="s">
        <v>16399</v>
      </c>
      <c r="F985" s="5" t="s">
        <v>18388</v>
      </c>
      <c r="G985" s="5" t="s">
        <v>831</v>
      </c>
      <c r="H985" s="5">
        <v>1</v>
      </c>
      <c r="I985" s="8" t="s">
        <v>8131</v>
      </c>
      <c r="J985" s="8" t="s">
        <v>10180</v>
      </c>
      <c r="K985" s="8" t="s">
        <v>1977</v>
      </c>
      <c r="L985" s="8" t="s">
        <v>12231</v>
      </c>
      <c r="M985" s="8" t="s">
        <v>4027</v>
      </c>
      <c r="N985" s="8" t="s">
        <v>6078</v>
      </c>
      <c r="O985" s="5" t="s">
        <v>41</v>
      </c>
      <c r="P985" s="4">
        <v>45730</v>
      </c>
      <c r="Q985" s="15">
        <v>55.99</v>
      </c>
      <c r="R985" s="15">
        <v>16.86</v>
      </c>
      <c r="S985" s="15">
        <v>0</v>
      </c>
      <c r="T985"/>
    </row>
    <row r="986" spans="1:20">
      <c r="A986" s="5" t="s">
        <v>36</v>
      </c>
      <c r="B986" s="5" t="s">
        <v>14313</v>
      </c>
      <c r="C986" s="4">
        <v>45700</v>
      </c>
      <c r="D986" s="4">
        <v>45700</v>
      </c>
      <c r="E986" s="5" t="s">
        <v>16400</v>
      </c>
      <c r="F986" s="5" t="s">
        <v>18389</v>
      </c>
      <c r="G986" s="5" t="s">
        <v>831</v>
      </c>
      <c r="H986" s="5">
        <v>1</v>
      </c>
      <c r="I986" s="8" t="s">
        <v>8132</v>
      </c>
      <c r="J986" s="8" t="s">
        <v>10181</v>
      </c>
      <c r="K986" s="8" t="s">
        <v>1978</v>
      </c>
      <c r="L986" s="8" t="s">
        <v>12232</v>
      </c>
      <c r="M986" s="8" t="s">
        <v>4028</v>
      </c>
      <c r="N986" s="8" t="s">
        <v>6079</v>
      </c>
      <c r="O986" s="5" t="s">
        <v>41</v>
      </c>
      <c r="P986" s="4">
        <v>45724</v>
      </c>
      <c r="Q986" s="15">
        <v>55.99</v>
      </c>
      <c r="R986" s="15">
        <v>16.86</v>
      </c>
      <c r="S986" s="15">
        <v>0</v>
      </c>
      <c r="T986"/>
    </row>
    <row r="987" spans="1:20">
      <c r="A987" s="5" t="s">
        <v>36</v>
      </c>
      <c r="B987" s="5" t="s">
        <v>14314</v>
      </c>
      <c r="C987" s="4">
        <v>45700</v>
      </c>
      <c r="D987" s="4">
        <v>45700</v>
      </c>
      <c r="E987" s="5" t="s">
        <v>16401</v>
      </c>
      <c r="F987" s="5" t="s">
        <v>18390</v>
      </c>
      <c r="G987" s="5" t="s">
        <v>845</v>
      </c>
      <c r="H987" s="5">
        <v>1</v>
      </c>
      <c r="I987" s="8" t="s">
        <v>8133</v>
      </c>
      <c r="J987" s="8" t="s">
        <v>10182</v>
      </c>
      <c r="K987" s="8" t="s">
        <v>1979</v>
      </c>
      <c r="L987" s="8" t="s">
        <v>12233</v>
      </c>
      <c r="M987" s="8" t="s">
        <v>4029</v>
      </c>
      <c r="N987" s="8" t="s">
        <v>6080</v>
      </c>
      <c r="O987" s="5" t="s">
        <v>67</v>
      </c>
      <c r="P987" s="4">
        <v>45730</v>
      </c>
      <c r="Q987" s="15">
        <v>61.99</v>
      </c>
      <c r="R987" s="15">
        <v>17.649999999999999</v>
      </c>
      <c r="S987" s="15">
        <v>0</v>
      </c>
      <c r="T987"/>
    </row>
    <row r="988" spans="1:20">
      <c r="A988" s="5" t="s">
        <v>36</v>
      </c>
      <c r="B988" s="5" t="s">
        <v>14315</v>
      </c>
      <c r="C988" s="4">
        <v>45700</v>
      </c>
      <c r="D988" s="4">
        <v>45700</v>
      </c>
      <c r="E988" s="5" t="s">
        <v>16402</v>
      </c>
      <c r="F988" s="5" t="s">
        <v>18391</v>
      </c>
      <c r="G988" s="5" t="s">
        <v>848</v>
      </c>
      <c r="H988" s="5">
        <v>1</v>
      </c>
      <c r="I988" s="8" t="s">
        <v>8134</v>
      </c>
      <c r="J988" s="8" t="s">
        <v>10183</v>
      </c>
      <c r="K988" s="8" t="s">
        <v>1980</v>
      </c>
      <c r="L988" s="8" t="s">
        <v>12234</v>
      </c>
      <c r="M988" s="8" t="s">
        <v>4030</v>
      </c>
      <c r="N988" s="8" t="s">
        <v>6081</v>
      </c>
      <c r="O988" s="5" t="s">
        <v>76</v>
      </c>
      <c r="P988" s="4">
        <v>45724</v>
      </c>
      <c r="Q988" s="15">
        <v>74.989999999999995</v>
      </c>
      <c r="R988" s="15">
        <v>45</v>
      </c>
      <c r="S988" s="15">
        <v>0</v>
      </c>
      <c r="T988"/>
    </row>
    <row r="989" spans="1:20">
      <c r="A989" s="5" t="s">
        <v>36</v>
      </c>
      <c r="B989" s="5" t="s">
        <v>14316</v>
      </c>
      <c r="C989" s="4">
        <v>45700</v>
      </c>
      <c r="D989" s="4">
        <v>45700</v>
      </c>
      <c r="E989" s="5" t="s">
        <v>16403</v>
      </c>
      <c r="F989" s="5" t="s">
        <v>18392</v>
      </c>
      <c r="G989" s="5" t="s">
        <v>845</v>
      </c>
      <c r="H989" s="5">
        <v>1</v>
      </c>
      <c r="I989" s="8" t="s">
        <v>8135</v>
      </c>
      <c r="J989" s="8" t="s">
        <v>10184</v>
      </c>
      <c r="K989" s="8" t="s">
        <v>1981</v>
      </c>
      <c r="L989" s="8" t="s">
        <v>12235</v>
      </c>
      <c r="M989" s="8" t="s">
        <v>4031</v>
      </c>
      <c r="N989" s="8" t="s">
        <v>6082</v>
      </c>
      <c r="O989" s="5" t="s">
        <v>67</v>
      </c>
      <c r="P989" s="4">
        <v>45724</v>
      </c>
      <c r="Q989" s="15">
        <v>61.99</v>
      </c>
      <c r="R989" s="15">
        <v>17.649999999999999</v>
      </c>
      <c r="S989" s="15">
        <v>0</v>
      </c>
      <c r="T989"/>
    </row>
    <row r="990" spans="1:20">
      <c r="A990" s="5" t="s">
        <v>113</v>
      </c>
      <c r="B990" s="5" t="s">
        <v>14317</v>
      </c>
      <c r="C990" s="4">
        <v>45700</v>
      </c>
      <c r="D990" s="4">
        <v>45700</v>
      </c>
      <c r="E990" s="5" t="s">
        <v>16404</v>
      </c>
      <c r="F990" s="5" t="s">
        <v>18393</v>
      </c>
      <c r="G990" s="5" t="s">
        <v>849</v>
      </c>
      <c r="H990" s="5">
        <v>1</v>
      </c>
      <c r="I990" s="8" t="s">
        <v>8136</v>
      </c>
      <c r="J990" s="8" t="s">
        <v>10185</v>
      </c>
      <c r="K990" s="8" t="s">
        <v>1982</v>
      </c>
      <c r="L990" s="8" t="s">
        <v>12236</v>
      </c>
      <c r="M990" s="8" t="s">
        <v>4032</v>
      </c>
      <c r="N990" s="8" t="s">
        <v>6083</v>
      </c>
      <c r="O990" s="5" t="s">
        <v>116</v>
      </c>
      <c r="P990" s="4">
        <v>45724</v>
      </c>
      <c r="Q990" s="15">
        <v>61.99</v>
      </c>
      <c r="R990" s="15">
        <v>16.64</v>
      </c>
      <c r="S990" s="15">
        <v>0</v>
      </c>
      <c r="T990"/>
    </row>
    <row r="991" spans="1:20">
      <c r="A991" s="5" t="s">
        <v>113</v>
      </c>
      <c r="B991" s="5" t="s">
        <v>14318</v>
      </c>
      <c r="C991" s="4">
        <v>45700</v>
      </c>
      <c r="D991" s="4">
        <v>45701</v>
      </c>
      <c r="E991" s="5" t="s">
        <v>16405</v>
      </c>
      <c r="F991" s="5" t="s">
        <v>18394</v>
      </c>
      <c r="G991" s="5" t="s">
        <v>817</v>
      </c>
      <c r="H991" s="5">
        <v>1</v>
      </c>
      <c r="I991" s="8" t="s">
        <v>8137</v>
      </c>
      <c r="J991" s="8" t="s">
        <v>10186</v>
      </c>
      <c r="K991" s="8" t="s">
        <v>1983</v>
      </c>
      <c r="L991" s="8" t="s">
        <v>12237</v>
      </c>
      <c r="M991" s="8" t="s">
        <v>4033</v>
      </c>
      <c r="N991" s="8" t="s">
        <v>6084</v>
      </c>
      <c r="O991" s="5" t="s">
        <v>115</v>
      </c>
      <c r="P991" s="4">
        <v>45730</v>
      </c>
      <c r="Q991" s="15">
        <v>30.99</v>
      </c>
      <c r="R991" s="15">
        <v>14.99</v>
      </c>
      <c r="S991" s="15">
        <v>0</v>
      </c>
      <c r="T991"/>
    </row>
    <row r="992" spans="1:20">
      <c r="A992" s="5" t="s">
        <v>36</v>
      </c>
      <c r="B992" s="5" t="s">
        <v>14319</v>
      </c>
      <c r="C992" s="4">
        <v>45701</v>
      </c>
      <c r="D992" s="4">
        <v>45701</v>
      </c>
      <c r="E992" s="5" t="s">
        <v>16406</v>
      </c>
      <c r="F992" s="5" t="s">
        <v>18395</v>
      </c>
      <c r="G992" s="5" t="s">
        <v>845</v>
      </c>
      <c r="H992" s="5">
        <v>1</v>
      </c>
      <c r="I992" s="8" t="s">
        <v>8138</v>
      </c>
      <c r="J992" s="8" t="s">
        <v>10187</v>
      </c>
      <c r="K992" s="8" t="s">
        <v>1984</v>
      </c>
      <c r="L992" s="8" t="s">
        <v>12238</v>
      </c>
      <c r="M992" s="8" t="s">
        <v>4034</v>
      </c>
      <c r="N992" s="8" t="s">
        <v>6085</v>
      </c>
      <c r="O992" s="5" t="s">
        <v>67</v>
      </c>
      <c r="P992" s="4">
        <v>45731</v>
      </c>
      <c r="Q992" s="15">
        <v>61.99</v>
      </c>
      <c r="R992" s="15">
        <v>13.69</v>
      </c>
      <c r="S992" s="15">
        <v>0</v>
      </c>
      <c r="T992"/>
    </row>
    <row r="993" spans="1:20">
      <c r="A993" s="5" t="s">
        <v>36</v>
      </c>
      <c r="B993" s="5" t="s">
        <v>14320</v>
      </c>
      <c r="C993" s="4">
        <v>45701</v>
      </c>
      <c r="D993" s="4">
        <v>45701</v>
      </c>
      <c r="E993" s="5" t="s">
        <v>16407</v>
      </c>
      <c r="F993" s="5" t="s">
        <v>18396</v>
      </c>
      <c r="G993" s="5" t="s">
        <v>831</v>
      </c>
      <c r="H993" s="5">
        <v>1</v>
      </c>
      <c r="I993" s="8" t="s">
        <v>8139</v>
      </c>
      <c r="J993" s="8" t="s">
        <v>10188</v>
      </c>
      <c r="K993" s="8" t="s">
        <v>1985</v>
      </c>
      <c r="L993" s="8" t="s">
        <v>12239</v>
      </c>
      <c r="M993" s="8" t="s">
        <v>4035</v>
      </c>
      <c r="N993" s="8" t="s">
        <v>6086</v>
      </c>
      <c r="O993" s="5" t="s">
        <v>41</v>
      </c>
      <c r="P993" s="4">
        <v>45727</v>
      </c>
      <c r="Q993" s="15">
        <v>55.99</v>
      </c>
      <c r="R993" s="15">
        <v>13.69</v>
      </c>
      <c r="S993" s="15">
        <v>0</v>
      </c>
      <c r="T993"/>
    </row>
    <row r="994" spans="1:20">
      <c r="A994" s="5" t="s">
        <v>36</v>
      </c>
      <c r="B994" s="5" t="s">
        <v>14321</v>
      </c>
      <c r="C994" s="4">
        <v>45701</v>
      </c>
      <c r="D994" s="4">
        <v>45701</v>
      </c>
      <c r="E994" s="5" t="s">
        <v>16408</v>
      </c>
      <c r="F994" s="5" t="s">
        <v>18397</v>
      </c>
      <c r="G994" s="5" t="s">
        <v>845</v>
      </c>
      <c r="H994" s="5">
        <v>1</v>
      </c>
      <c r="I994" s="8" t="s">
        <v>8140</v>
      </c>
      <c r="J994" s="8" t="s">
        <v>10189</v>
      </c>
      <c r="K994" s="8" t="s">
        <v>1986</v>
      </c>
      <c r="L994" s="8" t="s">
        <v>12240</v>
      </c>
      <c r="M994" s="8" t="s">
        <v>4036</v>
      </c>
      <c r="N994" s="8" t="s">
        <v>6087</v>
      </c>
      <c r="O994" s="5" t="s">
        <v>67</v>
      </c>
      <c r="P994" s="4">
        <v>45727</v>
      </c>
      <c r="Q994" s="15">
        <v>61.99</v>
      </c>
      <c r="R994" s="15">
        <v>13.69</v>
      </c>
      <c r="S994" s="15">
        <v>0</v>
      </c>
      <c r="T994"/>
    </row>
    <row r="995" spans="1:20">
      <c r="A995" s="5" t="s">
        <v>36</v>
      </c>
      <c r="B995" s="5" t="s">
        <v>14322</v>
      </c>
      <c r="C995" s="4">
        <v>45701</v>
      </c>
      <c r="D995" s="4">
        <v>45701</v>
      </c>
      <c r="E995" s="5" t="s">
        <v>16409</v>
      </c>
      <c r="F995" s="5" t="s">
        <v>18398</v>
      </c>
      <c r="G995" s="5" t="s">
        <v>831</v>
      </c>
      <c r="H995" s="5">
        <v>1</v>
      </c>
      <c r="I995" s="8" t="s">
        <v>8141</v>
      </c>
      <c r="J995" s="8" t="s">
        <v>10190</v>
      </c>
      <c r="K995" s="8" t="s">
        <v>1987</v>
      </c>
      <c r="L995" s="8" t="s">
        <v>12241</v>
      </c>
      <c r="M995" s="8" t="s">
        <v>4037</v>
      </c>
      <c r="N995" s="8" t="s">
        <v>6088</v>
      </c>
      <c r="O995" s="5" t="s">
        <v>41</v>
      </c>
      <c r="P995" s="4">
        <v>45727</v>
      </c>
      <c r="Q995" s="15">
        <v>55.99</v>
      </c>
      <c r="R995" s="15">
        <v>13.69</v>
      </c>
      <c r="S995" s="15">
        <v>0</v>
      </c>
      <c r="T995"/>
    </row>
    <row r="996" spans="1:20">
      <c r="A996" s="5" t="s">
        <v>113</v>
      </c>
      <c r="B996" s="5" t="s">
        <v>14323</v>
      </c>
      <c r="C996" s="4">
        <v>45701</v>
      </c>
      <c r="D996" s="4">
        <v>45701</v>
      </c>
      <c r="E996" s="5" t="s">
        <v>16410</v>
      </c>
      <c r="F996" s="5" t="s">
        <v>18399</v>
      </c>
      <c r="G996" s="5" t="s">
        <v>817</v>
      </c>
      <c r="H996" s="5">
        <v>1</v>
      </c>
      <c r="I996" s="8" t="s">
        <v>8142</v>
      </c>
      <c r="J996" s="8" t="s">
        <v>10191</v>
      </c>
      <c r="K996" s="8" t="s">
        <v>1988</v>
      </c>
      <c r="L996" s="8" t="s">
        <v>12242</v>
      </c>
      <c r="M996" s="8" t="s">
        <v>4038</v>
      </c>
      <c r="N996" s="8" t="s">
        <v>6089</v>
      </c>
      <c r="O996" s="5" t="s">
        <v>115</v>
      </c>
      <c r="P996" s="4">
        <v>45724</v>
      </c>
      <c r="Q996" s="15">
        <v>30.99</v>
      </c>
      <c r="R996" s="15">
        <v>14.99</v>
      </c>
      <c r="S996" s="15">
        <v>0</v>
      </c>
      <c r="T996"/>
    </row>
    <row r="997" spans="1:20">
      <c r="A997" s="5" t="s">
        <v>113</v>
      </c>
      <c r="B997" s="5" t="s">
        <v>14324</v>
      </c>
      <c r="C997" s="4">
        <v>45701</v>
      </c>
      <c r="D997" s="4">
        <v>45701</v>
      </c>
      <c r="E997" s="5" t="s">
        <v>16411</v>
      </c>
      <c r="F997" s="5" t="s">
        <v>18400</v>
      </c>
      <c r="G997" s="5" t="s">
        <v>817</v>
      </c>
      <c r="H997" s="5">
        <v>1</v>
      </c>
      <c r="I997" s="8" t="s">
        <v>8143</v>
      </c>
      <c r="J997" s="8" t="s">
        <v>10192</v>
      </c>
      <c r="K997" s="8" t="s">
        <v>1989</v>
      </c>
      <c r="L997" s="8" t="s">
        <v>12243</v>
      </c>
      <c r="M997" s="8" t="s">
        <v>4039</v>
      </c>
      <c r="N997" s="8" t="s">
        <v>6090</v>
      </c>
      <c r="O997" s="5" t="s">
        <v>115</v>
      </c>
      <c r="P997" s="4">
        <v>45731</v>
      </c>
      <c r="Q997" s="15">
        <v>30.99</v>
      </c>
      <c r="R997" s="15">
        <v>0</v>
      </c>
      <c r="S997" s="15">
        <v>0</v>
      </c>
      <c r="T997"/>
    </row>
    <row r="998" spans="1:20">
      <c r="A998" s="5" t="s">
        <v>113</v>
      </c>
      <c r="B998" s="5" t="s">
        <v>14325</v>
      </c>
      <c r="C998" s="4">
        <v>45701</v>
      </c>
      <c r="D998" s="4">
        <v>45701</v>
      </c>
      <c r="E998" s="5" t="s">
        <v>16412</v>
      </c>
      <c r="F998" s="5" t="s">
        <v>18401</v>
      </c>
      <c r="G998" s="5" t="s">
        <v>817</v>
      </c>
      <c r="H998" s="5">
        <v>1</v>
      </c>
      <c r="I998" s="8" t="s">
        <v>8144</v>
      </c>
      <c r="J998" s="8" t="s">
        <v>10193</v>
      </c>
      <c r="K998" s="8" t="s">
        <v>1990</v>
      </c>
      <c r="L998" s="8" t="s">
        <v>12244</v>
      </c>
      <c r="M998" s="8" t="s">
        <v>4040</v>
      </c>
      <c r="N998" s="8" t="s">
        <v>6091</v>
      </c>
      <c r="O998" s="5" t="s">
        <v>115</v>
      </c>
      <c r="P998" s="4">
        <v>45727</v>
      </c>
      <c r="Q998" s="15">
        <v>30.99</v>
      </c>
      <c r="R998" s="15">
        <v>14.99</v>
      </c>
      <c r="S998" s="15">
        <v>0</v>
      </c>
      <c r="T998"/>
    </row>
    <row r="999" spans="1:20">
      <c r="A999" s="5" t="s">
        <v>36</v>
      </c>
      <c r="B999" s="5" t="s">
        <v>14326</v>
      </c>
      <c r="C999" s="4">
        <v>45702</v>
      </c>
      <c r="D999" s="4">
        <v>45702</v>
      </c>
      <c r="E999" s="5" t="s">
        <v>16413</v>
      </c>
      <c r="F999" s="5" t="s">
        <v>18402</v>
      </c>
      <c r="G999" s="5" t="s">
        <v>852</v>
      </c>
      <c r="H999" s="5">
        <v>1</v>
      </c>
      <c r="I999" s="8" t="s">
        <v>8145</v>
      </c>
      <c r="J999" s="8" t="s">
        <v>10194</v>
      </c>
      <c r="K999" s="8" t="s">
        <v>1991</v>
      </c>
      <c r="L999" s="8" t="s">
        <v>12245</v>
      </c>
      <c r="M999" s="8" t="s">
        <v>4041</v>
      </c>
      <c r="N999" s="8" t="s">
        <v>6092</v>
      </c>
      <c r="O999" s="5" t="s">
        <v>68</v>
      </c>
      <c r="P999" s="4">
        <v>45728</v>
      </c>
      <c r="Q999" s="15">
        <v>19.989999999999998</v>
      </c>
      <c r="R999" s="15">
        <v>6.99</v>
      </c>
      <c r="S999" s="15">
        <v>0</v>
      </c>
      <c r="T999"/>
    </row>
    <row r="1000" spans="1:20">
      <c r="A1000" s="5" t="s">
        <v>36</v>
      </c>
      <c r="B1000" s="5" t="s">
        <v>14327</v>
      </c>
      <c r="C1000" s="4">
        <v>45702</v>
      </c>
      <c r="D1000" s="4">
        <v>45702</v>
      </c>
      <c r="E1000" s="5" t="s">
        <v>16414</v>
      </c>
      <c r="F1000" s="5" t="s">
        <v>18403</v>
      </c>
      <c r="G1000" s="5" t="s">
        <v>848</v>
      </c>
      <c r="H1000" s="5">
        <v>1</v>
      </c>
      <c r="I1000" s="8" t="s">
        <v>8146</v>
      </c>
      <c r="J1000" s="8" t="s">
        <v>10195</v>
      </c>
      <c r="K1000" s="8" t="s">
        <v>1992</v>
      </c>
      <c r="L1000" s="8" t="s">
        <v>12246</v>
      </c>
      <c r="M1000" s="8" t="s">
        <v>4042</v>
      </c>
      <c r="N1000" s="8" t="s">
        <v>6093</v>
      </c>
      <c r="O1000" s="5" t="s">
        <v>76</v>
      </c>
      <c r="P1000" s="4">
        <v>45728</v>
      </c>
      <c r="Q1000" s="15">
        <v>74.989999999999995</v>
      </c>
      <c r="R1000" s="15">
        <v>45.11</v>
      </c>
      <c r="S1000" s="15">
        <v>0</v>
      </c>
      <c r="T1000"/>
    </row>
    <row r="1001" spans="1:20">
      <c r="A1001" s="5" t="s">
        <v>113</v>
      </c>
      <c r="B1001" s="5" t="s">
        <v>14328</v>
      </c>
      <c r="C1001" s="4">
        <v>45702</v>
      </c>
      <c r="D1001" s="4">
        <v>45702</v>
      </c>
      <c r="E1001" s="5" t="s">
        <v>16415</v>
      </c>
      <c r="F1001" s="5" t="s">
        <v>18404</v>
      </c>
      <c r="G1001" s="5" t="s">
        <v>849</v>
      </c>
      <c r="H1001" s="5">
        <v>1</v>
      </c>
      <c r="I1001" s="8" t="s">
        <v>8147</v>
      </c>
      <c r="J1001" s="8" t="s">
        <v>10196</v>
      </c>
      <c r="K1001" s="8" t="s">
        <v>1993</v>
      </c>
      <c r="L1001" s="8" t="s">
        <v>12247</v>
      </c>
      <c r="M1001" s="8" t="s">
        <v>4043</v>
      </c>
      <c r="N1001" s="8" t="s">
        <v>6094</v>
      </c>
      <c r="O1001" s="5" t="s">
        <v>116</v>
      </c>
      <c r="P1001" s="4">
        <v>45738</v>
      </c>
      <c r="Q1001" s="15">
        <v>61.99</v>
      </c>
      <c r="R1001" s="15">
        <v>35.83</v>
      </c>
      <c r="S1001" s="15">
        <v>0</v>
      </c>
      <c r="T1001"/>
    </row>
    <row r="1002" spans="1:20">
      <c r="A1002" s="5" t="s">
        <v>113</v>
      </c>
      <c r="B1002" s="5" t="s">
        <v>14329</v>
      </c>
      <c r="C1002" s="4">
        <v>45702</v>
      </c>
      <c r="D1002" s="4">
        <v>45702</v>
      </c>
      <c r="E1002" s="5" t="s">
        <v>16416</v>
      </c>
      <c r="F1002" s="5" t="s">
        <v>18405</v>
      </c>
      <c r="G1002" s="5" t="s">
        <v>817</v>
      </c>
      <c r="H1002" s="5">
        <v>1</v>
      </c>
      <c r="I1002" s="8" t="s">
        <v>8148</v>
      </c>
      <c r="J1002" s="8" t="s">
        <v>10197</v>
      </c>
      <c r="K1002" s="8" t="s">
        <v>1994</v>
      </c>
      <c r="L1002" s="8" t="s">
        <v>12248</v>
      </c>
      <c r="M1002" s="8" t="s">
        <v>4044</v>
      </c>
      <c r="N1002" s="8" t="s">
        <v>6095</v>
      </c>
      <c r="O1002" s="5" t="s">
        <v>115</v>
      </c>
      <c r="P1002" s="4">
        <v>45728</v>
      </c>
      <c r="Q1002" s="15">
        <v>30.99</v>
      </c>
      <c r="R1002" s="15">
        <v>14.99</v>
      </c>
      <c r="S1002" s="15">
        <v>0</v>
      </c>
      <c r="T1002"/>
    </row>
    <row r="1003" spans="1:20">
      <c r="A1003" s="5" t="s">
        <v>113</v>
      </c>
      <c r="B1003" s="5" t="s">
        <v>14330</v>
      </c>
      <c r="C1003" s="4">
        <v>45702</v>
      </c>
      <c r="D1003" s="4">
        <v>45702</v>
      </c>
      <c r="E1003" s="5" t="s">
        <v>16417</v>
      </c>
      <c r="F1003" s="5" t="s">
        <v>18406</v>
      </c>
      <c r="G1003" s="5" t="s">
        <v>849</v>
      </c>
      <c r="H1003" s="5">
        <v>1</v>
      </c>
      <c r="I1003" s="8" t="s">
        <v>8149</v>
      </c>
      <c r="J1003" s="8" t="s">
        <v>10198</v>
      </c>
      <c r="K1003" s="8" t="s">
        <v>1995</v>
      </c>
      <c r="L1003" s="8" t="s">
        <v>12249</v>
      </c>
      <c r="M1003" s="8" t="s">
        <v>4045</v>
      </c>
      <c r="N1003" s="8" t="s">
        <v>6096</v>
      </c>
      <c r="O1003" s="5" t="s">
        <v>116</v>
      </c>
      <c r="P1003" s="4">
        <v>45741</v>
      </c>
      <c r="Q1003" s="15">
        <v>59.99</v>
      </c>
      <c r="R1003" s="15">
        <v>36.68</v>
      </c>
      <c r="S1003" s="15">
        <v>0</v>
      </c>
      <c r="T1003"/>
    </row>
    <row r="1004" spans="1:20">
      <c r="A1004" s="5" t="s">
        <v>113</v>
      </c>
      <c r="B1004" s="5" t="s">
        <v>14331</v>
      </c>
      <c r="C1004" s="4">
        <v>45702</v>
      </c>
      <c r="D1004" s="4">
        <v>45705</v>
      </c>
      <c r="E1004" s="5" t="s">
        <v>16418</v>
      </c>
      <c r="F1004" s="5" t="s">
        <v>18407</v>
      </c>
      <c r="G1004" s="5" t="s">
        <v>849</v>
      </c>
      <c r="H1004" s="5">
        <v>1</v>
      </c>
      <c r="I1004" s="8" t="s">
        <v>8150</v>
      </c>
      <c r="J1004" s="8" t="s">
        <v>10199</v>
      </c>
      <c r="K1004" s="8" t="s">
        <v>1996</v>
      </c>
      <c r="L1004" s="8" t="s">
        <v>12250</v>
      </c>
      <c r="M1004" s="8" t="s">
        <v>4046</v>
      </c>
      <c r="N1004" s="8" t="s">
        <v>6097</v>
      </c>
      <c r="O1004" s="5" t="s">
        <v>116</v>
      </c>
      <c r="P1004" s="4">
        <v>45728</v>
      </c>
      <c r="Q1004" s="15">
        <v>59.99</v>
      </c>
      <c r="R1004" s="15">
        <v>13.21</v>
      </c>
      <c r="S1004" s="15">
        <v>0</v>
      </c>
      <c r="T1004"/>
    </row>
    <row r="1005" spans="1:20">
      <c r="A1005" s="5" t="s">
        <v>113</v>
      </c>
      <c r="B1005" s="5" t="s">
        <v>14332</v>
      </c>
      <c r="C1005" s="4">
        <v>45702</v>
      </c>
      <c r="D1005" s="4">
        <v>45705</v>
      </c>
      <c r="E1005" s="5" t="s">
        <v>16419</v>
      </c>
      <c r="F1005" s="5" t="s">
        <v>18408</v>
      </c>
      <c r="G1005" s="5" t="s">
        <v>849</v>
      </c>
      <c r="H1005" s="5">
        <v>1</v>
      </c>
      <c r="I1005" s="8" t="s">
        <v>8151</v>
      </c>
      <c r="J1005" s="8" t="s">
        <v>10200</v>
      </c>
      <c r="K1005" s="8" t="s">
        <v>1997</v>
      </c>
      <c r="L1005" s="8" t="s">
        <v>12251</v>
      </c>
      <c r="M1005" s="8" t="s">
        <v>4047</v>
      </c>
      <c r="N1005" s="8" t="s">
        <v>6098</v>
      </c>
      <c r="O1005" s="5" t="s">
        <v>116</v>
      </c>
      <c r="P1005" s="4">
        <v>45728</v>
      </c>
      <c r="Q1005" s="15">
        <v>59.99</v>
      </c>
      <c r="R1005" s="15">
        <v>13.21</v>
      </c>
      <c r="S1005" s="15">
        <v>0</v>
      </c>
      <c r="T1005"/>
    </row>
    <row r="1006" spans="1:20">
      <c r="A1006" s="5" t="s">
        <v>36</v>
      </c>
      <c r="B1006" s="5" t="s">
        <v>14333</v>
      </c>
      <c r="C1006" s="4">
        <v>45703</v>
      </c>
      <c r="D1006" s="4">
        <v>45705</v>
      </c>
      <c r="E1006" s="5" t="s">
        <v>16420</v>
      </c>
      <c r="F1006" s="5" t="s">
        <v>18409</v>
      </c>
      <c r="G1006" s="5" t="s">
        <v>848</v>
      </c>
      <c r="H1006" s="5">
        <v>1</v>
      </c>
      <c r="I1006" s="8" t="s">
        <v>8152</v>
      </c>
      <c r="J1006" s="8" t="s">
        <v>10201</v>
      </c>
      <c r="K1006" s="8" t="s">
        <v>1998</v>
      </c>
      <c r="L1006" s="8" t="s">
        <v>12252</v>
      </c>
      <c r="M1006" s="8" t="s">
        <v>4048</v>
      </c>
      <c r="N1006" s="8" t="s">
        <v>6099</v>
      </c>
      <c r="O1006" s="5" t="s">
        <v>76</v>
      </c>
      <c r="P1006" s="4">
        <v>45734</v>
      </c>
      <c r="Q1006" s="15">
        <v>74.989999999999995</v>
      </c>
      <c r="R1006" s="15">
        <v>26.37</v>
      </c>
      <c r="S1006" s="15">
        <v>0</v>
      </c>
      <c r="T1006"/>
    </row>
    <row r="1007" spans="1:20">
      <c r="A1007" s="5" t="s">
        <v>36</v>
      </c>
      <c r="B1007" s="5" t="s">
        <v>14334</v>
      </c>
      <c r="C1007" s="4">
        <v>45703</v>
      </c>
      <c r="D1007" s="4">
        <v>45705</v>
      </c>
      <c r="E1007" s="5" t="s">
        <v>16421</v>
      </c>
      <c r="F1007" s="5" t="s">
        <v>18410</v>
      </c>
      <c r="G1007" s="5" t="s">
        <v>852</v>
      </c>
      <c r="H1007" s="5">
        <v>1</v>
      </c>
      <c r="I1007" s="8" t="s">
        <v>8153</v>
      </c>
      <c r="J1007" s="8" t="s">
        <v>10202</v>
      </c>
      <c r="K1007" s="8" t="s">
        <v>1999</v>
      </c>
      <c r="L1007" s="8" t="s">
        <v>12253</v>
      </c>
      <c r="M1007" s="8" t="s">
        <v>4049</v>
      </c>
      <c r="N1007" s="8" t="s">
        <v>6100</v>
      </c>
      <c r="O1007" s="5" t="s">
        <v>68</v>
      </c>
      <c r="P1007" s="4">
        <v>45717</v>
      </c>
      <c r="Q1007" s="15">
        <v>19.989999999999998</v>
      </c>
      <c r="R1007" s="15">
        <v>6.99</v>
      </c>
      <c r="S1007" s="15">
        <v>0</v>
      </c>
      <c r="T1007"/>
    </row>
    <row r="1008" spans="1:20">
      <c r="A1008" s="5" t="s">
        <v>36</v>
      </c>
      <c r="B1008" s="5" t="s">
        <v>14335</v>
      </c>
      <c r="C1008" s="4">
        <v>45703</v>
      </c>
      <c r="D1008" s="4">
        <v>45705</v>
      </c>
      <c r="E1008" s="5" t="s">
        <v>16422</v>
      </c>
      <c r="F1008" s="5" t="s">
        <v>18411</v>
      </c>
      <c r="G1008" s="5" t="s">
        <v>852</v>
      </c>
      <c r="H1008" s="5">
        <v>1</v>
      </c>
      <c r="I1008" s="8" t="s">
        <v>8154</v>
      </c>
      <c r="J1008" s="8" t="s">
        <v>10203</v>
      </c>
      <c r="K1008" s="8" t="s">
        <v>2000</v>
      </c>
      <c r="L1008" s="8" t="s">
        <v>12254</v>
      </c>
      <c r="M1008" s="8" t="s">
        <v>4050</v>
      </c>
      <c r="N1008" s="8" t="s">
        <v>6101</v>
      </c>
      <c r="O1008" s="5" t="s">
        <v>68</v>
      </c>
      <c r="P1008" s="4">
        <v>45728</v>
      </c>
      <c r="Q1008" s="15">
        <v>19.989999999999998</v>
      </c>
      <c r="R1008" s="15">
        <v>6.99</v>
      </c>
      <c r="S1008" s="15">
        <v>0</v>
      </c>
      <c r="T1008"/>
    </row>
    <row r="1009" spans="1:20">
      <c r="A1009" s="5" t="s">
        <v>36</v>
      </c>
      <c r="B1009" s="5" t="s">
        <v>14336</v>
      </c>
      <c r="C1009" s="4">
        <v>45703</v>
      </c>
      <c r="D1009" s="4">
        <v>45705</v>
      </c>
      <c r="E1009" s="5" t="s">
        <v>16423</v>
      </c>
      <c r="F1009" s="5" t="s">
        <v>18412</v>
      </c>
      <c r="G1009" s="5" t="s">
        <v>852</v>
      </c>
      <c r="H1009" s="5">
        <v>1</v>
      </c>
      <c r="I1009" s="8" t="s">
        <v>8155</v>
      </c>
      <c r="J1009" s="8" t="s">
        <v>10204</v>
      </c>
      <c r="K1009" s="8" t="s">
        <v>2001</v>
      </c>
      <c r="L1009" s="8" t="s">
        <v>12255</v>
      </c>
      <c r="M1009" s="8" t="s">
        <v>4051</v>
      </c>
      <c r="N1009" s="8" t="s">
        <v>6102</v>
      </c>
      <c r="O1009" s="5" t="s">
        <v>68</v>
      </c>
      <c r="P1009" s="4">
        <v>45728</v>
      </c>
      <c r="Q1009" s="15">
        <v>19.989999999999998</v>
      </c>
      <c r="R1009" s="15">
        <v>6.99</v>
      </c>
      <c r="S1009" s="15">
        <v>0</v>
      </c>
      <c r="T1009"/>
    </row>
    <row r="1010" spans="1:20">
      <c r="A1010" s="5" t="s">
        <v>36</v>
      </c>
      <c r="B1010" s="5" t="s">
        <v>14337</v>
      </c>
      <c r="C1010" s="4">
        <v>45703</v>
      </c>
      <c r="D1010" s="4">
        <v>45705</v>
      </c>
      <c r="E1010" s="5" t="s">
        <v>16424</v>
      </c>
      <c r="F1010" s="5" t="s">
        <v>18413</v>
      </c>
      <c r="G1010" s="5" t="s">
        <v>852</v>
      </c>
      <c r="H1010" s="5">
        <v>1</v>
      </c>
      <c r="I1010" s="8" t="s">
        <v>8156</v>
      </c>
      <c r="J1010" s="8" t="s">
        <v>10205</v>
      </c>
      <c r="K1010" s="8" t="s">
        <v>2002</v>
      </c>
      <c r="L1010" s="8" t="s">
        <v>12256</v>
      </c>
      <c r="M1010" s="8" t="s">
        <v>4052</v>
      </c>
      <c r="N1010" s="8" t="s">
        <v>6103</v>
      </c>
      <c r="O1010" s="5" t="s">
        <v>68</v>
      </c>
      <c r="P1010" s="4">
        <v>45728</v>
      </c>
      <c r="Q1010" s="15">
        <v>19.989999999999998</v>
      </c>
      <c r="R1010" s="15">
        <v>6.99</v>
      </c>
      <c r="S1010" s="15">
        <v>0</v>
      </c>
      <c r="T1010"/>
    </row>
    <row r="1011" spans="1:20">
      <c r="A1011" s="5" t="s">
        <v>36</v>
      </c>
      <c r="B1011" s="5" t="s">
        <v>14338</v>
      </c>
      <c r="C1011" s="4">
        <v>45703</v>
      </c>
      <c r="D1011" s="4">
        <v>45705</v>
      </c>
      <c r="E1011" s="5" t="s">
        <v>16425</v>
      </c>
      <c r="F1011" s="5" t="s">
        <v>18414</v>
      </c>
      <c r="G1011" s="5" t="s">
        <v>839</v>
      </c>
      <c r="H1011" s="5">
        <v>1</v>
      </c>
      <c r="I1011" s="8" t="s">
        <v>8157</v>
      </c>
      <c r="J1011" s="8" t="s">
        <v>10206</v>
      </c>
      <c r="K1011" s="8" t="s">
        <v>2003</v>
      </c>
      <c r="L1011" s="8" t="s">
        <v>12257</v>
      </c>
      <c r="M1011" s="8" t="s">
        <v>4053</v>
      </c>
      <c r="N1011" s="8" t="s">
        <v>6104</v>
      </c>
      <c r="O1011" s="5" t="s">
        <v>59</v>
      </c>
      <c r="P1011" s="4">
        <v>45728</v>
      </c>
      <c r="Q1011" s="15">
        <v>21.99</v>
      </c>
      <c r="R1011" s="15">
        <v>6.99</v>
      </c>
      <c r="S1011" s="15">
        <v>0</v>
      </c>
      <c r="T1011"/>
    </row>
    <row r="1012" spans="1:20">
      <c r="A1012" s="5" t="s">
        <v>36</v>
      </c>
      <c r="B1012" s="5" t="s">
        <v>14339</v>
      </c>
      <c r="C1012" s="4">
        <v>45703</v>
      </c>
      <c r="D1012" s="4">
        <v>45705</v>
      </c>
      <c r="E1012" s="5" t="s">
        <v>16426</v>
      </c>
      <c r="F1012" s="5" t="s">
        <v>18415</v>
      </c>
      <c r="G1012" s="5" t="s">
        <v>831</v>
      </c>
      <c r="H1012" s="5">
        <v>1</v>
      </c>
      <c r="I1012" s="8" t="s">
        <v>8158</v>
      </c>
      <c r="J1012" s="8" t="s">
        <v>10207</v>
      </c>
      <c r="K1012" s="8" t="s">
        <v>2004</v>
      </c>
      <c r="L1012" s="8" t="s">
        <v>12258</v>
      </c>
      <c r="M1012" s="8" t="s">
        <v>4054</v>
      </c>
      <c r="N1012" s="8" t="s">
        <v>6105</v>
      </c>
      <c r="O1012" s="5" t="s">
        <v>41</v>
      </c>
      <c r="P1012" s="4">
        <v>45728</v>
      </c>
      <c r="Q1012" s="15">
        <v>78.989999999999995</v>
      </c>
      <c r="R1012" s="15">
        <v>13.5</v>
      </c>
      <c r="S1012" s="15">
        <v>0</v>
      </c>
      <c r="T1012"/>
    </row>
    <row r="1013" spans="1:20">
      <c r="A1013" s="5" t="s">
        <v>36</v>
      </c>
      <c r="B1013" s="5" t="s">
        <v>14340</v>
      </c>
      <c r="C1013" s="4">
        <v>45704</v>
      </c>
      <c r="D1013" s="4">
        <v>45705</v>
      </c>
      <c r="E1013" s="5" t="s">
        <v>16427</v>
      </c>
      <c r="F1013" s="5" t="s">
        <v>18416</v>
      </c>
      <c r="G1013" s="5" t="s">
        <v>852</v>
      </c>
      <c r="H1013" s="5">
        <v>1</v>
      </c>
      <c r="I1013" s="8" t="s">
        <v>8159</v>
      </c>
      <c r="J1013" s="8" t="s">
        <v>10208</v>
      </c>
      <c r="K1013" s="8" t="s">
        <v>2005</v>
      </c>
      <c r="L1013" s="8" t="s">
        <v>12259</v>
      </c>
      <c r="M1013" s="8" t="s">
        <v>4055</v>
      </c>
      <c r="N1013" s="8" t="s">
        <v>6106</v>
      </c>
      <c r="O1013" s="5" t="s">
        <v>68</v>
      </c>
      <c r="P1013" s="4">
        <v>45734</v>
      </c>
      <c r="Q1013" s="15">
        <v>19.989999999999998</v>
      </c>
      <c r="R1013" s="15">
        <v>6.99</v>
      </c>
      <c r="S1013" s="15">
        <v>0</v>
      </c>
      <c r="T1013"/>
    </row>
    <row r="1014" spans="1:20">
      <c r="A1014" s="5" t="s">
        <v>36</v>
      </c>
      <c r="B1014" s="5" t="s">
        <v>14341</v>
      </c>
      <c r="C1014" s="4">
        <v>45704</v>
      </c>
      <c r="D1014" s="4">
        <v>45705</v>
      </c>
      <c r="E1014" s="5" t="s">
        <v>16428</v>
      </c>
      <c r="F1014" s="5" t="s">
        <v>18417</v>
      </c>
      <c r="G1014" s="5" t="s">
        <v>836</v>
      </c>
      <c r="H1014" s="5">
        <v>1</v>
      </c>
      <c r="I1014" s="8" t="s">
        <v>8160</v>
      </c>
      <c r="J1014" s="8" t="s">
        <v>10209</v>
      </c>
      <c r="K1014" s="8" t="s">
        <v>2006</v>
      </c>
      <c r="L1014" s="8" t="s">
        <v>12260</v>
      </c>
      <c r="M1014" s="8" t="s">
        <v>4056</v>
      </c>
      <c r="N1014" s="8" t="s">
        <v>6107</v>
      </c>
      <c r="O1014" s="5" t="s">
        <v>55</v>
      </c>
      <c r="P1014" s="4">
        <v>45728</v>
      </c>
      <c r="Q1014" s="15">
        <v>33.99</v>
      </c>
      <c r="R1014" s="15">
        <v>13.8</v>
      </c>
      <c r="S1014" s="15">
        <v>0</v>
      </c>
      <c r="T1014"/>
    </row>
    <row r="1015" spans="1:20">
      <c r="A1015" s="5" t="s">
        <v>36</v>
      </c>
      <c r="B1015" s="5" t="s">
        <v>14342</v>
      </c>
      <c r="C1015" s="4">
        <v>45704</v>
      </c>
      <c r="D1015" s="4">
        <v>45705</v>
      </c>
      <c r="E1015" s="5" t="s">
        <v>16429</v>
      </c>
      <c r="F1015" s="5" t="s">
        <v>18418</v>
      </c>
      <c r="G1015" s="5" t="s">
        <v>831</v>
      </c>
      <c r="H1015" s="5">
        <v>1</v>
      </c>
      <c r="I1015" s="8" t="s">
        <v>8161</v>
      </c>
      <c r="J1015" s="8" t="s">
        <v>10210</v>
      </c>
      <c r="K1015" s="8" t="s">
        <v>2007</v>
      </c>
      <c r="L1015" s="8" t="s">
        <v>12261</v>
      </c>
      <c r="M1015" s="8" t="s">
        <v>4057</v>
      </c>
      <c r="N1015" s="8" t="s">
        <v>6108</v>
      </c>
      <c r="O1015" s="5" t="s">
        <v>41</v>
      </c>
      <c r="P1015" s="4">
        <v>45734</v>
      </c>
      <c r="Q1015" s="15">
        <v>78.989999999999995</v>
      </c>
      <c r="R1015" s="15">
        <v>13.5</v>
      </c>
      <c r="S1015" s="15">
        <v>0</v>
      </c>
      <c r="T1015"/>
    </row>
    <row r="1016" spans="1:20">
      <c r="A1016" s="5" t="s">
        <v>36</v>
      </c>
      <c r="B1016" s="5" t="s">
        <v>14343</v>
      </c>
      <c r="C1016" s="4">
        <v>45704</v>
      </c>
      <c r="D1016" s="4">
        <v>45705</v>
      </c>
      <c r="E1016" s="5" t="s">
        <v>16430</v>
      </c>
      <c r="F1016" s="5" t="s">
        <v>18419</v>
      </c>
      <c r="G1016" s="5" t="s">
        <v>855</v>
      </c>
      <c r="H1016" s="5">
        <v>1</v>
      </c>
      <c r="I1016" s="8" t="s">
        <v>8162</v>
      </c>
      <c r="J1016" s="8" t="s">
        <v>10211</v>
      </c>
      <c r="K1016" s="8" t="s">
        <v>2008</v>
      </c>
      <c r="L1016" s="8" t="s">
        <v>12262</v>
      </c>
      <c r="M1016" s="8" t="s">
        <v>4058</v>
      </c>
      <c r="N1016" s="8" t="s">
        <v>6109</v>
      </c>
      <c r="O1016" s="5" t="s">
        <v>81</v>
      </c>
      <c r="P1016" s="4">
        <v>45717</v>
      </c>
      <c r="Q1016" s="15">
        <v>30.99</v>
      </c>
      <c r="R1016" s="15">
        <v>13.2</v>
      </c>
      <c r="S1016" s="15">
        <v>0</v>
      </c>
      <c r="T1016"/>
    </row>
    <row r="1017" spans="1:20">
      <c r="A1017" s="5" t="s">
        <v>113</v>
      </c>
      <c r="B1017" s="5" t="s">
        <v>14344</v>
      </c>
      <c r="C1017" s="4">
        <v>45703</v>
      </c>
      <c r="D1017" s="4">
        <v>45705</v>
      </c>
      <c r="E1017" s="5" t="s">
        <v>16431</v>
      </c>
      <c r="F1017" s="5" t="s">
        <v>18420</v>
      </c>
      <c r="G1017" s="5" t="s">
        <v>849</v>
      </c>
      <c r="H1017" s="5">
        <v>1</v>
      </c>
      <c r="I1017" s="8" t="s">
        <v>8163</v>
      </c>
      <c r="J1017" s="8" t="s">
        <v>10212</v>
      </c>
      <c r="K1017" s="8" t="s">
        <v>2009</v>
      </c>
      <c r="L1017" s="8" t="s">
        <v>12263</v>
      </c>
      <c r="M1017" s="8" t="s">
        <v>4059</v>
      </c>
      <c r="N1017" s="8" t="s">
        <v>6110</v>
      </c>
      <c r="O1017" s="5" t="s">
        <v>116</v>
      </c>
      <c r="P1017" s="4">
        <v>45728</v>
      </c>
      <c r="Q1017" s="15">
        <v>65.989999999999995</v>
      </c>
      <c r="R1017" s="15">
        <v>13.21</v>
      </c>
      <c r="S1017" s="15">
        <v>0</v>
      </c>
      <c r="T1017"/>
    </row>
    <row r="1018" spans="1:20">
      <c r="A1018" s="5" t="s">
        <v>113</v>
      </c>
      <c r="B1018" s="5" t="s">
        <v>14345</v>
      </c>
      <c r="C1018" s="4">
        <v>45703</v>
      </c>
      <c r="D1018" s="4">
        <v>45705</v>
      </c>
      <c r="E1018" s="5" t="s">
        <v>16432</v>
      </c>
      <c r="F1018" s="5" t="s">
        <v>18421</v>
      </c>
      <c r="G1018" s="5" t="s">
        <v>849</v>
      </c>
      <c r="H1018" s="5">
        <v>1</v>
      </c>
      <c r="I1018" s="8" t="s">
        <v>8164</v>
      </c>
      <c r="J1018" s="8" t="s">
        <v>10213</v>
      </c>
      <c r="K1018" s="8" t="s">
        <v>2010</v>
      </c>
      <c r="L1018" s="8" t="s">
        <v>12264</v>
      </c>
      <c r="M1018" s="8" t="s">
        <v>4060</v>
      </c>
      <c r="N1018" s="8" t="s">
        <v>6111</v>
      </c>
      <c r="O1018" s="5" t="s">
        <v>116</v>
      </c>
      <c r="P1018" s="4">
        <v>45728</v>
      </c>
      <c r="Q1018" s="15">
        <v>65.989999999999995</v>
      </c>
      <c r="R1018" s="15">
        <v>0</v>
      </c>
      <c r="S1018" s="15">
        <v>0</v>
      </c>
      <c r="T1018"/>
    </row>
    <row r="1019" spans="1:20">
      <c r="A1019" s="5" t="s">
        <v>113</v>
      </c>
      <c r="B1019" s="5" t="s">
        <v>14346</v>
      </c>
      <c r="C1019" s="4">
        <v>45703</v>
      </c>
      <c r="D1019" s="4">
        <v>45705</v>
      </c>
      <c r="E1019" s="5" t="s">
        <v>16433</v>
      </c>
      <c r="F1019" s="5" t="s">
        <v>18422</v>
      </c>
      <c r="G1019" s="5" t="s">
        <v>849</v>
      </c>
      <c r="H1019" s="5">
        <v>1</v>
      </c>
      <c r="I1019" s="8" t="s">
        <v>8165</v>
      </c>
      <c r="J1019" s="8" t="s">
        <v>10214</v>
      </c>
      <c r="K1019" s="8" t="s">
        <v>2011</v>
      </c>
      <c r="L1019" s="8" t="s">
        <v>12265</v>
      </c>
      <c r="M1019" s="8" t="s">
        <v>4061</v>
      </c>
      <c r="N1019" s="8" t="s">
        <v>6112</v>
      </c>
      <c r="O1019" s="5" t="s">
        <v>116</v>
      </c>
      <c r="P1019" s="4">
        <v>45734</v>
      </c>
      <c r="Q1019" s="15">
        <v>65.989999999999995</v>
      </c>
      <c r="R1019" s="15">
        <v>13.21</v>
      </c>
      <c r="S1019" s="15">
        <v>0</v>
      </c>
      <c r="T1019"/>
    </row>
    <row r="1020" spans="1:20">
      <c r="A1020" s="5" t="s">
        <v>113</v>
      </c>
      <c r="B1020" s="5" t="s">
        <v>14347</v>
      </c>
      <c r="C1020" s="4">
        <v>45703</v>
      </c>
      <c r="D1020" s="4">
        <v>45705</v>
      </c>
      <c r="E1020" s="5" t="s">
        <v>16434</v>
      </c>
      <c r="F1020" s="5" t="s">
        <v>18423</v>
      </c>
      <c r="G1020" s="5" t="s">
        <v>849</v>
      </c>
      <c r="H1020" s="5">
        <v>1</v>
      </c>
      <c r="I1020" s="8" t="s">
        <v>8166</v>
      </c>
      <c r="J1020" s="8" t="s">
        <v>10215</v>
      </c>
      <c r="K1020" s="8" t="s">
        <v>2012</v>
      </c>
      <c r="L1020" s="8" t="s">
        <v>12266</v>
      </c>
      <c r="M1020" s="8" t="s">
        <v>4062</v>
      </c>
      <c r="N1020" s="8" t="s">
        <v>6113</v>
      </c>
      <c r="O1020" s="5" t="s">
        <v>116</v>
      </c>
      <c r="P1020" s="4">
        <v>45734</v>
      </c>
      <c r="Q1020" s="15">
        <v>65.989999999999995</v>
      </c>
      <c r="R1020" s="15">
        <v>13.21</v>
      </c>
      <c r="S1020" s="15">
        <v>0</v>
      </c>
      <c r="T1020"/>
    </row>
    <row r="1021" spans="1:20">
      <c r="A1021" s="5" t="s">
        <v>113</v>
      </c>
      <c r="B1021" s="5" t="s">
        <v>14348</v>
      </c>
      <c r="C1021" s="4">
        <v>45703</v>
      </c>
      <c r="D1021" s="4">
        <v>45707</v>
      </c>
      <c r="E1021" s="5" t="s">
        <v>16435</v>
      </c>
      <c r="F1021" s="5" t="s">
        <v>18424</v>
      </c>
      <c r="G1021" s="5" t="s">
        <v>849</v>
      </c>
      <c r="H1021" s="5">
        <v>1</v>
      </c>
      <c r="I1021" s="8" t="s">
        <v>8166</v>
      </c>
      <c r="J1021" s="8" t="s">
        <v>10215</v>
      </c>
      <c r="K1021" s="8" t="s">
        <v>2012</v>
      </c>
      <c r="L1021" s="8" t="s">
        <v>12266</v>
      </c>
      <c r="M1021" s="8" t="s">
        <v>4062</v>
      </c>
      <c r="N1021" s="8" t="s">
        <v>6113</v>
      </c>
      <c r="O1021" s="5" t="s">
        <v>116</v>
      </c>
      <c r="P1021" s="4">
        <v>45734</v>
      </c>
      <c r="Q1021" s="15">
        <v>65.989999999999995</v>
      </c>
      <c r="R1021" s="15">
        <v>14.35</v>
      </c>
      <c r="S1021" s="15">
        <v>0</v>
      </c>
      <c r="T1021"/>
    </row>
    <row r="1022" spans="1:20">
      <c r="A1022" s="5" t="s">
        <v>113</v>
      </c>
      <c r="B1022" s="5" t="s">
        <v>14349</v>
      </c>
      <c r="C1022" s="4">
        <v>45703</v>
      </c>
      <c r="D1022" s="4">
        <v>45705</v>
      </c>
      <c r="E1022" s="5" t="s">
        <v>16436</v>
      </c>
      <c r="F1022" s="5" t="s">
        <v>18425</v>
      </c>
      <c r="G1022" s="5" t="s">
        <v>849</v>
      </c>
      <c r="H1022" s="5">
        <v>1</v>
      </c>
      <c r="I1022" s="8" t="s">
        <v>8167</v>
      </c>
      <c r="J1022" s="8" t="s">
        <v>10216</v>
      </c>
      <c r="K1022" s="8" t="s">
        <v>2013</v>
      </c>
      <c r="L1022" s="8" t="s">
        <v>12267</v>
      </c>
      <c r="M1022" s="8" t="s">
        <v>4063</v>
      </c>
      <c r="N1022" s="8" t="s">
        <v>6114</v>
      </c>
      <c r="O1022" s="5" t="s">
        <v>116</v>
      </c>
      <c r="P1022" s="4">
        <v>45734</v>
      </c>
      <c r="Q1022" s="15">
        <v>65.989999999999995</v>
      </c>
      <c r="R1022" s="15">
        <v>13.21</v>
      </c>
      <c r="S1022" s="15">
        <v>0</v>
      </c>
      <c r="T1022"/>
    </row>
    <row r="1023" spans="1:20">
      <c r="A1023" s="5" t="s">
        <v>113</v>
      </c>
      <c r="B1023" s="5" t="s">
        <v>14350</v>
      </c>
      <c r="C1023" s="4">
        <v>45704</v>
      </c>
      <c r="D1023" s="4">
        <v>45705</v>
      </c>
      <c r="E1023" s="5" t="s">
        <v>16437</v>
      </c>
      <c r="F1023" s="5" t="s">
        <v>18426</v>
      </c>
      <c r="G1023" s="5" t="s">
        <v>849</v>
      </c>
      <c r="H1023" s="5">
        <v>1</v>
      </c>
      <c r="I1023" s="8" t="s">
        <v>7600</v>
      </c>
      <c r="J1023" s="8" t="s">
        <v>9649</v>
      </c>
      <c r="K1023" s="8" t="s">
        <v>1446</v>
      </c>
      <c r="L1023" s="8" t="s">
        <v>11700</v>
      </c>
      <c r="M1023" s="8" t="s">
        <v>3496</v>
      </c>
      <c r="N1023" s="8" t="s">
        <v>5547</v>
      </c>
      <c r="O1023" s="5" t="s">
        <v>116</v>
      </c>
      <c r="P1023" s="4">
        <v>45728</v>
      </c>
      <c r="Q1023" s="15">
        <v>65.989999999999995</v>
      </c>
      <c r="R1023" s="15">
        <v>13.21</v>
      </c>
      <c r="S1023" s="15">
        <v>0</v>
      </c>
      <c r="T1023"/>
    </row>
    <row r="1024" spans="1:20">
      <c r="A1024" s="5" t="s">
        <v>113</v>
      </c>
      <c r="B1024" s="5" t="s">
        <v>14351</v>
      </c>
      <c r="C1024" s="4">
        <v>45704</v>
      </c>
      <c r="D1024" s="4">
        <v>45705</v>
      </c>
      <c r="E1024" s="5" t="s">
        <v>16438</v>
      </c>
      <c r="F1024" s="5" t="s">
        <v>18427</v>
      </c>
      <c r="G1024" s="5" t="s">
        <v>849</v>
      </c>
      <c r="H1024" s="5">
        <v>1</v>
      </c>
      <c r="I1024" s="8" t="s">
        <v>8168</v>
      </c>
      <c r="J1024" s="8" t="s">
        <v>10217</v>
      </c>
      <c r="K1024" s="8" t="s">
        <v>2014</v>
      </c>
      <c r="L1024" s="8" t="s">
        <v>12268</v>
      </c>
      <c r="M1024" s="8" t="s">
        <v>4064</v>
      </c>
      <c r="N1024" s="8" t="s">
        <v>6115</v>
      </c>
      <c r="O1024" s="5" t="s">
        <v>116</v>
      </c>
      <c r="P1024" s="4">
        <v>45734</v>
      </c>
      <c r="Q1024" s="15">
        <v>65.989999999999995</v>
      </c>
      <c r="R1024" s="15">
        <v>13.21</v>
      </c>
      <c r="S1024" s="15">
        <v>0</v>
      </c>
      <c r="T1024"/>
    </row>
    <row r="1025" spans="1:20">
      <c r="A1025" s="5" t="s">
        <v>113</v>
      </c>
      <c r="B1025" s="5" t="s">
        <v>14352</v>
      </c>
      <c r="C1025" s="4">
        <v>45704</v>
      </c>
      <c r="D1025" s="4">
        <v>45705</v>
      </c>
      <c r="E1025" s="5" t="s">
        <v>16439</v>
      </c>
      <c r="F1025" s="5" t="s">
        <v>18428</v>
      </c>
      <c r="G1025" s="5" t="s">
        <v>849</v>
      </c>
      <c r="H1025" s="5">
        <v>1</v>
      </c>
      <c r="I1025" s="8" t="s">
        <v>8169</v>
      </c>
      <c r="J1025" s="8" t="s">
        <v>10218</v>
      </c>
      <c r="K1025" s="8" t="s">
        <v>2015</v>
      </c>
      <c r="L1025" s="8" t="s">
        <v>12269</v>
      </c>
      <c r="M1025" s="8" t="s">
        <v>4065</v>
      </c>
      <c r="N1025" s="8" t="s">
        <v>6116</v>
      </c>
      <c r="O1025" s="5" t="s">
        <v>116</v>
      </c>
      <c r="P1025" s="4">
        <v>45728</v>
      </c>
      <c r="Q1025" s="15">
        <v>65.989999999999995</v>
      </c>
      <c r="R1025" s="15">
        <v>13.21</v>
      </c>
      <c r="S1025" s="15">
        <v>0</v>
      </c>
      <c r="T1025"/>
    </row>
    <row r="1026" spans="1:20">
      <c r="A1026" s="5" t="s">
        <v>113</v>
      </c>
      <c r="B1026" s="5" t="s">
        <v>14353</v>
      </c>
      <c r="C1026" s="4">
        <v>45704</v>
      </c>
      <c r="D1026" s="4">
        <v>45705</v>
      </c>
      <c r="E1026" s="5" t="s">
        <v>16440</v>
      </c>
      <c r="F1026" s="5" t="s">
        <v>18429</v>
      </c>
      <c r="G1026" s="5" t="s">
        <v>849</v>
      </c>
      <c r="H1026" s="5">
        <v>1</v>
      </c>
      <c r="I1026" s="8" t="s">
        <v>8170</v>
      </c>
      <c r="J1026" s="8" t="s">
        <v>10219</v>
      </c>
      <c r="K1026" s="8" t="s">
        <v>2016</v>
      </c>
      <c r="L1026" s="8" t="s">
        <v>12270</v>
      </c>
      <c r="M1026" s="8" t="s">
        <v>4066</v>
      </c>
      <c r="N1026" s="8" t="s">
        <v>6117</v>
      </c>
      <c r="O1026" s="5" t="s">
        <v>116</v>
      </c>
      <c r="P1026" s="4">
        <v>45728</v>
      </c>
      <c r="Q1026" s="15">
        <v>65.989999999999995</v>
      </c>
      <c r="R1026" s="15">
        <v>13.21</v>
      </c>
      <c r="S1026" s="15">
        <v>0</v>
      </c>
      <c r="T1026"/>
    </row>
    <row r="1027" spans="1:20">
      <c r="A1027" s="5" t="s">
        <v>113</v>
      </c>
      <c r="B1027" s="5" t="s">
        <v>14354</v>
      </c>
      <c r="C1027" s="4">
        <v>45704</v>
      </c>
      <c r="D1027" s="4">
        <v>45705</v>
      </c>
      <c r="E1027" s="5" t="s">
        <v>16441</v>
      </c>
      <c r="F1027" s="5" t="s">
        <v>18430</v>
      </c>
      <c r="G1027" s="5" t="s">
        <v>817</v>
      </c>
      <c r="H1027" s="5">
        <v>1</v>
      </c>
      <c r="I1027" s="8" t="s">
        <v>8171</v>
      </c>
      <c r="J1027" s="8" t="s">
        <v>10220</v>
      </c>
      <c r="K1027" s="8" t="s">
        <v>2017</v>
      </c>
      <c r="L1027" s="8" t="s">
        <v>12271</v>
      </c>
      <c r="M1027" s="8" t="s">
        <v>4067</v>
      </c>
      <c r="N1027" s="8" t="s">
        <v>6118</v>
      </c>
      <c r="O1027" s="5" t="s">
        <v>115</v>
      </c>
      <c r="P1027" s="4">
        <v>45728</v>
      </c>
      <c r="Q1027" s="15">
        <v>30.99</v>
      </c>
      <c r="R1027" s="15">
        <v>14.99</v>
      </c>
      <c r="S1027" s="15">
        <v>0</v>
      </c>
      <c r="T1027"/>
    </row>
    <row r="1028" spans="1:20">
      <c r="A1028" s="5" t="s">
        <v>113</v>
      </c>
      <c r="B1028" s="5" t="s">
        <v>14355</v>
      </c>
      <c r="C1028" s="4">
        <v>45705</v>
      </c>
      <c r="D1028" s="4">
        <v>45705</v>
      </c>
      <c r="E1028" s="5" t="s">
        <v>16442</v>
      </c>
      <c r="F1028" s="5" t="s">
        <v>18431</v>
      </c>
      <c r="G1028" s="5" t="s">
        <v>849</v>
      </c>
      <c r="H1028" s="5">
        <v>1</v>
      </c>
      <c r="I1028" s="8" t="s">
        <v>8172</v>
      </c>
      <c r="J1028" s="8" t="s">
        <v>10221</v>
      </c>
      <c r="K1028" s="8" t="s">
        <v>2018</v>
      </c>
      <c r="L1028" s="8" t="s">
        <v>12272</v>
      </c>
      <c r="M1028" s="8" t="s">
        <v>4068</v>
      </c>
      <c r="N1028" s="8" t="s">
        <v>6119</v>
      </c>
      <c r="O1028" s="5" t="s">
        <v>116</v>
      </c>
      <c r="P1028" s="4">
        <v>45729</v>
      </c>
      <c r="Q1028" s="15">
        <v>65.989999999999995</v>
      </c>
      <c r="R1028" s="15">
        <v>0</v>
      </c>
      <c r="S1028" s="15">
        <v>0</v>
      </c>
      <c r="T1028"/>
    </row>
    <row r="1029" spans="1:20">
      <c r="A1029" s="5" t="s">
        <v>36</v>
      </c>
      <c r="B1029" s="5" t="s">
        <v>14356</v>
      </c>
      <c r="C1029" s="4">
        <v>45705</v>
      </c>
      <c r="D1029" s="4">
        <v>45706</v>
      </c>
      <c r="E1029" s="5" t="s">
        <v>16443</v>
      </c>
      <c r="F1029" s="5" t="s">
        <v>18432</v>
      </c>
      <c r="G1029" s="5" t="s">
        <v>831</v>
      </c>
      <c r="H1029" s="5">
        <v>1</v>
      </c>
      <c r="I1029" s="8" t="s">
        <v>8173</v>
      </c>
      <c r="J1029" s="8" t="s">
        <v>10222</v>
      </c>
      <c r="K1029" s="8" t="s">
        <v>2019</v>
      </c>
      <c r="L1029" s="8" t="s">
        <v>12273</v>
      </c>
      <c r="M1029" s="8" t="s">
        <v>4069</v>
      </c>
      <c r="N1029" s="8" t="s">
        <v>6120</v>
      </c>
      <c r="O1029" s="5" t="s">
        <v>41</v>
      </c>
      <c r="P1029" s="4">
        <v>45735</v>
      </c>
      <c r="Q1029" s="15">
        <v>78.989999999999995</v>
      </c>
      <c r="R1029" s="15">
        <v>13.29</v>
      </c>
      <c r="S1029" s="15">
        <v>0</v>
      </c>
      <c r="T1029"/>
    </row>
    <row r="1030" spans="1:20">
      <c r="A1030" s="5" t="s">
        <v>113</v>
      </c>
      <c r="B1030" s="5" t="s">
        <v>14357</v>
      </c>
      <c r="C1030" s="4">
        <v>45705</v>
      </c>
      <c r="D1030" s="4">
        <v>45706</v>
      </c>
      <c r="E1030" s="5" t="s">
        <v>16444</v>
      </c>
      <c r="F1030" s="5" t="s">
        <v>18433</v>
      </c>
      <c r="G1030" s="5" t="s">
        <v>849</v>
      </c>
      <c r="H1030" s="5">
        <v>1</v>
      </c>
      <c r="I1030" s="8" t="s">
        <v>8174</v>
      </c>
      <c r="J1030" s="8" t="s">
        <v>10223</v>
      </c>
      <c r="K1030" s="8" t="s">
        <v>2020</v>
      </c>
      <c r="L1030" s="8" t="s">
        <v>12274</v>
      </c>
      <c r="M1030" s="8" t="s">
        <v>4070</v>
      </c>
      <c r="N1030" s="8" t="s">
        <v>6121</v>
      </c>
      <c r="O1030" s="5" t="s">
        <v>116</v>
      </c>
      <c r="P1030" s="4">
        <v>45735</v>
      </c>
      <c r="Q1030" s="15">
        <v>65.989999999999995</v>
      </c>
      <c r="R1030" s="15">
        <v>10.15</v>
      </c>
      <c r="S1030" s="15">
        <v>0</v>
      </c>
      <c r="T1030"/>
    </row>
    <row r="1031" spans="1:20">
      <c r="A1031" s="5" t="s">
        <v>113</v>
      </c>
      <c r="B1031" s="5" t="s">
        <v>14358</v>
      </c>
      <c r="C1031" s="4">
        <v>45705</v>
      </c>
      <c r="D1031" s="4">
        <v>45706</v>
      </c>
      <c r="E1031" s="5" t="s">
        <v>16445</v>
      </c>
      <c r="F1031" s="5" t="s">
        <v>18434</v>
      </c>
      <c r="G1031" s="5" t="s">
        <v>817</v>
      </c>
      <c r="H1031" s="5">
        <v>1</v>
      </c>
      <c r="I1031" s="8" t="s">
        <v>8175</v>
      </c>
      <c r="J1031" s="8" t="s">
        <v>10224</v>
      </c>
      <c r="K1031" s="8" t="s">
        <v>2021</v>
      </c>
      <c r="L1031" s="8" t="s">
        <v>12275</v>
      </c>
      <c r="M1031" s="8" t="s">
        <v>4071</v>
      </c>
      <c r="N1031" s="8" t="s">
        <v>6122</v>
      </c>
      <c r="O1031" s="5" t="s">
        <v>115</v>
      </c>
      <c r="P1031" s="4">
        <v>45735</v>
      </c>
      <c r="Q1031" s="15">
        <v>30.99</v>
      </c>
      <c r="R1031" s="15">
        <v>14.99</v>
      </c>
      <c r="S1031" s="15">
        <v>0</v>
      </c>
      <c r="T1031"/>
    </row>
    <row r="1032" spans="1:20">
      <c r="A1032" s="5" t="s">
        <v>113</v>
      </c>
      <c r="B1032" s="5" t="s">
        <v>14359</v>
      </c>
      <c r="C1032" s="4">
        <v>45705</v>
      </c>
      <c r="D1032" s="4">
        <v>45706</v>
      </c>
      <c r="E1032" s="5" t="s">
        <v>16446</v>
      </c>
      <c r="F1032" s="5" t="s">
        <v>18435</v>
      </c>
      <c r="G1032" s="5" t="s">
        <v>817</v>
      </c>
      <c r="H1032" s="5">
        <v>1</v>
      </c>
      <c r="I1032" s="8" t="s">
        <v>8176</v>
      </c>
      <c r="J1032" s="8" t="s">
        <v>10225</v>
      </c>
      <c r="K1032" s="8" t="s">
        <v>2022</v>
      </c>
      <c r="L1032" s="8" t="s">
        <v>12276</v>
      </c>
      <c r="M1032" s="8" t="s">
        <v>4072</v>
      </c>
      <c r="N1032" s="8" t="s">
        <v>6123</v>
      </c>
      <c r="O1032" s="5" t="s">
        <v>115</v>
      </c>
      <c r="P1032" s="4">
        <v>45729</v>
      </c>
      <c r="Q1032" s="15">
        <v>30.99</v>
      </c>
      <c r="R1032" s="15">
        <v>14.99</v>
      </c>
      <c r="S1032" s="15">
        <v>0</v>
      </c>
      <c r="T1032"/>
    </row>
    <row r="1033" spans="1:20">
      <c r="A1033" s="5" t="s">
        <v>113</v>
      </c>
      <c r="B1033" s="5" t="s">
        <v>14360</v>
      </c>
      <c r="C1033" s="4">
        <v>45705</v>
      </c>
      <c r="D1033" s="4">
        <v>45706</v>
      </c>
      <c r="E1033" s="5" t="s">
        <v>16447</v>
      </c>
      <c r="F1033" s="5" t="s">
        <v>18436</v>
      </c>
      <c r="G1033" s="5" t="s">
        <v>817</v>
      </c>
      <c r="H1033" s="5">
        <v>1</v>
      </c>
      <c r="I1033" s="8" t="s">
        <v>8177</v>
      </c>
      <c r="J1033" s="8" t="s">
        <v>10226</v>
      </c>
      <c r="K1033" s="8" t="s">
        <v>2023</v>
      </c>
      <c r="L1033" s="8" t="s">
        <v>12277</v>
      </c>
      <c r="M1033" s="8" t="s">
        <v>4073</v>
      </c>
      <c r="N1033" s="8" t="s">
        <v>6124</v>
      </c>
      <c r="O1033" s="5" t="s">
        <v>115</v>
      </c>
      <c r="P1033" s="4">
        <v>45729</v>
      </c>
      <c r="Q1033" s="15">
        <v>30.99</v>
      </c>
      <c r="R1033" s="15">
        <v>14.99</v>
      </c>
      <c r="S1033" s="15">
        <v>0</v>
      </c>
      <c r="T1033"/>
    </row>
    <row r="1034" spans="1:20">
      <c r="A1034" s="5" t="s">
        <v>113</v>
      </c>
      <c r="B1034" s="5" t="s">
        <v>14361</v>
      </c>
      <c r="C1034" s="4">
        <v>45706</v>
      </c>
      <c r="D1034" s="4">
        <v>45706</v>
      </c>
      <c r="E1034" s="5" t="s">
        <v>16448</v>
      </c>
      <c r="F1034" s="5" t="s">
        <v>18437</v>
      </c>
      <c r="G1034" s="5" t="s">
        <v>849</v>
      </c>
      <c r="H1034" s="5">
        <v>1</v>
      </c>
      <c r="I1034" s="8" t="s">
        <v>8178</v>
      </c>
      <c r="J1034" s="8" t="s">
        <v>10227</v>
      </c>
      <c r="K1034" s="8" t="s">
        <v>2024</v>
      </c>
      <c r="L1034" s="8" t="s">
        <v>12278</v>
      </c>
      <c r="M1034" s="8" t="s">
        <v>4074</v>
      </c>
      <c r="N1034" s="8" t="s">
        <v>6125</v>
      </c>
      <c r="O1034" s="5" t="s">
        <v>116</v>
      </c>
      <c r="P1034" s="4">
        <v>45729</v>
      </c>
      <c r="Q1034" s="15">
        <v>65.989999999999995</v>
      </c>
      <c r="R1034" s="15">
        <v>10.15</v>
      </c>
      <c r="S1034" s="15">
        <v>0</v>
      </c>
      <c r="T1034"/>
    </row>
    <row r="1035" spans="1:20">
      <c r="A1035" s="5" t="s">
        <v>113</v>
      </c>
      <c r="B1035" s="5" t="s">
        <v>14362</v>
      </c>
      <c r="C1035" s="4">
        <v>45706</v>
      </c>
      <c r="D1035" s="4">
        <v>45706</v>
      </c>
      <c r="E1035" s="5" t="s">
        <v>16449</v>
      </c>
      <c r="F1035" s="5" t="s">
        <v>18438</v>
      </c>
      <c r="G1035" s="5" t="s">
        <v>817</v>
      </c>
      <c r="H1035" s="5">
        <v>1</v>
      </c>
      <c r="I1035" s="8" t="s">
        <v>8179</v>
      </c>
      <c r="J1035" s="8" t="s">
        <v>10228</v>
      </c>
      <c r="K1035" s="8" t="s">
        <v>2025</v>
      </c>
      <c r="L1035" s="8" t="s">
        <v>12279</v>
      </c>
      <c r="M1035" s="8" t="s">
        <v>4075</v>
      </c>
      <c r="N1035" s="8" t="s">
        <v>6126</v>
      </c>
      <c r="O1035" s="5" t="s">
        <v>115</v>
      </c>
      <c r="P1035" s="4">
        <v>45730</v>
      </c>
      <c r="Q1035" s="15">
        <v>30.99</v>
      </c>
      <c r="R1035" s="15">
        <v>14.99</v>
      </c>
      <c r="S1035" s="15">
        <v>0</v>
      </c>
      <c r="T1035"/>
    </row>
    <row r="1036" spans="1:20">
      <c r="A1036" s="5" t="s">
        <v>36</v>
      </c>
      <c r="B1036" s="5" t="s">
        <v>14363</v>
      </c>
      <c r="C1036" s="4">
        <v>45707</v>
      </c>
      <c r="D1036" s="4">
        <v>45707</v>
      </c>
      <c r="E1036" s="5" t="s">
        <v>16450</v>
      </c>
      <c r="F1036" s="5" t="s">
        <v>18439</v>
      </c>
      <c r="G1036" s="5" t="s">
        <v>836</v>
      </c>
      <c r="H1036" s="5">
        <v>1</v>
      </c>
      <c r="I1036" s="8" t="s">
        <v>8180</v>
      </c>
      <c r="J1036" s="8" t="s">
        <v>10229</v>
      </c>
      <c r="K1036" s="8" t="s">
        <v>2026</v>
      </c>
      <c r="L1036" s="8" t="s">
        <v>12280</v>
      </c>
      <c r="M1036" s="8" t="s">
        <v>4076</v>
      </c>
      <c r="N1036" s="8" t="s">
        <v>6127</v>
      </c>
      <c r="O1036" s="5" t="s">
        <v>55</v>
      </c>
      <c r="P1036" s="4">
        <v>45730</v>
      </c>
      <c r="Q1036" s="15">
        <v>33.99</v>
      </c>
      <c r="R1036" s="15">
        <v>13.8</v>
      </c>
      <c r="S1036" s="15">
        <v>0</v>
      </c>
      <c r="T1036"/>
    </row>
    <row r="1037" spans="1:20">
      <c r="A1037" s="5" t="s">
        <v>36</v>
      </c>
      <c r="B1037" s="5" t="s">
        <v>14364</v>
      </c>
      <c r="C1037" s="4">
        <v>45707</v>
      </c>
      <c r="D1037" s="4">
        <v>45707</v>
      </c>
      <c r="E1037" s="5" t="s">
        <v>16451</v>
      </c>
      <c r="F1037" s="5" t="s">
        <v>18440</v>
      </c>
      <c r="G1037" s="5" t="s">
        <v>831</v>
      </c>
      <c r="H1037" s="5">
        <v>1</v>
      </c>
      <c r="I1037" s="8" t="s">
        <v>8181</v>
      </c>
      <c r="J1037" s="8" t="s">
        <v>10230</v>
      </c>
      <c r="K1037" s="8" t="s">
        <v>2027</v>
      </c>
      <c r="L1037" s="8" t="s">
        <v>12281</v>
      </c>
      <c r="M1037" s="8" t="s">
        <v>4077</v>
      </c>
      <c r="N1037" s="8" t="s">
        <v>6128</v>
      </c>
      <c r="O1037" s="5" t="s">
        <v>41</v>
      </c>
      <c r="P1037" s="4">
        <v>45731</v>
      </c>
      <c r="Q1037" s="15">
        <v>78.989999999999995</v>
      </c>
      <c r="R1037" s="15">
        <v>13.43</v>
      </c>
      <c r="S1037" s="15">
        <v>0</v>
      </c>
      <c r="T1037"/>
    </row>
    <row r="1038" spans="1:20">
      <c r="A1038" s="5" t="s">
        <v>113</v>
      </c>
      <c r="B1038" s="5" t="s">
        <v>14365</v>
      </c>
      <c r="C1038" s="4">
        <v>45707</v>
      </c>
      <c r="D1038" s="4">
        <v>45707</v>
      </c>
      <c r="E1038" s="5" t="s">
        <v>16452</v>
      </c>
      <c r="F1038" s="5" t="s">
        <v>18441</v>
      </c>
      <c r="G1038" s="5" t="s">
        <v>849</v>
      </c>
      <c r="H1038" s="5">
        <v>1</v>
      </c>
      <c r="I1038" s="8" t="s">
        <v>8182</v>
      </c>
      <c r="J1038" s="8" t="s">
        <v>10231</v>
      </c>
      <c r="K1038" s="8" t="s">
        <v>2028</v>
      </c>
      <c r="L1038" s="8" t="s">
        <v>12282</v>
      </c>
      <c r="M1038" s="8" t="s">
        <v>4078</v>
      </c>
      <c r="N1038" s="8" t="s">
        <v>6129</v>
      </c>
      <c r="O1038" s="5" t="s">
        <v>116</v>
      </c>
      <c r="P1038" s="4">
        <v>45730</v>
      </c>
      <c r="Q1038" s="15">
        <v>65.989999999999995</v>
      </c>
      <c r="R1038" s="15">
        <v>0</v>
      </c>
      <c r="S1038" s="15">
        <v>0</v>
      </c>
      <c r="T1038"/>
    </row>
    <row r="1039" spans="1:20">
      <c r="A1039" s="5" t="s">
        <v>113</v>
      </c>
      <c r="B1039" s="5" t="s">
        <v>14366</v>
      </c>
      <c r="C1039" s="4">
        <v>45707</v>
      </c>
      <c r="D1039" s="4">
        <v>45707</v>
      </c>
      <c r="E1039" s="5" t="s">
        <v>16453</v>
      </c>
      <c r="F1039" s="5" t="s">
        <v>18442</v>
      </c>
      <c r="G1039" s="5" t="s">
        <v>849</v>
      </c>
      <c r="H1039" s="5">
        <v>1</v>
      </c>
      <c r="I1039" s="8" t="s">
        <v>8183</v>
      </c>
      <c r="J1039" s="8" t="s">
        <v>10232</v>
      </c>
      <c r="K1039" s="8" t="s">
        <v>2029</v>
      </c>
      <c r="L1039" s="8" t="s">
        <v>12283</v>
      </c>
      <c r="M1039" s="8" t="s">
        <v>4079</v>
      </c>
      <c r="N1039" s="8" t="s">
        <v>6130</v>
      </c>
      <c r="O1039" s="5" t="s">
        <v>116</v>
      </c>
      <c r="P1039" s="4">
        <v>45736</v>
      </c>
      <c r="Q1039" s="15">
        <v>65.989999999999995</v>
      </c>
      <c r="R1039" s="15">
        <v>14.35</v>
      </c>
      <c r="S1039" s="15">
        <v>0</v>
      </c>
      <c r="T1039"/>
    </row>
    <row r="1040" spans="1:20">
      <c r="A1040" s="5" t="s">
        <v>113</v>
      </c>
      <c r="B1040" s="5" t="s">
        <v>14367</v>
      </c>
      <c r="C1040" s="4">
        <v>45707</v>
      </c>
      <c r="D1040" s="4">
        <v>45708</v>
      </c>
      <c r="E1040" s="5" t="s">
        <v>16454</v>
      </c>
      <c r="F1040" s="5" t="s">
        <v>18443</v>
      </c>
      <c r="G1040" s="5" t="s">
        <v>849</v>
      </c>
      <c r="H1040" s="5">
        <v>1</v>
      </c>
      <c r="I1040" s="8" t="s">
        <v>8184</v>
      </c>
      <c r="J1040" s="8" t="s">
        <v>10233</v>
      </c>
      <c r="K1040" s="8" t="s">
        <v>2030</v>
      </c>
      <c r="L1040" s="8" t="s">
        <v>12284</v>
      </c>
      <c r="M1040" s="8" t="s">
        <v>4080</v>
      </c>
      <c r="N1040" s="8" t="s">
        <v>6131</v>
      </c>
      <c r="O1040" s="5" t="s">
        <v>116</v>
      </c>
      <c r="P1040" s="4">
        <v>45730</v>
      </c>
      <c r="Q1040" s="15">
        <v>65.989999999999995</v>
      </c>
      <c r="R1040" s="15">
        <v>0</v>
      </c>
      <c r="S1040" s="15">
        <v>0</v>
      </c>
      <c r="T1040"/>
    </row>
    <row r="1041" spans="1:20">
      <c r="A1041" s="5" t="s">
        <v>113</v>
      </c>
      <c r="B1041" s="5" t="s">
        <v>14368</v>
      </c>
      <c r="C1041" s="4">
        <v>45707</v>
      </c>
      <c r="D1041" s="4">
        <v>45707</v>
      </c>
      <c r="E1041" s="5" t="s">
        <v>16455</v>
      </c>
      <c r="F1041" s="5" t="s">
        <v>18444</v>
      </c>
      <c r="G1041" s="5" t="s">
        <v>849</v>
      </c>
      <c r="H1041" s="5">
        <v>1</v>
      </c>
      <c r="I1041" s="8" t="s">
        <v>8185</v>
      </c>
      <c r="J1041" s="8" t="s">
        <v>10234</v>
      </c>
      <c r="K1041" s="8" t="s">
        <v>2031</v>
      </c>
      <c r="L1041" s="8" t="s">
        <v>12285</v>
      </c>
      <c r="M1041" s="8" t="s">
        <v>4081</v>
      </c>
      <c r="N1041" s="8" t="s">
        <v>6132</v>
      </c>
      <c r="O1041" s="5" t="s">
        <v>116</v>
      </c>
      <c r="P1041" s="4">
        <v>45731</v>
      </c>
      <c r="Q1041" s="15">
        <v>65.989999999999995</v>
      </c>
      <c r="R1041" s="15">
        <v>14.35</v>
      </c>
      <c r="S1041" s="15">
        <v>0</v>
      </c>
      <c r="T1041"/>
    </row>
    <row r="1042" spans="1:20">
      <c r="A1042" s="5" t="s">
        <v>36</v>
      </c>
      <c r="B1042" s="5" t="s">
        <v>14369</v>
      </c>
      <c r="C1042" s="4">
        <v>45708</v>
      </c>
      <c r="D1042" s="4">
        <v>45708</v>
      </c>
      <c r="E1042" s="5" t="s">
        <v>16456</v>
      </c>
      <c r="F1042" s="5" t="s">
        <v>18445</v>
      </c>
      <c r="G1042" s="5" t="s">
        <v>831</v>
      </c>
      <c r="H1042" s="5">
        <v>1</v>
      </c>
      <c r="I1042" s="8" t="s">
        <v>8186</v>
      </c>
      <c r="J1042" s="8" t="s">
        <v>10235</v>
      </c>
      <c r="K1042" s="8" t="s">
        <v>2032</v>
      </c>
      <c r="L1042" s="8" t="s">
        <v>12286</v>
      </c>
      <c r="M1042" s="8" t="s">
        <v>4082</v>
      </c>
      <c r="N1042" s="8" t="s">
        <v>6133</v>
      </c>
      <c r="O1042" s="5" t="s">
        <v>41</v>
      </c>
      <c r="P1042" s="4">
        <v>45738</v>
      </c>
      <c r="Q1042" s="15">
        <v>65.989999999999995</v>
      </c>
      <c r="R1042" s="15">
        <v>13.47</v>
      </c>
      <c r="S1042" s="15">
        <v>0</v>
      </c>
      <c r="T1042"/>
    </row>
    <row r="1043" spans="1:20">
      <c r="A1043" s="5" t="s">
        <v>113</v>
      </c>
      <c r="B1043" s="5" t="s">
        <v>14370</v>
      </c>
      <c r="C1043" s="4">
        <v>45708</v>
      </c>
      <c r="D1043" s="4">
        <v>45710</v>
      </c>
      <c r="E1043" s="5" t="s">
        <v>16457</v>
      </c>
      <c r="F1043" s="5" t="s">
        <v>18446</v>
      </c>
      <c r="G1043" s="5" t="s">
        <v>849</v>
      </c>
      <c r="H1043" s="5">
        <v>1</v>
      </c>
      <c r="I1043" s="8" t="s">
        <v>8187</v>
      </c>
      <c r="J1043" s="8" t="s">
        <v>10236</v>
      </c>
      <c r="K1043" s="8" t="s">
        <v>2033</v>
      </c>
      <c r="L1043" s="8" t="s">
        <v>12287</v>
      </c>
      <c r="M1043" s="8" t="s">
        <v>4083</v>
      </c>
      <c r="N1043" s="8" t="s">
        <v>6134</v>
      </c>
      <c r="O1043" s="5" t="s">
        <v>116</v>
      </c>
      <c r="P1043" s="4">
        <v>45734</v>
      </c>
      <c r="Q1043" s="15">
        <v>65.989999999999995</v>
      </c>
      <c r="R1043" s="15">
        <v>16.05</v>
      </c>
      <c r="S1043" s="15">
        <v>0</v>
      </c>
      <c r="T1043"/>
    </row>
    <row r="1044" spans="1:20">
      <c r="A1044" s="5" t="s">
        <v>36</v>
      </c>
      <c r="B1044" s="5" t="s">
        <v>14371</v>
      </c>
      <c r="C1044" s="4">
        <v>45708</v>
      </c>
      <c r="D1044" s="4">
        <v>45710</v>
      </c>
      <c r="E1044" s="5" t="s">
        <v>16458</v>
      </c>
      <c r="F1044" s="5" t="s">
        <v>18447</v>
      </c>
      <c r="G1044" s="5" t="s">
        <v>836</v>
      </c>
      <c r="H1044" s="5">
        <v>1</v>
      </c>
      <c r="I1044" s="8" t="s">
        <v>8188</v>
      </c>
      <c r="J1044" s="8" t="s">
        <v>10237</v>
      </c>
      <c r="K1044" s="8" t="s">
        <v>2034</v>
      </c>
      <c r="L1044" s="8" t="s">
        <v>12288</v>
      </c>
      <c r="M1044" s="8" t="s">
        <v>4084</v>
      </c>
      <c r="N1044" s="8" t="s">
        <v>6135</v>
      </c>
      <c r="O1044" s="5" t="s">
        <v>55</v>
      </c>
      <c r="P1044" s="4">
        <v>45728</v>
      </c>
      <c r="Q1044" s="15">
        <v>23.5</v>
      </c>
      <c r="R1044" s="15">
        <v>6.99</v>
      </c>
      <c r="S1044" s="15">
        <v>0</v>
      </c>
      <c r="T1044"/>
    </row>
    <row r="1045" spans="1:20">
      <c r="A1045" s="5" t="s">
        <v>36</v>
      </c>
      <c r="B1045" s="5" t="s">
        <v>14372</v>
      </c>
      <c r="C1045" s="4">
        <v>45708</v>
      </c>
      <c r="D1045" s="4">
        <v>45710</v>
      </c>
      <c r="E1045" s="5" t="s">
        <v>16459</v>
      </c>
      <c r="F1045" s="5" t="s">
        <v>18448</v>
      </c>
      <c r="G1045" s="5" t="s">
        <v>831</v>
      </c>
      <c r="H1045" s="5">
        <v>1</v>
      </c>
      <c r="I1045" s="8" t="s">
        <v>8189</v>
      </c>
      <c r="J1045" s="8" t="s">
        <v>10238</v>
      </c>
      <c r="K1045" s="8" t="s">
        <v>2035</v>
      </c>
      <c r="L1045" s="8" t="s">
        <v>12289</v>
      </c>
      <c r="M1045" s="8" t="s">
        <v>4085</v>
      </c>
      <c r="N1045" s="8" t="s">
        <v>6136</v>
      </c>
      <c r="O1045" s="5" t="s">
        <v>41</v>
      </c>
      <c r="P1045" s="4">
        <v>45734</v>
      </c>
      <c r="Q1045" s="15">
        <v>65.989999999999995</v>
      </c>
      <c r="R1045" s="15">
        <v>15.28</v>
      </c>
      <c r="S1045" s="15">
        <v>0</v>
      </c>
      <c r="T1045"/>
    </row>
    <row r="1046" spans="1:20">
      <c r="A1046" s="5" t="s">
        <v>36</v>
      </c>
      <c r="B1046" s="5" t="s">
        <v>14373</v>
      </c>
      <c r="C1046" s="4">
        <v>45709</v>
      </c>
      <c r="D1046" s="4">
        <v>45710</v>
      </c>
      <c r="E1046" s="5" t="s">
        <v>16460</v>
      </c>
      <c r="F1046" s="5" t="s">
        <v>18449</v>
      </c>
      <c r="G1046" s="5" t="s">
        <v>872</v>
      </c>
      <c r="H1046" s="5">
        <v>1</v>
      </c>
      <c r="I1046" s="8" t="s">
        <v>8190</v>
      </c>
      <c r="J1046" s="8" t="s">
        <v>10239</v>
      </c>
      <c r="K1046" s="8" t="s">
        <v>2036</v>
      </c>
      <c r="L1046" s="8" t="s">
        <v>12290</v>
      </c>
      <c r="M1046" s="8" t="s">
        <v>4086</v>
      </c>
      <c r="N1046" s="8" t="s">
        <v>6137</v>
      </c>
      <c r="O1046" s="5" t="s">
        <v>98</v>
      </c>
      <c r="P1046" s="4">
        <v>45741</v>
      </c>
      <c r="Q1046" s="15">
        <v>25.99</v>
      </c>
      <c r="R1046" s="15">
        <v>12.05</v>
      </c>
      <c r="S1046" s="15">
        <v>0</v>
      </c>
      <c r="T1046"/>
    </row>
    <row r="1047" spans="1:20">
      <c r="A1047" s="5" t="s">
        <v>36</v>
      </c>
      <c r="B1047" s="5" t="s">
        <v>14374</v>
      </c>
      <c r="C1047" s="4">
        <v>45709</v>
      </c>
      <c r="D1047" s="4">
        <v>45710</v>
      </c>
      <c r="E1047" s="5" t="s">
        <v>16461</v>
      </c>
      <c r="F1047" s="5" t="s">
        <v>18450</v>
      </c>
      <c r="G1047" s="5" t="s">
        <v>836</v>
      </c>
      <c r="H1047" s="5">
        <v>1</v>
      </c>
      <c r="I1047" s="8" t="s">
        <v>8191</v>
      </c>
      <c r="J1047" s="8" t="s">
        <v>10240</v>
      </c>
      <c r="K1047" s="8" t="s">
        <v>2037</v>
      </c>
      <c r="L1047" s="8" t="s">
        <v>12291</v>
      </c>
      <c r="M1047" s="8" t="s">
        <v>4087</v>
      </c>
      <c r="N1047" s="8" t="s">
        <v>6138</v>
      </c>
      <c r="O1047" s="5" t="s">
        <v>55</v>
      </c>
      <c r="P1047" s="4">
        <v>45729</v>
      </c>
      <c r="Q1047" s="15">
        <v>23.5</v>
      </c>
      <c r="R1047" s="15">
        <v>6.99</v>
      </c>
      <c r="S1047" s="15">
        <v>0</v>
      </c>
      <c r="T1047"/>
    </row>
    <row r="1048" spans="1:20">
      <c r="A1048" s="5" t="s">
        <v>36</v>
      </c>
      <c r="B1048" s="5" t="s">
        <v>14375</v>
      </c>
      <c r="C1048" s="4">
        <v>45709</v>
      </c>
      <c r="D1048" s="4">
        <v>45710</v>
      </c>
      <c r="E1048" s="5" t="s">
        <v>16462</v>
      </c>
      <c r="F1048" s="5" t="s">
        <v>18451</v>
      </c>
      <c r="G1048" s="5" t="s">
        <v>858</v>
      </c>
      <c r="H1048" s="5">
        <v>1</v>
      </c>
      <c r="I1048" s="8" t="s">
        <v>8192</v>
      </c>
      <c r="J1048" s="8" t="s">
        <v>10241</v>
      </c>
      <c r="K1048" s="8" t="s">
        <v>2038</v>
      </c>
      <c r="L1048" s="8" t="s">
        <v>12292</v>
      </c>
      <c r="M1048" s="8" t="s">
        <v>4088</v>
      </c>
      <c r="N1048" s="8" t="s">
        <v>6139</v>
      </c>
      <c r="O1048" s="5" t="s">
        <v>118</v>
      </c>
      <c r="P1048" s="4">
        <v>45727</v>
      </c>
      <c r="Q1048" s="15">
        <v>26.99</v>
      </c>
      <c r="R1048" s="15">
        <v>10.5</v>
      </c>
      <c r="S1048" s="15">
        <v>0</v>
      </c>
      <c r="T1048"/>
    </row>
    <row r="1049" spans="1:20">
      <c r="A1049" s="5" t="s">
        <v>36</v>
      </c>
      <c r="B1049" s="5" t="s">
        <v>14376</v>
      </c>
      <c r="C1049" s="4">
        <v>45709</v>
      </c>
      <c r="D1049" s="4">
        <v>45710</v>
      </c>
      <c r="E1049" s="5" t="s">
        <v>16463</v>
      </c>
      <c r="F1049" s="5" t="s">
        <v>18452</v>
      </c>
      <c r="G1049" s="5" t="s">
        <v>836</v>
      </c>
      <c r="H1049" s="5">
        <v>1</v>
      </c>
      <c r="I1049" s="8" t="s">
        <v>8193</v>
      </c>
      <c r="J1049" s="8" t="s">
        <v>10242</v>
      </c>
      <c r="K1049" s="8" t="s">
        <v>2039</v>
      </c>
      <c r="L1049" s="8" t="s">
        <v>12293</v>
      </c>
      <c r="M1049" s="8" t="s">
        <v>4089</v>
      </c>
      <c r="N1049" s="8" t="s">
        <v>6140</v>
      </c>
      <c r="O1049" s="5" t="s">
        <v>55</v>
      </c>
      <c r="P1049" s="4">
        <v>45735</v>
      </c>
      <c r="Q1049" s="15">
        <v>23.5</v>
      </c>
      <c r="R1049" s="15">
        <v>29.01</v>
      </c>
      <c r="S1049" s="15">
        <v>0</v>
      </c>
      <c r="T1049"/>
    </row>
    <row r="1050" spans="1:20">
      <c r="A1050" s="5" t="s">
        <v>108</v>
      </c>
      <c r="B1050" s="5" t="s">
        <v>14377</v>
      </c>
      <c r="C1050" s="4">
        <v>45709</v>
      </c>
      <c r="D1050" s="4">
        <v>45710</v>
      </c>
      <c r="E1050" s="5" t="s">
        <v>16464</v>
      </c>
      <c r="F1050" s="5" t="s">
        <v>18453</v>
      </c>
      <c r="G1050" s="5" t="s">
        <v>879</v>
      </c>
      <c r="H1050" s="5">
        <v>1</v>
      </c>
      <c r="I1050" s="8" t="s">
        <v>8194</v>
      </c>
      <c r="J1050" s="8" t="s">
        <v>10243</v>
      </c>
      <c r="K1050" s="8" t="s">
        <v>2040</v>
      </c>
      <c r="L1050" s="8" t="s">
        <v>12294</v>
      </c>
      <c r="M1050" s="8" t="s">
        <v>4090</v>
      </c>
      <c r="N1050" s="8" t="s">
        <v>6141</v>
      </c>
      <c r="O1050" s="5" t="s">
        <v>119</v>
      </c>
      <c r="P1050" s="4">
        <v>45741</v>
      </c>
      <c r="Q1050" s="15">
        <v>51.99</v>
      </c>
      <c r="R1050" s="15">
        <v>21.75</v>
      </c>
      <c r="S1050" s="15">
        <v>0</v>
      </c>
      <c r="T1050"/>
    </row>
    <row r="1051" spans="1:20">
      <c r="A1051" s="5" t="s">
        <v>36</v>
      </c>
      <c r="B1051" s="5" t="s">
        <v>14378</v>
      </c>
      <c r="C1051" s="4">
        <v>45710</v>
      </c>
      <c r="D1051" s="4">
        <v>45712</v>
      </c>
      <c r="E1051" s="5" t="s">
        <v>16465</v>
      </c>
      <c r="F1051" s="5" t="s">
        <v>18454</v>
      </c>
      <c r="G1051" s="5" t="s">
        <v>833</v>
      </c>
      <c r="H1051" s="5">
        <v>1</v>
      </c>
      <c r="I1051" s="8" t="s">
        <v>8195</v>
      </c>
      <c r="J1051" s="8" t="s">
        <v>10244</v>
      </c>
      <c r="K1051" s="8" t="s">
        <v>2041</v>
      </c>
      <c r="L1051" s="8" t="s">
        <v>12295</v>
      </c>
      <c r="M1051" s="8" t="s">
        <v>4091</v>
      </c>
      <c r="N1051" s="8" t="s">
        <v>6142</v>
      </c>
      <c r="O1051" s="5" t="s">
        <v>49</v>
      </c>
      <c r="P1051" s="4">
        <v>45729</v>
      </c>
      <c r="Q1051" s="15">
        <v>23.9</v>
      </c>
      <c r="R1051" s="15">
        <v>6.99</v>
      </c>
      <c r="S1051" s="15">
        <v>0</v>
      </c>
      <c r="T1051"/>
    </row>
    <row r="1052" spans="1:20">
      <c r="A1052" s="5" t="s">
        <v>36</v>
      </c>
      <c r="B1052" s="5" t="s">
        <v>14379</v>
      </c>
      <c r="C1052" s="4">
        <v>45711</v>
      </c>
      <c r="D1052" s="4">
        <v>45712</v>
      </c>
      <c r="E1052" s="5" t="s">
        <v>16466</v>
      </c>
      <c r="F1052" s="5" t="s">
        <v>18455</v>
      </c>
      <c r="G1052" s="5" t="s">
        <v>824</v>
      </c>
      <c r="H1052" s="5">
        <v>1</v>
      </c>
      <c r="I1052" s="8" t="s">
        <v>8196</v>
      </c>
      <c r="J1052" s="8" t="s">
        <v>10245</v>
      </c>
      <c r="K1052" s="8" t="s">
        <v>2042</v>
      </c>
      <c r="L1052" s="8" t="s">
        <v>12296</v>
      </c>
      <c r="M1052" s="8" t="s">
        <v>4092</v>
      </c>
      <c r="N1052" s="8" t="s">
        <v>6143</v>
      </c>
      <c r="O1052" s="5" t="s">
        <v>38</v>
      </c>
      <c r="P1052" s="4">
        <v>45735</v>
      </c>
      <c r="Q1052" s="15">
        <v>24.99</v>
      </c>
      <c r="R1052" s="15">
        <v>0</v>
      </c>
      <c r="S1052" s="15">
        <v>0</v>
      </c>
      <c r="T1052"/>
    </row>
    <row r="1053" spans="1:20">
      <c r="A1053" s="5" t="s">
        <v>36</v>
      </c>
      <c r="B1053" s="5" t="s">
        <v>14380</v>
      </c>
      <c r="C1053" s="4">
        <v>45711</v>
      </c>
      <c r="D1053" s="4">
        <v>45712</v>
      </c>
      <c r="E1053" s="5" t="s">
        <v>16467</v>
      </c>
      <c r="F1053" s="5" t="s">
        <v>18456</v>
      </c>
      <c r="G1053" s="5" t="s">
        <v>836</v>
      </c>
      <c r="H1053" s="5">
        <v>1</v>
      </c>
      <c r="I1053" s="8" t="s">
        <v>8197</v>
      </c>
      <c r="J1053" s="8" t="s">
        <v>10246</v>
      </c>
      <c r="K1053" s="8" t="s">
        <v>2043</v>
      </c>
      <c r="L1053" s="8" t="s">
        <v>12297</v>
      </c>
      <c r="M1053" s="8" t="s">
        <v>4093</v>
      </c>
      <c r="N1053" s="8" t="s">
        <v>6144</v>
      </c>
      <c r="O1053" s="5" t="s">
        <v>55</v>
      </c>
      <c r="P1053" s="4">
        <v>45735</v>
      </c>
      <c r="Q1053" s="15">
        <v>23.5</v>
      </c>
      <c r="R1053" s="15">
        <v>15.8</v>
      </c>
      <c r="S1053" s="15">
        <v>0</v>
      </c>
      <c r="T1053"/>
    </row>
    <row r="1054" spans="1:20">
      <c r="A1054" s="5" t="s">
        <v>36</v>
      </c>
      <c r="B1054" s="5" t="s">
        <v>14381</v>
      </c>
      <c r="C1054" s="4">
        <v>45711</v>
      </c>
      <c r="D1054" s="4">
        <v>45716</v>
      </c>
      <c r="E1054" s="5" t="s">
        <v>16468</v>
      </c>
      <c r="F1054" s="5" t="s">
        <v>18457</v>
      </c>
      <c r="G1054" s="5" t="s">
        <v>866</v>
      </c>
      <c r="H1054" s="5">
        <v>1</v>
      </c>
      <c r="I1054" s="8" t="s">
        <v>8198</v>
      </c>
      <c r="J1054" s="8" t="s">
        <v>10247</v>
      </c>
      <c r="K1054" s="8" t="s">
        <v>2044</v>
      </c>
      <c r="L1054" s="8" t="s">
        <v>12298</v>
      </c>
      <c r="M1054" s="8" t="s">
        <v>4094</v>
      </c>
      <c r="N1054" s="8" t="s">
        <v>6145</v>
      </c>
      <c r="O1054" s="5" t="s">
        <v>82</v>
      </c>
      <c r="P1054" s="4">
        <v>45748</v>
      </c>
      <c r="Q1054" s="15">
        <v>65.989999999999995</v>
      </c>
      <c r="R1054" s="15">
        <v>36.869999999999997</v>
      </c>
      <c r="S1054" s="15">
        <v>0</v>
      </c>
      <c r="T1054"/>
    </row>
    <row r="1055" spans="1:20">
      <c r="A1055" s="5" t="s">
        <v>36</v>
      </c>
      <c r="B1055" s="5" t="s">
        <v>14382</v>
      </c>
      <c r="C1055" s="4">
        <v>45712</v>
      </c>
      <c r="D1055" s="4">
        <v>45712</v>
      </c>
      <c r="E1055" s="5" t="s">
        <v>16469</v>
      </c>
      <c r="F1055" s="5" t="s">
        <v>18458</v>
      </c>
      <c r="G1055" s="5" t="s">
        <v>833</v>
      </c>
      <c r="H1055" s="5">
        <v>1</v>
      </c>
      <c r="I1055" s="8" t="s">
        <v>8199</v>
      </c>
      <c r="J1055" s="8" t="s">
        <v>10248</v>
      </c>
      <c r="K1055" s="8" t="s">
        <v>2045</v>
      </c>
      <c r="L1055" s="8" t="s">
        <v>12299</v>
      </c>
      <c r="M1055" s="8" t="s">
        <v>4095</v>
      </c>
      <c r="N1055" s="8" t="s">
        <v>6146</v>
      </c>
      <c r="O1055" s="5" t="s">
        <v>49</v>
      </c>
      <c r="P1055" s="4">
        <v>45729</v>
      </c>
      <c r="Q1055" s="15">
        <v>23.9</v>
      </c>
      <c r="R1055" s="15">
        <v>6.99</v>
      </c>
      <c r="S1055" s="15">
        <v>0</v>
      </c>
      <c r="T1055"/>
    </row>
    <row r="1056" spans="1:20">
      <c r="A1056" s="5" t="s">
        <v>36</v>
      </c>
      <c r="B1056" s="5" t="s">
        <v>14383</v>
      </c>
      <c r="C1056" s="4">
        <v>45712</v>
      </c>
      <c r="D1056" s="4">
        <v>45712</v>
      </c>
      <c r="E1056" s="5" t="s">
        <v>16470</v>
      </c>
      <c r="F1056" s="5" t="s">
        <v>18459</v>
      </c>
      <c r="G1056" s="5" t="s">
        <v>833</v>
      </c>
      <c r="H1056" s="5">
        <v>1</v>
      </c>
      <c r="I1056" s="8" t="s">
        <v>8200</v>
      </c>
      <c r="J1056" s="8" t="s">
        <v>10249</v>
      </c>
      <c r="K1056" s="8" t="s">
        <v>2046</v>
      </c>
      <c r="L1056" s="8" t="s">
        <v>12300</v>
      </c>
      <c r="M1056" s="8" t="s">
        <v>4096</v>
      </c>
      <c r="N1056" s="8" t="s">
        <v>6147</v>
      </c>
      <c r="O1056" s="5" t="s">
        <v>49</v>
      </c>
      <c r="P1056" s="4">
        <v>45742</v>
      </c>
      <c r="Q1056" s="15">
        <v>23.9</v>
      </c>
      <c r="R1056" s="15">
        <v>16.989999999999998</v>
      </c>
      <c r="S1056" s="15">
        <v>0</v>
      </c>
      <c r="T1056"/>
    </row>
    <row r="1057" spans="1:20">
      <c r="A1057" s="5" t="s">
        <v>36</v>
      </c>
      <c r="B1057" s="5" t="s">
        <v>14384</v>
      </c>
      <c r="C1057" s="4">
        <v>45712</v>
      </c>
      <c r="D1057" s="4">
        <v>45712</v>
      </c>
      <c r="E1057" s="5" t="s">
        <v>16471</v>
      </c>
      <c r="F1057" s="5" t="s">
        <v>18460</v>
      </c>
      <c r="G1057" s="5" t="s">
        <v>833</v>
      </c>
      <c r="H1057" s="5">
        <v>1</v>
      </c>
      <c r="I1057" s="8" t="s">
        <v>8201</v>
      </c>
      <c r="J1057" s="8" t="s">
        <v>10250</v>
      </c>
      <c r="K1057" s="8" t="s">
        <v>2047</v>
      </c>
      <c r="L1057" s="8" t="s">
        <v>12301</v>
      </c>
      <c r="M1057" s="8" t="s">
        <v>4097</v>
      </c>
      <c r="N1057" s="8" t="s">
        <v>6148</v>
      </c>
      <c r="O1057" s="5" t="s">
        <v>49</v>
      </c>
      <c r="P1057" s="4">
        <v>45730</v>
      </c>
      <c r="Q1057" s="15">
        <v>23.9</v>
      </c>
      <c r="R1057" s="15">
        <v>13.63</v>
      </c>
      <c r="S1057" s="15">
        <v>0</v>
      </c>
      <c r="T1057"/>
    </row>
    <row r="1058" spans="1:20">
      <c r="A1058" s="5" t="s">
        <v>36</v>
      </c>
      <c r="B1058" s="5" t="s">
        <v>14385</v>
      </c>
      <c r="C1058" s="4">
        <v>45712</v>
      </c>
      <c r="D1058" s="4">
        <v>45712</v>
      </c>
      <c r="E1058" s="5" t="s">
        <v>16472</v>
      </c>
      <c r="F1058" s="5" t="s">
        <v>18461</v>
      </c>
      <c r="G1058" s="5" t="s">
        <v>831</v>
      </c>
      <c r="H1058" s="5">
        <v>1</v>
      </c>
      <c r="I1058" s="8" t="s">
        <v>8202</v>
      </c>
      <c r="J1058" s="8" t="s">
        <v>10251</v>
      </c>
      <c r="K1058" s="8" t="s">
        <v>2048</v>
      </c>
      <c r="L1058" s="8" t="s">
        <v>12302</v>
      </c>
      <c r="M1058" s="8" t="s">
        <v>4098</v>
      </c>
      <c r="N1058" s="8" t="s">
        <v>6149</v>
      </c>
      <c r="O1058" s="5" t="s">
        <v>41</v>
      </c>
      <c r="P1058" s="4">
        <v>45736</v>
      </c>
      <c r="Q1058" s="15">
        <v>65.989999999999995</v>
      </c>
      <c r="R1058" s="15">
        <v>14.53</v>
      </c>
      <c r="S1058" s="15">
        <v>0</v>
      </c>
      <c r="T1058"/>
    </row>
    <row r="1059" spans="1:20">
      <c r="A1059" s="5" t="s">
        <v>113</v>
      </c>
      <c r="B1059" s="5" t="s">
        <v>14386</v>
      </c>
      <c r="C1059" s="4">
        <v>45710</v>
      </c>
      <c r="D1059" s="4">
        <v>45712</v>
      </c>
      <c r="E1059" s="5" t="s">
        <v>16473</v>
      </c>
      <c r="F1059" s="5" t="s">
        <v>18462</v>
      </c>
      <c r="G1059" s="5" t="s">
        <v>849</v>
      </c>
      <c r="H1059" s="5">
        <v>1</v>
      </c>
      <c r="I1059" s="8" t="s">
        <v>7600</v>
      </c>
      <c r="J1059" s="8" t="s">
        <v>9649</v>
      </c>
      <c r="K1059" s="8" t="s">
        <v>1446</v>
      </c>
      <c r="L1059" s="8" t="s">
        <v>11700</v>
      </c>
      <c r="M1059" s="8" t="s">
        <v>3496</v>
      </c>
      <c r="N1059" s="8" t="s">
        <v>5547</v>
      </c>
      <c r="O1059" s="5" t="s">
        <v>116</v>
      </c>
      <c r="P1059" s="4">
        <v>45735</v>
      </c>
      <c r="Q1059" s="15">
        <v>65.75</v>
      </c>
      <c r="R1059" s="15">
        <v>12.08</v>
      </c>
      <c r="S1059" s="15">
        <v>0</v>
      </c>
      <c r="T1059"/>
    </row>
    <row r="1060" spans="1:20">
      <c r="A1060" s="5" t="s">
        <v>113</v>
      </c>
      <c r="B1060" s="5" t="s">
        <v>14387</v>
      </c>
      <c r="C1060" s="4">
        <v>45710</v>
      </c>
      <c r="D1060" s="4">
        <v>45712</v>
      </c>
      <c r="E1060" s="5" t="s">
        <v>16474</v>
      </c>
      <c r="F1060" s="5" t="s">
        <v>18463</v>
      </c>
      <c r="G1060" s="5" t="s">
        <v>849</v>
      </c>
      <c r="H1060" s="5">
        <v>1</v>
      </c>
      <c r="I1060" s="8" t="s">
        <v>8203</v>
      </c>
      <c r="J1060" s="8" t="s">
        <v>10252</v>
      </c>
      <c r="K1060" s="8" t="s">
        <v>2049</v>
      </c>
      <c r="L1060" s="8" t="s">
        <v>12303</v>
      </c>
      <c r="M1060" s="8" t="s">
        <v>4099</v>
      </c>
      <c r="N1060" s="8" t="s">
        <v>6150</v>
      </c>
      <c r="O1060" s="5" t="s">
        <v>116</v>
      </c>
      <c r="P1060" s="4">
        <v>45735</v>
      </c>
      <c r="Q1060" s="15">
        <v>65.75</v>
      </c>
      <c r="R1060" s="15">
        <v>12.08</v>
      </c>
      <c r="S1060" s="15">
        <v>0</v>
      </c>
      <c r="T1060"/>
    </row>
    <row r="1061" spans="1:20">
      <c r="A1061" s="5" t="s">
        <v>113</v>
      </c>
      <c r="B1061" s="5" t="s">
        <v>14388</v>
      </c>
      <c r="C1061" s="4">
        <v>45710</v>
      </c>
      <c r="D1061" s="4">
        <v>45712</v>
      </c>
      <c r="E1061" s="5" t="s">
        <v>16475</v>
      </c>
      <c r="F1061" s="5" t="s">
        <v>18464</v>
      </c>
      <c r="G1061" s="5" t="s">
        <v>849</v>
      </c>
      <c r="H1061" s="5">
        <v>1</v>
      </c>
      <c r="I1061" s="8" t="s">
        <v>8204</v>
      </c>
      <c r="J1061" s="8" t="s">
        <v>10253</v>
      </c>
      <c r="K1061" s="8" t="s">
        <v>2050</v>
      </c>
      <c r="L1061" s="8" t="s">
        <v>12304</v>
      </c>
      <c r="M1061" s="8" t="s">
        <v>4100</v>
      </c>
      <c r="N1061" s="8" t="s">
        <v>6151</v>
      </c>
      <c r="O1061" s="5" t="s">
        <v>116</v>
      </c>
      <c r="P1061" s="4">
        <v>45735</v>
      </c>
      <c r="Q1061" s="15">
        <v>65.75</v>
      </c>
      <c r="R1061" s="15">
        <v>12.08</v>
      </c>
      <c r="S1061" s="15">
        <v>0</v>
      </c>
      <c r="T1061"/>
    </row>
    <row r="1062" spans="1:20">
      <c r="A1062" s="5" t="s">
        <v>113</v>
      </c>
      <c r="B1062" s="5" t="s">
        <v>14389</v>
      </c>
      <c r="C1062" s="4">
        <v>45712</v>
      </c>
      <c r="D1062" s="4">
        <v>45712</v>
      </c>
      <c r="E1062" s="5" t="s">
        <v>16476</v>
      </c>
      <c r="F1062" s="5" t="s">
        <v>18465</v>
      </c>
      <c r="G1062" s="5" t="s">
        <v>849</v>
      </c>
      <c r="H1062" s="5">
        <v>1</v>
      </c>
      <c r="I1062" s="8" t="s">
        <v>8205</v>
      </c>
      <c r="J1062" s="8" t="s">
        <v>10254</v>
      </c>
      <c r="K1062" s="8" t="s">
        <v>2051</v>
      </c>
      <c r="L1062" s="8" t="s">
        <v>12305</v>
      </c>
      <c r="M1062" s="8" t="s">
        <v>4101</v>
      </c>
      <c r="N1062" s="8" t="s">
        <v>6152</v>
      </c>
      <c r="O1062" s="5" t="s">
        <v>116</v>
      </c>
      <c r="P1062" s="4">
        <v>45741</v>
      </c>
      <c r="Q1062" s="15">
        <v>65.75</v>
      </c>
      <c r="R1062" s="15">
        <v>12.08</v>
      </c>
      <c r="S1062" s="15">
        <v>0</v>
      </c>
      <c r="T1062"/>
    </row>
    <row r="1063" spans="1:20">
      <c r="A1063" s="5" t="s">
        <v>113</v>
      </c>
      <c r="B1063" s="5" t="s">
        <v>14390</v>
      </c>
      <c r="C1063" s="4">
        <v>45712</v>
      </c>
      <c r="D1063" s="4">
        <v>45712</v>
      </c>
      <c r="E1063" s="5" t="s">
        <v>16477</v>
      </c>
      <c r="F1063" s="5" t="s">
        <v>18466</v>
      </c>
      <c r="G1063" s="5" t="s">
        <v>849</v>
      </c>
      <c r="H1063" s="5">
        <v>1</v>
      </c>
      <c r="I1063" s="8" t="s">
        <v>8206</v>
      </c>
      <c r="J1063" s="8" t="s">
        <v>10255</v>
      </c>
      <c r="K1063" s="8" t="s">
        <v>2052</v>
      </c>
      <c r="L1063" s="8" t="s">
        <v>12306</v>
      </c>
      <c r="M1063" s="8" t="s">
        <v>4102</v>
      </c>
      <c r="N1063" s="8" t="s">
        <v>6153</v>
      </c>
      <c r="O1063" s="5" t="s">
        <v>116</v>
      </c>
      <c r="P1063" s="4">
        <v>45736</v>
      </c>
      <c r="Q1063" s="15">
        <v>65.75</v>
      </c>
      <c r="R1063" s="15">
        <v>12.08</v>
      </c>
      <c r="S1063" s="15">
        <v>0</v>
      </c>
      <c r="T1063"/>
    </row>
    <row r="1064" spans="1:20">
      <c r="A1064" s="5" t="s">
        <v>113</v>
      </c>
      <c r="B1064" s="5" t="s">
        <v>14391</v>
      </c>
      <c r="C1064" s="4">
        <v>45712</v>
      </c>
      <c r="D1064" s="4">
        <v>45712</v>
      </c>
      <c r="E1064" s="5" t="s">
        <v>16478</v>
      </c>
      <c r="F1064" s="5" t="s">
        <v>18467</v>
      </c>
      <c r="G1064" s="5" t="s">
        <v>849</v>
      </c>
      <c r="H1064" s="5">
        <v>1</v>
      </c>
      <c r="I1064" s="8" t="s">
        <v>8207</v>
      </c>
      <c r="J1064" s="8" t="s">
        <v>10256</v>
      </c>
      <c r="K1064" s="8" t="s">
        <v>2053</v>
      </c>
      <c r="L1064" s="8" t="s">
        <v>12307</v>
      </c>
      <c r="M1064" s="8" t="s">
        <v>4103</v>
      </c>
      <c r="N1064" s="8" t="s">
        <v>6154</v>
      </c>
      <c r="O1064" s="5" t="s">
        <v>116</v>
      </c>
      <c r="P1064" s="4">
        <v>45736</v>
      </c>
      <c r="Q1064" s="15">
        <v>65.75</v>
      </c>
      <c r="R1064" s="15">
        <v>12.08</v>
      </c>
      <c r="S1064" s="15">
        <v>0</v>
      </c>
      <c r="T1064"/>
    </row>
    <row r="1065" spans="1:20">
      <c r="A1065" s="5" t="s">
        <v>113</v>
      </c>
      <c r="B1065" s="5" t="s">
        <v>14392</v>
      </c>
      <c r="C1065" s="4">
        <v>45712</v>
      </c>
      <c r="D1065" s="4">
        <v>45712</v>
      </c>
      <c r="E1065" s="5" t="s">
        <v>16479</v>
      </c>
      <c r="F1065" s="5" t="s">
        <v>18468</v>
      </c>
      <c r="G1065" s="5" t="s">
        <v>849</v>
      </c>
      <c r="H1065" s="5">
        <v>1</v>
      </c>
      <c r="I1065" s="8" t="s">
        <v>8208</v>
      </c>
      <c r="J1065" s="8" t="s">
        <v>10257</v>
      </c>
      <c r="K1065" s="8" t="s">
        <v>2054</v>
      </c>
      <c r="L1065" s="8" t="s">
        <v>12308</v>
      </c>
      <c r="M1065" s="8" t="s">
        <v>4104</v>
      </c>
      <c r="N1065" s="8" t="s">
        <v>6155</v>
      </c>
      <c r="O1065" s="5" t="s">
        <v>116</v>
      </c>
      <c r="P1065" s="4">
        <v>45736</v>
      </c>
      <c r="Q1065" s="15">
        <v>65.75</v>
      </c>
      <c r="R1065" s="15">
        <v>12.08</v>
      </c>
      <c r="S1065" s="15">
        <v>0</v>
      </c>
      <c r="T1065"/>
    </row>
    <row r="1066" spans="1:20">
      <c r="A1066" s="5" t="s">
        <v>36</v>
      </c>
      <c r="B1066" s="5" t="s">
        <v>14393</v>
      </c>
      <c r="C1066" s="4">
        <v>45713</v>
      </c>
      <c r="D1066" s="4">
        <v>45715</v>
      </c>
      <c r="E1066" s="5" t="s">
        <v>16480</v>
      </c>
      <c r="F1066" s="5" t="s">
        <v>18469</v>
      </c>
      <c r="G1066" s="5" t="s">
        <v>836</v>
      </c>
      <c r="H1066" s="5">
        <v>1</v>
      </c>
      <c r="I1066" s="8" t="s">
        <v>8209</v>
      </c>
      <c r="J1066" s="8" t="s">
        <v>10258</v>
      </c>
      <c r="K1066" s="8" t="s">
        <v>2055</v>
      </c>
      <c r="L1066" s="8" t="s">
        <v>12309</v>
      </c>
      <c r="M1066" s="8" t="s">
        <v>4105</v>
      </c>
      <c r="N1066" s="8" t="s">
        <v>6156</v>
      </c>
      <c r="O1066" s="5" t="s">
        <v>55</v>
      </c>
      <c r="P1066" s="4">
        <v>45736</v>
      </c>
      <c r="Q1066" s="15">
        <v>23.5</v>
      </c>
      <c r="R1066" s="15">
        <v>13.8</v>
      </c>
      <c r="S1066" s="15">
        <v>0</v>
      </c>
      <c r="T1066"/>
    </row>
    <row r="1067" spans="1:20">
      <c r="A1067" s="5" t="s">
        <v>36</v>
      </c>
      <c r="B1067" s="5" t="s">
        <v>14394</v>
      </c>
      <c r="C1067" s="4">
        <v>45713</v>
      </c>
      <c r="D1067" s="4">
        <v>45714</v>
      </c>
      <c r="E1067" s="5" t="s">
        <v>16481</v>
      </c>
      <c r="F1067" s="5" t="s">
        <v>18470</v>
      </c>
      <c r="G1067" s="5" t="s">
        <v>833</v>
      </c>
      <c r="H1067" s="5">
        <v>1</v>
      </c>
      <c r="I1067" s="8" t="s">
        <v>8210</v>
      </c>
      <c r="J1067" s="8" t="s">
        <v>10259</v>
      </c>
      <c r="K1067" s="8" t="s">
        <v>2056</v>
      </c>
      <c r="L1067" s="8" t="s">
        <v>12310</v>
      </c>
      <c r="M1067" s="8" t="s">
        <v>4106</v>
      </c>
      <c r="N1067" s="8" t="s">
        <v>6157</v>
      </c>
      <c r="O1067" s="5" t="s">
        <v>49</v>
      </c>
      <c r="P1067" s="4">
        <v>45731</v>
      </c>
      <c r="Q1067" s="15">
        <v>23.9</v>
      </c>
      <c r="R1067" s="15">
        <v>6.99</v>
      </c>
      <c r="S1067" s="15">
        <v>0</v>
      </c>
      <c r="T1067"/>
    </row>
    <row r="1068" spans="1:20">
      <c r="A1068" s="5" t="s">
        <v>36</v>
      </c>
      <c r="B1068" s="5" t="s">
        <v>14395</v>
      </c>
      <c r="C1068" s="4">
        <v>45713</v>
      </c>
      <c r="D1068" s="4">
        <v>45714</v>
      </c>
      <c r="E1068" s="5" t="s">
        <v>16482</v>
      </c>
      <c r="F1068" s="5" t="s">
        <v>18471</v>
      </c>
      <c r="G1068" s="5" t="s">
        <v>855</v>
      </c>
      <c r="H1068" s="5">
        <v>1</v>
      </c>
      <c r="I1068" s="8" t="s">
        <v>8211</v>
      </c>
      <c r="J1068" s="8" t="s">
        <v>10260</v>
      </c>
      <c r="K1068" s="8" t="s">
        <v>2057</v>
      </c>
      <c r="L1068" s="8" t="s">
        <v>12311</v>
      </c>
      <c r="M1068" s="8" t="s">
        <v>4107</v>
      </c>
      <c r="N1068" s="8" t="s">
        <v>6158</v>
      </c>
      <c r="O1068" s="5" t="s">
        <v>81</v>
      </c>
      <c r="P1068" s="4">
        <v>45731</v>
      </c>
      <c r="Q1068" s="15">
        <v>26.99</v>
      </c>
      <c r="R1068" s="15">
        <v>14.4</v>
      </c>
      <c r="S1068" s="15">
        <v>0</v>
      </c>
      <c r="T1068"/>
    </row>
    <row r="1069" spans="1:20">
      <c r="A1069" s="5" t="s">
        <v>36</v>
      </c>
      <c r="B1069" s="5" t="s">
        <v>14396</v>
      </c>
      <c r="C1069" s="4">
        <v>45714</v>
      </c>
      <c r="D1069" s="4">
        <v>45714</v>
      </c>
      <c r="E1069" s="5" t="s">
        <v>16483</v>
      </c>
      <c r="F1069" s="5" t="s">
        <v>18472</v>
      </c>
      <c r="G1069" s="5" t="s">
        <v>848</v>
      </c>
      <c r="H1069" s="5">
        <v>1</v>
      </c>
      <c r="I1069" s="8" t="s">
        <v>8212</v>
      </c>
      <c r="J1069" s="8" t="s">
        <v>10261</v>
      </c>
      <c r="K1069" s="8" t="s">
        <v>2058</v>
      </c>
      <c r="L1069" s="8" t="s">
        <v>12312</v>
      </c>
      <c r="M1069" s="8" t="s">
        <v>4108</v>
      </c>
      <c r="N1069" s="8" t="s">
        <v>6159</v>
      </c>
      <c r="O1069" s="5" t="s">
        <v>76</v>
      </c>
      <c r="P1069" s="4">
        <v>45738</v>
      </c>
      <c r="Q1069" s="15">
        <v>70.5</v>
      </c>
      <c r="R1069" s="15">
        <v>31.47</v>
      </c>
      <c r="S1069" s="15">
        <v>0</v>
      </c>
      <c r="T1069"/>
    </row>
    <row r="1070" spans="1:20">
      <c r="A1070" s="5" t="s">
        <v>36</v>
      </c>
      <c r="B1070" s="5" t="s">
        <v>14397</v>
      </c>
      <c r="C1070" s="4">
        <v>45714</v>
      </c>
      <c r="D1070" s="4">
        <v>45714</v>
      </c>
      <c r="E1070" s="5" t="s">
        <v>16484</v>
      </c>
      <c r="F1070" s="5" t="s">
        <v>18473</v>
      </c>
      <c r="G1070" s="5" t="s">
        <v>831</v>
      </c>
      <c r="H1070" s="5">
        <v>1</v>
      </c>
      <c r="I1070" s="8" t="s">
        <v>8213</v>
      </c>
      <c r="J1070" s="8" t="s">
        <v>10262</v>
      </c>
      <c r="K1070" s="8" t="s">
        <v>2059</v>
      </c>
      <c r="L1070" s="8" t="s">
        <v>12313</v>
      </c>
      <c r="M1070" s="8" t="s">
        <v>4109</v>
      </c>
      <c r="N1070" s="8" t="s">
        <v>6160</v>
      </c>
      <c r="O1070" s="5" t="s">
        <v>41</v>
      </c>
      <c r="P1070" s="4">
        <v>45738</v>
      </c>
      <c r="Q1070" s="15">
        <v>61.8</v>
      </c>
      <c r="R1070" s="15">
        <v>13.16</v>
      </c>
      <c r="S1070" s="15">
        <v>0</v>
      </c>
      <c r="T1070"/>
    </row>
    <row r="1071" spans="1:20">
      <c r="A1071" s="5" t="s">
        <v>113</v>
      </c>
      <c r="B1071" s="5" t="s">
        <v>14398</v>
      </c>
      <c r="C1071" s="4">
        <v>45714</v>
      </c>
      <c r="D1071" s="4">
        <v>45714</v>
      </c>
      <c r="E1071" s="5" t="s">
        <v>16485</v>
      </c>
      <c r="F1071" s="5" t="s">
        <v>18474</v>
      </c>
      <c r="G1071" s="5" t="s">
        <v>817</v>
      </c>
      <c r="H1071" s="5">
        <v>1</v>
      </c>
      <c r="I1071" s="8" t="s">
        <v>8214</v>
      </c>
      <c r="J1071" s="8" t="s">
        <v>10263</v>
      </c>
      <c r="K1071" s="8" t="s">
        <v>2060</v>
      </c>
      <c r="L1071" s="8" t="s">
        <v>12314</v>
      </c>
      <c r="M1071" s="8" t="s">
        <v>4110</v>
      </c>
      <c r="N1071" s="8" t="s">
        <v>6161</v>
      </c>
      <c r="O1071" s="5" t="s">
        <v>115</v>
      </c>
      <c r="P1071" s="4">
        <v>45731</v>
      </c>
      <c r="Q1071" s="15">
        <v>30.95</v>
      </c>
      <c r="R1071" s="15">
        <v>14.99</v>
      </c>
      <c r="S1071" s="15">
        <v>0</v>
      </c>
      <c r="T1071"/>
    </row>
    <row r="1072" spans="1:20">
      <c r="A1072" s="5" t="s">
        <v>113</v>
      </c>
      <c r="B1072" s="5" t="s">
        <v>14399</v>
      </c>
      <c r="C1072" s="4">
        <v>45714</v>
      </c>
      <c r="D1072" s="4">
        <v>45714</v>
      </c>
      <c r="E1072" s="5" t="s">
        <v>16486</v>
      </c>
      <c r="F1072" s="5" t="s">
        <v>18475</v>
      </c>
      <c r="G1072" s="5" t="s">
        <v>817</v>
      </c>
      <c r="H1072" s="5">
        <v>1</v>
      </c>
      <c r="I1072" s="8" t="s">
        <v>8215</v>
      </c>
      <c r="J1072" s="8" t="s">
        <v>10264</v>
      </c>
      <c r="K1072" s="8" t="s">
        <v>2061</v>
      </c>
      <c r="L1072" s="8" t="s">
        <v>12315</v>
      </c>
      <c r="M1072" s="8" t="s">
        <v>4111</v>
      </c>
      <c r="N1072" s="8" t="s">
        <v>6162</v>
      </c>
      <c r="O1072" s="5" t="s">
        <v>115</v>
      </c>
      <c r="P1072" s="4">
        <v>45744</v>
      </c>
      <c r="Q1072" s="15">
        <v>30.95</v>
      </c>
      <c r="R1072" s="15">
        <v>14.99</v>
      </c>
      <c r="S1072" s="15">
        <v>0</v>
      </c>
      <c r="T1072"/>
    </row>
    <row r="1073" spans="1:20">
      <c r="A1073" s="5" t="s">
        <v>113</v>
      </c>
      <c r="B1073" s="5" t="s">
        <v>14400</v>
      </c>
      <c r="C1073" s="4">
        <v>45714</v>
      </c>
      <c r="D1073" s="4">
        <v>45714</v>
      </c>
      <c r="E1073" s="5" t="s">
        <v>16487</v>
      </c>
      <c r="F1073" s="5" t="s">
        <v>18476</v>
      </c>
      <c r="G1073" s="5" t="s">
        <v>817</v>
      </c>
      <c r="H1073" s="5">
        <v>1</v>
      </c>
      <c r="I1073" s="8" t="s">
        <v>8216</v>
      </c>
      <c r="J1073" s="8" t="s">
        <v>10265</v>
      </c>
      <c r="K1073" s="8" t="s">
        <v>2062</v>
      </c>
      <c r="L1073" s="8" t="s">
        <v>12316</v>
      </c>
      <c r="M1073" s="8" t="s">
        <v>4112</v>
      </c>
      <c r="N1073" s="8" t="s">
        <v>6163</v>
      </c>
      <c r="O1073" s="5" t="s">
        <v>115</v>
      </c>
      <c r="P1073" s="4">
        <v>45744</v>
      </c>
      <c r="Q1073" s="15">
        <v>30.95</v>
      </c>
      <c r="R1073" s="15">
        <v>14.99</v>
      </c>
      <c r="S1073" s="15">
        <v>0</v>
      </c>
      <c r="T1073"/>
    </row>
    <row r="1074" spans="1:20">
      <c r="A1074" s="5" t="s">
        <v>113</v>
      </c>
      <c r="B1074" s="5" t="s">
        <v>14401</v>
      </c>
      <c r="C1074" s="4">
        <v>45714</v>
      </c>
      <c r="D1074" s="4">
        <v>45714</v>
      </c>
      <c r="E1074" s="5" t="s">
        <v>16488</v>
      </c>
      <c r="F1074" s="5" t="s">
        <v>18477</v>
      </c>
      <c r="G1074" s="5" t="s">
        <v>817</v>
      </c>
      <c r="H1074" s="5">
        <v>1</v>
      </c>
      <c r="I1074" s="8" t="s">
        <v>8217</v>
      </c>
      <c r="J1074" s="8" t="s">
        <v>10266</v>
      </c>
      <c r="K1074" s="8" t="s">
        <v>2063</v>
      </c>
      <c r="L1074" s="8" t="s">
        <v>12317</v>
      </c>
      <c r="M1074" s="8" t="s">
        <v>4113</v>
      </c>
      <c r="N1074" s="8" t="s">
        <v>6164</v>
      </c>
      <c r="O1074" s="5" t="s">
        <v>115</v>
      </c>
      <c r="P1074" s="4">
        <v>45734</v>
      </c>
      <c r="Q1074" s="15">
        <v>30.95</v>
      </c>
      <c r="R1074" s="15">
        <v>14.99</v>
      </c>
      <c r="S1074" s="15">
        <v>0</v>
      </c>
      <c r="T1074"/>
    </row>
    <row r="1075" spans="1:20">
      <c r="A1075" s="5" t="s">
        <v>36</v>
      </c>
      <c r="B1075" s="5" t="s">
        <v>14402</v>
      </c>
      <c r="C1075" s="4">
        <v>45715</v>
      </c>
      <c r="D1075" s="4">
        <v>45715</v>
      </c>
      <c r="E1075" s="5" t="s">
        <v>16489</v>
      </c>
      <c r="F1075" s="5" t="s">
        <v>18478</v>
      </c>
      <c r="G1075" s="5" t="s">
        <v>849</v>
      </c>
      <c r="H1075" s="5">
        <v>1</v>
      </c>
      <c r="I1075" s="8" t="s">
        <v>8218</v>
      </c>
      <c r="J1075" s="8" t="s">
        <v>10267</v>
      </c>
      <c r="K1075" s="8" t="s">
        <v>2064</v>
      </c>
      <c r="L1075" s="8" t="s">
        <v>12318</v>
      </c>
      <c r="M1075" s="8" t="s">
        <v>4114</v>
      </c>
      <c r="N1075" s="8" t="s">
        <v>6165</v>
      </c>
      <c r="O1075" s="5" t="s">
        <v>61</v>
      </c>
      <c r="P1075" s="4">
        <v>45741</v>
      </c>
      <c r="Q1075" s="15">
        <v>70.989999999999995</v>
      </c>
      <c r="R1075" s="15">
        <v>12.59</v>
      </c>
      <c r="S1075" s="15">
        <v>0</v>
      </c>
      <c r="T1075"/>
    </row>
    <row r="1076" spans="1:20">
      <c r="A1076" s="5" t="s">
        <v>36</v>
      </c>
      <c r="B1076" s="5" t="s">
        <v>14403</v>
      </c>
      <c r="C1076" s="4">
        <v>45715</v>
      </c>
      <c r="D1076" s="4">
        <v>45715</v>
      </c>
      <c r="E1076" s="5" t="s">
        <v>16490</v>
      </c>
      <c r="F1076" s="5" t="s">
        <v>18479</v>
      </c>
      <c r="G1076" s="5" t="s">
        <v>836</v>
      </c>
      <c r="H1076" s="5">
        <v>1</v>
      </c>
      <c r="I1076" s="8" t="s">
        <v>8219</v>
      </c>
      <c r="J1076" s="8" t="s">
        <v>10268</v>
      </c>
      <c r="K1076" s="8" t="s">
        <v>2065</v>
      </c>
      <c r="L1076" s="8" t="s">
        <v>12319</v>
      </c>
      <c r="M1076" s="8" t="s">
        <v>4115</v>
      </c>
      <c r="N1076" s="8" t="s">
        <v>6166</v>
      </c>
      <c r="O1076" s="5" t="s">
        <v>55</v>
      </c>
      <c r="P1076" s="4">
        <v>45745</v>
      </c>
      <c r="Q1076" s="15">
        <v>23.5</v>
      </c>
      <c r="R1076" s="15">
        <v>0</v>
      </c>
      <c r="S1076" s="15">
        <v>0</v>
      </c>
      <c r="T1076"/>
    </row>
    <row r="1077" spans="1:20">
      <c r="A1077" s="5" t="s">
        <v>36</v>
      </c>
      <c r="B1077" s="5" t="s">
        <v>14404</v>
      </c>
      <c r="C1077" s="4">
        <v>45715</v>
      </c>
      <c r="D1077" s="4">
        <v>45716</v>
      </c>
      <c r="E1077" s="5" t="s">
        <v>16491</v>
      </c>
      <c r="F1077" s="5" t="s">
        <v>18480</v>
      </c>
      <c r="G1077" s="5" t="s">
        <v>836</v>
      </c>
      <c r="H1077" s="5">
        <v>1</v>
      </c>
      <c r="I1077" s="8" t="s">
        <v>8220</v>
      </c>
      <c r="J1077" s="8" t="s">
        <v>10269</v>
      </c>
      <c r="K1077" s="8" t="s">
        <v>2066</v>
      </c>
      <c r="L1077" s="8" t="s">
        <v>12320</v>
      </c>
      <c r="M1077" s="8" t="s">
        <v>4116</v>
      </c>
      <c r="N1077" s="8" t="s">
        <v>6167</v>
      </c>
      <c r="O1077" s="5" t="s">
        <v>55</v>
      </c>
      <c r="P1077" s="4">
        <v>45741</v>
      </c>
      <c r="Q1077" s="15">
        <v>23.5</v>
      </c>
      <c r="R1077" s="15">
        <v>13.8</v>
      </c>
      <c r="S1077" s="15">
        <v>0</v>
      </c>
      <c r="T1077"/>
    </row>
    <row r="1078" spans="1:20">
      <c r="A1078" s="5" t="s">
        <v>36</v>
      </c>
      <c r="B1078" s="5" t="s">
        <v>14405</v>
      </c>
      <c r="C1078" s="4">
        <v>45715</v>
      </c>
      <c r="D1078" s="4">
        <v>45715</v>
      </c>
      <c r="E1078" s="5" t="s">
        <v>16492</v>
      </c>
      <c r="F1078" s="5" t="s">
        <v>18481</v>
      </c>
      <c r="G1078" s="5" t="s">
        <v>836</v>
      </c>
      <c r="H1078" s="5">
        <v>1</v>
      </c>
      <c r="I1078" s="8" t="s">
        <v>8221</v>
      </c>
      <c r="J1078" s="8" t="s">
        <v>10270</v>
      </c>
      <c r="K1078" s="8" t="s">
        <v>2067</v>
      </c>
      <c r="L1078" s="8" t="s">
        <v>12321</v>
      </c>
      <c r="M1078" s="8" t="s">
        <v>4117</v>
      </c>
      <c r="N1078" s="8" t="s">
        <v>6168</v>
      </c>
      <c r="O1078" s="5" t="s">
        <v>55</v>
      </c>
      <c r="P1078" s="4">
        <v>45735</v>
      </c>
      <c r="Q1078" s="15">
        <v>23.5</v>
      </c>
      <c r="R1078" s="15">
        <v>0</v>
      </c>
      <c r="S1078" s="15">
        <v>0</v>
      </c>
      <c r="T1078"/>
    </row>
    <row r="1079" spans="1:20">
      <c r="A1079" s="5" t="s">
        <v>36</v>
      </c>
      <c r="B1079" s="5" t="s">
        <v>14406</v>
      </c>
      <c r="C1079" s="4">
        <v>45715</v>
      </c>
      <c r="D1079" s="4">
        <v>45716</v>
      </c>
      <c r="E1079" s="5" t="s">
        <v>16493</v>
      </c>
      <c r="F1079" s="5" t="s">
        <v>18482</v>
      </c>
      <c r="G1079" s="5" t="s">
        <v>872</v>
      </c>
      <c r="H1079" s="5">
        <v>1</v>
      </c>
      <c r="I1079" s="8" t="s">
        <v>8222</v>
      </c>
      <c r="J1079" s="8" t="s">
        <v>10271</v>
      </c>
      <c r="K1079" s="8" t="s">
        <v>2068</v>
      </c>
      <c r="L1079" s="8" t="s">
        <v>12322</v>
      </c>
      <c r="M1079" s="8" t="s">
        <v>4118</v>
      </c>
      <c r="N1079" s="8" t="s">
        <v>6169</v>
      </c>
      <c r="O1079" s="5" t="s">
        <v>98</v>
      </c>
      <c r="P1079" s="4">
        <v>45745</v>
      </c>
      <c r="Q1079" s="15">
        <v>25.99</v>
      </c>
      <c r="R1079" s="15">
        <v>13.3</v>
      </c>
      <c r="S1079" s="15">
        <v>0</v>
      </c>
      <c r="T1079"/>
    </row>
    <row r="1080" spans="1:20">
      <c r="A1080" s="5" t="s">
        <v>36</v>
      </c>
      <c r="B1080" s="5" t="s">
        <v>14407</v>
      </c>
      <c r="C1080" s="4">
        <v>45715</v>
      </c>
      <c r="D1080" s="4">
        <v>45715</v>
      </c>
      <c r="E1080" s="5" t="s">
        <v>16494</v>
      </c>
      <c r="F1080" s="5" t="s">
        <v>18483</v>
      </c>
      <c r="G1080" s="5" t="s">
        <v>849</v>
      </c>
      <c r="H1080" s="5">
        <v>1</v>
      </c>
      <c r="I1080" s="8" t="s">
        <v>8223</v>
      </c>
      <c r="J1080" s="8" t="s">
        <v>10272</v>
      </c>
      <c r="K1080" s="8" t="s">
        <v>2069</v>
      </c>
      <c r="L1080" s="8" t="s">
        <v>12323</v>
      </c>
      <c r="M1080" s="8" t="s">
        <v>4119</v>
      </c>
      <c r="N1080" s="8" t="s">
        <v>6170</v>
      </c>
      <c r="O1080" s="5" t="s">
        <v>61</v>
      </c>
      <c r="P1080" s="4">
        <v>45741</v>
      </c>
      <c r="Q1080" s="15">
        <v>65.599999999999994</v>
      </c>
      <c r="R1080" s="15">
        <v>12.54</v>
      </c>
      <c r="S1080" s="15">
        <v>0</v>
      </c>
      <c r="T1080"/>
    </row>
    <row r="1081" spans="1:20">
      <c r="A1081" s="5" t="s">
        <v>108</v>
      </c>
      <c r="B1081" s="5" t="s">
        <v>14408</v>
      </c>
      <c r="C1081" s="4">
        <v>45715</v>
      </c>
      <c r="D1081" s="4">
        <v>45715</v>
      </c>
      <c r="E1081" s="5" t="s">
        <v>16495</v>
      </c>
      <c r="F1081" s="5" t="s">
        <v>18484</v>
      </c>
      <c r="G1081" s="5" t="s">
        <v>884</v>
      </c>
      <c r="H1081" s="5">
        <v>1</v>
      </c>
      <c r="I1081" s="8" t="s">
        <v>8224</v>
      </c>
      <c r="J1081" s="8" t="s">
        <v>10273</v>
      </c>
      <c r="K1081" s="8" t="s">
        <v>2070</v>
      </c>
      <c r="L1081" s="8" t="s">
        <v>12324</v>
      </c>
      <c r="M1081" s="8" t="s">
        <v>4120</v>
      </c>
      <c r="N1081" s="8" t="s">
        <v>6171</v>
      </c>
      <c r="O1081" s="5" t="s">
        <v>110</v>
      </c>
      <c r="P1081" s="4">
        <v>45735</v>
      </c>
      <c r="Q1081" s="15">
        <v>35.99</v>
      </c>
      <c r="R1081" s="15">
        <v>22.2</v>
      </c>
      <c r="S1081" s="15">
        <v>0</v>
      </c>
      <c r="T1081"/>
    </row>
    <row r="1082" spans="1:20">
      <c r="A1082" s="5" t="s">
        <v>36</v>
      </c>
      <c r="B1082" s="5" t="s">
        <v>14409</v>
      </c>
      <c r="C1082" s="4">
        <v>45716</v>
      </c>
      <c r="D1082" s="4">
        <v>45716</v>
      </c>
      <c r="E1082" s="5" t="s">
        <v>16496</v>
      </c>
      <c r="F1082" s="5" t="s">
        <v>18485</v>
      </c>
      <c r="G1082" s="5" t="s">
        <v>849</v>
      </c>
      <c r="H1082" s="5">
        <v>1</v>
      </c>
      <c r="I1082" s="8" t="s">
        <v>8225</v>
      </c>
      <c r="J1082" s="8" t="s">
        <v>10274</v>
      </c>
      <c r="K1082" s="8" t="s">
        <v>2071</v>
      </c>
      <c r="L1082" s="8" t="s">
        <v>12325</v>
      </c>
      <c r="M1082" s="8" t="s">
        <v>4121</v>
      </c>
      <c r="N1082" s="8" t="s">
        <v>6172</v>
      </c>
      <c r="O1082" s="5" t="s">
        <v>61</v>
      </c>
      <c r="P1082" s="4">
        <v>45741</v>
      </c>
      <c r="Q1082" s="15">
        <v>65.599999999999994</v>
      </c>
      <c r="R1082" s="15">
        <v>14.26</v>
      </c>
      <c r="S1082" s="15">
        <v>0</v>
      </c>
      <c r="T1082"/>
    </row>
    <row r="1083" spans="1:20">
      <c r="A1083" s="5" t="s">
        <v>36</v>
      </c>
      <c r="B1083" s="5" t="s">
        <v>14410</v>
      </c>
      <c r="C1083" s="4">
        <v>45716</v>
      </c>
      <c r="D1083" s="4">
        <v>45716</v>
      </c>
      <c r="E1083" s="5" t="s">
        <v>16497</v>
      </c>
      <c r="F1083" s="5" t="s">
        <v>18486</v>
      </c>
      <c r="G1083" s="5" t="s">
        <v>849</v>
      </c>
      <c r="H1083" s="5">
        <v>1</v>
      </c>
      <c r="I1083" s="8" t="s">
        <v>8226</v>
      </c>
      <c r="J1083" s="8" t="s">
        <v>10275</v>
      </c>
      <c r="K1083" s="8" t="s">
        <v>2072</v>
      </c>
      <c r="L1083" s="8" t="s">
        <v>12326</v>
      </c>
      <c r="M1083" s="8" t="s">
        <v>4122</v>
      </c>
      <c r="N1083" s="8" t="s">
        <v>6173</v>
      </c>
      <c r="O1083" s="5" t="s">
        <v>61</v>
      </c>
      <c r="P1083" s="4">
        <v>45742</v>
      </c>
      <c r="Q1083" s="15">
        <v>65.599999999999994</v>
      </c>
      <c r="R1083" s="15">
        <v>14.26</v>
      </c>
      <c r="S1083" s="15">
        <v>0</v>
      </c>
      <c r="T1083"/>
    </row>
    <row r="1084" spans="1:20">
      <c r="A1084" s="5" t="s">
        <v>36</v>
      </c>
      <c r="B1084" s="5" t="s">
        <v>14411</v>
      </c>
      <c r="C1084" s="4">
        <v>45716</v>
      </c>
      <c r="D1084" s="4">
        <v>45716</v>
      </c>
      <c r="E1084" s="5" t="s">
        <v>16498</v>
      </c>
      <c r="F1084" s="5" t="s">
        <v>18487</v>
      </c>
      <c r="G1084" s="5" t="s">
        <v>836</v>
      </c>
      <c r="H1084" s="5">
        <v>1</v>
      </c>
      <c r="I1084" s="8" t="s">
        <v>8227</v>
      </c>
      <c r="J1084" s="8" t="s">
        <v>10276</v>
      </c>
      <c r="K1084" s="8" t="s">
        <v>2073</v>
      </c>
      <c r="L1084" s="8" t="s">
        <v>12327</v>
      </c>
      <c r="M1084" s="8" t="s">
        <v>4123</v>
      </c>
      <c r="N1084" s="8" t="s">
        <v>6174</v>
      </c>
      <c r="O1084" s="5" t="s">
        <v>55</v>
      </c>
      <c r="P1084" s="4">
        <v>45742</v>
      </c>
      <c r="Q1084" s="15">
        <v>23.5</v>
      </c>
      <c r="R1084" s="15">
        <v>13.8</v>
      </c>
      <c r="S1084" s="15">
        <v>0</v>
      </c>
      <c r="T1084"/>
    </row>
    <row r="1085" spans="1:20">
      <c r="A1085" s="5" t="s">
        <v>36</v>
      </c>
      <c r="B1085" s="5" t="s">
        <v>14412</v>
      </c>
      <c r="C1085" s="4">
        <v>45716</v>
      </c>
      <c r="D1085" s="4">
        <v>45716</v>
      </c>
      <c r="E1085" s="5" t="s">
        <v>16499</v>
      </c>
      <c r="F1085" s="5" t="s">
        <v>18488</v>
      </c>
      <c r="G1085" s="5" t="s">
        <v>876</v>
      </c>
      <c r="H1085" s="5">
        <v>1</v>
      </c>
      <c r="I1085" s="8" t="s">
        <v>8228</v>
      </c>
      <c r="J1085" s="8" t="s">
        <v>10277</v>
      </c>
      <c r="K1085" s="8" t="s">
        <v>2074</v>
      </c>
      <c r="L1085" s="8" t="s">
        <v>12328</v>
      </c>
      <c r="M1085" s="8" t="s">
        <v>4124</v>
      </c>
      <c r="N1085" s="8" t="s">
        <v>6175</v>
      </c>
      <c r="O1085" s="5" t="s">
        <v>93</v>
      </c>
      <c r="P1085" s="4">
        <v>45748</v>
      </c>
      <c r="Q1085" s="15">
        <v>55.99</v>
      </c>
      <c r="R1085" s="15">
        <v>0</v>
      </c>
      <c r="S1085" s="15">
        <v>0</v>
      </c>
      <c r="T1085"/>
    </row>
    <row r="1086" spans="1:20">
      <c r="A1086" s="5" t="s">
        <v>36</v>
      </c>
      <c r="B1086" s="5" t="s">
        <v>14413</v>
      </c>
      <c r="C1086" s="4">
        <v>45716</v>
      </c>
      <c r="D1086" s="4">
        <v>45716</v>
      </c>
      <c r="E1086" s="5" t="s">
        <v>16500</v>
      </c>
      <c r="F1086" s="5" t="s">
        <v>18489</v>
      </c>
      <c r="G1086" s="5" t="s">
        <v>849</v>
      </c>
      <c r="H1086" s="5">
        <v>1</v>
      </c>
      <c r="I1086" s="8" t="s">
        <v>8229</v>
      </c>
      <c r="J1086" s="8" t="s">
        <v>10278</v>
      </c>
      <c r="K1086" s="8" t="s">
        <v>2075</v>
      </c>
      <c r="L1086" s="8" t="s">
        <v>12329</v>
      </c>
      <c r="M1086" s="8" t="s">
        <v>4125</v>
      </c>
      <c r="N1086" s="8" t="s">
        <v>6176</v>
      </c>
      <c r="O1086" s="5" t="s">
        <v>61</v>
      </c>
      <c r="P1086" s="4">
        <v>45748</v>
      </c>
      <c r="Q1086" s="15">
        <v>65.599999999999994</v>
      </c>
      <c r="R1086" s="15">
        <v>14.8</v>
      </c>
      <c r="S1086" s="15">
        <v>0</v>
      </c>
      <c r="T1086"/>
    </row>
    <row r="1087" spans="1:20">
      <c r="A1087" s="5" t="s">
        <v>36</v>
      </c>
      <c r="B1087" s="5" t="s">
        <v>14414</v>
      </c>
      <c r="C1087" s="4">
        <v>45716</v>
      </c>
      <c r="D1087" s="4">
        <v>45716</v>
      </c>
      <c r="E1087" s="5" t="s">
        <v>16501</v>
      </c>
      <c r="F1087" s="5" t="s">
        <v>18490</v>
      </c>
      <c r="G1087" s="5" t="s">
        <v>836</v>
      </c>
      <c r="H1087" s="5">
        <v>1</v>
      </c>
      <c r="I1087" s="8" t="s">
        <v>8230</v>
      </c>
      <c r="J1087" s="8" t="s">
        <v>10279</v>
      </c>
      <c r="K1087" s="8" t="s">
        <v>2076</v>
      </c>
      <c r="L1087" s="8" t="s">
        <v>12330</v>
      </c>
      <c r="M1087" s="8" t="s">
        <v>4126</v>
      </c>
      <c r="N1087" s="8" t="s">
        <v>6177</v>
      </c>
      <c r="O1087" s="5" t="s">
        <v>55</v>
      </c>
      <c r="P1087" s="4">
        <v>45748</v>
      </c>
      <c r="Q1087" s="15">
        <v>23.5</v>
      </c>
      <c r="R1087" s="15">
        <v>13.8</v>
      </c>
      <c r="S1087" s="15">
        <v>0</v>
      </c>
      <c r="T1087"/>
    </row>
    <row r="1088" spans="1:20">
      <c r="A1088" s="5" t="s">
        <v>36</v>
      </c>
      <c r="B1088" s="5" t="s">
        <v>14415</v>
      </c>
      <c r="C1088" s="4">
        <v>45716</v>
      </c>
      <c r="D1088" s="4">
        <v>45716</v>
      </c>
      <c r="E1088" s="5" t="s">
        <v>16502</v>
      </c>
      <c r="F1088" s="5" t="s">
        <v>18491</v>
      </c>
      <c r="G1088" s="5" t="s">
        <v>876</v>
      </c>
      <c r="H1088" s="5">
        <v>1</v>
      </c>
      <c r="I1088" s="8" t="s">
        <v>8231</v>
      </c>
      <c r="J1088" s="8" t="s">
        <v>10280</v>
      </c>
      <c r="K1088" s="8" t="s">
        <v>2077</v>
      </c>
      <c r="L1088" s="8" t="s">
        <v>12331</v>
      </c>
      <c r="M1088" s="8" t="s">
        <v>4127</v>
      </c>
      <c r="N1088" s="8" t="s">
        <v>6178</v>
      </c>
      <c r="O1088" s="5" t="s">
        <v>93</v>
      </c>
      <c r="P1088" s="4">
        <v>45742</v>
      </c>
      <c r="Q1088" s="15">
        <v>55.99</v>
      </c>
      <c r="R1088" s="15">
        <v>18.25</v>
      </c>
      <c r="S1088" s="15">
        <v>0</v>
      </c>
      <c r="T1088"/>
    </row>
    <row r="1089" spans="1:20">
      <c r="A1089" s="5" t="s">
        <v>36</v>
      </c>
      <c r="B1089" s="5" t="s">
        <v>14416</v>
      </c>
      <c r="C1089" s="4">
        <v>45717</v>
      </c>
      <c r="D1089" s="4">
        <v>45718</v>
      </c>
      <c r="E1089" s="5" t="s">
        <v>16503</v>
      </c>
      <c r="F1089" s="5" t="s">
        <v>18492</v>
      </c>
      <c r="G1089" s="5" t="s">
        <v>876</v>
      </c>
      <c r="H1089" s="5">
        <v>1</v>
      </c>
      <c r="I1089" s="8" t="s">
        <v>8232</v>
      </c>
      <c r="J1089" s="8" t="s">
        <v>10281</v>
      </c>
      <c r="K1089" s="8" t="s">
        <v>2078</v>
      </c>
      <c r="L1089" s="8" t="s">
        <v>12332</v>
      </c>
      <c r="M1089" s="8" t="s">
        <v>4128</v>
      </c>
      <c r="N1089" s="8" t="s">
        <v>6179</v>
      </c>
      <c r="O1089" s="5" t="s">
        <v>93</v>
      </c>
      <c r="P1089" s="4">
        <v>45748</v>
      </c>
      <c r="Q1089" s="15">
        <v>55.99</v>
      </c>
      <c r="R1089" s="15">
        <v>0</v>
      </c>
      <c r="S1089" s="15">
        <v>0</v>
      </c>
      <c r="T1089"/>
    </row>
    <row r="1090" spans="1:20">
      <c r="A1090" s="5" t="s">
        <v>36</v>
      </c>
      <c r="B1090" s="5" t="s">
        <v>14417</v>
      </c>
      <c r="C1090" s="4">
        <v>45717</v>
      </c>
      <c r="D1090" s="4">
        <v>45722</v>
      </c>
      <c r="E1090" s="5" t="s">
        <v>16504</v>
      </c>
      <c r="F1090" s="5" t="s">
        <v>18493</v>
      </c>
      <c r="G1090" s="5" t="s">
        <v>836</v>
      </c>
      <c r="H1090" s="5">
        <v>1</v>
      </c>
      <c r="I1090" s="8" t="s">
        <v>8233</v>
      </c>
      <c r="J1090" s="8" t="s">
        <v>10282</v>
      </c>
      <c r="K1090" s="8" t="s">
        <v>2079</v>
      </c>
      <c r="L1090" s="8" t="s">
        <v>12333</v>
      </c>
      <c r="M1090" s="8" t="s">
        <v>4129</v>
      </c>
      <c r="N1090" s="8" t="s">
        <v>6180</v>
      </c>
      <c r="O1090" s="5" t="s">
        <v>55</v>
      </c>
      <c r="P1090" s="4">
        <v>45736</v>
      </c>
      <c r="Q1090" s="15">
        <v>23.5</v>
      </c>
      <c r="R1090" s="15">
        <v>12.8</v>
      </c>
      <c r="S1090" s="15">
        <v>0</v>
      </c>
      <c r="T1090"/>
    </row>
    <row r="1091" spans="1:20">
      <c r="A1091" s="5" t="s">
        <v>36</v>
      </c>
      <c r="B1091" s="5" t="s">
        <v>14418</v>
      </c>
      <c r="C1091" s="4">
        <v>45717</v>
      </c>
      <c r="D1091" s="4">
        <v>45718</v>
      </c>
      <c r="E1091" s="5" t="s">
        <v>16505</v>
      </c>
      <c r="F1091" s="5" t="s">
        <v>18494</v>
      </c>
      <c r="G1091" s="5" t="s">
        <v>872</v>
      </c>
      <c r="H1091" s="5">
        <v>1</v>
      </c>
      <c r="I1091" s="8" t="s">
        <v>8234</v>
      </c>
      <c r="J1091" s="8" t="s">
        <v>10283</v>
      </c>
      <c r="K1091" s="8" t="s">
        <v>2080</v>
      </c>
      <c r="L1091" s="8" t="s">
        <v>12334</v>
      </c>
      <c r="M1091" s="8" t="s">
        <v>4130</v>
      </c>
      <c r="N1091" s="8" t="s">
        <v>6181</v>
      </c>
      <c r="O1091" s="5" t="s">
        <v>98</v>
      </c>
      <c r="P1091" s="4">
        <v>45748</v>
      </c>
      <c r="Q1091" s="15">
        <v>25.99</v>
      </c>
      <c r="R1091" s="15">
        <v>13.3</v>
      </c>
      <c r="S1091" s="15">
        <v>0</v>
      </c>
      <c r="T1091"/>
    </row>
    <row r="1092" spans="1:20">
      <c r="A1092" s="5" t="s">
        <v>36</v>
      </c>
      <c r="B1092" s="5" t="s">
        <v>14419</v>
      </c>
      <c r="C1092" s="4">
        <v>45717</v>
      </c>
      <c r="D1092" s="4">
        <v>45718</v>
      </c>
      <c r="E1092" s="5" t="s">
        <v>16506</v>
      </c>
      <c r="F1092" s="5" t="s">
        <v>18495</v>
      </c>
      <c r="G1092" s="5" t="s">
        <v>848</v>
      </c>
      <c r="H1092" s="5">
        <v>1</v>
      </c>
      <c r="I1092" s="8" t="s">
        <v>8235</v>
      </c>
      <c r="J1092" s="8" t="s">
        <v>10284</v>
      </c>
      <c r="K1092" s="8" t="s">
        <v>2081</v>
      </c>
      <c r="L1092" s="8" t="s">
        <v>12335</v>
      </c>
      <c r="M1092" s="8" t="s">
        <v>4131</v>
      </c>
      <c r="N1092" s="8" t="s">
        <v>6182</v>
      </c>
      <c r="O1092" s="5" t="s">
        <v>76</v>
      </c>
      <c r="P1092" s="4">
        <v>45748</v>
      </c>
      <c r="Q1092" s="15">
        <v>70.5</v>
      </c>
      <c r="R1092" s="15">
        <v>28.91</v>
      </c>
      <c r="S1092" s="15">
        <v>0</v>
      </c>
      <c r="T1092"/>
    </row>
    <row r="1093" spans="1:20">
      <c r="A1093" s="5" t="s">
        <v>36</v>
      </c>
      <c r="B1093" s="5" t="s">
        <v>14420</v>
      </c>
      <c r="C1093" s="4">
        <v>45717</v>
      </c>
      <c r="D1093" s="4">
        <v>45718</v>
      </c>
      <c r="E1093" s="5" t="s">
        <v>16507</v>
      </c>
      <c r="F1093" s="5" t="s">
        <v>18496</v>
      </c>
      <c r="G1093" s="5" t="s">
        <v>849</v>
      </c>
      <c r="H1093" s="5">
        <v>1</v>
      </c>
      <c r="I1093" s="8" t="s">
        <v>8236</v>
      </c>
      <c r="J1093" s="8" t="s">
        <v>10285</v>
      </c>
      <c r="K1093" s="8" t="s">
        <v>2082</v>
      </c>
      <c r="L1093" s="8" t="s">
        <v>12336</v>
      </c>
      <c r="M1093" s="8" t="s">
        <v>4132</v>
      </c>
      <c r="N1093" s="8" t="s">
        <v>6183</v>
      </c>
      <c r="O1093" s="5" t="s">
        <v>61</v>
      </c>
      <c r="P1093" s="4">
        <v>45748</v>
      </c>
      <c r="Q1093" s="15">
        <v>65.599999999999994</v>
      </c>
      <c r="R1093" s="15">
        <v>10.17</v>
      </c>
      <c r="S1093" s="15">
        <v>0</v>
      </c>
      <c r="T1093"/>
    </row>
    <row r="1094" spans="1:20">
      <c r="A1094" s="5" t="s">
        <v>36</v>
      </c>
      <c r="B1094" s="5" t="s">
        <v>14421</v>
      </c>
      <c r="C1094" s="4">
        <v>45717</v>
      </c>
      <c r="D1094" s="4">
        <v>45722</v>
      </c>
      <c r="E1094" s="5" t="s">
        <v>16508</v>
      </c>
      <c r="F1094" s="5" t="s">
        <v>18497</v>
      </c>
      <c r="G1094" s="5" t="s">
        <v>836</v>
      </c>
      <c r="H1094" s="5">
        <v>1</v>
      </c>
      <c r="I1094" s="8" t="s">
        <v>8237</v>
      </c>
      <c r="J1094" s="8" t="s">
        <v>10286</v>
      </c>
      <c r="K1094" s="8" t="s">
        <v>2083</v>
      </c>
      <c r="L1094" s="8" t="s">
        <v>12337</v>
      </c>
      <c r="M1094" s="8" t="s">
        <v>4133</v>
      </c>
      <c r="N1094" s="8" t="s">
        <v>6184</v>
      </c>
      <c r="O1094" s="5" t="s">
        <v>55</v>
      </c>
      <c r="P1094" s="4">
        <v>45736</v>
      </c>
      <c r="Q1094" s="15">
        <v>23.5</v>
      </c>
      <c r="R1094" s="15">
        <v>0</v>
      </c>
      <c r="S1094" s="15">
        <v>0</v>
      </c>
      <c r="T1094"/>
    </row>
    <row r="1095" spans="1:20">
      <c r="A1095" s="5" t="s">
        <v>36</v>
      </c>
      <c r="B1095" s="5" t="s">
        <v>14422</v>
      </c>
      <c r="C1095" s="4">
        <v>45717</v>
      </c>
      <c r="D1095" s="4">
        <v>45718</v>
      </c>
      <c r="E1095" s="5" t="s">
        <v>16509</v>
      </c>
      <c r="F1095" s="5" t="s">
        <v>18498</v>
      </c>
      <c r="G1095" s="5" t="s">
        <v>849</v>
      </c>
      <c r="H1095" s="5">
        <v>1</v>
      </c>
      <c r="I1095" s="8" t="s">
        <v>8238</v>
      </c>
      <c r="J1095" s="8" t="s">
        <v>10287</v>
      </c>
      <c r="K1095" s="8" t="s">
        <v>2084</v>
      </c>
      <c r="L1095" s="8" t="s">
        <v>12338</v>
      </c>
      <c r="M1095" s="8" t="s">
        <v>4134</v>
      </c>
      <c r="N1095" s="8" t="s">
        <v>6185</v>
      </c>
      <c r="O1095" s="5" t="s">
        <v>61</v>
      </c>
      <c r="P1095" s="4">
        <v>45748</v>
      </c>
      <c r="Q1095" s="15">
        <v>65.599999999999994</v>
      </c>
      <c r="R1095" s="15">
        <v>10.17</v>
      </c>
      <c r="S1095" s="15">
        <v>0</v>
      </c>
      <c r="T1095"/>
    </row>
    <row r="1096" spans="1:20">
      <c r="A1096" s="5" t="s">
        <v>36</v>
      </c>
      <c r="B1096" s="5" t="s">
        <v>14423</v>
      </c>
      <c r="C1096" s="4">
        <v>45717</v>
      </c>
      <c r="D1096" s="4">
        <v>45720</v>
      </c>
      <c r="E1096" s="5" t="s">
        <v>16510</v>
      </c>
      <c r="F1096" s="5" t="s">
        <v>18499</v>
      </c>
      <c r="G1096" s="5" t="s">
        <v>849</v>
      </c>
      <c r="H1096" s="5">
        <v>1</v>
      </c>
      <c r="I1096" s="8" t="s">
        <v>8238</v>
      </c>
      <c r="J1096" s="8" t="s">
        <v>10287</v>
      </c>
      <c r="K1096" s="8" t="s">
        <v>2084</v>
      </c>
      <c r="L1096" s="8" t="s">
        <v>12338</v>
      </c>
      <c r="M1096" s="8" t="s">
        <v>4134</v>
      </c>
      <c r="N1096" s="8" t="s">
        <v>6185</v>
      </c>
      <c r="O1096" s="5" t="s">
        <v>61</v>
      </c>
      <c r="P1096" s="4">
        <v>45748</v>
      </c>
      <c r="Q1096" s="15">
        <v>65.599999999999994</v>
      </c>
      <c r="R1096" s="15">
        <v>10.52</v>
      </c>
      <c r="S1096" s="15">
        <v>0</v>
      </c>
      <c r="T1096"/>
    </row>
    <row r="1097" spans="1:20">
      <c r="A1097" s="5" t="s">
        <v>36</v>
      </c>
      <c r="B1097" s="5" t="s">
        <v>14424</v>
      </c>
      <c r="C1097" s="4">
        <v>45717</v>
      </c>
      <c r="D1097" s="4">
        <v>45718</v>
      </c>
      <c r="E1097" s="5" t="s">
        <v>16511</v>
      </c>
      <c r="F1097" s="5" t="s">
        <v>18500</v>
      </c>
      <c r="G1097" s="5" t="s">
        <v>876</v>
      </c>
      <c r="H1097" s="5">
        <v>1</v>
      </c>
      <c r="I1097" s="8" t="s">
        <v>8239</v>
      </c>
      <c r="J1097" s="8" t="s">
        <v>10288</v>
      </c>
      <c r="K1097" s="8" t="s">
        <v>2085</v>
      </c>
      <c r="L1097" s="8" t="s">
        <v>12339</v>
      </c>
      <c r="M1097" s="8" t="s">
        <v>4135</v>
      </c>
      <c r="N1097" s="8" t="s">
        <v>6186</v>
      </c>
      <c r="O1097" s="5" t="s">
        <v>93</v>
      </c>
      <c r="P1097" s="4">
        <v>45748</v>
      </c>
      <c r="Q1097" s="15">
        <v>55.99</v>
      </c>
      <c r="R1097" s="15">
        <v>12.77</v>
      </c>
      <c r="S1097" s="15">
        <v>0</v>
      </c>
      <c r="T1097"/>
    </row>
    <row r="1098" spans="1:20">
      <c r="A1098" s="5" t="s">
        <v>36</v>
      </c>
      <c r="B1098" s="5" t="s">
        <v>14425</v>
      </c>
      <c r="C1098" s="4">
        <v>45718</v>
      </c>
      <c r="D1098" s="4">
        <v>45720</v>
      </c>
      <c r="E1098" s="5" t="s">
        <v>16512</v>
      </c>
      <c r="F1098" s="5" t="s">
        <v>18501</v>
      </c>
      <c r="G1098" s="5" t="s">
        <v>833</v>
      </c>
      <c r="H1098" s="5">
        <v>1</v>
      </c>
      <c r="I1098" s="8" t="s">
        <v>8240</v>
      </c>
      <c r="J1098" s="8" t="s">
        <v>10289</v>
      </c>
      <c r="K1098" s="8" t="s">
        <v>2086</v>
      </c>
      <c r="L1098" s="8" t="s">
        <v>12340</v>
      </c>
      <c r="M1098" s="8" t="s">
        <v>4136</v>
      </c>
      <c r="N1098" s="8" t="s">
        <v>6187</v>
      </c>
      <c r="O1098" s="5" t="s">
        <v>49</v>
      </c>
      <c r="P1098" s="4">
        <v>45736</v>
      </c>
      <c r="Q1098" s="15">
        <v>23.9</v>
      </c>
      <c r="R1098" s="15">
        <v>6.99</v>
      </c>
      <c r="S1098" s="15">
        <v>0</v>
      </c>
      <c r="T1098"/>
    </row>
    <row r="1099" spans="1:20">
      <c r="A1099" s="5" t="s">
        <v>36</v>
      </c>
      <c r="B1099" s="5" t="s">
        <v>14426</v>
      </c>
      <c r="C1099" s="4">
        <v>45718</v>
      </c>
      <c r="D1099" s="4">
        <v>45718</v>
      </c>
      <c r="E1099" s="5" t="s">
        <v>16513</v>
      </c>
      <c r="F1099" s="5" t="s">
        <v>18502</v>
      </c>
      <c r="G1099" s="5" t="s">
        <v>833</v>
      </c>
      <c r="H1099" s="5">
        <v>1</v>
      </c>
      <c r="I1099" s="8" t="s">
        <v>8210</v>
      </c>
      <c r="J1099" s="8" t="s">
        <v>10259</v>
      </c>
      <c r="K1099" s="8" t="s">
        <v>2056</v>
      </c>
      <c r="L1099" s="8" t="s">
        <v>12310</v>
      </c>
      <c r="M1099" s="8" t="s">
        <v>4106</v>
      </c>
      <c r="N1099" s="8" t="s">
        <v>6157</v>
      </c>
      <c r="O1099" s="5" t="s">
        <v>49</v>
      </c>
      <c r="P1099" s="4">
        <v>45736</v>
      </c>
      <c r="Q1099" s="15">
        <v>23.9</v>
      </c>
      <c r="R1099" s="15">
        <v>6.99</v>
      </c>
      <c r="S1099" s="15">
        <v>0</v>
      </c>
      <c r="T1099"/>
    </row>
    <row r="1100" spans="1:20">
      <c r="A1100" s="5" t="s">
        <v>36</v>
      </c>
      <c r="B1100" s="5" t="s">
        <v>14427</v>
      </c>
      <c r="C1100" s="4">
        <v>45718</v>
      </c>
      <c r="D1100" s="4">
        <v>45718</v>
      </c>
      <c r="E1100" s="5" t="s">
        <v>16514</v>
      </c>
      <c r="F1100" s="5" t="s">
        <v>18503</v>
      </c>
      <c r="G1100" s="5" t="s">
        <v>849</v>
      </c>
      <c r="H1100" s="5">
        <v>1</v>
      </c>
      <c r="I1100" s="8" t="s">
        <v>8241</v>
      </c>
      <c r="J1100" s="8" t="s">
        <v>10290</v>
      </c>
      <c r="K1100" s="8" t="s">
        <v>2087</v>
      </c>
      <c r="L1100" s="8" t="s">
        <v>12341</v>
      </c>
      <c r="M1100" s="8" t="s">
        <v>4137</v>
      </c>
      <c r="N1100" s="8" t="s">
        <v>6188</v>
      </c>
      <c r="O1100" s="5" t="s">
        <v>61</v>
      </c>
      <c r="P1100" s="4">
        <v>45755</v>
      </c>
      <c r="Q1100" s="15">
        <v>65.599999999999994</v>
      </c>
      <c r="R1100" s="15">
        <v>12.69</v>
      </c>
      <c r="S1100" s="15">
        <v>0</v>
      </c>
      <c r="T1100"/>
    </row>
    <row r="1101" spans="1:20">
      <c r="A1101" s="5" t="s">
        <v>113</v>
      </c>
      <c r="B1101" s="5" t="s">
        <v>14428</v>
      </c>
      <c r="C1101" s="4">
        <v>45717</v>
      </c>
      <c r="D1101" s="4">
        <v>45718</v>
      </c>
      <c r="E1101" s="5" t="s">
        <v>16515</v>
      </c>
      <c r="F1101" s="5" t="s">
        <v>18504</v>
      </c>
      <c r="G1101" s="5" t="s">
        <v>817</v>
      </c>
      <c r="H1101" s="5">
        <v>1</v>
      </c>
      <c r="I1101" s="8" t="s">
        <v>8242</v>
      </c>
      <c r="J1101" s="8" t="s">
        <v>10291</v>
      </c>
      <c r="K1101" s="8" t="s">
        <v>2088</v>
      </c>
      <c r="L1101" s="8" t="s">
        <v>12342</v>
      </c>
      <c r="M1101" s="8" t="s">
        <v>4138</v>
      </c>
      <c r="N1101" s="8" t="s">
        <v>6189</v>
      </c>
      <c r="O1101" s="5" t="s">
        <v>115</v>
      </c>
      <c r="P1101" s="4">
        <v>45742</v>
      </c>
      <c r="Q1101" s="15">
        <v>30.95</v>
      </c>
      <c r="R1101" s="15">
        <v>14.99</v>
      </c>
      <c r="S1101" s="15">
        <v>0</v>
      </c>
      <c r="T1101"/>
    </row>
    <row r="1102" spans="1:20">
      <c r="A1102" s="5" t="s">
        <v>113</v>
      </c>
      <c r="B1102" s="5" t="s">
        <v>14429</v>
      </c>
      <c r="C1102" s="4">
        <v>45717</v>
      </c>
      <c r="D1102" s="4">
        <v>45718</v>
      </c>
      <c r="E1102" s="5" t="s">
        <v>16516</v>
      </c>
      <c r="F1102" s="5" t="s">
        <v>18505</v>
      </c>
      <c r="G1102" s="5" t="s">
        <v>817</v>
      </c>
      <c r="H1102" s="5">
        <v>1</v>
      </c>
      <c r="I1102" s="8" t="s">
        <v>8243</v>
      </c>
      <c r="J1102" s="8" t="s">
        <v>10292</v>
      </c>
      <c r="K1102" s="8" t="s">
        <v>2089</v>
      </c>
      <c r="L1102" s="8" t="s">
        <v>12343</v>
      </c>
      <c r="M1102" s="8" t="s">
        <v>4139</v>
      </c>
      <c r="N1102" s="8" t="s">
        <v>6190</v>
      </c>
      <c r="O1102" s="5" t="s">
        <v>115</v>
      </c>
      <c r="P1102" s="4">
        <v>45736</v>
      </c>
      <c r="Q1102" s="15">
        <v>30.95</v>
      </c>
      <c r="R1102" s="15">
        <v>14.99</v>
      </c>
      <c r="S1102" s="15">
        <v>0</v>
      </c>
      <c r="T1102"/>
    </row>
    <row r="1103" spans="1:20">
      <c r="A1103" s="5" t="s">
        <v>113</v>
      </c>
      <c r="B1103" s="5" t="s">
        <v>14430</v>
      </c>
      <c r="C1103" s="4">
        <v>45717</v>
      </c>
      <c r="D1103" s="4">
        <v>45718</v>
      </c>
      <c r="E1103" s="5" t="s">
        <v>16517</v>
      </c>
      <c r="F1103" s="5" t="s">
        <v>18506</v>
      </c>
      <c r="G1103" s="5" t="s">
        <v>817</v>
      </c>
      <c r="H1103" s="5">
        <v>1</v>
      </c>
      <c r="I1103" s="8" t="s">
        <v>8244</v>
      </c>
      <c r="J1103" s="8" t="s">
        <v>10293</v>
      </c>
      <c r="K1103" s="8" t="s">
        <v>2090</v>
      </c>
      <c r="L1103" s="8" t="s">
        <v>12344</v>
      </c>
      <c r="M1103" s="8" t="s">
        <v>4140</v>
      </c>
      <c r="N1103" s="8" t="s">
        <v>6191</v>
      </c>
      <c r="O1103" s="5" t="s">
        <v>115</v>
      </c>
      <c r="P1103" s="4">
        <v>45736</v>
      </c>
      <c r="Q1103" s="15">
        <v>30.95</v>
      </c>
      <c r="R1103" s="15">
        <v>14.99</v>
      </c>
      <c r="S1103" s="15">
        <v>0</v>
      </c>
      <c r="T1103"/>
    </row>
    <row r="1104" spans="1:20">
      <c r="A1104" s="5" t="s">
        <v>113</v>
      </c>
      <c r="B1104" s="5" t="s">
        <v>14431</v>
      </c>
      <c r="C1104" s="4">
        <v>45718</v>
      </c>
      <c r="D1104" s="4">
        <v>45718</v>
      </c>
      <c r="E1104" s="5" t="s">
        <v>16518</v>
      </c>
      <c r="F1104" s="5" t="s">
        <v>18507</v>
      </c>
      <c r="G1104" s="5" t="s">
        <v>849</v>
      </c>
      <c r="H1104" s="5">
        <v>1</v>
      </c>
      <c r="I1104" s="8" t="s">
        <v>8245</v>
      </c>
      <c r="J1104" s="8" t="s">
        <v>10294</v>
      </c>
      <c r="K1104" s="8" t="s">
        <v>2091</v>
      </c>
      <c r="L1104" s="8" t="s">
        <v>12345</v>
      </c>
      <c r="M1104" s="8" t="s">
        <v>4141</v>
      </c>
      <c r="N1104" s="8" t="s">
        <v>6192</v>
      </c>
      <c r="O1104" s="5" t="s">
        <v>116</v>
      </c>
      <c r="P1104" s="4">
        <v>45748</v>
      </c>
      <c r="Q1104" s="15">
        <v>65.599999999999994</v>
      </c>
      <c r="R1104" s="15">
        <v>10.17</v>
      </c>
      <c r="S1104" s="15">
        <v>0</v>
      </c>
      <c r="T1104"/>
    </row>
    <row r="1105" spans="1:20">
      <c r="A1105" s="5" t="s">
        <v>108</v>
      </c>
      <c r="B1105" s="5" t="s">
        <v>14432</v>
      </c>
      <c r="C1105" s="4">
        <v>45718</v>
      </c>
      <c r="D1105" s="4">
        <v>45718</v>
      </c>
      <c r="E1105" s="5" t="s">
        <v>16519</v>
      </c>
      <c r="F1105" s="5" t="s">
        <v>18508</v>
      </c>
      <c r="G1105" s="5" t="s">
        <v>849</v>
      </c>
      <c r="H1105" s="5">
        <v>1</v>
      </c>
      <c r="I1105" s="8" t="s">
        <v>8246</v>
      </c>
      <c r="J1105" s="8" t="s">
        <v>10295</v>
      </c>
      <c r="K1105" s="8" t="s">
        <v>2092</v>
      </c>
      <c r="L1105" s="8" t="s">
        <v>12346</v>
      </c>
      <c r="M1105" s="8" t="s">
        <v>4142</v>
      </c>
      <c r="N1105" s="8" t="s">
        <v>6193</v>
      </c>
      <c r="O1105" s="5" t="s">
        <v>111</v>
      </c>
      <c r="P1105" s="4">
        <v>45742</v>
      </c>
      <c r="Q1105" s="15">
        <v>70.989999999999995</v>
      </c>
      <c r="R1105" s="15">
        <v>10.17</v>
      </c>
      <c r="S1105" s="15">
        <v>0</v>
      </c>
      <c r="T1105"/>
    </row>
    <row r="1106" spans="1:20">
      <c r="A1106" s="5" t="s">
        <v>36</v>
      </c>
      <c r="B1106" s="5" t="s">
        <v>14433</v>
      </c>
      <c r="C1106" s="4">
        <v>45718</v>
      </c>
      <c r="D1106" s="4">
        <v>45721</v>
      </c>
      <c r="E1106" s="5" t="s">
        <v>16520</v>
      </c>
      <c r="F1106" s="5" t="s">
        <v>18509</v>
      </c>
      <c r="G1106" s="5" t="s">
        <v>836</v>
      </c>
      <c r="H1106" s="5">
        <v>1</v>
      </c>
      <c r="I1106" s="8" t="s">
        <v>8247</v>
      </c>
      <c r="J1106" s="8" t="s">
        <v>10296</v>
      </c>
      <c r="K1106" s="8" t="s">
        <v>2093</v>
      </c>
      <c r="L1106" s="8" t="s">
        <v>12347</v>
      </c>
      <c r="M1106" s="8" t="s">
        <v>4143</v>
      </c>
      <c r="N1106" s="8" t="s">
        <v>6194</v>
      </c>
      <c r="O1106" s="5" t="s">
        <v>55</v>
      </c>
      <c r="P1106" s="4">
        <v>45742</v>
      </c>
      <c r="Q1106" s="15">
        <v>23.5</v>
      </c>
      <c r="R1106" s="15">
        <v>12.8</v>
      </c>
      <c r="S1106" s="15">
        <v>0</v>
      </c>
      <c r="T1106"/>
    </row>
    <row r="1107" spans="1:20">
      <c r="A1107" s="5" t="s">
        <v>36</v>
      </c>
      <c r="B1107" s="5" t="s">
        <v>14434</v>
      </c>
      <c r="C1107" s="4">
        <v>45719</v>
      </c>
      <c r="D1107" s="4">
        <v>45720</v>
      </c>
      <c r="E1107" s="5" t="s">
        <v>16521</v>
      </c>
      <c r="F1107" s="5" t="s">
        <v>18510</v>
      </c>
      <c r="G1107" s="5" t="s">
        <v>833</v>
      </c>
      <c r="H1107" s="5">
        <v>1</v>
      </c>
      <c r="I1107" s="8" t="s">
        <v>8248</v>
      </c>
      <c r="J1107" s="8" t="s">
        <v>10297</v>
      </c>
      <c r="K1107" s="8" t="s">
        <v>2094</v>
      </c>
      <c r="L1107" s="8" t="s">
        <v>12348</v>
      </c>
      <c r="M1107" s="8" t="s">
        <v>4144</v>
      </c>
      <c r="N1107" s="8" t="s">
        <v>6195</v>
      </c>
      <c r="O1107" s="5" t="s">
        <v>49</v>
      </c>
      <c r="P1107" s="4">
        <v>45736</v>
      </c>
      <c r="Q1107" s="15">
        <v>23.9</v>
      </c>
      <c r="R1107" s="15">
        <v>6.99</v>
      </c>
      <c r="S1107" s="15">
        <v>0</v>
      </c>
      <c r="T1107"/>
    </row>
    <row r="1108" spans="1:20">
      <c r="A1108" s="5" t="s">
        <v>36</v>
      </c>
      <c r="B1108" s="5" t="s">
        <v>14435</v>
      </c>
      <c r="C1108" s="4">
        <v>45719</v>
      </c>
      <c r="D1108" s="4">
        <v>45720</v>
      </c>
      <c r="E1108" s="5" t="s">
        <v>16522</v>
      </c>
      <c r="F1108" s="5" t="s">
        <v>18511</v>
      </c>
      <c r="G1108" s="5" t="s">
        <v>833</v>
      </c>
      <c r="H1108" s="5">
        <v>1</v>
      </c>
      <c r="I1108" s="8" t="s">
        <v>8249</v>
      </c>
      <c r="J1108" s="8" t="s">
        <v>10298</v>
      </c>
      <c r="K1108" s="8" t="s">
        <v>2095</v>
      </c>
      <c r="L1108" s="8" t="s">
        <v>12349</v>
      </c>
      <c r="M1108" s="8" t="s">
        <v>4145</v>
      </c>
      <c r="N1108" s="8" t="s">
        <v>6196</v>
      </c>
      <c r="O1108" s="5" t="s">
        <v>49</v>
      </c>
      <c r="P1108" s="4">
        <v>45736</v>
      </c>
      <c r="Q1108" s="15">
        <v>23.9</v>
      </c>
      <c r="R1108" s="15">
        <v>6.99</v>
      </c>
      <c r="S1108" s="15">
        <v>0</v>
      </c>
      <c r="T1108"/>
    </row>
    <row r="1109" spans="1:20">
      <c r="A1109" s="5" t="s">
        <v>36</v>
      </c>
      <c r="B1109" s="5" t="s">
        <v>14436</v>
      </c>
      <c r="C1109" s="4">
        <v>45719</v>
      </c>
      <c r="D1109" s="4">
        <v>45720</v>
      </c>
      <c r="E1109" s="5" t="s">
        <v>16523</v>
      </c>
      <c r="F1109" s="5" t="s">
        <v>18512</v>
      </c>
      <c r="G1109" s="5" t="s">
        <v>876</v>
      </c>
      <c r="H1109" s="5">
        <v>1</v>
      </c>
      <c r="I1109" s="8" t="s">
        <v>8250</v>
      </c>
      <c r="J1109" s="8" t="s">
        <v>10299</v>
      </c>
      <c r="K1109" s="8" t="s">
        <v>2096</v>
      </c>
      <c r="L1109" s="8" t="s">
        <v>12350</v>
      </c>
      <c r="M1109" s="8" t="s">
        <v>4146</v>
      </c>
      <c r="N1109" s="8" t="s">
        <v>6197</v>
      </c>
      <c r="O1109" s="5" t="s">
        <v>93</v>
      </c>
      <c r="P1109" s="4">
        <v>45755</v>
      </c>
      <c r="Q1109" s="15">
        <v>55.99</v>
      </c>
      <c r="R1109" s="15">
        <v>0</v>
      </c>
      <c r="S1109" s="15">
        <v>0</v>
      </c>
      <c r="T1109"/>
    </row>
    <row r="1110" spans="1:20">
      <c r="A1110" s="5" t="s">
        <v>36</v>
      </c>
      <c r="B1110" s="5" t="s">
        <v>14437</v>
      </c>
      <c r="C1110" s="4">
        <v>45720</v>
      </c>
      <c r="D1110" s="4">
        <v>45720</v>
      </c>
      <c r="E1110" s="5" t="s">
        <v>16524</v>
      </c>
      <c r="F1110" s="5" t="s">
        <v>18513</v>
      </c>
      <c r="G1110" s="5" t="s">
        <v>849</v>
      </c>
      <c r="H1110" s="5">
        <v>1</v>
      </c>
      <c r="I1110" s="8" t="s">
        <v>8251</v>
      </c>
      <c r="J1110" s="8" t="s">
        <v>10300</v>
      </c>
      <c r="K1110" s="8" t="s">
        <v>2097</v>
      </c>
      <c r="L1110" s="8" t="s">
        <v>12351</v>
      </c>
      <c r="M1110" s="8" t="s">
        <v>4147</v>
      </c>
      <c r="N1110" s="8" t="s">
        <v>6198</v>
      </c>
      <c r="O1110" s="5" t="s">
        <v>61</v>
      </c>
      <c r="P1110" s="4">
        <v>45748</v>
      </c>
      <c r="Q1110" s="15">
        <v>65.599999999999994</v>
      </c>
      <c r="R1110" s="15">
        <v>10.52</v>
      </c>
      <c r="S1110" s="15">
        <v>0</v>
      </c>
      <c r="T1110"/>
    </row>
    <row r="1111" spans="1:20">
      <c r="A1111" s="5" t="s">
        <v>36</v>
      </c>
      <c r="B1111" s="5" t="s">
        <v>14438</v>
      </c>
      <c r="C1111" s="4">
        <v>45720</v>
      </c>
      <c r="D1111" s="4">
        <v>45720</v>
      </c>
      <c r="E1111" s="5" t="s">
        <v>16525</v>
      </c>
      <c r="F1111" s="5" t="s">
        <v>18514</v>
      </c>
      <c r="G1111" s="5" t="s">
        <v>836</v>
      </c>
      <c r="H1111" s="5">
        <v>1</v>
      </c>
      <c r="I1111" s="8" t="s">
        <v>8252</v>
      </c>
      <c r="J1111" s="8" t="s">
        <v>10301</v>
      </c>
      <c r="K1111" s="8" t="s">
        <v>2098</v>
      </c>
      <c r="L1111" s="8" t="s">
        <v>12352</v>
      </c>
      <c r="M1111" s="8" t="s">
        <v>4148</v>
      </c>
      <c r="N1111" s="8" t="s">
        <v>6199</v>
      </c>
      <c r="O1111" s="5" t="s">
        <v>55</v>
      </c>
      <c r="P1111" s="4">
        <v>45736</v>
      </c>
      <c r="Q1111" s="15">
        <v>23.5</v>
      </c>
      <c r="R1111" s="15">
        <v>13.8</v>
      </c>
      <c r="S1111" s="15">
        <v>0</v>
      </c>
      <c r="T1111"/>
    </row>
    <row r="1112" spans="1:20">
      <c r="A1112" s="5" t="s">
        <v>36</v>
      </c>
      <c r="B1112" s="5" t="s">
        <v>14439</v>
      </c>
      <c r="C1112" s="4">
        <v>45720</v>
      </c>
      <c r="D1112" s="4">
        <v>45721</v>
      </c>
      <c r="E1112" s="5" t="s">
        <v>16526</v>
      </c>
      <c r="F1112" s="5" t="s">
        <v>18515</v>
      </c>
      <c r="G1112" s="5" t="s">
        <v>855</v>
      </c>
      <c r="H1112" s="5">
        <v>1</v>
      </c>
      <c r="I1112" s="8" t="s">
        <v>8253</v>
      </c>
      <c r="J1112" s="8" t="s">
        <v>10302</v>
      </c>
      <c r="K1112" s="8" t="s">
        <v>2099</v>
      </c>
      <c r="L1112" s="8" t="s">
        <v>12353</v>
      </c>
      <c r="M1112" s="8" t="s">
        <v>4149</v>
      </c>
      <c r="N1112" s="8" t="s">
        <v>6200</v>
      </c>
      <c r="O1112" s="5" t="s">
        <v>81</v>
      </c>
      <c r="P1112" s="4">
        <v>45736</v>
      </c>
      <c r="Q1112" s="15">
        <v>26.99</v>
      </c>
      <c r="R1112" s="15">
        <v>13.4</v>
      </c>
      <c r="S1112" s="15">
        <v>0</v>
      </c>
      <c r="T1112"/>
    </row>
    <row r="1113" spans="1:20">
      <c r="A1113" s="5" t="s">
        <v>36</v>
      </c>
      <c r="B1113" s="5" t="s">
        <v>14440</v>
      </c>
      <c r="C1113" s="4">
        <v>45720</v>
      </c>
      <c r="D1113" s="4">
        <v>45721</v>
      </c>
      <c r="E1113" s="5" t="s">
        <v>16527</v>
      </c>
      <c r="F1113" s="5" t="s">
        <v>18516</v>
      </c>
      <c r="G1113" s="5" t="s">
        <v>836</v>
      </c>
      <c r="H1113" s="5">
        <v>1</v>
      </c>
      <c r="I1113" s="8" t="s">
        <v>8254</v>
      </c>
      <c r="J1113" s="8" t="s">
        <v>10303</v>
      </c>
      <c r="K1113" s="8" t="s">
        <v>2100</v>
      </c>
      <c r="L1113" s="8" t="s">
        <v>12354</v>
      </c>
      <c r="M1113" s="8" t="s">
        <v>4150</v>
      </c>
      <c r="N1113" s="8" t="s">
        <v>6201</v>
      </c>
      <c r="O1113" s="5" t="s">
        <v>55</v>
      </c>
      <c r="P1113" s="4">
        <v>45742</v>
      </c>
      <c r="Q1113" s="15">
        <v>23.5</v>
      </c>
      <c r="R1113" s="15">
        <v>12.8</v>
      </c>
      <c r="S1113" s="15">
        <v>0</v>
      </c>
      <c r="T1113"/>
    </row>
    <row r="1114" spans="1:20">
      <c r="A1114" s="5" t="s">
        <v>36</v>
      </c>
      <c r="B1114" s="5" t="s">
        <v>14441</v>
      </c>
      <c r="C1114" s="4">
        <v>45720</v>
      </c>
      <c r="D1114" s="4">
        <v>45721</v>
      </c>
      <c r="E1114" s="5" t="s">
        <v>16528</v>
      </c>
      <c r="F1114" s="5" t="s">
        <v>18517</v>
      </c>
      <c r="G1114" s="5" t="s">
        <v>876</v>
      </c>
      <c r="H1114" s="5">
        <v>1</v>
      </c>
      <c r="I1114" s="8" t="s">
        <v>8255</v>
      </c>
      <c r="J1114" s="8" t="s">
        <v>10304</v>
      </c>
      <c r="K1114" s="8" t="s">
        <v>2101</v>
      </c>
      <c r="L1114" s="8" t="s">
        <v>12355</v>
      </c>
      <c r="M1114" s="8" t="s">
        <v>4151</v>
      </c>
      <c r="N1114" s="8" t="s">
        <v>6202</v>
      </c>
      <c r="O1114" s="5" t="s">
        <v>93</v>
      </c>
      <c r="P1114" s="4">
        <v>45748</v>
      </c>
      <c r="Q1114" s="15">
        <v>55.99</v>
      </c>
      <c r="R1114" s="15">
        <v>0</v>
      </c>
      <c r="S1114" s="15">
        <v>0</v>
      </c>
      <c r="T1114"/>
    </row>
    <row r="1115" spans="1:20">
      <c r="A1115" s="5" t="s">
        <v>36</v>
      </c>
      <c r="B1115" s="5" t="s">
        <v>14442</v>
      </c>
      <c r="C1115" s="4">
        <v>45720</v>
      </c>
      <c r="D1115" s="4">
        <v>45721</v>
      </c>
      <c r="E1115" s="5" t="s">
        <v>16529</v>
      </c>
      <c r="F1115" s="5" t="s">
        <v>18518</v>
      </c>
      <c r="G1115" s="5" t="s">
        <v>876</v>
      </c>
      <c r="H1115" s="5">
        <v>1</v>
      </c>
      <c r="I1115" s="8" t="s">
        <v>8256</v>
      </c>
      <c r="J1115" s="8" t="s">
        <v>10305</v>
      </c>
      <c r="K1115" s="8" t="s">
        <v>2102</v>
      </c>
      <c r="L1115" s="8" t="s">
        <v>12356</v>
      </c>
      <c r="M1115" s="8" t="s">
        <v>4152</v>
      </c>
      <c r="N1115" s="8" t="s">
        <v>6203</v>
      </c>
      <c r="O1115" s="5" t="s">
        <v>93</v>
      </c>
      <c r="P1115" s="4">
        <v>45748</v>
      </c>
      <c r="Q1115" s="15">
        <v>55.99</v>
      </c>
      <c r="R1115" s="15">
        <v>0</v>
      </c>
      <c r="S1115" s="15">
        <v>0</v>
      </c>
      <c r="T1115"/>
    </row>
    <row r="1116" spans="1:20">
      <c r="A1116" s="5" t="s">
        <v>113</v>
      </c>
      <c r="B1116" s="5" t="s">
        <v>14443</v>
      </c>
      <c r="C1116" s="4">
        <v>45720</v>
      </c>
      <c r="D1116" s="4">
        <v>45721</v>
      </c>
      <c r="E1116" s="5" t="s">
        <v>16530</v>
      </c>
      <c r="F1116" s="5" t="s">
        <v>18519</v>
      </c>
      <c r="G1116" s="5" t="s">
        <v>817</v>
      </c>
      <c r="H1116" s="5">
        <v>1</v>
      </c>
      <c r="I1116" s="8" t="s">
        <v>8257</v>
      </c>
      <c r="J1116" s="8" t="s">
        <v>10306</v>
      </c>
      <c r="K1116" s="8" t="s">
        <v>2103</v>
      </c>
      <c r="L1116" s="8" t="s">
        <v>12357</v>
      </c>
      <c r="M1116" s="8" t="s">
        <v>4153</v>
      </c>
      <c r="N1116" s="8" t="s">
        <v>6204</v>
      </c>
      <c r="O1116" s="5" t="s">
        <v>115</v>
      </c>
      <c r="P1116" s="4">
        <v>45742</v>
      </c>
      <c r="Q1116" s="15">
        <v>30.95</v>
      </c>
      <c r="R1116" s="15">
        <v>13.99</v>
      </c>
      <c r="S1116" s="15">
        <v>0</v>
      </c>
      <c r="T1116"/>
    </row>
    <row r="1117" spans="1:20">
      <c r="A1117" s="5" t="s">
        <v>108</v>
      </c>
      <c r="B1117" s="5" t="s">
        <v>14444</v>
      </c>
      <c r="C1117" s="4">
        <v>45720</v>
      </c>
      <c r="D1117" s="4">
        <v>45721</v>
      </c>
      <c r="E1117" s="5" t="s">
        <v>16531</v>
      </c>
      <c r="F1117" s="5" t="s">
        <v>18520</v>
      </c>
      <c r="G1117" s="5" t="s">
        <v>849</v>
      </c>
      <c r="H1117" s="5">
        <v>1</v>
      </c>
      <c r="I1117" s="8" t="s">
        <v>8205</v>
      </c>
      <c r="J1117" s="8" t="s">
        <v>10254</v>
      </c>
      <c r="K1117" s="8" t="s">
        <v>2051</v>
      </c>
      <c r="L1117" s="8" t="s">
        <v>12305</v>
      </c>
      <c r="M1117" s="8" t="s">
        <v>4101</v>
      </c>
      <c r="N1117" s="8" t="s">
        <v>6152</v>
      </c>
      <c r="O1117" s="5" t="s">
        <v>111</v>
      </c>
      <c r="P1117" s="4">
        <v>45748</v>
      </c>
      <c r="Q1117" s="15">
        <v>70.989999999999995</v>
      </c>
      <c r="R1117" s="15">
        <v>14.7</v>
      </c>
      <c r="S1117" s="15">
        <v>0</v>
      </c>
      <c r="T1117"/>
    </row>
    <row r="1118" spans="1:20">
      <c r="A1118" s="5" t="s">
        <v>36</v>
      </c>
      <c r="B1118" s="5" t="s">
        <v>14445</v>
      </c>
      <c r="C1118" s="4">
        <v>45721</v>
      </c>
      <c r="D1118" s="4">
        <v>45721</v>
      </c>
      <c r="E1118" s="5" t="s">
        <v>16532</v>
      </c>
      <c r="F1118" s="5" t="s">
        <v>18521</v>
      </c>
      <c r="G1118" s="5" t="s">
        <v>849</v>
      </c>
      <c r="H1118" s="5">
        <v>1</v>
      </c>
      <c r="I1118" s="8" t="s">
        <v>8258</v>
      </c>
      <c r="J1118" s="8" t="s">
        <v>10307</v>
      </c>
      <c r="K1118" s="8" t="s">
        <v>2104</v>
      </c>
      <c r="L1118" s="8" t="s">
        <v>12358</v>
      </c>
      <c r="M1118" s="8" t="s">
        <v>4154</v>
      </c>
      <c r="N1118" s="8" t="s">
        <v>6205</v>
      </c>
      <c r="O1118" s="5" t="s">
        <v>61</v>
      </c>
      <c r="P1118" s="4">
        <v>45748</v>
      </c>
      <c r="Q1118" s="15">
        <v>65.599999999999994</v>
      </c>
      <c r="R1118" s="15">
        <v>10.15</v>
      </c>
      <c r="S1118" s="15">
        <v>0</v>
      </c>
      <c r="T1118"/>
    </row>
    <row r="1119" spans="1:20">
      <c r="A1119" s="5" t="s">
        <v>36</v>
      </c>
      <c r="B1119" s="5" t="s">
        <v>14446</v>
      </c>
      <c r="C1119" s="4">
        <v>45721</v>
      </c>
      <c r="D1119" s="4">
        <v>45721</v>
      </c>
      <c r="E1119" s="5" t="s">
        <v>16533</v>
      </c>
      <c r="F1119" s="5" t="s">
        <v>18522</v>
      </c>
      <c r="G1119" s="5" t="s">
        <v>849</v>
      </c>
      <c r="H1119" s="5">
        <v>1</v>
      </c>
      <c r="I1119" s="8" t="s">
        <v>8259</v>
      </c>
      <c r="J1119" s="8" t="s">
        <v>10308</v>
      </c>
      <c r="K1119" s="8" t="s">
        <v>2105</v>
      </c>
      <c r="L1119" s="8" t="s">
        <v>12359</v>
      </c>
      <c r="M1119" s="8" t="s">
        <v>4155</v>
      </c>
      <c r="N1119" s="8" t="s">
        <v>6206</v>
      </c>
      <c r="O1119" s="5" t="s">
        <v>61</v>
      </c>
      <c r="P1119" s="4">
        <v>45742</v>
      </c>
      <c r="Q1119" s="15">
        <v>70.599999999999994</v>
      </c>
      <c r="R1119" s="15">
        <v>10.15</v>
      </c>
      <c r="S1119" s="15">
        <v>0</v>
      </c>
      <c r="T1119"/>
    </row>
    <row r="1120" spans="1:20">
      <c r="A1120" s="5" t="s">
        <v>36</v>
      </c>
      <c r="B1120" s="5" t="s">
        <v>14447</v>
      </c>
      <c r="C1120" s="4">
        <v>45721</v>
      </c>
      <c r="D1120" s="4">
        <v>45721</v>
      </c>
      <c r="E1120" s="5" t="s">
        <v>16534</v>
      </c>
      <c r="F1120" s="5" t="s">
        <v>18523</v>
      </c>
      <c r="G1120" s="5" t="s">
        <v>872</v>
      </c>
      <c r="H1120" s="5">
        <v>1</v>
      </c>
      <c r="I1120" s="8" t="s">
        <v>8260</v>
      </c>
      <c r="J1120" s="8" t="s">
        <v>10309</v>
      </c>
      <c r="K1120" s="8" t="s">
        <v>2106</v>
      </c>
      <c r="L1120" s="8" t="s">
        <v>12360</v>
      </c>
      <c r="M1120" s="8" t="s">
        <v>4156</v>
      </c>
      <c r="N1120" s="8" t="s">
        <v>6207</v>
      </c>
      <c r="O1120" s="5" t="s">
        <v>98</v>
      </c>
      <c r="P1120" s="4">
        <v>45736</v>
      </c>
      <c r="Q1120" s="15">
        <v>25.99</v>
      </c>
      <c r="R1120" s="15">
        <v>12.3</v>
      </c>
      <c r="S1120" s="15">
        <v>0</v>
      </c>
      <c r="T1120"/>
    </row>
    <row r="1121" spans="1:20">
      <c r="A1121" s="5" t="s">
        <v>36</v>
      </c>
      <c r="B1121" s="5" t="s">
        <v>14448</v>
      </c>
      <c r="C1121" s="4">
        <v>45721</v>
      </c>
      <c r="D1121" s="4" t="s">
        <v>37</v>
      </c>
      <c r="E1121" s="5" t="s">
        <v>37</v>
      </c>
      <c r="F1121" s="5" t="s">
        <v>37</v>
      </c>
      <c r="G1121" s="5" t="s">
        <v>831</v>
      </c>
      <c r="H1121" s="5">
        <v>1</v>
      </c>
      <c r="I1121" s="8" t="s">
        <v>8261</v>
      </c>
      <c r="J1121" s="8" t="s">
        <v>10310</v>
      </c>
      <c r="K1121" s="8" t="s">
        <v>2107</v>
      </c>
      <c r="L1121" s="8" t="s">
        <v>12361</v>
      </c>
      <c r="M1121" s="8" t="s">
        <v>4157</v>
      </c>
      <c r="N1121" s="8" t="s">
        <v>6208</v>
      </c>
      <c r="O1121" s="5" t="s">
        <v>41</v>
      </c>
      <c r="P1121" s="4">
        <v>45748</v>
      </c>
      <c r="Q1121" s="15">
        <v>61.5</v>
      </c>
      <c r="R1121" s="15">
        <v>0</v>
      </c>
      <c r="S1121" s="15">
        <v>0</v>
      </c>
      <c r="T1121"/>
    </row>
    <row r="1122" spans="1:20">
      <c r="A1122" s="5" t="s">
        <v>36</v>
      </c>
      <c r="B1122" s="5" t="s">
        <v>14449</v>
      </c>
      <c r="C1122" s="4">
        <v>45720</v>
      </c>
      <c r="D1122" s="4">
        <v>45721</v>
      </c>
      <c r="E1122" s="5" t="s">
        <v>16535</v>
      </c>
      <c r="F1122" s="5" t="s">
        <v>18524</v>
      </c>
      <c r="G1122" s="5" t="s">
        <v>831</v>
      </c>
      <c r="H1122" s="5">
        <v>1</v>
      </c>
      <c r="I1122" s="8" t="s">
        <v>8262</v>
      </c>
      <c r="J1122" s="8" t="s">
        <v>10311</v>
      </c>
      <c r="K1122" s="8" t="s">
        <v>2108</v>
      </c>
      <c r="L1122" s="8" t="s">
        <v>12362</v>
      </c>
      <c r="M1122" s="8" t="s">
        <v>4158</v>
      </c>
      <c r="N1122" s="8" t="s">
        <v>6209</v>
      </c>
      <c r="O1122" s="5" t="s">
        <v>41</v>
      </c>
      <c r="P1122" s="4">
        <v>45742</v>
      </c>
      <c r="Q1122" s="15">
        <v>61.5</v>
      </c>
      <c r="R1122" s="15">
        <v>13.36</v>
      </c>
      <c r="S1122" s="15">
        <v>0</v>
      </c>
      <c r="T1122"/>
    </row>
    <row r="1123" spans="1:20">
      <c r="A1123" s="5" t="s">
        <v>36</v>
      </c>
      <c r="B1123" s="5" t="s">
        <v>14450</v>
      </c>
      <c r="C1123" s="4">
        <v>45721</v>
      </c>
      <c r="D1123" s="4">
        <v>45721</v>
      </c>
      <c r="E1123" s="5" t="s">
        <v>16536</v>
      </c>
      <c r="F1123" s="5" t="s">
        <v>18525</v>
      </c>
      <c r="G1123" s="5" t="s">
        <v>824</v>
      </c>
      <c r="H1123" s="5">
        <v>1</v>
      </c>
      <c r="I1123" s="8" t="s">
        <v>8263</v>
      </c>
      <c r="J1123" s="8" t="s">
        <v>10312</v>
      </c>
      <c r="K1123" s="8" t="s">
        <v>2109</v>
      </c>
      <c r="L1123" s="8" t="s">
        <v>12363</v>
      </c>
      <c r="M1123" s="8" t="s">
        <v>4159</v>
      </c>
      <c r="N1123" s="8" t="s">
        <v>6210</v>
      </c>
      <c r="O1123" s="5" t="s">
        <v>38</v>
      </c>
      <c r="P1123" s="4">
        <v>45742</v>
      </c>
      <c r="Q1123" s="15">
        <v>24.99</v>
      </c>
      <c r="R1123" s="15">
        <v>0</v>
      </c>
      <c r="S1123" s="15">
        <v>0</v>
      </c>
      <c r="T1123"/>
    </row>
    <row r="1124" spans="1:20">
      <c r="A1124" s="5" t="s">
        <v>113</v>
      </c>
      <c r="B1124" s="5" t="s">
        <v>14451</v>
      </c>
      <c r="C1124" s="4">
        <v>45721</v>
      </c>
      <c r="D1124" s="4">
        <v>45721</v>
      </c>
      <c r="E1124" s="5" t="s">
        <v>16537</v>
      </c>
      <c r="F1124" s="5" t="s">
        <v>18526</v>
      </c>
      <c r="G1124" s="5" t="s">
        <v>849</v>
      </c>
      <c r="H1124" s="5">
        <v>1</v>
      </c>
      <c r="I1124" s="8" t="s">
        <v>8264</v>
      </c>
      <c r="J1124" s="8" t="s">
        <v>10313</v>
      </c>
      <c r="K1124" s="8" t="s">
        <v>2110</v>
      </c>
      <c r="L1124" s="8" t="s">
        <v>12364</v>
      </c>
      <c r="M1124" s="8" t="s">
        <v>4160</v>
      </c>
      <c r="N1124" s="8" t="s">
        <v>6211</v>
      </c>
      <c r="O1124" s="5" t="s">
        <v>116</v>
      </c>
      <c r="P1124" s="4">
        <v>45748</v>
      </c>
      <c r="Q1124" s="15">
        <v>65.599999999999994</v>
      </c>
      <c r="R1124" s="15">
        <v>14.7</v>
      </c>
      <c r="S1124" s="15">
        <v>0</v>
      </c>
      <c r="T1124"/>
    </row>
    <row r="1125" spans="1:20">
      <c r="A1125" s="5" t="s">
        <v>113</v>
      </c>
      <c r="B1125" s="5" t="s">
        <v>14452</v>
      </c>
      <c r="C1125" s="4">
        <v>45722</v>
      </c>
      <c r="D1125" s="4">
        <v>45721</v>
      </c>
      <c r="E1125" s="5" t="s">
        <v>16538</v>
      </c>
      <c r="F1125" s="5" t="s">
        <v>18527</v>
      </c>
      <c r="G1125" s="5" t="s">
        <v>817</v>
      </c>
      <c r="H1125" s="5">
        <v>1</v>
      </c>
      <c r="I1125" s="8" t="s">
        <v>8265</v>
      </c>
      <c r="J1125" s="8" t="s">
        <v>10314</v>
      </c>
      <c r="K1125" s="8" t="s">
        <v>2111</v>
      </c>
      <c r="L1125" s="8" t="s">
        <v>12365</v>
      </c>
      <c r="M1125" s="8" t="s">
        <v>4161</v>
      </c>
      <c r="N1125" s="8" t="s">
        <v>6212</v>
      </c>
      <c r="O1125" s="5" t="s">
        <v>115</v>
      </c>
      <c r="P1125" s="4">
        <v>45736</v>
      </c>
      <c r="Q1125" s="15">
        <v>30.95</v>
      </c>
      <c r="R1125" s="15">
        <v>13.99</v>
      </c>
      <c r="S1125" s="15">
        <v>0</v>
      </c>
      <c r="T1125"/>
    </row>
    <row r="1126" spans="1:20">
      <c r="A1126" s="5" t="s">
        <v>36</v>
      </c>
      <c r="B1126" s="5" t="s">
        <v>14453</v>
      </c>
      <c r="C1126" s="4">
        <v>45722</v>
      </c>
      <c r="D1126" s="4">
        <v>45722</v>
      </c>
      <c r="E1126" s="5" t="s">
        <v>16539</v>
      </c>
      <c r="F1126" s="5" t="s">
        <v>18528</v>
      </c>
      <c r="G1126" s="5" t="s">
        <v>836</v>
      </c>
      <c r="H1126" s="5">
        <v>1</v>
      </c>
      <c r="I1126" s="8" t="s">
        <v>8266</v>
      </c>
      <c r="J1126" s="8" t="s">
        <v>10315</v>
      </c>
      <c r="K1126" s="8" t="s">
        <v>2112</v>
      </c>
      <c r="L1126" s="8" t="s">
        <v>12366</v>
      </c>
      <c r="M1126" s="8" t="s">
        <v>4162</v>
      </c>
      <c r="N1126" s="8" t="s">
        <v>6213</v>
      </c>
      <c r="O1126" s="5" t="s">
        <v>55</v>
      </c>
      <c r="P1126" s="4">
        <v>45743</v>
      </c>
      <c r="Q1126" s="15">
        <v>23.5</v>
      </c>
      <c r="R1126" s="15">
        <v>0</v>
      </c>
      <c r="S1126" s="15">
        <v>0</v>
      </c>
      <c r="T1126"/>
    </row>
    <row r="1127" spans="1:20">
      <c r="A1127" s="5" t="s">
        <v>36</v>
      </c>
      <c r="B1127" s="5" t="s">
        <v>14454</v>
      </c>
      <c r="C1127" s="4">
        <v>45722</v>
      </c>
      <c r="D1127" s="4">
        <v>45722</v>
      </c>
      <c r="E1127" s="5" t="s">
        <v>16540</v>
      </c>
      <c r="F1127" s="5" t="s">
        <v>18529</v>
      </c>
      <c r="G1127" s="5" t="s">
        <v>876</v>
      </c>
      <c r="H1127" s="5">
        <v>1</v>
      </c>
      <c r="I1127" s="8" t="s">
        <v>8267</v>
      </c>
      <c r="J1127" s="8" t="s">
        <v>10316</v>
      </c>
      <c r="K1127" s="8" t="s">
        <v>2113</v>
      </c>
      <c r="L1127" s="8" t="s">
        <v>12367</v>
      </c>
      <c r="M1127" s="8" t="s">
        <v>4163</v>
      </c>
      <c r="N1127" s="8" t="s">
        <v>6214</v>
      </c>
      <c r="O1127" s="5" t="s">
        <v>93</v>
      </c>
      <c r="P1127" s="4">
        <v>45756</v>
      </c>
      <c r="Q1127" s="15">
        <v>55.99</v>
      </c>
      <c r="R1127" s="15">
        <v>14.07</v>
      </c>
      <c r="S1127" s="15">
        <v>0</v>
      </c>
      <c r="T1127"/>
    </row>
    <row r="1128" spans="1:20">
      <c r="A1128" s="5" t="s">
        <v>113</v>
      </c>
      <c r="B1128" s="5" t="s">
        <v>14455</v>
      </c>
      <c r="C1128" s="4">
        <v>45722</v>
      </c>
      <c r="D1128" s="4">
        <v>45722</v>
      </c>
      <c r="E1128" s="5" t="s">
        <v>16541</v>
      </c>
      <c r="F1128" s="5" t="s">
        <v>18530</v>
      </c>
      <c r="G1128" s="5" t="s">
        <v>849</v>
      </c>
      <c r="H1128" s="5">
        <v>1</v>
      </c>
      <c r="I1128" s="8" t="s">
        <v>8268</v>
      </c>
      <c r="J1128" s="8" t="s">
        <v>10317</v>
      </c>
      <c r="K1128" s="8" t="s">
        <v>2114</v>
      </c>
      <c r="L1128" s="8" t="s">
        <v>12368</v>
      </c>
      <c r="M1128" s="8" t="s">
        <v>4164</v>
      </c>
      <c r="N1128" s="8" t="s">
        <v>6215</v>
      </c>
      <c r="O1128" s="5" t="s">
        <v>116</v>
      </c>
      <c r="P1128" s="4">
        <v>45745</v>
      </c>
      <c r="Q1128" s="15">
        <v>65.599999999999994</v>
      </c>
      <c r="R1128" s="15">
        <v>11.74</v>
      </c>
      <c r="S1128" s="15">
        <v>0</v>
      </c>
      <c r="T1128"/>
    </row>
    <row r="1129" spans="1:20">
      <c r="A1129" s="5" t="s">
        <v>113</v>
      </c>
      <c r="B1129" s="5" t="s">
        <v>14456</v>
      </c>
      <c r="C1129" s="4">
        <v>45722</v>
      </c>
      <c r="D1129" s="4">
        <v>45722</v>
      </c>
      <c r="E1129" s="5" t="s">
        <v>16542</v>
      </c>
      <c r="F1129" s="5" t="s">
        <v>18531</v>
      </c>
      <c r="G1129" s="5" t="s">
        <v>817</v>
      </c>
      <c r="H1129" s="5">
        <v>1</v>
      </c>
      <c r="I1129" s="8" t="s">
        <v>8269</v>
      </c>
      <c r="J1129" s="8" t="s">
        <v>10318</v>
      </c>
      <c r="K1129" s="8" t="s">
        <v>2115</v>
      </c>
      <c r="L1129" s="8" t="s">
        <v>12369</v>
      </c>
      <c r="M1129" s="8" t="s">
        <v>4165</v>
      </c>
      <c r="N1129" s="8" t="s">
        <v>6216</v>
      </c>
      <c r="O1129" s="5" t="s">
        <v>115</v>
      </c>
      <c r="P1129" s="4">
        <v>45737</v>
      </c>
      <c r="Q1129" s="15">
        <v>30.95</v>
      </c>
      <c r="R1129" s="15">
        <v>13.99</v>
      </c>
      <c r="S1129" s="15">
        <v>0</v>
      </c>
      <c r="T1129"/>
    </row>
    <row r="1130" spans="1:20">
      <c r="A1130" s="5" t="s">
        <v>113</v>
      </c>
      <c r="B1130" s="5" t="s">
        <v>14457</v>
      </c>
      <c r="C1130" s="4">
        <v>45722</v>
      </c>
      <c r="D1130" s="4">
        <v>45722</v>
      </c>
      <c r="E1130" s="5" t="s">
        <v>16543</v>
      </c>
      <c r="F1130" s="5" t="s">
        <v>18532</v>
      </c>
      <c r="G1130" s="5" t="s">
        <v>849</v>
      </c>
      <c r="H1130" s="5">
        <v>1</v>
      </c>
      <c r="I1130" s="8" t="s">
        <v>8270</v>
      </c>
      <c r="J1130" s="8" t="s">
        <v>10319</v>
      </c>
      <c r="K1130" s="8" t="s">
        <v>2116</v>
      </c>
      <c r="L1130" s="8" t="s">
        <v>12370</v>
      </c>
      <c r="M1130" s="8" t="s">
        <v>4166</v>
      </c>
      <c r="N1130" s="8" t="s">
        <v>6217</v>
      </c>
      <c r="O1130" s="5" t="s">
        <v>116</v>
      </c>
      <c r="P1130" s="4">
        <v>45749</v>
      </c>
      <c r="Q1130" s="15">
        <v>65.599999999999994</v>
      </c>
      <c r="R1130" s="15">
        <v>11.74</v>
      </c>
      <c r="S1130" s="15">
        <v>0</v>
      </c>
      <c r="T1130"/>
    </row>
    <row r="1131" spans="1:20">
      <c r="A1131" s="5" t="s">
        <v>108</v>
      </c>
      <c r="B1131" s="5" t="s">
        <v>14458</v>
      </c>
      <c r="C1131" s="4">
        <v>45722</v>
      </c>
      <c r="D1131" s="4">
        <v>45722</v>
      </c>
      <c r="E1131" s="5" t="s">
        <v>16544</v>
      </c>
      <c r="F1131" s="5" t="s">
        <v>18533</v>
      </c>
      <c r="G1131" s="5" t="s">
        <v>883</v>
      </c>
      <c r="H1131" s="5">
        <v>1</v>
      </c>
      <c r="I1131" s="8" t="s">
        <v>8271</v>
      </c>
      <c r="J1131" s="8" t="s">
        <v>10320</v>
      </c>
      <c r="K1131" s="8" t="s">
        <v>2117</v>
      </c>
      <c r="L1131" s="8" t="s">
        <v>12371</v>
      </c>
      <c r="M1131" s="8" t="s">
        <v>4167</v>
      </c>
      <c r="N1131" s="8" t="s">
        <v>6218</v>
      </c>
      <c r="O1131" s="5" t="s">
        <v>120</v>
      </c>
      <c r="P1131" s="4">
        <v>45749</v>
      </c>
      <c r="Q1131" s="15">
        <v>31.99</v>
      </c>
      <c r="R1131" s="15">
        <v>10.17</v>
      </c>
      <c r="S1131" s="15">
        <v>0</v>
      </c>
      <c r="T1131"/>
    </row>
    <row r="1132" spans="1:20">
      <c r="A1132" s="5" t="s">
        <v>36</v>
      </c>
      <c r="B1132" s="5" t="s">
        <v>14459</v>
      </c>
      <c r="C1132" s="4">
        <v>45723</v>
      </c>
      <c r="D1132" s="4">
        <v>45726</v>
      </c>
      <c r="E1132" s="5" t="s">
        <v>16545</v>
      </c>
      <c r="F1132" s="5" t="s">
        <v>18534</v>
      </c>
      <c r="G1132" s="5" t="s">
        <v>831</v>
      </c>
      <c r="H1132" s="5">
        <v>1</v>
      </c>
      <c r="I1132" s="8" t="s">
        <v>8272</v>
      </c>
      <c r="J1132" s="8" t="s">
        <v>10321</v>
      </c>
      <c r="K1132" s="8" t="s">
        <v>2118</v>
      </c>
      <c r="L1132" s="8" t="s">
        <v>12372</v>
      </c>
      <c r="M1132" s="8" t="s">
        <v>4168</v>
      </c>
      <c r="N1132" s="8" t="s">
        <v>6219</v>
      </c>
      <c r="O1132" s="5" t="s">
        <v>41</v>
      </c>
      <c r="P1132" s="4">
        <v>45744</v>
      </c>
      <c r="Q1132" s="15">
        <v>61.5</v>
      </c>
      <c r="R1132" s="15">
        <v>12.74</v>
      </c>
      <c r="S1132" s="15">
        <v>0</v>
      </c>
      <c r="T1132"/>
    </row>
    <row r="1133" spans="1:20">
      <c r="A1133" s="5" t="s">
        <v>36</v>
      </c>
      <c r="B1133" s="5" t="s">
        <v>14460</v>
      </c>
      <c r="C1133" s="4">
        <v>45723</v>
      </c>
      <c r="D1133" s="4">
        <v>45723</v>
      </c>
      <c r="E1133" s="5" t="s">
        <v>16546</v>
      </c>
      <c r="F1133" s="5" t="s">
        <v>18535</v>
      </c>
      <c r="G1133" s="5" t="s">
        <v>831</v>
      </c>
      <c r="H1133" s="5">
        <v>1</v>
      </c>
      <c r="I1133" s="8" t="s">
        <v>8273</v>
      </c>
      <c r="J1133" s="8" t="s">
        <v>10322</v>
      </c>
      <c r="K1133" s="8" t="s">
        <v>2119</v>
      </c>
      <c r="L1133" s="8" t="s">
        <v>12373</v>
      </c>
      <c r="M1133" s="8" t="s">
        <v>4169</v>
      </c>
      <c r="N1133" s="8" t="s">
        <v>6220</v>
      </c>
      <c r="O1133" s="5" t="s">
        <v>41</v>
      </c>
      <c r="P1133" s="4">
        <v>45744</v>
      </c>
      <c r="Q1133" s="15">
        <v>61.5</v>
      </c>
      <c r="R1133" s="15">
        <v>13.46</v>
      </c>
      <c r="S1133" s="15">
        <v>0</v>
      </c>
      <c r="T1133"/>
    </row>
    <row r="1134" spans="1:20">
      <c r="A1134" s="5" t="s">
        <v>113</v>
      </c>
      <c r="B1134" s="5" t="s">
        <v>14461</v>
      </c>
      <c r="C1134" s="4">
        <v>45723</v>
      </c>
      <c r="D1134" s="4">
        <v>45723</v>
      </c>
      <c r="E1134" s="5" t="s">
        <v>16547</v>
      </c>
      <c r="F1134" s="5" t="s">
        <v>18536</v>
      </c>
      <c r="G1134" s="5" t="s">
        <v>817</v>
      </c>
      <c r="H1134" s="5">
        <v>1</v>
      </c>
      <c r="I1134" s="8" t="s">
        <v>8274</v>
      </c>
      <c r="J1134" s="8" t="s">
        <v>10323</v>
      </c>
      <c r="K1134" s="8" t="s">
        <v>2120</v>
      </c>
      <c r="L1134" s="8" t="s">
        <v>12374</v>
      </c>
      <c r="M1134" s="8" t="s">
        <v>4170</v>
      </c>
      <c r="N1134" s="8" t="s">
        <v>6221</v>
      </c>
      <c r="O1134" s="5" t="s">
        <v>115</v>
      </c>
      <c r="P1134" s="4">
        <v>45744</v>
      </c>
      <c r="Q1134" s="15">
        <v>30.95</v>
      </c>
      <c r="R1134" s="15">
        <v>13.99</v>
      </c>
      <c r="S1134" s="15">
        <v>0</v>
      </c>
      <c r="T1134"/>
    </row>
    <row r="1135" spans="1:20">
      <c r="A1135" s="5" t="s">
        <v>113</v>
      </c>
      <c r="B1135" s="5" t="s">
        <v>14462</v>
      </c>
      <c r="C1135" s="4">
        <v>45723</v>
      </c>
      <c r="D1135" s="4">
        <v>45723</v>
      </c>
      <c r="E1135" s="5" t="s">
        <v>16548</v>
      </c>
      <c r="F1135" s="5" t="s">
        <v>18537</v>
      </c>
      <c r="G1135" s="5" t="s">
        <v>817</v>
      </c>
      <c r="H1135" s="5">
        <v>1</v>
      </c>
      <c r="I1135" s="8" t="s">
        <v>8275</v>
      </c>
      <c r="J1135" s="8" t="s">
        <v>10324</v>
      </c>
      <c r="K1135" s="8" t="s">
        <v>2121</v>
      </c>
      <c r="L1135" s="8" t="s">
        <v>12375</v>
      </c>
      <c r="M1135" s="8" t="s">
        <v>4171</v>
      </c>
      <c r="N1135" s="8" t="s">
        <v>6222</v>
      </c>
      <c r="O1135" s="5" t="s">
        <v>115</v>
      </c>
      <c r="P1135" s="4">
        <v>45750</v>
      </c>
      <c r="Q1135" s="15">
        <v>30.95</v>
      </c>
      <c r="R1135" s="15">
        <v>13.99</v>
      </c>
      <c r="S1135" s="15">
        <v>0</v>
      </c>
      <c r="T1135"/>
    </row>
    <row r="1136" spans="1:20">
      <c r="A1136" s="5" t="s">
        <v>113</v>
      </c>
      <c r="B1136" s="5" t="s">
        <v>14463</v>
      </c>
      <c r="C1136" s="4">
        <v>45723</v>
      </c>
      <c r="D1136" s="4">
        <v>45723</v>
      </c>
      <c r="E1136" s="5" t="s">
        <v>16549</v>
      </c>
      <c r="F1136" s="5" t="s">
        <v>18538</v>
      </c>
      <c r="G1136" s="5" t="s">
        <v>817</v>
      </c>
      <c r="H1136" s="5">
        <v>1</v>
      </c>
      <c r="I1136" s="8" t="s">
        <v>8276</v>
      </c>
      <c r="J1136" s="8" t="s">
        <v>10325</v>
      </c>
      <c r="K1136" s="8" t="s">
        <v>2122</v>
      </c>
      <c r="L1136" s="8" t="s">
        <v>12376</v>
      </c>
      <c r="M1136" s="8" t="s">
        <v>4172</v>
      </c>
      <c r="N1136" s="8" t="s">
        <v>6223</v>
      </c>
      <c r="O1136" s="5" t="s">
        <v>115</v>
      </c>
      <c r="P1136" s="4">
        <v>45750</v>
      </c>
      <c r="Q1136" s="15">
        <v>30.95</v>
      </c>
      <c r="R1136" s="15">
        <v>13.99</v>
      </c>
      <c r="S1136" s="15">
        <v>0</v>
      </c>
      <c r="T1136"/>
    </row>
    <row r="1137" spans="1:20">
      <c r="A1137" s="5" t="s">
        <v>113</v>
      </c>
      <c r="B1137" s="5" t="s">
        <v>14464</v>
      </c>
      <c r="C1137" s="4">
        <v>45723</v>
      </c>
      <c r="D1137" s="4">
        <v>45723</v>
      </c>
      <c r="E1137" s="5" t="s">
        <v>16550</v>
      </c>
      <c r="F1137" s="5" t="s">
        <v>18539</v>
      </c>
      <c r="G1137" s="5" t="s">
        <v>817</v>
      </c>
      <c r="H1137" s="5">
        <v>1</v>
      </c>
      <c r="I1137" s="8" t="s">
        <v>8277</v>
      </c>
      <c r="J1137" s="8" t="s">
        <v>10326</v>
      </c>
      <c r="K1137" s="8" t="s">
        <v>2123</v>
      </c>
      <c r="L1137" s="8" t="s">
        <v>12377</v>
      </c>
      <c r="M1137" s="8" t="s">
        <v>4173</v>
      </c>
      <c r="N1137" s="8" t="s">
        <v>6224</v>
      </c>
      <c r="O1137" s="5" t="s">
        <v>115</v>
      </c>
      <c r="P1137" s="4">
        <v>45738</v>
      </c>
      <c r="Q1137" s="15">
        <v>30.95</v>
      </c>
      <c r="R1137" s="15">
        <v>13.99</v>
      </c>
      <c r="S1137" s="15">
        <v>0</v>
      </c>
      <c r="T1137"/>
    </row>
    <row r="1138" spans="1:20">
      <c r="A1138" s="5" t="s">
        <v>36</v>
      </c>
      <c r="B1138" s="5" t="s">
        <v>14465</v>
      </c>
      <c r="C1138" s="4">
        <v>45724</v>
      </c>
      <c r="D1138" s="4">
        <v>45726</v>
      </c>
      <c r="E1138" s="5" t="s">
        <v>16551</v>
      </c>
      <c r="F1138" s="5" t="s">
        <v>18540</v>
      </c>
      <c r="G1138" s="5" t="s">
        <v>831</v>
      </c>
      <c r="H1138" s="5">
        <v>1</v>
      </c>
      <c r="I1138" s="8" t="s">
        <v>8278</v>
      </c>
      <c r="J1138" s="8" t="s">
        <v>10327</v>
      </c>
      <c r="K1138" s="8" t="s">
        <v>2124</v>
      </c>
      <c r="L1138" s="8" t="s">
        <v>12378</v>
      </c>
      <c r="M1138" s="8" t="s">
        <v>4174</v>
      </c>
      <c r="N1138" s="8" t="s">
        <v>6225</v>
      </c>
      <c r="O1138" s="5" t="s">
        <v>41</v>
      </c>
      <c r="P1138" s="4">
        <v>45757</v>
      </c>
      <c r="Q1138" s="15">
        <v>61.5</v>
      </c>
      <c r="R1138" s="15">
        <v>12.74</v>
      </c>
      <c r="S1138" s="15">
        <v>0</v>
      </c>
      <c r="T1138"/>
    </row>
    <row r="1139" spans="1:20">
      <c r="A1139" s="5" t="s">
        <v>36</v>
      </c>
      <c r="B1139" s="5" t="s">
        <v>14466</v>
      </c>
      <c r="C1139" s="4">
        <v>45724</v>
      </c>
      <c r="D1139" s="4">
        <v>45726</v>
      </c>
      <c r="E1139" s="5" t="s">
        <v>16552</v>
      </c>
      <c r="F1139" s="5" t="s">
        <v>18541</v>
      </c>
      <c r="G1139" s="5" t="s">
        <v>831</v>
      </c>
      <c r="H1139" s="5">
        <v>1</v>
      </c>
      <c r="I1139" s="8" t="s">
        <v>8279</v>
      </c>
      <c r="J1139" s="8" t="s">
        <v>10328</v>
      </c>
      <c r="K1139" s="8" t="s">
        <v>2125</v>
      </c>
      <c r="L1139" s="8" t="s">
        <v>12379</v>
      </c>
      <c r="M1139" s="8" t="s">
        <v>4175</v>
      </c>
      <c r="N1139" s="8" t="s">
        <v>6226</v>
      </c>
      <c r="O1139" s="5" t="s">
        <v>41</v>
      </c>
      <c r="P1139" s="4">
        <v>45750</v>
      </c>
      <c r="Q1139" s="15">
        <v>61.5</v>
      </c>
      <c r="R1139" s="15">
        <v>12.74</v>
      </c>
      <c r="S1139" s="15">
        <v>0</v>
      </c>
      <c r="T1139"/>
    </row>
    <row r="1140" spans="1:20">
      <c r="A1140" s="5" t="s">
        <v>36</v>
      </c>
      <c r="B1140" s="5" t="s">
        <v>14467</v>
      </c>
      <c r="C1140" s="4">
        <v>45725</v>
      </c>
      <c r="D1140" s="4">
        <v>45726</v>
      </c>
      <c r="E1140" s="5" t="s">
        <v>16553</v>
      </c>
      <c r="F1140" s="5" t="s">
        <v>18542</v>
      </c>
      <c r="G1140" s="5" t="s">
        <v>836</v>
      </c>
      <c r="H1140" s="5">
        <v>1</v>
      </c>
      <c r="I1140" s="8" t="s">
        <v>8280</v>
      </c>
      <c r="J1140" s="8" t="s">
        <v>10329</v>
      </c>
      <c r="K1140" s="8" t="s">
        <v>2126</v>
      </c>
      <c r="L1140" s="8" t="s">
        <v>12380</v>
      </c>
      <c r="M1140" s="8" t="s">
        <v>4176</v>
      </c>
      <c r="N1140" s="8" t="s">
        <v>6227</v>
      </c>
      <c r="O1140" s="5" t="s">
        <v>55</v>
      </c>
      <c r="P1140" s="4">
        <v>45750</v>
      </c>
      <c r="Q1140" s="15">
        <v>23.5</v>
      </c>
      <c r="R1140" s="15">
        <v>12</v>
      </c>
      <c r="S1140" s="15">
        <v>0</v>
      </c>
      <c r="T1140"/>
    </row>
    <row r="1141" spans="1:20">
      <c r="A1141" s="5" t="s">
        <v>36</v>
      </c>
      <c r="B1141" s="5" t="s">
        <v>14468</v>
      </c>
      <c r="C1141" s="4">
        <v>45725</v>
      </c>
      <c r="D1141" s="4">
        <v>45726</v>
      </c>
      <c r="E1141" s="5" t="s">
        <v>16554</v>
      </c>
      <c r="F1141" s="5" t="s">
        <v>18543</v>
      </c>
      <c r="G1141" s="5" t="s">
        <v>836</v>
      </c>
      <c r="H1141" s="5">
        <v>1</v>
      </c>
      <c r="I1141" s="8" t="s">
        <v>8281</v>
      </c>
      <c r="J1141" s="8" t="s">
        <v>10330</v>
      </c>
      <c r="K1141" s="8" t="s">
        <v>2127</v>
      </c>
      <c r="L1141" s="8" t="s">
        <v>12381</v>
      </c>
      <c r="M1141" s="8" t="s">
        <v>4177</v>
      </c>
      <c r="N1141" s="8" t="s">
        <v>6228</v>
      </c>
      <c r="O1141" s="5" t="s">
        <v>55</v>
      </c>
      <c r="P1141" s="4">
        <v>45738</v>
      </c>
      <c r="Q1141" s="15">
        <v>23.5</v>
      </c>
      <c r="R1141" s="15">
        <v>12</v>
      </c>
      <c r="S1141" s="15">
        <v>0</v>
      </c>
      <c r="T1141"/>
    </row>
    <row r="1142" spans="1:20">
      <c r="A1142" s="5" t="s">
        <v>36</v>
      </c>
      <c r="B1142" s="5" t="s">
        <v>14469</v>
      </c>
      <c r="C1142" s="4">
        <v>45726</v>
      </c>
      <c r="D1142" s="4">
        <v>45726</v>
      </c>
      <c r="E1142" s="5" t="s">
        <v>16555</v>
      </c>
      <c r="F1142" s="5" t="s">
        <v>18544</v>
      </c>
      <c r="G1142" s="5" t="s">
        <v>855</v>
      </c>
      <c r="H1142" s="5">
        <v>1</v>
      </c>
      <c r="I1142" s="8" t="s">
        <v>8282</v>
      </c>
      <c r="J1142" s="8" t="s">
        <v>10331</v>
      </c>
      <c r="K1142" s="8" t="s">
        <v>2128</v>
      </c>
      <c r="L1142" s="8" t="s">
        <v>12382</v>
      </c>
      <c r="M1142" s="8" t="s">
        <v>4178</v>
      </c>
      <c r="N1142" s="8" t="s">
        <v>6229</v>
      </c>
      <c r="O1142" s="5" t="s">
        <v>81</v>
      </c>
      <c r="P1142" s="4">
        <v>45741</v>
      </c>
      <c r="Q1142" s="15">
        <v>26.99</v>
      </c>
      <c r="R1142" s="15">
        <v>11.28</v>
      </c>
      <c r="S1142" s="15">
        <v>0</v>
      </c>
      <c r="T1142"/>
    </row>
    <row r="1143" spans="1:20">
      <c r="A1143" s="5" t="s">
        <v>36</v>
      </c>
      <c r="B1143" s="5" t="s">
        <v>14470</v>
      </c>
      <c r="C1143" s="4">
        <v>45726</v>
      </c>
      <c r="D1143" s="4">
        <v>45726</v>
      </c>
      <c r="E1143" s="5" t="s">
        <v>16556</v>
      </c>
      <c r="F1143" s="5" t="s">
        <v>18545</v>
      </c>
      <c r="G1143" s="5" t="s">
        <v>849</v>
      </c>
      <c r="H1143" s="5">
        <v>1</v>
      </c>
      <c r="I1143" s="8" t="s">
        <v>8283</v>
      </c>
      <c r="J1143" s="8" t="s">
        <v>10332</v>
      </c>
      <c r="K1143" s="8" t="s">
        <v>2129</v>
      </c>
      <c r="L1143" s="8" t="s">
        <v>12383</v>
      </c>
      <c r="M1143" s="8" t="s">
        <v>4179</v>
      </c>
      <c r="N1143" s="8" t="s">
        <v>6230</v>
      </c>
      <c r="O1143" s="5" t="s">
        <v>61</v>
      </c>
      <c r="P1143" s="4">
        <v>45745</v>
      </c>
      <c r="Q1143" s="15">
        <v>65.599999999999994</v>
      </c>
      <c r="R1143" s="15">
        <v>12.05</v>
      </c>
      <c r="S1143" s="15">
        <v>0</v>
      </c>
      <c r="T1143"/>
    </row>
    <row r="1144" spans="1:20">
      <c r="A1144" s="5" t="s">
        <v>113</v>
      </c>
      <c r="B1144" s="5" t="s">
        <v>14471</v>
      </c>
      <c r="C1144" s="4">
        <v>45724</v>
      </c>
      <c r="D1144" s="4">
        <v>45726</v>
      </c>
      <c r="E1144" s="5" t="s">
        <v>16557</v>
      </c>
      <c r="F1144" s="5" t="s">
        <v>18546</v>
      </c>
      <c r="G1144" s="5" t="s">
        <v>849</v>
      </c>
      <c r="H1144" s="5">
        <v>1</v>
      </c>
      <c r="I1144" s="8" t="s">
        <v>8284</v>
      </c>
      <c r="J1144" s="8" t="s">
        <v>10333</v>
      </c>
      <c r="K1144" s="8" t="s">
        <v>2130</v>
      </c>
      <c r="L1144" s="8" t="s">
        <v>12384</v>
      </c>
      <c r="M1144" s="8" t="s">
        <v>4180</v>
      </c>
      <c r="N1144" s="8" t="s">
        <v>6231</v>
      </c>
      <c r="O1144" s="5" t="s">
        <v>116</v>
      </c>
      <c r="P1144" s="4">
        <v>45744</v>
      </c>
      <c r="Q1144" s="15">
        <v>65.599999999999994</v>
      </c>
      <c r="R1144" s="15">
        <v>0</v>
      </c>
      <c r="S1144" s="15">
        <v>0</v>
      </c>
      <c r="T1144"/>
    </row>
    <row r="1145" spans="1:20">
      <c r="A1145" s="5" t="s">
        <v>113</v>
      </c>
      <c r="B1145" s="5" t="s">
        <v>14472</v>
      </c>
      <c r="C1145" s="4">
        <v>45722</v>
      </c>
      <c r="D1145" s="4">
        <v>45727</v>
      </c>
      <c r="E1145" s="5" t="s">
        <v>16558</v>
      </c>
      <c r="F1145" s="5" t="s">
        <v>18547</v>
      </c>
      <c r="G1145" s="5" t="s">
        <v>849</v>
      </c>
      <c r="H1145" s="5">
        <v>1</v>
      </c>
      <c r="I1145" s="8" t="s">
        <v>8285</v>
      </c>
      <c r="J1145" s="8" t="s">
        <v>10334</v>
      </c>
      <c r="K1145" s="8" t="s">
        <v>2131</v>
      </c>
      <c r="L1145" s="8" t="s">
        <v>12385</v>
      </c>
      <c r="M1145" s="8" t="s">
        <v>4181</v>
      </c>
      <c r="N1145" s="8" t="s">
        <v>6232</v>
      </c>
      <c r="O1145" s="5" t="s">
        <v>116</v>
      </c>
      <c r="P1145" s="4">
        <v>45744</v>
      </c>
      <c r="Q1145" s="15">
        <v>65.599999999999994</v>
      </c>
      <c r="R1145" s="15">
        <v>12.38</v>
      </c>
      <c r="S1145" s="15">
        <v>0</v>
      </c>
      <c r="T1145"/>
    </row>
    <row r="1146" spans="1:20">
      <c r="A1146" s="5" t="s">
        <v>113</v>
      </c>
      <c r="B1146" s="5" t="s">
        <v>14473</v>
      </c>
      <c r="C1146" s="4">
        <v>45724</v>
      </c>
      <c r="D1146" s="4">
        <v>45726</v>
      </c>
      <c r="E1146" s="5" t="s">
        <v>16559</v>
      </c>
      <c r="F1146" s="5" t="s">
        <v>18548</v>
      </c>
      <c r="G1146" s="5" t="s">
        <v>849</v>
      </c>
      <c r="H1146" s="5">
        <v>1</v>
      </c>
      <c r="I1146" s="8" t="s">
        <v>8286</v>
      </c>
      <c r="J1146" s="8" t="s">
        <v>10335</v>
      </c>
      <c r="K1146" s="8" t="s">
        <v>2132</v>
      </c>
      <c r="L1146" s="8" t="s">
        <v>12386</v>
      </c>
      <c r="M1146" s="8" t="s">
        <v>4182</v>
      </c>
      <c r="N1146" s="8" t="s">
        <v>6233</v>
      </c>
      <c r="O1146" s="5" t="s">
        <v>116</v>
      </c>
      <c r="P1146" s="4">
        <v>45750</v>
      </c>
      <c r="Q1146" s="15">
        <v>65.599999999999994</v>
      </c>
      <c r="R1146" s="15">
        <v>12.05</v>
      </c>
      <c r="S1146" s="15">
        <v>0</v>
      </c>
      <c r="T1146"/>
    </row>
    <row r="1147" spans="1:20">
      <c r="A1147" s="5" t="s">
        <v>113</v>
      </c>
      <c r="B1147" s="5" t="s">
        <v>14474</v>
      </c>
      <c r="C1147" s="4">
        <v>45725</v>
      </c>
      <c r="D1147" s="4">
        <v>45726</v>
      </c>
      <c r="E1147" s="5" t="s">
        <v>16560</v>
      </c>
      <c r="F1147" s="5" t="s">
        <v>18549</v>
      </c>
      <c r="G1147" s="5" t="s">
        <v>817</v>
      </c>
      <c r="H1147" s="5">
        <v>1</v>
      </c>
      <c r="I1147" s="8" t="s">
        <v>8287</v>
      </c>
      <c r="J1147" s="8" t="s">
        <v>10336</v>
      </c>
      <c r="K1147" s="8" t="s">
        <v>2133</v>
      </c>
      <c r="L1147" s="8" t="s">
        <v>12387</v>
      </c>
      <c r="M1147" s="8" t="s">
        <v>4183</v>
      </c>
      <c r="N1147" s="8" t="s">
        <v>6234</v>
      </c>
      <c r="O1147" s="5" t="s">
        <v>115</v>
      </c>
      <c r="P1147" s="4">
        <v>45744</v>
      </c>
      <c r="Q1147" s="15">
        <v>30.95</v>
      </c>
      <c r="R1147" s="15">
        <v>11.68</v>
      </c>
      <c r="S1147" s="15">
        <v>0</v>
      </c>
      <c r="T1147"/>
    </row>
    <row r="1148" spans="1:20">
      <c r="A1148" s="5" t="s">
        <v>113</v>
      </c>
      <c r="B1148" s="5" t="s">
        <v>14475</v>
      </c>
      <c r="C1148" s="4">
        <v>45725</v>
      </c>
      <c r="D1148" s="4">
        <v>45726</v>
      </c>
      <c r="E1148" s="5" t="s">
        <v>16561</v>
      </c>
      <c r="F1148" s="5" t="s">
        <v>18550</v>
      </c>
      <c r="G1148" s="5" t="s">
        <v>817</v>
      </c>
      <c r="H1148" s="5">
        <v>1</v>
      </c>
      <c r="I1148" s="8" t="s">
        <v>8288</v>
      </c>
      <c r="J1148" s="8" t="s">
        <v>10337</v>
      </c>
      <c r="K1148" s="8" t="s">
        <v>2134</v>
      </c>
      <c r="L1148" s="8" t="s">
        <v>12388</v>
      </c>
      <c r="M1148" s="8" t="s">
        <v>4184</v>
      </c>
      <c r="N1148" s="8" t="s">
        <v>6235</v>
      </c>
      <c r="O1148" s="5" t="s">
        <v>115</v>
      </c>
      <c r="P1148" s="4">
        <v>45742</v>
      </c>
      <c r="Q1148" s="15">
        <v>30.95</v>
      </c>
      <c r="R1148" s="15">
        <v>11.68</v>
      </c>
      <c r="S1148" s="15">
        <v>0</v>
      </c>
      <c r="T1148"/>
    </row>
    <row r="1149" spans="1:20">
      <c r="A1149" s="5" t="s">
        <v>113</v>
      </c>
      <c r="B1149" s="5" t="s">
        <v>14476</v>
      </c>
      <c r="C1149" s="4">
        <v>45726</v>
      </c>
      <c r="D1149" s="4">
        <v>45726</v>
      </c>
      <c r="E1149" s="5" t="s">
        <v>16562</v>
      </c>
      <c r="F1149" s="5" t="s">
        <v>18551</v>
      </c>
      <c r="G1149" s="5" t="s">
        <v>849</v>
      </c>
      <c r="H1149" s="5">
        <v>1</v>
      </c>
      <c r="I1149" s="8" t="s">
        <v>8289</v>
      </c>
      <c r="J1149" s="8" t="s">
        <v>10338</v>
      </c>
      <c r="K1149" s="8" t="s">
        <v>2135</v>
      </c>
      <c r="L1149" s="8" t="s">
        <v>12389</v>
      </c>
      <c r="M1149" s="8" t="s">
        <v>4185</v>
      </c>
      <c r="N1149" s="8" t="s">
        <v>6236</v>
      </c>
      <c r="O1149" s="5" t="s">
        <v>116</v>
      </c>
      <c r="P1149" s="4">
        <v>45751</v>
      </c>
      <c r="Q1149" s="15">
        <v>65.599999999999994</v>
      </c>
      <c r="R1149" s="15">
        <v>12.05</v>
      </c>
      <c r="S1149" s="15">
        <v>0</v>
      </c>
      <c r="T1149"/>
    </row>
    <row r="1150" spans="1:20">
      <c r="A1150" s="5" t="s">
        <v>113</v>
      </c>
      <c r="B1150" s="5" t="s">
        <v>14477</v>
      </c>
      <c r="C1150" s="4">
        <v>45726</v>
      </c>
      <c r="D1150" s="4">
        <v>45726</v>
      </c>
      <c r="E1150" s="5" t="s">
        <v>16563</v>
      </c>
      <c r="F1150" s="5" t="s">
        <v>18552</v>
      </c>
      <c r="G1150" s="5" t="s">
        <v>817</v>
      </c>
      <c r="H1150" s="5">
        <v>1</v>
      </c>
      <c r="I1150" s="8" t="s">
        <v>8290</v>
      </c>
      <c r="J1150" s="8" t="s">
        <v>10339</v>
      </c>
      <c r="K1150" s="8" t="s">
        <v>2136</v>
      </c>
      <c r="L1150" s="8" t="s">
        <v>12390</v>
      </c>
      <c r="M1150" s="8" t="s">
        <v>4186</v>
      </c>
      <c r="N1150" s="8" t="s">
        <v>6237</v>
      </c>
      <c r="O1150" s="5" t="s">
        <v>115</v>
      </c>
      <c r="P1150" s="4">
        <v>45751</v>
      </c>
      <c r="Q1150" s="15">
        <v>30.95</v>
      </c>
      <c r="R1150" s="15">
        <v>11.68</v>
      </c>
      <c r="S1150" s="15">
        <v>0</v>
      </c>
      <c r="T1150"/>
    </row>
    <row r="1151" spans="1:20">
      <c r="A1151" s="5" t="s">
        <v>113</v>
      </c>
      <c r="B1151" s="5" t="s">
        <v>14478</v>
      </c>
      <c r="C1151" s="4">
        <v>45726</v>
      </c>
      <c r="D1151" s="4">
        <v>45726</v>
      </c>
      <c r="E1151" s="5" t="s">
        <v>16564</v>
      </c>
      <c r="F1151" s="5" t="s">
        <v>18553</v>
      </c>
      <c r="G1151" s="5" t="s">
        <v>817</v>
      </c>
      <c r="H1151" s="5">
        <v>1</v>
      </c>
      <c r="I1151" s="8" t="s">
        <v>8291</v>
      </c>
      <c r="J1151" s="8" t="s">
        <v>10340</v>
      </c>
      <c r="K1151" s="8" t="s">
        <v>2137</v>
      </c>
      <c r="L1151" s="8" t="s">
        <v>12391</v>
      </c>
      <c r="M1151" s="8" t="s">
        <v>4187</v>
      </c>
      <c r="N1151" s="8" t="s">
        <v>6238</v>
      </c>
      <c r="O1151" s="5" t="s">
        <v>115</v>
      </c>
      <c r="P1151" s="4">
        <v>45741</v>
      </c>
      <c r="Q1151" s="15">
        <v>30.95</v>
      </c>
      <c r="R1151" s="15">
        <v>11.68</v>
      </c>
      <c r="S1151" s="15">
        <v>0</v>
      </c>
      <c r="T1151"/>
    </row>
    <row r="1152" spans="1:20">
      <c r="A1152" s="5" t="s">
        <v>108</v>
      </c>
      <c r="B1152" s="5" t="s">
        <v>14479</v>
      </c>
      <c r="C1152" s="4">
        <v>45725</v>
      </c>
      <c r="D1152" s="4">
        <v>45726</v>
      </c>
      <c r="E1152" s="5" t="s">
        <v>16565</v>
      </c>
      <c r="F1152" s="5" t="s">
        <v>18554</v>
      </c>
      <c r="G1152" s="5" t="s">
        <v>849</v>
      </c>
      <c r="H1152" s="5">
        <v>1</v>
      </c>
      <c r="I1152" s="8" t="s">
        <v>8292</v>
      </c>
      <c r="J1152" s="8" t="s">
        <v>10341</v>
      </c>
      <c r="K1152" s="8" t="s">
        <v>2138</v>
      </c>
      <c r="L1152" s="8" t="s">
        <v>12392</v>
      </c>
      <c r="M1152" s="8" t="s">
        <v>4188</v>
      </c>
      <c r="N1152" s="8" t="s">
        <v>6239</v>
      </c>
      <c r="O1152" s="5" t="s">
        <v>111</v>
      </c>
      <c r="P1152" s="4">
        <v>45744</v>
      </c>
      <c r="Q1152" s="15">
        <v>70.989999999999995</v>
      </c>
      <c r="R1152" s="15">
        <v>12.05</v>
      </c>
      <c r="S1152" s="15">
        <v>0</v>
      </c>
      <c r="T1152"/>
    </row>
    <row r="1153" spans="1:20">
      <c r="A1153" s="5" t="s">
        <v>36</v>
      </c>
      <c r="B1153" s="5" t="s">
        <v>14480</v>
      </c>
      <c r="C1153" s="4">
        <v>45727</v>
      </c>
      <c r="D1153" s="4">
        <v>45729</v>
      </c>
      <c r="E1153" s="5" t="s">
        <v>16566</v>
      </c>
      <c r="F1153" s="5" t="s">
        <v>18555</v>
      </c>
      <c r="G1153" s="5" t="s">
        <v>855</v>
      </c>
      <c r="H1153" s="5">
        <v>1</v>
      </c>
      <c r="I1153" s="8" t="s">
        <v>8293</v>
      </c>
      <c r="J1153" s="8" t="s">
        <v>10342</v>
      </c>
      <c r="K1153" s="8" t="s">
        <v>2139</v>
      </c>
      <c r="L1153" s="8" t="s">
        <v>12393</v>
      </c>
      <c r="M1153" s="8" t="s">
        <v>4189</v>
      </c>
      <c r="N1153" s="8" t="s">
        <v>6240</v>
      </c>
      <c r="O1153" s="5" t="s">
        <v>81</v>
      </c>
      <c r="P1153" s="4">
        <v>45741</v>
      </c>
      <c r="Q1153" s="15">
        <v>26.99</v>
      </c>
      <c r="R1153" s="15">
        <v>10.210000000000001</v>
      </c>
      <c r="S1153" s="15">
        <v>0</v>
      </c>
      <c r="T1153"/>
    </row>
    <row r="1154" spans="1:20">
      <c r="A1154" s="5" t="s">
        <v>36</v>
      </c>
      <c r="B1154" s="5" t="s">
        <v>14481</v>
      </c>
      <c r="C1154" s="4">
        <v>45727</v>
      </c>
      <c r="D1154" s="4">
        <v>45727</v>
      </c>
      <c r="E1154" s="5" t="s">
        <v>16567</v>
      </c>
      <c r="F1154" s="5" t="s">
        <v>18556</v>
      </c>
      <c r="G1154" s="5" t="s">
        <v>831</v>
      </c>
      <c r="H1154" s="5">
        <v>1</v>
      </c>
      <c r="I1154" s="8" t="s">
        <v>8294</v>
      </c>
      <c r="J1154" s="8" t="s">
        <v>10343</v>
      </c>
      <c r="K1154" s="8" t="s">
        <v>2140</v>
      </c>
      <c r="L1154" s="8" t="s">
        <v>12394</v>
      </c>
      <c r="M1154" s="8" t="s">
        <v>4190</v>
      </c>
      <c r="N1154" s="8" t="s">
        <v>6241</v>
      </c>
      <c r="O1154" s="5" t="s">
        <v>41</v>
      </c>
      <c r="P1154" s="4">
        <v>45745</v>
      </c>
      <c r="Q1154" s="15">
        <v>61.5</v>
      </c>
      <c r="R1154" s="15">
        <v>13.15</v>
      </c>
      <c r="S1154" s="15">
        <v>0</v>
      </c>
      <c r="T1154"/>
    </row>
    <row r="1155" spans="1:20">
      <c r="A1155" s="5" t="s">
        <v>36</v>
      </c>
      <c r="B1155" s="5" t="s">
        <v>14482</v>
      </c>
      <c r="C1155" s="4">
        <v>45727</v>
      </c>
      <c r="D1155" s="4" t="s">
        <v>37</v>
      </c>
      <c r="E1155" s="5" t="s">
        <v>37</v>
      </c>
      <c r="F1155" s="5" t="s">
        <v>37</v>
      </c>
      <c r="G1155" s="5" t="s">
        <v>836</v>
      </c>
      <c r="H1155" s="5">
        <v>1</v>
      </c>
      <c r="I1155" s="8" t="s">
        <v>8295</v>
      </c>
      <c r="J1155" s="8" t="s">
        <v>10344</v>
      </c>
      <c r="K1155" s="8" t="s">
        <v>2141</v>
      </c>
      <c r="L1155" s="8" t="s">
        <v>12395</v>
      </c>
      <c r="M1155" s="8" t="s">
        <v>4191</v>
      </c>
      <c r="N1155" s="8" t="s">
        <v>6242</v>
      </c>
      <c r="O1155" s="5" t="s">
        <v>55</v>
      </c>
      <c r="P1155" s="4">
        <v>45748</v>
      </c>
      <c r="Q1155" s="15">
        <v>23.5</v>
      </c>
      <c r="R1155" s="15">
        <v>0</v>
      </c>
      <c r="S1155" s="15">
        <v>0</v>
      </c>
      <c r="T1155"/>
    </row>
    <row r="1156" spans="1:20">
      <c r="A1156" s="5" t="s">
        <v>36</v>
      </c>
      <c r="B1156" s="5" t="s">
        <v>14483</v>
      </c>
      <c r="C1156" s="4">
        <v>45727</v>
      </c>
      <c r="D1156" s="4">
        <v>45727</v>
      </c>
      <c r="E1156" s="5" t="s">
        <v>16568</v>
      </c>
      <c r="F1156" s="5" t="s">
        <v>18557</v>
      </c>
      <c r="G1156" s="5" t="s">
        <v>845</v>
      </c>
      <c r="H1156" s="5">
        <v>1</v>
      </c>
      <c r="I1156" s="8" t="s">
        <v>8296</v>
      </c>
      <c r="J1156" s="8" t="s">
        <v>10345</v>
      </c>
      <c r="K1156" s="8" t="s">
        <v>2142</v>
      </c>
      <c r="L1156" s="8" t="s">
        <v>12396</v>
      </c>
      <c r="M1156" s="8" t="s">
        <v>4192</v>
      </c>
      <c r="N1156" s="8" t="s">
        <v>6243</v>
      </c>
      <c r="O1156" s="5" t="s">
        <v>67</v>
      </c>
      <c r="P1156" s="4">
        <v>45752</v>
      </c>
      <c r="Q1156" s="15">
        <v>65.989999999999995</v>
      </c>
      <c r="R1156" s="15">
        <v>15.29</v>
      </c>
      <c r="S1156" s="15">
        <v>0</v>
      </c>
      <c r="T1156"/>
    </row>
    <row r="1157" spans="1:20">
      <c r="A1157" s="5" t="s">
        <v>113</v>
      </c>
      <c r="B1157" s="5" t="s">
        <v>14484</v>
      </c>
      <c r="C1157" s="4">
        <v>45727</v>
      </c>
      <c r="D1157" s="4">
        <v>45727</v>
      </c>
      <c r="E1157" s="5" t="s">
        <v>16569</v>
      </c>
      <c r="F1157" s="5" t="s">
        <v>18558</v>
      </c>
      <c r="G1157" s="5" t="s">
        <v>817</v>
      </c>
      <c r="H1157" s="5">
        <v>1</v>
      </c>
      <c r="I1157" s="8" t="s">
        <v>8297</v>
      </c>
      <c r="J1157" s="8" t="s">
        <v>10346</v>
      </c>
      <c r="K1157" s="8" t="s">
        <v>2143</v>
      </c>
      <c r="L1157" s="8" t="s">
        <v>12397</v>
      </c>
      <c r="M1157" s="8" t="s">
        <v>4193</v>
      </c>
      <c r="N1157" s="8" t="s">
        <v>6244</v>
      </c>
      <c r="O1157" s="5" t="s">
        <v>115</v>
      </c>
      <c r="P1157" s="4">
        <v>45744</v>
      </c>
      <c r="Q1157" s="15">
        <v>30.95</v>
      </c>
      <c r="R1157" s="15">
        <v>12.07</v>
      </c>
      <c r="S1157" s="15">
        <v>0</v>
      </c>
      <c r="T1157"/>
    </row>
    <row r="1158" spans="1:20">
      <c r="A1158" s="5" t="s">
        <v>113</v>
      </c>
      <c r="B1158" s="5" t="s">
        <v>14485</v>
      </c>
      <c r="C1158" s="4">
        <v>45727</v>
      </c>
      <c r="D1158" s="4">
        <v>45727</v>
      </c>
      <c r="E1158" s="5" t="s">
        <v>16570</v>
      </c>
      <c r="F1158" s="5" t="s">
        <v>18559</v>
      </c>
      <c r="G1158" s="5" t="s">
        <v>817</v>
      </c>
      <c r="H1158" s="5">
        <v>1</v>
      </c>
      <c r="I1158" s="8" t="s">
        <v>8298</v>
      </c>
      <c r="J1158" s="8" t="s">
        <v>10347</v>
      </c>
      <c r="K1158" s="8" t="s">
        <v>2144</v>
      </c>
      <c r="L1158" s="8" t="s">
        <v>12398</v>
      </c>
      <c r="M1158" s="8" t="s">
        <v>4194</v>
      </c>
      <c r="N1158" s="8" t="s">
        <v>6245</v>
      </c>
      <c r="O1158" s="5" t="s">
        <v>115</v>
      </c>
      <c r="P1158" s="4">
        <v>45748</v>
      </c>
      <c r="Q1158" s="15">
        <v>30.95</v>
      </c>
      <c r="R1158" s="15">
        <v>12.07</v>
      </c>
      <c r="S1158" s="15">
        <v>0</v>
      </c>
      <c r="T1158"/>
    </row>
    <row r="1159" spans="1:20">
      <c r="A1159" s="5" t="s">
        <v>113</v>
      </c>
      <c r="B1159" s="5" t="s">
        <v>14486</v>
      </c>
      <c r="C1159" s="4">
        <v>45727</v>
      </c>
      <c r="D1159" s="4">
        <v>45727</v>
      </c>
      <c r="E1159" s="5" t="s">
        <v>16571</v>
      </c>
      <c r="F1159" s="5" t="s">
        <v>18560</v>
      </c>
      <c r="G1159" s="5" t="s">
        <v>849</v>
      </c>
      <c r="H1159" s="5">
        <v>1</v>
      </c>
      <c r="I1159" s="8" t="s">
        <v>8299</v>
      </c>
      <c r="J1159" s="8" t="s">
        <v>10348</v>
      </c>
      <c r="K1159" s="8" t="s">
        <v>2145</v>
      </c>
      <c r="L1159" s="8" t="s">
        <v>12399</v>
      </c>
      <c r="M1159" s="8" t="s">
        <v>4195</v>
      </c>
      <c r="N1159" s="8" t="s">
        <v>6246</v>
      </c>
      <c r="O1159" s="5" t="s">
        <v>116</v>
      </c>
      <c r="P1159" s="4">
        <v>45759</v>
      </c>
      <c r="Q1159" s="15">
        <v>65.599999999999994</v>
      </c>
      <c r="R1159" s="15">
        <v>12.38</v>
      </c>
      <c r="S1159" s="15">
        <v>0</v>
      </c>
      <c r="T1159"/>
    </row>
    <row r="1160" spans="1:20">
      <c r="A1160" s="5" t="s">
        <v>36</v>
      </c>
      <c r="B1160" s="5" t="s">
        <v>14487</v>
      </c>
      <c r="C1160" s="4">
        <v>45728</v>
      </c>
      <c r="D1160" s="4">
        <v>45730</v>
      </c>
      <c r="E1160" s="5" t="s">
        <v>16572</v>
      </c>
      <c r="F1160" s="5" t="s">
        <v>18561</v>
      </c>
      <c r="G1160" s="5" t="s">
        <v>839</v>
      </c>
      <c r="H1160" s="5">
        <v>1</v>
      </c>
      <c r="I1160" s="8" t="s">
        <v>8300</v>
      </c>
      <c r="J1160" s="8" t="s">
        <v>10349</v>
      </c>
      <c r="K1160" s="8" t="s">
        <v>2146</v>
      </c>
      <c r="L1160" s="8" t="s">
        <v>12400</v>
      </c>
      <c r="M1160" s="8" t="s">
        <v>4196</v>
      </c>
      <c r="N1160" s="8" t="s">
        <v>6247</v>
      </c>
      <c r="O1160" s="5" t="s">
        <v>59</v>
      </c>
      <c r="P1160" s="4">
        <v>45749</v>
      </c>
      <c r="Q1160" s="15">
        <v>21.99</v>
      </c>
      <c r="R1160" s="15">
        <v>7.99</v>
      </c>
      <c r="S1160" s="15">
        <v>0</v>
      </c>
      <c r="T1160"/>
    </row>
    <row r="1161" spans="1:20">
      <c r="A1161" s="5" t="s">
        <v>36</v>
      </c>
      <c r="B1161" s="5" t="s">
        <v>14488</v>
      </c>
      <c r="C1161" s="4">
        <v>45728</v>
      </c>
      <c r="D1161" s="4">
        <v>45730</v>
      </c>
      <c r="E1161" s="5" t="s">
        <v>16573</v>
      </c>
      <c r="F1161" s="5" t="s">
        <v>18562</v>
      </c>
      <c r="G1161" s="5" t="s">
        <v>839</v>
      </c>
      <c r="H1161" s="5">
        <v>1</v>
      </c>
      <c r="I1161" s="8" t="s">
        <v>8301</v>
      </c>
      <c r="J1161" s="8" t="s">
        <v>10350</v>
      </c>
      <c r="K1161" s="8" t="s">
        <v>2147</v>
      </c>
      <c r="L1161" s="8" t="s">
        <v>12401</v>
      </c>
      <c r="M1161" s="8" t="s">
        <v>4197</v>
      </c>
      <c r="N1161" s="8" t="s">
        <v>6248</v>
      </c>
      <c r="O1161" s="5" t="s">
        <v>59</v>
      </c>
      <c r="P1161" s="4">
        <v>45743</v>
      </c>
      <c r="Q1161" s="15">
        <v>21.99</v>
      </c>
      <c r="R1161" s="15">
        <v>7.99</v>
      </c>
      <c r="S1161" s="15">
        <v>0</v>
      </c>
      <c r="T1161"/>
    </row>
    <row r="1162" spans="1:20">
      <c r="A1162" s="5" t="s">
        <v>36</v>
      </c>
      <c r="B1162" s="5" t="s">
        <v>14489</v>
      </c>
      <c r="C1162" s="4">
        <v>45728</v>
      </c>
      <c r="D1162" s="4">
        <v>45728</v>
      </c>
      <c r="E1162" s="5" t="s">
        <v>16574</v>
      </c>
      <c r="F1162" s="5" t="s">
        <v>18563</v>
      </c>
      <c r="G1162" s="5" t="s">
        <v>833</v>
      </c>
      <c r="H1162" s="5">
        <v>1</v>
      </c>
      <c r="I1162" s="8" t="s">
        <v>8302</v>
      </c>
      <c r="J1162" s="8" t="s">
        <v>10351</v>
      </c>
      <c r="K1162" s="8" t="s">
        <v>2148</v>
      </c>
      <c r="L1162" s="8" t="s">
        <v>12402</v>
      </c>
      <c r="M1162" s="8" t="s">
        <v>4198</v>
      </c>
      <c r="N1162" s="8" t="s">
        <v>6249</v>
      </c>
      <c r="O1162" s="5" t="s">
        <v>49</v>
      </c>
      <c r="P1162" s="4">
        <v>45755</v>
      </c>
      <c r="Q1162" s="15">
        <v>23.9</v>
      </c>
      <c r="R1162" s="15">
        <v>13.71</v>
      </c>
      <c r="S1162" s="15">
        <v>0</v>
      </c>
      <c r="T1162"/>
    </row>
    <row r="1163" spans="1:20">
      <c r="A1163" s="5" t="s">
        <v>113</v>
      </c>
      <c r="B1163" s="5" t="s">
        <v>14490</v>
      </c>
      <c r="C1163" s="4">
        <v>45728</v>
      </c>
      <c r="D1163" s="4">
        <v>45728</v>
      </c>
      <c r="E1163" s="5" t="s">
        <v>16575</v>
      </c>
      <c r="F1163" s="5" t="s">
        <v>18564</v>
      </c>
      <c r="G1163" s="5" t="s">
        <v>817</v>
      </c>
      <c r="H1163" s="5">
        <v>1</v>
      </c>
      <c r="I1163" s="8" t="s">
        <v>8303</v>
      </c>
      <c r="J1163" s="8" t="s">
        <v>10352</v>
      </c>
      <c r="K1163" s="8" t="s">
        <v>2149</v>
      </c>
      <c r="L1163" s="8" t="s">
        <v>12403</v>
      </c>
      <c r="M1163" s="8" t="s">
        <v>4199</v>
      </c>
      <c r="N1163" s="8" t="s">
        <v>6250</v>
      </c>
      <c r="O1163" s="5" t="s">
        <v>115</v>
      </c>
      <c r="P1163" s="4">
        <v>45749</v>
      </c>
      <c r="Q1163" s="15">
        <v>30.95</v>
      </c>
      <c r="R1163" s="15">
        <v>12.04</v>
      </c>
      <c r="S1163" s="15">
        <v>0</v>
      </c>
      <c r="T1163"/>
    </row>
    <row r="1164" spans="1:20">
      <c r="A1164" s="5" t="s">
        <v>113</v>
      </c>
      <c r="B1164" s="5" t="s">
        <v>14491</v>
      </c>
      <c r="C1164" s="4">
        <v>45728</v>
      </c>
      <c r="D1164" s="4">
        <v>45728</v>
      </c>
      <c r="E1164" s="5" t="s">
        <v>16576</v>
      </c>
      <c r="F1164" s="5" t="s">
        <v>18565</v>
      </c>
      <c r="G1164" s="5" t="s">
        <v>817</v>
      </c>
      <c r="H1164" s="5">
        <v>1</v>
      </c>
      <c r="I1164" s="8" t="s">
        <v>8304</v>
      </c>
      <c r="J1164" s="8" t="s">
        <v>10353</v>
      </c>
      <c r="K1164" s="8" t="s">
        <v>2150</v>
      </c>
      <c r="L1164" s="8" t="s">
        <v>12404</v>
      </c>
      <c r="M1164" s="8" t="s">
        <v>4200</v>
      </c>
      <c r="N1164" s="8" t="s">
        <v>6251</v>
      </c>
      <c r="O1164" s="5" t="s">
        <v>115</v>
      </c>
      <c r="P1164" s="4">
        <v>45755</v>
      </c>
      <c r="Q1164" s="15">
        <v>30.95</v>
      </c>
      <c r="R1164" s="15">
        <v>12.04</v>
      </c>
      <c r="S1164" s="15">
        <v>0</v>
      </c>
      <c r="T1164"/>
    </row>
    <row r="1165" spans="1:20">
      <c r="A1165" s="5" t="s">
        <v>113</v>
      </c>
      <c r="B1165" s="5" t="s">
        <v>14492</v>
      </c>
      <c r="C1165" s="4">
        <v>45728</v>
      </c>
      <c r="D1165" s="4">
        <v>45728</v>
      </c>
      <c r="E1165" s="5" t="s">
        <v>16577</v>
      </c>
      <c r="F1165" s="5" t="s">
        <v>18566</v>
      </c>
      <c r="G1165" s="5" t="s">
        <v>849</v>
      </c>
      <c r="H1165" s="5">
        <v>1</v>
      </c>
      <c r="I1165" s="8" t="s">
        <v>8305</v>
      </c>
      <c r="J1165" s="8" t="s">
        <v>10354</v>
      </c>
      <c r="K1165" s="8" t="s">
        <v>2151</v>
      </c>
      <c r="L1165" s="8" t="s">
        <v>12405</v>
      </c>
      <c r="M1165" s="8" t="s">
        <v>4201</v>
      </c>
      <c r="N1165" s="8" t="s">
        <v>6252</v>
      </c>
      <c r="O1165" s="5" t="s">
        <v>116</v>
      </c>
      <c r="P1165" s="4">
        <v>45749</v>
      </c>
      <c r="Q1165" s="15">
        <v>65.599999999999994</v>
      </c>
      <c r="R1165" s="15">
        <v>13.48</v>
      </c>
      <c r="S1165" s="15">
        <v>0</v>
      </c>
      <c r="T1165"/>
    </row>
    <row r="1166" spans="1:20">
      <c r="A1166" s="5" t="s">
        <v>113</v>
      </c>
      <c r="B1166" s="5" t="s">
        <v>14493</v>
      </c>
      <c r="C1166" s="4">
        <v>45728</v>
      </c>
      <c r="D1166" s="4">
        <v>45728</v>
      </c>
      <c r="E1166" s="5" t="s">
        <v>16578</v>
      </c>
      <c r="F1166" s="5" t="s">
        <v>18567</v>
      </c>
      <c r="G1166" s="5" t="s">
        <v>817</v>
      </c>
      <c r="H1166" s="5">
        <v>1</v>
      </c>
      <c r="I1166" s="8" t="s">
        <v>8306</v>
      </c>
      <c r="J1166" s="8" t="s">
        <v>10355</v>
      </c>
      <c r="K1166" s="8" t="s">
        <v>2152</v>
      </c>
      <c r="L1166" s="8" t="s">
        <v>12406</v>
      </c>
      <c r="M1166" s="8" t="s">
        <v>4202</v>
      </c>
      <c r="N1166" s="8" t="s">
        <v>6253</v>
      </c>
      <c r="O1166" s="5" t="s">
        <v>115</v>
      </c>
      <c r="P1166" s="4">
        <v>45749</v>
      </c>
      <c r="Q1166" s="15">
        <v>30.95</v>
      </c>
      <c r="R1166" s="15">
        <v>12.04</v>
      </c>
      <c r="S1166" s="15">
        <v>0</v>
      </c>
      <c r="T1166"/>
    </row>
    <row r="1167" spans="1:20">
      <c r="A1167" s="5" t="s">
        <v>113</v>
      </c>
      <c r="B1167" s="5" t="s">
        <v>14494</v>
      </c>
      <c r="C1167" s="4">
        <v>45728</v>
      </c>
      <c r="D1167" s="4">
        <v>45728</v>
      </c>
      <c r="E1167" s="5" t="s">
        <v>16579</v>
      </c>
      <c r="F1167" s="5" t="s">
        <v>18568</v>
      </c>
      <c r="G1167" s="5" t="s">
        <v>817</v>
      </c>
      <c r="H1167" s="5">
        <v>1</v>
      </c>
      <c r="I1167" s="8" t="s">
        <v>8307</v>
      </c>
      <c r="J1167" s="8" t="s">
        <v>10356</v>
      </c>
      <c r="K1167" s="8" t="s">
        <v>2153</v>
      </c>
      <c r="L1167" s="8" t="s">
        <v>12407</v>
      </c>
      <c r="M1167" s="8" t="s">
        <v>4203</v>
      </c>
      <c r="N1167" s="8" t="s">
        <v>6254</v>
      </c>
      <c r="O1167" s="5" t="s">
        <v>115</v>
      </c>
      <c r="P1167" s="4">
        <v>45749</v>
      </c>
      <c r="Q1167" s="15">
        <v>30.95</v>
      </c>
      <c r="R1167" s="15">
        <v>12.04</v>
      </c>
      <c r="S1167" s="15">
        <v>0</v>
      </c>
      <c r="T1167"/>
    </row>
    <row r="1168" spans="1:20">
      <c r="A1168" s="5" t="s">
        <v>36</v>
      </c>
      <c r="B1168" s="5" t="s">
        <v>14495</v>
      </c>
      <c r="C1168" s="4">
        <v>45729</v>
      </c>
      <c r="D1168" s="4">
        <v>45730</v>
      </c>
      <c r="E1168" s="5" t="s">
        <v>16580</v>
      </c>
      <c r="F1168" s="5" t="s">
        <v>18569</v>
      </c>
      <c r="G1168" s="5" t="s">
        <v>836</v>
      </c>
      <c r="H1168" s="5">
        <v>1</v>
      </c>
      <c r="I1168" s="8" t="s">
        <v>8308</v>
      </c>
      <c r="J1168" s="8" t="s">
        <v>10357</v>
      </c>
      <c r="K1168" s="8" t="s">
        <v>2154</v>
      </c>
      <c r="L1168" s="8" t="s">
        <v>12408</v>
      </c>
      <c r="M1168" s="8" t="s">
        <v>4204</v>
      </c>
      <c r="N1168" s="8" t="s">
        <v>6255</v>
      </c>
      <c r="O1168" s="5" t="s">
        <v>55</v>
      </c>
      <c r="P1168" s="4">
        <v>45756</v>
      </c>
      <c r="Q1168" s="15">
        <v>23.5</v>
      </c>
      <c r="R1168" s="15">
        <v>16.8</v>
      </c>
      <c r="S1168" s="15">
        <v>0</v>
      </c>
      <c r="T1168"/>
    </row>
    <row r="1169" spans="1:20">
      <c r="A1169" s="5" t="s">
        <v>36</v>
      </c>
      <c r="B1169" s="5" t="s">
        <v>14496</v>
      </c>
      <c r="C1169" s="4">
        <v>45729</v>
      </c>
      <c r="D1169" s="4">
        <v>45730</v>
      </c>
      <c r="E1169" s="5" t="s">
        <v>16581</v>
      </c>
      <c r="F1169" s="5" t="s">
        <v>18570</v>
      </c>
      <c r="G1169" s="5" t="s">
        <v>836</v>
      </c>
      <c r="H1169" s="5">
        <v>1</v>
      </c>
      <c r="I1169" s="8" t="s">
        <v>8309</v>
      </c>
      <c r="J1169" s="8" t="s">
        <v>10358</v>
      </c>
      <c r="K1169" s="8" t="s">
        <v>2155</v>
      </c>
      <c r="L1169" s="8" t="s">
        <v>12409</v>
      </c>
      <c r="M1169" s="8" t="s">
        <v>4205</v>
      </c>
      <c r="N1169" s="8" t="s">
        <v>6256</v>
      </c>
      <c r="O1169" s="5" t="s">
        <v>55</v>
      </c>
      <c r="P1169" s="4">
        <v>45756</v>
      </c>
      <c r="Q1169" s="15">
        <v>23.5</v>
      </c>
      <c r="R1169" s="15">
        <v>16.8</v>
      </c>
      <c r="S1169" s="15">
        <v>0</v>
      </c>
      <c r="T1169"/>
    </row>
    <row r="1170" spans="1:20">
      <c r="A1170" s="5" t="s">
        <v>36</v>
      </c>
      <c r="B1170" s="5" t="s">
        <v>14497</v>
      </c>
      <c r="C1170" s="4">
        <v>45729</v>
      </c>
      <c r="D1170" s="4">
        <v>45729</v>
      </c>
      <c r="E1170" s="5" t="s">
        <v>16582</v>
      </c>
      <c r="F1170" s="5" t="s">
        <v>18571</v>
      </c>
      <c r="G1170" s="5" t="s">
        <v>855</v>
      </c>
      <c r="H1170" s="5">
        <v>1</v>
      </c>
      <c r="I1170" s="8" t="s">
        <v>8310</v>
      </c>
      <c r="J1170" s="8" t="s">
        <v>10359</v>
      </c>
      <c r="K1170" s="8" t="s">
        <v>2156</v>
      </c>
      <c r="L1170" s="8" t="s">
        <v>12410</v>
      </c>
      <c r="M1170" s="8" t="s">
        <v>4206</v>
      </c>
      <c r="N1170" s="8" t="s">
        <v>6257</v>
      </c>
      <c r="O1170" s="5" t="s">
        <v>81</v>
      </c>
      <c r="P1170" s="4">
        <v>45750</v>
      </c>
      <c r="Q1170" s="15">
        <v>26.99</v>
      </c>
      <c r="R1170" s="15">
        <v>10.220000000000001</v>
      </c>
      <c r="S1170" s="15">
        <v>0</v>
      </c>
      <c r="T1170"/>
    </row>
    <row r="1171" spans="1:20">
      <c r="A1171" s="5" t="s">
        <v>36</v>
      </c>
      <c r="B1171" s="5" t="s">
        <v>14498</v>
      </c>
      <c r="C1171" s="4">
        <v>45729</v>
      </c>
      <c r="D1171" s="4">
        <v>45729</v>
      </c>
      <c r="E1171" s="5" t="s">
        <v>16583</v>
      </c>
      <c r="F1171" s="5" t="s">
        <v>18572</v>
      </c>
      <c r="G1171" s="5" t="s">
        <v>836</v>
      </c>
      <c r="H1171" s="5">
        <v>1</v>
      </c>
      <c r="I1171" s="8" t="s">
        <v>8311</v>
      </c>
      <c r="J1171" s="8" t="s">
        <v>10360</v>
      </c>
      <c r="K1171" s="8" t="s">
        <v>2157</v>
      </c>
      <c r="L1171" s="8" t="s">
        <v>12411</v>
      </c>
      <c r="M1171" s="8" t="s">
        <v>4207</v>
      </c>
      <c r="N1171" s="8" t="s">
        <v>6258</v>
      </c>
      <c r="O1171" s="5" t="s">
        <v>55</v>
      </c>
      <c r="P1171" s="4">
        <v>45748</v>
      </c>
      <c r="Q1171" s="15">
        <v>23.5</v>
      </c>
      <c r="R1171" s="15">
        <v>0</v>
      </c>
      <c r="S1171" s="15">
        <v>0</v>
      </c>
      <c r="T1171"/>
    </row>
    <row r="1172" spans="1:20">
      <c r="A1172" s="5" t="s">
        <v>36</v>
      </c>
      <c r="B1172" s="5" t="s">
        <v>14499</v>
      </c>
      <c r="C1172" s="4">
        <v>45729</v>
      </c>
      <c r="D1172" s="4">
        <v>45729</v>
      </c>
      <c r="E1172" s="5" t="s">
        <v>16584</v>
      </c>
      <c r="F1172" s="5" t="s">
        <v>18573</v>
      </c>
      <c r="G1172" s="5" t="s">
        <v>836</v>
      </c>
      <c r="H1172" s="5">
        <v>1</v>
      </c>
      <c r="I1172" s="8" t="s">
        <v>8312</v>
      </c>
      <c r="J1172" s="8" t="s">
        <v>10361</v>
      </c>
      <c r="K1172" s="8" t="s">
        <v>2158</v>
      </c>
      <c r="L1172" s="8" t="s">
        <v>12412</v>
      </c>
      <c r="M1172" s="8" t="s">
        <v>4208</v>
      </c>
      <c r="N1172" s="8" t="s">
        <v>6259</v>
      </c>
      <c r="O1172" s="5" t="s">
        <v>55</v>
      </c>
      <c r="P1172" s="4">
        <v>45756</v>
      </c>
      <c r="Q1172" s="15">
        <v>23.5</v>
      </c>
      <c r="R1172" s="15">
        <v>13.77</v>
      </c>
      <c r="S1172" s="15">
        <v>0</v>
      </c>
      <c r="T1172"/>
    </row>
    <row r="1173" spans="1:20">
      <c r="A1173" s="5" t="s">
        <v>113</v>
      </c>
      <c r="B1173" s="5" t="s">
        <v>14500</v>
      </c>
      <c r="C1173" s="4">
        <v>45728</v>
      </c>
      <c r="D1173" s="4" t="s">
        <v>37</v>
      </c>
      <c r="E1173" s="5" t="s">
        <v>16585</v>
      </c>
      <c r="F1173" s="5" t="s">
        <v>18574</v>
      </c>
      <c r="G1173" s="5" t="s">
        <v>826</v>
      </c>
      <c r="H1173" s="5">
        <v>1</v>
      </c>
      <c r="I1173" s="8" t="s">
        <v>8313</v>
      </c>
      <c r="J1173" s="8" t="s">
        <v>10362</v>
      </c>
      <c r="K1173" s="8" t="s">
        <v>2159</v>
      </c>
      <c r="L1173" s="8" t="s">
        <v>12413</v>
      </c>
      <c r="M1173" s="8" t="s">
        <v>4209</v>
      </c>
      <c r="N1173" s="8" t="s">
        <v>6260</v>
      </c>
      <c r="O1173" s="5" t="s">
        <v>122</v>
      </c>
      <c r="P1173" s="4">
        <v>45737</v>
      </c>
      <c r="Q1173" s="15">
        <v>19.989999999999998</v>
      </c>
      <c r="R1173" s="15">
        <v>0</v>
      </c>
      <c r="S1173" s="15">
        <v>0</v>
      </c>
      <c r="T1173"/>
    </row>
    <row r="1174" spans="1:20">
      <c r="A1174" s="5" t="s">
        <v>113</v>
      </c>
      <c r="B1174" s="5" t="s">
        <v>14501</v>
      </c>
      <c r="C1174" s="4">
        <v>45729</v>
      </c>
      <c r="D1174" s="4">
        <v>45729</v>
      </c>
      <c r="E1174" s="5" t="s">
        <v>16586</v>
      </c>
      <c r="F1174" s="5" t="s">
        <v>18575</v>
      </c>
      <c r="G1174" s="5" t="s">
        <v>905</v>
      </c>
      <c r="H1174" s="5">
        <v>1</v>
      </c>
      <c r="I1174" s="8" t="s">
        <v>8314</v>
      </c>
      <c r="J1174" s="8" t="s">
        <v>10363</v>
      </c>
      <c r="K1174" s="8" t="s">
        <v>2160</v>
      </c>
      <c r="L1174" s="8" t="s">
        <v>12414</v>
      </c>
      <c r="M1174" s="8" t="s">
        <v>4210</v>
      </c>
      <c r="N1174" s="8" t="s">
        <v>6261</v>
      </c>
      <c r="O1174" s="5" t="s">
        <v>125</v>
      </c>
      <c r="P1174" s="4">
        <v>45750</v>
      </c>
      <c r="Q1174" s="15">
        <v>24.99</v>
      </c>
      <c r="R1174" s="15">
        <v>11.69</v>
      </c>
      <c r="S1174" s="15">
        <v>0</v>
      </c>
      <c r="T1174"/>
    </row>
    <row r="1175" spans="1:20">
      <c r="A1175" s="5" t="s">
        <v>113</v>
      </c>
      <c r="B1175" s="5" t="s">
        <v>14502</v>
      </c>
      <c r="C1175" s="4">
        <v>45729</v>
      </c>
      <c r="D1175" s="4">
        <v>45729</v>
      </c>
      <c r="E1175" s="5" t="s">
        <v>16587</v>
      </c>
      <c r="F1175" s="5" t="s">
        <v>18576</v>
      </c>
      <c r="G1175" s="5" t="s">
        <v>900</v>
      </c>
      <c r="H1175" s="5">
        <v>1</v>
      </c>
      <c r="I1175" s="8" t="s">
        <v>8315</v>
      </c>
      <c r="J1175" s="8" t="s">
        <v>10364</v>
      </c>
      <c r="K1175" s="8" t="s">
        <v>2161</v>
      </c>
      <c r="L1175" s="8" t="s">
        <v>12415</v>
      </c>
      <c r="M1175" s="8" t="s">
        <v>4211</v>
      </c>
      <c r="N1175" s="8" t="s">
        <v>6262</v>
      </c>
      <c r="O1175" s="5" t="s">
        <v>126</v>
      </c>
      <c r="P1175" s="4">
        <v>45750</v>
      </c>
      <c r="Q1175" s="15">
        <v>18.3</v>
      </c>
      <c r="R1175" s="15">
        <v>6.99</v>
      </c>
      <c r="S1175" s="15">
        <v>0</v>
      </c>
      <c r="T1175"/>
    </row>
    <row r="1176" spans="1:20">
      <c r="A1176" s="5" t="s">
        <v>113</v>
      </c>
      <c r="B1176" s="5" t="s">
        <v>14503</v>
      </c>
      <c r="C1176" s="4">
        <v>45729</v>
      </c>
      <c r="D1176" s="4">
        <v>45729</v>
      </c>
      <c r="E1176" s="5" t="s">
        <v>16588</v>
      </c>
      <c r="F1176" s="5" t="s">
        <v>18577</v>
      </c>
      <c r="G1176" s="5" t="s">
        <v>817</v>
      </c>
      <c r="H1176" s="5">
        <v>1</v>
      </c>
      <c r="I1176" s="8" t="s">
        <v>8316</v>
      </c>
      <c r="J1176" s="8" t="s">
        <v>10365</v>
      </c>
      <c r="K1176" s="8" t="s">
        <v>2162</v>
      </c>
      <c r="L1176" s="8" t="s">
        <v>12416</v>
      </c>
      <c r="M1176" s="8" t="s">
        <v>4212</v>
      </c>
      <c r="N1176" s="8" t="s">
        <v>6263</v>
      </c>
      <c r="O1176" s="5" t="s">
        <v>115</v>
      </c>
      <c r="P1176" s="4">
        <v>45750</v>
      </c>
      <c r="Q1176" s="15">
        <v>30.95</v>
      </c>
      <c r="R1176" s="15">
        <v>16.88</v>
      </c>
      <c r="S1176" s="15">
        <v>0</v>
      </c>
      <c r="T1176"/>
    </row>
    <row r="1177" spans="1:20">
      <c r="A1177" s="5" t="s">
        <v>113</v>
      </c>
      <c r="B1177" s="5" t="s">
        <v>14504</v>
      </c>
      <c r="C1177" s="4">
        <v>45729</v>
      </c>
      <c r="D1177" s="4">
        <v>45729</v>
      </c>
      <c r="E1177" s="5" t="s">
        <v>16589</v>
      </c>
      <c r="F1177" s="5" t="s">
        <v>18578</v>
      </c>
      <c r="G1177" s="5" t="s">
        <v>905</v>
      </c>
      <c r="H1177" s="5">
        <v>1</v>
      </c>
      <c r="I1177" s="8" t="s">
        <v>8317</v>
      </c>
      <c r="J1177" s="8" t="s">
        <v>10366</v>
      </c>
      <c r="K1177" s="8" t="s">
        <v>2163</v>
      </c>
      <c r="L1177" s="8" t="s">
        <v>12417</v>
      </c>
      <c r="M1177" s="8" t="s">
        <v>4213</v>
      </c>
      <c r="N1177" s="8" t="s">
        <v>6264</v>
      </c>
      <c r="O1177" s="5" t="s">
        <v>125</v>
      </c>
      <c r="P1177" s="4">
        <v>45750</v>
      </c>
      <c r="Q1177" s="15">
        <v>24.99</v>
      </c>
      <c r="R1177" s="15">
        <v>11.69</v>
      </c>
      <c r="S1177" s="15">
        <v>0</v>
      </c>
      <c r="T1177"/>
    </row>
    <row r="1178" spans="1:20">
      <c r="A1178" s="5" t="s">
        <v>113</v>
      </c>
      <c r="B1178" s="5" t="s">
        <v>14505</v>
      </c>
      <c r="C1178" s="4">
        <v>45729</v>
      </c>
      <c r="D1178" s="4">
        <v>45729</v>
      </c>
      <c r="E1178" s="5" t="s">
        <v>16590</v>
      </c>
      <c r="F1178" s="5" t="s">
        <v>18579</v>
      </c>
      <c r="G1178" s="5" t="s">
        <v>849</v>
      </c>
      <c r="H1178" s="5">
        <v>1</v>
      </c>
      <c r="I1178" s="8" t="s">
        <v>8318</v>
      </c>
      <c r="J1178" s="8" t="s">
        <v>10367</v>
      </c>
      <c r="K1178" s="8" t="s">
        <v>2164</v>
      </c>
      <c r="L1178" s="8" t="s">
        <v>12418</v>
      </c>
      <c r="M1178" s="8" t="s">
        <v>4214</v>
      </c>
      <c r="N1178" s="8" t="s">
        <v>6265</v>
      </c>
      <c r="O1178" s="5" t="s">
        <v>116</v>
      </c>
      <c r="P1178" s="4">
        <v>45750</v>
      </c>
      <c r="Q1178" s="15">
        <v>65.599999999999994</v>
      </c>
      <c r="R1178" s="15">
        <v>14.04</v>
      </c>
      <c r="S1178" s="15">
        <v>0</v>
      </c>
      <c r="T1178"/>
    </row>
    <row r="1179" spans="1:20">
      <c r="A1179" s="5" t="s">
        <v>113</v>
      </c>
      <c r="B1179" s="5" t="s">
        <v>14506</v>
      </c>
      <c r="C1179" s="4">
        <v>45729</v>
      </c>
      <c r="D1179" s="4">
        <v>45729</v>
      </c>
      <c r="E1179" s="5" t="s">
        <v>16591</v>
      </c>
      <c r="F1179" s="5" t="s">
        <v>18580</v>
      </c>
      <c r="G1179" s="5" t="s">
        <v>817</v>
      </c>
      <c r="H1179" s="5">
        <v>1</v>
      </c>
      <c r="I1179" s="8" t="s">
        <v>8319</v>
      </c>
      <c r="J1179" s="8" t="s">
        <v>10368</v>
      </c>
      <c r="K1179" s="8" t="s">
        <v>2165</v>
      </c>
      <c r="L1179" s="8" t="s">
        <v>12419</v>
      </c>
      <c r="M1179" s="8" t="s">
        <v>4215</v>
      </c>
      <c r="N1179" s="8" t="s">
        <v>6266</v>
      </c>
      <c r="O1179" s="5" t="s">
        <v>115</v>
      </c>
      <c r="P1179" s="4">
        <v>45744</v>
      </c>
      <c r="Q1179" s="15">
        <v>30.95</v>
      </c>
      <c r="R1179" s="15">
        <v>16.88</v>
      </c>
      <c r="S1179" s="15">
        <v>0</v>
      </c>
      <c r="T1179"/>
    </row>
    <row r="1180" spans="1:20">
      <c r="A1180" s="5" t="s">
        <v>113</v>
      </c>
      <c r="B1180" s="5" t="s">
        <v>14507</v>
      </c>
      <c r="C1180" s="4">
        <v>45729</v>
      </c>
      <c r="D1180" s="4">
        <v>45730</v>
      </c>
      <c r="E1180" s="5" t="s">
        <v>16592</v>
      </c>
      <c r="F1180" s="5" t="s">
        <v>18581</v>
      </c>
      <c r="G1180" s="5" t="s">
        <v>817</v>
      </c>
      <c r="H1180" s="5">
        <v>1</v>
      </c>
      <c r="I1180" s="8" t="s">
        <v>8320</v>
      </c>
      <c r="J1180" s="8" t="s">
        <v>10369</v>
      </c>
      <c r="K1180" s="8" t="s">
        <v>2166</v>
      </c>
      <c r="L1180" s="8" t="s">
        <v>12420</v>
      </c>
      <c r="M1180" s="8" t="s">
        <v>4216</v>
      </c>
      <c r="N1180" s="8" t="s">
        <v>6267</v>
      </c>
      <c r="O1180" s="5" t="s">
        <v>115</v>
      </c>
      <c r="P1180" s="4">
        <v>45750</v>
      </c>
      <c r="Q1180" s="15">
        <v>30.95</v>
      </c>
      <c r="R1180" s="15">
        <v>16.48</v>
      </c>
      <c r="S1180" s="15">
        <v>0</v>
      </c>
      <c r="T1180"/>
    </row>
    <row r="1181" spans="1:20">
      <c r="A1181" s="5" t="s">
        <v>113</v>
      </c>
      <c r="B1181" s="5" t="s">
        <v>14508</v>
      </c>
      <c r="C1181" s="4">
        <v>45729</v>
      </c>
      <c r="D1181" s="4">
        <v>45735</v>
      </c>
      <c r="E1181" s="5" t="s">
        <v>16593</v>
      </c>
      <c r="F1181" s="5" t="s">
        <v>18582</v>
      </c>
      <c r="G1181" s="5" t="s">
        <v>900</v>
      </c>
      <c r="H1181" s="5">
        <v>1</v>
      </c>
      <c r="I1181" s="8" t="s">
        <v>8321</v>
      </c>
      <c r="J1181" s="8" t="s">
        <v>10370</v>
      </c>
      <c r="K1181" s="8" t="s">
        <v>2167</v>
      </c>
      <c r="L1181" s="8" t="s">
        <v>12421</v>
      </c>
      <c r="M1181" s="8" t="s">
        <v>4217</v>
      </c>
      <c r="N1181" s="8" t="s">
        <v>6268</v>
      </c>
      <c r="O1181" s="5" t="s">
        <v>126</v>
      </c>
      <c r="P1181" s="4">
        <v>45756</v>
      </c>
      <c r="Q1181" s="15">
        <v>18.3</v>
      </c>
      <c r="R1181" s="15">
        <v>10.199999999999999</v>
      </c>
      <c r="S1181" s="15">
        <v>0</v>
      </c>
      <c r="T1181"/>
    </row>
    <row r="1182" spans="1:20">
      <c r="A1182" s="5" t="s">
        <v>113</v>
      </c>
      <c r="B1182" s="5" t="s">
        <v>14509</v>
      </c>
      <c r="C1182" s="4">
        <v>45729</v>
      </c>
      <c r="D1182" s="4">
        <v>45730</v>
      </c>
      <c r="E1182" s="5" t="s">
        <v>16594</v>
      </c>
      <c r="F1182" s="5" t="s">
        <v>18583</v>
      </c>
      <c r="G1182" s="5" t="s">
        <v>894</v>
      </c>
      <c r="H1182" s="5">
        <v>1</v>
      </c>
      <c r="I1182" s="8" t="s">
        <v>8322</v>
      </c>
      <c r="J1182" s="8" t="s">
        <v>10371</v>
      </c>
      <c r="K1182" s="8" t="s">
        <v>2168</v>
      </c>
      <c r="L1182" s="8" t="s">
        <v>12422</v>
      </c>
      <c r="M1182" s="8" t="s">
        <v>4218</v>
      </c>
      <c r="N1182" s="8" t="s">
        <v>6269</v>
      </c>
      <c r="O1182" s="5" t="s">
        <v>127</v>
      </c>
      <c r="P1182" s="4">
        <v>45756</v>
      </c>
      <c r="Q1182" s="15">
        <v>45.9</v>
      </c>
      <c r="R1182" s="15">
        <v>12.61</v>
      </c>
      <c r="S1182" s="15">
        <v>0</v>
      </c>
      <c r="T1182"/>
    </row>
    <row r="1183" spans="1:20">
      <c r="A1183" s="5" t="s">
        <v>36</v>
      </c>
      <c r="B1183" s="5" t="s">
        <v>14510</v>
      </c>
      <c r="C1183" s="4">
        <v>45730</v>
      </c>
      <c r="D1183" s="4" t="s">
        <v>37</v>
      </c>
      <c r="E1183" s="5" t="s">
        <v>37</v>
      </c>
      <c r="F1183" s="5" t="s">
        <v>37</v>
      </c>
      <c r="G1183" s="5" t="s">
        <v>866</v>
      </c>
      <c r="H1183" s="5">
        <v>1</v>
      </c>
      <c r="I1183" s="8" t="s">
        <v>8323</v>
      </c>
      <c r="J1183" s="8" t="s">
        <v>10372</v>
      </c>
      <c r="K1183" s="8" t="s">
        <v>2169</v>
      </c>
      <c r="L1183" s="8" t="s">
        <v>12423</v>
      </c>
      <c r="M1183" s="8" t="s">
        <v>4219</v>
      </c>
      <c r="N1183" s="8" t="s">
        <v>6270</v>
      </c>
      <c r="O1183" s="5" t="s">
        <v>82</v>
      </c>
      <c r="P1183" s="4">
        <v>45751</v>
      </c>
      <c r="Q1183" s="15">
        <v>65.989999999999995</v>
      </c>
      <c r="R1183" s="15">
        <v>0</v>
      </c>
      <c r="S1183" s="15">
        <v>0</v>
      </c>
      <c r="T1183"/>
    </row>
    <row r="1184" spans="1:20">
      <c r="A1184" s="5" t="s">
        <v>36</v>
      </c>
      <c r="B1184" s="5" t="s">
        <v>14511</v>
      </c>
      <c r="C1184" s="4">
        <v>45730</v>
      </c>
      <c r="D1184" s="4">
        <v>45730</v>
      </c>
      <c r="E1184" s="5" t="s">
        <v>16595</v>
      </c>
      <c r="F1184" s="5" t="s">
        <v>18584</v>
      </c>
      <c r="G1184" s="5" t="s">
        <v>836</v>
      </c>
      <c r="H1184" s="5">
        <v>1</v>
      </c>
      <c r="I1184" s="8" t="s">
        <v>8324</v>
      </c>
      <c r="J1184" s="8" t="s">
        <v>10373</v>
      </c>
      <c r="K1184" s="8" t="s">
        <v>2170</v>
      </c>
      <c r="L1184" s="8" t="s">
        <v>12424</v>
      </c>
      <c r="M1184" s="8" t="s">
        <v>4220</v>
      </c>
      <c r="N1184" s="8" t="s">
        <v>6271</v>
      </c>
      <c r="O1184" s="5" t="s">
        <v>55</v>
      </c>
      <c r="P1184" s="4">
        <v>45751</v>
      </c>
      <c r="Q1184" s="15">
        <v>28.5</v>
      </c>
      <c r="R1184" s="15">
        <v>16.8</v>
      </c>
      <c r="S1184" s="15">
        <v>0</v>
      </c>
      <c r="T1184"/>
    </row>
    <row r="1185" spans="1:20">
      <c r="A1185" s="5" t="s">
        <v>36</v>
      </c>
      <c r="B1185" s="5" t="s">
        <v>14512</v>
      </c>
      <c r="C1185" s="4">
        <v>45730</v>
      </c>
      <c r="D1185" s="4">
        <v>45730</v>
      </c>
      <c r="E1185" s="5" t="s">
        <v>16596</v>
      </c>
      <c r="F1185" s="5" t="s">
        <v>18585</v>
      </c>
      <c r="G1185" s="5" t="s">
        <v>855</v>
      </c>
      <c r="H1185" s="5">
        <v>1</v>
      </c>
      <c r="I1185" s="8" t="s">
        <v>8325</v>
      </c>
      <c r="J1185" s="8" t="s">
        <v>10374</v>
      </c>
      <c r="K1185" s="8" t="s">
        <v>2171</v>
      </c>
      <c r="L1185" s="8" t="s">
        <v>12425</v>
      </c>
      <c r="M1185" s="8" t="s">
        <v>4221</v>
      </c>
      <c r="N1185" s="8" t="s">
        <v>6272</v>
      </c>
      <c r="O1185" s="5" t="s">
        <v>81</v>
      </c>
      <c r="P1185" s="4">
        <v>45751</v>
      </c>
      <c r="Q1185" s="15">
        <v>26.99</v>
      </c>
      <c r="R1185" s="15">
        <v>10.199999999999999</v>
      </c>
      <c r="S1185" s="15">
        <v>0</v>
      </c>
      <c r="T1185"/>
    </row>
    <row r="1186" spans="1:20">
      <c r="A1186" s="5" t="s">
        <v>113</v>
      </c>
      <c r="B1186" s="5" t="s">
        <v>14513</v>
      </c>
      <c r="C1186" s="4">
        <v>45730</v>
      </c>
      <c r="D1186" s="4">
        <v>45733</v>
      </c>
      <c r="E1186" s="5" t="s">
        <v>16597</v>
      </c>
      <c r="F1186" s="5" t="s">
        <v>18586</v>
      </c>
      <c r="G1186" s="5" t="s">
        <v>900</v>
      </c>
      <c r="H1186" s="5">
        <v>1</v>
      </c>
      <c r="I1186" s="8" t="s">
        <v>8326</v>
      </c>
      <c r="J1186" s="8" t="s">
        <v>10375</v>
      </c>
      <c r="K1186" s="8" t="s">
        <v>2172</v>
      </c>
      <c r="L1186" s="8" t="s">
        <v>12426</v>
      </c>
      <c r="M1186" s="8" t="s">
        <v>4222</v>
      </c>
      <c r="N1186" s="8" t="s">
        <v>6273</v>
      </c>
      <c r="O1186" s="5" t="s">
        <v>126</v>
      </c>
      <c r="P1186" s="4">
        <v>45756</v>
      </c>
      <c r="Q1186" s="15">
        <v>18.3</v>
      </c>
      <c r="R1186" s="15">
        <v>10.16</v>
      </c>
      <c r="S1186" s="15">
        <v>0</v>
      </c>
      <c r="T1186"/>
    </row>
    <row r="1187" spans="1:20">
      <c r="A1187" s="5" t="s">
        <v>113</v>
      </c>
      <c r="B1187" s="5" t="s">
        <v>14514</v>
      </c>
      <c r="C1187" s="4">
        <v>45730</v>
      </c>
      <c r="D1187" s="4">
        <v>45730</v>
      </c>
      <c r="E1187" s="5" t="s">
        <v>16598</v>
      </c>
      <c r="F1187" s="5" t="s">
        <v>18587</v>
      </c>
      <c r="G1187" s="5" t="s">
        <v>905</v>
      </c>
      <c r="H1187" s="5">
        <v>1</v>
      </c>
      <c r="I1187" s="8" t="s">
        <v>8327</v>
      </c>
      <c r="J1187" s="8" t="s">
        <v>10376</v>
      </c>
      <c r="K1187" s="8" t="s">
        <v>2173</v>
      </c>
      <c r="L1187" s="8" t="s">
        <v>12427</v>
      </c>
      <c r="M1187" s="8" t="s">
        <v>4223</v>
      </c>
      <c r="N1187" s="8" t="s">
        <v>6274</v>
      </c>
      <c r="O1187" s="5" t="s">
        <v>125</v>
      </c>
      <c r="P1187" s="4">
        <v>45764</v>
      </c>
      <c r="Q1187" s="15">
        <v>24.99</v>
      </c>
      <c r="R1187" s="15">
        <v>11.46</v>
      </c>
      <c r="S1187" s="15">
        <v>0</v>
      </c>
      <c r="T1187"/>
    </row>
    <row r="1188" spans="1:20">
      <c r="A1188" s="5" t="s">
        <v>113</v>
      </c>
      <c r="B1188" s="5" t="s">
        <v>14515</v>
      </c>
      <c r="C1188" s="4">
        <v>45730</v>
      </c>
      <c r="D1188" s="4">
        <v>45730</v>
      </c>
      <c r="E1188" s="5" t="s">
        <v>16599</v>
      </c>
      <c r="F1188" s="5" t="s">
        <v>18588</v>
      </c>
      <c r="G1188" s="5" t="s">
        <v>817</v>
      </c>
      <c r="H1188" s="5">
        <v>1</v>
      </c>
      <c r="I1188" s="8" t="s">
        <v>8328</v>
      </c>
      <c r="J1188" s="8" t="s">
        <v>10377</v>
      </c>
      <c r="K1188" s="8" t="s">
        <v>2174</v>
      </c>
      <c r="L1188" s="8" t="s">
        <v>12428</v>
      </c>
      <c r="M1188" s="8" t="s">
        <v>4224</v>
      </c>
      <c r="N1188" s="8" t="s">
        <v>6275</v>
      </c>
      <c r="O1188" s="5" t="s">
        <v>115</v>
      </c>
      <c r="P1188" s="4">
        <v>45751</v>
      </c>
      <c r="Q1188" s="15">
        <v>30.95</v>
      </c>
      <c r="R1188" s="15">
        <v>16.48</v>
      </c>
      <c r="S1188" s="15">
        <v>0</v>
      </c>
      <c r="T1188"/>
    </row>
    <row r="1189" spans="1:20">
      <c r="A1189" s="5" t="s">
        <v>113</v>
      </c>
      <c r="B1189" s="5" t="s">
        <v>14516</v>
      </c>
      <c r="C1189" s="4">
        <v>45730</v>
      </c>
      <c r="D1189" s="4">
        <v>45730</v>
      </c>
      <c r="E1189" s="5" t="s">
        <v>16600</v>
      </c>
      <c r="F1189" s="5" t="s">
        <v>18589</v>
      </c>
      <c r="G1189" s="5" t="s">
        <v>905</v>
      </c>
      <c r="H1189" s="5">
        <v>1</v>
      </c>
      <c r="I1189" s="8" t="s">
        <v>8329</v>
      </c>
      <c r="J1189" s="8" t="s">
        <v>10378</v>
      </c>
      <c r="K1189" s="8" t="s">
        <v>2175</v>
      </c>
      <c r="L1189" s="8" t="s">
        <v>12429</v>
      </c>
      <c r="M1189" s="8" t="s">
        <v>4225</v>
      </c>
      <c r="N1189" s="8" t="s">
        <v>6276</v>
      </c>
      <c r="O1189" s="5" t="s">
        <v>125</v>
      </c>
      <c r="P1189" s="4">
        <v>45757</v>
      </c>
      <c r="Q1189" s="15">
        <v>24.99</v>
      </c>
      <c r="R1189" s="15">
        <v>11.46</v>
      </c>
      <c r="S1189" s="15">
        <v>0</v>
      </c>
      <c r="T1189"/>
    </row>
    <row r="1190" spans="1:20">
      <c r="A1190" s="5" t="s">
        <v>113</v>
      </c>
      <c r="B1190" s="5" t="s">
        <v>14517</v>
      </c>
      <c r="C1190" s="4">
        <v>45730</v>
      </c>
      <c r="D1190" s="4">
        <v>45734</v>
      </c>
      <c r="E1190" s="5" t="s">
        <v>16601</v>
      </c>
      <c r="F1190" s="5" t="s">
        <v>18590</v>
      </c>
      <c r="G1190" s="5" t="s">
        <v>829</v>
      </c>
      <c r="H1190" s="5">
        <v>1</v>
      </c>
      <c r="I1190" s="8" t="s">
        <v>8330</v>
      </c>
      <c r="J1190" s="8" t="s">
        <v>10379</v>
      </c>
      <c r="K1190" s="8" t="s">
        <v>2176</v>
      </c>
      <c r="L1190" s="8" t="s">
        <v>12430</v>
      </c>
      <c r="M1190" s="8" t="s">
        <v>4226</v>
      </c>
      <c r="N1190" s="8" t="s">
        <v>6277</v>
      </c>
      <c r="O1190" s="5" t="s">
        <v>128</v>
      </c>
      <c r="P1190" s="4">
        <v>45751</v>
      </c>
      <c r="Q1190" s="15">
        <v>21</v>
      </c>
      <c r="R1190" s="15">
        <v>0</v>
      </c>
      <c r="S1190" s="15">
        <v>0</v>
      </c>
      <c r="T1190"/>
    </row>
    <row r="1191" spans="1:20">
      <c r="A1191" s="5" t="s">
        <v>113</v>
      </c>
      <c r="B1191" s="5" t="s">
        <v>14518</v>
      </c>
      <c r="C1191" s="4">
        <v>45730</v>
      </c>
      <c r="D1191" s="4">
        <v>45730</v>
      </c>
      <c r="E1191" s="5" t="s">
        <v>16602</v>
      </c>
      <c r="F1191" s="5" t="s">
        <v>18591</v>
      </c>
      <c r="G1191" s="5" t="s">
        <v>905</v>
      </c>
      <c r="H1191" s="5">
        <v>1</v>
      </c>
      <c r="I1191" s="8" t="s">
        <v>8331</v>
      </c>
      <c r="J1191" s="8" t="s">
        <v>10380</v>
      </c>
      <c r="K1191" s="8" t="s">
        <v>2177</v>
      </c>
      <c r="L1191" s="8" t="s">
        <v>12431</v>
      </c>
      <c r="M1191" s="8" t="s">
        <v>4227</v>
      </c>
      <c r="N1191" s="8" t="s">
        <v>6278</v>
      </c>
      <c r="O1191" s="5" t="s">
        <v>125</v>
      </c>
      <c r="P1191" s="4">
        <v>45751</v>
      </c>
      <c r="Q1191" s="15">
        <v>24.99</v>
      </c>
      <c r="R1191" s="15">
        <v>11.46</v>
      </c>
      <c r="S1191" s="15">
        <v>0</v>
      </c>
      <c r="T1191"/>
    </row>
    <row r="1192" spans="1:20">
      <c r="A1192" s="5" t="s">
        <v>113</v>
      </c>
      <c r="B1192" s="5" t="s">
        <v>14519</v>
      </c>
      <c r="C1192" s="4">
        <v>45730</v>
      </c>
      <c r="D1192" s="4">
        <v>45734</v>
      </c>
      <c r="E1192" s="5" t="s">
        <v>16603</v>
      </c>
      <c r="F1192" s="5" t="s">
        <v>18592</v>
      </c>
      <c r="G1192" s="5" t="s">
        <v>902</v>
      </c>
      <c r="H1192" s="5">
        <v>1</v>
      </c>
      <c r="I1192" s="8" t="s">
        <v>8332</v>
      </c>
      <c r="J1192" s="8" t="s">
        <v>10381</v>
      </c>
      <c r="K1192" s="8" t="s">
        <v>2178</v>
      </c>
      <c r="L1192" s="8" t="s">
        <v>12432</v>
      </c>
      <c r="M1192" s="8" t="s">
        <v>4228</v>
      </c>
      <c r="N1192" s="8" t="s">
        <v>6279</v>
      </c>
      <c r="O1192" s="5" t="s">
        <v>129</v>
      </c>
      <c r="P1192" s="4">
        <v>45751</v>
      </c>
      <c r="Q1192" s="15">
        <v>24.8</v>
      </c>
      <c r="R1192" s="15">
        <v>10.210000000000001</v>
      </c>
      <c r="S1192" s="15">
        <v>0</v>
      </c>
      <c r="T1192"/>
    </row>
    <row r="1193" spans="1:20">
      <c r="A1193" s="5" t="s">
        <v>36</v>
      </c>
      <c r="B1193" s="5" t="s">
        <v>14520</v>
      </c>
      <c r="C1193" s="4">
        <v>45731</v>
      </c>
      <c r="D1193" s="4" t="s">
        <v>37</v>
      </c>
      <c r="E1193" s="5" t="s">
        <v>37</v>
      </c>
      <c r="F1193" s="5" t="s">
        <v>37</v>
      </c>
      <c r="G1193" s="5" t="s">
        <v>860</v>
      </c>
      <c r="H1193" s="5">
        <v>1</v>
      </c>
      <c r="I1193" s="8" t="s">
        <v>8333</v>
      </c>
      <c r="J1193" s="8" t="s">
        <v>10382</v>
      </c>
      <c r="K1193" s="8" t="s">
        <v>2179</v>
      </c>
      <c r="L1193" s="8" t="s">
        <v>12433</v>
      </c>
      <c r="M1193" s="8" t="s">
        <v>4229</v>
      </c>
      <c r="N1193" s="8" t="s">
        <v>6280</v>
      </c>
      <c r="O1193" s="5" t="s">
        <v>75</v>
      </c>
      <c r="P1193" s="4">
        <v>45757</v>
      </c>
      <c r="Q1193" s="15">
        <v>44.9</v>
      </c>
      <c r="R1193" s="15">
        <v>0</v>
      </c>
      <c r="S1193" s="15">
        <v>0</v>
      </c>
      <c r="T1193"/>
    </row>
    <row r="1194" spans="1:20">
      <c r="A1194" s="5" t="s">
        <v>36</v>
      </c>
      <c r="B1194" s="5" t="s">
        <v>14521</v>
      </c>
      <c r="C1194" s="4">
        <v>45731</v>
      </c>
      <c r="D1194" s="4">
        <v>45732</v>
      </c>
      <c r="E1194" s="5" t="s">
        <v>16604</v>
      </c>
      <c r="F1194" s="5" t="s">
        <v>18593</v>
      </c>
      <c r="G1194" s="5" t="s">
        <v>845</v>
      </c>
      <c r="H1194" s="5">
        <v>1</v>
      </c>
      <c r="I1194" s="8" t="s">
        <v>8334</v>
      </c>
      <c r="J1194" s="8" t="s">
        <v>10383</v>
      </c>
      <c r="K1194" s="8" t="s">
        <v>2180</v>
      </c>
      <c r="L1194" s="8" t="s">
        <v>12434</v>
      </c>
      <c r="M1194" s="8" t="s">
        <v>4230</v>
      </c>
      <c r="N1194" s="8" t="s">
        <v>6281</v>
      </c>
      <c r="O1194" s="5" t="s">
        <v>67</v>
      </c>
      <c r="P1194" s="4">
        <v>45757</v>
      </c>
      <c r="Q1194" s="15">
        <v>50.45</v>
      </c>
      <c r="R1194" s="15">
        <v>13.7</v>
      </c>
      <c r="S1194" s="15">
        <v>0</v>
      </c>
      <c r="T1194"/>
    </row>
    <row r="1195" spans="1:20">
      <c r="A1195" s="5" t="s">
        <v>36</v>
      </c>
      <c r="B1195" s="5" t="s">
        <v>14522</v>
      </c>
      <c r="C1195" s="4">
        <v>45731</v>
      </c>
      <c r="D1195" s="4" t="s">
        <v>37</v>
      </c>
      <c r="E1195" s="5" t="s">
        <v>37</v>
      </c>
      <c r="F1195" s="5" t="s">
        <v>37</v>
      </c>
      <c r="G1195" s="5" t="s">
        <v>824</v>
      </c>
      <c r="H1195" s="5">
        <v>1</v>
      </c>
      <c r="I1195" s="8" t="s">
        <v>8335</v>
      </c>
      <c r="J1195" s="8" t="s">
        <v>10384</v>
      </c>
      <c r="K1195" s="8" t="s">
        <v>2181</v>
      </c>
      <c r="L1195" s="8" t="s">
        <v>12435</v>
      </c>
      <c r="M1195" s="8" t="s">
        <v>4231</v>
      </c>
      <c r="N1195" s="8" t="s">
        <v>6282</v>
      </c>
      <c r="O1195" s="5" t="s">
        <v>38</v>
      </c>
      <c r="P1195" s="4">
        <v>45751</v>
      </c>
      <c r="Q1195" s="15">
        <v>19.989999999999998</v>
      </c>
      <c r="R1195" s="15">
        <v>0</v>
      </c>
      <c r="S1195" s="15">
        <v>0</v>
      </c>
      <c r="T1195"/>
    </row>
    <row r="1196" spans="1:20">
      <c r="A1196" s="5" t="s">
        <v>36</v>
      </c>
      <c r="B1196" s="5" t="s">
        <v>14523</v>
      </c>
      <c r="C1196" s="4">
        <v>45731</v>
      </c>
      <c r="D1196" s="4">
        <v>45735</v>
      </c>
      <c r="E1196" s="5" t="s">
        <v>16605</v>
      </c>
      <c r="F1196" s="5" t="s">
        <v>18594</v>
      </c>
      <c r="G1196" s="5" t="s">
        <v>824</v>
      </c>
      <c r="H1196" s="5">
        <v>1</v>
      </c>
      <c r="I1196" s="8" t="s">
        <v>8336</v>
      </c>
      <c r="J1196" s="8" t="s">
        <v>10385</v>
      </c>
      <c r="K1196" s="8" t="s">
        <v>2182</v>
      </c>
      <c r="L1196" s="8" t="s">
        <v>12436</v>
      </c>
      <c r="M1196" s="8" t="s">
        <v>4232</v>
      </c>
      <c r="N1196" s="8" t="s">
        <v>6283</v>
      </c>
      <c r="O1196" s="5" t="s">
        <v>38</v>
      </c>
      <c r="P1196" s="4">
        <v>45751</v>
      </c>
      <c r="Q1196" s="15">
        <v>19.989999999999998</v>
      </c>
      <c r="R1196" s="15">
        <v>9.94</v>
      </c>
      <c r="S1196" s="15">
        <v>0</v>
      </c>
      <c r="T1196"/>
    </row>
    <row r="1197" spans="1:20">
      <c r="A1197" s="5" t="s">
        <v>36</v>
      </c>
      <c r="B1197" s="5" t="s">
        <v>14524</v>
      </c>
      <c r="C1197" s="4">
        <v>45731</v>
      </c>
      <c r="D1197" s="4" t="s">
        <v>37</v>
      </c>
      <c r="E1197" s="5" t="s">
        <v>37</v>
      </c>
      <c r="F1197" s="5" t="s">
        <v>37</v>
      </c>
      <c r="G1197" s="5" t="s">
        <v>855</v>
      </c>
      <c r="H1197" s="5">
        <v>1</v>
      </c>
      <c r="I1197" s="8" t="s">
        <v>8337</v>
      </c>
      <c r="J1197" s="8" t="s">
        <v>10386</v>
      </c>
      <c r="K1197" s="8" t="s">
        <v>2183</v>
      </c>
      <c r="L1197" s="8" t="s">
        <v>12437</v>
      </c>
      <c r="M1197" s="8" t="s">
        <v>4233</v>
      </c>
      <c r="N1197" s="8" t="s">
        <v>6284</v>
      </c>
      <c r="O1197" s="5" t="s">
        <v>81</v>
      </c>
      <c r="P1197" s="4">
        <v>45757</v>
      </c>
      <c r="Q1197" s="15">
        <v>26.99</v>
      </c>
      <c r="R1197" s="15">
        <v>0</v>
      </c>
      <c r="S1197" s="15">
        <v>0</v>
      </c>
      <c r="T1197"/>
    </row>
    <row r="1198" spans="1:20">
      <c r="A1198" s="5" t="s">
        <v>36</v>
      </c>
      <c r="B1198" s="5" t="s">
        <v>14525</v>
      </c>
      <c r="C1198" s="4">
        <v>45731</v>
      </c>
      <c r="D1198" s="4">
        <v>45735</v>
      </c>
      <c r="E1198" s="5" t="s">
        <v>16606</v>
      </c>
      <c r="F1198" s="5" t="s">
        <v>18595</v>
      </c>
      <c r="G1198" s="5" t="s">
        <v>824</v>
      </c>
      <c r="H1198" s="5">
        <v>1</v>
      </c>
      <c r="I1198" s="8" t="s">
        <v>8338</v>
      </c>
      <c r="J1198" s="8" t="s">
        <v>10387</v>
      </c>
      <c r="K1198" s="8" t="s">
        <v>2184</v>
      </c>
      <c r="L1198" s="8" t="s">
        <v>12438</v>
      </c>
      <c r="M1198" s="8" t="s">
        <v>4234</v>
      </c>
      <c r="N1198" s="8" t="s">
        <v>6285</v>
      </c>
      <c r="O1198" s="5" t="s">
        <v>38</v>
      </c>
      <c r="P1198" s="4">
        <v>45751</v>
      </c>
      <c r="Q1198" s="15">
        <v>19.989999999999998</v>
      </c>
      <c r="R1198" s="15">
        <v>9.94</v>
      </c>
      <c r="S1198" s="15">
        <v>0</v>
      </c>
      <c r="T1198"/>
    </row>
    <row r="1199" spans="1:20">
      <c r="A1199" s="5" t="s">
        <v>36</v>
      </c>
      <c r="B1199" s="5" t="s">
        <v>14526</v>
      </c>
      <c r="C1199" s="4">
        <v>45731</v>
      </c>
      <c r="D1199" s="4">
        <v>45736</v>
      </c>
      <c r="E1199" s="5" t="s">
        <v>16607</v>
      </c>
      <c r="F1199" s="5" t="s">
        <v>18596</v>
      </c>
      <c r="G1199" s="5" t="s">
        <v>824</v>
      </c>
      <c r="H1199" s="5">
        <v>1</v>
      </c>
      <c r="I1199" s="8" t="s">
        <v>8339</v>
      </c>
      <c r="J1199" s="8" t="s">
        <v>10388</v>
      </c>
      <c r="K1199" s="8" t="s">
        <v>2185</v>
      </c>
      <c r="L1199" s="8" t="s">
        <v>12439</v>
      </c>
      <c r="M1199" s="8" t="s">
        <v>4235</v>
      </c>
      <c r="N1199" s="8" t="s">
        <v>6286</v>
      </c>
      <c r="O1199" s="5" t="s">
        <v>38</v>
      </c>
      <c r="P1199" s="4">
        <v>45757</v>
      </c>
      <c r="Q1199" s="15">
        <v>19.989999999999998</v>
      </c>
      <c r="R1199" s="15">
        <v>9</v>
      </c>
      <c r="S1199" s="15">
        <v>0</v>
      </c>
      <c r="T1199"/>
    </row>
    <row r="1200" spans="1:20">
      <c r="A1200" s="5" t="s">
        <v>36</v>
      </c>
      <c r="B1200" s="5" t="s">
        <v>14527</v>
      </c>
      <c r="C1200" s="4">
        <v>45731</v>
      </c>
      <c r="D1200" s="4" t="s">
        <v>37</v>
      </c>
      <c r="E1200" s="5" t="s">
        <v>37</v>
      </c>
      <c r="F1200" s="5" t="s">
        <v>37</v>
      </c>
      <c r="G1200" s="5" t="s">
        <v>860</v>
      </c>
      <c r="H1200" s="5">
        <v>1</v>
      </c>
      <c r="I1200" s="8" t="s">
        <v>8340</v>
      </c>
      <c r="J1200" s="8" t="s">
        <v>10389</v>
      </c>
      <c r="K1200" s="8" t="s">
        <v>2186</v>
      </c>
      <c r="L1200" s="8" t="s">
        <v>12440</v>
      </c>
      <c r="M1200" s="8" t="s">
        <v>4236</v>
      </c>
      <c r="N1200" s="8" t="s">
        <v>6287</v>
      </c>
      <c r="O1200" s="5" t="s">
        <v>75</v>
      </c>
      <c r="P1200" s="4">
        <v>45751</v>
      </c>
      <c r="Q1200" s="15">
        <v>44.9</v>
      </c>
      <c r="R1200" s="15">
        <v>0</v>
      </c>
      <c r="S1200" s="15">
        <v>0</v>
      </c>
      <c r="T1200"/>
    </row>
    <row r="1201" spans="1:20">
      <c r="A1201" s="5" t="s">
        <v>36</v>
      </c>
      <c r="B1201" s="5" t="s">
        <v>14528</v>
      </c>
      <c r="C1201" s="4">
        <v>45731</v>
      </c>
      <c r="D1201" s="4" t="s">
        <v>37</v>
      </c>
      <c r="E1201" s="5" t="s">
        <v>37</v>
      </c>
      <c r="F1201" s="5" t="s">
        <v>37</v>
      </c>
      <c r="G1201" s="5" t="s">
        <v>860</v>
      </c>
      <c r="H1201" s="5">
        <v>1</v>
      </c>
      <c r="I1201" s="8" t="s">
        <v>8341</v>
      </c>
      <c r="J1201" s="8" t="s">
        <v>10390</v>
      </c>
      <c r="K1201" s="8" t="s">
        <v>2187</v>
      </c>
      <c r="L1201" s="8" t="s">
        <v>12441</v>
      </c>
      <c r="M1201" s="8" t="s">
        <v>4237</v>
      </c>
      <c r="N1201" s="8" t="s">
        <v>6288</v>
      </c>
      <c r="O1201" s="5" t="s">
        <v>75</v>
      </c>
      <c r="P1201" s="4">
        <v>45751</v>
      </c>
      <c r="Q1201" s="15">
        <v>44.9</v>
      </c>
      <c r="R1201" s="15">
        <v>0</v>
      </c>
      <c r="S1201" s="15">
        <v>0</v>
      </c>
      <c r="T1201"/>
    </row>
    <row r="1202" spans="1:20">
      <c r="A1202" s="5" t="s">
        <v>36</v>
      </c>
      <c r="B1202" s="5" t="s">
        <v>14529</v>
      </c>
      <c r="C1202" s="4">
        <v>45731</v>
      </c>
      <c r="D1202" s="4">
        <v>45732</v>
      </c>
      <c r="E1202" s="5" t="s">
        <v>16608</v>
      </c>
      <c r="F1202" s="5" t="s">
        <v>18597</v>
      </c>
      <c r="G1202" s="5" t="s">
        <v>845</v>
      </c>
      <c r="H1202" s="5">
        <v>1</v>
      </c>
      <c r="I1202" s="8" t="s">
        <v>8342</v>
      </c>
      <c r="J1202" s="8" t="s">
        <v>10391</v>
      </c>
      <c r="K1202" s="8" t="s">
        <v>2188</v>
      </c>
      <c r="L1202" s="8" t="s">
        <v>12442</v>
      </c>
      <c r="M1202" s="8" t="s">
        <v>4238</v>
      </c>
      <c r="N1202" s="8" t="s">
        <v>6289</v>
      </c>
      <c r="O1202" s="5" t="s">
        <v>67</v>
      </c>
      <c r="P1202" s="4">
        <v>45757</v>
      </c>
      <c r="Q1202" s="15">
        <v>50.45</v>
      </c>
      <c r="R1202" s="15">
        <v>13.7</v>
      </c>
      <c r="S1202" s="15">
        <v>0</v>
      </c>
      <c r="T1202"/>
    </row>
    <row r="1203" spans="1:20">
      <c r="A1203" s="5" t="s">
        <v>36</v>
      </c>
      <c r="B1203" s="5" t="s">
        <v>14530</v>
      </c>
      <c r="C1203" s="4">
        <v>45731</v>
      </c>
      <c r="D1203" s="4" t="s">
        <v>37</v>
      </c>
      <c r="E1203" s="5" t="s">
        <v>37</v>
      </c>
      <c r="F1203" s="5" t="s">
        <v>37</v>
      </c>
      <c r="G1203" s="5" t="s">
        <v>824</v>
      </c>
      <c r="H1203" s="5">
        <v>1</v>
      </c>
      <c r="I1203" s="8" t="s">
        <v>8343</v>
      </c>
      <c r="J1203" s="8" t="s">
        <v>10392</v>
      </c>
      <c r="K1203" s="8" t="s">
        <v>2189</v>
      </c>
      <c r="L1203" s="8" t="s">
        <v>12443</v>
      </c>
      <c r="M1203" s="8" t="s">
        <v>4239</v>
      </c>
      <c r="N1203" s="8" t="s">
        <v>6290</v>
      </c>
      <c r="O1203" s="5" t="s">
        <v>38</v>
      </c>
      <c r="P1203" s="4">
        <v>45751</v>
      </c>
      <c r="Q1203" s="15">
        <v>19.989999999999998</v>
      </c>
      <c r="R1203" s="15">
        <v>0</v>
      </c>
      <c r="S1203" s="15">
        <v>0</v>
      </c>
      <c r="T1203"/>
    </row>
    <row r="1204" spans="1:20">
      <c r="A1204" s="5" t="s">
        <v>36</v>
      </c>
      <c r="B1204" s="5" t="s">
        <v>14531</v>
      </c>
      <c r="C1204" s="4">
        <v>45731</v>
      </c>
      <c r="D1204" s="4" t="s">
        <v>37</v>
      </c>
      <c r="E1204" s="5" t="s">
        <v>37</v>
      </c>
      <c r="F1204" s="5" t="s">
        <v>37</v>
      </c>
      <c r="G1204" s="5" t="s">
        <v>860</v>
      </c>
      <c r="H1204" s="5">
        <v>1</v>
      </c>
      <c r="I1204" s="8" t="s">
        <v>8344</v>
      </c>
      <c r="J1204" s="8" t="s">
        <v>10393</v>
      </c>
      <c r="K1204" s="8" t="s">
        <v>2190</v>
      </c>
      <c r="L1204" s="8" t="s">
        <v>12444</v>
      </c>
      <c r="M1204" s="8" t="s">
        <v>4240</v>
      </c>
      <c r="N1204" s="8" t="s">
        <v>6291</v>
      </c>
      <c r="O1204" s="5" t="s">
        <v>75</v>
      </c>
      <c r="P1204" s="4">
        <v>45751</v>
      </c>
      <c r="Q1204" s="15">
        <v>44.9</v>
      </c>
      <c r="R1204" s="15">
        <v>0</v>
      </c>
      <c r="S1204" s="15">
        <v>0</v>
      </c>
      <c r="T1204"/>
    </row>
    <row r="1205" spans="1:20">
      <c r="A1205" s="5" t="s">
        <v>36</v>
      </c>
      <c r="B1205" s="5" t="s">
        <v>14532</v>
      </c>
      <c r="C1205" s="4">
        <v>45731</v>
      </c>
      <c r="D1205" s="4">
        <v>45677</v>
      </c>
      <c r="E1205" s="5" t="s">
        <v>16609</v>
      </c>
      <c r="F1205" s="5" t="s">
        <v>18598</v>
      </c>
      <c r="G1205" s="5" t="s">
        <v>824</v>
      </c>
      <c r="H1205" s="5">
        <v>1</v>
      </c>
      <c r="I1205" s="8" t="s">
        <v>8345</v>
      </c>
      <c r="J1205" s="8" t="s">
        <v>10394</v>
      </c>
      <c r="K1205" s="8" t="s">
        <v>2191</v>
      </c>
      <c r="L1205" s="8" t="s">
        <v>12445</v>
      </c>
      <c r="M1205" s="8" t="s">
        <v>4241</v>
      </c>
      <c r="N1205" s="8" t="s">
        <v>6292</v>
      </c>
      <c r="O1205" s="5" t="s">
        <v>38</v>
      </c>
      <c r="P1205" s="4">
        <v>45751</v>
      </c>
      <c r="Q1205" s="15">
        <v>19.989999999999998</v>
      </c>
      <c r="R1205" s="15">
        <v>13.59</v>
      </c>
      <c r="S1205" s="15">
        <v>0</v>
      </c>
      <c r="T1205"/>
    </row>
    <row r="1206" spans="1:20">
      <c r="A1206" s="5" t="s">
        <v>36</v>
      </c>
      <c r="B1206" s="5" t="s">
        <v>14533</v>
      </c>
      <c r="C1206" s="4">
        <v>45731</v>
      </c>
      <c r="D1206" s="4">
        <v>45677</v>
      </c>
      <c r="E1206" s="5" t="s">
        <v>16610</v>
      </c>
      <c r="F1206" s="5" t="s">
        <v>18599</v>
      </c>
      <c r="G1206" s="5" t="s">
        <v>824</v>
      </c>
      <c r="H1206" s="5">
        <v>1</v>
      </c>
      <c r="I1206" s="8" t="s">
        <v>8346</v>
      </c>
      <c r="J1206" s="8" t="s">
        <v>10395</v>
      </c>
      <c r="K1206" s="8" t="s">
        <v>2192</v>
      </c>
      <c r="L1206" s="8" t="s">
        <v>12446</v>
      </c>
      <c r="M1206" s="8" t="s">
        <v>4242</v>
      </c>
      <c r="N1206" s="8" t="s">
        <v>6293</v>
      </c>
      <c r="O1206" s="5" t="s">
        <v>38</v>
      </c>
      <c r="P1206" s="4">
        <v>45751</v>
      </c>
      <c r="Q1206" s="15">
        <v>19.989999999999998</v>
      </c>
      <c r="R1206" s="15">
        <v>13.59</v>
      </c>
      <c r="S1206" s="15">
        <v>0</v>
      </c>
      <c r="T1206"/>
    </row>
    <row r="1207" spans="1:20">
      <c r="A1207" s="5" t="s">
        <v>36</v>
      </c>
      <c r="B1207" s="5" t="s">
        <v>14534</v>
      </c>
      <c r="C1207" s="4">
        <v>45731</v>
      </c>
      <c r="D1207" s="4">
        <v>45732</v>
      </c>
      <c r="E1207" s="5" t="s">
        <v>16611</v>
      </c>
      <c r="F1207" s="5" t="s">
        <v>18600</v>
      </c>
      <c r="G1207" s="5" t="s">
        <v>831</v>
      </c>
      <c r="H1207" s="5">
        <v>1</v>
      </c>
      <c r="I1207" s="8" t="s">
        <v>8347</v>
      </c>
      <c r="J1207" s="8" t="s">
        <v>10396</v>
      </c>
      <c r="K1207" s="8" t="s">
        <v>2193</v>
      </c>
      <c r="L1207" s="8" t="s">
        <v>12447</v>
      </c>
      <c r="M1207" s="8" t="s">
        <v>4243</v>
      </c>
      <c r="N1207" s="8" t="s">
        <v>6294</v>
      </c>
      <c r="O1207" s="5" t="s">
        <v>41</v>
      </c>
      <c r="P1207" s="4">
        <v>45751</v>
      </c>
      <c r="Q1207" s="15">
        <v>59.9</v>
      </c>
      <c r="R1207" s="15">
        <v>13.98</v>
      </c>
      <c r="S1207" s="15">
        <v>0</v>
      </c>
      <c r="T1207"/>
    </row>
    <row r="1208" spans="1:20">
      <c r="A1208" s="5" t="s">
        <v>36</v>
      </c>
      <c r="B1208" s="5" t="s">
        <v>14535</v>
      </c>
      <c r="C1208" s="4">
        <v>45731</v>
      </c>
      <c r="D1208" s="4">
        <v>45732</v>
      </c>
      <c r="E1208" s="5" t="s">
        <v>16612</v>
      </c>
      <c r="F1208" s="5" t="s">
        <v>18601</v>
      </c>
      <c r="G1208" s="5" t="s">
        <v>845</v>
      </c>
      <c r="H1208" s="5">
        <v>1</v>
      </c>
      <c r="I1208" s="8" t="s">
        <v>8348</v>
      </c>
      <c r="J1208" s="8" t="s">
        <v>10397</v>
      </c>
      <c r="K1208" s="8" t="s">
        <v>2194</v>
      </c>
      <c r="L1208" s="8" t="s">
        <v>12448</v>
      </c>
      <c r="M1208" s="8" t="s">
        <v>4244</v>
      </c>
      <c r="N1208" s="8" t="s">
        <v>6295</v>
      </c>
      <c r="O1208" s="5" t="s">
        <v>67</v>
      </c>
      <c r="P1208" s="4">
        <v>45751</v>
      </c>
      <c r="Q1208" s="15">
        <v>50.45</v>
      </c>
      <c r="R1208" s="15">
        <v>13.7</v>
      </c>
      <c r="S1208" s="15">
        <v>0</v>
      </c>
      <c r="T1208"/>
    </row>
    <row r="1209" spans="1:20">
      <c r="A1209" s="5" t="s">
        <v>36</v>
      </c>
      <c r="B1209" s="5" t="s">
        <v>14536</v>
      </c>
      <c r="C1209" s="4">
        <v>45731</v>
      </c>
      <c r="D1209" s="4">
        <v>45732</v>
      </c>
      <c r="E1209" s="5" t="s">
        <v>16613</v>
      </c>
      <c r="F1209" s="5" t="s">
        <v>18602</v>
      </c>
      <c r="G1209" s="5" t="s">
        <v>831</v>
      </c>
      <c r="H1209" s="5">
        <v>1</v>
      </c>
      <c r="I1209" s="8" t="s">
        <v>8349</v>
      </c>
      <c r="J1209" s="8" t="s">
        <v>10398</v>
      </c>
      <c r="K1209" s="8" t="s">
        <v>2195</v>
      </c>
      <c r="L1209" s="8" t="s">
        <v>12449</v>
      </c>
      <c r="M1209" s="8" t="s">
        <v>4245</v>
      </c>
      <c r="N1209" s="8" t="s">
        <v>6296</v>
      </c>
      <c r="O1209" s="5" t="s">
        <v>41</v>
      </c>
      <c r="P1209" s="4">
        <v>45751</v>
      </c>
      <c r="Q1209" s="15">
        <v>59.9</v>
      </c>
      <c r="R1209" s="15">
        <v>13.98</v>
      </c>
      <c r="S1209" s="15">
        <v>0</v>
      </c>
      <c r="T1209"/>
    </row>
    <row r="1210" spans="1:20">
      <c r="A1210" s="5" t="s">
        <v>36</v>
      </c>
      <c r="B1210" s="5" t="s">
        <v>14537</v>
      </c>
      <c r="C1210" s="4">
        <v>45731</v>
      </c>
      <c r="D1210" s="4" t="s">
        <v>37</v>
      </c>
      <c r="E1210" s="5" t="s">
        <v>37</v>
      </c>
      <c r="F1210" s="5" t="s">
        <v>37</v>
      </c>
      <c r="G1210" s="5" t="s">
        <v>860</v>
      </c>
      <c r="H1210" s="5">
        <v>1</v>
      </c>
      <c r="I1210" s="8" t="s">
        <v>8350</v>
      </c>
      <c r="J1210" s="8" t="s">
        <v>10399</v>
      </c>
      <c r="K1210" s="8" t="s">
        <v>2196</v>
      </c>
      <c r="L1210" s="8" t="s">
        <v>12450</v>
      </c>
      <c r="M1210" s="8" t="s">
        <v>4246</v>
      </c>
      <c r="N1210" s="8" t="s">
        <v>6297</v>
      </c>
      <c r="O1210" s="5" t="s">
        <v>75</v>
      </c>
      <c r="P1210" s="4">
        <v>45757</v>
      </c>
      <c r="Q1210" s="15">
        <v>44.9</v>
      </c>
      <c r="R1210" s="15">
        <v>0</v>
      </c>
      <c r="S1210" s="15">
        <v>0</v>
      </c>
      <c r="T1210"/>
    </row>
    <row r="1211" spans="1:20">
      <c r="A1211" s="5" t="s">
        <v>36</v>
      </c>
      <c r="B1211" s="5" t="s">
        <v>14538</v>
      </c>
      <c r="C1211" s="4">
        <v>45731</v>
      </c>
      <c r="D1211" s="4">
        <v>45732</v>
      </c>
      <c r="E1211" s="5" t="s">
        <v>16614</v>
      </c>
      <c r="F1211" s="5" t="s">
        <v>18603</v>
      </c>
      <c r="G1211" s="5" t="s">
        <v>845</v>
      </c>
      <c r="H1211" s="5">
        <v>1</v>
      </c>
      <c r="I1211" s="8" t="s">
        <v>8351</v>
      </c>
      <c r="J1211" s="8" t="s">
        <v>10400</v>
      </c>
      <c r="K1211" s="8" t="s">
        <v>2197</v>
      </c>
      <c r="L1211" s="8" t="s">
        <v>12451</v>
      </c>
      <c r="M1211" s="8" t="s">
        <v>4247</v>
      </c>
      <c r="N1211" s="8" t="s">
        <v>6298</v>
      </c>
      <c r="O1211" s="5" t="s">
        <v>67</v>
      </c>
      <c r="P1211" s="4">
        <v>45764</v>
      </c>
      <c r="Q1211" s="15">
        <v>50.45</v>
      </c>
      <c r="R1211" s="15">
        <v>13.7</v>
      </c>
      <c r="S1211" s="15">
        <v>0</v>
      </c>
      <c r="T1211"/>
    </row>
    <row r="1212" spans="1:20">
      <c r="A1212" s="5" t="s">
        <v>36</v>
      </c>
      <c r="B1212" s="5" t="s">
        <v>14539</v>
      </c>
      <c r="C1212" s="4">
        <v>45732</v>
      </c>
      <c r="D1212" s="4">
        <v>45732</v>
      </c>
      <c r="E1212" s="5" t="s">
        <v>16615</v>
      </c>
      <c r="F1212" s="5" t="s">
        <v>18604</v>
      </c>
      <c r="G1212" s="5" t="s">
        <v>855</v>
      </c>
      <c r="H1212" s="5">
        <v>1</v>
      </c>
      <c r="I1212" s="8" t="s">
        <v>8352</v>
      </c>
      <c r="J1212" s="8" t="s">
        <v>10401</v>
      </c>
      <c r="K1212" s="8" t="s">
        <v>2198</v>
      </c>
      <c r="L1212" s="8" t="s">
        <v>12452</v>
      </c>
      <c r="M1212" s="8" t="s">
        <v>4248</v>
      </c>
      <c r="N1212" s="8" t="s">
        <v>6299</v>
      </c>
      <c r="O1212" s="5" t="s">
        <v>81</v>
      </c>
      <c r="P1212" s="4">
        <v>45751</v>
      </c>
      <c r="Q1212" s="15">
        <v>26.99</v>
      </c>
      <c r="R1212" s="15">
        <v>10.199999999999999</v>
      </c>
      <c r="S1212" s="15">
        <v>0</v>
      </c>
      <c r="T1212"/>
    </row>
    <row r="1213" spans="1:20">
      <c r="A1213" s="5" t="s">
        <v>36</v>
      </c>
      <c r="B1213" s="5" t="s">
        <v>14540</v>
      </c>
      <c r="C1213" s="4">
        <v>45732</v>
      </c>
      <c r="D1213" s="4" t="s">
        <v>37</v>
      </c>
      <c r="E1213" s="5" t="s">
        <v>37</v>
      </c>
      <c r="F1213" s="5" t="s">
        <v>37</v>
      </c>
      <c r="G1213" s="5" t="s">
        <v>860</v>
      </c>
      <c r="H1213" s="5">
        <v>1</v>
      </c>
      <c r="I1213" s="8" t="s">
        <v>8353</v>
      </c>
      <c r="J1213" s="8" t="s">
        <v>10402</v>
      </c>
      <c r="K1213" s="8" t="s">
        <v>2199</v>
      </c>
      <c r="L1213" s="8" t="s">
        <v>12453</v>
      </c>
      <c r="M1213" s="8" t="s">
        <v>4249</v>
      </c>
      <c r="N1213" s="8" t="s">
        <v>6300</v>
      </c>
      <c r="O1213" s="5" t="s">
        <v>75</v>
      </c>
      <c r="P1213" s="4">
        <v>45751</v>
      </c>
      <c r="Q1213" s="15">
        <v>44.9</v>
      </c>
      <c r="R1213" s="15">
        <v>0</v>
      </c>
      <c r="S1213" s="15">
        <v>0</v>
      </c>
      <c r="T1213"/>
    </row>
    <row r="1214" spans="1:20">
      <c r="A1214" s="5" t="s">
        <v>36</v>
      </c>
      <c r="B1214" s="5" t="s">
        <v>14541</v>
      </c>
      <c r="C1214" s="4">
        <v>45732</v>
      </c>
      <c r="D1214" s="4">
        <v>45677</v>
      </c>
      <c r="E1214" s="5" t="s">
        <v>16616</v>
      </c>
      <c r="F1214" s="5" t="s">
        <v>18605</v>
      </c>
      <c r="G1214" s="5" t="s">
        <v>824</v>
      </c>
      <c r="H1214" s="5">
        <v>1</v>
      </c>
      <c r="I1214" s="8" t="s">
        <v>8354</v>
      </c>
      <c r="J1214" s="8" t="s">
        <v>10403</v>
      </c>
      <c r="K1214" s="8" t="s">
        <v>2200</v>
      </c>
      <c r="L1214" s="8" t="s">
        <v>12454</v>
      </c>
      <c r="M1214" s="8" t="s">
        <v>4250</v>
      </c>
      <c r="N1214" s="8" t="s">
        <v>6301</v>
      </c>
      <c r="O1214" s="5" t="s">
        <v>38</v>
      </c>
      <c r="P1214" s="4">
        <v>45751</v>
      </c>
      <c r="Q1214" s="15">
        <v>19.989999999999998</v>
      </c>
      <c r="R1214" s="15">
        <v>13.59</v>
      </c>
      <c r="S1214" s="15">
        <v>0</v>
      </c>
      <c r="T1214"/>
    </row>
    <row r="1215" spans="1:20">
      <c r="A1215" s="5" t="s">
        <v>36</v>
      </c>
      <c r="B1215" s="5" t="s">
        <v>14542</v>
      </c>
      <c r="C1215" s="4">
        <v>45732</v>
      </c>
      <c r="D1215" s="4" t="s">
        <v>37</v>
      </c>
      <c r="E1215" s="5" t="s">
        <v>37</v>
      </c>
      <c r="F1215" s="5" t="s">
        <v>37</v>
      </c>
      <c r="G1215" s="5" t="s">
        <v>860</v>
      </c>
      <c r="H1215" s="5">
        <v>1</v>
      </c>
      <c r="I1215" s="8" t="s">
        <v>8355</v>
      </c>
      <c r="J1215" s="8" t="s">
        <v>10404</v>
      </c>
      <c r="K1215" s="8" t="s">
        <v>2201</v>
      </c>
      <c r="L1215" s="8" t="s">
        <v>12455</v>
      </c>
      <c r="M1215" s="8" t="s">
        <v>4251</v>
      </c>
      <c r="N1215" s="8" t="s">
        <v>6302</v>
      </c>
      <c r="O1215" s="5" t="s">
        <v>75</v>
      </c>
      <c r="P1215" s="4">
        <v>45751</v>
      </c>
      <c r="Q1215" s="15">
        <v>44.9</v>
      </c>
      <c r="R1215" s="15">
        <v>0</v>
      </c>
      <c r="S1215" s="15">
        <v>0</v>
      </c>
      <c r="T1215"/>
    </row>
    <row r="1216" spans="1:20">
      <c r="A1216" s="5" t="s">
        <v>36</v>
      </c>
      <c r="B1216" s="5" t="s">
        <v>14543</v>
      </c>
      <c r="C1216" s="4">
        <v>45732</v>
      </c>
      <c r="D1216" s="4" t="s">
        <v>37</v>
      </c>
      <c r="E1216" s="5" t="s">
        <v>37</v>
      </c>
      <c r="F1216" s="5" t="s">
        <v>37</v>
      </c>
      <c r="G1216" s="5" t="s">
        <v>860</v>
      </c>
      <c r="H1216" s="5">
        <v>1</v>
      </c>
      <c r="I1216" s="8" t="s">
        <v>8356</v>
      </c>
      <c r="J1216" s="8" t="s">
        <v>10405</v>
      </c>
      <c r="K1216" s="8" t="s">
        <v>2202</v>
      </c>
      <c r="L1216" s="8" t="s">
        <v>12456</v>
      </c>
      <c r="M1216" s="8" t="s">
        <v>4252</v>
      </c>
      <c r="N1216" s="8" t="s">
        <v>6303</v>
      </c>
      <c r="O1216" s="5" t="s">
        <v>75</v>
      </c>
      <c r="P1216" s="4">
        <v>45764</v>
      </c>
      <c r="Q1216" s="15">
        <v>44.9</v>
      </c>
      <c r="R1216" s="15">
        <v>0</v>
      </c>
      <c r="S1216" s="15">
        <v>0</v>
      </c>
      <c r="T1216"/>
    </row>
    <row r="1217" spans="1:20">
      <c r="A1217" s="5" t="s">
        <v>36</v>
      </c>
      <c r="B1217" s="5" t="s">
        <v>14544</v>
      </c>
      <c r="C1217" s="4">
        <v>45732</v>
      </c>
      <c r="D1217" s="4" t="s">
        <v>37</v>
      </c>
      <c r="E1217" s="5" t="s">
        <v>37</v>
      </c>
      <c r="F1217" s="5" t="s">
        <v>37</v>
      </c>
      <c r="G1217" s="5" t="s">
        <v>860</v>
      </c>
      <c r="H1217" s="5">
        <v>1</v>
      </c>
      <c r="I1217" s="8" t="s">
        <v>8356</v>
      </c>
      <c r="J1217" s="8" t="s">
        <v>10405</v>
      </c>
      <c r="K1217" s="8" t="s">
        <v>2202</v>
      </c>
      <c r="L1217" s="8" t="s">
        <v>12456</v>
      </c>
      <c r="M1217" s="8" t="s">
        <v>4252</v>
      </c>
      <c r="N1217" s="8" t="s">
        <v>6303</v>
      </c>
      <c r="O1217" s="5" t="s">
        <v>75</v>
      </c>
      <c r="P1217" s="4">
        <v>45764</v>
      </c>
      <c r="Q1217" s="15">
        <v>44.9</v>
      </c>
      <c r="R1217" s="15">
        <v>0</v>
      </c>
      <c r="S1217" s="15">
        <v>0</v>
      </c>
      <c r="T1217"/>
    </row>
    <row r="1218" spans="1:20">
      <c r="A1218" s="5" t="s">
        <v>36</v>
      </c>
      <c r="B1218" s="5" t="s">
        <v>14545</v>
      </c>
      <c r="C1218" s="4">
        <v>45732</v>
      </c>
      <c r="D1218" s="4">
        <v>45734</v>
      </c>
      <c r="E1218" s="5" t="s">
        <v>16617</v>
      </c>
      <c r="F1218" s="5" t="s">
        <v>18606</v>
      </c>
      <c r="G1218" s="5" t="s">
        <v>824</v>
      </c>
      <c r="H1218" s="5">
        <v>1</v>
      </c>
      <c r="I1218" s="8" t="s">
        <v>8357</v>
      </c>
      <c r="J1218" s="8" t="s">
        <v>10406</v>
      </c>
      <c r="K1218" s="8" t="s">
        <v>2203</v>
      </c>
      <c r="L1218" s="8" t="s">
        <v>12457</v>
      </c>
      <c r="M1218" s="8" t="s">
        <v>4253</v>
      </c>
      <c r="N1218" s="8" t="s">
        <v>6304</v>
      </c>
      <c r="O1218" s="5" t="s">
        <v>38</v>
      </c>
      <c r="P1218" s="4">
        <v>45757</v>
      </c>
      <c r="Q1218" s="15">
        <v>19.989999999999998</v>
      </c>
      <c r="R1218" s="15">
        <v>7.94</v>
      </c>
      <c r="S1218" s="15">
        <v>0</v>
      </c>
      <c r="T1218"/>
    </row>
    <row r="1219" spans="1:20">
      <c r="A1219" s="5" t="s">
        <v>36</v>
      </c>
      <c r="B1219" s="5" t="s">
        <v>14546</v>
      </c>
      <c r="C1219" s="4">
        <v>45732</v>
      </c>
      <c r="D1219" s="4" t="s">
        <v>37</v>
      </c>
      <c r="E1219" s="5" t="s">
        <v>37</v>
      </c>
      <c r="F1219" s="5" t="s">
        <v>37</v>
      </c>
      <c r="G1219" s="5" t="s">
        <v>860</v>
      </c>
      <c r="H1219" s="5">
        <v>1</v>
      </c>
      <c r="I1219" s="8" t="s">
        <v>8356</v>
      </c>
      <c r="J1219" s="8" t="s">
        <v>10405</v>
      </c>
      <c r="K1219" s="8" t="s">
        <v>2202</v>
      </c>
      <c r="L1219" s="8" t="s">
        <v>12456</v>
      </c>
      <c r="M1219" s="8" t="s">
        <v>4252</v>
      </c>
      <c r="N1219" s="8" t="s">
        <v>6303</v>
      </c>
      <c r="O1219" s="5" t="s">
        <v>75</v>
      </c>
      <c r="P1219" s="4">
        <v>45764</v>
      </c>
      <c r="Q1219" s="15">
        <v>44.9</v>
      </c>
      <c r="R1219" s="15">
        <v>0</v>
      </c>
      <c r="S1219" s="15">
        <v>0</v>
      </c>
      <c r="T1219"/>
    </row>
    <row r="1220" spans="1:20">
      <c r="A1220" s="5" t="s">
        <v>36</v>
      </c>
      <c r="B1220" s="5" t="s">
        <v>14547</v>
      </c>
      <c r="C1220" s="4">
        <v>45732</v>
      </c>
      <c r="D1220" s="4" t="s">
        <v>37</v>
      </c>
      <c r="E1220" s="5" t="s">
        <v>37</v>
      </c>
      <c r="F1220" s="5" t="s">
        <v>37</v>
      </c>
      <c r="G1220" s="5" t="s">
        <v>860</v>
      </c>
      <c r="H1220" s="5">
        <v>1</v>
      </c>
      <c r="I1220" s="8" t="s">
        <v>8356</v>
      </c>
      <c r="J1220" s="8" t="s">
        <v>10405</v>
      </c>
      <c r="K1220" s="8" t="s">
        <v>2202</v>
      </c>
      <c r="L1220" s="8" t="s">
        <v>12456</v>
      </c>
      <c r="M1220" s="8" t="s">
        <v>4252</v>
      </c>
      <c r="N1220" s="8" t="s">
        <v>6303</v>
      </c>
      <c r="O1220" s="5" t="s">
        <v>75</v>
      </c>
      <c r="P1220" s="4">
        <v>45764</v>
      </c>
      <c r="Q1220" s="15">
        <v>44.9</v>
      </c>
      <c r="R1220" s="15">
        <v>29.98</v>
      </c>
      <c r="S1220" s="15">
        <v>0</v>
      </c>
      <c r="T1220"/>
    </row>
    <row r="1221" spans="1:20">
      <c r="A1221" s="5" t="s">
        <v>36</v>
      </c>
      <c r="B1221" s="5" t="s">
        <v>14548</v>
      </c>
      <c r="C1221" s="4">
        <v>45732</v>
      </c>
      <c r="D1221" s="4">
        <v>45734</v>
      </c>
      <c r="E1221" s="5" t="s">
        <v>16618</v>
      </c>
      <c r="F1221" s="5" t="s">
        <v>18607</v>
      </c>
      <c r="G1221" s="5" t="s">
        <v>824</v>
      </c>
      <c r="H1221" s="5">
        <v>1</v>
      </c>
      <c r="I1221" s="8" t="s">
        <v>8358</v>
      </c>
      <c r="J1221" s="8" t="s">
        <v>10407</v>
      </c>
      <c r="K1221" s="8" t="s">
        <v>2204</v>
      </c>
      <c r="L1221" s="8" t="s">
        <v>12458</v>
      </c>
      <c r="M1221" s="8" t="s">
        <v>4254</v>
      </c>
      <c r="N1221" s="8" t="s">
        <v>6305</v>
      </c>
      <c r="O1221" s="5" t="s">
        <v>38</v>
      </c>
      <c r="P1221" s="4">
        <v>45751</v>
      </c>
      <c r="Q1221" s="15">
        <v>19.989999999999998</v>
      </c>
      <c r="R1221" s="15">
        <v>7.94</v>
      </c>
      <c r="S1221" s="15">
        <v>0</v>
      </c>
      <c r="T1221"/>
    </row>
    <row r="1222" spans="1:20">
      <c r="A1222" s="5" t="s">
        <v>36</v>
      </c>
      <c r="B1222" s="5" t="s">
        <v>14549</v>
      </c>
      <c r="C1222" s="4">
        <v>45732</v>
      </c>
      <c r="D1222" s="4" t="s">
        <v>37</v>
      </c>
      <c r="E1222" s="5" t="s">
        <v>37</v>
      </c>
      <c r="F1222" s="5" t="s">
        <v>37</v>
      </c>
      <c r="G1222" s="5" t="s">
        <v>824</v>
      </c>
      <c r="H1222" s="5">
        <v>1</v>
      </c>
      <c r="I1222" s="8" t="s">
        <v>8359</v>
      </c>
      <c r="J1222" s="8" t="s">
        <v>10408</v>
      </c>
      <c r="K1222" s="8" t="s">
        <v>2205</v>
      </c>
      <c r="L1222" s="8" t="s">
        <v>12459</v>
      </c>
      <c r="M1222" s="8" t="s">
        <v>4255</v>
      </c>
      <c r="N1222" s="8" t="s">
        <v>6306</v>
      </c>
      <c r="O1222" s="5" t="s">
        <v>38</v>
      </c>
      <c r="P1222" s="4">
        <v>45757</v>
      </c>
      <c r="Q1222" s="15">
        <v>19.989999999999998</v>
      </c>
      <c r="R1222" s="15">
        <v>0</v>
      </c>
      <c r="S1222" s="15">
        <v>0</v>
      </c>
      <c r="T1222"/>
    </row>
    <row r="1223" spans="1:20">
      <c r="A1223" s="5" t="s">
        <v>36</v>
      </c>
      <c r="B1223" s="5" t="s">
        <v>14550</v>
      </c>
      <c r="C1223" s="4">
        <v>45732</v>
      </c>
      <c r="D1223" s="4" t="s">
        <v>37</v>
      </c>
      <c r="E1223" s="5" t="s">
        <v>37</v>
      </c>
      <c r="F1223" s="5" t="s">
        <v>37</v>
      </c>
      <c r="G1223" s="5" t="s">
        <v>860</v>
      </c>
      <c r="H1223" s="5">
        <v>1</v>
      </c>
      <c r="I1223" s="8" t="s">
        <v>8356</v>
      </c>
      <c r="J1223" s="8" t="s">
        <v>10405</v>
      </c>
      <c r="K1223" s="8" t="s">
        <v>2202</v>
      </c>
      <c r="L1223" s="8" t="s">
        <v>12456</v>
      </c>
      <c r="M1223" s="8" t="s">
        <v>4252</v>
      </c>
      <c r="N1223" s="8" t="s">
        <v>6303</v>
      </c>
      <c r="O1223" s="5" t="s">
        <v>75</v>
      </c>
      <c r="P1223" s="4">
        <v>45764</v>
      </c>
      <c r="Q1223" s="15">
        <v>44.9</v>
      </c>
      <c r="R1223" s="15">
        <v>0</v>
      </c>
      <c r="S1223" s="15">
        <v>0</v>
      </c>
      <c r="T1223"/>
    </row>
    <row r="1224" spans="1:20">
      <c r="A1224" s="5" t="s">
        <v>36</v>
      </c>
      <c r="B1224" s="5" t="s">
        <v>14551</v>
      </c>
      <c r="C1224" s="4">
        <v>45732</v>
      </c>
      <c r="D1224" s="4">
        <v>45732</v>
      </c>
      <c r="E1224" s="5" t="s">
        <v>16619</v>
      </c>
      <c r="F1224" s="5" t="s">
        <v>18608</v>
      </c>
      <c r="G1224" s="5" t="s">
        <v>831</v>
      </c>
      <c r="H1224" s="5">
        <v>1</v>
      </c>
      <c r="I1224" s="8" t="s">
        <v>8360</v>
      </c>
      <c r="J1224" s="8" t="s">
        <v>10409</v>
      </c>
      <c r="K1224" s="8" t="s">
        <v>2206</v>
      </c>
      <c r="L1224" s="8" t="s">
        <v>12460</v>
      </c>
      <c r="M1224" s="8" t="s">
        <v>4256</v>
      </c>
      <c r="N1224" s="8" t="s">
        <v>6307</v>
      </c>
      <c r="O1224" s="5" t="s">
        <v>41</v>
      </c>
      <c r="P1224" s="4">
        <v>45751</v>
      </c>
      <c r="Q1224" s="15">
        <v>59.9</v>
      </c>
      <c r="R1224" s="15">
        <v>13.98</v>
      </c>
      <c r="S1224" s="15">
        <v>0</v>
      </c>
      <c r="T1224"/>
    </row>
    <row r="1225" spans="1:20">
      <c r="A1225" s="5" t="s">
        <v>36</v>
      </c>
      <c r="B1225" s="5" t="s">
        <v>14552</v>
      </c>
      <c r="C1225" s="4">
        <v>45732</v>
      </c>
      <c r="D1225" s="4">
        <v>45732</v>
      </c>
      <c r="E1225" s="5" t="s">
        <v>16620</v>
      </c>
      <c r="F1225" s="5" t="s">
        <v>18609</v>
      </c>
      <c r="G1225" s="5" t="s">
        <v>845</v>
      </c>
      <c r="H1225" s="5">
        <v>1</v>
      </c>
      <c r="I1225" s="8" t="s">
        <v>8361</v>
      </c>
      <c r="J1225" s="8" t="s">
        <v>10410</v>
      </c>
      <c r="K1225" s="8" t="s">
        <v>2207</v>
      </c>
      <c r="L1225" s="8" t="s">
        <v>12461</v>
      </c>
      <c r="M1225" s="8" t="s">
        <v>4257</v>
      </c>
      <c r="N1225" s="8" t="s">
        <v>6308</v>
      </c>
      <c r="O1225" s="5" t="s">
        <v>67</v>
      </c>
      <c r="P1225" s="4">
        <v>45751</v>
      </c>
      <c r="Q1225" s="15">
        <v>50.45</v>
      </c>
      <c r="R1225" s="15">
        <v>13.7</v>
      </c>
      <c r="S1225" s="15">
        <v>0</v>
      </c>
      <c r="T1225"/>
    </row>
    <row r="1226" spans="1:20">
      <c r="A1226" s="5" t="s">
        <v>36</v>
      </c>
      <c r="B1226" s="5" t="s">
        <v>14553</v>
      </c>
      <c r="C1226" s="4">
        <v>45732</v>
      </c>
      <c r="D1226" s="4" t="s">
        <v>37</v>
      </c>
      <c r="E1226" s="5" t="s">
        <v>37</v>
      </c>
      <c r="F1226" s="5" t="s">
        <v>37</v>
      </c>
      <c r="G1226" s="5" t="s">
        <v>860</v>
      </c>
      <c r="H1226" s="5">
        <v>1</v>
      </c>
      <c r="I1226" s="8" t="s">
        <v>8362</v>
      </c>
      <c r="J1226" s="8" t="s">
        <v>10411</v>
      </c>
      <c r="K1226" s="8" t="s">
        <v>2208</v>
      </c>
      <c r="L1226" s="8" t="s">
        <v>12462</v>
      </c>
      <c r="M1226" s="8" t="s">
        <v>4258</v>
      </c>
      <c r="N1226" s="8" t="s">
        <v>6309</v>
      </c>
      <c r="O1226" s="5" t="s">
        <v>75</v>
      </c>
      <c r="P1226" s="4">
        <v>45751</v>
      </c>
      <c r="Q1226" s="15">
        <v>44.9</v>
      </c>
      <c r="R1226" s="15">
        <v>0</v>
      </c>
      <c r="S1226" s="15">
        <v>0</v>
      </c>
      <c r="T1226"/>
    </row>
    <row r="1227" spans="1:20">
      <c r="A1227" s="5" t="s">
        <v>36</v>
      </c>
      <c r="B1227" s="5" t="s">
        <v>14554</v>
      </c>
      <c r="C1227" s="4">
        <v>45732</v>
      </c>
      <c r="D1227" s="4">
        <v>45732</v>
      </c>
      <c r="E1227" s="5" t="s">
        <v>16621</v>
      </c>
      <c r="F1227" s="5" t="s">
        <v>18610</v>
      </c>
      <c r="G1227" s="5" t="s">
        <v>855</v>
      </c>
      <c r="H1227" s="5">
        <v>1</v>
      </c>
      <c r="I1227" s="8" t="s">
        <v>8363</v>
      </c>
      <c r="J1227" s="8" t="s">
        <v>10412</v>
      </c>
      <c r="K1227" s="8" t="s">
        <v>2209</v>
      </c>
      <c r="L1227" s="8" t="s">
        <v>12463</v>
      </c>
      <c r="M1227" s="8" t="s">
        <v>4259</v>
      </c>
      <c r="N1227" s="8" t="s">
        <v>6310</v>
      </c>
      <c r="O1227" s="5" t="s">
        <v>81</v>
      </c>
      <c r="P1227" s="4">
        <v>45751</v>
      </c>
      <c r="Q1227" s="15">
        <v>26.99</v>
      </c>
      <c r="R1227" s="15">
        <v>10.199999999999999</v>
      </c>
      <c r="S1227" s="15">
        <v>0</v>
      </c>
      <c r="T1227"/>
    </row>
    <row r="1228" spans="1:20">
      <c r="A1228" s="5" t="s">
        <v>113</v>
      </c>
      <c r="B1228" s="5" t="s">
        <v>14555</v>
      </c>
      <c r="C1228" s="4">
        <v>45730</v>
      </c>
      <c r="D1228" s="4">
        <v>45732</v>
      </c>
      <c r="E1228" s="5" t="s">
        <v>16622</v>
      </c>
      <c r="F1228" s="5" t="s">
        <v>18611</v>
      </c>
      <c r="G1228" s="5" t="s">
        <v>894</v>
      </c>
      <c r="H1228" s="5">
        <v>1</v>
      </c>
      <c r="I1228" s="8" t="s">
        <v>8364</v>
      </c>
      <c r="J1228" s="8" t="s">
        <v>10413</v>
      </c>
      <c r="K1228" s="8" t="s">
        <v>2210</v>
      </c>
      <c r="L1228" s="8" t="s">
        <v>12464</v>
      </c>
      <c r="M1228" s="8" t="s">
        <v>4260</v>
      </c>
      <c r="N1228" s="8" t="s">
        <v>6311</v>
      </c>
      <c r="O1228" s="5" t="s">
        <v>127</v>
      </c>
      <c r="P1228" s="4">
        <v>45751</v>
      </c>
      <c r="Q1228" s="15">
        <v>45.9</v>
      </c>
      <c r="R1228" s="15">
        <v>12.63</v>
      </c>
      <c r="S1228" s="15">
        <v>0</v>
      </c>
      <c r="T1228"/>
    </row>
    <row r="1229" spans="1:20">
      <c r="A1229" s="5" t="s">
        <v>113</v>
      </c>
      <c r="B1229" s="5" t="s">
        <v>14556</v>
      </c>
      <c r="C1229" s="4">
        <v>45730</v>
      </c>
      <c r="D1229" s="4">
        <v>45732</v>
      </c>
      <c r="E1229" s="5" t="s">
        <v>16623</v>
      </c>
      <c r="F1229" s="5" t="s">
        <v>18612</v>
      </c>
      <c r="G1229" s="5" t="s">
        <v>817</v>
      </c>
      <c r="H1229" s="5">
        <v>1</v>
      </c>
      <c r="I1229" s="8" t="s">
        <v>8365</v>
      </c>
      <c r="J1229" s="8" t="s">
        <v>10414</v>
      </c>
      <c r="K1229" s="8" t="s">
        <v>2211</v>
      </c>
      <c r="L1229" s="8" t="s">
        <v>12465</v>
      </c>
      <c r="M1229" s="8" t="s">
        <v>4261</v>
      </c>
      <c r="N1229" s="8" t="s">
        <v>6312</v>
      </c>
      <c r="O1229" s="5" t="s">
        <v>115</v>
      </c>
      <c r="P1229" s="4">
        <v>45757</v>
      </c>
      <c r="Q1229" s="15">
        <v>30.95</v>
      </c>
      <c r="R1229" s="15">
        <v>16.489999999999998</v>
      </c>
      <c r="S1229" s="15">
        <v>0</v>
      </c>
      <c r="T1229"/>
    </row>
    <row r="1230" spans="1:20">
      <c r="A1230" s="5" t="s">
        <v>113</v>
      </c>
      <c r="B1230" s="5" t="s">
        <v>14557</v>
      </c>
      <c r="C1230" s="4">
        <v>45730</v>
      </c>
      <c r="D1230" s="4">
        <v>45733</v>
      </c>
      <c r="E1230" s="5" t="s">
        <v>16624</v>
      </c>
      <c r="F1230" s="5" t="s">
        <v>18613</v>
      </c>
      <c r="G1230" s="5" t="s">
        <v>902</v>
      </c>
      <c r="H1230" s="5">
        <v>1</v>
      </c>
      <c r="I1230" s="8" t="s">
        <v>8366</v>
      </c>
      <c r="J1230" s="8" t="s">
        <v>10415</v>
      </c>
      <c r="K1230" s="8" t="s">
        <v>2212</v>
      </c>
      <c r="L1230" s="8" t="s">
        <v>12466</v>
      </c>
      <c r="M1230" s="8" t="s">
        <v>4262</v>
      </c>
      <c r="N1230" s="8" t="s">
        <v>6313</v>
      </c>
      <c r="O1230" s="5" t="s">
        <v>129</v>
      </c>
      <c r="P1230" s="4">
        <v>45751</v>
      </c>
      <c r="Q1230" s="15">
        <v>24.8</v>
      </c>
      <c r="R1230" s="15">
        <v>10.16</v>
      </c>
      <c r="S1230" s="15">
        <v>0</v>
      </c>
      <c r="T1230"/>
    </row>
    <row r="1231" spans="1:20">
      <c r="A1231" s="5" t="s">
        <v>113</v>
      </c>
      <c r="B1231" s="5" t="s">
        <v>14558</v>
      </c>
      <c r="C1231" s="4">
        <v>45731</v>
      </c>
      <c r="D1231" s="4">
        <v>45732</v>
      </c>
      <c r="E1231" s="5" t="s">
        <v>16625</v>
      </c>
      <c r="F1231" s="5" t="s">
        <v>18614</v>
      </c>
      <c r="G1231" s="5" t="s">
        <v>817</v>
      </c>
      <c r="H1231" s="5">
        <v>1</v>
      </c>
      <c r="I1231" s="8" t="s">
        <v>8367</v>
      </c>
      <c r="J1231" s="8" t="s">
        <v>10416</v>
      </c>
      <c r="K1231" s="8" t="s">
        <v>2213</v>
      </c>
      <c r="L1231" s="8" t="s">
        <v>12467</v>
      </c>
      <c r="M1231" s="8" t="s">
        <v>4263</v>
      </c>
      <c r="N1231" s="8" t="s">
        <v>6314</v>
      </c>
      <c r="O1231" s="5" t="s">
        <v>115</v>
      </c>
      <c r="P1231" s="4">
        <v>45757</v>
      </c>
      <c r="Q1231" s="15">
        <v>30.95</v>
      </c>
      <c r="R1231" s="15">
        <v>16.489999999999998</v>
      </c>
      <c r="S1231" s="15">
        <v>0</v>
      </c>
      <c r="T1231"/>
    </row>
    <row r="1232" spans="1:20">
      <c r="A1232" s="5" t="s">
        <v>113</v>
      </c>
      <c r="B1232" s="5" t="s">
        <v>14559</v>
      </c>
      <c r="C1232" s="4">
        <v>45730</v>
      </c>
      <c r="D1232" s="4">
        <v>45732</v>
      </c>
      <c r="E1232" s="5" t="s">
        <v>16626</v>
      </c>
      <c r="F1232" s="5" t="s">
        <v>18615</v>
      </c>
      <c r="G1232" s="5" t="s">
        <v>905</v>
      </c>
      <c r="H1232" s="5">
        <v>1</v>
      </c>
      <c r="I1232" s="8" t="s">
        <v>8368</v>
      </c>
      <c r="J1232" s="8" t="s">
        <v>10417</v>
      </c>
      <c r="K1232" s="8" t="s">
        <v>2214</v>
      </c>
      <c r="L1232" s="8" t="s">
        <v>12468</v>
      </c>
      <c r="M1232" s="8" t="s">
        <v>4264</v>
      </c>
      <c r="N1232" s="8" t="s">
        <v>6315</v>
      </c>
      <c r="O1232" s="5" t="s">
        <v>125</v>
      </c>
      <c r="P1232" s="4">
        <v>45757</v>
      </c>
      <c r="Q1232" s="15">
        <v>24.99</v>
      </c>
      <c r="R1232" s="15">
        <v>11.49</v>
      </c>
      <c r="S1232" s="15">
        <v>0</v>
      </c>
      <c r="T1232"/>
    </row>
    <row r="1233" spans="1:20">
      <c r="A1233" s="5" t="s">
        <v>113</v>
      </c>
      <c r="B1233" s="5" t="s">
        <v>14560</v>
      </c>
      <c r="C1233" s="4">
        <v>45731</v>
      </c>
      <c r="D1233" s="4">
        <v>45733</v>
      </c>
      <c r="E1233" s="5" t="s">
        <v>16627</v>
      </c>
      <c r="F1233" s="5" t="s">
        <v>18616</v>
      </c>
      <c r="G1233" s="5" t="s">
        <v>817</v>
      </c>
      <c r="H1233" s="5">
        <v>1</v>
      </c>
      <c r="I1233" s="8" t="s">
        <v>8369</v>
      </c>
      <c r="J1233" s="8" t="s">
        <v>10418</v>
      </c>
      <c r="K1233" s="8" t="s">
        <v>2215</v>
      </c>
      <c r="L1233" s="8" t="s">
        <v>12469</v>
      </c>
      <c r="M1233" s="8" t="s">
        <v>4265</v>
      </c>
      <c r="N1233" s="8" t="s">
        <v>6316</v>
      </c>
      <c r="O1233" s="5" t="s">
        <v>115</v>
      </c>
      <c r="P1233" s="4">
        <v>45751</v>
      </c>
      <c r="Q1233" s="15">
        <v>30.95</v>
      </c>
      <c r="R1233" s="15">
        <v>12.82</v>
      </c>
      <c r="S1233" s="15">
        <v>0</v>
      </c>
      <c r="T1233"/>
    </row>
    <row r="1234" spans="1:20">
      <c r="A1234" s="5" t="s">
        <v>113</v>
      </c>
      <c r="B1234" s="5" t="s">
        <v>14561</v>
      </c>
      <c r="C1234" s="4">
        <v>45731</v>
      </c>
      <c r="D1234" s="4">
        <v>45734</v>
      </c>
      <c r="E1234" s="5" t="s">
        <v>16628</v>
      </c>
      <c r="F1234" s="5" t="s">
        <v>18617</v>
      </c>
      <c r="G1234" s="5" t="s">
        <v>829</v>
      </c>
      <c r="H1234" s="5">
        <v>1</v>
      </c>
      <c r="I1234" s="8" t="s">
        <v>8370</v>
      </c>
      <c r="J1234" s="8" t="s">
        <v>10419</v>
      </c>
      <c r="K1234" s="8" t="s">
        <v>2216</v>
      </c>
      <c r="L1234" s="8" t="s">
        <v>12470</v>
      </c>
      <c r="M1234" s="8" t="s">
        <v>4266</v>
      </c>
      <c r="N1234" s="8" t="s">
        <v>6317</v>
      </c>
      <c r="O1234" s="5" t="s">
        <v>128</v>
      </c>
      <c r="P1234" s="4">
        <v>45749</v>
      </c>
      <c r="Q1234" s="15">
        <v>21</v>
      </c>
      <c r="R1234" s="15">
        <v>13.65</v>
      </c>
      <c r="S1234" s="15">
        <v>0</v>
      </c>
      <c r="T1234"/>
    </row>
    <row r="1235" spans="1:20">
      <c r="A1235" s="5" t="s">
        <v>113</v>
      </c>
      <c r="B1235" s="5" t="s">
        <v>14562</v>
      </c>
      <c r="C1235" s="4">
        <v>45731</v>
      </c>
      <c r="D1235" s="4">
        <v>45733</v>
      </c>
      <c r="E1235" s="5" t="s">
        <v>16629</v>
      </c>
      <c r="F1235" s="5" t="s">
        <v>18618</v>
      </c>
      <c r="G1235" s="5" t="s">
        <v>902</v>
      </c>
      <c r="H1235" s="5">
        <v>1</v>
      </c>
      <c r="I1235" s="8" t="s">
        <v>8371</v>
      </c>
      <c r="J1235" s="8" t="s">
        <v>10420</v>
      </c>
      <c r="K1235" s="8" t="s">
        <v>2217</v>
      </c>
      <c r="L1235" s="8" t="s">
        <v>12471</v>
      </c>
      <c r="M1235" s="8" t="s">
        <v>4267</v>
      </c>
      <c r="N1235" s="8" t="s">
        <v>6318</v>
      </c>
      <c r="O1235" s="5" t="s">
        <v>129</v>
      </c>
      <c r="P1235" s="4">
        <v>45757</v>
      </c>
      <c r="Q1235" s="15">
        <v>24.8</v>
      </c>
      <c r="R1235" s="15">
        <v>10.16</v>
      </c>
      <c r="S1235" s="15">
        <v>0</v>
      </c>
      <c r="T1235"/>
    </row>
    <row r="1236" spans="1:20">
      <c r="A1236" s="5" t="s">
        <v>113</v>
      </c>
      <c r="B1236" s="5" t="s">
        <v>14563</v>
      </c>
      <c r="C1236" s="4">
        <v>45731</v>
      </c>
      <c r="D1236" s="4">
        <v>45733</v>
      </c>
      <c r="E1236" s="5" t="s">
        <v>16630</v>
      </c>
      <c r="F1236" s="5" t="s">
        <v>18619</v>
      </c>
      <c r="G1236" s="5" t="s">
        <v>905</v>
      </c>
      <c r="H1236" s="5">
        <v>1</v>
      </c>
      <c r="I1236" s="8" t="s">
        <v>8372</v>
      </c>
      <c r="J1236" s="8" t="s">
        <v>10421</v>
      </c>
      <c r="K1236" s="8" t="s">
        <v>2218</v>
      </c>
      <c r="L1236" s="8" t="s">
        <v>12472</v>
      </c>
      <c r="M1236" s="8" t="s">
        <v>4268</v>
      </c>
      <c r="N1236" s="8" t="s">
        <v>6319</v>
      </c>
      <c r="O1236" s="5" t="s">
        <v>125</v>
      </c>
      <c r="P1236" s="4">
        <v>45751</v>
      </c>
      <c r="Q1236" s="15">
        <v>24.99</v>
      </c>
      <c r="R1236" s="15">
        <v>10.16</v>
      </c>
      <c r="S1236" s="15">
        <v>0</v>
      </c>
      <c r="T1236"/>
    </row>
    <row r="1237" spans="1:20">
      <c r="A1237" s="5" t="s">
        <v>113</v>
      </c>
      <c r="B1237" s="5" t="s">
        <v>14564</v>
      </c>
      <c r="C1237" s="4">
        <v>45731</v>
      </c>
      <c r="D1237" s="4">
        <v>45733</v>
      </c>
      <c r="E1237" s="5" t="s">
        <v>16631</v>
      </c>
      <c r="F1237" s="5" t="s">
        <v>18620</v>
      </c>
      <c r="G1237" s="5" t="s">
        <v>902</v>
      </c>
      <c r="H1237" s="5">
        <v>1</v>
      </c>
      <c r="I1237" s="8" t="s">
        <v>8373</v>
      </c>
      <c r="J1237" s="8" t="s">
        <v>10422</v>
      </c>
      <c r="K1237" s="8" t="s">
        <v>2219</v>
      </c>
      <c r="L1237" s="8" t="s">
        <v>12473</v>
      </c>
      <c r="M1237" s="8" t="s">
        <v>4269</v>
      </c>
      <c r="N1237" s="8" t="s">
        <v>6320</v>
      </c>
      <c r="O1237" s="5" t="s">
        <v>129</v>
      </c>
      <c r="P1237" s="4">
        <v>45751</v>
      </c>
      <c r="Q1237" s="15">
        <v>24.8</v>
      </c>
      <c r="R1237" s="15">
        <v>10.16</v>
      </c>
      <c r="S1237" s="15">
        <v>0</v>
      </c>
      <c r="T1237"/>
    </row>
    <row r="1238" spans="1:20">
      <c r="A1238" s="5" t="s">
        <v>113</v>
      </c>
      <c r="B1238" s="5" t="s">
        <v>14565</v>
      </c>
      <c r="C1238" s="4">
        <v>45731</v>
      </c>
      <c r="D1238" s="4">
        <v>45734</v>
      </c>
      <c r="E1238" s="5" t="s">
        <v>16632</v>
      </c>
      <c r="F1238" s="5" t="s">
        <v>18621</v>
      </c>
      <c r="G1238" s="5" t="s">
        <v>902</v>
      </c>
      <c r="H1238" s="5">
        <v>1</v>
      </c>
      <c r="I1238" s="8" t="s">
        <v>8374</v>
      </c>
      <c r="J1238" s="8" t="s">
        <v>10423</v>
      </c>
      <c r="K1238" s="8" t="s">
        <v>2220</v>
      </c>
      <c r="L1238" s="8" t="s">
        <v>12474</v>
      </c>
      <c r="M1238" s="8" t="s">
        <v>4270</v>
      </c>
      <c r="N1238" s="8" t="s">
        <v>6321</v>
      </c>
      <c r="O1238" s="5" t="s">
        <v>129</v>
      </c>
      <c r="P1238" s="4">
        <v>45751</v>
      </c>
      <c r="Q1238" s="15">
        <v>24.8</v>
      </c>
      <c r="R1238" s="15">
        <v>10.210000000000001</v>
      </c>
      <c r="S1238" s="15">
        <v>0</v>
      </c>
      <c r="T1238"/>
    </row>
    <row r="1239" spans="1:20">
      <c r="A1239" s="5" t="s">
        <v>113</v>
      </c>
      <c r="B1239" s="5" t="s">
        <v>14566</v>
      </c>
      <c r="C1239" s="4">
        <v>45731</v>
      </c>
      <c r="D1239" s="4">
        <v>45733</v>
      </c>
      <c r="E1239" s="5" t="s">
        <v>16633</v>
      </c>
      <c r="F1239" s="5" t="s">
        <v>18622</v>
      </c>
      <c r="G1239" s="5" t="s">
        <v>829</v>
      </c>
      <c r="H1239" s="5">
        <v>1</v>
      </c>
      <c r="I1239" s="8" t="s">
        <v>8375</v>
      </c>
      <c r="J1239" s="8" t="s">
        <v>10424</v>
      </c>
      <c r="K1239" s="8" t="s">
        <v>2221</v>
      </c>
      <c r="L1239" s="8" t="s">
        <v>12475</v>
      </c>
      <c r="M1239" s="8" t="s">
        <v>4271</v>
      </c>
      <c r="N1239" s="8" t="s">
        <v>6322</v>
      </c>
      <c r="O1239" s="5" t="s">
        <v>128</v>
      </c>
      <c r="P1239" s="4">
        <v>45751</v>
      </c>
      <c r="Q1239" s="15">
        <v>21</v>
      </c>
      <c r="R1239" s="15">
        <v>13.78</v>
      </c>
      <c r="S1239" s="15">
        <v>0</v>
      </c>
      <c r="T1239"/>
    </row>
    <row r="1240" spans="1:20">
      <c r="A1240" s="5" t="s">
        <v>113</v>
      </c>
      <c r="B1240" s="5" t="s">
        <v>14567</v>
      </c>
      <c r="C1240" s="4">
        <v>45731</v>
      </c>
      <c r="D1240" s="4">
        <v>45734</v>
      </c>
      <c r="E1240" s="5" t="s">
        <v>16634</v>
      </c>
      <c r="F1240" s="5" t="s">
        <v>18623</v>
      </c>
      <c r="G1240" s="5" t="s">
        <v>905</v>
      </c>
      <c r="H1240" s="5">
        <v>1</v>
      </c>
      <c r="I1240" s="8" t="s">
        <v>8376</v>
      </c>
      <c r="J1240" s="8" t="s">
        <v>10425</v>
      </c>
      <c r="K1240" s="8" t="s">
        <v>2222</v>
      </c>
      <c r="L1240" s="8" t="s">
        <v>12476</v>
      </c>
      <c r="M1240" s="8" t="s">
        <v>4272</v>
      </c>
      <c r="N1240" s="8" t="s">
        <v>6323</v>
      </c>
      <c r="O1240" s="5" t="s">
        <v>125</v>
      </c>
      <c r="P1240" s="4">
        <v>45751</v>
      </c>
      <c r="Q1240" s="15">
        <v>24.99</v>
      </c>
      <c r="R1240" s="15">
        <v>15.82</v>
      </c>
      <c r="S1240" s="15">
        <v>0</v>
      </c>
      <c r="T1240"/>
    </row>
    <row r="1241" spans="1:20">
      <c r="A1241" s="5" t="s">
        <v>113</v>
      </c>
      <c r="B1241" s="5" t="s">
        <v>14568</v>
      </c>
      <c r="C1241" s="4">
        <v>45731</v>
      </c>
      <c r="D1241" s="4">
        <v>45733</v>
      </c>
      <c r="E1241" s="5" t="s">
        <v>16635</v>
      </c>
      <c r="F1241" s="5" t="s">
        <v>18624</v>
      </c>
      <c r="G1241" s="5" t="s">
        <v>817</v>
      </c>
      <c r="H1241" s="5">
        <v>1</v>
      </c>
      <c r="I1241" s="8" t="s">
        <v>8377</v>
      </c>
      <c r="J1241" s="8" t="s">
        <v>10426</v>
      </c>
      <c r="K1241" s="8" t="s">
        <v>2223</v>
      </c>
      <c r="L1241" s="8" t="s">
        <v>12477</v>
      </c>
      <c r="M1241" s="8" t="s">
        <v>4273</v>
      </c>
      <c r="N1241" s="8" t="s">
        <v>6324</v>
      </c>
      <c r="O1241" s="5" t="s">
        <v>115</v>
      </c>
      <c r="P1241" s="4">
        <v>45757</v>
      </c>
      <c r="Q1241" s="15">
        <v>30.95</v>
      </c>
      <c r="R1241" s="15">
        <v>12.82</v>
      </c>
      <c r="S1241" s="15">
        <v>0</v>
      </c>
      <c r="T1241"/>
    </row>
    <row r="1242" spans="1:20">
      <c r="A1242" s="5" t="s">
        <v>113</v>
      </c>
      <c r="B1242" s="5" t="s">
        <v>14569</v>
      </c>
      <c r="C1242" s="4">
        <v>45731</v>
      </c>
      <c r="D1242" s="4">
        <v>45733</v>
      </c>
      <c r="E1242" s="5" t="s">
        <v>16636</v>
      </c>
      <c r="F1242" s="5" t="s">
        <v>18625</v>
      </c>
      <c r="G1242" s="5" t="s">
        <v>829</v>
      </c>
      <c r="H1242" s="5">
        <v>1</v>
      </c>
      <c r="I1242" s="8" t="s">
        <v>8378</v>
      </c>
      <c r="J1242" s="8" t="s">
        <v>10427</v>
      </c>
      <c r="K1242" s="8" t="s">
        <v>2224</v>
      </c>
      <c r="L1242" s="8" t="s">
        <v>12478</v>
      </c>
      <c r="M1242" s="8" t="s">
        <v>4274</v>
      </c>
      <c r="N1242" s="8" t="s">
        <v>6325</v>
      </c>
      <c r="O1242" s="5" t="s">
        <v>128</v>
      </c>
      <c r="P1242" s="4">
        <v>45749</v>
      </c>
      <c r="Q1242" s="15">
        <v>21</v>
      </c>
      <c r="R1242" s="15">
        <v>13.78</v>
      </c>
      <c r="S1242" s="15">
        <v>0</v>
      </c>
      <c r="T1242"/>
    </row>
    <row r="1243" spans="1:20">
      <c r="A1243" s="5" t="s">
        <v>113</v>
      </c>
      <c r="B1243" s="5" t="s">
        <v>14570</v>
      </c>
      <c r="C1243" s="4">
        <v>45732</v>
      </c>
      <c r="D1243" s="4">
        <v>45733</v>
      </c>
      <c r="E1243" s="5" t="s">
        <v>16637</v>
      </c>
      <c r="F1243" s="5" t="s">
        <v>18626</v>
      </c>
      <c r="G1243" s="5" t="s">
        <v>817</v>
      </c>
      <c r="H1243" s="5">
        <v>1</v>
      </c>
      <c r="I1243" s="8" t="s">
        <v>8379</v>
      </c>
      <c r="J1243" s="8" t="s">
        <v>10428</v>
      </c>
      <c r="K1243" s="8" t="s">
        <v>2225</v>
      </c>
      <c r="L1243" s="8" t="s">
        <v>12479</v>
      </c>
      <c r="M1243" s="8" t="s">
        <v>4275</v>
      </c>
      <c r="N1243" s="8" t="s">
        <v>6326</v>
      </c>
      <c r="O1243" s="5" t="s">
        <v>115</v>
      </c>
      <c r="P1243" s="4">
        <v>45764</v>
      </c>
      <c r="Q1243" s="15">
        <v>30.95</v>
      </c>
      <c r="R1243" s="15">
        <v>0</v>
      </c>
      <c r="S1243" s="15">
        <v>0</v>
      </c>
      <c r="T1243"/>
    </row>
    <row r="1244" spans="1:20">
      <c r="A1244" s="5" t="s">
        <v>113</v>
      </c>
      <c r="B1244" s="5" t="s">
        <v>14571</v>
      </c>
      <c r="C1244" s="4">
        <v>45732</v>
      </c>
      <c r="D1244" s="4">
        <v>45733</v>
      </c>
      <c r="E1244" s="5" t="s">
        <v>16638</v>
      </c>
      <c r="F1244" s="5" t="s">
        <v>18627</v>
      </c>
      <c r="G1244" s="5" t="s">
        <v>894</v>
      </c>
      <c r="H1244" s="5">
        <v>1</v>
      </c>
      <c r="I1244" s="8" t="s">
        <v>8380</v>
      </c>
      <c r="J1244" s="8" t="s">
        <v>10429</v>
      </c>
      <c r="K1244" s="8" t="s">
        <v>2226</v>
      </c>
      <c r="L1244" s="8" t="s">
        <v>12480</v>
      </c>
      <c r="M1244" s="8" t="s">
        <v>4276</v>
      </c>
      <c r="N1244" s="8" t="s">
        <v>6327</v>
      </c>
      <c r="O1244" s="5" t="s">
        <v>127</v>
      </c>
      <c r="P1244" s="4">
        <v>45757</v>
      </c>
      <c r="Q1244" s="15">
        <v>44.95</v>
      </c>
      <c r="R1244" s="15">
        <v>10.16</v>
      </c>
      <c r="S1244" s="15">
        <v>0</v>
      </c>
      <c r="T1244"/>
    </row>
    <row r="1245" spans="1:20">
      <c r="A1245" s="5" t="s">
        <v>113</v>
      </c>
      <c r="B1245" s="5" t="s">
        <v>14572</v>
      </c>
      <c r="C1245" s="4">
        <v>45732</v>
      </c>
      <c r="D1245" s="4">
        <v>45734</v>
      </c>
      <c r="E1245" s="5" t="s">
        <v>16639</v>
      </c>
      <c r="F1245" s="5" t="s">
        <v>18628</v>
      </c>
      <c r="G1245" s="5" t="s">
        <v>902</v>
      </c>
      <c r="H1245" s="5">
        <v>1</v>
      </c>
      <c r="I1245" s="8" t="s">
        <v>8381</v>
      </c>
      <c r="J1245" s="8" t="s">
        <v>10430</v>
      </c>
      <c r="K1245" s="8" t="s">
        <v>2227</v>
      </c>
      <c r="L1245" s="8" t="s">
        <v>12481</v>
      </c>
      <c r="M1245" s="8" t="s">
        <v>4277</v>
      </c>
      <c r="N1245" s="8" t="s">
        <v>6328</v>
      </c>
      <c r="O1245" s="5" t="s">
        <v>129</v>
      </c>
      <c r="P1245" s="4">
        <v>45757</v>
      </c>
      <c r="Q1245" s="15">
        <v>24.8</v>
      </c>
      <c r="R1245" s="15">
        <v>10.210000000000001</v>
      </c>
      <c r="S1245" s="15">
        <v>0</v>
      </c>
      <c r="T1245"/>
    </row>
    <row r="1246" spans="1:20">
      <c r="A1246" s="5" t="s">
        <v>113</v>
      </c>
      <c r="B1246" s="5" t="s">
        <v>14573</v>
      </c>
      <c r="C1246" s="4">
        <v>45732</v>
      </c>
      <c r="D1246" s="4">
        <v>45733</v>
      </c>
      <c r="E1246" s="5" t="s">
        <v>16640</v>
      </c>
      <c r="F1246" s="5" t="s">
        <v>18629</v>
      </c>
      <c r="G1246" s="5" t="s">
        <v>905</v>
      </c>
      <c r="H1246" s="5">
        <v>1</v>
      </c>
      <c r="I1246" s="8" t="s">
        <v>8382</v>
      </c>
      <c r="J1246" s="8" t="s">
        <v>10431</v>
      </c>
      <c r="K1246" s="8" t="s">
        <v>2228</v>
      </c>
      <c r="L1246" s="8" t="s">
        <v>12482</v>
      </c>
      <c r="M1246" s="8" t="s">
        <v>4278</v>
      </c>
      <c r="N1246" s="8" t="s">
        <v>6329</v>
      </c>
      <c r="O1246" s="5" t="s">
        <v>125</v>
      </c>
      <c r="P1246" s="4">
        <v>45751</v>
      </c>
      <c r="Q1246" s="15">
        <v>24.99</v>
      </c>
      <c r="R1246" s="15">
        <v>10.16</v>
      </c>
      <c r="S1246" s="15">
        <v>0</v>
      </c>
      <c r="T1246"/>
    </row>
    <row r="1247" spans="1:20">
      <c r="A1247" s="5" t="s">
        <v>113</v>
      </c>
      <c r="B1247" s="5" t="s">
        <v>14574</v>
      </c>
      <c r="C1247" s="4">
        <v>45732</v>
      </c>
      <c r="D1247" s="4">
        <v>45733</v>
      </c>
      <c r="E1247" s="5" t="s">
        <v>16641</v>
      </c>
      <c r="F1247" s="5" t="s">
        <v>18630</v>
      </c>
      <c r="G1247" s="5" t="s">
        <v>849</v>
      </c>
      <c r="H1247" s="5">
        <v>1</v>
      </c>
      <c r="I1247" s="8" t="s">
        <v>8383</v>
      </c>
      <c r="J1247" s="8" t="s">
        <v>10432</v>
      </c>
      <c r="K1247" s="8" t="s">
        <v>2229</v>
      </c>
      <c r="L1247" s="8" t="s">
        <v>12483</v>
      </c>
      <c r="M1247" s="8" t="s">
        <v>4279</v>
      </c>
      <c r="N1247" s="8" t="s">
        <v>6330</v>
      </c>
      <c r="O1247" s="5" t="s">
        <v>116</v>
      </c>
      <c r="P1247" s="4">
        <v>45757</v>
      </c>
      <c r="Q1247" s="15">
        <v>65.599999999999994</v>
      </c>
      <c r="R1247" s="15">
        <v>10.16</v>
      </c>
      <c r="S1247" s="15">
        <v>0</v>
      </c>
      <c r="T1247"/>
    </row>
    <row r="1248" spans="1:20">
      <c r="A1248" s="5" t="s">
        <v>113</v>
      </c>
      <c r="B1248" s="5" t="s">
        <v>14575</v>
      </c>
      <c r="C1248" s="4">
        <v>45732</v>
      </c>
      <c r="D1248" s="4">
        <v>45733</v>
      </c>
      <c r="E1248" s="5" t="s">
        <v>16642</v>
      </c>
      <c r="F1248" s="5" t="s">
        <v>18631</v>
      </c>
      <c r="G1248" s="5" t="s">
        <v>894</v>
      </c>
      <c r="H1248" s="5">
        <v>1</v>
      </c>
      <c r="I1248" s="8" t="s">
        <v>8384</v>
      </c>
      <c r="J1248" s="8" t="s">
        <v>10433</v>
      </c>
      <c r="K1248" s="8" t="s">
        <v>2230</v>
      </c>
      <c r="L1248" s="8" t="s">
        <v>12484</v>
      </c>
      <c r="M1248" s="8" t="s">
        <v>4280</v>
      </c>
      <c r="N1248" s="8" t="s">
        <v>6331</v>
      </c>
      <c r="O1248" s="5" t="s">
        <v>127</v>
      </c>
      <c r="P1248" s="4">
        <v>45751</v>
      </c>
      <c r="Q1248" s="15">
        <v>44.95</v>
      </c>
      <c r="R1248" s="15">
        <v>10.16</v>
      </c>
      <c r="S1248" s="15">
        <v>0</v>
      </c>
      <c r="T1248"/>
    </row>
    <row r="1249" spans="1:20">
      <c r="A1249" s="5" t="s">
        <v>108</v>
      </c>
      <c r="B1249" s="5" t="s">
        <v>14576</v>
      </c>
      <c r="C1249" s="4">
        <v>45732</v>
      </c>
      <c r="D1249" s="4">
        <v>45732</v>
      </c>
      <c r="E1249" s="5" t="s">
        <v>16643</v>
      </c>
      <c r="F1249" s="5" t="s">
        <v>18632</v>
      </c>
      <c r="G1249" s="5" t="s">
        <v>882</v>
      </c>
      <c r="H1249" s="5">
        <v>1</v>
      </c>
      <c r="I1249" s="8" t="s">
        <v>8385</v>
      </c>
      <c r="J1249" s="8" t="s">
        <v>10434</v>
      </c>
      <c r="K1249" s="8" t="s">
        <v>2231</v>
      </c>
      <c r="L1249" s="8" t="s">
        <v>12485</v>
      </c>
      <c r="M1249" s="8" t="s">
        <v>4281</v>
      </c>
      <c r="N1249" s="8" t="s">
        <v>6332</v>
      </c>
      <c r="O1249" s="5" t="s">
        <v>130</v>
      </c>
      <c r="P1249" s="4">
        <v>45757</v>
      </c>
      <c r="Q1249" s="15">
        <v>67.599999999999994</v>
      </c>
      <c r="R1249" s="15">
        <v>23.92</v>
      </c>
      <c r="S1249" s="15">
        <v>0</v>
      </c>
      <c r="T1249"/>
    </row>
    <row r="1250" spans="1:20">
      <c r="A1250" s="5" t="s">
        <v>36</v>
      </c>
      <c r="B1250" s="5" t="s">
        <v>14577</v>
      </c>
      <c r="C1250" s="4">
        <v>45732</v>
      </c>
      <c r="D1250" s="4">
        <v>45736</v>
      </c>
      <c r="E1250" s="5" t="s">
        <v>16644</v>
      </c>
      <c r="F1250" s="5" t="s">
        <v>18633</v>
      </c>
      <c r="G1250" s="5" t="s">
        <v>845</v>
      </c>
      <c r="H1250" s="5">
        <v>1</v>
      </c>
      <c r="I1250" s="8" t="s">
        <v>8386</v>
      </c>
      <c r="J1250" s="8" t="s">
        <v>10435</v>
      </c>
      <c r="K1250" s="8" t="s">
        <v>2232</v>
      </c>
      <c r="L1250" s="8" t="s">
        <v>12486</v>
      </c>
      <c r="M1250" s="8" t="s">
        <v>4282</v>
      </c>
      <c r="N1250" s="8" t="s">
        <v>6333</v>
      </c>
      <c r="O1250" s="5" t="s">
        <v>67</v>
      </c>
      <c r="P1250" s="4">
        <v>45751</v>
      </c>
      <c r="Q1250" s="15">
        <v>50.45</v>
      </c>
      <c r="R1250" s="15">
        <v>40</v>
      </c>
      <c r="S1250" s="15">
        <v>0</v>
      </c>
      <c r="T1250"/>
    </row>
    <row r="1251" spans="1:20">
      <c r="A1251" s="5" t="s">
        <v>36</v>
      </c>
      <c r="B1251" s="5" t="s">
        <v>14578</v>
      </c>
      <c r="C1251" s="4">
        <v>45732</v>
      </c>
      <c r="D1251" s="4">
        <v>45734</v>
      </c>
      <c r="E1251" s="5" t="s">
        <v>16645</v>
      </c>
      <c r="F1251" s="5" t="s">
        <v>18634</v>
      </c>
      <c r="G1251" s="5" t="s">
        <v>855</v>
      </c>
      <c r="H1251" s="5">
        <v>1</v>
      </c>
      <c r="I1251" s="8" t="s">
        <v>8387</v>
      </c>
      <c r="J1251" s="8" t="s">
        <v>10436</v>
      </c>
      <c r="K1251" s="8" t="s">
        <v>2233</v>
      </c>
      <c r="L1251" s="8" t="s">
        <v>12487</v>
      </c>
      <c r="M1251" s="8" t="s">
        <v>4283</v>
      </c>
      <c r="N1251" s="8" t="s">
        <v>6334</v>
      </c>
      <c r="O1251" s="5" t="s">
        <v>81</v>
      </c>
      <c r="P1251" s="4">
        <v>45751</v>
      </c>
      <c r="Q1251" s="15">
        <v>26.99</v>
      </c>
      <c r="R1251" s="15">
        <v>10.210000000000001</v>
      </c>
      <c r="S1251" s="15">
        <v>0</v>
      </c>
      <c r="T1251"/>
    </row>
    <row r="1252" spans="1:20">
      <c r="A1252" s="5" t="s">
        <v>36</v>
      </c>
      <c r="B1252" s="5" t="s">
        <v>14579</v>
      </c>
      <c r="C1252" s="4">
        <v>45732</v>
      </c>
      <c r="D1252" s="4" t="s">
        <v>37</v>
      </c>
      <c r="E1252" s="5" t="s">
        <v>37</v>
      </c>
      <c r="F1252" s="5" t="s">
        <v>37</v>
      </c>
      <c r="G1252" s="5" t="s">
        <v>860</v>
      </c>
      <c r="H1252" s="5">
        <v>1</v>
      </c>
      <c r="I1252" s="8" t="s">
        <v>8388</v>
      </c>
      <c r="J1252" s="8" t="s">
        <v>10437</v>
      </c>
      <c r="K1252" s="8" t="s">
        <v>2234</v>
      </c>
      <c r="L1252" s="8" t="s">
        <v>12488</v>
      </c>
      <c r="M1252" s="8" t="s">
        <v>4284</v>
      </c>
      <c r="N1252" s="8" t="s">
        <v>6335</v>
      </c>
      <c r="O1252" s="5" t="s">
        <v>75</v>
      </c>
      <c r="P1252" s="4">
        <v>45751</v>
      </c>
      <c r="Q1252" s="15">
        <v>44.9</v>
      </c>
      <c r="R1252" s="15">
        <v>0</v>
      </c>
      <c r="S1252" s="15">
        <v>0</v>
      </c>
      <c r="T1252"/>
    </row>
    <row r="1253" spans="1:20">
      <c r="A1253" s="5" t="s">
        <v>36</v>
      </c>
      <c r="B1253" s="5" t="s">
        <v>14580</v>
      </c>
      <c r="C1253" s="4">
        <v>45732</v>
      </c>
      <c r="D1253" s="4" t="s">
        <v>37</v>
      </c>
      <c r="E1253" s="5" t="s">
        <v>37</v>
      </c>
      <c r="F1253" s="5" t="s">
        <v>37</v>
      </c>
      <c r="G1253" s="5" t="s">
        <v>860</v>
      </c>
      <c r="H1253" s="5">
        <v>1</v>
      </c>
      <c r="I1253" s="8" t="s">
        <v>8389</v>
      </c>
      <c r="J1253" s="8" t="s">
        <v>10438</v>
      </c>
      <c r="K1253" s="8" t="s">
        <v>2235</v>
      </c>
      <c r="L1253" s="8" t="s">
        <v>12489</v>
      </c>
      <c r="M1253" s="8" t="s">
        <v>4285</v>
      </c>
      <c r="N1253" s="8" t="s">
        <v>6336</v>
      </c>
      <c r="O1253" s="5" t="s">
        <v>75</v>
      </c>
      <c r="P1253" s="4">
        <v>45757</v>
      </c>
      <c r="Q1253" s="15">
        <v>44.9</v>
      </c>
      <c r="R1253" s="15">
        <v>0</v>
      </c>
      <c r="S1253" s="15">
        <v>0</v>
      </c>
      <c r="T1253"/>
    </row>
    <row r="1254" spans="1:20">
      <c r="A1254" s="5" t="s">
        <v>36</v>
      </c>
      <c r="B1254" s="5" t="s">
        <v>14581</v>
      </c>
      <c r="C1254" s="4">
        <v>45732</v>
      </c>
      <c r="D1254" s="4" t="s">
        <v>37</v>
      </c>
      <c r="E1254" s="5" t="s">
        <v>37</v>
      </c>
      <c r="F1254" s="5" t="s">
        <v>37</v>
      </c>
      <c r="G1254" s="5" t="s">
        <v>860</v>
      </c>
      <c r="H1254" s="5">
        <v>1</v>
      </c>
      <c r="I1254" s="8" t="s">
        <v>8390</v>
      </c>
      <c r="J1254" s="8" t="s">
        <v>10439</v>
      </c>
      <c r="K1254" s="8" t="s">
        <v>2236</v>
      </c>
      <c r="L1254" s="8" t="s">
        <v>12490</v>
      </c>
      <c r="M1254" s="8" t="s">
        <v>4286</v>
      </c>
      <c r="N1254" s="8" t="s">
        <v>6337</v>
      </c>
      <c r="O1254" s="5" t="s">
        <v>75</v>
      </c>
      <c r="P1254" s="4">
        <v>45757</v>
      </c>
      <c r="Q1254" s="15">
        <v>44.9</v>
      </c>
      <c r="R1254" s="15">
        <v>0</v>
      </c>
      <c r="S1254" s="15">
        <v>0</v>
      </c>
      <c r="T1254"/>
    </row>
    <row r="1255" spans="1:20">
      <c r="A1255" s="5" t="s">
        <v>36</v>
      </c>
      <c r="B1255" s="5" t="s">
        <v>14582</v>
      </c>
      <c r="C1255" s="4">
        <v>45732</v>
      </c>
      <c r="D1255" s="4" t="s">
        <v>37</v>
      </c>
      <c r="E1255" s="5" t="s">
        <v>37</v>
      </c>
      <c r="F1255" s="5" t="s">
        <v>37</v>
      </c>
      <c r="G1255" s="5" t="s">
        <v>860</v>
      </c>
      <c r="H1255" s="5">
        <v>1</v>
      </c>
      <c r="I1255" s="8" t="s">
        <v>8391</v>
      </c>
      <c r="J1255" s="8" t="s">
        <v>10440</v>
      </c>
      <c r="K1255" s="8" t="s">
        <v>2237</v>
      </c>
      <c r="L1255" s="8" t="s">
        <v>12491</v>
      </c>
      <c r="M1255" s="8" t="s">
        <v>4287</v>
      </c>
      <c r="N1255" s="8" t="s">
        <v>6338</v>
      </c>
      <c r="O1255" s="5" t="s">
        <v>75</v>
      </c>
      <c r="P1255" s="4">
        <v>45757</v>
      </c>
      <c r="Q1255" s="15">
        <v>44.9</v>
      </c>
      <c r="R1255" s="15">
        <v>0</v>
      </c>
      <c r="S1255" s="15">
        <v>0</v>
      </c>
      <c r="T1255"/>
    </row>
    <row r="1256" spans="1:20">
      <c r="A1256" s="5" t="s">
        <v>36</v>
      </c>
      <c r="B1256" s="5" t="s">
        <v>14583</v>
      </c>
      <c r="C1256" s="4">
        <v>45732</v>
      </c>
      <c r="D1256" s="4">
        <v>45736</v>
      </c>
      <c r="E1256" s="5" t="s">
        <v>16646</v>
      </c>
      <c r="F1256" s="5" t="s">
        <v>18635</v>
      </c>
      <c r="G1256" s="5" t="s">
        <v>821</v>
      </c>
      <c r="H1256" s="5">
        <v>1</v>
      </c>
      <c r="I1256" s="8" t="s">
        <v>8392</v>
      </c>
      <c r="J1256" s="8" t="s">
        <v>10441</v>
      </c>
      <c r="K1256" s="8" t="s">
        <v>2238</v>
      </c>
      <c r="L1256" s="8" t="s">
        <v>12492</v>
      </c>
      <c r="M1256" s="8" t="s">
        <v>4288</v>
      </c>
      <c r="N1256" s="8" t="s">
        <v>6339</v>
      </c>
      <c r="O1256" s="5" t="s">
        <v>43</v>
      </c>
      <c r="P1256" s="4">
        <v>45745</v>
      </c>
      <c r="Q1256" s="15">
        <v>28.99</v>
      </c>
      <c r="R1256" s="15">
        <v>14.8</v>
      </c>
      <c r="S1256" s="15">
        <v>0</v>
      </c>
      <c r="T1256"/>
    </row>
    <row r="1257" spans="1:20">
      <c r="A1257" s="5" t="s">
        <v>36</v>
      </c>
      <c r="B1257" s="5" t="s">
        <v>14584</v>
      </c>
      <c r="C1257" s="4">
        <v>45733</v>
      </c>
      <c r="D1257" s="4">
        <v>45734</v>
      </c>
      <c r="E1257" s="5" t="s">
        <v>16647</v>
      </c>
      <c r="F1257" s="5" t="s">
        <v>18636</v>
      </c>
      <c r="G1257" s="5" t="s">
        <v>860</v>
      </c>
      <c r="H1257" s="5">
        <v>1</v>
      </c>
      <c r="I1257" s="8" t="s">
        <v>8393</v>
      </c>
      <c r="J1257" s="8" t="s">
        <v>10442</v>
      </c>
      <c r="K1257" s="8" t="s">
        <v>2239</v>
      </c>
      <c r="L1257" s="8" t="s">
        <v>12493</v>
      </c>
      <c r="M1257" s="8" t="s">
        <v>4289</v>
      </c>
      <c r="N1257" s="8" t="s">
        <v>6340</v>
      </c>
      <c r="O1257" s="5" t="s">
        <v>75</v>
      </c>
      <c r="P1257" s="4">
        <v>45757</v>
      </c>
      <c r="Q1257" s="15">
        <v>44.9</v>
      </c>
      <c r="R1257" s="15">
        <v>0</v>
      </c>
      <c r="S1257" s="15">
        <v>0</v>
      </c>
      <c r="T1257"/>
    </row>
    <row r="1258" spans="1:20">
      <c r="A1258" s="5" t="s">
        <v>36</v>
      </c>
      <c r="B1258" s="5" t="s">
        <v>14585</v>
      </c>
      <c r="C1258" s="4">
        <v>45733</v>
      </c>
      <c r="D1258" s="4">
        <v>45734</v>
      </c>
      <c r="E1258" s="5" t="s">
        <v>16648</v>
      </c>
      <c r="F1258" s="5" t="s">
        <v>18637</v>
      </c>
      <c r="G1258" s="5" t="s">
        <v>860</v>
      </c>
      <c r="H1258" s="5">
        <v>1</v>
      </c>
      <c r="I1258" s="8" t="s">
        <v>8394</v>
      </c>
      <c r="J1258" s="8" t="s">
        <v>10443</v>
      </c>
      <c r="K1258" s="8" t="s">
        <v>2240</v>
      </c>
      <c r="L1258" s="8" t="s">
        <v>12494</v>
      </c>
      <c r="M1258" s="8" t="s">
        <v>4290</v>
      </c>
      <c r="N1258" s="8" t="s">
        <v>6341</v>
      </c>
      <c r="O1258" s="5" t="s">
        <v>75</v>
      </c>
      <c r="P1258" s="4">
        <v>45757</v>
      </c>
      <c r="Q1258" s="15">
        <v>44.9</v>
      </c>
      <c r="R1258" s="15">
        <v>19.14</v>
      </c>
      <c r="S1258" s="15">
        <v>0</v>
      </c>
      <c r="T1258"/>
    </row>
    <row r="1259" spans="1:20">
      <c r="A1259" s="5" t="s">
        <v>36</v>
      </c>
      <c r="B1259" s="5" t="s">
        <v>14586</v>
      </c>
      <c r="C1259" s="4">
        <v>45733</v>
      </c>
      <c r="D1259" s="4">
        <v>45736</v>
      </c>
      <c r="E1259" s="5" t="s">
        <v>16649</v>
      </c>
      <c r="F1259" s="5" t="s">
        <v>18638</v>
      </c>
      <c r="G1259" s="5" t="s">
        <v>821</v>
      </c>
      <c r="H1259" s="5">
        <v>1</v>
      </c>
      <c r="I1259" s="8" t="s">
        <v>8395</v>
      </c>
      <c r="J1259" s="8" t="s">
        <v>10444</v>
      </c>
      <c r="K1259" s="8" t="s">
        <v>2241</v>
      </c>
      <c r="L1259" s="8" t="s">
        <v>12495</v>
      </c>
      <c r="M1259" s="8" t="s">
        <v>4291</v>
      </c>
      <c r="N1259" s="8" t="s">
        <v>6342</v>
      </c>
      <c r="O1259" s="5" t="s">
        <v>43</v>
      </c>
      <c r="P1259" s="4">
        <v>45751</v>
      </c>
      <c r="Q1259" s="15">
        <v>28.99</v>
      </c>
      <c r="R1259" s="15">
        <v>14.8</v>
      </c>
      <c r="S1259" s="15">
        <v>0</v>
      </c>
      <c r="T1259"/>
    </row>
    <row r="1260" spans="1:20">
      <c r="A1260" s="5" t="s">
        <v>36</v>
      </c>
      <c r="B1260" s="5" t="s">
        <v>14587</v>
      </c>
      <c r="C1260" s="4">
        <v>45733</v>
      </c>
      <c r="D1260" s="4" t="s">
        <v>37</v>
      </c>
      <c r="E1260" s="5" t="s">
        <v>37</v>
      </c>
      <c r="F1260" s="5" t="s">
        <v>37</v>
      </c>
      <c r="G1260" s="5" t="s">
        <v>824</v>
      </c>
      <c r="H1260" s="5">
        <v>1</v>
      </c>
      <c r="I1260" s="8" t="s">
        <v>8396</v>
      </c>
      <c r="J1260" s="8" t="s">
        <v>10445</v>
      </c>
      <c r="K1260" s="8" t="s">
        <v>2242</v>
      </c>
      <c r="L1260" s="8" t="s">
        <v>12496</v>
      </c>
      <c r="M1260" s="8" t="s">
        <v>4292</v>
      </c>
      <c r="N1260" s="8" t="s">
        <v>6343</v>
      </c>
      <c r="O1260" s="5" t="s">
        <v>38</v>
      </c>
      <c r="P1260" s="4">
        <v>45758</v>
      </c>
      <c r="Q1260" s="15">
        <v>19.989999999999998</v>
      </c>
      <c r="R1260" s="15">
        <v>0</v>
      </c>
      <c r="S1260" s="15">
        <v>0</v>
      </c>
      <c r="T1260"/>
    </row>
    <row r="1261" spans="1:20">
      <c r="A1261" s="5" t="s">
        <v>36</v>
      </c>
      <c r="B1261" s="5" t="s">
        <v>14588</v>
      </c>
      <c r="C1261" s="4">
        <v>45733</v>
      </c>
      <c r="D1261" s="4">
        <v>45736</v>
      </c>
      <c r="E1261" s="5" t="s">
        <v>16650</v>
      </c>
      <c r="F1261" s="5" t="s">
        <v>18639</v>
      </c>
      <c r="G1261" s="5" t="s">
        <v>821</v>
      </c>
      <c r="H1261" s="5">
        <v>1</v>
      </c>
      <c r="I1261" s="8" t="s">
        <v>8397</v>
      </c>
      <c r="J1261" s="8" t="s">
        <v>10446</v>
      </c>
      <c r="K1261" s="8" t="s">
        <v>2243</v>
      </c>
      <c r="L1261" s="8" t="s">
        <v>12497</v>
      </c>
      <c r="M1261" s="8" t="s">
        <v>4293</v>
      </c>
      <c r="N1261" s="8" t="s">
        <v>6344</v>
      </c>
      <c r="O1261" s="5" t="s">
        <v>43</v>
      </c>
      <c r="P1261" s="4">
        <v>45758</v>
      </c>
      <c r="Q1261" s="15">
        <v>28.99</v>
      </c>
      <c r="R1261" s="15">
        <v>14.8</v>
      </c>
      <c r="S1261" s="15">
        <v>0</v>
      </c>
      <c r="T1261"/>
    </row>
    <row r="1262" spans="1:20">
      <c r="A1262" s="5" t="s">
        <v>36</v>
      </c>
      <c r="B1262" s="5" t="s">
        <v>14589</v>
      </c>
      <c r="C1262" s="4">
        <v>45733</v>
      </c>
      <c r="D1262" s="4">
        <v>45736</v>
      </c>
      <c r="E1262" s="5" t="s">
        <v>16651</v>
      </c>
      <c r="F1262" s="5" t="s">
        <v>18640</v>
      </c>
      <c r="G1262" s="5" t="s">
        <v>821</v>
      </c>
      <c r="H1262" s="5">
        <v>1</v>
      </c>
      <c r="I1262" s="8" t="s">
        <v>8398</v>
      </c>
      <c r="J1262" s="8" t="s">
        <v>10447</v>
      </c>
      <c r="K1262" s="8" t="s">
        <v>2244</v>
      </c>
      <c r="L1262" s="8" t="s">
        <v>12498</v>
      </c>
      <c r="M1262" s="8" t="s">
        <v>4294</v>
      </c>
      <c r="N1262" s="8" t="s">
        <v>6345</v>
      </c>
      <c r="O1262" s="5" t="s">
        <v>43</v>
      </c>
      <c r="P1262" s="4">
        <v>45752</v>
      </c>
      <c r="Q1262" s="15">
        <v>28.99</v>
      </c>
      <c r="R1262" s="15">
        <v>14.8</v>
      </c>
      <c r="S1262" s="15">
        <v>0</v>
      </c>
      <c r="T1262"/>
    </row>
    <row r="1263" spans="1:20">
      <c r="A1263" s="5" t="s">
        <v>36</v>
      </c>
      <c r="B1263" s="5" t="s">
        <v>14590</v>
      </c>
      <c r="C1263" s="4">
        <v>45733</v>
      </c>
      <c r="D1263" s="4">
        <v>45734</v>
      </c>
      <c r="E1263" s="5" t="s">
        <v>16652</v>
      </c>
      <c r="F1263" s="5" t="s">
        <v>18641</v>
      </c>
      <c r="G1263" s="5" t="s">
        <v>860</v>
      </c>
      <c r="H1263" s="5">
        <v>1</v>
      </c>
      <c r="I1263" s="8" t="s">
        <v>8399</v>
      </c>
      <c r="J1263" s="8" t="s">
        <v>10448</v>
      </c>
      <c r="K1263" s="8" t="s">
        <v>2245</v>
      </c>
      <c r="L1263" s="8" t="s">
        <v>12499</v>
      </c>
      <c r="M1263" s="8" t="s">
        <v>4295</v>
      </c>
      <c r="N1263" s="8" t="s">
        <v>6346</v>
      </c>
      <c r="O1263" s="5" t="s">
        <v>75</v>
      </c>
      <c r="P1263" s="4">
        <v>45752</v>
      </c>
      <c r="Q1263" s="15">
        <v>44.9</v>
      </c>
      <c r="R1263" s="15">
        <v>0</v>
      </c>
      <c r="S1263" s="15">
        <v>0</v>
      </c>
      <c r="T1263"/>
    </row>
    <row r="1264" spans="1:20">
      <c r="A1264" s="5" t="s">
        <v>36</v>
      </c>
      <c r="B1264" s="5" t="s">
        <v>14591</v>
      </c>
      <c r="C1264" s="4">
        <v>45733</v>
      </c>
      <c r="D1264" s="4" t="s">
        <v>37</v>
      </c>
      <c r="E1264" s="5" t="s">
        <v>37</v>
      </c>
      <c r="F1264" s="5" t="s">
        <v>37</v>
      </c>
      <c r="G1264" s="5" t="s">
        <v>824</v>
      </c>
      <c r="H1264" s="5">
        <v>1</v>
      </c>
      <c r="I1264" s="8" t="s">
        <v>8400</v>
      </c>
      <c r="J1264" s="8" t="s">
        <v>10449</v>
      </c>
      <c r="K1264" s="8" t="s">
        <v>2246</v>
      </c>
      <c r="L1264" s="8" t="s">
        <v>12500</v>
      </c>
      <c r="M1264" s="8" t="s">
        <v>4296</v>
      </c>
      <c r="N1264" s="8" t="s">
        <v>6347</v>
      </c>
      <c r="O1264" s="5" t="s">
        <v>38</v>
      </c>
      <c r="P1264" s="4">
        <v>45758</v>
      </c>
      <c r="Q1264" s="15">
        <v>19.989999999999998</v>
      </c>
      <c r="R1264" s="15">
        <v>0</v>
      </c>
      <c r="S1264" s="15">
        <v>0</v>
      </c>
      <c r="T1264"/>
    </row>
    <row r="1265" spans="1:20">
      <c r="A1265" s="5" t="s">
        <v>36</v>
      </c>
      <c r="B1265" s="5" t="s">
        <v>14592</v>
      </c>
      <c r="C1265" s="4">
        <v>45733</v>
      </c>
      <c r="D1265" s="4">
        <v>45736</v>
      </c>
      <c r="E1265" s="5" t="s">
        <v>16653</v>
      </c>
      <c r="F1265" s="5" t="s">
        <v>18642</v>
      </c>
      <c r="G1265" s="5" t="s">
        <v>821</v>
      </c>
      <c r="H1265" s="5">
        <v>1</v>
      </c>
      <c r="I1265" s="8" t="s">
        <v>8401</v>
      </c>
      <c r="J1265" s="8" t="s">
        <v>10450</v>
      </c>
      <c r="K1265" s="8" t="s">
        <v>2247</v>
      </c>
      <c r="L1265" s="8" t="s">
        <v>12501</v>
      </c>
      <c r="M1265" s="8" t="s">
        <v>4297</v>
      </c>
      <c r="N1265" s="8" t="s">
        <v>6348</v>
      </c>
      <c r="O1265" s="5" t="s">
        <v>43</v>
      </c>
      <c r="P1265" s="4">
        <v>45752</v>
      </c>
      <c r="Q1265" s="15">
        <v>28.99</v>
      </c>
      <c r="R1265" s="15">
        <v>14.8</v>
      </c>
      <c r="S1265" s="15">
        <v>0</v>
      </c>
      <c r="T1265"/>
    </row>
    <row r="1266" spans="1:20">
      <c r="A1266" s="5" t="s">
        <v>36</v>
      </c>
      <c r="B1266" s="5" t="s">
        <v>14593</v>
      </c>
      <c r="C1266" s="4">
        <v>45733</v>
      </c>
      <c r="D1266" s="4" t="s">
        <v>37</v>
      </c>
      <c r="E1266" s="5" t="s">
        <v>37</v>
      </c>
      <c r="F1266" s="5" t="s">
        <v>37</v>
      </c>
      <c r="G1266" s="5" t="s">
        <v>824</v>
      </c>
      <c r="H1266" s="5">
        <v>1</v>
      </c>
      <c r="I1266" s="8" t="s">
        <v>8402</v>
      </c>
      <c r="J1266" s="8" t="s">
        <v>10451</v>
      </c>
      <c r="K1266" s="8" t="s">
        <v>2248</v>
      </c>
      <c r="L1266" s="8" t="s">
        <v>12502</v>
      </c>
      <c r="M1266" s="8" t="s">
        <v>4298</v>
      </c>
      <c r="N1266" s="8" t="s">
        <v>6349</v>
      </c>
      <c r="O1266" s="5" t="s">
        <v>38</v>
      </c>
      <c r="P1266" s="4">
        <v>45758</v>
      </c>
      <c r="Q1266" s="15">
        <v>19.989999999999998</v>
      </c>
      <c r="R1266" s="15">
        <v>0</v>
      </c>
      <c r="S1266" s="15">
        <v>0</v>
      </c>
      <c r="T1266"/>
    </row>
    <row r="1267" spans="1:20">
      <c r="A1267" s="5" t="s">
        <v>36</v>
      </c>
      <c r="B1267" s="5" t="s">
        <v>14594</v>
      </c>
      <c r="C1267" s="4">
        <v>45733</v>
      </c>
      <c r="D1267" s="4" t="s">
        <v>37</v>
      </c>
      <c r="E1267" s="5" t="s">
        <v>37</v>
      </c>
      <c r="F1267" s="5" t="s">
        <v>37</v>
      </c>
      <c r="G1267" s="5" t="s">
        <v>824</v>
      </c>
      <c r="H1267" s="5">
        <v>1</v>
      </c>
      <c r="I1267" s="8" t="s">
        <v>8403</v>
      </c>
      <c r="J1267" s="8" t="s">
        <v>10452</v>
      </c>
      <c r="K1267" s="8" t="s">
        <v>2249</v>
      </c>
      <c r="L1267" s="8" t="s">
        <v>12503</v>
      </c>
      <c r="M1267" s="8" t="s">
        <v>4299</v>
      </c>
      <c r="N1267" s="8" t="s">
        <v>6350</v>
      </c>
      <c r="O1267" s="5" t="s">
        <v>38</v>
      </c>
      <c r="P1267" s="4">
        <v>45752</v>
      </c>
      <c r="Q1267" s="15">
        <v>19.989999999999998</v>
      </c>
      <c r="R1267" s="15">
        <v>0</v>
      </c>
      <c r="S1267" s="15">
        <v>0</v>
      </c>
      <c r="T1267"/>
    </row>
    <row r="1268" spans="1:20">
      <c r="A1268" s="5" t="s">
        <v>36</v>
      </c>
      <c r="B1268" s="5" t="s">
        <v>14595</v>
      </c>
      <c r="C1268" s="4">
        <v>45733</v>
      </c>
      <c r="D1268" s="4">
        <v>45736</v>
      </c>
      <c r="E1268" s="5" t="s">
        <v>16654</v>
      </c>
      <c r="F1268" s="5" t="s">
        <v>18643</v>
      </c>
      <c r="G1268" s="5" t="s">
        <v>821</v>
      </c>
      <c r="H1268" s="5">
        <v>1</v>
      </c>
      <c r="I1268" s="8" t="s">
        <v>8404</v>
      </c>
      <c r="J1268" s="8" t="s">
        <v>10453</v>
      </c>
      <c r="K1268" s="8" t="s">
        <v>2250</v>
      </c>
      <c r="L1268" s="8" t="s">
        <v>12504</v>
      </c>
      <c r="M1268" s="8" t="s">
        <v>4300</v>
      </c>
      <c r="N1268" s="8" t="s">
        <v>6351</v>
      </c>
      <c r="O1268" s="5" t="s">
        <v>43</v>
      </c>
      <c r="P1268" s="4">
        <v>45752</v>
      </c>
      <c r="Q1268" s="15">
        <v>28.99</v>
      </c>
      <c r="R1268" s="15">
        <v>14.8</v>
      </c>
      <c r="S1268" s="15">
        <v>0</v>
      </c>
      <c r="T1268"/>
    </row>
    <row r="1269" spans="1:20">
      <c r="A1269" s="5" t="s">
        <v>36</v>
      </c>
      <c r="B1269" s="5" t="s">
        <v>14596</v>
      </c>
      <c r="C1269" s="4">
        <v>45733</v>
      </c>
      <c r="D1269" s="4" t="s">
        <v>37</v>
      </c>
      <c r="E1269" s="5" t="s">
        <v>37</v>
      </c>
      <c r="F1269" s="5" t="s">
        <v>37</v>
      </c>
      <c r="G1269" s="5" t="s">
        <v>860</v>
      </c>
      <c r="H1269" s="5">
        <v>1</v>
      </c>
      <c r="I1269" s="8" t="s">
        <v>8405</v>
      </c>
      <c r="J1269" s="8" t="s">
        <v>10454</v>
      </c>
      <c r="K1269" s="8" t="s">
        <v>2251</v>
      </c>
      <c r="L1269" s="8" t="s">
        <v>12505</v>
      </c>
      <c r="M1269" s="8" t="s">
        <v>4301</v>
      </c>
      <c r="N1269" s="8" t="s">
        <v>6352</v>
      </c>
      <c r="O1269" s="5" t="s">
        <v>75</v>
      </c>
      <c r="P1269" s="4">
        <v>45758</v>
      </c>
      <c r="Q1269" s="15">
        <v>44.9</v>
      </c>
      <c r="R1269" s="15">
        <v>0</v>
      </c>
      <c r="S1269" s="15">
        <v>0</v>
      </c>
      <c r="T1269"/>
    </row>
    <row r="1270" spans="1:20">
      <c r="A1270" s="5" t="s">
        <v>36</v>
      </c>
      <c r="B1270" s="5" t="s">
        <v>14597</v>
      </c>
      <c r="C1270" s="4">
        <v>45733</v>
      </c>
      <c r="D1270" s="4" t="s">
        <v>37</v>
      </c>
      <c r="E1270" s="5" t="s">
        <v>37</v>
      </c>
      <c r="F1270" s="5" t="s">
        <v>37</v>
      </c>
      <c r="G1270" s="5" t="s">
        <v>860</v>
      </c>
      <c r="H1270" s="5">
        <v>1</v>
      </c>
      <c r="I1270" s="8" t="s">
        <v>8406</v>
      </c>
      <c r="J1270" s="8" t="s">
        <v>10455</v>
      </c>
      <c r="K1270" s="8" t="s">
        <v>2252</v>
      </c>
      <c r="L1270" s="8" t="s">
        <v>12506</v>
      </c>
      <c r="M1270" s="8" t="s">
        <v>4302</v>
      </c>
      <c r="N1270" s="8" t="s">
        <v>6353</v>
      </c>
      <c r="O1270" s="5" t="s">
        <v>75</v>
      </c>
      <c r="P1270" s="4">
        <v>45752</v>
      </c>
      <c r="Q1270" s="15">
        <v>44.9</v>
      </c>
      <c r="R1270" s="15">
        <v>0</v>
      </c>
      <c r="S1270" s="15">
        <v>0</v>
      </c>
      <c r="T1270"/>
    </row>
    <row r="1271" spans="1:20">
      <c r="A1271" s="5" t="s">
        <v>36</v>
      </c>
      <c r="B1271" s="5" t="s">
        <v>14598</v>
      </c>
      <c r="C1271" s="4">
        <v>45733</v>
      </c>
      <c r="D1271" s="4">
        <v>45734</v>
      </c>
      <c r="E1271" s="5" t="s">
        <v>16655</v>
      </c>
      <c r="F1271" s="5" t="s">
        <v>18644</v>
      </c>
      <c r="G1271" s="5" t="s">
        <v>821</v>
      </c>
      <c r="H1271" s="5">
        <v>1</v>
      </c>
      <c r="I1271" s="8" t="s">
        <v>8407</v>
      </c>
      <c r="J1271" s="8" t="s">
        <v>10456</v>
      </c>
      <c r="K1271" s="8" t="s">
        <v>2253</v>
      </c>
      <c r="L1271" s="8" t="s">
        <v>12507</v>
      </c>
      <c r="M1271" s="8" t="s">
        <v>4303</v>
      </c>
      <c r="N1271" s="8" t="s">
        <v>6354</v>
      </c>
      <c r="O1271" s="5" t="s">
        <v>43</v>
      </c>
      <c r="P1271" s="4">
        <v>45758</v>
      </c>
      <c r="Q1271" s="15">
        <v>28.99</v>
      </c>
      <c r="R1271" s="15">
        <v>15.99</v>
      </c>
      <c r="S1271" s="15">
        <v>0</v>
      </c>
      <c r="T1271"/>
    </row>
    <row r="1272" spans="1:20">
      <c r="A1272" s="5" t="s">
        <v>36</v>
      </c>
      <c r="B1272" s="5" t="s">
        <v>14599</v>
      </c>
      <c r="C1272" s="4">
        <v>45733</v>
      </c>
      <c r="D1272" s="4">
        <v>45736</v>
      </c>
      <c r="E1272" s="5" t="s">
        <v>16656</v>
      </c>
      <c r="F1272" s="5" t="s">
        <v>18645</v>
      </c>
      <c r="G1272" s="5" t="s">
        <v>821</v>
      </c>
      <c r="H1272" s="5">
        <v>1</v>
      </c>
      <c r="I1272" s="8" t="s">
        <v>8408</v>
      </c>
      <c r="J1272" s="8" t="s">
        <v>10457</v>
      </c>
      <c r="K1272" s="8" t="s">
        <v>2254</v>
      </c>
      <c r="L1272" s="8" t="s">
        <v>12508</v>
      </c>
      <c r="M1272" s="8" t="s">
        <v>4304</v>
      </c>
      <c r="N1272" s="8" t="s">
        <v>6355</v>
      </c>
      <c r="O1272" s="5" t="s">
        <v>43</v>
      </c>
      <c r="P1272" s="4">
        <v>45750</v>
      </c>
      <c r="Q1272" s="15">
        <v>28.99</v>
      </c>
      <c r="R1272" s="15">
        <v>14.8</v>
      </c>
      <c r="S1272" s="15">
        <v>0</v>
      </c>
      <c r="T1272"/>
    </row>
    <row r="1273" spans="1:20">
      <c r="A1273" s="5" t="s">
        <v>36</v>
      </c>
      <c r="B1273" s="5" t="s">
        <v>14600</v>
      </c>
      <c r="C1273" s="4">
        <v>45733</v>
      </c>
      <c r="D1273" s="4">
        <v>45736</v>
      </c>
      <c r="E1273" s="5" t="s">
        <v>16657</v>
      </c>
      <c r="F1273" s="5" t="s">
        <v>18646</v>
      </c>
      <c r="G1273" s="5" t="s">
        <v>821</v>
      </c>
      <c r="H1273" s="5">
        <v>1</v>
      </c>
      <c r="I1273" s="8" t="s">
        <v>8409</v>
      </c>
      <c r="J1273" s="8" t="s">
        <v>10458</v>
      </c>
      <c r="K1273" s="8" t="s">
        <v>2255</v>
      </c>
      <c r="L1273" s="8" t="s">
        <v>12509</v>
      </c>
      <c r="M1273" s="8" t="s">
        <v>4305</v>
      </c>
      <c r="N1273" s="8" t="s">
        <v>6356</v>
      </c>
      <c r="O1273" s="5" t="s">
        <v>43</v>
      </c>
      <c r="P1273" s="4">
        <v>45752</v>
      </c>
      <c r="Q1273" s="15">
        <v>28.99</v>
      </c>
      <c r="R1273" s="15">
        <v>14.8</v>
      </c>
      <c r="S1273" s="15">
        <v>0</v>
      </c>
      <c r="T1273"/>
    </row>
    <row r="1274" spans="1:20">
      <c r="A1274" s="5" t="s">
        <v>36</v>
      </c>
      <c r="B1274" s="5" t="s">
        <v>14601</v>
      </c>
      <c r="C1274" s="4">
        <v>45733</v>
      </c>
      <c r="D1274" s="4" t="s">
        <v>37</v>
      </c>
      <c r="E1274" s="5" t="s">
        <v>37</v>
      </c>
      <c r="F1274" s="5" t="s">
        <v>37</v>
      </c>
      <c r="G1274" s="5" t="s">
        <v>824</v>
      </c>
      <c r="H1274" s="5">
        <v>1</v>
      </c>
      <c r="I1274" s="8" t="s">
        <v>8410</v>
      </c>
      <c r="J1274" s="8" t="s">
        <v>10459</v>
      </c>
      <c r="K1274" s="8" t="s">
        <v>2256</v>
      </c>
      <c r="L1274" s="8" t="s">
        <v>12510</v>
      </c>
      <c r="M1274" s="8" t="s">
        <v>4306</v>
      </c>
      <c r="N1274" s="8" t="s">
        <v>6357</v>
      </c>
      <c r="O1274" s="5" t="s">
        <v>38</v>
      </c>
      <c r="P1274" s="4">
        <v>45752</v>
      </c>
      <c r="Q1274" s="15">
        <v>19.989999999999998</v>
      </c>
      <c r="R1274" s="15">
        <v>0</v>
      </c>
      <c r="S1274" s="15">
        <v>0</v>
      </c>
      <c r="T1274"/>
    </row>
    <row r="1275" spans="1:20">
      <c r="A1275" s="5" t="s">
        <v>36</v>
      </c>
      <c r="B1275" s="5" t="s">
        <v>14602</v>
      </c>
      <c r="C1275" s="4">
        <v>45733</v>
      </c>
      <c r="D1275" s="4" t="s">
        <v>37</v>
      </c>
      <c r="E1275" s="5" t="s">
        <v>37</v>
      </c>
      <c r="F1275" s="5" t="s">
        <v>37</v>
      </c>
      <c r="G1275" s="5" t="s">
        <v>824</v>
      </c>
      <c r="H1275" s="5">
        <v>1</v>
      </c>
      <c r="I1275" s="8" t="s">
        <v>8411</v>
      </c>
      <c r="J1275" s="8" t="s">
        <v>10460</v>
      </c>
      <c r="K1275" s="8" t="s">
        <v>2257</v>
      </c>
      <c r="L1275" s="8" t="s">
        <v>12511</v>
      </c>
      <c r="M1275" s="8" t="s">
        <v>4307</v>
      </c>
      <c r="N1275" s="8" t="s">
        <v>6358</v>
      </c>
      <c r="O1275" s="5" t="s">
        <v>38</v>
      </c>
      <c r="P1275" s="4">
        <v>45752</v>
      </c>
      <c r="Q1275" s="15">
        <v>19.989999999999998</v>
      </c>
      <c r="R1275" s="15">
        <v>0</v>
      </c>
      <c r="S1275" s="15">
        <v>0</v>
      </c>
      <c r="T1275"/>
    </row>
    <row r="1276" spans="1:20">
      <c r="A1276" s="5" t="s">
        <v>36</v>
      </c>
      <c r="B1276" s="5" t="s">
        <v>14603</v>
      </c>
      <c r="C1276" s="4">
        <v>45733</v>
      </c>
      <c r="D1276" s="4" t="s">
        <v>37</v>
      </c>
      <c r="E1276" s="5" t="s">
        <v>37</v>
      </c>
      <c r="F1276" s="5" t="s">
        <v>37</v>
      </c>
      <c r="G1276" s="5" t="s">
        <v>824</v>
      </c>
      <c r="H1276" s="5">
        <v>1</v>
      </c>
      <c r="I1276" s="8" t="s">
        <v>8412</v>
      </c>
      <c r="J1276" s="8" t="s">
        <v>10461</v>
      </c>
      <c r="K1276" s="8" t="s">
        <v>2258</v>
      </c>
      <c r="L1276" s="8" t="s">
        <v>12512</v>
      </c>
      <c r="M1276" s="8" t="s">
        <v>4308</v>
      </c>
      <c r="N1276" s="8" t="s">
        <v>6359</v>
      </c>
      <c r="O1276" s="5" t="s">
        <v>38</v>
      </c>
      <c r="P1276" s="4">
        <v>45758</v>
      </c>
      <c r="Q1276" s="15">
        <v>19.989999999999998</v>
      </c>
      <c r="R1276" s="15">
        <v>0</v>
      </c>
      <c r="S1276" s="15">
        <v>0</v>
      </c>
      <c r="T1276"/>
    </row>
    <row r="1277" spans="1:20">
      <c r="A1277" s="5" t="s">
        <v>36</v>
      </c>
      <c r="B1277" s="5" t="s">
        <v>14604</v>
      </c>
      <c r="C1277" s="4">
        <v>45733</v>
      </c>
      <c r="D1277" s="4">
        <v>45734</v>
      </c>
      <c r="E1277" s="5" t="s">
        <v>16658</v>
      </c>
      <c r="F1277" s="5" t="s">
        <v>18647</v>
      </c>
      <c r="G1277" s="5" t="s">
        <v>845</v>
      </c>
      <c r="H1277" s="5">
        <v>1</v>
      </c>
      <c r="I1277" s="8" t="s">
        <v>8413</v>
      </c>
      <c r="J1277" s="8" t="s">
        <v>10462</v>
      </c>
      <c r="K1277" s="8" t="s">
        <v>2259</v>
      </c>
      <c r="L1277" s="8" t="s">
        <v>12513</v>
      </c>
      <c r="M1277" s="8" t="s">
        <v>4309</v>
      </c>
      <c r="N1277" s="8" t="s">
        <v>6360</v>
      </c>
      <c r="O1277" s="5" t="s">
        <v>67</v>
      </c>
      <c r="P1277" s="4">
        <v>45758</v>
      </c>
      <c r="Q1277" s="15">
        <v>50.45</v>
      </c>
      <c r="R1277" s="15">
        <v>0</v>
      </c>
      <c r="S1277" s="15">
        <v>0</v>
      </c>
      <c r="T1277"/>
    </row>
    <row r="1278" spans="1:20">
      <c r="A1278" s="5" t="s">
        <v>36</v>
      </c>
      <c r="B1278" s="5" t="s">
        <v>14605</v>
      </c>
      <c r="C1278" s="4">
        <v>45733</v>
      </c>
      <c r="D1278" s="4">
        <v>45734</v>
      </c>
      <c r="E1278" s="5" t="s">
        <v>16659</v>
      </c>
      <c r="F1278" s="5" t="s">
        <v>18648</v>
      </c>
      <c r="G1278" s="5" t="s">
        <v>855</v>
      </c>
      <c r="H1278" s="5">
        <v>1</v>
      </c>
      <c r="I1278" s="8" t="s">
        <v>8414</v>
      </c>
      <c r="J1278" s="8" t="s">
        <v>10463</v>
      </c>
      <c r="K1278" s="8" t="s">
        <v>2260</v>
      </c>
      <c r="L1278" s="8" t="s">
        <v>12514</v>
      </c>
      <c r="M1278" s="8" t="s">
        <v>4310</v>
      </c>
      <c r="N1278" s="8" t="s">
        <v>6361</v>
      </c>
      <c r="O1278" s="5" t="s">
        <v>81</v>
      </c>
      <c r="P1278" s="4">
        <v>45752</v>
      </c>
      <c r="Q1278" s="15">
        <v>26.99</v>
      </c>
      <c r="R1278" s="15">
        <v>10.210000000000001</v>
      </c>
      <c r="S1278" s="15">
        <v>0</v>
      </c>
      <c r="T1278"/>
    </row>
    <row r="1279" spans="1:20">
      <c r="A1279" s="5" t="s">
        <v>36</v>
      </c>
      <c r="B1279" s="5" t="s">
        <v>14606</v>
      </c>
      <c r="C1279" s="4">
        <v>45733</v>
      </c>
      <c r="D1279" s="4">
        <v>45736</v>
      </c>
      <c r="E1279" s="5" t="s">
        <v>16660</v>
      </c>
      <c r="F1279" s="5" t="s">
        <v>18649</v>
      </c>
      <c r="G1279" s="5" t="s">
        <v>821</v>
      </c>
      <c r="H1279" s="5">
        <v>1</v>
      </c>
      <c r="I1279" s="8" t="s">
        <v>8415</v>
      </c>
      <c r="J1279" s="8" t="s">
        <v>10464</v>
      </c>
      <c r="K1279" s="8" t="s">
        <v>2261</v>
      </c>
      <c r="L1279" s="8" t="s">
        <v>12515</v>
      </c>
      <c r="M1279" s="8" t="s">
        <v>4311</v>
      </c>
      <c r="N1279" s="8" t="s">
        <v>6362</v>
      </c>
      <c r="O1279" s="5" t="s">
        <v>43</v>
      </c>
      <c r="P1279" s="4">
        <v>45752</v>
      </c>
      <c r="Q1279" s="15">
        <v>28.99</v>
      </c>
      <c r="R1279" s="15">
        <v>14.8</v>
      </c>
      <c r="S1279" s="15">
        <v>0</v>
      </c>
      <c r="T1279"/>
    </row>
    <row r="1280" spans="1:20">
      <c r="A1280" s="5" t="s">
        <v>113</v>
      </c>
      <c r="B1280" s="5" t="s">
        <v>14607</v>
      </c>
      <c r="C1280" s="4">
        <v>45732</v>
      </c>
      <c r="D1280" s="4">
        <v>45734</v>
      </c>
      <c r="E1280" s="5" t="s">
        <v>16661</v>
      </c>
      <c r="F1280" s="5" t="s">
        <v>18650</v>
      </c>
      <c r="G1280" s="5" t="s">
        <v>902</v>
      </c>
      <c r="H1280" s="5">
        <v>1</v>
      </c>
      <c r="I1280" s="8" t="s">
        <v>8416</v>
      </c>
      <c r="J1280" s="8" t="s">
        <v>10465</v>
      </c>
      <c r="K1280" s="8" t="s">
        <v>2262</v>
      </c>
      <c r="L1280" s="8" t="s">
        <v>12516</v>
      </c>
      <c r="M1280" s="8" t="s">
        <v>4312</v>
      </c>
      <c r="N1280" s="8" t="s">
        <v>6363</v>
      </c>
      <c r="O1280" s="5" t="s">
        <v>129</v>
      </c>
      <c r="P1280" s="4">
        <v>45757</v>
      </c>
      <c r="Q1280" s="15">
        <v>24.8</v>
      </c>
      <c r="R1280" s="15">
        <v>10.210000000000001</v>
      </c>
      <c r="S1280" s="15">
        <v>0</v>
      </c>
      <c r="T1280"/>
    </row>
    <row r="1281" spans="1:20">
      <c r="A1281" s="5" t="s">
        <v>113</v>
      </c>
      <c r="B1281" s="5" t="s">
        <v>14608</v>
      </c>
      <c r="C1281" s="4">
        <v>45732</v>
      </c>
      <c r="D1281" s="4">
        <v>45734</v>
      </c>
      <c r="E1281" s="5" t="s">
        <v>16662</v>
      </c>
      <c r="F1281" s="5" t="s">
        <v>18651</v>
      </c>
      <c r="G1281" s="5" t="s">
        <v>905</v>
      </c>
      <c r="H1281" s="5">
        <v>1</v>
      </c>
      <c r="I1281" s="8" t="s">
        <v>8417</v>
      </c>
      <c r="J1281" s="8" t="s">
        <v>10466</v>
      </c>
      <c r="K1281" s="8" t="s">
        <v>2263</v>
      </c>
      <c r="L1281" s="8" t="s">
        <v>12517</v>
      </c>
      <c r="M1281" s="8" t="s">
        <v>4313</v>
      </c>
      <c r="N1281" s="8" t="s">
        <v>6364</v>
      </c>
      <c r="O1281" s="5" t="s">
        <v>125</v>
      </c>
      <c r="P1281" s="4">
        <v>45757</v>
      </c>
      <c r="Q1281" s="15">
        <v>24.99</v>
      </c>
      <c r="R1281" s="15">
        <v>10.15</v>
      </c>
      <c r="S1281" s="15">
        <v>0</v>
      </c>
      <c r="T1281"/>
    </row>
    <row r="1282" spans="1:20">
      <c r="A1282" s="5" t="s">
        <v>113</v>
      </c>
      <c r="B1282" s="5" t="s">
        <v>14609</v>
      </c>
      <c r="C1282" s="4">
        <v>45732</v>
      </c>
      <c r="D1282" s="4">
        <v>45736</v>
      </c>
      <c r="E1282" s="5" t="s">
        <v>16663</v>
      </c>
      <c r="F1282" s="5" t="s">
        <v>18652</v>
      </c>
      <c r="G1282" s="5" t="s">
        <v>902</v>
      </c>
      <c r="H1282" s="5">
        <v>1</v>
      </c>
      <c r="I1282" s="8" t="s">
        <v>8418</v>
      </c>
      <c r="J1282" s="8" t="s">
        <v>10467</v>
      </c>
      <c r="K1282" s="8" t="s">
        <v>2264</v>
      </c>
      <c r="L1282" s="8" t="s">
        <v>12518</v>
      </c>
      <c r="M1282" s="8" t="s">
        <v>4314</v>
      </c>
      <c r="N1282" s="8" t="s">
        <v>6365</v>
      </c>
      <c r="O1282" s="5" t="s">
        <v>129</v>
      </c>
      <c r="P1282" s="4">
        <v>45757</v>
      </c>
      <c r="Q1282" s="15">
        <v>24.8</v>
      </c>
      <c r="R1282" s="15">
        <v>10.54</v>
      </c>
      <c r="S1282" s="15">
        <v>0</v>
      </c>
      <c r="T1282"/>
    </row>
    <row r="1283" spans="1:20">
      <c r="A1283" s="5" t="s">
        <v>113</v>
      </c>
      <c r="B1283" s="5" t="s">
        <v>14610</v>
      </c>
      <c r="C1283" s="4">
        <v>45732</v>
      </c>
      <c r="D1283" s="4">
        <v>45736</v>
      </c>
      <c r="E1283" s="5" t="s">
        <v>16664</v>
      </c>
      <c r="F1283" s="5" t="s">
        <v>18653</v>
      </c>
      <c r="G1283" s="5" t="s">
        <v>829</v>
      </c>
      <c r="H1283" s="5">
        <v>1</v>
      </c>
      <c r="I1283" s="8" t="s">
        <v>8419</v>
      </c>
      <c r="J1283" s="8" t="s">
        <v>10468</v>
      </c>
      <c r="K1283" s="8" t="s">
        <v>2265</v>
      </c>
      <c r="L1283" s="8" t="s">
        <v>12519</v>
      </c>
      <c r="M1283" s="8" t="s">
        <v>4315</v>
      </c>
      <c r="N1283" s="8" t="s">
        <v>6366</v>
      </c>
      <c r="O1283" s="5" t="s">
        <v>128</v>
      </c>
      <c r="P1283" s="4">
        <v>45751</v>
      </c>
      <c r="Q1283" s="15">
        <v>21</v>
      </c>
      <c r="R1283" s="15">
        <v>16.190000000000001</v>
      </c>
      <c r="S1283" s="15">
        <v>0</v>
      </c>
      <c r="T1283"/>
    </row>
    <row r="1284" spans="1:20">
      <c r="A1284" s="5" t="s">
        <v>113</v>
      </c>
      <c r="B1284" s="5" t="s">
        <v>14611</v>
      </c>
      <c r="C1284" s="4">
        <v>45732</v>
      </c>
      <c r="D1284" s="4">
        <v>45733</v>
      </c>
      <c r="E1284" s="5" t="s">
        <v>16665</v>
      </c>
      <c r="F1284" s="5" t="s">
        <v>18654</v>
      </c>
      <c r="G1284" s="5" t="s">
        <v>902</v>
      </c>
      <c r="H1284" s="5">
        <v>1</v>
      </c>
      <c r="I1284" s="8" t="s">
        <v>8420</v>
      </c>
      <c r="J1284" s="8" t="s">
        <v>10469</v>
      </c>
      <c r="K1284" s="8" t="s">
        <v>2266</v>
      </c>
      <c r="L1284" s="8" t="s">
        <v>12520</v>
      </c>
      <c r="M1284" s="8" t="s">
        <v>4316</v>
      </c>
      <c r="N1284" s="8" t="s">
        <v>6367</v>
      </c>
      <c r="O1284" s="5" t="s">
        <v>129</v>
      </c>
      <c r="P1284" s="4">
        <v>45751</v>
      </c>
      <c r="Q1284" s="15">
        <v>24.8</v>
      </c>
      <c r="R1284" s="15">
        <v>10.16</v>
      </c>
      <c r="S1284" s="15">
        <v>0</v>
      </c>
      <c r="T1284"/>
    </row>
    <row r="1285" spans="1:20">
      <c r="A1285" s="5" t="s">
        <v>113</v>
      </c>
      <c r="B1285" s="5" t="s">
        <v>14612</v>
      </c>
      <c r="C1285" s="4">
        <v>45732</v>
      </c>
      <c r="D1285" s="4" t="s">
        <v>37</v>
      </c>
      <c r="E1285" s="5" t="s">
        <v>37</v>
      </c>
      <c r="F1285" s="5" t="s">
        <v>37</v>
      </c>
      <c r="G1285" s="5" t="s">
        <v>902</v>
      </c>
      <c r="H1285" s="5">
        <v>1</v>
      </c>
      <c r="I1285" s="8" t="s">
        <v>8421</v>
      </c>
      <c r="J1285" s="8" t="s">
        <v>10470</v>
      </c>
      <c r="K1285" s="8" t="s">
        <v>2267</v>
      </c>
      <c r="L1285" s="8" t="s">
        <v>12521</v>
      </c>
      <c r="M1285" s="8" t="s">
        <v>4317</v>
      </c>
      <c r="N1285" s="8" t="s">
        <v>6368</v>
      </c>
      <c r="O1285" s="5" t="s">
        <v>129</v>
      </c>
      <c r="P1285" s="4">
        <v>45751</v>
      </c>
      <c r="Q1285" s="15">
        <v>24.8</v>
      </c>
      <c r="R1285" s="15">
        <v>0</v>
      </c>
      <c r="S1285" s="15">
        <v>0</v>
      </c>
      <c r="T1285"/>
    </row>
    <row r="1286" spans="1:20">
      <c r="A1286" s="5" t="s">
        <v>113</v>
      </c>
      <c r="B1286" s="5" t="s">
        <v>14613</v>
      </c>
      <c r="C1286" s="4">
        <v>45732</v>
      </c>
      <c r="D1286" s="4" t="s">
        <v>37</v>
      </c>
      <c r="E1286" s="5" t="s">
        <v>37</v>
      </c>
      <c r="F1286" s="5" t="s">
        <v>37</v>
      </c>
      <c r="G1286" s="5" t="s">
        <v>902</v>
      </c>
      <c r="H1286" s="5">
        <v>1</v>
      </c>
      <c r="I1286" s="8" t="s">
        <v>8422</v>
      </c>
      <c r="J1286" s="8" t="s">
        <v>10471</v>
      </c>
      <c r="K1286" s="8" t="s">
        <v>2268</v>
      </c>
      <c r="L1286" s="8" t="s">
        <v>12522</v>
      </c>
      <c r="M1286" s="8" t="s">
        <v>4318</v>
      </c>
      <c r="N1286" s="8" t="s">
        <v>6369</v>
      </c>
      <c r="O1286" s="5" t="s">
        <v>129</v>
      </c>
      <c r="P1286" s="4">
        <v>45751</v>
      </c>
      <c r="Q1286" s="15">
        <v>24.8</v>
      </c>
      <c r="R1286" s="15">
        <v>0</v>
      </c>
      <c r="S1286" s="15">
        <v>0</v>
      </c>
      <c r="T1286"/>
    </row>
    <row r="1287" spans="1:20">
      <c r="A1287" s="5" t="s">
        <v>113</v>
      </c>
      <c r="B1287" s="5" t="s">
        <v>14614</v>
      </c>
      <c r="C1287" s="4">
        <v>45732</v>
      </c>
      <c r="D1287" s="4">
        <v>45733</v>
      </c>
      <c r="E1287" s="5" t="s">
        <v>16666</v>
      </c>
      <c r="F1287" s="5" t="s">
        <v>18655</v>
      </c>
      <c r="G1287" s="5" t="s">
        <v>902</v>
      </c>
      <c r="H1287" s="5">
        <v>1</v>
      </c>
      <c r="I1287" s="8" t="s">
        <v>8423</v>
      </c>
      <c r="J1287" s="8" t="s">
        <v>10472</v>
      </c>
      <c r="K1287" s="8" t="s">
        <v>2269</v>
      </c>
      <c r="L1287" s="8" t="s">
        <v>12523</v>
      </c>
      <c r="M1287" s="8" t="s">
        <v>4319</v>
      </c>
      <c r="N1287" s="8" t="s">
        <v>6370</v>
      </c>
      <c r="O1287" s="5" t="s">
        <v>129</v>
      </c>
      <c r="P1287" s="4">
        <v>45757</v>
      </c>
      <c r="Q1287" s="15">
        <v>24.8</v>
      </c>
      <c r="R1287" s="15">
        <v>10.16</v>
      </c>
      <c r="S1287" s="15">
        <v>0</v>
      </c>
      <c r="T1287"/>
    </row>
    <row r="1288" spans="1:20">
      <c r="A1288" s="5" t="s">
        <v>113</v>
      </c>
      <c r="B1288" s="5" t="s">
        <v>14615</v>
      </c>
      <c r="C1288" s="4">
        <v>45732</v>
      </c>
      <c r="D1288" s="4">
        <v>45736</v>
      </c>
      <c r="E1288" s="5" t="s">
        <v>16667</v>
      </c>
      <c r="F1288" s="5" t="s">
        <v>18656</v>
      </c>
      <c r="G1288" s="5" t="s">
        <v>902</v>
      </c>
      <c r="H1288" s="5">
        <v>1</v>
      </c>
      <c r="I1288" s="8" t="s">
        <v>8424</v>
      </c>
      <c r="J1288" s="8" t="s">
        <v>10473</v>
      </c>
      <c r="K1288" s="8" t="s">
        <v>2270</v>
      </c>
      <c r="L1288" s="8" t="s">
        <v>12524</v>
      </c>
      <c r="M1288" s="8" t="s">
        <v>4320</v>
      </c>
      <c r="N1288" s="8" t="s">
        <v>6371</v>
      </c>
      <c r="O1288" s="5" t="s">
        <v>129</v>
      </c>
      <c r="P1288" s="4">
        <v>45749</v>
      </c>
      <c r="Q1288" s="15">
        <v>24.8</v>
      </c>
      <c r="R1288" s="15">
        <v>10.19</v>
      </c>
      <c r="S1288" s="15">
        <v>0</v>
      </c>
      <c r="T1288"/>
    </row>
    <row r="1289" spans="1:20">
      <c r="A1289" s="5" t="s">
        <v>113</v>
      </c>
      <c r="B1289" s="5" t="s">
        <v>14616</v>
      </c>
      <c r="C1289" s="4">
        <v>45733</v>
      </c>
      <c r="D1289" s="4">
        <v>45737</v>
      </c>
      <c r="E1289" s="5" t="s">
        <v>16668</v>
      </c>
      <c r="F1289" s="5" t="s">
        <v>18657</v>
      </c>
      <c r="G1289" s="5" t="s">
        <v>902</v>
      </c>
      <c r="H1289" s="5">
        <v>1</v>
      </c>
      <c r="I1289" s="8" t="s">
        <v>8425</v>
      </c>
      <c r="J1289" s="8" t="s">
        <v>10474</v>
      </c>
      <c r="K1289" s="8" t="s">
        <v>2271</v>
      </c>
      <c r="L1289" s="8" t="s">
        <v>12525</v>
      </c>
      <c r="M1289" s="8" t="s">
        <v>4321</v>
      </c>
      <c r="N1289" s="8" t="s">
        <v>6372</v>
      </c>
      <c r="O1289" s="5" t="s">
        <v>129</v>
      </c>
      <c r="P1289" s="4">
        <v>45757</v>
      </c>
      <c r="Q1289" s="15">
        <v>24.8</v>
      </c>
      <c r="R1289" s="15">
        <v>10.58</v>
      </c>
      <c r="S1289" s="15">
        <v>0</v>
      </c>
      <c r="T1289"/>
    </row>
    <row r="1290" spans="1:20">
      <c r="A1290" s="5" t="s">
        <v>113</v>
      </c>
      <c r="B1290" s="5" t="s">
        <v>14617</v>
      </c>
      <c r="C1290" s="4">
        <v>45733</v>
      </c>
      <c r="D1290" s="4">
        <v>45737</v>
      </c>
      <c r="E1290" s="5" t="s">
        <v>16669</v>
      </c>
      <c r="F1290" s="5" t="s">
        <v>18658</v>
      </c>
      <c r="G1290" s="5" t="s">
        <v>902</v>
      </c>
      <c r="H1290" s="5">
        <v>1</v>
      </c>
      <c r="I1290" s="8" t="s">
        <v>8426</v>
      </c>
      <c r="J1290" s="8" t="s">
        <v>10475</v>
      </c>
      <c r="K1290" s="8" t="s">
        <v>2272</v>
      </c>
      <c r="L1290" s="8" t="s">
        <v>12526</v>
      </c>
      <c r="M1290" s="8" t="s">
        <v>4322</v>
      </c>
      <c r="N1290" s="8" t="s">
        <v>6373</v>
      </c>
      <c r="O1290" s="5" t="s">
        <v>129</v>
      </c>
      <c r="P1290" s="4">
        <v>45751</v>
      </c>
      <c r="Q1290" s="15">
        <v>24.8</v>
      </c>
      <c r="R1290" s="15">
        <v>10.17</v>
      </c>
      <c r="S1290" s="15">
        <v>0</v>
      </c>
      <c r="T1290"/>
    </row>
    <row r="1291" spans="1:20">
      <c r="A1291" s="5" t="s">
        <v>113</v>
      </c>
      <c r="B1291" s="5" t="s">
        <v>14618</v>
      </c>
      <c r="C1291" s="4">
        <v>45733</v>
      </c>
      <c r="D1291" s="4">
        <v>45733</v>
      </c>
      <c r="E1291" s="5" t="s">
        <v>16670</v>
      </c>
      <c r="F1291" s="5" t="s">
        <v>18659</v>
      </c>
      <c r="G1291" s="5" t="s">
        <v>902</v>
      </c>
      <c r="H1291" s="5">
        <v>1</v>
      </c>
      <c r="I1291" s="8" t="s">
        <v>8427</v>
      </c>
      <c r="J1291" s="8" t="s">
        <v>10476</v>
      </c>
      <c r="K1291" s="8" t="s">
        <v>2273</v>
      </c>
      <c r="L1291" s="8" t="s">
        <v>12527</v>
      </c>
      <c r="M1291" s="8" t="s">
        <v>4323</v>
      </c>
      <c r="N1291" s="8" t="s">
        <v>6374</v>
      </c>
      <c r="O1291" s="5" t="s">
        <v>129</v>
      </c>
      <c r="P1291" s="4">
        <v>45751</v>
      </c>
      <c r="Q1291" s="15">
        <v>24.8</v>
      </c>
      <c r="R1291" s="15">
        <v>10.16</v>
      </c>
      <c r="S1291" s="15">
        <v>0</v>
      </c>
      <c r="T1291"/>
    </row>
    <row r="1292" spans="1:20">
      <c r="A1292" s="5" t="s">
        <v>113</v>
      </c>
      <c r="B1292" s="5" t="s">
        <v>14619</v>
      </c>
      <c r="C1292" s="4">
        <v>45733</v>
      </c>
      <c r="D1292" s="4">
        <v>45733</v>
      </c>
      <c r="E1292" s="5" t="s">
        <v>16671</v>
      </c>
      <c r="F1292" s="5" t="s">
        <v>18660</v>
      </c>
      <c r="G1292" s="5" t="s">
        <v>902</v>
      </c>
      <c r="H1292" s="5">
        <v>1</v>
      </c>
      <c r="I1292" s="8" t="s">
        <v>8428</v>
      </c>
      <c r="J1292" s="8" t="s">
        <v>10477</v>
      </c>
      <c r="K1292" s="8" t="s">
        <v>2274</v>
      </c>
      <c r="L1292" s="8" t="s">
        <v>12528</v>
      </c>
      <c r="M1292" s="8" t="s">
        <v>4324</v>
      </c>
      <c r="N1292" s="8" t="s">
        <v>6375</v>
      </c>
      <c r="O1292" s="5" t="s">
        <v>129</v>
      </c>
      <c r="P1292" s="4">
        <v>45751</v>
      </c>
      <c r="Q1292" s="15">
        <v>24.8</v>
      </c>
      <c r="R1292" s="15">
        <v>10.16</v>
      </c>
      <c r="S1292" s="15">
        <v>0</v>
      </c>
      <c r="T1292"/>
    </row>
    <row r="1293" spans="1:20">
      <c r="A1293" s="5" t="s">
        <v>113</v>
      </c>
      <c r="B1293" s="5" t="s">
        <v>14620</v>
      </c>
      <c r="C1293" s="4">
        <v>45733</v>
      </c>
      <c r="D1293" s="4">
        <v>45737</v>
      </c>
      <c r="E1293" s="5" t="s">
        <v>16672</v>
      </c>
      <c r="F1293" s="5" t="s">
        <v>18661</v>
      </c>
      <c r="G1293" s="5" t="s">
        <v>902</v>
      </c>
      <c r="H1293" s="5">
        <v>1</v>
      </c>
      <c r="I1293" s="8" t="s">
        <v>8429</v>
      </c>
      <c r="J1293" s="8" t="s">
        <v>10478</v>
      </c>
      <c r="K1293" s="8" t="s">
        <v>2275</v>
      </c>
      <c r="L1293" s="8" t="s">
        <v>12529</v>
      </c>
      <c r="M1293" s="8" t="s">
        <v>4325</v>
      </c>
      <c r="N1293" s="8" t="s">
        <v>6376</v>
      </c>
      <c r="O1293" s="5" t="s">
        <v>129</v>
      </c>
      <c r="P1293" s="4">
        <v>45757</v>
      </c>
      <c r="Q1293" s="15">
        <v>24.8</v>
      </c>
      <c r="R1293" s="15">
        <v>10.17</v>
      </c>
      <c r="S1293" s="15">
        <v>0</v>
      </c>
      <c r="T1293"/>
    </row>
    <row r="1294" spans="1:20">
      <c r="A1294" s="5" t="s">
        <v>113</v>
      </c>
      <c r="B1294" s="5" t="s">
        <v>14621</v>
      </c>
      <c r="C1294" s="4">
        <v>45733</v>
      </c>
      <c r="D1294" s="4">
        <v>45737</v>
      </c>
      <c r="E1294" s="5" t="s">
        <v>16673</v>
      </c>
      <c r="F1294" s="5" t="s">
        <v>18662</v>
      </c>
      <c r="G1294" s="5" t="s">
        <v>902</v>
      </c>
      <c r="H1294" s="5">
        <v>1</v>
      </c>
      <c r="I1294" s="8" t="s">
        <v>8430</v>
      </c>
      <c r="J1294" s="8" t="s">
        <v>10479</v>
      </c>
      <c r="K1294" s="8" t="s">
        <v>2276</v>
      </c>
      <c r="L1294" s="8" t="s">
        <v>12530</v>
      </c>
      <c r="M1294" s="8" t="s">
        <v>4326</v>
      </c>
      <c r="N1294" s="8" t="s">
        <v>6377</v>
      </c>
      <c r="O1294" s="5" t="s">
        <v>129</v>
      </c>
      <c r="P1294" s="4">
        <v>45751</v>
      </c>
      <c r="Q1294" s="15">
        <v>24.8</v>
      </c>
      <c r="R1294" s="15">
        <v>10.17</v>
      </c>
      <c r="S1294" s="15">
        <v>0</v>
      </c>
      <c r="T1294"/>
    </row>
    <row r="1295" spans="1:20">
      <c r="A1295" s="5" t="s">
        <v>113</v>
      </c>
      <c r="B1295" s="5" t="s">
        <v>14622</v>
      </c>
      <c r="C1295" s="4">
        <v>45733</v>
      </c>
      <c r="D1295" s="4">
        <v>45737</v>
      </c>
      <c r="E1295" s="5" t="s">
        <v>16674</v>
      </c>
      <c r="F1295" s="5" t="s">
        <v>18663</v>
      </c>
      <c r="G1295" s="5" t="s">
        <v>902</v>
      </c>
      <c r="H1295" s="5">
        <v>1</v>
      </c>
      <c r="I1295" s="8" t="s">
        <v>8431</v>
      </c>
      <c r="J1295" s="8" t="s">
        <v>10480</v>
      </c>
      <c r="K1295" s="8" t="s">
        <v>2277</v>
      </c>
      <c r="L1295" s="8" t="s">
        <v>12531</v>
      </c>
      <c r="M1295" s="8" t="s">
        <v>4327</v>
      </c>
      <c r="N1295" s="8" t="s">
        <v>6378</v>
      </c>
      <c r="O1295" s="5" t="s">
        <v>129</v>
      </c>
      <c r="P1295" s="4">
        <v>45749</v>
      </c>
      <c r="Q1295" s="15">
        <v>24.8</v>
      </c>
      <c r="R1295" s="15">
        <v>10.17</v>
      </c>
      <c r="S1295" s="15">
        <v>0</v>
      </c>
      <c r="T1295"/>
    </row>
    <row r="1296" spans="1:20">
      <c r="A1296" s="5" t="s">
        <v>113</v>
      </c>
      <c r="B1296" s="5" t="s">
        <v>14623</v>
      </c>
      <c r="C1296" s="4">
        <v>45733</v>
      </c>
      <c r="D1296" s="4">
        <v>45733</v>
      </c>
      <c r="E1296" s="5" t="s">
        <v>16675</v>
      </c>
      <c r="F1296" s="5" t="s">
        <v>18664</v>
      </c>
      <c r="G1296" s="5" t="s">
        <v>902</v>
      </c>
      <c r="H1296" s="5">
        <v>1</v>
      </c>
      <c r="I1296" s="8" t="s">
        <v>8432</v>
      </c>
      <c r="J1296" s="8" t="s">
        <v>10481</v>
      </c>
      <c r="K1296" s="8" t="s">
        <v>2278</v>
      </c>
      <c r="L1296" s="8" t="s">
        <v>12532</v>
      </c>
      <c r="M1296" s="8" t="s">
        <v>4328</v>
      </c>
      <c r="N1296" s="8" t="s">
        <v>6379</v>
      </c>
      <c r="O1296" s="5" t="s">
        <v>129</v>
      </c>
      <c r="P1296" s="4">
        <v>45757</v>
      </c>
      <c r="Q1296" s="15">
        <v>24.8</v>
      </c>
      <c r="R1296" s="15">
        <v>10.16</v>
      </c>
      <c r="S1296" s="15">
        <v>0</v>
      </c>
      <c r="T1296"/>
    </row>
    <row r="1297" spans="1:20">
      <c r="A1297" s="5" t="s">
        <v>113</v>
      </c>
      <c r="B1297" s="5" t="s">
        <v>14624</v>
      </c>
      <c r="C1297" s="4">
        <v>45733</v>
      </c>
      <c r="D1297" s="4">
        <v>45737</v>
      </c>
      <c r="E1297" s="5" t="s">
        <v>16676</v>
      </c>
      <c r="F1297" s="5" t="s">
        <v>18665</v>
      </c>
      <c r="G1297" s="5" t="s">
        <v>902</v>
      </c>
      <c r="H1297" s="5">
        <v>1</v>
      </c>
      <c r="I1297" s="8" t="s">
        <v>8433</v>
      </c>
      <c r="J1297" s="8" t="s">
        <v>10482</v>
      </c>
      <c r="K1297" s="8" t="s">
        <v>2279</v>
      </c>
      <c r="L1297" s="8" t="s">
        <v>12533</v>
      </c>
      <c r="M1297" s="8" t="s">
        <v>4329</v>
      </c>
      <c r="N1297" s="8" t="s">
        <v>6380</v>
      </c>
      <c r="O1297" s="5" t="s">
        <v>129</v>
      </c>
      <c r="P1297" s="4">
        <v>45757</v>
      </c>
      <c r="Q1297" s="15">
        <v>24.8</v>
      </c>
      <c r="R1297" s="15">
        <v>10.17</v>
      </c>
      <c r="S1297" s="15">
        <v>0</v>
      </c>
      <c r="T1297"/>
    </row>
    <row r="1298" spans="1:20">
      <c r="A1298" s="5" t="s">
        <v>113</v>
      </c>
      <c r="B1298" s="5" t="s">
        <v>14625</v>
      </c>
      <c r="C1298" s="4">
        <v>45733</v>
      </c>
      <c r="D1298" s="4">
        <v>45737</v>
      </c>
      <c r="E1298" s="5" t="s">
        <v>16677</v>
      </c>
      <c r="F1298" s="5" t="s">
        <v>18666</v>
      </c>
      <c r="G1298" s="5" t="s">
        <v>902</v>
      </c>
      <c r="H1298" s="5">
        <v>1</v>
      </c>
      <c r="I1298" s="8" t="s">
        <v>8434</v>
      </c>
      <c r="J1298" s="8" t="s">
        <v>10483</v>
      </c>
      <c r="K1298" s="8" t="s">
        <v>2280</v>
      </c>
      <c r="L1298" s="8" t="s">
        <v>12534</v>
      </c>
      <c r="M1298" s="8" t="s">
        <v>4330</v>
      </c>
      <c r="N1298" s="8" t="s">
        <v>6381</v>
      </c>
      <c r="O1298" s="5" t="s">
        <v>129</v>
      </c>
      <c r="P1298" s="4">
        <v>45758</v>
      </c>
      <c r="Q1298" s="15">
        <v>24.8</v>
      </c>
      <c r="R1298" s="15">
        <v>10.17</v>
      </c>
      <c r="S1298" s="15">
        <v>0</v>
      </c>
      <c r="T1298"/>
    </row>
    <row r="1299" spans="1:20">
      <c r="A1299" s="5" t="s">
        <v>113</v>
      </c>
      <c r="B1299" s="5" t="s">
        <v>14626</v>
      </c>
      <c r="C1299" s="4">
        <v>45733</v>
      </c>
      <c r="D1299" s="4">
        <v>45737</v>
      </c>
      <c r="E1299" s="5" t="s">
        <v>16678</v>
      </c>
      <c r="F1299" s="5" t="s">
        <v>18667</v>
      </c>
      <c r="G1299" s="5" t="s">
        <v>902</v>
      </c>
      <c r="H1299" s="5">
        <v>1</v>
      </c>
      <c r="I1299" s="8" t="s">
        <v>8435</v>
      </c>
      <c r="J1299" s="8" t="s">
        <v>10484</v>
      </c>
      <c r="K1299" s="8" t="s">
        <v>2281</v>
      </c>
      <c r="L1299" s="8" t="s">
        <v>12535</v>
      </c>
      <c r="M1299" s="8" t="s">
        <v>4331</v>
      </c>
      <c r="N1299" s="8" t="s">
        <v>6382</v>
      </c>
      <c r="O1299" s="5" t="s">
        <v>129</v>
      </c>
      <c r="P1299" s="4">
        <v>45758</v>
      </c>
      <c r="Q1299" s="15">
        <v>24.8</v>
      </c>
      <c r="R1299" s="15">
        <v>10.58</v>
      </c>
      <c r="S1299" s="15">
        <v>0</v>
      </c>
      <c r="T1299"/>
    </row>
    <row r="1300" spans="1:20">
      <c r="A1300" s="5" t="s">
        <v>113</v>
      </c>
      <c r="B1300" s="5" t="s">
        <v>14627</v>
      </c>
      <c r="C1300" s="4">
        <v>45733</v>
      </c>
      <c r="D1300" s="4">
        <v>45737</v>
      </c>
      <c r="E1300" s="5" t="s">
        <v>16679</v>
      </c>
      <c r="F1300" s="5" t="s">
        <v>18668</v>
      </c>
      <c r="G1300" s="5" t="s">
        <v>829</v>
      </c>
      <c r="H1300" s="5">
        <v>1</v>
      </c>
      <c r="I1300" s="8" t="s">
        <v>8436</v>
      </c>
      <c r="J1300" s="8" t="s">
        <v>10485</v>
      </c>
      <c r="K1300" s="8" t="s">
        <v>2282</v>
      </c>
      <c r="L1300" s="8" t="s">
        <v>12536</v>
      </c>
      <c r="M1300" s="8" t="s">
        <v>4332</v>
      </c>
      <c r="N1300" s="8" t="s">
        <v>6383</v>
      </c>
      <c r="O1300" s="5" t="s">
        <v>128</v>
      </c>
      <c r="P1300" s="4">
        <v>45758</v>
      </c>
      <c r="Q1300" s="15">
        <v>21</v>
      </c>
      <c r="R1300" s="15">
        <v>15.36</v>
      </c>
      <c r="S1300" s="15">
        <v>0</v>
      </c>
      <c r="T1300"/>
    </row>
    <row r="1301" spans="1:20">
      <c r="A1301" s="5" t="s">
        <v>113</v>
      </c>
      <c r="B1301" s="5" t="s">
        <v>14628</v>
      </c>
      <c r="C1301" s="4">
        <v>45733</v>
      </c>
      <c r="D1301" s="4">
        <v>45737</v>
      </c>
      <c r="E1301" s="5" t="s">
        <v>16680</v>
      </c>
      <c r="F1301" s="5" t="s">
        <v>18669</v>
      </c>
      <c r="G1301" s="5" t="s">
        <v>829</v>
      </c>
      <c r="H1301" s="5">
        <v>1</v>
      </c>
      <c r="I1301" s="8" t="s">
        <v>8437</v>
      </c>
      <c r="J1301" s="8" t="s">
        <v>10486</v>
      </c>
      <c r="K1301" s="8" t="s">
        <v>2283</v>
      </c>
      <c r="L1301" s="8" t="s">
        <v>12537</v>
      </c>
      <c r="M1301" s="8" t="s">
        <v>4333</v>
      </c>
      <c r="N1301" s="8" t="s">
        <v>6384</v>
      </c>
      <c r="O1301" s="5" t="s">
        <v>128</v>
      </c>
      <c r="P1301" s="4">
        <v>45752</v>
      </c>
      <c r="Q1301" s="15">
        <v>21</v>
      </c>
      <c r="R1301" s="15">
        <v>15.33</v>
      </c>
      <c r="S1301" s="15">
        <v>0</v>
      </c>
      <c r="T1301"/>
    </row>
    <row r="1302" spans="1:20">
      <c r="A1302" s="5" t="s">
        <v>113</v>
      </c>
      <c r="B1302" s="5" t="s">
        <v>14629</v>
      </c>
      <c r="C1302" s="4">
        <v>45733</v>
      </c>
      <c r="D1302" s="4">
        <v>45737</v>
      </c>
      <c r="E1302" s="5" t="s">
        <v>16681</v>
      </c>
      <c r="F1302" s="5" t="s">
        <v>18670</v>
      </c>
      <c r="G1302" s="5" t="s">
        <v>905</v>
      </c>
      <c r="H1302" s="5">
        <v>1</v>
      </c>
      <c r="I1302" s="8" t="s">
        <v>8438</v>
      </c>
      <c r="J1302" s="8" t="s">
        <v>10487</v>
      </c>
      <c r="K1302" s="8" t="s">
        <v>2284</v>
      </c>
      <c r="L1302" s="8" t="s">
        <v>12538</v>
      </c>
      <c r="M1302" s="8" t="s">
        <v>4334</v>
      </c>
      <c r="N1302" s="8" t="s">
        <v>6385</v>
      </c>
      <c r="O1302" s="5" t="s">
        <v>125</v>
      </c>
      <c r="P1302" s="4">
        <v>45752</v>
      </c>
      <c r="Q1302" s="15">
        <v>24.99</v>
      </c>
      <c r="R1302" s="15">
        <v>0</v>
      </c>
      <c r="S1302" s="15">
        <v>0</v>
      </c>
      <c r="T1302"/>
    </row>
    <row r="1303" spans="1:20">
      <c r="A1303" s="5" t="s">
        <v>113</v>
      </c>
      <c r="B1303" s="5" t="s">
        <v>14630</v>
      </c>
      <c r="C1303" s="4">
        <v>45733</v>
      </c>
      <c r="D1303" s="4">
        <v>45737</v>
      </c>
      <c r="E1303" s="5" t="s">
        <v>16682</v>
      </c>
      <c r="F1303" s="5" t="s">
        <v>18671</v>
      </c>
      <c r="G1303" s="5" t="s">
        <v>829</v>
      </c>
      <c r="H1303" s="5">
        <v>1</v>
      </c>
      <c r="I1303" s="8" t="s">
        <v>8439</v>
      </c>
      <c r="J1303" s="8" t="s">
        <v>10488</v>
      </c>
      <c r="K1303" s="8" t="s">
        <v>2285</v>
      </c>
      <c r="L1303" s="8" t="s">
        <v>12539</v>
      </c>
      <c r="M1303" s="8" t="s">
        <v>4335</v>
      </c>
      <c r="N1303" s="8" t="s">
        <v>6386</v>
      </c>
      <c r="O1303" s="5" t="s">
        <v>128</v>
      </c>
      <c r="P1303" s="4">
        <v>45752</v>
      </c>
      <c r="Q1303" s="15">
        <v>21</v>
      </c>
      <c r="R1303" s="15">
        <v>15.92</v>
      </c>
      <c r="S1303" s="15">
        <v>0</v>
      </c>
      <c r="T1303"/>
    </row>
    <row r="1304" spans="1:20">
      <c r="A1304" s="5" t="s">
        <v>113</v>
      </c>
      <c r="B1304" s="5" t="s">
        <v>14631</v>
      </c>
      <c r="C1304" s="4">
        <v>45733</v>
      </c>
      <c r="D1304" s="4">
        <v>45737</v>
      </c>
      <c r="E1304" s="5" t="s">
        <v>16683</v>
      </c>
      <c r="F1304" s="5" t="s">
        <v>18672</v>
      </c>
      <c r="G1304" s="5" t="s">
        <v>829</v>
      </c>
      <c r="H1304" s="5">
        <v>1</v>
      </c>
      <c r="I1304" s="8" t="s">
        <v>8440</v>
      </c>
      <c r="J1304" s="8" t="s">
        <v>10489</v>
      </c>
      <c r="K1304" s="8" t="s">
        <v>2286</v>
      </c>
      <c r="L1304" s="8" t="s">
        <v>12540</v>
      </c>
      <c r="M1304" s="8" t="s">
        <v>4336</v>
      </c>
      <c r="N1304" s="8" t="s">
        <v>6387</v>
      </c>
      <c r="O1304" s="5" t="s">
        <v>128</v>
      </c>
      <c r="P1304" s="4">
        <v>45758</v>
      </c>
      <c r="Q1304" s="15">
        <v>21</v>
      </c>
      <c r="R1304" s="15">
        <v>15.92</v>
      </c>
      <c r="S1304" s="15">
        <v>0</v>
      </c>
      <c r="T1304"/>
    </row>
    <row r="1305" spans="1:20">
      <c r="A1305" s="5" t="s">
        <v>113</v>
      </c>
      <c r="B1305" s="5" t="s">
        <v>14632</v>
      </c>
      <c r="C1305" s="4">
        <v>45733</v>
      </c>
      <c r="D1305" s="4">
        <v>45737</v>
      </c>
      <c r="E1305" s="5" t="s">
        <v>16684</v>
      </c>
      <c r="F1305" s="5" t="s">
        <v>18673</v>
      </c>
      <c r="G1305" s="5" t="s">
        <v>829</v>
      </c>
      <c r="H1305" s="5">
        <v>1</v>
      </c>
      <c r="I1305" s="8" t="s">
        <v>8441</v>
      </c>
      <c r="J1305" s="8" t="s">
        <v>10490</v>
      </c>
      <c r="K1305" s="8" t="s">
        <v>2287</v>
      </c>
      <c r="L1305" s="8" t="s">
        <v>12541</v>
      </c>
      <c r="M1305" s="8" t="s">
        <v>4337</v>
      </c>
      <c r="N1305" s="8" t="s">
        <v>6388</v>
      </c>
      <c r="O1305" s="5" t="s">
        <v>128</v>
      </c>
      <c r="P1305" s="4">
        <v>45752</v>
      </c>
      <c r="Q1305" s="15">
        <v>21</v>
      </c>
      <c r="R1305" s="15">
        <v>15.33</v>
      </c>
      <c r="S1305" s="15">
        <v>0</v>
      </c>
      <c r="T1305"/>
    </row>
    <row r="1306" spans="1:20">
      <c r="A1306" s="5" t="s">
        <v>113</v>
      </c>
      <c r="B1306" s="5" t="s">
        <v>14633</v>
      </c>
      <c r="C1306" s="4">
        <v>45733</v>
      </c>
      <c r="D1306" s="4">
        <v>45737</v>
      </c>
      <c r="E1306" s="5" t="s">
        <v>16685</v>
      </c>
      <c r="F1306" s="5" t="s">
        <v>18674</v>
      </c>
      <c r="G1306" s="5" t="s">
        <v>894</v>
      </c>
      <c r="H1306" s="5">
        <v>1</v>
      </c>
      <c r="I1306" s="8" t="s">
        <v>8442</v>
      </c>
      <c r="J1306" s="8" t="s">
        <v>10491</v>
      </c>
      <c r="K1306" s="8" t="s">
        <v>2288</v>
      </c>
      <c r="L1306" s="8" t="s">
        <v>12542</v>
      </c>
      <c r="M1306" s="8" t="s">
        <v>4338</v>
      </c>
      <c r="N1306" s="8" t="s">
        <v>6389</v>
      </c>
      <c r="O1306" s="5" t="s">
        <v>127</v>
      </c>
      <c r="P1306" s="4">
        <v>45752</v>
      </c>
      <c r="Q1306" s="15">
        <v>44.95</v>
      </c>
      <c r="R1306" s="15">
        <v>11.21</v>
      </c>
      <c r="S1306" s="15">
        <v>0</v>
      </c>
      <c r="T1306"/>
    </row>
    <row r="1307" spans="1:20">
      <c r="A1307" s="5" t="s">
        <v>113</v>
      </c>
      <c r="B1307" s="5" t="s">
        <v>14634</v>
      </c>
      <c r="C1307" s="4">
        <v>45733</v>
      </c>
      <c r="D1307" s="4">
        <v>45737</v>
      </c>
      <c r="E1307" s="5" t="s">
        <v>16686</v>
      </c>
      <c r="F1307" s="5" t="s">
        <v>18675</v>
      </c>
      <c r="G1307" s="5" t="s">
        <v>829</v>
      </c>
      <c r="H1307" s="5">
        <v>1</v>
      </c>
      <c r="I1307" s="8" t="s">
        <v>8443</v>
      </c>
      <c r="J1307" s="8" t="s">
        <v>10492</v>
      </c>
      <c r="K1307" s="8" t="s">
        <v>2289</v>
      </c>
      <c r="L1307" s="8" t="s">
        <v>12543</v>
      </c>
      <c r="M1307" s="8" t="s">
        <v>4339</v>
      </c>
      <c r="N1307" s="8" t="s">
        <v>6390</v>
      </c>
      <c r="O1307" s="5" t="s">
        <v>128</v>
      </c>
      <c r="P1307" s="4">
        <v>45758</v>
      </c>
      <c r="Q1307" s="15">
        <v>21</v>
      </c>
      <c r="R1307" s="15">
        <v>15.92</v>
      </c>
      <c r="S1307" s="15">
        <v>0</v>
      </c>
      <c r="T1307"/>
    </row>
    <row r="1308" spans="1:20">
      <c r="A1308" s="5" t="s">
        <v>113</v>
      </c>
      <c r="B1308" s="5" t="s">
        <v>14635</v>
      </c>
      <c r="C1308" s="4">
        <v>45733</v>
      </c>
      <c r="D1308" s="4">
        <v>45737</v>
      </c>
      <c r="E1308" s="5" t="s">
        <v>16687</v>
      </c>
      <c r="F1308" s="5" t="s">
        <v>18676</v>
      </c>
      <c r="G1308" s="5" t="s">
        <v>829</v>
      </c>
      <c r="H1308" s="5">
        <v>1</v>
      </c>
      <c r="I1308" s="8" t="s">
        <v>8444</v>
      </c>
      <c r="J1308" s="8" t="s">
        <v>10493</v>
      </c>
      <c r="K1308" s="8" t="s">
        <v>2290</v>
      </c>
      <c r="L1308" s="8" t="s">
        <v>12544</v>
      </c>
      <c r="M1308" s="8" t="s">
        <v>4340</v>
      </c>
      <c r="N1308" s="8" t="s">
        <v>6391</v>
      </c>
      <c r="O1308" s="5" t="s">
        <v>128</v>
      </c>
      <c r="P1308" s="4">
        <v>45752</v>
      </c>
      <c r="Q1308" s="15">
        <v>21</v>
      </c>
      <c r="R1308" s="15">
        <v>15.33</v>
      </c>
      <c r="S1308" s="15">
        <v>0</v>
      </c>
      <c r="T1308"/>
    </row>
    <row r="1309" spans="1:20">
      <c r="A1309" s="5" t="s">
        <v>113</v>
      </c>
      <c r="B1309" s="5" t="s">
        <v>14636</v>
      </c>
      <c r="C1309" s="4">
        <v>45733</v>
      </c>
      <c r="D1309" s="4">
        <v>45737</v>
      </c>
      <c r="E1309" s="5" t="s">
        <v>16688</v>
      </c>
      <c r="F1309" s="5" t="s">
        <v>18677</v>
      </c>
      <c r="G1309" s="5" t="s">
        <v>905</v>
      </c>
      <c r="H1309" s="5">
        <v>1</v>
      </c>
      <c r="I1309" s="8" t="s">
        <v>8445</v>
      </c>
      <c r="J1309" s="8" t="s">
        <v>10494</v>
      </c>
      <c r="K1309" s="8" t="s">
        <v>2291</v>
      </c>
      <c r="L1309" s="8" t="s">
        <v>12545</v>
      </c>
      <c r="M1309" s="8" t="s">
        <v>4341</v>
      </c>
      <c r="N1309" s="8" t="s">
        <v>6392</v>
      </c>
      <c r="O1309" s="5" t="s">
        <v>125</v>
      </c>
      <c r="P1309" s="4">
        <v>45758</v>
      </c>
      <c r="Q1309" s="15">
        <v>24.99</v>
      </c>
      <c r="R1309" s="15">
        <v>10.58</v>
      </c>
      <c r="S1309" s="15">
        <v>0</v>
      </c>
      <c r="T1309"/>
    </row>
    <row r="1310" spans="1:20">
      <c r="A1310" s="5" t="s">
        <v>113</v>
      </c>
      <c r="B1310" s="5" t="s">
        <v>14637</v>
      </c>
      <c r="C1310" s="4">
        <v>45733</v>
      </c>
      <c r="D1310" s="4">
        <v>45737</v>
      </c>
      <c r="E1310" s="5" t="s">
        <v>16689</v>
      </c>
      <c r="F1310" s="5" t="s">
        <v>18678</v>
      </c>
      <c r="G1310" s="5" t="s">
        <v>829</v>
      </c>
      <c r="H1310" s="5">
        <v>1</v>
      </c>
      <c r="I1310" s="8" t="s">
        <v>8446</v>
      </c>
      <c r="J1310" s="8" t="s">
        <v>10495</v>
      </c>
      <c r="K1310" s="8" t="s">
        <v>2292</v>
      </c>
      <c r="L1310" s="8" t="s">
        <v>12546</v>
      </c>
      <c r="M1310" s="8" t="s">
        <v>4342</v>
      </c>
      <c r="N1310" s="8" t="s">
        <v>6393</v>
      </c>
      <c r="O1310" s="5" t="s">
        <v>128</v>
      </c>
      <c r="P1310" s="4">
        <v>45758</v>
      </c>
      <c r="Q1310" s="15">
        <v>21</v>
      </c>
      <c r="R1310" s="15">
        <v>15.33</v>
      </c>
      <c r="S1310" s="15">
        <v>0</v>
      </c>
      <c r="T1310"/>
    </row>
    <row r="1311" spans="1:20">
      <c r="A1311" s="5" t="s">
        <v>113</v>
      </c>
      <c r="B1311" s="5" t="s">
        <v>14638</v>
      </c>
      <c r="C1311" s="4">
        <v>45733</v>
      </c>
      <c r="D1311" s="4">
        <v>45737</v>
      </c>
      <c r="E1311" s="5" t="s">
        <v>16690</v>
      </c>
      <c r="F1311" s="5" t="s">
        <v>18679</v>
      </c>
      <c r="G1311" s="5" t="s">
        <v>817</v>
      </c>
      <c r="H1311" s="5">
        <v>1</v>
      </c>
      <c r="I1311" s="8" t="s">
        <v>8447</v>
      </c>
      <c r="J1311" s="8" t="s">
        <v>10496</v>
      </c>
      <c r="K1311" s="8" t="s">
        <v>2293</v>
      </c>
      <c r="L1311" s="8" t="s">
        <v>12547</v>
      </c>
      <c r="M1311" s="8" t="s">
        <v>4343</v>
      </c>
      <c r="N1311" s="8" t="s">
        <v>6394</v>
      </c>
      <c r="O1311" s="5" t="s">
        <v>115</v>
      </c>
      <c r="P1311" s="4">
        <v>45752</v>
      </c>
      <c r="Q1311" s="15">
        <v>30.95</v>
      </c>
      <c r="R1311" s="15">
        <v>15.7</v>
      </c>
      <c r="S1311" s="15">
        <v>0</v>
      </c>
      <c r="T1311"/>
    </row>
    <row r="1312" spans="1:20">
      <c r="A1312" s="5" t="s">
        <v>113</v>
      </c>
      <c r="B1312" s="5" t="s">
        <v>14639</v>
      </c>
      <c r="C1312" s="4">
        <v>45733</v>
      </c>
      <c r="D1312" s="4">
        <v>45737</v>
      </c>
      <c r="E1312" s="5" t="s">
        <v>16691</v>
      </c>
      <c r="F1312" s="5" t="s">
        <v>18680</v>
      </c>
      <c r="G1312" s="5" t="s">
        <v>829</v>
      </c>
      <c r="H1312" s="5">
        <v>1</v>
      </c>
      <c r="I1312" s="8" t="s">
        <v>8448</v>
      </c>
      <c r="J1312" s="8" t="s">
        <v>10497</v>
      </c>
      <c r="K1312" s="8" t="s">
        <v>2294</v>
      </c>
      <c r="L1312" s="8" t="s">
        <v>12548</v>
      </c>
      <c r="M1312" s="8" t="s">
        <v>4344</v>
      </c>
      <c r="N1312" s="8" t="s">
        <v>6395</v>
      </c>
      <c r="O1312" s="5" t="s">
        <v>128</v>
      </c>
      <c r="P1312" s="4">
        <v>45758</v>
      </c>
      <c r="Q1312" s="15">
        <v>21</v>
      </c>
      <c r="R1312" s="15">
        <v>15.92</v>
      </c>
      <c r="S1312" s="15">
        <v>0</v>
      </c>
      <c r="T1312"/>
    </row>
    <row r="1313" spans="1:20">
      <c r="A1313" s="5" t="s">
        <v>113</v>
      </c>
      <c r="B1313" s="5" t="s">
        <v>14640</v>
      </c>
      <c r="C1313" s="4">
        <v>45733</v>
      </c>
      <c r="D1313" s="4">
        <v>45737</v>
      </c>
      <c r="E1313" s="5" t="s">
        <v>16692</v>
      </c>
      <c r="F1313" s="5" t="s">
        <v>18681</v>
      </c>
      <c r="G1313" s="5" t="s">
        <v>829</v>
      </c>
      <c r="H1313" s="5">
        <v>1</v>
      </c>
      <c r="I1313" s="8" t="s">
        <v>8449</v>
      </c>
      <c r="J1313" s="8" t="s">
        <v>10498</v>
      </c>
      <c r="K1313" s="8" t="s">
        <v>2295</v>
      </c>
      <c r="L1313" s="8" t="s">
        <v>12549</v>
      </c>
      <c r="M1313" s="8" t="s">
        <v>4345</v>
      </c>
      <c r="N1313" s="8" t="s">
        <v>6396</v>
      </c>
      <c r="O1313" s="5" t="s">
        <v>128</v>
      </c>
      <c r="P1313" s="4">
        <v>45758</v>
      </c>
      <c r="Q1313" s="15">
        <v>21</v>
      </c>
      <c r="R1313" s="15">
        <v>15.35</v>
      </c>
      <c r="S1313" s="15">
        <v>0</v>
      </c>
      <c r="T1313"/>
    </row>
    <row r="1314" spans="1:20">
      <c r="A1314" s="5" t="s">
        <v>36</v>
      </c>
      <c r="B1314" s="5" t="s">
        <v>14641</v>
      </c>
      <c r="C1314" s="4">
        <v>45734</v>
      </c>
      <c r="D1314" s="4">
        <v>45736</v>
      </c>
      <c r="E1314" s="5" t="s">
        <v>16693</v>
      </c>
      <c r="F1314" s="5" t="s">
        <v>18682</v>
      </c>
      <c r="G1314" s="5" t="s">
        <v>821</v>
      </c>
      <c r="H1314" s="5">
        <v>1</v>
      </c>
      <c r="I1314" s="8" t="s">
        <v>8450</v>
      </c>
      <c r="J1314" s="8" t="s">
        <v>10499</v>
      </c>
      <c r="K1314" s="8" t="s">
        <v>2296</v>
      </c>
      <c r="L1314" s="8" t="s">
        <v>12550</v>
      </c>
      <c r="M1314" s="8" t="s">
        <v>4346</v>
      </c>
      <c r="N1314" s="8" t="s">
        <v>6397</v>
      </c>
      <c r="O1314" s="5" t="s">
        <v>43</v>
      </c>
      <c r="P1314" s="4">
        <v>45750</v>
      </c>
      <c r="Q1314" s="15">
        <v>28.99</v>
      </c>
      <c r="R1314" s="15">
        <v>14.8</v>
      </c>
      <c r="S1314" s="15">
        <v>0</v>
      </c>
      <c r="T1314"/>
    </row>
    <row r="1315" spans="1:20">
      <c r="A1315" s="5" t="s">
        <v>36</v>
      </c>
      <c r="B1315" s="5" t="s">
        <v>14642</v>
      </c>
      <c r="C1315" s="4">
        <v>45734</v>
      </c>
      <c r="D1315" s="4">
        <v>45736</v>
      </c>
      <c r="E1315" s="5" t="s">
        <v>16694</v>
      </c>
      <c r="F1315" s="5" t="s">
        <v>18683</v>
      </c>
      <c r="G1315" s="5" t="s">
        <v>860</v>
      </c>
      <c r="H1315" s="5">
        <v>1</v>
      </c>
      <c r="I1315" s="8" t="s">
        <v>8451</v>
      </c>
      <c r="J1315" s="8" t="s">
        <v>10500</v>
      </c>
      <c r="K1315" s="8" t="s">
        <v>2297</v>
      </c>
      <c r="L1315" s="8" t="s">
        <v>12551</v>
      </c>
      <c r="M1315" s="8" t="s">
        <v>4347</v>
      </c>
      <c r="N1315" s="8" t="s">
        <v>6398</v>
      </c>
      <c r="O1315" s="5" t="s">
        <v>75</v>
      </c>
      <c r="P1315" s="4">
        <v>45758</v>
      </c>
      <c r="Q1315" s="15">
        <v>44.9</v>
      </c>
      <c r="R1315" s="15">
        <v>21.62</v>
      </c>
      <c r="S1315" s="15">
        <v>0</v>
      </c>
      <c r="T1315"/>
    </row>
    <row r="1316" spans="1:20">
      <c r="A1316" s="5" t="s">
        <v>36</v>
      </c>
      <c r="B1316" s="5" t="s">
        <v>14643</v>
      </c>
      <c r="C1316" s="4">
        <v>45734</v>
      </c>
      <c r="D1316" s="4">
        <v>45736</v>
      </c>
      <c r="E1316" s="5" t="s">
        <v>16695</v>
      </c>
      <c r="F1316" s="5" t="s">
        <v>18684</v>
      </c>
      <c r="G1316" s="5" t="s">
        <v>855</v>
      </c>
      <c r="H1316" s="5">
        <v>1</v>
      </c>
      <c r="I1316" s="8" t="s">
        <v>8452</v>
      </c>
      <c r="J1316" s="8" t="s">
        <v>10501</v>
      </c>
      <c r="K1316" s="8" t="s">
        <v>2298</v>
      </c>
      <c r="L1316" s="8" t="s">
        <v>12552</v>
      </c>
      <c r="M1316" s="8" t="s">
        <v>4348</v>
      </c>
      <c r="N1316" s="8" t="s">
        <v>6399</v>
      </c>
      <c r="O1316" s="5" t="s">
        <v>81</v>
      </c>
      <c r="P1316" s="4">
        <v>45765</v>
      </c>
      <c r="Q1316" s="15">
        <v>26.99</v>
      </c>
      <c r="R1316" s="15">
        <v>10.18</v>
      </c>
      <c r="S1316" s="15">
        <v>0</v>
      </c>
      <c r="T1316"/>
    </row>
    <row r="1317" spans="1:20">
      <c r="A1317" s="5" t="s">
        <v>36</v>
      </c>
      <c r="B1317" s="5" t="s">
        <v>14644</v>
      </c>
      <c r="C1317" s="4">
        <v>45733</v>
      </c>
      <c r="D1317" s="4">
        <v>45736</v>
      </c>
      <c r="E1317" s="5" t="s">
        <v>16696</v>
      </c>
      <c r="F1317" s="5" t="s">
        <v>18685</v>
      </c>
      <c r="G1317" s="5" t="s">
        <v>821</v>
      </c>
      <c r="H1317" s="5">
        <v>1</v>
      </c>
      <c r="I1317" s="8" t="s">
        <v>8453</v>
      </c>
      <c r="J1317" s="8" t="s">
        <v>10502</v>
      </c>
      <c r="K1317" s="8" t="s">
        <v>2299</v>
      </c>
      <c r="L1317" s="8" t="s">
        <v>12553</v>
      </c>
      <c r="M1317" s="8" t="s">
        <v>4349</v>
      </c>
      <c r="N1317" s="8" t="s">
        <v>6400</v>
      </c>
      <c r="O1317" s="5" t="s">
        <v>43</v>
      </c>
      <c r="P1317" s="4">
        <v>45759</v>
      </c>
      <c r="Q1317" s="15">
        <v>28.99</v>
      </c>
      <c r="R1317" s="15">
        <v>14.8</v>
      </c>
      <c r="S1317" s="15">
        <v>0</v>
      </c>
      <c r="T1317"/>
    </row>
    <row r="1318" spans="1:20">
      <c r="A1318" s="5" t="s">
        <v>36</v>
      </c>
      <c r="B1318" s="5" t="s">
        <v>14645</v>
      </c>
      <c r="C1318" s="4">
        <v>45734</v>
      </c>
      <c r="D1318" s="4">
        <v>45736</v>
      </c>
      <c r="E1318" s="5" t="s">
        <v>16697</v>
      </c>
      <c r="F1318" s="5" t="s">
        <v>18686</v>
      </c>
      <c r="G1318" s="5" t="s">
        <v>860</v>
      </c>
      <c r="H1318" s="5">
        <v>1</v>
      </c>
      <c r="I1318" s="8" t="s">
        <v>8454</v>
      </c>
      <c r="J1318" s="8" t="s">
        <v>10503</v>
      </c>
      <c r="K1318" s="8" t="s">
        <v>2300</v>
      </c>
      <c r="L1318" s="8" t="s">
        <v>12554</v>
      </c>
      <c r="M1318" s="8" t="s">
        <v>4350</v>
      </c>
      <c r="N1318" s="8" t="s">
        <v>6401</v>
      </c>
      <c r="O1318" s="5" t="s">
        <v>75</v>
      </c>
      <c r="P1318" s="4">
        <v>45759</v>
      </c>
      <c r="Q1318" s="15">
        <v>44.9</v>
      </c>
      <c r="R1318" s="15">
        <v>21.62</v>
      </c>
      <c r="S1318" s="15">
        <v>0</v>
      </c>
      <c r="T1318"/>
    </row>
    <row r="1319" spans="1:20">
      <c r="A1319" s="5" t="s">
        <v>36</v>
      </c>
      <c r="B1319" s="5" t="s">
        <v>14646</v>
      </c>
      <c r="C1319" s="4">
        <v>45734</v>
      </c>
      <c r="D1319" s="4">
        <v>45736</v>
      </c>
      <c r="E1319" s="5" t="s">
        <v>16698</v>
      </c>
      <c r="F1319" s="5" t="s">
        <v>18687</v>
      </c>
      <c r="G1319" s="5" t="s">
        <v>821</v>
      </c>
      <c r="H1319" s="5">
        <v>1</v>
      </c>
      <c r="I1319" s="8" t="s">
        <v>8455</v>
      </c>
      <c r="J1319" s="8" t="s">
        <v>10504</v>
      </c>
      <c r="K1319" s="8" t="s">
        <v>2301</v>
      </c>
      <c r="L1319" s="8" t="s">
        <v>12555</v>
      </c>
      <c r="M1319" s="8" t="s">
        <v>4351</v>
      </c>
      <c r="N1319" s="8" t="s">
        <v>6402</v>
      </c>
      <c r="O1319" s="5" t="s">
        <v>43</v>
      </c>
      <c r="P1319" s="4">
        <v>45755</v>
      </c>
      <c r="Q1319" s="15">
        <v>28.99</v>
      </c>
      <c r="R1319" s="15">
        <v>14.8</v>
      </c>
      <c r="S1319" s="15">
        <v>0</v>
      </c>
      <c r="T1319"/>
    </row>
    <row r="1320" spans="1:20">
      <c r="A1320" s="5" t="s">
        <v>36</v>
      </c>
      <c r="B1320" s="5" t="s">
        <v>14647</v>
      </c>
      <c r="C1320" s="4">
        <v>45733</v>
      </c>
      <c r="D1320" s="4">
        <v>45736</v>
      </c>
      <c r="E1320" s="5" t="s">
        <v>16699</v>
      </c>
      <c r="F1320" s="5" t="s">
        <v>18688</v>
      </c>
      <c r="G1320" s="5" t="s">
        <v>855</v>
      </c>
      <c r="H1320" s="5">
        <v>1</v>
      </c>
      <c r="I1320" s="8" t="s">
        <v>8456</v>
      </c>
      <c r="J1320" s="8" t="s">
        <v>10505</v>
      </c>
      <c r="K1320" s="8" t="s">
        <v>2302</v>
      </c>
      <c r="L1320" s="8" t="s">
        <v>12556</v>
      </c>
      <c r="M1320" s="8" t="s">
        <v>4352</v>
      </c>
      <c r="N1320" s="8" t="s">
        <v>6403</v>
      </c>
      <c r="O1320" s="5" t="s">
        <v>81</v>
      </c>
      <c r="P1320" s="4">
        <v>45755</v>
      </c>
      <c r="Q1320" s="15">
        <v>26.99</v>
      </c>
      <c r="R1320" s="15">
        <v>10.18</v>
      </c>
      <c r="S1320" s="15">
        <v>0</v>
      </c>
      <c r="T1320"/>
    </row>
    <row r="1321" spans="1:20">
      <c r="A1321" s="5" t="s">
        <v>113</v>
      </c>
      <c r="B1321" s="5" t="s">
        <v>14648</v>
      </c>
      <c r="C1321" s="4">
        <v>45734</v>
      </c>
      <c r="D1321" s="4">
        <v>45737</v>
      </c>
      <c r="E1321" s="5" t="s">
        <v>16700</v>
      </c>
      <c r="F1321" s="5" t="s">
        <v>18689</v>
      </c>
      <c r="G1321" s="5" t="s">
        <v>902</v>
      </c>
      <c r="H1321" s="5">
        <v>1</v>
      </c>
      <c r="I1321" s="8" t="s">
        <v>8457</v>
      </c>
      <c r="J1321" s="8" t="s">
        <v>10506</v>
      </c>
      <c r="K1321" s="8" t="s">
        <v>2303</v>
      </c>
      <c r="L1321" s="8" t="s">
        <v>12557</v>
      </c>
      <c r="M1321" s="8" t="s">
        <v>4353</v>
      </c>
      <c r="N1321" s="8" t="s">
        <v>6404</v>
      </c>
      <c r="O1321" s="5" t="s">
        <v>129</v>
      </c>
      <c r="P1321" s="4">
        <v>45765</v>
      </c>
      <c r="Q1321" s="15">
        <v>24.8</v>
      </c>
      <c r="R1321" s="15">
        <v>10.17</v>
      </c>
      <c r="S1321" s="15">
        <v>0</v>
      </c>
      <c r="T1321"/>
    </row>
    <row r="1322" spans="1:20">
      <c r="A1322" s="5" t="s">
        <v>113</v>
      </c>
      <c r="B1322" s="5" t="s">
        <v>14649</v>
      </c>
      <c r="C1322" s="4">
        <v>45734</v>
      </c>
      <c r="D1322" s="4">
        <v>45737</v>
      </c>
      <c r="E1322" s="5" t="s">
        <v>16701</v>
      </c>
      <c r="F1322" s="5" t="s">
        <v>18690</v>
      </c>
      <c r="G1322" s="5" t="s">
        <v>902</v>
      </c>
      <c r="H1322" s="5">
        <v>1</v>
      </c>
      <c r="I1322" s="8" t="s">
        <v>8458</v>
      </c>
      <c r="J1322" s="8" t="s">
        <v>10507</v>
      </c>
      <c r="K1322" s="8" t="s">
        <v>2304</v>
      </c>
      <c r="L1322" s="8" t="s">
        <v>12558</v>
      </c>
      <c r="M1322" s="8" t="s">
        <v>4354</v>
      </c>
      <c r="N1322" s="8" t="s">
        <v>6405</v>
      </c>
      <c r="O1322" s="5" t="s">
        <v>129</v>
      </c>
      <c r="P1322" s="4">
        <v>45752</v>
      </c>
      <c r="Q1322" s="15">
        <v>24.8</v>
      </c>
      <c r="R1322" s="15">
        <v>10.17</v>
      </c>
      <c r="S1322" s="15">
        <v>0</v>
      </c>
      <c r="T1322"/>
    </row>
    <row r="1323" spans="1:20">
      <c r="A1323" s="5" t="s">
        <v>113</v>
      </c>
      <c r="B1323" s="5" t="s">
        <v>14650</v>
      </c>
      <c r="C1323" s="4">
        <v>45734</v>
      </c>
      <c r="D1323" s="4">
        <v>45737</v>
      </c>
      <c r="E1323" s="5" t="s">
        <v>16702</v>
      </c>
      <c r="F1323" s="5" t="s">
        <v>18691</v>
      </c>
      <c r="G1323" s="5" t="s">
        <v>902</v>
      </c>
      <c r="H1323" s="5">
        <v>1</v>
      </c>
      <c r="I1323" s="8" t="s">
        <v>8459</v>
      </c>
      <c r="J1323" s="8" t="s">
        <v>10508</v>
      </c>
      <c r="K1323" s="8" t="s">
        <v>2305</v>
      </c>
      <c r="L1323" s="8" t="s">
        <v>12559</v>
      </c>
      <c r="M1323" s="8" t="s">
        <v>4355</v>
      </c>
      <c r="N1323" s="8" t="s">
        <v>6406</v>
      </c>
      <c r="O1323" s="5" t="s">
        <v>129</v>
      </c>
      <c r="P1323" s="4">
        <v>45770</v>
      </c>
      <c r="Q1323" s="15">
        <v>24.8</v>
      </c>
      <c r="R1323" s="15">
        <v>10.58</v>
      </c>
      <c r="S1323" s="15">
        <v>0</v>
      </c>
      <c r="T1323"/>
    </row>
    <row r="1324" spans="1:20">
      <c r="A1324" s="5" t="s">
        <v>113</v>
      </c>
      <c r="B1324" s="5" t="s">
        <v>14651</v>
      </c>
      <c r="C1324" s="4">
        <v>45734</v>
      </c>
      <c r="D1324" s="4">
        <v>45737</v>
      </c>
      <c r="E1324" s="5" t="s">
        <v>16703</v>
      </c>
      <c r="F1324" s="5" t="s">
        <v>18692</v>
      </c>
      <c r="G1324" s="5" t="s">
        <v>902</v>
      </c>
      <c r="H1324" s="5">
        <v>1</v>
      </c>
      <c r="I1324" s="8" t="s">
        <v>8460</v>
      </c>
      <c r="J1324" s="8" t="s">
        <v>10509</v>
      </c>
      <c r="K1324" s="8" t="s">
        <v>2306</v>
      </c>
      <c r="L1324" s="8" t="s">
        <v>12560</v>
      </c>
      <c r="M1324" s="8" t="s">
        <v>4356</v>
      </c>
      <c r="N1324" s="8" t="s">
        <v>6407</v>
      </c>
      <c r="O1324" s="5" t="s">
        <v>129</v>
      </c>
      <c r="P1324" s="4">
        <v>45759</v>
      </c>
      <c r="Q1324" s="15">
        <v>24.8</v>
      </c>
      <c r="R1324" s="15">
        <v>10.17</v>
      </c>
      <c r="S1324" s="15">
        <v>0</v>
      </c>
      <c r="T1324"/>
    </row>
    <row r="1325" spans="1:20">
      <c r="A1325" s="5" t="s">
        <v>113</v>
      </c>
      <c r="B1325" s="5" t="s">
        <v>14652</v>
      </c>
      <c r="C1325" s="4">
        <v>45734</v>
      </c>
      <c r="D1325" s="4">
        <v>45737</v>
      </c>
      <c r="E1325" s="5" t="s">
        <v>16704</v>
      </c>
      <c r="F1325" s="5" t="s">
        <v>18693</v>
      </c>
      <c r="G1325" s="5" t="s">
        <v>905</v>
      </c>
      <c r="H1325" s="5">
        <v>1</v>
      </c>
      <c r="I1325" s="8" t="s">
        <v>8461</v>
      </c>
      <c r="J1325" s="8" t="s">
        <v>10510</v>
      </c>
      <c r="K1325" s="8" t="s">
        <v>2307</v>
      </c>
      <c r="L1325" s="8" t="s">
        <v>12561</v>
      </c>
      <c r="M1325" s="8" t="s">
        <v>4357</v>
      </c>
      <c r="N1325" s="8" t="s">
        <v>6408</v>
      </c>
      <c r="O1325" s="5" t="s">
        <v>125</v>
      </c>
      <c r="P1325" s="4">
        <v>45755</v>
      </c>
      <c r="Q1325" s="15">
        <v>100</v>
      </c>
      <c r="R1325" s="15">
        <v>10.17</v>
      </c>
      <c r="S1325" s="15">
        <v>0</v>
      </c>
      <c r="T1325"/>
    </row>
    <row r="1326" spans="1:20">
      <c r="A1326" s="5" t="s">
        <v>108</v>
      </c>
      <c r="B1326" s="5" t="s">
        <v>14653</v>
      </c>
      <c r="C1326" s="4">
        <v>45734</v>
      </c>
      <c r="D1326" s="4">
        <v>45734</v>
      </c>
      <c r="E1326" s="5" t="s">
        <v>16705</v>
      </c>
      <c r="F1326" s="5" t="s">
        <v>18694</v>
      </c>
      <c r="G1326" s="5" t="s">
        <v>860</v>
      </c>
      <c r="H1326" s="5">
        <v>1</v>
      </c>
      <c r="I1326" s="8" t="s">
        <v>8462</v>
      </c>
      <c r="J1326" s="8" t="s">
        <v>10511</v>
      </c>
      <c r="K1326" s="8" t="s">
        <v>2308</v>
      </c>
      <c r="L1326" s="8" t="s">
        <v>12562</v>
      </c>
      <c r="M1326" s="8" t="s">
        <v>4358</v>
      </c>
      <c r="N1326" s="8" t="s">
        <v>6409</v>
      </c>
      <c r="O1326" s="5" t="s">
        <v>131</v>
      </c>
      <c r="P1326" s="4">
        <v>45755</v>
      </c>
      <c r="Q1326" s="15">
        <v>44.9</v>
      </c>
      <c r="R1326" s="15">
        <v>19.14</v>
      </c>
      <c r="S1326" s="15">
        <v>0</v>
      </c>
      <c r="T1326"/>
    </row>
    <row r="1327" spans="1:20">
      <c r="A1327" s="5" t="s">
        <v>108</v>
      </c>
      <c r="B1327" s="5" t="s">
        <v>14654</v>
      </c>
      <c r="C1327" s="4">
        <v>45734</v>
      </c>
      <c r="D1327" s="4">
        <v>45734</v>
      </c>
      <c r="E1327" s="5" t="s">
        <v>16706</v>
      </c>
      <c r="F1327" s="5" t="s">
        <v>18695</v>
      </c>
      <c r="G1327" s="5" t="s">
        <v>902</v>
      </c>
      <c r="H1327" s="5">
        <v>1</v>
      </c>
      <c r="I1327" s="8" t="s">
        <v>8463</v>
      </c>
      <c r="J1327" s="8" t="s">
        <v>10512</v>
      </c>
      <c r="K1327" s="8" t="s">
        <v>2309</v>
      </c>
      <c r="L1327" s="8" t="s">
        <v>12563</v>
      </c>
      <c r="M1327" s="8" t="s">
        <v>4359</v>
      </c>
      <c r="N1327" s="8" t="s">
        <v>6410</v>
      </c>
      <c r="O1327" s="5" t="s">
        <v>132</v>
      </c>
      <c r="P1327" s="4">
        <v>45759</v>
      </c>
      <c r="Q1327" s="15">
        <v>24.8</v>
      </c>
      <c r="R1327" s="15">
        <v>10.210000000000001</v>
      </c>
      <c r="S1327" s="15">
        <v>0</v>
      </c>
      <c r="T1327"/>
    </row>
    <row r="1328" spans="1:20">
      <c r="A1328" s="5" t="s">
        <v>108</v>
      </c>
      <c r="B1328" s="5" t="s">
        <v>14655</v>
      </c>
      <c r="C1328" s="4">
        <v>45734</v>
      </c>
      <c r="D1328" s="4">
        <v>45734</v>
      </c>
      <c r="E1328" s="5" t="s">
        <v>16707</v>
      </c>
      <c r="F1328" s="5" t="s">
        <v>18696</v>
      </c>
      <c r="G1328" s="5" t="s">
        <v>902</v>
      </c>
      <c r="H1328" s="5">
        <v>1</v>
      </c>
      <c r="I1328" s="8" t="s">
        <v>8464</v>
      </c>
      <c r="J1328" s="8" t="s">
        <v>10513</v>
      </c>
      <c r="K1328" s="8" t="s">
        <v>2310</v>
      </c>
      <c r="L1328" s="8" t="s">
        <v>12564</v>
      </c>
      <c r="M1328" s="8" t="s">
        <v>4360</v>
      </c>
      <c r="N1328" s="8" t="s">
        <v>6411</v>
      </c>
      <c r="O1328" s="5" t="s">
        <v>132</v>
      </c>
      <c r="P1328" s="4">
        <v>45770</v>
      </c>
      <c r="Q1328" s="15">
        <v>24.8</v>
      </c>
      <c r="R1328" s="15">
        <v>10.210000000000001</v>
      </c>
      <c r="S1328" s="15">
        <v>0</v>
      </c>
      <c r="T1328"/>
    </row>
    <row r="1329" spans="1:20">
      <c r="A1329" s="5" t="s">
        <v>108</v>
      </c>
      <c r="B1329" s="5" t="s">
        <v>14656</v>
      </c>
      <c r="C1329" s="4">
        <v>45734</v>
      </c>
      <c r="D1329" s="4">
        <v>45734</v>
      </c>
      <c r="E1329" s="5" t="s">
        <v>16708</v>
      </c>
      <c r="F1329" s="5" t="s">
        <v>18697</v>
      </c>
      <c r="G1329" s="5" t="s">
        <v>902</v>
      </c>
      <c r="H1329" s="5">
        <v>1</v>
      </c>
      <c r="I1329" s="8" t="s">
        <v>8465</v>
      </c>
      <c r="J1329" s="8" t="s">
        <v>10514</v>
      </c>
      <c r="K1329" s="8" t="s">
        <v>2311</v>
      </c>
      <c r="L1329" s="8" t="s">
        <v>12565</v>
      </c>
      <c r="M1329" s="8" t="s">
        <v>4361</v>
      </c>
      <c r="N1329" s="8" t="s">
        <v>6412</v>
      </c>
      <c r="O1329" s="5" t="s">
        <v>132</v>
      </c>
      <c r="P1329" s="4">
        <v>45770</v>
      </c>
      <c r="Q1329" s="15">
        <v>24.8</v>
      </c>
      <c r="R1329" s="15">
        <v>10.210000000000001</v>
      </c>
      <c r="S1329" s="15">
        <v>0</v>
      </c>
      <c r="T1329"/>
    </row>
    <row r="1330" spans="1:20">
      <c r="A1330" s="5" t="s">
        <v>108</v>
      </c>
      <c r="B1330" s="5" t="s">
        <v>14657</v>
      </c>
      <c r="C1330" s="4">
        <v>45734</v>
      </c>
      <c r="D1330" s="4">
        <v>45734</v>
      </c>
      <c r="E1330" s="5" t="s">
        <v>16709</v>
      </c>
      <c r="F1330" s="5" t="s">
        <v>18698</v>
      </c>
      <c r="G1330" s="5" t="s">
        <v>860</v>
      </c>
      <c r="H1330" s="5">
        <v>1</v>
      </c>
      <c r="I1330" s="8" t="s">
        <v>8466</v>
      </c>
      <c r="J1330" s="8" t="s">
        <v>10515</v>
      </c>
      <c r="K1330" s="8" t="s">
        <v>2312</v>
      </c>
      <c r="L1330" s="8" t="s">
        <v>12566</v>
      </c>
      <c r="M1330" s="8" t="s">
        <v>4362</v>
      </c>
      <c r="N1330" s="8" t="s">
        <v>6413</v>
      </c>
      <c r="O1330" s="5" t="s">
        <v>131</v>
      </c>
      <c r="P1330" s="4">
        <v>45759</v>
      </c>
      <c r="Q1330" s="15">
        <v>44.9</v>
      </c>
      <c r="R1330" s="15">
        <v>19.14</v>
      </c>
      <c r="S1330" s="15">
        <v>0</v>
      </c>
      <c r="T1330"/>
    </row>
    <row r="1331" spans="1:20">
      <c r="A1331" s="5" t="s">
        <v>108</v>
      </c>
      <c r="B1331" s="5" t="s">
        <v>14658</v>
      </c>
      <c r="C1331" s="4">
        <v>45734</v>
      </c>
      <c r="D1331" s="4">
        <v>45734</v>
      </c>
      <c r="E1331" s="5" t="s">
        <v>16710</v>
      </c>
      <c r="F1331" s="5" t="s">
        <v>18699</v>
      </c>
      <c r="G1331" s="5" t="s">
        <v>902</v>
      </c>
      <c r="H1331" s="5">
        <v>1</v>
      </c>
      <c r="I1331" s="8" t="s">
        <v>8467</v>
      </c>
      <c r="J1331" s="8" t="s">
        <v>10516</v>
      </c>
      <c r="K1331" s="8" t="s">
        <v>2313</v>
      </c>
      <c r="L1331" s="8" t="s">
        <v>12567</v>
      </c>
      <c r="M1331" s="8" t="s">
        <v>4363</v>
      </c>
      <c r="N1331" s="8" t="s">
        <v>6414</v>
      </c>
      <c r="O1331" s="5" t="s">
        <v>132</v>
      </c>
      <c r="P1331" s="4">
        <v>45759</v>
      </c>
      <c r="Q1331" s="15">
        <v>24.17</v>
      </c>
      <c r="R1331" s="15">
        <v>10.210000000000001</v>
      </c>
      <c r="S1331" s="15">
        <v>0</v>
      </c>
      <c r="T1331"/>
    </row>
    <row r="1332" spans="1:20">
      <c r="A1332" s="5" t="s">
        <v>108</v>
      </c>
      <c r="B1332" s="5" t="s">
        <v>14659</v>
      </c>
      <c r="C1332" s="4">
        <v>45734</v>
      </c>
      <c r="D1332" s="4">
        <v>45735</v>
      </c>
      <c r="E1332" s="5" t="s">
        <v>16711</v>
      </c>
      <c r="F1332" s="5" t="s">
        <v>18700</v>
      </c>
      <c r="G1332" s="5" t="s">
        <v>855</v>
      </c>
      <c r="H1332" s="5">
        <v>1</v>
      </c>
      <c r="I1332" s="8" t="s">
        <v>8468</v>
      </c>
      <c r="J1332" s="8" t="s">
        <v>10517</v>
      </c>
      <c r="K1332" s="8" t="s">
        <v>2314</v>
      </c>
      <c r="L1332" s="8" t="s">
        <v>12568</v>
      </c>
      <c r="M1332" s="8" t="s">
        <v>4364</v>
      </c>
      <c r="N1332" s="8" t="s">
        <v>6415</v>
      </c>
      <c r="O1332" s="5" t="s">
        <v>133</v>
      </c>
      <c r="P1332" s="4">
        <v>45755</v>
      </c>
      <c r="Q1332" s="15">
        <v>26.99</v>
      </c>
      <c r="R1332" s="15">
        <v>10.199999999999999</v>
      </c>
      <c r="S1332" s="15">
        <v>0</v>
      </c>
      <c r="T1332"/>
    </row>
    <row r="1333" spans="1:20">
      <c r="A1333" s="5" t="s">
        <v>108</v>
      </c>
      <c r="B1333" s="5" t="s">
        <v>14660</v>
      </c>
      <c r="C1333" s="4">
        <v>45734</v>
      </c>
      <c r="D1333" s="4">
        <v>45738</v>
      </c>
      <c r="E1333" s="5" t="s">
        <v>16712</v>
      </c>
      <c r="F1333" s="5" t="s">
        <v>18701</v>
      </c>
      <c r="G1333" s="5" t="s">
        <v>902</v>
      </c>
      <c r="H1333" s="5">
        <v>1</v>
      </c>
      <c r="I1333" s="8" t="s">
        <v>8469</v>
      </c>
      <c r="J1333" s="8" t="s">
        <v>10518</v>
      </c>
      <c r="K1333" s="8" t="s">
        <v>2315</v>
      </c>
      <c r="L1333" s="8" t="s">
        <v>12569</v>
      </c>
      <c r="M1333" s="8" t="s">
        <v>4365</v>
      </c>
      <c r="N1333" s="8" t="s">
        <v>6416</v>
      </c>
      <c r="O1333" s="5" t="s">
        <v>132</v>
      </c>
      <c r="P1333" s="4">
        <v>45759</v>
      </c>
      <c r="Q1333" s="15">
        <v>24.17</v>
      </c>
      <c r="R1333" s="15">
        <v>10.17</v>
      </c>
      <c r="S1333" s="15">
        <v>0</v>
      </c>
      <c r="T1333"/>
    </row>
    <row r="1334" spans="1:20">
      <c r="A1334" s="5" t="s">
        <v>108</v>
      </c>
      <c r="B1334" s="5" t="s">
        <v>14661</v>
      </c>
      <c r="C1334" s="4">
        <v>45734</v>
      </c>
      <c r="D1334" s="4">
        <v>45738</v>
      </c>
      <c r="E1334" s="5" t="s">
        <v>16713</v>
      </c>
      <c r="F1334" s="5" t="s">
        <v>18702</v>
      </c>
      <c r="G1334" s="5" t="s">
        <v>902</v>
      </c>
      <c r="H1334" s="5">
        <v>1</v>
      </c>
      <c r="I1334" s="8" t="s">
        <v>8470</v>
      </c>
      <c r="J1334" s="8" t="s">
        <v>10519</v>
      </c>
      <c r="K1334" s="8" t="s">
        <v>2316</v>
      </c>
      <c r="L1334" s="8" t="s">
        <v>12570</v>
      </c>
      <c r="M1334" s="8" t="s">
        <v>4366</v>
      </c>
      <c r="N1334" s="8" t="s">
        <v>6417</v>
      </c>
      <c r="O1334" s="5" t="s">
        <v>132</v>
      </c>
      <c r="P1334" s="4">
        <v>45759</v>
      </c>
      <c r="Q1334" s="15">
        <v>24.17</v>
      </c>
      <c r="R1334" s="15">
        <v>10.17</v>
      </c>
      <c r="S1334" s="15">
        <v>0</v>
      </c>
      <c r="T1334"/>
    </row>
    <row r="1335" spans="1:20">
      <c r="A1335" s="5" t="s">
        <v>108</v>
      </c>
      <c r="B1335" s="5" t="s">
        <v>14662</v>
      </c>
      <c r="C1335" s="4">
        <v>45734</v>
      </c>
      <c r="D1335" s="4">
        <v>45738</v>
      </c>
      <c r="E1335" s="5" t="s">
        <v>16714</v>
      </c>
      <c r="F1335" s="5" t="s">
        <v>18703</v>
      </c>
      <c r="G1335" s="5" t="s">
        <v>902</v>
      </c>
      <c r="H1335" s="5">
        <v>1</v>
      </c>
      <c r="I1335" s="8" t="s">
        <v>8471</v>
      </c>
      <c r="J1335" s="8" t="s">
        <v>10520</v>
      </c>
      <c r="K1335" s="8" t="s">
        <v>2317</v>
      </c>
      <c r="L1335" s="8" t="s">
        <v>12571</v>
      </c>
      <c r="M1335" s="8" t="s">
        <v>4367</v>
      </c>
      <c r="N1335" s="8" t="s">
        <v>6418</v>
      </c>
      <c r="O1335" s="5" t="s">
        <v>132</v>
      </c>
      <c r="P1335" s="4">
        <v>45770</v>
      </c>
      <c r="Q1335" s="15">
        <v>24.17</v>
      </c>
      <c r="R1335" s="15">
        <v>0</v>
      </c>
      <c r="S1335" s="15">
        <v>0</v>
      </c>
      <c r="T1335"/>
    </row>
    <row r="1336" spans="1:20">
      <c r="A1336" s="5" t="s">
        <v>108</v>
      </c>
      <c r="B1336" s="5" t="s">
        <v>14663</v>
      </c>
      <c r="C1336" s="4">
        <v>45734</v>
      </c>
      <c r="D1336" s="4">
        <v>45740</v>
      </c>
      <c r="E1336" s="5" t="s">
        <v>16715</v>
      </c>
      <c r="F1336" s="5" t="s">
        <v>18704</v>
      </c>
      <c r="G1336" s="5" t="s">
        <v>855</v>
      </c>
      <c r="H1336" s="5">
        <v>1</v>
      </c>
      <c r="I1336" s="8" t="s">
        <v>8472</v>
      </c>
      <c r="J1336" s="8" t="s">
        <v>10521</v>
      </c>
      <c r="K1336" s="8" t="s">
        <v>2318</v>
      </c>
      <c r="L1336" s="8" t="s">
        <v>12572</v>
      </c>
      <c r="M1336" s="8" t="s">
        <v>4368</v>
      </c>
      <c r="N1336" s="8" t="s">
        <v>6419</v>
      </c>
      <c r="O1336" s="5" t="s">
        <v>133</v>
      </c>
      <c r="P1336" s="4">
        <v>45755</v>
      </c>
      <c r="Q1336" s="15">
        <v>26.99</v>
      </c>
      <c r="R1336" s="15">
        <v>10.19</v>
      </c>
      <c r="S1336" s="15">
        <v>0</v>
      </c>
      <c r="T1336"/>
    </row>
    <row r="1337" spans="1:20">
      <c r="A1337" s="5" t="s">
        <v>108</v>
      </c>
      <c r="B1337" s="5" t="s">
        <v>14664</v>
      </c>
      <c r="C1337" s="4">
        <v>45734</v>
      </c>
      <c r="D1337" s="4">
        <v>45738</v>
      </c>
      <c r="E1337" s="5" t="s">
        <v>16716</v>
      </c>
      <c r="F1337" s="5" t="s">
        <v>18705</v>
      </c>
      <c r="G1337" s="5" t="s">
        <v>902</v>
      </c>
      <c r="H1337" s="5">
        <v>1</v>
      </c>
      <c r="I1337" s="8" t="s">
        <v>8469</v>
      </c>
      <c r="J1337" s="8" t="s">
        <v>10518</v>
      </c>
      <c r="K1337" s="8" t="s">
        <v>2315</v>
      </c>
      <c r="L1337" s="8" t="s">
        <v>12569</v>
      </c>
      <c r="M1337" s="8" t="s">
        <v>4365</v>
      </c>
      <c r="N1337" s="8" t="s">
        <v>6416</v>
      </c>
      <c r="O1337" s="5" t="s">
        <v>132</v>
      </c>
      <c r="P1337" s="4">
        <v>45759</v>
      </c>
      <c r="Q1337" s="15">
        <v>24.17</v>
      </c>
      <c r="R1337" s="15">
        <v>10.17</v>
      </c>
      <c r="S1337" s="15">
        <v>0</v>
      </c>
      <c r="T1337"/>
    </row>
    <row r="1338" spans="1:20">
      <c r="A1338" s="5" t="s">
        <v>108</v>
      </c>
      <c r="B1338" s="5" t="s">
        <v>14665</v>
      </c>
      <c r="C1338" s="4">
        <v>45734</v>
      </c>
      <c r="D1338" s="4">
        <v>45738</v>
      </c>
      <c r="E1338" s="5" t="s">
        <v>16717</v>
      </c>
      <c r="F1338" s="5" t="s">
        <v>18706</v>
      </c>
      <c r="G1338" s="5" t="s">
        <v>905</v>
      </c>
      <c r="H1338" s="5">
        <v>1</v>
      </c>
      <c r="I1338" s="8" t="s">
        <v>8473</v>
      </c>
      <c r="J1338" s="8" t="s">
        <v>10522</v>
      </c>
      <c r="K1338" s="8" t="s">
        <v>2319</v>
      </c>
      <c r="L1338" s="8" t="s">
        <v>12573</v>
      </c>
      <c r="M1338" s="8" t="s">
        <v>4369</v>
      </c>
      <c r="N1338" s="8" t="s">
        <v>6420</v>
      </c>
      <c r="O1338" s="5" t="s">
        <v>134</v>
      </c>
      <c r="P1338" s="4">
        <v>45770</v>
      </c>
      <c r="Q1338" s="15">
        <v>25.99</v>
      </c>
      <c r="R1338" s="15">
        <v>10.17</v>
      </c>
      <c r="S1338" s="15">
        <v>0</v>
      </c>
      <c r="T1338"/>
    </row>
    <row r="1339" spans="1:20">
      <c r="A1339" s="5" t="s">
        <v>108</v>
      </c>
      <c r="B1339" s="5" t="s">
        <v>14666</v>
      </c>
      <c r="C1339" s="4">
        <v>45734</v>
      </c>
      <c r="D1339" s="4">
        <v>45738</v>
      </c>
      <c r="E1339" s="5" t="s">
        <v>16718</v>
      </c>
      <c r="F1339" s="5" t="s">
        <v>18707</v>
      </c>
      <c r="G1339" s="5" t="s">
        <v>902</v>
      </c>
      <c r="H1339" s="5">
        <v>1</v>
      </c>
      <c r="I1339" s="8" t="s">
        <v>8474</v>
      </c>
      <c r="J1339" s="8" t="s">
        <v>10523</v>
      </c>
      <c r="K1339" s="8" t="s">
        <v>2320</v>
      </c>
      <c r="L1339" s="8" t="s">
        <v>12574</v>
      </c>
      <c r="M1339" s="8" t="s">
        <v>4370</v>
      </c>
      <c r="N1339" s="8" t="s">
        <v>6421</v>
      </c>
      <c r="O1339" s="5" t="s">
        <v>132</v>
      </c>
      <c r="P1339" s="4">
        <v>45755</v>
      </c>
      <c r="Q1339" s="15">
        <v>24.17</v>
      </c>
      <c r="R1339" s="15">
        <v>10.17</v>
      </c>
      <c r="S1339" s="15">
        <v>0</v>
      </c>
      <c r="T1339"/>
    </row>
    <row r="1340" spans="1:20">
      <c r="A1340" s="5" t="s">
        <v>108</v>
      </c>
      <c r="B1340" s="5" t="s">
        <v>14667</v>
      </c>
      <c r="C1340" s="4">
        <v>45734</v>
      </c>
      <c r="D1340" s="4">
        <v>45738</v>
      </c>
      <c r="E1340" s="5" t="s">
        <v>16719</v>
      </c>
      <c r="F1340" s="5" t="s">
        <v>18708</v>
      </c>
      <c r="G1340" s="5" t="s">
        <v>860</v>
      </c>
      <c r="H1340" s="5">
        <v>1</v>
      </c>
      <c r="I1340" s="8" t="s">
        <v>8475</v>
      </c>
      <c r="J1340" s="8" t="s">
        <v>10524</v>
      </c>
      <c r="K1340" s="8" t="s">
        <v>2321</v>
      </c>
      <c r="L1340" s="8" t="s">
        <v>12575</v>
      </c>
      <c r="M1340" s="8" t="s">
        <v>4371</v>
      </c>
      <c r="N1340" s="8" t="s">
        <v>6422</v>
      </c>
      <c r="O1340" s="5" t="s">
        <v>131</v>
      </c>
      <c r="P1340" s="4">
        <v>45755</v>
      </c>
      <c r="Q1340" s="15">
        <v>44.9</v>
      </c>
      <c r="R1340" s="15">
        <v>22.88</v>
      </c>
      <c r="S1340" s="15">
        <v>0</v>
      </c>
      <c r="T1340"/>
    </row>
    <row r="1341" spans="1:20">
      <c r="A1341" s="5" t="s">
        <v>108</v>
      </c>
      <c r="B1341" s="5" t="s">
        <v>14668</v>
      </c>
      <c r="C1341" s="4">
        <v>45734</v>
      </c>
      <c r="D1341" s="4">
        <v>45738</v>
      </c>
      <c r="E1341" s="5" t="s">
        <v>16720</v>
      </c>
      <c r="F1341" s="5" t="s">
        <v>18709</v>
      </c>
      <c r="G1341" s="5" t="s">
        <v>902</v>
      </c>
      <c r="H1341" s="5">
        <v>1</v>
      </c>
      <c r="I1341" s="8" t="s">
        <v>8476</v>
      </c>
      <c r="J1341" s="8" t="s">
        <v>10525</v>
      </c>
      <c r="K1341" s="8" t="s">
        <v>2322</v>
      </c>
      <c r="L1341" s="8" t="s">
        <v>12576</v>
      </c>
      <c r="M1341" s="8" t="s">
        <v>4372</v>
      </c>
      <c r="N1341" s="8" t="s">
        <v>6423</v>
      </c>
      <c r="O1341" s="5" t="s">
        <v>132</v>
      </c>
      <c r="P1341" s="4">
        <v>45759</v>
      </c>
      <c r="Q1341" s="15">
        <v>24.17</v>
      </c>
      <c r="R1341" s="15">
        <v>10.17</v>
      </c>
      <c r="S1341" s="15">
        <v>0</v>
      </c>
      <c r="T1341"/>
    </row>
    <row r="1342" spans="1:20">
      <c r="A1342" s="5" t="s">
        <v>108</v>
      </c>
      <c r="B1342" s="5" t="s">
        <v>14669</v>
      </c>
      <c r="C1342" s="4">
        <v>45734</v>
      </c>
      <c r="D1342" s="4">
        <v>45738</v>
      </c>
      <c r="E1342" s="5" t="s">
        <v>16721</v>
      </c>
      <c r="F1342" s="5" t="s">
        <v>18710</v>
      </c>
      <c r="G1342" s="5" t="s">
        <v>905</v>
      </c>
      <c r="H1342" s="5">
        <v>1</v>
      </c>
      <c r="I1342" s="8" t="s">
        <v>8477</v>
      </c>
      <c r="J1342" s="8" t="s">
        <v>10526</v>
      </c>
      <c r="K1342" s="8" t="s">
        <v>2323</v>
      </c>
      <c r="L1342" s="8" t="s">
        <v>12577</v>
      </c>
      <c r="M1342" s="8" t="s">
        <v>4373</v>
      </c>
      <c r="N1342" s="8" t="s">
        <v>6424</v>
      </c>
      <c r="O1342" s="5" t="s">
        <v>134</v>
      </c>
      <c r="P1342" s="4">
        <v>45755</v>
      </c>
      <c r="Q1342" s="15">
        <v>25.99</v>
      </c>
      <c r="R1342" s="15">
        <v>10.58</v>
      </c>
      <c r="S1342" s="15">
        <v>0</v>
      </c>
      <c r="T1342"/>
    </row>
    <row r="1343" spans="1:20">
      <c r="A1343" s="5" t="s">
        <v>108</v>
      </c>
      <c r="B1343" s="5" t="s">
        <v>14670</v>
      </c>
      <c r="C1343" s="4">
        <v>45734</v>
      </c>
      <c r="D1343" s="4">
        <v>45740</v>
      </c>
      <c r="E1343" s="5" t="s">
        <v>16722</v>
      </c>
      <c r="F1343" s="5" t="s">
        <v>18711</v>
      </c>
      <c r="G1343" s="5" t="s">
        <v>902</v>
      </c>
      <c r="H1343" s="5">
        <v>1</v>
      </c>
      <c r="I1343" s="8" t="s">
        <v>8478</v>
      </c>
      <c r="J1343" s="8" t="s">
        <v>10527</v>
      </c>
      <c r="K1343" s="8" t="s">
        <v>2324</v>
      </c>
      <c r="L1343" s="8" t="s">
        <v>12578</v>
      </c>
      <c r="M1343" s="8" t="s">
        <v>4374</v>
      </c>
      <c r="N1343" s="8" t="s">
        <v>6425</v>
      </c>
      <c r="O1343" s="5" t="s">
        <v>132</v>
      </c>
      <c r="P1343" s="4">
        <v>45755</v>
      </c>
      <c r="Q1343" s="15">
        <v>24.17</v>
      </c>
      <c r="R1343" s="15">
        <v>10.61</v>
      </c>
      <c r="S1343" s="15">
        <v>0</v>
      </c>
      <c r="T1343"/>
    </row>
    <row r="1344" spans="1:20">
      <c r="A1344" s="5" t="s">
        <v>108</v>
      </c>
      <c r="B1344" s="5" t="s">
        <v>14671</v>
      </c>
      <c r="C1344" s="4">
        <v>45734</v>
      </c>
      <c r="D1344" s="4">
        <v>45738</v>
      </c>
      <c r="E1344" s="5" t="s">
        <v>16723</v>
      </c>
      <c r="F1344" s="5" t="s">
        <v>18712</v>
      </c>
      <c r="G1344" s="5" t="s">
        <v>902</v>
      </c>
      <c r="H1344" s="5">
        <v>1</v>
      </c>
      <c r="I1344" s="8" t="s">
        <v>8479</v>
      </c>
      <c r="J1344" s="8" t="s">
        <v>10528</v>
      </c>
      <c r="K1344" s="8" t="s">
        <v>2325</v>
      </c>
      <c r="L1344" s="8" t="s">
        <v>12579</v>
      </c>
      <c r="M1344" s="8" t="s">
        <v>4375</v>
      </c>
      <c r="N1344" s="8" t="s">
        <v>6426</v>
      </c>
      <c r="O1344" s="5" t="s">
        <v>132</v>
      </c>
      <c r="P1344" s="4">
        <v>45755</v>
      </c>
      <c r="Q1344" s="15">
        <v>24.17</v>
      </c>
      <c r="R1344" s="15">
        <v>10.58</v>
      </c>
      <c r="S1344" s="15">
        <v>0</v>
      </c>
      <c r="T1344"/>
    </row>
    <row r="1345" spans="1:20">
      <c r="A1345" s="5" t="s">
        <v>108</v>
      </c>
      <c r="B1345" s="5" t="s">
        <v>14672</v>
      </c>
      <c r="C1345" s="4">
        <v>45734</v>
      </c>
      <c r="D1345" s="4">
        <v>45740</v>
      </c>
      <c r="E1345" s="5" t="s">
        <v>16724</v>
      </c>
      <c r="F1345" s="5" t="s">
        <v>18713</v>
      </c>
      <c r="G1345" s="5" t="s">
        <v>902</v>
      </c>
      <c r="H1345" s="5">
        <v>1</v>
      </c>
      <c r="I1345" s="8" t="s">
        <v>8480</v>
      </c>
      <c r="J1345" s="8" t="s">
        <v>10529</v>
      </c>
      <c r="K1345" s="8" t="s">
        <v>2326</v>
      </c>
      <c r="L1345" s="8" t="s">
        <v>12580</v>
      </c>
      <c r="M1345" s="8" t="s">
        <v>4376</v>
      </c>
      <c r="N1345" s="8" t="s">
        <v>6427</v>
      </c>
      <c r="O1345" s="5" t="s">
        <v>132</v>
      </c>
      <c r="P1345" s="4">
        <v>45770</v>
      </c>
      <c r="Q1345" s="15">
        <v>24.17</v>
      </c>
      <c r="R1345" s="15">
        <v>10.19</v>
      </c>
      <c r="S1345" s="15">
        <v>0</v>
      </c>
      <c r="T1345"/>
    </row>
    <row r="1346" spans="1:20">
      <c r="A1346" s="5" t="s">
        <v>108</v>
      </c>
      <c r="B1346" s="5" t="s">
        <v>14673</v>
      </c>
      <c r="C1346" s="4">
        <v>45734</v>
      </c>
      <c r="D1346" s="4">
        <v>45738</v>
      </c>
      <c r="E1346" s="5" t="s">
        <v>16725</v>
      </c>
      <c r="F1346" s="5" t="s">
        <v>18714</v>
      </c>
      <c r="G1346" s="5" t="s">
        <v>905</v>
      </c>
      <c r="H1346" s="5">
        <v>1</v>
      </c>
      <c r="I1346" s="8" t="s">
        <v>8481</v>
      </c>
      <c r="J1346" s="8" t="s">
        <v>10530</v>
      </c>
      <c r="K1346" s="8" t="s">
        <v>2327</v>
      </c>
      <c r="L1346" s="8" t="s">
        <v>12581</v>
      </c>
      <c r="M1346" s="8" t="s">
        <v>4377</v>
      </c>
      <c r="N1346" s="8" t="s">
        <v>6428</v>
      </c>
      <c r="O1346" s="5" t="s">
        <v>134</v>
      </c>
      <c r="P1346" s="4">
        <v>45759</v>
      </c>
      <c r="Q1346" s="15">
        <v>25.99</v>
      </c>
      <c r="R1346" s="15">
        <v>10.17</v>
      </c>
      <c r="S1346" s="15">
        <v>0</v>
      </c>
      <c r="T1346"/>
    </row>
    <row r="1347" spans="1:20">
      <c r="A1347" s="5" t="s">
        <v>108</v>
      </c>
      <c r="B1347" s="5" t="s">
        <v>14674</v>
      </c>
      <c r="C1347" s="4">
        <v>45734</v>
      </c>
      <c r="D1347" s="4">
        <v>45738</v>
      </c>
      <c r="E1347" s="5" t="s">
        <v>16726</v>
      </c>
      <c r="F1347" s="5" t="s">
        <v>18715</v>
      </c>
      <c r="G1347" s="5" t="s">
        <v>902</v>
      </c>
      <c r="H1347" s="5">
        <v>1</v>
      </c>
      <c r="I1347" s="8" t="s">
        <v>8482</v>
      </c>
      <c r="J1347" s="8" t="s">
        <v>10531</v>
      </c>
      <c r="K1347" s="8" t="s">
        <v>2328</v>
      </c>
      <c r="L1347" s="8" t="s">
        <v>12582</v>
      </c>
      <c r="M1347" s="8" t="s">
        <v>4378</v>
      </c>
      <c r="N1347" s="8" t="s">
        <v>6429</v>
      </c>
      <c r="O1347" s="5" t="s">
        <v>132</v>
      </c>
      <c r="P1347" s="4">
        <v>45759</v>
      </c>
      <c r="Q1347" s="15">
        <v>24.17</v>
      </c>
      <c r="R1347" s="15">
        <v>10.58</v>
      </c>
      <c r="S1347" s="15">
        <v>0</v>
      </c>
      <c r="T1347"/>
    </row>
    <row r="1348" spans="1:20">
      <c r="A1348" s="5" t="s">
        <v>108</v>
      </c>
      <c r="B1348" s="5" t="s">
        <v>14675</v>
      </c>
      <c r="C1348" s="4">
        <v>45734</v>
      </c>
      <c r="D1348" s="4">
        <v>45738</v>
      </c>
      <c r="E1348" s="5" t="s">
        <v>16727</v>
      </c>
      <c r="F1348" s="5" t="s">
        <v>18716</v>
      </c>
      <c r="G1348" s="5" t="s">
        <v>902</v>
      </c>
      <c r="H1348" s="5">
        <v>1</v>
      </c>
      <c r="I1348" s="8" t="s">
        <v>8483</v>
      </c>
      <c r="J1348" s="8" t="s">
        <v>10532</v>
      </c>
      <c r="K1348" s="8" t="s">
        <v>2329</v>
      </c>
      <c r="L1348" s="8" t="s">
        <v>12583</v>
      </c>
      <c r="M1348" s="8" t="s">
        <v>4379</v>
      </c>
      <c r="N1348" s="8" t="s">
        <v>6430</v>
      </c>
      <c r="O1348" s="5" t="s">
        <v>132</v>
      </c>
      <c r="P1348" s="4">
        <v>45759</v>
      </c>
      <c r="Q1348" s="15">
        <v>24.17</v>
      </c>
      <c r="R1348" s="15">
        <v>10.58</v>
      </c>
      <c r="S1348" s="15">
        <v>0</v>
      </c>
      <c r="T1348"/>
    </row>
    <row r="1349" spans="1:20">
      <c r="A1349" s="5" t="s">
        <v>108</v>
      </c>
      <c r="B1349" s="5" t="s">
        <v>14676</v>
      </c>
      <c r="C1349" s="4">
        <v>45734</v>
      </c>
      <c r="D1349" s="4">
        <v>45738</v>
      </c>
      <c r="E1349" s="5" t="s">
        <v>16728</v>
      </c>
      <c r="F1349" s="5" t="s">
        <v>18717</v>
      </c>
      <c r="G1349" s="5" t="s">
        <v>817</v>
      </c>
      <c r="H1349" s="5">
        <v>1</v>
      </c>
      <c r="I1349" s="8" t="s">
        <v>8484</v>
      </c>
      <c r="J1349" s="8" t="s">
        <v>10533</v>
      </c>
      <c r="K1349" s="8" t="s">
        <v>2330</v>
      </c>
      <c r="L1349" s="8" t="s">
        <v>12584</v>
      </c>
      <c r="M1349" s="8" t="s">
        <v>4380</v>
      </c>
      <c r="N1349" s="8" t="s">
        <v>6431</v>
      </c>
      <c r="O1349" s="5" t="s">
        <v>135</v>
      </c>
      <c r="P1349" s="4">
        <v>45759</v>
      </c>
      <c r="Q1349" s="15">
        <v>30.95</v>
      </c>
      <c r="R1349" s="15">
        <v>16.3</v>
      </c>
      <c r="S1349" s="15">
        <v>0</v>
      </c>
      <c r="T1349"/>
    </row>
    <row r="1350" spans="1:20">
      <c r="A1350" s="5" t="s">
        <v>108</v>
      </c>
      <c r="B1350" s="5" t="s">
        <v>14677</v>
      </c>
      <c r="C1350" s="4">
        <v>45734</v>
      </c>
      <c r="D1350" s="4">
        <v>45738</v>
      </c>
      <c r="E1350" s="5" t="s">
        <v>16729</v>
      </c>
      <c r="F1350" s="5" t="s">
        <v>18718</v>
      </c>
      <c r="G1350" s="5" t="s">
        <v>902</v>
      </c>
      <c r="H1350" s="5">
        <v>1</v>
      </c>
      <c r="I1350" s="8" t="s">
        <v>8485</v>
      </c>
      <c r="J1350" s="8" t="s">
        <v>10534</v>
      </c>
      <c r="K1350" s="8" t="s">
        <v>2331</v>
      </c>
      <c r="L1350" s="8" t="s">
        <v>12585</v>
      </c>
      <c r="M1350" s="8" t="s">
        <v>4381</v>
      </c>
      <c r="N1350" s="8" t="s">
        <v>6432</v>
      </c>
      <c r="O1350" s="5" t="s">
        <v>132</v>
      </c>
      <c r="P1350" s="4">
        <v>45770</v>
      </c>
      <c r="Q1350" s="15">
        <v>24.17</v>
      </c>
      <c r="R1350" s="15">
        <v>0</v>
      </c>
      <c r="S1350" s="15">
        <v>0</v>
      </c>
      <c r="T1350"/>
    </row>
    <row r="1351" spans="1:20">
      <c r="A1351" s="5" t="s">
        <v>108</v>
      </c>
      <c r="B1351" s="5" t="s">
        <v>14678</v>
      </c>
      <c r="C1351" s="4">
        <v>45734</v>
      </c>
      <c r="D1351" s="4">
        <v>45740</v>
      </c>
      <c r="E1351" s="5" t="s">
        <v>16730</v>
      </c>
      <c r="F1351" s="5" t="s">
        <v>18719</v>
      </c>
      <c r="G1351" s="5" t="s">
        <v>902</v>
      </c>
      <c r="H1351" s="5">
        <v>1</v>
      </c>
      <c r="I1351" s="8" t="s">
        <v>8486</v>
      </c>
      <c r="J1351" s="8" t="s">
        <v>10535</v>
      </c>
      <c r="K1351" s="8" t="s">
        <v>2332</v>
      </c>
      <c r="L1351" s="8" t="s">
        <v>12586</v>
      </c>
      <c r="M1351" s="8" t="s">
        <v>4382</v>
      </c>
      <c r="N1351" s="8" t="s">
        <v>6433</v>
      </c>
      <c r="O1351" s="5" t="s">
        <v>132</v>
      </c>
      <c r="P1351" s="4">
        <v>45759</v>
      </c>
      <c r="Q1351" s="15">
        <v>24.17</v>
      </c>
      <c r="R1351" s="15">
        <v>10.19</v>
      </c>
      <c r="S1351" s="15">
        <v>0</v>
      </c>
      <c r="T1351"/>
    </row>
    <row r="1352" spans="1:20">
      <c r="A1352" s="5" t="s">
        <v>108</v>
      </c>
      <c r="B1352" s="5" t="s">
        <v>14679</v>
      </c>
      <c r="C1352" s="4">
        <v>45734</v>
      </c>
      <c r="D1352" s="4">
        <v>45738</v>
      </c>
      <c r="E1352" s="5" t="s">
        <v>16731</v>
      </c>
      <c r="F1352" s="5" t="s">
        <v>18720</v>
      </c>
      <c r="G1352" s="5" t="s">
        <v>902</v>
      </c>
      <c r="H1352" s="5">
        <v>1</v>
      </c>
      <c r="I1352" s="8" t="s">
        <v>8487</v>
      </c>
      <c r="J1352" s="8" t="s">
        <v>10536</v>
      </c>
      <c r="K1352" s="8" t="s">
        <v>2333</v>
      </c>
      <c r="L1352" s="8" t="s">
        <v>12587</v>
      </c>
      <c r="M1352" s="8" t="s">
        <v>4383</v>
      </c>
      <c r="N1352" s="8" t="s">
        <v>6434</v>
      </c>
      <c r="O1352" s="5" t="s">
        <v>132</v>
      </c>
      <c r="P1352" s="4">
        <v>45759</v>
      </c>
      <c r="Q1352" s="15">
        <v>24.17</v>
      </c>
      <c r="R1352" s="15">
        <v>10.17</v>
      </c>
      <c r="S1352" s="15">
        <v>0</v>
      </c>
      <c r="T1352"/>
    </row>
    <row r="1353" spans="1:20">
      <c r="A1353" s="5" t="s">
        <v>108</v>
      </c>
      <c r="B1353" s="5" t="s">
        <v>14680</v>
      </c>
      <c r="C1353" s="4">
        <v>45734</v>
      </c>
      <c r="D1353" s="4">
        <v>45738</v>
      </c>
      <c r="E1353" s="5" t="s">
        <v>16732</v>
      </c>
      <c r="F1353" s="5" t="s">
        <v>18721</v>
      </c>
      <c r="G1353" s="5" t="s">
        <v>902</v>
      </c>
      <c r="H1353" s="5">
        <v>1</v>
      </c>
      <c r="I1353" s="8" t="s">
        <v>8488</v>
      </c>
      <c r="J1353" s="8" t="s">
        <v>10537</v>
      </c>
      <c r="K1353" s="8" t="s">
        <v>2334</v>
      </c>
      <c r="L1353" s="8" t="s">
        <v>12588</v>
      </c>
      <c r="M1353" s="8" t="s">
        <v>4384</v>
      </c>
      <c r="N1353" s="8" t="s">
        <v>6435</v>
      </c>
      <c r="O1353" s="5" t="s">
        <v>132</v>
      </c>
      <c r="P1353" s="4">
        <v>45759</v>
      </c>
      <c r="Q1353" s="15">
        <v>24.17</v>
      </c>
      <c r="R1353" s="15">
        <v>10.58</v>
      </c>
      <c r="S1353" s="15">
        <v>0</v>
      </c>
      <c r="T1353"/>
    </row>
    <row r="1354" spans="1:20">
      <c r="A1354" s="5" t="s">
        <v>108</v>
      </c>
      <c r="B1354" s="5" t="s">
        <v>14681</v>
      </c>
      <c r="C1354" s="4">
        <v>45734</v>
      </c>
      <c r="D1354" s="4">
        <v>45740</v>
      </c>
      <c r="E1354" s="5" t="s">
        <v>16733</v>
      </c>
      <c r="F1354" s="5" t="s">
        <v>18722</v>
      </c>
      <c r="G1354" s="5" t="s">
        <v>902</v>
      </c>
      <c r="H1354" s="5">
        <v>1</v>
      </c>
      <c r="I1354" s="8" t="s">
        <v>8489</v>
      </c>
      <c r="J1354" s="8" t="s">
        <v>10538</v>
      </c>
      <c r="K1354" s="8" t="s">
        <v>2335</v>
      </c>
      <c r="L1354" s="8" t="s">
        <v>12589</v>
      </c>
      <c r="M1354" s="8" t="s">
        <v>4385</v>
      </c>
      <c r="N1354" s="8" t="s">
        <v>6436</v>
      </c>
      <c r="O1354" s="5" t="s">
        <v>132</v>
      </c>
      <c r="P1354" s="4">
        <v>45759</v>
      </c>
      <c r="Q1354" s="15">
        <v>24.17</v>
      </c>
      <c r="R1354" s="15">
        <v>10.19</v>
      </c>
      <c r="S1354" s="15">
        <v>0</v>
      </c>
      <c r="T1354"/>
    </row>
    <row r="1355" spans="1:20">
      <c r="A1355" s="5" t="s">
        <v>108</v>
      </c>
      <c r="B1355" s="5" t="s">
        <v>14682</v>
      </c>
      <c r="C1355" s="4">
        <v>45734</v>
      </c>
      <c r="D1355" s="4">
        <v>45740</v>
      </c>
      <c r="E1355" s="5" t="s">
        <v>16734</v>
      </c>
      <c r="F1355" s="5" t="s">
        <v>18723</v>
      </c>
      <c r="G1355" s="5" t="s">
        <v>849</v>
      </c>
      <c r="H1355" s="5">
        <v>1</v>
      </c>
      <c r="I1355" s="8" t="s">
        <v>8490</v>
      </c>
      <c r="J1355" s="8" t="s">
        <v>10539</v>
      </c>
      <c r="K1355" s="8" t="s">
        <v>2336</v>
      </c>
      <c r="L1355" s="8" t="s">
        <v>12590</v>
      </c>
      <c r="M1355" s="8" t="s">
        <v>4386</v>
      </c>
      <c r="N1355" s="8" t="s">
        <v>6437</v>
      </c>
      <c r="O1355" s="5" t="s">
        <v>111</v>
      </c>
      <c r="P1355" s="4">
        <v>45759</v>
      </c>
      <c r="Q1355" s="15">
        <v>100</v>
      </c>
      <c r="R1355" s="15">
        <v>12.3</v>
      </c>
      <c r="S1355" s="15">
        <v>0</v>
      </c>
      <c r="T1355"/>
    </row>
    <row r="1356" spans="1:20">
      <c r="A1356" s="5" t="s">
        <v>108</v>
      </c>
      <c r="B1356" s="5" t="s">
        <v>14683</v>
      </c>
      <c r="C1356" s="4">
        <v>45735</v>
      </c>
      <c r="D1356" s="4">
        <v>45738</v>
      </c>
      <c r="E1356" s="5" t="s">
        <v>16735</v>
      </c>
      <c r="F1356" s="5" t="s">
        <v>18724</v>
      </c>
      <c r="G1356" s="5" t="s">
        <v>849</v>
      </c>
      <c r="H1356" s="5">
        <v>1</v>
      </c>
      <c r="I1356" s="8" t="s">
        <v>8491</v>
      </c>
      <c r="J1356" s="8" t="s">
        <v>10540</v>
      </c>
      <c r="K1356" s="8" t="s">
        <v>2337</v>
      </c>
      <c r="L1356" s="8" t="s">
        <v>12591</v>
      </c>
      <c r="M1356" s="8" t="s">
        <v>4387</v>
      </c>
      <c r="N1356" s="8" t="s">
        <v>6438</v>
      </c>
      <c r="O1356" s="5" t="s">
        <v>111</v>
      </c>
      <c r="P1356" s="4">
        <v>45755</v>
      </c>
      <c r="Q1356" s="15">
        <v>100</v>
      </c>
      <c r="R1356" s="15">
        <v>11.66</v>
      </c>
      <c r="S1356" s="15">
        <v>0</v>
      </c>
      <c r="T1356"/>
    </row>
    <row r="1357" spans="1:20">
      <c r="A1357" s="5" t="s">
        <v>113</v>
      </c>
      <c r="B1357" s="5" t="s">
        <v>14684</v>
      </c>
      <c r="C1357" s="4">
        <v>45739</v>
      </c>
      <c r="D1357" s="4">
        <v>45740</v>
      </c>
      <c r="E1357" s="5" t="s">
        <v>16736</v>
      </c>
      <c r="F1357" s="5" t="s">
        <v>18725</v>
      </c>
      <c r="G1357" s="5" t="s">
        <v>845</v>
      </c>
      <c r="H1357" s="5">
        <v>1</v>
      </c>
      <c r="I1357" s="8" t="s">
        <v>8492</v>
      </c>
      <c r="J1357" s="8" t="s">
        <v>10541</v>
      </c>
      <c r="K1357" s="8" t="s">
        <v>2338</v>
      </c>
      <c r="L1357" s="8" t="s">
        <v>12592</v>
      </c>
      <c r="M1357" s="8" t="s">
        <v>4388</v>
      </c>
      <c r="N1357" s="8" t="s">
        <v>6439</v>
      </c>
      <c r="O1357" s="5" t="s">
        <v>137</v>
      </c>
      <c r="P1357" s="4">
        <v>45758</v>
      </c>
      <c r="Q1357" s="15">
        <v>49.9</v>
      </c>
      <c r="R1357" s="15">
        <v>11.77</v>
      </c>
      <c r="S1357" s="15">
        <v>0</v>
      </c>
      <c r="T1357"/>
    </row>
    <row r="1358" spans="1:20">
      <c r="A1358" s="5" t="s">
        <v>113</v>
      </c>
      <c r="B1358" s="5" t="s">
        <v>14685</v>
      </c>
      <c r="C1358" s="4">
        <v>45739</v>
      </c>
      <c r="D1358" s="4" t="s">
        <v>37</v>
      </c>
      <c r="E1358" s="5" t="s">
        <v>37</v>
      </c>
      <c r="F1358" s="5" t="s">
        <v>37</v>
      </c>
      <c r="G1358" s="5" t="s">
        <v>845</v>
      </c>
      <c r="H1358" s="5">
        <v>1</v>
      </c>
      <c r="I1358" s="8" t="s">
        <v>8493</v>
      </c>
      <c r="J1358" s="8" t="s">
        <v>10542</v>
      </c>
      <c r="K1358" s="8" t="s">
        <v>2339</v>
      </c>
      <c r="L1358" s="8" t="s">
        <v>12593</v>
      </c>
      <c r="M1358" s="8" t="s">
        <v>4389</v>
      </c>
      <c r="N1358" s="8" t="s">
        <v>6440</v>
      </c>
      <c r="O1358" s="5" t="s">
        <v>137</v>
      </c>
      <c r="P1358" s="4">
        <v>45758</v>
      </c>
      <c r="Q1358" s="15">
        <v>49.9</v>
      </c>
      <c r="R1358" s="15">
        <v>0</v>
      </c>
      <c r="S1358" s="15">
        <v>0</v>
      </c>
      <c r="T1358"/>
    </row>
    <row r="1359" spans="1:20">
      <c r="A1359" s="5" t="s">
        <v>113</v>
      </c>
      <c r="B1359" s="5" t="s">
        <v>14686</v>
      </c>
      <c r="C1359" s="4">
        <v>45739</v>
      </c>
      <c r="D1359" s="4">
        <v>45740</v>
      </c>
      <c r="E1359" s="5" t="s">
        <v>16737</v>
      </c>
      <c r="F1359" s="5" t="s">
        <v>18726</v>
      </c>
      <c r="G1359" s="5" t="s">
        <v>855</v>
      </c>
      <c r="H1359" s="5">
        <v>1</v>
      </c>
      <c r="I1359" s="8" t="s">
        <v>8494</v>
      </c>
      <c r="J1359" s="8" t="s">
        <v>10543</v>
      </c>
      <c r="K1359" s="8" t="s">
        <v>2340</v>
      </c>
      <c r="L1359" s="8" t="s">
        <v>12594</v>
      </c>
      <c r="M1359" s="8" t="s">
        <v>4390</v>
      </c>
      <c r="N1359" s="8" t="s">
        <v>6441</v>
      </c>
      <c r="O1359" s="5" t="s">
        <v>138</v>
      </c>
      <c r="P1359" s="4">
        <v>45764</v>
      </c>
      <c r="Q1359" s="15">
        <v>29.99</v>
      </c>
      <c r="R1359" s="15">
        <v>10.61</v>
      </c>
      <c r="S1359" s="15">
        <v>0</v>
      </c>
      <c r="T1359"/>
    </row>
    <row r="1360" spans="1:20">
      <c r="A1360" s="5" t="s">
        <v>113</v>
      </c>
      <c r="B1360" s="5" t="s">
        <v>14687</v>
      </c>
      <c r="C1360" s="4">
        <v>45740</v>
      </c>
      <c r="D1360" s="4">
        <v>45740</v>
      </c>
      <c r="E1360" s="5" t="s">
        <v>16738</v>
      </c>
      <c r="F1360" s="5" t="s">
        <v>18727</v>
      </c>
      <c r="G1360" s="5" t="s">
        <v>894</v>
      </c>
      <c r="H1360" s="5">
        <v>1</v>
      </c>
      <c r="I1360" s="8" t="s">
        <v>8495</v>
      </c>
      <c r="J1360" s="8" t="s">
        <v>10544</v>
      </c>
      <c r="K1360" s="8" t="s">
        <v>2341</v>
      </c>
      <c r="L1360" s="8" t="s">
        <v>12595</v>
      </c>
      <c r="M1360" s="8" t="s">
        <v>4391</v>
      </c>
      <c r="N1360" s="8" t="s">
        <v>6442</v>
      </c>
      <c r="O1360" s="5" t="s">
        <v>127</v>
      </c>
      <c r="P1360" s="4">
        <v>45758</v>
      </c>
      <c r="Q1360" s="15">
        <v>44.95</v>
      </c>
      <c r="R1360" s="15">
        <v>11.48</v>
      </c>
      <c r="S1360" s="15">
        <v>0</v>
      </c>
      <c r="T1360"/>
    </row>
    <row r="1361" spans="1:20">
      <c r="A1361" s="5" t="s">
        <v>113</v>
      </c>
      <c r="B1361" s="5" t="s">
        <v>14688</v>
      </c>
      <c r="C1361" s="4">
        <v>45740</v>
      </c>
      <c r="D1361" s="4">
        <v>45740</v>
      </c>
      <c r="E1361" s="5" t="s">
        <v>16739</v>
      </c>
      <c r="F1361" s="5" t="s">
        <v>18728</v>
      </c>
      <c r="G1361" s="5" t="s">
        <v>831</v>
      </c>
      <c r="H1361" s="5">
        <v>1</v>
      </c>
      <c r="I1361" s="8" t="s">
        <v>8496</v>
      </c>
      <c r="J1361" s="8" t="s">
        <v>10545</v>
      </c>
      <c r="K1361" s="8" t="s">
        <v>2342</v>
      </c>
      <c r="L1361" s="8" t="s">
        <v>12596</v>
      </c>
      <c r="M1361" s="8" t="s">
        <v>4392</v>
      </c>
      <c r="N1361" s="8" t="s">
        <v>6443</v>
      </c>
      <c r="O1361" s="5" t="s">
        <v>139</v>
      </c>
      <c r="P1361" s="4">
        <v>45764</v>
      </c>
      <c r="Q1361" s="15">
        <v>59.89</v>
      </c>
      <c r="R1361" s="15">
        <v>12.49</v>
      </c>
      <c r="S1361" s="15">
        <v>0</v>
      </c>
      <c r="T1361"/>
    </row>
    <row r="1362" spans="1:20">
      <c r="A1362" s="5" t="s">
        <v>113</v>
      </c>
      <c r="B1362" s="5" t="s">
        <v>14689</v>
      </c>
      <c r="C1362" s="4">
        <v>45740</v>
      </c>
      <c r="D1362" s="4">
        <v>45740</v>
      </c>
      <c r="E1362" s="5" t="s">
        <v>16740</v>
      </c>
      <c r="F1362" s="5" t="s">
        <v>18729</v>
      </c>
      <c r="G1362" s="5" t="s">
        <v>845</v>
      </c>
      <c r="H1362" s="5">
        <v>1</v>
      </c>
      <c r="I1362" s="8" t="s">
        <v>8497</v>
      </c>
      <c r="J1362" s="8" t="s">
        <v>10546</v>
      </c>
      <c r="K1362" s="8" t="s">
        <v>2343</v>
      </c>
      <c r="L1362" s="8" t="s">
        <v>12597</v>
      </c>
      <c r="M1362" s="8" t="s">
        <v>4393</v>
      </c>
      <c r="N1362" s="8" t="s">
        <v>6444</v>
      </c>
      <c r="O1362" s="5" t="s">
        <v>137</v>
      </c>
      <c r="P1362" s="4">
        <v>45758</v>
      </c>
      <c r="Q1362" s="15">
        <v>49.9</v>
      </c>
      <c r="R1362" s="15">
        <v>11.77</v>
      </c>
      <c r="S1362" s="15">
        <v>0</v>
      </c>
      <c r="T1362"/>
    </row>
    <row r="1363" spans="1:20">
      <c r="A1363" s="5" t="s">
        <v>113</v>
      </c>
      <c r="B1363" s="5" t="s">
        <v>14690</v>
      </c>
      <c r="C1363" s="4">
        <v>45740</v>
      </c>
      <c r="D1363" s="4">
        <v>45740</v>
      </c>
      <c r="E1363" s="5" t="s">
        <v>16741</v>
      </c>
      <c r="F1363" s="5" t="s">
        <v>18730</v>
      </c>
      <c r="G1363" s="5" t="s">
        <v>855</v>
      </c>
      <c r="H1363" s="5">
        <v>1</v>
      </c>
      <c r="I1363" s="8" t="s">
        <v>8498</v>
      </c>
      <c r="J1363" s="8" t="s">
        <v>10547</v>
      </c>
      <c r="K1363" s="8" t="s">
        <v>2344</v>
      </c>
      <c r="L1363" s="8" t="s">
        <v>12598</v>
      </c>
      <c r="M1363" s="8" t="s">
        <v>4394</v>
      </c>
      <c r="N1363" s="8" t="s">
        <v>6445</v>
      </c>
      <c r="O1363" s="5" t="s">
        <v>138</v>
      </c>
      <c r="P1363" s="4">
        <v>45776</v>
      </c>
      <c r="Q1363" s="15">
        <v>29.99</v>
      </c>
      <c r="R1363" s="15">
        <v>10.19</v>
      </c>
      <c r="S1363" s="15">
        <v>0</v>
      </c>
      <c r="T1363"/>
    </row>
    <row r="1364" spans="1:20">
      <c r="A1364" s="5" t="s">
        <v>113</v>
      </c>
      <c r="B1364" s="5" t="s">
        <v>14691</v>
      </c>
      <c r="C1364" s="4">
        <v>45740</v>
      </c>
      <c r="D1364" s="4">
        <v>45740</v>
      </c>
      <c r="E1364" s="5" t="s">
        <v>16742</v>
      </c>
      <c r="F1364" s="5" t="s">
        <v>18731</v>
      </c>
      <c r="G1364" s="5" t="s">
        <v>902</v>
      </c>
      <c r="H1364" s="5">
        <v>1</v>
      </c>
      <c r="I1364" s="8" t="s">
        <v>8499</v>
      </c>
      <c r="J1364" s="8" t="s">
        <v>10548</v>
      </c>
      <c r="K1364" s="8" t="s">
        <v>2345</v>
      </c>
      <c r="L1364" s="8" t="s">
        <v>12599</v>
      </c>
      <c r="M1364" s="8" t="s">
        <v>4395</v>
      </c>
      <c r="N1364" s="8" t="s">
        <v>6446</v>
      </c>
      <c r="O1364" s="5" t="s">
        <v>129</v>
      </c>
      <c r="P1364" s="4">
        <v>45776</v>
      </c>
      <c r="Q1364" s="15">
        <v>32.99</v>
      </c>
      <c r="R1364" s="15">
        <v>10.19</v>
      </c>
      <c r="S1364" s="15">
        <v>0</v>
      </c>
      <c r="T1364"/>
    </row>
    <row r="1365" spans="1:20">
      <c r="A1365" s="5" t="s">
        <v>113</v>
      </c>
      <c r="B1365" s="5" t="s">
        <v>14692</v>
      </c>
      <c r="C1365" s="4">
        <v>45740</v>
      </c>
      <c r="D1365" s="4">
        <v>45740</v>
      </c>
      <c r="E1365" s="5" t="s">
        <v>16743</v>
      </c>
      <c r="F1365" s="5" t="s">
        <v>18732</v>
      </c>
      <c r="G1365" s="5" t="s">
        <v>845</v>
      </c>
      <c r="H1365" s="5">
        <v>1</v>
      </c>
      <c r="I1365" s="8" t="s">
        <v>8500</v>
      </c>
      <c r="J1365" s="8" t="s">
        <v>10549</v>
      </c>
      <c r="K1365" s="8" t="s">
        <v>2346</v>
      </c>
      <c r="L1365" s="8" t="s">
        <v>12600</v>
      </c>
      <c r="M1365" s="8" t="s">
        <v>4396</v>
      </c>
      <c r="N1365" s="8" t="s">
        <v>6447</v>
      </c>
      <c r="O1365" s="5" t="s">
        <v>137</v>
      </c>
      <c r="P1365" s="4">
        <v>45759</v>
      </c>
      <c r="Q1365" s="15">
        <v>49.9</v>
      </c>
      <c r="R1365" s="15">
        <v>11.77</v>
      </c>
      <c r="S1365" s="15">
        <v>0</v>
      </c>
      <c r="T1365"/>
    </row>
    <row r="1366" spans="1:20">
      <c r="A1366" s="5" t="s">
        <v>113</v>
      </c>
      <c r="B1366" s="5" t="s">
        <v>14693</v>
      </c>
      <c r="C1366" s="4">
        <v>45740</v>
      </c>
      <c r="D1366" s="4">
        <v>45740</v>
      </c>
      <c r="E1366" s="5" t="s">
        <v>16744</v>
      </c>
      <c r="F1366" s="5" t="s">
        <v>18733</v>
      </c>
      <c r="G1366" s="5" t="s">
        <v>848</v>
      </c>
      <c r="H1366" s="5">
        <v>1</v>
      </c>
      <c r="I1366" s="8" t="s">
        <v>8501</v>
      </c>
      <c r="J1366" s="8" t="s">
        <v>10550</v>
      </c>
      <c r="K1366" s="8" t="s">
        <v>2347</v>
      </c>
      <c r="L1366" s="8" t="s">
        <v>12601</v>
      </c>
      <c r="M1366" s="8" t="s">
        <v>4397</v>
      </c>
      <c r="N1366" s="8" t="s">
        <v>6448</v>
      </c>
      <c r="O1366" s="5" t="s">
        <v>140</v>
      </c>
      <c r="P1366" s="4">
        <v>45759</v>
      </c>
      <c r="Q1366" s="15">
        <v>70.489999999999995</v>
      </c>
      <c r="R1366" s="15">
        <v>34.24</v>
      </c>
      <c r="S1366" s="15">
        <v>0</v>
      </c>
      <c r="T1366"/>
    </row>
    <row r="1367" spans="1:20">
      <c r="A1367" s="5" t="s">
        <v>113</v>
      </c>
      <c r="B1367" s="5" t="s">
        <v>14694</v>
      </c>
      <c r="C1367" s="4">
        <v>45740</v>
      </c>
      <c r="D1367" s="4">
        <v>45741</v>
      </c>
      <c r="E1367" s="5" t="s">
        <v>16745</v>
      </c>
      <c r="F1367" s="5" t="s">
        <v>18734</v>
      </c>
      <c r="G1367" s="5" t="s">
        <v>902</v>
      </c>
      <c r="H1367" s="5">
        <v>1</v>
      </c>
      <c r="I1367" s="8" t="s">
        <v>8502</v>
      </c>
      <c r="J1367" s="8" t="s">
        <v>10551</v>
      </c>
      <c r="K1367" s="8" t="s">
        <v>2348</v>
      </c>
      <c r="L1367" s="8" t="s">
        <v>12602</v>
      </c>
      <c r="M1367" s="8" t="s">
        <v>4398</v>
      </c>
      <c r="N1367" s="8" t="s">
        <v>6449</v>
      </c>
      <c r="O1367" s="5" t="s">
        <v>129</v>
      </c>
      <c r="P1367" s="4">
        <v>45776</v>
      </c>
      <c r="Q1367" s="15">
        <v>32.99</v>
      </c>
      <c r="R1367" s="15">
        <v>10.17</v>
      </c>
      <c r="S1367" s="15">
        <v>0</v>
      </c>
      <c r="T1367"/>
    </row>
    <row r="1368" spans="1:20">
      <c r="A1368" s="5" t="s">
        <v>113</v>
      </c>
      <c r="B1368" s="5" t="s">
        <v>14695</v>
      </c>
      <c r="C1368" s="4">
        <v>45741</v>
      </c>
      <c r="D1368" s="4">
        <v>45741</v>
      </c>
      <c r="E1368" s="5" t="s">
        <v>16746</v>
      </c>
      <c r="F1368" s="5" t="s">
        <v>18735</v>
      </c>
      <c r="G1368" s="5" t="s">
        <v>860</v>
      </c>
      <c r="H1368" s="5">
        <v>1</v>
      </c>
      <c r="I1368" s="8" t="s">
        <v>8503</v>
      </c>
      <c r="J1368" s="8" t="s">
        <v>10552</v>
      </c>
      <c r="K1368" s="8" t="s">
        <v>2349</v>
      </c>
      <c r="L1368" s="8" t="s">
        <v>12603</v>
      </c>
      <c r="M1368" s="8" t="s">
        <v>4399</v>
      </c>
      <c r="N1368" s="8" t="s">
        <v>6450</v>
      </c>
      <c r="O1368" s="5" t="s">
        <v>141</v>
      </c>
      <c r="P1368" s="4">
        <v>45770</v>
      </c>
      <c r="Q1368" s="15">
        <v>53</v>
      </c>
      <c r="R1368" s="15">
        <v>22.33</v>
      </c>
      <c r="S1368" s="15">
        <v>0</v>
      </c>
      <c r="T1368"/>
    </row>
    <row r="1369" spans="1:20">
      <c r="A1369" s="5" t="s">
        <v>113</v>
      </c>
      <c r="B1369" s="5" t="s">
        <v>14696</v>
      </c>
      <c r="C1369" s="4">
        <v>45741</v>
      </c>
      <c r="D1369" s="4">
        <v>45741</v>
      </c>
      <c r="E1369" s="5" t="s">
        <v>16747</v>
      </c>
      <c r="F1369" s="5" t="s">
        <v>18736</v>
      </c>
      <c r="G1369" s="5" t="s">
        <v>905</v>
      </c>
      <c r="H1369" s="5">
        <v>1</v>
      </c>
      <c r="I1369" s="8" t="s">
        <v>8504</v>
      </c>
      <c r="J1369" s="8" t="s">
        <v>10553</v>
      </c>
      <c r="K1369" s="8" t="s">
        <v>2350</v>
      </c>
      <c r="L1369" s="8" t="s">
        <v>12604</v>
      </c>
      <c r="M1369" s="8" t="s">
        <v>4400</v>
      </c>
      <c r="N1369" s="8" t="s">
        <v>6451</v>
      </c>
      <c r="O1369" s="5" t="s">
        <v>125</v>
      </c>
      <c r="P1369" s="4">
        <v>45777</v>
      </c>
      <c r="Q1369" s="15">
        <v>32.99</v>
      </c>
      <c r="R1369" s="15">
        <v>0</v>
      </c>
      <c r="S1369" s="15">
        <v>0</v>
      </c>
      <c r="T1369"/>
    </row>
    <row r="1370" spans="1:20">
      <c r="A1370" s="5" t="s">
        <v>113</v>
      </c>
      <c r="B1370" s="5" t="s">
        <v>14697</v>
      </c>
      <c r="C1370" s="4">
        <v>45741</v>
      </c>
      <c r="D1370" s="4">
        <v>45741</v>
      </c>
      <c r="E1370" s="5" t="s">
        <v>16748</v>
      </c>
      <c r="F1370" s="5" t="s">
        <v>18737</v>
      </c>
      <c r="G1370" s="5" t="s">
        <v>845</v>
      </c>
      <c r="H1370" s="5">
        <v>1</v>
      </c>
      <c r="I1370" s="8" t="s">
        <v>8505</v>
      </c>
      <c r="J1370" s="8" t="s">
        <v>10554</v>
      </c>
      <c r="K1370" s="8" t="s">
        <v>2351</v>
      </c>
      <c r="L1370" s="8" t="s">
        <v>12605</v>
      </c>
      <c r="M1370" s="8" t="s">
        <v>4401</v>
      </c>
      <c r="N1370" s="8" t="s">
        <v>6452</v>
      </c>
      <c r="O1370" s="5" t="s">
        <v>137</v>
      </c>
      <c r="P1370" s="4">
        <v>45777</v>
      </c>
      <c r="Q1370" s="15">
        <v>49.9</v>
      </c>
      <c r="R1370" s="15">
        <v>11.57</v>
      </c>
      <c r="S1370" s="15">
        <v>0</v>
      </c>
      <c r="T1370"/>
    </row>
    <row r="1371" spans="1:20">
      <c r="A1371" s="5" t="s">
        <v>113</v>
      </c>
      <c r="B1371" s="5" t="s">
        <v>14698</v>
      </c>
      <c r="C1371" s="4">
        <v>45742</v>
      </c>
      <c r="D1371" s="4">
        <v>45742</v>
      </c>
      <c r="E1371" s="5" t="s">
        <v>16749</v>
      </c>
      <c r="F1371" s="5" t="s">
        <v>18738</v>
      </c>
      <c r="G1371" s="5" t="s">
        <v>905</v>
      </c>
      <c r="H1371" s="5">
        <v>1</v>
      </c>
      <c r="I1371" s="8" t="s">
        <v>8506</v>
      </c>
      <c r="J1371" s="8" t="s">
        <v>10555</v>
      </c>
      <c r="K1371" s="8" t="s">
        <v>2352</v>
      </c>
      <c r="L1371" s="8" t="s">
        <v>12606</v>
      </c>
      <c r="M1371" s="8" t="s">
        <v>4402</v>
      </c>
      <c r="N1371" s="8" t="s">
        <v>6453</v>
      </c>
      <c r="O1371" s="5" t="s">
        <v>125</v>
      </c>
      <c r="P1371" s="4">
        <v>45770</v>
      </c>
      <c r="Q1371" s="15">
        <v>32.99</v>
      </c>
      <c r="R1371" s="15">
        <v>10.16</v>
      </c>
      <c r="S1371" s="15">
        <v>0</v>
      </c>
      <c r="T1371"/>
    </row>
    <row r="1372" spans="1:20">
      <c r="A1372" s="5" t="s">
        <v>113</v>
      </c>
      <c r="B1372" s="5" t="s">
        <v>14699</v>
      </c>
      <c r="C1372" s="4">
        <v>45742</v>
      </c>
      <c r="D1372" s="4">
        <v>45743</v>
      </c>
      <c r="E1372" s="5" t="s">
        <v>16750</v>
      </c>
      <c r="F1372" s="5" t="s">
        <v>18739</v>
      </c>
      <c r="G1372" s="5" t="s">
        <v>860</v>
      </c>
      <c r="H1372" s="5">
        <v>1</v>
      </c>
      <c r="I1372" s="8" t="s">
        <v>8507</v>
      </c>
      <c r="J1372" s="8" t="s">
        <v>10556</v>
      </c>
      <c r="K1372" s="8" t="s">
        <v>2353</v>
      </c>
      <c r="L1372" s="8" t="s">
        <v>12607</v>
      </c>
      <c r="M1372" s="8" t="s">
        <v>4403</v>
      </c>
      <c r="N1372" s="8" t="s">
        <v>6454</v>
      </c>
      <c r="O1372" s="5" t="s">
        <v>141</v>
      </c>
      <c r="P1372" s="4">
        <v>45770</v>
      </c>
      <c r="Q1372" s="15">
        <v>53</v>
      </c>
      <c r="R1372" s="15">
        <v>22.44</v>
      </c>
      <c r="S1372" s="15">
        <v>0</v>
      </c>
      <c r="T1372"/>
    </row>
    <row r="1373" spans="1:20">
      <c r="A1373" s="5" t="s">
        <v>113</v>
      </c>
      <c r="B1373" s="5" t="s">
        <v>14700</v>
      </c>
      <c r="C1373" s="4">
        <v>45742</v>
      </c>
      <c r="D1373" s="4">
        <v>45743</v>
      </c>
      <c r="E1373" s="5" t="s">
        <v>16751</v>
      </c>
      <c r="F1373" s="5" t="s">
        <v>18740</v>
      </c>
      <c r="G1373" s="5" t="s">
        <v>860</v>
      </c>
      <c r="H1373" s="5">
        <v>1</v>
      </c>
      <c r="I1373" s="8" t="s">
        <v>8508</v>
      </c>
      <c r="J1373" s="8" t="s">
        <v>10557</v>
      </c>
      <c r="K1373" s="8" t="s">
        <v>2354</v>
      </c>
      <c r="L1373" s="8" t="s">
        <v>12608</v>
      </c>
      <c r="M1373" s="8" t="s">
        <v>4404</v>
      </c>
      <c r="N1373" s="8" t="s">
        <v>6455</v>
      </c>
      <c r="O1373" s="5" t="s">
        <v>141</v>
      </c>
      <c r="P1373" s="4">
        <v>45778</v>
      </c>
      <c r="Q1373" s="15">
        <v>53</v>
      </c>
      <c r="R1373" s="15">
        <v>21.66</v>
      </c>
      <c r="S1373" s="15">
        <v>0</v>
      </c>
      <c r="T1373"/>
    </row>
    <row r="1374" spans="1:20">
      <c r="A1374" s="5" t="s">
        <v>113</v>
      </c>
      <c r="B1374" s="5" t="s">
        <v>14701</v>
      </c>
      <c r="C1374" s="4">
        <v>45743</v>
      </c>
      <c r="D1374" s="4">
        <v>45743</v>
      </c>
      <c r="E1374" s="5" t="s">
        <v>16752</v>
      </c>
      <c r="F1374" s="5" t="s">
        <v>18741</v>
      </c>
      <c r="G1374" s="5" t="s">
        <v>849</v>
      </c>
      <c r="H1374" s="5">
        <v>1</v>
      </c>
      <c r="I1374" s="8" t="s">
        <v>8509</v>
      </c>
      <c r="J1374" s="8" t="s">
        <v>10558</v>
      </c>
      <c r="K1374" s="8" t="s">
        <v>2355</v>
      </c>
      <c r="L1374" s="8" t="s">
        <v>12609</v>
      </c>
      <c r="M1374" s="8" t="s">
        <v>4405</v>
      </c>
      <c r="N1374" s="8" t="s">
        <v>6456</v>
      </c>
      <c r="O1374" s="5" t="s">
        <v>116</v>
      </c>
      <c r="P1374" s="4">
        <v>45764</v>
      </c>
      <c r="Q1374" s="15">
        <v>65.75</v>
      </c>
      <c r="R1374" s="15">
        <v>17.22</v>
      </c>
      <c r="S1374" s="15">
        <v>0</v>
      </c>
      <c r="T1374"/>
    </row>
    <row r="1375" spans="1:20">
      <c r="A1375" s="5" t="s">
        <v>113</v>
      </c>
      <c r="B1375" s="5" t="s">
        <v>14702</v>
      </c>
      <c r="C1375" s="4">
        <v>45743</v>
      </c>
      <c r="D1375" s="4">
        <v>45743</v>
      </c>
      <c r="E1375" s="5" t="s">
        <v>16753</v>
      </c>
      <c r="F1375" s="5" t="s">
        <v>18742</v>
      </c>
      <c r="G1375" s="5" t="s">
        <v>896</v>
      </c>
      <c r="H1375" s="5">
        <v>1</v>
      </c>
      <c r="I1375" s="8" t="s">
        <v>8510</v>
      </c>
      <c r="J1375" s="8" t="s">
        <v>10559</v>
      </c>
      <c r="K1375" s="8" t="s">
        <v>2356</v>
      </c>
      <c r="L1375" s="8" t="s">
        <v>12610</v>
      </c>
      <c r="M1375" s="8" t="s">
        <v>4406</v>
      </c>
      <c r="N1375" s="8" t="s">
        <v>6457</v>
      </c>
      <c r="O1375" s="5" t="s">
        <v>142</v>
      </c>
      <c r="P1375" s="4">
        <v>45764</v>
      </c>
      <c r="Q1375" s="15">
        <v>99.77</v>
      </c>
      <c r="R1375" s="15">
        <v>44.65</v>
      </c>
      <c r="S1375" s="15">
        <v>0</v>
      </c>
      <c r="T1375"/>
    </row>
    <row r="1376" spans="1:20">
      <c r="A1376" s="5" t="s">
        <v>113</v>
      </c>
      <c r="B1376" s="5" t="s">
        <v>14703</v>
      </c>
      <c r="C1376" s="4">
        <v>45743</v>
      </c>
      <c r="D1376" s="4">
        <v>45743</v>
      </c>
      <c r="E1376" s="5" t="s">
        <v>16754</v>
      </c>
      <c r="F1376" s="5" t="s">
        <v>18743</v>
      </c>
      <c r="G1376" s="5" t="s">
        <v>831</v>
      </c>
      <c r="H1376" s="5">
        <v>1</v>
      </c>
      <c r="I1376" s="8" t="s">
        <v>8511</v>
      </c>
      <c r="J1376" s="8" t="s">
        <v>10560</v>
      </c>
      <c r="K1376" s="8" t="s">
        <v>2357</v>
      </c>
      <c r="L1376" s="8" t="s">
        <v>12611</v>
      </c>
      <c r="M1376" s="8" t="s">
        <v>4407</v>
      </c>
      <c r="N1376" s="8" t="s">
        <v>6458</v>
      </c>
      <c r="O1376" s="5" t="s">
        <v>139</v>
      </c>
      <c r="P1376" s="4">
        <v>45772</v>
      </c>
      <c r="Q1376" s="15">
        <v>59.69</v>
      </c>
      <c r="R1376" s="15">
        <v>17.440000000000001</v>
      </c>
      <c r="S1376" s="15">
        <v>0</v>
      </c>
      <c r="T1376"/>
    </row>
    <row r="1377" spans="1:20">
      <c r="A1377" s="5" t="s">
        <v>113</v>
      </c>
      <c r="B1377" s="5" t="s">
        <v>14704</v>
      </c>
      <c r="C1377" s="4">
        <v>45743</v>
      </c>
      <c r="D1377" s="4">
        <v>45743</v>
      </c>
      <c r="E1377" s="5" t="s">
        <v>16755</v>
      </c>
      <c r="F1377" s="5" t="s">
        <v>18744</v>
      </c>
      <c r="G1377" s="5" t="s">
        <v>860</v>
      </c>
      <c r="H1377" s="5">
        <v>1</v>
      </c>
      <c r="I1377" s="8" t="s">
        <v>8512</v>
      </c>
      <c r="J1377" s="8" t="s">
        <v>10561</v>
      </c>
      <c r="K1377" s="8" t="s">
        <v>2358</v>
      </c>
      <c r="L1377" s="8" t="s">
        <v>12612</v>
      </c>
      <c r="M1377" s="8" t="s">
        <v>4408</v>
      </c>
      <c r="N1377" s="8" t="s">
        <v>6459</v>
      </c>
      <c r="O1377" s="5" t="s">
        <v>141</v>
      </c>
      <c r="P1377" s="4">
        <v>45772</v>
      </c>
      <c r="Q1377" s="15">
        <v>53</v>
      </c>
      <c r="R1377" s="15">
        <v>21.66</v>
      </c>
      <c r="S1377" s="15">
        <v>0</v>
      </c>
      <c r="T1377"/>
    </row>
    <row r="1378" spans="1:20">
      <c r="A1378" s="5" t="s">
        <v>113</v>
      </c>
      <c r="B1378" s="5" t="s">
        <v>14705</v>
      </c>
      <c r="C1378" s="4">
        <v>45744</v>
      </c>
      <c r="D1378" s="4">
        <v>45744</v>
      </c>
      <c r="E1378" s="5" t="s">
        <v>16756</v>
      </c>
      <c r="F1378" s="5" t="s">
        <v>18745</v>
      </c>
      <c r="G1378" s="5" t="s">
        <v>836</v>
      </c>
      <c r="H1378" s="5">
        <v>1</v>
      </c>
      <c r="I1378" s="8" t="s">
        <v>8513</v>
      </c>
      <c r="J1378" s="8" t="s">
        <v>10562</v>
      </c>
      <c r="K1378" s="8" t="s">
        <v>2359</v>
      </c>
      <c r="L1378" s="8" t="s">
        <v>12613</v>
      </c>
      <c r="M1378" s="8" t="s">
        <v>4409</v>
      </c>
      <c r="N1378" s="8" t="s">
        <v>6460</v>
      </c>
      <c r="O1378" s="5" t="s">
        <v>143</v>
      </c>
      <c r="P1378" s="4">
        <v>45765</v>
      </c>
      <c r="Q1378" s="15">
        <v>32.67</v>
      </c>
      <c r="R1378" s="15">
        <v>17.899999999999999</v>
      </c>
      <c r="S1378" s="15">
        <v>0</v>
      </c>
      <c r="T1378"/>
    </row>
    <row r="1379" spans="1:20">
      <c r="A1379" s="5" t="s">
        <v>113</v>
      </c>
      <c r="B1379" s="5" t="s">
        <v>14706</v>
      </c>
      <c r="C1379" s="4">
        <v>45744</v>
      </c>
      <c r="D1379" s="4">
        <v>45746</v>
      </c>
      <c r="E1379" s="5" t="s">
        <v>16757</v>
      </c>
      <c r="F1379" s="5" t="s">
        <v>18746</v>
      </c>
      <c r="G1379" s="5" t="s">
        <v>836</v>
      </c>
      <c r="H1379" s="5">
        <v>1</v>
      </c>
      <c r="I1379" s="8" t="s">
        <v>8513</v>
      </c>
      <c r="J1379" s="8" t="s">
        <v>10562</v>
      </c>
      <c r="K1379" s="8" t="s">
        <v>2359</v>
      </c>
      <c r="L1379" s="8" t="s">
        <v>12613</v>
      </c>
      <c r="M1379" s="8" t="s">
        <v>4409</v>
      </c>
      <c r="N1379" s="8" t="s">
        <v>6460</v>
      </c>
      <c r="O1379" s="5" t="s">
        <v>143</v>
      </c>
      <c r="P1379" s="4">
        <v>45765</v>
      </c>
      <c r="Q1379" s="15">
        <v>32.67</v>
      </c>
      <c r="R1379" s="15">
        <v>13.3</v>
      </c>
      <c r="S1379" s="15">
        <v>0</v>
      </c>
      <c r="T1379"/>
    </row>
    <row r="1380" spans="1:20">
      <c r="A1380" s="5" t="s">
        <v>113</v>
      </c>
      <c r="B1380" s="5" t="s">
        <v>14707</v>
      </c>
      <c r="C1380" s="4">
        <v>45745</v>
      </c>
      <c r="D1380" s="4">
        <v>45747</v>
      </c>
      <c r="E1380" s="5" t="s">
        <v>16758</v>
      </c>
      <c r="F1380" s="5" t="s">
        <v>18747</v>
      </c>
      <c r="G1380" s="5" t="s">
        <v>855</v>
      </c>
      <c r="H1380" s="5">
        <v>1</v>
      </c>
      <c r="I1380" s="8" t="s">
        <v>8514</v>
      </c>
      <c r="J1380" s="8" t="s">
        <v>10563</v>
      </c>
      <c r="K1380" s="8" t="s">
        <v>2360</v>
      </c>
      <c r="L1380" s="8" t="s">
        <v>12614</v>
      </c>
      <c r="M1380" s="8" t="s">
        <v>4410</v>
      </c>
      <c r="N1380" s="8" t="s">
        <v>6461</v>
      </c>
      <c r="O1380" s="5" t="s">
        <v>138</v>
      </c>
      <c r="P1380" s="4">
        <v>45773</v>
      </c>
      <c r="Q1380" s="15">
        <v>29.99</v>
      </c>
      <c r="R1380" s="15">
        <v>12.73</v>
      </c>
      <c r="S1380" s="15">
        <v>0</v>
      </c>
      <c r="T1380"/>
    </row>
    <row r="1381" spans="1:20">
      <c r="A1381" s="5" t="s">
        <v>113</v>
      </c>
      <c r="B1381" s="5" t="s">
        <v>14708</v>
      </c>
      <c r="C1381" s="4">
        <v>45745</v>
      </c>
      <c r="D1381" s="4" t="s">
        <v>37</v>
      </c>
      <c r="E1381" s="5" t="s">
        <v>37</v>
      </c>
      <c r="F1381" s="5" t="s">
        <v>37</v>
      </c>
      <c r="G1381" s="5" t="s">
        <v>831</v>
      </c>
      <c r="H1381" s="5">
        <v>1</v>
      </c>
      <c r="I1381" s="8" t="s">
        <v>8515</v>
      </c>
      <c r="J1381" s="8" t="s">
        <v>10564</v>
      </c>
      <c r="K1381" s="8" t="s">
        <v>2361</v>
      </c>
      <c r="L1381" s="8" t="s">
        <v>12615</v>
      </c>
      <c r="M1381" s="8" t="s">
        <v>4411</v>
      </c>
      <c r="N1381" s="8" t="s">
        <v>6462</v>
      </c>
      <c r="O1381" s="5" t="s">
        <v>139</v>
      </c>
      <c r="P1381" s="4">
        <v>45765</v>
      </c>
      <c r="Q1381" s="15">
        <v>59.69</v>
      </c>
      <c r="R1381" s="15">
        <v>0</v>
      </c>
      <c r="S1381" s="15">
        <v>0</v>
      </c>
      <c r="T1381"/>
    </row>
    <row r="1382" spans="1:20">
      <c r="A1382" s="5" t="s">
        <v>113</v>
      </c>
      <c r="B1382" s="5" t="s">
        <v>14709</v>
      </c>
      <c r="C1382" s="4">
        <v>45745</v>
      </c>
      <c r="D1382" s="4">
        <v>45747</v>
      </c>
      <c r="E1382" s="5" t="s">
        <v>16759</v>
      </c>
      <c r="F1382" s="5" t="s">
        <v>18748</v>
      </c>
      <c r="G1382" s="5" t="s">
        <v>876</v>
      </c>
      <c r="H1382" s="5">
        <v>1</v>
      </c>
      <c r="I1382" s="8" t="s">
        <v>8516</v>
      </c>
      <c r="J1382" s="8" t="s">
        <v>10565</v>
      </c>
      <c r="K1382" s="8" t="s">
        <v>2362</v>
      </c>
      <c r="L1382" s="8" t="s">
        <v>12616</v>
      </c>
      <c r="M1382" s="8" t="s">
        <v>4412</v>
      </c>
      <c r="N1382" s="8" t="s">
        <v>6463</v>
      </c>
      <c r="O1382" s="5" t="s">
        <v>144</v>
      </c>
      <c r="P1382" s="4">
        <v>45765</v>
      </c>
      <c r="Q1382" s="15">
        <v>52.95</v>
      </c>
      <c r="R1382" s="15">
        <v>23.28</v>
      </c>
      <c r="S1382" s="15">
        <v>0</v>
      </c>
      <c r="T1382"/>
    </row>
    <row r="1383" spans="1:20">
      <c r="A1383" s="5" t="s">
        <v>113</v>
      </c>
      <c r="B1383" s="5" t="s">
        <v>14710</v>
      </c>
      <c r="C1383" s="4">
        <v>45746</v>
      </c>
      <c r="D1383" s="4">
        <v>45747</v>
      </c>
      <c r="E1383" s="5" t="s">
        <v>16760</v>
      </c>
      <c r="F1383" s="5" t="s">
        <v>18749</v>
      </c>
      <c r="G1383" s="5" t="s">
        <v>855</v>
      </c>
      <c r="H1383" s="5">
        <v>1</v>
      </c>
      <c r="I1383" s="8" t="s">
        <v>8517</v>
      </c>
      <c r="J1383" s="8" t="s">
        <v>10566</v>
      </c>
      <c r="K1383" s="8" t="s">
        <v>2363</v>
      </c>
      <c r="L1383" s="8" t="s">
        <v>12617</v>
      </c>
      <c r="M1383" s="8" t="s">
        <v>4413</v>
      </c>
      <c r="N1383" s="8" t="s">
        <v>6464</v>
      </c>
      <c r="O1383" s="5" t="s">
        <v>138</v>
      </c>
      <c r="P1383" s="4">
        <v>45765</v>
      </c>
      <c r="Q1383" s="15">
        <v>29.99</v>
      </c>
      <c r="R1383" s="15">
        <v>11.12</v>
      </c>
      <c r="S1383" s="15">
        <v>0</v>
      </c>
      <c r="T1383"/>
    </row>
    <row r="1384" spans="1:20">
      <c r="A1384" s="5" t="s">
        <v>113</v>
      </c>
      <c r="B1384" s="5" t="s">
        <v>14711</v>
      </c>
      <c r="C1384" s="4">
        <v>45746</v>
      </c>
      <c r="D1384" s="4">
        <v>45747</v>
      </c>
      <c r="E1384" s="5" t="s">
        <v>16761</v>
      </c>
      <c r="F1384" s="5" t="s">
        <v>18750</v>
      </c>
      <c r="G1384" s="5" t="s">
        <v>876</v>
      </c>
      <c r="H1384" s="5">
        <v>1</v>
      </c>
      <c r="I1384" s="8" t="s">
        <v>8518</v>
      </c>
      <c r="J1384" s="8" t="s">
        <v>10567</v>
      </c>
      <c r="K1384" s="8" t="s">
        <v>2364</v>
      </c>
      <c r="L1384" s="8" t="s">
        <v>12618</v>
      </c>
      <c r="M1384" s="8" t="s">
        <v>4414</v>
      </c>
      <c r="N1384" s="8" t="s">
        <v>6465</v>
      </c>
      <c r="O1384" s="5" t="s">
        <v>144</v>
      </c>
      <c r="P1384" s="4">
        <v>45765</v>
      </c>
      <c r="Q1384" s="15">
        <v>52.95</v>
      </c>
      <c r="R1384" s="15">
        <v>23.28</v>
      </c>
      <c r="S1384" s="15">
        <v>0</v>
      </c>
      <c r="T1384"/>
    </row>
    <row r="1385" spans="1:20">
      <c r="A1385" s="5" t="s">
        <v>113</v>
      </c>
      <c r="B1385" s="5" t="s">
        <v>14712</v>
      </c>
      <c r="C1385" s="4">
        <v>45746</v>
      </c>
      <c r="D1385" s="4">
        <v>45747</v>
      </c>
      <c r="E1385" s="5" t="s">
        <v>16762</v>
      </c>
      <c r="F1385" s="5" t="s">
        <v>18751</v>
      </c>
      <c r="G1385" s="5" t="s">
        <v>860</v>
      </c>
      <c r="H1385" s="5">
        <v>1</v>
      </c>
      <c r="I1385" s="8" t="s">
        <v>8519</v>
      </c>
      <c r="J1385" s="8" t="s">
        <v>10568</v>
      </c>
      <c r="K1385" s="8" t="s">
        <v>2365</v>
      </c>
      <c r="L1385" s="8" t="s">
        <v>12619</v>
      </c>
      <c r="M1385" s="8" t="s">
        <v>4415</v>
      </c>
      <c r="N1385" s="8" t="s">
        <v>6466</v>
      </c>
      <c r="O1385" s="5" t="s">
        <v>141</v>
      </c>
      <c r="P1385" s="4">
        <v>45773</v>
      </c>
      <c r="Q1385" s="15">
        <v>53</v>
      </c>
      <c r="R1385" s="15">
        <v>33.11</v>
      </c>
      <c r="S1385" s="15">
        <v>0</v>
      </c>
      <c r="T1385"/>
    </row>
    <row r="1386" spans="1:20">
      <c r="A1386" s="5" t="s">
        <v>113</v>
      </c>
      <c r="B1386" s="5" t="s">
        <v>14713</v>
      </c>
      <c r="C1386" s="4">
        <v>45746</v>
      </c>
      <c r="D1386" s="4">
        <v>45747</v>
      </c>
      <c r="E1386" s="5" t="s">
        <v>16763</v>
      </c>
      <c r="F1386" s="5" t="s">
        <v>18752</v>
      </c>
      <c r="G1386" s="5" t="s">
        <v>849</v>
      </c>
      <c r="H1386" s="5">
        <v>1</v>
      </c>
      <c r="I1386" s="8" t="s">
        <v>8520</v>
      </c>
      <c r="J1386" s="8" t="s">
        <v>10569</v>
      </c>
      <c r="K1386" s="8" t="s">
        <v>2366</v>
      </c>
      <c r="L1386" s="8" t="s">
        <v>12620</v>
      </c>
      <c r="M1386" s="8" t="s">
        <v>4416</v>
      </c>
      <c r="N1386" s="8" t="s">
        <v>6467</v>
      </c>
      <c r="O1386" s="5" t="s">
        <v>116</v>
      </c>
      <c r="P1386" s="4">
        <v>45773</v>
      </c>
      <c r="Q1386" s="15">
        <v>65.75</v>
      </c>
      <c r="R1386" s="15">
        <v>20.93</v>
      </c>
      <c r="S1386" s="15">
        <v>0</v>
      </c>
      <c r="T1386"/>
    </row>
    <row r="1387" spans="1:20">
      <c r="A1387" s="5" t="s">
        <v>113</v>
      </c>
      <c r="B1387" s="5" t="s">
        <v>14714</v>
      </c>
      <c r="C1387" s="4">
        <v>45746</v>
      </c>
      <c r="D1387" s="4">
        <v>45747</v>
      </c>
      <c r="E1387" s="5" t="s">
        <v>16764</v>
      </c>
      <c r="F1387" s="5" t="s">
        <v>18753</v>
      </c>
      <c r="G1387" s="5" t="s">
        <v>849</v>
      </c>
      <c r="H1387" s="5">
        <v>1</v>
      </c>
      <c r="I1387" s="8" t="s">
        <v>8521</v>
      </c>
      <c r="J1387" s="8" t="s">
        <v>10570</v>
      </c>
      <c r="K1387" s="8" t="s">
        <v>2367</v>
      </c>
      <c r="L1387" s="8" t="s">
        <v>12621</v>
      </c>
      <c r="M1387" s="8" t="s">
        <v>4417</v>
      </c>
      <c r="N1387" s="8" t="s">
        <v>6468</v>
      </c>
      <c r="O1387" s="5" t="s">
        <v>116</v>
      </c>
      <c r="P1387" s="4">
        <v>45765</v>
      </c>
      <c r="Q1387" s="15">
        <v>65.75</v>
      </c>
      <c r="R1387" s="15">
        <v>17.48</v>
      </c>
      <c r="S1387" s="15">
        <v>0</v>
      </c>
      <c r="T1387"/>
    </row>
    <row r="1388" spans="1:20">
      <c r="A1388" s="5" t="s">
        <v>113</v>
      </c>
      <c r="B1388" s="5" t="s">
        <v>14715</v>
      </c>
      <c r="C1388" s="4">
        <v>45747</v>
      </c>
      <c r="D1388" s="4">
        <v>45747</v>
      </c>
      <c r="E1388" s="5" t="s">
        <v>16765</v>
      </c>
      <c r="F1388" s="5" t="s">
        <v>18754</v>
      </c>
      <c r="G1388" s="5" t="s">
        <v>860</v>
      </c>
      <c r="H1388" s="5">
        <v>1</v>
      </c>
      <c r="I1388" s="8" t="s">
        <v>8522</v>
      </c>
      <c r="J1388" s="8" t="s">
        <v>10571</v>
      </c>
      <c r="K1388" s="8" t="s">
        <v>2368</v>
      </c>
      <c r="L1388" s="8" t="s">
        <v>12622</v>
      </c>
      <c r="M1388" s="8" t="s">
        <v>4418</v>
      </c>
      <c r="N1388" s="8" t="s">
        <v>6469</v>
      </c>
      <c r="O1388" s="5" t="s">
        <v>141</v>
      </c>
      <c r="P1388" s="4">
        <v>45773</v>
      </c>
      <c r="Q1388" s="15">
        <v>53</v>
      </c>
      <c r="R1388" s="15">
        <v>34.26</v>
      </c>
      <c r="S1388" s="15">
        <v>0</v>
      </c>
      <c r="T1388"/>
    </row>
    <row r="1389" spans="1:20">
      <c r="A1389" s="5" t="s">
        <v>113</v>
      </c>
      <c r="B1389" s="5" t="s">
        <v>14716</v>
      </c>
      <c r="C1389" s="4">
        <v>45747</v>
      </c>
      <c r="D1389" s="4">
        <v>45749</v>
      </c>
      <c r="E1389" s="5" t="s">
        <v>16766</v>
      </c>
      <c r="F1389" s="5" t="s">
        <v>18755</v>
      </c>
      <c r="G1389" s="5" t="s">
        <v>905</v>
      </c>
      <c r="H1389" s="5">
        <v>1</v>
      </c>
      <c r="I1389" s="8" t="s">
        <v>8523</v>
      </c>
      <c r="J1389" s="8" t="s">
        <v>10572</v>
      </c>
      <c r="K1389" s="8" t="s">
        <v>2369</v>
      </c>
      <c r="L1389" s="8" t="s">
        <v>12623</v>
      </c>
      <c r="M1389" s="8" t="s">
        <v>4419</v>
      </c>
      <c r="N1389" s="8" t="s">
        <v>6470</v>
      </c>
      <c r="O1389" s="5" t="s">
        <v>125</v>
      </c>
      <c r="P1389" s="4">
        <v>45773</v>
      </c>
      <c r="Q1389" s="15">
        <v>26.99</v>
      </c>
      <c r="R1389" s="15">
        <v>10.56</v>
      </c>
      <c r="S1389" s="15">
        <v>0</v>
      </c>
      <c r="T1389"/>
    </row>
    <row r="1390" spans="1:20">
      <c r="A1390" s="5" t="s">
        <v>113</v>
      </c>
      <c r="B1390" s="5" t="s">
        <v>14717</v>
      </c>
      <c r="C1390" s="4">
        <v>45747</v>
      </c>
      <c r="D1390" s="4">
        <v>45747</v>
      </c>
      <c r="E1390" s="5" t="s">
        <v>16767</v>
      </c>
      <c r="F1390" s="5" t="s">
        <v>18756</v>
      </c>
      <c r="G1390" s="5" t="s">
        <v>905</v>
      </c>
      <c r="H1390" s="5">
        <v>1</v>
      </c>
      <c r="I1390" s="8" t="s">
        <v>8524</v>
      </c>
      <c r="J1390" s="8" t="s">
        <v>10573</v>
      </c>
      <c r="K1390" s="8" t="s">
        <v>2370</v>
      </c>
      <c r="L1390" s="8" t="s">
        <v>12624</v>
      </c>
      <c r="M1390" s="8" t="s">
        <v>4420</v>
      </c>
      <c r="N1390" s="8" t="s">
        <v>6471</v>
      </c>
      <c r="O1390" s="5" t="s">
        <v>125</v>
      </c>
      <c r="P1390" s="4">
        <v>45776</v>
      </c>
      <c r="Q1390" s="15">
        <v>26.99</v>
      </c>
      <c r="R1390" s="15">
        <v>10.210000000000001</v>
      </c>
      <c r="S1390" s="15">
        <v>0</v>
      </c>
      <c r="T1390"/>
    </row>
    <row r="1391" spans="1:20">
      <c r="A1391" s="5" t="s">
        <v>113</v>
      </c>
      <c r="B1391" s="5" t="s">
        <v>14718</v>
      </c>
      <c r="C1391" s="4">
        <v>45747</v>
      </c>
      <c r="D1391" s="4">
        <v>45747</v>
      </c>
      <c r="E1391" s="5" t="s">
        <v>16768</v>
      </c>
      <c r="F1391" s="5" t="s">
        <v>18757</v>
      </c>
      <c r="G1391" s="5" t="s">
        <v>889</v>
      </c>
      <c r="H1391" s="5">
        <v>1</v>
      </c>
      <c r="I1391" s="8" t="s">
        <v>8525</v>
      </c>
      <c r="J1391" s="8" t="s">
        <v>10574</v>
      </c>
      <c r="K1391" s="8" t="s">
        <v>2371</v>
      </c>
      <c r="L1391" s="8" t="s">
        <v>12625</v>
      </c>
      <c r="M1391" s="8" t="s">
        <v>4421</v>
      </c>
      <c r="N1391" s="8" t="s">
        <v>6472</v>
      </c>
      <c r="O1391" s="5" t="s">
        <v>145</v>
      </c>
      <c r="P1391" s="4">
        <v>45776</v>
      </c>
      <c r="Q1391" s="15">
        <v>49.99</v>
      </c>
      <c r="R1391" s="15">
        <v>17.09</v>
      </c>
      <c r="S1391" s="15">
        <v>0</v>
      </c>
      <c r="T1391"/>
    </row>
    <row r="1392" spans="1:20">
      <c r="A1392" s="5" t="s">
        <v>113</v>
      </c>
      <c r="B1392" s="5" t="s">
        <v>14719</v>
      </c>
      <c r="C1392" s="4">
        <v>45747</v>
      </c>
      <c r="D1392" s="4">
        <v>45749</v>
      </c>
      <c r="E1392" s="5" t="s">
        <v>16769</v>
      </c>
      <c r="F1392" s="5" t="s">
        <v>18758</v>
      </c>
      <c r="G1392" s="5" t="s">
        <v>905</v>
      </c>
      <c r="H1392" s="5">
        <v>1</v>
      </c>
      <c r="I1392" s="8" t="s">
        <v>8526</v>
      </c>
      <c r="J1392" s="8" t="s">
        <v>10575</v>
      </c>
      <c r="K1392" s="8" t="s">
        <v>2372</v>
      </c>
      <c r="L1392" s="8" t="s">
        <v>12626</v>
      </c>
      <c r="M1392" s="8" t="s">
        <v>4422</v>
      </c>
      <c r="N1392" s="8" t="s">
        <v>6473</v>
      </c>
      <c r="O1392" s="5" t="s">
        <v>125</v>
      </c>
      <c r="P1392" s="4">
        <v>45776</v>
      </c>
      <c r="Q1392" s="15">
        <v>26.99</v>
      </c>
      <c r="R1392" s="15">
        <v>10.210000000000001</v>
      </c>
      <c r="S1392" s="15">
        <v>0</v>
      </c>
      <c r="T1392"/>
    </row>
    <row r="1393" spans="1:20">
      <c r="A1393" s="5" t="s">
        <v>113</v>
      </c>
      <c r="B1393" s="5" t="s">
        <v>14720</v>
      </c>
      <c r="C1393" s="4">
        <v>45747</v>
      </c>
      <c r="D1393" s="4">
        <v>45747</v>
      </c>
      <c r="E1393" s="5" t="s">
        <v>16770</v>
      </c>
      <c r="F1393" s="5" t="s">
        <v>18759</v>
      </c>
      <c r="G1393" s="5" t="s">
        <v>872</v>
      </c>
      <c r="H1393" s="5">
        <v>1</v>
      </c>
      <c r="I1393" s="8" t="s">
        <v>8527</v>
      </c>
      <c r="J1393" s="8" t="s">
        <v>10576</v>
      </c>
      <c r="K1393" s="8" t="s">
        <v>2373</v>
      </c>
      <c r="L1393" s="8" t="s">
        <v>12627</v>
      </c>
      <c r="M1393" s="8" t="s">
        <v>4423</v>
      </c>
      <c r="N1393" s="8" t="s">
        <v>6474</v>
      </c>
      <c r="O1393" s="5" t="s">
        <v>146</v>
      </c>
      <c r="P1393" s="4">
        <v>45776</v>
      </c>
      <c r="Q1393" s="15">
        <v>25.88</v>
      </c>
      <c r="R1393" s="15">
        <v>12.5</v>
      </c>
      <c r="S1393" s="15">
        <v>0</v>
      </c>
      <c r="T1393"/>
    </row>
    <row r="1394" spans="1:20">
      <c r="A1394" s="5" t="s">
        <v>113</v>
      </c>
      <c r="B1394" s="5" t="s">
        <v>14721</v>
      </c>
      <c r="C1394" s="4">
        <v>45747</v>
      </c>
      <c r="D1394" s="4">
        <v>45749</v>
      </c>
      <c r="E1394" s="5" t="s">
        <v>16771</v>
      </c>
      <c r="F1394" s="5" t="s">
        <v>18760</v>
      </c>
      <c r="G1394" s="5" t="s">
        <v>855</v>
      </c>
      <c r="H1394" s="5">
        <v>1</v>
      </c>
      <c r="I1394" s="8" t="s">
        <v>8528</v>
      </c>
      <c r="J1394" s="8" t="s">
        <v>10577</v>
      </c>
      <c r="K1394" s="8" t="s">
        <v>2374</v>
      </c>
      <c r="L1394" s="8" t="s">
        <v>12628</v>
      </c>
      <c r="M1394" s="8" t="s">
        <v>4424</v>
      </c>
      <c r="N1394" s="8" t="s">
        <v>6475</v>
      </c>
      <c r="O1394" s="5" t="s">
        <v>138</v>
      </c>
      <c r="P1394" s="4">
        <v>45776</v>
      </c>
      <c r="Q1394" s="15">
        <v>29.99</v>
      </c>
      <c r="R1394" s="15">
        <v>10.56</v>
      </c>
      <c r="S1394" s="15">
        <v>0</v>
      </c>
      <c r="T1394"/>
    </row>
    <row r="1395" spans="1:20">
      <c r="A1395" s="5" t="s">
        <v>113</v>
      </c>
      <c r="B1395" s="5" t="s">
        <v>14722</v>
      </c>
      <c r="C1395" s="4">
        <v>45746</v>
      </c>
      <c r="D1395" s="4">
        <v>45747</v>
      </c>
      <c r="E1395" s="5" t="s">
        <v>16772</v>
      </c>
      <c r="F1395" s="5" t="s">
        <v>18761</v>
      </c>
      <c r="G1395" s="5" t="s">
        <v>860</v>
      </c>
      <c r="H1395" s="5">
        <v>1</v>
      </c>
      <c r="I1395" s="8" t="s">
        <v>8529</v>
      </c>
      <c r="J1395" s="8" t="s">
        <v>10578</v>
      </c>
      <c r="K1395" s="8" t="s">
        <v>2375</v>
      </c>
      <c r="L1395" s="8" t="s">
        <v>12629</v>
      </c>
      <c r="M1395" s="8" t="s">
        <v>4425</v>
      </c>
      <c r="N1395" s="8" t="s">
        <v>6476</v>
      </c>
      <c r="O1395" s="5" t="s">
        <v>141</v>
      </c>
      <c r="P1395" s="4">
        <v>45770</v>
      </c>
      <c r="Q1395" s="15">
        <v>53</v>
      </c>
      <c r="R1395" s="15">
        <v>31.96</v>
      </c>
      <c r="S1395" s="15">
        <v>0</v>
      </c>
      <c r="T1395"/>
    </row>
    <row r="1396" spans="1:20">
      <c r="A1396" s="5" t="s">
        <v>113</v>
      </c>
      <c r="B1396" s="5" t="s">
        <v>14723</v>
      </c>
      <c r="C1396" s="4">
        <v>45748</v>
      </c>
      <c r="D1396" s="4">
        <v>45749</v>
      </c>
      <c r="E1396" s="5" t="s">
        <v>16773</v>
      </c>
      <c r="F1396" s="5" t="s">
        <v>18762</v>
      </c>
      <c r="G1396" s="5" t="s">
        <v>848</v>
      </c>
      <c r="H1396" s="5">
        <v>1</v>
      </c>
      <c r="I1396" s="8" t="s">
        <v>8530</v>
      </c>
      <c r="J1396" s="8" t="s">
        <v>10579</v>
      </c>
      <c r="K1396" s="8" t="s">
        <v>2376</v>
      </c>
      <c r="L1396" s="8" t="s">
        <v>12630</v>
      </c>
      <c r="M1396" s="8" t="s">
        <v>4426</v>
      </c>
      <c r="N1396" s="8" t="s">
        <v>6477</v>
      </c>
      <c r="O1396" s="5" t="s">
        <v>140</v>
      </c>
      <c r="P1396" s="4">
        <v>45770</v>
      </c>
      <c r="Q1396" s="15">
        <v>70.489999999999995</v>
      </c>
      <c r="R1396" s="15">
        <v>43.94</v>
      </c>
      <c r="S1396" s="15">
        <v>0</v>
      </c>
      <c r="T1396"/>
    </row>
    <row r="1397" spans="1:20">
      <c r="A1397" s="5" t="s">
        <v>113</v>
      </c>
      <c r="B1397" s="5" t="s">
        <v>14724</v>
      </c>
      <c r="C1397" s="4">
        <v>45748</v>
      </c>
      <c r="D1397" s="4">
        <v>45749</v>
      </c>
      <c r="E1397" s="5" t="s">
        <v>16774</v>
      </c>
      <c r="F1397" s="5" t="s">
        <v>18763</v>
      </c>
      <c r="G1397" s="5" t="s">
        <v>855</v>
      </c>
      <c r="H1397" s="5">
        <v>1</v>
      </c>
      <c r="I1397" s="8" t="s">
        <v>8531</v>
      </c>
      <c r="J1397" s="8" t="s">
        <v>10580</v>
      </c>
      <c r="K1397" s="8" t="s">
        <v>2377</v>
      </c>
      <c r="L1397" s="8" t="s">
        <v>12631</v>
      </c>
      <c r="M1397" s="8" t="s">
        <v>4427</v>
      </c>
      <c r="N1397" s="8" t="s">
        <v>6478</v>
      </c>
      <c r="O1397" s="5" t="s">
        <v>138</v>
      </c>
      <c r="P1397" s="4">
        <v>45784</v>
      </c>
      <c r="Q1397" s="15">
        <v>29.99</v>
      </c>
      <c r="R1397" s="15">
        <v>10.210000000000001</v>
      </c>
      <c r="S1397" s="15">
        <v>0</v>
      </c>
      <c r="T1397"/>
    </row>
    <row r="1398" spans="1:20">
      <c r="A1398" s="5" t="s">
        <v>113</v>
      </c>
      <c r="B1398" s="5" t="s">
        <v>14725</v>
      </c>
      <c r="C1398" s="4">
        <v>45748</v>
      </c>
      <c r="D1398" s="4">
        <v>45750</v>
      </c>
      <c r="E1398" s="5" t="s">
        <v>16775</v>
      </c>
      <c r="F1398" s="5" t="s">
        <v>18764</v>
      </c>
      <c r="G1398" s="5" t="s">
        <v>872</v>
      </c>
      <c r="H1398" s="5">
        <v>1</v>
      </c>
      <c r="I1398" s="8" t="s">
        <v>8532</v>
      </c>
      <c r="J1398" s="8" t="s">
        <v>10581</v>
      </c>
      <c r="K1398" s="8" t="s">
        <v>2378</v>
      </c>
      <c r="L1398" s="8" t="s">
        <v>12632</v>
      </c>
      <c r="M1398" s="8" t="s">
        <v>4428</v>
      </c>
      <c r="N1398" s="8" t="s">
        <v>6479</v>
      </c>
      <c r="O1398" s="5" t="s">
        <v>146</v>
      </c>
      <c r="P1398" s="4">
        <v>45776</v>
      </c>
      <c r="Q1398" s="15">
        <v>25.88</v>
      </c>
      <c r="R1398" s="15">
        <v>11.8</v>
      </c>
      <c r="S1398" s="15">
        <v>0</v>
      </c>
      <c r="T1398"/>
    </row>
    <row r="1399" spans="1:20">
      <c r="A1399" s="5" t="s">
        <v>113</v>
      </c>
      <c r="B1399" s="5" t="s">
        <v>14726</v>
      </c>
      <c r="C1399" s="4">
        <v>45748</v>
      </c>
      <c r="D1399" s="4">
        <v>45750</v>
      </c>
      <c r="E1399" s="5" t="s">
        <v>16776</v>
      </c>
      <c r="F1399" s="5" t="s">
        <v>18765</v>
      </c>
      <c r="G1399" s="5" t="s">
        <v>872</v>
      </c>
      <c r="H1399" s="5">
        <v>1</v>
      </c>
      <c r="I1399" s="8" t="s">
        <v>8533</v>
      </c>
      <c r="J1399" s="8" t="s">
        <v>10582</v>
      </c>
      <c r="K1399" s="8" t="s">
        <v>2379</v>
      </c>
      <c r="L1399" s="8" t="s">
        <v>12633</v>
      </c>
      <c r="M1399" s="8" t="s">
        <v>4429</v>
      </c>
      <c r="N1399" s="8" t="s">
        <v>6480</v>
      </c>
      <c r="O1399" s="5" t="s">
        <v>146</v>
      </c>
      <c r="P1399" s="4">
        <v>45777</v>
      </c>
      <c r="Q1399" s="15">
        <v>25.88</v>
      </c>
      <c r="R1399" s="15">
        <v>11.8</v>
      </c>
      <c r="S1399" s="15">
        <v>0</v>
      </c>
      <c r="T1399"/>
    </row>
    <row r="1400" spans="1:20">
      <c r="A1400" s="5" t="s">
        <v>113</v>
      </c>
      <c r="B1400" s="5" t="s">
        <v>14727</v>
      </c>
      <c r="C1400" s="4">
        <v>45748</v>
      </c>
      <c r="D1400" s="4">
        <v>45750</v>
      </c>
      <c r="E1400" s="5" t="s">
        <v>16777</v>
      </c>
      <c r="F1400" s="5" t="s">
        <v>18766</v>
      </c>
      <c r="G1400" s="5" t="s">
        <v>849</v>
      </c>
      <c r="H1400" s="5">
        <v>1</v>
      </c>
      <c r="I1400" s="8" t="s">
        <v>8534</v>
      </c>
      <c r="J1400" s="8" t="s">
        <v>10583</v>
      </c>
      <c r="K1400" s="8" t="s">
        <v>2380</v>
      </c>
      <c r="L1400" s="8" t="s">
        <v>12634</v>
      </c>
      <c r="M1400" s="8" t="s">
        <v>4430</v>
      </c>
      <c r="N1400" s="8" t="s">
        <v>6481</v>
      </c>
      <c r="O1400" s="5" t="s">
        <v>116</v>
      </c>
      <c r="P1400" s="4">
        <v>45777</v>
      </c>
      <c r="Q1400" s="15">
        <v>65.75</v>
      </c>
      <c r="R1400" s="15">
        <v>16.489999999999998</v>
      </c>
      <c r="S1400" s="15">
        <v>0</v>
      </c>
      <c r="T1400"/>
    </row>
    <row r="1401" spans="1:20">
      <c r="A1401" s="5" t="s">
        <v>113</v>
      </c>
      <c r="B1401" s="5" t="s">
        <v>14728</v>
      </c>
      <c r="C1401" s="4">
        <v>45748</v>
      </c>
      <c r="D1401" s="4">
        <v>45750</v>
      </c>
      <c r="E1401" s="5" t="s">
        <v>16778</v>
      </c>
      <c r="F1401" s="5" t="s">
        <v>18767</v>
      </c>
      <c r="G1401" s="5" t="s">
        <v>860</v>
      </c>
      <c r="H1401" s="5">
        <v>1</v>
      </c>
      <c r="I1401" s="8" t="s">
        <v>8535</v>
      </c>
      <c r="J1401" s="8" t="s">
        <v>10584</v>
      </c>
      <c r="K1401" s="8" t="s">
        <v>2381</v>
      </c>
      <c r="L1401" s="8" t="s">
        <v>12635</v>
      </c>
      <c r="M1401" s="8" t="s">
        <v>4431</v>
      </c>
      <c r="N1401" s="8" t="s">
        <v>6482</v>
      </c>
      <c r="O1401" s="5" t="s">
        <v>141</v>
      </c>
      <c r="P1401" s="4">
        <v>45777</v>
      </c>
      <c r="Q1401" s="15">
        <v>53</v>
      </c>
      <c r="R1401" s="15">
        <v>29.75</v>
      </c>
      <c r="S1401" s="15">
        <v>0</v>
      </c>
      <c r="T1401"/>
    </row>
    <row r="1402" spans="1:20">
      <c r="A1402" s="5" t="s">
        <v>113</v>
      </c>
      <c r="B1402" s="5" t="s">
        <v>14729</v>
      </c>
      <c r="C1402" s="4">
        <v>45749</v>
      </c>
      <c r="D1402" s="4" t="s">
        <v>37</v>
      </c>
      <c r="E1402" s="5" t="s">
        <v>37</v>
      </c>
      <c r="F1402" s="5" t="s">
        <v>37</v>
      </c>
      <c r="G1402" s="5" t="s">
        <v>905</v>
      </c>
      <c r="H1402" s="5">
        <v>1</v>
      </c>
      <c r="I1402" s="8" t="s">
        <v>8536</v>
      </c>
      <c r="J1402" s="8" t="s">
        <v>10585</v>
      </c>
      <c r="K1402" s="8" t="s">
        <v>2382</v>
      </c>
      <c r="L1402" s="8" t="s">
        <v>12636</v>
      </c>
      <c r="M1402" s="8" t="s">
        <v>4432</v>
      </c>
      <c r="N1402" s="8" t="s">
        <v>6483</v>
      </c>
      <c r="O1402" s="5" t="s">
        <v>125</v>
      </c>
      <c r="P1402" s="4">
        <v>45777</v>
      </c>
      <c r="Q1402" s="15">
        <v>26.99</v>
      </c>
      <c r="R1402" s="15">
        <v>0</v>
      </c>
      <c r="S1402" s="15">
        <v>0</v>
      </c>
      <c r="T1402"/>
    </row>
    <row r="1403" spans="1:20">
      <c r="A1403" s="5" t="s">
        <v>113</v>
      </c>
      <c r="B1403" s="5" t="s">
        <v>14730</v>
      </c>
      <c r="C1403" s="4">
        <v>45749</v>
      </c>
      <c r="D1403" s="4">
        <v>45750</v>
      </c>
      <c r="E1403" s="5" t="s">
        <v>16779</v>
      </c>
      <c r="F1403" s="5" t="s">
        <v>18768</v>
      </c>
      <c r="G1403" s="5" t="s">
        <v>855</v>
      </c>
      <c r="H1403" s="5">
        <v>1</v>
      </c>
      <c r="I1403" s="8" t="s">
        <v>8537</v>
      </c>
      <c r="J1403" s="8" t="s">
        <v>10586</v>
      </c>
      <c r="K1403" s="8" t="s">
        <v>2383</v>
      </c>
      <c r="L1403" s="8" t="s">
        <v>12637</v>
      </c>
      <c r="M1403" s="8" t="s">
        <v>4433</v>
      </c>
      <c r="N1403" s="8" t="s">
        <v>6484</v>
      </c>
      <c r="O1403" s="5" t="s">
        <v>138</v>
      </c>
      <c r="P1403" s="4">
        <v>45777</v>
      </c>
      <c r="Q1403" s="15">
        <v>29.99</v>
      </c>
      <c r="R1403" s="15">
        <v>18.32</v>
      </c>
      <c r="S1403" s="15">
        <v>0</v>
      </c>
      <c r="T1403"/>
    </row>
    <row r="1404" spans="1:20">
      <c r="A1404" s="5" t="s">
        <v>113</v>
      </c>
      <c r="B1404" s="5" t="s">
        <v>14731</v>
      </c>
      <c r="C1404" s="4">
        <v>45749</v>
      </c>
      <c r="D1404" s="4">
        <v>45750</v>
      </c>
      <c r="E1404" s="5" t="s">
        <v>16780</v>
      </c>
      <c r="F1404" s="5" t="s">
        <v>18769</v>
      </c>
      <c r="G1404" s="5" t="s">
        <v>849</v>
      </c>
      <c r="H1404" s="5">
        <v>1</v>
      </c>
      <c r="I1404" s="8" t="s">
        <v>8538</v>
      </c>
      <c r="J1404" s="8" t="s">
        <v>10587</v>
      </c>
      <c r="K1404" s="8" t="s">
        <v>2384</v>
      </c>
      <c r="L1404" s="8" t="s">
        <v>12638</v>
      </c>
      <c r="M1404" s="8" t="s">
        <v>4434</v>
      </c>
      <c r="N1404" s="8" t="s">
        <v>6485</v>
      </c>
      <c r="O1404" s="5" t="s">
        <v>116</v>
      </c>
      <c r="P1404" s="4">
        <v>45777</v>
      </c>
      <c r="Q1404" s="15">
        <v>65.75</v>
      </c>
      <c r="R1404" s="15">
        <v>16.11</v>
      </c>
      <c r="S1404" s="15">
        <v>0</v>
      </c>
      <c r="T1404"/>
    </row>
    <row r="1405" spans="1:20">
      <c r="A1405" s="5" t="s">
        <v>113</v>
      </c>
      <c r="B1405" s="5" t="s">
        <v>14732</v>
      </c>
      <c r="C1405" s="4">
        <v>45749</v>
      </c>
      <c r="D1405" s="4">
        <v>45750</v>
      </c>
      <c r="E1405" s="5" t="s">
        <v>16781</v>
      </c>
      <c r="F1405" s="5" t="s">
        <v>18770</v>
      </c>
      <c r="G1405" s="5" t="s">
        <v>817</v>
      </c>
      <c r="H1405" s="5">
        <v>1</v>
      </c>
      <c r="I1405" s="8" t="s">
        <v>8539</v>
      </c>
      <c r="J1405" s="8" t="s">
        <v>10588</v>
      </c>
      <c r="K1405" s="8" t="s">
        <v>2385</v>
      </c>
      <c r="L1405" s="8" t="s">
        <v>12639</v>
      </c>
      <c r="M1405" s="8" t="s">
        <v>4435</v>
      </c>
      <c r="N1405" s="8" t="s">
        <v>6486</v>
      </c>
      <c r="O1405" s="5" t="s">
        <v>115</v>
      </c>
      <c r="P1405" s="4">
        <v>45785</v>
      </c>
      <c r="Q1405" s="15">
        <v>36.950000000000003</v>
      </c>
      <c r="R1405" s="15">
        <v>26.86</v>
      </c>
      <c r="S1405" s="15">
        <v>0</v>
      </c>
      <c r="T1405"/>
    </row>
    <row r="1406" spans="1:20">
      <c r="A1406" s="5" t="s">
        <v>113</v>
      </c>
      <c r="B1406" s="5" t="s">
        <v>14733</v>
      </c>
      <c r="C1406" s="4">
        <v>45749</v>
      </c>
      <c r="D1406" s="4">
        <v>45750</v>
      </c>
      <c r="E1406" s="5" t="s">
        <v>16782</v>
      </c>
      <c r="F1406" s="5" t="s">
        <v>18771</v>
      </c>
      <c r="G1406" s="5" t="s">
        <v>845</v>
      </c>
      <c r="H1406" s="5">
        <v>1</v>
      </c>
      <c r="I1406" s="8" t="s">
        <v>8540</v>
      </c>
      <c r="J1406" s="8" t="s">
        <v>10589</v>
      </c>
      <c r="K1406" s="8" t="s">
        <v>2386</v>
      </c>
      <c r="L1406" s="8" t="s">
        <v>12640</v>
      </c>
      <c r="M1406" s="8" t="s">
        <v>4436</v>
      </c>
      <c r="N1406" s="8" t="s">
        <v>6487</v>
      </c>
      <c r="O1406" s="5" t="s">
        <v>137</v>
      </c>
      <c r="P1406" s="4">
        <v>45772</v>
      </c>
      <c r="Q1406" s="15">
        <v>49.9</v>
      </c>
      <c r="R1406" s="15">
        <v>36.5</v>
      </c>
      <c r="S1406" s="15">
        <v>0</v>
      </c>
      <c r="T1406"/>
    </row>
    <row r="1407" spans="1:20">
      <c r="A1407" s="5" t="s">
        <v>113</v>
      </c>
      <c r="B1407" s="5" t="s">
        <v>14734</v>
      </c>
      <c r="C1407" s="4">
        <v>45749</v>
      </c>
      <c r="D1407" s="4">
        <v>45750</v>
      </c>
      <c r="E1407" s="5" t="s">
        <v>16783</v>
      </c>
      <c r="F1407" s="5" t="s">
        <v>18772</v>
      </c>
      <c r="G1407" s="5" t="s">
        <v>845</v>
      </c>
      <c r="H1407" s="5">
        <v>1</v>
      </c>
      <c r="I1407" s="8" t="s">
        <v>8541</v>
      </c>
      <c r="J1407" s="8" t="s">
        <v>10590</v>
      </c>
      <c r="K1407" s="8" t="s">
        <v>2387</v>
      </c>
      <c r="L1407" s="8" t="s">
        <v>12641</v>
      </c>
      <c r="M1407" s="8" t="s">
        <v>4437</v>
      </c>
      <c r="N1407" s="8" t="s">
        <v>6488</v>
      </c>
      <c r="O1407" s="5" t="s">
        <v>137</v>
      </c>
      <c r="P1407" s="4">
        <v>45778</v>
      </c>
      <c r="Q1407" s="15">
        <v>49.9</v>
      </c>
      <c r="R1407" s="15">
        <v>15.51</v>
      </c>
      <c r="S1407" s="15">
        <v>0</v>
      </c>
      <c r="T1407"/>
    </row>
    <row r="1408" spans="1:20">
      <c r="A1408" s="5" t="s">
        <v>113</v>
      </c>
      <c r="B1408" s="5" t="s">
        <v>14735</v>
      </c>
      <c r="C1408" s="4">
        <v>45749</v>
      </c>
      <c r="D1408" s="4">
        <v>45751</v>
      </c>
      <c r="E1408" s="5" t="s">
        <v>16784</v>
      </c>
      <c r="F1408" s="5" t="s">
        <v>18773</v>
      </c>
      <c r="G1408" s="5" t="s">
        <v>845</v>
      </c>
      <c r="H1408" s="5">
        <v>1</v>
      </c>
      <c r="I1408" s="8" t="s">
        <v>8541</v>
      </c>
      <c r="J1408" s="8" t="s">
        <v>10590</v>
      </c>
      <c r="K1408" s="8" t="s">
        <v>2387</v>
      </c>
      <c r="L1408" s="8" t="s">
        <v>12641</v>
      </c>
      <c r="M1408" s="8" t="s">
        <v>4437</v>
      </c>
      <c r="N1408" s="8" t="s">
        <v>6488</v>
      </c>
      <c r="O1408" s="5" t="s">
        <v>137</v>
      </c>
      <c r="P1408" s="4">
        <v>45778</v>
      </c>
      <c r="Q1408" s="15">
        <v>49.9</v>
      </c>
      <c r="R1408" s="15">
        <v>15.95</v>
      </c>
      <c r="S1408" s="15">
        <v>0</v>
      </c>
      <c r="T1408"/>
    </row>
    <row r="1409" spans="1:20">
      <c r="A1409" s="5" t="s">
        <v>113</v>
      </c>
      <c r="B1409" s="5" t="s">
        <v>14736</v>
      </c>
      <c r="C1409" s="4">
        <v>45749</v>
      </c>
      <c r="D1409" s="4">
        <v>45754</v>
      </c>
      <c r="E1409" s="5" t="s">
        <v>16785</v>
      </c>
      <c r="F1409" s="5" t="s">
        <v>18774</v>
      </c>
      <c r="G1409" s="5" t="s">
        <v>831</v>
      </c>
      <c r="H1409" s="5">
        <v>1</v>
      </c>
      <c r="I1409" s="8" t="s">
        <v>8541</v>
      </c>
      <c r="J1409" s="8" t="s">
        <v>10590</v>
      </c>
      <c r="K1409" s="8" t="s">
        <v>2387</v>
      </c>
      <c r="L1409" s="8" t="s">
        <v>12641</v>
      </c>
      <c r="M1409" s="8" t="s">
        <v>4437</v>
      </c>
      <c r="N1409" s="8" t="s">
        <v>6488</v>
      </c>
      <c r="O1409" s="5" t="s">
        <v>139</v>
      </c>
      <c r="P1409" s="4">
        <v>45778</v>
      </c>
      <c r="Q1409" s="15">
        <v>59.69</v>
      </c>
      <c r="R1409" s="15">
        <v>14.17</v>
      </c>
      <c r="S1409" s="15">
        <v>0</v>
      </c>
      <c r="T1409"/>
    </row>
    <row r="1410" spans="1:20">
      <c r="A1410" s="5" t="s">
        <v>113</v>
      </c>
      <c r="B1410" s="5" t="s">
        <v>14737</v>
      </c>
      <c r="C1410" s="4">
        <v>45749</v>
      </c>
      <c r="D1410" s="4">
        <v>45750</v>
      </c>
      <c r="E1410" s="5" t="s">
        <v>16786</v>
      </c>
      <c r="F1410" s="5" t="s">
        <v>18775</v>
      </c>
      <c r="G1410" s="5" t="s">
        <v>848</v>
      </c>
      <c r="H1410" s="5">
        <v>1</v>
      </c>
      <c r="I1410" s="8" t="s">
        <v>8542</v>
      </c>
      <c r="J1410" s="8" t="s">
        <v>10591</v>
      </c>
      <c r="K1410" s="8" t="s">
        <v>2388</v>
      </c>
      <c r="L1410" s="8" t="s">
        <v>12642</v>
      </c>
      <c r="M1410" s="8" t="s">
        <v>4438</v>
      </c>
      <c r="N1410" s="8" t="s">
        <v>6489</v>
      </c>
      <c r="O1410" s="5" t="s">
        <v>140</v>
      </c>
      <c r="P1410" s="4">
        <v>45772</v>
      </c>
      <c r="Q1410" s="15">
        <v>70.489999999999995</v>
      </c>
      <c r="R1410" s="15">
        <v>48.97</v>
      </c>
      <c r="S1410" s="15">
        <v>0</v>
      </c>
      <c r="T1410"/>
    </row>
    <row r="1411" spans="1:20">
      <c r="A1411" s="5" t="s">
        <v>113</v>
      </c>
      <c r="B1411" s="5" t="s">
        <v>14738</v>
      </c>
      <c r="C1411" s="4">
        <v>45749</v>
      </c>
      <c r="D1411" s="4">
        <v>45750</v>
      </c>
      <c r="E1411" s="5" t="s">
        <v>16787</v>
      </c>
      <c r="F1411" s="5" t="s">
        <v>18776</v>
      </c>
      <c r="G1411" s="5" t="s">
        <v>894</v>
      </c>
      <c r="H1411" s="5">
        <v>1</v>
      </c>
      <c r="I1411" s="8" t="s">
        <v>8543</v>
      </c>
      <c r="J1411" s="8" t="s">
        <v>10592</v>
      </c>
      <c r="K1411" s="8" t="s">
        <v>2389</v>
      </c>
      <c r="L1411" s="8" t="s">
        <v>12643</v>
      </c>
      <c r="M1411" s="8" t="s">
        <v>4439</v>
      </c>
      <c r="N1411" s="8" t="s">
        <v>6490</v>
      </c>
      <c r="O1411" s="5" t="s">
        <v>127</v>
      </c>
      <c r="P1411" s="4">
        <v>45772</v>
      </c>
      <c r="Q1411" s="15">
        <v>42.87</v>
      </c>
      <c r="R1411" s="15">
        <v>15.21</v>
      </c>
      <c r="S1411" s="15">
        <v>0</v>
      </c>
      <c r="T1411"/>
    </row>
    <row r="1412" spans="1:20">
      <c r="A1412" s="5" t="s">
        <v>113</v>
      </c>
      <c r="B1412" s="5" t="s">
        <v>14739</v>
      </c>
      <c r="C1412" s="4">
        <v>45749</v>
      </c>
      <c r="D1412" s="4">
        <v>45751</v>
      </c>
      <c r="E1412" s="5" t="s">
        <v>16788</v>
      </c>
      <c r="F1412" s="5" t="s">
        <v>18777</v>
      </c>
      <c r="G1412" s="5" t="s">
        <v>855</v>
      </c>
      <c r="H1412" s="5">
        <v>1</v>
      </c>
      <c r="I1412" s="8" t="s">
        <v>8544</v>
      </c>
      <c r="J1412" s="8" t="s">
        <v>10593</v>
      </c>
      <c r="K1412" s="8" t="s">
        <v>2390</v>
      </c>
      <c r="L1412" s="8" t="s">
        <v>12644</v>
      </c>
      <c r="M1412" s="8" t="s">
        <v>4440</v>
      </c>
      <c r="N1412" s="8" t="s">
        <v>6491</v>
      </c>
      <c r="O1412" s="5" t="s">
        <v>138</v>
      </c>
      <c r="P1412" s="4">
        <v>45778</v>
      </c>
      <c r="Q1412" s="15">
        <v>29.99</v>
      </c>
      <c r="R1412" s="15">
        <v>12.82</v>
      </c>
      <c r="S1412" s="15">
        <v>0</v>
      </c>
      <c r="T1412"/>
    </row>
    <row r="1413" spans="1:20">
      <c r="A1413" s="5" t="s">
        <v>113</v>
      </c>
      <c r="B1413" s="5" t="s">
        <v>14740</v>
      </c>
      <c r="C1413" s="4">
        <v>45749</v>
      </c>
      <c r="D1413" s="4">
        <v>45754</v>
      </c>
      <c r="E1413" s="5" t="s">
        <v>16789</v>
      </c>
      <c r="F1413" s="5" t="s">
        <v>18778</v>
      </c>
      <c r="G1413" s="5" t="s">
        <v>855</v>
      </c>
      <c r="H1413" s="5">
        <v>1</v>
      </c>
      <c r="I1413" s="8" t="s">
        <v>8545</v>
      </c>
      <c r="J1413" s="8" t="s">
        <v>10594</v>
      </c>
      <c r="K1413" s="8" t="s">
        <v>2391</v>
      </c>
      <c r="L1413" s="8" t="s">
        <v>12645</v>
      </c>
      <c r="M1413" s="8" t="s">
        <v>4441</v>
      </c>
      <c r="N1413" s="8" t="s">
        <v>6492</v>
      </c>
      <c r="O1413" s="5" t="s">
        <v>138</v>
      </c>
      <c r="P1413" s="4">
        <v>45778</v>
      </c>
      <c r="Q1413" s="15">
        <v>29.99</v>
      </c>
      <c r="R1413" s="15">
        <v>10.19</v>
      </c>
      <c r="S1413" s="15">
        <v>0</v>
      </c>
      <c r="T1413"/>
    </row>
    <row r="1414" spans="1:20">
      <c r="A1414" s="5" t="s">
        <v>113</v>
      </c>
      <c r="B1414" s="5" t="s">
        <v>14741</v>
      </c>
      <c r="C1414" s="4">
        <v>45749</v>
      </c>
      <c r="D1414" s="4">
        <v>45754</v>
      </c>
      <c r="E1414" s="5" t="s">
        <v>16790</v>
      </c>
      <c r="F1414" s="5" t="s">
        <v>18779</v>
      </c>
      <c r="G1414" s="5" t="s">
        <v>836</v>
      </c>
      <c r="H1414" s="5">
        <v>1</v>
      </c>
      <c r="I1414" s="8" t="s">
        <v>8546</v>
      </c>
      <c r="J1414" s="8" t="s">
        <v>10595</v>
      </c>
      <c r="K1414" s="8" t="s">
        <v>2392</v>
      </c>
      <c r="L1414" s="8" t="s">
        <v>12646</v>
      </c>
      <c r="M1414" s="8" t="s">
        <v>4442</v>
      </c>
      <c r="N1414" s="8" t="s">
        <v>6493</v>
      </c>
      <c r="O1414" s="5" t="s">
        <v>143</v>
      </c>
      <c r="P1414" s="4">
        <v>45786</v>
      </c>
      <c r="Q1414" s="15">
        <v>32.67</v>
      </c>
      <c r="R1414" s="15">
        <v>15.39</v>
      </c>
      <c r="S1414" s="15">
        <v>0</v>
      </c>
      <c r="T1414"/>
    </row>
    <row r="1415" spans="1:20">
      <c r="A1415" s="5" t="s">
        <v>113</v>
      </c>
      <c r="B1415" s="5" t="s">
        <v>14742</v>
      </c>
      <c r="C1415" s="4">
        <v>45749</v>
      </c>
      <c r="D1415" s="4">
        <v>45751</v>
      </c>
      <c r="E1415" s="5" t="s">
        <v>16791</v>
      </c>
      <c r="F1415" s="5" t="s">
        <v>18780</v>
      </c>
      <c r="G1415" s="5" t="s">
        <v>855</v>
      </c>
      <c r="H1415" s="5">
        <v>1</v>
      </c>
      <c r="I1415" s="8" t="s">
        <v>8547</v>
      </c>
      <c r="J1415" s="8" t="s">
        <v>10596</v>
      </c>
      <c r="K1415" s="8" t="s">
        <v>2393</v>
      </c>
      <c r="L1415" s="8" t="s">
        <v>12647</v>
      </c>
      <c r="M1415" s="8" t="s">
        <v>4443</v>
      </c>
      <c r="N1415" s="8" t="s">
        <v>6494</v>
      </c>
      <c r="O1415" s="5" t="s">
        <v>138</v>
      </c>
      <c r="P1415" s="4">
        <v>45778</v>
      </c>
      <c r="Q1415" s="15">
        <v>29.99</v>
      </c>
      <c r="R1415" s="15">
        <v>12.2</v>
      </c>
      <c r="S1415" s="15">
        <v>0</v>
      </c>
      <c r="T1415"/>
    </row>
    <row r="1416" spans="1:20">
      <c r="A1416" s="5" t="s">
        <v>113</v>
      </c>
      <c r="B1416" s="5" t="s">
        <v>14743</v>
      </c>
      <c r="C1416" s="4">
        <v>45749</v>
      </c>
      <c r="D1416" s="4">
        <v>45751</v>
      </c>
      <c r="E1416" s="5" t="s">
        <v>16792</v>
      </c>
      <c r="F1416" s="5" t="s">
        <v>18781</v>
      </c>
      <c r="G1416" s="5" t="s">
        <v>905</v>
      </c>
      <c r="H1416" s="5">
        <v>1</v>
      </c>
      <c r="I1416" s="8" t="s">
        <v>8548</v>
      </c>
      <c r="J1416" s="8" t="s">
        <v>10597</v>
      </c>
      <c r="K1416" s="8" t="s">
        <v>2394</v>
      </c>
      <c r="L1416" s="8" t="s">
        <v>12648</v>
      </c>
      <c r="M1416" s="8" t="s">
        <v>4444</v>
      </c>
      <c r="N1416" s="8" t="s">
        <v>6495</v>
      </c>
      <c r="O1416" s="5" t="s">
        <v>125</v>
      </c>
      <c r="P1416" s="4">
        <v>45778</v>
      </c>
      <c r="Q1416" s="15">
        <v>26.99</v>
      </c>
      <c r="R1416" s="15">
        <v>10.16</v>
      </c>
      <c r="S1416" s="15">
        <v>0</v>
      </c>
      <c r="T1416"/>
    </row>
    <row r="1417" spans="1:20">
      <c r="A1417" s="5" t="s">
        <v>113</v>
      </c>
      <c r="B1417" s="5" t="s">
        <v>14744</v>
      </c>
      <c r="C1417" s="4">
        <v>45749</v>
      </c>
      <c r="D1417" s="4">
        <v>45751</v>
      </c>
      <c r="E1417" s="5" t="s">
        <v>16793</v>
      </c>
      <c r="F1417" s="5" t="s">
        <v>18782</v>
      </c>
      <c r="G1417" s="5" t="s">
        <v>905</v>
      </c>
      <c r="H1417" s="5">
        <v>1</v>
      </c>
      <c r="I1417" s="8" t="s">
        <v>8549</v>
      </c>
      <c r="J1417" s="8" t="s">
        <v>10598</v>
      </c>
      <c r="K1417" s="8" t="s">
        <v>2395</v>
      </c>
      <c r="L1417" s="8" t="s">
        <v>12649</v>
      </c>
      <c r="M1417" s="8" t="s">
        <v>4445</v>
      </c>
      <c r="N1417" s="8" t="s">
        <v>6496</v>
      </c>
      <c r="O1417" s="5" t="s">
        <v>125</v>
      </c>
      <c r="P1417" s="4">
        <v>45778</v>
      </c>
      <c r="Q1417" s="15">
        <v>26.99</v>
      </c>
      <c r="R1417" s="15">
        <v>10.16</v>
      </c>
      <c r="S1417" s="15">
        <v>0</v>
      </c>
      <c r="T1417"/>
    </row>
    <row r="1418" spans="1:20">
      <c r="A1418" s="5" t="s">
        <v>113</v>
      </c>
      <c r="B1418" s="5" t="s">
        <v>14745</v>
      </c>
      <c r="C1418" s="4">
        <v>45749</v>
      </c>
      <c r="D1418" s="4">
        <v>45751</v>
      </c>
      <c r="E1418" s="5" t="s">
        <v>16794</v>
      </c>
      <c r="F1418" s="5" t="s">
        <v>18783</v>
      </c>
      <c r="G1418" s="5" t="s">
        <v>860</v>
      </c>
      <c r="H1418" s="5">
        <v>1</v>
      </c>
      <c r="I1418" s="8" t="s">
        <v>8550</v>
      </c>
      <c r="J1418" s="8" t="s">
        <v>10599</v>
      </c>
      <c r="K1418" s="8" t="s">
        <v>2396</v>
      </c>
      <c r="L1418" s="8" t="s">
        <v>12650</v>
      </c>
      <c r="M1418" s="8" t="s">
        <v>4446</v>
      </c>
      <c r="N1418" s="8" t="s">
        <v>6497</v>
      </c>
      <c r="O1418" s="5" t="s">
        <v>141</v>
      </c>
      <c r="P1418" s="4">
        <v>45786</v>
      </c>
      <c r="Q1418" s="15">
        <v>53</v>
      </c>
      <c r="R1418" s="15">
        <v>29.2</v>
      </c>
      <c r="S1418" s="15">
        <v>0</v>
      </c>
      <c r="T1418"/>
    </row>
    <row r="1419" spans="1:20">
      <c r="A1419" s="5" t="s">
        <v>113</v>
      </c>
      <c r="B1419" s="5" t="s">
        <v>14746</v>
      </c>
      <c r="C1419" s="4">
        <v>45749</v>
      </c>
      <c r="D1419" s="4">
        <v>45751</v>
      </c>
      <c r="E1419" s="5" t="s">
        <v>16795</v>
      </c>
      <c r="F1419" s="5" t="s">
        <v>18784</v>
      </c>
      <c r="G1419" s="5" t="s">
        <v>860</v>
      </c>
      <c r="H1419" s="5">
        <v>1</v>
      </c>
      <c r="I1419" s="8" t="s">
        <v>8551</v>
      </c>
      <c r="J1419" s="8" t="s">
        <v>10600</v>
      </c>
      <c r="K1419" s="8" t="s">
        <v>2397</v>
      </c>
      <c r="L1419" s="8" t="s">
        <v>12651</v>
      </c>
      <c r="M1419" s="8" t="s">
        <v>4447</v>
      </c>
      <c r="N1419" s="8" t="s">
        <v>6498</v>
      </c>
      <c r="O1419" s="5" t="s">
        <v>141</v>
      </c>
      <c r="P1419" s="4">
        <v>45778</v>
      </c>
      <c r="Q1419" s="15">
        <v>53</v>
      </c>
      <c r="R1419" s="15">
        <v>30.31</v>
      </c>
      <c r="S1419" s="15">
        <v>0</v>
      </c>
      <c r="T1419"/>
    </row>
    <row r="1420" spans="1:20">
      <c r="A1420" s="5" t="s">
        <v>113</v>
      </c>
      <c r="B1420" s="5" t="s">
        <v>14747</v>
      </c>
      <c r="C1420" s="4">
        <v>45749</v>
      </c>
      <c r="D1420" s="4">
        <v>45754</v>
      </c>
      <c r="E1420" s="5" t="s">
        <v>16796</v>
      </c>
      <c r="F1420" s="5" t="s">
        <v>18785</v>
      </c>
      <c r="G1420" s="5" t="s">
        <v>905</v>
      </c>
      <c r="H1420" s="5">
        <v>1</v>
      </c>
      <c r="I1420" s="8" t="s">
        <v>8552</v>
      </c>
      <c r="J1420" s="8" t="s">
        <v>10601</v>
      </c>
      <c r="K1420" s="8" t="s">
        <v>2398</v>
      </c>
      <c r="L1420" s="8" t="s">
        <v>12652</v>
      </c>
      <c r="M1420" s="8" t="s">
        <v>4448</v>
      </c>
      <c r="N1420" s="8" t="s">
        <v>6499</v>
      </c>
      <c r="O1420" s="5" t="s">
        <v>125</v>
      </c>
      <c r="P1420" s="4">
        <v>45772</v>
      </c>
      <c r="Q1420" s="15">
        <v>26.99</v>
      </c>
      <c r="R1420" s="15">
        <v>11.1</v>
      </c>
      <c r="S1420" s="15">
        <v>0</v>
      </c>
      <c r="T1420"/>
    </row>
    <row r="1421" spans="1:20">
      <c r="A1421" s="5" t="s">
        <v>113</v>
      </c>
      <c r="B1421" s="5" t="s">
        <v>14748</v>
      </c>
      <c r="C1421" s="4">
        <v>45749</v>
      </c>
      <c r="D1421" s="4">
        <v>45754</v>
      </c>
      <c r="E1421" s="5" t="s">
        <v>16797</v>
      </c>
      <c r="F1421" s="5" t="s">
        <v>18786</v>
      </c>
      <c r="G1421" s="5" t="s">
        <v>849</v>
      </c>
      <c r="H1421" s="5">
        <v>1</v>
      </c>
      <c r="I1421" s="8" t="s">
        <v>8553</v>
      </c>
      <c r="J1421" s="8" t="s">
        <v>10602</v>
      </c>
      <c r="K1421" s="8" t="s">
        <v>2399</v>
      </c>
      <c r="L1421" s="8" t="s">
        <v>12653</v>
      </c>
      <c r="M1421" s="8" t="s">
        <v>4449</v>
      </c>
      <c r="N1421" s="8" t="s">
        <v>6500</v>
      </c>
      <c r="O1421" s="5" t="s">
        <v>116</v>
      </c>
      <c r="P1421" s="4">
        <v>45772</v>
      </c>
      <c r="Q1421" s="15">
        <v>65.75</v>
      </c>
      <c r="R1421" s="15">
        <v>15.51</v>
      </c>
      <c r="S1421" s="15">
        <v>0</v>
      </c>
      <c r="T1421"/>
    </row>
    <row r="1422" spans="1:20">
      <c r="A1422" s="5" t="s">
        <v>108</v>
      </c>
      <c r="B1422" s="5" t="s">
        <v>14749</v>
      </c>
      <c r="C1422" s="4">
        <v>45747</v>
      </c>
      <c r="D1422" s="4">
        <v>45749</v>
      </c>
      <c r="E1422" s="5" t="s">
        <v>16798</v>
      </c>
      <c r="F1422" s="5" t="s">
        <v>18787</v>
      </c>
      <c r="G1422" s="5" t="s">
        <v>882</v>
      </c>
      <c r="H1422" s="5">
        <v>1</v>
      </c>
      <c r="I1422" s="8" t="s">
        <v>8554</v>
      </c>
      <c r="J1422" s="8" t="s">
        <v>10603</v>
      </c>
      <c r="K1422" s="8" t="s">
        <v>2400</v>
      </c>
      <c r="L1422" s="8" t="s">
        <v>12654</v>
      </c>
      <c r="M1422" s="8" t="s">
        <v>4450</v>
      </c>
      <c r="N1422" s="8" t="s">
        <v>6501</v>
      </c>
      <c r="O1422" s="5" t="s">
        <v>130</v>
      </c>
      <c r="P1422" s="4">
        <v>45777</v>
      </c>
      <c r="Q1422" s="15">
        <v>67.599999999999994</v>
      </c>
      <c r="R1422" s="15">
        <v>34.659999999999997</v>
      </c>
      <c r="S1422" s="15">
        <v>0</v>
      </c>
      <c r="T1422"/>
    </row>
    <row r="1423" spans="1:20">
      <c r="A1423" s="5" t="s">
        <v>108</v>
      </c>
      <c r="B1423" s="5" t="s">
        <v>14750</v>
      </c>
      <c r="C1423" s="4">
        <v>45748</v>
      </c>
      <c r="D1423" s="4">
        <v>45749</v>
      </c>
      <c r="E1423" s="5" t="s">
        <v>16799</v>
      </c>
      <c r="F1423" s="5" t="s">
        <v>18788</v>
      </c>
      <c r="G1423" s="5" t="s">
        <v>884</v>
      </c>
      <c r="H1423" s="5">
        <v>1</v>
      </c>
      <c r="I1423" s="8" t="s">
        <v>8555</v>
      </c>
      <c r="J1423" s="8" t="s">
        <v>10604</v>
      </c>
      <c r="K1423" s="8" t="s">
        <v>2401</v>
      </c>
      <c r="L1423" s="8" t="s">
        <v>12655</v>
      </c>
      <c r="M1423" s="8" t="s">
        <v>4451</v>
      </c>
      <c r="N1423" s="8" t="s">
        <v>6502</v>
      </c>
      <c r="O1423" s="5" t="s">
        <v>110</v>
      </c>
      <c r="P1423" s="4">
        <v>45785</v>
      </c>
      <c r="Q1423" s="15">
        <v>40.4</v>
      </c>
      <c r="R1423" s="15">
        <v>24.03</v>
      </c>
      <c r="S1423" s="15">
        <v>0</v>
      </c>
      <c r="T1423"/>
    </row>
    <row r="1424" spans="1:20">
      <c r="A1424" s="5" t="s">
        <v>113</v>
      </c>
      <c r="B1424" s="5" t="s">
        <v>14751</v>
      </c>
      <c r="C1424" s="4">
        <v>45750</v>
      </c>
      <c r="D1424" s="4">
        <v>45751</v>
      </c>
      <c r="E1424" s="5" t="s">
        <v>16800</v>
      </c>
      <c r="F1424" s="5" t="s">
        <v>18789</v>
      </c>
      <c r="G1424" s="5" t="s">
        <v>833</v>
      </c>
      <c r="H1424" s="5">
        <v>1</v>
      </c>
      <c r="I1424" s="8" t="s">
        <v>8556</v>
      </c>
      <c r="J1424" s="8" t="s">
        <v>10605</v>
      </c>
      <c r="K1424" s="8" t="s">
        <v>2402</v>
      </c>
      <c r="L1424" s="8" t="s">
        <v>12656</v>
      </c>
      <c r="M1424" s="8" t="s">
        <v>4452</v>
      </c>
      <c r="N1424" s="8" t="s">
        <v>6503</v>
      </c>
      <c r="O1424" s="5" t="s">
        <v>147</v>
      </c>
      <c r="P1424" s="4">
        <v>45772</v>
      </c>
      <c r="Q1424" s="15">
        <v>22.7</v>
      </c>
      <c r="R1424" s="15">
        <v>12.91</v>
      </c>
      <c r="S1424" s="15">
        <v>0</v>
      </c>
      <c r="T1424"/>
    </row>
    <row r="1425" spans="1:20">
      <c r="A1425" s="5" t="s">
        <v>113</v>
      </c>
      <c r="B1425" s="5" t="s">
        <v>14752</v>
      </c>
      <c r="C1425" s="4">
        <v>45750</v>
      </c>
      <c r="D1425" s="4">
        <v>45754</v>
      </c>
      <c r="E1425" s="5" t="s">
        <v>16801</v>
      </c>
      <c r="F1425" s="5" t="s">
        <v>18790</v>
      </c>
      <c r="G1425" s="5" t="s">
        <v>833</v>
      </c>
      <c r="H1425" s="5">
        <v>1</v>
      </c>
      <c r="I1425" s="8" t="s">
        <v>8557</v>
      </c>
      <c r="J1425" s="8" t="s">
        <v>10606</v>
      </c>
      <c r="K1425" s="8" t="s">
        <v>2403</v>
      </c>
      <c r="L1425" s="8" t="s">
        <v>12657</v>
      </c>
      <c r="M1425" s="8" t="s">
        <v>4453</v>
      </c>
      <c r="N1425" s="8" t="s">
        <v>6504</v>
      </c>
      <c r="O1425" s="5" t="s">
        <v>147</v>
      </c>
      <c r="P1425" s="4">
        <v>45778</v>
      </c>
      <c r="Q1425" s="15">
        <v>22.7</v>
      </c>
      <c r="R1425" s="15">
        <v>10.1</v>
      </c>
      <c r="S1425" s="15">
        <v>0</v>
      </c>
      <c r="T1425"/>
    </row>
    <row r="1426" spans="1:20">
      <c r="A1426" s="5" t="s">
        <v>113</v>
      </c>
      <c r="B1426" s="5" t="s">
        <v>14753</v>
      </c>
      <c r="C1426" s="4">
        <v>45750</v>
      </c>
      <c r="D1426" s="4">
        <v>45754</v>
      </c>
      <c r="E1426" s="5" t="s">
        <v>16802</v>
      </c>
      <c r="F1426" s="5" t="s">
        <v>18791</v>
      </c>
      <c r="G1426" s="5" t="s">
        <v>831</v>
      </c>
      <c r="H1426" s="5">
        <v>1</v>
      </c>
      <c r="I1426" s="8" t="s">
        <v>8558</v>
      </c>
      <c r="J1426" s="8" t="s">
        <v>10607</v>
      </c>
      <c r="K1426" s="8" t="s">
        <v>2404</v>
      </c>
      <c r="L1426" s="8" t="s">
        <v>12658</v>
      </c>
      <c r="M1426" s="8" t="s">
        <v>4454</v>
      </c>
      <c r="N1426" s="8" t="s">
        <v>6505</v>
      </c>
      <c r="O1426" s="5" t="s">
        <v>139</v>
      </c>
      <c r="P1426" s="4">
        <v>45780</v>
      </c>
      <c r="Q1426" s="15">
        <v>59.69</v>
      </c>
      <c r="R1426" s="15">
        <v>14.17</v>
      </c>
      <c r="S1426" s="15">
        <v>0</v>
      </c>
      <c r="T1426"/>
    </row>
    <row r="1427" spans="1:20">
      <c r="A1427" s="5" t="s">
        <v>113</v>
      </c>
      <c r="B1427" s="5" t="s">
        <v>14754</v>
      </c>
      <c r="C1427" s="4">
        <v>45750</v>
      </c>
      <c r="D1427" s="4">
        <v>45754</v>
      </c>
      <c r="E1427" s="5" t="s">
        <v>16803</v>
      </c>
      <c r="F1427" s="5" t="s">
        <v>18792</v>
      </c>
      <c r="G1427" s="5" t="s">
        <v>833</v>
      </c>
      <c r="H1427" s="5">
        <v>1</v>
      </c>
      <c r="I1427" s="8" t="s">
        <v>8559</v>
      </c>
      <c r="J1427" s="8" t="s">
        <v>10608</v>
      </c>
      <c r="K1427" s="8" t="s">
        <v>2405</v>
      </c>
      <c r="L1427" s="8" t="s">
        <v>12659</v>
      </c>
      <c r="M1427" s="8" t="s">
        <v>4455</v>
      </c>
      <c r="N1427" s="8" t="s">
        <v>6506</v>
      </c>
      <c r="O1427" s="5" t="s">
        <v>147</v>
      </c>
      <c r="P1427" s="4">
        <v>45773</v>
      </c>
      <c r="Q1427" s="15">
        <v>22.7</v>
      </c>
      <c r="R1427" s="15">
        <v>6.99</v>
      </c>
      <c r="S1427" s="15">
        <v>0</v>
      </c>
      <c r="T1427"/>
    </row>
    <row r="1428" spans="1:20">
      <c r="A1428" s="5" t="s">
        <v>113</v>
      </c>
      <c r="B1428" s="5" t="s">
        <v>14755</v>
      </c>
      <c r="C1428" s="4">
        <v>45750</v>
      </c>
      <c r="D1428" s="4">
        <v>45754</v>
      </c>
      <c r="E1428" s="5" t="s">
        <v>16804</v>
      </c>
      <c r="F1428" s="5" t="s">
        <v>18793</v>
      </c>
      <c r="G1428" s="5" t="s">
        <v>905</v>
      </c>
      <c r="H1428" s="5">
        <v>1</v>
      </c>
      <c r="I1428" s="8" t="s">
        <v>8560</v>
      </c>
      <c r="J1428" s="8" t="s">
        <v>10609</v>
      </c>
      <c r="K1428" s="8" t="s">
        <v>2406</v>
      </c>
      <c r="L1428" s="8" t="s">
        <v>12660</v>
      </c>
      <c r="M1428" s="8" t="s">
        <v>4456</v>
      </c>
      <c r="N1428" s="8" t="s">
        <v>6507</v>
      </c>
      <c r="O1428" s="5" t="s">
        <v>125</v>
      </c>
      <c r="P1428" s="4">
        <v>45780</v>
      </c>
      <c r="Q1428" s="15">
        <v>26.99</v>
      </c>
      <c r="R1428" s="15">
        <v>11.53</v>
      </c>
      <c r="S1428" s="15">
        <v>0</v>
      </c>
      <c r="T1428"/>
    </row>
    <row r="1429" spans="1:20">
      <c r="A1429" s="5" t="s">
        <v>113</v>
      </c>
      <c r="B1429" s="5" t="s">
        <v>14756</v>
      </c>
      <c r="C1429" s="4">
        <v>45750</v>
      </c>
      <c r="D1429" s="4">
        <v>45754</v>
      </c>
      <c r="E1429" s="5" t="s">
        <v>16805</v>
      </c>
      <c r="F1429" s="5" t="s">
        <v>18794</v>
      </c>
      <c r="G1429" s="5" t="s">
        <v>860</v>
      </c>
      <c r="H1429" s="5">
        <v>1</v>
      </c>
      <c r="I1429" s="8" t="s">
        <v>8561</v>
      </c>
      <c r="J1429" s="8" t="s">
        <v>10610</v>
      </c>
      <c r="K1429" s="8" t="s">
        <v>2407</v>
      </c>
      <c r="L1429" s="8" t="s">
        <v>12661</v>
      </c>
      <c r="M1429" s="8" t="s">
        <v>4457</v>
      </c>
      <c r="N1429" s="8" t="s">
        <v>6508</v>
      </c>
      <c r="O1429" s="5" t="s">
        <v>141</v>
      </c>
      <c r="P1429" s="4">
        <v>45787</v>
      </c>
      <c r="Q1429" s="15">
        <v>53</v>
      </c>
      <c r="R1429" s="15">
        <v>31.7</v>
      </c>
      <c r="S1429" s="15">
        <v>0</v>
      </c>
      <c r="T1429"/>
    </row>
    <row r="1430" spans="1:20">
      <c r="A1430" s="5" t="s">
        <v>108</v>
      </c>
      <c r="B1430" s="5" t="s">
        <v>14757</v>
      </c>
      <c r="C1430" s="4">
        <v>45750</v>
      </c>
      <c r="D1430" s="4">
        <v>45754</v>
      </c>
      <c r="E1430" s="5" t="s">
        <v>16806</v>
      </c>
      <c r="F1430" s="5" t="s">
        <v>18795</v>
      </c>
      <c r="G1430" s="5" t="s">
        <v>882</v>
      </c>
      <c r="H1430" s="5">
        <v>1</v>
      </c>
      <c r="I1430" s="8" t="s">
        <v>8562</v>
      </c>
      <c r="J1430" s="8" t="s">
        <v>10611</v>
      </c>
      <c r="K1430" s="8" t="s">
        <v>2408</v>
      </c>
      <c r="L1430" s="8" t="s">
        <v>12662</v>
      </c>
      <c r="M1430" s="8" t="s">
        <v>4458</v>
      </c>
      <c r="N1430" s="8" t="s">
        <v>6509</v>
      </c>
      <c r="O1430" s="5" t="s">
        <v>130</v>
      </c>
      <c r="P1430" s="4">
        <v>45778</v>
      </c>
      <c r="Q1430" s="15">
        <v>67.599999999999994</v>
      </c>
      <c r="R1430" s="15">
        <v>37.25</v>
      </c>
      <c r="S1430" s="15">
        <v>0</v>
      </c>
      <c r="T1430"/>
    </row>
    <row r="1431" spans="1:20">
      <c r="A1431" s="5" t="s">
        <v>113</v>
      </c>
      <c r="B1431" s="5" t="s">
        <v>14758</v>
      </c>
      <c r="C1431" s="4">
        <v>45750</v>
      </c>
      <c r="D1431" s="4">
        <v>45754</v>
      </c>
      <c r="E1431" s="5" t="s">
        <v>16807</v>
      </c>
      <c r="F1431" s="5" t="s">
        <v>18796</v>
      </c>
      <c r="G1431" s="5" t="s">
        <v>905</v>
      </c>
      <c r="H1431" s="5">
        <v>1</v>
      </c>
      <c r="I1431" s="8" t="s">
        <v>8563</v>
      </c>
      <c r="J1431" s="8" t="s">
        <v>10612</v>
      </c>
      <c r="K1431" s="8" t="s">
        <v>2409</v>
      </c>
      <c r="L1431" s="8" t="s">
        <v>12663</v>
      </c>
      <c r="M1431" s="8" t="s">
        <v>4459</v>
      </c>
      <c r="N1431" s="8" t="s">
        <v>6510</v>
      </c>
      <c r="O1431" s="5" t="s">
        <v>125</v>
      </c>
      <c r="P1431" s="4">
        <v>45773</v>
      </c>
      <c r="Q1431" s="15">
        <v>26.99</v>
      </c>
      <c r="R1431" s="15">
        <v>11.11</v>
      </c>
      <c r="S1431" s="15">
        <v>0</v>
      </c>
      <c r="T1431"/>
    </row>
    <row r="1432" spans="1:20">
      <c r="A1432" s="5" t="s">
        <v>113</v>
      </c>
      <c r="B1432" s="5" t="s">
        <v>14759</v>
      </c>
      <c r="C1432" s="4">
        <v>45750</v>
      </c>
      <c r="D1432" s="4">
        <v>45754</v>
      </c>
      <c r="E1432" s="5" t="s">
        <v>16808</v>
      </c>
      <c r="F1432" s="5" t="s">
        <v>18797</v>
      </c>
      <c r="G1432" s="5" t="s">
        <v>836</v>
      </c>
      <c r="H1432" s="5">
        <v>1</v>
      </c>
      <c r="I1432" s="8" t="s">
        <v>8564</v>
      </c>
      <c r="J1432" s="8" t="s">
        <v>10613</v>
      </c>
      <c r="K1432" s="8" t="s">
        <v>2410</v>
      </c>
      <c r="L1432" s="8" t="s">
        <v>12664</v>
      </c>
      <c r="M1432" s="8" t="s">
        <v>4460</v>
      </c>
      <c r="N1432" s="8" t="s">
        <v>6511</v>
      </c>
      <c r="O1432" s="5" t="s">
        <v>143</v>
      </c>
      <c r="P1432" s="4">
        <v>45780</v>
      </c>
      <c r="Q1432" s="15">
        <v>32.67</v>
      </c>
      <c r="R1432" s="15">
        <v>12.3</v>
      </c>
      <c r="S1432" s="15">
        <v>0</v>
      </c>
      <c r="T1432"/>
    </row>
    <row r="1433" spans="1:20">
      <c r="A1433" s="5" t="s">
        <v>113</v>
      </c>
      <c r="B1433" s="5" t="s">
        <v>14760</v>
      </c>
      <c r="C1433" s="4">
        <v>45751</v>
      </c>
      <c r="D1433" s="4">
        <v>45754</v>
      </c>
      <c r="E1433" s="5" t="s">
        <v>16809</v>
      </c>
      <c r="F1433" s="5" t="s">
        <v>18798</v>
      </c>
      <c r="G1433" s="5" t="s">
        <v>833</v>
      </c>
      <c r="H1433" s="5">
        <v>1</v>
      </c>
      <c r="I1433" s="8" t="s">
        <v>8565</v>
      </c>
      <c r="J1433" s="8" t="s">
        <v>10614</v>
      </c>
      <c r="K1433" s="8" t="s">
        <v>2411</v>
      </c>
      <c r="L1433" s="8" t="s">
        <v>12665</v>
      </c>
      <c r="M1433" s="8" t="s">
        <v>4461</v>
      </c>
      <c r="N1433" s="8" t="s">
        <v>6512</v>
      </c>
      <c r="O1433" s="5" t="s">
        <v>147</v>
      </c>
      <c r="P1433" s="4">
        <v>45773</v>
      </c>
      <c r="Q1433" s="15">
        <v>22.7</v>
      </c>
      <c r="R1433" s="15">
        <v>6.99</v>
      </c>
      <c r="S1433" s="15">
        <v>0</v>
      </c>
      <c r="T1433"/>
    </row>
    <row r="1434" spans="1:20">
      <c r="A1434" s="5" t="s">
        <v>113</v>
      </c>
      <c r="B1434" s="5" t="s">
        <v>14761</v>
      </c>
      <c r="C1434" s="4">
        <v>45751</v>
      </c>
      <c r="D1434" s="4">
        <v>45755</v>
      </c>
      <c r="E1434" s="5" t="s">
        <v>16810</v>
      </c>
      <c r="F1434" s="5" t="s">
        <v>18799</v>
      </c>
      <c r="G1434" s="5" t="s">
        <v>905</v>
      </c>
      <c r="H1434" s="5">
        <v>1</v>
      </c>
      <c r="I1434" s="8" t="s">
        <v>8566</v>
      </c>
      <c r="J1434" s="8" t="s">
        <v>10615</v>
      </c>
      <c r="K1434" s="8" t="s">
        <v>2412</v>
      </c>
      <c r="L1434" s="8" t="s">
        <v>12666</v>
      </c>
      <c r="M1434" s="8" t="s">
        <v>4462</v>
      </c>
      <c r="N1434" s="8" t="s">
        <v>6513</v>
      </c>
      <c r="O1434" s="5" t="s">
        <v>125</v>
      </c>
      <c r="P1434" s="4">
        <v>45783</v>
      </c>
      <c r="Q1434" s="15">
        <v>26.99</v>
      </c>
      <c r="R1434" s="15">
        <v>11.13</v>
      </c>
      <c r="S1434" s="15">
        <v>0</v>
      </c>
      <c r="T1434"/>
    </row>
    <row r="1435" spans="1:20">
      <c r="A1435" s="5" t="s">
        <v>113</v>
      </c>
      <c r="B1435" s="5" t="s">
        <v>14762</v>
      </c>
      <c r="C1435" s="4">
        <v>45751</v>
      </c>
      <c r="D1435" s="4">
        <v>45756</v>
      </c>
      <c r="E1435" s="5" t="s">
        <v>16811</v>
      </c>
      <c r="F1435" s="5" t="s">
        <v>18800</v>
      </c>
      <c r="G1435" s="5" t="s">
        <v>833</v>
      </c>
      <c r="H1435" s="5">
        <v>1</v>
      </c>
      <c r="I1435" s="8" t="s">
        <v>8567</v>
      </c>
      <c r="J1435" s="8" t="s">
        <v>10616</v>
      </c>
      <c r="K1435" s="8" t="s">
        <v>2413</v>
      </c>
      <c r="L1435" s="8" t="s">
        <v>12667</v>
      </c>
      <c r="M1435" s="8" t="s">
        <v>4463</v>
      </c>
      <c r="N1435" s="8" t="s">
        <v>6514</v>
      </c>
      <c r="O1435" s="5" t="s">
        <v>147</v>
      </c>
      <c r="P1435" s="4">
        <v>45790</v>
      </c>
      <c r="Q1435" s="15">
        <v>22.7</v>
      </c>
      <c r="R1435" s="15">
        <v>14.71</v>
      </c>
      <c r="S1435" s="15">
        <v>0</v>
      </c>
      <c r="T1435"/>
    </row>
    <row r="1436" spans="1:20">
      <c r="A1436" s="5" t="s">
        <v>113</v>
      </c>
      <c r="B1436" s="5" t="s">
        <v>14763</v>
      </c>
      <c r="C1436" s="4">
        <v>45751</v>
      </c>
      <c r="D1436" s="4">
        <v>45755</v>
      </c>
      <c r="E1436" s="5" t="s">
        <v>16812</v>
      </c>
      <c r="F1436" s="5" t="s">
        <v>18801</v>
      </c>
      <c r="G1436" s="5" t="s">
        <v>855</v>
      </c>
      <c r="H1436" s="5">
        <v>1</v>
      </c>
      <c r="I1436" s="8" t="s">
        <v>8568</v>
      </c>
      <c r="J1436" s="8" t="s">
        <v>10617</v>
      </c>
      <c r="K1436" s="8" t="s">
        <v>2414</v>
      </c>
      <c r="L1436" s="8" t="s">
        <v>12668</v>
      </c>
      <c r="M1436" s="8" t="s">
        <v>4464</v>
      </c>
      <c r="N1436" s="8" t="s">
        <v>6515</v>
      </c>
      <c r="O1436" s="5" t="s">
        <v>138</v>
      </c>
      <c r="P1436" s="4">
        <v>45790</v>
      </c>
      <c r="Q1436" s="15">
        <v>29.99</v>
      </c>
      <c r="R1436" s="15">
        <v>10.14</v>
      </c>
      <c r="S1436" s="15">
        <v>0</v>
      </c>
      <c r="T1436"/>
    </row>
    <row r="1437" spans="1:20">
      <c r="A1437" s="5" t="s">
        <v>113</v>
      </c>
      <c r="B1437" s="5" t="s">
        <v>14764</v>
      </c>
      <c r="C1437" s="4">
        <v>45751</v>
      </c>
      <c r="D1437" s="4">
        <v>45755</v>
      </c>
      <c r="E1437" s="5" t="s">
        <v>16813</v>
      </c>
      <c r="F1437" s="5" t="s">
        <v>18802</v>
      </c>
      <c r="G1437" s="5" t="s">
        <v>848</v>
      </c>
      <c r="H1437" s="5">
        <v>1</v>
      </c>
      <c r="I1437" s="8" t="s">
        <v>8569</v>
      </c>
      <c r="J1437" s="8" t="s">
        <v>10618</v>
      </c>
      <c r="K1437" s="8" t="s">
        <v>2415</v>
      </c>
      <c r="L1437" s="8" t="s">
        <v>12669</v>
      </c>
      <c r="M1437" s="8" t="s">
        <v>4465</v>
      </c>
      <c r="N1437" s="8" t="s">
        <v>6516</v>
      </c>
      <c r="O1437" s="5" t="s">
        <v>140</v>
      </c>
      <c r="P1437" s="4">
        <v>45783</v>
      </c>
      <c r="Q1437" s="15">
        <v>70.489999999999995</v>
      </c>
      <c r="R1437" s="15">
        <v>47.66</v>
      </c>
      <c r="S1437" s="15">
        <v>0</v>
      </c>
      <c r="T1437"/>
    </row>
    <row r="1438" spans="1:20">
      <c r="A1438" s="5" t="s">
        <v>113</v>
      </c>
      <c r="B1438" s="5" t="s">
        <v>14765</v>
      </c>
      <c r="C1438" s="4">
        <v>45751</v>
      </c>
      <c r="D1438" s="4">
        <v>45755</v>
      </c>
      <c r="E1438" s="5" t="s">
        <v>16814</v>
      </c>
      <c r="F1438" s="5" t="s">
        <v>18803</v>
      </c>
      <c r="G1438" s="5" t="s">
        <v>833</v>
      </c>
      <c r="H1438" s="5">
        <v>1</v>
      </c>
      <c r="I1438" s="8" t="s">
        <v>8570</v>
      </c>
      <c r="J1438" s="8" t="s">
        <v>10619</v>
      </c>
      <c r="K1438" s="8" t="s">
        <v>2416</v>
      </c>
      <c r="L1438" s="8" t="s">
        <v>12670</v>
      </c>
      <c r="M1438" s="8" t="s">
        <v>4466</v>
      </c>
      <c r="N1438" s="8" t="s">
        <v>6517</v>
      </c>
      <c r="O1438" s="5" t="s">
        <v>147</v>
      </c>
      <c r="P1438" s="4">
        <v>45776</v>
      </c>
      <c r="Q1438" s="15">
        <v>22.7</v>
      </c>
      <c r="R1438" s="15">
        <v>11.77</v>
      </c>
      <c r="S1438" s="15">
        <v>0</v>
      </c>
      <c r="T1438"/>
    </row>
    <row r="1439" spans="1:20">
      <c r="A1439" s="5" t="s">
        <v>113</v>
      </c>
      <c r="B1439" s="5" t="s">
        <v>14766</v>
      </c>
      <c r="C1439" s="4">
        <v>45751</v>
      </c>
      <c r="D1439" s="4">
        <v>45755</v>
      </c>
      <c r="E1439" s="5" t="s">
        <v>16815</v>
      </c>
      <c r="F1439" s="5" t="s">
        <v>18804</v>
      </c>
      <c r="G1439" s="5" t="s">
        <v>855</v>
      </c>
      <c r="H1439" s="5">
        <v>1</v>
      </c>
      <c r="I1439" s="8" t="s">
        <v>8571</v>
      </c>
      <c r="J1439" s="8" t="s">
        <v>10620</v>
      </c>
      <c r="K1439" s="8" t="s">
        <v>2417</v>
      </c>
      <c r="L1439" s="8" t="s">
        <v>12671</v>
      </c>
      <c r="M1439" s="8" t="s">
        <v>4467</v>
      </c>
      <c r="N1439" s="8" t="s">
        <v>6518</v>
      </c>
      <c r="O1439" s="5" t="s">
        <v>138</v>
      </c>
      <c r="P1439" s="4">
        <v>45776</v>
      </c>
      <c r="Q1439" s="15">
        <v>29.99</v>
      </c>
      <c r="R1439" s="15">
        <v>10.14</v>
      </c>
      <c r="S1439" s="15">
        <v>0</v>
      </c>
      <c r="T1439"/>
    </row>
    <row r="1440" spans="1:20">
      <c r="A1440" s="5" t="s">
        <v>113</v>
      </c>
      <c r="B1440" s="5" t="s">
        <v>14767</v>
      </c>
      <c r="C1440" s="4">
        <v>45751</v>
      </c>
      <c r="D1440" s="4">
        <v>45755</v>
      </c>
      <c r="E1440" s="5" t="s">
        <v>16816</v>
      </c>
      <c r="F1440" s="5" t="s">
        <v>18805</v>
      </c>
      <c r="G1440" s="5" t="s">
        <v>855</v>
      </c>
      <c r="H1440" s="5">
        <v>1</v>
      </c>
      <c r="I1440" s="8" t="s">
        <v>8572</v>
      </c>
      <c r="J1440" s="8" t="s">
        <v>10621</v>
      </c>
      <c r="K1440" s="8" t="s">
        <v>2418</v>
      </c>
      <c r="L1440" s="8" t="s">
        <v>12672</v>
      </c>
      <c r="M1440" s="8" t="s">
        <v>4468</v>
      </c>
      <c r="N1440" s="8" t="s">
        <v>6519</v>
      </c>
      <c r="O1440" s="5" t="s">
        <v>138</v>
      </c>
      <c r="P1440" s="4">
        <v>45776</v>
      </c>
      <c r="Q1440" s="15">
        <v>29.99</v>
      </c>
      <c r="R1440" s="15">
        <v>10.14</v>
      </c>
      <c r="S1440" s="15">
        <v>0</v>
      </c>
      <c r="T1440"/>
    </row>
    <row r="1441" spans="1:20">
      <c r="A1441" s="5" t="s">
        <v>113</v>
      </c>
      <c r="B1441" s="5" t="s">
        <v>14768</v>
      </c>
      <c r="C1441" s="4">
        <v>45751</v>
      </c>
      <c r="D1441" s="4">
        <v>45755</v>
      </c>
      <c r="E1441" s="5" t="s">
        <v>16817</v>
      </c>
      <c r="F1441" s="5" t="s">
        <v>18806</v>
      </c>
      <c r="G1441" s="5" t="s">
        <v>860</v>
      </c>
      <c r="H1441" s="5">
        <v>1</v>
      </c>
      <c r="I1441" s="8" t="s">
        <v>8573</v>
      </c>
      <c r="J1441" s="8" t="s">
        <v>10622</v>
      </c>
      <c r="K1441" s="8" t="s">
        <v>2419</v>
      </c>
      <c r="L1441" s="8" t="s">
        <v>12673</v>
      </c>
      <c r="M1441" s="8" t="s">
        <v>4469</v>
      </c>
      <c r="N1441" s="8" t="s">
        <v>6520</v>
      </c>
      <c r="O1441" s="5" t="s">
        <v>141</v>
      </c>
      <c r="P1441" s="4">
        <v>45776</v>
      </c>
      <c r="Q1441" s="15">
        <v>53</v>
      </c>
      <c r="R1441" s="15">
        <v>31.78</v>
      </c>
      <c r="S1441" s="15">
        <v>0</v>
      </c>
      <c r="T1441"/>
    </row>
    <row r="1442" spans="1:20">
      <c r="A1442" s="5" t="s">
        <v>113</v>
      </c>
      <c r="B1442" s="5" t="s">
        <v>14769</v>
      </c>
      <c r="C1442" s="4">
        <v>45752</v>
      </c>
      <c r="D1442" s="4" t="s">
        <v>37</v>
      </c>
      <c r="E1442" s="5" t="s">
        <v>37</v>
      </c>
      <c r="F1442" s="5" t="s">
        <v>37</v>
      </c>
      <c r="G1442" s="5" t="s">
        <v>894</v>
      </c>
      <c r="H1442" s="5">
        <v>1</v>
      </c>
      <c r="I1442" s="8" t="s">
        <v>8574</v>
      </c>
      <c r="J1442" s="8" t="s">
        <v>10623</v>
      </c>
      <c r="K1442" s="8" t="s">
        <v>2420</v>
      </c>
      <c r="L1442" s="8" t="s">
        <v>12674</v>
      </c>
      <c r="M1442" s="8" t="s">
        <v>4470</v>
      </c>
      <c r="N1442" s="8" t="s">
        <v>6521</v>
      </c>
      <c r="O1442" s="5" t="s">
        <v>127</v>
      </c>
      <c r="P1442" s="4">
        <v>45783</v>
      </c>
      <c r="Q1442" s="15">
        <v>42.87</v>
      </c>
      <c r="R1442" s="15">
        <v>0</v>
      </c>
      <c r="S1442" s="15">
        <v>0</v>
      </c>
      <c r="T1442"/>
    </row>
    <row r="1443" spans="1:20">
      <c r="A1443" s="5" t="s">
        <v>113</v>
      </c>
      <c r="B1443" s="5" t="s">
        <v>14770</v>
      </c>
      <c r="C1443" s="4">
        <v>45752</v>
      </c>
      <c r="D1443" s="4">
        <v>45755</v>
      </c>
      <c r="E1443" s="5" t="s">
        <v>16818</v>
      </c>
      <c r="F1443" s="5" t="s">
        <v>18807</v>
      </c>
      <c r="G1443" s="5" t="s">
        <v>845</v>
      </c>
      <c r="H1443" s="5">
        <v>1</v>
      </c>
      <c r="I1443" s="8" t="s">
        <v>8575</v>
      </c>
      <c r="J1443" s="8" t="s">
        <v>10624</v>
      </c>
      <c r="K1443" s="8" t="s">
        <v>2421</v>
      </c>
      <c r="L1443" s="8" t="s">
        <v>12675</v>
      </c>
      <c r="M1443" s="8" t="s">
        <v>4471</v>
      </c>
      <c r="N1443" s="8" t="s">
        <v>6522</v>
      </c>
      <c r="O1443" s="5" t="s">
        <v>137</v>
      </c>
      <c r="P1443" s="4">
        <v>45783</v>
      </c>
      <c r="Q1443" s="15">
        <v>49.9</v>
      </c>
      <c r="R1443" s="15">
        <v>0</v>
      </c>
      <c r="S1443" s="15">
        <v>0</v>
      </c>
      <c r="T1443"/>
    </row>
    <row r="1444" spans="1:20">
      <c r="A1444" s="5" t="s">
        <v>113</v>
      </c>
      <c r="B1444" s="5" t="s">
        <v>14771</v>
      </c>
      <c r="C1444" s="4">
        <v>45752</v>
      </c>
      <c r="D1444" s="4">
        <v>45755</v>
      </c>
      <c r="E1444" s="5" t="s">
        <v>16819</v>
      </c>
      <c r="F1444" s="5" t="s">
        <v>18808</v>
      </c>
      <c r="G1444" s="5" t="s">
        <v>824</v>
      </c>
      <c r="H1444" s="5">
        <v>1</v>
      </c>
      <c r="I1444" s="8" t="s">
        <v>8576</v>
      </c>
      <c r="J1444" s="8" t="s">
        <v>10625</v>
      </c>
      <c r="K1444" s="8" t="s">
        <v>2422</v>
      </c>
      <c r="L1444" s="8" t="s">
        <v>12676</v>
      </c>
      <c r="M1444" s="8" t="s">
        <v>4472</v>
      </c>
      <c r="N1444" s="8" t="s">
        <v>6523</v>
      </c>
      <c r="O1444" s="5" t="s">
        <v>148</v>
      </c>
      <c r="P1444" s="4">
        <v>45783</v>
      </c>
      <c r="Q1444" s="15">
        <v>21.99</v>
      </c>
      <c r="R1444" s="15">
        <v>6.99</v>
      </c>
      <c r="S1444" s="15">
        <v>0</v>
      </c>
      <c r="T1444"/>
    </row>
    <row r="1445" spans="1:20">
      <c r="A1445" s="5" t="s">
        <v>113</v>
      </c>
      <c r="B1445" s="5" t="s">
        <v>14772</v>
      </c>
      <c r="C1445" s="4">
        <v>45753</v>
      </c>
      <c r="D1445" s="4">
        <v>45755</v>
      </c>
      <c r="E1445" s="5" t="s">
        <v>16820</v>
      </c>
      <c r="F1445" s="5" t="s">
        <v>18809</v>
      </c>
      <c r="G1445" s="5" t="s">
        <v>855</v>
      </c>
      <c r="H1445" s="5">
        <v>1</v>
      </c>
      <c r="I1445" s="8" t="s">
        <v>8577</v>
      </c>
      <c r="J1445" s="8" t="s">
        <v>10626</v>
      </c>
      <c r="K1445" s="8" t="s">
        <v>2423</v>
      </c>
      <c r="L1445" s="8" t="s">
        <v>12677</v>
      </c>
      <c r="M1445" s="8" t="s">
        <v>4473</v>
      </c>
      <c r="N1445" s="8" t="s">
        <v>6524</v>
      </c>
      <c r="O1445" s="5" t="s">
        <v>138</v>
      </c>
      <c r="P1445" s="4">
        <v>45776</v>
      </c>
      <c r="Q1445" s="15">
        <v>29.99</v>
      </c>
      <c r="R1445" s="15">
        <v>10.15</v>
      </c>
      <c r="S1445" s="15">
        <v>0</v>
      </c>
      <c r="T1445"/>
    </row>
    <row r="1446" spans="1:20">
      <c r="A1446" s="5" t="s">
        <v>113</v>
      </c>
      <c r="B1446" s="5" t="s">
        <v>14773</v>
      </c>
      <c r="C1446" s="4">
        <v>45753</v>
      </c>
      <c r="D1446" s="4">
        <v>45755</v>
      </c>
      <c r="E1446" s="5" t="s">
        <v>16821</v>
      </c>
      <c r="F1446" s="5" t="s">
        <v>18810</v>
      </c>
      <c r="G1446" s="5" t="s">
        <v>824</v>
      </c>
      <c r="H1446" s="5">
        <v>1</v>
      </c>
      <c r="I1446" s="8" t="s">
        <v>8578</v>
      </c>
      <c r="J1446" s="8" t="s">
        <v>10627</v>
      </c>
      <c r="K1446" s="8" t="s">
        <v>2424</v>
      </c>
      <c r="L1446" s="8" t="s">
        <v>12678</v>
      </c>
      <c r="M1446" s="8" t="s">
        <v>4474</v>
      </c>
      <c r="N1446" s="8" t="s">
        <v>6525</v>
      </c>
      <c r="O1446" s="5" t="s">
        <v>148</v>
      </c>
      <c r="P1446" s="4">
        <v>45783</v>
      </c>
      <c r="Q1446" s="15">
        <v>21.99</v>
      </c>
      <c r="R1446" s="15">
        <v>6.99</v>
      </c>
      <c r="S1446" s="15">
        <v>0</v>
      </c>
      <c r="T1446"/>
    </row>
    <row r="1447" spans="1:20">
      <c r="A1447" s="5" t="s">
        <v>113</v>
      </c>
      <c r="B1447" s="5" t="s">
        <v>14774</v>
      </c>
      <c r="C1447" s="4">
        <v>45753</v>
      </c>
      <c r="D1447" s="4">
        <v>45755</v>
      </c>
      <c r="E1447" s="5" t="s">
        <v>16822</v>
      </c>
      <c r="F1447" s="5" t="s">
        <v>18811</v>
      </c>
      <c r="G1447" s="5" t="s">
        <v>824</v>
      </c>
      <c r="H1447" s="5">
        <v>1</v>
      </c>
      <c r="I1447" s="8" t="s">
        <v>8579</v>
      </c>
      <c r="J1447" s="8" t="s">
        <v>10628</v>
      </c>
      <c r="K1447" s="8" t="s">
        <v>2425</v>
      </c>
      <c r="L1447" s="8" t="s">
        <v>12679</v>
      </c>
      <c r="M1447" s="8" t="s">
        <v>4475</v>
      </c>
      <c r="N1447" s="8" t="s">
        <v>6526</v>
      </c>
      <c r="O1447" s="5" t="s">
        <v>148</v>
      </c>
      <c r="P1447" s="4">
        <v>45776</v>
      </c>
      <c r="Q1447" s="15">
        <v>21.99</v>
      </c>
      <c r="R1447" s="15">
        <v>6.99</v>
      </c>
      <c r="S1447" s="15">
        <v>0</v>
      </c>
      <c r="T1447"/>
    </row>
    <row r="1448" spans="1:20">
      <c r="A1448" s="5" t="s">
        <v>113</v>
      </c>
      <c r="B1448" s="5" t="s">
        <v>14775</v>
      </c>
      <c r="C1448" s="4">
        <v>45753</v>
      </c>
      <c r="D1448" s="4">
        <v>45755</v>
      </c>
      <c r="E1448" s="5" t="s">
        <v>16823</v>
      </c>
      <c r="F1448" s="5" t="s">
        <v>18812</v>
      </c>
      <c r="G1448" s="5" t="s">
        <v>831</v>
      </c>
      <c r="H1448" s="5">
        <v>1</v>
      </c>
      <c r="I1448" s="8" t="s">
        <v>8580</v>
      </c>
      <c r="J1448" s="8" t="s">
        <v>10629</v>
      </c>
      <c r="K1448" s="8" t="s">
        <v>2426</v>
      </c>
      <c r="L1448" s="8" t="s">
        <v>12680</v>
      </c>
      <c r="M1448" s="8" t="s">
        <v>4476</v>
      </c>
      <c r="N1448" s="8" t="s">
        <v>6527</v>
      </c>
      <c r="O1448" s="5" t="s">
        <v>139</v>
      </c>
      <c r="P1448" s="4">
        <v>45783</v>
      </c>
      <c r="Q1448" s="15">
        <v>59.69</v>
      </c>
      <c r="R1448" s="15">
        <v>14.72</v>
      </c>
      <c r="S1448" s="15">
        <v>0</v>
      </c>
      <c r="T1448"/>
    </row>
    <row r="1449" spans="1:20">
      <c r="A1449" s="5" t="s">
        <v>113</v>
      </c>
      <c r="B1449" s="5" t="s">
        <v>14776</v>
      </c>
      <c r="C1449" s="4">
        <v>45753</v>
      </c>
      <c r="D1449" s="4">
        <v>45756</v>
      </c>
      <c r="E1449" s="5" t="s">
        <v>16824</v>
      </c>
      <c r="F1449" s="5" t="s">
        <v>18813</v>
      </c>
      <c r="G1449" s="5" t="s">
        <v>905</v>
      </c>
      <c r="H1449" s="5">
        <v>1</v>
      </c>
      <c r="I1449" s="8" t="s">
        <v>8581</v>
      </c>
      <c r="J1449" s="8" t="s">
        <v>10630</v>
      </c>
      <c r="K1449" s="8" t="s">
        <v>2427</v>
      </c>
      <c r="L1449" s="8" t="s">
        <v>12681</v>
      </c>
      <c r="M1449" s="8" t="s">
        <v>4477</v>
      </c>
      <c r="N1449" s="8" t="s">
        <v>6528</v>
      </c>
      <c r="O1449" s="5" t="s">
        <v>125</v>
      </c>
      <c r="P1449" s="4">
        <v>45783</v>
      </c>
      <c r="Q1449" s="15">
        <v>26.99</v>
      </c>
      <c r="R1449" s="15">
        <v>19.71</v>
      </c>
      <c r="S1449" s="15">
        <v>0</v>
      </c>
      <c r="T1449"/>
    </row>
    <row r="1450" spans="1:20">
      <c r="A1450" s="5" t="s">
        <v>113</v>
      </c>
      <c r="B1450" s="5" t="s">
        <v>14777</v>
      </c>
      <c r="C1450" s="4">
        <v>45753</v>
      </c>
      <c r="D1450" s="4">
        <v>45756</v>
      </c>
      <c r="E1450" s="5" t="s">
        <v>16825</v>
      </c>
      <c r="F1450" s="5" t="s">
        <v>18814</v>
      </c>
      <c r="G1450" s="5" t="s">
        <v>905</v>
      </c>
      <c r="H1450" s="5">
        <v>1</v>
      </c>
      <c r="I1450" s="8" t="s">
        <v>8582</v>
      </c>
      <c r="J1450" s="8" t="s">
        <v>10631</v>
      </c>
      <c r="K1450" s="8" t="s">
        <v>2428</v>
      </c>
      <c r="L1450" s="8" t="s">
        <v>12682</v>
      </c>
      <c r="M1450" s="8" t="s">
        <v>4478</v>
      </c>
      <c r="N1450" s="8" t="s">
        <v>6529</v>
      </c>
      <c r="O1450" s="5" t="s">
        <v>125</v>
      </c>
      <c r="P1450" s="4">
        <v>45783</v>
      </c>
      <c r="Q1450" s="15">
        <v>26.99</v>
      </c>
      <c r="R1450" s="15">
        <v>15.56</v>
      </c>
      <c r="S1450" s="15">
        <v>0</v>
      </c>
      <c r="T1450"/>
    </row>
    <row r="1451" spans="1:20">
      <c r="A1451" s="5" t="s">
        <v>113</v>
      </c>
      <c r="B1451" s="5" t="s">
        <v>14778</v>
      </c>
      <c r="C1451" s="4">
        <v>45753</v>
      </c>
      <c r="D1451" s="4">
        <v>45756</v>
      </c>
      <c r="E1451" s="5" t="s">
        <v>16826</v>
      </c>
      <c r="F1451" s="5" t="s">
        <v>18815</v>
      </c>
      <c r="G1451" s="5" t="s">
        <v>849</v>
      </c>
      <c r="H1451" s="5">
        <v>1</v>
      </c>
      <c r="I1451" s="8" t="s">
        <v>8063</v>
      </c>
      <c r="J1451" s="8" t="s">
        <v>10112</v>
      </c>
      <c r="K1451" s="8" t="s">
        <v>1909</v>
      </c>
      <c r="L1451" s="8" t="s">
        <v>12163</v>
      </c>
      <c r="M1451" s="8" t="s">
        <v>3959</v>
      </c>
      <c r="N1451" s="8" t="s">
        <v>6010</v>
      </c>
      <c r="O1451" s="5" t="s">
        <v>116</v>
      </c>
      <c r="P1451" s="4">
        <v>45776</v>
      </c>
      <c r="Q1451" s="15">
        <v>65.75</v>
      </c>
      <c r="R1451" s="15">
        <v>16.66</v>
      </c>
      <c r="S1451" s="15">
        <v>0</v>
      </c>
      <c r="T1451"/>
    </row>
    <row r="1452" spans="1:20">
      <c r="A1452" s="5" t="s">
        <v>113</v>
      </c>
      <c r="B1452" s="5" t="s">
        <v>14779</v>
      </c>
      <c r="C1452" s="4">
        <v>45753</v>
      </c>
      <c r="D1452" s="4">
        <v>45756</v>
      </c>
      <c r="E1452" s="5" t="s">
        <v>16827</v>
      </c>
      <c r="F1452" s="5" t="s">
        <v>18816</v>
      </c>
      <c r="G1452" s="5" t="s">
        <v>824</v>
      </c>
      <c r="H1452" s="5">
        <v>1</v>
      </c>
      <c r="I1452" s="8" t="s">
        <v>8583</v>
      </c>
      <c r="J1452" s="8" t="s">
        <v>10632</v>
      </c>
      <c r="K1452" s="8" t="s">
        <v>2429</v>
      </c>
      <c r="L1452" s="8" t="s">
        <v>12683</v>
      </c>
      <c r="M1452" s="8" t="s">
        <v>4479</v>
      </c>
      <c r="N1452" s="8" t="s">
        <v>6530</v>
      </c>
      <c r="O1452" s="5" t="s">
        <v>148</v>
      </c>
      <c r="P1452" s="4">
        <v>45776</v>
      </c>
      <c r="Q1452" s="15">
        <v>21.99</v>
      </c>
      <c r="R1452" s="15">
        <v>9.99</v>
      </c>
      <c r="S1452" s="15">
        <v>0</v>
      </c>
      <c r="T1452"/>
    </row>
    <row r="1453" spans="1:20">
      <c r="A1453" s="5" t="s">
        <v>113</v>
      </c>
      <c r="B1453" s="5" t="s">
        <v>14780</v>
      </c>
      <c r="C1453" s="4">
        <v>45753</v>
      </c>
      <c r="D1453" s="4">
        <v>45756</v>
      </c>
      <c r="E1453" s="5" t="s">
        <v>16828</v>
      </c>
      <c r="F1453" s="5" t="s">
        <v>18817</v>
      </c>
      <c r="G1453" s="5" t="s">
        <v>824</v>
      </c>
      <c r="H1453" s="5">
        <v>1</v>
      </c>
      <c r="I1453" s="8" t="s">
        <v>8584</v>
      </c>
      <c r="J1453" s="8" t="s">
        <v>10633</v>
      </c>
      <c r="K1453" s="8" t="s">
        <v>2430</v>
      </c>
      <c r="L1453" s="8" t="s">
        <v>12684</v>
      </c>
      <c r="M1453" s="8" t="s">
        <v>4480</v>
      </c>
      <c r="N1453" s="8" t="s">
        <v>6531</v>
      </c>
      <c r="O1453" s="5" t="s">
        <v>148</v>
      </c>
      <c r="P1453" s="4">
        <v>45776</v>
      </c>
      <c r="Q1453" s="15">
        <v>21.99</v>
      </c>
      <c r="R1453" s="15">
        <v>9.99</v>
      </c>
      <c r="S1453" s="15">
        <v>0</v>
      </c>
      <c r="T1453"/>
    </row>
    <row r="1454" spans="1:20">
      <c r="A1454" s="5" t="s">
        <v>113</v>
      </c>
      <c r="B1454" s="5" t="s">
        <v>14781</v>
      </c>
      <c r="C1454" s="4">
        <v>45753</v>
      </c>
      <c r="D1454" s="4">
        <v>45756</v>
      </c>
      <c r="E1454" s="5" t="s">
        <v>16829</v>
      </c>
      <c r="F1454" s="5" t="s">
        <v>18818</v>
      </c>
      <c r="G1454" s="5" t="s">
        <v>876</v>
      </c>
      <c r="H1454" s="5">
        <v>1</v>
      </c>
      <c r="I1454" s="8" t="s">
        <v>8585</v>
      </c>
      <c r="J1454" s="8" t="s">
        <v>10634</v>
      </c>
      <c r="K1454" s="8" t="s">
        <v>2431</v>
      </c>
      <c r="L1454" s="8" t="s">
        <v>12685</v>
      </c>
      <c r="M1454" s="8" t="s">
        <v>4481</v>
      </c>
      <c r="N1454" s="8" t="s">
        <v>6532</v>
      </c>
      <c r="O1454" s="5" t="s">
        <v>144</v>
      </c>
      <c r="P1454" s="4">
        <v>45783</v>
      </c>
      <c r="Q1454" s="15">
        <v>52.93</v>
      </c>
      <c r="R1454" s="15">
        <v>0</v>
      </c>
      <c r="S1454" s="15">
        <v>0</v>
      </c>
      <c r="T1454"/>
    </row>
    <row r="1455" spans="1:20">
      <c r="A1455" s="5" t="s">
        <v>113</v>
      </c>
      <c r="B1455" s="5" t="s">
        <v>14782</v>
      </c>
      <c r="C1455" s="4">
        <v>45753</v>
      </c>
      <c r="D1455" s="4">
        <v>45756</v>
      </c>
      <c r="E1455" s="5" t="s">
        <v>16830</v>
      </c>
      <c r="F1455" s="5" t="s">
        <v>18819</v>
      </c>
      <c r="G1455" s="5" t="s">
        <v>824</v>
      </c>
      <c r="H1455" s="5">
        <v>1</v>
      </c>
      <c r="I1455" s="8" t="s">
        <v>8586</v>
      </c>
      <c r="J1455" s="8" t="s">
        <v>10635</v>
      </c>
      <c r="K1455" s="8" t="s">
        <v>2432</v>
      </c>
      <c r="L1455" s="8" t="s">
        <v>12686</v>
      </c>
      <c r="M1455" s="8" t="s">
        <v>4482</v>
      </c>
      <c r="N1455" s="8" t="s">
        <v>6533</v>
      </c>
      <c r="O1455" s="5" t="s">
        <v>148</v>
      </c>
      <c r="P1455" s="4">
        <v>45783</v>
      </c>
      <c r="Q1455" s="15">
        <v>21.99</v>
      </c>
      <c r="R1455" s="15">
        <v>9.99</v>
      </c>
      <c r="S1455" s="15">
        <v>0</v>
      </c>
      <c r="T1455"/>
    </row>
    <row r="1456" spans="1:20">
      <c r="A1456" s="5" t="s">
        <v>113</v>
      </c>
      <c r="B1456" s="5" t="s">
        <v>14783</v>
      </c>
      <c r="C1456" s="4">
        <v>45753</v>
      </c>
      <c r="D1456" s="4">
        <v>45756</v>
      </c>
      <c r="E1456" s="5" t="s">
        <v>16831</v>
      </c>
      <c r="F1456" s="5" t="s">
        <v>18820</v>
      </c>
      <c r="G1456" s="5" t="s">
        <v>824</v>
      </c>
      <c r="H1456" s="5">
        <v>1</v>
      </c>
      <c r="I1456" s="8" t="s">
        <v>8587</v>
      </c>
      <c r="J1456" s="8" t="s">
        <v>10636</v>
      </c>
      <c r="K1456" s="8" t="s">
        <v>2433</v>
      </c>
      <c r="L1456" s="8" t="s">
        <v>12687</v>
      </c>
      <c r="M1456" s="8" t="s">
        <v>4483</v>
      </c>
      <c r="N1456" s="8" t="s">
        <v>6534</v>
      </c>
      <c r="O1456" s="5" t="s">
        <v>148</v>
      </c>
      <c r="P1456" s="4">
        <v>45776</v>
      </c>
      <c r="Q1456" s="15">
        <v>21.99</v>
      </c>
      <c r="R1456" s="15">
        <v>9.99</v>
      </c>
      <c r="S1456" s="15">
        <v>0</v>
      </c>
      <c r="T1456"/>
    </row>
    <row r="1457" spans="1:20">
      <c r="A1457" s="5" t="s">
        <v>113</v>
      </c>
      <c r="B1457" s="5" t="s">
        <v>14784</v>
      </c>
      <c r="C1457" s="4">
        <v>45753</v>
      </c>
      <c r="D1457" s="4">
        <v>45756</v>
      </c>
      <c r="E1457" s="5" t="s">
        <v>16832</v>
      </c>
      <c r="F1457" s="5" t="s">
        <v>18821</v>
      </c>
      <c r="G1457" s="5" t="s">
        <v>833</v>
      </c>
      <c r="H1457" s="5">
        <v>1</v>
      </c>
      <c r="I1457" s="8" t="s">
        <v>8588</v>
      </c>
      <c r="J1457" s="8" t="s">
        <v>10637</v>
      </c>
      <c r="K1457" s="8" t="s">
        <v>2434</v>
      </c>
      <c r="L1457" s="8" t="s">
        <v>12688</v>
      </c>
      <c r="M1457" s="8" t="s">
        <v>4484</v>
      </c>
      <c r="N1457" s="8" t="s">
        <v>6535</v>
      </c>
      <c r="O1457" s="5" t="s">
        <v>147</v>
      </c>
      <c r="P1457" s="4">
        <v>45783</v>
      </c>
      <c r="Q1457" s="15">
        <v>22.7</v>
      </c>
      <c r="R1457" s="15">
        <v>18.3</v>
      </c>
      <c r="S1457" s="15">
        <v>0</v>
      </c>
      <c r="T1457"/>
    </row>
    <row r="1458" spans="1:20">
      <c r="A1458" s="5" t="s">
        <v>113</v>
      </c>
      <c r="B1458" s="5" t="s">
        <v>14785</v>
      </c>
      <c r="C1458" s="4">
        <v>45753</v>
      </c>
      <c r="D1458" s="4">
        <v>45756</v>
      </c>
      <c r="E1458" s="5" t="s">
        <v>16833</v>
      </c>
      <c r="F1458" s="5" t="s">
        <v>18822</v>
      </c>
      <c r="G1458" s="5" t="s">
        <v>845</v>
      </c>
      <c r="H1458" s="5">
        <v>1</v>
      </c>
      <c r="I1458" s="8" t="s">
        <v>8589</v>
      </c>
      <c r="J1458" s="8" t="s">
        <v>10638</v>
      </c>
      <c r="K1458" s="8" t="s">
        <v>2435</v>
      </c>
      <c r="L1458" s="8" t="s">
        <v>12689</v>
      </c>
      <c r="M1458" s="8" t="s">
        <v>4485</v>
      </c>
      <c r="N1458" s="8" t="s">
        <v>6536</v>
      </c>
      <c r="O1458" s="5" t="s">
        <v>137</v>
      </c>
      <c r="P1458" s="4">
        <v>45776</v>
      </c>
      <c r="Q1458" s="15">
        <v>49.9</v>
      </c>
      <c r="R1458" s="15">
        <v>15.28</v>
      </c>
      <c r="S1458" s="15">
        <v>0</v>
      </c>
      <c r="T1458"/>
    </row>
    <row r="1459" spans="1:20">
      <c r="A1459" s="5" t="s">
        <v>113</v>
      </c>
      <c r="B1459" s="5" t="s">
        <v>14786</v>
      </c>
      <c r="C1459" s="4">
        <v>45753</v>
      </c>
      <c r="D1459" s="4">
        <v>45756</v>
      </c>
      <c r="E1459" s="5" t="s">
        <v>16834</v>
      </c>
      <c r="F1459" s="5" t="s">
        <v>18823</v>
      </c>
      <c r="G1459" s="5" t="s">
        <v>855</v>
      </c>
      <c r="H1459" s="5">
        <v>1</v>
      </c>
      <c r="I1459" s="8" t="s">
        <v>8590</v>
      </c>
      <c r="J1459" s="8" t="s">
        <v>10639</v>
      </c>
      <c r="K1459" s="8" t="s">
        <v>2436</v>
      </c>
      <c r="L1459" s="8" t="s">
        <v>12690</v>
      </c>
      <c r="M1459" s="8" t="s">
        <v>4486</v>
      </c>
      <c r="N1459" s="8" t="s">
        <v>6537</v>
      </c>
      <c r="O1459" s="5" t="s">
        <v>138</v>
      </c>
      <c r="P1459" s="4">
        <v>45776</v>
      </c>
      <c r="Q1459" s="15">
        <v>29.99</v>
      </c>
      <c r="R1459" s="15">
        <v>12.32</v>
      </c>
      <c r="S1459" s="15">
        <v>0</v>
      </c>
      <c r="T1459"/>
    </row>
    <row r="1460" spans="1:20">
      <c r="A1460" s="5" t="s">
        <v>113</v>
      </c>
      <c r="B1460" s="5" t="s">
        <v>14787</v>
      </c>
      <c r="C1460" s="4">
        <v>45753</v>
      </c>
      <c r="D1460" s="4">
        <v>45756</v>
      </c>
      <c r="E1460" s="5" t="s">
        <v>16835</v>
      </c>
      <c r="F1460" s="5" t="s">
        <v>18824</v>
      </c>
      <c r="G1460" s="5" t="s">
        <v>845</v>
      </c>
      <c r="H1460" s="5">
        <v>1</v>
      </c>
      <c r="I1460" s="8" t="s">
        <v>8591</v>
      </c>
      <c r="J1460" s="8" t="s">
        <v>10640</v>
      </c>
      <c r="K1460" s="8" t="s">
        <v>2437</v>
      </c>
      <c r="L1460" s="8" t="s">
        <v>12691</v>
      </c>
      <c r="M1460" s="8" t="s">
        <v>4487</v>
      </c>
      <c r="N1460" s="8" t="s">
        <v>6538</v>
      </c>
      <c r="O1460" s="5" t="s">
        <v>137</v>
      </c>
      <c r="P1460" s="4">
        <v>45783</v>
      </c>
      <c r="Q1460" s="15">
        <v>49.9</v>
      </c>
      <c r="R1460" s="15">
        <v>23.33</v>
      </c>
      <c r="S1460" s="15">
        <v>0</v>
      </c>
      <c r="T1460"/>
    </row>
    <row r="1461" spans="1:20">
      <c r="A1461" s="5" t="s">
        <v>113</v>
      </c>
      <c r="B1461" s="5" t="s">
        <v>14788</v>
      </c>
      <c r="C1461" s="4">
        <v>45753</v>
      </c>
      <c r="D1461" s="4">
        <v>45756</v>
      </c>
      <c r="E1461" s="5" t="s">
        <v>16836</v>
      </c>
      <c r="F1461" s="5" t="s">
        <v>18825</v>
      </c>
      <c r="G1461" s="5" t="s">
        <v>824</v>
      </c>
      <c r="H1461" s="5">
        <v>1</v>
      </c>
      <c r="I1461" s="8" t="s">
        <v>8592</v>
      </c>
      <c r="J1461" s="8" t="s">
        <v>10641</v>
      </c>
      <c r="K1461" s="8" t="s">
        <v>2438</v>
      </c>
      <c r="L1461" s="8" t="s">
        <v>12692</v>
      </c>
      <c r="M1461" s="8" t="s">
        <v>4488</v>
      </c>
      <c r="N1461" s="8" t="s">
        <v>6539</v>
      </c>
      <c r="O1461" s="5" t="s">
        <v>148</v>
      </c>
      <c r="P1461" s="4">
        <v>45783</v>
      </c>
      <c r="Q1461" s="15">
        <v>21.99</v>
      </c>
      <c r="R1461" s="15">
        <v>6.99</v>
      </c>
      <c r="S1461" s="15">
        <v>0</v>
      </c>
      <c r="T1461"/>
    </row>
    <row r="1462" spans="1:20">
      <c r="A1462" s="5" t="s">
        <v>113</v>
      </c>
      <c r="B1462" s="5" t="s">
        <v>14789</v>
      </c>
      <c r="C1462" s="4">
        <v>45754</v>
      </c>
      <c r="D1462" s="4">
        <v>45756</v>
      </c>
      <c r="E1462" s="5" t="s">
        <v>16837</v>
      </c>
      <c r="F1462" s="5" t="s">
        <v>18826</v>
      </c>
      <c r="G1462" s="5" t="s">
        <v>855</v>
      </c>
      <c r="H1462" s="5">
        <v>1</v>
      </c>
      <c r="I1462" s="8" t="s">
        <v>8593</v>
      </c>
      <c r="J1462" s="8" t="s">
        <v>10642</v>
      </c>
      <c r="K1462" s="8" t="s">
        <v>2439</v>
      </c>
      <c r="L1462" s="8" t="s">
        <v>12693</v>
      </c>
      <c r="M1462" s="8" t="s">
        <v>4489</v>
      </c>
      <c r="N1462" s="8" t="s">
        <v>6540</v>
      </c>
      <c r="O1462" s="5" t="s">
        <v>138</v>
      </c>
      <c r="P1462" s="4">
        <v>45776</v>
      </c>
      <c r="Q1462" s="15">
        <v>29.99</v>
      </c>
      <c r="R1462" s="15">
        <v>12.32</v>
      </c>
      <c r="S1462" s="15">
        <v>0</v>
      </c>
      <c r="T1462"/>
    </row>
    <row r="1463" spans="1:20">
      <c r="A1463" s="5" t="s">
        <v>113</v>
      </c>
      <c r="B1463" s="5" t="s">
        <v>14790</v>
      </c>
      <c r="C1463" s="4">
        <v>45754</v>
      </c>
      <c r="D1463" s="4">
        <v>45756</v>
      </c>
      <c r="E1463" s="5" t="s">
        <v>16838</v>
      </c>
      <c r="F1463" s="5" t="s">
        <v>18827</v>
      </c>
      <c r="G1463" s="5" t="s">
        <v>855</v>
      </c>
      <c r="H1463" s="5">
        <v>1</v>
      </c>
      <c r="I1463" s="8" t="s">
        <v>8594</v>
      </c>
      <c r="J1463" s="8" t="s">
        <v>10643</v>
      </c>
      <c r="K1463" s="8" t="s">
        <v>2440</v>
      </c>
      <c r="L1463" s="8" t="s">
        <v>12694</v>
      </c>
      <c r="M1463" s="8" t="s">
        <v>4490</v>
      </c>
      <c r="N1463" s="8" t="s">
        <v>6541</v>
      </c>
      <c r="O1463" s="5" t="s">
        <v>138</v>
      </c>
      <c r="P1463" s="4">
        <v>45783</v>
      </c>
      <c r="Q1463" s="15">
        <v>29.99</v>
      </c>
      <c r="R1463" s="15">
        <v>19.59</v>
      </c>
      <c r="S1463" s="15">
        <v>0</v>
      </c>
      <c r="T1463"/>
    </row>
    <row r="1464" spans="1:20">
      <c r="A1464" s="5" t="s">
        <v>113</v>
      </c>
      <c r="B1464" s="5" t="s">
        <v>14791</v>
      </c>
      <c r="C1464" s="4">
        <v>45754</v>
      </c>
      <c r="D1464" s="4">
        <v>45757</v>
      </c>
      <c r="E1464" s="5" t="s">
        <v>16839</v>
      </c>
      <c r="F1464" s="5" t="s">
        <v>18828</v>
      </c>
      <c r="G1464" s="5" t="s">
        <v>845</v>
      </c>
      <c r="H1464" s="5">
        <v>1</v>
      </c>
      <c r="I1464" s="8" t="s">
        <v>8595</v>
      </c>
      <c r="J1464" s="8" t="s">
        <v>10644</v>
      </c>
      <c r="K1464" s="8" t="s">
        <v>2441</v>
      </c>
      <c r="L1464" s="8" t="s">
        <v>12695</v>
      </c>
      <c r="M1464" s="8" t="s">
        <v>4491</v>
      </c>
      <c r="N1464" s="8" t="s">
        <v>6542</v>
      </c>
      <c r="O1464" s="5" t="s">
        <v>137</v>
      </c>
      <c r="P1464" s="4">
        <v>45790</v>
      </c>
      <c r="Q1464" s="15">
        <v>49.9</v>
      </c>
      <c r="R1464" s="15">
        <v>22.38</v>
      </c>
      <c r="S1464" s="15">
        <v>0</v>
      </c>
      <c r="T1464"/>
    </row>
    <row r="1465" spans="1:20">
      <c r="A1465" s="5" t="s">
        <v>113</v>
      </c>
      <c r="B1465" s="5" t="s">
        <v>14792</v>
      </c>
      <c r="C1465" s="4">
        <v>45754</v>
      </c>
      <c r="D1465" s="4">
        <v>45757</v>
      </c>
      <c r="E1465" s="5" t="s">
        <v>16840</v>
      </c>
      <c r="F1465" s="5" t="s">
        <v>18829</v>
      </c>
      <c r="G1465" s="5" t="s">
        <v>855</v>
      </c>
      <c r="H1465" s="5">
        <v>1</v>
      </c>
      <c r="I1465" s="8" t="s">
        <v>8596</v>
      </c>
      <c r="J1465" s="8" t="s">
        <v>10645</v>
      </c>
      <c r="K1465" s="8" t="s">
        <v>2442</v>
      </c>
      <c r="L1465" s="8" t="s">
        <v>12696</v>
      </c>
      <c r="M1465" s="8" t="s">
        <v>4492</v>
      </c>
      <c r="N1465" s="8" t="s">
        <v>6543</v>
      </c>
      <c r="O1465" s="5" t="s">
        <v>138</v>
      </c>
      <c r="P1465" s="4">
        <v>45790</v>
      </c>
      <c r="Q1465" s="15">
        <v>29.99</v>
      </c>
      <c r="R1465" s="15">
        <v>0</v>
      </c>
      <c r="S1465" s="15">
        <v>0</v>
      </c>
      <c r="T1465"/>
    </row>
    <row r="1466" spans="1:20">
      <c r="A1466" s="5" t="s">
        <v>113</v>
      </c>
      <c r="B1466" s="5" t="s">
        <v>14793</v>
      </c>
      <c r="C1466" s="4">
        <v>45751</v>
      </c>
      <c r="D1466" s="4">
        <v>45757</v>
      </c>
      <c r="E1466" s="5" t="s">
        <v>16841</v>
      </c>
      <c r="F1466" s="5" t="s">
        <v>18830</v>
      </c>
      <c r="G1466" s="5" t="s">
        <v>876</v>
      </c>
      <c r="H1466" s="5">
        <v>1</v>
      </c>
      <c r="I1466" s="8" t="s">
        <v>8597</v>
      </c>
      <c r="J1466" s="8" t="s">
        <v>10646</v>
      </c>
      <c r="K1466" s="8" t="s">
        <v>2443</v>
      </c>
      <c r="L1466" s="8" t="s">
        <v>12697</v>
      </c>
      <c r="M1466" s="8" t="s">
        <v>4493</v>
      </c>
      <c r="N1466" s="8" t="s">
        <v>6544</v>
      </c>
      <c r="O1466" s="5" t="s">
        <v>144</v>
      </c>
      <c r="P1466" s="4">
        <v>45791</v>
      </c>
      <c r="Q1466" s="15">
        <v>52.93</v>
      </c>
      <c r="R1466" s="15">
        <v>15.98</v>
      </c>
      <c r="S1466" s="15">
        <v>0</v>
      </c>
      <c r="T1466"/>
    </row>
    <row r="1467" spans="1:20">
      <c r="A1467" s="5" t="s">
        <v>113</v>
      </c>
      <c r="B1467" s="5" t="s">
        <v>14794</v>
      </c>
      <c r="C1467" s="4">
        <v>45754</v>
      </c>
      <c r="D1467" s="4">
        <v>45757</v>
      </c>
      <c r="E1467" s="5" t="s">
        <v>16842</v>
      </c>
      <c r="F1467" s="5" t="s">
        <v>18831</v>
      </c>
      <c r="G1467" s="5" t="s">
        <v>894</v>
      </c>
      <c r="H1467" s="5">
        <v>1</v>
      </c>
      <c r="I1467" s="8" t="s">
        <v>8598</v>
      </c>
      <c r="J1467" s="8" t="s">
        <v>10647</v>
      </c>
      <c r="K1467" s="8" t="s">
        <v>2444</v>
      </c>
      <c r="L1467" s="8" t="s">
        <v>12698</v>
      </c>
      <c r="M1467" s="8" t="s">
        <v>4494</v>
      </c>
      <c r="N1467" s="8" t="s">
        <v>6545</v>
      </c>
      <c r="O1467" s="5" t="s">
        <v>127</v>
      </c>
      <c r="P1467" s="4">
        <v>45784</v>
      </c>
      <c r="Q1467" s="15">
        <v>42.87</v>
      </c>
      <c r="R1467" s="15">
        <v>18</v>
      </c>
      <c r="S1467" s="15">
        <v>0</v>
      </c>
      <c r="T1467"/>
    </row>
    <row r="1468" spans="1:20">
      <c r="A1468" s="5" t="s">
        <v>113</v>
      </c>
      <c r="B1468" s="5" t="s">
        <v>14795</v>
      </c>
      <c r="C1468" s="4">
        <v>45754</v>
      </c>
      <c r="D1468" s="4">
        <v>45758</v>
      </c>
      <c r="E1468" s="5" t="s">
        <v>16843</v>
      </c>
      <c r="F1468" s="5" t="s">
        <v>18832</v>
      </c>
      <c r="G1468" s="5" t="s">
        <v>855</v>
      </c>
      <c r="H1468" s="5">
        <v>1</v>
      </c>
      <c r="I1468" s="8" t="s">
        <v>8599</v>
      </c>
      <c r="J1468" s="8" t="s">
        <v>10648</v>
      </c>
      <c r="K1468" s="8" t="s">
        <v>2445</v>
      </c>
      <c r="L1468" s="8" t="s">
        <v>12699</v>
      </c>
      <c r="M1468" s="8" t="s">
        <v>4495</v>
      </c>
      <c r="N1468" s="8" t="s">
        <v>6546</v>
      </c>
      <c r="O1468" s="5" t="s">
        <v>138</v>
      </c>
      <c r="P1468" s="4">
        <v>45784</v>
      </c>
      <c r="Q1468" s="15">
        <v>29.99</v>
      </c>
      <c r="R1468" s="15">
        <v>11.87</v>
      </c>
      <c r="S1468" s="15">
        <v>0</v>
      </c>
      <c r="T1468"/>
    </row>
    <row r="1469" spans="1:20">
      <c r="A1469" s="5" t="s">
        <v>113</v>
      </c>
      <c r="B1469" s="5" t="s">
        <v>14796</v>
      </c>
      <c r="C1469" s="4">
        <v>45754</v>
      </c>
      <c r="D1469" s="4">
        <v>45758</v>
      </c>
      <c r="E1469" s="5" t="s">
        <v>16844</v>
      </c>
      <c r="F1469" s="5" t="s">
        <v>18833</v>
      </c>
      <c r="G1469" s="5" t="s">
        <v>845</v>
      </c>
      <c r="H1469" s="5">
        <v>1</v>
      </c>
      <c r="I1469" s="8" t="s">
        <v>8600</v>
      </c>
      <c r="J1469" s="8" t="s">
        <v>10649</v>
      </c>
      <c r="K1469" s="8" t="s">
        <v>2446</v>
      </c>
      <c r="L1469" s="8" t="s">
        <v>12700</v>
      </c>
      <c r="M1469" s="8" t="s">
        <v>4496</v>
      </c>
      <c r="N1469" s="8" t="s">
        <v>6547</v>
      </c>
      <c r="O1469" s="5" t="s">
        <v>137</v>
      </c>
      <c r="P1469" s="4">
        <v>45784</v>
      </c>
      <c r="Q1469" s="15">
        <v>49.9</v>
      </c>
      <c r="R1469" s="15">
        <v>22.36</v>
      </c>
      <c r="S1469" s="15">
        <v>0</v>
      </c>
      <c r="T1469"/>
    </row>
    <row r="1470" spans="1:20">
      <c r="A1470" s="5" t="s">
        <v>113</v>
      </c>
      <c r="B1470" s="5" t="s">
        <v>14797</v>
      </c>
      <c r="C1470" s="4">
        <v>45754</v>
      </c>
      <c r="D1470" s="4">
        <v>45758</v>
      </c>
      <c r="E1470" s="5" t="s">
        <v>16845</v>
      </c>
      <c r="F1470" s="5" t="s">
        <v>18834</v>
      </c>
      <c r="G1470" s="5" t="s">
        <v>905</v>
      </c>
      <c r="H1470" s="5">
        <v>1</v>
      </c>
      <c r="I1470" s="8" t="s">
        <v>8601</v>
      </c>
      <c r="J1470" s="8" t="s">
        <v>10650</v>
      </c>
      <c r="K1470" s="8" t="s">
        <v>2447</v>
      </c>
      <c r="L1470" s="8" t="s">
        <v>12701</v>
      </c>
      <c r="M1470" s="8" t="s">
        <v>4497</v>
      </c>
      <c r="N1470" s="8" t="s">
        <v>6548</v>
      </c>
      <c r="O1470" s="5" t="s">
        <v>125</v>
      </c>
      <c r="P1470" s="4">
        <v>45784</v>
      </c>
      <c r="Q1470" s="15">
        <v>26.99</v>
      </c>
      <c r="R1470" s="15">
        <v>10.19</v>
      </c>
      <c r="S1470" s="15">
        <v>0</v>
      </c>
      <c r="T1470"/>
    </row>
    <row r="1471" spans="1:20">
      <c r="A1471" s="5" t="s">
        <v>113</v>
      </c>
      <c r="B1471" s="5" t="s">
        <v>14798</v>
      </c>
      <c r="C1471" s="4">
        <v>45754</v>
      </c>
      <c r="D1471" s="4" t="s">
        <v>37</v>
      </c>
      <c r="E1471" s="5" t="s">
        <v>37</v>
      </c>
      <c r="F1471" s="5" t="s">
        <v>37</v>
      </c>
      <c r="G1471" s="5" t="s">
        <v>845</v>
      </c>
      <c r="H1471" s="5">
        <v>1</v>
      </c>
      <c r="I1471" s="8" t="s">
        <v>8602</v>
      </c>
      <c r="J1471" s="8" t="s">
        <v>10651</v>
      </c>
      <c r="K1471" s="8" t="s">
        <v>2448</v>
      </c>
      <c r="L1471" s="8" t="s">
        <v>12702</v>
      </c>
      <c r="M1471" s="8" t="s">
        <v>4498</v>
      </c>
      <c r="N1471" s="8" t="s">
        <v>6549</v>
      </c>
      <c r="O1471" s="5" t="s">
        <v>137</v>
      </c>
      <c r="P1471" s="4">
        <v>45784</v>
      </c>
      <c r="Q1471" s="15">
        <v>49.9</v>
      </c>
      <c r="R1471" s="15">
        <v>0</v>
      </c>
      <c r="S1471" s="15">
        <v>0</v>
      </c>
      <c r="T1471"/>
    </row>
    <row r="1472" spans="1:20">
      <c r="A1472" s="5" t="s">
        <v>113</v>
      </c>
      <c r="B1472" s="5" t="s">
        <v>14799</v>
      </c>
      <c r="C1472" s="4">
        <v>45754</v>
      </c>
      <c r="D1472" s="4">
        <v>45758</v>
      </c>
      <c r="E1472" s="5" t="s">
        <v>16846</v>
      </c>
      <c r="F1472" s="5" t="s">
        <v>18835</v>
      </c>
      <c r="G1472" s="5" t="s">
        <v>905</v>
      </c>
      <c r="H1472" s="5">
        <v>1</v>
      </c>
      <c r="I1472" s="8" t="s">
        <v>8603</v>
      </c>
      <c r="J1472" s="8" t="s">
        <v>10652</v>
      </c>
      <c r="K1472" s="8" t="s">
        <v>2449</v>
      </c>
      <c r="L1472" s="8" t="s">
        <v>12703</v>
      </c>
      <c r="M1472" s="8" t="s">
        <v>4499</v>
      </c>
      <c r="N1472" s="8" t="s">
        <v>6550</v>
      </c>
      <c r="O1472" s="5" t="s">
        <v>125</v>
      </c>
      <c r="P1472" s="4">
        <v>45784</v>
      </c>
      <c r="Q1472" s="15">
        <v>26.99</v>
      </c>
      <c r="R1472" s="15">
        <v>10.55</v>
      </c>
      <c r="S1472" s="15">
        <v>0</v>
      </c>
      <c r="T1472"/>
    </row>
    <row r="1473" spans="1:20">
      <c r="A1473" s="5" t="s">
        <v>113</v>
      </c>
      <c r="B1473" s="5" t="s">
        <v>14800</v>
      </c>
      <c r="C1473" s="4">
        <v>45754</v>
      </c>
      <c r="D1473" s="4" t="s">
        <v>37</v>
      </c>
      <c r="E1473" s="5" t="s">
        <v>37</v>
      </c>
      <c r="F1473" s="5" t="s">
        <v>37</v>
      </c>
      <c r="G1473" s="5" t="s">
        <v>855</v>
      </c>
      <c r="H1473" s="5">
        <v>1</v>
      </c>
      <c r="I1473" s="8" t="s">
        <v>8604</v>
      </c>
      <c r="J1473" s="8" t="s">
        <v>10653</v>
      </c>
      <c r="K1473" s="8" t="s">
        <v>2450</v>
      </c>
      <c r="L1473" s="8" t="s">
        <v>12704</v>
      </c>
      <c r="M1473" s="8" t="s">
        <v>4500</v>
      </c>
      <c r="N1473" s="8" t="s">
        <v>6551</v>
      </c>
      <c r="O1473" s="5" t="s">
        <v>138</v>
      </c>
      <c r="P1473" s="4">
        <v>45784</v>
      </c>
      <c r="Q1473" s="15">
        <v>29.99</v>
      </c>
      <c r="R1473" s="15">
        <v>0</v>
      </c>
      <c r="S1473" s="15">
        <v>0</v>
      </c>
      <c r="T1473"/>
    </row>
    <row r="1474" spans="1:20">
      <c r="A1474" s="5" t="s">
        <v>113</v>
      </c>
      <c r="B1474" s="5" t="s">
        <v>14801</v>
      </c>
      <c r="C1474" s="4">
        <v>45753</v>
      </c>
      <c r="D1474" s="4">
        <v>45758</v>
      </c>
      <c r="E1474" s="5" t="s">
        <v>16847</v>
      </c>
      <c r="F1474" s="5" t="s">
        <v>18836</v>
      </c>
      <c r="G1474" s="5" t="s">
        <v>824</v>
      </c>
      <c r="H1474" s="5">
        <v>1</v>
      </c>
      <c r="I1474" s="8" t="s">
        <v>8605</v>
      </c>
      <c r="J1474" s="8" t="s">
        <v>10654</v>
      </c>
      <c r="K1474" s="8" t="s">
        <v>2451</v>
      </c>
      <c r="L1474" s="8" t="s">
        <v>12705</v>
      </c>
      <c r="M1474" s="8" t="s">
        <v>4501</v>
      </c>
      <c r="N1474" s="8" t="s">
        <v>6552</v>
      </c>
      <c r="O1474" s="5" t="s">
        <v>148</v>
      </c>
      <c r="P1474" s="4">
        <v>45777</v>
      </c>
      <c r="Q1474" s="15">
        <v>21.99</v>
      </c>
      <c r="R1474" s="15">
        <v>9.99</v>
      </c>
      <c r="S1474" s="15">
        <v>0</v>
      </c>
      <c r="T1474"/>
    </row>
    <row r="1475" spans="1:20">
      <c r="A1475" s="5" t="s">
        <v>113</v>
      </c>
      <c r="B1475" s="5" t="s">
        <v>14802</v>
      </c>
      <c r="C1475" s="4">
        <v>45754</v>
      </c>
      <c r="D1475" s="4">
        <v>45758</v>
      </c>
      <c r="E1475" s="5" t="s">
        <v>16848</v>
      </c>
      <c r="F1475" s="5" t="s">
        <v>18837</v>
      </c>
      <c r="G1475" s="5" t="s">
        <v>876</v>
      </c>
      <c r="H1475" s="5">
        <v>1</v>
      </c>
      <c r="I1475" s="8" t="s">
        <v>8606</v>
      </c>
      <c r="J1475" s="8" t="s">
        <v>10655</v>
      </c>
      <c r="K1475" s="8" t="s">
        <v>2452</v>
      </c>
      <c r="L1475" s="8" t="s">
        <v>12706</v>
      </c>
      <c r="M1475" s="8" t="s">
        <v>4502</v>
      </c>
      <c r="N1475" s="8" t="s">
        <v>6553</v>
      </c>
      <c r="O1475" s="5" t="s">
        <v>144</v>
      </c>
      <c r="P1475" s="4">
        <v>45777</v>
      </c>
      <c r="Q1475" s="15">
        <v>52.93</v>
      </c>
      <c r="R1475" s="15">
        <v>14.62</v>
      </c>
      <c r="S1475" s="15">
        <v>0</v>
      </c>
      <c r="T1475"/>
    </row>
    <row r="1476" spans="1:20">
      <c r="A1476" s="5" t="s">
        <v>36</v>
      </c>
      <c r="B1476" s="5" t="s">
        <v>14803</v>
      </c>
      <c r="C1476" s="4">
        <v>45751</v>
      </c>
      <c r="D1476" s="4">
        <v>45758</v>
      </c>
      <c r="E1476" s="5" t="s">
        <v>16849</v>
      </c>
      <c r="F1476" s="5" t="s">
        <v>18838</v>
      </c>
      <c r="G1476" s="5" t="s">
        <v>845</v>
      </c>
      <c r="H1476" s="5">
        <v>1</v>
      </c>
      <c r="I1476" s="8" t="s">
        <v>8607</v>
      </c>
      <c r="J1476" s="8" t="s">
        <v>10656</v>
      </c>
      <c r="K1476" s="8" t="s">
        <v>2453</v>
      </c>
      <c r="L1476" s="8" t="s">
        <v>12707</v>
      </c>
      <c r="M1476" s="8" t="s">
        <v>4503</v>
      </c>
      <c r="N1476" s="8" t="s">
        <v>6554</v>
      </c>
      <c r="O1476" s="5" t="s">
        <v>67</v>
      </c>
      <c r="P1476" s="4">
        <v>45783</v>
      </c>
      <c r="Q1476" s="15">
        <v>54.9</v>
      </c>
      <c r="R1476" s="15">
        <v>15.09</v>
      </c>
      <c r="S1476" s="15">
        <v>0</v>
      </c>
      <c r="T1476"/>
    </row>
    <row r="1477" spans="1:20">
      <c r="A1477" s="5" t="s">
        <v>36</v>
      </c>
      <c r="B1477" s="5" t="s">
        <v>14804</v>
      </c>
      <c r="C1477" s="4">
        <v>45753</v>
      </c>
      <c r="D1477" s="4">
        <v>45758</v>
      </c>
      <c r="E1477" s="5" t="s">
        <v>16850</v>
      </c>
      <c r="F1477" s="5" t="s">
        <v>18839</v>
      </c>
      <c r="G1477" s="5" t="s">
        <v>845</v>
      </c>
      <c r="H1477" s="5">
        <v>1</v>
      </c>
      <c r="I1477" s="8" t="s">
        <v>8608</v>
      </c>
      <c r="J1477" s="8" t="s">
        <v>10657</v>
      </c>
      <c r="K1477" s="8" t="s">
        <v>2454</v>
      </c>
      <c r="L1477" s="8" t="s">
        <v>12708</v>
      </c>
      <c r="M1477" s="8" t="s">
        <v>4504</v>
      </c>
      <c r="N1477" s="8" t="s">
        <v>6555</v>
      </c>
      <c r="O1477" s="5" t="s">
        <v>67</v>
      </c>
      <c r="P1477" s="4">
        <v>45790</v>
      </c>
      <c r="Q1477" s="15">
        <v>54.9</v>
      </c>
      <c r="R1477" s="15">
        <v>15.09</v>
      </c>
      <c r="S1477" s="15">
        <v>0</v>
      </c>
      <c r="T1477"/>
    </row>
    <row r="1478" spans="1:20">
      <c r="A1478" s="5" t="s">
        <v>113</v>
      </c>
      <c r="B1478" s="5" t="s">
        <v>14805</v>
      </c>
      <c r="C1478" s="4">
        <v>45754</v>
      </c>
      <c r="D1478" s="4">
        <v>45758</v>
      </c>
      <c r="E1478" s="5" t="s">
        <v>16851</v>
      </c>
      <c r="F1478" s="5" t="s">
        <v>18840</v>
      </c>
      <c r="G1478" s="5" t="s">
        <v>876</v>
      </c>
      <c r="H1478" s="5">
        <v>1</v>
      </c>
      <c r="I1478" s="8" t="s">
        <v>8609</v>
      </c>
      <c r="J1478" s="8" t="s">
        <v>10658</v>
      </c>
      <c r="K1478" s="8" t="s">
        <v>2455</v>
      </c>
      <c r="L1478" s="8" t="s">
        <v>12709</v>
      </c>
      <c r="M1478" s="8" t="s">
        <v>4505</v>
      </c>
      <c r="N1478" s="8" t="s">
        <v>6556</v>
      </c>
      <c r="O1478" s="5" t="s">
        <v>144</v>
      </c>
      <c r="P1478" s="4">
        <v>45784</v>
      </c>
      <c r="Q1478" s="15">
        <v>52.93</v>
      </c>
      <c r="R1478" s="15">
        <v>21.89</v>
      </c>
      <c r="S1478" s="15">
        <v>0</v>
      </c>
      <c r="T1478"/>
    </row>
    <row r="1479" spans="1:20">
      <c r="A1479" s="5" t="s">
        <v>113</v>
      </c>
      <c r="B1479" s="5" t="s">
        <v>14806</v>
      </c>
      <c r="C1479" s="4">
        <v>45755</v>
      </c>
      <c r="D1479" s="4">
        <v>45758</v>
      </c>
      <c r="E1479" s="5" t="s">
        <v>16852</v>
      </c>
      <c r="F1479" s="5" t="s">
        <v>18841</v>
      </c>
      <c r="G1479" s="5" t="s">
        <v>894</v>
      </c>
      <c r="H1479" s="5">
        <v>1</v>
      </c>
      <c r="I1479" s="8" t="s">
        <v>8610</v>
      </c>
      <c r="J1479" s="8" t="s">
        <v>10659</v>
      </c>
      <c r="K1479" s="8" t="s">
        <v>2456</v>
      </c>
      <c r="L1479" s="8" t="s">
        <v>12710</v>
      </c>
      <c r="M1479" s="8" t="s">
        <v>4506</v>
      </c>
      <c r="N1479" s="8" t="s">
        <v>6557</v>
      </c>
      <c r="O1479" s="5" t="s">
        <v>127</v>
      </c>
      <c r="P1479" s="4">
        <v>45784</v>
      </c>
      <c r="Q1479" s="15">
        <v>42.87</v>
      </c>
      <c r="R1479" s="15">
        <v>17.170000000000002</v>
      </c>
      <c r="S1479" s="15">
        <v>0</v>
      </c>
      <c r="T1479"/>
    </row>
    <row r="1480" spans="1:20">
      <c r="A1480" s="5" t="s">
        <v>113</v>
      </c>
      <c r="B1480" s="5" t="s">
        <v>14807</v>
      </c>
      <c r="C1480" s="4">
        <v>45755</v>
      </c>
      <c r="D1480" s="4">
        <v>45758</v>
      </c>
      <c r="E1480" s="5" t="s">
        <v>16853</v>
      </c>
      <c r="F1480" s="5" t="s">
        <v>18842</v>
      </c>
      <c r="G1480" s="5" t="s">
        <v>833</v>
      </c>
      <c r="H1480" s="5">
        <v>1</v>
      </c>
      <c r="I1480" s="8" t="s">
        <v>8611</v>
      </c>
      <c r="J1480" s="8" t="s">
        <v>10660</v>
      </c>
      <c r="K1480" s="8" t="s">
        <v>2457</v>
      </c>
      <c r="L1480" s="8" t="s">
        <v>12711</v>
      </c>
      <c r="M1480" s="8" t="s">
        <v>4507</v>
      </c>
      <c r="N1480" s="8" t="s">
        <v>6558</v>
      </c>
      <c r="O1480" s="5" t="s">
        <v>147</v>
      </c>
      <c r="P1480" s="4">
        <v>45791</v>
      </c>
      <c r="Q1480" s="15">
        <v>22.7</v>
      </c>
      <c r="R1480" s="15">
        <v>16.649999999999999</v>
      </c>
      <c r="S1480" s="15">
        <v>0</v>
      </c>
      <c r="T1480"/>
    </row>
    <row r="1481" spans="1:20">
      <c r="A1481" s="5" t="s">
        <v>113</v>
      </c>
      <c r="B1481" s="5" t="s">
        <v>14808</v>
      </c>
      <c r="C1481" s="4">
        <v>45754</v>
      </c>
      <c r="D1481" s="4">
        <v>45758</v>
      </c>
      <c r="E1481" s="5" t="s">
        <v>16854</v>
      </c>
      <c r="F1481" s="5" t="s">
        <v>18843</v>
      </c>
      <c r="G1481" s="5" t="s">
        <v>833</v>
      </c>
      <c r="H1481" s="5">
        <v>1</v>
      </c>
      <c r="I1481" s="8" t="s">
        <v>8612</v>
      </c>
      <c r="J1481" s="8" t="s">
        <v>10661</v>
      </c>
      <c r="K1481" s="8" t="s">
        <v>2458</v>
      </c>
      <c r="L1481" s="8" t="s">
        <v>12712</v>
      </c>
      <c r="M1481" s="8" t="s">
        <v>4508</v>
      </c>
      <c r="N1481" s="8" t="s">
        <v>6559</v>
      </c>
      <c r="O1481" s="5" t="s">
        <v>147</v>
      </c>
      <c r="P1481" s="4">
        <v>45784</v>
      </c>
      <c r="Q1481" s="15">
        <v>22.7</v>
      </c>
      <c r="R1481" s="15">
        <v>14.41</v>
      </c>
      <c r="S1481" s="15">
        <v>0</v>
      </c>
      <c r="T1481"/>
    </row>
    <row r="1482" spans="1:20">
      <c r="A1482" s="5" t="s">
        <v>113</v>
      </c>
      <c r="B1482" s="5" t="s">
        <v>14809</v>
      </c>
      <c r="C1482" s="4">
        <v>45755</v>
      </c>
      <c r="D1482" s="4">
        <v>45759</v>
      </c>
      <c r="E1482" s="5" t="s">
        <v>16855</v>
      </c>
      <c r="F1482" s="5" t="s">
        <v>18844</v>
      </c>
      <c r="G1482" s="5" t="s">
        <v>833</v>
      </c>
      <c r="H1482" s="5">
        <v>1</v>
      </c>
      <c r="I1482" s="8" t="s">
        <v>8613</v>
      </c>
      <c r="J1482" s="8" t="s">
        <v>10662</v>
      </c>
      <c r="K1482" s="8" t="s">
        <v>2459</v>
      </c>
      <c r="L1482" s="8" t="s">
        <v>12713</v>
      </c>
      <c r="M1482" s="8" t="s">
        <v>4509</v>
      </c>
      <c r="N1482" s="8" t="s">
        <v>6560</v>
      </c>
      <c r="O1482" s="5" t="s">
        <v>147</v>
      </c>
      <c r="P1482" s="4">
        <v>45784</v>
      </c>
      <c r="Q1482" s="15">
        <v>22.7</v>
      </c>
      <c r="R1482" s="15">
        <v>11.92</v>
      </c>
      <c r="S1482" s="15">
        <v>0</v>
      </c>
      <c r="T1482"/>
    </row>
    <row r="1483" spans="1:20">
      <c r="A1483" s="5" t="s">
        <v>113</v>
      </c>
      <c r="B1483" s="5" t="s">
        <v>14810</v>
      </c>
      <c r="C1483" s="4">
        <v>45755</v>
      </c>
      <c r="D1483" s="4">
        <v>45758</v>
      </c>
      <c r="E1483" s="5" t="s">
        <v>16856</v>
      </c>
      <c r="F1483" s="5" t="s">
        <v>18845</v>
      </c>
      <c r="G1483" s="5" t="s">
        <v>894</v>
      </c>
      <c r="H1483" s="5">
        <v>1</v>
      </c>
      <c r="I1483" s="8" t="s">
        <v>8614</v>
      </c>
      <c r="J1483" s="8" t="s">
        <v>10663</v>
      </c>
      <c r="K1483" s="8" t="s">
        <v>2460</v>
      </c>
      <c r="L1483" s="8" t="s">
        <v>12714</v>
      </c>
      <c r="M1483" s="8" t="s">
        <v>4510</v>
      </c>
      <c r="N1483" s="8" t="s">
        <v>6561</v>
      </c>
      <c r="O1483" s="5" t="s">
        <v>127</v>
      </c>
      <c r="P1483" s="4">
        <v>45778</v>
      </c>
      <c r="Q1483" s="15">
        <v>42.87</v>
      </c>
      <c r="R1483" s="15">
        <v>24.38</v>
      </c>
      <c r="S1483" s="15">
        <v>0</v>
      </c>
      <c r="T1483"/>
    </row>
    <row r="1484" spans="1:20">
      <c r="A1484" s="5" t="s">
        <v>113</v>
      </c>
      <c r="B1484" s="5" t="s">
        <v>14811</v>
      </c>
      <c r="C1484" s="4">
        <v>45755</v>
      </c>
      <c r="D1484" s="4">
        <v>45758</v>
      </c>
      <c r="E1484" s="5" t="s">
        <v>16857</v>
      </c>
      <c r="F1484" s="5" t="s">
        <v>18846</v>
      </c>
      <c r="G1484" s="5" t="s">
        <v>894</v>
      </c>
      <c r="H1484" s="5">
        <v>1</v>
      </c>
      <c r="I1484" s="8" t="s">
        <v>8614</v>
      </c>
      <c r="J1484" s="8" t="s">
        <v>10663</v>
      </c>
      <c r="K1484" s="8" t="s">
        <v>2460</v>
      </c>
      <c r="L1484" s="8" t="s">
        <v>12714</v>
      </c>
      <c r="M1484" s="8" t="s">
        <v>4510</v>
      </c>
      <c r="N1484" s="8" t="s">
        <v>6561</v>
      </c>
      <c r="O1484" s="5" t="s">
        <v>127</v>
      </c>
      <c r="P1484" s="4">
        <v>45778</v>
      </c>
      <c r="Q1484" s="15">
        <v>42.87</v>
      </c>
      <c r="R1484" s="15">
        <v>24.38</v>
      </c>
      <c r="S1484" s="15">
        <v>0</v>
      </c>
      <c r="T1484"/>
    </row>
    <row r="1485" spans="1:20">
      <c r="A1485" s="5" t="s">
        <v>113</v>
      </c>
      <c r="B1485" s="5" t="s">
        <v>14812</v>
      </c>
      <c r="C1485" s="4">
        <v>45755</v>
      </c>
      <c r="D1485" s="4">
        <v>45758</v>
      </c>
      <c r="E1485" s="5" t="s">
        <v>16858</v>
      </c>
      <c r="F1485" s="5" t="s">
        <v>18847</v>
      </c>
      <c r="G1485" s="5" t="s">
        <v>849</v>
      </c>
      <c r="H1485" s="5">
        <v>1</v>
      </c>
      <c r="I1485" s="8" t="s">
        <v>8615</v>
      </c>
      <c r="J1485" s="8" t="s">
        <v>10664</v>
      </c>
      <c r="K1485" s="8" t="s">
        <v>2461</v>
      </c>
      <c r="L1485" s="8" t="s">
        <v>12715</v>
      </c>
      <c r="M1485" s="8" t="s">
        <v>4511</v>
      </c>
      <c r="N1485" s="8" t="s">
        <v>6562</v>
      </c>
      <c r="O1485" s="5" t="s">
        <v>116</v>
      </c>
      <c r="P1485" s="4">
        <v>45792</v>
      </c>
      <c r="Q1485" s="15">
        <v>65.75</v>
      </c>
      <c r="R1485" s="15">
        <v>22.15</v>
      </c>
      <c r="S1485" s="15">
        <v>0</v>
      </c>
      <c r="T1485"/>
    </row>
    <row r="1486" spans="1:20">
      <c r="A1486" s="5" t="s">
        <v>113</v>
      </c>
      <c r="B1486" s="5" t="s">
        <v>14813</v>
      </c>
      <c r="C1486" s="4">
        <v>45755</v>
      </c>
      <c r="D1486" s="4">
        <v>45758</v>
      </c>
      <c r="E1486" s="5" t="s">
        <v>16859</v>
      </c>
      <c r="F1486" s="5" t="s">
        <v>18848</v>
      </c>
      <c r="G1486" s="5" t="s">
        <v>855</v>
      </c>
      <c r="H1486" s="5">
        <v>1</v>
      </c>
      <c r="I1486" s="8" t="s">
        <v>8616</v>
      </c>
      <c r="J1486" s="8" t="s">
        <v>10665</v>
      </c>
      <c r="K1486" s="8" t="s">
        <v>2462</v>
      </c>
      <c r="L1486" s="8" t="s">
        <v>12716</v>
      </c>
      <c r="M1486" s="8" t="s">
        <v>4512</v>
      </c>
      <c r="N1486" s="8" t="s">
        <v>6563</v>
      </c>
      <c r="O1486" s="5" t="s">
        <v>138</v>
      </c>
      <c r="P1486" s="4">
        <v>45785</v>
      </c>
      <c r="Q1486" s="15">
        <v>29.99</v>
      </c>
      <c r="R1486" s="15">
        <v>19.29</v>
      </c>
      <c r="S1486" s="15">
        <v>0</v>
      </c>
      <c r="T1486"/>
    </row>
    <row r="1487" spans="1:20">
      <c r="A1487" s="5" t="s">
        <v>113</v>
      </c>
      <c r="B1487" s="5" t="s">
        <v>14814</v>
      </c>
      <c r="C1487" s="4">
        <v>45755</v>
      </c>
      <c r="D1487" s="4">
        <v>45758</v>
      </c>
      <c r="E1487" s="5" t="s">
        <v>16860</v>
      </c>
      <c r="F1487" s="5" t="s">
        <v>18849</v>
      </c>
      <c r="G1487" s="5" t="s">
        <v>905</v>
      </c>
      <c r="H1487" s="5">
        <v>1</v>
      </c>
      <c r="I1487" s="8" t="s">
        <v>8617</v>
      </c>
      <c r="J1487" s="8" t="s">
        <v>10666</v>
      </c>
      <c r="K1487" s="8" t="s">
        <v>2463</v>
      </c>
      <c r="L1487" s="8" t="s">
        <v>12717</v>
      </c>
      <c r="M1487" s="8" t="s">
        <v>4513</v>
      </c>
      <c r="N1487" s="8" t="s">
        <v>6564</v>
      </c>
      <c r="O1487" s="5" t="s">
        <v>125</v>
      </c>
      <c r="P1487" s="4">
        <v>45785</v>
      </c>
      <c r="Q1487" s="15">
        <v>26.99</v>
      </c>
      <c r="R1487" s="15">
        <v>14.22</v>
      </c>
      <c r="S1487" s="15">
        <v>0</v>
      </c>
      <c r="T1487"/>
    </row>
    <row r="1488" spans="1:20">
      <c r="A1488" s="5" t="s">
        <v>113</v>
      </c>
      <c r="B1488" s="5" t="s">
        <v>14815</v>
      </c>
      <c r="C1488" s="4">
        <v>45755</v>
      </c>
      <c r="D1488" s="4">
        <v>45759</v>
      </c>
      <c r="E1488" s="5" t="s">
        <v>16861</v>
      </c>
      <c r="F1488" s="5" t="s">
        <v>18850</v>
      </c>
      <c r="G1488" s="5" t="s">
        <v>872</v>
      </c>
      <c r="H1488" s="5">
        <v>1</v>
      </c>
      <c r="I1488" s="8" t="s">
        <v>8618</v>
      </c>
      <c r="J1488" s="8" t="s">
        <v>10667</v>
      </c>
      <c r="K1488" s="8" t="s">
        <v>2464</v>
      </c>
      <c r="L1488" s="8" t="s">
        <v>12718</v>
      </c>
      <c r="M1488" s="8" t="s">
        <v>4514</v>
      </c>
      <c r="N1488" s="8" t="s">
        <v>6565</v>
      </c>
      <c r="O1488" s="5" t="s">
        <v>146</v>
      </c>
      <c r="P1488" s="4">
        <v>45778</v>
      </c>
      <c r="Q1488" s="15">
        <v>25.88</v>
      </c>
      <c r="R1488" s="15">
        <v>11.5</v>
      </c>
      <c r="S1488" s="15">
        <v>0</v>
      </c>
      <c r="T1488"/>
    </row>
    <row r="1489" spans="1:20">
      <c r="A1489" s="5" t="s">
        <v>113</v>
      </c>
      <c r="B1489" s="5" t="s">
        <v>14816</v>
      </c>
      <c r="C1489" s="4">
        <v>45755</v>
      </c>
      <c r="D1489" s="4">
        <v>45758</v>
      </c>
      <c r="E1489" s="5" t="s">
        <v>16862</v>
      </c>
      <c r="F1489" s="5" t="s">
        <v>18851</v>
      </c>
      <c r="G1489" s="5" t="s">
        <v>833</v>
      </c>
      <c r="H1489" s="5">
        <v>1</v>
      </c>
      <c r="I1489" s="8" t="s">
        <v>8619</v>
      </c>
      <c r="J1489" s="8" t="s">
        <v>10668</v>
      </c>
      <c r="K1489" s="8" t="s">
        <v>2465</v>
      </c>
      <c r="L1489" s="8" t="s">
        <v>12719</v>
      </c>
      <c r="M1489" s="8" t="s">
        <v>4515</v>
      </c>
      <c r="N1489" s="8" t="s">
        <v>6566</v>
      </c>
      <c r="O1489" s="5" t="s">
        <v>147</v>
      </c>
      <c r="P1489" s="4">
        <v>45778</v>
      </c>
      <c r="Q1489" s="15">
        <v>22.7</v>
      </c>
      <c r="R1489" s="15">
        <v>10.1</v>
      </c>
      <c r="S1489" s="15">
        <v>0</v>
      </c>
      <c r="T1489"/>
    </row>
    <row r="1490" spans="1:20">
      <c r="A1490" s="5" t="s">
        <v>113</v>
      </c>
      <c r="B1490" s="5" t="s">
        <v>14817</v>
      </c>
      <c r="C1490" s="4">
        <v>45755</v>
      </c>
      <c r="D1490" s="4">
        <v>45758</v>
      </c>
      <c r="E1490" s="5" t="s">
        <v>16863</v>
      </c>
      <c r="F1490" s="5" t="s">
        <v>18852</v>
      </c>
      <c r="G1490" s="5" t="s">
        <v>849</v>
      </c>
      <c r="H1490" s="5">
        <v>1</v>
      </c>
      <c r="I1490" s="8" t="s">
        <v>8620</v>
      </c>
      <c r="J1490" s="8" t="s">
        <v>10669</v>
      </c>
      <c r="K1490" s="8" t="s">
        <v>2466</v>
      </c>
      <c r="L1490" s="8" t="s">
        <v>12720</v>
      </c>
      <c r="M1490" s="8" t="s">
        <v>4516</v>
      </c>
      <c r="N1490" s="8" t="s">
        <v>6567</v>
      </c>
      <c r="O1490" s="5" t="s">
        <v>116</v>
      </c>
      <c r="P1490" s="4">
        <v>45778</v>
      </c>
      <c r="Q1490" s="15">
        <v>65.75</v>
      </c>
      <c r="R1490" s="15">
        <v>22.15</v>
      </c>
      <c r="S1490" s="15">
        <v>0</v>
      </c>
      <c r="T1490"/>
    </row>
    <row r="1491" spans="1:20">
      <c r="A1491" s="5" t="s">
        <v>113</v>
      </c>
      <c r="B1491" s="5" t="s">
        <v>14818</v>
      </c>
      <c r="C1491" s="4">
        <v>45756</v>
      </c>
      <c r="D1491" s="4">
        <v>45759</v>
      </c>
      <c r="E1491" s="5" t="s">
        <v>16864</v>
      </c>
      <c r="F1491" s="5" t="s">
        <v>18853</v>
      </c>
      <c r="G1491" s="5" t="s">
        <v>817</v>
      </c>
      <c r="H1491" s="5">
        <v>1</v>
      </c>
      <c r="I1491" s="8" t="s">
        <v>8621</v>
      </c>
      <c r="J1491" s="8" t="s">
        <v>10670</v>
      </c>
      <c r="K1491" s="8" t="s">
        <v>2467</v>
      </c>
      <c r="L1491" s="8" t="s">
        <v>12721</v>
      </c>
      <c r="M1491" s="8" t="s">
        <v>4517</v>
      </c>
      <c r="N1491" s="8" t="s">
        <v>6568</v>
      </c>
      <c r="O1491" s="5" t="s">
        <v>115</v>
      </c>
      <c r="P1491" s="4">
        <v>45786</v>
      </c>
      <c r="Q1491" s="15">
        <v>36.950000000000003</v>
      </c>
      <c r="R1491" s="15">
        <v>19.989999999999998</v>
      </c>
      <c r="S1491" s="15">
        <v>0</v>
      </c>
      <c r="T1491"/>
    </row>
    <row r="1492" spans="1:20">
      <c r="A1492" s="5" t="s">
        <v>113</v>
      </c>
      <c r="B1492" s="5" t="s">
        <v>14819</v>
      </c>
      <c r="C1492" s="4">
        <v>45756</v>
      </c>
      <c r="D1492" s="4">
        <v>45759</v>
      </c>
      <c r="E1492" s="5" t="s">
        <v>16865</v>
      </c>
      <c r="F1492" s="5" t="s">
        <v>18854</v>
      </c>
      <c r="G1492" s="5" t="s">
        <v>905</v>
      </c>
      <c r="H1492" s="5">
        <v>1</v>
      </c>
      <c r="I1492" s="8" t="s">
        <v>8622</v>
      </c>
      <c r="J1492" s="8" t="s">
        <v>10671</v>
      </c>
      <c r="K1492" s="8" t="s">
        <v>2468</v>
      </c>
      <c r="L1492" s="8" t="s">
        <v>12722</v>
      </c>
      <c r="M1492" s="8" t="s">
        <v>4518</v>
      </c>
      <c r="N1492" s="8" t="s">
        <v>6569</v>
      </c>
      <c r="O1492" s="5" t="s">
        <v>125</v>
      </c>
      <c r="P1492" s="4">
        <v>45786</v>
      </c>
      <c r="Q1492" s="15">
        <v>26.99</v>
      </c>
      <c r="R1492" s="15">
        <v>14.35</v>
      </c>
      <c r="S1492" s="15">
        <v>0</v>
      </c>
      <c r="T1492"/>
    </row>
    <row r="1493" spans="1:20">
      <c r="A1493" s="5" t="s">
        <v>113</v>
      </c>
      <c r="B1493" s="5" t="s">
        <v>14820</v>
      </c>
      <c r="C1493" s="4">
        <v>45756</v>
      </c>
      <c r="D1493" s="4">
        <v>45759</v>
      </c>
      <c r="E1493" s="5" t="s">
        <v>16866</v>
      </c>
      <c r="F1493" s="5" t="s">
        <v>18855</v>
      </c>
      <c r="G1493" s="5" t="s">
        <v>855</v>
      </c>
      <c r="H1493" s="5">
        <v>1</v>
      </c>
      <c r="I1493" s="8" t="s">
        <v>8623</v>
      </c>
      <c r="J1493" s="8" t="s">
        <v>10672</v>
      </c>
      <c r="K1493" s="8" t="s">
        <v>2469</v>
      </c>
      <c r="L1493" s="8" t="s">
        <v>12723</v>
      </c>
      <c r="M1493" s="8" t="s">
        <v>4519</v>
      </c>
      <c r="N1493" s="8" t="s">
        <v>6570</v>
      </c>
      <c r="O1493" s="5" t="s">
        <v>138</v>
      </c>
      <c r="P1493" s="4">
        <v>45780</v>
      </c>
      <c r="Q1493" s="15">
        <v>29.99</v>
      </c>
      <c r="R1493" s="15">
        <v>11.5</v>
      </c>
      <c r="S1493" s="15">
        <v>0</v>
      </c>
      <c r="T1493"/>
    </row>
    <row r="1494" spans="1:20">
      <c r="A1494" s="5" t="s">
        <v>113</v>
      </c>
      <c r="B1494" s="5" t="s">
        <v>14821</v>
      </c>
      <c r="C1494" s="4">
        <v>45756</v>
      </c>
      <c r="D1494" s="4">
        <v>45759</v>
      </c>
      <c r="E1494" s="5" t="s">
        <v>16867</v>
      </c>
      <c r="F1494" s="5" t="s">
        <v>18856</v>
      </c>
      <c r="G1494" s="5" t="s">
        <v>845</v>
      </c>
      <c r="H1494" s="5">
        <v>1</v>
      </c>
      <c r="I1494" s="8" t="s">
        <v>8624</v>
      </c>
      <c r="J1494" s="8" t="s">
        <v>10673</v>
      </c>
      <c r="K1494" s="8" t="s">
        <v>2470</v>
      </c>
      <c r="L1494" s="8" t="s">
        <v>12724</v>
      </c>
      <c r="M1494" s="8" t="s">
        <v>4520</v>
      </c>
      <c r="N1494" s="8" t="s">
        <v>6571</v>
      </c>
      <c r="O1494" s="5" t="s">
        <v>137</v>
      </c>
      <c r="P1494" s="4">
        <v>45786</v>
      </c>
      <c r="Q1494" s="15">
        <v>49.9</v>
      </c>
      <c r="R1494" s="15">
        <v>23.31</v>
      </c>
      <c r="S1494" s="15">
        <v>0</v>
      </c>
      <c r="T1494"/>
    </row>
    <row r="1495" spans="1:20">
      <c r="A1495" s="5" t="s">
        <v>113</v>
      </c>
      <c r="B1495" s="5" t="s">
        <v>14822</v>
      </c>
      <c r="C1495" s="4">
        <v>45756</v>
      </c>
      <c r="D1495" s="4">
        <v>45760</v>
      </c>
      <c r="E1495" s="5" t="s">
        <v>16868</v>
      </c>
      <c r="F1495" s="5" t="s">
        <v>18857</v>
      </c>
      <c r="G1495" s="5" t="s">
        <v>872</v>
      </c>
      <c r="H1495" s="5">
        <v>1</v>
      </c>
      <c r="I1495" s="8" t="s">
        <v>8625</v>
      </c>
      <c r="J1495" s="8" t="s">
        <v>10674</v>
      </c>
      <c r="K1495" s="8" t="s">
        <v>2471</v>
      </c>
      <c r="L1495" s="8" t="s">
        <v>12725</v>
      </c>
      <c r="M1495" s="8" t="s">
        <v>4521</v>
      </c>
      <c r="N1495" s="8" t="s">
        <v>6572</v>
      </c>
      <c r="O1495" s="5" t="s">
        <v>146</v>
      </c>
      <c r="P1495" s="4">
        <v>45786</v>
      </c>
      <c r="Q1495" s="15">
        <v>25.88</v>
      </c>
      <c r="R1495" s="15">
        <v>16.5</v>
      </c>
      <c r="S1495" s="15">
        <v>0</v>
      </c>
      <c r="T1495"/>
    </row>
    <row r="1496" spans="1:20">
      <c r="A1496" s="5" t="s">
        <v>113</v>
      </c>
      <c r="B1496" s="5" t="s">
        <v>14823</v>
      </c>
      <c r="C1496" s="4">
        <v>45756</v>
      </c>
      <c r="D1496" s="4">
        <v>45759</v>
      </c>
      <c r="E1496" s="5" t="s">
        <v>16869</v>
      </c>
      <c r="F1496" s="5" t="s">
        <v>18858</v>
      </c>
      <c r="G1496" s="5" t="s">
        <v>894</v>
      </c>
      <c r="H1496" s="5">
        <v>1</v>
      </c>
      <c r="I1496" s="8" t="s">
        <v>8626</v>
      </c>
      <c r="J1496" s="8" t="s">
        <v>10675</v>
      </c>
      <c r="K1496" s="8" t="s">
        <v>2472</v>
      </c>
      <c r="L1496" s="8" t="s">
        <v>12726</v>
      </c>
      <c r="M1496" s="8" t="s">
        <v>4522</v>
      </c>
      <c r="N1496" s="8" t="s">
        <v>6573</v>
      </c>
      <c r="O1496" s="5" t="s">
        <v>127</v>
      </c>
      <c r="P1496" s="4">
        <v>45786</v>
      </c>
      <c r="Q1496" s="15">
        <v>42.87</v>
      </c>
      <c r="R1496" s="15">
        <v>24.48</v>
      </c>
      <c r="S1496" s="15">
        <v>0</v>
      </c>
      <c r="T1496"/>
    </row>
    <row r="1497" spans="1:20">
      <c r="A1497" s="5" t="s">
        <v>113</v>
      </c>
      <c r="B1497" s="5" t="s">
        <v>14824</v>
      </c>
      <c r="C1497" s="4">
        <v>45756</v>
      </c>
      <c r="D1497" s="4">
        <v>45759</v>
      </c>
      <c r="E1497" s="5" t="s">
        <v>16870</v>
      </c>
      <c r="F1497" s="5" t="s">
        <v>18859</v>
      </c>
      <c r="G1497" s="5" t="s">
        <v>905</v>
      </c>
      <c r="H1497" s="5">
        <v>1</v>
      </c>
      <c r="I1497" s="8" t="s">
        <v>8627</v>
      </c>
      <c r="J1497" s="8" t="s">
        <v>10676</v>
      </c>
      <c r="K1497" s="8" t="s">
        <v>2473</v>
      </c>
      <c r="L1497" s="8" t="s">
        <v>12727</v>
      </c>
      <c r="M1497" s="8" t="s">
        <v>4523</v>
      </c>
      <c r="N1497" s="8" t="s">
        <v>6574</v>
      </c>
      <c r="O1497" s="5" t="s">
        <v>125</v>
      </c>
      <c r="P1497" s="4">
        <v>45780</v>
      </c>
      <c r="Q1497" s="15">
        <v>26.99</v>
      </c>
      <c r="R1497" s="15">
        <v>0</v>
      </c>
      <c r="S1497" s="15">
        <v>0</v>
      </c>
      <c r="T1497"/>
    </row>
    <row r="1498" spans="1:20">
      <c r="A1498" s="5" t="s">
        <v>113</v>
      </c>
      <c r="B1498" s="5" t="s">
        <v>14825</v>
      </c>
      <c r="C1498" s="4">
        <v>45756</v>
      </c>
      <c r="D1498" s="4">
        <v>45761</v>
      </c>
      <c r="E1498" s="5" t="s">
        <v>16871</v>
      </c>
      <c r="F1498" s="5" t="s">
        <v>18860</v>
      </c>
      <c r="G1498" s="5" t="s">
        <v>905</v>
      </c>
      <c r="H1498" s="5">
        <v>1</v>
      </c>
      <c r="I1498" s="8" t="s">
        <v>8628</v>
      </c>
      <c r="J1498" s="8" t="s">
        <v>10677</v>
      </c>
      <c r="K1498" s="8" t="s">
        <v>2474</v>
      </c>
      <c r="L1498" s="8" t="s">
        <v>12728</v>
      </c>
      <c r="M1498" s="8" t="s">
        <v>4524</v>
      </c>
      <c r="N1498" s="8" t="s">
        <v>6575</v>
      </c>
      <c r="O1498" s="5" t="s">
        <v>125</v>
      </c>
      <c r="P1498" s="4">
        <v>45786</v>
      </c>
      <c r="Q1498" s="15">
        <v>26.99</v>
      </c>
      <c r="R1498" s="15">
        <v>14.14</v>
      </c>
      <c r="S1498" s="15">
        <v>0</v>
      </c>
      <c r="T1498"/>
    </row>
    <row r="1499" spans="1:20">
      <c r="A1499" s="5" t="s">
        <v>113</v>
      </c>
      <c r="B1499" s="5" t="s">
        <v>14826</v>
      </c>
      <c r="C1499" s="4">
        <v>45756</v>
      </c>
      <c r="D1499" s="4">
        <v>45760</v>
      </c>
      <c r="E1499" s="5" t="s">
        <v>16872</v>
      </c>
      <c r="F1499" s="5" t="s">
        <v>18861</v>
      </c>
      <c r="G1499" s="5" t="s">
        <v>845</v>
      </c>
      <c r="H1499" s="5">
        <v>1</v>
      </c>
      <c r="I1499" s="8" t="s">
        <v>8629</v>
      </c>
      <c r="J1499" s="8" t="s">
        <v>10678</v>
      </c>
      <c r="K1499" s="8" t="s">
        <v>2475</v>
      </c>
      <c r="L1499" s="8" t="s">
        <v>12729</v>
      </c>
      <c r="M1499" s="8" t="s">
        <v>4525</v>
      </c>
      <c r="N1499" s="8" t="s">
        <v>6576</v>
      </c>
      <c r="O1499" s="5" t="s">
        <v>137</v>
      </c>
      <c r="P1499" s="4">
        <v>45780</v>
      </c>
      <c r="Q1499" s="15">
        <v>49.9</v>
      </c>
      <c r="R1499" s="15">
        <v>36.880000000000003</v>
      </c>
      <c r="S1499" s="15">
        <v>0</v>
      </c>
      <c r="T1499"/>
    </row>
    <row r="1500" spans="1:20">
      <c r="A1500" s="5" t="s">
        <v>113</v>
      </c>
      <c r="B1500" s="5" t="s">
        <v>14827</v>
      </c>
      <c r="C1500" s="4">
        <v>45757</v>
      </c>
      <c r="D1500" s="4">
        <v>45760</v>
      </c>
      <c r="E1500" s="5" t="s">
        <v>16873</v>
      </c>
      <c r="F1500" s="5" t="s">
        <v>18862</v>
      </c>
      <c r="G1500" s="5" t="s">
        <v>833</v>
      </c>
      <c r="H1500" s="5">
        <v>1</v>
      </c>
      <c r="I1500" s="8" t="s">
        <v>8630</v>
      </c>
      <c r="J1500" s="8" t="s">
        <v>10679</v>
      </c>
      <c r="K1500" s="8" t="s">
        <v>2476</v>
      </c>
      <c r="L1500" s="8" t="s">
        <v>12730</v>
      </c>
      <c r="M1500" s="8" t="s">
        <v>4526</v>
      </c>
      <c r="N1500" s="8" t="s">
        <v>6577</v>
      </c>
      <c r="O1500" s="5" t="s">
        <v>147</v>
      </c>
      <c r="P1500" s="4">
        <v>45786</v>
      </c>
      <c r="Q1500" s="15">
        <v>22.7</v>
      </c>
      <c r="R1500" s="15">
        <v>14.71</v>
      </c>
      <c r="S1500" s="15">
        <v>0</v>
      </c>
      <c r="T1500"/>
    </row>
    <row r="1501" spans="1:20">
      <c r="A1501" s="5" t="s">
        <v>113</v>
      </c>
      <c r="B1501" s="5" t="s">
        <v>14828</v>
      </c>
      <c r="C1501" s="4">
        <v>45757</v>
      </c>
      <c r="D1501" s="4">
        <v>45760</v>
      </c>
      <c r="E1501" s="5" t="s">
        <v>16874</v>
      </c>
      <c r="F1501" s="5" t="s">
        <v>18863</v>
      </c>
      <c r="G1501" s="5" t="s">
        <v>905</v>
      </c>
      <c r="H1501" s="5">
        <v>1</v>
      </c>
      <c r="I1501" s="8" t="s">
        <v>8631</v>
      </c>
      <c r="J1501" s="8" t="s">
        <v>10680</v>
      </c>
      <c r="K1501" s="8" t="s">
        <v>2477</v>
      </c>
      <c r="L1501" s="8" t="s">
        <v>12731</v>
      </c>
      <c r="M1501" s="8" t="s">
        <v>4527</v>
      </c>
      <c r="N1501" s="8" t="s">
        <v>6578</v>
      </c>
      <c r="O1501" s="5" t="s">
        <v>125</v>
      </c>
      <c r="P1501" s="4">
        <v>45793</v>
      </c>
      <c r="Q1501" s="15">
        <v>26.99</v>
      </c>
      <c r="R1501" s="15">
        <v>0</v>
      </c>
      <c r="S1501" s="15">
        <v>0</v>
      </c>
      <c r="T1501"/>
    </row>
    <row r="1502" spans="1:20">
      <c r="A1502" s="5" t="s">
        <v>113</v>
      </c>
      <c r="B1502" s="5" t="s">
        <v>14829</v>
      </c>
      <c r="C1502" s="4">
        <v>45757</v>
      </c>
      <c r="D1502" s="4">
        <v>45760</v>
      </c>
      <c r="E1502" s="5" t="s">
        <v>16875</v>
      </c>
      <c r="F1502" s="5" t="s">
        <v>18864</v>
      </c>
      <c r="G1502" s="5" t="s">
        <v>905</v>
      </c>
      <c r="H1502" s="5">
        <v>1</v>
      </c>
      <c r="I1502" s="8" t="s">
        <v>8632</v>
      </c>
      <c r="J1502" s="8" t="s">
        <v>10681</v>
      </c>
      <c r="K1502" s="8" t="s">
        <v>2478</v>
      </c>
      <c r="L1502" s="8" t="s">
        <v>12732</v>
      </c>
      <c r="M1502" s="8" t="s">
        <v>4528</v>
      </c>
      <c r="N1502" s="8" t="s">
        <v>6579</v>
      </c>
      <c r="O1502" s="5" t="s">
        <v>125</v>
      </c>
      <c r="P1502" s="4">
        <v>45787</v>
      </c>
      <c r="Q1502" s="15">
        <v>26.99</v>
      </c>
      <c r="R1502" s="15">
        <v>14.35</v>
      </c>
      <c r="S1502" s="15">
        <v>0</v>
      </c>
      <c r="T1502"/>
    </row>
    <row r="1503" spans="1:20">
      <c r="A1503" s="5" t="s">
        <v>113</v>
      </c>
      <c r="B1503" s="5" t="s">
        <v>14830</v>
      </c>
      <c r="C1503" s="4">
        <v>45757</v>
      </c>
      <c r="D1503" s="4">
        <v>45761</v>
      </c>
      <c r="E1503" s="5" t="s">
        <v>16876</v>
      </c>
      <c r="F1503" s="5" t="s">
        <v>18865</v>
      </c>
      <c r="G1503" s="5" t="s">
        <v>855</v>
      </c>
      <c r="H1503" s="5">
        <v>1</v>
      </c>
      <c r="I1503" s="8" t="s">
        <v>8633</v>
      </c>
      <c r="J1503" s="8" t="s">
        <v>10682</v>
      </c>
      <c r="K1503" s="8" t="s">
        <v>2479</v>
      </c>
      <c r="L1503" s="8" t="s">
        <v>12733</v>
      </c>
      <c r="M1503" s="8" t="s">
        <v>4529</v>
      </c>
      <c r="N1503" s="8" t="s">
        <v>6580</v>
      </c>
      <c r="O1503" s="5" t="s">
        <v>138</v>
      </c>
      <c r="P1503" s="4">
        <v>45787</v>
      </c>
      <c r="Q1503" s="15">
        <v>29.99</v>
      </c>
      <c r="R1503" s="15">
        <v>15.42</v>
      </c>
      <c r="S1503" s="15">
        <v>0</v>
      </c>
      <c r="T1503"/>
    </row>
    <row r="1504" spans="1:20">
      <c r="A1504" s="5" t="s">
        <v>113</v>
      </c>
      <c r="B1504" s="5" t="s">
        <v>14831</v>
      </c>
      <c r="C1504" s="4">
        <v>45757</v>
      </c>
      <c r="D1504" s="4">
        <v>45760</v>
      </c>
      <c r="E1504" s="5" t="s">
        <v>16877</v>
      </c>
      <c r="F1504" s="5" t="s">
        <v>18866</v>
      </c>
      <c r="G1504" s="5" t="s">
        <v>845</v>
      </c>
      <c r="H1504" s="5">
        <v>1</v>
      </c>
      <c r="I1504" s="8" t="s">
        <v>8634</v>
      </c>
      <c r="J1504" s="8" t="s">
        <v>10683</v>
      </c>
      <c r="K1504" s="8" t="s">
        <v>2480</v>
      </c>
      <c r="L1504" s="8" t="s">
        <v>12734</v>
      </c>
      <c r="M1504" s="8" t="s">
        <v>4530</v>
      </c>
      <c r="N1504" s="8" t="s">
        <v>6581</v>
      </c>
      <c r="O1504" s="5" t="s">
        <v>137</v>
      </c>
      <c r="P1504" s="4">
        <v>45787</v>
      </c>
      <c r="Q1504" s="15">
        <v>49.9</v>
      </c>
      <c r="R1504" s="15">
        <v>22.51</v>
      </c>
      <c r="S1504" s="15">
        <v>0</v>
      </c>
      <c r="T1504"/>
    </row>
    <row r="1505" spans="1:20">
      <c r="A1505" s="5" t="s">
        <v>113</v>
      </c>
      <c r="B1505" s="5" t="s">
        <v>14832</v>
      </c>
      <c r="C1505" s="4">
        <v>45757</v>
      </c>
      <c r="D1505" s="4">
        <v>45760</v>
      </c>
      <c r="E1505" s="5" t="s">
        <v>16878</v>
      </c>
      <c r="F1505" s="5" t="s">
        <v>18867</v>
      </c>
      <c r="G1505" s="5" t="s">
        <v>902</v>
      </c>
      <c r="H1505" s="5">
        <v>1</v>
      </c>
      <c r="I1505" s="8" t="s">
        <v>8635</v>
      </c>
      <c r="J1505" s="8" t="s">
        <v>10684</v>
      </c>
      <c r="K1505" s="8" t="s">
        <v>2481</v>
      </c>
      <c r="L1505" s="8" t="s">
        <v>12735</v>
      </c>
      <c r="M1505" s="8" t="s">
        <v>4531</v>
      </c>
      <c r="N1505" s="8" t="s">
        <v>6582</v>
      </c>
      <c r="O1505" s="5" t="s">
        <v>129</v>
      </c>
      <c r="P1505" s="4">
        <v>45794</v>
      </c>
      <c r="Q1505" s="15">
        <v>26.99</v>
      </c>
      <c r="R1505" s="15">
        <v>10.130000000000001</v>
      </c>
      <c r="S1505" s="15">
        <v>0</v>
      </c>
      <c r="T1505"/>
    </row>
    <row r="1506" spans="1:20">
      <c r="A1506" s="5" t="s">
        <v>113</v>
      </c>
      <c r="B1506" s="5" t="s">
        <v>14833</v>
      </c>
      <c r="C1506" s="4">
        <v>45757</v>
      </c>
      <c r="D1506" s="4">
        <v>45760</v>
      </c>
      <c r="E1506" s="5" t="s">
        <v>16879</v>
      </c>
      <c r="F1506" s="5" t="s">
        <v>18868</v>
      </c>
      <c r="G1506" s="5" t="s">
        <v>902</v>
      </c>
      <c r="H1506" s="5">
        <v>1</v>
      </c>
      <c r="I1506" s="8" t="s">
        <v>8636</v>
      </c>
      <c r="J1506" s="8" t="s">
        <v>10685</v>
      </c>
      <c r="K1506" s="8" t="s">
        <v>2482</v>
      </c>
      <c r="L1506" s="8" t="s">
        <v>12736</v>
      </c>
      <c r="M1506" s="8" t="s">
        <v>4532</v>
      </c>
      <c r="N1506" s="8" t="s">
        <v>6583</v>
      </c>
      <c r="O1506" s="5" t="s">
        <v>129</v>
      </c>
      <c r="P1506" s="4">
        <v>45794</v>
      </c>
      <c r="Q1506" s="15">
        <v>26.99</v>
      </c>
      <c r="R1506" s="15">
        <v>10.130000000000001</v>
      </c>
      <c r="S1506" s="15">
        <v>0</v>
      </c>
      <c r="T1506"/>
    </row>
    <row r="1507" spans="1:20">
      <c r="A1507" s="5" t="s">
        <v>113</v>
      </c>
      <c r="B1507" s="5" t="s">
        <v>14834</v>
      </c>
      <c r="C1507" s="4">
        <v>45757</v>
      </c>
      <c r="D1507" s="4" t="s">
        <v>37</v>
      </c>
      <c r="E1507" s="5" t="s">
        <v>37</v>
      </c>
      <c r="F1507" s="5" t="s">
        <v>37</v>
      </c>
      <c r="G1507" s="5" t="s">
        <v>845</v>
      </c>
      <c r="H1507" s="5">
        <v>1</v>
      </c>
      <c r="I1507" s="8" t="s">
        <v>8637</v>
      </c>
      <c r="J1507" s="8" t="s">
        <v>10686</v>
      </c>
      <c r="K1507" s="8" t="s">
        <v>2483</v>
      </c>
      <c r="L1507" s="8" t="s">
        <v>12737</v>
      </c>
      <c r="M1507" s="8" t="s">
        <v>4533</v>
      </c>
      <c r="N1507" s="8" t="s">
        <v>6584</v>
      </c>
      <c r="O1507" s="5" t="s">
        <v>137</v>
      </c>
      <c r="P1507" s="4">
        <v>45787</v>
      </c>
      <c r="Q1507" s="15">
        <v>49.9</v>
      </c>
      <c r="R1507" s="15">
        <v>0</v>
      </c>
      <c r="S1507" s="15">
        <v>0</v>
      </c>
      <c r="T1507"/>
    </row>
    <row r="1508" spans="1:20">
      <c r="A1508" s="5" t="s">
        <v>113</v>
      </c>
      <c r="B1508" s="5" t="s">
        <v>14835</v>
      </c>
      <c r="C1508" s="4">
        <v>45757</v>
      </c>
      <c r="D1508" s="4">
        <v>45760</v>
      </c>
      <c r="E1508" s="5" t="s">
        <v>16880</v>
      </c>
      <c r="F1508" s="5" t="s">
        <v>18869</v>
      </c>
      <c r="G1508" s="5" t="s">
        <v>845</v>
      </c>
      <c r="H1508" s="5">
        <v>1</v>
      </c>
      <c r="I1508" s="8" t="s">
        <v>8638</v>
      </c>
      <c r="J1508" s="8" t="s">
        <v>10687</v>
      </c>
      <c r="K1508" s="8" t="s">
        <v>2484</v>
      </c>
      <c r="L1508" s="8" t="s">
        <v>12738</v>
      </c>
      <c r="M1508" s="8" t="s">
        <v>4534</v>
      </c>
      <c r="N1508" s="8" t="s">
        <v>6585</v>
      </c>
      <c r="O1508" s="5" t="s">
        <v>137</v>
      </c>
      <c r="P1508" s="4">
        <v>45787</v>
      </c>
      <c r="Q1508" s="15">
        <v>49.9</v>
      </c>
      <c r="R1508" s="15">
        <v>22.51</v>
      </c>
      <c r="S1508" s="15">
        <v>0</v>
      </c>
      <c r="T1508"/>
    </row>
    <row r="1509" spans="1:20">
      <c r="A1509" s="5" t="s">
        <v>113</v>
      </c>
      <c r="B1509" s="5" t="s">
        <v>14836</v>
      </c>
      <c r="C1509" s="4">
        <v>45757</v>
      </c>
      <c r="D1509" s="4">
        <v>45760</v>
      </c>
      <c r="E1509" s="5" t="s">
        <v>16881</v>
      </c>
      <c r="F1509" s="5" t="s">
        <v>18870</v>
      </c>
      <c r="G1509" s="5" t="s">
        <v>817</v>
      </c>
      <c r="H1509" s="5">
        <v>1</v>
      </c>
      <c r="I1509" s="8" t="s">
        <v>8639</v>
      </c>
      <c r="J1509" s="8" t="s">
        <v>10688</v>
      </c>
      <c r="K1509" s="8" t="s">
        <v>2485</v>
      </c>
      <c r="L1509" s="8" t="s">
        <v>12739</v>
      </c>
      <c r="M1509" s="8" t="s">
        <v>4535</v>
      </c>
      <c r="N1509" s="8" t="s">
        <v>6586</v>
      </c>
      <c r="O1509" s="5" t="s">
        <v>115</v>
      </c>
      <c r="P1509" s="4">
        <v>45787</v>
      </c>
      <c r="Q1509" s="15">
        <v>36.950000000000003</v>
      </c>
      <c r="R1509" s="15">
        <v>0</v>
      </c>
      <c r="S1509" s="15">
        <v>0</v>
      </c>
      <c r="T1509"/>
    </row>
    <row r="1510" spans="1:20">
      <c r="A1510" s="5" t="s">
        <v>113</v>
      </c>
      <c r="B1510" s="5" t="s">
        <v>14837</v>
      </c>
      <c r="C1510" s="4">
        <v>45758</v>
      </c>
      <c r="D1510" s="4">
        <v>45760</v>
      </c>
      <c r="E1510" s="5" t="s">
        <v>16882</v>
      </c>
      <c r="F1510" s="5" t="s">
        <v>18871</v>
      </c>
      <c r="G1510" s="5" t="s">
        <v>833</v>
      </c>
      <c r="H1510" s="5">
        <v>1</v>
      </c>
      <c r="I1510" s="8" t="s">
        <v>8640</v>
      </c>
      <c r="J1510" s="8" t="s">
        <v>10689</v>
      </c>
      <c r="K1510" s="8" t="s">
        <v>2486</v>
      </c>
      <c r="L1510" s="8" t="s">
        <v>12740</v>
      </c>
      <c r="M1510" s="8" t="s">
        <v>4536</v>
      </c>
      <c r="N1510" s="8" t="s">
        <v>6587</v>
      </c>
      <c r="O1510" s="5" t="s">
        <v>147</v>
      </c>
      <c r="P1510" s="4">
        <v>45783</v>
      </c>
      <c r="Q1510" s="15">
        <v>22.7</v>
      </c>
      <c r="R1510" s="15">
        <v>14.73</v>
      </c>
      <c r="S1510" s="15">
        <v>0</v>
      </c>
      <c r="T1510"/>
    </row>
    <row r="1511" spans="1:20">
      <c r="A1511" s="5" t="s">
        <v>113</v>
      </c>
      <c r="B1511" s="5" t="s">
        <v>14838</v>
      </c>
      <c r="C1511" s="4">
        <v>45758</v>
      </c>
      <c r="D1511" s="4" t="s">
        <v>37</v>
      </c>
      <c r="E1511" s="5" t="s">
        <v>37</v>
      </c>
      <c r="F1511" s="5" t="s">
        <v>37</v>
      </c>
      <c r="G1511" s="5" t="s">
        <v>902</v>
      </c>
      <c r="H1511" s="5">
        <v>1</v>
      </c>
      <c r="I1511" s="8" t="s">
        <v>8641</v>
      </c>
      <c r="J1511" s="8" t="s">
        <v>10690</v>
      </c>
      <c r="K1511" s="8" t="s">
        <v>2487</v>
      </c>
      <c r="L1511" s="8" t="s">
        <v>12741</v>
      </c>
      <c r="M1511" s="8" t="s">
        <v>4537</v>
      </c>
      <c r="N1511" s="8" t="s">
        <v>6588</v>
      </c>
      <c r="O1511" s="5" t="s">
        <v>129</v>
      </c>
      <c r="P1511" s="4">
        <v>45794</v>
      </c>
      <c r="Q1511" s="15">
        <v>26.99</v>
      </c>
      <c r="R1511" s="15">
        <v>0</v>
      </c>
      <c r="S1511" s="15">
        <v>0</v>
      </c>
      <c r="T1511"/>
    </row>
    <row r="1512" spans="1:20">
      <c r="A1512" s="5" t="s">
        <v>113</v>
      </c>
      <c r="B1512" s="5" t="s">
        <v>14839</v>
      </c>
      <c r="C1512" s="4">
        <v>45758</v>
      </c>
      <c r="D1512" s="4">
        <v>45762</v>
      </c>
      <c r="E1512" s="5" t="s">
        <v>16883</v>
      </c>
      <c r="F1512" s="5" t="s">
        <v>18872</v>
      </c>
      <c r="G1512" s="5" t="s">
        <v>905</v>
      </c>
      <c r="H1512" s="5">
        <v>1</v>
      </c>
      <c r="I1512" s="8" t="s">
        <v>8642</v>
      </c>
      <c r="J1512" s="8" t="s">
        <v>10691</v>
      </c>
      <c r="K1512" s="8" t="s">
        <v>2488</v>
      </c>
      <c r="L1512" s="8" t="s">
        <v>12742</v>
      </c>
      <c r="M1512" s="8" t="s">
        <v>4538</v>
      </c>
      <c r="N1512" s="8" t="s">
        <v>6589</v>
      </c>
      <c r="O1512" s="5" t="s">
        <v>125</v>
      </c>
      <c r="P1512" s="4">
        <v>45787</v>
      </c>
      <c r="Q1512" s="15">
        <v>26.99</v>
      </c>
      <c r="R1512" s="15">
        <v>15.77</v>
      </c>
      <c r="S1512" s="15">
        <v>0</v>
      </c>
      <c r="T1512"/>
    </row>
    <row r="1513" spans="1:20">
      <c r="A1513" s="5" t="s">
        <v>113</v>
      </c>
      <c r="B1513" s="5" t="s">
        <v>14840</v>
      </c>
      <c r="C1513" s="4">
        <v>45758</v>
      </c>
      <c r="D1513" s="4">
        <v>45762</v>
      </c>
      <c r="E1513" s="5" t="s">
        <v>16884</v>
      </c>
      <c r="F1513" s="5" t="s">
        <v>18873</v>
      </c>
      <c r="G1513" s="5" t="s">
        <v>855</v>
      </c>
      <c r="H1513" s="5">
        <v>1</v>
      </c>
      <c r="I1513" s="8" t="s">
        <v>8643</v>
      </c>
      <c r="J1513" s="8" t="s">
        <v>10692</v>
      </c>
      <c r="K1513" s="8" t="s">
        <v>2489</v>
      </c>
      <c r="L1513" s="8" t="s">
        <v>12743</v>
      </c>
      <c r="M1513" s="8" t="s">
        <v>4539</v>
      </c>
      <c r="N1513" s="8" t="s">
        <v>6590</v>
      </c>
      <c r="O1513" s="5" t="s">
        <v>138</v>
      </c>
      <c r="P1513" s="4">
        <v>45794</v>
      </c>
      <c r="Q1513" s="15">
        <v>29.99</v>
      </c>
      <c r="R1513" s="15">
        <v>17.55</v>
      </c>
      <c r="S1513" s="15">
        <v>0</v>
      </c>
      <c r="T1513"/>
    </row>
    <row r="1514" spans="1:20">
      <c r="A1514" s="5" t="s">
        <v>113</v>
      </c>
      <c r="B1514" s="5" t="s">
        <v>14841</v>
      </c>
      <c r="C1514" s="4">
        <v>45758</v>
      </c>
      <c r="D1514" s="4">
        <v>45762</v>
      </c>
      <c r="E1514" s="5" t="s">
        <v>16885</v>
      </c>
      <c r="F1514" s="5" t="s">
        <v>18874</v>
      </c>
      <c r="G1514" s="5" t="s">
        <v>905</v>
      </c>
      <c r="H1514" s="5">
        <v>1</v>
      </c>
      <c r="I1514" s="8" t="s">
        <v>8644</v>
      </c>
      <c r="J1514" s="8" t="s">
        <v>10693</v>
      </c>
      <c r="K1514" s="8" t="s">
        <v>2490</v>
      </c>
      <c r="L1514" s="8" t="s">
        <v>12744</v>
      </c>
      <c r="M1514" s="8" t="s">
        <v>4540</v>
      </c>
      <c r="N1514" s="8" t="s">
        <v>6591</v>
      </c>
      <c r="O1514" s="5" t="s">
        <v>125</v>
      </c>
      <c r="P1514" s="4">
        <v>45783</v>
      </c>
      <c r="Q1514" s="15">
        <v>26.99</v>
      </c>
      <c r="R1514" s="15">
        <v>14.84</v>
      </c>
      <c r="S1514" s="15">
        <v>0</v>
      </c>
      <c r="T1514"/>
    </row>
    <row r="1515" spans="1:20">
      <c r="A1515" s="5" t="s">
        <v>113</v>
      </c>
      <c r="B1515" s="5" t="s">
        <v>14842</v>
      </c>
      <c r="C1515" s="4">
        <v>45758</v>
      </c>
      <c r="D1515" s="4">
        <v>45762</v>
      </c>
      <c r="E1515" s="5" t="s">
        <v>16886</v>
      </c>
      <c r="F1515" s="5" t="s">
        <v>18875</v>
      </c>
      <c r="G1515" s="5" t="s">
        <v>845</v>
      </c>
      <c r="H1515" s="5">
        <v>1</v>
      </c>
      <c r="I1515" s="8" t="s">
        <v>7980</v>
      </c>
      <c r="J1515" s="8" t="s">
        <v>10029</v>
      </c>
      <c r="K1515" s="8" t="s">
        <v>1826</v>
      </c>
      <c r="L1515" s="8" t="s">
        <v>12080</v>
      </c>
      <c r="M1515" s="8" t="s">
        <v>3876</v>
      </c>
      <c r="N1515" s="8" t="s">
        <v>5927</v>
      </c>
      <c r="O1515" s="5" t="s">
        <v>137</v>
      </c>
      <c r="P1515" s="4">
        <v>45787</v>
      </c>
      <c r="Q1515" s="15">
        <v>49.9</v>
      </c>
      <c r="R1515" s="15">
        <v>22.31</v>
      </c>
      <c r="S1515" s="15">
        <v>0</v>
      </c>
      <c r="T1515"/>
    </row>
    <row r="1516" spans="1:20">
      <c r="A1516" s="5" t="s">
        <v>113</v>
      </c>
      <c r="B1516" s="5" t="s">
        <v>14843</v>
      </c>
      <c r="C1516" s="4">
        <v>45758</v>
      </c>
      <c r="D1516" s="4">
        <v>45763</v>
      </c>
      <c r="E1516" s="5" t="s">
        <v>16887</v>
      </c>
      <c r="F1516" s="5" t="s">
        <v>18876</v>
      </c>
      <c r="G1516" s="5" t="s">
        <v>902</v>
      </c>
      <c r="H1516" s="5">
        <v>1</v>
      </c>
      <c r="I1516" s="8" t="s">
        <v>8645</v>
      </c>
      <c r="J1516" s="8" t="s">
        <v>10694</v>
      </c>
      <c r="K1516" s="8" t="s">
        <v>2491</v>
      </c>
      <c r="L1516" s="8" t="s">
        <v>12745</v>
      </c>
      <c r="M1516" s="8" t="s">
        <v>4541</v>
      </c>
      <c r="N1516" s="8" t="s">
        <v>6592</v>
      </c>
      <c r="O1516" s="5" t="s">
        <v>129</v>
      </c>
      <c r="P1516" s="4">
        <v>45790</v>
      </c>
      <c r="Q1516" s="15">
        <v>26.99</v>
      </c>
      <c r="R1516" s="15">
        <v>22.92</v>
      </c>
      <c r="S1516" s="15">
        <v>0</v>
      </c>
      <c r="T1516"/>
    </row>
    <row r="1517" spans="1:20">
      <c r="A1517" s="5" t="s">
        <v>113</v>
      </c>
      <c r="B1517" s="5" t="s">
        <v>14844</v>
      </c>
      <c r="C1517" s="4">
        <v>45758</v>
      </c>
      <c r="D1517" s="4">
        <v>45763</v>
      </c>
      <c r="E1517" s="5" t="s">
        <v>16888</v>
      </c>
      <c r="F1517" s="5" t="s">
        <v>18877</v>
      </c>
      <c r="G1517" s="5" t="s">
        <v>902</v>
      </c>
      <c r="H1517" s="5">
        <v>1</v>
      </c>
      <c r="I1517" s="8" t="s">
        <v>8646</v>
      </c>
      <c r="J1517" s="8" t="s">
        <v>10695</v>
      </c>
      <c r="K1517" s="8" t="s">
        <v>2492</v>
      </c>
      <c r="L1517" s="8" t="s">
        <v>12746</v>
      </c>
      <c r="M1517" s="8" t="s">
        <v>4542</v>
      </c>
      <c r="N1517" s="8" t="s">
        <v>6593</v>
      </c>
      <c r="O1517" s="5" t="s">
        <v>129</v>
      </c>
      <c r="P1517" s="4">
        <v>45790</v>
      </c>
      <c r="Q1517" s="15">
        <v>26.99</v>
      </c>
      <c r="R1517" s="15">
        <v>0</v>
      </c>
      <c r="S1517" s="15">
        <v>0</v>
      </c>
      <c r="T1517"/>
    </row>
    <row r="1518" spans="1:20">
      <c r="A1518" s="5" t="s">
        <v>113</v>
      </c>
      <c r="B1518" s="5" t="s">
        <v>14845</v>
      </c>
      <c r="C1518" s="4">
        <v>45758</v>
      </c>
      <c r="D1518" s="4">
        <v>45763</v>
      </c>
      <c r="E1518" s="5" t="s">
        <v>16889</v>
      </c>
      <c r="F1518" s="5" t="s">
        <v>18878</v>
      </c>
      <c r="G1518" s="5" t="s">
        <v>872</v>
      </c>
      <c r="H1518" s="5">
        <v>1</v>
      </c>
      <c r="I1518" s="8" t="s">
        <v>8647</v>
      </c>
      <c r="J1518" s="8" t="s">
        <v>10696</v>
      </c>
      <c r="K1518" s="8" t="s">
        <v>2493</v>
      </c>
      <c r="L1518" s="8" t="s">
        <v>12747</v>
      </c>
      <c r="M1518" s="8" t="s">
        <v>4543</v>
      </c>
      <c r="N1518" s="8" t="s">
        <v>6594</v>
      </c>
      <c r="O1518" s="5" t="s">
        <v>146</v>
      </c>
      <c r="P1518" s="4">
        <v>45784</v>
      </c>
      <c r="Q1518" s="15">
        <v>25.88</v>
      </c>
      <c r="R1518" s="15">
        <v>22.58</v>
      </c>
      <c r="S1518" s="15">
        <v>0</v>
      </c>
      <c r="T1518"/>
    </row>
    <row r="1519" spans="1:20">
      <c r="A1519" s="5" t="s">
        <v>113</v>
      </c>
      <c r="B1519" s="5" t="s">
        <v>14846</v>
      </c>
      <c r="C1519" s="4">
        <v>45758</v>
      </c>
      <c r="D1519" s="4">
        <v>45763</v>
      </c>
      <c r="E1519" s="5" t="s">
        <v>16890</v>
      </c>
      <c r="F1519" s="5" t="s">
        <v>18879</v>
      </c>
      <c r="G1519" s="5" t="s">
        <v>902</v>
      </c>
      <c r="H1519" s="5">
        <v>1</v>
      </c>
      <c r="I1519" s="8" t="s">
        <v>8648</v>
      </c>
      <c r="J1519" s="8" t="s">
        <v>10697</v>
      </c>
      <c r="K1519" s="8" t="s">
        <v>2494</v>
      </c>
      <c r="L1519" s="8" t="s">
        <v>12748</v>
      </c>
      <c r="M1519" s="8" t="s">
        <v>4544</v>
      </c>
      <c r="N1519" s="8" t="s">
        <v>6595</v>
      </c>
      <c r="O1519" s="5" t="s">
        <v>129</v>
      </c>
      <c r="P1519" s="4">
        <v>45790</v>
      </c>
      <c r="Q1519" s="15">
        <v>26.99</v>
      </c>
      <c r="R1519" s="15">
        <v>10.16</v>
      </c>
      <c r="S1519" s="15">
        <v>0</v>
      </c>
      <c r="T1519"/>
    </row>
    <row r="1520" spans="1:20">
      <c r="A1520" s="5" t="s">
        <v>113</v>
      </c>
      <c r="B1520" s="5" t="s">
        <v>14847</v>
      </c>
      <c r="C1520" s="4">
        <v>45758</v>
      </c>
      <c r="D1520" s="4">
        <v>45763</v>
      </c>
      <c r="E1520" s="5" t="s">
        <v>16891</v>
      </c>
      <c r="F1520" s="5" t="s">
        <v>18880</v>
      </c>
      <c r="G1520" s="5" t="s">
        <v>902</v>
      </c>
      <c r="H1520" s="5">
        <v>1</v>
      </c>
      <c r="I1520" s="8" t="s">
        <v>8649</v>
      </c>
      <c r="J1520" s="8" t="s">
        <v>10698</v>
      </c>
      <c r="K1520" s="8" t="s">
        <v>2495</v>
      </c>
      <c r="L1520" s="8" t="s">
        <v>12749</v>
      </c>
      <c r="M1520" s="8" t="s">
        <v>4545</v>
      </c>
      <c r="N1520" s="8" t="s">
        <v>6596</v>
      </c>
      <c r="O1520" s="5" t="s">
        <v>129</v>
      </c>
      <c r="P1520" s="4">
        <v>45790</v>
      </c>
      <c r="Q1520" s="15">
        <v>26.99</v>
      </c>
      <c r="R1520" s="15">
        <v>0</v>
      </c>
      <c r="S1520" s="15">
        <v>0</v>
      </c>
      <c r="T1520"/>
    </row>
    <row r="1521" spans="1:20">
      <c r="A1521" s="5" t="s">
        <v>113</v>
      </c>
      <c r="B1521" s="5" t="s">
        <v>14848</v>
      </c>
      <c r="C1521" s="4">
        <v>45758</v>
      </c>
      <c r="D1521" s="4">
        <v>45763</v>
      </c>
      <c r="E1521" s="5" t="s">
        <v>16892</v>
      </c>
      <c r="F1521" s="5" t="s">
        <v>18881</v>
      </c>
      <c r="G1521" s="5" t="s">
        <v>817</v>
      </c>
      <c r="H1521" s="5">
        <v>1</v>
      </c>
      <c r="I1521" s="8" t="s">
        <v>8650</v>
      </c>
      <c r="J1521" s="8" t="s">
        <v>10699</v>
      </c>
      <c r="K1521" s="8" t="s">
        <v>2496</v>
      </c>
      <c r="L1521" s="8" t="s">
        <v>12750</v>
      </c>
      <c r="M1521" s="8" t="s">
        <v>4546</v>
      </c>
      <c r="N1521" s="8" t="s">
        <v>6597</v>
      </c>
      <c r="O1521" s="5" t="s">
        <v>115</v>
      </c>
      <c r="P1521" s="4">
        <v>45790</v>
      </c>
      <c r="Q1521" s="15">
        <v>36.950000000000003</v>
      </c>
      <c r="R1521" s="15">
        <v>14.99</v>
      </c>
      <c r="S1521" s="15">
        <v>0</v>
      </c>
      <c r="T1521"/>
    </row>
    <row r="1522" spans="1:20">
      <c r="A1522" s="5" t="s">
        <v>113</v>
      </c>
      <c r="B1522" s="5" t="s">
        <v>14849</v>
      </c>
      <c r="C1522" s="4">
        <v>45758</v>
      </c>
      <c r="D1522" s="4">
        <v>45763</v>
      </c>
      <c r="E1522" s="5" t="s">
        <v>16893</v>
      </c>
      <c r="F1522" s="5" t="s">
        <v>18882</v>
      </c>
      <c r="G1522" s="5" t="s">
        <v>855</v>
      </c>
      <c r="H1522" s="5">
        <v>1</v>
      </c>
      <c r="I1522" s="8" t="s">
        <v>8651</v>
      </c>
      <c r="J1522" s="8" t="s">
        <v>10700</v>
      </c>
      <c r="K1522" s="8" t="s">
        <v>2497</v>
      </c>
      <c r="L1522" s="8" t="s">
        <v>12751</v>
      </c>
      <c r="M1522" s="8" t="s">
        <v>4547</v>
      </c>
      <c r="N1522" s="8" t="s">
        <v>6598</v>
      </c>
      <c r="O1522" s="5" t="s">
        <v>138</v>
      </c>
      <c r="P1522" s="4">
        <v>45784</v>
      </c>
      <c r="Q1522" s="15">
        <v>29.99</v>
      </c>
      <c r="R1522" s="15">
        <v>17.829999999999998</v>
      </c>
      <c r="S1522" s="15">
        <v>0</v>
      </c>
      <c r="T1522"/>
    </row>
    <row r="1523" spans="1:20">
      <c r="A1523" s="5" t="s">
        <v>108</v>
      </c>
      <c r="B1523" s="5" t="s">
        <v>14850</v>
      </c>
      <c r="C1523" s="4">
        <v>45757</v>
      </c>
      <c r="D1523" s="4">
        <v>45758</v>
      </c>
      <c r="E1523" s="5" t="s">
        <v>16894</v>
      </c>
      <c r="F1523" s="5" t="s">
        <v>18883</v>
      </c>
      <c r="G1523" s="5" t="s">
        <v>882</v>
      </c>
      <c r="H1523" s="5">
        <v>1</v>
      </c>
      <c r="I1523" s="8" t="s">
        <v>8652</v>
      </c>
      <c r="J1523" s="8" t="s">
        <v>10701</v>
      </c>
      <c r="K1523" s="8" t="s">
        <v>2498</v>
      </c>
      <c r="L1523" s="8" t="s">
        <v>12752</v>
      </c>
      <c r="M1523" s="8" t="s">
        <v>4548</v>
      </c>
      <c r="N1523" s="8" t="s">
        <v>6599</v>
      </c>
      <c r="O1523" s="5" t="s">
        <v>130</v>
      </c>
      <c r="P1523" s="4">
        <v>45787</v>
      </c>
      <c r="Q1523" s="15">
        <v>67.599999999999994</v>
      </c>
      <c r="R1523" s="15">
        <v>44.86</v>
      </c>
      <c r="S1523" s="15">
        <v>0</v>
      </c>
      <c r="T1523"/>
    </row>
    <row r="1524" spans="1:20">
      <c r="A1524" s="5" t="s">
        <v>113</v>
      </c>
      <c r="B1524" s="5" t="s">
        <v>14851</v>
      </c>
      <c r="C1524" s="4">
        <v>45758</v>
      </c>
      <c r="D1524" s="4">
        <v>45763</v>
      </c>
      <c r="E1524" s="5" t="s">
        <v>16895</v>
      </c>
      <c r="F1524" s="5" t="s">
        <v>18884</v>
      </c>
      <c r="G1524" s="5" t="s">
        <v>902</v>
      </c>
      <c r="H1524" s="5">
        <v>1</v>
      </c>
      <c r="I1524" s="8" t="s">
        <v>8653</v>
      </c>
      <c r="J1524" s="8" t="s">
        <v>10702</v>
      </c>
      <c r="K1524" s="8" t="s">
        <v>2499</v>
      </c>
      <c r="L1524" s="8" t="s">
        <v>12753</v>
      </c>
      <c r="M1524" s="8" t="s">
        <v>4549</v>
      </c>
      <c r="N1524" s="8" t="s">
        <v>6600</v>
      </c>
      <c r="O1524" s="5" t="s">
        <v>129</v>
      </c>
      <c r="P1524" s="4">
        <v>45790</v>
      </c>
      <c r="Q1524" s="15">
        <v>26.99</v>
      </c>
      <c r="R1524" s="15">
        <v>0</v>
      </c>
      <c r="S1524" s="15">
        <v>0</v>
      </c>
      <c r="T1524"/>
    </row>
    <row r="1525" spans="1:20">
      <c r="A1525" s="5" t="s">
        <v>113</v>
      </c>
      <c r="B1525" s="5" t="s">
        <v>14852</v>
      </c>
      <c r="C1525" s="4">
        <v>45758</v>
      </c>
      <c r="D1525" s="4">
        <v>45763</v>
      </c>
      <c r="E1525" s="5" t="s">
        <v>16896</v>
      </c>
      <c r="F1525" s="5" t="s">
        <v>18885</v>
      </c>
      <c r="G1525" s="5" t="s">
        <v>902</v>
      </c>
      <c r="H1525" s="5">
        <v>1</v>
      </c>
      <c r="I1525" s="8" t="s">
        <v>8654</v>
      </c>
      <c r="J1525" s="8" t="s">
        <v>10703</v>
      </c>
      <c r="K1525" s="8" t="s">
        <v>2500</v>
      </c>
      <c r="L1525" s="8" t="s">
        <v>12754</v>
      </c>
      <c r="M1525" s="8" t="s">
        <v>4550</v>
      </c>
      <c r="N1525" s="8" t="s">
        <v>6601</v>
      </c>
      <c r="O1525" s="5" t="s">
        <v>129</v>
      </c>
      <c r="P1525" s="4">
        <v>45790</v>
      </c>
      <c r="Q1525" s="15">
        <v>26.99</v>
      </c>
      <c r="R1525" s="15">
        <v>10.16</v>
      </c>
      <c r="S1525" s="15">
        <v>0</v>
      </c>
      <c r="T1525"/>
    </row>
    <row r="1526" spans="1:20">
      <c r="A1526" s="5" t="s">
        <v>113</v>
      </c>
      <c r="B1526" s="5" t="s">
        <v>14853</v>
      </c>
      <c r="C1526" s="4">
        <v>45758</v>
      </c>
      <c r="D1526" s="4">
        <v>45763</v>
      </c>
      <c r="E1526" s="5" t="s">
        <v>16897</v>
      </c>
      <c r="F1526" s="5" t="s">
        <v>18886</v>
      </c>
      <c r="G1526" s="5" t="s">
        <v>902</v>
      </c>
      <c r="H1526" s="5">
        <v>1</v>
      </c>
      <c r="I1526" s="8" t="s">
        <v>8655</v>
      </c>
      <c r="J1526" s="8" t="s">
        <v>10704</v>
      </c>
      <c r="K1526" s="8" t="s">
        <v>2501</v>
      </c>
      <c r="L1526" s="8" t="s">
        <v>12755</v>
      </c>
      <c r="M1526" s="8" t="s">
        <v>4551</v>
      </c>
      <c r="N1526" s="8" t="s">
        <v>6602</v>
      </c>
      <c r="O1526" s="5" t="s">
        <v>129</v>
      </c>
      <c r="P1526" s="4">
        <v>45790</v>
      </c>
      <c r="Q1526" s="15">
        <v>26.99</v>
      </c>
      <c r="R1526" s="15">
        <v>10.16</v>
      </c>
      <c r="S1526" s="15">
        <v>0</v>
      </c>
      <c r="T1526"/>
    </row>
    <row r="1527" spans="1:20">
      <c r="A1527" s="5" t="s">
        <v>113</v>
      </c>
      <c r="B1527" s="5" t="s">
        <v>14854</v>
      </c>
      <c r="C1527" s="4">
        <v>45759</v>
      </c>
      <c r="D1527" s="4">
        <v>45759</v>
      </c>
      <c r="E1527" s="5" t="s">
        <v>16898</v>
      </c>
      <c r="F1527" s="5" t="s">
        <v>18887</v>
      </c>
      <c r="G1527" s="5" t="s">
        <v>902</v>
      </c>
      <c r="H1527" s="5">
        <v>1</v>
      </c>
      <c r="I1527" s="8" t="s">
        <v>8656</v>
      </c>
      <c r="J1527" s="8" t="s">
        <v>10705</v>
      </c>
      <c r="K1527" s="8" t="s">
        <v>2502</v>
      </c>
      <c r="L1527" s="8" t="s">
        <v>12756</v>
      </c>
      <c r="M1527" s="8" t="s">
        <v>4552</v>
      </c>
      <c r="N1527" s="8" t="s">
        <v>6603</v>
      </c>
      <c r="O1527" s="5" t="s">
        <v>129</v>
      </c>
      <c r="P1527" s="4">
        <v>45790</v>
      </c>
      <c r="Q1527" s="15">
        <v>26.99</v>
      </c>
      <c r="R1527" s="15">
        <v>10.56</v>
      </c>
      <c r="S1527" s="15">
        <v>0</v>
      </c>
      <c r="T1527"/>
    </row>
    <row r="1528" spans="1:20">
      <c r="A1528" s="5" t="s">
        <v>113</v>
      </c>
      <c r="B1528" s="5" t="s">
        <v>14855</v>
      </c>
      <c r="C1528" s="4">
        <v>45759</v>
      </c>
      <c r="D1528" s="4">
        <v>45759</v>
      </c>
      <c r="E1528" s="5" t="s">
        <v>16899</v>
      </c>
      <c r="F1528" s="5" t="s">
        <v>18888</v>
      </c>
      <c r="G1528" s="5" t="s">
        <v>902</v>
      </c>
      <c r="H1528" s="5">
        <v>1</v>
      </c>
      <c r="I1528" s="8" t="s">
        <v>8657</v>
      </c>
      <c r="J1528" s="8" t="s">
        <v>10706</v>
      </c>
      <c r="K1528" s="8" t="s">
        <v>2503</v>
      </c>
      <c r="L1528" s="8" t="s">
        <v>12757</v>
      </c>
      <c r="M1528" s="8" t="s">
        <v>4553</v>
      </c>
      <c r="N1528" s="8" t="s">
        <v>6604</v>
      </c>
      <c r="O1528" s="5" t="s">
        <v>129</v>
      </c>
      <c r="P1528" s="4">
        <v>45797</v>
      </c>
      <c r="Q1528" s="15">
        <v>26.99</v>
      </c>
      <c r="R1528" s="15">
        <v>10.130000000000001</v>
      </c>
      <c r="S1528" s="15">
        <v>0</v>
      </c>
      <c r="T1528"/>
    </row>
    <row r="1529" spans="1:20">
      <c r="A1529" s="5" t="s">
        <v>113</v>
      </c>
      <c r="B1529" s="5" t="s">
        <v>14856</v>
      </c>
      <c r="C1529" s="4">
        <v>45759</v>
      </c>
      <c r="D1529" s="4">
        <v>45759</v>
      </c>
      <c r="E1529" s="5" t="s">
        <v>16900</v>
      </c>
      <c r="F1529" s="5" t="s">
        <v>18889</v>
      </c>
      <c r="G1529" s="5" t="s">
        <v>902</v>
      </c>
      <c r="H1529" s="5">
        <v>1</v>
      </c>
      <c r="I1529" s="8" t="s">
        <v>8658</v>
      </c>
      <c r="J1529" s="8" t="s">
        <v>10707</v>
      </c>
      <c r="K1529" s="8" t="s">
        <v>2504</v>
      </c>
      <c r="L1529" s="8" t="s">
        <v>12758</v>
      </c>
      <c r="M1529" s="8" t="s">
        <v>4554</v>
      </c>
      <c r="N1529" s="8" t="s">
        <v>6605</v>
      </c>
      <c r="O1529" s="5" t="s">
        <v>129</v>
      </c>
      <c r="P1529" s="4">
        <v>45790</v>
      </c>
      <c r="Q1529" s="15">
        <v>26.99</v>
      </c>
      <c r="R1529" s="15">
        <v>10.56</v>
      </c>
      <c r="S1529" s="15">
        <v>0</v>
      </c>
      <c r="T1529"/>
    </row>
    <row r="1530" spans="1:20">
      <c r="A1530" s="5" t="s">
        <v>113</v>
      </c>
      <c r="B1530" s="5" t="s">
        <v>14857</v>
      </c>
      <c r="C1530" s="4">
        <v>45759</v>
      </c>
      <c r="D1530" s="4">
        <v>45759</v>
      </c>
      <c r="E1530" s="5" t="s">
        <v>16901</v>
      </c>
      <c r="F1530" s="5" t="s">
        <v>18890</v>
      </c>
      <c r="G1530" s="5" t="s">
        <v>876</v>
      </c>
      <c r="H1530" s="5">
        <v>1</v>
      </c>
      <c r="I1530" s="8" t="s">
        <v>8659</v>
      </c>
      <c r="J1530" s="8" t="s">
        <v>10708</v>
      </c>
      <c r="K1530" s="8" t="s">
        <v>2505</v>
      </c>
      <c r="L1530" s="8" t="s">
        <v>12759</v>
      </c>
      <c r="M1530" s="8" t="s">
        <v>4555</v>
      </c>
      <c r="N1530" s="8" t="s">
        <v>6606</v>
      </c>
      <c r="O1530" s="5" t="s">
        <v>144</v>
      </c>
      <c r="P1530" s="4">
        <v>45797</v>
      </c>
      <c r="Q1530" s="15">
        <v>52.9</v>
      </c>
      <c r="R1530" s="15">
        <v>22.92</v>
      </c>
      <c r="S1530" s="15">
        <v>0</v>
      </c>
      <c r="T1530"/>
    </row>
    <row r="1531" spans="1:20">
      <c r="A1531" s="5" t="s">
        <v>113</v>
      </c>
      <c r="B1531" s="5" t="s">
        <v>14858</v>
      </c>
      <c r="C1531" s="4">
        <v>45759</v>
      </c>
      <c r="D1531" s="4">
        <v>45759</v>
      </c>
      <c r="E1531" s="5" t="s">
        <v>16902</v>
      </c>
      <c r="F1531" s="5" t="s">
        <v>18891</v>
      </c>
      <c r="G1531" s="5" t="s">
        <v>872</v>
      </c>
      <c r="H1531" s="5">
        <v>1</v>
      </c>
      <c r="I1531" s="8" t="s">
        <v>8660</v>
      </c>
      <c r="J1531" s="8" t="s">
        <v>10709</v>
      </c>
      <c r="K1531" s="8" t="s">
        <v>2506</v>
      </c>
      <c r="L1531" s="8" t="s">
        <v>12760</v>
      </c>
      <c r="M1531" s="8" t="s">
        <v>4556</v>
      </c>
      <c r="N1531" s="8" t="s">
        <v>6607</v>
      </c>
      <c r="O1531" s="5" t="s">
        <v>146</v>
      </c>
      <c r="P1531" s="4">
        <v>45784</v>
      </c>
      <c r="Q1531" s="15">
        <v>25.88</v>
      </c>
      <c r="R1531" s="15">
        <v>16.5</v>
      </c>
      <c r="S1531" s="15">
        <v>0</v>
      </c>
      <c r="T1531"/>
    </row>
    <row r="1532" spans="1:20">
      <c r="A1532" s="5" t="s">
        <v>113</v>
      </c>
      <c r="B1532" s="5" t="s">
        <v>14859</v>
      </c>
      <c r="C1532" s="4">
        <v>45759</v>
      </c>
      <c r="D1532" s="4">
        <v>45759</v>
      </c>
      <c r="E1532" s="5" t="s">
        <v>16903</v>
      </c>
      <c r="F1532" s="5" t="s">
        <v>18892</v>
      </c>
      <c r="G1532" s="5" t="s">
        <v>905</v>
      </c>
      <c r="H1532" s="5">
        <v>1</v>
      </c>
      <c r="I1532" s="8" t="s">
        <v>8661</v>
      </c>
      <c r="J1532" s="8" t="s">
        <v>10710</v>
      </c>
      <c r="K1532" s="8" t="s">
        <v>2507</v>
      </c>
      <c r="L1532" s="8" t="s">
        <v>12761</v>
      </c>
      <c r="M1532" s="8" t="s">
        <v>4557</v>
      </c>
      <c r="N1532" s="8" t="s">
        <v>6608</v>
      </c>
      <c r="O1532" s="5" t="s">
        <v>125</v>
      </c>
      <c r="P1532" s="4">
        <v>45797</v>
      </c>
      <c r="Q1532" s="15">
        <v>26.99</v>
      </c>
      <c r="R1532" s="15">
        <v>10.130000000000001</v>
      </c>
      <c r="S1532" s="15">
        <v>0</v>
      </c>
      <c r="T1532"/>
    </row>
    <row r="1533" spans="1:20">
      <c r="A1533" s="5" t="s">
        <v>108</v>
      </c>
      <c r="B1533" s="5" t="s">
        <v>14860</v>
      </c>
      <c r="C1533" s="4">
        <v>45759</v>
      </c>
      <c r="D1533" s="4">
        <v>45759</v>
      </c>
      <c r="E1533" s="5" t="s">
        <v>16904</v>
      </c>
      <c r="F1533" s="5" t="s">
        <v>18893</v>
      </c>
      <c r="G1533" s="5" t="s">
        <v>845</v>
      </c>
      <c r="H1533" s="5">
        <v>1</v>
      </c>
      <c r="I1533" s="8" t="s">
        <v>8662</v>
      </c>
      <c r="J1533" s="8" t="s">
        <v>10711</v>
      </c>
      <c r="K1533" s="8" t="s">
        <v>2508</v>
      </c>
      <c r="L1533" s="8" t="s">
        <v>12762</v>
      </c>
      <c r="M1533" s="8" t="s">
        <v>4558</v>
      </c>
      <c r="N1533" s="8" t="s">
        <v>6609</v>
      </c>
      <c r="O1533" s="5" t="s">
        <v>149</v>
      </c>
      <c r="P1533" s="4">
        <v>45790</v>
      </c>
      <c r="Q1533" s="15">
        <v>54.9</v>
      </c>
      <c r="R1533" s="15">
        <v>15.84</v>
      </c>
      <c r="S1533" s="15">
        <v>0</v>
      </c>
      <c r="T1533"/>
    </row>
    <row r="1534" spans="1:20">
      <c r="A1534" s="5" t="s">
        <v>108</v>
      </c>
      <c r="B1534" s="5" t="s">
        <v>14861</v>
      </c>
      <c r="C1534" s="4">
        <v>45759</v>
      </c>
      <c r="D1534" s="4">
        <v>45759</v>
      </c>
      <c r="E1534" s="5" t="s">
        <v>16905</v>
      </c>
      <c r="F1534" s="5" t="s">
        <v>18894</v>
      </c>
      <c r="G1534" s="5" t="s">
        <v>849</v>
      </c>
      <c r="H1534" s="5">
        <v>1</v>
      </c>
      <c r="I1534" s="8" t="s">
        <v>8663</v>
      </c>
      <c r="J1534" s="8" t="s">
        <v>10712</v>
      </c>
      <c r="K1534" s="8" t="s">
        <v>2509</v>
      </c>
      <c r="L1534" s="8" t="s">
        <v>12763</v>
      </c>
      <c r="M1534" s="8" t="s">
        <v>4559</v>
      </c>
      <c r="N1534" s="8" t="s">
        <v>6610</v>
      </c>
      <c r="O1534" s="5" t="s">
        <v>111</v>
      </c>
      <c r="P1534" s="4">
        <v>45797</v>
      </c>
      <c r="Q1534" s="15">
        <v>65.739999999999995</v>
      </c>
      <c r="R1534" s="15">
        <v>22.24</v>
      </c>
      <c r="S1534" s="15">
        <v>0</v>
      </c>
      <c r="T1534"/>
    </row>
    <row r="1535" spans="1:20">
      <c r="A1535" s="5" t="s">
        <v>113</v>
      </c>
      <c r="B1535" s="5" t="s">
        <v>14862</v>
      </c>
      <c r="C1535" s="4">
        <v>45759</v>
      </c>
      <c r="D1535" s="4">
        <v>45760</v>
      </c>
      <c r="E1535" s="5" t="s">
        <v>16906</v>
      </c>
      <c r="F1535" s="5" t="s">
        <v>18895</v>
      </c>
      <c r="G1535" s="5" t="s">
        <v>817</v>
      </c>
      <c r="H1535" s="5">
        <v>1</v>
      </c>
      <c r="I1535" s="8" t="s">
        <v>8664</v>
      </c>
      <c r="J1535" s="8" t="s">
        <v>10713</v>
      </c>
      <c r="K1535" s="8" t="s">
        <v>2510</v>
      </c>
      <c r="L1535" s="8" t="s">
        <v>12764</v>
      </c>
      <c r="M1535" s="8" t="s">
        <v>4560</v>
      </c>
      <c r="N1535" s="8" t="s">
        <v>6611</v>
      </c>
      <c r="O1535" s="5" t="s">
        <v>115</v>
      </c>
      <c r="P1535" s="4">
        <v>45784</v>
      </c>
      <c r="Q1535" s="15">
        <v>36.950000000000003</v>
      </c>
      <c r="R1535" s="15">
        <v>14.99</v>
      </c>
      <c r="S1535" s="15">
        <v>0</v>
      </c>
      <c r="T1535"/>
    </row>
    <row r="1536" spans="1:20">
      <c r="A1536" s="5" t="s">
        <v>113</v>
      </c>
      <c r="B1536" s="5" t="s">
        <v>14863</v>
      </c>
      <c r="C1536" s="4">
        <v>45759</v>
      </c>
      <c r="D1536" s="4">
        <v>45760</v>
      </c>
      <c r="E1536" s="5" t="s">
        <v>16907</v>
      </c>
      <c r="F1536" s="5" t="s">
        <v>18896</v>
      </c>
      <c r="G1536" s="5" t="s">
        <v>902</v>
      </c>
      <c r="H1536" s="5">
        <v>1</v>
      </c>
      <c r="I1536" s="8" t="s">
        <v>8665</v>
      </c>
      <c r="J1536" s="8" t="s">
        <v>10714</v>
      </c>
      <c r="K1536" s="8" t="s">
        <v>2511</v>
      </c>
      <c r="L1536" s="8" t="s">
        <v>12765</v>
      </c>
      <c r="M1536" s="8" t="s">
        <v>4561</v>
      </c>
      <c r="N1536" s="8" t="s">
        <v>6612</v>
      </c>
      <c r="O1536" s="5" t="s">
        <v>129</v>
      </c>
      <c r="P1536" s="4">
        <v>45790</v>
      </c>
      <c r="Q1536" s="15">
        <v>36.99</v>
      </c>
      <c r="R1536" s="15">
        <v>10.56</v>
      </c>
      <c r="S1536" s="15">
        <v>0</v>
      </c>
      <c r="T1536"/>
    </row>
    <row r="1537" spans="1:20">
      <c r="A1537" s="5" t="s">
        <v>113</v>
      </c>
      <c r="B1537" s="5" t="s">
        <v>14864</v>
      </c>
      <c r="C1537" s="4">
        <v>45760</v>
      </c>
      <c r="D1537" s="4">
        <v>45760</v>
      </c>
      <c r="E1537" s="5" t="s">
        <v>16908</v>
      </c>
      <c r="F1537" s="5" t="s">
        <v>18897</v>
      </c>
      <c r="G1537" s="5" t="s">
        <v>824</v>
      </c>
      <c r="H1537" s="5">
        <v>1</v>
      </c>
      <c r="I1537" s="8" t="s">
        <v>8666</v>
      </c>
      <c r="J1537" s="8" t="s">
        <v>10715</v>
      </c>
      <c r="K1537" s="8" t="s">
        <v>2512</v>
      </c>
      <c r="L1537" s="8" t="s">
        <v>12766</v>
      </c>
      <c r="M1537" s="8" t="s">
        <v>4562</v>
      </c>
      <c r="N1537" s="8" t="s">
        <v>6613</v>
      </c>
      <c r="O1537" s="5" t="s">
        <v>148</v>
      </c>
      <c r="P1537" s="4">
        <v>45784</v>
      </c>
      <c r="Q1537" s="15">
        <v>21.99</v>
      </c>
      <c r="R1537" s="15">
        <v>9.99</v>
      </c>
      <c r="S1537" s="15">
        <v>0</v>
      </c>
      <c r="T1537"/>
    </row>
    <row r="1538" spans="1:20">
      <c r="A1538" s="5" t="s">
        <v>113</v>
      </c>
      <c r="B1538" s="5" t="s">
        <v>14865</v>
      </c>
      <c r="C1538" s="4">
        <v>45760</v>
      </c>
      <c r="D1538" s="4">
        <v>45760</v>
      </c>
      <c r="E1538" s="5" t="s">
        <v>16909</v>
      </c>
      <c r="F1538" s="5" t="s">
        <v>18898</v>
      </c>
      <c r="G1538" s="5" t="s">
        <v>824</v>
      </c>
      <c r="H1538" s="5">
        <v>1</v>
      </c>
      <c r="I1538" s="8" t="s">
        <v>8667</v>
      </c>
      <c r="J1538" s="8" t="s">
        <v>10716</v>
      </c>
      <c r="K1538" s="8" t="s">
        <v>2513</v>
      </c>
      <c r="L1538" s="8" t="s">
        <v>12767</v>
      </c>
      <c r="M1538" s="8" t="s">
        <v>4563</v>
      </c>
      <c r="N1538" s="8" t="s">
        <v>6614</v>
      </c>
      <c r="O1538" s="5" t="s">
        <v>148</v>
      </c>
      <c r="P1538" s="4">
        <v>45790</v>
      </c>
      <c r="Q1538" s="15">
        <v>21.99</v>
      </c>
      <c r="R1538" s="15">
        <v>6.99</v>
      </c>
      <c r="S1538" s="15">
        <v>0</v>
      </c>
      <c r="T1538"/>
    </row>
    <row r="1539" spans="1:20">
      <c r="A1539" s="5" t="s">
        <v>108</v>
      </c>
      <c r="B1539" s="5" t="s">
        <v>14866</v>
      </c>
      <c r="C1539" s="4">
        <v>45759</v>
      </c>
      <c r="D1539" s="4">
        <v>45760</v>
      </c>
      <c r="E1539" s="5" t="s">
        <v>16910</v>
      </c>
      <c r="F1539" s="5" t="s">
        <v>18899</v>
      </c>
      <c r="G1539" s="5" t="s">
        <v>845</v>
      </c>
      <c r="H1539" s="5">
        <v>1</v>
      </c>
      <c r="I1539" s="8" t="s">
        <v>8668</v>
      </c>
      <c r="J1539" s="8" t="s">
        <v>10717</v>
      </c>
      <c r="K1539" s="8" t="s">
        <v>2514</v>
      </c>
      <c r="L1539" s="8" t="s">
        <v>12768</v>
      </c>
      <c r="M1539" s="8" t="s">
        <v>4564</v>
      </c>
      <c r="N1539" s="8" t="s">
        <v>6615</v>
      </c>
      <c r="O1539" s="5" t="s">
        <v>149</v>
      </c>
      <c r="P1539" s="4">
        <v>45790</v>
      </c>
      <c r="Q1539" s="15">
        <v>54.9</v>
      </c>
      <c r="R1539" s="15">
        <v>22.51</v>
      </c>
      <c r="S1539" s="15">
        <v>0</v>
      </c>
      <c r="T1539"/>
    </row>
    <row r="1540" spans="1:20">
      <c r="A1540" s="5" t="s">
        <v>108</v>
      </c>
      <c r="B1540" s="5" t="s">
        <v>14867</v>
      </c>
      <c r="C1540" s="4">
        <v>45759</v>
      </c>
      <c r="D1540" s="4">
        <v>45760</v>
      </c>
      <c r="E1540" s="5" t="s">
        <v>16911</v>
      </c>
      <c r="F1540" s="5" t="s">
        <v>18900</v>
      </c>
      <c r="G1540" s="5" t="s">
        <v>831</v>
      </c>
      <c r="H1540" s="5">
        <v>1</v>
      </c>
      <c r="I1540" s="8" t="s">
        <v>8669</v>
      </c>
      <c r="J1540" s="8" t="s">
        <v>10718</v>
      </c>
      <c r="K1540" s="8" t="s">
        <v>2515</v>
      </c>
      <c r="L1540" s="8" t="s">
        <v>12769</v>
      </c>
      <c r="M1540" s="8" t="s">
        <v>4565</v>
      </c>
      <c r="N1540" s="8" t="s">
        <v>6616</v>
      </c>
      <c r="O1540" s="5" t="s">
        <v>150</v>
      </c>
      <c r="P1540" s="4">
        <v>45790</v>
      </c>
      <c r="Q1540" s="15">
        <v>64.89</v>
      </c>
      <c r="R1540" s="15">
        <v>22.17</v>
      </c>
      <c r="S1540" s="15">
        <v>0</v>
      </c>
      <c r="T1540"/>
    </row>
    <row r="1541" spans="1:20">
      <c r="A1541" s="5" t="s">
        <v>108</v>
      </c>
      <c r="B1541" s="5" t="s">
        <v>14868</v>
      </c>
      <c r="C1541" s="4">
        <v>45760</v>
      </c>
      <c r="D1541" s="4">
        <v>45761</v>
      </c>
      <c r="E1541" s="5" t="s">
        <v>16912</v>
      </c>
      <c r="F1541" s="5" t="s">
        <v>18901</v>
      </c>
      <c r="G1541" s="5" t="s">
        <v>845</v>
      </c>
      <c r="H1541" s="5">
        <v>1</v>
      </c>
      <c r="I1541" s="8" t="s">
        <v>8670</v>
      </c>
      <c r="J1541" s="8" t="s">
        <v>10719</v>
      </c>
      <c r="K1541" s="8" t="s">
        <v>2516</v>
      </c>
      <c r="L1541" s="8" t="s">
        <v>12770</v>
      </c>
      <c r="M1541" s="8" t="s">
        <v>4566</v>
      </c>
      <c r="N1541" s="8" t="s">
        <v>6617</v>
      </c>
      <c r="O1541" s="5" t="s">
        <v>149</v>
      </c>
      <c r="P1541" s="4">
        <v>45784</v>
      </c>
      <c r="Q1541" s="15">
        <v>64.89</v>
      </c>
      <c r="R1541" s="15">
        <v>22.25</v>
      </c>
      <c r="S1541" s="15">
        <v>0</v>
      </c>
      <c r="T1541"/>
    </row>
    <row r="1542" spans="1:20">
      <c r="A1542" s="5" t="s">
        <v>113</v>
      </c>
      <c r="B1542" s="5" t="s">
        <v>14869</v>
      </c>
      <c r="C1542" s="4">
        <v>45759</v>
      </c>
      <c r="D1542" s="4" t="s">
        <v>37</v>
      </c>
      <c r="E1542" s="5" t="s">
        <v>37</v>
      </c>
      <c r="F1542" s="5" t="s">
        <v>37</v>
      </c>
      <c r="G1542" s="5" t="s">
        <v>833</v>
      </c>
      <c r="H1542" s="5">
        <v>1</v>
      </c>
      <c r="I1542" s="8" t="s">
        <v>8671</v>
      </c>
      <c r="J1542" s="8" t="s">
        <v>10720</v>
      </c>
      <c r="K1542" s="8" t="s">
        <v>2517</v>
      </c>
      <c r="L1542" s="8" t="s">
        <v>12771</v>
      </c>
      <c r="M1542" s="8" t="s">
        <v>4567</v>
      </c>
      <c r="N1542" s="8" t="s">
        <v>6618</v>
      </c>
      <c r="O1542" s="5" t="s">
        <v>147</v>
      </c>
      <c r="P1542" s="4">
        <v>45784</v>
      </c>
      <c r="Q1542" s="15">
        <v>22.7</v>
      </c>
      <c r="R1542" s="15">
        <v>0</v>
      </c>
      <c r="S1542" s="15">
        <v>0</v>
      </c>
      <c r="T1542"/>
    </row>
    <row r="1543" spans="1:20">
      <c r="A1543" s="5" t="s">
        <v>113</v>
      </c>
      <c r="B1543" s="5" t="s">
        <v>14870</v>
      </c>
      <c r="C1543" s="4">
        <v>45760</v>
      </c>
      <c r="D1543" s="4">
        <v>45761</v>
      </c>
      <c r="E1543" s="5" t="s">
        <v>16913</v>
      </c>
      <c r="F1543" s="5" t="s">
        <v>18902</v>
      </c>
      <c r="G1543" s="5" t="s">
        <v>824</v>
      </c>
      <c r="H1543" s="5">
        <v>1</v>
      </c>
      <c r="I1543" s="8" t="s">
        <v>8672</v>
      </c>
      <c r="J1543" s="8" t="s">
        <v>10721</v>
      </c>
      <c r="K1543" s="8" t="s">
        <v>2518</v>
      </c>
      <c r="L1543" s="8" t="s">
        <v>12772</v>
      </c>
      <c r="M1543" s="8" t="s">
        <v>4568</v>
      </c>
      <c r="N1543" s="8" t="s">
        <v>6619</v>
      </c>
      <c r="O1543" s="5" t="s">
        <v>148</v>
      </c>
      <c r="P1543" s="4">
        <v>45784</v>
      </c>
      <c r="Q1543" s="15">
        <v>21.99</v>
      </c>
      <c r="R1543" s="15">
        <v>9.99</v>
      </c>
      <c r="S1543" s="15">
        <v>0</v>
      </c>
      <c r="T1543"/>
    </row>
    <row r="1544" spans="1:20">
      <c r="A1544" s="5" t="s">
        <v>113</v>
      </c>
      <c r="B1544" s="5" t="s">
        <v>14871</v>
      </c>
      <c r="C1544" s="4">
        <v>45760</v>
      </c>
      <c r="D1544" s="4">
        <v>45761</v>
      </c>
      <c r="E1544" s="5" t="s">
        <v>16914</v>
      </c>
      <c r="F1544" s="5" t="s">
        <v>18903</v>
      </c>
      <c r="G1544" s="5" t="s">
        <v>824</v>
      </c>
      <c r="H1544" s="5">
        <v>1</v>
      </c>
      <c r="I1544" s="8" t="s">
        <v>8673</v>
      </c>
      <c r="J1544" s="8" t="s">
        <v>10722</v>
      </c>
      <c r="K1544" s="8" t="s">
        <v>2519</v>
      </c>
      <c r="L1544" s="8" t="s">
        <v>12773</v>
      </c>
      <c r="M1544" s="8" t="s">
        <v>4569</v>
      </c>
      <c r="N1544" s="8" t="s">
        <v>6620</v>
      </c>
      <c r="O1544" s="5" t="s">
        <v>148</v>
      </c>
      <c r="P1544" s="4">
        <v>45784</v>
      </c>
      <c r="Q1544" s="15">
        <v>21.99</v>
      </c>
      <c r="R1544" s="15">
        <v>9.99</v>
      </c>
      <c r="S1544" s="15">
        <v>0</v>
      </c>
      <c r="T1544"/>
    </row>
    <row r="1545" spans="1:20">
      <c r="A1545" s="5" t="s">
        <v>113</v>
      </c>
      <c r="B1545" s="5" t="s">
        <v>14872</v>
      </c>
      <c r="C1545" s="4">
        <v>45760</v>
      </c>
      <c r="D1545" s="4">
        <v>45761</v>
      </c>
      <c r="E1545" s="5" t="s">
        <v>16915</v>
      </c>
      <c r="F1545" s="5" t="s">
        <v>18904</v>
      </c>
      <c r="G1545" s="5" t="s">
        <v>824</v>
      </c>
      <c r="H1545" s="5">
        <v>1</v>
      </c>
      <c r="I1545" s="8" t="s">
        <v>8674</v>
      </c>
      <c r="J1545" s="8" t="s">
        <v>10723</v>
      </c>
      <c r="K1545" s="8" t="s">
        <v>2520</v>
      </c>
      <c r="L1545" s="8" t="s">
        <v>12774</v>
      </c>
      <c r="M1545" s="8" t="s">
        <v>4570</v>
      </c>
      <c r="N1545" s="8" t="s">
        <v>6621</v>
      </c>
      <c r="O1545" s="5" t="s">
        <v>148</v>
      </c>
      <c r="P1545" s="4">
        <v>45790</v>
      </c>
      <c r="Q1545" s="15">
        <v>21.99</v>
      </c>
      <c r="R1545" s="15">
        <v>6.99</v>
      </c>
      <c r="S1545" s="15">
        <v>0</v>
      </c>
      <c r="T1545"/>
    </row>
    <row r="1546" spans="1:20">
      <c r="A1546" s="5" t="s">
        <v>113</v>
      </c>
      <c r="B1546" s="5" t="s">
        <v>14873</v>
      </c>
      <c r="C1546" s="4">
        <v>45761</v>
      </c>
      <c r="D1546" s="4" t="s">
        <v>37</v>
      </c>
      <c r="E1546" s="5" t="s">
        <v>37</v>
      </c>
      <c r="F1546" s="5" t="s">
        <v>37</v>
      </c>
      <c r="G1546" s="5" t="s">
        <v>817</v>
      </c>
      <c r="H1546" s="5">
        <v>1</v>
      </c>
      <c r="I1546" s="8" t="s">
        <v>8675</v>
      </c>
      <c r="J1546" s="8" t="s">
        <v>10724</v>
      </c>
      <c r="K1546" s="8" t="s">
        <v>2521</v>
      </c>
      <c r="L1546" s="8" t="s">
        <v>12775</v>
      </c>
      <c r="M1546" s="8" t="s">
        <v>4571</v>
      </c>
      <c r="N1546" s="8" t="s">
        <v>6622</v>
      </c>
      <c r="O1546" s="5" t="s">
        <v>115</v>
      </c>
      <c r="P1546" s="4">
        <v>45797</v>
      </c>
      <c r="Q1546" s="15">
        <v>36.950000000000003</v>
      </c>
      <c r="R1546" s="15">
        <v>0</v>
      </c>
      <c r="S1546" s="15">
        <v>0</v>
      </c>
      <c r="T1546"/>
    </row>
    <row r="1547" spans="1:20">
      <c r="A1547" s="5" t="s">
        <v>113</v>
      </c>
      <c r="B1547" s="5" t="s">
        <v>14874</v>
      </c>
      <c r="C1547" s="4">
        <v>45761</v>
      </c>
      <c r="D1547" s="4">
        <v>45761</v>
      </c>
      <c r="E1547" s="5" t="s">
        <v>16916</v>
      </c>
      <c r="F1547" s="5" t="s">
        <v>18905</v>
      </c>
      <c r="G1547" s="5" t="s">
        <v>905</v>
      </c>
      <c r="H1547" s="5">
        <v>1</v>
      </c>
      <c r="I1547" s="8" t="s">
        <v>8676</v>
      </c>
      <c r="J1547" s="8" t="s">
        <v>10725</v>
      </c>
      <c r="K1547" s="8" t="s">
        <v>2522</v>
      </c>
      <c r="L1547" s="8" t="s">
        <v>12776</v>
      </c>
      <c r="M1547" s="8" t="s">
        <v>4572</v>
      </c>
      <c r="N1547" s="8" t="s">
        <v>6623</v>
      </c>
      <c r="O1547" s="5" t="s">
        <v>125</v>
      </c>
      <c r="P1547" s="4">
        <v>45791</v>
      </c>
      <c r="Q1547" s="15">
        <v>26.99</v>
      </c>
      <c r="R1547" s="15">
        <v>14.44</v>
      </c>
      <c r="S1547" s="15">
        <v>0</v>
      </c>
      <c r="T1547"/>
    </row>
    <row r="1548" spans="1:20">
      <c r="A1548" s="5" t="s">
        <v>113</v>
      </c>
      <c r="B1548" s="5" t="s">
        <v>14875</v>
      </c>
      <c r="C1548" s="4">
        <v>45761</v>
      </c>
      <c r="D1548" s="4">
        <v>45761</v>
      </c>
      <c r="E1548" s="5" t="s">
        <v>16917</v>
      </c>
      <c r="F1548" s="5" t="s">
        <v>18906</v>
      </c>
      <c r="G1548" s="5" t="s">
        <v>905</v>
      </c>
      <c r="H1548" s="5">
        <v>1</v>
      </c>
      <c r="I1548" s="8" t="s">
        <v>8677</v>
      </c>
      <c r="J1548" s="8" t="s">
        <v>10726</v>
      </c>
      <c r="K1548" s="8" t="s">
        <v>2523</v>
      </c>
      <c r="L1548" s="8" t="s">
        <v>12777</v>
      </c>
      <c r="M1548" s="8" t="s">
        <v>4573</v>
      </c>
      <c r="N1548" s="8" t="s">
        <v>6624</v>
      </c>
      <c r="O1548" s="5" t="s">
        <v>125</v>
      </c>
      <c r="P1548" s="4">
        <v>45791</v>
      </c>
      <c r="Q1548" s="15">
        <v>26.99</v>
      </c>
      <c r="R1548" s="15">
        <v>0</v>
      </c>
      <c r="S1548" s="15">
        <v>0</v>
      </c>
      <c r="T1548"/>
    </row>
    <row r="1549" spans="1:20">
      <c r="A1549" s="5" t="s">
        <v>108</v>
      </c>
      <c r="B1549" s="5" t="s">
        <v>14876</v>
      </c>
      <c r="C1549" s="4">
        <v>45760</v>
      </c>
      <c r="D1549" s="4">
        <v>45761</v>
      </c>
      <c r="E1549" s="5" t="s">
        <v>16918</v>
      </c>
      <c r="F1549" s="5" t="s">
        <v>18907</v>
      </c>
      <c r="G1549" s="5" t="s">
        <v>849</v>
      </c>
      <c r="H1549" s="5">
        <v>1</v>
      </c>
      <c r="I1549" s="8" t="s">
        <v>8678</v>
      </c>
      <c r="J1549" s="8" t="s">
        <v>10727</v>
      </c>
      <c r="K1549" s="8" t="s">
        <v>2524</v>
      </c>
      <c r="L1549" s="8" t="s">
        <v>12778</v>
      </c>
      <c r="M1549" s="8" t="s">
        <v>4574</v>
      </c>
      <c r="N1549" s="8" t="s">
        <v>6625</v>
      </c>
      <c r="O1549" s="5" t="s">
        <v>111</v>
      </c>
      <c r="P1549" s="4">
        <v>45790</v>
      </c>
      <c r="Q1549" s="15">
        <v>65.739999999999995</v>
      </c>
      <c r="R1549" s="15">
        <v>37.85</v>
      </c>
      <c r="S1549" s="15">
        <v>0</v>
      </c>
      <c r="T1549"/>
    </row>
    <row r="1550" spans="1:20">
      <c r="A1550" s="5" t="s">
        <v>108</v>
      </c>
      <c r="B1550" s="5" t="s">
        <v>14877</v>
      </c>
      <c r="C1550" s="4">
        <v>45761</v>
      </c>
      <c r="D1550" s="4">
        <v>45761</v>
      </c>
      <c r="E1550" s="5" t="s">
        <v>16919</v>
      </c>
      <c r="F1550" s="5" t="s">
        <v>18908</v>
      </c>
      <c r="G1550" s="5" t="s">
        <v>831</v>
      </c>
      <c r="H1550" s="5">
        <v>1</v>
      </c>
      <c r="I1550" s="8" t="s">
        <v>8679</v>
      </c>
      <c r="J1550" s="8" t="s">
        <v>10728</v>
      </c>
      <c r="K1550" s="8" t="s">
        <v>2525</v>
      </c>
      <c r="L1550" s="8" t="s">
        <v>12779</v>
      </c>
      <c r="M1550" s="8" t="s">
        <v>4575</v>
      </c>
      <c r="N1550" s="8" t="s">
        <v>6626</v>
      </c>
      <c r="O1550" s="5" t="s">
        <v>150</v>
      </c>
      <c r="P1550" s="4">
        <v>45791</v>
      </c>
      <c r="Q1550" s="15">
        <v>64.89</v>
      </c>
      <c r="R1550" s="15">
        <v>22.77</v>
      </c>
      <c r="S1550" s="15">
        <v>0</v>
      </c>
      <c r="T1550"/>
    </row>
    <row r="1551" spans="1:20">
      <c r="A1551" s="5" t="s">
        <v>108</v>
      </c>
      <c r="B1551" s="5" t="s">
        <v>14878</v>
      </c>
      <c r="C1551" s="4">
        <v>45761</v>
      </c>
      <c r="D1551" s="4">
        <v>45761</v>
      </c>
      <c r="E1551" s="5" t="s">
        <v>16920</v>
      </c>
      <c r="F1551" s="5" t="s">
        <v>18909</v>
      </c>
      <c r="G1551" s="5" t="s">
        <v>849</v>
      </c>
      <c r="H1551" s="5">
        <v>1</v>
      </c>
      <c r="I1551" s="8" t="s">
        <v>8680</v>
      </c>
      <c r="J1551" s="8" t="s">
        <v>10729</v>
      </c>
      <c r="K1551" s="8" t="s">
        <v>2526</v>
      </c>
      <c r="L1551" s="8" t="s">
        <v>12780</v>
      </c>
      <c r="M1551" s="8" t="s">
        <v>4576</v>
      </c>
      <c r="N1551" s="8" t="s">
        <v>6627</v>
      </c>
      <c r="O1551" s="5" t="s">
        <v>111</v>
      </c>
      <c r="P1551" s="4">
        <v>45785</v>
      </c>
      <c r="Q1551" s="15">
        <v>65.739999999999995</v>
      </c>
      <c r="R1551" s="15">
        <v>14.85</v>
      </c>
      <c r="S1551" s="15">
        <v>0</v>
      </c>
      <c r="T1551"/>
    </row>
    <row r="1552" spans="1:20">
      <c r="A1552" s="5" t="s">
        <v>113</v>
      </c>
      <c r="B1552" s="5" t="s">
        <v>14879</v>
      </c>
      <c r="C1552" s="4">
        <v>45762</v>
      </c>
      <c r="D1552" s="4">
        <v>45762</v>
      </c>
      <c r="E1552" s="5" t="s">
        <v>16921</v>
      </c>
      <c r="F1552" s="5" t="s">
        <v>18910</v>
      </c>
      <c r="G1552" s="5" t="s">
        <v>833</v>
      </c>
      <c r="H1552" s="5">
        <v>1</v>
      </c>
      <c r="I1552" s="8" t="s">
        <v>8681</v>
      </c>
      <c r="J1552" s="8" t="s">
        <v>10730</v>
      </c>
      <c r="K1552" s="8" t="s">
        <v>2527</v>
      </c>
      <c r="L1552" s="8" t="s">
        <v>12781</v>
      </c>
      <c r="M1552" s="8" t="s">
        <v>4577</v>
      </c>
      <c r="N1552" s="8" t="s">
        <v>6628</v>
      </c>
      <c r="O1552" s="5" t="s">
        <v>147</v>
      </c>
      <c r="P1552" s="4">
        <v>45786</v>
      </c>
      <c r="Q1552" s="15">
        <v>22.7</v>
      </c>
      <c r="R1552" s="15">
        <v>10.1</v>
      </c>
      <c r="S1552" s="15">
        <v>0</v>
      </c>
      <c r="T1552"/>
    </row>
    <row r="1553" spans="1:20">
      <c r="A1553" s="5" t="s">
        <v>113</v>
      </c>
      <c r="B1553" s="5" t="s">
        <v>14880</v>
      </c>
      <c r="C1553" s="4">
        <v>45762</v>
      </c>
      <c r="D1553" s="4">
        <v>45762</v>
      </c>
      <c r="E1553" s="5" t="s">
        <v>16922</v>
      </c>
      <c r="F1553" s="5" t="s">
        <v>18911</v>
      </c>
      <c r="G1553" s="5" t="s">
        <v>905</v>
      </c>
      <c r="H1553" s="5">
        <v>1</v>
      </c>
      <c r="I1553" s="8" t="s">
        <v>8682</v>
      </c>
      <c r="J1553" s="8" t="s">
        <v>10731</v>
      </c>
      <c r="K1553" s="8" t="s">
        <v>2528</v>
      </c>
      <c r="L1553" s="8" t="s">
        <v>12782</v>
      </c>
      <c r="M1553" s="8" t="s">
        <v>4578</v>
      </c>
      <c r="N1553" s="8" t="s">
        <v>6629</v>
      </c>
      <c r="O1553" s="5" t="s">
        <v>125</v>
      </c>
      <c r="P1553" s="4">
        <v>45792</v>
      </c>
      <c r="Q1553" s="15">
        <v>26.99</v>
      </c>
      <c r="R1553" s="15">
        <v>14.84</v>
      </c>
      <c r="S1553" s="15">
        <v>0</v>
      </c>
      <c r="T1553"/>
    </row>
    <row r="1554" spans="1:20">
      <c r="A1554" s="5" t="s">
        <v>113</v>
      </c>
      <c r="B1554" s="5" t="s">
        <v>14881</v>
      </c>
      <c r="C1554" s="4">
        <v>45762</v>
      </c>
      <c r="D1554" s="4" t="s">
        <v>37</v>
      </c>
      <c r="E1554" s="5" t="s">
        <v>37</v>
      </c>
      <c r="F1554" s="5" t="s">
        <v>37</v>
      </c>
      <c r="G1554" s="5" t="s">
        <v>905</v>
      </c>
      <c r="H1554" s="5">
        <v>1</v>
      </c>
      <c r="I1554" s="8" t="s">
        <v>8683</v>
      </c>
      <c r="J1554" s="8" t="s">
        <v>10732</v>
      </c>
      <c r="K1554" s="8" t="s">
        <v>2529</v>
      </c>
      <c r="L1554" s="8" t="s">
        <v>12783</v>
      </c>
      <c r="M1554" s="8" t="s">
        <v>4579</v>
      </c>
      <c r="N1554" s="8" t="s">
        <v>6630</v>
      </c>
      <c r="O1554" s="5" t="s">
        <v>125</v>
      </c>
      <c r="P1554" s="4">
        <v>45786</v>
      </c>
      <c r="Q1554" s="15">
        <v>26.99</v>
      </c>
      <c r="R1554" s="15">
        <v>0</v>
      </c>
      <c r="S1554" s="15">
        <v>0</v>
      </c>
      <c r="T1554"/>
    </row>
    <row r="1555" spans="1:20">
      <c r="A1555" s="5" t="s">
        <v>113</v>
      </c>
      <c r="B1555" s="5" t="s">
        <v>14882</v>
      </c>
      <c r="C1555" s="4">
        <v>45762</v>
      </c>
      <c r="D1555" s="4" t="s">
        <v>37</v>
      </c>
      <c r="E1555" s="5" t="s">
        <v>37</v>
      </c>
      <c r="F1555" s="5" t="s">
        <v>37</v>
      </c>
      <c r="G1555" s="5" t="s">
        <v>817</v>
      </c>
      <c r="H1555" s="5">
        <v>1</v>
      </c>
      <c r="I1555" s="8" t="s">
        <v>8684</v>
      </c>
      <c r="J1555" s="8" t="s">
        <v>10733</v>
      </c>
      <c r="K1555" s="8" t="s">
        <v>2530</v>
      </c>
      <c r="L1555" s="8" t="s">
        <v>12784</v>
      </c>
      <c r="M1555" s="8" t="s">
        <v>4580</v>
      </c>
      <c r="N1555" s="8" t="s">
        <v>6631</v>
      </c>
      <c r="O1555" s="5" t="s">
        <v>115</v>
      </c>
      <c r="P1555" s="4">
        <v>45799</v>
      </c>
      <c r="Q1555" s="15">
        <v>36.950000000000003</v>
      </c>
      <c r="R1555" s="15">
        <v>0</v>
      </c>
      <c r="S1555" s="15">
        <v>0</v>
      </c>
      <c r="T1555"/>
    </row>
    <row r="1556" spans="1:20">
      <c r="A1556" s="5" t="s">
        <v>113</v>
      </c>
      <c r="B1556" s="5" t="s">
        <v>14883</v>
      </c>
      <c r="C1556" s="4">
        <v>45763</v>
      </c>
      <c r="D1556" s="4">
        <v>45768</v>
      </c>
      <c r="E1556" s="5" t="s">
        <v>16923</v>
      </c>
      <c r="F1556" s="5" t="s">
        <v>18912</v>
      </c>
      <c r="G1556" s="5" t="s">
        <v>833</v>
      </c>
      <c r="H1556" s="5">
        <v>1</v>
      </c>
      <c r="I1556" s="8" t="s">
        <v>8685</v>
      </c>
      <c r="J1556" s="8" t="s">
        <v>10734</v>
      </c>
      <c r="K1556" s="8" t="s">
        <v>2531</v>
      </c>
      <c r="L1556" s="8" t="s">
        <v>12785</v>
      </c>
      <c r="M1556" s="8" t="s">
        <v>4581</v>
      </c>
      <c r="N1556" s="8" t="s">
        <v>6632</v>
      </c>
      <c r="O1556" s="5" t="s">
        <v>147</v>
      </c>
      <c r="P1556" s="4">
        <v>45786</v>
      </c>
      <c r="Q1556" s="15">
        <v>22.7</v>
      </c>
      <c r="R1556" s="15">
        <v>11.92</v>
      </c>
      <c r="S1556" s="15">
        <v>0</v>
      </c>
      <c r="T1556"/>
    </row>
    <row r="1557" spans="1:20">
      <c r="A1557" s="5" t="s">
        <v>113</v>
      </c>
      <c r="B1557" s="5" t="s">
        <v>14884</v>
      </c>
      <c r="C1557" s="4">
        <v>45763</v>
      </c>
      <c r="D1557" s="4">
        <v>45769</v>
      </c>
      <c r="E1557" s="5" t="s">
        <v>16924</v>
      </c>
      <c r="F1557" s="5" t="s">
        <v>18913</v>
      </c>
      <c r="G1557" s="5" t="s">
        <v>905</v>
      </c>
      <c r="H1557" s="5">
        <v>1</v>
      </c>
      <c r="I1557" s="8" t="s">
        <v>8686</v>
      </c>
      <c r="J1557" s="8" t="s">
        <v>10735</v>
      </c>
      <c r="K1557" s="8" t="s">
        <v>2532</v>
      </c>
      <c r="L1557" s="8" t="s">
        <v>12786</v>
      </c>
      <c r="M1557" s="8" t="s">
        <v>4582</v>
      </c>
      <c r="N1557" s="8" t="s">
        <v>6633</v>
      </c>
      <c r="O1557" s="5" t="s">
        <v>125</v>
      </c>
      <c r="P1557" s="4">
        <v>45793</v>
      </c>
      <c r="Q1557" s="15">
        <v>26.99</v>
      </c>
      <c r="R1557" s="15">
        <v>16.5</v>
      </c>
      <c r="S1557" s="15">
        <v>0</v>
      </c>
      <c r="T1557"/>
    </row>
    <row r="1558" spans="1:20">
      <c r="A1558" s="5" t="s">
        <v>113</v>
      </c>
      <c r="B1558" s="5" t="s">
        <v>14885</v>
      </c>
      <c r="C1558" s="4">
        <v>45763</v>
      </c>
      <c r="D1558" s="4">
        <v>45769</v>
      </c>
      <c r="E1558" s="5" t="s">
        <v>16925</v>
      </c>
      <c r="F1558" s="5" t="s">
        <v>18914</v>
      </c>
      <c r="G1558" s="5" t="s">
        <v>905</v>
      </c>
      <c r="H1558" s="5">
        <v>1</v>
      </c>
      <c r="I1558" s="8" t="s">
        <v>8687</v>
      </c>
      <c r="J1558" s="8" t="s">
        <v>10736</v>
      </c>
      <c r="K1558" s="8" t="s">
        <v>2533</v>
      </c>
      <c r="L1558" s="8" t="s">
        <v>12787</v>
      </c>
      <c r="M1558" s="8" t="s">
        <v>4583</v>
      </c>
      <c r="N1558" s="8" t="s">
        <v>6634</v>
      </c>
      <c r="O1558" s="5" t="s">
        <v>125</v>
      </c>
      <c r="P1558" s="4">
        <v>45793</v>
      </c>
      <c r="Q1558" s="15">
        <v>26.99</v>
      </c>
      <c r="R1558" s="15">
        <v>0</v>
      </c>
      <c r="S1558" s="15">
        <v>0</v>
      </c>
      <c r="T1558"/>
    </row>
    <row r="1559" spans="1:20">
      <c r="A1559" s="5" t="s">
        <v>113</v>
      </c>
      <c r="B1559" s="5" t="s">
        <v>14886</v>
      </c>
      <c r="C1559" s="4">
        <v>45763</v>
      </c>
      <c r="D1559" s="4">
        <v>45768</v>
      </c>
      <c r="E1559" s="5" t="s">
        <v>16926</v>
      </c>
      <c r="F1559" s="5" t="s">
        <v>18915</v>
      </c>
      <c r="G1559" s="5" t="s">
        <v>831</v>
      </c>
      <c r="H1559" s="5">
        <v>1</v>
      </c>
      <c r="I1559" s="8" t="s">
        <v>8688</v>
      </c>
      <c r="J1559" s="8" t="s">
        <v>10737</v>
      </c>
      <c r="K1559" s="8" t="s">
        <v>2534</v>
      </c>
      <c r="L1559" s="8" t="s">
        <v>12788</v>
      </c>
      <c r="M1559" s="8" t="s">
        <v>4584</v>
      </c>
      <c r="N1559" s="8" t="s">
        <v>6635</v>
      </c>
      <c r="O1559" s="5" t="s">
        <v>139</v>
      </c>
      <c r="P1559" s="4">
        <v>45793</v>
      </c>
      <c r="Q1559" s="15">
        <v>64.89</v>
      </c>
      <c r="R1559" s="15">
        <v>22.62</v>
      </c>
      <c r="S1559" s="15">
        <v>0</v>
      </c>
      <c r="T1559"/>
    </row>
    <row r="1560" spans="1:20">
      <c r="A1560" s="5" t="s">
        <v>113</v>
      </c>
      <c r="B1560" s="5" t="s">
        <v>14887</v>
      </c>
      <c r="C1560" s="4">
        <v>45763</v>
      </c>
      <c r="D1560" s="4">
        <v>45769</v>
      </c>
      <c r="E1560" s="5" t="s">
        <v>16927</v>
      </c>
      <c r="F1560" s="5" t="s">
        <v>18916</v>
      </c>
      <c r="G1560" s="5" t="s">
        <v>905</v>
      </c>
      <c r="H1560" s="5">
        <v>1</v>
      </c>
      <c r="I1560" s="8" t="s">
        <v>8689</v>
      </c>
      <c r="J1560" s="8" t="s">
        <v>10738</v>
      </c>
      <c r="K1560" s="8" t="s">
        <v>2535</v>
      </c>
      <c r="L1560" s="8" t="s">
        <v>12789</v>
      </c>
      <c r="M1560" s="8" t="s">
        <v>4585</v>
      </c>
      <c r="N1560" s="8" t="s">
        <v>6636</v>
      </c>
      <c r="O1560" s="5" t="s">
        <v>125</v>
      </c>
      <c r="P1560" s="4">
        <v>45793</v>
      </c>
      <c r="Q1560" s="15">
        <v>26.99</v>
      </c>
      <c r="R1560" s="15">
        <v>16.5</v>
      </c>
      <c r="S1560" s="15">
        <v>0</v>
      </c>
      <c r="T1560"/>
    </row>
    <row r="1561" spans="1:20">
      <c r="A1561" s="5" t="s">
        <v>108</v>
      </c>
      <c r="B1561" s="5" t="s">
        <v>14888</v>
      </c>
      <c r="C1561" s="4">
        <v>45763</v>
      </c>
      <c r="D1561" s="4">
        <v>45768</v>
      </c>
      <c r="E1561" s="5" t="s">
        <v>16928</v>
      </c>
      <c r="F1561" s="5" t="s">
        <v>18917</v>
      </c>
      <c r="G1561" s="5" t="s">
        <v>845</v>
      </c>
      <c r="H1561" s="5">
        <v>1</v>
      </c>
      <c r="I1561" s="8" t="s">
        <v>8690</v>
      </c>
      <c r="J1561" s="8" t="s">
        <v>10739</v>
      </c>
      <c r="K1561" s="8" t="s">
        <v>2536</v>
      </c>
      <c r="L1561" s="8" t="s">
        <v>12790</v>
      </c>
      <c r="M1561" s="8" t="s">
        <v>4586</v>
      </c>
      <c r="N1561" s="8" t="s">
        <v>6637</v>
      </c>
      <c r="O1561" s="5" t="s">
        <v>149</v>
      </c>
      <c r="P1561" s="4">
        <v>45799</v>
      </c>
      <c r="Q1561" s="15">
        <v>64.89</v>
      </c>
      <c r="R1561" s="15">
        <v>22.11</v>
      </c>
      <c r="S1561" s="15">
        <v>0</v>
      </c>
      <c r="T1561"/>
    </row>
    <row r="1562" spans="1:20">
      <c r="A1562" s="5" t="s">
        <v>113</v>
      </c>
      <c r="B1562" s="5" t="s">
        <v>14889</v>
      </c>
      <c r="C1562" s="4">
        <v>45763</v>
      </c>
      <c r="D1562" s="4">
        <v>45771</v>
      </c>
      <c r="E1562" s="5" t="s">
        <v>16929</v>
      </c>
      <c r="F1562" s="5" t="s">
        <v>18918</v>
      </c>
      <c r="G1562" s="5" t="s">
        <v>905</v>
      </c>
      <c r="H1562" s="5">
        <v>1</v>
      </c>
      <c r="I1562" s="8" t="s">
        <v>8691</v>
      </c>
      <c r="J1562" s="8" t="s">
        <v>10740</v>
      </c>
      <c r="K1562" s="8" t="s">
        <v>2537</v>
      </c>
      <c r="L1562" s="8" t="s">
        <v>12791</v>
      </c>
      <c r="M1562" s="8" t="s">
        <v>4587</v>
      </c>
      <c r="N1562" s="8" t="s">
        <v>6638</v>
      </c>
      <c r="O1562" s="5" t="s">
        <v>125</v>
      </c>
      <c r="P1562" s="4">
        <v>45793</v>
      </c>
      <c r="Q1562" s="15">
        <v>26.99</v>
      </c>
      <c r="R1562" s="15">
        <v>10.210000000000001</v>
      </c>
      <c r="S1562" s="15">
        <v>0</v>
      </c>
      <c r="T1562"/>
    </row>
    <row r="1563" spans="1:20">
      <c r="A1563" s="5" t="s">
        <v>113</v>
      </c>
      <c r="B1563" s="5" t="s">
        <v>14890</v>
      </c>
      <c r="C1563" s="4">
        <v>45763</v>
      </c>
      <c r="D1563" s="4">
        <v>45771</v>
      </c>
      <c r="E1563" s="5" t="s">
        <v>16930</v>
      </c>
      <c r="F1563" s="5" t="s">
        <v>18919</v>
      </c>
      <c r="G1563" s="5" t="s">
        <v>905</v>
      </c>
      <c r="H1563" s="5">
        <v>1</v>
      </c>
      <c r="I1563" s="8" t="s">
        <v>8691</v>
      </c>
      <c r="J1563" s="8" t="s">
        <v>10740</v>
      </c>
      <c r="K1563" s="8" t="s">
        <v>2537</v>
      </c>
      <c r="L1563" s="8" t="s">
        <v>12791</v>
      </c>
      <c r="M1563" s="8" t="s">
        <v>4587</v>
      </c>
      <c r="N1563" s="8" t="s">
        <v>6638</v>
      </c>
      <c r="O1563" s="5" t="s">
        <v>125</v>
      </c>
      <c r="P1563" s="4">
        <v>45793</v>
      </c>
      <c r="Q1563" s="15">
        <v>26.99</v>
      </c>
      <c r="R1563" s="15">
        <v>16.149999999999999</v>
      </c>
      <c r="S1563" s="15">
        <v>0</v>
      </c>
      <c r="T1563"/>
    </row>
    <row r="1564" spans="1:20">
      <c r="A1564" s="5" t="s">
        <v>108</v>
      </c>
      <c r="B1564" s="5" t="s">
        <v>14891</v>
      </c>
      <c r="C1564" s="4">
        <v>45764</v>
      </c>
      <c r="D1564" s="4" t="s">
        <v>37</v>
      </c>
      <c r="E1564" s="5" t="s">
        <v>37</v>
      </c>
      <c r="F1564" s="5" t="s">
        <v>37</v>
      </c>
      <c r="G1564" s="5" t="s">
        <v>849</v>
      </c>
      <c r="H1564" s="5">
        <v>1</v>
      </c>
      <c r="I1564" s="8" t="s">
        <v>8692</v>
      </c>
      <c r="J1564" s="8" t="s">
        <v>10741</v>
      </c>
      <c r="K1564" s="8" t="s">
        <v>2538</v>
      </c>
      <c r="L1564" s="8" t="s">
        <v>12792</v>
      </c>
      <c r="M1564" s="8" t="s">
        <v>4588</v>
      </c>
      <c r="N1564" s="8" t="s">
        <v>6639</v>
      </c>
      <c r="O1564" s="5" t="s">
        <v>111</v>
      </c>
      <c r="P1564" s="4">
        <v>45801</v>
      </c>
      <c r="Q1564" s="15">
        <v>65.739999999999995</v>
      </c>
      <c r="R1564" s="15">
        <v>0</v>
      </c>
      <c r="S1564" s="15">
        <v>0</v>
      </c>
      <c r="T1564"/>
    </row>
    <row r="1565" spans="1:20">
      <c r="A1565" s="5" t="s">
        <v>108</v>
      </c>
      <c r="B1565" s="5" t="s">
        <v>14892</v>
      </c>
      <c r="C1565" s="4">
        <v>45764</v>
      </c>
      <c r="D1565" s="4">
        <v>45768</v>
      </c>
      <c r="E1565" s="5" t="s">
        <v>16931</v>
      </c>
      <c r="F1565" s="5" t="s">
        <v>18920</v>
      </c>
      <c r="G1565" s="5" t="s">
        <v>882</v>
      </c>
      <c r="H1565" s="5">
        <v>1</v>
      </c>
      <c r="I1565" s="8" t="s">
        <v>8693</v>
      </c>
      <c r="J1565" s="8" t="s">
        <v>10742</v>
      </c>
      <c r="K1565" s="8" t="s">
        <v>2539</v>
      </c>
      <c r="L1565" s="8" t="s">
        <v>12793</v>
      </c>
      <c r="M1565" s="8" t="s">
        <v>4589</v>
      </c>
      <c r="N1565" s="8" t="s">
        <v>6640</v>
      </c>
      <c r="O1565" s="5" t="s">
        <v>130</v>
      </c>
      <c r="P1565" s="4">
        <v>45790</v>
      </c>
      <c r="Q1565" s="15">
        <v>67.599999999999994</v>
      </c>
      <c r="R1565" s="15">
        <v>44.03</v>
      </c>
      <c r="S1565" s="15">
        <v>0</v>
      </c>
      <c r="T1565"/>
    </row>
    <row r="1566" spans="1:20">
      <c r="A1566" s="5" t="s">
        <v>108</v>
      </c>
      <c r="B1566" s="5" t="s">
        <v>14893</v>
      </c>
      <c r="C1566" s="4">
        <v>45764</v>
      </c>
      <c r="D1566" s="4">
        <v>45768</v>
      </c>
      <c r="E1566" s="5" t="s">
        <v>16932</v>
      </c>
      <c r="F1566" s="5" t="s">
        <v>18921</v>
      </c>
      <c r="G1566" s="5" t="s">
        <v>831</v>
      </c>
      <c r="H1566" s="5">
        <v>1</v>
      </c>
      <c r="I1566" s="8" t="s">
        <v>8694</v>
      </c>
      <c r="J1566" s="8" t="s">
        <v>10743</v>
      </c>
      <c r="K1566" s="8" t="s">
        <v>2540</v>
      </c>
      <c r="L1566" s="8" t="s">
        <v>12794</v>
      </c>
      <c r="M1566" s="8" t="s">
        <v>4590</v>
      </c>
      <c r="N1566" s="8" t="s">
        <v>6641</v>
      </c>
      <c r="O1566" s="5" t="s">
        <v>150</v>
      </c>
      <c r="P1566" s="4">
        <v>45790</v>
      </c>
      <c r="Q1566" s="15">
        <v>64.89</v>
      </c>
      <c r="R1566" s="15">
        <v>21.77</v>
      </c>
      <c r="S1566" s="15">
        <v>0</v>
      </c>
      <c r="T1566"/>
    </row>
    <row r="1567" spans="1:20">
      <c r="A1567" s="5" t="s">
        <v>113</v>
      </c>
      <c r="B1567" s="5" t="s">
        <v>14894</v>
      </c>
      <c r="C1567" s="4">
        <v>45768</v>
      </c>
      <c r="D1567" s="4">
        <v>45768</v>
      </c>
      <c r="E1567" s="5" t="s">
        <v>16933</v>
      </c>
      <c r="F1567" s="5" t="s">
        <v>18922</v>
      </c>
      <c r="G1567" s="5" t="s">
        <v>831</v>
      </c>
      <c r="H1567" s="5">
        <v>1</v>
      </c>
      <c r="I1567" s="8" t="s">
        <v>8695</v>
      </c>
      <c r="J1567" s="8" t="s">
        <v>10744</v>
      </c>
      <c r="K1567" s="8" t="s">
        <v>2541</v>
      </c>
      <c r="L1567" s="8" t="s">
        <v>12795</v>
      </c>
      <c r="M1567" s="8" t="s">
        <v>4591</v>
      </c>
      <c r="N1567" s="8" t="s">
        <v>6642</v>
      </c>
      <c r="O1567" s="5" t="s">
        <v>139</v>
      </c>
      <c r="P1567" s="4">
        <v>45801</v>
      </c>
      <c r="Q1567" s="15">
        <v>64.89</v>
      </c>
      <c r="R1567" s="15">
        <v>0</v>
      </c>
      <c r="S1567" s="15">
        <v>0</v>
      </c>
      <c r="T1567"/>
    </row>
    <row r="1568" spans="1:20">
      <c r="A1568" s="5" t="s">
        <v>113</v>
      </c>
      <c r="B1568" s="5" t="s">
        <v>14895</v>
      </c>
      <c r="C1568" s="4">
        <v>45768</v>
      </c>
      <c r="D1568" s="4">
        <v>45769</v>
      </c>
      <c r="E1568" s="5" t="s">
        <v>16934</v>
      </c>
      <c r="F1568" s="5" t="s">
        <v>18923</v>
      </c>
      <c r="G1568" s="5" t="s">
        <v>905</v>
      </c>
      <c r="H1568" s="5">
        <v>1</v>
      </c>
      <c r="I1568" s="8" t="s">
        <v>8696</v>
      </c>
      <c r="J1568" s="8" t="s">
        <v>10745</v>
      </c>
      <c r="K1568" s="8" t="s">
        <v>2542</v>
      </c>
      <c r="L1568" s="8" t="s">
        <v>12796</v>
      </c>
      <c r="M1568" s="8" t="s">
        <v>4592</v>
      </c>
      <c r="N1568" s="8" t="s">
        <v>6643</v>
      </c>
      <c r="O1568" s="5" t="s">
        <v>125</v>
      </c>
      <c r="P1568" s="4">
        <v>45790</v>
      </c>
      <c r="Q1568" s="15">
        <v>26.99</v>
      </c>
      <c r="R1568" s="15">
        <v>10.19</v>
      </c>
      <c r="S1568" s="15">
        <v>0</v>
      </c>
      <c r="T1568"/>
    </row>
    <row r="1569" spans="1:20">
      <c r="A1569" s="5" t="s">
        <v>36</v>
      </c>
      <c r="B1569" s="5" t="s">
        <v>14896</v>
      </c>
      <c r="C1569" s="4">
        <v>45766</v>
      </c>
      <c r="D1569" s="4">
        <v>45768</v>
      </c>
      <c r="E1569" s="5" t="s">
        <v>16935</v>
      </c>
      <c r="F1569" s="5" t="s">
        <v>18924</v>
      </c>
      <c r="G1569" s="5" t="s">
        <v>833</v>
      </c>
      <c r="H1569" s="5">
        <v>1</v>
      </c>
      <c r="I1569" s="8" t="s">
        <v>8697</v>
      </c>
      <c r="J1569" s="8" t="s">
        <v>10746</v>
      </c>
      <c r="K1569" s="8" t="s">
        <v>2543</v>
      </c>
      <c r="L1569" s="8" t="s">
        <v>12797</v>
      </c>
      <c r="M1569" s="8" t="s">
        <v>4593</v>
      </c>
      <c r="N1569" s="8" t="s">
        <v>6644</v>
      </c>
      <c r="O1569" s="5" t="s">
        <v>49</v>
      </c>
      <c r="P1569" s="4">
        <v>45790</v>
      </c>
      <c r="Q1569" s="15">
        <v>22.7</v>
      </c>
      <c r="R1569" s="15">
        <v>11.92</v>
      </c>
      <c r="S1569" s="15">
        <v>0</v>
      </c>
      <c r="T1569"/>
    </row>
    <row r="1570" spans="1:20">
      <c r="A1570" s="5" t="s">
        <v>36</v>
      </c>
      <c r="B1570" s="5" t="s">
        <v>14897</v>
      </c>
      <c r="C1570" s="4">
        <v>45767</v>
      </c>
      <c r="D1570" s="4">
        <v>45768</v>
      </c>
      <c r="E1570" s="5" t="s">
        <v>16936</v>
      </c>
      <c r="F1570" s="5" t="s">
        <v>18925</v>
      </c>
      <c r="G1570" s="5" t="s">
        <v>860</v>
      </c>
      <c r="H1570" s="5">
        <v>1</v>
      </c>
      <c r="I1570" s="8" t="s">
        <v>8698</v>
      </c>
      <c r="J1570" s="8" t="s">
        <v>10747</v>
      </c>
      <c r="K1570" s="8" t="s">
        <v>2544</v>
      </c>
      <c r="L1570" s="8" t="s">
        <v>12798</v>
      </c>
      <c r="M1570" s="8" t="s">
        <v>4594</v>
      </c>
      <c r="N1570" s="8" t="s">
        <v>6645</v>
      </c>
      <c r="O1570" s="5" t="s">
        <v>75</v>
      </c>
      <c r="P1570" s="4">
        <v>45794</v>
      </c>
      <c r="Q1570" s="15">
        <v>51</v>
      </c>
      <c r="R1570" s="15">
        <v>38.450000000000003</v>
      </c>
      <c r="S1570" s="15">
        <v>0</v>
      </c>
      <c r="T1570"/>
    </row>
    <row r="1571" spans="1:20">
      <c r="A1571" s="5" t="s">
        <v>108</v>
      </c>
      <c r="B1571" s="5" t="s">
        <v>14898</v>
      </c>
      <c r="C1571" s="4">
        <v>45766</v>
      </c>
      <c r="D1571" s="4">
        <v>45768</v>
      </c>
      <c r="E1571" s="5" t="s">
        <v>16937</v>
      </c>
      <c r="F1571" s="5" t="s">
        <v>18926</v>
      </c>
      <c r="G1571" s="5" t="s">
        <v>849</v>
      </c>
      <c r="H1571" s="5">
        <v>1</v>
      </c>
      <c r="I1571" s="8" t="s">
        <v>8699</v>
      </c>
      <c r="J1571" s="8" t="s">
        <v>10748</v>
      </c>
      <c r="K1571" s="8" t="s">
        <v>2545</v>
      </c>
      <c r="L1571" s="8" t="s">
        <v>12799</v>
      </c>
      <c r="M1571" s="8" t="s">
        <v>4595</v>
      </c>
      <c r="N1571" s="8" t="s">
        <v>6646</v>
      </c>
      <c r="O1571" s="5" t="s">
        <v>111</v>
      </c>
      <c r="P1571" s="4">
        <v>45790</v>
      </c>
      <c r="Q1571" s="15">
        <v>65.739999999999995</v>
      </c>
      <c r="R1571" s="15">
        <v>21.89</v>
      </c>
      <c r="S1571" s="15">
        <v>0</v>
      </c>
      <c r="T1571"/>
    </row>
    <row r="1572" spans="1:20">
      <c r="A1572" s="5" t="s">
        <v>108</v>
      </c>
      <c r="B1572" s="5" t="s">
        <v>14899</v>
      </c>
      <c r="C1572" s="4">
        <v>45768</v>
      </c>
      <c r="D1572" s="4">
        <v>45768</v>
      </c>
      <c r="E1572" s="5" t="s">
        <v>16938</v>
      </c>
      <c r="F1572" s="5" t="s">
        <v>18927</v>
      </c>
      <c r="G1572" s="5" t="s">
        <v>831</v>
      </c>
      <c r="H1572" s="5">
        <v>1</v>
      </c>
      <c r="I1572" s="8" t="s">
        <v>8700</v>
      </c>
      <c r="J1572" s="8" t="s">
        <v>10749</v>
      </c>
      <c r="K1572" s="8" t="s">
        <v>2546</v>
      </c>
      <c r="L1572" s="8" t="s">
        <v>12800</v>
      </c>
      <c r="M1572" s="8" t="s">
        <v>4596</v>
      </c>
      <c r="N1572" s="8" t="s">
        <v>6647</v>
      </c>
      <c r="O1572" s="5" t="s">
        <v>150</v>
      </c>
      <c r="P1572" s="4">
        <v>45801</v>
      </c>
      <c r="Q1572" s="15">
        <v>64.89</v>
      </c>
      <c r="R1572" s="15">
        <v>0</v>
      </c>
      <c r="S1572" s="15">
        <v>0</v>
      </c>
      <c r="T1572"/>
    </row>
    <row r="1573" spans="1:20">
      <c r="A1573" s="5" t="s">
        <v>108</v>
      </c>
      <c r="B1573" s="5" t="s">
        <v>14900</v>
      </c>
      <c r="C1573" s="4">
        <v>45768</v>
      </c>
      <c r="D1573" s="4">
        <v>45768</v>
      </c>
      <c r="E1573" s="5" t="s">
        <v>16939</v>
      </c>
      <c r="F1573" s="5" t="s">
        <v>18928</v>
      </c>
      <c r="G1573" s="5" t="s">
        <v>882</v>
      </c>
      <c r="H1573" s="5">
        <v>1</v>
      </c>
      <c r="I1573" s="8" t="s">
        <v>8701</v>
      </c>
      <c r="J1573" s="8" t="s">
        <v>10750</v>
      </c>
      <c r="K1573" s="8" t="s">
        <v>2547</v>
      </c>
      <c r="L1573" s="8" t="s">
        <v>12801</v>
      </c>
      <c r="M1573" s="8" t="s">
        <v>4597</v>
      </c>
      <c r="N1573" s="8" t="s">
        <v>6648</v>
      </c>
      <c r="O1573" s="5" t="s">
        <v>130</v>
      </c>
      <c r="P1573" s="4">
        <v>45801</v>
      </c>
      <c r="Q1573" s="15">
        <v>67.599999999999994</v>
      </c>
      <c r="R1573" s="15">
        <v>0</v>
      </c>
      <c r="S1573" s="15">
        <v>0</v>
      </c>
      <c r="T1573"/>
    </row>
    <row r="1574" spans="1:20">
      <c r="A1574" s="5" t="s">
        <v>113</v>
      </c>
      <c r="B1574" s="5" t="s">
        <v>14901</v>
      </c>
      <c r="C1574" s="4">
        <v>45768</v>
      </c>
      <c r="D1574" s="4">
        <v>45769</v>
      </c>
      <c r="E1574" s="5" t="s">
        <v>16940</v>
      </c>
      <c r="F1574" s="5" t="s">
        <v>18929</v>
      </c>
      <c r="G1574" s="5" t="s">
        <v>905</v>
      </c>
      <c r="H1574" s="5">
        <v>1</v>
      </c>
      <c r="I1574" s="8" t="s">
        <v>8702</v>
      </c>
      <c r="J1574" s="8" t="s">
        <v>10751</v>
      </c>
      <c r="K1574" s="8" t="s">
        <v>2548</v>
      </c>
      <c r="L1574" s="8" t="s">
        <v>12802</v>
      </c>
      <c r="M1574" s="8" t="s">
        <v>4598</v>
      </c>
      <c r="N1574" s="8" t="s">
        <v>6649</v>
      </c>
      <c r="O1574" s="5" t="s">
        <v>125</v>
      </c>
      <c r="P1574" s="4">
        <v>45794</v>
      </c>
      <c r="Q1574" s="15">
        <v>26.99</v>
      </c>
      <c r="R1574" s="15">
        <v>0</v>
      </c>
      <c r="S1574" s="15">
        <v>0</v>
      </c>
      <c r="T1574"/>
    </row>
    <row r="1575" spans="1:20">
      <c r="A1575" s="5" t="s">
        <v>113</v>
      </c>
      <c r="B1575" s="5" t="s">
        <v>14902</v>
      </c>
      <c r="C1575" s="4">
        <v>45769</v>
      </c>
      <c r="D1575" s="4">
        <v>45769</v>
      </c>
      <c r="E1575" s="5" t="s">
        <v>16941</v>
      </c>
      <c r="F1575" s="5" t="s">
        <v>18930</v>
      </c>
      <c r="G1575" s="5" t="s">
        <v>905</v>
      </c>
      <c r="H1575" s="5">
        <v>1</v>
      </c>
      <c r="I1575" s="8" t="s">
        <v>8703</v>
      </c>
      <c r="J1575" s="8" t="s">
        <v>10752</v>
      </c>
      <c r="K1575" s="8" t="s">
        <v>2549</v>
      </c>
      <c r="L1575" s="8" t="s">
        <v>12803</v>
      </c>
      <c r="M1575" s="8" t="s">
        <v>4599</v>
      </c>
      <c r="N1575" s="8" t="s">
        <v>6650</v>
      </c>
      <c r="O1575" s="5" t="s">
        <v>125</v>
      </c>
      <c r="P1575" s="4">
        <v>45794</v>
      </c>
      <c r="Q1575" s="15">
        <v>26.99</v>
      </c>
      <c r="R1575" s="15">
        <v>10.55</v>
      </c>
      <c r="S1575" s="15">
        <v>0</v>
      </c>
      <c r="T1575"/>
    </row>
    <row r="1576" spans="1:20">
      <c r="A1576" s="5" t="s">
        <v>113</v>
      </c>
      <c r="B1576" s="5" t="s">
        <v>14903</v>
      </c>
      <c r="C1576" s="4">
        <v>45769</v>
      </c>
      <c r="D1576" s="4">
        <v>45770</v>
      </c>
      <c r="E1576" s="5" t="s">
        <v>16942</v>
      </c>
      <c r="F1576" s="5" t="s">
        <v>18931</v>
      </c>
      <c r="G1576" s="5" t="s">
        <v>833</v>
      </c>
      <c r="H1576" s="5">
        <v>1</v>
      </c>
      <c r="I1576" s="8" t="s">
        <v>8704</v>
      </c>
      <c r="J1576" s="8" t="s">
        <v>10753</v>
      </c>
      <c r="K1576" s="8" t="s">
        <v>2550</v>
      </c>
      <c r="L1576" s="8" t="s">
        <v>12804</v>
      </c>
      <c r="M1576" s="8" t="s">
        <v>4600</v>
      </c>
      <c r="N1576" s="8" t="s">
        <v>6651</v>
      </c>
      <c r="O1576" s="5" t="s">
        <v>147</v>
      </c>
      <c r="P1576" s="4">
        <v>45797</v>
      </c>
      <c r="Q1576" s="15">
        <v>22.7</v>
      </c>
      <c r="R1576" s="15">
        <v>19.57</v>
      </c>
      <c r="S1576" s="15">
        <v>0</v>
      </c>
      <c r="T1576"/>
    </row>
    <row r="1577" spans="1:20">
      <c r="A1577" s="5" t="s">
        <v>113</v>
      </c>
      <c r="B1577" s="5" t="s">
        <v>14904</v>
      </c>
      <c r="C1577" s="4">
        <v>45769</v>
      </c>
      <c r="D1577" s="4">
        <v>45770</v>
      </c>
      <c r="E1577" s="5" t="s">
        <v>16943</v>
      </c>
      <c r="F1577" s="5" t="s">
        <v>18932</v>
      </c>
      <c r="G1577" s="5" t="s">
        <v>860</v>
      </c>
      <c r="H1577" s="5">
        <v>1</v>
      </c>
      <c r="I1577" s="8" t="s">
        <v>8705</v>
      </c>
      <c r="J1577" s="8" t="s">
        <v>10754</v>
      </c>
      <c r="K1577" s="8" t="s">
        <v>2551</v>
      </c>
      <c r="L1577" s="8" t="s">
        <v>12805</v>
      </c>
      <c r="M1577" s="8" t="s">
        <v>4601</v>
      </c>
      <c r="N1577" s="8" t="s">
        <v>6652</v>
      </c>
      <c r="O1577" s="5" t="s">
        <v>141</v>
      </c>
      <c r="P1577" s="4">
        <v>45797</v>
      </c>
      <c r="Q1577" s="15">
        <v>52.99</v>
      </c>
      <c r="R1577" s="15">
        <v>39.26</v>
      </c>
      <c r="S1577" s="15">
        <v>0</v>
      </c>
      <c r="T1577"/>
    </row>
    <row r="1578" spans="1:20">
      <c r="A1578" s="5" t="s">
        <v>113</v>
      </c>
      <c r="B1578" s="5" t="s">
        <v>14905</v>
      </c>
      <c r="C1578" s="4">
        <v>45769</v>
      </c>
      <c r="D1578" s="4">
        <v>45770</v>
      </c>
      <c r="E1578" s="5" t="s">
        <v>16944</v>
      </c>
      <c r="F1578" s="5" t="s">
        <v>18933</v>
      </c>
      <c r="G1578" s="5" t="s">
        <v>905</v>
      </c>
      <c r="H1578" s="5">
        <v>1</v>
      </c>
      <c r="I1578" s="8" t="s">
        <v>8706</v>
      </c>
      <c r="J1578" s="8" t="s">
        <v>10755</v>
      </c>
      <c r="K1578" s="8" t="s">
        <v>2552</v>
      </c>
      <c r="L1578" s="8" t="s">
        <v>12806</v>
      </c>
      <c r="M1578" s="8" t="s">
        <v>4602</v>
      </c>
      <c r="N1578" s="8" t="s">
        <v>6653</v>
      </c>
      <c r="O1578" s="5" t="s">
        <v>125</v>
      </c>
      <c r="P1578" s="4">
        <v>45797</v>
      </c>
      <c r="Q1578" s="15">
        <v>26.99</v>
      </c>
      <c r="R1578" s="15">
        <v>16.190000000000001</v>
      </c>
      <c r="S1578" s="15">
        <v>0</v>
      </c>
      <c r="T1578"/>
    </row>
    <row r="1579" spans="1:20">
      <c r="A1579" s="5" t="s">
        <v>113</v>
      </c>
      <c r="B1579" s="5" t="s">
        <v>14906</v>
      </c>
      <c r="C1579" s="4">
        <v>45769</v>
      </c>
      <c r="D1579" s="4">
        <v>45770</v>
      </c>
      <c r="E1579" s="5" t="s">
        <v>16945</v>
      </c>
      <c r="F1579" s="5" t="s">
        <v>18934</v>
      </c>
      <c r="G1579" s="5" t="s">
        <v>836</v>
      </c>
      <c r="H1579" s="5">
        <v>1</v>
      </c>
      <c r="I1579" s="8" t="s">
        <v>8707</v>
      </c>
      <c r="J1579" s="8" t="s">
        <v>10756</v>
      </c>
      <c r="K1579" s="8" t="s">
        <v>2553</v>
      </c>
      <c r="L1579" s="8" t="s">
        <v>12807</v>
      </c>
      <c r="M1579" s="8" t="s">
        <v>4603</v>
      </c>
      <c r="N1579" s="8" t="s">
        <v>6654</v>
      </c>
      <c r="O1579" s="5" t="s">
        <v>143</v>
      </c>
      <c r="P1579" s="4">
        <v>45797</v>
      </c>
      <c r="Q1579" s="15">
        <v>32.67</v>
      </c>
      <c r="R1579" s="15">
        <v>17.3</v>
      </c>
      <c r="S1579" s="15">
        <v>0</v>
      </c>
      <c r="T1579"/>
    </row>
    <row r="1580" spans="1:20">
      <c r="A1580" s="5" t="s">
        <v>36</v>
      </c>
      <c r="B1580" s="5" t="s">
        <v>14907</v>
      </c>
      <c r="C1580" s="4">
        <v>45769</v>
      </c>
      <c r="D1580" s="4">
        <v>45769</v>
      </c>
      <c r="E1580" s="5" t="s">
        <v>16946</v>
      </c>
      <c r="F1580" s="5" t="s">
        <v>18935</v>
      </c>
      <c r="G1580" s="5" t="s">
        <v>849</v>
      </c>
      <c r="H1580" s="5">
        <v>1</v>
      </c>
      <c r="I1580" s="8" t="s">
        <v>8708</v>
      </c>
      <c r="J1580" s="8" t="s">
        <v>10757</v>
      </c>
      <c r="K1580" s="8" t="s">
        <v>2554</v>
      </c>
      <c r="L1580" s="8" t="s">
        <v>12808</v>
      </c>
      <c r="M1580" s="8" t="s">
        <v>4604</v>
      </c>
      <c r="N1580" s="8" t="s">
        <v>6655</v>
      </c>
      <c r="O1580" s="5" t="s">
        <v>61</v>
      </c>
      <c r="P1580" s="4">
        <v>45791</v>
      </c>
      <c r="Q1580" s="15">
        <v>65.739999999999995</v>
      </c>
      <c r="R1580" s="15">
        <v>36.049999999999997</v>
      </c>
      <c r="S1580" s="15">
        <v>0</v>
      </c>
      <c r="T1580"/>
    </row>
    <row r="1581" spans="1:20">
      <c r="A1581" s="5" t="s">
        <v>108</v>
      </c>
      <c r="B1581" s="5" t="s">
        <v>14908</v>
      </c>
      <c r="C1581" s="4">
        <v>45768</v>
      </c>
      <c r="D1581" s="4">
        <v>45769</v>
      </c>
      <c r="E1581" s="5" t="s">
        <v>16947</v>
      </c>
      <c r="F1581" s="5" t="s">
        <v>18936</v>
      </c>
      <c r="G1581" s="5" t="s">
        <v>849</v>
      </c>
      <c r="H1581" s="5">
        <v>1</v>
      </c>
      <c r="I1581" s="8" t="s">
        <v>8709</v>
      </c>
      <c r="J1581" s="8" t="s">
        <v>10758</v>
      </c>
      <c r="K1581" s="8" t="s">
        <v>2555</v>
      </c>
      <c r="L1581" s="8" t="s">
        <v>12809</v>
      </c>
      <c r="M1581" s="8" t="s">
        <v>4605</v>
      </c>
      <c r="N1581" s="8" t="s">
        <v>6656</v>
      </c>
      <c r="O1581" s="5" t="s">
        <v>111</v>
      </c>
      <c r="P1581" s="4">
        <v>45794</v>
      </c>
      <c r="Q1581" s="15">
        <v>65.739999999999995</v>
      </c>
      <c r="R1581" s="15">
        <v>22.4</v>
      </c>
      <c r="S1581" s="15">
        <v>0</v>
      </c>
      <c r="T1581"/>
    </row>
    <row r="1582" spans="1:20">
      <c r="A1582" s="5" t="s">
        <v>113</v>
      </c>
      <c r="B1582" s="5" t="s">
        <v>14909</v>
      </c>
      <c r="C1582" s="4">
        <v>45769</v>
      </c>
      <c r="D1582" s="4">
        <v>45770</v>
      </c>
      <c r="E1582" s="5" t="s">
        <v>16948</v>
      </c>
      <c r="F1582" s="5" t="s">
        <v>18937</v>
      </c>
      <c r="G1582" s="5" t="s">
        <v>905</v>
      </c>
      <c r="H1582" s="5">
        <v>1</v>
      </c>
      <c r="I1582" s="8" t="s">
        <v>8710</v>
      </c>
      <c r="J1582" s="8" t="s">
        <v>10759</v>
      </c>
      <c r="K1582" s="8" t="s">
        <v>2556</v>
      </c>
      <c r="L1582" s="8" t="s">
        <v>12810</v>
      </c>
      <c r="M1582" s="8" t="s">
        <v>4606</v>
      </c>
      <c r="N1582" s="8" t="s">
        <v>6657</v>
      </c>
      <c r="O1582" s="5" t="s">
        <v>125</v>
      </c>
      <c r="P1582" s="4">
        <v>45791</v>
      </c>
      <c r="Q1582" s="15">
        <v>26.99</v>
      </c>
      <c r="R1582" s="15">
        <v>0</v>
      </c>
      <c r="S1582" s="15">
        <v>0</v>
      </c>
      <c r="T1582"/>
    </row>
    <row r="1583" spans="1:20">
      <c r="A1583" s="5" t="s">
        <v>113</v>
      </c>
      <c r="B1583" s="5" t="s">
        <v>14910</v>
      </c>
      <c r="C1583" s="4">
        <v>45769</v>
      </c>
      <c r="D1583" s="4">
        <v>45770</v>
      </c>
      <c r="E1583" s="5" t="s">
        <v>16949</v>
      </c>
      <c r="F1583" s="5" t="s">
        <v>18938</v>
      </c>
      <c r="G1583" s="5" t="s">
        <v>905</v>
      </c>
      <c r="H1583" s="5">
        <v>1</v>
      </c>
      <c r="I1583" s="8" t="s">
        <v>8711</v>
      </c>
      <c r="J1583" s="8" t="s">
        <v>10760</v>
      </c>
      <c r="K1583" s="8" t="s">
        <v>2557</v>
      </c>
      <c r="L1583" s="8" t="s">
        <v>12811</v>
      </c>
      <c r="M1583" s="8" t="s">
        <v>4607</v>
      </c>
      <c r="N1583" s="8" t="s">
        <v>6658</v>
      </c>
      <c r="O1583" s="5" t="s">
        <v>125</v>
      </c>
      <c r="P1583" s="4">
        <v>45797</v>
      </c>
      <c r="Q1583" s="15">
        <v>26.99</v>
      </c>
      <c r="R1583" s="15">
        <v>10.57</v>
      </c>
      <c r="S1583" s="15">
        <v>0</v>
      </c>
      <c r="T1583"/>
    </row>
    <row r="1584" spans="1:20">
      <c r="A1584" s="5" t="s">
        <v>113</v>
      </c>
      <c r="B1584" s="5" t="s">
        <v>14911</v>
      </c>
      <c r="C1584" s="4">
        <v>45770</v>
      </c>
      <c r="D1584" s="4">
        <v>45770</v>
      </c>
      <c r="E1584" s="5" t="s">
        <v>16950</v>
      </c>
      <c r="F1584" s="5" t="s">
        <v>18939</v>
      </c>
      <c r="G1584" s="5" t="s">
        <v>905</v>
      </c>
      <c r="H1584" s="5">
        <v>1</v>
      </c>
      <c r="I1584" s="8" t="s">
        <v>8712</v>
      </c>
      <c r="J1584" s="8" t="s">
        <v>10761</v>
      </c>
      <c r="K1584" s="8" t="s">
        <v>2558</v>
      </c>
      <c r="L1584" s="8" t="s">
        <v>12812</v>
      </c>
      <c r="M1584" s="8" t="s">
        <v>4608</v>
      </c>
      <c r="N1584" s="8" t="s">
        <v>6659</v>
      </c>
      <c r="O1584" s="5" t="s">
        <v>125</v>
      </c>
      <c r="P1584" s="4">
        <v>45797</v>
      </c>
      <c r="Q1584" s="15">
        <v>26.99</v>
      </c>
      <c r="R1584" s="15">
        <v>16.190000000000001</v>
      </c>
      <c r="S1584" s="15">
        <v>0</v>
      </c>
      <c r="T1584"/>
    </row>
    <row r="1585" spans="1:20">
      <c r="A1585" s="5" t="s">
        <v>113</v>
      </c>
      <c r="B1585" s="5" t="s">
        <v>14912</v>
      </c>
      <c r="C1585" s="4">
        <v>45770</v>
      </c>
      <c r="D1585" s="4">
        <v>45770</v>
      </c>
      <c r="E1585" s="5" t="s">
        <v>16951</v>
      </c>
      <c r="F1585" s="5" t="s">
        <v>18940</v>
      </c>
      <c r="G1585" s="5" t="s">
        <v>889</v>
      </c>
      <c r="H1585" s="5">
        <v>1</v>
      </c>
      <c r="I1585" s="8" t="s">
        <v>8713</v>
      </c>
      <c r="J1585" s="8" t="s">
        <v>10762</v>
      </c>
      <c r="K1585" s="8" t="s">
        <v>2559</v>
      </c>
      <c r="L1585" s="8" t="s">
        <v>12813</v>
      </c>
      <c r="M1585" s="8" t="s">
        <v>4609</v>
      </c>
      <c r="N1585" s="8" t="s">
        <v>6660</v>
      </c>
      <c r="O1585" s="5" t="s">
        <v>145</v>
      </c>
      <c r="P1585" s="4">
        <v>45804</v>
      </c>
      <c r="Q1585" s="15">
        <v>49.99</v>
      </c>
      <c r="R1585" s="15">
        <v>0</v>
      </c>
      <c r="S1585" s="15">
        <v>0</v>
      </c>
      <c r="T1585"/>
    </row>
    <row r="1586" spans="1:20">
      <c r="A1586" s="5" t="s">
        <v>113</v>
      </c>
      <c r="B1586" s="5" t="s">
        <v>14913</v>
      </c>
      <c r="C1586" s="4">
        <v>45770</v>
      </c>
      <c r="D1586" s="4">
        <v>45770</v>
      </c>
      <c r="E1586" s="5" t="s">
        <v>16952</v>
      </c>
      <c r="F1586" s="5" t="s">
        <v>18941</v>
      </c>
      <c r="G1586" s="5" t="s">
        <v>833</v>
      </c>
      <c r="H1586" s="5">
        <v>1</v>
      </c>
      <c r="I1586" s="8" t="s">
        <v>8714</v>
      </c>
      <c r="J1586" s="8" t="s">
        <v>10763</v>
      </c>
      <c r="K1586" s="8" t="s">
        <v>2560</v>
      </c>
      <c r="L1586" s="8" t="s">
        <v>12814</v>
      </c>
      <c r="M1586" s="8" t="s">
        <v>4610</v>
      </c>
      <c r="N1586" s="8" t="s">
        <v>6661</v>
      </c>
      <c r="O1586" s="5" t="s">
        <v>147</v>
      </c>
      <c r="P1586" s="4">
        <v>45791</v>
      </c>
      <c r="Q1586" s="15">
        <v>22.7</v>
      </c>
      <c r="R1586" s="15">
        <v>0</v>
      </c>
      <c r="S1586" s="15">
        <v>0</v>
      </c>
      <c r="T1586"/>
    </row>
    <row r="1587" spans="1:20">
      <c r="A1587" s="5" t="s">
        <v>113</v>
      </c>
      <c r="B1587" s="5" t="s">
        <v>14914</v>
      </c>
      <c r="C1587" s="4">
        <v>45770</v>
      </c>
      <c r="D1587" s="4">
        <v>45770</v>
      </c>
      <c r="E1587" s="5" t="s">
        <v>16953</v>
      </c>
      <c r="F1587" s="5" t="s">
        <v>18942</v>
      </c>
      <c r="G1587" s="5" t="s">
        <v>833</v>
      </c>
      <c r="H1587" s="5">
        <v>1</v>
      </c>
      <c r="I1587" s="8" t="s">
        <v>8715</v>
      </c>
      <c r="J1587" s="8" t="s">
        <v>10764</v>
      </c>
      <c r="K1587" s="8" t="s">
        <v>2561</v>
      </c>
      <c r="L1587" s="8" t="s">
        <v>12815</v>
      </c>
      <c r="M1587" s="8" t="s">
        <v>4611</v>
      </c>
      <c r="N1587" s="8" t="s">
        <v>6662</v>
      </c>
      <c r="O1587" s="5" t="s">
        <v>147</v>
      </c>
      <c r="P1587" s="4">
        <v>45792</v>
      </c>
      <c r="Q1587" s="15">
        <v>22.7</v>
      </c>
      <c r="R1587" s="15">
        <v>11.92</v>
      </c>
      <c r="S1587" s="15">
        <v>0</v>
      </c>
      <c r="T1587"/>
    </row>
    <row r="1588" spans="1:20">
      <c r="A1588" s="5" t="s">
        <v>113</v>
      </c>
      <c r="B1588" s="5" t="s">
        <v>14915</v>
      </c>
      <c r="C1588" s="4">
        <v>45770</v>
      </c>
      <c r="D1588" s="4">
        <v>45770</v>
      </c>
      <c r="E1588" s="5" t="s">
        <v>16954</v>
      </c>
      <c r="F1588" s="5" t="s">
        <v>18943</v>
      </c>
      <c r="G1588" s="5" t="s">
        <v>905</v>
      </c>
      <c r="H1588" s="5">
        <v>1</v>
      </c>
      <c r="I1588" s="8" t="s">
        <v>8716</v>
      </c>
      <c r="J1588" s="8" t="s">
        <v>10765</v>
      </c>
      <c r="K1588" s="8" t="s">
        <v>2562</v>
      </c>
      <c r="L1588" s="8" t="s">
        <v>12816</v>
      </c>
      <c r="M1588" s="8" t="s">
        <v>4612</v>
      </c>
      <c r="N1588" s="8" t="s">
        <v>6663</v>
      </c>
      <c r="O1588" s="5" t="s">
        <v>125</v>
      </c>
      <c r="P1588" s="4">
        <v>45798</v>
      </c>
      <c r="Q1588" s="15">
        <v>26.99</v>
      </c>
      <c r="R1588" s="15">
        <v>16.190000000000001</v>
      </c>
      <c r="S1588" s="15">
        <v>0</v>
      </c>
      <c r="T1588"/>
    </row>
    <row r="1589" spans="1:20">
      <c r="A1589" s="5" t="s">
        <v>113</v>
      </c>
      <c r="B1589" s="5" t="s">
        <v>14916</v>
      </c>
      <c r="C1589" s="4">
        <v>45770</v>
      </c>
      <c r="D1589" s="4">
        <v>45770</v>
      </c>
      <c r="E1589" s="5" t="s">
        <v>16955</v>
      </c>
      <c r="F1589" s="5" t="s">
        <v>18944</v>
      </c>
      <c r="G1589" s="5" t="s">
        <v>833</v>
      </c>
      <c r="H1589" s="5">
        <v>1</v>
      </c>
      <c r="I1589" s="8" t="s">
        <v>8717</v>
      </c>
      <c r="J1589" s="8" t="s">
        <v>10766</v>
      </c>
      <c r="K1589" s="8" t="s">
        <v>2563</v>
      </c>
      <c r="L1589" s="8" t="s">
        <v>12817</v>
      </c>
      <c r="M1589" s="8" t="s">
        <v>4613</v>
      </c>
      <c r="N1589" s="8" t="s">
        <v>6664</v>
      </c>
      <c r="O1589" s="5" t="s">
        <v>147</v>
      </c>
      <c r="P1589" s="4">
        <v>45798</v>
      </c>
      <c r="Q1589" s="15">
        <v>22.7</v>
      </c>
      <c r="R1589" s="15">
        <v>14.71</v>
      </c>
      <c r="S1589" s="15">
        <v>0</v>
      </c>
      <c r="T1589"/>
    </row>
    <row r="1590" spans="1:20">
      <c r="A1590" s="5" t="s">
        <v>113</v>
      </c>
      <c r="B1590" s="5" t="s">
        <v>14917</v>
      </c>
      <c r="C1590" s="4">
        <v>45770</v>
      </c>
      <c r="D1590" s="4">
        <v>45770</v>
      </c>
      <c r="E1590" s="5" t="s">
        <v>16956</v>
      </c>
      <c r="F1590" s="5" t="s">
        <v>18945</v>
      </c>
      <c r="G1590" s="5" t="s">
        <v>860</v>
      </c>
      <c r="H1590" s="5">
        <v>1</v>
      </c>
      <c r="I1590" s="8" t="s">
        <v>8718</v>
      </c>
      <c r="J1590" s="8" t="s">
        <v>10767</v>
      </c>
      <c r="K1590" s="8" t="s">
        <v>2564</v>
      </c>
      <c r="L1590" s="8" t="s">
        <v>12818</v>
      </c>
      <c r="M1590" s="8" t="s">
        <v>4614</v>
      </c>
      <c r="N1590" s="8" t="s">
        <v>6665</v>
      </c>
      <c r="O1590" s="5" t="s">
        <v>141</v>
      </c>
      <c r="P1590" s="4">
        <v>45798</v>
      </c>
      <c r="Q1590" s="15">
        <v>52.99</v>
      </c>
      <c r="R1590" s="15">
        <v>30.69</v>
      </c>
      <c r="S1590" s="15">
        <v>0</v>
      </c>
      <c r="T1590"/>
    </row>
    <row r="1591" spans="1:20">
      <c r="A1591" s="5" t="s">
        <v>113</v>
      </c>
      <c r="B1591" s="5" t="s">
        <v>14918</v>
      </c>
      <c r="C1591" s="4">
        <v>45770</v>
      </c>
      <c r="D1591" s="4">
        <v>45770</v>
      </c>
      <c r="E1591" s="5" t="s">
        <v>16957</v>
      </c>
      <c r="F1591" s="5" t="s">
        <v>18946</v>
      </c>
      <c r="G1591" s="5" t="s">
        <v>905</v>
      </c>
      <c r="H1591" s="5">
        <v>1</v>
      </c>
      <c r="I1591" s="8" t="s">
        <v>8719</v>
      </c>
      <c r="J1591" s="8" t="s">
        <v>10768</v>
      </c>
      <c r="K1591" s="8" t="s">
        <v>2565</v>
      </c>
      <c r="L1591" s="8" t="s">
        <v>12819</v>
      </c>
      <c r="M1591" s="8" t="s">
        <v>4615</v>
      </c>
      <c r="N1591" s="8" t="s">
        <v>6666</v>
      </c>
      <c r="O1591" s="5" t="s">
        <v>125</v>
      </c>
      <c r="P1591" s="4">
        <v>45792</v>
      </c>
      <c r="Q1591" s="15">
        <v>26.99</v>
      </c>
      <c r="R1591" s="15">
        <v>0</v>
      </c>
      <c r="S1591" s="15">
        <v>0</v>
      </c>
      <c r="T1591"/>
    </row>
    <row r="1592" spans="1:20">
      <c r="A1592" s="5" t="s">
        <v>108</v>
      </c>
      <c r="B1592" s="5" t="s">
        <v>14919</v>
      </c>
      <c r="C1592" s="4">
        <v>45770</v>
      </c>
      <c r="D1592" s="4">
        <v>45770</v>
      </c>
      <c r="E1592" s="5" t="s">
        <v>16958</v>
      </c>
      <c r="F1592" s="5" t="s">
        <v>18947</v>
      </c>
      <c r="G1592" s="5" t="s">
        <v>849</v>
      </c>
      <c r="H1592" s="5">
        <v>1</v>
      </c>
      <c r="I1592" s="8" t="s">
        <v>8720</v>
      </c>
      <c r="J1592" s="8" t="s">
        <v>10769</v>
      </c>
      <c r="K1592" s="8" t="s">
        <v>2566</v>
      </c>
      <c r="L1592" s="8" t="s">
        <v>12820</v>
      </c>
      <c r="M1592" s="8" t="s">
        <v>4616</v>
      </c>
      <c r="N1592" s="8" t="s">
        <v>6667</v>
      </c>
      <c r="O1592" s="5" t="s">
        <v>111</v>
      </c>
      <c r="P1592" s="4">
        <v>45798</v>
      </c>
      <c r="Q1592" s="15">
        <v>65.739999999999995</v>
      </c>
      <c r="R1592" s="15">
        <v>0</v>
      </c>
      <c r="S1592" s="15">
        <v>0</v>
      </c>
      <c r="T1592"/>
    </row>
    <row r="1593" spans="1:20">
      <c r="A1593" s="5" t="s">
        <v>113</v>
      </c>
      <c r="B1593" s="5" t="s">
        <v>14920</v>
      </c>
      <c r="C1593" s="4">
        <v>45770</v>
      </c>
      <c r="D1593" s="4">
        <v>45771</v>
      </c>
      <c r="E1593" s="5" t="s">
        <v>16959</v>
      </c>
      <c r="F1593" s="5" t="s">
        <v>18948</v>
      </c>
      <c r="G1593" s="5" t="s">
        <v>905</v>
      </c>
      <c r="H1593" s="5">
        <v>1</v>
      </c>
      <c r="I1593" s="8" t="s">
        <v>8721</v>
      </c>
      <c r="J1593" s="8" t="s">
        <v>10770</v>
      </c>
      <c r="K1593" s="8" t="s">
        <v>2567</v>
      </c>
      <c r="L1593" s="8" t="s">
        <v>12821</v>
      </c>
      <c r="M1593" s="8" t="s">
        <v>4617</v>
      </c>
      <c r="N1593" s="8" t="s">
        <v>6668</v>
      </c>
      <c r="O1593" s="5" t="s">
        <v>125</v>
      </c>
      <c r="P1593" s="4">
        <v>45798</v>
      </c>
      <c r="Q1593" s="15">
        <v>26.99</v>
      </c>
      <c r="R1593" s="15">
        <v>16.149999999999999</v>
      </c>
      <c r="S1593" s="15">
        <v>0</v>
      </c>
      <c r="T1593"/>
    </row>
    <row r="1594" spans="1:20">
      <c r="A1594" s="5" t="s">
        <v>113</v>
      </c>
      <c r="B1594" s="5" t="s">
        <v>14921</v>
      </c>
      <c r="C1594" s="4">
        <v>45770</v>
      </c>
      <c r="D1594" s="4">
        <v>45771</v>
      </c>
      <c r="E1594" s="5" t="s">
        <v>16960</v>
      </c>
      <c r="F1594" s="5" t="s">
        <v>18949</v>
      </c>
      <c r="G1594" s="5" t="s">
        <v>831</v>
      </c>
      <c r="H1594" s="5">
        <v>1</v>
      </c>
      <c r="I1594" s="8" t="s">
        <v>8722</v>
      </c>
      <c r="J1594" s="8" t="s">
        <v>10771</v>
      </c>
      <c r="K1594" s="8" t="s">
        <v>2568</v>
      </c>
      <c r="L1594" s="8" t="s">
        <v>12822</v>
      </c>
      <c r="M1594" s="8" t="s">
        <v>4618</v>
      </c>
      <c r="N1594" s="8" t="s">
        <v>6669</v>
      </c>
      <c r="O1594" s="5" t="s">
        <v>139</v>
      </c>
      <c r="P1594" s="4">
        <v>45798</v>
      </c>
      <c r="Q1594" s="15">
        <v>64.89</v>
      </c>
      <c r="R1594" s="15">
        <v>36.04</v>
      </c>
      <c r="S1594" s="15">
        <v>0</v>
      </c>
      <c r="T1594"/>
    </row>
    <row r="1595" spans="1:20">
      <c r="A1595" s="5" t="s">
        <v>113</v>
      </c>
      <c r="B1595" s="5" t="s">
        <v>14922</v>
      </c>
      <c r="C1595" s="4">
        <v>45770</v>
      </c>
      <c r="D1595" s="4">
        <v>45771</v>
      </c>
      <c r="E1595" s="5" t="s">
        <v>16961</v>
      </c>
      <c r="F1595" s="5" t="s">
        <v>18950</v>
      </c>
      <c r="G1595" s="5" t="s">
        <v>860</v>
      </c>
      <c r="H1595" s="5">
        <v>1</v>
      </c>
      <c r="I1595" s="8" t="s">
        <v>8723</v>
      </c>
      <c r="J1595" s="8" t="s">
        <v>10772</v>
      </c>
      <c r="K1595" s="8" t="s">
        <v>2569</v>
      </c>
      <c r="L1595" s="8" t="s">
        <v>12823</v>
      </c>
      <c r="M1595" s="8" t="s">
        <v>4619</v>
      </c>
      <c r="N1595" s="8" t="s">
        <v>6670</v>
      </c>
      <c r="O1595" s="5" t="s">
        <v>141</v>
      </c>
      <c r="P1595" s="4">
        <v>45798</v>
      </c>
      <c r="Q1595" s="15">
        <v>52.99</v>
      </c>
      <c r="R1595" s="15">
        <v>31.74</v>
      </c>
      <c r="S1595" s="15">
        <v>0</v>
      </c>
      <c r="T1595"/>
    </row>
    <row r="1596" spans="1:20">
      <c r="A1596" s="5" t="s">
        <v>113</v>
      </c>
      <c r="B1596" s="5" t="s">
        <v>14923</v>
      </c>
      <c r="C1596" s="4">
        <v>45771</v>
      </c>
      <c r="D1596" s="4">
        <v>45771</v>
      </c>
      <c r="E1596" s="5" t="s">
        <v>16962</v>
      </c>
      <c r="F1596" s="5" t="s">
        <v>18951</v>
      </c>
      <c r="G1596" s="5" t="s">
        <v>845</v>
      </c>
      <c r="H1596" s="5">
        <v>1</v>
      </c>
      <c r="I1596" s="8" t="s">
        <v>8724</v>
      </c>
      <c r="J1596" s="8" t="s">
        <v>10773</v>
      </c>
      <c r="K1596" s="8" t="s">
        <v>2570</v>
      </c>
      <c r="L1596" s="8" t="s">
        <v>12824</v>
      </c>
      <c r="M1596" s="8" t="s">
        <v>4620</v>
      </c>
      <c r="N1596" s="8" t="s">
        <v>6671</v>
      </c>
      <c r="O1596" s="5" t="s">
        <v>137</v>
      </c>
      <c r="P1596" s="4">
        <v>45799</v>
      </c>
      <c r="Q1596" s="15">
        <v>49.9</v>
      </c>
      <c r="R1596" s="15">
        <v>21.28</v>
      </c>
      <c r="S1596" s="15">
        <v>0</v>
      </c>
      <c r="T1596"/>
    </row>
    <row r="1597" spans="1:20">
      <c r="A1597" s="5" t="s">
        <v>113</v>
      </c>
      <c r="B1597" s="5" t="s">
        <v>14924</v>
      </c>
      <c r="C1597" s="4">
        <v>45771</v>
      </c>
      <c r="D1597" s="4">
        <v>45771</v>
      </c>
      <c r="E1597" s="5" t="s">
        <v>16963</v>
      </c>
      <c r="F1597" s="5" t="s">
        <v>18952</v>
      </c>
      <c r="G1597" s="5" t="s">
        <v>845</v>
      </c>
      <c r="H1597" s="5">
        <v>1</v>
      </c>
      <c r="I1597" s="8" t="s">
        <v>8725</v>
      </c>
      <c r="J1597" s="8" t="s">
        <v>10774</v>
      </c>
      <c r="K1597" s="8" t="s">
        <v>2571</v>
      </c>
      <c r="L1597" s="8" t="s">
        <v>12825</v>
      </c>
      <c r="M1597" s="8" t="s">
        <v>4621</v>
      </c>
      <c r="N1597" s="8" t="s">
        <v>6672</v>
      </c>
      <c r="O1597" s="5" t="s">
        <v>137</v>
      </c>
      <c r="P1597" s="4">
        <v>45799</v>
      </c>
      <c r="Q1597" s="15">
        <v>49.9</v>
      </c>
      <c r="R1597" s="15">
        <v>22.12</v>
      </c>
      <c r="S1597" s="15">
        <v>0</v>
      </c>
      <c r="T1597"/>
    </row>
    <row r="1598" spans="1:20">
      <c r="A1598" s="5" t="s">
        <v>113</v>
      </c>
      <c r="B1598" s="5" t="s">
        <v>14925</v>
      </c>
      <c r="C1598" s="4">
        <v>45771</v>
      </c>
      <c r="D1598" s="4">
        <v>45772</v>
      </c>
      <c r="E1598" s="5" t="s">
        <v>16964</v>
      </c>
      <c r="F1598" s="5" t="s">
        <v>18953</v>
      </c>
      <c r="G1598" s="5" t="s">
        <v>905</v>
      </c>
      <c r="H1598" s="5">
        <v>1</v>
      </c>
      <c r="I1598" s="8" t="s">
        <v>8726</v>
      </c>
      <c r="J1598" s="8" t="s">
        <v>10775</v>
      </c>
      <c r="K1598" s="8" t="s">
        <v>2572</v>
      </c>
      <c r="L1598" s="8" t="s">
        <v>12826</v>
      </c>
      <c r="M1598" s="8" t="s">
        <v>4622</v>
      </c>
      <c r="N1598" s="8" t="s">
        <v>6673</v>
      </c>
      <c r="O1598" s="5" t="s">
        <v>125</v>
      </c>
      <c r="P1598" s="4">
        <v>45793</v>
      </c>
      <c r="Q1598" s="15">
        <v>26.99</v>
      </c>
      <c r="R1598" s="15">
        <v>10.15</v>
      </c>
      <c r="S1598" s="15">
        <v>0</v>
      </c>
      <c r="T1598"/>
    </row>
    <row r="1599" spans="1:20">
      <c r="A1599" s="5" t="s">
        <v>113</v>
      </c>
      <c r="B1599" s="5" t="s">
        <v>14926</v>
      </c>
      <c r="C1599" s="4">
        <v>45771</v>
      </c>
      <c r="D1599" s="4">
        <v>45772</v>
      </c>
      <c r="E1599" s="5" t="s">
        <v>16965</v>
      </c>
      <c r="F1599" s="5" t="s">
        <v>18954</v>
      </c>
      <c r="G1599" s="5" t="s">
        <v>855</v>
      </c>
      <c r="H1599" s="5">
        <v>1</v>
      </c>
      <c r="I1599" s="8" t="s">
        <v>8727</v>
      </c>
      <c r="J1599" s="8" t="s">
        <v>10776</v>
      </c>
      <c r="K1599" s="8" t="s">
        <v>2573</v>
      </c>
      <c r="L1599" s="8" t="s">
        <v>12827</v>
      </c>
      <c r="M1599" s="8" t="s">
        <v>4623</v>
      </c>
      <c r="N1599" s="8" t="s">
        <v>6674</v>
      </c>
      <c r="O1599" s="5" t="s">
        <v>138</v>
      </c>
      <c r="P1599" s="4">
        <v>45806</v>
      </c>
      <c r="Q1599" s="15">
        <v>29.95</v>
      </c>
      <c r="R1599" s="15">
        <v>18.75</v>
      </c>
      <c r="S1599" s="15">
        <v>0</v>
      </c>
      <c r="T1599"/>
    </row>
    <row r="1600" spans="1:20">
      <c r="A1600" s="5" t="s">
        <v>113</v>
      </c>
      <c r="B1600" s="5" t="s">
        <v>14927</v>
      </c>
      <c r="C1600" s="4">
        <v>45772</v>
      </c>
      <c r="D1600" s="4">
        <v>45772</v>
      </c>
      <c r="E1600" s="5" t="s">
        <v>16966</v>
      </c>
      <c r="F1600" s="5" t="s">
        <v>18955</v>
      </c>
      <c r="G1600" s="5" t="s">
        <v>860</v>
      </c>
      <c r="H1600" s="5">
        <v>1</v>
      </c>
      <c r="I1600" s="8" t="s">
        <v>8728</v>
      </c>
      <c r="J1600" s="8" t="s">
        <v>10777</v>
      </c>
      <c r="K1600" s="8" t="s">
        <v>2574</v>
      </c>
      <c r="L1600" s="8" t="s">
        <v>12828</v>
      </c>
      <c r="M1600" s="8" t="s">
        <v>4624</v>
      </c>
      <c r="N1600" s="8" t="s">
        <v>6675</v>
      </c>
      <c r="O1600" s="5" t="s">
        <v>141</v>
      </c>
      <c r="P1600" s="4">
        <v>45800</v>
      </c>
      <c r="Q1600" s="15">
        <v>52.99</v>
      </c>
      <c r="R1600" s="15">
        <v>37.880000000000003</v>
      </c>
      <c r="S1600" s="15">
        <v>0</v>
      </c>
      <c r="T1600"/>
    </row>
    <row r="1601" spans="1:20">
      <c r="A1601" s="5" t="s">
        <v>113</v>
      </c>
      <c r="B1601" s="5" t="s">
        <v>14928</v>
      </c>
      <c r="C1601" s="4">
        <v>45772</v>
      </c>
      <c r="D1601" s="4">
        <v>45772</v>
      </c>
      <c r="E1601" s="5" t="s">
        <v>16967</v>
      </c>
      <c r="F1601" s="5" t="s">
        <v>18956</v>
      </c>
      <c r="G1601" s="5" t="s">
        <v>845</v>
      </c>
      <c r="H1601" s="5">
        <v>1</v>
      </c>
      <c r="I1601" s="8" t="s">
        <v>8729</v>
      </c>
      <c r="J1601" s="8" t="s">
        <v>10778</v>
      </c>
      <c r="K1601" s="8" t="s">
        <v>2575</v>
      </c>
      <c r="L1601" s="8" t="s">
        <v>12829</v>
      </c>
      <c r="M1601" s="8" t="s">
        <v>4625</v>
      </c>
      <c r="N1601" s="8" t="s">
        <v>6676</v>
      </c>
      <c r="O1601" s="5" t="s">
        <v>137</v>
      </c>
      <c r="P1601" s="4">
        <v>45807</v>
      </c>
      <c r="Q1601" s="15">
        <v>49.9</v>
      </c>
      <c r="R1601" s="15">
        <v>14.14</v>
      </c>
      <c r="S1601" s="15">
        <v>0</v>
      </c>
      <c r="T1601"/>
    </row>
    <row r="1602" spans="1:20">
      <c r="A1602" s="5" t="s">
        <v>113</v>
      </c>
      <c r="B1602" s="5" t="s">
        <v>14929</v>
      </c>
      <c r="C1602" s="4">
        <v>45773</v>
      </c>
      <c r="D1602" s="4">
        <v>45775</v>
      </c>
      <c r="E1602" s="5" t="s">
        <v>16968</v>
      </c>
      <c r="F1602" s="5" t="s">
        <v>18957</v>
      </c>
      <c r="G1602" s="5" t="s">
        <v>845</v>
      </c>
      <c r="H1602" s="5">
        <v>1</v>
      </c>
      <c r="I1602" s="8" t="s">
        <v>8730</v>
      </c>
      <c r="J1602" s="8" t="s">
        <v>10779</v>
      </c>
      <c r="K1602" s="8" t="s">
        <v>2576</v>
      </c>
      <c r="L1602" s="8" t="s">
        <v>12830</v>
      </c>
      <c r="M1602" s="8" t="s">
        <v>4626</v>
      </c>
      <c r="N1602" s="8" t="s">
        <v>6677</v>
      </c>
      <c r="O1602" s="5" t="s">
        <v>137</v>
      </c>
      <c r="P1602" s="4">
        <v>45800</v>
      </c>
      <c r="Q1602" s="15">
        <v>49.9</v>
      </c>
      <c r="R1602" s="15">
        <v>0</v>
      </c>
      <c r="S1602" s="15">
        <v>0</v>
      </c>
      <c r="T1602"/>
    </row>
    <row r="1603" spans="1:20">
      <c r="A1603" s="5" t="s">
        <v>113</v>
      </c>
      <c r="B1603" s="5" t="s">
        <v>14930</v>
      </c>
      <c r="C1603" s="4">
        <v>45773</v>
      </c>
      <c r="D1603" s="4" t="s">
        <v>37</v>
      </c>
      <c r="E1603" s="5" t="s">
        <v>37</v>
      </c>
      <c r="F1603" s="5" t="s">
        <v>37</v>
      </c>
      <c r="G1603" s="5" t="s">
        <v>905</v>
      </c>
      <c r="H1603" s="5">
        <v>1</v>
      </c>
      <c r="I1603" s="8" t="s">
        <v>8731</v>
      </c>
      <c r="J1603" s="8" t="s">
        <v>10780</v>
      </c>
      <c r="K1603" s="8" t="s">
        <v>2577</v>
      </c>
      <c r="L1603" s="8" t="s">
        <v>12831</v>
      </c>
      <c r="M1603" s="8" t="s">
        <v>4627</v>
      </c>
      <c r="N1603" s="8" t="s">
        <v>6678</v>
      </c>
      <c r="O1603" s="5" t="s">
        <v>125</v>
      </c>
      <c r="P1603" s="4">
        <v>45800</v>
      </c>
      <c r="Q1603" s="15">
        <v>23.99</v>
      </c>
      <c r="R1603" s="15">
        <v>18.8</v>
      </c>
      <c r="S1603" s="15">
        <v>0</v>
      </c>
      <c r="T1603"/>
    </row>
    <row r="1604" spans="1:20">
      <c r="A1604" s="5" t="s">
        <v>113</v>
      </c>
      <c r="B1604" s="5" t="s">
        <v>14931</v>
      </c>
      <c r="C1604" s="4">
        <v>45773</v>
      </c>
      <c r="D1604" s="4">
        <v>45775</v>
      </c>
      <c r="E1604" s="5" t="s">
        <v>16969</v>
      </c>
      <c r="F1604" s="5" t="s">
        <v>18958</v>
      </c>
      <c r="G1604" s="5" t="s">
        <v>860</v>
      </c>
      <c r="H1604" s="5">
        <v>1</v>
      </c>
      <c r="I1604" s="8" t="s">
        <v>8732</v>
      </c>
      <c r="J1604" s="8" t="s">
        <v>10781</v>
      </c>
      <c r="K1604" s="8" t="s">
        <v>2578</v>
      </c>
      <c r="L1604" s="8" t="s">
        <v>12832</v>
      </c>
      <c r="M1604" s="8" t="s">
        <v>4628</v>
      </c>
      <c r="N1604" s="8" t="s">
        <v>6679</v>
      </c>
      <c r="O1604" s="5" t="s">
        <v>141</v>
      </c>
      <c r="P1604" s="4">
        <v>45807</v>
      </c>
      <c r="Q1604" s="15">
        <v>49.99</v>
      </c>
      <c r="R1604" s="15">
        <v>0</v>
      </c>
      <c r="S1604" s="15">
        <v>0</v>
      </c>
      <c r="T1604"/>
    </row>
    <row r="1605" spans="1:20">
      <c r="A1605" s="5" t="s">
        <v>113</v>
      </c>
      <c r="B1605" s="5" t="s">
        <v>14932</v>
      </c>
      <c r="C1605" s="4">
        <v>45773</v>
      </c>
      <c r="D1605" s="4">
        <v>45779</v>
      </c>
      <c r="E1605" s="5" t="s">
        <v>16970</v>
      </c>
      <c r="F1605" s="5" t="s">
        <v>18959</v>
      </c>
      <c r="G1605" s="5" t="s">
        <v>905</v>
      </c>
      <c r="H1605" s="5">
        <v>1</v>
      </c>
      <c r="I1605" s="8" t="s">
        <v>8733</v>
      </c>
      <c r="J1605" s="8" t="s">
        <v>10782</v>
      </c>
      <c r="K1605" s="8" t="s">
        <v>2579</v>
      </c>
      <c r="L1605" s="8" t="s">
        <v>12833</v>
      </c>
      <c r="M1605" s="8" t="s">
        <v>4629</v>
      </c>
      <c r="N1605" s="8" t="s">
        <v>6680</v>
      </c>
      <c r="O1605" s="5" t="s">
        <v>125</v>
      </c>
      <c r="P1605" s="4">
        <v>45800</v>
      </c>
      <c r="Q1605" s="15">
        <v>23.99</v>
      </c>
      <c r="R1605" s="15">
        <v>19.309999999999999</v>
      </c>
      <c r="S1605" s="15">
        <v>0</v>
      </c>
      <c r="T1605"/>
    </row>
    <row r="1606" spans="1:20">
      <c r="A1606" s="5" t="s">
        <v>113</v>
      </c>
      <c r="B1606" s="5" t="s">
        <v>14933</v>
      </c>
      <c r="C1606" s="4">
        <v>45774</v>
      </c>
      <c r="D1606" s="4">
        <v>45775</v>
      </c>
      <c r="E1606" s="5" t="s">
        <v>16971</v>
      </c>
      <c r="F1606" s="5" t="s">
        <v>18960</v>
      </c>
      <c r="G1606" s="5" t="s">
        <v>831</v>
      </c>
      <c r="H1606" s="5">
        <v>1</v>
      </c>
      <c r="I1606" s="8" t="s">
        <v>8734</v>
      </c>
      <c r="J1606" s="8" t="s">
        <v>10783</v>
      </c>
      <c r="K1606" s="8" t="s">
        <v>2580</v>
      </c>
      <c r="L1606" s="8" t="s">
        <v>12834</v>
      </c>
      <c r="M1606" s="8" t="s">
        <v>4630</v>
      </c>
      <c r="N1606" s="8" t="s">
        <v>6681</v>
      </c>
      <c r="O1606" s="5" t="s">
        <v>139</v>
      </c>
      <c r="P1606" s="4">
        <v>45800</v>
      </c>
      <c r="Q1606" s="15">
        <v>49.9</v>
      </c>
      <c r="R1606" s="15">
        <v>22.48</v>
      </c>
      <c r="S1606" s="15">
        <v>0</v>
      </c>
      <c r="T1606"/>
    </row>
    <row r="1607" spans="1:20">
      <c r="A1607" s="5" t="s">
        <v>113</v>
      </c>
      <c r="B1607" s="5" t="s">
        <v>14934</v>
      </c>
      <c r="C1607" s="4">
        <v>45774</v>
      </c>
      <c r="D1607" s="4">
        <v>45775</v>
      </c>
      <c r="E1607" s="5" t="s">
        <v>16972</v>
      </c>
      <c r="F1607" s="5" t="s">
        <v>18961</v>
      </c>
      <c r="G1607" s="5" t="s">
        <v>831</v>
      </c>
      <c r="H1607" s="5">
        <v>1</v>
      </c>
      <c r="I1607" s="8" t="s">
        <v>8735</v>
      </c>
      <c r="J1607" s="8" t="s">
        <v>10784</v>
      </c>
      <c r="K1607" s="8" t="s">
        <v>2581</v>
      </c>
      <c r="L1607" s="8" t="s">
        <v>12835</v>
      </c>
      <c r="M1607" s="8" t="s">
        <v>4631</v>
      </c>
      <c r="N1607" s="8" t="s">
        <v>6682</v>
      </c>
      <c r="O1607" s="5" t="s">
        <v>139</v>
      </c>
      <c r="P1607" s="4">
        <v>45800</v>
      </c>
      <c r="Q1607" s="15">
        <v>49.9</v>
      </c>
      <c r="R1607" s="15">
        <v>0</v>
      </c>
      <c r="S1607" s="15">
        <v>0</v>
      </c>
      <c r="T1607"/>
    </row>
    <row r="1608" spans="1:20">
      <c r="A1608" s="5" t="s">
        <v>113</v>
      </c>
      <c r="B1608" s="5" t="s">
        <v>14935</v>
      </c>
      <c r="C1608" s="4">
        <v>45774</v>
      </c>
      <c r="D1608" s="4">
        <v>45775</v>
      </c>
      <c r="E1608" s="5" t="s">
        <v>16973</v>
      </c>
      <c r="F1608" s="5" t="s">
        <v>18962</v>
      </c>
      <c r="G1608" s="5" t="s">
        <v>889</v>
      </c>
      <c r="H1608" s="5">
        <v>1</v>
      </c>
      <c r="I1608" s="8" t="s">
        <v>8736</v>
      </c>
      <c r="J1608" s="8" t="s">
        <v>10785</v>
      </c>
      <c r="K1608" s="8" t="s">
        <v>2582</v>
      </c>
      <c r="L1608" s="8" t="s">
        <v>12836</v>
      </c>
      <c r="M1608" s="8" t="s">
        <v>4632</v>
      </c>
      <c r="N1608" s="8" t="s">
        <v>6683</v>
      </c>
      <c r="O1608" s="5" t="s">
        <v>145</v>
      </c>
      <c r="P1608" s="4">
        <v>45800</v>
      </c>
      <c r="Q1608" s="15">
        <v>49.99</v>
      </c>
      <c r="R1608" s="15">
        <v>17.78</v>
      </c>
      <c r="S1608" s="15">
        <v>0</v>
      </c>
      <c r="T1608"/>
    </row>
    <row r="1609" spans="1:20">
      <c r="A1609" s="5" t="s">
        <v>113</v>
      </c>
      <c r="B1609" s="5" t="s">
        <v>14936</v>
      </c>
      <c r="C1609" s="4">
        <v>45774</v>
      </c>
      <c r="D1609" s="4">
        <v>45776</v>
      </c>
      <c r="E1609" s="5" t="s">
        <v>16974</v>
      </c>
      <c r="F1609" s="5" t="s">
        <v>18963</v>
      </c>
      <c r="G1609" s="5" t="s">
        <v>855</v>
      </c>
      <c r="H1609" s="5">
        <v>1</v>
      </c>
      <c r="I1609" s="8" t="s">
        <v>8737</v>
      </c>
      <c r="J1609" s="8" t="s">
        <v>10786</v>
      </c>
      <c r="K1609" s="8" t="s">
        <v>2583</v>
      </c>
      <c r="L1609" s="8" t="s">
        <v>12837</v>
      </c>
      <c r="M1609" s="8" t="s">
        <v>4633</v>
      </c>
      <c r="N1609" s="8" t="s">
        <v>6684</v>
      </c>
      <c r="O1609" s="5" t="s">
        <v>138</v>
      </c>
      <c r="P1609" s="4">
        <v>45800</v>
      </c>
      <c r="Q1609" s="15">
        <v>35.99</v>
      </c>
      <c r="R1609" s="15">
        <v>21.22</v>
      </c>
      <c r="S1609" s="15">
        <v>0</v>
      </c>
      <c r="T1609"/>
    </row>
    <row r="1610" spans="1:20">
      <c r="A1610" s="5" t="s">
        <v>113</v>
      </c>
      <c r="B1610" s="5" t="s">
        <v>14937</v>
      </c>
      <c r="C1610" s="4">
        <v>45774</v>
      </c>
      <c r="D1610" s="4">
        <v>45779</v>
      </c>
      <c r="E1610" s="5" t="s">
        <v>16975</v>
      </c>
      <c r="F1610" s="5" t="s">
        <v>18964</v>
      </c>
      <c r="G1610" s="5" t="s">
        <v>905</v>
      </c>
      <c r="H1610" s="5">
        <v>1</v>
      </c>
      <c r="I1610" s="8" t="s">
        <v>8738</v>
      </c>
      <c r="J1610" s="8" t="s">
        <v>10787</v>
      </c>
      <c r="K1610" s="8" t="s">
        <v>2584</v>
      </c>
      <c r="L1610" s="8" t="s">
        <v>12838</v>
      </c>
      <c r="M1610" s="8" t="s">
        <v>4634</v>
      </c>
      <c r="N1610" s="8" t="s">
        <v>6685</v>
      </c>
      <c r="O1610" s="5" t="s">
        <v>125</v>
      </c>
      <c r="P1610" s="4">
        <v>45794</v>
      </c>
      <c r="Q1610" s="15">
        <v>23.99</v>
      </c>
      <c r="R1610" s="15">
        <v>0</v>
      </c>
      <c r="S1610" s="15">
        <v>0</v>
      </c>
      <c r="T1610"/>
    </row>
    <row r="1611" spans="1:20">
      <c r="A1611" s="5" t="s">
        <v>113</v>
      </c>
      <c r="B1611" s="5" t="s">
        <v>14938</v>
      </c>
      <c r="C1611" s="4">
        <v>45774</v>
      </c>
      <c r="D1611" s="4">
        <v>45775</v>
      </c>
      <c r="E1611" s="5" t="s">
        <v>16976</v>
      </c>
      <c r="F1611" s="5" t="s">
        <v>18965</v>
      </c>
      <c r="G1611" s="5" t="s">
        <v>845</v>
      </c>
      <c r="H1611" s="5">
        <v>1</v>
      </c>
      <c r="I1611" s="8" t="s">
        <v>8739</v>
      </c>
      <c r="J1611" s="8" t="s">
        <v>10788</v>
      </c>
      <c r="K1611" s="8" t="s">
        <v>2585</v>
      </c>
      <c r="L1611" s="8" t="s">
        <v>12839</v>
      </c>
      <c r="M1611" s="8" t="s">
        <v>4635</v>
      </c>
      <c r="N1611" s="8" t="s">
        <v>6686</v>
      </c>
      <c r="O1611" s="5" t="s">
        <v>137</v>
      </c>
      <c r="P1611" s="4">
        <v>45794</v>
      </c>
      <c r="Q1611" s="15">
        <v>49.9</v>
      </c>
      <c r="R1611" s="15">
        <v>0</v>
      </c>
      <c r="S1611" s="15">
        <v>0</v>
      </c>
      <c r="T1611"/>
    </row>
    <row r="1612" spans="1:20">
      <c r="A1612" s="5" t="s">
        <v>113</v>
      </c>
      <c r="B1612" s="5" t="s">
        <v>14939</v>
      </c>
      <c r="C1612" s="4">
        <v>45774</v>
      </c>
      <c r="D1612" s="4">
        <v>45775</v>
      </c>
      <c r="E1612" s="5" t="s">
        <v>16977</v>
      </c>
      <c r="F1612" s="5" t="s">
        <v>18966</v>
      </c>
      <c r="G1612" s="5" t="s">
        <v>831</v>
      </c>
      <c r="H1612" s="5">
        <v>1</v>
      </c>
      <c r="I1612" s="8" t="s">
        <v>8740</v>
      </c>
      <c r="J1612" s="8" t="s">
        <v>10789</v>
      </c>
      <c r="K1612" s="8" t="s">
        <v>2586</v>
      </c>
      <c r="L1612" s="8" t="s">
        <v>12840</v>
      </c>
      <c r="M1612" s="8" t="s">
        <v>4636</v>
      </c>
      <c r="N1612" s="8" t="s">
        <v>6687</v>
      </c>
      <c r="O1612" s="5" t="s">
        <v>139</v>
      </c>
      <c r="P1612" s="4">
        <v>45800</v>
      </c>
      <c r="Q1612" s="15">
        <v>49.9</v>
      </c>
      <c r="R1612" s="15">
        <v>0</v>
      </c>
      <c r="S1612" s="15">
        <v>0</v>
      </c>
      <c r="T1612"/>
    </row>
    <row r="1613" spans="1:20">
      <c r="A1613" s="5" t="s">
        <v>113</v>
      </c>
      <c r="B1613" s="5" t="s">
        <v>14940</v>
      </c>
      <c r="C1613" s="4">
        <v>45774</v>
      </c>
      <c r="D1613" s="4">
        <v>45779</v>
      </c>
      <c r="E1613" s="5" t="s">
        <v>16978</v>
      </c>
      <c r="F1613" s="5" t="s">
        <v>18967</v>
      </c>
      <c r="G1613" s="5" t="s">
        <v>905</v>
      </c>
      <c r="H1613" s="5">
        <v>1</v>
      </c>
      <c r="I1613" s="8" t="s">
        <v>8741</v>
      </c>
      <c r="J1613" s="8" t="s">
        <v>10790</v>
      </c>
      <c r="K1613" s="8" t="s">
        <v>2587</v>
      </c>
      <c r="L1613" s="8" t="s">
        <v>12841</v>
      </c>
      <c r="M1613" s="8" t="s">
        <v>4637</v>
      </c>
      <c r="N1613" s="8" t="s">
        <v>6688</v>
      </c>
      <c r="O1613" s="5" t="s">
        <v>125</v>
      </c>
      <c r="P1613" s="4">
        <v>45794</v>
      </c>
      <c r="Q1613" s="15">
        <v>23.99</v>
      </c>
      <c r="R1613" s="15">
        <v>0</v>
      </c>
      <c r="S1613" s="15">
        <v>0</v>
      </c>
      <c r="T1613"/>
    </row>
    <row r="1614" spans="1:20">
      <c r="A1614" s="5" t="s">
        <v>113</v>
      </c>
      <c r="B1614" s="5" t="s">
        <v>14941</v>
      </c>
      <c r="C1614" s="4">
        <v>45774</v>
      </c>
      <c r="D1614" s="4">
        <v>45775</v>
      </c>
      <c r="E1614" s="5" t="s">
        <v>16979</v>
      </c>
      <c r="F1614" s="5" t="s">
        <v>18968</v>
      </c>
      <c r="G1614" s="5" t="s">
        <v>831</v>
      </c>
      <c r="H1614" s="5">
        <v>1</v>
      </c>
      <c r="I1614" s="8" t="s">
        <v>8742</v>
      </c>
      <c r="J1614" s="8" t="s">
        <v>10791</v>
      </c>
      <c r="K1614" s="8" t="s">
        <v>2588</v>
      </c>
      <c r="L1614" s="8" t="s">
        <v>12842</v>
      </c>
      <c r="M1614" s="8" t="s">
        <v>4638</v>
      </c>
      <c r="N1614" s="8" t="s">
        <v>6689</v>
      </c>
      <c r="O1614" s="5" t="s">
        <v>139</v>
      </c>
      <c r="P1614" s="4">
        <v>45794</v>
      </c>
      <c r="Q1614" s="15">
        <v>49.9</v>
      </c>
      <c r="R1614" s="15">
        <v>22.48</v>
      </c>
      <c r="S1614" s="15">
        <v>0</v>
      </c>
      <c r="T1614"/>
    </row>
    <row r="1615" spans="1:20">
      <c r="A1615" s="5" t="s">
        <v>113</v>
      </c>
      <c r="B1615" s="5" t="s">
        <v>14942</v>
      </c>
      <c r="C1615" s="4">
        <v>45774</v>
      </c>
      <c r="D1615" s="4">
        <v>45779</v>
      </c>
      <c r="E1615" s="5" t="s">
        <v>16980</v>
      </c>
      <c r="F1615" s="5" t="s">
        <v>18969</v>
      </c>
      <c r="G1615" s="5" t="s">
        <v>905</v>
      </c>
      <c r="H1615" s="5">
        <v>1</v>
      </c>
      <c r="I1615" s="8" t="s">
        <v>8743</v>
      </c>
      <c r="J1615" s="8" t="s">
        <v>10792</v>
      </c>
      <c r="K1615" s="8" t="s">
        <v>2589</v>
      </c>
      <c r="L1615" s="8" t="s">
        <v>12843</v>
      </c>
      <c r="M1615" s="8" t="s">
        <v>4639</v>
      </c>
      <c r="N1615" s="8" t="s">
        <v>6690</v>
      </c>
      <c r="O1615" s="5" t="s">
        <v>125</v>
      </c>
      <c r="P1615" s="4">
        <v>45800</v>
      </c>
      <c r="Q1615" s="15">
        <v>23.99</v>
      </c>
      <c r="R1615" s="15">
        <v>0</v>
      </c>
      <c r="S1615" s="15">
        <v>0</v>
      </c>
      <c r="T1615"/>
    </row>
    <row r="1616" spans="1:20">
      <c r="A1616" s="5" t="s">
        <v>113</v>
      </c>
      <c r="B1616" s="5" t="s">
        <v>14943</v>
      </c>
      <c r="C1616" s="4">
        <v>45774</v>
      </c>
      <c r="D1616" s="4">
        <v>45779</v>
      </c>
      <c r="E1616" s="5" t="s">
        <v>16981</v>
      </c>
      <c r="F1616" s="5" t="s">
        <v>18970</v>
      </c>
      <c r="G1616" s="5" t="s">
        <v>905</v>
      </c>
      <c r="H1616" s="5">
        <v>1</v>
      </c>
      <c r="I1616" s="8" t="s">
        <v>8744</v>
      </c>
      <c r="J1616" s="8" t="s">
        <v>10793</v>
      </c>
      <c r="K1616" s="8" t="s">
        <v>2590</v>
      </c>
      <c r="L1616" s="8" t="s">
        <v>12844</v>
      </c>
      <c r="M1616" s="8" t="s">
        <v>4640</v>
      </c>
      <c r="N1616" s="8" t="s">
        <v>6691</v>
      </c>
      <c r="O1616" s="5" t="s">
        <v>125</v>
      </c>
      <c r="P1616" s="4">
        <v>45794</v>
      </c>
      <c r="Q1616" s="15">
        <v>23.99</v>
      </c>
      <c r="R1616" s="15">
        <v>0</v>
      </c>
      <c r="S1616" s="15">
        <v>0</v>
      </c>
      <c r="T1616"/>
    </row>
    <row r="1617" spans="1:20">
      <c r="A1617" s="5" t="s">
        <v>113</v>
      </c>
      <c r="B1617" s="5" t="s">
        <v>14944</v>
      </c>
      <c r="C1617" s="4">
        <v>45774</v>
      </c>
      <c r="D1617" s="4">
        <v>45775</v>
      </c>
      <c r="E1617" s="5" t="s">
        <v>16982</v>
      </c>
      <c r="F1617" s="5" t="s">
        <v>18971</v>
      </c>
      <c r="G1617" s="5" t="s">
        <v>831</v>
      </c>
      <c r="H1617" s="5">
        <v>1</v>
      </c>
      <c r="I1617" s="8" t="s">
        <v>8745</v>
      </c>
      <c r="J1617" s="8" t="s">
        <v>10794</v>
      </c>
      <c r="K1617" s="8" t="s">
        <v>2591</v>
      </c>
      <c r="L1617" s="8" t="s">
        <v>12845</v>
      </c>
      <c r="M1617" s="8" t="s">
        <v>4641</v>
      </c>
      <c r="N1617" s="8" t="s">
        <v>6692</v>
      </c>
      <c r="O1617" s="5" t="s">
        <v>139</v>
      </c>
      <c r="P1617" s="4">
        <v>45800</v>
      </c>
      <c r="Q1617" s="15">
        <v>49.9</v>
      </c>
      <c r="R1617" s="15">
        <v>22.48</v>
      </c>
      <c r="S1617" s="15">
        <v>0</v>
      </c>
      <c r="T1617"/>
    </row>
    <row r="1618" spans="1:20">
      <c r="A1618" s="5" t="s">
        <v>113</v>
      </c>
      <c r="B1618" s="5" t="s">
        <v>14945</v>
      </c>
      <c r="C1618" s="4">
        <v>45775</v>
      </c>
      <c r="D1618" s="4">
        <v>45779</v>
      </c>
      <c r="E1618" s="5" t="s">
        <v>16983</v>
      </c>
      <c r="F1618" s="5" t="s">
        <v>18972</v>
      </c>
      <c r="G1618" s="5" t="s">
        <v>905</v>
      </c>
      <c r="H1618" s="5">
        <v>1</v>
      </c>
      <c r="I1618" s="8" t="s">
        <v>8746</v>
      </c>
      <c r="J1618" s="8" t="s">
        <v>10795</v>
      </c>
      <c r="K1618" s="8" t="s">
        <v>2592</v>
      </c>
      <c r="L1618" s="8" t="s">
        <v>12846</v>
      </c>
      <c r="M1618" s="8" t="s">
        <v>4642</v>
      </c>
      <c r="N1618" s="8" t="s">
        <v>6693</v>
      </c>
      <c r="O1618" s="5" t="s">
        <v>125</v>
      </c>
      <c r="P1618" s="4">
        <v>45794</v>
      </c>
      <c r="Q1618" s="15">
        <v>23.99</v>
      </c>
      <c r="R1618" s="15">
        <v>19.309999999999999</v>
      </c>
      <c r="S1618" s="15">
        <v>0</v>
      </c>
      <c r="T1618"/>
    </row>
    <row r="1619" spans="1:20">
      <c r="A1619" s="5" t="s">
        <v>113</v>
      </c>
      <c r="B1619" s="5" t="s">
        <v>14946</v>
      </c>
      <c r="C1619" s="4">
        <v>45775</v>
      </c>
      <c r="D1619" s="4">
        <v>45775</v>
      </c>
      <c r="E1619" s="5" t="s">
        <v>16984</v>
      </c>
      <c r="F1619" s="5" t="s">
        <v>18973</v>
      </c>
      <c r="G1619" s="5" t="s">
        <v>833</v>
      </c>
      <c r="H1619" s="5">
        <v>1</v>
      </c>
      <c r="I1619" s="8" t="s">
        <v>8747</v>
      </c>
      <c r="J1619" s="8" t="s">
        <v>10796</v>
      </c>
      <c r="K1619" s="8" t="s">
        <v>2593</v>
      </c>
      <c r="L1619" s="8" t="s">
        <v>12847</v>
      </c>
      <c r="M1619" s="8" t="s">
        <v>4643</v>
      </c>
      <c r="N1619" s="8" t="s">
        <v>6694</v>
      </c>
      <c r="O1619" s="5" t="s">
        <v>147</v>
      </c>
      <c r="P1619" s="4">
        <v>45794</v>
      </c>
      <c r="Q1619" s="15">
        <v>22.7</v>
      </c>
      <c r="R1619" s="15">
        <v>12.91</v>
      </c>
      <c r="S1619" s="15">
        <v>0</v>
      </c>
      <c r="T1619"/>
    </row>
    <row r="1620" spans="1:20">
      <c r="A1620" s="5" t="s">
        <v>113</v>
      </c>
      <c r="B1620" s="5" t="s">
        <v>14947</v>
      </c>
      <c r="C1620" s="4">
        <v>45775</v>
      </c>
      <c r="D1620" s="4">
        <v>45779</v>
      </c>
      <c r="E1620" s="5" t="s">
        <v>16985</v>
      </c>
      <c r="F1620" s="5" t="s">
        <v>18974</v>
      </c>
      <c r="G1620" s="5" t="s">
        <v>905</v>
      </c>
      <c r="H1620" s="5">
        <v>1</v>
      </c>
      <c r="I1620" s="8" t="s">
        <v>8748</v>
      </c>
      <c r="J1620" s="8" t="s">
        <v>10797</v>
      </c>
      <c r="K1620" s="8" t="s">
        <v>2594</v>
      </c>
      <c r="L1620" s="8" t="s">
        <v>12848</v>
      </c>
      <c r="M1620" s="8" t="s">
        <v>4644</v>
      </c>
      <c r="N1620" s="8" t="s">
        <v>6695</v>
      </c>
      <c r="O1620" s="5" t="s">
        <v>125</v>
      </c>
      <c r="P1620" s="4">
        <v>45801</v>
      </c>
      <c r="Q1620" s="15">
        <v>23.99</v>
      </c>
      <c r="R1620" s="15">
        <v>0</v>
      </c>
      <c r="S1620" s="15">
        <v>0</v>
      </c>
      <c r="T1620"/>
    </row>
    <row r="1621" spans="1:20">
      <c r="A1621" s="5" t="s">
        <v>113</v>
      </c>
      <c r="B1621" s="5" t="s">
        <v>14948</v>
      </c>
      <c r="C1621" s="4">
        <v>45775</v>
      </c>
      <c r="D1621" s="4">
        <v>45775</v>
      </c>
      <c r="E1621" s="5" t="s">
        <v>16986</v>
      </c>
      <c r="F1621" s="5" t="s">
        <v>18975</v>
      </c>
      <c r="G1621" s="5" t="s">
        <v>831</v>
      </c>
      <c r="H1621" s="5">
        <v>1</v>
      </c>
      <c r="I1621" s="8" t="s">
        <v>8749</v>
      </c>
      <c r="J1621" s="8" t="s">
        <v>10798</v>
      </c>
      <c r="K1621" s="8" t="s">
        <v>2595</v>
      </c>
      <c r="L1621" s="8" t="s">
        <v>12849</v>
      </c>
      <c r="M1621" s="8" t="s">
        <v>4645</v>
      </c>
      <c r="N1621" s="8" t="s">
        <v>6696</v>
      </c>
      <c r="O1621" s="5" t="s">
        <v>139</v>
      </c>
      <c r="P1621" s="4">
        <v>45808</v>
      </c>
      <c r="Q1621" s="15">
        <v>49.9</v>
      </c>
      <c r="R1621" s="15">
        <v>0</v>
      </c>
      <c r="S1621" s="15">
        <v>0</v>
      </c>
      <c r="T1621"/>
    </row>
    <row r="1622" spans="1:20">
      <c r="A1622" s="5" t="s">
        <v>113</v>
      </c>
      <c r="B1622" s="5" t="s">
        <v>14949</v>
      </c>
      <c r="C1622" s="4">
        <v>45775</v>
      </c>
      <c r="D1622" s="4">
        <v>45775</v>
      </c>
      <c r="E1622" s="5" t="s">
        <v>16987</v>
      </c>
      <c r="F1622" s="5" t="s">
        <v>18976</v>
      </c>
      <c r="G1622" s="5" t="s">
        <v>831</v>
      </c>
      <c r="H1622" s="5">
        <v>1</v>
      </c>
      <c r="I1622" s="8" t="s">
        <v>8750</v>
      </c>
      <c r="J1622" s="8" t="s">
        <v>10799</v>
      </c>
      <c r="K1622" s="8" t="s">
        <v>2596</v>
      </c>
      <c r="L1622" s="8" t="s">
        <v>12850</v>
      </c>
      <c r="M1622" s="8" t="s">
        <v>4646</v>
      </c>
      <c r="N1622" s="8" t="s">
        <v>6697</v>
      </c>
      <c r="O1622" s="5" t="s">
        <v>139</v>
      </c>
      <c r="P1622" s="4">
        <v>45801</v>
      </c>
      <c r="Q1622" s="15">
        <v>49.9</v>
      </c>
      <c r="R1622" s="15">
        <v>22.48</v>
      </c>
      <c r="S1622" s="15">
        <v>0</v>
      </c>
      <c r="T1622"/>
    </row>
    <row r="1623" spans="1:20">
      <c r="A1623" s="5" t="s">
        <v>113</v>
      </c>
      <c r="B1623" s="5" t="s">
        <v>14950</v>
      </c>
      <c r="C1623" s="4">
        <v>45775</v>
      </c>
      <c r="D1623" s="4">
        <v>45775</v>
      </c>
      <c r="E1623" s="5" t="s">
        <v>16988</v>
      </c>
      <c r="F1623" s="5" t="s">
        <v>18977</v>
      </c>
      <c r="G1623" s="5" t="s">
        <v>845</v>
      </c>
      <c r="H1623" s="5">
        <v>1</v>
      </c>
      <c r="I1623" s="8" t="s">
        <v>8751</v>
      </c>
      <c r="J1623" s="8" t="s">
        <v>10800</v>
      </c>
      <c r="K1623" s="8" t="s">
        <v>2597</v>
      </c>
      <c r="L1623" s="8" t="s">
        <v>12851</v>
      </c>
      <c r="M1623" s="8" t="s">
        <v>4647</v>
      </c>
      <c r="N1623" s="8" t="s">
        <v>6698</v>
      </c>
      <c r="O1623" s="5" t="s">
        <v>137</v>
      </c>
      <c r="P1623" s="4">
        <v>45797</v>
      </c>
      <c r="Q1623" s="15">
        <v>49.9</v>
      </c>
      <c r="R1623" s="15">
        <v>14.03</v>
      </c>
      <c r="S1623" s="15">
        <v>0</v>
      </c>
      <c r="T1623"/>
    </row>
    <row r="1624" spans="1:20">
      <c r="A1624" s="5" t="s">
        <v>113</v>
      </c>
      <c r="B1624" s="5" t="s">
        <v>14951</v>
      </c>
      <c r="C1624" s="4">
        <v>45775</v>
      </c>
      <c r="D1624" s="4">
        <v>45779</v>
      </c>
      <c r="E1624" s="5" t="s">
        <v>16989</v>
      </c>
      <c r="F1624" s="5" t="s">
        <v>18978</v>
      </c>
      <c r="G1624" s="5" t="s">
        <v>905</v>
      </c>
      <c r="H1624" s="5">
        <v>1</v>
      </c>
      <c r="I1624" s="8" t="s">
        <v>8752</v>
      </c>
      <c r="J1624" s="8" t="s">
        <v>10801</v>
      </c>
      <c r="K1624" s="8" t="s">
        <v>2598</v>
      </c>
      <c r="L1624" s="8" t="s">
        <v>12852</v>
      </c>
      <c r="M1624" s="8" t="s">
        <v>4648</v>
      </c>
      <c r="N1624" s="8" t="s">
        <v>6699</v>
      </c>
      <c r="O1624" s="5" t="s">
        <v>125</v>
      </c>
      <c r="P1624" s="4">
        <v>45801</v>
      </c>
      <c r="Q1624" s="15">
        <v>23.99</v>
      </c>
      <c r="R1624" s="15">
        <v>0</v>
      </c>
      <c r="S1624" s="15">
        <v>0</v>
      </c>
      <c r="T1624"/>
    </row>
    <row r="1625" spans="1:20">
      <c r="A1625" s="5" t="s">
        <v>113</v>
      </c>
      <c r="B1625" s="5" t="s">
        <v>14952</v>
      </c>
      <c r="C1625" s="4">
        <v>45775</v>
      </c>
      <c r="D1625" s="4">
        <v>45775</v>
      </c>
      <c r="E1625" s="5" t="s">
        <v>16990</v>
      </c>
      <c r="F1625" s="5" t="s">
        <v>18979</v>
      </c>
      <c r="G1625" s="5" t="s">
        <v>845</v>
      </c>
      <c r="H1625" s="5">
        <v>1</v>
      </c>
      <c r="I1625" s="8" t="s">
        <v>8753</v>
      </c>
      <c r="J1625" s="8" t="s">
        <v>10802</v>
      </c>
      <c r="K1625" s="8" t="s">
        <v>2599</v>
      </c>
      <c r="L1625" s="8" t="s">
        <v>12853</v>
      </c>
      <c r="M1625" s="8" t="s">
        <v>4649</v>
      </c>
      <c r="N1625" s="8" t="s">
        <v>6700</v>
      </c>
      <c r="O1625" s="5" t="s">
        <v>137</v>
      </c>
      <c r="P1625" s="4">
        <v>45808</v>
      </c>
      <c r="Q1625" s="15">
        <v>49.9</v>
      </c>
      <c r="R1625" s="15">
        <v>0</v>
      </c>
      <c r="S1625" s="15">
        <v>0</v>
      </c>
      <c r="T1625"/>
    </row>
    <row r="1626" spans="1:20">
      <c r="A1626" s="5" t="s">
        <v>113</v>
      </c>
      <c r="B1626" s="5" t="s">
        <v>14953</v>
      </c>
      <c r="C1626" s="4">
        <v>45775</v>
      </c>
      <c r="D1626" s="4">
        <v>45779</v>
      </c>
      <c r="E1626" s="5" t="s">
        <v>16991</v>
      </c>
      <c r="F1626" s="5" t="s">
        <v>18980</v>
      </c>
      <c r="G1626" s="5" t="s">
        <v>905</v>
      </c>
      <c r="H1626" s="5">
        <v>1</v>
      </c>
      <c r="I1626" s="8" t="s">
        <v>8754</v>
      </c>
      <c r="J1626" s="8" t="s">
        <v>10803</v>
      </c>
      <c r="K1626" s="8" t="s">
        <v>2600</v>
      </c>
      <c r="L1626" s="8" t="s">
        <v>12854</v>
      </c>
      <c r="M1626" s="8" t="s">
        <v>4650</v>
      </c>
      <c r="N1626" s="8" t="s">
        <v>6701</v>
      </c>
      <c r="O1626" s="5" t="s">
        <v>125</v>
      </c>
      <c r="P1626" s="4">
        <v>45801</v>
      </c>
      <c r="Q1626" s="15">
        <v>23.99</v>
      </c>
      <c r="R1626" s="15">
        <v>0</v>
      </c>
      <c r="S1626" s="15">
        <v>0</v>
      </c>
      <c r="T1626"/>
    </row>
    <row r="1627" spans="1:20">
      <c r="A1627" s="5" t="s">
        <v>113</v>
      </c>
      <c r="B1627" s="5" t="s">
        <v>14954</v>
      </c>
      <c r="C1627" s="4">
        <v>45775</v>
      </c>
      <c r="D1627" s="4">
        <v>45777</v>
      </c>
      <c r="E1627" s="5" t="s">
        <v>16992</v>
      </c>
      <c r="F1627" s="5" t="s">
        <v>18981</v>
      </c>
      <c r="G1627" s="5" t="s">
        <v>833</v>
      </c>
      <c r="H1627" s="5">
        <v>1</v>
      </c>
      <c r="I1627" s="8" t="s">
        <v>8755</v>
      </c>
      <c r="J1627" s="8" t="s">
        <v>10804</v>
      </c>
      <c r="K1627" s="8" t="s">
        <v>2601</v>
      </c>
      <c r="L1627" s="8" t="s">
        <v>12855</v>
      </c>
      <c r="M1627" s="8" t="s">
        <v>4651</v>
      </c>
      <c r="N1627" s="8" t="s">
        <v>6702</v>
      </c>
      <c r="O1627" s="5" t="s">
        <v>147</v>
      </c>
      <c r="P1627" s="4">
        <v>45801</v>
      </c>
      <c r="Q1627" s="15">
        <v>22.7</v>
      </c>
      <c r="R1627" s="15">
        <v>17.170000000000002</v>
      </c>
      <c r="S1627" s="15">
        <v>0</v>
      </c>
      <c r="T1627"/>
    </row>
    <row r="1628" spans="1:20">
      <c r="A1628" s="5" t="s">
        <v>108</v>
      </c>
      <c r="B1628" s="5" t="s">
        <v>14955</v>
      </c>
      <c r="C1628" s="4">
        <v>45772</v>
      </c>
      <c r="D1628" s="4">
        <v>45775</v>
      </c>
      <c r="E1628" s="5" t="s">
        <v>16993</v>
      </c>
      <c r="F1628" s="5" t="s">
        <v>18982</v>
      </c>
      <c r="G1628" s="5" t="s">
        <v>849</v>
      </c>
      <c r="H1628" s="5">
        <v>1</v>
      </c>
      <c r="I1628" s="8" t="s">
        <v>8756</v>
      </c>
      <c r="J1628" s="8" t="s">
        <v>10805</v>
      </c>
      <c r="K1628" s="8" t="s">
        <v>2602</v>
      </c>
      <c r="L1628" s="8" t="s">
        <v>12856</v>
      </c>
      <c r="M1628" s="8" t="s">
        <v>4652</v>
      </c>
      <c r="N1628" s="8" t="s">
        <v>6703</v>
      </c>
      <c r="O1628" s="5" t="s">
        <v>111</v>
      </c>
      <c r="P1628" s="4">
        <v>45800</v>
      </c>
      <c r="Q1628" s="15">
        <v>65.739999999999995</v>
      </c>
      <c r="R1628" s="15">
        <v>13.82</v>
      </c>
      <c r="S1628" s="15">
        <v>0</v>
      </c>
      <c r="T1628"/>
    </row>
    <row r="1629" spans="1:20">
      <c r="A1629" s="5" t="s">
        <v>113</v>
      </c>
      <c r="B1629" s="5" t="s">
        <v>14956</v>
      </c>
      <c r="C1629" s="4">
        <v>45775</v>
      </c>
      <c r="D1629" s="4">
        <v>45776</v>
      </c>
      <c r="E1629" s="5" t="s">
        <v>16994</v>
      </c>
      <c r="F1629" s="5" t="s">
        <v>18983</v>
      </c>
      <c r="G1629" s="5" t="s">
        <v>831</v>
      </c>
      <c r="H1629" s="5">
        <v>1</v>
      </c>
      <c r="I1629" s="8" t="s">
        <v>8757</v>
      </c>
      <c r="J1629" s="8" t="s">
        <v>10806</v>
      </c>
      <c r="K1629" s="8" t="s">
        <v>2603</v>
      </c>
      <c r="L1629" s="8" t="s">
        <v>12857</v>
      </c>
      <c r="M1629" s="8" t="s">
        <v>4653</v>
      </c>
      <c r="N1629" s="8" t="s">
        <v>6704</v>
      </c>
      <c r="O1629" s="5" t="s">
        <v>139</v>
      </c>
      <c r="P1629" s="4">
        <v>45801</v>
      </c>
      <c r="Q1629" s="15">
        <v>49.9</v>
      </c>
      <c r="R1629" s="15">
        <v>23.3</v>
      </c>
      <c r="S1629" s="15">
        <v>0</v>
      </c>
      <c r="T1629"/>
    </row>
    <row r="1630" spans="1:20">
      <c r="A1630" s="5" t="s">
        <v>113</v>
      </c>
      <c r="B1630" s="5" t="s">
        <v>14957</v>
      </c>
      <c r="C1630" s="4">
        <v>45775</v>
      </c>
      <c r="D1630" s="4">
        <v>45777</v>
      </c>
      <c r="E1630" s="5" t="s">
        <v>16995</v>
      </c>
      <c r="F1630" s="5" t="s">
        <v>18984</v>
      </c>
      <c r="G1630" s="5" t="s">
        <v>831</v>
      </c>
      <c r="H1630" s="5">
        <v>1</v>
      </c>
      <c r="I1630" s="8" t="s">
        <v>8758</v>
      </c>
      <c r="J1630" s="8" t="s">
        <v>10807</v>
      </c>
      <c r="K1630" s="8" t="s">
        <v>2604</v>
      </c>
      <c r="L1630" s="8" t="s">
        <v>12858</v>
      </c>
      <c r="M1630" s="8" t="s">
        <v>4654</v>
      </c>
      <c r="N1630" s="8" t="s">
        <v>6705</v>
      </c>
      <c r="O1630" s="5" t="s">
        <v>139</v>
      </c>
      <c r="P1630" s="4">
        <v>45801</v>
      </c>
      <c r="Q1630" s="15">
        <v>49.9</v>
      </c>
      <c r="R1630" s="15">
        <v>20.71</v>
      </c>
      <c r="S1630" s="15">
        <v>0</v>
      </c>
      <c r="T1630"/>
    </row>
    <row r="1631" spans="1:20">
      <c r="A1631" s="5" t="s">
        <v>113</v>
      </c>
      <c r="B1631" s="5" t="s">
        <v>14958</v>
      </c>
      <c r="C1631" s="4">
        <v>45775</v>
      </c>
      <c r="D1631" s="4">
        <v>45779</v>
      </c>
      <c r="E1631" s="5" t="s">
        <v>16996</v>
      </c>
      <c r="F1631" s="5" t="s">
        <v>18985</v>
      </c>
      <c r="G1631" s="5" t="s">
        <v>905</v>
      </c>
      <c r="H1631" s="5">
        <v>1</v>
      </c>
      <c r="I1631" s="8" t="s">
        <v>8759</v>
      </c>
      <c r="J1631" s="8" t="s">
        <v>10808</v>
      </c>
      <c r="K1631" s="8" t="s">
        <v>2605</v>
      </c>
      <c r="L1631" s="8" t="s">
        <v>12859</v>
      </c>
      <c r="M1631" s="8" t="s">
        <v>4655</v>
      </c>
      <c r="N1631" s="8" t="s">
        <v>6706</v>
      </c>
      <c r="O1631" s="5" t="s">
        <v>125</v>
      </c>
      <c r="P1631" s="4">
        <v>45801</v>
      </c>
      <c r="Q1631" s="15">
        <v>23.99</v>
      </c>
      <c r="R1631" s="15">
        <v>0</v>
      </c>
      <c r="S1631" s="15">
        <v>0</v>
      </c>
      <c r="T1631"/>
    </row>
    <row r="1632" spans="1:20">
      <c r="A1632" s="5" t="s">
        <v>113</v>
      </c>
      <c r="B1632" s="5" t="s">
        <v>14959</v>
      </c>
      <c r="C1632" s="4">
        <v>45775</v>
      </c>
      <c r="D1632" s="4" t="s">
        <v>37</v>
      </c>
      <c r="E1632" s="5" t="s">
        <v>37</v>
      </c>
      <c r="F1632" s="5" t="s">
        <v>37</v>
      </c>
      <c r="G1632" s="5" t="s">
        <v>831</v>
      </c>
      <c r="H1632" s="5">
        <v>1</v>
      </c>
      <c r="I1632" s="8" t="s">
        <v>8760</v>
      </c>
      <c r="J1632" s="8" t="s">
        <v>10809</v>
      </c>
      <c r="K1632" s="8" t="s">
        <v>2606</v>
      </c>
      <c r="L1632" s="8" t="s">
        <v>12860</v>
      </c>
      <c r="M1632" s="8" t="s">
        <v>4656</v>
      </c>
      <c r="N1632" s="8" t="s">
        <v>6707</v>
      </c>
      <c r="O1632" s="5" t="s">
        <v>139</v>
      </c>
      <c r="P1632" s="4">
        <v>45801</v>
      </c>
      <c r="Q1632" s="15">
        <v>49.9</v>
      </c>
      <c r="R1632" s="15">
        <v>0</v>
      </c>
      <c r="S1632" s="15">
        <v>0</v>
      </c>
      <c r="T1632"/>
    </row>
    <row r="1633" spans="1:20">
      <c r="A1633" s="5" t="s">
        <v>113</v>
      </c>
      <c r="B1633" s="5" t="s">
        <v>14960</v>
      </c>
      <c r="C1633" s="4">
        <v>45776</v>
      </c>
      <c r="D1633" s="4">
        <v>45776</v>
      </c>
      <c r="E1633" s="5" t="s">
        <v>16997</v>
      </c>
      <c r="F1633" s="5" t="s">
        <v>18986</v>
      </c>
      <c r="G1633" s="5" t="s">
        <v>860</v>
      </c>
      <c r="H1633" s="5">
        <v>1</v>
      </c>
      <c r="I1633" s="8" t="s">
        <v>8761</v>
      </c>
      <c r="J1633" s="8" t="s">
        <v>10810</v>
      </c>
      <c r="K1633" s="8" t="s">
        <v>2607</v>
      </c>
      <c r="L1633" s="8" t="s">
        <v>12861</v>
      </c>
      <c r="M1633" s="8" t="s">
        <v>4657</v>
      </c>
      <c r="N1633" s="8" t="s">
        <v>6708</v>
      </c>
      <c r="O1633" s="5" t="s">
        <v>141</v>
      </c>
      <c r="P1633" s="4">
        <v>45801</v>
      </c>
      <c r="Q1633" s="15">
        <v>49.99</v>
      </c>
      <c r="R1633" s="15">
        <v>0</v>
      </c>
      <c r="S1633" s="15">
        <v>0</v>
      </c>
      <c r="T1633"/>
    </row>
    <row r="1634" spans="1:20">
      <c r="A1634" s="5" t="s">
        <v>113</v>
      </c>
      <c r="B1634" s="5" t="s">
        <v>14961</v>
      </c>
      <c r="C1634" s="4">
        <v>45776</v>
      </c>
      <c r="D1634" s="4" t="s">
        <v>37</v>
      </c>
      <c r="E1634" s="5" t="s">
        <v>37</v>
      </c>
      <c r="F1634" s="5" t="s">
        <v>37</v>
      </c>
      <c r="G1634" s="5" t="s">
        <v>905</v>
      </c>
      <c r="H1634" s="5">
        <v>1</v>
      </c>
      <c r="I1634" s="8" t="s">
        <v>8762</v>
      </c>
      <c r="J1634" s="8" t="s">
        <v>10811</v>
      </c>
      <c r="K1634" s="8" t="s">
        <v>2608</v>
      </c>
      <c r="L1634" s="8" t="s">
        <v>12862</v>
      </c>
      <c r="M1634" s="8" t="s">
        <v>4658</v>
      </c>
      <c r="N1634" s="8" t="s">
        <v>6709</v>
      </c>
      <c r="O1634" s="5" t="s">
        <v>125</v>
      </c>
      <c r="P1634" s="4">
        <v>45801</v>
      </c>
      <c r="Q1634" s="15">
        <v>23.99</v>
      </c>
      <c r="R1634" s="15">
        <v>0</v>
      </c>
      <c r="S1634" s="15">
        <v>0</v>
      </c>
      <c r="T1634"/>
    </row>
    <row r="1635" spans="1:20">
      <c r="A1635" s="5" t="s">
        <v>113</v>
      </c>
      <c r="B1635" s="5" t="s">
        <v>14962</v>
      </c>
      <c r="C1635" s="4">
        <v>45776</v>
      </c>
      <c r="D1635" s="4">
        <v>45776</v>
      </c>
      <c r="E1635" s="5" t="s">
        <v>16998</v>
      </c>
      <c r="F1635" s="5" t="s">
        <v>18987</v>
      </c>
      <c r="G1635" s="5" t="s">
        <v>845</v>
      </c>
      <c r="H1635" s="5">
        <v>1</v>
      </c>
      <c r="I1635" s="8" t="s">
        <v>8763</v>
      </c>
      <c r="J1635" s="8" t="s">
        <v>10812</v>
      </c>
      <c r="K1635" s="8" t="s">
        <v>2609</v>
      </c>
      <c r="L1635" s="8" t="s">
        <v>12863</v>
      </c>
      <c r="M1635" s="8" t="s">
        <v>4659</v>
      </c>
      <c r="N1635" s="8" t="s">
        <v>6710</v>
      </c>
      <c r="O1635" s="5" t="s">
        <v>137</v>
      </c>
      <c r="P1635" s="4">
        <v>45808</v>
      </c>
      <c r="Q1635" s="15">
        <v>49.9</v>
      </c>
      <c r="R1635" s="15">
        <v>0</v>
      </c>
      <c r="S1635" s="15">
        <v>0</v>
      </c>
      <c r="T1635"/>
    </row>
    <row r="1636" spans="1:20">
      <c r="A1636" s="5" t="s">
        <v>113</v>
      </c>
      <c r="B1636" s="5" t="s">
        <v>14963</v>
      </c>
      <c r="C1636" s="4">
        <v>45776</v>
      </c>
      <c r="D1636" s="4">
        <v>45777</v>
      </c>
      <c r="E1636" s="5" t="s">
        <v>16999</v>
      </c>
      <c r="F1636" s="5" t="s">
        <v>18988</v>
      </c>
      <c r="G1636" s="5" t="s">
        <v>833</v>
      </c>
      <c r="H1636" s="5">
        <v>1</v>
      </c>
      <c r="I1636" s="8" t="s">
        <v>8764</v>
      </c>
      <c r="J1636" s="8" t="s">
        <v>10813</v>
      </c>
      <c r="K1636" s="8" t="s">
        <v>2610</v>
      </c>
      <c r="L1636" s="8" t="s">
        <v>12864</v>
      </c>
      <c r="M1636" s="8" t="s">
        <v>4660</v>
      </c>
      <c r="N1636" s="8" t="s">
        <v>6711</v>
      </c>
      <c r="O1636" s="5" t="s">
        <v>147</v>
      </c>
      <c r="P1636" s="4">
        <v>45801</v>
      </c>
      <c r="Q1636" s="15">
        <v>22.7</v>
      </c>
      <c r="R1636" s="15">
        <v>12.17</v>
      </c>
      <c r="S1636" s="15">
        <v>0</v>
      </c>
      <c r="T1636"/>
    </row>
    <row r="1637" spans="1:20">
      <c r="A1637" s="5" t="s">
        <v>113</v>
      </c>
      <c r="B1637" s="5" t="s">
        <v>14964</v>
      </c>
      <c r="C1637" s="4">
        <v>45776</v>
      </c>
      <c r="D1637" s="4">
        <v>45783</v>
      </c>
      <c r="E1637" s="5" t="s">
        <v>17000</v>
      </c>
      <c r="F1637" s="5" t="s">
        <v>18989</v>
      </c>
      <c r="G1637" s="5" t="s">
        <v>905</v>
      </c>
      <c r="H1637" s="5">
        <v>1</v>
      </c>
      <c r="I1637" s="8" t="s">
        <v>8765</v>
      </c>
      <c r="J1637" s="8" t="s">
        <v>10814</v>
      </c>
      <c r="K1637" s="8" t="s">
        <v>2611</v>
      </c>
      <c r="L1637" s="8" t="s">
        <v>12865</v>
      </c>
      <c r="M1637" s="8" t="s">
        <v>4661</v>
      </c>
      <c r="N1637" s="8" t="s">
        <v>6712</v>
      </c>
      <c r="O1637" s="5" t="s">
        <v>125</v>
      </c>
      <c r="P1637" s="4">
        <v>45801</v>
      </c>
      <c r="Q1637" s="15">
        <v>23.99</v>
      </c>
      <c r="R1637" s="15">
        <v>0</v>
      </c>
      <c r="S1637" s="15">
        <v>0</v>
      </c>
      <c r="T1637"/>
    </row>
    <row r="1638" spans="1:20">
      <c r="A1638" s="5" t="s">
        <v>113</v>
      </c>
      <c r="B1638" s="5" t="s">
        <v>14965</v>
      </c>
      <c r="C1638" s="4">
        <v>45776</v>
      </c>
      <c r="D1638" s="4">
        <v>45776</v>
      </c>
      <c r="E1638" s="5" t="s">
        <v>17001</v>
      </c>
      <c r="F1638" s="5" t="s">
        <v>18990</v>
      </c>
      <c r="G1638" s="5" t="s">
        <v>831</v>
      </c>
      <c r="H1638" s="5">
        <v>1</v>
      </c>
      <c r="I1638" s="8" t="s">
        <v>8766</v>
      </c>
      <c r="J1638" s="8" t="s">
        <v>10815</v>
      </c>
      <c r="K1638" s="8" t="s">
        <v>2612</v>
      </c>
      <c r="L1638" s="8" t="s">
        <v>12866</v>
      </c>
      <c r="M1638" s="8" t="s">
        <v>4662</v>
      </c>
      <c r="N1638" s="8" t="s">
        <v>6713</v>
      </c>
      <c r="O1638" s="5" t="s">
        <v>139</v>
      </c>
      <c r="P1638" s="4">
        <v>45804</v>
      </c>
      <c r="Q1638" s="15">
        <v>49.9</v>
      </c>
      <c r="R1638" s="15">
        <v>0</v>
      </c>
      <c r="S1638" s="15">
        <v>0</v>
      </c>
      <c r="T1638"/>
    </row>
    <row r="1639" spans="1:20">
      <c r="A1639" s="5" t="s">
        <v>113</v>
      </c>
      <c r="B1639" s="5" t="s">
        <v>14966</v>
      </c>
      <c r="C1639" s="4">
        <v>45776</v>
      </c>
      <c r="D1639" s="4">
        <v>45776</v>
      </c>
      <c r="E1639" s="5" t="s">
        <v>17002</v>
      </c>
      <c r="F1639" s="5" t="s">
        <v>18991</v>
      </c>
      <c r="G1639" s="5" t="s">
        <v>845</v>
      </c>
      <c r="H1639" s="5">
        <v>1</v>
      </c>
      <c r="I1639" s="8" t="s">
        <v>8767</v>
      </c>
      <c r="J1639" s="8" t="s">
        <v>10816</v>
      </c>
      <c r="K1639" s="8" t="s">
        <v>2613</v>
      </c>
      <c r="L1639" s="8" t="s">
        <v>12867</v>
      </c>
      <c r="M1639" s="8" t="s">
        <v>4663</v>
      </c>
      <c r="N1639" s="8" t="s">
        <v>6714</v>
      </c>
      <c r="O1639" s="5" t="s">
        <v>137</v>
      </c>
      <c r="P1639" s="4">
        <v>45804</v>
      </c>
      <c r="Q1639" s="15">
        <v>49.9</v>
      </c>
      <c r="R1639" s="15">
        <v>22.03</v>
      </c>
      <c r="S1639" s="15">
        <v>0</v>
      </c>
      <c r="T1639"/>
    </row>
    <row r="1640" spans="1:20">
      <c r="A1640" s="5" t="s">
        <v>113</v>
      </c>
      <c r="B1640" s="5" t="s">
        <v>14967</v>
      </c>
      <c r="C1640" s="4">
        <v>45776</v>
      </c>
      <c r="D1640" s="4">
        <v>45776</v>
      </c>
      <c r="E1640" s="5" t="s">
        <v>17003</v>
      </c>
      <c r="F1640" s="5" t="s">
        <v>18992</v>
      </c>
      <c r="G1640" s="5" t="s">
        <v>860</v>
      </c>
      <c r="H1640" s="5">
        <v>1</v>
      </c>
      <c r="I1640" s="8" t="s">
        <v>8768</v>
      </c>
      <c r="J1640" s="8" t="s">
        <v>10817</v>
      </c>
      <c r="K1640" s="8" t="s">
        <v>2614</v>
      </c>
      <c r="L1640" s="8" t="s">
        <v>12868</v>
      </c>
      <c r="M1640" s="8" t="s">
        <v>4664</v>
      </c>
      <c r="N1640" s="8" t="s">
        <v>6715</v>
      </c>
      <c r="O1640" s="5" t="s">
        <v>141</v>
      </c>
      <c r="P1640" s="4">
        <v>45804</v>
      </c>
      <c r="Q1640" s="15">
        <v>49.99</v>
      </c>
      <c r="R1640" s="15">
        <v>0</v>
      </c>
      <c r="S1640" s="15">
        <v>0</v>
      </c>
      <c r="T1640"/>
    </row>
    <row r="1641" spans="1:20">
      <c r="A1641" s="5" t="s">
        <v>113</v>
      </c>
      <c r="B1641" s="5" t="s">
        <v>14968</v>
      </c>
      <c r="C1641" s="4">
        <v>45776</v>
      </c>
      <c r="D1641" s="4">
        <v>45783</v>
      </c>
      <c r="E1641" s="5" t="s">
        <v>17004</v>
      </c>
      <c r="F1641" s="5" t="s">
        <v>18993</v>
      </c>
      <c r="G1641" s="5" t="s">
        <v>905</v>
      </c>
      <c r="H1641" s="5">
        <v>1</v>
      </c>
      <c r="I1641" s="8" t="s">
        <v>8769</v>
      </c>
      <c r="J1641" s="8" t="s">
        <v>10818</v>
      </c>
      <c r="K1641" s="8" t="s">
        <v>2615</v>
      </c>
      <c r="L1641" s="8" t="s">
        <v>12869</v>
      </c>
      <c r="M1641" s="8" t="s">
        <v>4665</v>
      </c>
      <c r="N1641" s="8" t="s">
        <v>6716</v>
      </c>
      <c r="O1641" s="5" t="s">
        <v>125</v>
      </c>
      <c r="P1641" s="4">
        <v>45804</v>
      </c>
      <c r="Q1641" s="15">
        <v>23.99</v>
      </c>
      <c r="R1641" s="15">
        <v>14.52</v>
      </c>
      <c r="S1641" s="15">
        <v>0</v>
      </c>
      <c r="T1641"/>
    </row>
    <row r="1642" spans="1:20">
      <c r="A1642" s="5" t="s">
        <v>113</v>
      </c>
      <c r="B1642" s="5" t="s">
        <v>14969</v>
      </c>
      <c r="C1642" s="4">
        <v>45776</v>
      </c>
      <c r="D1642" s="4">
        <v>45776</v>
      </c>
      <c r="E1642" s="5" t="s">
        <v>17005</v>
      </c>
      <c r="F1642" s="5" t="s">
        <v>18994</v>
      </c>
      <c r="G1642" s="5" t="s">
        <v>845</v>
      </c>
      <c r="H1642" s="5">
        <v>1</v>
      </c>
      <c r="I1642" s="8" t="s">
        <v>8770</v>
      </c>
      <c r="J1642" s="8" t="s">
        <v>10819</v>
      </c>
      <c r="K1642" s="8" t="s">
        <v>2616</v>
      </c>
      <c r="L1642" s="8" t="s">
        <v>12870</v>
      </c>
      <c r="M1642" s="8" t="s">
        <v>4666</v>
      </c>
      <c r="N1642" s="8" t="s">
        <v>6717</v>
      </c>
      <c r="O1642" s="5" t="s">
        <v>137</v>
      </c>
      <c r="P1642" s="4">
        <v>45811</v>
      </c>
      <c r="Q1642" s="15">
        <v>49.9</v>
      </c>
      <c r="R1642" s="15">
        <v>14.02</v>
      </c>
      <c r="S1642" s="15">
        <v>0</v>
      </c>
      <c r="T1642"/>
    </row>
    <row r="1643" spans="1:20">
      <c r="A1643" s="5" t="s">
        <v>113</v>
      </c>
      <c r="B1643" s="5" t="s">
        <v>14970</v>
      </c>
      <c r="C1643" s="4">
        <v>45776</v>
      </c>
      <c r="D1643" s="4">
        <v>45776</v>
      </c>
      <c r="E1643" s="5" t="s">
        <v>17006</v>
      </c>
      <c r="F1643" s="5" t="s">
        <v>18995</v>
      </c>
      <c r="G1643" s="5" t="s">
        <v>831</v>
      </c>
      <c r="H1643" s="5">
        <v>1</v>
      </c>
      <c r="I1643" s="8" t="s">
        <v>8771</v>
      </c>
      <c r="J1643" s="8" t="s">
        <v>10820</v>
      </c>
      <c r="K1643" s="8" t="s">
        <v>2617</v>
      </c>
      <c r="L1643" s="8" t="s">
        <v>12871</v>
      </c>
      <c r="M1643" s="8" t="s">
        <v>4667</v>
      </c>
      <c r="N1643" s="8" t="s">
        <v>6718</v>
      </c>
      <c r="O1643" s="5" t="s">
        <v>139</v>
      </c>
      <c r="P1643" s="4">
        <v>45804</v>
      </c>
      <c r="Q1643" s="15">
        <v>49.9</v>
      </c>
      <c r="R1643" s="15">
        <v>22.47</v>
      </c>
      <c r="S1643" s="15">
        <v>0</v>
      </c>
      <c r="T1643"/>
    </row>
    <row r="1644" spans="1:20">
      <c r="A1644" s="5" t="s">
        <v>113</v>
      </c>
      <c r="B1644" s="5" t="s">
        <v>14971</v>
      </c>
      <c r="C1644" s="4">
        <v>45776</v>
      </c>
      <c r="D1644" s="4" t="s">
        <v>37</v>
      </c>
      <c r="E1644" s="5" t="s">
        <v>37</v>
      </c>
      <c r="F1644" s="5" t="s">
        <v>37</v>
      </c>
      <c r="G1644" s="5" t="s">
        <v>860</v>
      </c>
      <c r="H1644" s="5">
        <v>1</v>
      </c>
      <c r="I1644" s="8" t="s">
        <v>8772</v>
      </c>
      <c r="J1644" s="8" t="s">
        <v>10821</v>
      </c>
      <c r="K1644" s="8" t="s">
        <v>2618</v>
      </c>
      <c r="L1644" s="8" t="s">
        <v>12872</v>
      </c>
      <c r="M1644" s="8" t="s">
        <v>4668</v>
      </c>
      <c r="N1644" s="8" t="s">
        <v>6719</v>
      </c>
      <c r="O1644" s="5" t="s">
        <v>141</v>
      </c>
      <c r="P1644" s="4">
        <v>45811</v>
      </c>
      <c r="Q1644" s="15">
        <v>49.99</v>
      </c>
      <c r="R1644" s="15">
        <v>0</v>
      </c>
      <c r="S1644" s="15">
        <v>0</v>
      </c>
      <c r="T1644"/>
    </row>
    <row r="1645" spans="1:20">
      <c r="A1645" s="5" t="s">
        <v>113</v>
      </c>
      <c r="B1645" s="5" t="s">
        <v>14972</v>
      </c>
      <c r="C1645" s="4">
        <v>45776</v>
      </c>
      <c r="D1645" s="4">
        <v>45777</v>
      </c>
      <c r="E1645" s="5" t="s">
        <v>17007</v>
      </c>
      <c r="F1645" s="5" t="s">
        <v>18996</v>
      </c>
      <c r="G1645" s="5" t="s">
        <v>860</v>
      </c>
      <c r="H1645" s="5">
        <v>1</v>
      </c>
      <c r="I1645" s="8" t="s">
        <v>8773</v>
      </c>
      <c r="J1645" s="8" t="s">
        <v>10822</v>
      </c>
      <c r="K1645" s="8" t="s">
        <v>2619</v>
      </c>
      <c r="L1645" s="8" t="s">
        <v>12873</v>
      </c>
      <c r="M1645" s="8" t="s">
        <v>4669</v>
      </c>
      <c r="N1645" s="8" t="s">
        <v>6720</v>
      </c>
      <c r="O1645" s="5" t="s">
        <v>141</v>
      </c>
      <c r="P1645" s="4">
        <v>45811</v>
      </c>
      <c r="Q1645" s="15">
        <v>49.99</v>
      </c>
      <c r="R1645" s="15">
        <v>24.58</v>
      </c>
      <c r="S1645" s="15">
        <v>0</v>
      </c>
      <c r="T1645"/>
    </row>
    <row r="1646" spans="1:20">
      <c r="A1646" s="5" t="s">
        <v>113</v>
      </c>
      <c r="B1646" s="5" t="s">
        <v>14973</v>
      </c>
      <c r="C1646" s="4">
        <v>45776</v>
      </c>
      <c r="D1646" s="4">
        <v>45777</v>
      </c>
      <c r="E1646" s="5" t="s">
        <v>17008</v>
      </c>
      <c r="F1646" s="5" t="s">
        <v>18997</v>
      </c>
      <c r="G1646" s="5" t="s">
        <v>849</v>
      </c>
      <c r="H1646" s="5">
        <v>1</v>
      </c>
      <c r="I1646" s="8" t="s">
        <v>8774</v>
      </c>
      <c r="J1646" s="8" t="s">
        <v>10823</v>
      </c>
      <c r="K1646" s="8" t="s">
        <v>2620</v>
      </c>
      <c r="L1646" s="8" t="s">
        <v>12874</v>
      </c>
      <c r="M1646" s="8" t="s">
        <v>4670</v>
      </c>
      <c r="N1646" s="8" t="s">
        <v>6721</v>
      </c>
      <c r="O1646" s="5" t="s">
        <v>116</v>
      </c>
      <c r="P1646" s="4">
        <v>45798</v>
      </c>
      <c r="Q1646" s="15">
        <v>65.7</v>
      </c>
      <c r="R1646" s="15">
        <v>20.91</v>
      </c>
      <c r="S1646" s="15">
        <v>0</v>
      </c>
      <c r="T1646"/>
    </row>
    <row r="1647" spans="1:20">
      <c r="A1647" s="5" t="s">
        <v>113</v>
      </c>
      <c r="B1647" s="5" t="s">
        <v>14974</v>
      </c>
      <c r="C1647" s="4">
        <v>45777</v>
      </c>
      <c r="D1647" s="4" t="s">
        <v>37</v>
      </c>
      <c r="E1647" s="5" t="s">
        <v>37</v>
      </c>
      <c r="F1647" s="5" t="s">
        <v>37</v>
      </c>
      <c r="G1647" s="5" t="s">
        <v>905</v>
      </c>
      <c r="H1647" s="5">
        <v>1</v>
      </c>
      <c r="I1647" s="8" t="s">
        <v>8775</v>
      </c>
      <c r="J1647" s="8" t="s">
        <v>10824</v>
      </c>
      <c r="K1647" s="8" t="s">
        <v>2621</v>
      </c>
      <c r="L1647" s="8" t="s">
        <v>12875</v>
      </c>
      <c r="M1647" s="8" t="s">
        <v>4671</v>
      </c>
      <c r="N1647" s="8" t="s">
        <v>6722</v>
      </c>
      <c r="O1647" s="5" t="s">
        <v>125</v>
      </c>
      <c r="P1647" s="4">
        <v>45811</v>
      </c>
      <c r="Q1647" s="15">
        <v>23.99</v>
      </c>
      <c r="R1647" s="15">
        <v>0</v>
      </c>
      <c r="S1647" s="15">
        <v>0</v>
      </c>
      <c r="T1647"/>
    </row>
    <row r="1648" spans="1:20">
      <c r="A1648" s="5" t="s">
        <v>113</v>
      </c>
      <c r="B1648" s="5" t="s">
        <v>14975</v>
      </c>
      <c r="C1648" s="4">
        <v>45777</v>
      </c>
      <c r="D1648" s="4">
        <v>45777</v>
      </c>
      <c r="E1648" s="5" t="s">
        <v>17009</v>
      </c>
      <c r="F1648" s="5" t="s">
        <v>18998</v>
      </c>
      <c r="G1648" s="5" t="s">
        <v>833</v>
      </c>
      <c r="H1648" s="5">
        <v>1</v>
      </c>
      <c r="I1648" s="8" t="s">
        <v>8776</v>
      </c>
      <c r="J1648" s="8" t="s">
        <v>10825</v>
      </c>
      <c r="K1648" s="8" t="s">
        <v>2622</v>
      </c>
      <c r="L1648" s="8" t="s">
        <v>12876</v>
      </c>
      <c r="M1648" s="8" t="s">
        <v>4672</v>
      </c>
      <c r="N1648" s="8" t="s">
        <v>6723</v>
      </c>
      <c r="O1648" s="5" t="s">
        <v>147</v>
      </c>
      <c r="P1648" s="4">
        <v>45798</v>
      </c>
      <c r="Q1648" s="15">
        <v>22.7</v>
      </c>
      <c r="R1648" s="15">
        <v>16.2</v>
      </c>
      <c r="S1648" s="15">
        <v>0</v>
      </c>
      <c r="T1648"/>
    </row>
    <row r="1649" spans="1:20">
      <c r="A1649" s="5" t="s">
        <v>113</v>
      </c>
      <c r="B1649" s="5" t="s">
        <v>14976</v>
      </c>
      <c r="C1649" s="4">
        <v>45777</v>
      </c>
      <c r="D1649" s="4" t="s">
        <v>37</v>
      </c>
      <c r="E1649" s="5" t="s">
        <v>37</v>
      </c>
      <c r="F1649" s="5" t="s">
        <v>37</v>
      </c>
      <c r="G1649" s="5" t="s">
        <v>905</v>
      </c>
      <c r="H1649" s="5">
        <v>1</v>
      </c>
      <c r="I1649" s="8" t="s">
        <v>8777</v>
      </c>
      <c r="J1649" s="8" t="s">
        <v>10826</v>
      </c>
      <c r="K1649" s="8" t="s">
        <v>2623</v>
      </c>
      <c r="L1649" s="8" t="s">
        <v>12877</v>
      </c>
      <c r="M1649" s="8" t="s">
        <v>4673</v>
      </c>
      <c r="N1649" s="8" t="s">
        <v>6724</v>
      </c>
      <c r="O1649" s="5" t="s">
        <v>125</v>
      </c>
      <c r="P1649" s="4">
        <v>45799</v>
      </c>
      <c r="Q1649" s="15">
        <v>23.99</v>
      </c>
      <c r="R1649" s="15">
        <v>0</v>
      </c>
      <c r="S1649" s="15">
        <v>0</v>
      </c>
      <c r="T1649"/>
    </row>
    <row r="1650" spans="1:20">
      <c r="A1650" s="5" t="s">
        <v>113</v>
      </c>
      <c r="B1650" s="5" t="s">
        <v>14977</v>
      </c>
      <c r="C1650" s="4">
        <v>45777</v>
      </c>
      <c r="D1650" s="4">
        <v>45777</v>
      </c>
      <c r="E1650" s="5" t="s">
        <v>17010</v>
      </c>
      <c r="F1650" s="5" t="s">
        <v>18999</v>
      </c>
      <c r="G1650" s="5" t="s">
        <v>860</v>
      </c>
      <c r="H1650" s="5">
        <v>1</v>
      </c>
      <c r="I1650" s="8" t="s">
        <v>8778</v>
      </c>
      <c r="J1650" s="8" t="s">
        <v>10827</v>
      </c>
      <c r="K1650" s="8" t="s">
        <v>2624</v>
      </c>
      <c r="L1650" s="8" t="s">
        <v>12878</v>
      </c>
      <c r="M1650" s="8" t="s">
        <v>4674</v>
      </c>
      <c r="N1650" s="8" t="s">
        <v>6725</v>
      </c>
      <c r="O1650" s="5" t="s">
        <v>141</v>
      </c>
      <c r="P1650" s="4">
        <v>45805</v>
      </c>
      <c r="Q1650" s="15">
        <v>49.99</v>
      </c>
      <c r="R1650" s="15">
        <v>0</v>
      </c>
      <c r="S1650" s="15">
        <v>0</v>
      </c>
      <c r="T1650"/>
    </row>
    <row r="1651" spans="1:20">
      <c r="A1651" s="5" t="s">
        <v>113</v>
      </c>
      <c r="B1651" s="5" t="s">
        <v>14978</v>
      </c>
      <c r="C1651" s="4">
        <v>45777</v>
      </c>
      <c r="D1651" s="4">
        <v>45783</v>
      </c>
      <c r="E1651" s="5" t="s">
        <v>17011</v>
      </c>
      <c r="F1651" s="5" t="s">
        <v>19000</v>
      </c>
      <c r="G1651" s="5" t="s">
        <v>905</v>
      </c>
      <c r="H1651" s="5">
        <v>1</v>
      </c>
      <c r="I1651" s="8" t="s">
        <v>8779</v>
      </c>
      <c r="J1651" s="8" t="s">
        <v>10828</v>
      </c>
      <c r="K1651" s="8" t="s">
        <v>2625</v>
      </c>
      <c r="L1651" s="8" t="s">
        <v>12879</v>
      </c>
      <c r="M1651" s="8" t="s">
        <v>4675</v>
      </c>
      <c r="N1651" s="8" t="s">
        <v>6726</v>
      </c>
      <c r="O1651" s="5" t="s">
        <v>125</v>
      </c>
      <c r="P1651" s="4">
        <v>45799</v>
      </c>
      <c r="Q1651" s="15">
        <v>23.99</v>
      </c>
      <c r="R1651" s="15">
        <v>14.52</v>
      </c>
      <c r="S1651" s="15">
        <v>0</v>
      </c>
      <c r="T1651"/>
    </row>
    <row r="1652" spans="1:20">
      <c r="A1652" s="5" t="s">
        <v>113</v>
      </c>
      <c r="B1652" s="5" t="s">
        <v>14979</v>
      </c>
      <c r="C1652" s="4">
        <v>45777</v>
      </c>
      <c r="D1652" s="4">
        <v>45777</v>
      </c>
      <c r="E1652" s="5" t="s">
        <v>17012</v>
      </c>
      <c r="F1652" s="5" t="s">
        <v>19001</v>
      </c>
      <c r="G1652" s="5" t="s">
        <v>845</v>
      </c>
      <c r="H1652" s="5">
        <v>1</v>
      </c>
      <c r="I1652" s="8" t="s">
        <v>8780</v>
      </c>
      <c r="J1652" s="8" t="s">
        <v>10829</v>
      </c>
      <c r="K1652" s="8" t="s">
        <v>2626</v>
      </c>
      <c r="L1652" s="8" t="s">
        <v>12880</v>
      </c>
      <c r="M1652" s="8" t="s">
        <v>4676</v>
      </c>
      <c r="N1652" s="8" t="s">
        <v>6727</v>
      </c>
      <c r="O1652" s="5" t="s">
        <v>137</v>
      </c>
      <c r="P1652" s="4">
        <v>45805</v>
      </c>
      <c r="Q1652" s="15">
        <v>49.9</v>
      </c>
      <c r="R1652" s="15">
        <v>21.11</v>
      </c>
      <c r="S1652" s="15">
        <v>0</v>
      </c>
      <c r="T1652"/>
    </row>
    <row r="1653" spans="1:20">
      <c r="A1653" s="5" t="s">
        <v>113</v>
      </c>
      <c r="B1653" s="5" t="s">
        <v>14980</v>
      </c>
      <c r="C1653" s="4">
        <v>45777</v>
      </c>
      <c r="D1653" s="4">
        <v>45783</v>
      </c>
      <c r="E1653" s="5" t="s">
        <v>17013</v>
      </c>
      <c r="F1653" s="5" t="s">
        <v>19002</v>
      </c>
      <c r="G1653" s="5" t="s">
        <v>905</v>
      </c>
      <c r="H1653" s="5">
        <v>1</v>
      </c>
      <c r="I1653" s="8" t="s">
        <v>8781</v>
      </c>
      <c r="J1653" s="8" t="s">
        <v>10830</v>
      </c>
      <c r="K1653" s="8" t="s">
        <v>2627</v>
      </c>
      <c r="L1653" s="8" t="s">
        <v>12881</v>
      </c>
      <c r="M1653" s="8" t="s">
        <v>4677</v>
      </c>
      <c r="N1653" s="8" t="s">
        <v>6728</v>
      </c>
      <c r="O1653" s="5" t="s">
        <v>125</v>
      </c>
      <c r="P1653" s="4">
        <v>45805</v>
      </c>
      <c r="Q1653" s="15">
        <v>23.99</v>
      </c>
      <c r="R1653" s="15">
        <v>14.52</v>
      </c>
      <c r="S1653" s="15">
        <v>0</v>
      </c>
      <c r="T1653"/>
    </row>
    <row r="1654" spans="1:20">
      <c r="A1654" s="5" t="s">
        <v>113</v>
      </c>
      <c r="B1654" s="5" t="s">
        <v>14981</v>
      </c>
      <c r="C1654" s="4">
        <v>45777</v>
      </c>
      <c r="D1654" s="4">
        <v>45777</v>
      </c>
      <c r="E1654" s="5" t="s">
        <v>17014</v>
      </c>
      <c r="F1654" s="5" t="s">
        <v>19003</v>
      </c>
      <c r="G1654" s="5" t="s">
        <v>845</v>
      </c>
      <c r="H1654" s="5">
        <v>1</v>
      </c>
      <c r="I1654" s="8" t="s">
        <v>8782</v>
      </c>
      <c r="J1654" s="8" t="s">
        <v>10831</v>
      </c>
      <c r="K1654" s="8" t="s">
        <v>2628</v>
      </c>
      <c r="L1654" s="8" t="s">
        <v>12882</v>
      </c>
      <c r="M1654" s="8" t="s">
        <v>4678</v>
      </c>
      <c r="N1654" s="8" t="s">
        <v>6729</v>
      </c>
      <c r="O1654" s="5" t="s">
        <v>137</v>
      </c>
      <c r="P1654" s="4">
        <v>45805</v>
      </c>
      <c r="Q1654" s="15">
        <v>49.9</v>
      </c>
      <c r="R1654" s="15">
        <v>21.94</v>
      </c>
      <c r="S1654" s="15">
        <v>0</v>
      </c>
      <c r="T1654"/>
    </row>
    <row r="1655" spans="1:20">
      <c r="A1655" s="5" t="s">
        <v>113</v>
      </c>
      <c r="B1655" s="5" t="s">
        <v>14982</v>
      </c>
      <c r="C1655" s="4">
        <v>45777</v>
      </c>
      <c r="D1655" s="4">
        <v>45777</v>
      </c>
      <c r="E1655" s="5" t="s">
        <v>17015</v>
      </c>
      <c r="F1655" s="5" t="s">
        <v>19004</v>
      </c>
      <c r="G1655" s="5" t="s">
        <v>817</v>
      </c>
      <c r="H1655" s="5">
        <v>1</v>
      </c>
      <c r="I1655" s="8" t="s">
        <v>8783</v>
      </c>
      <c r="J1655" s="8" t="s">
        <v>10832</v>
      </c>
      <c r="K1655" s="8" t="s">
        <v>2629</v>
      </c>
      <c r="L1655" s="8" t="s">
        <v>12883</v>
      </c>
      <c r="M1655" s="8" t="s">
        <v>4679</v>
      </c>
      <c r="N1655" s="8" t="s">
        <v>6730</v>
      </c>
      <c r="O1655" s="5" t="s">
        <v>115</v>
      </c>
      <c r="P1655" s="4">
        <v>45799</v>
      </c>
      <c r="Q1655" s="15">
        <v>35.799999999999997</v>
      </c>
      <c r="R1655" s="15">
        <v>19.989999999999998</v>
      </c>
      <c r="S1655" s="15">
        <v>0</v>
      </c>
      <c r="T1655"/>
    </row>
    <row r="1656" spans="1:20">
      <c r="A1656" s="5" t="s">
        <v>113</v>
      </c>
      <c r="B1656" s="5" t="s">
        <v>14983</v>
      </c>
      <c r="C1656" s="4">
        <v>45778</v>
      </c>
      <c r="D1656" s="4">
        <v>45783</v>
      </c>
      <c r="E1656" s="5" t="s">
        <v>17016</v>
      </c>
      <c r="F1656" s="5" t="s">
        <v>19005</v>
      </c>
      <c r="G1656" s="5" t="s">
        <v>905</v>
      </c>
      <c r="H1656" s="5">
        <v>1</v>
      </c>
      <c r="I1656" s="8" t="s">
        <v>8784</v>
      </c>
      <c r="J1656" s="8" t="s">
        <v>10833</v>
      </c>
      <c r="K1656" s="8" t="s">
        <v>2630</v>
      </c>
      <c r="L1656" s="8" t="s">
        <v>12884</v>
      </c>
      <c r="M1656" s="8" t="s">
        <v>4680</v>
      </c>
      <c r="N1656" s="8" t="s">
        <v>6731</v>
      </c>
      <c r="O1656" s="5" t="s">
        <v>125</v>
      </c>
      <c r="P1656" s="4">
        <v>45805</v>
      </c>
      <c r="Q1656" s="15">
        <v>31.99</v>
      </c>
      <c r="R1656" s="15">
        <v>0</v>
      </c>
      <c r="S1656" s="15">
        <v>0</v>
      </c>
      <c r="T1656"/>
    </row>
    <row r="1657" spans="1:20">
      <c r="A1657" s="5" t="s">
        <v>113</v>
      </c>
      <c r="B1657" s="5" t="s">
        <v>14984</v>
      </c>
      <c r="C1657" s="4">
        <v>45778</v>
      </c>
      <c r="D1657" s="4" t="s">
        <v>37</v>
      </c>
      <c r="E1657" s="5" t="s">
        <v>37</v>
      </c>
      <c r="F1657" s="5" t="s">
        <v>37</v>
      </c>
      <c r="G1657" s="5" t="s">
        <v>905</v>
      </c>
      <c r="H1657" s="5">
        <v>1</v>
      </c>
      <c r="I1657" s="8" t="s">
        <v>8785</v>
      </c>
      <c r="J1657" s="8" t="s">
        <v>10834</v>
      </c>
      <c r="K1657" s="8" t="s">
        <v>2631</v>
      </c>
      <c r="L1657" s="8" t="s">
        <v>12885</v>
      </c>
      <c r="M1657" s="8" t="s">
        <v>4681</v>
      </c>
      <c r="N1657" s="8" t="s">
        <v>6732</v>
      </c>
      <c r="O1657" s="5" t="s">
        <v>125</v>
      </c>
      <c r="P1657" s="4">
        <v>45812</v>
      </c>
      <c r="Q1657" s="15">
        <v>31.99</v>
      </c>
      <c r="R1657" s="15">
        <v>0</v>
      </c>
      <c r="S1657" s="15">
        <v>0</v>
      </c>
      <c r="T1657"/>
    </row>
    <row r="1658" spans="1:20">
      <c r="A1658" s="5" t="s">
        <v>113</v>
      </c>
      <c r="B1658" s="5" t="s">
        <v>14985</v>
      </c>
      <c r="C1658" s="4">
        <v>45778</v>
      </c>
      <c r="D1658" s="4">
        <v>45779</v>
      </c>
      <c r="E1658" s="5" t="s">
        <v>17017</v>
      </c>
      <c r="F1658" s="5" t="s">
        <v>19006</v>
      </c>
      <c r="G1658" s="5" t="s">
        <v>845</v>
      </c>
      <c r="H1658" s="5">
        <v>1</v>
      </c>
      <c r="I1658" s="8" t="s">
        <v>8786</v>
      </c>
      <c r="J1658" s="8" t="s">
        <v>10835</v>
      </c>
      <c r="K1658" s="8" t="s">
        <v>2632</v>
      </c>
      <c r="L1658" s="8" t="s">
        <v>12886</v>
      </c>
      <c r="M1658" s="8" t="s">
        <v>4682</v>
      </c>
      <c r="N1658" s="8" t="s">
        <v>6733</v>
      </c>
      <c r="O1658" s="5" t="s">
        <v>137</v>
      </c>
      <c r="P1658" s="4">
        <v>45799</v>
      </c>
      <c r="Q1658" s="15">
        <v>48.9</v>
      </c>
      <c r="R1658" s="15">
        <v>21.44</v>
      </c>
      <c r="S1658" s="15">
        <v>0</v>
      </c>
      <c r="T1658"/>
    </row>
    <row r="1659" spans="1:20">
      <c r="A1659" s="5" t="s">
        <v>113</v>
      </c>
      <c r="B1659" s="5" t="s">
        <v>14986</v>
      </c>
      <c r="C1659" s="4">
        <v>45778</v>
      </c>
      <c r="D1659" s="4" t="s">
        <v>37</v>
      </c>
      <c r="E1659" s="5" t="s">
        <v>37</v>
      </c>
      <c r="F1659" s="5" t="s">
        <v>37</v>
      </c>
      <c r="G1659" s="5" t="s">
        <v>845</v>
      </c>
      <c r="H1659" s="5">
        <v>1</v>
      </c>
      <c r="I1659" s="8" t="s">
        <v>8787</v>
      </c>
      <c r="J1659" s="8" t="s">
        <v>10836</v>
      </c>
      <c r="K1659" s="8" t="s">
        <v>2633</v>
      </c>
      <c r="L1659" s="8" t="s">
        <v>12887</v>
      </c>
      <c r="M1659" s="8" t="s">
        <v>4683</v>
      </c>
      <c r="N1659" s="8" t="s">
        <v>6734</v>
      </c>
      <c r="O1659" s="5" t="s">
        <v>137</v>
      </c>
      <c r="P1659" s="4">
        <v>45812</v>
      </c>
      <c r="Q1659" s="15">
        <v>48.9</v>
      </c>
      <c r="R1659" s="15">
        <v>0</v>
      </c>
      <c r="S1659" s="15">
        <v>0</v>
      </c>
      <c r="T1659"/>
    </row>
    <row r="1660" spans="1:20">
      <c r="A1660" s="5" t="s">
        <v>113</v>
      </c>
      <c r="B1660" s="5" t="s">
        <v>14987</v>
      </c>
      <c r="C1660" s="4">
        <v>45779</v>
      </c>
      <c r="D1660" s="4">
        <v>45779</v>
      </c>
      <c r="E1660" s="5" t="s">
        <v>17018</v>
      </c>
      <c r="F1660" s="5" t="s">
        <v>19007</v>
      </c>
      <c r="G1660" s="5" t="s">
        <v>833</v>
      </c>
      <c r="H1660" s="5">
        <v>1</v>
      </c>
      <c r="I1660" s="8" t="s">
        <v>8788</v>
      </c>
      <c r="J1660" s="8" t="s">
        <v>10837</v>
      </c>
      <c r="K1660" s="8" t="s">
        <v>2634</v>
      </c>
      <c r="L1660" s="8" t="s">
        <v>12888</v>
      </c>
      <c r="M1660" s="8" t="s">
        <v>4684</v>
      </c>
      <c r="N1660" s="8" t="s">
        <v>6735</v>
      </c>
      <c r="O1660" s="5" t="s">
        <v>147</v>
      </c>
      <c r="P1660" s="4">
        <v>45797</v>
      </c>
      <c r="Q1660" s="15">
        <v>22.7</v>
      </c>
      <c r="R1660" s="15">
        <v>11.92</v>
      </c>
      <c r="S1660" s="15">
        <v>0</v>
      </c>
      <c r="T1660"/>
    </row>
    <row r="1661" spans="1:20">
      <c r="A1661" s="5" t="s">
        <v>113</v>
      </c>
      <c r="B1661" s="5" t="s">
        <v>14988</v>
      </c>
      <c r="C1661" s="4">
        <v>45776</v>
      </c>
      <c r="D1661" s="4">
        <v>45779</v>
      </c>
      <c r="E1661" s="5" t="s">
        <v>17019</v>
      </c>
      <c r="F1661" s="5" t="s">
        <v>19008</v>
      </c>
      <c r="G1661" s="5" t="s">
        <v>817</v>
      </c>
      <c r="H1661" s="5">
        <v>1</v>
      </c>
      <c r="I1661" s="8" t="s">
        <v>8789</v>
      </c>
      <c r="J1661" s="8" t="s">
        <v>10838</v>
      </c>
      <c r="K1661" s="8" t="s">
        <v>2635</v>
      </c>
      <c r="L1661" s="8" t="s">
        <v>12889</v>
      </c>
      <c r="M1661" s="8" t="s">
        <v>4685</v>
      </c>
      <c r="N1661" s="8" t="s">
        <v>6736</v>
      </c>
      <c r="O1661" s="5" t="s">
        <v>115</v>
      </c>
      <c r="P1661" s="4">
        <v>45799</v>
      </c>
      <c r="Q1661" s="15">
        <v>35.799999999999997</v>
      </c>
      <c r="R1661" s="15">
        <v>0</v>
      </c>
      <c r="S1661" s="15">
        <v>0</v>
      </c>
      <c r="T1661"/>
    </row>
    <row r="1662" spans="1:20">
      <c r="A1662" s="5" t="s">
        <v>113</v>
      </c>
      <c r="B1662" s="5" t="s">
        <v>14989</v>
      </c>
      <c r="C1662" s="4">
        <v>45779</v>
      </c>
      <c r="D1662" s="4">
        <v>45779</v>
      </c>
      <c r="E1662" s="5" t="s">
        <v>17020</v>
      </c>
      <c r="F1662" s="5" t="s">
        <v>19009</v>
      </c>
      <c r="G1662" s="5" t="s">
        <v>849</v>
      </c>
      <c r="H1662" s="5">
        <v>1</v>
      </c>
      <c r="I1662" s="8" t="s">
        <v>8790</v>
      </c>
      <c r="J1662" s="8" t="s">
        <v>10839</v>
      </c>
      <c r="K1662" s="8" t="s">
        <v>2636</v>
      </c>
      <c r="L1662" s="8" t="s">
        <v>12890</v>
      </c>
      <c r="M1662" s="8" t="s">
        <v>4686</v>
      </c>
      <c r="N1662" s="8" t="s">
        <v>6737</v>
      </c>
      <c r="O1662" s="5" t="s">
        <v>116</v>
      </c>
      <c r="P1662" s="4">
        <v>45806</v>
      </c>
      <c r="Q1662" s="15">
        <v>65.7</v>
      </c>
      <c r="R1662" s="15">
        <v>14.51</v>
      </c>
      <c r="S1662" s="15">
        <v>0</v>
      </c>
      <c r="T1662"/>
    </row>
    <row r="1663" spans="1:20">
      <c r="A1663" s="5" t="s">
        <v>108</v>
      </c>
      <c r="B1663" s="5" t="s">
        <v>14990</v>
      </c>
      <c r="C1663" s="4">
        <v>45779</v>
      </c>
      <c r="D1663" s="4">
        <v>45779</v>
      </c>
      <c r="E1663" s="5" t="s">
        <v>17021</v>
      </c>
      <c r="F1663" s="5" t="s">
        <v>19010</v>
      </c>
      <c r="G1663" s="5" t="s">
        <v>831</v>
      </c>
      <c r="H1663" s="5">
        <v>1</v>
      </c>
      <c r="I1663" s="8" t="s">
        <v>8791</v>
      </c>
      <c r="J1663" s="8" t="s">
        <v>10840</v>
      </c>
      <c r="K1663" s="8" t="s">
        <v>2637</v>
      </c>
      <c r="L1663" s="8" t="s">
        <v>12891</v>
      </c>
      <c r="M1663" s="8" t="s">
        <v>4687</v>
      </c>
      <c r="N1663" s="8" t="s">
        <v>6738</v>
      </c>
      <c r="O1663" s="5" t="s">
        <v>150</v>
      </c>
      <c r="P1663" s="4">
        <v>45806</v>
      </c>
      <c r="Q1663" s="15">
        <v>54.9</v>
      </c>
      <c r="R1663" s="15">
        <v>13.85</v>
      </c>
      <c r="S1663" s="15">
        <v>0</v>
      </c>
      <c r="T1663"/>
    </row>
    <row r="1664" spans="1:20">
      <c r="A1664" s="5" t="s">
        <v>113</v>
      </c>
      <c r="B1664" s="5" t="s">
        <v>14991</v>
      </c>
      <c r="C1664" s="4">
        <v>45779</v>
      </c>
      <c r="D1664" s="4">
        <v>45782</v>
      </c>
      <c r="E1664" s="5" t="s">
        <v>17022</v>
      </c>
      <c r="F1664" s="5" t="s">
        <v>19011</v>
      </c>
      <c r="G1664" s="5" t="s">
        <v>836</v>
      </c>
      <c r="H1664" s="5">
        <v>1</v>
      </c>
      <c r="I1664" s="8" t="s">
        <v>8792</v>
      </c>
      <c r="J1664" s="8" t="s">
        <v>10841</v>
      </c>
      <c r="K1664" s="8" t="s">
        <v>2638</v>
      </c>
      <c r="L1664" s="8" t="s">
        <v>12892</v>
      </c>
      <c r="M1664" s="8" t="s">
        <v>4688</v>
      </c>
      <c r="N1664" s="8" t="s">
        <v>6739</v>
      </c>
      <c r="O1664" s="5" t="s">
        <v>143</v>
      </c>
      <c r="P1664" s="4">
        <v>45806</v>
      </c>
      <c r="Q1664" s="15">
        <v>32.67</v>
      </c>
      <c r="R1664" s="15">
        <v>17.3</v>
      </c>
      <c r="S1664" s="15">
        <v>0</v>
      </c>
      <c r="T1664"/>
    </row>
    <row r="1665" spans="1:20">
      <c r="A1665" s="5" t="s">
        <v>113</v>
      </c>
      <c r="B1665" s="5" t="s">
        <v>14992</v>
      </c>
      <c r="C1665" s="4">
        <v>45779</v>
      </c>
      <c r="D1665" s="4">
        <v>45782</v>
      </c>
      <c r="E1665" s="5" t="s">
        <v>17023</v>
      </c>
      <c r="F1665" s="5" t="s">
        <v>19012</v>
      </c>
      <c r="G1665" s="5" t="s">
        <v>831</v>
      </c>
      <c r="H1665" s="5">
        <v>1</v>
      </c>
      <c r="I1665" s="8" t="s">
        <v>8793</v>
      </c>
      <c r="J1665" s="8" t="s">
        <v>10842</v>
      </c>
      <c r="K1665" s="8" t="s">
        <v>2639</v>
      </c>
      <c r="L1665" s="8" t="s">
        <v>12893</v>
      </c>
      <c r="M1665" s="8" t="s">
        <v>4689</v>
      </c>
      <c r="N1665" s="8" t="s">
        <v>6740</v>
      </c>
      <c r="O1665" s="5" t="s">
        <v>139</v>
      </c>
      <c r="P1665" s="4">
        <v>45813</v>
      </c>
      <c r="Q1665" s="15">
        <v>49.9</v>
      </c>
      <c r="R1665" s="15">
        <v>21.12</v>
      </c>
      <c r="S1665" s="15">
        <v>0</v>
      </c>
      <c r="T1665"/>
    </row>
    <row r="1666" spans="1:20">
      <c r="A1666" s="5" t="s">
        <v>113</v>
      </c>
      <c r="B1666" s="5" t="s">
        <v>14993</v>
      </c>
      <c r="C1666" s="4">
        <v>45779</v>
      </c>
      <c r="D1666" s="4">
        <v>45782</v>
      </c>
      <c r="E1666" s="5" t="s">
        <v>17024</v>
      </c>
      <c r="F1666" s="5" t="s">
        <v>19013</v>
      </c>
      <c r="G1666" s="5" t="s">
        <v>845</v>
      </c>
      <c r="H1666" s="5">
        <v>1</v>
      </c>
      <c r="I1666" s="8" t="s">
        <v>8794</v>
      </c>
      <c r="J1666" s="8" t="s">
        <v>10843</v>
      </c>
      <c r="K1666" s="8" t="s">
        <v>2640</v>
      </c>
      <c r="L1666" s="8" t="s">
        <v>12894</v>
      </c>
      <c r="M1666" s="8" t="s">
        <v>4690</v>
      </c>
      <c r="N1666" s="8" t="s">
        <v>6741</v>
      </c>
      <c r="O1666" s="5" t="s">
        <v>137</v>
      </c>
      <c r="P1666" s="4">
        <v>45806</v>
      </c>
      <c r="Q1666" s="15">
        <v>48.9</v>
      </c>
      <c r="R1666" s="15">
        <v>24.46</v>
      </c>
      <c r="S1666" s="15">
        <v>0</v>
      </c>
      <c r="T1666"/>
    </row>
    <row r="1667" spans="1:20">
      <c r="A1667" s="5" t="s">
        <v>113</v>
      </c>
      <c r="B1667" s="5" t="s">
        <v>14994</v>
      </c>
      <c r="C1667" s="4">
        <v>45780</v>
      </c>
      <c r="D1667" s="4">
        <v>45782</v>
      </c>
      <c r="E1667" s="5" t="s">
        <v>17025</v>
      </c>
      <c r="F1667" s="5" t="s">
        <v>19014</v>
      </c>
      <c r="G1667" s="5" t="s">
        <v>831</v>
      </c>
      <c r="H1667" s="5">
        <v>1</v>
      </c>
      <c r="I1667" s="8" t="s">
        <v>8795</v>
      </c>
      <c r="J1667" s="8" t="s">
        <v>10844</v>
      </c>
      <c r="K1667" s="8" t="s">
        <v>2641</v>
      </c>
      <c r="L1667" s="8" t="s">
        <v>12895</v>
      </c>
      <c r="M1667" s="8" t="s">
        <v>4691</v>
      </c>
      <c r="N1667" s="8" t="s">
        <v>6742</v>
      </c>
      <c r="O1667" s="5" t="s">
        <v>139</v>
      </c>
      <c r="P1667" s="4">
        <v>45806</v>
      </c>
      <c r="Q1667" s="15">
        <v>49.9</v>
      </c>
      <c r="R1667" s="15">
        <v>14.41</v>
      </c>
      <c r="S1667" s="15">
        <v>0</v>
      </c>
      <c r="T1667"/>
    </row>
    <row r="1668" spans="1:20">
      <c r="A1668" s="5" t="s">
        <v>113</v>
      </c>
      <c r="B1668" s="5" t="s">
        <v>14995</v>
      </c>
      <c r="C1668" s="4">
        <v>45780</v>
      </c>
      <c r="D1668" s="4">
        <v>45782</v>
      </c>
      <c r="E1668" s="5" t="s">
        <v>17026</v>
      </c>
      <c r="F1668" s="5" t="s">
        <v>19015</v>
      </c>
      <c r="G1668" s="5" t="s">
        <v>845</v>
      </c>
      <c r="H1668" s="5">
        <v>1</v>
      </c>
      <c r="I1668" s="8" t="s">
        <v>8796</v>
      </c>
      <c r="J1668" s="8" t="s">
        <v>10845</v>
      </c>
      <c r="K1668" s="8" t="s">
        <v>2642</v>
      </c>
      <c r="L1668" s="8" t="s">
        <v>12896</v>
      </c>
      <c r="M1668" s="8" t="s">
        <v>4692</v>
      </c>
      <c r="N1668" s="8" t="s">
        <v>6743</v>
      </c>
      <c r="O1668" s="5" t="s">
        <v>137</v>
      </c>
      <c r="P1668" s="4">
        <v>45806</v>
      </c>
      <c r="Q1668" s="15">
        <v>48.9</v>
      </c>
      <c r="R1668" s="15">
        <v>14.88</v>
      </c>
      <c r="S1668" s="15">
        <v>0</v>
      </c>
      <c r="T1668"/>
    </row>
    <row r="1669" spans="1:20">
      <c r="A1669" s="5" t="s">
        <v>113</v>
      </c>
      <c r="B1669" s="5" t="s">
        <v>14996</v>
      </c>
      <c r="C1669" s="4">
        <v>45780</v>
      </c>
      <c r="D1669" s="4">
        <v>45782</v>
      </c>
      <c r="E1669" s="5" t="s">
        <v>17027</v>
      </c>
      <c r="F1669" s="5" t="s">
        <v>19016</v>
      </c>
      <c r="G1669" s="5" t="s">
        <v>831</v>
      </c>
      <c r="H1669" s="5">
        <v>1</v>
      </c>
      <c r="I1669" s="8" t="s">
        <v>8797</v>
      </c>
      <c r="J1669" s="8" t="s">
        <v>10846</v>
      </c>
      <c r="K1669" s="8" t="s">
        <v>2643</v>
      </c>
      <c r="L1669" s="8" t="s">
        <v>12897</v>
      </c>
      <c r="M1669" s="8" t="s">
        <v>4693</v>
      </c>
      <c r="N1669" s="8" t="s">
        <v>6744</v>
      </c>
      <c r="O1669" s="5" t="s">
        <v>139</v>
      </c>
      <c r="P1669" s="4">
        <v>45813</v>
      </c>
      <c r="Q1669" s="15">
        <v>49.9</v>
      </c>
      <c r="R1669" s="15">
        <v>21.12</v>
      </c>
      <c r="S1669" s="15">
        <v>0</v>
      </c>
      <c r="T1669"/>
    </row>
    <row r="1670" spans="1:20">
      <c r="A1670" s="5" t="s">
        <v>113</v>
      </c>
      <c r="B1670" s="5" t="s">
        <v>14997</v>
      </c>
      <c r="C1670" s="4">
        <v>45780</v>
      </c>
      <c r="D1670" s="4">
        <v>45782</v>
      </c>
      <c r="E1670" s="5" t="s">
        <v>17028</v>
      </c>
      <c r="F1670" s="5" t="s">
        <v>19017</v>
      </c>
      <c r="G1670" s="5" t="s">
        <v>831</v>
      </c>
      <c r="H1670" s="5">
        <v>1</v>
      </c>
      <c r="I1670" s="8" t="s">
        <v>8798</v>
      </c>
      <c r="J1670" s="8" t="s">
        <v>10847</v>
      </c>
      <c r="K1670" s="8" t="s">
        <v>2644</v>
      </c>
      <c r="L1670" s="8" t="s">
        <v>12898</v>
      </c>
      <c r="M1670" s="8" t="s">
        <v>4694</v>
      </c>
      <c r="N1670" s="8" t="s">
        <v>6745</v>
      </c>
      <c r="O1670" s="5" t="s">
        <v>139</v>
      </c>
      <c r="P1670" s="4">
        <v>45806</v>
      </c>
      <c r="Q1670" s="15">
        <v>49.9</v>
      </c>
      <c r="R1670" s="15">
        <v>24.95</v>
      </c>
      <c r="S1670" s="15">
        <v>0</v>
      </c>
      <c r="T1670"/>
    </row>
    <row r="1671" spans="1:20">
      <c r="A1671" s="5" t="s">
        <v>113</v>
      </c>
      <c r="B1671" s="5" t="s">
        <v>14998</v>
      </c>
      <c r="C1671" s="4">
        <v>45780</v>
      </c>
      <c r="D1671" s="4">
        <v>45782</v>
      </c>
      <c r="E1671" s="5" t="s">
        <v>17029</v>
      </c>
      <c r="F1671" s="5" t="s">
        <v>19018</v>
      </c>
      <c r="G1671" s="5" t="s">
        <v>833</v>
      </c>
      <c r="H1671" s="5">
        <v>1</v>
      </c>
      <c r="I1671" s="8" t="s">
        <v>8799</v>
      </c>
      <c r="J1671" s="8" t="s">
        <v>10848</v>
      </c>
      <c r="K1671" s="8" t="s">
        <v>2645</v>
      </c>
      <c r="L1671" s="8" t="s">
        <v>12899</v>
      </c>
      <c r="M1671" s="8" t="s">
        <v>4695</v>
      </c>
      <c r="N1671" s="8" t="s">
        <v>6746</v>
      </c>
      <c r="O1671" s="5" t="s">
        <v>147</v>
      </c>
      <c r="P1671" s="4">
        <v>45800</v>
      </c>
      <c r="Q1671" s="15">
        <v>22.7</v>
      </c>
      <c r="R1671" s="15">
        <v>19.71</v>
      </c>
      <c r="S1671" s="15">
        <v>0</v>
      </c>
      <c r="T1671"/>
    </row>
    <row r="1672" spans="1:20">
      <c r="A1672" s="5" t="s">
        <v>113</v>
      </c>
      <c r="B1672" s="5" t="s">
        <v>14999</v>
      </c>
      <c r="C1672" s="4">
        <v>45780</v>
      </c>
      <c r="D1672" s="4">
        <v>45782</v>
      </c>
      <c r="E1672" s="5" t="s">
        <v>17030</v>
      </c>
      <c r="F1672" s="5" t="s">
        <v>19019</v>
      </c>
      <c r="G1672" s="5" t="s">
        <v>860</v>
      </c>
      <c r="H1672" s="5">
        <v>1</v>
      </c>
      <c r="I1672" s="8" t="s">
        <v>8800</v>
      </c>
      <c r="J1672" s="8" t="s">
        <v>10849</v>
      </c>
      <c r="K1672" s="8" t="s">
        <v>2646</v>
      </c>
      <c r="L1672" s="8" t="s">
        <v>12900</v>
      </c>
      <c r="M1672" s="8" t="s">
        <v>4696</v>
      </c>
      <c r="N1672" s="8" t="s">
        <v>6747</v>
      </c>
      <c r="O1672" s="5" t="s">
        <v>141</v>
      </c>
      <c r="P1672" s="4">
        <v>45806</v>
      </c>
      <c r="Q1672" s="15">
        <v>49.99</v>
      </c>
      <c r="R1672" s="15">
        <v>40.22</v>
      </c>
      <c r="S1672" s="15">
        <v>0</v>
      </c>
      <c r="T1672"/>
    </row>
    <row r="1673" spans="1:20">
      <c r="A1673" s="5" t="s">
        <v>113</v>
      </c>
      <c r="B1673" s="5" t="s">
        <v>15000</v>
      </c>
      <c r="C1673" s="4">
        <v>45780</v>
      </c>
      <c r="D1673" s="4">
        <v>45782</v>
      </c>
      <c r="E1673" s="5" t="s">
        <v>17031</v>
      </c>
      <c r="F1673" s="5" t="s">
        <v>19020</v>
      </c>
      <c r="G1673" s="5" t="s">
        <v>831</v>
      </c>
      <c r="H1673" s="5">
        <v>1</v>
      </c>
      <c r="I1673" s="8" t="s">
        <v>8801</v>
      </c>
      <c r="J1673" s="8" t="s">
        <v>10850</v>
      </c>
      <c r="K1673" s="8" t="s">
        <v>2647</v>
      </c>
      <c r="L1673" s="8" t="s">
        <v>12901</v>
      </c>
      <c r="M1673" s="8" t="s">
        <v>4697</v>
      </c>
      <c r="N1673" s="8" t="s">
        <v>6748</v>
      </c>
      <c r="O1673" s="5" t="s">
        <v>139</v>
      </c>
      <c r="P1673" s="4">
        <v>45806</v>
      </c>
      <c r="Q1673" s="15">
        <v>49.9</v>
      </c>
      <c r="R1673" s="15">
        <v>14.41</v>
      </c>
      <c r="S1673" s="15">
        <v>0</v>
      </c>
      <c r="T1673"/>
    </row>
    <row r="1674" spans="1:20">
      <c r="A1674" s="5" t="s">
        <v>113</v>
      </c>
      <c r="B1674" s="5" t="s">
        <v>15001</v>
      </c>
      <c r="C1674" s="4">
        <v>45780</v>
      </c>
      <c r="D1674" s="4">
        <v>45782</v>
      </c>
      <c r="E1674" s="5" t="s">
        <v>17032</v>
      </c>
      <c r="F1674" s="5" t="s">
        <v>19021</v>
      </c>
      <c r="G1674" s="5" t="s">
        <v>849</v>
      </c>
      <c r="H1674" s="5">
        <v>1</v>
      </c>
      <c r="I1674" s="8" t="s">
        <v>8802</v>
      </c>
      <c r="J1674" s="8" t="s">
        <v>10851</v>
      </c>
      <c r="K1674" s="8" t="s">
        <v>2648</v>
      </c>
      <c r="L1674" s="8" t="s">
        <v>12902</v>
      </c>
      <c r="M1674" s="8" t="s">
        <v>4698</v>
      </c>
      <c r="N1674" s="8" t="s">
        <v>6749</v>
      </c>
      <c r="O1674" s="5" t="s">
        <v>116</v>
      </c>
      <c r="P1674" s="4">
        <v>45806</v>
      </c>
      <c r="Q1674" s="15">
        <v>65.7</v>
      </c>
      <c r="R1674" s="15">
        <v>21.94</v>
      </c>
      <c r="S1674" s="15">
        <v>0</v>
      </c>
      <c r="T1674"/>
    </row>
    <row r="1675" spans="1:20">
      <c r="A1675" s="5" t="s">
        <v>113</v>
      </c>
      <c r="B1675" s="5" t="s">
        <v>15002</v>
      </c>
      <c r="C1675" s="4">
        <v>45780</v>
      </c>
      <c r="D1675" s="4">
        <v>45783</v>
      </c>
      <c r="E1675" s="5" t="s">
        <v>17033</v>
      </c>
      <c r="F1675" s="5" t="s">
        <v>19022</v>
      </c>
      <c r="G1675" s="5" t="s">
        <v>905</v>
      </c>
      <c r="H1675" s="5">
        <v>1</v>
      </c>
      <c r="I1675" s="8" t="s">
        <v>8803</v>
      </c>
      <c r="J1675" s="8" t="s">
        <v>10852</v>
      </c>
      <c r="K1675" s="8" t="s">
        <v>2649</v>
      </c>
      <c r="L1675" s="8" t="s">
        <v>12903</v>
      </c>
      <c r="M1675" s="8" t="s">
        <v>4699</v>
      </c>
      <c r="N1675" s="8" t="s">
        <v>6750</v>
      </c>
      <c r="O1675" s="5" t="s">
        <v>125</v>
      </c>
      <c r="P1675" s="4">
        <v>45806</v>
      </c>
      <c r="Q1675" s="15">
        <v>31.99</v>
      </c>
      <c r="R1675" s="15">
        <v>14.52</v>
      </c>
      <c r="S1675" s="15">
        <v>0</v>
      </c>
      <c r="T1675"/>
    </row>
    <row r="1676" spans="1:20">
      <c r="A1676" s="5" t="s">
        <v>113</v>
      </c>
      <c r="B1676" s="5" t="s">
        <v>15003</v>
      </c>
      <c r="C1676" s="4">
        <v>45781</v>
      </c>
      <c r="D1676" s="4">
        <v>45783</v>
      </c>
      <c r="E1676" s="5" t="s">
        <v>17034</v>
      </c>
      <c r="F1676" s="5" t="s">
        <v>19023</v>
      </c>
      <c r="G1676" s="5" t="s">
        <v>831</v>
      </c>
      <c r="H1676" s="5">
        <v>1</v>
      </c>
      <c r="I1676" s="8" t="s">
        <v>8804</v>
      </c>
      <c r="J1676" s="8" t="s">
        <v>10853</v>
      </c>
      <c r="K1676" s="8" t="s">
        <v>2650</v>
      </c>
      <c r="L1676" s="8" t="s">
        <v>12904</v>
      </c>
      <c r="M1676" s="8" t="s">
        <v>4700</v>
      </c>
      <c r="N1676" s="8" t="s">
        <v>6751</v>
      </c>
      <c r="O1676" s="5" t="s">
        <v>139</v>
      </c>
      <c r="P1676" s="4">
        <v>45806</v>
      </c>
      <c r="Q1676" s="15">
        <v>49.9</v>
      </c>
      <c r="R1676" s="15">
        <v>21.44</v>
      </c>
      <c r="S1676" s="15">
        <v>0</v>
      </c>
      <c r="T1676"/>
    </row>
    <row r="1677" spans="1:20">
      <c r="A1677" s="5" t="s">
        <v>113</v>
      </c>
      <c r="B1677" s="5" t="s">
        <v>15004</v>
      </c>
      <c r="C1677" s="4">
        <v>45781</v>
      </c>
      <c r="D1677" s="4">
        <v>45784</v>
      </c>
      <c r="E1677" s="5" t="s">
        <v>17035</v>
      </c>
      <c r="F1677" s="5" t="s">
        <v>19024</v>
      </c>
      <c r="G1677" s="5" t="s">
        <v>860</v>
      </c>
      <c r="H1677" s="5">
        <v>1</v>
      </c>
      <c r="I1677" s="8" t="s">
        <v>8805</v>
      </c>
      <c r="J1677" s="8" t="s">
        <v>10854</v>
      </c>
      <c r="K1677" s="8" t="s">
        <v>2651</v>
      </c>
      <c r="L1677" s="8" t="s">
        <v>12905</v>
      </c>
      <c r="M1677" s="8" t="s">
        <v>4701</v>
      </c>
      <c r="N1677" s="8" t="s">
        <v>6752</v>
      </c>
      <c r="O1677" s="5" t="s">
        <v>141</v>
      </c>
      <c r="P1677" s="4">
        <v>45813</v>
      </c>
      <c r="Q1677" s="15">
        <v>49.99</v>
      </c>
      <c r="R1677" s="15">
        <v>24.03</v>
      </c>
      <c r="S1677" s="15">
        <v>0</v>
      </c>
      <c r="T1677"/>
    </row>
    <row r="1678" spans="1:20">
      <c r="A1678" s="5" t="s">
        <v>113</v>
      </c>
      <c r="B1678" s="5" t="s">
        <v>15005</v>
      </c>
      <c r="C1678" s="4">
        <v>45781</v>
      </c>
      <c r="D1678" s="4">
        <v>45784</v>
      </c>
      <c r="E1678" s="5" t="s">
        <v>17036</v>
      </c>
      <c r="F1678" s="5" t="s">
        <v>19025</v>
      </c>
      <c r="G1678" s="5" t="s">
        <v>833</v>
      </c>
      <c r="H1678" s="5">
        <v>1</v>
      </c>
      <c r="I1678" s="8" t="s">
        <v>8806</v>
      </c>
      <c r="J1678" s="8" t="s">
        <v>10855</v>
      </c>
      <c r="K1678" s="8" t="s">
        <v>2652</v>
      </c>
      <c r="L1678" s="8" t="s">
        <v>12906</v>
      </c>
      <c r="M1678" s="8" t="s">
        <v>4702</v>
      </c>
      <c r="N1678" s="8" t="s">
        <v>6753</v>
      </c>
      <c r="O1678" s="5" t="s">
        <v>147</v>
      </c>
      <c r="P1678" s="4">
        <v>45800</v>
      </c>
      <c r="Q1678" s="15">
        <v>22.7</v>
      </c>
      <c r="R1678" s="15">
        <v>14.71</v>
      </c>
      <c r="S1678" s="15">
        <v>0</v>
      </c>
      <c r="T1678"/>
    </row>
    <row r="1679" spans="1:20">
      <c r="A1679" s="5" t="s">
        <v>113</v>
      </c>
      <c r="B1679" s="5" t="s">
        <v>15006</v>
      </c>
      <c r="C1679" s="4">
        <v>45781</v>
      </c>
      <c r="D1679" s="4">
        <v>45784</v>
      </c>
      <c r="E1679" s="5" t="s">
        <v>17037</v>
      </c>
      <c r="F1679" s="5" t="s">
        <v>19026</v>
      </c>
      <c r="G1679" s="5" t="s">
        <v>860</v>
      </c>
      <c r="H1679" s="5">
        <v>1</v>
      </c>
      <c r="I1679" s="8" t="s">
        <v>8807</v>
      </c>
      <c r="J1679" s="8" t="s">
        <v>10856</v>
      </c>
      <c r="K1679" s="8" t="s">
        <v>2653</v>
      </c>
      <c r="L1679" s="8" t="s">
        <v>12907</v>
      </c>
      <c r="M1679" s="8" t="s">
        <v>4703</v>
      </c>
      <c r="N1679" s="8" t="s">
        <v>6754</v>
      </c>
      <c r="O1679" s="5" t="s">
        <v>141</v>
      </c>
      <c r="P1679" s="4">
        <v>45806</v>
      </c>
      <c r="Q1679" s="15">
        <v>49.99</v>
      </c>
      <c r="R1679" s="15">
        <v>0</v>
      </c>
      <c r="S1679" s="15">
        <v>0</v>
      </c>
      <c r="T1679"/>
    </row>
    <row r="1680" spans="1:20">
      <c r="A1680" s="5" t="s">
        <v>113</v>
      </c>
      <c r="B1680" s="5" t="s">
        <v>15007</v>
      </c>
      <c r="C1680" s="4">
        <v>45781</v>
      </c>
      <c r="D1680" s="4">
        <v>45784</v>
      </c>
      <c r="E1680" s="5" t="s">
        <v>17038</v>
      </c>
      <c r="F1680" s="5" t="s">
        <v>19027</v>
      </c>
      <c r="G1680" s="5" t="s">
        <v>845</v>
      </c>
      <c r="H1680" s="5">
        <v>1</v>
      </c>
      <c r="I1680" s="8" t="s">
        <v>8808</v>
      </c>
      <c r="J1680" s="8" t="s">
        <v>10857</v>
      </c>
      <c r="K1680" s="8" t="s">
        <v>2654</v>
      </c>
      <c r="L1680" s="8" t="s">
        <v>12908</v>
      </c>
      <c r="M1680" s="8" t="s">
        <v>4704</v>
      </c>
      <c r="N1680" s="8" t="s">
        <v>6755</v>
      </c>
      <c r="O1680" s="5" t="s">
        <v>137</v>
      </c>
      <c r="P1680" s="4">
        <v>45800</v>
      </c>
      <c r="Q1680" s="15">
        <v>48.9</v>
      </c>
      <c r="R1680" s="15">
        <v>22.01</v>
      </c>
      <c r="S1680" s="15">
        <v>0</v>
      </c>
      <c r="T1680"/>
    </row>
    <row r="1681" spans="1:20">
      <c r="A1681" s="5" t="s">
        <v>113</v>
      </c>
      <c r="B1681" s="5" t="s">
        <v>15008</v>
      </c>
      <c r="C1681" s="4">
        <v>45782</v>
      </c>
      <c r="D1681" s="4">
        <v>45784</v>
      </c>
      <c r="E1681" s="5" t="s">
        <v>17039</v>
      </c>
      <c r="F1681" s="5" t="s">
        <v>19028</v>
      </c>
      <c r="G1681" s="5" t="s">
        <v>860</v>
      </c>
      <c r="H1681" s="5">
        <v>1</v>
      </c>
      <c r="I1681" s="8" t="s">
        <v>8809</v>
      </c>
      <c r="J1681" s="8" t="s">
        <v>10858</v>
      </c>
      <c r="K1681" s="8" t="s">
        <v>2655</v>
      </c>
      <c r="L1681" s="8" t="s">
        <v>12909</v>
      </c>
      <c r="M1681" s="8" t="s">
        <v>4705</v>
      </c>
      <c r="N1681" s="8" t="s">
        <v>6756</v>
      </c>
      <c r="O1681" s="5" t="s">
        <v>141</v>
      </c>
      <c r="P1681" s="4">
        <v>45806</v>
      </c>
      <c r="Q1681" s="15">
        <v>49.99</v>
      </c>
      <c r="R1681" s="15">
        <v>39.94</v>
      </c>
      <c r="S1681" s="15">
        <v>0</v>
      </c>
      <c r="T1681"/>
    </row>
    <row r="1682" spans="1:20">
      <c r="A1682" s="5" t="s">
        <v>113</v>
      </c>
      <c r="B1682" s="5" t="s">
        <v>15009</v>
      </c>
      <c r="C1682" s="4">
        <v>45782</v>
      </c>
      <c r="D1682" s="4">
        <v>45784</v>
      </c>
      <c r="E1682" s="5" t="s">
        <v>17040</v>
      </c>
      <c r="F1682" s="5" t="s">
        <v>19029</v>
      </c>
      <c r="G1682" s="5" t="s">
        <v>860</v>
      </c>
      <c r="H1682" s="5">
        <v>1</v>
      </c>
      <c r="I1682" s="8" t="s">
        <v>8810</v>
      </c>
      <c r="J1682" s="8" t="s">
        <v>10859</v>
      </c>
      <c r="K1682" s="8" t="s">
        <v>2656</v>
      </c>
      <c r="L1682" s="8" t="s">
        <v>12910</v>
      </c>
      <c r="M1682" s="8" t="s">
        <v>4706</v>
      </c>
      <c r="N1682" s="8" t="s">
        <v>6757</v>
      </c>
      <c r="O1682" s="5" t="s">
        <v>141</v>
      </c>
      <c r="P1682" s="4">
        <v>45813</v>
      </c>
      <c r="Q1682" s="15">
        <v>49.99</v>
      </c>
      <c r="R1682" s="15">
        <v>16.739999999999998</v>
      </c>
      <c r="S1682" s="15">
        <v>0</v>
      </c>
      <c r="T1682"/>
    </row>
    <row r="1683" spans="1:20">
      <c r="A1683" s="5" t="s">
        <v>113</v>
      </c>
      <c r="B1683" s="5" t="s">
        <v>15010</v>
      </c>
      <c r="C1683" s="4">
        <v>45782</v>
      </c>
      <c r="D1683" s="4">
        <v>45784</v>
      </c>
      <c r="E1683" s="5" t="s">
        <v>17041</v>
      </c>
      <c r="F1683" s="5" t="s">
        <v>19030</v>
      </c>
      <c r="G1683" s="5" t="s">
        <v>889</v>
      </c>
      <c r="H1683" s="5">
        <v>1</v>
      </c>
      <c r="I1683" s="8" t="s">
        <v>8811</v>
      </c>
      <c r="J1683" s="8" t="s">
        <v>10860</v>
      </c>
      <c r="K1683" s="8" t="s">
        <v>2657</v>
      </c>
      <c r="L1683" s="8" t="s">
        <v>12911</v>
      </c>
      <c r="M1683" s="8" t="s">
        <v>4707</v>
      </c>
      <c r="N1683" s="8" t="s">
        <v>6758</v>
      </c>
      <c r="O1683" s="5" t="s">
        <v>145</v>
      </c>
      <c r="P1683" s="4">
        <v>45814</v>
      </c>
      <c r="Q1683" s="15">
        <v>49.99</v>
      </c>
      <c r="R1683" s="15">
        <v>0</v>
      </c>
      <c r="S1683" s="15">
        <v>0</v>
      </c>
      <c r="T1683"/>
    </row>
    <row r="1684" spans="1:20">
      <c r="A1684" s="5" t="s">
        <v>113</v>
      </c>
      <c r="B1684" s="5" t="s">
        <v>15011</v>
      </c>
      <c r="C1684" s="4">
        <v>45782</v>
      </c>
      <c r="D1684" s="4">
        <v>45784</v>
      </c>
      <c r="E1684" s="5" t="s">
        <v>17042</v>
      </c>
      <c r="F1684" s="5" t="s">
        <v>19031</v>
      </c>
      <c r="G1684" s="5" t="s">
        <v>845</v>
      </c>
      <c r="H1684" s="5">
        <v>1</v>
      </c>
      <c r="I1684" s="8" t="s">
        <v>8812</v>
      </c>
      <c r="J1684" s="8" t="s">
        <v>10861</v>
      </c>
      <c r="K1684" s="8" t="s">
        <v>2658</v>
      </c>
      <c r="L1684" s="8" t="s">
        <v>12912</v>
      </c>
      <c r="M1684" s="8" t="s">
        <v>4708</v>
      </c>
      <c r="N1684" s="8" t="s">
        <v>6759</v>
      </c>
      <c r="O1684" s="5" t="s">
        <v>137</v>
      </c>
      <c r="P1684" s="4">
        <v>45801</v>
      </c>
      <c r="Q1684" s="15">
        <v>48.9</v>
      </c>
      <c r="R1684" s="15">
        <v>22.01</v>
      </c>
      <c r="S1684" s="15">
        <v>0</v>
      </c>
      <c r="T1684"/>
    </row>
    <row r="1685" spans="1:20">
      <c r="A1685" s="5" t="s">
        <v>113</v>
      </c>
      <c r="B1685" s="5" t="s">
        <v>15012</v>
      </c>
      <c r="C1685" s="4">
        <v>45782</v>
      </c>
      <c r="D1685" s="4">
        <v>45784</v>
      </c>
      <c r="E1685" s="5" t="s">
        <v>17043</v>
      </c>
      <c r="F1685" s="5" t="s">
        <v>19032</v>
      </c>
      <c r="G1685" s="5" t="s">
        <v>833</v>
      </c>
      <c r="H1685" s="5">
        <v>1</v>
      </c>
      <c r="I1685" s="8" t="s">
        <v>8813</v>
      </c>
      <c r="J1685" s="8" t="s">
        <v>10862</v>
      </c>
      <c r="K1685" s="8" t="s">
        <v>2659</v>
      </c>
      <c r="L1685" s="8" t="s">
        <v>12913</v>
      </c>
      <c r="M1685" s="8" t="s">
        <v>4709</v>
      </c>
      <c r="N1685" s="8" t="s">
        <v>6760</v>
      </c>
      <c r="O1685" s="5" t="s">
        <v>147</v>
      </c>
      <c r="P1685" s="4">
        <v>45807</v>
      </c>
      <c r="Q1685" s="15">
        <v>22.7</v>
      </c>
      <c r="R1685" s="15">
        <v>17.170000000000002</v>
      </c>
      <c r="S1685" s="15">
        <v>0</v>
      </c>
      <c r="T1685"/>
    </row>
    <row r="1686" spans="1:20">
      <c r="A1686" s="5" t="s">
        <v>113</v>
      </c>
      <c r="B1686" s="5" t="s">
        <v>15013</v>
      </c>
      <c r="C1686" s="4">
        <v>45782</v>
      </c>
      <c r="D1686" s="4">
        <v>45785</v>
      </c>
      <c r="E1686" s="5" t="s">
        <v>17044</v>
      </c>
      <c r="F1686" s="5" t="s">
        <v>19033</v>
      </c>
      <c r="G1686" s="5" t="s">
        <v>905</v>
      </c>
      <c r="H1686" s="5">
        <v>1</v>
      </c>
      <c r="I1686" s="8" t="s">
        <v>8814</v>
      </c>
      <c r="J1686" s="8" t="s">
        <v>10863</v>
      </c>
      <c r="K1686" s="8" t="s">
        <v>2660</v>
      </c>
      <c r="L1686" s="8" t="s">
        <v>12914</v>
      </c>
      <c r="M1686" s="8" t="s">
        <v>4710</v>
      </c>
      <c r="N1686" s="8" t="s">
        <v>6761</v>
      </c>
      <c r="O1686" s="5" t="s">
        <v>125</v>
      </c>
      <c r="P1686" s="4">
        <v>45801</v>
      </c>
      <c r="Q1686" s="15">
        <v>31.99</v>
      </c>
      <c r="R1686" s="15">
        <v>14.52</v>
      </c>
      <c r="S1686" s="15">
        <v>0</v>
      </c>
      <c r="T1686"/>
    </row>
    <row r="1687" spans="1:20">
      <c r="A1687" s="5" t="s">
        <v>113</v>
      </c>
      <c r="B1687" s="5" t="s">
        <v>15014</v>
      </c>
      <c r="C1687" s="4">
        <v>45782</v>
      </c>
      <c r="D1687" s="4">
        <v>45784</v>
      </c>
      <c r="E1687" s="5" t="s">
        <v>17045</v>
      </c>
      <c r="F1687" s="5" t="s">
        <v>19034</v>
      </c>
      <c r="G1687" s="5" t="s">
        <v>896</v>
      </c>
      <c r="H1687" s="5">
        <v>1</v>
      </c>
      <c r="I1687" s="8" t="s">
        <v>8815</v>
      </c>
      <c r="J1687" s="8" t="s">
        <v>10864</v>
      </c>
      <c r="K1687" s="8" t="s">
        <v>2661</v>
      </c>
      <c r="L1687" s="8" t="s">
        <v>12915</v>
      </c>
      <c r="M1687" s="8" t="s">
        <v>4711</v>
      </c>
      <c r="N1687" s="8" t="s">
        <v>6762</v>
      </c>
      <c r="O1687" s="5" t="s">
        <v>142</v>
      </c>
      <c r="P1687" s="4">
        <v>45801</v>
      </c>
      <c r="Q1687" s="15">
        <v>96.87</v>
      </c>
      <c r="R1687" s="15">
        <v>63.83</v>
      </c>
      <c r="S1687" s="15">
        <v>0</v>
      </c>
      <c r="T1687"/>
    </row>
    <row r="1688" spans="1:20">
      <c r="A1688" s="5" t="s">
        <v>113</v>
      </c>
      <c r="B1688" s="5" t="s">
        <v>15015</v>
      </c>
      <c r="C1688" s="4">
        <v>45783</v>
      </c>
      <c r="D1688" s="4">
        <v>45784</v>
      </c>
      <c r="E1688" s="5" t="s">
        <v>17046</v>
      </c>
      <c r="F1688" s="5" t="s">
        <v>19035</v>
      </c>
      <c r="G1688" s="5" t="s">
        <v>845</v>
      </c>
      <c r="H1688" s="5">
        <v>1</v>
      </c>
      <c r="I1688" s="8" t="s">
        <v>8816</v>
      </c>
      <c r="J1688" s="8" t="s">
        <v>10865</v>
      </c>
      <c r="K1688" s="8" t="s">
        <v>2662</v>
      </c>
      <c r="L1688" s="8" t="s">
        <v>12916</v>
      </c>
      <c r="M1688" s="8" t="s">
        <v>4712</v>
      </c>
      <c r="N1688" s="8" t="s">
        <v>6763</v>
      </c>
      <c r="O1688" s="5" t="s">
        <v>137</v>
      </c>
      <c r="P1688" s="4">
        <v>45807</v>
      </c>
      <c r="Q1688" s="15">
        <v>48.9</v>
      </c>
      <c r="R1688" s="15">
        <v>15.27</v>
      </c>
      <c r="S1688" s="15">
        <v>0</v>
      </c>
      <c r="T1688"/>
    </row>
    <row r="1689" spans="1:20">
      <c r="A1689" s="5" t="s">
        <v>113</v>
      </c>
      <c r="B1689" s="5" t="s">
        <v>15016</v>
      </c>
      <c r="C1689" s="4">
        <v>45782</v>
      </c>
      <c r="D1689" s="4">
        <v>45785</v>
      </c>
      <c r="E1689" s="5" t="s">
        <v>17047</v>
      </c>
      <c r="F1689" s="5" t="s">
        <v>19036</v>
      </c>
      <c r="G1689" s="5" t="s">
        <v>836</v>
      </c>
      <c r="H1689" s="5">
        <v>1</v>
      </c>
      <c r="I1689" s="8" t="s">
        <v>8817</v>
      </c>
      <c r="J1689" s="8" t="s">
        <v>10866</v>
      </c>
      <c r="K1689" s="8" t="s">
        <v>2663</v>
      </c>
      <c r="L1689" s="8" t="s">
        <v>12917</v>
      </c>
      <c r="M1689" s="8" t="s">
        <v>4713</v>
      </c>
      <c r="N1689" s="8" t="s">
        <v>6764</v>
      </c>
      <c r="O1689" s="5" t="s">
        <v>143</v>
      </c>
      <c r="P1689" s="4">
        <v>45801</v>
      </c>
      <c r="Q1689" s="15">
        <v>32.67</v>
      </c>
      <c r="R1689" s="15">
        <v>12.3</v>
      </c>
      <c r="S1689" s="15">
        <v>0</v>
      </c>
      <c r="T1689"/>
    </row>
    <row r="1690" spans="1:20">
      <c r="A1690" s="5" t="s">
        <v>113</v>
      </c>
      <c r="B1690" s="5" t="s">
        <v>15017</v>
      </c>
      <c r="C1690" s="4">
        <v>45783</v>
      </c>
      <c r="D1690" s="4">
        <v>45784</v>
      </c>
      <c r="E1690" s="5" t="s">
        <v>17048</v>
      </c>
      <c r="F1690" s="5" t="s">
        <v>19037</v>
      </c>
      <c r="G1690" s="5" t="s">
        <v>845</v>
      </c>
      <c r="H1690" s="5">
        <v>1</v>
      </c>
      <c r="I1690" s="8" t="s">
        <v>8818</v>
      </c>
      <c r="J1690" s="8" t="s">
        <v>10867</v>
      </c>
      <c r="K1690" s="8" t="s">
        <v>2664</v>
      </c>
      <c r="L1690" s="8" t="s">
        <v>12918</v>
      </c>
      <c r="M1690" s="8" t="s">
        <v>4714</v>
      </c>
      <c r="N1690" s="8" t="s">
        <v>6765</v>
      </c>
      <c r="O1690" s="5" t="s">
        <v>137</v>
      </c>
      <c r="P1690" s="4">
        <v>45808</v>
      </c>
      <c r="Q1690" s="15">
        <v>48.9</v>
      </c>
      <c r="R1690" s="15">
        <v>0</v>
      </c>
      <c r="S1690" s="15">
        <v>0</v>
      </c>
      <c r="T1690"/>
    </row>
    <row r="1691" spans="1:20">
      <c r="A1691" s="5" t="s">
        <v>113</v>
      </c>
      <c r="B1691" s="5" t="s">
        <v>15018</v>
      </c>
      <c r="C1691" s="4">
        <v>45783</v>
      </c>
      <c r="D1691" s="4">
        <v>45785</v>
      </c>
      <c r="E1691" s="5" t="s">
        <v>17049</v>
      </c>
      <c r="F1691" s="5" t="s">
        <v>19038</v>
      </c>
      <c r="G1691" s="5" t="s">
        <v>849</v>
      </c>
      <c r="H1691" s="5">
        <v>1</v>
      </c>
      <c r="I1691" s="8" t="s">
        <v>8819</v>
      </c>
      <c r="J1691" s="8" t="s">
        <v>10868</v>
      </c>
      <c r="K1691" s="8" t="s">
        <v>2665</v>
      </c>
      <c r="L1691" s="8" t="s">
        <v>12919</v>
      </c>
      <c r="M1691" s="8" t="s">
        <v>4715</v>
      </c>
      <c r="N1691" s="8" t="s">
        <v>6766</v>
      </c>
      <c r="O1691" s="5" t="s">
        <v>116</v>
      </c>
      <c r="P1691" s="4">
        <v>45804</v>
      </c>
      <c r="Q1691" s="15">
        <v>65.7</v>
      </c>
      <c r="R1691" s="15">
        <v>14.3</v>
      </c>
      <c r="S1691" s="15">
        <v>0</v>
      </c>
      <c r="T1691"/>
    </row>
    <row r="1692" spans="1:20">
      <c r="A1692" s="5" t="s">
        <v>113</v>
      </c>
      <c r="B1692" s="5" t="s">
        <v>15019</v>
      </c>
      <c r="C1692" s="4">
        <v>45784</v>
      </c>
      <c r="D1692" s="4">
        <v>45785</v>
      </c>
      <c r="E1692" s="5" t="s">
        <v>17050</v>
      </c>
      <c r="F1692" s="5" t="s">
        <v>19039</v>
      </c>
      <c r="G1692" s="5" t="s">
        <v>845</v>
      </c>
      <c r="H1692" s="5">
        <v>1</v>
      </c>
      <c r="I1692" s="8" t="s">
        <v>8820</v>
      </c>
      <c r="J1692" s="8" t="s">
        <v>10869</v>
      </c>
      <c r="K1692" s="8" t="s">
        <v>2666</v>
      </c>
      <c r="L1692" s="8" t="s">
        <v>12920</v>
      </c>
      <c r="M1692" s="8" t="s">
        <v>4716</v>
      </c>
      <c r="N1692" s="8" t="s">
        <v>6767</v>
      </c>
      <c r="O1692" s="5" t="s">
        <v>137</v>
      </c>
      <c r="P1692" s="4">
        <v>45815</v>
      </c>
      <c r="Q1692" s="15">
        <v>48.9</v>
      </c>
      <c r="R1692" s="15">
        <v>21.72</v>
      </c>
      <c r="S1692" s="15">
        <v>0</v>
      </c>
      <c r="T1692"/>
    </row>
    <row r="1693" spans="1:20">
      <c r="A1693" s="5" t="s">
        <v>113</v>
      </c>
      <c r="B1693" s="5" t="s">
        <v>15020</v>
      </c>
      <c r="C1693" s="4">
        <v>45784</v>
      </c>
      <c r="D1693" s="4">
        <v>45789</v>
      </c>
      <c r="E1693" s="5" t="s">
        <v>17051</v>
      </c>
      <c r="F1693" s="5" t="s">
        <v>19040</v>
      </c>
      <c r="G1693" s="5" t="s">
        <v>860</v>
      </c>
      <c r="H1693" s="5">
        <v>1</v>
      </c>
      <c r="I1693" s="8" t="s">
        <v>8821</v>
      </c>
      <c r="J1693" s="8" t="s">
        <v>10870</v>
      </c>
      <c r="K1693" s="8" t="s">
        <v>2667</v>
      </c>
      <c r="L1693" s="8" t="s">
        <v>12921</v>
      </c>
      <c r="M1693" s="8" t="s">
        <v>4717</v>
      </c>
      <c r="N1693" s="8" t="s">
        <v>6768</v>
      </c>
      <c r="O1693" s="5" t="s">
        <v>141</v>
      </c>
      <c r="P1693" s="4">
        <v>45811</v>
      </c>
      <c r="Q1693" s="15">
        <v>49.99</v>
      </c>
      <c r="R1693" s="15">
        <v>0</v>
      </c>
      <c r="S1693" s="15">
        <v>0</v>
      </c>
      <c r="T1693"/>
    </row>
    <row r="1694" spans="1:20">
      <c r="A1694" s="5" t="s">
        <v>113</v>
      </c>
      <c r="B1694" s="5" t="s">
        <v>15021</v>
      </c>
      <c r="C1694" s="4">
        <v>45784</v>
      </c>
      <c r="D1694" s="4">
        <v>45785</v>
      </c>
      <c r="E1694" s="5" t="s">
        <v>17052</v>
      </c>
      <c r="F1694" s="5" t="s">
        <v>19041</v>
      </c>
      <c r="G1694" s="5" t="s">
        <v>855</v>
      </c>
      <c r="H1694" s="5">
        <v>1</v>
      </c>
      <c r="I1694" s="8" t="s">
        <v>8822</v>
      </c>
      <c r="J1694" s="8" t="s">
        <v>10871</v>
      </c>
      <c r="K1694" s="8" t="s">
        <v>2668</v>
      </c>
      <c r="L1694" s="8" t="s">
        <v>12922</v>
      </c>
      <c r="M1694" s="8" t="s">
        <v>4718</v>
      </c>
      <c r="N1694" s="8" t="s">
        <v>6769</v>
      </c>
      <c r="O1694" s="5" t="s">
        <v>138</v>
      </c>
      <c r="P1694" s="4">
        <v>45811</v>
      </c>
      <c r="Q1694" s="15">
        <v>35.99</v>
      </c>
      <c r="R1694" s="15">
        <v>19.11</v>
      </c>
      <c r="S1694" s="15">
        <v>0</v>
      </c>
      <c r="T1694"/>
    </row>
    <row r="1695" spans="1:20">
      <c r="A1695" s="5" t="s">
        <v>113</v>
      </c>
      <c r="B1695" s="5" t="s">
        <v>15022</v>
      </c>
      <c r="C1695" s="4">
        <v>45784</v>
      </c>
      <c r="D1695" s="4">
        <v>45785</v>
      </c>
      <c r="E1695" s="5" t="s">
        <v>17053</v>
      </c>
      <c r="F1695" s="5" t="s">
        <v>19042</v>
      </c>
      <c r="G1695" s="5" t="s">
        <v>831</v>
      </c>
      <c r="H1695" s="5">
        <v>1</v>
      </c>
      <c r="I1695" s="8" t="s">
        <v>8823</v>
      </c>
      <c r="J1695" s="8" t="s">
        <v>10872</v>
      </c>
      <c r="K1695" s="8" t="s">
        <v>2669</v>
      </c>
      <c r="L1695" s="8" t="s">
        <v>12923</v>
      </c>
      <c r="M1695" s="8" t="s">
        <v>4719</v>
      </c>
      <c r="N1695" s="8" t="s">
        <v>6770</v>
      </c>
      <c r="O1695" s="5" t="s">
        <v>139</v>
      </c>
      <c r="P1695" s="4">
        <v>45805</v>
      </c>
      <c r="Q1695" s="15">
        <v>49.9</v>
      </c>
      <c r="R1695" s="15">
        <v>14.1</v>
      </c>
      <c r="S1695" s="15">
        <v>0</v>
      </c>
      <c r="T1695"/>
    </row>
    <row r="1696" spans="1:20">
      <c r="A1696" s="5" t="s">
        <v>113</v>
      </c>
      <c r="B1696" s="5" t="s">
        <v>15023</v>
      </c>
      <c r="C1696" s="4">
        <v>45784</v>
      </c>
      <c r="D1696" s="4" t="s">
        <v>37</v>
      </c>
      <c r="E1696" s="5" t="s">
        <v>37</v>
      </c>
      <c r="F1696" s="5" t="s">
        <v>37</v>
      </c>
      <c r="G1696" s="5" t="s">
        <v>845</v>
      </c>
      <c r="H1696" s="5">
        <v>1</v>
      </c>
      <c r="I1696" s="8" t="s">
        <v>8824</v>
      </c>
      <c r="J1696" s="8" t="s">
        <v>10873</v>
      </c>
      <c r="K1696" s="8" t="s">
        <v>2670</v>
      </c>
      <c r="L1696" s="8" t="s">
        <v>12924</v>
      </c>
      <c r="M1696" s="8" t="s">
        <v>4720</v>
      </c>
      <c r="N1696" s="8" t="s">
        <v>6771</v>
      </c>
      <c r="O1696" s="5" t="s">
        <v>137</v>
      </c>
      <c r="P1696" s="4">
        <v>45805</v>
      </c>
      <c r="Q1696" s="15">
        <v>48.9</v>
      </c>
      <c r="R1696" s="15">
        <v>0</v>
      </c>
      <c r="S1696" s="15">
        <v>0</v>
      </c>
      <c r="T1696"/>
    </row>
    <row r="1697" spans="1:20">
      <c r="A1697" s="5" t="s">
        <v>113</v>
      </c>
      <c r="B1697" s="5" t="s">
        <v>15024</v>
      </c>
      <c r="C1697" s="4">
        <v>45784</v>
      </c>
      <c r="D1697" s="4" t="s">
        <v>37</v>
      </c>
      <c r="E1697" s="5" t="s">
        <v>37</v>
      </c>
      <c r="F1697" s="5" t="s">
        <v>37</v>
      </c>
      <c r="G1697" s="5" t="s">
        <v>894</v>
      </c>
      <c r="H1697" s="5">
        <v>1</v>
      </c>
      <c r="I1697" s="8" t="s">
        <v>8825</v>
      </c>
      <c r="J1697" s="8" t="s">
        <v>10874</v>
      </c>
      <c r="K1697" s="8" t="s">
        <v>2671</v>
      </c>
      <c r="L1697" s="8" t="s">
        <v>12925</v>
      </c>
      <c r="M1697" s="8" t="s">
        <v>4721</v>
      </c>
      <c r="N1697" s="8" t="s">
        <v>6772</v>
      </c>
      <c r="O1697" s="5" t="s">
        <v>127</v>
      </c>
      <c r="P1697" s="4">
        <v>45811</v>
      </c>
      <c r="Q1697" s="15">
        <v>39.47</v>
      </c>
      <c r="R1697" s="15">
        <v>0</v>
      </c>
      <c r="S1697" s="15">
        <v>0</v>
      </c>
      <c r="T1697"/>
    </row>
    <row r="1698" spans="1:20">
      <c r="A1698" s="5" t="s">
        <v>113</v>
      </c>
      <c r="B1698" s="5" t="s">
        <v>15025</v>
      </c>
      <c r="C1698" s="4">
        <v>45784</v>
      </c>
      <c r="D1698" s="4" t="s">
        <v>37</v>
      </c>
      <c r="E1698" s="5" t="s">
        <v>37</v>
      </c>
      <c r="F1698" s="5" t="s">
        <v>37</v>
      </c>
      <c r="G1698" s="5" t="s">
        <v>831</v>
      </c>
      <c r="H1698" s="5">
        <v>1</v>
      </c>
      <c r="I1698" s="8" t="s">
        <v>8826</v>
      </c>
      <c r="J1698" s="8" t="s">
        <v>10875</v>
      </c>
      <c r="K1698" s="8" t="s">
        <v>2672</v>
      </c>
      <c r="L1698" s="8" t="s">
        <v>12926</v>
      </c>
      <c r="M1698" s="8" t="s">
        <v>4722</v>
      </c>
      <c r="N1698" s="8" t="s">
        <v>6773</v>
      </c>
      <c r="O1698" s="5" t="s">
        <v>139</v>
      </c>
      <c r="P1698" s="4">
        <v>45805</v>
      </c>
      <c r="Q1698" s="15">
        <v>49.9</v>
      </c>
      <c r="R1698" s="15">
        <v>0</v>
      </c>
      <c r="S1698" s="15">
        <v>0</v>
      </c>
      <c r="T1698"/>
    </row>
    <row r="1699" spans="1:20">
      <c r="A1699" s="5" t="s">
        <v>113</v>
      </c>
      <c r="B1699" s="5" t="s">
        <v>15026</v>
      </c>
      <c r="C1699" s="4">
        <v>45784</v>
      </c>
      <c r="D1699" s="4">
        <v>45785</v>
      </c>
      <c r="E1699" s="5" t="s">
        <v>17054</v>
      </c>
      <c r="F1699" s="5" t="s">
        <v>19043</v>
      </c>
      <c r="G1699" s="5" t="s">
        <v>831</v>
      </c>
      <c r="H1699" s="5">
        <v>1</v>
      </c>
      <c r="I1699" s="8" t="s">
        <v>8827</v>
      </c>
      <c r="J1699" s="8" t="s">
        <v>10876</v>
      </c>
      <c r="K1699" s="8" t="s">
        <v>2673</v>
      </c>
      <c r="L1699" s="8" t="s">
        <v>12927</v>
      </c>
      <c r="M1699" s="8" t="s">
        <v>4723</v>
      </c>
      <c r="N1699" s="8" t="s">
        <v>6774</v>
      </c>
      <c r="O1699" s="5" t="s">
        <v>139</v>
      </c>
      <c r="P1699" s="4">
        <v>45811</v>
      </c>
      <c r="Q1699" s="15">
        <v>49.9</v>
      </c>
      <c r="R1699" s="15">
        <v>14.58</v>
      </c>
      <c r="S1699" s="15">
        <v>0</v>
      </c>
      <c r="T1699"/>
    </row>
    <row r="1700" spans="1:20">
      <c r="A1700" s="5" t="s">
        <v>113</v>
      </c>
      <c r="B1700" s="5" t="s">
        <v>15027</v>
      </c>
      <c r="C1700" s="4">
        <v>45785</v>
      </c>
      <c r="D1700" s="4">
        <v>45785</v>
      </c>
      <c r="E1700" s="5" t="s">
        <v>17055</v>
      </c>
      <c r="F1700" s="5" t="s">
        <v>19044</v>
      </c>
      <c r="G1700" s="5" t="s">
        <v>849</v>
      </c>
      <c r="H1700" s="5">
        <v>1</v>
      </c>
      <c r="I1700" s="8" t="s">
        <v>8828</v>
      </c>
      <c r="J1700" s="8" t="s">
        <v>10877</v>
      </c>
      <c r="K1700" s="8" t="s">
        <v>2674</v>
      </c>
      <c r="L1700" s="8" t="s">
        <v>12928</v>
      </c>
      <c r="M1700" s="8" t="s">
        <v>4724</v>
      </c>
      <c r="N1700" s="8" t="s">
        <v>6775</v>
      </c>
      <c r="O1700" s="5" t="s">
        <v>116</v>
      </c>
      <c r="P1700" s="4">
        <v>45806</v>
      </c>
      <c r="Q1700" s="15">
        <v>65.7</v>
      </c>
      <c r="R1700" s="15">
        <v>21.51</v>
      </c>
      <c r="S1700" s="15">
        <v>0</v>
      </c>
      <c r="T1700"/>
    </row>
    <row r="1701" spans="1:20">
      <c r="A1701" s="5" t="s">
        <v>113</v>
      </c>
      <c r="B1701" s="5" t="s">
        <v>15028</v>
      </c>
      <c r="C1701" s="4">
        <v>45785</v>
      </c>
      <c r="D1701" s="4">
        <v>45785</v>
      </c>
      <c r="E1701" s="5" t="s">
        <v>17056</v>
      </c>
      <c r="F1701" s="5" t="s">
        <v>19045</v>
      </c>
      <c r="G1701" s="5" t="s">
        <v>876</v>
      </c>
      <c r="H1701" s="5">
        <v>1</v>
      </c>
      <c r="I1701" s="8" t="s">
        <v>8829</v>
      </c>
      <c r="J1701" s="8" t="s">
        <v>10878</v>
      </c>
      <c r="K1701" s="8" t="s">
        <v>2675</v>
      </c>
      <c r="L1701" s="8" t="s">
        <v>12929</v>
      </c>
      <c r="M1701" s="8" t="s">
        <v>4725</v>
      </c>
      <c r="N1701" s="8" t="s">
        <v>6776</v>
      </c>
      <c r="O1701" s="5" t="s">
        <v>144</v>
      </c>
      <c r="P1701" s="4">
        <v>45812</v>
      </c>
      <c r="Q1701" s="15">
        <v>52.73</v>
      </c>
      <c r="R1701" s="15">
        <v>22.29</v>
      </c>
      <c r="S1701" s="15">
        <v>0</v>
      </c>
      <c r="T1701"/>
    </row>
    <row r="1702" spans="1:20">
      <c r="A1702" s="5" t="s">
        <v>113</v>
      </c>
      <c r="B1702" s="5" t="s">
        <v>15029</v>
      </c>
      <c r="C1702" s="4">
        <v>45785</v>
      </c>
      <c r="D1702" s="4" t="s">
        <v>37</v>
      </c>
      <c r="E1702" s="5" t="s">
        <v>37</v>
      </c>
      <c r="F1702" s="5" t="s">
        <v>37</v>
      </c>
      <c r="G1702" s="5" t="s">
        <v>831</v>
      </c>
      <c r="H1702" s="5">
        <v>1</v>
      </c>
      <c r="I1702" s="8" t="s">
        <v>8830</v>
      </c>
      <c r="J1702" s="8" t="s">
        <v>10879</v>
      </c>
      <c r="K1702" s="8" t="s">
        <v>2676</v>
      </c>
      <c r="L1702" s="8" t="s">
        <v>12930</v>
      </c>
      <c r="M1702" s="8" t="s">
        <v>4726</v>
      </c>
      <c r="N1702" s="8" t="s">
        <v>6777</v>
      </c>
      <c r="O1702" s="5" t="s">
        <v>139</v>
      </c>
      <c r="P1702" s="4">
        <v>45812</v>
      </c>
      <c r="Q1702" s="15">
        <v>49.9</v>
      </c>
      <c r="R1702" s="15">
        <v>0</v>
      </c>
      <c r="S1702" s="15">
        <v>0</v>
      </c>
      <c r="T1702"/>
    </row>
    <row r="1703" spans="1:20">
      <c r="A1703" s="5" t="s">
        <v>113</v>
      </c>
      <c r="B1703" s="5" t="s">
        <v>15030</v>
      </c>
      <c r="C1703" s="4">
        <v>45786</v>
      </c>
      <c r="D1703" s="4" t="s">
        <v>37</v>
      </c>
      <c r="E1703" s="5" t="s">
        <v>37</v>
      </c>
      <c r="F1703" s="5" t="s">
        <v>37</v>
      </c>
      <c r="G1703" s="5" t="s">
        <v>889</v>
      </c>
      <c r="H1703" s="5">
        <v>1</v>
      </c>
      <c r="I1703" s="8" t="s">
        <v>8831</v>
      </c>
      <c r="J1703" s="8" t="s">
        <v>10880</v>
      </c>
      <c r="K1703" s="8" t="s">
        <v>2677</v>
      </c>
      <c r="L1703" s="8" t="s">
        <v>12931</v>
      </c>
      <c r="M1703" s="8" t="s">
        <v>4727</v>
      </c>
      <c r="N1703" s="8" t="s">
        <v>6778</v>
      </c>
      <c r="O1703" s="5" t="s">
        <v>145</v>
      </c>
      <c r="P1703" s="4">
        <v>45813</v>
      </c>
      <c r="Q1703" s="15">
        <v>49.99</v>
      </c>
      <c r="R1703" s="15">
        <v>0</v>
      </c>
      <c r="S1703" s="15">
        <v>0</v>
      </c>
      <c r="T1703"/>
    </row>
    <row r="1704" spans="1:20">
      <c r="A1704" s="5" t="s">
        <v>113</v>
      </c>
      <c r="B1704" s="5" t="s">
        <v>15031</v>
      </c>
      <c r="C1704" s="4">
        <v>45786</v>
      </c>
      <c r="D1704" s="4" t="s">
        <v>37</v>
      </c>
      <c r="E1704" s="5" t="s">
        <v>37</v>
      </c>
      <c r="F1704" s="5" t="s">
        <v>37</v>
      </c>
      <c r="G1704" s="5" t="s">
        <v>831</v>
      </c>
      <c r="H1704" s="5">
        <v>1</v>
      </c>
      <c r="I1704" s="8" t="s">
        <v>8832</v>
      </c>
      <c r="J1704" s="8" t="s">
        <v>10881</v>
      </c>
      <c r="K1704" s="8" t="s">
        <v>2678</v>
      </c>
      <c r="L1704" s="8" t="s">
        <v>12932</v>
      </c>
      <c r="M1704" s="8" t="s">
        <v>4728</v>
      </c>
      <c r="N1704" s="8" t="s">
        <v>6779</v>
      </c>
      <c r="O1704" s="5" t="s">
        <v>139</v>
      </c>
      <c r="P1704" s="4">
        <v>45813</v>
      </c>
      <c r="Q1704" s="15">
        <v>49.9</v>
      </c>
      <c r="R1704" s="15">
        <v>0</v>
      </c>
      <c r="S1704" s="15">
        <v>0</v>
      </c>
      <c r="T1704"/>
    </row>
    <row r="1705" spans="1:20">
      <c r="A1705" s="5" t="s">
        <v>113</v>
      </c>
      <c r="B1705" s="5" t="s">
        <v>15032</v>
      </c>
      <c r="C1705" s="4">
        <v>45786</v>
      </c>
      <c r="D1705" s="4" t="s">
        <v>37</v>
      </c>
      <c r="E1705" s="5" t="s">
        <v>37</v>
      </c>
      <c r="F1705" s="5" t="s">
        <v>37</v>
      </c>
      <c r="G1705" s="5" t="s">
        <v>831</v>
      </c>
      <c r="H1705" s="5">
        <v>1</v>
      </c>
      <c r="I1705" s="8" t="s">
        <v>8833</v>
      </c>
      <c r="J1705" s="8" t="s">
        <v>10882</v>
      </c>
      <c r="K1705" s="8" t="s">
        <v>2679</v>
      </c>
      <c r="L1705" s="8" t="s">
        <v>12933</v>
      </c>
      <c r="M1705" s="8" t="s">
        <v>4729</v>
      </c>
      <c r="N1705" s="8" t="s">
        <v>6780</v>
      </c>
      <c r="O1705" s="5" t="s">
        <v>139</v>
      </c>
      <c r="P1705" s="4">
        <v>45813</v>
      </c>
      <c r="Q1705" s="15">
        <v>49.9</v>
      </c>
      <c r="R1705" s="15">
        <v>0</v>
      </c>
      <c r="S1705" s="15">
        <v>0</v>
      </c>
      <c r="T1705"/>
    </row>
    <row r="1706" spans="1:20">
      <c r="A1706" s="5" t="s">
        <v>113</v>
      </c>
      <c r="B1706" s="5" t="s">
        <v>15033</v>
      </c>
      <c r="C1706" s="4">
        <v>45786</v>
      </c>
      <c r="D1706" s="4" t="s">
        <v>37</v>
      </c>
      <c r="E1706" s="5" t="s">
        <v>37</v>
      </c>
      <c r="F1706" s="5" t="s">
        <v>37</v>
      </c>
      <c r="G1706" s="5" t="s">
        <v>889</v>
      </c>
      <c r="H1706" s="5">
        <v>1</v>
      </c>
      <c r="I1706" s="8" t="s">
        <v>8834</v>
      </c>
      <c r="J1706" s="8" t="s">
        <v>10883</v>
      </c>
      <c r="K1706" s="8" t="s">
        <v>2680</v>
      </c>
      <c r="L1706" s="8" t="s">
        <v>12934</v>
      </c>
      <c r="M1706" s="8" t="s">
        <v>4730</v>
      </c>
      <c r="N1706" s="8" t="s">
        <v>6781</v>
      </c>
      <c r="O1706" s="5" t="s">
        <v>145</v>
      </c>
      <c r="P1706" s="4">
        <v>45807</v>
      </c>
      <c r="Q1706" s="15">
        <v>49.99</v>
      </c>
      <c r="R1706" s="15">
        <v>0</v>
      </c>
      <c r="S1706" s="15">
        <v>0</v>
      </c>
      <c r="T1706"/>
    </row>
    <row r="1707" spans="1:20">
      <c r="A1707" s="5" t="s">
        <v>113</v>
      </c>
      <c r="B1707" s="5" t="s">
        <v>15034</v>
      </c>
      <c r="C1707" s="4">
        <v>45786</v>
      </c>
      <c r="D1707" s="4" t="s">
        <v>37</v>
      </c>
      <c r="E1707" s="5" t="s">
        <v>37</v>
      </c>
      <c r="F1707" s="5" t="s">
        <v>37</v>
      </c>
      <c r="G1707" s="5" t="s">
        <v>845</v>
      </c>
      <c r="H1707" s="5">
        <v>1</v>
      </c>
      <c r="I1707" s="8" t="s">
        <v>8835</v>
      </c>
      <c r="J1707" s="8" t="s">
        <v>10884</v>
      </c>
      <c r="K1707" s="8" t="s">
        <v>2681</v>
      </c>
      <c r="L1707" s="8" t="s">
        <v>12935</v>
      </c>
      <c r="M1707" s="8" t="s">
        <v>4731</v>
      </c>
      <c r="N1707" s="8" t="s">
        <v>6782</v>
      </c>
      <c r="O1707" s="5" t="s">
        <v>137</v>
      </c>
      <c r="P1707" s="4">
        <v>45807</v>
      </c>
      <c r="Q1707" s="15">
        <v>48.9</v>
      </c>
      <c r="R1707" s="15">
        <v>0</v>
      </c>
      <c r="S1707" s="15">
        <v>0</v>
      </c>
      <c r="T1707"/>
    </row>
    <row r="1708" spans="1:20">
      <c r="A1708" s="5" t="s">
        <v>113</v>
      </c>
      <c r="B1708" s="5" t="s">
        <v>15035</v>
      </c>
      <c r="C1708" s="4">
        <v>45787</v>
      </c>
      <c r="D1708" s="4">
        <v>45790</v>
      </c>
      <c r="E1708" s="5" t="s">
        <v>17057</v>
      </c>
      <c r="F1708" s="5" t="s">
        <v>19046</v>
      </c>
      <c r="G1708" s="5" t="s">
        <v>860</v>
      </c>
      <c r="H1708" s="5">
        <v>1</v>
      </c>
      <c r="I1708" s="8" t="s">
        <v>8836</v>
      </c>
      <c r="J1708" s="8" t="s">
        <v>10885</v>
      </c>
      <c r="K1708" s="8" t="s">
        <v>2682</v>
      </c>
      <c r="L1708" s="8" t="s">
        <v>12936</v>
      </c>
      <c r="M1708" s="8" t="s">
        <v>4732</v>
      </c>
      <c r="N1708" s="8" t="s">
        <v>6783</v>
      </c>
      <c r="O1708" s="5" t="s">
        <v>141</v>
      </c>
      <c r="P1708" s="4">
        <v>45813</v>
      </c>
      <c r="Q1708" s="15">
        <v>49.99</v>
      </c>
      <c r="R1708" s="15">
        <v>37.64</v>
      </c>
      <c r="S1708" s="15">
        <v>0</v>
      </c>
      <c r="T1708"/>
    </row>
    <row r="1709" spans="1:20">
      <c r="A1709" s="5" t="s">
        <v>113</v>
      </c>
      <c r="B1709" s="5" t="s">
        <v>15036</v>
      </c>
      <c r="C1709" s="4">
        <v>45787</v>
      </c>
      <c r="D1709" s="4">
        <v>45791</v>
      </c>
      <c r="E1709" s="5" t="s">
        <v>17058</v>
      </c>
      <c r="F1709" s="5" t="s">
        <v>19047</v>
      </c>
      <c r="G1709" s="5" t="s">
        <v>902</v>
      </c>
      <c r="H1709" s="5">
        <v>1</v>
      </c>
      <c r="I1709" s="8" t="s">
        <v>8837</v>
      </c>
      <c r="J1709" s="8" t="s">
        <v>10886</v>
      </c>
      <c r="K1709" s="8" t="s">
        <v>2683</v>
      </c>
      <c r="L1709" s="8" t="s">
        <v>12937</v>
      </c>
      <c r="M1709" s="8" t="s">
        <v>4733</v>
      </c>
      <c r="N1709" s="8" t="s">
        <v>6784</v>
      </c>
      <c r="O1709" s="5" t="s">
        <v>129</v>
      </c>
      <c r="P1709" s="4">
        <v>45813</v>
      </c>
      <c r="Q1709" s="15">
        <v>26.99</v>
      </c>
      <c r="R1709" s="15">
        <v>0</v>
      </c>
      <c r="S1709" s="15">
        <v>0</v>
      </c>
      <c r="T1709"/>
    </row>
    <row r="1710" spans="1:20">
      <c r="A1710" s="5" t="s">
        <v>113</v>
      </c>
      <c r="B1710" s="5" t="s">
        <v>15037</v>
      </c>
      <c r="C1710" s="4">
        <v>45787</v>
      </c>
      <c r="D1710" s="4">
        <v>45790</v>
      </c>
      <c r="E1710" s="5" t="s">
        <v>17059</v>
      </c>
      <c r="F1710" s="5" t="s">
        <v>19048</v>
      </c>
      <c r="G1710" s="5" t="s">
        <v>833</v>
      </c>
      <c r="H1710" s="5">
        <v>1</v>
      </c>
      <c r="I1710" s="8" t="s">
        <v>8838</v>
      </c>
      <c r="J1710" s="8" t="s">
        <v>10887</v>
      </c>
      <c r="K1710" s="8" t="s">
        <v>2684</v>
      </c>
      <c r="L1710" s="8" t="s">
        <v>12938</v>
      </c>
      <c r="M1710" s="8" t="s">
        <v>4734</v>
      </c>
      <c r="N1710" s="8" t="s">
        <v>6785</v>
      </c>
      <c r="O1710" s="5" t="s">
        <v>147</v>
      </c>
      <c r="P1710" s="4">
        <v>45801</v>
      </c>
      <c r="Q1710" s="15">
        <v>22.7</v>
      </c>
      <c r="R1710" s="15">
        <v>14.71</v>
      </c>
      <c r="S1710" s="15">
        <v>0</v>
      </c>
      <c r="T1710"/>
    </row>
    <row r="1711" spans="1:20">
      <c r="A1711" s="5" t="s">
        <v>113</v>
      </c>
      <c r="B1711" s="5" t="s">
        <v>15038</v>
      </c>
      <c r="C1711" s="4">
        <v>45787</v>
      </c>
      <c r="D1711" s="4">
        <v>45791</v>
      </c>
      <c r="E1711" s="5" t="s">
        <v>17060</v>
      </c>
      <c r="F1711" s="5" t="s">
        <v>19049</v>
      </c>
      <c r="G1711" s="5" t="s">
        <v>860</v>
      </c>
      <c r="H1711" s="5">
        <v>1</v>
      </c>
      <c r="I1711" s="8" t="s">
        <v>8839</v>
      </c>
      <c r="J1711" s="8" t="s">
        <v>10888</v>
      </c>
      <c r="K1711" s="8" t="s">
        <v>2685</v>
      </c>
      <c r="L1711" s="8" t="s">
        <v>12939</v>
      </c>
      <c r="M1711" s="8" t="s">
        <v>4735</v>
      </c>
      <c r="N1711" s="8" t="s">
        <v>6786</v>
      </c>
      <c r="O1711" s="5" t="s">
        <v>141</v>
      </c>
      <c r="P1711" s="4">
        <v>45807</v>
      </c>
      <c r="Q1711" s="15">
        <v>49.99</v>
      </c>
      <c r="R1711" s="15">
        <v>36.659999999999997</v>
      </c>
      <c r="S1711" s="15">
        <v>0</v>
      </c>
      <c r="T1711"/>
    </row>
    <row r="1712" spans="1:20">
      <c r="A1712" s="5" t="s">
        <v>113</v>
      </c>
      <c r="B1712" s="5" t="s">
        <v>15039</v>
      </c>
      <c r="C1712" s="4">
        <v>45788</v>
      </c>
      <c r="D1712" s="4" t="s">
        <v>37</v>
      </c>
      <c r="E1712" s="5" t="s">
        <v>37</v>
      </c>
      <c r="F1712" s="5" t="s">
        <v>37</v>
      </c>
      <c r="G1712" s="5" t="s">
        <v>845</v>
      </c>
      <c r="H1712" s="5">
        <v>1</v>
      </c>
      <c r="I1712" s="8" t="s">
        <v>8840</v>
      </c>
      <c r="J1712" s="8" t="s">
        <v>10889</v>
      </c>
      <c r="K1712" s="8" t="s">
        <v>2686</v>
      </c>
      <c r="L1712" s="8" t="s">
        <v>12940</v>
      </c>
      <c r="M1712" s="8" t="s">
        <v>4736</v>
      </c>
      <c r="N1712" s="8" t="s">
        <v>6787</v>
      </c>
      <c r="O1712" s="5" t="s">
        <v>137</v>
      </c>
      <c r="P1712" s="4">
        <v>45820</v>
      </c>
      <c r="Q1712" s="15">
        <v>48.9</v>
      </c>
      <c r="R1712" s="15">
        <v>0</v>
      </c>
      <c r="S1712" s="15">
        <v>0</v>
      </c>
      <c r="T1712"/>
    </row>
    <row r="1713" spans="1:20">
      <c r="A1713" s="5" t="s">
        <v>113</v>
      </c>
      <c r="B1713" s="5" t="s">
        <v>15040</v>
      </c>
      <c r="C1713" s="4">
        <v>45788</v>
      </c>
      <c r="D1713" s="4" t="s">
        <v>37</v>
      </c>
      <c r="E1713" s="5" t="s">
        <v>37</v>
      </c>
      <c r="F1713" s="5" t="s">
        <v>37</v>
      </c>
      <c r="G1713" s="5" t="s">
        <v>831</v>
      </c>
      <c r="H1713" s="5">
        <v>1</v>
      </c>
      <c r="I1713" s="8" t="s">
        <v>8841</v>
      </c>
      <c r="J1713" s="8" t="s">
        <v>10890</v>
      </c>
      <c r="K1713" s="8" t="s">
        <v>2687</v>
      </c>
      <c r="L1713" s="8" t="s">
        <v>12941</v>
      </c>
      <c r="M1713" s="8" t="s">
        <v>4737</v>
      </c>
      <c r="N1713" s="8" t="s">
        <v>6788</v>
      </c>
      <c r="O1713" s="5" t="s">
        <v>139</v>
      </c>
      <c r="P1713" s="4">
        <v>45807</v>
      </c>
      <c r="Q1713" s="15">
        <v>49.9</v>
      </c>
      <c r="R1713" s="15">
        <v>0</v>
      </c>
      <c r="S1713" s="15">
        <v>0</v>
      </c>
      <c r="T1713"/>
    </row>
    <row r="1714" spans="1:20">
      <c r="A1714" s="5" t="s">
        <v>113</v>
      </c>
      <c r="B1714" s="5" t="s">
        <v>15041</v>
      </c>
      <c r="C1714" s="4">
        <v>45788</v>
      </c>
      <c r="D1714" s="4">
        <v>45791</v>
      </c>
      <c r="E1714" s="5" t="s">
        <v>17061</v>
      </c>
      <c r="F1714" s="5" t="s">
        <v>19050</v>
      </c>
      <c r="G1714" s="5" t="s">
        <v>833</v>
      </c>
      <c r="H1714" s="5">
        <v>1</v>
      </c>
      <c r="I1714" s="8" t="s">
        <v>8842</v>
      </c>
      <c r="J1714" s="8" t="s">
        <v>10891</v>
      </c>
      <c r="K1714" s="8" t="s">
        <v>2688</v>
      </c>
      <c r="L1714" s="8" t="s">
        <v>12942</v>
      </c>
      <c r="M1714" s="8" t="s">
        <v>4738</v>
      </c>
      <c r="N1714" s="8" t="s">
        <v>6789</v>
      </c>
      <c r="O1714" s="5" t="s">
        <v>147</v>
      </c>
      <c r="P1714" s="4">
        <v>45813</v>
      </c>
      <c r="Q1714" s="15">
        <v>22.7</v>
      </c>
      <c r="R1714" s="15">
        <v>14.71</v>
      </c>
      <c r="S1714" s="15">
        <v>0</v>
      </c>
      <c r="T1714"/>
    </row>
    <row r="1715" spans="1:20">
      <c r="A1715" s="5" t="s">
        <v>113</v>
      </c>
      <c r="B1715" s="5" t="s">
        <v>15042</v>
      </c>
      <c r="C1715" s="4">
        <v>45788</v>
      </c>
      <c r="D1715" s="4">
        <v>45792</v>
      </c>
      <c r="E1715" s="5" t="s">
        <v>17062</v>
      </c>
      <c r="F1715" s="5" t="s">
        <v>19051</v>
      </c>
      <c r="G1715" s="5" t="s">
        <v>845</v>
      </c>
      <c r="H1715" s="5">
        <v>1</v>
      </c>
      <c r="I1715" s="8" t="s">
        <v>8843</v>
      </c>
      <c r="J1715" s="8" t="s">
        <v>10892</v>
      </c>
      <c r="K1715" s="8" t="s">
        <v>2689</v>
      </c>
      <c r="L1715" s="8" t="s">
        <v>12943</v>
      </c>
      <c r="M1715" s="8" t="s">
        <v>4739</v>
      </c>
      <c r="N1715" s="8" t="s">
        <v>6790</v>
      </c>
      <c r="O1715" s="5" t="s">
        <v>137</v>
      </c>
      <c r="P1715" s="4">
        <v>45820</v>
      </c>
      <c r="Q1715" s="15">
        <v>48.9</v>
      </c>
      <c r="R1715" s="15">
        <v>28.88</v>
      </c>
      <c r="S1715" s="15">
        <v>0</v>
      </c>
      <c r="T1715"/>
    </row>
    <row r="1716" spans="1:20">
      <c r="A1716" s="5" t="s">
        <v>113</v>
      </c>
      <c r="B1716" s="5" t="s">
        <v>15043</v>
      </c>
      <c r="C1716" s="4">
        <v>45788</v>
      </c>
      <c r="D1716" s="4" t="s">
        <v>37</v>
      </c>
      <c r="E1716" s="5" t="s">
        <v>37</v>
      </c>
      <c r="F1716" s="5" t="s">
        <v>37</v>
      </c>
      <c r="G1716" s="5" t="s">
        <v>831</v>
      </c>
      <c r="H1716" s="5">
        <v>1</v>
      </c>
      <c r="I1716" s="8" t="s">
        <v>8844</v>
      </c>
      <c r="J1716" s="8" t="s">
        <v>10893</v>
      </c>
      <c r="K1716" s="8" t="s">
        <v>2690</v>
      </c>
      <c r="L1716" s="8" t="s">
        <v>12944</v>
      </c>
      <c r="M1716" s="8" t="s">
        <v>4740</v>
      </c>
      <c r="N1716" s="8" t="s">
        <v>6791</v>
      </c>
      <c r="O1716" s="5" t="s">
        <v>139</v>
      </c>
      <c r="P1716" s="4">
        <v>45813</v>
      </c>
      <c r="Q1716" s="15">
        <v>49.9</v>
      </c>
      <c r="R1716" s="15">
        <v>0</v>
      </c>
      <c r="S1716" s="15">
        <v>0</v>
      </c>
      <c r="T1716"/>
    </row>
    <row r="1717" spans="1:20">
      <c r="A1717" s="5" t="s">
        <v>113</v>
      </c>
      <c r="B1717" s="5" t="s">
        <v>15044</v>
      </c>
      <c r="C1717" s="4">
        <v>45788</v>
      </c>
      <c r="D1717" s="4" t="s">
        <v>37</v>
      </c>
      <c r="E1717" s="5" t="s">
        <v>37</v>
      </c>
      <c r="F1717" s="5" t="s">
        <v>37</v>
      </c>
      <c r="G1717" s="5" t="s">
        <v>845</v>
      </c>
      <c r="H1717" s="5">
        <v>1</v>
      </c>
      <c r="I1717" s="8" t="s">
        <v>8845</v>
      </c>
      <c r="J1717" s="8" t="s">
        <v>10894</v>
      </c>
      <c r="K1717" s="8" t="s">
        <v>2691</v>
      </c>
      <c r="L1717" s="8" t="s">
        <v>12945</v>
      </c>
      <c r="M1717" s="8" t="s">
        <v>4741</v>
      </c>
      <c r="N1717" s="8" t="s">
        <v>6792</v>
      </c>
      <c r="O1717" s="5" t="s">
        <v>137</v>
      </c>
      <c r="P1717" s="4">
        <v>45820</v>
      </c>
      <c r="Q1717" s="15">
        <v>48.9</v>
      </c>
      <c r="R1717" s="15">
        <v>0</v>
      </c>
      <c r="S1717" s="15">
        <v>0</v>
      </c>
      <c r="T1717"/>
    </row>
    <row r="1718" spans="1:20">
      <c r="A1718" s="5" t="s">
        <v>113</v>
      </c>
      <c r="B1718" s="5" t="s">
        <v>15045</v>
      </c>
      <c r="C1718" s="4">
        <v>45788</v>
      </c>
      <c r="D1718" s="4" t="s">
        <v>37</v>
      </c>
      <c r="E1718" s="5" t="s">
        <v>37</v>
      </c>
      <c r="F1718" s="5" t="s">
        <v>37</v>
      </c>
      <c r="G1718" s="5" t="s">
        <v>845</v>
      </c>
      <c r="H1718" s="5">
        <v>1</v>
      </c>
      <c r="I1718" s="8" t="s">
        <v>8846</v>
      </c>
      <c r="J1718" s="8" t="s">
        <v>10895</v>
      </c>
      <c r="K1718" s="8" t="s">
        <v>2692</v>
      </c>
      <c r="L1718" s="8" t="s">
        <v>12946</v>
      </c>
      <c r="M1718" s="8" t="s">
        <v>4742</v>
      </c>
      <c r="N1718" s="8" t="s">
        <v>6793</v>
      </c>
      <c r="O1718" s="5" t="s">
        <v>137</v>
      </c>
      <c r="P1718" s="4">
        <v>45820</v>
      </c>
      <c r="Q1718" s="15">
        <v>48.9</v>
      </c>
      <c r="R1718" s="15">
        <v>0</v>
      </c>
      <c r="S1718" s="15">
        <v>0</v>
      </c>
      <c r="T1718"/>
    </row>
    <row r="1719" spans="1:20">
      <c r="A1719" s="5" t="s">
        <v>113</v>
      </c>
      <c r="B1719" s="5" t="s">
        <v>15046</v>
      </c>
      <c r="C1719" s="4">
        <v>45788</v>
      </c>
      <c r="D1719" s="4">
        <v>45791</v>
      </c>
      <c r="E1719" s="5" t="s">
        <v>17063</v>
      </c>
      <c r="F1719" s="5" t="s">
        <v>19052</v>
      </c>
      <c r="G1719" s="5" t="s">
        <v>860</v>
      </c>
      <c r="H1719" s="5">
        <v>1</v>
      </c>
      <c r="I1719" s="8" t="s">
        <v>8847</v>
      </c>
      <c r="J1719" s="8" t="s">
        <v>10896</v>
      </c>
      <c r="K1719" s="8" t="s">
        <v>2693</v>
      </c>
      <c r="L1719" s="8" t="s">
        <v>12947</v>
      </c>
      <c r="M1719" s="8" t="s">
        <v>4743</v>
      </c>
      <c r="N1719" s="8" t="s">
        <v>6794</v>
      </c>
      <c r="O1719" s="5" t="s">
        <v>141</v>
      </c>
      <c r="P1719" s="4">
        <v>45820</v>
      </c>
      <c r="Q1719" s="15">
        <v>49.99</v>
      </c>
      <c r="R1719" s="15">
        <v>0</v>
      </c>
      <c r="S1719" s="15">
        <v>0</v>
      </c>
      <c r="T1719"/>
    </row>
    <row r="1720" spans="1:20">
      <c r="A1720" s="5" t="s">
        <v>113</v>
      </c>
      <c r="B1720" s="5" t="s">
        <v>15047</v>
      </c>
      <c r="C1720" s="4">
        <v>45788</v>
      </c>
      <c r="D1720" s="4" t="s">
        <v>37</v>
      </c>
      <c r="E1720" s="5" t="s">
        <v>37</v>
      </c>
      <c r="F1720" s="5" t="s">
        <v>37</v>
      </c>
      <c r="G1720" s="5" t="s">
        <v>833</v>
      </c>
      <c r="H1720" s="5">
        <v>1</v>
      </c>
      <c r="I1720" s="8" t="s">
        <v>8848</v>
      </c>
      <c r="J1720" s="8" t="s">
        <v>10897</v>
      </c>
      <c r="K1720" s="8" t="s">
        <v>2694</v>
      </c>
      <c r="L1720" s="8" t="s">
        <v>12948</v>
      </c>
      <c r="M1720" s="8" t="s">
        <v>4744</v>
      </c>
      <c r="N1720" s="8" t="s">
        <v>6795</v>
      </c>
      <c r="O1720" s="5" t="s">
        <v>147</v>
      </c>
      <c r="P1720" s="4">
        <v>45807</v>
      </c>
      <c r="Q1720" s="15">
        <v>22.7</v>
      </c>
      <c r="R1720" s="15">
        <v>0</v>
      </c>
      <c r="S1720" s="15">
        <v>0</v>
      </c>
      <c r="T1720"/>
    </row>
    <row r="1721" spans="1:20">
      <c r="A1721" s="5" t="s">
        <v>113</v>
      </c>
      <c r="B1721" s="5" t="s">
        <v>15048</v>
      </c>
      <c r="C1721" s="4">
        <v>45788</v>
      </c>
      <c r="D1721" s="4" t="s">
        <v>37</v>
      </c>
      <c r="E1721" s="5" t="s">
        <v>37</v>
      </c>
      <c r="F1721" s="5" t="s">
        <v>37</v>
      </c>
      <c r="G1721" s="5" t="s">
        <v>849</v>
      </c>
      <c r="H1721" s="5">
        <v>1</v>
      </c>
      <c r="I1721" s="8" t="s">
        <v>8849</v>
      </c>
      <c r="J1721" s="8" t="s">
        <v>10898</v>
      </c>
      <c r="K1721" s="8" t="s">
        <v>2695</v>
      </c>
      <c r="L1721" s="8" t="s">
        <v>12949</v>
      </c>
      <c r="M1721" s="8" t="s">
        <v>4745</v>
      </c>
      <c r="N1721" s="8" t="s">
        <v>6796</v>
      </c>
      <c r="O1721" s="5" t="s">
        <v>116</v>
      </c>
      <c r="P1721" s="4">
        <v>45820</v>
      </c>
      <c r="Q1721" s="15">
        <v>65.7</v>
      </c>
      <c r="R1721" s="15">
        <v>0</v>
      </c>
      <c r="S1721" s="15">
        <v>0</v>
      </c>
      <c r="T1721"/>
    </row>
    <row r="1722" spans="1:20">
      <c r="A1722" s="5" t="s">
        <v>113</v>
      </c>
      <c r="B1722" s="5" t="s">
        <v>15049</v>
      </c>
      <c r="C1722" s="4">
        <v>45789</v>
      </c>
      <c r="D1722" s="4">
        <v>45793</v>
      </c>
      <c r="E1722" s="5" t="s">
        <v>17064</v>
      </c>
      <c r="F1722" s="5" t="s">
        <v>19053</v>
      </c>
      <c r="G1722" s="5" t="s">
        <v>845</v>
      </c>
      <c r="H1722" s="5">
        <v>1</v>
      </c>
      <c r="I1722" s="8" t="s">
        <v>8850</v>
      </c>
      <c r="J1722" s="8" t="s">
        <v>10899</v>
      </c>
      <c r="K1722" s="8" t="s">
        <v>2696</v>
      </c>
      <c r="L1722" s="8" t="s">
        <v>12950</v>
      </c>
      <c r="M1722" s="8" t="s">
        <v>4746</v>
      </c>
      <c r="N1722" s="8" t="s">
        <v>6797</v>
      </c>
      <c r="O1722" s="5" t="s">
        <v>137</v>
      </c>
      <c r="P1722" s="4">
        <v>45814</v>
      </c>
      <c r="Q1722" s="15">
        <v>48.9</v>
      </c>
      <c r="R1722" s="15">
        <v>22.66</v>
      </c>
      <c r="S1722" s="15">
        <v>0</v>
      </c>
      <c r="T1722"/>
    </row>
    <row r="1723" spans="1:20">
      <c r="A1723" s="5" t="s">
        <v>113</v>
      </c>
      <c r="B1723" s="5" t="s">
        <v>15050</v>
      </c>
      <c r="C1723" s="4">
        <v>45789</v>
      </c>
      <c r="D1723" s="4">
        <v>45794</v>
      </c>
      <c r="E1723" s="5" t="s">
        <v>17065</v>
      </c>
      <c r="F1723" s="5" t="s">
        <v>19054</v>
      </c>
      <c r="G1723" s="5" t="s">
        <v>845</v>
      </c>
      <c r="H1723" s="5">
        <v>1</v>
      </c>
      <c r="I1723" s="8" t="s">
        <v>8851</v>
      </c>
      <c r="J1723" s="8" t="s">
        <v>10900</v>
      </c>
      <c r="K1723" s="8" t="s">
        <v>2697</v>
      </c>
      <c r="L1723" s="8" t="s">
        <v>12951</v>
      </c>
      <c r="M1723" s="8" t="s">
        <v>4747</v>
      </c>
      <c r="N1723" s="8" t="s">
        <v>6798</v>
      </c>
      <c r="O1723" s="5" t="s">
        <v>137</v>
      </c>
      <c r="P1723" s="4">
        <v>45821</v>
      </c>
      <c r="Q1723" s="15">
        <v>48.9</v>
      </c>
      <c r="R1723" s="15">
        <v>12.56</v>
      </c>
      <c r="S1723" s="15">
        <v>0</v>
      </c>
      <c r="T1723"/>
    </row>
    <row r="1724" spans="1:20">
      <c r="A1724" s="5" t="s">
        <v>113</v>
      </c>
      <c r="B1724" s="5" t="s">
        <v>15051</v>
      </c>
      <c r="C1724" s="4">
        <v>45789</v>
      </c>
      <c r="D1724" s="4">
        <v>45793</v>
      </c>
      <c r="E1724" s="5" t="s">
        <v>17066</v>
      </c>
      <c r="F1724" s="5" t="s">
        <v>19055</v>
      </c>
      <c r="G1724" s="5" t="s">
        <v>831</v>
      </c>
      <c r="H1724" s="5">
        <v>1</v>
      </c>
      <c r="I1724" s="8" t="s">
        <v>8852</v>
      </c>
      <c r="J1724" s="8" t="s">
        <v>10901</v>
      </c>
      <c r="K1724" s="8" t="s">
        <v>2698</v>
      </c>
      <c r="L1724" s="8" t="s">
        <v>12952</v>
      </c>
      <c r="M1724" s="8" t="s">
        <v>4748</v>
      </c>
      <c r="N1724" s="8" t="s">
        <v>6799</v>
      </c>
      <c r="O1724" s="5" t="s">
        <v>139</v>
      </c>
      <c r="P1724" s="4">
        <v>45814</v>
      </c>
      <c r="Q1724" s="15">
        <v>49.9</v>
      </c>
      <c r="R1724" s="15">
        <v>12.73</v>
      </c>
      <c r="S1724" s="15">
        <v>0</v>
      </c>
      <c r="T1724"/>
    </row>
    <row r="1725" spans="1:20">
      <c r="A1725" s="5" t="s">
        <v>113</v>
      </c>
      <c r="B1725" s="5" t="s">
        <v>15052</v>
      </c>
      <c r="C1725" s="4">
        <v>45789</v>
      </c>
      <c r="D1725" s="4" t="s">
        <v>37</v>
      </c>
      <c r="E1725" s="5" t="s">
        <v>37</v>
      </c>
      <c r="F1725" s="5" t="s">
        <v>37</v>
      </c>
      <c r="G1725" s="5" t="s">
        <v>855</v>
      </c>
      <c r="H1725" s="5">
        <v>1</v>
      </c>
      <c r="I1725" s="8" t="s">
        <v>8853</v>
      </c>
      <c r="J1725" s="8" t="s">
        <v>10902</v>
      </c>
      <c r="K1725" s="8" t="s">
        <v>2699</v>
      </c>
      <c r="L1725" s="8" t="s">
        <v>12953</v>
      </c>
      <c r="M1725" s="8" t="s">
        <v>4749</v>
      </c>
      <c r="N1725" s="8" t="s">
        <v>6800</v>
      </c>
      <c r="O1725" s="5" t="s">
        <v>138</v>
      </c>
      <c r="P1725" s="4">
        <v>45821</v>
      </c>
      <c r="Q1725" s="15">
        <v>35.99</v>
      </c>
      <c r="R1725" s="15">
        <v>0</v>
      </c>
      <c r="S1725" s="15">
        <v>0</v>
      </c>
      <c r="T1725"/>
    </row>
    <row r="1726" spans="1:20">
      <c r="A1726" s="5" t="s">
        <v>108</v>
      </c>
      <c r="B1726" s="5" t="s">
        <v>15053</v>
      </c>
      <c r="C1726" s="4">
        <v>45787</v>
      </c>
      <c r="D1726" s="4" t="s">
        <v>37</v>
      </c>
      <c r="E1726" s="5" t="s">
        <v>37</v>
      </c>
      <c r="F1726" s="5" t="s">
        <v>37</v>
      </c>
      <c r="G1726" s="5" t="s">
        <v>905</v>
      </c>
      <c r="H1726" s="5">
        <v>1</v>
      </c>
      <c r="I1726" s="8" t="s">
        <v>8854</v>
      </c>
      <c r="J1726" s="8" t="s">
        <v>10903</v>
      </c>
      <c r="K1726" s="8" t="s">
        <v>2700</v>
      </c>
      <c r="L1726" s="8" t="s">
        <v>12954</v>
      </c>
      <c r="M1726" s="8" t="s">
        <v>4750</v>
      </c>
      <c r="N1726" s="8" t="s">
        <v>6801</v>
      </c>
      <c r="O1726" s="5" t="s">
        <v>134</v>
      </c>
      <c r="P1726" s="4">
        <v>45820</v>
      </c>
      <c r="Q1726" s="15">
        <v>36.99</v>
      </c>
      <c r="R1726" s="15">
        <v>0</v>
      </c>
      <c r="S1726" s="15">
        <v>0</v>
      </c>
      <c r="T1726"/>
    </row>
    <row r="1727" spans="1:20">
      <c r="A1727" s="5" t="s">
        <v>113</v>
      </c>
      <c r="B1727" s="5" t="s">
        <v>15054</v>
      </c>
      <c r="C1727" s="4">
        <v>45791</v>
      </c>
      <c r="D1727" s="4">
        <v>45807</v>
      </c>
      <c r="E1727" s="5" t="s">
        <v>17067</v>
      </c>
      <c r="F1727" s="5" t="s">
        <v>19056</v>
      </c>
      <c r="G1727" s="5" t="s">
        <v>876</v>
      </c>
      <c r="H1727" s="5">
        <v>1</v>
      </c>
      <c r="I1727" s="8" t="s">
        <v>8855</v>
      </c>
      <c r="J1727" s="8" t="s">
        <v>10904</v>
      </c>
      <c r="K1727" s="8" t="s">
        <v>2701</v>
      </c>
      <c r="L1727" s="8" t="s">
        <v>12955</v>
      </c>
      <c r="M1727" s="8" t="s">
        <v>4751</v>
      </c>
      <c r="N1727" s="8" t="s">
        <v>6802</v>
      </c>
      <c r="O1727" s="5" t="s">
        <v>144</v>
      </c>
      <c r="P1727" s="4">
        <v>45818</v>
      </c>
      <c r="Q1727" s="15">
        <v>52.73</v>
      </c>
      <c r="R1727" s="15">
        <v>33.99</v>
      </c>
      <c r="S1727" s="15">
        <v>0</v>
      </c>
      <c r="T1727"/>
    </row>
    <row r="1728" spans="1:20">
      <c r="A1728" s="5" t="s">
        <v>113</v>
      </c>
      <c r="B1728" s="5" t="s">
        <v>15055</v>
      </c>
      <c r="C1728" s="4">
        <v>45791</v>
      </c>
      <c r="D1728" s="4">
        <v>45796</v>
      </c>
      <c r="E1728" s="5" t="s">
        <v>17068</v>
      </c>
      <c r="F1728" s="5" t="s">
        <v>19057</v>
      </c>
      <c r="G1728" s="5" t="s">
        <v>831</v>
      </c>
      <c r="H1728" s="5">
        <v>1</v>
      </c>
      <c r="I1728" s="8" t="s">
        <v>8856</v>
      </c>
      <c r="J1728" s="8" t="s">
        <v>10905</v>
      </c>
      <c r="K1728" s="8" t="s">
        <v>2702</v>
      </c>
      <c r="L1728" s="8" t="s">
        <v>12956</v>
      </c>
      <c r="M1728" s="8" t="s">
        <v>4752</v>
      </c>
      <c r="N1728" s="8" t="s">
        <v>6803</v>
      </c>
      <c r="O1728" s="5" t="s">
        <v>139</v>
      </c>
      <c r="P1728" s="4">
        <v>45818</v>
      </c>
      <c r="Q1728" s="15">
        <v>49.9</v>
      </c>
      <c r="R1728" s="15">
        <v>16.18</v>
      </c>
      <c r="S1728" s="15">
        <v>0</v>
      </c>
      <c r="T1728"/>
    </row>
    <row r="1729" spans="1:20">
      <c r="A1729" s="5" t="s">
        <v>113</v>
      </c>
      <c r="B1729" s="5" t="s">
        <v>15056</v>
      </c>
      <c r="C1729" s="4">
        <v>45791</v>
      </c>
      <c r="D1729" s="4">
        <v>45797</v>
      </c>
      <c r="E1729" s="5" t="s">
        <v>17069</v>
      </c>
      <c r="F1729" s="5" t="s">
        <v>19058</v>
      </c>
      <c r="G1729" s="5" t="s">
        <v>849</v>
      </c>
      <c r="H1729" s="5">
        <v>1</v>
      </c>
      <c r="I1729" s="8" t="s">
        <v>8857</v>
      </c>
      <c r="J1729" s="8" t="s">
        <v>10906</v>
      </c>
      <c r="K1729" s="8" t="s">
        <v>2703</v>
      </c>
      <c r="L1729" s="8" t="s">
        <v>12957</v>
      </c>
      <c r="M1729" s="8" t="s">
        <v>4753</v>
      </c>
      <c r="N1729" s="8" t="s">
        <v>6804</v>
      </c>
      <c r="O1729" s="5" t="s">
        <v>116</v>
      </c>
      <c r="P1729" s="4">
        <v>45825</v>
      </c>
      <c r="Q1729" s="15">
        <v>65.7</v>
      </c>
      <c r="R1729" s="15">
        <v>24.6</v>
      </c>
      <c r="S1729" s="15">
        <v>0</v>
      </c>
      <c r="T1729"/>
    </row>
    <row r="1730" spans="1:20">
      <c r="A1730" s="5" t="s">
        <v>113</v>
      </c>
      <c r="B1730" s="5" t="s">
        <v>15057</v>
      </c>
      <c r="C1730" s="4">
        <v>45791</v>
      </c>
      <c r="D1730" s="4">
        <v>45796</v>
      </c>
      <c r="E1730" s="5" t="s">
        <v>17070</v>
      </c>
      <c r="F1730" s="5" t="s">
        <v>19059</v>
      </c>
      <c r="G1730" s="5" t="s">
        <v>860</v>
      </c>
      <c r="H1730" s="5">
        <v>1</v>
      </c>
      <c r="I1730" s="8" t="s">
        <v>8858</v>
      </c>
      <c r="J1730" s="8" t="s">
        <v>10907</v>
      </c>
      <c r="K1730" s="8" t="s">
        <v>2704</v>
      </c>
      <c r="L1730" s="8" t="s">
        <v>12958</v>
      </c>
      <c r="M1730" s="8" t="s">
        <v>4754</v>
      </c>
      <c r="N1730" s="8" t="s">
        <v>6805</v>
      </c>
      <c r="O1730" s="5" t="s">
        <v>141</v>
      </c>
      <c r="P1730" s="4">
        <v>45818</v>
      </c>
      <c r="Q1730" s="15">
        <v>49.99</v>
      </c>
      <c r="R1730" s="15">
        <v>40.049999999999997</v>
      </c>
      <c r="S1730" s="15">
        <v>0</v>
      </c>
      <c r="T1730"/>
    </row>
    <row r="1731" spans="1:20">
      <c r="A1731" s="5" t="s">
        <v>113</v>
      </c>
      <c r="B1731" s="5" t="s">
        <v>15058</v>
      </c>
      <c r="C1731" s="4">
        <v>45792</v>
      </c>
      <c r="D1731" s="4">
        <v>45806</v>
      </c>
      <c r="E1731" s="5" t="s">
        <v>17071</v>
      </c>
      <c r="F1731" s="5" t="s">
        <v>19060</v>
      </c>
      <c r="G1731" s="5" t="s">
        <v>860</v>
      </c>
      <c r="H1731" s="5">
        <v>1</v>
      </c>
      <c r="I1731" s="8" t="s">
        <v>8859</v>
      </c>
      <c r="J1731" s="8" t="s">
        <v>10908</v>
      </c>
      <c r="K1731" s="8" t="s">
        <v>2705</v>
      </c>
      <c r="L1731" s="8" t="s">
        <v>12959</v>
      </c>
      <c r="M1731" s="8" t="s">
        <v>4755</v>
      </c>
      <c r="N1731" s="8" t="s">
        <v>6806</v>
      </c>
      <c r="O1731" s="5" t="s">
        <v>141</v>
      </c>
      <c r="P1731" s="4">
        <v>45813</v>
      </c>
      <c r="Q1731" s="15">
        <v>49.99</v>
      </c>
      <c r="R1731" s="15">
        <v>36.72</v>
      </c>
      <c r="S1731" s="15">
        <v>0</v>
      </c>
      <c r="T1731"/>
    </row>
    <row r="1732" spans="1:20">
      <c r="A1732" s="5" t="s">
        <v>113</v>
      </c>
      <c r="B1732" s="5" t="s">
        <v>15059</v>
      </c>
      <c r="C1732" s="4">
        <v>45792</v>
      </c>
      <c r="D1732" s="4" t="s">
        <v>37</v>
      </c>
      <c r="E1732" s="5" t="s">
        <v>37</v>
      </c>
      <c r="F1732" s="5" t="s">
        <v>37</v>
      </c>
      <c r="G1732" s="5" t="s">
        <v>860</v>
      </c>
      <c r="H1732" s="5">
        <v>1</v>
      </c>
      <c r="I1732" s="8" t="s">
        <v>8860</v>
      </c>
      <c r="J1732" s="8" t="s">
        <v>10909</v>
      </c>
      <c r="K1732" s="8" t="s">
        <v>2706</v>
      </c>
      <c r="L1732" s="8" t="s">
        <v>12960</v>
      </c>
      <c r="M1732" s="8" t="s">
        <v>4756</v>
      </c>
      <c r="N1732" s="8" t="s">
        <v>6807</v>
      </c>
      <c r="O1732" s="5" t="s">
        <v>141</v>
      </c>
      <c r="P1732" s="4">
        <v>45826</v>
      </c>
      <c r="Q1732" s="15">
        <v>49.99</v>
      </c>
      <c r="R1732" s="15">
        <v>0</v>
      </c>
      <c r="S1732" s="15">
        <v>0</v>
      </c>
      <c r="T1732"/>
    </row>
    <row r="1733" spans="1:20">
      <c r="A1733" s="5" t="s">
        <v>113</v>
      </c>
      <c r="B1733" s="5" t="s">
        <v>15060</v>
      </c>
      <c r="C1733" s="4">
        <v>45792</v>
      </c>
      <c r="D1733" s="4">
        <v>45807</v>
      </c>
      <c r="E1733" s="5" t="s">
        <v>17072</v>
      </c>
      <c r="F1733" s="5" t="s">
        <v>19061</v>
      </c>
      <c r="G1733" s="5" t="s">
        <v>894</v>
      </c>
      <c r="H1733" s="5">
        <v>1</v>
      </c>
      <c r="I1733" s="8" t="s">
        <v>8861</v>
      </c>
      <c r="J1733" s="8" t="s">
        <v>10910</v>
      </c>
      <c r="K1733" s="8" t="s">
        <v>2707</v>
      </c>
      <c r="L1733" s="8" t="s">
        <v>12961</v>
      </c>
      <c r="M1733" s="8" t="s">
        <v>4757</v>
      </c>
      <c r="N1733" s="8" t="s">
        <v>6808</v>
      </c>
      <c r="O1733" s="5" t="s">
        <v>127</v>
      </c>
      <c r="P1733" s="4">
        <v>45826</v>
      </c>
      <c r="Q1733" s="15">
        <v>39.47</v>
      </c>
      <c r="R1733" s="15">
        <v>33.119999999999997</v>
      </c>
      <c r="S1733" s="15">
        <v>0</v>
      </c>
      <c r="T1733"/>
    </row>
    <row r="1734" spans="1:20">
      <c r="A1734" s="5" t="s">
        <v>113</v>
      </c>
      <c r="B1734" s="5" t="s">
        <v>15061</v>
      </c>
      <c r="C1734" s="4">
        <v>45793</v>
      </c>
      <c r="D1734" s="4">
        <v>45797</v>
      </c>
      <c r="E1734" s="5" t="s">
        <v>17073</v>
      </c>
      <c r="F1734" s="5" t="s">
        <v>19062</v>
      </c>
      <c r="G1734" s="5" t="s">
        <v>836</v>
      </c>
      <c r="H1734" s="5">
        <v>1</v>
      </c>
      <c r="I1734" s="8" t="s">
        <v>8862</v>
      </c>
      <c r="J1734" s="8" t="s">
        <v>10911</v>
      </c>
      <c r="K1734" s="8" t="s">
        <v>2708</v>
      </c>
      <c r="L1734" s="8" t="s">
        <v>12962</v>
      </c>
      <c r="M1734" s="8" t="s">
        <v>4758</v>
      </c>
      <c r="N1734" s="8" t="s">
        <v>6809</v>
      </c>
      <c r="O1734" s="5" t="s">
        <v>143</v>
      </c>
      <c r="P1734" s="4">
        <v>45820</v>
      </c>
      <c r="Q1734" s="15">
        <v>32.67</v>
      </c>
      <c r="R1734" s="15">
        <v>0</v>
      </c>
      <c r="S1734" s="15">
        <v>0</v>
      </c>
      <c r="T1734"/>
    </row>
    <row r="1735" spans="1:20">
      <c r="A1735" s="5" t="s">
        <v>113</v>
      </c>
      <c r="B1735" s="5" t="s">
        <v>15062</v>
      </c>
      <c r="C1735" s="4">
        <v>45793</v>
      </c>
      <c r="D1735" s="4">
        <v>45803</v>
      </c>
      <c r="E1735" s="5" t="s">
        <v>17074</v>
      </c>
      <c r="F1735" s="5" t="s">
        <v>19063</v>
      </c>
      <c r="G1735" s="5" t="s">
        <v>900</v>
      </c>
      <c r="H1735" s="5">
        <v>1</v>
      </c>
      <c r="I1735" s="8" t="s">
        <v>8863</v>
      </c>
      <c r="J1735" s="8" t="s">
        <v>10912</v>
      </c>
      <c r="K1735" s="8" t="s">
        <v>2709</v>
      </c>
      <c r="L1735" s="8" t="s">
        <v>12963</v>
      </c>
      <c r="M1735" s="8" t="s">
        <v>4759</v>
      </c>
      <c r="N1735" s="8" t="s">
        <v>6810</v>
      </c>
      <c r="O1735" s="5" t="s">
        <v>126</v>
      </c>
      <c r="P1735" s="4">
        <v>45820</v>
      </c>
      <c r="Q1735" s="15">
        <v>26.99</v>
      </c>
      <c r="R1735" s="15">
        <v>12.49</v>
      </c>
      <c r="S1735" s="15">
        <v>0</v>
      </c>
      <c r="T1735"/>
    </row>
    <row r="1736" spans="1:20">
      <c r="A1736" s="5" t="s">
        <v>108</v>
      </c>
      <c r="B1736" s="5" t="s">
        <v>15063</v>
      </c>
      <c r="C1736" s="4">
        <v>45790</v>
      </c>
      <c r="D1736" s="4" t="s">
        <v>37</v>
      </c>
      <c r="E1736" s="5" t="s">
        <v>37</v>
      </c>
      <c r="F1736" s="5" t="s">
        <v>37</v>
      </c>
      <c r="G1736" s="5" t="s">
        <v>849</v>
      </c>
      <c r="H1736" s="5">
        <v>1</v>
      </c>
      <c r="I1736" s="8" t="s">
        <v>8864</v>
      </c>
      <c r="J1736" s="8" t="s">
        <v>10913</v>
      </c>
      <c r="K1736" s="8" t="s">
        <v>2710</v>
      </c>
      <c r="L1736" s="8" t="s">
        <v>12964</v>
      </c>
      <c r="M1736" s="8" t="s">
        <v>4760</v>
      </c>
      <c r="N1736" s="8" t="s">
        <v>6811</v>
      </c>
      <c r="O1736" s="5" t="s">
        <v>111</v>
      </c>
      <c r="P1736" s="4">
        <v>45819</v>
      </c>
      <c r="Q1736" s="15">
        <v>70.7</v>
      </c>
      <c r="R1736" s="15">
        <v>0</v>
      </c>
      <c r="S1736" s="15">
        <v>0</v>
      </c>
      <c r="T1736"/>
    </row>
    <row r="1737" spans="1:20">
      <c r="A1737" s="5" t="s">
        <v>113</v>
      </c>
      <c r="B1737" s="5" t="s">
        <v>15064</v>
      </c>
      <c r="C1737" s="4">
        <v>45794</v>
      </c>
      <c r="D1737" s="4">
        <v>45803</v>
      </c>
      <c r="E1737" s="5" t="s">
        <v>17075</v>
      </c>
      <c r="F1737" s="5" t="s">
        <v>19064</v>
      </c>
      <c r="G1737" s="5" t="s">
        <v>894</v>
      </c>
      <c r="H1737" s="5">
        <v>1</v>
      </c>
      <c r="I1737" s="8" t="s">
        <v>8865</v>
      </c>
      <c r="J1737" s="8" t="s">
        <v>10914</v>
      </c>
      <c r="K1737" s="8" t="s">
        <v>2711</v>
      </c>
      <c r="L1737" s="8" t="s">
        <v>12965</v>
      </c>
      <c r="M1737" s="8" t="s">
        <v>4761</v>
      </c>
      <c r="N1737" s="8" t="s">
        <v>6812</v>
      </c>
      <c r="O1737" s="5" t="s">
        <v>127</v>
      </c>
      <c r="P1737" s="4">
        <v>45814</v>
      </c>
      <c r="Q1737" s="15">
        <v>39.47</v>
      </c>
      <c r="R1737" s="15">
        <v>30.99</v>
      </c>
      <c r="S1737" s="15">
        <v>0</v>
      </c>
      <c r="T1737"/>
    </row>
    <row r="1738" spans="1:20">
      <c r="A1738" s="5" t="s">
        <v>113</v>
      </c>
      <c r="B1738" s="5" t="s">
        <v>15065</v>
      </c>
      <c r="C1738" s="4">
        <v>45794</v>
      </c>
      <c r="D1738" s="4">
        <v>45803</v>
      </c>
      <c r="E1738" s="5" t="s">
        <v>17075</v>
      </c>
      <c r="F1738" s="5" t="s">
        <v>19064</v>
      </c>
      <c r="G1738" s="5" t="s">
        <v>894</v>
      </c>
      <c r="H1738" s="5">
        <v>1</v>
      </c>
      <c r="I1738" s="8" t="s">
        <v>8865</v>
      </c>
      <c r="J1738" s="8" t="s">
        <v>10914</v>
      </c>
      <c r="K1738" s="8" t="s">
        <v>2711</v>
      </c>
      <c r="L1738" s="8" t="s">
        <v>12965</v>
      </c>
      <c r="M1738" s="8" t="s">
        <v>4761</v>
      </c>
      <c r="N1738" s="8" t="s">
        <v>6812</v>
      </c>
      <c r="O1738" s="5" t="s">
        <v>127</v>
      </c>
      <c r="P1738" s="4">
        <v>45814</v>
      </c>
      <c r="Q1738" s="15">
        <v>39.47</v>
      </c>
      <c r="R1738" s="15">
        <v>30.99</v>
      </c>
      <c r="S1738" s="15">
        <v>0</v>
      </c>
      <c r="T1738"/>
    </row>
    <row r="1739" spans="1:20">
      <c r="A1739" s="5" t="s">
        <v>113</v>
      </c>
      <c r="B1739" s="5" t="s">
        <v>15066</v>
      </c>
      <c r="C1739" s="4">
        <v>45794</v>
      </c>
      <c r="D1739" s="4">
        <v>45803</v>
      </c>
      <c r="E1739" s="5" t="s">
        <v>17076</v>
      </c>
      <c r="F1739" s="5" t="s">
        <v>19065</v>
      </c>
      <c r="G1739" s="5" t="s">
        <v>831</v>
      </c>
      <c r="H1739" s="5">
        <v>1</v>
      </c>
      <c r="I1739" s="8" t="s">
        <v>8866</v>
      </c>
      <c r="J1739" s="8" t="s">
        <v>10915</v>
      </c>
      <c r="K1739" s="8" t="s">
        <v>2712</v>
      </c>
      <c r="L1739" s="8" t="s">
        <v>12966</v>
      </c>
      <c r="M1739" s="8" t="s">
        <v>4762</v>
      </c>
      <c r="N1739" s="8" t="s">
        <v>6813</v>
      </c>
      <c r="O1739" s="5" t="s">
        <v>139</v>
      </c>
      <c r="P1739" s="4">
        <v>45820</v>
      </c>
      <c r="Q1739" s="15">
        <v>54</v>
      </c>
      <c r="R1739" s="15">
        <v>38.799999999999997</v>
      </c>
      <c r="S1739" s="15">
        <v>0</v>
      </c>
      <c r="T1739"/>
    </row>
    <row r="1740" spans="1:20">
      <c r="A1740" s="5" t="s">
        <v>113</v>
      </c>
      <c r="B1740" s="5" t="s">
        <v>15067</v>
      </c>
      <c r="C1740" s="4">
        <v>45793</v>
      </c>
      <c r="D1740" s="4">
        <v>45803</v>
      </c>
      <c r="E1740" s="5" t="s">
        <v>17077</v>
      </c>
      <c r="F1740" s="5" t="s">
        <v>19066</v>
      </c>
      <c r="G1740" s="5" t="s">
        <v>849</v>
      </c>
      <c r="H1740" s="5">
        <v>1</v>
      </c>
      <c r="I1740" s="8" t="s">
        <v>8867</v>
      </c>
      <c r="J1740" s="8" t="s">
        <v>10916</v>
      </c>
      <c r="K1740" s="8" t="s">
        <v>2713</v>
      </c>
      <c r="L1740" s="8" t="s">
        <v>12967</v>
      </c>
      <c r="M1740" s="8" t="s">
        <v>4763</v>
      </c>
      <c r="N1740" s="8" t="s">
        <v>6814</v>
      </c>
      <c r="O1740" s="5" t="s">
        <v>116</v>
      </c>
      <c r="P1740" s="4">
        <v>45814</v>
      </c>
      <c r="Q1740" s="15">
        <v>65.7</v>
      </c>
      <c r="R1740" s="15">
        <v>57.4</v>
      </c>
      <c r="S1740" s="15">
        <v>0</v>
      </c>
      <c r="T1740"/>
    </row>
    <row r="1741" spans="1:20">
      <c r="A1741" s="5" t="s">
        <v>113</v>
      </c>
      <c r="B1741" s="5" t="s">
        <v>15068</v>
      </c>
      <c r="C1741" s="4">
        <v>45795</v>
      </c>
      <c r="D1741" s="4">
        <v>45803</v>
      </c>
      <c r="E1741" s="5" t="s">
        <v>17078</v>
      </c>
      <c r="F1741" s="5" t="s">
        <v>19067</v>
      </c>
      <c r="G1741" s="5" t="s">
        <v>860</v>
      </c>
      <c r="H1741" s="5">
        <v>1</v>
      </c>
      <c r="I1741" s="8" t="s">
        <v>8868</v>
      </c>
      <c r="J1741" s="8" t="s">
        <v>10917</v>
      </c>
      <c r="K1741" s="8" t="s">
        <v>2714</v>
      </c>
      <c r="L1741" s="8" t="s">
        <v>12968</v>
      </c>
      <c r="M1741" s="8" t="s">
        <v>4764</v>
      </c>
      <c r="N1741" s="8" t="s">
        <v>6815</v>
      </c>
      <c r="O1741" s="5" t="s">
        <v>141</v>
      </c>
      <c r="P1741" s="4">
        <v>45820</v>
      </c>
      <c r="Q1741" s="15">
        <v>49.99</v>
      </c>
      <c r="R1741" s="15">
        <v>36.72</v>
      </c>
      <c r="S1741" s="15">
        <v>0</v>
      </c>
      <c r="T1741"/>
    </row>
    <row r="1742" spans="1:20">
      <c r="A1742" s="5" t="s">
        <v>113</v>
      </c>
      <c r="B1742" s="5" t="s">
        <v>15069</v>
      </c>
      <c r="C1742" s="4">
        <v>45795</v>
      </c>
      <c r="D1742" s="4">
        <v>45803</v>
      </c>
      <c r="E1742" s="5" t="s">
        <v>17079</v>
      </c>
      <c r="F1742" s="5" t="s">
        <v>19068</v>
      </c>
      <c r="G1742" s="5" t="s">
        <v>860</v>
      </c>
      <c r="H1742" s="5">
        <v>1</v>
      </c>
      <c r="I1742" s="8" t="s">
        <v>8869</v>
      </c>
      <c r="J1742" s="8" t="s">
        <v>10918</v>
      </c>
      <c r="K1742" s="8" t="s">
        <v>2715</v>
      </c>
      <c r="L1742" s="8" t="s">
        <v>12969</v>
      </c>
      <c r="M1742" s="8" t="s">
        <v>4765</v>
      </c>
      <c r="N1742" s="8" t="s">
        <v>6816</v>
      </c>
      <c r="O1742" s="5" t="s">
        <v>141</v>
      </c>
      <c r="P1742" s="4">
        <v>45820</v>
      </c>
      <c r="Q1742" s="15">
        <v>49.99</v>
      </c>
      <c r="R1742" s="15">
        <v>0</v>
      </c>
      <c r="S1742" s="15">
        <v>0</v>
      </c>
      <c r="T1742"/>
    </row>
    <row r="1743" spans="1:20">
      <c r="A1743" s="5" t="s">
        <v>113</v>
      </c>
      <c r="B1743" s="5" t="s">
        <v>15070</v>
      </c>
      <c r="C1743" s="4">
        <v>45795</v>
      </c>
      <c r="D1743" s="4" t="s">
        <v>37</v>
      </c>
      <c r="E1743" s="5" t="s">
        <v>37</v>
      </c>
      <c r="F1743" s="5" t="s">
        <v>37</v>
      </c>
      <c r="G1743" s="5" t="s">
        <v>889</v>
      </c>
      <c r="H1743" s="5">
        <v>1</v>
      </c>
      <c r="I1743" s="8" t="s">
        <v>8870</v>
      </c>
      <c r="J1743" s="8" t="s">
        <v>10919</v>
      </c>
      <c r="K1743" s="8" t="s">
        <v>2716</v>
      </c>
      <c r="L1743" s="8" t="s">
        <v>12970</v>
      </c>
      <c r="M1743" s="8" t="s">
        <v>4766</v>
      </c>
      <c r="N1743" s="8" t="s">
        <v>6817</v>
      </c>
      <c r="O1743" s="5" t="s">
        <v>145</v>
      </c>
      <c r="P1743" s="4">
        <v>45820</v>
      </c>
      <c r="Q1743" s="15">
        <v>49.99</v>
      </c>
      <c r="R1743" s="15">
        <v>0</v>
      </c>
      <c r="S1743" s="15">
        <v>0</v>
      </c>
      <c r="T1743"/>
    </row>
    <row r="1744" spans="1:20">
      <c r="A1744" s="5" t="s">
        <v>113</v>
      </c>
      <c r="B1744" s="5" t="s">
        <v>15071</v>
      </c>
      <c r="C1744" s="4">
        <v>45795</v>
      </c>
      <c r="D1744" s="4">
        <v>45807</v>
      </c>
      <c r="E1744" s="5" t="s">
        <v>17080</v>
      </c>
      <c r="F1744" s="5" t="s">
        <v>19069</v>
      </c>
      <c r="G1744" s="5" t="s">
        <v>876</v>
      </c>
      <c r="H1744" s="5">
        <v>1</v>
      </c>
      <c r="I1744" s="8" t="s">
        <v>8871</v>
      </c>
      <c r="J1744" s="8" t="s">
        <v>10920</v>
      </c>
      <c r="K1744" s="8" t="s">
        <v>2717</v>
      </c>
      <c r="L1744" s="8" t="s">
        <v>12971</v>
      </c>
      <c r="M1744" s="8" t="s">
        <v>4767</v>
      </c>
      <c r="N1744" s="8" t="s">
        <v>6818</v>
      </c>
      <c r="O1744" s="5" t="s">
        <v>144</v>
      </c>
      <c r="P1744" s="4">
        <v>45814</v>
      </c>
      <c r="Q1744" s="15">
        <v>52.73</v>
      </c>
      <c r="R1744" s="15">
        <v>29.74</v>
      </c>
      <c r="S1744" s="15">
        <v>0</v>
      </c>
      <c r="T1744"/>
    </row>
    <row r="1745" spans="1:20">
      <c r="A1745" s="5" t="s">
        <v>113</v>
      </c>
      <c r="B1745" s="5" t="s">
        <v>15072</v>
      </c>
      <c r="C1745" s="4">
        <v>45796</v>
      </c>
      <c r="D1745" s="4">
        <v>45807</v>
      </c>
      <c r="E1745" s="5" t="s">
        <v>17081</v>
      </c>
      <c r="F1745" s="5" t="s">
        <v>19070</v>
      </c>
      <c r="G1745" s="5" t="s">
        <v>905</v>
      </c>
      <c r="H1745" s="5">
        <v>1</v>
      </c>
      <c r="I1745" s="8" t="s">
        <v>8872</v>
      </c>
      <c r="J1745" s="8" t="s">
        <v>10921</v>
      </c>
      <c r="K1745" s="8" t="s">
        <v>2718</v>
      </c>
      <c r="L1745" s="8" t="s">
        <v>12972</v>
      </c>
      <c r="M1745" s="8" t="s">
        <v>4768</v>
      </c>
      <c r="N1745" s="8" t="s">
        <v>6819</v>
      </c>
      <c r="O1745" s="5" t="s">
        <v>125</v>
      </c>
      <c r="P1745" s="4">
        <v>45815</v>
      </c>
      <c r="Q1745" s="15">
        <v>31.99</v>
      </c>
      <c r="R1745" s="15">
        <v>17.16</v>
      </c>
      <c r="S1745" s="15">
        <v>0</v>
      </c>
      <c r="T1745"/>
    </row>
    <row r="1746" spans="1:20">
      <c r="A1746" s="5" t="s">
        <v>113</v>
      </c>
      <c r="B1746" s="5" t="s">
        <v>15073</v>
      </c>
      <c r="C1746" s="4">
        <v>45796</v>
      </c>
      <c r="D1746" s="4">
        <v>45803</v>
      </c>
      <c r="E1746" s="5" t="s">
        <v>17082</v>
      </c>
      <c r="F1746" s="5" t="s">
        <v>19071</v>
      </c>
      <c r="G1746" s="5" t="s">
        <v>860</v>
      </c>
      <c r="H1746" s="5">
        <v>1</v>
      </c>
      <c r="I1746" s="8" t="s">
        <v>8873</v>
      </c>
      <c r="J1746" s="8" t="s">
        <v>10922</v>
      </c>
      <c r="K1746" s="8" t="s">
        <v>2719</v>
      </c>
      <c r="L1746" s="8" t="s">
        <v>12973</v>
      </c>
      <c r="M1746" s="8" t="s">
        <v>4769</v>
      </c>
      <c r="N1746" s="8" t="s">
        <v>6820</v>
      </c>
      <c r="O1746" s="5" t="s">
        <v>141</v>
      </c>
      <c r="P1746" s="4">
        <v>45821</v>
      </c>
      <c r="Q1746" s="15">
        <v>49.99</v>
      </c>
      <c r="R1746" s="15">
        <v>37.729999999999997</v>
      </c>
      <c r="S1746" s="15">
        <v>0</v>
      </c>
      <c r="T1746"/>
    </row>
    <row r="1747" spans="1:20">
      <c r="A1747" s="5" t="s">
        <v>113</v>
      </c>
      <c r="B1747" s="5" t="s">
        <v>15074</v>
      </c>
      <c r="C1747" s="4">
        <v>45796</v>
      </c>
      <c r="D1747" s="4" t="s">
        <v>37</v>
      </c>
      <c r="E1747" s="5" t="s">
        <v>37</v>
      </c>
      <c r="F1747" s="5" t="s">
        <v>37</v>
      </c>
      <c r="G1747" s="5" t="s">
        <v>889</v>
      </c>
      <c r="H1747" s="5">
        <v>1</v>
      </c>
      <c r="I1747" s="8" t="s">
        <v>8874</v>
      </c>
      <c r="J1747" s="8" t="s">
        <v>10923</v>
      </c>
      <c r="K1747" s="8" t="s">
        <v>2720</v>
      </c>
      <c r="L1747" s="8" t="s">
        <v>12974</v>
      </c>
      <c r="M1747" s="8" t="s">
        <v>4770</v>
      </c>
      <c r="N1747" s="8" t="s">
        <v>6821</v>
      </c>
      <c r="O1747" s="5" t="s">
        <v>145</v>
      </c>
      <c r="P1747" s="4">
        <v>45815</v>
      </c>
      <c r="Q1747" s="15">
        <v>49.99</v>
      </c>
      <c r="R1747" s="15">
        <v>0</v>
      </c>
      <c r="S1747" s="15">
        <v>0</v>
      </c>
      <c r="T1747"/>
    </row>
    <row r="1748" spans="1:20">
      <c r="A1748" s="5" t="s">
        <v>113</v>
      </c>
      <c r="B1748" s="5" t="s">
        <v>15075</v>
      </c>
      <c r="C1748" s="4">
        <v>45796</v>
      </c>
      <c r="D1748" s="4" t="s">
        <v>37</v>
      </c>
      <c r="E1748" s="5" t="s">
        <v>37</v>
      </c>
      <c r="F1748" s="5" t="s">
        <v>37</v>
      </c>
      <c r="G1748" s="5" t="s">
        <v>833</v>
      </c>
      <c r="H1748" s="5">
        <v>1</v>
      </c>
      <c r="I1748" s="8" t="s">
        <v>8875</v>
      </c>
      <c r="J1748" s="8" t="s">
        <v>10924</v>
      </c>
      <c r="K1748" s="8" t="s">
        <v>2721</v>
      </c>
      <c r="L1748" s="8" t="s">
        <v>12975</v>
      </c>
      <c r="M1748" s="8" t="s">
        <v>4771</v>
      </c>
      <c r="N1748" s="8" t="s">
        <v>6822</v>
      </c>
      <c r="O1748" s="5" t="s">
        <v>147</v>
      </c>
      <c r="P1748" s="4">
        <v>45813</v>
      </c>
      <c r="Q1748" s="15">
        <v>22.7</v>
      </c>
      <c r="R1748" s="15">
        <v>0</v>
      </c>
      <c r="S1748" s="15">
        <v>0</v>
      </c>
      <c r="T1748"/>
    </row>
    <row r="1749" spans="1:20">
      <c r="A1749" s="5" t="s">
        <v>113</v>
      </c>
      <c r="B1749" s="5" t="s">
        <v>15076</v>
      </c>
      <c r="C1749" s="4">
        <v>45797</v>
      </c>
      <c r="D1749" s="4" t="s">
        <v>37</v>
      </c>
      <c r="E1749" s="5" t="s">
        <v>37</v>
      </c>
      <c r="F1749" s="5" t="s">
        <v>37</v>
      </c>
      <c r="G1749" s="5" t="s">
        <v>855</v>
      </c>
      <c r="H1749" s="5">
        <v>1</v>
      </c>
      <c r="I1749" s="8" t="s">
        <v>8876</v>
      </c>
      <c r="J1749" s="8" t="s">
        <v>10925</v>
      </c>
      <c r="K1749" s="8" t="s">
        <v>2722</v>
      </c>
      <c r="L1749" s="8" t="s">
        <v>12976</v>
      </c>
      <c r="M1749" s="8" t="s">
        <v>4772</v>
      </c>
      <c r="N1749" s="8" t="s">
        <v>6823</v>
      </c>
      <c r="O1749" s="5" t="s">
        <v>138</v>
      </c>
      <c r="P1749" s="4">
        <v>45829</v>
      </c>
      <c r="Q1749" s="15">
        <v>35</v>
      </c>
      <c r="R1749" s="15">
        <v>0</v>
      </c>
      <c r="S1749" s="15">
        <v>0</v>
      </c>
      <c r="T1749"/>
    </row>
    <row r="1750" spans="1:20">
      <c r="A1750" s="5" t="s">
        <v>113</v>
      </c>
      <c r="B1750" s="5" t="s">
        <v>15077</v>
      </c>
      <c r="C1750" s="4">
        <v>45797</v>
      </c>
      <c r="D1750" s="4">
        <v>45806</v>
      </c>
      <c r="E1750" s="5" t="s">
        <v>17083</v>
      </c>
      <c r="F1750" s="5" t="s">
        <v>19072</v>
      </c>
      <c r="G1750" s="5" t="s">
        <v>831</v>
      </c>
      <c r="H1750" s="5">
        <v>1</v>
      </c>
      <c r="I1750" s="8" t="s">
        <v>8877</v>
      </c>
      <c r="J1750" s="8" t="s">
        <v>10926</v>
      </c>
      <c r="K1750" s="8" t="s">
        <v>2723</v>
      </c>
      <c r="L1750" s="8" t="s">
        <v>12977</v>
      </c>
      <c r="M1750" s="8" t="s">
        <v>4773</v>
      </c>
      <c r="N1750" s="8" t="s">
        <v>6824</v>
      </c>
      <c r="O1750" s="5" t="s">
        <v>139</v>
      </c>
      <c r="P1750" s="4">
        <v>45832</v>
      </c>
      <c r="Q1750" s="15">
        <v>54</v>
      </c>
      <c r="R1750" s="15">
        <v>43.12</v>
      </c>
      <c r="S1750" s="15">
        <v>0</v>
      </c>
      <c r="T1750"/>
    </row>
    <row r="1751" spans="1:20">
      <c r="A1751" s="5" t="s">
        <v>113</v>
      </c>
      <c r="B1751" s="5" t="s">
        <v>15078</v>
      </c>
      <c r="C1751" s="4">
        <v>45798</v>
      </c>
      <c r="D1751" s="4">
        <v>45806</v>
      </c>
      <c r="E1751" s="5" t="s">
        <v>17084</v>
      </c>
      <c r="F1751" s="5" t="s">
        <v>19073</v>
      </c>
      <c r="G1751" s="5" t="s">
        <v>831</v>
      </c>
      <c r="H1751" s="5">
        <v>1</v>
      </c>
      <c r="I1751" s="8" t="s">
        <v>8878</v>
      </c>
      <c r="J1751" s="8" t="s">
        <v>10927</v>
      </c>
      <c r="K1751" s="8" t="s">
        <v>2724</v>
      </c>
      <c r="L1751" s="8" t="s">
        <v>12978</v>
      </c>
      <c r="M1751" s="8" t="s">
        <v>4774</v>
      </c>
      <c r="N1751" s="8" t="s">
        <v>6825</v>
      </c>
      <c r="O1751" s="5" t="s">
        <v>139</v>
      </c>
      <c r="P1751" s="4">
        <v>45825</v>
      </c>
      <c r="Q1751" s="15">
        <v>54</v>
      </c>
      <c r="R1751" s="15">
        <v>44.73</v>
      </c>
      <c r="S1751" s="15">
        <v>0</v>
      </c>
      <c r="T1751"/>
    </row>
    <row r="1752" spans="1:20">
      <c r="A1752" s="5" t="s">
        <v>113</v>
      </c>
      <c r="B1752" s="5" t="s">
        <v>15079</v>
      </c>
      <c r="C1752" s="4">
        <v>45799</v>
      </c>
      <c r="D1752" s="4">
        <v>45807</v>
      </c>
      <c r="E1752" s="5" t="s">
        <v>17085</v>
      </c>
      <c r="F1752" s="5" t="s">
        <v>19074</v>
      </c>
      <c r="G1752" s="5" t="s">
        <v>845</v>
      </c>
      <c r="H1752" s="5">
        <v>1</v>
      </c>
      <c r="I1752" s="8" t="s">
        <v>8879</v>
      </c>
      <c r="J1752" s="8" t="s">
        <v>10928</v>
      </c>
      <c r="K1752" s="8" t="s">
        <v>2725</v>
      </c>
      <c r="L1752" s="8" t="s">
        <v>12979</v>
      </c>
      <c r="M1752" s="8" t="s">
        <v>4775</v>
      </c>
      <c r="N1752" s="8" t="s">
        <v>6826</v>
      </c>
      <c r="O1752" s="5" t="s">
        <v>137</v>
      </c>
      <c r="P1752" s="4">
        <v>45834</v>
      </c>
      <c r="Q1752" s="15">
        <v>54</v>
      </c>
      <c r="R1752" s="15">
        <v>0</v>
      </c>
      <c r="S1752" s="15">
        <v>0</v>
      </c>
      <c r="T1752"/>
    </row>
    <row r="1753" spans="1:20">
      <c r="A1753" s="5" t="s">
        <v>113</v>
      </c>
      <c r="B1753" s="5" t="s">
        <v>15079</v>
      </c>
      <c r="C1753" s="4">
        <v>45799</v>
      </c>
      <c r="D1753" s="4">
        <v>45806</v>
      </c>
      <c r="E1753" s="5" t="s">
        <v>17086</v>
      </c>
      <c r="F1753" s="5" t="s">
        <v>19075</v>
      </c>
      <c r="G1753" s="5" t="s">
        <v>829</v>
      </c>
      <c r="H1753" s="5">
        <v>1</v>
      </c>
      <c r="I1753" s="8" t="s">
        <v>8879</v>
      </c>
      <c r="J1753" s="8" t="s">
        <v>10928</v>
      </c>
      <c r="K1753" s="8" t="s">
        <v>2725</v>
      </c>
      <c r="L1753" s="8" t="s">
        <v>12979</v>
      </c>
      <c r="M1753" s="8" t="s">
        <v>4775</v>
      </c>
      <c r="N1753" s="8" t="s">
        <v>6826</v>
      </c>
      <c r="O1753" s="5" t="s">
        <v>128</v>
      </c>
      <c r="P1753" s="4">
        <v>45834</v>
      </c>
      <c r="Q1753" s="15">
        <v>35.99</v>
      </c>
      <c r="R1753" s="15">
        <v>0</v>
      </c>
      <c r="S1753" s="15">
        <v>0</v>
      </c>
      <c r="T1753"/>
    </row>
    <row r="1754" spans="1:20">
      <c r="A1754" s="5" t="s">
        <v>113</v>
      </c>
      <c r="B1754" s="5" t="s">
        <v>15080</v>
      </c>
      <c r="C1754" s="4">
        <v>45801</v>
      </c>
      <c r="D1754" s="4">
        <v>45806</v>
      </c>
      <c r="E1754" s="5" t="s">
        <v>17087</v>
      </c>
      <c r="F1754" s="5" t="s">
        <v>19076</v>
      </c>
      <c r="G1754" s="5" t="s">
        <v>831</v>
      </c>
      <c r="H1754" s="5">
        <v>1</v>
      </c>
      <c r="I1754" s="8" t="s">
        <v>8880</v>
      </c>
      <c r="J1754" s="8" t="s">
        <v>10929</v>
      </c>
      <c r="K1754" s="8" t="s">
        <v>2726</v>
      </c>
      <c r="L1754" s="8" t="s">
        <v>12980</v>
      </c>
      <c r="M1754" s="8" t="s">
        <v>4776</v>
      </c>
      <c r="N1754" s="8" t="s">
        <v>6827</v>
      </c>
      <c r="O1754" s="5" t="s">
        <v>139</v>
      </c>
      <c r="P1754" s="4">
        <v>45827</v>
      </c>
      <c r="Q1754" s="15">
        <v>54</v>
      </c>
      <c r="R1754" s="15">
        <v>43.12</v>
      </c>
      <c r="S1754" s="15">
        <v>0</v>
      </c>
      <c r="T1754"/>
    </row>
    <row r="1755" spans="1:20">
      <c r="A1755" s="5" t="s">
        <v>108</v>
      </c>
      <c r="B1755" s="5" t="s">
        <v>15081</v>
      </c>
      <c r="C1755" s="4">
        <v>45801</v>
      </c>
      <c r="D1755" s="4">
        <v>45806</v>
      </c>
      <c r="E1755" s="5" t="s">
        <v>17088</v>
      </c>
      <c r="F1755" s="5" t="s">
        <v>19077</v>
      </c>
      <c r="G1755" s="5" t="s">
        <v>817</v>
      </c>
      <c r="H1755" s="5">
        <v>1</v>
      </c>
      <c r="I1755" s="8" t="s">
        <v>8881</v>
      </c>
      <c r="J1755" s="8" t="s">
        <v>10930</v>
      </c>
      <c r="K1755" s="8" t="s">
        <v>2727</v>
      </c>
      <c r="L1755" s="8" t="s">
        <v>12981</v>
      </c>
      <c r="M1755" s="8" t="s">
        <v>4777</v>
      </c>
      <c r="N1755" s="8" t="s">
        <v>6828</v>
      </c>
      <c r="O1755" s="5" t="s">
        <v>135</v>
      </c>
      <c r="P1755" s="4">
        <v>45827</v>
      </c>
      <c r="Q1755" s="15">
        <v>40.799999999999997</v>
      </c>
      <c r="R1755" s="15">
        <v>29.51</v>
      </c>
      <c r="S1755" s="15">
        <v>0</v>
      </c>
      <c r="T1755"/>
    </row>
    <row r="1756" spans="1:20">
      <c r="A1756" s="5" t="s">
        <v>108</v>
      </c>
      <c r="B1756" s="5" t="s">
        <v>15082</v>
      </c>
      <c r="C1756" s="4">
        <v>45801</v>
      </c>
      <c r="D1756" s="4">
        <v>45806</v>
      </c>
      <c r="E1756" s="5" t="s">
        <v>17089</v>
      </c>
      <c r="F1756" s="5" t="s">
        <v>19078</v>
      </c>
      <c r="G1756" s="5" t="s">
        <v>817</v>
      </c>
      <c r="H1756" s="5">
        <v>1</v>
      </c>
      <c r="I1756" s="8" t="s">
        <v>8882</v>
      </c>
      <c r="J1756" s="8" t="s">
        <v>10931</v>
      </c>
      <c r="K1756" s="8" t="s">
        <v>2728</v>
      </c>
      <c r="L1756" s="8" t="s">
        <v>12982</v>
      </c>
      <c r="M1756" s="8" t="s">
        <v>4778</v>
      </c>
      <c r="N1756" s="8" t="s">
        <v>6829</v>
      </c>
      <c r="O1756" s="5" t="s">
        <v>135</v>
      </c>
      <c r="P1756" s="4">
        <v>45835</v>
      </c>
      <c r="Q1756" s="15">
        <v>40.799999999999997</v>
      </c>
      <c r="R1756" s="15">
        <v>22.99</v>
      </c>
      <c r="S1756" s="15">
        <v>0</v>
      </c>
      <c r="T1756"/>
    </row>
    <row r="1757" spans="1:20">
      <c r="A1757" s="5" t="s">
        <v>113</v>
      </c>
      <c r="B1757" s="5" t="s">
        <v>15083</v>
      </c>
      <c r="C1757" s="4">
        <v>45805</v>
      </c>
      <c r="D1757" s="4">
        <v>45806</v>
      </c>
      <c r="E1757" s="5" t="s">
        <v>17090</v>
      </c>
      <c r="F1757" s="5" t="s">
        <v>19079</v>
      </c>
      <c r="G1757" s="5" t="s">
        <v>831</v>
      </c>
      <c r="H1757" s="5">
        <v>1</v>
      </c>
      <c r="I1757" s="8" t="s">
        <v>8883</v>
      </c>
      <c r="J1757" s="8" t="s">
        <v>10932</v>
      </c>
      <c r="K1757" s="8" t="s">
        <v>2729</v>
      </c>
      <c r="L1757" s="8" t="s">
        <v>12983</v>
      </c>
      <c r="M1757" s="8" t="s">
        <v>4779</v>
      </c>
      <c r="N1757" s="8" t="s">
        <v>6830</v>
      </c>
      <c r="O1757" s="5" t="s">
        <v>139</v>
      </c>
      <c r="P1757" s="4">
        <v>45840</v>
      </c>
      <c r="Q1757" s="15">
        <v>65.989999999999995</v>
      </c>
      <c r="R1757" s="15">
        <v>33.81</v>
      </c>
      <c r="S1757" s="15">
        <v>0</v>
      </c>
      <c r="T1757"/>
    </row>
    <row r="1758" spans="1:20">
      <c r="A1758" s="5" t="s">
        <v>108</v>
      </c>
      <c r="B1758" s="5" t="s">
        <v>15084</v>
      </c>
      <c r="C1758" s="4">
        <v>45806</v>
      </c>
      <c r="D1758" s="4">
        <v>45806</v>
      </c>
      <c r="E1758" s="5" t="s">
        <v>17091</v>
      </c>
      <c r="F1758" s="5" t="s">
        <v>19080</v>
      </c>
      <c r="G1758" s="5" t="s">
        <v>817</v>
      </c>
      <c r="H1758" s="5">
        <v>1</v>
      </c>
      <c r="I1758" s="8" t="s">
        <v>8884</v>
      </c>
      <c r="J1758" s="8" t="s">
        <v>10933</v>
      </c>
      <c r="K1758" s="8" t="s">
        <v>2730</v>
      </c>
      <c r="L1758" s="8" t="s">
        <v>12984</v>
      </c>
      <c r="M1758" s="8" t="s">
        <v>4780</v>
      </c>
      <c r="N1758" s="8" t="s">
        <v>6831</v>
      </c>
      <c r="O1758" s="5" t="s">
        <v>135</v>
      </c>
      <c r="P1758" s="4">
        <v>45841</v>
      </c>
      <c r="Q1758" s="15">
        <v>40.799999999999997</v>
      </c>
      <c r="R1758" s="15">
        <v>30.38</v>
      </c>
      <c r="S1758" s="15">
        <v>0</v>
      </c>
      <c r="T1758"/>
    </row>
    <row r="1759" spans="1:20">
      <c r="A1759" s="5" t="s">
        <v>108</v>
      </c>
      <c r="B1759" s="5" t="s">
        <v>15085</v>
      </c>
      <c r="C1759" s="4">
        <v>45809</v>
      </c>
      <c r="D1759" s="4">
        <v>45810</v>
      </c>
      <c r="E1759" s="5" t="s">
        <v>17092</v>
      </c>
      <c r="F1759" s="5" t="s">
        <v>19081</v>
      </c>
      <c r="G1759" s="5" t="s">
        <v>884</v>
      </c>
      <c r="H1759" s="5">
        <v>1</v>
      </c>
      <c r="I1759" s="8" t="s">
        <v>8885</v>
      </c>
      <c r="J1759" s="8" t="s">
        <v>10934</v>
      </c>
      <c r="K1759" s="8" t="s">
        <v>2731</v>
      </c>
      <c r="L1759" s="8" t="s">
        <v>12985</v>
      </c>
      <c r="M1759" s="8" t="s">
        <v>4781</v>
      </c>
      <c r="N1759" s="8" t="s">
        <v>6832</v>
      </c>
      <c r="O1759" s="5" t="s">
        <v>110</v>
      </c>
      <c r="P1759" s="4">
        <v>45835</v>
      </c>
      <c r="Q1759" s="15">
        <v>40.200000000000003</v>
      </c>
      <c r="R1759" s="15">
        <v>22.99</v>
      </c>
      <c r="S1759" s="15">
        <v>0</v>
      </c>
      <c r="T1759"/>
    </row>
    <row r="1760" spans="1:20">
      <c r="A1760" s="5" t="s">
        <v>36</v>
      </c>
      <c r="B1760" s="5" t="s">
        <v>15086</v>
      </c>
      <c r="C1760" s="4">
        <v>45811</v>
      </c>
      <c r="D1760" s="4" t="s">
        <v>37</v>
      </c>
      <c r="E1760" s="5" t="s">
        <v>37</v>
      </c>
      <c r="F1760" s="5" t="s">
        <v>19082</v>
      </c>
      <c r="G1760" s="5" t="s">
        <v>902</v>
      </c>
      <c r="H1760" s="5">
        <v>1</v>
      </c>
      <c r="I1760" s="8" t="s">
        <v>8886</v>
      </c>
      <c r="J1760" s="8" t="s">
        <v>10935</v>
      </c>
      <c r="K1760" s="8" t="s">
        <v>2732</v>
      </c>
      <c r="L1760" s="8" t="s">
        <v>12986</v>
      </c>
      <c r="M1760" s="8" t="s">
        <v>4782</v>
      </c>
      <c r="N1760" s="8" t="s">
        <v>6833</v>
      </c>
      <c r="O1760" s="5" t="s">
        <v>151</v>
      </c>
      <c r="P1760" s="4">
        <v>45832</v>
      </c>
      <c r="Q1760" s="15">
        <v>25.99</v>
      </c>
      <c r="R1760" s="15">
        <v>0</v>
      </c>
      <c r="S1760" s="15">
        <v>0</v>
      </c>
      <c r="T1760"/>
    </row>
    <row r="1761" spans="1:20">
      <c r="A1761" s="5" t="s">
        <v>36</v>
      </c>
      <c r="B1761" s="5" t="s">
        <v>15087</v>
      </c>
      <c r="C1761" s="4">
        <v>45811</v>
      </c>
      <c r="D1761" s="4">
        <v>45811</v>
      </c>
      <c r="E1761" s="5" t="s">
        <v>17093</v>
      </c>
      <c r="F1761" s="5" t="s">
        <v>19083</v>
      </c>
      <c r="G1761" s="5" t="s">
        <v>902</v>
      </c>
      <c r="H1761" s="5">
        <v>1</v>
      </c>
      <c r="I1761" s="8" t="s">
        <v>8887</v>
      </c>
      <c r="J1761" s="8" t="s">
        <v>10936</v>
      </c>
      <c r="K1761" s="8" t="s">
        <v>2733</v>
      </c>
      <c r="L1761" s="8" t="s">
        <v>12987</v>
      </c>
      <c r="M1761" s="8" t="s">
        <v>4783</v>
      </c>
      <c r="N1761" s="8" t="s">
        <v>6834</v>
      </c>
      <c r="O1761" s="5" t="s">
        <v>151</v>
      </c>
      <c r="P1761" s="4">
        <v>45839</v>
      </c>
      <c r="Q1761" s="15">
        <v>25.99</v>
      </c>
      <c r="R1761" s="15">
        <v>16.8</v>
      </c>
      <c r="S1761" s="15">
        <v>0</v>
      </c>
      <c r="T1761"/>
    </row>
    <row r="1762" spans="1:20">
      <c r="A1762" s="5" t="s">
        <v>36</v>
      </c>
      <c r="B1762" s="5" t="s">
        <v>15088</v>
      </c>
      <c r="C1762" s="4">
        <v>45811</v>
      </c>
      <c r="D1762" s="4">
        <v>45811</v>
      </c>
      <c r="E1762" s="5" t="s">
        <v>17094</v>
      </c>
      <c r="F1762" s="5" t="s">
        <v>19083</v>
      </c>
      <c r="G1762" s="5" t="s">
        <v>902</v>
      </c>
      <c r="H1762" s="5">
        <v>1</v>
      </c>
      <c r="I1762" s="8" t="s">
        <v>8887</v>
      </c>
      <c r="J1762" s="8" t="s">
        <v>10936</v>
      </c>
      <c r="K1762" s="8" t="s">
        <v>2733</v>
      </c>
      <c r="L1762" s="8" t="s">
        <v>12987</v>
      </c>
      <c r="M1762" s="8" t="s">
        <v>4783</v>
      </c>
      <c r="N1762" s="8" t="s">
        <v>6834</v>
      </c>
      <c r="O1762" s="5" t="s">
        <v>151</v>
      </c>
      <c r="P1762" s="4">
        <v>45839</v>
      </c>
      <c r="Q1762" s="15">
        <v>25.99</v>
      </c>
      <c r="R1762" s="15">
        <v>16.809999999999999</v>
      </c>
      <c r="S1762" s="15">
        <v>0</v>
      </c>
      <c r="T1762"/>
    </row>
    <row r="1763" spans="1:20">
      <c r="A1763" s="5" t="s">
        <v>36</v>
      </c>
      <c r="B1763" s="5" t="s">
        <v>15089</v>
      </c>
      <c r="C1763" s="4">
        <v>45811</v>
      </c>
      <c r="D1763" s="4">
        <v>45817</v>
      </c>
      <c r="E1763" s="5" t="s">
        <v>17095</v>
      </c>
      <c r="F1763" s="5" t="s">
        <v>19084</v>
      </c>
      <c r="G1763" s="5" t="s">
        <v>902</v>
      </c>
      <c r="H1763" s="5">
        <v>1</v>
      </c>
      <c r="I1763" s="8" t="s">
        <v>8888</v>
      </c>
      <c r="J1763" s="8" t="s">
        <v>10937</v>
      </c>
      <c r="K1763" s="8" t="s">
        <v>2734</v>
      </c>
      <c r="L1763" s="8" t="s">
        <v>12988</v>
      </c>
      <c r="M1763" s="8" t="s">
        <v>4784</v>
      </c>
      <c r="N1763" s="8" t="s">
        <v>6835</v>
      </c>
      <c r="O1763" s="5" t="s">
        <v>151</v>
      </c>
      <c r="P1763" s="4">
        <v>45839</v>
      </c>
      <c r="Q1763" s="15">
        <v>25.99</v>
      </c>
      <c r="R1763" s="15">
        <v>10.199999999999999</v>
      </c>
      <c r="S1763" s="15">
        <v>0</v>
      </c>
      <c r="T1763"/>
    </row>
    <row r="1764" spans="1:20">
      <c r="A1764" s="5" t="s">
        <v>36</v>
      </c>
      <c r="B1764" s="5" t="s">
        <v>15090</v>
      </c>
      <c r="C1764" s="4">
        <v>45812</v>
      </c>
      <c r="D1764" s="4">
        <v>45812</v>
      </c>
      <c r="E1764" s="5" t="s">
        <v>17096</v>
      </c>
      <c r="F1764" s="5" t="s">
        <v>19085</v>
      </c>
      <c r="G1764" s="5" t="s">
        <v>902</v>
      </c>
      <c r="H1764" s="5">
        <v>1</v>
      </c>
      <c r="I1764" s="8" t="s">
        <v>8889</v>
      </c>
      <c r="J1764" s="8" t="s">
        <v>10938</v>
      </c>
      <c r="K1764" s="8" t="s">
        <v>2735</v>
      </c>
      <c r="L1764" s="8" t="s">
        <v>12989</v>
      </c>
      <c r="M1764" s="8" t="s">
        <v>4785</v>
      </c>
      <c r="N1764" s="8" t="s">
        <v>6836</v>
      </c>
      <c r="O1764" s="5" t="s">
        <v>151</v>
      </c>
      <c r="P1764" s="4">
        <v>45840</v>
      </c>
      <c r="Q1764" s="15">
        <v>25.99</v>
      </c>
      <c r="R1764" s="15">
        <v>18.649999999999999</v>
      </c>
      <c r="S1764" s="15">
        <v>0</v>
      </c>
      <c r="T1764"/>
    </row>
    <row r="1765" spans="1:20">
      <c r="A1765" s="5" t="s">
        <v>36</v>
      </c>
      <c r="B1765" s="5" t="s">
        <v>15091</v>
      </c>
      <c r="C1765" s="4">
        <v>45813</v>
      </c>
      <c r="D1765" s="4">
        <v>45813</v>
      </c>
      <c r="E1765" s="5" t="s">
        <v>17097</v>
      </c>
      <c r="F1765" s="5" t="s">
        <v>19086</v>
      </c>
      <c r="G1765" s="5" t="s">
        <v>902</v>
      </c>
      <c r="H1765" s="5">
        <v>1</v>
      </c>
      <c r="I1765" s="8" t="s">
        <v>8890</v>
      </c>
      <c r="J1765" s="8" t="s">
        <v>10939</v>
      </c>
      <c r="K1765" s="8" t="s">
        <v>2736</v>
      </c>
      <c r="L1765" s="8" t="s">
        <v>12990</v>
      </c>
      <c r="M1765" s="8" t="s">
        <v>4786</v>
      </c>
      <c r="N1765" s="8" t="s">
        <v>6837</v>
      </c>
      <c r="O1765" s="5" t="s">
        <v>151</v>
      </c>
      <c r="P1765" s="4">
        <v>45840</v>
      </c>
      <c r="Q1765" s="15">
        <v>25.99</v>
      </c>
      <c r="R1765" s="15">
        <v>18.95</v>
      </c>
      <c r="S1765" s="15">
        <v>0</v>
      </c>
      <c r="T1765"/>
    </row>
    <row r="1766" spans="1:20">
      <c r="A1766" s="5" t="s">
        <v>36</v>
      </c>
      <c r="B1766" s="5" t="s">
        <v>15092</v>
      </c>
      <c r="C1766" s="4">
        <v>45813</v>
      </c>
      <c r="D1766" s="4">
        <v>45813</v>
      </c>
      <c r="E1766" s="5" t="s">
        <v>17098</v>
      </c>
      <c r="F1766" s="5" t="s">
        <v>19087</v>
      </c>
      <c r="G1766" s="5" t="s">
        <v>902</v>
      </c>
      <c r="H1766" s="5">
        <v>1</v>
      </c>
      <c r="I1766" s="8" t="s">
        <v>8891</v>
      </c>
      <c r="J1766" s="8" t="s">
        <v>10940</v>
      </c>
      <c r="K1766" s="8" t="s">
        <v>2737</v>
      </c>
      <c r="L1766" s="8" t="s">
        <v>12991</v>
      </c>
      <c r="M1766" s="8" t="s">
        <v>4787</v>
      </c>
      <c r="N1766" s="8" t="s">
        <v>6838</v>
      </c>
      <c r="O1766" s="5" t="s">
        <v>151</v>
      </c>
      <c r="P1766" s="4">
        <v>45841</v>
      </c>
      <c r="Q1766" s="15">
        <v>25.99</v>
      </c>
      <c r="R1766" s="15">
        <v>17.45</v>
      </c>
      <c r="S1766" s="15">
        <v>0</v>
      </c>
      <c r="T1766"/>
    </row>
    <row r="1767" spans="1:20">
      <c r="A1767" s="5" t="s">
        <v>36</v>
      </c>
      <c r="B1767" s="5" t="s">
        <v>15093</v>
      </c>
      <c r="C1767" s="4">
        <v>45813</v>
      </c>
      <c r="D1767" s="4">
        <v>45817</v>
      </c>
      <c r="E1767" s="5" t="s">
        <v>17099</v>
      </c>
      <c r="F1767" s="5" t="s">
        <v>19088</v>
      </c>
      <c r="G1767" s="5" t="s">
        <v>845</v>
      </c>
      <c r="H1767" s="5">
        <v>1</v>
      </c>
      <c r="I1767" s="8" t="s">
        <v>8892</v>
      </c>
      <c r="J1767" s="8" t="s">
        <v>10941</v>
      </c>
      <c r="K1767" s="8" t="s">
        <v>2738</v>
      </c>
      <c r="L1767" s="8" t="s">
        <v>12992</v>
      </c>
      <c r="M1767" s="8" t="s">
        <v>4788</v>
      </c>
      <c r="N1767" s="8" t="s">
        <v>6839</v>
      </c>
      <c r="O1767" s="5" t="s">
        <v>67</v>
      </c>
      <c r="P1767" s="4">
        <v>45829</v>
      </c>
      <c r="Q1767" s="15">
        <v>96.91</v>
      </c>
      <c r="R1767" s="15">
        <v>25.79</v>
      </c>
      <c r="S1767" s="15">
        <v>0</v>
      </c>
      <c r="T1767"/>
    </row>
    <row r="1768" spans="1:20">
      <c r="A1768" s="5" t="s">
        <v>36</v>
      </c>
      <c r="B1768" s="5" t="s">
        <v>15094</v>
      </c>
      <c r="C1768" s="4">
        <v>45814</v>
      </c>
      <c r="D1768" s="4">
        <v>45817</v>
      </c>
      <c r="E1768" s="5" t="s">
        <v>17100</v>
      </c>
      <c r="F1768" s="5" t="s">
        <v>19089</v>
      </c>
      <c r="G1768" s="5" t="s">
        <v>902</v>
      </c>
      <c r="H1768" s="5">
        <v>1</v>
      </c>
      <c r="I1768" s="8" t="s">
        <v>8893</v>
      </c>
      <c r="J1768" s="8" t="s">
        <v>10942</v>
      </c>
      <c r="K1768" s="8" t="s">
        <v>2739</v>
      </c>
      <c r="L1768" s="8" t="s">
        <v>12993</v>
      </c>
      <c r="M1768" s="8" t="s">
        <v>4789</v>
      </c>
      <c r="N1768" s="8" t="s">
        <v>6840</v>
      </c>
      <c r="O1768" s="5" t="s">
        <v>151</v>
      </c>
      <c r="P1768" s="4">
        <v>45842</v>
      </c>
      <c r="Q1768" s="15">
        <v>25.99</v>
      </c>
      <c r="R1768" s="15">
        <v>10.61</v>
      </c>
      <c r="S1768" s="15">
        <v>0</v>
      </c>
      <c r="T1768"/>
    </row>
    <row r="1769" spans="1:20">
      <c r="A1769" s="5" t="s">
        <v>36</v>
      </c>
      <c r="B1769" s="5" t="s">
        <v>15095</v>
      </c>
      <c r="C1769" s="4">
        <v>45814</v>
      </c>
      <c r="D1769" s="4">
        <v>45819</v>
      </c>
      <c r="E1769" s="5" t="s">
        <v>17101</v>
      </c>
      <c r="F1769" s="5" t="s">
        <v>19090</v>
      </c>
      <c r="G1769" s="5" t="s">
        <v>902</v>
      </c>
      <c r="H1769" s="5">
        <v>1</v>
      </c>
      <c r="I1769" s="8" t="s">
        <v>8894</v>
      </c>
      <c r="J1769" s="8" t="s">
        <v>10943</v>
      </c>
      <c r="K1769" s="8" t="s">
        <v>2740</v>
      </c>
      <c r="L1769" s="8" t="s">
        <v>12994</v>
      </c>
      <c r="M1769" s="8" t="s">
        <v>4790</v>
      </c>
      <c r="N1769" s="8" t="s">
        <v>6841</v>
      </c>
      <c r="O1769" s="5" t="s">
        <v>151</v>
      </c>
      <c r="P1769" s="4">
        <v>45836</v>
      </c>
      <c r="Q1769" s="15">
        <v>25.99</v>
      </c>
      <c r="R1769" s="15">
        <v>10.18</v>
      </c>
      <c r="S1769" s="15">
        <v>0</v>
      </c>
      <c r="T1769"/>
    </row>
    <row r="1770" spans="1:20">
      <c r="A1770" s="5" t="s">
        <v>108</v>
      </c>
      <c r="B1770" s="5" t="s">
        <v>15096</v>
      </c>
      <c r="C1770" s="4">
        <v>45813</v>
      </c>
      <c r="D1770" s="4">
        <v>45813</v>
      </c>
      <c r="E1770" s="5" t="s">
        <v>17102</v>
      </c>
      <c r="F1770" s="5" t="s">
        <v>19091</v>
      </c>
      <c r="G1770" s="5" t="s">
        <v>884</v>
      </c>
      <c r="H1770" s="5">
        <v>1</v>
      </c>
      <c r="I1770" s="8" t="s">
        <v>8895</v>
      </c>
      <c r="J1770" s="8" t="s">
        <v>10944</v>
      </c>
      <c r="K1770" s="8" t="s">
        <v>2741</v>
      </c>
      <c r="L1770" s="8" t="s">
        <v>12995</v>
      </c>
      <c r="M1770" s="8" t="s">
        <v>4791</v>
      </c>
      <c r="N1770" s="8" t="s">
        <v>6842</v>
      </c>
      <c r="O1770" s="5" t="s">
        <v>110</v>
      </c>
      <c r="P1770" s="4">
        <v>45840</v>
      </c>
      <c r="Q1770" s="15">
        <v>40.200000000000003</v>
      </c>
      <c r="R1770" s="15">
        <v>24.99</v>
      </c>
      <c r="S1770" s="15">
        <v>0</v>
      </c>
      <c r="T1770"/>
    </row>
    <row r="1771" spans="1:20">
      <c r="A1771" s="5" t="s">
        <v>36</v>
      </c>
      <c r="B1771" s="5" t="s">
        <v>15097</v>
      </c>
      <c r="C1771" s="4">
        <v>45815</v>
      </c>
      <c r="D1771" s="4">
        <v>45818</v>
      </c>
      <c r="E1771" s="5" t="s">
        <v>17103</v>
      </c>
      <c r="F1771" s="5" t="s">
        <v>19092</v>
      </c>
      <c r="G1771" s="5" t="s">
        <v>902</v>
      </c>
      <c r="H1771" s="5">
        <v>1</v>
      </c>
      <c r="I1771" s="8" t="s">
        <v>8896</v>
      </c>
      <c r="J1771" s="8" t="s">
        <v>10945</v>
      </c>
      <c r="K1771" s="8" t="s">
        <v>2742</v>
      </c>
      <c r="L1771" s="8" t="s">
        <v>12996</v>
      </c>
      <c r="M1771" s="8" t="s">
        <v>4792</v>
      </c>
      <c r="N1771" s="8" t="s">
        <v>6843</v>
      </c>
      <c r="O1771" s="5" t="s">
        <v>151</v>
      </c>
      <c r="P1771" s="4">
        <v>45842</v>
      </c>
      <c r="Q1771" s="15">
        <v>25.99</v>
      </c>
      <c r="R1771" s="15">
        <v>10.59</v>
      </c>
      <c r="S1771" s="15">
        <v>0</v>
      </c>
      <c r="T1771"/>
    </row>
    <row r="1772" spans="1:20">
      <c r="A1772" s="5" t="s">
        <v>36</v>
      </c>
      <c r="B1772" s="5" t="s">
        <v>15098</v>
      </c>
      <c r="C1772" s="4">
        <v>45818</v>
      </c>
      <c r="D1772" s="4">
        <v>45819</v>
      </c>
      <c r="E1772" s="5" t="s">
        <v>17104</v>
      </c>
      <c r="F1772" s="5" t="s">
        <v>19093</v>
      </c>
      <c r="G1772" s="5" t="s">
        <v>902</v>
      </c>
      <c r="H1772" s="5">
        <v>1</v>
      </c>
      <c r="I1772" s="8" t="s">
        <v>8897</v>
      </c>
      <c r="J1772" s="8" t="s">
        <v>10946</v>
      </c>
      <c r="K1772" s="8" t="s">
        <v>2743</v>
      </c>
      <c r="L1772" s="8" t="s">
        <v>12997</v>
      </c>
      <c r="M1772" s="8" t="s">
        <v>4793</v>
      </c>
      <c r="N1772" s="8" t="s">
        <v>6844</v>
      </c>
      <c r="O1772" s="5" t="s">
        <v>152</v>
      </c>
      <c r="P1772" s="4">
        <v>45850</v>
      </c>
      <c r="Q1772" s="15">
        <v>25.99</v>
      </c>
      <c r="R1772" s="15">
        <v>0</v>
      </c>
      <c r="S1772" s="15">
        <v>0</v>
      </c>
      <c r="T1772"/>
    </row>
    <row r="1773" spans="1:20">
      <c r="A1773" s="5" t="s">
        <v>36</v>
      </c>
      <c r="B1773" s="5" t="s">
        <v>15099</v>
      </c>
      <c r="C1773" s="4">
        <v>45818</v>
      </c>
      <c r="D1773" s="4">
        <v>45824</v>
      </c>
      <c r="E1773" s="5" t="s">
        <v>17105</v>
      </c>
      <c r="F1773" s="5" t="s">
        <v>19094</v>
      </c>
      <c r="G1773" s="5" t="s">
        <v>902</v>
      </c>
      <c r="H1773" s="5">
        <v>1</v>
      </c>
      <c r="I1773" s="8" t="s">
        <v>8898</v>
      </c>
      <c r="J1773" s="8" t="s">
        <v>10947</v>
      </c>
      <c r="K1773" s="8" t="s">
        <v>2744</v>
      </c>
      <c r="L1773" s="8" t="s">
        <v>12998</v>
      </c>
      <c r="M1773" s="8" t="s">
        <v>4794</v>
      </c>
      <c r="N1773" s="8" t="s">
        <v>6845</v>
      </c>
      <c r="O1773" s="5" t="s">
        <v>152</v>
      </c>
      <c r="P1773" s="4">
        <v>45853</v>
      </c>
      <c r="Q1773" s="15">
        <v>25.99</v>
      </c>
      <c r="R1773" s="15">
        <v>10.17</v>
      </c>
      <c r="S1773" s="15">
        <v>0</v>
      </c>
      <c r="T1773"/>
    </row>
    <row r="1774" spans="1:20">
      <c r="A1774" s="5" t="s">
        <v>36</v>
      </c>
      <c r="B1774" s="5" t="s">
        <v>15100</v>
      </c>
      <c r="C1774" s="4">
        <v>45818</v>
      </c>
      <c r="D1774" s="4">
        <v>45819</v>
      </c>
      <c r="E1774" s="5" t="s">
        <v>17106</v>
      </c>
      <c r="F1774" s="5" t="s">
        <v>19095</v>
      </c>
      <c r="G1774" s="5" t="s">
        <v>902</v>
      </c>
      <c r="H1774" s="5">
        <v>1</v>
      </c>
      <c r="I1774" s="8" t="s">
        <v>8899</v>
      </c>
      <c r="J1774" s="8" t="s">
        <v>10948</v>
      </c>
      <c r="K1774" s="8" t="s">
        <v>2745</v>
      </c>
      <c r="L1774" s="8" t="s">
        <v>12999</v>
      </c>
      <c r="M1774" s="8" t="s">
        <v>4795</v>
      </c>
      <c r="N1774" s="8" t="s">
        <v>6846</v>
      </c>
      <c r="O1774" s="5" t="s">
        <v>152</v>
      </c>
      <c r="P1774" s="4">
        <v>45853</v>
      </c>
      <c r="Q1774" s="15">
        <v>25.99</v>
      </c>
      <c r="R1774" s="15">
        <v>10.18</v>
      </c>
      <c r="S1774" s="15">
        <v>0</v>
      </c>
      <c r="T1774"/>
    </row>
    <row r="1775" spans="1:20">
      <c r="A1775" s="5" t="s">
        <v>36</v>
      </c>
      <c r="B1775" s="5" t="s">
        <v>15101</v>
      </c>
      <c r="C1775" s="4">
        <v>45819</v>
      </c>
      <c r="D1775" s="4">
        <v>45819</v>
      </c>
      <c r="E1775" s="5" t="s">
        <v>17107</v>
      </c>
      <c r="F1775" s="5" t="s">
        <v>19096</v>
      </c>
      <c r="G1775" s="5" t="s">
        <v>902</v>
      </c>
      <c r="H1775" s="5">
        <v>1</v>
      </c>
      <c r="I1775" s="8" t="s">
        <v>8900</v>
      </c>
      <c r="J1775" s="8" t="s">
        <v>10949</v>
      </c>
      <c r="K1775" s="8" t="s">
        <v>2746</v>
      </c>
      <c r="L1775" s="8" t="s">
        <v>13000</v>
      </c>
      <c r="M1775" s="8" t="s">
        <v>4796</v>
      </c>
      <c r="N1775" s="8" t="s">
        <v>6847</v>
      </c>
      <c r="O1775" s="5" t="s">
        <v>151</v>
      </c>
      <c r="P1775" s="4">
        <v>45847</v>
      </c>
      <c r="Q1775" s="15">
        <v>23.79</v>
      </c>
      <c r="R1775" s="15">
        <v>10.59</v>
      </c>
      <c r="S1775" s="15">
        <v>0</v>
      </c>
      <c r="T1775"/>
    </row>
    <row r="1776" spans="1:20">
      <c r="A1776" s="5" t="s">
        <v>36</v>
      </c>
      <c r="B1776" s="5" t="s">
        <v>15102</v>
      </c>
      <c r="C1776" s="4">
        <v>45819</v>
      </c>
      <c r="D1776" s="4" t="s">
        <v>37</v>
      </c>
      <c r="E1776" s="5" t="s">
        <v>37</v>
      </c>
      <c r="F1776" s="5" t="s">
        <v>37</v>
      </c>
      <c r="G1776" s="5" t="s">
        <v>902</v>
      </c>
      <c r="H1776" s="5">
        <v>1</v>
      </c>
      <c r="I1776" s="8" t="s">
        <v>8901</v>
      </c>
      <c r="J1776" s="8" t="s">
        <v>10950</v>
      </c>
      <c r="K1776" s="8" t="s">
        <v>2747</v>
      </c>
      <c r="L1776" s="8" t="s">
        <v>13001</v>
      </c>
      <c r="M1776" s="8" t="s">
        <v>4797</v>
      </c>
      <c r="N1776" s="8" t="s">
        <v>6848</v>
      </c>
      <c r="O1776" s="5" t="s">
        <v>151</v>
      </c>
      <c r="P1776" s="4">
        <v>45854</v>
      </c>
      <c r="Q1776" s="15">
        <v>23.79</v>
      </c>
      <c r="R1776" s="15">
        <v>0</v>
      </c>
      <c r="S1776" s="15">
        <v>0</v>
      </c>
      <c r="T1776"/>
    </row>
    <row r="1777" spans="1:20">
      <c r="A1777" s="5" t="s">
        <v>36</v>
      </c>
      <c r="B1777" s="5" t="s">
        <v>15103</v>
      </c>
      <c r="C1777" s="4">
        <v>45819</v>
      </c>
      <c r="D1777" s="4">
        <v>45826</v>
      </c>
      <c r="E1777" s="5" t="s">
        <v>17108</v>
      </c>
      <c r="F1777" s="5" t="s">
        <v>19097</v>
      </c>
      <c r="G1777" s="5" t="s">
        <v>902</v>
      </c>
      <c r="H1777" s="5">
        <v>1</v>
      </c>
      <c r="I1777" s="8" t="s">
        <v>8902</v>
      </c>
      <c r="J1777" s="8" t="s">
        <v>10951</v>
      </c>
      <c r="K1777" s="8" t="s">
        <v>2748</v>
      </c>
      <c r="L1777" s="8" t="s">
        <v>13002</v>
      </c>
      <c r="M1777" s="8" t="s">
        <v>4798</v>
      </c>
      <c r="N1777" s="8" t="s">
        <v>6849</v>
      </c>
      <c r="O1777" s="5" t="s">
        <v>151</v>
      </c>
      <c r="P1777" s="4">
        <v>45854</v>
      </c>
      <c r="Q1777" s="15">
        <v>23.79</v>
      </c>
      <c r="R1777" s="15">
        <v>10.210000000000001</v>
      </c>
      <c r="S1777" s="15">
        <v>0</v>
      </c>
      <c r="T1777"/>
    </row>
    <row r="1778" spans="1:20">
      <c r="A1778" s="5" t="s">
        <v>36</v>
      </c>
      <c r="B1778" s="5" t="s">
        <v>15104</v>
      </c>
      <c r="C1778" s="4">
        <v>45820</v>
      </c>
      <c r="D1778" s="4">
        <v>45824</v>
      </c>
      <c r="E1778" s="5" t="s">
        <v>17109</v>
      </c>
      <c r="F1778" s="5" t="s">
        <v>19098</v>
      </c>
      <c r="G1778" s="5" t="s">
        <v>902</v>
      </c>
      <c r="H1778" s="5">
        <v>1</v>
      </c>
      <c r="I1778" s="8" t="s">
        <v>8903</v>
      </c>
      <c r="J1778" s="8" t="s">
        <v>10952</v>
      </c>
      <c r="K1778" s="8" t="s">
        <v>2749</v>
      </c>
      <c r="L1778" s="8" t="s">
        <v>13003</v>
      </c>
      <c r="M1778" s="8" t="s">
        <v>4799</v>
      </c>
      <c r="N1778" s="8" t="s">
        <v>6850</v>
      </c>
      <c r="O1778" s="5" t="s">
        <v>151</v>
      </c>
      <c r="P1778" s="4">
        <v>45848</v>
      </c>
      <c r="Q1778" s="15">
        <v>23.79</v>
      </c>
      <c r="R1778" s="15">
        <v>15.37</v>
      </c>
      <c r="S1778" s="15">
        <v>0</v>
      </c>
      <c r="T1778"/>
    </row>
    <row r="1779" spans="1:20">
      <c r="A1779" s="5" t="s">
        <v>36</v>
      </c>
      <c r="B1779" s="5" t="s">
        <v>15105</v>
      </c>
      <c r="C1779" s="4">
        <v>45820</v>
      </c>
      <c r="D1779" s="4">
        <v>45821</v>
      </c>
      <c r="E1779" s="5" t="s">
        <v>17110</v>
      </c>
      <c r="F1779" s="5" t="s">
        <v>19099</v>
      </c>
      <c r="G1779" s="5" t="s">
        <v>902</v>
      </c>
      <c r="H1779" s="5">
        <v>1</v>
      </c>
      <c r="I1779" s="8" t="s">
        <v>8904</v>
      </c>
      <c r="J1779" s="8" t="s">
        <v>10953</v>
      </c>
      <c r="K1779" s="8" t="s">
        <v>2750</v>
      </c>
      <c r="L1779" s="8" t="s">
        <v>13004</v>
      </c>
      <c r="M1779" s="8" t="s">
        <v>4800</v>
      </c>
      <c r="N1779" s="8" t="s">
        <v>6851</v>
      </c>
      <c r="O1779" s="5" t="s">
        <v>151</v>
      </c>
      <c r="P1779" s="4">
        <v>45842</v>
      </c>
      <c r="Q1779" s="15">
        <v>23.79</v>
      </c>
      <c r="R1779" s="15">
        <v>17.96</v>
      </c>
      <c r="S1779" s="15">
        <v>0</v>
      </c>
      <c r="T1779"/>
    </row>
    <row r="1780" spans="1:20">
      <c r="A1780" s="5" t="s">
        <v>36</v>
      </c>
      <c r="B1780" s="5" t="s">
        <v>15106</v>
      </c>
      <c r="C1780" s="4">
        <v>45820</v>
      </c>
      <c r="D1780" s="4">
        <v>45826</v>
      </c>
      <c r="E1780" s="5" t="s">
        <v>17111</v>
      </c>
      <c r="F1780" s="5" t="s">
        <v>19100</v>
      </c>
      <c r="G1780" s="5" t="s">
        <v>902</v>
      </c>
      <c r="H1780" s="5">
        <v>1</v>
      </c>
      <c r="I1780" s="8" t="s">
        <v>8905</v>
      </c>
      <c r="J1780" s="8" t="s">
        <v>10954</v>
      </c>
      <c r="K1780" s="8" t="s">
        <v>2751</v>
      </c>
      <c r="L1780" s="8" t="s">
        <v>13005</v>
      </c>
      <c r="M1780" s="8" t="s">
        <v>4801</v>
      </c>
      <c r="N1780" s="8" t="s">
        <v>6852</v>
      </c>
      <c r="O1780" s="5" t="s">
        <v>151</v>
      </c>
      <c r="P1780" s="4">
        <v>45848</v>
      </c>
      <c r="Q1780" s="15">
        <v>23.79</v>
      </c>
      <c r="R1780" s="15">
        <v>10.210000000000001</v>
      </c>
      <c r="S1780" s="15">
        <v>0</v>
      </c>
      <c r="T1780"/>
    </row>
    <row r="1781" spans="1:20">
      <c r="A1781" s="5" t="s">
        <v>36</v>
      </c>
      <c r="B1781" s="5" t="s">
        <v>15107</v>
      </c>
      <c r="C1781" s="4">
        <v>45821</v>
      </c>
      <c r="D1781" s="4">
        <v>45824</v>
      </c>
      <c r="E1781" s="5" t="s">
        <v>17112</v>
      </c>
      <c r="F1781" s="5" t="s">
        <v>19101</v>
      </c>
      <c r="G1781" s="5" t="s">
        <v>902</v>
      </c>
      <c r="H1781" s="5">
        <v>1</v>
      </c>
      <c r="I1781" s="8" t="s">
        <v>8906</v>
      </c>
      <c r="J1781" s="8" t="s">
        <v>10955</v>
      </c>
      <c r="K1781" s="8" t="s">
        <v>2752</v>
      </c>
      <c r="L1781" s="8" t="s">
        <v>13006</v>
      </c>
      <c r="M1781" s="8" t="s">
        <v>4802</v>
      </c>
      <c r="N1781" s="8" t="s">
        <v>6853</v>
      </c>
      <c r="O1781" s="5" t="s">
        <v>151</v>
      </c>
      <c r="P1781" s="4">
        <v>45843</v>
      </c>
      <c r="Q1781" s="15">
        <v>23.79</v>
      </c>
      <c r="R1781" s="15">
        <v>15.76</v>
      </c>
      <c r="S1781" s="15">
        <v>0</v>
      </c>
      <c r="T1781"/>
    </row>
    <row r="1782" spans="1:20">
      <c r="A1782" s="5" t="s">
        <v>36</v>
      </c>
      <c r="B1782" s="5" t="s">
        <v>15108</v>
      </c>
      <c r="C1782" s="4">
        <v>45821</v>
      </c>
      <c r="D1782" s="4">
        <v>45824</v>
      </c>
      <c r="E1782" s="5" t="s">
        <v>17113</v>
      </c>
      <c r="F1782" s="5" t="s">
        <v>19102</v>
      </c>
      <c r="G1782" s="5" t="s">
        <v>902</v>
      </c>
      <c r="H1782" s="5">
        <v>1</v>
      </c>
      <c r="I1782" s="8" t="s">
        <v>8907</v>
      </c>
      <c r="J1782" s="8" t="s">
        <v>10956</v>
      </c>
      <c r="K1782" s="8" t="s">
        <v>2753</v>
      </c>
      <c r="L1782" s="8" t="s">
        <v>13007</v>
      </c>
      <c r="M1782" s="8" t="s">
        <v>4803</v>
      </c>
      <c r="N1782" s="8" t="s">
        <v>6854</v>
      </c>
      <c r="O1782" s="5" t="s">
        <v>151</v>
      </c>
      <c r="P1782" s="4">
        <v>45843</v>
      </c>
      <c r="Q1782" s="15">
        <v>23.79</v>
      </c>
      <c r="R1782" s="15">
        <v>14.95</v>
      </c>
      <c r="S1782" s="15">
        <v>0</v>
      </c>
      <c r="T1782"/>
    </row>
    <row r="1783" spans="1:20">
      <c r="A1783" s="5" t="s">
        <v>36</v>
      </c>
      <c r="B1783" s="5" t="s">
        <v>15109</v>
      </c>
      <c r="C1783" s="4">
        <v>45821</v>
      </c>
      <c r="D1783" s="4">
        <v>45826</v>
      </c>
      <c r="E1783" s="5" t="s">
        <v>17114</v>
      </c>
      <c r="F1783" s="5" t="s">
        <v>19103</v>
      </c>
      <c r="G1783" s="5" t="s">
        <v>902</v>
      </c>
      <c r="H1783" s="5">
        <v>1</v>
      </c>
      <c r="I1783" s="8" t="s">
        <v>8907</v>
      </c>
      <c r="J1783" s="8" t="s">
        <v>10956</v>
      </c>
      <c r="K1783" s="8" t="s">
        <v>2753</v>
      </c>
      <c r="L1783" s="8" t="s">
        <v>13007</v>
      </c>
      <c r="M1783" s="8" t="s">
        <v>4803</v>
      </c>
      <c r="N1783" s="8" t="s">
        <v>6854</v>
      </c>
      <c r="O1783" s="5" t="s">
        <v>151</v>
      </c>
      <c r="P1783" s="4">
        <v>45849</v>
      </c>
      <c r="Q1783" s="15">
        <v>23.79</v>
      </c>
      <c r="R1783" s="15">
        <v>10.56</v>
      </c>
      <c r="S1783" s="15">
        <v>0</v>
      </c>
      <c r="T1783"/>
    </row>
    <row r="1784" spans="1:20">
      <c r="A1784" s="5" t="s">
        <v>36</v>
      </c>
      <c r="B1784" s="5" t="s">
        <v>15110</v>
      </c>
      <c r="C1784" s="4">
        <v>45821</v>
      </c>
      <c r="D1784" s="4">
        <v>45824</v>
      </c>
      <c r="E1784" s="5" t="s">
        <v>17115</v>
      </c>
      <c r="F1784" s="5" t="s">
        <v>19104</v>
      </c>
      <c r="G1784" s="5" t="s">
        <v>902</v>
      </c>
      <c r="H1784" s="5">
        <v>1</v>
      </c>
      <c r="I1784" s="8" t="s">
        <v>8907</v>
      </c>
      <c r="J1784" s="8" t="s">
        <v>10956</v>
      </c>
      <c r="K1784" s="8" t="s">
        <v>2753</v>
      </c>
      <c r="L1784" s="8" t="s">
        <v>13007</v>
      </c>
      <c r="M1784" s="8" t="s">
        <v>4803</v>
      </c>
      <c r="N1784" s="8" t="s">
        <v>6854</v>
      </c>
      <c r="O1784" s="5" t="s">
        <v>151</v>
      </c>
      <c r="P1784" s="4">
        <v>45843</v>
      </c>
      <c r="Q1784" s="15">
        <v>23.79</v>
      </c>
      <c r="R1784" s="15">
        <v>14.9</v>
      </c>
      <c r="S1784" s="15">
        <v>0</v>
      </c>
      <c r="T1784"/>
    </row>
    <row r="1785" spans="1:20">
      <c r="A1785" s="5" t="s">
        <v>36</v>
      </c>
      <c r="B1785" s="5" t="s">
        <v>15111</v>
      </c>
      <c r="C1785" s="4">
        <v>45821</v>
      </c>
      <c r="D1785" s="4">
        <v>45824</v>
      </c>
      <c r="E1785" s="5" t="s">
        <v>17116</v>
      </c>
      <c r="F1785" s="5" t="s">
        <v>19105</v>
      </c>
      <c r="G1785" s="5" t="s">
        <v>902</v>
      </c>
      <c r="H1785" s="5">
        <v>1</v>
      </c>
      <c r="I1785" s="8" t="s">
        <v>8907</v>
      </c>
      <c r="J1785" s="8" t="s">
        <v>10956</v>
      </c>
      <c r="K1785" s="8" t="s">
        <v>2753</v>
      </c>
      <c r="L1785" s="8" t="s">
        <v>13007</v>
      </c>
      <c r="M1785" s="8" t="s">
        <v>4803</v>
      </c>
      <c r="N1785" s="8" t="s">
        <v>6854</v>
      </c>
      <c r="O1785" s="5" t="s">
        <v>151</v>
      </c>
      <c r="P1785" s="4">
        <v>45849</v>
      </c>
      <c r="Q1785" s="15">
        <v>23.79</v>
      </c>
      <c r="R1785" s="15">
        <v>15.11</v>
      </c>
      <c r="S1785" s="15">
        <v>0</v>
      </c>
      <c r="T1785"/>
    </row>
    <row r="1786" spans="1:20">
      <c r="A1786" s="5" t="s">
        <v>36</v>
      </c>
      <c r="B1786" s="5" t="s">
        <v>15112</v>
      </c>
      <c r="C1786" s="4">
        <v>45821</v>
      </c>
      <c r="D1786" s="4">
        <v>45826</v>
      </c>
      <c r="E1786" s="5" t="s">
        <v>17117</v>
      </c>
      <c r="F1786" s="5" t="s">
        <v>19106</v>
      </c>
      <c r="G1786" s="5" t="s">
        <v>902</v>
      </c>
      <c r="H1786" s="5">
        <v>1</v>
      </c>
      <c r="I1786" s="8" t="s">
        <v>8908</v>
      </c>
      <c r="J1786" s="8" t="s">
        <v>10957</v>
      </c>
      <c r="K1786" s="8" t="s">
        <v>2754</v>
      </c>
      <c r="L1786" s="8" t="s">
        <v>13008</v>
      </c>
      <c r="M1786" s="8" t="s">
        <v>4804</v>
      </c>
      <c r="N1786" s="8" t="s">
        <v>6855</v>
      </c>
      <c r="O1786" s="5" t="s">
        <v>152</v>
      </c>
      <c r="P1786" s="4">
        <v>45856</v>
      </c>
      <c r="Q1786" s="15">
        <v>25.99</v>
      </c>
      <c r="R1786" s="15">
        <v>10.210000000000001</v>
      </c>
      <c r="S1786" s="15">
        <v>0</v>
      </c>
      <c r="T1786"/>
    </row>
    <row r="1787" spans="1:20">
      <c r="A1787" s="5" t="s">
        <v>36</v>
      </c>
      <c r="B1787" s="5" t="s">
        <v>15113</v>
      </c>
      <c r="C1787" s="4">
        <v>45822</v>
      </c>
      <c r="D1787" s="4">
        <v>45826</v>
      </c>
      <c r="E1787" s="5" t="s">
        <v>17118</v>
      </c>
      <c r="F1787" s="5" t="s">
        <v>19107</v>
      </c>
      <c r="G1787" s="5" t="s">
        <v>902</v>
      </c>
      <c r="H1787" s="5">
        <v>1</v>
      </c>
      <c r="I1787" s="8" t="s">
        <v>8909</v>
      </c>
      <c r="J1787" s="8" t="s">
        <v>10958</v>
      </c>
      <c r="K1787" s="8" t="s">
        <v>2755</v>
      </c>
      <c r="L1787" s="8" t="s">
        <v>13009</v>
      </c>
      <c r="M1787" s="8" t="s">
        <v>4805</v>
      </c>
      <c r="N1787" s="8" t="s">
        <v>6856</v>
      </c>
      <c r="O1787" s="5" t="s">
        <v>151</v>
      </c>
      <c r="P1787" s="4">
        <v>45843</v>
      </c>
      <c r="Q1787" s="15">
        <v>23.79</v>
      </c>
      <c r="R1787" s="15">
        <v>10.210000000000001</v>
      </c>
      <c r="S1787" s="15">
        <v>0</v>
      </c>
      <c r="T1787"/>
    </row>
    <row r="1788" spans="1:20">
      <c r="A1788" s="5" t="s">
        <v>36</v>
      </c>
      <c r="B1788" s="5" t="s">
        <v>15114</v>
      </c>
      <c r="C1788" s="4">
        <v>45822</v>
      </c>
      <c r="D1788" s="4">
        <v>45824</v>
      </c>
      <c r="E1788" s="5" t="s">
        <v>17119</v>
      </c>
      <c r="F1788" s="5" t="s">
        <v>19108</v>
      </c>
      <c r="G1788" s="5" t="s">
        <v>902</v>
      </c>
      <c r="H1788" s="5">
        <v>1</v>
      </c>
      <c r="I1788" s="8" t="s">
        <v>8910</v>
      </c>
      <c r="J1788" s="8" t="s">
        <v>10959</v>
      </c>
      <c r="K1788" s="8" t="s">
        <v>2756</v>
      </c>
      <c r="L1788" s="8" t="s">
        <v>13010</v>
      </c>
      <c r="M1788" s="8" t="s">
        <v>4806</v>
      </c>
      <c r="N1788" s="8" t="s">
        <v>6857</v>
      </c>
      <c r="O1788" s="5" t="s">
        <v>151</v>
      </c>
      <c r="P1788" s="4">
        <v>45849</v>
      </c>
      <c r="Q1788" s="15">
        <v>23.79</v>
      </c>
      <c r="R1788" s="15">
        <v>14.9</v>
      </c>
      <c r="S1788" s="15">
        <v>0</v>
      </c>
      <c r="T1788"/>
    </row>
    <row r="1789" spans="1:20">
      <c r="A1789" s="5" t="s">
        <v>36</v>
      </c>
      <c r="B1789" s="5" t="s">
        <v>15115</v>
      </c>
      <c r="C1789" s="4">
        <v>45822</v>
      </c>
      <c r="D1789" s="4">
        <v>45826</v>
      </c>
      <c r="E1789" s="5" t="s">
        <v>17120</v>
      </c>
      <c r="F1789" s="5" t="s">
        <v>19109</v>
      </c>
      <c r="G1789" s="5" t="s">
        <v>902</v>
      </c>
      <c r="H1789" s="5">
        <v>1</v>
      </c>
      <c r="I1789" s="8" t="s">
        <v>8911</v>
      </c>
      <c r="J1789" s="8" t="s">
        <v>10960</v>
      </c>
      <c r="K1789" s="8" t="s">
        <v>2757</v>
      </c>
      <c r="L1789" s="8" t="s">
        <v>13011</v>
      </c>
      <c r="M1789" s="8" t="s">
        <v>4807</v>
      </c>
      <c r="N1789" s="8" t="s">
        <v>6858</v>
      </c>
      <c r="O1789" s="5" t="s">
        <v>151</v>
      </c>
      <c r="P1789" s="4">
        <v>45849</v>
      </c>
      <c r="Q1789" s="15">
        <v>23.79</v>
      </c>
      <c r="R1789" s="15">
        <v>10.210000000000001</v>
      </c>
      <c r="S1789" s="15">
        <v>0</v>
      </c>
      <c r="T1789"/>
    </row>
    <row r="1790" spans="1:20">
      <c r="A1790" s="5" t="s">
        <v>36</v>
      </c>
      <c r="B1790" s="5" t="s">
        <v>15116</v>
      </c>
      <c r="C1790" s="4">
        <v>45823</v>
      </c>
      <c r="D1790" s="4">
        <v>45824</v>
      </c>
      <c r="E1790" s="5" t="s">
        <v>17121</v>
      </c>
      <c r="F1790" s="5" t="s">
        <v>19110</v>
      </c>
      <c r="G1790" s="5" t="s">
        <v>902</v>
      </c>
      <c r="H1790" s="5">
        <v>1</v>
      </c>
      <c r="I1790" s="8" t="s">
        <v>8912</v>
      </c>
      <c r="J1790" s="8" t="s">
        <v>10961</v>
      </c>
      <c r="K1790" s="8" t="s">
        <v>2758</v>
      </c>
      <c r="L1790" s="8" t="s">
        <v>13012</v>
      </c>
      <c r="M1790" s="8" t="s">
        <v>4808</v>
      </c>
      <c r="N1790" s="8" t="s">
        <v>6859</v>
      </c>
      <c r="O1790" s="5" t="s">
        <v>151</v>
      </c>
      <c r="P1790" s="4">
        <v>45849</v>
      </c>
      <c r="Q1790" s="15">
        <v>23.79</v>
      </c>
      <c r="R1790" s="15">
        <v>14.9</v>
      </c>
      <c r="S1790" s="15">
        <v>0</v>
      </c>
      <c r="T1790"/>
    </row>
    <row r="1791" spans="1:20">
      <c r="A1791" s="5" t="s">
        <v>36</v>
      </c>
      <c r="B1791" s="5" t="s">
        <v>15117</v>
      </c>
      <c r="C1791" s="4">
        <v>45824</v>
      </c>
      <c r="D1791" s="4">
        <v>45826</v>
      </c>
      <c r="E1791" s="5" t="s">
        <v>17122</v>
      </c>
      <c r="F1791" s="5" t="s">
        <v>19111</v>
      </c>
      <c r="G1791" s="5" t="s">
        <v>902</v>
      </c>
      <c r="H1791" s="5">
        <v>1</v>
      </c>
      <c r="I1791" s="8" t="s">
        <v>8913</v>
      </c>
      <c r="J1791" s="8" t="s">
        <v>10962</v>
      </c>
      <c r="K1791" s="8" t="s">
        <v>2759</v>
      </c>
      <c r="L1791" s="8" t="s">
        <v>13013</v>
      </c>
      <c r="M1791" s="8" t="s">
        <v>4809</v>
      </c>
      <c r="N1791" s="8" t="s">
        <v>6860</v>
      </c>
      <c r="O1791" s="5" t="s">
        <v>151</v>
      </c>
      <c r="P1791" s="4">
        <v>45843</v>
      </c>
      <c r="Q1791" s="15">
        <v>23.79</v>
      </c>
      <c r="R1791" s="15">
        <v>10.210000000000001</v>
      </c>
      <c r="S1791" s="15">
        <v>0</v>
      </c>
      <c r="T1791"/>
    </row>
    <row r="1792" spans="1:20">
      <c r="A1792" s="5" t="s">
        <v>36</v>
      </c>
      <c r="B1792" s="5" t="s">
        <v>15118</v>
      </c>
      <c r="C1792" s="4">
        <v>45824</v>
      </c>
      <c r="D1792" s="4">
        <v>45826</v>
      </c>
      <c r="E1792" s="5" t="s">
        <v>17123</v>
      </c>
      <c r="F1792" s="5" t="s">
        <v>19112</v>
      </c>
      <c r="G1792" s="5" t="s">
        <v>902</v>
      </c>
      <c r="H1792" s="5">
        <v>1</v>
      </c>
      <c r="I1792" s="8" t="s">
        <v>8914</v>
      </c>
      <c r="J1792" s="8" t="s">
        <v>10963</v>
      </c>
      <c r="K1792" s="8" t="s">
        <v>2760</v>
      </c>
      <c r="L1792" s="8" t="s">
        <v>13014</v>
      </c>
      <c r="M1792" s="8" t="s">
        <v>4810</v>
      </c>
      <c r="N1792" s="8" t="s">
        <v>6861</v>
      </c>
      <c r="O1792" s="5" t="s">
        <v>152</v>
      </c>
      <c r="P1792" s="4">
        <v>45856</v>
      </c>
      <c r="Q1792" s="15">
        <v>25.99</v>
      </c>
      <c r="R1792" s="15">
        <v>10.56</v>
      </c>
      <c r="S1792" s="15">
        <v>0</v>
      </c>
      <c r="T1792"/>
    </row>
    <row r="1793" spans="1:20">
      <c r="A1793" s="5" t="s">
        <v>36</v>
      </c>
      <c r="B1793" s="5" t="s">
        <v>15119</v>
      </c>
      <c r="C1793" s="4">
        <v>45823</v>
      </c>
      <c r="D1793" s="4">
        <v>45826</v>
      </c>
      <c r="E1793" s="5" t="s">
        <v>17124</v>
      </c>
      <c r="F1793" s="5" t="s">
        <v>19113</v>
      </c>
      <c r="G1793" s="5" t="s">
        <v>902</v>
      </c>
      <c r="H1793" s="5">
        <v>1</v>
      </c>
      <c r="I1793" s="8" t="s">
        <v>8915</v>
      </c>
      <c r="J1793" s="8" t="s">
        <v>10964</v>
      </c>
      <c r="K1793" s="8" t="s">
        <v>2761</v>
      </c>
      <c r="L1793" s="8" t="s">
        <v>13015</v>
      </c>
      <c r="M1793" s="8" t="s">
        <v>4811</v>
      </c>
      <c r="N1793" s="8" t="s">
        <v>6862</v>
      </c>
      <c r="O1793" s="5" t="s">
        <v>151</v>
      </c>
      <c r="P1793" s="4">
        <v>45849</v>
      </c>
      <c r="Q1793" s="15">
        <v>23.79</v>
      </c>
      <c r="R1793" s="15">
        <v>10.56</v>
      </c>
      <c r="S1793" s="15">
        <v>0</v>
      </c>
      <c r="T1793"/>
    </row>
    <row r="1794" spans="1:20">
      <c r="A1794" s="5" t="s">
        <v>36</v>
      </c>
      <c r="B1794" s="5" t="s">
        <v>15120</v>
      </c>
      <c r="C1794" s="4">
        <v>45824</v>
      </c>
      <c r="D1794" s="4">
        <v>45828</v>
      </c>
      <c r="E1794" s="5" t="s">
        <v>17125</v>
      </c>
      <c r="F1794" s="5" t="s">
        <v>19114</v>
      </c>
      <c r="G1794" s="5" t="s">
        <v>902</v>
      </c>
      <c r="H1794" s="5">
        <v>1</v>
      </c>
      <c r="I1794" s="8" t="s">
        <v>8916</v>
      </c>
      <c r="J1794" s="8" t="s">
        <v>10965</v>
      </c>
      <c r="K1794" s="8" t="s">
        <v>2762</v>
      </c>
      <c r="L1794" s="8" t="s">
        <v>13016</v>
      </c>
      <c r="M1794" s="8" t="s">
        <v>4812</v>
      </c>
      <c r="N1794" s="8" t="s">
        <v>6863</v>
      </c>
      <c r="O1794" s="5" t="s">
        <v>151</v>
      </c>
      <c r="P1794" s="4">
        <v>45850</v>
      </c>
      <c r="Q1794" s="15">
        <v>23.79</v>
      </c>
      <c r="R1794" s="15">
        <v>10.56</v>
      </c>
      <c r="S1794" s="15">
        <v>0</v>
      </c>
      <c r="T1794"/>
    </row>
    <row r="1795" spans="1:20">
      <c r="A1795" s="5" t="s">
        <v>36</v>
      </c>
      <c r="B1795" s="5" t="s">
        <v>15121</v>
      </c>
      <c r="C1795" s="4">
        <v>45824</v>
      </c>
      <c r="D1795" s="4">
        <v>45828</v>
      </c>
      <c r="E1795" s="5" t="s">
        <v>17126</v>
      </c>
      <c r="F1795" s="5" t="s">
        <v>19115</v>
      </c>
      <c r="G1795" s="5" t="s">
        <v>902</v>
      </c>
      <c r="H1795" s="5">
        <v>1</v>
      </c>
      <c r="I1795" s="8" t="s">
        <v>8917</v>
      </c>
      <c r="J1795" s="8" t="s">
        <v>10966</v>
      </c>
      <c r="K1795" s="8" t="s">
        <v>2763</v>
      </c>
      <c r="L1795" s="8" t="s">
        <v>13017</v>
      </c>
      <c r="M1795" s="8" t="s">
        <v>4813</v>
      </c>
      <c r="N1795" s="8" t="s">
        <v>6864</v>
      </c>
      <c r="O1795" s="5" t="s">
        <v>151</v>
      </c>
      <c r="P1795" s="4">
        <v>45850</v>
      </c>
      <c r="Q1795" s="15">
        <v>23.79</v>
      </c>
      <c r="R1795" s="15">
        <v>11.43</v>
      </c>
      <c r="S1795" s="15">
        <v>0</v>
      </c>
      <c r="T1795"/>
    </row>
    <row r="1796" spans="1:20">
      <c r="A1796" s="5" t="s">
        <v>36</v>
      </c>
      <c r="B1796" s="5" t="s">
        <v>15122</v>
      </c>
      <c r="C1796" s="4">
        <v>45824</v>
      </c>
      <c r="D1796" s="4">
        <v>45828</v>
      </c>
      <c r="E1796" s="5" t="s">
        <v>17127</v>
      </c>
      <c r="F1796" s="5" t="s">
        <v>19116</v>
      </c>
      <c r="G1796" s="5" t="s">
        <v>902</v>
      </c>
      <c r="H1796" s="5">
        <v>1</v>
      </c>
      <c r="I1796" s="8" t="s">
        <v>8918</v>
      </c>
      <c r="J1796" s="8" t="s">
        <v>10967</v>
      </c>
      <c r="K1796" s="8" t="s">
        <v>2764</v>
      </c>
      <c r="L1796" s="8" t="s">
        <v>13018</v>
      </c>
      <c r="M1796" s="8" t="s">
        <v>4814</v>
      </c>
      <c r="N1796" s="8" t="s">
        <v>6865</v>
      </c>
      <c r="O1796" s="5" t="s">
        <v>152</v>
      </c>
      <c r="P1796" s="4">
        <v>45850</v>
      </c>
      <c r="Q1796" s="15">
        <v>25.99</v>
      </c>
      <c r="R1796" s="15">
        <v>10.220000000000001</v>
      </c>
      <c r="S1796" s="15">
        <v>0</v>
      </c>
      <c r="T1796"/>
    </row>
    <row r="1797" spans="1:20">
      <c r="A1797" s="5" t="s">
        <v>36</v>
      </c>
      <c r="B1797" s="5" t="s">
        <v>15123</v>
      </c>
      <c r="C1797" s="4">
        <v>45824</v>
      </c>
      <c r="D1797" s="4">
        <v>45828</v>
      </c>
      <c r="E1797" s="5" t="s">
        <v>17128</v>
      </c>
      <c r="F1797" s="5" t="s">
        <v>19117</v>
      </c>
      <c r="G1797" s="5" t="s">
        <v>902</v>
      </c>
      <c r="H1797" s="5">
        <v>1</v>
      </c>
      <c r="I1797" s="8" t="s">
        <v>8919</v>
      </c>
      <c r="J1797" s="8" t="s">
        <v>10968</v>
      </c>
      <c r="K1797" s="8" t="s">
        <v>2765</v>
      </c>
      <c r="L1797" s="8" t="s">
        <v>13019</v>
      </c>
      <c r="M1797" s="8" t="s">
        <v>4815</v>
      </c>
      <c r="N1797" s="8" t="s">
        <v>6866</v>
      </c>
      <c r="O1797" s="5" t="s">
        <v>152</v>
      </c>
      <c r="P1797" s="4">
        <v>45857</v>
      </c>
      <c r="Q1797" s="15">
        <v>25.99</v>
      </c>
      <c r="R1797" s="15">
        <v>10.220000000000001</v>
      </c>
      <c r="S1797" s="15">
        <v>0</v>
      </c>
      <c r="T1797"/>
    </row>
    <row r="1798" spans="1:20">
      <c r="A1798" s="5" t="s">
        <v>36</v>
      </c>
      <c r="B1798" s="5" t="s">
        <v>15124</v>
      </c>
      <c r="C1798" s="4">
        <v>45824</v>
      </c>
      <c r="D1798" s="4">
        <v>45828</v>
      </c>
      <c r="E1798" s="5" t="s">
        <v>17129</v>
      </c>
      <c r="F1798" s="5" t="s">
        <v>19118</v>
      </c>
      <c r="G1798" s="5" t="s">
        <v>902</v>
      </c>
      <c r="H1798" s="5">
        <v>1</v>
      </c>
      <c r="I1798" s="8" t="s">
        <v>8920</v>
      </c>
      <c r="J1798" s="8" t="s">
        <v>10969</v>
      </c>
      <c r="K1798" s="8" t="s">
        <v>2766</v>
      </c>
      <c r="L1798" s="8" t="s">
        <v>13020</v>
      </c>
      <c r="M1798" s="8" t="s">
        <v>4816</v>
      </c>
      <c r="N1798" s="8" t="s">
        <v>6867</v>
      </c>
      <c r="O1798" s="5" t="s">
        <v>152</v>
      </c>
      <c r="P1798" s="4">
        <v>45857</v>
      </c>
      <c r="Q1798" s="15">
        <v>25.99</v>
      </c>
      <c r="R1798" s="15">
        <v>10.220000000000001</v>
      </c>
      <c r="S1798" s="15">
        <v>0</v>
      </c>
      <c r="T1798"/>
    </row>
    <row r="1799" spans="1:20">
      <c r="A1799" s="5" t="s">
        <v>36</v>
      </c>
      <c r="B1799" s="5" t="s">
        <v>15125</v>
      </c>
      <c r="C1799" s="4">
        <v>45824</v>
      </c>
      <c r="D1799" s="4">
        <v>45824</v>
      </c>
      <c r="E1799" s="5" t="s">
        <v>17130</v>
      </c>
      <c r="F1799" s="5" t="s">
        <v>19119</v>
      </c>
      <c r="G1799" s="5" t="s">
        <v>902</v>
      </c>
      <c r="H1799" s="5">
        <v>1</v>
      </c>
      <c r="I1799" s="8" t="s">
        <v>8921</v>
      </c>
      <c r="J1799" s="8" t="s">
        <v>10970</v>
      </c>
      <c r="K1799" s="8" t="s">
        <v>2767</v>
      </c>
      <c r="L1799" s="8" t="s">
        <v>13021</v>
      </c>
      <c r="M1799" s="8" t="s">
        <v>4817</v>
      </c>
      <c r="N1799" s="8" t="s">
        <v>6868</v>
      </c>
      <c r="O1799" s="5" t="s">
        <v>151</v>
      </c>
      <c r="P1799" s="4">
        <v>45850</v>
      </c>
      <c r="Q1799" s="15">
        <v>23.79</v>
      </c>
      <c r="R1799" s="15">
        <v>15.01</v>
      </c>
      <c r="S1799" s="15">
        <v>0</v>
      </c>
      <c r="T1799"/>
    </row>
    <row r="1800" spans="1:20">
      <c r="A1800" s="5" t="s">
        <v>36</v>
      </c>
      <c r="B1800" s="5" t="s">
        <v>15126</v>
      </c>
      <c r="C1800" s="4">
        <v>45824</v>
      </c>
      <c r="D1800" s="4">
        <v>45824</v>
      </c>
      <c r="E1800" s="5" t="s">
        <v>17131</v>
      </c>
      <c r="F1800" s="5" t="s">
        <v>19120</v>
      </c>
      <c r="G1800" s="5" t="s">
        <v>902</v>
      </c>
      <c r="H1800" s="5">
        <v>1</v>
      </c>
      <c r="I1800" s="8" t="s">
        <v>8922</v>
      </c>
      <c r="J1800" s="8" t="s">
        <v>10971</v>
      </c>
      <c r="K1800" s="8" t="s">
        <v>2768</v>
      </c>
      <c r="L1800" s="8" t="s">
        <v>13022</v>
      </c>
      <c r="M1800" s="8" t="s">
        <v>4818</v>
      </c>
      <c r="N1800" s="8" t="s">
        <v>6869</v>
      </c>
      <c r="O1800" s="5" t="s">
        <v>151</v>
      </c>
      <c r="P1800" s="4">
        <v>45846</v>
      </c>
      <c r="Q1800" s="15">
        <v>23.79</v>
      </c>
      <c r="R1800" s="15">
        <v>15.55</v>
      </c>
      <c r="S1800" s="15">
        <v>0</v>
      </c>
      <c r="T1800"/>
    </row>
    <row r="1801" spans="1:20">
      <c r="A1801" s="5" t="s">
        <v>36</v>
      </c>
      <c r="B1801" s="5" t="s">
        <v>15127</v>
      </c>
      <c r="C1801" s="4">
        <v>45824</v>
      </c>
      <c r="D1801" s="4">
        <v>45828</v>
      </c>
      <c r="E1801" s="5" t="s">
        <v>17132</v>
      </c>
      <c r="F1801" s="5" t="s">
        <v>19121</v>
      </c>
      <c r="G1801" s="5" t="s">
        <v>902</v>
      </c>
      <c r="H1801" s="5">
        <v>1</v>
      </c>
      <c r="I1801" s="8" t="s">
        <v>8923</v>
      </c>
      <c r="J1801" s="8" t="s">
        <v>10972</v>
      </c>
      <c r="K1801" s="8" t="s">
        <v>2769</v>
      </c>
      <c r="L1801" s="8" t="s">
        <v>13023</v>
      </c>
      <c r="M1801" s="8" t="s">
        <v>4819</v>
      </c>
      <c r="N1801" s="8" t="s">
        <v>6870</v>
      </c>
      <c r="O1801" s="5" t="s">
        <v>151</v>
      </c>
      <c r="P1801" s="4">
        <v>45857</v>
      </c>
      <c r="Q1801" s="15">
        <v>25.99</v>
      </c>
      <c r="R1801" s="15">
        <v>10.220000000000001</v>
      </c>
      <c r="S1801" s="15">
        <v>0</v>
      </c>
      <c r="T1801"/>
    </row>
    <row r="1802" spans="1:20">
      <c r="A1802" s="5" t="s">
        <v>108</v>
      </c>
      <c r="B1802" s="5" t="s">
        <v>15128</v>
      </c>
      <c r="C1802" s="4">
        <v>45821</v>
      </c>
      <c r="D1802" s="4">
        <v>45824</v>
      </c>
      <c r="E1802" s="5" t="s">
        <v>17133</v>
      </c>
      <c r="F1802" s="5" t="s">
        <v>19122</v>
      </c>
      <c r="G1802" s="5" t="s">
        <v>882</v>
      </c>
      <c r="H1802" s="5">
        <v>1</v>
      </c>
      <c r="I1802" s="8" t="s">
        <v>8924</v>
      </c>
      <c r="J1802" s="8" t="s">
        <v>10973</v>
      </c>
      <c r="K1802" s="8" t="s">
        <v>2770</v>
      </c>
      <c r="L1802" s="8" t="s">
        <v>13024</v>
      </c>
      <c r="M1802" s="8" t="s">
        <v>4820</v>
      </c>
      <c r="N1802" s="8" t="s">
        <v>6871</v>
      </c>
      <c r="O1802" s="5" t="s">
        <v>130</v>
      </c>
      <c r="P1802" s="4">
        <v>45849</v>
      </c>
      <c r="Q1802" s="15">
        <v>67.599999999999994</v>
      </c>
      <c r="R1802" s="15">
        <v>38.4</v>
      </c>
      <c r="S1802" s="15">
        <v>0</v>
      </c>
      <c r="T1802"/>
    </row>
    <row r="1803" spans="1:20">
      <c r="A1803" s="5" t="s">
        <v>108</v>
      </c>
      <c r="B1803" s="5" t="s">
        <v>15129</v>
      </c>
      <c r="C1803" s="4">
        <v>45824</v>
      </c>
      <c r="D1803" s="4">
        <v>45824</v>
      </c>
      <c r="E1803" s="5" t="s">
        <v>17134</v>
      </c>
      <c r="F1803" s="5" t="s">
        <v>19123</v>
      </c>
      <c r="G1803" s="5" t="s">
        <v>860</v>
      </c>
      <c r="H1803" s="5">
        <v>1</v>
      </c>
      <c r="I1803" s="8" t="s">
        <v>8925</v>
      </c>
      <c r="J1803" s="8" t="s">
        <v>10974</v>
      </c>
      <c r="K1803" s="8" t="s">
        <v>2771</v>
      </c>
      <c r="L1803" s="8" t="s">
        <v>13025</v>
      </c>
      <c r="M1803" s="8" t="s">
        <v>4821</v>
      </c>
      <c r="N1803" s="8" t="s">
        <v>6872</v>
      </c>
      <c r="O1803" s="5" t="s">
        <v>131</v>
      </c>
      <c r="P1803" s="4">
        <v>45850</v>
      </c>
      <c r="Q1803" s="15">
        <v>54.99</v>
      </c>
      <c r="R1803" s="15">
        <v>38.46</v>
      </c>
      <c r="S1803" s="15">
        <v>0</v>
      </c>
      <c r="T1803"/>
    </row>
    <row r="1804" spans="1:20">
      <c r="A1804" s="5" t="s">
        <v>36</v>
      </c>
      <c r="B1804" s="5" t="s">
        <v>15130</v>
      </c>
      <c r="C1804" s="4">
        <v>45825</v>
      </c>
      <c r="D1804" s="4">
        <v>45831</v>
      </c>
      <c r="E1804" s="5" t="s">
        <v>17135</v>
      </c>
      <c r="F1804" s="5" t="s">
        <v>19124</v>
      </c>
      <c r="G1804" s="5" t="s">
        <v>902</v>
      </c>
      <c r="H1804" s="5">
        <v>1</v>
      </c>
      <c r="I1804" s="8" t="s">
        <v>8926</v>
      </c>
      <c r="J1804" s="8" t="s">
        <v>10975</v>
      </c>
      <c r="K1804" s="8" t="s">
        <v>2772</v>
      </c>
      <c r="L1804" s="8" t="s">
        <v>13026</v>
      </c>
      <c r="M1804" s="8" t="s">
        <v>4822</v>
      </c>
      <c r="N1804" s="8" t="s">
        <v>6873</v>
      </c>
      <c r="O1804" s="5" t="s">
        <v>151</v>
      </c>
      <c r="P1804" s="4">
        <v>45860</v>
      </c>
      <c r="Q1804" s="15">
        <v>25.65</v>
      </c>
      <c r="R1804" s="15">
        <v>10.17</v>
      </c>
      <c r="S1804" s="15">
        <v>0</v>
      </c>
      <c r="T1804"/>
    </row>
    <row r="1805" spans="1:20">
      <c r="A1805" s="5" t="s">
        <v>36</v>
      </c>
      <c r="B1805" s="5" t="s">
        <v>15131</v>
      </c>
      <c r="C1805" s="4">
        <v>45826</v>
      </c>
      <c r="D1805" s="4">
        <v>45831</v>
      </c>
      <c r="E1805" s="5" t="s">
        <v>17136</v>
      </c>
      <c r="F1805" s="5" t="s">
        <v>19125</v>
      </c>
      <c r="G1805" s="5" t="s">
        <v>902</v>
      </c>
      <c r="H1805" s="5">
        <v>1</v>
      </c>
      <c r="I1805" s="8" t="s">
        <v>8927</v>
      </c>
      <c r="J1805" s="8" t="s">
        <v>10976</v>
      </c>
      <c r="K1805" s="8" t="s">
        <v>2773</v>
      </c>
      <c r="L1805" s="8" t="s">
        <v>13027</v>
      </c>
      <c r="M1805" s="8" t="s">
        <v>4823</v>
      </c>
      <c r="N1805" s="8" t="s">
        <v>6874</v>
      </c>
      <c r="O1805" s="5" t="s">
        <v>151</v>
      </c>
      <c r="P1805" s="4">
        <v>45854</v>
      </c>
      <c r="Q1805" s="15">
        <v>23.9</v>
      </c>
      <c r="R1805" s="15">
        <v>9.4</v>
      </c>
      <c r="S1805" s="15">
        <v>0</v>
      </c>
      <c r="T1805"/>
    </row>
    <row r="1806" spans="1:20">
      <c r="A1806" s="5" t="s">
        <v>36</v>
      </c>
      <c r="B1806" s="5" t="s">
        <v>15132</v>
      </c>
      <c r="C1806" s="4">
        <v>45826</v>
      </c>
      <c r="D1806" s="4">
        <v>45831</v>
      </c>
      <c r="E1806" s="5" t="s">
        <v>17137</v>
      </c>
      <c r="F1806" s="5" t="s">
        <v>19126</v>
      </c>
      <c r="G1806" s="5" t="s">
        <v>902</v>
      </c>
      <c r="H1806" s="5">
        <v>1</v>
      </c>
      <c r="I1806" s="8" t="s">
        <v>8928</v>
      </c>
      <c r="J1806" s="8" t="s">
        <v>10977</v>
      </c>
      <c r="K1806" s="8" t="s">
        <v>2774</v>
      </c>
      <c r="L1806" s="8" t="s">
        <v>13028</v>
      </c>
      <c r="M1806" s="8" t="s">
        <v>4824</v>
      </c>
      <c r="N1806" s="8" t="s">
        <v>6875</v>
      </c>
      <c r="O1806" s="5" t="s">
        <v>151</v>
      </c>
      <c r="P1806" s="4">
        <v>45848</v>
      </c>
      <c r="Q1806" s="15">
        <v>23.9</v>
      </c>
      <c r="R1806" s="15">
        <v>10.17</v>
      </c>
      <c r="S1806" s="15">
        <v>0</v>
      </c>
      <c r="T1806"/>
    </row>
    <row r="1807" spans="1:20">
      <c r="A1807" s="5" t="s">
        <v>36</v>
      </c>
      <c r="B1807" s="5" t="s">
        <v>15133</v>
      </c>
      <c r="C1807" s="4">
        <v>45826</v>
      </c>
      <c r="D1807" s="4">
        <v>45831</v>
      </c>
      <c r="E1807" s="5" t="s">
        <v>17138</v>
      </c>
      <c r="F1807" s="5" t="s">
        <v>19127</v>
      </c>
      <c r="G1807" s="5" t="s">
        <v>902</v>
      </c>
      <c r="H1807" s="5">
        <v>1</v>
      </c>
      <c r="I1807" s="8" t="s">
        <v>8929</v>
      </c>
      <c r="J1807" s="8" t="s">
        <v>10978</v>
      </c>
      <c r="K1807" s="8" t="s">
        <v>2775</v>
      </c>
      <c r="L1807" s="8" t="s">
        <v>13029</v>
      </c>
      <c r="M1807" s="8" t="s">
        <v>4825</v>
      </c>
      <c r="N1807" s="8" t="s">
        <v>6876</v>
      </c>
      <c r="O1807" s="5" t="s">
        <v>151</v>
      </c>
      <c r="P1807" s="4">
        <v>45854</v>
      </c>
      <c r="Q1807" s="15">
        <v>23.9</v>
      </c>
      <c r="R1807" s="15">
        <v>10.57</v>
      </c>
      <c r="S1807" s="15">
        <v>0</v>
      </c>
      <c r="T1807"/>
    </row>
    <row r="1808" spans="1:20">
      <c r="A1808" s="5" t="s">
        <v>36</v>
      </c>
      <c r="B1808" s="5" t="s">
        <v>15134</v>
      </c>
      <c r="C1808" s="4">
        <v>45827</v>
      </c>
      <c r="D1808" s="4">
        <v>45831</v>
      </c>
      <c r="E1808" s="5" t="s">
        <v>17139</v>
      </c>
      <c r="F1808" s="5" t="s">
        <v>19128</v>
      </c>
      <c r="G1808" s="5" t="s">
        <v>902</v>
      </c>
      <c r="H1808" s="5">
        <v>1</v>
      </c>
      <c r="I1808" s="8" t="s">
        <v>8930</v>
      </c>
      <c r="J1808" s="8" t="s">
        <v>10979</v>
      </c>
      <c r="K1808" s="8" t="s">
        <v>2776</v>
      </c>
      <c r="L1808" s="8" t="s">
        <v>13030</v>
      </c>
      <c r="M1808" s="8" t="s">
        <v>4826</v>
      </c>
      <c r="N1808" s="8" t="s">
        <v>6877</v>
      </c>
      <c r="O1808" s="5" t="s">
        <v>151</v>
      </c>
      <c r="P1808" s="4">
        <v>45848</v>
      </c>
      <c r="Q1808" s="15">
        <v>23.9</v>
      </c>
      <c r="R1808" s="15">
        <v>10.17</v>
      </c>
      <c r="S1808" s="15">
        <v>0</v>
      </c>
      <c r="T1808"/>
    </row>
    <row r="1809" spans="1:20">
      <c r="A1809" s="5" t="s">
        <v>36</v>
      </c>
      <c r="B1809" s="5" t="s">
        <v>15135</v>
      </c>
      <c r="C1809" s="4">
        <v>45827</v>
      </c>
      <c r="D1809" s="4">
        <v>45831</v>
      </c>
      <c r="E1809" s="5" t="s">
        <v>17140</v>
      </c>
      <c r="F1809" s="5" t="s">
        <v>19129</v>
      </c>
      <c r="G1809" s="5" t="s">
        <v>902</v>
      </c>
      <c r="H1809" s="5">
        <v>1</v>
      </c>
      <c r="I1809" s="8" t="s">
        <v>8931</v>
      </c>
      <c r="J1809" s="8" t="s">
        <v>10980</v>
      </c>
      <c r="K1809" s="8" t="s">
        <v>2777</v>
      </c>
      <c r="L1809" s="8" t="s">
        <v>13031</v>
      </c>
      <c r="M1809" s="8" t="s">
        <v>4827</v>
      </c>
      <c r="N1809" s="8" t="s">
        <v>6878</v>
      </c>
      <c r="O1809" s="5" t="s">
        <v>151</v>
      </c>
      <c r="P1809" s="4">
        <v>45854</v>
      </c>
      <c r="Q1809" s="15">
        <v>23.9</v>
      </c>
      <c r="R1809" s="15">
        <v>15.16</v>
      </c>
      <c r="S1809" s="15">
        <v>0</v>
      </c>
      <c r="T1809"/>
    </row>
    <row r="1810" spans="1:20">
      <c r="A1810" s="5" t="s">
        <v>36</v>
      </c>
      <c r="B1810" s="5" t="s">
        <v>15136</v>
      </c>
      <c r="C1810" s="4">
        <v>45827</v>
      </c>
      <c r="D1810" s="4">
        <v>45831</v>
      </c>
      <c r="E1810" s="5" t="s">
        <v>17141</v>
      </c>
      <c r="F1810" s="5" t="s">
        <v>19130</v>
      </c>
      <c r="G1810" s="5" t="s">
        <v>902</v>
      </c>
      <c r="H1810" s="5">
        <v>1</v>
      </c>
      <c r="I1810" s="8" t="s">
        <v>8932</v>
      </c>
      <c r="J1810" s="8" t="s">
        <v>10981</v>
      </c>
      <c r="K1810" s="8" t="s">
        <v>2778</v>
      </c>
      <c r="L1810" s="8" t="s">
        <v>13032</v>
      </c>
      <c r="M1810" s="8" t="s">
        <v>4828</v>
      </c>
      <c r="N1810" s="8" t="s">
        <v>6879</v>
      </c>
      <c r="O1810" s="5" t="s">
        <v>151</v>
      </c>
      <c r="P1810" s="4">
        <v>45854</v>
      </c>
      <c r="Q1810" s="15">
        <v>23.9</v>
      </c>
      <c r="R1810" s="15">
        <v>10.57</v>
      </c>
      <c r="S1810" s="15">
        <v>0</v>
      </c>
      <c r="T1810"/>
    </row>
    <row r="1811" spans="1:20">
      <c r="A1811" s="5" t="s">
        <v>36</v>
      </c>
      <c r="B1811" s="5" t="s">
        <v>15137</v>
      </c>
      <c r="C1811" s="4">
        <v>45827</v>
      </c>
      <c r="D1811" s="4">
        <v>45831</v>
      </c>
      <c r="E1811" s="5" t="s">
        <v>17142</v>
      </c>
      <c r="F1811" s="5" t="s">
        <v>19131</v>
      </c>
      <c r="G1811" s="5" t="s">
        <v>902</v>
      </c>
      <c r="H1811" s="5">
        <v>1</v>
      </c>
      <c r="I1811" s="8" t="s">
        <v>8933</v>
      </c>
      <c r="J1811" s="8" t="s">
        <v>10982</v>
      </c>
      <c r="K1811" s="8" t="s">
        <v>2779</v>
      </c>
      <c r="L1811" s="8" t="s">
        <v>13033</v>
      </c>
      <c r="M1811" s="8" t="s">
        <v>4829</v>
      </c>
      <c r="N1811" s="8" t="s">
        <v>6880</v>
      </c>
      <c r="O1811" s="5" t="s">
        <v>151</v>
      </c>
      <c r="P1811" s="4">
        <v>45848</v>
      </c>
      <c r="Q1811" s="15">
        <v>23.9</v>
      </c>
      <c r="R1811" s="15">
        <v>12.27</v>
      </c>
      <c r="S1811" s="15">
        <v>0</v>
      </c>
      <c r="T1811"/>
    </row>
    <row r="1812" spans="1:20">
      <c r="A1812" s="5" t="s">
        <v>36</v>
      </c>
      <c r="B1812" s="5" t="s">
        <v>15138</v>
      </c>
      <c r="C1812" s="4">
        <v>45828</v>
      </c>
      <c r="D1812" s="4">
        <v>45831</v>
      </c>
      <c r="E1812" s="5" t="s">
        <v>17143</v>
      </c>
      <c r="F1812" s="5" t="s">
        <v>19132</v>
      </c>
      <c r="G1812" s="5" t="s">
        <v>902</v>
      </c>
      <c r="H1812" s="5">
        <v>1</v>
      </c>
      <c r="I1812" s="8" t="s">
        <v>8934</v>
      </c>
      <c r="J1812" s="8" t="s">
        <v>10983</v>
      </c>
      <c r="K1812" s="8" t="s">
        <v>2780</v>
      </c>
      <c r="L1812" s="8" t="s">
        <v>13034</v>
      </c>
      <c r="M1812" s="8" t="s">
        <v>4830</v>
      </c>
      <c r="N1812" s="8" t="s">
        <v>6881</v>
      </c>
      <c r="O1812" s="5" t="s">
        <v>151</v>
      </c>
      <c r="P1812" s="4">
        <v>45854</v>
      </c>
      <c r="Q1812" s="15">
        <v>23.9</v>
      </c>
      <c r="R1812" s="15">
        <v>9.4</v>
      </c>
      <c r="S1812" s="15">
        <v>0</v>
      </c>
      <c r="T1812"/>
    </row>
    <row r="1813" spans="1:20">
      <c r="A1813" s="5" t="s">
        <v>36</v>
      </c>
      <c r="B1813" s="5" t="s">
        <v>15139</v>
      </c>
      <c r="C1813" s="4">
        <v>45828</v>
      </c>
      <c r="D1813" s="4">
        <v>45831</v>
      </c>
      <c r="E1813" s="5" t="s">
        <v>17144</v>
      </c>
      <c r="F1813" s="5" t="s">
        <v>19133</v>
      </c>
      <c r="G1813" s="5" t="s">
        <v>902</v>
      </c>
      <c r="H1813" s="5">
        <v>1</v>
      </c>
      <c r="I1813" s="8" t="s">
        <v>8935</v>
      </c>
      <c r="J1813" s="8" t="s">
        <v>10984</v>
      </c>
      <c r="K1813" s="8" t="s">
        <v>2781</v>
      </c>
      <c r="L1813" s="8" t="s">
        <v>13035</v>
      </c>
      <c r="M1813" s="8" t="s">
        <v>4831</v>
      </c>
      <c r="N1813" s="8" t="s">
        <v>6882</v>
      </c>
      <c r="O1813" s="5" t="s">
        <v>151</v>
      </c>
      <c r="P1813" s="4">
        <v>45848</v>
      </c>
      <c r="Q1813" s="15">
        <v>23.9</v>
      </c>
      <c r="R1813" s="15">
        <v>10.17</v>
      </c>
      <c r="S1813" s="15">
        <v>0</v>
      </c>
      <c r="T1813"/>
    </row>
    <row r="1814" spans="1:20">
      <c r="A1814" s="5" t="s">
        <v>36</v>
      </c>
      <c r="B1814" s="5" t="s">
        <v>15140</v>
      </c>
      <c r="C1814" s="4">
        <v>45828</v>
      </c>
      <c r="D1814" s="4">
        <v>45832</v>
      </c>
      <c r="E1814" s="5" t="s">
        <v>17145</v>
      </c>
      <c r="F1814" s="5" t="s">
        <v>19134</v>
      </c>
      <c r="G1814" s="5" t="s">
        <v>902</v>
      </c>
      <c r="H1814" s="5">
        <v>1</v>
      </c>
      <c r="I1814" s="8" t="s">
        <v>8936</v>
      </c>
      <c r="J1814" s="8" t="s">
        <v>10985</v>
      </c>
      <c r="K1814" s="8" t="s">
        <v>2782</v>
      </c>
      <c r="L1814" s="8" t="s">
        <v>13036</v>
      </c>
      <c r="M1814" s="8" t="s">
        <v>4832</v>
      </c>
      <c r="N1814" s="8" t="s">
        <v>6883</v>
      </c>
      <c r="O1814" s="5" t="s">
        <v>152</v>
      </c>
      <c r="P1814" s="4">
        <v>45861</v>
      </c>
      <c r="Q1814" s="15">
        <v>23.9</v>
      </c>
      <c r="R1814" s="15">
        <v>10.220000000000001</v>
      </c>
      <c r="S1814" s="15">
        <v>0</v>
      </c>
      <c r="T1814"/>
    </row>
    <row r="1815" spans="1:20">
      <c r="A1815" s="5" t="s">
        <v>36</v>
      </c>
      <c r="B1815" s="5" t="s">
        <v>15141</v>
      </c>
      <c r="C1815" s="4">
        <v>45828</v>
      </c>
      <c r="D1815" s="4">
        <v>45832</v>
      </c>
      <c r="E1815" s="5" t="s">
        <v>17146</v>
      </c>
      <c r="F1815" s="5" t="s">
        <v>19135</v>
      </c>
      <c r="G1815" s="5" t="s">
        <v>902</v>
      </c>
      <c r="H1815" s="5">
        <v>1</v>
      </c>
      <c r="I1815" s="8" t="s">
        <v>8937</v>
      </c>
      <c r="J1815" s="8" t="s">
        <v>10986</v>
      </c>
      <c r="K1815" s="8" t="s">
        <v>2783</v>
      </c>
      <c r="L1815" s="8" t="s">
        <v>13037</v>
      </c>
      <c r="M1815" s="8" t="s">
        <v>4833</v>
      </c>
      <c r="N1815" s="8" t="s">
        <v>6884</v>
      </c>
      <c r="O1815" s="5" t="s">
        <v>152</v>
      </c>
      <c r="P1815" s="4">
        <v>45861</v>
      </c>
      <c r="Q1815" s="15">
        <v>23.9</v>
      </c>
      <c r="R1815" s="15">
        <v>10.220000000000001</v>
      </c>
      <c r="S1815" s="15">
        <v>0</v>
      </c>
      <c r="T1815"/>
    </row>
    <row r="1816" spans="1:20">
      <c r="A1816" s="5" t="s">
        <v>36</v>
      </c>
      <c r="B1816" s="5" t="s">
        <v>15142</v>
      </c>
      <c r="C1816" s="4">
        <v>45828</v>
      </c>
      <c r="D1816" s="4">
        <v>45832</v>
      </c>
      <c r="E1816" s="5" t="s">
        <v>17147</v>
      </c>
      <c r="F1816" s="5" t="s">
        <v>19136</v>
      </c>
      <c r="G1816" s="5" t="s">
        <v>902</v>
      </c>
      <c r="H1816" s="5">
        <v>1</v>
      </c>
      <c r="I1816" s="8" t="s">
        <v>8938</v>
      </c>
      <c r="J1816" s="8" t="s">
        <v>10987</v>
      </c>
      <c r="K1816" s="8" t="s">
        <v>2784</v>
      </c>
      <c r="L1816" s="8" t="s">
        <v>13038</v>
      </c>
      <c r="M1816" s="8" t="s">
        <v>4834</v>
      </c>
      <c r="N1816" s="8" t="s">
        <v>6885</v>
      </c>
      <c r="O1816" s="5" t="s">
        <v>152</v>
      </c>
      <c r="P1816" s="4">
        <v>45848</v>
      </c>
      <c r="Q1816" s="15">
        <v>23.9</v>
      </c>
      <c r="R1816" s="15">
        <v>13.4</v>
      </c>
      <c r="S1816" s="15">
        <v>0</v>
      </c>
      <c r="T1816"/>
    </row>
    <row r="1817" spans="1:20">
      <c r="A1817" s="5" t="s">
        <v>36</v>
      </c>
      <c r="B1817" s="5" t="s">
        <v>15143</v>
      </c>
      <c r="C1817" s="4">
        <v>45830</v>
      </c>
      <c r="D1817" s="4">
        <v>45832</v>
      </c>
      <c r="E1817" s="5" t="s">
        <v>17148</v>
      </c>
      <c r="F1817" s="5" t="s">
        <v>19137</v>
      </c>
      <c r="G1817" s="5" t="s">
        <v>902</v>
      </c>
      <c r="H1817" s="5">
        <v>1</v>
      </c>
      <c r="I1817" s="8" t="s">
        <v>8939</v>
      </c>
      <c r="J1817" s="8" t="s">
        <v>10988</v>
      </c>
      <c r="K1817" s="8" t="s">
        <v>2785</v>
      </c>
      <c r="L1817" s="8" t="s">
        <v>13039</v>
      </c>
      <c r="M1817" s="8" t="s">
        <v>4835</v>
      </c>
      <c r="N1817" s="8" t="s">
        <v>6886</v>
      </c>
      <c r="O1817" s="5" t="s">
        <v>151</v>
      </c>
      <c r="P1817" s="4">
        <v>45862</v>
      </c>
      <c r="Q1817" s="15">
        <v>22.79</v>
      </c>
      <c r="R1817" s="15">
        <v>10.220000000000001</v>
      </c>
      <c r="S1817" s="15">
        <v>0</v>
      </c>
      <c r="T1817"/>
    </row>
    <row r="1818" spans="1:20">
      <c r="A1818" s="5" t="s">
        <v>36</v>
      </c>
      <c r="B1818" s="5" t="s">
        <v>15144</v>
      </c>
      <c r="C1818" s="4">
        <v>45830</v>
      </c>
      <c r="D1818" s="4">
        <v>45832</v>
      </c>
      <c r="E1818" s="5" t="s">
        <v>17149</v>
      </c>
      <c r="F1818" s="5" t="s">
        <v>19138</v>
      </c>
      <c r="G1818" s="5" t="s">
        <v>902</v>
      </c>
      <c r="H1818" s="5">
        <v>1</v>
      </c>
      <c r="I1818" s="8" t="s">
        <v>8940</v>
      </c>
      <c r="J1818" s="8" t="s">
        <v>10989</v>
      </c>
      <c r="K1818" s="8" t="s">
        <v>2786</v>
      </c>
      <c r="L1818" s="8" t="s">
        <v>13040</v>
      </c>
      <c r="M1818" s="8" t="s">
        <v>4836</v>
      </c>
      <c r="N1818" s="8" t="s">
        <v>6887</v>
      </c>
      <c r="O1818" s="5" t="s">
        <v>151</v>
      </c>
      <c r="P1818" s="4">
        <v>45849</v>
      </c>
      <c r="Q1818" s="15">
        <v>22.79</v>
      </c>
      <c r="R1818" s="15">
        <v>10.220000000000001</v>
      </c>
      <c r="S1818" s="15">
        <v>0</v>
      </c>
      <c r="T1818"/>
    </row>
    <row r="1819" spans="1:20">
      <c r="A1819" s="5" t="s">
        <v>36</v>
      </c>
      <c r="B1819" s="5" t="s">
        <v>15145</v>
      </c>
      <c r="C1819" s="4">
        <v>45830</v>
      </c>
      <c r="D1819" s="4">
        <v>45832</v>
      </c>
      <c r="E1819" s="5" t="s">
        <v>17150</v>
      </c>
      <c r="F1819" s="5" t="s">
        <v>19139</v>
      </c>
      <c r="G1819" s="5" t="s">
        <v>902</v>
      </c>
      <c r="H1819" s="5">
        <v>1</v>
      </c>
      <c r="I1819" s="8" t="s">
        <v>8941</v>
      </c>
      <c r="J1819" s="8" t="s">
        <v>10990</v>
      </c>
      <c r="K1819" s="8" t="s">
        <v>2787</v>
      </c>
      <c r="L1819" s="8" t="s">
        <v>13041</v>
      </c>
      <c r="M1819" s="8" t="s">
        <v>4837</v>
      </c>
      <c r="N1819" s="8" t="s">
        <v>6888</v>
      </c>
      <c r="O1819" s="5" t="s">
        <v>151</v>
      </c>
      <c r="P1819" s="4">
        <v>45855</v>
      </c>
      <c r="Q1819" s="15">
        <v>22.79</v>
      </c>
      <c r="R1819" s="15">
        <v>9.4</v>
      </c>
      <c r="S1819" s="15">
        <v>0</v>
      </c>
      <c r="T1819"/>
    </row>
    <row r="1820" spans="1:20">
      <c r="A1820" s="5" t="s">
        <v>36</v>
      </c>
      <c r="B1820" s="5" t="s">
        <v>15146</v>
      </c>
      <c r="C1820" s="4">
        <v>45830</v>
      </c>
      <c r="D1820" s="4">
        <v>45832</v>
      </c>
      <c r="E1820" s="5" t="s">
        <v>17151</v>
      </c>
      <c r="F1820" s="5" t="s">
        <v>19140</v>
      </c>
      <c r="G1820" s="5" t="s">
        <v>902</v>
      </c>
      <c r="H1820" s="5">
        <v>1</v>
      </c>
      <c r="I1820" s="8" t="s">
        <v>8942</v>
      </c>
      <c r="J1820" s="8" t="s">
        <v>10991</v>
      </c>
      <c r="K1820" s="8" t="s">
        <v>2788</v>
      </c>
      <c r="L1820" s="8" t="s">
        <v>13042</v>
      </c>
      <c r="M1820" s="8" t="s">
        <v>4838</v>
      </c>
      <c r="N1820" s="8" t="s">
        <v>6889</v>
      </c>
      <c r="O1820" s="5" t="s">
        <v>151</v>
      </c>
      <c r="P1820" s="4">
        <v>45855</v>
      </c>
      <c r="Q1820" s="15">
        <v>22.79</v>
      </c>
      <c r="R1820" s="15">
        <v>10.56</v>
      </c>
      <c r="S1820" s="15">
        <v>0</v>
      </c>
      <c r="T1820"/>
    </row>
    <row r="1821" spans="1:20">
      <c r="A1821" s="5" t="s">
        <v>36</v>
      </c>
      <c r="B1821" s="5" t="s">
        <v>15147</v>
      </c>
      <c r="C1821" s="4">
        <v>45830</v>
      </c>
      <c r="D1821" s="4">
        <v>45833</v>
      </c>
      <c r="E1821" s="5" t="s">
        <v>17152</v>
      </c>
      <c r="F1821" s="5" t="s">
        <v>19141</v>
      </c>
      <c r="G1821" s="5" t="s">
        <v>902</v>
      </c>
      <c r="H1821" s="5">
        <v>1</v>
      </c>
      <c r="I1821" s="8" t="s">
        <v>8943</v>
      </c>
      <c r="J1821" s="8" t="s">
        <v>10992</v>
      </c>
      <c r="K1821" s="8" t="s">
        <v>2789</v>
      </c>
      <c r="L1821" s="8" t="s">
        <v>13043</v>
      </c>
      <c r="M1821" s="8" t="s">
        <v>4839</v>
      </c>
      <c r="N1821" s="8" t="s">
        <v>6890</v>
      </c>
      <c r="O1821" s="5" t="s">
        <v>151</v>
      </c>
      <c r="P1821" s="4">
        <v>45849</v>
      </c>
      <c r="Q1821" s="15">
        <v>22.79</v>
      </c>
      <c r="R1821" s="15">
        <v>10.17</v>
      </c>
      <c r="S1821" s="15">
        <v>0</v>
      </c>
      <c r="T1821"/>
    </row>
    <row r="1822" spans="1:20">
      <c r="A1822" s="5" t="s">
        <v>36</v>
      </c>
      <c r="B1822" s="5" t="s">
        <v>15148</v>
      </c>
      <c r="C1822" s="4">
        <v>45830</v>
      </c>
      <c r="D1822" s="4">
        <v>45833</v>
      </c>
      <c r="E1822" s="5" t="s">
        <v>17153</v>
      </c>
      <c r="F1822" s="5" t="s">
        <v>19142</v>
      </c>
      <c r="G1822" s="5" t="s">
        <v>902</v>
      </c>
      <c r="H1822" s="5">
        <v>1</v>
      </c>
      <c r="I1822" s="8" t="s">
        <v>8944</v>
      </c>
      <c r="J1822" s="8" t="s">
        <v>10993</v>
      </c>
      <c r="K1822" s="8" t="s">
        <v>2790</v>
      </c>
      <c r="L1822" s="8" t="s">
        <v>13044</v>
      </c>
      <c r="M1822" s="8" t="s">
        <v>4840</v>
      </c>
      <c r="N1822" s="8" t="s">
        <v>6891</v>
      </c>
      <c r="O1822" s="5" t="s">
        <v>151</v>
      </c>
      <c r="P1822" s="4">
        <v>45855</v>
      </c>
      <c r="Q1822" s="15">
        <v>22.79</v>
      </c>
      <c r="R1822" s="15">
        <v>10.57</v>
      </c>
      <c r="S1822" s="15">
        <v>0</v>
      </c>
      <c r="T1822"/>
    </row>
    <row r="1823" spans="1:20">
      <c r="A1823" s="5" t="s">
        <v>36</v>
      </c>
      <c r="B1823" s="5" t="s">
        <v>15149</v>
      </c>
      <c r="C1823" s="4">
        <v>45830</v>
      </c>
      <c r="D1823" s="4">
        <v>45833</v>
      </c>
      <c r="E1823" s="5" t="s">
        <v>17154</v>
      </c>
      <c r="F1823" s="5" t="s">
        <v>19143</v>
      </c>
      <c r="G1823" s="5" t="s">
        <v>902</v>
      </c>
      <c r="H1823" s="5">
        <v>1</v>
      </c>
      <c r="I1823" s="8" t="s">
        <v>8945</v>
      </c>
      <c r="J1823" s="8" t="s">
        <v>10994</v>
      </c>
      <c r="K1823" s="8" t="s">
        <v>2791</v>
      </c>
      <c r="L1823" s="8" t="s">
        <v>13045</v>
      </c>
      <c r="M1823" s="8" t="s">
        <v>4841</v>
      </c>
      <c r="N1823" s="8" t="s">
        <v>6892</v>
      </c>
      <c r="O1823" s="5" t="s">
        <v>151</v>
      </c>
      <c r="P1823" s="4">
        <v>45855</v>
      </c>
      <c r="Q1823" s="15">
        <v>22.79</v>
      </c>
      <c r="R1823" s="15">
        <v>10.17</v>
      </c>
      <c r="S1823" s="15">
        <v>0</v>
      </c>
      <c r="T1823"/>
    </row>
    <row r="1824" spans="1:20">
      <c r="A1824" s="5" t="s">
        <v>36</v>
      </c>
      <c r="B1824" s="5" t="s">
        <v>15150</v>
      </c>
      <c r="C1824" s="4">
        <v>45831</v>
      </c>
      <c r="D1824" s="4">
        <v>45833</v>
      </c>
      <c r="E1824" s="5" t="s">
        <v>17155</v>
      </c>
      <c r="F1824" s="5" t="s">
        <v>19144</v>
      </c>
      <c r="G1824" s="5" t="s">
        <v>902</v>
      </c>
      <c r="H1824" s="5">
        <v>1</v>
      </c>
      <c r="I1824" s="8" t="s">
        <v>8946</v>
      </c>
      <c r="J1824" s="8" t="s">
        <v>10995</v>
      </c>
      <c r="K1824" s="8" t="s">
        <v>2792</v>
      </c>
      <c r="L1824" s="8" t="s">
        <v>13046</v>
      </c>
      <c r="M1824" s="8" t="s">
        <v>4842</v>
      </c>
      <c r="N1824" s="8" t="s">
        <v>6893</v>
      </c>
      <c r="O1824" s="5" t="s">
        <v>151</v>
      </c>
      <c r="P1824" s="4">
        <v>45855</v>
      </c>
      <c r="Q1824" s="15">
        <v>22.79</v>
      </c>
      <c r="R1824" s="15">
        <v>10.57</v>
      </c>
      <c r="S1824" s="15">
        <v>0</v>
      </c>
      <c r="T1824"/>
    </row>
    <row r="1825" spans="1:20">
      <c r="A1825" s="5" t="s">
        <v>36</v>
      </c>
      <c r="B1825" s="5" t="s">
        <v>15151</v>
      </c>
      <c r="C1825" s="4">
        <v>45830</v>
      </c>
      <c r="D1825" s="4">
        <v>45833</v>
      </c>
      <c r="E1825" s="5" t="s">
        <v>17156</v>
      </c>
      <c r="F1825" s="5" t="s">
        <v>19145</v>
      </c>
      <c r="G1825" s="5" t="s">
        <v>902</v>
      </c>
      <c r="H1825" s="5">
        <v>1</v>
      </c>
      <c r="I1825" s="8" t="s">
        <v>8947</v>
      </c>
      <c r="J1825" s="8" t="s">
        <v>10996</v>
      </c>
      <c r="K1825" s="8" t="s">
        <v>2793</v>
      </c>
      <c r="L1825" s="8" t="s">
        <v>13047</v>
      </c>
      <c r="M1825" s="8" t="s">
        <v>4843</v>
      </c>
      <c r="N1825" s="8" t="s">
        <v>6894</v>
      </c>
      <c r="O1825" s="5" t="s">
        <v>151</v>
      </c>
      <c r="P1825" s="4">
        <v>45855</v>
      </c>
      <c r="Q1825" s="15">
        <v>22.79</v>
      </c>
      <c r="R1825" s="15">
        <v>10.17</v>
      </c>
      <c r="S1825" s="15">
        <v>0</v>
      </c>
      <c r="T1825"/>
    </row>
    <row r="1826" spans="1:20">
      <c r="A1826" s="5" t="s">
        <v>36</v>
      </c>
      <c r="B1826" s="5" t="s">
        <v>15152</v>
      </c>
      <c r="C1826" s="4">
        <v>45830</v>
      </c>
      <c r="D1826" s="4">
        <v>45834</v>
      </c>
      <c r="E1826" s="5" t="s">
        <v>17157</v>
      </c>
      <c r="F1826" s="5" t="s">
        <v>19146</v>
      </c>
      <c r="G1826" s="5" t="s">
        <v>902</v>
      </c>
      <c r="H1826" s="5">
        <v>1</v>
      </c>
      <c r="I1826" s="8" t="s">
        <v>8948</v>
      </c>
      <c r="J1826" s="8" t="s">
        <v>10997</v>
      </c>
      <c r="K1826" s="8" t="s">
        <v>2794</v>
      </c>
      <c r="L1826" s="8" t="s">
        <v>13048</v>
      </c>
      <c r="M1826" s="8" t="s">
        <v>4844</v>
      </c>
      <c r="N1826" s="8" t="s">
        <v>6895</v>
      </c>
      <c r="O1826" s="5" t="s">
        <v>151</v>
      </c>
      <c r="P1826" s="4">
        <v>45849</v>
      </c>
      <c r="Q1826" s="15">
        <v>22.79</v>
      </c>
      <c r="R1826" s="15">
        <v>10.18</v>
      </c>
      <c r="S1826" s="15">
        <v>0</v>
      </c>
      <c r="T1826"/>
    </row>
    <row r="1827" spans="1:20">
      <c r="A1827" s="5" t="s">
        <v>36</v>
      </c>
      <c r="B1827" s="5" t="s">
        <v>15153</v>
      </c>
      <c r="C1827" s="4">
        <v>45830</v>
      </c>
      <c r="D1827" s="4">
        <v>45833</v>
      </c>
      <c r="E1827" s="5" t="s">
        <v>17158</v>
      </c>
      <c r="F1827" s="5" t="s">
        <v>19147</v>
      </c>
      <c r="G1827" s="5" t="s">
        <v>902</v>
      </c>
      <c r="H1827" s="5">
        <v>1</v>
      </c>
      <c r="I1827" s="8" t="s">
        <v>8949</v>
      </c>
      <c r="J1827" s="8" t="s">
        <v>10998</v>
      </c>
      <c r="K1827" s="8" t="s">
        <v>2795</v>
      </c>
      <c r="L1827" s="8" t="s">
        <v>13049</v>
      </c>
      <c r="M1827" s="8" t="s">
        <v>4845</v>
      </c>
      <c r="N1827" s="8" t="s">
        <v>6896</v>
      </c>
      <c r="O1827" s="5" t="s">
        <v>151</v>
      </c>
      <c r="P1827" s="4">
        <v>45849</v>
      </c>
      <c r="Q1827" s="15">
        <v>22.79</v>
      </c>
      <c r="R1827" s="15">
        <v>14.43</v>
      </c>
      <c r="S1827" s="15">
        <v>0</v>
      </c>
      <c r="T1827"/>
    </row>
    <row r="1828" spans="1:20">
      <c r="A1828" s="5" t="s">
        <v>36</v>
      </c>
      <c r="B1828" s="5" t="s">
        <v>15154</v>
      </c>
      <c r="C1828" s="4">
        <v>45830</v>
      </c>
      <c r="D1828" s="4">
        <v>45834</v>
      </c>
      <c r="E1828" s="5" t="s">
        <v>17159</v>
      </c>
      <c r="F1828" s="5" t="s">
        <v>19148</v>
      </c>
      <c r="G1828" s="5" t="s">
        <v>902</v>
      </c>
      <c r="H1828" s="5">
        <v>1</v>
      </c>
      <c r="I1828" s="8" t="s">
        <v>8950</v>
      </c>
      <c r="J1828" s="8" t="s">
        <v>10999</v>
      </c>
      <c r="K1828" s="8" t="s">
        <v>2796</v>
      </c>
      <c r="L1828" s="8" t="s">
        <v>13050</v>
      </c>
      <c r="M1828" s="8" t="s">
        <v>4846</v>
      </c>
      <c r="N1828" s="8" t="s">
        <v>6897</v>
      </c>
      <c r="O1828" s="5" t="s">
        <v>151</v>
      </c>
      <c r="P1828" s="4">
        <v>45855</v>
      </c>
      <c r="Q1828" s="15">
        <v>22.79</v>
      </c>
      <c r="R1828" s="15">
        <v>10.18</v>
      </c>
      <c r="S1828" s="15">
        <v>0</v>
      </c>
      <c r="T1828"/>
    </row>
    <row r="1829" spans="1:20">
      <c r="A1829" s="5" t="s">
        <v>36</v>
      </c>
      <c r="B1829" s="5" t="s">
        <v>15155</v>
      </c>
      <c r="C1829" s="4">
        <v>45831</v>
      </c>
      <c r="D1829" s="4">
        <v>45834</v>
      </c>
      <c r="E1829" s="5" t="s">
        <v>17160</v>
      </c>
      <c r="F1829" s="5" t="s">
        <v>19149</v>
      </c>
      <c r="G1829" s="5" t="s">
        <v>902</v>
      </c>
      <c r="H1829" s="5">
        <v>1</v>
      </c>
      <c r="I1829" s="8" t="s">
        <v>8951</v>
      </c>
      <c r="J1829" s="8" t="s">
        <v>11000</v>
      </c>
      <c r="K1829" s="8" t="s">
        <v>2797</v>
      </c>
      <c r="L1829" s="8" t="s">
        <v>13051</v>
      </c>
      <c r="M1829" s="8" t="s">
        <v>4847</v>
      </c>
      <c r="N1829" s="8" t="s">
        <v>6898</v>
      </c>
      <c r="O1829" s="5" t="s">
        <v>151</v>
      </c>
      <c r="P1829" s="4">
        <v>45856</v>
      </c>
      <c r="Q1829" s="15">
        <v>22.79</v>
      </c>
      <c r="R1829" s="15">
        <v>0</v>
      </c>
      <c r="S1829" s="15">
        <v>0</v>
      </c>
      <c r="T1829"/>
    </row>
    <row r="1830" spans="1:20">
      <c r="A1830" s="5" t="s">
        <v>36</v>
      </c>
      <c r="B1830" s="5" t="s">
        <v>15156</v>
      </c>
      <c r="C1830" s="4">
        <v>45831</v>
      </c>
      <c r="D1830" s="4">
        <v>45834</v>
      </c>
      <c r="E1830" s="5" t="s">
        <v>17161</v>
      </c>
      <c r="F1830" s="5" t="s">
        <v>19150</v>
      </c>
      <c r="G1830" s="5" t="s">
        <v>902</v>
      </c>
      <c r="H1830" s="5">
        <v>1</v>
      </c>
      <c r="I1830" s="8" t="s">
        <v>8952</v>
      </c>
      <c r="J1830" s="8" t="s">
        <v>11001</v>
      </c>
      <c r="K1830" s="8" t="s">
        <v>2798</v>
      </c>
      <c r="L1830" s="8" t="s">
        <v>13052</v>
      </c>
      <c r="M1830" s="8" t="s">
        <v>4848</v>
      </c>
      <c r="N1830" s="8" t="s">
        <v>6899</v>
      </c>
      <c r="O1830" s="5" t="s">
        <v>151</v>
      </c>
      <c r="P1830" s="4">
        <v>45856</v>
      </c>
      <c r="Q1830" s="15">
        <v>22.79</v>
      </c>
      <c r="R1830" s="15">
        <v>10.18</v>
      </c>
      <c r="S1830" s="15">
        <v>0</v>
      </c>
      <c r="T1830"/>
    </row>
    <row r="1831" spans="1:20">
      <c r="A1831" s="5" t="s">
        <v>36</v>
      </c>
      <c r="B1831" s="5" t="s">
        <v>15157</v>
      </c>
      <c r="C1831" s="4">
        <v>45831</v>
      </c>
      <c r="D1831" s="4">
        <v>45834</v>
      </c>
      <c r="E1831" s="5" t="s">
        <v>17162</v>
      </c>
      <c r="F1831" s="5" t="s">
        <v>19151</v>
      </c>
      <c r="G1831" s="5" t="s">
        <v>902</v>
      </c>
      <c r="H1831" s="5">
        <v>1</v>
      </c>
      <c r="I1831" s="8" t="s">
        <v>8953</v>
      </c>
      <c r="J1831" s="8" t="s">
        <v>11002</v>
      </c>
      <c r="K1831" s="8" t="s">
        <v>2799</v>
      </c>
      <c r="L1831" s="8" t="s">
        <v>13053</v>
      </c>
      <c r="M1831" s="8" t="s">
        <v>4849</v>
      </c>
      <c r="N1831" s="8" t="s">
        <v>6900</v>
      </c>
      <c r="O1831" s="5" t="s">
        <v>151</v>
      </c>
      <c r="P1831" s="4">
        <v>45856</v>
      </c>
      <c r="Q1831" s="15">
        <v>22.79</v>
      </c>
      <c r="R1831" s="15">
        <v>10.18</v>
      </c>
      <c r="S1831" s="15">
        <v>0</v>
      </c>
      <c r="T1831"/>
    </row>
    <row r="1832" spans="1:20">
      <c r="A1832" s="5" t="s">
        <v>36</v>
      </c>
      <c r="B1832" s="5" t="s">
        <v>15158</v>
      </c>
      <c r="C1832" s="4">
        <v>45831</v>
      </c>
      <c r="D1832" s="4">
        <v>45834</v>
      </c>
      <c r="E1832" s="5" t="s">
        <v>17163</v>
      </c>
      <c r="F1832" s="5" t="s">
        <v>19152</v>
      </c>
      <c r="G1832" s="5" t="s">
        <v>902</v>
      </c>
      <c r="H1832" s="5">
        <v>1</v>
      </c>
      <c r="I1832" s="8" t="s">
        <v>8954</v>
      </c>
      <c r="J1832" s="8" t="s">
        <v>11003</v>
      </c>
      <c r="K1832" s="8" t="s">
        <v>2800</v>
      </c>
      <c r="L1832" s="8" t="s">
        <v>13054</v>
      </c>
      <c r="M1832" s="8" t="s">
        <v>4850</v>
      </c>
      <c r="N1832" s="8" t="s">
        <v>6901</v>
      </c>
      <c r="O1832" s="5" t="s">
        <v>151</v>
      </c>
      <c r="P1832" s="4">
        <v>45850</v>
      </c>
      <c r="Q1832" s="15">
        <v>22.79</v>
      </c>
      <c r="R1832" s="15">
        <v>0</v>
      </c>
      <c r="S1832" s="15">
        <v>0</v>
      </c>
      <c r="T1832"/>
    </row>
    <row r="1833" spans="1:20">
      <c r="A1833" s="5" t="s">
        <v>36</v>
      </c>
      <c r="B1833" s="5" t="s">
        <v>15159</v>
      </c>
      <c r="C1833" s="4">
        <v>45831</v>
      </c>
      <c r="D1833" s="4">
        <v>45834</v>
      </c>
      <c r="E1833" s="5" t="s">
        <v>17164</v>
      </c>
      <c r="F1833" s="5" t="s">
        <v>19153</v>
      </c>
      <c r="G1833" s="5" t="s">
        <v>902</v>
      </c>
      <c r="H1833" s="5">
        <v>1</v>
      </c>
      <c r="I1833" s="8" t="s">
        <v>8955</v>
      </c>
      <c r="J1833" s="8" t="s">
        <v>11004</v>
      </c>
      <c r="K1833" s="8" t="s">
        <v>2801</v>
      </c>
      <c r="L1833" s="8" t="s">
        <v>13055</v>
      </c>
      <c r="M1833" s="8" t="s">
        <v>4851</v>
      </c>
      <c r="N1833" s="8" t="s">
        <v>6902</v>
      </c>
      <c r="O1833" s="5" t="s">
        <v>152</v>
      </c>
      <c r="P1833" s="4">
        <v>45850</v>
      </c>
      <c r="Q1833" s="15">
        <v>21.9</v>
      </c>
      <c r="R1833" s="15">
        <v>16.16</v>
      </c>
      <c r="S1833" s="15">
        <v>0</v>
      </c>
      <c r="T1833"/>
    </row>
    <row r="1834" spans="1:20">
      <c r="A1834" s="5" t="s">
        <v>36</v>
      </c>
      <c r="B1834" s="5" t="s">
        <v>15160</v>
      </c>
      <c r="C1834" s="4">
        <v>45831</v>
      </c>
      <c r="D1834" s="4">
        <v>45834</v>
      </c>
      <c r="E1834" s="5" t="s">
        <v>17165</v>
      </c>
      <c r="F1834" s="5" t="s">
        <v>19154</v>
      </c>
      <c r="G1834" s="5" t="s">
        <v>902</v>
      </c>
      <c r="H1834" s="5">
        <v>1</v>
      </c>
      <c r="I1834" s="8" t="s">
        <v>8956</v>
      </c>
      <c r="J1834" s="8" t="s">
        <v>11005</v>
      </c>
      <c r="K1834" s="8" t="s">
        <v>2802</v>
      </c>
      <c r="L1834" s="8" t="s">
        <v>13056</v>
      </c>
      <c r="M1834" s="8" t="s">
        <v>4852</v>
      </c>
      <c r="N1834" s="8" t="s">
        <v>6903</v>
      </c>
      <c r="O1834" s="5" t="s">
        <v>151</v>
      </c>
      <c r="P1834" s="4">
        <v>45856</v>
      </c>
      <c r="Q1834" s="15">
        <v>22.79</v>
      </c>
      <c r="R1834" s="15">
        <v>10.18</v>
      </c>
      <c r="S1834" s="15">
        <v>0</v>
      </c>
      <c r="T1834"/>
    </row>
    <row r="1835" spans="1:20">
      <c r="A1835" s="5" t="s">
        <v>36</v>
      </c>
      <c r="B1835" s="5" t="s">
        <v>15161</v>
      </c>
      <c r="C1835" s="4">
        <v>45831</v>
      </c>
      <c r="D1835" s="4">
        <v>45834</v>
      </c>
      <c r="E1835" s="5" t="s">
        <v>17166</v>
      </c>
      <c r="F1835" s="5" t="s">
        <v>19155</v>
      </c>
      <c r="G1835" s="5" t="s">
        <v>902</v>
      </c>
      <c r="H1835" s="5">
        <v>1</v>
      </c>
      <c r="I1835" s="8" t="s">
        <v>8957</v>
      </c>
      <c r="J1835" s="8" t="s">
        <v>11006</v>
      </c>
      <c r="K1835" s="8" t="s">
        <v>2803</v>
      </c>
      <c r="L1835" s="8" t="s">
        <v>13057</v>
      </c>
      <c r="M1835" s="8" t="s">
        <v>4853</v>
      </c>
      <c r="N1835" s="8" t="s">
        <v>6904</v>
      </c>
      <c r="O1835" s="5" t="s">
        <v>151</v>
      </c>
      <c r="P1835" s="4">
        <v>45850</v>
      </c>
      <c r="Q1835" s="15">
        <v>22.79</v>
      </c>
      <c r="R1835" s="15">
        <v>10.18</v>
      </c>
      <c r="S1835" s="15">
        <v>0</v>
      </c>
      <c r="T1835"/>
    </row>
    <row r="1836" spans="1:20">
      <c r="A1836" s="5" t="s">
        <v>36</v>
      </c>
      <c r="B1836" s="5" t="s">
        <v>15162</v>
      </c>
      <c r="C1836" s="4">
        <v>45831</v>
      </c>
      <c r="D1836" s="4">
        <v>45835</v>
      </c>
      <c r="E1836" s="5" t="s">
        <v>17167</v>
      </c>
      <c r="F1836" s="5" t="s">
        <v>19156</v>
      </c>
      <c r="G1836" s="5" t="s">
        <v>902</v>
      </c>
      <c r="H1836" s="5">
        <v>1</v>
      </c>
      <c r="I1836" s="8" t="s">
        <v>8958</v>
      </c>
      <c r="J1836" s="8" t="s">
        <v>11007</v>
      </c>
      <c r="K1836" s="8" t="s">
        <v>2804</v>
      </c>
      <c r="L1836" s="8" t="s">
        <v>13058</v>
      </c>
      <c r="M1836" s="8" t="s">
        <v>4854</v>
      </c>
      <c r="N1836" s="8" t="s">
        <v>6905</v>
      </c>
      <c r="O1836" s="5" t="s">
        <v>151</v>
      </c>
      <c r="P1836" s="4">
        <v>45856</v>
      </c>
      <c r="Q1836" s="15">
        <v>22.79</v>
      </c>
      <c r="R1836" s="15">
        <v>10.53</v>
      </c>
      <c r="S1836" s="15">
        <v>0</v>
      </c>
      <c r="T1836"/>
    </row>
    <row r="1837" spans="1:20">
      <c r="A1837" s="5" t="s">
        <v>36</v>
      </c>
      <c r="B1837" s="5" t="s">
        <v>15163</v>
      </c>
      <c r="C1837" s="4">
        <v>45831</v>
      </c>
      <c r="D1837" s="4" t="s">
        <v>37</v>
      </c>
      <c r="E1837" s="5" t="s">
        <v>37</v>
      </c>
      <c r="F1837" s="5" t="s">
        <v>37</v>
      </c>
      <c r="G1837" s="5" t="s">
        <v>902</v>
      </c>
      <c r="H1837" s="5">
        <v>1</v>
      </c>
      <c r="I1837" s="8" t="s">
        <v>8959</v>
      </c>
      <c r="J1837" s="8" t="s">
        <v>11008</v>
      </c>
      <c r="K1837" s="8" t="s">
        <v>2805</v>
      </c>
      <c r="L1837" s="8" t="s">
        <v>13059</v>
      </c>
      <c r="M1837" s="8" t="s">
        <v>4855</v>
      </c>
      <c r="N1837" s="8" t="s">
        <v>6906</v>
      </c>
      <c r="O1837" s="5" t="s">
        <v>151</v>
      </c>
      <c r="P1837" s="4">
        <v>45856</v>
      </c>
      <c r="Q1837" s="15">
        <v>22.79</v>
      </c>
      <c r="R1837" s="15">
        <v>0</v>
      </c>
      <c r="S1837" s="15">
        <v>0</v>
      </c>
      <c r="T1837"/>
    </row>
    <row r="1838" spans="1:20">
      <c r="A1838" s="5" t="s">
        <v>36</v>
      </c>
      <c r="B1838" s="5" t="s">
        <v>15164</v>
      </c>
      <c r="C1838" s="4">
        <v>45832</v>
      </c>
      <c r="D1838" s="4" t="s">
        <v>37</v>
      </c>
      <c r="E1838" s="5" t="s">
        <v>37</v>
      </c>
      <c r="F1838" s="5" t="s">
        <v>37</v>
      </c>
      <c r="G1838" s="5" t="s">
        <v>902</v>
      </c>
      <c r="H1838" s="5">
        <v>1</v>
      </c>
      <c r="I1838" s="8" t="s">
        <v>8960</v>
      </c>
      <c r="J1838" s="8" t="s">
        <v>11009</v>
      </c>
      <c r="K1838" s="8" t="s">
        <v>2806</v>
      </c>
      <c r="L1838" s="8" t="s">
        <v>13060</v>
      </c>
      <c r="M1838" s="8" t="s">
        <v>4856</v>
      </c>
      <c r="N1838" s="8" t="s">
        <v>6907</v>
      </c>
      <c r="O1838" s="5" t="s">
        <v>151</v>
      </c>
      <c r="P1838" s="4">
        <v>45856</v>
      </c>
      <c r="Q1838" s="15">
        <v>22.79</v>
      </c>
      <c r="R1838" s="15">
        <v>0</v>
      </c>
      <c r="S1838" s="15">
        <v>0</v>
      </c>
      <c r="T1838"/>
    </row>
    <row r="1839" spans="1:20">
      <c r="A1839" s="5" t="s">
        <v>36</v>
      </c>
      <c r="B1839" s="5" t="s">
        <v>15165</v>
      </c>
      <c r="C1839" s="4">
        <v>45832</v>
      </c>
      <c r="D1839" s="4">
        <v>45835</v>
      </c>
      <c r="E1839" s="5" t="s">
        <v>17168</v>
      </c>
      <c r="F1839" s="5" t="s">
        <v>19157</v>
      </c>
      <c r="G1839" s="5" t="s">
        <v>902</v>
      </c>
      <c r="H1839" s="5">
        <v>1</v>
      </c>
      <c r="I1839" s="8" t="s">
        <v>8961</v>
      </c>
      <c r="J1839" s="8" t="s">
        <v>11010</v>
      </c>
      <c r="K1839" s="8" t="s">
        <v>2807</v>
      </c>
      <c r="L1839" s="8" t="s">
        <v>13061</v>
      </c>
      <c r="M1839" s="8" t="s">
        <v>4857</v>
      </c>
      <c r="N1839" s="8" t="s">
        <v>6908</v>
      </c>
      <c r="O1839" s="5" t="s">
        <v>152</v>
      </c>
      <c r="P1839" s="4">
        <v>45856</v>
      </c>
      <c r="Q1839" s="15">
        <v>21.19</v>
      </c>
      <c r="R1839" s="15">
        <v>10.17</v>
      </c>
      <c r="S1839" s="15">
        <v>0</v>
      </c>
      <c r="T1839"/>
    </row>
    <row r="1840" spans="1:20">
      <c r="A1840" s="5" t="s">
        <v>36</v>
      </c>
      <c r="B1840" s="5" t="s">
        <v>15166</v>
      </c>
      <c r="C1840" s="4">
        <v>45832</v>
      </c>
      <c r="D1840" s="4">
        <v>45835</v>
      </c>
      <c r="E1840" s="5" t="s">
        <v>17169</v>
      </c>
      <c r="F1840" s="5" t="s">
        <v>19158</v>
      </c>
      <c r="G1840" s="5" t="s">
        <v>902</v>
      </c>
      <c r="H1840" s="5">
        <v>1</v>
      </c>
      <c r="I1840" s="8" t="s">
        <v>8962</v>
      </c>
      <c r="J1840" s="8" t="s">
        <v>11011</v>
      </c>
      <c r="K1840" s="8" t="s">
        <v>2808</v>
      </c>
      <c r="L1840" s="8" t="s">
        <v>13062</v>
      </c>
      <c r="M1840" s="8" t="s">
        <v>4858</v>
      </c>
      <c r="N1840" s="8" t="s">
        <v>6909</v>
      </c>
      <c r="O1840" s="5" t="s">
        <v>152</v>
      </c>
      <c r="P1840" s="4">
        <v>45857</v>
      </c>
      <c r="Q1840" s="15">
        <v>21.19</v>
      </c>
      <c r="R1840" s="15">
        <v>10.53</v>
      </c>
      <c r="S1840" s="15">
        <v>0</v>
      </c>
      <c r="T1840"/>
    </row>
    <row r="1841" spans="1:20">
      <c r="A1841" s="5" t="s">
        <v>36</v>
      </c>
      <c r="B1841" s="5" t="s">
        <v>15167</v>
      </c>
      <c r="C1841" s="4">
        <v>45832</v>
      </c>
      <c r="D1841" s="4">
        <v>45835</v>
      </c>
      <c r="E1841" s="5" t="s">
        <v>17170</v>
      </c>
      <c r="F1841" s="5" t="s">
        <v>19159</v>
      </c>
      <c r="G1841" s="5" t="s">
        <v>902</v>
      </c>
      <c r="H1841" s="5">
        <v>1</v>
      </c>
      <c r="I1841" s="8" t="s">
        <v>8963</v>
      </c>
      <c r="J1841" s="8" t="s">
        <v>11012</v>
      </c>
      <c r="K1841" s="8" t="s">
        <v>2809</v>
      </c>
      <c r="L1841" s="8" t="s">
        <v>13063</v>
      </c>
      <c r="M1841" s="8" t="s">
        <v>4859</v>
      </c>
      <c r="N1841" s="8" t="s">
        <v>6910</v>
      </c>
      <c r="O1841" s="5" t="s">
        <v>151</v>
      </c>
      <c r="P1841" s="4">
        <v>45853</v>
      </c>
      <c r="Q1841" s="15">
        <v>21.99</v>
      </c>
      <c r="R1841" s="15">
        <v>10.17</v>
      </c>
      <c r="S1841" s="15">
        <v>0</v>
      </c>
      <c r="T1841"/>
    </row>
    <row r="1842" spans="1:20">
      <c r="A1842" s="5" t="s">
        <v>36</v>
      </c>
      <c r="B1842" s="5" t="s">
        <v>15168</v>
      </c>
      <c r="C1842" s="4">
        <v>45832</v>
      </c>
      <c r="D1842" s="4">
        <v>45835</v>
      </c>
      <c r="E1842" s="5" t="s">
        <v>17171</v>
      </c>
      <c r="F1842" s="5" t="s">
        <v>19160</v>
      </c>
      <c r="G1842" s="5" t="s">
        <v>902</v>
      </c>
      <c r="H1842" s="5">
        <v>1</v>
      </c>
      <c r="I1842" s="8" t="s">
        <v>8964</v>
      </c>
      <c r="J1842" s="8" t="s">
        <v>11013</v>
      </c>
      <c r="K1842" s="8" t="s">
        <v>2810</v>
      </c>
      <c r="L1842" s="8" t="s">
        <v>13064</v>
      </c>
      <c r="M1842" s="8" t="s">
        <v>4860</v>
      </c>
      <c r="N1842" s="8" t="s">
        <v>6911</v>
      </c>
      <c r="O1842" s="5" t="s">
        <v>152</v>
      </c>
      <c r="P1842" s="4">
        <v>45864</v>
      </c>
      <c r="Q1842" s="15">
        <v>21.19</v>
      </c>
      <c r="R1842" s="15">
        <v>10.17</v>
      </c>
      <c r="S1842" s="15">
        <v>0</v>
      </c>
      <c r="T1842"/>
    </row>
    <row r="1843" spans="1:20">
      <c r="A1843" s="5" t="s">
        <v>36</v>
      </c>
      <c r="B1843" s="5" t="s">
        <v>15169</v>
      </c>
      <c r="C1843" s="4">
        <v>45832</v>
      </c>
      <c r="D1843" s="4">
        <v>45835</v>
      </c>
      <c r="E1843" s="5" t="s">
        <v>17172</v>
      </c>
      <c r="F1843" s="5" t="s">
        <v>19161</v>
      </c>
      <c r="G1843" s="5" t="s">
        <v>902</v>
      </c>
      <c r="H1843" s="5">
        <v>1</v>
      </c>
      <c r="I1843" s="8" t="s">
        <v>8965</v>
      </c>
      <c r="J1843" s="8" t="s">
        <v>11014</v>
      </c>
      <c r="K1843" s="8" t="s">
        <v>2811</v>
      </c>
      <c r="L1843" s="8" t="s">
        <v>13065</v>
      </c>
      <c r="M1843" s="8" t="s">
        <v>4861</v>
      </c>
      <c r="N1843" s="8" t="s">
        <v>6912</v>
      </c>
      <c r="O1843" s="5" t="s">
        <v>152</v>
      </c>
      <c r="P1843" s="4">
        <v>45857</v>
      </c>
      <c r="Q1843" s="15">
        <v>21.19</v>
      </c>
      <c r="R1843" s="15">
        <v>10.53</v>
      </c>
      <c r="S1843" s="15">
        <v>0</v>
      </c>
      <c r="T1843"/>
    </row>
    <row r="1844" spans="1:20">
      <c r="A1844" s="5" t="s">
        <v>36</v>
      </c>
      <c r="B1844" s="5" t="s">
        <v>15170</v>
      </c>
      <c r="C1844" s="4">
        <v>45832</v>
      </c>
      <c r="D1844" s="4" t="s">
        <v>37</v>
      </c>
      <c r="E1844" s="5" t="s">
        <v>37</v>
      </c>
      <c r="F1844" s="5" t="s">
        <v>37</v>
      </c>
      <c r="G1844" s="5" t="s">
        <v>902</v>
      </c>
      <c r="H1844" s="5">
        <v>1</v>
      </c>
      <c r="I1844" s="8" t="s">
        <v>8966</v>
      </c>
      <c r="J1844" s="8" t="s">
        <v>11015</v>
      </c>
      <c r="K1844" s="8" t="s">
        <v>2812</v>
      </c>
      <c r="L1844" s="8" t="s">
        <v>13066</v>
      </c>
      <c r="M1844" s="8" t="s">
        <v>4862</v>
      </c>
      <c r="N1844" s="8" t="s">
        <v>6913</v>
      </c>
      <c r="O1844" s="5" t="s">
        <v>151</v>
      </c>
      <c r="P1844" s="4">
        <v>45853</v>
      </c>
      <c r="Q1844" s="15">
        <v>21.99</v>
      </c>
      <c r="R1844" s="15">
        <v>0</v>
      </c>
      <c r="S1844" s="15">
        <v>0</v>
      </c>
      <c r="T1844"/>
    </row>
    <row r="1845" spans="1:20">
      <c r="A1845" s="5" t="s">
        <v>36</v>
      </c>
      <c r="B1845" s="5" t="s">
        <v>15171</v>
      </c>
      <c r="C1845" s="4">
        <v>45832</v>
      </c>
      <c r="D1845" s="4">
        <v>45835</v>
      </c>
      <c r="E1845" s="5" t="s">
        <v>17173</v>
      </c>
      <c r="F1845" s="5" t="s">
        <v>19162</v>
      </c>
      <c r="G1845" s="5" t="s">
        <v>902</v>
      </c>
      <c r="H1845" s="5">
        <v>1</v>
      </c>
      <c r="I1845" s="8" t="s">
        <v>8967</v>
      </c>
      <c r="J1845" s="8" t="s">
        <v>11016</v>
      </c>
      <c r="K1845" s="8" t="s">
        <v>2813</v>
      </c>
      <c r="L1845" s="8" t="s">
        <v>13067</v>
      </c>
      <c r="M1845" s="8" t="s">
        <v>4863</v>
      </c>
      <c r="N1845" s="8" t="s">
        <v>6914</v>
      </c>
      <c r="O1845" s="5" t="s">
        <v>151</v>
      </c>
      <c r="P1845" s="4">
        <v>45857</v>
      </c>
      <c r="Q1845" s="15">
        <v>21.99</v>
      </c>
      <c r="R1845" s="15">
        <v>10.17</v>
      </c>
      <c r="S1845" s="15">
        <v>0</v>
      </c>
      <c r="T1845"/>
    </row>
    <row r="1846" spans="1:20">
      <c r="A1846" s="5" t="s">
        <v>36</v>
      </c>
      <c r="B1846" s="5" t="s">
        <v>15172</v>
      </c>
      <c r="C1846" s="4">
        <v>45832</v>
      </c>
      <c r="D1846" s="4" t="s">
        <v>37</v>
      </c>
      <c r="E1846" s="5" t="s">
        <v>37</v>
      </c>
      <c r="F1846" s="5" t="s">
        <v>37</v>
      </c>
      <c r="G1846" s="5" t="s">
        <v>902</v>
      </c>
      <c r="H1846" s="5">
        <v>1</v>
      </c>
      <c r="I1846" s="8" t="s">
        <v>8968</v>
      </c>
      <c r="J1846" s="8" t="s">
        <v>11017</v>
      </c>
      <c r="K1846" s="8" t="s">
        <v>2814</v>
      </c>
      <c r="L1846" s="8" t="s">
        <v>13068</v>
      </c>
      <c r="M1846" s="8" t="s">
        <v>4864</v>
      </c>
      <c r="N1846" s="8" t="s">
        <v>6915</v>
      </c>
      <c r="O1846" s="5" t="s">
        <v>151</v>
      </c>
      <c r="P1846" s="4">
        <v>45853</v>
      </c>
      <c r="Q1846" s="15">
        <v>21.99</v>
      </c>
      <c r="R1846" s="15">
        <v>0</v>
      </c>
      <c r="S1846" s="15">
        <v>0</v>
      </c>
      <c r="T1846"/>
    </row>
    <row r="1847" spans="1:20">
      <c r="A1847" s="5" t="s">
        <v>36</v>
      </c>
      <c r="B1847" s="5" t="s">
        <v>15173</v>
      </c>
      <c r="C1847" s="4">
        <v>45832</v>
      </c>
      <c r="D1847" s="4">
        <v>45835</v>
      </c>
      <c r="E1847" s="5" t="s">
        <v>17174</v>
      </c>
      <c r="F1847" s="5" t="s">
        <v>19163</v>
      </c>
      <c r="G1847" s="5" t="s">
        <v>902</v>
      </c>
      <c r="H1847" s="5">
        <v>1</v>
      </c>
      <c r="I1847" s="8" t="s">
        <v>8969</v>
      </c>
      <c r="J1847" s="8" t="s">
        <v>11018</v>
      </c>
      <c r="K1847" s="8" t="s">
        <v>2815</v>
      </c>
      <c r="L1847" s="8" t="s">
        <v>13069</v>
      </c>
      <c r="M1847" s="8" t="s">
        <v>4865</v>
      </c>
      <c r="N1847" s="8" t="s">
        <v>6916</v>
      </c>
      <c r="O1847" s="5" t="s">
        <v>152</v>
      </c>
      <c r="P1847" s="4">
        <v>45864</v>
      </c>
      <c r="Q1847" s="15">
        <v>21.19</v>
      </c>
      <c r="R1847" s="15">
        <v>16.16</v>
      </c>
      <c r="S1847" s="15">
        <v>0</v>
      </c>
      <c r="T1847"/>
    </row>
    <row r="1848" spans="1:20">
      <c r="A1848" s="5" t="s">
        <v>36</v>
      </c>
      <c r="B1848" s="5" t="s">
        <v>15174</v>
      </c>
      <c r="C1848" s="4">
        <v>45832</v>
      </c>
      <c r="D1848" s="4">
        <v>45835</v>
      </c>
      <c r="E1848" s="5" t="s">
        <v>17174</v>
      </c>
      <c r="F1848" s="5" t="s">
        <v>19163</v>
      </c>
      <c r="G1848" s="5" t="s">
        <v>902</v>
      </c>
      <c r="H1848" s="5">
        <v>1</v>
      </c>
      <c r="I1848" s="8" t="s">
        <v>8969</v>
      </c>
      <c r="J1848" s="8" t="s">
        <v>11018</v>
      </c>
      <c r="K1848" s="8" t="s">
        <v>2815</v>
      </c>
      <c r="L1848" s="8" t="s">
        <v>13069</v>
      </c>
      <c r="M1848" s="8" t="s">
        <v>4865</v>
      </c>
      <c r="N1848" s="8" t="s">
        <v>6916</v>
      </c>
      <c r="O1848" s="5" t="s">
        <v>152</v>
      </c>
      <c r="P1848" s="4">
        <v>45864</v>
      </c>
      <c r="Q1848" s="15">
        <v>21.19</v>
      </c>
      <c r="R1848" s="15">
        <v>16.16</v>
      </c>
      <c r="S1848" s="15">
        <v>0</v>
      </c>
      <c r="T1848"/>
    </row>
    <row r="1849" spans="1:20">
      <c r="A1849" s="5" t="s">
        <v>36</v>
      </c>
      <c r="B1849" s="5" t="s">
        <v>15175</v>
      </c>
      <c r="C1849" s="4">
        <v>45832</v>
      </c>
      <c r="D1849" s="4">
        <v>45835</v>
      </c>
      <c r="E1849" s="5" t="s">
        <v>17175</v>
      </c>
      <c r="F1849" s="5" t="s">
        <v>19164</v>
      </c>
      <c r="G1849" s="5" t="s">
        <v>902</v>
      </c>
      <c r="H1849" s="5">
        <v>1</v>
      </c>
      <c r="I1849" s="8" t="s">
        <v>8970</v>
      </c>
      <c r="J1849" s="8" t="s">
        <v>11019</v>
      </c>
      <c r="K1849" s="8" t="s">
        <v>2816</v>
      </c>
      <c r="L1849" s="8" t="s">
        <v>13070</v>
      </c>
      <c r="M1849" s="8" t="s">
        <v>4866</v>
      </c>
      <c r="N1849" s="8" t="s">
        <v>6917</v>
      </c>
      <c r="O1849" s="5" t="s">
        <v>152</v>
      </c>
      <c r="P1849" s="4">
        <v>45857</v>
      </c>
      <c r="Q1849" s="15">
        <v>21.19</v>
      </c>
      <c r="R1849" s="15">
        <v>10.17</v>
      </c>
      <c r="S1849" s="15">
        <v>0</v>
      </c>
      <c r="T1849"/>
    </row>
    <row r="1850" spans="1:20">
      <c r="A1850" s="5" t="s">
        <v>36</v>
      </c>
      <c r="B1850" s="5" t="s">
        <v>15176</v>
      </c>
      <c r="C1850" s="4">
        <v>45832</v>
      </c>
      <c r="D1850" s="4" t="s">
        <v>37</v>
      </c>
      <c r="E1850" s="5" t="s">
        <v>37</v>
      </c>
      <c r="F1850" s="5" t="s">
        <v>37</v>
      </c>
      <c r="G1850" s="5" t="s">
        <v>902</v>
      </c>
      <c r="H1850" s="5">
        <v>1</v>
      </c>
      <c r="I1850" s="8" t="s">
        <v>8971</v>
      </c>
      <c r="J1850" s="8" t="s">
        <v>11020</v>
      </c>
      <c r="K1850" s="8" t="s">
        <v>2817</v>
      </c>
      <c r="L1850" s="8" t="s">
        <v>13071</v>
      </c>
      <c r="M1850" s="8" t="s">
        <v>4867</v>
      </c>
      <c r="N1850" s="8" t="s">
        <v>6918</v>
      </c>
      <c r="O1850" s="5" t="s">
        <v>152</v>
      </c>
      <c r="P1850" s="4">
        <v>45857</v>
      </c>
      <c r="Q1850" s="15">
        <v>21.19</v>
      </c>
      <c r="R1850" s="15">
        <v>0</v>
      </c>
      <c r="S1850" s="15">
        <v>0</v>
      </c>
      <c r="T1850"/>
    </row>
    <row r="1851" spans="1:20">
      <c r="A1851" s="5" t="s">
        <v>36</v>
      </c>
      <c r="B1851" s="5" t="s">
        <v>15177</v>
      </c>
      <c r="C1851" s="4">
        <v>45832</v>
      </c>
      <c r="D1851" s="4">
        <v>45835</v>
      </c>
      <c r="E1851" s="5" t="s">
        <v>17176</v>
      </c>
      <c r="F1851" s="5" t="s">
        <v>19165</v>
      </c>
      <c r="G1851" s="5" t="s">
        <v>902</v>
      </c>
      <c r="H1851" s="5">
        <v>1</v>
      </c>
      <c r="I1851" s="8" t="s">
        <v>8972</v>
      </c>
      <c r="J1851" s="8" t="s">
        <v>11021</v>
      </c>
      <c r="K1851" s="8" t="s">
        <v>2818</v>
      </c>
      <c r="L1851" s="8" t="s">
        <v>13072</v>
      </c>
      <c r="M1851" s="8" t="s">
        <v>4868</v>
      </c>
      <c r="N1851" s="8" t="s">
        <v>6919</v>
      </c>
      <c r="O1851" s="5" t="s">
        <v>152</v>
      </c>
      <c r="P1851" s="4">
        <v>45864</v>
      </c>
      <c r="Q1851" s="15">
        <v>21.19</v>
      </c>
      <c r="R1851" s="15">
        <v>10.17</v>
      </c>
      <c r="S1851" s="15">
        <v>0</v>
      </c>
      <c r="T1851"/>
    </row>
    <row r="1852" spans="1:20">
      <c r="A1852" s="5" t="s">
        <v>36</v>
      </c>
      <c r="B1852" s="5" t="s">
        <v>15178</v>
      </c>
      <c r="C1852" s="4">
        <v>45832</v>
      </c>
      <c r="D1852" s="4" t="s">
        <v>37</v>
      </c>
      <c r="E1852" s="5" t="s">
        <v>37</v>
      </c>
      <c r="F1852" s="5" t="s">
        <v>37</v>
      </c>
      <c r="G1852" s="5" t="s">
        <v>902</v>
      </c>
      <c r="H1852" s="5">
        <v>1</v>
      </c>
      <c r="I1852" s="8" t="s">
        <v>8973</v>
      </c>
      <c r="J1852" s="8" t="s">
        <v>11022</v>
      </c>
      <c r="K1852" s="8" t="s">
        <v>2819</v>
      </c>
      <c r="L1852" s="8" t="s">
        <v>13073</v>
      </c>
      <c r="M1852" s="8" t="s">
        <v>4869</v>
      </c>
      <c r="N1852" s="8" t="s">
        <v>6920</v>
      </c>
      <c r="O1852" s="5" t="s">
        <v>152</v>
      </c>
      <c r="P1852" s="4">
        <v>45857</v>
      </c>
      <c r="Q1852" s="15">
        <v>21.19</v>
      </c>
      <c r="R1852" s="15">
        <v>0</v>
      </c>
      <c r="S1852" s="15">
        <v>0</v>
      </c>
      <c r="T1852"/>
    </row>
    <row r="1853" spans="1:20">
      <c r="A1853" s="5" t="s">
        <v>36</v>
      </c>
      <c r="B1853" s="5" t="s">
        <v>15179</v>
      </c>
      <c r="C1853" s="4">
        <v>45832</v>
      </c>
      <c r="D1853" s="4" t="s">
        <v>37</v>
      </c>
      <c r="E1853" s="5" t="s">
        <v>37</v>
      </c>
      <c r="F1853" s="5" t="s">
        <v>37</v>
      </c>
      <c r="G1853" s="5" t="s">
        <v>902</v>
      </c>
      <c r="H1853" s="5">
        <v>1</v>
      </c>
      <c r="I1853" s="8" t="s">
        <v>8974</v>
      </c>
      <c r="J1853" s="8" t="s">
        <v>11023</v>
      </c>
      <c r="K1853" s="8" t="s">
        <v>2820</v>
      </c>
      <c r="L1853" s="8" t="s">
        <v>13074</v>
      </c>
      <c r="M1853" s="8" t="s">
        <v>4870</v>
      </c>
      <c r="N1853" s="8" t="s">
        <v>6921</v>
      </c>
      <c r="O1853" s="5" t="s">
        <v>152</v>
      </c>
      <c r="P1853" s="4">
        <v>45857</v>
      </c>
      <c r="Q1853" s="15">
        <v>21.19</v>
      </c>
      <c r="R1853" s="15">
        <v>0</v>
      </c>
      <c r="S1853" s="15">
        <v>0</v>
      </c>
      <c r="T1853"/>
    </row>
    <row r="1854" spans="1:20">
      <c r="A1854" s="5" t="s">
        <v>36</v>
      </c>
      <c r="B1854" s="5" t="s">
        <v>15180</v>
      </c>
      <c r="C1854" s="4">
        <v>45832</v>
      </c>
      <c r="D1854" s="4" t="s">
        <v>37</v>
      </c>
      <c r="E1854" s="5" t="s">
        <v>37</v>
      </c>
      <c r="F1854" s="5" t="s">
        <v>37</v>
      </c>
      <c r="G1854" s="5" t="s">
        <v>902</v>
      </c>
      <c r="H1854" s="5">
        <v>1</v>
      </c>
      <c r="I1854" s="8" t="s">
        <v>8975</v>
      </c>
      <c r="J1854" s="8" t="s">
        <v>11024</v>
      </c>
      <c r="K1854" s="8" t="s">
        <v>2821</v>
      </c>
      <c r="L1854" s="8" t="s">
        <v>13075</v>
      </c>
      <c r="M1854" s="8" t="s">
        <v>4871</v>
      </c>
      <c r="N1854" s="8" t="s">
        <v>6922</v>
      </c>
      <c r="O1854" s="5" t="s">
        <v>152</v>
      </c>
      <c r="P1854" s="4">
        <v>45857</v>
      </c>
      <c r="Q1854" s="15">
        <v>21.19</v>
      </c>
      <c r="R1854" s="15">
        <v>0</v>
      </c>
      <c r="S1854" s="15">
        <v>0</v>
      </c>
      <c r="T1854"/>
    </row>
    <row r="1855" spans="1:20">
      <c r="A1855" s="5" t="s">
        <v>36</v>
      </c>
      <c r="B1855" s="5" t="s">
        <v>15181</v>
      </c>
      <c r="C1855" s="4">
        <v>45832</v>
      </c>
      <c r="D1855" s="4" t="s">
        <v>37</v>
      </c>
      <c r="E1855" s="5" t="s">
        <v>37</v>
      </c>
      <c r="F1855" s="5" t="s">
        <v>37</v>
      </c>
      <c r="G1855" s="5" t="s">
        <v>902</v>
      </c>
      <c r="H1855" s="5">
        <v>1</v>
      </c>
      <c r="I1855" s="8" t="s">
        <v>8976</v>
      </c>
      <c r="J1855" s="8" t="s">
        <v>11025</v>
      </c>
      <c r="K1855" s="8" t="s">
        <v>2822</v>
      </c>
      <c r="L1855" s="8" t="s">
        <v>13076</v>
      </c>
      <c r="M1855" s="8" t="s">
        <v>4872</v>
      </c>
      <c r="N1855" s="8" t="s">
        <v>6923</v>
      </c>
      <c r="O1855" s="5" t="s">
        <v>151</v>
      </c>
      <c r="P1855" s="4">
        <v>45857</v>
      </c>
      <c r="Q1855" s="15">
        <v>21.99</v>
      </c>
      <c r="R1855" s="15">
        <v>0</v>
      </c>
      <c r="S1855" s="15">
        <v>0</v>
      </c>
      <c r="T1855"/>
    </row>
    <row r="1856" spans="1:20">
      <c r="A1856" s="5" t="s">
        <v>36</v>
      </c>
      <c r="B1856" s="5" t="s">
        <v>15182</v>
      </c>
      <c r="C1856" s="4">
        <v>45833</v>
      </c>
      <c r="D1856" s="4" t="s">
        <v>37</v>
      </c>
      <c r="E1856" s="5" t="s">
        <v>37</v>
      </c>
      <c r="F1856" s="5" t="s">
        <v>37</v>
      </c>
      <c r="G1856" s="5" t="s">
        <v>902</v>
      </c>
      <c r="H1856" s="5">
        <v>1</v>
      </c>
      <c r="I1856" s="8" t="s">
        <v>8977</v>
      </c>
      <c r="J1856" s="8" t="s">
        <v>11026</v>
      </c>
      <c r="K1856" s="8" t="s">
        <v>2823</v>
      </c>
      <c r="L1856" s="8" t="s">
        <v>13077</v>
      </c>
      <c r="M1856" s="8" t="s">
        <v>4873</v>
      </c>
      <c r="N1856" s="8" t="s">
        <v>6924</v>
      </c>
      <c r="O1856" s="5" t="s">
        <v>152</v>
      </c>
      <c r="P1856" s="4">
        <v>45857</v>
      </c>
      <c r="Q1856" s="15">
        <v>21.19</v>
      </c>
      <c r="R1856" s="15">
        <v>0</v>
      </c>
      <c r="S1856" s="15">
        <v>0</v>
      </c>
      <c r="T1856"/>
    </row>
    <row r="1857" spans="1:20">
      <c r="A1857" s="5" t="s">
        <v>36</v>
      </c>
      <c r="B1857" s="5" t="s">
        <v>15183</v>
      </c>
      <c r="C1857" s="4">
        <v>45833</v>
      </c>
      <c r="D1857" s="4" t="s">
        <v>37</v>
      </c>
      <c r="E1857" s="5" t="s">
        <v>37</v>
      </c>
      <c r="F1857" s="5" t="s">
        <v>37</v>
      </c>
      <c r="G1857" s="5" t="s">
        <v>902</v>
      </c>
      <c r="H1857" s="5">
        <v>1</v>
      </c>
      <c r="I1857" s="8" t="s">
        <v>8978</v>
      </c>
      <c r="J1857" s="8" t="s">
        <v>11027</v>
      </c>
      <c r="K1857" s="8" t="s">
        <v>2824</v>
      </c>
      <c r="L1857" s="8" t="s">
        <v>13078</v>
      </c>
      <c r="M1857" s="8" t="s">
        <v>4874</v>
      </c>
      <c r="N1857" s="8" t="s">
        <v>6925</v>
      </c>
      <c r="O1857" s="5" t="s">
        <v>152</v>
      </c>
      <c r="P1857" s="4">
        <v>45857</v>
      </c>
      <c r="Q1857" s="15">
        <v>23.9</v>
      </c>
      <c r="R1857" s="15">
        <v>0</v>
      </c>
      <c r="S1857" s="15">
        <v>0</v>
      </c>
      <c r="T1857"/>
    </row>
    <row r="1858" spans="1:20">
      <c r="A1858" s="5" t="s">
        <v>36</v>
      </c>
      <c r="B1858" s="5" t="s">
        <v>15184</v>
      </c>
      <c r="C1858" s="4">
        <v>45833</v>
      </c>
      <c r="D1858" s="4">
        <v>45839</v>
      </c>
      <c r="E1858" s="5" t="s">
        <v>17177</v>
      </c>
      <c r="F1858" s="5" t="s">
        <v>19166</v>
      </c>
      <c r="G1858" s="5" t="s">
        <v>902</v>
      </c>
      <c r="H1858" s="5">
        <v>1</v>
      </c>
      <c r="I1858" s="8" t="s">
        <v>8979</v>
      </c>
      <c r="J1858" s="8" t="s">
        <v>11028</v>
      </c>
      <c r="K1858" s="8" t="s">
        <v>2825</v>
      </c>
      <c r="L1858" s="8" t="s">
        <v>13079</v>
      </c>
      <c r="M1858" s="8" t="s">
        <v>4875</v>
      </c>
      <c r="N1858" s="8" t="s">
        <v>6926</v>
      </c>
      <c r="O1858" s="5" t="s">
        <v>151</v>
      </c>
      <c r="P1858" s="4">
        <v>45860</v>
      </c>
      <c r="Q1858" s="15">
        <v>23.9</v>
      </c>
      <c r="R1858" s="15">
        <v>0</v>
      </c>
      <c r="S1858" s="15">
        <v>0</v>
      </c>
      <c r="T1858"/>
    </row>
    <row r="1859" spans="1:20">
      <c r="A1859" s="5" t="s">
        <v>36</v>
      </c>
      <c r="B1859" s="5" t="s">
        <v>15185</v>
      </c>
      <c r="C1859" s="4">
        <v>45833</v>
      </c>
      <c r="D1859" s="4">
        <v>45839</v>
      </c>
      <c r="E1859" s="5" t="s">
        <v>17178</v>
      </c>
      <c r="F1859" s="5" t="s">
        <v>19167</v>
      </c>
      <c r="G1859" s="5" t="s">
        <v>902</v>
      </c>
      <c r="H1859" s="5">
        <v>1</v>
      </c>
      <c r="I1859" s="8" t="s">
        <v>8980</v>
      </c>
      <c r="J1859" s="8" t="s">
        <v>11029</v>
      </c>
      <c r="K1859" s="8" t="s">
        <v>2826</v>
      </c>
      <c r="L1859" s="8" t="s">
        <v>13080</v>
      </c>
      <c r="M1859" s="8" t="s">
        <v>4876</v>
      </c>
      <c r="N1859" s="8" t="s">
        <v>6927</v>
      </c>
      <c r="O1859" s="5" t="s">
        <v>151</v>
      </c>
      <c r="P1859" s="4">
        <v>45854</v>
      </c>
      <c r="Q1859" s="15">
        <v>21.99</v>
      </c>
      <c r="R1859" s="15">
        <v>10.15</v>
      </c>
      <c r="S1859" s="15">
        <v>0</v>
      </c>
      <c r="T1859"/>
    </row>
    <row r="1860" spans="1:20">
      <c r="A1860" s="5" t="s">
        <v>36</v>
      </c>
      <c r="B1860" s="5" t="s">
        <v>15186</v>
      </c>
      <c r="C1860" s="4">
        <v>45833</v>
      </c>
      <c r="D1860" s="4">
        <v>45839</v>
      </c>
      <c r="E1860" s="5" t="s">
        <v>17179</v>
      </c>
      <c r="F1860" s="5" t="s">
        <v>19168</v>
      </c>
      <c r="G1860" s="5" t="s">
        <v>902</v>
      </c>
      <c r="H1860" s="5">
        <v>1</v>
      </c>
      <c r="I1860" s="8" t="s">
        <v>8981</v>
      </c>
      <c r="J1860" s="8" t="s">
        <v>11030</v>
      </c>
      <c r="K1860" s="8" t="s">
        <v>2827</v>
      </c>
      <c r="L1860" s="8" t="s">
        <v>13081</v>
      </c>
      <c r="M1860" s="8" t="s">
        <v>4877</v>
      </c>
      <c r="N1860" s="8" t="s">
        <v>6928</v>
      </c>
      <c r="O1860" s="5" t="s">
        <v>152</v>
      </c>
      <c r="P1860" s="4">
        <v>45860</v>
      </c>
      <c r="Q1860" s="15">
        <v>23.9</v>
      </c>
      <c r="R1860" s="15">
        <v>0</v>
      </c>
      <c r="S1860" s="15">
        <v>0</v>
      </c>
      <c r="T1860"/>
    </row>
    <row r="1861" spans="1:20">
      <c r="A1861" s="5" t="s">
        <v>36</v>
      </c>
      <c r="B1861" s="5" t="s">
        <v>15187</v>
      </c>
      <c r="C1861" s="4">
        <v>45834</v>
      </c>
      <c r="D1861" s="4">
        <v>45841</v>
      </c>
      <c r="E1861" s="5" t="s">
        <v>17180</v>
      </c>
      <c r="F1861" s="5" t="s">
        <v>19169</v>
      </c>
      <c r="G1861" s="5" t="s">
        <v>902</v>
      </c>
      <c r="H1861" s="5">
        <v>1</v>
      </c>
      <c r="I1861" s="8" t="s">
        <v>8982</v>
      </c>
      <c r="J1861" s="8" t="s">
        <v>11031</v>
      </c>
      <c r="K1861" s="8" t="s">
        <v>2828</v>
      </c>
      <c r="L1861" s="8" t="s">
        <v>13082</v>
      </c>
      <c r="M1861" s="8" t="s">
        <v>4878</v>
      </c>
      <c r="N1861" s="8" t="s">
        <v>6929</v>
      </c>
      <c r="O1861" s="5" t="s">
        <v>151</v>
      </c>
      <c r="P1861" s="4">
        <v>45861</v>
      </c>
      <c r="Q1861" s="15">
        <v>23.9</v>
      </c>
      <c r="R1861" s="15">
        <v>17.14</v>
      </c>
      <c r="S1861" s="15">
        <v>0</v>
      </c>
      <c r="T1861"/>
    </row>
    <row r="1862" spans="1:20">
      <c r="A1862" s="5" t="s">
        <v>36</v>
      </c>
      <c r="B1862" s="5" t="s">
        <v>15188</v>
      </c>
      <c r="C1862" s="4">
        <v>45834</v>
      </c>
      <c r="D1862" s="4">
        <v>45839</v>
      </c>
      <c r="E1862" s="5" t="s">
        <v>17181</v>
      </c>
      <c r="F1862" s="5" t="s">
        <v>19170</v>
      </c>
      <c r="G1862" s="5" t="s">
        <v>902</v>
      </c>
      <c r="H1862" s="5">
        <v>1</v>
      </c>
      <c r="I1862" s="8" t="s">
        <v>8983</v>
      </c>
      <c r="J1862" s="8" t="s">
        <v>11032</v>
      </c>
      <c r="K1862" s="8" t="s">
        <v>2829</v>
      </c>
      <c r="L1862" s="8" t="s">
        <v>13083</v>
      </c>
      <c r="M1862" s="8" t="s">
        <v>4879</v>
      </c>
      <c r="N1862" s="8" t="s">
        <v>6930</v>
      </c>
      <c r="O1862" s="5" t="s">
        <v>151</v>
      </c>
      <c r="P1862" s="4">
        <v>45868</v>
      </c>
      <c r="Q1862" s="15">
        <v>23.9</v>
      </c>
      <c r="R1862" s="15">
        <v>10.15</v>
      </c>
      <c r="S1862" s="15">
        <v>0</v>
      </c>
      <c r="T1862"/>
    </row>
    <row r="1863" spans="1:20">
      <c r="A1863" s="5" t="s">
        <v>36</v>
      </c>
      <c r="B1863" s="5" t="s">
        <v>15189</v>
      </c>
      <c r="C1863" s="4">
        <v>45836</v>
      </c>
      <c r="D1863" s="4">
        <v>45841</v>
      </c>
      <c r="E1863" s="5" t="s">
        <v>17182</v>
      </c>
      <c r="F1863" s="5" t="s">
        <v>19171</v>
      </c>
      <c r="G1863" s="5" t="s">
        <v>902</v>
      </c>
      <c r="H1863" s="5">
        <v>1</v>
      </c>
      <c r="I1863" s="8" t="s">
        <v>8984</v>
      </c>
      <c r="J1863" s="8" t="s">
        <v>11033</v>
      </c>
      <c r="K1863" s="8" t="s">
        <v>2830</v>
      </c>
      <c r="L1863" s="8" t="s">
        <v>13084</v>
      </c>
      <c r="M1863" s="8" t="s">
        <v>4880</v>
      </c>
      <c r="N1863" s="8" t="s">
        <v>6931</v>
      </c>
      <c r="O1863" s="5" t="s">
        <v>152</v>
      </c>
      <c r="P1863" s="4">
        <v>45862</v>
      </c>
      <c r="Q1863" s="15">
        <v>23.9</v>
      </c>
      <c r="R1863" s="15">
        <v>17.8</v>
      </c>
      <c r="S1863" s="15">
        <v>0</v>
      </c>
      <c r="T1863"/>
    </row>
    <row r="1864" spans="1:20">
      <c r="A1864" s="5" t="s">
        <v>36</v>
      </c>
      <c r="B1864" s="5" t="s">
        <v>15190</v>
      </c>
      <c r="C1864" s="4">
        <v>45837</v>
      </c>
      <c r="D1864" s="4">
        <v>45841</v>
      </c>
      <c r="E1864" s="5" t="s">
        <v>17183</v>
      </c>
      <c r="F1864" s="5" t="s">
        <v>19172</v>
      </c>
      <c r="G1864" s="5" t="s">
        <v>902</v>
      </c>
      <c r="H1864" s="5">
        <v>1</v>
      </c>
      <c r="I1864" s="8" t="s">
        <v>8985</v>
      </c>
      <c r="J1864" s="8" t="s">
        <v>11034</v>
      </c>
      <c r="K1864" s="8" t="s">
        <v>2831</v>
      </c>
      <c r="L1864" s="8" t="s">
        <v>13085</v>
      </c>
      <c r="M1864" s="8" t="s">
        <v>4881</v>
      </c>
      <c r="N1864" s="8" t="s">
        <v>6932</v>
      </c>
      <c r="O1864" s="5" t="s">
        <v>151</v>
      </c>
      <c r="P1864" s="4">
        <v>45863</v>
      </c>
      <c r="Q1864" s="15">
        <v>23</v>
      </c>
      <c r="R1864" s="15">
        <v>16.78</v>
      </c>
      <c r="S1864" s="15">
        <v>0</v>
      </c>
      <c r="T1864"/>
    </row>
    <row r="1865" spans="1:20">
      <c r="A1865" s="5" t="s">
        <v>36</v>
      </c>
      <c r="B1865" s="5" t="s">
        <v>15191</v>
      </c>
      <c r="C1865" s="4">
        <v>45839</v>
      </c>
      <c r="D1865" s="4">
        <v>45839</v>
      </c>
      <c r="E1865" s="5" t="s">
        <v>17184</v>
      </c>
      <c r="F1865" s="5" t="s">
        <v>19173</v>
      </c>
      <c r="G1865" s="5" t="s">
        <v>902</v>
      </c>
      <c r="H1865" s="5">
        <v>1</v>
      </c>
      <c r="I1865" s="8" t="s">
        <v>8986</v>
      </c>
      <c r="J1865" s="8" t="s">
        <v>11035</v>
      </c>
      <c r="K1865" s="8" t="s">
        <v>2832</v>
      </c>
      <c r="L1865" s="8" t="s">
        <v>13086</v>
      </c>
      <c r="M1865" s="8" t="s">
        <v>4882</v>
      </c>
      <c r="N1865" s="8" t="s">
        <v>6933</v>
      </c>
      <c r="O1865" s="5" t="s">
        <v>151</v>
      </c>
      <c r="P1865" s="4">
        <v>45863</v>
      </c>
      <c r="Q1865" s="15">
        <v>23</v>
      </c>
      <c r="R1865" s="15">
        <v>10.51</v>
      </c>
      <c r="S1865" s="15">
        <v>0</v>
      </c>
      <c r="T1865"/>
    </row>
    <row r="1866" spans="1:20">
      <c r="A1866" s="5" t="s">
        <v>36</v>
      </c>
      <c r="B1866" s="5" t="s">
        <v>15192</v>
      </c>
      <c r="C1866" s="4">
        <v>45839</v>
      </c>
      <c r="D1866" s="4">
        <v>45841</v>
      </c>
      <c r="E1866" s="5" t="s">
        <v>17185</v>
      </c>
      <c r="F1866" s="5" t="s">
        <v>19174</v>
      </c>
      <c r="G1866" s="5" t="s">
        <v>902</v>
      </c>
      <c r="H1866" s="5">
        <v>1</v>
      </c>
      <c r="I1866" s="8" t="s">
        <v>8987</v>
      </c>
      <c r="J1866" s="8" t="s">
        <v>11036</v>
      </c>
      <c r="K1866" s="8" t="s">
        <v>2833</v>
      </c>
      <c r="L1866" s="8" t="s">
        <v>13087</v>
      </c>
      <c r="M1866" s="8" t="s">
        <v>4883</v>
      </c>
      <c r="N1866" s="8" t="s">
        <v>6934</v>
      </c>
      <c r="O1866" s="5" t="s">
        <v>151</v>
      </c>
      <c r="P1866" s="4">
        <v>45863</v>
      </c>
      <c r="Q1866" s="15">
        <v>23</v>
      </c>
      <c r="R1866" s="15">
        <v>17.89</v>
      </c>
      <c r="S1866" s="15">
        <v>0</v>
      </c>
      <c r="T1866"/>
    </row>
    <row r="1867" spans="1:20">
      <c r="A1867" s="5" t="s">
        <v>36</v>
      </c>
      <c r="B1867" s="5" t="s">
        <v>15193</v>
      </c>
      <c r="C1867" s="4">
        <v>45839</v>
      </c>
      <c r="D1867" s="4">
        <v>45839</v>
      </c>
      <c r="E1867" s="5" t="s">
        <v>17186</v>
      </c>
      <c r="F1867" s="5" t="s">
        <v>19175</v>
      </c>
      <c r="G1867" s="5" t="s">
        <v>902</v>
      </c>
      <c r="H1867" s="5">
        <v>1</v>
      </c>
      <c r="I1867" s="8" t="s">
        <v>8988</v>
      </c>
      <c r="J1867" s="8" t="s">
        <v>11037</v>
      </c>
      <c r="K1867" s="8" t="s">
        <v>2834</v>
      </c>
      <c r="L1867" s="8" t="s">
        <v>13088</v>
      </c>
      <c r="M1867" s="8" t="s">
        <v>4884</v>
      </c>
      <c r="N1867" s="8" t="s">
        <v>6935</v>
      </c>
      <c r="O1867" s="5" t="s">
        <v>151</v>
      </c>
      <c r="P1867" s="4">
        <v>45857</v>
      </c>
      <c r="Q1867" s="15">
        <v>23</v>
      </c>
      <c r="R1867" s="15">
        <v>10.15</v>
      </c>
      <c r="S1867" s="15">
        <v>0</v>
      </c>
      <c r="T1867"/>
    </row>
    <row r="1868" spans="1:20">
      <c r="A1868" s="5" t="s">
        <v>36</v>
      </c>
      <c r="B1868" s="5" t="s">
        <v>15194</v>
      </c>
      <c r="C1868" s="4">
        <v>45839</v>
      </c>
      <c r="D1868" s="4">
        <v>45841</v>
      </c>
      <c r="E1868" s="5" t="s">
        <v>17187</v>
      </c>
      <c r="F1868" s="5" t="s">
        <v>19176</v>
      </c>
      <c r="G1868" s="5" t="s">
        <v>902</v>
      </c>
      <c r="H1868" s="5">
        <v>1</v>
      </c>
      <c r="I1868" s="8" t="s">
        <v>8989</v>
      </c>
      <c r="J1868" s="8" t="s">
        <v>11038</v>
      </c>
      <c r="K1868" s="8" t="s">
        <v>2835</v>
      </c>
      <c r="L1868" s="8" t="s">
        <v>13089</v>
      </c>
      <c r="M1868" s="8" t="s">
        <v>4885</v>
      </c>
      <c r="N1868" s="8" t="s">
        <v>6936</v>
      </c>
      <c r="O1868" s="5" t="s">
        <v>151</v>
      </c>
      <c r="P1868" s="4">
        <v>45863</v>
      </c>
      <c r="Q1868" s="15">
        <v>23</v>
      </c>
      <c r="R1868" s="15">
        <v>20.49</v>
      </c>
      <c r="S1868" s="15">
        <v>0</v>
      </c>
      <c r="T1868"/>
    </row>
    <row r="1869" spans="1:20">
      <c r="A1869" s="5" t="s">
        <v>36</v>
      </c>
      <c r="B1869" s="5" t="s">
        <v>15195</v>
      </c>
      <c r="C1869" s="4">
        <v>45839</v>
      </c>
      <c r="D1869" s="4">
        <v>45841</v>
      </c>
      <c r="E1869" s="5" t="s">
        <v>17188</v>
      </c>
      <c r="F1869" s="5" t="s">
        <v>19177</v>
      </c>
      <c r="G1869" s="5" t="s">
        <v>902</v>
      </c>
      <c r="H1869" s="5">
        <v>1</v>
      </c>
      <c r="I1869" s="8" t="s">
        <v>8990</v>
      </c>
      <c r="J1869" s="8" t="s">
        <v>11039</v>
      </c>
      <c r="K1869" s="8" t="s">
        <v>2836</v>
      </c>
      <c r="L1869" s="8" t="s">
        <v>13090</v>
      </c>
      <c r="M1869" s="8" t="s">
        <v>4886</v>
      </c>
      <c r="N1869" s="8" t="s">
        <v>6937</v>
      </c>
      <c r="O1869" s="5" t="s">
        <v>151</v>
      </c>
      <c r="P1869" s="4">
        <v>45864</v>
      </c>
      <c r="Q1869" s="15">
        <v>23</v>
      </c>
      <c r="R1869" s="15">
        <v>14.9</v>
      </c>
      <c r="S1869" s="15">
        <v>0</v>
      </c>
      <c r="T1869"/>
    </row>
    <row r="1870" spans="1:20">
      <c r="A1870" s="5" t="s">
        <v>36</v>
      </c>
      <c r="B1870" s="5" t="s">
        <v>15196</v>
      </c>
      <c r="C1870" s="4">
        <v>45839</v>
      </c>
      <c r="D1870" s="4">
        <v>45841</v>
      </c>
      <c r="E1870" s="5" t="s">
        <v>17189</v>
      </c>
      <c r="F1870" s="5" t="s">
        <v>19178</v>
      </c>
      <c r="G1870" s="5" t="s">
        <v>902</v>
      </c>
      <c r="H1870" s="5">
        <v>1</v>
      </c>
      <c r="I1870" s="8" t="s">
        <v>8991</v>
      </c>
      <c r="J1870" s="8" t="s">
        <v>11040</v>
      </c>
      <c r="K1870" s="8" t="s">
        <v>2837</v>
      </c>
      <c r="L1870" s="8" t="s">
        <v>13091</v>
      </c>
      <c r="M1870" s="8" t="s">
        <v>4887</v>
      </c>
      <c r="N1870" s="8" t="s">
        <v>6938</v>
      </c>
      <c r="O1870" s="5" t="s">
        <v>151</v>
      </c>
      <c r="P1870" s="4">
        <v>45864</v>
      </c>
      <c r="Q1870" s="15">
        <v>23</v>
      </c>
      <c r="R1870" s="15">
        <v>15.65</v>
      </c>
      <c r="S1870" s="15">
        <v>0</v>
      </c>
      <c r="T1870"/>
    </row>
    <row r="1871" spans="1:20">
      <c r="A1871" s="5" t="s">
        <v>36</v>
      </c>
      <c r="B1871" s="5" t="s">
        <v>15197</v>
      </c>
      <c r="C1871" s="4">
        <v>45839</v>
      </c>
      <c r="D1871" s="4">
        <v>45841</v>
      </c>
      <c r="E1871" s="5" t="s">
        <v>17190</v>
      </c>
      <c r="F1871" s="5" t="s">
        <v>19179</v>
      </c>
      <c r="G1871" s="5" t="s">
        <v>902</v>
      </c>
      <c r="H1871" s="5">
        <v>1</v>
      </c>
      <c r="I1871" s="8" t="s">
        <v>8992</v>
      </c>
      <c r="J1871" s="8" t="s">
        <v>11041</v>
      </c>
      <c r="K1871" s="8" t="s">
        <v>2838</v>
      </c>
      <c r="L1871" s="8" t="s">
        <v>13092</v>
      </c>
      <c r="M1871" s="8" t="s">
        <v>4888</v>
      </c>
      <c r="N1871" s="8" t="s">
        <v>6939</v>
      </c>
      <c r="O1871" s="5" t="s">
        <v>151</v>
      </c>
      <c r="P1871" s="4">
        <v>45864</v>
      </c>
      <c r="Q1871" s="15">
        <v>23</v>
      </c>
      <c r="R1871" s="15">
        <v>21.5</v>
      </c>
      <c r="S1871" s="15">
        <v>0</v>
      </c>
      <c r="T1871"/>
    </row>
    <row r="1872" spans="1:20">
      <c r="A1872" s="5" t="s">
        <v>36</v>
      </c>
      <c r="B1872" s="5" t="s">
        <v>15198</v>
      </c>
      <c r="C1872" s="4">
        <v>45839</v>
      </c>
      <c r="D1872" s="4">
        <v>45841</v>
      </c>
      <c r="E1872" s="5" t="s">
        <v>17191</v>
      </c>
      <c r="F1872" s="5" t="s">
        <v>19180</v>
      </c>
      <c r="G1872" s="5" t="s">
        <v>902</v>
      </c>
      <c r="H1872" s="5">
        <v>1</v>
      </c>
      <c r="I1872" s="8" t="s">
        <v>8993</v>
      </c>
      <c r="J1872" s="8" t="s">
        <v>11042</v>
      </c>
      <c r="K1872" s="8" t="s">
        <v>2839</v>
      </c>
      <c r="L1872" s="8" t="s">
        <v>13093</v>
      </c>
      <c r="M1872" s="8" t="s">
        <v>4889</v>
      </c>
      <c r="N1872" s="8" t="s">
        <v>6940</v>
      </c>
      <c r="O1872" s="5" t="s">
        <v>151</v>
      </c>
      <c r="P1872" s="4">
        <v>45860</v>
      </c>
      <c r="Q1872" s="15">
        <v>23</v>
      </c>
      <c r="R1872" s="15">
        <v>14.9</v>
      </c>
      <c r="S1872" s="15">
        <v>0</v>
      </c>
      <c r="T1872"/>
    </row>
    <row r="1873" spans="1:20">
      <c r="A1873" s="5" t="s">
        <v>36</v>
      </c>
      <c r="B1873" s="5" t="s">
        <v>15199</v>
      </c>
      <c r="C1873" s="4">
        <v>45839</v>
      </c>
      <c r="D1873" s="4">
        <v>45841</v>
      </c>
      <c r="E1873" s="5" t="s">
        <v>17192</v>
      </c>
      <c r="F1873" s="5" t="s">
        <v>19181</v>
      </c>
      <c r="G1873" s="5" t="s">
        <v>902</v>
      </c>
      <c r="H1873" s="5">
        <v>1</v>
      </c>
      <c r="I1873" s="8" t="s">
        <v>8994</v>
      </c>
      <c r="J1873" s="8" t="s">
        <v>11043</v>
      </c>
      <c r="K1873" s="8" t="s">
        <v>2840</v>
      </c>
      <c r="L1873" s="8" t="s">
        <v>13094</v>
      </c>
      <c r="M1873" s="8" t="s">
        <v>4890</v>
      </c>
      <c r="N1873" s="8" t="s">
        <v>6941</v>
      </c>
      <c r="O1873" s="5" t="s">
        <v>151</v>
      </c>
      <c r="P1873" s="4">
        <v>45860</v>
      </c>
      <c r="Q1873" s="15">
        <v>23</v>
      </c>
      <c r="R1873" s="15">
        <v>14.9</v>
      </c>
      <c r="S1873" s="15">
        <v>0</v>
      </c>
      <c r="T1873"/>
    </row>
    <row r="1874" spans="1:20">
      <c r="A1874" s="5" t="s">
        <v>36</v>
      </c>
      <c r="B1874" s="5" t="s">
        <v>15200</v>
      </c>
      <c r="C1874" s="4">
        <v>45839</v>
      </c>
      <c r="D1874" s="4">
        <v>45841</v>
      </c>
      <c r="E1874" s="5" t="s">
        <v>17193</v>
      </c>
      <c r="F1874" s="5" t="s">
        <v>19182</v>
      </c>
      <c r="G1874" s="5" t="s">
        <v>902</v>
      </c>
      <c r="H1874" s="5">
        <v>1</v>
      </c>
      <c r="I1874" s="8" t="s">
        <v>8995</v>
      </c>
      <c r="J1874" s="8" t="s">
        <v>11044</v>
      </c>
      <c r="K1874" s="8" t="s">
        <v>2841</v>
      </c>
      <c r="L1874" s="8" t="s">
        <v>13095</v>
      </c>
      <c r="M1874" s="8" t="s">
        <v>4891</v>
      </c>
      <c r="N1874" s="8" t="s">
        <v>6942</v>
      </c>
      <c r="O1874" s="5" t="s">
        <v>151</v>
      </c>
      <c r="P1874" s="4">
        <v>45864</v>
      </c>
      <c r="Q1874" s="15">
        <v>23</v>
      </c>
      <c r="R1874" s="15">
        <v>23.73</v>
      </c>
      <c r="S1874" s="15">
        <v>0</v>
      </c>
      <c r="T1874"/>
    </row>
    <row r="1875" spans="1:20">
      <c r="A1875" s="5" t="s">
        <v>36</v>
      </c>
      <c r="B1875" s="5" t="s">
        <v>15201</v>
      </c>
      <c r="C1875" s="4">
        <v>45839</v>
      </c>
      <c r="D1875" s="4">
        <v>45841</v>
      </c>
      <c r="E1875" s="5" t="s">
        <v>17194</v>
      </c>
      <c r="F1875" s="5" t="s">
        <v>19183</v>
      </c>
      <c r="G1875" s="5" t="s">
        <v>902</v>
      </c>
      <c r="H1875" s="5">
        <v>1</v>
      </c>
      <c r="I1875" s="8" t="s">
        <v>8996</v>
      </c>
      <c r="J1875" s="8" t="s">
        <v>11045</v>
      </c>
      <c r="K1875" s="8" t="s">
        <v>2842</v>
      </c>
      <c r="L1875" s="8" t="s">
        <v>13096</v>
      </c>
      <c r="M1875" s="8" t="s">
        <v>4892</v>
      </c>
      <c r="N1875" s="8" t="s">
        <v>6943</v>
      </c>
      <c r="O1875" s="5" t="s">
        <v>151</v>
      </c>
      <c r="P1875" s="4">
        <v>45864</v>
      </c>
      <c r="Q1875" s="15">
        <v>23</v>
      </c>
      <c r="R1875" s="15">
        <v>14.9</v>
      </c>
      <c r="S1875" s="15">
        <v>0</v>
      </c>
      <c r="T1875"/>
    </row>
    <row r="1876" spans="1:20">
      <c r="A1876" s="5" t="s">
        <v>36</v>
      </c>
      <c r="B1876" s="5" t="s">
        <v>15202</v>
      </c>
      <c r="C1876" s="4">
        <v>45839</v>
      </c>
      <c r="D1876" s="4">
        <v>45841</v>
      </c>
      <c r="E1876" s="5" t="s">
        <v>17195</v>
      </c>
      <c r="F1876" s="5" t="s">
        <v>19184</v>
      </c>
      <c r="G1876" s="5" t="s">
        <v>902</v>
      </c>
      <c r="H1876" s="5">
        <v>1</v>
      </c>
      <c r="I1876" s="8" t="s">
        <v>8997</v>
      </c>
      <c r="J1876" s="8" t="s">
        <v>11046</v>
      </c>
      <c r="K1876" s="8" t="s">
        <v>2843</v>
      </c>
      <c r="L1876" s="8" t="s">
        <v>13097</v>
      </c>
      <c r="M1876" s="8" t="s">
        <v>4893</v>
      </c>
      <c r="N1876" s="8" t="s">
        <v>6944</v>
      </c>
      <c r="O1876" s="5" t="s">
        <v>151</v>
      </c>
      <c r="P1876" s="4">
        <v>45864</v>
      </c>
      <c r="Q1876" s="15">
        <v>23</v>
      </c>
      <c r="R1876" s="15">
        <v>14.9</v>
      </c>
      <c r="S1876" s="15">
        <v>0</v>
      </c>
      <c r="T1876"/>
    </row>
    <row r="1877" spans="1:20">
      <c r="A1877" s="5" t="s">
        <v>36</v>
      </c>
      <c r="B1877" s="5" t="s">
        <v>15203</v>
      </c>
      <c r="C1877" s="4">
        <v>45840</v>
      </c>
      <c r="D1877" s="4">
        <v>45841</v>
      </c>
      <c r="E1877" s="5" t="s">
        <v>17196</v>
      </c>
      <c r="F1877" s="5" t="s">
        <v>19185</v>
      </c>
      <c r="G1877" s="5" t="s">
        <v>902</v>
      </c>
      <c r="H1877" s="5">
        <v>1</v>
      </c>
      <c r="I1877" s="8" t="s">
        <v>8998</v>
      </c>
      <c r="J1877" s="8" t="s">
        <v>11047</v>
      </c>
      <c r="K1877" s="8" t="s">
        <v>2844</v>
      </c>
      <c r="L1877" s="8" t="s">
        <v>13098</v>
      </c>
      <c r="M1877" s="8" t="s">
        <v>4894</v>
      </c>
      <c r="N1877" s="8" t="s">
        <v>6945</v>
      </c>
      <c r="O1877" s="5" t="s">
        <v>151</v>
      </c>
      <c r="P1877" s="4">
        <v>45867</v>
      </c>
      <c r="Q1877" s="15">
        <v>23</v>
      </c>
      <c r="R1877" s="15">
        <v>14.9</v>
      </c>
      <c r="S1877" s="15">
        <v>0</v>
      </c>
      <c r="T1877"/>
    </row>
    <row r="1878" spans="1:20">
      <c r="A1878" s="5" t="s">
        <v>36</v>
      </c>
      <c r="B1878" s="5" t="s">
        <v>15204</v>
      </c>
      <c r="C1878" s="4">
        <v>45840</v>
      </c>
      <c r="D1878" s="4">
        <v>45841</v>
      </c>
      <c r="E1878" s="5" t="s">
        <v>17197</v>
      </c>
      <c r="F1878" s="5" t="s">
        <v>19186</v>
      </c>
      <c r="G1878" s="5" t="s">
        <v>902</v>
      </c>
      <c r="H1878" s="5">
        <v>1</v>
      </c>
      <c r="I1878" s="8" t="s">
        <v>8999</v>
      </c>
      <c r="J1878" s="8" t="s">
        <v>11048</v>
      </c>
      <c r="K1878" s="8" t="s">
        <v>2845</v>
      </c>
      <c r="L1878" s="8" t="s">
        <v>13099</v>
      </c>
      <c r="M1878" s="8" t="s">
        <v>4895</v>
      </c>
      <c r="N1878" s="8" t="s">
        <v>6946</v>
      </c>
      <c r="O1878" s="5" t="s">
        <v>151</v>
      </c>
      <c r="P1878" s="4">
        <v>45867</v>
      </c>
      <c r="Q1878" s="15">
        <v>23</v>
      </c>
      <c r="R1878" s="15">
        <v>15.68</v>
      </c>
      <c r="S1878" s="15">
        <v>0</v>
      </c>
      <c r="T1878"/>
    </row>
    <row r="1879" spans="1:20">
      <c r="A1879" s="5" t="s">
        <v>36</v>
      </c>
      <c r="B1879" s="5" t="s">
        <v>15205</v>
      </c>
      <c r="C1879" s="4">
        <v>45841</v>
      </c>
      <c r="D1879" s="4">
        <v>45841</v>
      </c>
      <c r="E1879" s="5" t="s">
        <v>17198</v>
      </c>
      <c r="F1879" s="5" t="s">
        <v>19187</v>
      </c>
      <c r="G1879" s="5" t="s">
        <v>902</v>
      </c>
      <c r="H1879" s="5">
        <v>1</v>
      </c>
      <c r="I1879" s="8" t="s">
        <v>9000</v>
      </c>
      <c r="J1879" s="8" t="s">
        <v>11049</v>
      </c>
      <c r="K1879" s="8" t="s">
        <v>2846</v>
      </c>
      <c r="L1879" s="8" t="s">
        <v>13100</v>
      </c>
      <c r="M1879" s="8" t="s">
        <v>4896</v>
      </c>
      <c r="N1879" s="8" t="s">
        <v>6947</v>
      </c>
      <c r="O1879" s="5" t="s">
        <v>151</v>
      </c>
      <c r="P1879" s="4">
        <v>45861</v>
      </c>
      <c r="Q1879" s="15">
        <v>23</v>
      </c>
      <c r="R1879" s="15">
        <v>14.9</v>
      </c>
      <c r="S1879" s="15">
        <v>0</v>
      </c>
      <c r="T1879"/>
    </row>
    <row r="1880" spans="1:20">
      <c r="A1880" s="5" t="s">
        <v>36</v>
      </c>
      <c r="B1880" s="5" t="s">
        <v>15206</v>
      </c>
      <c r="C1880" s="4">
        <v>45841</v>
      </c>
      <c r="D1880" s="4">
        <v>45841</v>
      </c>
      <c r="E1880" s="5" t="s">
        <v>17199</v>
      </c>
      <c r="F1880" s="5" t="s">
        <v>19188</v>
      </c>
      <c r="G1880" s="5" t="s">
        <v>902</v>
      </c>
      <c r="H1880" s="5">
        <v>1</v>
      </c>
      <c r="I1880" s="8" t="s">
        <v>9001</v>
      </c>
      <c r="J1880" s="8" t="s">
        <v>11050</v>
      </c>
      <c r="K1880" s="8" t="s">
        <v>2847</v>
      </c>
      <c r="L1880" s="8" t="s">
        <v>13101</v>
      </c>
      <c r="M1880" s="8" t="s">
        <v>4897</v>
      </c>
      <c r="N1880" s="8" t="s">
        <v>6948</v>
      </c>
      <c r="O1880" s="5" t="s">
        <v>151</v>
      </c>
      <c r="P1880" s="4">
        <v>45861</v>
      </c>
      <c r="Q1880" s="15">
        <v>23</v>
      </c>
      <c r="R1880" s="15">
        <v>14.9</v>
      </c>
      <c r="S1880" s="15">
        <v>0</v>
      </c>
      <c r="T1880"/>
    </row>
    <row r="1881" spans="1:20">
      <c r="A1881" s="5" t="s">
        <v>36</v>
      </c>
      <c r="B1881" s="5" t="s">
        <v>15207</v>
      </c>
      <c r="C1881" s="4">
        <v>45841</v>
      </c>
      <c r="D1881" s="4">
        <v>45841</v>
      </c>
      <c r="E1881" s="5" t="s">
        <v>17200</v>
      </c>
      <c r="F1881" s="5" t="s">
        <v>19189</v>
      </c>
      <c r="G1881" s="5" t="s">
        <v>902</v>
      </c>
      <c r="H1881" s="5">
        <v>1</v>
      </c>
      <c r="I1881" s="8" t="s">
        <v>9002</v>
      </c>
      <c r="J1881" s="8" t="s">
        <v>11051</v>
      </c>
      <c r="K1881" s="8" t="s">
        <v>2848</v>
      </c>
      <c r="L1881" s="8" t="s">
        <v>13102</v>
      </c>
      <c r="M1881" s="8" t="s">
        <v>4898</v>
      </c>
      <c r="N1881" s="8" t="s">
        <v>6949</v>
      </c>
      <c r="O1881" s="5" t="s">
        <v>151</v>
      </c>
      <c r="P1881" s="4">
        <v>45875</v>
      </c>
      <c r="Q1881" s="15">
        <v>23</v>
      </c>
      <c r="R1881" s="15">
        <v>19.27</v>
      </c>
      <c r="S1881" s="15">
        <v>0</v>
      </c>
      <c r="T1881"/>
    </row>
    <row r="1882" spans="1:20">
      <c r="A1882" s="5" t="s">
        <v>36</v>
      </c>
      <c r="B1882" s="5" t="s">
        <v>15208</v>
      </c>
      <c r="C1882" s="4">
        <v>45843</v>
      </c>
      <c r="D1882" s="4">
        <v>45845</v>
      </c>
      <c r="E1882" s="5" t="s">
        <v>17201</v>
      </c>
      <c r="F1882" s="5" t="s">
        <v>19190</v>
      </c>
      <c r="G1882" s="5" t="s">
        <v>902</v>
      </c>
      <c r="H1882" s="5">
        <v>1</v>
      </c>
      <c r="I1882" s="8" t="s">
        <v>9003</v>
      </c>
      <c r="J1882" s="8" t="s">
        <v>11052</v>
      </c>
      <c r="K1882" s="8" t="s">
        <v>2849</v>
      </c>
      <c r="L1882" s="8" t="s">
        <v>13103</v>
      </c>
      <c r="M1882" s="8" t="s">
        <v>4899</v>
      </c>
      <c r="N1882" s="8" t="s">
        <v>6950</v>
      </c>
      <c r="O1882" s="5" t="s">
        <v>151</v>
      </c>
      <c r="P1882" s="4">
        <v>45857</v>
      </c>
      <c r="Q1882" s="15">
        <v>23</v>
      </c>
      <c r="R1882" s="15">
        <v>13.41</v>
      </c>
      <c r="S1882" s="15">
        <v>0</v>
      </c>
      <c r="T1882"/>
    </row>
    <row r="1883" spans="1:20">
      <c r="A1883" s="5" t="s">
        <v>36</v>
      </c>
      <c r="B1883" s="5" t="s">
        <v>15209</v>
      </c>
      <c r="C1883" s="4">
        <v>45843</v>
      </c>
      <c r="D1883" s="4">
        <v>45845</v>
      </c>
      <c r="E1883" s="5" t="s">
        <v>17202</v>
      </c>
      <c r="F1883" s="5" t="s">
        <v>19191</v>
      </c>
      <c r="G1883" s="5" t="s">
        <v>902</v>
      </c>
      <c r="H1883" s="5">
        <v>1</v>
      </c>
      <c r="I1883" s="8" t="s">
        <v>9004</v>
      </c>
      <c r="J1883" s="8" t="s">
        <v>11053</v>
      </c>
      <c r="K1883" s="8" t="s">
        <v>2850</v>
      </c>
      <c r="L1883" s="8" t="s">
        <v>13104</v>
      </c>
      <c r="M1883" s="8" t="s">
        <v>4900</v>
      </c>
      <c r="N1883" s="8" t="s">
        <v>6951</v>
      </c>
      <c r="O1883" s="5" t="s">
        <v>152</v>
      </c>
      <c r="P1883" s="4">
        <v>45882</v>
      </c>
      <c r="Q1883" s="15">
        <v>23.9</v>
      </c>
      <c r="R1883" s="15">
        <v>17.21</v>
      </c>
      <c r="S1883" s="15">
        <v>15</v>
      </c>
      <c r="T1883"/>
    </row>
    <row r="1884" spans="1:20">
      <c r="A1884" s="5" t="s">
        <v>36</v>
      </c>
      <c r="B1884" s="5" t="s">
        <v>15210</v>
      </c>
      <c r="C1884" s="4">
        <v>45843</v>
      </c>
      <c r="D1884" s="4">
        <v>45845</v>
      </c>
      <c r="E1884" s="5" t="s">
        <v>17203</v>
      </c>
      <c r="F1884" s="5" t="s">
        <v>19192</v>
      </c>
      <c r="G1884" s="5" t="s">
        <v>902</v>
      </c>
      <c r="H1884" s="5">
        <v>1</v>
      </c>
      <c r="I1884" s="8" t="s">
        <v>9005</v>
      </c>
      <c r="J1884" s="8" t="s">
        <v>11054</v>
      </c>
      <c r="K1884" s="8" t="s">
        <v>2851</v>
      </c>
      <c r="L1884" s="8" t="s">
        <v>13105</v>
      </c>
      <c r="M1884" s="8" t="s">
        <v>4901</v>
      </c>
      <c r="N1884" s="8" t="s">
        <v>6952</v>
      </c>
      <c r="O1884" s="5" t="s">
        <v>151</v>
      </c>
      <c r="P1884" s="4">
        <v>45857</v>
      </c>
      <c r="Q1884" s="15">
        <v>23</v>
      </c>
      <c r="R1884" s="15">
        <v>13.41</v>
      </c>
      <c r="S1884" s="15">
        <v>0</v>
      </c>
      <c r="T1884"/>
    </row>
    <row r="1885" spans="1:20">
      <c r="A1885" s="5" t="s">
        <v>36</v>
      </c>
      <c r="B1885" s="5" t="s">
        <v>15211</v>
      </c>
      <c r="C1885" s="4">
        <v>45844</v>
      </c>
      <c r="D1885" s="4">
        <v>45845</v>
      </c>
      <c r="E1885" s="5" t="s">
        <v>17204</v>
      </c>
      <c r="F1885" s="5" t="s">
        <v>19193</v>
      </c>
      <c r="G1885" s="5" t="s">
        <v>908</v>
      </c>
      <c r="H1885" s="5">
        <v>1</v>
      </c>
      <c r="I1885" s="8" t="s">
        <v>9006</v>
      </c>
      <c r="J1885" s="8" t="s">
        <v>11055</v>
      </c>
      <c r="K1885" s="8" t="s">
        <v>2852</v>
      </c>
      <c r="L1885" s="8" t="s">
        <v>13106</v>
      </c>
      <c r="M1885" s="8" t="s">
        <v>4902</v>
      </c>
      <c r="N1885" s="8" t="s">
        <v>6953</v>
      </c>
      <c r="O1885" s="5" t="s">
        <v>153</v>
      </c>
      <c r="P1885" s="4">
        <v>45863</v>
      </c>
      <c r="Q1885" s="15">
        <v>28.5</v>
      </c>
      <c r="R1885" s="15">
        <v>18.940000000000001</v>
      </c>
      <c r="S1885" s="15">
        <v>0</v>
      </c>
      <c r="T1885"/>
    </row>
    <row r="1886" spans="1:20">
      <c r="A1886" s="5" t="s">
        <v>36</v>
      </c>
      <c r="B1886" s="5" t="s">
        <v>15212</v>
      </c>
      <c r="C1886" s="4">
        <v>45844</v>
      </c>
      <c r="D1886" s="4">
        <v>45845</v>
      </c>
      <c r="E1886" s="5" t="s">
        <v>17205</v>
      </c>
      <c r="F1886" s="5" t="s">
        <v>19194</v>
      </c>
      <c r="G1886" s="5" t="s">
        <v>902</v>
      </c>
      <c r="H1886" s="5">
        <v>1</v>
      </c>
      <c r="I1886" s="8" t="s">
        <v>9007</v>
      </c>
      <c r="J1886" s="8" t="s">
        <v>11056</v>
      </c>
      <c r="K1886" s="8" t="s">
        <v>2853</v>
      </c>
      <c r="L1886" s="8" t="s">
        <v>13107</v>
      </c>
      <c r="M1886" s="8" t="s">
        <v>4903</v>
      </c>
      <c r="N1886" s="8" t="s">
        <v>6954</v>
      </c>
      <c r="O1886" s="5" t="s">
        <v>151</v>
      </c>
      <c r="P1886" s="4">
        <v>45861</v>
      </c>
      <c r="Q1886" s="15">
        <v>23</v>
      </c>
      <c r="R1886" s="15">
        <v>15.37</v>
      </c>
      <c r="S1886" s="15">
        <v>0</v>
      </c>
      <c r="T1886"/>
    </row>
    <row r="1887" spans="1:20">
      <c r="A1887" s="5" t="s">
        <v>36</v>
      </c>
      <c r="B1887" s="5" t="s">
        <v>15213</v>
      </c>
      <c r="C1887" s="4">
        <v>45844</v>
      </c>
      <c r="D1887" s="4">
        <v>45845</v>
      </c>
      <c r="E1887" s="5" t="s">
        <v>17206</v>
      </c>
      <c r="F1887" s="5" t="s">
        <v>19195</v>
      </c>
      <c r="G1887" s="5" t="s">
        <v>902</v>
      </c>
      <c r="H1887" s="5">
        <v>1</v>
      </c>
      <c r="I1887" s="8" t="s">
        <v>9008</v>
      </c>
      <c r="J1887" s="8" t="s">
        <v>11057</v>
      </c>
      <c r="K1887" s="8" t="s">
        <v>2854</v>
      </c>
      <c r="L1887" s="8" t="s">
        <v>13108</v>
      </c>
      <c r="M1887" s="8" t="s">
        <v>4904</v>
      </c>
      <c r="N1887" s="8" t="s">
        <v>6955</v>
      </c>
      <c r="O1887" s="5" t="s">
        <v>151</v>
      </c>
      <c r="P1887" s="4">
        <v>45863</v>
      </c>
      <c r="Q1887" s="15">
        <v>23</v>
      </c>
      <c r="R1887" s="15">
        <v>16.63</v>
      </c>
      <c r="S1887" s="15">
        <v>0</v>
      </c>
      <c r="T1887"/>
    </row>
    <row r="1888" spans="1:20">
      <c r="A1888" s="5" t="s">
        <v>36</v>
      </c>
      <c r="B1888" s="5" t="s">
        <v>15214</v>
      </c>
      <c r="C1888" s="4">
        <v>45844</v>
      </c>
      <c r="D1888" s="4">
        <v>45845</v>
      </c>
      <c r="E1888" s="5" t="s">
        <v>17207</v>
      </c>
      <c r="F1888" s="5" t="s">
        <v>19196</v>
      </c>
      <c r="G1888" s="5" t="s">
        <v>908</v>
      </c>
      <c r="H1888" s="5">
        <v>1</v>
      </c>
      <c r="I1888" s="8" t="s">
        <v>9009</v>
      </c>
      <c r="J1888" s="8" t="s">
        <v>11058</v>
      </c>
      <c r="K1888" s="8" t="s">
        <v>2855</v>
      </c>
      <c r="L1888" s="8" t="s">
        <v>13109</v>
      </c>
      <c r="M1888" s="8" t="s">
        <v>4905</v>
      </c>
      <c r="N1888" s="8" t="s">
        <v>6956</v>
      </c>
      <c r="O1888" s="5" t="s">
        <v>153</v>
      </c>
      <c r="P1888" s="4">
        <v>45863</v>
      </c>
      <c r="Q1888" s="15">
        <v>28.5</v>
      </c>
      <c r="R1888" s="15">
        <v>18.57</v>
      </c>
      <c r="S1888" s="15">
        <v>0</v>
      </c>
      <c r="T1888"/>
    </row>
    <row r="1889" spans="1:20">
      <c r="A1889" s="5" t="s">
        <v>36</v>
      </c>
      <c r="B1889" s="5" t="s">
        <v>15215</v>
      </c>
      <c r="C1889" s="4">
        <v>45844</v>
      </c>
      <c r="D1889" s="4">
        <v>45845</v>
      </c>
      <c r="E1889" s="5" t="s">
        <v>17208</v>
      </c>
      <c r="F1889" s="5" t="s">
        <v>19197</v>
      </c>
      <c r="G1889" s="5" t="s">
        <v>908</v>
      </c>
      <c r="H1889" s="5">
        <v>1</v>
      </c>
      <c r="I1889" s="8" t="s">
        <v>9010</v>
      </c>
      <c r="J1889" s="8" t="s">
        <v>11059</v>
      </c>
      <c r="K1889" s="8" t="s">
        <v>2856</v>
      </c>
      <c r="L1889" s="8" t="s">
        <v>13110</v>
      </c>
      <c r="M1889" s="8" t="s">
        <v>4906</v>
      </c>
      <c r="N1889" s="8" t="s">
        <v>6957</v>
      </c>
      <c r="O1889" s="5" t="s">
        <v>153</v>
      </c>
      <c r="P1889" s="4">
        <v>45857</v>
      </c>
      <c r="Q1889" s="15">
        <v>28.5</v>
      </c>
      <c r="R1889" s="15">
        <v>18.420000000000002</v>
      </c>
      <c r="S1889" s="15">
        <v>0</v>
      </c>
      <c r="T1889"/>
    </row>
    <row r="1890" spans="1:20">
      <c r="A1890" s="5" t="s">
        <v>36</v>
      </c>
      <c r="B1890" s="5" t="s">
        <v>15216</v>
      </c>
      <c r="C1890" s="4">
        <v>45844</v>
      </c>
      <c r="D1890" s="4">
        <v>45845</v>
      </c>
      <c r="E1890" s="5" t="s">
        <v>17209</v>
      </c>
      <c r="F1890" s="5" t="s">
        <v>19198</v>
      </c>
      <c r="G1890" s="5" t="s">
        <v>902</v>
      </c>
      <c r="H1890" s="5">
        <v>1</v>
      </c>
      <c r="I1890" s="8" t="s">
        <v>9011</v>
      </c>
      <c r="J1890" s="8" t="s">
        <v>11060</v>
      </c>
      <c r="K1890" s="8" t="s">
        <v>2857</v>
      </c>
      <c r="L1890" s="8" t="s">
        <v>13111</v>
      </c>
      <c r="M1890" s="8" t="s">
        <v>4907</v>
      </c>
      <c r="N1890" s="8" t="s">
        <v>6958</v>
      </c>
      <c r="O1890" s="5" t="s">
        <v>151</v>
      </c>
      <c r="P1890" s="4">
        <v>45857</v>
      </c>
      <c r="Q1890" s="15">
        <v>23</v>
      </c>
      <c r="R1890" s="15">
        <v>14.42</v>
      </c>
      <c r="S1890" s="15">
        <v>0</v>
      </c>
      <c r="T1890"/>
    </row>
    <row r="1891" spans="1:20">
      <c r="A1891" s="5" t="s">
        <v>36</v>
      </c>
      <c r="B1891" s="5" t="s">
        <v>15217</v>
      </c>
      <c r="C1891" s="4">
        <v>45844</v>
      </c>
      <c r="D1891" s="4">
        <v>45845</v>
      </c>
      <c r="E1891" s="5" t="s">
        <v>17210</v>
      </c>
      <c r="F1891" s="5" t="s">
        <v>19199</v>
      </c>
      <c r="G1891" s="5" t="s">
        <v>908</v>
      </c>
      <c r="H1891" s="5">
        <v>1</v>
      </c>
      <c r="I1891" s="8" t="s">
        <v>9012</v>
      </c>
      <c r="J1891" s="8" t="s">
        <v>11061</v>
      </c>
      <c r="K1891" s="8" t="s">
        <v>2858</v>
      </c>
      <c r="L1891" s="8" t="s">
        <v>13112</v>
      </c>
      <c r="M1891" s="8" t="s">
        <v>4908</v>
      </c>
      <c r="N1891" s="8" t="s">
        <v>6959</v>
      </c>
      <c r="O1891" s="5" t="s">
        <v>153</v>
      </c>
      <c r="P1891" s="4">
        <v>45861</v>
      </c>
      <c r="Q1891" s="15">
        <v>28.5</v>
      </c>
      <c r="R1891" s="15">
        <v>19.309999999999999</v>
      </c>
      <c r="S1891" s="15">
        <v>0</v>
      </c>
      <c r="T1891"/>
    </row>
    <row r="1892" spans="1:20">
      <c r="A1892" s="5" t="s">
        <v>36</v>
      </c>
      <c r="B1892" s="5" t="s">
        <v>15218</v>
      </c>
      <c r="C1892" s="4">
        <v>45844</v>
      </c>
      <c r="D1892" s="4">
        <v>45845</v>
      </c>
      <c r="E1892" s="5" t="s">
        <v>17211</v>
      </c>
      <c r="F1892" s="5" t="s">
        <v>19200</v>
      </c>
      <c r="G1892" s="5" t="s">
        <v>908</v>
      </c>
      <c r="H1892" s="5">
        <v>1</v>
      </c>
      <c r="I1892" s="8" t="s">
        <v>9013</v>
      </c>
      <c r="J1892" s="8" t="s">
        <v>11062</v>
      </c>
      <c r="K1892" s="8" t="s">
        <v>2859</v>
      </c>
      <c r="L1892" s="8" t="s">
        <v>13113</v>
      </c>
      <c r="M1892" s="8" t="s">
        <v>4909</v>
      </c>
      <c r="N1892" s="8" t="s">
        <v>6960</v>
      </c>
      <c r="O1892" s="5" t="s">
        <v>153</v>
      </c>
      <c r="P1892" s="4">
        <v>45863</v>
      </c>
      <c r="Q1892" s="15">
        <v>28.5</v>
      </c>
      <c r="R1892" s="15">
        <v>20.09</v>
      </c>
      <c r="S1892" s="15">
        <v>0</v>
      </c>
      <c r="T1892"/>
    </row>
    <row r="1893" spans="1:20">
      <c r="A1893" s="5" t="s">
        <v>36</v>
      </c>
      <c r="B1893" s="5" t="s">
        <v>15219</v>
      </c>
      <c r="C1893" s="4">
        <v>45845</v>
      </c>
      <c r="D1893" s="4">
        <v>45845</v>
      </c>
      <c r="E1893" s="5" t="s">
        <v>17212</v>
      </c>
      <c r="F1893" s="5" t="s">
        <v>19201</v>
      </c>
      <c r="G1893" s="5" t="s">
        <v>908</v>
      </c>
      <c r="H1893" s="5">
        <v>2</v>
      </c>
      <c r="I1893" s="8" t="s">
        <v>9014</v>
      </c>
      <c r="J1893" s="8" t="s">
        <v>11063</v>
      </c>
      <c r="K1893" s="8" t="s">
        <v>2860</v>
      </c>
      <c r="L1893" s="8" t="s">
        <v>13114</v>
      </c>
      <c r="M1893" s="8" t="s">
        <v>4910</v>
      </c>
      <c r="N1893" s="8" t="s">
        <v>6961</v>
      </c>
      <c r="O1893" s="5" t="s">
        <v>153</v>
      </c>
      <c r="P1893" s="4">
        <v>45861</v>
      </c>
      <c r="Q1893" s="15">
        <v>57</v>
      </c>
      <c r="R1893" s="15">
        <v>36.96</v>
      </c>
      <c r="S1893" s="15">
        <v>0</v>
      </c>
      <c r="T1893"/>
    </row>
    <row r="1894" spans="1:20">
      <c r="A1894" s="5" t="s">
        <v>36</v>
      </c>
      <c r="B1894" s="5" t="s">
        <v>15220</v>
      </c>
      <c r="C1894" s="4">
        <v>45845</v>
      </c>
      <c r="D1894" s="4">
        <v>45845</v>
      </c>
      <c r="E1894" s="5" t="s">
        <v>17213</v>
      </c>
      <c r="F1894" s="5" t="s">
        <v>19202</v>
      </c>
      <c r="G1894" s="5" t="s">
        <v>908</v>
      </c>
      <c r="H1894" s="5">
        <v>1</v>
      </c>
      <c r="I1894" s="8" t="s">
        <v>9015</v>
      </c>
      <c r="J1894" s="8" t="s">
        <v>11064</v>
      </c>
      <c r="K1894" s="8" t="s">
        <v>2861</v>
      </c>
      <c r="L1894" s="8" t="s">
        <v>13115</v>
      </c>
      <c r="M1894" s="8" t="s">
        <v>4911</v>
      </c>
      <c r="N1894" s="8" t="s">
        <v>6962</v>
      </c>
      <c r="O1894" s="5" t="s">
        <v>153</v>
      </c>
      <c r="P1894" s="4">
        <v>45857</v>
      </c>
      <c r="Q1894" s="15">
        <v>28.5</v>
      </c>
      <c r="R1894" s="15">
        <v>19.989999999999998</v>
      </c>
      <c r="S1894" s="15">
        <v>0</v>
      </c>
      <c r="T1894"/>
    </row>
    <row r="1895" spans="1:20">
      <c r="A1895" s="5" t="s">
        <v>36</v>
      </c>
      <c r="B1895" s="5" t="s">
        <v>15221</v>
      </c>
      <c r="C1895" s="4">
        <v>45844</v>
      </c>
      <c r="D1895" s="4">
        <v>45845</v>
      </c>
      <c r="E1895" s="5" t="s">
        <v>17214</v>
      </c>
      <c r="F1895" s="5" t="s">
        <v>19203</v>
      </c>
      <c r="G1895" s="5" t="s">
        <v>908</v>
      </c>
      <c r="H1895" s="5">
        <v>1</v>
      </c>
      <c r="I1895" s="8" t="s">
        <v>9016</v>
      </c>
      <c r="J1895" s="8" t="s">
        <v>11065</v>
      </c>
      <c r="K1895" s="8" t="s">
        <v>2862</v>
      </c>
      <c r="L1895" s="8" t="s">
        <v>13116</v>
      </c>
      <c r="M1895" s="8" t="s">
        <v>4912</v>
      </c>
      <c r="N1895" s="8" t="s">
        <v>6963</v>
      </c>
      <c r="O1895" s="5" t="s">
        <v>153</v>
      </c>
      <c r="P1895" s="4">
        <v>45857</v>
      </c>
      <c r="Q1895" s="15">
        <v>28.5</v>
      </c>
      <c r="R1895" s="15">
        <v>18.38</v>
      </c>
      <c r="S1895" s="15">
        <v>0</v>
      </c>
      <c r="T1895"/>
    </row>
    <row r="1896" spans="1:20">
      <c r="A1896" s="5" t="s">
        <v>36</v>
      </c>
      <c r="B1896" s="5" t="s">
        <v>15222</v>
      </c>
      <c r="C1896" s="4">
        <v>45845</v>
      </c>
      <c r="D1896" s="4">
        <v>45845</v>
      </c>
      <c r="E1896" s="5" t="s">
        <v>17215</v>
      </c>
      <c r="F1896" s="5" t="s">
        <v>19204</v>
      </c>
      <c r="G1896" s="5" t="s">
        <v>908</v>
      </c>
      <c r="H1896" s="5">
        <v>1</v>
      </c>
      <c r="I1896" s="8" t="s">
        <v>9017</v>
      </c>
      <c r="J1896" s="8" t="s">
        <v>11066</v>
      </c>
      <c r="K1896" s="8" t="s">
        <v>2863</v>
      </c>
      <c r="L1896" s="8" t="s">
        <v>13117</v>
      </c>
      <c r="M1896" s="8" t="s">
        <v>4913</v>
      </c>
      <c r="N1896" s="8" t="s">
        <v>6964</v>
      </c>
      <c r="O1896" s="5" t="s">
        <v>153</v>
      </c>
      <c r="P1896" s="4">
        <v>45860</v>
      </c>
      <c r="Q1896" s="15">
        <v>28.5</v>
      </c>
      <c r="R1896" s="15">
        <v>18</v>
      </c>
      <c r="S1896" s="15">
        <v>0</v>
      </c>
      <c r="T1896"/>
    </row>
    <row r="1897" spans="1:20">
      <c r="A1897" s="5" t="s">
        <v>36</v>
      </c>
      <c r="B1897" s="5" t="s">
        <v>15223</v>
      </c>
      <c r="C1897" s="4">
        <v>45845</v>
      </c>
      <c r="D1897" s="4">
        <v>45845</v>
      </c>
      <c r="E1897" s="5" t="s">
        <v>17216</v>
      </c>
      <c r="F1897" s="5" t="s">
        <v>19205</v>
      </c>
      <c r="G1897" s="5" t="s">
        <v>908</v>
      </c>
      <c r="H1897" s="5">
        <v>1</v>
      </c>
      <c r="I1897" s="8" t="s">
        <v>9018</v>
      </c>
      <c r="J1897" s="8" t="s">
        <v>11067</v>
      </c>
      <c r="K1897" s="8" t="s">
        <v>2864</v>
      </c>
      <c r="L1897" s="8" t="s">
        <v>13118</v>
      </c>
      <c r="M1897" s="8" t="s">
        <v>4914</v>
      </c>
      <c r="N1897" s="8" t="s">
        <v>6965</v>
      </c>
      <c r="O1897" s="5" t="s">
        <v>153</v>
      </c>
      <c r="P1897" s="4">
        <v>45864</v>
      </c>
      <c r="Q1897" s="15">
        <v>28.5</v>
      </c>
      <c r="R1897" s="15">
        <v>18.649999999999999</v>
      </c>
      <c r="S1897" s="15">
        <v>0</v>
      </c>
      <c r="T1897"/>
    </row>
    <row r="1898" spans="1:20">
      <c r="A1898" s="5" t="s">
        <v>36</v>
      </c>
      <c r="B1898" s="5" t="s">
        <v>15224</v>
      </c>
      <c r="C1898" s="4">
        <v>45845</v>
      </c>
      <c r="D1898" s="4">
        <v>45845</v>
      </c>
      <c r="E1898" s="5" t="s">
        <v>17217</v>
      </c>
      <c r="F1898" s="5" t="s">
        <v>19206</v>
      </c>
      <c r="G1898" s="5" t="s">
        <v>908</v>
      </c>
      <c r="H1898" s="5">
        <v>1</v>
      </c>
      <c r="I1898" s="8" t="s">
        <v>9019</v>
      </c>
      <c r="J1898" s="8" t="s">
        <v>11068</v>
      </c>
      <c r="K1898" s="8" t="s">
        <v>2865</v>
      </c>
      <c r="L1898" s="8" t="s">
        <v>13119</v>
      </c>
      <c r="M1898" s="8" t="s">
        <v>4915</v>
      </c>
      <c r="N1898" s="8" t="s">
        <v>6966</v>
      </c>
      <c r="O1898" s="5" t="s">
        <v>153</v>
      </c>
      <c r="P1898" s="4">
        <v>45862</v>
      </c>
      <c r="Q1898" s="15">
        <v>28.5</v>
      </c>
      <c r="R1898" s="15">
        <v>20.05</v>
      </c>
      <c r="S1898" s="15">
        <v>0</v>
      </c>
      <c r="T1898"/>
    </row>
    <row r="1899" spans="1:20">
      <c r="A1899" s="5" t="s">
        <v>36</v>
      </c>
      <c r="B1899" s="5" t="s">
        <v>15225</v>
      </c>
      <c r="C1899" s="4">
        <v>45845</v>
      </c>
      <c r="D1899" s="4">
        <v>45845</v>
      </c>
      <c r="E1899" s="5" t="s">
        <v>17218</v>
      </c>
      <c r="F1899" s="5" t="s">
        <v>19207</v>
      </c>
      <c r="G1899" s="5" t="s">
        <v>894</v>
      </c>
      <c r="H1899" s="5">
        <v>1</v>
      </c>
      <c r="I1899" s="8" t="s">
        <v>9020</v>
      </c>
      <c r="J1899" s="8" t="s">
        <v>11069</v>
      </c>
      <c r="K1899" s="8" t="s">
        <v>2866</v>
      </c>
      <c r="L1899" s="8" t="s">
        <v>13120</v>
      </c>
      <c r="M1899" s="8" t="s">
        <v>4916</v>
      </c>
      <c r="N1899" s="8" t="s">
        <v>6967</v>
      </c>
      <c r="O1899" s="5" t="s">
        <v>154</v>
      </c>
      <c r="P1899" s="4">
        <v>45860</v>
      </c>
      <c r="Q1899" s="15">
        <v>41.9</v>
      </c>
      <c r="R1899" s="15">
        <v>33.299999999999997</v>
      </c>
      <c r="S1899" s="15">
        <v>0</v>
      </c>
      <c r="T1899"/>
    </row>
    <row r="1900" spans="1:20">
      <c r="A1900" s="5" t="s">
        <v>36</v>
      </c>
      <c r="B1900" s="5" t="s">
        <v>15226</v>
      </c>
      <c r="C1900" s="4">
        <v>45845</v>
      </c>
      <c r="D1900" s="4">
        <v>45845</v>
      </c>
      <c r="E1900" s="5" t="s">
        <v>17219</v>
      </c>
      <c r="F1900" s="5" t="s">
        <v>19208</v>
      </c>
      <c r="G1900" s="5" t="s">
        <v>908</v>
      </c>
      <c r="H1900" s="5">
        <v>1</v>
      </c>
      <c r="I1900" s="8" t="s">
        <v>9021</v>
      </c>
      <c r="J1900" s="8" t="s">
        <v>11070</v>
      </c>
      <c r="K1900" s="8" t="s">
        <v>2867</v>
      </c>
      <c r="L1900" s="8" t="s">
        <v>13121</v>
      </c>
      <c r="M1900" s="8" t="s">
        <v>4917</v>
      </c>
      <c r="N1900" s="8" t="s">
        <v>6968</v>
      </c>
      <c r="O1900" s="5" t="s">
        <v>153</v>
      </c>
      <c r="P1900" s="4">
        <v>45864</v>
      </c>
      <c r="Q1900" s="15">
        <v>28.5</v>
      </c>
      <c r="R1900" s="15">
        <v>21.27</v>
      </c>
      <c r="S1900" s="15">
        <v>1</v>
      </c>
      <c r="T1900"/>
    </row>
    <row r="1901" spans="1:20">
      <c r="A1901" s="5" t="s">
        <v>36</v>
      </c>
      <c r="B1901" s="5" t="s">
        <v>15227</v>
      </c>
      <c r="C1901" s="4">
        <v>45845</v>
      </c>
      <c r="D1901" s="4">
        <v>45845</v>
      </c>
      <c r="E1901" s="5" t="s">
        <v>17220</v>
      </c>
      <c r="F1901" s="5" t="s">
        <v>19209</v>
      </c>
      <c r="G1901" s="5" t="s">
        <v>908</v>
      </c>
      <c r="H1901" s="5">
        <v>1</v>
      </c>
      <c r="I1901" s="8" t="s">
        <v>9022</v>
      </c>
      <c r="J1901" s="8" t="s">
        <v>11071</v>
      </c>
      <c r="K1901" s="8" t="s">
        <v>2868</v>
      </c>
      <c r="L1901" s="8" t="s">
        <v>13122</v>
      </c>
      <c r="M1901" s="8" t="s">
        <v>4918</v>
      </c>
      <c r="N1901" s="8" t="s">
        <v>6969</v>
      </c>
      <c r="O1901" s="5" t="s">
        <v>153</v>
      </c>
      <c r="P1901" s="4">
        <v>45864</v>
      </c>
      <c r="Q1901" s="15">
        <v>28.5</v>
      </c>
      <c r="R1901" s="15">
        <v>18.920000000000002</v>
      </c>
      <c r="S1901" s="15">
        <v>0</v>
      </c>
      <c r="T1901"/>
    </row>
    <row r="1902" spans="1:20">
      <c r="A1902" s="5" t="s">
        <v>36</v>
      </c>
      <c r="B1902" s="5" t="s">
        <v>15228</v>
      </c>
      <c r="C1902" s="4">
        <v>45845</v>
      </c>
      <c r="D1902" s="4">
        <v>45845</v>
      </c>
      <c r="E1902" s="5" t="s">
        <v>17221</v>
      </c>
      <c r="F1902" s="5" t="s">
        <v>19210</v>
      </c>
      <c r="G1902" s="5" t="s">
        <v>908</v>
      </c>
      <c r="H1902" s="5">
        <v>1</v>
      </c>
      <c r="I1902" s="8" t="s">
        <v>9023</v>
      </c>
      <c r="J1902" s="8" t="s">
        <v>11072</v>
      </c>
      <c r="K1902" s="8" t="s">
        <v>2869</v>
      </c>
      <c r="L1902" s="8" t="s">
        <v>13123</v>
      </c>
      <c r="M1902" s="8" t="s">
        <v>4919</v>
      </c>
      <c r="N1902" s="8" t="s">
        <v>6970</v>
      </c>
      <c r="O1902" s="5" t="s">
        <v>153</v>
      </c>
      <c r="P1902" s="4">
        <v>45870</v>
      </c>
      <c r="Q1902" s="15">
        <v>28.5</v>
      </c>
      <c r="R1902" s="15">
        <v>20.75</v>
      </c>
      <c r="S1902" s="15">
        <v>3</v>
      </c>
      <c r="T1902"/>
    </row>
    <row r="1903" spans="1:20">
      <c r="A1903" s="5" t="s">
        <v>36</v>
      </c>
      <c r="B1903" s="5" t="s">
        <v>15229</v>
      </c>
      <c r="C1903" s="4">
        <v>45845</v>
      </c>
      <c r="D1903" s="4">
        <v>45845</v>
      </c>
      <c r="E1903" s="5" t="s">
        <v>17222</v>
      </c>
      <c r="F1903" s="5" t="s">
        <v>19211</v>
      </c>
      <c r="G1903" s="5" t="s">
        <v>908</v>
      </c>
      <c r="H1903" s="5">
        <v>1</v>
      </c>
      <c r="I1903" s="8" t="s">
        <v>9024</v>
      </c>
      <c r="J1903" s="8" t="s">
        <v>11073</v>
      </c>
      <c r="K1903" s="8" t="s">
        <v>2870</v>
      </c>
      <c r="L1903" s="8" t="s">
        <v>13124</v>
      </c>
      <c r="M1903" s="8" t="s">
        <v>4920</v>
      </c>
      <c r="N1903" s="8" t="s">
        <v>6971</v>
      </c>
      <c r="O1903" s="5" t="s">
        <v>153</v>
      </c>
      <c r="P1903" s="4">
        <v>45862</v>
      </c>
      <c r="Q1903" s="15">
        <v>28.5</v>
      </c>
      <c r="R1903" s="15">
        <v>22.56</v>
      </c>
      <c r="S1903" s="15">
        <v>0</v>
      </c>
      <c r="T1903"/>
    </row>
    <row r="1904" spans="1:20">
      <c r="A1904" s="5" t="s">
        <v>36</v>
      </c>
      <c r="B1904" s="5" t="s">
        <v>15230</v>
      </c>
      <c r="C1904" s="4">
        <v>45845</v>
      </c>
      <c r="D1904" s="4">
        <v>45845</v>
      </c>
      <c r="E1904" s="5" t="s">
        <v>17223</v>
      </c>
      <c r="F1904" s="5" t="s">
        <v>19212</v>
      </c>
      <c r="G1904" s="5" t="s">
        <v>908</v>
      </c>
      <c r="H1904" s="5">
        <v>1</v>
      </c>
      <c r="I1904" s="8" t="s">
        <v>9025</v>
      </c>
      <c r="J1904" s="8" t="s">
        <v>11074</v>
      </c>
      <c r="K1904" s="8" t="s">
        <v>2871</v>
      </c>
      <c r="L1904" s="8" t="s">
        <v>13125</v>
      </c>
      <c r="M1904" s="8" t="s">
        <v>4921</v>
      </c>
      <c r="N1904" s="8" t="s">
        <v>6972</v>
      </c>
      <c r="O1904" s="5" t="s">
        <v>153</v>
      </c>
      <c r="P1904" s="4">
        <v>45862</v>
      </c>
      <c r="Q1904" s="15">
        <v>28.5</v>
      </c>
      <c r="R1904" s="15">
        <v>22.73</v>
      </c>
      <c r="S1904" s="15">
        <v>0</v>
      </c>
      <c r="T1904"/>
    </row>
    <row r="1905" spans="1:20">
      <c r="A1905" s="5" t="s">
        <v>36</v>
      </c>
      <c r="B1905" s="5" t="s">
        <v>15231</v>
      </c>
      <c r="C1905" s="4">
        <v>45845</v>
      </c>
      <c r="D1905" s="4">
        <v>45846</v>
      </c>
      <c r="E1905" s="5" t="s">
        <v>17224</v>
      </c>
      <c r="F1905" s="5" t="s">
        <v>19213</v>
      </c>
      <c r="G1905" s="5" t="s">
        <v>894</v>
      </c>
      <c r="H1905" s="5">
        <v>1</v>
      </c>
      <c r="I1905" s="8" t="s">
        <v>9026</v>
      </c>
      <c r="J1905" s="8" t="s">
        <v>11075</v>
      </c>
      <c r="K1905" s="8" t="s">
        <v>2872</v>
      </c>
      <c r="L1905" s="8" t="s">
        <v>13126</v>
      </c>
      <c r="M1905" s="8" t="s">
        <v>4922</v>
      </c>
      <c r="N1905" s="8" t="s">
        <v>6973</v>
      </c>
      <c r="O1905" s="5" t="s">
        <v>154</v>
      </c>
      <c r="P1905" s="4">
        <v>45864</v>
      </c>
      <c r="Q1905" s="15">
        <v>41.9</v>
      </c>
      <c r="R1905" s="15">
        <v>40.369999999999997</v>
      </c>
      <c r="S1905" s="15">
        <v>1</v>
      </c>
      <c r="T1905"/>
    </row>
    <row r="1906" spans="1:20">
      <c r="A1906" s="5" t="s">
        <v>36</v>
      </c>
      <c r="B1906" s="5" t="s">
        <v>15232</v>
      </c>
      <c r="C1906" s="4">
        <v>45845</v>
      </c>
      <c r="D1906" s="4">
        <v>45846</v>
      </c>
      <c r="E1906" s="5" t="s">
        <v>17225</v>
      </c>
      <c r="F1906" s="5" t="s">
        <v>19214</v>
      </c>
      <c r="G1906" s="5" t="s">
        <v>894</v>
      </c>
      <c r="H1906" s="5">
        <v>1</v>
      </c>
      <c r="I1906" s="8" t="s">
        <v>9027</v>
      </c>
      <c r="J1906" s="8" t="s">
        <v>11076</v>
      </c>
      <c r="K1906" s="8" t="s">
        <v>2873</v>
      </c>
      <c r="L1906" s="8" t="s">
        <v>13127</v>
      </c>
      <c r="M1906" s="8" t="s">
        <v>4923</v>
      </c>
      <c r="N1906" s="8" t="s">
        <v>6974</v>
      </c>
      <c r="O1906" s="5" t="s">
        <v>154</v>
      </c>
      <c r="P1906" s="4">
        <v>45862</v>
      </c>
      <c r="Q1906" s="15">
        <v>41.9</v>
      </c>
      <c r="R1906" s="15">
        <v>40.799999999999997</v>
      </c>
      <c r="S1906" s="15">
        <v>0</v>
      </c>
      <c r="T1906"/>
    </row>
    <row r="1907" spans="1:20">
      <c r="A1907" s="5" t="s">
        <v>36</v>
      </c>
      <c r="B1907" s="5" t="s">
        <v>15233</v>
      </c>
      <c r="C1907" s="4">
        <v>45845</v>
      </c>
      <c r="D1907" s="4">
        <v>45847</v>
      </c>
      <c r="E1907" s="5" t="s">
        <v>17226</v>
      </c>
      <c r="F1907" s="5" t="s">
        <v>19215</v>
      </c>
      <c r="G1907" s="5" t="s">
        <v>902</v>
      </c>
      <c r="H1907" s="5">
        <v>1</v>
      </c>
      <c r="I1907" s="8" t="s">
        <v>9028</v>
      </c>
      <c r="J1907" s="8" t="s">
        <v>11077</v>
      </c>
      <c r="K1907" s="8" t="s">
        <v>2874</v>
      </c>
      <c r="L1907" s="8" t="s">
        <v>13128</v>
      </c>
      <c r="M1907" s="8" t="s">
        <v>4924</v>
      </c>
      <c r="N1907" s="8" t="s">
        <v>6975</v>
      </c>
      <c r="O1907" s="5" t="s">
        <v>151</v>
      </c>
      <c r="P1907" s="4">
        <v>45862</v>
      </c>
      <c r="Q1907" s="15">
        <v>23</v>
      </c>
      <c r="R1907" s="15">
        <v>16.93</v>
      </c>
      <c r="S1907" s="15">
        <v>0</v>
      </c>
      <c r="T1907"/>
    </row>
    <row r="1908" spans="1:20">
      <c r="A1908" s="5" t="s">
        <v>36</v>
      </c>
      <c r="B1908" s="5" t="s">
        <v>15234</v>
      </c>
      <c r="C1908" s="4">
        <v>45846</v>
      </c>
      <c r="D1908" s="4">
        <v>45847</v>
      </c>
      <c r="E1908" s="5" t="s">
        <v>17227</v>
      </c>
      <c r="F1908" s="5" t="s">
        <v>19216</v>
      </c>
      <c r="G1908" s="5" t="s">
        <v>902</v>
      </c>
      <c r="H1908" s="5">
        <v>1</v>
      </c>
      <c r="I1908" s="8" t="s">
        <v>9029</v>
      </c>
      <c r="J1908" s="8" t="s">
        <v>11078</v>
      </c>
      <c r="K1908" s="8" t="s">
        <v>2875</v>
      </c>
      <c r="L1908" s="8" t="s">
        <v>13129</v>
      </c>
      <c r="M1908" s="8" t="s">
        <v>4925</v>
      </c>
      <c r="N1908" s="8" t="s">
        <v>6976</v>
      </c>
      <c r="O1908" s="5" t="s">
        <v>151</v>
      </c>
      <c r="P1908" s="4">
        <v>45864</v>
      </c>
      <c r="Q1908" s="15">
        <v>23</v>
      </c>
      <c r="R1908" s="15">
        <v>17.03</v>
      </c>
      <c r="S1908" s="15">
        <v>0</v>
      </c>
      <c r="T1908"/>
    </row>
    <row r="1909" spans="1:20">
      <c r="A1909" s="5" t="s">
        <v>36</v>
      </c>
      <c r="B1909" s="5" t="s">
        <v>15235</v>
      </c>
      <c r="C1909" s="4">
        <v>45846</v>
      </c>
      <c r="D1909" s="4">
        <v>45849</v>
      </c>
      <c r="E1909" s="5" t="s">
        <v>17228</v>
      </c>
      <c r="F1909" s="5" t="s">
        <v>19217</v>
      </c>
      <c r="G1909" s="5" t="s">
        <v>908</v>
      </c>
      <c r="H1909" s="5">
        <v>1</v>
      </c>
      <c r="I1909" s="8" t="s">
        <v>9030</v>
      </c>
      <c r="J1909" s="8" t="s">
        <v>11079</v>
      </c>
      <c r="K1909" s="8" t="s">
        <v>2876</v>
      </c>
      <c r="L1909" s="8" t="s">
        <v>13130</v>
      </c>
      <c r="M1909" s="8" t="s">
        <v>4926</v>
      </c>
      <c r="N1909" s="8" t="s">
        <v>6977</v>
      </c>
      <c r="O1909" s="5" t="s">
        <v>153</v>
      </c>
      <c r="P1909" s="4">
        <v>45864</v>
      </c>
      <c r="Q1909" s="15">
        <v>28.5</v>
      </c>
      <c r="R1909" s="15">
        <v>20</v>
      </c>
      <c r="S1909" s="15">
        <v>0</v>
      </c>
      <c r="T1909"/>
    </row>
    <row r="1910" spans="1:20">
      <c r="A1910" s="5" t="s">
        <v>36</v>
      </c>
      <c r="B1910" s="5" t="s">
        <v>15236</v>
      </c>
      <c r="C1910" s="4">
        <v>45846</v>
      </c>
      <c r="D1910" s="4">
        <v>45849</v>
      </c>
      <c r="E1910" s="5" t="s">
        <v>17229</v>
      </c>
      <c r="F1910" s="5" t="s">
        <v>19218</v>
      </c>
      <c r="G1910" s="5" t="s">
        <v>908</v>
      </c>
      <c r="H1910" s="5">
        <v>1</v>
      </c>
      <c r="I1910" s="8" t="s">
        <v>9031</v>
      </c>
      <c r="J1910" s="8" t="s">
        <v>11080</v>
      </c>
      <c r="K1910" s="8" t="s">
        <v>2877</v>
      </c>
      <c r="L1910" s="8" t="s">
        <v>13131</v>
      </c>
      <c r="M1910" s="8" t="s">
        <v>4927</v>
      </c>
      <c r="N1910" s="8" t="s">
        <v>6978</v>
      </c>
      <c r="O1910" s="5" t="s">
        <v>153</v>
      </c>
      <c r="P1910" s="4">
        <v>45864</v>
      </c>
      <c r="Q1910" s="15">
        <v>28.5</v>
      </c>
      <c r="R1910" s="15">
        <v>20.190000000000001</v>
      </c>
      <c r="S1910" s="15">
        <v>0</v>
      </c>
      <c r="T1910"/>
    </row>
    <row r="1911" spans="1:20">
      <c r="A1911" s="5" t="s">
        <v>36</v>
      </c>
      <c r="B1911" s="5" t="s">
        <v>15237</v>
      </c>
      <c r="C1911" s="4">
        <v>45846</v>
      </c>
      <c r="D1911" s="4">
        <v>45849</v>
      </c>
      <c r="E1911" s="5" t="s">
        <v>17230</v>
      </c>
      <c r="F1911" s="5" t="s">
        <v>19219</v>
      </c>
      <c r="G1911" s="5" t="s">
        <v>908</v>
      </c>
      <c r="H1911" s="5">
        <v>1</v>
      </c>
      <c r="I1911" s="8" t="s">
        <v>9032</v>
      </c>
      <c r="J1911" s="8" t="s">
        <v>11081</v>
      </c>
      <c r="K1911" s="8" t="s">
        <v>2878</v>
      </c>
      <c r="L1911" s="8" t="s">
        <v>13132</v>
      </c>
      <c r="M1911" s="8" t="s">
        <v>4928</v>
      </c>
      <c r="N1911" s="8" t="s">
        <v>6979</v>
      </c>
      <c r="O1911" s="5" t="s">
        <v>153</v>
      </c>
      <c r="P1911" s="4">
        <v>45864</v>
      </c>
      <c r="Q1911" s="15">
        <v>28.5</v>
      </c>
      <c r="R1911" s="15">
        <v>20.3</v>
      </c>
      <c r="S1911" s="15">
        <v>0</v>
      </c>
      <c r="T1911"/>
    </row>
    <row r="1912" spans="1:20">
      <c r="A1912" s="5" t="s">
        <v>36</v>
      </c>
      <c r="B1912" s="5" t="s">
        <v>15238</v>
      </c>
      <c r="C1912" s="4">
        <v>45846</v>
      </c>
      <c r="D1912" s="4">
        <v>45849</v>
      </c>
      <c r="E1912" s="5" t="s">
        <v>17231</v>
      </c>
      <c r="F1912" s="5" t="s">
        <v>19220</v>
      </c>
      <c r="G1912" s="5" t="s">
        <v>908</v>
      </c>
      <c r="H1912" s="5">
        <v>1</v>
      </c>
      <c r="I1912" s="8" t="s">
        <v>9033</v>
      </c>
      <c r="J1912" s="8" t="s">
        <v>11082</v>
      </c>
      <c r="K1912" s="8" t="s">
        <v>2879</v>
      </c>
      <c r="L1912" s="8" t="s">
        <v>13133</v>
      </c>
      <c r="M1912" s="8" t="s">
        <v>4929</v>
      </c>
      <c r="N1912" s="8" t="s">
        <v>6980</v>
      </c>
      <c r="O1912" s="5" t="s">
        <v>153</v>
      </c>
      <c r="P1912" s="4">
        <v>45867</v>
      </c>
      <c r="Q1912" s="15">
        <v>28.5</v>
      </c>
      <c r="R1912" s="15">
        <v>19.7</v>
      </c>
      <c r="S1912" s="15">
        <v>1</v>
      </c>
      <c r="T1912"/>
    </row>
    <row r="1913" spans="1:20">
      <c r="A1913" s="5" t="s">
        <v>36</v>
      </c>
      <c r="B1913" s="5" t="s">
        <v>15239</v>
      </c>
      <c r="C1913" s="4">
        <v>45846</v>
      </c>
      <c r="D1913" s="4">
        <v>45849</v>
      </c>
      <c r="E1913" s="5" t="s">
        <v>17232</v>
      </c>
      <c r="F1913" s="5" t="s">
        <v>19221</v>
      </c>
      <c r="G1913" s="5" t="s">
        <v>908</v>
      </c>
      <c r="H1913" s="5">
        <v>2</v>
      </c>
      <c r="I1913" s="8" t="s">
        <v>9034</v>
      </c>
      <c r="J1913" s="8" t="s">
        <v>11083</v>
      </c>
      <c r="K1913" s="8" t="s">
        <v>2880</v>
      </c>
      <c r="L1913" s="8" t="s">
        <v>13134</v>
      </c>
      <c r="M1913" s="8" t="s">
        <v>4930</v>
      </c>
      <c r="N1913" s="8" t="s">
        <v>6981</v>
      </c>
      <c r="O1913" s="5" t="s">
        <v>153</v>
      </c>
      <c r="P1913" s="4">
        <v>45863</v>
      </c>
      <c r="Q1913" s="15">
        <v>57</v>
      </c>
      <c r="R1913" s="15">
        <v>39.950000000000003</v>
      </c>
      <c r="S1913" s="15">
        <v>0</v>
      </c>
      <c r="T1913"/>
    </row>
    <row r="1914" spans="1:20">
      <c r="A1914" s="5" t="s">
        <v>36</v>
      </c>
      <c r="B1914" s="5" t="s">
        <v>15240</v>
      </c>
      <c r="C1914" s="4">
        <v>45846</v>
      </c>
      <c r="D1914" s="4">
        <v>45847</v>
      </c>
      <c r="E1914" s="5" t="s">
        <v>17233</v>
      </c>
      <c r="F1914" s="5" t="s">
        <v>19222</v>
      </c>
      <c r="G1914" s="5" t="s">
        <v>894</v>
      </c>
      <c r="H1914" s="5">
        <v>1</v>
      </c>
      <c r="I1914" s="8" t="s">
        <v>9035</v>
      </c>
      <c r="J1914" s="8" t="s">
        <v>11084</v>
      </c>
      <c r="K1914" s="8" t="s">
        <v>2881</v>
      </c>
      <c r="L1914" s="8" t="s">
        <v>13135</v>
      </c>
      <c r="M1914" s="8" t="s">
        <v>4931</v>
      </c>
      <c r="N1914" s="8" t="s">
        <v>6982</v>
      </c>
      <c r="O1914" s="5" t="s">
        <v>154</v>
      </c>
      <c r="P1914" s="4">
        <v>45863</v>
      </c>
      <c r="Q1914" s="15">
        <v>43.99</v>
      </c>
      <c r="R1914" s="15">
        <v>33.630000000000003</v>
      </c>
      <c r="S1914" s="15">
        <v>0</v>
      </c>
      <c r="T1914"/>
    </row>
    <row r="1915" spans="1:20">
      <c r="A1915" s="5" t="s">
        <v>36</v>
      </c>
      <c r="B1915" s="5" t="s">
        <v>15241</v>
      </c>
      <c r="C1915" s="4">
        <v>45846</v>
      </c>
      <c r="D1915" s="4">
        <v>45849</v>
      </c>
      <c r="E1915" s="5" t="s">
        <v>17234</v>
      </c>
      <c r="F1915" s="5" t="s">
        <v>19223</v>
      </c>
      <c r="G1915" s="5" t="s">
        <v>908</v>
      </c>
      <c r="H1915" s="5">
        <v>1</v>
      </c>
      <c r="I1915" s="8" t="s">
        <v>9036</v>
      </c>
      <c r="J1915" s="8" t="s">
        <v>11085</v>
      </c>
      <c r="K1915" s="8" t="s">
        <v>2882</v>
      </c>
      <c r="L1915" s="8" t="s">
        <v>13136</v>
      </c>
      <c r="M1915" s="8" t="s">
        <v>4932</v>
      </c>
      <c r="N1915" s="8" t="s">
        <v>6983</v>
      </c>
      <c r="O1915" s="5" t="s">
        <v>153</v>
      </c>
      <c r="P1915" s="4">
        <v>45863</v>
      </c>
      <c r="Q1915" s="15">
        <v>28.5</v>
      </c>
      <c r="R1915" s="15">
        <v>20.260000000000002</v>
      </c>
      <c r="S1915" s="15">
        <v>0</v>
      </c>
      <c r="T1915"/>
    </row>
    <row r="1916" spans="1:20">
      <c r="A1916" s="5" t="s">
        <v>36</v>
      </c>
      <c r="B1916" s="5" t="s">
        <v>15242</v>
      </c>
      <c r="C1916" s="4">
        <v>45846</v>
      </c>
      <c r="D1916" s="4">
        <v>45849</v>
      </c>
      <c r="E1916" s="5" t="s">
        <v>17235</v>
      </c>
      <c r="F1916" s="5" t="s">
        <v>19224</v>
      </c>
      <c r="G1916" s="5" t="s">
        <v>908</v>
      </c>
      <c r="H1916" s="5">
        <v>1</v>
      </c>
      <c r="I1916" s="8" t="s">
        <v>9037</v>
      </c>
      <c r="J1916" s="8" t="s">
        <v>11086</v>
      </c>
      <c r="K1916" s="8" t="s">
        <v>2883</v>
      </c>
      <c r="L1916" s="8" t="s">
        <v>13137</v>
      </c>
      <c r="M1916" s="8" t="s">
        <v>4933</v>
      </c>
      <c r="N1916" s="8" t="s">
        <v>6984</v>
      </c>
      <c r="O1916" s="5" t="s">
        <v>153</v>
      </c>
      <c r="P1916" s="4">
        <v>45863</v>
      </c>
      <c r="Q1916" s="15">
        <v>28.5</v>
      </c>
      <c r="R1916" s="15">
        <v>20.16</v>
      </c>
      <c r="S1916" s="15">
        <v>0</v>
      </c>
      <c r="T1916"/>
    </row>
    <row r="1917" spans="1:20">
      <c r="A1917" s="5" t="s">
        <v>36</v>
      </c>
      <c r="B1917" s="5" t="s">
        <v>15243</v>
      </c>
      <c r="C1917" s="4">
        <v>45846</v>
      </c>
      <c r="D1917" s="4">
        <v>45849</v>
      </c>
      <c r="E1917" s="5" t="s">
        <v>17236</v>
      </c>
      <c r="F1917" s="5" t="s">
        <v>19225</v>
      </c>
      <c r="G1917" s="5" t="s">
        <v>908</v>
      </c>
      <c r="H1917" s="5">
        <v>1</v>
      </c>
      <c r="I1917" s="8" t="s">
        <v>9038</v>
      </c>
      <c r="J1917" s="8" t="s">
        <v>11087</v>
      </c>
      <c r="K1917" s="8" t="s">
        <v>2884</v>
      </c>
      <c r="L1917" s="8" t="s">
        <v>13138</v>
      </c>
      <c r="M1917" s="8" t="s">
        <v>4934</v>
      </c>
      <c r="N1917" s="8" t="s">
        <v>6985</v>
      </c>
      <c r="O1917" s="5" t="s">
        <v>153</v>
      </c>
      <c r="P1917" s="4">
        <v>45863</v>
      </c>
      <c r="Q1917" s="15">
        <v>28.5</v>
      </c>
      <c r="R1917" s="15">
        <v>20.239999999999998</v>
      </c>
      <c r="S1917" s="15">
        <v>0</v>
      </c>
      <c r="T1917"/>
    </row>
    <row r="1918" spans="1:20">
      <c r="A1918" s="5" t="s">
        <v>36</v>
      </c>
      <c r="B1918" s="5" t="s">
        <v>15244</v>
      </c>
      <c r="C1918" s="4">
        <v>45846</v>
      </c>
      <c r="D1918" s="4">
        <v>45849</v>
      </c>
      <c r="E1918" s="5" t="s">
        <v>17237</v>
      </c>
      <c r="F1918" s="5" t="s">
        <v>19226</v>
      </c>
      <c r="G1918" s="5" t="s">
        <v>908</v>
      </c>
      <c r="H1918" s="5">
        <v>1</v>
      </c>
      <c r="I1918" s="8" t="s">
        <v>9039</v>
      </c>
      <c r="J1918" s="8" t="s">
        <v>11088</v>
      </c>
      <c r="K1918" s="8" t="s">
        <v>2885</v>
      </c>
      <c r="L1918" s="8" t="s">
        <v>13139</v>
      </c>
      <c r="M1918" s="8" t="s">
        <v>4935</v>
      </c>
      <c r="N1918" s="8" t="s">
        <v>6986</v>
      </c>
      <c r="O1918" s="5" t="s">
        <v>153</v>
      </c>
      <c r="P1918" s="4">
        <v>45867</v>
      </c>
      <c r="Q1918" s="15">
        <v>28.5</v>
      </c>
      <c r="R1918" s="15">
        <v>20.37</v>
      </c>
      <c r="S1918" s="15">
        <v>0</v>
      </c>
      <c r="T1918"/>
    </row>
    <row r="1919" spans="1:20">
      <c r="A1919" s="5" t="s">
        <v>36</v>
      </c>
      <c r="B1919" s="5" t="s">
        <v>15245</v>
      </c>
      <c r="C1919" s="4">
        <v>45846</v>
      </c>
      <c r="D1919" s="4">
        <v>45849</v>
      </c>
      <c r="E1919" s="5" t="s">
        <v>17238</v>
      </c>
      <c r="F1919" s="5" t="s">
        <v>19227</v>
      </c>
      <c r="G1919" s="5" t="s">
        <v>908</v>
      </c>
      <c r="H1919" s="5">
        <v>1</v>
      </c>
      <c r="I1919" s="8" t="s">
        <v>9040</v>
      </c>
      <c r="J1919" s="8" t="s">
        <v>11089</v>
      </c>
      <c r="K1919" s="8" t="s">
        <v>2886</v>
      </c>
      <c r="L1919" s="8" t="s">
        <v>13140</v>
      </c>
      <c r="M1919" s="8" t="s">
        <v>4936</v>
      </c>
      <c r="N1919" s="8" t="s">
        <v>6987</v>
      </c>
      <c r="O1919" s="5" t="s">
        <v>153</v>
      </c>
      <c r="P1919" s="4">
        <v>45867</v>
      </c>
      <c r="Q1919" s="15">
        <v>28.5</v>
      </c>
      <c r="R1919" s="15">
        <v>19.5</v>
      </c>
      <c r="S1919" s="15">
        <v>0</v>
      </c>
      <c r="T1919"/>
    </row>
    <row r="1920" spans="1:20">
      <c r="A1920" s="5" t="s">
        <v>36</v>
      </c>
      <c r="B1920" s="5" t="s">
        <v>15246</v>
      </c>
      <c r="C1920" s="4">
        <v>45846</v>
      </c>
      <c r="D1920" s="4">
        <v>45849</v>
      </c>
      <c r="E1920" s="5" t="s">
        <v>17239</v>
      </c>
      <c r="F1920" s="5" t="s">
        <v>19228</v>
      </c>
      <c r="G1920" s="5" t="s">
        <v>908</v>
      </c>
      <c r="H1920" s="5">
        <v>1</v>
      </c>
      <c r="I1920" s="8" t="s">
        <v>9041</v>
      </c>
      <c r="J1920" s="8" t="s">
        <v>11090</v>
      </c>
      <c r="K1920" s="8" t="s">
        <v>2887</v>
      </c>
      <c r="L1920" s="8" t="s">
        <v>13141</v>
      </c>
      <c r="M1920" s="8" t="s">
        <v>4937</v>
      </c>
      <c r="N1920" s="8" t="s">
        <v>6988</v>
      </c>
      <c r="O1920" s="5" t="s">
        <v>153</v>
      </c>
      <c r="P1920" s="4">
        <v>45867</v>
      </c>
      <c r="Q1920" s="15">
        <v>28.5</v>
      </c>
      <c r="R1920" s="15">
        <v>20.29</v>
      </c>
      <c r="S1920" s="15">
        <v>0</v>
      </c>
      <c r="T1920"/>
    </row>
    <row r="1921" spans="1:20">
      <c r="A1921" s="5" t="s">
        <v>36</v>
      </c>
      <c r="B1921" s="5" t="s">
        <v>15247</v>
      </c>
      <c r="C1921" s="4">
        <v>45846</v>
      </c>
      <c r="D1921" s="4">
        <v>45852</v>
      </c>
      <c r="E1921" s="5" t="s">
        <v>17240</v>
      </c>
      <c r="F1921" s="5" t="s">
        <v>19229</v>
      </c>
      <c r="G1921" s="5" t="s">
        <v>902</v>
      </c>
      <c r="H1921" s="5">
        <v>1</v>
      </c>
      <c r="I1921" s="8" t="s">
        <v>9042</v>
      </c>
      <c r="J1921" s="8" t="s">
        <v>11091</v>
      </c>
      <c r="K1921" s="8" t="s">
        <v>2888</v>
      </c>
      <c r="L1921" s="8" t="s">
        <v>13142</v>
      </c>
      <c r="M1921" s="8" t="s">
        <v>4938</v>
      </c>
      <c r="N1921" s="8" t="s">
        <v>6989</v>
      </c>
      <c r="O1921" s="5" t="s">
        <v>151</v>
      </c>
      <c r="P1921" s="4">
        <v>45871</v>
      </c>
      <c r="Q1921" s="15">
        <v>23.9</v>
      </c>
      <c r="R1921" s="15">
        <v>20.170000000000002</v>
      </c>
      <c r="S1921" s="15">
        <v>5</v>
      </c>
      <c r="T1921"/>
    </row>
    <row r="1922" spans="1:20">
      <c r="A1922" s="5" t="s">
        <v>36</v>
      </c>
      <c r="B1922" s="5" t="s">
        <v>15248</v>
      </c>
      <c r="C1922" s="4">
        <v>45846</v>
      </c>
      <c r="D1922" s="4">
        <v>45849</v>
      </c>
      <c r="E1922" s="5" t="s">
        <v>17241</v>
      </c>
      <c r="F1922" s="5" t="s">
        <v>19230</v>
      </c>
      <c r="G1922" s="5" t="s">
        <v>908</v>
      </c>
      <c r="H1922" s="5">
        <v>1</v>
      </c>
      <c r="I1922" s="8" t="s">
        <v>9043</v>
      </c>
      <c r="J1922" s="8" t="s">
        <v>11092</v>
      </c>
      <c r="K1922" s="8" t="s">
        <v>2889</v>
      </c>
      <c r="L1922" s="8" t="s">
        <v>13143</v>
      </c>
      <c r="M1922" s="8" t="s">
        <v>4939</v>
      </c>
      <c r="N1922" s="8" t="s">
        <v>6990</v>
      </c>
      <c r="O1922" s="5" t="s">
        <v>153</v>
      </c>
      <c r="P1922" s="4">
        <v>45867</v>
      </c>
      <c r="Q1922" s="15">
        <v>28.5</v>
      </c>
      <c r="R1922" s="15">
        <v>19.89</v>
      </c>
      <c r="S1922" s="15">
        <v>0</v>
      </c>
      <c r="T1922"/>
    </row>
    <row r="1923" spans="1:20">
      <c r="A1923" s="5" t="s">
        <v>36</v>
      </c>
      <c r="B1923" s="5" t="s">
        <v>15249</v>
      </c>
      <c r="C1923" s="4">
        <v>45846</v>
      </c>
      <c r="D1923" s="4">
        <v>45849</v>
      </c>
      <c r="E1923" s="5" t="s">
        <v>17242</v>
      </c>
      <c r="F1923" s="5" t="s">
        <v>19231</v>
      </c>
      <c r="G1923" s="5" t="s">
        <v>908</v>
      </c>
      <c r="H1923" s="5">
        <v>1</v>
      </c>
      <c r="I1923" s="8" t="s">
        <v>9044</v>
      </c>
      <c r="J1923" s="8" t="s">
        <v>11093</v>
      </c>
      <c r="K1923" s="8" t="s">
        <v>2890</v>
      </c>
      <c r="L1923" s="8" t="s">
        <v>13144</v>
      </c>
      <c r="M1923" s="8" t="s">
        <v>4940</v>
      </c>
      <c r="N1923" s="8" t="s">
        <v>6991</v>
      </c>
      <c r="O1923" s="5" t="s">
        <v>153</v>
      </c>
      <c r="P1923" s="4">
        <v>45863</v>
      </c>
      <c r="Q1923" s="15">
        <v>28.5</v>
      </c>
      <c r="R1923" s="15">
        <v>20.32</v>
      </c>
      <c r="S1923" s="15">
        <v>0</v>
      </c>
      <c r="T1923"/>
    </row>
    <row r="1924" spans="1:20">
      <c r="A1924" s="5" t="s">
        <v>36</v>
      </c>
      <c r="B1924" s="5" t="s">
        <v>15250</v>
      </c>
      <c r="C1924" s="4">
        <v>45847</v>
      </c>
      <c r="D1924" s="4">
        <v>45849</v>
      </c>
      <c r="E1924" s="5" t="s">
        <v>17243</v>
      </c>
      <c r="F1924" s="5" t="s">
        <v>19232</v>
      </c>
      <c r="G1924" s="5" t="s">
        <v>908</v>
      </c>
      <c r="H1924" s="5">
        <v>1</v>
      </c>
      <c r="I1924" s="8" t="s">
        <v>9045</v>
      </c>
      <c r="J1924" s="8" t="s">
        <v>11094</v>
      </c>
      <c r="K1924" s="8" t="s">
        <v>2891</v>
      </c>
      <c r="L1924" s="8" t="s">
        <v>13145</v>
      </c>
      <c r="M1924" s="8" t="s">
        <v>4941</v>
      </c>
      <c r="N1924" s="8" t="s">
        <v>6992</v>
      </c>
      <c r="O1924" s="5" t="s">
        <v>153</v>
      </c>
      <c r="P1924" s="4">
        <v>45868</v>
      </c>
      <c r="Q1924" s="15">
        <v>28.5</v>
      </c>
      <c r="R1924" s="15">
        <v>19.5</v>
      </c>
      <c r="S1924" s="15">
        <v>0</v>
      </c>
      <c r="T1924"/>
    </row>
    <row r="1925" spans="1:20">
      <c r="A1925" s="5" t="s">
        <v>36</v>
      </c>
      <c r="B1925" s="5" t="s">
        <v>15251</v>
      </c>
      <c r="C1925" s="4">
        <v>45847</v>
      </c>
      <c r="D1925" s="4">
        <v>45849</v>
      </c>
      <c r="E1925" s="5" t="s">
        <v>17244</v>
      </c>
      <c r="F1925" s="5" t="s">
        <v>19233</v>
      </c>
      <c r="G1925" s="5" t="s">
        <v>908</v>
      </c>
      <c r="H1925" s="5">
        <v>1</v>
      </c>
      <c r="I1925" s="8" t="s">
        <v>9046</v>
      </c>
      <c r="J1925" s="8" t="s">
        <v>11095</v>
      </c>
      <c r="K1925" s="8" t="s">
        <v>2892</v>
      </c>
      <c r="L1925" s="8" t="s">
        <v>13146</v>
      </c>
      <c r="M1925" s="8" t="s">
        <v>4942</v>
      </c>
      <c r="N1925" s="8" t="s">
        <v>6993</v>
      </c>
      <c r="O1925" s="5" t="s">
        <v>153</v>
      </c>
      <c r="P1925" s="4">
        <v>45874</v>
      </c>
      <c r="Q1925" s="15">
        <v>28.5</v>
      </c>
      <c r="R1925" s="15">
        <v>20.18</v>
      </c>
      <c r="S1925" s="15">
        <v>3</v>
      </c>
      <c r="T1925"/>
    </row>
    <row r="1926" spans="1:20">
      <c r="A1926" s="5" t="s">
        <v>36</v>
      </c>
      <c r="B1926" s="5" t="s">
        <v>15252</v>
      </c>
      <c r="C1926" s="4">
        <v>45847</v>
      </c>
      <c r="D1926" s="4">
        <v>45852</v>
      </c>
      <c r="E1926" s="5" t="s">
        <v>17245</v>
      </c>
      <c r="F1926" s="5" t="s">
        <v>19234</v>
      </c>
      <c r="G1926" s="5" t="s">
        <v>902</v>
      </c>
      <c r="H1926" s="5">
        <v>1</v>
      </c>
      <c r="I1926" s="8" t="s">
        <v>9047</v>
      </c>
      <c r="J1926" s="8" t="s">
        <v>11096</v>
      </c>
      <c r="K1926" s="8" t="s">
        <v>2893</v>
      </c>
      <c r="L1926" s="8" t="s">
        <v>13147</v>
      </c>
      <c r="M1926" s="8" t="s">
        <v>4943</v>
      </c>
      <c r="N1926" s="8" t="s">
        <v>6994</v>
      </c>
      <c r="O1926" s="5" t="s">
        <v>151</v>
      </c>
      <c r="P1926" s="4">
        <v>45874</v>
      </c>
      <c r="Q1926" s="15">
        <v>23.9</v>
      </c>
      <c r="R1926" s="15">
        <v>22.78</v>
      </c>
      <c r="S1926" s="15">
        <v>5</v>
      </c>
      <c r="T1926"/>
    </row>
    <row r="1927" spans="1:20">
      <c r="A1927" s="5" t="s">
        <v>36</v>
      </c>
      <c r="B1927" s="5" t="s">
        <v>15253</v>
      </c>
      <c r="C1927" s="4">
        <v>45847</v>
      </c>
      <c r="D1927" s="4">
        <v>45852</v>
      </c>
      <c r="E1927" s="5" t="s">
        <v>17246</v>
      </c>
      <c r="F1927" s="5" t="s">
        <v>19235</v>
      </c>
      <c r="G1927" s="5" t="s">
        <v>902</v>
      </c>
      <c r="H1927" s="5">
        <v>1</v>
      </c>
      <c r="I1927" s="8" t="s">
        <v>9048</v>
      </c>
      <c r="J1927" s="8" t="s">
        <v>11097</v>
      </c>
      <c r="K1927" s="8" t="s">
        <v>2894</v>
      </c>
      <c r="L1927" s="8" t="s">
        <v>13148</v>
      </c>
      <c r="M1927" s="8" t="s">
        <v>4944</v>
      </c>
      <c r="N1927" s="8" t="s">
        <v>6995</v>
      </c>
      <c r="O1927" s="5" t="s">
        <v>151</v>
      </c>
      <c r="P1927" s="4">
        <v>45874</v>
      </c>
      <c r="Q1927" s="15">
        <v>23.9</v>
      </c>
      <c r="R1927" s="15">
        <v>16.98</v>
      </c>
      <c r="S1927" s="15">
        <v>3</v>
      </c>
      <c r="T1927"/>
    </row>
    <row r="1928" spans="1:20">
      <c r="A1928" s="5" t="s">
        <v>36</v>
      </c>
      <c r="B1928" s="5" t="s">
        <v>15254</v>
      </c>
      <c r="C1928" s="4">
        <v>45847</v>
      </c>
      <c r="D1928" s="4">
        <v>45849</v>
      </c>
      <c r="E1928" s="5" t="s">
        <v>17247</v>
      </c>
      <c r="F1928" s="5" t="s">
        <v>19236</v>
      </c>
      <c r="G1928" s="5" t="s">
        <v>908</v>
      </c>
      <c r="H1928" s="5">
        <v>1</v>
      </c>
      <c r="I1928" s="8" t="s">
        <v>9049</v>
      </c>
      <c r="J1928" s="8" t="s">
        <v>11098</v>
      </c>
      <c r="K1928" s="8" t="s">
        <v>2895</v>
      </c>
      <c r="L1928" s="8" t="s">
        <v>13149</v>
      </c>
      <c r="M1928" s="8" t="s">
        <v>4945</v>
      </c>
      <c r="N1928" s="8" t="s">
        <v>6996</v>
      </c>
      <c r="O1928" s="5" t="s">
        <v>153</v>
      </c>
      <c r="P1928" s="4">
        <v>45868</v>
      </c>
      <c r="Q1928" s="15">
        <v>28.5</v>
      </c>
      <c r="R1928" s="15">
        <v>20.41</v>
      </c>
      <c r="S1928" s="15">
        <v>0</v>
      </c>
      <c r="T1928"/>
    </row>
    <row r="1929" spans="1:20">
      <c r="A1929" s="5" t="s">
        <v>36</v>
      </c>
      <c r="B1929" s="5" t="s">
        <v>15255</v>
      </c>
      <c r="C1929" s="4">
        <v>45847</v>
      </c>
      <c r="D1929" s="4">
        <v>45849</v>
      </c>
      <c r="E1929" s="5" t="s">
        <v>17248</v>
      </c>
      <c r="F1929" s="5" t="s">
        <v>19237</v>
      </c>
      <c r="G1929" s="5" t="s">
        <v>908</v>
      </c>
      <c r="H1929" s="5">
        <v>1</v>
      </c>
      <c r="I1929" s="8" t="s">
        <v>9050</v>
      </c>
      <c r="J1929" s="8" t="s">
        <v>11099</v>
      </c>
      <c r="K1929" s="8" t="s">
        <v>2896</v>
      </c>
      <c r="L1929" s="8" t="s">
        <v>13150</v>
      </c>
      <c r="M1929" s="8" t="s">
        <v>4946</v>
      </c>
      <c r="N1929" s="8" t="s">
        <v>6997</v>
      </c>
      <c r="O1929" s="5" t="s">
        <v>153</v>
      </c>
      <c r="P1929" s="4">
        <v>45868</v>
      </c>
      <c r="Q1929" s="15">
        <v>28.5</v>
      </c>
      <c r="R1929" s="15">
        <v>19.5</v>
      </c>
      <c r="S1929" s="15">
        <v>0</v>
      </c>
      <c r="T1929"/>
    </row>
    <row r="1930" spans="1:20">
      <c r="A1930" s="5" t="s">
        <v>36</v>
      </c>
      <c r="B1930" s="5" t="s">
        <v>15256</v>
      </c>
      <c r="C1930" s="4">
        <v>45847</v>
      </c>
      <c r="D1930" s="4">
        <v>45849</v>
      </c>
      <c r="E1930" s="5" t="s">
        <v>17249</v>
      </c>
      <c r="F1930" s="5" t="s">
        <v>19238</v>
      </c>
      <c r="G1930" s="5" t="s">
        <v>908</v>
      </c>
      <c r="H1930" s="5">
        <v>1</v>
      </c>
      <c r="I1930" s="8" t="s">
        <v>9051</v>
      </c>
      <c r="J1930" s="8" t="s">
        <v>11100</v>
      </c>
      <c r="K1930" s="8" t="s">
        <v>2897</v>
      </c>
      <c r="L1930" s="8" t="s">
        <v>13151</v>
      </c>
      <c r="M1930" s="8" t="s">
        <v>4947</v>
      </c>
      <c r="N1930" s="8" t="s">
        <v>6998</v>
      </c>
      <c r="O1930" s="5" t="s">
        <v>153</v>
      </c>
      <c r="P1930" s="4">
        <v>45868</v>
      </c>
      <c r="Q1930" s="15">
        <v>28.5</v>
      </c>
      <c r="R1930" s="15">
        <v>20.53</v>
      </c>
      <c r="S1930" s="15">
        <v>0</v>
      </c>
      <c r="T1930"/>
    </row>
    <row r="1931" spans="1:20">
      <c r="A1931" s="5" t="s">
        <v>36</v>
      </c>
      <c r="B1931" s="5" t="s">
        <v>15257</v>
      </c>
      <c r="C1931" s="4">
        <v>45847</v>
      </c>
      <c r="D1931" s="4">
        <v>45849</v>
      </c>
      <c r="E1931" s="5" t="s">
        <v>17250</v>
      </c>
      <c r="F1931" s="5" t="s">
        <v>19239</v>
      </c>
      <c r="G1931" s="5" t="s">
        <v>908</v>
      </c>
      <c r="H1931" s="5">
        <v>1</v>
      </c>
      <c r="I1931" s="8" t="s">
        <v>9052</v>
      </c>
      <c r="J1931" s="8" t="s">
        <v>11101</v>
      </c>
      <c r="K1931" s="8" t="s">
        <v>2898</v>
      </c>
      <c r="L1931" s="8" t="s">
        <v>13152</v>
      </c>
      <c r="M1931" s="8" t="s">
        <v>4948</v>
      </c>
      <c r="N1931" s="8" t="s">
        <v>6999</v>
      </c>
      <c r="O1931" s="5" t="s">
        <v>153</v>
      </c>
      <c r="P1931" s="4">
        <v>45868</v>
      </c>
      <c r="Q1931" s="15">
        <v>28.5</v>
      </c>
      <c r="R1931" s="15">
        <v>20.58</v>
      </c>
      <c r="S1931" s="15">
        <v>0</v>
      </c>
      <c r="T1931"/>
    </row>
    <row r="1932" spans="1:20">
      <c r="A1932" s="5" t="s">
        <v>36</v>
      </c>
      <c r="B1932" s="5" t="s">
        <v>15258</v>
      </c>
      <c r="C1932" s="4">
        <v>45847</v>
      </c>
      <c r="D1932" s="4">
        <v>45852</v>
      </c>
      <c r="E1932" s="5" t="s">
        <v>17251</v>
      </c>
      <c r="F1932" s="5" t="s">
        <v>19240</v>
      </c>
      <c r="G1932" s="5" t="s">
        <v>902</v>
      </c>
      <c r="H1932" s="5">
        <v>1</v>
      </c>
      <c r="I1932" s="8" t="s">
        <v>9053</v>
      </c>
      <c r="J1932" s="8" t="s">
        <v>11102</v>
      </c>
      <c r="K1932" s="8" t="s">
        <v>2899</v>
      </c>
      <c r="L1932" s="8" t="s">
        <v>13153</v>
      </c>
      <c r="M1932" s="8" t="s">
        <v>4949</v>
      </c>
      <c r="N1932" s="8" t="s">
        <v>7000</v>
      </c>
      <c r="O1932" s="5" t="s">
        <v>151</v>
      </c>
      <c r="P1932" s="4">
        <v>45874</v>
      </c>
      <c r="Q1932" s="15">
        <v>23.9</v>
      </c>
      <c r="R1932" s="15">
        <v>16.98</v>
      </c>
      <c r="S1932" s="15">
        <v>3</v>
      </c>
      <c r="T1932"/>
    </row>
    <row r="1933" spans="1:20">
      <c r="A1933" s="5" t="s">
        <v>36</v>
      </c>
      <c r="B1933" s="5" t="s">
        <v>15259</v>
      </c>
      <c r="C1933" s="4">
        <v>45847</v>
      </c>
      <c r="D1933" s="4">
        <v>45853</v>
      </c>
      <c r="E1933" s="5" t="s">
        <v>17252</v>
      </c>
      <c r="F1933" s="5" t="s">
        <v>19241</v>
      </c>
      <c r="G1933" s="5" t="s">
        <v>908</v>
      </c>
      <c r="H1933" s="5">
        <v>1</v>
      </c>
      <c r="I1933" s="8" t="s">
        <v>9054</v>
      </c>
      <c r="J1933" s="8" t="s">
        <v>11103</v>
      </c>
      <c r="K1933" s="8" t="s">
        <v>2900</v>
      </c>
      <c r="L1933" s="8" t="s">
        <v>13154</v>
      </c>
      <c r="M1933" s="8" t="s">
        <v>4950</v>
      </c>
      <c r="N1933" s="8" t="s">
        <v>7001</v>
      </c>
      <c r="O1933" s="5" t="s">
        <v>153</v>
      </c>
      <c r="P1933" s="4">
        <v>45868</v>
      </c>
      <c r="Q1933" s="15">
        <v>28.5</v>
      </c>
      <c r="R1933" s="15">
        <v>14.38</v>
      </c>
      <c r="S1933" s="15">
        <v>0</v>
      </c>
      <c r="T1933"/>
    </row>
    <row r="1934" spans="1:20">
      <c r="A1934" s="5" t="s">
        <v>36</v>
      </c>
      <c r="B1934" s="5" t="s">
        <v>15260</v>
      </c>
      <c r="C1934" s="4">
        <v>45847</v>
      </c>
      <c r="D1934" s="4">
        <v>45853</v>
      </c>
      <c r="E1934" s="5" t="s">
        <v>17253</v>
      </c>
      <c r="F1934" s="5" t="s">
        <v>19242</v>
      </c>
      <c r="G1934" s="5" t="s">
        <v>908</v>
      </c>
      <c r="H1934" s="5">
        <v>1</v>
      </c>
      <c r="I1934" s="8" t="s">
        <v>9055</v>
      </c>
      <c r="J1934" s="8" t="s">
        <v>11104</v>
      </c>
      <c r="K1934" s="8" t="s">
        <v>2901</v>
      </c>
      <c r="L1934" s="8" t="s">
        <v>13155</v>
      </c>
      <c r="M1934" s="8" t="s">
        <v>4951</v>
      </c>
      <c r="N1934" s="8" t="s">
        <v>7002</v>
      </c>
      <c r="O1934" s="5" t="s">
        <v>153</v>
      </c>
      <c r="P1934" s="4">
        <v>45868</v>
      </c>
      <c r="Q1934" s="15">
        <v>28.5</v>
      </c>
      <c r="R1934" s="15">
        <v>18.25</v>
      </c>
      <c r="S1934" s="15">
        <v>0</v>
      </c>
      <c r="T1934"/>
    </row>
    <row r="1935" spans="1:20">
      <c r="A1935" s="5" t="s">
        <v>36</v>
      </c>
      <c r="B1935" s="5" t="s">
        <v>15261</v>
      </c>
      <c r="C1935" s="4">
        <v>45847</v>
      </c>
      <c r="D1935" s="4">
        <v>45853</v>
      </c>
      <c r="E1935" s="5" t="s">
        <v>17254</v>
      </c>
      <c r="F1935" s="5" t="s">
        <v>19243</v>
      </c>
      <c r="G1935" s="5" t="s">
        <v>908</v>
      </c>
      <c r="H1935" s="5">
        <v>1</v>
      </c>
      <c r="I1935" s="8" t="s">
        <v>9056</v>
      </c>
      <c r="J1935" s="8" t="s">
        <v>11105</v>
      </c>
      <c r="K1935" s="8" t="s">
        <v>2902</v>
      </c>
      <c r="L1935" s="8" t="s">
        <v>13156</v>
      </c>
      <c r="M1935" s="8" t="s">
        <v>4952</v>
      </c>
      <c r="N1935" s="8" t="s">
        <v>7003</v>
      </c>
      <c r="O1935" s="5" t="s">
        <v>153</v>
      </c>
      <c r="P1935" s="4">
        <v>45868</v>
      </c>
      <c r="Q1935" s="15">
        <v>28.5</v>
      </c>
      <c r="R1935" s="15">
        <v>20.03</v>
      </c>
      <c r="S1935" s="15">
        <v>0</v>
      </c>
      <c r="T1935"/>
    </row>
    <row r="1936" spans="1:20">
      <c r="A1936" s="5" t="s">
        <v>36</v>
      </c>
      <c r="B1936" s="5" t="s">
        <v>15262</v>
      </c>
      <c r="C1936" s="4">
        <v>45847</v>
      </c>
      <c r="D1936" s="4">
        <v>45853</v>
      </c>
      <c r="E1936" s="5" t="s">
        <v>17255</v>
      </c>
      <c r="F1936" s="5" t="s">
        <v>19244</v>
      </c>
      <c r="G1936" s="5" t="s">
        <v>908</v>
      </c>
      <c r="H1936" s="5">
        <v>1</v>
      </c>
      <c r="I1936" s="8" t="s">
        <v>9057</v>
      </c>
      <c r="J1936" s="8" t="s">
        <v>11106</v>
      </c>
      <c r="K1936" s="8" t="s">
        <v>2903</v>
      </c>
      <c r="L1936" s="8" t="s">
        <v>13157</v>
      </c>
      <c r="M1936" s="8" t="s">
        <v>4953</v>
      </c>
      <c r="N1936" s="8" t="s">
        <v>7004</v>
      </c>
      <c r="O1936" s="5" t="s">
        <v>153</v>
      </c>
      <c r="P1936" s="4">
        <v>45868</v>
      </c>
      <c r="Q1936" s="15">
        <v>28.5</v>
      </c>
      <c r="R1936" s="15">
        <v>19.579999999999998</v>
      </c>
      <c r="S1936" s="15">
        <v>0</v>
      </c>
      <c r="T1936"/>
    </row>
    <row r="1937" spans="1:20">
      <c r="A1937" s="5" t="s">
        <v>36</v>
      </c>
      <c r="B1937" s="5" t="s">
        <v>15263</v>
      </c>
      <c r="C1937" s="4">
        <v>45848</v>
      </c>
      <c r="D1937" s="4">
        <v>45852</v>
      </c>
      <c r="E1937" s="5" t="s">
        <v>17256</v>
      </c>
      <c r="F1937" s="5" t="s">
        <v>19245</v>
      </c>
      <c r="G1937" s="5" t="s">
        <v>902</v>
      </c>
      <c r="H1937" s="5">
        <v>1</v>
      </c>
      <c r="I1937" s="8" t="s">
        <v>9058</v>
      </c>
      <c r="J1937" s="8" t="s">
        <v>11107</v>
      </c>
      <c r="K1937" s="8" t="s">
        <v>2904</v>
      </c>
      <c r="L1937" s="8" t="s">
        <v>13158</v>
      </c>
      <c r="M1937" s="8" t="s">
        <v>4954</v>
      </c>
      <c r="N1937" s="8" t="s">
        <v>7005</v>
      </c>
      <c r="O1937" s="5" t="s">
        <v>151</v>
      </c>
      <c r="P1937" s="4">
        <v>45862</v>
      </c>
      <c r="Q1937" s="15">
        <v>23.9</v>
      </c>
      <c r="R1937" s="15">
        <v>16.98</v>
      </c>
      <c r="S1937" s="15">
        <v>0</v>
      </c>
      <c r="T1937"/>
    </row>
    <row r="1938" spans="1:20">
      <c r="A1938" s="5" t="s">
        <v>36</v>
      </c>
      <c r="B1938" s="5" t="s">
        <v>15264</v>
      </c>
      <c r="C1938" s="4">
        <v>45848</v>
      </c>
      <c r="D1938" s="4">
        <v>45852</v>
      </c>
      <c r="E1938" s="5" t="s">
        <v>17257</v>
      </c>
      <c r="F1938" s="5" t="s">
        <v>19246</v>
      </c>
      <c r="G1938" s="5" t="s">
        <v>902</v>
      </c>
      <c r="H1938" s="5">
        <v>1</v>
      </c>
      <c r="I1938" s="8" t="s">
        <v>9059</v>
      </c>
      <c r="J1938" s="8" t="s">
        <v>11108</v>
      </c>
      <c r="K1938" s="8" t="s">
        <v>2905</v>
      </c>
      <c r="L1938" s="8" t="s">
        <v>13159</v>
      </c>
      <c r="M1938" s="8" t="s">
        <v>4955</v>
      </c>
      <c r="N1938" s="8" t="s">
        <v>7006</v>
      </c>
      <c r="O1938" s="5" t="s">
        <v>151</v>
      </c>
      <c r="P1938" s="4">
        <v>45875</v>
      </c>
      <c r="Q1938" s="15">
        <v>23.9</v>
      </c>
      <c r="R1938" s="15">
        <v>21.23</v>
      </c>
      <c r="S1938" s="15">
        <v>5</v>
      </c>
      <c r="T1938"/>
    </row>
    <row r="1939" spans="1:20">
      <c r="A1939" s="5" t="s">
        <v>36</v>
      </c>
      <c r="B1939" s="5" t="s">
        <v>15265</v>
      </c>
      <c r="C1939" s="4">
        <v>45848</v>
      </c>
      <c r="D1939" s="4">
        <v>45853</v>
      </c>
      <c r="E1939" s="5" t="s">
        <v>17258</v>
      </c>
      <c r="F1939" s="5" t="s">
        <v>19247</v>
      </c>
      <c r="G1939" s="5" t="s">
        <v>908</v>
      </c>
      <c r="H1939" s="5">
        <v>2</v>
      </c>
      <c r="I1939" s="8" t="s">
        <v>9060</v>
      </c>
      <c r="J1939" s="8" t="s">
        <v>11109</v>
      </c>
      <c r="K1939" s="8" t="s">
        <v>2906</v>
      </c>
      <c r="L1939" s="8" t="s">
        <v>13160</v>
      </c>
      <c r="M1939" s="8" t="s">
        <v>4956</v>
      </c>
      <c r="N1939" s="8" t="s">
        <v>7007</v>
      </c>
      <c r="O1939" s="5" t="s">
        <v>153</v>
      </c>
      <c r="P1939" s="4">
        <v>45869</v>
      </c>
      <c r="Q1939" s="15">
        <v>57</v>
      </c>
      <c r="R1939" s="15">
        <v>35.86</v>
      </c>
      <c r="S1939" s="15">
        <v>0</v>
      </c>
      <c r="T1939"/>
    </row>
    <row r="1940" spans="1:20">
      <c r="A1940" s="5" t="s">
        <v>36</v>
      </c>
      <c r="B1940" s="5" t="s">
        <v>15266</v>
      </c>
      <c r="C1940" s="4">
        <v>45848</v>
      </c>
      <c r="D1940" s="4">
        <v>45853</v>
      </c>
      <c r="E1940" s="5" t="s">
        <v>17259</v>
      </c>
      <c r="F1940" s="5" t="s">
        <v>19248</v>
      </c>
      <c r="G1940" s="5" t="s">
        <v>908</v>
      </c>
      <c r="H1940" s="5">
        <v>1</v>
      </c>
      <c r="I1940" s="8" t="s">
        <v>9061</v>
      </c>
      <c r="J1940" s="8" t="s">
        <v>11110</v>
      </c>
      <c r="K1940" s="8" t="s">
        <v>2907</v>
      </c>
      <c r="L1940" s="8" t="s">
        <v>13161</v>
      </c>
      <c r="M1940" s="8" t="s">
        <v>4957</v>
      </c>
      <c r="N1940" s="8" t="s">
        <v>7008</v>
      </c>
      <c r="O1940" s="5" t="s">
        <v>153</v>
      </c>
      <c r="P1940" s="4">
        <v>45869</v>
      </c>
      <c r="Q1940" s="15">
        <v>28.5</v>
      </c>
      <c r="R1940" s="15">
        <v>18.38</v>
      </c>
      <c r="S1940" s="15">
        <v>1</v>
      </c>
      <c r="T1940"/>
    </row>
    <row r="1941" spans="1:20">
      <c r="A1941" s="5" t="s">
        <v>36</v>
      </c>
      <c r="B1941" s="5" t="s">
        <v>15267</v>
      </c>
      <c r="C1941" s="4">
        <v>45848</v>
      </c>
      <c r="D1941" s="4">
        <v>45853</v>
      </c>
      <c r="E1941" s="5" t="s">
        <v>17260</v>
      </c>
      <c r="F1941" s="5" t="s">
        <v>19249</v>
      </c>
      <c r="G1941" s="5" t="s">
        <v>908</v>
      </c>
      <c r="H1941" s="5">
        <v>2</v>
      </c>
      <c r="I1941" s="8" t="s">
        <v>9062</v>
      </c>
      <c r="J1941" s="8" t="s">
        <v>11111</v>
      </c>
      <c r="K1941" s="8" t="s">
        <v>2908</v>
      </c>
      <c r="L1941" s="8" t="s">
        <v>13162</v>
      </c>
      <c r="M1941" s="8" t="s">
        <v>4958</v>
      </c>
      <c r="N1941" s="8" t="s">
        <v>7009</v>
      </c>
      <c r="O1941" s="5" t="s">
        <v>153</v>
      </c>
      <c r="P1941" s="4">
        <v>45869</v>
      </c>
      <c r="Q1941" s="15">
        <v>57</v>
      </c>
      <c r="R1941" s="15">
        <v>36.32</v>
      </c>
      <c r="S1941" s="15">
        <v>0</v>
      </c>
      <c r="T1941"/>
    </row>
    <row r="1942" spans="1:20">
      <c r="A1942" s="5" t="s">
        <v>36</v>
      </c>
      <c r="B1942" s="5" t="s">
        <v>15268</v>
      </c>
      <c r="C1942" s="4">
        <v>45849</v>
      </c>
      <c r="D1942" s="4">
        <v>45853</v>
      </c>
      <c r="E1942" s="5" t="s">
        <v>17261</v>
      </c>
      <c r="F1942" s="5" t="s">
        <v>19250</v>
      </c>
      <c r="G1942" s="5" t="s">
        <v>908</v>
      </c>
      <c r="H1942" s="5">
        <v>1</v>
      </c>
      <c r="I1942" s="8" t="s">
        <v>9063</v>
      </c>
      <c r="J1942" s="8" t="s">
        <v>11112</v>
      </c>
      <c r="K1942" s="8" t="s">
        <v>2909</v>
      </c>
      <c r="L1942" s="8" t="s">
        <v>13163</v>
      </c>
      <c r="M1942" s="8" t="s">
        <v>4959</v>
      </c>
      <c r="N1942" s="8" t="s">
        <v>7010</v>
      </c>
      <c r="O1942" s="5" t="s">
        <v>153</v>
      </c>
      <c r="P1942" s="4">
        <v>45863</v>
      </c>
      <c r="Q1942" s="15">
        <v>28.5</v>
      </c>
      <c r="R1942" s="15">
        <v>17.55</v>
      </c>
      <c r="S1942" s="15">
        <v>0</v>
      </c>
      <c r="T1942"/>
    </row>
    <row r="1943" spans="1:20">
      <c r="A1943" s="5" t="s">
        <v>36</v>
      </c>
      <c r="B1943" s="5" t="s">
        <v>15269</v>
      </c>
      <c r="C1943" s="4">
        <v>45849</v>
      </c>
      <c r="D1943" s="4">
        <v>45853</v>
      </c>
      <c r="E1943" s="5" t="s">
        <v>17262</v>
      </c>
      <c r="F1943" s="5" t="s">
        <v>19251</v>
      </c>
      <c r="G1943" s="5" t="s">
        <v>894</v>
      </c>
      <c r="H1943" s="5">
        <v>1</v>
      </c>
      <c r="I1943" s="8" t="s">
        <v>9064</v>
      </c>
      <c r="J1943" s="8" t="s">
        <v>11113</v>
      </c>
      <c r="K1943" s="8" t="s">
        <v>2910</v>
      </c>
      <c r="L1943" s="8" t="s">
        <v>13164</v>
      </c>
      <c r="M1943" s="8" t="s">
        <v>4960</v>
      </c>
      <c r="N1943" s="8" t="s">
        <v>7011</v>
      </c>
      <c r="O1943" s="5" t="s">
        <v>154</v>
      </c>
      <c r="P1943" s="4">
        <v>45863</v>
      </c>
      <c r="Q1943" s="15">
        <v>49.99</v>
      </c>
      <c r="R1943" s="15">
        <v>0</v>
      </c>
      <c r="S1943" s="15">
        <v>0</v>
      </c>
      <c r="T1943"/>
    </row>
    <row r="1944" spans="1:20">
      <c r="A1944" s="5" t="s">
        <v>36</v>
      </c>
      <c r="B1944" s="5" t="s">
        <v>15270</v>
      </c>
      <c r="C1944" s="4">
        <v>45849</v>
      </c>
      <c r="D1944" s="4">
        <v>45853</v>
      </c>
      <c r="E1944" s="5" t="s">
        <v>17263</v>
      </c>
      <c r="F1944" s="5" t="s">
        <v>19252</v>
      </c>
      <c r="G1944" s="5" t="s">
        <v>908</v>
      </c>
      <c r="H1944" s="5">
        <v>1</v>
      </c>
      <c r="I1944" s="8" t="s">
        <v>9065</v>
      </c>
      <c r="J1944" s="8" t="s">
        <v>11114</v>
      </c>
      <c r="K1944" s="8" t="s">
        <v>2911</v>
      </c>
      <c r="L1944" s="8" t="s">
        <v>13165</v>
      </c>
      <c r="M1944" s="8" t="s">
        <v>4961</v>
      </c>
      <c r="N1944" s="8" t="s">
        <v>7012</v>
      </c>
      <c r="O1944" s="5" t="s">
        <v>153</v>
      </c>
      <c r="P1944" s="4">
        <v>45863</v>
      </c>
      <c r="Q1944" s="15">
        <v>28.5</v>
      </c>
      <c r="R1944" s="15">
        <v>17.600000000000001</v>
      </c>
      <c r="S1944" s="15">
        <v>0</v>
      </c>
      <c r="T1944"/>
    </row>
    <row r="1945" spans="1:20">
      <c r="A1945" s="5" t="s">
        <v>36</v>
      </c>
      <c r="B1945" s="5" t="s">
        <v>15271</v>
      </c>
      <c r="C1945" s="4">
        <v>45849</v>
      </c>
      <c r="D1945" s="4">
        <v>45853</v>
      </c>
      <c r="E1945" s="5" t="s">
        <v>17264</v>
      </c>
      <c r="F1945" s="5" t="s">
        <v>19253</v>
      </c>
      <c r="G1945" s="5" t="s">
        <v>908</v>
      </c>
      <c r="H1945" s="5">
        <v>1</v>
      </c>
      <c r="I1945" s="8" t="s">
        <v>9066</v>
      </c>
      <c r="J1945" s="8" t="s">
        <v>11115</v>
      </c>
      <c r="K1945" s="8" t="s">
        <v>2912</v>
      </c>
      <c r="L1945" s="8" t="s">
        <v>13166</v>
      </c>
      <c r="M1945" s="8" t="s">
        <v>4962</v>
      </c>
      <c r="N1945" s="8" t="s">
        <v>7013</v>
      </c>
      <c r="O1945" s="5" t="s">
        <v>153</v>
      </c>
      <c r="P1945" s="4">
        <v>45863</v>
      </c>
      <c r="Q1945" s="15">
        <v>28.5</v>
      </c>
      <c r="R1945" s="15">
        <v>23.36</v>
      </c>
      <c r="S1945" s="15">
        <v>0</v>
      </c>
      <c r="T1945"/>
    </row>
    <row r="1946" spans="1:20">
      <c r="A1946" s="5" t="s">
        <v>36</v>
      </c>
      <c r="B1946" s="5" t="s">
        <v>15272</v>
      </c>
      <c r="C1946" s="4">
        <v>45849</v>
      </c>
      <c r="D1946" s="4">
        <v>45853</v>
      </c>
      <c r="E1946" s="5" t="s">
        <v>17265</v>
      </c>
      <c r="F1946" s="5" t="s">
        <v>19254</v>
      </c>
      <c r="G1946" s="5" t="s">
        <v>908</v>
      </c>
      <c r="H1946" s="5">
        <v>1</v>
      </c>
      <c r="I1946" s="8" t="s">
        <v>9067</v>
      </c>
      <c r="J1946" s="8" t="s">
        <v>11116</v>
      </c>
      <c r="K1946" s="8" t="s">
        <v>2913</v>
      </c>
      <c r="L1946" s="8" t="s">
        <v>13167</v>
      </c>
      <c r="M1946" s="8" t="s">
        <v>4963</v>
      </c>
      <c r="N1946" s="8" t="s">
        <v>7014</v>
      </c>
      <c r="O1946" s="5" t="s">
        <v>153</v>
      </c>
      <c r="P1946" s="4">
        <v>45864</v>
      </c>
      <c r="Q1946" s="15">
        <v>28.5</v>
      </c>
      <c r="R1946" s="15">
        <v>21.96</v>
      </c>
      <c r="S1946" s="15">
        <v>0</v>
      </c>
      <c r="T1946"/>
    </row>
    <row r="1947" spans="1:20">
      <c r="A1947" s="5" t="s">
        <v>36</v>
      </c>
      <c r="B1947" s="5" t="s">
        <v>15273</v>
      </c>
      <c r="C1947" s="4">
        <v>45849</v>
      </c>
      <c r="D1947" s="4">
        <v>45854</v>
      </c>
      <c r="E1947" s="5" t="s">
        <v>17266</v>
      </c>
      <c r="F1947" s="5" t="s">
        <v>19255</v>
      </c>
      <c r="G1947" s="5" t="s">
        <v>908</v>
      </c>
      <c r="H1947" s="5">
        <v>1</v>
      </c>
      <c r="I1947" s="8" t="s">
        <v>9068</v>
      </c>
      <c r="J1947" s="8" t="s">
        <v>11117</v>
      </c>
      <c r="K1947" s="8" t="s">
        <v>2914</v>
      </c>
      <c r="L1947" s="8" t="s">
        <v>13168</v>
      </c>
      <c r="M1947" s="8" t="s">
        <v>4964</v>
      </c>
      <c r="N1947" s="8" t="s">
        <v>7015</v>
      </c>
      <c r="O1947" s="5" t="s">
        <v>153</v>
      </c>
      <c r="P1947" s="4">
        <v>45870</v>
      </c>
      <c r="Q1947" s="15">
        <v>28.5</v>
      </c>
      <c r="R1947" s="15">
        <v>24.57</v>
      </c>
      <c r="S1947" s="15">
        <v>0</v>
      </c>
      <c r="T1947"/>
    </row>
    <row r="1948" spans="1:20">
      <c r="A1948" s="5" t="s">
        <v>36</v>
      </c>
      <c r="B1948" s="5" t="s">
        <v>15274</v>
      </c>
      <c r="C1948" s="4">
        <v>45849</v>
      </c>
      <c r="D1948" s="4">
        <v>45855</v>
      </c>
      <c r="E1948" s="5" t="s">
        <v>17267</v>
      </c>
      <c r="F1948" s="5" t="s">
        <v>19256</v>
      </c>
      <c r="G1948" s="5" t="s">
        <v>908</v>
      </c>
      <c r="H1948" s="5">
        <v>1</v>
      </c>
      <c r="I1948" s="8" t="s">
        <v>9069</v>
      </c>
      <c r="J1948" s="8" t="s">
        <v>11118</v>
      </c>
      <c r="K1948" s="8" t="s">
        <v>2915</v>
      </c>
      <c r="L1948" s="8" t="s">
        <v>13169</v>
      </c>
      <c r="M1948" s="8" t="s">
        <v>4965</v>
      </c>
      <c r="N1948" s="8" t="s">
        <v>7016</v>
      </c>
      <c r="O1948" s="5" t="s">
        <v>153</v>
      </c>
      <c r="P1948" s="4">
        <v>45868</v>
      </c>
      <c r="Q1948" s="15">
        <v>28.5</v>
      </c>
      <c r="R1948" s="15">
        <v>22.58</v>
      </c>
      <c r="S1948" s="15">
        <v>0</v>
      </c>
      <c r="T1948"/>
    </row>
    <row r="1949" spans="1:20">
      <c r="A1949" s="5" t="s">
        <v>36</v>
      </c>
      <c r="B1949" s="5" t="s">
        <v>15275</v>
      </c>
      <c r="C1949" s="4">
        <v>45849</v>
      </c>
      <c r="D1949" s="4">
        <v>45855</v>
      </c>
      <c r="E1949" s="5" t="s">
        <v>17268</v>
      </c>
      <c r="F1949" s="5" t="s">
        <v>19257</v>
      </c>
      <c r="G1949" s="5" t="s">
        <v>908</v>
      </c>
      <c r="H1949" s="5">
        <v>1</v>
      </c>
      <c r="I1949" s="8" t="s">
        <v>9070</v>
      </c>
      <c r="J1949" s="8" t="s">
        <v>11119</v>
      </c>
      <c r="K1949" s="8" t="s">
        <v>2916</v>
      </c>
      <c r="L1949" s="8" t="s">
        <v>13170</v>
      </c>
      <c r="M1949" s="8" t="s">
        <v>4966</v>
      </c>
      <c r="N1949" s="8" t="s">
        <v>7017</v>
      </c>
      <c r="O1949" s="5" t="s">
        <v>153</v>
      </c>
      <c r="P1949" s="4">
        <v>45864</v>
      </c>
      <c r="Q1949" s="15">
        <v>28.5</v>
      </c>
      <c r="R1949" s="15">
        <v>23.21</v>
      </c>
      <c r="S1949" s="15">
        <v>0</v>
      </c>
      <c r="T1949"/>
    </row>
    <row r="1950" spans="1:20">
      <c r="A1950" s="5" t="s">
        <v>36</v>
      </c>
      <c r="B1950" s="5" t="s">
        <v>15276</v>
      </c>
      <c r="C1950" s="4">
        <v>45849</v>
      </c>
      <c r="D1950" s="4">
        <v>45855</v>
      </c>
      <c r="E1950" s="5" t="s">
        <v>17269</v>
      </c>
      <c r="F1950" s="5" t="s">
        <v>19258</v>
      </c>
      <c r="G1950" s="5" t="s">
        <v>908</v>
      </c>
      <c r="H1950" s="5">
        <v>1</v>
      </c>
      <c r="I1950" s="8" t="s">
        <v>9071</v>
      </c>
      <c r="J1950" s="8" t="s">
        <v>11120</v>
      </c>
      <c r="K1950" s="8" t="s">
        <v>2917</v>
      </c>
      <c r="L1950" s="8" t="s">
        <v>13171</v>
      </c>
      <c r="M1950" s="8" t="s">
        <v>4967</v>
      </c>
      <c r="N1950" s="8" t="s">
        <v>7018</v>
      </c>
      <c r="O1950" s="5" t="s">
        <v>153</v>
      </c>
      <c r="P1950" s="4">
        <v>45864</v>
      </c>
      <c r="Q1950" s="15">
        <v>28.5</v>
      </c>
      <c r="R1950" s="15">
        <v>23.49</v>
      </c>
      <c r="S1950" s="15">
        <v>0</v>
      </c>
      <c r="T1950"/>
    </row>
    <row r="1951" spans="1:20">
      <c r="A1951" s="5" t="s">
        <v>108</v>
      </c>
      <c r="B1951" s="5" t="s">
        <v>15277</v>
      </c>
      <c r="C1951" s="4">
        <v>45849</v>
      </c>
      <c r="D1951" s="4">
        <v>45854</v>
      </c>
      <c r="E1951" s="5" t="s">
        <v>17270</v>
      </c>
      <c r="F1951" s="5" t="s">
        <v>19259</v>
      </c>
      <c r="G1951" s="5" t="s">
        <v>894</v>
      </c>
      <c r="H1951" s="5">
        <v>1</v>
      </c>
      <c r="I1951" s="8" t="s">
        <v>9072</v>
      </c>
      <c r="J1951" s="8" t="s">
        <v>11121</v>
      </c>
      <c r="K1951" s="8" t="s">
        <v>2918</v>
      </c>
      <c r="L1951" s="8" t="s">
        <v>13172</v>
      </c>
      <c r="M1951" s="8" t="s">
        <v>4968</v>
      </c>
      <c r="N1951" s="8" t="s">
        <v>7019</v>
      </c>
      <c r="O1951" s="5" t="s">
        <v>155</v>
      </c>
      <c r="P1951" s="4">
        <v>45875</v>
      </c>
      <c r="Q1951" s="15">
        <v>54.99</v>
      </c>
      <c r="R1951" s="15">
        <v>0</v>
      </c>
      <c r="S1951" s="15">
        <v>0</v>
      </c>
      <c r="T1951"/>
    </row>
    <row r="1952" spans="1:20">
      <c r="A1952" s="5" t="s">
        <v>36</v>
      </c>
      <c r="B1952" s="5" t="s">
        <v>15278</v>
      </c>
      <c r="C1952" s="4">
        <v>45850</v>
      </c>
      <c r="D1952" s="4">
        <v>45855</v>
      </c>
      <c r="E1952" s="5" t="s">
        <v>17271</v>
      </c>
      <c r="F1952" s="5" t="s">
        <v>19260</v>
      </c>
      <c r="G1952" s="5" t="s">
        <v>908</v>
      </c>
      <c r="H1952" s="5">
        <v>1</v>
      </c>
      <c r="I1952" s="8" t="s">
        <v>9073</v>
      </c>
      <c r="J1952" s="8" t="s">
        <v>11122</v>
      </c>
      <c r="K1952" s="8" t="s">
        <v>2919</v>
      </c>
      <c r="L1952" s="8" t="s">
        <v>13173</v>
      </c>
      <c r="M1952" s="8" t="s">
        <v>4969</v>
      </c>
      <c r="N1952" s="8" t="s">
        <v>7020</v>
      </c>
      <c r="O1952" s="5" t="s">
        <v>153</v>
      </c>
      <c r="P1952" s="4">
        <v>45864</v>
      </c>
      <c r="Q1952" s="15">
        <v>28.5</v>
      </c>
      <c r="R1952" s="15">
        <v>22.58</v>
      </c>
      <c r="S1952" s="15">
        <v>0</v>
      </c>
      <c r="T1952"/>
    </row>
    <row r="1953" spans="1:20">
      <c r="A1953" s="5" t="s">
        <v>36</v>
      </c>
      <c r="B1953" s="5" t="s">
        <v>15279</v>
      </c>
      <c r="C1953" s="4">
        <v>45850</v>
      </c>
      <c r="D1953" s="4">
        <v>45855</v>
      </c>
      <c r="E1953" s="5" t="s">
        <v>17272</v>
      </c>
      <c r="F1953" s="5" t="s">
        <v>19261</v>
      </c>
      <c r="G1953" s="5" t="s">
        <v>908</v>
      </c>
      <c r="H1953" s="5">
        <v>1</v>
      </c>
      <c r="I1953" s="8" t="s">
        <v>9074</v>
      </c>
      <c r="J1953" s="8" t="s">
        <v>11123</v>
      </c>
      <c r="K1953" s="8" t="s">
        <v>2920</v>
      </c>
      <c r="L1953" s="8" t="s">
        <v>13174</v>
      </c>
      <c r="M1953" s="8" t="s">
        <v>4970</v>
      </c>
      <c r="N1953" s="8" t="s">
        <v>7021</v>
      </c>
      <c r="O1953" s="5" t="s">
        <v>153</v>
      </c>
      <c r="P1953" s="4">
        <v>45868</v>
      </c>
      <c r="Q1953" s="15">
        <v>28.5</v>
      </c>
      <c r="R1953" s="15">
        <v>22.58</v>
      </c>
      <c r="S1953" s="15">
        <v>0</v>
      </c>
      <c r="T1953"/>
    </row>
    <row r="1954" spans="1:20">
      <c r="A1954" s="5" t="s">
        <v>36</v>
      </c>
      <c r="B1954" s="5" t="s">
        <v>15280</v>
      </c>
      <c r="C1954" s="4">
        <v>45850</v>
      </c>
      <c r="D1954" s="4">
        <v>45855</v>
      </c>
      <c r="E1954" s="5" t="s">
        <v>17273</v>
      </c>
      <c r="F1954" s="5" t="s">
        <v>19262</v>
      </c>
      <c r="G1954" s="5" t="s">
        <v>908</v>
      </c>
      <c r="H1954" s="5">
        <v>1</v>
      </c>
      <c r="I1954" s="8" t="s">
        <v>9075</v>
      </c>
      <c r="J1954" s="8" t="s">
        <v>11124</v>
      </c>
      <c r="K1954" s="8" t="s">
        <v>2921</v>
      </c>
      <c r="L1954" s="8" t="s">
        <v>13175</v>
      </c>
      <c r="M1954" s="8" t="s">
        <v>4971</v>
      </c>
      <c r="N1954" s="8" t="s">
        <v>7022</v>
      </c>
      <c r="O1954" s="5" t="s">
        <v>153</v>
      </c>
      <c r="P1954" s="4">
        <v>45870</v>
      </c>
      <c r="Q1954" s="15">
        <v>28.5</v>
      </c>
      <c r="R1954" s="15">
        <v>22.58</v>
      </c>
      <c r="S1954" s="15">
        <v>0</v>
      </c>
      <c r="T1954"/>
    </row>
    <row r="1955" spans="1:20">
      <c r="A1955" s="5" t="s">
        <v>36</v>
      </c>
      <c r="B1955" s="5" t="s">
        <v>15281</v>
      </c>
      <c r="C1955" s="4">
        <v>45850</v>
      </c>
      <c r="D1955" s="4">
        <v>45855</v>
      </c>
      <c r="E1955" s="5" t="s">
        <v>17274</v>
      </c>
      <c r="F1955" s="5" t="s">
        <v>19263</v>
      </c>
      <c r="G1955" s="5" t="s">
        <v>908</v>
      </c>
      <c r="H1955" s="5">
        <v>1</v>
      </c>
      <c r="I1955" s="8" t="s">
        <v>9076</v>
      </c>
      <c r="J1955" s="8" t="s">
        <v>11125</v>
      </c>
      <c r="K1955" s="8" t="s">
        <v>2922</v>
      </c>
      <c r="L1955" s="8" t="s">
        <v>13176</v>
      </c>
      <c r="M1955" s="8" t="s">
        <v>4972</v>
      </c>
      <c r="N1955" s="8" t="s">
        <v>7023</v>
      </c>
      <c r="O1955" s="5" t="s">
        <v>153</v>
      </c>
      <c r="P1955" s="4">
        <v>45864</v>
      </c>
      <c r="Q1955" s="15">
        <v>28.5</v>
      </c>
      <c r="R1955" s="15">
        <v>22.58</v>
      </c>
      <c r="S1955" s="15">
        <v>0</v>
      </c>
      <c r="T1955"/>
    </row>
    <row r="1956" spans="1:20">
      <c r="A1956" s="5" t="s">
        <v>36</v>
      </c>
      <c r="B1956" s="5" t="s">
        <v>15282</v>
      </c>
      <c r="C1956" s="4">
        <v>45850</v>
      </c>
      <c r="D1956" s="4">
        <v>45855</v>
      </c>
      <c r="E1956" s="5" t="s">
        <v>17275</v>
      </c>
      <c r="F1956" s="5" t="s">
        <v>19264</v>
      </c>
      <c r="G1956" s="5" t="s">
        <v>908</v>
      </c>
      <c r="H1956" s="5">
        <v>1</v>
      </c>
      <c r="I1956" s="8" t="s">
        <v>9077</v>
      </c>
      <c r="J1956" s="8" t="s">
        <v>11126</v>
      </c>
      <c r="K1956" s="8" t="s">
        <v>2923</v>
      </c>
      <c r="L1956" s="8" t="s">
        <v>13177</v>
      </c>
      <c r="M1956" s="8" t="s">
        <v>4973</v>
      </c>
      <c r="N1956" s="8" t="s">
        <v>7024</v>
      </c>
      <c r="O1956" s="5" t="s">
        <v>153</v>
      </c>
      <c r="P1956" s="4">
        <v>45864</v>
      </c>
      <c r="Q1956" s="15">
        <v>28.5</v>
      </c>
      <c r="R1956" s="15">
        <v>22.58</v>
      </c>
      <c r="S1956" s="15">
        <v>0</v>
      </c>
      <c r="T1956"/>
    </row>
    <row r="1957" spans="1:20">
      <c r="A1957" s="5" t="s">
        <v>36</v>
      </c>
      <c r="B1957" s="5" t="s">
        <v>15283</v>
      </c>
      <c r="C1957" s="4">
        <v>45850</v>
      </c>
      <c r="D1957" s="4">
        <v>45855</v>
      </c>
      <c r="E1957" s="5" t="s">
        <v>17276</v>
      </c>
      <c r="F1957" s="5" t="s">
        <v>19265</v>
      </c>
      <c r="G1957" s="5" t="s">
        <v>908</v>
      </c>
      <c r="H1957" s="5">
        <v>1</v>
      </c>
      <c r="I1957" s="8" t="s">
        <v>9078</v>
      </c>
      <c r="J1957" s="8" t="s">
        <v>11127</v>
      </c>
      <c r="K1957" s="8" t="s">
        <v>2924</v>
      </c>
      <c r="L1957" s="8" t="s">
        <v>13178</v>
      </c>
      <c r="M1957" s="8" t="s">
        <v>4974</v>
      </c>
      <c r="N1957" s="8" t="s">
        <v>7025</v>
      </c>
      <c r="O1957" s="5" t="s">
        <v>153</v>
      </c>
      <c r="P1957" s="4">
        <v>45864</v>
      </c>
      <c r="Q1957" s="15">
        <v>28.5</v>
      </c>
      <c r="R1957" s="15">
        <v>23.21</v>
      </c>
      <c r="S1957" s="15">
        <v>0</v>
      </c>
      <c r="T1957"/>
    </row>
    <row r="1958" spans="1:20">
      <c r="A1958" s="5" t="s">
        <v>36</v>
      </c>
      <c r="B1958" s="5" t="s">
        <v>15284</v>
      </c>
      <c r="C1958" s="4">
        <v>45850</v>
      </c>
      <c r="D1958" s="4">
        <v>45855</v>
      </c>
      <c r="E1958" s="5" t="s">
        <v>17277</v>
      </c>
      <c r="F1958" s="5" t="s">
        <v>19266</v>
      </c>
      <c r="G1958" s="5" t="s">
        <v>908</v>
      </c>
      <c r="H1958" s="5">
        <v>1</v>
      </c>
      <c r="I1958" s="8" t="s">
        <v>9079</v>
      </c>
      <c r="J1958" s="8" t="s">
        <v>11128</v>
      </c>
      <c r="K1958" s="8" t="s">
        <v>2925</v>
      </c>
      <c r="L1958" s="8" t="s">
        <v>13179</v>
      </c>
      <c r="M1958" s="8" t="s">
        <v>4975</v>
      </c>
      <c r="N1958" s="8" t="s">
        <v>7026</v>
      </c>
      <c r="O1958" s="5" t="s">
        <v>153</v>
      </c>
      <c r="P1958" s="4">
        <v>45864</v>
      </c>
      <c r="Q1958" s="15">
        <v>28.5</v>
      </c>
      <c r="R1958" s="15">
        <v>22.58</v>
      </c>
      <c r="S1958" s="15">
        <v>0</v>
      </c>
      <c r="T1958"/>
    </row>
    <row r="1959" spans="1:20">
      <c r="A1959" s="5" t="s">
        <v>36</v>
      </c>
      <c r="B1959" s="5" t="s">
        <v>15285</v>
      </c>
      <c r="C1959" s="4">
        <v>45850</v>
      </c>
      <c r="D1959" s="4">
        <v>45855</v>
      </c>
      <c r="E1959" s="5" t="s">
        <v>17278</v>
      </c>
      <c r="F1959" s="5" t="s">
        <v>19267</v>
      </c>
      <c r="G1959" s="5" t="s">
        <v>908</v>
      </c>
      <c r="H1959" s="5">
        <v>1</v>
      </c>
      <c r="I1959" s="8" t="s">
        <v>9080</v>
      </c>
      <c r="J1959" s="8" t="s">
        <v>11129</v>
      </c>
      <c r="K1959" s="8" t="s">
        <v>2926</v>
      </c>
      <c r="L1959" s="8" t="s">
        <v>13180</v>
      </c>
      <c r="M1959" s="8" t="s">
        <v>4976</v>
      </c>
      <c r="N1959" s="8" t="s">
        <v>7027</v>
      </c>
      <c r="O1959" s="5" t="s">
        <v>153</v>
      </c>
      <c r="P1959" s="4">
        <v>45870</v>
      </c>
      <c r="Q1959" s="15">
        <v>28.5</v>
      </c>
      <c r="R1959" s="15">
        <v>23.49</v>
      </c>
      <c r="S1959" s="15">
        <v>0</v>
      </c>
      <c r="T1959"/>
    </row>
    <row r="1960" spans="1:20">
      <c r="A1960" s="5" t="s">
        <v>36</v>
      </c>
      <c r="B1960" s="5" t="s">
        <v>15286</v>
      </c>
      <c r="C1960" s="4">
        <v>45850</v>
      </c>
      <c r="D1960" s="4">
        <v>45855</v>
      </c>
      <c r="E1960" s="5" t="s">
        <v>17279</v>
      </c>
      <c r="F1960" s="5" t="s">
        <v>19268</v>
      </c>
      <c r="G1960" s="5" t="s">
        <v>908</v>
      </c>
      <c r="H1960" s="5">
        <v>1</v>
      </c>
      <c r="I1960" s="8" t="s">
        <v>9081</v>
      </c>
      <c r="J1960" s="8" t="s">
        <v>11130</v>
      </c>
      <c r="K1960" s="8" t="s">
        <v>2927</v>
      </c>
      <c r="L1960" s="8" t="s">
        <v>13181</v>
      </c>
      <c r="M1960" s="8" t="s">
        <v>4977</v>
      </c>
      <c r="N1960" s="8" t="s">
        <v>7028</v>
      </c>
      <c r="O1960" s="5" t="s">
        <v>153</v>
      </c>
      <c r="P1960" s="4">
        <v>45868</v>
      </c>
      <c r="Q1960" s="15">
        <v>28.5</v>
      </c>
      <c r="R1960" s="15">
        <v>22.58</v>
      </c>
      <c r="S1960" s="15">
        <v>0</v>
      </c>
      <c r="T1960"/>
    </row>
    <row r="1961" spans="1:20">
      <c r="A1961" s="5" t="s">
        <v>36</v>
      </c>
      <c r="B1961" s="5" t="s">
        <v>15287</v>
      </c>
      <c r="C1961" s="4">
        <v>45850</v>
      </c>
      <c r="D1961" s="4">
        <v>45855</v>
      </c>
      <c r="E1961" s="5" t="s">
        <v>17280</v>
      </c>
      <c r="F1961" s="5" t="s">
        <v>19269</v>
      </c>
      <c r="G1961" s="5" t="s">
        <v>908</v>
      </c>
      <c r="H1961" s="5">
        <v>1</v>
      </c>
      <c r="I1961" s="8" t="s">
        <v>9082</v>
      </c>
      <c r="J1961" s="8" t="s">
        <v>11131</v>
      </c>
      <c r="K1961" s="8" t="s">
        <v>2928</v>
      </c>
      <c r="L1961" s="8" t="s">
        <v>13182</v>
      </c>
      <c r="M1961" s="8" t="s">
        <v>4978</v>
      </c>
      <c r="N1961" s="8" t="s">
        <v>7029</v>
      </c>
      <c r="O1961" s="5" t="s">
        <v>153</v>
      </c>
      <c r="P1961" s="4">
        <v>45864</v>
      </c>
      <c r="Q1961" s="15">
        <v>28.5</v>
      </c>
      <c r="R1961" s="15">
        <v>23.43</v>
      </c>
      <c r="S1961" s="15">
        <v>0</v>
      </c>
      <c r="T1961"/>
    </row>
    <row r="1962" spans="1:20">
      <c r="A1962" s="5" t="s">
        <v>36</v>
      </c>
      <c r="B1962" s="5" t="s">
        <v>15288</v>
      </c>
      <c r="C1962" s="4">
        <v>45851</v>
      </c>
      <c r="D1962" s="4">
        <v>45856</v>
      </c>
      <c r="E1962" s="5" t="s">
        <v>17281</v>
      </c>
      <c r="F1962" s="5" t="s">
        <v>19270</v>
      </c>
      <c r="G1962" s="5" t="s">
        <v>908</v>
      </c>
      <c r="H1962" s="5">
        <v>1</v>
      </c>
      <c r="I1962" s="8" t="s">
        <v>9083</v>
      </c>
      <c r="J1962" s="8" t="s">
        <v>11132</v>
      </c>
      <c r="K1962" s="8" t="s">
        <v>2929</v>
      </c>
      <c r="L1962" s="8" t="s">
        <v>13183</v>
      </c>
      <c r="M1962" s="8" t="s">
        <v>4979</v>
      </c>
      <c r="N1962" s="8" t="s">
        <v>7030</v>
      </c>
      <c r="O1962" s="5" t="s">
        <v>153</v>
      </c>
      <c r="P1962" s="4">
        <v>45870</v>
      </c>
      <c r="Q1962" s="15">
        <v>28.5</v>
      </c>
      <c r="R1962" s="15">
        <v>22.58</v>
      </c>
      <c r="S1962" s="15">
        <v>0</v>
      </c>
      <c r="T1962"/>
    </row>
    <row r="1963" spans="1:20">
      <c r="A1963" s="5" t="s">
        <v>36</v>
      </c>
      <c r="B1963" s="5" t="s">
        <v>15289</v>
      </c>
      <c r="C1963" s="4">
        <v>45851</v>
      </c>
      <c r="D1963" s="4">
        <v>45855</v>
      </c>
      <c r="E1963" s="5" t="s">
        <v>17282</v>
      </c>
      <c r="F1963" s="5" t="s">
        <v>19271</v>
      </c>
      <c r="G1963" s="5" t="s">
        <v>908</v>
      </c>
      <c r="H1963" s="5">
        <v>1</v>
      </c>
      <c r="I1963" s="8" t="s">
        <v>9084</v>
      </c>
      <c r="J1963" s="8" t="s">
        <v>11133</v>
      </c>
      <c r="K1963" s="8" t="s">
        <v>2930</v>
      </c>
      <c r="L1963" s="8" t="s">
        <v>13184</v>
      </c>
      <c r="M1963" s="8" t="s">
        <v>4980</v>
      </c>
      <c r="N1963" s="8" t="s">
        <v>7031</v>
      </c>
      <c r="O1963" s="5" t="s">
        <v>153</v>
      </c>
      <c r="P1963" s="4">
        <v>45870</v>
      </c>
      <c r="Q1963" s="15">
        <v>28.5</v>
      </c>
      <c r="R1963" s="15">
        <v>22.58</v>
      </c>
      <c r="S1963" s="15">
        <v>0</v>
      </c>
      <c r="T1963"/>
    </row>
    <row r="1964" spans="1:20">
      <c r="A1964" s="5" t="s">
        <v>36</v>
      </c>
      <c r="B1964" s="5" t="s">
        <v>15290</v>
      </c>
      <c r="C1964" s="4">
        <v>45851</v>
      </c>
      <c r="D1964" s="4">
        <v>45853</v>
      </c>
      <c r="E1964" s="5" t="s">
        <v>17283</v>
      </c>
      <c r="F1964" s="5" t="s">
        <v>19272</v>
      </c>
      <c r="G1964" s="5" t="s">
        <v>908</v>
      </c>
      <c r="H1964" s="5">
        <v>2</v>
      </c>
      <c r="I1964" s="8" t="s">
        <v>9085</v>
      </c>
      <c r="J1964" s="8" t="s">
        <v>11134</v>
      </c>
      <c r="K1964" s="8" t="s">
        <v>2931</v>
      </c>
      <c r="L1964" s="8" t="s">
        <v>13185</v>
      </c>
      <c r="M1964" s="8" t="s">
        <v>4981</v>
      </c>
      <c r="N1964" s="8" t="s">
        <v>7032</v>
      </c>
      <c r="O1964" s="5" t="s">
        <v>153</v>
      </c>
      <c r="P1964" s="4">
        <v>45864</v>
      </c>
      <c r="Q1964" s="15">
        <v>57</v>
      </c>
      <c r="R1964" s="15">
        <v>35.26</v>
      </c>
      <c r="S1964" s="15">
        <v>0</v>
      </c>
      <c r="T1964"/>
    </row>
    <row r="1965" spans="1:20">
      <c r="A1965" s="5" t="s">
        <v>36</v>
      </c>
      <c r="B1965" s="5" t="s">
        <v>15291</v>
      </c>
      <c r="C1965" s="4">
        <v>45851</v>
      </c>
      <c r="D1965" s="4">
        <v>45856</v>
      </c>
      <c r="E1965" s="5" t="s">
        <v>17284</v>
      </c>
      <c r="F1965" s="5" t="s">
        <v>19273</v>
      </c>
      <c r="G1965" s="5" t="s">
        <v>908</v>
      </c>
      <c r="H1965" s="5">
        <v>1</v>
      </c>
      <c r="I1965" s="8" t="s">
        <v>9086</v>
      </c>
      <c r="J1965" s="8" t="s">
        <v>11135</v>
      </c>
      <c r="K1965" s="8" t="s">
        <v>2932</v>
      </c>
      <c r="L1965" s="8" t="s">
        <v>13186</v>
      </c>
      <c r="M1965" s="8" t="s">
        <v>4982</v>
      </c>
      <c r="N1965" s="8" t="s">
        <v>7033</v>
      </c>
      <c r="O1965" s="5" t="s">
        <v>153</v>
      </c>
      <c r="P1965" s="4">
        <v>45868</v>
      </c>
      <c r="Q1965" s="15">
        <v>28.5</v>
      </c>
      <c r="R1965" s="15">
        <v>22.58</v>
      </c>
      <c r="S1965" s="15">
        <v>0</v>
      </c>
      <c r="T1965"/>
    </row>
    <row r="1966" spans="1:20">
      <c r="A1966" s="5" t="s">
        <v>36</v>
      </c>
      <c r="B1966" s="5" t="s">
        <v>15292</v>
      </c>
      <c r="C1966" s="4">
        <v>45851</v>
      </c>
      <c r="D1966" s="4">
        <v>45856</v>
      </c>
      <c r="E1966" s="5" t="s">
        <v>17285</v>
      </c>
      <c r="F1966" s="5" t="s">
        <v>19274</v>
      </c>
      <c r="G1966" s="5" t="s">
        <v>908</v>
      </c>
      <c r="H1966" s="5">
        <v>1</v>
      </c>
      <c r="I1966" s="8" t="s">
        <v>9087</v>
      </c>
      <c r="J1966" s="8" t="s">
        <v>11136</v>
      </c>
      <c r="K1966" s="8" t="s">
        <v>2933</v>
      </c>
      <c r="L1966" s="8" t="s">
        <v>13187</v>
      </c>
      <c r="M1966" s="8" t="s">
        <v>4983</v>
      </c>
      <c r="N1966" s="8" t="s">
        <v>7034</v>
      </c>
      <c r="O1966" s="5" t="s">
        <v>153</v>
      </c>
      <c r="P1966" s="4">
        <v>45864</v>
      </c>
      <c r="Q1966" s="15">
        <v>28.5</v>
      </c>
      <c r="R1966" s="15">
        <v>22.58</v>
      </c>
      <c r="S1966" s="15">
        <v>0</v>
      </c>
      <c r="T1966"/>
    </row>
    <row r="1967" spans="1:20">
      <c r="A1967" s="5" t="s">
        <v>36</v>
      </c>
      <c r="B1967" s="5" t="s">
        <v>15293</v>
      </c>
      <c r="C1967" s="4">
        <v>45851</v>
      </c>
      <c r="D1967" s="4">
        <v>45856</v>
      </c>
      <c r="E1967" s="5" t="s">
        <v>17286</v>
      </c>
      <c r="F1967" s="5" t="s">
        <v>19275</v>
      </c>
      <c r="G1967" s="5" t="s">
        <v>908</v>
      </c>
      <c r="H1967" s="5">
        <v>1</v>
      </c>
      <c r="I1967" s="8" t="s">
        <v>9088</v>
      </c>
      <c r="J1967" s="8" t="s">
        <v>11137</v>
      </c>
      <c r="K1967" s="8" t="s">
        <v>2934</v>
      </c>
      <c r="L1967" s="8" t="s">
        <v>13188</v>
      </c>
      <c r="M1967" s="8" t="s">
        <v>4984</v>
      </c>
      <c r="N1967" s="8" t="s">
        <v>7035</v>
      </c>
      <c r="O1967" s="5" t="s">
        <v>153</v>
      </c>
      <c r="P1967" s="4">
        <v>45864</v>
      </c>
      <c r="Q1967" s="15">
        <v>28.5</v>
      </c>
      <c r="R1967" s="15">
        <v>22.58</v>
      </c>
      <c r="S1967" s="15">
        <v>0</v>
      </c>
      <c r="T1967"/>
    </row>
    <row r="1968" spans="1:20">
      <c r="A1968" s="5" t="s">
        <v>36</v>
      </c>
      <c r="B1968" s="5" t="s">
        <v>15294</v>
      </c>
      <c r="C1968" s="4">
        <v>45850</v>
      </c>
      <c r="D1968" s="4">
        <v>45852</v>
      </c>
      <c r="E1968" s="5" t="s">
        <v>17287</v>
      </c>
      <c r="F1968" s="5" t="s">
        <v>19276</v>
      </c>
      <c r="G1968" s="5" t="s">
        <v>902</v>
      </c>
      <c r="H1968" s="5">
        <v>1</v>
      </c>
      <c r="I1968" s="8" t="s">
        <v>9089</v>
      </c>
      <c r="J1968" s="8" t="s">
        <v>11138</v>
      </c>
      <c r="K1968" s="8" t="s">
        <v>2935</v>
      </c>
      <c r="L1968" s="8" t="s">
        <v>13189</v>
      </c>
      <c r="M1968" s="8" t="s">
        <v>4985</v>
      </c>
      <c r="N1968" s="8" t="s">
        <v>7036</v>
      </c>
      <c r="O1968" s="5" t="s">
        <v>151</v>
      </c>
      <c r="P1968" s="4">
        <v>45868</v>
      </c>
      <c r="Q1968" s="15">
        <v>23.9</v>
      </c>
      <c r="R1968" s="15">
        <v>16.98</v>
      </c>
      <c r="S1968" s="15">
        <v>0</v>
      </c>
      <c r="T1968"/>
    </row>
    <row r="1969" spans="1:20">
      <c r="A1969" s="5" t="s">
        <v>36</v>
      </c>
      <c r="B1969" s="5" t="s">
        <v>15295</v>
      </c>
      <c r="C1969" s="4">
        <v>45852</v>
      </c>
      <c r="D1969" s="4">
        <v>45856</v>
      </c>
      <c r="E1969" s="5" t="s">
        <v>17288</v>
      </c>
      <c r="F1969" s="5" t="s">
        <v>19277</v>
      </c>
      <c r="G1969" s="5" t="s">
        <v>908</v>
      </c>
      <c r="H1969" s="5">
        <v>1</v>
      </c>
      <c r="I1969" s="8" t="s">
        <v>9090</v>
      </c>
      <c r="J1969" s="8" t="s">
        <v>11139</v>
      </c>
      <c r="K1969" s="8" t="s">
        <v>2936</v>
      </c>
      <c r="L1969" s="8" t="s">
        <v>13190</v>
      </c>
      <c r="M1969" s="8" t="s">
        <v>4986</v>
      </c>
      <c r="N1969" s="8" t="s">
        <v>7037</v>
      </c>
      <c r="O1969" s="5" t="s">
        <v>153</v>
      </c>
      <c r="P1969" s="4">
        <v>45867</v>
      </c>
      <c r="Q1969" s="15">
        <v>28.5</v>
      </c>
      <c r="R1969" s="15">
        <v>22.58</v>
      </c>
      <c r="S1969" s="15">
        <v>0</v>
      </c>
      <c r="T1969"/>
    </row>
    <row r="1970" spans="1:20">
      <c r="A1970" s="5" t="s">
        <v>36</v>
      </c>
      <c r="B1970" s="5" t="s">
        <v>15296</v>
      </c>
      <c r="C1970" s="4">
        <v>45852</v>
      </c>
      <c r="D1970" s="4">
        <v>45856</v>
      </c>
      <c r="E1970" s="5" t="s">
        <v>17289</v>
      </c>
      <c r="F1970" s="5" t="s">
        <v>19278</v>
      </c>
      <c r="G1970" s="5" t="s">
        <v>908</v>
      </c>
      <c r="H1970" s="5">
        <v>1</v>
      </c>
      <c r="I1970" s="8" t="s">
        <v>9091</v>
      </c>
      <c r="J1970" s="8" t="s">
        <v>11140</v>
      </c>
      <c r="K1970" s="8" t="s">
        <v>2937</v>
      </c>
      <c r="L1970" s="8" t="s">
        <v>13191</v>
      </c>
      <c r="M1970" s="8" t="s">
        <v>4987</v>
      </c>
      <c r="N1970" s="8" t="s">
        <v>7038</v>
      </c>
      <c r="O1970" s="5" t="s">
        <v>153</v>
      </c>
      <c r="P1970" s="4">
        <v>45867</v>
      </c>
      <c r="Q1970" s="15">
        <v>28.5</v>
      </c>
      <c r="R1970" s="15">
        <v>22.58</v>
      </c>
      <c r="S1970" s="15">
        <v>0</v>
      </c>
      <c r="T1970"/>
    </row>
    <row r="1971" spans="1:20">
      <c r="A1971" s="5" t="s">
        <v>36</v>
      </c>
      <c r="B1971" s="5" t="s">
        <v>15297</v>
      </c>
      <c r="C1971" s="4">
        <v>45852</v>
      </c>
      <c r="D1971" s="4">
        <v>45856</v>
      </c>
      <c r="E1971" s="5" t="s">
        <v>17290</v>
      </c>
      <c r="F1971" s="5" t="s">
        <v>19279</v>
      </c>
      <c r="G1971" s="5" t="s">
        <v>908</v>
      </c>
      <c r="H1971" s="5">
        <v>1</v>
      </c>
      <c r="I1971" s="8" t="s">
        <v>9092</v>
      </c>
      <c r="J1971" s="8" t="s">
        <v>11141</v>
      </c>
      <c r="K1971" s="8" t="s">
        <v>2938</v>
      </c>
      <c r="L1971" s="8" t="s">
        <v>13192</v>
      </c>
      <c r="M1971" s="8" t="s">
        <v>4988</v>
      </c>
      <c r="N1971" s="8" t="s">
        <v>7039</v>
      </c>
      <c r="O1971" s="5" t="s">
        <v>153</v>
      </c>
      <c r="P1971" s="4">
        <v>45867</v>
      </c>
      <c r="Q1971" s="15">
        <v>28.5</v>
      </c>
      <c r="R1971" s="15">
        <v>22.58</v>
      </c>
      <c r="S1971" s="15">
        <v>0</v>
      </c>
      <c r="T1971"/>
    </row>
    <row r="1972" spans="1:20">
      <c r="A1972" s="5" t="s">
        <v>36</v>
      </c>
      <c r="B1972" s="5" t="s">
        <v>15298</v>
      </c>
      <c r="C1972" s="4">
        <v>45852</v>
      </c>
      <c r="D1972" s="4">
        <v>45856</v>
      </c>
      <c r="E1972" s="5" t="s">
        <v>17291</v>
      </c>
      <c r="F1972" s="5" t="s">
        <v>19280</v>
      </c>
      <c r="G1972" s="5" t="s">
        <v>908</v>
      </c>
      <c r="H1972" s="5">
        <v>1</v>
      </c>
      <c r="I1972" s="8" t="s">
        <v>9093</v>
      </c>
      <c r="J1972" s="8" t="s">
        <v>11142</v>
      </c>
      <c r="K1972" s="8" t="s">
        <v>2939</v>
      </c>
      <c r="L1972" s="8" t="s">
        <v>13193</v>
      </c>
      <c r="M1972" s="8" t="s">
        <v>4989</v>
      </c>
      <c r="N1972" s="8" t="s">
        <v>7040</v>
      </c>
      <c r="O1972" s="5" t="s">
        <v>153</v>
      </c>
      <c r="P1972" s="4">
        <v>45867</v>
      </c>
      <c r="Q1972" s="15">
        <v>28.5</v>
      </c>
      <c r="R1972" s="15">
        <v>22.58</v>
      </c>
      <c r="S1972" s="15">
        <v>0</v>
      </c>
      <c r="T1972"/>
    </row>
    <row r="1973" spans="1:20">
      <c r="A1973" s="5" t="s">
        <v>36</v>
      </c>
      <c r="B1973" s="5" t="s">
        <v>15299</v>
      </c>
      <c r="C1973" s="4">
        <v>45852</v>
      </c>
      <c r="D1973" s="4">
        <v>45856</v>
      </c>
      <c r="E1973" s="5" t="s">
        <v>17292</v>
      </c>
      <c r="F1973" s="5" t="s">
        <v>19281</v>
      </c>
      <c r="G1973" s="5" t="s">
        <v>908</v>
      </c>
      <c r="H1973" s="5">
        <v>1</v>
      </c>
      <c r="I1973" s="8" t="s">
        <v>9094</v>
      </c>
      <c r="J1973" s="8" t="s">
        <v>11143</v>
      </c>
      <c r="K1973" s="8" t="s">
        <v>2940</v>
      </c>
      <c r="L1973" s="8" t="s">
        <v>13194</v>
      </c>
      <c r="M1973" s="8" t="s">
        <v>4990</v>
      </c>
      <c r="N1973" s="8" t="s">
        <v>7041</v>
      </c>
      <c r="O1973" s="5" t="s">
        <v>153</v>
      </c>
      <c r="P1973" s="4">
        <v>45867</v>
      </c>
      <c r="Q1973" s="15">
        <v>28.5</v>
      </c>
      <c r="R1973" s="15">
        <v>22.58</v>
      </c>
      <c r="S1973" s="15">
        <v>0</v>
      </c>
      <c r="T1973"/>
    </row>
    <row r="1974" spans="1:20">
      <c r="A1974" s="5" t="s">
        <v>36</v>
      </c>
      <c r="B1974" s="5" t="s">
        <v>15300</v>
      </c>
      <c r="C1974" s="4">
        <v>45852</v>
      </c>
      <c r="D1974" s="4">
        <v>45856</v>
      </c>
      <c r="E1974" s="5" t="s">
        <v>17293</v>
      </c>
      <c r="F1974" s="5" t="s">
        <v>19282</v>
      </c>
      <c r="G1974" s="5" t="s">
        <v>908</v>
      </c>
      <c r="H1974" s="5">
        <v>1</v>
      </c>
      <c r="I1974" s="8" t="s">
        <v>9095</v>
      </c>
      <c r="J1974" s="8" t="s">
        <v>11144</v>
      </c>
      <c r="K1974" s="8" t="s">
        <v>2941</v>
      </c>
      <c r="L1974" s="8" t="s">
        <v>13195</v>
      </c>
      <c r="M1974" s="8" t="s">
        <v>4991</v>
      </c>
      <c r="N1974" s="8" t="s">
        <v>7042</v>
      </c>
      <c r="O1974" s="5" t="s">
        <v>153</v>
      </c>
      <c r="P1974" s="4">
        <v>45871</v>
      </c>
      <c r="Q1974" s="15">
        <v>28.5</v>
      </c>
      <c r="R1974" s="15">
        <v>22.58</v>
      </c>
      <c r="S1974" s="15">
        <v>0</v>
      </c>
      <c r="T1974"/>
    </row>
    <row r="1975" spans="1:20">
      <c r="A1975" s="5" t="s">
        <v>36</v>
      </c>
      <c r="B1975" s="5" t="s">
        <v>15301</v>
      </c>
      <c r="C1975" s="4">
        <v>45852</v>
      </c>
      <c r="D1975" s="4">
        <v>45856</v>
      </c>
      <c r="E1975" s="5" t="s">
        <v>17294</v>
      </c>
      <c r="F1975" s="5" t="s">
        <v>19283</v>
      </c>
      <c r="G1975" s="5" t="s">
        <v>908</v>
      </c>
      <c r="H1975" s="5">
        <v>1</v>
      </c>
      <c r="I1975" s="8" t="s">
        <v>9096</v>
      </c>
      <c r="J1975" s="8" t="s">
        <v>11145</v>
      </c>
      <c r="K1975" s="8" t="s">
        <v>2942</v>
      </c>
      <c r="L1975" s="8" t="s">
        <v>13196</v>
      </c>
      <c r="M1975" s="8" t="s">
        <v>4992</v>
      </c>
      <c r="N1975" s="8" t="s">
        <v>7043</v>
      </c>
      <c r="O1975" s="5" t="s">
        <v>153</v>
      </c>
      <c r="P1975" s="4">
        <v>45877</v>
      </c>
      <c r="Q1975" s="15">
        <v>28.5</v>
      </c>
      <c r="R1975" s="15">
        <v>22.58</v>
      </c>
      <c r="S1975" s="15">
        <v>2</v>
      </c>
      <c r="T1975"/>
    </row>
    <row r="1976" spans="1:20">
      <c r="A1976" s="5" t="s">
        <v>36</v>
      </c>
      <c r="B1976" s="5" t="s">
        <v>15302</v>
      </c>
      <c r="C1976" s="4">
        <v>45852</v>
      </c>
      <c r="D1976" s="4">
        <v>45856</v>
      </c>
      <c r="E1976" s="5" t="s">
        <v>17295</v>
      </c>
      <c r="F1976" s="5" t="s">
        <v>19284</v>
      </c>
      <c r="G1976" s="5" t="s">
        <v>908</v>
      </c>
      <c r="H1976" s="5">
        <v>1</v>
      </c>
      <c r="I1976" s="8" t="s">
        <v>9097</v>
      </c>
      <c r="J1976" s="8" t="s">
        <v>11146</v>
      </c>
      <c r="K1976" s="8" t="s">
        <v>2943</v>
      </c>
      <c r="L1976" s="8" t="s">
        <v>13197</v>
      </c>
      <c r="M1976" s="8" t="s">
        <v>4993</v>
      </c>
      <c r="N1976" s="8" t="s">
        <v>7044</v>
      </c>
      <c r="O1976" s="5" t="s">
        <v>153</v>
      </c>
      <c r="P1976" s="4">
        <v>45867</v>
      </c>
      <c r="Q1976" s="15">
        <v>28.5</v>
      </c>
      <c r="R1976" s="15">
        <v>22.58</v>
      </c>
      <c r="S1976" s="15">
        <v>0</v>
      </c>
      <c r="T1976"/>
    </row>
    <row r="1977" spans="1:20">
      <c r="A1977" s="5" t="s">
        <v>36</v>
      </c>
      <c r="B1977" s="5" t="s">
        <v>15303</v>
      </c>
      <c r="C1977" s="4">
        <v>45852</v>
      </c>
      <c r="D1977" s="4">
        <v>45853</v>
      </c>
      <c r="E1977" s="5" t="s">
        <v>17296</v>
      </c>
      <c r="F1977" s="5" t="s">
        <v>19285</v>
      </c>
      <c r="G1977" s="5" t="s">
        <v>908</v>
      </c>
      <c r="H1977" s="5">
        <v>3</v>
      </c>
      <c r="I1977" s="8" t="s">
        <v>9098</v>
      </c>
      <c r="J1977" s="8" t="s">
        <v>11147</v>
      </c>
      <c r="K1977" s="8" t="s">
        <v>2944</v>
      </c>
      <c r="L1977" s="8" t="s">
        <v>13198</v>
      </c>
      <c r="M1977" s="8" t="s">
        <v>4994</v>
      </c>
      <c r="N1977" s="8" t="s">
        <v>7045</v>
      </c>
      <c r="O1977" s="5" t="s">
        <v>153</v>
      </c>
      <c r="P1977" s="4">
        <v>45869</v>
      </c>
      <c r="Q1977" s="15">
        <v>85.5</v>
      </c>
      <c r="R1977" s="15">
        <v>56.18</v>
      </c>
      <c r="S1977" s="15">
        <v>0</v>
      </c>
      <c r="T1977"/>
    </row>
    <row r="1978" spans="1:20">
      <c r="A1978" s="5" t="s">
        <v>36</v>
      </c>
      <c r="B1978" s="5" t="s">
        <v>15304</v>
      </c>
      <c r="C1978" s="4">
        <v>45852</v>
      </c>
      <c r="D1978" s="4">
        <v>45856</v>
      </c>
      <c r="E1978" s="5" t="s">
        <v>17297</v>
      </c>
      <c r="F1978" s="5" t="s">
        <v>19286</v>
      </c>
      <c r="G1978" s="5" t="s">
        <v>908</v>
      </c>
      <c r="H1978" s="5">
        <v>1</v>
      </c>
      <c r="I1978" s="8" t="s">
        <v>9099</v>
      </c>
      <c r="J1978" s="8" t="s">
        <v>11148</v>
      </c>
      <c r="K1978" s="8" t="s">
        <v>2945</v>
      </c>
      <c r="L1978" s="8" t="s">
        <v>13199</v>
      </c>
      <c r="M1978" s="8" t="s">
        <v>4995</v>
      </c>
      <c r="N1978" s="8" t="s">
        <v>7046</v>
      </c>
      <c r="O1978" s="5" t="s">
        <v>153</v>
      </c>
      <c r="P1978" s="4">
        <v>45867</v>
      </c>
      <c r="Q1978" s="15">
        <v>28.5</v>
      </c>
      <c r="R1978" s="15">
        <v>22.58</v>
      </c>
      <c r="S1978" s="15">
        <v>0</v>
      </c>
      <c r="T1978"/>
    </row>
    <row r="1979" spans="1:20">
      <c r="A1979" s="5" t="s">
        <v>36</v>
      </c>
      <c r="B1979" s="5" t="s">
        <v>15305</v>
      </c>
      <c r="C1979" s="4">
        <v>45852</v>
      </c>
      <c r="D1979" s="4">
        <v>45856</v>
      </c>
      <c r="E1979" s="5" t="s">
        <v>17298</v>
      </c>
      <c r="F1979" s="5" t="s">
        <v>19287</v>
      </c>
      <c r="G1979" s="5" t="s">
        <v>908</v>
      </c>
      <c r="H1979" s="5">
        <v>1</v>
      </c>
      <c r="I1979" s="8" t="s">
        <v>9100</v>
      </c>
      <c r="J1979" s="8" t="s">
        <v>11149</v>
      </c>
      <c r="K1979" s="8" t="s">
        <v>2946</v>
      </c>
      <c r="L1979" s="8" t="s">
        <v>13200</v>
      </c>
      <c r="M1979" s="8" t="s">
        <v>4996</v>
      </c>
      <c r="N1979" s="8" t="s">
        <v>7047</v>
      </c>
      <c r="O1979" s="5" t="s">
        <v>153</v>
      </c>
      <c r="P1979" s="4">
        <v>45871</v>
      </c>
      <c r="Q1979" s="15">
        <v>28.5</v>
      </c>
      <c r="R1979" s="15">
        <v>22.58</v>
      </c>
      <c r="S1979" s="15">
        <v>0</v>
      </c>
      <c r="T1979"/>
    </row>
    <row r="1980" spans="1:20">
      <c r="A1980" s="5" t="s">
        <v>36</v>
      </c>
      <c r="B1980" s="5" t="s">
        <v>15306</v>
      </c>
      <c r="C1980" s="4">
        <v>45852</v>
      </c>
      <c r="D1980" s="4">
        <v>45853</v>
      </c>
      <c r="E1980" s="5" t="s">
        <v>17299</v>
      </c>
      <c r="F1980" s="5" t="s">
        <v>19288</v>
      </c>
      <c r="G1980" s="5" t="s">
        <v>908</v>
      </c>
      <c r="H1980" s="5">
        <v>1</v>
      </c>
      <c r="I1980" s="8" t="s">
        <v>9101</v>
      </c>
      <c r="J1980" s="8" t="s">
        <v>11150</v>
      </c>
      <c r="K1980" s="8" t="s">
        <v>2947</v>
      </c>
      <c r="L1980" s="8" t="s">
        <v>13201</v>
      </c>
      <c r="M1980" s="8" t="s">
        <v>4997</v>
      </c>
      <c r="N1980" s="8" t="s">
        <v>7048</v>
      </c>
      <c r="O1980" s="5" t="s">
        <v>153</v>
      </c>
      <c r="P1980" s="4">
        <v>45871</v>
      </c>
      <c r="Q1980" s="15">
        <v>28.5</v>
      </c>
      <c r="R1980" s="15">
        <v>25.2</v>
      </c>
      <c r="S1980" s="15">
        <v>10</v>
      </c>
      <c r="T1980"/>
    </row>
    <row r="1981" spans="1:20">
      <c r="A1981" s="5" t="s">
        <v>36</v>
      </c>
      <c r="B1981" s="5" t="s">
        <v>15307</v>
      </c>
      <c r="C1981" s="4">
        <v>45852</v>
      </c>
      <c r="D1981" s="4">
        <v>45853</v>
      </c>
      <c r="E1981" s="5" t="s">
        <v>17300</v>
      </c>
      <c r="F1981" s="5" t="s">
        <v>19289</v>
      </c>
      <c r="G1981" s="5" t="s">
        <v>894</v>
      </c>
      <c r="H1981" s="5">
        <v>1</v>
      </c>
      <c r="I1981" s="8" t="s">
        <v>9102</v>
      </c>
      <c r="J1981" s="8" t="s">
        <v>11151</v>
      </c>
      <c r="K1981" s="8" t="s">
        <v>2948</v>
      </c>
      <c r="L1981" s="8" t="s">
        <v>13202</v>
      </c>
      <c r="M1981" s="8" t="s">
        <v>4998</v>
      </c>
      <c r="N1981" s="8" t="s">
        <v>7049</v>
      </c>
      <c r="O1981" s="5" t="s">
        <v>154</v>
      </c>
      <c r="P1981" s="4">
        <v>45877</v>
      </c>
      <c r="Q1981" s="15">
        <v>49.99</v>
      </c>
      <c r="R1981" s="15">
        <v>10.59</v>
      </c>
      <c r="S1981" s="15">
        <v>3</v>
      </c>
      <c r="T1981"/>
    </row>
    <row r="1982" spans="1:20">
      <c r="A1982" s="5" t="s">
        <v>108</v>
      </c>
      <c r="B1982" s="5" t="s">
        <v>15308</v>
      </c>
      <c r="C1982" s="4">
        <v>45851</v>
      </c>
      <c r="D1982" s="4" t="s">
        <v>37</v>
      </c>
      <c r="E1982" s="5" t="s">
        <v>37</v>
      </c>
      <c r="F1982" s="5" t="s">
        <v>37</v>
      </c>
      <c r="G1982" s="5" t="s">
        <v>860</v>
      </c>
      <c r="H1982" s="5">
        <v>1</v>
      </c>
      <c r="I1982" s="8" t="s">
        <v>9103</v>
      </c>
      <c r="J1982" s="8" t="s">
        <v>11152</v>
      </c>
      <c r="K1982" s="8" t="s">
        <v>2949</v>
      </c>
      <c r="L1982" s="8" t="s">
        <v>13203</v>
      </c>
      <c r="M1982" s="8" t="s">
        <v>4999</v>
      </c>
      <c r="N1982" s="8" t="s">
        <v>7050</v>
      </c>
      <c r="O1982" s="5" t="s">
        <v>131</v>
      </c>
      <c r="P1982" s="4">
        <v>45876</v>
      </c>
      <c r="Q1982" s="15">
        <v>54.99</v>
      </c>
      <c r="R1982" s="15">
        <v>0</v>
      </c>
      <c r="S1982" s="15">
        <v>0</v>
      </c>
      <c r="T1982"/>
    </row>
    <row r="1983" spans="1:20">
      <c r="A1983" s="5" t="s">
        <v>36</v>
      </c>
      <c r="B1983" s="5" t="s">
        <v>15309</v>
      </c>
      <c r="C1983" s="4">
        <v>45852</v>
      </c>
      <c r="D1983" s="4">
        <v>45856</v>
      </c>
      <c r="E1983" s="5" t="s">
        <v>17301</v>
      </c>
      <c r="F1983" s="5" t="s">
        <v>19290</v>
      </c>
      <c r="G1983" s="5" t="s">
        <v>908</v>
      </c>
      <c r="H1983" s="5">
        <v>1</v>
      </c>
      <c r="I1983" s="8" t="s">
        <v>9104</v>
      </c>
      <c r="J1983" s="8" t="s">
        <v>11153</v>
      </c>
      <c r="K1983" s="8" t="s">
        <v>2950</v>
      </c>
      <c r="L1983" s="8" t="s">
        <v>13204</v>
      </c>
      <c r="M1983" s="8" t="s">
        <v>5000</v>
      </c>
      <c r="N1983" s="8" t="s">
        <v>7051</v>
      </c>
      <c r="O1983" s="5" t="s">
        <v>153</v>
      </c>
      <c r="P1983" s="4">
        <v>45867</v>
      </c>
      <c r="Q1983" s="15">
        <v>28.5</v>
      </c>
      <c r="R1983" s="15">
        <v>22.58</v>
      </c>
      <c r="S1983" s="15">
        <v>0</v>
      </c>
      <c r="T1983"/>
    </row>
    <row r="1984" spans="1:20">
      <c r="A1984" s="5" t="s">
        <v>36</v>
      </c>
      <c r="B1984" s="5" t="s">
        <v>15310</v>
      </c>
      <c r="C1984" s="4">
        <v>45852</v>
      </c>
      <c r="D1984" s="4">
        <v>45856</v>
      </c>
      <c r="E1984" s="5" t="s">
        <v>17302</v>
      </c>
      <c r="F1984" s="5" t="s">
        <v>19291</v>
      </c>
      <c r="G1984" s="5" t="s">
        <v>908</v>
      </c>
      <c r="H1984" s="5">
        <v>1</v>
      </c>
      <c r="I1984" s="8" t="s">
        <v>9105</v>
      </c>
      <c r="J1984" s="8" t="s">
        <v>11154</v>
      </c>
      <c r="K1984" s="8" t="s">
        <v>2951</v>
      </c>
      <c r="L1984" s="8" t="s">
        <v>13205</v>
      </c>
      <c r="M1984" s="8" t="s">
        <v>5001</v>
      </c>
      <c r="N1984" s="8" t="s">
        <v>7052</v>
      </c>
      <c r="O1984" s="5" t="s">
        <v>153</v>
      </c>
      <c r="P1984" s="4">
        <v>45867</v>
      </c>
      <c r="Q1984" s="15">
        <v>28.5</v>
      </c>
      <c r="R1984" s="15">
        <v>22.58</v>
      </c>
      <c r="S1984" s="15">
        <v>0</v>
      </c>
      <c r="T1984"/>
    </row>
    <row r="1985" spans="1:20">
      <c r="A1985" s="5" t="s">
        <v>36</v>
      </c>
      <c r="B1985" s="5" t="s">
        <v>15311</v>
      </c>
      <c r="C1985" s="4">
        <v>45852</v>
      </c>
      <c r="D1985" s="4">
        <v>45856</v>
      </c>
      <c r="E1985" s="5" t="s">
        <v>17303</v>
      </c>
      <c r="F1985" s="5" t="s">
        <v>19292</v>
      </c>
      <c r="G1985" s="5" t="s">
        <v>908</v>
      </c>
      <c r="H1985" s="5">
        <v>1</v>
      </c>
      <c r="I1985" s="8" t="s">
        <v>9106</v>
      </c>
      <c r="J1985" s="8" t="s">
        <v>11155</v>
      </c>
      <c r="K1985" s="8" t="s">
        <v>2952</v>
      </c>
      <c r="L1985" s="8" t="s">
        <v>13206</v>
      </c>
      <c r="M1985" s="8" t="s">
        <v>5002</v>
      </c>
      <c r="N1985" s="8" t="s">
        <v>7053</v>
      </c>
      <c r="O1985" s="5" t="s">
        <v>153</v>
      </c>
      <c r="P1985" s="4">
        <v>45867</v>
      </c>
      <c r="Q1985" s="15">
        <v>28.5</v>
      </c>
      <c r="R1985" s="15">
        <v>22.58</v>
      </c>
      <c r="S1985" s="15">
        <v>0</v>
      </c>
      <c r="T1985"/>
    </row>
    <row r="1986" spans="1:20">
      <c r="A1986" s="5" t="s">
        <v>36</v>
      </c>
      <c r="B1986" s="5" t="s">
        <v>15312</v>
      </c>
      <c r="C1986" s="4">
        <v>45853</v>
      </c>
      <c r="D1986" s="4">
        <v>45854</v>
      </c>
      <c r="E1986" s="5" t="s">
        <v>17304</v>
      </c>
      <c r="F1986" s="5" t="s">
        <v>19293</v>
      </c>
      <c r="G1986" s="5" t="s">
        <v>908</v>
      </c>
      <c r="H1986" s="5">
        <v>2</v>
      </c>
      <c r="I1986" s="8" t="s">
        <v>9107</v>
      </c>
      <c r="J1986" s="8" t="s">
        <v>11156</v>
      </c>
      <c r="K1986" s="8" t="s">
        <v>2953</v>
      </c>
      <c r="L1986" s="8" t="s">
        <v>13207</v>
      </c>
      <c r="M1986" s="8" t="s">
        <v>5003</v>
      </c>
      <c r="N1986" s="8" t="s">
        <v>7054</v>
      </c>
      <c r="O1986" s="5" t="s">
        <v>153</v>
      </c>
      <c r="P1986" s="4">
        <v>45871</v>
      </c>
      <c r="Q1986" s="15">
        <v>57</v>
      </c>
      <c r="R1986" s="15">
        <v>41.19</v>
      </c>
      <c r="S1986" s="15">
        <v>0</v>
      </c>
      <c r="T1986"/>
    </row>
    <row r="1987" spans="1:20">
      <c r="A1987" s="5" t="s">
        <v>36</v>
      </c>
      <c r="B1987" s="5" t="s">
        <v>15313</v>
      </c>
      <c r="C1987" s="4">
        <v>45852</v>
      </c>
      <c r="D1987" s="4">
        <v>45856</v>
      </c>
      <c r="E1987" s="5" t="s">
        <v>17305</v>
      </c>
      <c r="F1987" s="5" t="s">
        <v>19294</v>
      </c>
      <c r="G1987" s="5" t="s">
        <v>908</v>
      </c>
      <c r="H1987" s="5">
        <v>1</v>
      </c>
      <c r="I1987" s="8" t="s">
        <v>9108</v>
      </c>
      <c r="J1987" s="8" t="s">
        <v>11157</v>
      </c>
      <c r="K1987" s="8" t="s">
        <v>2954</v>
      </c>
      <c r="L1987" s="8" t="s">
        <v>13208</v>
      </c>
      <c r="M1987" s="8" t="s">
        <v>5004</v>
      </c>
      <c r="N1987" s="8" t="s">
        <v>7055</v>
      </c>
      <c r="O1987" s="5" t="s">
        <v>153</v>
      </c>
      <c r="P1987" s="4">
        <v>45871</v>
      </c>
      <c r="Q1987" s="15">
        <v>29.5</v>
      </c>
      <c r="R1987" s="15">
        <v>23.56</v>
      </c>
      <c r="S1987" s="15">
        <v>0</v>
      </c>
      <c r="T1987"/>
    </row>
    <row r="1988" spans="1:20">
      <c r="A1988" s="5" t="s">
        <v>36</v>
      </c>
      <c r="B1988" s="5" t="s">
        <v>15314</v>
      </c>
      <c r="C1988" s="4">
        <v>45853</v>
      </c>
      <c r="D1988" s="4">
        <v>45856</v>
      </c>
      <c r="E1988" s="5" t="s">
        <v>17306</v>
      </c>
      <c r="F1988" s="5" t="s">
        <v>19295</v>
      </c>
      <c r="G1988" s="5" t="s">
        <v>908</v>
      </c>
      <c r="H1988" s="5">
        <v>1</v>
      </c>
      <c r="I1988" s="8" t="s">
        <v>9109</v>
      </c>
      <c r="J1988" s="8" t="s">
        <v>11158</v>
      </c>
      <c r="K1988" s="8" t="s">
        <v>2955</v>
      </c>
      <c r="L1988" s="8" t="s">
        <v>13209</v>
      </c>
      <c r="M1988" s="8" t="s">
        <v>5005</v>
      </c>
      <c r="N1988" s="8" t="s">
        <v>7056</v>
      </c>
      <c r="O1988" s="5" t="s">
        <v>153</v>
      </c>
      <c r="P1988" s="4">
        <v>45891</v>
      </c>
      <c r="Q1988" s="15">
        <v>29.5</v>
      </c>
      <c r="R1988" s="15">
        <v>22.58</v>
      </c>
      <c r="S1988" s="15">
        <v>5</v>
      </c>
      <c r="T1988"/>
    </row>
    <row r="1989" spans="1:20">
      <c r="A1989" s="5" t="s">
        <v>36</v>
      </c>
      <c r="B1989" s="5" t="s">
        <v>15315</v>
      </c>
      <c r="C1989" s="4">
        <v>45853</v>
      </c>
      <c r="D1989" s="4">
        <v>45854</v>
      </c>
      <c r="E1989" s="5" t="s">
        <v>17307</v>
      </c>
      <c r="F1989" s="5" t="s">
        <v>19296</v>
      </c>
      <c r="G1989" s="5" t="s">
        <v>902</v>
      </c>
      <c r="H1989" s="5">
        <v>1</v>
      </c>
      <c r="I1989" s="8" t="s">
        <v>9110</v>
      </c>
      <c r="J1989" s="8" t="s">
        <v>11159</v>
      </c>
      <c r="K1989" s="8" t="s">
        <v>2956</v>
      </c>
      <c r="L1989" s="8" t="s">
        <v>13210</v>
      </c>
      <c r="M1989" s="8" t="s">
        <v>5006</v>
      </c>
      <c r="N1989" s="8" t="s">
        <v>7057</v>
      </c>
      <c r="O1989" s="5" t="s">
        <v>151</v>
      </c>
      <c r="P1989" s="4">
        <v>45878</v>
      </c>
      <c r="Q1989" s="15">
        <v>23.9</v>
      </c>
      <c r="R1989" s="15">
        <v>18.97</v>
      </c>
      <c r="S1989" s="15">
        <v>10</v>
      </c>
      <c r="T1989"/>
    </row>
    <row r="1990" spans="1:20">
      <c r="A1990" s="5" t="s">
        <v>36</v>
      </c>
      <c r="B1990" s="5" t="s">
        <v>15316</v>
      </c>
      <c r="C1990" s="4">
        <v>45853</v>
      </c>
      <c r="D1990" s="4">
        <v>45856</v>
      </c>
      <c r="E1990" s="5" t="s">
        <v>17308</v>
      </c>
      <c r="F1990" s="5" t="s">
        <v>19297</v>
      </c>
      <c r="G1990" s="5" t="s">
        <v>908</v>
      </c>
      <c r="H1990" s="5">
        <v>1</v>
      </c>
      <c r="I1990" s="8" t="s">
        <v>9111</v>
      </c>
      <c r="J1990" s="8" t="s">
        <v>11160</v>
      </c>
      <c r="K1990" s="8" t="s">
        <v>2957</v>
      </c>
      <c r="L1990" s="8" t="s">
        <v>13211</v>
      </c>
      <c r="M1990" s="8" t="s">
        <v>5007</v>
      </c>
      <c r="N1990" s="8" t="s">
        <v>7058</v>
      </c>
      <c r="O1990" s="5" t="s">
        <v>153</v>
      </c>
      <c r="P1990" s="4">
        <v>45874</v>
      </c>
      <c r="Q1990" s="15">
        <v>29.5</v>
      </c>
      <c r="R1990" s="15">
        <v>22.58</v>
      </c>
      <c r="S1990" s="15">
        <v>0</v>
      </c>
      <c r="T1990"/>
    </row>
    <row r="1991" spans="1:20">
      <c r="A1991" s="5" t="s">
        <v>36</v>
      </c>
      <c r="B1991" s="5" t="s">
        <v>15317</v>
      </c>
      <c r="C1991" s="4">
        <v>45853</v>
      </c>
      <c r="D1991" s="4">
        <v>45854</v>
      </c>
      <c r="E1991" s="5" t="s">
        <v>17309</v>
      </c>
      <c r="F1991" s="5" t="s">
        <v>19298</v>
      </c>
      <c r="G1991" s="5" t="s">
        <v>908</v>
      </c>
      <c r="H1991" s="5">
        <v>2</v>
      </c>
      <c r="I1991" s="8" t="s">
        <v>9112</v>
      </c>
      <c r="J1991" s="8" t="s">
        <v>11161</v>
      </c>
      <c r="K1991" s="8" t="s">
        <v>2958</v>
      </c>
      <c r="L1991" s="8" t="s">
        <v>13212</v>
      </c>
      <c r="M1991" s="8" t="s">
        <v>5008</v>
      </c>
      <c r="N1991" s="8" t="s">
        <v>7059</v>
      </c>
      <c r="O1991" s="5" t="s">
        <v>153</v>
      </c>
      <c r="P1991" s="4">
        <v>45868</v>
      </c>
      <c r="Q1991" s="15">
        <v>59</v>
      </c>
      <c r="R1991" s="15">
        <v>39.79</v>
      </c>
      <c r="S1991" s="15">
        <v>0</v>
      </c>
      <c r="T1991"/>
    </row>
    <row r="1992" spans="1:20">
      <c r="A1992" s="5" t="s">
        <v>36</v>
      </c>
      <c r="B1992" s="5" t="s">
        <v>15318</v>
      </c>
      <c r="C1992" s="4">
        <v>45853</v>
      </c>
      <c r="D1992" s="4">
        <v>45856</v>
      </c>
      <c r="E1992" s="5" t="s">
        <v>17310</v>
      </c>
      <c r="F1992" s="5" t="s">
        <v>19299</v>
      </c>
      <c r="G1992" s="5" t="s">
        <v>908</v>
      </c>
      <c r="H1992" s="5">
        <v>1</v>
      </c>
      <c r="I1992" s="8" t="s">
        <v>9113</v>
      </c>
      <c r="J1992" s="8" t="s">
        <v>11162</v>
      </c>
      <c r="K1992" s="8" t="s">
        <v>2959</v>
      </c>
      <c r="L1992" s="8" t="s">
        <v>13213</v>
      </c>
      <c r="M1992" s="8" t="s">
        <v>5009</v>
      </c>
      <c r="N1992" s="8" t="s">
        <v>7060</v>
      </c>
      <c r="O1992" s="5" t="s">
        <v>153</v>
      </c>
      <c r="P1992" s="4">
        <v>45874</v>
      </c>
      <c r="Q1992" s="15">
        <v>29.5</v>
      </c>
      <c r="R1992" s="15">
        <v>22.58</v>
      </c>
      <c r="S1992" s="15">
        <v>0</v>
      </c>
      <c r="T1992"/>
    </row>
    <row r="1993" spans="1:20">
      <c r="A1993" s="5" t="s">
        <v>36</v>
      </c>
      <c r="B1993" s="5" t="s">
        <v>15319</v>
      </c>
      <c r="C1993" s="4">
        <v>45853</v>
      </c>
      <c r="D1993" s="4">
        <v>45856</v>
      </c>
      <c r="E1993" s="5" t="s">
        <v>17311</v>
      </c>
      <c r="F1993" s="5" t="s">
        <v>19300</v>
      </c>
      <c r="G1993" s="5" t="s">
        <v>908</v>
      </c>
      <c r="H1993" s="5">
        <v>1</v>
      </c>
      <c r="I1993" s="8" t="s">
        <v>9114</v>
      </c>
      <c r="J1993" s="8" t="s">
        <v>11163</v>
      </c>
      <c r="K1993" s="8" t="s">
        <v>2960</v>
      </c>
      <c r="L1993" s="8" t="s">
        <v>13214</v>
      </c>
      <c r="M1993" s="8" t="s">
        <v>5010</v>
      </c>
      <c r="N1993" s="8" t="s">
        <v>7061</v>
      </c>
      <c r="O1993" s="5" t="s">
        <v>153</v>
      </c>
      <c r="P1993" s="4">
        <v>45870</v>
      </c>
      <c r="Q1993" s="15">
        <v>29.5</v>
      </c>
      <c r="R1993" s="15">
        <v>22.58</v>
      </c>
      <c r="S1993" s="15">
        <v>0</v>
      </c>
      <c r="T1993"/>
    </row>
    <row r="1994" spans="1:20">
      <c r="A1994" s="5" t="s">
        <v>36</v>
      </c>
      <c r="B1994" s="5" t="s">
        <v>15320</v>
      </c>
      <c r="C1994" s="4">
        <v>45853</v>
      </c>
      <c r="D1994" s="4">
        <v>45856</v>
      </c>
      <c r="E1994" s="5" t="s">
        <v>17312</v>
      </c>
      <c r="F1994" s="5" t="s">
        <v>19301</v>
      </c>
      <c r="G1994" s="5" t="s">
        <v>908</v>
      </c>
      <c r="H1994" s="5">
        <v>1</v>
      </c>
      <c r="I1994" s="8" t="s">
        <v>9115</v>
      </c>
      <c r="J1994" s="8" t="s">
        <v>11164</v>
      </c>
      <c r="K1994" s="8" t="s">
        <v>2961</v>
      </c>
      <c r="L1994" s="8" t="s">
        <v>13215</v>
      </c>
      <c r="M1994" s="8" t="s">
        <v>5011</v>
      </c>
      <c r="N1994" s="8" t="s">
        <v>7062</v>
      </c>
      <c r="O1994" s="5" t="s">
        <v>153</v>
      </c>
      <c r="P1994" s="4">
        <v>45868</v>
      </c>
      <c r="Q1994" s="15">
        <v>29.5</v>
      </c>
      <c r="R1994" s="15">
        <v>22.58</v>
      </c>
      <c r="S1994" s="15">
        <v>0</v>
      </c>
      <c r="T1994"/>
    </row>
    <row r="1995" spans="1:20">
      <c r="A1995" s="5" t="s">
        <v>36</v>
      </c>
      <c r="B1995" s="5" t="s">
        <v>15321</v>
      </c>
      <c r="C1995" s="4">
        <v>45853</v>
      </c>
      <c r="D1995" s="4">
        <v>45854</v>
      </c>
      <c r="E1995" s="5" t="s">
        <v>17313</v>
      </c>
      <c r="F1995" s="5" t="s">
        <v>19302</v>
      </c>
      <c r="G1995" s="5" t="s">
        <v>902</v>
      </c>
      <c r="H1995" s="5">
        <v>1</v>
      </c>
      <c r="I1995" s="8" t="s">
        <v>9116</v>
      </c>
      <c r="J1995" s="8" t="s">
        <v>11165</v>
      </c>
      <c r="K1995" s="8" t="s">
        <v>2962</v>
      </c>
      <c r="L1995" s="8" t="s">
        <v>13216</v>
      </c>
      <c r="M1995" s="8" t="s">
        <v>5012</v>
      </c>
      <c r="N1995" s="8" t="s">
        <v>7063</v>
      </c>
      <c r="O1995" s="5" t="s">
        <v>151</v>
      </c>
      <c r="P1995" s="4">
        <v>45870</v>
      </c>
      <c r="Q1995" s="15">
        <v>23.9</v>
      </c>
      <c r="R1995" s="15">
        <v>14.99</v>
      </c>
      <c r="S1995" s="15">
        <v>0</v>
      </c>
      <c r="T1995"/>
    </row>
    <row r="1996" spans="1:20">
      <c r="A1996" s="5" t="s">
        <v>36</v>
      </c>
      <c r="B1996" s="5" t="s">
        <v>15322</v>
      </c>
      <c r="C1996" s="4">
        <v>45853</v>
      </c>
      <c r="D1996" s="4">
        <v>45856</v>
      </c>
      <c r="E1996" s="5" t="s">
        <v>17314</v>
      </c>
      <c r="F1996" s="5" t="s">
        <v>19303</v>
      </c>
      <c r="G1996" s="5" t="s">
        <v>908</v>
      </c>
      <c r="H1996" s="5">
        <v>1</v>
      </c>
      <c r="I1996" s="8" t="s">
        <v>9117</v>
      </c>
      <c r="J1996" s="8" t="s">
        <v>11166</v>
      </c>
      <c r="K1996" s="8" t="s">
        <v>2963</v>
      </c>
      <c r="L1996" s="8" t="s">
        <v>13217</v>
      </c>
      <c r="M1996" s="8" t="s">
        <v>5013</v>
      </c>
      <c r="N1996" s="8" t="s">
        <v>7064</v>
      </c>
      <c r="O1996" s="5" t="s">
        <v>153</v>
      </c>
      <c r="P1996" s="4">
        <v>45878</v>
      </c>
      <c r="Q1996" s="15">
        <v>29.5</v>
      </c>
      <c r="R1996" s="15">
        <v>22.58</v>
      </c>
      <c r="S1996" s="15">
        <v>3</v>
      </c>
      <c r="T1996"/>
    </row>
    <row r="1997" spans="1:20">
      <c r="A1997" s="5" t="s">
        <v>36</v>
      </c>
      <c r="B1997" s="5" t="s">
        <v>15323</v>
      </c>
      <c r="C1997" s="4">
        <v>45853</v>
      </c>
      <c r="D1997" s="4">
        <v>45856</v>
      </c>
      <c r="E1997" s="5" t="s">
        <v>17315</v>
      </c>
      <c r="F1997" s="5" t="s">
        <v>19304</v>
      </c>
      <c r="G1997" s="5" t="s">
        <v>908</v>
      </c>
      <c r="H1997" s="5">
        <v>1</v>
      </c>
      <c r="I1997" s="8" t="s">
        <v>9118</v>
      </c>
      <c r="J1997" s="8" t="s">
        <v>11167</v>
      </c>
      <c r="K1997" s="8" t="s">
        <v>2964</v>
      </c>
      <c r="L1997" s="8" t="s">
        <v>13218</v>
      </c>
      <c r="M1997" s="8" t="s">
        <v>5014</v>
      </c>
      <c r="N1997" s="8" t="s">
        <v>7065</v>
      </c>
      <c r="O1997" s="5" t="s">
        <v>153</v>
      </c>
      <c r="P1997" s="4">
        <v>45868</v>
      </c>
      <c r="Q1997" s="15">
        <v>29.5</v>
      </c>
      <c r="R1997" s="15">
        <v>22.58</v>
      </c>
      <c r="S1997" s="15">
        <v>0</v>
      </c>
      <c r="T1997"/>
    </row>
    <row r="1998" spans="1:20">
      <c r="A1998" s="5" t="s">
        <v>36</v>
      </c>
      <c r="B1998" s="5" t="s">
        <v>15324</v>
      </c>
      <c r="C1998" s="4">
        <v>45853</v>
      </c>
      <c r="D1998" s="4">
        <v>45856</v>
      </c>
      <c r="E1998" s="5" t="s">
        <v>17316</v>
      </c>
      <c r="F1998" s="5" t="s">
        <v>19305</v>
      </c>
      <c r="G1998" s="5" t="s">
        <v>908</v>
      </c>
      <c r="H1998" s="5">
        <v>1</v>
      </c>
      <c r="I1998" s="8" t="s">
        <v>9119</v>
      </c>
      <c r="J1998" s="8" t="s">
        <v>11168</v>
      </c>
      <c r="K1998" s="8" t="s">
        <v>2965</v>
      </c>
      <c r="L1998" s="8" t="s">
        <v>13219</v>
      </c>
      <c r="M1998" s="8" t="s">
        <v>5015</v>
      </c>
      <c r="N1998" s="8" t="s">
        <v>7066</v>
      </c>
      <c r="O1998" s="5" t="s">
        <v>153</v>
      </c>
      <c r="P1998" s="4">
        <v>45874</v>
      </c>
      <c r="Q1998" s="15">
        <v>29.5</v>
      </c>
      <c r="R1998" s="15">
        <v>22.58</v>
      </c>
      <c r="S1998" s="15">
        <v>1</v>
      </c>
      <c r="T1998"/>
    </row>
    <row r="1999" spans="1:20">
      <c r="A1999" s="5" t="s">
        <v>36</v>
      </c>
      <c r="B1999" s="5" t="s">
        <v>15325</v>
      </c>
      <c r="C1999" s="4">
        <v>45853</v>
      </c>
      <c r="D1999" s="4">
        <v>45856</v>
      </c>
      <c r="E1999" s="5" t="s">
        <v>17317</v>
      </c>
      <c r="F1999" s="5" t="s">
        <v>19306</v>
      </c>
      <c r="G1999" s="5" t="s">
        <v>908</v>
      </c>
      <c r="H1999" s="5">
        <v>1</v>
      </c>
      <c r="I1999" s="8" t="s">
        <v>9120</v>
      </c>
      <c r="J1999" s="8" t="s">
        <v>11169</v>
      </c>
      <c r="K1999" s="8" t="s">
        <v>2966</v>
      </c>
      <c r="L1999" s="8" t="s">
        <v>13220</v>
      </c>
      <c r="M1999" s="8" t="s">
        <v>5016</v>
      </c>
      <c r="N1999" s="8" t="s">
        <v>7067</v>
      </c>
      <c r="O1999" s="5" t="s">
        <v>153</v>
      </c>
      <c r="P1999" s="4">
        <v>45874</v>
      </c>
      <c r="Q1999" s="15">
        <v>29.5</v>
      </c>
      <c r="R1999" s="15">
        <v>22.58</v>
      </c>
      <c r="S1999" s="15">
        <v>0</v>
      </c>
      <c r="T1999"/>
    </row>
    <row r="2000" spans="1:20">
      <c r="A2000" s="5" t="s">
        <v>36</v>
      </c>
      <c r="B2000" s="5" t="s">
        <v>15326</v>
      </c>
      <c r="C2000" s="4">
        <v>45853</v>
      </c>
      <c r="D2000" s="4">
        <v>45856</v>
      </c>
      <c r="E2000" s="5" t="s">
        <v>17318</v>
      </c>
      <c r="F2000" s="5" t="s">
        <v>19307</v>
      </c>
      <c r="G2000" s="5" t="s">
        <v>908</v>
      </c>
      <c r="H2000" s="5">
        <v>1</v>
      </c>
      <c r="I2000" s="8" t="s">
        <v>9121</v>
      </c>
      <c r="J2000" s="8" t="s">
        <v>11170</v>
      </c>
      <c r="K2000" s="8" t="s">
        <v>2967</v>
      </c>
      <c r="L2000" s="8" t="s">
        <v>13221</v>
      </c>
      <c r="M2000" s="8" t="s">
        <v>5017</v>
      </c>
      <c r="N2000" s="8" t="s">
        <v>7068</v>
      </c>
      <c r="O2000" s="5" t="s">
        <v>153</v>
      </c>
      <c r="P2000" s="4">
        <v>45868</v>
      </c>
      <c r="Q2000" s="15">
        <v>29.5</v>
      </c>
      <c r="R2000" s="15">
        <v>22.58</v>
      </c>
      <c r="S2000" s="15">
        <v>0</v>
      </c>
      <c r="T2000"/>
    </row>
    <row r="2001" spans="1:20">
      <c r="A2001" s="5" t="s">
        <v>36</v>
      </c>
      <c r="B2001" s="5" t="s">
        <v>15327</v>
      </c>
      <c r="C2001" s="4">
        <v>45853</v>
      </c>
      <c r="D2001" s="4">
        <v>45856</v>
      </c>
      <c r="E2001" s="5" t="s">
        <v>17319</v>
      </c>
      <c r="F2001" s="5" t="s">
        <v>19308</v>
      </c>
      <c r="G2001" s="5" t="s">
        <v>908</v>
      </c>
      <c r="H2001" s="5">
        <v>1</v>
      </c>
      <c r="I2001" s="8" t="s">
        <v>9122</v>
      </c>
      <c r="J2001" s="8" t="s">
        <v>11171</v>
      </c>
      <c r="K2001" s="8" t="s">
        <v>2968</v>
      </c>
      <c r="L2001" s="8" t="s">
        <v>13222</v>
      </c>
      <c r="M2001" s="8" t="s">
        <v>5018</v>
      </c>
      <c r="N2001" s="8" t="s">
        <v>7069</v>
      </c>
      <c r="O2001" s="5" t="s">
        <v>153</v>
      </c>
      <c r="P2001" s="4">
        <v>45874</v>
      </c>
      <c r="Q2001" s="15">
        <v>29.5</v>
      </c>
      <c r="R2001" s="15">
        <v>22.58</v>
      </c>
      <c r="S2001" s="15">
        <v>0</v>
      </c>
      <c r="T2001"/>
    </row>
    <row r="2002" spans="1:20">
      <c r="A2002" s="5" t="s">
        <v>36</v>
      </c>
      <c r="B2002" s="5" t="s">
        <v>15328</v>
      </c>
      <c r="C2002" s="4">
        <v>45853</v>
      </c>
      <c r="D2002" s="4">
        <v>45856</v>
      </c>
      <c r="E2002" s="5" t="s">
        <v>17320</v>
      </c>
      <c r="F2002" s="5" t="s">
        <v>19309</v>
      </c>
      <c r="G2002" s="5" t="s">
        <v>908</v>
      </c>
      <c r="H2002" s="5">
        <v>1</v>
      </c>
      <c r="I2002" s="8" t="s">
        <v>9123</v>
      </c>
      <c r="J2002" s="8" t="s">
        <v>11172</v>
      </c>
      <c r="K2002" s="8" t="s">
        <v>2969</v>
      </c>
      <c r="L2002" s="8" t="s">
        <v>13223</v>
      </c>
      <c r="M2002" s="8" t="s">
        <v>5019</v>
      </c>
      <c r="N2002" s="8" t="s">
        <v>7070</v>
      </c>
      <c r="O2002" s="5" t="s">
        <v>153</v>
      </c>
      <c r="P2002" s="4">
        <v>45874</v>
      </c>
      <c r="Q2002" s="15">
        <v>29.5</v>
      </c>
      <c r="R2002" s="15">
        <v>22.58</v>
      </c>
      <c r="S2002" s="15">
        <v>1</v>
      </c>
      <c r="T2002"/>
    </row>
    <row r="2003" spans="1:20">
      <c r="A2003" s="5" t="s">
        <v>36</v>
      </c>
      <c r="B2003" s="5" t="s">
        <v>15329</v>
      </c>
      <c r="C2003" s="4">
        <v>45853</v>
      </c>
      <c r="D2003" s="4">
        <v>45856</v>
      </c>
      <c r="E2003" s="5" t="s">
        <v>17321</v>
      </c>
      <c r="F2003" s="5" t="s">
        <v>19310</v>
      </c>
      <c r="G2003" s="5" t="s">
        <v>908</v>
      </c>
      <c r="H2003" s="5">
        <v>1</v>
      </c>
      <c r="I2003" s="8" t="s">
        <v>9124</v>
      </c>
      <c r="J2003" s="8" t="s">
        <v>11173</v>
      </c>
      <c r="K2003" s="8" t="s">
        <v>2970</v>
      </c>
      <c r="L2003" s="8" t="s">
        <v>13224</v>
      </c>
      <c r="M2003" s="8" t="s">
        <v>5020</v>
      </c>
      <c r="N2003" s="8" t="s">
        <v>7071</v>
      </c>
      <c r="O2003" s="5" t="s">
        <v>153</v>
      </c>
      <c r="P2003" s="4">
        <v>45874</v>
      </c>
      <c r="Q2003" s="15">
        <v>29.5</v>
      </c>
      <c r="R2003" s="15">
        <v>22.58</v>
      </c>
      <c r="S2003" s="15">
        <v>1</v>
      </c>
      <c r="T2003"/>
    </row>
    <row r="2004" spans="1:20">
      <c r="A2004" s="5" t="s">
        <v>36</v>
      </c>
      <c r="B2004" s="5" t="s">
        <v>15330</v>
      </c>
      <c r="C2004" s="4">
        <v>45853</v>
      </c>
      <c r="D2004" s="4">
        <v>45856</v>
      </c>
      <c r="E2004" s="5" t="s">
        <v>17322</v>
      </c>
      <c r="F2004" s="5" t="s">
        <v>19311</v>
      </c>
      <c r="G2004" s="5" t="s">
        <v>908</v>
      </c>
      <c r="H2004" s="5">
        <v>1</v>
      </c>
      <c r="I2004" s="8" t="s">
        <v>9125</v>
      </c>
      <c r="J2004" s="8" t="s">
        <v>11174</v>
      </c>
      <c r="K2004" s="8" t="s">
        <v>2971</v>
      </c>
      <c r="L2004" s="8" t="s">
        <v>13225</v>
      </c>
      <c r="M2004" s="8" t="s">
        <v>5021</v>
      </c>
      <c r="N2004" s="8" t="s">
        <v>7072</v>
      </c>
      <c r="O2004" s="5" t="s">
        <v>153</v>
      </c>
      <c r="P2004" s="4">
        <v>45870</v>
      </c>
      <c r="Q2004" s="15">
        <v>29.5</v>
      </c>
      <c r="R2004" s="15">
        <v>22.58</v>
      </c>
      <c r="S2004" s="15">
        <v>0</v>
      </c>
      <c r="T2004"/>
    </row>
    <row r="2005" spans="1:20">
      <c r="A2005" s="5" t="s">
        <v>36</v>
      </c>
      <c r="B2005" s="5" t="s">
        <v>15331</v>
      </c>
      <c r="C2005" s="4">
        <v>45853</v>
      </c>
      <c r="D2005" s="4">
        <v>45856</v>
      </c>
      <c r="E2005" s="5" t="s">
        <v>17323</v>
      </c>
      <c r="F2005" s="5" t="s">
        <v>19312</v>
      </c>
      <c r="G2005" s="5" t="s">
        <v>908</v>
      </c>
      <c r="H2005" s="5">
        <v>1</v>
      </c>
      <c r="I2005" s="8" t="s">
        <v>9126</v>
      </c>
      <c r="J2005" s="8" t="s">
        <v>11175</v>
      </c>
      <c r="K2005" s="8" t="s">
        <v>2972</v>
      </c>
      <c r="L2005" s="8" t="s">
        <v>13226</v>
      </c>
      <c r="M2005" s="8" t="s">
        <v>5022</v>
      </c>
      <c r="N2005" s="8" t="s">
        <v>7073</v>
      </c>
      <c r="O2005" s="5" t="s">
        <v>153</v>
      </c>
      <c r="P2005" s="4">
        <v>45868</v>
      </c>
      <c r="Q2005" s="15">
        <v>29.5</v>
      </c>
      <c r="R2005" s="15">
        <v>22.58</v>
      </c>
      <c r="S2005" s="15">
        <v>0</v>
      </c>
      <c r="T2005"/>
    </row>
    <row r="2006" spans="1:20">
      <c r="A2006" s="5" t="s">
        <v>36</v>
      </c>
      <c r="B2006" s="5" t="s">
        <v>15332</v>
      </c>
      <c r="C2006" s="4">
        <v>45853</v>
      </c>
      <c r="D2006" s="4">
        <v>45856</v>
      </c>
      <c r="E2006" s="5" t="s">
        <v>17324</v>
      </c>
      <c r="F2006" s="5" t="s">
        <v>19313</v>
      </c>
      <c r="G2006" s="5" t="s">
        <v>908</v>
      </c>
      <c r="H2006" s="5">
        <v>1</v>
      </c>
      <c r="I2006" s="8" t="s">
        <v>9127</v>
      </c>
      <c r="J2006" s="8" t="s">
        <v>11176</v>
      </c>
      <c r="K2006" s="8" t="s">
        <v>2973</v>
      </c>
      <c r="L2006" s="8" t="s">
        <v>13227</v>
      </c>
      <c r="M2006" s="8" t="s">
        <v>5023</v>
      </c>
      <c r="N2006" s="8" t="s">
        <v>7074</v>
      </c>
      <c r="O2006" s="5" t="s">
        <v>153</v>
      </c>
      <c r="P2006" s="4">
        <v>45874</v>
      </c>
      <c r="Q2006" s="15">
        <v>29.5</v>
      </c>
      <c r="R2006" s="15">
        <v>22.58</v>
      </c>
      <c r="S2006" s="15">
        <v>0</v>
      </c>
      <c r="T2006"/>
    </row>
    <row r="2007" spans="1:20">
      <c r="A2007" s="5" t="s">
        <v>36</v>
      </c>
      <c r="B2007" s="5" t="s">
        <v>15333</v>
      </c>
      <c r="C2007" s="4">
        <v>45853</v>
      </c>
      <c r="D2007" s="4">
        <v>45856</v>
      </c>
      <c r="E2007" s="5" t="s">
        <v>17325</v>
      </c>
      <c r="F2007" s="5" t="s">
        <v>19314</v>
      </c>
      <c r="G2007" s="5" t="s">
        <v>908</v>
      </c>
      <c r="H2007" s="5">
        <v>1</v>
      </c>
      <c r="I2007" s="8" t="s">
        <v>9128</v>
      </c>
      <c r="J2007" s="8" t="s">
        <v>11177</v>
      </c>
      <c r="K2007" s="8" t="s">
        <v>2974</v>
      </c>
      <c r="L2007" s="8" t="s">
        <v>13228</v>
      </c>
      <c r="M2007" s="8" t="s">
        <v>5024</v>
      </c>
      <c r="N2007" s="8" t="s">
        <v>7075</v>
      </c>
      <c r="O2007" s="5" t="s">
        <v>153</v>
      </c>
      <c r="P2007" s="4">
        <v>45874</v>
      </c>
      <c r="Q2007" s="15">
        <v>29.5</v>
      </c>
      <c r="R2007" s="15">
        <v>22.58</v>
      </c>
      <c r="S2007" s="15">
        <v>0</v>
      </c>
      <c r="T2007"/>
    </row>
    <row r="2008" spans="1:20">
      <c r="A2008" s="5" t="s">
        <v>36</v>
      </c>
      <c r="B2008" s="5" t="s">
        <v>15334</v>
      </c>
      <c r="C2008" s="4">
        <v>45853</v>
      </c>
      <c r="D2008" s="4">
        <v>45856</v>
      </c>
      <c r="E2008" s="5" t="s">
        <v>17326</v>
      </c>
      <c r="F2008" s="5" t="s">
        <v>19315</v>
      </c>
      <c r="G2008" s="5" t="s">
        <v>908</v>
      </c>
      <c r="H2008" s="5">
        <v>1</v>
      </c>
      <c r="I2008" s="8" t="s">
        <v>9129</v>
      </c>
      <c r="J2008" s="8" t="s">
        <v>11178</v>
      </c>
      <c r="K2008" s="8" t="s">
        <v>2975</v>
      </c>
      <c r="L2008" s="8" t="s">
        <v>13229</v>
      </c>
      <c r="M2008" s="8" t="s">
        <v>5025</v>
      </c>
      <c r="N2008" s="8" t="s">
        <v>7076</v>
      </c>
      <c r="O2008" s="5" t="s">
        <v>153</v>
      </c>
      <c r="P2008" s="4">
        <v>45868</v>
      </c>
      <c r="Q2008" s="15">
        <v>29.5</v>
      </c>
      <c r="R2008" s="15">
        <v>22.58</v>
      </c>
      <c r="S2008" s="15">
        <v>0</v>
      </c>
      <c r="T2008"/>
    </row>
    <row r="2009" spans="1:20">
      <c r="A2009" s="5" t="s">
        <v>36</v>
      </c>
      <c r="B2009" s="5" t="s">
        <v>15335</v>
      </c>
      <c r="C2009" s="4">
        <v>45853</v>
      </c>
      <c r="D2009" s="4">
        <v>45856</v>
      </c>
      <c r="E2009" s="5" t="s">
        <v>17327</v>
      </c>
      <c r="F2009" s="5" t="s">
        <v>19316</v>
      </c>
      <c r="G2009" s="5" t="s">
        <v>908</v>
      </c>
      <c r="H2009" s="5">
        <v>1</v>
      </c>
      <c r="I2009" s="8" t="s">
        <v>9130</v>
      </c>
      <c r="J2009" s="8" t="s">
        <v>11179</v>
      </c>
      <c r="K2009" s="8" t="s">
        <v>2976</v>
      </c>
      <c r="L2009" s="8" t="s">
        <v>13230</v>
      </c>
      <c r="M2009" s="8" t="s">
        <v>5026</v>
      </c>
      <c r="N2009" s="8" t="s">
        <v>7077</v>
      </c>
      <c r="O2009" s="5" t="s">
        <v>153</v>
      </c>
      <c r="P2009" s="4">
        <v>45868</v>
      </c>
      <c r="Q2009" s="15">
        <v>29.5</v>
      </c>
      <c r="R2009" s="15">
        <v>22.58</v>
      </c>
      <c r="S2009" s="15">
        <v>0</v>
      </c>
      <c r="T2009"/>
    </row>
    <row r="2010" spans="1:20">
      <c r="A2010" s="5" t="s">
        <v>36</v>
      </c>
      <c r="B2010" s="5" t="s">
        <v>15336</v>
      </c>
      <c r="C2010" s="4">
        <v>45853</v>
      </c>
      <c r="D2010" s="4">
        <v>45856</v>
      </c>
      <c r="E2010" s="5" t="s">
        <v>17328</v>
      </c>
      <c r="F2010" s="5" t="s">
        <v>19317</v>
      </c>
      <c r="G2010" s="5" t="s">
        <v>908</v>
      </c>
      <c r="H2010" s="5">
        <v>1</v>
      </c>
      <c r="I2010" s="8" t="s">
        <v>9131</v>
      </c>
      <c r="J2010" s="8" t="s">
        <v>11180</v>
      </c>
      <c r="K2010" s="8" t="s">
        <v>2977</v>
      </c>
      <c r="L2010" s="8" t="s">
        <v>13231</v>
      </c>
      <c r="M2010" s="8" t="s">
        <v>5027</v>
      </c>
      <c r="N2010" s="8" t="s">
        <v>7078</v>
      </c>
      <c r="O2010" s="5" t="s">
        <v>153</v>
      </c>
      <c r="P2010" s="4">
        <v>45868</v>
      </c>
      <c r="Q2010" s="15">
        <v>28.5</v>
      </c>
      <c r="R2010" s="15">
        <v>22.58</v>
      </c>
      <c r="S2010" s="15">
        <v>0</v>
      </c>
      <c r="T2010"/>
    </row>
    <row r="2011" spans="1:20">
      <c r="A2011" s="5" t="s">
        <v>36</v>
      </c>
      <c r="B2011" s="5" t="s">
        <v>15337</v>
      </c>
      <c r="C2011" s="4">
        <v>45854</v>
      </c>
      <c r="D2011" s="4">
        <v>45854</v>
      </c>
      <c r="E2011" s="5" t="s">
        <v>17329</v>
      </c>
      <c r="F2011" s="5" t="s">
        <v>19318</v>
      </c>
      <c r="G2011" s="5" t="s">
        <v>902</v>
      </c>
      <c r="H2011" s="5">
        <v>1</v>
      </c>
      <c r="I2011" s="8" t="s">
        <v>9132</v>
      </c>
      <c r="J2011" s="8" t="s">
        <v>11181</v>
      </c>
      <c r="K2011" s="8" t="s">
        <v>2978</v>
      </c>
      <c r="L2011" s="8" t="s">
        <v>13232</v>
      </c>
      <c r="M2011" s="8" t="s">
        <v>5028</v>
      </c>
      <c r="N2011" s="8" t="s">
        <v>7079</v>
      </c>
      <c r="O2011" s="5" t="s">
        <v>152</v>
      </c>
      <c r="P2011" s="4">
        <v>45881</v>
      </c>
      <c r="Q2011" s="15">
        <v>23.9</v>
      </c>
      <c r="R2011" s="15">
        <v>14.99</v>
      </c>
      <c r="S2011" s="15">
        <v>5</v>
      </c>
      <c r="T2011"/>
    </row>
    <row r="2012" spans="1:20">
      <c r="A2012" s="5" t="s">
        <v>36</v>
      </c>
      <c r="B2012" s="5" t="s">
        <v>15338</v>
      </c>
      <c r="C2012" s="4">
        <v>45854</v>
      </c>
      <c r="D2012" s="4">
        <v>45859</v>
      </c>
      <c r="E2012" s="5" t="s">
        <v>17330</v>
      </c>
      <c r="F2012" s="5" t="s">
        <v>19319</v>
      </c>
      <c r="G2012" s="5" t="s">
        <v>908</v>
      </c>
      <c r="H2012" s="5">
        <v>1</v>
      </c>
      <c r="I2012" s="8" t="s">
        <v>9133</v>
      </c>
      <c r="J2012" s="8" t="s">
        <v>11182</v>
      </c>
      <c r="K2012" s="8" t="s">
        <v>2979</v>
      </c>
      <c r="L2012" s="8" t="s">
        <v>13233</v>
      </c>
      <c r="M2012" s="8" t="s">
        <v>5029</v>
      </c>
      <c r="N2012" s="8" t="s">
        <v>7080</v>
      </c>
      <c r="O2012" s="5" t="s">
        <v>153</v>
      </c>
      <c r="P2012" s="4">
        <v>45875</v>
      </c>
      <c r="Q2012" s="15">
        <v>29.5</v>
      </c>
      <c r="R2012" s="15">
        <v>22.58</v>
      </c>
      <c r="S2012" s="15">
        <v>0</v>
      </c>
      <c r="T2012"/>
    </row>
    <row r="2013" spans="1:20">
      <c r="A2013" s="5" t="s">
        <v>36</v>
      </c>
      <c r="B2013" s="5" t="s">
        <v>15339</v>
      </c>
      <c r="C2013" s="4">
        <v>45854</v>
      </c>
      <c r="D2013" s="4">
        <v>45859</v>
      </c>
      <c r="E2013" s="5" t="s">
        <v>17331</v>
      </c>
      <c r="F2013" s="5" t="s">
        <v>19320</v>
      </c>
      <c r="G2013" s="5" t="s">
        <v>908</v>
      </c>
      <c r="H2013" s="5">
        <v>1</v>
      </c>
      <c r="I2013" s="8" t="s">
        <v>9134</v>
      </c>
      <c r="J2013" s="8" t="s">
        <v>11183</v>
      </c>
      <c r="K2013" s="8" t="s">
        <v>2980</v>
      </c>
      <c r="L2013" s="8" t="s">
        <v>13234</v>
      </c>
      <c r="M2013" s="8" t="s">
        <v>5030</v>
      </c>
      <c r="N2013" s="8" t="s">
        <v>7081</v>
      </c>
      <c r="O2013" s="5" t="s">
        <v>153</v>
      </c>
      <c r="P2013" s="4">
        <v>45875</v>
      </c>
      <c r="Q2013" s="15">
        <v>29.5</v>
      </c>
      <c r="R2013" s="15">
        <v>22.58</v>
      </c>
      <c r="S2013" s="15">
        <v>1</v>
      </c>
      <c r="T2013"/>
    </row>
    <row r="2014" spans="1:20">
      <c r="A2014" s="5" t="s">
        <v>36</v>
      </c>
      <c r="B2014" s="5" t="s">
        <v>15340</v>
      </c>
      <c r="C2014" s="4">
        <v>45854</v>
      </c>
      <c r="D2014" s="4">
        <v>45859</v>
      </c>
      <c r="E2014" s="5" t="s">
        <v>17332</v>
      </c>
      <c r="F2014" s="5" t="s">
        <v>19321</v>
      </c>
      <c r="G2014" s="5" t="s">
        <v>908</v>
      </c>
      <c r="H2014" s="5">
        <v>1</v>
      </c>
      <c r="I2014" s="8" t="s">
        <v>9135</v>
      </c>
      <c r="J2014" s="8" t="s">
        <v>11184</v>
      </c>
      <c r="K2014" s="8" t="s">
        <v>2981</v>
      </c>
      <c r="L2014" s="8" t="s">
        <v>13235</v>
      </c>
      <c r="M2014" s="8" t="s">
        <v>5031</v>
      </c>
      <c r="N2014" s="8" t="s">
        <v>7082</v>
      </c>
      <c r="O2014" s="5" t="s">
        <v>153</v>
      </c>
      <c r="P2014" s="4">
        <v>45869</v>
      </c>
      <c r="Q2014" s="15">
        <v>29.5</v>
      </c>
      <c r="R2014" s="15">
        <v>22.58</v>
      </c>
      <c r="S2014" s="15">
        <v>0</v>
      </c>
      <c r="T2014"/>
    </row>
    <row r="2015" spans="1:20">
      <c r="A2015" s="5" t="s">
        <v>36</v>
      </c>
      <c r="B2015" s="5" t="s">
        <v>15341</v>
      </c>
      <c r="C2015" s="4">
        <v>45854</v>
      </c>
      <c r="D2015" s="4">
        <v>45859</v>
      </c>
      <c r="E2015" s="5" t="s">
        <v>17333</v>
      </c>
      <c r="F2015" s="5" t="s">
        <v>19322</v>
      </c>
      <c r="G2015" s="5" t="s">
        <v>908</v>
      </c>
      <c r="H2015" s="5">
        <v>1</v>
      </c>
      <c r="I2015" s="8" t="s">
        <v>9136</v>
      </c>
      <c r="J2015" s="8" t="s">
        <v>11185</v>
      </c>
      <c r="K2015" s="8" t="s">
        <v>2982</v>
      </c>
      <c r="L2015" s="8" t="s">
        <v>13236</v>
      </c>
      <c r="M2015" s="8" t="s">
        <v>5032</v>
      </c>
      <c r="N2015" s="8" t="s">
        <v>7083</v>
      </c>
      <c r="O2015" s="5" t="s">
        <v>153</v>
      </c>
      <c r="P2015" s="4">
        <v>45869</v>
      </c>
      <c r="Q2015" s="15">
        <v>29.5</v>
      </c>
      <c r="R2015" s="15">
        <v>22.58</v>
      </c>
      <c r="S2015" s="15">
        <v>0</v>
      </c>
      <c r="T2015"/>
    </row>
    <row r="2016" spans="1:20">
      <c r="A2016" s="5" t="s">
        <v>36</v>
      </c>
      <c r="B2016" s="5" t="s">
        <v>15342</v>
      </c>
      <c r="C2016" s="4">
        <v>45854</v>
      </c>
      <c r="D2016" s="4">
        <v>45859</v>
      </c>
      <c r="E2016" s="5" t="s">
        <v>17334</v>
      </c>
      <c r="F2016" s="5" t="s">
        <v>19323</v>
      </c>
      <c r="G2016" s="5" t="s">
        <v>908</v>
      </c>
      <c r="H2016" s="5">
        <v>1</v>
      </c>
      <c r="I2016" s="8" t="s">
        <v>9137</v>
      </c>
      <c r="J2016" s="8" t="s">
        <v>11186</v>
      </c>
      <c r="K2016" s="8" t="s">
        <v>2983</v>
      </c>
      <c r="L2016" s="8" t="s">
        <v>13237</v>
      </c>
      <c r="M2016" s="8" t="s">
        <v>5033</v>
      </c>
      <c r="N2016" s="8" t="s">
        <v>7084</v>
      </c>
      <c r="O2016" s="5" t="s">
        <v>153</v>
      </c>
      <c r="P2016" s="4">
        <v>45875</v>
      </c>
      <c r="Q2016" s="15">
        <v>29.5</v>
      </c>
      <c r="R2016" s="15">
        <v>22.58</v>
      </c>
      <c r="S2016" s="15">
        <v>0</v>
      </c>
      <c r="T2016"/>
    </row>
    <row r="2017" spans="1:20">
      <c r="A2017" s="5" t="s">
        <v>36</v>
      </c>
      <c r="B2017" s="5" t="s">
        <v>15343</v>
      </c>
      <c r="C2017" s="4">
        <v>45854</v>
      </c>
      <c r="D2017" s="4">
        <v>45859</v>
      </c>
      <c r="E2017" s="5" t="s">
        <v>17335</v>
      </c>
      <c r="F2017" s="5" t="s">
        <v>19324</v>
      </c>
      <c r="G2017" s="5" t="s">
        <v>908</v>
      </c>
      <c r="H2017" s="5">
        <v>1</v>
      </c>
      <c r="I2017" s="8" t="s">
        <v>9138</v>
      </c>
      <c r="J2017" s="8" t="s">
        <v>11187</v>
      </c>
      <c r="K2017" s="8" t="s">
        <v>2984</v>
      </c>
      <c r="L2017" s="8" t="s">
        <v>13238</v>
      </c>
      <c r="M2017" s="8" t="s">
        <v>5034</v>
      </c>
      <c r="N2017" s="8" t="s">
        <v>7085</v>
      </c>
      <c r="O2017" s="5" t="s">
        <v>153</v>
      </c>
      <c r="P2017" s="4">
        <v>45875</v>
      </c>
      <c r="Q2017" s="15">
        <v>29.5</v>
      </c>
      <c r="R2017" s="15">
        <v>22.58</v>
      </c>
      <c r="S2017" s="15">
        <v>0</v>
      </c>
      <c r="T2017"/>
    </row>
    <row r="2018" spans="1:20">
      <c r="A2018" s="5" t="s">
        <v>36</v>
      </c>
      <c r="B2018" s="5" t="s">
        <v>15344</v>
      </c>
      <c r="C2018" s="4">
        <v>45854</v>
      </c>
      <c r="D2018" s="4">
        <v>45859</v>
      </c>
      <c r="E2018" s="5" t="s">
        <v>17336</v>
      </c>
      <c r="F2018" s="5" t="s">
        <v>19325</v>
      </c>
      <c r="G2018" s="5" t="s">
        <v>908</v>
      </c>
      <c r="H2018" s="5">
        <v>1</v>
      </c>
      <c r="I2018" s="8" t="s">
        <v>9139</v>
      </c>
      <c r="J2018" s="8" t="s">
        <v>11188</v>
      </c>
      <c r="K2018" s="8" t="s">
        <v>2985</v>
      </c>
      <c r="L2018" s="8" t="s">
        <v>13239</v>
      </c>
      <c r="M2018" s="8" t="s">
        <v>5035</v>
      </c>
      <c r="N2018" s="8" t="s">
        <v>7086</v>
      </c>
      <c r="O2018" s="5" t="s">
        <v>153</v>
      </c>
      <c r="P2018" s="4">
        <v>45869</v>
      </c>
      <c r="Q2018" s="15">
        <v>29.5</v>
      </c>
      <c r="R2018" s="15">
        <v>22.58</v>
      </c>
      <c r="S2018" s="15">
        <v>0</v>
      </c>
      <c r="T2018"/>
    </row>
    <row r="2019" spans="1:20">
      <c r="A2019" s="5" t="s">
        <v>36</v>
      </c>
      <c r="B2019" s="5" t="s">
        <v>15345</v>
      </c>
      <c r="C2019" s="4">
        <v>45854</v>
      </c>
      <c r="D2019" s="4">
        <v>45854</v>
      </c>
      <c r="E2019" s="5" t="s">
        <v>17337</v>
      </c>
      <c r="F2019" s="5" t="s">
        <v>19326</v>
      </c>
      <c r="G2019" s="5" t="s">
        <v>908</v>
      </c>
      <c r="H2019" s="5">
        <v>2</v>
      </c>
      <c r="I2019" s="8" t="s">
        <v>9140</v>
      </c>
      <c r="J2019" s="8" t="s">
        <v>11189</v>
      </c>
      <c r="K2019" s="8" t="s">
        <v>2986</v>
      </c>
      <c r="L2019" s="8" t="s">
        <v>13240</v>
      </c>
      <c r="M2019" s="8" t="s">
        <v>5036</v>
      </c>
      <c r="N2019" s="8" t="s">
        <v>7087</v>
      </c>
      <c r="O2019" s="5" t="s">
        <v>153</v>
      </c>
      <c r="P2019" s="4">
        <v>45875</v>
      </c>
      <c r="Q2019" s="15">
        <v>59</v>
      </c>
      <c r="R2019" s="15">
        <v>38.590000000000003</v>
      </c>
      <c r="S2019" s="15">
        <v>0</v>
      </c>
      <c r="T2019"/>
    </row>
    <row r="2020" spans="1:20">
      <c r="A2020" s="5" t="s">
        <v>36</v>
      </c>
      <c r="B2020" s="5" t="s">
        <v>15346</v>
      </c>
      <c r="C2020" s="4">
        <v>45854</v>
      </c>
      <c r="D2020" s="4">
        <v>45854</v>
      </c>
      <c r="E2020" s="5" t="s">
        <v>17338</v>
      </c>
      <c r="F2020" s="5" t="s">
        <v>19327</v>
      </c>
      <c r="G2020" s="5" t="s">
        <v>902</v>
      </c>
      <c r="H2020" s="5">
        <v>1</v>
      </c>
      <c r="I2020" s="8" t="s">
        <v>9141</v>
      </c>
      <c r="J2020" s="8" t="s">
        <v>11190</v>
      </c>
      <c r="K2020" s="8" t="s">
        <v>2987</v>
      </c>
      <c r="L2020" s="8" t="s">
        <v>13241</v>
      </c>
      <c r="M2020" s="8" t="s">
        <v>5037</v>
      </c>
      <c r="N2020" s="8" t="s">
        <v>7088</v>
      </c>
      <c r="O2020" s="5" t="s">
        <v>151</v>
      </c>
      <c r="P2020" s="4">
        <v>45869</v>
      </c>
      <c r="Q2020" s="15">
        <v>23.9</v>
      </c>
      <c r="R2020" s="15">
        <v>0</v>
      </c>
      <c r="S2020" s="15">
        <v>0</v>
      </c>
      <c r="T2020"/>
    </row>
    <row r="2021" spans="1:20">
      <c r="A2021" s="5" t="s">
        <v>36</v>
      </c>
      <c r="B2021" s="5" t="s">
        <v>15347</v>
      </c>
      <c r="C2021" s="4">
        <v>45854</v>
      </c>
      <c r="D2021" s="4">
        <v>45859</v>
      </c>
      <c r="E2021" s="5" t="s">
        <v>17339</v>
      </c>
      <c r="F2021" s="5" t="s">
        <v>19328</v>
      </c>
      <c r="G2021" s="5" t="s">
        <v>908</v>
      </c>
      <c r="H2021" s="5">
        <v>1</v>
      </c>
      <c r="I2021" s="8" t="s">
        <v>9142</v>
      </c>
      <c r="J2021" s="8" t="s">
        <v>11191</v>
      </c>
      <c r="K2021" s="8" t="s">
        <v>2988</v>
      </c>
      <c r="L2021" s="8" t="s">
        <v>13242</v>
      </c>
      <c r="M2021" s="8" t="s">
        <v>5038</v>
      </c>
      <c r="N2021" s="8" t="s">
        <v>7089</v>
      </c>
      <c r="O2021" s="5" t="s">
        <v>153</v>
      </c>
      <c r="P2021" s="4">
        <v>45871</v>
      </c>
      <c r="Q2021" s="15">
        <v>29.5</v>
      </c>
      <c r="R2021" s="15">
        <v>22.58</v>
      </c>
      <c r="S2021" s="15">
        <v>0</v>
      </c>
      <c r="T2021"/>
    </row>
    <row r="2022" spans="1:20">
      <c r="A2022" s="5" t="s">
        <v>36</v>
      </c>
      <c r="B2022" s="5" t="s">
        <v>15348</v>
      </c>
      <c r="C2022" s="4">
        <v>45854</v>
      </c>
      <c r="D2022" s="4">
        <v>45854</v>
      </c>
      <c r="E2022" s="5" t="s">
        <v>17340</v>
      </c>
      <c r="F2022" s="5" t="s">
        <v>19329</v>
      </c>
      <c r="G2022" s="5" t="s">
        <v>894</v>
      </c>
      <c r="H2022" s="5">
        <v>1</v>
      </c>
      <c r="I2022" s="8" t="s">
        <v>9143</v>
      </c>
      <c r="J2022" s="8" t="s">
        <v>11192</v>
      </c>
      <c r="K2022" s="8" t="s">
        <v>2989</v>
      </c>
      <c r="L2022" s="8" t="s">
        <v>13243</v>
      </c>
      <c r="M2022" s="8" t="s">
        <v>5039</v>
      </c>
      <c r="N2022" s="8" t="s">
        <v>7090</v>
      </c>
      <c r="O2022" s="5" t="s">
        <v>154</v>
      </c>
      <c r="P2022" s="4">
        <v>45871</v>
      </c>
      <c r="Q2022" s="15">
        <v>49.99</v>
      </c>
      <c r="R2022" s="15">
        <v>38.99</v>
      </c>
      <c r="S2022" s="15">
        <v>0</v>
      </c>
      <c r="T2022"/>
    </row>
    <row r="2023" spans="1:20">
      <c r="A2023" s="5" t="s">
        <v>36</v>
      </c>
      <c r="B2023" s="5" t="s">
        <v>15349</v>
      </c>
      <c r="C2023" s="4">
        <v>45854</v>
      </c>
      <c r="D2023" s="4">
        <v>45854</v>
      </c>
      <c r="E2023" s="5" t="s">
        <v>17341</v>
      </c>
      <c r="F2023" s="5" t="s">
        <v>19330</v>
      </c>
      <c r="G2023" s="5" t="s">
        <v>902</v>
      </c>
      <c r="H2023" s="5">
        <v>1</v>
      </c>
      <c r="I2023" s="8" t="s">
        <v>9144</v>
      </c>
      <c r="J2023" s="8" t="s">
        <v>11193</v>
      </c>
      <c r="K2023" s="8" t="s">
        <v>2990</v>
      </c>
      <c r="L2023" s="8" t="s">
        <v>13244</v>
      </c>
      <c r="M2023" s="8" t="s">
        <v>5040</v>
      </c>
      <c r="N2023" s="8" t="s">
        <v>7091</v>
      </c>
      <c r="O2023" s="5" t="s">
        <v>151</v>
      </c>
      <c r="P2023" s="4">
        <v>45871</v>
      </c>
      <c r="Q2023" s="15">
        <v>23.9</v>
      </c>
      <c r="R2023" s="15">
        <v>15.15</v>
      </c>
      <c r="S2023" s="15">
        <v>0</v>
      </c>
      <c r="T2023"/>
    </row>
    <row r="2024" spans="1:20">
      <c r="A2024" s="5" t="s">
        <v>36</v>
      </c>
      <c r="B2024" s="5" t="s">
        <v>15350</v>
      </c>
      <c r="C2024" s="4">
        <v>45854</v>
      </c>
      <c r="D2024" s="4">
        <v>45859</v>
      </c>
      <c r="E2024" s="5" t="s">
        <v>17342</v>
      </c>
      <c r="F2024" s="5" t="s">
        <v>19331</v>
      </c>
      <c r="G2024" s="5" t="s">
        <v>908</v>
      </c>
      <c r="H2024" s="5">
        <v>1</v>
      </c>
      <c r="I2024" s="8" t="s">
        <v>9145</v>
      </c>
      <c r="J2024" s="8" t="s">
        <v>11194</v>
      </c>
      <c r="K2024" s="8" t="s">
        <v>2991</v>
      </c>
      <c r="L2024" s="8" t="s">
        <v>13245</v>
      </c>
      <c r="M2024" s="8" t="s">
        <v>5041</v>
      </c>
      <c r="N2024" s="8" t="s">
        <v>7092</v>
      </c>
      <c r="O2024" s="5" t="s">
        <v>153</v>
      </c>
      <c r="P2024" s="4">
        <v>45875</v>
      </c>
      <c r="Q2024" s="15">
        <v>29.5</v>
      </c>
      <c r="R2024" s="15">
        <v>22.58</v>
      </c>
      <c r="S2024" s="15">
        <v>0</v>
      </c>
      <c r="T2024"/>
    </row>
    <row r="2025" spans="1:20">
      <c r="A2025" s="5" t="s">
        <v>36</v>
      </c>
      <c r="B2025" s="5" t="s">
        <v>15351</v>
      </c>
      <c r="C2025" s="4">
        <v>45854</v>
      </c>
      <c r="D2025" s="4">
        <v>45854</v>
      </c>
      <c r="E2025" s="5" t="s">
        <v>17343</v>
      </c>
      <c r="F2025" s="5" t="s">
        <v>19332</v>
      </c>
      <c r="G2025" s="5" t="s">
        <v>902</v>
      </c>
      <c r="H2025" s="5">
        <v>1</v>
      </c>
      <c r="I2025" s="8" t="s">
        <v>9146</v>
      </c>
      <c r="J2025" s="8" t="s">
        <v>11195</v>
      </c>
      <c r="K2025" s="8" t="s">
        <v>2992</v>
      </c>
      <c r="L2025" s="8" t="s">
        <v>13246</v>
      </c>
      <c r="M2025" s="8" t="s">
        <v>5042</v>
      </c>
      <c r="N2025" s="8" t="s">
        <v>7093</v>
      </c>
      <c r="O2025" s="5" t="s">
        <v>151</v>
      </c>
      <c r="P2025" s="4">
        <v>45869</v>
      </c>
      <c r="Q2025" s="15">
        <v>23.9</v>
      </c>
      <c r="R2025" s="15">
        <v>15.46</v>
      </c>
      <c r="S2025" s="15">
        <v>0</v>
      </c>
      <c r="T2025"/>
    </row>
    <row r="2026" spans="1:20">
      <c r="A2026" s="5" t="s">
        <v>36</v>
      </c>
      <c r="B2026" s="5" t="s">
        <v>15352</v>
      </c>
      <c r="C2026" s="4">
        <v>45854</v>
      </c>
      <c r="D2026" s="4">
        <v>45859</v>
      </c>
      <c r="E2026" s="5" t="s">
        <v>17344</v>
      </c>
      <c r="F2026" s="5" t="s">
        <v>19333</v>
      </c>
      <c r="G2026" s="5" t="s">
        <v>908</v>
      </c>
      <c r="H2026" s="5">
        <v>1</v>
      </c>
      <c r="I2026" s="8" t="s">
        <v>9147</v>
      </c>
      <c r="J2026" s="8" t="s">
        <v>11196</v>
      </c>
      <c r="K2026" s="8" t="s">
        <v>2993</v>
      </c>
      <c r="L2026" s="8" t="s">
        <v>13247</v>
      </c>
      <c r="M2026" s="8" t="s">
        <v>5043</v>
      </c>
      <c r="N2026" s="8" t="s">
        <v>7094</v>
      </c>
      <c r="O2026" s="5" t="s">
        <v>153</v>
      </c>
      <c r="P2026" s="4">
        <v>45875</v>
      </c>
      <c r="Q2026" s="15">
        <v>29.5</v>
      </c>
      <c r="R2026" s="15">
        <v>22.58</v>
      </c>
      <c r="S2026" s="15">
        <v>0</v>
      </c>
      <c r="T2026"/>
    </row>
    <row r="2027" spans="1:20">
      <c r="A2027" s="5" t="s">
        <v>36</v>
      </c>
      <c r="B2027" s="5" t="s">
        <v>15353</v>
      </c>
      <c r="C2027" s="4">
        <v>45854</v>
      </c>
      <c r="D2027" s="4">
        <v>45854</v>
      </c>
      <c r="E2027" s="5" t="s">
        <v>17345</v>
      </c>
      <c r="F2027" s="5" t="s">
        <v>19334</v>
      </c>
      <c r="G2027" s="5" t="s">
        <v>902</v>
      </c>
      <c r="H2027" s="5">
        <v>1</v>
      </c>
      <c r="I2027" s="8" t="s">
        <v>9148</v>
      </c>
      <c r="J2027" s="8" t="s">
        <v>11197</v>
      </c>
      <c r="K2027" s="8" t="s">
        <v>2994</v>
      </c>
      <c r="L2027" s="8" t="s">
        <v>13248</v>
      </c>
      <c r="M2027" s="8" t="s">
        <v>5044</v>
      </c>
      <c r="N2027" s="8" t="s">
        <v>7095</v>
      </c>
      <c r="O2027" s="5" t="s">
        <v>151</v>
      </c>
      <c r="P2027" s="4">
        <v>45869</v>
      </c>
      <c r="Q2027" s="15">
        <v>23.9</v>
      </c>
      <c r="R2027" s="15">
        <v>15.82</v>
      </c>
      <c r="S2027" s="15">
        <v>0</v>
      </c>
      <c r="T2027"/>
    </row>
    <row r="2028" spans="1:20">
      <c r="A2028" s="5" t="s">
        <v>108</v>
      </c>
      <c r="B2028" s="5" t="s">
        <v>15354</v>
      </c>
      <c r="C2028" s="4">
        <v>45853</v>
      </c>
      <c r="D2028" s="4">
        <v>45854</v>
      </c>
      <c r="E2028" s="5" t="s">
        <v>17346</v>
      </c>
      <c r="F2028" s="5" t="s">
        <v>19335</v>
      </c>
      <c r="G2028" s="5" t="s">
        <v>860</v>
      </c>
      <c r="H2028" s="5">
        <v>1</v>
      </c>
      <c r="I2028" s="8" t="s">
        <v>9149</v>
      </c>
      <c r="J2028" s="8" t="s">
        <v>11198</v>
      </c>
      <c r="K2028" s="8" t="s">
        <v>2995</v>
      </c>
      <c r="L2028" s="8" t="s">
        <v>13249</v>
      </c>
      <c r="M2028" s="8" t="s">
        <v>5045</v>
      </c>
      <c r="N2028" s="8" t="s">
        <v>7096</v>
      </c>
      <c r="O2028" s="5" t="s">
        <v>131</v>
      </c>
      <c r="P2028" s="4">
        <v>45868</v>
      </c>
      <c r="Q2028" s="15">
        <v>54.99</v>
      </c>
      <c r="R2028" s="15">
        <v>32.99</v>
      </c>
      <c r="S2028" s="15">
        <v>0</v>
      </c>
      <c r="T2028"/>
    </row>
    <row r="2029" spans="1:20">
      <c r="A2029" s="5" t="s">
        <v>108</v>
      </c>
      <c r="B2029" s="5" t="s">
        <v>15355</v>
      </c>
      <c r="C2029" s="4">
        <v>45853</v>
      </c>
      <c r="D2029" s="4">
        <v>45854</v>
      </c>
      <c r="E2029" s="5" t="s">
        <v>17347</v>
      </c>
      <c r="F2029" s="5" t="s">
        <v>19336</v>
      </c>
      <c r="G2029" s="5" t="s">
        <v>860</v>
      </c>
      <c r="H2029" s="5">
        <v>1</v>
      </c>
      <c r="I2029" s="8" t="s">
        <v>9150</v>
      </c>
      <c r="J2029" s="8" t="s">
        <v>11199</v>
      </c>
      <c r="K2029" s="8" t="s">
        <v>2996</v>
      </c>
      <c r="L2029" s="8" t="s">
        <v>13250</v>
      </c>
      <c r="M2029" s="8" t="s">
        <v>5046</v>
      </c>
      <c r="N2029" s="8" t="s">
        <v>7097</v>
      </c>
      <c r="O2029" s="5" t="s">
        <v>131</v>
      </c>
      <c r="P2029" s="4">
        <v>45874</v>
      </c>
      <c r="Q2029" s="15">
        <v>54.99</v>
      </c>
      <c r="R2029" s="15">
        <v>32.99</v>
      </c>
      <c r="S2029" s="15">
        <v>0</v>
      </c>
      <c r="T2029"/>
    </row>
    <row r="2030" spans="1:20">
      <c r="A2030" s="5" t="s">
        <v>108</v>
      </c>
      <c r="B2030" s="5" t="s">
        <v>15356</v>
      </c>
      <c r="C2030" s="4">
        <v>45853</v>
      </c>
      <c r="D2030" s="4">
        <v>45854</v>
      </c>
      <c r="E2030" s="5" t="s">
        <v>17348</v>
      </c>
      <c r="F2030" s="5" t="s">
        <v>19337</v>
      </c>
      <c r="G2030" s="5" t="s">
        <v>894</v>
      </c>
      <c r="H2030" s="5">
        <v>1</v>
      </c>
      <c r="I2030" s="8" t="s">
        <v>9151</v>
      </c>
      <c r="J2030" s="8" t="s">
        <v>11200</v>
      </c>
      <c r="K2030" s="8" t="s">
        <v>2997</v>
      </c>
      <c r="L2030" s="8" t="s">
        <v>13251</v>
      </c>
      <c r="M2030" s="8" t="s">
        <v>5047</v>
      </c>
      <c r="N2030" s="8" t="s">
        <v>7098</v>
      </c>
      <c r="O2030" s="5" t="s">
        <v>155</v>
      </c>
      <c r="P2030" s="4">
        <v>45874</v>
      </c>
      <c r="Q2030" s="15">
        <v>54.99</v>
      </c>
      <c r="R2030" s="15">
        <v>44.17</v>
      </c>
      <c r="S2030" s="15">
        <v>0</v>
      </c>
      <c r="T2030"/>
    </row>
    <row r="2031" spans="1:20">
      <c r="A2031" s="5" t="s">
        <v>108</v>
      </c>
      <c r="B2031" s="5" t="s">
        <v>15357</v>
      </c>
      <c r="C2031" s="4">
        <v>45854</v>
      </c>
      <c r="D2031" s="4">
        <v>45854</v>
      </c>
      <c r="E2031" s="5" t="s">
        <v>17349</v>
      </c>
      <c r="F2031" s="5" t="s">
        <v>19338</v>
      </c>
      <c r="G2031" s="5" t="s">
        <v>860</v>
      </c>
      <c r="H2031" s="5">
        <v>1</v>
      </c>
      <c r="I2031" s="8" t="s">
        <v>9152</v>
      </c>
      <c r="J2031" s="8" t="s">
        <v>11201</v>
      </c>
      <c r="K2031" s="8" t="s">
        <v>2998</v>
      </c>
      <c r="L2031" s="8" t="s">
        <v>13252</v>
      </c>
      <c r="M2031" s="8" t="s">
        <v>5048</v>
      </c>
      <c r="N2031" s="8" t="s">
        <v>7099</v>
      </c>
      <c r="O2031" s="5" t="s">
        <v>131</v>
      </c>
      <c r="P2031" s="4">
        <v>45881</v>
      </c>
      <c r="Q2031" s="15">
        <v>54.99</v>
      </c>
      <c r="R2031" s="15">
        <v>32.99</v>
      </c>
      <c r="S2031" s="15">
        <v>0</v>
      </c>
      <c r="T2031"/>
    </row>
    <row r="2032" spans="1:20">
      <c r="A2032" s="5" t="s">
        <v>36</v>
      </c>
      <c r="B2032" s="5" t="s">
        <v>15358</v>
      </c>
      <c r="C2032" s="4">
        <v>45854</v>
      </c>
      <c r="D2032" s="4">
        <v>45859</v>
      </c>
      <c r="E2032" s="5" t="s">
        <v>17350</v>
      </c>
      <c r="F2032" s="5" t="s">
        <v>19339</v>
      </c>
      <c r="G2032" s="5" t="s">
        <v>908</v>
      </c>
      <c r="H2032" s="5">
        <v>1</v>
      </c>
      <c r="I2032" s="8" t="s">
        <v>9153</v>
      </c>
      <c r="J2032" s="8" t="s">
        <v>11202</v>
      </c>
      <c r="K2032" s="8" t="s">
        <v>2999</v>
      </c>
      <c r="L2032" s="8" t="s">
        <v>13253</v>
      </c>
      <c r="M2032" s="8" t="s">
        <v>5049</v>
      </c>
      <c r="N2032" s="8" t="s">
        <v>7100</v>
      </c>
      <c r="O2032" s="5" t="s">
        <v>153</v>
      </c>
      <c r="P2032" s="4">
        <v>45875</v>
      </c>
      <c r="Q2032" s="15">
        <v>29.5</v>
      </c>
      <c r="R2032" s="15">
        <v>22.58</v>
      </c>
      <c r="S2032" s="15">
        <v>0</v>
      </c>
      <c r="T2032"/>
    </row>
    <row r="2033" spans="1:20">
      <c r="A2033" s="5" t="s">
        <v>36</v>
      </c>
      <c r="B2033" s="5" t="s">
        <v>15359</v>
      </c>
      <c r="C2033" s="4">
        <v>45854</v>
      </c>
      <c r="D2033" s="4">
        <v>45859</v>
      </c>
      <c r="E2033" s="5" t="s">
        <v>17351</v>
      </c>
      <c r="F2033" s="5" t="s">
        <v>19340</v>
      </c>
      <c r="G2033" s="5" t="s">
        <v>908</v>
      </c>
      <c r="H2033" s="5">
        <v>1</v>
      </c>
      <c r="I2033" s="8" t="s">
        <v>9154</v>
      </c>
      <c r="J2033" s="8" t="s">
        <v>11203</v>
      </c>
      <c r="K2033" s="8" t="s">
        <v>3000</v>
      </c>
      <c r="L2033" s="8" t="s">
        <v>13254</v>
      </c>
      <c r="M2033" s="8" t="s">
        <v>5050</v>
      </c>
      <c r="N2033" s="8" t="s">
        <v>7101</v>
      </c>
      <c r="O2033" s="5" t="s">
        <v>153</v>
      </c>
      <c r="P2033" s="4">
        <v>45871</v>
      </c>
      <c r="Q2033" s="15">
        <v>29.5</v>
      </c>
      <c r="R2033" s="15">
        <v>22.58</v>
      </c>
      <c r="S2033" s="15">
        <v>0</v>
      </c>
      <c r="T2033"/>
    </row>
    <row r="2034" spans="1:20">
      <c r="A2034" s="5" t="s">
        <v>36</v>
      </c>
      <c r="B2034" s="5" t="s">
        <v>15360</v>
      </c>
      <c r="C2034" s="4">
        <v>45854</v>
      </c>
      <c r="D2034" s="4">
        <v>45859</v>
      </c>
      <c r="E2034" s="5" t="s">
        <v>17352</v>
      </c>
      <c r="F2034" s="5" t="s">
        <v>19341</v>
      </c>
      <c r="G2034" s="5" t="s">
        <v>908</v>
      </c>
      <c r="H2034" s="5">
        <v>1</v>
      </c>
      <c r="I2034" s="8" t="s">
        <v>9155</v>
      </c>
      <c r="J2034" s="8" t="s">
        <v>11204</v>
      </c>
      <c r="K2034" s="8" t="s">
        <v>3001</v>
      </c>
      <c r="L2034" s="8" t="s">
        <v>13255</v>
      </c>
      <c r="M2034" s="8" t="s">
        <v>5051</v>
      </c>
      <c r="N2034" s="8" t="s">
        <v>7102</v>
      </c>
      <c r="O2034" s="5" t="s">
        <v>153</v>
      </c>
      <c r="P2034" s="4">
        <v>45869</v>
      </c>
      <c r="Q2034" s="15">
        <v>29.5</v>
      </c>
      <c r="R2034" s="15">
        <v>22.58</v>
      </c>
      <c r="S2034" s="15">
        <v>0</v>
      </c>
      <c r="T2034"/>
    </row>
    <row r="2035" spans="1:20">
      <c r="A2035" s="5" t="s">
        <v>36</v>
      </c>
      <c r="B2035" s="5" t="s">
        <v>15361</v>
      </c>
      <c r="C2035" s="4">
        <v>45854</v>
      </c>
      <c r="D2035" s="4">
        <v>45859</v>
      </c>
      <c r="E2035" s="5" t="s">
        <v>17353</v>
      </c>
      <c r="F2035" s="5" t="s">
        <v>19342</v>
      </c>
      <c r="G2035" s="5" t="s">
        <v>908</v>
      </c>
      <c r="H2035" s="5">
        <v>1</v>
      </c>
      <c r="I2035" s="8" t="s">
        <v>9156</v>
      </c>
      <c r="J2035" s="8" t="s">
        <v>11205</v>
      </c>
      <c r="K2035" s="8" t="s">
        <v>3002</v>
      </c>
      <c r="L2035" s="8" t="s">
        <v>13256</v>
      </c>
      <c r="M2035" s="8" t="s">
        <v>5052</v>
      </c>
      <c r="N2035" s="8" t="s">
        <v>7103</v>
      </c>
      <c r="O2035" s="5" t="s">
        <v>153</v>
      </c>
      <c r="P2035" s="4">
        <v>45869</v>
      </c>
      <c r="Q2035" s="15">
        <v>29.5</v>
      </c>
      <c r="R2035" s="15">
        <v>22.58</v>
      </c>
      <c r="S2035" s="15">
        <v>0</v>
      </c>
      <c r="T2035"/>
    </row>
    <row r="2036" spans="1:20">
      <c r="A2036" s="5" t="s">
        <v>36</v>
      </c>
      <c r="B2036" s="5" t="s">
        <v>15362</v>
      </c>
      <c r="C2036" s="4">
        <v>45854</v>
      </c>
      <c r="D2036" s="4">
        <v>45860</v>
      </c>
      <c r="E2036" s="5" t="s">
        <v>17354</v>
      </c>
      <c r="F2036" s="5" t="s">
        <v>19343</v>
      </c>
      <c r="G2036" s="5" t="s">
        <v>894</v>
      </c>
      <c r="H2036" s="5">
        <v>1</v>
      </c>
      <c r="I2036" s="8" t="s">
        <v>9157</v>
      </c>
      <c r="J2036" s="8" t="s">
        <v>11206</v>
      </c>
      <c r="K2036" s="8" t="s">
        <v>3003</v>
      </c>
      <c r="L2036" s="8" t="s">
        <v>13257</v>
      </c>
      <c r="M2036" s="8" t="s">
        <v>5053</v>
      </c>
      <c r="N2036" s="8" t="s">
        <v>7104</v>
      </c>
      <c r="O2036" s="5" t="s">
        <v>154</v>
      </c>
      <c r="P2036" s="4">
        <v>45875</v>
      </c>
      <c r="Q2036" s="15">
        <v>49.99</v>
      </c>
      <c r="R2036" s="15">
        <v>39.86</v>
      </c>
      <c r="S2036" s="15">
        <v>0</v>
      </c>
      <c r="T2036"/>
    </row>
    <row r="2037" spans="1:20">
      <c r="A2037" s="5" t="s">
        <v>36</v>
      </c>
      <c r="B2037" s="5" t="s">
        <v>15363</v>
      </c>
      <c r="C2037" s="4">
        <v>45854</v>
      </c>
      <c r="D2037" s="4">
        <v>45859</v>
      </c>
      <c r="E2037" s="5" t="s">
        <v>17355</v>
      </c>
      <c r="F2037" s="5" t="s">
        <v>19344</v>
      </c>
      <c r="G2037" s="5" t="s">
        <v>908</v>
      </c>
      <c r="H2037" s="5">
        <v>1</v>
      </c>
      <c r="I2037" s="8" t="s">
        <v>9158</v>
      </c>
      <c r="J2037" s="8" t="s">
        <v>11207</v>
      </c>
      <c r="K2037" s="8" t="s">
        <v>3004</v>
      </c>
      <c r="L2037" s="8" t="s">
        <v>13258</v>
      </c>
      <c r="M2037" s="8" t="s">
        <v>5054</v>
      </c>
      <c r="N2037" s="8" t="s">
        <v>7105</v>
      </c>
      <c r="O2037" s="5" t="s">
        <v>153</v>
      </c>
      <c r="P2037" s="4">
        <v>45875</v>
      </c>
      <c r="Q2037" s="15">
        <v>29.5</v>
      </c>
      <c r="R2037" s="15">
        <v>22.58</v>
      </c>
      <c r="S2037" s="15">
        <v>0</v>
      </c>
      <c r="T2037"/>
    </row>
    <row r="2038" spans="1:20">
      <c r="A2038" s="5" t="s">
        <v>36</v>
      </c>
      <c r="B2038" s="5" t="s">
        <v>15364</v>
      </c>
      <c r="C2038" s="4">
        <v>45854</v>
      </c>
      <c r="D2038" s="4">
        <v>45860</v>
      </c>
      <c r="E2038" s="5" t="s">
        <v>17356</v>
      </c>
      <c r="F2038" s="5" t="s">
        <v>19345</v>
      </c>
      <c r="G2038" s="5" t="s">
        <v>902</v>
      </c>
      <c r="H2038" s="5">
        <v>1</v>
      </c>
      <c r="I2038" s="8" t="s">
        <v>9159</v>
      </c>
      <c r="J2038" s="8" t="s">
        <v>11208</v>
      </c>
      <c r="K2038" s="8" t="s">
        <v>3005</v>
      </c>
      <c r="L2038" s="8" t="s">
        <v>13259</v>
      </c>
      <c r="M2038" s="8" t="s">
        <v>5055</v>
      </c>
      <c r="N2038" s="8" t="s">
        <v>7106</v>
      </c>
      <c r="O2038" s="5" t="s">
        <v>151</v>
      </c>
      <c r="P2038" s="4">
        <v>45871</v>
      </c>
      <c r="Q2038" s="15">
        <v>23.9</v>
      </c>
      <c r="R2038" s="15">
        <v>15.99</v>
      </c>
      <c r="S2038" s="15">
        <v>0</v>
      </c>
      <c r="T2038"/>
    </row>
    <row r="2039" spans="1:20">
      <c r="A2039" s="5" t="s">
        <v>36</v>
      </c>
      <c r="B2039" s="5" t="s">
        <v>15365</v>
      </c>
      <c r="C2039" s="4">
        <v>45854</v>
      </c>
      <c r="D2039" s="4">
        <v>45859</v>
      </c>
      <c r="E2039" s="5" t="s">
        <v>17357</v>
      </c>
      <c r="F2039" s="5" t="s">
        <v>19346</v>
      </c>
      <c r="G2039" s="5" t="s">
        <v>908</v>
      </c>
      <c r="H2039" s="5">
        <v>1</v>
      </c>
      <c r="I2039" s="8" t="s">
        <v>9160</v>
      </c>
      <c r="J2039" s="8" t="s">
        <v>11209</v>
      </c>
      <c r="K2039" s="8" t="s">
        <v>3006</v>
      </c>
      <c r="L2039" s="8" t="s">
        <v>13260</v>
      </c>
      <c r="M2039" s="8" t="s">
        <v>5056</v>
      </c>
      <c r="N2039" s="8" t="s">
        <v>7107</v>
      </c>
      <c r="O2039" s="5" t="s">
        <v>153</v>
      </c>
      <c r="P2039" s="4">
        <v>45869</v>
      </c>
      <c r="Q2039" s="15">
        <v>29.5</v>
      </c>
      <c r="R2039" s="15">
        <v>22.58</v>
      </c>
      <c r="S2039" s="15">
        <v>0</v>
      </c>
      <c r="T2039"/>
    </row>
    <row r="2040" spans="1:20">
      <c r="A2040" s="5" t="s">
        <v>36</v>
      </c>
      <c r="B2040" s="5" t="s">
        <v>15366</v>
      </c>
      <c r="C2040" s="4">
        <v>45854</v>
      </c>
      <c r="D2040" s="4">
        <v>45859</v>
      </c>
      <c r="E2040" s="5" t="s">
        <v>17358</v>
      </c>
      <c r="F2040" s="5" t="s">
        <v>19347</v>
      </c>
      <c r="G2040" s="5" t="s">
        <v>908</v>
      </c>
      <c r="H2040" s="5">
        <v>1</v>
      </c>
      <c r="I2040" s="8" t="s">
        <v>9161</v>
      </c>
      <c r="J2040" s="8" t="s">
        <v>11210</v>
      </c>
      <c r="K2040" s="8" t="s">
        <v>3007</v>
      </c>
      <c r="L2040" s="8" t="s">
        <v>13261</v>
      </c>
      <c r="M2040" s="8" t="s">
        <v>5057</v>
      </c>
      <c r="N2040" s="8" t="s">
        <v>7108</v>
      </c>
      <c r="O2040" s="5" t="s">
        <v>153</v>
      </c>
      <c r="P2040" s="4">
        <v>45871</v>
      </c>
      <c r="Q2040" s="15">
        <v>29.5</v>
      </c>
      <c r="R2040" s="15">
        <v>22.58</v>
      </c>
      <c r="S2040" s="15">
        <v>0</v>
      </c>
      <c r="T2040"/>
    </row>
    <row r="2041" spans="1:20">
      <c r="A2041" s="5" t="s">
        <v>36</v>
      </c>
      <c r="B2041" s="5" t="s">
        <v>15367</v>
      </c>
      <c r="C2041" s="4">
        <v>45854</v>
      </c>
      <c r="D2041" s="4">
        <v>45859</v>
      </c>
      <c r="E2041" s="5" t="s">
        <v>17359</v>
      </c>
      <c r="F2041" s="5" t="s">
        <v>19348</v>
      </c>
      <c r="G2041" s="5" t="s">
        <v>908</v>
      </c>
      <c r="H2041" s="5">
        <v>2</v>
      </c>
      <c r="I2041" s="8" t="s">
        <v>9162</v>
      </c>
      <c r="J2041" s="8" t="s">
        <v>11211</v>
      </c>
      <c r="K2041" s="8" t="s">
        <v>3008</v>
      </c>
      <c r="L2041" s="8" t="s">
        <v>13262</v>
      </c>
      <c r="M2041" s="8" t="s">
        <v>5058</v>
      </c>
      <c r="N2041" s="8" t="s">
        <v>7109</v>
      </c>
      <c r="O2041" s="5" t="s">
        <v>153</v>
      </c>
      <c r="P2041" s="4">
        <v>45869</v>
      </c>
      <c r="Q2041" s="15">
        <v>59</v>
      </c>
      <c r="R2041" s="15">
        <v>40.659999999999997</v>
      </c>
      <c r="S2041" s="15">
        <v>0</v>
      </c>
      <c r="T2041"/>
    </row>
    <row r="2042" spans="1:20">
      <c r="A2042" s="5" t="s">
        <v>36</v>
      </c>
      <c r="B2042" s="5" t="s">
        <v>15368</v>
      </c>
      <c r="C2042" s="4">
        <v>45854</v>
      </c>
      <c r="D2042" s="4">
        <v>45860</v>
      </c>
      <c r="E2042" s="5" t="s">
        <v>17360</v>
      </c>
      <c r="F2042" s="5" t="s">
        <v>19349</v>
      </c>
      <c r="G2042" s="5" t="s">
        <v>902</v>
      </c>
      <c r="H2042" s="5">
        <v>1</v>
      </c>
      <c r="I2042" s="8" t="s">
        <v>9163</v>
      </c>
      <c r="J2042" s="8" t="s">
        <v>11212</v>
      </c>
      <c r="K2042" s="8" t="s">
        <v>3009</v>
      </c>
      <c r="L2042" s="8" t="s">
        <v>13263</v>
      </c>
      <c r="M2042" s="8" t="s">
        <v>5059</v>
      </c>
      <c r="N2042" s="8" t="s">
        <v>7110</v>
      </c>
      <c r="O2042" s="5" t="s">
        <v>151</v>
      </c>
      <c r="P2042" s="4">
        <v>45869</v>
      </c>
      <c r="Q2042" s="15">
        <v>23.9</v>
      </c>
      <c r="R2042" s="15">
        <v>15.99</v>
      </c>
      <c r="S2042" s="15">
        <v>0</v>
      </c>
      <c r="T2042"/>
    </row>
    <row r="2043" spans="1:20">
      <c r="A2043" s="5" t="s">
        <v>36</v>
      </c>
      <c r="B2043" s="5" t="s">
        <v>15369</v>
      </c>
      <c r="C2043" s="4">
        <v>45854</v>
      </c>
      <c r="D2043" s="4">
        <v>45859</v>
      </c>
      <c r="E2043" s="5" t="s">
        <v>17361</v>
      </c>
      <c r="F2043" s="5" t="s">
        <v>19350</v>
      </c>
      <c r="G2043" s="5" t="s">
        <v>908</v>
      </c>
      <c r="H2043" s="5">
        <v>1</v>
      </c>
      <c r="I2043" s="8" t="s">
        <v>9164</v>
      </c>
      <c r="J2043" s="8" t="s">
        <v>11213</v>
      </c>
      <c r="K2043" s="8" t="s">
        <v>3010</v>
      </c>
      <c r="L2043" s="8" t="s">
        <v>13264</v>
      </c>
      <c r="M2043" s="8" t="s">
        <v>5060</v>
      </c>
      <c r="N2043" s="8" t="s">
        <v>7111</v>
      </c>
      <c r="O2043" s="5" t="s">
        <v>153</v>
      </c>
      <c r="P2043" s="4">
        <v>45871</v>
      </c>
      <c r="Q2043" s="15">
        <v>29.5</v>
      </c>
      <c r="R2043" s="15">
        <v>22.58</v>
      </c>
      <c r="S2043" s="15">
        <v>0</v>
      </c>
      <c r="T2043"/>
    </row>
    <row r="2044" spans="1:20">
      <c r="A2044" s="5" t="s">
        <v>36</v>
      </c>
      <c r="B2044" s="5" t="s">
        <v>15370</v>
      </c>
      <c r="C2044" s="4">
        <v>45854</v>
      </c>
      <c r="D2044" s="4">
        <v>45859</v>
      </c>
      <c r="E2044" s="5" t="s">
        <v>17362</v>
      </c>
      <c r="F2044" s="5" t="s">
        <v>19351</v>
      </c>
      <c r="G2044" s="5" t="s">
        <v>908</v>
      </c>
      <c r="H2044" s="5">
        <v>1</v>
      </c>
      <c r="I2044" s="8" t="s">
        <v>9165</v>
      </c>
      <c r="J2044" s="8" t="s">
        <v>11214</v>
      </c>
      <c r="K2044" s="8" t="s">
        <v>3011</v>
      </c>
      <c r="L2044" s="8" t="s">
        <v>13265</v>
      </c>
      <c r="M2044" s="8" t="s">
        <v>5061</v>
      </c>
      <c r="N2044" s="8" t="s">
        <v>7112</v>
      </c>
      <c r="O2044" s="5" t="s">
        <v>153</v>
      </c>
      <c r="P2044" s="4">
        <v>45869</v>
      </c>
      <c r="Q2044" s="15">
        <v>29.5</v>
      </c>
      <c r="R2044" s="15">
        <v>22.58</v>
      </c>
      <c r="S2044" s="15">
        <v>0</v>
      </c>
      <c r="T2044"/>
    </row>
    <row r="2045" spans="1:20">
      <c r="A2045" s="5" t="s">
        <v>36</v>
      </c>
      <c r="B2045" s="5" t="s">
        <v>15371</v>
      </c>
      <c r="C2045" s="4">
        <v>45854</v>
      </c>
      <c r="D2045" s="4">
        <v>45859</v>
      </c>
      <c r="E2045" s="5" t="s">
        <v>17363</v>
      </c>
      <c r="F2045" s="5" t="s">
        <v>19352</v>
      </c>
      <c r="G2045" s="5" t="s">
        <v>908</v>
      </c>
      <c r="H2045" s="5">
        <v>1</v>
      </c>
      <c r="I2045" s="8" t="s">
        <v>9166</v>
      </c>
      <c r="J2045" s="8" t="s">
        <v>11215</v>
      </c>
      <c r="K2045" s="8" t="s">
        <v>3012</v>
      </c>
      <c r="L2045" s="8" t="s">
        <v>13266</v>
      </c>
      <c r="M2045" s="8" t="s">
        <v>5062</v>
      </c>
      <c r="N2045" s="8" t="s">
        <v>7113</v>
      </c>
      <c r="O2045" s="5" t="s">
        <v>153</v>
      </c>
      <c r="P2045" s="4">
        <v>45869</v>
      </c>
      <c r="Q2045" s="15">
        <v>29.5</v>
      </c>
      <c r="R2045" s="15">
        <v>22.58</v>
      </c>
      <c r="S2045" s="15">
        <v>0</v>
      </c>
      <c r="T2045"/>
    </row>
    <row r="2046" spans="1:20">
      <c r="A2046" s="5" t="s">
        <v>36</v>
      </c>
      <c r="B2046" s="5" t="s">
        <v>15372</v>
      </c>
      <c r="C2046" s="4">
        <v>45854</v>
      </c>
      <c r="D2046" s="4">
        <v>45860</v>
      </c>
      <c r="E2046" s="5" t="s">
        <v>17364</v>
      </c>
      <c r="F2046" s="5" t="s">
        <v>19353</v>
      </c>
      <c r="G2046" s="5" t="s">
        <v>908</v>
      </c>
      <c r="H2046" s="5">
        <v>1</v>
      </c>
      <c r="I2046" s="8" t="s">
        <v>9167</v>
      </c>
      <c r="J2046" s="8" t="s">
        <v>11216</v>
      </c>
      <c r="K2046" s="8" t="s">
        <v>3013</v>
      </c>
      <c r="L2046" s="8" t="s">
        <v>13267</v>
      </c>
      <c r="M2046" s="8" t="s">
        <v>5063</v>
      </c>
      <c r="N2046" s="8" t="s">
        <v>7114</v>
      </c>
      <c r="O2046" s="5" t="s">
        <v>153</v>
      </c>
      <c r="P2046" s="4">
        <v>45875</v>
      </c>
      <c r="Q2046" s="15">
        <v>29.5</v>
      </c>
      <c r="R2046" s="15">
        <v>22.58</v>
      </c>
      <c r="S2046" s="15">
        <v>0</v>
      </c>
      <c r="T2046"/>
    </row>
    <row r="2047" spans="1:20">
      <c r="A2047" s="5" t="s">
        <v>36</v>
      </c>
      <c r="B2047" s="5" t="s">
        <v>15373</v>
      </c>
      <c r="C2047" s="4">
        <v>45854</v>
      </c>
      <c r="D2047" s="4">
        <v>45860</v>
      </c>
      <c r="E2047" s="5" t="s">
        <v>17365</v>
      </c>
      <c r="F2047" s="5" t="s">
        <v>19354</v>
      </c>
      <c r="G2047" s="5" t="s">
        <v>908</v>
      </c>
      <c r="H2047" s="5">
        <v>1</v>
      </c>
      <c r="I2047" s="8" t="s">
        <v>9168</v>
      </c>
      <c r="J2047" s="8" t="s">
        <v>11217</v>
      </c>
      <c r="K2047" s="8" t="s">
        <v>3014</v>
      </c>
      <c r="L2047" s="8" t="s">
        <v>13268</v>
      </c>
      <c r="M2047" s="8" t="s">
        <v>5064</v>
      </c>
      <c r="N2047" s="8" t="s">
        <v>7115</v>
      </c>
      <c r="O2047" s="5" t="s">
        <v>153</v>
      </c>
      <c r="P2047" s="4">
        <v>45869</v>
      </c>
      <c r="Q2047" s="15">
        <v>29.5</v>
      </c>
      <c r="R2047" s="15">
        <v>22.58</v>
      </c>
      <c r="S2047" s="15">
        <v>0</v>
      </c>
      <c r="T2047"/>
    </row>
    <row r="2048" spans="1:20">
      <c r="A2048" s="5" t="s">
        <v>36</v>
      </c>
      <c r="B2048" s="5" t="s">
        <v>15374</v>
      </c>
      <c r="C2048" s="4">
        <v>45854</v>
      </c>
      <c r="D2048" s="4">
        <v>45860</v>
      </c>
      <c r="E2048" s="5" t="s">
        <v>17366</v>
      </c>
      <c r="F2048" s="5" t="s">
        <v>19355</v>
      </c>
      <c r="G2048" s="5" t="s">
        <v>908</v>
      </c>
      <c r="H2048" s="5">
        <v>1</v>
      </c>
      <c r="I2048" s="8" t="s">
        <v>9169</v>
      </c>
      <c r="J2048" s="8" t="s">
        <v>11218</v>
      </c>
      <c r="K2048" s="8" t="s">
        <v>3015</v>
      </c>
      <c r="L2048" s="8" t="s">
        <v>13269</v>
      </c>
      <c r="M2048" s="8" t="s">
        <v>5065</v>
      </c>
      <c r="N2048" s="8" t="s">
        <v>7116</v>
      </c>
      <c r="O2048" s="5" t="s">
        <v>153</v>
      </c>
      <c r="P2048" s="4">
        <v>45875</v>
      </c>
      <c r="Q2048" s="15">
        <v>29.5</v>
      </c>
      <c r="R2048" s="15">
        <v>22.58</v>
      </c>
      <c r="S2048" s="15">
        <v>0</v>
      </c>
      <c r="T2048"/>
    </row>
    <row r="2049" spans="1:20">
      <c r="A2049" s="5" t="s">
        <v>36</v>
      </c>
      <c r="B2049" s="5" t="s">
        <v>15375</v>
      </c>
      <c r="C2049" s="4">
        <v>45854</v>
      </c>
      <c r="D2049" s="4">
        <v>45860</v>
      </c>
      <c r="E2049" s="5" t="s">
        <v>17367</v>
      </c>
      <c r="F2049" s="5" t="s">
        <v>19356</v>
      </c>
      <c r="G2049" s="5" t="s">
        <v>908</v>
      </c>
      <c r="H2049" s="5">
        <v>1</v>
      </c>
      <c r="I2049" s="8" t="s">
        <v>9170</v>
      </c>
      <c r="J2049" s="8" t="s">
        <v>11219</v>
      </c>
      <c r="K2049" s="8" t="s">
        <v>3016</v>
      </c>
      <c r="L2049" s="8" t="s">
        <v>13270</v>
      </c>
      <c r="M2049" s="8" t="s">
        <v>5066</v>
      </c>
      <c r="N2049" s="8" t="s">
        <v>7117</v>
      </c>
      <c r="O2049" s="5" t="s">
        <v>153</v>
      </c>
      <c r="P2049" s="4">
        <v>45875</v>
      </c>
      <c r="Q2049" s="15">
        <v>29.5</v>
      </c>
      <c r="R2049" s="15">
        <v>22.58</v>
      </c>
      <c r="S2049" s="15">
        <v>0</v>
      </c>
      <c r="T2049"/>
    </row>
    <row r="2050" spans="1:20">
      <c r="A2050" s="5" t="s">
        <v>36</v>
      </c>
      <c r="B2050" s="5" t="s">
        <v>15376</v>
      </c>
      <c r="C2050" s="4">
        <v>45854</v>
      </c>
      <c r="D2050" s="4">
        <v>45860</v>
      </c>
      <c r="E2050" s="5" t="s">
        <v>17368</v>
      </c>
      <c r="F2050" s="5" t="s">
        <v>19357</v>
      </c>
      <c r="G2050" s="5" t="s">
        <v>908</v>
      </c>
      <c r="H2050" s="5">
        <v>1</v>
      </c>
      <c r="I2050" s="8" t="s">
        <v>9171</v>
      </c>
      <c r="J2050" s="8" t="s">
        <v>11220</v>
      </c>
      <c r="K2050" s="8" t="s">
        <v>3017</v>
      </c>
      <c r="L2050" s="8" t="s">
        <v>13271</v>
      </c>
      <c r="M2050" s="8" t="s">
        <v>5067</v>
      </c>
      <c r="N2050" s="8" t="s">
        <v>7118</v>
      </c>
      <c r="O2050" s="5" t="s">
        <v>153</v>
      </c>
      <c r="P2050" s="4">
        <v>45869</v>
      </c>
      <c r="Q2050" s="15">
        <v>29.5</v>
      </c>
      <c r="R2050" s="15">
        <v>22.58</v>
      </c>
      <c r="S2050" s="15">
        <v>0</v>
      </c>
      <c r="T2050"/>
    </row>
    <row r="2051" spans="1:20">
      <c r="A2051" s="5" t="s">
        <v>36</v>
      </c>
      <c r="B2051" s="5" t="s">
        <v>15377</v>
      </c>
      <c r="C2051" s="4">
        <v>45855</v>
      </c>
      <c r="D2051" s="4">
        <v>45860</v>
      </c>
      <c r="E2051" s="5" t="s">
        <v>17369</v>
      </c>
      <c r="F2051" s="5" t="s">
        <v>19358</v>
      </c>
      <c r="G2051" s="5" t="s">
        <v>908</v>
      </c>
      <c r="H2051" s="5">
        <v>1</v>
      </c>
      <c r="I2051" s="8" t="s">
        <v>9172</v>
      </c>
      <c r="J2051" s="8" t="s">
        <v>11221</v>
      </c>
      <c r="K2051" s="8" t="s">
        <v>3018</v>
      </c>
      <c r="L2051" s="8" t="s">
        <v>13272</v>
      </c>
      <c r="M2051" s="8" t="s">
        <v>5068</v>
      </c>
      <c r="N2051" s="8" t="s">
        <v>7119</v>
      </c>
      <c r="O2051" s="5" t="s">
        <v>153</v>
      </c>
      <c r="P2051" s="4">
        <v>45870</v>
      </c>
      <c r="Q2051" s="15">
        <v>29.5</v>
      </c>
      <c r="R2051" s="15">
        <v>22.58</v>
      </c>
      <c r="S2051" s="15">
        <v>0</v>
      </c>
      <c r="T2051"/>
    </row>
    <row r="2052" spans="1:20">
      <c r="A2052" s="5" t="s">
        <v>36</v>
      </c>
      <c r="B2052" s="5" t="s">
        <v>15378</v>
      </c>
      <c r="C2052" s="4">
        <v>45855</v>
      </c>
      <c r="D2052" s="4">
        <v>45860</v>
      </c>
      <c r="E2052" s="5" t="s">
        <v>17370</v>
      </c>
      <c r="F2052" s="5" t="s">
        <v>19359</v>
      </c>
      <c r="G2052" s="5" t="s">
        <v>908</v>
      </c>
      <c r="H2052" s="5">
        <v>1</v>
      </c>
      <c r="I2052" s="8" t="s">
        <v>9173</v>
      </c>
      <c r="J2052" s="8" t="s">
        <v>11222</v>
      </c>
      <c r="K2052" s="8" t="s">
        <v>3019</v>
      </c>
      <c r="L2052" s="8" t="s">
        <v>13273</v>
      </c>
      <c r="M2052" s="8" t="s">
        <v>5069</v>
      </c>
      <c r="N2052" s="8" t="s">
        <v>7120</v>
      </c>
      <c r="O2052" s="5" t="s">
        <v>153</v>
      </c>
      <c r="P2052" s="4">
        <v>45870</v>
      </c>
      <c r="Q2052" s="15">
        <v>29.5</v>
      </c>
      <c r="R2052" s="15">
        <v>22.58</v>
      </c>
      <c r="S2052" s="15">
        <v>0</v>
      </c>
      <c r="T2052"/>
    </row>
    <row r="2053" spans="1:20">
      <c r="A2053" s="5" t="s">
        <v>36</v>
      </c>
      <c r="B2053" s="5" t="s">
        <v>15379</v>
      </c>
      <c r="C2053" s="4">
        <v>45855</v>
      </c>
      <c r="D2053" s="4">
        <v>45860</v>
      </c>
      <c r="E2053" s="5" t="s">
        <v>17371</v>
      </c>
      <c r="F2053" s="5" t="s">
        <v>19360</v>
      </c>
      <c r="G2053" s="5" t="s">
        <v>908</v>
      </c>
      <c r="H2053" s="5">
        <v>1</v>
      </c>
      <c r="I2053" s="8" t="s">
        <v>9174</v>
      </c>
      <c r="J2053" s="8" t="s">
        <v>11223</v>
      </c>
      <c r="K2053" s="8" t="s">
        <v>3020</v>
      </c>
      <c r="L2053" s="8" t="s">
        <v>13274</v>
      </c>
      <c r="M2053" s="8" t="s">
        <v>5070</v>
      </c>
      <c r="N2053" s="8" t="s">
        <v>7121</v>
      </c>
      <c r="O2053" s="5" t="s">
        <v>153</v>
      </c>
      <c r="P2053" s="4">
        <v>45870</v>
      </c>
      <c r="Q2053" s="15">
        <v>29.5</v>
      </c>
      <c r="R2053" s="15">
        <v>22.58</v>
      </c>
      <c r="S2053" s="15">
        <v>0</v>
      </c>
      <c r="T2053"/>
    </row>
    <row r="2054" spans="1:20">
      <c r="A2054" s="5" t="s">
        <v>36</v>
      </c>
      <c r="B2054" s="5" t="s">
        <v>15380</v>
      </c>
      <c r="C2054" s="4">
        <v>45855</v>
      </c>
      <c r="D2054" s="4">
        <v>45860</v>
      </c>
      <c r="E2054" s="5" t="s">
        <v>17372</v>
      </c>
      <c r="F2054" s="5" t="s">
        <v>19361</v>
      </c>
      <c r="G2054" s="5" t="s">
        <v>908</v>
      </c>
      <c r="H2054" s="5">
        <v>1</v>
      </c>
      <c r="I2054" s="8" t="s">
        <v>9175</v>
      </c>
      <c r="J2054" s="8" t="s">
        <v>11224</v>
      </c>
      <c r="K2054" s="8" t="s">
        <v>3021</v>
      </c>
      <c r="L2054" s="8" t="s">
        <v>13275</v>
      </c>
      <c r="M2054" s="8" t="s">
        <v>5071</v>
      </c>
      <c r="N2054" s="8" t="s">
        <v>7122</v>
      </c>
      <c r="O2054" s="5" t="s">
        <v>153</v>
      </c>
      <c r="P2054" s="4">
        <v>45876</v>
      </c>
      <c r="Q2054" s="15">
        <v>29.5</v>
      </c>
      <c r="R2054" s="15">
        <v>22.58</v>
      </c>
      <c r="S2054" s="15">
        <v>0</v>
      </c>
      <c r="T2054"/>
    </row>
    <row r="2055" spans="1:20">
      <c r="A2055" s="5" t="s">
        <v>36</v>
      </c>
      <c r="B2055" s="5" t="s">
        <v>15381</v>
      </c>
      <c r="C2055" s="4">
        <v>45855</v>
      </c>
      <c r="D2055" s="4">
        <v>45860</v>
      </c>
      <c r="E2055" s="5" t="s">
        <v>17373</v>
      </c>
      <c r="F2055" s="5" t="s">
        <v>19362</v>
      </c>
      <c r="G2055" s="5" t="s">
        <v>908</v>
      </c>
      <c r="H2055" s="5">
        <v>2</v>
      </c>
      <c r="I2055" s="8" t="s">
        <v>9176</v>
      </c>
      <c r="J2055" s="8" t="s">
        <v>11225</v>
      </c>
      <c r="K2055" s="8" t="s">
        <v>3022</v>
      </c>
      <c r="L2055" s="8" t="s">
        <v>13276</v>
      </c>
      <c r="M2055" s="8" t="s">
        <v>5072</v>
      </c>
      <c r="N2055" s="8" t="s">
        <v>7123</v>
      </c>
      <c r="O2055" s="5" t="s">
        <v>153</v>
      </c>
      <c r="P2055" s="4">
        <v>45876</v>
      </c>
      <c r="Q2055" s="15">
        <v>59</v>
      </c>
      <c r="R2055" s="15">
        <v>40.659999999999997</v>
      </c>
      <c r="S2055" s="15">
        <v>0</v>
      </c>
      <c r="T2055"/>
    </row>
    <row r="2056" spans="1:20">
      <c r="A2056" s="5" t="s">
        <v>36</v>
      </c>
      <c r="B2056" s="5" t="s">
        <v>15382</v>
      </c>
      <c r="C2056" s="4">
        <v>45855</v>
      </c>
      <c r="D2056" s="4">
        <v>45860</v>
      </c>
      <c r="E2056" s="5" t="s">
        <v>17374</v>
      </c>
      <c r="F2056" s="5" t="s">
        <v>19363</v>
      </c>
      <c r="G2056" s="5" t="s">
        <v>908</v>
      </c>
      <c r="H2056" s="5">
        <v>1</v>
      </c>
      <c r="I2056" s="8" t="s">
        <v>9177</v>
      </c>
      <c r="J2056" s="8" t="s">
        <v>11226</v>
      </c>
      <c r="K2056" s="8" t="s">
        <v>3023</v>
      </c>
      <c r="L2056" s="8" t="s">
        <v>13277</v>
      </c>
      <c r="M2056" s="8" t="s">
        <v>5073</v>
      </c>
      <c r="N2056" s="8" t="s">
        <v>7124</v>
      </c>
      <c r="O2056" s="5" t="s">
        <v>153</v>
      </c>
      <c r="P2056" s="4">
        <v>45876</v>
      </c>
      <c r="Q2056" s="15">
        <v>29.5</v>
      </c>
      <c r="R2056" s="15">
        <v>22.58</v>
      </c>
      <c r="S2056" s="15">
        <v>1</v>
      </c>
      <c r="T2056"/>
    </row>
    <row r="2057" spans="1:20">
      <c r="A2057" s="5" t="s">
        <v>108</v>
      </c>
      <c r="B2057" s="5" t="s">
        <v>15383</v>
      </c>
      <c r="C2057" s="4">
        <v>45855</v>
      </c>
      <c r="D2057" s="4">
        <v>45860</v>
      </c>
      <c r="E2057" s="5" t="s">
        <v>17375</v>
      </c>
      <c r="F2057" s="5" t="s">
        <v>19364</v>
      </c>
      <c r="G2057" s="5" t="s">
        <v>860</v>
      </c>
      <c r="H2057" s="5">
        <v>1</v>
      </c>
      <c r="I2057" s="8" t="s">
        <v>9178</v>
      </c>
      <c r="J2057" s="8" t="s">
        <v>11227</v>
      </c>
      <c r="K2057" s="8" t="s">
        <v>3024</v>
      </c>
      <c r="L2057" s="8" t="s">
        <v>13278</v>
      </c>
      <c r="M2057" s="8" t="s">
        <v>5074</v>
      </c>
      <c r="N2057" s="8" t="s">
        <v>7125</v>
      </c>
      <c r="O2057" s="5" t="s">
        <v>131</v>
      </c>
      <c r="P2057" s="4">
        <v>45881</v>
      </c>
      <c r="Q2057" s="15">
        <v>54.99</v>
      </c>
      <c r="R2057" s="15">
        <v>36.72</v>
      </c>
      <c r="S2057" s="15">
        <v>0</v>
      </c>
      <c r="T2057"/>
    </row>
    <row r="2058" spans="1:20">
      <c r="A2058" s="5" t="s">
        <v>36</v>
      </c>
      <c r="B2058" s="5" t="s">
        <v>15384</v>
      </c>
      <c r="C2058" s="4">
        <v>45856</v>
      </c>
      <c r="D2058" s="4">
        <v>45861</v>
      </c>
      <c r="E2058" s="5" t="s">
        <v>17376</v>
      </c>
      <c r="F2058" s="5" t="s">
        <v>19365</v>
      </c>
      <c r="G2058" s="5" t="s">
        <v>908</v>
      </c>
      <c r="H2058" s="5">
        <v>1</v>
      </c>
      <c r="I2058" s="8" t="s">
        <v>9179</v>
      </c>
      <c r="J2058" s="8" t="s">
        <v>11228</v>
      </c>
      <c r="K2058" s="8" t="s">
        <v>3025</v>
      </c>
      <c r="L2058" s="8" t="s">
        <v>13279</v>
      </c>
      <c r="M2058" s="8" t="s">
        <v>5075</v>
      </c>
      <c r="N2058" s="8" t="s">
        <v>7126</v>
      </c>
      <c r="O2058" s="5" t="s">
        <v>153</v>
      </c>
      <c r="P2058" s="4">
        <v>45870</v>
      </c>
      <c r="Q2058" s="15">
        <v>29.5</v>
      </c>
      <c r="R2058" s="15">
        <v>22.58</v>
      </c>
      <c r="S2058" s="15">
        <v>0</v>
      </c>
      <c r="T2058"/>
    </row>
    <row r="2059" spans="1:20">
      <c r="A2059" s="5" t="s">
        <v>36</v>
      </c>
      <c r="B2059" s="5" t="s">
        <v>15385</v>
      </c>
      <c r="C2059" s="4">
        <v>45856</v>
      </c>
      <c r="D2059" s="4">
        <v>45861</v>
      </c>
      <c r="E2059" s="5" t="s">
        <v>17377</v>
      </c>
      <c r="F2059" s="5" t="s">
        <v>19366</v>
      </c>
      <c r="G2059" s="5" t="s">
        <v>908</v>
      </c>
      <c r="H2059" s="5">
        <v>1</v>
      </c>
      <c r="I2059" s="8" t="s">
        <v>9180</v>
      </c>
      <c r="J2059" s="8" t="s">
        <v>11229</v>
      </c>
      <c r="K2059" s="8" t="s">
        <v>3026</v>
      </c>
      <c r="L2059" s="8" t="s">
        <v>13280</v>
      </c>
      <c r="M2059" s="8" t="s">
        <v>5076</v>
      </c>
      <c r="N2059" s="8" t="s">
        <v>7127</v>
      </c>
      <c r="O2059" s="5" t="s">
        <v>153</v>
      </c>
      <c r="P2059" s="4">
        <v>45871</v>
      </c>
      <c r="Q2059" s="15">
        <v>29.5</v>
      </c>
      <c r="R2059" s="15">
        <v>22.58</v>
      </c>
      <c r="S2059" s="15">
        <v>0</v>
      </c>
      <c r="T2059"/>
    </row>
    <row r="2060" spans="1:20">
      <c r="A2060" s="5" t="s">
        <v>36</v>
      </c>
      <c r="B2060" s="5" t="s">
        <v>15386</v>
      </c>
      <c r="C2060" s="4">
        <v>45856</v>
      </c>
      <c r="D2060" s="4">
        <v>45861</v>
      </c>
      <c r="E2060" s="5" t="s">
        <v>17378</v>
      </c>
      <c r="F2060" s="5" t="s">
        <v>19367</v>
      </c>
      <c r="G2060" s="5" t="s">
        <v>908</v>
      </c>
      <c r="H2060" s="5">
        <v>1</v>
      </c>
      <c r="I2060" s="8" t="s">
        <v>9181</v>
      </c>
      <c r="J2060" s="8" t="s">
        <v>11230</v>
      </c>
      <c r="K2060" s="8" t="s">
        <v>3027</v>
      </c>
      <c r="L2060" s="8" t="s">
        <v>13281</v>
      </c>
      <c r="M2060" s="8" t="s">
        <v>5077</v>
      </c>
      <c r="N2060" s="8" t="s">
        <v>7128</v>
      </c>
      <c r="O2060" s="5" t="s">
        <v>153</v>
      </c>
      <c r="P2060" s="4">
        <v>45875</v>
      </c>
      <c r="Q2060" s="15">
        <v>29.5</v>
      </c>
      <c r="R2060" s="15">
        <v>22.58</v>
      </c>
      <c r="S2060" s="15">
        <v>0</v>
      </c>
      <c r="T2060"/>
    </row>
    <row r="2061" spans="1:20">
      <c r="A2061" s="5" t="s">
        <v>36</v>
      </c>
      <c r="B2061" s="5" t="s">
        <v>15387</v>
      </c>
      <c r="C2061" s="4">
        <v>45856</v>
      </c>
      <c r="D2061" s="4">
        <v>45861</v>
      </c>
      <c r="E2061" s="5" t="s">
        <v>17379</v>
      </c>
      <c r="F2061" s="5" t="s">
        <v>19368</v>
      </c>
      <c r="G2061" s="5" t="s">
        <v>908</v>
      </c>
      <c r="H2061" s="5">
        <v>1</v>
      </c>
      <c r="I2061" s="8" t="s">
        <v>9182</v>
      </c>
      <c r="J2061" s="8" t="s">
        <v>11231</v>
      </c>
      <c r="K2061" s="8" t="s">
        <v>3028</v>
      </c>
      <c r="L2061" s="8" t="s">
        <v>13282</v>
      </c>
      <c r="M2061" s="8" t="s">
        <v>5078</v>
      </c>
      <c r="N2061" s="8" t="s">
        <v>7129</v>
      </c>
      <c r="O2061" s="5" t="s">
        <v>153</v>
      </c>
      <c r="P2061" s="4">
        <v>45877</v>
      </c>
      <c r="Q2061" s="15">
        <v>29.5</v>
      </c>
      <c r="R2061" s="15">
        <v>22.58</v>
      </c>
      <c r="S2061" s="15">
        <v>0</v>
      </c>
      <c r="T2061"/>
    </row>
    <row r="2062" spans="1:20">
      <c r="A2062" s="5" t="s">
        <v>36</v>
      </c>
      <c r="B2062" s="5" t="s">
        <v>15388</v>
      </c>
      <c r="C2062" s="4">
        <v>45859</v>
      </c>
      <c r="D2062" s="4">
        <v>45861</v>
      </c>
      <c r="E2062" s="5" t="s">
        <v>17380</v>
      </c>
      <c r="F2062" s="5" t="s">
        <v>19369</v>
      </c>
      <c r="G2062" s="5" t="s">
        <v>908</v>
      </c>
      <c r="H2062" s="5">
        <v>1</v>
      </c>
      <c r="I2062" s="8" t="s">
        <v>9183</v>
      </c>
      <c r="J2062" s="8" t="s">
        <v>11232</v>
      </c>
      <c r="K2062" s="8" t="s">
        <v>3029</v>
      </c>
      <c r="L2062" s="8" t="s">
        <v>13283</v>
      </c>
      <c r="M2062" s="8" t="s">
        <v>5079</v>
      </c>
      <c r="N2062" s="8" t="s">
        <v>7130</v>
      </c>
      <c r="O2062" s="5" t="s">
        <v>153</v>
      </c>
      <c r="P2062" s="4">
        <v>45875</v>
      </c>
      <c r="Q2062" s="15">
        <v>31.99</v>
      </c>
      <c r="R2062" s="15">
        <v>22.58</v>
      </c>
      <c r="S2062" s="15">
        <v>0</v>
      </c>
      <c r="T2062"/>
    </row>
    <row r="2063" spans="1:20">
      <c r="A2063" s="5" t="s">
        <v>108</v>
      </c>
      <c r="B2063" s="5" t="s">
        <v>15389</v>
      </c>
      <c r="C2063" s="4">
        <v>45860</v>
      </c>
      <c r="D2063" s="4">
        <v>45860</v>
      </c>
      <c r="E2063" s="5" t="s">
        <v>17381</v>
      </c>
      <c r="F2063" s="5" t="s">
        <v>19370</v>
      </c>
      <c r="G2063" s="5" t="s">
        <v>860</v>
      </c>
      <c r="H2063" s="5">
        <v>1</v>
      </c>
      <c r="I2063" s="8" t="s">
        <v>9184</v>
      </c>
      <c r="J2063" s="8" t="s">
        <v>11233</v>
      </c>
      <c r="K2063" s="8" t="s">
        <v>3030</v>
      </c>
      <c r="L2063" s="8" t="s">
        <v>13284</v>
      </c>
      <c r="M2063" s="8" t="s">
        <v>5080</v>
      </c>
      <c r="N2063" s="8" t="s">
        <v>7131</v>
      </c>
      <c r="O2063" s="5" t="s">
        <v>131</v>
      </c>
      <c r="P2063" s="4">
        <v>45881</v>
      </c>
      <c r="Q2063" s="15">
        <v>54.99</v>
      </c>
      <c r="R2063" s="15">
        <v>36.72</v>
      </c>
      <c r="S2063" s="15">
        <v>0</v>
      </c>
      <c r="T2063"/>
    </row>
    <row r="2064" spans="1:20">
      <c r="A2064" s="5" t="s">
        <v>108</v>
      </c>
      <c r="B2064" s="5" t="s">
        <v>15390</v>
      </c>
      <c r="C2064" s="4">
        <v>45860</v>
      </c>
      <c r="D2064" s="4">
        <v>45860</v>
      </c>
      <c r="E2064" s="5" t="s">
        <v>17381</v>
      </c>
      <c r="F2064" s="5" t="s">
        <v>19370</v>
      </c>
      <c r="G2064" s="5" t="s">
        <v>860</v>
      </c>
      <c r="H2064" s="5">
        <v>1</v>
      </c>
      <c r="I2064" s="8" t="s">
        <v>9184</v>
      </c>
      <c r="J2064" s="8" t="s">
        <v>11233</v>
      </c>
      <c r="K2064" s="8" t="s">
        <v>3030</v>
      </c>
      <c r="L2064" s="8" t="s">
        <v>13284</v>
      </c>
      <c r="M2064" s="8" t="s">
        <v>5080</v>
      </c>
      <c r="N2064" s="8" t="s">
        <v>7131</v>
      </c>
      <c r="O2064" s="5" t="s">
        <v>131</v>
      </c>
      <c r="P2064" s="4">
        <v>45881</v>
      </c>
      <c r="Q2064" s="15">
        <v>54.99</v>
      </c>
      <c r="R2064" s="15">
        <v>36.72</v>
      </c>
      <c r="S2064" s="15">
        <v>0</v>
      </c>
      <c r="T2064"/>
    </row>
    <row r="2065" spans="1:20">
      <c r="A2065" s="5" t="s">
        <v>108</v>
      </c>
      <c r="B2065" s="5" t="s">
        <v>15391</v>
      </c>
      <c r="C2065" s="4">
        <v>45860</v>
      </c>
      <c r="D2065" s="4">
        <v>45860</v>
      </c>
      <c r="E2065" s="5" t="s">
        <v>17382</v>
      </c>
      <c r="F2065" s="5" t="s">
        <v>19371</v>
      </c>
      <c r="G2065" s="5" t="s">
        <v>908</v>
      </c>
      <c r="H2065" s="5">
        <v>1</v>
      </c>
      <c r="I2065" s="8" t="s">
        <v>9185</v>
      </c>
      <c r="J2065" s="8" t="s">
        <v>11234</v>
      </c>
      <c r="K2065" s="8" t="s">
        <v>3031</v>
      </c>
      <c r="L2065" s="8" t="s">
        <v>13285</v>
      </c>
      <c r="M2065" s="8" t="s">
        <v>5081</v>
      </c>
      <c r="N2065" s="8" t="s">
        <v>7132</v>
      </c>
      <c r="O2065" s="5" t="s">
        <v>156</v>
      </c>
      <c r="P2065" s="4">
        <v>45874</v>
      </c>
      <c r="Q2065" s="15">
        <v>30.99</v>
      </c>
      <c r="R2065" s="15">
        <v>22.58</v>
      </c>
      <c r="S2065" s="15">
        <v>0</v>
      </c>
      <c r="T2065"/>
    </row>
    <row r="2066" spans="1:20">
      <c r="A2066" s="5" t="s">
        <v>108</v>
      </c>
      <c r="B2066" s="5" t="s">
        <v>15392</v>
      </c>
      <c r="C2066" s="4">
        <v>45860</v>
      </c>
      <c r="D2066" s="4">
        <v>45860</v>
      </c>
      <c r="E2066" s="5" t="s">
        <v>17383</v>
      </c>
      <c r="F2066" s="5" t="s">
        <v>19372</v>
      </c>
      <c r="G2066" s="5" t="s">
        <v>908</v>
      </c>
      <c r="H2066" s="5">
        <v>1</v>
      </c>
      <c r="I2066" s="8" t="s">
        <v>9186</v>
      </c>
      <c r="J2066" s="8" t="s">
        <v>11235</v>
      </c>
      <c r="K2066" s="8" t="s">
        <v>3032</v>
      </c>
      <c r="L2066" s="8" t="s">
        <v>13286</v>
      </c>
      <c r="M2066" s="8" t="s">
        <v>5082</v>
      </c>
      <c r="N2066" s="8" t="s">
        <v>7133</v>
      </c>
      <c r="O2066" s="5" t="s">
        <v>156</v>
      </c>
      <c r="P2066" s="4">
        <v>45869</v>
      </c>
      <c r="Q2066" s="15">
        <v>30.97</v>
      </c>
      <c r="R2066" s="15">
        <v>22.58</v>
      </c>
      <c r="S2066" s="15">
        <v>0</v>
      </c>
      <c r="T2066"/>
    </row>
    <row r="2067" spans="1:20">
      <c r="A2067" s="5" t="s">
        <v>108</v>
      </c>
      <c r="B2067" s="5" t="s">
        <v>15393</v>
      </c>
      <c r="C2067" s="4">
        <v>45860</v>
      </c>
      <c r="D2067" s="4">
        <v>45861</v>
      </c>
      <c r="E2067" s="5" t="s">
        <v>17384</v>
      </c>
      <c r="F2067" s="5" t="s">
        <v>19373</v>
      </c>
      <c r="G2067" s="5" t="s">
        <v>908</v>
      </c>
      <c r="H2067" s="5">
        <v>1</v>
      </c>
      <c r="I2067" s="8" t="s">
        <v>9187</v>
      </c>
      <c r="J2067" s="8" t="s">
        <v>11236</v>
      </c>
      <c r="K2067" s="8" t="s">
        <v>3033</v>
      </c>
      <c r="L2067" s="8" t="s">
        <v>13287</v>
      </c>
      <c r="M2067" s="8" t="s">
        <v>5083</v>
      </c>
      <c r="N2067" s="8" t="s">
        <v>7134</v>
      </c>
      <c r="O2067" s="5" t="s">
        <v>156</v>
      </c>
      <c r="P2067" s="4">
        <v>45869</v>
      </c>
      <c r="Q2067" s="15">
        <v>30.97</v>
      </c>
      <c r="R2067" s="15">
        <v>22.58</v>
      </c>
      <c r="S2067" s="15">
        <v>0</v>
      </c>
      <c r="T2067"/>
    </row>
    <row r="2068" spans="1:20">
      <c r="A2068" s="5" t="s">
        <v>108</v>
      </c>
      <c r="B2068" s="5" t="s">
        <v>15394</v>
      </c>
      <c r="C2068" s="4">
        <v>45861</v>
      </c>
      <c r="D2068" s="4">
        <v>45861</v>
      </c>
      <c r="E2068" s="5" t="s">
        <v>17385</v>
      </c>
      <c r="F2068" s="5" t="s">
        <v>19374</v>
      </c>
      <c r="G2068" s="5" t="s">
        <v>908</v>
      </c>
      <c r="H2068" s="5">
        <v>2</v>
      </c>
      <c r="I2068" s="8" t="s">
        <v>9188</v>
      </c>
      <c r="J2068" s="8" t="s">
        <v>11237</v>
      </c>
      <c r="K2068" s="8" t="s">
        <v>3034</v>
      </c>
      <c r="L2068" s="8" t="s">
        <v>13288</v>
      </c>
      <c r="M2068" s="8" t="s">
        <v>5084</v>
      </c>
      <c r="N2068" s="8" t="s">
        <v>7135</v>
      </c>
      <c r="O2068" s="5" t="s">
        <v>156</v>
      </c>
      <c r="P2068" s="4">
        <v>45869</v>
      </c>
      <c r="Q2068" s="15">
        <v>61.94</v>
      </c>
      <c r="R2068" s="15">
        <v>40.659999999999997</v>
      </c>
      <c r="S2068" s="15">
        <v>0</v>
      </c>
      <c r="T2068"/>
    </row>
    <row r="2069" spans="1:20">
      <c r="A2069" s="5" t="s">
        <v>108</v>
      </c>
      <c r="B2069" s="5" t="s">
        <v>15395</v>
      </c>
      <c r="C2069" s="4">
        <v>45861</v>
      </c>
      <c r="D2069" s="4">
        <v>45861</v>
      </c>
      <c r="E2069" s="5" t="s">
        <v>17386</v>
      </c>
      <c r="F2069" s="5" t="s">
        <v>19375</v>
      </c>
      <c r="G2069" s="5" t="s">
        <v>908</v>
      </c>
      <c r="H2069" s="5">
        <v>2</v>
      </c>
      <c r="I2069" s="8" t="s">
        <v>9189</v>
      </c>
      <c r="J2069" s="8" t="s">
        <v>11238</v>
      </c>
      <c r="K2069" s="8" t="s">
        <v>3035</v>
      </c>
      <c r="L2069" s="8" t="s">
        <v>13289</v>
      </c>
      <c r="M2069" s="8" t="s">
        <v>5085</v>
      </c>
      <c r="N2069" s="8" t="s">
        <v>7136</v>
      </c>
      <c r="O2069" s="5" t="s">
        <v>156</v>
      </c>
      <c r="P2069" s="4">
        <v>45875</v>
      </c>
      <c r="Q2069" s="15">
        <v>61.94</v>
      </c>
      <c r="R2069" s="15">
        <v>40.659999999999997</v>
      </c>
      <c r="S2069" s="15">
        <v>0</v>
      </c>
      <c r="T2069"/>
    </row>
    <row r="2070" spans="1:20">
      <c r="A2070" s="5" t="s">
        <v>108</v>
      </c>
      <c r="B2070" s="5" t="s">
        <v>15396</v>
      </c>
      <c r="C2070" s="4">
        <v>45861</v>
      </c>
      <c r="D2070" s="4">
        <v>45861</v>
      </c>
      <c r="E2070" s="5" t="s">
        <v>17387</v>
      </c>
      <c r="F2070" s="5" t="s">
        <v>19376</v>
      </c>
      <c r="G2070" s="5" t="s">
        <v>908</v>
      </c>
      <c r="H2070" s="5">
        <v>1</v>
      </c>
      <c r="I2070" s="8" t="s">
        <v>9190</v>
      </c>
      <c r="J2070" s="8" t="s">
        <v>11239</v>
      </c>
      <c r="K2070" s="8" t="s">
        <v>3036</v>
      </c>
      <c r="L2070" s="8" t="s">
        <v>13290</v>
      </c>
      <c r="M2070" s="8" t="s">
        <v>5086</v>
      </c>
      <c r="N2070" s="8" t="s">
        <v>7137</v>
      </c>
      <c r="O2070" s="5" t="s">
        <v>156</v>
      </c>
      <c r="P2070" s="4">
        <v>45875</v>
      </c>
      <c r="Q2070" s="15">
        <v>30.97</v>
      </c>
      <c r="R2070" s="15">
        <v>22.58</v>
      </c>
      <c r="S2070" s="15">
        <v>0</v>
      </c>
      <c r="T2070"/>
    </row>
    <row r="2071" spans="1:20">
      <c r="A2071" s="5" t="s">
        <v>108</v>
      </c>
      <c r="B2071" s="5" t="s">
        <v>15397</v>
      </c>
      <c r="C2071" s="4">
        <v>45861</v>
      </c>
      <c r="D2071" s="4">
        <v>45861</v>
      </c>
      <c r="E2071" s="5" t="s">
        <v>17388</v>
      </c>
      <c r="F2071" s="5" t="s">
        <v>19377</v>
      </c>
      <c r="G2071" s="5" t="s">
        <v>908</v>
      </c>
      <c r="H2071" s="5">
        <v>1</v>
      </c>
      <c r="I2071" s="8" t="s">
        <v>9191</v>
      </c>
      <c r="J2071" s="8" t="s">
        <v>11240</v>
      </c>
      <c r="K2071" s="8" t="s">
        <v>3037</v>
      </c>
      <c r="L2071" s="8" t="s">
        <v>13291</v>
      </c>
      <c r="M2071" s="8" t="s">
        <v>5087</v>
      </c>
      <c r="N2071" s="8" t="s">
        <v>7138</v>
      </c>
      <c r="O2071" s="5" t="s">
        <v>156</v>
      </c>
      <c r="P2071" s="4">
        <v>45881</v>
      </c>
      <c r="Q2071" s="15">
        <v>30.97</v>
      </c>
      <c r="R2071" s="15">
        <v>22.58</v>
      </c>
      <c r="S2071" s="15">
        <v>0</v>
      </c>
      <c r="T2071"/>
    </row>
    <row r="2072" spans="1:20">
      <c r="A2072" s="5" t="s">
        <v>108</v>
      </c>
      <c r="B2072" s="5" t="s">
        <v>15398</v>
      </c>
      <c r="C2072" s="4">
        <v>45861</v>
      </c>
      <c r="D2072" s="4">
        <v>45861</v>
      </c>
      <c r="E2072" s="5" t="s">
        <v>17389</v>
      </c>
      <c r="F2072" s="5" t="s">
        <v>19378</v>
      </c>
      <c r="G2072" s="5" t="s">
        <v>908</v>
      </c>
      <c r="H2072" s="5">
        <v>1</v>
      </c>
      <c r="I2072" s="8" t="s">
        <v>9192</v>
      </c>
      <c r="J2072" s="8" t="s">
        <v>11241</v>
      </c>
      <c r="K2072" s="8" t="s">
        <v>3038</v>
      </c>
      <c r="L2072" s="8" t="s">
        <v>13292</v>
      </c>
      <c r="M2072" s="8" t="s">
        <v>5088</v>
      </c>
      <c r="N2072" s="8" t="s">
        <v>7139</v>
      </c>
      <c r="O2072" s="5" t="s">
        <v>156</v>
      </c>
      <c r="P2072" s="4">
        <v>45869</v>
      </c>
      <c r="Q2072" s="15">
        <v>30.97</v>
      </c>
      <c r="R2072" s="15">
        <v>22.58</v>
      </c>
      <c r="S2072" s="15">
        <v>0</v>
      </c>
      <c r="T2072"/>
    </row>
    <row r="2073" spans="1:20">
      <c r="A2073" s="5" t="s">
        <v>108</v>
      </c>
      <c r="B2073" s="5" t="s">
        <v>15399</v>
      </c>
      <c r="C2073" s="4">
        <v>45861</v>
      </c>
      <c r="D2073" s="4">
        <v>45861</v>
      </c>
      <c r="E2073" s="5" t="s">
        <v>17390</v>
      </c>
      <c r="F2073" s="5" t="s">
        <v>19379</v>
      </c>
      <c r="G2073" s="5" t="s">
        <v>908</v>
      </c>
      <c r="H2073" s="5">
        <v>1</v>
      </c>
      <c r="I2073" s="8" t="s">
        <v>9193</v>
      </c>
      <c r="J2073" s="8" t="s">
        <v>11242</v>
      </c>
      <c r="K2073" s="8" t="s">
        <v>3039</v>
      </c>
      <c r="L2073" s="8" t="s">
        <v>13293</v>
      </c>
      <c r="M2073" s="8" t="s">
        <v>5089</v>
      </c>
      <c r="N2073" s="8" t="s">
        <v>7140</v>
      </c>
      <c r="O2073" s="5" t="s">
        <v>156</v>
      </c>
      <c r="P2073" s="4">
        <v>45874</v>
      </c>
      <c r="Q2073" s="15">
        <v>30.97</v>
      </c>
      <c r="R2073" s="15">
        <v>22.58</v>
      </c>
      <c r="S2073" s="15">
        <v>0</v>
      </c>
      <c r="T2073"/>
    </row>
    <row r="2074" spans="1:20">
      <c r="A2074" s="5" t="s">
        <v>108</v>
      </c>
      <c r="B2074" s="5" t="s">
        <v>15400</v>
      </c>
      <c r="C2074" s="4">
        <v>45861</v>
      </c>
      <c r="D2074" s="4">
        <v>45861</v>
      </c>
      <c r="E2074" s="5" t="s">
        <v>17391</v>
      </c>
      <c r="F2074" s="5" t="s">
        <v>19380</v>
      </c>
      <c r="G2074" s="5" t="s">
        <v>908</v>
      </c>
      <c r="H2074" s="5">
        <v>1</v>
      </c>
      <c r="I2074" s="8" t="s">
        <v>9194</v>
      </c>
      <c r="J2074" s="8" t="s">
        <v>11243</v>
      </c>
      <c r="K2074" s="8" t="s">
        <v>3040</v>
      </c>
      <c r="L2074" s="8" t="s">
        <v>13294</v>
      </c>
      <c r="M2074" s="8" t="s">
        <v>5090</v>
      </c>
      <c r="N2074" s="8" t="s">
        <v>7141</v>
      </c>
      <c r="O2074" s="5" t="s">
        <v>156</v>
      </c>
      <c r="P2074" s="4">
        <v>45870</v>
      </c>
      <c r="Q2074" s="15">
        <v>30.97</v>
      </c>
      <c r="R2074" s="15">
        <v>22.58</v>
      </c>
      <c r="S2074" s="15">
        <v>0</v>
      </c>
      <c r="T2074"/>
    </row>
    <row r="2075" spans="1:20">
      <c r="A2075" s="5" t="s">
        <v>108</v>
      </c>
      <c r="B2075" s="5" t="s">
        <v>15401</v>
      </c>
      <c r="C2075" s="4">
        <v>45861</v>
      </c>
      <c r="D2075" s="4">
        <v>45861</v>
      </c>
      <c r="E2075" s="5" t="s">
        <v>17392</v>
      </c>
      <c r="F2075" s="5" t="s">
        <v>19381</v>
      </c>
      <c r="G2075" s="5" t="s">
        <v>908</v>
      </c>
      <c r="H2075" s="5">
        <v>1</v>
      </c>
      <c r="I2075" s="8" t="s">
        <v>9195</v>
      </c>
      <c r="J2075" s="8" t="s">
        <v>11244</v>
      </c>
      <c r="K2075" s="8" t="s">
        <v>3041</v>
      </c>
      <c r="L2075" s="8" t="s">
        <v>13295</v>
      </c>
      <c r="M2075" s="8" t="s">
        <v>5091</v>
      </c>
      <c r="N2075" s="8" t="s">
        <v>7142</v>
      </c>
      <c r="O2075" s="5" t="s">
        <v>156</v>
      </c>
      <c r="P2075" s="4">
        <v>45876</v>
      </c>
      <c r="Q2075" s="15">
        <v>30.97</v>
      </c>
      <c r="R2075" s="15">
        <v>22.58</v>
      </c>
      <c r="S2075" s="15">
        <v>0</v>
      </c>
      <c r="T2075"/>
    </row>
    <row r="2076" spans="1:20">
      <c r="A2076" s="5" t="s">
        <v>108</v>
      </c>
      <c r="B2076" s="5" t="s">
        <v>15402</v>
      </c>
      <c r="C2076" s="4">
        <v>45861</v>
      </c>
      <c r="D2076" s="4">
        <v>45861</v>
      </c>
      <c r="E2076" s="5" t="s">
        <v>17393</v>
      </c>
      <c r="F2076" s="5" t="s">
        <v>19382</v>
      </c>
      <c r="G2076" s="5" t="s">
        <v>908</v>
      </c>
      <c r="H2076" s="5">
        <v>1</v>
      </c>
      <c r="I2076" s="8" t="s">
        <v>9196</v>
      </c>
      <c r="J2076" s="8" t="s">
        <v>11245</v>
      </c>
      <c r="K2076" s="8" t="s">
        <v>3042</v>
      </c>
      <c r="L2076" s="8" t="s">
        <v>13296</v>
      </c>
      <c r="M2076" s="8" t="s">
        <v>5092</v>
      </c>
      <c r="N2076" s="8" t="s">
        <v>7143</v>
      </c>
      <c r="O2076" s="5" t="s">
        <v>156</v>
      </c>
      <c r="P2076" s="4">
        <v>45870</v>
      </c>
      <c r="Q2076" s="15">
        <v>30.97</v>
      </c>
      <c r="R2076" s="15">
        <v>22.58</v>
      </c>
      <c r="S2076" s="15">
        <v>0</v>
      </c>
      <c r="T2076"/>
    </row>
    <row r="2077" spans="1:20">
      <c r="A2077" s="5" t="s">
        <v>108</v>
      </c>
      <c r="B2077" s="5" t="s">
        <v>15403</v>
      </c>
      <c r="C2077" s="4">
        <v>45861</v>
      </c>
      <c r="D2077" s="4">
        <v>45861</v>
      </c>
      <c r="E2077" s="5" t="s">
        <v>17394</v>
      </c>
      <c r="F2077" s="5" t="s">
        <v>19383</v>
      </c>
      <c r="G2077" s="5" t="s">
        <v>908</v>
      </c>
      <c r="H2077" s="5">
        <v>4</v>
      </c>
      <c r="I2077" s="8" t="s">
        <v>9197</v>
      </c>
      <c r="J2077" s="8" t="s">
        <v>11246</v>
      </c>
      <c r="K2077" s="8" t="s">
        <v>3043</v>
      </c>
      <c r="L2077" s="8" t="s">
        <v>13297</v>
      </c>
      <c r="M2077" s="8" t="s">
        <v>5093</v>
      </c>
      <c r="N2077" s="8" t="s">
        <v>7144</v>
      </c>
      <c r="O2077" s="5" t="s">
        <v>156</v>
      </c>
      <c r="P2077" s="4">
        <v>45876</v>
      </c>
      <c r="Q2077" s="15">
        <v>123.88</v>
      </c>
      <c r="R2077" s="15">
        <v>81.319999999999993</v>
      </c>
      <c r="S2077" s="15">
        <v>0</v>
      </c>
      <c r="T2077"/>
    </row>
    <row r="2078" spans="1:20">
      <c r="A2078" s="5" t="s">
        <v>108</v>
      </c>
      <c r="B2078" s="5" t="s">
        <v>15404</v>
      </c>
      <c r="C2078" s="4">
        <v>45861</v>
      </c>
      <c r="D2078" s="4">
        <v>45861</v>
      </c>
      <c r="E2078" s="5" t="s">
        <v>17395</v>
      </c>
      <c r="F2078" s="5" t="s">
        <v>19384</v>
      </c>
      <c r="G2078" s="5" t="s">
        <v>908</v>
      </c>
      <c r="H2078" s="5">
        <v>1</v>
      </c>
      <c r="I2078" s="8" t="s">
        <v>9198</v>
      </c>
      <c r="J2078" s="8" t="s">
        <v>11247</v>
      </c>
      <c r="K2078" s="8" t="s">
        <v>3044</v>
      </c>
      <c r="L2078" s="8" t="s">
        <v>13298</v>
      </c>
      <c r="M2078" s="8" t="s">
        <v>5094</v>
      </c>
      <c r="N2078" s="8" t="s">
        <v>7145</v>
      </c>
      <c r="O2078" s="5" t="s">
        <v>156</v>
      </c>
      <c r="P2078" s="4">
        <v>45870</v>
      </c>
      <c r="Q2078" s="15">
        <v>30.97</v>
      </c>
      <c r="R2078" s="15">
        <v>22.58</v>
      </c>
      <c r="S2078" s="15">
        <v>0</v>
      </c>
      <c r="T2078"/>
    </row>
    <row r="2079" spans="1:20">
      <c r="A2079" s="5" t="s">
        <v>108</v>
      </c>
      <c r="B2079" s="5" t="s">
        <v>15405</v>
      </c>
      <c r="C2079" s="4">
        <v>45862</v>
      </c>
      <c r="D2079" s="4">
        <v>45861</v>
      </c>
      <c r="E2079" s="5" t="s">
        <v>17396</v>
      </c>
      <c r="F2079" s="5" t="s">
        <v>19385</v>
      </c>
      <c r="G2079" s="5" t="s">
        <v>908</v>
      </c>
      <c r="H2079" s="5">
        <v>1</v>
      </c>
      <c r="I2079" s="8" t="s">
        <v>9199</v>
      </c>
      <c r="J2079" s="8" t="s">
        <v>11248</v>
      </c>
      <c r="K2079" s="8" t="s">
        <v>3045</v>
      </c>
      <c r="L2079" s="8" t="s">
        <v>13299</v>
      </c>
      <c r="M2079" s="8" t="s">
        <v>5095</v>
      </c>
      <c r="N2079" s="8" t="s">
        <v>7146</v>
      </c>
      <c r="O2079" s="5" t="s">
        <v>156</v>
      </c>
      <c r="P2079" s="4">
        <v>45876</v>
      </c>
      <c r="Q2079" s="15">
        <v>30.97</v>
      </c>
      <c r="R2079" s="15">
        <v>22.58</v>
      </c>
      <c r="S2079" s="15">
        <v>0</v>
      </c>
      <c r="T2079"/>
    </row>
    <row r="2080" spans="1:20">
      <c r="A2080" s="5" t="s">
        <v>108</v>
      </c>
      <c r="B2080" s="5" t="s">
        <v>15406</v>
      </c>
      <c r="C2080" s="4">
        <v>45862</v>
      </c>
      <c r="D2080" s="4">
        <v>45862</v>
      </c>
      <c r="E2080" s="5" t="s">
        <v>17397</v>
      </c>
      <c r="F2080" s="5" t="s">
        <v>19386</v>
      </c>
      <c r="G2080" s="5" t="s">
        <v>908</v>
      </c>
      <c r="H2080" s="5">
        <v>1</v>
      </c>
      <c r="I2080" s="8" t="s">
        <v>9200</v>
      </c>
      <c r="J2080" s="8" t="s">
        <v>11249</v>
      </c>
      <c r="K2080" s="8" t="s">
        <v>3046</v>
      </c>
      <c r="L2080" s="8" t="s">
        <v>13300</v>
      </c>
      <c r="M2080" s="8" t="s">
        <v>5096</v>
      </c>
      <c r="N2080" s="8" t="s">
        <v>7147</v>
      </c>
      <c r="O2080" s="5" t="s">
        <v>156</v>
      </c>
      <c r="P2080" s="4">
        <v>45889</v>
      </c>
      <c r="Q2080" s="15">
        <v>30.97</v>
      </c>
      <c r="R2080" s="15">
        <v>22.58</v>
      </c>
      <c r="S2080" s="15">
        <v>0</v>
      </c>
      <c r="T2080"/>
    </row>
    <row r="2081" spans="1:20">
      <c r="A2081" s="5" t="s">
        <v>108</v>
      </c>
      <c r="B2081" s="5" t="s">
        <v>15407</v>
      </c>
      <c r="C2081" s="4">
        <v>45862</v>
      </c>
      <c r="D2081" s="4">
        <v>45862</v>
      </c>
      <c r="E2081" s="5" t="s">
        <v>17398</v>
      </c>
      <c r="F2081" s="5" t="s">
        <v>19387</v>
      </c>
      <c r="G2081" s="5" t="s">
        <v>908</v>
      </c>
      <c r="H2081" s="5">
        <v>1</v>
      </c>
      <c r="I2081" s="8" t="s">
        <v>9201</v>
      </c>
      <c r="J2081" s="8" t="s">
        <v>11250</v>
      </c>
      <c r="K2081" s="8" t="s">
        <v>3047</v>
      </c>
      <c r="L2081" s="8" t="s">
        <v>13301</v>
      </c>
      <c r="M2081" s="8" t="s">
        <v>5097</v>
      </c>
      <c r="N2081" s="8" t="s">
        <v>7148</v>
      </c>
      <c r="O2081" s="5" t="s">
        <v>156</v>
      </c>
      <c r="P2081" s="4">
        <v>45883</v>
      </c>
      <c r="Q2081" s="15">
        <v>30.97</v>
      </c>
      <c r="R2081" s="15">
        <v>22.58</v>
      </c>
      <c r="S2081" s="15">
        <v>0</v>
      </c>
      <c r="T2081"/>
    </row>
    <row r="2082" spans="1:20">
      <c r="A2082" s="5" t="s">
        <v>108</v>
      </c>
      <c r="B2082" s="5" t="s">
        <v>15408</v>
      </c>
      <c r="C2082" s="4">
        <v>45862</v>
      </c>
      <c r="D2082" s="4">
        <v>45862</v>
      </c>
      <c r="E2082" s="5" t="s">
        <v>17399</v>
      </c>
      <c r="F2082" s="5" t="s">
        <v>19388</v>
      </c>
      <c r="G2082" s="5" t="s">
        <v>908</v>
      </c>
      <c r="H2082" s="5">
        <v>1</v>
      </c>
      <c r="I2082" s="8" t="s">
        <v>9078</v>
      </c>
      <c r="J2082" s="8" t="s">
        <v>11127</v>
      </c>
      <c r="K2082" s="8" t="s">
        <v>2924</v>
      </c>
      <c r="L2082" s="8" t="s">
        <v>13178</v>
      </c>
      <c r="M2082" s="8" t="s">
        <v>4974</v>
      </c>
      <c r="N2082" s="8" t="s">
        <v>7025</v>
      </c>
      <c r="O2082" s="5" t="s">
        <v>156</v>
      </c>
      <c r="P2082" s="4">
        <v>45877</v>
      </c>
      <c r="Q2082" s="15">
        <v>30.97</v>
      </c>
      <c r="R2082" s="15">
        <v>22.58</v>
      </c>
      <c r="S2082" s="15">
        <v>0</v>
      </c>
      <c r="T2082"/>
    </row>
    <row r="2083" spans="1:20">
      <c r="A2083" s="5" t="s">
        <v>108</v>
      </c>
      <c r="B2083" s="5" t="s">
        <v>15409</v>
      </c>
      <c r="C2083" s="4">
        <v>45863</v>
      </c>
      <c r="D2083" s="4">
        <v>45866</v>
      </c>
      <c r="E2083" s="5" t="s">
        <v>17400</v>
      </c>
      <c r="F2083" s="5" t="s">
        <v>19389</v>
      </c>
      <c r="G2083" s="5" t="s">
        <v>908</v>
      </c>
      <c r="H2083" s="5">
        <v>1</v>
      </c>
      <c r="I2083" s="8" t="s">
        <v>9202</v>
      </c>
      <c r="J2083" s="8" t="s">
        <v>11251</v>
      </c>
      <c r="K2083" s="8" t="s">
        <v>3048</v>
      </c>
      <c r="L2083" s="8" t="s">
        <v>13302</v>
      </c>
      <c r="M2083" s="8" t="s">
        <v>5098</v>
      </c>
      <c r="N2083" s="8" t="s">
        <v>7149</v>
      </c>
      <c r="O2083" s="5" t="s">
        <v>156</v>
      </c>
      <c r="P2083" s="4">
        <v>45877</v>
      </c>
      <c r="Q2083" s="15">
        <v>30.97</v>
      </c>
      <c r="R2083" s="15">
        <v>22.58</v>
      </c>
      <c r="S2083" s="15">
        <v>0</v>
      </c>
      <c r="T2083"/>
    </row>
    <row r="2084" spans="1:20">
      <c r="A2084" s="5" t="s">
        <v>108</v>
      </c>
      <c r="B2084" s="5" t="s">
        <v>15410</v>
      </c>
      <c r="C2084" s="4">
        <v>45866</v>
      </c>
      <c r="D2084" s="4">
        <v>45866</v>
      </c>
      <c r="E2084" s="5" t="s">
        <v>17401</v>
      </c>
      <c r="F2084" s="5" t="s">
        <v>19390</v>
      </c>
      <c r="G2084" s="5" t="s">
        <v>860</v>
      </c>
      <c r="H2084" s="5">
        <v>1</v>
      </c>
      <c r="I2084" s="8" t="s">
        <v>9203</v>
      </c>
      <c r="J2084" s="8" t="s">
        <v>11252</v>
      </c>
      <c r="K2084" s="8" t="s">
        <v>3049</v>
      </c>
      <c r="L2084" s="8" t="s">
        <v>13303</v>
      </c>
      <c r="M2084" s="8" t="s">
        <v>5099</v>
      </c>
      <c r="N2084" s="8" t="s">
        <v>7150</v>
      </c>
      <c r="O2084" s="5" t="s">
        <v>131</v>
      </c>
      <c r="P2084" s="4">
        <v>45883</v>
      </c>
      <c r="Q2084" s="15">
        <v>54.99</v>
      </c>
      <c r="R2084" s="15">
        <v>36.72</v>
      </c>
      <c r="S2084" s="15">
        <v>0</v>
      </c>
      <c r="T2084"/>
    </row>
    <row r="2085" spans="1:20">
      <c r="A2085" s="5" t="s">
        <v>108</v>
      </c>
      <c r="B2085" s="5" t="s">
        <v>15411</v>
      </c>
      <c r="C2085" s="4">
        <v>45866</v>
      </c>
      <c r="D2085" s="4">
        <v>45866</v>
      </c>
      <c r="E2085" s="5" t="s">
        <v>17402</v>
      </c>
      <c r="F2085" s="5" t="s">
        <v>19391</v>
      </c>
      <c r="G2085" s="5" t="s">
        <v>908</v>
      </c>
      <c r="H2085" s="5">
        <v>1</v>
      </c>
      <c r="I2085" s="8" t="s">
        <v>9204</v>
      </c>
      <c r="J2085" s="8" t="s">
        <v>11253</v>
      </c>
      <c r="K2085" s="8" t="s">
        <v>3050</v>
      </c>
      <c r="L2085" s="8" t="s">
        <v>13304</v>
      </c>
      <c r="M2085" s="8" t="s">
        <v>5100</v>
      </c>
      <c r="N2085" s="8" t="s">
        <v>7151</v>
      </c>
      <c r="O2085" s="5" t="s">
        <v>156</v>
      </c>
      <c r="P2085" s="4">
        <v>45881</v>
      </c>
      <c r="Q2085" s="15">
        <v>29.5</v>
      </c>
      <c r="R2085" s="15">
        <v>22.58</v>
      </c>
      <c r="S2085" s="15">
        <v>0</v>
      </c>
      <c r="T2085"/>
    </row>
    <row r="2086" spans="1:20">
      <c r="A2086" s="5" t="s">
        <v>36</v>
      </c>
      <c r="B2086" s="5" t="s">
        <v>15412</v>
      </c>
      <c r="C2086" s="4">
        <v>45872</v>
      </c>
      <c r="D2086" s="4">
        <v>45875</v>
      </c>
      <c r="E2086" s="5" t="s">
        <v>17403</v>
      </c>
      <c r="F2086" s="5" t="s">
        <v>19392</v>
      </c>
      <c r="G2086" s="5" t="s">
        <v>902</v>
      </c>
      <c r="H2086" s="5">
        <v>2</v>
      </c>
      <c r="I2086" s="8" t="s">
        <v>9205</v>
      </c>
      <c r="J2086" s="8" t="s">
        <v>11254</v>
      </c>
      <c r="K2086" s="8" t="s">
        <v>3051</v>
      </c>
      <c r="L2086" s="8" t="s">
        <v>13305</v>
      </c>
      <c r="M2086" s="8" t="s">
        <v>5101</v>
      </c>
      <c r="N2086" s="8" t="s">
        <v>7152</v>
      </c>
      <c r="O2086" s="5" t="s">
        <v>151</v>
      </c>
      <c r="P2086" s="4">
        <v>45885</v>
      </c>
      <c r="Q2086" s="15">
        <v>47.8</v>
      </c>
      <c r="R2086" s="15">
        <v>32.07</v>
      </c>
      <c r="S2086" s="15">
        <v>0</v>
      </c>
      <c r="T2086"/>
    </row>
    <row r="2087" spans="1:20">
      <c r="A2087" s="5" t="s">
        <v>36</v>
      </c>
      <c r="B2087" s="5" t="s">
        <v>15413</v>
      </c>
      <c r="C2087" s="4">
        <v>45873</v>
      </c>
      <c r="D2087" s="4">
        <v>45875</v>
      </c>
      <c r="E2087" s="5" t="s">
        <v>17404</v>
      </c>
      <c r="F2087" s="5" t="s">
        <v>19393</v>
      </c>
      <c r="G2087" s="5" t="s">
        <v>902</v>
      </c>
      <c r="H2087" s="5">
        <v>1</v>
      </c>
      <c r="I2087" s="8" t="s">
        <v>9206</v>
      </c>
      <c r="J2087" s="8" t="s">
        <v>11255</v>
      </c>
      <c r="K2087" s="8" t="s">
        <v>3052</v>
      </c>
      <c r="L2087" s="8" t="s">
        <v>13306</v>
      </c>
      <c r="M2087" s="8" t="s">
        <v>5102</v>
      </c>
      <c r="N2087" s="8" t="s">
        <v>7153</v>
      </c>
      <c r="O2087" s="5" t="s">
        <v>151</v>
      </c>
      <c r="P2087" s="4">
        <v>45898</v>
      </c>
      <c r="Q2087" s="15">
        <v>25.99</v>
      </c>
      <c r="R2087" s="15">
        <v>10.54</v>
      </c>
      <c r="S2087" s="15">
        <v>0</v>
      </c>
      <c r="T2087"/>
    </row>
    <row r="2088" spans="1:20">
      <c r="A2088" s="5" t="s">
        <v>108</v>
      </c>
      <c r="B2088" s="5" t="s">
        <v>15414</v>
      </c>
      <c r="C2088" s="4">
        <v>45875</v>
      </c>
      <c r="D2088" s="4">
        <v>45875</v>
      </c>
      <c r="E2088" s="5" t="s">
        <v>17405</v>
      </c>
      <c r="F2088" s="5" t="s">
        <v>19394</v>
      </c>
      <c r="G2088" s="5" t="s">
        <v>908</v>
      </c>
      <c r="H2088" s="5">
        <v>1</v>
      </c>
      <c r="I2088" s="8" t="s">
        <v>9207</v>
      </c>
      <c r="J2088" s="8" t="s">
        <v>11256</v>
      </c>
      <c r="K2088" s="8" t="s">
        <v>3053</v>
      </c>
      <c r="L2088" s="8" t="s">
        <v>13307</v>
      </c>
      <c r="M2088" s="8" t="s">
        <v>5103</v>
      </c>
      <c r="N2088" s="8" t="s">
        <v>7154</v>
      </c>
      <c r="O2088" s="5" t="s">
        <v>156</v>
      </c>
      <c r="P2088" s="4">
        <v>45899</v>
      </c>
      <c r="Q2088" s="15">
        <v>35.99</v>
      </c>
      <c r="R2088" s="15">
        <v>26.48</v>
      </c>
      <c r="S2088" s="15">
        <v>0</v>
      </c>
      <c r="T2088"/>
    </row>
    <row r="2089" spans="1:20">
      <c r="A2089" s="5" t="s">
        <v>108</v>
      </c>
      <c r="B2089" s="5" t="s">
        <v>15415</v>
      </c>
      <c r="C2089" s="4">
        <v>45875</v>
      </c>
      <c r="D2089" s="4">
        <v>45875</v>
      </c>
      <c r="E2089" s="5" t="s">
        <v>17406</v>
      </c>
      <c r="F2089" s="5" t="s">
        <v>19395</v>
      </c>
      <c r="G2089" s="5" t="s">
        <v>817</v>
      </c>
      <c r="H2089" s="5">
        <v>1</v>
      </c>
      <c r="I2089" s="8" t="s">
        <v>9208</v>
      </c>
      <c r="J2089" s="8" t="s">
        <v>11257</v>
      </c>
      <c r="K2089" s="8" t="s">
        <v>3054</v>
      </c>
      <c r="L2089" s="8" t="s">
        <v>13308</v>
      </c>
      <c r="M2089" s="8" t="s">
        <v>5104</v>
      </c>
      <c r="N2089" s="8" t="s">
        <v>7155</v>
      </c>
      <c r="O2089" s="5" t="s">
        <v>135</v>
      </c>
      <c r="P2089" s="4">
        <v>45896</v>
      </c>
      <c r="Q2089" s="15">
        <v>26.99</v>
      </c>
      <c r="R2089" s="15">
        <v>6.99</v>
      </c>
      <c r="S2089" s="15">
        <v>0</v>
      </c>
      <c r="T2089"/>
    </row>
    <row r="2090" spans="1:20">
      <c r="A2090" s="5" t="s">
        <v>108</v>
      </c>
      <c r="B2090" s="5" t="s">
        <v>15416</v>
      </c>
      <c r="C2090" s="4">
        <v>45878</v>
      </c>
      <c r="D2090" s="4">
        <v>45880</v>
      </c>
      <c r="E2090" s="5" t="s">
        <v>17407</v>
      </c>
      <c r="F2090" s="5" t="s">
        <v>19396</v>
      </c>
      <c r="G2090" s="5" t="s">
        <v>817</v>
      </c>
      <c r="H2090" s="5">
        <v>1</v>
      </c>
      <c r="I2090" s="8" t="s">
        <v>9209</v>
      </c>
      <c r="J2090" s="8" t="s">
        <v>11258</v>
      </c>
      <c r="K2090" s="8" t="s">
        <v>3055</v>
      </c>
      <c r="L2090" s="8" t="s">
        <v>13309</v>
      </c>
      <c r="M2090" s="8" t="s">
        <v>5105</v>
      </c>
      <c r="N2090" s="8" t="s">
        <v>7156</v>
      </c>
      <c r="O2090" s="5" t="s">
        <v>135</v>
      </c>
      <c r="P2090" s="4">
        <v>45903</v>
      </c>
      <c r="Q2090" s="15">
        <v>26.99</v>
      </c>
      <c r="R2090" s="15">
        <v>11.99</v>
      </c>
      <c r="S2090" s="15">
        <v>0</v>
      </c>
      <c r="T2090"/>
    </row>
    <row r="2091" spans="1:20">
      <c r="A2091" s="5" t="s">
        <v>36</v>
      </c>
      <c r="B2091" s="5" t="s">
        <v>15417</v>
      </c>
      <c r="C2091" s="4">
        <v>45880</v>
      </c>
      <c r="D2091" s="4">
        <v>45882</v>
      </c>
      <c r="E2091" s="5" t="s">
        <v>17408</v>
      </c>
      <c r="F2091" s="5" t="s">
        <v>19397</v>
      </c>
      <c r="G2091" s="5" t="s">
        <v>902</v>
      </c>
      <c r="H2091" s="5">
        <v>1</v>
      </c>
      <c r="I2091" s="8" t="s">
        <v>9210</v>
      </c>
      <c r="J2091" s="8" t="s">
        <v>11259</v>
      </c>
      <c r="K2091" s="8" t="s">
        <v>3056</v>
      </c>
      <c r="L2091" s="8" t="s">
        <v>13310</v>
      </c>
      <c r="M2091" s="8" t="s">
        <v>5106</v>
      </c>
      <c r="N2091" s="8" t="s">
        <v>7157</v>
      </c>
      <c r="O2091" s="5" t="s">
        <v>152</v>
      </c>
      <c r="P2091" s="4">
        <v>45899</v>
      </c>
      <c r="Q2091" s="15">
        <v>25.99</v>
      </c>
      <c r="R2091" s="15">
        <v>23.689999999999998</v>
      </c>
      <c r="S2091" s="15">
        <v>0</v>
      </c>
      <c r="T2091"/>
    </row>
    <row r="2092" spans="1:20">
      <c r="A2092" s="5" t="s">
        <v>36</v>
      </c>
      <c r="B2092" s="5" t="s">
        <v>15418</v>
      </c>
      <c r="C2092" s="4">
        <v>45880</v>
      </c>
      <c r="D2092" s="4">
        <v>45882</v>
      </c>
      <c r="E2092" s="5" t="s">
        <v>17409</v>
      </c>
      <c r="F2092" s="5" t="s">
        <v>19398</v>
      </c>
      <c r="G2092" s="5" t="s">
        <v>908</v>
      </c>
      <c r="H2092" s="5">
        <v>1</v>
      </c>
      <c r="I2092" s="8" t="s">
        <v>9211</v>
      </c>
      <c r="J2092" s="8" t="s">
        <v>11260</v>
      </c>
      <c r="K2092" s="8" t="s">
        <v>3057</v>
      </c>
      <c r="L2092" s="8" t="s">
        <v>13311</v>
      </c>
      <c r="M2092" s="8" t="s">
        <v>5107</v>
      </c>
      <c r="N2092" s="8" t="s">
        <v>7158</v>
      </c>
      <c r="O2092" s="5" t="s">
        <v>153</v>
      </c>
      <c r="P2092" s="4">
        <v>45899</v>
      </c>
      <c r="Q2092" s="15">
        <v>35.99</v>
      </c>
      <c r="R2092" s="15">
        <v>20.05</v>
      </c>
      <c r="S2092" s="15">
        <v>0</v>
      </c>
      <c r="T2092"/>
    </row>
    <row r="2093" spans="1:20">
      <c r="A2093" s="5" t="s">
        <v>108</v>
      </c>
      <c r="B2093" s="5" t="s">
        <v>15419</v>
      </c>
      <c r="C2093" s="4">
        <v>45880</v>
      </c>
      <c r="D2093" s="4">
        <v>45882</v>
      </c>
      <c r="E2093" s="5" t="s">
        <v>17410</v>
      </c>
      <c r="F2093" s="5" t="s">
        <v>19399</v>
      </c>
      <c r="G2093" s="5" t="s">
        <v>892</v>
      </c>
      <c r="H2093" s="5">
        <v>1</v>
      </c>
      <c r="I2093" s="8" t="s">
        <v>9212</v>
      </c>
      <c r="J2093" s="8" t="s">
        <v>11261</v>
      </c>
      <c r="K2093" s="8" t="s">
        <v>3058</v>
      </c>
      <c r="L2093" s="8" t="s">
        <v>13312</v>
      </c>
      <c r="M2093" s="8" t="s">
        <v>5108</v>
      </c>
      <c r="N2093" s="8" t="s">
        <v>7159</v>
      </c>
      <c r="O2093" s="5" t="s">
        <v>157</v>
      </c>
      <c r="P2093" s="4">
        <v>45899</v>
      </c>
      <c r="Q2093" s="15">
        <v>49.99</v>
      </c>
      <c r="R2093" s="15">
        <v>12.37</v>
      </c>
      <c r="S2093" s="15">
        <v>0</v>
      </c>
      <c r="T2093"/>
    </row>
    <row r="2094" spans="1:20">
      <c r="A2094" s="5" t="s">
        <v>108</v>
      </c>
      <c r="B2094" s="5" t="s">
        <v>15420</v>
      </c>
      <c r="C2094" s="4">
        <v>45883</v>
      </c>
      <c r="D2094" s="4">
        <v>45883</v>
      </c>
      <c r="E2094" s="5" t="s">
        <v>17411</v>
      </c>
      <c r="F2094" s="5" t="s">
        <v>19400</v>
      </c>
      <c r="G2094" s="5" t="s">
        <v>817</v>
      </c>
      <c r="H2094" s="5">
        <v>1</v>
      </c>
      <c r="I2094" s="8" t="s">
        <v>9213</v>
      </c>
      <c r="J2094" s="8" t="s">
        <v>11262</v>
      </c>
      <c r="K2094" s="8" t="s">
        <v>3059</v>
      </c>
      <c r="L2094" s="8" t="s">
        <v>13313</v>
      </c>
      <c r="M2094" s="8" t="s">
        <v>5109</v>
      </c>
      <c r="N2094" s="8" t="s">
        <v>7160</v>
      </c>
      <c r="O2094" s="5" t="s">
        <v>135</v>
      </c>
      <c r="P2094" s="4">
        <v>45909</v>
      </c>
      <c r="Q2094" s="15">
        <v>26.99</v>
      </c>
      <c r="R2094" s="15">
        <v>10.99</v>
      </c>
      <c r="S2094" s="15">
        <v>0</v>
      </c>
      <c r="T2094"/>
    </row>
    <row r="2095" spans="1:20">
      <c r="A2095" s="5" t="s">
        <v>108</v>
      </c>
      <c r="B2095" s="5" t="s">
        <v>15421</v>
      </c>
      <c r="C2095" s="4">
        <v>45884</v>
      </c>
      <c r="D2095" s="4">
        <v>45887</v>
      </c>
      <c r="E2095" s="5" t="s">
        <v>17412</v>
      </c>
      <c r="F2095" s="5" t="s">
        <v>19401</v>
      </c>
      <c r="G2095" s="5" t="s">
        <v>817</v>
      </c>
      <c r="H2095" s="5">
        <v>1</v>
      </c>
      <c r="I2095" s="8" t="s">
        <v>9214</v>
      </c>
      <c r="J2095" s="8" t="s">
        <v>11263</v>
      </c>
      <c r="K2095" s="8" t="s">
        <v>3060</v>
      </c>
      <c r="L2095" s="8" t="s">
        <v>13314</v>
      </c>
      <c r="M2095" s="8" t="s">
        <v>5110</v>
      </c>
      <c r="N2095" s="8" t="s">
        <v>7161</v>
      </c>
      <c r="O2095" s="5" t="s">
        <v>135</v>
      </c>
      <c r="P2095" s="4">
        <v>45899</v>
      </c>
      <c r="Q2095" s="15">
        <v>26.99</v>
      </c>
      <c r="R2095" s="15">
        <v>17.989999999999998</v>
      </c>
      <c r="S2095" s="15">
        <v>0</v>
      </c>
      <c r="T2095"/>
    </row>
    <row r="2096" spans="1:20">
      <c r="A2096" s="5" t="s">
        <v>108</v>
      </c>
      <c r="B2096" s="5" t="s">
        <v>15422</v>
      </c>
      <c r="C2096" s="4">
        <v>45887</v>
      </c>
      <c r="D2096" s="4">
        <v>45887</v>
      </c>
      <c r="E2096" s="5" t="s">
        <v>17413</v>
      </c>
      <c r="F2096" s="5" t="s">
        <v>19402</v>
      </c>
      <c r="G2096" s="5" t="s">
        <v>831</v>
      </c>
      <c r="H2096" s="5">
        <v>1</v>
      </c>
      <c r="I2096" s="8" t="s">
        <v>9215</v>
      </c>
      <c r="J2096" s="8" t="s">
        <v>11264</v>
      </c>
      <c r="K2096" s="8" t="s">
        <v>3061</v>
      </c>
      <c r="L2096" s="8" t="s">
        <v>13315</v>
      </c>
      <c r="M2096" s="8" t="s">
        <v>5111</v>
      </c>
      <c r="N2096" s="8" t="s">
        <v>7162</v>
      </c>
      <c r="O2096" s="5" t="s">
        <v>150</v>
      </c>
      <c r="P2096" s="4">
        <v>45912</v>
      </c>
      <c r="Q2096" s="15">
        <v>50.99</v>
      </c>
      <c r="R2096" s="15">
        <v>22.08</v>
      </c>
      <c r="S2096" s="15">
        <v>0</v>
      </c>
      <c r="T2096"/>
    </row>
    <row r="2097" spans="1:20">
      <c r="A2097" s="5" t="s">
        <v>108</v>
      </c>
      <c r="B2097" s="5" t="s">
        <v>15423</v>
      </c>
      <c r="C2097" s="4">
        <v>45888</v>
      </c>
      <c r="D2097" s="4">
        <v>45888</v>
      </c>
      <c r="E2097" s="5" t="s">
        <v>17414</v>
      </c>
      <c r="F2097" s="5" t="s">
        <v>19403</v>
      </c>
      <c r="G2097" s="5" t="s">
        <v>817</v>
      </c>
      <c r="H2097" s="5">
        <v>1</v>
      </c>
      <c r="I2097" s="8" t="s">
        <v>9216</v>
      </c>
      <c r="J2097" s="8" t="s">
        <v>11265</v>
      </c>
      <c r="K2097" s="8" t="s">
        <v>3062</v>
      </c>
      <c r="L2097" s="8" t="s">
        <v>13316</v>
      </c>
      <c r="M2097" s="8" t="s">
        <v>5112</v>
      </c>
      <c r="N2097" s="8" t="s">
        <v>7163</v>
      </c>
      <c r="O2097" s="5" t="s">
        <v>135</v>
      </c>
      <c r="P2097" s="4">
        <v>45908</v>
      </c>
      <c r="Q2097" s="15">
        <v>26.99</v>
      </c>
      <c r="R2097" s="15">
        <v>15.99</v>
      </c>
      <c r="S2097" s="15">
        <v>0</v>
      </c>
      <c r="T2097"/>
    </row>
    <row r="2098" spans="1:20">
      <c r="A2098" s="5" t="s">
        <v>108</v>
      </c>
      <c r="B2098" s="5" t="s">
        <v>15424</v>
      </c>
      <c r="C2098" s="4">
        <v>45892</v>
      </c>
      <c r="D2098" s="4">
        <v>45894</v>
      </c>
      <c r="E2098" s="5" t="s">
        <v>17415</v>
      </c>
      <c r="F2098" s="5" t="s">
        <v>19404</v>
      </c>
      <c r="G2098" s="5" t="s">
        <v>894</v>
      </c>
      <c r="H2098" s="5">
        <v>1</v>
      </c>
      <c r="I2098" s="8" t="s">
        <v>9217</v>
      </c>
      <c r="J2098" s="8" t="s">
        <v>11266</v>
      </c>
      <c r="K2098" s="8" t="s">
        <v>3063</v>
      </c>
      <c r="L2098" s="8" t="s">
        <v>13317</v>
      </c>
      <c r="M2098" s="8" t="s">
        <v>5113</v>
      </c>
      <c r="N2098" s="8" t="s">
        <v>7164</v>
      </c>
      <c r="O2098" s="5" t="s">
        <v>155</v>
      </c>
      <c r="P2098" s="4">
        <v>45925</v>
      </c>
      <c r="Q2098" s="15">
        <v>38.99</v>
      </c>
      <c r="R2098" s="15">
        <v>25.03</v>
      </c>
      <c r="S2098" s="15">
        <v>0</v>
      </c>
      <c r="T2098"/>
    </row>
    <row r="2099" spans="1:20">
      <c r="A2099" s="5" t="s">
        <v>108</v>
      </c>
      <c r="B2099" s="5" t="s">
        <v>15425</v>
      </c>
      <c r="C2099" s="4">
        <v>45893</v>
      </c>
      <c r="D2099" s="4">
        <v>45894</v>
      </c>
      <c r="E2099" s="5" t="s">
        <v>17416</v>
      </c>
      <c r="F2099" s="5" t="s">
        <v>19405</v>
      </c>
      <c r="G2099" s="5" t="s">
        <v>894</v>
      </c>
      <c r="H2099" s="5">
        <v>1</v>
      </c>
      <c r="I2099" s="8" t="s">
        <v>9218</v>
      </c>
      <c r="J2099" s="8" t="s">
        <v>11267</v>
      </c>
      <c r="K2099" s="8" t="s">
        <v>3064</v>
      </c>
      <c r="L2099" s="8" t="s">
        <v>13318</v>
      </c>
      <c r="M2099" s="8" t="s">
        <v>5114</v>
      </c>
      <c r="N2099" s="8" t="s">
        <v>7165</v>
      </c>
      <c r="O2099" s="5" t="s">
        <v>155</v>
      </c>
      <c r="P2099" s="4">
        <v>45912</v>
      </c>
      <c r="Q2099" s="15">
        <v>38.99</v>
      </c>
      <c r="R2099" s="15">
        <v>25.03</v>
      </c>
      <c r="S2099" s="15">
        <v>0</v>
      </c>
      <c r="T2099"/>
    </row>
    <row r="2100" spans="1:20">
      <c r="A2100" s="5" t="s">
        <v>113</v>
      </c>
      <c r="B2100" s="5" t="s">
        <v>15426</v>
      </c>
      <c r="C2100" s="4">
        <v>45891</v>
      </c>
      <c r="D2100" s="4">
        <v>45894</v>
      </c>
      <c r="E2100" s="5" t="s">
        <v>17417</v>
      </c>
      <c r="F2100" s="5" t="s">
        <v>19406</v>
      </c>
      <c r="G2100" s="5" t="s">
        <v>894</v>
      </c>
      <c r="H2100" s="5">
        <v>1</v>
      </c>
      <c r="I2100" s="8" t="s">
        <v>9219</v>
      </c>
      <c r="J2100" s="8" t="s">
        <v>11268</v>
      </c>
      <c r="K2100" s="8" t="s">
        <v>3065</v>
      </c>
      <c r="L2100" s="8" t="s">
        <v>13319</v>
      </c>
      <c r="M2100" s="8" t="s">
        <v>5115</v>
      </c>
      <c r="N2100" s="8" t="s">
        <v>7166</v>
      </c>
      <c r="O2100" s="5" t="s">
        <v>127</v>
      </c>
      <c r="P2100" s="4">
        <v>45917</v>
      </c>
      <c r="Q2100" s="15">
        <v>38.99</v>
      </c>
      <c r="R2100" s="15">
        <v>25.03</v>
      </c>
      <c r="S2100" s="15">
        <v>0</v>
      </c>
      <c r="T2100"/>
    </row>
    <row r="2101" spans="1:20">
      <c r="A2101" s="5" t="s">
        <v>113</v>
      </c>
      <c r="B2101" s="5" t="s">
        <v>15427</v>
      </c>
      <c r="C2101" s="4">
        <v>45893</v>
      </c>
      <c r="D2101" s="4">
        <v>45894</v>
      </c>
      <c r="E2101" s="5" t="s">
        <v>17418</v>
      </c>
      <c r="F2101" s="5" t="s">
        <v>19407</v>
      </c>
      <c r="G2101" s="5" t="s">
        <v>894</v>
      </c>
      <c r="H2101" s="5">
        <v>1</v>
      </c>
      <c r="I2101" s="8" t="s">
        <v>9220</v>
      </c>
      <c r="J2101" s="8" t="s">
        <v>11269</v>
      </c>
      <c r="K2101" s="8" t="s">
        <v>3066</v>
      </c>
      <c r="L2101" s="8" t="s">
        <v>13320</v>
      </c>
      <c r="M2101" s="8" t="s">
        <v>5116</v>
      </c>
      <c r="N2101" s="8" t="s">
        <v>7167</v>
      </c>
      <c r="O2101" s="5" t="s">
        <v>127</v>
      </c>
      <c r="P2101" s="4">
        <v>45912</v>
      </c>
      <c r="Q2101" s="15">
        <v>38.99</v>
      </c>
      <c r="R2101" s="15">
        <v>25.03</v>
      </c>
      <c r="S2101" s="15">
        <v>0</v>
      </c>
      <c r="T2101"/>
    </row>
    <row r="2102" spans="1:20">
      <c r="A2102" s="5" t="s">
        <v>113</v>
      </c>
      <c r="B2102" s="5" t="s">
        <v>15428</v>
      </c>
      <c r="C2102" s="4">
        <v>45893</v>
      </c>
      <c r="D2102" s="4">
        <v>45894</v>
      </c>
      <c r="E2102" s="5" t="s">
        <v>17419</v>
      </c>
      <c r="F2102" s="5" t="s">
        <v>19408</v>
      </c>
      <c r="G2102" s="5" t="s">
        <v>894</v>
      </c>
      <c r="H2102" s="5">
        <v>1</v>
      </c>
      <c r="I2102" s="8" t="s">
        <v>9221</v>
      </c>
      <c r="J2102" s="8" t="s">
        <v>11270</v>
      </c>
      <c r="K2102" s="8" t="s">
        <v>3067</v>
      </c>
      <c r="L2102" s="8" t="s">
        <v>13321</v>
      </c>
      <c r="M2102" s="8" t="s">
        <v>5117</v>
      </c>
      <c r="N2102" s="8" t="s">
        <v>7168</v>
      </c>
      <c r="O2102" s="5" t="s">
        <v>127</v>
      </c>
      <c r="P2102" s="4">
        <v>45912</v>
      </c>
      <c r="Q2102" s="15">
        <v>38.99</v>
      </c>
      <c r="R2102" s="15">
        <v>25.03</v>
      </c>
      <c r="S2102" s="15">
        <v>0</v>
      </c>
      <c r="T2102"/>
    </row>
    <row r="2103" spans="1:20">
      <c r="A2103" s="5" t="s">
        <v>108</v>
      </c>
      <c r="B2103" s="5" t="s">
        <v>15429</v>
      </c>
      <c r="C2103" s="4">
        <v>45894</v>
      </c>
      <c r="D2103" s="4">
        <v>45895</v>
      </c>
      <c r="E2103" s="5" t="s">
        <v>17420</v>
      </c>
      <c r="F2103" s="5" t="s">
        <v>19409</v>
      </c>
      <c r="G2103" s="5" t="s">
        <v>894</v>
      </c>
      <c r="H2103" s="5">
        <v>1</v>
      </c>
      <c r="I2103" s="8" t="s">
        <v>9222</v>
      </c>
      <c r="J2103" s="8" t="s">
        <v>11271</v>
      </c>
      <c r="K2103" s="8" t="s">
        <v>3068</v>
      </c>
      <c r="L2103" s="8" t="s">
        <v>13322</v>
      </c>
      <c r="M2103" s="8" t="s">
        <v>5118</v>
      </c>
      <c r="N2103" s="8" t="s">
        <v>7169</v>
      </c>
      <c r="O2103" s="5" t="s">
        <v>155</v>
      </c>
      <c r="P2103" s="4">
        <v>45912</v>
      </c>
      <c r="Q2103" s="15">
        <v>38.99</v>
      </c>
      <c r="R2103" s="15">
        <v>26.34</v>
      </c>
      <c r="S2103" s="15">
        <v>0</v>
      </c>
      <c r="T2103"/>
    </row>
    <row r="2104" spans="1:20">
      <c r="A2104" s="5" t="s">
        <v>113</v>
      </c>
      <c r="B2104" s="5" t="s">
        <v>15430</v>
      </c>
      <c r="C2104" s="4">
        <v>45896</v>
      </c>
      <c r="D2104" s="4">
        <v>45897</v>
      </c>
      <c r="E2104" s="5" t="s">
        <v>17421</v>
      </c>
      <c r="F2104" s="5" t="s">
        <v>19410</v>
      </c>
      <c r="G2104" s="5" t="s">
        <v>894</v>
      </c>
      <c r="H2104" s="5">
        <v>1</v>
      </c>
      <c r="I2104" s="8" t="s">
        <v>9223</v>
      </c>
      <c r="J2104" s="8" t="s">
        <v>11272</v>
      </c>
      <c r="K2104" s="8" t="s">
        <v>3069</v>
      </c>
      <c r="L2104" s="8" t="s">
        <v>13323</v>
      </c>
      <c r="M2104" s="8" t="s">
        <v>5119</v>
      </c>
      <c r="N2104" s="8" t="s">
        <v>7170</v>
      </c>
      <c r="O2104" s="5" t="s">
        <v>127</v>
      </c>
      <c r="P2104" s="4">
        <v>45917</v>
      </c>
      <c r="Q2104" s="15">
        <v>49.99</v>
      </c>
      <c r="R2104" s="15">
        <v>24.4</v>
      </c>
      <c r="S2104" s="15">
        <v>0</v>
      </c>
      <c r="T2104"/>
    </row>
    <row r="2105" spans="1:20">
      <c r="A2105" s="5" t="s">
        <v>113</v>
      </c>
      <c r="B2105" s="5" t="s">
        <v>15431</v>
      </c>
      <c r="C2105" s="4">
        <v>45896</v>
      </c>
      <c r="D2105" s="4">
        <v>45898</v>
      </c>
      <c r="E2105" s="5" t="s">
        <v>17422</v>
      </c>
      <c r="F2105" s="5" t="s">
        <v>19411</v>
      </c>
      <c r="G2105" s="5" t="s">
        <v>831</v>
      </c>
      <c r="H2105" s="5">
        <v>1</v>
      </c>
      <c r="I2105" s="8" t="s">
        <v>9224</v>
      </c>
      <c r="J2105" s="8" t="s">
        <v>11273</v>
      </c>
      <c r="K2105" s="8" t="s">
        <v>3070</v>
      </c>
      <c r="L2105" s="8" t="s">
        <v>13324</v>
      </c>
      <c r="M2105" s="8" t="s">
        <v>5120</v>
      </c>
      <c r="N2105" s="8" t="s">
        <v>7171</v>
      </c>
      <c r="O2105" s="5" t="s">
        <v>139</v>
      </c>
      <c r="P2105" s="4">
        <v>45917</v>
      </c>
      <c r="Q2105" s="15">
        <v>50.99</v>
      </c>
      <c r="R2105" s="15">
        <v>36.619999999999997</v>
      </c>
      <c r="S2105" s="15">
        <v>0</v>
      </c>
      <c r="T2105"/>
    </row>
    <row r="2106" spans="1:20">
      <c r="A2106" s="5" t="s">
        <v>113</v>
      </c>
      <c r="B2106" s="5" t="s">
        <v>15432</v>
      </c>
      <c r="C2106" s="4">
        <v>45898</v>
      </c>
      <c r="D2106" s="4">
        <v>45902</v>
      </c>
      <c r="E2106" s="5" t="s">
        <v>17423</v>
      </c>
      <c r="F2106" s="5" t="s">
        <v>19412</v>
      </c>
      <c r="G2106" s="5" t="s">
        <v>831</v>
      </c>
      <c r="H2106" s="5">
        <v>1</v>
      </c>
      <c r="I2106" s="8" t="s">
        <v>9225</v>
      </c>
      <c r="J2106" s="8" t="s">
        <v>11274</v>
      </c>
      <c r="K2106" s="8" t="s">
        <v>3071</v>
      </c>
      <c r="L2106" s="8" t="s">
        <v>13325</v>
      </c>
      <c r="M2106" s="8" t="s">
        <v>5121</v>
      </c>
      <c r="N2106" s="8" t="s">
        <v>7172</v>
      </c>
      <c r="O2106" s="5" t="s">
        <v>139</v>
      </c>
      <c r="P2106" s="4">
        <v>45925</v>
      </c>
      <c r="Q2106" s="15">
        <v>50.99</v>
      </c>
      <c r="R2106" s="15">
        <v>0</v>
      </c>
      <c r="S2106" s="15">
        <v>0</v>
      </c>
      <c r="T2106"/>
    </row>
    <row r="2107" spans="1:20">
      <c r="A2107" s="5" t="s">
        <v>113</v>
      </c>
      <c r="B2107" s="5" t="s">
        <v>15433</v>
      </c>
      <c r="C2107" s="4">
        <v>45902</v>
      </c>
      <c r="D2107" s="4">
        <v>45902</v>
      </c>
      <c r="E2107" s="5" t="s">
        <v>17424</v>
      </c>
      <c r="F2107" s="5" t="s">
        <v>19413</v>
      </c>
      <c r="G2107" s="5" t="s">
        <v>894</v>
      </c>
      <c r="H2107" s="5">
        <v>1</v>
      </c>
      <c r="I2107" s="8" t="s">
        <v>9226</v>
      </c>
      <c r="J2107" s="8" t="s">
        <v>11275</v>
      </c>
      <c r="K2107" s="8" t="s">
        <v>3072</v>
      </c>
      <c r="L2107" s="8" t="s">
        <v>13326</v>
      </c>
      <c r="M2107" s="8" t="s">
        <v>5122</v>
      </c>
      <c r="N2107" s="8" t="s">
        <v>7173</v>
      </c>
      <c r="O2107" s="5" t="s">
        <v>127</v>
      </c>
      <c r="P2107" s="4">
        <v>45923</v>
      </c>
      <c r="Q2107" s="15">
        <v>49.99</v>
      </c>
      <c r="R2107" s="15">
        <v>24.97</v>
      </c>
      <c r="S2107" s="15">
        <v>0</v>
      </c>
      <c r="T2107"/>
    </row>
    <row r="2108" spans="1:20">
      <c r="A2108" s="5" t="s">
        <v>108</v>
      </c>
      <c r="B2108" s="5" t="s">
        <v>15434</v>
      </c>
      <c r="C2108" s="4">
        <v>45901</v>
      </c>
      <c r="D2108" s="4">
        <v>45902</v>
      </c>
      <c r="E2108" s="5" t="s">
        <v>17425</v>
      </c>
      <c r="F2108" s="5" t="s">
        <v>19414</v>
      </c>
      <c r="G2108" s="5" t="s">
        <v>817</v>
      </c>
      <c r="H2108" s="5">
        <v>1</v>
      </c>
      <c r="I2108" s="8" t="s">
        <v>9227</v>
      </c>
      <c r="J2108" s="8" t="s">
        <v>11276</v>
      </c>
      <c r="K2108" s="8" t="s">
        <v>3073</v>
      </c>
      <c r="L2108" s="8" t="s">
        <v>13327</v>
      </c>
      <c r="M2108" s="8" t="s">
        <v>5123</v>
      </c>
      <c r="N2108" s="8" t="s">
        <v>7174</v>
      </c>
      <c r="O2108" s="5" t="s">
        <v>135</v>
      </c>
      <c r="P2108" s="4">
        <v>45913</v>
      </c>
      <c r="Q2108" s="15">
        <v>31.99</v>
      </c>
      <c r="R2108" s="15">
        <v>25.99</v>
      </c>
      <c r="S2108" s="15">
        <v>0</v>
      </c>
      <c r="T2108"/>
    </row>
    <row r="2109" spans="1:20">
      <c r="A2109" s="5" t="s">
        <v>108</v>
      </c>
      <c r="B2109" s="5" t="s">
        <v>15435</v>
      </c>
      <c r="C2109" s="4">
        <v>45902</v>
      </c>
      <c r="D2109" s="4">
        <v>45902</v>
      </c>
      <c r="E2109" s="5" t="s">
        <v>17426</v>
      </c>
      <c r="F2109" s="5" t="s">
        <v>19415</v>
      </c>
      <c r="G2109" s="5" t="s">
        <v>817</v>
      </c>
      <c r="H2109" s="5">
        <v>1</v>
      </c>
      <c r="I2109" s="8" t="s">
        <v>9228</v>
      </c>
      <c r="J2109" s="8" t="s">
        <v>11277</v>
      </c>
      <c r="K2109" s="8" t="s">
        <v>3074</v>
      </c>
      <c r="L2109" s="8" t="s">
        <v>13328</v>
      </c>
      <c r="M2109" s="8" t="s">
        <v>5124</v>
      </c>
      <c r="N2109" s="8" t="s">
        <v>7175</v>
      </c>
      <c r="O2109" s="5" t="s">
        <v>135</v>
      </c>
      <c r="P2109" s="4">
        <v>45916</v>
      </c>
      <c r="Q2109" s="15">
        <v>31.99</v>
      </c>
      <c r="R2109" s="15">
        <v>25.99</v>
      </c>
      <c r="S2109" s="15">
        <v>0</v>
      </c>
      <c r="T2109"/>
    </row>
    <row r="2110" spans="1:20">
      <c r="A2110" s="5" t="s">
        <v>108</v>
      </c>
      <c r="B2110" s="5" t="s">
        <v>15436</v>
      </c>
      <c r="C2110" s="4">
        <v>45902</v>
      </c>
      <c r="D2110" s="4">
        <v>45902</v>
      </c>
      <c r="E2110" s="5" t="s">
        <v>17427</v>
      </c>
      <c r="F2110" s="5" t="s">
        <v>19416</v>
      </c>
      <c r="G2110" s="5" t="s">
        <v>817</v>
      </c>
      <c r="H2110" s="5">
        <v>1</v>
      </c>
      <c r="I2110" s="8" t="s">
        <v>9229</v>
      </c>
      <c r="J2110" s="8" t="s">
        <v>11278</v>
      </c>
      <c r="K2110" s="8" t="s">
        <v>3075</v>
      </c>
      <c r="L2110" s="8" t="s">
        <v>13329</v>
      </c>
      <c r="M2110" s="8" t="s">
        <v>5125</v>
      </c>
      <c r="N2110" s="8" t="s">
        <v>7176</v>
      </c>
      <c r="O2110" s="5" t="s">
        <v>135</v>
      </c>
      <c r="P2110" s="4">
        <v>45920</v>
      </c>
      <c r="Q2110" s="15">
        <v>31.99</v>
      </c>
      <c r="R2110" s="15">
        <v>25.99</v>
      </c>
      <c r="S2110" s="15">
        <v>0</v>
      </c>
      <c r="T2110"/>
    </row>
    <row r="2111" spans="1:20">
      <c r="A2111" s="5" t="s">
        <v>108</v>
      </c>
      <c r="B2111" s="5" t="s">
        <v>15437</v>
      </c>
      <c r="C2111" s="4">
        <v>45905</v>
      </c>
      <c r="D2111" s="4">
        <v>45908</v>
      </c>
      <c r="E2111" s="5" t="s">
        <v>17428</v>
      </c>
      <c r="F2111" s="5" t="s">
        <v>19417</v>
      </c>
      <c r="G2111" s="5" t="s">
        <v>817</v>
      </c>
      <c r="H2111" s="5">
        <v>1</v>
      </c>
      <c r="I2111" s="8" t="s">
        <v>9230</v>
      </c>
      <c r="J2111" s="8" t="s">
        <v>11279</v>
      </c>
      <c r="K2111" s="8" t="s">
        <v>3076</v>
      </c>
      <c r="L2111" s="8" t="s">
        <v>13330</v>
      </c>
      <c r="M2111" s="8" t="s">
        <v>5126</v>
      </c>
      <c r="N2111" s="8" t="s">
        <v>7177</v>
      </c>
      <c r="O2111" s="5" t="s">
        <v>135</v>
      </c>
      <c r="P2111" s="4">
        <v>45920</v>
      </c>
      <c r="Q2111" s="15">
        <v>31.99</v>
      </c>
      <c r="R2111" s="15">
        <v>23.99</v>
      </c>
      <c r="S2111" s="15">
        <v>0</v>
      </c>
      <c r="T2111"/>
    </row>
    <row r="2112" spans="1:20">
      <c r="A2112" s="5" t="s">
        <v>108</v>
      </c>
      <c r="B2112" s="5" t="s">
        <v>15438</v>
      </c>
      <c r="C2112" s="4">
        <v>45908</v>
      </c>
      <c r="D2112" s="4">
        <v>45908</v>
      </c>
      <c r="E2112" s="5" t="s">
        <v>17429</v>
      </c>
      <c r="F2112" s="5" t="s">
        <v>19418</v>
      </c>
      <c r="G2112" s="5" t="s">
        <v>817</v>
      </c>
      <c r="H2112" s="5">
        <v>1</v>
      </c>
      <c r="I2112" s="8" t="s">
        <v>9231</v>
      </c>
      <c r="J2112" s="8" t="s">
        <v>11280</v>
      </c>
      <c r="K2112" s="8" t="s">
        <v>3077</v>
      </c>
      <c r="L2112" s="8" t="s">
        <v>13331</v>
      </c>
      <c r="M2112" s="8" t="s">
        <v>5127</v>
      </c>
      <c r="N2112" s="8" t="s">
        <v>7178</v>
      </c>
      <c r="O2112" s="5" t="s">
        <v>135</v>
      </c>
      <c r="P2112" s="4">
        <v>45923</v>
      </c>
      <c r="Q2112" s="15">
        <v>31.99</v>
      </c>
      <c r="R2112" s="15">
        <v>23.99</v>
      </c>
      <c r="S2112" s="15">
        <v>0</v>
      </c>
      <c r="T2112"/>
    </row>
    <row r="2113" spans="1:20">
      <c r="A2113" s="5" t="s">
        <v>113</v>
      </c>
      <c r="B2113" s="5" t="s">
        <v>15439</v>
      </c>
      <c r="C2113" s="4">
        <v>45909</v>
      </c>
      <c r="D2113" s="4">
        <v>45910</v>
      </c>
      <c r="E2113" s="5" t="s">
        <v>17430</v>
      </c>
      <c r="F2113" s="5" t="s">
        <v>19419</v>
      </c>
      <c r="G2113" s="5" t="s">
        <v>831</v>
      </c>
      <c r="H2113" s="5">
        <v>1</v>
      </c>
      <c r="I2113" s="8" t="s">
        <v>9232</v>
      </c>
      <c r="J2113" s="8" t="s">
        <v>11281</v>
      </c>
      <c r="K2113" s="8" t="s">
        <v>3078</v>
      </c>
      <c r="L2113" s="8" t="s">
        <v>13332</v>
      </c>
      <c r="M2113" s="8" t="s">
        <v>5128</v>
      </c>
      <c r="N2113" s="8" t="s">
        <v>7179</v>
      </c>
      <c r="O2113" s="5" t="s">
        <v>139</v>
      </c>
      <c r="P2113" s="4">
        <v>45940</v>
      </c>
      <c r="Q2113" s="15">
        <v>50.99</v>
      </c>
      <c r="R2113" s="15">
        <v>25.27</v>
      </c>
      <c r="S2113" s="15">
        <v>0</v>
      </c>
      <c r="T2113"/>
    </row>
    <row r="2114" spans="1:20">
      <c r="A2114" s="5" t="s">
        <v>113</v>
      </c>
      <c r="B2114" s="5" t="s">
        <v>15440</v>
      </c>
      <c r="C2114" s="4">
        <v>45911</v>
      </c>
      <c r="D2114" s="4">
        <v>45916</v>
      </c>
      <c r="E2114" s="5" t="s">
        <v>17431</v>
      </c>
      <c r="F2114" s="5" t="s">
        <v>19420</v>
      </c>
      <c r="G2114" s="5" t="s">
        <v>845</v>
      </c>
      <c r="H2114" s="5">
        <v>1</v>
      </c>
      <c r="I2114" s="8" t="s">
        <v>9233</v>
      </c>
      <c r="J2114" s="8" t="s">
        <v>11282</v>
      </c>
      <c r="K2114" s="8" t="s">
        <v>3079</v>
      </c>
      <c r="L2114" s="8" t="s">
        <v>13333</v>
      </c>
      <c r="M2114" s="8" t="s">
        <v>5129</v>
      </c>
      <c r="N2114" s="8" t="s">
        <v>7180</v>
      </c>
      <c r="O2114" s="5" t="s">
        <v>137</v>
      </c>
      <c r="P2114" s="4">
        <v>45932</v>
      </c>
      <c r="Q2114" s="15">
        <v>48.5</v>
      </c>
      <c r="R2114" s="15">
        <v>16.97</v>
      </c>
      <c r="S2114" s="15">
        <v>0</v>
      </c>
      <c r="T2114"/>
    </row>
    <row r="2115" spans="1:20">
      <c r="A2115" s="5" t="s">
        <v>113</v>
      </c>
      <c r="B2115" s="5" t="s">
        <v>15440</v>
      </c>
      <c r="C2115" s="4">
        <v>45911</v>
      </c>
      <c r="D2115" s="4">
        <v>45915</v>
      </c>
      <c r="E2115" s="5" t="s">
        <v>17432</v>
      </c>
      <c r="F2115" s="5" t="s">
        <v>19421</v>
      </c>
      <c r="G2115" s="5" t="s">
        <v>831</v>
      </c>
      <c r="H2115" s="5">
        <v>1</v>
      </c>
      <c r="I2115" s="8" t="s">
        <v>9233</v>
      </c>
      <c r="J2115" s="8" t="s">
        <v>11282</v>
      </c>
      <c r="K2115" s="8" t="s">
        <v>3079</v>
      </c>
      <c r="L2115" s="8" t="s">
        <v>13333</v>
      </c>
      <c r="M2115" s="8" t="s">
        <v>5129</v>
      </c>
      <c r="N2115" s="8" t="s">
        <v>7180</v>
      </c>
      <c r="O2115" s="5" t="s">
        <v>139</v>
      </c>
      <c r="P2115" s="4">
        <v>45932</v>
      </c>
      <c r="Q2115" s="15">
        <v>50.99</v>
      </c>
      <c r="R2115" s="15">
        <v>23.31</v>
      </c>
      <c r="S2115" s="15">
        <v>0</v>
      </c>
      <c r="T2115"/>
    </row>
    <row r="2116" spans="1:20">
      <c r="A2116" s="5" t="s">
        <v>108</v>
      </c>
      <c r="B2116" s="5" t="s">
        <v>15441</v>
      </c>
      <c r="C2116" s="4">
        <v>45911</v>
      </c>
      <c r="D2116" s="4">
        <v>45915</v>
      </c>
      <c r="E2116" s="5" t="s">
        <v>17433</v>
      </c>
      <c r="F2116" s="5" t="s">
        <v>19422</v>
      </c>
      <c r="G2116" s="5" t="s">
        <v>817</v>
      </c>
      <c r="H2116" s="5">
        <v>1</v>
      </c>
      <c r="I2116" s="8" t="s">
        <v>9234</v>
      </c>
      <c r="J2116" s="8" t="s">
        <v>11283</v>
      </c>
      <c r="K2116" s="8" t="s">
        <v>3080</v>
      </c>
      <c r="L2116" s="8" t="s">
        <v>13334</v>
      </c>
      <c r="M2116" s="8" t="s">
        <v>5130</v>
      </c>
      <c r="N2116" s="8" t="s">
        <v>7181</v>
      </c>
      <c r="O2116" s="5" t="s">
        <v>135</v>
      </c>
      <c r="P2116" s="4">
        <v>45938</v>
      </c>
      <c r="Q2116" s="15">
        <v>31.99</v>
      </c>
      <c r="R2116" s="15">
        <v>19.989999999999998</v>
      </c>
      <c r="S2116" s="15">
        <v>0</v>
      </c>
      <c r="T2116"/>
    </row>
    <row r="2117" spans="1:20">
      <c r="A2117" s="5" t="s">
        <v>113</v>
      </c>
      <c r="B2117" s="5" t="s">
        <v>15442</v>
      </c>
      <c r="C2117" s="4">
        <v>45915</v>
      </c>
      <c r="D2117" s="4">
        <v>45916</v>
      </c>
      <c r="E2117" s="5" t="s">
        <v>17434</v>
      </c>
      <c r="F2117" s="5" t="s">
        <v>19423</v>
      </c>
      <c r="G2117" s="5" t="s">
        <v>831</v>
      </c>
      <c r="H2117" s="5">
        <v>1</v>
      </c>
      <c r="I2117" s="8" t="s">
        <v>9235</v>
      </c>
      <c r="J2117" s="8" t="s">
        <v>11284</v>
      </c>
      <c r="K2117" s="8" t="s">
        <v>3081</v>
      </c>
      <c r="L2117" s="8" t="s">
        <v>13335</v>
      </c>
      <c r="M2117" s="8" t="s">
        <v>5131</v>
      </c>
      <c r="N2117" s="8" t="s">
        <v>7182</v>
      </c>
      <c r="O2117" s="5" t="s">
        <v>139</v>
      </c>
      <c r="P2117" s="4">
        <v>45946</v>
      </c>
      <c r="Q2117" s="15">
        <v>50.99</v>
      </c>
      <c r="R2117" s="15">
        <v>22.71</v>
      </c>
      <c r="S2117" s="15">
        <v>0</v>
      </c>
      <c r="T2117"/>
    </row>
    <row r="2118" spans="1:20">
      <c r="A2118" s="5" t="s">
        <v>108</v>
      </c>
      <c r="B2118" s="5" t="s">
        <v>15443</v>
      </c>
      <c r="C2118" s="4">
        <v>45915</v>
      </c>
      <c r="D2118" s="4">
        <v>45916</v>
      </c>
      <c r="E2118" s="5" t="s">
        <v>17435</v>
      </c>
      <c r="F2118" s="5" t="s">
        <v>19424</v>
      </c>
      <c r="G2118" s="5" t="s">
        <v>817</v>
      </c>
      <c r="H2118" s="5">
        <v>1</v>
      </c>
      <c r="I2118" s="8" t="s">
        <v>9236</v>
      </c>
      <c r="J2118" s="8" t="s">
        <v>11285</v>
      </c>
      <c r="K2118" s="8" t="s">
        <v>3082</v>
      </c>
      <c r="L2118" s="8" t="s">
        <v>13336</v>
      </c>
      <c r="M2118" s="8" t="s">
        <v>5132</v>
      </c>
      <c r="N2118" s="8" t="s">
        <v>7183</v>
      </c>
      <c r="O2118" s="5" t="s">
        <v>135</v>
      </c>
      <c r="P2118" s="4">
        <v>45933</v>
      </c>
      <c r="Q2118" s="15">
        <v>31.99</v>
      </c>
      <c r="R2118" s="15">
        <v>19.989999999999998</v>
      </c>
      <c r="S2118" s="15">
        <v>0</v>
      </c>
      <c r="T2118"/>
    </row>
    <row r="2119" spans="1:20">
      <c r="A2119" s="5" t="s">
        <v>108</v>
      </c>
      <c r="B2119" s="5" t="s">
        <v>15444</v>
      </c>
      <c r="C2119" s="4">
        <v>45916</v>
      </c>
      <c r="D2119" s="4">
        <v>45916</v>
      </c>
      <c r="E2119" s="5" t="s">
        <v>17436</v>
      </c>
      <c r="F2119" s="5" t="s">
        <v>19425</v>
      </c>
      <c r="G2119" s="5" t="s">
        <v>817</v>
      </c>
      <c r="H2119" s="5">
        <v>1</v>
      </c>
      <c r="I2119" s="8" t="s">
        <v>9237</v>
      </c>
      <c r="J2119" s="8" t="s">
        <v>11286</v>
      </c>
      <c r="K2119" s="8" t="s">
        <v>3083</v>
      </c>
      <c r="L2119" s="8" t="s">
        <v>13337</v>
      </c>
      <c r="M2119" s="8" t="s">
        <v>5133</v>
      </c>
      <c r="N2119" s="8" t="s">
        <v>7184</v>
      </c>
      <c r="O2119" s="5" t="s">
        <v>135</v>
      </c>
      <c r="P2119" s="4">
        <v>45940</v>
      </c>
      <c r="Q2119" s="15">
        <v>31.99</v>
      </c>
      <c r="R2119" s="15">
        <v>19.989999999999998</v>
      </c>
      <c r="S2119" s="15">
        <v>0</v>
      </c>
      <c r="T2119"/>
    </row>
    <row r="2120" spans="1:20">
      <c r="A2120" s="5" t="s">
        <v>108</v>
      </c>
      <c r="B2120" s="5" t="s">
        <v>15445</v>
      </c>
      <c r="C2120" s="4">
        <v>45918</v>
      </c>
      <c r="D2120" s="4">
        <v>45922</v>
      </c>
      <c r="E2120" s="5" t="s">
        <v>17437</v>
      </c>
      <c r="F2120" s="5" t="s">
        <v>19426</v>
      </c>
      <c r="G2120" s="5" t="s">
        <v>817</v>
      </c>
      <c r="H2120" s="5">
        <v>1</v>
      </c>
      <c r="I2120" s="8" t="s">
        <v>9238</v>
      </c>
      <c r="J2120" s="8" t="s">
        <v>11287</v>
      </c>
      <c r="K2120" s="8" t="s">
        <v>3084</v>
      </c>
      <c r="L2120" s="8" t="s">
        <v>13338</v>
      </c>
      <c r="M2120" s="8" t="s">
        <v>5134</v>
      </c>
      <c r="N2120" s="8" t="s">
        <v>7185</v>
      </c>
      <c r="O2120" s="5" t="s">
        <v>135</v>
      </c>
      <c r="P2120" s="4">
        <v>45939</v>
      </c>
      <c r="Q2120" s="15">
        <v>31.99</v>
      </c>
      <c r="R2120" s="15">
        <v>19.8</v>
      </c>
      <c r="S2120" s="15">
        <v>0</v>
      </c>
      <c r="T2120"/>
    </row>
    <row r="2121" spans="1:20">
      <c r="A2121" s="5" t="s">
        <v>108</v>
      </c>
      <c r="B2121" s="5" t="s">
        <v>15446</v>
      </c>
      <c r="C2121" s="4">
        <v>45918</v>
      </c>
      <c r="D2121" s="4">
        <v>45922</v>
      </c>
      <c r="E2121" s="5" t="s">
        <v>17438</v>
      </c>
      <c r="F2121" s="5" t="s">
        <v>19427</v>
      </c>
      <c r="G2121" s="5" t="s">
        <v>889</v>
      </c>
      <c r="H2121" s="5">
        <v>1</v>
      </c>
      <c r="I2121" s="8" t="s">
        <v>9212</v>
      </c>
      <c r="J2121" s="8" t="s">
        <v>11261</v>
      </c>
      <c r="K2121" s="8" t="s">
        <v>3058</v>
      </c>
      <c r="L2121" s="8" t="s">
        <v>13312</v>
      </c>
      <c r="M2121" s="8" t="s">
        <v>5108</v>
      </c>
      <c r="N2121" s="8" t="s">
        <v>7159</v>
      </c>
      <c r="O2121" s="5" t="s">
        <v>158</v>
      </c>
      <c r="P2121" s="4">
        <v>45939</v>
      </c>
      <c r="Q2121" s="15">
        <v>54.99</v>
      </c>
      <c r="R2121" s="15">
        <v>45.84</v>
      </c>
      <c r="S2121" s="15">
        <v>0</v>
      </c>
      <c r="T2121"/>
    </row>
    <row r="2122" spans="1:20">
      <c r="A2122" s="5" t="s">
        <v>108</v>
      </c>
      <c r="B2122" s="5" t="s">
        <v>15447</v>
      </c>
      <c r="C2122" s="4">
        <v>45922</v>
      </c>
      <c r="D2122" s="4">
        <v>45922</v>
      </c>
      <c r="E2122" s="5" t="s">
        <v>17439</v>
      </c>
      <c r="F2122" s="5" t="s">
        <v>19428</v>
      </c>
      <c r="G2122" s="5" t="s">
        <v>817</v>
      </c>
      <c r="H2122" s="5">
        <v>1</v>
      </c>
      <c r="I2122" s="8" t="s">
        <v>9239</v>
      </c>
      <c r="J2122" s="8" t="s">
        <v>11288</v>
      </c>
      <c r="K2122" s="8" t="s">
        <v>3085</v>
      </c>
      <c r="L2122" s="8" t="s">
        <v>13339</v>
      </c>
      <c r="M2122" s="8" t="s">
        <v>5135</v>
      </c>
      <c r="N2122" s="8" t="s">
        <v>7186</v>
      </c>
      <c r="O2122" s="5" t="s">
        <v>135</v>
      </c>
      <c r="P2122" s="4">
        <v>45947</v>
      </c>
      <c r="Q2122" s="15">
        <v>31.99</v>
      </c>
      <c r="R2122" s="15">
        <v>19.8</v>
      </c>
      <c r="S2122" s="15">
        <v>0</v>
      </c>
      <c r="T2122"/>
    </row>
    <row r="2123" spans="1:20">
      <c r="A2123" s="5" t="s">
        <v>113</v>
      </c>
      <c r="B2123" s="5" t="s">
        <v>15448</v>
      </c>
      <c r="C2123" s="4">
        <v>45923</v>
      </c>
      <c r="D2123" s="4">
        <v>45929</v>
      </c>
      <c r="E2123" s="5" t="s">
        <v>17440</v>
      </c>
      <c r="F2123" s="5" t="s">
        <v>19429</v>
      </c>
      <c r="G2123" s="5" t="s">
        <v>894</v>
      </c>
      <c r="H2123" s="5">
        <v>1</v>
      </c>
      <c r="I2123" s="8" t="s">
        <v>9240</v>
      </c>
      <c r="J2123" s="8" t="s">
        <v>11289</v>
      </c>
      <c r="K2123" s="8" t="s">
        <v>3086</v>
      </c>
      <c r="L2123" s="8" t="s">
        <v>13340</v>
      </c>
      <c r="M2123" s="8" t="s">
        <v>5136</v>
      </c>
      <c r="N2123" s="8" t="s">
        <v>7187</v>
      </c>
      <c r="O2123" s="5" t="s">
        <v>127</v>
      </c>
      <c r="P2123" s="4">
        <v>45955</v>
      </c>
      <c r="Q2123" s="15">
        <v>49.99</v>
      </c>
      <c r="R2123" s="15">
        <v>30.67</v>
      </c>
      <c r="S2123" s="15">
        <v>0</v>
      </c>
      <c r="T2123"/>
    </row>
    <row r="2124" spans="1:20">
      <c r="A2124" s="5" t="s">
        <v>113</v>
      </c>
      <c r="B2124" s="5" t="s">
        <v>15449</v>
      </c>
      <c r="C2124" s="4">
        <v>45924</v>
      </c>
      <c r="D2124" s="4" t="s">
        <v>37</v>
      </c>
      <c r="E2124" s="5" t="s">
        <v>37</v>
      </c>
      <c r="F2124" s="5" t="s">
        <v>37</v>
      </c>
      <c r="G2124" s="5" t="s">
        <v>831</v>
      </c>
      <c r="H2124" s="5">
        <v>1</v>
      </c>
      <c r="I2124" s="8" t="s">
        <v>9241</v>
      </c>
      <c r="J2124" s="8" t="s">
        <v>11290</v>
      </c>
      <c r="K2124" s="8" t="s">
        <v>3087</v>
      </c>
      <c r="L2124" s="8" t="s">
        <v>13341</v>
      </c>
      <c r="M2124" s="8" t="s">
        <v>5137</v>
      </c>
      <c r="N2124" s="8" t="s">
        <v>7188</v>
      </c>
      <c r="O2124" s="5" t="s">
        <v>139</v>
      </c>
      <c r="P2124" s="4">
        <v>45945</v>
      </c>
      <c r="Q2124" s="15">
        <v>50.99</v>
      </c>
      <c r="R2124" s="15">
        <v>0</v>
      </c>
      <c r="S2124" s="15">
        <v>0</v>
      </c>
      <c r="T2124"/>
    </row>
    <row r="2125" spans="1:20">
      <c r="A2125" s="5" t="s">
        <v>108</v>
      </c>
      <c r="B2125" s="5" t="s">
        <v>15450</v>
      </c>
      <c r="C2125" s="4">
        <v>45927</v>
      </c>
      <c r="D2125" s="4">
        <v>45929</v>
      </c>
      <c r="E2125" s="5" t="s">
        <v>17441</v>
      </c>
      <c r="F2125" s="5" t="s">
        <v>19430</v>
      </c>
      <c r="G2125" s="5" t="s">
        <v>817</v>
      </c>
      <c r="H2125" s="5">
        <v>1</v>
      </c>
      <c r="I2125" s="8" t="s">
        <v>9242</v>
      </c>
      <c r="J2125" s="8" t="s">
        <v>11291</v>
      </c>
      <c r="K2125" s="8" t="s">
        <v>3088</v>
      </c>
      <c r="L2125" s="8" t="s">
        <v>13342</v>
      </c>
      <c r="M2125" s="8" t="s">
        <v>5138</v>
      </c>
      <c r="N2125" s="8" t="s">
        <v>7189</v>
      </c>
      <c r="O2125" s="5" t="s">
        <v>135</v>
      </c>
      <c r="P2125" s="4">
        <v>45947</v>
      </c>
      <c r="Q2125" s="15">
        <v>31.99</v>
      </c>
      <c r="R2125" s="15">
        <v>20.14</v>
      </c>
      <c r="S2125" s="15">
        <v>0</v>
      </c>
      <c r="T2125"/>
    </row>
    <row r="2126" spans="1:20">
      <c r="A2126" s="5" t="s">
        <v>108</v>
      </c>
      <c r="B2126" s="5" t="s">
        <v>15451</v>
      </c>
      <c r="C2126" s="4">
        <v>45929</v>
      </c>
      <c r="D2126" s="4">
        <v>45929</v>
      </c>
      <c r="E2126" s="5" t="s">
        <v>17442</v>
      </c>
      <c r="F2126" s="5" t="s">
        <v>19431</v>
      </c>
      <c r="G2126" s="5" t="s">
        <v>817</v>
      </c>
      <c r="H2126" s="5">
        <v>1</v>
      </c>
      <c r="I2126" s="8" t="s">
        <v>9243</v>
      </c>
      <c r="J2126" s="8" t="s">
        <v>11292</v>
      </c>
      <c r="K2126" s="8" t="s">
        <v>3089</v>
      </c>
      <c r="L2126" s="8" t="s">
        <v>13343</v>
      </c>
      <c r="M2126" s="8" t="s">
        <v>5139</v>
      </c>
      <c r="N2126" s="8" t="s">
        <v>7190</v>
      </c>
      <c r="O2126" s="5" t="s">
        <v>135</v>
      </c>
      <c r="P2126" s="4">
        <v>45954</v>
      </c>
      <c r="Q2126" s="15">
        <v>31.99</v>
      </c>
      <c r="R2126" s="15">
        <v>19.8</v>
      </c>
      <c r="S2126" s="15">
        <v>0</v>
      </c>
      <c r="T2126"/>
    </row>
  </sheetData>
  <conditionalFormatting sqref="B5:B2126">
    <cfRule type="duplicateValues" dxfId="14" priority="148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F36E-9882-4AFF-B5E6-9196F53BA919}">
  <dimension ref="A1:R1988"/>
  <sheetViews>
    <sheetView topLeftCell="A2" zoomScale="85" zoomScaleNormal="85" workbookViewId="0">
      <pane ySplit="10" topLeftCell="A12" activePane="bottomLeft" state="frozen"/>
      <selection activeCell="G204" sqref="G204"/>
      <selection pane="bottomLeft" activeCell="O12" sqref="O12"/>
    </sheetView>
  </sheetViews>
  <sheetFormatPr defaultColWidth="9.140625" defaultRowHeight="15"/>
  <cols>
    <col min="1" max="1" width="21.28515625" customWidth="1"/>
    <col min="2" max="2" width="20.140625" style="2" bestFit="1" customWidth="1"/>
    <col min="3" max="3" width="22.85546875" style="2" customWidth="1"/>
    <col min="4" max="4" width="12.28515625" style="52" bestFit="1" customWidth="1"/>
    <col min="5" max="5" width="14.5703125" style="52" bestFit="1" customWidth="1"/>
    <col min="6" max="6" width="15.7109375" style="52" customWidth="1"/>
    <col min="7" max="7" width="7" style="9" customWidth="1"/>
    <col min="8" max="8" width="10.85546875" style="52" bestFit="1" customWidth="1"/>
    <col min="9" max="9" width="11" style="54" customWidth="1"/>
    <col min="10" max="10" width="19.85546875" style="124" bestFit="1" customWidth="1"/>
    <col min="11" max="11" width="15.5703125" style="52" customWidth="1"/>
    <col min="12" max="12" width="14.42578125" bestFit="1" customWidth="1"/>
    <col min="13" max="13" width="14.42578125" style="52" bestFit="1" customWidth="1"/>
    <col min="14" max="14" width="22.28515625" style="52" bestFit="1" customWidth="1"/>
    <col min="15" max="15" width="6.28515625" style="52" bestFit="1" customWidth="1"/>
    <col min="16" max="16" width="10.7109375" style="52" bestFit="1" customWidth="1"/>
    <col min="17" max="17" width="7" style="52" bestFit="1" customWidth="1"/>
    <col min="18" max="18" width="10.7109375" style="52" bestFit="1" customWidth="1"/>
    <col min="19" max="16384" width="9.140625" style="52"/>
  </cols>
  <sheetData>
    <row r="1" spans="1:18" hidden="1">
      <c r="A1" s="2"/>
      <c r="C1" s="52"/>
      <c r="F1" s="9"/>
      <c r="G1" s="52"/>
      <c r="H1" s="53"/>
      <c r="I1" s="124"/>
      <c r="J1" s="52"/>
      <c r="K1"/>
      <c r="L1" s="52"/>
      <c r="P1"/>
      <c r="Q1"/>
    </row>
    <row r="2" spans="1:18">
      <c r="A2" s="69" t="s">
        <v>174</v>
      </c>
      <c r="B2" s="69" t="s">
        <v>175</v>
      </c>
      <c r="C2"/>
      <c r="D2"/>
      <c r="E2"/>
      <c r="F2" s="70" t="s">
        <v>176</v>
      </c>
      <c r="G2" s="52" t="s">
        <v>177</v>
      </c>
      <c r="H2" s="53"/>
      <c r="P2"/>
      <c r="Q2"/>
    </row>
    <row r="3" spans="1:18">
      <c r="A3" s="69" t="s">
        <v>176</v>
      </c>
      <c r="B3" t="s">
        <v>178</v>
      </c>
      <c r="C3" t="s">
        <v>179</v>
      </c>
      <c r="D3" t="s">
        <v>0</v>
      </c>
      <c r="E3"/>
      <c r="F3" s="52" t="s">
        <v>180</v>
      </c>
      <c r="G3" s="52">
        <v>1801</v>
      </c>
      <c r="H3" s="67">
        <f>G3/$G$5</f>
        <v>0.91097622660596866</v>
      </c>
      <c r="P3"/>
      <c r="Q3"/>
    </row>
    <row r="4" spans="1:18">
      <c r="A4" s="52" t="s">
        <v>181</v>
      </c>
      <c r="B4" s="5">
        <v>3</v>
      </c>
      <c r="C4" s="5">
        <v>11</v>
      </c>
      <c r="D4" s="5">
        <v>14</v>
      </c>
      <c r="E4"/>
      <c r="F4" s="52" t="s">
        <v>182</v>
      </c>
      <c r="G4" s="52">
        <v>176</v>
      </c>
      <c r="H4" s="67">
        <f>G4/$G$5</f>
        <v>8.9023773394031364E-2</v>
      </c>
      <c r="P4"/>
      <c r="Q4"/>
    </row>
    <row r="5" spans="1:18">
      <c r="A5" s="52" t="s">
        <v>183</v>
      </c>
      <c r="B5" s="5"/>
      <c r="C5" s="5">
        <v>2</v>
      </c>
      <c r="D5" s="5">
        <v>2</v>
      </c>
      <c r="E5"/>
      <c r="F5" s="52" t="s">
        <v>0</v>
      </c>
      <c r="G5" s="52">
        <v>1977</v>
      </c>
      <c r="H5" s="53"/>
      <c r="M5" s="68"/>
      <c r="P5"/>
      <c r="Q5"/>
    </row>
    <row r="6" spans="1:18">
      <c r="A6" s="52" t="s">
        <v>184</v>
      </c>
      <c r="B6" s="5">
        <v>9</v>
      </c>
      <c r="C6" s="5">
        <v>2</v>
      </c>
      <c r="D6" s="5">
        <v>11</v>
      </c>
      <c r="E6"/>
      <c r="F6"/>
      <c r="G6"/>
      <c r="H6" s="53"/>
      <c r="P6"/>
      <c r="Q6"/>
    </row>
    <row r="7" spans="1:18">
      <c r="A7" s="52" t="s">
        <v>0</v>
      </c>
      <c r="B7" s="5">
        <v>12</v>
      </c>
      <c r="C7" s="5">
        <v>15</v>
      </c>
      <c r="D7" s="5">
        <v>27</v>
      </c>
      <c r="E7"/>
      <c r="F7"/>
      <c r="G7"/>
      <c r="H7" s="66"/>
      <c r="I7"/>
      <c r="J7"/>
      <c r="K7"/>
      <c r="P7"/>
      <c r="Q7"/>
    </row>
    <row r="8" spans="1:18">
      <c r="B8"/>
      <c r="C8"/>
      <c r="D8"/>
      <c r="E8"/>
      <c r="F8"/>
      <c r="G8" s="52"/>
      <c r="H8" s="53"/>
      <c r="I8"/>
      <c r="J8"/>
      <c r="K8"/>
      <c r="M8"/>
      <c r="N8"/>
      <c r="O8"/>
      <c r="P8"/>
    </row>
    <row r="9" spans="1:18">
      <c r="B9"/>
      <c r="C9"/>
      <c r="D9"/>
      <c r="E9"/>
      <c r="F9"/>
      <c r="G9" s="52"/>
      <c r="H9" s="53"/>
      <c r="I9"/>
      <c r="J9"/>
      <c r="K9"/>
      <c r="P9"/>
    </row>
    <row r="10" spans="1:18">
      <c r="B10"/>
      <c r="C10"/>
      <c r="D10"/>
      <c r="E10"/>
      <c r="F10"/>
      <c r="G10" s="52"/>
      <c r="H10" s="53"/>
      <c r="I10"/>
      <c r="J10"/>
      <c r="K10"/>
      <c r="P10"/>
    </row>
    <row r="11" spans="1:18">
      <c r="A11" s="60" t="s">
        <v>185</v>
      </c>
      <c r="B11" s="65" t="s">
        <v>186</v>
      </c>
      <c r="C11" s="65" t="s">
        <v>19453</v>
      </c>
      <c r="D11" s="60" t="s">
        <v>1</v>
      </c>
      <c r="E11" s="65" t="s">
        <v>187</v>
      </c>
      <c r="F11" s="65" t="s">
        <v>189</v>
      </c>
      <c r="G11" s="64" t="s">
        <v>190</v>
      </c>
      <c r="H11" s="64" t="s">
        <v>191</v>
      </c>
      <c r="I11" s="64" t="s">
        <v>192</v>
      </c>
      <c r="J11" s="63" t="s">
        <v>193</v>
      </c>
      <c r="K11" s="125" t="s">
        <v>37</v>
      </c>
      <c r="L11" s="62" t="s">
        <v>194</v>
      </c>
      <c r="M11" s="62" t="s">
        <v>195</v>
      </c>
      <c r="N11" s="61" t="s">
        <v>196</v>
      </c>
      <c r="O11" s="60" t="s">
        <v>197</v>
      </c>
    </row>
    <row r="12" spans="1:18">
      <c r="A12" s="52" t="s">
        <v>13706</v>
      </c>
      <c r="B12" s="2" t="s">
        <v>19442</v>
      </c>
      <c r="C12" s="2" t="str">
        <f>Follow[[#This Row],[CODRASTREIO]]&amp;" B"</f>
        <v>CódRastreio352 1 envio B</v>
      </c>
      <c r="D12" s="52" t="s">
        <v>36</v>
      </c>
      <c r="E12" s="9">
        <v>45645</v>
      </c>
      <c r="F12" s="9" t="s">
        <v>19433</v>
      </c>
      <c r="G12" s="9" t="s">
        <v>37</v>
      </c>
      <c r="H12" s="52" t="s">
        <v>179</v>
      </c>
      <c r="I12" s="52" t="s">
        <v>178</v>
      </c>
      <c r="J12" s="55">
        <v>45644</v>
      </c>
      <c r="K12" s="52" t="s">
        <v>198</v>
      </c>
      <c r="L12" s="8" t="s">
        <v>124</v>
      </c>
      <c r="M12" s="8" t="s">
        <v>19438</v>
      </c>
      <c r="N12" s="52" t="str">
        <f>IF(Follow[[#This Row],[DATAATUALIZAÇÃO]]&lt;=Follow[[#This Row],[Prev Entrega]],"Dentro do Prazo","Fora do Prazo")</f>
        <v>Dentro do Prazo</v>
      </c>
      <c r="O1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18/12/2024, referente ao pedido Nº Pedido 363 Rastreio Pedido 363, agradecemos a preferência e adoraríamos receber sua avaliação, tendo qualquer dúvida estamos à disposição.
Att
Tem tudo Shop</v>
      </c>
    </row>
    <row r="13" spans="1:18">
      <c r="A13" s="52" t="str">
        <f>_xlfn.XLOOKUP(Follow[[#This Row],[CODRASTREIO]],Controle_Pedidos[Cód Rastreamento],Controle_Pedidos[Número Pedido Cliente])</f>
        <v>Pedido 363</v>
      </c>
      <c r="B13" s="2" t="s">
        <v>17794</v>
      </c>
      <c r="C13" s="2" t="str">
        <f>Follow[[#This Row],[CODRASTREIO]]&amp;" B"</f>
        <v>CódRastreio352 B</v>
      </c>
      <c r="D13" s="52" t="str">
        <f>_xlfn.XLOOKUP(Follow[[#This Row],[Id Pedido]],Controle_Pedidos[Número Pedido Cliente],Controle_Pedidos[Loja])</f>
        <v>BV</v>
      </c>
      <c r="E13" s="9">
        <f>_xlfn.XLOOKUP(Follow[[#This Row],[Id Pedido]],Controle_Pedidos[Número Pedido Cliente],Controle_Pedidos[Prazo Entrega])</f>
        <v>45645</v>
      </c>
      <c r="F13" s="9" t="s">
        <v>19433</v>
      </c>
      <c r="G13" s="9" t="s">
        <v>37</v>
      </c>
      <c r="H13" s="52" t="s">
        <v>179</v>
      </c>
      <c r="I13" s="52" t="s">
        <v>178</v>
      </c>
      <c r="J13" s="55">
        <v>45644</v>
      </c>
      <c r="K13" s="52" t="s">
        <v>198</v>
      </c>
      <c r="L13" s="8" t="s">
        <v>124</v>
      </c>
      <c r="M13" s="8" t="s">
        <v>199</v>
      </c>
      <c r="N13" s="52" t="str">
        <f>IF(Follow[[#This Row],[DATAATUALIZAÇÃO]]&lt;=Follow[[#This Row],[Prev Entrega]],"Dentro do Prazo","Fora do Prazo")</f>
        <v>Dentro do Prazo</v>
      </c>
      <c r="O1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18/12/2024, referente ao pedido Nº Pedido 363 Rastreio Pedido 363, agradecemos a preferência e adoraríamos receber sua avaliação, tendo qualquer dúvida estamos à disposição.
Att
Tem tudo Shop</v>
      </c>
      <c r="P13"/>
      <c r="Q13"/>
      <c r="R13"/>
    </row>
    <row r="14" spans="1:18">
      <c r="A14" s="52" t="str">
        <f>_xlfn.XLOOKUP(Follow[[#This Row],[CODRASTREIO]],Controle_Pedidos[Cód Rastreamento],Controle_Pedidos[Número Pedido Cliente])</f>
        <v>Pedido 543</v>
      </c>
      <c r="B14" s="2" t="s">
        <v>17970</v>
      </c>
      <c r="C14" s="2" t="str">
        <f>Follow[[#This Row],[CODRASTREIO]]&amp;" B"</f>
        <v>CódRastreio528 B</v>
      </c>
      <c r="D14" s="52" t="str">
        <f>_xlfn.XLOOKUP(Follow[[#This Row],[Id Pedido]],Controle_Pedidos[Número Pedido Cliente],Controle_Pedidos[Loja])</f>
        <v>BV</v>
      </c>
      <c r="E14" s="9">
        <f>_xlfn.XLOOKUP(Follow[[#This Row],[Id Pedido]],Controle_Pedidos[Número Pedido Cliente],Controle_Pedidos[Prazo Entrega])</f>
        <v>45665</v>
      </c>
      <c r="F14" s="9" t="s">
        <v>19433</v>
      </c>
      <c r="G14" s="9" t="s">
        <v>37</v>
      </c>
      <c r="H14" s="52" t="s">
        <v>178</v>
      </c>
      <c r="I14" s="52" t="s">
        <v>178</v>
      </c>
      <c r="J14" s="55">
        <v>45679</v>
      </c>
      <c r="K14" s="52" t="s">
        <v>198</v>
      </c>
      <c r="L14" s="8" t="s">
        <v>124</v>
      </c>
      <c r="M14" s="8" t="s">
        <v>37</v>
      </c>
      <c r="N14" s="52" t="str">
        <f>IF(Follow[[#This Row],[DATAATUALIZAÇÃO]]&lt;=Follow[[#This Row],[Prev Entrega]],"Dentro do Prazo","Fora do Prazo")</f>
        <v>Fora do Prazo</v>
      </c>
      <c r="O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22/01/2025, referente ao pedido Nº Pedido 543 Rastreio Pedido 543, agradecemos a preferência e adoraríamos receber sua avaliação, tendo qualquer dúvida estamos à disposição.
Att
Tem tudo Shop</v>
      </c>
      <c r="P14"/>
      <c r="Q14"/>
      <c r="R14"/>
    </row>
    <row r="15" spans="1:18">
      <c r="A15" s="52" t="str">
        <f>_xlfn.XLOOKUP(Follow[[#This Row],[CODRASTREIO]],Controle_Pedidos[Cód Rastreamento],Controle_Pedidos[Número Pedido Cliente])</f>
        <v>Pedido 560</v>
      </c>
      <c r="B15" s="2" t="s">
        <v>17987</v>
      </c>
      <c r="C15" s="2" t="str">
        <f>Follow[[#This Row],[CODRASTREIO]]&amp;" B"</f>
        <v>CódRastreio545 B</v>
      </c>
      <c r="D15" s="52" t="str">
        <f>_xlfn.XLOOKUP(Follow[[#This Row],[Id Pedido]],Controle_Pedidos[Número Pedido Cliente],Controle_Pedidos[Loja])</f>
        <v>BV</v>
      </c>
      <c r="E15" s="9">
        <f>_xlfn.XLOOKUP(Follow[[#This Row],[Id Pedido]],Controle_Pedidos[Número Pedido Cliente],Controle_Pedidos[Prazo Entrega])</f>
        <v>45666</v>
      </c>
      <c r="F15" s="9" t="s">
        <v>19433</v>
      </c>
      <c r="G15" s="9" t="s">
        <v>37</v>
      </c>
      <c r="H15" s="52" t="s">
        <v>179</v>
      </c>
      <c r="I15" s="52" t="s">
        <v>178</v>
      </c>
      <c r="J15" s="55">
        <v>45645</v>
      </c>
      <c r="K15" s="52" t="s">
        <v>198</v>
      </c>
      <c r="L15" s="8" t="s">
        <v>124</v>
      </c>
      <c r="M15" s="8" t="s">
        <v>88</v>
      </c>
      <c r="N15" s="52" t="str">
        <f>IF(Follow[[#This Row],[DATAATUALIZAÇÃO]]&lt;=Follow[[#This Row],[Prev Entrega]],"Dentro do Prazo","Fora do Prazo")</f>
        <v>Dentro do Prazo</v>
      </c>
      <c r="O1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19/12/2024, referente ao pedido Nº Pedido 560 Rastreio Pedido 560, agradecemos a preferência e adoraríamos receber sua avaliação, tendo qualquer dúvida estamos à disposição.
Att
Tem tudo Shop</v>
      </c>
      <c r="P15"/>
      <c r="Q15"/>
      <c r="R15"/>
    </row>
    <row r="16" spans="1:18">
      <c r="A16" s="52" t="str">
        <f>_xlfn.XLOOKUP(Follow[[#This Row],[CODRASTREIO]],Controle_Pedidos[Cód Rastreamento],Controle_Pedidos[Número Pedido Cliente])</f>
        <v>Pedido 574</v>
      </c>
      <c r="B16" s="2" t="s">
        <v>18001</v>
      </c>
      <c r="C16" s="2" t="str">
        <f>Follow[[#This Row],[CODRASTREIO]]&amp;" B"</f>
        <v>CódRastreio559 B</v>
      </c>
      <c r="D16" s="52" t="str">
        <f>_xlfn.XLOOKUP(Follow[[#This Row],[Id Pedido]],Controle_Pedidos[Número Pedido Cliente],Controle_Pedidos[Loja])</f>
        <v>BV</v>
      </c>
      <c r="E16" s="9">
        <f>_xlfn.XLOOKUP(Follow[[#This Row],[Id Pedido]],Controle_Pedidos[Número Pedido Cliente],Controle_Pedidos[Prazo Entrega])</f>
        <v>45666</v>
      </c>
      <c r="F16" s="9" t="s">
        <v>19433</v>
      </c>
      <c r="G16" s="9" t="s">
        <v>37</v>
      </c>
      <c r="H16" s="52" t="s">
        <v>179</v>
      </c>
      <c r="I16" s="52" t="s">
        <v>178</v>
      </c>
      <c r="J16" s="55">
        <v>45646</v>
      </c>
      <c r="K16" s="52" t="s">
        <v>198</v>
      </c>
      <c r="L16" s="8" t="s">
        <v>124</v>
      </c>
      <c r="M16" s="8" t="s">
        <v>37</v>
      </c>
      <c r="N16" s="52" t="str">
        <f>IF(Follow[[#This Row],[DATAATUALIZAÇÃO]]&lt;=Follow[[#This Row],[Prev Entrega]],"Dentro do Prazo","Fora do Prazo")</f>
        <v>Dentro do Prazo</v>
      </c>
      <c r="O16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20/12/2024, referente ao pedido Nº Pedido 574 Rastreio Pedido 574, agradecemos a preferência e adoraríamos receber sua avaliação, tendo qualquer dúvida estamos à disposição.
Att
Tem tudo Shop</v>
      </c>
      <c r="P16"/>
      <c r="Q16"/>
      <c r="R16"/>
    </row>
    <row r="17" spans="1:18">
      <c r="A17" s="52" t="str">
        <f>_xlfn.XLOOKUP(Follow[[#This Row],[CODRASTREIO]],Controle_Pedidos[Cód Rastreamento],Controle_Pedidos[Número Pedido Cliente])</f>
        <v>Pedido 555</v>
      </c>
      <c r="B17" s="2" t="s">
        <v>17982</v>
      </c>
      <c r="C17" s="2" t="str">
        <f>Follow[[#This Row],[CODRASTREIO]]&amp;" B"</f>
        <v>CódRastreio540 B</v>
      </c>
      <c r="D17" s="52" t="str">
        <f>_xlfn.XLOOKUP(Follow[[#This Row],[Id Pedido]],Controle_Pedidos[Número Pedido Cliente],Controle_Pedidos[Loja])</f>
        <v>BV</v>
      </c>
      <c r="E17" s="9">
        <f>_xlfn.XLOOKUP(Follow[[#This Row],[Id Pedido]],Controle_Pedidos[Número Pedido Cliente],Controle_Pedidos[Prazo Entrega])</f>
        <v>45666</v>
      </c>
      <c r="F17" s="9" t="s">
        <v>19433</v>
      </c>
      <c r="G17" s="9" t="s">
        <v>37</v>
      </c>
      <c r="H17" s="52" t="s">
        <v>179</v>
      </c>
      <c r="I17" s="52" t="s">
        <v>178</v>
      </c>
      <c r="J17" s="55">
        <v>45664</v>
      </c>
      <c r="K17" s="52" t="s">
        <v>198</v>
      </c>
      <c r="L17" s="8" t="s">
        <v>124</v>
      </c>
      <c r="M17" s="8" t="s">
        <v>88</v>
      </c>
      <c r="N17" s="52" t="str">
        <f>IF(Follow[[#This Row],[DATAATUALIZAÇÃO]]&lt;=Follow[[#This Row],[Prev Entrega]],"Dentro do Prazo","Fora do Prazo")</f>
        <v>Dentro do Prazo</v>
      </c>
      <c r="O17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07/01/2025, referente ao pedido Nº Pedido 555 Rastreio Pedido 555, agradecemos a preferência e adoraríamos receber sua avaliação, tendo qualquer dúvida estamos à disposição.
Att
Tem tudo Shop</v>
      </c>
      <c r="P17"/>
      <c r="Q17"/>
      <c r="R17"/>
    </row>
    <row r="18" spans="1:18">
      <c r="A18" s="52" t="str">
        <f>_xlfn.XLOOKUP(Follow[[#This Row],[CODRASTREIO]],Controle_Pedidos[Cód Rastreamento],Controle_Pedidos[Número Pedido Cliente])</f>
        <v>Pedido 597</v>
      </c>
      <c r="B18" s="2" t="s">
        <v>18024</v>
      </c>
      <c r="C18" s="2" t="str">
        <f>Follow[[#This Row],[CODRASTREIO]]&amp;" B"</f>
        <v>CódRastreio582 B</v>
      </c>
      <c r="D18" s="52" t="str">
        <f>_xlfn.XLOOKUP(Follow[[#This Row],[Id Pedido]],Controle_Pedidos[Número Pedido Cliente],Controle_Pedidos[Loja])</f>
        <v>BV</v>
      </c>
      <c r="E18" s="9">
        <f>_xlfn.XLOOKUP(Follow[[#This Row],[Id Pedido]],Controle_Pedidos[Número Pedido Cliente],Controle_Pedidos[Prazo Entrega])</f>
        <v>45686</v>
      </c>
      <c r="F18" s="9" t="s">
        <v>19433</v>
      </c>
      <c r="G18" s="9" t="s">
        <v>37</v>
      </c>
      <c r="H18" s="52" t="s">
        <v>179</v>
      </c>
      <c r="I18" s="52" t="s">
        <v>178</v>
      </c>
      <c r="J18" s="55">
        <v>45692</v>
      </c>
      <c r="K18" s="52" t="s">
        <v>198</v>
      </c>
      <c r="L18" s="8" t="s">
        <v>124</v>
      </c>
      <c r="M18" s="8" t="s">
        <v>37</v>
      </c>
      <c r="N18" s="52" t="str">
        <f>IF(Follow[[#This Row],[DATAATUALIZAÇÃO]]&lt;=Follow[[#This Row],[Prev Entrega]],"Dentro do Prazo","Fora do Prazo")</f>
        <v>Fora do Prazo</v>
      </c>
      <c r="O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597 Rastreio Pedido 597, agradecemos a preferência e adoraríamos receber sua avaliação, tendo qualquer dúvida estamos à disposição.
Att
Tem tudo Shop</v>
      </c>
      <c r="P18"/>
      <c r="Q18"/>
      <c r="R18" t="s">
        <v>19432</v>
      </c>
    </row>
    <row r="19" spans="1:18">
      <c r="A19" s="52" t="str">
        <f>_xlfn.XLOOKUP(Follow[[#This Row],[CODRASTREIO]],Controle_Pedidos[Cód Rastreamento],Controle_Pedidos[Número Pedido Cliente])</f>
        <v>Pedido 611</v>
      </c>
      <c r="B19" s="2" t="s">
        <v>18036</v>
      </c>
      <c r="C19" s="2" t="str">
        <f>Follow[[#This Row],[CODRASTREIO]]&amp;" B"</f>
        <v>CódRastreio594 B</v>
      </c>
      <c r="D19" s="52" t="str">
        <f>_xlfn.XLOOKUP(Follow[[#This Row],[Id Pedido]],Controle_Pedidos[Número Pedido Cliente],Controle_Pedidos[Loja])</f>
        <v>BV</v>
      </c>
      <c r="E19" s="9">
        <f>_xlfn.XLOOKUP(Follow[[#This Row],[Id Pedido]],Controle_Pedidos[Número Pedido Cliente],Controle_Pedidos[Prazo Entrega])</f>
        <v>45686</v>
      </c>
      <c r="F19" s="9" t="s">
        <v>19433</v>
      </c>
      <c r="G19" s="9" t="s">
        <v>37</v>
      </c>
      <c r="H19" s="52" t="s">
        <v>179</v>
      </c>
      <c r="I19" s="52" t="s">
        <v>178</v>
      </c>
      <c r="J19" s="55">
        <v>45686</v>
      </c>
      <c r="K19" s="52" t="s">
        <v>198</v>
      </c>
      <c r="L19" s="8" t="s">
        <v>124</v>
      </c>
      <c r="M19" s="8" t="s">
        <v>37</v>
      </c>
      <c r="N19" s="52" t="str">
        <f>IF(Follow[[#This Row],[DATAATUALIZAÇÃO]]&lt;=Follow[[#This Row],[Prev Entrega]],"Dentro do Prazo","Fora do Prazo")</f>
        <v>Dentro do Prazo</v>
      </c>
      <c r="O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29/01/2025, referente ao pedido Nº Pedido 611 Rastreio Pedido 611, agradecemos a preferência e adoraríamos receber sua avaliação, tendo qualquer dúvida estamos à disposição.
Att
Tem tudo Shop</v>
      </c>
      <c r="P19"/>
      <c r="Q19"/>
      <c r="R19"/>
    </row>
    <row r="20" spans="1:18">
      <c r="A20" s="52" t="str">
        <f>_xlfn.XLOOKUP(Follow[[#This Row],[CODRASTREIO]],Controle_Pedidos[Cód Rastreamento],Controle_Pedidos[Número Pedido Cliente])</f>
        <v>Pedido 632</v>
      </c>
      <c r="B20" s="2" t="s">
        <v>18056</v>
      </c>
      <c r="C20" s="2" t="str">
        <f>Follow[[#This Row],[CODRASTREIO]]&amp;" B"</f>
        <v>CódRastreio614 B</v>
      </c>
      <c r="D20" s="52" t="str">
        <f>_xlfn.XLOOKUP(Follow[[#This Row],[Id Pedido]],Controle_Pedidos[Número Pedido Cliente],Controle_Pedidos[Loja])</f>
        <v>BV</v>
      </c>
      <c r="E20" s="9">
        <f>_xlfn.XLOOKUP(Follow[[#This Row],[Id Pedido]],Controle_Pedidos[Número Pedido Cliente],Controle_Pedidos[Prazo Entrega])</f>
        <v>45688</v>
      </c>
      <c r="F20" s="9" t="s">
        <v>19433</v>
      </c>
      <c r="G20" s="9" t="s">
        <v>37</v>
      </c>
      <c r="H20" s="52" t="s">
        <v>179</v>
      </c>
      <c r="I20" s="52" t="s">
        <v>178</v>
      </c>
      <c r="J20" s="55">
        <v>45674</v>
      </c>
      <c r="K20" s="52" t="s">
        <v>198</v>
      </c>
      <c r="L20" s="8" t="s">
        <v>124</v>
      </c>
      <c r="M20" s="8" t="s">
        <v>37</v>
      </c>
      <c r="N20" s="52" t="str">
        <f>IF(Follow[[#This Row],[DATAATUALIZAÇÃO]]&lt;=Follow[[#This Row],[Prev Entrega]],"Dentro do Prazo","Fora do Prazo")</f>
        <v>Dentro do Prazo</v>
      </c>
      <c r="O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17/01/2025, referente ao pedido Nº Pedido 632 Rastreio Pedido 632, agradecemos a preferência e adoraríamos receber sua avaliação, tendo qualquer dúvida estamos à disposição.
Att
Tem tudo Shop</v>
      </c>
      <c r="P20"/>
      <c r="Q20"/>
      <c r="R20"/>
    </row>
    <row r="21" spans="1:18">
      <c r="A21" s="52" t="str">
        <f>_xlfn.XLOOKUP(Follow[[#This Row],[CODRASTREIO]],Controle_Pedidos[Cód Rastreamento],Controle_Pedidos[Número Pedido Cliente])</f>
        <v>Pedido 644</v>
      </c>
      <c r="B21" s="2" t="s">
        <v>18067</v>
      </c>
      <c r="C21" s="2" t="str">
        <f>Follow[[#This Row],[CODRASTREIO]]&amp;" B"</f>
        <v>CódRastreio625 B</v>
      </c>
      <c r="D21" s="52" t="str">
        <f>_xlfn.XLOOKUP(Follow[[#This Row],[Id Pedido]],Controle_Pedidos[Número Pedido Cliente],Controle_Pedidos[Loja])</f>
        <v>BV</v>
      </c>
      <c r="E21" s="9">
        <f>_xlfn.XLOOKUP(Follow[[#This Row],[Id Pedido]],Controle_Pedidos[Número Pedido Cliente],Controle_Pedidos[Prazo Entrega])</f>
        <v>45682</v>
      </c>
      <c r="F21" s="9" t="s">
        <v>19433</v>
      </c>
      <c r="G21" s="9" t="s">
        <v>37</v>
      </c>
      <c r="H21" s="52" t="s">
        <v>178</v>
      </c>
      <c r="I21" s="52" t="s">
        <v>178</v>
      </c>
      <c r="J21" s="55">
        <v>45673</v>
      </c>
      <c r="K21" s="52" t="s">
        <v>198</v>
      </c>
      <c r="L21" s="8" t="s">
        <v>124</v>
      </c>
      <c r="M21" s="8" t="s">
        <v>37</v>
      </c>
      <c r="N21" s="52" t="str">
        <f>IF(Follow[[#This Row],[DATAATUALIZAÇÃO]]&lt;=Follow[[#This Row],[Prev Entrega]],"Dentro do Prazo","Fora do Prazo")</f>
        <v>Dentro do Prazo</v>
      </c>
      <c r="O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644 Rastreio Pedido 644, agradecemos a preferência e adoraríamos receber sua avaliação, tendo qualquer dúvida estamos à disposição.
Att
Tem tudo Shop</v>
      </c>
      <c r="P21"/>
      <c r="Q21"/>
      <c r="R21"/>
    </row>
    <row r="22" spans="1:18">
      <c r="A22" s="52" t="str">
        <f>_xlfn.XLOOKUP(Follow[[#This Row],[CODRASTREIO]],Controle_Pedidos[Cód Rastreamento],Controle_Pedidos[Número Pedido Cliente])</f>
        <v>Pedido 665</v>
      </c>
      <c r="B22" s="2" t="s">
        <v>18087</v>
      </c>
      <c r="C22" s="2" t="str">
        <f>Follow[[#This Row],[CODRASTREIO]]&amp;" B"</f>
        <v>CódRastreio645 B</v>
      </c>
      <c r="D22" s="52" t="str">
        <f>_xlfn.XLOOKUP(Follow[[#This Row],[Id Pedido]],Controle_Pedidos[Número Pedido Cliente],Controle_Pedidos[Loja])</f>
        <v>BV</v>
      </c>
      <c r="E22" s="9">
        <f>_xlfn.XLOOKUP(Follow[[#This Row],[Id Pedido]],Controle_Pedidos[Número Pedido Cliente],Controle_Pedidos[Prazo Entrega])</f>
        <v>45685</v>
      </c>
      <c r="F22" s="9" t="s">
        <v>19433</v>
      </c>
      <c r="G22" s="9" t="s">
        <v>37</v>
      </c>
      <c r="H22" s="52" t="s">
        <v>179</v>
      </c>
      <c r="I22" s="52" t="s">
        <v>178</v>
      </c>
      <c r="J22" s="55">
        <v>45679</v>
      </c>
      <c r="K22" s="52" t="s">
        <v>198</v>
      </c>
      <c r="L22" s="8" t="s">
        <v>124</v>
      </c>
      <c r="M22" s="8" t="s">
        <v>37</v>
      </c>
      <c r="N22" s="52" t="str">
        <f>IF(Follow[[#This Row],[DATAATUALIZAÇÃO]]&lt;=Follow[[#This Row],[Prev Entrega]],"Dentro do Prazo","Fora do Prazo")</f>
        <v>Dentro do Prazo</v>
      </c>
      <c r="O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22/01/2025, referente ao pedido Nº Pedido 665 Rastreio Pedido 665, agradecemos a preferência e adoraríamos receber sua avaliação, tendo qualquer dúvida estamos à disposição.
Att
Tem tudo Shop</v>
      </c>
      <c r="P22"/>
      <c r="Q22"/>
      <c r="R22"/>
    </row>
    <row r="23" spans="1:18">
      <c r="A23" s="52" t="str">
        <f>_xlfn.XLOOKUP(Follow[[#This Row],[CODRASTREIO]],Controle_Pedidos[Cód Rastreamento],Controle_Pedidos[Número Pedido Cliente])</f>
        <v>Pedido 677</v>
      </c>
      <c r="B23" s="2" t="s">
        <v>18099</v>
      </c>
      <c r="C23" s="2" t="str">
        <f>Follow[[#This Row],[CODRASTREIO]]&amp;" B"</f>
        <v>CódRastreio657 B</v>
      </c>
      <c r="D23" s="52" t="str">
        <f>_xlfn.XLOOKUP(Follow[[#This Row],[Id Pedido]],Controle_Pedidos[Número Pedido Cliente],Controle_Pedidos[Loja])</f>
        <v>BV</v>
      </c>
      <c r="E23" s="9">
        <f>_xlfn.XLOOKUP(Follow[[#This Row],[Id Pedido]],Controle_Pedidos[Número Pedido Cliente],Controle_Pedidos[Prazo Entrega])</f>
        <v>45686</v>
      </c>
      <c r="F23" s="9" t="s">
        <v>19433</v>
      </c>
      <c r="G23" s="9" t="s">
        <v>37</v>
      </c>
      <c r="H23" s="52" t="s">
        <v>178</v>
      </c>
      <c r="I23" s="52" t="s">
        <v>178</v>
      </c>
      <c r="J23" s="55">
        <v>45673</v>
      </c>
      <c r="K23" s="52" t="s">
        <v>198</v>
      </c>
      <c r="L23" s="8" t="s">
        <v>124</v>
      </c>
      <c r="M23" s="8" t="s">
        <v>37</v>
      </c>
      <c r="N23" s="52" t="str">
        <f>IF(Follow[[#This Row],[DATAATUALIZAÇÃO]]&lt;=Follow[[#This Row],[Prev Entrega]],"Dentro do Prazo","Fora do Prazo")</f>
        <v>Dentro do Prazo</v>
      </c>
      <c r="O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677 Rastreio Pedido 677, agradecemos a preferência e adoraríamos receber sua avaliação, tendo qualquer dúvida estamos à disposição.
Att
Tem tudo Shop</v>
      </c>
    </row>
    <row r="24" spans="1:18">
      <c r="A24" s="52" t="str">
        <f>_xlfn.XLOOKUP(Follow[[#This Row],[CODRASTREIO]],Controle_Pedidos[Cód Rastreamento],Controle_Pedidos[Número Pedido Cliente])</f>
        <v>Pedido 680</v>
      </c>
      <c r="B24" s="2" t="s">
        <v>18102</v>
      </c>
      <c r="C24" s="2" t="str">
        <f>Follow[[#This Row],[CODRASTREIO]]&amp;" B"</f>
        <v>CódRastreio660 B</v>
      </c>
      <c r="D24" s="52" t="str">
        <f>_xlfn.XLOOKUP(Follow[[#This Row],[Id Pedido]],Controle_Pedidos[Número Pedido Cliente],Controle_Pedidos[Loja])</f>
        <v>BV</v>
      </c>
      <c r="E24" s="9">
        <f>_xlfn.XLOOKUP(Follow[[#This Row],[Id Pedido]],Controle_Pedidos[Número Pedido Cliente],Controle_Pedidos[Prazo Entrega])</f>
        <v>45686</v>
      </c>
      <c r="F24" s="9" t="s">
        <v>19433</v>
      </c>
      <c r="G24" s="9" t="s">
        <v>37</v>
      </c>
      <c r="H24" s="52" t="s">
        <v>179</v>
      </c>
      <c r="I24" s="52" t="s">
        <v>178</v>
      </c>
      <c r="J24" s="55">
        <v>45673</v>
      </c>
      <c r="K24" s="52" t="s">
        <v>198</v>
      </c>
      <c r="L24" s="8" t="s">
        <v>124</v>
      </c>
      <c r="M24" s="8" t="s">
        <v>37</v>
      </c>
      <c r="N24" s="52" t="str">
        <f>IF(Follow[[#This Row],[DATAATUALIZAÇÃO]]&lt;=Follow[[#This Row],[Prev Entrega]],"Dentro do Prazo","Fora do Prazo")</f>
        <v>Dentro do Prazo</v>
      </c>
      <c r="O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16/01/2025, referente ao pedido Nº Pedido 680 Rastreio Pedido 680, agradecemos a preferência e adoraríamos receber sua avaliação, tendo qualquer dúvida estamos à disposição.
Att
Tem tudo Shop</v>
      </c>
    </row>
    <row r="25" spans="1:18">
      <c r="A25" s="52" t="str">
        <f>_xlfn.XLOOKUP(Follow[[#This Row],[CODRASTREIO]],Controle_Pedidos[Cód Rastreamento],Controle_Pedidos[Número Pedido Cliente])</f>
        <v>Pedido 681</v>
      </c>
      <c r="B25" s="2" t="s">
        <v>18103</v>
      </c>
      <c r="C25" s="2" t="str">
        <f>Follow[[#This Row],[CODRASTREIO]]&amp;" B"</f>
        <v>CódRastreio661 B</v>
      </c>
      <c r="D25" s="52" t="str">
        <f>_xlfn.XLOOKUP(Follow[[#This Row],[Id Pedido]],Controle_Pedidos[Número Pedido Cliente],Controle_Pedidos[Loja])</f>
        <v>BV</v>
      </c>
      <c r="E25" s="9">
        <f>_xlfn.XLOOKUP(Follow[[#This Row],[Id Pedido]],Controle_Pedidos[Número Pedido Cliente],Controle_Pedidos[Prazo Entrega])</f>
        <v>45693</v>
      </c>
      <c r="F25" s="9" t="s">
        <v>19433</v>
      </c>
      <c r="G25" s="9" t="s">
        <v>37</v>
      </c>
      <c r="H25" s="52" t="s">
        <v>179</v>
      </c>
      <c r="I25" s="52" t="s">
        <v>178</v>
      </c>
      <c r="J25" s="55">
        <v>45682</v>
      </c>
      <c r="K25" s="52" t="s">
        <v>198</v>
      </c>
      <c r="L25" s="8" t="s">
        <v>124</v>
      </c>
      <c r="M25" s="8" t="s">
        <v>37</v>
      </c>
      <c r="N25" s="52" t="str">
        <f>IF(Follow[[#This Row],[DATAATUALIZAÇÃO]]&lt;=Follow[[#This Row],[Prev Entrega]],"Dentro do Prazo","Fora do Prazo")</f>
        <v>Dentro do Prazo</v>
      </c>
      <c r="O2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25/01/2025, referente ao pedido Nº Pedido 681 Rastreio Pedido 681, agradecemos a preferência e adoraríamos receber sua avaliação, tendo qualquer dúvida estamos à disposição.
Att
Tem tudo Shop</v>
      </c>
    </row>
    <row r="26" spans="1:18">
      <c r="A26" s="52" t="str">
        <f>_xlfn.XLOOKUP(Follow[[#This Row],[CODRASTREIO]],Controle_Pedidos[Cód Rastreamento],Controle_Pedidos[Número Pedido Cliente])</f>
        <v>Pedido 684</v>
      </c>
      <c r="B26" s="2" t="s">
        <v>18106</v>
      </c>
      <c r="C26" s="2" t="str">
        <f>Follow[[#This Row],[CODRASTREIO]]&amp;" B"</f>
        <v>CódRastreio664 B</v>
      </c>
      <c r="D26" s="52" t="str">
        <f>_xlfn.XLOOKUP(Follow[[#This Row],[Id Pedido]],Controle_Pedidos[Número Pedido Cliente],Controle_Pedidos[Loja])</f>
        <v>BV</v>
      </c>
      <c r="E26" s="9">
        <f>_xlfn.XLOOKUP(Follow[[#This Row],[Id Pedido]],Controle_Pedidos[Número Pedido Cliente],Controle_Pedidos[Prazo Entrega])</f>
        <v>45693</v>
      </c>
      <c r="F26" s="9" t="s">
        <v>19433</v>
      </c>
      <c r="G26" s="9" t="s">
        <v>37</v>
      </c>
      <c r="H26" s="52" t="s">
        <v>179</v>
      </c>
      <c r="I26" s="52" t="s">
        <v>178</v>
      </c>
      <c r="J26" s="55">
        <v>45687</v>
      </c>
      <c r="K26" s="52" t="s">
        <v>198</v>
      </c>
      <c r="L26" s="8" t="s">
        <v>124</v>
      </c>
      <c r="M26" s="8" t="s">
        <v>37</v>
      </c>
      <c r="N26" s="52" t="str">
        <f>IF(Follow[[#This Row],[DATAATUALIZAÇÃO]]&lt;=Follow[[#This Row],[Prev Entrega]],"Dentro do Prazo","Fora do Prazo")</f>
        <v>Dentro do Prazo</v>
      </c>
      <c r="O2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684 Rastreio Pedido 684, agradecemos a preferência e adoraríamos receber sua avaliação, tendo qualquer dúvida estamos à disposição.
Att
Tem tudo Shop</v>
      </c>
    </row>
    <row r="27" spans="1:18">
      <c r="A27" s="52" t="str">
        <f>_xlfn.XLOOKUP(Follow[[#This Row],[CODRASTREIO]],Controle_Pedidos[Cód Rastreamento],Controle_Pedidos[Número Pedido Cliente])</f>
        <v>Pedido 682</v>
      </c>
      <c r="B27" s="2" t="s">
        <v>18104</v>
      </c>
      <c r="C27" s="2" t="str">
        <f>Follow[[#This Row],[CODRASTREIO]]&amp;" B"</f>
        <v>CódRastreio662 B</v>
      </c>
      <c r="D27" s="52" t="str">
        <f>_xlfn.XLOOKUP(Follow[[#This Row],[Id Pedido]],Controle_Pedidos[Número Pedido Cliente],Controle_Pedidos[Loja])</f>
        <v>BV</v>
      </c>
      <c r="E27" s="9">
        <f>_xlfn.XLOOKUP(Follow[[#This Row],[Id Pedido]],Controle_Pedidos[Número Pedido Cliente],Controle_Pedidos[Prazo Entrega])</f>
        <v>45686</v>
      </c>
      <c r="F27" s="9" t="s">
        <v>19433</v>
      </c>
      <c r="G27" s="9" t="s">
        <v>37</v>
      </c>
      <c r="H27" s="52" t="s">
        <v>179</v>
      </c>
      <c r="I27" s="52" t="s">
        <v>178</v>
      </c>
      <c r="J27" s="55">
        <v>45674</v>
      </c>
      <c r="K27" s="52" t="s">
        <v>198</v>
      </c>
      <c r="L27" s="8" t="s">
        <v>124</v>
      </c>
      <c r="M27" s="8" t="s">
        <v>37</v>
      </c>
      <c r="N27" s="52" t="str">
        <f>IF(Follow[[#This Row],[DATAATUALIZAÇÃO]]&lt;=Follow[[#This Row],[Prev Entrega]],"Dentro do Prazo","Fora do Prazo")</f>
        <v>Dentro do Prazo</v>
      </c>
      <c r="O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17/01/2025, referente ao pedido Nº Pedido 682 Rastreio Pedido 682, agradecemos a preferência e adoraríamos receber sua avaliação, tendo qualquer dúvida estamos à disposição.
Att
Tem tudo Shop</v>
      </c>
    </row>
    <row r="28" spans="1:18">
      <c r="A28" s="52" t="str">
        <f>_xlfn.XLOOKUP(Follow[[#This Row],[CODRASTREIO]],Controle_Pedidos[Cód Rastreamento],Controle_Pedidos[Número Pedido Cliente])</f>
        <v>Pedido 686</v>
      </c>
      <c r="B28" s="2" t="s">
        <v>18108</v>
      </c>
      <c r="C28" s="2" t="str">
        <f>Follow[[#This Row],[CODRASTREIO]]&amp;" B"</f>
        <v>CódRastreio666 B</v>
      </c>
      <c r="D28" s="52" t="str">
        <f>_xlfn.XLOOKUP(Follow[[#This Row],[Id Pedido]],Controle_Pedidos[Número Pedido Cliente],Controle_Pedidos[Loja])</f>
        <v>BV</v>
      </c>
      <c r="E28" s="9">
        <f>_xlfn.XLOOKUP(Follow[[#This Row],[Id Pedido]],Controle_Pedidos[Número Pedido Cliente],Controle_Pedidos[Prazo Entrega])</f>
        <v>45686</v>
      </c>
      <c r="F28" s="9" t="s">
        <v>19433</v>
      </c>
      <c r="G28" s="9" t="s">
        <v>37</v>
      </c>
      <c r="H28" s="52" t="s">
        <v>179</v>
      </c>
      <c r="I28" s="52" t="s">
        <v>178</v>
      </c>
      <c r="J28" s="55">
        <v>45677</v>
      </c>
      <c r="K28" s="52" t="s">
        <v>198</v>
      </c>
      <c r="L28" s="8" t="s">
        <v>124</v>
      </c>
      <c r="M28" s="8" t="s">
        <v>37</v>
      </c>
      <c r="N28" s="52" t="str">
        <f>IF(Follow[[#This Row],[DATAATUALIZAÇÃO]]&lt;=Follow[[#This Row],[Prev Entrega]],"Dentro do Prazo","Fora do Prazo")</f>
        <v>Dentro do Prazo</v>
      </c>
      <c r="O2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20/01/2025, referente ao pedido Nº Pedido 686 Rastreio Pedido 686, agradecemos a preferência e adoraríamos receber sua avaliação, tendo qualquer dúvida estamos à disposição.
Att
Tem tudo Shop</v>
      </c>
    </row>
    <row r="29" spans="1:18">
      <c r="A29" s="52" t="str">
        <f>_xlfn.XLOOKUP(Follow[[#This Row],[CODRASTREIO]],Controle_Pedidos[Cód Rastreamento],Controle_Pedidos[Número Pedido Cliente])</f>
        <v>Pedido 687</v>
      </c>
      <c r="B29" s="2" t="s">
        <v>18109</v>
      </c>
      <c r="C29" s="2" t="str">
        <f>Follow[[#This Row],[CODRASTREIO]]&amp;" B"</f>
        <v>CódRastreio667 B</v>
      </c>
      <c r="D29" s="52" t="str">
        <f>_xlfn.XLOOKUP(Follow[[#This Row],[Id Pedido]],Controle_Pedidos[Número Pedido Cliente],Controle_Pedidos[Loja])</f>
        <v>BV</v>
      </c>
      <c r="E29" s="9">
        <f>_xlfn.XLOOKUP(Follow[[#This Row],[Id Pedido]],Controle_Pedidos[Número Pedido Cliente],Controle_Pedidos[Prazo Entrega])</f>
        <v>45687</v>
      </c>
      <c r="F29" s="9" t="s">
        <v>19433</v>
      </c>
      <c r="G29" s="9" t="s">
        <v>37</v>
      </c>
      <c r="H29" s="52" t="s">
        <v>179</v>
      </c>
      <c r="I29" s="52" t="s">
        <v>178</v>
      </c>
      <c r="J29" s="55">
        <v>45677</v>
      </c>
      <c r="K29" s="52" t="s">
        <v>198</v>
      </c>
      <c r="L29" s="8" t="s">
        <v>124</v>
      </c>
      <c r="M29" s="8" t="s">
        <v>37</v>
      </c>
      <c r="N29" s="52" t="str">
        <f>IF(Follow[[#This Row],[DATAATUALIZAÇÃO]]&lt;=Follow[[#This Row],[Prev Entrega]],"Dentro do Prazo","Fora do Prazo")</f>
        <v>Dentro do Prazo</v>
      </c>
      <c r="O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20/01/2025, referente ao pedido Nº Pedido 687 Rastreio Pedido 687, agradecemos a preferência e adoraríamos receber sua avaliação, tendo qualquer dúvida estamos à disposição.
Att
Tem tudo Shop</v>
      </c>
    </row>
    <row r="30" spans="1:18">
      <c r="A30" s="52" t="str">
        <f>_xlfn.XLOOKUP(Follow[[#This Row],[CODRASTREIO]],Controle_Pedidos[Cód Rastreamento],Controle_Pedidos[Número Pedido Cliente])</f>
        <v>Pedido 691</v>
      </c>
      <c r="B30" s="2" t="s">
        <v>18113</v>
      </c>
      <c r="C30" s="2" t="str">
        <f>Follow[[#This Row],[CODRASTREIO]]&amp;" B"</f>
        <v>CódRastreio671 B</v>
      </c>
      <c r="D30" s="52" t="str">
        <f>_xlfn.XLOOKUP(Follow[[#This Row],[Id Pedido]],Controle_Pedidos[Número Pedido Cliente],Controle_Pedidos[Loja])</f>
        <v>BV</v>
      </c>
      <c r="E30" s="9">
        <f>_xlfn.XLOOKUP(Follow[[#This Row],[Id Pedido]],Controle_Pedidos[Número Pedido Cliente],Controle_Pedidos[Prazo Entrega])</f>
        <v>45687</v>
      </c>
      <c r="F30" s="9" t="s">
        <v>19433</v>
      </c>
      <c r="G30" s="9" t="s">
        <v>37</v>
      </c>
      <c r="H30" s="52" t="s">
        <v>179</v>
      </c>
      <c r="I30" s="52" t="s">
        <v>178</v>
      </c>
      <c r="J30" s="55">
        <v>45678</v>
      </c>
      <c r="K30" s="52" t="s">
        <v>198</v>
      </c>
      <c r="L30" s="8" t="s">
        <v>124</v>
      </c>
      <c r="M30" s="8" t="s">
        <v>199</v>
      </c>
      <c r="N30" s="52" t="str">
        <f>IF(Follow[[#This Row],[DATAATUALIZAÇÃO]]&lt;=Follow[[#This Row],[Prev Entrega]],"Dentro do Prazo","Fora do Prazo")</f>
        <v>Dentro do Prazo</v>
      </c>
      <c r="O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21/01/2025, referente ao pedido Nº Pedido 691 Rastreio Pedido 691, agradecemos a preferência e adoraríamos receber sua avaliação, tendo qualquer dúvida estamos à disposição.
Att
Tem tudo Shop</v>
      </c>
    </row>
    <row r="31" spans="1:18">
      <c r="A31" s="52" t="str">
        <f>_xlfn.XLOOKUP(Follow[[#This Row],[CODRASTREIO]],Controle_Pedidos[Cód Rastreamento],Controle_Pedidos[Número Pedido Cliente])</f>
        <v>Pedido 692</v>
      </c>
      <c r="B31" s="2" t="s">
        <v>18114</v>
      </c>
      <c r="C31" s="2" t="str">
        <f>Follow[[#This Row],[CODRASTREIO]]&amp;" B"</f>
        <v>CódRastreio672 B</v>
      </c>
      <c r="D31" s="52" t="str">
        <f>_xlfn.XLOOKUP(Follow[[#This Row],[Id Pedido]],Controle_Pedidos[Número Pedido Cliente],Controle_Pedidos[Loja])</f>
        <v>BV</v>
      </c>
      <c r="E31" s="9">
        <f>_xlfn.XLOOKUP(Follow[[#This Row],[Id Pedido]],Controle_Pedidos[Número Pedido Cliente],Controle_Pedidos[Prazo Entrega])</f>
        <v>45694</v>
      </c>
      <c r="F31" s="9" t="s">
        <v>19433</v>
      </c>
      <c r="G31" s="9" t="s">
        <v>37</v>
      </c>
      <c r="H31" s="52" t="s">
        <v>179</v>
      </c>
      <c r="I31" s="52" t="s">
        <v>178</v>
      </c>
      <c r="J31" s="55">
        <v>45678</v>
      </c>
      <c r="K31" s="52" t="s">
        <v>198</v>
      </c>
      <c r="L31" s="8" t="s">
        <v>124</v>
      </c>
      <c r="M31" s="8" t="s">
        <v>199</v>
      </c>
      <c r="N31" s="52" t="str">
        <f>IF(Follow[[#This Row],[DATAATUALIZAÇÃO]]&lt;=Follow[[#This Row],[Prev Entrega]],"Dentro do Prazo","Fora do Prazo")</f>
        <v>Dentro do Prazo</v>
      </c>
      <c r="O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21/01/2025, referente ao pedido Nº Pedido 692 Rastreio Pedido 692, agradecemos a preferência e adoraríamos receber sua avaliação, tendo qualquer dúvida estamos à disposição.
Att
Tem tudo Shop</v>
      </c>
    </row>
    <row r="32" spans="1:18">
      <c r="A32" s="52" t="str">
        <f>_xlfn.XLOOKUP(Follow[[#This Row],[CODRASTREIO]],Controle_Pedidos[Cód Rastreamento],Controle_Pedidos[Número Pedido Cliente])</f>
        <v>Pedido 693</v>
      </c>
      <c r="B32" s="2" t="s">
        <v>18115</v>
      </c>
      <c r="C32" s="2" t="str">
        <f>Follow[[#This Row],[CODRASTREIO]]&amp;" B"</f>
        <v>CódRastreio673 B</v>
      </c>
      <c r="D32" s="52" t="str">
        <f>_xlfn.XLOOKUP(Follow[[#This Row],[Id Pedido]],Controle_Pedidos[Número Pedido Cliente],Controle_Pedidos[Loja])</f>
        <v>BV</v>
      </c>
      <c r="E32" s="9">
        <f>_xlfn.XLOOKUP(Follow[[#This Row],[Id Pedido]],Controle_Pedidos[Número Pedido Cliente],Controle_Pedidos[Prazo Entrega])</f>
        <v>45681</v>
      </c>
      <c r="F32" s="9" t="s">
        <v>19433</v>
      </c>
      <c r="G32" s="9" t="s">
        <v>37</v>
      </c>
      <c r="H32" s="52" t="s">
        <v>178</v>
      </c>
      <c r="I32" s="52" t="s">
        <v>178</v>
      </c>
      <c r="J32" s="55">
        <v>45673</v>
      </c>
      <c r="K32" s="52" t="s">
        <v>198</v>
      </c>
      <c r="L32" s="8" t="s">
        <v>124</v>
      </c>
      <c r="M32" s="8" t="s">
        <v>37</v>
      </c>
      <c r="N32" s="52" t="str">
        <f>IF(Follow[[#This Row],[DATAATUALIZAÇÃO]]&lt;=Follow[[#This Row],[Prev Entrega]],"Dentro do Prazo","Fora do Prazo")</f>
        <v>Dentro do Prazo</v>
      </c>
      <c r="O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693 Rastreio Pedido 693, agradecemos a preferência e adoraríamos receber sua avaliação, tendo qualquer dúvida estamos à disposição.
Att
Tem tudo Shop</v>
      </c>
    </row>
    <row r="33" spans="1:15">
      <c r="A33" s="52" t="str">
        <f>_xlfn.XLOOKUP(Follow[[#This Row],[CODRASTREIO]],Controle_Pedidos[Cód Rastreamento],Controle_Pedidos[Número Pedido Cliente])</f>
        <v>Pedido 694</v>
      </c>
      <c r="B33" s="2" t="s">
        <v>18116</v>
      </c>
      <c r="C33" s="2" t="str">
        <f>Follow[[#This Row],[CODRASTREIO]]&amp;" B"</f>
        <v>CódRastreio674 B</v>
      </c>
      <c r="D33" s="52" t="str">
        <f>_xlfn.XLOOKUP(Follow[[#This Row],[Id Pedido]],Controle_Pedidos[Número Pedido Cliente],Controle_Pedidos[Loja])</f>
        <v>BV</v>
      </c>
      <c r="E33" s="9">
        <f>_xlfn.XLOOKUP(Follow[[#This Row],[Id Pedido]],Controle_Pedidos[Número Pedido Cliente],Controle_Pedidos[Prazo Entrega])</f>
        <v>45681</v>
      </c>
      <c r="F33" s="9" t="s">
        <v>19433</v>
      </c>
      <c r="G33" s="9" t="s">
        <v>37</v>
      </c>
      <c r="H33" s="52" t="s">
        <v>178</v>
      </c>
      <c r="I33" s="52" t="s">
        <v>178</v>
      </c>
      <c r="J33" s="55">
        <v>45673</v>
      </c>
      <c r="K33" s="52" t="s">
        <v>198</v>
      </c>
      <c r="L33" s="8" t="s">
        <v>124</v>
      </c>
      <c r="M33" s="8" t="s">
        <v>37</v>
      </c>
      <c r="N33" s="52" t="str">
        <f>IF(Follow[[#This Row],[DATAATUALIZAÇÃO]]&lt;=Follow[[#This Row],[Prev Entrega]],"Dentro do Prazo","Fora do Prazo")</f>
        <v>Dentro do Prazo</v>
      </c>
      <c r="O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694 Rastreio Pedido 694, agradecemos a preferência e adoraríamos receber sua avaliação, tendo qualquer dúvida estamos à disposição.
Att
Tem tudo Shop</v>
      </c>
    </row>
    <row r="34" spans="1:15">
      <c r="A34" s="52" t="str">
        <f>_xlfn.XLOOKUP(Follow[[#This Row],[CODRASTREIO]],Controle_Pedidos[Cód Rastreamento],Controle_Pedidos[Número Pedido Cliente])</f>
        <v>Pedido 695</v>
      </c>
      <c r="B34" s="2" t="s">
        <v>18117</v>
      </c>
      <c r="C34" s="2" t="str">
        <f>Follow[[#This Row],[CODRASTREIO]]&amp;" B"</f>
        <v>CódRastreio675 B</v>
      </c>
      <c r="D34" s="52" t="str">
        <f>_xlfn.XLOOKUP(Follow[[#This Row],[Id Pedido]],Controle_Pedidos[Número Pedido Cliente],Controle_Pedidos[Loja])</f>
        <v>BV</v>
      </c>
      <c r="E34" s="9">
        <f>_xlfn.XLOOKUP(Follow[[#This Row],[Id Pedido]],Controle_Pedidos[Número Pedido Cliente],Controle_Pedidos[Prazo Entrega])</f>
        <v>45687</v>
      </c>
      <c r="F34" s="9" t="s">
        <v>19433</v>
      </c>
      <c r="G34" s="9" t="s">
        <v>37</v>
      </c>
      <c r="H34" s="52" t="s">
        <v>179</v>
      </c>
      <c r="I34" s="52" t="s">
        <v>178</v>
      </c>
      <c r="J34" s="55">
        <v>45680</v>
      </c>
      <c r="K34" s="52" t="s">
        <v>198</v>
      </c>
      <c r="L34" s="8" t="s">
        <v>124</v>
      </c>
      <c r="M34" s="8" t="s">
        <v>199</v>
      </c>
      <c r="N34" s="52" t="str">
        <f>IF(Follow[[#This Row],[DATAATUALIZAÇÃO]]&lt;=Follow[[#This Row],[Prev Entrega]],"Dentro do Prazo","Fora do Prazo")</f>
        <v>Dentro do Prazo</v>
      </c>
      <c r="O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23/01/2025, referente ao pedido Nº Pedido 695 Rastreio Pedido 695, agradecemos a preferência e adoraríamos receber sua avaliação, tendo qualquer dúvida estamos à disposição.
Att
Tem tudo Shop</v>
      </c>
    </row>
    <row r="35" spans="1:15">
      <c r="A35" s="52" t="str">
        <f>_xlfn.XLOOKUP(Follow[[#This Row],[CODRASTREIO]],Controle_Pedidos[Cód Rastreamento],Controle_Pedidos[Número Pedido Cliente])</f>
        <v>Pedido 702</v>
      </c>
      <c r="B35" s="2" t="s">
        <v>18123</v>
      </c>
      <c r="C35" s="2" t="str">
        <f>Follow[[#This Row],[CODRASTREIO]]&amp;" B"</f>
        <v>CódRastreio681 B</v>
      </c>
      <c r="D35" s="52" t="str">
        <f>_xlfn.XLOOKUP(Follow[[#This Row],[Id Pedido]],Controle_Pedidos[Número Pedido Cliente],Controle_Pedidos[Loja])</f>
        <v>BV</v>
      </c>
      <c r="E35" s="9">
        <f>_xlfn.XLOOKUP(Follow[[#This Row],[Id Pedido]],Controle_Pedidos[Número Pedido Cliente],Controle_Pedidos[Prazo Entrega])</f>
        <v>45694</v>
      </c>
      <c r="F35" s="9" t="s">
        <v>19433</v>
      </c>
      <c r="G35" s="9" t="s">
        <v>37</v>
      </c>
      <c r="H35" s="52" t="s">
        <v>179</v>
      </c>
      <c r="I35" s="52" t="s">
        <v>178</v>
      </c>
      <c r="J35" s="55">
        <v>45678</v>
      </c>
      <c r="K35" s="52" t="s">
        <v>198</v>
      </c>
      <c r="L35" s="8" t="s">
        <v>124</v>
      </c>
      <c r="M35" s="8" t="s">
        <v>37</v>
      </c>
      <c r="N35" s="52" t="str">
        <f>IF(Follow[[#This Row],[DATAATUALIZAÇÃO]]&lt;=Follow[[#This Row],[Prev Entrega]],"Dentro do Prazo","Fora do Prazo")</f>
        <v>Dentro do Prazo</v>
      </c>
      <c r="O3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21/01/2025, referente ao pedido Nº Pedido 702 Rastreio Pedido 702, agradecemos a preferência e adoraríamos receber sua avaliação, tendo qualquer dúvida estamos à disposição.
Att
Tem tudo Shop</v>
      </c>
    </row>
    <row r="36" spans="1:15">
      <c r="A36" s="52" t="str">
        <f>_xlfn.XLOOKUP(Follow[[#This Row],[CODRASTREIO]],Controle_Pedidos[Cód Rastreamento],Controle_Pedidos[Número Pedido Cliente])</f>
        <v>Pedido 706</v>
      </c>
      <c r="B36" s="2" t="s">
        <v>18127</v>
      </c>
      <c r="C36" s="2" t="str">
        <f>Follow[[#This Row],[CODRASTREIO]]&amp;" B"</f>
        <v>CódRastreio685 B</v>
      </c>
      <c r="D36" s="52" t="str">
        <f>_xlfn.XLOOKUP(Follow[[#This Row],[Id Pedido]],Controle_Pedidos[Número Pedido Cliente],Controle_Pedidos[Loja])</f>
        <v>BV</v>
      </c>
      <c r="E36" s="9">
        <f>_xlfn.XLOOKUP(Follow[[#This Row],[Id Pedido]],Controle_Pedidos[Número Pedido Cliente],Controle_Pedidos[Prazo Entrega])</f>
        <v>45687</v>
      </c>
      <c r="F36" s="9" t="s">
        <v>19433</v>
      </c>
      <c r="G36" s="9" t="s">
        <v>37</v>
      </c>
      <c r="H36" s="52" t="s">
        <v>179</v>
      </c>
      <c r="I36" s="52" t="s">
        <v>178</v>
      </c>
      <c r="J36" s="55">
        <v>45673</v>
      </c>
      <c r="K36" s="52" t="s">
        <v>198</v>
      </c>
      <c r="L36" s="8" t="s">
        <v>124</v>
      </c>
      <c r="M36" s="8" t="s">
        <v>37</v>
      </c>
      <c r="N36" s="52" t="str">
        <f>IF(Follow[[#This Row],[DATAATUALIZAÇÃO]]&lt;=Follow[[#This Row],[Prev Entrega]],"Dentro do Prazo","Fora do Prazo")</f>
        <v>Dentro do Prazo</v>
      </c>
      <c r="O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16/01/2025, referente ao pedido Nº Pedido 706 Rastreio Pedido 706, agradecemos a preferência e adoraríamos receber sua avaliação, tendo qualquer dúvida estamos à disposição.
Att
Tem tudo Shop</v>
      </c>
    </row>
    <row r="37" spans="1:15">
      <c r="A37" s="52" t="str">
        <f>_xlfn.XLOOKUP(Follow[[#This Row],[CODRASTREIO]],Controle_Pedidos[Cód Rastreamento],Controle_Pedidos[Número Pedido Cliente])</f>
        <v>Pedido 711</v>
      </c>
      <c r="B37" s="2" t="s">
        <v>18132</v>
      </c>
      <c r="C37" s="2" t="str">
        <f>Follow[[#This Row],[CODRASTREIO]]&amp;" B"</f>
        <v>CódRastreio690 B</v>
      </c>
      <c r="D37" s="52" t="str">
        <f>_xlfn.XLOOKUP(Follow[[#This Row],[Id Pedido]],Controle_Pedidos[Número Pedido Cliente],Controle_Pedidos[Loja])</f>
        <v>BV</v>
      </c>
      <c r="E37" s="9">
        <f>_xlfn.XLOOKUP(Follow[[#This Row],[Id Pedido]],Controle_Pedidos[Número Pedido Cliente],Controle_Pedidos[Prazo Entrega])</f>
        <v>45694</v>
      </c>
      <c r="F37" s="9" t="s">
        <v>19433</v>
      </c>
      <c r="G37" s="9" t="s">
        <v>37</v>
      </c>
      <c r="H37" s="52" t="s">
        <v>179</v>
      </c>
      <c r="I37" s="52" t="s">
        <v>178</v>
      </c>
      <c r="J37" s="55">
        <v>45678</v>
      </c>
      <c r="K37" s="52" t="s">
        <v>198</v>
      </c>
      <c r="L37" s="8" t="s">
        <v>124</v>
      </c>
      <c r="M37" s="8" t="s">
        <v>37</v>
      </c>
      <c r="N37" s="52" t="str">
        <f>IF(Follow[[#This Row],[DATAATUALIZAÇÃO]]&lt;=Follow[[#This Row],[Prev Entrega]],"Dentro do Prazo","Fora do Prazo")</f>
        <v>Dentro do Prazo</v>
      </c>
      <c r="O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21/01/2025, referente ao pedido Nº Pedido 711 Rastreio Pedido 711, agradecemos a preferência e adoraríamos receber sua avaliação, tendo qualquer dúvida estamos à disposição.
Att
Tem tudo Shop</v>
      </c>
    </row>
    <row r="38" spans="1:15">
      <c r="A38" s="52" t="str">
        <f>_xlfn.XLOOKUP(Follow[[#This Row],[CODRASTREIO]],Controle_Pedidos[Cód Rastreamento],Controle_Pedidos[Número Pedido Cliente])</f>
        <v>Pedido 746</v>
      </c>
      <c r="B38" s="2" t="s">
        <v>18165</v>
      </c>
      <c r="C38" s="2" t="str">
        <f>Follow[[#This Row],[CODRASTREIO]]&amp;" B"</f>
        <v>CódRastreio723 B</v>
      </c>
      <c r="D38" s="52" t="str">
        <f>_xlfn.XLOOKUP(Follow[[#This Row],[Id Pedido]],Controle_Pedidos[Número Pedido Cliente],Controle_Pedidos[Loja])</f>
        <v>BV</v>
      </c>
      <c r="E38" s="9">
        <f>_xlfn.XLOOKUP(Follow[[#This Row],[Id Pedido]],Controle_Pedidos[Número Pedido Cliente],Controle_Pedidos[Prazo Entrega])</f>
        <v>45689</v>
      </c>
      <c r="F38" s="9" t="s">
        <v>19433</v>
      </c>
      <c r="G38" s="9" t="s">
        <v>37</v>
      </c>
      <c r="H38" s="52" t="s">
        <v>178</v>
      </c>
      <c r="I38" s="52" t="s">
        <v>178</v>
      </c>
      <c r="J38" s="55">
        <v>45677</v>
      </c>
      <c r="K38" s="52" t="s">
        <v>198</v>
      </c>
      <c r="L38" s="8" t="s">
        <v>124</v>
      </c>
      <c r="M38" s="8" t="s">
        <v>37</v>
      </c>
      <c r="N38" s="52" t="str">
        <f>IF(Follow[[#This Row],[DATAATUALIZAÇÃO]]&lt;=Follow[[#This Row],[Prev Entrega]],"Dentro do Prazo","Fora do Prazo")</f>
        <v>Dentro do Prazo</v>
      </c>
      <c r="O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20/01/2025, referente ao pedido Nº Pedido 746 Rastreio Pedido 746, agradecemos a preferência e adoraríamos receber sua avaliação, tendo qualquer dúvida estamos à disposição.
Att
Tem tudo Shop</v>
      </c>
    </row>
    <row r="39" spans="1:15">
      <c r="A39" s="52" t="str">
        <f>_xlfn.XLOOKUP(Follow[[#This Row],[CODRASTREIO]],Controle_Pedidos[Cód Rastreamento],Controle_Pedidos[Número Pedido Cliente])</f>
        <v>Pedido 748</v>
      </c>
      <c r="B39" s="2" t="s">
        <v>18167</v>
      </c>
      <c r="C39" s="2" t="str">
        <f>Follow[[#This Row],[CODRASTREIO]]&amp;" B"</f>
        <v>CódRastreio725 B</v>
      </c>
      <c r="D39" s="52" t="str">
        <f>_xlfn.XLOOKUP(Follow[[#This Row],[Id Pedido]],Controle_Pedidos[Número Pedido Cliente],Controle_Pedidos[Loja])</f>
        <v>BV</v>
      </c>
      <c r="E39" s="9">
        <f>_xlfn.XLOOKUP(Follow[[#This Row],[Id Pedido]],Controle_Pedidos[Número Pedido Cliente],Controle_Pedidos[Prazo Entrega])</f>
        <v>45689</v>
      </c>
      <c r="F39" s="9" t="s">
        <v>19433</v>
      </c>
      <c r="G39" s="9" t="s">
        <v>37</v>
      </c>
      <c r="H39" s="52" t="s">
        <v>178</v>
      </c>
      <c r="I39" s="52" t="s">
        <v>178</v>
      </c>
      <c r="J39" s="55">
        <v>45682</v>
      </c>
      <c r="K39" s="52" t="s">
        <v>198</v>
      </c>
      <c r="L39" s="8" t="s">
        <v>124</v>
      </c>
      <c r="M39" s="8" t="s">
        <v>37</v>
      </c>
      <c r="N39" s="52" t="str">
        <f>IF(Follow[[#This Row],[DATAATUALIZAÇÃO]]&lt;=Follow[[#This Row],[Prev Entrega]],"Dentro do Prazo","Fora do Prazo")</f>
        <v>Dentro do Prazo</v>
      </c>
      <c r="O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25/01/2025, referente ao pedido Nº Pedido 748 Rastreio Pedido 748, agradecemos a preferência e adoraríamos receber sua avaliação, tendo qualquer dúvida estamos à disposição.
Att
Tem tudo Shop</v>
      </c>
    </row>
    <row r="40" spans="1:15">
      <c r="A40" s="52" t="str">
        <f>_xlfn.XLOOKUP(Follow[[#This Row],[CODRASTREIO]],Controle_Pedidos[Cód Rastreamento],Controle_Pedidos[Número Pedido Cliente])</f>
        <v>Pedido 751</v>
      </c>
      <c r="B40" s="2" t="s">
        <v>18170</v>
      </c>
      <c r="C40" s="2" t="str">
        <f>Follow[[#This Row],[CODRASTREIO]]&amp;" B"</f>
        <v>CódRastreio728 B</v>
      </c>
      <c r="D40" s="52" t="str">
        <f>_xlfn.XLOOKUP(Follow[[#This Row],[Id Pedido]],Controle_Pedidos[Número Pedido Cliente],Controle_Pedidos[Loja])</f>
        <v>BV</v>
      </c>
      <c r="E40" s="9">
        <f>_xlfn.XLOOKUP(Follow[[#This Row],[Id Pedido]],Controle_Pedidos[Número Pedido Cliente],Controle_Pedidos[Prazo Entrega])</f>
        <v>45692</v>
      </c>
      <c r="F40" s="9" t="s">
        <v>19433</v>
      </c>
      <c r="G40" s="9" t="s">
        <v>37</v>
      </c>
      <c r="H40" s="52" t="s">
        <v>178</v>
      </c>
      <c r="I40" s="52" t="s">
        <v>178</v>
      </c>
      <c r="J40" s="55">
        <v>45675</v>
      </c>
      <c r="K40" s="52" t="s">
        <v>198</v>
      </c>
      <c r="L40" s="8" t="s">
        <v>124</v>
      </c>
      <c r="M40" s="8" t="s">
        <v>37</v>
      </c>
      <c r="N40" s="52" t="str">
        <f>IF(Follow[[#This Row],[DATAATUALIZAÇÃO]]&lt;=Follow[[#This Row],[Prev Entrega]],"Dentro do Prazo","Fora do Prazo")</f>
        <v>Dentro do Prazo</v>
      </c>
      <c r="O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18/01/2025, referente ao pedido Nº Pedido 751 Rastreio Pedido 751, agradecemos a preferência e adoraríamos receber sua avaliação, tendo qualquer dúvida estamos à disposição.
Att
Tem tudo Shop</v>
      </c>
    </row>
    <row r="41" spans="1:15">
      <c r="A41" s="52" t="str">
        <f>_xlfn.XLOOKUP(Follow[[#This Row],[CODRASTREIO]],Controle_Pedidos[Cód Rastreamento],Controle_Pedidos[Número Pedido Cliente])</f>
        <v>Pedido 727</v>
      </c>
      <c r="B41" s="2" t="s">
        <v>18146</v>
      </c>
      <c r="C41" s="2" t="str">
        <f>Follow[[#This Row],[CODRASTREIO]]&amp;" B"</f>
        <v>CódRastreio704 B</v>
      </c>
      <c r="D41" s="52" t="str">
        <f>_xlfn.XLOOKUP(Follow[[#This Row],[Id Pedido]],Controle_Pedidos[Número Pedido Cliente],Controle_Pedidos[Loja])</f>
        <v>BV</v>
      </c>
      <c r="E41" s="9">
        <f>_xlfn.XLOOKUP(Follow[[#This Row],[Id Pedido]],Controle_Pedidos[Número Pedido Cliente],Controle_Pedidos[Prazo Entrega])</f>
        <v>45681</v>
      </c>
      <c r="F41" s="9" t="s">
        <v>19433</v>
      </c>
      <c r="G41" s="9" t="s">
        <v>37</v>
      </c>
      <c r="H41" s="52" t="s">
        <v>178</v>
      </c>
      <c r="I41" s="52" t="s">
        <v>178</v>
      </c>
      <c r="J41" s="55">
        <v>45674</v>
      </c>
      <c r="K41" s="52" t="s">
        <v>198</v>
      </c>
      <c r="L41" s="8" t="s">
        <v>124</v>
      </c>
      <c r="M41" s="8" t="s">
        <v>37</v>
      </c>
      <c r="N41" s="52" t="str">
        <f>IF(Follow[[#This Row],[DATAATUALIZAÇÃO]]&lt;=Follow[[#This Row],[Prev Entrega]],"Dentro do Prazo","Fora do Prazo")</f>
        <v>Dentro do Prazo</v>
      </c>
      <c r="O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17/01/2025, referente ao pedido Nº Pedido 727 Rastreio Pedido 727, agradecemos a preferência e adoraríamos receber sua avaliação, tendo qualquer dúvida estamos à disposição.
Att
Tem tudo Shop</v>
      </c>
    </row>
    <row r="42" spans="1:15">
      <c r="A42" s="52" t="str">
        <f>_xlfn.XLOOKUP(Follow[[#This Row],[CODRASTREIO]],Controle_Pedidos[Cód Rastreamento],Controle_Pedidos[Número Pedido Cliente])</f>
        <v>Pedido 732</v>
      </c>
      <c r="B42" s="2" t="s">
        <v>18151</v>
      </c>
      <c r="C42" s="2" t="str">
        <f>Follow[[#This Row],[CODRASTREIO]]&amp;" B"</f>
        <v>CódRastreio709 B</v>
      </c>
      <c r="D42" s="52" t="str">
        <f>_xlfn.XLOOKUP(Follow[[#This Row],[Id Pedido]],Controle_Pedidos[Número Pedido Cliente],Controle_Pedidos[Loja])</f>
        <v>BV</v>
      </c>
      <c r="E42" s="9">
        <f>_xlfn.XLOOKUP(Follow[[#This Row],[Id Pedido]],Controle_Pedidos[Número Pedido Cliente],Controle_Pedidos[Prazo Entrega])</f>
        <v>45682</v>
      </c>
      <c r="F42" s="9" t="s">
        <v>19433</v>
      </c>
      <c r="G42" s="9" t="s">
        <v>37</v>
      </c>
      <c r="H42" s="52" t="s">
        <v>178</v>
      </c>
      <c r="I42" s="52" t="s">
        <v>178</v>
      </c>
      <c r="J42" s="55">
        <v>45673</v>
      </c>
      <c r="K42" s="52" t="s">
        <v>198</v>
      </c>
      <c r="L42" s="8" t="s">
        <v>124</v>
      </c>
      <c r="M42" s="8" t="s">
        <v>37</v>
      </c>
      <c r="N42" s="52" t="str">
        <f>IF(Follow[[#This Row],[DATAATUALIZAÇÃO]]&lt;=Follow[[#This Row],[Prev Entrega]],"Dentro do Prazo","Fora do Prazo")</f>
        <v>Dentro do Prazo</v>
      </c>
      <c r="O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732 Rastreio Pedido 732, agradecemos a preferência e adoraríamos receber sua avaliação, tendo qualquer dúvida estamos à disposição.
Att
Tem tudo Shop</v>
      </c>
    </row>
    <row r="43" spans="1:15">
      <c r="A43" s="52" t="str">
        <f>_xlfn.XLOOKUP(Follow[[#This Row],[CODRASTREIO]],Controle_Pedidos[Cód Rastreamento],Controle_Pedidos[Número Pedido Cliente])</f>
        <v>Pedido 735</v>
      </c>
      <c r="B43" s="2" t="s">
        <v>18154</v>
      </c>
      <c r="C43" s="2" t="str">
        <f>Follow[[#This Row],[CODRASTREIO]]&amp;" B"</f>
        <v>CódRastreio712 B</v>
      </c>
      <c r="D43" s="52" t="str">
        <f>_xlfn.XLOOKUP(Follow[[#This Row],[Id Pedido]],Controle_Pedidos[Número Pedido Cliente],Controle_Pedidos[Loja])</f>
        <v>BV</v>
      </c>
      <c r="E43" s="9">
        <f>_xlfn.XLOOKUP(Follow[[#This Row],[Id Pedido]],Controle_Pedidos[Número Pedido Cliente],Controle_Pedidos[Prazo Entrega])</f>
        <v>45682</v>
      </c>
      <c r="F43" s="9" t="s">
        <v>19433</v>
      </c>
      <c r="G43" s="9" t="s">
        <v>37</v>
      </c>
      <c r="H43" s="52" t="s">
        <v>178</v>
      </c>
      <c r="I43" s="52" t="s">
        <v>178</v>
      </c>
      <c r="J43" s="55">
        <v>45674</v>
      </c>
      <c r="K43" s="52" t="s">
        <v>198</v>
      </c>
      <c r="L43" s="8" t="s">
        <v>124</v>
      </c>
      <c r="M43" s="8" t="s">
        <v>37</v>
      </c>
      <c r="N43" s="52" t="str">
        <f>IF(Follow[[#This Row],[DATAATUALIZAÇÃO]]&lt;=Follow[[#This Row],[Prev Entrega]],"Dentro do Prazo","Fora do Prazo")</f>
        <v>Dentro do Prazo</v>
      </c>
      <c r="O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17/01/2025, referente ao pedido Nº Pedido 735 Rastreio Pedido 735, agradecemos a preferência e adoraríamos receber sua avaliação, tendo qualquer dúvida estamos à disposição.
Att
Tem tudo Shop</v>
      </c>
    </row>
    <row r="44" spans="1:15">
      <c r="A44" s="52" t="str">
        <f>_xlfn.XLOOKUP(Follow[[#This Row],[CODRASTREIO]],Controle_Pedidos[Cód Rastreamento],Controle_Pedidos[Número Pedido Cliente])</f>
        <v>Pedido 736</v>
      </c>
      <c r="B44" s="2" t="s">
        <v>18155</v>
      </c>
      <c r="C44" s="2" t="str">
        <f>Follow[[#This Row],[CODRASTREIO]]&amp;" B"</f>
        <v>CódRastreio713 B</v>
      </c>
      <c r="D44" s="52" t="str">
        <f>_xlfn.XLOOKUP(Follow[[#This Row],[Id Pedido]],Controle_Pedidos[Número Pedido Cliente],Controle_Pedidos[Loja])</f>
        <v>BV</v>
      </c>
      <c r="E44" s="9">
        <f>_xlfn.XLOOKUP(Follow[[#This Row],[Id Pedido]],Controle_Pedidos[Número Pedido Cliente],Controle_Pedidos[Prazo Entrega])</f>
        <v>45682</v>
      </c>
      <c r="F44" s="9" t="s">
        <v>19433</v>
      </c>
      <c r="G44" s="9" t="s">
        <v>37</v>
      </c>
      <c r="H44" s="52" t="s">
        <v>178</v>
      </c>
      <c r="I44" s="52" t="s">
        <v>178</v>
      </c>
      <c r="J44" s="55">
        <v>45678</v>
      </c>
      <c r="K44" s="52" t="s">
        <v>198</v>
      </c>
      <c r="L44" s="8" t="s">
        <v>124</v>
      </c>
      <c r="M44" s="8" t="s">
        <v>37</v>
      </c>
      <c r="N44" s="52" t="str">
        <f>IF(Follow[[#This Row],[DATAATUALIZAÇÃO]]&lt;=Follow[[#This Row],[Prev Entrega]],"Dentro do Prazo","Fora do Prazo")</f>
        <v>Dentro do Prazo</v>
      </c>
      <c r="O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21/01/2025, referente ao pedido Nº Pedido 736 Rastreio Pedido 736, agradecemos a preferência e adoraríamos receber sua avaliação, tendo qualquer dúvida estamos à disposição.
Att
Tem tudo Shop</v>
      </c>
    </row>
    <row r="45" spans="1:15">
      <c r="A45" s="52" t="str">
        <f>_xlfn.XLOOKUP(Follow[[#This Row],[CODRASTREIO]],Controle_Pedidos[Cód Rastreamento],Controle_Pedidos[Número Pedido Cliente])</f>
        <v>Pedido 738</v>
      </c>
      <c r="B45" s="2" t="s">
        <v>18157</v>
      </c>
      <c r="C45" s="2" t="str">
        <f>Follow[[#This Row],[CODRASTREIO]]&amp;" B"</f>
        <v>CódRastreio715 B</v>
      </c>
      <c r="D45" s="52" t="str">
        <f>_xlfn.XLOOKUP(Follow[[#This Row],[Id Pedido]],Controle_Pedidos[Número Pedido Cliente],Controle_Pedidos[Loja])</f>
        <v>BV</v>
      </c>
      <c r="E45" s="9">
        <f>_xlfn.XLOOKUP(Follow[[#This Row],[Id Pedido]],Controle_Pedidos[Número Pedido Cliente],Controle_Pedidos[Prazo Entrega])</f>
        <v>45685</v>
      </c>
      <c r="F45" s="9" t="s">
        <v>19433</v>
      </c>
      <c r="G45" s="9" t="s">
        <v>37</v>
      </c>
      <c r="H45" s="52" t="s">
        <v>178</v>
      </c>
      <c r="I45" s="52" t="s">
        <v>178</v>
      </c>
      <c r="J45" s="55">
        <v>45693</v>
      </c>
      <c r="K45" s="52" t="s">
        <v>198</v>
      </c>
      <c r="L45" s="8" t="s">
        <v>124</v>
      </c>
      <c r="M45" s="8" t="s">
        <v>37</v>
      </c>
      <c r="N45" s="52" t="str">
        <f>IF(Follow[[#This Row],[DATAATUALIZAÇÃO]]&lt;=Follow[[#This Row],[Prev Entrega]],"Dentro do Prazo","Fora do Prazo")</f>
        <v>Fora do Prazo</v>
      </c>
      <c r="O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05/02/2025, referente ao pedido Nº Pedido 738 Rastreio Pedido 738, agradecemos a preferência e adoraríamos receber sua avaliação, tendo qualquer dúvida estamos à disposição.
Att
Tem tudo Shop</v>
      </c>
    </row>
    <row r="46" spans="1:15">
      <c r="A46" s="52" t="str">
        <f>_xlfn.XLOOKUP(Follow[[#This Row],[CODRASTREIO]],Controle_Pedidos[Cód Rastreamento],Controle_Pedidos[Número Pedido Cliente])</f>
        <v>Pedido 743</v>
      </c>
      <c r="B46" s="2" t="s">
        <v>18162</v>
      </c>
      <c r="C46" s="2" t="str">
        <f>Follow[[#This Row],[CODRASTREIO]]&amp;" B"</f>
        <v>CódRastreio720 B</v>
      </c>
      <c r="D46" s="52" t="str">
        <f>_xlfn.XLOOKUP(Follow[[#This Row],[Id Pedido]],Controle_Pedidos[Número Pedido Cliente],Controle_Pedidos[Loja])</f>
        <v>BV</v>
      </c>
      <c r="E46" s="9">
        <f>_xlfn.XLOOKUP(Follow[[#This Row],[Id Pedido]],Controle_Pedidos[Número Pedido Cliente],Controle_Pedidos[Prazo Entrega])</f>
        <v>45689</v>
      </c>
      <c r="F46" s="9" t="s">
        <v>19433</v>
      </c>
      <c r="G46" s="9" t="s">
        <v>37</v>
      </c>
      <c r="H46" s="52" t="s">
        <v>178</v>
      </c>
      <c r="I46" s="52" t="s">
        <v>178</v>
      </c>
      <c r="J46" s="55">
        <v>45674</v>
      </c>
      <c r="K46" s="52" t="s">
        <v>198</v>
      </c>
      <c r="L46" s="8" t="s">
        <v>124</v>
      </c>
      <c r="M46" s="8" t="s">
        <v>37</v>
      </c>
      <c r="N46" s="52" t="str">
        <f>IF(Follow[[#This Row],[DATAATUALIZAÇÃO]]&lt;=Follow[[#This Row],[Prev Entrega]],"Dentro do Prazo","Fora do Prazo")</f>
        <v>Dentro do Prazo</v>
      </c>
      <c r="O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17/01/2025, referente ao pedido Nº Pedido 743 Rastreio Pedido 743, agradecemos a preferência e adoraríamos receber sua avaliação, tendo qualquer dúvida estamos à disposição.
Att
Tem tudo Shop</v>
      </c>
    </row>
    <row r="47" spans="1:15">
      <c r="A47" s="52" t="str">
        <f>_xlfn.XLOOKUP(Follow[[#This Row],[CODRASTREIO]],Controle_Pedidos[Cód Rastreamento],Controle_Pedidos[Número Pedido Cliente])</f>
        <v>Pedido 745</v>
      </c>
      <c r="B47" s="2" t="s">
        <v>18164</v>
      </c>
      <c r="C47" s="2" t="str">
        <f>Follow[[#This Row],[CODRASTREIO]]&amp;" B"</f>
        <v>CódRastreio722 B</v>
      </c>
      <c r="D47" s="52" t="str">
        <f>_xlfn.XLOOKUP(Follow[[#This Row],[Id Pedido]],Controle_Pedidos[Número Pedido Cliente],Controle_Pedidos[Loja])</f>
        <v>BV</v>
      </c>
      <c r="E47" s="9">
        <f>_xlfn.XLOOKUP(Follow[[#This Row],[Id Pedido]],Controle_Pedidos[Número Pedido Cliente],Controle_Pedidos[Prazo Entrega])</f>
        <v>45689</v>
      </c>
      <c r="F47" s="9" t="s">
        <v>19433</v>
      </c>
      <c r="G47" s="9" t="s">
        <v>37</v>
      </c>
      <c r="H47" s="52" t="s">
        <v>178</v>
      </c>
      <c r="I47" s="52" t="s">
        <v>178</v>
      </c>
      <c r="J47" s="55">
        <v>45674</v>
      </c>
      <c r="K47" s="52" t="s">
        <v>198</v>
      </c>
      <c r="L47" s="8" t="s">
        <v>124</v>
      </c>
      <c r="M47" s="8" t="s">
        <v>37</v>
      </c>
      <c r="N47" s="52" t="str">
        <f>IF(Follow[[#This Row],[DATAATUALIZAÇÃO]]&lt;=Follow[[#This Row],[Prev Entrega]],"Dentro do Prazo","Fora do Prazo")</f>
        <v>Dentro do Prazo</v>
      </c>
      <c r="O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17/01/2025, referente ao pedido Nº Pedido 745 Rastreio Pedido 745, agradecemos a preferência e adoraríamos receber sua avaliação, tendo qualquer dúvida estamos à disposição.
Att
Tem tudo Shop</v>
      </c>
    </row>
    <row r="48" spans="1:15">
      <c r="A48" s="52" t="str">
        <f>_xlfn.XLOOKUP(Follow[[#This Row],[CODRASTREIO]],Controle_Pedidos[Cód Rastreamento],Controle_Pedidos[Número Pedido Cliente])</f>
        <v>Pedido 749</v>
      </c>
      <c r="B48" s="2" t="s">
        <v>18168</v>
      </c>
      <c r="C48" s="2" t="str">
        <f>Follow[[#This Row],[CODRASTREIO]]&amp;" B"</f>
        <v>CódRastreio726 B</v>
      </c>
      <c r="D48" s="52" t="str">
        <f>_xlfn.XLOOKUP(Follow[[#This Row],[Id Pedido]],Controle_Pedidos[Número Pedido Cliente],Controle_Pedidos[Loja])</f>
        <v>BV</v>
      </c>
      <c r="E48" s="9">
        <f>_xlfn.XLOOKUP(Follow[[#This Row],[Id Pedido]],Controle_Pedidos[Número Pedido Cliente],Controle_Pedidos[Prazo Entrega])</f>
        <v>45685</v>
      </c>
      <c r="F48" s="9" t="s">
        <v>19433</v>
      </c>
      <c r="G48" s="9" t="s">
        <v>37</v>
      </c>
      <c r="H48" s="52" t="s">
        <v>178</v>
      </c>
      <c r="I48" s="52" t="s">
        <v>178</v>
      </c>
      <c r="J48" s="55">
        <v>45673</v>
      </c>
      <c r="K48" s="52" t="s">
        <v>198</v>
      </c>
      <c r="L48" s="8" t="s">
        <v>124</v>
      </c>
      <c r="M48" s="8" t="s">
        <v>37</v>
      </c>
      <c r="N48" s="52" t="str">
        <f>IF(Follow[[#This Row],[DATAATUALIZAÇÃO]]&lt;=Follow[[#This Row],[Prev Entrega]],"Dentro do Prazo","Fora do Prazo")</f>
        <v>Dentro do Prazo</v>
      </c>
      <c r="O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749 Rastreio Pedido 749, agradecemos a preferência e adoraríamos receber sua avaliação, tendo qualquer dúvida estamos à disposição.
Att
Tem tudo Shop</v>
      </c>
    </row>
    <row r="49" spans="1:15">
      <c r="A49" s="52" t="str">
        <f>_xlfn.XLOOKUP(Follow[[#This Row],[CODRASTREIO]],Controle_Pedidos[Cód Rastreamento],Controle_Pedidos[Número Pedido Cliente])</f>
        <v>Pedido 740</v>
      </c>
      <c r="B49" s="2" t="s">
        <v>18159</v>
      </c>
      <c r="C49" s="2" t="str">
        <f>Follow[[#This Row],[CODRASTREIO]]&amp;" B"</f>
        <v>CódRastreio717 B</v>
      </c>
      <c r="D49" s="52" t="str">
        <f>_xlfn.XLOOKUP(Follow[[#This Row],[Id Pedido]],Controle_Pedidos[Número Pedido Cliente],Controle_Pedidos[Loja])</f>
        <v>BV</v>
      </c>
      <c r="E49" s="9">
        <f>_xlfn.XLOOKUP(Follow[[#This Row],[Id Pedido]],Controle_Pedidos[Número Pedido Cliente],Controle_Pedidos[Prazo Entrega])</f>
        <v>45689</v>
      </c>
      <c r="F49" s="9" t="s">
        <v>19433</v>
      </c>
      <c r="G49" s="9" t="s">
        <v>37</v>
      </c>
      <c r="H49" s="52" t="s">
        <v>179</v>
      </c>
      <c r="I49" s="52" t="s">
        <v>178</v>
      </c>
      <c r="J49" s="55">
        <v>45682</v>
      </c>
      <c r="K49" s="52" t="s">
        <v>198</v>
      </c>
      <c r="L49" s="8" t="s">
        <v>124</v>
      </c>
      <c r="M49" s="8" t="s">
        <v>37</v>
      </c>
      <c r="N49" s="52" t="str">
        <f>IF(Follow[[#This Row],[DATAATUALIZAÇÃO]]&lt;=Follow[[#This Row],[Prev Entrega]],"Dentro do Prazo","Fora do Prazo")</f>
        <v>Dentro do Prazo</v>
      </c>
      <c r="O4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25/01/2025, referente ao pedido Nº Pedido 740 Rastreio Pedido 740, agradecemos a preferência e adoraríamos receber sua avaliação, tendo qualquer dúvida estamos à disposição.
Att
Tem tudo Shop</v>
      </c>
    </row>
    <row r="50" spans="1:15">
      <c r="A50" s="52" t="str">
        <f>_xlfn.XLOOKUP(Follow[[#This Row],[CODRASTREIO]],Controle_Pedidos[Cód Rastreamento],Controle_Pedidos[Número Pedido Cliente])</f>
        <v>Pedido 741</v>
      </c>
      <c r="B50" s="2" t="s">
        <v>18160</v>
      </c>
      <c r="C50" s="2" t="str">
        <f>Follow[[#This Row],[CODRASTREIO]]&amp;" B"</f>
        <v>CódRastreio718 B</v>
      </c>
      <c r="D50" s="52" t="str">
        <f>_xlfn.XLOOKUP(Follow[[#This Row],[Id Pedido]],Controle_Pedidos[Número Pedido Cliente],Controle_Pedidos[Loja])</f>
        <v>BV</v>
      </c>
      <c r="E50" s="9">
        <f>_xlfn.XLOOKUP(Follow[[#This Row],[Id Pedido]],Controle_Pedidos[Número Pedido Cliente],Controle_Pedidos[Prazo Entrega])</f>
        <v>45689</v>
      </c>
      <c r="F50" s="9" t="s">
        <v>19433</v>
      </c>
      <c r="G50" s="9" t="s">
        <v>37</v>
      </c>
      <c r="H50" s="52" t="s">
        <v>179</v>
      </c>
      <c r="I50" s="52" t="s">
        <v>178</v>
      </c>
      <c r="J50" s="55">
        <v>45686</v>
      </c>
      <c r="K50" s="52" t="s">
        <v>198</v>
      </c>
      <c r="L50" s="8" t="s">
        <v>124</v>
      </c>
      <c r="M50" s="8" t="s">
        <v>37</v>
      </c>
      <c r="N50" s="52" t="str">
        <f>IF(Follow[[#This Row],[DATAATUALIZAÇÃO]]&lt;=Follow[[#This Row],[Prev Entrega]],"Dentro do Prazo","Fora do Prazo")</f>
        <v>Dentro do Prazo</v>
      </c>
      <c r="O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29/01/2025, referente ao pedido Nº Pedido 741 Rastreio Pedido 741, agradecemos a preferência e adoraríamos receber sua avaliação, tendo qualquer dúvida estamos à disposição.
Att
Tem tudo Shop</v>
      </c>
    </row>
    <row r="51" spans="1:15">
      <c r="A51" s="52" t="str">
        <f>_xlfn.XLOOKUP(Follow[[#This Row],[CODRASTREIO]],Controle_Pedidos[Cód Rastreamento],Controle_Pedidos[Número Pedido Cliente])</f>
        <v>Pedido 747</v>
      </c>
      <c r="B51" s="2" t="s">
        <v>18166</v>
      </c>
      <c r="C51" s="2" t="str">
        <f>Follow[[#This Row],[CODRASTREIO]]&amp;" B"</f>
        <v>CódRastreio724 B</v>
      </c>
      <c r="D51" s="52" t="str">
        <f>_xlfn.XLOOKUP(Follow[[#This Row],[Id Pedido]],Controle_Pedidos[Número Pedido Cliente],Controle_Pedidos[Loja])</f>
        <v>BV</v>
      </c>
      <c r="E51" s="9">
        <f>_xlfn.XLOOKUP(Follow[[#This Row],[Id Pedido]],Controle_Pedidos[Número Pedido Cliente],Controle_Pedidos[Prazo Entrega])</f>
        <v>45689</v>
      </c>
      <c r="F51" s="9" t="s">
        <v>19433</v>
      </c>
      <c r="G51" s="9" t="s">
        <v>37</v>
      </c>
      <c r="H51" s="52" t="s">
        <v>179</v>
      </c>
      <c r="I51" s="52" t="s">
        <v>178</v>
      </c>
      <c r="J51" s="55">
        <v>45686</v>
      </c>
      <c r="K51" s="52" t="s">
        <v>198</v>
      </c>
      <c r="L51" s="8" t="s">
        <v>124</v>
      </c>
      <c r="M51" s="8" t="s">
        <v>37</v>
      </c>
      <c r="N51" s="52" t="str">
        <f>IF(Follow[[#This Row],[DATAATUALIZAÇÃO]]&lt;=Follow[[#This Row],[Prev Entrega]],"Dentro do Prazo","Fora do Prazo")</f>
        <v>Dentro do Prazo</v>
      </c>
      <c r="O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29/01/2025, referente ao pedido Nº Pedido 747 Rastreio Pedido 747, agradecemos a preferência e adoraríamos receber sua avaliação, tendo qualquer dúvida estamos à disposição.
Att
Tem tudo Shop</v>
      </c>
    </row>
    <row r="52" spans="1:15">
      <c r="A52" s="52" t="str">
        <f>_xlfn.XLOOKUP(Follow[[#This Row],[CODRASTREIO]],Controle_Pedidos[Cód Rastreamento],Controle_Pedidos[Número Pedido Cliente])</f>
        <v>Pedido 752</v>
      </c>
      <c r="B52" s="2" t="s">
        <v>18171</v>
      </c>
      <c r="C52" s="2" t="str">
        <f>Follow[[#This Row],[CODRASTREIO]]&amp;" B"</f>
        <v>CódRastreio729 B</v>
      </c>
      <c r="D52" s="52" t="str">
        <f>_xlfn.XLOOKUP(Follow[[#This Row],[Id Pedido]],Controle_Pedidos[Número Pedido Cliente],Controle_Pedidos[Loja])</f>
        <v>BV</v>
      </c>
      <c r="E52" s="9">
        <f>_xlfn.XLOOKUP(Follow[[#This Row],[Id Pedido]],Controle_Pedidos[Número Pedido Cliente],Controle_Pedidos[Prazo Entrega])</f>
        <v>45699</v>
      </c>
      <c r="F52" s="9" t="s">
        <v>19433</v>
      </c>
      <c r="G52" s="9" t="s">
        <v>37</v>
      </c>
      <c r="H52" s="52" t="s">
        <v>179</v>
      </c>
      <c r="I52" s="52" t="s">
        <v>178</v>
      </c>
      <c r="J52" s="55">
        <v>45689</v>
      </c>
      <c r="K52" s="52" t="s">
        <v>198</v>
      </c>
      <c r="L52" s="8" t="s">
        <v>124</v>
      </c>
      <c r="M52" s="8" t="s">
        <v>37</v>
      </c>
      <c r="N52" s="52" t="str">
        <f>IF(Follow[[#This Row],[DATAATUALIZAÇÃO]]&lt;=Follow[[#This Row],[Prev Entrega]],"Dentro do Prazo","Fora do Prazo")</f>
        <v>Dentro do Prazo</v>
      </c>
      <c r="O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752 Rastreio Pedido 752, agradecemos a preferência e adoraríamos receber sua avaliação, tendo qualquer dúvida estamos à disposição.
Att
Tem tudo Shop</v>
      </c>
    </row>
    <row r="53" spans="1:15">
      <c r="A53" s="52" t="str">
        <f>_xlfn.XLOOKUP(Follow[[#This Row],[CODRASTREIO]],Controle_Pedidos[Cód Rastreamento],Controle_Pedidos[Número Pedido Cliente])</f>
        <v>Pedido 754</v>
      </c>
      <c r="B53" s="2" t="s">
        <v>18173</v>
      </c>
      <c r="C53" s="2" t="str">
        <f>Follow[[#This Row],[CODRASTREIO]]&amp;" B"</f>
        <v>CódRastreio731 B</v>
      </c>
      <c r="D53" s="52" t="str">
        <f>_xlfn.XLOOKUP(Follow[[#This Row],[Id Pedido]],Controle_Pedidos[Número Pedido Cliente],Controle_Pedidos[Loja])</f>
        <v>BV</v>
      </c>
      <c r="E53" s="9">
        <f>_xlfn.XLOOKUP(Follow[[#This Row],[Id Pedido]],Controle_Pedidos[Número Pedido Cliente],Controle_Pedidos[Prazo Entrega])</f>
        <v>45687</v>
      </c>
      <c r="F53" s="9" t="s">
        <v>19433</v>
      </c>
      <c r="G53" s="9" t="s">
        <v>37</v>
      </c>
      <c r="H53" s="52" t="s">
        <v>179</v>
      </c>
      <c r="I53" s="52" t="s">
        <v>178</v>
      </c>
      <c r="J53" s="55">
        <v>45680</v>
      </c>
      <c r="K53" s="52" t="s">
        <v>198</v>
      </c>
      <c r="L53" s="8" t="s">
        <v>124</v>
      </c>
      <c r="M53" s="8" t="s">
        <v>37</v>
      </c>
      <c r="N53" s="52" t="str">
        <f>IF(Follow[[#This Row],[DATAATUALIZAÇÃO]]&lt;=Follow[[#This Row],[Prev Entrega]],"Dentro do Prazo","Fora do Prazo")</f>
        <v>Dentro do Prazo</v>
      </c>
      <c r="O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23/01/2025, referente ao pedido Nº Pedido 754 Rastreio Pedido 754, agradecemos a preferência e adoraríamos receber sua avaliação, tendo qualquer dúvida estamos à disposição.
Att
Tem tudo Shop</v>
      </c>
    </row>
    <row r="54" spans="1:15">
      <c r="A54" s="52" t="str">
        <f>_xlfn.XLOOKUP(Follow[[#This Row],[CODRASTREIO]],Controle_Pedidos[Cód Rastreamento],Controle_Pedidos[Número Pedido Cliente])</f>
        <v>Pedido 756</v>
      </c>
      <c r="B54" s="2" t="s">
        <v>18175</v>
      </c>
      <c r="C54" s="2" t="str">
        <f>Follow[[#This Row],[CODRASTREIO]]&amp;" B"</f>
        <v>CódRastreio733 B</v>
      </c>
      <c r="D54" s="52" t="str">
        <f>_xlfn.XLOOKUP(Follow[[#This Row],[Id Pedido]],Controle_Pedidos[Número Pedido Cliente],Controle_Pedidos[Loja])</f>
        <v>BV</v>
      </c>
      <c r="E54" s="9">
        <f>_xlfn.XLOOKUP(Follow[[#This Row],[Id Pedido]],Controle_Pedidos[Número Pedido Cliente],Controle_Pedidos[Prazo Entrega])</f>
        <v>45688</v>
      </c>
      <c r="F54" s="9" t="s">
        <v>19433</v>
      </c>
      <c r="G54" s="9" t="s">
        <v>37</v>
      </c>
      <c r="H54" s="52" t="s">
        <v>179</v>
      </c>
      <c r="I54" s="52" t="s">
        <v>178</v>
      </c>
      <c r="J54" s="55">
        <v>45681</v>
      </c>
      <c r="K54" s="52" t="s">
        <v>198</v>
      </c>
      <c r="L54" s="8" t="s">
        <v>124</v>
      </c>
      <c r="M54" s="8" t="s">
        <v>37</v>
      </c>
      <c r="N54" s="52" t="str">
        <f>IF(Follow[[#This Row],[DATAATUALIZAÇÃO]]&lt;=Follow[[#This Row],[Prev Entrega]],"Dentro do Prazo","Fora do Prazo")</f>
        <v>Dentro do Prazo</v>
      </c>
      <c r="O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24/01/2025, referente ao pedido Nº Pedido 756 Rastreio Pedido 756, agradecemos a preferência e adoraríamos receber sua avaliação, tendo qualquer dúvida estamos à disposição.
Att
Tem tudo Shop</v>
      </c>
    </row>
    <row r="55" spans="1:15">
      <c r="A55" s="52" t="str">
        <f>_xlfn.XLOOKUP(Follow[[#This Row],[CODRASTREIO]],Controle_Pedidos[Cód Rastreamento],Controle_Pedidos[Número Pedido Cliente])</f>
        <v>Pedido 757</v>
      </c>
      <c r="B55" s="2" t="s">
        <v>18176</v>
      </c>
      <c r="C55" s="2" t="str">
        <f>Follow[[#This Row],[CODRASTREIO]]&amp;" B"</f>
        <v>CódRastreio734 B</v>
      </c>
      <c r="D55" s="52" t="str">
        <f>_xlfn.XLOOKUP(Follow[[#This Row],[Id Pedido]],Controle_Pedidos[Número Pedido Cliente],Controle_Pedidos[Loja])</f>
        <v>BV</v>
      </c>
      <c r="E55" s="9">
        <f>_xlfn.XLOOKUP(Follow[[#This Row],[Id Pedido]],Controle_Pedidos[Número Pedido Cliente],Controle_Pedidos[Prazo Entrega])</f>
        <v>45688</v>
      </c>
      <c r="F55" s="9" t="s">
        <v>19433</v>
      </c>
      <c r="G55" s="9" t="s">
        <v>37</v>
      </c>
      <c r="H55" s="52" t="s">
        <v>178</v>
      </c>
      <c r="I55" s="52" t="s">
        <v>178</v>
      </c>
      <c r="J55" s="55">
        <v>45674</v>
      </c>
      <c r="K55" s="52" t="s">
        <v>198</v>
      </c>
      <c r="L55" s="8" t="s">
        <v>124</v>
      </c>
      <c r="M55" s="8" t="s">
        <v>37</v>
      </c>
      <c r="N55" s="52" t="str">
        <f>IF(Follow[[#This Row],[DATAATUALIZAÇÃO]]&lt;=Follow[[#This Row],[Prev Entrega]],"Dentro do Prazo","Fora do Prazo")</f>
        <v>Dentro do Prazo</v>
      </c>
      <c r="O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17/01/2025, referente ao pedido Nº Pedido 757 Rastreio Pedido 757, agradecemos a preferência e adoraríamos receber sua avaliação, tendo qualquer dúvida estamos à disposição.
Att
Tem tudo Shop</v>
      </c>
    </row>
    <row r="56" spans="1:15">
      <c r="A56" s="52" t="str">
        <f>_xlfn.XLOOKUP(Follow[[#This Row],[CODRASTREIO]],Controle_Pedidos[Cód Rastreamento],Controle_Pedidos[Número Pedido Cliente])</f>
        <v>Pedido 762</v>
      </c>
      <c r="B56" s="2" t="s">
        <v>18181</v>
      </c>
      <c r="C56" s="2" t="str">
        <f>Follow[[#This Row],[CODRASTREIO]]&amp;" B"</f>
        <v>CódRastreio739 B</v>
      </c>
      <c r="D56" s="52" t="str">
        <f>_xlfn.XLOOKUP(Follow[[#This Row],[Id Pedido]],Controle_Pedidos[Número Pedido Cliente],Controle_Pedidos[Loja])</f>
        <v>BV</v>
      </c>
      <c r="E56" s="9">
        <f>_xlfn.XLOOKUP(Follow[[#This Row],[Id Pedido]],Controle_Pedidos[Número Pedido Cliente],Controle_Pedidos[Prazo Entrega])</f>
        <v>45688</v>
      </c>
      <c r="F56" s="9" t="s">
        <v>19433</v>
      </c>
      <c r="G56" s="9" t="s">
        <v>37</v>
      </c>
      <c r="H56" s="52" t="s">
        <v>178</v>
      </c>
      <c r="I56" s="52" t="s">
        <v>178</v>
      </c>
      <c r="J56" s="55">
        <v>45688</v>
      </c>
      <c r="K56" s="52" t="s">
        <v>198</v>
      </c>
      <c r="L56" s="8" t="s">
        <v>124</v>
      </c>
      <c r="M56" s="8" t="s">
        <v>200</v>
      </c>
      <c r="N56" s="52" t="str">
        <f>IF(Follow[[#This Row],[DATAATUALIZAÇÃO]]&lt;=Follow[[#This Row],[Prev Entrega]],"Dentro do Prazo","Fora do Prazo")</f>
        <v>Dentro do Prazo</v>
      </c>
      <c r="O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31/01/2025, referente ao pedido Nº Pedido 762 Rastreio Pedido 762, agradecemos a preferência e adoraríamos receber sua avaliação, tendo qualquer dúvida estamos à disposição.
Att
Tem tudo Shop</v>
      </c>
    </row>
    <row r="57" spans="1:15">
      <c r="A57" s="52" t="str">
        <f>_xlfn.XLOOKUP(Follow[[#This Row],[CODRASTREIO]],Controle_Pedidos[Cód Rastreamento],Controle_Pedidos[Número Pedido Cliente])</f>
        <v>Pedido 764</v>
      </c>
      <c r="B57" s="2" t="s">
        <v>18183</v>
      </c>
      <c r="C57" s="2" t="str">
        <f>Follow[[#This Row],[CODRASTREIO]]&amp;" B"</f>
        <v>CódRastreio741 B</v>
      </c>
      <c r="D57" s="52" t="str">
        <f>_xlfn.XLOOKUP(Follow[[#This Row],[Id Pedido]],Controle_Pedidos[Número Pedido Cliente],Controle_Pedidos[Loja])</f>
        <v>BV</v>
      </c>
      <c r="E57" s="9">
        <f>_xlfn.XLOOKUP(Follow[[#This Row],[Id Pedido]],Controle_Pedidos[Número Pedido Cliente],Controle_Pedidos[Prazo Entrega])</f>
        <v>45688</v>
      </c>
      <c r="F57" s="9" t="s">
        <v>19433</v>
      </c>
      <c r="G57" s="9" t="s">
        <v>37</v>
      </c>
      <c r="H57" s="52" t="s">
        <v>178</v>
      </c>
      <c r="I57" s="52" t="s">
        <v>178</v>
      </c>
      <c r="J57" s="55">
        <v>45675</v>
      </c>
      <c r="K57" s="52" t="s">
        <v>198</v>
      </c>
      <c r="L57" s="8" t="s">
        <v>124</v>
      </c>
      <c r="M57" s="8" t="s">
        <v>37</v>
      </c>
      <c r="N57" s="52" t="str">
        <f>IF(Follow[[#This Row],[DATAATUALIZAÇÃO]]&lt;=Follow[[#This Row],[Prev Entrega]],"Dentro do Prazo","Fora do Prazo")</f>
        <v>Dentro do Prazo</v>
      </c>
      <c r="O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18/01/2025, referente ao pedido Nº Pedido 764 Rastreio Pedido 764, agradecemos a preferência e adoraríamos receber sua avaliação, tendo qualquer dúvida estamos à disposição.
Att
Tem tudo Shop</v>
      </c>
    </row>
    <row r="58" spans="1:15">
      <c r="A58" s="52" t="str">
        <f>_xlfn.XLOOKUP(Follow[[#This Row],[CODRASTREIO]],Controle_Pedidos[Cód Rastreamento],Controle_Pedidos[Número Pedido Cliente])</f>
        <v>Pedido 721</v>
      </c>
      <c r="B58" s="2" t="s">
        <v>18142</v>
      </c>
      <c r="C58" s="2" t="str">
        <f>Follow[[#This Row],[CODRASTREIO]]&amp;" B"</f>
        <v>CódRastreio700 B</v>
      </c>
      <c r="D58" s="52" t="str">
        <f>_xlfn.XLOOKUP(Follow[[#This Row],[Id Pedido]],Controle_Pedidos[Número Pedido Cliente],Controle_Pedidos[Loja])</f>
        <v>BV</v>
      </c>
      <c r="E58" s="9">
        <f>_xlfn.XLOOKUP(Follow[[#This Row],[Id Pedido]],Controle_Pedidos[Número Pedido Cliente],Controle_Pedidos[Prazo Entrega])</f>
        <v>45687</v>
      </c>
      <c r="F58" s="9" t="s">
        <v>19433</v>
      </c>
      <c r="G58" s="9" t="s">
        <v>37</v>
      </c>
      <c r="H58" s="52" t="s">
        <v>179</v>
      </c>
      <c r="I58" s="52" t="s">
        <v>178</v>
      </c>
      <c r="J58" s="55">
        <v>45684</v>
      </c>
      <c r="K58" s="52" t="s">
        <v>198</v>
      </c>
      <c r="L58" s="8" t="s">
        <v>124</v>
      </c>
      <c r="M58" s="8" t="s">
        <v>37</v>
      </c>
      <c r="N58" s="52" t="str">
        <f>IF(Follow[[#This Row],[DATAATUALIZAÇÃO]]&lt;=Follow[[#This Row],[Prev Entrega]],"Dentro do Prazo","Fora do Prazo")</f>
        <v>Dentro do Prazo</v>
      </c>
      <c r="O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27/01/2025, referente ao pedido Nº Pedido 721 Rastreio Pedido 721, agradecemos a preferência e adoraríamos receber sua avaliação, tendo qualquer dúvida estamos à disposição.
Att
Tem tudo Shop</v>
      </c>
    </row>
    <row r="59" spans="1:15">
      <c r="A59" s="52" t="str">
        <f>_xlfn.XLOOKUP(Follow[[#This Row],[CODRASTREIO]],Controle_Pedidos[Cód Rastreamento],Controle_Pedidos[Número Pedido Cliente])</f>
        <v>Pedido 722</v>
      </c>
      <c r="B59" s="2" t="s">
        <v>18143</v>
      </c>
      <c r="C59" s="2" t="str">
        <f>Follow[[#This Row],[CODRASTREIO]]&amp;" B"</f>
        <v>CódRastreio701 B</v>
      </c>
      <c r="D59" s="52" t="str">
        <f>_xlfn.XLOOKUP(Follow[[#This Row],[Id Pedido]],Controle_Pedidos[Número Pedido Cliente],Controle_Pedidos[Loja])</f>
        <v>BV</v>
      </c>
      <c r="E59" s="9">
        <f>_xlfn.XLOOKUP(Follow[[#This Row],[Id Pedido]],Controle_Pedidos[Número Pedido Cliente],Controle_Pedidos[Prazo Entrega])</f>
        <v>45687</v>
      </c>
      <c r="F59" s="9" t="s">
        <v>19433</v>
      </c>
      <c r="G59" s="9" t="s">
        <v>37</v>
      </c>
      <c r="H59" s="52" t="s">
        <v>179</v>
      </c>
      <c r="I59" s="52" t="s">
        <v>178</v>
      </c>
      <c r="J59" s="55">
        <v>45687</v>
      </c>
      <c r="K59" s="52" t="s">
        <v>198</v>
      </c>
      <c r="L59" s="8" t="s">
        <v>124</v>
      </c>
      <c r="M59" s="8" t="s">
        <v>37</v>
      </c>
      <c r="N59" s="52" t="str">
        <f>IF(Follow[[#This Row],[DATAATUALIZAÇÃO]]&lt;=Follow[[#This Row],[Prev Entrega]],"Dentro do Prazo","Fora do Prazo")</f>
        <v>Dentro do Prazo</v>
      </c>
      <c r="O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30/01/2025, referente ao pedido Nº Pedido 722 Rastreio Pedido 722, agradecemos a preferência e adoraríamos receber sua avaliação, tendo qualquer dúvida estamos à disposição.
Att
Tem tudo Shop</v>
      </c>
    </row>
    <row r="60" spans="1:15">
      <c r="A60" s="52" t="str">
        <f>_xlfn.XLOOKUP(Follow[[#This Row],[CODRASTREIO]],Controle_Pedidos[Cód Rastreamento],Controle_Pedidos[Número Pedido Cliente])</f>
        <v>Pedido 723</v>
      </c>
      <c r="B60" s="2" t="s">
        <v>18144</v>
      </c>
      <c r="C60" s="2" t="str">
        <f>Follow[[#This Row],[CODRASTREIO]]&amp;" B"</f>
        <v>CódRastreio702 B</v>
      </c>
      <c r="D60" s="52" t="str">
        <f>_xlfn.XLOOKUP(Follow[[#This Row],[Id Pedido]],Controle_Pedidos[Número Pedido Cliente],Controle_Pedidos[Loja])</f>
        <v>BV</v>
      </c>
      <c r="E60" s="9">
        <f>_xlfn.XLOOKUP(Follow[[#This Row],[Id Pedido]],Controle_Pedidos[Número Pedido Cliente],Controle_Pedidos[Prazo Entrega])</f>
        <v>45694</v>
      </c>
      <c r="F60" s="9" t="s">
        <v>19433</v>
      </c>
      <c r="G60" s="9" t="s">
        <v>37</v>
      </c>
      <c r="H60" s="52" t="s">
        <v>179</v>
      </c>
      <c r="I60" s="52" t="s">
        <v>178</v>
      </c>
      <c r="J60" s="55">
        <v>45695</v>
      </c>
      <c r="K60" s="52" t="s">
        <v>198</v>
      </c>
      <c r="L60" s="8" t="s">
        <v>124</v>
      </c>
      <c r="M60" s="8" t="s">
        <v>37</v>
      </c>
      <c r="N60" s="52" t="str">
        <f>IF(Follow[[#This Row],[DATAATUALIZAÇÃO]]&lt;=Follow[[#This Row],[Prev Entrega]],"Dentro do Prazo","Fora do Prazo")</f>
        <v>Fora do Prazo</v>
      </c>
      <c r="O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07/02/2025, referente ao pedido Nº Pedido 723 Rastreio Pedido 723, agradecemos a preferência e adoraríamos receber sua avaliação, tendo qualquer dúvida estamos à disposição.
Att
Tem tudo Shop</v>
      </c>
    </row>
    <row r="61" spans="1:15">
      <c r="A61" s="52" t="str">
        <f>_xlfn.XLOOKUP(Follow[[#This Row],[CODRASTREIO]],Controle_Pedidos[Cód Rastreamento],Controle_Pedidos[Número Pedido Cliente])</f>
        <v>Pedido 725</v>
      </c>
      <c r="B61" s="2" t="s">
        <v>18145</v>
      </c>
      <c r="C61" s="2" t="str">
        <f>Follow[[#This Row],[CODRASTREIO]]&amp;" B"</f>
        <v>CódRastreio703 B</v>
      </c>
      <c r="D61" s="52" t="str">
        <f>_xlfn.XLOOKUP(Follow[[#This Row],[Id Pedido]],Controle_Pedidos[Número Pedido Cliente],Controle_Pedidos[Loja])</f>
        <v>BV</v>
      </c>
      <c r="E61" s="9">
        <f>_xlfn.XLOOKUP(Follow[[#This Row],[Id Pedido]],Controle_Pedidos[Número Pedido Cliente],Controle_Pedidos[Prazo Entrega])</f>
        <v>45694</v>
      </c>
      <c r="F61" s="9" t="s">
        <v>19433</v>
      </c>
      <c r="G61" s="9" t="s">
        <v>37</v>
      </c>
      <c r="H61" s="52" t="s">
        <v>179</v>
      </c>
      <c r="I61" s="52" t="s">
        <v>178</v>
      </c>
      <c r="J61" s="55">
        <v>45691</v>
      </c>
      <c r="K61" s="52" t="s">
        <v>198</v>
      </c>
      <c r="L61" s="8" t="s">
        <v>124</v>
      </c>
      <c r="M61" s="8" t="s">
        <v>37</v>
      </c>
      <c r="N61" s="52" t="str">
        <f>IF(Follow[[#This Row],[DATAATUALIZAÇÃO]]&lt;=Follow[[#This Row],[Prev Entrega]],"Dentro do Prazo","Fora do Prazo")</f>
        <v>Dentro do Prazo</v>
      </c>
      <c r="O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03/02/2025, referente ao pedido Nº Pedido 725 Rastreio Pedido 725, agradecemos a preferência e adoraríamos receber sua avaliação, tendo qualquer dúvida estamos à disposição.
Att
Tem tudo Shop</v>
      </c>
    </row>
    <row r="62" spans="1:15">
      <c r="A62" s="52" t="str">
        <f>_xlfn.XLOOKUP(Follow[[#This Row],[CODRASTREIO]],Controle_Pedidos[Cód Rastreamento],Controle_Pedidos[Número Pedido Cliente])</f>
        <v>Pedido 728</v>
      </c>
      <c r="B62" s="2" t="s">
        <v>18147</v>
      </c>
      <c r="C62" s="2" t="str">
        <f>Follow[[#This Row],[CODRASTREIO]]&amp;" B"</f>
        <v>CódRastreio705 B</v>
      </c>
      <c r="D62" s="52" t="str">
        <f>_xlfn.XLOOKUP(Follow[[#This Row],[Id Pedido]],Controle_Pedidos[Número Pedido Cliente],Controle_Pedidos[Loja])</f>
        <v>BV</v>
      </c>
      <c r="E62" s="9">
        <f>_xlfn.XLOOKUP(Follow[[#This Row],[Id Pedido]],Controle_Pedidos[Número Pedido Cliente],Controle_Pedidos[Prazo Entrega])</f>
        <v>45688</v>
      </c>
      <c r="F62" s="9" t="s">
        <v>19433</v>
      </c>
      <c r="G62" s="9" t="s">
        <v>37</v>
      </c>
      <c r="H62" s="52" t="s">
        <v>179</v>
      </c>
      <c r="I62" s="52" t="s">
        <v>178</v>
      </c>
      <c r="J62" s="55">
        <v>45684</v>
      </c>
      <c r="K62" s="52" t="s">
        <v>198</v>
      </c>
      <c r="L62" s="8" t="s">
        <v>124</v>
      </c>
      <c r="M62" s="8" t="s">
        <v>37</v>
      </c>
      <c r="N62" s="52" t="str">
        <f>IF(Follow[[#This Row],[DATAATUALIZAÇÃO]]&lt;=Follow[[#This Row],[Prev Entrega]],"Dentro do Prazo","Fora do Prazo")</f>
        <v>Dentro do Prazo</v>
      </c>
      <c r="O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27/01/2025, referente ao pedido Nº Pedido 728 Rastreio Pedido 728, agradecemos a preferência e adoraríamos receber sua avaliação, tendo qualquer dúvida estamos à disposição.
Att
Tem tudo Shop</v>
      </c>
    </row>
    <row r="63" spans="1:15">
      <c r="A63" s="52" t="str">
        <f>_xlfn.XLOOKUP(Follow[[#This Row],[CODRASTREIO]],Controle_Pedidos[Cód Rastreamento],Controle_Pedidos[Número Pedido Cliente])</f>
        <v>Pedido 729</v>
      </c>
      <c r="B63" s="2" t="s">
        <v>18148</v>
      </c>
      <c r="C63" s="2" t="str">
        <f>Follow[[#This Row],[CODRASTREIO]]&amp;" B"</f>
        <v>CódRastreio706 B</v>
      </c>
      <c r="D63" s="52" t="str">
        <f>_xlfn.XLOOKUP(Follow[[#This Row],[Id Pedido]],Controle_Pedidos[Número Pedido Cliente],Controle_Pedidos[Loja])</f>
        <v>BV</v>
      </c>
      <c r="E63" s="9">
        <f>_xlfn.XLOOKUP(Follow[[#This Row],[Id Pedido]],Controle_Pedidos[Número Pedido Cliente],Controle_Pedidos[Prazo Entrega])</f>
        <v>45682</v>
      </c>
      <c r="F63" s="9" t="s">
        <v>19433</v>
      </c>
      <c r="G63" s="9" t="s">
        <v>37</v>
      </c>
      <c r="H63" s="52" t="s">
        <v>179</v>
      </c>
      <c r="I63" s="52" t="s">
        <v>178</v>
      </c>
      <c r="J63" s="55">
        <v>45685</v>
      </c>
      <c r="K63" s="52" t="s">
        <v>198</v>
      </c>
      <c r="L63" s="8" t="s">
        <v>124</v>
      </c>
      <c r="M63" s="8" t="s">
        <v>201</v>
      </c>
      <c r="N63" s="52" t="str">
        <f>IF(Follow[[#This Row],[DATAATUALIZAÇÃO]]&lt;=Follow[[#This Row],[Prev Entrega]],"Dentro do Prazo","Fora do Prazo")</f>
        <v>Fora do Prazo</v>
      </c>
      <c r="O6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28/01/2025, referente ao pedido Nº Pedido 729 Rastreio Pedido 729, agradecemos a preferência e adoraríamos receber sua avaliação, tendo qualquer dúvida estamos à disposição.
Att
Tem tudo Shop</v>
      </c>
    </row>
    <row r="64" spans="1:15">
      <c r="A64" s="52" t="str">
        <f>_xlfn.XLOOKUP(Follow[[#This Row],[CODRASTREIO]],Controle_Pedidos[Cód Rastreamento],Controle_Pedidos[Número Pedido Cliente])</f>
        <v>Pedido 730</v>
      </c>
      <c r="B64" s="2" t="s">
        <v>18149</v>
      </c>
      <c r="C64" s="2" t="str">
        <f>Follow[[#This Row],[CODRASTREIO]]&amp;" B"</f>
        <v>CódRastreio707 B</v>
      </c>
      <c r="D64" s="52" t="str">
        <f>_xlfn.XLOOKUP(Follow[[#This Row],[Id Pedido]],Controle_Pedidos[Número Pedido Cliente],Controle_Pedidos[Loja])</f>
        <v>BV</v>
      </c>
      <c r="E64" s="9">
        <f>_xlfn.XLOOKUP(Follow[[#This Row],[Id Pedido]],Controle_Pedidos[Número Pedido Cliente],Controle_Pedidos[Prazo Entrega])</f>
        <v>45688</v>
      </c>
      <c r="F64" s="9" t="s">
        <v>19433</v>
      </c>
      <c r="G64" s="9" t="s">
        <v>37</v>
      </c>
      <c r="H64" s="52" t="s">
        <v>179</v>
      </c>
      <c r="I64" s="52" t="s">
        <v>178</v>
      </c>
      <c r="J64" s="55">
        <v>45685</v>
      </c>
      <c r="K64" s="52" t="s">
        <v>198</v>
      </c>
      <c r="L64" s="8" t="s">
        <v>124</v>
      </c>
      <c r="M64" s="8" t="s">
        <v>37</v>
      </c>
      <c r="N64" s="52" t="str">
        <f>IF(Follow[[#This Row],[DATAATUALIZAÇÃO]]&lt;=Follow[[#This Row],[Prev Entrega]],"Dentro do Prazo","Fora do Prazo")</f>
        <v>Dentro do Prazo</v>
      </c>
      <c r="O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28/01/2025, referente ao pedido Nº Pedido 730 Rastreio Pedido 730, agradecemos a preferência e adoraríamos receber sua avaliação, tendo qualquer dúvida estamos à disposição.
Att
Tem tudo Shop</v>
      </c>
    </row>
    <row r="65" spans="1:15">
      <c r="A65" s="52" t="str">
        <f>_xlfn.XLOOKUP(Follow[[#This Row],[CODRASTREIO]],Controle_Pedidos[Cód Rastreamento],Controle_Pedidos[Número Pedido Cliente])</f>
        <v>Pedido 731</v>
      </c>
      <c r="B65" s="2" t="s">
        <v>18150</v>
      </c>
      <c r="C65" s="2" t="str">
        <f>Follow[[#This Row],[CODRASTREIO]]&amp;" B"</f>
        <v>CódRastreio708 B</v>
      </c>
      <c r="D65" s="52" t="str">
        <f>_xlfn.XLOOKUP(Follow[[#This Row],[Id Pedido]],Controle_Pedidos[Número Pedido Cliente],Controle_Pedidos[Loja])</f>
        <v>BV</v>
      </c>
      <c r="E65" s="9">
        <f>_xlfn.XLOOKUP(Follow[[#This Row],[Id Pedido]],Controle_Pedidos[Número Pedido Cliente],Controle_Pedidos[Prazo Entrega])</f>
        <v>45688</v>
      </c>
      <c r="F65" s="9" t="s">
        <v>19433</v>
      </c>
      <c r="G65" s="9" t="s">
        <v>37</v>
      </c>
      <c r="H65" s="52" t="s">
        <v>179</v>
      </c>
      <c r="I65" s="52" t="s">
        <v>178</v>
      </c>
      <c r="J65" s="55">
        <v>45685</v>
      </c>
      <c r="K65" s="52" t="s">
        <v>198</v>
      </c>
      <c r="L65" s="8" t="s">
        <v>124</v>
      </c>
      <c r="M65" s="8" t="s">
        <v>37</v>
      </c>
      <c r="N65" s="52" t="str">
        <f>IF(Follow[[#This Row],[DATAATUALIZAÇÃO]]&lt;=Follow[[#This Row],[Prev Entrega]],"Dentro do Prazo","Fora do Prazo")</f>
        <v>Dentro do Prazo</v>
      </c>
      <c r="O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28/01/2025, referente ao pedido Nº Pedido 731 Rastreio Pedido 731, agradecemos a preferência e adoraríamos receber sua avaliação, tendo qualquer dúvida estamos à disposição.
Att
Tem tudo Shop</v>
      </c>
    </row>
    <row r="66" spans="1:15">
      <c r="A66" s="52" t="str">
        <f>_xlfn.XLOOKUP(Follow[[#This Row],[CODRASTREIO]],Controle_Pedidos[Cód Rastreamento],Controle_Pedidos[Número Pedido Cliente])</f>
        <v>Pedido 734</v>
      </c>
      <c r="B66" s="2" t="s">
        <v>18153</v>
      </c>
      <c r="C66" s="2" t="str">
        <f>Follow[[#This Row],[CODRASTREIO]]&amp;" B"</f>
        <v>CódRastreio711 B</v>
      </c>
      <c r="D66" s="52" t="str">
        <f>_xlfn.XLOOKUP(Follow[[#This Row],[Id Pedido]],Controle_Pedidos[Número Pedido Cliente],Controle_Pedidos[Loja])</f>
        <v>BV</v>
      </c>
      <c r="E66" s="9">
        <f>_xlfn.XLOOKUP(Follow[[#This Row],[Id Pedido]],Controle_Pedidos[Número Pedido Cliente],Controle_Pedidos[Prazo Entrega])</f>
        <v>45688</v>
      </c>
      <c r="F66" s="9" t="s">
        <v>19433</v>
      </c>
      <c r="G66" s="9" t="s">
        <v>37</v>
      </c>
      <c r="H66" s="52" t="s">
        <v>179</v>
      </c>
      <c r="I66" s="52" t="s">
        <v>178</v>
      </c>
      <c r="J66" s="55">
        <v>45687</v>
      </c>
      <c r="K66" s="52" t="s">
        <v>198</v>
      </c>
      <c r="L66" s="8" t="s">
        <v>124</v>
      </c>
      <c r="M66" s="8" t="s">
        <v>37</v>
      </c>
      <c r="N66" s="52" t="str">
        <f>IF(Follow[[#This Row],[DATAATUALIZAÇÃO]]&lt;=Follow[[#This Row],[Prev Entrega]],"Dentro do Prazo","Fora do Prazo")</f>
        <v>Dentro do Prazo</v>
      </c>
      <c r="O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30/01/2025, referente ao pedido Nº Pedido 734 Rastreio Pedido 734, agradecemos a preferência e adoraríamos receber sua avaliação, tendo qualquer dúvida estamos à disposição.
Att
Tem tudo Shop</v>
      </c>
    </row>
    <row r="67" spans="1:15">
      <c r="A67" s="52" t="str">
        <f>_xlfn.XLOOKUP(Follow[[#This Row],[CODRASTREIO]],Controle_Pedidos[Cód Rastreamento],Controle_Pedidos[Número Pedido Cliente])</f>
        <v>Pedido 737</v>
      </c>
      <c r="B67" s="2" t="s">
        <v>18156</v>
      </c>
      <c r="C67" s="2" t="str">
        <f>Follow[[#This Row],[CODRASTREIO]]&amp;" B"</f>
        <v>CódRastreio714 B</v>
      </c>
      <c r="D67" s="52" t="str">
        <f>_xlfn.XLOOKUP(Follow[[#This Row],[Id Pedido]],Controle_Pedidos[Número Pedido Cliente],Controle_Pedidos[Loja])</f>
        <v>BV</v>
      </c>
      <c r="E67" s="9">
        <f>_xlfn.XLOOKUP(Follow[[#This Row],[Id Pedido]],Controle_Pedidos[Número Pedido Cliente],Controle_Pedidos[Prazo Entrega])</f>
        <v>45688</v>
      </c>
      <c r="F67" s="9" t="s">
        <v>19433</v>
      </c>
      <c r="G67" s="9" t="s">
        <v>37</v>
      </c>
      <c r="H67" s="52" t="s">
        <v>179</v>
      </c>
      <c r="I67" s="52" t="s">
        <v>178</v>
      </c>
      <c r="J67" s="55">
        <v>45685</v>
      </c>
      <c r="K67" s="52" t="s">
        <v>198</v>
      </c>
      <c r="L67" s="8" t="s">
        <v>124</v>
      </c>
      <c r="M67" s="8" t="s">
        <v>37</v>
      </c>
      <c r="N67" s="52" t="str">
        <f>IF(Follow[[#This Row],[DATAATUALIZAÇÃO]]&lt;=Follow[[#This Row],[Prev Entrega]],"Dentro do Prazo","Fora do Prazo")</f>
        <v>Dentro do Prazo</v>
      </c>
      <c r="O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28/01/2025, referente ao pedido Nº Pedido 737 Rastreio Pedido 737, agradecemos a preferência e adoraríamos receber sua avaliação, tendo qualquer dúvida estamos à disposição.
Att
Tem tudo Shop</v>
      </c>
    </row>
    <row r="68" spans="1:15">
      <c r="A68" s="52" t="str">
        <f>_xlfn.XLOOKUP(Follow[[#This Row],[CODRASTREIO]],Controle_Pedidos[Cód Rastreamento],Controle_Pedidos[Número Pedido Cliente])</f>
        <v>Pedido 739</v>
      </c>
      <c r="B68" s="2" t="s">
        <v>18158</v>
      </c>
      <c r="C68" s="2" t="str">
        <f>Follow[[#This Row],[CODRASTREIO]]&amp;" B"</f>
        <v>CódRastreio716 B</v>
      </c>
      <c r="D68" s="52" t="str">
        <f>_xlfn.XLOOKUP(Follow[[#This Row],[Id Pedido]],Controle_Pedidos[Número Pedido Cliente],Controle_Pedidos[Loja])</f>
        <v>BV</v>
      </c>
      <c r="E68" s="9">
        <f>_xlfn.XLOOKUP(Follow[[#This Row],[Id Pedido]],Controle_Pedidos[Número Pedido Cliente],Controle_Pedidos[Prazo Entrega])</f>
        <v>45689</v>
      </c>
      <c r="F68" s="9" t="s">
        <v>19433</v>
      </c>
      <c r="G68" s="9" t="s">
        <v>37</v>
      </c>
      <c r="H68" s="52" t="s">
        <v>179</v>
      </c>
      <c r="I68" s="52" t="s">
        <v>178</v>
      </c>
      <c r="J68" s="55">
        <v>45684</v>
      </c>
      <c r="K68" s="52" t="s">
        <v>198</v>
      </c>
      <c r="L68" s="8" t="s">
        <v>124</v>
      </c>
      <c r="M68" s="8" t="s">
        <v>37</v>
      </c>
      <c r="N68" s="52" t="str">
        <f>IF(Follow[[#This Row],[DATAATUALIZAÇÃO]]&lt;=Follow[[#This Row],[Prev Entrega]],"Dentro do Prazo","Fora do Prazo")</f>
        <v>Dentro do Prazo</v>
      </c>
      <c r="O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27/01/2025, referente ao pedido Nº Pedido 739 Rastreio Pedido 739, agradecemos a preferência e adoraríamos receber sua avaliação, tendo qualquer dúvida estamos à disposição.
Att
Tem tudo Shop</v>
      </c>
    </row>
    <row r="69" spans="1:15">
      <c r="A69" s="52" t="str">
        <f>_xlfn.XLOOKUP(Follow[[#This Row],[CODRASTREIO]],Controle_Pedidos[Cód Rastreamento],Controle_Pedidos[Número Pedido Cliente])</f>
        <v>Pedido 750</v>
      </c>
      <c r="B69" s="2" t="s">
        <v>18169</v>
      </c>
      <c r="C69" s="2" t="str">
        <f>Follow[[#This Row],[CODRASTREIO]]&amp;" B"</f>
        <v>CódRastreio727 B</v>
      </c>
      <c r="D69" s="52" t="str">
        <f>_xlfn.XLOOKUP(Follow[[#This Row],[Id Pedido]],Controle_Pedidos[Número Pedido Cliente],Controle_Pedidos[Loja])</f>
        <v>BV</v>
      </c>
      <c r="E69" s="9">
        <f>_xlfn.XLOOKUP(Follow[[#This Row],[Id Pedido]],Controle_Pedidos[Número Pedido Cliente],Controle_Pedidos[Prazo Entrega])</f>
        <v>45692</v>
      </c>
      <c r="F69" s="9" t="s">
        <v>19433</v>
      </c>
      <c r="G69" s="9" t="s">
        <v>37</v>
      </c>
      <c r="H69" s="52" t="s">
        <v>179</v>
      </c>
      <c r="I69" s="52" t="s">
        <v>178</v>
      </c>
      <c r="J69" s="55">
        <v>45689</v>
      </c>
      <c r="K69" s="52" t="s">
        <v>198</v>
      </c>
      <c r="L69" s="8" t="s">
        <v>124</v>
      </c>
      <c r="M69" s="8" t="s">
        <v>37</v>
      </c>
      <c r="N69" s="52" t="str">
        <f>IF(Follow[[#This Row],[DATAATUALIZAÇÃO]]&lt;=Follow[[#This Row],[Prev Entrega]],"Dentro do Prazo","Fora do Prazo")</f>
        <v>Dentro do Prazo</v>
      </c>
      <c r="O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750 Rastreio Pedido 750, agradecemos a preferência e adoraríamos receber sua avaliação, tendo qualquer dúvida estamos à disposição.
Att
Tem tudo Shop</v>
      </c>
    </row>
    <row r="70" spans="1:15">
      <c r="A70" s="52" t="str">
        <f>_xlfn.XLOOKUP(Follow[[#This Row],[CODRASTREIO]],Controle_Pedidos[Cód Rastreamento],Controle_Pedidos[Número Pedido Cliente])</f>
        <v>Pedido 755</v>
      </c>
      <c r="B70" s="2" t="s">
        <v>18174</v>
      </c>
      <c r="C70" s="2" t="str">
        <f>Follow[[#This Row],[CODRASTREIO]]&amp;" B"</f>
        <v>CódRastreio732 B</v>
      </c>
      <c r="D70" s="52" t="str">
        <f>_xlfn.XLOOKUP(Follow[[#This Row],[Id Pedido]],Controle_Pedidos[Número Pedido Cliente],Controle_Pedidos[Loja])</f>
        <v>BV</v>
      </c>
      <c r="E70" s="9">
        <f>_xlfn.XLOOKUP(Follow[[#This Row],[Id Pedido]],Controle_Pedidos[Número Pedido Cliente],Controle_Pedidos[Prazo Entrega])</f>
        <v>45694</v>
      </c>
      <c r="F70" s="9" t="s">
        <v>19433</v>
      </c>
      <c r="G70" s="9" t="s">
        <v>37</v>
      </c>
      <c r="H70" s="52" t="s">
        <v>179</v>
      </c>
      <c r="I70" s="52" t="s">
        <v>178</v>
      </c>
      <c r="J70" s="55">
        <v>45687</v>
      </c>
      <c r="K70" s="52" t="s">
        <v>198</v>
      </c>
      <c r="L70" s="8" t="s">
        <v>124</v>
      </c>
      <c r="M70" s="8" t="s">
        <v>37</v>
      </c>
      <c r="N70" s="52" t="str">
        <f>IF(Follow[[#This Row],[DATAATUALIZAÇÃO]]&lt;=Follow[[#This Row],[Prev Entrega]],"Dentro do Prazo","Fora do Prazo")</f>
        <v>Dentro do Prazo</v>
      </c>
      <c r="O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755 Rastreio Pedido 755, agradecemos a preferência e adoraríamos receber sua avaliação, tendo qualquer dúvida estamos à disposição.
Att
Tem tudo Shop</v>
      </c>
    </row>
    <row r="71" spans="1:15">
      <c r="A71" s="52" t="str">
        <f>_xlfn.XLOOKUP(Follow[[#This Row],[CODRASTREIO]],Controle_Pedidos[Cód Rastreamento],Controle_Pedidos[Número Pedido Cliente])</f>
        <v>Pedido 758</v>
      </c>
      <c r="B71" s="2" t="s">
        <v>18177</v>
      </c>
      <c r="C71" s="2" t="str">
        <f>Follow[[#This Row],[CODRASTREIO]]&amp;" B"</f>
        <v>CódRastreio735 B</v>
      </c>
      <c r="D71" s="52" t="str">
        <f>_xlfn.XLOOKUP(Follow[[#This Row],[Id Pedido]],Controle_Pedidos[Número Pedido Cliente],Controle_Pedidos[Loja])</f>
        <v>BV</v>
      </c>
      <c r="E71" s="9">
        <f>_xlfn.XLOOKUP(Follow[[#This Row],[Id Pedido]],Controle_Pedidos[Número Pedido Cliente],Controle_Pedidos[Prazo Entrega])</f>
        <v>45694</v>
      </c>
      <c r="F71" s="9" t="s">
        <v>19433</v>
      </c>
      <c r="G71" s="9" t="s">
        <v>37</v>
      </c>
      <c r="H71" s="52" t="s">
        <v>179</v>
      </c>
      <c r="I71" s="52" t="s">
        <v>178</v>
      </c>
      <c r="J71" s="55">
        <v>45687</v>
      </c>
      <c r="K71" s="52" t="s">
        <v>198</v>
      </c>
      <c r="L71" s="8" t="s">
        <v>124</v>
      </c>
      <c r="M71" s="8" t="s">
        <v>37</v>
      </c>
      <c r="N71" s="52" t="str">
        <f>IF(Follow[[#This Row],[DATAATUALIZAÇÃO]]&lt;=Follow[[#This Row],[Prev Entrega]],"Dentro do Prazo","Fora do Prazo")</f>
        <v>Dentro do Prazo</v>
      </c>
      <c r="O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30/01/2025, referente ao pedido Nº Pedido 758 Rastreio Pedido 758, agradecemos a preferência e adoraríamos receber sua avaliação, tendo qualquer dúvida estamos à disposição.
Att
Tem tudo Shop</v>
      </c>
    </row>
    <row r="72" spans="1:15">
      <c r="A72" s="52" t="str">
        <f>_xlfn.XLOOKUP(Follow[[#This Row],[CODRASTREIO]],Controle_Pedidos[Cód Rastreamento],Controle_Pedidos[Número Pedido Cliente])</f>
        <v>Pedido 759</v>
      </c>
      <c r="B72" s="2" t="s">
        <v>18178</v>
      </c>
      <c r="C72" s="2" t="str">
        <f>Follow[[#This Row],[CODRASTREIO]]&amp;" B"</f>
        <v>CódRastreio736 B</v>
      </c>
      <c r="D72" s="52" t="str">
        <f>_xlfn.XLOOKUP(Follow[[#This Row],[Id Pedido]],Controle_Pedidos[Número Pedido Cliente],Controle_Pedidos[Loja])</f>
        <v>BV</v>
      </c>
      <c r="E72" s="9">
        <f>_xlfn.XLOOKUP(Follow[[#This Row],[Id Pedido]],Controle_Pedidos[Número Pedido Cliente],Controle_Pedidos[Prazo Entrega])</f>
        <v>45688</v>
      </c>
      <c r="F72" s="9" t="s">
        <v>19433</v>
      </c>
      <c r="G72" s="9" t="s">
        <v>37</v>
      </c>
      <c r="H72" s="52" t="s">
        <v>179</v>
      </c>
      <c r="I72" s="52" t="s">
        <v>178</v>
      </c>
      <c r="J72" s="55">
        <v>45684</v>
      </c>
      <c r="K72" s="52" t="s">
        <v>198</v>
      </c>
      <c r="L72" s="8" t="s">
        <v>124</v>
      </c>
      <c r="M72" s="8" t="s">
        <v>37</v>
      </c>
      <c r="N72" s="52" t="str">
        <f>IF(Follow[[#This Row],[DATAATUALIZAÇÃO]]&lt;=Follow[[#This Row],[Prev Entrega]],"Dentro do Prazo","Fora do Prazo")</f>
        <v>Dentro do Prazo</v>
      </c>
      <c r="O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27/01/2025, referente ao pedido Nº Pedido 759 Rastreio Pedido 759, agradecemos a preferência e adoraríamos receber sua avaliação, tendo qualquer dúvida estamos à disposição.
Att
Tem tudo Shop</v>
      </c>
    </row>
    <row r="73" spans="1:15">
      <c r="A73" s="52" t="str">
        <f>_xlfn.XLOOKUP(Follow[[#This Row],[CODRASTREIO]],Controle_Pedidos[Cód Rastreamento],Controle_Pedidos[Número Pedido Cliente])</f>
        <v>Pedido 760</v>
      </c>
      <c r="B73" s="2" t="s">
        <v>18179</v>
      </c>
      <c r="C73" s="2" t="str">
        <f>Follow[[#This Row],[CODRASTREIO]]&amp;" B"</f>
        <v>CódRastreio737 B</v>
      </c>
      <c r="D73" s="52" t="str">
        <f>_xlfn.XLOOKUP(Follow[[#This Row],[Id Pedido]],Controle_Pedidos[Número Pedido Cliente],Controle_Pedidos[Loja])</f>
        <v>BV</v>
      </c>
      <c r="E73" s="9">
        <f>_xlfn.XLOOKUP(Follow[[#This Row],[Id Pedido]],Controle_Pedidos[Número Pedido Cliente],Controle_Pedidos[Prazo Entrega])</f>
        <v>45701</v>
      </c>
      <c r="F73" s="9" t="s">
        <v>19433</v>
      </c>
      <c r="G73" s="9" t="s">
        <v>37</v>
      </c>
      <c r="H73" s="52" t="s">
        <v>179</v>
      </c>
      <c r="I73" s="52" t="s">
        <v>178</v>
      </c>
      <c r="J73" s="55">
        <v>45695</v>
      </c>
      <c r="K73" s="52" t="s">
        <v>198</v>
      </c>
      <c r="L73" s="8" t="s">
        <v>124</v>
      </c>
      <c r="M73" s="8" t="s">
        <v>37</v>
      </c>
      <c r="N73" s="52" t="str">
        <f>IF(Follow[[#This Row],[DATAATUALIZAÇÃO]]&lt;=Follow[[#This Row],[Prev Entrega]],"Dentro do Prazo","Fora do Prazo")</f>
        <v>Dentro do Prazo</v>
      </c>
      <c r="O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760 Rastreio Pedido 760, agradecemos a preferência e adoraríamos receber sua avaliação, tendo qualquer dúvida estamos à disposição.
Att
Tem tudo Shop</v>
      </c>
    </row>
    <row r="74" spans="1:15">
      <c r="A74" s="52" t="str">
        <f>_xlfn.XLOOKUP(Follow[[#This Row],[CODRASTREIO]],Controle_Pedidos[Cód Rastreamento],Controle_Pedidos[Número Pedido Cliente])</f>
        <v>Pedido 878</v>
      </c>
      <c r="B74" s="2" t="s">
        <v>18297</v>
      </c>
      <c r="C74" s="2" t="str">
        <f>Follow[[#This Row],[CODRASTREIO]]&amp;" B"</f>
        <v>CódRastreio855 B</v>
      </c>
      <c r="D74" s="52" t="str">
        <f>_xlfn.XLOOKUP(Follow[[#This Row],[Id Pedido]],Controle_Pedidos[Número Pedido Cliente],Controle_Pedidos[Loja])</f>
        <v>GO</v>
      </c>
      <c r="E74" s="9">
        <f>_xlfn.XLOOKUP(Follow[[#This Row],[Id Pedido]],Controle_Pedidos[Número Pedido Cliente],Controle_Pedidos[Prazo Entrega])</f>
        <v>45691</v>
      </c>
      <c r="F74" s="9" t="s">
        <v>19433</v>
      </c>
      <c r="G74" s="9" t="s">
        <v>37</v>
      </c>
      <c r="H74" s="52" t="s">
        <v>178</v>
      </c>
      <c r="I74" s="52" t="s">
        <v>178</v>
      </c>
      <c r="J74" s="55">
        <v>45678</v>
      </c>
      <c r="K74" s="52" t="s">
        <v>198</v>
      </c>
      <c r="L74" s="8" t="s">
        <v>124</v>
      </c>
      <c r="M74" s="8" t="s">
        <v>37</v>
      </c>
      <c r="N74" s="52" t="str">
        <f>IF(Follow[[#This Row],[DATAATUALIZAÇÃO]]&lt;=Follow[[#This Row],[Prev Entrega]],"Dentro do Prazo","Fora do Prazo")</f>
        <v>Dentro do Prazo</v>
      </c>
      <c r="O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21/01/2025, referente ao pedido Nº Pedido 878 Rastreio Pedido 878, agradecemos a preferência e adoraríamos receber sua avaliação, tendo qualquer dúvida estamos à disposição.
Att
Sec Variedades</v>
      </c>
    </row>
    <row r="75" spans="1:15">
      <c r="A75" s="52" t="str">
        <f>_xlfn.XLOOKUP(Follow[[#This Row],[CODRASTREIO]],Controle_Pedidos[Cód Rastreamento],Controle_Pedidos[Número Pedido Cliente])</f>
        <v>Pedido 753</v>
      </c>
      <c r="B75" s="2" t="s">
        <v>18172</v>
      </c>
      <c r="C75" s="2" t="str">
        <f>Follow[[#This Row],[CODRASTREIO]]&amp;" B"</f>
        <v>CódRastreio730 B</v>
      </c>
      <c r="D75" s="52" t="str">
        <f>_xlfn.XLOOKUP(Follow[[#This Row],[Id Pedido]],Controle_Pedidos[Número Pedido Cliente],Controle_Pedidos[Loja])</f>
        <v>BV</v>
      </c>
      <c r="E75" s="9">
        <f>_xlfn.XLOOKUP(Follow[[#This Row],[Id Pedido]],Controle_Pedidos[Número Pedido Cliente],Controle_Pedidos[Prazo Entrega])</f>
        <v>45693</v>
      </c>
      <c r="F75" s="9" t="s">
        <v>19433</v>
      </c>
      <c r="G75" s="9" t="s">
        <v>37</v>
      </c>
      <c r="H75" s="52" t="s">
        <v>179</v>
      </c>
      <c r="I75" s="52" t="s">
        <v>178</v>
      </c>
      <c r="J75" s="55">
        <v>45680</v>
      </c>
      <c r="K75" s="52" t="s">
        <v>198</v>
      </c>
      <c r="L75" s="8" t="s">
        <v>124</v>
      </c>
      <c r="M75" s="8" t="s">
        <v>88</v>
      </c>
      <c r="N75" s="52" t="str">
        <f>IF(Follow[[#This Row],[DATAATUALIZAÇÃO]]&lt;=Follow[[#This Row],[Prev Entrega]],"Dentro do Prazo","Fora do Prazo")</f>
        <v>Dentro do Prazo</v>
      </c>
      <c r="O7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23/01/2025, referente ao pedido Nº Pedido 753 Rastreio Pedido 753, agradecemos a preferência e adoraríamos receber sua avaliação, tendo qualquer dúvida estamos à disposição.
Att
Tem tudo Shop</v>
      </c>
    </row>
    <row r="76" spans="1:15">
      <c r="A76" s="52" t="str">
        <f>_xlfn.XLOOKUP(Follow[[#This Row],[CODRASTREIO]],Controle_Pedidos[Cód Rastreamento],Controle_Pedidos[Número Pedido Cliente])</f>
        <v>Pedido 761</v>
      </c>
      <c r="B76" s="2" t="s">
        <v>18180</v>
      </c>
      <c r="C76" s="2" t="str">
        <f>Follow[[#This Row],[CODRASTREIO]]&amp;" B"</f>
        <v>CódRastreio738 B</v>
      </c>
      <c r="D76" s="52" t="str">
        <f>_xlfn.XLOOKUP(Follow[[#This Row],[Id Pedido]],Controle_Pedidos[Número Pedido Cliente],Controle_Pedidos[Loja])</f>
        <v>BV</v>
      </c>
      <c r="E76" s="9">
        <f>_xlfn.XLOOKUP(Follow[[#This Row],[Id Pedido]],Controle_Pedidos[Número Pedido Cliente],Controle_Pedidos[Prazo Entrega])</f>
        <v>45694</v>
      </c>
      <c r="F76" s="9" t="s">
        <v>19433</v>
      </c>
      <c r="G76" s="9" t="s">
        <v>37</v>
      </c>
      <c r="H76" s="52" t="s">
        <v>179</v>
      </c>
      <c r="I76" s="52" t="s">
        <v>178</v>
      </c>
      <c r="J76" s="55">
        <v>45688</v>
      </c>
      <c r="K76" s="52" t="s">
        <v>198</v>
      </c>
      <c r="L76" s="8" t="s">
        <v>124</v>
      </c>
      <c r="M76" s="8" t="s">
        <v>37</v>
      </c>
      <c r="N76" s="52" t="str">
        <f>IF(Follow[[#This Row],[DATAATUALIZAÇÃO]]&lt;=Follow[[#This Row],[Prev Entrega]],"Dentro do Prazo","Fora do Prazo")</f>
        <v>Dentro do Prazo</v>
      </c>
      <c r="O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31/01/2025, referente ao pedido Nº Pedido 761 Rastreio Pedido 761, agradecemos a preferência e adoraríamos receber sua avaliação, tendo qualquer dúvida estamos à disposição.
Att
Tem tudo Shop</v>
      </c>
    </row>
    <row r="77" spans="1:15">
      <c r="A77" s="52" t="str">
        <f>_xlfn.XLOOKUP(Follow[[#This Row],[CODRASTREIO]],Controle_Pedidos[Cód Rastreamento],Controle_Pedidos[Número Pedido Cliente])</f>
        <v>Pedido 763</v>
      </c>
      <c r="B77" s="2" t="s">
        <v>18182</v>
      </c>
      <c r="C77" s="2" t="str">
        <f>Follow[[#This Row],[CODRASTREIO]]&amp;" B"</f>
        <v>CódRastreio740 B</v>
      </c>
      <c r="D77" s="52" t="str">
        <f>_xlfn.XLOOKUP(Follow[[#This Row],[Id Pedido]],Controle_Pedidos[Número Pedido Cliente],Controle_Pedidos[Loja])</f>
        <v>BV</v>
      </c>
      <c r="E77" s="9">
        <f>_xlfn.XLOOKUP(Follow[[#This Row],[Id Pedido]],Controle_Pedidos[Número Pedido Cliente],Controle_Pedidos[Prazo Entrega])</f>
        <v>45688</v>
      </c>
      <c r="F77" s="9" t="s">
        <v>19433</v>
      </c>
      <c r="G77" s="9" t="s">
        <v>37</v>
      </c>
      <c r="H77" s="52" t="s">
        <v>179</v>
      </c>
      <c r="I77" s="52" t="s">
        <v>178</v>
      </c>
      <c r="J77" s="55">
        <v>45684</v>
      </c>
      <c r="K77" s="52" t="s">
        <v>198</v>
      </c>
      <c r="L77" s="8" t="s">
        <v>124</v>
      </c>
      <c r="M77" s="8" t="s">
        <v>88</v>
      </c>
      <c r="N77" s="52" t="str">
        <f>IF(Follow[[#This Row],[DATAATUALIZAÇÃO]]&lt;=Follow[[#This Row],[Prev Entrega]],"Dentro do Prazo","Fora do Prazo")</f>
        <v>Dentro do Prazo</v>
      </c>
      <c r="O77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27/01/2025, referente ao pedido Nº Pedido 763 Rastreio Pedido 763, agradecemos a preferência e adoraríamos receber sua avaliação, tendo qualquer dúvida estamos à disposição.
Att
Tem tudo Shop</v>
      </c>
    </row>
    <row r="78" spans="1:15">
      <c r="A78" s="52" t="str">
        <f>_xlfn.XLOOKUP(Follow[[#This Row],[CODRASTREIO]],Controle_Pedidos[Cód Rastreamento],Controle_Pedidos[Número Pedido Cliente])</f>
        <v>Pedido 765</v>
      </c>
      <c r="B78" s="2" t="s">
        <v>18184</v>
      </c>
      <c r="C78" s="2" t="str">
        <f>Follow[[#This Row],[CODRASTREIO]]&amp;" B"</f>
        <v>CódRastreio742 B</v>
      </c>
      <c r="D78" s="52" t="str">
        <f>_xlfn.XLOOKUP(Follow[[#This Row],[Id Pedido]],Controle_Pedidos[Número Pedido Cliente],Controle_Pedidos[Loja])</f>
        <v>BV</v>
      </c>
      <c r="E78" s="9">
        <f>_xlfn.XLOOKUP(Follow[[#This Row],[Id Pedido]],Controle_Pedidos[Número Pedido Cliente],Controle_Pedidos[Prazo Entrega])</f>
        <v>45694</v>
      </c>
      <c r="F78" s="9" t="s">
        <v>19433</v>
      </c>
      <c r="G78" s="9" t="s">
        <v>37</v>
      </c>
      <c r="H78" s="52" t="s">
        <v>179</v>
      </c>
      <c r="I78" s="52" t="s">
        <v>178</v>
      </c>
      <c r="J78" s="55">
        <v>45693</v>
      </c>
      <c r="K78" s="52" t="s">
        <v>198</v>
      </c>
      <c r="L78" s="8" t="s">
        <v>124</v>
      </c>
      <c r="M78" s="8" t="s">
        <v>37</v>
      </c>
      <c r="N78" s="52" t="str">
        <f>IF(Follow[[#This Row],[DATAATUALIZAÇÃO]]&lt;=Follow[[#This Row],[Prev Entrega]],"Dentro do Prazo","Fora do Prazo")</f>
        <v>Dentro do Prazo</v>
      </c>
      <c r="O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05/02/2025, referente ao pedido Nº Pedido 765 Rastreio Pedido 765, agradecemos a preferência e adoraríamos receber sua avaliação, tendo qualquer dúvida estamos à disposição.
Att
Tem tudo Shop</v>
      </c>
    </row>
    <row r="79" spans="1:15">
      <c r="A79" s="52" t="str">
        <f>_xlfn.XLOOKUP(Follow[[#This Row],[CODRASTREIO]],Controle_Pedidos[Cód Rastreamento],Controle_Pedidos[Número Pedido Cliente])</f>
        <v>Pedido 766</v>
      </c>
      <c r="B79" s="2" t="s">
        <v>18185</v>
      </c>
      <c r="C79" s="2" t="str">
        <f>Follow[[#This Row],[CODRASTREIO]]&amp;" B"</f>
        <v>CódRastreio743 B</v>
      </c>
      <c r="D79" s="52" t="str">
        <f>_xlfn.XLOOKUP(Follow[[#This Row],[Id Pedido]],Controle_Pedidos[Número Pedido Cliente],Controle_Pedidos[Loja])</f>
        <v>BV</v>
      </c>
      <c r="E79" s="9">
        <f>_xlfn.XLOOKUP(Follow[[#This Row],[Id Pedido]],Controle_Pedidos[Número Pedido Cliente],Controle_Pedidos[Prazo Entrega])</f>
        <v>45694</v>
      </c>
      <c r="F79" s="9" t="s">
        <v>19433</v>
      </c>
      <c r="G79" s="9" t="s">
        <v>37</v>
      </c>
      <c r="H79" s="52" t="s">
        <v>179</v>
      </c>
      <c r="I79" s="52" t="s">
        <v>178</v>
      </c>
      <c r="J79" s="55">
        <v>45692</v>
      </c>
      <c r="K79" s="52" t="s">
        <v>198</v>
      </c>
      <c r="L79" s="8" t="s">
        <v>124</v>
      </c>
      <c r="M79" s="8" t="s">
        <v>37</v>
      </c>
      <c r="N79" s="52" t="str">
        <f>IF(Follow[[#This Row],[DATAATUALIZAÇÃO]]&lt;=Follow[[#This Row],[Prev Entrega]],"Dentro do Prazo","Fora do Prazo")</f>
        <v>Dentro do Prazo</v>
      </c>
      <c r="O7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766 Rastreio Pedido 766, agradecemos a preferência e adoraríamos receber sua avaliação, tendo qualquer dúvida estamos à disposição.
Att
Tem tudo Shop</v>
      </c>
    </row>
    <row r="80" spans="1:15">
      <c r="A80" s="52" t="str">
        <f>_xlfn.XLOOKUP(Follow[[#This Row],[CODRASTREIO]],Controle_Pedidos[Cód Rastreamento],Controle_Pedidos[Número Pedido Cliente])</f>
        <v>Pedido 767</v>
      </c>
      <c r="B80" s="2" t="s">
        <v>18186</v>
      </c>
      <c r="C80" s="2" t="str">
        <f>Follow[[#This Row],[CODRASTREIO]]&amp;" B"</f>
        <v>CódRastreio744 B</v>
      </c>
      <c r="D80" s="52" t="str">
        <f>_xlfn.XLOOKUP(Follow[[#This Row],[Id Pedido]],Controle_Pedidos[Número Pedido Cliente],Controle_Pedidos[Loja])</f>
        <v>BV</v>
      </c>
      <c r="E80" s="9">
        <f>_xlfn.XLOOKUP(Follow[[#This Row],[Id Pedido]],Controle_Pedidos[Número Pedido Cliente],Controle_Pedidos[Prazo Entrega])</f>
        <v>45688</v>
      </c>
      <c r="F80" s="9" t="s">
        <v>19433</v>
      </c>
      <c r="G80" s="9" t="s">
        <v>37</v>
      </c>
      <c r="H80" s="52" t="s">
        <v>179</v>
      </c>
      <c r="I80" s="52" t="s">
        <v>178</v>
      </c>
      <c r="J80" s="55">
        <v>45694</v>
      </c>
      <c r="K80" s="52" t="s">
        <v>198</v>
      </c>
      <c r="L80" s="8" t="s">
        <v>124</v>
      </c>
      <c r="M80" s="8" t="s">
        <v>37</v>
      </c>
      <c r="N80" s="52" t="str">
        <f>IF(Follow[[#This Row],[DATAATUALIZAÇÃO]]&lt;=Follow[[#This Row],[Prev Entrega]],"Dentro do Prazo","Fora do Prazo")</f>
        <v>Fora do Prazo</v>
      </c>
      <c r="O80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06/02/2025, referente ao pedido Nº Pedido 767 Rastreio Pedido 767, agradecemos a preferência e adoraríamos receber sua avaliação, tendo qualquer dúvida estamos à disposição.
Att
Tem tudo Shop</v>
      </c>
    </row>
    <row r="81" spans="1:15">
      <c r="A81" s="52" t="str">
        <f>_xlfn.XLOOKUP(Follow[[#This Row],[CODRASTREIO]],Controle_Pedidos[Cód Rastreamento],Controle_Pedidos[Número Pedido Cliente])</f>
        <v>Pedido 768</v>
      </c>
      <c r="B81" s="2" t="s">
        <v>18187</v>
      </c>
      <c r="C81" s="2" t="str">
        <f>Follow[[#This Row],[CODRASTREIO]]&amp;" B"</f>
        <v>CódRastreio745 B</v>
      </c>
      <c r="D81" s="52" t="str">
        <f>_xlfn.XLOOKUP(Follow[[#This Row],[Id Pedido]],Controle_Pedidos[Número Pedido Cliente],Controle_Pedidos[Loja])</f>
        <v>BV</v>
      </c>
      <c r="E81" s="9">
        <f>_xlfn.XLOOKUP(Follow[[#This Row],[Id Pedido]],Controle_Pedidos[Número Pedido Cliente],Controle_Pedidos[Prazo Entrega])</f>
        <v>45701</v>
      </c>
      <c r="F81" s="9" t="s">
        <v>19433</v>
      </c>
      <c r="G81" s="9" t="s">
        <v>37</v>
      </c>
      <c r="H81" s="52" t="s">
        <v>179</v>
      </c>
      <c r="I81" s="52" t="s">
        <v>178</v>
      </c>
      <c r="J81" s="55">
        <v>45702</v>
      </c>
      <c r="K81" s="52" t="s">
        <v>198</v>
      </c>
      <c r="L81" s="8" t="s">
        <v>124</v>
      </c>
      <c r="M81" s="8" t="s">
        <v>37</v>
      </c>
      <c r="N81" s="52" t="str">
        <f>IF(Follow[[#This Row],[DATAATUALIZAÇÃO]]&lt;=Follow[[#This Row],[Prev Entrega]],"Dentro do Prazo","Fora do Prazo")</f>
        <v>Fora do Prazo</v>
      </c>
      <c r="O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14/02/2025, referente ao pedido Nº Pedido 768 Rastreio Pedido 768, agradecemos a preferência e adoraríamos receber sua avaliação, tendo qualquer dúvida estamos à disposição.
Att
Tem tudo Shop</v>
      </c>
    </row>
    <row r="82" spans="1:15">
      <c r="A82" s="52" t="str">
        <f>_xlfn.XLOOKUP(Follow[[#This Row],[CODRASTREIO]],Controle_Pedidos[Cód Rastreamento],Controle_Pedidos[Número Pedido Cliente])</f>
        <v>Pedido 769</v>
      </c>
      <c r="B82" s="2" t="s">
        <v>18188</v>
      </c>
      <c r="C82" s="2" t="str">
        <f>Follow[[#This Row],[CODRASTREIO]]&amp;" B"</f>
        <v>CódRastreio746 B</v>
      </c>
      <c r="D82" s="52" t="str">
        <f>_xlfn.XLOOKUP(Follow[[#This Row],[Id Pedido]],Controle_Pedidos[Número Pedido Cliente],Controle_Pedidos[Loja])</f>
        <v>BV</v>
      </c>
      <c r="E82" s="9">
        <f>_xlfn.XLOOKUP(Follow[[#This Row],[Id Pedido]],Controle_Pedidos[Número Pedido Cliente],Controle_Pedidos[Prazo Entrega])</f>
        <v>45688</v>
      </c>
      <c r="F82" s="9" t="s">
        <v>19433</v>
      </c>
      <c r="G82" s="9" t="s">
        <v>37</v>
      </c>
      <c r="H82" s="52" t="s">
        <v>179</v>
      </c>
      <c r="I82" s="52" t="s">
        <v>178</v>
      </c>
      <c r="J82" s="55">
        <v>45692</v>
      </c>
      <c r="K82" s="52" t="s">
        <v>198</v>
      </c>
      <c r="L82" s="8" t="s">
        <v>124</v>
      </c>
      <c r="M82" s="8" t="s">
        <v>37</v>
      </c>
      <c r="N82" s="52" t="str">
        <f>IF(Follow[[#This Row],[DATAATUALIZAÇÃO]]&lt;=Follow[[#This Row],[Prev Entrega]],"Dentro do Prazo","Fora do Prazo")</f>
        <v>Fora do Prazo</v>
      </c>
      <c r="O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04/02/2025, referente ao pedido Nº Pedido 769 Rastreio Pedido 769, agradecemos a preferência e adoraríamos receber sua avaliação, tendo qualquer dúvida estamos à disposição.
Att
Tem tudo Shop</v>
      </c>
    </row>
    <row r="83" spans="1:15">
      <c r="A83" s="52" t="str">
        <f>_xlfn.XLOOKUP(Follow[[#This Row],[CODRASTREIO]],Controle_Pedidos[Cód Rastreamento],Controle_Pedidos[Número Pedido Cliente])</f>
        <v>Pedido 770</v>
      </c>
      <c r="B83" s="2" t="s">
        <v>18189</v>
      </c>
      <c r="C83" s="2" t="str">
        <f>Follow[[#This Row],[CODRASTREIO]]&amp;" B"</f>
        <v>CódRastreio747 B</v>
      </c>
      <c r="D83" s="52" t="str">
        <f>_xlfn.XLOOKUP(Follow[[#This Row],[Id Pedido]],Controle_Pedidos[Número Pedido Cliente],Controle_Pedidos[Loja])</f>
        <v>BV</v>
      </c>
      <c r="E83" s="9">
        <f>_xlfn.XLOOKUP(Follow[[#This Row],[Id Pedido]],Controle_Pedidos[Número Pedido Cliente],Controle_Pedidos[Prazo Entrega])</f>
        <v>45688</v>
      </c>
      <c r="F83" s="9" t="s">
        <v>19433</v>
      </c>
      <c r="G83" s="9" t="s">
        <v>37</v>
      </c>
      <c r="H83" s="52" t="s">
        <v>179</v>
      </c>
      <c r="I83" s="52" t="s">
        <v>178</v>
      </c>
      <c r="J83" s="55">
        <v>45689</v>
      </c>
      <c r="K83" s="52" t="s">
        <v>198</v>
      </c>
      <c r="L83" s="8" t="s">
        <v>124</v>
      </c>
      <c r="M83" s="8" t="s">
        <v>37</v>
      </c>
      <c r="N83" s="52" t="str">
        <f>IF(Follow[[#This Row],[DATAATUALIZAÇÃO]]&lt;=Follow[[#This Row],[Prev Entrega]],"Dentro do Prazo","Fora do Prazo")</f>
        <v>Fora do Prazo</v>
      </c>
      <c r="O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01/02/2025, referente ao pedido Nº Pedido 770 Rastreio Pedido 770, agradecemos a preferência e adoraríamos receber sua avaliação, tendo qualquer dúvida estamos à disposição.
Att
Tem tudo Shop</v>
      </c>
    </row>
    <row r="84" spans="1:15">
      <c r="A84" s="52" t="str">
        <f>_xlfn.XLOOKUP(Follow[[#This Row],[CODRASTREIO]],Controle_Pedidos[Cód Rastreamento],Controle_Pedidos[Número Pedido Cliente])</f>
        <v>Pedido 771</v>
      </c>
      <c r="B84" s="2" t="s">
        <v>18190</v>
      </c>
      <c r="C84" s="2" t="str">
        <f>Follow[[#This Row],[CODRASTREIO]]&amp;" B"</f>
        <v>CódRastreio748 B</v>
      </c>
      <c r="D84" s="52" t="str">
        <f>_xlfn.XLOOKUP(Follow[[#This Row],[Id Pedido]],Controle_Pedidos[Número Pedido Cliente],Controle_Pedidos[Loja])</f>
        <v>BV</v>
      </c>
      <c r="E84" s="9">
        <f>_xlfn.XLOOKUP(Follow[[#This Row],[Id Pedido]],Controle_Pedidos[Número Pedido Cliente],Controle_Pedidos[Prazo Entrega])</f>
        <v>45689</v>
      </c>
      <c r="F84" s="9" t="s">
        <v>19433</v>
      </c>
      <c r="G84" s="9" t="s">
        <v>37</v>
      </c>
      <c r="H84" s="52" t="s">
        <v>178</v>
      </c>
      <c r="I84" s="52" t="s">
        <v>178</v>
      </c>
      <c r="J84" s="55">
        <v>45679</v>
      </c>
      <c r="K84" s="52" t="s">
        <v>198</v>
      </c>
      <c r="L84" s="8" t="s">
        <v>124</v>
      </c>
      <c r="M84" s="8" t="s">
        <v>37</v>
      </c>
      <c r="N84" s="52" t="str">
        <f>IF(Follow[[#This Row],[DATAATUALIZAÇÃO]]&lt;=Follow[[#This Row],[Prev Entrega]],"Dentro do Prazo","Fora do Prazo")</f>
        <v>Dentro do Prazo</v>
      </c>
      <c r="O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22/01/2025, referente ao pedido Nº Pedido 771 Rastreio Pedido 771, agradecemos a preferência e adoraríamos receber sua avaliação, tendo qualquer dúvida estamos à disposição.
Att
Tem tudo Shop</v>
      </c>
    </row>
    <row r="85" spans="1:15">
      <c r="A85" s="52" t="str">
        <f>_xlfn.XLOOKUP(Follow[[#This Row],[CODRASTREIO]],Controle_Pedidos[Cód Rastreamento],Controle_Pedidos[Número Pedido Cliente])</f>
        <v>Pedido 772</v>
      </c>
      <c r="B85" s="2" t="s">
        <v>18191</v>
      </c>
      <c r="C85" s="2" t="str">
        <f>Follow[[#This Row],[CODRASTREIO]]&amp;" B"</f>
        <v>CódRastreio749 B</v>
      </c>
      <c r="D85" s="52" t="str">
        <f>_xlfn.XLOOKUP(Follow[[#This Row],[Id Pedido]],Controle_Pedidos[Número Pedido Cliente],Controle_Pedidos[Loja])</f>
        <v>BV</v>
      </c>
      <c r="E85" s="9">
        <f>_xlfn.XLOOKUP(Follow[[#This Row],[Id Pedido]],Controle_Pedidos[Número Pedido Cliente],Controle_Pedidos[Prazo Entrega])</f>
        <v>45695</v>
      </c>
      <c r="F85" s="9" t="s">
        <v>19433</v>
      </c>
      <c r="G85" s="9" t="s">
        <v>37</v>
      </c>
      <c r="H85" s="52" t="s">
        <v>179</v>
      </c>
      <c r="I85" s="52" t="s">
        <v>178</v>
      </c>
      <c r="J85" s="55">
        <v>45693</v>
      </c>
      <c r="K85" s="52" t="s">
        <v>198</v>
      </c>
      <c r="L85" s="8" t="s">
        <v>124</v>
      </c>
      <c r="M85" s="8" t="s">
        <v>37</v>
      </c>
      <c r="N85" s="52" t="str">
        <f>IF(Follow[[#This Row],[DATAATUALIZAÇÃO]]&lt;=Follow[[#This Row],[Prev Entrega]],"Dentro do Prazo","Fora do Prazo")</f>
        <v>Dentro do Prazo</v>
      </c>
      <c r="O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05/02/2025, referente ao pedido Nº Pedido 772 Rastreio Pedido 772, agradecemos a preferência e adoraríamos receber sua avaliação, tendo qualquer dúvida estamos à disposição.
Att
Tem tudo Shop</v>
      </c>
    </row>
    <row r="86" spans="1:15">
      <c r="A86" s="52" t="str">
        <f>_xlfn.XLOOKUP(Follow[[#This Row],[CODRASTREIO]],Controle_Pedidos[Cód Rastreamento],Controle_Pedidos[Número Pedido Cliente])</f>
        <v>Pedido 773</v>
      </c>
      <c r="B86" s="2" t="s">
        <v>18192</v>
      </c>
      <c r="C86" s="2" t="str">
        <f>Follow[[#This Row],[CODRASTREIO]]&amp;" B"</f>
        <v>CódRastreio750 B</v>
      </c>
      <c r="D86" s="52" t="str">
        <f>_xlfn.XLOOKUP(Follow[[#This Row],[Id Pedido]],Controle_Pedidos[Número Pedido Cliente],Controle_Pedidos[Loja])</f>
        <v>BV</v>
      </c>
      <c r="E86" s="9">
        <f>_xlfn.XLOOKUP(Follow[[#This Row],[Id Pedido]],Controle_Pedidos[Número Pedido Cliente],Controle_Pedidos[Prazo Entrega])</f>
        <v>45702</v>
      </c>
      <c r="F86" s="9" t="s">
        <v>19433</v>
      </c>
      <c r="G86" s="9" t="s">
        <v>37</v>
      </c>
      <c r="H86" s="52" t="s">
        <v>179</v>
      </c>
      <c r="I86" s="52" t="s">
        <v>178</v>
      </c>
      <c r="J86" s="55">
        <v>45691</v>
      </c>
      <c r="K86" s="52" t="s">
        <v>198</v>
      </c>
      <c r="L86" s="8" t="s">
        <v>124</v>
      </c>
      <c r="M86" s="8" t="s">
        <v>37</v>
      </c>
      <c r="N86" s="52" t="str">
        <f>IF(Follow[[#This Row],[DATAATUALIZAÇÃO]]&lt;=Follow[[#This Row],[Prev Entrega]],"Dentro do Prazo","Fora do Prazo")</f>
        <v>Dentro do Prazo</v>
      </c>
      <c r="O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03/02/2025, referente ao pedido Nº Pedido 773 Rastreio Pedido 773, agradecemos a preferência e adoraríamos receber sua avaliação, tendo qualquer dúvida estamos à disposição.
Att
Tem tudo Shop</v>
      </c>
    </row>
    <row r="87" spans="1:15">
      <c r="A87" s="52" t="str">
        <f>_xlfn.XLOOKUP(Follow[[#This Row],[CODRASTREIO]],Controle_Pedidos[Cód Rastreamento],Controle_Pedidos[Número Pedido Cliente])</f>
        <v>Pedido 774</v>
      </c>
      <c r="B87" s="2" t="s">
        <v>18193</v>
      </c>
      <c r="C87" s="2" t="str">
        <f>Follow[[#This Row],[CODRASTREIO]]&amp;" B"</f>
        <v>CódRastreio751 B</v>
      </c>
      <c r="D87" s="52" t="str">
        <f>_xlfn.XLOOKUP(Follow[[#This Row],[Id Pedido]],Controle_Pedidos[Número Pedido Cliente],Controle_Pedidos[Loja])</f>
        <v>BV</v>
      </c>
      <c r="E87" s="9">
        <f>_xlfn.XLOOKUP(Follow[[#This Row],[Id Pedido]],Controle_Pedidos[Número Pedido Cliente],Controle_Pedidos[Prazo Entrega])</f>
        <v>45695</v>
      </c>
      <c r="F87" s="9" t="s">
        <v>19433</v>
      </c>
      <c r="G87" s="9" t="s">
        <v>37</v>
      </c>
      <c r="H87" s="52" t="s">
        <v>179</v>
      </c>
      <c r="I87" s="52" t="s">
        <v>178</v>
      </c>
      <c r="J87" s="55">
        <v>45691</v>
      </c>
      <c r="K87" s="52" t="s">
        <v>198</v>
      </c>
      <c r="L87" s="8" t="s">
        <v>124</v>
      </c>
      <c r="M87" s="8" t="s">
        <v>37</v>
      </c>
      <c r="N87" s="52" t="str">
        <f>IF(Follow[[#This Row],[DATAATUALIZAÇÃO]]&lt;=Follow[[#This Row],[Prev Entrega]],"Dentro do Prazo","Fora do Prazo")</f>
        <v>Dentro do Prazo</v>
      </c>
      <c r="O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03/02/2025, referente ao pedido Nº Pedido 774 Rastreio Pedido 774, agradecemos a preferência e adoraríamos receber sua avaliação, tendo qualquer dúvida estamos à disposição.
Att
Tem tudo Shop</v>
      </c>
    </row>
    <row r="88" spans="1:15">
      <c r="A88" s="52" t="str">
        <f>_xlfn.XLOOKUP(Follow[[#This Row],[CODRASTREIO]],Controle_Pedidos[Cód Rastreamento],Controle_Pedidos[Número Pedido Cliente])</f>
        <v>Pedido 776</v>
      </c>
      <c r="B88" s="2" t="s">
        <v>18195</v>
      </c>
      <c r="C88" s="2" t="str">
        <f>Follow[[#This Row],[CODRASTREIO]]&amp;" B"</f>
        <v>CódRastreio753 B</v>
      </c>
      <c r="D88" s="52" t="str">
        <f>_xlfn.XLOOKUP(Follow[[#This Row],[Id Pedido]],Controle_Pedidos[Número Pedido Cliente],Controle_Pedidos[Loja])</f>
        <v>BV</v>
      </c>
      <c r="E88" s="9">
        <f>_xlfn.XLOOKUP(Follow[[#This Row],[Id Pedido]],Controle_Pedidos[Número Pedido Cliente],Controle_Pedidos[Prazo Entrega])</f>
        <v>45692</v>
      </c>
      <c r="F88" s="9" t="s">
        <v>19433</v>
      </c>
      <c r="G88" s="9" t="s">
        <v>37</v>
      </c>
      <c r="H88" s="52" t="s">
        <v>178</v>
      </c>
      <c r="I88" s="52" t="s">
        <v>178</v>
      </c>
      <c r="J88" s="55">
        <v>45682</v>
      </c>
      <c r="K88" s="52" t="s">
        <v>198</v>
      </c>
      <c r="L88" s="8" t="s">
        <v>124</v>
      </c>
      <c r="M88" s="8" t="s">
        <v>37</v>
      </c>
      <c r="N88" s="52" t="str">
        <f>IF(Follow[[#This Row],[DATAATUALIZAÇÃO]]&lt;=Follow[[#This Row],[Prev Entrega]],"Dentro do Prazo","Fora do Prazo")</f>
        <v>Dentro do Prazo</v>
      </c>
      <c r="O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25/01/2025, referente ao pedido Nº Pedido 776 Rastreio Pedido 776, agradecemos a preferência e adoraríamos receber sua avaliação, tendo qualquer dúvida estamos à disposição.
Att
Tem tudo Shop</v>
      </c>
    </row>
    <row r="89" spans="1:15">
      <c r="A89" s="52" t="str">
        <f>_xlfn.XLOOKUP(Follow[[#This Row],[CODRASTREIO]],Controle_Pedidos[Cód Rastreamento],Controle_Pedidos[Número Pedido Cliente])</f>
        <v>Pedido 779</v>
      </c>
      <c r="B89" s="2" t="s">
        <v>18198</v>
      </c>
      <c r="C89" s="2" t="str">
        <f>Follow[[#This Row],[CODRASTREIO]]&amp;" B"</f>
        <v>CódRastreio756 B</v>
      </c>
      <c r="D89" s="52" t="str">
        <f>_xlfn.XLOOKUP(Follow[[#This Row],[Id Pedido]],Controle_Pedidos[Número Pedido Cliente],Controle_Pedidos[Loja])</f>
        <v>BV</v>
      </c>
      <c r="E89" s="9">
        <f>_xlfn.XLOOKUP(Follow[[#This Row],[Id Pedido]],Controle_Pedidos[Número Pedido Cliente],Controle_Pedidos[Prazo Entrega])</f>
        <v>45686</v>
      </c>
      <c r="F89" s="9" t="s">
        <v>19433</v>
      </c>
      <c r="G89" s="9" t="s">
        <v>37</v>
      </c>
      <c r="H89" s="52" t="s">
        <v>178</v>
      </c>
      <c r="I89" s="52" t="s">
        <v>178</v>
      </c>
      <c r="J89" s="55">
        <v>45680</v>
      </c>
      <c r="K89" s="52" t="s">
        <v>198</v>
      </c>
      <c r="L89" s="8" t="s">
        <v>124</v>
      </c>
      <c r="M89" s="8" t="s">
        <v>37</v>
      </c>
      <c r="N89" s="52" t="str">
        <f>IF(Follow[[#This Row],[DATAATUALIZAÇÃO]]&lt;=Follow[[#This Row],[Prev Entrega]],"Dentro do Prazo","Fora do Prazo")</f>
        <v>Dentro do Prazo</v>
      </c>
      <c r="O8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23/01/2025, referente ao pedido Nº Pedido 779 Rastreio Pedido 779, agradecemos a preferência e adoraríamos receber sua avaliação, tendo qualquer dúvida estamos à disposição.
Att
Tem tudo Shop</v>
      </c>
    </row>
    <row r="90" spans="1:15">
      <c r="A90" s="52" t="str">
        <f>_xlfn.XLOOKUP(Follow[[#This Row],[CODRASTREIO]],Controle_Pedidos[Cód Rastreamento],Controle_Pedidos[Número Pedido Cliente])</f>
        <v>Pedido 784</v>
      </c>
      <c r="B90" s="2" t="s">
        <v>18203</v>
      </c>
      <c r="C90" s="2" t="str">
        <f>Follow[[#This Row],[CODRASTREIO]]&amp;" B"</f>
        <v>CódRastreio761 B</v>
      </c>
      <c r="D90" s="52" t="str">
        <f>_xlfn.XLOOKUP(Follow[[#This Row],[Id Pedido]],Controle_Pedidos[Número Pedido Cliente],Controle_Pedidos[Loja])</f>
        <v>BV</v>
      </c>
      <c r="E90" s="9">
        <f>_xlfn.XLOOKUP(Follow[[#This Row],[Id Pedido]],Controle_Pedidos[Número Pedido Cliente],Controle_Pedidos[Prazo Entrega])</f>
        <v>45692</v>
      </c>
      <c r="F90" s="9" t="s">
        <v>19433</v>
      </c>
      <c r="G90" s="9" t="s">
        <v>37</v>
      </c>
      <c r="H90" s="52" t="s">
        <v>178</v>
      </c>
      <c r="I90" s="52" t="s">
        <v>178</v>
      </c>
      <c r="J90" s="55">
        <v>45682</v>
      </c>
      <c r="K90" s="52" t="s">
        <v>198</v>
      </c>
      <c r="L90" s="8" t="s">
        <v>124</v>
      </c>
      <c r="M90" s="8" t="s">
        <v>37</v>
      </c>
      <c r="N90" s="52" t="str">
        <f>IF(Follow[[#This Row],[DATAATUALIZAÇÃO]]&lt;=Follow[[#This Row],[Prev Entrega]],"Dentro do Prazo","Fora do Prazo")</f>
        <v>Dentro do Prazo</v>
      </c>
      <c r="O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25/01/2025, referente ao pedido Nº Pedido 784 Rastreio Pedido 784, agradecemos a preferência e adoraríamos receber sua avaliação, tendo qualquer dúvida estamos à disposição.
Att
Tem tudo Shop</v>
      </c>
    </row>
    <row r="91" spans="1:15">
      <c r="A91" s="52" t="str">
        <f>_xlfn.XLOOKUP(Follow[[#This Row],[CODRASTREIO]],Controle_Pedidos[Cód Rastreamento],Controle_Pedidos[Número Pedido Cliente])</f>
        <v>Pedido 798</v>
      </c>
      <c r="B91" s="2" t="s">
        <v>18217</v>
      </c>
      <c r="C91" s="2" t="str">
        <f>Follow[[#This Row],[CODRASTREIO]]&amp;" B"</f>
        <v>CódRastreio775 B</v>
      </c>
      <c r="D91" s="52" t="str">
        <f>_xlfn.XLOOKUP(Follow[[#This Row],[Id Pedido]],Controle_Pedidos[Número Pedido Cliente],Controle_Pedidos[Loja])</f>
        <v>BV</v>
      </c>
      <c r="E91" s="9">
        <f>_xlfn.XLOOKUP(Follow[[#This Row],[Id Pedido]],Controle_Pedidos[Número Pedido Cliente],Controle_Pedidos[Prazo Entrega])</f>
        <v>45693</v>
      </c>
      <c r="F91" s="9" t="s">
        <v>19433</v>
      </c>
      <c r="G91" s="9" t="s">
        <v>37</v>
      </c>
      <c r="H91" s="52" t="s">
        <v>178</v>
      </c>
      <c r="I91" s="52" t="s">
        <v>178</v>
      </c>
      <c r="J91" s="55">
        <v>45684</v>
      </c>
      <c r="K91" s="52" t="s">
        <v>198</v>
      </c>
      <c r="L91" s="8" t="s">
        <v>124</v>
      </c>
      <c r="M91" s="8" t="s">
        <v>37</v>
      </c>
      <c r="N91" s="52" t="str">
        <f>IF(Follow[[#This Row],[DATAATUALIZAÇÃO]]&lt;=Follow[[#This Row],[Prev Entrega]],"Dentro do Prazo","Fora do Prazo")</f>
        <v>Dentro do Prazo</v>
      </c>
      <c r="O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27/01/2025, referente ao pedido Nº Pedido 798 Rastreio Pedido 798, agradecemos a preferência e adoraríamos receber sua avaliação, tendo qualquer dúvida estamos à disposição.
Att
Tem tudo Shop</v>
      </c>
    </row>
    <row r="92" spans="1:15">
      <c r="A92" s="52" t="str">
        <f>_xlfn.XLOOKUP(Follow[[#This Row],[CODRASTREIO]],Controle_Pedidos[Cód Rastreamento],Controle_Pedidos[Número Pedido Cliente])</f>
        <v>Pedido 461</v>
      </c>
      <c r="B92" s="2" t="s">
        <v>17888</v>
      </c>
      <c r="C92" s="2" t="str">
        <f>Follow[[#This Row],[CODRASTREIO]]&amp;" B"</f>
        <v>CódRastreio446 B</v>
      </c>
      <c r="D92" s="52" t="str">
        <f>_xlfn.XLOOKUP(Follow[[#This Row],[Id Pedido]],Controle_Pedidos[Número Pedido Cliente],Controle_Pedidos[Loja])</f>
        <v>BV</v>
      </c>
      <c r="E92" s="9">
        <f>_xlfn.XLOOKUP(Follow[[#This Row],[Id Pedido]],Controle_Pedidos[Número Pedido Cliente],Controle_Pedidos[Prazo Entrega])</f>
        <v>45653</v>
      </c>
      <c r="F92" s="9" t="s">
        <v>19433</v>
      </c>
      <c r="G92" s="9" t="s">
        <v>37</v>
      </c>
      <c r="H92" s="55" t="s">
        <v>179</v>
      </c>
      <c r="I92" s="55" t="s">
        <v>178</v>
      </c>
      <c r="J92" s="55">
        <v>45638</v>
      </c>
      <c r="K92" s="52" t="s">
        <v>198</v>
      </c>
      <c r="L92" s="8" t="s">
        <v>124</v>
      </c>
      <c r="M92" s="8" t="s">
        <v>37</v>
      </c>
      <c r="N92" s="52" t="str">
        <f>IF(Follow[[#This Row],[DATAATUALIZAÇÃO]]&lt;=Follow[[#This Row],[Prev Entrega]],"Dentro do Prazo","Fora do Prazo")</f>
        <v>Dentro do Prazo</v>
      </c>
      <c r="O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Branco foi entregue no dia 12/12/2024, referente ao pedido Nº Pedido 461 Rastreio Pedido 461, agradecemos a preferência e adoraríamos receber sua avaliação, tendo qualquer dúvida estamos à disposição.
Att
Tem tudo Shop</v>
      </c>
    </row>
    <row r="93" spans="1:15">
      <c r="A93" s="52" t="str">
        <f>_xlfn.XLOOKUP(Follow[[#This Row],[CODRASTREIO]],Controle_Pedidos[Cód Rastreamento],Controle_Pedidos[Número Pedido Cliente])</f>
        <v>Pedido 288</v>
      </c>
      <c r="B93" s="2" t="s">
        <v>17723</v>
      </c>
      <c r="C93" s="2" t="str">
        <f>Follow[[#This Row],[CODRASTREIO]]&amp;" B"</f>
        <v>CódRastreio281 B</v>
      </c>
      <c r="D93" s="52" t="str">
        <f>_xlfn.XLOOKUP(Follow[[#This Row],[Id Pedido]],Controle_Pedidos[Número Pedido Cliente],Controle_Pedidos[Loja])</f>
        <v>BV</v>
      </c>
      <c r="E93" s="9">
        <f>_xlfn.XLOOKUP(Follow[[#This Row],[Id Pedido]],Controle_Pedidos[Número Pedido Cliente],Controle_Pedidos[Prazo Entrega])</f>
        <v>45622</v>
      </c>
      <c r="F93" s="9" t="s">
        <v>19433</v>
      </c>
      <c r="G93" s="9" t="s">
        <v>37</v>
      </c>
      <c r="H93" s="52" t="s">
        <v>178</v>
      </c>
      <c r="I93" s="52" t="s">
        <v>178</v>
      </c>
      <c r="J93" s="55">
        <v>45610</v>
      </c>
      <c r="K93" s="54" t="s">
        <v>198</v>
      </c>
      <c r="L93" s="8" t="s">
        <v>124</v>
      </c>
      <c r="M93" s="8" t="s">
        <v>37</v>
      </c>
      <c r="N93" s="52" t="str">
        <f>IF(Follow[[#This Row],[DATAATUALIZAÇÃO]]&lt;=Follow[[#This Row],[Prev Entrega]],"Dentro do Prazo","Fora do Prazo")</f>
        <v>Dentro do Prazo</v>
      </c>
      <c r="O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288 Rastreio Pedido 288, agradecemos a preferência e adoraríamos receber sua avaliação, tendo qualquer dúvida estamos à disposição.
Att
Tem tudo Shop</v>
      </c>
    </row>
    <row r="94" spans="1:15">
      <c r="A94" s="52" t="str">
        <f>_xlfn.XLOOKUP(Follow[[#This Row],[CODRASTREIO]],Controle_Pedidos[Cód Rastreamento],Controle_Pedidos[Número Pedido Cliente])</f>
        <v>Pedido 531</v>
      </c>
      <c r="B94" s="2" t="s">
        <v>17958</v>
      </c>
      <c r="C94" s="2" t="str">
        <f>Follow[[#This Row],[CODRASTREIO]]&amp;" B"</f>
        <v>CódRastreio516 B</v>
      </c>
      <c r="D94" s="52" t="str">
        <f>_xlfn.XLOOKUP(Follow[[#This Row],[Id Pedido]],Controle_Pedidos[Número Pedido Cliente],Controle_Pedidos[Loja])</f>
        <v>BV</v>
      </c>
      <c r="E94" s="9">
        <f>_xlfn.XLOOKUP(Follow[[#This Row],[Id Pedido]],Controle_Pedidos[Número Pedido Cliente],Controle_Pedidos[Prazo Entrega])</f>
        <v>45664</v>
      </c>
      <c r="F94" s="9" t="s">
        <v>19433</v>
      </c>
      <c r="G94" s="9" t="s">
        <v>37</v>
      </c>
      <c r="H94" s="52" t="s">
        <v>178</v>
      </c>
      <c r="I94" s="52" t="s">
        <v>178</v>
      </c>
      <c r="J94" s="55">
        <v>45645</v>
      </c>
      <c r="K94" s="52" t="s">
        <v>198</v>
      </c>
      <c r="L94" s="8" t="s">
        <v>124</v>
      </c>
      <c r="M94" s="8" t="s">
        <v>37</v>
      </c>
      <c r="N94" s="52" t="str">
        <f>IF(Follow[[#This Row],[DATAATUALIZAÇÃO]]&lt;=Follow[[#This Row],[Prev Entrega]],"Dentro do Prazo","Fora do Prazo")</f>
        <v>Dentro do Prazo</v>
      </c>
      <c r="O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19/12/2024, referente ao pedido Nº Pedido 531 Rastreio Pedido 531, agradecemos a preferência e adoraríamos receber sua avaliação, tendo qualquer dúvida estamos à disposição.
Att
Tem tudo Shop</v>
      </c>
    </row>
    <row r="95" spans="1:15">
      <c r="A95" s="52" t="str">
        <f>_xlfn.XLOOKUP(Follow[[#This Row],[CODRASTREIO]],Controle_Pedidos[Cód Rastreamento],Controle_Pedidos[Número Pedido Cliente])</f>
        <v>Pedido 276</v>
      </c>
      <c r="B95" s="2" t="s">
        <v>17711</v>
      </c>
      <c r="C95" s="2" t="str">
        <f>Follow[[#This Row],[CODRASTREIO]]&amp;" B"</f>
        <v>CódRastreio269 B</v>
      </c>
      <c r="D95" s="52" t="str">
        <f>_xlfn.XLOOKUP(Follow[[#This Row],[Id Pedido]],Controle_Pedidos[Número Pedido Cliente],Controle_Pedidos[Loja])</f>
        <v>BV</v>
      </c>
      <c r="E95" s="9">
        <f>_xlfn.XLOOKUP(Follow[[#This Row],[Id Pedido]],Controle_Pedidos[Número Pedido Cliente],Controle_Pedidos[Prazo Entrega])</f>
        <v>45622</v>
      </c>
      <c r="F95" s="9" t="s">
        <v>19433</v>
      </c>
      <c r="G95" s="9" t="s">
        <v>37</v>
      </c>
      <c r="H95" s="52" t="s">
        <v>178</v>
      </c>
      <c r="I95" s="52" t="s">
        <v>178</v>
      </c>
      <c r="J95" s="55">
        <v>45612</v>
      </c>
      <c r="K95" s="54" t="s">
        <v>198</v>
      </c>
      <c r="L95" s="8" t="s">
        <v>124</v>
      </c>
      <c r="M95" s="8" t="s">
        <v>37</v>
      </c>
      <c r="N95" s="52" t="str">
        <f>IF(Follow[[#This Row],[DATAATUALIZAÇÃO]]&lt;=Follow[[#This Row],[Prev Entrega]],"Dentro do Prazo","Fora do Prazo")</f>
        <v>Dentro do Prazo</v>
      </c>
      <c r="O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16/11/2024, referente ao pedido Nº Pedido 276 Rastreio Pedido 276, agradecemos a preferência e adoraríamos receber sua avaliação, tendo qualquer dúvida estamos à disposição.
Att
Tem tudo Shop</v>
      </c>
    </row>
    <row r="96" spans="1:15">
      <c r="A96" s="52" t="str">
        <f>_xlfn.XLOOKUP(Follow[[#This Row],[CODRASTREIO]],Controle_Pedidos[Cód Rastreamento],Controle_Pedidos[Número Pedido Cliente])</f>
        <v>Pedido 332</v>
      </c>
      <c r="B96" s="2" t="s">
        <v>17767</v>
      </c>
      <c r="C96" s="2" t="str">
        <f>Follow[[#This Row],[CODRASTREIO]]&amp;" B"</f>
        <v>CódRastreio325 B</v>
      </c>
      <c r="D96" s="52" t="str">
        <f>_xlfn.XLOOKUP(Follow[[#This Row],[Id Pedido]],Controle_Pedidos[Número Pedido Cliente],Controle_Pedidos[Loja])</f>
        <v>BV</v>
      </c>
      <c r="E96" s="9">
        <f>_xlfn.XLOOKUP(Follow[[#This Row],[Id Pedido]],Controle_Pedidos[Número Pedido Cliente],Controle_Pedidos[Prazo Entrega])</f>
        <v>45629</v>
      </c>
      <c r="F96" s="9" t="s">
        <v>19433</v>
      </c>
      <c r="G96" s="9" t="s">
        <v>37</v>
      </c>
      <c r="H96" s="52" t="s">
        <v>178</v>
      </c>
      <c r="I96" s="52" t="s">
        <v>178</v>
      </c>
      <c r="J96" s="55">
        <v>45612</v>
      </c>
      <c r="K96" s="54" t="s">
        <v>198</v>
      </c>
      <c r="L96" s="8" t="s">
        <v>124</v>
      </c>
      <c r="M96" s="8" t="s">
        <v>37</v>
      </c>
      <c r="N96" s="52" t="str">
        <f>IF(Follow[[#This Row],[DATAATUALIZAÇÃO]]&lt;=Follow[[#This Row],[Prev Entrega]],"Dentro do Prazo","Fora do Prazo")</f>
        <v>Dentro do Prazo</v>
      </c>
      <c r="O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16/11/2024, referente ao pedido Nº Pedido 332 Rastreio Pedido 332, agradecemos a preferência e adoraríamos receber sua avaliação, tendo qualquer dúvida estamos à disposição.
Att
Tem tudo Shop</v>
      </c>
    </row>
    <row r="97" spans="1:15">
      <c r="A97" s="52" t="str">
        <f>_xlfn.XLOOKUP(Follow[[#This Row],[CODRASTREIO]],Controle_Pedidos[Cód Rastreamento],Controle_Pedidos[Número Pedido Cliente])</f>
        <v>Pedido 462</v>
      </c>
      <c r="B97" s="2" t="s">
        <v>17889</v>
      </c>
      <c r="C97" s="2" t="str">
        <f>Follow[[#This Row],[CODRASTREIO]]&amp;" B"</f>
        <v>CódRastreio447 B</v>
      </c>
      <c r="D97" s="52" t="str">
        <f>_xlfn.XLOOKUP(Follow[[#This Row],[Id Pedido]],Controle_Pedidos[Número Pedido Cliente],Controle_Pedidos[Loja])</f>
        <v>BV</v>
      </c>
      <c r="E97" s="9">
        <f>_xlfn.XLOOKUP(Follow[[#This Row],[Id Pedido]],Controle_Pedidos[Número Pedido Cliente],Controle_Pedidos[Prazo Entrega])</f>
        <v>45643</v>
      </c>
      <c r="F97" s="9" t="s">
        <v>19433</v>
      </c>
      <c r="G97" s="9" t="s">
        <v>37</v>
      </c>
      <c r="H97" s="55" t="s">
        <v>178</v>
      </c>
      <c r="I97" s="55" t="s">
        <v>178</v>
      </c>
      <c r="J97" s="55">
        <v>45631.943240740744</v>
      </c>
      <c r="K97" s="54" t="s">
        <v>198</v>
      </c>
      <c r="L97" s="8" t="s">
        <v>124</v>
      </c>
      <c r="M97" s="8" t="s">
        <v>37</v>
      </c>
      <c r="N97" s="52" t="str">
        <f>IF(Follow[[#This Row],[DATAATUALIZAÇÃO]]&lt;=Follow[[#This Row],[Prev Entrega]],"Dentro do Prazo","Fora do Prazo")</f>
        <v>Dentro do Prazo</v>
      </c>
      <c r="O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05/12/2024, referente ao pedido Nº Pedido 462 Rastreio Pedido 462, agradecemos a preferência e adoraríamos receber sua avaliação, tendo qualquer dúvida estamos à disposição.
Att
Tem tudo Shop</v>
      </c>
    </row>
    <row r="98" spans="1:15">
      <c r="A98" s="52" t="str">
        <f>_xlfn.XLOOKUP(Follow[[#This Row],[CODRASTREIO]],Controle_Pedidos[Cód Rastreamento],Controle_Pedidos[Número Pedido Cliente])</f>
        <v>Pedido 110</v>
      </c>
      <c r="B98" s="2" t="s">
        <v>17545</v>
      </c>
      <c r="C98" s="2" t="str">
        <f>Follow[[#This Row],[CODRASTREIO]]&amp;" B"</f>
        <v>CódRastreio103 B</v>
      </c>
      <c r="D98" s="52" t="str">
        <f>_xlfn.XLOOKUP(Follow[[#This Row],[Id Pedido]],Controle_Pedidos[Número Pedido Cliente],Controle_Pedidos[Loja])</f>
        <v>BV</v>
      </c>
      <c r="E98" s="9">
        <f>_xlfn.XLOOKUP(Follow[[#This Row],[Id Pedido]],Controle_Pedidos[Número Pedido Cliente],Controle_Pedidos[Prazo Entrega])</f>
        <v>45610</v>
      </c>
      <c r="F98" s="9" t="s">
        <v>19433</v>
      </c>
      <c r="G98" s="9" t="s">
        <v>37</v>
      </c>
      <c r="H98" s="52" t="s">
        <v>178</v>
      </c>
      <c r="I98" s="52" t="s">
        <v>178</v>
      </c>
      <c r="J98" s="55">
        <v>45596</v>
      </c>
      <c r="K98" s="54" t="s">
        <v>198</v>
      </c>
      <c r="L98" s="8" t="s">
        <v>124</v>
      </c>
      <c r="M98" s="8" t="s">
        <v>37</v>
      </c>
      <c r="N98" s="52" t="str">
        <f>IF(Follow[[#This Row],[DATAATUALIZAÇÃO]]&lt;=Follow[[#This Row],[Prev Entrega]],"Dentro do Prazo","Fora do Prazo")</f>
        <v>Dentro do Prazo</v>
      </c>
      <c r="O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31/10/2024, referente ao pedido Nº Pedido 110 Rastreio Pedido 110, agradecemos a preferência e adoraríamos receber sua avaliação, tendo qualquer dúvida estamos à disposição.
Att
Tem tudo Shop</v>
      </c>
    </row>
    <row r="99" spans="1:15">
      <c r="A99" s="52" t="str">
        <f>_xlfn.XLOOKUP(Follow[[#This Row],[CODRASTREIO]],Controle_Pedidos[Cód Rastreamento],Controle_Pedidos[Número Pedido Cliente])</f>
        <v>Pedido 546</v>
      </c>
      <c r="B99" s="2" t="s">
        <v>17973</v>
      </c>
      <c r="C99" s="2" t="str">
        <f>Follow[[#This Row],[CODRASTREIO]]&amp;" B"</f>
        <v>CódRastreio531 B</v>
      </c>
      <c r="D99" s="52" t="str">
        <f>_xlfn.XLOOKUP(Follow[[#This Row],[Id Pedido]],Controle_Pedidos[Número Pedido Cliente],Controle_Pedidos[Loja])</f>
        <v>BV</v>
      </c>
      <c r="E99" s="9">
        <f>_xlfn.XLOOKUP(Follow[[#This Row],[Id Pedido]],Controle_Pedidos[Número Pedido Cliente],Controle_Pedidos[Prazo Entrega])</f>
        <v>45661</v>
      </c>
      <c r="F99" s="9" t="s">
        <v>19433</v>
      </c>
      <c r="G99" s="9" t="s">
        <v>37</v>
      </c>
      <c r="H99" s="52" t="s">
        <v>178</v>
      </c>
      <c r="I99" s="52" t="s">
        <v>178</v>
      </c>
      <c r="J99" s="55">
        <v>45644</v>
      </c>
      <c r="K99" s="52" t="s">
        <v>198</v>
      </c>
      <c r="L99" s="8" t="s">
        <v>124</v>
      </c>
      <c r="M99" s="8" t="s">
        <v>37</v>
      </c>
      <c r="N99" s="52" t="str">
        <f>IF(Follow[[#This Row],[DATAATUALIZAÇÃO]]&lt;=Follow[[#This Row],[Prev Entrega]],"Dentro do Prazo","Fora do Prazo")</f>
        <v>Dentro do Prazo</v>
      </c>
      <c r="O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18/12/2024, referente ao pedido Nº Pedido 546 Rastreio Pedido 546, agradecemos a preferência e adoraríamos receber sua avaliação, tendo qualquer dúvida estamos à disposição.
Att
Tem tudo Shop</v>
      </c>
    </row>
    <row r="100" spans="1:15">
      <c r="A100" s="52" t="str">
        <f>_xlfn.XLOOKUP(Follow[[#This Row],[CODRASTREIO]],Controle_Pedidos[Cód Rastreamento],Controle_Pedidos[Número Pedido Cliente])</f>
        <v>Pedido 262</v>
      </c>
      <c r="B100" s="2" t="s">
        <v>17697</v>
      </c>
      <c r="C100" s="2" t="str">
        <f>Follow[[#This Row],[CODRASTREIO]]&amp;" B"</f>
        <v>CódRastreio255 B</v>
      </c>
      <c r="D100" s="52" t="str">
        <f>_xlfn.XLOOKUP(Follow[[#This Row],[Id Pedido]],Controle_Pedidos[Número Pedido Cliente],Controle_Pedidos[Loja])</f>
        <v>BV</v>
      </c>
      <c r="E100" s="9">
        <f>_xlfn.XLOOKUP(Follow[[#This Row],[Id Pedido]],Controle_Pedidos[Número Pedido Cliente],Controle_Pedidos[Prazo Entrega])</f>
        <v>45623</v>
      </c>
      <c r="F100" s="9" t="s">
        <v>19433</v>
      </c>
      <c r="G100" s="9" t="s">
        <v>37</v>
      </c>
      <c r="H100" s="52" t="s">
        <v>179</v>
      </c>
      <c r="I100" s="52" t="s">
        <v>178</v>
      </c>
      <c r="J100" s="55">
        <v>45609</v>
      </c>
      <c r="K100" s="54" t="s">
        <v>198</v>
      </c>
      <c r="L100" s="8" t="s">
        <v>124</v>
      </c>
      <c r="M100" s="8" t="s">
        <v>37</v>
      </c>
      <c r="N100" s="52" t="str">
        <f>IF(Follow[[#This Row],[DATAATUALIZAÇÃO]]&lt;=Follow[[#This Row],[Prev Entrega]],"Dentro do Prazo","Fora do Prazo")</f>
        <v>Dentro do Prazo</v>
      </c>
      <c r="O1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13/11/2024, referente ao pedido Nº Pedido 262 Rastreio Pedido 262, agradecemos a preferência e adoraríamos receber sua avaliação, tendo qualquer dúvida estamos à disposição.
Att
Tem tudo Shop</v>
      </c>
    </row>
    <row r="101" spans="1:15">
      <c r="A101" s="52" t="str">
        <f>_xlfn.XLOOKUP(Follow[[#This Row],[CODRASTREIO]],Controle_Pedidos[Cód Rastreamento],Controle_Pedidos[Número Pedido Cliente])</f>
        <v>Pedido 385</v>
      </c>
      <c r="B101" s="2" t="s">
        <v>17817</v>
      </c>
      <c r="C101" s="2" t="str">
        <f>Follow[[#This Row],[CODRASTREIO]]&amp;" B"</f>
        <v>CódRastreio375 B</v>
      </c>
      <c r="D101" s="52" t="str">
        <f>_xlfn.XLOOKUP(Follow[[#This Row],[Id Pedido]],Controle_Pedidos[Número Pedido Cliente],Controle_Pedidos[Loja])</f>
        <v>BV</v>
      </c>
      <c r="E101" s="9">
        <f>_xlfn.XLOOKUP(Follow[[#This Row],[Id Pedido]],Controle_Pedidos[Número Pedido Cliente],Controle_Pedidos[Prazo Entrega])</f>
        <v>45636</v>
      </c>
      <c r="F101" s="9" t="s">
        <v>19433</v>
      </c>
      <c r="G101" s="9" t="s">
        <v>37</v>
      </c>
      <c r="H101" s="52" t="s">
        <v>179</v>
      </c>
      <c r="I101" s="52" t="s">
        <v>178</v>
      </c>
      <c r="J101" s="55">
        <v>45625</v>
      </c>
      <c r="K101" s="54" t="s">
        <v>198</v>
      </c>
      <c r="L101" s="8" t="s">
        <v>124</v>
      </c>
      <c r="M101" s="8" t="s">
        <v>37</v>
      </c>
      <c r="N101" s="52" t="str">
        <f>IF(Follow[[#This Row],[DATAATUALIZAÇÃO]]&lt;=Follow[[#This Row],[Prev Entrega]],"Dentro do Prazo","Fora do Prazo")</f>
        <v>Dentro do Prazo</v>
      </c>
      <c r="O1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29/11/2024, referente ao pedido Nº Pedido 385 Rastreio Pedido 385, agradecemos a preferência e adoraríamos receber sua avaliação, tendo qualquer dúvida estamos à disposição.
Att
Tem tudo Shop</v>
      </c>
    </row>
    <row r="102" spans="1:15">
      <c r="A102" s="52" t="str">
        <f>_xlfn.XLOOKUP(Follow[[#This Row],[CODRASTREIO]],Controle_Pedidos[Cód Rastreamento],Controle_Pedidos[Número Pedido Cliente])</f>
        <v>Pedido 226</v>
      </c>
      <c r="B102" s="2" t="s">
        <v>17661</v>
      </c>
      <c r="C102" s="2" t="str">
        <f>Follow[[#This Row],[CODRASTREIO]]&amp;" B"</f>
        <v>CódRastreio219 B</v>
      </c>
      <c r="D102" s="52" t="str">
        <f>_xlfn.XLOOKUP(Follow[[#This Row],[Id Pedido]],Controle_Pedidos[Número Pedido Cliente],Controle_Pedidos[Loja])</f>
        <v>BV</v>
      </c>
      <c r="E102" s="9">
        <f>_xlfn.XLOOKUP(Follow[[#This Row],[Id Pedido]],Controle_Pedidos[Número Pedido Cliente],Controle_Pedidos[Prazo Entrega])</f>
        <v>45615</v>
      </c>
      <c r="F102" s="9" t="s">
        <v>19433</v>
      </c>
      <c r="G102" s="9" t="s">
        <v>37</v>
      </c>
      <c r="H102" s="52" t="s">
        <v>178</v>
      </c>
      <c r="I102" s="52" t="s">
        <v>178</v>
      </c>
      <c r="J102" s="55">
        <v>45610</v>
      </c>
      <c r="K102" s="54" t="s">
        <v>198</v>
      </c>
      <c r="L102" s="8" t="s">
        <v>124</v>
      </c>
      <c r="M102" s="8" t="s">
        <v>37</v>
      </c>
      <c r="N102" s="52" t="str">
        <f>IF(Follow[[#This Row],[DATAATUALIZAÇÃO]]&lt;=Follow[[#This Row],[Prev Entrega]],"Dentro do Prazo","Fora do Prazo")</f>
        <v>Dentro do Prazo</v>
      </c>
      <c r="O1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226 Rastreio Pedido 226, agradecemos a preferência e adoraríamos receber sua avaliação, tendo qualquer dúvida estamos à disposição.
Att
Tem tudo Shop</v>
      </c>
    </row>
    <row r="103" spans="1:15">
      <c r="A103" s="52" t="str">
        <f>_xlfn.XLOOKUP(Follow[[#This Row],[CODRASTREIO]],Controle_Pedidos[Cód Rastreamento],Controle_Pedidos[Número Pedido Cliente])</f>
        <v>Pedido 206</v>
      </c>
      <c r="B103" s="2" t="s">
        <v>17641</v>
      </c>
      <c r="C103" s="2" t="str">
        <f>Follow[[#This Row],[CODRASTREIO]]&amp;" B"</f>
        <v>CódRastreio199 B</v>
      </c>
      <c r="D103" s="52" t="str">
        <f>_xlfn.XLOOKUP(Follow[[#This Row],[Id Pedido]],Controle_Pedidos[Número Pedido Cliente],Controle_Pedidos[Loja])</f>
        <v>BV</v>
      </c>
      <c r="E103" s="9">
        <f>_xlfn.XLOOKUP(Follow[[#This Row],[Id Pedido]],Controle_Pedidos[Número Pedido Cliente],Controle_Pedidos[Prazo Entrega])</f>
        <v>45626</v>
      </c>
      <c r="F103" s="9" t="s">
        <v>19433</v>
      </c>
      <c r="G103" s="9" t="s">
        <v>37</v>
      </c>
      <c r="H103" s="52" t="s">
        <v>178</v>
      </c>
      <c r="I103" s="52" t="s">
        <v>178</v>
      </c>
      <c r="J103" s="55">
        <v>45608</v>
      </c>
      <c r="K103" s="54" t="s">
        <v>198</v>
      </c>
      <c r="L103" s="8" t="s">
        <v>124</v>
      </c>
      <c r="M103" s="8" t="s">
        <v>37</v>
      </c>
      <c r="N103" s="52" t="str">
        <f>IF(Follow[[#This Row],[DATAATUALIZAÇÃO]]&lt;=Follow[[#This Row],[Prev Entrega]],"Dentro do Prazo","Fora do Prazo")</f>
        <v>Dentro do Prazo</v>
      </c>
      <c r="O1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12/11/2024, referente ao pedido Nº Pedido 206 Rastreio Pedido 206, agradecemos a preferência e adoraríamos receber sua avaliação, tendo qualquer dúvida estamos à disposição.
Att
Tem tudo Shop</v>
      </c>
    </row>
    <row r="104" spans="1:15">
      <c r="A104" s="52" t="str">
        <f>_xlfn.XLOOKUP(Follow[[#This Row],[CODRASTREIO]],Controle_Pedidos[Cód Rastreamento],Controle_Pedidos[Número Pedido Cliente])</f>
        <v>Pedido 331</v>
      </c>
      <c r="B104" s="2" t="s">
        <v>17766</v>
      </c>
      <c r="C104" s="2" t="str">
        <f>Follow[[#This Row],[CODRASTREIO]]&amp;" B"</f>
        <v>CódRastreio324 B</v>
      </c>
      <c r="D104" s="52" t="str">
        <f>_xlfn.XLOOKUP(Follow[[#This Row],[Id Pedido]],Controle_Pedidos[Número Pedido Cliente],Controle_Pedidos[Loja])</f>
        <v>BV</v>
      </c>
      <c r="E104" s="9">
        <f>_xlfn.XLOOKUP(Follow[[#This Row],[Id Pedido]],Controle_Pedidos[Número Pedido Cliente],Controle_Pedidos[Prazo Entrega])</f>
        <v>45629</v>
      </c>
      <c r="F104" s="9" t="s">
        <v>19433</v>
      </c>
      <c r="G104" s="9" t="s">
        <v>37</v>
      </c>
      <c r="H104" s="52" t="s">
        <v>179</v>
      </c>
      <c r="I104" s="52" t="s">
        <v>178</v>
      </c>
      <c r="J104" s="55">
        <v>45624</v>
      </c>
      <c r="K104" s="54" t="s">
        <v>198</v>
      </c>
      <c r="L104" s="8" t="s">
        <v>124</v>
      </c>
      <c r="M104" s="8" t="s">
        <v>37</v>
      </c>
      <c r="N104" s="52" t="str">
        <f>IF(Follow[[#This Row],[DATAATUALIZAÇÃO]]&lt;=Follow[[#This Row],[Prev Entrega]],"Dentro do Prazo","Fora do Prazo")</f>
        <v>Dentro do Prazo</v>
      </c>
      <c r="O1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28/11/2024, referente ao pedido Nº Pedido 331 Rastreio Pedido 331, agradecemos a preferência e adoraríamos receber sua avaliação, tendo qualquer dúvida estamos à disposição.
Att
Tem tudo Shop</v>
      </c>
    </row>
    <row r="105" spans="1:15">
      <c r="A105" s="52" t="str">
        <f>_xlfn.XLOOKUP(Follow[[#This Row],[CODRASTREIO]],Controle_Pedidos[Cód Rastreamento],Controle_Pedidos[Número Pedido Cliente])</f>
        <v>Pedido 575</v>
      </c>
      <c r="B105" s="2" t="s">
        <v>18002</v>
      </c>
      <c r="C105" s="2" t="str">
        <f>Follow[[#This Row],[CODRASTREIO]]&amp;" B"</f>
        <v>CódRastreio560 B</v>
      </c>
      <c r="D105" s="52" t="str">
        <f>_xlfn.XLOOKUP(Follow[[#This Row],[Id Pedido]],Controle_Pedidos[Número Pedido Cliente],Controle_Pedidos[Loja])</f>
        <v>BV</v>
      </c>
      <c r="E105" s="9">
        <f>_xlfn.XLOOKUP(Follow[[#This Row],[Id Pedido]],Controle_Pedidos[Número Pedido Cliente],Controle_Pedidos[Prazo Entrega])</f>
        <v>45666</v>
      </c>
      <c r="F105" s="9" t="s">
        <v>19433</v>
      </c>
      <c r="G105" s="9" t="s">
        <v>37</v>
      </c>
      <c r="H105" s="52" t="s">
        <v>179</v>
      </c>
      <c r="I105" s="52" t="s">
        <v>178</v>
      </c>
      <c r="J105" s="55">
        <v>45653</v>
      </c>
      <c r="K105" s="52" t="s">
        <v>198</v>
      </c>
      <c r="L105" s="8" t="s">
        <v>124</v>
      </c>
      <c r="M105" s="8" t="s">
        <v>37</v>
      </c>
      <c r="N105" s="52" t="str">
        <f>IF(Follow[[#This Row],[DATAATUALIZAÇÃO]]&lt;=Follow[[#This Row],[Prev Entrega]],"Dentro do Prazo","Fora do Prazo")</f>
        <v>Dentro do Prazo</v>
      </c>
      <c r="O1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27/12/2024, referente ao pedido Nº Pedido 575 Rastreio Pedido 575, agradecemos a preferência e adoraríamos receber sua avaliação, tendo qualquer dúvida estamos à disposição.
Att
Tem tudo Shop</v>
      </c>
    </row>
    <row r="106" spans="1:15">
      <c r="A106" s="52" t="str">
        <f>_xlfn.XLOOKUP(Follow[[#This Row],[CODRASTREIO]],Controle_Pedidos[Cód Rastreamento],Controle_Pedidos[Número Pedido Cliente])</f>
        <v>Pedido 304</v>
      </c>
      <c r="B106" s="2" t="s">
        <v>17739</v>
      </c>
      <c r="C106" s="2" t="str">
        <f>Follow[[#This Row],[CODRASTREIO]]&amp;" B"</f>
        <v>CódRastreio297 B</v>
      </c>
      <c r="D106" s="52" t="str">
        <f>_xlfn.XLOOKUP(Follow[[#This Row],[Id Pedido]],Controle_Pedidos[Número Pedido Cliente],Controle_Pedidos[Loja])</f>
        <v>BV</v>
      </c>
      <c r="E106" s="9">
        <f>_xlfn.XLOOKUP(Follow[[#This Row],[Id Pedido]],Controle_Pedidos[Número Pedido Cliente],Controle_Pedidos[Prazo Entrega])</f>
        <v>45632</v>
      </c>
      <c r="F106" s="9" t="s">
        <v>19433</v>
      </c>
      <c r="G106" s="9" t="s">
        <v>37</v>
      </c>
      <c r="H106" s="52" t="s">
        <v>178</v>
      </c>
      <c r="I106" s="52" t="s">
        <v>178</v>
      </c>
      <c r="J106" s="55">
        <v>45611</v>
      </c>
      <c r="K106" s="54" t="s">
        <v>198</v>
      </c>
      <c r="L106" s="8" t="s">
        <v>124</v>
      </c>
      <c r="M106" s="8" t="s">
        <v>37</v>
      </c>
      <c r="N106" s="52" t="str">
        <f>IF(Follow[[#This Row],[DATAATUALIZAÇÃO]]&lt;=Follow[[#This Row],[Prev Entrega]],"Dentro do Prazo","Fora do Prazo")</f>
        <v>Dentro do Prazo</v>
      </c>
      <c r="O1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15/11/2024, referente ao pedido Nº Pedido 304 Rastreio Pedido 304, agradecemos a preferência e adoraríamos receber sua avaliação, tendo qualquer dúvida estamos à disposição.
Att
Tem tudo Shop</v>
      </c>
    </row>
    <row r="107" spans="1:15">
      <c r="A107" s="52" t="str">
        <f>_xlfn.XLOOKUP(Follow[[#This Row],[CODRASTREIO]],Controle_Pedidos[Cód Rastreamento],Controle_Pedidos[Número Pedido Cliente])</f>
        <v>Pedido 658</v>
      </c>
      <c r="B107" s="2" t="s">
        <v>18080</v>
      </c>
      <c r="C107" s="2" t="str">
        <f>Follow[[#This Row],[CODRASTREIO]]&amp;" B"</f>
        <v>CódRastreio638 B</v>
      </c>
      <c r="D107" s="52" t="str">
        <f>_xlfn.XLOOKUP(Follow[[#This Row],[Id Pedido]],Controle_Pedidos[Número Pedido Cliente],Controle_Pedidos[Loja])</f>
        <v>BV</v>
      </c>
      <c r="E107" s="9">
        <f>_xlfn.XLOOKUP(Follow[[#This Row],[Id Pedido]],Controle_Pedidos[Número Pedido Cliente],Controle_Pedidos[Prazo Entrega])</f>
        <v>45685</v>
      </c>
      <c r="F107" s="9" t="s">
        <v>19433</v>
      </c>
      <c r="G107" s="9" t="s">
        <v>37</v>
      </c>
      <c r="H107" s="52" t="s">
        <v>179</v>
      </c>
      <c r="I107" s="52" t="s">
        <v>178</v>
      </c>
      <c r="J107" s="55">
        <v>45665</v>
      </c>
      <c r="K107" s="52" t="s">
        <v>198</v>
      </c>
      <c r="L107" s="8" t="s">
        <v>124</v>
      </c>
      <c r="M107" s="8" t="s">
        <v>37</v>
      </c>
      <c r="N107" s="52" t="str">
        <f>IF(Follow[[#This Row],[DATAATUALIZAÇÃO]]&lt;=Follow[[#This Row],[Prev Entrega]],"Dentro do Prazo","Fora do Prazo")</f>
        <v>Dentro do Prazo</v>
      </c>
      <c r="O1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658 Rastreio Pedido 658, agradecemos a preferência e adoraríamos receber sua avaliação, tendo qualquer dúvida estamos à disposição.
Att
Tem tudo Shop</v>
      </c>
    </row>
    <row r="108" spans="1:15">
      <c r="A108" s="52" t="str">
        <f>_xlfn.XLOOKUP(Follow[[#This Row],[CODRASTREIO]],Controle_Pedidos[Cód Rastreamento],Controle_Pedidos[Número Pedido Cliente])</f>
        <v>Pedido 581</v>
      </c>
      <c r="B108" s="2" t="s">
        <v>18008</v>
      </c>
      <c r="C108" s="2" t="str">
        <f>Follow[[#This Row],[CODRASTREIO]]&amp;" B"</f>
        <v>CódRastreio566 B</v>
      </c>
      <c r="D108" s="52" t="str">
        <f>_xlfn.XLOOKUP(Follow[[#This Row],[Id Pedido]],Controle_Pedidos[Número Pedido Cliente],Controle_Pedidos[Loja])</f>
        <v>BV</v>
      </c>
      <c r="E108" s="9">
        <f>_xlfn.XLOOKUP(Follow[[#This Row],[Id Pedido]],Controle_Pedidos[Número Pedido Cliente],Controle_Pedidos[Prazo Entrega])</f>
        <v>45667</v>
      </c>
      <c r="F108" s="9" t="s">
        <v>19433</v>
      </c>
      <c r="G108" s="9" t="s">
        <v>37</v>
      </c>
      <c r="H108" s="52" t="s">
        <v>179</v>
      </c>
      <c r="I108" s="52" t="s">
        <v>178</v>
      </c>
      <c r="J108" s="55">
        <v>45659</v>
      </c>
      <c r="K108" s="52" t="s">
        <v>198</v>
      </c>
      <c r="L108" s="8" t="s">
        <v>124</v>
      </c>
      <c r="M108" s="8" t="s">
        <v>37</v>
      </c>
      <c r="N108" s="52" t="str">
        <f>IF(Follow[[#This Row],[DATAATUALIZAÇÃO]]&lt;=Follow[[#This Row],[Prev Entrega]],"Dentro do Prazo","Fora do Prazo")</f>
        <v>Dentro do Prazo</v>
      </c>
      <c r="O1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02/01/2025, referente ao pedido Nº Pedido 581 Rastreio Pedido 581, agradecemos a preferência e adoraríamos receber sua avaliação, tendo qualquer dúvida estamos à disposição.
Att
Tem tudo Shop</v>
      </c>
    </row>
    <row r="109" spans="1:15">
      <c r="A109" s="52" t="str">
        <f>_xlfn.XLOOKUP(Follow[[#This Row],[CODRASTREIO]],Controle_Pedidos[Cód Rastreamento],Controle_Pedidos[Número Pedido Cliente])</f>
        <v>Pedido 85</v>
      </c>
      <c r="B109" s="2" t="s">
        <v>17520</v>
      </c>
      <c r="C109" s="2" t="str">
        <f>Follow[[#This Row],[CODRASTREIO]]&amp;" B"</f>
        <v>CódRastreio78 B</v>
      </c>
      <c r="D109" s="52" t="str">
        <f>_xlfn.XLOOKUP(Follow[[#This Row],[Id Pedido]],Controle_Pedidos[Número Pedido Cliente],Controle_Pedidos[Loja])</f>
        <v>BV</v>
      </c>
      <c r="E109" s="9">
        <f>_xlfn.XLOOKUP(Follow[[#This Row],[Id Pedido]],Controle_Pedidos[Número Pedido Cliente],Controle_Pedidos[Prazo Entrega])</f>
        <v>45610</v>
      </c>
      <c r="F109" s="9" t="s">
        <v>19433</v>
      </c>
      <c r="G109" s="9" t="s">
        <v>37</v>
      </c>
      <c r="H109" s="52" t="s">
        <v>178</v>
      </c>
      <c r="I109" s="52" t="s">
        <v>178</v>
      </c>
      <c r="J109" s="55">
        <v>45596</v>
      </c>
      <c r="K109" s="54" t="s">
        <v>198</v>
      </c>
      <c r="L109" s="8" t="s">
        <v>124</v>
      </c>
      <c r="M109" s="8" t="s">
        <v>37</v>
      </c>
      <c r="N109" s="52" t="str">
        <f>IF(Follow[[#This Row],[DATAATUALIZAÇÃO]]&lt;=Follow[[#This Row],[Prev Entrega]],"Dentro do Prazo","Fora do Prazo")</f>
        <v>Dentro do Prazo</v>
      </c>
      <c r="O1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85 Rastreio Pedido 85, agradecemos a preferência e adoraríamos receber sua avaliação, tendo qualquer dúvida estamos à disposição.
Att
Tem tudo Shop</v>
      </c>
    </row>
    <row r="110" spans="1:15">
      <c r="A110" s="52" t="str">
        <f>_xlfn.XLOOKUP(Follow[[#This Row],[CODRASTREIO]],Controle_Pedidos[Cód Rastreamento],Controle_Pedidos[Número Pedido Cliente])</f>
        <v>Pedido 58</v>
      </c>
      <c r="B110" s="2" t="s">
        <v>17491</v>
      </c>
      <c r="C110" s="2" t="str">
        <f>Follow[[#This Row],[CODRASTREIO]]&amp;" B"</f>
        <v>CódRastreio49 B</v>
      </c>
      <c r="D110" s="52" t="str">
        <f>_xlfn.XLOOKUP(Follow[[#This Row],[Id Pedido]],Controle_Pedidos[Número Pedido Cliente],Controle_Pedidos[Loja])</f>
        <v>BV</v>
      </c>
      <c r="E110" s="9">
        <f>_xlfn.XLOOKUP(Follow[[#This Row],[Id Pedido]],Controle_Pedidos[Número Pedido Cliente],Controle_Pedidos[Prazo Entrega])</f>
        <v>45602</v>
      </c>
      <c r="F110" s="9" t="s">
        <v>19433</v>
      </c>
      <c r="G110" s="9" t="s">
        <v>37</v>
      </c>
      <c r="H110" s="52" t="s">
        <v>178</v>
      </c>
      <c r="I110" s="52" t="s">
        <v>178</v>
      </c>
      <c r="J110" s="55">
        <v>45595</v>
      </c>
      <c r="K110" s="54" t="s">
        <v>198</v>
      </c>
      <c r="L110" s="8" t="s">
        <v>124</v>
      </c>
      <c r="M110" s="8" t="s">
        <v>37</v>
      </c>
      <c r="N110" s="52" t="str">
        <f>IF(Follow[[#This Row],[DATAATUALIZAÇÃO]]&lt;=Follow[[#This Row],[Prev Entrega]],"Dentro do Prazo","Fora do Prazo")</f>
        <v>Dentro do Prazo</v>
      </c>
      <c r="O1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30/10/2024, referente ao pedido Nº Pedido 58 Rastreio Pedido 58, agradecemos a preferência e adoraríamos receber sua avaliação, tendo qualquer dúvida estamos à disposição.
Att
Tem tudo Shop</v>
      </c>
    </row>
    <row r="111" spans="1:15">
      <c r="A111" s="52" t="str">
        <f>_xlfn.XLOOKUP(Follow[[#This Row],[CODRASTREIO]],Controle_Pedidos[Cód Rastreamento],Controle_Pedidos[Número Pedido Cliente])</f>
        <v>Pedido 366</v>
      </c>
      <c r="B111" s="2" t="s">
        <v>17798</v>
      </c>
      <c r="C111" s="2" t="str">
        <f>Follow[[#This Row],[CODRASTREIO]]&amp;" B"</f>
        <v>CódRastreio356 B</v>
      </c>
      <c r="D111" s="52" t="str">
        <f>_xlfn.XLOOKUP(Follow[[#This Row],[Id Pedido]],Controle_Pedidos[Número Pedido Cliente],Controle_Pedidos[Loja])</f>
        <v>BV</v>
      </c>
      <c r="E111" s="9">
        <f>_xlfn.XLOOKUP(Follow[[#This Row],[Id Pedido]],Controle_Pedidos[Número Pedido Cliente],Controle_Pedidos[Prazo Entrega])</f>
        <v>45632</v>
      </c>
      <c r="F111" s="9" t="s">
        <v>19433</v>
      </c>
      <c r="G111" s="9" t="s">
        <v>37</v>
      </c>
      <c r="H111" s="52" t="s">
        <v>178</v>
      </c>
      <c r="I111" s="52" t="s">
        <v>178</v>
      </c>
      <c r="J111" s="55">
        <v>45623</v>
      </c>
      <c r="K111" s="54" t="s">
        <v>198</v>
      </c>
      <c r="L111" s="8" t="s">
        <v>124</v>
      </c>
      <c r="M111" s="8" t="s">
        <v>37</v>
      </c>
      <c r="N111" s="52" t="str">
        <f>IF(Follow[[#This Row],[DATAATUALIZAÇÃO]]&lt;=Follow[[#This Row],[Prev Entrega]],"Dentro do Prazo","Fora do Prazo")</f>
        <v>Dentro do Prazo</v>
      </c>
      <c r="O1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27/11/2024, referente ao pedido Nº Pedido 366 Rastreio Pedido 366, agradecemos a preferência e adoraríamos receber sua avaliação, tendo qualquer dúvida estamos à disposição.
Att
Tem tudo Shop</v>
      </c>
    </row>
    <row r="112" spans="1:15">
      <c r="A112" s="52" t="str">
        <f>_xlfn.XLOOKUP(Follow[[#This Row],[CODRASTREIO]],Controle_Pedidos[Cód Rastreamento],Controle_Pedidos[Número Pedido Cliente])</f>
        <v>Pedido 238</v>
      </c>
      <c r="B112" s="2" t="s">
        <v>17673</v>
      </c>
      <c r="C112" s="2" t="str">
        <f>Follow[[#This Row],[CODRASTREIO]]&amp;" B"</f>
        <v>CódRastreio231 B</v>
      </c>
      <c r="D112" s="52" t="str">
        <f>_xlfn.XLOOKUP(Follow[[#This Row],[Id Pedido]],Controle_Pedidos[Número Pedido Cliente],Controle_Pedidos[Loja])</f>
        <v>BV</v>
      </c>
      <c r="E112" s="9">
        <f>_xlfn.XLOOKUP(Follow[[#This Row],[Id Pedido]],Controle_Pedidos[Número Pedido Cliente],Controle_Pedidos[Prazo Entrega])</f>
        <v>45626</v>
      </c>
      <c r="F112" s="9" t="s">
        <v>19433</v>
      </c>
      <c r="G112" s="9" t="s">
        <v>37</v>
      </c>
      <c r="H112" s="52" t="s">
        <v>178</v>
      </c>
      <c r="I112" s="52" t="s">
        <v>178</v>
      </c>
      <c r="J112" s="55">
        <v>45608</v>
      </c>
      <c r="K112" s="54" t="s">
        <v>198</v>
      </c>
      <c r="L112" s="8" t="s">
        <v>124</v>
      </c>
      <c r="M112" s="8" t="s">
        <v>37</v>
      </c>
      <c r="N112" s="52" t="str">
        <f>IF(Follow[[#This Row],[DATAATUALIZAÇÃO]]&lt;=Follow[[#This Row],[Prev Entrega]],"Dentro do Prazo","Fora do Prazo")</f>
        <v>Dentro do Prazo</v>
      </c>
      <c r="O1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12/11/2024, referente ao pedido Nº Pedido 238 Rastreio Pedido 238, agradecemos a preferência e adoraríamos receber sua avaliação, tendo qualquer dúvida estamos à disposição.
Att
Tem tudo Shop</v>
      </c>
    </row>
    <row r="113" spans="1:15">
      <c r="A113" s="52" t="str">
        <f>_xlfn.XLOOKUP(Follow[[#This Row],[CODRASTREIO]],Controle_Pedidos[Cód Rastreamento],Controle_Pedidos[Número Pedido Cliente])</f>
        <v>Pedido 50</v>
      </c>
      <c r="B113" s="2" t="s">
        <v>17483</v>
      </c>
      <c r="C113" s="2" t="str">
        <f>Follow[[#This Row],[CODRASTREIO]]&amp;" B"</f>
        <v>CódRastreio41 B</v>
      </c>
      <c r="D113" s="52" t="str">
        <f>_xlfn.XLOOKUP(Follow[[#This Row],[Id Pedido]],Controle_Pedidos[Número Pedido Cliente],Controle_Pedidos[Loja])</f>
        <v>BV</v>
      </c>
      <c r="E113" s="9">
        <f>_xlfn.XLOOKUP(Follow[[#This Row],[Id Pedido]],Controle_Pedidos[Número Pedido Cliente],Controle_Pedidos[Prazo Entrega])</f>
        <v>45608</v>
      </c>
      <c r="F113" s="9" t="s">
        <v>19433</v>
      </c>
      <c r="G113" s="9" t="s">
        <v>37</v>
      </c>
      <c r="H113" s="52" t="s">
        <v>178</v>
      </c>
      <c r="I113" s="52" t="s">
        <v>178</v>
      </c>
      <c r="J113" s="55">
        <v>45593</v>
      </c>
      <c r="K113" s="54" t="s">
        <v>198</v>
      </c>
      <c r="L113" s="8" t="s">
        <v>124</v>
      </c>
      <c r="M113" s="8" t="s">
        <v>37</v>
      </c>
      <c r="N113" s="52" t="str">
        <f>IF(Follow[[#This Row],[DATAATUALIZAÇÃO]]&lt;=Follow[[#This Row],[Prev Entrega]],"Dentro do Prazo","Fora do Prazo")</f>
        <v>Dentro do Prazo</v>
      </c>
      <c r="O1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28/10/2024, referente ao pedido Nº Pedido 50 Rastreio Pedido 50, agradecemos a preferência e adoraríamos receber sua avaliação, tendo qualquer dúvida estamos à disposição.
Att
Tem tudo Shop</v>
      </c>
    </row>
    <row r="114" spans="1:15">
      <c r="A114" s="52" t="str">
        <f>_xlfn.XLOOKUP(Follow[[#This Row],[CODRASTREIO]],Controle_Pedidos[Cód Rastreamento],Controle_Pedidos[Número Pedido Cliente])</f>
        <v>Pedido 402</v>
      </c>
      <c r="B114" s="2" t="s">
        <v>17834</v>
      </c>
      <c r="C114" s="2" t="str">
        <f>Follow[[#This Row],[CODRASTREIO]]&amp;" B"</f>
        <v>CódRastreio392 B</v>
      </c>
      <c r="D114" s="52" t="str">
        <f>_xlfn.XLOOKUP(Follow[[#This Row],[Id Pedido]],Controle_Pedidos[Número Pedido Cliente],Controle_Pedidos[Loja])</f>
        <v>BV</v>
      </c>
      <c r="E114" s="9">
        <f>_xlfn.XLOOKUP(Follow[[#This Row],[Id Pedido]],Controle_Pedidos[Número Pedido Cliente],Controle_Pedidos[Prazo Entrega])</f>
        <v>45643</v>
      </c>
      <c r="F114" s="9" t="s">
        <v>19433</v>
      </c>
      <c r="G114" s="9" t="s">
        <v>37</v>
      </c>
      <c r="H114" s="52" t="s">
        <v>179</v>
      </c>
      <c r="I114" s="52" t="s">
        <v>178</v>
      </c>
      <c r="J114" s="55">
        <v>45628</v>
      </c>
      <c r="K114" s="54" t="s">
        <v>198</v>
      </c>
      <c r="L114" s="8" t="s">
        <v>124</v>
      </c>
      <c r="M114" s="8" t="s">
        <v>37</v>
      </c>
      <c r="N114" s="52" t="str">
        <f>IF(Follow[[#This Row],[DATAATUALIZAÇÃO]]&lt;=Follow[[#This Row],[Prev Entrega]],"Dentro do Prazo","Fora do Prazo")</f>
        <v>Dentro do Prazo</v>
      </c>
      <c r="O1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02/12/2024, referente ao pedido Nº Pedido 402 Rastreio Pedido 402, agradecemos a preferência e adoraríamos receber sua avaliação, tendo qualquer dúvida estamos à disposição.
Att
Tem tudo Shop</v>
      </c>
    </row>
    <row r="115" spans="1:15">
      <c r="A115" s="52" t="str">
        <f>_xlfn.XLOOKUP(Follow[[#This Row],[CODRASTREIO]],Controle_Pedidos[Cód Rastreamento],Controle_Pedidos[Número Pedido Cliente])</f>
        <v>Pedido 257</v>
      </c>
      <c r="B115" s="2" t="s">
        <v>17692</v>
      </c>
      <c r="C115" s="2" t="str">
        <f>Follow[[#This Row],[CODRASTREIO]]&amp;" B"</f>
        <v>CódRastreio250 B</v>
      </c>
      <c r="D115" s="52" t="str">
        <f>_xlfn.XLOOKUP(Follow[[#This Row],[Id Pedido]],Controle_Pedidos[Número Pedido Cliente],Controle_Pedidos[Loja])</f>
        <v>BV</v>
      </c>
      <c r="E115" s="9">
        <f>_xlfn.XLOOKUP(Follow[[#This Row],[Id Pedido]],Controle_Pedidos[Número Pedido Cliente],Controle_Pedidos[Prazo Entrega])</f>
        <v>45629</v>
      </c>
      <c r="F115" s="9" t="s">
        <v>19433</v>
      </c>
      <c r="G115" s="9" t="s">
        <v>37</v>
      </c>
      <c r="H115" s="52" t="s">
        <v>178</v>
      </c>
      <c r="I115" s="52" t="s">
        <v>178</v>
      </c>
      <c r="J115" s="55">
        <v>45623</v>
      </c>
      <c r="K115" s="54" t="s">
        <v>198</v>
      </c>
      <c r="L115" s="8" t="s">
        <v>124</v>
      </c>
      <c r="M115" s="8" t="s">
        <v>37</v>
      </c>
      <c r="N115" s="52" t="str">
        <f>IF(Follow[[#This Row],[DATAATUALIZAÇÃO]]&lt;=Follow[[#This Row],[Prev Entrega]],"Dentro do Prazo","Fora do Prazo")</f>
        <v>Dentro do Prazo</v>
      </c>
      <c r="O1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27/11/2024, referente ao pedido Nº Pedido 257 Rastreio Pedido 257, agradecemos a preferência e adoraríamos receber sua avaliação, tendo qualquer dúvida estamos à disposição.
Att
Tem tudo Shop</v>
      </c>
    </row>
    <row r="116" spans="1:15">
      <c r="A116" s="52" t="str">
        <f>_xlfn.XLOOKUP(Follow[[#This Row],[CODRASTREIO]],Controle_Pedidos[Cód Rastreamento],Controle_Pedidos[Número Pedido Cliente])</f>
        <v>Pedido 228</v>
      </c>
      <c r="B116" s="2" t="s">
        <v>17663</v>
      </c>
      <c r="C116" s="2" t="str">
        <f>Follow[[#This Row],[CODRASTREIO]]&amp;" B"</f>
        <v>CódRastreio221 B</v>
      </c>
      <c r="D116" s="52" t="str">
        <f>_xlfn.XLOOKUP(Follow[[#This Row],[Id Pedido]],Controle_Pedidos[Número Pedido Cliente],Controle_Pedidos[Loja])</f>
        <v>BV</v>
      </c>
      <c r="E116" s="9">
        <f>_xlfn.XLOOKUP(Follow[[#This Row],[Id Pedido]],Controle_Pedidos[Número Pedido Cliente],Controle_Pedidos[Prazo Entrega])</f>
        <v>45622</v>
      </c>
      <c r="F116" s="9" t="s">
        <v>19433</v>
      </c>
      <c r="G116" s="9" t="s">
        <v>37</v>
      </c>
      <c r="H116" s="52" t="s">
        <v>178</v>
      </c>
      <c r="I116" s="52" t="s">
        <v>178</v>
      </c>
      <c r="J116" s="55">
        <v>45608</v>
      </c>
      <c r="K116" s="54" t="s">
        <v>198</v>
      </c>
      <c r="L116" s="8" t="s">
        <v>124</v>
      </c>
      <c r="M116" s="8" t="s">
        <v>37</v>
      </c>
      <c r="N116" s="52" t="str">
        <f>IF(Follow[[#This Row],[DATAATUALIZAÇÃO]]&lt;=Follow[[#This Row],[Prev Entrega]],"Dentro do Prazo","Fora do Prazo")</f>
        <v>Dentro do Prazo</v>
      </c>
      <c r="O1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12/11/2024, referente ao pedido Nº Pedido 228 Rastreio Pedido 228, agradecemos a preferência e adoraríamos receber sua avaliação, tendo qualquer dúvida estamos à disposição.
Att
Tem tudo Shop</v>
      </c>
    </row>
    <row r="117" spans="1:15">
      <c r="A117" s="52" t="str">
        <f>_xlfn.XLOOKUP(Follow[[#This Row],[CODRASTREIO]],Controle_Pedidos[Cód Rastreamento],Controle_Pedidos[Número Pedido Cliente])</f>
        <v>Pedido 414</v>
      </c>
      <c r="B117" s="2" t="s">
        <v>17845</v>
      </c>
      <c r="C117" s="2" t="str">
        <f>Follow[[#This Row],[CODRASTREIO]]&amp;" B"</f>
        <v>CódRastreio403 B</v>
      </c>
      <c r="D117" s="52" t="str">
        <f>_xlfn.XLOOKUP(Follow[[#This Row],[Id Pedido]],Controle_Pedidos[Número Pedido Cliente],Controle_Pedidos[Loja])</f>
        <v>BV</v>
      </c>
      <c r="E117" s="9">
        <f>_xlfn.XLOOKUP(Follow[[#This Row],[Id Pedido]],Controle_Pedidos[Número Pedido Cliente],Controle_Pedidos[Prazo Entrega])</f>
        <v>45643</v>
      </c>
      <c r="F117" s="9" t="s">
        <v>19433</v>
      </c>
      <c r="G117" s="9" t="s">
        <v>37</v>
      </c>
      <c r="H117" s="52" t="s">
        <v>178</v>
      </c>
      <c r="I117" s="52" t="s">
        <v>178</v>
      </c>
      <c r="J117" s="55">
        <v>45622</v>
      </c>
      <c r="K117" s="54" t="s">
        <v>198</v>
      </c>
      <c r="L117" s="8" t="s">
        <v>124</v>
      </c>
      <c r="M117" s="8" t="s">
        <v>37</v>
      </c>
      <c r="N117" s="52" t="str">
        <f>IF(Follow[[#This Row],[DATAATUALIZAÇÃO]]&lt;=Follow[[#This Row],[Prev Entrega]],"Dentro do Prazo","Fora do Prazo")</f>
        <v>Dentro do Prazo</v>
      </c>
      <c r="O1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Mixer Misturador foi entregue no dia 26/11/2024, referente ao pedido Nº Pedido 414 Rastreio Pedido 414, agradecemos a preferência e adoraríamos receber sua avaliação, tendo qualquer dúvida estamos à disposição.
Att
Tem tudo Shop</v>
      </c>
    </row>
    <row r="118" spans="1:15">
      <c r="A118" s="52" t="str">
        <f>_xlfn.XLOOKUP(Follow[[#This Row],[CODRASTREIO]],Controle_Pedidos[Cód Rastreamento],Controle_Pedidos[Número Pedido Cliente])</f>
        <v>Pedido 537</v>
      </c>
      <c r="B118" s="2" t="s">
        <v>17964</v>
      </c>
      <c r="C118" s="2" t="str">
        <f>Follow[[#This Row],[CODRASTREIO]]&amp;" B"</f>
        <v>CódRastreio522 B</v>
      </c>
      <c r="D118" s="52" t="str">
        <f>_xlfn.XLOOKUP(Follow[[#This Row],[Id Pedido]],Controle_Pedidos[Número Pedido Cliente],Controle_Pedidos[Loja])</f>
        <v>BV</v>
      </c>
      <c r="E118" s="9">
        <f>_xlfn.XLOOKUP(Follow[[#This Row],[Id Pedido]],Controle_Pedidos[Número Pedido Cliente],Controle_Pedidos[Prazo Entrega])</f>
        <v>45664</v>
      </c>
      <c r="F118" s="9" t="s">
        <v>19433</v>
      </c>
      <c r="G118" s="9" t="s">
        <v>37</v>
      </c>
      <c r="H118" s="52" t="s">
        <v>179</v>
      </c>
      <c r="I118" s="52" t="s">
        <v>178</v>
      </c>
      <c r="J118" s="55">
        <v>45646</v>
      </c>
      <c r="K118" s="52" t="s">
        <v>198</v>
      </c>
      <c r="L118" s="8" t="s">
        <v>124</v>
      </c>
      <c r="M118" s="8" t="s">
        <v>37</v>
      </c>
      <c r="N118" s="52" t="str">
        <f>IF(Follow[[#This Row],[DATAATUALIZAÇÃO]]&lt;=Follow[[#This Row],[Prev Entrega]],"Dentro do Prazo","Fora do Prazo")</f>
        <v>Dentro do Prazo</v>
      </c>
      <c r="O1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20/12/2024, referente ao pedido Nº Pedido 537 Rastreio Pedido 537, agradecemos a preferência e adoraríamos receber sua avaliação, tendo qualquer dúvida estamos à disposição.
Att
Tem tudo Shop</v>
      </c>
    </row>
    <row r="119" spans="1:15">
      <c r="A119" s="52" t="str">
        <f>_xlfn.XLOOKUP(Follow[[#This Row],[CODRASTREIO]],Controle_Pedidos[Cód Rastreamento],Controle_Pedidos[Número Pedido Cliente])</f>
        <v>Pedido 649</v>
      </c>
      <c r="B119" s="2" t="s">
        <v>18072</v>
      </c>
      <c r="C119" s="2" t="str">
        <f>Follow[[#This Row],[CODRASTREIO]]&amp;" B"</f>
        <v>CódRastreio630 B</v>
      </c>
      <c r="D119" s="52" t="str">
        <f>_xlfn.XLOOKUP(Follow[[#This Row],[Id Pedido]],Controle_Pedidos[Número Pedido Cliente],Controle_Pedidos[Loja])</f>
        <v>BV</v>
      </c>
      <c r="E119" s="9">
        <f>_xlfn.XLOOKUP(Follow[[#This Row],[Id Pedido]],Controle_Pedidos[Número Pedido Cliente],Controle_Pedidos[Prazo Entrega])</f>
        <v>45678</v>
      </c>
      <c r="F119" s="9" t="s">
        <v>19433</v>
      </c>
      <c r="G119" s="9" t="s">
        <v>37</v>
      </c>
      <c r="H119" s="52" t="s">
        <v>179</v>
      </c>
      <c r="I119" s="52" t="s">
        <v>178</v>
      </c>
      <c r="J119" s="55">
        <v>45665</v>
      </c>
      <c r="K119" s="52" t="s">
        <v>198</v>
      </c>
      <c r="L119" s="8" t="s">
        <v>124</v>
      </c>
      <c r="M119" s="8" t="s">
        <v>37</v>
      </c>
      <c r="N119" s="52" t="str">
        <f>IF(Follow[[#This Row],[DATAATUALIZAÇÃO]]&lt;=Follow[[#This Row],[Prev Entrega]],"Dentro do Prazo","Fora do Prazo")</f>
        <v>Dentro do Prazo</v>
      </c>
      <c r="O1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649 Rastreio Pedido 649, agradecemos a preferência e adoraríamos receber sua avaliação, tendo qualquer dúvida estamos à disposição.
Att
Tem tudo Shop</v>
      </c>
    </row>
    <row r="120" spans="1:15">
      <c r="A120" s="52" t="str">
        <f>_xlfn.XLOOKUP(Follow[[#This Row],[CODRASTREIO]],Controle_Pedidos[Cód Rastreamento],Controle_Pedidos[Número Pedido Cliente])</f>
        <v>Pedido 274</v>
      </c>
      <c r="B120" s="2" t="s">
        <v>17709</v>
      </c>
      <c r="C120" s="2" t="str">
        <f>Follow[[#This Row],[CODRASTREIO]]&amp;" B"</f>
        <v>CódRastreio267 B</v>
      </c>
      <c r="D120" s="52" t="str">
        <f>_xlfn.XLOOKUP(Follow[[#This Row],[Id Pedido]],Controle_Pedidos[Número Pedido Cliente],Controle_Pedidos[Loja])</f>
        <v>BV</v>
      </c>
      <c r="E120" s="9">
        <f>_xlfn.XLOOKUP(Follow[[#This Row],[Id Pedido]],Controle_Pedidos[Número Pedido Cliente],Controle_Pedidos[Prazo Entrega])</f>
        <v>45630</v>
      </c>
      <c r="F120" s="9" t="s">
        <v>19433</v>
      </c>
      <c r="G120" s="9" t="s">
        <v>37</v>
      </c>
      <c r="H120" s="52" t="s">
        <v>178</v>
      </c>
      <c r="I120" s="52" t="s">
        <v>178</v>
      </c>
      <c r="J120" s="55">
        <v>45610</v>
      </c>
      <c r="K120" s="54" t="s">
        <v>198</v>
      </c>
      <c r="L120" s="8" t="s">
        <v>124</v>
      </c>
      <c r="M120" s="8" t="s">
        <v>37</v>
      </c>
      <c r="N120" s="52" t="str">
        <f>IF(Follow[[#This Row],[DATAATUALIZAÇÃO]]&lt;=Follow[[#This Row],[Prev Entrega]],"Dentro do Prazo","Fora do Prazo")</f>
        <v>Dentro do Prazo</v>
      </c>
      <c r="O1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Multi Processador 5 Laminas foi entregue no dia 14/11/2024, referente ao pedido Nº Pedido 274 Rastreio Pedido 274, agradecemos a preferência e adoraríamos receber sua avaliação, tendo qualquer dúvida estamos à disposição.
Att
Tem tudo Shop</v>
      </c>
    </row>
    <row r="121" spans="1:15">
      <c r="A121" s="52" t="str">
        <f>_xlfn.XLOOKUP(Follow[[#This Row],[CODRASTREIO]],Controle_Pedidos[Cód Rastreamento],Controle_Pedidos[Número Pedido Cliente])</f>
        <v>Pedido 421</v>
      </c>
      <c r="B121" s="2" t="s">
        <v>17852</v>
      </c>
      <c r="C121" s="2" t="str">
        <f>Follow[[#This Row],[CODRASTREIO]]&amp;" B"</f>
        <v>CódRastreio410 B</v>
      </c>
      <c r="D121" s="52" t="str">
        <f>_xlfn.XLOOKUP(Follow[[#This Row],[Id Pedido]],Controle_Pedidos[Número Pedido Cliente],Controle_Pedidos[Loja])</f>
        <v>BV</v>
      </c>
      <c r="E121" s="9">
        <f>_xlfn.XLOOKUP(Follow[[#This Row],[Id Pedido]],Controle_Pedidos[Número Pedido Cliente],Controle_Pedidos[Prazo Entrega])</f>
        <v>45653</v>
      </c>
      <c r="F121" s="9" t="s">
        <v>19433</v>
      </c>
      <c r="G121" s="9" t="s">
        <v>37</v>
      </c>
      <c r="H121" s="52" t="s">
        <v>179</v>
      </c>
      <c r="I121" s="52" t="s">
        <v>178</v>
      </c>
      <c r="J121" s="55">
        <v>45646</v>
      </c>
      <c r="K121" s="52" t="s">
        <v>198</v>
      </c>
      <c r="L121" s="8" t="s">
        <v>124</v>
      </c>
      <c r="M121" s="8" t="s">
        <v>37</v>
      </c>
      <c r="N121" s="52" t="str">
        <f>IF(Follow[[#This Row],[DATAATUALIZAÇÃO]]&lt;=Follow[[#This Row],[Prev Entrega]],"Dentro do Prazo","Fora do Prazo")</f>
        <v>Dentro do Prazo</v>
      </c>
      <c r="O1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20/12/2024, referente ao pedido Nº Pedido 421 Rastreio Pedido 421, agradecemos a preferência e adoraríamos receber sua avaliação, tendo qualquer dúvida estamos à disposição.
Att
Tem tudo Shop</v>
      </c>
    </row>
    <row r="122" spans="1:15">
      <c r="A122" s="52" t="str">
        <f>_xlfn.XLOOKUP(Follow[[#This Row],[CODRASTREIO]],Controle_Pedidos[Cód Rastreamento],Controle_Pedidos[Número Pedido Cliente])</f>
        <v>Pedido 401</v>
      </c>
      <c r="B122" s="2" t="s">
        <v>17833</v>
      </c>
      <c r="C122" s="2" t="str">
        <f>Follow[[#This Row],[CODRASTREIO]]&amp;" B"</f>
        <v>CódRastreio391 B</v>
      </c>
      <c r="D122" s="52" t="str">
        <f>_xlfn.XLOOKUP(Follow[[#This Row],[Id Pedido]],Controle_Pedidos[Número Pedido Cliente],Controle_Pedidos[Loja])</f>
        <v>BV</v>
      </c>
      <c r="E122" s="9">
        <f>_xlfn.XLOOKUP(Follow[[#This Row],[Id Pedido]],Controle_Pedidos[Número Pedido Cliente],Controle_Pedidos[Prazo Entrega])</f>
        <v>45637</v>
      </c>
      <c r="F122" s="9" t="s">
        <v>19433</v>
      </c>
      <c r="G122" s="9" t="s">
        <v>37</v>
      </c>
      <c r="H122" s="52" t="s">
        <v>178</v>
      </c>
      <c r="I122" s="52" t="s">
        <v>178</v>
      </c>
      <c r="J122" s="55">
        <v>45624</v>
      </c>
      <c r="K122" s="54" t="s">
        <v>198</v>
      </c>
      <c r="L122" s="8" t="s">
        <v>124</v>
      </c>
      <c r="M122" s="8" t="s">
        <v>37</v>
      </c>
      <c r="N122" s="52" t="str">
        <f>IF(Follow[[#This Row],[DATAATUALIZAÇÃO]]&lt;=Follow[[#This Row],[Prev Entrega]],"Dentro do Prazo","Fora do Prazo")</f>
        <v>Dentro do Prazo</v>
      </c>
      <c r="O1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28/11/2024, referente ao pedido Nº Pedido 401 Rastreio Pedido 401, agradecemos a preferência e adoraríamos receber sua avaliação, tendo qualquer dúvida estamos à disposição.
Att
Tem tudo Shop</v>
      </c>
    </row>
    <row r="123" spans="1:15">
      <c r="A123" s="52" t="str">
        <f>_xlfn.XLOOKUP(Follow[[#This Row],[CODRASTREIO]],Controle_Pedidos[Cód Rastreamento],Controle_Pedidos[Número Pedido Cliente])</f>
        <v>Pedido 47</v>
      </c>
      <c r="B123" s="2" t="s">
        <v>17480</v>
      </c>
      <c r="C123" s="2" t="str">
        <f>Follow[[#This Row],[CODRASTREIO]]&amp;" B"</f>
        <v>CódRastreio38 B</v>
      </c>
      <c r="D123" s="52" t="str">
        <f>_xlfn.XLOOKUP(Follow[[#This Row],[Id Pedido]],Controle_Pedidos[Número Pedido Cliente],Controle_Pedidos[Loja])</f>
        <v>BV</v>
      </c>
      <c r="E123" s="9">
        <f>_xlfn.XLOOKUP(Follow[[#This Row],[Id Pedido]],Controle_Pedidos[Número Pedido Cliente],Controle_Pedidos[Prazo Entrega])</f>
        <v>45602</v>
      </c>
      <c r="F123" s="9" t="s">
        <v>19433</v>
      </c>
      <c r="G123" s="9" t="s">
        <v>37</v>
      </c>
      <c r="H123" s="52" t="s">
        <v>178</v>
      </c>
      <c r="I123" s="52" t="s">
        <v>178</v>
      </c>
      <c r="J123" s="55">
        <v>45593</v>
      </c>
      <c r="K123" s="54" t="s">
        <v>198</v>
      </c>
      <c r="L123" s="8" t="s">
        <v>124</v>
      </c>
      <c r="M123" s="8" t="s">
        <v>37</v>
      </c>
      <c r="N123" s="52" t="str">
        <f>IF(Follow[[#This Row],[DATAATUALIZAÇÃO]]&lt;=Follow[[#This Row],[Prev Entrega]],"Dentro do Prazo","Fora do Prazo")</f>
        <v>Dentro do Prazo</v>
      </c>
      <c r="O1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28/10/2024, referente ao pedido Nº Pedido 47 Rastreio Pedido 47, agradecemos a preferência e adoraríamos receber sua avaliação, tendo qualquer dúvida estamos à disposição.
Att
Tem tudo Shop</v>
      </c>
    </row>
    <row r="124" spans="1:15">
      <c r="A124" s="52" t="str">
        <f>_xlfn.XLOOKUP(Follow[[#This Row],[CODRASTREIO]],Controle_Pedidos[Cód Rastreamento],Controle_Pedidos[Número Pedido Cliente])</f>
        <v>Pedido 172</v>
      </c>
      <c r="B124" s="2" t="s">
        <v>17607</v>
      </c>
      <c r="C124" s="2" t="str">
        <f>Follow[[#This Row],[CODRASTREIO]]&amp;" B"</f>
        <v>CódRastreio165 B</v>
      </c>
      <c r="D124" s="52" t="str">
        <f>_xlfn.XLOOKUP(Follow[[#This Row],[Id Pedido]],Controle_Pedidos[Número Pedido Cliente],Controle_Pedidos[Loja])</f>
        <v>BV</v>
      </c>
      <c r="E124" s="9">
        <f>_xlfn.XLOOKUP(Follow[[#This Row],[Id Pedido]],Controle_Pedidos[Número Pedido Cliente],Controle_Pedidos[Prazo Entrega])</f>
        <v>45604</v>
      </c>
      <c r="F124" s="9" t="s">
        <v>19433</v>
      </c>
      <c r="G124" s="9" t="s">
        <v>37</v>
      </c>
      <c r="H124" s="52" t="s">
        <v>178</v>
      </c>
      <c r="I124" s="52" t="s">
        <v>178</v>
      </c>
      <c r="J124" s="55">
        <v>45601</v>
      </c>
      <c r="K124" s="54" t="s">
        <v>198</v>
      </c>
      <c r="L124" s="8" t="s">
        <v>124</v>
      </c>
      <c r="M124" s="8" t="s">
        <v>37</v>
      </c>
      <c r="N124" s="52" t="str">
        <f>IF(Follow[[#This Row],[DATAATUALIZAÇÃO]]&lt;=Follow[[#This Row],[Prev Entrega]],"Dentro do Prazo","Fora do Prazo")</f>
        <v>Dentro do Prazo</v>
      </c>
      <c r="O1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172 Rastreio Pedido 172, agradecemos a preferência e adoraríamos receber sua avaliação, tendo qualquer dúvida estamos à disposição.
Att
Tem tudo Shop</v>
      </c>
    </row>
    <row r="125" spans="1:15">
      <c r="A125" s="52" t="str">
        <f>_xlfn.XLOOKUP(Follow[[#This Row],[CODRASTREIO]],Controle_Pedidos[Cód Rastreamento],Controle_Pedidos[Número Pedido Cliente])</f>
        <v>Pedido 252</v>
      </c>
      <c r="B125" s="2" t="s">
        <v>17687</v>
      </c>
      <c r="C125" s="2" t="str">
        <f>Follow[[#This Row],[CODRASTREIO]]&amp;" B"</f>
        <v>CódRastreio245 B</v>
      </c>
      <c r="D125" s="52" t="str">
        <f>_xlfn.XLOOKUP(Follow[[#This Row],[Id Pedido]],Controle_Pedidos[Número Pedido Cliente],Controle_Pedidos[Loja])</f>
        <v>BV</v>
      </c>
      <c r="E125" s="9">
        <f>_xlfn.XLOOKUP(Follow[[#This Row],[Id Pedido]],Controle_Pedidos[Número Pedido Cliente],Controle_Pedidos[Prazo Entrega])</f>
        <v>45623</v>
      </c>
      <c r="F125" s="9" t="s">
        <v>19433</v>
      </c>
      <c r="G125" s="9" t="s">
        <v>37</v>
      </c>
      <c r="H125" s="52" t="s">
        <v>178</v>
      </c>
      <c r="I125" s="52" t="s">
        <v>178</v>
      </c>
      <c r="J125" s="55">
        <v>45610</v>
      </c>
      <c r="K125" s="54" t="s">
        <v>198</v>
      </c>
      <c r="L125" s="8" t="s">
        <v>124</v>
      </c>
      <c r="M125" s="8" t="s">
        <v>37</v>
      </c>
      <c r="N125" s="52" t="str">
        <f>IF(Follow[[#This Row],[DATAATUALIZAÇÃO]]&lt;=Follow[[#This Row],[Prev Entrega]],"Dentro do Prazo","Fora do Prazo")</f>
        <v>Dentro do Prazo</v>
      </c>
      <c r="O1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252 Rastreio Pedido 252, agradecemos a preferência e adoraríamos receber sua avaliação, tendo qualquer dúvida estamos à disposição.
Att
Tem tudo Shop</v>
      </c>
    </row>
    <row r="126" spans="1:15">
      <c r="A126" s="52" t="str">
        <f>_xlfn.XLOOKUP(Follow[[#This Row],[CODRASTREIO]],Controle_Pedidos[Cód Rastreamento],Controle_Pedidos[Número Pedido Cliente])</f>
        <v>Pedido 614</v>
      </c>
      <c r="B126" s="2" t="s">
        <v>18039</v>
      </c>
      <c r="C126" s="2" t="str">
        <f>Follow[[#This Row],[CODRASTREIO]]&amp;" B"</f>
        <v>CódRastreio597 B</v>
      </c>
      <c r="D126" s="52" t="str">
        <f>_xlfn.XLOOKUP(Follow[[#This Row],[Id Pedido]],Controle_Pedidos[Número Pedido Cliente],Controle_Pedidos[Loja])</f>
        <v>BV</v>
      </c>
      <c r="E126" s="9">
        <f>_xlfn.XLOOKUP(Follow[[#This Row],[Id Pedido]],Controle_Pedidos[Número Pedido Cliente],Controle_Pedidos[Prazo Entrega])</f>
        <v>45667</v>
      </c>
      <c r="F126" s="9" t="s">
        <v>19433</v>
      </c>
      <c r="G126" s="9" t="s">
        <v>37</v>
      </c>
      <c r="H126" s="52" t="s">
        <v>178</v>
      </c>
      <c r="I126" s="52" t="s">
        <v>178</v>
      </c>
      <c r="J126" s="55">
        <v>45660</v>
      </c>
      <c r="K126" s="52" t="s">
        <v>198</v>
      </c>
      <c r="L126" s="8" t="s">
        <v>124</v>
      </c>
      <c r="M126" s="8" t="s">
        <v>37</v>
      </c>
      <c r="N126" s="52" t="str">
        <f>IF(Follow[[#This Row],[DATAATUALIZAÇÃO]]&lt;=Follow[[#This Row],[Prev Entrega]],"Dentro do Prazo","Fora do Prazo")</f>
        <v>Dentro do Prazo</v>
      </c>
      <c r="O1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03/01/2025, referente ao pedido Nº Pedido 614 Rastreio Pedido 614, agradecemos a preferência e adoraríamos receber sua avaliação, tendo qualquer dúvida estamos à disposição.
Att
Tem tudo Shop</v>
      </c>
    </row>
    <row r="127" spans="1:15">
      <c r="A127" s="52" t="str">
        <f>_xlfn.XLOOKUP(Follow[[#This Row],[CODRASTREIO]],Controle_Pedidos[Cód Rastreamento],Controle_Pedidos[Número Pedido Cliente])</f>
        <v>Pedido 57</v>
      </c>
      <c r="B127" s="2" t="s">
        <v>17490</v>
      </c>
      <c r="C127" s="2" t="str">
        <f>Follow[[#This Row],[CODRASTREIO]]&amp;" B"</f>
        <v>CódRastreio48 B</v>
      </c>
      <c r="D127" s="52" t="str">
        <f>_xlfn.XLOOKUP(Follow[[#This Row],[Id Pedido]],Controle_Pedidos[Número Pedido Cliente],Controle_Pedidos[Loja])</f>
        <v>BV</v>
      </c>
      <c r="E127" s="9">
        <f>_xlfn.XLOOKUP(Follow[[#This Row],[Id Pedido]],Controle_Pedidos[Número Pedido Cliente],Controle_Pedidos[Prazo Entrega])</f>
        <v>45602</v>
      </c>
      <c r="F127" s="9" t="s">
        <v>19433</v>
      </c>
      <c r="G127" s="9" t="s">
        <v>37</v>
      </c>
      <c r="H127" s="52" t="s">
        <v>178</v>
      </c>
      <c r="I127" s="52" t="s">
        <v>178</v>
      </c>
      <c r="J127" s="55">
        <v>45594</v>
      </c>
      <c r="K127" s="54" t="s">
        <v>198</v>
      </c>
      <c r="L127" s="8" t="s">
        <v>124</v>
      </c>
      <c r="M127" s="8" t="s">
        <v>37</v>
      </c>
      <c r="N127" s="52" t="str">
        <f>IF(Follow[[#This Row],[DATAATUALIZAÇÃO]]&lt;=Follow[[#This Row],[Prev Entrega]],"Dentro do Prazo","Fora do Prazo")</f>
        <v>Dentro do Prazo</v>
      </c>
      <c r="O1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29/10/2024, referente ao pedido Nº Pedido 57 Rastreio Pedido 57, agradecemos a preferência e adoraríamos receber sua avaliação, tendo qualquer dúvida estamos à disposição.
Att
Tem tudo Shop</v>
      </c>
    </row>
    <row r="128" spans="1:15">
      <c r="A128" s="52" t="str">
        <f>_xlfn.XLOOKUP(Follow[[#This Row],[CODRASTREIO]],Controle_Pedidos[Cód Rastreamento],Controle_Pedidos[Número Pedido Cliente])</f>
        <v>Pedido 170</v>
      </c>
      <c r="B128" s="2" t="s">
        <v>17605</v>
      </c>
      <c r="C128" s="2" t="str">
        <f>Follow[[#This Row],[CODRASTREIO]]&amp;" B"</f>
        <v>CódRastreio163 B</v>
      </c>
      <c r="D128" s="52" t="str">
        <f>_xlfn.XLOOKUP(Follow[[#This Row],[Id Pedido]],Controle_Pedidos[Número Pedido Cliente],Controle_Pedidos[Loja])</f>
        <v>BV</v>
      </c>
      <c r="E128" s="9">
        <f>_xlfn.XLOOKUP(Follow[[#This Row],[Id Pedido]],Controle_Pedidos[Número Pedido Cliente],Controle_Pedidos[Prazo Entrega])</f>
        <v>45610</v>
      </c>
      <c r="F128" s="9" t="s">
        <v>19433</v>
      </c>
      <c r="G128" s="9" t="s">
        <v>37</v>
      </c>
      <c r="H128" s="52" t="s">
        <v>178</v>
      </c>
      <c r="I128" s="52" t="s">
        <v>178</v>
      </c>
      <c r="J128" s="55">
        <v>45600</v>
      </c>
      <c r="K128" s="54" t="s">
        <v>198</v>
      </c>
      <c r="L128" s="8" t="s">
        <v>124</v>
      </c>
      <c r="M128" s="8" t="s">
        <v>37</v>
      </c>
      <c r="N128" s="52" t="str">
        <f>IF(Follow[[#This Row],[DATAATUALIZAÇÃO]]&lt;=Follow[[#This Row],[Prev Entrega]],"Dentro do Prazo","Fora do Prazo")</f>
        <v>Dentro do Prazo</v>
      </c>
      <c r="O1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170 Rastreio Pedido 170, agradecemos a preferência e adoraríamos receber sua avaliação, tendo qualquer dúvida estamos à disposição.
Att
Tem tudo Shop</v>
      </c>
    </row>
    <row r="129" spans="1:15">
      <c r="A129" s="52" t="str">
        <f>_xlfn.XLOOKUP(Follow[[#This Row],[CODRASTREIO]],Controle_Pedidos[Cód Rastreamento],Controle_Pedidos[Número Pedido Cliente])</f>
        <v>Pedido 308</v>
      </c>
      <c r="B129" s="2" t="s">
        <v>17743</v>
      </c>
      <c r="C129" s="2" t="str">
        <f>Follow[[#This Row],[CODRASTREIO]]&amp;" B"</f>
        <v>CódRastreio301 B</v>
      </c>
      <c r="D129" s="52" t="str">
        <f>_xlfn.XLOOKUP(Follow[[#This Row],[Id Pedido]],Controle_Pedidos[Número Pedido Cliente],Controle_Pedidos[Loja])</f>
        <v>BV</v>
      </c>
      <c r="E129" s="9">
        <f>_xlfn.XLOOKUP(Follow[[#This Row],[Id Pedido]],Controle_Pedidos[Número Pedido Cliente],Controle_Pedidos[Prazo Entrega])</f>
        <v>45626</v>
      </c>
      <c r="F129" s="9" t="s">
        <v>19433</v>
      </c>
      <c r="G129" s="9" t="s">
        <v>37</v>
      </c>
      <c r="H129" s="52" t="s">
        <v>178</v>
      </c>
      <c r="I129" s="52" t="s">
        <v>178</v>
      </c>
      <c r="J129" s="55">
        <v>45622</v>
      </c>
      <c r="K129" s="54" t="s">
        <v>198</v>
      </c>
      <c r="L129" s="8" t="s">
        <v>124</v>
      </c>
      <c r="M129" s="8" t="s">
        <v>37</v>
      </c>
      <c r="N129" s="52" t="str">
        <f>IF(Follow[[#This Row],[DATAATUALIZAÇÃO]]&lt;=Follow[[#This Row],[Prev Entrega]],"Dentro do Prazo","Fora do Prazo")</f>
        <v>Dentro do Prazo</v>
      </c>
      <c r="O1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26/11/2024, referente ao pedido Nº Pedido 308 Rastreio Pedido 308, agradecemos a preferência e adoraríamos receber sua avaliação, tendo qualquer dúvida estamos à disposição.
Att
Tem tudo Shop</v>
      </c>
    </row>
    <row r="130" spans="1:15">
      <c r="A130" s="52" t="str">
        <f>_xlfn.XLOOKUP(Follow[[#This Row],[CODRASTREIO]],Controle_Pedidos[Cód Rastreamento],Controle_Pedidos[Número Pedido Cliente])</f>
        <v>Pedido 466</v>
      </c>
      <c r="B130" s="2" t="s">
        <v>17893</v>
      </c>
      <c r="C130" s="2" t="str">
        <f>Follow[[#This Row],[CODRASTREIO]]&amp;" B"</f>
        <v>CódRastreio451 B</v>
      </c>
      <c r="D130" s="52" t="str">
        <f>_xlfn.XLOOKUP(Follow[[#This Row],[Id Pedido]],Controle_Pedidos[Número Pedido Cliente],Controle_Pedidos[Loja])</f>
        <v>BV</v>
      </c>
      <c r="E130" s="9">
        <f>_xlfn.XLOOKUP(Follow[[#This Row],[Id Pedido]],Controle_Pedidos[Número Pedido Cliente],Controle_Pedidos[Prazo Entrega])</f>
        <v>45646</v>
      </c>
      <c r="F130" s="9" t="s">
        <v>19433</v>
      </c>
      <c r="G130" s="9" t="s">
        <v>37</v>
      </c>
      <c r="H130" s="55" t="s">
        <v>179</v>
      </c>
      <c r="I130" s="55" t="s">
        <v>178</v>
      </c>
      <c r="J130" s="55">
        <v>45641</v>
      </c>
      <c r="K130" s="52" t="s">
        <v>198</v>
      </c>
      <c r="L130" s="8" t="s">
        <v>124</v>
      </c>
      <c r="M130" s="8" t="s">
        <v>37</v>
      </c>
      <c r="N130" s="52" t="str">
        <f>IF(Follow[[#This Row],[DATAATUALIZAÇÃO]]&lt;=Follow[[#This Row],[Prev Entrega]],"Dentro do Prazo","Fora do Prazo")</f>
        <v>Dentro do Prazo</v>
      </c>
      <c r="O1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15/12/2024, referente ao pedido Nº Pedido 466 Rastreio Pedido 466, agradecemos a preferência e adoraríamos receber sua avaliação, tendo qualquer dúvida estamos à disposição.
Att
Tem tudo Shop</v>
      </c>
    </row>
    <row r="131" spans="1:15">
      <c r="A131" s="52" t="str">
        <f>_xlfn.XLOOKUP(Follow[[#This Row],[CODRASTREIO]],Controle_Pedidos[Cód Rastreamento],Controle_Pedidos[Número Pedido Cliente])</f>
        <v>Pedido 480</v>
      </c>
      <c r="B131" s="2" t="s">
        <v>17907</v>
      </c>
      <c r="C131" s="2" t="str">
        <f>Follow[[#This Row],[CODRASTREIO]]&amp;" B"</f>
        <v>CódRastreio465 B</v>
      </c>
      <c r="D131" s="52" t="str">
        <f>_xlfn.XLOOKUP(Follow[[#This Row],[Id Pedido]],Controle_Pedidos[Número Pedido Cliente],Controle_Pedidos[Loja])</f>
        <v>BV</v>
      </c>
      <c r="E131" s="9">
        <f>_xlfn.XLOOKUP(Follow[[#This Row],[Id Pedido]],Controle_Pedidos[Número Pedido Cliente],Controle_Pedidos[Prazo Entrega])</f>
        <v>45647</v>
      </c>
      <c r="F131" s="9" t="s">
        <v>19433</v>
      </c>
      <c r="G131" s="9" t="s">
        <v>37</v>
      </c>
      <c r="H131" s="55" t="s">
        <v>179</v>
      </c>
      <c r="I131" s="55" t="s">
        <v>178</v>
      </c>
      <c r="J131" s="55">
        <v>45642</v>
      </c>
      <c r="K131" s="52" t="s">
        <v>198</v>
      </c>
      <c r="L131" s="8" t="s">
        <v>124</v>
      </c>
      <c r="M131" s="8" t="s">
        <v>37</v>
      </c>
      <c r="N131" s="52" t="str">
        <f>IF(Follow[[#This Row],[DATAATUALIZAÇÃO]]&lt;=Follow[[#This Row],[Prev Entrega]],"Dentro do Prazo","Fora do Prazo")</f>
        <v>Dentro do Prazo</v>
      </c>
      <c r="O1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16/12/2024, referente ao pedido Nº Pedido 480 Rastreio Pedido 480, agradecemos a preferência e adoraríamos receber sua avaliação, tendo qualquer dúvida estamos à disposição.
Att
Tem tudo Shop</v>
      </c>
    </row>
    <row r="132" spans="1:15">
      <c r="A132" s="52" t="str">
        <f>_xlfn.XLOOKUP(Follow[[#This Row],[CODRASTREIO]],Controle_Pedidos[Cód Rastreamento],Controle_Pedidos[Número Pedido Cliente])</f>
        <v>Pedido 153</v>
      </c>
      <c r="B132" s="2" t="s">
        <v>17588</v>
      </c>
      <c r="C132" s="2" t="str">
        <f>Follow[[#This Row],[CODRASTREIO]]&amp;" B"</f>
        <v>CódRastreio146 B</v>
      </c>
      <c r="D132" s="52" t="str">
        <f>_xlfn.XLOOKUP(Follow[[#This Row],[Id Pedido]],Controle_Pedidos[Número Pedido Cliente],Controle_Pedidos[Loja])</f>
        <v>BV</v>
      </c>
      <c r="E132" s="9">
        <f>_xlfn.XLOOKUP(Follow[[#This Row],[Id Pedido]],Controle_Pedidos[Número Pedido Cliente],Controle_Pedidos[Prazo Entrega])</f>
        <v>45615</v>
      </c>
      <c r="F132" s="9" t="s">
        <v>19433</v>
      </c>
      <c r="G132" s="9" t="s">
        <v>37</v>
      </c>
      <c r="H132" s="52" t="s">
        <v>179</v>
      </c>
      <c r="I132" s="52" t="s">
        <v>178</v>
      </c>
      <c r="J132" s="55">
        <v>45615</v>
      </c>
      <c r="K132" s="54" t="s">
        <v>198</v>
      </c>
      <c r="L132" s="8" t="s">
        <v>124</v>
      </c>
      <c r="M132" s="8" t="s">
        <v>199</v>
      </c>
      <c r="N132" s="52" t="str">
        <f>IF(Follow[[#This Row],[DATAATUALIZAÇÃO]]&lt;=Follow[[#This Row],[Prev Entrega]],"Dentro do Prazo","Fora do Prazo")</f>
        <v>Dentro do Prazo</v>
      </c>
      <c r="O13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19/11/2024, referente ao pedido Nº Pedido 153 Rastreio Pedido 153, agradecemos a preferência e adoraríamos receber sua avaliação, tendo qualquer dúvida estamos à disposição.
Att
Tem tudo Shop</v>
      </c>
    </row>
    <row r="133" spans="1:15">
      <c r="A133" s="52" t="str">
        <f>_xlfn.XLOOKUP(Follow[[#This Row],[CODRASTREIO]],Controle_Pedidos[Cód Rastreamento],Controle_Pedidos[Número Pedido Cliente])</f>
        <v>Pedido 502</v>
      </c>
      <c r="B133" s="2" t="s">
        <v>17930</v>
      </c>
      <c r="C133" s="2" t="str">
        <f>Follow[[#This Row],[CODRASTREIO]]&amp;" B"</f>
        <v>CódRastreio488 B</v>
      </c>
      <c r="D133" s="52" t="str">
        <f>_xlfn.XLOOKUP(Follow[[#This Row],[Id Pedido]],Controle_Pedidos[Número Pedido Cliente],Controle_Pedidos[Loja])</f>
        <v>BV</v>
      </c>
      <c r="E133" s="9">
        <f>_xlfn.XLOOKUP(Follow[[#This Row],[Id Pedido]],Controle_Pedidos[Número Pedido Cliente],Controle_Pedidos[Prazo Entrega])</f>
        <v>45653</v>
      </c>
      <c r="F133" s="9" t="s">
        <v>19433</v>
      </c>
      <c r="G133" s="9" t="s">
        <v>37</v>
      </c>
      <c r="H133" s="55" t="s">
        <v>179</v>
      </c>
      <c r="I133" s="55" t="s">
        <v>178</v>
      </c>
      <c r="J133" s="55">
        <v>45639</v>
      </c>
      <c r="K133" s="52" t="s">
        <v>198</v>
      </c>
      <c r="L133" s="8" t="s">
        <v>124</v>
      </c>
      <c r="M133" s="8" t="s">
        <v>37</v>
      </c>
      <c r="N133" s="52" t="str">
        <f>IF(Follow[[#This Row],[DATAATUALIZAÇÃO]]&lt;=Follow[[#This Row],[Prev Entrega]],"Dentro do Prazo","Fora do Prazo")</f>
        <v>Dentro do Prazo</v>
      </c>
      <c r="O1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13/12/2024, referente ao pedido Nº Pedido 502 Rastreio Pedido 502, agradecemos a preferência e adoraríamos receber sua avaliação, tendo qualquer dúvida estamos à disposição.
Att
Tem tudo Shop</v>
      </c>
    </row>
    <row r="134" spans="1:15">
      <c r="A134" s="52" t="str">
        <f>_xlfn.XLOOKUP(Follow[[#This Row],[CODRASTREIO]],Controle_Pedidos[Cód Rastreamento],Controle_Pedidos[Número Pedido Cliente])</f>
        <v>Pedido 292</v>
      </c>
      <c r="B134" s="2" t="s">
        <v>17727</v>
      </c>
      <c r="C134" s="2" t="str">
        <f>Follow[[#This Row],[CODRASTREIO]]&amp;" B"</f>
        <v>CódRastreio285 B</v>
      </c>
      <c r="D134" s="52" t="str">
        <f>_xlfn.XLOOKUP(Follow[[#This Row],[Id Pedido]],Controle_Pedidos[Número Pedido Cliente],Controle_Pedidos[Loja])</f>
        <v>BV</v>
      </c>
      <c r="E134" s="9">
        <f>_xlfn.XLOOKUP(Follow[[#This Row],[Id Pedido]],Controle_Pedidos[Número Pedido Cliente],Controle_Pedidos[Prazo Entrega])</f>
        <v>45630</v>
      </c>
      <c r="F134" s="9" t="s">
        <v>19433</v>
      </c>
      <c r="G134" s="9" t="s">
        <v>37</v>
      </c>
      <c r="H134" s="52" t="s">
        <v>179</v>
      </c>
      <c r="I134" s="52" t="s">
        <v>178</v>
      </c>
      <c r="J134" s="55">
        <v>45618</v>
      </c>
      <c r="K134" s="54" t="s">
        <v>198</v>
      </c>
      <c r="L134" s="8" t="s">
        <v>124</v>
      </c>
      <c r="M134" s="8" t="s">
        <v>37</v>
      </c>
      <c r="N134" s="52" t="str">
        <f>IF(Follow[[#This Row],[DATAATUALIZAÇÃO]]&lt;=Follow[[#This Row],[Prev Entrega]],"Dentro do Prazo","Fora do Prazo")</f>
        <v>Dentro do Prazo</v>
      </c>
      <c r="O1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22/11/2024, referente ao pedido Nº Pedido 292 Rastreio Pedido 292, agradecemos a preferência e adoraríamos receber sua avaliação, tendo qualquer dúvida estamos à disposição.
Att
Tem tudo Shop</v>
      </c>
    </row>
    <row r="135" spans="1:15">
      <c r="A135" s="52" t="str">
        <f>_xlfn.XLOOKUP(Follow[[#This Row],[CODRASTREIO]],Controle_Pedidos[Cód Rastreamento],Controle_Pedidos[Número Pedido Cliente])</f>
        <v>Pedido 521</v>
      </c>
      <c r="B135" s="2" t="s">
        <v>17948</v>
      </c>
      <c r="C135" s="2" t="str">
        <f>Follow[[#This Row],[CODRASTREIO]]&amp;" B"</f>
        <v>CódRastreio506 B</v>
      </c>
      <c r="D135" s="52" t="str">
        <f>_xlfn.XLOOKUP(Follow[[#This Row],[Id Pedido]],Controle_Pedidos[Número Pedido Cliente],Controle_Pedidos[Loja])</f>
        <v>BV</v>
      </c>
      <c r="E135" s="9">
        <f>_xlfn.XLOOKUP(Follow[[#This Row],[Id Pedido]],Controle_Pedidos[Número Pedido Cliente],Controle_Pedidos[Prazo Entrega])</f>
        <v>45666</v>
      </c>
      <c r="F135" s="9" t="s">
        <v>19433</v>
      </c>
      <c r="G135" s="9" t="s">
        <v>37</v>
      </c>
      <c r="H135" s="52" t="s">
        <v>179</v>
      </c>
      <c r="I135" s="52" t="s">
        <v>178</v>
      </c>
      <c r="J135" s="55">
        <v>45653</v>
      </c>
      <c r="K135" s="52" t="s">
        <v>198</v>
      </c>
      <c r="L135" s="8" t="s">
        <v>124</v>
      </c>
      <c r="M135" s="8" t="s">
        <v>37</v>
      </c>
      <c r="N135" s="52" t="str">
        <f>IF(Follow[[#This Row],[DATAATUALIZAÇÃO]]&lt;=Follow[[#This Row],[Prev Entrega]],"Dentro do Prazo","Fora do Prazo")</f>
        <v>Dentro do Prazo</v>
      </c>
      <c r="O1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27/12/2024, referente ao pedido Nº Pedido 521 Rastreio Pedido 521, agradecemos a preferência e adoraríamos receber sua avaliação, tendo qualquer dúvida estamos à disposição.
Att
Tem tudo Shop</v>
      </c>
    </row>
    <row r="136" spans="1:15">
      <c r="A136" s="52" t="str">
        <f>_xlfn.XLOOKUP(Follow[[#This Row],[CODRASTREIO]],Controle_Pedidos[Cód Rastreamento],Controle_Pedidos[Número Pedido Cliente])</f>
        <v>Pedido 484</v>
      </c>
      <c r="B136" s="2" t="s">
        <v>17911</v>
      </c>
      <c r="C136" s="2" t="str">
        <f>Follow[[#This Row],[CODRASTREIO]]&amp;" B"</f>
        <v>CódRastreio469 B</v>
      </c>
      <c r="D136" s="52" t="str">
        <f>_xlfn.XLOOKUP(Follow[[#This Row],[Id Pedido]],Controle_Pedidos[Número Pedido Cliente],Controle_Pedidos[Loja])</f>
        <v>BV</v>
      </c>
      <c r="E136" s="9">
        <f>_xlfn.XLOOKUP(Follow[[#This Row],[Id Pedido]],Controle_Pedidos[Número Pedido Cliente],Controle_Pedidos[Prazo Entrega])</f>
        <v>45647</v>
      </c>
      <c r="F136" s="9" t="s">
        <v>19433</v>
      </c>
      <c r="G136" s="9" t="s">
        <v>37</v>
      </c>
      <c r="H136" s="55" t="s">
        <v>179</v>
      </c>
      <c r="I136" s="55" t="s">
        <v>178</v>
      </c>
      <c r="J136" s="55">
        <v>45639</v>
      </c>
      <c r="K136" s="52" t="s">
        <v>198</v>
      </c>
      <c r="L136" s="8" t="s">
        <v>124</v>
      </c>
      <c r="M136" s="8" t="s">
        <v>37</v>
      </c>
      <c r="N136" s="52" t="str">
        <f>IF(Follow[[#This Row],[DATAATUALIZAÇÃO]]&lt;=Follow[[#This Row],[Prev Entrega]],"Dentro do Prazo","Fora do Prazo")</f>
        <v>Dentro do Prazo</v>
      </c>
      <c r="O1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13/12/2024, referente ao pedido Nº Pedido 484 Rastreio Pedido 484, agradecemos a preferência e adoraríamos receber sua avaliação, tendo qualquer dúvida estamos à disposição.
Att
Tem tudo Shop</v>
      </c>
    </row>
    <row r="137" spans="1:15">
      <c r="A137" s="52" t="str">
        <f>_xlfn.XLOOKUP(Follow[[#This Row],[CODRASTREIO]],Controle_Pedidos[Cód Rastreamento],Controle_Pedidos[Número Pedido Cliente])</f>
        <v>Pedido 323</v>
      </c>
      <c r="B137" s="2" t="s">
        <v>17758</v>
      </c>
      <c r="C137" s="2" t="str">
        <f>Follow[[#This Row],[CODRASTREIO]]&amp;" B"</f>
        <v>CódRastreio316 B</v>
      </c>
      <c r="D137" s="52" t="str">
        <f>_xlfn.XLOOKUP(Follow[[#This Row],[Id Pedido]],Controle_Pedidos[Número Pedido Cliente],Controle_Pedidos[Loja])</f>
        <v>BV</v>
      </c>
      <c r="E137" s="9">
        <f>_xlfn.XLOOKUP(Follow[[#This Row],[Id Pedido]],Controle_Pedidos[Número Pedido Cliente],Controle_Pedidos[Prazo Entrega])</f>
        <v>45629</v>
      </c>
      <c r="F137" s="9" t="s">
        <v>19433</v>
      </c>
      <c r="G137" s="9" t="s">
        <v>37</v>
      </c>
      <c r="H137" s="52" t="s">
        <v>178</v>
      </c>
      <c r="I137" s="52" t="s">
        <v>178</v>
      </c>
      <c r="J137" s="55">
        <v>45611</v>
      </c>
      <c r="K137" s="54" t="s">
        <v>198</v>
      </c>
      <c r="L137" s="8" t="s">
        <v>124</v>
      </c>
      <c r="M137" s="8" t="s">
        <v>37</v>
      </c>
      <c r="N137" s="52" t="str">
        <f>IF(Follow[[#This Row],[DATAATUALIZAÇÃO]]&lt;=Follow[[#This Row],[Prev Entrega]],"Dentro do Prazo","Fora do Prazo")</f>
        <v>Dentro do Prazo</v>
      </c>
      <c r="O1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15/11/2024, referente ao pedido Nº Pedido 323 Rastreio Pedido 323, agradecemos a preferência e adoraríamos receber sua avaliação, tendo qualquer dúvida estamos à disposição.
Att
Tem tudo Shop</v>
      </c>
    </row>
    <row r="138" spans="1:15">
      <c r="A138" s="52" t="str">
        <f>_xlfn.XLOOKUP(Follow[[#This Row],[CODRASTREIO]],Controle_Pedidos[Cód Rastreamento],Controle_Pedidos[Número Pedido Cliente])</f>
        <v>Pedido 297</v>
      </c>
      <c r="B138" s="2" t="s">
        <v>17732</v>
      </c>
      <c r="C138" s="2" t="str">
        <f>Follow[[#This Row],[CODRASTREIO]]&amp;" B"</f>
        <v>CódRastreio290 B</v>
      </c>
      <c r="D138" s="52" t="str">
        <f>_xlfn.XLOOKUP(Follow[[#This Row],[Id Pedido]],Controle_Pedidos[Número Pedido Cliente],Controle_Pedidos[Loja])</f>
        <v>BV</v>
      </c>
      <c r="E138" s="9">
        <f>_xlfn.XLOOKUP(Follow[[#This Row],[Id Pedido]],Controle_Pedidos[Número Pedido Cliente],Controle_Pedidos[Prazo Entrega])</f>
        <v>45625</v>
      </c>
      <c r="F138" s="9" t="s">
        <v>19433</v>
      </c>
      <c r="G138" s="9" t="s">
        <v>37</v>
      </c>
      <c r="H138" s="52" t="s">
        <v>178</v>
      </c>
      <c r="I138" s="52" t="s">
        <v>178</v>
      </c>
      <c r="J138" s="55">
        <v>45625</v>
      </c>
      <c r="K138" s="54" t="s">
        <v>198</v>
      </c>
      <c r="L138" s="8" t="s">
        <v>124</v>
      </c>
      <c r="M138" s="8" t="s">
        <v>37</v>
      </c>
      <c r="N138" s="52" t="str">
        <f>IF(Follow[[#This Row],[DATAATUALIZAÇÃO]]&lt;=Follow[[#This Row],[Prev Entrega]],"Dentro do Prazo","Fora do Prazo")</f>
        <v>Dentro do Prazo</v>
      </c>
      <c r="O1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29/11/2024, referente ao pedido Nº Pedido 297 Rastreio Pedido 297, agradecemos a preferência e adoraríamos receber sua avaliação, tendo qualquer dúvida estamos à disposição.
Att
Tem tudo Shop</v>
      </c>
    </row>
    <row r="139" spans="1:15">
      <c r="A139" s="52" t="str">
        <f>_xlfn.XLOOKUP(Follow[[#This Row],[CODRASTREIO]],Controle_Pedidos[Cód Rastreamento],Controle_Pedidos[Número Pedido Cliente])</f>
        <v>Pedido 490</v>
      </c>
      <c r="B139" s="2" t="s">
        <v>17918</v>
      </c>
      <c r="C139" s="2" t="str">
        <f>Follow[[#This Row],[CODRASTREIO]]&amp;" B"</f>
        <v>CódRastreio476 B</v>
      </c>
      <c r="D139" s="52" t="str">
        <f>_xlfn.XLOOKUP(Follow[[#This Row],[Id Pedido]],Controle_Pedidos[Número Pedido Cliente],Controle_Pedidos[Loja])</f>
        <v>BV</v>
      </c>
      <c r="E139" s="9">
        <f>_xlfn.XLOOKUP(Follow[[#This Row],[Id Pedido]],Controle_Pedidos[Número Pedido Cliente],Controle_Pedidos[Prazo Entrega])</f>
        <v>45657</v>
      </c>
      <c r="F139" s="9" t="s">
        <v>19433</v>
      </c>
      <c r="G139" s="9" t="s">
        <v>37</v>
      </c>
      <c r="H139" s="55" t="s">
        <v>178</v>
      </c>
      <c r="I139" s="55" t="s">
        <v>178</v>
      </c>
      <c r="J139" s="55">
        <v>45636</v>
      </c>
      <c r="K139" s="52" t="s">
        <v>198</v>
      </c>
      <c r="L139" s="8" t="s">
        <v>124</v>
      </c>
      <c r="M139" s="8" t="s">
        <v>37</v>
      </c>
      <c r="N139" s="52" t="str">
        <f>IF(Follow[[#This Row],[DATAATUALIZAÇÃO]]&lt;=Follow[[#This Row],[Prev Entrega]],"Dentro do Prazo","Fora do Prazo")</f>
        <v>Dentro do Prazo</v>
      </c>
      <c r="O1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10/12/2024, referente ao pedido Nº Pedido 490 Rastreio Pedido 490, agradecemos a preferência e adoraríamos receber sua avaliação, tendo qualquer dúvida estamos à disposição.
Att
Tem tudo Shop</v>
      </c>
    </row>
    <row r="140" spans="1:15">
      <c r="A140" s="52" t="str">
        <f>_xlfn.XLOOKUP(Follow[[#This Row],[CODRASTREIO]],Controle_Pedidos[Cód Rastreamento],Controle_Pedidos[Número Pedido Cliente])</f>
        <v>Pedido 464</v>
      </c>
      <c r="B140" s="2" t="s">
        <v>17891</v>
      </c>
      <c r="C140" s="2" t="str">
        <f>Follow[[#This Row],[CODRASTREIO]]&amp;" B"</f>
        <v>CódRastreio449 B</v>
      </c>
      <c r="D140" s="52" t="str">
        <f>_xlfn.XLOOKUP(Follow[[#This Row],[Id Pedido]],Controle_Pedidos[Número Pedido Cliente],Controle_Pedidos[Loja])</f>
        <v>BV</v>
      </c>
      <c r="E140" s="9">
        <f>_xlfn.XLOOKUP(Follow[[#This Row],[Id Pedido]],Controle_Pedidos[Número Pedido Cliente],Controle_Pedidos[Prazo Entrega])</f>
        <v>45645</v>
      </c>
      <c r="F140" s="9" t="s">
        <v>19433</v>
      </c>
      <c r="G140" s="9" t="s">
        <v>37</v>
      </c>
      <c r="H140" s="55" t="s">
        <v>179</v>
      </c>
      <c r="I140" s="55" t="s">
        <v>178</v>
      </c>
      <c r="J140" s="55">
        <v>45632.580509259256</v>
      </c>
      <c r="K140" s="54" t="s">
        <v>198</v>
      </c>
      <c r="L140" s="8" t="s">
        <v>124</v>
      </c>
      <c r="M140" s="8" t="s">
        <v>37</v>
      </c>
      <c r="N140" s="52" t="str">
        <f>IF(Follow[[#This Row],[DATAATUALIZAÇÃO]]&lt;=Follow[[#This Row],[Prev Entrega]],"Dentro do Prazo","Fora do Prazo")</f>
        <v>Dentro do Prazo</v>
      </c>
      <c r="O1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06/12/2024, referente ao pedido Nº Pedido 464 Rastreio Pedido 464, agradecemos a preferência e adoraríamos receber sua avaliação, tendo qualquer dúvida estamos à disposição.
Att
Tem tudo Shop</v>
      </c>
    </row>
    <row r="141" spans="1:15">
      <c r="A141" s="52" t="str">
        <f>_xlfn.XLOOKUP(Follow[[#This Row],[CODRASTREIO]],Controle_Pedidos[Cód Rastreamento],Controle_Pedidos[Número Pedido Cliente])</f>
        <v>Pedido 545</v>
      </c>
      <c r="B141" s="2" t="s">
        <v>17972</v>
      </c>
      <c r="C141" s="2" t="str">
        <f>Follow[[#This Row],[CODRASTREIO]]&amp;" B"</f>
        <v>CódRastreio530 B</v>
      </c>
      <c r="D141" s="52" t="str">
        <f>_xlfn.XLOOKUP(Follow[[#This Row],[Id Pedido]],Controle_Pedidos[Número Pedido Cliente],Controle_Pedidos[Loja])</f>
        <v>BV</v>
      </c>
      <c r="E141" s="9">
        <f>_xlfn.XLOOKUP(Follow[[#This Row],[Id Pedido]],Controle_Pedidos[Número Pedido Cliente],Controle_Pedidos[Prazo Entrega])</f>
        <v>45671</v>
      </c>
      <c r="F141" s="9" t="s">
        <v>19433</v>
      </c>
      <c r="G141" s="9" t="s">
        <v>37</v>
      </c>
      <c r="H141" s="52" t="s">
        <v>179</v>
      </c>
      <c r="I141" s="52" t="s">
        <v>178</v>
      </c>
      <c r="J141" s="55">
        <v>45659</v>
      </c>
      <c r="K141" s="52" t="s">
        <v>198</v>
      </c>
      <c r="L141" s="8" t="s">
        <v>124</v>
      </c>
      <c r="M141" s="8" t="s">
        <v>37</v>
      </c>
      <c r="N141" s="52" t="str">
        <f>IF(Follow[[#This Row],[DATAATUALIZAÇÃO]]&lt;=Follow[[#This Row],[Prev Entrega]],"Dentro do Prazo","Fora do Prazo")</f>
        <v>Dentro do Prazo</v>
      </c>
      <c r="O14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02/01/2025, referente ao pedido Nº Pedido 545 Rastreio Pedido 545, agradecemos a preferência e adoraríamos receber sua avaliação, tendo qualquer dúvida estamos à disposição.
Att
Tem tudo Shop</v>
      </c>
    </row>
    <row r="142" spans="1:15">
      <c r="A142" s="52" t="str">
        <f>_xlfn.XLOOKUP(Follow[[#This Row],[CODRASTREIO]],Controle_Pedidos[Cód Rastreamento],Controle_Pedidos[Número Pedido Cliente])</f>
        <v>Pedido 495</v>
      </c>
      <c r="B142" s="2" t="s">
        <v>17923</v>
      </c>
      <c r="C142" s="2" t="str">
        <f>Follow[[#This Row],[CODRASTREIO]]&amp;" B"</f>
        <v>CódRastreio481 B</v>
      </c>
      <c r="D142" s="52" t="str">
        <f>_xlfn.XLOOKUP(Follow[[#This Row],[Id Pedido]],Controle_Pedidos[Número Pedido Cliente],Controle_Pedidos[Loja])</f>
        <v>BV</v>
      </c>
      <c r="E142" s="9">
        <f>_xlfn.XLOOKUP(Follow[[#This Row],[Id Pedido]],Controle_Pedidos[Número Pedido Cliente],Controle_Pedidos[Prazo Entrega])</f>
        <v>45650</v>
      </c>
      <c r="F142" s="9" t="s">
        <v>19433</v>
      </c>
      <c r="G142" s="9" t="s">
        <v>37</v>
      </c>
      <c r="H142" s="55" t="s">
        <v>179</v>
      </c>
      <c r="I142" s="55" t="s">
        <v>178</v>
      </c>
      <c r="J142" s="55">
        <v>45642</v>
      </c>
      <c r="K142" s="52" t="s">
        <v>198</v>
      </c>
      <c r="L142" s="8" t="s">
        <v>124</v>
      </c>
      <c r="M142" s="8" t="s">
        <v>37</v>
      </c>
      <c r="N142" s="52" t="str">
        <f>IF(Follow[[#This Row],[DATAATUALIZAÇÃO]]&lt;=Follow[[#This Row],[Prev Entrega]],"Dentro do Prazo","Fora do Prazo")</f>
        <v>Dentro do Prazo</v>
      </c>
      <c r="O1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16/12/2024, referente ao pedido Nº Pedido 495 Rastreio Pedido 495, agradecemos a preferência e adoraríamos receber sua avaliação, tendo qualquer dúvida estamos à disposição.
Att
Tem tudo Shop</v>
      </c>
    </row>
    <row r="143" spans="1:15">
      <c r="A143" s="52" t="str">
        <f>_xlfn.XLOOKUP(Follow[[#This Row],[CODRASTREIO]],Controle_Pedidos[Cód Rastreamento],Controle_Pedidos[Número Pedido Cliente])</f>
        <v>Pedido 486</v>
      </c>
      <c r="B143" s="2" t="s">
        <v>17913</v>
      </c>
      <c r="C143" s="2" t="str">
        <f>Follow[[#This Row],[CODRASTREIO]]&amp;" B"</f>
        <v>CódRastreio471 B</v>
      </c>
      <c r="D143" s="52" t="str">
        <f>_xlfn.XLOOKUP(Follow[[#This Row],[Id Pedido]],Controle_Pedidos[Número Pedido Cliente],Controle_Pedidos[Loja])</f>
        <v>BV</v>
      </c>
      <c r="E143" s="9">
        <f>_xlfn.XLOOKUP(Follow[[#This Row],[Id Pedido]],Controle_Pedidos[Número Pedido Cliente],Controle_Pedidos[Prazo Entrega])</f>
        <v>45647</v>
      </c>
      <c r="F143" s="9" t="s">
        <v>19433</v>
      </c>
      <c r="G143" s="9" t="s">
        <v>37</v>
      </c>
      <c r="H143" s="55" t="s">
        <v>179</v>
      </c>
      <c r="I143" s="55" t="s">
        <v>178</v>
      </c>
      <c r="J143" s="55">
        <v>45637</v>
      </c>
      <c r="K143" s="52" t="s">
        <v>198</v>
      </c>
      <c r="L143" s="8" t="s">
        <v>124</v>
      </c>
      <c r="M143" s="8" t="s">
        <v>37</v>
      </c>
      <c r="N143" s="52" t="str">
        <f>IF(Follow[[#This Row],[DATAATUALIZAÇÃO]]&lt;=Follow[[#This Row],[Prev Entrega]],"Dentro do Prazo","Fora do Prazo")</f>
        <v>Dentro do Prazo</v>
      </c>
      <c r="O1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486 Rastreio Pedido 486, agradecemos a preferência e adoraríamos receber sua avaliação, tendo qualquer dúvida estamos à disposição.
Att
Tem tudo Shop</v>
      </c>
    </row>
    <row r="144" spans="1:15">
      <c r="A144" s="52" t="str">
        <f>_xlfn.XLOOKUP(Follow[[#This Row],[CODRASTREIO]],Controle_Pedidos[Cód Rastreamento],Controle_Pedidos[Número Pedido Cliente])</f>
        <v>Pedido 532</v>
      </c>
      <c r="B144" s="2" t="s">
        <v>17959</v>
      </c>
      <c r="C144" s="2" t="str">
        <f>Follow[[#This Row],[CODRASTREIO]]&amp;" B"</f>
        <v>CódRastreio517 B</v>
      </c>
      <c r="D144" s="52" t="str">
        <f>_xlfn.XLOOKUP(Follow[[#This Row],[Id Pedido]],Controle_Pedidos[Número Pedido Cliente],Controle_Pedidos[Loja])</f>
        <v>BV</v>
      </c>
      <c r="E144" s="9">
        <f>_xlfn.XLOOKUP(Follow[[#This Row],[Id Pedido]],Controle_Pedidos[Número Pedido Cliente],Controle_Pedidos[Prazo Entrega])</f>
        <v>45664</v>
      </c>
      <c r="F144" s="9" t="s">
        <v>19433</v>
      </c>
      <c r="G144" s="9" t="s">
        <v>37</v>
      </c>
      <c r="H144" s="52" t="s">
        <v>179</v>
      </c>
      <c r="I144" s="52" t="s">
        <v>178</v>
      </c>
      <c r="J144" s="55">
        <v>45646</v>
      </c>
      <c r="K144" s="52" t="s">
        <v>198</v>
      </c>
      <c r="L144" s="8" t="s">
        <v>124</v>
      </c>
      <c r="M144" s="8" t="s">
        <v>37</v>
      </c>
      <c r="N144" s="52" t="str">
        <f>IF(Follow[[#This Row],[DATAATUALIZAÇÃO]]&lt;=Follow[[#This Row],[Prev Entrega]],"Dentro do Prazo","Fora do Prazo")</f>
        <v>Dentro do Prazo</v>
      </c>
      <c r="O14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20/12/2024, referente ao pedido Nº Pedido 532 Rastreio Pedido 532, agradecemos a preferência e adoraríamos receber sua avaliação, tendo qualquer dúvida estamos à disposição.
Att
Tem tudo Shop</v>
      </c>
    </row>
    <row r="145" spans="1:15">
      <c r="A145" s="52" t="str">
        <f>_xlfn.XLOOKUP(Follow[[#This Row],[CODRASTREIO]],Controle_Pedidos[Cód Rastreamento],Controle_Pedidos[Número Pedido Cliente])</f>
        <v>Pedido 370</v>
      </c>
      <c r="B145" s="2" t="s">
        <v>17802</v>
      </c>
      <c r="C145" s="2" t="str">
        <f>Follow[[#This Row],[CODRASTREIO]]&amp;" B"</f>
        <v>CódRastreio360 B</v>
      </c>
      <c r="D145" s="52" t="str">
        <f>_xlfn.XLOOKUP(Follow[[#This Row],[Id Pedido]],Controle_Pedidos[Número Pedido Cliente],Controle_Pedidos[Loja])</f>
        <v>BV</v>
      </c>
      <c r="E145" s="9">
        <f>_xlfn.XLOOKUP(Follow[[#This Row],[Id Pedido]],Controle_Pedidos[Número Pedido Cliente],Controle_Pedidos[Prazo Entrega])</f>
        <v>45638</v>
      </c>
      <c r="F145" s="9" t="s">
        <v>19433</v>
      </c>
      <c r="G145" s="9" t="s">
        <v>37</v>
      </c>
      <c r="H145" s="52" t="s">
        <v>179</v>
      </c>
      <c r="I145" s="52" t="s">
        <v>178</v>
      </c>
      <c r="J145" s="55">
        <v>45629</v>
      </c>
      <c r="K145" s="54" t="s">
        <v>198</v>
      </c>
      <c r="L145" s="8" t="s">
        <v>124</v>
      </c>
      <c r="M145" s="8" t="s">
        <v>199</v>
      </c>
      <c r="N145" s="52" t="str">
        <f>IF(Follow[[#This Row],[DATAATUALIZAÇÃO]]&lt;=Follow[[#This Row],[Prev Entrega]],"Dentro do Prazo","Fora do Prazo")</f>
        <v>Dentro do Prazo</v>
      </c>
      <c r="O1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03/12/2024, referente ao pedido Nº Pedido 370 Rastreio Pedido 370, agradecemos a preferência e adoraríamos receber sua avaliação, tendo qualquer dúvida estamos à disposição.
Att
Tem tudo Shop</v>
      </c>
    </row>
    <row r="146" spans="1:15">
      <c r="A146" s="52" t="str">
        <f>_xlfn.XLOOKUP(Follow[[#This Row],[CODRASTREIO]],Controle_Pedidos[Cód Rastreamento],Controle_Pedidos[Número Pedido Cliente])</f>
        <v>Pedido 422</v>
      </c>
      <c r="B146" s="2" t="s">
        <v>17853</v>
      </c>
      <c r="C146" s="2" t="str">
        <f>Follow[[#This Row],[CODRASTREIO]]&amp;" B"</f>
        <v>CódRastreio411 B</v>
      </c>
      <c r="D146" s="52" t="str">
        <f>_xlfn.XLOOKUP(Follow[[#This Row],[Id Pedido]],Controle_Pedidos[Número Pedido Cliente],Controle_Pedidos[Loja])</f>
        <v>BV</v>
      </c>
      <c r="E146" s="9">
        <f>_xlfn.XLOOKUP(Follow[[#This Row],[Id Pedido]],Controle_Pedidos[Número Pedido Cliente],Controle_Pedidos[Prazo Entrega])</f>
        <v>45638</v>
      </c>
      <c r="F146" s="9" t="s">
        <v>19433</v>
      </c>
      <c r="G146" s="9" t="s">
        <v>37</v>
      </c>
      <c r="H146" s="52" t="s">
        <v>179</v>
      </c>
      <c r="I146" s="52" t="s">
        <v>178</v>
      </c>
      <c r="J146" s="55">
        <v>45628</v>
      </c>
      <c r="K146" s="54" t="s">
        <v>198</v>
      </c>
      <c r="L146" s="8" t="s">
        <v>124</v>
      </c>
      <c r="M146" s="8" t="s">
        <v>37</v>
      </c>
      <c r="N146" s="52" t="str">
        <f>IF(Follow[[#This Row],[DATAATUALIZAÇÃO]]&lt;=Follow[[#This Row],[Prev Entrega]],"Dentro do Prazo","Fora do Prazo")</f>
        <v>Dentro do Prazo</v>
      </c>
      <c r="O1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02/12/2024, referente ao pedido Nº Pedido 422 Rastreio Pedido 422, agradecemos a preferência e adoraríamos receber sua avaliação, tendo qualquer dúvida estamos à disposição.
Att
Tem tudo Shop</v>
      </c>
    </row>
    <row r="147" spans="1:15">
      <c r="A147" s="52" t="str">
        <f>_xlfn.XLOOKUP(Follow[[#This Row],[CODRASTREIO]],Controle_Pedidos[Cód Rastreamento],Controle_Pedidos[Número Pedido Cliente])</f>
        <v>Pedido 186</v>
      </c>
      <c r="B147" s="2" t="s">
        <v>17621</v>
      </c>
      <c r="C147" s="2" t="str">
        <f>Follow[[#This Row],[CODRASTREIO]]&amp;" B"</f>
        <v>CódRastreio179 B</v>
      </c>
      <c r="D147" s="52" t="str">
        <f>_xlfn.XLOOKUP(Follow[[#This Row],[Id Pedido]],Controle_Pedidos[Número Pedido Cliente],Controle_Pedidos[Loja])</f>
        <v>BV</v>
      </c>
      <c r="E147" s="9">
        <f>_xlfn.XLOOKUP(Follow[[#This Row],[Id Pedido]],Controle_Pedidos[Número Pedido Cliente],Controle_Pedidos[Prazo Entrega])</f>
        <v>45604</v>
      </c>
      <c r="F147" s="9" t="s">
        <v>19433</v>
      </c>
      <c r="G147" s="9" t="s">
        <v>37</v>
      </c>
      <c r="H147" s="52" t="s">
        <v>178</v>
      </c>
      <c r="I147" s="52" t="s">
        <v>178</v>
      </c>
      <c r="J147" s="55">
        <v>45598</v>
      </c>
      <c r="K147" s="54" t="s">
        <v>198</v>
      </c>
      <c r="L147" s="8" t="s">
        <v>124</v>
      </c>
      <c r="M147" s="8" t="s">
        <v>37</v>
      </c>
      <c r="N147" s="52" t="str">
        <f>IF(Follow[[#This Row],[DATAATUALIZAÇÃO]]&lt;=Follow[[#This Row],[Prev Entrega]],"Dentro do Prazo","Fora do Prazo")</f>
        <v>Dentro do Prazo</v>
      </c>
      <c r="O1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02/11/2024, referente ao pedido Nº Pedido 186 Rastreio Pedido 186, agradecemos a preferência e adoraríamos receber sua avaliação, tendo qualquer dúvida estamos à disposição.
Att
Tem tudo Shop</v>
      </c>
    </row>
    <row r="148" spans="1:15">
      <c r="A148" s="52" t="str">
        <f>_xlfn.XLOOKUP(Follow[[#This Row],[CODRASTREIO]],Controle_Pedidos[Cód Rastreamento],Controle_Pedidos[Número Pedido Cliente])</f>
        <v>Pedido 118</v>
      </c>
      <c r="B148" s="2" t="s">
        <v>17553</v>
      </c>
      <c r="C148" s="2" t="str">
        <f>Follow[[#This Row],[CODRASTREIO]]&amp;" B"</f>
        <v>CódRastreio111 B</v>
      </c>
      <c r="D148" s="52" t="str">
        <f>_xlfn.XLOOKUP(Follow[[#This Row],[Id Pedido]],Controle_Pedidos[Número Pedido Cliente],Controle_Pedidos[Loja])</f>
        <v>BV</v>
      </c>
      <c r="E148" s="9">
        <f>_xlfn.XLOOKUP(Follow[[#This Row],[Id Pedido]],Controle_Pedidos[Número Pedido Cliente],Controle_Pedidos[Prazo Entrega])</f>
        <v>45610</v>
      </c>
      <c r="F148" s="9" t="s">
        <v>19433</v>
      </c>
      <c r="G148" s="9" t="s">
        <v>37</v>
      </c>
      <c r="H148" s="52" t="s">
        <v>178</v>
      </c>
      <c r="I148" s="52" t="s">
        <v>178</v>
      </c>
      <c r="J148" s="55">
        <v>45596</v>
      </c>
      <c r="K148" s="54" t="s">
        <v>198</v>
      </c>
      <c r="L148" s="8" t="s">
        <v>124</v>
      </c>
      <c r="M148" s="8" t="s">
        <v>37</v>
      </c>
      <c r="N148" s="52" t="str">
        <f>IF(Follow[[#This Row],[DATAATUALIZAÇÃO]]&lt;=Follow[[#This Row],[Prev Entrega]],"Dentro do Prazo","Fora do Prazo")</f>
        <v>Dentro do Prazo</v>
      </c>
      <c r="O1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118 Rastreio Pedido 118, agradecemos a preferência e adoraríamos receber sua avaliação, tendo qualquer dúvida estamos à disposição.
Att
Tem tudo Shop</v>
      </c>
    </row>
    <row r="149" spans="1:15">
      <c r="A149" s="52" t="str">
        <f>_xlfn.XLOOKUP(Follow[[#This Row],[CODRASTREIO]],Controle_Pedidos[Cód Rastreamento],Controle_Pedidos[Número Pedido Cliente])</f>
        <v>Pedido 412</v>
      </c>
      <c r="B149" s="2" t="s">
        <v>17843</v>
      </c>
      <c r="C149" s="2" t="str">
        <f>Follow[[#This Row],[CODRASTREIO]]&amp;" B"</f>
        <v>CódRastreio401 B</v>
      </c>
      <c r="D149" s="52" t="str">
        <f>_xlfn.XLOOKUP(Follow[[#This Row],[Id Pedido]],Controle_Pedidos[Número Pedido Cliente],Controle_Pedidos[Loja])</f>
        <v>BV</v>
      </c>
      <c r="E149" s="9">
        <f>_xlfn.XLOOKUP(Follow[[#This Row],[Id Pedido]],Controle_Pedidos[Número Pedido Cliente],Controle_Pedidos[Prazo Entrega])</f>
        <v>45637</v>
      </c>
      <c r="F149" s="9" t="s">
        <v>19433</v>
      </c>
      <c r="G149" s="9" t="s">
        <v>37</v>
      </c>
      <c r="H149" s="52" t="s">
        <v>178</v>
      </c>
      <c r="I149" s="52" t="s">
        <v>178</v>
      </c>
      <c r="J149" s="55">
        <v>45624</v>
      </c>
      <c r="K149" s="54" t="s">
        <v>198</v>
      </c>
      <c r="L149" s="8" t="s">
        <v>124</v>
      </c>
      <c r="M149" s="8" t="s">
        <v>37</v>
      </c>
      <c r="N149" s="52" t="str">
        <f>IF(Follow[[#This Row],[DATAATUALIZAÇÃO]]&lt;=Follow[[#This Row],[Prev Entrega]],"Dentro do Prazo","Fora do Prazo")</f>
        <v>Dentro do Prazo</v>
      </c>
      <c r="O1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28/11/2024, referente ao pedido Nº Pedido 412 Rastreio Pedido 412, agradecemos a preferência e adoraríamos receber sua avaliação, tendo qualquer dúvida estamos à disposição.
Att
Tem tudo Shop</v>
      </c>
    </row>
    <row r="150" spans="1:15">
      <c r="A150" s="52" t="str">
        <f>_xlfn.XLOOKUP(Follow[[#This Row],[CODRASTREIO]],Controle_Pedidos[Cód Rastreamento],Controle_Pedidos[Número Pedido Cliente])</f>
        <v>Pedido 442</v>
      </c>
      <c r="B150" s="2" t="s">
        <v>17869</v>
      </c>
      <c r="C150" s="2" t="str">
        <f>Follow[[#This Row],[CODRASTREIO]]&amp;" B"</f>
        <v>CódRastreio427 B</v>
      </c>
      <c r="D150" s="52" t="str">
        <f>_xlfn.XLOOKUP(Follow[[#This Row],[Id Pedido]],Controle_Pedidos[Número Pedido Cliente],Controle_Pedidos[Loja])</f>
        <v>BV</v>
      </c>
      <c r="E150" s="9">
        <f>_xlfn.XLOOKUP(Follow[[#This Row],[Id Pedido]],Controle_Pedidos[Número Pedido Cliente],Controle_Pedidos[Prazo Entrega])</f>
        <v>45643</v>
      </c>
      <c r="F150" s="9" t="s">
        <v>19433</v>
      </c>
      <c r="G150" s="9" t="s">
        <v>37</v>
      </c>
      <c r="H150" s="55" t="s">
        <v>178</v>
      </c>
      <c r="I150" s="55" t="s">
        <v>178</v>
      </c>
      <c r="J150" s="55">
        <v>45631.678935185184</v>
      </c>
      <c r="K150" s="54" t="s">
        <v>198</v>
      </c>
      <c r="L150" s="8" t="s">
        <v>124</v>
      </c>
      <c r="M150" s="8" t="s">
        <v>37</v>
      </c>
      <c r="N150" s="52" t="str">
        <f>IF(Follow[[#This Row],[DATAATUALIZAÇÃO]]&lt;=Follow[[#This Row],[Prev Entrega]],"Dentro do Prazo","Fora do Prazo")</f>
        <v>Dentro do Prazo</v>
      </c>
      <c r="O1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05/12/2024, referente ao pedido Nº Pedido 442 Rastreio Pedido 442, agradecemos a preferência e adoraríamos receber sua avaliação, tendo qualquer dúvida estamos à disposição.
Att
Tem tudo Shop</v>
      </c>
    </row>
    <row r="151" spans="1:15">
      <c r="A151" s="52" t="str">
        <f>_xlfn.XLOOKUP(Follow[[#This Row],[CODRASTREIO]],Controle_Pedidos[Cód Rastreamento],Controle_Pedidos[Número Pedido Cliente])</f>
        <v>Pedido 84</v>
      </c>
      <c r="B151" s="2" t="s">
        <v>17519</v>
      </c>
      <c r="C151" s="2" t="str">
        <f>Follow[[#This Row],[CODRASTREIO]]&amp;" B"</f>
        <v>CódRastreio77 B</v>
      </c>
      <c r="D151" s="52" t="str">
        <f>_xlfn.XLOOKUP(Follow[[#This Row],[Id Pedido]],Controle_Pedidos[Número Pedido Cliente],Controle_Pedidos[Loja])</f>
        <v>BV</v>
      </c>
      <c r="E151" s="9">
        <f>_xlfn.XLOOKUP(Follow[[#This Row],[Id Pedido]],Controle_Pedidos[Número Pedido Cliente],Controle_Pedidos[Prazo Entrega])</f>
        <v>45617</v>
      </c>
      <c r="F151" s="9" t="s">
        <v>19433</v>
      </c>
      <c r="G151" s="9" t="s">
        <v>37</v>
      </c>
      <c r="H151" s="52" t="s">
        <v>178</v>
      </c>
      <c r="I151" s="52" t="s">
        <v>178</v>
      </c>
      <c r="J151" s="55">
        <v>45604</v>
      </c>
      <c r="K151" s="54" t="s">
        <v>198</v>
      </c>
      <c r="L151" s="8" t="s">
        <v>124</v>
      </c>
      <c r="M151" s="8" t="s">
        <v>37</v>
      </c>
      <c r="N151" s="52" t="str">
        <f>IF(Follow[[#This Row],[DATAATUALIZAÇÃO]]&lt;=Follow[[#This Row],[Prev Entrega]],"Dentro do Prazo","Fora do Prazo")</f>
        <v>Dentro do Prazo</v>
      </c>
      <c r="O1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08/11/2024, referente ao pedido Nº Pedido 84 Rastreio Pedido 84, agradecemos a preferência e adoraríamos receber sua avaliação, tendo qualquer dúvida estamos à disposição.
Att
Tem tudo Shop</v>
      </c>
    </row>
    <row r="152" spans="1:15">
      <c r="A152" s="52" t="str">
        <f>_xlfn.XLOOKUP(Follow[[#This Row],[CODRASTREIO]],Controle_Pedidos[Cód Rastreamento],Controle_Pedidos[Número Pedido Cliente])</f>
        <v>Pedido 225</v>
      </c>
      <c r="B152" s="2" t="s">
        <v>17660</v>
      </c>
      <c r="C152" s="2" t="str">
        <f>Follow[[#This Row],[CODRASTREIO]]&amp;" B"</f>
        <v>CódRastreio218 B</v>
      </c>
      <c r="D152" s="52" t="str">
        <f>_xlfn.XLOOKUP(Follow[[#This Row],[Id Pedido]],Controle_Pedidos[Número Pedido Cliente],Controle_Pedidos[Loja])</f>
        <v>BV</v>
      </c>
      <c r="E152" s="9">
        <f>_xlfn.XLOOKUP(Follow[[#This Row],[Id Pedido]],Controle_Pedidos[Número Pedido Cliente],Controle_Pedidos[Prazo Entrega])</f>
        <v>45626</v>
      </c>
      <c r="F152" s="9" t="s">
        <v>19433</v>
      </c>
      <c r="G152" s="9" t="s">
        <v>37</v>
      </c>
      <c r="H152" s="52" t="s">
        <v>178</v>
      </c>
      <c r="I152" s="52" t="s">
        <v>178</v>
      </c>
      <c r="J152" s="55">
        <v>45608</v>
      </c>
      <c r="K152" s="54" t="s">
        <v>198</v>
      </c>
      <c r="L152" s="8" t="s">
        <v>124</v>
      </c>
      <c r="M152" s="8" t="s">
        <v>37</v>
      </c>
      <c r="N152" s="52" t="str">
        <f>IF(Follow[[#This Row],[DATAATUALIZAÇÃO]]&lt;=Follow[[#This Row],[Prev Entrega]],"Dentro do Prazo","Fora do Prazo")</f>
        <v>Dentro do Prazo</v>
      </c>
      <c r="O1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12/11/2024, referente ao pedido Nº Pedido 225 Rastreio Pedido 225, agradecemos a preferência e adoraríamos receber sua avaliação, tendo qualquer dúvida estamos à disposição.
Att
Tem tudo Shop</v>
      </c>
    </row>
    <row r="153" spans="1:15">
      <c r="A153" s="52" t="str">
        <f>_xlfn.XLOOKUP(Follow[[#This Row],[CODRASTREIO]],Controle_Pedidos[Cód Rastreamento],Controle_Pedidos[Número Pedido Cliente])</f>
        <v>Pedido 135</v>
      </c>
      <c r="B153" s="2" t="s">
        <v>17570</v>
      </c>
      <c r="C153" s="2" t="str">
        <f>Follow[[#This Row],[CODRASTREIO]]&amp;" B"</f>
        <v>CódRastreio128 B</v>
      </c>
      <c r="D153" s="52" t="str">
        <f>_xlfn.XLOOKUP(Follow[[#This Row],[Id Pedido]],Controle_Pedidos[Número Pedido Cliente],Controle_Pedidos[Loja])</f>
        <v>BV</v>
      </c>
      <c r="E153" s="9">
        <f>_xlfn.XLOOKUP(Follow[[#This Row],[Id Pedido]],Controle_Pedidos[Número Pedido Cliente],Controle_Pedidos[Prazo Entrega])</f>
        <v>45605</v>
      </c>
      <c r="F153" s="9" t="s">
        <v>19433</v>
      </c>
      <c r="G153" s="9" t="s">
        <v>37</v>
      </c>
      <c r="H153" s="52" t="s">
        <v>178</v>
      </c>
      <c r="I153" s="52" t="s">
        <v>178</v>
      </c>
      <c r="J153" s="55">
        <v>45595</v>
      </c>
      <c r="K153" s="54" t="s">
        <v>198</v>
      </c>
      <c r="L153" s="8" t="s">
        <v>124</v>
      </c>
      <c r="M153" s="8" t="s">
        <v>37</v>
      </c>
      <c r="N153" s="52" t="str">
        <f>IF(Follow[[#This Row],[DATAATUALIZAÇÃO]]&lt;=Follow[[#This Row],[Prev Entrega]],"Dentro do Prazo","Fora do Prazo")</f>
        <v>Dentro do Prazo</v>
      </c>
      <c r="O1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com Regulagem foi entregue no dia 30/10/2024, referente ao pedido Nº Pedido 135 Rastreio Pedido 135, agradecemos a preferência e adoraríamos receber sua avaliação, tendo qualquer dúvida estamos à disposição.
Att
Tem tudo Shop</v>
      </c>
    </row>
    <row r="154" spans="1:15">
      <c r="A154" s="52" t="str">
        <f>_xlfn.XLOOKUP(Follow[[#This Row],[CODRASTREIO]],Controle_Pedidos[Cód Rastreamento],Controle_Pedidos[Número Pedido Cliente])</f>
        <v>Pedido 528</v>
      </c>
      <c r="B154" s="2" t="s">
        <v>17955</v>
      </c>
      <c r="C154" s="2" t="str">
        <f>Follow[[#This Row],[CODRASTREIO]]&amp;" B"</f>
        <v>CódRastreio513 B</v>
      </c>
      <c r="D154" s="52" t="str">
        <f>_xlfn.XLOOKUP(Follow[[#This Row],[Id Pedido]],Controle_Pedidos[Número Pedido Cliente],Controle_Pedidos[Loja])</f>
        <v>BV</v>
      </c>
      <c r="E154" s="9">
        <f>_xlfn.XLOOKUP(Follow[[#This Row],[Id Pedido]],Controle_Pedidos[Número Pedido Cliente],Controle_Pedidos[Prazo Entrega])</f>
        <v>45667</v>
      </c>
      <c r="F154" s="9" t="s">
        <v>19433</v>
      </c>
      <c r="G154" s="9" t="s">
        <v>37</v>
      </c>
      <c r="H154" s="52" t="s">
        <v>179</v>
      </c>
      <c r="I154" s="52" t="s">
        <v>178</v>
      </c>
      <c r="J154" s="55">
        <v>45653</v>
      </c>
      <c r="K154" s="52" t="s">
        <v>198</v>
      </c>
      <c r="L154" s="8" t="s">
        <v>124</v>
      </c>
      <c r="M154" s="8" t="s">
        <v>199</v>
      </c>
      <c r="N154" s="52" t="str">
        <f>IF(Follow[[#This Row],[DATAATUALIZAÇÃO]]&lt;=Follow[[#This Row],[Prev Entrega]],"Dentro do Prazo","Fora do Prazo")</f>
        <v>Dentro do Prazo</v>
      </c>
      <c r="O1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27/12/2024, referente ao pedido Nº Pedido 528 Rastreio Pedido 528, agradecemos a preferência e adoraríamos receber sua avaliação, tendo qualquer dúvida estamos à disposição.
Att
Tem tudo Shop</v>
      </c>
    </row>
    <row r="155" spans="1:15">
      <c r="A155" s="52" t="str">
        <f>_xlfn.XLOOKUP(Follow[[#This Row],[CODRASTREIO]],Controle_Pedidos[Cód Rastreamento],Controle_Pedidos[Número Pedido Cliente])</f>
        <v>Pedido 185</v>
      </c>
      <c r="B155" s="2" t="s">
        <v>17620</v>
      </c>
      <c r="C155" s="2" t="str">
        <f>Follow[[#This Row],[CODRASTREIO]]&amp;" B"</f>
        <v>CódRastreio178 B</v>
      </c>
      <c r="D155" s="52" t="str">
        <f>_xlfn.XLOOKUP(Follow[[#This Row],[Id Pedido]],Controle_Pedidos[Número Pedido Cliente],Controle_Pedidos[Loja])</f>
        <v>BV</v>
      </c>
      <c r="E155" s="9">
        <f>_xlfn.XLOOKUP(Follow[[#This Row],[Id Pedido]],Controle_Pedidos[Número Pedido Cliente],Controle_Pedidos[Prazo Entrega])</f>
        <v>45604</v>
      </c>
      <c r="F155" s="9" t="s">
        <v>19433</v>
      </c>
      <c r="G155" s="9" t="s">
        <v>37</v>
      </c>
      <c r="H155" s="52" t="s">
        <v>178</v>
      </c>
      <c r="I155" s="52" t="s">
        <v>178</v>
      </c>
      <c r="J155" s="55">
        <v>45599</v>
      </c>
      <c r="K155" s="54" t="s">
        <v>198</v>
      </c>
      <c r="L155" s="8" t="s">
        <v>124</v>
      </c>
      <c r="M155" s="8" t="s">
        <v>37</v>
      </c>
      <c r="N155" s="52" t="str">
        <f>IF(Follow[[#This Row],[DATAATUALIZAÇÃO]]&lt;=Follow[[#This Row],[Prev Entrega]],"Dentro do Prazo","Fora do Prazo")</f>
        <v>Dentro do Prazo</v>
      </c>
      <c r="O1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03/11/2024, referente ao pedido Nº Pedido 185 Rastreio Pedido 185, agradecemos a preferência e adoraríamos receber sua avaliação, tendo qualquer dúvida estamos à disposição.
Att
Tem tudo Shop</v>
      </c>
    </row>
    <row r="156" spans="1:15">
      <c r="A156" s="52" t="str">
        <f>_xlfn.XLOOKUP(Follow[[#This Row],[CODRASTREIO]],Controle_Pedidos[Cód Rastreamento],Controle_Pedidos[Número Pedido Cliente])</f>
        <v>Pedido 562</v>
      </c>
      <c r="B156" s="2" t="s">
        <v>17989</v>
      </c>
      <c r="C156" s="2" t="str">
        <f>Follow[[#This Row],[CODRASTREIO]]&amp;" B"</f>
        <v>CódRastreio547 B</v>
      </c>
      <c r="D156" s="52" t="str">
        <f>_xlfn.XLOOKUP(Follow[[#This Row],[Id Pedido]],Controle_Pedidos[Número Pedido Cliente],Controle_Pedidos[Loja])</f>
        <v>BV</v>
      </c>
      <c r="E156" s="9">
        <f>_xlfn.XLOOKUP(Follow[[#This Row],[Id Pedido]],Controle_Pedidos[Número Pedido Cliente],Controle_Pedidos[Prazo Entrega])</f>
        <v>45672</v>
      </c>
      <c r="F156" s="9" t="s">
        <v>19433</v>
      </c>
      <c r="G156" s="9" t="s">
        <v>37</v>
      </c>
      <c r="H156" s="52" t="s">
        <v>179</v>
      </c>
      <c r="I156" s="52" t="s">
        <v>178</v>
      </c>
      <c r="J156" s="55">
        <v>45656</v>
      </c>
      <c r="K156" s="52" t="s">
        <v>198</v>
      </c>
      <c r="L156" s="8" t="s">
        <v>124</v>
      </c>
      <c r="M156" s="8" t="s">
        <v>37</v>
      </c>
      <c r="N156" s="52" t="str">
        <f>IF(Follow[[#This Row],[DATAATUALIZAÇÃO]]&lt;=Follow[[#This Row],[Prev Entrega]],"Dentro do Prazo","Fora do Prazo")</f>
        <v>Dentro do Prazo</v>
      </c>
      <c r="O1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30/12/2024, referente ao pedido Nº Pedido 562 Rastreio Pedido 562, agradecemos a preferência e adoraríamos receber sua avaliação, tendo qualquer dúvida estamos à disposição.
Att
Tem tudo Shop</v>
      </c>
    </row>
    <row r="157" spans="1:15">
      <c r="A157" s="52" t="str">
        <f>_xlfn.XLOOKUP(Follow[[#This Row],[CODRASTREIO]],Controle_Pedidos[Cód Rastreamento],Controle_Pedidos[Número Pedido Cliente])</f>
        <v>Pedido 16</v>
      </c>
      <c r="B157" s="2" t="s">
        <v>17449</v>
      </c>
      <c r="C157" s="2" t="str">
        <f>Follow[[#This Row],[CODRASTREIO]]&amp;" B"</f>
        <v>CódRastreio7 B</v>
      </c>
      <c r="D157" s="52" t="str">
        <f>_xlfn.XLOOKUP(Follow[[#This Row],[Id Pedido]],Controle_Pedidos[Número Pedido Cliente],Controle_Pedidos[Loja])</f>
        <v>BV</v>
      </c>
      <c r="E157" s="9">
        <f>_xlfn.XLOOKUP(Follow[[#This Row],[Id Pedido]],Controle_Pedidos[Número Pedido Cliente],Controle_Pedidos[Prazo Entrega])</f>
        <v>45610</v>
      </c>
      <c r="F157" s="9" t="s">
        <v>19433</v>
      </c>
      <c r="G157" s="9" t="s">
        <v>37</v>
      </c>
      <c r="H157" s="52" t="s">
        <v>178</v>
      </c>
      <c r="I157" s="52" t="s">
        <v>178</v>
      </c>
      <c r="J157" s="55">
        <v>45594</v>
      </c>
      <c r="K157" s="54" t="s">
        <v>198</v>
      </c>
      <c r="L157" s="8" t="s">
        <v>124</v>
      </c>
      <c r="M157" s="8" t="s">
        <v>37</v>
      </c>
      <c r="N157" s="52" t="str">
        <f>IF(Follow[[#This Row],[DATAATUALIZAÇÃO]]&lt;=Follow[[#This Row],[Prev Entrega]],"Dentro do Prazo","Fora do Prazo")</f>
        <v>Dentro do Prazo</v>
      </c>
      <c r="O1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29/10/2024, referente ao pedido Nº Pedido 16 Rastreio Pedido 16, agradecemos a preferência e adoraríamos receber sua avaliação, tendo qualquer dúvida estamos à disposição.
Att
Tem tudo Shop</v>
      </c>
    </row>
    <row r="158" spans="1:15">
      <c r="A158" s="52" t="str">
        <f>_xlfn.XLOOKUP(Follow[[#This Row],[CODRASTREIO]],Controle_Pedidos[Cód Rastreamento],Controle_Pedidos[Número Pedido Cliente])</f>
        <v>Pedido 115</v>
      </c>
      <c r="B158" s="2" t="s">
        <v>17550</v>
      </c>
      <c r="C158" s="2" t="str">
        <f>Follow[[#This Row],[CODRASTREIO]]&amp;" B"</f>
        <v>CódRastreio108 B</v>
      </c>
      <c r="D158" s="52" t="str">
        <f>_xlfn.XLOOKUP(Follow[[#This Row],[Id Pedido]],Controle_Pedidos[Número Pedido Cliente],Controle_Pedidos[Loja])</f>
        <v>BV</v>
      </c>
      <c r="E158" s="9">
        <f>_xlfn.XLOOKUP(Follow[[#This Row],[Id Pedido]],Controle_Pedidos[Número Pedido Cliente],Controle_Pedidos[Prazo Entrega])</f>
        <v>45610</v>
      </c>
      <c r="F158" s="9" t="s">
        <v>19433</v>
      </c>
      <c r="G158" s="9" t="s">
        <v>37</v>
      </c>
      <c r="H158" s="52" t="s">
        <v>178</v>
      </c>
      <c r="I158" s="52" t="s">
        <v>178</v>
      </c>
      <c r="J158" s="55">
        <v>45608</v>
      </c>
      <c r="K158" s="54" t="s">
        <v>198</v>
      </c>
      <c r="L158" s="8" t="s">
        <v>124</v>
      </c>
      <c r="M158" s="8" t="s">
        <v>37</v>
      </c>
      <c r="N158" s="52" t="str">
        <f>IF(Follow[[#This Row],[DATAATUALIZAÇÃO]]&lt;=Follow[[#This Row],[Prev Entrega]],"Dentro do Prazo","Fora do Prazo")</f>
        <v>Dentro do Prazo</v>
      </c>
      <c r="O1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12/11/2024, referente ao pedido Nº Pedido 115 Rastreio Pedido 115, agradecemos a preferência e adoraríamos receber sua avaliação, tendo qualquer dúvida estamos à disposição.
Att
Tem tudo Shop</v>
      </c>
    </row>
    <row r="159" spans="1:15">
      <c r="A159" s="52" t="str">
        <f>_xlfn.XLOOKUP(Follow[[#This Row],[CODRASTREIO]],Controle_Pedidos[Cód Rastreamento],Controle_Pedidos[Número Pedido Cliente])</f>
        <v>Pedido 20</v>
      </c>
      <c r="B159" s="2" t="s">
        <v>17453</v>
      </c>
      <c r="C159" s="2" t="str">
        <f>Follow[[#This Row],[CODRASTREIO]]&amp;" B"</f>
        <v>CódRastreio11 B</v>
      </c>
      <c r="D159" s="52" t="str">
        <f>_xlfn.XLOOKUP(Follow[[#This Row],[Id Pedido]],Controle_Pedidos[Número Pedido Cliente],Controle_Pedidos[Loja])</f>
        <v>BV</v>
      </c>
      <c r="E159" s="9">
        <f>_xlfn.XLOOKUP(Follow[[#This Row],[Id Pedido]],Controle_Pedidos[Número Pedido Cliente],Controle_Pedidos[Prazo Entrega])</f>
        <v>45605</v>
      </c>
      <c r="F159" s="9" t="s">
        <v>19433</v>
      </c>
      <c r="G159" s="9" t="s">
        <v>37</v>
      </c>
      <c r="H159" s="52" t="s">
        <v>178</v>
      </c>
      <c r="I159" s="52" t="s">
        <v>178</v>
      </c>
      <c r="J159" s="55">
        <v>45600</v>
      </c>
      <c r="K159" s="54" t="s">
        <v>198</v>
      </c>
      <c r="L159" s="8" t="s">
        <v>124</v>
      </c>
      <c r="M159" s="8" t="s">
        <v>37</v>
      </c>
      <c r="N159" s="52" t="str">
        <f>IF(Follow[[#This Row],[DATAATUALIZAÇÃO]]&lt;=Follow[[#This Row],[Prev Entrega]],"Dentro do Prazo","Fora do Prazo")</f>
        <v>Dentro do Prazo</v>
      </c>
      <c r="O1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04/11/2024, referente ao pedido Nº Pedido 20 Rastreio Pedido 20, agradecemos a preferência e adoraríamos receber sua avaliação, tendo qualquer dúvida estamos à disposição.
Att
Tem tudo Shop</v>
      </c>
    </row>
    <row r="160" spans="1:15">
      <c r="A160" s="52" t="str">
        <f>_xlfn.XLOOKUP(Follow[[#This Row],[CODRASTREIO]],Controle_Pedidos[Cód Rastreamento],Controle_Pedidos[Número Pedido Cliente])</f>
        <v>Pedido 449</v>
      </c>
      <c r="B160" s="2" t="s">
        <v>17877</v>
      </c>
      <c r="C160" s="2" t="str">
        <f>Follow[[#This Row],[CODRASTREIO]]&amp;" B"</f>
        <v>CódRastreio435 B</v>
      </c>
      <c r="D160" s="52" t="str">
        <f>_xlfn.XLOOKUP(Follow[[#This Row],[Id Pedido]],Controle_Pedidos[Número Pedido Cliente],Controle_Pedidos[Loja])</f>
        <v>BV</v>
      </c>
      <c r="E160" s="9">
        <f>_xlfn.XLOOKUP(Follow[[#This Row],[Id Pedido]],Controle_Pedidos[Número Pedido Cliente],Controle_Pedidos[Prazo Entrega])</f>
        <v>45638</v>
      </c>
      <c r="F160" s="9" t="s">
        <v>19433</v>
      </c>
      <c r="G160" s="9" t="s">
        <v>37</v>
      </c>
      <c r="H160" s="55" t="s">
        <v>178</v>
      </c>
      <c r="I160" s="55" t="s">
        <v>178</v>
      </c>
      <c r="J160" s="55">
        <v>45630</v>
      </c>
      <c r="K160" s="54" t="s">
        <v>198</v>
      </c>
      <c r="L160" s="8" t="s">
        <v>124</v>
      </c>
      <c r="M160" s="8" t="s">
        <v>37</v>
      </c>
      <c r="N160" s="52" t="str">
        <f>IF(Follow[[#This Row],[DATAATUALIZAÇÃO]]&lt;=Follow[[#This Row],[Prev Entrega]],"Dentro do Prazo","Fora do Prazo")</f>
        <v>Dentro do Prazo</v>
      </c>
      <c r="O1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04/12/2024, referente ao pedido Nº Pedido 449 Rastreio Pedido 449, agradecemos a preferência e adoraríamos receber sua avaliação, tendo qualquer dúvida estamos à disposição.
Att
Tem tudo Shop</v>
      </c>
    </row>
    <row r="161" spans="1:15">
      <c r="A161" s="52" t="str">
        <f>_xlfn.XLOOKUP(Follow[[#This Row],[CODRASTREIO]],Controle_Pedidos[Cód Rastreamento],Controle_Pedidos[Número Pedido Cliente])</f>
        <v>Pedido 478</v>
      </c>
      <c r="B161" s="2" t="s">
        <v>17905</v>
      </c>
      <c r="C161" s="2" t="str">
        <f>Follow[[#This Row],[CODRASTREIO]]&amp;" B"</f>
        <v>CódRastreio463 B</v>
      </c>
      <c r="D161" s="52" t="str">
        <f>_xlfn.XLOOKUP(Follow[[#This Row],[Id Pedido]],Controle_Pedidos[Número Pedido Cliente],Controle_Pedidos[Loja])</f>
        <v>BV</v>
      </c>
      <c r="E161" s="9">
        <f>_xlfn.XLOOKUP(Follow[[#This Row],[Id Pedido]],Controle_Pedidos[Número Pedido Cliente],Controle_Pedidos[Prazo Entrega])</f>
        <v>45654</v>
      </c>
      <c r="F161" s="9" t="s">
        <v>19433</v>
      </c>
      <c r="G161" s="9" t="s">
        <v>37</v>
      </c>
      <c r="H161" s="52" t="s">
        <v>179</v>
      </c>
      <c r="I161" s="52" t="s">
        <v>178</v>
      </c>
      <c r="J161" s="55">
        <v>45646</v>
      </c>
      <c r="K161" s="52" t="s">
        <v>198</v>
      </c>
      <c r="L161" s="8" t="s">
        <v>124</v>
      </c>
      <c r="M161" s="8" t="s">
        <v>37</v>
      </c>
      <c r="N161" s="52" t="str">
        <f>IF(Follow[[#This Row],[DATAATUALIZAÇÃO]]&lt;=Follow[[#This Row],[Prev Entrega]],"Dentro do Prazo","Fora do Prazo")</f>
        <v>Dentro do Prazo</v>
      </c>
      <c r="O1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20/12/2024, referente ao pedido Nº Pedido 478 Rastreio Pedido 478, agradecemos a preferência e adoraríamos receber sua avaliação, tendo qualquer dúvida estamos à disposição.
Att
Tem tudo Shop</v>
      </c>
    </row>
    <row r="162" spans="1:15">
      <c r="A162" s="52" t="str">
        <f>_xlfn.XLOOKUP(Follow[[#This Row],[CODRASTREIO]],Controle_Pedidos[Cód Rastreamento],Controle_Pedidos[Número Pedido Cliente])</f>
        <v>Pedido 222</v>
      </c>
      <c r="B162" s="2" t="s">
        <v>17657</v>
      </c>
      <c r="C162" s="2" t="str">
        <f>Follow[[#This Row],[CODRASTREIO]]&amp;" B"</f>
        <v>CódRastreio215 B</v>
      </c>
      <c r="D162" s="52" t="str">
        <f>_xlfn.XLOOKUP(Follow[[#This Row],[Id Pedido]],Controle_Pedidos[Número Pedido Cliente],Controle_Pedidos[Loja])</f>
        <v>BV</v>
      </c>
      <c r="E162" s="9">
        <f>_xlfn.XLOOKUP(Follow[[#This Row],[Id Pedido]],Controle_Pedidos[Número Pedido Cliente],Controle_Pedidos[Prazo Entrega])</f>
        <v>45622</v>
      </c>
      <c r="F162" s="9" t="s">
        <v>19433</v>
      </c>
      <c r="G162" s="9" t="s">
        <v>37</v>
      </c>
      <c r="H162" s="52" t="s">
        <v>178</v>
      </c>
      <c r="I162" s="52" t="s">
        <v>178</v>
      </c>
      <c r="J162" s="55">
        <v>45608</v>
      </c>
      <c r="K162" s="54" t="s">
        <v>198</v>
      </c>
      <c r="L162" s="8" t="s">
        <v>124</v>
      </c>
      <c r="M162" s="8" t="s">
        <v>37</v>
      </c>
      <c r="N162" s="52" t="str">
        <f>IF(Follow[[#This Row],[DATAATUALIZAÇÃO]]&lt;=Follow[[#This Row],[Prev Entrega]],"Dentro do Prazo","Fora do Prazo")</f>
        <v>Dentro do Prazo</v>
      </c>
      <c r="O1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12/11/2024, referente ao pedido Nº Pedido 222 Rastreio Pedido 222, agradecemos a preferência e adoraríamos receber sua avaliação, tendo qualquer dúvida estamos à disposição.
Att
Tem tudo Shop</v>
      </c>
    </row>
    <row r="163" spans="1:15">
      <c r="A163" s="52" t="str">
        <f>_xlfn.XLOOKUP(Follow[[#This Row],[CODRASTREIO]],Controle_Pedidos[Cód Rastreamento],Controle_Pedidos[Número Pedido Cliente])</f>
        <v>Pedido 526</v>
      </c>
      <c r="B163" s="2" t="s">
        <v>17953</v>
      </c>
      <c r="C163" s="2" t="str">
        <f>Follow[[#This Row],[CODRASTREIO]]&amp;" B"</f>
        <v>CódRastreio511 B</v>
      </c>
      <c r="D163" s="52" t="str">
        <f>_xlfn.XLOOKUP(Follow[[#This Row],[Id Pedido]],Controle_Pedidos[Número Pedido Cliente],Controle_Pedidos[Loja])</f>
        <v>BV</v>
      </c>
      <c r="E163" s="9">
        <f>_xlfn.XLOOKUP(Follow[[#This Row],[Id Pedido]],Controle_Pedidos[Número Pedido Cliente],Controle_Pedidos[Prazo Entrega])</f>
        <v>45667</v>
      </c>
      <c r="F163" s="9" t="s">
        <v>19433</v>
      </c>
      <c r="G163" s="9" t="s">
        <v>37</v>
      </c>
      <c r="H163" s="52" t="s">
        <v>179</v>
      </c>
      <c r="I163" s="52" t="s">
        <v>178</v>
      </c>
      <c r="J163" s="55">
        <v>45653</v>
      </c>
      <c r="K163" s="52" t="s">
        <v>198</v>
      </c>
      <c r="L163" s="8" t="s">
        <v>124</v>
      </c>
      <c r="M163" s="8" t="s">
        <v>37</v>
      </c>
      <c r="N163" s="52" t="str">
        <f>IF(Follow[[#This Row],[DATAATUALIZAÇÃO]]&lt;=Follow[[#This Row],[Prev Entrega]],"Dentro do Prazo","Fora do Prazo")</f>
        <v>Dentro do Prazo</v>
      </c>
      <c r="O1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27/12/2024, referente ao pedido Nº Pedido 526 Rastreio Pedido 526, agradecemos a preferência e adoraríamos receber sua avaliação, tendo qualquer dúvida estamos à disposição.
Att
Tem tudo Shop</v>
      </c>
    </row>
    <row r="164" spans="1:15">
      <c r="A164" s="52" t="str">
        <f>_xlfn.XLOOKUP(Follow[[#This Row],[CODRASTREIO]],Controle_Pedidos[Cód Rastreamento],Controle_Pedidos[Número Pedido Cliente])</f>
        <v>Pedido 435</v>
      </c>
      <c r="B164" s="2" t="s">
        <v>17863</v>
      </c>
      <c r="C164" s="2" t="str">
        <f>Follow[[#This Row],[CODRASTREIO]]&amp;" B"</f>
        <v>CódRastreio421 B</v>
      </c>
      <c r="D164" s="52" t="str">
        <f>_xlfn.XLOOKUP(Follow[[#This Row],[Id Pedido]],Controle_Pedidos[Número Pedido Cliente],Controle_Pedidos[Loja])</f>
        <v>BV</v>
      </c>
      <c r="E164" s="9">
        <f>_xlfn.XLOOKUP(Follow[[#This Row],[Id Pedido]],Controle_Pedidos[Número Pedido Cliente],Controle_Pedidos[Prazo Entrega])</f>
        <v>45636</v>
      </c>
      <c r="F164" s="9" t="s">
        <v>19433</v>
      </c>
      <c r="G164" s="9" t="s">
        <v>37</v>
      </c>
      <c r="H164" s="52" t="s">
        <v>178</v>
      </c>
      <c r="I164" s="52" t="s">
        <v>178</v>
      </c>
      <c r="J164" s="55">
        <v>45628</v>
      </c>
      <c r="K164" s="54" t="s">
        <v>198</v>
      </c>
      <c r="L164" s="8" t="s">
        <v>124</v>
      </c>
      <c r="M164" s="8" t="s">
        <v>37</v>
      </c>
      <c r="N164" s="52" t="str">
        <f>IF(Follow[[#This Row],[DATAATUALIZAÇÃO]]&lt;=Follow[[#This Row],[Prev Entrega]],"Dentro do Prazo","Fora do Prazo")</f>
        <v>Dentro do Prazo</v>
      </c>
      <c r="O1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02/12/2024, referente ao pedido Nº Pedido 435 Rastreio Pedido 435, agradecemos a preferência e adoraríamos receber sua avaliação, tendo qualquer dúvida estamos à disposição.
Att
Tem tudo Shop</v>
      </c>
    </row>
    <row r="165" spans="1:15">
      <c r="A165" s="52" t="str">
        <f>_xlfn.XLOOKUP(Follow[[#This Row],[CODRASTREIO]],Controle_Pedidos[Cód Rastreamento],Controle_Pedidos[Número Pedido Cliente])</f>
        <v>Pedido 97</v>
      </c>
      <c r="B165" s="2" t="s">
        <v>17532</v>
      </c>
      <c r="C165" s="2" t="str">
        <f>Follow[[#This Row],[CODRASTREIO]]&amp;" B"</f>
        <v>CódRastreio90 B</v>
      </c>
      <c r="D165" s="52" t="str">
        <f>_xlfn.XLOOKUP(Follow[[#This Row],[Id Pedido]],Controle_Pedidos[Número Pedido Cliente],Controle_Pedidos[Loja])</f>
        <v>BV</v>
      </c>
      <c r="E165" s="9">
        <f>_xlfn.XLOOKUP(Follow[[#This Row],[Id Pedido]],Controle_Pedidos[Número Pedido Cliente],Controle_Pedidos[Prazo Entrega])</f>
        <v>45617</v>
      </c>
      <c r="F165" s="9" t="s">
        <v>19433</v>
      </c>
      <c r="G165" s="9" t="s">
        <v>37</v>
      </c>
      <c r="H165" s="52" t="s">
        <v>178</v>
      </c>
      <c r="I165" s="52" t="s">
        <v>178</v>
      </c>
      <c r="J165" s="55">
        <v>45598</v>
      </c>
      <c r="K165" s="54" t="s">
        <v>198</v>
      </c>
      <c r="L165" s="8" t="s">
        <v>124</v>
      </c>
      <c r="M165" s="8" t="s">
        <v>37</v>
      </c>
      <c r="N165" s="52" t="str">
        <f>IF(Follow[[#This Row],[DATAATUALIZAÇÃO]]&lt;=Follow[[#This Row],[Prev Entrega]],"Dentro do Prazo","Fora do Prazo")</f>
        <v>Dentro do Prazo</v>
      </c>
      <c r="O1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02/11/2024, referente ao pedido Nº Pedido 97 Rastreio Pedido 97, agradecemos a preferência e adoraríamos receber sua avaliação, tendo qualquer dúvida estamos à disposição.
Att
Tem tudo Shop</v>
      </c>
    </row>
    <row r="166" spans="1:15">
      <c r="A166" s="52" t="str">
        <f>_xlfn.XLOOKUP(Follow[[#This Row],[CODRASTREIO]],Controle_Pedidos[Cód Rastreamento],Controle_Pedidos[Número Pedido Cliente])</f>
        <v>Pedido 596</v>
      </c>
      <c r="B166" s="2" t="s">
        <v>18023</v>
      </c>
      <c r="C166" s="2" t="str">
        <f>Follow[[#This Row],[CODRASTREIO]]&amp;" B"</f>
        <v>CódRastreio581 B</v>
      </c>
      <c r="D166" s="52" t="str">
        <f>_xlfn.XLOOKUP(Follow[[#This Row],[Id Pedido]],Controle_Pedidos[Número Pedido Cliente],Controle_Pedidos[Loja])</f>
        <v>BV</v>
      </c>
      <c r="E166" s="9">
        <f>_xlfn.XLOOKUP(Follow[[#This Row],[Id Pedido]],Controle_Pedidos[Número Pedido Cliente],Controle_Pedidos[Prazo Entrega])</f>
        <v>45679</v>
      </c>
      <c r="F166" s="9" t="s">
        <v>19433</v>
      </c>
      <c r="G166" s="9" t="s">
        <v>37</v>
      </c>
      <c r="H166" s="52" t="s">
        <v>179</v>
      </c>
      <c r="I166" s="52" t="s">
        <v>178</v>
      </c>
      <c r="J166" s="55">
        <v>45665</v>
      </c>
      <c r="K166" s="52" t="s">
        <v>198</v>
      </c>
      <c r="L166" s="8" t="s">
        <v>124</v>
      </c>
      <c r="M166" s="8" t="s">
        <v>37</v>
      </c>
      <c r="N166" s="52" t="str">
        <f>IF(Follow[[#This Row],[DATAATUALIZAÇÃO]]&lt;=Follow[[#This Row],[Prev Entrega]],"Dentro do Prazo","Fora do Prazo")</f>
        <v>Dentro do Prazo</v>
      </c>
      <c r="O1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08/01/2025, referente ao pedido Nº Pedido 596 Rastreio Pedido 596, agradecemos a preferência e adoraríamos receber sua avaliação, tendo qualquer dúvida estamos à disposição.
Att
Tem tudo Shop</v>
      </c>
    </row>
    <row r="167" spans="1:15">
      <c r="A167" s="52" t="str">
        <f>_xlfn.XLOOKUP(Follow[[#This Row],[CODRASTREIO]],Controle_Pedidos[Cód Rastreamento],Controle_Pedidos[Número Pedido Cliente])</f>
        <v>Pedido 594</v>
      </c>
      <c r="B167" s="2" t="s">
        <v>18021</v>
      </c>
      <c r="C167" s="2" t="str">
        <f>Follow[[#This Row],[CODRASTREIO]]&amp;" B"</f>
        <v>CódRastreio579 B</v>
      </c>
      <c r="D167" s="52" t="str">
        <f>_xlfn.XLOOKUP(Follow[[#This Row],[Id Pedido]],Controle_Pedidos[Número Pedido Cliente],Controle_Pedidos[Loja])</f>
        <v>BV</v>
      </c>
      <c r="E167" s="9">
        <f>_xlfn.XLOOKUP(Follow[[#This Row],[Id Pedido]],Controle_Pedidos[Número Pedido Cliente],Controle_Pedidos[Prazo Entrega])</f>
        <v>45666</v>
      </c>
      <c r="F167" s="9" t="s">
        <v>19433</v>
      </c>
      <c r="G167" s="9" t="s">
        <v>37</v>
      </c>
      <c r="H167" s="52" t="s">
        <v>178</v>
      </c>
      <c r="I167" s="52" t="s">
        <v>178</v>
      </c>
      <c r="J167" s="55">
        <v>45656</v>
      </c>
      <c r="K167" s="52" t="s">
        <v>198</v>
      </c>
      <c r="L167" s="8" t="s">
        <v>124</v>
      </c>
      <c r="M167" s="8" t="s">
        <v>37</v>
      </c>
      <c r="N167" s="52" t="str">
        <f>IF(Follow[[#This Row],[DATAATUALIZAÇÃO]]&lt;=Follow[[#This Row],[Prev Entrega]],"Dentro do Prazo","Fora do Prazo")</f>
        <v>Dentro do Prazo</v>
      </c>
      <c r="O16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30/12/2024, referente ao pedido Nº Pedido 594 Rastreio Pedido 594, agradecemos a preferência e adoraríamos receber sua avaliação, tendo qualquer dúvida estamos à disposição.
Att
Tem tudo Shop</v>
      </c>
    </row>
    <row r="168" spans="1:15">
      <c r="A168" s="52" t="str">
        <f>_xlfn.XLOOKUP(Follow[[#This Row],[CODRASTREIO]],Controle_Pedidos[Cód Rastreamento],Controle_Pedidos[Número Pedido Cliente])</f>
        <v>Pedido 465</v>
      </c>
      <c r="B168" s="2" t="s">
        <v>17892</v>
      </c>
      <c r="C168" s="2" t="str">
        <f>Follow[[#This Row],[CODRASTREIO]]&amp;" B"</f>
        <v>CódRastreio450 B</v>
      </c>
      <c r="D168" s="52" t="str">
        <f>_xlfn.XLOOKUP(Follow[[#This Row],[Id Pedido]],Controle_Pedidos[Número Pedido Cliente],Controle_Pedidos[Loja])</f>
        <v>BV</v>
      </c>
      <c r="E168" s="9">
        <f>_xlfn.XLOOKUP(Follow[[#This Row],[Id Pedido]],Controle_Pedidos[Número Pedido Cliente],Controle_Pedidos[Prazo Entrega])</f>
        <v>45646</v>
      </c>
      <c r="F168" s="9" t="s">
        <v>19433</v>
      </c>
      <c r="G168" s="9" t="s">
        <v>37</v>
      </c>
      <c r="H168" s="55" t="s">
        <v>179</v>
      </c>
      <c r="I168" s="55" t="s">
        <v>178</v>
      </c>
      <c r="J168" s="55">
        <v>45636</v>
      </c>
      <c r="K168" s="52" t="s">
        <v>198</v>
      </c>
      <c r="L168" s="8" t="s">
        <v>124</v>
      </c>
      <c r="M168" s="8" t="s">
        <v>37</v>
      </c>
      <c r="N168" s="52" t="str">
        <f>IF(Follow[[#This Row],[DATAATUALIZAÇÃO]]&lt;=Follow[[#This Row],[Prev Entrega]],"Dentro do Prazo","Fora do Prazo")</f>
        <v>Dentro do Prazo</v>
      </c>
      <c r="O1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10/12/2024, referente ao pedido Nº Pedido 465 Rastreio Pedido 465, agradecemos a preferência e adoraríamos receber sua avaliação, tendo qualquer dúvida estamos à disposição.
Att
Tem tudo Shop</v>
      </c>
    </row>
    <row r="169" spans="1:15">
      <c r="A169" s="52" t="str">
        <f>_xlfn.XLOOKUP(Follow[[#This Row],[CODRASTREIO]],Controle_Pedidos[Cód Rastreamento],Controle_Pedidos[Número Pedido Cliente])</f>
        <v>Pedido 491</v>
      </c>
      <c r="B169" s="2" t="s">
        <v>17919</v>
      </c>
      <c r="C169" s="2" t="str">
        <f>Follow[[#This Row],[CODRASTREIO]]&amp;" B"</f>
        <v>CódRastreio477 B</v>
      </c>
      <c r="D169" s="52" t="str">
        <f>_xlfn.XLOOKUP(Follow[[#This Row],[Id Pedido]],Controle_Pedidos[Número Pedido Cliente],Controle_Pedidos[Loja])</f>
        <v>BV</v>
      </c>
      <c r="E169" s="9">
        <f>_xlfn.XLOOKUP(Follow[[#This Row],[Id Pedido]],Controle_Pedidos[Número Pedido Cliente],Controle_Pedidos[Prazo Entrega])</f>
        <v>45647</v>
      </c>
      <c r="F169" s="9" t="s">
        <v>19433</v>
      </c>
      <c r="G169" s="9" t="s">
        <v>37</v>
      </c>
      <c r="H169" s="55" t="s">
        <v>179</v>
      </c>
      <c r="I169" s="55" t="s">
        <v>178</v>
      </c>
      <c r="J169" s="55">
        <v>45639</v>
      </c>
      <c r="K169" s="52" t="s">
        <v>198</v>
      </c>
      <c r="L169" s="8" t="s">
        <v>124</v>
      </c>
      <c r="M169" s="8" t="s">
        <v>37</v>
      </c>
      <c r="N169" s="52" t="str">
        <f>IF(Follow[[#This Row],[DATAATUALIZAÇÃO]]&lt;=Follow[[#This Row],[Prev Entrega]],"Dentro do Prazo","Fora do Prazo")</f>
        <v>Dentro do Prazo</v>
      </c>
      <c r="O1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13/12/2024, referente ao pedido Nº Pedido 491 Rastreio Pedido 491, agradecemos a preferência e adoraríamos receber sua avaliação, tendo qualquer dúvida estamos à disposição.
Att
Tem tudo Shop</v>
      </c>
    </row>
    <row r="170" spans="1:15">
      <c r="A170" s="52" t="str">
        <f>_xlfn.XLOOKUP(Follow[[#This Row],[CODRASTREIO]],Controle_Pedidos[Cód Rastreamento],Controle_Pedidos[Número Pedido Cliente])</f>
        <v>Pedido 473</v>
      </c>
      <c r="B170" s="2" t="s">
        <v>17900</v>
      </c>
      <c r="C170" s="2" t="str">
        <f>Follow[[#This Row],[CODRASTREIO]]&amp;" B"</f>
        <v>CódRastreio458 B</v>
      </c>
      <c r="D170" s="52" t="str">
        <f>_xlfn.XLOOKUP(Follow[[#This Row],[Id Pedido]],Controle_Pedidos[Número Pedido Cliente],Controle_Pedidos[Loja])</f>
        <v>BV</v>
      </c>
      <c r="E170" s="9">
        <f>_xlfn.XLOOKUP(Follow[[#This Row],[Id Pedido]],Controle_Pedidos[Número Pedido Cliente],Controle_Pedidos[Prazo Entrega])</f>
        <v>45640</v>
      </c>
      <c r="F170" s="9" t="s">
        <v>19433</v>
      </c>
      <c r="G170" s="9" t="s">
        <v>37</v>
      </c>
      <c r="H170" s="55" t="s">
        <v>178</v>
      </c>
      <c r="I170" s="55" t="s">
        <v>178</v>
      </c>
      <c r="J170" s="55">
        <v>45633.744386574072</v>
      </c>
      <c r="K170" s="52" t="s">
        <v>198</v>
      </c>
      <c r="L170" s="8" t="s">
        <v>124</v>
      </c>
      <c r="M170" s="8" t="s">
        <v>37</v>
      </c>
      <c r="N170" s="52" t="str">
        <f>IF(Follow[[#This Row],[DATAATUALIZAÇÃO]]&lt;=Follow[[#This Row],[Prev Entrega]],"Dentro do Prazo","Fora do Prazo")</f>
        <v>Dentro do Prazo</v>
      </c>
      <c r="O1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07/12/2024, referente ao pedido Nº Pedido 473 Rastreio Pedido 473, agradecemos a preferência e adoraríamos receber sua avaliação, tendo qualquer dúvida estamos à disposição.
Att
Tem tudo Shop</v>
      </c>
    </row>
    <row r="171" spans="1:15">
      <c r="A171" s="52" t="str">
        <f>_xlfn.XLOOKUP(Follow[[#This Row],[CODRASTREIO]],Controle_Pedidos[Cód Rastreamento],Controle_Pedidos[Número Pedido Cliente])</f>
        <v>Pedido 155</v>
      </c>
      <c r="B171" s="2" t="s">
        <v>17590</v>
      </c>
      <c r="C171" s="2" t="str">
        <f>Follow[[#This Row],[CODRASTREIO]]&amp;" B"</f>
        <v>CódRastreio148 B</v>
      </c>
      <c r="D171" s="52" t="str">
        <f>_xlfn.XLOOKUP(Follow[[#This Row],[Id Pedido]],Controle_Pedidos[Número Pedido Cliente],Controle_Pedidos[Loja])</f>
        <v>BV</v>
      </c>
      <c r="E171" s="9">
        <f>_xlfn.XLOOKUP(Follow[[#This Row],[Id Pedido]],Controle_Pedidos[Número Pedido Cliente],Controle_Pedidos[Prazo Entrega])</f>
        <v>45619</v>
      </c>
      <c r="F171" s="9" t="s">
        <v>19433</v>
      </c>
      <c r="G171" s="9" t="s">
        <v>37</v>
      </c>
      <c r="H171" s="52" t="s">
        <v>178</v>
      </c>
      <c r="I171" s="52" t="s">
        <v>178</v>
      </c>
      <c r="J171" s="55">
        <v>45601</v>
      </c>
      <c r="K171" s="54" t="s">
        <v>198</v>
      </c>
      <c r="L171" s="8" t="s">
        <v>124</v>
      </c>
      <c r="M171" s="8" t="s">
        <v>37</v>
      </c>
      <c r="N171" s="52" t="str">
        <f>IF(Follow[[#This Row],[DATAATUALIZAÇÃO]]&lt;=Follow[[#This Row],[Prev Entrega]],"Dentro do Prazo","Fora do Prazo")</f>
        <v>Dentro do Prazo</v>
      </c>
      <c r="O1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155 Rastreio Pedido 155, agradecemos a preferência e adoraríamos receber sua avaliação, tendo qualquer dúvida estamos à disposição.
Att
Tem tudo Shop</v>
      </c>
    </row>
    <row r="172" spans="1:15">
      <c r="A172" s="52" t="str">
        <f>_xlfn.XLOOKUP(Follow[[#This Row],[CODRASTREIO]],Controle_Pedidos[Cód Rastreamento],Controle_Pedidos[Número Pedido Cliente])</f>
        <v>Pedido 655</v>
      </c>
      <c r="B172" s="2" t="s">
        <v>18077</v>
      </c>
      <c r="C172" s="2" t="str">
        <f>Follow[[#This Row],[CODRASTREIO]]&amp;" B"</f>
        <v>CódRastreio635 B</v>
      </c>
      <c r="D172" s="52" t="str">
        <f>_xlfn.XLOOKUP(Follow[[#This Row],[Id Pedido]],Controle_Pedidos[Número Pedido Cliente],Controle_Pedidos[Loja])</f>
        <v>BV</v>
      </c>
      <c r="E172" s="9">
        <f>_xlfn.XLOOKUP(Follow[[#This Row],[Id Pedido]],Controle_Pedidos[Número Pedido Cliente],Controle_Pedidos[Prazo Entrega])</f>
        <v>45682</v>
      </c>
      <c r="F172" s="9" t="s">
        <v>19433</v>
      </c>
      <c r="G172" s="9" t="s">
        <v>37</v>
      </c>
      <c r="H172" s="52" t="s">
        <v>179</v>
      </c>
      <c r="I172" s="52" t="s">
        <v>178</v>
      </c>
      <c r="J172" s="55">
        <v>45665</v>
      </c>
      <c r="K172" s="52" t="s">
        <v>198</v>
      </c>
      <c r="L172" s="8" t="s">
        <v>124</v>
      </c>
      <c r="M172" s="8" t="s">
        <v>37</v>
      </c>
      <c r="N172" s="52" t="str">
        <f>IF(Follow[[#This Row],[DATAATUALIZAÇÃO]]&lt;=Follow[[#This Row],[Prev Entrega]],"Dentro do Prazo","Fora do Prazo")</f>
        <v>Dentro do Prazo</v>
      </c>
      <c r="O1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655 Rastreio Pedido 655, agradecemos a preferência e adoraríamos receber sua avaliação, tendo qualquer dúvida estamos à disposição.
Att
Tem tudo Shop</v>
      </c>
    </row>
    <row r="173" spans="1:15">
      <c r="A173" s="52" t="str">
        <f>_xlfn.XLOOKUP(Follow[[#This Row],[CODRASTREIO]],Controle_Pedidos[Cód Rastreamento],Controle_Pedidos[Número Pedido Cliente])</f>
        <v>Pedido 283</v>
      </c>
      <c r="B173" s="2" t="s">
        <v>17718</v>
      </c>
      <c r="C173" s="2" t="str">
        <f>Follow[[#This Row],[CODRASTREIO]]&amp;" B"</f>
        <v>CódRastreio276 B</v>
      </c>
      <c r="D173" s="52" t="str">
        <f>_xlfn.XLOOKUP(Follow[[#This Row],[Id Pedido]],Controle_Pedidos[Número Pedido Cliente],Controle_Pedidos[Loja])</f>
        <v>BV</v>
      </c>
      <c r="E173" s="9">
        <f>_xlfn.XLOOKUP(Follow[[#This Row],[Id Pedido]],Controle_Pedidos[Número Pedido Cliente],Controle_Pedidos[Prazo Entrega])</f>
        <v>45618</v>
      </c>
      <c r="F173" s="9" t="s">
        <v>19433</v>
      </c>
      <c r="G173" s="9" t="s">
        <v>37</v>
      </c>
      <c r="H173" s="52" t="s">
        <v>178</v>
      </c>
      <c r="I173" s="52" t="s">
        <v>178</v>
      </c>
      <c r="J173" s="55">
        <v>45607</v>
      </c>
      <c r="K173" s="54" t="s">
        <v>198</v>
      </c>
      <c r="L173" s="8" t="s">
        <v>124</v>
      </c>
      <c r="M173" s="8" t="s">
        <v>37</v>
      </c>
      <c r="N173" s="52" t="str">
        <f>IF(Follow[[#This Row],[DATAATUALIZAÇÃO]]&lt;=Follow[[#This Row],[Prev Entrega]],"Dentro do Prazo","Fora do Prazo")</f>
        <v>Dentro do Prazo</v>
      </c>
      <c r="O1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11/11/2024, referente ao pedido Nº Pedido 283 Rastreio Pedido 283, agradecemos a preferência e adoraríamos receber sua avaliação, tendo qualquer dúvida estamos à disposição.
Att
Tem tudo Shop</v>
      </c>
    </row>
    <row r="174" spans="1:15">
      <c r="A174" s="52" t="str">
        <f>_xlfn.XLOOKUP(Follow[[#This Row],[CODRASTREIO]],Controle_Pedidos[Cód Rastreamento],Controle_Pedidos[Número Pedido Cliente])</f>
        <v>Pedido 294</v>
      </c>
      <c r="B174" s="2" t="s">
        <v>17729</v>
      </c>
      <c r="C174" s="2" t="str">
        <f>Follow[[#This Row],[CODRASTREIO]]&amp;" B"</f>
        <v>CódRastreio287 B</v>
      </c>
      <c r="D174" s="52" t="str">
        <f>_xlfn.XLOOKUP(Follow[[#This Row],[Id Pedido]],Controle_Pedidos[Número Pedido Cliente],Controle_Pedidos[Loja])</f>
        <v>BV</v>
      </c>
      <c r="E174" s="9">
        <f>_xlfn.XLOOKUP(Follow[[#This Row],[Id Pedido]],Controle_Pedidos[Número Pedido Cliente],Controle_Pedidos[Prazo Entrega])</f>
        <v>45625</v>
      </c>
      <c r="F174" s="9" t="s">
        <v>19433</v>
      </c>
      <c r="G174" s="9" t="s">
        <v>37</v>
      </c>
      <c r="H174" s="52" t="s">
        <v>178</v>
      </c>
      <c r="I174" s="52" t="s">
        <v>178</v>
      </c>
      <c r="J174" s="55">
        <v>45637</v>
      </c>
      <c r="K174" s="52" t="s">
        <v>198</v>
      </c>
      <c r="L174" s="8" t="s">
        <v>124</v>
      </c>
      <c r="M174" s="59" t="s">
        <v>202</v>
      </c>
      <c r="N174" s="52" t="str">
        <f>IF(Follow[[#This Row],[DATAATUALIZAÇÃO]]&lt;=Follow[[#This Row],[Prev Entrega]],"Dentro do Prazo","Fora do Prazo")</f>
        <v>Fora do Prazo</v>
      </c>
      <c r="O174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11/12/2024, referente ao pedido Nº Pedido 294 Rastreio Pedido 294, agradecemos a preferência e adoraríamos receber sua avaliação, tendo qualquer dúvida estamos à disposição.
Att
Tem tudo Shop</v>
      </c>
    </row>
    <row r="175" spans="1:15">
      <c r="A175" s="52" t="str">
        <f>_xlfn.XLOOKUP(Follow[[#This Row],[CODRASTREIO]],Controle_Pedidos[Cód Rastreamento],Controle_Pedidos[Número Pedido Cliente])</f>
        <v>Pedido 120</v>
      </c>
      <c r="B175" s="2" t="s">
        <v>17555</v>
      </c>
      <c r="C175" s="2" t="str">
        <f>Follow[[#This Row],[CODRASTREIO]]&amp;" B"</f>
        <v>CódRastreio113 B</v>
      </c>
      <c r="D175" s="52" t="str">
        <f>_xlfn.XLOOKUP(Follow[[#This Row],[Id Pedido]],Controle_Pedidos[Número Pedido Cliente],Controle_Pedidos[Loja])</f>
        <v>BV</v>
      </c>
      <c r="E175" s="9">
        <f>_xlfn.XLOOKUP(Follow[[#This Row],[Id Pedido]],Controle_Pedidos[Número Pedido Cliente],Controle_Pedidos[Prazo Entrega])</f>
        <v>45604</v>
      </c>
      <c r="F175" s="9" t="s">
        <v>19433</v>
      </c>
      <c r="G175" s="9" t="s">
        <v>37</v>
      </c>
      <c r="H175" s="52" t="s">
        <v>178</v>
      </c>
      <c r="I175" s="52" t="s">
        <v>178</v>
      </c>
      <c r="J175" s="55">
        <v>45594</v>
      </c>
      <c r="K175" s="54" t="s">
        <v>198</v>
      </c>
      <c r="L175" s="8" t="s">
        <v>124</v>
      </c>
      <c r="M175" s="8" t="s">
        <v>37</v>
      </c>
      <c r="N175" s="52" t="str">
        <f>IF(Follow[[#This Row],[DATAATUALIZAÇÃO]]&lt;=Follow[[#This Row],[Prev Entrega]],"Dentro do Prazo","Fora do Prazo")</f>
        <v>Dentro do Prazo</v>
      </c>
      <c r="O1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29/10/2024, referente ao pedido Nº Pedido 120 Rastreio Pedido 120, agradecemos a preferência e adoraríamos receber sua avaliação, tendo qualquer dúvida estamos à disposição.
Att
Tem tudo Shop</v>
      </c>
    </row>
    <row r="176" spans="1:15">
      <c r="A176" s="52" t="str">
        <f>_xlfn.XLOOKUP(Follow[[#This Row],[CODRASTREIO]],Controle_Pedidos[Cód Rastreamento],Controle_Pedidos[Número Pedido Cliente])</f>
        <v>Pedido 119</v>
      </c>
      <c r="B176" s="2" t="s">
        <v>17554</v>
      </c>
      <c r="C176" s="2" t="str">
        <f>Follow[[#This Row],[CODRASTREIO]]&amp;" B"</f>
        <v>CódRastreio112 B</v>
      </c>
      <c r="D176" s="52" t="str">
        <f>_xlfn.XLOOKUP(Follow[[#This Row],[Id Pedido]],Controle_Pedidos[Número Pedido Cliente],Controle_Pedidos[Loja])</f>
        <v>BV</v>
      </c>
      <c r="E176" s="9">
        <f>_xlfn.XLOOKUP(Follow[[#This Row],[Id Pedido]],Controle_Pedidos[Número Pedido Cliente],Controle_Pedidos[Prazo Entrega])</f>
        <v>45604</v>
      </c>
      <c r="F176" s="9" t="s">
        <v>19433</v>
      </c>
      <c r="G176" s="9" t="s">
        <v>37</v>
      </c>
      <c r="H176" s="52" t="s">
        <v>178</v>
      </c>
      <c r="I176" s="52" t="s">
        <v>178</v>
      </c>
      <c r="J176" s="55">
        <v>45595</v>
      </c>
      <c r="K176" s="54" t="s">
        <v>198</v>
      </c>
      <c r="L176" s="8" t="s">
        <v>124</v>
      </c>
      <c r="M176" s="8" t="s">
        <v>37</v>
      </c>
      <c r="N176" s="52" t="str">
        <f>IF(Follow[[#This Row],[DATAATUALIZAÇÃO]]&lt;=Follow[[#This Row],[Prev Entrega]],"Dentro do Prazo","Fora do Prazo")</f>
        <v>Dentro do Prazo</v>
      </c>
      <c r="O1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Multi Processador 5 Laminas foi entregue no dia 30/10/2024, referente ao pedido Nº Pedido 119 Rastreio Pedido 119, agradecemos a preferência e adoraríamos receber sua avaliação, tendo qualquer dúvida estamos à disposição.
Att
Tem tudo Shop</v>
      </c>
    </row>
    <row r="177" spans="1:15">
      <c r="A177" s="52" t="str">
        <f>_xlfn.XLOOKUP(Follow[[#This Row],[CODRASTREIO]],Controle_Pedidos[Cód Rastreamento],Controle_Pedidos[Número Pedido Cliente])</f>
        <v>Pedido 239</v>
      </c>
      <c r="B177" s="2" t="s">
        <v>17674</v>
      </c>
      <c r="C177" s="2" t="str">
        <f>Follow[[#This Row],[CODRASTREIO]]&amp;" B"</f>
        <v>CódRastreio232 B</v>
      </c>
      <c r="D177" s="52" t="str">
        <f>_xlfn.XLOOKUP(Follow[[#This Row],[Id Pedido]],Controle_Pedidos[Número Pedido Cliente],Controle_Pedidos[Loja])</f>
        <v>BV</v>
      </c>
      <c r="E177" s="9">
        <f>_xlfn.XLOOKUP(Follow[[#This Row],[Id Pedido]],Controle_Pedidos[Número Pedido Cliente],Controle_Pedidos[Prazo Entrega])</f>
        <v>45626</v>
      </c>
      <c r="F177" s="9" t="s">
        <v>19433</v>
      </c>
      <c r="G177" s="9" t="s">
        <v>37</v>
      </c>
      <c r="H177" s="52" t="s">
        <v>179</v>
      </c>
      <c r="I177" s="52" t="s">
        <v>178</v>
      </c>
      <c r="J177" s="55">
        <v>45617</v>
      </c>
      <c r="K177" s="54" t="s">
        <v>198</v>
      </c>
      <c r="L177" s="8" t="s">
        <v>124</v>
      </c>
      <c r="M177" s="8" t="s">
        <v>37</v>
      </c>
      <c r="N177" s="52" t="str">
        <f>IF(Follow[[#This Row],[DATAATUALIZAÇÃO]]&lt;=Follow[[#This Row],[Prev Entrega]],"Dentro do Prazo","Fora do Prazo")</f>
        <v>Dentro do Prazo</v>
      </c>
      <c r="O1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21/11/2024, referente ao pedido Nº Pedido 239 Rastreio Pedido 239, agradecemos a preferência e adoraríamos receber sua avaliação, tendo qualquer dúvida estamos à disposição.
Att
Tem tudo Shop</v>
      </c>
    </row>
    <row r="178" spans="1:15">
      <c r="A178" s="52" t="str">
        <f>_xlfn.XLOOKUP(Follow[[#This Row],[CODRASTREIO]],Controle_Pedidos[Cód Rastreamento],Controle_Pedidos[Número Pedido Cliente])</f>
        <v>Pedido 23</v>
      </c>
      <c r="B178" s="2" t="s">
        <v>17456</v>
      </c>
      <c r="C178" s="2" t="str">
        <f>Follow[[#This Row],[CODRASTREIO]]&amp;" B"</f>
        <v>CódRastreio14 B</v>
      </c>
      <c r="D178" s="52" t="str">
        <f>_xlfn.XLOOKUP(Follow[[#This Row],[Id Pedido]],Controle_Pedidos[Número Pedido Cliente],Controle_Pedidos[Loja])</f>
        <v>BV</v>
      </c>
      <c r="E178" s="9">
        <f>_xlfn.XLOOKUP(Follow[[#This Row],[Id Pedido]],Controle_Pedidos[Número Pedido Cliente],Controle_Pedidos[Prazo Entrega])</f>
        <v>45608</v>
      </c>
      <c r="F178" s="9" t="s">
        <v>19433</v>
      </c>
      <c r="G178" s="9" t="s">
        <v>37</v>
      </c>
      <c r="H178" s="52" t="s">
        <v>178</v>
      </c>
      <c r="I178" s="52" t="s">
        <v>178</v>
      </c>
      <c r="J178" s="55">
        <v>45594</v>
      </c>
      <c r="K178" s="54" t="s">
        <v>198</v>
      </c>
      <c r="L178" s="8" t="s">
        <v>124</v>
      </c>
      <c r="M178" s="8" t="s">
        <v>37</v>
      </c>
      <c r="N178" s="52" t="str">
        <f>IF(Follow[[#This Row],[DATAATUALIZAÇÃO]]&lt;=Follow[[#This Row],[Prev Entrega]],"Dentro do Prazo","Fora do Prazo")</f>
        <v>Dentro do Prazo</v>
      </c>
      <c r="O1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29/10/2024, referente ao pedido Nº Pedido 23 Rastreio Pedido 23, agradecemos a preferência e adoraríamos receber sua avaliação, tendo qualquer dúvida estamos à disposição.
Att
Tem tudo Shop</v>
      </c>
    </row>
    <row r="179" spans="1:15">
      <c r="A179" s="52" t="str">
        <f>_xlfn.XLOOKUP(Follow[[#This Row],[CODRASTREIO]],Controle_Pedidos[Cód Rastreamento],Controle_Pedidos[Número Pedido Cliente])</f>
        <v>Pedido 48</v>
      </c>
      <c r="B179" s="2" t="s">
        <v>17481</v>
      </c>
      <c r="C179" s="2" t="str">
        <f>Follow[[#This Row],[CODRASTREIO]]&amp;" B"</f>
        <v>CódRastreio39 B</v>
      </c>
      <c r="D179" s="52" t="str">
        <f>_xlfn.XLOOKUP(Follow[[#This Row],[Id Pedido]],Controle_Pedidos[Número Pedido Cliente],Controle_Pedidos[Loja])</f>
        <v>BV</v>
      </c>
      <c r="E179" s="9">
        <f>_xlfn.XLOOKUP(Follow[[#This Row],[Id Pedido]],Controle_Pedidos[Número Pedido Cliente],Controle_Pedidos[Prazo Entrega])</f>
        <v>45608</v>
      </c>
      <c r="F179" s="9" t="s">
        <v>19433</v>
      </c>
      <c r="G179" s="9" t="s">
        <v>37</v>
      </c>
      <c r="H179" s="52" t="s">
        <v>178</v>
      </c>
      <c r="I179" s="52" t="s">
        <v>178</v>
      </c>
      <c r="J179" s="55">
        <v>45595</v>
      </c>
      <c r="K179" s="54" t="s">
        <v>198</v>
      </c>
      <c r="L179" s="8" t="s">
        <v>124</v>
      </c>
      <c r="M179" s="8" t="s">
        <v>37</v>
      </c>
      <c r="N179" s="52" t="str">
        <f>IF(Follow[[#This Row],[DATAATUALIZAÇÃO]]&lt;=Follow[[#This Row],[Prev Entrega]],"Dentro do Prazo","Fora do Prazo")</f>
        <v>Dentro do Prazo</v>
      </c>
      <c r="O17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30/10/2024, referente ao pedido Nº Pedido 48 Rastreio Pedido 48, agradecemos a preferência e adoraríamos receber sua avaliação, tendo qualquer dúvida estamos à disposição.
Att
Tem tudo Shop</v>
      </c>
    </row>
    <row r="180" spans="1:15">
      <c r="A180" s="52" t="str">
        <f>_xlfn.XLOOKUP(Follow[[#This Row],[CODRASTREIO]],Controle_Pedidos[Cód Rastreamento],Controle_Pedidos[Número Pedido Cliente])</f>
        <v>Pedido 218</v>
      </c>
      <c r="B180" s="2" t="s">
        <v>17653</v>
      </c>
      <c r="C180" s="2" t="str">
        <f>Follow[[#This Row],[CODRASTREIO]]&amp;" B"</f>
        <v>CódRastreio211 B</v>
      </c>
      <c r="D180" s="52" t="str">
        <f>_xlfn.XLOOKUP(Follow[[#This Row],[Id Pedido]],Controle_Pedidos[Número Pedido Cliente],Controle_Pedidos[Loja])</f>
        <v>BV</v>
      </c>
      <c r="E180" s="9">
        <f>_xlfn.XLOOKUP(Follow[[#This Row],[Id Pedido]],Controle_Pedidos[Número Pedido Cliente],Controle_Pedidos[Prazo Entrega])</f>
        <v>45622</v>
      </c>
      <c r="F180" s="9" t="s">
        <v>19433</v>
      </c>
      <c r="G180" s="9" t="s">
        <v>37</v>
      </c>
      <c r="H180" s="52" t="s">
        <v>178</v>
      </c>
      <c r="I180" s="52" t="s">
        <v>178</v>
      </c>
      <c r="J180" s="55">
        <v>45614</v>
      </c>
      <c r="K180" s="54" t="s">
        <v>198</v>
      </c>
      <c r="L180" s="8" t="s">
        <v>124</v>
      </c>
      <c r="M180" s="8" t="s">
        <v>37</v>
      </c>
      <c r="N180" s="52" t="str">
        <f>IF(Follow[[#This Row],[DATAATUALIZAÇÃO]]&lt;=Follow[[#This Row],[Prev Entrega]],"Dentro do Prazo","Fora do Prazo")</f>
        <v>Dentro do Prazo</v>
      </c>
      <c r="O18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218 Rastreio Pedido 218, agradecemos a preferência e adoraríamos receber sua avaliação, tendo qualquer dúvida estamos à disposição.
Att
Tem tudo Shop</v>
      </c>
    </row>
    <row r="181" spans="1:15">
      <c r="A181" s="52" t="str">
        <f>_xlfn.XLOOKUP(Follow[[#This Row],[CODRASTREIO]],Controle_Pedidos[Cód Rastreamento],Controle_Pedidos[Número Pedido Cliente])</f>
        <v>Pedido 329</v>
      </c>
      <c r="B181" s="2" t="s">
        <v>17764</v>
      </c>
      <c r="C181" s="2" t="str">
        <f>Follow[[#This Row],[CODRASTREIO]]&amp;" B"</f>
        <v>CódRastreio322 B</v>
      </c>
      <c r="D181" s="52" t="str">
        <f>_xlfn.XLOOKUP(Follow[[#This Row],[Id Pedido]],Controle_Pedidos[Número Pedido Cliente],Controle_Pedidos[Loja])</f>
        <v>BV</v>
      </c>
      <c r="E181" s="9">
        <f>_xlfn.XLOOKUP(Follow[[#This Row],[Id Pedido]],Controle_Pedidos[Número Pedido Cliente],Controle_Pedidos[Prazo Entrega])</f>
        <v>45629</v>
      </c>
      <c r="F181" s="9" t="s">
        <v>19433</v>
      </c>
      <c r="G181" s="9" t="s">
        <v>37</v>
      </c>
      <c r="H181" s="52" t="s">
        <v>179</v>
      </c>
      <c r="I181" s="52" t="s">
        <v>178</v>
      </c>
      <c r="J181" s="55">
        <v>45618</v>
      </c>
      <c r="K181" s="54" t="s">
        <v>198</v>
      </c>
      <c r="L181" s="8" t="s">
        <v>124</v>
      </c>
      <c r="M181" s="8" t="s">
        <v>37</v>
      </c>
      <c r="N181" s="52" t="str">
        <f>IF(Follow[[#This Row],[DATAATUALIZAÇÃO]]&lt;=Follow[[#This Row],[Prev Entrega]],"Dentro do Prazo","Fora do Prazo")</f>
        <v>Dentro do Prazo</v>
      </c>
      <c r="O1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22/11/2024, referente ao pedido Nº Pedido 329 Rastreio Pedido 329, agradecemos a preferência e adoraríamos receber sua avaliação, tendo qualquer dúvida estamos à disposição.
Att
Tem tudo Shop</v>
      </c>
    </row>
    <row r="182" spans="1:15">
      <c r="A182" s="52" t="str">
        <f>_xlfn.XLOOKUP(Follow[[#This Row],[CODRASTREIO]],Controle_Pedidos[Cód Rastreamento],Controle_Pedidos[Número Pedido Cliente])</f>
        <v>Pedido 56</v>
      </c>
      <c r="B182" s="2" t="s">
        <v>17489</v>
      </c>
      <c r="C182" s="2" t="str">
        <f>Follow[[#This Row],[CODRASTREIO]]&amp;" B"</f>
        <v>CódRastreio47 B</v>
      </c>
      <c r="D182" s="52" t="str">
        <f>_xlfn.XLOOKUP(Follow[[#This Row],[Id Pedido]],Controle_Pedidos[Número Pedido Cliente],Controle_Pedidos[Loja])</f>
        <v>BV</v>
      </c>
      <c r="E182" s="9">
        <f>_xlfn.XLOOKUP(Follow[[#This Row],[Id Pedido]],Controle_Pedidos[Número Pedido Cliente],Controle_Pedidos[Prazo Entrega])</f>
        <v>45602</v>
      </c>
      <c r="F182" s="9" t="s">
        <v>19433</v>
      </c>
      <c r="G182" s="9" t="s">
        <v>37</v>
      </c>
      <c r="H182" s="52" t="s">
        <v>178</v>
      </c>
      <c r="I182" s="52" t="s">
        <v>178</v>
      </c>
      <c r="J182" s="55">
        <v>45602</v>
      </c>
      <c r="K182" s="54" t="s">
        <v>198</v>
      </c>
      <c r="L182" s="8" t="s">
        <v>124</v>
      </c>
      <c r="M182" s="8" t="s">
        <v>199</v>
      </c>
      <c r="N182" s="52" t="str">
        <f>IF(Follow[[#This Row],[DATAATUALIZAÇÃO]]&lt;=Follow[[#This Row],[Prev Entrega]],"Dentro do Prazo","Fora do Prazo")</f>
        <v>Dentro do Prazo</v>
      </c>
      <c r="O1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06/11/2024, referente ao pedido Nº Pedido 56 Rastreio Pedido 56, agradecemos a preferência e adoraríamos receber sua avaliação, tendo qualquer dúvida estamos à disposição.
Att
Tem tudo Shop</v>
      </c>
    </row>
    <row r="183" spans="1:15">
      <c r="A183" s="52" t="str">
        <f>_xlfn.XLOOKUP(Follow[[#This Row],[CODRASTREIO]],Controle_Pedidos[Cód Rastreamento],Controle_Pedidos[Número Pedido Cliente])</f>
        <v>Pedido 265</v>
      </c>
      <c r="B183" s="2" t="s">
        <v>17700</v>
      </c>
      <c r="C183" s="2" t="str">
        <f>Follow[[#This Row],[CODRASTREIO]]&amp;" B"</f>
        <v>CódRastreio258 B</v>
      </c>
      <c r="D183" s="52" t="str">
        <f>_xlfn.XLOOKUP(Follow[[#This Row],[Id Pedido]],Controle_Pedidos[Número Pedido Cliente],Controle_Pedidos[Loja])</f>
        <v>BV</v>
      </c>
      <c r="E183" s="9">
        <f>_xlfn.XLOOKUP(Follow[[#This Row],[Id Pedido]],Controle_Pedidos[Número Pedido Cliente],Controle_Pedidos[Prazo Entrega])</f>
        <v>45616</v>
      </c>
      <c r="F183" s="9" t="s">
        <v>19433</v>
      </c>
      <c r="G183" s="9" t="s">
        <v>37</v>
      </c>
      <c r="H183" s="52" t="s">
        <v>178</v>
      </c>
      <c r="I183" s="52" t="s">
        <v>178</v>
      </c>
      <c r="J183" s="55">
        <v>45607</v>
      </c>
      <c r="K183" s="54" t="s">
        <v>198</v>
      </c>
      <c r="L183" s="8" t="s">
        <v>124</v>
      </c>
      <c r="M183" s="8" t="s">
        <v>37</v>
      </c>
      <c r="N183" s="52" t="str">
        <f>IF(Follow[[#This Row],[DATAATUALIZAÇÃO]]&lt;=Follow[[#This Row],[Prev Entrega]],"Dentro do Prazo","Fora do Prazo")</f>
        <v>Dentro do Prazo</v>
      </c>
      <c r="O1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11/11/2024, referente ao pedido Nº Pedido 265 Rastreio Pedido 265, agradecemos a preferência e adoraríamos receber sua avaliação, tendo qualquer dúvida estamos à disposição.
Att
Tem tudo Shop</v>
      </c>
    </row>
    <row r="184" spans="1:15">
      <c r="A184" s="52" t="str">
        <f>_xlfn.XLOOKUP(Follow[[#This Row],[CODRASTREIO]],Controle_Pedidos[Cód Rastreamento],Controle_Pedidos[Número Pedido Cliente])</f>
        <v>Pedido 157</v>
      </c>
      <c r="B184" s="2" t="s">
        <v>17592</v>
      </c>
      <c r="C184" s="2" t="str">
        <f>Follow[[#This Row],[CODRASTREIO]]&amp;" B"</f>
        <v>CódRastreio150 B</v>
      </c>
      <c r="D184" s="52" t="str">
        <f>_xlfn.XLOOKUP(Follow[[#This Row],[Id Pedido]],Controle_Pedidos[Número Pedido Cliente],Controle_Pedidos[Loja])</f>
        <v>BV</v>
      </c>
      <c r="E184" s="9">
        <f>_xlfn.XLOOKUP(Follow[[#This Row],[Id Pedido]],Controle_Pedidos[Número Pedido Cliente],Controle_Pedidos[Prazo Entrega])</f>
        <v>45626</v>
      </c>
      <c r="F184" s="9" t="s">
        <v>19433</v>
      </c>
      <c r="G184" s="9" t="s">
        <v>37</v>
      </c>
      <c r="H184" s="55" t="s">
        <v>179</v>
      </c>
      <c r="I184" s="55" t="s">
        <v>178</v>
      </c>
      <c r="J184" s="55">
        <v>45629</v>
      </c>
      <c r="K184" s="54" t="s">
        <v>198</v>
      </c>
      <c r="L184" s="8" t="s">
        <v>124</v>
      </c>
      <c r="M184" s="8" t="s">
        <v>37</v>
      </c>
      <c r="N184" s="52" t="str">
        <f>IF(Follow[[#This Row],[DATAATUALIZAÇÃO]]&lt;=Follow[[#This Row],[Prev Entrega]],"Dentro do Prazo","Fora do Prazo")</f>
        <v>Fora do Prazo</v>
      </c>
      <c r="O1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03/12/2024, referente ao pedido Nº Pedido 157 Rastreio Pedido 157, agradecemos a preferência e adoraríamos receber sua avaliação, tendo qualquer dúvida estamos à disposição.
Att
Tem tudo Shop</v>
      </c>
    </row>
    <row r="185" spans="1:15">
      <c r="A185" s="52" t="str">
        <f>_xlfn.XLOOKUP(Follow[[#This Row],[CODRASTREIO]],Controle_Pedidos[Cód Rastreamento],Controle_Pedidos[Número Pedido Cliente])</f>
        <v>Pedido 217</v>
      </c>
      <c r="B185" s="2" t="s">
        <v>17652</v>
      </c>
      <c r="C185" s="2" t="str">
        <f>Follow[[#This Row],[CODRASTREIO]]&amp;" B"</f>
        <v>CódRastreio210 B</v>
      </c>
      <c r="D185" s="52" t="str">
        <f>_xlfn.XLOOKUP(Follow[[#This Row],[Id Pedido]],Controle_Pedidos[Número Pedido Cliente],Controle_Pedidos[Loja])</f>
        <v>BV</v>
      </c>
      <c r="E185" s="9">
        <f>_xlfn.XLOOKUP(Follow[[#This Row],[Id Pedido]],Controle_Pedidos[Número Pedido Cliente],Controle_Pedidos[Prazo Entrega])</f>
        <v>45626</v>
      </c>
      <c r="F185" s="9" t="s">
        <v>19433</v>
      </c>
      <c r="G185" s="9" t="s">
        <v>37</v>
      </c>
      <c r="H185" s="52" t="s">
        <v>179</v>
      </c>
      <c r="I185" s="52" t="s">
        <v>178</v>
      </c>
      <c r="J185" s="55">
        <v>45608</v>
      </c>
      <c r="K185" s="54" t="s">
        <v>198</v>
      </c>
      <c r="L185" s="8" t="s">
        <v>124</v>
      </c>
      <c r="M185" s="8" t="s">
        <v>37</v>
      </c>
      <c r="N185" s="52" t="str">
        <f>IF(Follow[[#This Row],[DATAATUALIZAÇÃO]]&lt;=Follow[[#This Row],[Prev Entrega]],"Dentro do Prazo","Fora do Prazo")</f>
        <v>Dentro do Prazo</v>
      </c>
      <c r="O1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12/11/2024, referente ao pedido Nº Pedido 217 Rastreio Pedido 217, agradecemos a preferência e adoraríamos receber sua avaliação, tendo qualquer dúvida estamos à disposição.
Att
Tem tudo Shop</v>
      </c>
    </row>
    <row r="186" spans="1:15">
      <c r="A186" s="52" t="str">
        <f>_xlfn.XLOOKUP(Follow[[#This Row],[CODRASTREIO]],Controle_Pedidos[Cód Rastreamento],Controle_Pedidos[Número Pedido Cliente])</f>
        <v>Pedido 434</v>
      </c>
      <c r="B186" s="2" t="s">
        <v>17862</v>
      </c>
      <c r="C186" s="2" t="str">
        <f>Follow[[#This Row],[CODRASTREIO]]&amp;" B"</f>
        <v>CódRastreio420 B</v>
      </c>
      <c r="D186" s="52" t="str">
        <f>_xlfn.XLOOKUP(Follow[[#This Row],[Id Pedido]],Controle_Pedidos[Número Pedido Cliente],Controle_Pedidos[Loja])</f>
        <v>BV</v>
      </c>
      <c r="E186" s="9">
        <f>_xlfn.XLOOKUP(Follow[[#This Row],[Id Pedido]],Controle_Pedidos[Número Pedido Cliente],Controle_Pedidos[Prazo Entrega])</f>
        <v>45646</v>
      </c>
      <c r="F186" s="9" t="s">
        <v>19433</v>
      </c>
      <c r="G186" s="9" t="s">
        <v>37</v>
      </c>
      <c r="H186" s="52" t="s">
        <v>179</v>
      </c>
      <c r="I186" s="52" t="s">
        <v>178</v>
      </c>
      <c r="J186" s="55">
        <v>45643</v>
      </c>
      <c r="K186" s="52" t="s">
        <v>198</v>
      </c>
      <c r="L186" s="8" t="s">
        <v>124</v>
      </c>
      <c r="M186" s="8" t="s">
        <v>37</v>
      </c>
      <c r="N186" s="52" t="str">
        <f>IF(Follow[[#This Row],[DATAATUALIZAÇÃO]]&lt;=Follow[[#This Row],[Prev Entrega]],"Dentro do Prazo","Fora do Prazo")</f>
        <v>Dentro do Prazo</v>
      </c>
      <c r="O1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17/12/2024, referente ao pedido Nº Pedido 434 Rastreio Pedido 434, agradecemos a preferência e adoraríamos receber sua avaliação, tendo qualquer dúvida estamos à disposição.
Att
Tem tudo Shop</v>
      </c>
    </row>
    <row r="187" spans="1:15">
      <c r="A187" s="52" t="str">
        <f>_xlfn.XLOOKUP(Follow[[#This Row],[CODRASTREIO]],Controle_Pedidos[Cód Rastreamento],Controle_Pedidos[Número Pedido Cliente])</f>
        <v>Pedido 542</v>
      </c>
      <c r="B187" s="2" t="s">
        <v>17969</v>
      </c>
      <c r="C187" s="2" t="str">
        <f>Follow[[#This Row],[CODRASTREIO]]&amp;" B"</f>
        <v>CódRastreio527 B</v>
      </c>
      <c r="D187" s="52" t="str">
        <f>_xlfn.XLOOKUP(Follow[[#This Row],[Id Pedido]],Controle_Pedidos[Número Pedido Cliente],Controle_Pedidos[Loja])</f>
        <v>BV</v>
      </c>
      <c r="E187" s="9">
        <f>_xlfn.XLOOKUP(Follow[[#This Row],[Id Pedido]],Controle_Pedidos[Número Pedido Cliente],Controle_Pedidos[Prazo Entrega])</f>
        <v>45665</v>
      </c>
      <c r="F187" s="9" t="s">
        <v>19433</v>
      </c>
      <c r="G187" s="9" t="s">
        <v>37</v>
      </c>
      <c r="H187" s="52" t="s">
        <v>178</v>
      </c>
      <c r="I187" s="52" t="s">
        <v>178</v>
      </c>
      <c r="J187" s="55">
        <v>45652</v>
      </c>
      <c r="K187" s="52" t="s">
        <v>198</v>
      </c>
      <c r="L187" s="8" t="s">
        <v>124</v>
      </c>
      <c r="M187" s="8" t="s">
        <v>37</v>
      </c>
      <c r="N187" s="52" t="str">
        <f>IF(Follow[[#This Row],[DATAATUALIZAÇÃO]]&lt;=Follow[[#This Row],[Prev Entrega]],"Dentro do Prazo","Fora do Prazo")</f>
        <v>Dentro do Prazo</v>
      </c>
      <c r="O1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26/12/2024, referente ao pedido Nº Pedido 542 Rastreio Pedido 542, agradecemos a preferência e adoraríamos receber sua avaliação, tendo qualquer dúvida estamos à disposição.
Att
Tem tudo Shop</v>
      </c>
    </row>
    <row r="188" spans="1:15">
      <c r="A188" s="52" t="str">
        <f>_xlfn.XLOOKUP(Follow[[#This Row],[CODRASTREIO]],Controle_Pedidos[Cód Rastreamento],Controle_Pedidos[Número Pedido Cliente])</f>
        <v>Pedido 148</v>
      </c>
      <c r="B188" s="2" t="s">
        <v>17583</v>
      </c>
      <c r="C188" s="2" t="str">
        <f>Follow[[#This Row],[CODRASTREIO]]&amp;" B"</f>
        <v>CódRastreio141 B</v>
      </c>
      <c r="D188" s="52" t="str">
        <f>_xlfn.XLOOKUP(Follow[[#This Row],[Id Pedido]],Controle_Pedidos[Número Pedido Cliente],Controle_Pedidos[Loja])</f>
        <v>BV</v>
      </c>
      <c r="E188" s="9">
        <f>_xlfn.XLOOKUP(Follow[[#This Row],[Id Pedido]],Controle_Pedidos[Número Pedido Cliente],Controle_Pedidos[Prazo Entrega])</f>
        <v>45608</v>
      </c>
      <c r="F188" s="9" t="s">
        <v>19433</v>
      </c>
      <c r="G188" s="9" t="s">
        <v>37</v>
      </c>
      <c r="H188" s="52" t="s">
        <v>178</v>
      </c>
      <c r="I188" s="52" t="s">
        <v>178</v>
      </c>
      <c r="J188" s="55">
        <v>45596</v>
      </c>
      <c r="K188" s="54" t="s">
        <v>198</v>
      </c>
      <c r="L188" s="8" t="s">
        <v>124</v>
      </c>
      <c r="M188" s="8" t="s">
        <v>37</v>
      </c>
      <c r="N188" s="52" t="str">
        <f>IF(Follow[[#This Row],[DATAATUALIZAÇÃO]]&lt;=Follow[[#This Row],[Prev Entrega]],"Dentro do Prazo","Fora do Prazo")</f>
        <v>Dentro do Prazo</v>
      </c>
      <c r="O18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31/10/2024, referente ao pedido Nº Pedido 148 Rastreio Pedido 148, agradecemos a preferência e adoraríamos receber sua avaliação, tendo qualquer dúvida estamos à disposição.
Att
Tem tudo Shop</v>
      </c>
    </row>
    <row r="189" spans="1:15">
      <c r="A189" s="52" t="str">
        <f>_xlfn.XLOOKUP(Follow[[#This Row],[CODRASTREIO]],Controle_Pedidos[Cód Rastreamento],Controle_Pedidos[Número Pedido Cliente])</f>
        <v>Pedido 544</v>
      </c>
      <c r="B189" s="2" t="s">
        <v>17971</v>
      </c>
      <c r="C189" s="2" t="str">
        <f>Follow[[#This Row],[CODRASTREIO]]&amp;" B"</f>
        <v>CódRastreio529 B</v>
      </c>
      <c r="D189" s="52" t="str">
        <f>_xlfn.XLOOKUP(Follow[[#This Row],[Id Pedido]],Controle_Pedidos[Número Pedido Cliente],Controle_Pedidos[Loja])</f>
        <v>BV</v>
      </c>
      <c r="E189" s="9">
        <f>_xlfn.XLOOKUP(Follow[[#This Row],[Id Pedido]],Controle_Pedidos[Número Pedido Cliente],Controle_Pedidos[Prazo Entrega])</f>
        <v>45665</v>
      </c>
      <c r="F189" s="9" t="s">
        <v>19433</v>
      </c>
      <c r="G189" s="9" t="s">
        <v>37</v>
      </c>
      <c r="H189" s="52" t="s">
        <v>179</v>
      </c>
      <c r="I189" s="52" t="s">
        <v>178</v>
      </c>
      <c r="J189" s="55">
        <v>45656</v>
      </c>
      <c r="K189" s="52" t="s">
        <v>198</v>
      </c>
      <c r="L189" s="8" t="s">
        <v>124</v>
      </c>
      <c r="M189" s="8" t="s">
        <v>37</v>
      </c>
      <c r="N189" s="52" t="str">
        <f>IF(Follow[[#This Row],[DATAATUALIZAÇÃO]]&lt;=Follow[[#This Row],[Prev Entrega]],"Dentro do Prazo","Fora do Prazo")</f>
        <v>Dentro do Prazo</v>
      </c>
      <c r="O1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30/12/2024, referente ao pedido Nº Pedido 544 Rastreio Pedido 544, agradecemos a preferência e adoraríamos receber sua avaliação, tendo qualquer dúvida estamos à disposição.
Att
Tem tudo Shop</v>
      </c>
    </row>
    <row r="190" spans="1:15">
      <c r="A190" s="52" t="str">
        <f>_xlfn.XLOOKUP(Follow[[#This Row],[CODRASTREIO]],Controle_Pedidos[Cód Rastreamento],Controle_Pedidos[Número Pedido Cliente])</f>
        <v>Pedido 182</v>
      </c>
      <c r="B190" s="2" t="s">
        <v>17617</v>
      </c>
      <c r="C190" s="2" t="str">
        <f>Follow[[#This Row],[CODRASTREIO]]&amp;" B"</f>
        <v>CódRastreio175 B</v>
      </c>
      <c r="D190" s="52" t="str">
        <f>_xlfn.XLOOKUP(Follow[[#This Row],[Id Pedido]],Controle_Pedidos[Número Pedido Cliente],Controle_Pedidos[Loja])</f>
        <v>BV</v>
      </c>
      <c r="E190" s="9">
        <f>_xlfn.XLOOKUP(Follow[[#This Row],[Id Pedido]],Controle_Pedidos[Número Pedido Cliente],Controle_Pedidos[Prazo Entrega])</f>
        <v>45610</v>
      </c>
      <c r="F190" s="9" t="s">
        <v>19433</v>
      </c>
      <c r="G190" s="9" t="s">
        <v>37</v>
      </c>
      <c r="H190" s="52" t="s">
        <v>178</v>
      </c>
      <c r="I190" s="52" t="s">
        <v>178</v>
      </c>
      <c r="J190" s="55">
        <v>45600</v>
      </c>
      <c r="K190" s="54" t="s">
        <v>198</v>
      </c>
      <c r="L190" s="8" t="s">
        <v>124</v>
      </c>
      <c r="M190" s="8" t="s">
        <v>37</v>
      </c>
      <c r="N190" s="52" t="str">
        <f>IF(Follow[[#This Row],[DATAATUALIZAÇÃO]]&lt;=Follow[[#This Row],[Prev Entrega]],"Dentro do Prazo","Fora do Prazo")</f>
        <v>Dentro do Prazo</v>
      </c>
      <c r="O1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182 Rastreio Pedido 182, agradecemos a preferência e adoraríamos receber sua avaliação, tendo qualquer dúvida estamos à disposição.
Att
Tem tudo Shop</v>
      </c>
    </row>
    <row r="191" spans="1:15">
      <c r="A191" s="52" t="str">
        <f>_xlfn.XLOOKUP(Follow[[#This Row],[CODRASTREIO]],Controle_Pedidos[Cód Rastreamento],Controle_Pedidos[Número Pedido Cliente])</f>
        <v>Pedido 388</v>
      </c>
      <c r="B191" s="2" t="s">
        <v>17820</v>
      </c>
      <c r="C191" s="2" t="str">
        <f>Follow[[#This Row],[CODRASTREIO]]&amp;" B"</f>
        <v>CódRastreio378 B</v>
      </c>
      <c r="D191" s="52" t="str">
        <f>_xlfn.XLOOKUP(Follow[[#This Row],[Id Pedido]],Controle_Pedidos[Número Pedido Cliente],Controle_Pedidos[Loja])</f>
        <v>BV</v>
      </c>
      <c r="E191" s="9">
        <f>_xlfn.XLOOKUP(Follow[[#This Row],[Id Pedido]],Controle_Pedidos[Número Pedido Cliente],Controle_Pedidos[Prazo Entrega])</f>
        <v>45632</v>
      </c>
      <c r="F191" s="9" t="s">
        <v>19433</v>
      </c>
      <c r="G191" s="9" t="s">
        <v>37</v>
      </c>
      <c r="H191" s="52" t="s">
        <v>178</v>
      </c>
      <c r="I191" s="52" t="s">
        <v>178</v>
      </c>
      <c r="J191" s="55">
        <v>45621</v>
      </c>
      <c r="K191" s="54" t="s">
        <v>198</v>
      </c>
      <c r="L191" s="8" t="s">
        <v>124</v>
      </c>
      <c r="M191" s="8" t="s">
        <v>37</v>
      </c>
      <c r="N191" s="52" t="str">
        <f>IF(Follow[[#This Row],[DATAATUALIZAÇÃO]]&lt;=Follow[[#This Row],[Prev Entrega]],"Dentro do Prazo","Fora do Prazo")</f>
        <v>Dentro do Prazo</v>
      </c>
      <c r="O1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25/11/2024, referente ao pedido Nº Pedido 388 Rastreio Pedido 388, agradecemos a preferência e adoraríamos receber sua avaliação, tendo qualquer dúvida estamos à disposição.
Att
Tem tudo Shop</v>
      </c>
    </row>
    <row r="192" spans="1:15">
      <c r="A192" s="52" t="str">
        <f>_xlfn.XLOOKUP(Follow[[#This Row],[CODRASTREIO]],Controle_Pedidos[Cód Rastreamento],Controle_Pedidos[Número Pedido Cliente])</f>
        <v>Pedido 273</v>
      </c>
      <c r="B192" s="2" t="s">
        <v>17708</v>
      </c>
      <c r="C192" s="2" t="str">
        <f>Follow[[#This Row],[CODRASTREIO]]&amp;" B"</f>
        <v>CódRastreio266 B</v>
      </c>
      <c r="D192" s="52" t="str">
        <f>_xlfn.XLOOKUP(Follow[[#This Row],[Id Pedido]],Controle_Pedidos[Número Pedido Cliente],Controle_Pedidos[Loja])</f>
        <v>BV</v>
      </c>
      <c r="E192" s="9">
        <f>_xlfn.XLOOKUP(Follow[[#This Row],[Id Pedido]],Controle_Pedidos[Número Pedido Cliente],Controle_Pedidos[Prazo Entrega])</f>
        <v>45630</v>
      </c>
      <c r="F192" s="9" t="s">
        <v>19433</v>
      </c>
      <c r="G192" s="9" t="s">
        <v>37</v>
      </c>
      <c r="H192" s="52" t="s">
        <v>178</v>
      </c>
      <c r="I192" s="52" t="s">
        <v>178</v>
      </c>
      <c r="J192" s="55">
        <v>45609</v>
      </c>
      <c r="K192" s="54" t="s">
        <v>198</v>
      </c>
      <c r="L192" s="8" t="s">
        <v>124</v>
      </c>
      <c r="M192" s="8" t="s">
        <v>37</v>
      </c>
      <c r="N192" s="52" t="str">
        <f>IF(Follow[[#This Row],[DATAATUALIZAÇÃO]]&lt;=Follow[[#This Row],[Prev Entrega]],"Dentro do Prazo","Fora do Prazo")</f>
        <v>Dentro do Prazo</v>
      </c>
      <c r="O1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13/11/2024, referente ao pedido Nº Pedido 273 Rastreio Pedido 273, agradecemos a preferência e adoraríamos receber sua avaliação, tendo qualquer dúvida estamos à disposição.
Att
Tem tudo Shop</v>
      </c>
    </row>
    <row r="193" spans="1:15">
      <c r="A193" s="52" t="str">
        <f>_xlfn.XLOOKUP(Follow[[#This Row],[CODRASTREIO]],Controle_Pedidos[Cód Rastreamento],Controle_Pedidos[Número Pedido Cliente])</f>
        <v>Pedido 280</v>
      </c>
      <c r="B193" s="2" t="s">
        <v>17715</v>
      </c>
      <c r="C193" s="2" t="str">
        <f>Follow[[#This Row],[CODRASTREIO]]&amp;" B"</f>
        <v>CódRastreio273 B</v>
      </c>
      <c r="D193" s="52" t="str">
        <f>_xlfn.XLOOKUP(Follow[[#This Row],[Id Pedido]],Controle_Pedidos[Número Pedido Cliente],Controle_Pedidos[Loja])</f>
        <v>BV</v>
      </c>
      <c r="E193" s="9">
        <f>_xlfn.XLOOKUP(Follow[[#This Row],[Id Pedido]],Controle_Pedidos[Número Pedido Cliente],Controle_Pedidos[Prazo Entrega])</f>
        <v>45630</v>
      </c>
      <c r="F193" s="9" t="s">
        <v>19433</v>
      </c>
      <c r="G193" s="9" t="s">
        <v>37</v>
      </c>
      <c r="H193" s="52" t="s">
        <v>178</v>
      </c>
      <c r="I193" s="52" t="s">
        <v>178</v>
      </c>
      <c r="J193" s="55">
        <v>45615</v>
      </c>
      <c r="K193" s="54" t="s">
        <v>198</v>
      </c>
      <c r="L193" s="8" t="s">
        <v>124</v>
      </c>
      <c r="M193" s="8" t="s">
        <v>37</v>
      </c>
      <c r="N193" s="52" t="str">
        <f>IF(Follow[[#This Row],[DATAATUALIZAÇÃO]]&lt;=Follow[[#This Row],[Prev Entrega]],"Dentro do Prazo","Fora do Prazo")</f>
        <v>Dentro do Prazo</v>
      </c>
      <c r="O1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19/11/2024, referente ao pedido Nº Pedido 280 Rastreio Pedido 280, agradecemos a preferência e adoraríamos receber sua avaliação, tendo qualquer dúvida estamos à disposição.
Att
Tem tudo Shop</v>
      </c>
    </row>
    <row r="194" spans="1:15">
      <c r="A194" s="52" t="str">
        <f>_xlfn.XLOOKUP(Follow[[#This Row],[CODRASTREIO]],Controle_Pedidos[Cód Rastreamento],Controle_Pedidos[Número Pedido Cliente])</f>
        <v>Pedido 139</v>
      </c>
      <c r="B194" s="2" t="s">
        <v>17574</v>
      </c>
      <c r="C194" s="2" t="str">
        <f>Follow[[#This Row],[CODRASTREIO]]&amp;" B"</f>
        <v>CódRastreio132 B</v>
      </c>
      <c r="D194" s="52" t="str">
        <f>_xlfn.XLOOKUP(Follow[[#This Row],[Id Pedido]],Controle_Pedidos[Número Pedido Cliente],Controle_Pedidos[Loja])</f>
        <v>BV</v>
      </c>
      <c r="E194" s="9">
        <f>_xlfn.XLOOKUP(Follow[[#This Row],[Id Pedido]],Controle_Pedidos[Número Pedido Cliente],Controle_Pedidos[Prazo Entrega])</f>
        <v>45609</v>
      </c>
      <c r="F194" s="9" t="s">
        <v>19433</v>
      </c>
      <c r="G194" s="9" t="s">
        <v>37</v>
      </c>
      <c r="H194" s="52" t="s">
        <v>178</v>
      </c>
      <c r="I194" s="52" t="s">
        <v>178</v>
      </c>
      <c r="J194" s="55">
        <v>45596</v>
      </c>
      <c r="K194" s="54" t="s">
        <v>198</v>
      </c>
      <c r="L194" s="8" t="s">
        <v>124</v>
      </c>
      <c r="M194" s="8" t="s">
        <v>37</v>
      </c>
      <c r="N194" s="52" t="str">
        <f>IF(Follow[[#This Row],[DATAATUALIZAÇÃO]]&lt;=Follow[[#This Row],[Prev Entrega]],"Dentro do Prazo","Fora do Prazo")</f>
        <v>Dentro do Prazo</v>
      </c>
      <c r="O1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139 Rastreio Pedido 139, agradecemos a preferência e adoraríamos receber sua avaliação, tendo qualquer dúvida estamos à disposição.
Att
Tem tudo Shop</v>
      </c>
    </row>
    <row r="195" spans="1:15">
      <c r="A195" s="52" t="str">
        <f>_xlfn.XLOOKUP(Follow[[#This Row],[CODRASTREIO]],Controle_Pedidos[Cód Rastreamento],Controle_Pedidos[Número Pedido Cliente])</f>
        <v>Pedido 189</v>
      </c>
      <c r="B195" s="2" t="s">
        <v>17624</v>
      </c>
      <c r="C195" s="2" t="str">
        <f>Follow[[#This Row],[CODRASTREIO]]&amp;" B"</f>
        <v>CódRastreio182 B</v>
      </c>
      <c r="D195" s="52" t="str">
        <f>_xlfn.XLOOKUP(Follow[[#This Row],[Id Pedido]],Controle_Pedidos[Número Pedido Cliente],Controle_Pedidos[Loja])</f>
        <v>BV</v>
      </c>
      <c r="E195" s="9">
        <f>_xlfn.XLOOKUP(Follow[[#This Row],[Id Pedido]],Controle_Pedidos[Número Pedido Cliente],Controle_Pedidos[Prazo Entrega])</f>
        <v>45605</v>
      </c>
      <c r="F195" s="9" t="s">
        <v>19433</v>
      </c>
      <c r="G195" s="9" t="s">
        <v>37</v>
      </c>
      <c r="H195" s="52" t="s">
        <v>178</v>
      </c>
      <c r="I195" s="52" t="s">
        <v>178</v>
      </c>
      <c r="J195" s="55">
        <v>45600</v>
      </c>
      <c r="K195" s="54" t="s">
        <v>198</v>
      </c>
      <c r="L195" s="8" t="s">
        <v>124</v>
      </c>
      <c r="M195" s="8" t="s">
        <v>37</v>
      </c>
      <c r="N195" s="52" t="str">
        <f>IF(Follow[[#This Row],[DATAATUALIZAÇÃO]]&lt;=Follow[[#This Row],[Prev Entrega]],"Dentro do Prazo","Fora do Prazo")</f>
        <v>Dentro do Prazo</v>
      </c>
      <c r="O1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04/11/2024, referente ao pedido Nº Pedido 189 Rastreio Pedido 189, agradecemos a preferência e adoraríamos receber sua avaliação, tendo qualquer dúvida estamos à disposição.
Att
Tem tudo Shop</v>
      </c>
    </row>
    <row r="196" spans="1:15">
      <c r="A196" s="52" t="str">
        <f>_xlfn.XLOOKUP(Follow[[#This Row],[CODRASTREIO]],Controle_Pedidos[Cód Rastreamento],Controle_Pedidos[Número Pedido Cliente])</f>
        <v>Pedido 49</v>
      </c>
      <c r="B196" s="2" t="s">
        <v>17482</v>
      </c>
      <c r="C196" s="2" t="str">
        <f>Follow[[#This Row],[CODRASTREIO]]&amp;" B"</f>
        <v>CódRastreio40 B</v>
      </c>
      <c r="D196" s="52" t="str">
        <f>_xlfn.XLOOKUP(Follow[[#This Row],[Id Pedido]],Controle_Pedidos[Número Pedido Cliente],Controle_Pedidos[Loja])</f>
        <v>BV</v>
      </c>
      <c r="E196" s="9">
        <f>_xlfn.XLOOKUP(Follow[[#This Row],[Id Pedido]],Controle_Pedidos[Número Pedido Cliente],Controle_Pedidos[Prazo Entrega])</f>
        <v>45615</v>
      </c>
      <c r="F196" s="9" t="s">
        <v>19433</v>
      </c>
      <c r="G196" s="9" t="s">
        <v>37</v>
      </c>
      <c r="H196" s="52" t="s">
        <v>178</v>
      </c>
      <c r="I196" s="52" t="s">
        <v>178</v>
      </c>
      <c r="J196" s="55">
        <v>45596</v>
      </c>
      <c r="K196" s="54" t="s">
        <v>198</v>
      </c>
      <c r="L196" s="8" t="s">
        <v>124</v>
      </c>
      <c r="M196" s="8" t="s">
        <v>37</v>
      </c>
      <c r="N196" s="52" t="str">
        <f>IF(Follow[[#This Row],[DATAATUALIZAÇÃO]]&lt;=Follow[[#This Row],[Prev Entrega]],"Dentro do Prazo","Fora do Prazo")</f>
        <v>Dentro do Prazo</v>
      </c>
      <c r="O1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31/10/2024, referente ao pedido Nº Pedido 49 Rastreio Pedido 49, agradecemos a preferência e adoraríamos receber sua avaliação, tendo qualquer dúvida estamos à disposição.
Att
Tem tudo Shop</v>
      </c>
    </row>
    <row r="197" spans="1:15">
      <c r="A197" s="52" t="str">
        <f>_xlfn.XLOOKUP(Follow[[#This Row],[CODRASTREIO]],Controle_Pedidos[Cód Rastreamento],Controle_Pedidos[Número Pedido Cliente])</f>
        <v>Pedido 34</v>
      </c>
      <c r="B197" s="2" t="s">
        <v>17467</v>
      </c>
      <c r="C197" s="2" t="str">
        <f>Follow[[#This Row],[CODRASTREIO]]&amp;" B"</f>
        <v>CódRastreio25 B</v>
      </c>
      <c r="D197" s="52" t="str">
        <f>_xlfn.XLOOKUP(Follow[[#This Row],[Id Pedido]],Controle_Pedidos[Número Pedido Cliente],Controle_Pedidos[Loja])</f>
        <v>BV</v>
      </c>
      <c r="E197" s="9">
        <f>_xlfn.XLOOKUP(Follow[[#This Row],[Id Pedido]],Controle_Pedidos[Número Pedido Cliente],Controle_Pedidos[Prazo Entrega])</f>
        <v>45605</v>
      </c>
      <c r="F197" s="9" t="s">
        <v>19433</v>
      </c>
      <c r="G197" s="9" t="s">
        <v>37</v>
      </c>
      <c r="H197" s="52" t="s">
        <v>178</v>
      </c>
      <c r="I197" s="52" t="s">
        <v>178</v>
      </c>
      <c r="J197" s="55">
        <v>45593</v>
      </c>
      <c r="K197" s="54" t="s">
        <v>198</v>
      </c>
      <c r="L197" s="8" t="s">
        <v>124</v>
      </c>
      <c r="M197" s="8" t="s">
        <v>37</v>
      </c>
      <c r="N197" s="52" t="str">
        <f>IF(Follow[[#This Row],[DATAATUALIZAÇÃO]]&lt;=Follow[[#This Row],[Prev Entrega]],"Dentro do Prazo","Fora do Prazo")</f>
        <v>Dentro do Prazo</v>
      </c>
      <c r="O1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28/10/2024, referente ao pedido Nº Pedido 34 Rastreio Pedido 34, agradecemos a preferência e adoraríamos receber sua avaliação, tendo qualquer dúvida estamos à disposição.
Att
Tem tudo Shop</v>
      </c>
    </row>
    <row r="198" spans="1:15">
      <c r="A198" s="52" t="str">
        <f>_xlfn.XLOOKUP(Follow[[#This Row],[CODRASTREIO]],Controle_Pedidos[Cód Rastreamento],Controle_Pedidos[Número Pedido Cliente])</f>
        <v>Pedido 563</v>
      </c>
      <c r="B198" s="2" t="s">
        <v>17990</v>
      </c>
      <c r="C198" s="2" t="str">
        <f>Follow[[#This Row],[CODRASTREIO]]&amp;" B"</f>
        <v>CódRastreio548 B</v>
      </c>
      <c r="D198" s="52" t="str">
        <f>_xlfn.XLOOKUP(Follow[[#This Row],[Id Pedido]],Controle_Pedidos[Número Pedido Cliente],Controle_Pedidos[Loja])</f>
        <v>BV</v>
      </c>
      <c r="E198" s="9">
        <f>_xlfn.XLOOKUP(Follow[[#This Row],[Id Pedido]],Controle_Pedidos[Número Pedido Cliente],Controle_Pedidos[Prazo Entrega])</f>
        <v>45666</v>
      </c>
      <c r="F198" s="9" t="s">
        <v>19433</v>
      </c>
      <c r="G198" s="9" t="s">
        <v>37</v>
      </c>
      <c r="H198" s="52" t="s">
        <v>178</v>
      </c>
      <c r="I198" s="52" t="s">
        <v>178</v>
      </c>
      <c r="J198" s="55">
        <v>45647</v>
      </c>
      <c r="K198" s="52" t="s">
        <v>198</v>
      </c>
      <c r="L198" s="8" t="s">
        <v>124</v>
      </c>
      <c r="M198" s="8" t="s">
        <v>37</v>
      </c>
      <c r="N198" s="52" t="str">
        <f>IF(Follow[[#This Row],[DATAATUALIZAÇÃO]]&lt;=Follow[[#This Row],[Prev Entrega]],"Dentro do Prazo","Fora do Prazo")</f>
        <v>Dentro do Prazo</v>
      </c>
      <c r="O1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21/12/2024, referente ao pedido Nº Pedido 563 Rastreio Pedido 563, agradecemos a preferência e adoraríamos receber sua avaliação, tendo qualquer dúvida estamos à disposição.
Att
Tem tudo Shop</v>
      </c>
    </row>
    <row r="199" spans="1:15">
      <c r="A199" s="52" t="str">
        <f>_xlfn.XLOOKUP(Follow[[#This Row],[CODRASTREIO]],Controle_Pedidos[Cód Rastreamento],Controle_Pedidos[Número Pedido Cliente])</f>
        <v>Pedido 73</v>
      </c>
      <c r="B199" s="2" t="s">
        <v>17506</v>
      </c>
      <c r="C199" s="2" t="str">
        <f>Follow[[#This Row],[CODRASTREIO]]&amp;" B"</f>
        <v>CódRastreio64 B</v>
      </c>
      <c r="D199" s="52" t="str">
        <f>_xlfn.XLOOKUP(Follow[[#This Row],[Id Pedido]],Controle_Pedidos[Número Pedido Cliente],Controle_Pedidos[Loja])</f>
        <v>BV</v>
      </c>
      <c r="E199" s="9">
        <f>_xlfn.XLOOKUP(Follow[[#This Row],[Id Pedido]],Controle_Pedidos[Número Pedido Cliente],Controle_Pedidos[Prazo Entrega])</f>
        <v>45616</v>
      </c>
      <c r="F199" s="9" t="s">
        <v>19433</v>
      </c>
      <c r="G199" s="9" t="s">
        <v>37</v>
      </c>
      <c r="H199" s="52" t="s">
        <v>178</v>
      </c>
      <c r="I199" s="52" t="s">
        <v>178</v>
      </c>
      <c r="J199" s="55">
        <v>45600</v>
      </c>
      <c r="K199" s="54" t="s">
        <v>198</v>
      </c>
      <c r="L199" s="8" t="s">
        <v>124</v>
      </c>
      <c r="M199" s="8" t="s">
        <v>37</v>
      </c>
      <c r="N199" s="52" t="str">
        <f>IF(Follow[[#This Row],[DATAATUALIZAÇÃO]]&lt;=Follow[[#This Row],[Prev Entrega]],"Dentro do Prazo","Fora do Prazo")</f>
        <v>Dentro do Prazo</v>
      </c>
      <c r="O1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73 Rastreio Pedido 73, agradecemos a preferência e adoraríamos receber sua avaliação, tendo qualquer dúvida estamos à disposição.
Att
Tem tudo Shop</v>
      </c>
    </row>
    <row r="200" spans="1:15">
      <c r="A200" s="52" t="str">
        <f>_xlfn.XLOOKUP(Follow[[#This Row],[CODRASTREIO]],Controle_Pedidos[Cód Rastreamento],Controle_Pedidos[Número Pedido Cliente])</f>
        <v>Pedido 369</v>
      </c>
      <c r="B200" s="2" t="s">
        <v>17801</v>
      </c>
      <c r="C200" s="2" t="str">
        <f>Follow[[#This Row],[CODRASTREIO]]&amp;" B"</f>
        <v>CódRastreio359 B</v>
      </c>
      <c r="D200" s="52" t="str">
        <f>_xlfn.XLOOKUP(Follow[[#This Row],[Id Pedido]],Controle_Pedidos[Número Pedido Cliente],Controle_Pedidos[Loja])</f>
        <v>BV</v>
      </c>
      <c r="E200" s="9">
        <f>_xlfn.XLOOKUP(Follow[[#This Row],[Id Pedido]],Controle_Pedidos[Número Pedido Cliente],Controle_Pedidos[Prazo Entrega])</f>
        <v>45638</v>
      </c>
      <c r="F200" s="9" t="s">
        <v>19433</v>
      </c>
      <c r="G200" s="9" t="s">
        <v>37</v>
      </c>
      <c r="H200" s="52" t="s">
        <v>178</v>
      </c>
      <c r="I200" s="52" t="s">
        <v>178</v>
      </c>
      <c r="J200" s="55">
        <v>45623</v>
      </c>
      <c r="K200" s="54" t="s">
        <v>198</v>
      </c>
      <c r="L200" s="8" t="s">
        <v>124</v>
      </c>
      <c r="M200" s="8" t="s">
        <v>37</v>
      </c>
      <c r="N200" s="52" t="str">
        <f>IF(Follow[[#This Row],[DATAATUALIZAÇÃO]]&lt;=Follow[[#This Row],[Prev Entrega]],"Dentro do Prazo","Fora do Prazo")</f>
        <v>Dentro do Prazo</v>
      </c>
      <c r="O2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27/11/2024, referente ao pedido Nº Pedido 369 Rastreio Pedido 369, agradecemos a preferência e adoraríamos receber sua avaliação, tendo qualquer dúvida estamos à disposição.
Att
Tem tudo Shop</v>
      </c>
    </row>
    <row r="201" spans="1:15">
      <c r="A201" s="52" t="str">
        <f>_xlfn.XLOOKUP(Follow[[#This Row],[CODRASTREIO]],Controle_Pedidos[Cód Rastreamento],Controle_Pedidos[Número Pedido Cliente])</f>
        <v>Pedido 163</v>
      </c>
      <c r="B201" s="2" t="s">
        <v>17598</v>
      </c>
      <c r="C201" s="2" t="str">
        <f>Follow[[#This Row],[CODRASTREIO]]&amp;" B"</f>
        <v>CódRastreio156 B</v>
      </c>
      <c r="D201" s="52" t="str">
        <f>_xlfn.XLOOKUP(Follow[[#This Row],[Id Pedido]],Controle_Pedidos[Número Pedido Cliente],Controle_Pedidos[Loja])</f>
        <v>BV</v>
      </c>
      <c r="E201" s="9">
        <f>_xlfn.XLOOKUP(Follow[[#This Row],[Id Pedido]],Controle_Pedidos[Número Pedido Cliente],Controle_Pedidos[Prazo Entrega])</f>
        <v>45608</v>
      </c>
      <c r="F201" s="9" t="s">
        <v>19433</v>
      </c>
      <c r="G201" s="9" t="s">
        <v>37</v>
      </c>
      <c r="H201" s="52" t="s">
        <v>178</v>
      </c>
      <c r="I201" s="52" t="s">
        <v>178</v>
      </c>
      <c r="J201" s="55">
        <v>45600</v>
      </c>
      <c r="K201" s="54" t="s">
        <v>198</v>
      </c>
      <c r="L201" s="8" t="s">
        <v>124</v>
      </c>
      <c r="M201" s="8" t="s">
        <v>37</v>
      </c>
      <c r="N201" s="52" t="str">
        <f>IF(Follow[[#This Row],[DATAATUALIZAÇÃO]]&lt;=Follow[[#This Row],[Prev Entrega]],"Dentro do Prazo","Fora do Prazo")</f>
        <v>Dentro do Prazo</v>
      </c>
      <c r="O2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04/11/2024, referente ao pedido Nº Pedido 163 Rastreio Pedido 163, agradecemos a preferência e adoraríamos receber sua avaliação, tendo qualquer dúvida estamos à disposição.
Att
Tem tudo Shop</v>
      </c>
    </row>
    <row r="202" spans="1:15">
      <c r="A202" s="52" t="str">
        <f>_xlfn.XLOOKUP(Follow[[#This Row],[CODRASTREIO]],Controle_Pedidos[Cód Rastreamento],Controle_Pedidos[Número Pedido Cliente])</f>
        <v>Pedido 631</v>
      </c>
      <c r="B202" s="2" t="s">
        <v>18055</v>
      </c>
      <c r="C202" s="2" t="str">
        <f>Follow[[#This Row],[CODRASTREIO]]&amp;" B"</f>
        <v>CódRastreio613 B</v>
      </c>
      <c r="D202" s="52" t="str">
        <f>_xlfn.XLOOKUP(Follow[[#This Row],[Id Pedido]],Controle_Pedidos[Número Pedido Cliente],Controle_Pedidos[Loja])</f>
        <v>BV</v>
      </c>
      <c r="E202" s="9">
        <f>_xlfn.XLOOKUP(Follow[[#This Row],[Id Pedido]],Controle_Pedidos[Número Pedido Cliente],Controle_Pedidos[Prazo Entrega])</f>
        <v>45675</v>
      </c>
      <c r="F202" s="9" t="s">
        <v>19433</v>
      </c>
      <c r="G202" s="9" t="s">
        <v>37</v>
      </c>
      <c r="H202" s="52" t="s">
        <v>178</v>
      </c>
      <c r="I202" s="52" t="s">
        <v>178</v>
      </c>
      <c r="J202" s="55">
        <v>45665</v>
      </c>
      <c r="K202" s="52" t="s">
        <v>198</v>
      </c>
      <c r="L202" s="8" t="s">
        <v>124</v>
      </c>
      <c r="M202" s="8" t="s">
        <v>37</v>
      </c>
      <c r="N202" s="52" t="str">
        <f>IF(Follow[[#This Row],[DATAATUALIZAÇÃO]]&lt;=Follow[[#This Row],[Prev Entrega]],"Dentro do Prazo","Fora do Prazo")</f>
        <v>Dentro do Prazo</v>
      </c>
      <c r="O2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08/01/2025, referente ao pedido Nº Pedido 631 Rastreio Pedido 631, agradecemos a preferência e adoraríamos receber sua avaliação, tendo qualquer dúvida estamos à disposição.
Att
Tem tudo Shop</v>
      </c>
    </row>
    <row r="203" spans="1:15">
      <c r="A203" s="52" t="str">
        <f>_xlfn.XLOOKUP(Follow[[#This Row],[CODRASTREIO]],Controle_Pedidos[Cód Rastreamento],Controle_Pedidos[Número Pedido Cliente])</f>
        <v>Pedido 342</v>
      </c>
      <c r="B203" s="2" t="s">
        <v>17777</v>
      </c>
      <c r="C203" s="2" t="str">
        <f>Follow[[#This Row],[CODRASTREIO]]&amp;" B"</f>
        <v>CódRastreio335 B</v>
      </c>
      <c r="D203" s="52" t="str">
        <f>_xlfn.XLOOKUP(Follow[[#This Row],[Id Pedido]],Controle_Pedidos[Número Pedido Cliente],Controle_Pedidos[Loja])</f>
        <v>BV</v>
      </c>
      <c r="E203" s="9">
        <f>_xlfn.XLOOKUP(Follow[[#This Row],[Id Pedido]],Controle_Pedidos[Número Pedido Cliente],Controle_Pedidos[Prazo Entrega])</f>
        <v>45636</v>
      </c>
      <c r="F203" s="9" t="s">
        <v>19433</v>
      </c>
      <c r="G203" s="9" t="s">
        <v>37</v>
      </c>
      <c r="H203" s="52" t="s">
        <v>179</v>
      </c>
      <c r="I203" s="52" t="s">
        <v>178</v>
      </c>
      <c r="J203" s="55">
        <v>45618</v>
      </c>
      <c r="K203" s="54" t="s">
        <v>198</v>
      </c>
      <c r="L203" s="8" t="s">
        <v>124</v>
      </c>
      <c r="M203" s="8" t="s">
        <v>37</v>
      </c>
      <c r="N203" s="52" t="str">
        <f>IF(Follow[[#This Row],[DATAATUALIZAÇÃO]]&lt;=Follow[[#This Row],[Prev Entrega]],"Dentro do Prazo","Fora do Prazo")</f>
        <v>Dentro do Prazo</v>
      </c>
      <c r="O2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foi entregue no dia 22/11/2024, referente ao pedido Nº Pedido 342 Rastreio Pedido 342, agradecemos a preferência e adoraríamos receber sua avaliação, tendo qualquer dúvida estamos à disposição.
Att
Tem tudo Shop</v>
      </c>
    </row>
    <row r="204" spans="1:15">
      <c r="A204" s="52" t="str">
        <f>_xlfn.XLOOKUP(Follow[[#This Row],[CODRASTREIO]],Controle_Pedidos[Cód Rastreamento],Controle_Pedidos[Número Pedido Cliente])</f>
        <v>Pedido 107</v>
      </c>
      <c r="B204" s="2" t="s">
        <v>17542</v>
      </c>
      <c r="C204" s="2" t="str">
        <f>Follow[[#This Row],[CODRASTREIO]]&amp;" B"</f>
        <v>CódRastreio100 B</v>
      </c>
      <c r="D204" s="52" t="str">
        <f>_xlfn.XLOOKUP(Follow[[#This Row],[Id Pedido]],Controle_Pedidos[Número Pedido Cliente],Controle_Pedidos[Loja])</f>
        <v>BV</v>
      </c>
      <c r="E204" s="9">
        <f>_xlfn.XLOOKUP(Follow[[#This Row],[Id Pedido]],Controle_Pedidos[Número Pedido Cliente],Controle_Pedidos[Prazo Entrega])</f>
        <v>45610</v>
      </c>
      <c r="F204" s="9" t="s">
        <v>19433</v>
      </c>
      <c r="G204" s="9" t="s">
        <v>37</v>
      </c>
      <c r="H204" s="52" t="s">
        <v>178</v>
      </c>
      <c r="I204" s="52" t="s">
        <v>178</v>
      </c>
      <c r="J204" s="55">
        <v>45600</v>
      </c>
      <c r="K204" s="54" t="s">
        <v>198</v>
      </c>
      <c r="L204" s="8" t="s">
        <v>124</v>
      </c>
      <c r="M204" s="8" t="s">
        <v>37</v>
      </c>
      <c r="N204" s="52" t="str">
        <f>IF(Follow[[#This Row],[DATAATUALIZAÇÃO]]&lt;=Follow[[#This Row],[Prev Entrega]],"Dentro do Prazo","Fora do Prazo")</f>
        <v>Dentro do Prazo</v>
      </c>
      <c r="O2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107 Rastreio Pedido 107, agradecemos a preferência e adoraríamos receber sua avaliação, tendo qualquer dúvida estamos à disposição.
Att
Tem tudo Shop</v>
      </c>
    </row>
    <row r="205" spans="1:15">
      <c r="A205" s="52" t="str">
        <f>_xlfn.XLOOKUP(Follow[[#This Row],[CODRASTREIO]],Controle_Pedidos[Cód Rastreamento],Controle_Pedidos[Número Pedido Cliente])</f>
        <v>Pedido 339</v>
      </c>
      <c r="B205" s="2" t="s">
        <v>17774</v>
      </c>
      <c r="C205" s="2" t="str">
        <f>Follow[[#This Row],[CODRASTREIO]]&amp;" B"</f>
        <v>CódRastreio332 B</v>
      </c>
      <c r="D205" s="52" t="str">
        <f>_xlfn.XLOOKUP(Follow[[#This Row],[Id Pedido]],Controle_Pedidos[Número Pedido Cliente],Controle_Pedidos[Loja])</f>
        <v>BV</v>
      </c>
      <c r="E205" s="9">
        <f>_xlfn.XLOOKUP(Follow[[#This Row],[Id Pedido]],Controle_Pedidos[Número Pedido Cliente],Controle_Pedidos[Prazo Entrega])</f>
        <v>45636</v>
      </c>
      <c r="F205" s="9" t="s">
        <v>19433</v>
      </c>
      <c r="G205" s="9" t="s">
        <v>37</v>
      </c>
      <c r="H205" s="52" t="s">
        <v>179</v>
      </c>
      <c r="I205" s="52" t="s">
        <v>178</v>
      </c>
      <c r="J205" s="55">
        <v>45617</v>
      </c>
      <c r="K205" s="54" t="s">
        <v>198</v>
      </c>
      <c r="L205" s="8" t="s">
        <v>124</v>
      </c>
      <c r="M205" s="8" t="s">
        <v>37</v>
      </c>
      <c r="N205" s="52" t="str">
        <f>IF(Follow[[#This Row],[DATAATUALIZAÇÃO]]&lt;=Follow[[#This Row],[Prev Entrega]],"Dentro do Prazo","Fora do Prazo")</f>
        <v>Dentro do Prazo</v>
      </c>
      <c r="O2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21/11/2024, referente ao pedido Nº Pedido 339 Rastreio Pedido 339, agradecemos a preferência e adoraríamos receber sua avaliação, tendo qualquer dúvida estamos à disposição.
Att
Tem tudo Shop</v>
      </c>
    </row>
    <row r="206" spans="1:15">
      <c r="A206" s="52" t="str">
        <f>_xlfn.XLOOKUP(Follow[[#This Row],[CODRASTREIO]],Controle_Pedidos[Cód Rastreamento],Controle_Pedidos[Número Pedido Cliente])</f>
        <v>Pedido 498</v>
      </c>
      <c r="B206" s="2" t="s">
        <v>17926</v>
      </c>
      <c r="C206" s="2" t="str">
        <f>Follow[[#This Row],[CODRASTREIO]]&amp;" B"</f>
        <v>CódRastreio484 B</v>
      </c>
      <c r="D206" s="52" t="str">
        <f>_xlfn.XLOOKUP(Follow[[#This Row],[Id Pedido]],Controle_Pedidos[Número Pedido Cliente],Controle_Pedidos[Loja])</f>
        <v>BV</v>
      </c>
      <c r="E206" s="9">
        <f>_xlfn.XLOOKUP(Follow[[#This Row],[Id Pedido]],Controle_Pedidos[Número Pedido Cliente],Controle_Pedidos[Prazo Entrega])</f>
        <v>45667</v>
      </c>
      <c r="F206" s="9" t="s">
        <v>19433</v>
      </c>
      <c r="G206" s="9" t="s">
        <v>37</v>
      </c>
      <c r="H206" s="52" t="s">
        <v>179</v>
      </c>
      <c r="I206" s="52" t="s">
        <v>178</v>
      </c>
      <c r="J206" s="55">
        <v>45652</v>
      </c>
      <c r="K206" s="52" t="s">
        <v>198</v>
      </c>
      <c r="L206" s="8" t="s">
        <v>124</v>
      </c>
      <c r="M206" s="8" t="s">
        <v>37</v>
      </c>
      <c r="N206" s="52" t="str">
        <f>IF(Follow[[#This Row],[DATAATUALIZAÇÃO]]&lt;=Follow[[#This Row],[Prev Entrega]],"Dentro do Prazo","Fora do Prazo")</f>
        <v>Dentro do Prazo</v>
      </c>
      <c r="O2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26/12/2024, referente ao pedido Nº Pedido 498 Rastreio Pedido 498, agradecemos a preferência e adoraríamos receber sua avaliação, tendo qualquer dúvida estamos à disposição.
Att
Tem tudo Shop</v>
      </c>
    </row>
    <row r="207" spans="1:15">
      <c r="A207" s="52" t="str">
        <f>_xlfn.XLOOKUP(Follow[[#This Row],[CODRASTREIO]],Controle_Pedidos[Cód Rastreamento],Controle_Pedidos[Número Pedido Cliente])</f>
        <v>Pedido 319</v>
      </c>
      <c r="B207" s="2" t="s">
        <v>17754</v>
      </c>
      <c r="C207" s="2" t="str">
        <f>Follow[[#This Row],[CODRASTREIO]]&amp;" B"</f>
        <v>CódRastreio312 B</v>
      </c>
      <c r="D207" s="52" t="str">
        <f>_xlfn.XLOOKUP(Follow[[#This Row],[Id Pedido]],Controle_Pedidos[Número Pedido Cliente],Controle_Pedidos[Loja])</f>
        <v>BV</v>
      </c>
      <c r="E207" s="9">
        <f>_xlfn.XLOOKUP(Follow[[#This Row],[Id Pedido]],Controle_Pedidos[Número Pedido Cliente],Controle_Pedidos[Prazo Entrega])</f>
        <v>45623</v>
      </c>
      <c r="F207" s="9" t="s">
        <v>19433</v>
      </c>
      <c r="G207" s="9" t="s">
        <v>37</v>
      </c>
      <c r="H207" s="52" t="s">
        <v>178</v>
      </c>
      <c r="I207" s="52" t="s">
        <v>178</v>
      </c>
      <c r="J207" s="55">
        <v>45621</v>
      </c>
      <c r="K207" s="54" t="s">
        <v>198</v>
      </c>
      <c r="L207" s="8" t="s">
        <v>124</v>
      </c>
      <c r="M207" s="8" t="s">
        <v>37</v>
      </c>
      <c r="N207" s="52" t="str">
        <f>IF(Follow[[#This Row],[DATAATUALIZAÇÃO]]&lt;=Follow[[#This Row],[Prev Entrega]],"Dentro do Prazo","Fora do Prazo")</f>
        <v>Dentro do Prazo</v>
      </c>
      <c r="O2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25/11/2024, referente ao pedido Nº Pedido 319 Rastreio Pedido 319, agradecemos a preferência e adoraríamos receber sua avaliação, tendo qualquer dúvida estamos à disposição.
Att
Tem tudo Shop</v>
      </c>
    </row>
    <row r="208" spans="1:15">
      <c r="A208" s="52" t="str">
        <f>_xlfn.XLOOKUP(Follow[[#This Row],[CODRASTREIO]],Controle_Pedidos[Cód Rastreamento],Controle_Pedidos[Número Pedido Cliente])</f>
        <v>Pedido 299</v>
      </c>
      <c r="B208" s="2" t="s">
        <v>17734</v>
      </c>
      <c r="C208" s="2" t="str">
        <f>Follow[[#This Row],[CODRASTREIO]]&amp;" B"</f>
        <v>CódRastreio292 B</v>
      </c>
      <c r="D208" s="52" t="str">
        <f>_xlfn.XLOOKUP(Follow[[#This Row],[Id Pedido]],Controle_Pedidos[Número Pedido Cliente],Controle_Pedidos[Loja])</f>
        <v>BV</v>
      </c>
      <c r="E208" s="9">
        <f>_xlfn.XLOOKUP(Follow[[#This Row],[Id Pedido]],Controle_Pedidos[Número Pedido Cliente],Controle_Pedidos[Prazo Entrega])</f>
        <v>45631</v>
      </c>
      <c r="F208" s="9" t="s">
        <v>19433</v>
      </c>
      <c r="G208" s="9" t="s">
        <v>37</v>
      </c>
      <c r="H208" s="52" t="s">
        <v>178</v>
      </c>
      <c r="I208" s="52" t="s">
        <v>178</v>
      </c>
      <c r="J208" s="55">
        <v>45623</v>
      </c>
      <c r="K208" s="54" t="s">
        <v>198</v>
      </c>
      <c r="L208" s="8" t="s">
        <v>124</v>
      </c>
      <c r="M208" s="8" t="s">
        <v>37</v>
      </c>
      <c r="N208" s="52" t="str">
        <f>IF(Follow[[#This Row],[DATAATUALIZAÇÃO]]&lt;=Follow[[#This Row],[Prev Entrega]],"Dentro do Prazo","Fora do Prazo")</f>
        <v>Dentro do Prazo</v>
      </c>
      <c r="O2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27/11/2024, referente ao pedido Nº Pedido 299 Rastreio Pedido 299, agradecemos a preferência e adoraríamos receber sua avaliação, tendo qualquer dúvida estamos à disposição.
Att
Tem tudo Shop</v>
      </c>
    </row>
    <row r="209" spans="1:15">
      <c r="A209" s="52" t="str">
        <f>_xlfn.XLOOKUP(Follow[[#This Row],[CODRASTREIO]],Controle_Pedidos[Cód Rastreamento],Controle_Pedidos[Número Pedido Cliente])</f>
        <v>Pedido 298</v>
      </c>
      <c r="B209" s="2" t="s">
        <v>17733</v>
      </c>
      <c r="C209" s="2" t="str">
        <f>Follow[[#This Row],[CODRASTREIO]]&amp;" B"</f>
        <v>CódRastreio291 B</v>
      </c>
      <c r="D209" s="52" t="str">
        <f>_xlfn.XLOOKUP(Follow[[#This Row],[Id Pedido]],Controle_Pedidos[Número Pedido Cliente],Controle_Pedidos[Loja])</f>
        <v>BV</v>
      </c>
      <c r="E209" s="9">
        <f>_xlfn.XLOOKUP(Follow[[#This Row],[Id Pedido]],Controle_Pedidos[Número Pedido Cliente],Controle_Pedidos[Prazo Entrega])</f>
        <v>45631</v>
      </c>
      <c r="F209" s="9" t="s">
        <v>19433</v>
      </c>
      <c r="G209" s="9" t="s">
        <v>37</v>
      </c>
      <c r="H209" s="52" t="s">
        <v>178</v>
      </c>
      <c r="I209" s="52" t="s">
        <v>178</v>
      </c>
      <c r="J209" s="55">
        <v>45623</v>
      </c>
      <c r="K209" s="54" t="s">
        <v>198</v>
      </c>
      <c r="L209" s="8" t="s">
        <v>124</v>
      </c>
      <c r="M209" s="8" t="s">
        <v>37</v>
      </c>
      <c r="N209" s="52" t="str">
        <f>IF(Follow[[#This Row],[DATAATUALIZAÇÃO]]&lt;=Follow[[#This Row],[Prev Entrega]],"Dentro do Prazo","Fora do Prazo")</f>
        <v>Dentro do Prazo</v>
      </c>
      <c r="O2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27/11/2024, referente ao pedido Nº Pedido 298 Rastreio Pedido 298, agradecemos a preferência e adoraríamos receber sua avaliação, tendo qualquer dúvida estamos à disposição.
Att
Tem tudo Shop</v>
      </c>
    </row>
    <row r="210" spans="1:15">
      <c r="A210" s="52" t="str">
        <f>_xlfn.XLOOKUP(Follow[[#This Row],[CODRASTREIO]],Controle_Pedidos[Cód Rastreamento],Controle_Pedidos[Número Pedido Cliente])</f>
        <v>Pedido 54</v>
      </c>
      <c r="B210" s="2" t="s">
        <v>17487</v>
      </c>
      <c r="C210" s="2" t="str">
        <f>Follow[[#This Row],[CODRASTREIO]]&amp;" B"</f>
        <v>CódRastreio45 B</v>
      </c>
      <c r="D210" s="52" t="str">
        <f>_xlfn.XLOOKUP(Follow[[#This Row],[Id Pedido]],Controle_Pedidos[Número Pedido Cliente],Controle_Pedidos[Loja])</f>
        <v>BV</v>
      </c>
      <c r="E210" s="9">
        <f>_xlfn.XLOOKUP(Follow[[#This Row],[Id Pedido]],Controle_Pedidos[Número Pedido Cliente],Controle_Pedidos[Prazo Entrega])</f>
        <v>45627</v>
      </c>
      <c r="F210" s="9" t="s">
        <v>19433</v>
      </c>
      <c r="G210" s="9" t="s">
        <v>37</v>
      </c>
      <c r="H210" s="55" t="s">
        <v>178</v>
      </c>
      <c r="I210" s="55" t="s">
        <v>178</v>
      </c>
      <c r="J210" s="55">
        <v>45632.830983796295</v>
      </c>
      <c r="K210" s="54" t="s">
        <v>198</v>
      </c>
      <c r="L210" s="8" t="s">
        <v>124</v>
      </c>
      <c r="M210" s="8" t="s">
        <v>37</v>
      </c>
      <c r="N210" s="52" t="str">
        <f>IF(Follow[[#This Row],[DATAATUALIZAÇÃO]]&lt;=Follow[[#This Row],[Prev Entrega]],"Dentro do Prazo","Fora do Prazo")</f>
        <v>Fora do Prazo</v>
      </c>
      <c r="O21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06/12/2024, referente ao pedido Nº Pedido 54 Rastreio Pedido 54, agradecemos a preferência e adoraríamos receber sua avaliação, tendo qualquer dúvida estamos à disposição.
Att
Tem tudo Shop</v>
      </c>
    </row>
    <row r="211" spans="1:15">
      <c r="A211" s="52" t="str">
        <f>_xlfn.XLOOKUP(Follow[[#This Row],[CODRASTREIO]],Controle_Pedidos[Cód Rastreamento],Controle_Pedidos[Número Pedido Cliente])</f>
        <v>Pedido 512</v>
      </c>
      <c r="B211" s="2" t="s">
        <v>17939</v>
      </c>
      <c r="C211" s="2" t="str">
        <f>Follow[[#This Row],[CODRASTREIO]]&amp;" B"</f>
        <v>CódRastreio497 B</v>
      </c>
      <c r="D211" s="52" t="str">
        <f>_xlfn.XLOOKUP(Follow[[#This Row],[Id Pedido]],Controle_Pedidos[Número Pedido Cliente],Controle_Pedidos[Loja])</f>
        <v>BV</v>
      </c>
      <c r="E211" s="9">
        <f>_xlfn.XLOOKUP(Follow[[#This Row],[Id Pedido]],Controle_Pedidos[Número Pedido Cliente],Controle_Pedidos[Prazo Entrega])</f>
        <v>45657</v>
      </c>
      <c r="F211" s="9" t="s">
        <v>19433</v>
      </c>
      <c r="G211" s="9" t="s">
        <v>37</v>
      </c>
      <c r="H211" s="55" t="s">
        <v>178</v>
      </c>
      <c r="I211" s="55" t="s">
        <v>178</v>
      </c>
      <c r="J211" s="55">
        <v>45639</v>
      </c>
      <c r="K211" s="52" t="s">
        <v>198</v>
      </c>
      <c r="L211" s="8" t="s">
        <v>124</v>
      </c>
      <c r="M211" s="8" t="s">
        <v>37</v>
      </c>
      <c r="N211" s="52" t="str">
        <f>IF(Follow[[#This Row],[DATAATUALIZAÇÃO]]&lt;=Follow[[#This Row],[Prev Entrega]],"Dentro do Prazo","Fora do Prazo")</f>
        <v>Dentro do Prazo</v>
      </c>
      <c r="O2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13/12/2024, referente ao pedido Nº Pedido 512 Rastreio Pedido 512, agradecemos a preferência e adoraríamos receber sua avaliação, tendo qualquer dúvida estamos à disposição.
Att
Tem tudo Shop</v>
      </c>
    </row>
    <row r="212" spans="1:15">
      <c r="A212" s="52" t="str">
        <f>_xlfn.XLOOKUP(Follow[[#This Row],[CODRASTREIO]],Controle_Pedidos[Cód Rastreamento],Controle_Pedidos[Número Pedido Cliente])</f>
        <v>Pedido 310</v>
      </c>
      <c r="B212" s="2" t="s">
        <v>17745</v>
      </c>
      <c r="C212" s="2" t="str">
        <f>Follow[[#This Row],[CODRASTREIO]]&amp;" B"</f>
        <v>CódRastreio303 B</v>
      </c>
      <c r="D212" s="52" t="str">
        <f>_xlfn.XLOOKUP(Follow[[#This Row],[Id Pedido]],Controle_Pedidos[Número Pedido Cliente],Controle_Pedidos[Loja])</f>
        <v>BV</v>
      </c>
      <c r="E212" s="9">
        <f>_xlfn.XLOOKUP(Follow[[#This Row],[Id Pedido]],Controle_Pedidos[Número Pedido Cliente],Controle_Pedidos[Prazo Entrega])</f>
        <v>45632</v>
      </c>
      <c r="F212" s="9" t="s">
        <v>19433</v>
      </c>
      <c r="G212" s="9" t="s">
        <v>37</v>
      </c>
      <c r="H212" s="52" t="s">
        <v>178</v>
      </c>
      <c r="I212" s="52" t="s">
        <v>178</v>
      </c>
      <c r="J212" s="55">
        <v>45626</v>
      </c>
      <c r="K212" s="54" t="s">
        <v>198</v>
      </c>
      <c r="L212" s="8" t="s">
        <v>124</v>
      </c>
      <c r="M212" s="8" t="s">
        <v>37</v>
      </c>
      <c r="N212" s="52" t="str">
        <f>IF(Follow[[#This Row],[DATAATUALIZAÇÃO]]&lt;=Follow[[#This Row],[Prev Entrega]],"Dentro do Prazo","Fora do Prazo")</f>
        <v>Dentro do Prazo</v>
      </c>
      <c r="O21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30/11/2024, referente ao pedido Nº Pedido 310 Rastreio Pedido 310, agradecemos a preferência e adoraríamos receber sua avaliação, tendo qualquer dúvida estamos à disposição.
Att
Tem tudo Shop</v>
      </c>
    </row>
    <row r="213" spans="1:15">
      <c r="A213" s="52" t="str">
        <f>_xlfn.XLOOKUP(Follow[[#This Row],[CODRASTREIO]],Controle_Pedidos[Cód Rastreamento],Controle_Pedidos[Número Pedido Cliente])</f>
        <v>Pedido 598</v>
      </c>
      <c r="B213" s="2" t="s">
        <v>18025</v>
      </c>
      <c r="C213" s="2" t="str">
        <f>Follow[[#This Row],[CODRASTREIO]]&amp;" B"</f>
        <v>CódRastreio583 B</v>
      </c>
      <c r="D213" s="52" t="str">
        <f>_xlfn.XLOOKUP(Follow[[#This Row],[Id Pedido]],Controle_Pedidos[Número Pedido Cliente],Controle_Pedidos[Loja])</f>
        <v>BV</v>
      </c>
      <c r="E213" s="9">
        <f>_xlfn.XLOOKUP(Follow[[#This Row],[Id Pedido]],Controle_Pedidos[Número Pedido Cliente],Controle_Pedidos[Prazo Entrega])</f>
        <v>45673</v>
      </c>
      <c r="F213" s="9" t="s">
        <v>19433</v>
      </c>
      <c r="G213" s="9" t="s">
        <v>37</v>
      </c>
      <c r="H213" s="52" t="s">
        <v>178</v>
      </c>
      <c r="I213" s="52" t="s">
        <v>178</v>
      </c>
      <c r="J213" s="55">
        <v>45659</v>
      </c>
      <c r="K213" s="52" t="s">
        <v>198</v>
      </c>
      <c r="L213" s="8" t="s">
        <v>124</v>
      </c>
      <c r="M213" s="8" t="s">
        <v>37</v>
      </c>
      <c r="N213" s="52" t="str">
        <f>IF(Follow[[#This Row],[DATAATUALIZAÇÃO]]&lt;=Follow[[#This Row],[Prev Entrega]],"Dentro do Prazo","Fora do Prazo")</f>
        <v>Dentro do Prazo</v>
      </c>
      <c r="O2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Mixer Misturador foi entregue no dia 02/01/2025, referente ao pedido Nº Pedido 598 Rastreio Pedido 598, agradecemos a preferência e adoraríamos receber sua avaliação, tendo qualquer dúvida estamos à disposição.
Att
Tem tudo Shop</v>
      </c>
    </row>
    <row r="214" spans="1:15">
      <c r="A214" s="52" t="str">
        <f>_xlfn.XLOOKUP(Follow[[#This Row],[CODRASTREIO]],Controle_Pedidos[Cód Rastreamento],Controle_Pedidos[Número Pedido Cliente])</f>
        <v>Pedido 313</v>
      </c>
      <c r="B214" s="2" t="s">
        <v>17748</v>
      </c>
      <c r="C214" s="2" t="str">
        <f>Follow[[#This Row],[CODRASTREIO]]&amp;" B"</f>
        <v>CódRastreio306 B</v>
      </c>
      <c r="D214" s="52" t="str">
        <f>_xlfn.XLOOKUP(Follow[[#This Row],[Id Pedido]],Controle_Pedidos[Número Pedido Cliente],Controle_Pedidos[Loja])</f>
        <v>BV</v>
      </c>
      <c r="E214" s="9">
        <f>_xlfn.XLOOKUP(Follow[[#This Row],[Id Pedido]],Controle_Pedidos[Número Pedido Cliente],Controle_Pedidos[Prazo Entrega])</f>
        <v>45632</v>
      </c>
      <c r="F214" s="9" t="s">
        <v>19433</v>
      </c>
      <c r="G214" s="9" t="s">
        <v>37</v>
      </c>
      <c r="H214" s="52" t="s">
        <v>178</v>
      </c>
      <c r="I214" s="52" t="s">
        <v>178</v>
      </c>
      <c r="J214" s="55">
        <v>45623</v>
      </c>
      <c r="K214" s="54" t="s">
        <v>198</v>
      </c>
      <c r="L214" s="8" t="s">
        <v>124</v>
      </c>
      <c r="M214" s="8" t="s">
        <v>203</v>
      </c>
      <c r="N214" s="52" t="str">
        <f>IF(Follow[[#This Row],[DATAATUALIZAÇÃO]]&lt;=Follow[[#This Row],[Prev Entrega]],"Dentro do Prazo","Fora do Prazo")</f>
        <v>Dentro do Prazo</v>
      </c>
      <c r="O21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27/11/2024, referente ao pedido Nº Pedido 313 Rastreio Pedido 313, agradecemos a preferência e adoraríamos receber sua avaliação, tendo qualquer dúvida estamos à disposição.
Att
Tem tudo Shop</v>
      </c>
    </row>
    <row r="215" spans="1:15">
      <c r="A215" s="52" t="str">
        <f>_xlfn.XLOOKUP(Follow[[#This Row],[CODRASTREIO]],Controle_Pedidos[Cód Rastreamento],Controle_Pedidos[Número Pedido Cliente])</f>
        <v>Pedido 469</v>
      </c>
      <c r="B215" s="2" t="s">
        <v>17896</v>
      </c>
      <c r="C215" s="2" t="str">
        <f>Follow[[#This Row],[CODRASTREIO]]&amp;" B"</f>
        <v>CódRastreio454 B</v>
      </c>
      <c r="D215" s="52" t="str">
        <f>_xlfn.XLOOKUP(Follow[[#This Row],[Id Pedido]],Controle_Pedidos[Número Pedido Cliente],Controle_Pedidos[Loja])</f>
        <v>BV</v>
      </c>
      <c r="E215" s="9">
        <f>_xlfn.XLOOKUP(Follow[[#This Row],[Id Pedido]],Controle_Pedidos[Número Pedido Cliente],Controle_Pedidos[Prazo Entrega])</f>
        <v>45646</v>
      </c>
      <c r="F215" s="9" t="s">
        <v>19433</v>
      </c>
      <c r="G215" s="9" t="s">
        <v>37</v>
      </c>
      <c r="H215" s="55" t="s">
        <v>179</v>
      </c>
      <c r="I215" s="55" t="s">
        <v>178</v>
      </c>
      <c r="J215" s="55">
        <v>45636</v>
      </c>
      <c r="K215" s="52" t="s">
        <v>198</v>
      </c>
      <c r="L215" s="8" t="s">
        <v>124</v>
      </c>
      <c r="M215" s="8" t="s">
        <v>37</v>
      </c>
      <c r="N215" s="52" t="str">
        <f>IF(Follow[[#This Row],[DATAATUALIZAÇÃO]]&lt;=Follow[[#This Row],[Prev Entrega]],"Dentro do Prazo","Fora do Prazo")</f>
        <v>Dentro do Prazo</v>
      </c>
      <c r="O2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10/12/2024, referente ao pedido Nº Pedido 469 Rastreio Pedido 469, agradecemos a preferência e adoraríamos receber sua avaliação, tendo qualquer dúvida estamos à disposição.
Att
Tem tudo Shop</v>
      </c>
    </row>
    <row r="216" spans="1:15">
      <c r="A216" s="52" t="str">
        <f>_xlfn.XLOOKUP(Follow[[#This Row],[CODRASTREIO]],Controle_Pedidos[Cód Rastreamento],Controle_Pedidos[Número Pedido Cliente])</f>
        <v>Pedido 104</v>
      </c>
      <c r="B216" s="2" t="s">
        <v>17539</v>
      </c>
      <c r="C216" s="2" t="str">
        <f>Follow[[#This Row],[CODRASTREIO]]&amp;" B"</f>
        <v>CódRastreio97 B</v>
      </c>
      <c r="D216" s="52" t="str">
        <f>_xlfn.XLOOKUP(Follow[[#This Row],[Id Pedido]],Controle_Pedidos[Número Pedido Cliente],Controle_Pedidos[Loja])</f>
        <v>BV</v>
      </c>
      <c r="E216" s="9">
        <f>_xlfn.XLOOKUP(Follow[[#This Row],[Id Pedido]],Controle_Pedidos[Número Pedido Cliente],Controle_Pedidos[Prazo Entrega])</f>
        <v>45624</v>
      </c>
      <c r="F216" s="9" t="s">
        <v>19433</v>
      </c>
      <c r="G216" s="9" t="s">
        <v>37</v>
      </c>
      <c r="H216" s="52" t="s">
        <v>179</v>
      </c>
      <c r="I216" s="52" t="s">
        <v>178</v>
      </c>
      <c r="J216" s="55">
        <v>45610</v>
      </c>
      <c r="K216" s="54" t="s">
        <v>198</v>
      </c>
      <c r="L216" s="8" t="s">
        <v>124</v>
      </c>
      <c r="M216" s="8" t="s">
        <v>37</v>
      </c>
      <c r="N216" s="52" t="str">
        <f>IF(Follow[[#This Row],[DATAATUALIZAÇÃO]]&lt;=Follow[[#This Row],[Prev Entrega]],"Dentro do Prazo","Fora do Prazo")</f>
        <v>Dentro do Prazo</v>
      </c>
      <c r="O2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14/11/2024, referente ao pedido Nº Pedido 104 Rastreio Pedido 104, agradecemos a preferência e adoraríamos receber sua avaliação, tendo qualquer dúvida estamos à disposição.
Att
Tem tudo Shop</v>
      </c>
    </row>
    <row r="217" spans="1:15">
      <c r="A217" s="52" t="str">
        <f>_xlfn.XLOOKUP(Follow[[#This Row],[CODRASTREIO]],Controle_Pedidos[Cód Rastreamento],Controle_Pedidos[Número Pedido Cliente])</f>
        <v>Pedido 213</v>
      </c>
      <c r="B217" s="2" t="s">
        <v>17648</v>
      </c>
      <c r="C217" s="2" t="str">
        <f>Follow[[#This Row],[CODRASTREIO]]&amp;" B"</f>
        <v>CódRastreio206 B</v>
      </c>
      <c r="D217" s="52" t="str">
        <f>_xlfn.XLOOKUP(Follow[[#This Row],[Id Pedido]],Controle_Pedidos[Número Pedido Cliente],Controle_Pedidos[Loja])</f>
        <v>BV</v>
      </c>
      <c r="E217" s="9">
        <f>_xlfn.XLOOKUP(Follow[[#This Row],[Id Pedido]],Controle_Pedidos[Número Pedido Cliente],Controle_Pedidos[Prazo Entrega])</f>
        <v>45615</v>
      </c>
      <c r="F217" s="9" t="s">
        <v>19433</v>
      </c>
      <c r="G217" s="9" t="s">
        <v>37</v>
      </c>
      <c r="H217" s="52" t="s">
        <v>178</v>
      </c>
      <c r="I217" s="52" t="s">
        <v>178</v>
      </c>
      <c r="J217" s="55">
        <v>45602</v>
      </c>
      <c r="K217" s="54" t="s">
        <v>198</v>
      </c>
      <c r="L217" s="8" t="s">
        <v>124</v>
      </c>
      <c r="M217" s="8" t="s">
        <v>37</v>
      </c>
      <c r="N217" s="52" t="str">
        <f>IF(Follow[[#This Row],[DATAATUALIZAÇÃO]]&lt;=Follow[[#This Row],[Prev Entrega]],"Dentro do Prazo","Fora do Prazo")</f>
        <v>Dentro do Prazo</v>
      </c>
      <c r="O2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06/11/2024, referente ao pedido Nº Pedido 213 Rastreio Pedido 213, agradecemos a preferência e adoraríamos receber sua avaliação, tendo qualquer dúvida estamos à disposição.
Att
Tem tudo Shop</v>
      </c>
    </row>
    <row r="218" spans="1:15">
      <c r="A218" s="52" t="str">
        <f>_xlfn.XLOOKUP(Follow[[#This Row],[CODRASTREIO]],Controle_Pedidos[Cód Rastreamento],Controle_Pedidos[Número Pedido Cliente])</f>
        <v>Pedido 270</v>
      </c>
      <c r="B218" s="2" t="s">
        <v>17705</v>
      </c>
      <c r="C218" s="2" t="str">
        <f>Follow[[#This Row],[CODRASTREIO]]&amp;" B"</f>
        <v>CódRastreio263 B</v>
      </c>
      <c r="D218" s="52" t="str">
        <f>_xlfn.XLOOKUP(Follow[[#This Row],[Id Pedido]],Controle_Pedidos[Número Pedido Cliente],Controle_Pedidos[Loja])</f>
        <v>BV</v>
      </c>
      <c r="E218" s="9">
        <f>_xlfn.XLOOKUP(Follow[[#This Row],[Id Pedido]],Controle_Pedidos[Número Pedido Cliente],Controle_Pedidos[Prazo Entrega])</f>
        <v>45624</v>
      </c>
      <c r="F218" s="9" t="s">
        <v>19433</v>
      </c>
      <c r="G218" s="9" t="s">
        <v>37</v>
      </c>
      <c r="H218" s="52" t="s">
        <v>178</v>
      </c>
      <c r="I218" s="52" t="s">
        <v>178</v>
      </c>
      <c r="J218" s="55">
        <v>45605</v>
      </c>
      <c r="K218" s="54" t="s">
        <v>198</v>
      </c>
      <c r="L218" s="8" t="s">
        <v>124</v>
      </c>
      <c r="M218" s="8" t="s">
        <v>37</v>
      </c>
      <c r="N218" s="52" t="str">
        <f>IF(Follow[[#This Row],[DATAATUALIZAÇÃO]]&lt;=Follow[[#This Row],[Prev Entrega]],"Dentro do Prazo","Fora do Prazo")</f>
        <v>Dentro do Prazo</v>
      </c>
      <c r="O2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09/11/2024, referente ao pedido Nº Pedido 270 Rastreio Pedido 270, agradecemos a preferência e adoraríamos receber sua avaliação, tendo qualquer dúvida estamos à disposição.
Att
Tem tudo Shop</v>
      </c>
    </row>
    <row r="219" spans="1:15">
      <c r="A219" s="52" t="str">
        <f>_xlfn.XLOOKUP(Follow[[#This Row],[CODRASTREIO]],Controle_Pedidos[Cód Rastreamento],Controle_Pedidos[Número Pedido Cliente])</f>
        <v>Pedido 408</v>
      </c>
      <c r="B219" s="2" t="s">
        <v>17839</v>
      </c>
      <c r="C219" s="2" t="str">
        <f>Follow[[#This Row],[CODRASTREIO]]&amp;" B"</f>
        <v>CódRastreio397 B</v>
      </c>
      <c r="D219" s="52" t="str">
        <f>_xlfn.XLOOKUP(Follow[[#This Row],[Id Pedido]],Controle_Pedidos[Número Pedido Cliente],Controle_Pedidos[Loja])</f>
        <v>BV</v>
      </c>
      <c r="E219" s="9">
        <f>_xlfn.XLOOKUP(Follow[[#This Row],[Id Pedido]],Controle_Pedidos[Número Pedido Cliente],Controle_Pedidos[Prazo Entrega])</f>
        <v>45637</v>
      </c>
      <c r="F219" s="9" t="s">
        <v>19433</v>
      </c>
      <c r="G219" s="9" t="s">
        <v>37</v>
      </c>
      <c r="H219" s="55" t="s">
        <v>179</v>
      </c>
      <c r="I219" s="55" t="s">
        <v>178</v>
      </c>
      <c r="J219" s="55">
        <v>45632.600775462961</v>
      </c>
      <c r="K219" s="54" t="s">
        <v>198</v>
      </c>
      <c r="L219" s="8" t="s">
        <v>124</v>
      </c>
      <c r="M219" s="8" t="s">
        <v>37</v>
      </c>
      <c r="N219" s="52" t="str">
        <f>IF(Follow[[#This Row],[DATAATUALIZAÇÃO]]&lt;=Follow[[#This Row],[Prev Entrega]],"Dentro do Prazo","Fora do Prazo")</f>
        <v>Dentro do Prazo</v>
      </c>
      <c r="O2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06/12/2024, referente ao pedido Nº Pedido 408 Rastreio Pedido 408, agradecemos a preferência e adoraríamos receber sua avaliação, tendo qualquer dúvida estamos à disposição.
Att
Tem tudo Shop</v>
      </c>
    </row>
    <row r="220" spans="1:15">
      <c r="A220" s="52" t="str">
        <f>_xlfn.XLOOKUP(Follow[[#This Row],[CODRASTREIO]],Controle_Pedidos[Cód Rastreamento],Controle_Pedidos[Número Pedido Cliente])</f>
        <v>Pedido 559</v>
      </c>
      <c r="B220" s="2" t="s">
        <v>17986</v>
      </c>
      <c r="C220" s="2" t="str">
        <f>Follow[[#This Row],[CODRASTREIO]]&amp;" B"</f>
        <v>CódRastreio544 B</v>
      </c>
      <c r="D220" s="52" t="str">
        <f>_xlfn.XLOOKUP(Follow[[#This Row],[Id Pedido]],Controle_Pedidos[Número Pedido Cliente],Controle_Pedidos[Loja])</f>
        <v>BV</v>
      </c>
      <c r="E220" s="9">
        <f>_xlfn.XLOOKUP(Follow[[#This Row],[Id Pedido]],Controle_Pedidos[Número Pedido Cliente],Controle_Pedidos[Prazo Entrega])</f>
        <v>45679</v>
      </c>
      <c r="F220" s="9" t="s">
        <v>19433</v>
      </c>
      <c r="G220" s="9" t="s">
        <v>37</v>
      </c>
      <c r="H220" s="52" t="s">
        <v>179</v>
      </c>
      <c r="I220" s="52" t="s">
        <v>178</v>
      </c>
      <c r="J220" s="55">
        <v>45659</v>
      </c>
      <c r="K220" s="52" t="s">
        <v>198</v>
      </c>
      <c r="L220" s="8" t="s">
        <v>124</v>
      </c>
      <c r="M220" s="8" t="s">
        <v>37</v>
      </c>
      <c r="N220" s="52" t="str">
        <f>IF(Follow[[#This Row],[DATAATUALIZAÇÃO]]&lt;=Follow[[#This Row],[Prev Entrega]],"Dentro do Prazo","Fora do Prazo")</f>
        <v>Dentro do Prazo</v>
      </c>
      <c r="O2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02/01/2025, referente ao pedido Nº Pedido 559 Rastreio Pedido 559, agradecemos a preferência e adoraríamos receber sua avaliação, tendo qualquer dúvida estamos à disposição.
Att
Tem tudo Shop</v>
      </c>
    </row>
    <row r="221" spans="1:15">
      <c r="A221" s="52" t="str">
        <f>_xlfn.XLOOKUP(Follow[[#This Row],[CODRASTREIO]],Controle_Pedidos[Cód Rastreamento],Controle_Pedidos[Número Pedido Cliente])</f>
        <v>Pedido 397</v>
      </c>
      <c r="B221" s="2" t="s">
        <v>17829</v>
      </c>
      <c r="C221" s="2" t="str">
        <f>Follow[[#This Row],[CODRASTREIO]]&amp;" B"</f>
        <v>CódRastreio387 B</v>
      </c>
      <c r="D221" s="52" t="str">
        <f>_xlfn.XLOOKUP(Follow[[#This Row],[Id Pedido]],Controle_Pedidos[Número Pedido Cliente],Controle_Pedidos[Loja])</f>
        <v>BV</v>
      </c>
      <c r="E221" s="9">
        <f>_xlfn.XLOOKUP(Follow[[#This Row],[Id Pedido]],Controle_Pedidos[Número Pedido Cliente],Controle_Pedidos[Prazo Entrega])</f>
        <v>45643</v>
      </c>
      <c r="F221" s="9" t="s">
        <v>19433</v>
      </c>
      <c r="G221" s="9" t="s">
        <v>37</v>
      </c>
      <c r="H221" s="52" t="s">
        <v>179</v>
      </c>
      <c r="I221" s="52" t="s">
        <v>178</v>
      </c>
      <c r="J221" s="55">
        <v>45629</v>
      </c>
      <c r="K221" s="54" t="s">
        <v>198</v>
      </c>
      <c r="L221" s="8" t="s">
        <v>124</v>
      </c>
      <c r="M221" s="8" t="s">
        <v>37</v>
      </c>
      <c r="N221" s="52" t="str">
        <f>IF(Follow[[#This Row],[DATAATUALIZAÇÃO]]&lt;=Follow[[#This Row],[Prev Entrega]],"Dentro do Prazo","Fora do Prazo")</f>
        <v>Dentro do Prazo</v>
      </c>
      <c r="O2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03/12/2024, referente ao pedido Nº Pedido 397 Rastreio Pedido 397, agradecemos a preferência e adoraríamos receber sua avaliação, tendo qualquer dúvida estamos à disposição.
Att
Tem tudo Shop</v>
      </c>
    </row>
    <row r="222" spans="1:15">
      <c r="A222" s="52" t="str">
        <f>_xlfn.XLOOKUP(Follow[[#This Row],[CODRASTREIO]],Controle_Pedidos[Cód Rastreamento],Controle_Pedidos[Número Pedido Cliente])</f>
        <v>Pedido 251</v>
      </c>
      <c r="B222" s="2" t="s">
        <v>17686</v>
      </c>
      <c r="C222" s="2" t="str">
        <f>Follow[[#This Row],[CODRASTREIO]]&amp;" B"</f>
        <v>CódRastreio244 B</v>
      </c>
      <c r="D222" s="52" t="str">
        <f>_xlfn.XLOOKUP(Follow[[#This Row],[Id Pedido]],Controle_Pedidos[Número Pedido Cliente],Controle_Pedidos[Loja])</f>
        <v>BV</v>
      </c>
      <c r="E222" s="9">
        <f>_xlfn.XLOOKUP(Follow[[#This Row],[Id Pedido]],Controle_Pedidos[Número Pedido Cliente],Controle_Pedidos[Prazo Entrega])</f>
        <v>45619</v>
      </c>
      <c r="F222" s="9" t="s">
        <v>19433</v>
      </c>
      <c r="G222" s="9" t="s">
        <v>37</v>
      </c>
      <c r="H222" s="52" t="s">
        <v>178</v>
      </c>
      <c r="I222" s="52" t="s">
        <v>178</v>
      </c>
      <c r="J222" s="55">
        <v>45610</v>
      </c>
      <c r="K222" s="54" t="s">
        <v>198</v>
      </c>
      <c r="L222" s="8" t="s">
        <v>124</v>
      </c>
      <c r="M222" s="8" t="s">
        <v>37</v>
      </c>
      <c r="N222" s="52" t="str">
        <f>IF(Follow[[#This Row],[DATAATUALIZAÇÃO]]&lt;=Follow[[#This Row],[Prev Entrega]],"Dentro do Prazo","Fora do Prazo")</f>
        <v>Dentro do Prazo</v>
      </c>
      <c r="O22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251 Rastreio Pedido 251, agradecemos a preferência e adoraríamos receber sua avaliação, tendo qualquer dúvida estamos à disposição.
Att
Tem tudo Shop</v>
      </c>
    </row>
    <row r="223" spans="1:15">
      <c r="A223" s="52" t="str">
        <f>_xlfn.XLOOKUP(Follow[[#This Row],[CODRASTREIO]],Controle_Pedidos[Cód Rastreamento],Controle_Pedidos[Número Pedido Cliente])</f>
        <v>Pedido 633</v>
      </c>
      <c r="B223" s="2" t="s">
        <v>18057</v>
      </c>
      <c r="C223" s="2" t="str">
        <f>Follow[[#This Row],[CODRASTREIO]]&amp;" B"</f>
        <v>CódRastreio615 B</v>
      </c>
      <c r="D223" s="52" t="str">
        <f>_xlfn.XLOOKUP(Follow[[#This Row],[Id Pedido]],Controle_Pedidos[Número Pedido Cliente],Controle_Pedidos[Loja])</f>
        <v>BV</v>
      </c>
      <c r="E223" s="9">
        <f>_xlfn.XLOOKUP(Follow[[#This Row],[Id Pedido]],Controle_Pedidos[Número Pedido Cliente],Controle_Pedidos[Prazo Entrega])</f>
        <v>45681</v>
      </c>
      <c r="F223" s="9" t="s">
        <v>19433</v>
      </c>
      <c r="G223" s="9" t="s">
        <v>37</v>
      </c>
      <c r="H223" s="52" t="s">
        <v>179</v>
      </c>
      <c r="I223" s="52" t="s">
        <v>178</v>
      </c>
      <c r="J223" s="55">
        <v>45665</v>
      </c>
      <c r="K223" s="52" t="s">
        <v>198</v>
      </c>
      <c r="L223" s="8" t="s">
        <v>124</v>
      </c>
      <c r="M223" s="8" t="s">
        <v>37</v>
      </c>
      <c r="N223" s="52" t="str">
        <f>IF(Follow[[#This Row],[DATAATUALIZAÇÃO]]&lt;=Follow[[#This Row],[Prev Entrega]],"Dentro do Prazo","Fora do Prazo")</f>
        <v>Dentro do Prazo</v>
      </c>
      <c r="O22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633 Rastreio Pedido 633, agradecemos a preferência e adoraríamos receber sua avaliação, tendo qualquer dúvida estamos à disposição.
Att
Tem tudo Shop</v>
      </c>
    </row>
    <row r="224" spans="1:15">
      <c r="A224" s="52" t="str">
        <f>_xlfn.XLOOKUP(Follow[[#This Row],[CODRASTREIO]],Controle_Pedidos[Cód Rastreamento],Controle_Pedidos[Número Pedido Cliente])</f>
        <v>Pedido 289</v>
      </c>
      <c r="B224" s="2" t="s">
        <v>17724</v>
      </c>
      <c r="C224" s="2" t="str">
        <f>Follow[[#This Row],[CODRASTREIO]]&amp;" B"</f>
        <v>CódRastreio282 B</v>
      </c>
      <c r="D224" s="52" t="str">
        <f>_xlfn.XLOOKUP(Follow[[#This Row],[Id Pedido]],Controle_Pedidos[Número Pedido Cliente],Controle_Pedidos[Loja])</f>
        <v>BV</v>
      </c>
      <c r="E224" s="9">
        <f>_xlfn.XLOOKUP(Follow[[#This Row],[Id Pedido]],Controle_Pedidos[Número Pedido Cliente],Controle_Pedidos[Prazo Entrega])</f>
        <v>45630</v>
      </c>
      <c r="F224" s="9" t="s">
        <v>19433</v>
      </c>
      <c r="G224" s="9" t="s">
        <v>37</v>
      </c>
      <c r="H224" s="52" t="s">
        <v>179</v>
      </c>
      <c r="I224" s="52" t="s">
        <v>178</v>
      </c>
      <c r="J224" s="55">
        <v>45614</v>
      </c>
      <c r="K224" s="54" t="s">
        <v>198</v>
      </c>
      <c r="L224" s="8" t="s">
        <v>124</v>
      </c>
      <c r="M224" s="8" t="s">
        <v>37</v>
      </c>
      <c r="N224" s="52" t="str">
        <f>IF(Follow[[#This Row],[DATAATUALIZAÇÃO]]&lt;=Follow[[#This Row],[Prev Entrega]],"Dentro do Prazo","Fora do Prazo")</f>
        <v>Dentro do Prazo</v>
      </c>
      <c r="O2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18/11/2024, referente ao pedido Nº Pedido 289 Rastreio Pedido 289, agradecemos a preferência e adoraríamos receber sua avaliação, tendo qualquer dúvida estamos à disposição.
Att
Tem tudo Shop</v>
      </c>
    </row>
    <row r="225" spans="1:15">
      <c r="A225" s="52" t="str">
        <f>_xlfn.XLOOKUP(Follow[[#This Row],[CODRASTREIO]],Controle_Pedidos[Cód Rastreamento],Controle_Pedidos[Número Pedido Cliente])</f>
        <v>Pedido 184</v>
      </c>
      <c r="B225" s="2" t="s">
        <v>17619</v>
      </c>
      <c r="C225" s="2" t="str">
        <f>Follow[[#This Row],[CODRASTREIO]]&amp;" B"</f>
        <v>CódRastreio177 B</v>
      </c>
      <c r="D225" s="52" t="str">
        <f>_xlfn.XLOOKUP(Follow[[#This Row],[Id Pedido]],Controle_Pedidos[Número Pedido Cliente],Controle_Pedidos[Loja])</f>
        <v>BV</v>
      </c>
      <c r="E225" s="9">
        <f>_xlfn.XLOOKUP(Follow[[#This Row],[Id Pedido]],Controle_Pedidos[Número Pedido Cliente],Controle_Pedidos[Prazo Entrega])</f>
        <v>45618</v>
      </c>
      <c r="F225" s="9" t="s">
        <v>19433</v>
      </c>
      <c r="G225" s="9" t="s">
        <v>37</v>
      </c>
      <c r="H225" s="52" t="s">
        <v>178</v>
      </c>
      <c r="I225" s="52" t="s">
        <v>178</v>
      </c>
      <c r="J225" s="55">
        <v>45629</v>
      </c>
      <c r="K225" s="54" t="s">
        <v>198</v>
      </c>
      <c r="L225" s="8" t="s">
        <v>124</v>
      </c>
      <c r="M225" s="59" t="s">
        <v>202</v>
      </c>
      <c r="N225" s="52" t="str">
        <f>IF(Follow[[#This Row],[DATAATUALIZAÇÃO]]&lt;=Follow[[#This Row],[Prev Entrega]],"Dentro do Prazo","Fora do Prazo")</f>
        <v>Fora do Prazo</v>
      </c>
      <c r="O22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03/12/2024, referente ao pedido Nº Pedido 184 Rastreio Pedido 184, agradecemos a preferência e adoraríamos receber sua avaliação, tendo qualquer dúvida estamos à disposição.
Att
Tem tudo Shop</v>
      </c>
    </row>
    <row r="226" spans="1:15">
      <c r="A226" s="52" t="str">
        <f>_xlfn.XLOOKUP(Follow[[#This Row],[CODRASTREIO]],Controle_Pedidos[Cód Rastreamento],Controle_Pedidos[Número Pedido Cliente])</f>
        <v>Pedido 173</v>
      </c>
      <c r="B226" s="2" t="s">
        <v>17608</v>
      </c>
      <c r="C226" s="2" t="str">
        <f>Follow[[#This Row],[CODRASTREIO]]&amp;" B"</f>
        <v>CódRastreio166 B</v>
      </c>
      <c r="D226" s="52" t="str">
        <f>_xlfn.XLOOKUP(Follow[[#This Row],[Id Pedido]],Controle_Pedidos[Número Pedido Cliente],Controle_Pedidos[Loja])</f>
        <v>BV</v>
      </c>
      <c r="E226" s="9">
        <f>_xlfn.XLOOKUP(Follow[[#This Row],[Id Pedido]],Controle_Pedidos[Número Pedido Cliente],Controle_Pedidos[Prazo Entrega])</f>
        <v>45604</v>
      </c>
      <c r="F226" s="9" t="s">
        <v>19433</v>
      </c>
      <c r="G226" s="9" t="s">
        <v>37</v>
      </c>
      <c r="H226" s="52" t="s">
        <v>178</v>
      </c>
      <c r="I226" s="52" t="s">
        <v>178</v>
      </c>
      <c r="J226" s="55">
        <v>45600</v>
      </c>
      <c r="K226" s="54" t="s">
        <v>198</v>
      </c>
      <c r="L226" s="8" t="s">
        <v>124</v>
      </c>
      <c r="M226" s="8" t="s">
        <v>37</v>
      </c>
      <c r="N226" s="52" t="str">
        <f>IF(Follow[[#This Row],[DATAATUALIZAÇÃO]]&lt;=Follow[[#This Row],[Prev Entrega]],"Dentro do Prazo","Fora do Prazo")</f>
        <v>Dentro do Prazo</v>
      </c>
      <c r="O2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173 Rastreio Pedido 173, agradecemos a preferência e adoraríamos receber sua avaliação, tendo qualquer dúvida estamos à disposição.
Att
Tem tudo Shop</v>
      </c>
    </row>
    <row r="227" spans="1:15">
      <c r="A227" s="52" t="str">
        <f>_xlfn.XLOOKUP(Follow[[#This Row],[CODRASTREIO]],Controle_Pedidos[Cód Rastreamento],Controle_Pedidos[Número Pedido Cliente])</f>
        <v>Pedido 77</v>
      </c>
      <c r="B227" s="2" t="s">
        <v>17510</v>
      </c>
      <c r="C227" s="2" t="str">
        <f>Follow[[#This Row],[CODRASTREIO]]&amp;" B"</f>
        <v>CódRastreio68 B</v>
      </c>
      <c r="D227" s="52" t="str">
        <f>_xlfn.XLOOKUP(Follow[[#This Row],[Id Pedido]],Controle_Pedidos[Número Pedido Cliente],Controle_Pedidos[Loja])</f>
        <v>BV</v>
      </c>
      <c r="E227" s="9">
        <f>_xlfn.XLOOKUP(Follow[[#This Row],[Id Pedido]],Controle_Pedidos[Número Pedido Cliente],Controle_Pedidos[Prazo Entrega])</f>
        <v>45610</v>
      </c>
      <c r="F227" s="9" t="s">
        <v>19433</v>
      </c>
      <c r="G227" s="9" t="s">
        <v>37</v>
      </c>
      <c r="H227" s="52" t="s">
        <v>178</v>
      </c>
      <c r="I227" s="52" t="s">
        <v>178</v>
      </c>
      <c r="J227" s="55">
        <v>45597</v>
      </c>
      <c r="K227" s="54" t="s">
        <v>198</v>
      </c>
      <c r="L227" s="8" t="s">
        <v>124</v>
      </c>
      <c r="M227" s="8" t="s">
        <v>37</v>
      </c>
      <c r="N227" s="52" t="str">
        <f>IF(Follow[[#This Row],[DATAATUALIZAÇÃO]]&lt;=Follow[[#This Row],[Prev Entrega]],"Dentro do Prazo","Fora do Prazo")</f>
        <v>Dentro do Prazo</v>
      </c>
      <c r="O2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01/11/2024, referente ao pedido Nº Pedido 77 Rastreio Pedido 77, agradecemos a preferência e adoraríamos receber sua avaliação, tendo qualquer dúvida estamos à disposição.
Att
Tem tudo Shop</v>
      </c>
    </row>
    <row r="228" spans="1:15">
      <c r="A228" s="52" t="str">
        <f>_xlfn.XLOOKUP(Follow[[#This Row],[CODRASTREIO]],Controle_Pedidos[Cód Rastreamento],Controle_Pedidos[Número Pedido Cliente])</f>
        <v>Pedido 483</v>
      </c>
      <c r="B228" s="2" t="s">
        <v>17910</v>
      </c>
      <c r="C228" s="2" t="str">
        <f>Follow[[#This Row],[CODRASTREIO]]&amp;" B"</f>
        <v>CódRastreio468 B</v>
      </c>
      <c r="D228" s="52" t="str">
        <f>_xlfn.XLOOKUP(Follow[[#This Row],[Id Pedido]],Controle_Pedidos[Número Pedido Cliente],Controle_Pedidos[Loja])</f>
        <v>BV</v>
      </c>
      <c r="E228" s="9">
        <f>_xlfn.XLOOKUP(Follow[[#This Row],[Id Pedido]],Controle_Pedidos[Número Pedido Cliente],Controle_Pedidos[Prazo Entrega])</f>
        <v>45657</v>
      </c>
      <c r="F228" s="9" t="s">
        <v>19433</v>
      </c>
      <c r="G228" s="9" t="s">
        <v>37</v>
      </c>
      <c r="H228" s="52" t="s">
        <v>178</v>
      </c>
      <c r="I228" s="52" t="s">
        <v>178</v>
      </c>
      <c r="J228" s="55">
        <v>45645</v>
      </c>
      <c r="K228" s="52" t="s">
        <v>198</v>
      </c>
      <c r="L228" s="8" t="s">
        <v>124</v>
      </c>
      <c r="M228" s="8" t="s">
        <v>37</v>
      </c>
      <c r="N228" s="52" t="str">
        <f>IF(Follow[[#This Row],[DATAATUALIZAÇÃO]]&lt;=Follow[[#This Row],[Prev Entrega]],"Dentro do Prazo","Fora do Prazo")</f>
        <v>Dentro do Prazo</v>
      </c>
      <c r="O2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19/12/2024, referente ao pedido Nº Pedido 483 Rastreio Pedido 483, agradecemos a preferência e adoraríamos receber sua avaliação, tendo qualquer dúvida estamos à disposição.
Att
Tem tudo Shop</v>
      </c>
    </row>
    <row r="229" spans="1:15">
      <c r="A229" s="52" t="str">
        <f>_xlfn.XLOOKUP(Follow[[#This Row],[CODRASTREIO]],Controle_Pedidos[Cód Rastreamento],Controle_Pedidos[Número Pedido Cliente])</f>
        <v>Pedido 150</v>
      </c>
      <c r="B229" s="2" t="s">
        <v>17585</v>
      </c>
      <c r="C229" s="2" t="str">
        <f>Follow[[#This Row],[CODRASTREIO]]&amp;" B"</f>
        <v>CódRastreio143 B</v>
      </c>
      <c r="D229" s="52" t="str">
        <f>_xlfn.XLOOKUP(Follow[[#This Row],[Id Pedido]],Controle_Pedidos[Número Pedido Cliente],Controle_Pedidos[Loja])</f>
        <v>BV</v>
      </c>
      <c r="E229" s="9">
        <f>_xlfn.XLOOKUP(Follow[[#This Row],[Id Pedido]],Controle_Pedidos[Número Pedido Cliente],Controle_Pedidos[Prazo Entrega])</f>
        <v>45619</v>
      </c>
      <c r="F229" s="9" t="s">
        <v>19433</v>
      </c>
      <c r="G229" s="9" t="s">
        <v>37</v>
      </c>
      <c r="H229" s="52" t="s">
        <v>178</v>
      </c>
      <c r="I229" s="52" t="s">
        <v>178</v>
      </c>
      <c r="J229" s="55">
        <v>45603</v>
      </c>
      <c r="K229" s="54" t="s">
        <v>198</v>
      </c>
      <c r="L229" s="8" t="s">
        <v>124</v>
      </c>
      <c r="M229" s="8" t="s">
        <v>37</v>
      </c>
      <c r="N229" s="52" t="str">
        <f>IF(Follow[[#This Row],[DATAATUALIZAÇÃO]]&lt;=Follow[[#This Row],[Prev Entrega]],"Dentro do Prazo","Fora do Prazo")</f>
        <v>Dentro do Prazo</v>
      </c>
      <c r="O2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07/11/2024, referente ao pedido Nº Pedido 150 Rastreio Pedido 150, agradecemos a preferência e adoraríamos receber sua avaliação, tendo qualquer dúvida estamos à disposição.
Att
Tem tudo Shop</v>
      </c>
    </row>
    <row r="230" spans="1:15">
      <c r="A230" s="52" t="str">
        <f>_xlfn.XLOOKUP(Follow[[#This Row],[CODRASTREIO]],Controle_Pedidos[Cód Rastreamento],Controle_Pedidos[Número Pedido Cliente])</f>
        <v>Pedido 199</v>
      </c>
      <c r="B230" s="2" t="s">
        <v>17634</v>
      </c>
      <c r="C230" s="2" t="str">
        <f>Follow[[#This Row],[CODRASTREIO]]&amp;" B"</f>
        <v>CódRastreio192 B</v>
      </c>
      <c r="D230" s="52" t="str">
        <f>_xlfn.XLOOKUP(Follow[[#This Row],[Id Pedido]],Controle_Pedidos[Número Pedido Cliente],Controle_Pedidos[Loja])</f>
        <v>BV</v>
      </c>
      <c r="E230" s="9">
        <f>_xlfn.XLOOKUP(Follow[[#This Row],[Id Pedido]],Controle_Pedidos[Número Pedido Cliente],Controle_Pedidos[Prazo Entrega])</f>
        <v>45611</v>
      </c>
      <c r="F230" s="9" t="s">
        <v>19433</v>
      </c>
      <c r="G230" s="9" t="s">
        <v>37</v>
      </c>
      <c r="H230" s="52" t="s">
        <v>179</v>
      </c>
      <c r="I230" s="52" t="s">
        <v>178</v>
      </c>
      <c r="J230" s="55">
        <v>45611</v>
      </c>
      <c r="K230" s="54" t="s">
        <v>198</v>
      </c>
      <c r="L230" s="8" t="s">
        <v>124</v>
      </c>
      <c r="M230" s="8" t="s">
        <v>37</v>
      </c>
      <c r="N230" s="52" t="str">
        <f>IF(Follow[[#This Row],[DATAATUALIZAÇÃO]]&lt;=Follow[[#This Row],[Prev Entrega]],"Dentro do Prazo","Fora do Prazo")</f>
        <v>Dentro do Prazo</v>
      </c>
      <c r="O2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15/11/2024, referente ao pedido Nº Pedido 199 Rastreio Pedido 199, agradecemos a preferência e adoraríamos receber sua avaliação, tendo qualquer dúvida estamos à disposição.
Att
Tem tudo Shop</v>
      </c>
    </row>
    <row r="231" spans="1:15">
      <c r="A231" s="52" t="str">
        <f>_xlfn.XLOOKUP(Follow[[#This Row],[CODRASTREIO]],Controle_Pedidos[Cód Rastreamento],Controle_Pedidos[Número Pedido Cliente])</f>
        <v>Pedido 236</v>
      </c>
      <c r="B231" s="2" t="s">
        <v>17671</v>
      </c>
      <c r="C231" s="2" t="str">
        <f>Follow[[#This Row],[CODRASTREIO]]&amp;" B"</f>
        <v>CódRastreio229 B</v>
      </c>
      <c r="D231" s="52" t="str">
        <f>_xlfn.XLOOKUP(Follow[[#This Row],[Id Pedido]],Controle_Pedidos[Número Pedido Cliente],Controle_Pedidos[Loja])</f>
        <v>BV</v>
      </c>
      <c r="E231" s="9">
        <f>_xlfn.XLOOKUP(Follow[[#This Row],[Id Pedido]],Controle_Pedidos[Número Pedido Cliente],Controle_Pedidos[Prazo Entrega])</f>
        <v>45618</v>
      </c>
      <c r="F231" s="9" t="s">
        <v>19433</v>
      </c>
      <c r="G231" s="9" t="s">
        <v>37</v>
      </c>
      <c r="H231" s="52" t="s">
        <v>178</v>
      </c>
      <c r="I231" s="52" t="s">
        <v>178</v>
      </c>
      <c r="J231" s="55">
        <v>45607</v>
      </c>
      <c r="K231" s="54" t="s">
        <v>198</v>
      </c>
      <c r="L231" s="8" t="s">
        <v>124</v>
      </c>
      <c r="M231" s="8" t="s">
        <v>37</v>
      </c>
      <c r="N231" s="52" t="str">
        <f>IF(Follow[[#This Row],[DATAATUALIZAÇÃO]]&lt;=Follow[[#This Row],[Prev Entrega]],"Dentro do Prazo","Fora do Prazo")</f>
        <v>Dentro do Prazo</v>
      </c>
      <c r="O2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11/11/2024, referente ao pedido Nº Pedido 236 Rastreio Pedido 236, agradecemos a preferência e adoraríamos receber sua avaliação, tendo qualquer dúvida estamos à disposição.
Att
Tem tudo Shop</v>
      </c>
    </row>
    <row r="232" spans="1:15">
      <c r="A232" s="52" t="str">
        <f>_xlfn.XLOOKUP(Follow[[#This Row],[CODRASTREIO]],Controle_Pedidos[Cód Rastreamento],Controle_Pedidos[Número Pedido Cliente])</f>
        <v>Pedido 367</v>
      </c>
      <c r="B232" s="2" t="s">
        <v>17799</v>
      </c>
      <c r="C232" s="2" t="str">
        <f>Follow[[#This Row],[CODRASTREIO]]&amp;" B"</f>
        <v>CódRastreio357 B</v>
      </c>
      <c r="D232" s="52" t="str">
        <f>_xlfn.XLOOKUP(Follow[[#This Row],[Id Pedido]],Controle_Pedidos[Número Pedido Cliente],Controle_Pedidos[Loja])</f>
        <v>BV</v>
      </c>
      <c r="E232" s="9">
        <f>_xlfn.XLOOKUP(Follow[[#This Row],[Id Pedido]],Controle_Pedidos[Número Pedido Cliente],Controle_Pedidos[Prazo Entrega])</f>
        <v>45638</v>
      </c>
      <c r="F232" s="9" t="s">
        <v>19433</v>
      </c>
      <c r="G232" s="9" t="s">
        <v>37</v>
      </c>
      <c r="H232" s="52" t="s">
        <v>179</v>
      </c>
      <c r="I232" s="52" t="s">
        <v>178</v>
      </c>
      <c r="J232" s="55">
        <v>45623</v>
      </c>
      <c r="K232" s="54" t="s">
        <v>198</v>
      </c>
      <c r="L232" s="8" t="s">
        <v>124</v>
      </c>
      <c r="M232" s="8" t="s">
        <v>37</v>
      </c>
      <c r="N232" s="52" t="str">
        <f>IF(Follow[[#This Row],[DATAATUALIZAÇÃO]]&lt;=Follow[[#This Row],[Prev Entrega]],"Dentro do Prazo","Fora do Prazo")</f>
        <v>Dentro do Prazo</v>
      </c>
      <c r="O2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27/11/2024, referente ao pedido Nº Pedido 367 Rastreio Pedido 367, agradecemos a preferência e adoraríamos receber sua avaliação, tendo qualquer dúvida estamos à disposição.
Att
Tem tudo Shop</v>
      </c>
    </row>
    <row r="233" spans="1:15">
      <c r="A233" s="52" t="str">
        <f>_xlfn.XLOOKUP(Follow[[#This Row],[CODRASTREIO]],Controle_Pedidos[Cód Rastreamento],Controle_Pedidos[Número Pedido Cliente])</f>
        <v>Pedido 249</v>
      </c>
      <c r="B233" s="2" t="s">
        <v>17684</v>
      </c>
      <c r="C233" s="2" t="str">
        <f>Follow[[#This Row],[CODRASTREIO]]&amp;" B"</f>
        <v>CódRastreio242 B</v>
      </c>
      <c r="D233" s="52" t="str">
        <f>_xlfn.XLOOKUP(Follow[[#This Row],[Id Pedido]],Controle_Pedidos[Número Pedido Cliente],Controle_Pedidos[Loja])</f>
        <v>BV</v>
      </c>
      <c r="E233" s="9">
        <f>_xlfn.XLOOKUP(Follow[[#This Row],[Id Pedido]],Controle_Pedidos[Número Pedido Cliente],Controle_Pedidos[Prazo Entrega])</f>
        <v>45633</v>
      </c>
      <c r="F233" s="9" t="s">
        <v>19433</v>
      </c>
      <c r="G233" s="9" t="s">
        <v>37</v>
      </c>
      <c r="H233" s="55" t="s">
        <v>179</v>
      </c>
      <c r="I233" s="55" t="s">
        <v>178</v>
      </c>
      <c r="J233" s="55">
        <v>45636</v>
      </c>
      <c r="K233" s="52" t="s">
        <v>198</v>
      </c>
      <c r="L233" s="8" t="s">
        <v>124</v>
      </c>
      <c r="M233" s="8" t="s">
        <v>37</v>
      </c>
      <c r="N233" s="52" t="str">
        <f>IF(Follow[[#This Row],[DATAATUALIZAÇÃO]]&lt;=Follow[[#This Row],[Prev Entrega]],"Dentro do Prazo","Fora do Prazo")</f>
        <v>Fora do Prazo</v>
      </c>
      <c r="O2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10/12/2024, referente ao pedido Nº Pedido 249 Rastreio Pedido 249, agradecemos a preferência e adoraríamos receber sua avaliação, tendo qualquer dúvida estamos à disposição.
Att
Tem tudo Shop</v>
      </c>
    </row>
    <row r="234" spans="1:15">
      <c r="A234" s="52" t="str">
        <f>_xlfn.XLOOKUP(Follow[[#This Row],[CODRASTREIO]],Controle_Pedidos[Cód Rastreamento],Controle_Pedidos[Número Pedido Cliente])</f>
        <v>Pedido 214</v>
      </c>
      <c r="B234" s="2" t="s">
        <v>17649</v>
      </c>
      <c r="C234" s="2" t="str">
        <f>Follow[[#This Row],[CODRASTREIO]]&amp;" B"</f>
        <v>CódRastreio207 B</v>
      </c>
      <c r="D234" s="52" t="str">
        <f>_xlfn.XLOOKUP(Follow[[#This Row],[Id Pedido]],Controle_Pedidos[Número Pedido Cliente],Controle_Pedidos[Loja])</f>
        <v>BV</v>
      </c>
      <c r="E234" s="9">
        <f>_xlfn.XLOOKUP(Follow[[#This Row],[Id Pedido]],Controle_Pedidos[Número Pedido Cliente],Controle_Pedidos[Prazo Entrega])</f>
        <v>45622</v>
      </c>
      <c r="F234" s="9" t="s">
        <v>19433</v>
      </c>
      <c r="G234" s="9" t="s">
        <v>37</v>
      </c>
      <c r="H234" s="52" t="s">
        <v>178</v>
      </c>
      <c r="I234" s="52" t="s">
        <v>178</v>
      </c>
      <c r="J234" s="55">
        <v>45612</v>
      </c>
      <c r="K234" s="54" t="s">
        <v>198</v>
      </c>
      <c r="L234" s="8" t="s">
        <v>124</v>
      </c>
      <c r="M234" s="8" t="s">
        <v>37</v>
      </c>
      <c r="N234" s="52" t="str">
        <f>IF(Follow[[#This Row],[DATAATUALIZAÇÃO]]&lt;=Follow[[#This Row],[Prev Entrega]],"Dentro do Prazo","Fora do Prazo")</f>
        <v>Dentro do Prazo</v>
      </c>
      <c r="O2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16/11/2024, referente ao pedido Nº Pedido 214 Rastreio Pedido 214, agradecemos a preferência e adoraríamos receber sua avaliação, tendo qualquer dúvida estamos à disposição.
Att
Tem tudo Shop</v>
      </c>
    </row>
    <row r="235" spans="1:15">
      <c r="A235" s="52" t="str">
        <f>_xlfn.XLOOKUP(Follow[[#This Row],[CODRASTREIO]],Controle_Pedidos[Cód Rastreamento],Controle_Pedidos[Número Pedido Cliente])</f>
        <v>Pedido 539</v>
      </c>
      <c r="B235" s="2" t="s">
        <v>17966</v>
      </c>
      <c r="C235" s="2" t="str">
        <f>Follow[[#This Row],[CODRASTREIO]]&amp;" B"</f>
        <v>CódRastreio524 B</v>
      </c>
      <c r="D235" s="52" t="str">
        <f>_xlfn.XLOOKUP(Follow[[#This Row],[Id Pedido]],Controle_Pedidos[Número Pedido Cliente],Controle_Pedidos[Loja])</f>
        <v>BV</v>
      </c>
      <c r="E235" s="9">
        <f>_xlfn.XLOOKUP(Follow[[#This Row],[Id Pedido]],Controle_Pedidos[Número Pedido Cliente],Controle_Pedidos[Prazo Entrega])</f>
        <v>45671</v>
      </c>
      <c r="F235" s="9" t="s">
        <v>19433</v>
      </c>
      <c r="G235" s="9" t="s">
        <v>37</v>
      </c>
      <c r="H235" s="52" t="s">
        <v>178</v>
      </c>
      <c r="I235" s="52" t="s">
        <v>178</v>
      </c>
      <c r="J235" s="55">
        <v>45656</v>
      </c>
      <c r="K235" s="52" t="s">
        <v>198</v>
      </c>
      <c r="L235" s="8" t="s">
        <v>124</v>
      </c>
      <c r="M235" s="8" t="s">
        <v>37</v>
      </c>
      <c r="N235" s="52" t="str">
        <f>IF(Follow[[#This Row],[DATAATUALIZAÇÃO]]&lt;=Follow[[#This Row],[Prev Entrega]],"Dentro do Prazo","Fora do Prazo")</f>
        <v>Dentro do Prazo</v>
      </c>
      <c r="O2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30/12/2024, referente ao pedido Nº Pedido 539 Rastreio Pedido 539, agradecemos a preferência e adoraríamos receber sua avaliação, tendo qualquer dúvida estamos à disposição.
Att
Tem tudo Shop</v>
      </c>
    </row>
    <row r="236" spans="1:15">
      <c r="A236" s="52" t="str">
        <f>_xlfn.XLOOKUP(Follow[[#This Row],[CODRASTREIO]],Controle_Pedidos[Cód Rastreamento],Controle_Pedidos[Número Pedido Cliente])</f>
        <v>Pedido 446</v>
      </c>
      <c r="B236" s="2" t="s">
        <v>17874</v>
      </c>
      <c r="C236" s="2" t="str">
        <f>Follow[[#This Row],[CODRASTREIO]]&amp;" B"</f>
        <v>CódRastreio432 B</v>
      </c>
      <c r="D236" s="52" t="str">
        <f>_xlfn.XLOOKUP(Follow[[#This Row],[Id Pedido]],Controle_Pedidos[Número Pedido Cliente],Controle_Pedidos[Loja])</f>
        <v>BV</v>
      </c>
      <c r="E236" s="9">
        <f>_xlfn.XLOOKUP(Follow[[#This Row],[Id Pedido]],Controle_Pedidos[Número Pedido Cliente],Controle_Pedidos[Prazo Entrega])</f>
        <v>45647</v>
      </c>
      <c r="F236" s="9" t="s">
        <v>19433</v>
      </c>
      <c r="G236" s="9" t="s">
        <v>37</v>
      </c>
      <c r="H236" s="55" t="s">
        <v>178</v>
      </c>
      <c r="I236" s="55" t="s">
        <v>178</v>
      </c>
      <c r="J236" s="55">
        <v>45632.455821759257</v>
      </c>
      <c r="K236" s="54" t="s">
        <v>198</v>
      </c>
      <c r="L236" s="8" t="s">
        <v>124</v>
      </c>
      <c r="M236" s="8" t="s">
        <v>37</v>
      </c>
      <c r="N236" s="52" t="str">
        <f>IF(Follow[[#This Row],[DATAATUALIZAÇÃO]]&lt;=Follow[[#This Row],[Prev Entrega]],"Dentro do Prazo","Fora do Prazo")</f>
        <v>Dentro do Prazo</v>
      </c>
      <c r="O2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06/12/2024, referente ao pedido Nº Pedido 446 Rastreio Pedido 446, agradecemos a preferência e adoraríamos receber sua avaliação, tendo qualquer dúvida estamos à disposição.
Att
Tem tudo Shop</v>
      </c>
    </row>
    <row r="237" spans="1:15">
      <c r="A237" s="52" t="str">
        <f>_xlfn.XLOOKUP(Follow[[#This Row],[CODRASTREIO]],Controle_Pedidos[Cód Rastreamento],Controle_Pedidos[Número Pedido Cliente])</f>
        <v>Pedido 454</v>
      </c>
      <c r="B237" s="2" t="s">
        <v>17881</v>
      </c>
      <c r="C237" s="2" t="str">
        <f>Follow[[#This Row],[CODRASTREIO]]&amp;" B"</f>
        <v>CódRastreio439 B</v>
      </c>
      <c r="D237" s="52" t="str">
        <f>_xlfn.XLOOKUP(Follow[[#This Row],[Id Pedido]],Controle_Pedidos[Número Pedido Cliente],Controle_Pedidos[Loja])</f>
        <v>BV</v>
      </c>
      <c r="E237" s="9">
        <f>_xlfn.XLOOKUP(Follow[[#This Row],[Id Pedido]],Controle_Pedidos[Número Pedido Cliente],Controle_Pedidos[Prazo Entrega])</f>
        <v>45645</v>
      </c>
      <c r="F237" s="9" t="s">
        <v>19433</v>
      </c>
      <c r="G237" s="9" t="s">
        <v>37</v>
      </c>
      <c r="H237" s="55" t="s">
        <v>179</v>
      </c>
      <c r="I237" s="55" t="s">
        <v>178</v>
      </c>
      <c r="J237" s="55">
        <v>45632.428252314814</v>
      </c>
      <c r="K237" s="54" t="s">
        <v>198</v>
      </c>
      <c r="L237" s="8" t="s">
        <v>124</v>
      </c>
      <c r="M237" s="8" t="s">
        <v>37</v>
      </c>
      <c r="N237" s="52" t="str">
        <f>IF(Follow[[#This Row],[DATAATUALIZAÇÃO]]&lt;=Follow[[#This Row],[Prev Entrega]],"Dentro do Prazo","Fora do Prazo")</f>
        <v>Dentro do Prazo</v>
      </c>
      <c r="O2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Branco foi entregue no dia 06/12/2024, referente ao pedido Nº Pedido 454 Rastreio Pedido 454, agradecemos a preferência e adoraríamos receber sua avaliação, tendo qualquer dúvida estamos à disposição.
Att
Tem tudo Shop</v>
      </c>
    </row>
    <row r="238" spans="1:15">
      <c r="A238" s="52" t="str">
        <f>_xlfn.XLOOKUP(Follow[[#This Row],[CODRASTREIO]],Controle_Pedidos[Cód Rastreamento],Controle_Pedidos[Número Pedido Cliente])</f>
        <v>Pedido 470</v>
      </c>
      <c r="B238" s="2" t="s">
        <v>17897</v>
      </c>
      <c r="C238" s="2" t="str">
        <f>Follow[[#This Row],[CODRASTREIO]]&amp;" B"</f>
        <v>CódRastreio455 B</v>
      </c>
      <c r="D238" s="52" t="str">
        <f>_xlfn.XLOOKUP(Follow[[#This Row],[Id Pedido]],Controle_Pedidos[Número Pedido Cliente],Controle_Pedidos[Loja])</f>
        <v>BV</v>
      </c>
      <c r="E238" s="9">
        <f>_xlfn.XLOOKUP(Follow[[#This Row],[Id Pedido]],Controle_Pedidos[Número Pedido Cliente],Controle_Pedidos[Prazo Entrega])</f>
        <v>45644</v>
      </c>
      <c r="F238" s="9" t="s">
        <v>19433</v>
      </c>
      <c r="G238" s="9" t="s">
        <v>37</v>
      </c>
      <c r="H238" s="55" t="s">
        <v>178</v>
      </c>
      <c r="I238" s="55" t="s">
        <v>178</v>
      </c>
      <c r="J238" s="55">
        <v>45635.750254629631</v>
      </c>
      <c r="K238" s="52" t="s">
        <v>198</v>
      </c>
      <c r="L238" s="8" t="s">
        <v>124</v>
      </c>
      <c r="M238" s="8" t="s">
        <v>37</v>
      </c>
      <c r="N238" s="52" t="str">
        <f>IF(Follow[[#This Row],[DATAATUALIZAÇÃO]]&lt;=Follow[[#This Row],[Prev Entrega]],"Dentro do Prazo","Fora do Prazo")</f>
        <v>Dentro do Prazo</v>
      </c>
      <c r="O2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09/12/2024, referente ao pedido Nº Pedido 470 Rastreio Pedido 470, agradecemos a preferência e adoraríamos receber sua avaliação, tendo qualquer dúvida estamos à disposição.
Att
Tem tudo Shop</v>
      </c>
    </row>
    <row r="239" spans="1:15">
      <c r="A239" s="52" t="str">
        <f>_xlfn.XLOOKUP(Follow[[#This Row],[CODRASTREIO]],Controle_Pedidos[Cód Rastreamento],Controle_Pedidos[Número Pedido Cliente])</f>
        <v>Pedido 305</v>
      </c>
      <c r="B239" s="2" t="s">
        <v>17740</v>
      </c>
      <c r="C239" s="2" t="str">
        <f>Follow[[#This Row],[CODRASTREIO]]&amp;" B"</f>
        <v>CódRastreio298 B</v>
      </c>
      <c r="D239" s="52" t="str">
        <f>_xlfn.XLOOKUP(Follow[[#This Row],[Id Pedido]],Controle_Pedidos[Número Pedido Cliente],Controle_Pedidos[Loja])</f>
        <v>BV</v>
      </c>
      <c r="E239" s="9">
        <f>_xlfn.XLOOKUP(Follow[[#This Row],[Id Pedido]],Controle_Pedidos[Número Pedido Cliente],Controle_Pedidos[Prazo Entrega])</f>
        <v>45632</v>
      </c>
      <c r="F239" s="9" t="s">
        <v>19433</v>
      </c>
      <c r="G239" s="9" t="s">
        <v>37</v>
      </c>
      <c r="H239" s="52" t="s">
        <v>178</v>
      </c>
      <c r="I239" s="52" t="s">
        <v>178</v>
      </c>
      <c r="J239" s="55">
        <v>45611</v>
      </c>
      <c r="K239" s="54" t="s">
        <v>198</v>
      </c>
      <c r="L239" s="8" t="s">
        <v>124</v>
      </c>
      <c r="M239" s="8" t="s">
        <v>37</v>
      </c>
      <c r="N239" s="52" t="str">
        <f>IF(Follow[[#This Row],[DATAATUALIZAÇÃO]]&lt;=Follow[[#This Row],[Prev Entrega]],"Dentro do Prazo","Fora do Prazo")</f>
        <v>Dentro do Prazo</v>
      </c>
      <c r="O2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15/11/2024, referente ao pedido Nº Pedido 305 Rastreio Pedido 305, agradecemos a preferência e adoraríamos receber sua avaliação, tendo qualquer dúvida estamos à disposição.
Att
Tem tudo Shop</v>
      </c>
    </row>
    <row r="240" spans="1:15">
      <c r="A240" s="52" t="str">
        <f>_xlfn.XLOOKUP(Follow[[#This Row],[CODRASTREIO]],Controle_Pedidos[Cód Rastreamento],Controle_Pedidos[Número Pedido Cliente])</f>
        <v>Pedido 345</v>
      </c>
      <c r="B240" s="2" t="s">
        <v>17780</v>
      </c>
      <c r="C240" s="2" t="str">
        <f>Follow[[#This Row],[CODRASTREIO]]&amp;" B"</f>
        <v>CódRastreio338 B</v>
      </c>
      <c r="D240" s="52" t="str">
        <f>_xlfn.XLOOKUP(Follow[[#This Row],[Id Pedido]],Controle_Pedidos[Número Pedido Cliente],Controle_Pedidos[Loja])</f>
        <v>BV</v>
      </c>
      <c r="E240" s="9">
        <f>_xlfn.XLOOKUP(Follow[[#This Row],[Id Pedido]],Controle_Pedidos[Número Pedido Cliente],Controle_Pedidos[Prazo Entrega])</f>
        <v>45637</v>
      </c>
      <c r="F240" s="9" t="s">
        <v>19433</v>
      </c>
      <c r="G240" s="9" t="s">
        <v>37</v>
      </c>
      <c r="H240" s="52" t="s">
        <v>178</v>
      </c>
      <c r="I240" s="52" t="s">
        <v>178</v>
      </c>
      <c r="J240" s="55">
        <v>45615</v>
      </c>
      <c r="K240" s="54" t="s">
        <v>198</v>
      </c>
      <c r="L240" s="8" t="s">
        <v>124</v>
      </c>
      <c r="M240" s="8" t="s">
        <v>37</v>
      </c>
      <c r="N240" s="52" t="str">
        <f>IF(Follow[[#This Row],[DATAATUALIZAÇÃO]]&lt;=Follow[[#This Row],[Prev Entrega]],"Dentro do Prazo","Fora do Prazo")</f>
        <v>Dentro do Prazo</v>
      </c>
      <c r="O2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19/11/2024, referente ao pedido Nº Pedido 345 Rastreio Pedido 345, agradecemos a preferência e adoraríamos receber sua avaliação, tendo qualquer dúvida estamos à disposição.
Att
Tem tudo Shop</v>
      </c>
    </row>
    <row r="241" spans="1:15">
      <c r="A241" s="52" t="str">
        <f>_xlfn.XLOOKUP(Follow[[#This Row],[CODRASTREIO]],Controle_Pedidos[Cód Rastreamento],Controle_Pedidos[Número Pedido Cliente])</f>
        <v>Pedido 346</v>
      </c>
      <c r="B241" s="2" t="s">
        <v>17781</v>
      </c>
      <c r="C241" s="2" t="str">
        <f>Follow[[#This Row],[CODRASTREIO]]&amp;" B"</f>
        <v>CódRastreio339 B</v>
      </c>
      <c r="D241" s="52" t="str">
        <f>_xlfn.XLOOKUP(Follow[[#This Row],[Id Pedido]],Controle_Pedidos[Número Pedido Cliente],Controle_Pedidos[Loja])</f>
        <v>BV</v>
      </c>
      <c r="E241" s="9">
        <f>_xlfn.XLOOKUP(Follow[[#This Row],[Id Pedido]],Controle_Pedidos[Número Pedido Cliente],Controle_Pedidos[Prazo Entrega])</f>
        <v>45637</v>
      </c>
      <c r="F241" s="9" t="s">
        <v>19433</v>
      </c>
      <c r="G241" s="9" t="s">
        <v>37</v>
      </c>
      <c r="H241" s="52" t="s">
        <v>178</v>
      </c>
      <c r="I241" s="52" t="s">
        <v>178</v>
      </c>
      <c r="J241" s="55">
        <v>45615</v>
      </c>
      <c r="K241" s="54" t="s">
        <v>198</v>
      </c>
      <c r="L241" s="8" t="s">
        <v>124</v>
      </c>
      <c r="M241" s="8" t="s">
        <v>37</v>
      </c>
      <c r="N241" s="52" t="str">
        <f>IF(Follow[[#This Row],[DATAATUALIZAÇÃO]]&lt;=Follow[[#This Row],[Prev Entrega]],"Dentro do Prazo","Fora do Prazo")</f>
        <v>Dentro do Prazo</v>
      </c>
      <c r="O2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19/11/2024, referente ao pedido Nº Pedido 346 Rastreio Pedido 346, agradecemos a preferência e adoraríamos receber sua avaliação, tendo qualquer dúvida estamos à disposição.
Att
Tem tudo Shop</v>
      </c>
    </row>
    <row r="242" spans="1:15">
      <c r="A242" s="52" t="str">
        <f>_xlfn.XLOOKUP(Follow[[#This Row],[CODRASTREIO]],Controle_Pedidos[Cód Rastreamento],Controle_Pedidos[Número Pedido Cliente])</f>
        <v>Pedido 143</v>
      </c>
      <c r="B242" s="2" t="s">
        <v>17578</v>
      </c>
      <c r="C242" s="2" t="str">
        <f>Follow[[#This Row],[CODRASTREIO]]&amp;" B"</f>
        <v>CódRastreio136 B</v>
      </c>
      <c r="D242" s="52" t="str">
        <f>_xlfn.XLOOKUP(Follow[[#This Row],[Id Pedido]],Controle_Pedidos[Número Pedido Cliente],Controle_Pedidos[Loja])</f>
        <v>BV</v>
      </c>
      <c r="E242" s="9">
        <f>_xlfn.XLOOKUP(Follow[[#This Row],[Id Pedido]],Controle_Pedidos[Número Pedido Cliente],Controle_Pedidos[Prazo Entrega])</f>
        <v>45605</v>
      </c>
      <c r="F242" s="9" t="s">
        <v>19433</v>
      </c>
      <c r="G242" s="9" t="s">
        <v>37</v>
      </c>
      <c r="H242" s="52" t="s">
        <v>178</v>
      </c>
      <c r="I242" s="52" t="s">
        <v>178</v>
      </c>
      <c r="J242" s="55">
        <v>45597</v>
      </c>
      <c r="K242" s="54" t="s">
        <v>198</v>
      </c>
      <c r="L242" s="8" t="s">
        <v>124</v>
      </c>
      <c r="M242" s="8" t="s">
        <v>37</v>
      </c>
      <c r="N242" s="52" t="str">
        <f>IF(Follow[[#This Row],[DATAATUALIZAÇÃO]]&lt;=Follow[[#This Row],[Prev Entrega]],"Dentro do Prazo","Fora do Prazo")</f>
        <v>Dentro do Prazo</v>
      </c>
      <c r="O2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01/11/2024, referente ao pedido Nº Pedido 143 Rastreio Pedido 143, agradecemos a preferência e adoraríamos receber sua avaliação, tendo qualquer dúvida estamos à disposição.
Att
Tem tudo Shop</v>
      </c>
    </row>
    <row r="243" spans="1:15">
      <c r="A243" s="52" t="str">
        <f>_xlfn.XLOOKUP(Follow[[#This Row],[CODRASTREIO]],Controle_Pedidos[Cód Rastreamento],Controle_Pedidos[Número Pedido Cliente])</f>
        <v>Pedido 290</v>
      </c>
      <c r="B243" s="2" t="s">
        <v>17725</v>
      </c>
      <c r="C243" s="2" t="str">
        <f>Follow[[#This Row],[CODRASTREIO]]&amp;" B"</f>
        <v>CódRastreio283 B</v>
      </c>
      <c r="D243" s="52" t="str">
        <f>_xlfn.XLOOKUP(Follow[[#This Row],[Id Pedido]],Controle_Pedidos[Número Pedido Cliente],Controle_Pedidos[Loja])</f>
        <v>BV</v>
      </c>
      <c r="E243" s="9">
        <f>_xlfn.XLOOKUP(Follow[[#This Row],[Id Pedido]],Controle_Pedidos[Número Pedido Cliente],Controle_Pedidos[Prazo Entrega])</f>
        <v>45630</v>
      </c>
      <c r="F243" s="9" t="s">
        <v>19433</v>
      </c>
      <c r="G243" s="9" t="s">
        <v>37</v>
      </c>
      <c r="H243" s="52" t="s">
        <v>178</v>
      </c>
      <c r="I243" s="52" t="s">
        <v>178</v>
      </c>
      <c r="J243" s="55">
        <v>45614</v>
      </c>
      <c r="K243" s="54" t="s">
        <v>198</v>
      </c>
      <c r="L243" s="8" t="s">
        <v>124</v>
      </c>
      <c r="M243" s="8" t="s">
        <v>37</v>
      </c>
      <c r="N243" s="52" t="str">
        <f>IF(Follow[[#This Row],[DATAATUALIZAÇÃO]]&lt;=Follow[[#This Row],[Prev Entrega]],"Dentro do Prazo","Fora do Prazo")</f>
        <v>Dentro do Prazo</v>
      </c>
      <c r="O2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290 Rastreio Pedido 290, agradecemos a preferência e adoraríamos receber sua avaliação, tendo qualquer dúvida estamos à disposição.
Att
Tem tudo Shop</v>
      </c>
    </row>
    <row r="244" spans="1:15">
      <c r="A244" s="52" t="str">
        <f>_xlfn.XLOOKUP(Follow[[#This Row],[CODRASTREIO]],Controle_Pedidos[Cód Rastreamento],Controle_Pedidos[Número Pedido Cliente])</f>
        <v>Pedido 376</v>
      </c>
      <c r="B244" s="2" t="s">
        <v>17808</v>
      </c>
      <c r="C244" s="2" t="str">
        <f>Follow[[#This Row],[CODRASTREIO]]&amp;" B"</f>
        <v>CódRastreio366 B</v>
      </c>
      <c r="D244" s="52" t="str">
        <f>_xlfn.XLOOKUP(Follow[[#This Row],[Id Pedido]],Controle_Pedidos[Número Pedido Cliente],Controle_Pedidos[Loja])</f>
        <v>BV</v>
      </c>
      <c r="E244" s="9">
        <f>_xlfn.XLOOKUP(Follow[[#This Row],[Id Pedido]],Controle_Pedidos[Número Pedido Cliente],Controle_Pedidos[Prazo Entrega])</f>
        <v>45633</v>
      </c>
      <c r="F244" s="9" t="s">
        <v>19433</v>
      </c>
      <c r="G244" s="9" t="s">
        <v>37</v>
      </c>
      <c r="H244" s="52" t="s">
        <v>178</v>
      </c>
      <c r="I244" s="52" t="s">
        <v>178</v>
      </c>
      <c r="J244" s="55">
        <v>45618</v>
      </c>
      <c r="K244" s="54" t="s">
        <v>198</v>
      </c>
      <c r="L244" s="8" t="s">
        <v>124</v>
      </c>
      <c r="M244" s="8" t="s">
        <v>37</v>
      </c>
      <c r="N244" s="52" t="str">
        <f>IF(Follow[[#This Row],[DATAATUALIZAÇÃO]]&lt;=Follow[[#This Row],[Prev Entrega]],"Dentro do Prazo","Fora do Prazo")</f>
        <v>Dentro do Prazo</v>
      </c>
      <c r="O244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22/11/2024, referente ao pedido Nº Pedido 376 Rastreio Pedido 376, agradecemos a preferência e adoraríamos receber sua avaliação, tendo qualquer dúvida estamos à disposição.
Att
Tem tudo Shop</v>
      </c>
    </row>
    <row r="245" spans="1:15">
      <c r="A245" s="52" t="str">
        <f>_xlfn.XLOOKUP(Follow[[#This Row],[CODRASTREIO]],Controle_Pedidos[Cód Rastreamento],Controle_Pedidos[Número Pedido Cliente])</f>
        <v>Pedido 317</v>
      </c>
      <c r="B245" s="2" t="s">
        <v>17752</v>
      </c>
      <c r="C245" s="2" t="str">
        <f>Follow[[#This Row],[CODRASTREIO]]&amp;" B"</f>
        <v>CódRastreio310 B</v>
      </c>
      <c r="D245" s="52" t="str">
        <f>_xlfn.XLOOKUP(Follow[[#This Row],[Id Pedido]],Controle_Pedidos[Número Pedido Cliente],Controle_Pedidos[Loja])</f>
        <v>BV</v>
      </c>
      <c r="E245" s="9">
        <f>_xlfn.XLOOKUP(Follow[[#This Row],[Id Pedido]],Controle_Pedidos[Número Pedido Cliente],Controle_Pedidos[Prazo Entrega])</f>
        <v>45624</v>
      </c>
      <c r="F245" s="9" t="s">
        <v>19433</v>
      </c>
      <c r="G245" s="9" t="s">
        <v>37</v>
      </c>
      <c r="H245" s="52" t="s">
        <v>178</v>
      </c>
      <c r="I245" s="52" t="s">
        <v>178</v>
      </c>
      <c r="J245" s="55">
        <v>45610</v>
      </c>
      <c r="K245" s="54" t="s">
        <v>198</v>
      </c>
      <c r="L245" s="8" t="s">
        <v>124</v>
      </c>
      <c r="M245" s="8" t="s">
        <v>37</v>
      </c>
      <c r="N245" s="52" t="str">
        <f>IF(Follow[[#This Row],[DATAATUALIZAÇÃO]]&lt;=Follow[[#This Row],[Prev Entrega]],"Dentro do Prazo","Fora do Prazo")</f>
        <v>Dentro do Prazo</v>
      </c>
      <c r="O24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317 Rastreio Pedido 317, agradecemos a preferência e adoraríamos receber sua avaliação, tendo qualquer dúvida estamos à disposição.
Att
Tem tudo Shop</v>
      </c>
    </row>
    <row r="246" spans="1:15">
      <c r="A246" s="52" t="str">
        <f>_xlfn.XLOOKUP(Follow[[#This Row],[CODRASTREIO]],Controle_Pedidos[Cód Rastreamento],Controle_Pedidos[Número Pedido Cliente])</f>
        <v>Pedido 113</v>
      </c>
      <c r="B246" s="2" t="s">
        <v>17548</v>
      </c>
      <c r="C246" s="2" t="str">
        <f>Follow[[#This Row],[CODRASTREIO]]&amp;" B"</f>
        <v>CódRastreio106 B</v>
      </c>
      <c r="D246" s="52" t="str">
        <f>_xlfn.XLOOKUP(Follow[[#This Row],[Id Pedido]],Controle_Pedidos[Número Pedido Cliente],Controle_Pedidos[Loja])</f>
        <v>BV</v>
      </c>
      <c r="E246" s="9">
        <f>_xlfn.XLOOKUP(Follow[[#This Row],[Id Pedido]],Controle_Pedidos[Número Pedido Cliente],Controle_Pedidos[Prazo Entrega])</f>
        <v>45617</v>
      </c>
      <c r="F246" s="9" t="s">
        <v>19433</v>
      </c>
      <c r="G246" s="9" t="s">
        <v>37</v>
      </c>
      <c r="H246" s="52" t="s">
        <v>178</v>
      </c>
      <c r="I246" s="52" t="s">
        <v>178</v>
      </c>
      <c r="J246" s="55">
        <v>45601</v>
      </c>
      <c r="K246" s="54" t="s">
        <v>198</v>
      </c>
      <c r="L246" s="8" t="s">
        <v>124</v>
      </c>
      <c r="M246" s="8" t="s">
        <v>37</v>
      </c>
      <c r="N246" s="52" t="str">
        <f>IF(Follow[[#This Row],[DATAATUALIZAÇÃO]]&lt;=Follow[[#This Row],[Prev Entrega]],"Dentro do Prazo","Fora do Prazo")</f>
        <v>Dentro do Prazo</v>
      </c>
      <c r="O2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05/11/2024, referente ao pedido Nº Pedido 113 Rastreio Pedido 113, agradecemos a preferência e adoraríamos receber sua avaliação, tendo qualquer dúvida estamos à disposição.
Att
Tem tudo Shop</v>
      </c>
    </row>
    <row r="247" spans="1:15">
      <c r="A247" s="52" t="str">
        <f>_xlfn.XLOOKUP(Follow[[#This Row],[CODRASTREIO]],Controle_Pedidos[Cód Rastreamento],Controle_Pedidos[Número Pedido Cliente])</f>
        <v>Pedido 541</v>
      </c>
      <c r="B247" s="2" t="s">
        <v>17968</v>
      </c>
      <c r="C247" s="2" t="str">
        <f>Follow[[#This Row],[CODRASTREIO]]&amp;" B"</f>
        <v>CódRastreio526 B</v>
      </c>
      <c r="D247" s="52" t="str">
        <f>_xlfn.XLOOKUP(Follow[[#This Row],[Id Pedido]],Controle_Pedidos[Número Pedido Cliente],Controle_Pedidos[Loja])</f>
        <v>BV</v>
      </c>
      <c r="E247" s="9">
        <f>_xlfn.XLOOKUP(Follow[[#This Row],[Id Pedido]],Controle_Pedidos[Número Pedido Cliente],Controle_Pedidos[Prazo Entrega])</f>
        <v>45665</v>
      </c>
      <c r="F247" s="9" t="s">
        <v>19433</v>
      </c>
      <c r="G247" s="9" t="s">
        <v>37</v>
      </c>
      <c r="H247" s="52" t="s">
        <v>178</v>
      </c>
      <c r="I247" s="52" t="s">
        <v>178</v>
      </c>
      <c r="J247" s="55">
        <v>45645</v>
      </c>
      <c r="K247" s="52" t="s">
        <v>198</v>
      </c>
      <c r="L247" s="8" t="s">
        <v>124</v>
      </c>
      <c r="M247" s="8" t="s">
        <v>37</v>
      </c>
      <c r="N247" s="52" t="str">
        <f>IF(Follow[[#This Row],[DATAATUALIZAÇÃO]]&lt;=Follow[[#This Row],[Prev Entrega]],"Dentro do Prazo","Fora do Prazo")</f>
        <v>Dentro do Prazo</v>
      </c>
      <c r="O2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19/12/2024, referente ao pedido Nº Pedido 541 Rastreio Pedido 541, agradecemos a preferência e adoraríamos receber sua avaliação, tendo qualquer dúvida estamos à disposição.
Att
Tem tudo Shop</v>
      </c>
    </row>
    <row r="248" spans="1:15">
      <c r="A248" s="52" t="str">
        <f>_xlfn.XLOOKUP(Follow[[#This Row],[CODRASTREIO]],Controle_Pedidos[Cód Rastreamento],Controle_Pedidos[Número Pedido Cliente])</f>
        <v>Pedido 540</v>
      </c>
      <c r="B248" s="2" t="s">
        <v>17967</v>
      </c>
      <c r="C248" s="2" t="str">
        <f>Follow[[#This Row],[CODRASTREIO]]&amp;" B"</f>
        <v>CódRastreio525 B</v>
      </c>
      <c r="D248" s="52" t="str">
        <f>_xlfn.XLOOKUP(Follow[[#This Row],[Id Pedido]],Controle_Pedidos[Número Pedido Cliente],Controle_Pedidos[Loja])</f>
        <v>BV</v>
      </c>
      <c r="E248" s="9">
        <f>_xlfn.XLOOKUP(Follow[[#This Row],[Id Pedido]],Controle_Pedidos[Número Pedido Cliente],Controle_Pedidos[Prazo Entrega])</f>
        <v>45665</v>
      </c>
      <c r="F248" s="9" t="s">
        <v>19433</v>
      </c>
      <c r="G248" s="9" t="s">
        <v>37</v>
      </c>
      <c r="H248" s="52" t="s">
        <v>178</v>
      </c>
      <c r="I248" s="52" t="s">
        <v>178</v>
      </c>
      <c r="J248" s="55">
        <v>45645</v>
      </c>
      <c r="K248" s="52" t="s">
        <v>198</v>
      </c>
      <c r="L248" s="8" t="s">
        <v>124</v>
      </c>
      <c r="M248" s="8" t="s">
        <v>37</v>
      </c>
      <c r="N248" s="52" t="str">
        <f>IF(Follow[[#This Row],[DATAATUALIZAÇÃO]]&lt;=Follow[[#This Row],[Prev Entrega]],"Dentro do Prazo","Fora do Prazo")</f>
        <v>Dentro do Prazo</v>
      </c>
      <c r="O2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19/12/2024, referente ao pedido Nº Pedido 540 Rastreio Pedido 540, agradecemos a preferência e adoraríamos receber sua avaliação, tendo qualquer dúvida estamos à disposição.
Att
Tem tudo Shop</v>
      </c>
    </row>
    <row r="249" spans="1:15">
      <c r="A249" s="52" t="str">
        <f>_xlfn.XLOOKUP(Follow[[#This Row],[CODRASTREIO]],Controle_Pedidos[Cód Rastreamento],Controle_Pedidos[Número Pedido Cliente])</f>
        <v>Pedido 263</v>
      </c>
      <c r="B249" s="2" t="s">
        <v>17698</v>
      </c>
      <c r="C249" s="2" t="str">
        <f>Follow[[#This Row],[CODRASTREIO]]&amp;" B"</f>
        <v>CódRastreio256 B</v>
      </c>
      <c r="D249" s="52" t="str">
        <f>_xlfn.XLOOKUP(Follow[[#This Row],[Id Pedido]],Controle_Pedidos[Número Pedido Cliente],Controle_Pedidos[Loja])</f>
        <v>BV</v>
      </c>
      <c r="E249" s="9">
        <f>_xlfn.XLOOKUP(Follow[[#This Row],[Id Pedido]],Controle_Pedidos[Número Pedido Cliente],Controle_Pedidos[Prazo Entrega])</f>
        <v>45616</v>
      </c>
      <c r="F249" s="9" t="s">
        <v>19433</v>
      </c>
      <c r="G249" s="9" t="s">
        <v>37</v>
      </c>
      <c r="H249" s="52" t="s">
        <v>178</v>
      </c>
      <c r="I249" s="52" t="s">
        <v>178</v>
      </c>
      <c r="J249" s="55">
        <v>45605</v>
      </c>
      <c r="K249" s="54" t="s">
        <v>198</v>
      </c>
      <c r="L249" s="8" t="s">
        <v>124</v>
      </c>
      <c r="M249" s="8" t="s">
        <v>37</v>
      </c>
      <c r="N249" s="52" t="str">
        <f>IF(Follow[[#This Row],[DATAATUALIZAÇÃO]]&lt;=Follow[[#This Row],[Prev Entrega]],"Dentro do Prazo","Fora do Prazo")</f>
        <v>Dentro do Prazo</v>
      </c>
      <c r="O2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09/11/2024, referente ao pedido Nº Pedido 263 Rastreio Pedido 263, agradecemos a preferência e adoraríamos receber sua avaliação, tendo qualquer dúvida estamos à disposição.
Att
Tem tudo Shop</v>
      </c>
    </row>
    <row r="250" spans="1:15">
      <c r="A250" s="52" t="str">
        <f>_xlfn.XLOOKUP(Follow[[#This Row],[CODRASTREIO]],Controle_Pedidos[Cód Rastreamento],Controle_Pedidos[Número Pedido Cliente])</f>
        <v>Pedido 340</v>
      </c>
      <c r="B250" s="2" t="s">
        <v>17775</v>
      </c>
      <c r="C250" s="2" t="str">
        <f>Follow[[#This Row],[CODRASTREIO]]&amp;" B"</f>
        <v>CódRastreio333 B</v>
      </c>
      <c r="D250" s="52" t="str">
        <f>_xlfn.XLOOKUP(Follow[[#This Row],[Id Pedido]],Controle_Pedidos[Número Pedido Cliente],Controle_Pedidos[Loja])</f>
        <v>BV</v>
      </c>
      <c r="E250" s="9">
        <f>_xlfn.XLOOKUP(Follow[[#This Row],[Id Pedido]],Controle_Pedidos[Número Pedido Cliente],Controle_Pedidos[Prazo Entrega])</f>
        <v>45631</v>
      </c>
      <c r="F250" s="9" t="s">
        <v>19433</v>
      </c>
      <c r="G250" s="9" t="s">
        <v>37</v>
      </c>
      <c r="H250" s="52" t="s">
        <v>179</v>
      </c>
      <c r="I250" s="52" t="s">
        <v>178</v>
      </c>
      <c r="J250" s="55">
        <v>45621</v>
      </c>
      <c r="K250" s="54" t="s">
        <v>198</v>
      </c>
      <c r="L250" s="8" t="s">
        <v>124</v>
      </c>
      <c r="M250" s="8" t="s">
        <v>37</v>
      </c>
      <c r="N250" s="52" t="str">
        <f>IF(Follow[[#This Row],[DATAATUALIZAÇÃO]]&lt;=Follow[[#This Row],[Prev Entrega]],"Dentro do Prazo","Fora do Prazo")</f>
        <v>Dentro do Prazo</v>
      </c>
      <c r="O2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25/11/2024, referente ao pedido Nº Pedido 340 Rastreio Pedido 340, agradecemos a preferência e adoraríamos receber sua avaliação, tendo qualquer dúvida estamos à disposição.
Att
Tem tudo Shop</v>
      </c>
    </row>
    <row r="251" spans="1:15">
      <c r="A251" s="52" t="str">
        <f>_xlfn.XLOOKUP(Follow[[#This Row],[CODRASTREIO]],Controle_Pedidos[Cód Rastreamento],Controle_Pedidos[Número Pedido Cliente])</f>
        <v>Pedido 94</v>
      </c>
      <c r="B251" s="2" t="s">
        <v>17529</v>
      </c>
      <c r="C251" s="2" t="str">
        <f>Follow[[#This Row],[CODRASTREIO]]&amp;" B"</f>
        <v>CódRastreio87 B</v>
      </c>
      <c r="D251" s="52" t="str">
        <f>_xlfn.XLOOKUP(Follow[[#This Row],[Id Pedido]],Controle_Pedidos[Número Pedido Cliente],Controle_Pedidos[Loja])</f>
        <v>BV</v>
      </c>
      <c r="E251" s="9">
        <f>_xlfn.XLOOKUP(Follow[[#This Row],[Id Pedido]],Controle_Pedidos[Número Pedido Cliente],Controle_Pedidos[Prazo Entrega])</f>
        <v>45617</v>
      </c>
      <c r="F251" s="9" t="s">
        <v>19433</v>
      </c>
      <c r="G251" s="9" t="s">
        <v>37</v>
      </c>
      <c r="H251" s="52" t="s">
        <v>178</v>
      </c>
      <c r="I251" s="52" t="s">
        <v>178</v>
      </c>
      <c r="J251" s="55">
        <v>45601</v>
      </c>
      <c r="K251" s="54" t="s">
        <v>198</v>
      </c>
      <c r="L251" s="8" t="s">
        <v>124</v>
      </c>
      <c r="M251" s="8" t="s">
        <v>37</v>
      </c>
      <c r="N251" s="52" t="str">
        <f>IF(Follow[[#This Row],[DATAATUALIZAÇÃO]]&lt;=Follow[[#This Row],[Prev Entrega]],"Dentro do Prazo","Fora do Prazo")</f>
        <v>Dentro do Prazo</v>
      </c>
      <c r="O25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94 Rastreio Pedido 94, agradecemos a preferência e adoraríamos receber sua avaliação, tendo qualquer dúvida estamos à disposição.
Att
Tem tudo Shop</v>
      </c>
    </row>
    <row r="252" spans="1:15">
      <c r="A252" s="52" t="str">
        <f>_xlfn.XLOOKUP(Follow[[#This Row],[CODRASTREIO]],Controle_Pedidos[Cód Rastreamento],Controle_Pedidos[Número Pedido Cliente])</f>
        <v>Pedido 70</v>
      </c>
      <c r="B252" s="2" t="s">
        <v>17503</v>
      </c>
      <c r="C252" s="2" t="str">
        <f>Follow[[#This Row],[CODRASTREIO]]&amp;" B"</f>
        <v>CódRastreio61 B</v>
      </c>
      <c r="D252" s="52" t="str">
        <f>_xlfn.XLOOKUP(Follow[[#This Row],[Id Pedido]],Controle_Pedidos[Número Pedido Cliente],Controle_Pedidos[Loja])</f>
        <v>BV</v>
      </c>
      <c r="E252" s="9">
        <f>_xlfn.XLOOKUP(Follow[[#This Row],[Id Pedido]],Controle_Pedidos[Número Pedido Cliente],Controle_Pedidos[Prazo Entrega])</f>
        <v>45603</v>
      </c>
      <c r="F252" s="9" t="s">
        <v>19433</v>
      </c>
      <c r="G252" s="9" t="s">
        <v>37</v>
      </c>
      <c r="H252" s="52" t="s">
        <v>178</v>
      </c>
      <c r="I252" s="52" t="s">
        <v>178</v>
      </c>
      <c r="J252" s="55">
        <v>45594</v>
      </c>
      <c r="K252" s="54" t="s">
        <v>198</v>
      </c>
      <c r="L252" s="8" t="s">
        <v>124</v>
      </c>
      <c r="M252" s="8" t="s">
        <v>37</v>
      </c>
      <c r="N252" s="52" t="str">
        <f>IF(Follow[[#This Row],[DATAATUALIZAÇÃO]]&lt;=Follow[[#This Row],[Prev Entrega]],"Dentro do Prazo","Fora do Prazo")</f>
        <v>Dentro do Prazo</v>
      </c>
      <c r="O2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70 Rastreio Pedido 70, agradecemos a preferência e adoraríamos receber sua avaliação, tendo qualquer dúvida estamos à disposição.
Att
Tem tudo Shop</v>
      </c>
    </row>
    <row r="253" spans="1:15">
      <c r="A253" s="52" t="s">
        <v>13769</v>
      </c>
      <c r="B253" s="2" t="s">
        <v>19443</v>
      </c>
      <c r="C253" s="2" t="str">
        <f>Follow[[#This Row],[CODRASTREIO]]&amp;" B"</f>
        <v>CódRastreio413 1 envio B</v>
      </c>
      <c r="D253" s="52" t="s">
        <v>36</v>
      </c>
      <c r="E253" s="9">
        <v>45645</v>
      </c>
      <c r="F253" s="9" t="s">
        <v>19433</v>
      </c>
      <c r="G253" s="9" t="s">
        <v>37</v>
      </c>
      <c r="H253" s="52" t="s">
        <v>178</v>
      </c>
      <c r="I253" s="52" t="s">
        <v>178</v>
      </c>
      <c r="J253" s="55">
        <v>45629</v>
      </c>
      <c r="K253" s="54" t="s">
        <v>198</v>
      </c>
      <c r="L253" s="8" t="s">
        <v>124</v>
      </c>
      <c r="M253" s="8" t="s">
        <v>37</v>
      </c>
      <c r="N253" s="52" t="str">
        <f>IF(Follow[[#This Row],[DATAATUALIZAÇÃO]]&lt;=Follow[[#This Row],[Prev Entrega]],"Dentro do Prazo","Fora do Prazo")</f>
        <v>Dentro do Prazo</v>
      </c>
      <c r="O2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03/12/2024, referente ao pedido Nº Pedido 426 Rastreio Pedido 426, agradecemos a preferência e adoraríamos receber sua avaliação, tendo qualquer dúvida estamos à disposição.
Att
Tem tudo Shop</v>
      </c>
    </row>
    <row r="254" spans="1:15">
      <c r="A254" s="52" t="s">
        <v>13769</v>
      </c>
      <c r="B254" s="2" t="s">
        <v>19441</v>
      </c>
      <c r="C254" s="2" t="str">
        <f>Follow[[#This Row],[CODRASTREIO]]&amp;" B"</f>
        <v>CódRastreio413 2 Envio B</v>
      </c>
      <c r="D254" s="52" t="s">
        <v>36</v>
      </c>
      <c r="E254" s="9">
        <v>45645</v>
      </c>
      <c r="F254" s="9" t="s">
        <v>19433</v>
      </c>
      <c r="G254" s="9" t="s">
        <v>37</v>
      </c>
      <c r="H254" s="52" t="s">
        <v>178</v>
      </c>
      <c r="I254" s="52" t="s">
        <v>178</v>
      </c>
      <c r="J254" s="55">
        <v>45629</v>
      </c>
      <c r="K254" s="54" t="s">
        <v>198</v>
      </c>
      <c r="L254" s="8" t="s">
        <v>124</v>
      </c>
      <c r="M254" s="8" t="s">
        <v>37</v>
      </c>
      <c r="N254" s="52" t="str">
        <f>IF(Follow[[#This Row],[DATAATUALIZAÇÃO]]&lt;=Follow[[#This Row],[Prev Entrega]],"Dentro do Prazo","Fora do Prazo")</f>
        <v>Dentro do Prazo</v>
      </c>
      <c r="O2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03/12/2024, referente ao pedido Nº Pedido 426 Rastreio Pedido 426, agradecemos a preferência e adoraríamos receber sua avaliação, tendo qualquer dúvida estamos à disposição.
Att
Tem tudo Shop</v>
      </c>
    </row>
    <row r="255" spans="1:15">
      <c r="A255" s="52" t="str">
        <f>_xlfn.XLOOKUP(Follow[[#This Row],[CODRASTREIO]],Controle_Pedidos[Cód Rastreamento],Controle_Pedidos[Número Pedido Cliente])</f>
        <v>Pedido 426</v>
      </c>
      <c r="B255" s="2" t="s">
        <v>17855</v>
      </c>
      <c r="C255" s="2" t="str">
        <f>Follow[[#This Row],[CODRASTREIO]]&amp;" B"</f>
        <v>CódRastreio413 B</v>
      </c>
      <c r="D255" s="52" t="str">
        <f>_xlfn.XLOOKUP(Follow[[#This Row],[Id Pedido]],Controle_Pedidos[Número Pedido Cliente],Controle_Pedidos[Loja])</f>
        <v>BV</v>
      </c>
      <c r="E255" s="9">
        <f>_xlfn.XLOOKUP(Follow[[#This Row],[Id Pedido]],Controle_Pedidos[Número Pedido Cliente],Controle_Pedidos[Prazo Entrega])</f>
        <v>45645</v>
      </c>
      <c r="F255" s="9" t="s">
        <v>19433</v>
      </c>
      <c r="G255" s="9" t="s">
        <v>37</v>
      </c>
      <c r="H255" s="55" t="s">
        <v>178</v>
      </c>
      <c r="I255" s="55" t="s">
        <v>178</v>
      </c>
      <c r="J255" s="55">
        <v>45630</v>
      </c>
      <c r="K255" s="54" t="s">
        <v>198</v>
      </c>
      <c r="L255" s="8" t="s">
        <v>124</v>
      </c>
      <c r="M255" s="8" t="s">
        <v>37</v>
      </c>
      <c r="N255" s="52" t="str">
        <f>IF(Follow[[#This Row],[DATAATUALIZAÇÃO]]&lt;=Follow[[#This Row],[Prev Entrega]],"Dentro do Prazo","Fora do Prazo")</f>
        <v>Dentro do Prazo</v>
      </c>
      <c r="O2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04/12/2024, referente ao pedido Nº Pedido 426 Rastreio Pedido 426, agradecemos a preferência e adoraríamos receber sua avaliação, tendo qualquer dúvida estamos à disposição.
Att
Tem tudo Shop</v>
      </c>
    </row>
    <row r="256" spans="1:15">
      <c r="A256" s="52" t="str">
        <f>_xlfn.XLOOKUP(Follow[[#This Row],[CODRASTREIO]],Controle_Pedidos[Cód Rastreamento],Controle_Pedidos[Número Pedido Cliente])</f>
        <v>Pedido 177</v>
      </c>
      <c r="B256" s="2" t="s">
        <v>17612</v>
      </c>
      <c r="C256" s="2" t="str">
        <f>Follow[[#This Row],[CODRASTREIO]]&amp;" B"</f>
        <v>CódRastreio170 B</v>
      </c>
      <c r="D256" s="52" t="str">
        <f>_xlfn.XLOOKUP(Follow[[#This Row],[Id Pedido]],Controle_Pedidos[Número Pedido Cliente],Controle_Pedidos[Loja])</f>
        <v>BV</v>
      </c>
      <c r="E256" s="9">
        <f>_xlfn.XLOOKUP(Follow[[#This Row],[Id Pedido]],Controle_Pedidos[Número Pedido Cliente],Controle_Pedidos[Prazo Entrega])</f>
        <v>45618</v>
      </c>
      <c r="F256" s="9" t="s">
        <v>19433</v>
      </c>
      <c r="G256" s="9" t="s">
        <v>37</v>
      </c>
      <c r="H256" s="52" t="s">
        <v>178</v>
      </c>
      <c r="I256" s="52" t="s">
        <v>178</v>
      </c>
      <c r="J256" s="55">
        <v>45602</v>
      </c>
      <c r="K256" s="54" t="s">
        <v>198</v>
      </c>
      <c r="L256" s="8" t="s">
        <v>124</v>
      </c>
      <c r="M256" s="8" t="s">
        <v>37</v>
      </c>
      <c r="N256" s="52" t="str">
        <f>IF(Follow[[#This Row],[DATAATUALIZAÇÃO]]&lt;=Follow[[#This Row],[Prev Entrega]],"Dentro do Prazo","Fora do Prazo")</f>
        <v>Dentro do Prazo</v>
      </c>
      <c r="O2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06/11/2024, referente ao pedido Nº Pedido 177 Rastreio Pedido 177, agradecemos a preferência e adoraríamos receber sua avaliação, tendo qualquer dúvida estamos à disposição.
Att
Tem tudo Shop</v>
      </c>
    </row>
    <row r="257" spans="1:15">
      <c r="A257" s="52" t="str">
        <f>_xlfn.XLOOKUP(Follow[[#This Row],[CODRASTREIO]],Controle_Pedidos[Cód Rastreamento],Controle_Pedidos[Número Pedido Cliente])</f>
        <v>Pedido 232</v>
      </c>
      <c r="B257" s="2" t="s">
        <v>17667</v>
      </c>
      <c r="C257" s="2" t="str">
        <f>Follow[[#This Row],[CODRASTREIO]]&amp;" B"</f>
        <v>CódRastreio225 B</v>
      </c>
      <c r="D257" s="52" t="str">
        <f>_xlfn.XLOOKUP(Follow[[#This Row],[Id Pedido]],Controle_Pedidos[Número Pedido Cliente],Controle_Pedidos[Loja])</f>
        <v>BV</v>
      </c>
      <c r="E257" s="9">
        <f>_xlfn.XLOOKUP(Follow[[#This Row],[Id Pedido]],Controle_Pedidos[Número Pedido Cliente],Controle_Pedidos[Prazo Entrega])</f>
        <v>45626</v>
      </c>
      <c r="F257" s="9" t="s">
        <v>19433</v>
      </c>
      <c r="G257" s="9" t="s">
        <v>37</v>
      </c>
      <c r="H257" s="52" t="s">
        <v>178</v>
      </c>
      <c r="I257" s="52" t="s">
        <v>178</v>
      </c>
      <c r="J257" s="55">
        <v>45611</v>
      </c>
      <c r="K257" s="54" t="s">
        <v>198</v>
      </c>
      <c r="L257" s="8" t="s">
        <v>124</v>
      </c>
      <c r="M257" s="8" t="s">
        <v>199</v>
      </c>
      <c r="N257" s="52" t="str">
        <f>IF(Follow[[#This Row],[DATAATUALIZAÇÃO]]&lt;=Follow[[#This Row],[Prev Entrega]],"Dentro do Prazo","Fora do Prazo")</f>
        <v>Dentro do Prazo</v>
      </c>
      <c r="O2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15/11/2024, referente ao pedido Nº Pedido 232 Rastreio Pedido 232, agradecemos a preferência e adoraríamos receber sua avaliação, tendo qualquer dúvida estamos à disposição.
Att
Tem tudo Shop</v>
      </c>
    </row>
    <row r="258" spans="1:15">
      <c r="A258" s="52" t="str">
        <f>_xlfn.XLOOKUP(Follow[[#This Row],[CODRASTREIO]],Controle_Pedidos[Cód Rastreamento],Controle_Pedidos[Número Pedido Cliente])</f>
        <v>Pedido 383</v>
      </c>
      <c r="B258" s="2" t="s">
        <v>17815</v>
      </c>
      <c r="C258" s="2" t="str">
        <f>Follow[[#This Row],[CODRASTREIO]]&amp;" B"</f>
        <v>CódRastreio373 B</v>
      </c>
      <c r="D258" s="52" t="str">
        <f>_xlfn.XLOOKUP(Follow[[#This Row],[Id Pedido]],Controle_Pedidos[Número Pedido Cliente],Controle_Pedidos[Loja])</f>
        <v>BV</v>
      </c>
      <c r="E258" s="9">
        <f>_xlfn.XLOOKUP(Follow[[#This Row],[Id Pedido]],Controle_Pedidos[Número Pedido Cliente],Controle_Pedidos[Prazo Entrega])</f>
        <v>45630</v>
      </c>
      <c r="F258" s="9" t="s">
        <v>19433</v>
      </c>
      <c r="G258" s="9" t="s">
        <v>37</v>
      </c>
      <c r="H258" s="52" t="s">
        <v>178</v>
      </c>
      <c r="I258" s="52" t="s">
        <v>178</v>
      </c>
      <c r="J258" s="55">
        <v>45618</v>
      </c>
      <c r="K258" s="54" t="s">
        <v>198</v>
      </c>
      <c r="L258" s="8" t="s">
        <v>124</v>
      </c>
      <c r="M258" s="8" t="s">
        <v>37</v>
      </c>
      <c r="N258" s="52" t="str">
        <f>IF(Follow[[#This Row],[DATAATUALIZAÇÃO]]&lt;=Follow[[#This Row],[Prev Entrega]],"Dentro do Prazo","Fora do Prazo")</f>
        <v>Dentro do Prazo</v>
      </c>
      <c r="O2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22/11/2024, referente ao pedido Nº Pedido 383 Rastreio Pedido 383, agradecemos a preferência e adoraríamos receber sua avaliação, tendo qualquer dúvida estamos à disposição.
Att
Tem tudo Shop</v>
      </c>
    </row>
    <row r="259" spans="1:15">
      <c r="A259" s="52" t="str">
        <f>_xlfn.XLOOKUP(Follow[[#This Row],[CODRASTREIO]],Controle_Pedidos[Cód Rastreamento],Controle_Pedidos[Número Pedido Cliente])</f>
        <v>Pedido 93</v>
      </c>
      <c r="B259" s="2" t="s">
        <v>17528</v>
      </c>
      <c r="C259" s="2" t="str">
        <f>Follow[[#This Row],[CODRASTREIO]]&amp;" B"</f>
        <v>CódRastreio86 B</v>
      </c>
      <c r="D259" s="52" t="str">
        <f>_xlfn.XLOOKUP(Follow[[#This Row],[Id Pedido]],Controle_Pedidos[Número Pedido Cliente],Controle_Pedidos[Loja])</f>
        <v>BV</v>
      </c>
      <c r="E259" s="9">
        <f>_xlfn.XLOOKUP(Follow[[#This Row],[Id Pedido]],Controle_Pedidos[Número Pedido Cliente],Controle_Pedidos[Prazo Entrega])</f>
        <v>45617</v>
      </c>
      <c r="F259" s="9" t="s">
        <v>19433</v>
      </c>
      <c r="G259" s="9" t="s">
        <v>37</v>
      </c>
      <c r="H259" s="52" t="s">
        <v>178</v>
      </c>
      <c r="I259" s="52" t="s">
        <v>178</v>
      </c>
      <c r="J259" s="55">
        <v>45597</v>
      </c>
      <c r="K259" s="54" t="s">
        <v>198</v>
      </c>
      <c r="L259" s="8" t="s">
        <v>124</v>
      </c>
      <c r="M259" s="8" t="s">
        <v>37</v>
      </c>
      <c r="N259" s="52" t="str">
        <f>IF(Follow[[#This Row],[DATAATUALIZAÇÃO]]&lt;=Follow[[#This Row],[Prev Entrega]],"Dentro do Prazo","Fora do Prazo")</f>
        <v>Dentro do Prazo</v>
      </c>
      <c r="O2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01/11/2024, referente ao pedido Nº Pedido 93 Rastreio Pedido 93, agradecemos a preferência e adoraríamos receber sua avaliação, tendo qualquer dúvida estamos à disposição.
Att
Tem tudo Shop</v>
      </c>
    </row>
    <row r="260" spans="1:15">
      <c r="A260" s="52" t="str">
        <f>_xlfn.XLOOKUP(Follow[[#This Row],[CODRASTREIO]],Controle_Pedidos[Cód Rastreamento],Controle_Pedidos[Número Pedido Cliente])</f>
        <v>Pedido 18</v>
      </c>
      <c r="B260" s="2" t="s">
        <v>17451</v>
      </c>
      <c r="C260" s="2" t="str">
        <f>Follow[[#This Row],[CODRASTREIO]]&amp;" B"</f>
        <v>CódRastreio9 B</v>
      </c>
      <c r="D260" s="52" t="str">
        <f>_xlfn.XLOOKUP(Follow[[#This Row],[Id Pedido]],Controle_Pedidos[Número Pedido Cliente],Controle_Pedidos[Loja])</f>
        <v>BV</v>
      </c>
      <c r="E260" s="9">
        <f>_xlfn.XLOOKUP(Follow[[#This Row],[Id Pedido]],Controle_Pedidos[Número Pedido Cliente],Controle_Pedidos[Prazo Entrega])</f>
        <v>45610</v>
      </c>
      <c r="F260" s="9" t="s">
        <v>19433</v>
      </c>
      <c r="G260" s="9" t="s">
        <v>37</v>
      </c>
      <c r="H260" s="52" t="s">
        <v>178</v>
      </c>
      <c r="I260" s="52" t="s">
        <v>178</v>
      </c>
      <c r="J260" s="55">
        <v>45595</v>
      </c>
      <c r="K260" s="54" t="s">
        <v>198</v>
      </c>
      <c r="L260" s="8" t="s">
        <v>124</v>
      </c>
      <c r="M260" s="8" t="s">
        <v>37</v>
      </c>
      <c r="N260" s="52" t="str">
        <f>IF(Follow[[#This Row],[DATAATUALIZAÇÃO]]&lt;=Follow[[#This Row],[Prev Entrega]],"Dentro do Prazo","Fora do Prazo")</f>
        <v>Dentro do Prazo</v>
      </c>
      <c r="O2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18 Rastreio Pedido 18, agradecemos a preferência e adoraríamos receber sua avaliação, tendo qualquer dúvida estamos à disposição.
Att
Tem tudo Shop</v>
      </c>
    </row>
    <row r="261" spans="1:15">
      <c r="A261" s="52" t="str">
        <f>_xlfn.XLOOKUP(Follow[[#This Row],[CODRASTREIO]],Controle_Pedidos[Cód Rastreamento],Controle_Pedidos[Número Pedido Cliente])</f>
        <v>Pedido 661</v>
      </c>
      <c r="B261" s="2" t="s">
        <v>18083</v>
      </c>
      <c r="C261" s="2" t="str">
        <f>Follow[[#This Row],[CODRASTREIO]]&amp;" B"</f>
        <v>CódRastreio641 B</v>
      </c>
      <c r="D261" s="52" t="str">
        <f>_xlfn.XLOOKUP(Follow[[#This Row],[Id Pedido]],Controle_Pedidos[Número Pedido Cliente],Controle_Pedidos[Loja])</f>
        <v>BV</v>
      </c>
      <c r="E261" s="9">
        <f>_xlfn.XLOOKUP(Follow[[#This Row],[Id Pedido]],Controle_Pedidos[Número Pedido Cliente],Controle_Pedidos[Prazo Entrega])</f>
        <v>45679</v>
      </c>
      <c r="F261" s="9" t="s">
        <v>19433</v>
      </c>
      <c r="G261" s="9" t="s">
        <v>37</v>
      </c>
      <c r="H261" s="52" t="s">
        <v>179</v>
      </c>
      <c r="I261" s="52" t="s">
        <v>178</v>
      </c>
      <c r="J261" s="55">
        <v>45665</v>
      </c>
      <c r="K261" s="52" t="s">
        <v>198</v>
      </c>
      <c r="L261" s="8" t="s">
        <v>124</v>
      </c>
      <c r="M261" s="8" t="s">
        <v>37</v>
      </c>
      <c r="N261" s="52" t="str">
        <f>IF(Follow[[#This Row],[DATAATUALIZAÇÃO]]&lt;=Follow[[#This Row],[Prev Entrega]],"Dentro do Prazo","Fora do Prazo")</f>
        <v>Dentro do Prazo</v>
      </c>
      <c r="O26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08/01/2025, referente ao pedido Nº Pedido 661 Rastreio Pedido 661, agradecemos a preferência e adoraríamos receber sua avaliação, tendo qualquer dúvida estamos à disposição.
Att
Tem tudo Shop</v>
      </c>
    </row>
    <row r="262" spans="1:15">
      <c r="A262" s="52" t="str">
        <f>_xlfn.XLOOKUP(Follow[[#This Row],[CODRASTREIO]],Controle_Pedidos[Cód Rastreamento],Controle_Pedidos[Número Pedido Cliente])</f>
        <v>Pedido 500</v>
      </c>
      <c r="B262" s="2" t="s">
        <v>17928</v>
      </c>
      <c r="C262" s="2" t="str">
        <f>Follow[[#This Row],[CODRASTREIO]]&amp;" B"</f>
        <v>CódRastreio486 B</v>
      </c>
      <c r="D262" s="52" t="str">
        <f>_xlfn.XLOOKUP(Follow[[#This Row],[Id Pedido]],Controle_Pedidos[Número Pedido Cliente],Controle_Pedidos[Loja])</f>
        <v>BV</v>
      </c>
      <c r="E262" s="9">
        <f>_xlfn.XLOOKUP(Follow[[#This Row],[Id Pedido]],Controle_Pedidos[Número Pedido Cliente],Controle_Pedidos[Prazo Entrega])</f>
        <v>45650</v>
      </c>
      <c r="F262" s="9" t="s">
        <v>19433</v>
      </c>
      <c r="G262" s="9" t="s">
        <v>37</v>
      </c>
      <c r="H262" s="52" t="s">
        <v>179</v>
      </c>
      <c r="I262" s="52" t="s">
        <v>178</v>
      </c>
      <c r="J262" s="55">
        <v>45645</v>
      </c>
      <c r="K262" s="52" t="s">
        <v>198</v>
      </c>
      <c r="L262" s="8" t="s">
        <v>124</v>
      </c>
      <c r="M262" s="8" t="s">
        <v>37</v>
      </c>
      <c r="N262" s="52" t="str">
        <f>IF(Follow[[#This Row],[DATAATUALIZAÇÃO]]&lt;=Follow[[#This Row],[Prev Entrega]],"Dentro do Prazo","Fora do Prazo")</f>
        <v>Dentro do Prazo</v>
      </c>
      <c r="O2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19/12/2024, referente ao pedido Nº Pedido 500 Rastreio Pedido 500, agradecemos a preferência e adoraríamos receber sua avaliação, tendo qualquer dúvida estamos à disposição.
Att
Tem tudo Shop</v>
      </c>
    </row>
    <row r="263" spans="1:15">
      <c r="A263" s="52" t="str">
        <f>_xlfn.XLOOKUP(Follow[[#This Row],[CODRASTREIO]],Controle_Pedidos[Cód Rastreamento],Controle_Pedidos[Número Pedido Cliente])</f>
        <v>Pedido 134</v>
      </c>
      <c r="B263" s="2" t="s">
        <v>17569</v>
      </c>
      <c r="C263" s="2" t="str">
        <f>Follow[[#This Row],[CODRASTREIO]]&amp;" B"</f>
        <v>CódRastreio127 B</v>
      </c>
      <c r="D263" s="52" t="str">
        <f>_xlfn.XLOOKUP(Follow[[#This Row],[Id Pedido]],Controle_Pedidos[Número Pedido Cliente],Controle_Pedidos[Loja])</f>
        <v>BV</v>
      </c>
      <c r="E263" s="9">
        <f>_xlfn.XLOOKUP(Follow[[#This Row],[Id Pedido]],Controle_Pedidos[Número Pedido Cliente],Controle_Pedidos[Prazo Entrega])</f>
        <v>45605</v>
      </c>
      <c r="F263" s="9" t="s">
        <v>19433</v>
      </c>
      <c r="G263" s="9" t="s">
        <v>37</v>
      </c>
      <c r="H263" s="52" t="s">
        <v>178</v>
      </c>
      <c r="I263" s="52" t="s">
        <v>178</v>
      </c>
      <c r="J263" s="55">
        <v>45633</v>
      </c>
      <c r="K263" s="54" t="s">
        <v>198</v>
      </c>
      <c r="L263" s="8" t="s">
        <v>124</v>
      </c>
      <c r="M263" s="52" t="s">
        <v>200</v>
      </c>
      <c r="N263" s="52" t="str">
        <f>IF(Follow[[#This Row],[DATAATUALIZAÇÃO]]&lt;=Follow[[#This Row],[Prev Entrega]],"Dentro do Prazo","Fora do Prazo")</f>
        <v>Fora do Prazo</v>
      </c>
      <c r="O26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07/12/2024, referente ao pedido Nº Pedido 134 Rastreio Pedido 134, agradecemos a preferência e adoraríamos receber sua avaliação, tendo qualquer dúvida estamos à disposição.
Att
Tem tudo Shop</v>
      </c>
    </row>
    <row r="264" spans="1:15">
      <c r="A264" s="52" t="str">
        <f>_xlfn.XLOOKUP(Follow[[#This Row],[CODRASTREIO]],Controle_Pedidos[Cód Rastreamento],Controle_Pedidos[Número Pedido Cliente])</f>
        <v>Pedido 31</v>
      </c>
      <c r="B264" s="2" t="s">
        <v>17464</v>
      </c>
      <c r="C264" s="2" t="str">
        <f>Follow[[#This Row],[CODRASTREIO]]&amp;" B"</f>
        <v>CódRastreio22 B</v>
      </c>
      <c r="D264" s="52" t="str">
        <f>_xlfn.XLOOKUP(Follow[[#This Row],[Id Pedido]],Controle_Pedidos[Número Pedido Cliente],Controle_Pedidos[Loja])</f>
        <v>BV</v>
      </c>
      <c r="E264" s="9">
        <f>_xlfn.XLOOKUP(Follow[[#This Row],[Id Pedido]],Controle_Pedidos[Número Pedido Cliente],Controle_Pedidos[Prazo Entrega])</f>
        <v>45601</v>
      </c>
      <c r="F264" s="9" t="s">
        <v>19433</v>
      </c>
      <c r="G264" s="9" t="s">
        <v>37</v>
      </c>
      <c r="H264" s="52" t="s">
        <v>178</v>
      </c>
      <c r="I264" s="52" t="s">
        <v>178</v>
      </c>
      <c r="J264" s="9">
        <v>45591</v>
      </c>
      <c r="K264" s="54" t="s">
        <v>198</v>
      </c>
      <c r="L264" s="8" t="s">
        <v>124</v>
      </c>
      <c r="M264" s="8" t="s">
        <v>37</v>
      </c>
      <c r="N264" s="52" t="str">
        <f>IF(Follow[[#This Row],[DATAATUALIZAÇÃO]]&lt;=Follow[[#This Row],[Prev Entrega]],"Dentro do Prazo","Fora do Prazo")</f>
        <v>Dentro do Prazo</v>
      </c>
      <c r="O2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26/10/2024, referente ao pedido Nº Pedido 31 Rastreio Pedido 31, agradecemos a preferência e adoraríamos receber sua avaliação, tendo qualquer dúvida estamos à disposição.
Att
Tem tudo Shop</v>
      </c>
    </row>
    <row r="265" spans="1:15">
      <c r="A265" s="52" t="str">
        <f>_xlfn.XLOOKUP(Follow[[#This Row],[CODRASTREIO]],Controle_Pedidos[Cód Rastreamento],Controle_Pedidos[Número Pedido Cliente])</f>
        <v>Pedido 108</v>
      </c>
      <c r="B265" s="2" t="s">
        <v>17543</v>
      </c>
      <c r="C265" s="2" t="str">
        <f>Follow[[#This Row],[CODRASTREIO]]&amp;" B"</f>
        <v>CódRastreio101 B</v>
      </c>
      <c r="D265" s="52" t="str">
        <f>_xlfn.XLOOKUP(Follow[[#This Row],[Id Pedido]],Controle_Pedidos[Número Pedido Cliente],Controle_Pedidos[Loja])</f>
        <v>BV</v>
      </c>
      <c r="E265" s="9">
        <f>_xlfn.XLOOKUP(Follow[[#This Row],[Id Pedido]],Controle_Pedidos[Número Pedido Cliente],Controle_Pedidos[Prazo Entrega])</f>
        <v>45617</v>
      </c>
      <c r="F265" s="9" t="s">
        <v>19433</v>
      </c>
      <c r="G265" s="9" t="s">
        <v>37</v>
      </c>
      <c r="H265" s="52" t="s">
        <v>178</v>
      </c>
      <c r="I265" s="52" t="s">
        <v>178</v>
      </c>
      <c r="J265" s="55">
        <v>45603</v>
      </c>
      <c r="K265" s="54" t="s">
        <v>198</v>
      </c>
      <c r="L265" s="8" t="s">
        <v>124</v>
      </c>
      <c r="M265" s="8" t="s">
        <v>37</v>
      </c>
      <c r="N265" s="52" t="str">
        <f>IF(Follow[[#This Row],[DATAATUALIZAÇÃO]]&lt;=Follow[[#This Row],[Prev Entrega]],"Dentro do Prazo","Fora do Prazo")</f>
        <v>Dentro do Prazo</v>
      </c>
      <c r="O2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07/11/2024, referente ao pedido Nº Pedido 108 Rastreio Pedido 108, agradecemos a preferência e adoraríamos receber sua avaliação, tendo qualquer dúvida estamos à disposição.
Att
Tem tudo Shop</v>
      </c>
    </row>
    <row r="266" spans="1:15">
      <c r="A266" s="52" t="str">
        <f>_xlfn.XLOOKUP(Follow[[#This Row],[CODRASTREIO]],Controle_Pedidos[Cód Rastreamento],Controle_Pedidos[Número Pedido Cliente])</f>
        <v>Pedido 398</v>
      </c>
      <c r="B266" s="2" t="s">
        <v>17830</v>
      </c>
      <c r="C266" s="2" t="str">
        <f>Follow[[#This Row],[CODRASTREIO]]&amp;" B"</f>
        <v>CódRastreio388 B</v>
      </c>
      <c r="D266" s="52" t="str">
        <f>_xlfn.XLOOKUP(Follow[[#This Row],[Id Pedido]],Controle_Pedidos[Número Pedido Cliente],Controle_Pedidos[Loja])</f>
        <v>BV</v>
      </c>
      <c r="E266" s="9">
        <f>_xlfn.XLOOKUP(Follow[[#This Row],[Id Pedido]],Controle_Pedidos[Número Pedido Cliente],Controle_Pedidos[Prazo Entrega])</f>
        <v>45643</v>
      </c>
      <c r="F266" s="9" t="s">
        <v>19433</v>
      </c>
      <c r="G266" s="9" t="s">
        <v>37</v>
      </c>
      <c r="H266" s="52" t="s">
        <v>178</v>
      </c>
      <c r="I266" s="52" t="s">
        <v>178</v>
      </c>
      <c r="J266" s="55">
        <v>45625</v>
      </c>
      <c r="K266" s="54" t="s">
        <v>198</v>
      </c>
      <c r="L266" s="8" t="s">
        <v>124</v>
      </c>
      <c r="M266" s="8" t="s">
        <v>37</v>
      </c>
      <c r="N266" s="52" t="str">
        <f>IF(Follow[[#This Row],[DATAATUALIZAÇÃO]]&lt;=Follow[[#This Row],[Prev Entrega]],"Dentro do Prazo","Fora do Prazo")</f>
        <v>Dentro do Prazo</v>
      </c>
      <c r="O2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29/11/2024, referente ao pedido Nº Pedido 398 Rastreio Pedido 398, agradecemos a preferência e adoraríamos receber sua avaliação, tendo qualquer dúvida estamos à disposição.
Att
Tem tudo Shop</v>
      </c>
    </row>
    <row r="267" spans="1:15">
      <c r="A267" s="52" t="str">
        <f>_xlfn.XLOOKUP(Follow[[#This Row],[CODRASTREIO]],Controle_Pedidos[Cód Rastreamento],Controle_Pedidos[Número Pedido Cliente])</f>
        <v>Pedido 188</v>
      </c>
      <c r="B267" s="2" t="s">
        <v>17623</v>
      </c>
      <c r="C267" s="2" t="str">
        <f>Follow[[#This Row],[CODRASTREIO]]&amp;" B"</f>
        <v>CódRastreio181 B</v>
      </c>
      <c r="D267" s="52" t="str">
        <f>_xlfn.XLOOKUP(Follow[[#This Row],[Id Pedido]],Controle_Pedidos[Número Pedido Cliente],Controle_Pedidos[Loja])</f>
        <v>BV</v>
      </c>
      <c r="E267" s="9">
        <f>_xlfn.XLOOKUP(Follow[[#This Row],[Id Pedido]],Controle_Pedidos[Número Pedido Cliente],Controle_Pedidos[Prazo Entrega])</f>
        <v>45611</v>
      </c>
      <c r="F267" s="9" t="s">
        <v>19433</v>
      </c>
      <c r="G267" s="9" t="s">
        <v>37</v>
      </c>
      <c r="H267" s="52" t="s">
        <v>179</v>
      </c>
      <c r="I267" s="52" t="s">
        <v>178</v>
      </c>
      <c r="J267" s="55">
        <v>45607</v>
      </c>
      <c r="K267" s="54" t="s">
        <v>198</v>
      </c>
      <c r="L267" s="8" t="s">
        <v>124</v>
      </c>
      <c r="M267" s="8" t="s">
        <v>37</v>
      </c>
      <c r="N267" s="52" t="str">
        <f>IF(Follow[[#This Row],[DATAATUALIZAÇÃO]]&lt;=Follow[[#This Row],[Prev Entrega]],"Dentro do Prazo","Fora do Prazo")</f>
        <v>Dentro do Prazo</v>
      </c>
      <c r="O2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11/11/2024, referente ao pedido Nº Pedido 188 Rastreio Pedido 188, agradecemos a preferência e adoraríamos receber sua avaliação, tendo qualquer dúvida estamos à disposição.
Att
Tem tudo Shop</v>
      </c>
    </row>
    <row r="268" spans="1:15">
      <c r="A268" s="52" t="str">
        <f>_xlfn.XLOOKUP(Follow[[#This Row],[CODRASTREIO]],Controle_Pedidos[Cód Rastreamento],Controle_Pedidos[Número Pedido Cliente])</f>
        <v>Pedido 147</v>
      </c>
      <c r="B268" s="2" t="s">
        <v>17582</v>
      </c>
      <c r="C268" s="2" t="str">
        <f>Follow[[#This Row],[CODRASTREIO]]&amp;" B"</f>
        <v>CódRastreio140 B</v>
      </c>
      <c r="D268" s="52" t="str">
        <f>_xlfn.XLOOKUP(Follow[[#This Row],[Id Pedido]],Controle_Pedidos[Número Pedido Cliente],Controle_Pedidos[Loja])</f>
        <v>BV</v>
      </c>
      <c r="E268" s="9">
        <f>_xlfn.XLOOKUP(Follow[[#This Row],[Id Pedido]],Controle_Pedidos[Número Pedido Cliente],Controle_Pedidos[Prazo Entrega])</f>
        <v>45610</v>
      </c>
      <c r="F268" s="9" t="s">
        <v>19433</v>
      </c>
      <c r="G268" s="9" t="s">
        <v>37</v>
      </c>
      <c r="H268" s="52" t="s">
        <v>178</v>
      </c>
      <c r="I268" s="52" t="s">
        <v>178</v>
      </c>
      <c r="J268" s="55">
        <v>45600</v>
      </c>
      <c r="K268" s="54" t="s">
        <v>198</v>
      </c>
      <c r="L268" s="8" t="s">
        <v>124</v>
      </c>
      <c r="M268" s="8" t="s">
        <v>37</v>
      </c>
      <c r="N268" s="52" t="str">
        <f>IF(Follow[[#This Row],[DATAATUALIZAÇÃO]]&lt;=Follow[[#This Row],[Prev Entrega]],"Dentro do Prazo","Fora do Prazo")</f>
        <v>Dentro do Prazo</v>
      </c>
      <c r="O2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04/11/2024, referente ao pedido Nº Pedido 147 Rastreio Pedido 147, agradecemos a preferência e adoraríamos receber sua avaliação, tendo qualquer dúvida estamos à disposição.
Att
Tem tudo Shop</v>
      </c>
    </row>
    <row r="269" spans="1:15">
      <c r="A269" s="52" t="str">
        <f>_xlfn.XLOOKUP(Follow[[#This Row],[CODRASTREIO]],Controle_Pedidos[Cód Rastreamento],Controle_Pedidos[Número Pedido Cliente])</f>
        <v>Pedido 224</v>
      </c>
      <c r="B269" s="2" t="s">
        <v>17659</v>
      </c>
      <c r="C269" s="2" t="str">
        <f>Follow[[#This Row],[CODRASTREIO]]&amp;" B"</f>
        <v>CódRastreio217 B</v>
      </c>
      <c r="D269" s="52" t="str">
        <f>_xlfn.XLOOKUP(Follow[[#This Row],[Id Pedido]],Controle_Pedidos[Número Pedido Cliente],Controle_Pedidos[Loja])</f>
        <v>BV</v>
      </c>
      <c r="E269" s="9">
        <f>_xlfn.XLOOKUP(Follow[[#This Row],[Id Pedido]],Controle_Pedidos[Número Pedido Cliente],Controle_Pedidos[Prazo Entrega])</f>
        <v>45622</v>
      </c>
      <c r="F269" s="9" t="s">
        <v>19433</v>
      </c>
      <c r="G269" s="9" t="s">
        <v>37</v>
      </c>
      <c r="H269" s="52" t="s">
        <v>178</v>
      </c>
      <c r="I269" s="52" t="s">
        <v>178</v>
      </c>
      <c r="J269" s="55">
        <v>45609</v>
      </c>
      <c r="K269" s="54" t="s">
        <v>198</v>
      </c>
      <c r="L269" s="8" t="s">
        <v>124</v>
      </c>
      <c r="M269" s="8" t="s">
        <v>37</v>
      </c>
      <c r="N269" s="52" t="str">
        <f>IF(Follow[[#This Row],[DATAATUALIZAÇÃO]]&lt;=Follow[[#This Row],[Prev Entrega]],"Dentro do Prazo","Fora do Prazo")</f>
        <v>Dentro do Prazo</v>
      </c>
      <c r="O2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13/11/2024, referente ao pedido Nº Pedido 224 Rastreio Pedido 224, agradecemos a preferência e adoraríamos receber sua avaliação, tendo qualquer dúvida estamos à disposição.
Att
Tem tudo Shop</v>
      </c>
    </row>
    <row r="270" spans="1:15">
      <c r="A270" s="52" t="str">
        <f>_xlfn.XLOOKUP(Follow[[#This Row],[CODRASTREIO]],Controle_Pedidos[Cód Rastreamento],Controle_Pedidos[Número Pedido Cliente])</f>
        <v>Pedido 12</v>
      </c>
      <c r="B270" s="2" t="s">
        <v>17445</v>
      </c>
      <c r="C270" s="2" t="str">
        <f>Follow[[#This Row],[CODRASTREIO]]&amp;" B"</f>
        <v>CódRastreio3 B</v>
      </c>
      <c r="D270" s="52" t="str">
        <f>_xlfn.XLOOKUP(Follow[[#This Row],[Id Pedido]],Controle_Pedidos[Número Pedido Cliente],Controle_Pedidos[Loja])</f>
        <v>BV</v>
      </c>
      <c r="E270" s="9">
        <f>_xlfn.XLOOKUP(Follow[[#This Row],[Id Pedido]],Controle_Pedidos[Número Pedido Cliente],Controle_Pedidos[Prazo Entrega])</f>
        <v>45604</v>
      </c>
      <c r="F270" s="9" t="s">
        <v>19433</v>
      </c>
      <c r="G270" s="9" t="s">
        <v>37</v>
      </c>
      <c r="H270" s="52" t="s">
        <v>178</v>
      </c>
      <c r="I270" s="52" t="s">
        <v>178</v>
      </c>
      <c r="J270" s="55">
        <v>45593</v>
      </c>
      <c r="K270" s="54" t="s">
        <v>198</v>
      </c>
      <c r="L270" s="8" t="s">
        <v>124</v>
      </c>
      <c r="M270" s="8" t="s">
        <v>37</v>
      </c>
      <c r="N270" s="52" t="str">
        <f>IF(Follow[[#This Row],[DATAATUALIZAÇÃO]]&lt;=Follow[[#This Row],[Prev Entrega]],"Dentro do Prazo","Fora do Prazo")</f>
        <v>Dentro do Prazo</v>
      </c>
      <c r="O2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28/10/2024, referente ao pedido Nº Pedido 12 Rastreio Pedido 12, agradecemos a preferência e adoraríamos receber sua avaliação, tendo qualquer dúvida estamos à disposição.
Att
Tem tudo Shop</v>
      </c>
    </row>
    <row r="271" spans="1:15">
      <c r="A271" s="52" t="str">
        <f>_xlfn.XLOOKUP(Follow[[#This Row],[CODRASTREIO]],Controle_Pedidos[Cód Rastreamento],Controle_Pedidos[Número Pedido Cliente])</f>
        <v>Pedido 301</v>
      </c>
      <c r="B271" s="2" t="s">
        <v>17736</v>
      </c>
      <c r="C271" s="2" t="str">
        <f>Follow[[#This Row],[CODRASTREIO]]&amp;" B"</f>
        <v>CódRastreio294 B</v>
      </c>
      <c r="D271" s="52" t="str">
        <f>_xlfn.XLOOKUP(Follow[[#This Row],[Id Pedido]],Controle_Pedidos[Número Pedido Cliente],Controle_Pedidos[Loja])</f>
        <v>BV</v>
      </c>
      <c r="E271" s="9">
        <f>_xlfn.XLOOKUP(Follow[[#This Row],[Id Pedido]],Controle_Pedidos[Número Pedido Cliente],Controle_Pedidos[Prazo Entrega])</f>
        <v>45626</v>
      </c>
      <c r="F271" s="9" t="s">
        <v>19433</v>
      </c>
      <c r="G271" s="9" t="s">
        <v>37</v>
      </c>
      <c r="H271" s="52" t="s">
        <v>179</v>
      </c>
      <c r="I271" s="52" t="s">
        <v>178</v>
      </c>
      <c r="J271" s="55">
        <v>45610</v>
      </c>
      <c r="K271" s="54" t="s">
        <v>198</v>
      </c>
      <c r="L271" s="8" t="s">
        <v>124</v>
      </c>
      <c r="M271" s="8" t="s">
        <v>37</v>
      </c>
      <c r="N271" s="52" t="str">
        <f>IF(Follow[[#This Row],[DATAATUALIZAÇÃO]]&lt;=Follow[[#This Row],[Prev Entrega]],"Dentro do Prazo","Fora do Prazo")</f>
        <v>Dentro do Prazo</v>
      </c>
      <c r="O2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14/11/2024, referente ao pedido Nº Pedido 301 Rastreio Pedido 301, agradecemos a preferência e adoraríamos receber sua avaliação, tendo qualquer dúvida estamos à disposição.
Att
Tem tudo Shop</v>
      </c>
    </row>
    <row r="272" spans="1:15">
      <c r="A272" s="52" t="str">
        <f>_xlfn.XLOOKUP(Follow[[#This Row],[CODRASTREIO]],Controle_Pedidos[Cód Rastreamento],Controle_Pedidos[Número Pedido Cliente])</f>
        <v>Pedido 608</v>
      </c>
      <c r="B272" s="2" t="s">
        <v>18034</v>
      </c>
      <c r="C272" s="2" t="str">
        <f>Follow[[#This Row],[CODRASTREIO]]&amp;" B"</f>
        <v>CódRastreio592 B</v>
      </c>
      <c r="D272" s="52" t="str">
        <f>_xlfn.XLOOKUP(Follow[[#This Row],[Id Pedido]],Controle_Pedidos[Número Pedido Cliente],Controle_Pedidos[Loja])</f>
        <v>BV</v>
      </c>
      <c r="E272" s="9">
        <f>_xlfn.XLOOKUP(Follow[[#This Row],[Id Pedido]],Controle_Pedidos[Número Pedido Cliente],Controle_Pedidos[Prazo Entrega])</f>
        <v>45673</v>
      </c>
      <c r="F272" s="9" t="s">
        <v>19433</v>
      </c>
      <c r="G272" s="9" t="s">
        <v>37</v>
      </c>
      <c r="H272" s="52" t="s">
        <v>179</v>
      </c>
      <c r="I272" s="52" t="s">
        <v>178</v>
      </c>
      <c r="J272" s="55">
        <v>45665</v>
      </c>
      <c r="K272" s="52" t="s">
        <v>198</v>
      </c>
      <c r="L272" s="8" t="s">
        <v>124</v>
      </c>
      <c r="M272" s="8" t="s">
        <v>37</v>
      </c>
      <c r="N272" s="52" t="str">
        <f>IF(Follow[[#This Row],[DATAATUALIZAÇÃO]]&lt;=Follow[[#This Row],[Prev Entrega]],"Dentro do Prazo","Fora do Prazo")</f>
        <v>Dentro do Prazo</v>
      </c>
      <c r="O2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608 Rastreio Pedido 608, agradecemos a preferência e adoraríamos receber sua avaliação, tendo qualquer dúvida estamos à disposição.
Att
Tem tudo Shop</v>
      </c>
    </row>
    <row r="273" spans="1:15">
      <c r="A273" s="52" t="str">
        <f>_xlfn.XLOOKUP(Follow[[#This Row],[CODRASTREIO]],Controle_Pedidos[Cód Rastreamento],Controle_Pedidos[Número Pedido Cliente])</f>
        <v>Pedido 269</v>
      </c>
      <c r="B273" s="2" t="s">
        <v>17704</v>
      </c>
      <c r="C273" s="2" t="str">
        <f>Follow[[#This Row],[CODRASTREIO]]&amp;" B"</f>
        <v>CódRastreio262 B</v>
      </c>
      <c r="D273" s="52" t="str">
        <f>_xlfn.XLOOKUP(Follow[[#This Row],[Id Pedido]],Controle_Pedidos[Número Pedido Cliente],Controle_Pedidos[Loja])</f>
        <v>BV</v>
      </c>
      <c r="E273" s="9">
        <f>_xlfn.XLOOKUP(Follow[[#This Row],[Id Pedido]],Controle_Pedidos[Número Pedido Cliente],Controle_Pedidos[Prazo Entrega])</f>
        <v>45618</v>
      </c>
      <c r="F273" s="9" t="s">
        <v>19433</v>
      </c>
      <c r="G273" s="9" t="s">
        <v>37</v>
      </c>
      <c r="H273" s="52" t="s">
        <v>178</v>
      </c>
      <c r="I273" s="52" t="s">
        <v>178</v>
      </c>
      <c r="J273" s="55">
        <v>45607</v>
      </c>
      <c r="K273" s="54" t="s">
        <v>198</v>
      </c>
      <c r="L273" s="8" t="s">
        <v>124</v>
      </c>
      <c r="M273" s="8" t="s">
        <v>37</v>
      </c>
      <c r="N273" s="52" t="str">
        <f>IF(Follow[[#This Row],[DATAATUALIZAÇÃO]]&lt;=Follow[[#This Row],[Prev Entrega]],"Dentro do Prazo","Fora do Prazo")</f>
        <v>Dentro do Prazo</v>
      </c>
      <c r="O2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11/11/2024, referente ao pedido Nº Pedido 269 Rastreio Pedido 269, agradecemos a preferência e adoraríamos receber sua avaliação, tendo qualquer dúvida estamos à disposição.
Att
Tem tudo Shop</v>
      </c>
    </row>
    <row r="274" spans="1:15">
      <c r="A274" s="52" t="str">
        <f>_xlfn.XLOOKUP(Follow[[#This Row],[CODRASTREIO]],Controle_Pedidos[Cód Rastreamento],Controle_Pedidos[Número Pedido Cliente])</f>
        <v>Pedido 599</v>
      </c>
      <c r="B274" s="2" t="s">
        <v>18026</v>
      </c>
      <c r="C274" s="2" t="str">
        <f>Follow[[#This Row],[CODRASTREIO]]&amp;" B"</f>
        <v>CódRastreio584 B</v>
      </c>
      <c r="D274" s="52" t="str">
        <f>_xlfn.XLOOKUP(Follow[[#This Row],[Id Pedido]],Controle_Pedidos[Número Pedido Cliente],Controle_Pedidos[Loja])</f>
        <v>BV</v>
      </c>
      <c r="E274" s="9">
        <f>_xlfn.XLOOKUP(Follow[[#This Row],[Id Pedido]],Controle_Pedidos[Número Pedido Cliente],Controle_Pedidos[Prazo Entrega])</f>
        <v>45673</v>
      </c>
      <c r="F274" s="9" t="s">
        <v>19433</v>
      </c>
      <c r="G274" s="9" t="s">
        <v>37</v>
      </c>
      <c r="H274" s="52" t="s">
        <v>178</v>
      </c>
      <c r="I274" s="52" t="s">
        <v>178</v>
      </c>
      <c r="J274" s="55">
        <v>45656</v>
      </c>
      <c r="K274" s="52" t="s">
        <v>198</v>
      </c>
      <c r="L274" s="8" t="s">
        <v>124</v>
      </c>
      <c r="M274" s="8" t="s">
        <v>37</v>
      </c>
      <c r="N274" s="52" t="str">
        <f>IF(Follow[[#This Row],[DATAATUALIZAÇÃO]]&lt;=Follow[[#This Row],[Prev Entrega]],"Dentro do Prazo","Fora do Prazo")</f>
        <v>Dentro do Prazo</v>
      </c>
      <c r="O2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30/12/2024, referente ao pedido Nº Pedido 599 Rastreio Pedido 599, agradecemos a preferência e adoraríamos receber sua avaliação, tendo qualquer dúvida estamos à disposição.
Att
Tem tudo Shop</v>
      </c>
    </row>
    <row r="275" spans="1:15">
      <c r="A275" s="52" t="str">
        <f>_xlfn.XLOOKUP(Follow[[#This Row],[CODRASTREIO]],Controle_Pedidos[Cód Rastreamento],Controle_Pedidos[Número Pedido Cliente])</f>
        <v>Pedido 557</v>
      </c>
      <c r="B275" s="2" t="s">
        <v>17984</v>
      </c>
      <c r="C275" s="2" t="str">
        <f>Follow[[#This Row],[CODRASTREIO]]&amp;" B"</f>
        <v>CódRastreio542 B</v>
      </c>
      <c r="D275" s="52" t="str">
        <f>_xlfn.XLOOKUP(Follow[[#This Row],[Id Pedido]],Controle_Pedidos[Número Pedido Cliente],Controle_Pedidos[Loja])</f>
        <v>BV</v>
      </c>
      <c r="E275" s="9">
        <f>_xlfn.XLOOKUP(Follow[[#This Row],[Id Pedido]],Controle_Pedidos[Número Pedido Cliente],Controle_Pedidos[Prazo Entrega])</f>
        <v>45666</v>
      </c>
      <c r="F275" s="9" t="s">
        <v>19433</v>
      </c>
      <c r="G275" s="9" t="s">
        <v>37</v>
      </c>
      <c r="H275" s="52" t="s">
        <v>178</v>
      </c>
      <c r="I275" s="52" t="s">
        <v>178</v>
      </c>
      <c r="J275" s="55">
        <v>45644</v>
      </c>
      <c r="K275" s="52" t="s">
        <v>198</v>
      </c>
      <c r="L275" s="8" t="s">
        <v>124</v>
      </c>
      <c r="M275" s="8" t="s">
        <v>37</v>
      </c>
      <c r="N275" s="52" t="str">
        <f>IF(Follow[[#This Row],[DATAATUALIZAÇÃO]]&lt;=Follow[[#This Row],[Prev Entrega]],"Dentro do Prazo","Fora do Prazo")</f>
        <v>Dentro do Prazo</v>
      </c>
      <c r="O2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18/12/2024, referente ao pedido Nº Pedido 557 Rastreio Pedido 557, agradecemos a preferência e adoraríamos receber sua avaliação, tendo qualquer dúvida estamos à disposição.
Att
Tem tudo Shop</v>
      </c>
    </row>
    <row r="276" spans="1:15">
      <c r="A276" s="52" t="str">
        <f>_xlfn.XLOOKUP(Follow[[#This Row],[CODRASTREIO]],Controle_Pedidos[Cód Rastreamento],Controle_Pedidos[Número Pedido Cliente])</f>
        <v>Pedido 595</v>
      </c>
      <c r="B276" s="2" t="s">
        <v>18022</v>
      </c>
      <c r="C276" s="2" t="str">
        <f>Follow[[#This Row],[CODRASTREIO]]&amp;" B"</f>
        <v>CódRastreio580 B</v>
      </c>
      <c r="D276" s="52" t="str">
        <f>_xlfn.XLOOKUP(Follow[[#This Row],[Id Pedido]],Controle_Pedidos[Número Pedido Cliente],Controle_Pedidos[Loja])</f>
        <v>BV</v>
      </c>
      <c r="E276" s="9">
        <f>_xlfn.XLOOKUP(Follow[[#This Row],[Id Pedido]],Controle_Pedidos[Número Pedido Cliente],Controle_Pedidos[Prazo Entrega])</f>
        <v>45666</v>
      </c>
      <c r="F276" s="9" t="s">
        <v>19433</v>
      </c>
      <c r="G276" s="9" t="s">
        <v>37</v>
      </c>
      <c r="H276" s="52" t="s">
        <v>178</v>
      </c>
      <c r="I276" s="52" t="s">
        <v>178</v>
      </c>
      <c r="J276" s="55">
        <v>45656</v>
      </c>
      <c r="K276" s="52" t="s">
        <v>198</v>
      </c>
      <c r="L276" s="8" t="s">
        <v>124</v>
      </c>
      <c r="M276" s="8" t="s">
        <v>37</v>
      </c>
      <c r="N276" s="52" t="str">
        <f>IF(Follow[[#This Row],[DATAATUALIZAÇÃO]]&lt;=Follow[[#This Row],[Prev Entrega]],"Dentro do Prazo","Fora do Prazo")</f>
        <v>Dentro do Prazo</v>
      </c>
      <c r="O2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30/12/2024, referente ao pedido Nº Pedido 595 Rastreio Pedido 595, agradecemos a preferência e adoraríamos receber sua avaliação, tendo qualquer dúvida estamos à disposição.
Att
Tem tudo Shop</v>
      </c>
    </row>
    <row r="277" spans="1:15">
      <c r="A277" s="52" t="str">
        <f>_xlfn.XLOOKUP(Follow[[#This Row],[CODRASTREIO]],Controle_Pedidos[Cód Rastreamento],Controle_Pedidos[Número Pedido Cliente])</f>
        <v>Pedido 373</v>
      </c>
      <c r="B277" s="2" t="s">
        <v>17805</v>
      </c>
      <c r="C277" s="2" t="str">
        <f>Follow[[#This Row],[CODRASTREIO]]&amp;" B"</f>
        <v>CódRastreio363 B</v>
      </c>
      <c r="D277" s="52" t="str">
        <f>_xlfn.XLOOKUP(Follow[[#This Row],[Id Pedido]],Controle_Pedidos[Número Pedido Cliente],Controle_Pedidos[Loja])</f>
        <v>BV</v>
      </c>
      <c r="E277" s="9">
        <f>_xlfn.XLOOKUP(Follow[[#This Row],[Id Pedido]],Controle_Pedidos[Número Pedido Cliente],Controle_Pedidos[Prazo Entrega])</f>
        <v>45633</v>
      </c>
      <c r="F277" s="9" t="s">
        <v>19433</v>
      </c>
      <c r="G277" s="9" t="s">
        <v>37</v>
      </c>
      <c r="H277" s="52" t="s">
        <v>178</v>
      </c>
      <c r="I277" s="52" t="s">
        <v>178</v>
      </c>
      <c r="J277" s="55">
        <v>45623</v>
      </c>
      <c r="K277" s="54" t="s">
        <v>198</v>
      </c>
      <c r="L277" s="8" t="s">
        <v>124</v>
      </c>
      <c r="M277" s="8" t="s">
        <v>37</v>
      </c>
      <c r="N277" s="52" t="str">
        <f>IF(Follow[[#This Row],[DATAATUALIZAÇÃO]]&lt;=Follow[[#This Row],[Prev Entrega]],"Dentro do Prazo","Fora do Prazo")</f>
        <v>Dentro do Prazo</v>
      </c>
      <c r="O2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27/11/2024, referente ao pedido Nº Pedido 373 Rastreio Pedido 373, agradecemos a preferência e adoraríamos receber sua avaliação, tendo qualquer dúvida estamos à disposição.
Att
Tem tudo Shop</v>
      </c>
    </row>
    <row r="278" spans="1:15">
      <c r="A278" s="52" t="str">
        <f>_xlfn.XLOOKUP(Follow[[#This Row],[CODRASTREIO]],Controle_Pedidos[Cód Rastreamento],Controle_Pedidos[Número Pedido Cliente])</f>
        <v>Pedido 111</v>
      </c>
      <c r="B278" s="2" t="s">
        <v>17546</v>
      </c>
      <c r="C278" s="2" t="str">
        <f>Follow[[#This Row],[CODRASTREIO]]&amp;" B"</f>
        <v>CódRastreio104 B</v>
      </c>
      <c r="D278" s="52" t="str">
        <f>_xlfn.XLOOKUP(Follow[[#This Row],[Id Pedido]],Controle_Pedidos[Número Pedido Cliente],Controle_Pedidos[Loja])</f>
        <v>BV</v>
      </c>
      <c r="E278" s="9">
        <f>_xlfn.XLOOKUP(Follow[[#This Row],[Id Pedido]],Controle_Pedidos[Número Pedido Cliente],Controle_Pedidos[Prazo Entrega])</f>
        <v>45608</v>
      </c>
      <c r="F278" s="9" t="s">
        <v>19433</v>
      </c>
      <c r="G278" s="9" t="s">
        <v>37</v>
      </c>
      <c r="H278" s="52" t="s">
        <v>178</v>
      </c>
      <c r="I278" s="52" t="s">
        <v>178</v>
      </c>
      <c r="J278" s="55">
        <v>45595</v>
      </c>
      <c r="K278" s="54" t="s">
        <v>198</v>
      </c>
      <c r="L278" s="8" t="s">
        <v>124</v>
      </c>
      <c r="M278" s="8" t="s">
        <v>37</v>
      </c>
      <c r="N278" s="52" t="str">
        <f>IF(Follow[[#This Row],[DATAATUALIZAÇÃO]]&lt;=Follow[[#This Row],[Prev Entrega]],"Dentro do Prazo","Fora do Prazo")</f>
        <v>Dentro do Prazo</v>
      </c>
      <c r="O2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111 Rastreio Pedido 111, agradecemos a preferência e adoraríamos receber sua avaliação, tendo qualquer dúvida estamos à disposição.
Att
Tem tudo Shop</v>
      </c>
    </row>
    <row r="279" spans="1:15">
      <c r="A279" s="52" t="str">
        <f>_xlfn.XLOOKUP(Follow[[#This Row],[CODRASTREIO]],Controle_Pedidos[Cód Rastreamento],Controle_Pedidos[Número Pedido Cliente])</f>
        <v>Pedido 312</v>
      </c>
      <c r="B279" s="2" t="s">
        <v>17747</v>
      </c>
      <c r="C279" s="2" t="str">
        <f>Follow[[#This Row],[CODRASTREIO]]&amp;" B"</f>
        <v>CódRastreio305 B</v>
      </c>
      <c r="D279" s="52" t="str">
        <f>_xlfn.XLOOKUP(Follow[[#This Row],[Id Pedido]],Controle_Pedidos[Número Pedido Cliente],Controle_Pedidos[Loja])</f>
        <v>BV</v>
      </c>
      <c r="E279" s="9">
        <f>_xlfn.XLOOKUP(Follow[[#This Row],[Id Pedido]],Controle_Pedidos[Número Pedido Cliente],Controle_Pedidos[Prazo Entrega])</f>
        <v>45632</v>
      </c>
      <c r="F279" s="9" t="s">
        <v>19433</v>
      </c>
      <c r="G279" s="9" t="s">
        <v>37</v>
      </c>
      <c r="H279" s="52" t="s">
        <v>178</v>
      </c>
      <c r="I279" s="52" t="s">
        <v>178</v>
      </c>
      <c r="J279" s="55">
        <v>45615</v>
      </c>
      <c r="K279" s="54" t="s">
        <v>198</v>
      </c>
      <c r="L279" s="8" t="s">
        <v>124</v>
      </c>
      <c r="M279" s="8" t="s">
        <v>37</v>
      </c>
      <c r="N279" s="52" t="str">
        <f>IF(Follow[[#This Row],[DATAATUALIZAÇÃO]]&lt;=Follow[[#This Row],[Prev Entrega]],"Dentro do Prazo","Fora do Prazo")</f>
        <v>Dentro do Prazo</v>
      </c>
      <c r="O2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19/11/2024, referente ao pedido Nº Pedido 312 Rastreio Pedido 312, agradecemos a preferência e adoraríamos receber sua avaliação, tendo qualquer dúvida estamos à disposição.
Att
Tem tudo Shop</v>
      </c>
    </row>
    <row r="280" spans="1:15">
      <c r="A280" s="52" t="str">
        <f>_xlfn.XLOOKUP(Follow[[#This Row],[CODRASTREIO]],Controle_Pedidos[Cód Rastreamento],Controle_Pedidos[Número Pedido Cliente])</f>
        <v>Pedido 193</v>
      </c>
      <c r="B280" s="2" t="s">
        <v>17628</v>
      </c>
      <c r="C280" s="2" t="str">
        <f>Follow[[#This Row],[CODRASTREIO]]&amp;" B"</f>
        <v>CódRastreio186 B</v>
      </c>
      <c r="D280" s="52" t="str">
        <f>_xlfn.XLOOKUP(Follow[[#This Row],[Id Pedido]],Controle_Pedidos[Número Pedido Cliente],Controle_Pedidos[Loja])</f>
        <v>BV</v>
      </c>
      <c r="E280" s="9">
        <f>_xlfn.XLOOKUP(Follow[[#This Row],[Id Pedido]],Controle_Pedidos[Número Pedido Cliente],Controle_Pedidos[Prazo Entrega])</f>
        <v>45605</v>
      </c>
      <c r="F280" s="9" t="s">
        <v>19433</v>
      </c>
      <c r="G280" s="9" t="s">
        <v>37</v>
      </c>
      <c r="H280" s="52" t="s">
        <v>178</v>
      </c>
      <c r="I280" s="52" t="s">
        <v>178</v>
      </c>
      <c r="J280" s="55">
        <v>45601</v>
      </c>
      <c r="K280" s="54" t="s">
        <v>198</v>
      </c>
      <c r="L280" s="8" t="s">
        <v>124</v>
      </c>
      <c r="M280" s="8" t="s">
        <v>37</v>
      </c>
      <c r="N280" s="52" t="str">
        <f>IF(Follow[[#This Row],[DATAATUALIZAÇÃO]]&lt;=Follow[[#This Row],[Prev Entrega]],"Dentro do Prazo","Fora do Prazo")</f>
        <v>Dentro do Prazo</v>
      </c>
      <c r="O2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193 Rastreio Pedido 193, agradecemos a preferência e adoraríamos receber sua avaliação, tendo qualquer dúvida estamos à disposição.
Att
Tem tudo Shop</v>
      </c>
    </row>
    <row r="281" spans="1:15">
      <c r="A281" s="52" t="str">
        <f>_xlfn.XLOOKUP(Follow[[#This Row],[CODRASTREIO]],Controle_Pedidos[Cód Rastreamento],Controle_Pedidos[Número Pedido Cliente])</f>
        <v>Pedido 375</v>
      </c>
      <c r="B281" s="2" t="s">
        <v>17807</v>
      </c>
      <c r="C281" s="2" t="str">
        <f>Follow[[#This Row],[CODRASTREIO]]&amp;" B"</f>
        <v>CódRastreio365 B</v>
      </c>
      <c r="D281" s="52" t="str">
        <f>_xlfn.XLOOKUP(Follow[[#This Row],[Id Pedido]],Controle_Pedidos[Número Pedido Cliente],Controle_Pedidos[Loja])</f>
        <v>BV</v>
      </c>
      <c r="E281" s="9">
        <f>_xlfn.XLOOKUP(Follow[[#This Row],[Id Pedido]],Controle_Pedidos[Número Pedido Cliente],Controle_Pedidos[Prazo Entrega])</f>
        <v>45633</v>
      </c>
      <c r="F281" s="9" t="s">
        <v>19433</v>
      </c>
      <c r="G281" s="9" t="s">
        <v>37</v>
      </c>
      <c r="H281" s="52" t="s">
        <v>178</v>
      </c>
      <c r="I281" s="52" t="s">
        <v>178</v>
      </c>
      <c r="J281" s="55">
        <v>45619</v>
      </c>
      <c r="K281" s="54" t="s">
        <v>198</v>
      </c>
      <c r="L281" s="8" t="s">
        <v>124</v>
      </c>
      <c r="M281" s="8" t="s">
        <v>37</v>
      </c>
      <c r="N281" s="52" t="str">
        <f>IF(Follow[[#This Row],[DATAATUALIZAÇÃO]]&lt;=Follow[[#This Row],[Prev Entrega]],"Dentro do Prazo","Fora do Prazo")</f>
        <v>Dentro do Prazo</v>
      </c>
      <c r="O2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23/11/2024, referente ao pedido Nº Pedido 375 Rastreio Pedido 375, agradecemos a preferência e adoraríamos receber sua avaliação, tendo qualquer dúvida estamos à disposição.
Att
Tem tudo Shop</v>
      </c>
    </row>
    <row r="282" spans="1:15">
      <c r="A282" s="52" t="str">
        <f>_xlfn.XLOOKUP(Follow[[#This Row],[CODRASTREIO]],Controle_Pedidos[Cód Rastreamento],Controle_Pedidos[Número Pedido Cliente])</f>
        <v>Pedido 393</v>
      </c>
      <c r="B282" s="2" t="s">
        <v>17825</v>
      </c>
      <c r="C282" s="2" t="str">
        <f>Follow[[#This Row],[CODRASTREIO]]&amp;" B"</f>
        <v>CódRastreio383 B</v>
      </c>
      <c r="D282" s="52" t="str">
        <f>_xlfn.XLOOKUP(Follow[[#This Row],[Id Pedido]],Controle_Pedidos[Número Pedido Cliente],Controle_Pedidos[Loja])</f>
        <v>BV</v>
      </c>
      <c r="E282" s="9">
        <f>_xlfn.XLOOKUP(Follow[[#This Row],[Id Pedido]],Controle_Pedidos[Número Pedido Cliente],Controle_Pedidos[Prazo Entrega])</f>
        <v>45636</v>
      </c>
      <c r="F282" s="9" t="s">
        <v>19433</v>
      </c>
      <c r="G282" s="9" t="s">
        <v>37</v>
      </c>
      <c r="H282" s="52" t="s">
        <v>179</v>
      </c>
      <c r="I282" s="52" t="s">
        <v>178</v>
      </c>
      <c r="J282" s="55">
        <v>45629</v>
      </c>
      <c r="K282" s="54" t="s">
        <v>198</v>
      </c>
      <c r="L282" s="8" t="s">
        <v>124</v>
      </c>
      <c r="M282" s="8" t="s">
        <v>37</v>
      </c>
      <c r="N282" s="52" t="str">
        <f>IF(Follow[[#This Row],[DATAATUALIZAÇÃO]]&lt;=Follow[[#This Row],[Prev Entrega]],"Dentro do Prazo","Fora do Prazo")</f>
        <v>Dentro do Prazo</v>
      </c>
      <c r="O2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03/12/2024, referente ao pedido Nº Pedido 393 Rastreio Pedido 393, agradecemos a preferência e adoraríamos receber sua avaliação, tendo qualquer dúvida estamos à disposição.
Att
Tem tudo Shop</v>
      </c>
    </row>
    <row r="283" spans="1:15">
      <c r="A283" s="52" t="str">
        <f>_xlfn.XLOOKUP(Follow[[#This Row],[CODRASTREIO]],Controle_Pedidos[Cód Rastreamento],Controle_Pedidos[Número Pedido Cliente])</f>
        <v>Pedido 390</v>
      </c>
      <c r="B283" s="2" t="s">
        <v>17822</v>
      </c>
      <c r="C283" s="2" t="str">
        <f>Follow[[#This Row],[CODRASTREIO]]&amp;" B"</f>
        <v>CódRastreio380 B</v>
      </c>
      <c r="D283" s="52" t="str">
        <f>_xlfn.XLOOKUP(Follow[[#This Row],[Id Pedido]],Controle_Pedidos[Número Pedido Cliente],Controle_Pedidos[Loja])</f>
        <v>BV</v>
      </c>
      <c r="E283" s="9">
        <f>_xlfn.XLOOKUP(Follow[[#This Row],[Id Pedido]],Controle_Pedidos[Número Pedido Cliente],Controle_Pedidos[Prazo Entrega])</f>
        <v>45636</v>
      </c>
      <c r="F283" s="9" t="s">
        <v>19433</v>
      </c>
      <c r="G283" s="9" t="s">
        <v>37</v>
      </c>
      <c r="H283" s="52" t="s">
        <v>179</v>
      </c>
      <c r="I283" s="52" t="s">
        <v>178</v>
      </c>
      <c r="J283" s="55">
        <v>45629</v>
      </c>
      <c r="K283" s="54" t="s">
        <v>198</v>
      </c>
      <c r="L283" s="8" t="s">
        <v>124</v>
      </c>
      <c r="M283" s="8" t="s">
        <v>37</v>
      </c>
      <c r="N283" s="52" t="str">
        <f>IF(Follow[[#This Row],[DATAATUALIZAÇÃO]]&lt;=Follow[[#This Row],[Prev Entrega]],"Dentro do Prazo","Fora do Prazo")</f>
        <v>Dentro do Prazo</v>
      </c>
      <c r="O2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03/12/2024, referente ao pedido Nº Pedido 390 Rastreio Pedido 390, agradecemos a preferência e adoraríamos receber sua avaliação, tendo qualquer dúvida estamos à disposição.
Att
Tem tudo Shop</v>
      </c>
    </row>
    <row r="284" spans="1:15">
      <c r="A284" s="52" t="str">
        <f>_xlfn.XLOOKUP(Follow[[#This Row],[CODRASTREIO]],Controle_Pedidos[Cód Rastreamento],Controle_Pedidos[Número Pedido Cliente])</f>
        <v>Pedido 382</v>
      </c>
      <c r="B284" s="2" t="s">
        <v>17814</v>
      </c>
      <c r="C284" s="2" t="str">
        <f>Follow[[#This Row],[CODRASTREIO]]&amp;" B"</f>
        <v>CódRastreio372 B</v>
      </c>
      <c r="D284" s="52" t="str">
        <f>_xlfn.XLOOKUP(Follow[[#This Row],[Id Pedido]],Controle_Pedidos[Número Pedido Cliente],Controle_Pedidos[Loja])</f>
        <v>BV</v>
      </c>
      <c r="E284" s="9">
        <f>_xlfn.XLOOKUP(Follow[[#This Row],[Id Pedido]],Controle_Pedidos[Número Pedido Cliente],Controle_Pedidos[Prazo Entrega])</f>
        <v>45636</v>
      </c>
      <c r="F284" s="9" t="s">
        <v>19433</v>
      </c>
      <c r="G284" s="9" t="s">
        <v>37</v>
      </c>
      <c r="H284" s="52" t="s">
        <v>178</v>
      </c>
      <c r="I284" s="52" t="s">
        <v>178</v>
      </c>
      <c r="J284" s="55">
        <v>45621</v>
      </c>
      <c r="K284" s="54" t="s">
        <v>198</v>
      </c>
      <c r="L284" s="8" t="s">
        <v>124</v>
      </c>
      <c r="M284" s="8" t="s">
        <v>37</v>
      </c>
      <c r="N284" s="52" t="str">
        <f>IF(Follow[[#This Row],[DATAATUALIZAÇÃO]]&lt;=Follow[[#This Row],[Prev Entrega]],"Dentro do Prazo","Fora do Prazo")</f>
        <v>Dentro do Prazo</v>
      </c>
      <c r="O2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25/11/2024, referente ao pedido Nº Pedido 382 Rastreio Pedido 382, agradecemos a preferência e adoraríamos receber sua avaliação, tendo qualquer dúvida estamos à disposição.
Att
Tem tudo Shop</v>
      </c>
    </row>
    <row r="285" spans="1:15">
      <c r="A285" s="52" t="str">
        <f>_xlfn.XLOOKUP(Follow[[#This Row],[CODRASTREIO]],Controle_Pedidos[Cód Rastreamento],Controle_Pedidos[Número Pedido Cliente])</f>
        <v>Pedido 652</v>
      </c>
      <c r="B285" s="2" t="s">
        <v>18075</v>
      </c>
      <c r="C285" s="2" t="str">
        <f>Follow[[#This Row],[CODRASTREIO]]&amp;" B"</f>
        <v>CódRastreio633 B</v>
      </c>
      <c r="D285" s="52" t="str">
        <f>_xlfn.XLOOKUP(Follow[[#This Row],[Id Pedido]],Controle_Pedidos[Número Pedido Cliente],Controle_Pedidos[Loja])</f>
        <v>BV</v>
      </c>
      <c r="E285" s="9">
        <f>_xlfn.XLOOKUP(Follow[[#This Row],[Id Pedido]],Controle_Pedidos[Número Pedido Cliente],Controle_Pedidos[Prazo Entrega])</f>
        <v>45678</v>
      </c>
      <c r="F285" s="9" t="s">
        <v>19433</v>
      </c>
      <c r="G285" s="9" t="s">
        <v>37</v>
      </c>
      <c r="H285" s="52" t="s">
        <v>179</v>
      </c>
      <c r="I285" s="52" t="s">
        <v>178</v>
      </c>
      <c r="J285" s="55">
        <v>45665</v>
      </c>
      <c r="K285" s="52" t="s">
        <v>198</v>
      </c>
      <c r="L285" s="8" t="s">
        <v>124</v>
      </c>
      <c r="M285" s="8" t="s">
        <v>37</v>
      </c>
      <c r="N285" s="52" t="str">
        <f>IF(Follow[[#This Row],[DATAATUALIZAÇÃO]]&lt;=Follow[[#This Row],[Prev Entrega]],"Dentro do Prazo","Fora do Prazo")</f>
        <v>Dentro do Prazo</v>
      </c>
      <c r="O2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652 Rastreio Pedido 652, agradecemos a preferência e adoraríamos receber sua avaliação, tendo qualquer dúvida estamos à disposição.
Att
Tem tudo Shop</v>
      </c>
    </row>
    <row r="286" spans="1:15">
      <c r="A286" s="52" t="str">
        <f>_xlfn.XLOOKUP(Follow[[#This Row],[CODRASTREIO]],Controle_Pedidos[Cód Rastreamento],Controle_Pedidos[Número Pedido Cliente])</f>
        <v>Pedido 136</v>
      </c>
      <c r="B286" s="2" t="s">
        <v>17571</v>
      </c>
      <c r="C286" s="2" t="str">
        <f>Follow[[#This Row],[CODRASTREIO]]&amp;" B"</f>
        <v>CódRastreio129 B</v>
      </c>
      <c r="D286" s="52" t="str">
        <f>_xlfn.XLOOKUP(Follow[[#This Row],[Id Pedido]],Controle_Pedidos[Número Pedido Cliente],Controle_Pedidos[Loja])</f>
        <v>BV</v>
      </c>
      <c r="E286" s="9">
        <f>_xlfn.XLOOKUP(Follow[[#This Row],[Id Pedido]],Controle_Pedidos[Número Pedido Cliente],Controle_Pedidos[Prazo Entrega])</f>
        <v>45618</v>
      </c>
      <c r="F286" s="9" t="s">
        <v>19433</v>
      </c>
      <c r="G286" s="9" t="s">
        <v>37</v>
      </c>
      <c r="H286" s="52" t="s">
        <v>178</v>
      </c>
      <c r="I286" s="52" t="s">
        <v>178</v>
      </c>
      <c r="J286" s="55">
        <v>45626</v>
      </c>
      <c r="K286" s="54" t="s">
        <v>198</v>
      </c>
      <c r="L286" s="8" t="s">
        <v>124</v>
      </c>
      <c r="M286" s="59" t="s">
        <v>202</v>
      </c>
      <c r="N286" s="52" t="str">
        <f>IF(Follow[[#This Row],[DATAATUALIZAÇÃO]]&lt;=Follow[[#This Row],[Prev Entrega]],"Dentro do Prazo","Fora do Prazo")</f>
        <v>Fora do Prazo</v>
      </c>
      <c r="O286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30/11/2024, referente ao pedido Nº Pedido 136 Rastreio Pedido 136, agradecemos a preferência e adoraríamos receber sua avaliação, tendo qualquer dúvida estamos à disposição.
Att
Tem tudo Shop</v>
      </c>
    </row>
    <row r="287" spans="1:15">
      <c r="A287" s="52" t="str">
        <f>_xlfn.XLOOKUP(Follow[[#This Row],[CODRASTREIO]],Controle_Pedidos[Cód Rastreamento],Controle_Pedidos[Número Pedido Cliente])</f>
        <v>Pedido 200</v>
      </c>
      <c r="B287" s="2" t="s">
        <v>17635</v>
      </c>
      <c r="C287" s="2" t="str">
        <f>Follow[[#This Row],[CODRASTREIO]]&amp;" B"</f>
        <v>CódRastreio193 B</v>
      </c>
      <c r="D287" s="52" t="str">
        <f>_xlfn.XLOOKUP(Follow[[#This Row],[Id Pedido]],Controle_Pedidos[Número Pedido Cliente],Controle_Pedidos[Loja])</f>
        <v>BV</v>
      </c>
      <c r="E287" s="9">
        <f>_xlfn.XLOOKUP(Follow[[#This Row],[Id Pedido]],Controle_Pedidos[Número Pedido Cliente],Controle_Pedidos[Prazo Entrega])</f>
        <v>45618</v>
      </c>
      <c r="F287" s="9" t="s">
        <v>19433</v>
      </c>
      <c r="G287" s="9" t="s">
        <v>37</v>
      </c>
      <c r="H287" s="52" t="s">
        <v>178</v>
      </c>
      <c r="I287" s="52" t="s">
        <v>178</v>
      </c>
      <c r="J287" s="55">
        <v>45602</v>
      </c>
      <c r="K287" s="54" t="s">
        <v>198</v>
      </c>
      <c r="L287" s="8" t="s">
        <v>124</v>
      </c>
      <c r="M287" s="8" t="s">
        <v>37</v>
      </c>
      <c r="N287" s="52" t="str">
        <f>IF(Follow[[#This Row],[DATAATUALIZAÇÃO]]&lt;=Follow[[#This Row],[Prev Entrega]],"Dentro do Prazo","Fora do Prazo")</f>
        <v>Dentro do Prazo</v>
      </c>
      <c r="O2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06/11/2024, referente ao pedido Nº Pedido 200 Rastreio Pedido 200, agradecemos a preferência e adoraríamos receber sua avaliação, tendo qualquer dúvida estamos à disposição.
Att
Tem tudo Shop</v>
      </c>
    </row>
    <row r="288" spans="1:15">
      <c r="A288" s="52" t="str">
        <f>_xlfn.XLOOKUP(Follow[[#This Row],[CODRASTREIO]],Controle_Pedidos[Cód Rastreamento],Controle_Pedidos[Número Pedido Cliente])</f>
        <v>Pedido 452</v>
      </c>
      <c r="B288" s="2" t="s">
        <v>17879</v>
      </c>
      <c r="C288" s="2" t="str">
        <f>Follow[[#This Row],[CODRASTREIO]]&amp;" B"</f>
        <v>CódRastreio437 B</v>
      </c>
      <c r="D288" s="52" t="str">
        <f>_xlfn.XLOOKUP(Follow[[#This Row],[Id Pedido]],Controle_Pedidos[Número Pedido Cliente],Controle_Pedidos[Loja])</f>
        <v>BV</v>
      </c>
      <c r="E288" s="9">
        <f>_xlfn.XLOOKUP(Follow[[#This Row],[Id Pedido]],Controle_Pedidos[Número Pedido Cliente],Controle_Pedidos[Prazo Entrega])</f>
        <v>45644</v>
      </c>
      <c r="F288" s="9" t="s">
        <v>19433</v>
      </c>
      <c r="G288" s="9" t="s">
        <v>37</v>
      </c>
      <c r="H288" s="55" t="s">
        <v>179</v>
      </c>
      <c r="I288" s="55" t="s">
        <v>178</v>
      </c>
      <c r="J288" s="55">
        <v>45636</v>
      </c>
      <c r="K288" s="52" t="s">
        <v>198</v>
      </c>
      <c r="L288" s="8" t="s">
        <v>124</v>
      </c>
      <c r="M288" s="8" t="s">
        <v>37</v>
      </c>
      <c r="N288" s="52" t="str">
        <f>IF(Follow[[#This Row],[DATAATUALIZAÇÃO]]&lt;=Follow[[#This Row],[Prev Entrega]],"Dentro do Prazo","Fora do Prazo")</f>
        <v>Dentro do Prazo</v>
      </c>
      <c r="O28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Branco foi entregue no dia 10/12/2024, referente ao pedido Nº Pedido 452 Rastreio Pedido 452, agradecemos a preferência e adoraríamos receber sua avaliação, tendo qualquer dúvida estamos à disposição.
Att
Tem tudo Shop</v>
      </c>
    </row>
    <row r="289" spans="1:15">
      <c r="A289" s="52" t="str">
        <f>_xlfn.XLOOKUP(Follow[[#This Row],[CODRASTREIO]],Controle_Pedidos[Cód Rastreamento],Controle_Pedidos[Número Pedido Cliente])</f>
        <v>Pedido 307</v>
      </c>
      <c r="B289" s="2" t="s">
        <v>17742</v>
      </c>
      <c r="C289" s="2" t="str">
        <f>Follow[[#This Row],[CODRASTREIO]]&amp;" B"</f>
        <v>CódRastreio300 B</v>
      </c>
      <c r="D289" s="52" t="str">
        <f>_xlfn.XLOOKUP(Follow[[#This Row],[Id Pedido]],Controle_Pedidos[Número Pedido Cliente],Controle_Pedidos[Loja])</f>
        <v>BV</v>
      </c>
      <c r="E289" s="9">
        <f>_xlfn.XLOOKUP(Follow[[#This Row],[Id Pedido]],Controle_Pedidos[Número Pedido Cliente],Controle_Pedidos[Prazo Entrega])</f>
        <v>45632</v>
      </c>
      <c r="F289" s="9" t="s">
        <v>19433</v>
      </c>
      <c r="G289" s="9" t="s">
        <v>37</v>
      </c>
      <c r="H289" s="52" t="s">
        <v>178</v>
      </c>
      <c r="I289" s="52" t="s">
        <v>178</v>
      </c>
      <c r="J289" s="55">
        <v>45624</v>
      </c>
      <c r="K289" s="54" t="s">
        <v>198</v>
      </c>
      <c r="L289" s="8" t="s">
        <v>124</v>
      </c>
      <c r="M289" s="8" t="s">
        <v>37</v>
      </c>
      <c r="N289" s="52" t="str">
        <f>IF(Follow[[#This Row],[DATAATUALIZAÇÃO]]&lt;=Follow[[#This Row],[Prev Entrega]],"Dentro do Prazo","Fora do Prazo")</f>
        <v>Dentro do Prazo</v>
      </c>
      <c r="O2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28/11/2024, referente ao pedido Nº Pedido 307 Rastreio Pedido 307, agradecemos a preferência e adoraríamos receber sua avaliação, tendo qualquer dúvida estamos à disposição.
Att
Tem tudo Shop</v>
      </c>
    </row>
    <row r="290" spans="1:15">
      <c r="A290" s="52" t="str">
        <f>_xlfn.XLOOKUP(Follow[[#This Row],[CODRASTREIO]],Controle_Pedidos[Cód Rastreamento],Controle_Pedidos[Número Pedido Cliente])</f>
        <v>Pedido 566</v>
      </c>
      <c r="B290" s="2" t="s">
        <v>17993</v>
      </c>
      <c r="C290" s="2" t="str">
        <f>Follow[[#This Row],[CODRASTREIO]]&amp;" B"</f>
        <v>CódRastreio551 B</v>
      </c>
      <c r="D290" s="52" t="str">
        <f>_xlfn.XLOOKUP(Follow[[#This Row],[Id Pedido]],Controle_Pedidos[Número Pedido Cliente],Controle_Pedidos[Loja])</f>
        <v>BV</v>
      </c>
      <c r="E290" s="9">
        <f>_xlfn.XLOOKUP(Follow[[#This Row],[Id Pedido]],Controle_Pedidos[Número Pedido Cliente],Controle_Pedidos[Prazo Entrega])</f>
        <v>45666</v>
      </c>
      <c r="F290" s="9" t="s">
        <v>19433</v>
      </c>
      <c r="G290" s="9" t="s">
        <v>37</v>
      </c>
      <c r="H290" s="52" t="s">
        <v>178</v>
      </c>
      <c r="I290" s="52" t="s">
        <v>178</v>
      </c>
      <c r="J290" s="55">
        <v>45645</v>
      </c>
      <c r="K290" s="52" t="s">
        <v>198</v>
      </c>
      <c r="L290" s="8" t="s">
        <v>124</v>
      </c>
      <c r="M290" s="8" t="s">
        <v>37</v>
      </c>
      <c r="N290" s="52" t="str">
        <f>IF(Follow[[#This Row],[DATAATUALIZAÇÃO]]&lt;=Follow[[#This Row],[Prev Entrega]],"Dentro do Prazo","Fora do Prazo")</f>
        <v>Dentro do Prazo</v>
      </c>
      <c r="O2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19/12/2024, referente ao pedido Nº Pedido 566 Rastreio Pedido 566, agradecemos a preferência e adoraríamos receber sua avaliação, tendo qualquer dúvida estamos à disposição.
Att
Tem tudo Shop</v>
      </c>
    </row>
    <row r="291" spans="1:15">
      <c r="A291" s="52" t="str">
        <f>_xlfn.XLOOKUP(Follow[[#This Row],[CODRASTREIO]],Controle_Pedidos[Cód Rastreamento],Controle_Pedidos[Número Pedido Cliente])</f>
        <v>Pedido 201</v>
      </c>
      <c r="B291" s="2" t="s">
        <v>17636</v>
      </c>
      <c r="C291" s="2" t="str">
        <f>Follow[[#This Row],[CODRASTREIO]]&amp;" B"</f>
        <v>CódRastreio194 B</v>
      </c>
      <c r="D291" s="52" t="str">
        <f>_xlfn.XLOOKUP(Follow[[#This Row],[Id Pedido]],Controle_Pedidos[Número Pedido Cliente],Controle_Pedidos[Loja])</f>
        <v>BV</v>
      </c>
      <c r="E291" s="9">
        <f>_xlfn.XLOOKUP(Follow[[#This Row],[Id Pedido]],Controle_Pedidos[Número Pedido Cliente],Controle_Pedidos[Prazo Entrega])</f>
        <v>45615</v>
      </c>
      <c r="F291" s="9" t="s">
        <v>19433</v>
      </c>
      <c r="G291" s="9" t="s">
        <v>37</v>
      </c>
      <c r="H291" s="52" t="s">
        <v>178</v>
      </c>
      <c r="I291" s="52" t="s">
        <v>178</v>
      </c>
      <c r="J291" s="55">
        <v>45602</v>
      </c>
      <c r="K291" s="54" t="s">
        <v>198</v>
      </c>
      <c r="L291" s="8" t="s">
        <v>124</v>
      </c>
      <c r="M291" s="8" t="s">
        <v>37</v>
      </c>
      <c r="N291" s="52" t="str">
        <f>IF(Follow[[#This Row],[DATAATUALIZAÇÃO]]&lt;=Follow[[#This Row],[Prev Entrega]],"Dentro do Prazo","Fora do Prazo")</f>
        <v>Dentro do Prazo</v>
      </c>
      <c r="O2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06/11/2024, referente ao pedido Nº Pedido 201 Rastreio Pedido 201, agradecemos a preferência e adoraríamos receber sua avaliação, tendo qualquer dúvida estamos à disposição.
Att
Tem tudo Shop</v>
      </c>
    </row>
    <row r="292" spans="1:15">
      <c r="A292" s="52" t="str">
        <f>_xlfn.XLOOKUP(Follow[[#This Row],[CODRASTREIO]],Controle_Pedidos[Cód Rastreamento],Controle_Pedidos[Número Pedido Cliente])</f>
        <v>Pedido 321</v>
      </c>
      <c r="B292" s="2" t="s">
        <v>17756</v>
      </c>
      <c r="C292" s="2" t="str">
        <f>Follow[[#This Row],[CODRASTREIO]]&amp;" B"</f>
        <v>CódRastreio314 B</v>
      </c>
      <c r="D292" s="52" t="str">
        <f>_xlfn.XLOOKUP(Follow[[#This Row],[Id Pedido]],Controle_Pedidos[Número Pedido Cliente],Controle_Pedidos[Loja])</f>
        <v>BV</v>
      </c>
      <c r="E292" s="9">
        <f>_xlfn.XLOOKUP(Follow[[#This Row],[Id Pedido]],Controle_Pedidos[Número Pedido Cliente],Controle_Pedidos[Prazo Entrega])</f>
        <v>45633</v>
      </c>
      <c r="F292" s="9" t="s">
        <v>19433</v>
      </c>
      <c r="G292" s="9" t="s">
        <v>37</v>
      </c>
      <c r="H292" s="52" t="s">
        <v>179</v>
      </c>
      <c r="I292" s="52" t="s">
        <v>178</v>
      </c>
      <c r="J292" s="55">
        <v>45620</v>
      </c>
      <c r="K292" s="52" t="s">
        <v>198</v>
      </c>
      <c r="L292" s="8" t="s">
        <v>124</v>
      </c>
      <c r="M292" s="8" t="s">
        <v>104</v>
      </c>
      <c r="N292" s="52" t="str">
        <f>IF(Follow[[#This Row],[DATAATUALIZAÇÃO]]&lt;=Follow[[#This Row],[Prev Entrega]],"Dentro do Prazo","Fora do Prazo")</f>
        <v>Dentro do Prazo</v>
      </c>
      <c r="O29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24/11/2024, referente ao pedido Nº Pedido 321 Rastreio Pedido 321, agradecemos a preferência e adoraríamos receber sua avaliação, tendo qualquer dúvida estamos à disposição.
Att
Tem tudo Shop</v>
      </c>
    </row>
    <row r="293" spans="1:15">
      <c r="A293" s="52" t="str">
        <f>_xlfn.XLOOKUP(Follow[[#This Row],[CODRASTREIO]],Controle_Pedidos[Cód Rastreamento],Controle_Pedidos[Número Pedido Cliente])</f>
        <v>Pedido 272</v>
      </c>
      <c r="B293" s="2" t="s">
        <v>17707</v>
      </c>
      <c r="C293" s="2" t="str">
        <f>Follow[[#This Row],[CODRASTREIO]]&amp;" B"</f>
        <v>CódRastreio265 B</v>
      </c>
      <c r="D293" s="52" t="str">
        <f>_xlfn.XLOOKUP(Follow[[#This Row],[Id Pedido]],Controle_Pedidos[Número Pedido Cliente],Controle_Pedidos[Loja])</f>
        <v>BV</v>
      </c>
      <c r="E293" s="9">
        <f>_xlfn.XLOOKUP(Follow[[#This Row],[Id Pedido]],Controle_Pedidos[Número Pedido Cliente],Controle_Pedidos[Prazo Entrega])</f>
        <v>45630</v>
      </c>
      <c r="F293" s="9" t="s">
        <v>19433</v>
      </c>
      <c r="G293" s="9" t="s">
        <v>37</v>
      </c>
      <c r="H293" s="52" t="s">
        <v>178</v>
      </c>
      <c r="I293" s="52" t="s">
        <v>178</v>
      </c>
      <c r="J293" s="55">
        <v>45624</v>
      </c>
      <c r="K293" s="54" t="s">
        <v>198</v>
      </c>
      <c r="L293" s="8" t="s">
        <v>124</v>
      </c>
      <c r="M293" s="8" t="s">
        <v>37</v>
      </c>
      <c r="N293" s="52" t="str">
        <f>IF(Follow[[#This Row],[DATAATUALIZAÇÃO]]&lt;=Follow[[#This Row],[Prev Entrega]],"Dentro do Prazo","Fora do Prazo")</f>
        <v>Dentro do Prazo</v>
      </c>
      <c r="O2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28/11/2024, referente ao pedido Nº Pedido 272 Rastreio Pedido 272, agradecemos a preferência e adoraríamos receber sua avaliação, tendo qualquer dúvida estamos à disposição.
Att
Tem tudo Shop</v>
      </c>
    </row>
    <row r="294" spans="1:15">
      <c r="A294" s="52" t="str">
        <f>_xlfn.XLOOKUP(Follow[[#This Row],[CODRASTREIO]],Controle_Pedidos[Cód Rastreamento],Controle_Pedidos[Número Pedido Cliente])</f>
        <v>Pedido 552</v>
      </c>
      <c r="B294" s="2" t="s">
        <v>17979</v>
      </c>
      <c r="C294" s="2" t="str">
        <f>Follow[[#This Row],[CODRASTREIO]]&amp;" B"</f>
        <v>CódRastreio537 B</v>
      </c>
      <c r="D294" s="52" t="str">
        <f>_xlfn.XLOOKUP(Follow[[#This Row],[Id Pedido]],Controle_Pedidos[Número Pedido Cliente],Controle_Pedidos[Loja])</f>
        <v>BV</v>
      </c>
      <c r="E294" s="9">
        <f>_xlfn.XLOOKUP(Follow[[#This Row],[Id Pedido]],Controle_Pedidos[Número Pedido Cliente],Controle_Pedidos[Prazo Entrega])</f>
        <v>45672</v>
      </c>
      <c r="F294" s="9" t="s">
        <v>19433</v>
      </c>
      <c r="G294" s="9" t="s">
        <v>37</v>
      </c>
      <c r="H294" s="52" t="s">
        <v>179</v>
      </c>
      <c r="I294" s="52" t="s">
        <v>178</v>
      </c>
      <c r="J294" s="55">
        <v>45656</v>
      </c>
      <c r="K294" s="52" t="s">
        <v>198</v>
      </c>
      <c r="L294" s="8" t="s">
        <v>124</v>
      </c>
      <c r="M294" s="8" t="s">
        <v>37</v>
      </c>
      <c r="N294" s="52" t="str">
        <f>IF(Follow[[#This Row],[DATAATUALIZAÇÃO]]&lt;=Follow[[#This Row],[Prev Entrega]],"Dentro do Prazo","Fora do Prazo")</f>
        <v>Dentro do Prazo</v>
      </c>
      <c r="O29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30/12/2024, referente ao pedido Nº Pedido 552 Rastreio Pedido 552, agradecemos a preferência e adoraríamos receber sua avaliação, tendo qualquer dúvida estamos à disposição.
Att
Tem tudo Shop</v>
      </c>
    </row>
    <row r="295" spans="1:15">
      <c r="A295" s="52" t="str">
        <f>_xlfn.XLOOKUP(Follow[[#This Row],[CODRASTREIO]],Controle_Pedidos[Cód Rastreamento],Controle_Pedidos[Número Pedido Cliente])</f>
        <v>Pedido 78</v>
      </c>
      <c r="B295" s="2" t="s">
        <v>17511</v>
      </c>
      <c r="C295" s="2" t="str">
        <f>Follow[[#This Row],[CODRASTREIO]]&amp;" B"</f>
        <v>CódRastreio69 B</v>
      </c>
      <c r="D295" s="52" t="str">
        <f>_xlfn.XLOOKUP(Follow[[#This Row],[Id Pedido]],Controle_Pedidos[Número Pedido Cliente],Controle_Pedidos[Loja])</f>
        <v>BV</v>
      </c>
      <c r="E295" s="9">
        <f>_xlfn.XLOOKUP(Follow[[#This Row],[Id Pedido]],Controle_Pedidos[Número Pedido Cliente],Controle_Pedidos[Prazo Entrega])</f>
        <v>45617</v>
      </c>
      <c r="F295" s="9" t="s">
        <v>19433</v>
      </c>
      <c r="G295" s="9" t="s">
        <v>37</v>
      </c>
      <c r="H295" s="52" t="s">
        <v>178</v>
      </c>
      <c r="I295" s="52" t="s">
        <v>178</v>
      </c>
      <c r="J295" s="55">
        <v>45597</v>
      </c>
      <c r="K295" s="54" t="s">
        <v>198</v>
      </c>
      <c r="L295" s="8" t="s">
        <v>124</v>
      </c>
      <c r="M295" s="8" t="s">
        <v>37</v>
      </c>
      <c r="N295" s="52" t="str">
        <f>IF(Follow[[#This Row],[DATAATUALIZAÇÃO]]&lt;=Follow[[#This Row],[Prev Entrega]],"Dentro do Prazo","Fora do Prazo")</f>
        <v>Dentro do Prazo</v>
      </c>
      <c r="O2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01/11/2024, referente ao pedido Nº Pedido 78 Rastreio Pedido 78, agradecemos a preferência e adoraríamos receber sua avaliação, tendo qualquer dúvida estamos à disposição.
Att
Tem tudo Shop</v>
      </c>
    </row>
    <row r="296" spans="1:15">
      <c r="A296" s="52" t="str">
        <f>_xlfn.XLOOKUP(Follow[[#This Row],[CODRASTREIO]],Controle_Pedidos[Cód Rastreamento],Controle_Pedidos[Número Pedido Cliente])</f>
        <v>Pedido 131</v>
      </c>
      <c r="B296" s="2" t="s">
        <v>17566</v>
      </c>
      <c r="C296" s="2" t="str">
        <f>Follow[[#This Row],[CODRASTREIO]]&amp;" B"</f>
        <v>CódRastreio124 B</v>
      </c>
      <c r="D296" s="52" t="str">
        <f>_xlfn.XLOOKUP(Follow[[#This Row],[Id Pedido]],Controle_Pedidos[Número Pedido Cliente],Controle_Pedidos[Loja])</f>
        <v>BV</v>
      </c>
      <c r="E296" s="9">
        <f>_xlfn.XLOOKUP(Follow[[#This Row],[Id Pedido]],Controle_Pedidos[Número Pedido Cliente],Controle_Pedidos[Prazo Entrega])</f>
        <v>45618</v>
      </c>
      <c r="F296" s="9" t="s">
        <v>19433</v>
      </c>
      <c r="G296" s="9" t="s">
        <v>37</v>
      </c>
      <c r="H296" s="52" t="s">
        <v>178</v>
      </c>
      <c r="I296" s="52" t="s">
        <v>178</v>
      </c>
      <c r="J296" s="55">
        <v>45625</v>
      </c>
      <c r="K296" s="54" t="s">
        <v>198</v>
      </c>
      <c r="L296" s="8" t="s">
        <v>124</v>
      </c>
      <c r="M296" s="59" t="s">
        <v>202</v>
      </c>
      <c r="N296" s="52" t="str">
        <f>IF(Follow[[#This Row],[DATAATUALIZAÇÃO]]&lt;=Follow[[#This Row],[Prev Entrega]],"Dentro do Prazo","Fora do Prazo")</f>
        <v>Fora do Prazo</v>
      </c>
      <c r="O296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29/11/2024, referente ao pedido Nº Pedido 131 Rastreio Pedido 131, agradecemos a preferência e adoraríamos receber sua avaliação, tendo qualquer dúvida estamos à disposição.
Att
Tem tudo Shop</v>
      </c>
    </row>
    <row r="297" spans="1:15">
      <c r="A297" s="52" t="str">
        <f>_xlfn.XLOOKUP(Follow[[#This Row],[CODRASTREIO]],Controle_Pedidos[Cód Rastreamento],Controle_Pedidos[Número Pedido Cliente])</f>
        <v>Pedido 415</v>
      </c>
      <c r="B297" s="2" t="s">
        <v>17846</v>
      </c>
      <c r="C297" s="2" t="str">
        <f>Follow[[#This Row],[CODRASTREIO]]&amp;" B"</f>
        <v>CódRastreio404 B</v>
      </c>
      <c r="D297" s="52" t="str">
        <f>_xlfn.XLOOKUP(Follow[[#This Row],[Id Pedido]],Controle_Pedidos[Número Pedido Cliente],Controle_Pedidos[Loja])</f>
        <v>BV</v>
      </c>
      <c r="E297" s="9">
        <f>_xlfn.XLOOKUP(Follow[[#This Row],[Id Pedido]],Controle_Pedidos[Número Pedido Cliente],Controle_Pedidos[Prazo Entrega])</f>
        <v>45644</v>
      </c>
      <c r="F297" s="9" t="s">
        <v>19433</v>
      </c>
      <c r="G297" s="9" t="s">
        <v>37</v>
      </c>
      <c r="H297" s="52" t="s">
        <v>178</v>
      </c>
      <c r="I297" s="52" t="s">
        <v>178</v>
      </c>
      <c r="J297" s="55">
        <v>45628</v>
      </c>
      <c r="K297" s="54" t="s">
        <v>198</v>
      </c>
      <c r="L297" s="8" t="s">
        <v>124</v>
      </c>
      <c r="M297" s="8" t="s">
        <v>37</v>
      </c>
      <c r="N297" s="52" t="str">
        <f>IF(Follow[[#This Row],[DATAATUALIZAÇÃO]]&lt;=Follow[[#This Row],[Prev Entrega]],"Dentro do Prazo","Fora do Prazo")</f>
        <v>Dentro do Prazo</v>
      </c>
      <c r="O2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02/12/2024, referente ao pedido Nº Pedido 415 Rastreio Pedido 415, agradecemos a preferência e adoraríamos receber sua avaliação, tendo qualquer dúvida estamos à disposição.
Att
Tem tudo Shop</v>
      </c>
    </row>
    <row r="298" spans="1:15">
      <c r="A298" s="52" t="str">
        <f>_xlfn.XLOOKUP(Follow[[#This Row],[CODRASTREIO]],Controle_Pedidos[Cód Rastreamento],Controle_Pedidos[Número Pedido Cliente])</f>
        <v>Pedido 603</v>
      </c>
      <c r="B298" s="2" t="s">
        <v>18030</v>
      </c>
      <c r="C298" s="2" t="str">
        <f>Follow[[#This Row],[CODRASTREIO]]&amp;" B"</f>
        <v>CódRastreio588 B</v>
      </c>
      <c r="D298" s="52" t="str">
        <f>_xlfn.XLOOKUP(Follow[[#This Row],[Id Pedido]],Controle_Pedidos[Número Pedido Cliente],Controle_Pedidos[Loja])</f>
        <v>BV</v>
      </c>
      <c r="E298" s="9">
        <f>_xlfn.XLOOKUP(Follow[[#This Row],[Id Pedido]],Controle_Pedidos[Número Pedido Cliente],Controle_Pedidos[Prazo Entrega])</f>
        <v>45673</v>
      </c>
      <c r="F298" s="9" t="s">
        <v>19433</v>
      </c>
      <c r="G298" s="9" t="s">
        <v>37</v>
      </c>
      <c r="H298" s="52" t="s">
        <v>179</v>
      </c>
      <c r="I298" s="52" t="s">
        <v>178</v>
      </c>
      <c r="J298" s="55">
        <v>45665</v>
      </c>
      <c r="K298" s="52" t="s">
        <v>198</v>
      </c>
      <c r="L298" s="8" t="s">
        <v>124</v>
      </c>
      <c r="M298" s="8" t="s">
        <v>37</v>
      </c>
      <c r="N298" s="52" t="str">
        <f>IF(Follow[[#This Row],[DATAATUALIZAÇÃO]]&lt;=Follow[[#This Row],[Prev Entrega]],"Dentro do Prazo","Fora do Prazo")</f>
        <v>Dentro do Prazo</v>
      </c>
      <c r="O2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603 Rastreio Pedido 603, agradecemos a preferência e adoraríamos receber sua avaliação, tendo qualquer dúvida estamos à disposição.
Att
Tem tudo Shop</v>
      </c>
    </row>
    <row r="299" spans="1:15">
      <c r="A299" s="52" t="str">
        <f>_xlfn.XLOOKUP(Follow[[#This Row],[CODRASTREIO]],Controle_Pedidos[Cód Rastreamento],Controle_Pedidos[Número Pedido Cliente])</f>
        <v>Pedido 219</v>
      </c>
      <c r="B299" s="2" t="s">
        <v>17654</v>
      </c>
      <c r="C299" s="2" t="str">
        <f>Follow[[#This Row],[CODRASTREIO]]&amp;" B"</f>
        <v>CódRastreio212 B</v>
      </c>
      <c r="D299" s="52" t="str">
        <f>_xlfn.XLOOKUP(Follow[[#This Row],[Id Pedido]],Controle_Pedidos[Número Pedido Cliente],Controle_Pedidos[Loja])</f>
        <v>BV</v>
      </c>
      <c r="E299" s="9">
        <f>_xlfn.XLOOKUP(Follow[[#This Row],[Id Pedido]],Controle_Pedidos[Número Pedido Cliente],Controle_Pedidos[Prazo Entrega])</f>
        <v>45622</v>
      </c>
      <c r="F299" s="9" t="s">
        <v>19433</v>
      </c>
      <c r="G299" s="9" t="s">
        <v>37</v>
      </c>
      <c r="H299" s="52" t="s">
        <v>178</v>
      </c>
      <c r="I299" s="52" t="s">
        <v>178</v>
      </c>
      <c r="J299" s="55">
        <v>45610</v>
      </c>
      <c r="K299" s="54" t="s">
        <v>198</v>
      </c>
      <c r="L299" s="8" t="s">
        <v>124</v>
      </c>
      <c r="M299" s="8" t="s">
        <v>37</v>
      </c>
      <c r="N299" s="52" t="str">
        <f>IF(Follow[[#This Row],[DATAATUALIZAÇÃO]]&lt;=Follow[[#This Row],[Prev Entrega]],"Dentro do Prazo","Fora do Prazo")</f>
        <v>Dentro do Prazo</v>
      </c>
      <c r="O2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14/11/2024, referente ao pedido Nº Pedido 219 Rastreio Pedido 219, agradecemos a preferência e adoraríamos receber sua avaliação, tendo qualquer dúvida estamos à disposição.
Att
Tem tudo Shop</v>
      </c>
    </row>
    <row r="300" spans="1:15">
      <c r="A300" s="52" t="str">
        <f>_xlfn.XLOOKUP(Follow[[#This Row],[CODRASTREIO]],Controle_Pedidos[Cód Rastreamento],Controle_Pedidos[Número Pedido Cliente])</f>
        <v>Pedido 377</v>
      </c>
      <c r="B300" s="2" t="s">
        <v>17809</v>
      </c>
      <c r="C300" s="2" t="str">
        <f>Follow[[#This Row],[CODRASTREIO]]&amp;" B"</f>
        <v>CódRastreio367 B</v>
      </c>
      <c r="D300" s="52" t="str">
        <f>_xlfn.XLOOKUP(Follow[[#This Row],[Id Pedido]],Controle_Pedidos[Número Pedido Cliente],Controle_Pedidos[Loja])</f>
        <v>BV</v>
      </c>
      <c r="E300" s="9">
        <f>_xlfn.XLOOKUP(Follow[[#This Row],[Id Pedido]],Controle_Pedidos[Número Pedido Cliente],Controle_Pedidos[Prazo Entrega])</f>
        <v>45629</v>
      </c>
      <c r="F300" s="9" t="s">
        <v>19433</v>
      </c>
      <c r="G300" s="9" t="s">
        <v>37</v>
      </c>
      <c r="H300" s="52" t="s">
        <v>178</v>
      </c>
      <c r="I300" s="52" t="s">
        <v>178</v>
      </c>
      <c r="J300" s="55">
        <v>45618</v>
      </c>
      <c r="K300" s="54" t="s">
        <v>198</v>
      </c>
      <c r="L300" s="8" t="s">
        <v>124</v>
      </c>
      <c r="M300" s="8" t="s">
        <v>37</v>
      </c>
      <c r="N300" s="52" t="str">
        <f>IF(Follow[[#This Row],[DATAATUALIZAÇÃO]]&lt;=Follow[[#This Row],[Prev Entrega]],"Dentro do Prazo","Fora do Prazo")</f>
        <v>Dentro do Prazo</v>
      </c>
      <c r="O3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22/11/2024, referente ao pedido Nº Pedido 377 Rastreio Pedido 377, agradecemos a preferência e adoraríamos receber sua avaliação, tendo qualquer dúvida estamos à disposição.
Att
Tem tudo Shop</v>
      </c>
    </row>
    <row r="301" spans="1:15">
      <c r="A301" s="52" t="str">
        <f>_xlfn.XLOOKUP(Follow[[#This Row],[CODRASTREIO]],Controle_Pedidos[Cód Rastreamento],Controle_Pedidos[Número Pedido Cliente])</f>
        <v>Pedido 74</v>
      </c>
      <c r="B301" s="2" t="s">
        <v>17507</v>
      </c>
      <c r="C301" s="2" t="str">
        <f>Follow[[#This Row],[CODRASTREIO]]&amp;" B"</f>
        <v>CódRastreio65 B</v>
      </c>
      <c r="D301" s="52" t="str">
        <f>_xlfn.XLOOKUP(Follow[[#This Row],[Id Pedido]],Controle_Pedidos[Número Pedido Cliente],Controle_Pedidos[Loja])</f>
        <v>BV</v>
      </c>
      <c r="E301" s="9">
        <f>_xlfn.XLOOKUP(Follow[[#This Row],[Id Pedido]],Controle_Pedidos[Número Pedido Cliente],Controle_Pedidos[Prazo Entrega])</f>
        <v>45624</v>
      </c>
      <c r="F301" s="9" t="s">
        <v>19433</v>
      </c>
      <c r="G301" s="9" t="s">
        <v>37</v>
      </c>
      <c r="H301" s="52" t="s">
        <v>179</v>
      </c>
      <c r="I301" s="52" t="s">
        <v>178</v>
      </c>
      <c r="J301" s="55">
        <v>45623</v>
      </c>
      <c r="K301" s="54" t="s">
        <v>198</v>
      </c>
      <c r="L301" s="8" t="s">
        <v>124</v>
      </c>
      <c r="M301" s="8" t="s">
        <v>37</v>
      </c>
      <c r="N301" s="52" t="str">
        <f>IF(Follow[[#This Row],[DATAATUALIZAÇÃO]]&lt;=Follow[[#This Row],[Prev Entrega]],"Dentro do Prazo","Fora do Prazo")</f>
        <v>Dentro do Prazo</v>
      </c>
      <c r="O3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27/11/2024, referente ao pedido Nº Pedido 74 Rastreio Pedido 74, agradecemos a preferência e adoraríamos receber sua avaliação, tendo qualquer dúvida estamos à disposição.
Att
Tem tudo Shop</v>
      </c>
    </row>
    <row r="302" spans="1:15">
      <c r="A302" s="52" t="str">
        <f>_xlfn.XLOOKUP(Follow[[#This Row],[CODRASTREIO]],Controle_Pedidos[Cód Rastreamento],Controle_Pedidos[Número Pedido Cliente])</f>
        <v>Pedido 404</v>
      </c>
      <c r="B302" s="2" t="s">
        <v>17836</v>
      </c>
      <c r="C302" s="2" t="str">
        <f>Follow[[#This Row],[CODRASTREIO]]&amp;" B"</f>
        <v>CódRastreio394 B</v>
      </c>
      <c r="D302" s="52" t="str">
        <f>_xlfn.XLOOKUP(Follow[[#This Row],[Id Pedido]],Controle_Pedidos[Número Pedido Cliente],Controle_Pedidos[Loja])</f>
        <v>BV</v>
      </c>
      <c r="E302" s="9">
        <f>_xlfn.XLOOKUP(Follow[[#This Row],[Id Pedido]],Controle_Pedidos[Número Pedido Cliente],Controle_Pedidos[Prazo Entrega])</f>
        <v>45643</v>
      </c>
      <c r="F302" s="9" t="s">
        <v>19433</v>
      </c>
      <c r="G302" s="9" t="s">
        <v>37</v>
      </c>
      <c r="H302" s="55" t="s">
        <v>179</v>
      </c>
      <c r="I302" s="55" t="s">
        <v>178</v>
      </c>
      <c r="J302" s="55">
        <v>45630</v>
      </c>
      <c r="K302" s="54" t="s">
        <v>198</v>
      </c>
      <c r="L302" s="8" t="s">
        <v>124</v>
      </c>
      <c r="M302" s="8" t="s">
        <v>37</v>
      </c>
      <c r="N302" s="52" t="str">
        <f>IF(Follow[[#This Row],[DATAATUALIZAÇÃO]]&lt;=Follow[[#This Row],[Prev Entrega]],"Dentro do Prazo","Fora do Prazo")</f>
        <v>Dentro do Prazo</v>
      </c>
      <c r="O3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Branco foi entregue no dia 04/12/2024, referente ao pedido Nº Pedido 404 Rastreio Pedido 404, agradecemos a preferência e adoraríamos receber sua avaliação, tendo qualquer dúvida estamos à disposição.
Att
Tem tudo Shop</v>
      </c>
    </row>
    <row r="303" spans="1:15">
      <c r="A303" s="52" t="str">
        <f>_xlfn.XLOOKUP(Follow[[#This Row],[CODRASTREIO]],Controle_Pedidos[Cód Rastreamento],Controle_Pedidos[Número Pedido Cliente])</f>
        <v>Pedido 467</v>
      </c>
      <c r="B303" s="2" t="s">
        <v>17894</v>
      </c>
      <c r="C303" s="2" t="str">
        <f>Follow[[#This Row],[CODRASTREIO]]&amp;" B"</f>
        <v>CódRastreio452 B</v>
      </c>
      <c r="D303" s="52" t="str">
        <f>_xlfn.XLOOKUP(Follow[[#This Row],[Id Pedido]],Controle_Pedidos[Número Pedido Cliente],Controle_Pedidos[Loja])</f>
        <v>BV</v>
      </c>
      <c r="E303" s="9">
        <f>_xlfn.XLOOKUP(Follow[[#This Row],[Id Pedido]],Controle_Pedidos[Número Pedido Cliente],Controle_Pedidos[Prazo Entrega])</f>
        <v>45654</v>
      </c>
      <c r="F303" s="9" t="s">
        <v>19433</v>
      </c>
      <c r="G303" s="9" t="s">
        <v>37</v>
      </c>
      <c r="H303" s="55" t="s">
        <v>179</v>
      </c>
      <c r="I303" s="55" t="s">
        <v>178</v>
      </c>
      <c r="J303" s="55">
        <v>45635.532719907409</v>
      </c>
      <c r="K303" s="52" t="s">
        <v>198</v>
      </c>
      <c r="L303" s="8" t="s">
        <v>124</v>
      </c>
      <c r="M303" s="8" t="s">
        <v>37</v>
      </c>
      <c r="N303" s="52" t="str">
        <f>IF(Follow[[#This Row],[DATAATUALIZAÇÃO]]&lt;=Follow[[#This Row],[Prev Entrega]],"Dentro do Prazo","Fora do Prazo")</f>
        <v>Dentro do Prazo</v>
      </c>
      <c r="O3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09/12/2024, referente ao pedido Nº Pedido 467 Rastreio Pedido 467, agradecemos a preferência e adoraríamos receber sua avaliação, tendo qualquer dúvida estamos à disposição.
Att
Tem tudo Shop</v>
      </c>
    </row>
    <row r="304" spans="1:15">
      <c r="A304" s="52" t="str">
        <f>_xlfn.XLOOKUP(Follow[[#This Row],[CODRASTREIO]],Controle_Pedidos[Cód Rastreamento],Controle_Pedidos[Número Pedido Cliente])</f>
        <v>Pedido 395</v>
      </c>
      <c r="B304" s="2" t="s">
        <v>17827</v>
      </c>
      <c r="C304" s="2" t="str">
        <f>Follow[[#This Row],[CODRASTREIO]]&amp;" B"</f>
        <v>CódRastreio385 B</v>
      </c>
      <c r="D304" s="52" t="str">
        <f>_xlfn.XLOOKUP(Follow[[#This Row],[Id Pedido]],Controle_Pedidos[Número Pedido Cliente],Controle_Pedidos[Loja])</f>
        <v>BV</v>
      </c>
      <c r="E304" s="9">
        <f>_xlfn.XLOOKUP(Follow[[#This Row],[Id Pedido]],Controle_Pedidos[Número Pedido Cliente],Controle_Pedidos[Prazo Entrega])</f>
        <v>45637</v>
      </c>
      <c r="F304" s="9" t="s">
        <v>19433</v>
      </c>
      <c r="G304" s="9" t="s">
        <v>37</v>
      </c>
      <c r="H304" s="52" t="s">
        <v>178</v>
      </c>
      <c r="I304" s="52" t="s">
        <v>178</v>
      </c>
      <c r="J304" s="55">
        <v>45625</v>
      </c>
      <c r="K304" s="54" t="s">
        <v>198</v>
      </c>
      <c r="L304" s="8" t="s">
        <v>124</v>
      </c>
      <c r="M304" s="8" t="s">
        <v>37</v>
      </c>
      <c r="N304" s="52" t="str">
        <f>IF(Follow[[#This Row],[DATAATUALIZAÇÃO]]&lt;=Follow[[#This Row],[Prev Entrega]],"Dentro do Prazo","Fora do Prazo")</f>
        <v>Dentro do Prazo</v>
      </c>
      <c r="O3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29/11/2024, referente ao pedido Nº Pedido 395 Rastreio Pedido 395, agradecemos a preferência e adoraríamos receber sua avaliação, tendo qualquer dúvida estamos à disposição.
Att
Tem tudo Shop</v>
      </c>
    </row>
    <row r="305" spans="1:15">
      <c r="A305" s="52" t="str">
        <f>_xlfn.XLOOKUP(Follow[[#This Row],[CODRASTREIO]],Controle_Pedidos[Cód Rastreamento],Controle_Pedidos[Número Pedido Cliente])</f>
        <v>Pedido 127</v>
      </c>
      <c r="B305" s="2" t="s">
        <v>17562</v>
      </c>
      <c r="C305" s="2" t="str">
        <f>Follow[[#This Row],[CODRASTREIO]]&amp;" B"</f>
        <v>CódRastreio120 B</v>
      </c>
      <c r="D305" s="52" t="str">
        <f>_xlfn.XLOOKUP(Follow[[#This Row],[Id Pedido]],Controle_Pedidos[Número Pedido Cliente],Controle_Pedidos[Loja])</f>
        <v>BV</v>
      </c>
      <c r="E305" s="9">
        <f>_xlfn.XLOOKUP(Follow[[#This Row],[Id Pedido]],Controle_Pedidos[Número Pedido Cliente],Controle_Pedidos[Prazo Entrega])</f>
        <v>45605</v>
      </c>
      <c r="F305" s="9" t="s">
        <v>19433</v>
      </c>
      <c r="G305" s="9" t="s">
        <v>37</v>
      </c>
      <c r="H305" s="52" t="s">
        <v>178</v>
      </c>
      <c r="I305" s="52" t="s">
        <v>178</v>
      </c>
      <c r="J305" s="55">
        <v>45596</v>
      </c>
      <c r="K305" s="54" t="s">
        <v>198</v>
      </c>
      <c r="L305" s="8" t="s">
        <v>124</v>
      </c>
      <c r="M305" s="8" t="s">
        <v>37</v>
      </c>
      <c r="N305" s="52" t="str">
        <f>IF(Follow[[#This Row],[DATAATUALIZAÇÃO]]&lt;=Follow[[#This Row],[Prev Entrega]],"Dentro do Prazo","Fora do Prazo")</f>
        <v>Dentro do Prazo</v>
      </c>
      <c r="O3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31/10/2024, referente ao pedido Nº Pedido 127 Rastreio Pedido 127, agradecemos a preferência e adoraríamos receber sua avaliação, tendo qualquer dúvida estamos à disposição.
Att
Tem tudo Shop</v>
      </c>
    </row>
    <row r="306" spans="1:15">
      <c r="A306" s="52" t="str">
        <f>_xlfn.XLOOKUP(Follow[[#This Row],[CODRASTREIO]],Controle_Pedidos[Cód Rastreamento],Controle_Pedidos[Número Pedido Cliente])</f>
        <v>Pedido 235</v>
      </c>
      <c r="B306" s="2" t="s">
        <v>17670</v>
      </c>
      <c r="C306" s="2" t="str">
        <f>Follow[[#This Row],[CODRASTREIO]]&amp;" B"</f>
        <v>CódRastreio228 B</v>
      </c>
      <c r="D306" s="52" t="str">
        <f>_xlfn.XLOOKUP(Follow[[#This Row],[Id Pedido]],Controle_Pedidos[Número Pedido Cliente],Controle_Pedidos[Loja])</f>
        <v>BV</v>
      </c>
      <c r="E306" s="9">
        <f>_xlfn.XLOOKUP(Follow[[#This Row],[Id Pedido]],Controle_Pedidos[Número Pedido Cliente],Controle_Pedidos[Prazo Entrega])</f>
        <v>45623</v>
      </c>
      <c r="F306" s="9" t="s">
        <v>19433</v>
      </c>
      <c r="G306" s="9" t="s">
        <v>37</v>
      </c>
      <c r="H306" s="52" t="s">
        <v>178</v>
      </c>
      <c r="I306" s="52" t="s">
        <v>178</v>
      </c>
      <c r="J306" s="55">
        <v>45615</v>
      </c>
      <c r="K306" s="54" t="s">
        <v>198</v>
      </c>
      <c r="L306" s="8" t="s">
        <v>124</v>
      </c>
      <c r="M306" s="52" t="s">
        <v>37</v>
      </c>
      <c r="N306" s="52" t="str">
        <f>IF(Follow[[#This Row],[DATAATUALIZAÇÃO]]&lt;=Follow[[#This Row],[Prev Entrega]],"Dentro do Prazo","Fora do Prazo")</f>
        <v>Dentro do Prazo</v>
      </c>
      <c r="O3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19/11/2024, referente ao pedido Nº Pedido 235 Rastreio Pedido 235, agradecemos a preferência e adoraríamos receber sua avaliação, tendo qualquer dúvida estamos à disposição.
Att
Tem tudo Shop</v>
      </c>
    </row>
    <row r="307" spans="1:15">
      <c r="A307" s="52" t="str">
        <f>_xlfn.XLOOKUP(Follow[[#This Row],[CODRASTREIO]],Controle_Pedidos[Cód Rastreamento],Controle_Pedidos[Número Pedido Cliente])</f>
        <v>Pedido 167</v>
      </c>
      <c r="B307" s="2" t="s">
        <v>17602</v>
      </c>
      <c r="C307" s="2" t="str">
        <f>Follow[[#This Row],[CODRASTREIO]]&amp;" B"</f>
        <v>CódRastreio160 B</v>
      </c>
      <c r="D307" s="52" t="str">
        <f>_xlfn.XLOOKUP(Follow[[#This Row],[Id Pedido]],Controle_Pedidos[Número Pedido Cliente],Controle_Pedidos[Loja])</f>
        <v>BV</v>
      </c>
      <c r="E307" s="9">
        <f>_xlfn.XLOOKUP(Follow[[#This Row],[Id Pedido]],Controle_Pedidos[Número Pedido Cliente],Controle_Pedidos[Prazo Entrega])</f>
        <v>45608</v>
      </c>
      <c r="F307" s="9" t="s">
        <v>19433</v>
      </c>
      <c r="G307" s="9" t="s">
        <v>37</v>
      </c>
      <c r="H307" s="52" t="s">
        <v>178</v>
      </c>
      <c r="I307" s="52" t="s">
        <v>178</v>
      </c>
      <c r="J307" s="55">
        <v>45600</v>
      </c>
      <c r="K307" s="54" t="s">
        <v>198</v>
      </c>
      <c r="L307" s="8" t="s">
        <v>124</v>
      </c>
      <c r="M307" s="8" t="s">
        <v>37</v>
      </c>
      <c r="N307" s="52" t="str">
        <f>IF(Follow[[#This Row],[DATAATUALIZAÇÃO]]&lt;=Follow[[#This Row],[Prev Entrega]],"Dentro do Prazo","Fora do Prazo")</f>
        <v>Dentro do Prazo</v>
      </c>
      <c r="O3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167 Rastreio Pedido 167, agradecemos a preferência e adoraríamos receber sua avaliação, tendo qualquer dúvida estamos à disposição.
Att
Tem tudo Shop</v>
      </c>
    </row>
    <row r="308" spans="1:15">
      <c r="A308" s="52" t="str">
        <f>_xlfn.XLOOKUP(Follow[[#This Row],[CODRASTREIO]],Controle_Pedidos[Cód Rastreamento],Controle_Pedidos[Número Pedido Cliente])</f>
        <v>Pedido 255</v>
      </c>
      <c r="B308" s="2" t="s">
        <v>17690</v>
      </c>
      <c r="C308" s="2" t="str">
        <f>Follow[[#This Row],[CODRASTREIO]]&amp;" B"</f>
        <v>CódRastreio248 B</v>
      </c>
      <c r="D308" s="52" t="str">
        <f>_xlfn.XLOOKUP(Follow[[#This Row],[Id Pedido]],Controle_Pedidos[Número Pedido Cliente],Controle_Pedidos[Loja])</f>
        <v>BV</v>
      </c>
      <c r="E308" s="9">
        <f>_xlfn.XLOOKUP(Follow[[#This Row],[Id Pedido]],Controle_Pedidos[Número Pedido Cliente],Controle_Pedidos[Prazo Entrega])</f>
        <v>45623</v>
      </c>
      <c r="F308" s="9" t="s">
        <v>19433</v>
      </c>
      <c r="G308" s="9" t="s">
        <v>37</v>
      </c>
      <c r="H308" s="52" t="s">
        <v>178</v>
      </c>
      <c r="I308" s="52" t="s">
        <v>178</v>
      </c>
      <c r="J308" s="55">
        <v>45615</v>
      </c>
      <c r="K308" s="54" t="s">
        <v>198</v>
      </c>
      <c r="L308" s="8" t="s">
        <v>124</v>
      </c>
      <c r="M308" s="8" t="s">
        <v>37</v>
      </c>
      <c r="N308" s="52" t="str">
        <f>IF(Follow[[#This Row],[DATAATUALIZAÇÃO]]&lt;=Follow[[#This Row],[Prev Entrega]],"Dentro do Prazo","Fora do Prazo")</f>
        <v>Dentro do Prazo</v>
      </c>
      <c r="O30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19/11/2024, referente ao pedido Nº Pedido 255 Rastreio Pedido 255, agradecemos a preferência e adoraríamos receber sua avaliação, tendo qualquer dúvida estamos à disposição.
Att
Tem tudo Shop</v>
      </c>
    </row>
    <row r="309" spans="1:15">
      <c r="A309" s="52" t="str">
        <f>_xlfn.XLOOKUP(Follow[[#This Row],[CODRASTREIO]],Controle_Pedidos[Cód Rastreamento],Controle_Pedidos[Número Pedido Cliente])</f>
        <v>Pedido 59</v>
      </c>
      <c r="B309" s="2" t="s">
        <v>17492</v>
      </c>
      <c r="C309" s="2" t="str">
        <f>Follow[[#This Row],[CODRASTREIO]]&amp;" B"</f>
        <v>CódRastreio50 B</v>
      </c>
      <c r="D309" s="52" t="str">
        <f>_xlfn.XLOOKUP(Follow[[#This Row],[Id Pedido]],Controle_Pedidos[Número Pedido Cliente],Controle_Pedidos[Loja])</f>
        <v>BV</v>
      </c>
      <c r="E309" s="9">
        <f>_xlfn.XLOOKUP(Follow[[#This Row],[Id Pedido]],Controle_Pedidos[Número Pedido Cliente],Controle_Pedidos[Prazo Entrega])</f>
        <v>45604</v>
      </c>
      <c r="F309" s="9" t="s">
        <v>19433</v>
      </c>
      <c r="G309" s="9" t="s">
        <v>37</v>
      </c>
      <c r="H309" s="52" t="s">
        <v>178</v>
      </c>
      <c r="I309" s="52" t="s">
        <v>178</v>
      </c>
      <c r="J309" s="55">
        <v>45595</v>
      </c>
      <c r="K309" s="54" t="s">
        <v>198</v>
      </c>
      <c r="L309" s="8" t="s">
        <v>124</v>
      </c>
      <c r="M309" s="8" t="s">
        <v>37</v>
      </c>
      <c r="N309" s="52" t="str">
        <f>IF(Follow[[#This Row],[DATAATUALIZAÇÃO]]&lt;=Follow[[#This Row],[Prev Entrega]],"Dentro do Prazo","Fora do Prazo")</f>
        <v>Dentro do Prazo</v>
      </c>
      <c r="O3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30/10/2024, referente ao pedido Nº Pedido 59 Rastreio Pedido 59, agradecemos a preferência e adoraríamos receber sua avaliação, tendo qualquer dúvida estamos à disposição.
Att
Tem tudo Shop</v>
      </c>
    </row>
    <row r="310" spans="1:15">
      <c r="A310" s="52" t="str">
        <f>_xlfn.XLOOKUP(Follow[[#This Row],[CODRASTREIO]],Controle_Pedidos[Cód Rastreamento],Controle_Pedidos[Número Pedido Cliente])</f>
        <v>Pedido 83</v>
      </c>
      <c r="B310" s="2" t="s">
        <v>17518</v>
      </c>
      <c r="C310" s="2" t="str">
        <f>Follow[[#This Row],[CODRASTREIO]]&amp;" B"</f>
        <v>CódRastreio76 B</v>
      </c>
      <c r="D310" s="52" t="str">
        <f>_xlfn.XLOOKUP(Follow[[#This Row],[Id Pedido]],Controle_Pedidos[Número Pedido Cliente],Controle_Pedidos[Loja])</f>
        <v>BV</v>
      </c>
      <c r="E310" s="9">
        <f>_xlfn.XLOOKUP(Follow[[#This Row],[Id Pedido]],Controle_Pedidos[Número Pedido Cliente],Controle_Pedidos[Prazo Entrega])</f>
        <v>45617</v>
      </c>
      <c r="F310" s="9" t="s">
        <v>19433</v>
      </c>
      <c r="G310" s="9" t="s">
        <v>37</v>
      </c>
      <c r="H310" s="52" t="s">
        <v>178</v>
      </c>
      <c r="I310" s="52" t="s">
        <v>178</v>
      </c>
      <c r="J310" s="55">
        <v>45603</v>
      </c>
      <c r="K310" s="54" t="s">
        <v>198</v>
      </c>
      <c r="L310" s="8" t="s">
        <v>124</v>
      </c>
      <c r="M310" s="8" t="s">
        <v>37</v>
      </c>
      <c r="N310" s="52" t="str">
        <f>IF(Follow[[#This Row],[DATAATUALIZAÇÃO]]&lt;=Follow[[#This Row],[Prev Entrega]],"Dentro do Prazo","Fora do Prazo")</f>
        <v>Dentro do Prazo</v>
      </c>
      <c r="O3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07/11/2024, referente ao pedido Nº Pedido 83 Rastreio Pedido 83, agradecemos a preferência e adoraríamos receber sua avaliação, tendo qualquer dúvida estamos à disposição.
Att
Tem tudo Shop</v>
      </c>
    </row>
    <row r="311" spans="1:15">
      <c r="A311" s="52" t="str">
        <f>_xlfn.XLOOKUP(Follow[[#This Row],[CODRASTREIO]],Controle_Pedidos[Cód Rastreamento],Controle_Pedidos[Número Pedido Cliente])</f>
        <v>Pedido 587</v>
      </c>
      <c r="B311" s="2" t="s">
        <v>18014</v>
      </c>
      <c r="C311" s="2" t="str">
        <f>Follow[[#This Row],[CODRASTREIO]]&amp;" B"</f>
        <v>CódRastreio572 B</v>
      </c>
      <c r="D311" s="52" t="str">
        <f>_xlfn.XLOOKUP(Follow[[#This Row],[Id Pedido]],Controle_Pedidos[Número Pedido Cliente],Controle_Pedidos[Loja])</f>
        <v>BV</v>
      </c>
      <c r="E311" s="9">
        <f>_xlfn.XLOOKUP(Follow[[#This Row],[Id Pedido]],Controle_Pedidos[Número Pedido Cliente],Controle_Pedidos[Prazo Entrega])</f>
        <v>45668</v>
      </c>
      <c r="F311" s="9" t="s">
        <v>19433</v>
      </c>
      <c r="G311" s="9" t="s">
        <v>37</v>
      </c>
      <c r="H311" s="52" t="s">
        <v>179</v>
      </c>
      <c r="I311" s="52" t="s">
        <v>178</v>
      </c>
      <c r="J311" s="55">
        <v>45656</v>
      </c>
      <c r="K311" s="52" t="s">
        <v>198</v>
      </c>
      <c r="L311" s="8" t="s">
        <v>124</v>
      </c>
      <c r="M311" s="8" t="s">
        <v>37</v>
      </c>
      <c r="N311" s="52" t="str">
        <f>IF(Follow[[#This Row],[DATAATUALIZAÇÃO]]&lt;=Follow[[#This Row],[Prev Entrega]],"Dentro do Prazo","Fora do Prazo")</f>
        <v>Dentro do Prazo</v>
      </c>
      <c r="O3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30/12/2024, referente ao pedido Nº Pedido 587 Rastreio Pedido 587, agradecemos a preferência e adoraríamos receber sua avaliação, tendo qualquer dúvida estamos à disposição.
Att
Tem tudo Shop</v>
      </c>
    </row>
    <row r="312" spans="1:15">
      <c r="A312" s="52" t="str">
        <f>_xlfn.XLOOKUP(Follow[[#This Row],[CODRASTREIO]],Controle_Pedidos[Cód Rastreamento],Controle_Pedidos[Número Pedido Cliente])</f>
        <v>Pedido 258</v>
      </c>
      <c r="B312" s="2" t="s">
        <v>17693</v>
      </c>
      <c r="C312" s="2" t="str">
        <f>Follow[[#This Row],[CODRASTREIO]]&amp;" B"</f>
        <v>CódRastreio251 B</v>
      </c>
      <c r="D312" s="52" t="str">
        <f>_xlfn.XLOOKUP(Follow[[#This Row],[Id Pedido]],Controle_Pedidos[Número Pedido Cliente],Controle_Pedidos[Loja])</f>
        <v>BV</v>
      </c>
      <c r="E312" s="9">
        <f>_xlfn.XLOOKUP(Follow[[#This Row],[Id Pedido]],Controle_Pedidos[Número Pedido Cliente],Controle_Pedidos[Prazo Entrega])</f>
        <v>45623</v>
      </c>
      <c r="F312" s="9" t="s">
        <v>19433</v>
      </c>
      <c r="G312" s="9" t="s">
        <v>37</v>
      </c>
      <c r="H312" s="52" t="s">
        <v>178</v>
      </c>
      <c r="I312" s="52" t="s">
        <v>178</v>
      </c>
      <c r="J312" s="55">
        <v>45614</v>
      </c>
      <c r="K312" s="54" t="s">
        <v>198</v>
      </c>
      <c r="L312" s="8" t="s">
        <v>124</v>
      </c>
      <c r="M312" s="8" t="s">
        <v>37</v>
      </c>
      <c r="N312" s="52" t="str">
        <f>IF(Follow[[#This Row],[DATAATUALIZAÇÃO]]&lt;=Follow[[#This Row],[Prev Entrega]],"Dentro do Prazo","Fora do Prazo")</f>
        <v>Dentro do Prazo</v>
      </c>
      <c r="O3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258 Rastreio Pedido 258, agradecemos a preferência e adoraríamos receber sua avaliação, tendo qualquer dúvida estamos à disposição.
Att
Tem tudo Shop</v>
      </c>
    </row>
    <row r="313" spans="1:15">
      <c r="A313" s="52" t="str">
        <f>_xlfn.XLOOKUP(Follow[[#This Row],[CODRASTREIO]],Controle_Pedidos[Cód Rastreamento],Controle_Pedidos[Número Pedido Cliente])</f>
        <v>Pedido 477</v>
      </c>
      <c r="B313" s="2" t="s">
        <v>17904</v>
      </c>
      <c r="C313" s="2" t="str">
        <f>Follow[[#This Row],[CODRASTREIO]]&amp;" B"</f>
        <v>CódRastreio462 B</v>
      </c>
      <c r="D313" s="52" t="str">
        <f>_xlfn.XLOOKUP(Follow[[#This Row],[Id Pedido]],Controle_Pedidos[Número Pedido Cliente],Controle_Pedidos[Loja])</f>
        <v>BV</v>
      </c>
      <c r="E313" s="9">
        <f>_xlfn.XLOOKUP(Follow[[#This Row],[Id Pedido]],Controle_Pedidos[Número Pedido Cliente],Controle_Pedidos[Prazo Entrega])</f>
        <v>45646</v>
      </c>
      <c r="F313" s="9" t="s">
        <v>19433</v>
      </c>
      <c r="G313" s="9" t="s">
        <v>37</v>
      </c>
      <c r="H313" s="52" t="s">
        <v>179</v>
      </c>
      <c r="I313" s="52" t="s">
        <v>178</v>
      </c>
      <c r="J313" s="55">
        <v>45660</v>
      </c>
      <c r="K313" s="52" t="s">
        <v>198</v>
      </c>
      <c r="L313" s="8" t="s">
        <v>124</v>
      </c>
      <c r="M313" s="8" t="s">
        <v>19437</v>
      </c>
      <c r="N313" s="52" t="str">
        <f>IF(Follow[[#This Row],[DATAATUALIZAÇÃO]]&lt;=Follow[[#This Row],[Prev Entrega]],"Dentro do Prazo","Fora do Prazo")</f>
        <v>Fora do Prazo</v>
      </c>
      <c r="O31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03/01/2025, referente ao pedido Nº Pedido 477 Rastreio Pedido 477, agradecemos a preferência e adoraríamos receber sua avaliação, tendo qualquer dúvida estamos à disposição.
Att
Tem tudo Shop</v>
      </c>
    </row>
    <row r="314" spans="1:15">
      <c r="A314" s="52" t="str">
        <f>_xlfn.XLOOKUP(Follow[[#This Row],[CODRASTREIO]],Controle_Pedidos[Cód Rastreamento],Controle_Pedidos[Número Pedido Cliente])</f>
        <v>Pedido 440</v>
      </c>
      <c r="B314" s="2" t="s">
        <v>17867</v>
      </c>
      <c r="C314" s="2" t="str">
        <f>Follow[[#This Row],[CODRASTREIO]]&amp;" B"</f>
        <v>CódRastreio425 B</v>
      </c>
      <c r="D314" s="52" t="str">
        <f>_xlfn.XLOOKUP(Follow[[#This Row],[Id Pedido]],Controle_Pedidos[Número Pedido Cliente],Controle_Pedidos[Loja])</f>
        <v>BV</v>
      </c>
      <c r="E314" s="9">
        <f>_xlfn.XLOOKUP(Follow[[#This Row],[Id Pedido]],Controle_Pedidos[Número Pedido Cliente],Controle_Pedidos[Prazo Entrega])</f>
        <v>45647</v>
      </c>
      <c r="F314" s="9" t="s">
        <v>19433</v>
      </c>
      <c r="G314" s="9" t="s">
        <v>37</v>
      </c>
      <c r="H314" s="55" t="s">
        <v>179</v>
      </c>
      <c r="I314" s="55" t="s">
        <v>178</v>
      </c>
      <c r="J314" s="55">
        <v>45642</v>
      </c>
      <c r="K314" s="52" t="s">
        <v>198</v>
      </c>
      <c r="L314" s="8" t="s">
        <v>124</v>
      </c>
      <c r="M314" s="8" t="s">
        <v>37</v>
      </c>
      <c r="N314" s="52" t="str">
        <f>IF(Follow[[#This Row],[DATAATUALIZAÇÃO]]&lt;=Follow[[#This Row],[Prev Entrega]],"Dentro do Prazo","Fora do Prazo")</f>
        <v>Dentro do Prazo</v>
      </c>
      <c r="O3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16/12/2024, referente ao pedido Nº Pedido 440 Rastreio Pedido 440, agradecemos a preferência e adoraríamos receber sua avaliação, tendo qualquer dúvida estamos à disposição.
Att
Tem tudo Shop</v>
      </c>
    </row>
    <row r="315" spans="1:15">
      <c r="A315" s="52" t="str">
        <f>_xlfn.XLOOKUP(Follow[[#This Row],[CODRASTREIO]],Controle_Pedidos[Cód Rastreamento],Controle_Pedidos[Número Pedido Cliente])</f>
        <v>Pedido 71</v>
      </c>
      <c r="B315" s="2" t="s">
        <v>17504</v>
      </c>
      <c r="C315" s="2" t="str">
        <f>Follow[[#This Row],[CODRASTREIO]]&amp;" B"</f>
        <v>CódRastreio62 B</v>
      </c>
      <c r="D315" s="52" t="str">
        <f>_xlfn.XLOOKUP(Follow[[#This Row],[Id Pedido]],Controle_Pedidos[Número Pedido Cliente],Controle_Pedidos[Loja])</f>
        <v>BV</v>
      </c>
      <c r="E315" s="9">
        <f>_xlfn.XLOOKUP(Follow[[#This Row],[Id Pedido]],Controle_Pedidos[Número Pedido Cliente],Controle_Pedidos[Prazo Entrega])</f>
        <v>45616</v>
      </c>
      <c r="F315" s="9" t="s">
        <v>19433</v>
      </c>
      <c r="G315" s="9" t="s">
        <v>37</v>
      </c>
      <c r="H315" s="52" t="s">
        <v>178</v>
      </c>
      <c r="I315" s="52" t="s">
        <v>178</v>
      </c>
      <c r="J315" s="55">
        <v>45597</v>
      </c>
      <c r="K315" s="54" t="s">
        <v>198</v>
      </c>
      <c r="L315" s="8" t="s">
        <v>124</v>
      </c>
      <c r="M315" s="8" t="s">
        <v>37</v>
      </c>
      <c r="N315" s="52" t="str">
        <f>IF(Follow[[#This Row],[DATAATUALIZAÇÃO]]&lt;=Follow[[#This Row],[Prev Entrega]],"Dentro do Prazo","Fora do Prazo")</f>
        <v>Dentro do Prazo</v>
      </c>
      <c r="O3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01/11/2024, referente ao pedido Nº Pedido 71 Rastreio Pedido 71, agradecemos a preferência e adoraríamos receber sua avaliação, tendo qualquer dúvida estamos à disposição.
Att
Tem tudo Shop</v>
      </c>
    </row>
    <row r="316" spans="1:15">
      <c r="A316" s="52" t="str">
        <f>_xlfn.XLOOKUP(Follow[[#This Row],[CODRASTREIO]],Controle_Pedidos[Cód Rastreamento],Controle_Pedidos[Número Pedido Cliente])</f>
        <v>Pedido 589</v>
      </c>
      <c r="B316" s="2" t="s">
        <v>18016</v>
      </c>
      <c r="C316" s="2" t="str">
        <f>Follow[[#This Row],[CODRASTREIO]]&amp;" B"</f>
        <v>CódRastreio574 B</v>
      </c>
      <c r="D316" s="52" t="str">
        <f>_xlfn.XLOOKUP(Follow[[#This Row],[Id Pedido]],Controle_Pedidos[Número Pedido Cliente],Controle_Pedidos[Loja])</f>
        <v>BV</v>
      </c>
      <c r="E316" s="9">
        <f>_xlfn.XLOOKUP(Follow[[#This Row],[Id Pedido]],Controle_Pedidos[Número Pedido Cliente],Controle_Pedidos[Prazo Entrega])</f>
        <v>45675</v>
      </c>
      <c r="F316" s="9" t="s">
        <v>19433</v>
      </c>
      <c r="G316" s="9" t="s">
        <v>37</v>
      </c>
      <c r="H316" s="52" t="s">
        <v>178</v>
      </c>
      <c r="I316" s="52" t="s">
        <v>178</v>
      </c>
      <c r="J316" s="55">
        <v>45656</v>
      </c>
      <c r="K316" s="52" t="s">
        <v>198</v>
      </c>
      <c r="L316" s="8" t="s">
        <v>124</v>
      </c>
      <c r="M316" s="8" t="s">
        <v>37</v>
      </c>
      <c r="N316" s="52" t="str">
        <f>IF(Follow[[#This Row],[DATAATUALIZAÇÃO]]&lt;=Follow[[#This Row],[Prev Entrega]],"Dentro do Prazo","Fora do Prazo")</f>
        <v>Dentro do Prazo</v>
      </c>
      <c r="O3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30/12/2024, referente ao pedido Nº Pedido 589 Rastreio Pedido 589, agradecemos a preferência e adoraríamos receber sua avaliação, tendo qualquer dúvida estamos à disposição.
Att
Tem tudo Shop</v>
      </c>
    </row>
    <row r="317" spans="1:15">
      <c r="A317" s="52" t="str">
        <f>_xlfn.XLOOKUP(Follow[[#This Row],[CODRASTREIO]],Controle_Pedidos[Cód Rastreamento],Controle_Pedidos[Número Pedido Cliente])</f>
        <v>Pedido 17</v>
      </c>
      <c r="B317" s="2" t="s">
        <v>17450</v>
      </c>
      <c r="C317" s="2" t="str">
        <f>Follow[[#This Row],[CODRASTREIO]]&amp;" B"</f>
        <v>CódRastreio8 B</v>
      </c>
      <c r="D317" s="52" t="str">
        <f>_xlfn.XLOOKUP(Follow[[#This Row],[Id Pedido]],Controle_Pedidos[Número Pedido Cliente],Controle_Pedidos[Loja])</f>
        <v>BV</v>
      </c>
      <c r="E317" s="9">
        <f>_xlfn.XLOOKUP(Follow[[#This Row],[Id Pedido]],Controle_Pedidos[Número Pedido Cliente],Controle_Pedidos[Prazo Entrega])</f>
        <v>45604</v>
      </c>
      <c r="F317" s="9" t="s">
        <v>19433</v>
      </c>
      <c r="G317" s="9" t="s">
        <v>37</v>
      </c>
      <c r="H317" s="52" t="s">
        <v>178</v>
      </c>
      <c r="I317" s="52" t="s">
        <v>178</v>
      </c>
      <c r="J317" s="55">
        <v>45593</v>
      </c>
      <c r="K317" s="54" t="s">
        <v>198</v>
      </c>
      <c r="L317" s="8" t="s">
        <v>124</v>
      </c>
      <c r="M317" s="8" t="s">
        <v>37</v>
      </c>
      <c r="N317" s="52" t="str">
        <f>IF(Follow[[#This Row],[DATAATUALIZAÇÃO]]&lt;=Follow[[#This Row],[Prev Entrega]],"Dentro do Prazo","Fora do Prazo")</f>
        <v>Dentro do Prazo</v>
      </c>
      <c r="O3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28/10/2024, referente ao pedido Nº Pedido 17 Rastreio Pedido 17, agradecemos a preferência e adoraríamos receber sua avaliação, tendo qualquer dúvida estamos à disposição.
Att
Tem tudo Shop</v>
      </c>
    </row>
    <row r="318" spans="1:15">
      <c r="A318" s="52" t="str">
        <f>_xlfn.XLOOKUP(Follow[[#This Row],[CODRASTREIO]],Controle_Pedidos[Cód Rastreamento],Controle_Pedidos[Número Pedido Cliente])</f>
        <v>Pedido 621</v>
      </c>
      <c r="B318" s="2" t="s">
        <v>18046</v>
      </c>
      <c r="C318" s="2" t="str">
        <f>Follow[[#This Row],[CODRASTREIO]]&amp;" B"</f>
        <v>CódRastreio604 B</v>
      </c>
      <c r="D318" s="52" t="str">
        <f>_xlfn.XLOOKUP(Follow[[#This Row],[Id Pedido]],Controle_Pedidos[Número Pedido Cliente],Controle_Pedidos[Loja])</f>
        <v>BV</v>
      </c>
      <c r="E318" s="9">
        <f>_xlfn.XLOOKUP(Follow[[#This Row],[Id Pedido]],Controle_Pedidos[Número Pedido Cliente],Controle_Pedidos[Prazo Entrega])</f>
        <v>45680</v>
      </c>
      <c r="F318" s="9" t="s">
        <v>19433</v>
      </c>
      <c r="G318" s="9" t="s">
        <v>37</v>
      </c>
      <c r="H318" s="52" t="s">
        <v>179</v>
      </c>
      <c r="I318" s="52" t="s">
        <v>178</v>
      </c>
      <c r="J318" s="55">
        <v>45665</v>
      </c>
      <c r="K318" s="52" t="s">
        <v>198</v>
      </c>
      <c r="L318" s="8" t="s">
        <v>124</v>
      </c>
      <c r="M318" s="8" t="s">
        <v>37</v>
      </c>
      <c r="N318" s="52" t="str">
        <f>IF(Follow[[#This Row],[DATAATUALIZAÇÃO]]&lt;=Follow[[#This Row],[Prev Entrega]],"Dentro do Prazo","Fora do Prazo")</f>
        <v>Dentro do Prazo</v>
      </c>
      <c r="O3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621 Rastreio Pedido 621, agradecemos a preferência e adoraríamos receber sua avaliação, tendo qualquer dúvida estamos à disposição.
Att
Tem tudo Shop</v>
      </c>
    </row>
    <row r="319" spans="1:15">
      <c r="A319" s="52" t="str">
        <f>_xlfn.XLOOKUP(Follow[[#This Row],[CODRASTREIO]],Controle_Pedidos[Cód Rastreamento],Controle_Pedidos[Número Pedido Cliente])</f>
        <v>Pedido 196</v>
      </c>
      <c r="B319" s="2" t="s">
        <v>17631</v>
      </c>
      <c r="C319" s="2" t="str">
        <f>Follow[[#This Row],[CODRASTREIO]]&amp;" B"</f>
        <v>CódRastreio189 B</v>
      </c>
      <c r="D319" s="52" t="str">
        <f>_xlfn.XLOOKUP(Follow[[#This Row],[Id Pedido]],Controle_Pedidos[Número Pedido Cliente],Controle_Pedidos[Loja])</f>
        <v>BV</v>
      </c>
      <c r="E319" s="9">
        <f>_xlfn.XLOOKUP(Follow[[#This Row],[Id Pedido]],Controle_Pedidos[Número Pedido Cliente],Controle_Pedidos[Prazo Entrega])</f>
        <v>45611</v>
      </c>
      <c r="F319" s="9" t="s">
        <v>19433</v>
      </c>
      <c r="G319" s="9" t="s">
        <v>37</v>
      </c>
      <c r="H319" s="52" t="s">
        <v>179</v>
      </c>
      <c r="I319" s="52" t="s">
        <v>178</v>
      </c>
      <c r="J319" s="55">
        <v>45611</v>
      </c>
      <c r="K319" s="54" t="s">
        <v>198</v>
      </c>
      <c r="L319" s="8" t="s">
        <v>124</v>
      </c>
      <c r="M319" s="8" t="s">
        <v>37</v>
      </c>
      <c r="N319" s="52" t="str">
        <f>IF(Follow[[#This Row],[DATAATUALIZAÇÃO]]&lt;=Follow[[#This Row],[Prev Entrega]],"Dentro do Prazo","Fora do Prazo")</f>
        <v>Dentro do Prazo</v>
      </c>
      <c r="O3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15/11/2024, referente ao pedido Nº Pedido 196 Rastreio Pedido 196, agradecemos a preferência e adoraríamos receber sua avaliação, tendo qualquer dúvida estamos à disposição.
Att
Tem tudo Shop</v>
      </c>
    </row>
    <row r="320" spans="1:15">
      <c r="A320" s="52" t="str">
        <f>_xlfn.XLOOKUP(Follow[[#This Row],[CODRASTREIO]],Controle_Pedidos[Cód Rastreamento],Controle_Pedidos[Número Pedido Cliente])</f>
        <v>Pedido 187</v>
      </c>
      <c r="B320" s="2" t="s">
        <v>17622</v>
      </c>
      <c r="C320" s="2" t="str">
        <f>Follow[[#This Row],[CODRASTREIO]]&amp;" B"</f>
        <v>CódRastreio180 B</v>
      </c>
      <c r="D320" s="52" t="str">
        <f>_xlfn.XLOOKUP(Follow[[#This Row],[Id Pedido]],Controle_Pedidos[Número Pedido Cliente],Controle_Pedidos[Loja])</f>
        <v>BV</v>
      </c>
      <c r="E320" s="9">
        <f>_xlfn.XLOOKUP(Follow[[#This Row],[Id Pedido]],Controle_Pedidos[Número Pedido Cliente],Controle_Pedidos[Prazo Entrega])</f>
        <v>45618</v>
      </c>
      <c r="F320" s="9" t="s">
        <v>19433</v>
      </c>
      <c r="G320" s="9" t="s">
        <v>37</v>
      </c>
      <c r="H320" s="52" t="s">
        <v>179</v>
      </c>
      <c r="I320" s="52" t="s">
        <v>178</v>
      </c>
      <c r="J320" s="55">
        <v>45607</v>
      </c>
      <c r="K320" s="54" t="s">
        <v>198</v>
      </c>
      <c r="L320" s="8" t="s">
        <v>124</v>
      </c>
      <c r="M320" s="8" t="s">
        <v>37</v>
      </c>
      <c r="N320" s="52" t="str">
        <f>IF(Follow[[#This Row],[DATAATUALIZAÇÃO]]&lt;=Follow[[#This Row],[Prev Entrega]],"Dentro do Prazo","Fora do Prazo")</f>
        <v>Dentro do Prazo</v>
      </c>
      <c r="O3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11/11/2024, referente ao pedido Nº Pedido 187 Rastreio Pedido 187, agradecemos a preferência e adoraríamos receber sua avaliação, tendo qualquer dúvida estamos à disposição.
Att
Tem tudo Shop</v>
      </c>
    </row>
    <row r="321" spans="1:15">
      <c r="A321" s="52" t="str">
        <f>_xlfn.XLOOKUP(Follow[[#This Row],[CODRASTREIO]],Controle_Pedidos[Cód Rastreamento],Controle_Pedidos[Número Pedido Cliente])</f>
        <v>Pedido 374</v>
      </c>
      <c r="B321" s="2" t="s">
        <v>17806</v>
      </c>
      <c r="C321" s="2" t="str">
        <f>Follow[[#This Row],[CODRASTREIO]]&amp;" B"</f>
        <v>CódRastreio364 B</v>
      </c>
      <c r="D321" s="52" t="str">
        <f>_xlfn.XLOOKUP(Follow[[#This Row],[Id Pedido]],Controle_Pedidos[Número Pedido Cliente],Controle_Pedidos[Loja])</f>
        <v>BV</v>
      </c>
      <c r="E321" s="9">
        <f>_xlfn.XLOOKUP(Follow[[#This Row],[Id Pedido]],Controle_Pedidos[Número Pedido Cliente],Controle_Pedidos[Prazo Entrega])</f>
        <v>45646</v>
      </c>
      <c r="F321" s="9" t="s">
        <v>19433</v>
      </c>
      <c r="G321" s="9" t="s">
        <v>37</v>
      </c>
      <c r="H321" s="55" t="s">
        <v>179</v>
      </c>
      <c r="I321" s="55" t="s">
        <v>178</v>
      </c>
      <c r="J321" s="55">
        <v>45630</v>
      </c>
      <c r="K321" s="54" t="s">
        <v>198</v>
      </c>
      <c r="L321" s="8" t="s">
        <v>124</v>
      </c>
      <c r="M321" s="8" t="s">
        <v>37</v>
      </c>
      <c r="N321" s="52" t="str">
        <f>IF(Follow[[#This Row],[DATAATUALIZAÇÃO]]&lt;=Follow[[#This Row],[Prev Entrega]],"Dentro do Prazo","Fora do Prazo")</f>
        <v>Dentro do Prazo</v>
      </c>
      <c r="O3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04/12/2024, referente ao pedido Nº Pedido 374 Rastreio Pedido 374, agradecemos a preferência e adoraríamos receber sua avaliação, tendo qualquer dúvida estamos à disposição.
Att
Tem tudo Shop</v>
      </c>
    </row>
    <row r="322" spans="1:15">
      <c r="A322" s="52" t="str">
        <f>_xlfn.XLOOKUP(Follow[[#This Row],[CODRASTREIO]],Controle_Pedidos[Cód Rastreamento],Controle_Pedidos[Número Pedido Cliente])</f>
        <v>Pedido 516</v>
      </c>
      <c r="B322" s="2" t="s">
        <v>17943</v>
      </c>
      <c r="C322" s="2" t="str">
        <f>Follow[[#This Row],[CODRASTREIO]]&amp;" B"</f>
        <v>CódRastreio501 B</v>
      </c>
      <c r="D322" s="52" t="str">
        <f>_xlfn.XLOOKUP(Follow[[#This Row],[Id Pedido]],Controle_Pedidos[Número Pedido Cliente],Controle_Pedidos[Loja])</f>
        <v>BV</v>
      </c>
      <c r="E322" s="9">
        <f>_xlfn.XLOOKUP(Follow[[#This Row],[Id Pedido]],Controle_Pedidos[Número Pedido Cliente],Controle_Pedidos[Prazo Entrega])</f>
        <v>45672</v>
      </c>
      <c r="F322" s="9" t="s">
        <v>19433</v>
      </c>
      <c r="G322" s="9" t="s">
        <v>37</v>
      </c>
      <c r="H322" s="52" t="s">
        <v>179</v>
      </c>
      <c r="I322" s="52" t="s">
        <v>178</v>
      </c>
      <c r="J322" s="55">
        <v>45650</v>
      </c>
      <c r="K322" s="52" t="s">
        <v>198</v>
      </c>
      <c r="L322" s="8" t="s">
        <v>124</v>
      </c>
      <c r="M322" s="8" t="s">
        <v>37</v>
      </c>
      <c r="N322" s="52" t="str">
        <f>IF(Follow[[#This Row],[DATAATUALIZAÇÃO]]&lt;=Follow[[#This Row],[Prev Entrega]],"Dentro do Prazo","Fora do Prazo")</f>
        <v>Dentro do Prazo</v>
      </c>
      <c r="O3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24/12/2024, referente ao pedido Nº Pedido 516 Rastreio Pedido 516, agradecemos a preferência e adoraríamos receber sua avaliação, tendo qualquer dúvida estamos à disposição.
Att
Tem tudo Shop</v>
      </c>
    </row>
    <row r="323" spans="1:15">
      <c r="A323" s="52" t="str">
        <f>_xlfn.XLOOKUP(Follow[[#This Row],[CODRASTREIO]],Controle_Pedidos[Cód Rastreamento],Controle_Pedidos[Número Pedido Cliente])</f>
        <v>Pedido 417</v>
      </c>
      <c r="B323" s="2" t="s">
        <v>17848</v>
      </c>
      <c r="C323" s="2" t="str">
        <f>Follow[[#This Row],[CODRASTREIO]]&amp;" B"</f>
        <v>CódRastreio406 B</v>
      </c>
      <c r="D323" s="52" t="str">
        <f>_xlfn.XLOOKUP(Follow[[#This Row],[Id Pedido]],Controle_Pedidos[Número Pedido Cliente],Controle_Pedidos[Loja])</f>
        <v>BV</v>
      </c>
      <c r="E323" s="9">
        <f>_xlfn.XLOOKUP(Follow[[#This Row],[Id Pedido]],Controle_Pedidos[Número Pedido Cliente],Controle_Pedidos[Prazo Entrega])</f>
        <v>45638</v>
      </c>
      <c r="F323" s="9" t="s">
        <v>19433</v>
      </c>
      <c r="G323" s="9" t="s">
        <v>37</v>
      </c>
      <c r="H323" s="55" t="s">
        <v>179</v>
      </c>
      <c r="I323" s="55" t="s">
        <v>178</v>
      </c>
      <c r="J323" s="55">
        <v>45630</v>
      </c>
      <c r="K323" s="54" t="s">
        <v>198</v>
      </c>
      <c r="L323" s="8" t="s">
        <v>124</v>
      </c>
      <c r="M323" s="8" t="s">
        <v>199</v>
      </c>
      <c r="N323" s="52" t="str">
        <f>IF(Follow[[#This Row],[DATAATUALIZAÇÃO]]&lt;=Follow[[#This Row],[Prev Entrega]],"Dentro do Prazo","Fora do Prazo")</f>
        <v>Dentro do Prazo</v>
      </c>
      <c r="O3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04/12/2024, referente ao pedido Nº Pedido 417 Rastreio Pedido 417, agradecemos a preferência e adoraríamos receber sua avaliação, tendo qualquer dúvida estamos à disposição.
Att
Tem tudo Shop</v>
      </c>
    </row>
    <row r="324" spans="1:15">
      <c r="A324" s="52" t="str">
        <f>_xlfn.XLOOKUP(Follow[[#This Row],[CODRASTREIO]],Controle_Pedidos[Cód Rastreamento],Controle_Pedidos[Número Pedido Cliente])</f>
        <v>Pedido 418</v>
      </c>
      <c r="B324" s="2" t="s">
        <v>17849</v>
      </c>
      <c r="C324" s="2" t="str">
        <f>Follow[[#This Row],[CODRASTREIO]]&amp;" B"</f>
        <v>CódRastreio407 B</v>
      </c>
      <c r="D324" s="52" t="str">
        <f>_xlfn.XLOOKUP(Follow[[#This Row],[Id Pedido]],Controle_Pedidos[Número Pedido Cliente],Controle_Pedidos[Loja])</f>
        <v>BV</v>
      </c>
      <c r="E324" s="9">
        <f>_xlfn.XLOOKUP(Follow[[#This Row],[Id Pedido]],Controle_Pedidos[Número Pedido Cliente],Controle_Pedidos[Prazo Entrega])</f>
        <v>45638</v>
      </c>
      <c r="F324" s="9" t="s">
        <v>19433</v>
      </c>
      <c r="G324" s="9" t="s">
        <v>37</v>
      </c>
      <c r="H324" s="55" t="s">
        <v>179</v>
      </c>
      <c r="I324" s="55" t="s">
        <v>178</v>
      </c>
      <c r="J324" s="55">
        <v>45630</v>
      </c>
      <c r="K324" s="54" t="s">
        <v>198</v>
      </c>
      <c r="L324" s="8" t="s">
        <v>124</v>
      </c>
      <c r="M324" s="8" t="s">
        <v>199</v>
      </c>
      <c r="N324" s="52" t="str">
        <f>IF(Follow[[#This Row],[DATAATUALIZAÇÃO]]&lt;=Follow[[#This Row],[Prev Entrega]],"Dentro do Prazo","Fora do Prazo")</f>
        <v>Dentro do Prazo</v>
      </c>
      <c r="O3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04/12/2024, referente ao pedido Nº Pedido 418 Rastreio Pedido 418, agradecemos a preferência e adoraríamos receber sua avaliação, tendo qualquer dúvida estamos à disposição.
Att
Tem tudo Shop</v>
      </c>
    </row>
    <row r="325" spans="1:15">
      <c r="A325" s="52" t="str">
        <f>_xlfn.XLOOKUP(Follow[[#This Row],[CODRASTREIO]],Controle_Pedidos[Cód Rastreamento],Controle_Pedidos[Número Pedido Cliente])</f>
        <v>Pedido 411</v>
      </c>
      <c r="B325" s="2" t="s">
        <v>17842</v>
      </c>
      <c r="C325" s="2" t="str">
        <f>Follow[[#This Row],[CODRASTREIO]]&amp;" B"</f>
        <v>CódRastreio400 B</v>
      </c>
      <c r="D325" s="52" t="str">
        <f>_xlfn.XLOOKUP(Follow[[#This Row],[Id Pedido]],Controle_Pedidos[Número Pedido Cliente],Controle_Pedidos[Loja])</f>
        <v>BV</v>
      </c>
      <c r="E325" s="9">
        <f>_xlfn.XLOOKUP(Follow[[#This Row],[Id Pedido]],Controle_Pedidos[Número Pedido Cliente],Controle_Pedidos[Prazo Entrega])</f>
        <v>45643</v>
      </c>
      <c r="F325" s="9" t="s">
        <v>19433</v>
      </c>
      <c r="G325" s="9" t="s">
        <v>37</v>
      </c>
      <c r="H325" s="52" t="s">
        <v>178</v>
      </c>
      <c r="I325" s="52" t="s">
        <v>178</v>
      </c>
      <c r="J325" s="55">
        <v>45622</v>
      </c>
      <c r="K325" s="54" t="s">
        <v>198</v>
      </c>
      <c r="L325" s="8" t="s">
        <v>124</v>
      </c>
      <c r="M325" s="8" t="s">
        <v>37</v>
      </c>
      <c r="N325" s="52" t="str">
        <f>IF(Follow[[#This Row],[DATAATUALIZAÇÃO]]&lt;=Follow[[#This Row],[Prev Entrega]],"Dentro do Prazo","Fora do Prazo")</f>
        <v>Dentro do Prazo</v>
      </c>
      <c r="O3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Mixer Misturador foi entregue no dia 26/11/2024, referente ao pedido Nº Pedido 411 Rastreio Pedido 411, agradecemos a preferência e adoraríamos receber sua avaliação, tendo qualquer dúvida estamos à disposição.
Att
Tem tudo Shop</v>
      </c>
    </row>
    <row r="326" spans="1:15">
      <c r="A326" s="52" t="str">
        <f>_xlfn.XLOOKUP(Follow[[#This Row],[CODRASTREIO]],Controle_Pedidos[Cód Rastreamento],Controle_Pedidos[Número Pedido Cliente])</f>
        <v>Pedido 149</v>
      </c>
      <c r="B326" s="2" t="s">
        <v>17584</v>
      </c>
      <c r="C326" s="2" t="str">
        <f>Follow[[#This Row],[CODRASTREIO]]&amp;" B"</f>
        <v>CódRastreio142 B</v>
      </c>
      <c r="D326" s="52" t="str">
        <f>_xlfn.XLOOKUP(Follow[[#This Row],[Id Pedido]],Controle_Pedidos[Número Pedido Cliente],Controle_Pedidos[Loja])</f>
        <v>BV</v>
      </c>
      <c r="E326" s="9">
        <f>_xlfn.XLOOKUP(Follow[[#This Row],[Id Pedido]],Controle_Pedidos[Número Pedido Cliente],Controle_Pedidos[Prazo Entrega])</f>
        <v>45608</v>
      </c>
      <c r="F326" s="9" t="s">
        <v>19433</v>
      </c>
      <c r="G326" s="9" t="s">
        <v>37</v>
      </c>
      <c r="H326" s="52" t="s">
        <v>178</v>
      </c>
      <c r="I326" s="52" t="s">
        <v>178</v>
      </c>
      <c r="J326" s="55">
        <v>45596</v>
      </c>
      <c r="K326" s="54" t="s">
        <v>198</v>
      </c>
      <c r="L326" s="8" t="s">
        <v>124</v>
      </c>
      <c r="M326" s="8" t="s">
        <v>37</v>
      </c>
      <c r="N326" s="52" t="str">
        <f>IF(Follow[[#This Row],[DATAATUALIZAÇÃO]]&lt;=Follow[[#This Row],[Prev Entrega]],"Dentro do Prazo","Fora do Prazo")</f>
        <v>Dentro do Prazo</v>
      </c>
      <c r="O3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31/10/2024, referente ao pedido Nº Pedido 149 Rastreio Pedido 149, agradecemos a preferência e adoraríamos receber sua avaliação, tendo qualquer dúvida estamos à disposição.
Att
Tem tudo Shop</v>
      </c>
    </row>
    <row r="327" spans="1:15">
      <c r="A327" s="52" t="str">
        <f>_xlfn.XLOOKUP(Follow[[#This Row],[CODRASTREIO]],Controle_Pedidos[Cód Rastreamento],Controle_Pedidos[Número Pedido Cliente])</f>
        <v>Pedido 492</v>
      </c>
      <c r="B327" s="2" t="s">
        <v>17920</v>
      </c>
      <c r="C327" s="2" t="str">
        <f>Follow[[#This Row],[CODRASTREIO]]&amp;" B"</f>
        <v>CódRastreio478 B</v>
      </c>
      <c r="D327" s="52" t="str">
        <f>_xlfn.XLOOKUP(Follow[[#This Row],[Id Pedido]],Controle_Pedidos[Número Pedido Cliente],Controle_Pedidos[Loja])</f>
        <v>BV</v>
      </c>
      <c r="E327" s="9">
        <f>_xlfn.XLOOKUP(Follow[[#This Row],[Id Pedido]],Controle_Pedidos[Número Pedido Cliente],Controle_Pedidos[Prazo Entrega])</f>
        <v>45660</v>
      </c>
      <c r="F327" s="9" t="s">
        <v>19433</v>
      </c>
      <c r="G327" s="9" t="s">
        <v>37</v>
      </c>
      <c r="H327" s="55" t="s">
        <v>179</v>
      </c>
      <c r="I327" s="55" t="s">
        <v>178</v>
      </c>
      <c r="J327" s="55">
        <v>45638</v>
      </c>
      <c r="K327" s="52" t="s">
        <v>198</v>
      </c>
      <c r="L327" s="8" t="s">
        <v>124</v>
      </c>
      <c r="M327" s="8" t="s">
        <v>37</v>
      </c>
      <c r="N327" s="52" t="str">
        <f>IF(Follow[[#This Row],[DATAATUALIZAÇÃO]]&lt;=Follow[[#This Row],[Prev Entrega]],"Dentro do Prazo","Fora do Prazo")</f>
        <v>Dentro do Prazo</v>
      </c>
      <c r="O3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12/12/2024, referente ao pedido Nº Pedido 492 Rastreio Pedido 492, agradecemos a preferência e adoraríamos receber sua avaliação, tendo qualquer dúvida estamos à disposição.
Att
Tem tudo Shop</v>
      </c>
    </row>
    <row r="328" spans="1:15">
      <c r="A328" s="52" t="str">
        <f>_xlfn.XLOOKUP(Follow[[#This Row],[CODRASTREIO]],Controle_Pedidos[Cód Rastreamento],Controle_Pedidos[Número Pedido Cliente])</f>
        <v>Pedido 156</v>
      </c>
      <c r="B328" s="2" t="s">
        <v>17591</v>
      </c>
      <c r="C328" s="2" t="str">
        <f>Follow[[#This Row],[CODRASTREIO]]&amp;" B"</f>
        <v>CódRastreio149 B</v>
      </c>
      <c r="D328" s="52" t="str">
        <f>_xlfn.XLOOKUP(Follow[[#This Row],[Id Pedido]],Controle_Pedidos[Número Pedido Cliente],Controle_Pedidos[Loja])</f>
        <v>BV</v>
      </c>
      <c r="E328" s="9">
        <f>_xlfn.XLOOKUP(Follow[[#This Row],[Id Pedido]],Controle_Pedidos[Número Pedido Cliente],Controle_Pedidos[Prazo Entrega])</f>
        <v>45615</v>
      </c>
      <c r="F328" s="9" t="s">
        <v>19433</v>
      </c>
      <c r="G328" s="9" t="s">
        <v>37</v>
      </c>
      <c r="H328" s="52" t="s">
        <v>178</v>
      </c>
      <c r="I328" s="52" t="s">
        <v>178</v>
      </c>
      <c r="J328" s="55">
        <v>45600</v>
      </c>
      <c r="K328" s="54" t="s">
        <v>198</v>
      </c>
      <c r="L328" s="8" t="s">
        <v>124</v>
      </c>
      <c r="M328" s="8" t="s">
        <v>37</v>
      </c>
      <c r="N328" s="52" t="str">
        <f>IF(Follow[[#This Row],[DATAATUALIZAÇÃO]]&lt;=Follow[[#This Row],[Prev Entrega]],"Dentro do Prazo","Fora do Prazo")</f>
        <v>Dentro do Prazo</v>
      </c>
      <c r="O3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156 Rastreio Pedido 156, agradecemos a preferência e adoraríamos receber sua avaliação, tendo qualquer dúvida estamos à disposição.
Att
Tem tudo Shop</v>
      </c>
    </row>
    <row r="329" spans="1:15">
      <c r="A329" s="52" t="str">
        <f>_xlfn.XLOOKUP(Follow[[#This Row],[CODRASTREIO]],Controle_Pedidos[Cód Rastreamento],Controle_Pedidos[Número Pedido Cliente])</f>
        <v>Pedido 53</v>
      </c>
      <c r="B329" s="2" t="s">
        <v>17486</v>
      </c>
      <c r="C329" s="2" t="str">
        <f>Follow[[#This Row],[CODRASTREIO]]&amp;" B"</f>
        <v>CódRastreio44 B</v>
      </c>
      <c r="D329" s="52" t="str">
        <f>_xlfn.XLOOKUP(Follow[[#This Row],[Id Pedido]],Controle_Pedidos[Número Pedido Cliente],Controle_Pedidos[Loja])</f>
        <v>BV</v>
      </c>
      <c r="E329" s="9">
        <f>_xlfn.XLOOKUP(Follow[[#This Row],[Id Pedido]],Controle_Pedidos[Número Pedido Cliente],Controle_Pedidos[Prazo Entrega])</f>
        <v>45615</v>
      </c>
      <c r="F329" s="9" t="s">
        <v>19433</v>
      </c>
      <c r="G329" s="9" t="s">
        <v>37</v>
      </c>
      <c r="H329" s="52" t="s">
        <v>178</v>
      </c>
      <c r="I329" s="52" t="s">
        <v>178</v>
      </c>
      <c r="J329" s="55">
        <v>45601</v>
      </c>
      <c r="K329" s="54" t="s">
        <v>198</v>
      </c>
      <c r="L329" s="8" t="s">
        <v>124</v>
      </c>
      <c r="M329" s="8" t="s">
        <v>37</v>
      </c>
      <c r="N329" s="52" t="str">
        <f>IF(Follow[[#This Row],[DATAATUALIZAÇÃO]]&lt;=Follow[[#This Row],[Prev Entrega]],"Dentro do Prazo","Fora do Prazo")</f>
        <v>Dentro do Prazo</v>
      </c>
      <c r="O3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53 Rastreio Pedido 53, agradecemos a preferência e adoraríamos receber sua avaliação, tendo qualquer dúvida estamos à disposição.
Att
Tem tudo Shop</v>
      </c>
    </row>
    <row r="330" spans="1:15">
      <c r="A330" s="52" t="str">
        <f>_xlfn.XLOOKUP(Follow[[#This Row],[CODRASTREIO]],Controle_Pedidos[Cód Rastreamento],Controle_Pedidos[Número Pedido Cliente])</f>
        <v>Pedido 567</v>
      </c>
      <c r="B330" s="2" t="s">
        <v>17994</v>
      </c>
      <c r="C330" s="2" t="str">
        <f>Follow[[#This Row],[CODRASTREIO]]&amp;" B"</f>
        <v>CódRastreio552 B</v>
      </c>
      <c r="D330" s="52" t="str">
        <f>_xlfn.XLOOKUP(Follow[[#This Row],[Id Pedido]],Controle_Pedidos[Número Pedido Cliente],Controle_Pedidos[Loja])</f>
        <v>BV</v>
      </c>
      <c r="E330" s="9">
        <f>_xlfn.XLOOKUP(Follow[[#This Row],[Id Pedido]],Controle_Pedidos[Número Pedido Cliente],Controle_Pedidos[Prazo Entrega])</f>
        <v>45672</v>
      </c>
      <c r="F330" s="9" t="s">
        <v>19433</v>
      </c>
      <c r="G330" s="9" t="s">
        <v>37</v>
      </c>
      <c r="H330" s="52" t="s">
        <v>179</v>
      </c>
      <c r="I330" s="52" t="s">
        <v>178</v>
      </c>
      <c r="J330" s="55">
        <v>45656</v>
      </c>
      <c r="K330" s="52" t="s">
        <v>198</v>
      </c>
      <c r="L330" s="8" t="s">
        <v>124</v>
      </c>
      <c r="M330" s="8" t="s">
        <v>37</v>
      </c>
      <c r="N330" s="52" t="str">
        <f>IF(Follow[[#This Row],[DATAATUALIZAÇÃO]]&lt;=Follow[[#This Row],[Prev Entrega]],"Dentro do Prazo","Fora do Prazo")</f>
        <v>Dentro do Prazo</v>
      </c>
      <c r="O3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30/12/2024, referente ao pedido Nº Pedido 567 Rastreio Pedido 567, agradecemos a preferência e adoraríamos receber sua avaliação, tendo qualquer dúvida estamos à disposição.
Att
Tem tudo Shop</v>
      </c>
    </row>
    <row r="331" spans="1:15">
      <c r="A331" s="52" t="str">
        <f>_xlfn.XLOOKUP(Follow[[#This Row],[CODRASTREIO]],Controle_Pedidos[Cód Rastreamento],Controle_Pedidos[Número Pedido Cliente])</f>
        <v>Pedido 123</v>
      </c>
      <c r="B331" s="2" t="s">
        <v>17558</v>
      </c>
      <c r="C331" s="2" t="str">
        <f>Follow[[#This Row],[CODRASTREIO]]&amp;" B"</f>
        <v>CódRastreio116 B</v>
      </c>
      <c r="D331" s="52" t="str">
        <f>_xlfn.XLOOKUP(Follow[[#This Row],[Id Pedido]],Controle_Pedidos[Número Pedido Cliente],Controle_Pedidos[Loja])</f>
        <v>BV</v>
      </c>
      <c r="E331" s="9">
        <f>_xlfn.XLOOKUP(Follow[[#This Row],[Id Pedido]],Controle_Pedidos[Número Pedido Cliente],Controle_Pedidos[Prazo Entrega])</f>
        <v>45624</v>
      </c>
      <c r="F331" s="9" t="s">
        <v>19433</v>
      </c>
      <c r="G331" s="9" t="s">
        <v>37</v>
      </c>
      <c r="H331" s="52" t="s">
        <v>179</v>
      </c>
      <c r="I331" s="52" t="s">
        <v>178</v>
      </c>
      <c r="J331" s="55">
        <v>45607</v>
      </c>
      <c r="K331" s="54" t="s">
        <v>198</v>
      </c>
      <c r="L331" s="8" t="s">
        <v>124</v>
      </c>
      <c r="M331" s="8" t="s">
        <v>37</v>
      </c>
      <c r="N331" s="52" t="str">
        <f>IF(Follow[[#This Row],[DATAATUALIZAÇÃO]]&lt;=Follow[[#This Row],[Prev Entrega]],"Dentro do Prazo","Fora do Prazo")</f>
        <v>Dentro do Prazo</v>
      </c>
      <c r="O3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11/11/2024, referente ao pedido Nº Pedido 123 Rastreio Pedido 123, agradecemos a preferência e adoraríamos receber sua avaliação, tendo qualquer dúvida estamos à disposição.
Att
Tem tudo Shop</v>
      </c>
    </row>
    <row r="332" spans="1:15">
      <c r="A332" s="52" t="str">
        <f>_xlfn.XLOOKUP(Follow[[#This Row],[CODRASTREIO]],Controle_Pedidos[Cód Rastreamento],Controle_Pedidos[Número Pedido Cliente])</f>
        <v>Pedido 459</v>
      </c>
      <c r="B332" s="2" t="s">
        <v>17886</v>
      </c>
      <c r="C332" s="2" t="str">
        <f>Follow[[#This Row],[CODRASTREIO]]&amp;" B"</f>
        <v>CódRastreio444 B</v>
      </c>
      <c r="D332" s="52" t="str">
        <f>_xlfn.XLOOKUP(Follow[[#This Row],[Id Pedido]],Controle_Pedidos[Número Pedido Cliente],Controle_Pedidos[Loja])</f>
        <v>BV</v>
      </c>
      <c r="E332" s="9">
        <f>_xlfn.XLOOKUP(Follow[[#This Row],[Id Pedido]],Controle_Pedidos[Número Pedido Cliente],Controle_Pedidos[Prazo Entrega])</f>
        <v>45643</v>
      </c>
      <c r="F332" s="9" t="s">
        <v>19433</v>
      </c>
      <c r="G332" s="9" t="s">
        <v>37</v>
      </c>
      <c r="H332" s="52" t="s">
        <v>178</v>
      </c>
      <c r="I332" s="52" t="s">
        <v>178</v>
      </c>
      <c r="J332" s="55">
        <v>45628</v>
      </c>
      <c r="K332" s="54" t="s">
        <v>198</v>
      </c>
      <c r="L332" s="8" t="s">
        <v>124</v>
      </c>
      <c r="M332" s="8" t="s">
        <v>37</v>
      </c>
      <c r="N332" s="52" t="str">
        <f>IF(Follow[[#This Row],[DATAATUALIZAÇÃO]]&lt;=Follow[[#This Row],[Prev Entrega]],"Dentro do Prazo","Fora do Prazo")</f>
        <v>Dentro do Prazo</v>
      </c>
      <c r="O3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02/12/2024, referente ao pedido Nº Pedido 459 Rastreio Pedido 459, agradecemos a preferência e adoraríamos receber sua avaliação, tendo qualquer dúvida estamos à disposição.
Att
Tem tudo Shop</v>
      </c>
    </row>
    <row r="333" spans="1:15">
      <c r="A333" s="52" t="str">
        <f>_xlfn.XLOOKUP(Follow[[#This Row],[CODRASTREIO]],Controle_Pedidos[Cód Rastreamento],Controle_Pedidos[Número Pedido Cliente])</f>
        <v>Pedido 116</v>
      </c>
      <c r="B333" s="2" t="s">
        <v>17551</v>
      </c>
      <c r="C333" s="2" t="str">
        <f>Follow[[#This Row],[CODRASTREIO]]&amp;" B"</f>
        <v>CódRastreio109 B</v>
      </c>
      <c r="D333" s="52" t="str">
        <f>_xlfn.XLOOKUP(Follow[[#This Row],[Id Pedido]],Controle_Pedidos[Número Pedido Cliente],Controle_Pedidos[Loja])</f>
        <v>BV</v>
      </c>
      <c r="E333" s="9">
        <f>_xlfn.XLOOKUP(Follow[[#This Row],[Id Pedido]],Controle_Pedidos[Número Pedido Cliente],Controle_Pedidos[Prazo Entrega])</f>
        <v>45617</v>
      </c>
      <c r="F333" s="9" t="s">
        <v>19433</v>
      </c>
      <c r="G333" s="9" t="s">
        <v>37</v>
      </c>
      <c r="H333" s="52" t="s">
        <v>178</v>
      </c>
      <c r="I333" s="52" t="s">
        <v>178</v>
      </c>
      <c r="J333" s="55">
        <v>45597</v>
      </c>
      <c r="K333" s="54" t="s">
        <v>198</v>
      </c>
      <c r="L333" s="8" t="s">
        <v>124</v>
      </c>
      <c r="M333" s="8" t="s">
        <v>37</v>
      </c>
      <c r="N333" s="52" t="str">
        <f>IF(Follow[[#This Row],[DATAATUALIZAÇÃO]]&lt;=Follow[[#This Row],[Prev Entrega]],"Dentro do Prazo","Fora do Prazo")</f>
        <v>Dentro do Prazo</v>
      </c>
      <c r="O3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01/11/2024, referente ao pedido Nº Pedido 116 Rastreio Pedido 116, agradecemos a preferência e adoraríamos receber sua avaliação, tendo qualquer dúvida estamos à disposição.
Att
Tem tudo Shop</v>
      </c>
    </row>
    <row r="334" spans="1:15">
      <c r="A334" s="52" t="str">
        <f>_xlfn.XLOOKUP(Follow[[#This Row],[CODRASTREIO]],Controle_Pedidos[Cód Rastreamento],Controle_Pedidos[Número Pedido Cliente])</f>
        <v>Pedido 175</v>
      </c>
      <c r="B334" s="2" t="s">
        <v>17610</v>
      </c>
      <c r="C334" s="2" t="str">
        <f>Follow[[#This Row],[CODRASTREIO]]&amp;" B"</f>
        <v>CódRastreio168 B</v>
      </c>
      <c r="D334" s="52" t="str">
        <f>_xlfn.XLOOKUP(Follow[[#This Row],[Id Pedido]],Controle_Pedidos[Número Pedido Cliente],Controle_Pedidos[Loja])</f>
        <v>BV</v>
      </c>
      <c r="E334" s="9">
        <f>_xlfn.XLOOKUP(Follow[[#This Row],[Id Pedido]],Controle_Pedidos[Número Pedido Cliente],Controle_Pedidos[Prazo Entrega])</f>
        <v>45610</v>
      </c>
      <c r="F334" s="9" t="s">
        <v>19433</v>
      </c>
      <c r="G334" s="9" t="s">
        <v>37</v>
      </c>
      <c r="H334" s="52" t="s">
        <v>178</v>
      </c>
      <c r="I334" s="52" t="s">
        <v>178</v>
      </c>
      <c r="J334" s="55">
        <v>45600</v>
      </c>
      <c r="K334" s="54" t="s">
        <v>198</v>
      </c>
      <c r="L334" s="8" t="s">
        <v>124</v>
      </c>
      <c r="M334" s="8" t="s">
        <v>37</v>
      </c>
      <c r="N334" s="52" t="str">
        <f>IF(Follow[[#This Row],[DATAATUALIZAÇÃO]]&lt;=Follow[[#This Row],[Prev Entrega]],"Dentro do Prazo","Fora do Prazo")</f>
        <v>Dentro do Prazo</v>
      </c>
      <c r="O3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175 Rastreio Pedido 175, agradecemos a preferência e adoraríamos receber sua avaliação, tendo qualquer dúvida estamos à disposição.
Att
Tem tudo Shop</v>
      </c>
    </row>
    <row r="335" spans="1:15">
      <c r="A335" s="52" t="str">
        <f>_xlfn.XLOOKUP(Follow[[#This Row],[CODRASTREIO]],Controle_Pedidos[Cód Rastreamento],Controle_Pedidos[Número Pedido Cliente])</f>
        <v>Pedido 223</v>
      </c>
      <c r="B335" s="2" t="s">
        <v>17658</v>
      </c>
      <c r="C335" s="2" t="str">
        <f>Follow[[#This Row],[CODRASTREIO]]&amp;" B"</f>
        <v>CódRastreio216 B</v>
      </c>
      <c r="D335" s="52" t="str">
        <f>_xlfn.XLOOKUP(Follow[[#This Row],[Id Pedido]],Controle_Pedidos[Número Pedido Cliente],Controle_Pedidos[Loja])</f>
        <v>BV</v>
      </c>
      <c r="E335" s="9">
        <f>_xlfn.XLOOKUP(Follow[[#This Row],[Id Pedido]],Controle_Pedidos[Número Pedido Cliente],Controle_Pedidos[Prazo Entrega])</f>
        <v>45626</v>
      </c>
      <c r="F335" s="9" t="s">
        <v>19433</v>
      </c>
      <c r="G335" s="9" t="s">
        <v>37</v>
      </c>
      <c r="H335" s="52" t="s">
        <v>178</v>
      </c>
      <c r="I335" s="52" t="s">
        <v>178</v>
      </c>
      <c r="J335" s="55">
        <v>45610</v>
      </c>
      <c r="K335" s="54" t="s">
        <v>198</v>
      </c>
      <c r="L335" s="8" t="s">
        <v>124</v>
      </c>
      <c r="M335" s="8" t="s">
        <v>37</v>
      </c>
      <c r="N335" s="52" t="str">
        <f>IF(Follow[[#This Row],[DATAATUALIZAÇÃO]]&lt;=Follow[[#This Row],[Prev Entrega]],"Dentro do Prazo","Fora do Prazo")</f>
        <v>Dentro do Prazo</v>
      </c>
      <c r="O3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14/11/2024, referente ao pedido Nº Pedido 223 Rastreio Pedido 223, agradecemos a preferência e adoraríamos receber sua avaliação, tendo qualquer dúvida estamos à disposição.
Att
Tem tudo Shop</v>
      </c>
    </row>
    <row r="336" spans="1:15">
      <c r="A336" s="52" t="str">
        <f>_xlfn.XLOOKUP(Follow[[#This Row],[CODRASTREIO]],Controle_Pedidos[Cód Rastreamento],Controle_Pedidos[Número Pedido Cliente])</f>
        <v>Pedido 169</v>
      </c>
      <c r="B336" s="2" t="s">
        <v>17604</v>
      </c>
      <c r="C336" s="2" t="str">
        <f>Follow[[#This Row],[CODRASTREIO]]&amp;" B"</f>
        <v>CódRastreio162 B</v>
      </c>
      <c r="D336" s="52" t="str">
        <f>_xlfn.XLOOKUP(Follow[[#This Row],[Id Pedido]],Controle_Pedidos[Número Pedido Cliente],Controle_Pedidos[Loja])</f>
        <v>BV</v>
      </c>
      <c r="E336" s="9">
        <f>_xlfn.XLOOKUP(Follow[[#This Row],[Id Pedido]],Controle_Pedidos[Número Pedido Cliente],Controle_Pedidos[Prazo Entrega])</f>
        <v>45610</v>
      </c>
      <c r="F336" s="9" t="s">
        <v>19433</v>
      </c>
      <c r="G336" s="9" t="s">
        <v>37</v>
      </c>
      <c r="H336" s="52" t="s">
        <v>178</v>
      </c>
      <c r="I336" s="52" t="s">
        <v>178</v>
      </c>
      <c r="J336" s="55">
        <v>45598</v>
      </c>
      <c r="K336" s="54" t="s">
        <v>198</v>
      </c>
      <c r="L336" s="8" t="s">
        <v>124</v>
      </c>
      <c r="M336" s="8" t="s">
        <v>37</v>
      </c>
      <c r="N336" s="52" t="str">
        <f>IF(Follow[[#This Row],[DATAATUALIZAÇÃO]]&lt;=Follow[[#This Row],[Prev Entrega]],"Dentro do Prazo","Fora do Prazo")</f>
        <v>Dentro do Prazo</v>
      </c>
      <c r="O3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02/11/2024, referente ao pedido Nº Pedido 169 Rastreio Pedido 169, agradecemos a preferência e adoraríamos receber sua avaliação, tendo qualquer dúvida estamos à disposição.
Att
Tem tudo Shop</v>
      </c>
    </row>
    <row r="337" spans="1:15">
      <c r="A337" s="52" t="str">
        <f>_xlfn.XLOOKUP(Follow[[#This Row],[CODRASTREIO]],Controle_Pedidos[Cód Rastreamento],Controle_Pedidos[Número Pedido Cliente])</f>
        <v>Pedido 14</v>
      </c>
      <c r="B337" s="2" t="s">
        <v>17447</v>
      </c>
      <c r="C337" s="2" t="str">
        <f>Follow[[#This Row],[CODRASTREIO]]&amp;" B"</f>
        <v>CódRastreio5 B</v>
      </c>
      <c r="D337" s="52" t="str">
        <f>_xlfn.XLOOKUP(Follow[[#This Row],[Id Pedido]],Controle_Pedidos[Número Pedido Cliente],Controle_Pedidos[Loja])</f>
        <v>BV</v>
      </c>
      <c r="E337" s="9">
        <f>_xlfn.XLOOKUP(Follow[[#This Row],[Id Pedido]],Controle_Pedidos[Número Pedido Cliente],Controle_Pedidos[Prazo Entrega])</f>
        <v>45610</v>
      </c>
      <c r="F337" s="9" t="s">
        <v>19433</v>
      </c>
      <c r="G337" s="9" t="s">
        <v>37</v>
      </c>
      <c r="H337" s="55" t="s">
        <v>178</v>
      </c>
      <c r="I337" s="55" t="s">
        <v>178</v>
      </c>
      <c r="J337" s="55">
        <v>45624</v>
      </c>
      <c r="K337" s="54" t="s">
        <v>198</v>
      </c>
      <c r="L337" s="8" t="s">
        <v>124</v>
      </c>
      <c r="M337" s="8" t="s">
        <v>199</v>
      </c>
      <c r="N337" s="52" t="str">
        <f>IF(Follow[[#This Row],[DATAATUALIZAÇÃO]]&lt;=Follow[[#This Row],[Prev Entrega]],"Dentro do Prazo","Fora do Prazo")</f>
        <v>Fora do Prazo</v>
      </c>
      <c r="O3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28/11/2024, referente ao pedido Nº Pedido 14 Rastreio Pedido 14, agradecemos a preferência e adoraríamos receber sua avaliação, tendo qualquer dúvida estamos à disposição.
Att
Tem tudo Shop</v>
      </c>
    </row>
    <row r="338" spans="1:15">
      <c r="A338" s="52" t="str">
        <f>_xlfn.XLOOKUP(Follow[[#This Row],[CODRASTREIO]],Controle_Pedidos[Cód Rastreamento],Controle_Pedidos[Número Pedido Cliente])</f>
        <v>Pedido 68</v>
      </c>
      <c r="B338" s="2" t="s">
        <v>17501</v>
      </c>
      <c r="C338" s="2" t="str">
        <f>Follow[[#This Row],[CODRASTREIO]]&amp;" B"</f>
        <v>CódRastreio59 B</v>
      </c>
      <c r="D338" s="52" t="str">
        <f>_xlfn.XLOOKUP(Follow[[#This Row],[Id Pedido]],Controle_Pedidos[Número Pedido Cliente],Controle_Pedidos[Loja])</f>
        <v>BV</v>
      </c>
      <c r="E338" s="9">
        <f>_xlfn.XLOOKUP(Follow[[#This Row],[Id Pedido]],Controle_Pedidos[Número Pedido Cliente],Controle_Pedidos[Prazo Entrega])</f>
        <v>45603</v>
      </c>
      <c r="F338" s="9" t="s">
        <v>19433</v>
      </c>
      <c r="G338" s="9" t="s">
        <v>37</v>
      </c>
      <c r="H338" s="52" t="s">
        <v>178</v>
      </c>
      <c r="I338" s="52" t="s">
        <v>178</v>
      </c>
      <c r="J338" s="55">
        <v>45595</v>
      </c>
      <c r="K338" s="54" t="s">
        <v>198</v>
      </c>
      <c r="L338" s="8" t="s">
        <v>124</v>
      </c>
      <c r="M338" s="8" t="s">
        <v>37</v>
      </c>
      <c r="N338" s="52" t="str">
        <f>IF(Follow[[#This Row],[DATAATUALIZAÇÃO]]&lt;=Follow[[#This Row],[Prev Entrega]],"Dentro do Prazo","Fora do Prazo")</f>
        <v>Dentro do Prazo</v>
      </c>
      <c r="O33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68 Rastreio Pedido 68, agradecemos a preferência e adoraríamos receber sua avaliação, tendo qualquer dúvida estamos à disposição.
Att
Tem tudo Shop</v>
      </c>
    </row>
    <row r="339" spans="1:15">
      <c r="A339" s="52" t="str">
        <f>_xlfn.XLOOKUP(Follow[[#This Row],[CODRASTREIO]],Controle_Pedidos[Cód Rastreamento],Controle_Pedidos[Número Pedido Cliente])</f>
        <v>Pedido 275</v>
      </c>
      <c r="B339" s="2" t="s">
        <v>17710</v>
      </c>
      <c r="C339" s="2" t="str">
        <f>Follow[[#This Row],[CODRASTREIO]]&amp;" B"</f>
        <v>CódRastreio268 B</v>
      </c>
      <c r="D339" s="52" t="str">
        <f>_xlfn.XLOOKUP(Follow[[#This Row],[Id Pedido]],Controle_Pedidos[Número Pedido Cliente],Controle_Pedidos[Loja])</f>
        <v>BV</v>
      </c>
      <c r="E339" s="9">
        <f>_xlfn.XLOOKUP(Follow[[#This Row],[Id Pedido]],Controle_Pedidos[Número Pedido Cliente],Controle_Pedidos[Prazo Entrega])</f>
        <v>45630</v>
      </c>
      <c r="F339" s="9" t="s">
        <v>19433</v>
      </c>
      <c r="G339" s="9" t="s">
        <v>37</v>
      </c>
      <c r="H339" s="52" t="s">
        <v>178</v>
      </c>
      <c r="I339" s="52" t="s">
        <v>178</v>
      </c>
      <c r="J339" s="55">
        <v>45610</v>
      </c>
      <c r="K339" s="54" t="s">
        <v>198</v>
      </c>
      <c r="L339" s="8" t="s">
        <v>124</v>
      </c>
      <c r="M339" s="8" t="s">
        <v>37</v>
      </c>
      <c r="N339" s="52" t="str">
        <f>IF(Follow[[#This Row],[DATAATUALIZAÇÃO]]&lt;=Follow[[#This Row],[Prev Entrega]],"Dentro do Prazo","Fora do Prazo")</f>
        <v>Dentro do Prazo</v>
      </c>
      <c r="O3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275 Rastreio Pedido 275, agradecemos a preferência e adoraríamos receber sua avaliação, tendo qualquer dúvida estamos à disposição.
Att
Tem tudo Shop</v>
      </c>
    </row>
    <row r="340" spans="1:15">
      <c r="A340" s="52" t="str">
        <f>_xlfn.XLOOKUP(Follow[[#This Row],[CODRASTREIO]],Controle_Pedidos[Cód Rastreamento],Controle_Pedidos[Número Pedido Cliente])</f>
        <v>Pedido 551</v>
      </c>
      <c r="B340" s="2" t="s">
        <v>17978</v>
      </c>
      <c r="C340" s="2" t="str">
        <f>Follow[[#This Row],[CODRASTREIO]]&amp;" B"</f>
        <v>CódRastreio536 B</v>
      </c>
      <c r="D340" s="52" t="str">
        <f>_xlfn.XLOOKUP(Follow[[#This Row],[Id Pedido]],Controle_Pedidos[Número Pedido Cliente],Controle_Pedidos[Loja])</f>
        <v>BV</v>
      </c>
      <c r="E340" s="9">
        <f>_xlfn.XLOOKUP(Follow[[#This Row],[Id Pedido]],Controle_Pedidos[Número Pedido Cliente],Controle_Pedidos[Prazo Entrega])</f>
        <v>45672</v>
      </c>
      <c r="F340" s="9" t="s">
        <v>19433</v>
      </c>
      <c r="G340" s="9" t="s">
        <v>37</v>
      </c>
      <c r="H340" s="52" t="s">
        <v>178</v>
      </c>
      <c r="I340" s="52" t="s">
        <v>178</v>
      </c>
      <c r="J340" s="55">
        <v>45647</v>
      </c>
      <c r="K340" s="52" t="s">
        <v>198</v>
      </c>
      <c r="L340" s="8" t="s">
        <v>124</v>
      </c>
      <c r="M340" s="8" t="s">
        <v>37</v>
      </c>
      <c r="N340" s="52" t="str">
        <f>IF(Follow[[#This Row],[DATAATUALIZAÇÃO]]&lt;=Follow[[#This Row],[Prev Entrega]],"Dentro do Prazo","Fora do Prazo")</f>
        <v>Dentro do Prazo</v>
      </c>
      <c r="O3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21/12/2024, referente ao pedido Nº Pedido 551 Rastreio Pedido 551, agradecemos a preferência e adoraríamos receber sua avaliação, tendo qualquer dúvida estamos à disposição.
Att
Tem tudo Shop</v>
      </c>
    </row>
    <row r="341" spans="1:15">
      <c r="A341" s="52" t="str">
        <f>_xlfn.XLOOKUP(Follow[[#This Row],[CODRASTREIO]],Controle_Pedidos[Cód Rastreamento],Controle_Pedidos[Número Pedido Cliente])</f>
        <v>Pedido 237</v>
      </c>
      <c r="B341" s="2" t="s">
        <v>17672</v>
      </c>
      <c r="C341" s="2" t="str">
        <f>Follow[[#This Row],[CODRASTREIO]]&amp;" B"</f>
        <v>CódRastreio230 B</v>
      </c>
      <c r="D341" s="52" t="str">
        <f>_xlfn.XLOOKUP(Follow[[#This Row],[Id Pedido]],Controle_Pedidos[Número Pedido Cliente],Controle_Pedidos[Loja])</f>
        <v>BV</v>
      </c>
      <c r="E341" s="9">
        <f>_xlfn.XLOOKUP(Follow[[#This Row],[Id Pedido]],Controle_Pedidos[Número Pedido Cliente],Controle_Pedidos[Prazo Entrega])</f>
        <v>45633</v>
      </c>
      <c r="F341" s="9" t="s">
        <v>19433</v>
      </c>
      <c r="G341" s="9" t="s">
        <v>37</v>
      </c>
      <c r="H341" s="52" t="s">
        <v>179</v>
      </c>
      <c r="I341" s="52" t="s">
        <v>178</v>
      </c>
      <c r="J341" s="55">
        <v>45618</v>
      </c>
      <c r="K341" s="54" t="s">
        <v>198</v>
      </c>
      <c r="L341" s="8" t="s">
        <v>124</v>
      </c>
      <c r="M341" s="8" t="s">
        <v>37</v>
      </c>
      <c r="N341" s="52" t="str">
        <f>IF(Follow[[#This Row],[DATAATUALIZAÇÃO]]&lt;=Follow[[#This Row],[Prev Entrega]],"Dentro do Prazo","Fora do Prazo")</f>
        <v>Dentro do Prazo</v>
      </c>
      <c r="O3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22/11/2024, referente ao pedido Nº Pedido 237 Rastreio Pedido 237, agradecemos a preferência e adoraríamos receber sua avaliação, tendo qualquer dúvida estamos à disposição.
Att
Tem tudo Shop</v>
      </c>
    </row>
    <row r="342" spans="1:15">
      <c r="A342" s="52" t="str">
        <f>_xlfn.XLOOKUP(Follow[[#This Row],[CODRASTREIO]],Controle_Pedidos[Cód Rastreamento],Controle_Pedidos[Número Pedido Cliente])</f>
        <v>Pedido 548</v>
      </c>
      <c r="B342" s="2" t="s">
        <v>17975</v>
      </c>
      <c r="C342" s="2" t="str">
        <f>Follow[[#This Row],[CODRASTREIO]]&amp;" B"</f>
        <v>CódRastreio533 B</v>
      </c>
      <c r="D342" s="52" t="str">
        <f>_xlfn.XLOOKUP(Follow[[#This Row],[Id Pedido]],Controle_Pedidos[Número Pedido Cliente],Controle_Pedidos[Loja])</f>
        <v>BV</v>
      </c>
      <c r="E342" s="9">
        <f>_xlfn.XLOOKUP(Follow[[#This Row],[Id Pedido]],Controle_Pedidos[Número Pedido Cliente],Controle_Pedidos[Prazo Entrega])</f>
        <v>45671</v>
      </c>
      <c r="F342" s="9" t="s">
        <v>19433</v>
      </c>
      <c r="G342" s="9" t="s">
        <v>37</v>
      </c>
      <c r="H342" s="52" t="s">
        <v>179</v>
      </c>
      <c r="I342" s="52" t="s">
        <v>178</v>
      </c>
      <c r="J342" s="55">
        <v>45659</v>
      </c>
      <c r="K342" s="52" t="s">
        <v>198</v>
      </c>
      <c r="L342" s="8" t="s">
        <v>124</v>
      </c>
      <c r="M342" s="8" t="s">
        <v>37</v>
      </c>
      <c r="N342" s="52" t="str">
        <f>IF(Follow[[#This Row],[DATAATUALIZAÇÃO]]&lt;=Follow[[#This Row],[Prev Entrega]],"Dentro do Prazo","Fora do Prazo")</f>
        <v>Dentro do Prazo</v>
      </c>
      <c r="O3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548 Rastreio Pedido 548, agradecemos a preferência e adoraríamos receber sua avaliação, tendo qualquer dúvida estamos à disposição.
Att
Tem tudo Shop</v>
      </c>
    </row>
    <row r="343" spans="1:15">
      <c r="A343" s="52" t="str">
        <f>_xlfn.XLOOKUP(Follow[[#This Row],[CODRASTREIO]],Controle_Pedidos[Cód Rastreamento],Controle_Pedidos[Número Pedido Cliente])</f>
        <v>Pedido 22</v>
      </c>
      <c r="B343" s="2" t="s">
        <v>17455</v>
      </c>
      <c r="C343" s="2" t="str">
        <f>Follow[[#This Row],[CODRASTREIO]]&amp;" B"</f>
        <v>CódRastreio13 B</v>
      </c>
      <c r="D343" s="52" t="str">
        <f>_xlfn.XLOOKUP(Follow[[#This Row],[Id Pedido]],Controle_Pedidos[Número Pedido Cliente],Controle_Pedidos[Loja])</f>
        <v>BV</v>
      </c>
      <c r="E343" s="9">
        <f>_xlfn.XLOOKUP(Follow[[#This Row],[Id Pedido]],Controle_Pedidos[Número Pedido Cliente],Controle_Pedidos[Prazo Entrega])</f>
        <v>45605</v>
      </c>
      <c r="F343" s="9" t="s">
        <v>19433</v>
      </c>
      <c r="G343" s="9" t="s">
        <v>37</v>
      </c>
      <c r="H343" s="52" t="s">
        <v>178</v>
      </c>
      <c r="I343" s="52" t="s">
        <v>178</v>
      </c>
      <c r="J343" s="9">
        <v>45591</v>
      </c>
      <c r="K343" s="54" t="s">
        <v>198</v>
      </c>
      <c r="L343" s="8" t="s">
        <v>124</v>
      </c>
      <c r="M343" s="8" t="s">
        <v>37</v>
      </c>
      <c r="N343" s="52" t="str">
        <f>IF(Follow[[#This Row],[DATAATUALIZAÇÃO]]&lt;=Follow[[#This Row],[Prev Entrega]],"Dentro do Prazo","Fora do Prazo")</f>
        <v>Dentro do Prazo</v>
      </c>
      <c r="O3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26/10/2024, referente ao pedido Nº Pedido 22 Rastreio Pedido 22, agradecemos a preferência e adoraríamos receber sua avaliação, tendo qualquer dúvida estamos à disposição.
Att
Tem tudo Shop</v>
      </c>
    </row>
    <row r="344" spans="1:15">
      <c r="A344" s="52" t="str">
        <f>_xlfn.XLOOKUP(Follow[[#This Row],[CODRASTREIO]],Controle_Pedidos[Cód Rastreamento],Controle_Pedidos[Número Pedido Cliente])</f>
        <v>Pedido 38</v>
      </c>
      <c r="B344" s="2" t="s">
        <v>17471</v>
      </c>
      <c r="C344" s="2" t="str">
        <f>Follow[[#This Row],[CODRASTREIO]]&amp;" B"</f>
        <v>CódRastreio29 B</v>
      </c>
      <c r="D344" s="52" t="str">
        <f>_xlfn.XLOOKUP(Follow[[#This Row],[Id Pedido]],Controle_Pedidos[Número Pedido Cliente],Controle_Pedidos[Loja])</f>
        <v>BV</v>
      </c>
      <c r="E344" s="9">
        <f>_xlfn.XLOOKUP(Follow[[#This Row],[Id Pedido]],Controle_Pedidos[Número Pedido Cliente],Controle_Pedidos[Prazo Entrega])</f>
        <v>45608</v>
      </c>
      <c r="F344" s="9" t="s">
        <v>19433</v>
      </c>
      <c r="G344" s="9" t="s">
        <v>37</v>
      </c>
      <c r="H344" s="52" t="s">
        <v>178</v>
      </c>
      <c r="I344" s="52" t="s">
        <v>178</v>
      </c>
      <c r="J344" s="55">
        <v>45596</v>
      </c>
      <c r="K344" s="54" t="s">
        <v>198</v>
      </c>
      <c r="L344" s="8" t="s">
        <v>124</v>
      </c>
      <c r="M344" s="8" t="s">
        <v>37</v>
      </c>
      <c r="N344" s="52" t="str">
        <f>IF(Follow[[#This Row],[DATAATUALIZAÇÃO]]&lt;=Follow[[#This Row],[Prev Entrega]],"Dentro do Prazo","Fora do Prazo")</f>
        <v>Dentro do Prazo</v>
      </c>
      <c r="O3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38 Rastreio Pedido 38, agradecemos a preferência e adoraríamos receber sua avaliação, tendo qualquer dúvida estamos à disposição.
Att
Tem tudo Shop</v>
      </c>
    </row>
    <row r="345" spans="1:15">
      <c r="A345" s="52" t="str">
        <f>_xlfn.XLOOKUP(Follow[[#This Row],[CODRASTREIO]],Controle_Pedidos[Cód Rastreamento],Controle_Pedidos[Número Pedido Cliente])</f>
        <v>Pedido 327</v>
      </c>
      <c r="B345" s="2" t="s">
        <v>17762</v>
      </c>
      <c r="C345" s="2" t="str">
        <f>Follow[[#This Row],[CODRASTREIO]]&amp;" B"</f>
        <v>CódRastreio320 B</v>
      </c>
      <c r="D345" s="52" t="str">
        <f>_xlfn.XLOOKUP(Follow[[#This Row],[Id Pedido]],Controle_Pedidos[Número Pedido Cliente],Controle_Pedidos[Loja])</f>
        <v>BV</v>
      </c>
      <c r="E345" s="9">
        <f>_xlfn.XLOOKUP(Follow[[#This Row],[Id Pedido]],Controle_Pedidos[Número Pedido Cliente],Controle_Pedidos[Prazo Entrega])</f>
        <v>45633</v>
      </c>
      <c r="F345" s="9" t="s">
        <v>19433</v>
      </c>
      <c r="G345" s="9" t="s">
        <v>37</v>
      </c>
      <c r="H345" s="52" t="s">
        <v>179</v>
      </c>
      <c r="I345" s="52" t="s">
        <v>178</v>
      </c>
      <c r="J345" s="55">
        <v>45615</v>
      </c>
      <c r="K345" s="54" t="s">
        <v>198</v>
      </c>
      <c r="L345" s="8" t="s">
        <v>124</v>
      </c>
      <c r="M345" s="8" t="s">
        <v>37</v>
      </c>
      <c r="N345" s="52" t="str">
        <f>IF(Follow[[#This Row],[DATAATUALIZAÇÃO]]&lt;=Follow[[#This Row],[Prev Entrega]],"Dentro do Prazo","Fora do Prazo")</f>
        <v>Dentro do Prazo</v>
      </c>
      <c r="O3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19/11/2024, referente ao pedido Nº Pedido 327 Rastreio Pedido 327, agradecemos a preferência e adoraríamos receber sua avaliação, tendo qualquer dúvida estamos à disposição.
Att
Tem tudo Shop</v>
      </c>
    </row>
    <row r="346" spans="1:15">
      <c r="A346" s="52" t="str">
        <f>_xlfn.XLOOKUP(Follow[[#This Row],[CODRASTREIO]],Controle_Pedidos[Cód Rastreamento],Controle_Pedidos[Número Pedido Cliente])</f>
        <v>Pedido 348</v>
      </c>
      <c r="B346" s="2" t="s">
        <v>17783</v>
      </c>
      <c r="C346" s="2" t="str">
        <f>Follow[[#This Row],[CODRASTREIO]]&amp;" B"</f>
        <v>CódRastreio341 B</v>
      </c>
      <c r="D346" s="52" t="str">
        <f>_xlfn.XLOOKUP(Follow[[#This Row],[Id Pedido]],Controle_Pedidos[Número Pedido Cliente],Controle_Pedidos[Loja])</f>
        <v>BV</v>
      </c>
      <c r="E346" s="9">
        <f>_xlfn.XLOOKUP(Follow[[#This Row],[Id Pedido]],Controle_Pedidos[Número Pedido Cliente],Controle_Pedidos[Prazo Entrega])</f>
        <v>45637</v>
      </c>
      <c r="F346" s="9" t="s">
        <v>19433</v>
      </c>
      <c r="G346" s="9" t="s">
        <v>37</v>
      </c>
      <c r="H346" s="52" t="s">
        <v>178</v>
      </c>
      <c r="I346" s="52" t="s">
        <v>178</v>
      </c>
      <c r="J346" s="55">
        <v>45642</v>
      </c>
      <c r="K346" s="52" t="s">
        <v>198</v>
      </c>
      <c r="L346" s="8" t="s">
        <v>124</v>
      </c>
      <c r="M346" s="8" t="s">
        <v>104</v>
      </c>
      <c r="N346" s="52" t="str">
        <f>IF(Follow[[#This Row],[DATAATUALIZAÇÃO]]&lt;=Follow[[#This Row],[Prev Entrega]],"Dentro do Prazo","Fora do Prazo")</f>
        <v>Fora do Prazo</v>
      </c>
      <c r="O346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16/12/2024, referente ao pedido Nº Pedido 348 Rastreio Pedido 348, agradecemos a preferência e adoraríamos receber sua avaliação, tendo qualquer dúvida estamos à disposição.
Att
Tem tudo Shop</v>
      </c>
    </row>
    <row r="347" spans="1:15">
      <c r="A347" s="52" t="str">
        <f>_xlfn.XLOOKUP(Follow[[#This Row],[CODRASTREIO]],Controle_Pedidos[Cód Rastreamento],Controle_Pedidos[Número Pedido Cliente])</f>
        <v>Pedido 336</v>
      </c>
      <c r="B347" s="2" t="s">
        <v>17771</v>
      </c>
      <c r="C347" s="2" t="str">
        <f>Follow[[#This Row],[CODRASTREIO]]&amp;" B"</f>
        <v>CódRastreio329 B</v>
      </c>
      <c r="D347" s="52" t="str">
        <f>_xlfn.XLOOKUP(Follow[[#This Row],[Id Pedido]],Controle_Pedidos[Número Pedido Cliente],Controle_Pedidos[Loja])</f>
        <v>BV</v>
      </c>
      <c r="E347" s="9">
        <f>_xlfn.XLOOKUP(Follow[[#This Row],[Id Pedido]],Controle_Pedidos[Número Pedido Cliente],Controle_Pedidos[Prazo Entrega])</f>
        <v>45633</v>
      </c>
      <c r="F347" s="9" t="s">
        <v>19433</v>
      </c>
      <c r="G347" s="9" t="s">
        <v>37</v>
      </c>
      <c r="H347" s="52" t="s">
        <v>179</v>
      </c>
      <c r="I347" s="52" t="s">
        <v>178</v>
      </c>
      <c r="J347" s="55">
        <v>45622</v>
      </c>
      <c r="K347" s="54" t="s">
        <v>198</v>
      </c>
      <c r="L347" s="8" t="s">
        <v>124</v>
      </c>
      <c r="M347" s="8" t="s">
        <v>37</v>
      </c>
      <c r="N347" s="52" t="str">
        <f>IF(Follow[[#This Row],[DATAATUALIZAÇÃO]]&lt;=Follow[[#This Row],[Prev Entrega]],"Dentro do Prazo","Fora do Prazo")</f>
        <v>Dentro do Prazo</v>
      </c>
      <c r="O3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26/11/2024, referente ao pedido Nº Pedido 336 Rastreio Pedido 336, agradecemos a preferência e adoraríamos receber sua avaliação, tendo qualquer dúvida estamos à disposição.
Att
Tem tudo Shop</v>
      </c>
    </row>
    <row r="348" spans="1:15">
      <c r="A348" s="52" t="str">
        <f>_xlfn.XLOOKUP(Follow[[#This Row],[CODRASTREIO]],Controle_Pedidos[Cód Rastreamento],Controle_Pedidos[Número Pedido Cliente])</f>
        <v>Pedido 19</v>
      </c>
      <c r="B348" s="2" t="s">
        <v>17452</v>
      </c>
      <c r="C348" s="2" t="str">
        <f>Follow[[#This Row],[CODRASTREIO]]&amp;" B"</f>
        <v>CódRastreio10 B</v>
      </c>
      <c r="D348" s="52" t="str">
        <f>_xlfn.XLOOKUP(Follow[[#This Row],[Id Pedido]],Controle_Pedidos[Número Pedido Cliente],Controle_Pedidos[Loja])</f>
        <v>BV</v>
      </c>
      <c r="E348" s="9">
        <f>_xlfn.XLOOKUP(Follow[[#This Row],[Id Pedido]],Controle_Pedidos[Número Pedido Cliente],Controle_Pedidos[Prazo Entrega])</f>
        <v>45605</v>
      </c>
      <c r="F348" s="9" t="s">
        <v>19433</v>
      </c>
      <c r="G348" s="9" t="s">
        <v>37</v>
      </c>
      <c r="H348" s="52" t="s">
        <v>178</v>
      </c>
      <c r="I348" s="52" t="s">
        <v>178</v>
      </c>
      <c r="J348" s="9">
        <v>45590</v>
      </c>
      <c r="K348" s="54" t="s">
        <v>198</v>
      </c>
      <c r="L348" s="8" t="s">
        <v>124</v>
      </c>
      <c r="M348" s="8" t="s">
        <v>37</v>
      </c>
      <c r="N348" s="52" t="str">
        <f>IF(Follow[[#This Row],[DATAATUALIZAÇÃO]]&lt;=Follow[[#This Row],[Prev Entrega]],"Dentro do Prazo","Fora do Prazo")</f>
        <v>Dentro do Prazo</v>
      </c>
      <c r="O34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25/10/2024, referente ao pedido Nº Pedido 19 Rastreio Pedido 19, agradecemos a preferência e adoraríamos receber sua avaliação, tendo qualquer dúvida estamos à disposição.
Att
Tem tudo Shop</v>
      </c>
    </row>
    <row r="349" spans="1:15">
      <c r="A349" s="52" t="str">
        <f>_xlfn.XLOOKUP(Follow[[#This Row],[CODRASTREIO]],Controle_Pedidos[Cód Rastreamento],Controle_Pedidos[Número Pedido Cliente])</f>
        <v>Pedido 32</v>
      </c>
      <c r="B349" s="2" t="s">
        <v>17465</v>
      </c>
      <c r="C349" s="2" t="str">
        <f>Follow[[#This Row],[CODRASTREIO]]&amp;" B"</f>
        <v>CódRastreio23 B</v>
      </c>
      <c r="D349" s="52" t="str">
        <f>_xlfn.XLOOKUP(Follow[[#This Row],[Id Pedido]],Controle_Pedidos[Número Pedido Cliente],Controle_Pedidos[Loja])</f>
        <v>BV</v>
      </c>
      <c r="E349" s="9">
        <f>_xlfn.XLOOKUP(Follow[[#This Row],[Id Pedido]],Controle_Pedidos[Número Pedido Cliente],Controle_Pedidos[Prazo Entrega])</f>
        <v>45601</v>
      </c>
      <c r="F349" s="9" t="s">
        <v>19433</v>
      </c>
      <c r="G349" s="9" t="s">
        <v>37</v>
      </c>
      <c r="H349" s="52" t="s">
        <v>178</v>
      </c>
      <c r="I349" s="52" t="s">
        <v>178</v>
      </c>
      <c r="J349" s="9">
        <v>45590</v>
      </c>
      <c r="K349" s="54" t="s">
        <v>198</v>
      </c>
      <c r="L349" s="8" t="s">
        <v>124</v>
      </c>
      <c r="M349" s="8" t="s">
        <v>37</v>
      </c>
      <c r="N349" s="52" t="str">
        <f>IF(Follow[[#This Row],[DATAATUALIZAÇÃO]]&lt;=Follow[[#This Row],[Prev Entrega]],"Dentro do Prazo","Fora do Prazo")</f>
        <v>Dentro do Prazo</v>
      </c>
      <c r="O3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25/10/2024, referente ao pedido Nº Pedido 32 Rastreio Pedido 32, agradecemos a preferência e adoraríamos receber sua avaliação, tendo qualquer dúvida estamos à disposição.
Att
Tem tudo Shop</v>
      </c>
    </row>
    <row r="350" spans="1:15">
      <c r="A350" s="52" t="str">
        <f>_xlfn.XLOOKUP(Follow[[#This Row],[CODRASTREIO]],Controle_Pedidos[Cód Rastreamento],Controle_Pedidos[Número Pedido Cliente])</f>
        <v>Pedido 496</v>
      </c>
      <c r="B350" s="2" t="s">
        <v>17924</v>
      </c>
      <c r="C350" s="2" t="str">
        <f>Follow[[#This Row],[CODRASTREIO]]&amp;" B"</f>
        <v>CódRastreio482 B</v>
      </c>
      <c r="D350" s="52" t="str">
        <f>_xlfn.XLOOKUP(Follow[[#This Row],[Id Pedido]],Controle_Pedidos[Número Pedido Cliente],Controle_Pedidos[Loja])</f>
        <v>BV</v>
      </c>
      <c r="E350" s="9">
        <f>_xlfn.XLOOKUP(Follow[[#This Row],[Id Pedido]],Controle_Pedidos[Número Pedido Cliente],Controle_Pedidos[Prazo Entrega])</f>
        <v>45650</v>
      </c>
      <c r="F350" s="9" t="s">
        <v>19433</v>
      </c>
      <c r="G350" s="9" t="s">
        <v>37</v>
      </c>
      <c r="H350" s="55" t="s">
        <v>179</v>
      </c>
      <c r="I350" s="55" t="s">
        <v>178</v>
      </c>
      <c r="J350" s="55">
        <v>45639</v>
      </c>
      <c r="K350" s="52" t="s">
        <v>198</v>
      </c>
      <c r="L350" s="8" t="s">
        <v>124</v>
      </c>
      <c r="M350" s="8" t="s">
        <v>37</v>
      </c>
      <c r="N350" s="52" t="str">
        <f>IF(Follow[[#This Row],[DATAATUALIZAÇÃO]]&lt;=Follow[[#This Row],[Prev Entrega]],"Dentro do Prazo","Fora do Prazo")</f>
        <v>Dentro do Prazo</v>
      </c>
      <c r="O3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13/12/2024, referente ao pedido Nº Pedido 496 Rastreio Pedido 496, agradecemos a preferência e adoraríamos receber sua avaliação, tendo qualquer dúvida estamos à disposição.
Att
Tem tudo Shop</v>
      </c>
    </row>
    <row r="351" spans="1:15">
      <c r="A351" s="52" t="str">
        <f>_xlfn.XLOOKUP(Follow[[#This Row],[CODRASTREIO]],Controle_Pedidos[Cód Rastreamento],Controle_Pedidos[Número Pedido Cliente])</f>
        <v>Pedido 250</v>
      </c>
      <c r="B351" s="2" t="s">
        <v>17685</v>
      </c>
      <c r="C351" s="2" t="str">
        <f>Follow[[#This Row],[CODRASTREIO]]&amp;" B"</f>
        <v>CódRastreio243 B</v>
      </c>
      <c r="D351" s="52" t="str">
        <f>_xlfn.XLOOKUP(Follow[[#This Row],[Id Pedido]],Controle_Pedidos[Número Pedido Cliente],Controle_Pedidos[Loja])</f>
        <v>BV</v>
      </c>
      <c r="E351" s="9">
        <f>_xlfn.XLOOKUP(Follow[[#This Row],[Id Pedido]],Controle_Pedidos[Número Pedido Cliente],Controle_Pedidos[Prazo Entrega])</f>
        <v>45629</v>
      </c>
      <c r="F351" s="9" t="s">
        <v>19433</v>
      </c>
      <c r="G351" s="9" t="s">
        <v>37</v>
      </c>
      <c r="H351" s="52" t="s">
        <v>178</v>
      </c>
      <c r="I351" s="52" t="s">
        <v>178</v>
      </c>
      <c r="J351" s="55">
        <v>45614</v>
      </c>
      <c r="K351" s="54" t="s">
        <v>198</v>
      </c>
      <c r="L351" s="8" t="s">
        <v>124</v>
      </c>
      <c r="M351" s="8" t="s">
        <v>37</v>
      </c>
      <c r="N351" s="52" t="str">
        <f>IF(Follow[[#This Row],[DATAATUALIZAÇÃO]]&lt;=Follow[[#This Row],[Prev Entrega]],"Dentro do Prazo","Fora do Prazo")</f>
        <v>Dentro do Prazo</v>
      </c>
      <c r="O3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250 Rastreio Pedido 250, agradecemos a preferência e adoraríamos receber sua avaliação, tendo qualquer dúvida estamos à disposição.
Att
Tem tudo Shop</v>
      </c>
    </row>
    <row r="352" spans="1:15">
      <c r="A352" s="52" t="str">
        <f>_xlfn.XLOOKUP(Follow[[#This Row],[CODRASTREIO]],Controle_Pedidos[Cód Rastreamento],Controle_Pedidos[Número Pedido Cliente])</f>
        <v>Pedido 179</v>
      </c>
      <c r="B352" s="2" t="s">
        <v>17614</v>
      </c>
      <c r="C352" s="2" t="str">
        <f>Follow[[#This Row],[CODRASTREIO]]&amp;" B"</f>
        <v>CódRastreio172 B</v>
      </c>
      <c r="D352" s="52" t="str">
        <f>_xlfn.XLOOKUP(Follow[[#This Row],[Id Pedido]],Controle_Pedidos[Número Pedido Cliente],Controle_Pedidos[Loja])</f>
        <v>BV</v>
      </c>
      <c r="E352" s="9">
        <f>_xlfn.XLOOKUP(Follow[[#This Row],[Id Pedido]],Controle_Pedidos[Número Pedido Cliente],Controle_Pedidos[Prazo Entrega])</f>
        <v>45610</v>
      </c>
      <c r="F352" s="9" t="s">
        <v>19433</v>
      </c>
      <c r="G352" s="9" t="s">
        <v>37</v>
      </c>
      <c r="H352" s="52" t="s">
        <v>179</v>
      </c>
      <c r="I352" s="52" t="s">
        <v>178</v>
      </c>
      <c r="J352" s="55">
        <v>45604</v>
      </c>
      <c r="K352" s="54" t="s">
        <v>198</v>
      </c>
      <c r="L352" s="8" t="s">
        <v>124</v>
      </c>
      <c r="M352" s="8" t="s">
        <v>37</v>
      </c>
      <c r="N352" s="52" t="str">
        <f>IF(Follow[[#This Row],[DATAATUALIZAÇÃO]]&lt;=Follow[[#This Row],[Prev Entrega]],"Dentro do Prazo","Fora do Prazo")</f>
        <v>Dentro do Prazo</v>
      </c>
      <c r="O3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08/11/2024, referente ao pedido Nº Pedido 179 Rastreio Pedido 179, agradecemos a preferência e adoraríamos receber sua avaliação, tendo qualquer dúvida estamos à disposição.
Att
Tem tudo Shop</v>
      </c>
    </row>
    <row r="353" spans="1:15">
      <c r="A353" s="52" t="str">
        <f>_xlfn.XLOOKUP(Follow[[#This Row],[CODRASTREIO]],Controle_Pedidos[Cód Rastreamento],Controle_Pedidos[Número Pedido Cliente])</f>
        <v>Pedido 447</v>
      </c>
      <c r="B353" s="2" t="s">
        <v>17875</v>
      </c>
      <c r="C353" s="2" t="str">
        <f>Follow[[#This Row],[CODRASTREIO]]&amp;" B"</f>
        <v>CódRastreio433 B</v>
      </c>
      <c r="D353" s="52" t="str">
        <f>_xlfn.XLOOKUP(Follow[[#This Row],[Id Pedido]],Controle_Pedidos[Número Pedido Cliente],Controle_Pedidos[Loja])</f>
        <v>BV</v>
      </c>
      <c r="E353" s="9">
        <f>_xlfn.XLOOKUP(Follow[[#This Row],[Id Pedido]],Controle_Pedidos[Número Pedido Cliente],Controle_Pedidos[Prazo Entrega])</f>
        <v>45643</v>
      </c>
      <c r="F353" s="9" t="s">
        <v>19433</v>
      </c>
      <c r="G353" s="9" t="s">
        <v>37</v>
      </c>
      <c r="H353" s="55" t="s">
        <v>179</v>
      </c>
      <c r="I353" s="55" t="s">
        <v>178</v>
      </c>
      <c r="J353" s="55">
        <v>45636</v>
      </c>
      <c r="K353" s="52" t="s">
        <v>198</v>
      </c>
      <c r="L353" s="8" t="s">
        <v>124</v>
      </c>
      <c r="M353" s="8" t="s">
        <v>37</v>
      </c>
      <c r="N353" s="52" t="str">
        <f>IF(Follow[[#This Row],[DATAATUALIZAÇÃO]]&lt;=Follow[[#This Row],[Prev Entrega]],"Dentro do Prazo","Fora do Prazo")</f>
        <v>Dentro do Prazo</v>
      </c>
      <c r="O3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10/12/2024, referente ao pedido Nº Pedido 447 Rastreio Pedido 447, agradecemos a preferência e adoraríamos receber sua avaliação, tendo qualquer dúvida estamos à disposição.
Att
Tem tudo Shop</v>
      </c>
    </row>
    <row r="354" spans="1:15">
      <c r="A354" s="52" t="str">
        <f>_xlfn.XLOOKUP(Follow[[#This Row],[CODRASTREIO]],Controle_Pedidos[Cód Rastreamento],Controle_Pedidos[Número Pedido Cliente])</f>
        <v>Pedido 180</v>
      </c>
      <c r="B354" s="2" t="s">
        <v>17615</v>
      </c>
      <c r="C354" s="2" t="str">
        <f>Follow[[#This Row],[CODRASTREIO]]&amp;" B"</f>
        <v>CódRastreio173 B</v>
      </c>
      <c r="D354" s="52" t="str">
        <f>_xlfn.XLOOKUP(Follow[[#This Row],[Id Pedido]],Controle_Pedidos[Número Pedido Cliente],Controle_Pedidos[Loja])</f>
        <v>BV</v>
      </c>
      <c r="E354" s="9">
        <f>_xlfn.XLOOKUP(Follow[[#This Row],[Id Pedido]],Controle_Pedidos[Número Pedido Cliente],Controle_Pedidos[Prazo Entrega])</f>
        <v>45610</v>
      </c>
      <c r="F354" s="9" t="s">
        <v>19433</v>
      </c>
      <c r="G354" s="9" t="s">
        <v>37</v>
      </c>
      <c r="H354" s="52" t="s">
        <v>178</v>
      </c>
      <c r="I354" s="52" t="s">
        <v>178</v>
      </c>
      <c r="J354" s="55">
        <v>45601</v>
      </c>
      <c r="K354" s="54" t="s">
        <v>198</v>
      </c>
      <c r="L354" s="8" t="s">
        <v>124</v>
      </c>
      <c r="M354" s="8" t="s">
        <v>37</v>
      </c>
      <c r="N354" s="52" t="str">
        <f>IF(Follow[[#This Row],[DATAATUALIZAÇÃO]]&lt;=Follow[[#This Row],[Prev Entrega]],"Dentro do Prazo","Fora do Prazo")</f>
        <v>Dentro do Prazo</v>
      </c>
      <c r="O3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180 Rastreio Pedido 180, agradecemos a preferência e adoraríamos receber sua avaliação, tendo qualquer dúvida estamos à disposição.
Att
Tem tudo Shop</v>
      </c>
    </row>
    <row r="355" spans="1:15">
      <c r="A355" s="52" t="str">
        <f>_xlfn.XLOOKUP(Follow[[#This Row],[CODRASTREIO]],Controle_Pedidos[Cód Rastreamento],Controle_Pedidos[Número Pedido Cliente])</f>
        <v>Pedido 456</v>
      </c>
      <c r="B355" s="2" t="s">
        <v>17883</v>
      </c>
      <c r="C355" s="2" t="str">
        <f>Follow[[#This Row],[CODRASTREIO]]&amp;" B"</f>
        <v>CódRastreio441 B</v>
      </c>
      <c r="D355" s="52" t="str">
        <f>_xlfn.XLOOKUP(Follow[[#This Row],[Id Pedido]],Controle_Pedidos[Número Pedido Cliente],Controle_Pedidos[Loja])</f>
        <v>BV</v>
      </c>
      <c r="E355" s="9">
        <f>_xlfn.XLOOKUP(Follow[[#This Row],[Id Pedido]],Controle_Pedidos[Número Pedido Cliente],Controle_Pedidos[Prazo Entrega])</f>
        <v>45645</v>
      </c>
      <c r="F355" s="9" t="s">
        <v>19433</v>
      </c>
      <c r="G355" s="9" t="s">
        <v>37</v>
      </c>
      <c r="H355" s="55" t="s">
        <v>179</v>
      </c>
      <c r="I355" s="55" t="s">
        <v>178</v>
      </c>
      <c r="J355" s="55">
        <v>45636</v>
      </c>
      <c r="K355" s="52" t="s">
        <v>198</v>
      </c>
      <c r="L355" s="8" t="s">
        <v>124</v>
      </c>
      <c r="M355" s="8" t="s">
        <v>37</v>
      </c>
      <c r="N355" s="52" t="str">
        <f>IF(Follow[[#This Row],[DATAATUALIZAÇÃO]]&lt;=Follow[[#This Row],[Prev Entrega]],"Dentro do Prazo","Fora do Prazo")</f>
        <v>Dentro do Prazo</v>
      </c>
      <c r="O3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10/12/2024, referente ao pedido Nº Pedido 456 Rastreio Pedido 456, agradecemos a preferência e adoraríamos receber sua avaliação, tendo qualquer dúvida estamos à disposição.
Att
Tem tudo Shop</v>
      </c>
    </row>
    <row r="356" spans="1:15">
      <c r="A356" s="52" t="str">
        <f>_xlfn.XLOOKUP(Follow[[#This Row],[CODRASTREIO]],Controle_Pedidos[Cód Rastreamento],Controle_Pedidos[Número Pedido Cliente])</f>
        <v>Pedido 576</v>
      </c>
      <c r="B356" s="2" t="s">
        <v>18003</v>
      </c>
      <c r="C356" s="2" t="str">
        <f>Follow[[#This Row],[CODRASTREIO]]&amp;" B"</f>
        <v>CódRastreio561 B</v>
      </c>
      <c r="D356" s="52" t="str">
        <f>_xlfn.XLOOKUP(Follow[[#This Row],[Id Pedido]],Controle_Pedidos[Número Pedido Cliente],Controle_Pedidos[Loja])</f>
        <v>BV</v>
      </c>
      <c r="E356" s="9">
        <f>_xlfn.XLOOKUP(Follow[[#This Row],[Id Pedido]],Controle_Pedidos[Número Pedido Cliente],Controle_Pedidos[Prazo Entrega])</f>
        <v>45667</v>
      </c>
      <c r="F356" s="9" t="s">
        <v>19433</v>
      </c>
      <c r="G356" s="9" t="s">
        <v>37</v>
      </c>
      <c r="H356" s="52" t="s">
        <v>179</v>
      </c>
      <c r="I356" s="52" t="s">
        <v>178</v>
      </c>
      <c r="J356" s="55">
        <v>45656</v>
      </c>
      <c r="K356" s="52" t="s">
        <v>198</v>
      </c>
      <c r="L356" s="8" t="s">
        <v>124</v>
      </c>
      <c r="M356" s="8" t="s">
        <v>37</v>
      </c>
      <c r="N356" s="52" t="str">
        <f>IF(Follow[[#This Row],[DATAATUALIZAÇÃO]]&lt;=Follow[[#This Row],[Prev Entrega]],"Dentro do Prazo","Fora do Prazo")</f>
        <v>Dentro do Prazo</v>
      </c>
      <c r="O3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30/12/2024, referente ao pedido Nº Pedido 576 Rastreio Pedido 576, agradecemos a preferência e adoraríamos receber sua avaliação, tendo qualquer dúvida estamos à disposição.
Att
Tem tudo Shop</v>
      </c>
    </row>
    <row r="357" spans="1:15">
      <c r="A357" s="52" t="str">
        <f>_xlfn.XLOOKUP(Follow[[#This Row],[CODRASTREIO]],Controle_Pedidos[Cód Rastreamento],Controle_Pedidos[Número Pedido Cliente])</f>
        <v>Pedido 450</v>
      </c>
      <c r="B357" s="2" t="s">
        <v>17878</v>
      </c>
      <c r="C357" s="2" t="str">
        <f>Follow[[#This Row],[CODRASTREIO]]&amp;" B"</f>
        <v>CódRastreio436 B</v>
      </c>
      <c r="D357" s="52" t="str">
        <f>_xlfn.XLOOKUP(Follow[[#This Row],[Id Pedido]],Controle_Pedidos[Número Pedido Cliente],Controle_Pedidos[Loja])</f>
        <v>BV</v>
      </c>
      <c r="E357" s="9">
        <f>_xlfn.XLOOKUP(Follow[[#This Row],[Id Pedido]],Controle_Pedidos[Número Pedido Cliente],Controle_Pedidos[Prazo Entrega])</f>
        <v>45644</v>
      </c>
      <c r="F357" s="9" t="s">
        <v>19433</v>
      </c>
      <c r="G357" s="9" t="s">
        <v>37</v>
      </c>
      <c r="H357" s="55" t="s">
        <v>179</v>
      </c>
      <c r="I357" s="55" t="s">
        <v>178</v>
      </c>
      <c r="J357" s="55">
        <v>45631.499131944445</v>
      </c>
      <c r="K357" s="54" t="s">
        <v>198</v>
      </c>
      <c r="L357" s="8" t="s">
        <v>124</v>
      </c>
      <c r="M357" s="8" t="s">
        <v>37</v>
      </c>
      <c r="N357" s="52" t="str">
        <f>IF(Follow[[#This Row],[DATAATUALIZAÇÃO]]&lt;=Follow[[#This Row],[Prev Entrega]],"Dentro do Prazo","Fora do Prazo")</f>
        <v>Dentro do Prazo</v>
      </c>
      <c r="O3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05/12/2024, referente ao pedido Nº Pedido 450 Rastreio Pedido 450, agradecemos a preferência e adoraríamos receber sua avaliação, tendo qualquer dúvida estamos à disposição.
Att
Tem tudo Shop</v>
      </c>
    </row>
    <row r="358" spans="1:15">
      <c r="A358" s="52" t="str">
        <f>_xlfn.XLOOKUP(Follow[[#This Row],[CODRASTREIO]],Controle_Pedidos[Cód Rastreamento],Controle_Pedidos[Número Pedido Cliente])</f>
        <v>Pedido 438</v>
      </c>
      <c r="B358" s="2" t="s">
        <v>17865</v>
      </c>
      <c r="C358" s="2" t="str">
        <f>Follow[[#This Row],[CODRASTREIO]]&amp;" B"</f>
        <v>CódRastreio423 B</v>
      </c>
      <c r="D358" s="52" t="str">
        <f>_xlfn.XLOOKUP(Follow[[#This Row],[Id Pedido]],Controle_Pedidos[Número Pedido Cliente],Controle_Pedidos[Loja])</f>
        <v>BV</v>
      </c>
      <c r="E358" s="9">
        <f>_xlfn.XLOOKUP(Follow[[#This Row],[Id Pedido]],Controle_Pedidos[Número Pedido Cliente],Controle_Pedidos[Prazo Entrega])</f>
        <v>45647</v>
      </c>
      <c r="F358" s="9" t="s">
        <v>19433</v>
      </c>
      <c r="G358" s="9" t="s">
        <v>37</v>
      </c>
      <c r="H358" s="55" t="s">
        <v>179</v>
      </c>
      <c r="I358" s="55" t="s">
        <v>178</v>
      </c>
      <c r="J358" s="55">
        <v>45637</v>
      </c>
      <c r="K358" s="52" t="s">
        <v>198</v>
      </c>
      <c r="L358" s="8" t="s">
        <v>124</v>
      </c>
      <c r="M358" s="8" t="s">
        <v>37</v>
      </c>
      <c r="N358" s="52" t="str">
        <f>IF(Follow[[#This Row],[DATAATUALIZAÇÃO]]&lt;=Follow[[#This Row],[Prev Entrega]],"Dentro do Prazo","Fora do Prazo")</f>
        <v>Dentro do Prazo</v>
      </c>
      <c r="O3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438 Rastreio Pedido 438, agradecemos a preferência e adoraríamos receber sua avaliação, tendo qualquer dúvida estamos à disposição.
Att
Tem tudo Shop</v>
      </c>
    </row>
    <row r="359" spans="1:15">
      <c r="A359" s="52" t="str">
        <f>_xlfn.XLOOKUP(Follow[[#This Row],[CODRASTREIO]],Controle_Pedidos[Cód Rastreamento],Controle_Pedidos[Número Pedido Cliente])</f>
        <v>Pedido 355</v>
      </c>
      <c r="B359" s="2" t="s">
        <v>17790</v>
      </c>
      <c r="C359" s="2" t="str">
        <f>Follow[[#This Row],[CODRASTREIO]]&amp;" B"</f>
        <v>CódRastreio348 B</v>
      </c>
      <c r="D359" s="52" t="str">
        <f>_xlfn.XLOOKUP(Follow[[#This Row],[Id Pedido]],Controle_Pedidos[Número Pedido Cliente],Controle_Pedidos[Loja])</f>
        <v>BV</v>
      </c>
      <c r="E359" s="9">
        <f>_xlfn.XLOOKUP(Follow[[#This Row],[Id Pedido]],Controle_Pedidos[Número Pedido Cliente],Controle_Pedidos[Prazo Entrega])</f>
        <v>45637</v>
      </c>
      <c r="F359" s="9" t="s">
        <v>19433</v>
      </c>
      <c r="G359" s="9" t="s">
        <v>37</v>
      </c>
      <c r="H359" s="52" t="s">
        <v>179</v>
      </c>
      <c r="I359" s="52" t="s">
        <v>178</v>
      </c>
      <c r="J359" s="55">
        <v>45623</v>
      </c>
      <c r="K359" s="54" t="s">
        <v>198</v>
      </c>
      <c r="L359" s="8" t="s">
        <v>124</v>
      </c>
      <c r="M359" s="8" t="s">
        <v>37</v>
      </c>
      <c r="N359" s="52" t="str">
        <f>IF(Follow[[#This Row],[DATAATUALIZAÇÃO]]&lt;=Follow[[#This Row],[Prev Entrega]],"Dentro do Prazo","Fora do Prazo")</f>
        <v>Dentro do Prazo</v>
      </c>
      <c r="O3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27/11/2024, referente ao pedido Nº Pedido 355 Rastreio Pedido 355, agradecemos a preferência e adoraríamos receber sua avaliação, tendo qualquer dúvida estamos à disposição.
Att
Tem tudo Shop</v>
      </c>
    </row>
    <row r="360" spans="1:15">
      <c r="A360" s="52" t="str">
        <f>_xlfn.XLOOKUP(Follow[[#This Row],[CODRASTREIO]],Controle_Pedidos[Cód Rastreamento],Controle_Pedidos[Número Pedido Cliente])</f>
        <v>Pedido 159</v>
      </c>
      <c r="B360" s="2" t="s">
        <v>17594</v>
      </c>
      <c r="C360" s="2" t="str">
        <f>Follow[[#This Row],[CODRASTREIO]]&amp;" B"</f>
        <v>CódRastreio152 B</v>
      </c>
      <c r="D360" s="52" t="str">
        <f>_xlfn.XLOOKUP(Follow[[#This Row],[Id Pedido]],Controle_Pedidos[Número Pedido Cliente],Controle_Pedidos[Loja])</f>
        <v>BV</v>
      </c>
      <c r="E360" s="9">
        <f>_xlfn.XLOOKUP(Follow[[#This Row],[Id Pedido]],Controle_Pedidos[Número Pedido Cliente],Controle_Pedidos[Prazo Entrega])</f>
        <v>45610</v>
      </c>
      <c r="F360" s="9" t="s">
        <v>19433</v>
      </c>
      <c r="G360" s="9" t="s">
        <v>37</v>
      </c>
      <c r="H360" s="52" t="s">
        <v>178</v>
      </c>
      <c r="I360" s="52" t="s">
        <v>178</v>
      </c>
      <c r="J360" s="55">
        <v>45598</v>
      </c>
      <c r="K360" s="54" t="s">
        <v>198</v>
      </c>
      <c r="L360" s="8" t="s">
        <v>124</v>
      </c>
      <c r="M360" s="8" t="s">
        <v>37</v>
      </c>
      <c r="N360" s="52" t="str">
        <f>IF(Follow[[#This Row],[DATAATUALIZAÇÃO]]&lt;=Follow[[#This Row],[Prev Entrega]],"Dentro do Prazo","Fora do Prazo")</f>
        <v>Dentro do Prazo</v>
      </c>
      <c r="O3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02/11/2024, referente ao pedido Nº Pedido 159 Rastreio Pedido 159, agradecemos a preferência e adoraríamos receber sua avaliação, tendo qualquer dúvida estamos à disposição.
Att
Tem tudo Shop</v>
      </c>
    </row>
    <row r="361" spans="1:15">
      <c r="A361" s="52" t="str">
        <f>_xlfn.XLOOKUP(Follow[[#This Row],[CODRASTREIO]],Controle_Pedidos[Cód Rastreamento],Controle_Pedidos[Número Pedido Cliente])</f>
        <v>Pedido 202</v>
      </c>
      <c r="B361" s="2" t="s">
        <v>17637</v>
      </c>
      <c r="C361" s="2" t="str">
        <f>Follow[[#This Row],[CODRASTREIO]]&amp;" B"</f>
        <v>CódRastreio195 B</v>
      </c>
      <c r="D361" s="52" t="str">
        <f>_xlfn.XLOOKUP(Follow[[#This Row],[Id Pedido]],Controle_Pedidos[Número Pedido Cliente],Controle_Pedidos[Loja])</f>
        <v>BV</v>
      </c>
      <c r="E361" s="9">
        <f>_xlfn.XLOOKUP(Follow[[#This Row],[Id Pedido]],Controle_Pedidos[Número Pedido Cliente],Controle_Pedidos[Prazo Entrega])</f>
        <v>45615</v>
      </c>
      <c r="F361" s="9" t="s">
        <v>19433</v>
      </c>
      <c r="G361" s="9" t="s">
        <v>37</v>
      </c>
      <c r="H361" s="52" t="s">
        <v>178</v>
      </c>
      <c r="I361" s="52" t="s">
        <v>178</v>
      </c>
      <c r="J361" s="55">
        <v>45601</v>
      </c>
      <c r="K361" s="54" t="s">
        <v>198</v>
      </c>
      <c r="L361" s="8" t="s">
        <v>124</v>
      </c>
      <c r="M361" s="8" t="s">
        <v>37</v>
      </c>
      <c r="N361" s="52" t="str">
        <f>IF(Follow[[#This Row],[DATAATUALIZAÇÃO]]&lt;=Follow[[#This Row],[Prev Entrega]],"Dentro do Prazo","Fora do Prazo")</f>
        <v>Dentro do Prazo</v>
      </c>
      <c r="O3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202 Rastreio Pedido 202, agradecemos a preferência e adoraríamos receber sua avaliação, tendo qualquer dúvida estamos à disposição.
Att
Tem tudo Shop</v>
      </c>
    </row>
    <row r="362" spans="1:15">
      <c r="A362" s="52" t="str">
        <f>_xlfn.XLOOKUP(Follow[[#This Row],[CODRASTREIO]],Controle_Pedidos[Cód Rastreamento],Controle_Pedidos[Número Pedido Cliente])</f>
        <v>Pedido 191</v>
      </c>
      <c r="B362" s="2" t="s">
        <v>17626</v>
      </c>
      <c r="C362" s="2" t="str">
        <f>Follow[[#This Row],[CODRASTREIO]]&amp;" B"</f>
        <v>CódRastreio184 B</v>
      </c>
      <c r="D362" s="52" t="str">
        <f>_xlfn.XLOOKUP(Follow[[#This Row],[Id Pedido]],Controle_Pedidos[Número Pedido Cliente],Controle_Pedidos[Loja])</f>
        <v>BV</v>
      </c>
      <c r="E362" s="9">
        <f>_xlfn.XLOOKUP(Follow[[#This Row],[Id Pedido]],Controle_Pedidos[Número Pedido Cliente],Controle_Pedidos[Prazo Entrega])</f>
        <v>45605</v>
      </c>
      <c r="F362" s="9" t="s">
        <v>19433</v>
      </c>
      <c r="G362" s="9" t="s">
        <v>37</v>
      </c>
      <c r="H362" s="52" t="s">
        <v>178</v>
      </c>
      <c r="I362" s="52" t="s">
        <v>178</v>
      </c>
      <c r="J362" s="55">
        <v>45601</v>
      </c>
      <c r="K362" s="54" t="s">
        <v>198</v>
      </c>
      <c r="L362" s="8" t="s">
        <v>124</v>
      </c>
      <c r="M362" s="8" t="s">
        <v>37</v>
      </c>
      <c r="N362" s="52" t="str">
        <f>IF(Follow[[#This Row],[DATAATUALIZAÇÃO]]&lt;=Follow[[#This Row],[Prev Entrega]],"Dentro do Prazo","Fora do Prazo")</f>
        <v>Dentro do Prazo</v>
      </c>
      <c r="O3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Multi Processador 5 Laminas foi entregue no dia 05/11/2024, referente ao pedido Nº Pedido 191 Rastreio Pedido 191, agradecemos a preferência e adoraríamos receber sua avaliação, tendo qualquer dúvida estamos à disposição.
Att
Tem tudo Shop</v>
      </c>
    </row>
    <row r="363" spans="1:15">
      <c r="A363" s="52" t="str">
        <f>_xlfn.XLOOKUP(Follow[[#This Row],[CODRASTREIO]],Controle_Pedidos[Cód Rastreamento],Controle_Pedidos[Número Pedido Cliente])</f>
        <v>Pedido 164</v>
      </c>
      <c r="B363" s="2" t="s">
        <v>17599</v>
      </c>
      <c r="C363" s="2" t="str">
        <f>Follow[[#This Row],[CODRASTREIO]]&amp;" B"</f>
        <v>CódRastreio157 B</v>
      </c>
      <c r="D363" s="52" t="str">
        <f>_xlfn.XLOOKUP(Follow[[#This Row],[Id Pedido]],Controle_Pedidos[Número Pedido Cliente],Controle_Pedidos[Loja])</f>
        <v>BV</v>
      </c>
      <c r="E363" s="9">
        <f>_xlfn.XLOOKUP(Follow[[#This Row],[Id Pedido]],Controle_Pedidos[Número Pedido Cliente],Controle_Pedidos[Prazo Entrega])</f>
        <v>45615</v>
      </c>
      <c r="F363" s="9" t="s">
        <v>19433</v>
      </c>
      <c r="G363" s="9" t="s">
        <v>37</v>
      </c>
      <c r="H363" s="52" t="s">
        <v>178</v>
      </c>
      <c r="I363" s="52" t="s">
        <v>178</v>
      </c>
      <c r="J363" s="55">
        <v>45600</v>
      </c>
      <c r="K363" s="54" t="s">
        <v>198</v>
      </c>
      <c r="L363" s="8" t="s">
        <v>124</v>
      </c>
      <c r="M363" s="8" t="s">
        <v>37</v>
      </c>
      <c r="N363" s="52" t="str">
        <f>IF(Follow[[#This Row],[DATAATUALIZAÇÃO]]&lt;=Follow[[#This Row],[Prev Entrega]],"Dentro do Prazo","Fora do Prazo")</f>
        <v>Dentro do Prazo</v>
      </c>
      <c r="O3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164 Rastreio Pedido 164, agradecemos a preferência e adoraríamos receber sua avaliação, tendo qualquer dúvida estamos à disposição.
Att
Tem tudo Shop</v>
      </c>
    </row>
    <row r="364" spans="1:15">
      <c r="A364" s="52" t="str">
        <f>_xlfn.XLOOKUP(Follow[[#This Row],[CODRASTREIO]],Controle_Pedidos[Cód Rastreamento],Controle_Pedidos[Número Pedido Cliente])</f>
        <v>Pedido 279</v>
      </c>
      <c r="B364" s="2" t="s">
        <v>17714</v>
      </c>
      <c r="C364" s="2" t="str">
        <f>Follow[[#This Row],[CODRASTREIO]]&amp;" B"</f>
        <v>CódRastreio272 B</v>
      </c>
      <c r="D364" s="52" t="str">
        <f>_xlfn.XLOOKUP(Follow[[#This Row],[Id Pedido]],Controle_Pedidos[Número Pedido Cliente],Controle_Pedidos[Loja])</f>
        <v>BV</v>
      </c>
      <c r="E364" s="9">
        <f>_xlfn.XLOOKUP(Follow[[#This Row],[Id Pedido]],Controle_Pedidos[Número Pedido Cliente],Controle_Pedidos[Prazo Entrega])</f>
        <v>45630</v>
      </c>
      <c r="F364" s="9" t="s">
        <v>19433</v>
      </c>
      <c r="G364" s="9" t="s">
        <v>37</v>
      </c>
      <c r="H364" s="52" t="s">
        <v>178</v>
      </c>
      <c r="I364" s="52" t="s">
        <v>178</v>
      </c>
      <c r="J364" s="55">
        <v>45619</v>
      </c>
      <c r="K364" s="54" t="s">
        <v>198</v>
      </c>
      <c r="L364" s="8" t="s">
        <v>124</v>
      </c>
      <c r="M364" s="8" t="s">
        <v>37</v>
      </c>
      <c r="N364" s="52" t="str">
        <f>IF(Follow[[#This Row],[DATAATUALIZAÇÃO]]&lt;=Follow[[#This Row],[Prev Entrega]],"Dentro do Prazo","Fora do Prazo")</f>
        <v>Dentro do Prazo</v>
      </c>
      <c r="O3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23/11/2024, referente ao pedido Nº Pedido 279 Rastreio Pedido 279, agradecemos a preferência e adoraríamos receber sua avaliação, tendo qualquer dúvida estamos à disposição.
Att
Tem tudo Shop</v>
      </c>
    </row>
    <row r="365" spans="1:15">
      <c r="A365" s="52" t="str">
        <f>_xlfn.XLOOKUP(Follow[[#This Row],[CODRASTREIO]],Controle_Pedidos[Cód Rastreamento],Controle_Pedidos[Número Pedido Cliente])</f>
        <v>Pedido 245</v>
      </c>
      <c r="B365" s="2" t="s">
        <v>17680</v>
      </c>
      <c r="C365" s="2" t="str">
        <f>Follow[[#This Row],[CODRASTREIO]]&amp;" B"</f>
        <v>CódRastreio238 B</v>
      </c>
      <c r="D365" s="52" t="str">
        <f>_xlfn.XLOOKUP(Follow[[#This Row],[Id Pedido]],Controle_Pedidos[Número Pedido Cliente],Controle_Pedidos[Loja])</f>
        <v>BV</v>
      </c>
      <c r="E365" s="9">
        <f>_xlfn.XLOOKUP(Follow[[#This Row],[Id Pedido]],Controle_Pedidos[Número Pedido Cliente],Controle_Pedidos[Prazo Entrega])</f>
        <v>45626</v>
      </c>
      <c r="F365" s="9" t="s">
        <v>19433</v>
      </c>
      <c r="G365" s="9" t="s">
        <v>37</v>
      </c>
      <c r="H365" s="52" t="s">
        <v>179</v>
      </c>
      <c r="I365" s="52" t="s">
        <v>178</v>
      </c>
      <c r="J365" s="55">
        <v>45610</v>
      </c>
      <c r="K365" s="54" t="s">
        <v>198</v>
      </c>
      <c r="L365" s="8" t="s">
        <v>124</v>
      </c>
      <c r="M365" s="8" t="s">
        <v>37</v>
      </c>
      <c r="N365" s="52" t="str">
        <f>IF(Follow[[#This Row],[DATAATUALIZAÇÃO]]&lt;=Follow[[#This Row],[Prev Entrega]],"Dentro do Prazo","Fora do Prazo")</f>
        <v>Dentro do Prazo</v>
      </c>
      <c r="O3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14/11/2024, referente ao pedido Nº Pedido 245 Rastreio Pedido 245, agradecemos a preferência e adoraríamos receber sua avaliação, tendo qualquer dúvida estamos à disposição.
Att
Tem tudo Shop</v>
      </c>
    </row>
    <row r="366" spans="1:15">
      <c r="A366" s="52" t="str">
        <f>_xlfn.XLOOKUP(Follow[[#This Row],[CODRASTREIO]],Controle_Pedidos[Cód Rastreamento],Controle_Pedidos[Número Pedido Cliente])</f>
        <v>Pedido 580</v>
      </c>
      <c r="B366" s="2" t="s">
        <v>18007</v>
      </c>
      <c r="C366" s="2" t="str">
        <f>Follow[[#This Row],[CODRASTREIO]]&amp;" B"</f>
        <v>CódRastreio565 B</v>
      </c>
      <c r="D366" s="52" t="str">
        <f>_xlfn.XLOOKUP(Follow[[#This Row],[Id Pedido]],Controle_Pedidos[Número Pedido Cliente],Controle_Pedidos[Loja])</f>
        <v>BV</v>
      </c>
      <c r="E366" s="9">
        <f>_xlfn.XLOOKUP(Follow[[#This Row],[Id Pedido]],Controle_Pedidos[Número Pedido Cliente],Controle_Pedidos[Prazo Entrega])</f>
        <v>45673</v>
      </c>
      <c r="F366" s="9" t="s">
        <v>19433</v>
      </c>
      <c r="G366" s="9" t="s">
        <v>37</v>
      </c>
      <c r="H366" s="52" t="s">
        <v>179</v>
      </c>
      <c r="I366" s="52" t="s">
        <v>178</v>
      </c>
      <c r="J366" s="55">
        <v>45659</v>
      </c>
      <c r="K366" s="52" t="s">
        <v>198</v>
      </c>
      <c r="L366" s="8" t="s">
        <v>124</v>
      </c>
      <c r="M366" s="8" t="s">
        <v>37</v>
      </c>
      <c r="N366" s="52" t="str">
        <f>IF(Follow[[#This Row],[DATAATUALIZAÇÃO]]&lt;=Follow[[#This Row],[Prev Entrega]],"Dentro do Prazo","Fora do Prazo")</f>
        <v>Dentro do Prazo</v>
      </c>
      <c r="O3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580 Rastreio Pedido 580, agradecemos a preferência e adoraríamos receber sua avaliação, tendo qualquer dúvida estamos à disposição.
Att
Tem tudo Shop</v>
      </c>
    </row>
    <row r="367" spans="1:15">
      <c r="A367" s="52" t="str">
        <f>_xlfn.XLOOKUP(Follow[[#This Row],[CODRASTREIO]],Controle_Pedidos[Cód Rastreamento],Controle_Pedidos[Número Pedido Cliente])</f>
        <v>Pedido 455</v>
      </c>
      <c r="B367" s="2" t="s">
        <v>17882</v>
      </c>
      <c r="C367" s="2" t="str">
        <f>Follow[[#This Row],[CODRASTREIO]]&amp;" B"</f>
        <v>CódRastreio440 B</v>
      </c>
      <c r="D367" s="52" t="str">
        <f>_xlfn.XLOOKUP(Follow[[#This Row],[Id Pedido]],Controle_Pedidos[Número Pedido Cliente],Controle_Pedidos[Loja])</f>
        <v>BV</v>
      </c>
      <c r="E367" s="9">
        <f>_xlfn.XLOOKUP(Follow[[#This Row],[Id Pedido]],Controle_Pedidos[Número Pedido Cliente],Controle_Pedidos[Prazo Entrega])</f>
        <v>45645</v>
      </c>
      <c r="F367" s="9" t="s">
        <v>19433</v>
      </c>
      <c r="G367" s="9" t="s">
        <v>37</v>
      </c>
      <c r="H367" s="55" t="s">
        <v>179</v>
      </c>
      <c r="I367" s="55" t="s">
        <v>178</v>
      </c>
      <c r="J367" s="55">
        <v>45632.575300925928</v>
      </c>
      <c r="K367" s="54" t="s">
        <v>198</v>
      </c>
      <c r="L367" s="8" t="s">
        <v>124</v>
      </c>
      <c r="M367" s="8" t="s">
        <v>37</v>
      </c>
      <c r="N367" s="52" t="str">
        <f>IF(Follow[[#This Row],[DATAATUALIZAÇÃO]]&lt;=Follow[[#This Row],[Prev Entrega]],"Dentro do Prazo","Fora do Prazo")</f>
        <v>Dentro do Prazo</v>
      </c>
      <c r="O3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06/12/2024, referente ao pedido Nº Pedido 455 Rastreio Pedido 455, agradecemos a preferência e adoraríamos receber sua avaliação, tendo qualquer dúvida estamos à disposição.
Att
Tem tudo Shop</v>
      </c>
    </row>
    <row r="368" spans="1:15">
      <c r="A368" s="52" t="str">
        <f>_xlfn.XLOOKUP(Follow[[#This Row],[CODRASTREIO]],Controle_Pedidos[Cód Rastreamento],Controle_Pedidos[Número Pedido Cliente])</f>
        <v>Pedido 351</v>
      </c>
      <c r="B368" s="2" t="s">
        <v>17786</v>
      </c>
      <c r="C368" s="2" t="str">
        <f>Follow[[#This Row],[CODRASTREIO]]&amp;" B"</f>
        <v>CódRastreio344 B</v>
      </c>
      <c r="D368" s="52" t="str">
        <f>_xlfn.XLOOKUP(Follow[[#This Row],[Id Pedido]],Controle_Pedidos[Número Pedido Cliente],Controle_Pedidos[Loja])</f>
        <v>BV</v>
      </c>
      <c r="E368" s="9">
        <f>_xlfn.XLOOKUP(Follow[[#This Row],[Id Pedido]],Controle_Pedidos[Número Pedido Cliente],Controle_Pedidos[Prazo Entrega])</f>
        <v>45625</v>
      </c>
      <c r="F368" s="9" t="s">
        <v>19433</v>
      </c>
      <c r="G368" s="9" t="s">
        <v>37</v>
      </c>
      <c r="H368" s="52" t="s">
        <v>178</v>
      </c>
      <c r="I368" s="52" t="s">
        <v>178</v>
      </c>
      <c r="J368" s="55">
        <v>45620</v>
      </c>
      <c r="K368" s="54" t="s">
        <v>198</v>
      </c>
      <c r="L368" s="8" t="s">
        <v>124</v>
      </c>
      <c r="M368" s="8" t="s">
        <v>37</v>
      </c>
      <c r="N368" s="52" t="str">
        <f>IF(Follow[[#This Row],[DATAATUALIZAÇÃO]]&lt;=Follow[[#This Row],[Prev Entrega]],"Dentro do Prazo","Fora do Prazo")</f>
        <v>Dentro do Prazo</v>
      </c>
      <c r="O3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24/11/2024, referente ao pedido Nº Pedido 351 Rastreio Pedido 351, agradecemos a preferência e adoraríamos receber sua avaliação, tendo qualquer dúvida estamos à disposição.
Att
Tem tudo Shop</v>
      </c>
    </row>
    <row r="369" spans="1:15">
      <c r="A369" s="52" t="str">
        <f>_xlfn.XLOOKUP(Follow[[#This Row],[CODRASTREIO]],Controle_Pedidos[Cód Rastreamento],Controle_Pedidos[Número Pedido Cliente])</f>
        <v>Pedido 295</v>
      </c>
      <c r="B369" s="2" t="s">
        <v>17730</v>
      </c>
      <c r="C369" s="2" t="str">
        <f>Follow[[#This Row],[CODRASTREIO]]&amp;" B"</f>
        <v>CódRastreio288 B</v>
      </c>
      <c r="D369" s="52" t="str">
        <f>_xlfn.XLOOKUP(Follow[[#This Row],[Id Pedido]],Controle_Pedidos[Número Pedido Cliente],Controle_Pedidos[Loja])</f>
        <v>BV</v>
      </c>
      <c r="E369" s="9">
        <f>_xlfn.XLOOKUP(Follow[[#This Row],[Id Pedido]],Controle_Pedidos[Número Pedido Cliente],Controle_Pedidos[Prazo Entrega])</f>
        <v>45625</v>
      </c>
      <c r="F369" s="9" t="s">
        <v>19433</v>
      </c>
      <c r="G369" s="9" t="s">
        <v>37</v>
      </c>
      <c r="H369" s="52" t="s">
        <v>178</v>
      </c>
      <c r="I369" s="52" t="s">
        <v>178</v>
      </c>
      <c r="J369" s="55">
        <v>45614</v>
      </c>
      <c r="K369" s="54" t="s">
        <v>198</v>
      </c>
      <c r="L369" s="8" t="s">
        <v>124</v>
      </c>
      <c r="M369" s="8" t="s">
        <v>37</v>
      </c>
      <c r="N369" s="52" t="str">
        <f>IF(Follow[[#This Row],[DATAATUALIZAÇÃO]]&lt;=Follow[[#This Row],[Prev Entrega]],"Dentro do Prazo","Fora do Prazo")</f>
        <v>Dentro do Prazo</v>
      </c>
      <c r="O3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295 Rastreio Pedido 295, agradecemos a preferência e adoraríamos receber sua avaliação, tendo qualquer dúvida estamos à disposição.
Att
Tem tudo Shop</v>
      </c>
    </row>
    <row r="370" spans="1:15">
      <c r="A370" s="52" t="str">
        <f>_xlfn.XLOOKUP(Follow[[#This Row],[CODRASTREIO]],Controle_Pedidos[Cód Rastreamento],Controle_Pedidos[Número Pedido Cliente])</f>
        <v>Pedido 530</v>
      </c>
      <c r="B370" s="2" t="s">
        <v>17957</v>
      </c>
      <c r="C370" s="2" t="str">
        <f>Follow[[#This Row],[CODRASTREIO]]&amp;" B"</f>
        <v>CódRastreio515 B</v>
      </c>
      <c r="D370" s="52" t="str">
        <f>_xlfn.XLOOKUP(Follow[[#This Row],[Id Pedido]],Controle_Pedidos[Número Pedido Cliente],Controle_Pedidos[Loja])</f>
        <v>BV</v>
      </c>
      <c r="E370" s="9">
        <f>_xlfn.XLOOKUP(Follow[[#This Row],[Id Pedido]],Controle_Pedidos[Número Pedido Cliente],Controle_Pedidos[Prazo Entrega])</f>
        <v>45668</v>
      </c>
      <c r="F370" s="9" t="s">
        <v>19433</v>
      </c>
      <c r="G370" s="9" t="s">
        <v>37</v>
      </c>
      <c r="H370" s="52" t="s">
        <v>178</v>
      </c>
      <c r="I370" s="52" t="s">
        <v>178</v>
      </c>
      <c r="J370" s="55">
        <v>45646</v>
      </c>
      <c r="K370" s="52" t="s">
        <v>198</v>
      </c>
      <c r="L370" s="8" t="s">
        <v>124</v>
      </c>
      <c r="M370" s="8" t="s">
        <v>37</v>
      </c>
      <c r="N370" s="52" t="str">
        <f>IF(Follow[[#This Row],[DATAATUALIZAÇÃO]]&lt;=Follow[[#This Row],[Prev Entrega]],"Dentro do Prazo","Fora do Prazo")</f>
        <v>Dentro do Prazo</v>
      </c>
      <c r="O3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20/12/2024, referente ao pedido Nº Pedido 530 Rastreio Pedido 530, agradecemos a preferência e adoraríamos receber sua avaliação, tendo qualquer dúvida estamos à disposição.
Att
Tem tudo Shop</v>
      </c>
    </row>
    <row r="371" spans="1:15">
      <c r="A371" s="52" t="str">
        <f>_xlfn.XLOOKUP(Follow[[#This Row],[CODRASTREIO]],Controle_Pedidos[Cód Rastreamento],Controle_Pedidos[Número Pedido Cliente])</f>
        <v>Pedido 324</v>
      </c>
      <c r="B371" s="2" t="s">
        <v>17759</v>
      </c>
      <c r="C371" s="2" t="str">
        <f>Follow[[#This Row],[CODRASTREIO]]&amp;" B"</f>
        <v>CódRastreio317 B</v>
      </c>
      <c r="D371" s="52" t="str">
        <f>_xlfn.XLOOKUP(Follow[[#This Row],[Id Pedido]],Controle_Pedidos[Número Pedido Cliente],Controle_Pedidos[Loja])</f>
        <v>BV</v>
      </c>
      <c r="E371" s="9">
        <f>_xlfn.XLOOKUP(Follow[[#This Row],[Id Pedido]],Controle_Pedidos[Número Pedido Cliente],Controle_Pedidos[Prazo Entrega])</f>
        <v>45640</v>
      </c>
      <c r="F371" s="9" t="s">
        <v>19433</v>
      </c>
      <c r="G371" s="9" t="s">
        <v>37</v>
      </c>
      <c r="H371" s="55" t="s">
        <v>179</v>
      </c>
      <c r="I371" s="55" t="s">
        <v>178</v>
      </c>
      <c r="J371" s="55">
        <v>45636</v>
      </c>
      <c r="K371" s="52" t="s">
        <v>198</v>
      </c>
      <c r="L371" s="8" t="s">
        <v>124</v>
      </c>
      <c r="M371" s="8" t="s">
        <v>37</v>
      </c>
      <c r="N371" s="52" t="str">
        <f>IF(Follow[[#This Row],[DATAATUALIZAÇÃO]]&lt;=Follow[[#This Row],[Prev Entrega]],"Dentro do Prazo","Fora do Prazo")</f>
        <v>Dentro do Prazo</v>
      </c>
      <c r="O3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10/12/2024, referente ao pedido Nº Pedido 324 Rastreio Pedido 324, agradecemos a preferência e adoraríamos receber sua avaliação, tendo qualquer dúvida estamos à disposição.
Att
Tem tudo Shop</v>
      </c>
    </row>
    <row r="372" spans="1:15">
      <c r="A372" s="52" t="str">
        <f>_xlfn.XLOOKUP(Follow[[#This Row],[CODRASTREIO]],Controle_Pedidos[Cód Rastreamento],Controle_Pedidos[Número Pedido Cliente])</f>
        <v>Pedido 246</v>
      </c>
      <c r="B372" s="2" t="s">
        <v>17681</v>
      </c>
      <c r="C372" s="2" t="str">
        <f>Follow[[#This Row],[CODRASTREIO]]&amp;" B"</f>
        <v>CódRastreio239 B</v>
      </c>
      <c r="D372" s="52" t="str">
        <f>_xlfn.XLOOKUP(Follow[[#This Row],[Id Pedido]],Controle_Pedidos[Número Pedido Cliente],Controle_Pedidos[Loja])</f>
        <v>BV</v>
      </c>
      <c r="E372" s="9">
        <f>_xlfn.XLOOKUP(Follow[[#This Row],[Id Pedido]],Controle_Pedidos[Número Pedido Cliente],Controle_Pedidos[Prazo Entrega])</f>
        <v>45626</v>
      </c>
      <c r="F372" s="9" t="s">
        <v>19433</v>
      </c>
      <c r="G372" s="9" t="s">
        <v>37</v>
      </c>
      <c r="H372" s="52" t="s">
        <v>179</v>
      </c>
      <c r="I372" s="52" t="s">
        <v>178</v>
      </c>
      <c r="J372" s="55">
        <v>45610</v>
      </c>
      <c r="K372" s="54" t="s">
        <v>198</v>
      </c>
      <c r="L372" s="8" t="s">
        <v>124</v>
      </c>
      <c r="M372" s="8" t="s">
        <v>37</v>
      </c>
      <c r="N372" s="52" t="str">
        <f>IF(Follow[[#This Row],[DATAATUALIZAÇÃO]]&lt;=Follow[[#This Row],[Prev Entrega]],"Dentro do Prazo","Fora do Prazo")</f>
        <v>Dentro do Prazo</v>
      </c>
      <c r="O3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14/11/2024, referente ao pedido Nº Pedido 246 Rastreio Pedido 246, agradecemos a preferência e adoraríamos receber sua avaliação, tendo qualquer dúvida estamos à disposição.
Att
Tem tudo Shop</v>
      </c>
    </row>
    <row r="373" spans="1:15">
      <c r="A373" s="52" t="str">
        <f>_xlfn.XLOOKUP(Follow[[#This Row],[CODRASTREIO]],Controle_Pedidos[Cód Rastreamento],Controle_Pedidos[Número Pedido Cliente])</f>
        <v>Pedido 536</v>
      </c>
      <c r="B373" s="2" t="s">
        <v>17963</v>
      </c>
      <c r="C373" s="2" t="str">
        <f>Follow[[#This Row],[CODRASTREIO]]&amp;" B"</f>
        <v>CódRastreio521 B</v>
      </c>
      <c r="D373" s="52" t="str">
        <f>_xlfn.XLOOKUP(Follow[[#This Row],[Id Pedido]],Controle_Pedidos[Número Pedido Cliente],Controle_Pedidos[Loja])</f>
        <v>BV</v>
      </c>
      <c r="E373" s="9">
        <f>_xlfn.XLOOKUP(Follow[[#This Row],[Id Pedido]],Controle_Pedidos[Número Pedido Cliente],Controle_Pedidos[Prazo Entrega])</f>
        <v>45664</v>
      </c>
      <c r="F373" s="9" t="s">
        <v>19433</v>
      </c>
      <c r="G373" s="9" t="s">
        <v>37</v>
      </c>
      <c r="H373" s="52" t="s">
        <v>178</v>
      </c>
      <c r="I373" s="52" t="s">
        <v>178</v>
      </c>
      <c r="J373" s="55">
        <v>45651</v>
      </c>
      <c r="K373" s="52" t="s">
        <v>198</v>
      </c>
      <c r="L373" s="8" t="s">
        <v>124</v>
      </c>
      <c r="M373" s="8" t="s">
        <v>37</v>
      </c>
      <c r="N373" s="52" t="str">
        <f>IF(Follow[[#This Row],[DATAATUALIZAÇÃO]]&lt;=Follow[[#This Row],[Prev Entrega]],"Dentro do Prazo","Fora do Prazo")</f>
        <v>Dentro do Prazo</v>
      </c>
      <c r="O3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25/12/2024, referente ao pedido Nº Pedido 536 Rastreio Pedido 536, agradecemos a preferência e adoraríamos receber sua avaliação, tendo qualquer dúvida estamos à disposição.
Att
Tem tudo Shop</v>
      </c>
    </row>
    <row r="374" spans="1:15">
      <c r="A374" s="52" t="str">
        <f>_xlfn.XLOOKUP(Follow[[#This Row],[CODRASTREIO]],Controle_Pedidos[Cód Rastreamento],Controle_Pedidos[Número Pedido Cliente])</f>
        <v>Pedido 210</v>
      </c>
      <c r="B374" s="2" t="s">
        <v>17645</v>
      </c>
      <c r="C374" s="2" t="str">
        <f>Follow[[#This Row],[CODRASTREIO]]&amp;" B"</f>
        <v>CódRastreio203 B</v>
      </c>
      <c r="D374" s="52" t="str">
        <f>_xlfn.XLOOKUP(Follow[[#This Row],[Id Pedido]],Controle_Pedidos[Número Pedido Cliente],Controle_Pedidos[Loja])</f>
        <v>BV</v>
      </c>
      <c r="E374" s="9">
        <f>_xlfn.XLOOKUP(Follow[[#This Row],[Id Pedido]],Controle_Pedidos[Número Pedido Cliente],Controle_Pedidos[Prazo Entrega])</f>
        <v>45622</v>
      </c>
      <c r="F374" s="9" t="s">
        <v>19433</v>
      </c>
      <c r="G374" s="9" t="s">
        <v>37</v>
      </c>
      <c r="H374" s="52" t="s">
        <v>178</v>
      </c>
      <c r="I374" s="52" t="s">
        <v>178</v>
      </c>
      <c r="J374" s="55">
        <v>45608</v>
      </c>
      <c r="K374" s="54" t="s">
        <v>198</v>
      </c>
      <c r="L374" s="8" t="s">
        <v>124</v>
      </c>
      <c r="M374" s="8" t="s">
        <v>37</v>
      </c>
      <c r="N374" s="52" t="str">
        <f>IF(Follow[[#This Row],[DATAATUALIZAÇÃO]]&lt;=Follow[[#This Row],[Prev Entrega]],"Dentro do Prazo","Fora do Prazo")</f>
        <v>Dentro do Prazo</v>
      </c>
      <c r="O3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12/11/2024, referente ao pedido Nº Pedido 210 Rastreio Pedido 210, agradecemos a preferência e adoraríamos receber sua avaliação, tendo qualquer dúvida estamos à disposição.
Att
Tem tudo Shop</v>
      </c>
    </row>
    <row r="375" spans="1:15">
      <c r="A375" s="52" t="str">
        <f>_xlfn.XLOOKUP(Follow[[#This Row],[CODRASTREIO]],Controle_Pedidos[Cód Rastreamento],Controle_Pedidos[Número Pedido Cliente])</f>
        <v>Pedido 168</v>
      </c>
      <c r="B375" s="2" t="s">
        <v>17603</v>
      </c>
      <c r="C375" s="2" t="str">
        <f>Follow[[#This Row],[CODRASTREIO]]&amp;" B"</f>
        <v>CódRastreio161 B</v>
      </c>
      <c r="D375" s="52" t="str">
        <f>_xlfn.XLOOKUP(Follow[[#This Row],[Id Pedido]],Controle_Pedidos[Número Pedido Cliente],Controle_Pedidos[Loja])</f>
        <v>BV</v>
      </c>
      <c r="E375" s="9">
        <f>_xlfn.XLOOKUP(Follow[[#This Row],[Id Pedido]],Controle_Pedidos[Número Pedido Cliente],Controle_Pedidos[Prazo Entrega])</f>
        <v>45610</v>
      </c>
      <c r="F375" s="9" t="s">
        <v>19433</v>
      </c>
      <c r="G375" s="9" t="s">
        <v>37</v>
      </c>
      <c r="H375" s="52" t="s">
        <v>178</v>
      </c>
      <c r="I375" s="52" t="s">
        <v>178</v>
      </c>
      <c r="J375" s="55">
        <v>45603</v>
      </c>
      <c r="K375" s="54" t="s">
        <v>198</v>
      </c>
      <c r="L375" s="8" t="s">
        <v>124</v>
      </c>
      <c r="M375" s="8" t="s">
        <v>37</v>
      </c>
      <c r="N375" s="52" t="str">
        <f>IF(Follow[[#This Row],[DATAATUALIZAÇÃO]]&lt;=Follow[[#This Row],[Prev Entrega]],"Dentro do Prazo","Fora do Prazo")</f>
        <v>Dentro do Prazo</v>
      </c>
      <c r="O3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07/11/2024, referente ao pedido Nº Pedido 168 Rastreio Pedido 168, agradecemos a preferência e adoraríamos receber sua avaliação, tendo qualquer dúvida estamos à disposição.
Att
Tem tudo Shop</v>
      </c>
    </row>
    <row r="376" spans="1:15">
      <c r="A376" s="52" t="str">
        <f>_xlfn.XLOOKUP(Follow[[#This Row],[CODRASTREIO]],Controle_Pedidos[Cód Rastreamento],Controle_Pedidos[Número Pedido Cliente])</f>
        <v>Pedido 394</v>
      </c>
      <c r="B376" s="2" t="s">
        <v>17826</v>
      </c>
      <c r="C376" s="2" t="str">
        <f>Follow[[#This Row],[CODRASTREIO]]&amp;" B"</f>
        <v>CódRastreio384 B</v>
      </c>
      <c r="D376" s="52" t="str">
        <f>_xlfn.XLOOKUP(Follow[[#This Row],[Id Pedido]],Controle_Pedidos[Número Pedido Cliente],Controle_Pedidos[Loja])</f>
        <v>BV</v>
      </c>
      <c r="E376" s="9">
        <f>_xlfn.XLOOKUP(Follow[[#This Row],[Id Pedido]],Controle_Pedidos[Número Pedido Cliente],Controle_Pedidos[Prazo Entrega])</f>
        <v>45643</v>
      </c>
      <c r="F376" s="9" t="s">
        <v>19433</v>
      </c>
      <c r="G376" s="9" t="s">
        <v>37</v>
      </c>
      <c r="H376" s="55" t="s">
        <v>179</v>
      </c>
      <c r="I376" s="55" t="s">
        <v>178</v>
      </c>
      <c r="J376" s="55">
        <v>45632.408078703702</v>
      </c>
      <c r="K376" s="54" t="s">
        <v>198</v>
      </c>
      <c r="L376" s="8" t="s">
        <v>124</v>
      </c>
      <c r="M376" s="8" t="s">
        <v>37</v>
      </c>
      <c r="N376" s="52" t="str">
        <f>IF(Follow[[#This Row],[DATAATUALIZAÇÃO]]&lt;=Follow[[#This Row],[Prev Entrega]],"Dentro do Prazo","Fora do Prazo")</f>
        <v>Dentro do Prazo</v>
      </c>
      <c r="O3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06/12/2024, referente ao pedido Nº Pedido 394 Rastreio Pedido 394, agradecemos a preferência e adoraríamos receber sua avaliação, tendo qualquer dúvida estamos à disposição.
Att
Tem tudo Shop</v>
      </c>
    </row>
    <row r="377" spans="1:15">
      <c r="A377" s="52" t="str">
        <f>_xlfn.XLOOKUP(Follow[[#This Row],[CODRASTREIO]],Controle_Pedidos[Cód Rastreamento],Controle_Pedidos[Número Pedido Cliente])</f>
        <v>Pedido 365</v>
      </c>
      <c r="B377" s="2" t="s">
        <v>17797</v>
      </c>
      <c r="C377" s="2" t="str">
        <f>Follow[[#This Row],[CODRASTREIO]]&amp;" B"</f>
        <v>CódRastreio355 B</v>
      </c>
      <c r="D377" s="52" t="str">
        <f>_xlfn.XLOOKUP(Follow[[#This Row],[Id Pedido]],Controle_Pedidos[Número Pedido Cliente],Controle_Pedidos[Loja])</f>
        <v>BV</v>
      </c>
      <c r="E377" s="9">
        <f>_xlfn.XLOOKUP(Follow[[#This Row],[Id Pedido]],Controle_Pedidos[Número Pedido Cliente],Controle_Pedidos[Prazo Entrega])</f>
        <v>45638</v>
      </c>
      <c r="F377" s="9" t="s">
        <v>19433</v>
      </c>
      <c r="G377" s="9" t="s">
        <v>37</v>
      </c>
      <c r="H377" s="52" t="s">
        <v>178</v>
      </c>
      <c r="I377" s="52" t="s">
        <v>178</v>
      </c>
      <c r="J377" s="55">
        <v>45621</v>
      </c>
      <c r="K377" s="54" t="s">
        <v>198</v>
      </c>
      <c r="L377" s="8" t="s">
        <v>124</v>
      </c>
      <c r="M377" s="8" t="s">
        <v>37</v>
      </c>
      <c r="N377" s="52" t="str">
        <f>IF(Follow[[#This Row],[DATAATUALIZAÇÃO]]&lt;=Follow[[#This Row],[Prev Entrega]],"Dentro do Prazo","Fora do Prazo")</f>
        <v>Dentro do Prazo</v>
      </c>
      <c r="O3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25/11/2024, referente ao pedido Nº Pedido 365 Rastreio Pedido 365, agradecemos a preferência e adoraríamos receber sua avaliação, tendo qualquer dúvida estamos à disposição.
Att
Tem tudo Shop</v>
      </c>
    </row>
    <row r="378" spans="1:15">
      <c r="A378" s="52" t="str">
        <f>_xlfn.XLOOKUP(Follow[[#This Row],[CODRASTREIO]],Controle_Pedidos[Cód Rastreamento],Controle_Pedidos[Número Pedido Cliente])</f>
        <v>Pedido 286</v>
      </c>
      <c r="B378" s="2" t="s">
        <v>17721</v>
      </c>
      <c r="C378" s="2" t="str">
        <f>Follow[[#This Row],[CODRASTREIO]]&amp;" B"</f>
        <v>CódRastreio279 B</v>
      </c>
      <c r="D378" s="52" t="str">
        <f>_xlfn.XLOOKUP(Follow[[#This Row],[Id Pedido]],Controle_Pedidos[Número Pedido Cliente],Controle_Pedidos[Loja])</f>
        <v>BV</v>
      </c>
      <c r="E378" s="9">
        <f>_xlfn.XLOOKUP(Follow[[#This Row],[Id Pedido]],Controle_Pedidos[Número Pedido Cliente],Controle_Pedidos[Prazo Entrega])</f>
        <v>45630</v>
      </c>
      <c r="F378" s="9" t="s">
        <v>19433</v>
      </c>
      <c r="G378" s="9" t="s">
        <v>37</v>
      </c>
      <c r="H378" s="52" t="s">
        <v>178</v>
      </c>
      <c r="I378" s="52" t="s">
        <v>178</v>
      </c>
      <c r="J378" s="55">
        <v>45616</v>
      </c>
      <c r="K378" s="54" t="s">
        <v>198</v>
      </c>
      <c r="L378" s="8" t="s">
        <v>124</v>
      </c>
      <c r="M378" s="8" t="s">
        <v>37</v>
      </c>
      <c r="N378" s="52" t="str">
        <f>IF(Follow[[#This Row],[DATAATUALIZAÇÃO]]&lt;=Follow[[#This Row],[Prev Entrega]],"Dentro do Prazo","Fora do Prazo")</f>
        <v>Dentro do Prazo</v>
      </c>
      <c r="O3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20/11/2024, referente ao pedido Nº Pedido 286 Rastreio Pedido 286, agradecemos a preferência e adoraríamos receber sua avaliação, tendo qualquer dúvida estamos à disposição.
Att
Tem tudo Shop</v>
      </c>
    </row>
    <row r="379" spans="1:15">
      <c r="A379" s="52" t="str">
        <f>_xlfn.XLOOKUP(Follow[[#This Row],[CODRASTREIO]],Controle_Pedidos[Cód Rastreamento],Controle_Pedidos[Número Pedido Cliente])</f>
        <v>Pedido 285</v>
      </c>
      <c r="B379" s="2" t="s">
        <v>17720</v>
      </c>
      <c r="C379" s="2" t="str">
        <f>Follow[[#This Row],[CODRASTREIO]]&amp;" B"</f>
        <v>CódRastreio278 B</v>
      </c>
      <c r="D379" s="52" t="str">
        <f>_xlfn.XLOOKUP(Follow[[#This Row],[Id Pedido]],Controle_Pedidos[Número Pedido Cliente],Controle_Pedidos[Loja])</f>
        <v>BV</v>
      </c>
      <c r="E379" s="9">
        <f>_xlfn.XLOOKUP(Follow[[#This Row],[Id Pedido]],Controle_Pedidos[Número Pedido Cliente],Controle_Pedidos[Prazo Entrega])</f>
        <v>45637</v>
      </c>
      <c r="F379" s="9" t="s">
        <v>19433</v>
      </c>
      <c r="G379" s="9" t="s">
        <v>37</v>
      </c>
      <c r="H379" s="52" t="s">
        <v>179</v>
      </c>
      <c r="I379" s="52" t="s">
        <v>178</v>
      </c>
      <c r="J379" s="55">
        <v>45621</v>
      </c>
      <c r="K379" s="54" t="s">
        <v>198</v>
      </c>
      <c r="L379" s="8" t="s">
        <v>124</v>
      </c>
      <c r="M379" s="8" t="s">
        <v>37</v>
      </c>
      <c r="N379" s="52" t="str">
        <f>IF(Follow[[#This Row],[DATAATUALIZAÇÃO]]&lt;=Follow[[#This Row],[Prev Entrega]],"Dentro do Prazo","Fora do Prazo")</f>
        <v>Dentro do Prazo</v>
      </c>
      <c r="O3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25/11/2024, referente ao pedido Nº Pedido 285 Rastreio Pedido 285, agradecemos a preferência e adoraríamos receber sua avaliação, tendo qualquer dúvida estamos à disposição.
Att
Tem tudo Shop</v>
      </c>
    </row>
    <row r="380" spans="1:15">
      <c r="A380" s="52" t="str">
        <f>_xlfn.XLOOKUP(Follow[[#This Row],[CODRASTREIO]],Controle_Pedidos[Cód Rastreamento],Controle_Pedidos[Número Pedido Cliente])</f>
        <v>Pedido 46</v>
      </c>
      <c r="B380" s="2" t="s">
        <v>17479</v>
      </c>
      <c r="C380" s="2" t="str">
        <f>Follow[[#This Row],[CODRASTREIO]]&amp;" B"</f>
        <v>CódRastreio37 B</v>
      </c>
      <c r="D380" s="52" t="str">
        <f>_xlfn.XLOOKUP(Follow[[#This Row],[Id Pedido]],Controle_Pedidos[Número Pedido Cliente],Controle_Pedidos[Loja])</f>
        <v>BV</v>
      </c>
      <c r="E380" s="9">
        <f>_xlfn.XLOOKUP(Follow[[#This Row],[Id Pedido]],Controle_Pedidos[Número Pedido Cliente],Controle_Pedidos[Prazo Entrega])</f>
        <v>45608</v>
      </c>
      <c r="F380" s="9" t="s">
        <v>19433</v>
      </c>
      <c r="G380" s="9" t="s">
        <v>37</v>
      </c>
      <c r="H380" s="52" t="s">
        <v>178</v>
      </c>
      <c r="I380" s="52" t="s">
        <v>178</v>
      </c>
      <c r="J380" s="55">
        <v>45593</v>
      </c>
      <c r="K380" s="54" t="s">
        <v>198</v>
      </c>
      <c r="L380" s="8" t="s">
        <v>124</v>
      </c>
      <c r="M380" s="8" t="s">
        <v>37</v>
      </c>
      <c r="N380" s="52" t="str">
        <f>IF(Follow[[#This Row],[DATAATUALIZAÇÃO]]&lt;=Follow[[#This Row],[Prev Entrega]],"Dentro do Prazo","Fora do Prazo")</f>
        <v>Dentro do Prazo</v>
      </c>
      <c r="O3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28/10/2024, referente ao pedido Nº Pedido 46 Rastreio Pedido 46, agradecemos a preferência e adoraríamos receber sua avaliação, tendo qualquer dúvida estamos à disposição.
Att
Tem tudo Shop</v>
      </c>
    </row>
    <row r="381" spans="1:15">
      <c r="A381" s="52" t="str">
        <f>_xlfn.XLOOKUP(Follow[[#This Row],[CODRASTREIO]],Controle_Pedidos[Cód Rastreamento],Controle_Pedidos[Número Pedido Cliente])</f>
        <v>Pedido 296</v>
      </c>
      <c r="B381" s="2" t="s">
        <v>17731</v>
      </c>
      <c r="C381" s="2" t="str">
        <f>Follow[[#This Row],[CODRASTREIO]]&amp;" B"</f>
        <v>CódRastreio289 B</v>
      </c>
      <c r="D381" s="52" t="str">
        <f>_xlfn.XLOOKUP(Follow[[#This Row],[Id Pedido]],Controle_Pedidos[Número Pedido Cliente],Controle_Pedidos[Loja])</f>
        <v>BV</v>
      </c>
      <c r="E381" s="9">
        <f>_xlfn.XLOOKUP(Follow[[#This Row],[Id Pedido]],Controle_Pedidos[Número Pedido Cliente],Controle_Pedidos[Prazo Entrega])</f>
        <v>45631</v>
      </c>
      <c r="F381" s="9" t="s">
        <v>19433</v>
      </c>
      <c r="G381" s="9" t="s">
        <v>37</v>
      </c>
      <c r="H381" s="52" t="s">
        <v>178</v>
      </c>
      <c r="I381" s="52" t="s">
        <v>178</v>
      </c>
      <c r="J381" s="55">
        <v>45623</v>
      </c>
      <c r="K381" s="54" t="s">
        <v>198</v>
      </c>
      <c r="L381" s="8" t="s">
        <v>124</v>
      </c>
      <c r="M381" s="8" t="s">
        <v>37</v>
      </c>
      <c r="N381" s="52" t="str">
        <f>IF(Follow[[#This Row],[DATAATUALIZAÇÃO]]&lt;=Follow[[#This Row],[Prev Entrega]],"Dentro do Prazo","Fora do Prazo")</f>
        <v>Dentro do Prazo</v>
      </c>
      <c r="O3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27/11/2024, referente ao pedido Nº Pedido 296 Rastreio Pedido 296, agradecemos a preferência e adoraríamos receber sua avaliação, tendo qualquer dúvida estamos à disposição.
Att
Tem tudo Shop</v>
      </c>
    </row>
    <row r="382" spans="1:15">
      <c r="A382" s="52" t="str">
        <f>_xlfn.XLOOKUP(Follow[[#This Row],[CODRASTREIO]],Controle_Pedidos[Cód Rastreamento],Controle_Pedidos[Número Pedido Cliente])</f>
        <v>Pedido 413</v>
      </c>
      <c r="B382" s="2" t="s">
        <v>17844</v>
      </c>
      <c r="C382" s="2" t="str">
        <f>Follow[[#This Row],[CODRASTREIO]]&amp;" B"</f>
        <v>CódRastreio402 B</v>
      </c>
      <c r="D382" s="52" t="str">
        <f>_xlfn.XLOOKUP(Follow[[#This Row],[Id Pedido]],Controle_Pedidos[Número Pedido Cliente],Controle_Pedidos[Loja])</f>
        <v>BV</v>
      </c>
      <c r="E382" s="9">
        <f>_xlfn.XLOOKUP(Follow[[#This Row],[Id Pedido]],Controle_Pedidos[Número Pedido Cliente],Controle_Pedidos[Prazo Entrega])</f>
        <v>45643</v>
      </c>
      <c r="F382" s="9" t="s">
        <v>19433</v>
      </c>
      <c r="G382" s="9" t="s">
        <v>37</v>
      </c>
      <c r="H382" s="52" t="s">
        <v>179</v>
      </c>
      <c r="I382" s="52" t="s">
        <v>178</v>
      </c>
      <c r="J382" s="55">
        <v>45629</v>
      </c>
      <c r="K382" s="54" t="s">
        <v>198</v>
      </c>
      <c r="L382" s="8" t="s">
        <v>124</v>
      </c>
      <c r="M382" s="8" t="s">
        <v>37</v>
      </c>
      <c r="N382" s="52" t="str">
        <f>IF(Follow[[#This Row],[DATAATUALIZAÇÃO]]&lt;=Follow[[#This Row],[Prev Entrega]],"Dentro do Prazo","Fora do Prazo")</f>
        <v>Dentro do Prazo</v>
      </c>
      <c r="O3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03/12/2024, referente ao pedido Nº Pedido 413 Rastreio Pedido 413, agradecemos a preferência e adoraríamos receber sua avaliação, tendo qualquer dúvida estamos à disposição.
Att
Tem tudo Shop</v>
      </c>
    </row>
    <row r="383" spans="1:15">
      <c r="A383" s="52" t="str">
        <f>_xlfn.XLOOKUP(Follow[[#This Row],[CODRASTREIO]],Controle_Pedidos[Cód Rastreamento],Controle_Pedidos[Número Pedido Cliente])</f>
        <v>Pedido 39</v>
      </c>
      <c r="B383" s="2" t="s">
        <v>17472</v>
      </c>
      <c r="C383" s="2" t="str">
        <f>Follow[[#This Row],[CODRASTREIO]]&amp;" B"</f>
        <v>CódRastreio30 B</v>
      </c>
      <c r="D383" s="52" t="str">
        <f>_xlfn.XLOOKUP(Follow[[#This Row],[Id Pedido]],Controle_Pedidos[Número Pedido Cliente],Controle_Pedidos[Loja])</f>
        <v>BV</v>
      </c>
      <c r="E383" s="9">
        <f>_xlfn.XLOOKUP(Follow[[#This Row],[Id Pedido]],Controle_Pedidos[Número Pedido Cliente],Controle_Pedidos[Prazo Entrega])</f>
        <v>45604</v>
      </c>
      <c r="F383" s="9" t="s">
        <v>19433</v>
      </c>
      <c r="G383" s="9" t="s">
        <v>37</v>
      </c>
      <c r="H383" s="52" t="s">
        <v>178</v>
      </c>
      <c r="I383" s="52" t="s">
        <v>178</v>
      </c>
      <c r="J383" s="55">
        <v>45594</v>
      </c>
      <c r="K383" s="54" t="s">
        <v>198</v>
      </c>
      <c r="L383" s="8" t="s">
        <v>124</v>
      </c>
      <c r="M383" s="8" t="s">
        <v>37</v>
      </c>
      <c r="N383" s="52" t="str">
        <f>IF(Follow[[#This Row],[DATAATUALIZAÇÃO]]&lt;=Follow[[#This Row],[Prev Entrega]],"Dentro do Prazo","Fora do Prazo")</f>
        <v>Dentro do Prazo</v>
      </c>
      <c r="O3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29/10/2024, referente ao pedido Nº Pedido 39 Rastreio Pedido 39, agradecemos a preferência e adoraríamos receber sua avaliação, tendo qualquer dúvida estamos à disposição.
Att
Tem tudo Shop</v>
      </c>
    </row>
    <row r="384" spans="1:15">
      <c r="A384" s="52" t="str">
        <f>_xlfn.XLOOKUP(Follow[[#This Row],[CODRASTREIO]],Controle_Pedidos[Cód Rastreamento],Controle_Pedidos[Número Pedido Cliente])</f>
        <v>Pedido 162</v>
      </c>
      <c r="B384" s="2" t="s">
        <v>17597</v>
      </c>
      <c r="C384" s="2" t="str">
        <f>Follow[[#This Row],[CODRASTREIO]]&amp;" B"</f>
        <v>CódRastreio155 B</v>
      </c>
      <c r="D384" s="52" t="str">
        <f>_xlfn.XLOOKUP(Follow[[#This Row],[Id Pedido]],Controle_Pedidos[Número Pedido Cliente],Controle_Pedidos[Loja])</f>
        <v>BV</v>
      </c>
      <c r="E384" s="9">
        <f>_xlfn.XLOOKUP(Follow[[#This Row],[Id Pedido]],Controle_Pedidos[Número Pedido Cliente],Controle_Pedidos[Prazo Entrega])</f>
        <v>45619</v>
      </c>
      <c r="F384" s="9" t="s">
        <v>19433</v>
      </c>
      <c r="G384" s="9" t="s">
        <v>37</v>
      </c>
      <c r="H384" s="52" t="s">
        <v>178</v>
      </c>
      <c r="I384" s="52" t="s">
        <v>178</v>
      </c>
      <c r="J384" s="55">
        <v>45610</v>
      </c>
      <c r="K384" s="54" t="s">
        <v>198</v>
      </c>
      <c r="L384" s="8" t="s">
        <v>124</v>
      </c>
      <c r="M384" s="8" t="s">
        <v>37</v>
      </c>
      <c r="N384" s="52" t="str">
        <f>IF(Follow[[#This Row],[DATAATUALIZAÇÃO]]&lt;=Follow[[#This Row],[Prev Entrega]],"Dentro do Prazo","Fora do Prazo")</f>
        <v>Dentro do Prazo</v>
      </c>
      <c r="O3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14/11/2024, referente ao pedido Nº Pedido 162 Rastreio Pedido 162, agradecemos a preferência e adoraríamos receber sua avaliação, tendo qualquer dúvida estamos à disposição.
Att
Tem tudo Shop</v>
      </c>
    </row>
    <row r="385" spans="1:15">
      <c r="A385" s="52" t="str">
        <f>_xlfn.XLOOKUP(Follow[[#This Row],[CODRASTREIO]],Controle_Pedidos[Cód Rastreamento],Controle_Pedidos[Número Pedido Cliente])</f>
        <v>Pedido 130</v>
      </c>
      <c r="B385" s="2" t="s">
        <v>17565</v>
      </c>
      <c r="C385" s="2" t="str">
        <f>Follow[[#This Row],[CODRASTREIO]]&amp;" B"</f>
        <v>CódRastreio123 B</v>
      </c>
      <c r="D385" s="52" t="str">
        <f>_xlfn.XLOOKUP(Follow[[#This Row],[Id Pedido]],Controle_Pedidos[Número Pedido Cliente],Controle_Pedidos[Loja])</f>
        <v>BV</v>
      </c>
      <c r="E385" s="9">
        <f>_xlfn.XLOOKUP(Follow[[#This Row],[Id Pedido]],Controle_Pedidos[Número Pedido Cliente],Controle_Pedidos[Prazo Entrega])</f>
        <v>45611</v>
      </c>
      <c r="F385" s="9" t="s">
        <v>19433</v>
      </c>
      <c r="G385" s="9" t="s">
        <v>37</v>
      </c>
      <c r="H385" s="52" t="s">
        <v>178</v>
      </c>
      <c r="I385" s="52" t="s">
        <v>178</v>
      </c>
      <c r="J385" s="55">
        <v>45596</v>
      </c>
      <c r="K385" s="54" t="s">
        <v>198</v>
      </c>
      <c r="L385" s="8" t="s">
        <v>124</v>
      </c>
      <c r="M385" s="8" t="s">
        <v>37</v>
      </c>
      <c r="N385" s="52" t="str">
        <f>IF(Follow[[#This Row],[DATAATUALIZAÇÃO]]&lt;=Follow[[#This Row],[Prev Entrega]],"Dentro do Prazo","Fora do Prazo")</f>
        <v>Dentro do Prazo</v>
      </c>
      <c r="O3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130 Rastreio Pedido 130, agradecemos a preferência e adoraríamos receber sua avaliação, tendo qualquer dúvida estamos à disposição.
Att
Tem tudo Shop</v>
      </c>
    </row>
    <row r="386" spans="1:15">
      <c r="A386" s="52" t="str">
        <f>_xlfn.XLOOKUP(Follow[[#This Row],[CODRASTREIO]],Controle_Pedidos[Cód Rastreamento],Controle_Pedidos[Número Pedido Cliente])</f>
        <v>Pedido 529</v>
      </c>
      <c r="B386" s="2" t="s">
        <v>17956</v>
      </c>
      <c r="C386" s="2" t="str">
        <f>Follow[[#This Row],[CODRASTREIO]]&amp;" B"</f>
        <v>CódRastreio514 B</v>
      </c>
      <c r="D386" s="52" t="str">
        <f>_xlfn.XLOOKUP(Follow[[#This Row],[Id Pedido]],Controle_Pedidos[Número Pedido Cliente],Controle_Pedidos[Loja])</f>
        <v>BV</v>
      </c>
      <c r="E386" s="9">
        <f>_xlfn.XLOOKUP(Follow[[#This Row],[Id Pedido]],Controle_Pedidos[Número Pedido Cliente],Controle_Pedidos[Prazo Entrega])</f>
        <v>45664</v>
      </c>
      <c r="F386" s="9" t="s">
        <v>19433</v>
      </c>
      <c r="G386" s="9" t="s">
        <v>37</v>
      </c>
      <c r="H386" s="52" t="s">
        <v>179</v>
      </c>
      <c r="I386" s="52" t="s">
        <v>178</v>
      </c>
      <c r="J386" s="55">
        <v>45649</v>
      </c>
      <c r="K386" s="52" t="s">
        <v>198</v>
      </c>
      <c r="L386" s="8" t="s">
        <v>124</v>
      </c>
      <c r="M386" s="8" t="s">
        <v>37</v>
      </c>
      <c r="N386" s="52" t="str">
        <f>IF(Follow[[#This Row],[DATAATUALIZAÇÃO]]&lt;=Follow[[#This Row],[Prev Entrega]],"Dentro do Prazo","Fora do Prazo")</f>
        <v>Dentro do Prazo</v>
      </c>
      <c r="O3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23/12/2024, referente ao pedido Nº Pedido 529 Rastreio Pedido 529, agradecemos a preferência e adoraríamos receber sua avaliação, tendo qualquer dúvida estamos à disposição.
Att
Tem tudo Shop</v>
      </c>
    </row>
    <row r="387" spans="1:15">
      <c r="A387" s="52" t="str">
        <f>_xlfn.XLOOKUP(Follow[[#This Row],[CODRASTREIO]],Controle_Pedidos[Cód Rastreamento],Controle_Pedidos[Número Pedido Cliente])</f>
        <v>Pedido 354</v>
      </c>
      <c r="B387" s="2" t="s">
        <v>17789</v>
      </c>
      <c r="C387" s="2" t="str">
        <f>Follow[[#This Row],[CODRASTREIO]]&amp;" B"</f>
        <v>CódRastreio347 B</v>
      </c>
      <c r="D387" s="52" t="str">
        <f>_xlfn.XLOOKUP(Follow[[#This Row],[Id Pedido]],Controle_Pedidos[Número Pedido Cliente],Controle_Pedidos[Loja])</f>
        <v>BV</v>
      </c>
      <c r="E387" s="9">
        <f>_xlfn.XLOOKUP(Follow[[#This Row],[Id Pedido]],Controle_Pedidos[Número Pedido Cliente],Controle_Pedidos[Prazo Entrega])</f>
        <v>45631</v>
      </c>
      <c r="F387" s="9" t="s">
        <v>19433</v>
      </c>
      <c r="G387" s="9" t="s">
        <v>37</v>
      </c>
      <c r="H387" s="52" t="s">
        <v>178</v>
      </c>
      <c r="I387" s="52" t="s">
        <v>178</v>
      </c>
      <c r="J387" s="55">
        <v>45623</v>
      </c>
      <c r="K387" s="54" t="s">
        <v>198</v>
      </c>
      <c r="L387" s="8" t="s">
        <v>124</v>
      </c>
      <c r="M387" s="8" t="s">
        <v>37</v>
      </c>
      <c r="N387" s="52" t="str">
        <f>IF(Follow[[#This Row],[DATAATUALIZAÇÃO]]&lt;=Follow[[#This Row],[Prev Entrega]],"Dentro do Prazo","Fora do Prazo")</f>
        <v>Dentro do Prazo</v>
      </c>
      <c r="O3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27/11/2024, referente ao pedido Nº Pedido 354 Rastreio Pedido 354, agradecemos a preferência e adoraríamos receber sua avaliação, tendo qualquer dúvida estamos à disposição.
Att
Tem tudo Shop</v>
      </c>
    </row>
    <row r="388" spans="1:15">
      <c r="A388" s="52" t="str">
        <f>_xlfn.XLOOKUP(Follow[[#This Row],[CODRASTREIO]],Controle_Pedidos[Cód Rastreamento],Controle_Pedidos[Número Pedido Cliente])</f>
        <v>Pedido 505</v>
      </c>
      <c r="B388" s="2" t="s">
        <v>17933</v>
      </c>
      <c r="C388" s="2" t="str">
        <f>Follow[[#This Row],[CODRASTREIO]]&amp;" B"</f>
        <v>CódRastreio491 B</v>
      </c>
      <c r="D388" s="52" t="str">
        <f>_xlfn.XLOOKUP(Follow[[#This Row],[Id Pedido]],Controle_Pedidos[Número Pedido Cliente],Controle_Pedidos[Loja])</f>
        <v>BV</v>
      </c>
      <c r="E388" s="9">
        <f>_xlfn.XLOOKUP(Follow[[#This Row],[Id Pedido]],Controle_Pedidos[Número Pedido Cliente],Controle_Pedidos[Prazo Entrega])</f>
        <v>45653</v>
      </c>
      <c r="F388" s="9" t="s">
        <v>19433</v>
      </c>
      <c r="G388" s="9" t="s">
        <v>37</v>
      </c>
      <c r="H388" s="55" t="s">
        <v>179</v>
      </c>
      <c r="I388" s="55" t="s">
        <v>178</v>
      </c>
      <c r="J388" s="55">
        <v>45638</v>
      </c>
      <c r="K388" s="52" t="s">
        <v>198</v>
      </c>
      <c r="L388" s="8" t="s">
        <v>124</v>
      </c>
      <c r="M388" s="8" t="s">
        <v>37</v>
      </c>
      <c r="N388" s="52" t="str">
        <f>IF(Follow[[#This Row],[DATAATUALIZAÇÃO]]&lt;=Follow[[#This Row],[Prev Entrega]],"Dentro do Prazo","Fora do Prazo")</f>
        <v>Dentro do Prazo</v>
      </c>
      <c r="O3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12/12/2024, referente ao pedido Nº Pedido 505 Rastreio Pedido 505, agradecemos a preferência e adoraríamos receber sua avaliação, tendo qualquer dúvida estamos à disposição.
Att
Tem tudo Shop</v>
      </c>
    </row>
    <row r="389" spans="1:15">
      <c r="A389" s="52" t="str">
        <f>_xlfn.XLOOKUP(Follow[[#This Row],[CODRASTREIO]],Controle_Pedidos[Cód Rastreamento],Controle_Pedidos[Número Pedido Cliente])</f>
        <v>Pedido 211</v>
      </c>
      <c r="B389" s="2" t="s">
        <v>17646</v>
      </c>
      <c r="C389" s="2" t="str">
        <f>Follow[[#This Row],[CODRASTREIO]]&amp;" B"</f>
        <v>CódRastreio204 B</v>
      </c>
      <c r="D389" s="52" t="str">
        <f>_xlfn.XLOOKUP(Follow[[#This Row],[Id Pedido]],Controle_Pedidos[Número Pedido Cliente],Controle_Pedidos[Loja])</f>
        <v>BV</v>
      </c>
      <c r="E389" s="9">
        <f>_xlfn.XLOOKUP(Follow[[#This Row],[Id Pedido]],Controle_Pedidos[Número Pedido Cliente],Controle_Pedidos[Prazo Entrega])</f>
        <v>45622</v>
      </c>
      <c r="F389" s="9" t="s">
        <v>19433</v>
      </c>
      <c r="G389" s="9" t="s">
        <v>37</v>
      </c>
      <c r="H389" s="52" t="s">
        <v>178</v>
      </c>
      <c r="I389" s="52" t="s">
        <v>178</v>
      </c>
      <c r="J389" s="55">
        <v>45607</v>
      </c>
      <c r="K389" s="54" t="s">
        <v>198</v>
      </c>
      <c r="L389" s="8" t="s">
        <v>124</v>
      </c>
      <c r="M389" s="8" t="s">
        <v>37</v>
      </c>
      <c r="N389" s="52" t="str">
        <f>IF(Follow[[#This Row],[DATAATUALIZAÇÃO]]&lt;=Follow[[#This Row],[Prev Entrega]],"Dentro do Prazo","Fora do Prazo")</f>
        <v>Dentro do Prazo</v>
      </c>
      <c r="O3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11/11/2024, referente ao pedido Nº Pedido 211 Rastreio Pedido 211, agradecemos a preferência e adoraríamos receber sua avaliação, tendo qualquer dúvida estamos à disposição.
Att
Tem tudo Shop</v>
      </c>
    </row>
    <row r="390" spans="1:15">
      <c r="A390" s="52" t="str">
        <f>_xlfn.XLOOKUP(Follow[[#This Row],[CODRASTREIO]],Controle_Pedidos[Cód Rastreamento],Controle_Pedidos[Número Pedido Cliente])</f>
        <v>Pedido 352</v>
      </c>
      <c r="B390" s="2" t="s">
        <v>17787</v>
      </c>
      <c r="C390" s="2" t="str">
        <f>Follow[[#This Row],[CODRASTREIO]]&amp;" B"</f>
        <v>CódRastreio345 B</v>
      </c>
      <c r="D390" s="52" t="str">
        <f>_xlfn.XLOOKUP(Follow[[#This Row],[Id Pedido]],Controle_Pedidos[Número Pedido Cliente],Controle_Pedidos[Loja])</f>
        <v>BV</v>
      </c>
      <c r="E390" s="9">
        <f>_xlfn.XLOOKUP(Follow[[#This Row],[Id Pedido]],Controle_Pedidos[Número Pedido Cliente],Controle_Pedidos[Prazo Entrega])</f>
        <v>45631</v>
      </c>
      <c r="F390" s="9" t="s">
        <v>19433</v>
      </c>
      <c r="G390" s="9" t="s">
        <v>37</v>
      </c>
      <c r="H390" s="52" t="s">
        <v>178</v>
      </c>
      <c r="I390" s="52" t="s">
        <v>178</v>
      </c>
      <c r="J390" s="55">
        <v>45617</v>
      </c>
      <c r="K390" s="54" t="s">
        <v>198</v>
      </c>
      <c r="L390" s="8" t="s">
        <v>124</v>
      </c>
      <c r="M390" s="8" t="s">
        <v>37</v>
      </c>
      <c r="N390" s="52" t="str">
        <f>IF(Follow[[#This Row],[DATAATUALIZAÇÃO]]&lt;=Follow[[#This Row],[Prev Entrega]],"Dentro do Prazo","Fora do Prazo")</f>
        <v>Dentro do Prazo</v>
      </c>
      <c r="O3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21/11/2024, referente ao pedido Nº Pedido 352 Rastreio Pedido 352, agradecemos a preferência e adoraríamos receber sua avaliação, tendo qualquer dúvida estamos à disposição.
Att
Tem tudo Shop</v>
      </c>
    </row>
    <row r="391" spans="1:15">
      <c r="A391" s="52" t="str">
        <f>_xlfn.XLOOKUP(Follow[[#This Row],[CODRASTREIO]],Controle_Pedidos[Cód Rastreamento],Controle_Pedidos[Número Pedido Cliente])</f>
        <v>Pedido 106</v>
      </c>
      <c r="B391" s="2" t="s">
        <v>17541</v>
      </c>
      <c r="C391" s="2" t="str">
        <f>Follow[[#This Row],[CODRASTREIO]]&amp;" B"</f>
        <v>CódRastreio99 B</v>
      </c>
      <c r="D391" s="52" t="str">
        <f>_xlfn.XLOOKUP(Follow[[#This Row],[Id Pedido]],Controle_Pedidos[Número Pedido Cliente],Controle_Pedidos[Loja])</f>
        <v>BV</v>
      </c>
      <c r="E391" s="9">
        <f>_xlfn.XLOOKUP(Follow[[#This Row],[Id Pedido]],Controle_Pedidos[Número Pedido Cliente],Controle_Pedidos[Prazo Entrega])</f>
        <v>45610</v>
      </c>
      <c r="F391" s="9" t="s">
        <v>19433</v>
      </c>
      <c r="G391" s="9" t="s">
        <v>37</v>
      </c>
      <c r="H391" s="52" t="s">
        <v>178</v>
      </c>
      <c r="I391" s="52" t="s">
        <v>178</v>
      </c>
      <c r="J391" s="55">
        <v>45596</v>
      </c>
      <c r="K391" s="54" t="s">
        <v>198</v>
      </c>
      <c r="L391" s="8" t="s">
        <v>124</v>
      </c>
      <c r="M391" s="8" t="s">
        <v>37</v>
      </c>
      <c r="N391" s="52" t="str">
        <f>IF(Follow[[#This Row],[DATAATUALIZAÇÃO]]&lt;=Follow[[#This Row],[Prev Entrega]],"Dentro do Prazo","Fora do Prazo")</f>
        <v>Dentro do Prazo</v>
      </c>
      <c r="O3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106 Rastreio Pedido 106, agradecemos a preferência e adoraríamos receber sua avaliação, tendo qualquer dúvida estamos à disposição.
Att
Tem tudo Shop</v>
      </c>
    </row>
    <row r="392" spans="1:15">
      <c r="A392" s="52" t="str">
        <f>_xlfn.XLOOKUP(Follow[[#This Row],[CODRASTREIO]],Controle_Pedidos[Cód Rastreamento],Controle_Pedidos[Número Pedido Cliente])</f>
        <v>Pedido 67</v>
      </c>
      <c r="B392" s="2" t="s">
        <v>17500</v>
      </c>
      <c r="C392" s="2" t="str">
        <f>Follow[[#This Row],[CODRASTREIO]]&amp;" B"</f>
        <v>CódRastreio58 B</v>
      </c>
      <c r="D392" s="52" t="str">
        <f>_xlfn.XLOOKUP(Follow[[#This Row],[Id Pedido]],Controle_Pedidos[Número Pedido Cliente],Controle_Pedidos[Loja])</f>
        <v>BV</v>
      </c>
      <c r="E392" s="9">
        <f>_xlfn.XLOOKUP(Follow[[#This Row],[Id Pedido]],Controle_Pedidos[Número Pedido Cliente],Controle_Pedidos[Prazo Entrega])</f>
        <v>45609</v>
      </c>
      <c r="F392" s="9" t="s">
        <v>19433</v>
      </c>
      <c r="G392" s="9" t="s">
        <v>37</v>
      </c>
      <c r="H392" s="52" t="s">
        <v>178</v>
      </c>
      <c r="I392" s="52" t="s">
        <v>178</v>
      </c>
      <c r="J392" s="55">
        <v>45596</v>
      </c>
      <c r="K392" s="54" t="s">
        <v>198</v>
      </c>
      <c r="L392" s="8" t="s">
        <v>124</v>
      </c>
      <c r="M392" s="8" t="s">
        <v>37</v>
      </c>
      <c r="N392" s="52" t="str">
        <f>IF(Follow[[#This Row],[DATAATUALIZAÇÃO]]&lt;=Follow[[#This Row],[Prev Entrega]],"Dentro do Prazo","Fora do Prazo")</f>
        <v>Dentro do Prazo</v>
      </c>
      <c r="O3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67 Rastreio Pedido 67, agradecemos a preferência e adoraríamos receber sua avaliação, tendo qualquer dúvida estamos à disposição.
Att
Tem tudo Shop</v>
      </c>
    </row>
    <row r="393" spans="1:15">
      <c r="A393" s="52" t="str">
        <f>_xlfn.XLOOKUP(Follow[[#This Row],[CODRASTREIO]],Controle_Pedidos[Cód Rastreamento],Controle_Pedidos[Número Pedido Cliente])</f>
        <v>Pedido 281</v>
      </c>
      <c r="B393" s="2" t="s">
        <v>17716</v>
      </c>
      <c r="C393" s="2" t="str">
        <f>Follow[[#This Row],[CODRASTREIO]]&amp;" B"</f>
        <v>CódRastreio274 B</v>
      </c>
      <c r="D393" s="52" t="str">
        <f>_xlfn.XLOOKUP(Follow[[#This Row],[Id Pedido]],Controle_Pedidos[Número Pedido Cliente],Controle_Pedidos[Loja])</f>
        <v>BV</v>
      </c>
      <c r="E393" s="9">
        <f>_xlfn.XLOOKUP(Follow[[#This Row],[Id Pedido]],Controle_Pedidos[Número Pedido Cliente],Controle_Pedidos[Prazo Entrega])</f>
        <v>45618</v>
      </c>
      <c r="F393" s="9" t="s">
        <v>19433</v>
      </c>
      <c r="G393" s="9" t="s">
        <v>37</v>
      </c>
      <c r="H393" s="52" t="s">
        <v>178</v>
      </c>
      <c r="I393" s="52" t="s">
        <v>178</v>
      </c>
      <c r="J393" s="55">
        <v>45610</v>
      </c>
      <c r="K393" s="54" t="s">
        <v>198</v>
      </c>
      <c r="L393" s="8" t="s">
        <v>124</v>
      </c>
      <c r="M393" s="8" t="s">
        <v>37</v>
      </c>
      <c r="N393" s="52" t="str">
        <f>IF(Follow[[#This Row],[DATAATUALIZAÇÃO]]&lt;=Follow[[#This Row],[Prev Entrega]],"Dentro do Prazo","Fora do Prazo")</f>
        <v>Dentro do Prazo</v>
      </c>
      <c r="O3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281 Rastreio Pedido 281, agradecemos a preferência e adoraríamos receber sua avaliação, tendo qualquer dúvida estamos à disposição.
Att
Tem tudo Shop</v>
      </c>
    </row>
    <row r="394" spans="1:15">
      <c r="A394" s="52" t="str">
        <f>_xlfn.XLOOKUP(Follow[[#This Row],[CODRASTREIO]],Controle_Pedidos[Cód Rastreamento],Controle_Pedidos[Número Pedido Cliente])</f>
        <v>Pedido 256</v>
      </c>
      <c r="B394" s="2" t="s">
        <v>17691</v>
      </c>
      <c r="C394" s="2" t="str">
        <f>Follow[[#This Row],[CODRASTREIO]]&amp;" B"</f>
        <v>CódRastreio249 B</v>
      </c>
      <c r="D394" s="52" t="str">
        <f>_xlfn.XLOOKUP(Follow[[#This Row],[Id Pedido]],Controle_Pedidos[Número Pedido Cliente],Controle_Pedidos[Loja])</f>
        <v>BV</v>
      </c>
      <c r="E394" s="9">
        <f>_xlfn.XLOOKUP(Follow[[#This Row],[Id Pedido]],Controle_Pedidos[Número Pedido Cliente],Controle_Pedidos[Prazo Entrega])</f>
        <v>45629</v>
      </c>
      <c r="F394" s="9" t="s">
        <v>19433</v>
      </c>
      <c r="G394" s="9" t="s">
        <v>37</v>
      </c>
      <c r="H394" s="52" t="s">
        <v>178</v>
      </c>
      <c r="I394" s="52" t="s">
        <v>178</v>
      </c>
      <c r="J394" s="55">
        <v>45612</v>
      </c>
      <c r="K394" s="54" t="s">
        <v>198</v>
      </c>
      <c r="L394" s="8" t="s">
        <v>124</v>
      </c>
      <c r="M394" s="8" t="s">
        <v>37</v>
      </c>
      <c r="N394" s="52" t="str">
        <f>IF(Follow[[#This Row],[DATAATUALIZAÇÃO]]&lt;=Follow[[#This Row],[Prev Entrega]],"Dentro do Prazo","Fora do Prazo")</f>
        <v>Dentro do Prazo</v>
      </c>
      <c r="O3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16/11/2024, referente ao pedido Nº Pedido 256 Rastreio Pedido 256, agradecemos a preferência e adoraríamos receber sua avaliação, tendo qualquer dúvida estamos à disposição.
Att
Tem tudo Shop</v>
      </c>
    </row>
    <row r="395" spans="1:15">
      <c r="A395" s="52" t="str">
        <f>_xlfn.XLOOKUP(Follow[[#This Row],[CODRASTREIO]],Controle_Pedidos[Cód Rastreamento],Controle_Pedidos[Número Pedido Cliente])</f>
        <v>Pedido 482</v>
      </c>
      <c r="B395" s="2" t="s">
        <v>17909</v>
      </c>
      <c r="C395" s="2" t="str">
        <f>Follow[[#This Row],[CODRASTREIO]]&amp;" B"</f>
        <v>CódRastreio467 B</v>
      </c>
      <c r="D395" s="52" t="str">
        <f>_xlfn.XLOOKUP(Follow[[#This Row],[Id Pedido]],Controle_Pedidos[Número Pedido Cliente],Controle_Pedidos[Loja])</f>
        <v>BV</v>
      </c>
      <c r="E395" s="9">
        <f>_xlfn.XLOOKUP(Follow[[#This Row],[Id Pedido]],Controle_Pedidos[Número Pedido Cliente],Controle_Pedidos[Prazo Entrega])</f>
        <v>45647</v>
      </c>
      <c r="F395" s="9" t="s">
        <v>19433</v>
      </c>
      <c r="G395" s="9" t="s">
        <v>37</v>
      </c>
      <c r="H395" s="55" t="s">
        <v>179</v>
      </c>
      <c r="I395" s="55" t="s">
        <v>178</v>
      </c>
      <c r="J395" s="55">
        <v>45637</v>
      </c>
      <c r="K395" s="52" t="s">
        <v>198</v>
      </c>
      <c r="L395" s="8" t="s">
        <v>124</v>
      </c>
      <c r="M395" s="8" t="s">
        <v>37</v>
      </c>
      <c r="N395" s="52" t="str">
        <f>IF(Follow[[#This Row],[DATAATUALIZAÇÃO]]&lt;=Follow[[#This Row],[Prev Entrega]],"Dentro do Prazo","Fora do Prazo")</f>
        <v>Dentro do Prazo</v>
      </c>
      <c r="O39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11/12/2024, referente ao pedido Nº Pedido 482 Rastreio Pedido 482, agradecemos a preferência e adoraríamos receber sua avaliação, tendo qualquer dúvida estamos à disposição.
Att
Tem tudo Shop</v>
      </c>
    </row>
    <row r="396" spans="1:15">
      <c r="A396" s="52" t="str">
        <f>_xlfn.XLOOKUP(Follow[[#This Row],[CODRASTREIO]],Controle_Pedidos[Cód Rastreamento],Controle_Pedidos[Número Pedido Cliente])</f>
        <v>Pedido 102</v>
      </c>
      <c r="B396" s="2" t="s">
        <v>17537</v>
      </c>
      <c r="C396" s="2" t="str">
        <f>Follow[[#This Row],[CODRASTREIO]]&amp;" B"</f>
        <v>CódRastreio95 B</v>
      </c>
      <c r="D396" s="52" t="str">
        <f>_xlfn.XLOOKUP(Follow[[#This Row],[Id Pedido]],Controle_Pedidos[Número Pedido Cliente],Controle_Pedidos[Loja])</f>
        <v>BV</v>
      </c>
      <c r="E396" s="9">
        <f>_xlfn.XLOOKUP(Follow[[#This Row],[Id Pedido]],Controle_Pedidos[Número Pedido Cliente],Controle_Pedidos[Prazo Entrega])</f>
        <v>45610</v>
      </c>
      <c r="F396" s="9" t="s">
        <v>19433</v>
      </c>
      <c r="G396" s="9" t="s">
        <v>37</v>
      </c>
      <c r="H396" s="52" t="s">
        <v>178</v>
      </c>
      <c r="I396" s="52" t="s">
        <v>178</v>
      </c>
      <c r="J396" s="55">
        <v>45596</v>
      </c>
      <c r="K396" s="54" t="s">
        <v>198</v>
      </c>
      <c r="L396" s="8" t="s">
        <v>124</v>
      </c>
      <c r="M396" s="8" t="s">
        <v>37</v>
      </c>
      <c r="N396" s="52" t="str">
        <f>IF(Follow[[#This Row],[DATAATUALIZAÇÃO]]&lt;=Follow[[#This Row],[Prev Entrega]],"Dentro do Prazo","Fora do Prazo")</f>
        <v>Dentro do Prazo</v>
      </c>
      <c r="O3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31/10/2024, referente ao pedido Nº Pedido 102 Rastreio Pedido 102, agradecemos a preferência e adoraríamos receber sua avaliação, tendo qualquer dúvida estamos à disposição.
Att
Tem tudo Shop</v>
      </c>
    </row>
    <row r="397" spans="1:15">
      <c r="A397" s="52" t="str">
        <f>_xlfn.XLOOKUP(Follow[[#This Row],[CODRASTREIO]],Controle_Pedidos[Cód Rastreamento],Controle_Pedidos[Número Pedido Cliente])</f>
        <v>Pedido 406</v>
      </c>
      <c r="B397" s="2" t="s">
        <v>17837</v>
      </c>
      <c r="C397" s="2" t="str">
        <f>Follow[[#This Row],[CODRASTREIO]]&amp;" B"</f>
        <v>CódRastreio395 B</v>
      </c>
      <c r="D397" s="52" t="str">
        <f>_xlfn.XLOOKUP(Follow[[#This Row],[Id Pedido]],Controle_Pedidos[Número Pedido Cliente],Controle_Pedidos[Loja])</f>
        <v>BV</v>
      </c>
      <c r="E397" s="9">
        <f>_xlfn.XLOOKUP(Follow[[#This Row],[Id Pedido]],Controle_Pedidos[Número Pedido Cliente],Controle_Pedidos[Prazo Entrega])</f>
        <v>45637</v>
      </c>
      <c r="F397" s="9" t="s">
        <v>19433</v>
      </c>
      <c r="G397" s="9" t="s">
        <v>37</v>
      </c>
      <c r="H397" s="55" t="s">
        <v>179</v>
      </c>
      <c r="I397" s="55" t="s">
        <v>178</v>
      </c>
      <c r="J397" s="55">
        <v>45630</v>
      </c>
      <c r="K397" s="54" t="s">
        <v>198</v>
      </c>
      <c r="L397" s="8" t="s">
        <v>124</v>
      </c>
      <c r="M397" s="8" t="s">
        <v>37</v>
      </c>
      <c r="N397" s="52" t="str">
        <f>IF(Follow[[#This Row],[DATAATUALIZAÇÃO]]&lt;=Follow[[#This Row],[Prev Entrega]],"Dentro do Prazo","Fora do Prazo")</f>
        <v>Dentro do Prazo</v>
      </c>
      <c r="O39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04/12/2024, referente ao pedido Nº Pedido 406 Rastreio Pedido 406, agradecemos a preferência e adoraríamos receber sua avaliação, tendo qualquer dúvida estamos à disposição.
Att
Tem tudo Shop</v>
      </c>
    </row>
    <row r="398" spans="1:15">
      <c r="A398" s="52" t="str">
        <f>_xlfn.XLOOKUP(Follow[[#This Row],[CODRASTREIO]],Controle_Pedidos[Cód Rastreamento],Controle_Pedidos[Número Pedido Cliente])</f>
        <v>Pedido 640</v>
      </c>
      <c r="B398" s="2" t="s">
        <v>18064</v>
      </c>
      <c r="C398" s="2" t="str">
        <f>Follow[[#This Row],[CODRASTREIO]]&amp;" B"</f>
        <v>CódRastreio622 B</v>
      </c>
      <c r="D398" s="52" t="str">
        <f>_xlfn.XLOOKUP(Follow[[#This Row],[Id Pedido]],Controle_Pedidos[Número Pedido Cliente],Controle_Pedidos[Loja])</f>
        <v>BV</v>
      </c>
      <c r="E398" s="9">
        <f>_xlfn.XLOOKUP(Follow[[#This Row],[Id Pedido]],Controle_Pedidos[Número Pedido Cliente],Controle_Pedidos[Prazo Entrega])</f>
        <v>45674</v>
      </c>
      <c r="F398" s="9" t="s">
        <v>19433</v>
      </c>
      <c r="G398" s="9" t="s">
        <v>37</v>
      </c>
      <c r="H398" s="52" t="s">
        <v>178</v>
      </c>
      <c r="I398" s="52" t="s">
        <v>178</v>
      </c>
      <c r="J398" s="55">
        <v>45665</v>
      </c>
      <c r="K398" s="52" t="s">
        <v>198</v>
      </c>
      <c r="L398" s="8" t="s">
        <v>124</v>
      </c>
      <c r="M398" s="8" t="s">
        <v>37</v>
      </c>
      <c r="N398" s="52" t="str">
        <f>IF(Follow[[#This Row],[DATAATUALIZAÇÃO]]&lt;=Follow[[#This Row],[Prev Entrega]],"Dentro do Prazo","Fora do Prazo")</f>
        <v>Dentro do Prazo</v>
      </c>
      <c r="O3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08/01/2025, referente ao pedido Nº Pedido 640 Rastreio Pedido 640, agradecemos a preferência e adoraríamos receber sua avaliação, tendo qualquer dúvida estamos à disposição.
Att
Tem tudo Shop</v>
      </c>
    </row>
    <row r="399" spans="1:15">
      <c r="A399" s="52" t="str">
        <f>_xlfn.XLOOKUP(Follow[[#This Row],[CODRASTREIO]],Controle_Pedidos[Cód Rastreamento],Controle_Pedidos[Número Pedido Cliente])</f>
        <v>Pedido 586</v>
      </c>
      <c r="B399" s="2" t="s">
        <v>18013</v>
      </c>
      <c r="C399" s="2" t="str">
        <f>Follow[[#This Row],[CODRASTREIO]]&amp;" B"</f>
        <v>CódRastreio571 B</v>
      </c>
      <c r="D399" s="52" t="str">
        <f>_xlfn.XLOOKUP(Follow[[#This Row],[Id Pedido]],Controle_Pedidos[Número Pedido Cliente],Controle_Pedidos[Loja])</f>
        <v>BV</v>
      </c>
      <c r="E399" s="9">
        <f>_xlfn.XLOOKUP(Follow[[#This Row],[Id Pedido]],Controle_Pedidos[Número Pedido Cliente],Controle_Pedidos[Prazo Entrega])</f>
        <v>45668</v>
      </c>
      <c r="F399" s="9" t="s">
        <v>19433</v>
      </c>
      <c r="G399" s="9" t="s">
        <v>37</v>
      </c>
      <c r="H399" s="52" t="s">
        <v>179</v>
      </c>
      <c r="I399" s="52" t="s">
        <v>178</v>
      </c>
      <c r="J399" s="55">
        <v>45656</v>
      </c>
      <c r="K399" s="52" t="s">
        <v>198</v>
      </c>
      <c r="L399" s="8" t="s">
        <v>124</v>
      </c>
      <c r="M399" s="8" t="s">
        <v>37</v>
      </c>
      <c r="N399" s="52" t="str">
        <f>IF(Follow[[#This Row],[DATAATUALIZAÇÃO]]&lt;=Follow[[#This Row],[Prev Entrega]],"Dentro do Prazo","Fora do Prazo")</f>
        <v>Dentro do Prazo</v>
      </c>
      <c r="O3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30/12/2024, referente ao pedido Nº Pedido 586 Rastreio Pedido 586, agradecemos a preferência e adoraríamos receber sua avaliação, tendo qualquer dúvida estamos à disposição.
Att
Tem tudo Shop</v>
      </c>
    </row>
    <row r="400" spans="1:15">
      <c r="A400" s="52" t="str">
        <f>_xlfn.XLOOKUP(Follow[[#This Row],[CODRASTREIO]],Controle_Pedidos[Cód Rastreamento],Controle_Pedidos[Número Pedido Cliente])</f>
        <v>Pedido 659</v>
      </c>
      <c r="B400" s="2" t="s">
        <v>18081</v>
      </c>
      <c r="C400" s="2" t="str">
        <f>Follow[[#This Row],[CODRASTREIO]]&amp;" B"</f>
        <v>CódRastreio639 B</v>
      </c>
      <c r="D400" s="52" t="str">
        <f>_xlfn.XLOOKUP(Follow[[#This Row],[Id Pedido]],Controle_Pedidos[Número Pedido Cliente],Controle_Pedidos[Loja])</f>
        <v>BV</v>
      </c>
      <c r="E400" s="9">
        <f>_xlfn.XLOOKUP(Follow[[#This Row],[Id Pedido]],Controle_Pedidos[Número Pedido Cliente],Controle_Pedidos[Prazo Entrega])</f>
        <v>45679</v>
      </c>
      <c r="F400" s="9" t="s">
        <v>19433</v>
      </c>
      <c r="G400" s="9" t="s">
        <v>37</v>
      </c>
      <c r="H400" s="52" t="s">
        <v>179</v>
      </c>
      <c r="I400" s="52" t="s">
        <v>178</v>
      </c>
      <c r="J400" s="55">
        <v>45665</v>
      </c>
      <c r="K400" s="52" t="s">
        <v>198</v>
      </c>
      <c r="L400" s="8" t="s">
        <v>124</v>
      </c>
      <c r="M400" s="8" t="s">
        <v>37</v>
      </c>
      <c r="N400" s="52" t="str">
        <f>IF(Follow[[#This Row],[DATAATUALIZAÇÃO]]&lt;=Follow[[#This Row],[Prev Entrega]],"Dentro do Prazo","Fora do Prazo")</f>
        <v>Dentro do Prazo</v>
      </c>
      <c r="O4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659 Rastreio Pedido 659, agradecemos a preferência e adoraríamos receber sua avaliação, tendo qualquer dúvida estamos à disposição.
Att
Tem tudo Shop</v>
      </c>
    </row>
    <row r="401" spans="1:15">
      <c r="A401" s="52" t="str">
        <f>_xlfn.XLOOKUP(Follow[[#This Row],[CODRASTREIO]],Controle_Pedidos[Cód Rastreamento],Controle_Pedidos[Número Pedido Cliente])</f>
        <v>Pedido 234</v>
      </c>
      <c r="B401" s="2" t="s">
        <v>17669</v>
      </c>
      <c r="C401" s="2" t="str">
        <f>Follow[[#This Row],[CODRASTREIO]]&amp;" B"</f>
        <v>CódRastreio227 B</v>
      </c>
      <c r="D401" s="52" t="str">
        <f>_xlfn.XLOOKUP(Follow[[#This Row],[Id Pedido]],Controle_Pedidos[Número Pedido Cliente],Controle_Pedidos[Loja])</f>
        <v>BV</v>
      </c>
      <c r="E401" s="9">
        <f>_xlfn.XLOOKUP(Follow[[#This Row],[Id Pedido]],Controle_Pedidos[Número Pedido Cliente],Controle_Pedidos[Prazo Entrega])</f>
        <v>45622</v>
      </c>
      <c r="F401" s="9" t="s">
        <v>19433</v>
      </c>
      <c r="G401" s="9" t="s">
        <v>37</v>
      </c>
      <c r="H401" s="52" t="s">
        <v>179</v>
      </c>
      <c r="I401" s="52" t="s">
        <v>178</v>
      </c>
      <c r="J401" s="55">
        <v>45614</v>
      </c>
      <c r="K401" s="54" t="s">
        <v>198</v>
      </c>
      <c r="L401" s="8" t="s">
        <v>124</v>
      </c>
      <c r="M401" s="8" t="s">
        <v>37</v>
      </c>
      <c r="N401" s="52" t="str">
        <f>IF(Follow[[#This Row],[DATAATUALIZAÇÃO]]&lt;=Follow[[#This Row],[Prev Entrega]],"Dentro do Prazo","Fora do Prazo")</f>
        <v>Dentro do Prazo</v>
      </c>
      <c r="O4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18/11/2024, referente ao pedido Nº Pedido 234 Rastreio Pedido 234, agradecemos a preferência e adoraríamos receber sua avaliação, tendo qualquer dúvida estamos à disposição.
Att
Tem tudo Shop</v>
      </c>
    </row>
    <row r="402" spans="1:15">
      <c r="A402" s="52" t="str">
        <f>_xlfn.XLOOKUP(Follow[[#This Row],[CODRASTREIO]],Controle_Pedidos[Cód Rastreamento],Controle_Pedidos[Número Pedido Cliente])</f>
        <v>Pedido 522</v>
      </c>
      <c r="B402" s="2" t="s">
        <v>17949</v>
      </c>
      <c r="C402" s="2" t="str">
        <f>Follow[[#This Row],[CODRASTREIO]]&amp;" B"</f>
        <v>CódRastreio507 B</v>
      </c>
      <c r="D402" s="52" t="str">
        <f>_xlfn.XLOOKUP(Follow[[#This Row],[Id Pedido]],Controle_Pedidos[Número Pedido Cliente],Controle_Pedidos[Loja])</f>
        <v>BV</v>
      </c>
      <c r="E402" s="9">
        <f>_xlfn.XLOOKUP(Follow[[#This Row],[Id Pedido]],Controle_Pedidos[Número Pedido Cliente],Controle_Pedidos[Prazo Entrega])</f>
        <v>45654</v>
      </c>
      <c r="F402" s="9" t="s">
        <v>19433</v>
      </c>
      <c r="G402" s="9" t="s">
        <v>37</v>
      </c>
      <c r="H402" s="55" t="s">
        <v>178</v>
      </c>
      <c r="I402" s="55" t="s">
        <v>178</v>
      </c>
      <c r="J402" s="55">
        <v>45641</v>
      </c>
      <c r="K402" s="52" t="s">
        <v>198</v>
      </c>
      <c r="L402" s="8" t="s">
        <v>124</v>
      </c>
      <c r="M402" s="8" t="s">
        <v>37</v>
      </c>
      <c r="N402" s="52" t="str">
        <f>IF(Follow[[#This Row],[DATAATUALIZAÇÃO]]&lt;=Follow[[#This Row],[Prev Entrega]],"Dentro do Prazo","Fora do Prazo")</f>
        <v>Dentro do Prazo</v>
      </c>
      <c r="O4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15/12/2024, referente ao pedido Nº Pedido 522 Rastreio Pedido 522, agradecemos a preferência e adoraríamos receber sua avaliação, tendo qualquer dúvida estamos à disposição.
Att
Tem tudo Shop</v>
      </c>
    </row>
    <row r="403" spans="1:15">
      <c r="A403" s="52" t="str">
        <f>_xlfn.XLOOKUP(Follow[[#This Row],[CODRASTREIO]],Controle_Pedidos[Cód Rastreamento],Controle_Pedidos[Número Pedido Cliente])</f>
        <v>Pedido 29</v>
      </c>
      <c r="B403" s="2" t="s">
        <v>17462</v>
      </c>
      <c r="C403" s="2" t="str">
        <f>Follow[[#This Row],[CODRASTREIO]]&amp;" B"</f>
        <v>CódRastreio20 B</v>
      </c>
      <c r="D403" s="52" t="str">
        <f>_xlfn.XLOOKUP(Follow[[#This Row],[Id Pedido]],Controle_Pedidos[Número Pedido Cliente],Controle_Pedidos[Loja])</f>
        <v>BV</v>
      </c>
      <c r="E403" s="9">
        <f>_xlfn.XLOOKUP(Follow[[#This Row],[Id Pedido]],Controle_Pedidos[Número Pedido Cliente],Controle_Pedidos[Prazo Entrega])</f>
        <v>45605</v>
      </c>
      <c r="F403" s="9" t="s">
        <v>19433</v>
      </c>
      <c r="G403" s="9" t="s">
        <v>37</v>
      </c>
      <c r="H403" s="52" t="s">
        <v>178</v>
      </c>
      <c r="I403" s="52" t="s">
        <v>178</v>
      </c>
      <c r="J403" s="55">
        <v>45594</v>
      </c>
      <c r="K403" s="54" t="s">
        <v>198</v>
      </c>
      <c r="L403" s="8" t="s">
        <v>124</v>
      </c>
      <c r="M403" s="8" t="s">
        <v>37</v>
      </c>
      <c r="N403" s="52" t="str">
        <f>IF(Follow[[#This Row],[DATAATUALIZAÇÃO]]&lt;=Follow[[#This Row],[Prev Entrega]],"Dentro do Prazo","Fora do Prazo")</f>
        <v>Dentro do Prazo</v>
      </c>
      <c r="O4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29/10/2024, referente ao pedido Nº Pedido 29 Rastreio Pedido 29, agradecemos a preferência e adoraríamos receber sua avaliação, tendo qualquer dúvida estamos à disposição.
Att
Tem tudo Shop</v>
      </c>
    </row>
    <row r="404" spans="1:15">
      <c r="A404" s="52" t="str">
        <f>_xlfn.XLOOKUP(Follow[[#This Row],[CODRASTREIO]],Controle_Pedidos[Cód Rastreamento],Controle_Pedidos[Número Pedido Cliente])</f>
        <v>Pedido 55</v>
      </c>
      <c r="B404" s="2" t="s">
        <v>17488</v>
      </c>
      <c r="C404" s="2" t="str">
        <f>Follow[[#This Row],[CODRASTREIO]]&amp;" B"</f>
        <v>CódRastreio46 B</v>
      </c>
      <c r="D404" s="52" t="str">
        <f>_xlfn.XLOOKUP(Follow[[#This Row],[Id Pedido]],Controle_Pedidos[Número Pedido Cliente],Controle_Pedidos[Loja])</f>
        <v>BV</v>
      </c>
      <c r="E404" s="9">
        <f>_xlfn.XLOOKUP(Follow[[#This Row],[Id Pedido]],Controle_Pedidos[Número Pedido Cliente],Controle_Pedidos[Prazo Entrega])</f>
        <v>45608</v>
      </c>
      <c r="F404" s="9" t="s">
        <v>19433</v>
      </c>
      <c r="G404" s="9" t="s">
        <v>37</v>
      </c>
      <c r="H404" s="52" t="s">
        <v>178</v>
      </c>
      <c r="I404" s="52" t="s">
        <v>178</v>
      </c>
      <c r="J404" s="55">
        <v>45596</v>
      </c>
      <c r="K404" s="54" t="s">
        <v>198</v>
      </c>
      <c r="L404" s="8" t="s">
        <v>124</v>
      </c>
      <c r="M404" s="8" t="s">
        <v>37</v>
      </c>
      <c r="N404" s="52" t="str">
        <f>IF(Follow[[#This Row],[DATAATUALIZAÇÃO]]&lt;=Follow[[#This Row],[Prev Entrega]],"Dentro do Prazo","Fora do Prazo")</f>
        <v>Dentro do Prazo</v>
      </c>
      <c r="O4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31/10/2024, referente ao pedido Nº Pedido 55 Rastreio Pedido 55, agradecemos a preferência e adoraríamos receber sua avaliação, tendo qualquer dúvida estamos à disposição.
Att
Tem tudo Shop</v>
      </c>
    </row>
    <row r="405" spans="1:15">
      <c r="A405" s="52" t="str">
        <f>_xlfn.XLOOKUP(Follow[[#This Row],[CODRASTREIO]],Controle_Pedidos[Cód Rastreamento],Controle_Pedidos[Número Pedido Cliente])</f>
        <v>Pedido 124</v>
      </c>
      <c r="B405" s="2" t="s">
        <v>17559</v>
      </c>
      <c r="C405" s="2" t="str">
        <f>Follow[[#This Row],[CODRASTREIO]]&amp;" B"</f>
        <v>CódRastreio117 B</v>
      </c>
      <c r="D405" s="52" t="str">
        <f>_xlfn.XLOOKUP(Follow[[#This Row],[Id Pedido]],Controle_Pedidos[Número Pedido Cliente],Controle_Pedidos[Loja])</f>
        <v>BV</v>
      </c>
      <c r="E405" s="9">
        <f>_xlfn.XLOOKUP(Follow[[#This Row],[Id Pedido]],Controle_Pedidos[Número Pedido Cliente],Controle_Pedidos[Prazo Entrega])</f>
        <v>45618</v>
      </c>
      <c r="F405" s="9" t="s">
        <v>19433</v>
      </c>
      <c r="G405" s="9" t="s">
        <v>37</v>
      </c>
      <c r="H405" s="52" t="s">
        <v>178</v>
      </c>
      <c r="I405" s="52" t="s">
        <v>178</v>
      </c>
      <c r="J405" s="55">
        <v>45601</v>
      </c>
      <c r="K405" s="54" t="s">
        <v>198</v>
      </c>
      <c r="L405" s="8" t="s">
        <v>124</v>
      </c>
      <c r="M405" s="8" t="s">
        <v>37</v>
      </c>
      <c r="N405" s="52" t="str">
        <f>IF(Follow[[#This Row],[DATAATUALIZAÇÃO]]&lt;=Follow[[#This Row],[Prev Entrega]],"Dentro do Prazo","Fora do Prazo")</f>
        <v>Dentro do Prazo</v>
      </c>
      <c r="O4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124 Rastreio Pedido 124, agradecemos a preferência e adoraríamos receber sua avaliação, tendo qualquer dúvida estamos à disposição.
Att
Tem tudo Shop</v>
      </c>
    </row>
    <row r="406" spans="1:15">
      <c r="A406" s="52" t="str">
        <f>_xlfn.XLOOKUP(Follow[[#This Row],[CODRASTREIO]],Controle_Pedidos[Cód Rastreamento],Controle_Pedidos[Número Pedido Cliente])</f>
        <v>Pedido 554</v>
      </c>
      <c r="B406" s="2" t="s">
        <v>17981</v>
      </c>
      <c r="C406" s="2" t="str">
        <f>Follow[[#This Row],[CODRASTREIO]]&amp;" B"</f>
        <v>CódRastreio539 B</v>
      </c>
      <c r="D406" s="52" t="str">
        <f>_xlfn.XLOOKUP(Follow[[#This Row],[Id Pedido]],Controle_Pedidos[Número Pedido Cliente],Controle_Pedidos[Loja])</f>
        <v>BV</v>
      </c>
      <c r="E406" s="9">
        <f>_xlfn.XLOOKUP(Follow[[#This Row],[Id Pedido]],Controle_Pedidos[Número Pedido Cliente],Controle_Pedidos[Prazo Entrega])</f>
        <v>45666</v>
      </c>
      <c r="F406" s="9" t="s">
        <v>19433</v>
      </c>
      <c r="G406" s="9" t="s">
        <v>37</v>
      </c>
      <c r="H406" s="52" t="s">
        <v>179</v>
      </c>
      <c r="I406" s="52" t="s">
        <v>178</v>
      </c>
      <c r="J406" s="55">
        <v>45656</v>
      </c>
      <c r="K406" s="52" t="s">
        <v>198</v>
      </c>
      <c r="L406" s="8" t="s">
        <v>124</v>
      </c>
      <c r="M406" s="8" t="s">
        <v>37</v>
      </c>
      <c r="N406" s="52" t="str">
        <f>IF(Follow[[#This Row],[DATAATUALIZAÇÃO]]&lt;=Follow[[#This Row],[Prev Entrega]],"Dentro do Prazo","Fora do Prazo")</f>
        <v>Dentro do Prazo</v>
      </c>
      <c r="O4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30/12/2024, referente ao pedido Nº Pedido 554 Rastreio Pedido 554, agradecemos a preferência e adoraríamos receber sua avaliação, tendo qualquer dúvida estamos à disposição.
Att
Tem tudo Shop</v>
      </c>
    </row>
    <row r="407" spans="1:15">
      <c r="A407" s="52" t="str">
        <f>_xlfn.XLOOKUP(Follow[[#This Row],[CODRASTREIO]],Controle_Pedidos[Cód Rastreamento],Controle_Pedidos[Número Pedido Cliente])</f>
        <v>Pedido 481</v>
      </c>
      <c r="B407" s="2" t="s">
        <v>17908</v>
      </c>
      <c r="C407" s="2" t="str">
        <f>Follow[[#This Row],[CODRASTREIO]]&amp;" B"</f>
        <v>CódRastreio466 B</v>
      </c>
      <c r="D407" s="52" t="str">
        <f>_xlfn.XLOOKUP(Follow[[#This Row],[Id Pedido]],Controle_Pedidos[Número Pedido Cliente],Controle_Pedidos[Loja])</f>
        <v>BV</v>
      </c>
      <c r="E407" s="9">
        <f>_xlfn.XLOOKUP(Follow[[#This Row],[Id Pedido]],Controle_Pedidos[Número Pedido Cliente],Controle_Pedidos[Prazo Entrega])</f>
        <v>45647</v>
      </c>
      <c r="F407" s="9" t="s">
        <v>19433</v>
      </c>
      <c r="G407" s="9" t="s">
        <v>37</v>
      </c>
      <c r="H407" s="55" t="s">
        <v>179</v>
      </c>
      <c r="I407" s="55" t="s">
        <v>178</v>
      </c>
      <c r="J407" s="55">
        <v>45637</v>
      </c>
      <c r="K407" s="52" t="s">
        <v>198</v>
      </c>
      <c r="L407" s="8" t="s">
        <v>124</v>
      </c>
      <c r="M407" s="8" t="s">
        <v>37</v>
      </c>
      <c r="N407" s="52" t="str">
        <f>IF(Follow[[#This Row],[DATAATUALIZAÇÃO]]&lt;=Follow[[#This Row],[Prev Entrega]],"Dentro do Prazo","Fora do Prazo")</f>
        <v>Dentro do Prazo</v>
      </c>
      <c r="O4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481 Rastreio Pedido 481, agradecemos a preferência e adoraríamos receber sua avaliação, tendo qualquer dúvida estamos à disposição.
Att
Tem tudo Shop</v>
      </c>
    </row>
    <row r="408" spans="1:15">
      <c r="A408" s="52" t="str">
        <f>_xlfn.XLOOKUP(Follow[[#This Row],[CODRASTREIO]],Controle_Pedidos[Cód Rastreamento],Controle_Pedidos[Número Pedido Cliente])</f>
        <v>Pedido 582</v>
      </c>
      <c r="B408" s="2" t="s">
        <v>18009</v>
      </c>
      <c r="C408" s="2" t="str">
        <f>Follow[[#This Row],[CODRASTREIO]]&amp;" B"</f>
        <v>CódRastreio567 B</v>
      </c>
      <c r="D408" s="52" t="str">
        <f>_xlfn.XLOOKUP(Follow[[#This Row],[Id Pedido]],Controle_Pedidos[Número Pedido Cliente],Controle_Pedidos[Loja])</f>
        <v>BV</v>
      </c>
      <c r="E408" s="9">
        <f>_xlfn.XLOOKUP(Follow[[#This Row],[Id Pedido]],Controle_Pedidos[Número Pedido Cliente],Controle_Pedidos[Prazo Entrega])</f>
        <v>45673</v>
      </c>
      <c r="F408" s="9" t="s">
        <v>19433</v>
      </c>
      <c r="G408" s="9" t="s">
        <v>37</v>
      </c>
      <c r="H408" s="52" t="s">
        <v>179</v>
      </c>
      <c r="I408" s="52" t="s">
        <v>178</v>
      </c>
      <c r="J408" s="55">
        <v>45665</v>
      </c>
      <c r="K408" s="52" t="s">
        <v>198</v>
      </c>
      <c r="L408" s="8" t="s">
        <v>124</v>
      </c>
      <c r="M408" s="8" t="s">
        <v>37</v>
      </c>
      <c r="N408" s="52" t="str">
        <f>IF(Follow[[#This Row],[DATAATUALIZAÇÃO]]&lt;=Follow[[#This Row],[Prev Entrega]],"Dentro do Prazo","Fora do Prazo")</f>
        <v>Dentro do Prazo</v>
      </c>
      <c r="O4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582 Rastreio Pedido 582, agradecemos a preferência e adoraríamos receber sua avaliação, tendo qualquer dúvida estamos à disposição.
Att
Tem tudo Shop</v>
      </c>
    </row>
    <row r="409" spans="1:15">
      <c r="A409" s="52" t="str">
        <f>_xlfn.XLOOKUP(Follow[[#This Row],[CODRASTREIO]],Controle_Pedidos[Cód Rastreamento],Controle_Pedidos[Número Pedido Cliente])</f>
        <v>Pedido 514</v>
      </c>
      <c r="B409" s="2" t="s">
        <v>17941</v>
      </c>
      <c r="C409" s="2" t="str">
        <f>Follow[[#This Row],[CODRASTREIO]]&amp;" B"</f>
        <v>CódRastreio499 B</v>
      </c>
      <c r="D409" s="52" t="str">
        <f>_xlfn.XLOOKUP(Follow[[#This Row],[Id Pedido]],Controle_Pedidos[Número Pedido Cliente],Controle_Pedidos[Loja])</f>
        <v>BV</v>
      </c>
      <c r="E409" s="9">
        <f>_xlfn.XLOOKUP(Follow[[#This Row],[Id Pedido]],Controle_Pedidos[Número Pedido Cliente],Controle_Pedidos[Prazo Entrega])</f>
        <v>45665</v>
      </c>
      <c r="F409" s="9" t="s">
        <v>19433</v>
      </c>
      <c r="G409" s="9" t="s">
        <v>37</v>
      </c>
      <c r="H409" s="52" t="s">
        <v>179</v>
      </c>
      <c r="I409" s="52" t="s">
        <v>178</v>
      </c>
      <c r="J409" s="55">
        <v>45649</v>
      </c>
      <c r="K409" s="52" t="s">
        <v>198</v>
      </c>
      <c r="L409" s="8" t="s">
        <v>124</v>
      </c>
      <c r="M409" s="8" t="s">
        <v>37</v>
      </c>
      <c r="N409" s="52" t="str">
        <f>IF(Follow[[#This Row],[DATAATUALIZAÇÃO]]&lt;=Follow[[#This Row],[Prev Entrega]],"Dentro do Prazo","Fora do Prazo")</f>
        <v>Dentro do Prazo</v>
      </c>
      <c r="O4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23/12/2024, referente ao pedido Nº Pedido 514 Rastreio Pedido 514, agradecemos a preferência e adoraríamos receber sua avaliação, tendo qualquer dúvida estamos à disposição.
Att
Tem tudo Shop</v>
      </c>
    </row>
    <row r="410" spans="1:15">
      <c r="A410" s="52" t="str">
        <f>_xlfn.XLOOKUP(Follow[[#This Row],[CODRASTREIO]],Controle_Pedidos[Cód Rastreamento],Controle_Pedidos[Número Pedido Cliente])</f>
        <v>Pedido 28</v>
      </c>
      <c r="B410" s="2" t="s">
        <v>17461</v>
      </c>
      <c r="C410" s="2" t="str">
        <f>Follow[[#This Row],[CODRASTREIO]]&amp;" B"</f>
        <v>CódRastreio19 B</v>
      </c>
      <c r="D410" s="52" t="str">
        <f>_xlfn.XLOOKUP(Follow[[#This Row],[Id Pedido]],Controle_Pedidos[Número Pedido Cliente],Controle_Pedidos[Loja])</f>
        <v>BV</v>
      </c>
      <c r="E410" s="9">
        <f>_xlfn.XLOOKUP(Follow[[#This Row],[Id Pedido]],Controle_Pedidos[Número Pedido Cliente],Controle_Pedidos[Prazo Entrega])</f>
        <v>45601</v>
      </c>
      <c r="F410" s="9" t="s">
        <v>19433</v>
      </c>
      <c r="G410" s="9" t="s">
        <v>37</v>
      </c>
      <c r="H410" s="52" t="s">
        <v>178</v>
      </c>
      <c r="I410" s="52" t="s">
        <v>178</v>
      </c>
      <c r="J410" s="9">
        <v>45590</v>
      </c>
      <c r="K410" s="54" t="s">
        <v>198</v>
      </c>
      <c r="L410" s="8" t="s">
        <v>124</v>
      </c>
      <c r="M410" s="8" t="s">
        <v>37</v>
      </c>
      <c r="N410" s="52" t="str">
        <f>IF(Follow[[#This Row],[DATAATUALIZAÇÃO]]&lt;=Follow[[#This Row],[Prev Entrega]],"Dentro do Prazo","Fora do Prazo")</f>
        <v>Dentro do Prazo</v>
      </c>
      <c r="O4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25/10/2024, referente ao pedido Nº Pedido 28 Rastreio Pedido 28, agradecemos a preferência e adoraríamos receber sua avaliação, tendo qualquer dúvida estamos à disposição.
Att
Tem tudo Shop</v>
      </c>
    </row>
    <row r="411" spans="1:15">
      <c r="A411" s="52" t="str">
        <f>_xlfn.XLOOKUP(Follow[[#This Row],[CODRASTREIO]],Controle_Pedidos[Cód Rastreamento],Controle_Pedidos[Número Pedido Cliente])</f>
        <v>Pedido 87</v>
      </c>
      <c r="B411" s="2" t="s">
        <v>17522</v>
      </c>
      <c r="C411" s="2" t="str">
        <f>Follow[[#This Row],[CODRASTREIO]]&amp;" B"</f>
        <v>CódRastreio80 B</v>
      </c>
      <c r="D411" s="52" t="str">
        <f>_xlfn.XLOOKUP(Follow[[#This Row],[Id Pedido]],Controle_Pedidos[Número Pedido Cliente],Controle_Pedidos[Loja])</f>
        <v>BV</v>
      </c>
      <c r="E411" s="9">
        <f>_xlfn.XLOOKUP(Follow[[#This Row],[Id Pedido]],Controle_Pedidos[Número Pedido Cliente],Controle_Pedidos[Prazo Entrega])</f>
        <v>45604</v>
      </c>
      <c r="F411" s="9" t="s">
        <v>19433</v>
      </c>
      <c r="G411" s="9" t="s">
        <v>37</v>
      </c>
      <c r="H411" s="52" t="s">
        <v>178</v>
      </c>
      <c r="I411" s="52" t="s">
        <v>178</v>
      </c>
      <c r="J411" s="55">
        <v>45597</v>
      </c>
      <c r="K411" s="54" t="s">
        <v>198</v>
      </c>
      <c r="L411" s="8" t="s">
        <v>124</v>
      </c>
      <c r="M411" s="8" t="s">
        <v>37</v>
      </c>
      <c r="N411" s="52" t="str">
        <f>IF(Follow[[#This Row],[DATAATUALIZAÇÃO]]&lt;=Follow[[#This Row],[Prev Entrega]],"Dentro do Prazo","Fora do Prazo")</f>
        <v>Dentro do Prazo</v>
      </c>
      <c r="O4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01/11/2024, referente ao pedido Nº Pedido 87 Rastreio Pedido 87, agradecemos a preferência e adoraríamos receber sua avaliação, tendo qualquer dúvida estamos à disposição.
Att
Tem tudo Shop</v>
      </c>
    </row>
    <row r="412" spans="1:15">
      <c r="A412" s="52" t="str">
        <f>_xlfn.XLOOKUP(Follow[[#This Row],[CODRASTREIO]],Controle_Pedidos[Cód Rastreamento],Controle_Pedidos[Número Pedido Cliente])</f>
        <v>Pedido 140</v>
      </c>
      <c r="B412" s="2" t="s">
        <v>17575</v>
      </c>
      <c r="C412" s="2" t="str">
        <f>Follow[[#This Row],[CODRASTREIO]]&amp;" B"</f>
        <v>CódRastreio133 B</v>
      </c>
      <c r="D412" s="52" t="str">
        <f>_xlfn.XLOOKUP(Follow[[#This Row],[Id Pedido]],Controle_Pedidos[Número Pedido Cliente],Controle_Pedidos[Loja])</f>
        <v>BV</v>
      </c>
      <c r="E412" s="9">
        <f>_xlfn.XLOOKUP(Follow[[#This Row],[Id Pedido]],Controle_Pedidos[Número Pedido Cliente],Controle_Pedidos[Prazo Entrega])</f>
        <v>45611</v>
      </c>
      <c r="F412" s="9" t="s">
        <v>19433</v>
      </c>
      <c r="G412" s="9" t="s">
        <v>37</v>
      </c>
      <c r="H412" s="52" t="s">
        <v>178</v>
      </c>
      <c r="I412" s="52" t="s">
        <v>178</v>
      </c>
      <c r="J412" s="55">
        <v>45611</v>
      </c>
      <c r="K412" s="54" t="s">
        <v>198</v>
      </c>
      <c r="L412" s="8" t="s">
        <v>124</v>
      </c>
      <c r="M412" s="52" t="s">
        <v>204</v>
      </c>
      <c r="N412" s="52" t="str">
        <f>IF(Follow[[#This Row],[DATAATUALIZAÇÃO]]&lt;=Follow[[#This Row],[Prev Entrega]],"Dentro do Prazo","Fora do Prazo")</f>
        <v>Dentro do Prazo</v>
      </c>
      <c r="O41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15/11/2024, referente ao pedido Nº Pedido 140 Rastreio Pedido 140, agradecemos a preferência e adoraríamos receber sua avaliação, tendo qualquer dúvida estamos à disposição.
Att
Tem tudo Shop</v>
      </c>
    </row>
    <row r="413" spans="1:15">
      <c r="A413" s="52" t="str">
        <f>_xlfn.XLOOKUP(Follow[[#This Row],[CODRASTREIO]],Controle_Pedidos[Cód Rastreamento],Controle_Pedidos[Número Pedido Cliente])</f>
        <v>Pedido 584</v>
      </c>
      <c r="B413" s="2" t="s">
        <v>18011</v>
      </c>
      <c r="C413" s="2" t="str">
        <f>Follow[[#This Row],[CODRASTREIO]]&amp;" B"</f>
        <v>CódRastreio569 B</v>
      </c>
      <c r="D413" s="52" t="str">
        <f>_xlfn.XLOOKUP(Follow[[#This Row],[Id Pedido]],Controle_Pedidos[Número Pedido Cliente],Controle_Pedidos[Loja])</f>
        <v>BV</v>
      </c>
      <c r="E413" s="9">
        <f>_xlfn.XLOOKUP(Follow[[#This Row],[Id Pedido]],Controle_Pedidos[Número Pedido Cliente],Controle_Pedidos[Prazo Entrega])</f>
        <v>45667</v>
      </c>
      <c r="F413" s="9" t="s">
        <v>19433</v>
      </c>
      <c r="G413" s="9" t="s">
        <v>37</v>
      </c>
      <c r="H413" s="52" t="s">
        <v>179</v>
      </c>
      <c r="I413" s="52" t="s">
        <v>178</v>
      </c>
      <c r="J413" s="55">
        <v>45659</v>
      </c>
      <c r="K413" s="52" t="s">
        <v>198</v>
      </c>
      <c r="L413" s="8" t="s">
        <v>124</v>
      </c>
      <c r="M413" s="8" t="s">
        <v>37</v>
      </c>
      <c r="N413" s="52" t="str">
        <f>IF(Follow[[#This Row],[DATAATUALIZAÇÃO]]&lt;=Follow[[#This Row],[Prev Entrega]],"Dentro do Prazo","Fora do Prazo")</f>
        <v>Dentro do Prazo</v>
      </c>
      <c r="O41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584 Rastreio Pedido 584, agradecemos a preferência e adoraríamos receber sua avaliação, tendo qualquer dúvida estamos à disposição.
Att
Tem tudo Shop</v>
      </c>
    </row>
    <row r="414" spans="1:15">
      <c r="A414" s="52" t="str">
        <f>_xlfn.XLOOKUP(Follow[[#This Row],[CODRASTREIO]],Controle_Pedidos[Cód Rastreamento],Controle_Pedidos[Número Pedido Cliente])</f>
        <v>Pedido 302</v>
      </c>
      <c r="B414" s="2" t="s">
        <v>17737</v>
      </c>
      <c r="C414" s="2" t="str">
        <f>Follow[[#This Row],[CODRASTREIO]]&amp;" B"</f>
        <v>CódRastreio295 B</v>
      </c>
      <c r="D414" s="52" t="str">
        <f>_xlfn.XLOOKUP(Follow[[#This Row],[Id Pedido]],Controle_Pedidos[Número Pedido Cliente],Controle_Pedidos[Loja])</f>
        <v>BV</v>
      </c>
      <c r="E414" s="9">
        <f>_xlfn.XLOOKUP(Follow[[#This Row],[Id Pedido]],Controle_Pedidos[Número Pedido Cliente],Controle_Pedidos[Prazo Entrega])</f>
        <v>45632</v>
      </c>
      <c r="F414" s="9" t="s">
        <v>19433</v>
      </c>
      <c r="G414" s="9" t="s">
        <v>37</v>
      </c>
      <c r="H414" s="52" t="s">
        <v>178</v>
      </c>
      <c r="I414" s="52" t="s">
        <v>178</v>
      </c>
      <c r="J414" s="55">
        <v>45615</v>
      </c>
      <c r="K414" s="54" t="s">
        <v>198</v>
      </c>
      <c r="L414" s="8" t="s">
        <v>124</v>
      </c>
      <c r="M414" s="8" t="s">
        <v>37</v>
      </c>
      <c r="N414" s="52" t="str">
        <f>IF(Follow[[#This Row],[DATAATUALIZAÇÃO]]&lt;=Follow[[#This Row],[Prev Entrega]],"Dentro do Prazo","Fora do Prazo")</f>
        <v>Dentro do Prazo</v>
      </c>
      <c r="O4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19/11/2024, referente ao pedido Nº Pedido 302 Rastreio Pedido 302, agradecemos a preferência e adoraríamos receber sua avaliação, tendo qualquer dúvida estamos à disposição.
Att
Tem tudo Shop</v>
      </c>
    </row>
    <row r="415" spans="1:15">
      <c r="A415" s="52" t="str">
        <f>_xlfn.XLOOKUP(Follow[[#This Row],[CODRASTREIO]],Controle_Pedidos[Cód Rastreamento],Controle_Pedidos[Número Pedido Cliente])</f>
        <v>Pedido 474</v>
      </c>
      <c r="B415" s="2" t="s">
        <v>17901</v>
      </c>
      <c r="C415" s="2" t="str">
        <f>Follow[[#This Row],[CODRASTREIO]]&amp;" B"</f>
        <v>CódRastreio459 B</v>
      </c>
      <c r="D415" s="52" t="str">
        <f>_xlfn.XLOOKUP(Follow[[#This Row],[Id Pedido]],Controle_Pedidos[Número Pedido Cliente],Controle_Pedidos[Loja])</f>
        <v>BV</v>
      </c>
      <c r="E415" s="9">
        <f>_xlfn.XLOOKUP(Follow[[#This Row],[Id Pedido]],Controle_Pedidos[Número Pedido Cliente],Controle_Pedidos[Prazo Entrega])</f>
        <v>45646</v>
      </c>
      <c r="F415" s="9" t="s">
        <v>19433</v>
      </c>
      <c r="G415" s="9" t="s">
        <v>37</v>
      </c>
      <c r="H415" s="55" t="s">
        <v>179</v>
      </c>
      <c r="I415" s="55" t="s">
        <v>178</v>
      </c>
      <c r="J415" s="55">
        <v>45637</v>
      </c>
      <c r="K415" s="52" t="s">
        <v>198</v>
      </c>
      <c r="L415" s="8" t="s">
        <v>124</v>
      </c>
      <c r="M415" s="8" t="s">
        <v>37</v>
      </c>
      <c r="N415" s="52" t="str">
        <f>IF(Follow[[#This Row],[DATAATUALIZAÇÃO]]&lt;=Follow[[#This Row],[Prev Entrega]],"Dentro do Prazo","Fora do Prazo")</f>
        <v>Dentro do Prazo</v>
      </c>
      <c r="O4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474 Rastreio Pedido 474, agradecemos a preferência e adoraríamos receber sua avaliação, tendo qualquer dúvida estamos à disposição.
Att
Tem tudo Shop</v>
      </c>
    </row>
    <row r="416" spans="1:15">
      <c r="A416" s="52" t="str">
        <f>_xlfn.XLOOKUP(Follow[[#This Row],[CODRASTREIO]],Controle_Pedidos[Cód Rastreamento],Controle_Pedidos[Número Pedido Cliente])</f>
        <v>Pedido 98</v>
      </c>
      <c r="B416" s="2" t="s">
        <v>17533</v>
      </c>
      <c r="C416" s="2" t="str">
        <f>Follow[[#This Row],[CODRASTREIO]]&amp;" B"</f>
        <v>CódRastreio91 B</v>
      </c>
      <c r="D416" s="52" t="str">
        <f>_xlfn.XLOOKUP(Follow[[#This Row],[Id Pedido]],Controle_Pedidos[Número Pedido Cliente],Controle_Pedidos[Loja])</f>
        <v>BV</v>
      </c>
      <c r="E416" s="9">
        <f>_xlfn.XLOOKUP(Follow[[#This Row],[Id Pedido]],Controle_Pedidos[Número Pedido Cliente],Controle_Pedidos[Prazo Entrega])</f>
        <v>45610</v>
      </c>
      <c r="F416" s="9" t="s">
        <v>19433</v>
      </c>
      <c r="G416" s="9" t="s">
        <v>37</v>
      </c>
      <c r="H416" s="52" t="s">
        <v>178</v>
      </c>
      <c r="I416" s="52" t="s">
        <v>178</v>
      </c>
      <c r="J416" s="55">
        <v>45600</v>
      </c>
      <c r="K416" s="54" t="s">
        <v>198</v>
      </c>
      <c r="L416" s="8" t="s">
        <v>124</v>
      </c>
      <c r="M416" s="8" t="s">
        <v>37</v>
      </c>
      <c r="N416" s="52" t="str">
        <f>IF(Follow[[#This Row],[DATAATUALIZAÇÃO]]&lt;=Follow[[#This Row],[Prev Entrega]],"Dentro do Prazo","Fora do Prazo")</f>
        <v>Dentro do Prazo</v>
      </c>
      <c r="O4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04/11/2024, referente ao pedido Nº Pedido 98 Rastreio Pedido 98, agradecemos a preferência e adoraríamos receber sua avaliação, tendo qualquer dúvida estamos à disposição.
Att
Tem tudo Shop</v>
      </c>
    </row>
    <row r="417" spans="1:15">
      <c r="A417" s="52" t="str">
        <f>_xlfn.XLOOKUP(Follow[[#This Row],[CODRASTREIO]],Controle_Pedidos[Cód Rastreamento],Controle_Pedidos[Número Pedido Cliente])</f>
        <v>Pedido 36</v>
      </c>
      <c r="B417" s="2" t="s">
        <v>17469</v>
      </c>
      <c r="C417" s="2" t="str">
        <f>Follow[[#This Row],[CODRASTREIO]]&amp;" B"</f>
        <v>CódRastreio27 B</v>
      </c>
      <c r="D417" s="52" t="str">
        <f>_xlfn.XLOOKUP(Follow[[#This Row],[Id Pedido]],Controle_Pedidos[Número Pedido Cliente],Controle_Pedidos[Loja])</f>
        <v>BV</v>
      </c>
      <c r="E417" s="9">
        <f>_xlfn.XLOOKUP(Follow[[#This Row],[Id Pedido]],Controle_Pedidos[Número Pedido Cliente],Controle_Pedidos[Prazo Entrega])</f>
        <v>45602</v>
      </c>
      <c r="F417" s="9" t="s">
        <v>19433</v>
      </c>
      <c r="G417" s="9" t="s">
        <v>37</v>
      </c>
      <c r="H417" s="52" t="s">
        <v>178</v>
      </c>
      <c r="I417" s="52" t="s">
        <v>178</v>
      </c>
      <c r="J417" s="9">
        <v>45590</v>
      </c>
      <c r="K417" s="54" t="s">
        <v>198</v>
      </c>
      <c r="L417" s="8" t="s">
        <v>124</v>
      </c>
      <c r="M417" s="8" t="s">
        <v>37</v>
      </c>
      <c r="N417" s="52" t="str">
        <f>IF(Follow[[#This Row],[DATAATUALIZAÇÃO]]&lt;=Follow[[#This Row],[Prev Entrega]],"Dentro do Prazo","Fora do Prazo")</f>
        <v>Dentro do Prazo</v>
      </c>
      <c r="O4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25/10/2024, referente ao pedido Nº Pedido 36 Rastreio Pedido 36, agradecemos a preferência e adoraríamos receber sua avaliação, tendo qualquer dúvida estamos à disposição.
Att
Tem tudo Shop</v>
      </c>
    </row>
    <row r="418" spans="1:15">
      <c r="A418" s="52" t="str">
        <f>_xlfn.XLOOKUP(Follow[[#This Row],[CODRASTREIO]],Controle_Pedidos[Cód Rastreamento],Controle_Pedidos[Número Pedido Cliente])</f>
        <v>Pedido 534</v>
      </c>
      <c r="B418" s="2" t="s">
        <v>17961</v>
      </c>
      <c r="C418" s="2" t="str">
        <f>Follow[[#This Row],[CODRASTREIO]]&amp;" B"</f>
        <v>CódRastreio519 B</v>
      </c>
      <c r="D418" s="52" t="str">
        <f>_xlfn.XLOOKUP(Follow[[#This Row],[Id Pedido]],Controle_Pedidos[Número Pedido Cliente],Controle_Pedidos[Loja])</f>
        <v>BV</v>
      </c>
      <c r="E418" s="9">
        <f>_xlfn.XLOOKUP(Follow[[#This Row],[Id Pedido]],Controle_Pedidos[Número Pedido Cliente],Controle_Pedidos[Prazo Entrega])</f>
        <v>45664</v>
      </c>
      <c r="F418" s="9" t="s">
        <v>19433</v>
      </c>
      <c r="G418" s="9" t="s">
        <v>37</v>
      </c>
      <c r="H418" s="52" t="s">
        <v>179</v>
      </c>
      <c r="I418" s="52" t="s">
        <v>178</v>
      </c>
      <c r="J418" s="55">
        <v>45646</v>
      </c>
      <c r="K418" s="52" t="s">
        <v>198</v>
      </c>
      <c r="L418" s="8" t="s">
        <v>124</v>
      </c>
      <c r="M418" s="8" t="s">
        <v>37</v>
      </c>
      <c r="N418" s="52" t="str">
        <f>IF(Follow[[#This Row],[DATAATUALIZAÇÃO]]&lt;=Follow[[#This Row],[Prev Entrega]],"Dentro do Prazo","Fora do Prazo")</f>
        <v>Dentro do Prazo</v>
      </c>
      <c r="O41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20/12/2024, referente ao pedido Nº Pedido 534 Rastreio Pedido 534, agradecemos a preferência e adoraríamos receber sua avaliação, tendo qualquer dúvida estamos à disposição.
Att
Tem tudo Shop</v>
      </c>
    </row>
    <row r="419" spans="1:15">
      <c r="A419" s="52" t="str">
        <f>_xlfn.XLOOKUP(Follow[[#This Row],[CODRASTREIO]],Controle_Pedidos[Cód Rastreamento],Controle_Pedidos[Número Pedido Cliente])</f>
        <v>Pedido 103</v>
      </c>
      <c r="B419" s="2" t="s">
        <v>17538</v>
      </c>
      <c r="C419" s="2" t="str">
        <f>Follow[[#This Row],[CODRASTREIO]]&amp;" B"</f>
        <v>CódRastreio96 B</v>
      </c>
      <c r="D419" s="52" t="str">
        <f>_xlfn.XLOOKUP(Follow[[#This Row],[Id Pedido]],Controle_Pedidos[Número Pedido Cliente],Controle_Pedidos[Loja])</f>
        <v>BV</v>
      </c>
      <c r="E419" s="9">
        <f>_xlfn.XLOOKUP(Follow[[#This Row],[Id Pedido]],Controle_Pedidos[Número Pedido Cliente],Controle_Pedidos[Prazo Entrega])</f>
        <v>45617</v>
      </c>
      <c r="F419" s="9" t="s">
        <v>19433</v>
      </c>
      <c r="G419" s="9" t="s">
        <v>37</v>
      </c>
      <c r="H419" s="52" t="s">
        <v>178</v>
      </c>
      <c r="I419" s="52" t="s">
        <v>178</v>
      </c>
      <c r="J419" s="55">
        <v>45604</v>
      </c>
      <c r="K419" s="54" t="s">
        <v>198</v>
      </c>
      <c r="L419" s="8" t="s">
        <v>124</v>
      </c>
      <c r="M419" s="8" t="s">
        <v>37</v>
      </c>
      <c r="N419" s="52" t="str">
        <f>IF(Follow[[#This Row],[DATAATUALIZAÇÃO]]&lt;=Follow[[#This Row],[Prev Entrega]],"Dentro do Prazo","Fora do Prazo")</f>
        <v>Dentro do Prazo</v>
      </c>
      <c r="O4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08/11/2024, referente ao pedido Nº Pedido 103 Rastreio Pedido 103, agradecemos a preferência e adoraríamos receber sua avaliação, tendo qualquer dúvida estamos à disposição.
Att
Tem tudo Shop</v>
      </c>
    </row>
    <row r="420" spans="1:15">
      <c r="A420" s="52" t="str">
        <f>_xlfn.XLOOKUP(Follow[[#This Row],[CODRASTREIO]],Controle_Pedidos[Cód Rastreamento],Controle_Pedidos[Número Pedido Cliente])</f>
        <v>Pedido 259</v>
      </c>
      <c r="B420" s="2" t="s">
        <v>17694</v>
      </c>
      <c r="C420" s="2" t="str">
        <f>Follow[[#This Row],[CODRASTREIO]]&amp;" B"</f>
        <v>CódRastreio252 B</v>
      </c>
      <c r="D420" s="52" t="str">
        <f>_xlfn.XLOOKUP(Follow[[#This Row],[Id Pedido]],Controle_Pedidos[Número Pedido Cliente],Controle_Pedidos[Loja])</f>
        <v>BV</v>
      </c>
      <c r="E420" s="9">
        <f>_xlfn.XLOOKUP(Follow[[#This Row],[Id Pedido]],Controle_Pedidos[Número Pedido Cliente],Controle_Pedidos[Prazo Entrega])</f>
        <v>45623</v>
      </c>
      <c r="F420" s="9" t="s">
        <v>19433</v>
      </c>
      <c r="G420" s="9" t="s">
        <v>37</v>
      </c>
      <c r="H420" s="52" t="s">
        <v>178</v>
      </c>
      <c r="I420" s="52" t="s">
        <v>178</v>
      </c>
      <c r="J420" s="55">
        <v>45611</v>
      </c>
      <c r="K420" s="54" t="s">
        <v>198</v>
      </c>
      <c r="L420" s="8" t="s">
        <v>124</v>
      </c>
      <c r="M420" s="8" t="s">
        <v>37</v>
      </c>
      <c r="N420" s="52" t="str">
        <f>IF(Follow[[#This Row],[DATAATUALIZAÇÃO]]&lt;=Follow[[#This Row],[Prev Entrega]],"Dentro do Prazo","Fora do Prazo")</f>
        <v>Dentro do Prazo</v>
      </c>
      <c r="O4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15/11/2024, referente ao pedido Nº Pedido 259 Rastreio Pedido 259, agradecemos a preferência e adoraríamos receber sua avaliação, tendo qualquer dúvida estamos à disposição.
Att
Tem tudo Shop</v>
      </c>
    </row>
    <row r="421" spans="1:15">
      <c r="A421" s="52" t="str">
        <f>_xlfn.XLOOKUP(Follow[[#This Row],[CODRASTREIO]],Controle_Pedidos[Cód Rastreamento],Controle_Pedidos[Número Pedido Cliente])</f>
        <v>Pedido 260</v>
      </c>
      <c r="B421" s="2" t="s">
        <v>17695</v>
      </c>
      <c r="C421" s="2" t="str">
        <f>Follow[[#This Row],[CODRASTREIO]]&amp;" B"</f>
        <v>CódRastreio253 B</v>
      </c>
      <c r="D421" s="52" t="str">
        <f>_xlfn.XLOOKUP(Follow[[#This Row],[Id Pedido]],Controle_Pedidos[Número Pedido Cliente],Controle_Pedidos[Loja])</f>
        <v>BV</v>
      </c>
      <c r="E421" s="9">
        <f>_xlfn.XLOOKUP(Follow[[#This Row],[Id Pedido]],Controle_Pedidos[Número Pedido Cliente],Controle_Pedidos[Prazo Entrega])</f>
        <v>45623</v>
      </c>
      <c r="F421" s="9" t="s">
        <v>19433</v>
      </c>
      <c r="G421" s="9" t="s">
        <v>37</v>
      </c>
      <c r="H421" s="52" t="s">
        <v>178</v>
      </c>
      <c r="I421" s="52" t="s">
        <v>178</v>
      </c>
      <c r="J421" s="55">
        <v>45611</v>
      </c>
      <c r="K421" s="54" t="s">
        <v>198</v>
      </c>
      <c r="L421" s="8" t="s">
        <v>124</v>
      </c>
      <c r="M421" s="8" t="s">
        <v>37</v>
      </c>
      <c r="N421" s="52" t="str">
        <f>IF(Follow[[#This Row],[DATAATUALIZAÇÃO]]&lt;=Follow[[#This Row],[Prev Entrega]],"Dentro do Prazo","Fora do Prazo")</f>
        <v>Dentro do Prazo</v>
      </c>
      <c r="O4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15/11/2024, referente ao pedido Nº Pedido 260 Rastreio Pedido 260, agradecemos a preferência e adoraríamos receber sua avaliação, tendo qualquer dúvida estamos à disposição.
Att
Tem tudo Shop</v>
      </c>
    </row>
    <row r="422" spans="1:15">
      <c r="A422" s="52" t="s">
        <v>13424</v>
      </c>
      <c r="B422" s="2" t="s">
        <v>19444</v>
      </c>
      <c r="C422" s="2" t="str">
        <f>Follow[[#This Row],[CODRASTREIO]]&amp;" B"</f>
        <v>CódRastreio72 1 Envio B</v>
      </c>
      <c r="D422" s="52" t="s">
        <v>36</v>
      </c>
      <c r="E422" s="9">
        <v>45617</v>
      </c>
      <c r="F422" s="9" t="s">
        <v>19433</v>
      </c>
      <c r="G422" s="9" t="s">
        <v>37</v>
      </c>
      <c r="H422" s="52" t="s">
        <v>178</v>
      </c>
      <c r="I422" s="52" t="s">
        <v>178</v>
      </c>
      <c r="J422" s="55">
        <v>45602</v>
      </c>
      <c r="K422" s="54" t="s">
        <v>198</v>
      </c>
      <c r="L422" s="8" t="s">
        <v>124</v>
      </c>
      <c r="M422" s="8" t="s">
        <v>37</v>
      </c>
      <c r="N422" s="52" t="str">
        <f>IF(Follow[[#This Row],[DATAATUALIZAÇÃO]]&lt;=Follow[[#This Row],[Prev Entrega]],"Dentro do Prazo","Fora do Prazo")</f>
        <v>Dentro do Prazo</v>
      </c>
      <c r="O4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06/11/2024, referente ao pedido Nº Pedido 81 Rastreio Pedido 81, agradecemos a preferência e adoraríamos receber sua avaliação, tendo qualquer dúvida estamos à disposição.
Att
Tem tudo Shop</v>
      </c>
    </row>
    <row r="423" spans="1:15">
      <c r="A423" s="52" t="s">
        <v>13424</v>
      </c>
      <c r="B423" s="2" t="s">
        <v>19445</v>
      </c>
      <c r="C423" s="2" t="str">
        <f>Follow[[#This Row],[CODRASTREIO]]&amp;" B"</f>
        <v>CódRastreio72 2 Envio B</v>
      </c>
      <c r="D423" s="52" t="s">
        <v>36</v>
      </c>
      <c r="E423" s="9">
        <v>45617</v>
      </c>
      <c r="F423" s="9" t="s">
        <v>19433</v>
      </c>
      <c r="G423" s="9" t="s">
        <v>37</v>
      </c>
      <c r="H423" s="52" t="s">
        <v>178</v>
      </c>
      <c r="I423" s="52" t="s">
        <v>178</v>
      </c>
      <c r="J423" s="55">
        <v>45598</v>
      </c>
      <c r="K423" s="54" t="s">
        <v>198</v>
      </c>
      <c r="L423" s="8" t="s">
        <v>124</v>
      </c>
      <c r="M423" s="8" t="s">
        <v>37</v>
      </c>
      <c r="N423" s="52" t="str">
        <f>IF(Follow[[#This Row],[DATAATUALIZAÇÃO]]&lt;=Follow[[#This Row],[Prev Entrega]],"Dentro do Prazo","Fora do Prazo")</f>
        <v>Dentro do Prazo</v>
      </c>
      <c r="O4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02/11/2024, referente ao pedido Nº Pedido 81 Rastreio Pedido 81, agradecemos a preferência e adoraríamos receber sua avaliação, tendo qualquer dúvida estamos à disposição.
Att
Tem tudo Shop</v>
      </c>
    </row>
    <row r="424" spans="1:15">
      <c r="A424" s="52" t="str">
        <f>_xlfn.XLOOKUP(Follow[[#This Row],[CODRASTREIO]],Controle_Pedidos[Cód Rastreamento],Controle_Pedidos[Número Pedido Cliente])</f>
        <v>Pedido 343</v>
      </c>
      <c r="B424" s="2" t="s">
        <v>17778</v>
      </c>
      <c r="C424" s="2" t="str">
        <f>Follow[[#This Row],[CODRASTREIO]]&amp;" B"</f>
        <v>CódRastreio336 B</v>
      </c>
      <c r="D424" s="52" t="str">
        <f>_xlfn.XLOOKUP(Follow[[#This Row],[Id Pedido]],Controle_Pedidos[Número Pedido Cliente],Controle_Pedidos[Loja])</f>
        <v>BV</v>
      </c>
      <c r="E424" s="9">
        <f>_xlfn.XLOOKUP(Follow[[#This Row],[Id Pedido]],Controle_Pedidos[Número Pedido Cliente],Controle_Pedidos[Prazo Entrega])</f>
        <v>45630</v>
      </c>
      <c r="F424" s="9" t="s">
        <v>19433</v>
      </c>
      <c r="G424" s="9" t="s">
        <v>37</v>
      </c>
      <c r="H424" s="52" t="s">
        <v>179</v>
      </c>
      <c r="I424" s="52" t="s">
        <v>178</v>
      </c>
      <c r="J424" s="55">
        <v>45667</v>
      </c>
      <c r="K424" s="52" t="s">
        <v>198</v>
      </c>
      <c r="L424" s="8" t="s">
        <v>124</v>
      </c>
      <c r="M424" s="8" t="s">
        <v>88</v>
      </c>
      <c r="N424" s="52" t="str">
        <f>IF(Follow[[#This Row],[DATAATUALIZAÇÃO]]&lt;=Follow[[#This Row],[Prev Entrega]],"Dentro do Prazo","Fora do Prazo")</f>
        <v>Fora do Prazo</v>
      </c>
      <c r="O42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foi entregue no dia 10/01/2025, referente ao pedido Nº Pedido 343 Rastreio Pedido 343, agradecemos a preferência e adoraríamos receber sua avaliação, tendo qualquer dúvida estamos à disposição.
Att
Tem tudo Shop</v>
      </c>
    </row>
    <row r="425" spans="1:15">
      <c r="A425" s="52" t="str">
        <f>_xlfn.XLOOKUP(Follow[[#This Row],[CODRASTREIO]],Controle_Pedidos[Cód Rastreamento],Controle_Pedidos[Número Pedido Cliente])</f>
        <v>Pedido 81</v>
      </c>
      <c r="B425" s="2" t="s">
        <v>17514</v>
      </c>
      <c r="C425" s="2" t="str">
        <f>Follow[[#This Row],[CODRASTREIO]]&amp;" B"</f>
        <v>CódRastreio72 B</v>
      </c>
      <c r="D425" s="52" t="str">
        <f>_xlfn.XLOOKUP(Follow[[#This Row],[Id Pedido]],Controle_Pedidos[Número Pedido Cliente],Controle_Pedidos[Loja])</f>
        <v>BV</v>
      </c>
      <c r="E425" s="9">
        <f>_xlfn.XLOOKUP(Follow[[#This Row],[Id Pedido]],Controle_Pedidos[Número Pedido Cliente],Controle_Pedidos[Prazo Entrega])</f>
        <v>45617</v>
      </c>
      <c r="F425" s="9" t="s">
        <v>19433</v>
      </c>
      <c r="G425" s="9" t="s">
        <v>37</v>
      </c>
      <c r="H425" s="52" t="s">
        <v>178</v>
      </c>
      <c r="I425" s="52" t="s">
        <v>178</v>
      </c>
      <c r="J425" s="55">
        <v>45600</v>
      </c>
      <c r="K425" s="54" t="s">
        <v>198</v>
      </c>
      <c r="L425" s="8" t="s">
        <v>124</v>
      </c>
      <c r="M425" s="8" t="s">
        <v>37</v>
      </c>
      <c r="N425" s="52" t="str">
        <f>IF(Follow[[#This Row],[DATAATUALIZAÇÃO]]&lt;=Follow[[#This Row],[Prev Entrega]],"Dentro do Prazo","Fora do Prazo")</f>
        <v>Dentro do Prazo</v>
      </c>
      <c r="O4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04/11/2024, referente ao pedido Nº Pedido 81 Rastreio Pedido 81, agradecemos a preferência e adoraríamos receber sua avaliação, tendo qualquer dúvida estamos à disposição.
Att
Tem tudo Shop</v>
      </c>
    </row>
    <row r="426" spans="1:15">
      <c r="A426" s="52" t="str">
        <f>_xlfn.XLOOKUP(Follow[[#This Row],[CODRASTREIO]],Controle_Pedidos[Cód Rastreamento],Controle_Pedidos[Número Pedido Cliente])</f>
        <v>Pedido 90</v>
      </c>
      <c r="B426" s="2" t="s">
        <v>17525</v>
      </c>
      <c r="C426" s="2" t="str">
        <f>Follow[[#This Row],[CODRASTREIO]]&amp;" B"</f>
        <v>CódRastreio83 B</v>
      </c>
      <c r="D426" s="52" t="str">
        <f>_xlfn.XLOOKUP(Follow[[#This Row],[Id Pedido]],Controle_Pedidos[Número Pedido Cliente],Controle_Pedidos[Loja])</f>
        <v>BV</v>
      </c>
      <c r="E426" s="9">
        <f>_xlfn.XLOOKUP(Follow[[#This Row],[Id Pedido]],Controle_Pedidos[Número Pedido Cliente],Controle_Pedidos[Prazo Entrega])</f>
        <v>45610</v>
      </c>
      <c r="F426" s="9" t="s">
        <v>19433</v>
      </c>
      <c r="G426" s="9" t="s">
        <v>37</v>
      </c>
      <c r="H426" s="52" t="s">
        <v>178</v>
      </c>
      <c r="I426" s="52" t="s">
        <v>178</v>
      </c>
      <c r="J426" s="55">
        <v>45596</v>
      </c>
      <c r="K426" s="54" t="s">
        <v>198</v>
      </c>
      <c r="L426" s="8" t="s">
        <v>124</v>
      </c>
      <c r="M426" s="8" t="s">
        <v>37</v>
      </c>
      <c r="N426" s="52" t="str">
        <f>IF(Follow[[#This Row],[DATAATUALIZAÇÃO]]&lt;=Follow[[#This Row],[Prev Entrega]],"Dentro do Prazo","Fora do Prazo")</f>
        <v>Dentro do Prazo</v>
      </c>
      <c r="O4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31/10/2024, referente ao pedido Nº Pedido 90 Rastreio Pedido 90, agradecemos a preferência e adoraríamos receber sua avaliação, tendo qualquer dúvida estamos à disposição.
Att
Tem tudo Shop</v>
      </c>
    </row>
    <row r="427" spans="1:15">
      <c r="A427" s="52" t="str">
        <f>_xlfn.XLOOKUP(Follow[[#This Row],[CODRASTREIO]],Controle_Pedidos[Cód Rastreamento],Controle_Pedidos[Número Pedido Cliente])</f>
        <v>Pedido 309</v>
      </c>
      <c r="B427" s="2" t="s">
        <v>17744</v>
      </c>
      <c r="C427" s="2" t="str">
        <f>Follow[[#This Row],[CODRASTREIO]]&amp;" B"</f>
        <v>CódRastreio302 B</v>
      </c>
      <c r="D427" s="52" t="str">
        <f>_xlfn.XLOOKUP(Follow[[#This Row],[Id Pedido]],Controle_Pedidos[Número Pedido Cliente],Controle_Pedidos[Loja])</f>
        <v>BV</v>
      </c>
      <c r="E427" s="9">
        <f>_xlfn.XLOOKUP(Follow[[#This Row],[Id Pedido]],Controle_Pedidos[Número Pedido Cliente],Controle_Pedidos[Prazo Entrega])</f>
        <v>45632</v>
      </c>
      <c r="F427" s="9" t="s">
        <v>19433</v>
      </c>
      <c r="G427" s="9" t="s">
        <v>37</v>
      </c>
      <c r="H427" s="52" t="s">
        <v>178</v>
      </c>
      <c r="I427" s="52" t="s">
        <v>178</v>
      </c>
      <c r="J427" s="55">
        <v>45612</v>
      </c>
      <c r="K427" s="54" t="s">
        <v>198</v>
      </c>
      <c r="L427" s="8" t="s">
        <v>124</v>
      </c>
      <c r="M427" s="8" t="s">
        <v>37</v>
      </c>
      <c r="N427" s="52" t="str">
        <f>IF(Follow[[#This Row],[DATAATUALIZAÇÃO]]&lt;=Follow[[#This Row],[Prev Entrega]],"Dentro do Prazo","Fora do Prazo")</f>
        <v>Dentro do Prazo</v>
      </c>
      <c r="O4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16/11/2024, referente ao pedido Nº Pedido 309 Rastreio Pedido 309, agradecemos a preferência e adoraríamos receber sua avaliação, tendo qualquer dúvida estamos à disposição.
Att
Tem tudo Shop</v>
      </c>
    </row>
    <row r="428" spans="1:15">
      <c r="A428" s="52" t="str">
        <f>_xlfn.XLOOKUP(Follow[[#This Row],[CODRASTREIO]],Controle_Pedidos[Cód Rastreamento],Controle_Pedidos[Número Pedido Cliente])</f>
        <v>Pedido 538</v>
      </c>
      <c r="B428" s="2" t="s">
        <v>17965</v>
      </c>
      <c r="C428" s="2" t="str">
        <f>Follow[[#This Row],[CODRASTREIO]]&amp;" B"</f>
        <v>CódRastreio523 B</v>
      </c>
      <c r="D428" s="52" t="str">
        <f>_xlfn.XLOOKUP(Follow[[#This Row],[Id Pedido]],Controle_Pedidos[Número Pedido Cliente],Controle_Pedidos[Loja])</f>
        <v>BV</v>
      </c>
      <c r="E428" s="9">
        <f>_xlfn.XLOOKUP(Follow[[#This Row],[Id Pedido]],Controle_Pedidos[Número Pedido Cliente],Controle_Pedidos[Prazo Entrega])</f>
        <v>45675</v>
      </c>
      <c r="F428" s="9" t="s">
        <v>19433</v>
      </c>
      <c r="G428" s="9" t="s">
        <v>37</v>
      </c>
      <c r="H428" s="52" t="s">
        <v>179</v>
      </c>
      <c r="I428" s="52" t="s">
        <v>178</v>
      </c>
      <c r="J428" s="55">
        <v>45660</v>
      </c>
      <c r="K428" s="52" t="s">
        <v>198</v>
      </c>
      <c r="L428" s="8" t="s">
        <v>124</v>
      </c>
      <c r="M428" s="8" t="s">
        <v>37</v>
      </c>
      <c r="N428" s="52" t="str">
        <f>IF(Follow[[#This Row],[DATAATUALIZAÇÃO]]&lt;=Follow[[#This Row],[Prev Entrega]],"Dentro do Prazo","Fora do Prazo")</f>
        <v>Dentro do Prazo</v>
      </c>
      <c r="O4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03/01/2025, referente ao pedido Nº Pedido 538 Rastreio Pedido 538, agradecemos a preferência e adoraríamos receber sua avaliação, tendo qualquer dúvida estamos à disposição.
Att
Tem tudo Shop</v>
      </c>
    </row>
    <row r="429" spans="1:15">
      <c r="A429" s="52" t="str">
        <f>_xlfn.XLOOKUP(Follow[[#This Row],[CODRASTREIO]],Controle_Pedidos[Cód Rastreamento],Controle_Pedidos[Número Pedido Cliente])</f>
        <v>Pedido 419</v>
      </c>
      <c r="B429" s="2" t="s">
        <v>17850</v>
      </c>
      <c r="C429" s="2" t="str">
        <f>Follow[[#This Row],[CODRASTREIO]]&amp;" B"</f>
        <v>CódRastreio408 B</v>
      </c>
      <c r="D429" s="52" t="str">
        <f>_xlfn.XLOOKUP(Follow[[#This Row],[Id Pedido]],Controle_Pedidos[Número Pedido Cliente],Controle_Pedidos[Loja])</f>
        <v>BV</v>
      </c>
      <c r="E429" s="9">
        <f>_xlfn.XLOOKUP(Follow[[#This Row],[Id Pedido]],Controle_Pedidos[Número Pedido Cliente],Controle_Pedidos[Prazo Entrega])</f>
        <v>45653</v>
      </c>
      <c r="F429" s="9" t="s">
        <v>19433</v>
      </c>
      <c r="G429" s="9" t="s">
        <v>37</v>
      </c>
      <c r="H429" s="55" t="s">
        <v>179</v>
      </c>
      <c r="I429" s="55" t="s">
        <v>178</v>
      </c>
      <c r="J429" s="55">
        <v>45636</v>
      </c>
      <c r="K429" s="52" t="s">
        <v>198</v>
      </c>
      <c r="L429" s="8" t="s">
        <v>124</v>
      </c>
      <c r="M429" s="8" t="s">
        <v>37</v>
      </c>
      <c r="N429" s="52" t="str">
        <f>IF(Follow[[#This Row],[DATAATUALIZAÇÃO]]&lt;=Follow[[#This Row],[Prev Entrega]],"Dentro do Prazo","Fora do Prazo")</f>
        <v>Dentro do Prazo</v>
      </c>
      <c r="O4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10/12/2024, referente ao pedido Nº Pedido 419 Rastreio Pedido 419, agradecemos a preferência e adoraríamos receber sua avaliação, tendo qualquer dúvida estamos à disposição.
Att
Tem tudo Shop</v>
      </c>
    </row>
    <row r="430" spans="1:15">
      <c r="A430" s="52" t="str">
        <f>_xlfn.XLOOKUP(Follow[[#This Row],[CODRASTREIO]],Controle_Pedidos[Cód Rastreamento],Controle_Pedidos[Número Pedido Cliente])</f>
        <v>Pedido 151</v>
      </c>
      <c r="B430" s="2" t="s">
        <v>17586</v>
      </c>
      <c r="C430" s="2" t="str">
        <f>Follow[[#This Row],[CODRASTREIO]]&amp;" B"</f>
        <v>CódRastreio144 B</v>
      </c>
      <c r="D430" s="52" t="str">
        <f>_xlfn.XLOOKUP(Follow[[#This Row],[Id Pedido]],Controle_Pedidos[Número Pedido Cliente],Controle_Pedidos[Loja])</f>
        <v>BV</v>
      </c>
      <c r="E430" s="9">
        <f>_xlfn.XLOOKUP(Follow[[#This Row],[Id Pedido]],Controle_Pedidos[Número Pedido Cliente],Controle_Pedidos[Prazo Entrega])</f>
        <v>45619</v>
      </c>
      <c r="F430" s="9" t="s">
        <v>19433</v>
      </c>
      <c r="G430" s="9" t="s">
        <v>37</v>
      </c>
      <c r="H430" s="52" t="s">
        <v>178</v>
      </c>
      <c r="I430" s="52" t="s">
        <v>178</v>
      </c>
      <c r="J430" s="55">
        <v>45602</v>
      </c>
      <c r="K430" s="54" t="s">
        <v>198</v>
      </c>
      <c r="L430" s="8" t="s">
        <v>124</v>
      </c>
      <c r="M430" s="8" t="s">
        <v>37</v>
      </c>
      <c r="N430" s="52" t="str">
        <f>IF(Follow[[#This Row],[DATAATUALIZAÇÃO]]&lt;=Follow[[#This Row],[Prev Entrega]],"Dentro do Prazo","Fora do Prazo")</f>
        <v>Dentro do Prazo</v>
      </c>
      <c r="O4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06/11/2024, referente ao pedido Nº Pedido 151 Rastreio Pedido 151, agradecemos a preferência e adoraríamos receber sua avaliação, tendo qualquer dúvida estamos à disposição.
Att
Tem tudo Shop</v>
      </c>
    </row>
    <row r="431" spans="1:15">
      <c r="A431" s="52" t="str">
        <f>_xlfn.XLOOKUP(Follow[[#This Row],[CODRASTREIO]],Controle_Pedidos[Cód Rastreamento],Controle_Pedidos[Número Pedido Cliente])</f>
        <v>Pedido 381</v>
      </c>
      <c r="B431" s="2" t="s">
        <v>17813</v>
      </c>
      <c r="C431" s="2" t="str">
        <f>Follow[[#This Row],[CODRASTREIO]]&amp;" B"</f>
        <v>CódRastreio371 B</v>
      </c>
      <c r="D431" s="52" t="str">
        <f>_xlfn.XLOOKUP(Follow[[#This Row],[Id Pedido]],Controle_Pedidos[Número Pedido Cliente],Controle_Pedidos[Loja])</f>
        <v>BV</v>
      </c>
      <c r="E431" s="9">
        <f>_xlfn.XLOOKUP(Follow[[#This Row],[Id Pedido]],Controle_Pedidos[Número Pedido Cliente],Controle_Pedidos[Prazo Entrega])</f>
        <v>45630</v>
      </c>
      <c r="F431" s="9" t="s">
        <v>19433</v>
      </c>
      <c r="G431" s="9" t="s">
        <v>37</v>
      </c>
      <c r="H431" s="52" t="s">
        <v>178</v>
      </c>
      <c r="I431" s="52" t="s">
        <v>178</v>
      </c>
      <c r="J431" s="55">
        <v>45622</v>
      </c>
      <c r="K431" s="54" t="s">
        <v>198</v>
      </c>
      <c r="L431" s="8" t="s">
        <v>124</v>
      </c>
      <c r="M431" s="8" t="s">
        <v>37</v>
      </c>
      <c r="N431" s="52" t="str">
        <f>IF(Follow[[#This Row],[DATAATUALIZAÇÃO]]&lt;=Follow[[#This Row],[Prev Entrega]],"Dentro do Prazo","Fora do Prazo")</f>
        <v>Dentro do Prazo</v>
      </c>
      <c r="O4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26/11/2024, referente ao pedido Nº Pedido 381 Rastreio Pedido 381, agradecemos a preferência e adoraríamos receber sua avaliação, tendo qualquer dúvida estamos à disposição.
Att
Tem tudo Shop</v>
      </c>
    </row>
    <row r="432" spans="1:15">
      <c r="A432" s="52" t="str">
        <f>_xlfn.XLOOKUP(Follow[[#This Row],[CODRASTREIO]],Controle_Pedidos[Cód Rastreamento],Controle_Pedidos[Número Pedido Cliente])</f>
        <v>Pedido 622</v>
      </c>
      <c r="B432" s="2" t="s">
        <v>18047</v>
      </c>
      <c r="C432" s="2" t="str">
        <f>Follow[[#This Row],[CODRASTREIO]]&amp;" B"</f>
        <v>CódRastreio605 B</v>
      </c>
      <c r="D432" s="52" t="str">
        <f>_xlfn.XLOOKUP(Follow[[#This Row],[Id Pedido]],Controle_Pedidos[Número Pedido Cliente],Controle_Pedidos[Loja])</f>
        <v>BV</v>
      </c>
      <c r="E432" s="9">
        <f>_xlfn.XLOOKUP(Follow[[#This Row],[Id Pedido]],Controle_Pedidos[Número Pedido Cliente],Controle_Pedidos[Prazo Entrega])</f>
        <v>45674</v>
      </c>
      <c r="F432" s="9" t="s">
        <v>19433</v>
      </c>
      <c r="G432" s="9" t="s">
        <v>37</v>
      </c>
      <c r="H432" s="52" t="s">
        <v>179</v>
      </c>
      <c r="I432" s="52" t="s">
        <v>178</v>
      </c>
      <c r="J432" s="55">
        <v>45665</v>
      </c>
      <c r="K432" s="52" t="s">
        <v>198</v>
      </c>
      <c r="L432" s="8" t="s">
        <v>124</v>
      </c>
      <c r="M432" s="8" t="s">
        <v>37</v>
      </c>
      <c r="N432" s="52" t="str">
        <f>IF(Follow[[#This Row],[DATAATUALIZAÇÃO]]&lt;=Follow[[#This Row],[Prev Entrega]],"Dentro do Prazo","Fora do Prazo")</f>
        <v>Dentro do Prazo</v>
      </c>
      <c r="O4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622 Rastreio Pedido 622, agradecemos a preferência e adoraríamos receber sua avaliação, tendo qualquer dúvida estamos à disposição.
Att
Tem tudo Shop</v>
      </c>
    </row>
    <row r="433" spans="1:15">
      <c r="A433" s="52" t="str">
        <f>_xlfn.XLOOKUP(Follow[[#This Row],[CODRASTREIO]],Controle_Pedidos[Cód Rastreamento],Controle_Pedidos[Número Pedido Cliente])</f>
        <v>Pedido 142</v>
      </c>
      <c r="B433" s="2" t="s">
        <v>17577</v>
      </c>
      <c r="C433" s="2" t="str">
        <f>Follow[[#This Row],[CODRASTREIO]]&amp;" B"</f>
        <v>CódRastreio135 B</v>
      </c>
      <c r="D433" s="52" t="str">
        <f>_xlfn.XLOOKUP(Follow[[#This Row],[Id Pedido]],Controle_Pedidos[Número Pedido Cliente],Controle_Pedidos[Loja])</f>
        <v>BV</v>
      </c>
      <c r="E433" s="9">
        <f>_xlfn.XLOOKUP(Follow[[#This Row],[Id Pedido]],Controle_Pedidos[Número Pedido Cliente],Controle_Pedidos[Prazo Entrega])</f>
        <v>45618</v>
      </c>
      <c r="F433" s="9" t="s">
        <v>19433</v>
      </c>
      <c r="G433" s="9" t="s">
        <v>37</v>
      </c>
      <c r="H433" s="52" t="s">
        <v>179</v>
      </c>
      <c r="I433" s="52" t="s">
        <v>178</v>
      </c>
      <c r="J433" s="55">
        <v>45609</v>
      </c>
      <c r="K433" s="54" t="s">
        <v>198</v>
      </c>
      <c r="L433" s="8" t="s">
        <v>124</v>
      </c>
      <c r="M433" s="8" t="s">
        <v>37</v>
      </c>
      <c r="N433" s="52" t="str">
        <f>IF(Follow[[#This Row],[DATAATUALIZAÇÃO]]&lt;=Follow[[#This Row],[Prev Entrega]],"Dentro do Prazo","Fora do Prazo")</f>
        <v>Dentro do Prazo</v>
      </c>
      <c r="O4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13/11/2024, referente ao pedido Nº Pedido 142 Rastreio Pedido 142, agradecemos a preferência e adoraríamos receber sua avaliação, tendo qualquer dúvida estamos à disposição.
Att
Tem tudo Shop</v>
      </c>
    </row>
    <row r="434" spans="1:15">
      <c r="A434" s="52" t="str">
        <f>_xlfn.XLOOKUP(Follow[[#This Row],[CODRASTREIO]],Controle_Pedidos[Cód Rastreamento],Controle_Pedidos[Número Pedido Cliente])</f>
        <v>Pedido 24</v>
      </c>
      <c r="B434" s="2" t="s">
        <v>17457</v>
      </c>
      <c r="C434" s="2" t="str">
        <f>Follow[[#This Row],[CODRASTREIO]]&amp;" B"</f>
        <v>CódRastreio15 B</v>
      </c>
      <c r="D434" s="52" t="str">
        <f>_xlfn.XLOOKUP(Follow[[#This Row],[Id Pedido]],Controle_Pedidos[Número Pedido Cliente],Controle_Pedidos[Loja])</f>
        <v>BV</v>
      </c>
      <c r="E434" s="9">
        <f>_xlfn.XLOOKUP(Follow[[#This Row],[Id Pedido]],Controle_Pedidos[Número Pedido Cliente],Controle_Pedidos[Prazo Entrega])</f>
        <v>45611</v>
      </c>
      <c r="F434" s="9" t="s">
        <v>19433</v>
      </c>
      <c r="G434" s="9" t="s">
        <v>37</v>
      </c>
      <c r="H434" s="52" t="s">
        <v>178</v>
      </c>
      <c r="I434" s="52" t="s">
        <v>178</v>
      </c>
      <c r="J434" s="55">
        <v>45594</v>
      </c>
      <c r="K434" s="54" t="s">
        <v>198</v>
      </c>
      <c r="L434" s="8" t="s">
        <v>124</v>
      </c>
      <c r="M434" s="8" t="s">
        <v>37</v>
      </c>
      <c r="N434" s="52" t="str">
        <f>IF(Follow[[#This Row],[DATAATUALIZAÇÃO]]&lt;=Follow[[#This Row],[Prev Entrega]],"Dentro do Prazo","Fora do Prazo")</f>
        <v>Dentro do Prazo</v>
      </c>
      <c r="O4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24 Rastreio Pedido 24, agradecemos a preferência e adoraríamos receber sua avaliação, tendo qualquer dúvida estamos à disposição.
Att
Tem tudo Shop</v>
      </c>
    </row>
    <row r="435" spans="1:15">
      <c r="A435" s="52" t="str">
        <f>_xlfn.XLOOKUP(Follow[[#This Row],[CODRASTREIO]],Controle_Pedidos[Cód Rastreamento],Controle_Pedidos[Número Pedido Cliente])</f>
        <v>Pedido 25</v>
      </c>
      <c r="B435" s="2" t="s">
        <v>17458</v>
      </c>
      <c r="C435" s="2" t="str">
        <f>Follow[[#This Row],[CODRASTREIO]]&amp;" B"</f>
        <v>CódRastreio16 B</v>
      </c>
      <c r="D435" s="52" t="str">
        <f>_xlfn.XLOOKUP(Follow[[#This Row],[Id Pedido]],Controle_Pedidos[Número Pedido Cliente],Controle_Pedidos[Loja])</f>
        <v>BV</v>
      </c>
      <c r="E435" s="9">
        <f>_xlfn.XLOOKUP(Follow[[#This Row],[Id Pedido]],Controle_Pedidos[Número Pedido Cliente],Controle_Pedidos[Prazo Entrega])</f>
        <v>45611</v>
      </c>
      <c r="F435" s="9" t="s">
        <v>19433</v>
      </c>
      <c r="G435" s="9" t="s">
        <v>37</v>
      </c>
      <c r="H435" s="52" t="s">
        <v>178</v>
      </c>
      <c r="I435" s="52" t="s">
        <v>178</v>
      </c>
      <c r="J435" s="55">
        <v>45594</v>
      </c>
      <c r="K435" s="54" t="s">
        <v>198</v>
      </c>
      <c r="L435" s="8" t="s">
        <v>124</v>
      </c>
      <c r="M435" s="8" t="s">
        <v>37</v>
      </c>
      <c r="N435" s="52" t="str">
        <f>IF(Follow[[#This Row],[DATAATUALIZAÇÃO]]&lt;=Follow[[#This Row],[Prev Entrega]],"Dentro do Prazo","Fora do Prazo")</f>
        <v>Dentro do Prazo</v>
      </c>
      <c r="O4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25 Rastreio Pedido 25, agradecemos a preferência e adoraríamos receber sua avaliação, tendo qualquer dúvida estamos à disposição.
Att
Tem tudo Shop</v>
      </c>
    </row>
    <row r="436" spans="1:15">
      <c r="A436" s="52" t="str">
        <f>_xlfn.XLOOKUP(Follow[[#This Row],[CODRASTREIO]],Controle_Pedidos[Cód Rastreamento],Controle_Pedidos[Número Pedido Cliente])</f>
        <v>Pedido 501</v>
      </c>
      <c r="B436" s="2" t="s">
        <v>17929</v>
      </c>
      <c r="C436" s="2" t="str">
        <f>Follow[[#This Row],[CODRASTREIO]]&amp;" B"</f>
        <v>CódRastreio487 B</v>
      </c>
      <c r="D436" s="52" t="str">
        <f>_xlfn.XLOOKUP(Follow[[#This Row],[Id Pedido]],Controle_Pedidos[Número Pedido Cliente],Controle_Pedidos[Loja])</f>
        <v>BV</v>
      </c>
      <c r="E436" s="9">
        <f>_xlfn.XLOOKUP(Follow[[#This Row],[Id Pedido]],Controle_Pedidos[Número Pedido Cliente],Controle_Pedidos[Prazo Entrega])</f>
        <v>45661</v>
      </c>
      <c r="F436" s="9" t="s">
        <v>19433</v>
      </c>
      <c r="G436" s="9" t="s">
        <v>37</v>
      </c>
      <c r="H436" s="55" t="s">
        <v>179</v>
      </c>
      <c r="I436" s="55" t="s">
        <v>178</v>
      </c>
      <c r="J436" s="55">
        <v>45642</v>
      </c>
      <c r="K436" s="52" t="s">
        <v>198</v>
      </c>
      <c r="L436" s="8" t="s">
        <v>124</v>
      </c>
      <c r="M436" s="8" t="s">
        <v>37</v>
      </c>
      <c r="N436" s="52" t="str">
        <f>IF(Follow[[#This Row],[DATAATUALIZAÇÃO]]&lt;=Follow[[#This Row],[Prev Entrega]],"Dentro do Prazo","Fora do Prazo")</f>
        <v>Dentro do Prazo</v>
      </c>
      <c r="O4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16/12/2024, referente ao pedido Nº Pedido 501 Rastreio Pedido 501, agradecemos a preferência e adoraríamos receber sua avaliação, tendo qualquer dúvida estamos à disposição.
Att
Tem tudo Shop</v>
      </c>
    </row>
    <row r="437" spans="1:15">
      <c r="A437" s="52" t="str">
        <f>_xlfn.XLOOKUP(Follow[[#This Row],[CODRASTREIO]],Controle_Pedidos[Cód Rastreamento],Controle_Pedidos[Número Pedido Cliente])</f>
        <v>Pedido 499</v>
      </c>
      <c r="B437" s="2" t="s">
        <v>17927</v>
      </c>
      <c r="C437" s="2" t="str">
        <f>Follow[[#This Row],[CODRASTREIO]]&amp;" B"</f>
        <v>CódRastreio485 B</v>
      </c>
      <c r="D437" s="52" t="str">
        <f>_xlfn.XLOOKUP(Follow[[#This Row],[Id Pedido]],Controle_Pedidos[Número Pedido Cliente],Controle_Pedidos[Loja])</f>
        <v>BV</v>
      </c>
      <c r="E437" s="9">
        <f>_xlfn.XLOOKUP(Follow[[#This Row],[Id Pedido]],Controle_Pedidos[Número Pedido Cliente],Controle_Pedidos[Prazo Entrega])</f>
        <v>45660</v>
      </c>
      <c r="F437" s="9" t="s">
        <v>19433</v>
      </c>
      <c r="G437" s="9" t="s">
        <v>37</v>
      </c>
      <c r="H437" s="52" t="s">
        <v>179</v>
      </c>
      <c r="I437" s="52" t="s">
        <v>178</v>
      </c>
      <c r="J437" s="55">
        <v>45649</v>
      </c>
      <c r="K437" s="52" t="s">
        <v>198</v>
      </c>
      <c r="L437" s="8" t="s">
        <v>124</v>
      </c>
      <c r="M437" s="8" t="s">
        <v>37</v>
      </c>
      <c r="N437" s="52" t="str">
        <f>IF(Follow[[#This Row],[DATAATUALIZAÇÃO]]&lt;=Follow[[#This Row],[Prev Entrega]],"Dentro do Prazo","Fora do Prazo")</f>
        <v>Dentro do Prazo</v>
      </c>
      <c r="O4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23/12/2024, referente ao pedido Nº Pedido 499 Rastreio Pedido 499, agradecemos a preferência e adoraríamos receber sua avaliação, tendo qualquer dúvida estamos à disposição.
Att
Tem tudo Shop</v>
      </c>
    </row>
    <row r="438" spans="1:15">
      <c r="A438" s="52" t="str">
        <f>_xlfn.XLOOKUP(Follow[[#This Row],[CODRASTREIO]],Controle_Pedidos[Cód Rastreamento],Controle_Pedidos[Número Pedido Cliente])</f>
        <v>Pedido 75</v>
      </c>
      <c r="B438" s="2" t="s">
        <v>17508</v>
      </c>
      <c r="C438" s="2" t="str">
        <f>Follow[[#This Row],[CODRASTREIO]]&amp;" B"</f>
        <v>CódRastreio66 B</v>
      </c>
      <c r="D438" s="52" t="str">
        <f>_xlfn.XLOOKUP(Follow[[#This Row],[Id Pedido]],Controle_Pedidos[Número Pedido Cliente],Controle_Pedidos[Loja])</f>
        <v>BV</v>
      </c>
      <c r="E438" s="9">
        <f>_xlfn.XLOOKUP(Follow[[#This Row],[Id Pedido]],Controle_Pedidos[Número Pedido Cliente],Controle_Pedidos[Prazo Entrega])</f>
        <v>45604</v>
      </c>
      <c r="F438" s="9" t="s">
        <v>19433</v>
      </c>
      <c r="G438" s="9" t="s">
        <v>37</v>
      </c>
      <c r="H438" s="52" t="s">
        <v>178</v>
      </c>
      <c r="I438" s="52" t="s">
        <v>178</v>
      </c>
      <c r="J438" s="55">
        <v>45594</v>
      </c>
      <c r="K438" s="54" t="s">
        <v>198</v>
      </c>
      <c r="L438" s="8" t="s">
        <v>124</v>
      </c>
      <c r="M438" s="8" t="s">
        <v>37</v>
      </c>
      <c r="N438" s="52" t="str">
        <f>IF(Follow[[#This Row],[DATAATUALIZAÇÃO]]&lt;=Follow[[#This Row],[Prev Entrega]],"Dentro do Prazo","Fora do Prazo")</f>
        <v>Dentro do Prazo</v>
      </c>
      <c r="O4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29/10/2024, referente ao pedido Nº Pedido 75 Rastreio Pedido 75, agradecemos a preferência e adoraríamos receber sua avaliação, tendo qualquer dúvida estamos à disposição.
Att
Tem tudo Shop</v>
      </c>
    </row>
    <row r="439" spans="1:15">
      <c r="A439" s="52" t="str">
        <f>_xlfn.XLOOKUP(Follow[[#This Row],[CODRASTREIO]],Controle_Pedidos[Cód Rastreamento],Controle_Pedidos[Número Pedido Cliente])</f>
        <v>Pedido 60</v>
      </c>
      <c r="B439" s="2" t="s">
        <v>17493</v>
      </c>
      <c r="C439" s="2" t="str">
        <f>Follow[[#This Row],[CODRASTREIO]]&amp;" B"</f>
        <v>CódRastreio51 B</v>
      </c>
      <c r="D439" s="52" t="str">
        <f>_xlfn.XLOOKUP(Follow[[#This Row],[Id Pedido]],Controle_Pedidos[Número Pedido Cliente],Controle_Pedidos[Loja])</f>
        <v>BV</v>
      </c>
      <c r="E439" s="9">
        <f>_xlfn.XLOOKUP(Follow[[#This Row],[Id Pedido]],Controle_Pedidos[Número Pedido Cliente],Controle_Pedidos[Prazo Entrega])</f>
        <v>45609</v>
      </c>
      <c r="F439" s="9" t="s">
        <v>19433</v>
      </c>
      <c r="G439" s="9" t="s">
        <v>37</v>
      </c>
      <c r="H439" s="52" t="s">
        <v>178</v>
      </c>
      <c r="I439" s="52" t="s">
        <v>178</v>
      </c>
      <c r="J439" s="55">
        <v>45594</v>
      </c>
      <c r="K439" s="54" t="s">
        <v>198</v>
      </c>
      <c r="L439" s="8" t="s">
        <v>124</v>
      </c>
      <c r="M439" s="8" t="s">
        <v>37</v>
      </c>
      <c r="N439" s="52" t="str">
        <f>IF(Follow[[#This Row],[DATAATUALIZAÇÃO]]&lt;=Follow[[#This Row],[Prev Entrega]],"Dentro do Prazo","Fora do Prazo")</f>
        <v>Dentro do Prazo</v>
      </c>
      <c r="O4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29/10/2024, referente ao pedido Nº Pedido 60 Rastreio Pedido 60, agradecemos a preferência e adoraríamos receber sua avaliação, tendo qualquer dúvida estamos à disposição.
Att
Tem tudo Shop</v>
      </c>
    </row>
    <row r="440" spans="1:15">
      <c r="A440" s="52" t="str">
        <f>_xlfn.XLOOKUP(Follow[[#This Row],[CODRASTREIO]],Controle_Pedidos[Cód Rastreamento],Controle_Pedidos[Número Pedido Cliente])</f>
        <v>Pedido 266</v>
      </c>
      <c r="B440" s="2" t="s">
        <v>17701</v>
      </c>
      <c r="C440" s="2" t="str">
        <f>Follow[[#This Row],[CODRASTREIO]]&amp;" B"</f>
        <v>CódRastreio259 B</v>
      </c>
      <c r="D440" s="52" t="str">
        <f>_xlfn.XLOOKUP(Follow[[#This Row],[Id Pedido]],Controle_Pedidos[Número Pedido Cliente],Controle_Pedidos[Loja])</f>
        <v>BV</v>
      </c>
      <c r="E440" s="9">
        <f>_xlfn.XLOOKUP(Follow[[#This Row],[Id Pedido]],Controle_Pedidos[Número Pedido Cliente],Controle_Pedidos[Prazo Entrega])</f>
        <v>45616</v>
      </c>
      <c r="F440" s="9" t="s">
        <v>19433</v>
      </c>
      <c r="G440" s="9" t="s">
        <v>37</v>
      </c>
      <c r="H440" s="52" t="s">
        <v>178</v>
      </c>
      <c r="I440" s="52" t="s">
        <v>178</v>
      </c>
      <c r="J440" s="55">
        <v>45605</v>
      </c>
      <c r="K440" s="54" t="s">
        <v>198</v>
      </c>
      <c r="L440" s="8" t="s">
        <v>124</v>
      </c>
      <c r="M440" s="8" t="s">
        <v>37</v>
      </c>
      <c r="N440" s="52" t="str">
        <f>IF(Follow[[#This Row],[DATAATUALIZAÇÃO]]&lt;=Follow[[#This Row],[Prev Entrega]],"Dentro do Prazo","Fora do Prazo")</f>
        <v>Dentro do Prazo</v>
      </c>
      <c r="O4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09/11/2024, referente ao pedido Nº Pedido 266 Rastreio Pedido 266, agradecemos a preferência e adoraríamos receber sua avaliação, tendo qualquer dúvida estamos à disposição.
Att
Tem tudo Shop</v>
      </c>
    </row>
    <row r="441" spans="1:15">
      <c r="A441" s="52" t="str">
        <f>_xlfn.XLOOKUP(Follow[[#This Row],[CODRASTREIO]],Controle_Pedidos[Cód Rastreamento],Controle_Pedidos[Número Pedido Cliente])</f>
        <v>Pedido 518</v>
      </c>
      <c r="B441" s="2" t="s">
        <v>17945</v>
      </c>
      <c r="C441" s="2" t="str">
        <f>Follow[[#This Row],[CODRASTREIO]]&amp;" B"</f>
        <v>CódRastreio503 B</v>
      </c>
      <c r="D441" s="52" t="str">
        <f>_xlfn.XLOOKUP(Follow[[#This Row],[Id Pedido]],Controle_Pedidos[Número Pedido Cliente],Controle_Pedidos[Loja])</f>
        <v>BV</v>
      </c>
      <c r="E441" s="9">
        <f>_xlfn.XLOOKUP(Follow[[#This Row],[Id Pedido]],Controle_Pedidos[Número Pedido Cliente],Controle_Pedidos[Prazo Entrega])</f>
        <v>45657</v>
      </c>
      <c r="F441" s="9" t="s">
        <v>19433</v>
      </c>
      <c r="G441" s="9" t="s">
        <v>37</v>
      </c>
      <c r="H441" s="52" t="s">
        <v>179</v>
      </c>
      <c r="I441" s="52" t="s">
        <v>178</v>
      </c>
      <c r="J441" s="55">
        <v>45645</v>
      </c>
      <c r="K441" s="52" t="s">
        <v>198</v>
      </c>
      <c r="L441" s="8" t="s">
        <v>124</v>
      </c>
      <c r="M441" s="8" t="s">
        <v>37</v>
      </c>
      <c r="N441" s="52" t="str">
        <f>IF(Follow[[#This Row],[DATAATUALIZAÇÃO]]&lt;=Follow[[#This Row],[Prev Entrega]],"Dentro do Prazo","Fora do Prazo")</f>
        <v>Dentro do Prazo</v>
      </c>
      <c r="O4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19/12/2024, referente ao pedido Nº Pedido 518 Rastreio Pedido 518, agradecemos a preferência e adoraríamos receber sua avaliação, tendo qualquer dúvida estamos à disposição.
Att
Tem tudo Shop</v>
      </c>
    </row>
    <row r="442" spans="1:15">
      <c r="A442" s="52" t="str">
        <f>_xlfn.XLOOKUP(Follow[[#This Row],[CODRASTREIO]],Controle_Pedidos[Cód Rastreamento],Controle_Pedidos[Número Pedido Cliente])</f>
        <v>Pedido 525</v>
      </c>
      <c r="B442" s="2" t="s">
        <v>17952</v>
      </c>
      <c r="C442" s="2" t="str">
        <f>Follow[[#This Row],[CODRASTREIO]]&amp;" B"</f>
        <v>CódRastreio510 B</v>
      </c>
      <c r="D442" s="52" t="str">
        <f>_xlfn.XLOOKUP(Follow[[#This Row],[Id Pedido]],Controle_Pedidos[Número Pedido Cliente],Controle_Pedidos[Loja])</f>
        <v>BV</v>
      </c>
      <c r="E442" s="9">
        <f>_xlfn.XLOOKUP(Follow[[#This Row],[Id Pedido]],Controle_Pedidos[Número Pedido Cliente],Controle_Pedidos[Prazo Entrega])</f>
        <v>45660</v>
      </c>
      <c r="F442" s="9" t="s">
        <v>19433</v>
      </c>
      <c r="G442" s="9" t="s">
        <v>37</v>
      </c>
      <c r="H442" s="52" t="s">
        <v>179</v>
      </c>
      <c r="I442" s="52" t="s">
        <v>178</v>
      </c>
      <c r="J442" s="55">
        <v>45649</v>
      </c>
      <c r="K442" s="52" t="s">
        <v>198</v>
      </c>
      <c r="L442" s="8" t="s">
        <v>124</v>
      </c>
      <c r="M442" s="8" t="s">
        <v>37</v>
      </c>
      <c r="N442" s="52" t="str">
        <f>IF(Follow[[#This Row],[DATAATUALIZAÇÃO]]&lt;=Follow[[#This Row],[Prev Entrega]],"Dentro do Prazo","Fora do Prazo")</f>
        <v>Dentro do Prazo</v>
      </c>
      <c r="O4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23/12/2024, referente ao pedido Nº Pedido 525 Rastreio Pedido 525, agradecemos a preferência e adoraríamos receber sua avaliação, tendo qualquer dúvida estamos à disposição.
Att
Tem tudo Shop</v>
      </c>
    </row>
    <row r="443" spans="1:15">
      <c r="A443" s="52" t="str">
        <f>_xlfn.XLOOKUP(Follow[[#This Row],[CODRASTREIO]],Controle_Pedidos[Cód Rastreamento],Controle_Pedidos[Número Pedido Cliente])</f>
        <v>Pedido 209</v>
      </c>
      <c r="B443" s="2" t="s">
        <v>17644</v>
      </c>
      <c r="C443" s="2" t="str">
        <f>Follow[[#This Row],[CODRASTREIO]]&amp;" B"</f>
        <v>CódRastreio202 B</v>
      </c>
      <c r="D443" s="52" t="str">
        <f>_xlfn.XLOOKUP(Follow[[#This Row],[Id Pedido]],Controle_Pedidos[Número Pedido Cliente],Controle_Pedidos[Loja])</f>
        <v>BV</v>
      </c>
      <c r="E443" s="9">
        <f>_xlfn.XLOOKUP(Follow[[#This Row],[Id Pedido]],Controle_Pedidos[Número Pedido Cliente],Controle_Pedidos[Prazo Entrega])</f>
        <v>45610</v>
      </c>
      <c r="F443" s="9" t="s">
        <v>19433</v>
      </c>
      <c r="G443" s="9" t="s">
        <v>37</v>
      </c>
      <c r="H443" s="52" t="s">
        <v>178</v>
      </c>
      <c r="I443" s="52" t="s">
        <v>178</v>
      </c>
      <c r="J443" s="55">
        <v>45600</v>
      </c>
      <c r="K443" s="54" t="s">
        <v>198</v>
      </c>
      <c r="L443" s="8" t="s">
        <v>124</v>
      </c>
      <c r="M443" s="8" t="s">
        <v>37</v>
      </c>
      <c r="N443" s="52" t="str">
        <f>IF(Follow[[#This Row],[DATAATUALIZAÇÃO]]&lt;=Follow[[#This Row],[Prev Entrega]],"Dentro do Prazo","Fora do Prazo")</f>
        <v>Dentro do Prazo</v>
      </c>
      <c r="O4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04/11/2024, referente ao pedido Nº Pedido 209 Rastreio Pedido 209, agradecemos a preferência e adoraríamos receber sua avaliação, tendo qualquer dúvida estamos à disposição.
Att
Tem tudo Shop</v>
      </c>
    </row>
    <row r="444" spans="1:15">
      <c r="A444" s="52" t="str">
        <f>_xlfn.XLOOKUP(Follow[[#This Row],[CODRASTREIO]],Controle_Pedidos[Cód Rastreamento],Controle_Pedidos[Número Pedido Cliente])</f>
        <v>Pedido 132</v>
      </c>
      <c r="B444" s="2" t="s">
        <v>17567</v>
      </c>
      <c r="C444" s="2" t="str">
        <f>Follow[[#This Row],[CODRASTREIO]]&amp;" B"</f>
        <v>CódRastreio125 B</v>
      </c>
      <c r="D444" s="52" t="str">
        <f>_xlfn.XLOOKUP(Follow[[#This Row],[Id Pedido]],Controle_Pedidos[Número Pedido Cliente],Controle_Pedidos[Loja])</f>
        <v>BV</v>
      </c>
      <c r="E444" s="9">
        <f>_xlfn.XLOOKUP(Follow[[#This Row],[Id Pedido]],Controle_Pedidos[Número Pedido Cliente],Controle_Pedidos[Prazo Entrega])</f>
        <v>45623</v>
      </c>
      <c r="F444" s="9" t="s">
        <v>19433</v>
      </c>
      <c r="G444" s="9" t="s">
        <v>37</v>
      </c>
      <c r="H444" s="52" t="s">
        <v>178</v>
      </c>
      <c r="I444" s="52" t="s">
        <v>178</v>
      </c>
      <c r="J444" s="55">
        <v>45602</v>
      </c>
      <c r="K444" s="54" t="s">
        <v>198</v>
      </c>
      <c r="L444" s="8" t="s">
        <v>124</v>
      </c>
      <c r="M444" s="8" t="s">
        <v>37</v>
      </c>
      <c r="N444" s="52" t="str">
        <f>IF(Follow[[#This Row],[DATAATUALIZAÇÃO]]&lt;=Follow[[#This Row],[Prev Entrega]],"Dentro do Prazo","Fora do Prazo")</f>
        <v>Dentro do Prazo</v>
      </c>
      <c r="O4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06/11/2024, referente ao pedido Nº Pedido 132 Rastreio Pedido 132, agradecemos a preferência e adoraríamos receber sua avaliação, tendo qualquer dúvida estamos à disposição.
Att
Tem tudo Shop</v>
      </c>
    </row>
    <row r="445" spans="1:15">
      <c r="A445" s="52" t="str">
        <f>_xlfn.XLOOKUP(Follow[[#This Row],[CODRASTREIO]],Controle_Pedidos[Cód Rastreamento],Controle_Pedidos[Número Pedido Cliente])</f>
        <v>Pedido 76</v>
      </c>
      <c r="B445" s="2" t="s">
        <v>17509</v>
      </c>
      <c r="C445" s="2" t="str">
        <f>Follow[[#This Row],[CODRASTREIO]]&amp;" B"</f>
        <v>CódRastreio67 B</v>
      </c>
      <c r="D445" s="52" t="str">
        <f>_xlfn.XLOOKUP(Follow[[#This Row],[Id Pedido]],Controle_Pedidos[Número Pedido Cliente],Controle_Pedidos[Loja])</f>
        <v>BV</v>
      </c>
      <c r="E445" s="9">
        <f>_xlfn.XLOOKUP(Follow[[#This Row],[Id Pedido]],Controle_Pedidos[Número Pedido Cliente],Controle_Pedidos[Prazo Entrega])</f>
        <v>45617</v>
      </c>
      <c r="F445" s="9" t="s">
        <v>19433</v>
      </c>
      <c r="G445" s="9" t="s">
        <v>37</v>
      </c>
      <c r="H445" s="52" t="s">
        <v>178</v>
      </c>
      <c r="I445" s="52" t="s">
        <v>178</v>
      </c>
      <c r="J445" s="55">
        <v>45599</v>
      </c>
      <c r="K445" s="54" t="s">
        <v>198</v>
      </c>
      <c r="L445" s="8" t="s">
        <v>124</v>
      </c>
      <c r="M445" s="8" t="s">
        <v>37</v>
      </c>
      <c r="N445" s="52" t="str">
        <f>IF(Follow[[#This Row],[DATAATUALIZAÇÃO]]&lt;=Follow[[#This Row],[Prev Entrega]],"Dentro do Prazo","Fora do Prazo")</f>
        <v>Dentro do Prazo</v>
      </c>
      <c r="O4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03/11/2024, referente ao pedido Nº Pedido 76 Rastreio Pedido 76, agradecemos a preferência e adoraríamos receber sua avaliação, tendo qualquer dúvida estamos à disposição.
Att
Tem tudo Shop</v>
      </c>
    </row>
    <row r="446" spans="1:15">
      <c r="A446" s="52" t="str">
        <f>_xlfn.XLOOKUP(Follow[[#This Row],[CODRASTREIO]],Controle_Pedidos[Cód Rastreamento],Controle_Pedidos[Número Pedido Cliente])</f>
        <v>Pedido 96</v>
      </c>
      <c r="B446" s="2" t="s">
        <v>17531</v>
      </c>
      <c r="C446" s="2" t="str">
        <f>Follow[[#This Row],[CODRASTREIO]]&amp;" B"</f>
        <v>CódRastreio89 B</v>
      </c>
      <c r="D446" s="52" t="str">
        <f>_xlfn.XLOOKUP(Follow[[#This Row],[Id Pedido]],Controle_Pedidos[Número Pedido Cliente],Controle_Pedidos[Loja])</f>
        <v>BV</v>
      </c>
      <c r="E446" s="9">
        <f>_xlfn.XLOOKUP(Follow[[#This Row],[Id Pedido]],Controle_Pedidos[Número Pedido Cliente],Controle_Pedidos[Prazo Entrega])</f>
        <v>45617</v>
      </c>
      <c r="F446" s="9" t="s">
        <v>19433</v>
      </c>
      <c r="G446" s="9" t="s">
        <v>37</v>
      </c>
      <c r="H446" s="52" t="s">
        <v>178</v>
      </c>
      <c r="I446" s="52" t="s">
        <v>178</v>
      </c>
      <c r="J446" s="55">
        <v>45601</v>
      </c>
      <c r="K446" s="54" t="s">
        <v>198</v>
      </c>
      <c r="L446" s="8" t="s">
        <v>124</v>
      </c>
      <c r="M446" s="8" t="s">
        <v>37</v>
      </c>
      <c r="N446" s="52" t="str">
        <f>IF(Follow[[#This Row],[DATAATUALIZAÇÃO]]&lt;=Follow[[#This Row],[Prev Entrega]],"Dentro do Prazo","Fora do Prazo")</f>
        <v>Dentro do Prazo</v>
      </c>
      <c r="O4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96 Rastreio Pedido 96, agradecemos a preferência e adoraríamos receber sua avaliação, tendo qualquer dúvida estamos à disposição.
Att
Tem tudo Shop</v>
      </c>
    </row>
    <row r="447" spans="1:15">
      <c r="A447" s="52" t="str">
        <f>_xlfn.XLOOKUP(Follow[[#This Row],[CODRASTREIO]],Controle_Pedidos[Cód Rastreamento],Controle_Pedidos[Número Pedido Cliente])</f>
        <v>Pedido 565</v>
      </c>
      <c r="B447" s="2" t="s">
        <v>17992</v>
      </c>
      <c r="C447" s="2" t="str">
        <f>Follow[[#This Row],[CODRASTREIO]]&amp;" B"</f>
        <v>CódRastreio550 B</v>
      </c>
      <c r="D447" s="52" t="str">
        <f>_xlfn.XLOOKUP(Follow[[#This Row],[Id Pedido]],Controle_Pedidos[Número Pedido Cliente],Controle_Pedidos[Loja])</f>
        <v>BV</v>
      </c>
      <c r="E447" s="9">
        <f>_xlfn.XLOOKUP(Follow[[#This Row],[Id Pedido]],Controle_Pedidos[Número Pedido Cliente],Controle_Pedidos[Prazo Entrega])</f>
        <v>45666</v>
      </c>
      <c r="F447" s="9" t="s">
        <v>19433</v>
      </c>
      <c r="G447" s="9" t="s">
        <v>37</v>
      </c>
      <c r="H447" s="52" t="s">
        <v>178</v>
      </c>
      <c r="I447" s="52" t="s">
        <v>178</v>
      </c>
      <c r="J447" s="55">
        <v>45649</v>
      </c>
      <c r="K447" s="52" t="s">
        <v>198</v>
      </c>
      <c r="L447" s="8" t="s">
        <v>124</v>
      </c>
      <c r="M447" s="8" t="s">
        <v>37</v>
      </c>
      <c r="N447" s="52" t="str">
        <f>IF(Follow[[#This Row],[DATAATUALIZAÇÃO]]&lt;=Follow[[#This Row],[Prev Entrega]],"Dentro do Prazo","Fora do Prazo")</f>
        <v>Dentro do Prazo</v>
      </c>
      <c r="O44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23/12/2024, referente ao pedido Nº Pedido 565 Rastreio Pedido 565, agradecemos a preferência e adoraríamos receber sua avaliação, tendo qualquer dúvida estamos à disposição.
Att
Tem tudo Shop</v>
      </c>
    </row>
    <row r="448" spans="1:15">
      <c r="A448" s="52" t="str">
        <f>_xlfn.XLOOKUP(Follow[[#This Row],[CODRASTREIO]],Controle_Pedidos[Cód Rastreamento],Controle_Pedidos[Número Pedido Cliente])</f>
        <v>Pedido 468</v>
      </c>
      <c r="B448" s="2" t="s">
        <v>17895</v>
      </c>
      <c r="C448" s="2" t="str">
        <f>Follow[[#This Row],[CODRASTREIO]]&amp;" B"</f>
        <v>CódRastreio453 B</v>
      </c>
      <c r="D448" s="52" t="str">
        <f>_xlfn.XLOOKUP(Follow[[#This Row],[Id Pedido]],Controle_Pedidos[Número Pedido Cliente],Controle_Pedidos[Loja])</f>
        <v>BV</v>
      </c>
      <c r="E448" s="9">
        <f>_xlfn.XLOOKUP(Follow[[#This Row],[Id Pedido]],Controle_Pedidos[Número Pedido Cliente],Controle_Pedidos[Prazo Entrega])</f>
        <v>45654</v>
      </c>
      <c r="F448" s="9" t="s">
        <v>19433</v>
      </c>
      <c r="G448" s="9" t="s">
        <v>37</v>
      </c>
      <c r="H448" s="55" t="s">
        <v>179</v>
      </c>
      <c r="I448" s="55" t="s">
        <v>178</v>
      </c>
      <c r="J448" s="55">
        <v>45639</v>
      </c>
      <c r="K448" s="52" t="s">
        <v>198</v>
      </c>
      <c r="L448" s="8" t="s">
        <v>124</v>
      </c>
      <c r="M448" s="8" t="s">
        <v>37</v>
      </c>
      <c r="N448" s="52" t="str">
        <f>IF(Follow[[#This Row],[DATAATUALIZAÇÃO]]&lt;=Follow[[#This Row],[Prev Entrega]],"Dentro do Prazo","Fora do Prazo")</f>
        <v>Dentro do Prazo</v>
      </c>
      <c r="O4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13/12/2024, referente ao pedido Nº Pedido 468 Rastreio Pedido 468, agradecemos a preferência e adoraríamos receber sua avaliação, tendo qualquer dúvida estamos à disposição.
Att
Tem tudo Shop</v>
      </c>
    </row>
    <row r="449" spans="1:15">
      <c r="A449" s="52" t="str">
        <f>_xlfn.XLOOKUP(Follow[[#This Row],[CODRASTREIO]],Controle_Pedidos[Cód Rastreamento],Controle_Pedidos[Número Pedido Cliente])</f>
        <v>Pedido 506</v>
      </c>
      <c r="B449" s="2" t="s">
        <v>17934</v>
      </c>
      <c r="C449" s="2" t="str">
        <f>Follow[[#This Row],[CODRASTREIO]]&amp;" B"</f>
        <v>CódRastreio492 B</v>
      </c>
      <c r="D449" s="52" t="str">
        <f>_xlfn.XLOOKUP(Follow[[#This Row],[Id Pedido]],Controle_Pedidos[Número Pedido Cliente],Controle_Pedidos[Loja])</f>
        <v>BV</v>
      </c>
      <c r="E449" s="9">
        <f>_xlfn.XLOOKUP(Follow[[#This Row],[Id Pedido]],Controle_Pedidos[Número Pedido Cliente],Controle_Pedidos[Prazo Entrega])</f>
        <v>45668</v>
      </c>
      <c r="F449" s="9" t="s">
        <v>19433</v>
      </c>
      <c r="G449" s="9" t="s">
        <v>37</v>
      </c>
      <c r="H449" s="52" t="s">
        <v>179</v>
      </c>
      <c r="I449" s="52" t="s">
        <v>178</v>
      </c>
      <c r="J449" s="55">
        <v>45660</v>
      </c>
      <c r="K449" s="52" t="s">
        <v>198</v>
      </c>
      <c r="L449" s="8" t="s">
        <v>124</v>
      </c>
      <c r="M449" s="8" t="s">
        <v>37</v>
      </c>
      <c r="N449" s="52" t="str">
        <f>IF(Follow[[#This Row],[DATAATUALIZAÇÃO]]&lt;=Follow[[#This Row],[Prev Entrega]],"Dentro do Prazo","Fora do Prazo")</f>
        <v>Dentro do Prazo</v>
      </c>
      <c r="O4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03/01/2025, referente ao pedido Nº Pedido 506 Rastreio Pedido 506, agradecemos a preferência e adoraríamos receber sua avaliação, tendo qualquer dúvida estamos à disposição.
Att
Tem tudo Shop</v>
      </c>
    </row>
    <row r="450" spans="1:15">
      <c r="A450" s="52" t="str">
        <f>_xlfn.XLOOKUP(Follow[[#This Row],[CODRASTREIO]],Controle_Pedidos[Cód Rastreamento],Controle_Pedidos[Número Pedido Cliente])</f>
        <v>Pedido 479</v>
      </c>
      <c r="B450" s="2" t="s">
        <v>17906</v>
      </c>
      <c r="C450" s="2" t="str">
        <f>Follow[[#This Row],[CODRASTREIO]]&amp;" B"</f>
        <v>CódRastreio464 B</v>
      </c>
      <c r="D450" s="52" t="str">
        <f>_xlfn.XLOOKUP(Follow[[#This Row],[Id Pedido]],Controle_Pedidos[Número Pedido Cliente],Controle_Pedidos[Loja])</f>
        <v>BV</v>
      </c>
      <c r="E450" s="9">
        <f>_xlfn.XLOOKUP(Follow[[#This Row],[Id Pedido]],Controle_Pedidos[Número Pedido Cliente],Controle_Pedidos[Prazo Entrega])</f>
        <v>45657</v>
      </c>
      <c r="F450" s="9" t="s">
        <v>19433</v>
      </c>
      <c r="G450" s="9" t="s">
        <v>37</v>
      </c>
      <c r="H450" s="52" t="s">
        <v>179</v>
      </c>
      <c r="I450" s="52" t="s">
        <v>178</v>
      </c>
      <c r="J450" s="55">
        <v>45643</v>
      </c>
      <c r="K450" s="52" t="s">
        <v>198</v>
      </c>
      <c r="L450" s="8" t="s">
        <v>124</v>
      </c>
      <c r="M450" s="8" t="s">
        <v>37</v>
      </c>
      <c r="N450" s="52" t="str">
        <f>IF(Follow[[#This Row],[DATAATUALIZAÇÃO]]&lt;=Follow[[#This Row],[Prev Entrega]],"Dentro do Prazo","Fora do Prazo")</f>
        <v>Dentro do Prazo</v>
      </c>
      <c r="O45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17/12/2024, referente ao pedido Nº Pedido 479 Rastreio Pedido 479, agradecemos a preferência e adoraríamos receber sua avaliação, tendo qualquer dúvida estamos à disposição.
Att
Tem tudo Shop</v>
      </c>
    </row>
    <row r="451" spans="1:15">
      <c r="A451" s="52" t="str">
        <f>_xlfn.XLOOKUP(Follow[[#This Row],[CODRASTREIO]],Controle_Pedidos[Cód Rastreamento],Controle_Pedidos[Número Pedido Cliente])</f>
        <v>Pedido 183</v>
      </c>
      <c r="B451" s="2" t="s">
        <v>17618</v>
      </c>
      <c r="C451" s="2" t="str">
        <f>Follow[[#This Row],[CODRASTREIO]]&amp;" B"</f>
        <v>CódRastreio176 B</v>
      </c>
      <c r="D451" s="52" t="str">
        <f>_xlfn.XLOOKUP(Follow[[#This Row],[Id Pedido]],Controle_Pedidos[Número Pedido Cliente],Controle_Pedidos[Loja])</f>
        <v>BV</v>
      </c>
      <c r="E451" s="9">
        <f>_xlfn.XLOOKUP(Follow[[#This Row],[Id Pedido]],Controle_Pedidos[Número Pedido Cliente],Controle_Pedidos[Prazo Entrega])</f>
        <v>45618</v>
      </c>
      <c r="F451" s="9" t="s">
        <v>19433</v>
      </c>
      <c r="G451" s="9" t="s">
        <v>37</v>
      </c>
      <c r="H451" s="52" t="s">
        <v>179</v>
      </c>
      <c r="I451" s="52" t="s">
        <v>178</v>
      </c>
      <c r="J451" s="55">
        <v>45608</v>
      </c>
      <c r="K451" s="54" t="s">
        <v>198</v>
      </c>
      <c r="L451" s="8" t="s">
        <v>124</v>
      </c>
      <c r="M451" s="8" t="s">
        <v>37</v>
      </c>
      <c r="N451" s="52" t="str">
        <f>IF(Follow[[#This Row],[DATAATUALIZAÇÃO]]&lt;=Follow[[#This Row],[Prev Entrega]],"Dentro do Prazo","Fora do Prazo")</f>
        <v>Dentro do Prazo</v>
      </c>
      <c r="O4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12/11/2024, referente ao pedido Nº Pedido 183 Rastreio Pedido 183, agradecemos a preferência e adoraríamos receber sua avaliação, tendo qualquer dúvida estamos à disposição.
Att
Tem tudo Shop</v>
      </c>
    </row>
    <row r="452" spans="1:15">
      <c r="A452" s="52" t="str">
        <f>_xlfn.XLOOKUP(Follow[[#This Row],[CODRASTREIO]],Controle_Pedidos[Cód Rastreamento],Controle_Pedidos[Número Pedido Cliente])</f>
        <v>Pedido 593</v>
      </c>
      <c r="B452" s="2" t="s">
        <v>18020</v>
      </c>
      <c r="C452" s="2" t="str">
        <f>Follow[[#This Row],[CODRASTREIO]]&amp;" B"</f>
        <v>CódRastreio578 B</v>
      </c>
      <c r="D452" s="52" t="str">
        <f>_xlfn.XLOOKUP(Follow[[#This Row],[Id Pedido]],Controle_Pedidos[Número Pedido Cliente],Controle_Pedidos[Loja])</f>
        <v>BV</v>
      </c>
      <c r="E452" s="9">
        <f>_xlfn.XLOOKUP(Follow[[#This Row],[Id Pedido]],Controle_Pedidos[Número Pedido Cliente],Controle_Pedidos[Prazo Entrega])</f>
        <v>45672</v>
      </c>
      <c r="F452" s="9" t="s">
        <v>19433</v>
      </c>
      <c r="G452" s="9" t="s">
        <v>37</v>
      </c>
      <c r="H452" s="52" t="s">
        <v>178</v>
      </c>
      <c r="I452" s="52" t="s">
        <v>178</v>
      </c>
      <c r="J452" s="55">
        <v>45656</v>
      </c>
      <c r="K452" s="52" t="s">
        <v>198</v>
      </c>
      <c r="L452" s="8" t="s">
        <v>124</v>
      </c>
      <c r="M452" s="8" t="s">
        <v>37</v>
      </c>
      <c r="N452" s="52" t="str">
        <f>IF(Follow[[#This Row],[DATAATUALIZAÇÃO]]&lt;=Follow[[#This Row],[Prev Entrega]],"Dentro do Prazo","Fora do Prazo")</f>
        <v>Dentro do Prazo</v>
      </c>
      <c r="O4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30/12/2024, referente ao pedido Nº Pedido 593 Rastreio Pedido 593, agradecemos a preferência e adoraríamos receber sua avaliação, tendo qualquer dúvida estamos à disposição.
Att
Tem tudo Shop</v>
      </c>
    </row>
    <row r="453" spans="1:15">
      <c r="A453" s="52" t="str">
        <f>_xlfn.XLOOKUP(Follow[[#This Row],[CODRASTREIO]],Controle_Pedidos[Cód Rastreamento],Controle_Pedidos[Número Pedido Cliente])</f>
        <v>Pedido 407</v>
      </c>
      <c r="B453" s="2" t="s">
        <v>17838</v>
      </c>
      <c r="C453" s="2" t="str">
        <f>Follow[[#This Row],[CODRASTREIO]]&amp;" B"</f>
        <v>CódRastreio396 B</v>
      </c>
      <c r="D453" s="52" t="str">
        <f>_xlfn.XLOOKUP(Follow[[#This Row],[Id Pedido]],Controle_Pedidos[Número Pedido Cliente],Controle_Pedidos[Loja])</f>
        <v>BV</v>
      </c>
      <c r="E453" s="9">
        <f>_xlfn.XLOOKUP(Follow[[#This Row],[Id Pedido]],Controle_Pedidos[Número Pedido Cliente],Controle_Pedidos[Prazo Entrega])</f>
        <v>45637</v>
      </c>
      <c r="F453" s="9" t="s">
        <v>19433</v>
      </c>
      <c r="G453" s="9" t="s">
        <v>37</v>
      </c>
      <c r="H453" s="52" t="s">
        <v>179</v>
      </c>
      <c r="I453" s="52" t="s">
        <v>178</v>
      </c>
      <c r="J453" s="55">
        <v>45623</v>
      </c>
      <c r="K453" s="54" t="s">
        <v>198</v>
      </c>
      <c r="L453" s="8" t="s">
        <v>124</v>
      </c>
      <c r="M453" s="8" t="s">
        <v>37</v>
      </c>
      <c r="N453" s="52" t="str">
        <f>IF(Follow[[#This Row],[DATAATUALIZAÇÃO]]&lt;=Follow[[#This Row],[Prev Entrega]],"Dentro do Prazo","Fora do Prazo")</f>
        <v>Dentro do Prazo</v>
      </c>
      <c r="O4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27/11/2024, referente ao pedido Nº Pedido 407 Rastreio Pedido 407, agradecemos a preferência e adoraríamos receber sua avaliação, tendo qualquer dúvida estamos à disposição.
Att
Tem tudo Shop</v>
      </c>
    </row>
    <row r="454" spans="1:15">
      <c r="A454" s="52" t="str">
        <f>_xlfn.XLOOKUP(Follow[[#This Row],[CODRASTREIO]],Controle_Pedidos[Cód Rastreamento],Controle_Pedidos[Número Pedido Cliente])</f>
        <v>Pedido 205</v>
      </c>
      <c r="B454" s="2" t="s">
        <v>17640</v>
      </c>
      <c r="C454" s="2" t="str">
        <f>Follow[[#This Row],[CODRASTREIO]]&amp;" B"</f>
        <v>CódRastreio198 B</v>
      </c>
      <c r="D454" s="52" t="str">
        <f>_xlfn.XLOOKUP(Follow[[#This Row],[Id Pedido]],Controle_Pedidos[Número Pedido Cliente],Controle_Pedidos[Loja])</f>
        <v>BV</v>
      </c>
      <c r="E454" s="9">
        <f>_xlfn.XLOOKUP(Follow[[#This Row],[Id Pedido]],Controle_Pedidos[Número Pedido Cliente],Controle_Pedidos[Prazo Entrega])</f>
        <v>45626</v>
      </c>
      <c r="F454" s="9" t="s">
        <v>19433</v>
      </c>
      <c r="G454" s="9" t="s">
        <v>37</v>
      </c>
      <c r="H454" s="52" t="s">
        <v>178</v>
      </c>
      <c r="I454" s="52" t="s">
        <v>178</v>
      </c>
      <c r="J454" s="55">
        <v>45611</v>
      </c>
      <c r="K454" s="54" t="s">
        <v>198</v>
      </c>
      <c r="L454" s="8" t="s">
        <v>124</v>
      </c>
      <c r="M454" s="8" t="s">
        <v>37</v>
      </c>
      <c r="N454" s="52" t="str">
        <f>IF(Follow[[#This Row],[DATAATUALIZAÇÃO]]&lt;=Follow[[#This Row],[Prev Entrega]],"Dentro do Prazo","Fora do Prazo")</f>
        <v>Dentro do Prazo</v>
      </c>
      <c r="O45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15/11/2024, referente ao pedido Nº Pedido 205 Rastreio Pedido 205, agradecemos a preferência e adoraríamos receber sua avaliação, tendo qualquer dúvida estamos à disposição.
Att
Tem tudo Shop</v>
      </c>
    </row>
    <row r="455" spans="1:15">
      <c r="A455" s="52" t="str">
        <f>_xlfn.XLOOKUP(Follow[[#This Row],[CODRASTREIO]],Controle_Pedidos[Cód Rastreamento],Controle_Pedidos[Número Pedido Cliente])</f>
        <v>Pedido 432</v>
      </c>
      <c r="B455" s="2" t="s">
        <v>17860</v>
      </c>
      <c r="C455" s="2" t="str">
        <f>Follow[[#This Row],[CODRASTREIO]]&amp;" B"</f>
        <v>CódRastreio418 B</v>
      </c>
      <c r="D455" s="52" t="str">
        <f>_xlfn.XLOOKUP(Follow[[#This Row],[Id Pedido]],Controle_Pedidos[Número Pedido Cliente],Controle_Pedidos[Loja])</f>
        <v>BV</v>
      </c>
      <c r="E455" s="9">
        <f>_xlfn.XLOOKUP(Follow[[#This Row],[Id Pedido]],Controle_Pedidos[Número Pedido Cliente],Controle_Pedidos[Prazo Entrega])</f>
        <v>45646</v>
      </c>
      <c r="F455" s="9" t="s">
        <v>19433</v>
      </c>
      <c r="G455" s="9" t="s">
        <v>37</v>
      </c>
      <c r="H455" s="55" t="s">
        <v>179</v>
      </c>
      <c r="I455" s="55" t="s">
        <v>178</v>
      </c>
      <c r="J455" s="55">
        <v>45637</v>
      </c>
      <c r="K455" s="52" t="s">
        <v>198</v>
      </c>
      <c r="L455" s="8" t="s">
        <v>124</v>
      </c>
      <c r="M455" s="8" t="s">
        <v>37</v>
      </c>
      <c r="N455" s="52" t="str">
        <f>IF(Follow[[#This Row],[DATAATUALIZAÇÃO]]&lt;=Follow[[#This Row],[Prev Entrega]],"Dentro do Prazo","Fora do Prazo")</f>
        <v>Dentro do Prazo</v>
      </c>
      <c r="O4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432 Rastreio Pedido 432, agradecemos a preferência e adoraríamos receber sua avaliação, tendo qualquer dúvida estamos à disposição.
Att
Tem tudo Shop</v>
      </c>
    </row>
    <row r="456" spans="1:15">
      <c r="A456" s="52" t="str">
        <f>_xlfn.XLOOKUP(Follow[[#This Row],[CODRASTREIO]],Controle_Pedidos[Cód Rastreamento],Controle_Pedidos[Número Pedido Cliente])</f>
        <v>Pedido 372</v>
      </c>
      <c r="B456" s="2" t="s">
        <v>17804</v>
      </c>
      <c r="C456" s="2" t="str">
        <f>Follow[[#This Row],[CODRASTREIO]]&amp;" B"</f>
        <v>CódRastreio362 B</v>
      </c>
      <c r="D456" s="52" t="str">
        <f>_xlfn.XLOOKUP(Follow[[#This Row],[Id Pedido]],Controle_Pedidos[Número Pedido Cliente],Controle_Pedidos[Loja])</f>
        <v>BV</v>
      </c>
      <c r="E456" s="9">
        <f>_xlfn.XLOOKUP(Follow[[#This Row],[Id Pedido]],Controle_Pedidos[Número Pedido Cliente],Controle_Pedidos[Prazo Entrega])</f>
        <v>45639</v>
      </c>
      <c r="F456" s="9" t="s">
        <v>19433</v>
      </c>
      <c r="G456" s="9" t="s">
        <v>37</v>
      </c>
      <c r="H456" s="55" t="s">
        <v>179</v>
      </c>
      <c r="I456" s="55" t="s">
        <v>178</v>
      </c>
      <c r="J456" s="55">
        <v>45639</v>
      </c>
      <c r="K456" s="52" t="s">
        <v>198</v>
      </c>
      <c r="L456" s="8" t="s">
        <v>124</v>
      </c>
      <c r="M456" s="8" t="s">
        <v>199</v>
      </c>
      <c r="N456" s="52" t="str">
        <f>IF(Follow[[#This Row],[DATAATUALIZAÇÃO]]&lt;=Follow[[#This Row],[Prev Entrega]],"Dentro do Prazo","Fora do Prazo")</f>
        <v>Dentro do Prazo</v>
      </c>
      <c r="O4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13/12/2024, referente ao pedido Nº Pedido 372 Rastreio Pedido 372, agradecemos a preferência e adoraríamos receber sua avaliação, tendo qualquer dúvida estamos à disposição.
Att
Tem tudo Shop</v>
      </c>
    </row>
    <row r="457" spans="1:15">
      <c r="A457" s="52" t="str">
        <f>_xlfn.XLOOKUP(Follow[[#This Row],[CODRASTREIO]],Controle_Pedidos[Cód Rastreamento],Controle_Pedidos[Número Pedido Cliente])</f>
        <v>Pedido 52</v>
      </c>
      <c r="B457" s="2" t="s">
        <v>17485</v>
      </c>
      <c r="C457" s="2" t="str">
        <f>Follow[[#This Row],[CODRASTREIO]]&amp;" B"</f>
        <v>CódRastreio43 B</v>
      </c>
      <c r="D457" s="52" t="str">
        <f>_xlfn.XLOOKUP(Follow[[#This Row],[Id Pedido]],Controle_Pedidos[Número Pedido Cliente],Controle_Pedidos[Loja])</f>
        <v>BV</v>
      </c>
      <c r="E457" s="9">
        <f>_xlfn.XLOOKUP(Follow[[#This Row],[Id Pedido]],Controle_Pedidos[Número Pedido Cliente],Controle_Pedidos[Prazo Entrega])</f>
        <v>45615</v>
      </c>
      <c r="F457" s="9" t="s">
        <v>19433</v>
      </c>
      <c r="G457" s="9" t="s">
        <v>37</v>
      </c>
      <c r="H457" s="52" t="s">
        <v>178</v>
      </c>
      <c r="I457" s="52" t="s">
        <v>178</v>
      </c>
      <c r="J457" s="55">
        <v>45594</v>
      </c>
      <c r="K457" s="54" t="s">
        <v>198</v>
      </c>
      <c r="L457" s="8" t="s">
        <v>124</v>
      </c>
      <c r="M457" s="8" t="s">
        <v>37</v>
      </c>
      <c r="N457" s="52" t="str">
        <f>IF(Follow[[#This Row],[DATAATUALIZAÇÃO]]&lt;=Follow[[#This Row],[Prev Entrega]],"Dentro do Prazo","Fora do Prazo")</f>
        <v>Dentro do Prazo</v>
      </c>
      <c r="O4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29/10/2024, referente ao pedido Nº Pedido 52 Rastreio Pedido 52, agradecemos a preferência e adoraríamos receber sua avaliação, tendo qualquer dúvida estamos à disposição.
Att
Tem tudo Shop</v>
      </c>
    </row>
    <row r="458" spans="1:15">
      <c r="A458" s="52" t="str">
        <f>_xlfn.XLOOKUP(Follow[[#This Row],[CODRASTREIO]],Controle_Pedidos[Cód Rastreamento],Controle_Pedidos[Número Pedido Cliente])</f>
        <v>Pedido 72</v>
      </c>
      <c r="B458" s="2" t="s">
        <v>17505</v>
      </c>
      <c r="C458" s="2" t="str">
        <f>Follow[[#This Row],[CODRASTREIO]]&amp;" B"</f>
        <v>CódRastreio63 B</v>
      </c>
      <c r="D458" s="52" t="str">
        <f>_xlfn.XLOOKUP(Follow[[#This Row],[Id Pedido]],Controle_Pedidos[Número Pedido Cliente],Controle_Pedidos[Loja])</f>
        <v>BV</v>
      </c>
      <c r="E458" s="9">
        <f>_xlfn.XLOOKUP(Follow[[#This Row],[Id Pedido]],Controle_Pedidos[Número Pedido Cliente],Controle_Pedidos[Prazo Entrega])</f>
        <v>45610</v>
      </c>
      <c r="F458" s="9" t="s">
        <v>19433</v>
      </c>
      <c r="G458" s="9" t="s">
        <v>37</v>
      </c>
      <c r="H458" s="52" t="s">
        <v>178</v>
      </c>
      <c r="I458" s="52" t="s">
        <v>178</v>
      </c>
      <c r="J458" s="55">
        <v>45608</v>
      </c>
      <c r="K458" s="54" t="s">
        <v>198</v>
      </c>
      <c r="L458" s="8" t="s">
        <v>124</v>
      </c>
      <c r="M458" s="8" t="s">
        <v>37</v>
      </c>
      <c r="N458" s="52" t="str">
        <f>IF(Follow[[#This Row],[DATAATUALIZAÇÃO]]&lt;=Follow[[#This Row],[Prev Entrega]],"Dentro do Prazo","Fora do Prazo")</f>
        <v>Dentro do Prazo</v>
      </c>
      <c r="O4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12/11/2024, referente ao pedido Nº Pedido 72 Rastreio Pedido 72, agradecemos a preferência e adoraríamos receber sua avaliação, tendo qualquer dúvida estamos à disposição.
Att
Tem tudo Shop</v>
      </c>
    </row>
    <row r="459" spans="1:15">
      <c r="A459" s="52" t="str">
        <f>_xlfn.XLOOKUP(Follow[[#This Row],[CODRASTREIO]],Controle_Pedidos[Cód Rastreamento],Controle_Pedidos[Número Pedido Cliente])</f>
        <v>Pedido 601</v>
      </c>
      <c r="B459" s="2" t="s">
        <v>18028</v>
      </c>
      <c r="C459" s="2" t="str">
        <f>Follow[[#This Row],[CODRASTREIO]]&amp;" B"</f>
        <v>CódRastreio586 B</v>
      </c>
      <c r="D459" s="52" t="str">
        <f>_xlfn.XLOOKUP(Follow[[#This Row],[Id Pedido]],Controle_Pedidos[Número Pedido Cliente],Controle_Pedidos[Loja])</f>
        <v>BV</v>
      </c>
      <c r="E459" s="9">
        <f>_xlfn.XLOOKUP(Follow[[#This Row],[Id Pedido]],Controle_Pedidos[Número Pedido Cliente],Controle_Pedidos[Prazo Entrega])</f>
        <v>45679</v>
      </c>
      <c r="F459" s="9" t="s">
        <v>19433</v>
      </c>
      <c r="G459" s="9" t="s">
        <v>37</v>
      </c>
      <c r="H459" s="52" t="s">
        <v>179</v>
      </c>
      <c r="I459" s="52" t="s">
        <v>178</v>
      </c>
      <c r="J459" s="55">
        <v>45665</v>
      </c>
      <c r="K459" s="52" t="s">
        <v>198</v>
      </c>
      <c r="L459" s="8" t="s">
        <v>124</v>
      </c>
      <c r="M459" s="8" t="s">
        <v>37</v>
      </c>
      <c r="N459" s="52" t="str">
        <f>IF(Follow[[#This Row],[DATAATUALIZAÇÃO]]&lt;=Follow[[#This Row],[Prev Entrega]],"Dentro do Prazo","Fora do Prazo")</f>
        <v>Dentro do Prazo</v>
      </c>
      <c r="O4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601 Rastreio Pedido 601, agradecemos a preferência e adoraríamos receber sua avaliação, tendo qualquer dúvida estamos à disposição.
Att
Tem tudo Shop</v>
      </c>
    </row>
    <row r="460" spans="1:15">
      <c r="A460" s="52" t="str">
        <f>_xlfn.XLOOKUP(Follow[[#This Row],[CODRASTREIO]],Controle_Pedidos[Cód Rastreamento],Controle_Pedidos[Número Pedido Cliente])</f>
        <v>Pedido 533</v>
      </c>
      <c r="B460" s="2" t="s">
        <v>17960</v>
      </c>
      <c r="C460" s="2" t="str">
        <f>Follow[[#This Row],[CODRASTREIO]]&amp;" B"</f>
        <v>CódRastreio518 B</v>
      </c>
      <c r="D460" s="52" t="str">
        <f>_xlfn.XLOOKUP(Follow[[#This Row],[Id Pedido]],Controle_Pedidos[Número Pedido Cliente],Controle_Pedidos[Loja])</f>
        <v>BV</v>
      </c>
      <c r="E460" s="9">
        <f>_xlfn.XLOOKUP(Follow[[#This Row],[Id Pedido]],Controle_Pedidos[Número Pedido Cliente],Controle_Pedidos[Prazo Entrega])</f>
        <v>45675</v>
      </c>
      <c r="F460" s="9" t="s">
        <v>19433</v>
      </c>
      <c r="G460" s="9" t="s">
        <v>37</v>
      </c>
      <c r="H460" s="52" t="s">
        <v>179</v>
      </c>
      <c r="I460" s="52" t="s">
        <v>178</v>
      </c>
      <c r="J460" s="55">
        <v>45660</v>
      </c>
      <c r="K460" s="52" t="s">
        <v>198</v>
      </c>
      <c r="L460" s="8" t="s">
        <v>124</v>
      </c>
      <c r="M460" s="8" t="s">
        <v>37</v>
      </c>
      <c r="N460" s="52" t="str">
        <f>IF(Follow[[#This Row],[DATAATUALIZAÇÃO]]&lt;=Follow[[#This Row],[Prev Entrega]],"Dentro do Prazo","Fora do Prazo")</f>
        <v>Dentro do Prazo</v>
      </c>
      <c r="O4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03/01/2025, referente ao pedido Nº Pedido 533 Rastreio Pedido 533, agradecemos a preferência e adoraríamos receber sua avaliação, tendo qualquer dúvida estamos à disposição.
Att
Tem tudo Shop</v>
      </c>
    </row>
    <row r="461" spans="1:15">
      <c r="A461" s="52" t="str">
        <f>_xlfn.XLOOKUP(Follow[[#This Row],[CODRASTREIO]],Controle_Pedidos[Cód Rastreamento],Controle_Pedidos[Número Pedido Cliente])</f>
        <v>Pedido 358</v>
      </c>
      <c r="B461" s="2" t="s">
        <v>17793</v>
      </c>
      <c r="C461" s="2" t="str">
        <f>Follow[[#This Row],[CODRASTREIO]]&amp;" B"</f>
        <v>CódRastreio351 B</v>
      </c>
      <c r="D461" s="52" t="str">
        <f>_xlfn.XLOOKUP(Follow[[#This Row],[Id Pedido]],Controle_Pedidos[Número Pedido Cliente],Controle_Pedidos[Loja])</f>
        <v>BV</v>
      </c>
      <c r="E461" s="9">
        <f>_xlfn.XLOOKUP(Follow[[#This Row],[Id Pedido]],Controle_Pedidos[Número Pedido Cliente],Controle_Pedidos[Prazo Entrega])</f>
        <v>45625</v>
      </c>
      <c r="F461" s="9" t="s">
        <v>19433</v>
      </c>
      <c r="G461" s="9" t="s">
        <v>37</v>
      </c>
      <c r="H461" s="52" t="s">
        <v>178</v>
      </c>
      <c r="I461" s="52" t="s">
        <v>178</v>
      </c>
      <c r="J461" s="55">
        <v>45619</v>
      </c>
      <c r="K461" s="54" t="s">
        <v>198</v>
      </c>
      <c r="L461" s="8" t="s">
        <v>124</v>
      </c>
      <c r="M461" s="8" t="s">
        <v>37</v>
      </c>
      <c r="N461" s="52" t="str">
        <f>IF(Follow[[#This Row],[DATAATUALIZAÇÃO]]&lt;=Follow[[#This Row],[Prev Entrega]],"Dentro do Prazo","Fora do Prazo")</f>
        <v>Dentro do Prazo</v>
      </c>
      <c r="O4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23/11/2024, referente ao pedido Nº Pedido 358 Rastreio Pedido 358, agradecemos a preferência e adoraríamos receber sua avaliação, tendo qualquer dúvida estamos à disposição.
Att
Tem tudo Shop</v>
      </c>
    </row>
    <row r="462" spans="1:15">
      <c r="A462" s="52" t="str">
        <f>_xlfn.XLOOKUP(Follow[[#This Row],[CODRASTREIO]],Controle_Pedidos[Cód Rastreamento],Controle_Pedidos[Número Pedido Cliente])</f>
        <v>Pedido 311</v>
      </c>
      <c r="B462" s="2" t="s">
        <v>17746</v>
      </c>
      <c r="C462" s="2" t="str">
        <f>Follow[[#This Row],[CODRASTREIO]]&amp;" B"</f>
        <v>CódRastreio304 B</v>
      </c>
      <c r="D462" s="52" t="str">
        <f>_xlfn.XLOOKUP(Follow[[#This Row],[Id Pedido]],Controle_Pedidos[Número Pedido Cliente],Controle_Pedidos[Loja])</f>
        <v>BV</v>
      </c>
      <c r="E462" s="9">
        <f>_xlfn.XLOOKUP(Follow[[#This Row],[Id Pedido]],Controle_Pedidos[Número Pedido Cliente],Controle_Pedidos[Prazo Entrega])</f>
        <v>45624</v>
      </c>
      <c r="F462" s="9" t="s">
        <v>19433</v>
      </c>
      <c r="G462" s="9" t="s">
        <v>37</v>
      </c>
      <c r="H462" s="52" t="s">
        <v>178</v>
      </c>
      <c r="I462" s="52" t="s">
        <v>178</v>
      </c>
      <c r="J462" s="55">
        <v>45612</v>
      </c>
      <c r="K462" s="54" t="s">
        <v>198</v>
      </c>
      <c r="L462" s="8" t="s">
        <v>124</v>
      </c>
      <c r="M462" s="8" t="s">
        <v>37</v>
      </c>
      <c r="N462" s="52" t="str">
        <f>IF(Follow[[#This Row],[DATAATUALIZAÇÃO]]&lt;=Follow[[#This Row],[Prev Entrega]],"Dentro do Prazo","Fora do Prazo")</f>
        <v>Dentro do Prazo</v>
      </c>
      <c r="O4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16/11/2024, referente ao pedido Nº Pedido 311 Rastreio Pedido 311, agradecemos a preferência e adoraríamos receber sua avaliação, tendo qualquer dúvida estamos à disposição.
Att
Tem tudo Shop</v>
      </c>
    </row>
    <row r="463" spans="1:15">
      <c r="A463" s="52" t="str">
        <f>_xlfn.XLOOKUP(Follow[[#This Row],[CODRASTREIO]],Controle_Pedidos[Cód Rastreamento],Controle_Pedidos[Número Pedido Cliente])</f>
        <v>Pedido 45</v>
      </c>
      <c r="B463" s="2" t="s">
        <v>17478</v>
      </c>
      <c r="C463" s="2" t="str">
        <f>Follow[[#This Row],[CODRASTREIO]]&amp;" B"</f>
        <v>CódRastreio36 B</v>
      </c>
      <c r="D463" s="52" t="str">
        <f>_xlfn.XLOOKUP(Follow[[#This Row],[Id Pedido]],Controle_Pedidos[Número Pedido Cliente],Controle_Pedidos[Loja])</f>
        <v>BV</v>
      </c>
      <c r="E463" s="9">
        <f>_xlfn.XLOOKUP(Follow[[#This Row],[Id Pedido]],Controle_Pedidos[Número Pedido Cliente],Controle_Pedidos[Prazo Entrega])</f>
        <v>45608</v>
      </c>
      <c r="F463" s="9" t="s">
        <v>19433</v>
      </c>
      <c r="G463" s="9" t="s">
        <v>37</v>
      </c>
      <c r="H463" s="52" t="s">
        <v>178</v>
      </c>
      <c r="I463" s="52" t="s">
        <v>178</v>
      </c>
      <c r="J463" s="55">
        <v>45593</v>
      </c>
      <c r="K463" s="54" t="s">
        <v>198</v>
      </c>
      <c r="L463" s="8" t="s">
        <v>124</v>
      </c>
      <c r="M463" s="8" t="s">
        <v>37</v>
      </c>
      <c r="N463" s="52" t="str">
        <f>IF(Follow[[#This Row],[DATAATUALIZAÇÃO]]&lt;=Follow[[#This Row],[Prev Entrega]],"Dentro do Prazo","Fora do Prazo")</f>
        <v>Dentro do Prazo</v>
      </c>
      <c r="O4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28/10/2024, referente ao pedido Nº Pedido 45 Rastreio Pedido 45, agradecemos a preferência e adoraríamos receber sua avaliação, tendo qualquer dúvida estamos à disposição.
Att
Tem tudo Shop</v>
      </c>
    </row>
    <row r="464" spans="1:15">
      <c r="A464" s="52" t="str">
        <f>_xlfn.XLOOKUP(Follow[[#This Row],[CODRASTREIO]],Controle_Pedidos[Cód Rastreamento],Controle_Pedidos[Número Pedido Cliente])</f>
        <v>Pedido 204</v>
      </c>
      <c r="B464" s="2" t="s">
        <v>17639</v>
      </c>
      <c r="C464" s="2" t="str">
        <f>Follow[[#This Row],[CODRASTREIO]]&amp;" B"</f>
        <v>CódRastreio197 B</v>
      </c>
      <c r="D464" s="52" t="str">
        <f>_xlfn.XLOOKUP(Follow[[#This Row],[Id Pedido]],Controle_Pedidos[Número Pedido Cliente],Controle_Pedidos[Loja])</f>
        <v>BV</v>
      </c>
      <c r="E464" s="9">
        <f>_xlfn.XLOOKUP(Follow[[#This Row],[Id Pedido]],Controle_Pedidos[Número Pedido Cliente],Controle_Pedidos[Prazo Entrega])</f>
        <v>45615</v>
      </c>
      <c r="F464" s="9" t="s">
        <v>19433</v>
      </c>
      <c r="G464" s="9" t="s">
        <v>37</v>
      </c>
      <c r="H464" s="52" t="s">
        <v>178</v>
      </c>
      <c r="I464" s="52" t="s">
        <v>178</v>
      </c>
      <c r="J464" s="55">
        <v>45601</v>
      </c>
      <c r="K464" s="54" t="s">
        <v>198</v>
      </c>
      <c r="L464" s="8" t="s">
        <v>124</v>
      </c>
      <c r="M464" s="8" t="s">
        <v>37</v>
      </c>
      <c r="N464" s="52" t="str">
        <f>IF(Follow[[#This Row],[DATAATUALIZAÇÃO]]&lt;=Follow[[#This Row],[Prev Entrega]],"Dentro do Prazo","Fora do Prazo")</f>
        <v>Dentro do Prazo</v>
      </c>
      <c r="O4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204 Rastreio Pedido 204, agradecemos a preferência e adoraríamos receber sua avaliação, tendo qualquer dúvida estamos à disposição.
Att
Tem tudo Shop</v>
      </c>
    </row>
    <row r="465" spans="1:15">
      <c r="A465" s="52" t="str">
        <f>_xlfn.XLOOKUP(Follow[[#This Row],[CODRASTREIO]],Controle_Pedidos[Cód Rastreamento],Controle_Pedidos[Número Pedido Cliente])</f>
        <v>Pedido 247</v>
      </c>
      <c r="B465" s="2" t="s">
        <v>17682</v>
      </c>
      <c r="C465" s="2" t="str">
        <f>Follow[[#This Row],[CODRASTREIO]]&amp;" B"</f>
        <v>CódRastreio240 B</v>
      </c>
      <c r="D465" s="52" t="str">
        <f>_xlfn.XLOOKUP(Follow[[#This Row],[Id Pedido]],Controle_Pedidos[Número Pedido Cliente],Controle_Pedidos[Loja])</f>
        <v>BV</v>
      </c>
      <c r="E465" s="9">
        <f>_xlfn.XLOOKUP(Follow[[#This Row],[Id Pedido]],Controle_Pedidos[Número Pedido Cliente],Controle_Pedidos[Prazo Entrega])</f>
        <v>45626</v>
      </c>
      <c r="F465" s="9" t="s">
        <v>19433</v>
      </c>
      <c r="G465" s="9" t="s">
        <v>37</v>
      </c>
      <c r="H465" s="52" t="s">
        <v>179</v>
      </c>
      <c r="I465" s="52" t="s">
        <v>178</v>
      </c>
      <c r="J465" s="55">
        <v>45612</v>
      </c>
      <c r="K465" s="54" t="s">
        <v>198</v>
      </c>
      <c r="L465" s="8" t="s">
        <v>124</v>
      </c>
      <c r="M465" s="8" t="s">
        <v>37</v>
      </c>
      <c r="N465" s="52" t="str">
        <f>IF(Follow[[#This Row],[DATAATUALIZAÇÃO]]&lt;=Follow[[#This Row],[Prev Entrega]],"Dentro do Prazo","Fora do Prazo")</f>
        <v>Dentro do Prazo</v>
      </c>
      <c r="O4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16/11/2024, referente ao pedido Nº Pedido 247 Rastreio Pedido 247, agradecemos a preferência e adoraríamos receber sua avaliação, tendo qualquer dúvida estamos à disposição.
Att
Tem tudo Shop</v>
      </c>
    </row>
    <row r="466" spans="1:15">
      <c r="A466" s="52" t="str">
        <f>_xlfn.XLOOKUP(Follow[[#This Row],[CODRASTREIO]],Controle_Pedidos[Cód Rastreamento],Controle_Pedidos[Número Pedido Cliente])</f>
        <v>Pedido 600</v>
      </c>
      <c r="B466" s="2" t="s">
        <v>18027</v>
      </c>
      <c r="C466" s="2" t="str">
        <f>Follow[[#This Row],[CODRASTREIO]]&amp;" B"</f>
        <v>CódRastreio585 B</v>
      </c>
      <c r="D466" s="52" t="str">
        <f>_xlfn.XLOOKUP(Follow[[#This Row],[Id Pedido]],Controle_Pedidos[Número Pedido Cliente],Controle_Pedidos[Loja])</f>
        <v>BV</v>
      </c>
      <c r="E466" s="9">
        <f>_xlfn.XLOOKUP(Follow[[#This Row],[Id Pedido]],Controle_Pedidos[Número Pedido Cliente],Controle_Pedidos[Prazo Entrega])</f>
        <v>45673</v>
      </c>
      <c r="F466" s="9" t="s">
        <v>19433</v>
      </c>
      <c r="G466" s="9" t="s">
        <v>37</v>
      </c>
      <c r="H466" s="52" t="s">
        <v>178</v>
      </c>
      <c r="I466" s="52" t="s">
        <v>178</v>
      </c>
      <c r="J466" s="55">
        <v>45660</v>
      </c>
      <c r="K466" s="52" t="s">
        <v>198</v>
      </c>
      <c r="L466" s="8" t="s">
        <v>124</v>
      </c>
      <c r="M466" s="8" t="s">
        <v>37</v>
      </c>
      <c r="N466" s="52" t="str">
        <f>IF(Follow[[#This Row],[DATAATUALIZAÇÃO]]&lt;=Follow[[#This Row],[Prev Entrega]],"Dentro do Prazo","Fora do Prazo")</f>
        <v>Dentro do Prazo</v>
      </c>
      <c r="O4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03/01/2025, referente ao pedido Nº Pedido 600 Rastreio Pedido 600, agradecemos a preferência e adoraríamos receber sua avaliação, tendo qualquer dúvida estamos à disposição.
Att
Tem tudo Shop</v>
      </c>
    </row>
    <row r="467" spans="1:15">
      <c r="A467" s="52" t="str">
        <f>_xlfn.XLOOKUP(Follow[[#This Row],[CODRASTREIO]],Controle_Pedidos[Cód Rastreamento],Controle_Pedidos[Número Pedido Cliente])</f>
        <v>Pedido 126</v>
      </c>
      <c r="B467" s="2" t="s">
        <v>17561</v>
      </c>
      <c r="C467" s="2" t="str">
        <f>Follow[[#This Row],[CODRASTREIO]]&amp;" B"</f>
        <v>CódRastreio119 B</v>
      </c>
      <c r="D467" s="52" t="str">
        <f>_xlfn.XLOOKUP(Follow[[#This Row],[Id Pedido]],Controle_Pedidos[Número Pedido Cliente],Controle_Pedidos[Loja])</f>
        <v>BV</v>
      </c>
      <c r="E467" s="9">
        <f>_xlfn.XLOOKUP(Follow[[#This Row],[Id Pedido]],Controle_Pedidos[Número Pedido Cliente],Controle_Pedidos[Prazo Entrega])</f>
        <v>45605</v>
      </c>
      <c r="F467" s="9" t="s">
        <v>19433</v>
      </c>
      <c r="G467" s="9" t="s">
        <v>37</v>
      </c>
      <c r="H467" s="52" t="s">
        <v>178</v>
      </c>
      <c r="I467" s="52" t="s">
        <v>178</v>
      </c>
      <c r="J467" s="55">
        <v>45594</v>
      </c>
      <c r="K467" s="54" t="s">
        <v>198</v>
      </c>
      <c r="L467" s="8" t="s">
        <v>124</v>
      </c>
      <c r="M467" s="8" t="s">
        <v>37</v>
      </c>
      <c r="N467" s="52" t="str">
        <f>IF(Follow[[#This Row],[DATAATUALIZAÇÃO]]&lt;=Follow[[#This Row],[Prev Entrega]],"Dentro do Prazo","Fora do Prazo")</f>
        <v>Dentro do Prazo</v>
      </c>
      <c r="O4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126 Rastreio Pedido 126, agradecemos a preferência e adoraríamos receber sua avaliação, tendo qualquer dúvida estamos à disposição.
Att
Tem tudo Shop</v>
      </c>
    </row>
    <row r="468" spans="1:15">
      <c r="A468" s="52" t="str">
        <f>_xlfn.XLOOKUP(Follow[[#This Row],[CODRASTREIO]],Controle_Pedidos[Cód Rastreamento],Controle_Pedidos[Número Pedido Cliente])</f>
        <v>Pedido 300</v>
      </c>
      <c r="B468" s="2" t="s">
        <v>17735</v>
      </c>
      <c r="C468" s="2" t="str">
        <f>Follow[[#This Row],[CODRASTREIO]]&amp;" B"</f>
        <v>CódRastreio293 B</v>
      </c>
      <c r="D468" s="52" t="str">
        <f>_xlfn.XLOOKUP(Follow[[#This Row],[Id Pedido]],Controle_Pedidos[Número Pedido Cliente],Controle_Pedidos[Loja])</f>
        <v>BV</v>
      </c>
      <c r="E468" s="9">
        <f>_xlfn.XLOOKUP(Follow[[#This Row],[Id Pedido]],Controle_Pedidos[Número Pedido Cliente],Controle_Pedidos[Prazo Entrega])</f>
        <v>45632</v>
      </c>
      <c r="F468" s="9" t="s">
        <v>19433</v>
      </c>
      <c r="G468" s="9" t="s">
        <v>37</v>
      </c>
      <c r="H468" s="52" t="s">
        <v>178</v>
      </c>
      <c r="I468" s="52" t="s">
        <v>178</v>
      </c>
      <c r="J468" s="55">
        <v>45614</v>
      </c>
      <c r="K468" s="54" t="s">
        <v>198</v>
      </c>
      <c r="L468" s="8" t="s">
        <v>124</v>
      </c>
      <c r="M468" s="8" t="s">
        <v>37</v>
      </c>
      <c r="N468" s="52" t="str">
        <f>IF(Follow[[#This Row],[DATAATUALIZAÇÃO]]&lt;=Follow[[#This Row],[Prev Entrega]],"Dentro do Prazo","Fora do Prazo")</f>
        <v>Dentro do Prazo</v>
      </c>
      <c r="O4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300 Rastreio Pedido 300, agradecemos a preferência e adoraríamos receber sua avaliação, tendo qualquer dúvida estamos à disposição.
Att
Tem tudo Shop</v>
      </c>
    </row>
    <row r="469" spans="1:15">
      <c r="A469" s="52" t="str">
        <f>_xlfn.XLOOKUP(Follow[[#This Row],[CODRASTREIO]],Controle_Pedidos[Cód Rastreamento],Controle_Pedidos[Número Pedido Cliente])</f>
        <v>Pedido 128</v>
      </c>
      <c r="B469" s="2" t="s">
        <v>17563</v>
      </c>
      <c r="C469" s="2" t="str">
        <f>Follow[[#This Row],[CODRASTREIO]]&amp;" B"</f>
        <v>CódRastreio121 B</v>
      </c>
      <c r="D469" s="52" t="str">
        <f>_xlfn.XLOOKUP(Follow[[#This Row],[Id Pedido]],Controle_Pedidos[Número Pedido Cliente],Controle_Pedidos[Loja])</f>
        <v>BV</v>
      </c>
      <c r="E469" s="9">
        <f>_xlfn.XLOOKUP(Follow[[#This Row],[Id Pedido]],Controle_Pedidos[Número Pedido Cliente],Controle_Pedidos[Prazo Entrega])</f>
        <v>45605</v>
      </c>
      <c r="F469" s="9" t="s">
        <v>19433</v>
      </c>
      <c r="G469" s="9" t="s">
        <v>37</v>
      </c>
      <c r="H469" s="52" t="s">
        <v>178</v>
      </c>
      <c r="I469" s="52" t="s">
        <v>178</v>
      </c>
      <c r="J469" s="55">
        <v>45594</v>
      </c>
      <c r="K469" s="54" t="s">
        <v>198</v>
      </c>
      <c r="L469" s="8" t="s">
        <v>124</v>
      </c>
      <c r="M469" s="8" t="s">
        <v>37</v>
      </c>
      <c r="N469" s="52" t="str">
        <f>IF(Follow[[#This Row],[DATAATUALIZAÇÃO]]&lt;=Follow[[#This Row],[Prev Entrega]],"Dentro do Prazo","Fora do Prazo")</f>
        <v>Dentro do Prazo</v>
      </c>
      <c r="O4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29/10/2024, referente ao pedido Nº Pedido 128 Rastreio Pedido 128, agradecemos a preferência e adoraríamos receber sua avaliação, tendo qualquer dúvida estamos à disposição.
Att
Tem tudo Shop</v>
      </c>
    </row>
    <row r="470" spans="1:15">
      <c r="A470" s="52" t="str">
        <f>_xlfn.XLOOKUP(Follow[[#This Row],[CODRASTREIO]],Controle_Pedidos[Cód Rastreamento],Controle_Pedidos[Número Pedido Cliente])</f>
        <v>Pedido 384</v>
      </c>
      <c r="B470" s="2" t="s">
        <v>17816</v>
      </c>
      <c r="C470" s="2" t="str">
        <f>Follow[[#This Row],[CODRASTREIO]]&amp;" B"</f>
        <v>CódRastreio374 B</v>
      </c>
      <c r="D470" s="52" t="str">
        <f>_xlfn.XLOOKUP(Follow[[#This Row],[Id Pedido]],Controle_Pedidos[Número Pedido Cliente],Controle_Pedidos[Loja])</f>
        <v>BV</v>
      </c>
      <c r="E470" s="9">
        <f>_xlfn.XLOOKUP(Follow[[#This Row],[Id Pedido]],Controle_Pedidos[Número Pedido Cliente],Controle_Pedidos[Prazo Entrega])</f>
        <v>45640</v>
      </c>
      <c r="F470" s="9" t="s">
        <v>19433</v>
      </c>
      <c r="G470" s="9" t="s">
        <v>37</v>
      </c>
      <c r="H470" s="52" t="s">
        <v>179</v>
      </c>
      <c r="I470" s="52" t="s">
        <v>178</v>
      </c>
      <c r="J470" s="55">
        <v>45624</v>
      </c>
      <c r="K470" s="54" t="s">
        <v>198</v>
      </c>
      <c r="L470" s="8" t="s">
        <v>124</v>
      </c>
      <c r="M470" s="8" t="s">
        <v>37</v>
      </c>
      <c r="N470" s="52" t="str">
        <f>IF(Follow[[#This Row],[DATAATUALIZAÇÃO]]&lt;=Follow[[#This Row],[Prev Entrega]],"Dentro do Prazo","Fora do Prazo")</f>
        <v>Dentro do Prazo</v>
      </c>
      <c r="O4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28/11/2024, referente ao pedido Nº Pedido 384 Rastreio Pedido 384, agradecemos a preferência e adoraríamos receber sua avaliação, tendo qualquer dúvida estamos à disposição.
Att
Tem tudo Shop</v>
      </c>
    </row>
    <row r="471" spans="1:15">
      <c r="A471" s="52" t="str">
        <f>_xlfn.XLOOKUP(Follow[[#This Row],[CODRASTREIO]],Controle_Pedidos[Cód Rastreamento],Controle_Pedidos[Número Pedido Cliente])</f>
        <v>Pedido 41</v>
      </c>
      <c r="B471" s="2" t="s">
        <v>17474</v>
      </c>
      <c r="C471" s="2" t="str">
        <f>Follow[[#This Row],[CODRASTREIO]]&amp;" B"</f>
        <v>CódRastreio32 B</v>
      </c>
      <c r="D471" s="52" t="str">
        <f>_xlfn.XLOOKUP(Follow[[#This Row],[Id Pedido]],Controle_Pedidos[Número Pedido Cliente],Controle_Pedidos[Loja])</f>
        <v>BV</v>
      </c>
      <c r="E471" s="9">
        <f>_xlfn.XLOOKUP(Follow[[#This Row],[Id Pedido]],Controle_Pedidos[Número Pedido Cliente],Controle_Pedidos[Prazo Entrega])</f>
        <v>45604</v>
      </c>
      <c r="F471" s="9" t="s">
        <v>19433</v>
      </c>
      <c r="G471" s="9" t="s">
        <v>37</v>
      </c>
      <c r="H471" s="52" t="s">
        <v>178</v>
      </c>
      <c r="I471" s="52" t="s">
        <v>178</v>
      </c>
      <c r="J471" s="55">
        <v>45594</v>
      </c>
      <c r="K471" s="54" t="s">
        <v>198</v>
      </c>
      <c r="L471" s="8" t="s">
        <v>124</v>
      </c>
      <c r="M471" s="8" t="s">
        <v>37</v>
      </c>
      <c r="N471" s="52" t="str">
        <f>IF(Follow[[#This Row],[DATAATUALIZAÇÃO]]&lt;=Follow[[#This Row],[Prev Entrega]],"Dentro do Prazo","Fora do Prazo")</f>
        <v>Dentro do Prazo</v>
      </c>
      <c r="O4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29/10/2024, referente ao pedido Nº Pedido 41 Rastreio Pedido 41, agradecemos a preferência e adoraríamos receber sua avaliação, tendo qualquer dúvida estamos à disposição.
Att
Tem tudo Shop</v>
      </c>
    </row>
    <row r="472" spans="1:15">
      <c r="A472" s="52" t="str">
        <f>_xlfn.XLOOKUP(Follow[[#This Row],[CODRASTREIO]],Controle_Pedidos[Cód Rastreamento],Controle_Pedidos[Número Pedido Cliente])</f>
        <v>Pedido 284</v>
      </c>
      <c r="B472" s="2" t="s">
        <v>17719</v>
      </c>
      <c r="C472" s="2" t="str">
        <f>Follow[[#This Row],[CODRASTREIO]]&amp;" B"</f>
        <v>CódRastreio277 B</v>
      </c>
      <c r="D472" s="52" t="str">
        <f>_xlfn.XLOOKUP(Follow[[#This Row],[Id Pedido]],Controle_Pedidos[Número Pedido Cliente],Controle_Pedidos[Loja])</f>
        <v>BV</v>
      </c>
      <c r="E472" s="9">
        <f>_xlfn.XLOOKUP(Follow[[#This Row],[Id Pedido]],Controle_Pedidos[Número Pedido Cliente],Controle_Pedidos[Prazo Entrega])</f>
        <v>45630</v>
      </c>
      <c r="F472" s="9" t="s">
        <v>19433</v>
      </c>
      <c r="G472" s="9" t="s">
        <v>37</v>
      </c>
      <c r="H472" s="52" t="s">
        <v>178</v>
      </c>
      <c r="I472" s="52" t="s">
        <v>178</v>
      </c>
      <c r="J472" s="55">
        <v>45610</v>
      </c>
      <c r="K472" s="54" t="s">
        <v>198</v>
      </c>
      <c r="L472" s="8" t="s">
        <v>124</v>
      </c>
      <c r="M472" s="8" t="s">
        <v>37</v>
      </c>
      <c r="N472" s="52" t="str">
        <f>IF(Follow[[#This Row],[DATAATUALIZAÇÃO]]&lt;=Follow[[#This Row],[Prev Entrega]],"Dentro do Prazo","Fora do Prazo")</f>
        <v>Dentro do Prazo</v>
      </c>
      <c r="O4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284 Rastreio Pedido 284, agradecemos a preferência e adoraríamos receber sua avaliação, tendo qualquer dúvida estamos à disposição.
Att
Tem tudo Shop</v>
      </c>
    </row>
    <row r="473" spans="1:15">
      <c r="A473" s="52" t="str">
        <f>_xlfn.XLOOKUP(Follow[[#This Row],[CODRASTREIO]],Controle_Pedidos[Cód Rastreamento],Controle_Pedidos[Número Pedido Cliente])</f>
        <v>Pedido 508</v>
      </c>
      <c r="B473" s="2" t="s">
        <v>17936</v>
      </c>
      <c r="C473" s="2" t="str">
        <f>Follow[[#This Row],[CODRASTREIO]]&amp;" B"</f>
        <v>CódRastreio494 B</v>
      </c>
      <c r="D473" s="52" t="str">
        <f>_xlfn.XLOOKUP(Follow[[#This Row],[Id Pedido]],Controle_Pedidos[Número Pedido Cliente],Controle_Pedidos[Loja])</f>
        <v>BV</v>
      </c>
      <c r="E473" s="9">
        <f>_xlfn.XLOOKUP(Follow[[#This Row],[Id Pedido]],Controle_Pedidos[Número Pedido Cliente],Controle_Pedidos[Prazo Entrega])</f>
        <v>45661</v>
      </c>
      <c r="F473" s="9" t="s">
        <v>19433</v>
      </c>
      <c r="G473" s="9" t="s">
        <v>37</v>
      </c>
      <c r="H473" s="52" t="s">
        <v>179</v>
      </c>
      <c r="I473" s="52" t="s">
        <v>178</v>
      </c>
      <c r="J473" s="55">
        <v>45652</v>
      </c>
      <c r="K473" s="52" t="s">
        <v>198</v>
      </c>
      <c r="L473" s="8" t="s">
        <v>124</v>
      </c>
      <c r="M473" s="8" t="s">
        <v>37</v>
      </c>
      <c r="N473" s="52" t="str">
        <f>IF(Follow[[#This Row],[DATAATUALIZAÇÃO]]&lt;=Follow[[#This Row],[Prev Entrega]],"Dentro do Prazo","Fora do Prazo")</f>
        <v>Dentro do Prazo</v>
      </c>
      <c r="O4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26/12/2024, referente ao pedido Nº Pedido 508 Rastreio Pedido 508, agradecemos a preferência e adoraríamos receber sua avaliação, tendo qualquer dúvida estamos à disposição.
Att
Tem tudo Shop</v>
      </c>
    </row>
    <row r="474" spans="1:15">
      <c r="A474" s="52" t="str">
        <f>_xlfn.XLOOKUP(Follow[[#This Row],[CODRASTREIO]],Controle_Pedidos[Cód Rastreamento],Controle_Pedidos[Número Pedido Cliente])</f>
        <v>Pedido 330</v>
      </c>
      <c r="B474" s="2" t="s">
        <v>17765</v>
      </c>
      <c r="C474" s="2" t="str">
        <f>Follow[[#This Row],[CODRASTREIO]]&amp;" B"</f>
        <v>CódRastreio323 B</v>
      </c>
      <c r="D474" s="52" t="str">
        <f>_xlfn.XLOOKUP(Follow[[#This Row],[Id Pedido]],Controle_Pedidos[Número Pedido Cliente],Controle_Pedidos[Loja])</f>
        <v>BV</v>
      </c>
      <c r="E474" s="9">
        <f>_xlfn.XLOOKUP(Follow[[#This Row],[Id Pedido]],Controle_Pedidos[Número Pedido Cliente],Controle_Pedidos[Prazo Entrega])</f>
        <v>45631</v>
      </c>
      <c r="F474" s="9" t="s">
        <v>19433</v>
      </c>
      <c r="G474" s="9" t="s">
        <v>37</v>
      </c>
      <c r="H474" s="52" t="s">
        <v>179</v>
      </c>
      <c r="I474" s="52" t="s">
        <v>178</v>
      </c>
      <c r="J474" s="55">
        <v>45624</v>
      </c>
      <c r="K474" s="54" t="s">
        <v>198</v>
      </c>
      <c r="L474" s="8" t="s">
        <v>124</v>
      </c>
      <c r="M474" s="8" t="s">
        <v>37</v>
      </c>
      <c r="N474" s="52" t="str">
        <f>IF(Follow[[#This Row],[DATAATUALIZAÇÃO]]&lt;=Follow[[#This Row],[Prev Entrega]],"Dentro do Prazo","Fora do Prazo")</f>
        <v>Dentro do Prazo</v>
      </c>
      <c r="O4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28/11/2024, referente ao pedido Nº Pedido 330 Rastreio Pedido 330, agradecemos a preferência e adoraríamos receber sua avaliação, tendo qualquer dúvida estamos à disposição.
Att
Tem tudo Shop</v>
      </c>
    </row>
    <row r="475" spans="1:15">
      <c r="A475" s="52" t="str">
        <f>_xlfn.XLOOKUP(Follow[[#This Row],[CODRASTREIO]],Controle_Pedidos[Cód Rastreamento],Controle_Pedidos[Número Pedido Cliente])</f>
        <v>Pedido 244</v>
      </c>
      <c r="B475" s="2" t="s">
        <v>17679</v>
      </c>
      <c r="C475" s="2" t="str">
        <f>Follow[[#This Row],[CODRASTREIO]]&amp;" B"</f>
        <v>CódRastreio237 B</v>
      </c>
      <c r="D475" s="52" t="str">
        <f>_xlfn.XLOOKUP(Follow[[#This Row],[Id Pedido]],Controle_Pedidos[Número Pedido Cliente],Controle_Pedidos[Loja])</f>
        <v>BV</v>
      </c>
      <c r="E475" s="9">
        <f>_xlfn.XLOOKUP(Follow[[#This Row],[Id Pedido]],Controle_Pedidos[Número Pedido Cliente],Controle_Pedidos[Prazo Entrega])</f>
        <v>45626</v>
      </c>
      <c r="F475" s="9" t="s">
        <v>19433</v>
      </c>
      <c r="G475" s="9" t="s">
        <v>37</v>
      </c>
      <c r="H475" s="52" t="s">
        <v>179</v>
      </c>
      <c r="I475" s="52" t="s">
        <v>178</v>
      </c>
      <c r="J475" s="55">
        <v>45614</v>
      </c>
      <c r="K475" s="54" t="s">
        <v>198</v>
      </c>
      <c r="L475" s="8" t="s">
        <v>124</v>
      </c>
      <c r="M475" s="8" t="s">
        <v>37</v>
      </c>
      <c r="N475" s="52" t="str">
        <f>IF(Follow[[#This Row],[DATAATUALIZAÇÃO]]&lt;=Follow[[#This Row],[Prev Entrega]],"Dentro do Prazo","Fora do Prazo")</f>
        <v>Dentro do Prazo</v>
      </c>
      <c r="O4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18/11/2024, referente ao pedido Nº Pedido 244 Rastreio Pedido 244, agradecemos a preferência e adoraríamos receber sua avaliação, tendo qualquer dúvida estamos à disposição.
Att
Tem tudo Shop</v>
      </c>
    </row>
    <row r="476" spans="1:15">
      <c r="A476" s="52" t="str">
        <f>_xlfn.XLOOKUP(Follow[[#This Row],[CODRASTREIO]],Controle_Pedidos[Cód Rastreamento],Controle_Pedidos[Número Pedido Cliente])</f>
        <v>Pedido 333</v>
      </c>
      <c r="B476" s="2" t="s">
        <v>17768</v>
      </c>
      <c r="C476" s="2" t="str">
        <f>Follow[[#This Row],[CODRASTREIO]]&amp;" B"</f>
        <v>CódRastreio326 B</v>
      </c>
      <c r="D476" s="52" t="str">
        <f>_xlfn.XLOOKUP(Follow[[#This Row],[Id Pedido]],Controle_Pedidos[Número Pedido Cliente],Controle_Pedidos[Loja])</f>
        <v>BV</v>
      </c>
      <c r="E476" s="9">
        <f>_xlfn.XLOOKUP(Follow[[#This Row],[Id Pedido]],Controle_Pedidos[Número Pedido Cliente],Controle_Pedidos[Prazo Entrega])</f>
        <v>45629</v>
      </c>
      <c r="F476" s="9" t="s">
        <v>19433</v>
      </c>
      <c r="G476" s="9" t="s">
        <v>37</v>
      </c>
      <c r="H476" s="52" t="s">
        <v>179</v>
      </c>
      <c r="I476" s="52" t="s">
        <v>178</v>
      </c>
      <c r="J476" s="55">
        <v>45617</v>
      </c>
      <c r="K476" s="54" t="s">
        <v>198</v>
      </c>
      <c r="L476" s="8" t="s">
        <v>124</v>
      </c>
      <c r="M476" s="8" t="s">
        <v>37</v>
      </c>
      <c r="N476" s="52" t="str">
        <f>IF(Follow[[#This Row],[DATAATUALIZAÇÃO]]&lt;=Follow[[#This Row],[Prev Entrega]],"Dentro do Prazo","Fora do Prazo")</f>
        <v>Dentro do Prazo</v>
      </c>
      <c r="O4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21/11/2024, referente ao pedido Nº Pedido 333 Rastreio Pedido 333, agradecemos a preferência e adoraríamos receber sua avaliação, tendo qualquer dúvida estamos à disposição.
Att
Tem tudo Shop</v>
      </c>
    </row>
    <row r="477" spans="1:15">
      <c r="A477" s="52" t="str">
        <f>_xlfn.XLOOKUP(Follow[[#This Row],[CODRASTREIO]],Controle_Pedidos[Cód Rastreamento],Controle_Pedidos[Número Pedido Cliente])</f>
        <v>Pedido 43</v>
      </c>
      <c r="B477" s="2" t="s">
        <v>17476</v>
      </c>
      <c r="C477" s="2" t="str">
        <f>Follow[[#This Row],[CODRASTREIO]]&amp;" B"</f>
        <v>CódRastreio34 B</v>
      </c>
      <c r="D477" s="52" t="str">
        <f>_xlfn.XLOOKUP(Follow[[#This Row],[Id Pedido]],Controle_Pedidos[Número Pedido Cliente],Controle_Pedidos[Loja])</f>
        <v>BV</v>
      </c>
      <c r="E477" s="9">
        <f>_xlfn.XLOOKUP(Follow[[#This Row],[Id Pedido]],Controle_Pedidos[Número Pedido Cliente],Controle_Pedidos[Prazo Entrega])</f>
        <v>45602</v>
      </c>
      <c r="F477" s="9" t="s">
        <v>19433</v>
      </c>
      <c r="G477" s="9" t="s">
        <v>37</v>
      </c>
      <c r="H477" s="52" t="s">
        <v>178</v>
      </c>
      <c r="I477" s="52" t="s">
        <v>178</v>
      </c>
      <c r="J477" s="55">
        <v>45594</v>
      </c>
      <c r="K477" s="54" t="s">
        <v>198</v>
      </c>
      <c r="L477" s="8" t="s">
        <v>124</v>
      </c>
      <c r="M477" s="8" t="s">
        <v>37</v>
      </c>
      <c r="N477" s="52" t="str">
        <f>IF(Follow[[#This Row],[DATAATUALIZAÇÃO]]&lt;=Follow[[#This Row],[Prev Entrega]],"Dentro do Prazo","Fora do Prazo")</f>
        <v>Dentro do Prazo</v>
      </c>
      <c r="O4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29/10/2024, referente ao pedido Nº Pedido 43 Rastreio Pedido 43, agradecemos a preferência e adoraríamos receber sua avaliação, tendo qualquer dúvida estamos à disposição.
Att
Tem tudo Shop</v>
      </c>
    </row>
    <row r="478" spans="1:15">
      <c r="A478" s="52" t="str">
        <f>_xlfn.XLOOKUP(Follow[[#This Row],[CODRASTREIO]],Controle_Pedidos[Cód Rastreamento],Controle_Pedidos[Número Pedido Cliente])</f>
        <v>Pedido 92</v>
      </c>
      <c r="B478" s="2" t="s">
        <v>17527</v>
      </c>
      <c r="C478" s="2" t="str">
        <f>Follow[[#This Row],[CODRASTREIO]]&amp;" B"</f>
        <v>CódRastreio85 B</v>
      </c>
      <c r="D478" s="52" t="str">
        <f>_xlfn.XLOOKUP(Follow[[#This Row],[Id Pedido]],Controle_Pedidos[Número Pedido Cliente],Controle_Pedidos[Loja])</f>
        <v>BV</v>
      </c>
      <c r="E478" s="9">
        <f>_xlfn.XLOOKUP(Follow[[#This Row],[Id Pedido]],Controle_Pedidos[Número Pedido Cliente],Controle_Pedidos[Prazo Entrega])</f>
        <v>45617</v>
      </c>
      <c r="F478" s="9" t="s">
        <v>19433</v>
      </c>
      <c r="G478" s="9" t="s">
        <v>37</v>
      </c>
      <c r="H478" s="52" t="s">
        <v>178</v>
      </c>
      <c r="I478" s="52" t="s">
        <v>178</v>
      </c>
      <c r="J478" s="55">
        <v>45598</v>
      </c>
      <c r="K478" s="54" t="s">
        <v>198</v>
      </c>
      <c r="L478" s="8" t="s">
        <v>124</v>
      </c>
      <c r="M478" s="8" t="s">
        <v>37</v>
      </c>
      <c r="N478" s="52" t="str">
        <f>IF(Follow[[#This Row],[DATAATUALIZAÇÃO]]&lt;=Follow[[#This Row],[Prev Entrega]],"Dentro do Prazo","Fora do Prazo")</f>
        <v>Dentro do Prazo</v>
      </c>
      <c r="O4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02/11/2024, referente ao pedido Nº Pedido 92 Rastreio Pedido 92, agradecemos a preferência e adoraríamos receber sua avaliação, tendo qualquer dúvida estamos à disposição.
Att
Tem tudo Shop</v>
      </c>
    </row>
    <row r="479" spans="1:15">
      <c r="A479" s="52" t="str">
        <f>_xlfn.XLOOKUP(Follow[[#This Row],[CODRASTREIO]],Controle_Pedidos[Cód Rastreamento],Controle_Pedidos[Número Pedido Cliente])</f>
        <v>Pedido 316</v>
      </c>
      <c r="B479" s="2" t="s">
        <v>17751</v>
      </c>
      <c r="C479" s="2" t="str">
        <f>Follow[[#This Row],[CODRASTREIO]]&amp;" B"</f>
        <v>CódRastreio309 B</v>
      </c>
      <c r="D479" s="52" t="str">
        <f>_xlfn.XLOOKUP(Follow[[#This Row],[Id Pedido]],Controle_Pedidos[Número Pedido Cliente],Controle_Pedidos[Loja])</f>
        <v>BV</v>
      </c>
      <c r="E479" s="9">
        <f>_xlfn.XLOOKUP(Follow[[#This Row],[Id Pedido]],Controle_Pedidos[Número Pedido Cliente],Controle_Pedidos[Prazo Entrega])</f>
        <v>45632</v>
      </c>
      <c r="F479" s="9" t="s">
        <v>19433</v>
      </c>
      <c r="G479" s="9" t="s">
        <v>37</v>
      </c>
      <c r="H479" s="52" t="s">
        <v>178</v>
      </c>
      <c r="I479" s="52" t="s">
        <v>178</v>
      </c>
      <c r="J479" s="55">
        <v>45610</v>
      </c>
      <c r="K479" s="54" t="s">
        <v>198</v>
      </c>
      <c r="L479" s="8" t="s">
        <v>124</v>
      </c>
      <c r="M479" s="8" t="s">
        <v>37</v>
      </c>
      <c r="N479" s="52" t="str">
        <f>IF(Follow[[#This Row],[DATAATUALIZAÇÃO]]&lt;=Follow[[#This Row],[Prev Entrega]],"Dentro do Prazo","Fora do Prazo")</f>
        <v>Dentro do Prazo</v>
      </c>
      <c r="O4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316 Rastreio Pedido 316, agradecemos a preferência e adoraríamos receber sua avaliação, tendo qualquer dúvida estamos à disposição.
Att
Tem tudo Shop</v>
      </c>
    </row>
    <row r="480" spans="1:15">
      <c r="A480" s="52" t="str">
        <f>_xlfn.XLOOKUP(Follow[[#This Row],[CODRASTREIO]],Controle_Pedidos[Cód Rastreamento],Controle_Pedidos[Número Pedido Cliente])</f>
        <v>Pedido 248</v>
      </c>
      <c r="B480" s="2" t="s">
        <v>17683</v>
      </c>
      <c r="C480" s="2" t="str">
        <f>Follow[[#This Row],[CODRASTREIO]]&amp;" B"</f>
        <v>CódRastreio241 B</v>
      </c>
      <c r="D480" s="52" t="str">
        <f>_xlfn.XLOOKUP(Follow[[#This Row],[Id Pedido]],Controle_Pedidos[Número Pedido Cliente],Controle_Pedidos[Loja])</f>
        <v>BV</v>
      </c>
      <c r="E480" s="9">
        <f>_xlfn.XLOOKUP(Follow[[#This Row],[Id Pedido]],Controle_Pedidos[Número Pedido Cliente],Controle_Pedidos[Prazo Entrega])</f>
        <v>45618</v>
      </c>
      <c r="F480" s="9" t="s">
        <v>19433</v>
      </c>
      <c r="G480" s="9" t="s">
        <v>37</v>
      </c>
      <c r="H480" s="52" t="s">
        <v>178</v>
      </c>
      <c r="I480" s="52" t="s">
        <v>178</v>
      </c>
      <c r="J480" s="55">
        <v>45610</v>
      </c>
      <c r="K480" s="54" t="s">
        <v>198</v>
      </c>
      <c r="L480" s="8" t="s">
        <v>124</v>
      </c>
      <c r="M480" s="8" t="s">
        <v>37</v>
      </c>
      <c r="N480" s="52" t="str">
        <f>IF(Follow[[#This Row],[DATAATUALIZAÇÃO]]&lt;=Follow[[#This Row],[Prev Entrega]],"Dentro do Prazo","Fora do Prazo")</f>
        <v>Dentro do Prazo</v>
      </c>
      <c r="O4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248 Rastreio Pedido 248, agradecemos a preferência e adoraríamos receber sua avaliação, tendo qualquer dúvida estamos à disposição.
Att
Tem tudo Shop</v>
      </c>
    </row>
    <row r="481" spans="1:15">
      <c r="A481" s="52" t="str">
        <f>_xlfn.XLOOKUP(Follow[[#This Row],[CODRASTREIO]],Controle_Pedidos[Cód Rastreamento],Controle_Pedidos[Número Pedido Cliente])</f>
        <v>Pedido 457</v>
      </c>
      <c r="B481" s="2" t="s">
        <v>17884</v>
      </c>
      <c r="C481" s="2" t="str">
        <f>Follow[[#This Row],[CODRASTREIO]]&amp;" B"</f>
        <v>CódRastreio442 B</v>
      </c>
      <c r="D481" s="52" t="str">
        <f>_xlfn.XLOOKUP(Follow[[#This Row],[Id Pedido]],Controle_Pedidos[Número Pedido Cliente],Controle_Pedidos[Loja])</f>
        <v>BV</v>
      </c>
      <c r="E481" s="9">
        <f>_xlfn.XLOOKUP(Follow[[#This Row],[Id Pedido]],Controle_Pedidos[Número Pedido Cliente],Controle_Pedidos[Prazo Entrega])</f>
        <v>45653</v>
      </c>
      <c r="F481" s="9" t="s">
        <v>19433</v>
      </c>
      <c r="G481" s="9" t="s">
        <v>37</v>
      </c>
      <c r="H481" s="55" t="s">
        <v>178</v>
      </c>
      <c r="I481" s="55" t="s">
        <v>178</v>
      </c>
      <c r="J481" s="55">
        <v>45638</v>
      </c>
      <c r="K481" s="52" t="s">
        <v>198</v>
      </c>
      <c r="L481" s="8" t="s">
        <v>124</v>
      </c>
      <c r="M481" s="8" t="s">
        <v>37</v>
      </c>
      <c r="N481" s="52" t="str">
        <f>IF(Follow[[#This Row],[DATAATUALIZAÇÃO]]&lt;=Follow[[#This Row],[Prev Entrega]],"Dentro do Prazo","Fora do Prazo")</f>
        <v>Dentro do Prazo</v>
      </c>
      <c r="O4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12/12/2024, referente ao pedido Nº Pedido 457 Rastreio Pedido 457, agradecemos a preferência e adoraríamos receber sua avaliação, tendo qualquer dúvida estamos à disposição.
Att
Tem tudo Shop</v>
      </c>
    </row>
    <row r="482" spans="1:15">
      <c r="A482" s="52" t="str">
        <f>_xlfn.XLOOKUP(Follow[[#This Row],[CODRASTREIO]],Controle_Pedidos[Cód Rastreamento],Controle_Pedidos[Número Pedido Cliente])</f>
        <v>Pedido 453</v>
      </c>
      <c r="B482" s="2" t="s">
        <v>17880</v>
      </c>
      <c r="C482" s="2" t="str">
        <f>Follow[[#This Row],[CODRASTREIO]]&amp;" B"</f>
        <v>CódRastreio438 B</v>
      </c>
      <c r="D482" s="52" t="str">
        <f>_xlfn.XLOOKUP(Follow[[#This Row],[Id Pedido]],Controle_Pedidos[Número Pedido Cliente],Controle_Pedidos[Loja])</f>
        <v>BV</v>
      </c>
      <c r="E482" s="9">
        <f>_xlfn.XLOOKUP(Follow[[#This Row],[Id Pedido]],Controle_Pedidos[Número Pedido Cliente],Controle_Pedidos[Prazo Entrega])</f>
        <v>45644</v>
      </c>
      <c r="F482" s="9" t="s">
        <v>19433</v>
      </c>
      <c r="G482" s="9" t="s">
        <v>37</v>
      </c>
      <c r="H482" s="52" t="s">
        <v>178</v>
      </c>
      <c r="I482" s="52" t="s">
        <v>178</v>
      </c>
      <c r="J482" s="55">
        <v>45628</v>
      </c>
      <c r="K482" s="54" t="s">
        <v>198</v>
      </c>
      <c r="L482" s="8" t="s">
        <v>124</v>
      </c>
      <c r="M482" s="8" t="s">
        <v>37</v>
      </c>
      <c r="N482" s="52" t="str">
        <f>IF(Follow[[#This Row],[DATAATUALIZAÇÃO]]&lt;=Follow[[#This Row],[Prev Entrega]],"Dentro do Prazo","Fora do Prazo")</f>
        <v>Dentro do Prazo</v>
      </c>
      <c r="O4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Mixer Misturador foi entregue no dia 02/12/2024, referente ao pedido Nº Pedido 453 Rastreio Pedido 453, agradecemos a preferência e adoraríamos receber sua avaliação, tendo qualquer dúvida estamos à disposição.
Att
Tem tudo Shop</v>
      </c>
    </row>
    <row r="483" spans="1:15">
      <c r="A483" s="52" t="str">
        <f>_xlfn.XLOOKUP(Follow[[#This Row],[CODRASTREIO]],Controle_Pedidos[Cód Rastreamento],Controle_Pedidos[Número Pedido Cliente])</f>
        <v>Pedido 105</v>
      </c>
      <c r="B483" s="2" t="s">
        <v>17540</v>
      </c>
      <c r="C483" s="2" t="str">
        <f>Follow[[#This Row],[CODRASTREIO]]&amp;" B"</f>
        <v>CódRastreio98 B</v>
      </c>
      <c r="D483" s="52" t="str">
        <f>_xlfn.XLOOKUP(Follow[[#This Row],[Id Pedido]],Controle_Pedidos[Número Pedido Cliente],Controle_Pedidos[Loja])</f>
        <v>BV</v>
      </c>
      <c r="E483" s="9">
        <f>_xlfn.XLOOKUP(Follow[[#This Row],[Id Pedido]],Controle_Pedidos[Número Pedido Cliente],Controle_Pedidos[Prazo Entrega])</f>
        <v>45610</v>
      </c>
      <c r="F483" s="9" t="s">
        <v>19433</v>
      </c>
      <c r="G483" s="9" t="s">
        <v>37</v>
      </c>
      <c r="H483" s="52" t="s">
        <v>178</v>
      </c>
      <c r="I483" s="52" t="s">
        <v>178</v>
      </c>
      <c r="J483" s="55">
        <v>45597</v>
      </c>
      <c r="K483" s="54" t="s">
        <v>198</v>
      </c>
      <c r="L483" s="8" t="s">
        <v>124</v>
      </c>
      <c r="M483" s="8" t="s">
        <v>37</v>
      </c>
      <c r="N483" s="52" t="str">
        <f>IF(Follow[[#This Row],[DATAATUALIZAÇÃO]]&lt;=Follow[[#This Row],[Prev Entrega]],"Dentro do Prazo","Fora do Prazo")</f>
        <v>Dentro do Prazo</v>
      </c>
      <c r="O4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01/11/2024, referente ao pedido Nº Pedido 105 Rastreio Pedido 105, agradecemos a preferência e adoraríamos receber sua avaliação, tendo qualquer dúvida estamos à disposição.
Att
Tem tudo Shop</v>
      </c>
    </row>
    <row r="484" spans="1:15">
      <c r="A484" s="52" t="str">
        <f>_xlfn.XLOOKUP(Follow[[#This Row],[CODRASTREIO]],Controle_Pedidos[Cód Rastreamento],Controle_Pedidos[Número Pedido Cliente])</f>
        <v>Pedido 33</v>
      </c>
      <c r="B484" s="2" t="s">
        <v>17466</v>
      </c>
      <c r="C484" s="2" t="str">
        <f>Follow[[#This Row],[CODRASTREIO]]&amp;" B"</f>
        <v>CódRastreio24 B</v>
      </c>
      <c r="D484" s="52" t="str">
        <f>_xlfn.XLOOKUP(Follow[[#This Row],[Id Pedido]],Controle_Pedidos[Número Pedido Cliente],Controle_Pedidos[Loja])</f>
        <v>BV</v>
      </c>
      <c r="E484" s="9">
        <f>_xlfn.XLOOKUP(Follow[[#This Row],[Id Pedido]],Controle_Pedidos[Número Pedido Cliente],Controle_Pedidos[Prazo Entrega])</f>
        <v>45611</v>
      </c>
      <c r="F484" s="9" t="s">
        <v>19433</v>
      </c>
      <c r="G484" s="9" t="s">
        <v>37</v>
      </c>
      <c r="H484" s="52" t="s">
        <v>178</v>
      </c>
      <c r="I484" s="52" t="s">
        <v>178</v>
      </c>
      <c r="J484" s="55">
        <v>45595</v>
      </c>
      <c r="K484" s="54" t="s">
        <v>198</v>
      </c>
      <c r="L484" s="8" t="s">
        <v>124</v>
      </c>
      <c r="M484" s="8" t="s">
        <v>37</v>
      </c>
      <c r="N484" s="52" t="str">
        <f>IF(Follow[[#This Row],[DATAATUALIZAÇÃO]]&lt;=Follow[[#This Row],[Prev Entrega]],"Dentro do Prazo","Fora do Prazo")</f>
        <v>Dentro do Prazo</v>
      </c>
      <c r="O4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33 Rastreio Pedido 33, agradecemos a preferência e adoraríamos receber sua avaliação, tendo qualquer dúvida estamos à disposição.
Att
Tem tudo Shop</v>
      </c>
    </row>
    <row r="485" spans="1:15">
      <c r="A485" s="52" t="str">
        <f>_xlfn.XLOOKUP(Follow[[#This Row],[CODRASTREIO]],Controle_Pedidos[Cód Rastreamento],Controle_Pedidos[Número Pedido Cliente])</f>
        <v>Pedido 326</v>
      </c>
      <c r="B485" s="2" t="s">
        <v>17761</v>
      </c>
      <c r="C485" s="2" t="str">
        <f>Follow[[#This Row],[CODRASTREIO]]&amp;" B"</f>
        <v>CódRastreio319 B</v>
      </c>
      <c r="D485" s="52" t="str">
        <f>_xlfn.XLOOKUP(Follow[[#This Row],[Id Pedido]],Controle_Pedidos[Número Pedido Cliente],Controle_Pedidos[Loja])</f>
        <v>BV</v>
      </c>
      <c r="E485" s="9">
        <f>_xlfn.XLOOKUP(Follow[[#This Row],[Id Pedido]],Controle_Pedidos[Número Pedido Cliente],Controle_Pedidos[Prazo Entrega])</f>
        <v>45625</v>
      </c>
      <c r="F485" s="9" t="s">
        <v>19433</v>
      </c>
      <c r="G485" s="9" t="s">
        <v>37</v>
      </c>
      <c r="H485" s="52" t="s">
        <v>178</v>
      </c>
      <c r="I485" s="52" t="s">
        <v>178</v>
      </c>
      <c r="J485" s="55">
        <v>45622</v>
      </c>
      <c r="K485" s="54" t="s">
        <v>198</v>
      </c>
      <c r="L485" s="8" t="s">
        <v>124</v>
      </c>
      <c r="M485" s="8" t="s">
        <v>37</v>
      </c>
      <c r="N485" s="52" t="str">
        <f>IF(Follow[[#This Row],[DATAATUALIZAÇÃO]]&lt;=Follow[[#This Row],[Prev Entrega]],"Dentro do Prazo","Fora do Prazo")</f>
        <v>Dentro do Prazo</v>
      </c>
      <c r="O4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26/11/2024, referente ao pedido Nº Pedido 326 Rastreio Pedido 326, agradecemos a preferência e adoraríamos receber sua avaliação, tendo qualquer dúvida estamos à disposição.
Att
Tem tudo Shop</v>
      </c>
    </row>
    <row r="486" spans="1:15">
      <c r="A486" s="52" t="str">
        <f>_xlfn.XLOOKUP(Follow[[#This Row],[CODRASTREIO]],Controle_Pedidos[Cód Rastreamento],Controle_Pedidos[Número Pedido Cliente])</f>
        <v>Pedido 448</v>
      </c>
      <c r="B486" s="2" t="s">
        <v>17876</v>
      </c>
      <c r="C486" s="2" t="str">
        <f>Follow[[#This Row],[CODRASTREIO]]&amp;" B"</f>
        <v>CódRastreio434 B</v>
      </c>
      <c r="D486" s="52" t="str">
        <f>_xlfn.XLOOKUP(Follow[[#This Row],[Id Pedido]],Controle_Pedidos[Número Pedido Cliente],Controle_Pedidos[Loja])</f>
        <v>BV</v>
      </c>
      <c r="E486" s="9">
        <f>_xlfn.XLOOKUP(Follow[[#This Row],[Id Pedido]],Controle_Pedidos[Número Pedido Cliente],Controle_Pedidos[Prazo Entrega])</f>
        <v>45650</v>
      </c>
      <c r="F486" s="9" t="s">
        <v>19433</v>
      </c>
      <c r="G486" s="9" t="s">
        <v>37</v>
      </c>
      <c r="H486" s="55" t="s">
        <v>179</v>
      </c>
      <c r="I486" s="55" t="s">
        <v>178</v>
      </c>
      <c r="J486" s="55">
        <v>45639</v>
      </c>
      <c r="K486" s="52" t="s">
        <v>198</v>
      </c>
      <c r="L486" s="8" t="s">
        <v>124</v>
      </c>
      <c r="M486" s="8" t="s">
        <v>37</v>
      </c>
      <c r="N486" s="52" t="str">
        <f>IF(Follow[[#This Row],[DATAATUALIZAÇÃO]]&lt;=Follow[[#This Row],[Prev Entrega]],"Dentro do Prazo","Fora do Prazo")</f>
        <v>Dentro do Prazo</v>
      </c>
      <c r="O4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13/12/2024, referente ao pedido Nº Pedido 448 Rastreio Pedido 448, agradecemos a preferência e adoraríamos receber sua avaliação, tendo qualquer dúvida estamos à disposição.
Att
Tem tudo Shop</v>
      </c>
    </row>
    <row r="487" spans="1:15">
      <c r="A487" s="52" t="str">
        <f>_xlfn.XLOOKUP(Follow[[#This Row],[CODRASTREIO]],Controle_Pedidos[Cód Rastreamento],Controle_Pedidos[Número Pedido Cliente])</f>
        <v>Pedido 458</v>
      </c>
      <c r="B487" s="2" t="s">
        <v>17885</v>
      </c>
      <c r="C487" s="2" t="str">
        <f>Follow[[#This Row],[CODRASTREIO]]&amp;" B"</f>
        <v>CódRastreio443 B</v>
      </c>
      <c r="D487" s="52" t="str">
        <f>_xlfn.XLOOKUP(Follow[[#This Row],[Id Pedido]],Controle_Pedidos[Número Pedido Cliente],Controle_Pedidos[Loja])</f>
        <v>BV</v>
      </c>
      <c r="E487" s="9">
        <f>_xlfn.XLOOKUP(Follow[[#This Row],[Id Pedido]],Controle_Pedidos[Número Pedido Cliente],Controle_Pedidos[Prazo Entrega])</f>
        <v>45645</v>
      </c>
      <c r="F487" s="9" t="s">
        <v>19433</v>
      </c>
      <c r="G487" s="9" t="s">
        <v>37</v>
      </c>
      <c r="H487" s="55" t="s">
        <v>179</v>
      </c>
      <c r="I487" s="55" t="s">
        <v>178</v>
      </c>
      <c r="J487" s="55">
        <v>45635.696851851855</v>
      </c>
      <c r="K487" s="52" t="s">
        <v>198</v>
      </c>
      <c r="L487" s="8" t="s">
        <v>124</v>
      </c>
      <c r="M487" s="8" t="s">
        <v>37</v>
      </c>
      <c r="N487" s="52" t="str">
        <f>IF(Follow[[#This Row],[DATAATUALIZAÇÃO]]&lt;=Follow[[#This Row],[Prev Entrega]],"Dentro do Prazo","Fora do Prazo")</f>
        <v>Dentro do Prazo</v>
      </c>
      <c r="O4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09/12/2024, referente ao pedido Nº Pedido 458 Rastreio Pedido 458, agradecemos a preferência e adoraríamos receber sua avaliação, tendo qualquer dúvida estamos à disposição.
Att
Tem tudo Shop</v>
      </c>
    </row>
    <row r="488" spans="1:15">
      <c r="A488" s="52" t="str">
        <f>_xlfn.XLOOKUP(Follow[[#This Row],[CODRASTREIO]],Controle_Pedidos[Cód Rastreamento],Controle_Pedidos[Número Pedido Cliente])</f>
        <v>Pedido 602</v>
      </c>
      <c r="B488" s="2" t="s">
        <v>18029</v>
      </c>
      <c r="C488" s="2" t="str">
        <f>Follow[[#This Row],[CODRASTREIO]]&amp;" B"</f>
        <v>CódRastreio587 B</v>
      </c>
      <c r="D488" s="52" t="str">
        <f>_xlfn.XLOOKUP(Follow[[#This Row],[Id Pedido]],Controle_Pedidos[Número Pedido Cliente],Controle_Pedidos[Loja])</f>
        <v>BV</v>
      </c>
      <c r="E488" s="9">
        <f>_xlfn.XLOOKUP(Follow[[#This Row],[Id Pedido]],Controle_Pedidos[Número Pedido Cliente],Controle_Pedidos[Prazo Entrega])</f>
        <v>45679</v>
      </c>
      <c r="F488" s="9" t="s">
        <v>19433</v>
      </c>
      <c r="G488" s="9" t="s">
        <v>37</v>
      </c>
      <c r="H488" s="52" t="s">
        <v>179</v>
      </c>
      <c r="I488" s="52" t="s">
        <v>178</v>
      </c>
      <c r="J488" s="55">
        <v>45665</v>
      </c>
      <c r="K488" s="52" t="s">
        <v>198</v>
      </c>
      <c r="L488" s="8" t="s">
        <v>124</v>
      </c>
      <c r="M488" s="8" t="s">
        <v>37</v>
      </c>
      <c r="N488" s="52" t="str">
        <f>IF(Follow[[#This Row],[DATAATUALIZAÇÃO]]&lt;=Follow[[#This Row],[Prev Entrega]],"Dentro do Prazo","Fora do Prazo")</f>
        <v>Dentro do Prazo</v>
      </c>
      <c r="O4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602 Rastreio Pedido 602, agradecemos a preferência e adoraríamos receber sua avaliação, tendo qualquer dúvida estamos à disposição.
Att
Tem tudo Shop</v>
      </c>
    </row>
    <row r="489" spans="1:15">
      <c r="A489" s="52" t="str">
        <f>_xlfn.XLOOKUP(Follow[[#This Row],[CODRASTREIO]],Controle_Pedidos[Cód Rastreamento],Controle_Pedidos[Número Pedido Cliente])</f>
        <v>Pedido 399</v>
      </c>
      <c r="B489" s="2" t="s">
        <v>17831</v>
      </c>
      <c r="C489" s="2" t="str">
        <f>Follow[[#This Row],[CODRASTREIO]]&amp;" B"</f>
        <v>CódRastreio389 B</v>
      </c>
      <c r="D489" s="52" t="str">
        <f>_xlfn.XLOOKUP(Follow[[#This Row],[Id Pedido]],Controle_Pedidos[Número Pedido Cliente],Controle_Pedidos[Loja])</f>
        <v>BV</v>
      </c>
      <c r="E489" s="9">
        <f>_xlfn.XLOOKUP(Follow[[#This Row],[Id Pedido]],Controle_Pedidos[Número Pedido Cliente],Controle_Pedidos[Prazo Entrega])</f>
        <v>45633</v>
      </c>
      <c r="F489" s="9" t="s">
        <v>19433</v>
      </c>
      <c r="G489" s="9" t="s">
        <v>37</v>
      </c>
      <c r="H489" s="52" t="s">
        <v>178</v>
      </c>
      <c r="I489" s="52" t="s">
        <v>178</v>
      </c>
      <c r="J489" s="55">
        <v>45621</v>
      </c>
      <c r="K489" s="54" t="s">
        <v>198</v>
      </c>
      <c r="L489" s="8" t="s">
        <v>124</v>
      </c>
      <c r="M489" s="8" t="s">
        <v>37</v>
      </c>
      <c r="N489" s="52" t="str">
        <f>IF(Follow[[#This Row],[DATAATUALIZAÇÃO]]&lt;=Follow[[#This Row],[Prev Entrega]],"Dentro do Prazo","Fora do Prazo")</f>
        <v>Dentro do Prazo</v>
      </c>
      <c r="O4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25/11/2024, referente ao pedido Nº Pedido 399 Rastreio Pedido 399, agradecemos a preferência e adoraríamos receber sua avaliação, tendo qualquer dúvida estamos à disposição.
Att
Tem tudo Shop</v>
      </c>
    </row>
    <row r="490" spans="1:15">
      <c r="A490" s="52" t="str">
        <f>_xlfn.XLOOKUP(Follow[[#This Row],[CODRASTREIO]],Controle_Pedidos[Cód Rastreamento],Controle_Pedidos[Número Pedido Cliente])</f>
        <v>Pedido 379</v>
      </c>
      <c r="B490" s="2" t="s">
        <v>17811</v>
      </c>
      <c r="C490" s="2" t="str">
        <f>Follow[[#This Row],[CODRASTREIO]]&amp;" B"</f>
        <v>CódRastreio369 B</v>
      </c>
      <c r="D490" s="52" t="str">
        <f>_xlfn.XLOOKUP(Follow[[#This Row],[Id Pedido]],Controle_Pedidos[Número Pedido Cliente],Controle_Pedidos[Loja])</f>
        <v>BV</v>
      </c>
      <c r="E490" s="9">
        <f>_xlfn.XLOOKUP(Follow[[#This Row],[Id Pedido]],Controle_Pedidos[Número Pedido Cliente],Controle_Pedidos[Prazo Entrega])</f>
        <v>45633</v>
      </c>
      <c r="F490" s="9" t="s">
        <v>19433</v>
      </c>
      <c r="G490" s="9" t="s">
        <v>37</v>
      </c>
      <c r="H490" s="55" t="s">
        <v>179</v>
      </c>
      <c r="I490" s="55" t="s">
        <v>178</v>
      </c>
      <c r="J490" s="55">
        <v>45631.521921296298</v>
      </c>
      <c r="K490" s="54" t="s">
        <v>198</v>
      </c>
      <c r="L490" s="8" t="s">
        <v>124</v>
      </c>
      <c r="M490" s="8" t="s">
        <v>37</v>
      </c>
      <c r="N490" s="52" t="str">
        <f>IF(Follow[[#This Row],[DATAATUALIZAÇÃO]]&lt;=Follow[[#This Row],[Prev Entrega]],"Dentro do Prazo","Fora do Prazo")</f>
        <v>Dentro do Prazo</v>
      </c>
      <c r="O4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05/12/2024, referente ao pedido Nº Pedido 379 Rastreio Pedido 379, agradecemos a preferência e adoraríamos receber sua avaliação, tendo qualquer dúvida estamos à disposição.
Att
Tem tudo Shop</v>
      </c>
    </row>
    <row r="491" spans="1:15">
      <c r="A491" s="52" t="str">
        <f>_xlfn.XLOOKUP(Follow[[#This Row],[CODRASTREIO]],Controle_Pedidos[Cód Rastreamento],Controle_Pedidos[Número Pedido Cliente])</f>
        <v>Pedido 65</v>
      </c>
      <c r="B491" s="2" t="s">
        <v>17498</v>
      </c>
      <c r="C491" s="2" t="str">
        <f>Follow[[#This Row],[CODRASTREIO]]&amp;" B"</f>
        <v>CódRastreio56 B</v>
      </c>
      <c r="D491" s="52" t="str">
        <f>_xlfn.XLOOKUP(Follow[[#This Row],[Id Pedido]],Controle_Pedidos[Número Pedido Cliente],Controle_Pedidos[Loja])</f>
        <v>BV</v>
      </c>
      <c r="E491" s="9">
        <f>_xlfn.XLOOKUP(Follow[[#This Row],[Id Pedido]],Controle_Pedidos[Número Pedido Cliente],Controle_Pedidos[Prazo Entrega])</f>
        <v>45616</v>
      </c>
      <c r="F491" s="9" t="s">
        <v>19433</v>
      </c>
      <c r="G491" s="9" t="s">
        <v>37</v>
      </c>
      <c r="H491" s="52" t="s">
        <v>178</v>
      </c>
      <c r="I491" s="52" t="s">
        <v>178</v>
      </c>
      <c r="J491" s="55">
        <v>45604</v>
      </c>
      <c r="K491" s="54" t="s">
        <v>198</v>
      </c>
      <c r="L491" s="8" t="s">
        <v>124</v>
      </c>
      <c r="M491" s="8" t="s">
        <v>37</v>
      </c>
      <c r="N491" s="52" t="str">
        <f>IF(Follow[[#This Row],[DATAATUALIZAÇÃO]]&lt;=Follow[[#This Row],[Prev Entrega]],"Dentro do Prazo","Fora do Prazo")</f>
        <v>Dentro do Prazo</v>
      </c>
      <c r="O4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08/11/2024, referente ao pedido Nº Pedido 65 Rastreio Pedido 65, agradecemos a preferência e adoraríamos receber sua avaliação, tendo qualquer dúvida estamos à disposição.
Att
Tem tudo Shop</v>
      </c>
    </row>
    <row r="492" spans="1:15">
      <c r="A492" s="52" t="str">
        <f>_xlfn.XLOOKUP(Follow[[#This Row],[CODRASTREIO]],Controle_Pedidos[Cód Rastreamento],Controle_Pedidos[Número Pedido Cliente])</f>
        <v>Pedido 241</v>
      </c>
      <c r="B492" s="2" t="s">
        <v>17676</v>
      </c>
      <c r="C492" s="2" t="str">
        <f>Follow[[#This Row],[CODRASTREIO]]&amp;" B"</f>
        <v>CódRastreio234 B</v>
      </c>
      <c r="D492" s="52" t="str">
        <f>_xlfn.XLOOKUP(Follow[[#This Row],[Id Pedido]],Controle_Pedidos[Número Pedido Cliente],Controle_Pedidos[Loja])</f>
        <v>BV</v>
      </c>
      <c r="E492" s="9">
        <f>_xlfn.XLOOKUP(Follow[[#This Row],[Id Pedido]],Controle_Pedidos[Número Pedido Cliente],Controle_Pedidos[Prazo Entrega])</f>
        <v>45618</v>
      </c>
      <c r="F492" s="9" t="s">
        <v>19433</v>
      </c>
      <c r="G492" s="9" t="s">
        <v>37</v>
      </c>
      <c r="H492" s="52" t="s">
        <v>178</v>
      </c>
      <c r="I492" s="52" t="s">
        <v>178</v>
      </c>
      <c r="J492" s="55">
        <v>45607</v>
      </c>
      <c r="K492" s="54" t="s">
        <v>198</v>
      </c>
      <c r="L492" s="8" t="s">
        <v>124</v>
      </c>
      <c r="M492" s="8" t="s">
        <v>37</v>
      </c>
      <c r="N492" s="52" t="str">
        <f>IF(Follow[[#This Row],[DATAATUALIZAÇÃO]]&lt;=Follow[[#This Row],[Prev Entrega]],"Dentro do Prazo","Fora do Prazo")</f>
        <v>Dentro do Prazo</v>
      </c>
      <c r="O4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11/11/2024, referente ao pedido Nº Pedido 241 Rastreio Pedido 241, agradecemos a preferência e adoraríamos receber sua avaliação, tendo qualquer dúvida estamos à disposição.
Att
Tem tudo Shop</v>
      </c>
    </row>
    <row r="493" spans="1:15">
      <c r="A493" s="52" t="str">
        <f>_xlfn.XLOOKUP(Follow[[#This Row],[CODRASTREIO]],Controle_Pedidos[Cód Rastreamento],Controle_Pedidos[Número Pedido Cliente])</f>
        <v>Pedido 287</v>
      </c>
      <c r="B493" s="2" t="s">
        <v>17722</v>
      </c>
      <c r="C493" s="2" t="str">
        <f>Follow[[#This Row],[CODRASTREIO]]&amp;" B"</f>
        <v>CódRastreio280 B</v>
      </c>
      <c r="D493" s="52" t="str">
        <f>_xlfn.XLOOKUP(Follow[[#This Row],[Id Pedido]],Controle_Pedidos[Número Pedido Cliente],Controle_Pedidos[Loja])</f>
        <v>BV</v>
      </c>
      <c r="E493" s="9">
        <f>_xlfn.XLOOKUP(Follow[[#This Row],[Id Pedido]],Controle_Pedidos[Número Pedido Cliente],Controle_Pedidos[Prazo Entrega])</f>
        <v>45624</v>
      </c>
      <c r="F493" s="9" t="s">
        <v>19433</v>
      </c>
      <c r="G493" s="9" t="s">
        <v>37</v>
      </c>
      <c r="H493" s="52" t="s">
        <v>178</v>
      </c>
      <c r="I493" s="52" t="s">
        <v>178</v>
      </c>
      <c r="J493" s="55">
        <v>45610</v>
      </c>
      <c r="K493" s="54" t="s">
        <v>198</v>
      </c>
      <c r="L493" s="8" t="s">
        <v>124</v>
      </c>
      <c r="M493" s="8" t="s">
        <v>37</v>
      </c>
      <c r="N493" s="52" t="str">
        <f>IF(Follow[[#This Row],[DATAATUALIZAÇÃO]]&lt;=Follow[[#This Row],[Prev Entrega]],"Dentro do Prazo","Fora do Prazo")</f>
        <v>Dentro do Prazo</v>
      </c>
      <c r="O4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14/11/2024, referente ao pedido Nº Pedido 287 Rastreio Pedido 287, agradecemos a preferência e adoraríamos receber sua avaliação, tendo qualquer dúvida estamos à disposição.
Att
Tem tudo Shop</v>
      </c>
    </row>
    <row r="494" spans="1:15">
      <c r="A494" s="52" t="str">
        <f>_xlfn.XLOOKUP(Follow[[#This Row],[CODRASTREIO]],Controle_Pedidos[Cód Rastreamento],Controle_Pedidos[Número Pedido Cliente])</f>
        <v>Pedido 229</v>
      </c>
      <c r="B494" s="2" t="s">
        <v>17664</v>
      </c>
      <c r="C494" s="2" t="str">
        <f>Follow[[#This Row],[CODRASTREIO]]&amp;" B"</f>
        <v>CódRastreio222 B</v>
      </c>
      <c r="D494" s="52" t="str">
        <f>_xlfn.XLOOKUP(Follow[[#This Row],[Id Pedido]],Controle_Pedidos[Número Pedido Cliente],Controle_Pedidos[Loja])</f>
        <v>BV</v>
      </c>
      <c r="E494" s="9">
        <f>_xlfn.XLOOKUP(Follow[[#This Row],[Id Pedido]],Controle_Pedidos[Número Pedido Cliente],Controle_Pedidos[Prazo Entrega])</f>
        <v>45626</v>
      </c>
      <c r="F494" s="9" t="s">
        <v>19433</v>
      </c>
      <c r="G494" s="9" t="s">
        <v>37</v>
      </c>
      <c r="H494" s="52" t="s">
        <v>179</v>
      </c>
      <c r="I494" s="52" t="s">
        <v>178</v>
      </c>
      <c r="J494" s="55">
        <v>45609</v>
      </c>
      <c r="K494" s="54" t="s">
        <v>198</v>
      </c>
      <c r="L494" s="8" t="s">
        <v>124</v>
      </c>
      <c r="M494" s="8" t="s">
        <v>37</v>
      </c>
      <c r="N494" s="52" t="str">
        <f>IF(Follow[[#This Row],[DATAATUALIZAÇÃO]]&lt;=Follow[[#This Row],[Prev Entrega]],"Dentro do Prazo","Fora do Prazo")</f>
        <v>Dentro do Prazo</v>
      </c>
      <c r="O4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13/11/2024, referente ao pedido Nº Pedido 229 Rastreio Pedido 229, agradecemos a preferência e adoraríamos receber sua avaliação, tendo qualquer dúvida estamos à disposição.
Att
Tem tudo Shop</v>
      </c>
    </row>
    <row r="495" spans="1:15">
      <c r="A495" s="52" t="str">
        <f>_xlfn.XLOOKUP(Follow[[#This Row],[CODRASTREIO]],Controle_Pedidos[Cód Rastreamento],Controle_Pedidos[Número Pedido Cliente])</f>
        <v>Pedido 233</v>
      </c>
      <c r="B495" s="2" t="s">
        <v>17668</v>
      </c>
      <c r="C495" s="2" t="str">
        <f>Follow[[#This Row],[CODRASTREIO]]&amp;" B"</f>
        <v>CódRastreio226 B</v>
      </c>
      <c r="D495" s="52" t="str">
        <f>_xlfn.XLOOKUP(Follow[[#This Row],[Id Pedido]],Controle_Pedidos[Número Pedido Cliente],Controle_Pedidos[Loja])</f>
        <v>BV</v>
      </c>
      <c r="E495" s="9">
        <f>_xlfn.XLOOKUP(Follow[[#This Row],[Id Pedido]],Controle_Pedidos[Número Pedido Cliente],Controle_Pedidos[Prazo Entrega])</f>
        <v>45622</v>
      </c>
      <c r="F495" s="9" t="s">
        <v>19433</v>
      </c>
      <c r="G495" s="9" t="s">
        <v>37</v>
      </c>
      <c r="H495" s="52" t="s">
        <v>179</v>
      </c>
      <c r="I495" s="52" t="s">
        <v>178</v>
      </c>
      <c r="J495" s="55">
        <v>45609</v>
      </c>
      <c r="K495" s="54" t="s">
        <v>198</v>
      </c>
      <c r="L495" s="8" t="s">
        <v>124</v>
      </c>
      <c r="M495" s="8" t="s">
        <v>37</v>
      </c>
      <c r="N495" s="52" t="str">
        <f>IF(Follow[[#This Row],[DATAATUALIZAÇÃO]]&lt;=Follow[[#This Row],[Prev Entrega]],"Dentro do Prazo","Fora do Prazo")</f>
        <v>Dentro do Prazo</v>
      </c>
      <c r="O4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13/11/2024, referente ao pedido Nº Pedido 233 Rastreio Pedido 233, agradecemos a preferência e adoraríamos receber sua avaliação, tendo qualquer dúvida estamos à disposição.
Att
Tem tudo Shop</v>
      </c>
    </row>
    <row r="496" spans="1:15">
      <c r="A496" s="52" t="str">
        <f>_xlfn.XLOOKUP(Follow[[#This Row],[CODRASTREIO]],Controle_Pedidos[Cód Rastreamento],Controle_Pedidos[Número Pedido Cliente])</f>
        <v>Pedido 353</v>
      </c>
      <c r="B496" s="2" t="s">
        <v>17788</v>
      </c>
      <c r="C496" s="2" t="str">
        <f>Follow[[#This Row],[CODRASTREIO]]&amp;" B"</f>
        <v>CódRastreio346 B</v>
      </c>
      <c r="D496" s="52" t="str">
        <f>_xlfn.XLOOKUP(Follow[[#This Row],[Id Pedido]],Controle_Pedidos[Número Pedido Cliente],Controle_Pedidos[Loja])</f>
        <v>BV</v>
      </c>
      <c r="E496" s="9">
        <f>_xlfn.XLOOKUP(Follow[[#This Row],[Id Pedido]],Controle_Pedidos[Número Pedido Cliente],Controle_Pedidos[Prazo Entrega])</f>
        <v>45631</v>
      </c>
      <c r="F496" s="9" t="s">
        <v>19433</v>
      </c>
      <c r="G496" s="9" t="s">
        <v>37</v>
      </c>
      <c r="H496" s="52" t="s">
        <v>178</v>
      </c>
      <c r="I496" s="52" t="s">
        <v>178</v>
      </c>
      <c r="J496" s="55">
        <v>45621</v>
      </c>
      <c r="K496" s="54" t="s">
        <v>198</v>
      </c>
      <c r="L496" s="8" t="s">
        <v>124</v>
      </c>
      <c r="M496" s="8" t="s">
        <v>37</v>
      </c>
      <c r="N496" s="52" t="str">
        <f>IF(Follow[[#This Row],[DATAATUALIZAÇÃO]]&lt;=Follow[[#This Row],[Prev Entrega]],"Dentro do Prazo","Fora do Prazo")</f>
        <v>Dentro do Prazo</v>
      </c>
      <c r="O4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25/11/2024, referente ao pedido Nº Pedido 353 Rastreio Pedido 353, agradecemos a preferência e adoraríamos receber sua avaliação, tendo qualquer dúvida estamos à disposição.
Att
Tem tudo Shop</v>
      </c>
    </row>
    <row r="497" spans="1:15">
      <c r="A497" s="52" t="str">
        <f>_xlfn.XLOOKUP(Follow[[#This Row],[CODRASTREIO]],Controle_Pedidos[Cód Rastreamento],Controle_Pedidos[Número Pedido Cliente])</f>
        <v>Pedido 190</v>
      </c>
      <c r="B497" s="2" t="s">
        <v>17625</v>
      </c>
      <c r="C497" s="2" t="str">
        <f>Follow[[#This Row],[CODRASTREIO]]&amp;" B"</f>
        <v>CódRastreio183 B</v>
      </c>
      <c r="D497" s="52" t="str">
        <f>_xlfn.XLOOKUP(Follow[[#This Row],[Id Pedido]],Controle_Pedidos[Número Pedido Cliente],Controle_Pedidos[Loja])</f>
        <v>BV</v>
      </c>
      <c r="E497" s="9">
        <f>_xlfn.XLOOKUP(Follow[[#This Row],[Id Pedido]],Controle_Pedidos[Número Pedido Cliente],Controle_Pedidos[Prazo Entrega])</f>
        <v>45611</v>
      </c>
      <c r="F497" s="9" t="s">
        <v>19433</v>
      </c>
      <c r="G497" s="9" t="s">
        <v>37</v>
      </c>
      <c r="H497" s="52" t="s">
        <v>178</v>
      </c>
      <c r="I497" s="52" t="s">
        <v>178</v>
      </c>
      <c r="J497" s="55">
        <v>45604</v>
      </c>
      <c r="K497" s="54" t="s">
        <v>198</v>
      </c>
      <c r="L497" s="8" t="s">
        <v>124</v>
      </c>
      <c r="M497" s="8" t="s">
        <v>37</v>
      </c>
      <c r="N497" s="52" t="str">
        <f>IF(Follow[[#This Row],[DATAATUALIZAÇÃO]]&lt;=Follow[[#This Row],[Prev Entrega]],"Dentro do Prazo","Fora do Prazo")</f>
        <v>Dentro do Prazo</v>
      </c>
      <c r="O4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08/11/2024, referente ao pedido Nº Pedido 190 Rastreio Pedido 190, agradecemos a preferência e adoraríamos receber sua avaliação, tendo qualquer dúvida estamos à disposição.
Att
Tem tudo Shop</v>
      </c>
    </row>
    <row r="498" spans="1:15">
      <c r="A498" s="52" t="str">
        <f>_xlfn.XLOOKUP(Follow[[#This Row],[CODRASTREIO]],Controle_Pedidos[Cód Rastreamento],Controle_Pedidos[Número Pedido Cliente])</f>
        <v>Pedido 588</v>
      </c>
      <c r="B498" s="2" t="s">
        <v>18015</v>
      </c>
      <c r="C498" s="2" t="str">
        <f>Follow[[#This Row],[CODRASTREIO]]&amp;" B"</f>
        <v>CódRastreio573 B</v>
      </c>
      <c r="D498" s="52" t="str">
        <f>_xlfn.XLOOKUP(Follow[[#This Row],[Id Pedido]],Controle_Pedidos[Número Pedido Cliente],Controle_Pedidos[Loja])</f>
        <v>BV</v>
      </c>
      <c r="E498" s="9">
        <f>_xlfn.XLOOKUP(Follow[[#This Row],[Id Pedido]],Controle_Pedidos[Número Pedido Cliente],Controle_Pedidos[Prazo Entrega])</f>
        <v>45671</v>
      </c>
      <c r="F498" s="9" t="s">
        <v>19433</v>
      </c>
      <c r="G498" s="9" t="s">
        <v>37</v>
      </c>
      <c r="H498" s="52" t="s">
        <v>179</v>
      </c>
      <c r="I498" s="52" t="s">
        <v>178</v>
      </c>
      <c r="J498" s="55">
        <v>45659</v>
      </c>
      <c r="K498" s="52" t="s">
        <v>198</v>
      </c>
      <c r="L498" s="8" t="s">
        <v>124</v>
      </c>
      <c r="M498" s="8" t="s">
        <v>37</v>
      </c>
      <c r="N498" s="52" t="str">
        <f>IF(Follow[[#This Row],[DATAATUALIZAÇÃO]]&lt;=Follow[[#This Row],[Prev Entrega]],"Dentro do Prazo","Fora do Prazo")</f>
        <v>Dentro do Prazo</v>
      </c>
      <c r="O49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588 Rastreio Pedido 588, agradecemos a preferência e adoraríamos receber sua avaliação, tendo qualquer dúvida estamos à disposição.
Att
Tem tudo Shop</v>
      </c>
    </row>
    <row r="499" spans="1:15">
      <c r="A499" s="52" t="str">
        <f>_xlfn.XLOOKUP(Follow[[#This Row],[CODRASTREIO]],Controle_Pedidos[Cód Rastreamento],Controle_Pedidos[Número Pedido Cliente])</f>
        <v>Pedido 487</v>
      </c>
      <c r="B499" s="2" t="s">
        <v>17914</v>
      </c>
      <c r="C499" s="2" t="str">
        <f>Follow[[#This Row],[CODRASTREIO]]&amp;" B"</f>
        <v>CódRastreio472 B</v>
      </c>
      <c r="D499" s="52" t="str">
        <f>_xlfn.XLOOKUP(Follow[[#This Row],[Id Pedido]],Controle_Pedidos[Número Pedido Cliente],Controle_Pedidos[Loja])</f>
        <v>BV</v>
      </c>
      <c r="E499" s="9">
        <f>_xlfn.XLOOKUP(Follow[[#This Row],[Id Pedido]],Controle_Pedidos[Número Pedido Cliente],Controle_Pedidos[Prazo Entrega])</f>
        <v>45647</v>
      </c>
      <c r="F499" s="9" t="s">
        <v>19433</v>
      </c>
      <c r="G499" s="9" t="s">
        <v>37</v>
      </c>
      <c r="H499" s="55" t="s">
        <v>179</v>
      </c>
      <c r="I499" s="55" t="s">
        <v>178</v>
      </c>
      <c r="J499" s="55">
        <v>45636</v>
      </c>
      <c r="K499" s="52" t="s">
        <v>198</v>
      </c>
      <c r="L499" s="8" t="s">
        <v>124</v>
      </c>
      <c r="M499" s="8" t="s">
        <v>37</v>
      </c>
      <c r="N499" s="52" t="str">
        <f>IF(Follow[[#This Row],[DATAATUALIZAÇÃO]]&lt;=Follow[[#This Row],[Prev Entrega]],"Dentro do Prazo","Fora do Prazo")</f>
        <v>Dentro do Prazo</v>
      </c>
      <c r="O49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10/12/2024, referente ao pedido Nº Pedido 487 Rastreio Pedido 487, agradecemos a preferência e adoraríamos receber sua avaliação, tendo qualquer dúvida estamos à disposição.
Att
Tem tudo Shop</v>
      </c>
    </row>
    <row r="500" spans="1:15">
      <c r="A500" s="52" t="str">
        <f>_xlfn.XLOOKUP(Follow[[#This Row],[CODRASTREIO]],Controle_Pedidos[Cód Rastreamento],Controle_Pedidos[Número Pedido Cliente])</f>
        <v>Pedido 344</v>
      </c>
      <c r="B500" s="2" t="s">
        <v>17779</v>
      </c>
      <c r="C500" s="2" t="str">
        <f>Follow[[#This Row],[CODRASTREIO]]&amp;" B"</f>
        <v>CódRastreio337 B</v>
      </c>
      <c r="D500" s="52" t="str">
        <f>_xlfn.XLOOKUP(Follow[[#This Row],[Id Pedido]],Controle_Pedidos[Número Pedido Cliente],Controle_Pedidos[Loja])</f>
        <v>BV</v>
      </c>
      <c r="E500" s="9">
        <f>_xlfn.XLOOKUP(Follow[[#This Row],[Id Pedido]],Controle_Pedidos[Número Pedido Cliente],Controle_Pedidos[Prazo Entrega])</f>
        <v>45630</v>
      </c>
      <c r="F500" s="9" t="s">
        <v>19433</v>
      </c>
      <c r="G500" s="9" t="s">
        <v>37</v>
      </c>
      <c r="H500" s="52" t="s">
        <v>179</v>
      </c>
      <c r="I500" s="52" t="s">
        <v>178</v>
      </c>
      <c r="J500" s="55">
        <v>45617</v>
      </c>
      <c r="K500" s="54" t="s">
        <v>198</v>
      </c>
      <c r="L500" s="8" t="s">
        <v>124</v>
      </c>
      <c r="M500" s="8" t="s">
        <v>37</v>
      </c>
      <c r="N500" s="52" t="str">
        <f>IF(Follow[[#This Row],[DATAATUALIZAÇÃO]]&lt;=Follow[[#This Row],[Prev Entrega]],"Dentro do Prazo","Fora do Prazo")</f>
        <v>Dentro do Prazo</v>
      </c>
      <c r="O50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21/11/2024, referente ao pedido Nº Pedido 344 Rastreio Pedido 344, agradecemos a preferência e adoraríamos receber sua avaliação, tendo qualquer dúvida estamos à disposição.
Att
Tem tudo Shop</v>
      </c>
    </row>
    <row r="501" spans="1:15">
      <c r="A501" s="52" t="s">
        <v>13786</v>
      </c>
      <c r="B501" s="2" t="s">
        <v>19446</v>
      </c>
      <c r="C501" s="2" t="str">
        <f>Follow[[#This Row],[CODRASTREIO]]&amp;" B"</f>
        <v>CódRastreio428 1 Envio B</v>
      </c>
      <c r="D501" s="52" t="s">
        <v>36</v>
      </c>
      <c r="E501" s="9">
        <v>45643</v>
      </c>
      <c r="F501" s="9" t="s">
        <v>19433</v>
      </c>
      <c r="G501" s="9" t="s">
        <v>37</v>
      </c>
      <c r="H501" s="55" t="s">
        <v>179</v>
      </c>
      <c r="I501" s="55" t="s">
        <v>178</v>
      </c>
      <c r="J501" s="55">
        <v>45632.817314814813</v>
      </c>
      <c r="K501" s="54" t="s">
        <v>198</v>
      </c>
      <c r="L501" s="8" t="s">
        <v>124</v>
      </c>
      <c r="M501" s="8" t="s">
        <v>37</v>
      </c>
      <c r="N501" s="52" t="str">
        <f>IF(Follow[[#This Row],[DATAATUALIZAÇÃO]]&lt;=Follow[[#This Row],[Prev Entrega]],"Dentro do Prazo","Fora do Prazo")</f>
        <v>Dentro do Prazo</v>
      </c>
      <c r="O5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06/12/2024, referente ao pedido Nº Pedido 443 Rastreio Pedido 443, agradecemos a preferência e adoraríamos receber sua avaliação, tendo qualquer dúvida estamos à disposição.
Att
Tem tudo Shop</v>
      </c>
    </row>
    <row r="502" spans="1:15">
      <c r="A502" s="52" t="str">
        <f>_xlfn.XLOOKUP(Follow[[#This Row],[CODRASTREIO]],Controle_Pedidos[Cód Rastreamento],Controle_Pedidos[Número Pedido Cliente])</f>
        <v>Pedido 443</v>
      </c>
      <c r="B502" s="2" t="s">
        <v>17870</v>
      </c>
      <c r="C502" s="2" t="str">
        <f>Follow[[#This Row],[CODRASTREIO]]&amp;" B"</f>
        <v>CódRastreio428 B</v>
      </c>
      <c r="D502" s="52" t="str">
        <f>_xlfn.XLOOKUP(Follow[[#This Row],[Id Pedido]],Controle_Pedidos[Número Pedido Cliente],Controle_Pedidos[Loja])</f>
        <v>BV</v>
      </c>
      <c r="E502" s="9">
        <f>_xlfn.XLOOKUP(Follow[[#This Row],[Id Pedido]],Controle_Pedidos[Número Pedido Cliente],Controle_Pedidos[Prazo Entrega])</f>
        <v>45643</v>
      </c>
      <c r="F502" s="9" t="s">
        <v>19433</v>
      </c>
      <c r="G502" s="9" t="s">
        <v>37</v>
      </c>
      <c r="H502" s="55" t="s">
        <v>179</v>
      </c>
      <c r="I502" s="55" t="s">
        <v>178</v>
      </c>
      <c r="J502" s="55">
        <v>45631.741979166669</v>
      </c>
      <c r="K502" s="54" t="s">
        <v>198</v>
      </c>
      <c r="L502" s="8" t="s">
        <v>124</v>
      </c>
      <c r="M502" s="8" t="s">
        <v>37</v>
      </c>
      <c r="N502" s="52" t="str">
        <f>IF(Follow[[#This Row],[DATAATUALIZAÇÃO]]&lt;=Follow[[#This Row],[Prev Entrega]],"Dentro do Prazo","Fora do Prazo")</f>
        <v>Dentro do Prazo</v>
      </c>
      <c r="O5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05/12/2024, referente ao pedido Nº Pedido 443 Rastreio Pedido 443, agradecemos a preferência e adoraríamos receber sua avaliação, tendo qualquer dúvida estamos à disposição.
Att
Tem tudo Shop</v>
      </c>
    </row>
    <row r="503" spans="1:15">
      <c r="A503" s="52" t="str">
        <f>_xlfn.XLOOKUP(Follow[[#This Row],[CODRASTREIO]],Controle_Pedidos[Cód Rastreamento],Controle_Pedidos[Número Pedido Cliente])</f>
        <v>Pedido 192</v>
      </c>
      <c r="B503" s="2" t="s">
        <v>17627</v>
      </c>
      <c r="C503" s="2" t="str">
        <f>Follow[[#This Row],[CODRASTREIO]]&amp;" B"</f>
        <v>CódRastreio185 B</v>
      </c>
      <c r="D503" s="52" t="str">
        <f>_xlfn.XLOOKUP(Follow[[#This Row],[Id Pedido]],Controle_Pedidos[Número Pedido Cliente],Controle_Pedidos[Loja])</f>
        <v>BV</v>
      </c>
      <c r="E503" s="9">
        <f>_xlfn.XLOOKUP(Follow[[#This Row],[Id Pedido]],Controle_Pedidos[Número Pedido Cliente],Controle_Pedidos[Prazo Entrega])</f>
        <v>45611</v>
      </c>
      <c r="F503" s="9" t="s">
        <v>19433</v>
      </c>
      <c r="G503" s="9" t="s">
        <v>37</v>
      </c>
      <c r="H503" s="52" t="s">
        <v>178</v>
      </c>
      <c r="I503" s="52" t="s">
        <v>178</v>
      </c>
      <c r="J503" s="55">
        <v>45607</v>
      </c>
      <c r="K503" s="54" t="s">
        <v>198</v>
      </c>
      <c r="L503" s="8" t="s">
        <v>124</v>
      </c>
      <c r="M503" s="8" t="s">
        <v>37</v>
      </c>
      <c r="N503" s="52" t="str">
        <f>IF(Follow[[#This Row],[DATAATUALIZAÇÃO]]&lt;=Follow[[#This Row],[Prev Entrega]],"Dentro do Prazo","Fora do Prazo")</f>
        <v>Dentro do Prazo</v>
      </c>
      <c r="O5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11/11/2024, referente ao pedido Nº Pedido 192 Rastreio Pedido 192, agradecemos a preferência e adoraríamos receber sua avaliação, tendo qualquer dúvida estamos à disposição.
Att
Tem tudo Shop</v>
      </c>
    </row>
    <row r="504" spans="1:15">
      <c r="A504" s="52" t="str">
        <f>_xlfn.XLOOKUP(Follow[[#This Row],[CODRASTREIO]],Controle_Pedidos[Cód Rastreamento],Controle_Pedidos[Número Pedido Cliente])</f>
        <v>Pedido 591</v>
      </c>
      <c r="B504" s="2" t="s">
        <v>18018</v>
      </c>
      <c r="C504" s="2" t="str">
        <f>Follow[[#This Row],[CODRASTREIO]]&amp;" B"</f>
        <v>CódRastreio576 B</v>
      </c>
      <c r="D504" s="52" t="str">
        <f>_xlfn.XLOOKUP(Follow[[#This Row],[Id Pedido]],Controle_Pedidos[Número Pedido Cliente],Controle_Pedidos[Loja])</f>
        <v>BV</v>
      </c>
      <c r="E504" s="9">
        <f>_xlfn.XLOOKUP(Follow[[#This Row],[Id Pedido]],Controle_Pedidos[Número Pedido Cliente],Controle_Pedidos[Prazo Entrega])</f>
        <v>45678</v>
      </c>
      <c r="F504" s="9" t="s">
        <v>19433</v>
      </c>
      <c r="G504" s="9" t="s">
        <v>37</v>
      </c>
      <c r="H504" s="52" t="s">
        <v>179</v>
      </c>
      <c r="I504" s="52" t="s">
        <v>178</v>
      </c>
      <c r="J504" s="55">
        <v>45659</v>
      </c>
      <c r="K504" s="52" t="s">
        <v>198</v>
      </c>
      <c r="L504" s="8" t="s">
        <v>124</v>
      </c>
      <c r="M504" s="8" t="s">
        <v>37</v>
      </c>
      <c r="N504" s="52" t="str">
        <f>IF(Follow[[#This Row],[DATAATUALIZAÇÃO]]&lt;=Follow[[#This Row],[Prev Entrega]],"Dentro do Prazo","Fora do Prazo")</f>
        <v>Dentro do Prazo</v>
      </c>
      <c r="O5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02/01/2025, referente ao pedido Nº Pedido 591 Rastreio Pedido 591, agradecemos a preferência e adoraríamos receber sua avaliação, tendo qualquer dúvida estamos à disposição.
Att
Tem tudo Shop</v>
      </c>
    </row>
    <row r="505" spans="1:15">
      <c r="A505" s="52" t="str">
        <f>_xlfn.XLOOKUP(Follow[[#This Row],[CODRASTREIO]],Controle_Pedidos[Cód Rastreamento],Controle_Pedidos[Número Pedido Cliente])</f>
        <v>Pedido 425</v>
      </c>
      <c r="B505" s="2" t="s">
        <v>17854</v>
      </c>
      <c r="C505" s="2" t="str">
        <f>Follow[[#This Row],[CODRASTREIO]]&amp;" B"</f>
        <v>CódRastreio412 B</v>
      </c>
      <c r="D505" s="52" t="str">
        <f>_xlfn.XLOOKUP(Follow[[#This Row],[Id Pedido]],Controle_Pedidos[Número Pedido Cliente],Controle_Pedidos[Loja])</f>
        <v>BV</v>
      </c>
      <c r="E505" s="9">
        <f>_xlfn.XLOOKUP(Follow[[#This Row],[Id Pedido]],Controle_Pedidos[Número Pedido Cliente],Controle_Pedidos[Prazo Entrega])</f>
        <v>45632</v>
      </c>
      <c r="F505" s="9" t="s">
        <v>19433</v>
      </c>
      <c r="G505" s="9" t="s">
        <v>37</v>
      </c>
      <c r="H505" s="52" t="s">
        <v>178</v>
      </c>
      <c r="I505" s="52" t="s">
        <v>178</v>
      </c>
      <c r="J505" s="55">
        <v>45623</v>
      </c>
      <c r="K505" s="54" t="s">
        <v>198</v>
      </c>
      <c r="L505" s="8" t="s">
        <v>124</v>
      </c>
      <c r="M505" s="8" t="s">
        <v>37</v>
      </c>
      <c r="N505" s="52" t="str">
        <f>IF(Follow[[#This Row],[DATAATUALIZAÇÃO]]&lt;=Follow[[#This Row],[Prev Entrega]],"Dentro do Prazo","Fora do Prazo")</f>
        <v>Dentro do Prazo</v>
      </c>
      <c r="O5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27/11/2024, referente ao pedido Nº Pedido 425 Rastreio Pedido 425, agradecemos a preferência e adoraríamos receber sua avaliação, tendo qualquer dúvida estamos à disposição.
Att
Tem tudo Shop</v>
      </c>
    </row>
    <row r="506" spans="1:15">
      <c r="A506" s="52" t="str">
        <f>_xlfn.XLOOKUP(Follow[[#This Row],[CODRASTREIO]],Controle_Pedidos[Cód Rastreamento],Controle_Pedidos[Número Pedido Cliente])</f>
        <v>Pedido 197</v>
      </c>
      <c r="B506" s="2" t="s">
        <v>17632</v>
      </c>
      <c r="C506" s="2" t="str">
        <f>Follow[[#This Row],[CODRASTREIO]]&amp;" B"</f>
        <v>CódRastreio190 B</v>
      </c>
      <c r="D506" s="52" t="str">
        <f>_xlfn.XLOOKUP(Follow[[#This Row],[Id Pedido]],Controle_Pedidos[Número Pedido Cliente],Controle_Pedidos[Loja])</f>
        <v>BV</v>
      </c>
      <c r="E506" s="9">
        <f>_xlfn.XLOOKUP(Follow[[#This Row],[Id Pedido]],Controle_Pedidos[Número Pedido Cliente],Controle_Pedidos[Prazo Entrega])</f>
        <v>45611</v>
      </c>
      <c r="F506" s="9" t="s">
        <v>19433</v>
      </c>
      <c r="G506" s="9" t="s">
        <v>37</v>
      </c>
      <c r="H506" s="52" t="s">
        <v>178</v>
      </c>
      <c r="I506" s="52" t="s">
        <v>178</v>
      </c>
      <c r="J506" s="55">
        <v>45603</v>
      </c>
      <c r="K506" s="54" t="s">
        <v>198</v>
      </c>
      <c r="L506" s="8" t="s">
        <v>124</v>
      </c>
      <c r="M506" s="8" t="s">
        <v>37</v>
      </c>
      <c r="N506" s="52" t="str">
        <f>IF(Follow[[#This Row],[DATAATUALIZAÇÃO]]&lt;=Follow[[#This Row],[Prev Entrega]],"Dentro do Prazo","Fora do Prazo")</f>
        <v>Dentro do Prazo</v>
      </c>
      <c r="O5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07/11/2024, referente ao pedido Nº Pedido 197 Rastreio Pedido 197, agradecemos a preferência e adoraríamos receber sua avaliação, tendo qualquer dúvida estamos à disposição.
Att
Tem tudo Shop</v>
      </c>
    </row>
    <row r="507" spans="1:15">
      <c r="A507" s="52" t="str">
        <f>_xlfn.XLOOKUP(Follow[[#This Row],[CODRASTREIO]],Controle_Pedidos[Cód Rastreamento],Controle_Pedidos[Número Pedido Cliente])</f>
        <v>Pedido 101</v>
      </c>
      <c r="B507" s="2" t="s">
        <v>17536</v>
      </c>
      <c r="C507" s="2" t="str">
        <f>Follow[[#This Row],[CODRASTREIO]]&amp;" B"</f>
        <v>CódRastreio94 B</v>
      </c>
      <c r="D507" s="52" t="str">
        <f>_xlfn.XLOOKUP(Follow[[#This Row],[Id Pedido]],Controle_Pedidos[Número Pedido Cliente],Controle_Pedidos[Loja])</f>
        <v>BV</v>
      </c>
      <c r="E507" s="9">
        <f>_xlfn.XLOOKUP(Follow[[#This Row],[Id Pedido]],Controle_Pedidos[Número Pedido Cliente],Controle_Pedidos[Prazo Entrega])</f>
        <v>45617</v>
      </c>
      <c r="F507" s="9" t="s">
        <v>19433</v>
      </c>
      <c r="G507" s="9" t="s">
        <v>37</v>
      </c>
      <c r="H507" s="52" t="s">
        <v>178</v>
      </c>
      <c r="I507" s="52" t="s">
        <v>178</v>
      </c>
      <c r="J507" s="55">
        <v>45598</v>
      </c>
      <c r="K507" s="54" t="s">
        <v>198</v>
      </c>
      <c r="L507" s="8" t="s">
        <v>124</v>
      </c>
      <c r="M507" s="8" t="s">
        <v>37</v>
      </c>
      <c r="N507" s="52" t="str">
        <f>IF(Follow[[#This Row],[DATAATUALIZAÇÃO]]&lt;=Follow[[#This Row],[Prev Entrega]],"Dentro do Prazo","Fora do Prazo")</f>
        <v>Dentro do Prazo</v>
      </c>
      <c r="O5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02/11/2024, referente ao pedido Nº Pedido 101 Rastreio Pedido 101, agradecemos a preferência e adoraríamos receber sua avaliação, tendo qualquer dúvida estamos à disposição.
Att
Tem tudo Shop</v>
      </c>
    </row>
    <row r="508" spans="1:15">
      <c r="A508" s="52" t="str">
        <f>_xlfn.XLOOKUP(Follow[[#This Row],[CODRASTREIO]],Controle_Pedidos[Cód Rastreamento],Controle_Pedidos[Número Pedido Cliente])</f>
        <v>Pedido 44</v>
      </c>
      <c r="B508" s="2" t="s">
        <v>17477</v>
      </c>
      <c r="C508" s="2" t="str">
        <f>Follow[[#This Row],[CODRASTREIO]]&amp;" B"</f>
        <v>CódRastreio35 B</v>
      </c>
      <c r="D508" s="52" t="str">
        <f>_xlfn.XLOOKUP(Follow[[#This Row],[Id Pedido]],Controle_Pedidos[Número Pedido Cliente],Controle_Pedidos[Loja])</f>
        <v>BV</v>
      </c>
      <c r="E508" s="9">
        <f>_xlfn.XLOOKUP(Follow[[#This Row],[Id Pedido]],Controle_Pedidos[Número Pedido Cliente],Controle_Pedidos[Prazo Entrega])</f>
        <v>45608</v>
      </c>
      <c r="F508" s="9" t="s">
        <v>19433</v>
      </c>
      <c r="G508" s="9" t="s">
        <v>37</v>
      </c>
      <c r="H508" s="52" t="s">
        <v>178</v>
      </c>
      <c r="I508" s="52" t="s">
        <v>178</v>
      </c>
      <c r="J508" s="55">
        <v>45593</v>
      </c>
      <c r="K508" s="54" t="s">
        <v>198</v>
      </c>
      <c r="L508" s="8" t="s">
        <v>124</v>
      </c>
      <c r="M508" s="8" t="s">
        <v>37</v>
      </c>
      <c r="N508" s="52" t="str">
        <f>IF(Follow[[#This Row],[DATAATUALIZAÇÃO]]&lt;=Follow[[#This Row],[Prev Entrega]],"Dentro do Prazo","Fora do Prazo")</f>
        <v>Dentro do Prazo</v>
      </c>
      <c r="O5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28/10/2024, referente ao pedido Nº Pedido 44 Rastreio Pedido 44, agradecemos a preferência e adoraríamos receber sua avaliação, tendo qualquer dúvida estamos à disposição.
Att
Tem tudo Shop</v>
      </c>
    </row>
    <row r="509" spans="1:15">
      <c r="A509" s="52" t="str">
        <f>_xlfn.XLOOKUP(Follow[[#This Row],[CODRASTREIO]],Controle_Pedidos[Cód Rastreamento],Controle_Pedidos[Número Pedido Cliente])</f>
        <v>Pedido 91</v>
      </c>
      <c r="B509" s="2" t="s">
        <v>17526</v>
      </c>
      <c r="C509" s="2" t="str">
        <f>Follow[[#This Row],[CODRASTREIO]]&amp;" B"</f>
        <v>CódRastreio84 B</v>
      </c>
      <c r="D509" s="52" t="str">
        <f>_xlfn.XLOOKUP(Follow[[#This Row],[Id Pedido]],Controle_Pedidos[Número Pedido Cliente],Controle_Pedidos[Loja])</f>
        <v>BV</v>
      </c>
      <c r="E509" s="9">
        <f>_xlfn.XLOOKUP(Follow[[#This Row],[Id Pedido]],Controle_Pedidos[Número Pedido Cliente],Controle_Pedidos[Prazo Entrega])</f>
        <v>45617</v>
      </c>
      <c r="F509" s="9" t="s">
        <v>19433</v>
      </c>
      <c r="G509" s="9" t="s">
        <v>37</v>
      </c>
      <c r="H509" s="52" t="s">
        <v>178</v>
      </c>
      <c r="I509" s="52" t="s">
        <v>178</v>
      </c>
      <c r="J509" s="55">
        <v>45601</v>
      </c>
      <c r="K509" s="54" t="s">
        <v>198</v>
      </c>
      <c r="L509" s="8" t="s">
        <v>124</v>
      </c>
      <c r="M509" s="8" t="s">
        <v>37</v>
      </c>
      <c r="N509" s="52" t="str">
        <f>IF(Follow[[#This Row],[DATAATUALIZAÇÃO]]&lt;=Follow[[#This Row],[Prev Entrega]],"Dentro do Prazo","Fora do Prazo")</f>
        <v>Dentro do Prazo</v>
      </c>
      <c r="O5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91 Rastreio Pedido 91, agradecemos a preferência e adoraríamos receber sua avaliação, tendo qualquer dúvida estamos à disposição.
Att
Tem tudo Shop</v>
      </c>
    </row>
    <row r="510" spans="1:15">
      <c r="A510" s="52" t="str">
        <f>_xlfn.XLOOKUP(Follow[[#This Row],[CODRASTREIO]],Controle_Pedidos[Cód Rastreamento],Controle_Pedidos[Número Pedido Cliente])</f>
        <v>Pedido 431</v>
      </c>
      <c r="B510" s="2" t="s">
        <v>17859</v>
      </c>
      <c r="C510" s="2" t="str">
        <f>Follow[[#This Row],[CODRASTREIO]]&amp;" B"</f>
        <v>CódRastreio417 B</v>
      </c>
      <c r="D510" s="52" t="str">
        <f>_xlfn.XLOOKUP(Follow[[#This Row],[Id Pedido]],Controle_Pedidos[Número Pedido Cliente],Controle_Pedidos[Loja])</f>
        <v>BV</v>
      </c>
      <c r="E510" s="9">
        <f>_xlfn.XLOOKUP(Follow[[#This Row],[Id Pedido]],Controle_Pedidos[Número Pedido Cliente],Controle_Pedidos[Prazo Entrega])</f>
        <v>45646</v>
      </c>
      <c r="F510" s="9" t="s">
        <v>19433</v>
      </c>
      <c r="G510" s="9" t="s">
        <v>37</v>
      </c>
      <c r="H510" s="55" t="s">
        <v>179</v>
      </c>
      <c r="I510" s="55" t="s">
        <v>178</v>
      </c>
      <c r="J510" s="55">
        <v>45638</v>
      </c>
      <c r="K510" s="52" t="s">
        <v>198</v>
      </c>
      <c r="L510" s="8" t="s">
        <v>124</v>
      </c>
      <c r="M510" s="8" t="s">
        <v>37</v>
      </c>
      <c r="N510" s="52" t="str">
        <f>IF(Follow[[#This Row],[DATAATUALIZAÇÃO]]&lt;=Follow[[#This Row],[Prev Entrega]],"Dentro do Prazo","Fora do Prazo")</f>
        <v>Dentro do Prazo</v>
      </c>
      <c r="O5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12/12/2024, referente ao pedido Nº Pedido 431 Rastreio Pedido 431, agradecemos a preferência e adoraríamos receber sua avaliação, tendo qualquer dúvida estamos à disposição.
Att
Tem tudo Shop</v>
      </c>
    </row>
    <row r="511" spans="1:15">
      <c r="A511" s="52" t="str">
        <f>_xlfn.XLOOKUP(Follow[[#This Row],[CODRASTREIO]],Controle_Pedidos[Cód Rastreamento],Controle_Pedidos[Número Pedido Cliente])</f>
        <v>Pedido 569</v>
      </c>
      <c r="B511" s="2" t="s">
        <v>17996</v>
      </c>
      <c r="C511" s="2" t="str">
        <f>Follow[[#This Row],[CODRASTREIO]]&amp;" B"</f>
        <v>CódRastreio554 B</v>
      </c>
      <c r="D511" s="52" t="str">
        <f>_xlfn.XLOOKUP(Follow[[#This Row],[Id Pedido]],Controle_Pedidos[Número Pedido Cliente],Controle_Pedidos[Loja])</f>
        <v>BV</v>
      </c>
      <c r="E511" s="9">
        <f>_xlfn.XLOOKUP(Follow[[#This Row],[Id Pedido]],Controle_Pedidos[Número Pedido Cliente],Controle_Pedidos[Prazo Entrega])</f>
        <v>45666</v>
      </c>
      <c r="F511" s="9" t="s">
        <v>19433</v>
      </c>
      <c r="G511" s="9" t="s">
        <v>37</v>
      </c>
      <c r="H511" s="52" t="s">
        <v>178</v>
      </c>
      <c r="I511" s="52" t="s">
        <v>178</v>
      </c>
      <c r="J511" s="55">
        <v>45645</v>
      </c>
      <c r="K511" s="52" t="s">
        <v>198</v>
      </c>
      <c r="L511" s="8" t="s">
        <v>124</v>
      </c>
      <c r="M511" s="8" t="s">
        <v>37</v>
      </c>
      <c r="N511" s="52" t="str">
        <f>IF(Follow[[#This Row],[DATAATUALIZAÇÃO]]&lt;=Follow[[#This Row],[Prev Entrega]],"Dentro do Prazo","Fora do Prazo")</f>
        <v>Dentro do Prazo</v>
      </c>
      <c r="O5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19/12/2024, referente ao pedido Nº Pedido 569 Rastreio Pedido 569, agradecemos a preferência e adoraríamos receber sua avaliação, tendo qualquer dúvida estamos à disposição.
Att
Tem tudo Shop</v>
      </c>
    </row>
    <row r="512" spans="1:15">
      <c r="A512" s="52" t="str">
        <f>_xlfn.XLOOKUP(Follow[[#This Row],[CODRASTREIO]],Controle_Pedidos[Cód Rastreamento],Controle_Pedidos[Número Pedido Cliente])</f>
        <v>Pedido 165</v>
      </c>
      <c r="B512" s="2" t="s">
        <v>17600</v>
      </c>
      <c r="C512" s="2" t="str">
        <f>Follow[[#This Row],[CODRASTREIO]]&amp;" B"</f>
        <v>CódRastreio158 B</v>
      </c>
      <c r="D512" s="52" t="str">
        <f>_xlfn.XLOOKUP(Follow[[#This Row],[Id Pedido]],Controle_Pedidos[Número Pedido Cliente],Controle_Pedidos[Loja])</f>
        <v>BV</v>
      </c>
      <c r="E512" s="9">
        <f>_xlfn.XLOOKUP(Follow[[#This Row],[Id Pedido]],Controle_Pedidos[Número Pedido Cliente],Controle_Pedidos[Prazo Entrega])</f>
        <v>45622</v>
      </c>
      <c r="F512" s="9" t="s">
        <v>19433</v>
      </c>
      <c r="G512" s="9" t="s">
        <v>37</v>
      </c>
      <c r="H512" s="52" t="s">
        <v>179</v>
      </c>
      <c r="I512" s="52" t="s">
        <v>178</v>
      </c>
      <c r="J512" s="55">
        <v>45607</v>
      </c>
      <c r="K512" s="54" t="s">
        <v>198</v>
      </c>
      <c r="L512" s="8" t="s">
        <v>124</v>
      </c>
      <c r="M512" s="8" t="s">
        <v>37</v>
      </c>
      <c r="N512" s="52" t="str">
        <f>IF(Follow[[#This Row],[DATAATUALIZAÇÃO]]&lt;=Follow[[#This Row],[Prev Entrega]],"Dentro do Prazo","Fora do Prazo")</f>
        <v>Dentro do Prazo</v>
      </c>
      <c r="O5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11/11/2024, referente ao pedido Nº Pedido 165 Rastreio Pedido 165, agradecemos a preferência e adoraríamos receber sua avaliação, tendo qualquer dúvida estamos à disposição.
Att
Tem tudo Shop</v>
      </c>
    </row>
    <row r="513" spans="1:15">
      <c r="A513" s="52" t="str">
        <f>_xlfn.XLOOKUP(Follow[[#This Row],[CODRASTREIO]],Controle_Pedidos[Cód Rastreamento],Controle_Pedidos[Número Pedido Cliente])</f>
        <v>Pedido 166</v>
      </c>
      <c r="B513" s="2" t="s">
        <v>17601</v>
      </c>
      <c r="C513" s="2" t="str">
        <f>Follow[[#This Row],[CODRASTREIO]]&amp;" B"</f>
        <v>CódRastreio159 B</v>
      </c>
      <c r="D513" s="52" t="str">
        <f>_xlfn.XLOOKUP(Follow[[#This Row],[Id Pedido]],Controle_Pedidos[Número Pedido Cliente],Controle_Pedidos[Loja])</f>
        <v>BV</v>
      </c>
      <c r="E513" s="9">
        <f>_xlfn.XLOOKUP(Follow[[#This Row],[Id Pedido]],Controle_Pedidos[Número Pedido Cliente],Controle_Pedidos[Prazo Entrega])</f>
        <v>45622</v>
      </c>
      <c r="F513" s="9" t="s">
        <v>19433</v>
      </c>
      <c r="G513" s="9" t="s">
        <v>37</v>
      </c>
      <c r="H513" s="52" t="s">
        <v>179</v>
      </c>
      <c r="I513" s="52" t="s">
        <v>178</v>
      </c>
      <c r="J513" s="55">
        <v>45610</v>
      </c>
      <c r="K513" s="54" t="s">
        <v>198</v>
      </c>
      <c r="L513" s="8" t="s">
        <v>124</v>
      </c>
      <c r="M513" s="8" t="s">
        <v>37</v>
      </c>
      <c r="N513" s="52" t="str">
        <f>IF(Follow[[#This Row],[DATAATUALIZAÇÃO]]&lt;=Follow[[#This Row],[Prev Entrega]],"Dentro do Prazo","Fora do Prazo")</f>
        <v>Dentro do Prazo</v>
      </c>
      <c r="O5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14/11/2024, referente ao pedido Nº Pedido 166 Rastreio Pedido 166, agradecemos a preferência e adoraríamos receber sua avaliação, tendo qualquer dúvida estamos à disposição.
Att
Tem tudo Shop</v>
      </c>
    </row>
    <row r="514" spans="1:15">
      <c r="A514" s="52" t="str">
        <f>_xlfn.XLOOKUP(Follow[[#This Row],[CODRASTREIO]],Controle_Pedidos[Cód Rastreamento],Controle_Pedidos[Número Pedido Cliente])</f>
        <v>Pedido 564</v>
      </c>
      <c r="B514" s="2" t="s">
        <v>17991</v>
      </c>
      <c r="C514" s="2" t="str">
        <f>Follow[[#This Row],[CODRASTREIO]]&amp;" B"</f>
        <v>CódRastreio549 B</v>
      </c>
      <c r="D514" s="52" t="str">
        <f>_xlfn.XLOOKUP(Follow[[#This Row],[Id Pedido]],Controle_Pedidos[Número Pedido Cliente],Controle_Pedidos[Loja])</f>
        <v>BV</v>
      </c>
      <c r="E514" s="9">
        <f>_xlfn.XLOOKUP(Follow[[#This Row],[Id Pedido]],Controle_Pedidos[Número Pedido Cliente],Controle_Pedidos[Prazo Entrega])</f>
        <v>45666</v>
      </c>
      <c r="F514" s="9" t="s">
        <v>19433</v>
      </c>
      <c r="G514" s="9" t="s">
        <v>37</v>
      </c>
      <c r="H514" s="52" t="s">
        <v>179</v>
      </c>
      <c r="I514" s="52" t="s">
        <v>178</v>
      </c>
      <c r="J514" s="55">
        <v>45649</v>
      </c>
      <c r="K514" s="52" t="s">
        <v>198</v>
      </c>
      <c r="L514" s="8" t="s">
        <v>124</v>
      </c>
      <c r="M514" s="8" t="s">
        <v>37</v>
      </c>
      <c r="N514" s="52" t="str">
        <f>IF(Follow[[#This Row],[DATAATUALIZAÇÃO]]&lt;=Follow[[#This Row],[Prev Entrega]],"Dentro do Prazo","Fora do Prazo")</f>
        <v>Dentro do Prazo</v>
      </c>
      <c r="O5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23/12/2024, referente ao pedido Nº Pedido 564 Rastreio Pedido 564, agradecemos a preferência e adoraríamos receber sua avaliação, tendo qualquer dúvida estamos à disposição.
Att
Tem tudo Shop</v>
      </c>
    </row>
    <row r="515" spans="1:15">
      <c r="A515" s="52" t="str">
        <f>_xlfn.XLOOKUP(Follow[[#This Row],[CODRASTREIO]],Controle_Pedidos[Cód Rastreamento],Controle_Pedidos[Número Pedido Cliente])</f>
        <v>Pedido 30</v>
      </c>
      <c r="B515" s="2" t="s">
        <v>17463</v>
      </c>
      <c r="C515" s="2" t="str">
        <f>Follow[[#This Row],[CODRASTREIO]]&amp;" B"</f>
        <v>CódRastreio21 B</v>
      </c>
      <c r="D515" s="52" t="str">
        <f>_xlfn.XLOOKUP(Follow[[#This Row],[Id Pedido]],Controle_Pedidos[Número Pedido Cliente],Controle_Pedidos[Loja])</f>
        <v>BV</v>
      </c>
      <c r="E515" s="9">
        <f>_xlfn.XLOOKUP(Follow[[#This Row],[Id Pedido]],Controle_Pedidos[Número Pedido Cliente],Controle_Pedidos[Prazo Entrega])</f>
        <v>45603</v>
      </c>
      <c r="F515" s="9" t="s">
        <v>19433</v>
      </c>
      <c r="G515" s="9" t="s">
        <v>37</v>
      </c>
      <c r="H515" s="52" t="s">
        <v>178</v>
      </c>
      <c r="I515" s="52" t="s">
        <v>178</v>
      </c>
      <c r="J515" s="55">
        <v>45593</v>
      </c>
      <c r="K515" s="54" t="s">
        <v>198</v>
      </c>
      <c r="L515" s="8" t="s">
        <v>124</v>
      </c>
      <c r="M515" s="8" t="s">
        <v>37</v>
      </c>
      <c r="N515" s="52" t="str">
        <f>IF(Follow[[#This Row],[DATAATUALIZAÇÃO]]&lt;=Follow[[#This Row],[Prev Entrega]],"Dentro do Prazo","Fora do Prazo")</f>
        <v>Dentro do Prazo</v>
      </c>
      <c r="O5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28/10/2024, referente ao pedido Nº Pedido 30 Rastreio Pedido 30, agradecemos a preferência e adoraríamos receber sua avaliação, tendo qualquer dúvida estamos à disposição.
Att
Tem tudo Shop</v>
      </c>
    </row>
    <row r="516" spans="1:15">
      <c r="A516" s="52" t="str">
        <f>_xlfn.XLOOKUP(Follow[[#This Row],[CODRASTREIO]],Controle_Pedidos[Cód Rastreamento],Controle_Pedidos[Número Pedido Cliente])</f>
        <v>Pedido 549</v>
      </c>
      <c r="B516" s="2" t="s">
        <v>17976</v>
      </c>
      <c r="C516" s="2" t="str">
        <f>Follow[[#This Row],[CODRASTREIO]]&amp;" B"</f>
        <v>CódRastreio534 B</v>
      </c>
      <c r="D516" s="52" t="str">
        <f>_xlfn.XLOOKUP(Follow[[#This Row],[Id Pedido]],Controle_Pedidos[Número Pedido Cliente],Controle_Pedidos[Loja])</f>
        <v>BV</v>
      </c>
      <c r="E516" s="9">
        <f>_xlfn.XLOOKUP(Follow[[#This Row],[Id Pedido]],Controle_Pedidos[Número Pedido Cliente],Controle_Pedidos[Prazo Entrega])</f>
        <v>45671</v>
      </c>
      <c r="F516" s="9" t="s">
        <v>19433</v>
      </c>
      <c r="G516" s="9" t="s">
        <v>37</v>
      </c>
      <c r="H516" s="52" t="s">
        <v>179</v>
      </c>
      <c r="I516" s="52" t="s">
        <v>178</v>
      </c>
      <c r="J516" s="55">
        <v>45659</v>
      </c>
      <c r="K516" s="52" t="s">
        <v>198</v>
      </c>
      <c r="L516" s="8" t="s">
        <v>124</v>
      </c>
      <c r="M516" s="8" t="s">
        <v>37</v>
      </c>
      <c r="N516" s="52" t="str">
        <f>IF(Follow[[#This Row],[DATAATUALIZAÇÃO]]&lt;=Follow[[#This Row],[Prev Entrega]],"Dentro do Prazo","Fora do Prazo")</f>
        <v>Dentro do Prazo</v>
      </c>
      <c r="O5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549 Rastreio Pedido 549, agradecemos a preferência e adoraríamos receber sua avaliação, tendo qualquer dúvida estamos à disposição.
Att
Tem tudo Shop</v>
      </c>
    </row>
    <row r="517" spans="1:15">
      <c r="A517" s="52" t="str">
        <f>_xlfn.XLOOKUP(Follow[[#This Row],[CODRASTREIO]],Controle_Pedidos[Cód Rastreamento],Controle_Pedidos[Número Pedido Cliente])</f>
        <v>Pedido 387</v>
      </c>
      <c r="B517" s="2" t="s">
        <v>17819</v>
      </c>
      <c r="C517" s="2" t="str">
        <f>Follow[[#This Row],[CODRASTREIO]]&amp;" B"</f>
        <v>CódRastreio377 B</v>
      </c>
      <c r="D517" s="52" t="str">
        <f>_xlfn.XLOOKUP(Follow[[#This Row],[Id Pedido]],Controle_Pedidos[Número Pedido Cliente],Controle_Pedidos[Loja])</f>
        <v>BV</v>
      </c>
      <c r="E517" s="9">
        <f>_xlfn.XLOOKUP(Follow[[#This Row],[Id Pedido]],Controle_Pedidos[Número Pedido Cliente],Controle_Pedidos[Prazo Entrega])</f>
        <v>45640</v>
      </c>
      <c r="F517" s="9" t="s">
        <v>19433</v>
      </c>
      <c r="G517" s="9" t="s">
        <v>37</v>
      </c>
      <c r="H517" s="52" t="s">
        <v>179</v>
      </c>
      <c r="I517" s="52" t="s">
        <v>178</v>
      </c>
      <c r="J517" s="55">
        <v>45629</v>
      </c>
      <c r="K517" s="54" t="s">
        <v>198</v>
      </c>
      <c r="L517" s="8" t="s">
        <v>124</v>
      </c>
      <c r="M517" s="8" t="s">
        <v>37</v>
      </c>
      <c r="N517" s="52" t="str">
        <f>IF(Follow[[#This Row],[DATAATUALIZAÇÃO]]&lt;=Follow[[#This Row],[Prev Entrega]],"Dentro do Prazo","Fora do Prazo")</f>
        <v>Dentro do Prazo</v>
      </c>
      <c r="O5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03/12/2024, referente ao pedido Nº Pedido 387 Rastreio Pedido 387, agradecemos a preferência e adoraríamos receber sua avaliação, tendo qualquer dúvida estamos à disposição.
Att
Tem tudo Shop</v>
      </c>
    </row>
    <row r="518" spans="1:15">
      <c r="A518" s="52" t="str">
        <f>_xlfn.XLOOKUP(Follow[[#This Row],[CODRASTREIO]],Controle_Pedidos[Cód Rastreamento],Controle_Pedidos[Número Pedido Cliente])</f>
        <v>Pedido 430</v>
      </c>
      <c r="B518" s="2" t="s">
        <v>17858</v>
      </c>
      <c r="C518" s="2" t="str">
        <f>Follow[[#This Row],[CODRASTREIO]]&amp;" B"</f>
        <v>CódRastreio416 B</v>
      </c>
      <c r="D518" s="52" t="str">
        <f>_xlfn.XLOOKUP(Follow[[#This Row],[Id Pedido]],Controle_Pedidos[Número Pedido Cliente],Controle_Pedidos[Loja])</f>
        <v>BV</v>
      </c>
      <c r="E518" s="9">
        <f>_xlfn.XLOOKUP(Follow[[#This Row],[Id Pedido]],Controle_Pedidos[Número Pedido Cliente],Controle_Pedidos[Prazo Entrega])</f>
        <v>45639</v>
      </c>
      <c r="F518" s="9" t="s">
        <v>19433</v>
      </c>
      <c r="G518" s="9" t="s">
        <v>37</v>
      </c>
      <c r="H518" s="55" t="s">
        <v>179</v>
      </c>
      <c r="I518" s="55" t="s">
        <v>178</v>
      </c>
      <c r="J518" s="55">
        <v>45630</v>
      </c>
      <c r="K518" s="54" t="s">
        <v>198</v>
      </c>
      <c r="L518" s="8" t="s">
        <v>124</v>
      </c>
      <c r="M518" s="8" t="s">
        <v>37</v>
      </c>
      <c r="N518" s="52" t="str">
        <f>IF(Follow[[#This Row],[DATAATUALIZAÇÃO]]&lt;=Follow[[#This Row],[Prev Entrega]],"Dentro do Prazo","Fora do Prazo")</f>
        <v>Dentro do Prazo</v>
      </c>
      <c r="O5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04/12/2024, referente ao pedido Nº Pedido 430 Rastreio Pedido 430, agradecemos a preferência e adoraríamos receber sua avaliação, tendo qualquer dúvida estamos à disposição.
Att
Tem tudo Shop</v>
      </c>
    </row>
    <row r="519" spans="1:15">
      <c r="A519" s="52" t="str">
        <f>_xlfn.XLOOKUP(Follow[[#This Row],[CODRASTREIO]],Controle_Pedidos[Cód Rastreamento],Controle_Pedidos[Número Pedido Cliente])</f>
        <v>Pedido 350</v>
      </c>
      <c r="B519" s="2" t="s">
        <v>17785</v>
      </c>
      <c r="C519" s="2" t="str">
        <f>Follow[[#This Row],[CODRASTREIO]]&amp;" B"</f>
        <v>CódRastreio343 B</v>
      </c>
      <c r="D519" s="52" t="str">
        <f>_xlfn.XLOOKUP(Follow[[#This Row],[Id Pedido]],Controle_Pedidos[Número Pedido Cliente],Controle_Pedidos[Loja])</f>
        <v>BV</v>
      </c>
      <c r="E519" s="9">
        <f>_xlfn.XLOOKUP(Follow[[#This Row],[Id Pedido]],Controle_Pedidos[Número Pedido Cliente],Controle_Pedidos[Prazo Entrega])</f>
        <v>45631</v>
      </c>
      <c r="F519" s="9" t="s">
        <v>19433</v>
      </c>
      <c r="G519" s="9" t="s">
        <v>37</v>
      </c>
      <c r="H519" s="55" t="s">
        <v>179</v>
      </c>
      <c r="I519" s="55" t="s">
        <v>178</v>
      </c>
      <c r="J519" s="55">
        <v>45618</v>
      </c>
      <c r="K519" s="52" t="s">
        <v>198</v>
      </c>
      <c r="L519" s="8" t="s">
        <v>124</v>
      </c>
      <c r="M519" s="8" t="s">
        <v>19440</v>
      </c>
      <c r="N519" s="52" t="str">
        <f>IF(Follow[[#This Row],[DATAATUALIZAÇÃO]]&lt;=Follow[[#This Row],[Prev Entrega]],"Dentro do Prazo","Fora do Prazo")</f>
        <v>Dentro do Prazo</v>
      </c>
      <c r="O519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22/11/2024, referente ao pedido Nº Pedido 350 Rastreio Pedido 350, agradecemos a preferência e adoraríamos receber sua avaliação, tendo qualquer dúvida estamos à disposição.
Att
Tem tudo Shop</v>
      </c>
    </row>
    <row r="520" spans="1:15">
      <c r="A520" s="52" t="str">
        <f>_xlfn.XLOOKUP(Follow[[#This Row],[CODRASTREIO]],Controle_Pedidos[Cód Rastreamento],Controle_Pedidos[Número Pedido Cliente])</f>
        <v>Pedido 315</v>
      </c>
      <c r="B520" s="2" t="s">
        <v>17750</v>
      </c>
      <c r="C520" s="2" t="str">
        <f>Follow[[#This Row],[CODRASTREIO]]&amp;" B"</f>
        <v>CódRastreio308 B</v>
      </c>
      <c r="D520" s="52" t="str">
        <f>_xlfn.XLOOKUP(Follow[[#This Row],[Id Pedido]],Controle_Pedidos[Número Pedido Cliente],Controle_Pedidos[Loja])</f>
        <v>BV</v>
      </c>
      <c r="E520" s="9">
        <f>_xlfn.XLOOKUP(Follow[[#This Row],[Id Pedido]],Controle_Pedidos[Número Pedido Cliente],Controle_Pedidos[Prazo Entrega])</f>
        <v>45622</v>
      </c>
      <c r="F520" s="9" t="s">
        <v>19433</v>
      </c>
      <c r="G520" s="9" t="s">
        <v>37</v>
      </c>
      <c r="H520" s="52" t="s">
        <v>178</v>
      </c>
      <c r="I520" s="52" t="s">
        <v>178</v>
      </c>
      <c r="J520" s="55">
        <v>45610</v>
      </c>
      <c r="K520" s="54" t="s">
        <v>198</v>
      </c>
      <c r="L520" s="8" t="s">
        <v>124</v>
      </c>
      <c r="M520" s="8" t="s">
        <v>37</v>
      </c>
      <c r="N520" s="52" t="str">
        <f>IF(Follow[[#This Row],[DATAATUALIZAÇÃO]]&lt;=Follow[[#This Row],[Prev Entrega]],"Dentro do Prazo","Fora do Prazo")</f>
        <v>Dentro do Prazo</v>
      </c>
      <c r="O5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14/11/2024, referente ao pedido Nº Pedido 315 Rastreio Pedido 315, agradecemos a preferência e adoraríamos receber sua avaliação, tendo qualquer dúvida estamos à disposição.
Att
Tem tudo Shop</v>
      </c>
    </row>
    <row r="521" spans="1:15">
      <c r="A521" s="52" t="str">
        <f>_xlfn.XLOOKUP(Follow[[#This Row],[CODRASTREIO]],Controle_Pedidos[Cód Rastreamento],Controle_Pedidos[Número Pedido Cliente])</f>
        <v>Pedido 99</v>
      </c>
      <c r="B521" s="2" t="s">
        <v>17534</v>
      </c>
      <c r="C521" s="2" t="str">
        <f>Follow[[#This Row],[CODRASTREIO]]&amp;" B"</f>
        <v>CódRastreio92 B</v>
      </c>
      <c r="D521" s="52" t="str">
        <f>_xlfn.XLOOKUP(Follow[[#This Row],[Id Pedido]],Controle_Pedidos[Número Pedido Cliente],Controle_Pedidos[Loja])</f>
        <v>BV</v>
      </c>
      <c r="E521" s="9">
        <f>_xlfn.XLOOKUP(Follow[[#This Row],[Id Pedido]],Controle_Pedidos[Número Pedido Cliente],Controle_Pedidos[Prazo Entrega])</f>
        <v>45608</v>
      </c>
      <c r="F521" s="9" t="s">
        <v>19433</v>
      </c>
      <c r="G521" s="9" t="s">
        <v>37</v>
      </c>
      <c r="H521" s="52" t="s">
        <v>178</v>
      </c>
      <c r="I521" s="52" t="s">
        <v>178</v>
      </c>
      <c r="J521" s="55">
        <v>45595</v>
      </c>
      <c r="K521" s="54" t="s">
        <v>198</v>
      </c>
      <c r="L521" s="8" t="s">
        <v>124</v>
      </c>
      <c r="M521" s="8" t="s">
        <v>37</v>
      </c>
      <c r="N521" s="52" t="str">
        <f>IF(Follow[[#This Row],[DATAATUALIZAÇÃO]]&lt;=Follow[[#This Row],[Prev Entrega]],"Dentro do Prazo","Fora do Prazo")</f>
        <v>Dentro do Prazo</v>
      </c>
      <c r="O5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30/10/2024, referente ao pedido Nº Pedido 99 Rastreio Pedido 99, agradecemos a preferência e adoraríamos receber sua avaliação, tendo qualquer dúvida estamos à disposição.
Att
Tem tudo Shop</v>
      </c>
    </row>
    <row r="522" spans="1:15">
      <c r="A522" s="52" t="str">
        <f>_xlfn.XLOOKUP(Follow[[#This Row],[CODRASTREIO]],Controle_Pedidos[Cód Rastreamento],Controle_Pedidos[Número Pedido Cliente])</f>
        <v>Pedido 318</v>
      </c>
      <c r="B522" s="2" t="s">
        <v>17753</v>
      </c>
      <c r="C522" s="2" t="str">
        <f>Follow[[#This Row],[CODRASTREIO]]&amp;" B"</f>
        <v>CódRastreio311 B</v>
      </c>
      <c r="D522" s="52" t="str">
        <f>_xlfn.XLOOKUP(Follow[[#This Row],[Id Pedido]],Controle_Pedidos[Número Pedido Cliente],Controle_Pedidos[Loja])</f>
        <v>BV</v>
      </c>
      <c r="E522" s="9">
        <f>_xlfn.XLOOKUP(Follow[[#This Row],[Id Pedido]],Controle_Pedidos[Número Pedido Cliente],Controle_Pedidos[Prazo Entrega])</f>
        <v>45629</v>
      </c>
      <c r="F522" s="9" t="s">
        <v>19433</v>
      </c>
      <c r="G522" s="9" t="s">
        <v>37</v>
      </c>
      <c r="H522" s="52" t="s">
        <v>178</v>
      </c>
      <c r="I522" s="52" t="s">
        <v>178</v>
      </c>
      <c r="J522" s="55">
        <v>45623</v>
      </c>
      <c r="K522" s="54" t="s">
        <v>198</v>
      </c>
      <c r="L522" s="8" t="s">
        <v>124</v>
      </c>
      <c r="M522" s="8" t="s">
        <v>37</v>
      </c>
      <c r="N522" s="52" t="str">
        <f>IF(Follow[[#This Row],[DATAATUALIZAÇÃO]]&lt;=Follow[[#This Row],[Prev Entrega]],"Dentro do Prazo","Fora do Prazo")</f>
        <v>Dentro do Prazo</v>
      </c>
      <c r="O5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27/11/2024, referente ao pedido Nº Pedido 318 Rastreio Pedido 318, agradecemos a preferência e adoraríamos receber sua avaliação, tendo qualquer dúvida estamos à disposição.
Att
Tem tudo Shop</v>
      </c>
    </row>
    <row r="523" spans="1:15">
      <c r="A523" s="52" t="str">
        <f>_xlfn.XLOOKUP(Follow[[#This Row],[CODRASTREIO]],Controle_Pedidos[Cód Rastreamento],Controle_Pedidos[Número Pedido Cliente])</f>
        <v>Pedido 386</v>
      </c>
      <c r="B523" s="2" t="s">
        <v>17818</v>
      </c>
      <c r="C523" s="2" t="str">
        <f>Follow[[#This Row],[CODRASTREIO]]&amp;" B"</f>
        <v>CódRastreio376 B</v>
      </c>
      <c r="D523" s="52" t="str">
        <f>_xlfn.XLOOKUP(Follow[[#This Row],[Id Pedido]],Controle_Pedidos[Número Pedido Cliente],Controle_Pedidos[Loja])</f>
        <v>BV</v>
      </c>
      <c r="E523" s="9">
        <f>_xlfn.XLOOKUP(Follow[[#This Row],[Id Pedido]],Controle_Pedidos[Número Pedido Cliente],Controle_Pedidos[Prazo Entrega])</f>
        <v>45636</v>
      </c>
      <c r="F523" s="9" t="s">
        <v>19433</v>
      </c>
      <c r="G523" s="9" t="s">
        <v>37</v>
      </c>
      <c r="H523" s="52" t="s">
        <v>179</v>
      </c>
      <c r="I523" s="52" t="s">
        <v>178</v>
      </c>
      <c r="J523" s="55">
        <v>45628</v>
      </c>
      <c r="K523" s="54" t="s">
        <v>198</v>
      </c>
      <c r="L523" s="8" t="s">
        <v>124</v>
      </c>
      <c r="M523" s="8" t="s">
        <v>37</v>
      </c>
      <c r="N523" s="52" t="str">
        <f>IF(Follow[[#This Row],[DATAATUALIZAÇÃO]]&lt;=Follow[[#This Row],[Prev Entrega]],"Dentro do Prazo","Fora do Prazo")</f>
        <v>Dentro do Prazo</v>
      </c>
      <c r="O5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02/12/2024, referente ao pedido Nº Pedido 386 Rastreio Pedido 386, agradecemos a preferência e adoraríamos receber sua avaliação, tendo qualquer dúvida estamos à disposição.
Att
Tem tudo Shop</v>
      </c>
    </row>
    <row r="524" spans="1:15">
      <c r="A524" s="52" t="str">
        <f>_xlfn.XLOOKUP(Follow[[#This Row],[CODRASTREIO]],Controle_Pedidos[Cód Rastreamento],Controle_Pedidos[Número Pedido Cliente])</f>
        <v>Pedido 561</v>
      </c>
      <c r="B524" s="2" t="s">
        <v>17988</v>
      </c>
      <c r="C524" s="2" t="str">
        <f>Follow[[#This Row],[CODRASTREIO]]&amp;" B"</f>
        <v>CódRastreio546 B</v>
      </c>
      <c r="D524" s="52" t="str">
        <f>_xlfn.XLOOKUP(Follow[[#This Row],[Id Pedido]],Controle_Pedidos[Número Pedido Cliente],Controle_Pedidos[Loja])</f>
        <v>BV</v>
      </c>
      <c r="E524" s="9">
        <f>_xlfn.XLOOKUP(Follow[[#This Row],[Id Pedido]],Controle_Pedidos[Número Pedido Cliente],Controle_Pedidos[Prazo Entrega])</f>
        <v>45666</v>
      </c>
      <c r="F524" s="9" t="s">
        <v>19433</v>
      </c>
      <c r="G524" s="9" t="s">
        <v>37</v>
      </c>
      <c r="H524" s="52" t="s">
        <v>179</v>
      </c>
      <c r="I524" s="52" t="s">
        <v>178</v>
      </c>
      <c r="J524" s="55">
        <v>45656</v>
      </c>
      <c r="K524" s="52" t="s">
        <v>198</v>
      </c>
      <c r="L524" s="8" t="s">
        <v>124</v>
      </c>
      <c r="M524" s="8" t="s">
        <v>37</v>
      </c>
      <c r="N524" s="52" t="str">
        <f>IF(Follow[[#This Row],[DATAATUALIZAÇÃO]]&lt;=Follow[[#This Row],[Prev Entrega]],"Dentro do Prazo","Fora do Prazo")</f>
        <v>Dentro do Prazo</v>
      </c>
      <c r="O52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30/12/2024, referente ao pedido Nº Pedido 561 Rastreio Pedido 561, agradecemos a preferência e adoraríamos receber sua avaliação, tendo qualquer dúvida estamos à disposição.
Att
Tem tudo Shop</v>
      </c>
    </row>
    <row r="525" spans="1:15">
      <c r="A525" s="52" t="str">
        <f>_xlfn.XLOOKUP(Follow[[#This Row],[CODRASTREIO]],Controle_Pedidos[Cód Rastreamento],Controle_Pedidos[Número Pedido Cliente])</f>
        <v>Pedido 152</v>
      </c>
      <c r="B525" s="2" t="s">
        <v>17587</v>
      </c>
      <c r="C525" s="2" t="str">
        <f>Follow[[#This Row],[CODRASTREIO]]&amp;" B"</f>
        <v>CódRastreio145 B</v>
      </c>
      <c r="D525" s="52" t="str">
        <f>_xlfn.XLOOKUP(Follow[[#This Row],[Id Pedido]],Controle_Pedidos[Número Pedido Cliente],Controle_Pedidos[Loja])</f>
        <v>BV</v>
      </c>
      <c r="E525" s="9">
        <f>_xlfn.XLOOKUP(Follow[[#This Row],[Id Pedido]],Controle_Pedidos[Número Pedido Cliente],Controle_Pedidos[Prazo Entrega])</f>
        <v>45608</v>
      </c>
      <c r="F525" s="9" t="s">
        <v>19433</v>
      </c>
      <c r="G525" s="9" t="s">
        <v>37</v>
      </c>
      <c r="H525" s="52" t="s">
        <v>178</v>
      </c>
      <c r="I525" s="52" t="s">
        <v>178</v>
      </c>
      <c r="J525" s="55">
        <v>45597</v>
      </c>
      <c r="K525" s="54" t="s">
        <v>198</v>
      </c>
      <c r="L525" s="8" t="s">
        <v>124</v>
      </c>
      <c r="M525" s="8" t="s">
        <v>37</v>
      </c>
      <c r="N525" s="52" t="str">
        <f>IF(Follow[[#This Row],[DATAATUALIZAÇÃO]]&lt;=Follow[[#This Row],[Prev Entrega]],"Dentro do Prazo","Fora do Prazo")</f>
        <v>Dentro do Prazo</v>
      </c>
      <c r="O5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01/11/2024, referente ao pedido Nº Pedido 152 Rastreio Pedido 152, agradecemos a preferência e adoraríamos receber sua avaliação, tendo qualquer dúvida estamos à disposição.
Att
Tem tudo Shop</v>
      </c>
    </row>
    <row r="526" spans="1:15">
      <c r="A526" s="52" t="str">
        <f>_xlfn.XLOOKUP(Follow[[#This Row],[CODRASTREIO]],Controle_Pedidos[Cód Rastreamento],Controle_Pedidos[Número Pedido Cliente])</f>
        <v>Pedido 436</v>
      </c>
      <c r="B526" s="2" t="s">
        <v>17864</v>
      </c>
      <c r="C526" s="2" t="str">
        <f>Follow[[#This Row],[CODRASTREIO]]&amp;" B"</f>
        <v>CódRastreio422 B</v>
      </c>
      <c r="D526" s="52" t="str">
        <f>_xlfn.XLOOKUP(Follow[[#This Row],[Id Pedido]],Controle_Pedidos[Número Pedido Cliente],Controle_Pedidos[Loja])</f>
        <v>BV</v>
      </c>
      <c r="E526" s="9">
        <f>_xlfn.XLOOKUP(Follow[[#This Row],[Id Pedido]],Controle_Pedidos[Número Pedido Cliente],Controle_Pedidos[Prazo Entrega])</f>
        <v>45646</v>
      </c>
      <c r="F526" s="9" t="s">
        <v>19433</v>
      </c>
      <c r="G526" s="9" t="s">
        <v>37</v>
      </c>
      <c r="H526" s="55" t="s">
        <v>179</v>
      </c>
      <c r="I526" s="55" t="s">
        <v>178</v>
      </c>
      <c r="J526" s="55">
        <v>45637</v>
      </c>
      <c r="K526" s="52" t="s">
        <v>198</v>
      </c>
      <c r="L526" s="8" t="s">
        <v>124</v>
      </c>
      <c r="M526" s="8" t="s">
        <v>37</v>
      </c>
      <c r="N526" s="52" t="str">
        <f>IF(Follow[[#This Row],[DATAATUALIZAÇÃO]]&lt;=Follow[[#This Row],[Prev Entrega]],"Dentro do Prazo","Fora do Prazo")</f>
        <v>Dentro do Prazo</v>
      </c>
      <c r="O5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436 Rastreio Pedido 436, agradecemos a preferência e adoraríamos receber sua avaliação, tendo qualquer dúvida estamos à disposição.
Att
Tem tudo Shop</v>
      </c>
    </row>
    <row r="527" spans="1:15">
      <c r="A527" s="52" t="s">
        <v>13831</v>
      </c>
      <c r="B527" s="2" t="s">
        <v>19447</v>
      </c>
      <c r="C527" s="2" t="str">
        <f>Follow[[#This Row],[CODRASTREIO]]&amp;" B"</f>
        <v>CódRastreio473 1 Envio B</v>
      </c>
      <c r="D527" s="52" t="s">
        <v>36</v>
      </c>
      <c r="E527" s="9">
        <v>45666</v>
      </c>
      <c r="F527" s="9" t="s">
        <v>19433</v>
      </c>
      <c r="G527" s="9" t="s">
        <v>37</v>
      </c>
      <c r="H527" s="52" t="s">
        <v>179</v>
      </c>
      <c r="I527" s="52" t="s">
        <v>178</v>
      </c>
      <c r="J527" s="55">
        <v>45660</v>
      </c>
      <c r="K527" s="52" t="s">
        <v>198</v>
      </c>
      <c r="L527" s="8" t="s">
        <v>124</v>
      </c>
      <c r="M527" s="8" t="s">
        <v>37</v>
      </c>
      <c r="N527" s="52" t="str">
        <f>IF(Follow[[#This Row],[DATAATUALIZAÇÃO]]&lt;=Follow[[#This Row],[Prev Entrega]],"Dentro do Prazo","Fora do Prazo")</f>
        <v>Dentro do Prazo</v>
      </c>
      <c r="O5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03/01/2025, referente ao pedido Nº Pedido 488 Rastreio Pedido 488, agradecemos a preferência e adoraríamos receber sua avaliação, tendo qualquer dúvida estamos à disposição.
Att
Tem tudo Shop</v>
      </c>
    </row>
    <row r="528" spans="1:15">
      <c r="A528" s="52" t="str">
        <f>_xlfn.XLOOKUP(Follow[[#This Row],[CODRASTREIO]],Controle_Pedidos[Cód Rastreamento],Controle_Pedidos[Número Pedido Cliente])</f>
        <v>Pedido 488</v>
      </c>
      <c r="B528" s="2" t="s">
        <v>17915</v>
      </c>
      <c r="C528" s="2" t="str">
        <f>Follow[[#This Row],[CODRASTREIO]]&amp;" B"</f>
        <v>CódRastreio473 B</v>
      </c>
      <c r="D528" s="52" t="str">
        <f>_xlfn.XLOOKUP(Follow[[#This Row],[Id Pedido]],Controle_Pedidos[Número Pedido Cliente],Controle_Pedidos[Loja])</f>
        <v>BV</v>
      </c>
      <c r="E528" s="9">
        <f>_xlfn.XLOOKUP(Follow[[#This Row],[Id Pedido]],Controle_Pedidos[Número Pedido Cliente],Controle_Pedidos[Prazo Entrega])</f>
        <v>45666</v>
      </c>
      <c r="F528" s="9" t="s">
        <v>19433</v>
      </c>
      <c r="G528" s="9" t="s">
        <v>37</v>
      </c>
      <c r="H528" s="52" t="s">
        <v>179</v>
      </c>
      <c r="I528" s="52" t="s">
        <v>178</v>
      </c>
      <c r="J528" s="55">
        <v>45660</v>
      </c>
      <c r="K528" s="52" t="s">
        <v>198</v>
      </c>
      <c r="L528" s="8" t="s">
        <v>124</v>
      </c>
      <c r="M528" s="8" t="s">
        <v>37</v>
      </c>
      <c r="N528" s="52" t="str">
        <f>IF(Follow[[#This Row],[DATAATUALIZAÇÃO]]&lt;=Follow[[#This Row],[Prev Entrega]],"Dentro do Prazo","Fora do Prazo")</f>
        <v>Dentro do Prazo</v>
      </c>
      <c r="O5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03/01/2025, referente ao pedido Nº Pedido 488 Rastreio Pedido 488, agradecemos a preferência e adoraríamos receber sua avaliação, tendo qualquer dúvida estamos à disposição.
Att
Tem tudo Shop</v>
      </c>
    </row>
    <row r="529" spans="1:15">
      <c r="A529" s="52" t="str">
        <f>_xlfn.XLOOKUP(Follow[[#This Row],[CODRASTREIO]],Controle_Pedidos[Cód Rastreamento],Controle_Pedidos[Número Pedido Cliente])</f>
        <v>Pedido 293</v>
      </c>
      <c r="B529" s="2" t="s">
        <v>17728</v>
      </c>
      <c r="C529" s="2" t="str">
        <f>Follow[[#This Row],[CODRASTREIO]]&amp;" B"</f>
        <v>CódRastreio286 B</v>
      </c>
      <c r="D529" s="52" t="str">
        <f>_xlfn.XLOOKUP(Follow[[#This Row],[Id Pedido]],Controle_Pedidos[Número Pedido Cliente],Controle_Pedidos[Loja])</f>
        <v>BV</v>
      </c>
      <c r="E529" s="9">
        <f>_xlfn.XLOOKUP(Follow[[#This Row],[Id Pedido]],Controle_Pedidos[Número Pedido Cliente],Controle_Pedidos[Prazo Entrega])</f>
        <v>45624</v>
      </c>
      <c r="F529" s="9" t="s">
        <v>19433</v>
      </c>
      <c r="G529" s="9" t="s">
        <v>37</v>
      </c>
      <c r="H529" s="52" t="s">
        <v>179</v>
      </c>
      <c r="I529" s="52" t="s">
        <v>178</v>
      </c>
      <c r="J529" s="55">
        <v>45610</v>
      </c>
      <c r="K529" s="54" t="s">
        <v>198</v>
      </c>
      <c r="L529" s="8" t="s">
        <v>124</v>
      </c>
      <c r="M529" s="8" t="s">
        <v>37</v>
      </c>
      <c r="N529" s="52" t="str">
        <f>IF(Follow[[#This Row],[DATAATUALIZAÇÃO]]&lt;=Follow[[#This Row],[Prev Entrega]],"Dentro do Prazo","Fora do Prazo")</f>
        <v>Dentro do Prazo</v>
      </c>
      <c r="O5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14/11/2024, referente ao pedido Nº Pedido 293 Rastreio Pedido 293, agradecemos a preferência e adoraríamos receber sua avaliação, tendo qualquer dúvida estamos à disposição.
Att
Tem tudo Shop</v>
      </c>
    </row>
    <row r="530" spans="1:15">
      <c r="A530" s="52" t="str">
        <f>_xlfn.XLOOKUP(Follow[[#This Row],[CODRASTREIO]],Controle_Pedidos[Cód Rastreamento],Controle_Pedidos[Número Pedido Cliente])</f>
        <v>Pedido 570</v>
      </c>
      <c r="B530" s="2" t="s">
        <v>17997</v>
      </c>
      <c r="C530" s="2" t="str">
        <f>Follow[[#This Row],[CODRASTREIO]]&amp;" B"</f>
        <v>CódRastreio555 B</v>
      </c>
      <c r="D530" s="52" t="str">
        <f>_xlfn.XLOOKUP(Follow[[#This Row],[Id Pedido]],Controle_Pedidos[Número Pedido Cliente],Controle_Pedidos[Loja])</f>
        <v>BV</v>
      </c>
      <c r="E530" s="9">
        <f>_xlfn.XLOOKUP(Follow[[#This Row],[Id Pedido]],Controle_Pedidos[Número Pedido Cliente],Controle_Pedidos[Prazo Entrega])</f>
        <v>45666</v>
      </c>
      <c r="F530" s="9" t="s">
        <v>19433</v>
      </c>
      <c r="G530" s="9" t="s">
        <v>37</v>
      </c>
      <c r="H530" s="52" t="s">
        <v>179</v>
      </c>
      <c r="I530" s="52" t="s">
        <v>178</v>
      </c>
      <c r="J530" s="55">
        <v>45653</v>
      </c>
      <c r="K530" s="52" t="s">
        <v>198</v>
      </c>
      <c r="L530" s="8" t="s">
        <v>124</v>
      </c>
      <c r="M530" s="8" t="s">
        <v>37</v>
      </c>
      <c r="N530" s="52" t="str">
        <f>IF(Follow[[#This Row],[DATAATUALIZAÇÃO]]&lt;=Follow[[#This Row],[Prev Entrega]],"Dentro do Prazo","Fora do Prazo")</f>
        <v>Dentro do Prazo</v>
      </c>
      <c r="O5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27/12/2024, referente ao pedido Nº Pedido 570 Rastreio Pedido 570, agradecemos a preferência e adoraríamos receber sua avaliação, tendo qualquer dúvida estamos à disposição.
Att
Tem tudo Shop</v>
      </c>
    </row>
    <row r="531" spans="1:15">
      <c r="A531" s="52" t="str">
        <f>_xlfn.XLOOKUP(Follow[[#This Row],[CODRASTREIO]],Controle_Pedidos[Cód Rastreamento],Controle_Pedidos[Número Pedido Cliente])</f>
        <v>Pedido 144</v>
      </c>
      <c r="B531" s="2" t="s">
        <v>17579</v>
      </c>
      <c r="C531" s="2" t="str">
        <f>Follow[[#This Row],[CODRASTREIO]]&amp;" B"</f>
        <v>CódRastreio137 B</v>
      </c>
      <c r="D531" s="52" t="str">
        <f>_xlfn.XLOOKUP(Follow[[#This Row],[Id Pedido]],Controle_Pedidos[Número Pedido Cliente],Controle_Pedidos[Loja])</f>
        <v>BV</v>
      </c>
      <c r="E531" s="9">
        <f>_xlfn.XLOOKUP(Follow[[#This Row],[Id Pedido]],Controle_Pedidos[Número Pedido Cliente],Controle_Pedidos[Prazo Entrega])</f>
        <v>45605</v>
      </c>
      <c r="F531" s="9" t="s">
        <v>19433</v>
      </c>
      <c r="G531" s="9" t="s">
        <v>37</v>
      </c>
      <c r="H531" s="52" t="s">
        <v>178</v>
      </c>
      <c r="I531" s="52" t="s">
        <v>178</v>
      </c>
      <c r="J531" s="55">
        <v>45596</v>
      </c>
      <c r="K531" s="54" t="s">
        <v>198</v>
      </c>
      <c r="L531" s="8" t="s">
        <v>124</v>
      </c>
      <c r="M531" s="8" t="s">
        <v>37</v>
      </c>
      <c r="N531" s="52" t="str">
        <f>IF(Follow[[#This Row],[DATAATUALIZAÇÃO]]&lt;=Follow[[#This Row],[Prev Entrega]],"Dentro do Prazo","Fora do Prazo")</f>
        <v>Dentro do Prazo</v>
      </c>
      <c r="O5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31/10/2024, referente ao pedido Nº Pedido 144 Rastreio Pedido 144, agradecemos a preferência e adoraríamos receber sua avaliação, tendo qualquer dúvida estamos à disposição.
Att
Tem tudo Shop</v>
      </c>
    </row>
    <row r="532" spans="1:15">
      <c r="A532" s="52" t="str">
        <f>_xlfn.XLOOKUP(Follow[[#This Row],[CODRASTREIO]],Controle_Pedidos[Cód Rastreamento],Controle_Pedidos[Número Pedido Cliente])</f>
        <v>Pedido 578</v>
      </c>
      <c r="B532" s="2" t="s">
        <v>18005</v>
      </c>
      <c r="C532" s="2" t="str">
        <f>Follow[[#This Row],[CODRASTREIO]]&amp;" B"</f>
        <v>CódRastreio563 B</v>
      </c>
      <c r="D532" s="52" t="str">
        <f>_xlfn.XLOOKUP(Follow[[#This Row],[Id Pedido]],Controle_Pedidos[Número Pedido Cliente],Controle_Pedidos[Loja])</f>
        <v>BV</v>
      </c>
      <c r="E532" s="9">
        <f>_xlfn.XLOOKUP(Follow[[#This Row],[Id Pedido]],Controle_Pedidos[Número Pedido Cliente],Controle_Pedidos[Prazo Entrega])</f>
        <v>45667</v>
      </c>
      <c r="F532" s="9" t="s">
        <v>19433</v>
      </c>
      <c r="G532" s="9" t="s">
        <v>37</v>
      </c>
      <c r="H532" s="52" t="s">
        <v>179</v>
      </c>
      <c r="I532" s="52" t="s">
        <v>178</v>
      </c>
      <c r="J532" s="55">
        <v>45659</v>
      </c>
      <c r="K532" s="52" t="s">
        <v>198</v>
      </c>
      <c r="L532" s="8" t="s">
        <v>124</v>
      </c>
      <c r="M532" s="8" t="s">
        <v>37</v>
      </c>
      <c r="N532" s="52" t="str">
        <f>IF(Follow[[#This Row],[DATAATUALIZAÇÃO]]&lt;=Follow[[#This Row],[Prev Entrega]],"Dentro do Prazo","Fora do Prazo")</f>
        <v>Dentro do Prazo</v>
      </c>
      <c r="O5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578 Rastreio Pedido 578, agradecemos a preferência e adoraríamos receber sua avaliação, tendo qualquer dúvida estamos à disposição.
Att
Tem tudo Shop</v>
      </c>
    </row>
    <row r="533" spans="1:15">
      <c r="A533" s="52" t="str">
        <f>_xlfn.XLOOKUP(Follow[[#This Row],[CODRASTREIO]],Controle_Pedidos[Cód Rastreamento],Controle_Pedidos[Número Pedido Cliente])</f>
        <v>Pedido 520</v>
      </c>
      <c r="B533" s="2" t="s">
        <v>17947</v>
      </c>
      <c r="C533" s="2" t="str">
        <f>Follow[[#This Row],[CODRASTREIO]]&amp;" B"</f>
        <v>CódRastreio505 B</v>
      </c>
      <c r="D533" s="52" t="str">
        <f>_xlfn.XLOOKUP(Follow[[#This Row],[Id Pedido]],Controle_Pedidos[Número Pedido Cliente],Controle_Pedidos[Loja])</f>
        <v>BV</v>
      </c>
      <c r="E533" s="9">
        <f>_xlfn.XLOOKUP(Follow[[#This Row],[Id Pedido]],Controle_Pedidos[Número Pedido Cliente],Controle_Pedidos[Prazo Entrega])</f>
        <v>45657</v>
      </c>
      <c r="F533" s="9" t="s">
        <v>19433</v>
      </c>
      <c r="G533" s="9" t="s">
        <v>37</v>
      </c>
      <c r="H533" s="52" t="s">
        <v>179</v>
      </c>
      <c r="I533" s="52" t="s">
        <v>178</v>
      </c>
      <c r="J533" s="55">
        <v>45645</v>
      </c>
      <c r="K533" s="52" t="s">
        <v>198</v>
      </c>
      <c r="L533" s="8" t="s">
        <v>124</v>
      </c>
      <c r="M533" s="8" t="s">
        <v>37</v>
      </c>
      <c r="N533" s="52" t="str">
        <f>IF(Follow[[#This Row],[DATAATUALIZAÇÃO]]&lt;=Follow[[#This Row],[Prev Entrega]],"Dentro do Prazo","Fora do Prazo")</f>
        <v>Dentro do Prazo</v>
      </c>
      <c r="O5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19/12/2024, referente ao pedido Nº Pedido 520 Rastreio Pedido 520, agradecemos a preferência e adoraríamos receber sua avaliação, tendo qualquer dúvida estamos à disposição.
Att
Tem tudo Shop</v>
      </c>
    </row>
    <row r="534" spans="1:15">
      <c r="A534" s="52" t="str">
        <f>_xlfn.XLOOKUP(Follow[[#This Row],[CODRASTREIO]],Controle_Pedidos[Cód Rastreamento],Controle_Pedidos[Número Pedido Cliente])</f>
        <v>Pedido 198</v>
      </c>
      <c r="B534" s="2" t="s">
        <v>17633</v>
      </c>
      <c r="C534" s="2" t="str">
        <f>Follow[[#This Row],[CODRASTREIO]]&amp;" B"</f>
        <v>CódRastreio191 B</v>
      </c>
      <c r="D534" s="52" t="str">
        <f>_xlfn.XLOOKUP(Follow[[#This Row],[Id Pedido]],Controle_Pedidos[Número Pedido Cliente],Controle_Pedidos[Loja])</f>
        <v>BV</v>
      </c>
      <c r="E534" s="9">
        <f>_xlfn.XLOOKUP(Follow[[#This Row],[Id Pedido]],Controle_Pedidos[Número Pedido Cliente],Controle_Pedidos[Prazo Entrega])</f>
        <v>45611</v>
      </c>
      <c r="F534" s="9" t="s">
        <v>19433</v>
      </c>
      <c r="G534" s="9" t="s">
        <v>37</v>
      </c>
      <c r="H534" s="52" t="s">
        <v>178</v>
      </c>
      <c r="I534" s="52" t="s">
        <v>178</v>
      </c>
      <c r="J534" s="55">
        <v>45607</v>
      </c>
      <c r="K534" s="54" t="s">
        <v>198</v>
      </c>
      <c r="L534" s="8" t="s">
        <v>124</v>
      </c>
      <c r="M534" s="8" t="s">
        <v>37</v>
      </c>
      <c r="N534" s="52" t="str">
        <f>IF(Follow[[#This Row],[DATAATUALIZAÇÃO]]&lt;=Follow[[#This Row],[Prev Entrega]],"Dentro do Prazo","Fora do Prazo")</f>
        <v>Dentro do Prazo</v>
      </c>
      <c r="O5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11/11/2024, referente ao pedido Nº Pedido 198 Rastreio Pedido 198, agradecemos a preferência e adoraríamos receber sua avaliação, tendo qualquer dúvida estamos à disposição.
Att
Tem tudo Shop</v>
      </c>
    </row>
    <row r="535" spans="1:15">
      <c r="A535" s="52" t="str">
        <f>_xlfn.XLOOKUP(Follow[[#This Row],[CODRASTREIO]],Controle_Pedidos[Cód Rastreamento],Controle_Pedidos[Número Pedido Cliente])</f>
        <v>Pedido 444</v>
      </c>
      <c r="B535" s="2" t="s">
        <v>17872</v>
      </c>
      <c r="C535" s="2" t="str">
        <f>Follow[[#This Row],[CODRASTREIO]]&amp;" B"</f>
        <v>CódRastreio430 B</v>
      </c>
      <c r="D535" s="52" t="str">
        <f>_xlfn.XLOOKUP(Follow[[#This Row],[Id Pedido]],Controle_Pedidos[Número Pedido Cliente],Controle_Pedidos[Loja])</f>
        <v>BV</v>
      </c>
      <c r="E535" s="9">
        <f>_xlfn.XLOOKUP(Follow[[#This Row],[Id Pedido]],Controle_Pedidos[Número Pedido Cliente],Controle_Pedidos[Prazo Entrega])</f>
        <v>45660</v>
      </c>
      <c r="F535" s="9" t="s">
        <v>19433</v>
      </c>
      <c r="G535" s="9" t="s">
        <v>37</v>
      </c>
      <c r="H535" s="52" t="s">
        <v>179</v>
      </c>
      <c r="I535" s="52" t="s">
        <v>178</v>
      </c>
      <c r="J535" s="55">
        <v>45653</v>
      </c>
      <c r="K535" s="52" t="s">
        <v>198</v>
      </c>
      <c r="L535" s="8" t="s">
        <v>124</v>
      </c>
      <c r="M535" s="8" t="s">
        <v>37</v>
      </c>
      <c r="N535" s="52" t="str">
        <f>IF(Follow[[#This Row],[DATAATUALIZAÇÃO]]&lt;=Follow[[#This Row],[Prev Entrega]],"Dentro do Prazo","Fora do Prazo")</f>
        <v>Dentro do Prazo</v>
      </c>
      <c r="O5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27/12/2024, referente ao pedido Nº Pedido 444 Rastreio Pedido 444, agradecemos a preferência e adoraríamos receber sua avaliação, tendo qualquer dúvida estamos à disposição.
Att
Tem tudo Shop</v>
      </c>
    </row>
    <row r="536" spans="1:15">
      <c r="A536" s="52" t="str">
        <f>_xlfn.XLOOKUP(Follow[[#This Row],[CODRASTREIO]],Controle_Pedidos[Cód Rastreamento],Controle_Pedidos[Número Pedido Cliente])</f>
        <v>Pedido 636</v>
      </c>
      <c r="B536" s="2" t="s">
        <v>18060</v>
      </c>
      <c r="C536" s="2" t="str">
        <f>Follow[[#This Row],[CODRASTREIO]]&amp;" B"</f>
        <v>CódRastreio618 B</v>
      </c>
      <c r="D536" s="52" t="str">
        <f>_xlfn.XLOOKUP(Follow[[#This Row],[Id Pedido]],Controle_Pedidos[Número Pedido Cliente],Controle_Pedidos[Loja])</f>
        <v>BV</v>
      </c>
      <c r="E536" s="9">
        <f>_xlfn.XLOOKUP(Follow[[#This Row],[Id Pedido]],Controle_Pedidos[Número Pedido Cliente],Controle_Pedidos[Prazo Entrega])</f>
        <v>45682</v>
      </c>
      <c r="F536" s="9" t="s">
        <v>19433</v>
      </c>
      <c r="G536" s="9" t="s">
        <v>37</v>
      </c>
      <c r="H536" s="52" t="s">
        <v>178</v>
      </c>
      <c r="I536" s="52" t="s">
        <v>178</v>
      </c>
      <c r="J536" s="55">
        <v>45665</v>
      </c>
      <c r="K536" s="52" t="s">
        <v>198</v>
      </c>
      <c r="L536" s="8" t="s">
        <v>124</v>
      </c>
      <c r="M536" s="8" t="s">
        <v>37</v>
      </c>
      <c r="N536" s="52" t="str">
        <f>IF(Follow[[#This Row],[DATAATUALIZAÇÃO]]&lt;=Follow[[#This Row],[Prev Entrega]],"Dentro do Prazo","Fora do Prazo")</f>
        <v>Dentro do Prazo</v>
      </c>
      <c r="O5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08/01/2025, referente ao pedido Nº Pedido 636 Rastreio Pedido 636, agradecemos a preferência e adoraríamos receber sua avaliação, tendo qualquer dúvida estamos à disposição.
Att
Tem tudo Shop</v>
      </c>
    </row>
    <row r="537" spans="1:15">
      <c r="A537" s="52" t="str">
        <f>_xlfn.XLOOKUP(Follow[[#This Row],[CODRASTREIO]],Controle_Pedidos[Cód Rastreamento],Controle_Pedidos[Número Pedido Cliente])</f>
        <v>Pedido 325</v>
      </c>
      <c r="B537" s="2" t="s">
        <v>17760</v>
      </c>
      <c r="C537" s="2" t="str">
        <f>Follow[[#This Row],[CODRASTREIO]]&amp;" B"</f>
        <v>CódRastreio318 B</v>
      </c>
      <c r="D537" s="52" t="str">
        <f>_xlfn.XLOOKUP(Follow[[#This Row],[Id Pedido]],Controle_Pedidos[Número Pedido Cliente],Controle_Pedidos[Loja])</f>
        <v>BV</v>
      </c>
      <c r="E537" s="9">
        <f>_xlfn.XLOOKUP(Follow[[#This Row],[Id Pedido]],Controle_Pedidos[Número Pedido Cliente],Controle_Pedidos[Prazo Entrega])</f>
        <v>45623</v>
      </c>
      <c r="F537" s="9" t="s">
        <v>19433</v>
      </c>
      <c r="G537" s="9" t="s">
        <v>37</v>
      </c>
      <c r="H537" s="52" t="s">
        <v>178</v>
      </c>
      <c r="I537" s="52" t="s">
        <v>178</v>
      </c>
      <c r="J537" s="55">
        <v>45609</v>
      </c>
      <c r="K537" s="54" t="s">
        <v>198</v>
      </c>
      <c r="L537" s="8" t="s">
        <v>124</v>
      </c>
      <c r="M537" s="8" t="s">
        <v>37</v>
      </c>
      <c r="N537" s="52" t="str">
        <f>IF(Follow[[#This Row],[DATAATUALIZAÇÃO]]&lt;=Follow[[#This Row],[Prev Entrega]],"Dentro do Prazo","Fora do Prazo")</f>
        <v>Dentro do Prazo</v>
      </c>
      <c r="O5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13/11/2024, referente ao pedido Nº Pedido 325 Rastreio Pedido 325, agradecemos a preferência e adoraríamos receber sua avaliação, tendo qualquer dúvida estamos à disposição.
Att
Tem tudo Shop</v>
      </c>
    </row>
    <row r="538" spans="1:15">
      <c r="A538" s="52" t="str">
        <f>_xlfn.XLOOKUP(Follow[[#This Row],[CODRASTREIO]],Controle_Pedidos[Cód Rastreamento],Controle_Pedidos[Número Pedido Cliente])</f>
        <v>Pedido 335</v>
      </c>
      <c r="B538" s="2" t="s">
        <v>17770</v>
      </c>
      <c r="C538" s="2" t="str">
        <f>Follow[[#This Row],[CODRASTREIO]]&amp;" B"</f>
        <v>CódRastreio328 B</v>
      </c>
      <c r="D538" s="52" t="str">
        <f>_xlfn.XLOOKUP(Follow[[#This Row],[Id Pedido]],Controle_Pedidos[Número Pedido Cliente],Controle_Pedidos[Loja])</f>
        <v>BV</v>
      </c>
      <c r="E538" s="9">
        <f>_xlfn.XLOOKUP(Follow[[#This Row],[Id Pedido]],Controle_Pedidos[Número Pedido Cliente],Controle_Pedidos[Prazo Entrega])</f>
        <v>45629</v>
      </c>
      <c r="F538" s="9" t="s">
        <v>19433</v>
      </c>
      <c r="G538" s="9" t="s">
        <v>37</v>
      </c>
      <c r="H538" s="52" t="s">
        <v>178</v>
      </c>
      <c r="I538" s="52" t="s">
        <v>178</v>
      </c>
      <c r="J538" s="55">
        <v>45613</v>
      </c>
      <c r="K538" s="54" t="s">
        <v>198</v>
      </c>
      <c r="L538" s="8" t="s">
        <v>124</v>
      </c>
      <c r="M538" s="8" t="s">
        <v>37</v>
      </c>
      <c r="N538" s="52" t="str">
        <f>IF(Follow[[#This Row],[DATAATUALIZAÇÃO]]&lt;=Follow[[#This Row],[Prev Entrega]],"Dentro do Prazo","Fora do Prazo")</f>
        <v>Dentro do Prazo</v>
      </c>
      <c r="O5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17/11/2024, referente ao pedido Nº Pedido 335 Rastreio Pedido 335, agradecemos a preferência e adoraríamos receber sua avaliação, tendo qualquer dúvida estamos à disposição.
Att
Tem tudo Shop</v>
      </c>
    </row>
    <row r="539" spans="1:15">
      <c r="A539" s="52" t="str">
        <f>_xlfn.XLOOKUP(Follow[[#This Row],[CODRASTREIO]],Controle_Pedidos[Cód Rastreamento],Controle_Pedidos[Número Pedido Cliente])</f>
        <v>Pedido 439</v>
      </c>
      <c r="B539" s="2" t="s">
        <v>17866</v>
      </c>
      <c r="C539" s="2" t="str">
        <f>Follow[[#This Row],[CODRASTREIO]]&amp;" B"</f>
        <v>CódRastreio424 B</v>
      </c>
      <c r="D539" s="52" t="str">
        <f>_xlfn.XLOOKUP(Follow[[#This Row],[Id Pedido]],Controle_Pedidos[Número Pedido Cliente],Controle_Pedidos[Loja])</f>
        <v>BV</v>
      </c>
      <c r="E539" s="9">
        <f>_xlfn.XLOOKUP(Follow[[#This Row],[Id Pedido]],Controle_Pedidos[Número Pedido Cliente],Controle_Pedidos[Prazo Entrega])</f>
        <v>45660</v>
      </c>
      <c r="F539" s="9" t="s">
        <v>19433</v>
      </c>
      <c r="G539" s="9" t="s">
        <v>37</v>
      </c>
      <c r="H539" s="55" t="s">
        <v>179</v>
      </c>
      <c r="I539" s="55" t="s">
        <v>178</v>
      </c>
      <c r="J539" s="55">
        <v>45642</v>
      </c>
      <c r="K539" s="52" t="s">
        <v>198</v>
      </c>
      <c r="L539" s="8" t="s">
        <v>124</v>
      </c>
      <c r="M539" s="8" t="s">
        <v>37</v>
      </c>
      <c r="N539" s="52" t="str">
        <f>IF(Follow[[#This Row],[DATAATUALIZAÇÃO]]&lt;=Follow[[#This Row],[Prev Entrega]],"Dentro do Prazo","Fora do Prazo")</f>
        <v>Dentro do Prazo</v>
      </c>
      <c r="O5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16/12/2024, referente ao pedido Nº Pedido 439 Rastreio Pedido 439, agradecemos a preferência e adoraríamos receber sua avaliação, tendo qualquer dúvida estamos à disposição.
Att
Tem tudo Shop</v>
      </c>
    </row>
    <row r="540" spans="1:15">
      <c r="A540" s="52" t="str">
        <f>_xlfn.XLOOKUP(Follow[[#This Row],[CODRASTREIO]],Controle_Pedidos[Cód Rastreamento],Controle_Pedidos[Número Pedido Cliente])</f>
        <v>Pedido 66</v>
      </c>
      <c r="B540" s="2" t="s">
        <v>17499</v>
      </c>
      <c r="C540" s="2" t="str">
        <f>Follow[[#This Row],[CODRASTREIO]]&amp;" B"</f>
        <v>CódRastreio57 B</v>
      </c>
      <c r="D540" s="52" t="str">
        <f>_xlfn.XLOOKUP(Follow[[#This Row],[Id Pedido]],Controle_Pedidos[Número Pedido Cliente],Controle_Pedidos[Loja])</f>
        <v>BV</v>
      </c>
      <c r="E540" s="9">
        <f>_xlfn.XLOOKUP(Follow[[#This Row],[Id Pedido]],Controle_Pedidos[Número Pedido Cliente],Controle_Pedidos[Prazo Entrega])</f>
        <v>45603</v>
      </c>
      <c r="F540" s="9" t="s">
        <v>19433</v>
      </c>
      <c r="G540" s="9" t="s">
        <v>37</v>
      </c>
      <c r="H540" s="52" t="s">
        <v>178</v>
      </c>
      <c r="I540" s="52" t="s">
        <v>178</v>
      </c>
      <c r="J540" s="55">
        <v>45594</v>
      </c>
      <c r="K540" s="54" t="s">
        <v>198</v>
      </c>
      <c r="L540" s="8" t="s">
        <v>124</v>
      </c>
      <c r="M540" s="8" t="s">
        <v>37</v>
      </c>
      <c r="N540" s="52" t="str">
        <f>IF(Follow[[#This Row],[DATAATUALIZAÇÃO]]&lt;=Follow[[#This Row],[Prev Entrega]],"Dentro do Prazo","Fora do Prazo")</f>
        <v>Dentro do Prazo</v>
      </c>
      <c r="O5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66 Rastreio Pedido 66, agradecemos a preferência e adoraríamos receber sua avaliação, tendo qualquer dúvida estamos à disposição.
Att
Tem tudo Shop</v>
      </c>
    </row>
    <row r="541" spans="1:15">
      <c r="A541" s="52" t="str">
        <f>_xlfn.XLOOKUP(Follow[[#This Row],[CODRASTREIO]],Controle_Pedidos[Cód Rastreamento],Controle_Pedidos[Número Pedido Cliente])</f>
        <v>Pedido 615</v>
      </c>
      <c r="B541" s="2" t="s">
        <v>18040</v>
      </c>
      <c r="C541" s="2" t="str">
        <f>Follow[[#This Row],[CODRASTREIO]]&amp;" B"</f>
        <v>CódRastreio598 B</v>
      </c>
      <c r="D541" s="52" t="str">
        <f>_xlfn.XLOOKUP(Follow[[#This Row],[Id Pedido]],Controle_Pedidos[Número Pedido Cliente],Controle_Pedidos[Loja])</f>
        <v>BV</v>
      </c>
      <c r="E541" s="9">
        <f>_xlfn.XLOOKUP(Follow[[#This Row],[Id Pedido]],Controle_Pedidos[Número Pedido Cliente],Controle_Pedidos[Prazo Entrega])</f>
        <v>45673</v>
      </c>
      <c r="F541" s="9" t="s">
        <v>19433</v>
      </c>
      <c r="G541" s="9" t="s">
        <v>37</v>
      </c>
      <c r="H541" s="52" t="s">
        <v>179</v>
      </c>
      <c r="I541" s="52" t="s">
        <v>178</v>
      </c>
      <c r="J541" s="55">
        <v>45665</v>
      </c>
      <c r="K541" s="52" t="s">
        <v>198</v>
      </c>
      <c r="L541" s="8" t="s">
        <v>124</v>
      </c>
      <c r="M541" s="8" t="s">
        <v>37</v>
      </c>
      <c r="N541" s="52" t="str">
        <f>IF(Follow[[#This Row],[DATAATUALIZAÇÃO]]&lt;=Follow[[#This Row],[Prev Entrega]],"Dentro do Prazo","Fora do Prazo")</f>
        <v>Dentro do Prazo</v>
      </c>
      <c r="O5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615 Rastreio Pedido 615, agradecemos a preferência e adoraríamos receber sua avaliação, tendo qualquer dúvida estamos à disposição.
Att
Tem tudo Shop</v>
      </c>
    </row>
    <row r="542" spans="1:15">
      <c r="A542" s="52" t="str">
        <f>_xlfn.XLOOKUP(Follow[[#This Row],[CODRASTREIO]],Controle_Pedidos[Cód Rastreamento],Controle_Pedidos[Número Pedido Cliente])</f>
        <v>Pedido 35</v>
      </c>
      <c r="B542" s="2" t="s">
        <v>17468</v>
      </c>
      <c r="C542" s="2" t="str">
        <f>Follow[[#This Row],[CODRASTREIO]]&amp;" B"</f>
        <v>CódRastreio26 B</v>
      </c>
      <c r="D542" s="52" t="str">
        <f>_xlfn.XLOOKUP(Follow[[#This Row],[Id Pedido]],Controle_Pedidos[Número Pedido Cliente],Controle_Pedidos[Loja])</f>
        <v>BV</v>
      </c>
      <c r="E542" s="9">
        <f>_xlfn.XLOOKUP(Follow[[#This Row],[Id Pedido]],Controle_Pedidos[Número Pedido Cliente],Controle_Pedidos[Prazo Entrega])</f>
        <v>45605</v>
      </c>
      <c r="F542" s="9" t="s">
        <v>19433</v>
      </c>
      <c r="G542" s="9" t="s">
        <v>37</v>
      </c>
      <c r="H542" s="52" t="s">
        <v>178</v>
      </c>
      <c r="I542" s="52" t="s">
        <v>178</v>
      </c>
      <c r="J542" s="9">
        <v>45590</v>
      </c>
      <c r="K542" s="54" t="s">
        <v>198</v>
      </c>
      <c r="L542" s="8" t="s">
        <v>124</v>
      </c>
      <c r="M542" s="8" t="s">
        <v>37</v>
      </c>
      <c r="N542" s="52" t="str">
        <f>IF(Follow[[#This Row],[DATAATUALIZAÇÃO]]&lt;=Follow[[#This Row],[Prev Entrega]],"Dentro do Prazo","Fora do Prazo")</f>
        <v>Dentro do Prazo</v>
      </c>
      <c r="O5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25/10/2024, referente ao pedido Nº Pedido 35 Rastreio Pedido 35, agradecemos a preferência e adoraríamos receber sua avaliação, tendo qualquer dúvida estamos à disposição.
Att
Tem tudo Shop</v>
      </c>
    </row>
    <row r="543" spans="1:15">
      <c r="A543" s="52" t="str">
        <f>_xlfn.XLOOKUP(Follow[[#This Row],[CODRASTREIO]],Controle_Pedidos[Cód Rastreamento],Controle_Pedidos[Número Pedido Cliente])</f>
        <v>Pedido 409</v>
      </c>
      <c r="B543" s="2" t="s">
        <v>17840</v>
      </c>
      <c r="C543" s="2" t="str">
        <f>Follow[[#This Row],[CODRASTREIO]]&amp;" B"</f>
        <v>CódRastreio398 B</v>
      </c>
      <c r="D543" s="52" t="str">
        <f>_xlfn.XLOOKUP(Follow[[#This Row],[Id Pedido]],Controle_Pedidos[Número Pedido Cliente],Controle_Pedidos[Loja])</f>
        <v>BV</v>
      </c>
      <c r="E543" s="9">
        <f>_xlfn.XLOOKUP(Follow[[#This Row],[Id Pedido]],Controle_Pedidos[Número Pedido Cliente],Controle_Pedidos[Prazo Entrega])</f>
        <v>45631</v>
      </c>
      <c r="F543" s="9" t="s">
        <v>19433</v>
      </c>
      <c r="G543" s="9" t="s">
        <v>37</v>
      </c>
      <c r="H543" s="52" t="s">
        <v>179</v>
      </c>
      <c r="I543" s="52" t="s">
        <v>178</v>
      </c>
      <c r="J543" s="55">
        <v>45628</v>
      </c>
      <c r="K543" s="54" t="s">
        <v>198</v>
      </c>
      <c r="L543" s="8" t="s">
        <v>124</v>
      </c>
      <c r="M543" s="8" t="s">
        <v>37</v>
      </c>
      <c r="N543" s="52" t="str">
        <f>IF(Follow[[#This Row],[DATAATUALIZAÇÃO]]&lt;=Follow[[#This Row],[Prev Entrega]],"Dentro do Prazo","Fora do Prazo")</f>
        <v>Dentro do Prazo</v>
      </c>
      <c r="O5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02/12/2024, referente ao pedido Nº Pedido 409 Rastreio Pedido 409, agradecemos a preferência e adoraríamos receber sua avaliação, tendo qualquer dúvida estamos à disposição.
Att
Tem tudo Shop</v>
      </c>
    </row>
    <row r="544" spans="1:15">
      <c r="A544" s="52" t="str">
        <f>_xlfn.XLOOKUP(Follow[[#This Row],[CODRASTREIO]],Controle_Pedidos[Cód Rastreamento],Controle_Pedidos[Número Pedido Cliente])</f>
        <v>Pedido 95</v>
      </c>
      <c r="B544" s="2" t="s">
        <v>17530</v>
      </c>
      <c r="C544" s="2" t="str">
        <f>Follow[[#This Row],[CODRASTREIO]]&amp;" B"</f>
        <v>CódRastreio88 B</v>
      </c>
      <c r="D544" s="52" t="str">
        <f>_xlfn.XLOOKUP(Follow[[#This Row],[Id Pedido]],Controle_Pedidos[Número Pedido Cliente],Controle_Pedidos[Loja])</f>
        <v>BV</v>
      </c>
      <c r="E544" s="9">
        <f>_xlfn.XLOOKUP(Follow[[#This Row],[Id Pedido]],Controle_Pedidos[Número Pedido Cliente],Controle_Pedidos[Prazo Entrega])</f>
        <v>45610</v>
      </c>
      <c r="F544" s="9" t="s">
        <v>19433</v>
      </c>
      <c r="G544" s="9" t="s">
        <v>37</v>
      </c>
      <c r="H544" s="52" t="s">
        <v>178</v>
      </c>
      <c r="I544" s="52" t="s">
        <v>178</v>
      </c>
      <c r="J544" s="55">
        <v>45595</v>
      </c>
      <c r="K544" s="54" t="s">
        <v>198</v>
      </c>
      <c r="L544" s="8" t="s">
        <v>124</v>
      </c>
      <c r="M544" s="8" t="s">
        <v>37</v>
      </c>
      <c r="N544" s="52" t="str">
        <f>IF(Follow[[#This Row],[DATAATUALIZAÇÃO]]&lt;=Follow[[#This Row],[Prev Entrega]],"Dentro do Prazo","Fora do Prazo")</f>
        <v>Dentro do Prazo</v>
      </c>
      <c r="O5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95 Rastreio Pedido 95, agradecemos a preferência e adoraríamos receber sua avaliação, tendo qualquer dúvida estamos à disposição.
Att
Tem tudo Shop</v>
      </c>
    </row>
    <row r="545" spans="1:15">
      <c r="A545" s="52" t="str">
        <f>_xlfn.XLOOKUP(Follow[[#This Row],[CODRASTREIO]],Controle_Pedidos[Cód Rastreamento],Controle_Pedidos[Número Pedido Cliente])</f>
        <v>Pedido 568</v>
      </c>
      <c r="B545" s="2" t="s">
        <v>17995</v>
      </c>
      <c r="C545" s="2" t="str">
        <f>Follow[[#This Row],[CODRASTREIO]]&amp;" B"</f>
        <v>CódRastreio553 B</v>
      </c>
      <c r="D545" s="52" t="str">
        <f>_xlfn.XLOOKUP(Follow[[#This Row],[Id Pedido]],Controle_Pedidos[Número Pedido Cliente],Controle_Pedidos[Loja])</f>
        <v>BV</v>
      </c>
      <c r="E545" s="9">
        <f>_xlfn.XLOOKUP(Follow[[#This Row],[Id Pedido]],Controle_Pedidos[Número Pedido Cliente],Controle_Pedidos[Prazo Entrega])</f>
        <v>45672</v>
      </c>
      <c r="F545" s="9" t="s">
        <v>19433</v>
      </c>
      <c r="G545" s="9" t="s">
        <v>37</v>
      </c>
      <c r="H545" s="52" t="s">
        <v>179</v>
      </c>
      <c r="I545" s="52" t="s">
        <v>178</v>
      </c>
      <c r="J545" s="55">
        <v>45660</v>
      </c>
      <c r="K545" s="52" t="s">
        <v>198</v>
      </c>
      <c r="L545" s="8" t="s">
        <v>124</v>
      </c>
      <c r="M545" s="8" t="s">
        <v>37</v>
      </c>
      <c r="N545" s="52" t="str">
        <f>IF(Follow[[#This Row],[DATAATUALIZAÇÃO]]&lt;=Follow[[#This Row],[Prev Entrega]],"Dentro do Prazo","Fora do Prazo")</f>
        <v>Dentro do Prazo</v>
      </c>
      <c r="O5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03/01/2025, referente ao pedido Nº Pedido 568 Rastreio Pedido 568, agradecemos a preferência e adoraríamos receber sua avaliação, tendo qualquer dúvida estamos à disposição.
Att
Tem tudo Shop</v>
      </c>
    </row>
    <row r="546" spans="1:15">
      <c r="A546" s="52" t="str">
        <f>_xlfn.XLOOKUP(Follow[[#This Row],[CODRASTREIO]],Controle_Pedidos[Cód Rastreamento],Controle_Pedidos[Número Pedido Cliente])</f>
        <v>Pedido 573</v>
      </c>
      <c r="B546" s="2" t="s">
        <v>18000</v>
      </c>
      <c r="C546" s="2" t="str">
        <f>Follow[[#This Row],[CODRASTREIO]]&amp;" B"</f>
        <v>CódRastreio558 B</v>
      </c>
      <c r="D546" s="52" t="str">
        <f>_xlfn.XLOOKUP(Follow[[#This Row],[Id Pedido]],Controle_Pedidos[Número Pedido Cliente],Controle_Pedidos[Loja])</f>
        <v>BV</v>
      </c>
      <c r="E546" s="9">
        <f>_xlfn.XLOOKUP(Follow[[#This Row],[Id Pedido]],Controle_Pedidos[Número Pedido Cliente],Controle_Pedidos[Prazo Entrega])</f>
        <v>45672</v>
      </c>
      <c r="F546" s="9" t="s">
        <v>19433</v>
      </c>
      <c r="G546" s="9" t="s">
        <v>37</v>
      </c>
      <c r="H546" s="52" t="s">
        <v>179</v>
      </c>
      <c r="I546" s="52" t="s">
        <v>178</v>
      </c>
      <c r="J546" s="55">
        <v>45665</v>
      </c>
      <c r="K546" s="52" t="s">
        <v>198</v>
      </c>
      <c r="L546" s="8" t="s">
        <v>124</v>
      </c>
      <c r="M546" s="8" t="s">
        <v>37</v>
      </c>
      <c r="N546" s="52" t="str">
        <f>IF(Follow[[#This Row],[DATAATUALIZAÇÃO]]&lt;=Follow[[#This Row],[Prev Entrega]],"Dentro do Prazo","Fora do Prazo")</f>
        <v>Dentro do Prazo</v>
      </c>
      <c r="O54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573 Rastreio Pedido 573, agradecemos a preferência e adoraríamos receber sua avaliação, tendo qualquer dúvida estamos à disposição.
Att
Tem tudo Shop</v>
      </c>
    </row>
    <row r="547" spans="1:15">
      <c r="A547" s="52" t="str">
        <f>_xlfn.XLOOKUP(Follow[[#This Row],[CODRASTREIO]],Controle_Pedidos[Cód Rastreamento],Controle_Pedidos[Número Pedido Cliente])</f>
        <v>Pedido 535</v>
      </c>
      <c r="B547" s="2" t="s">
        <v>17962</v>
      </c>
      <c r="C547" s="2" t="str">
        <f>Follow[[#This Row],[CODRASTREIO]]&amp;" B"</f>
        <v>CódRastreio520 B</v>
      </c>
      <c r="D547" s="52" t="str">
        <f>_xlfn.XLOOKUP(Follow[[#This Row],[Id Pedido]],Controle_Pedidos[Número Pedido Cliente],Controle_Pedidos[Loja])</f>
        <v>BV</v>
      </c>
      <c r="E547" s="9">
        <f>_xlfn.XLOOKUP(Follow[[#This Row],[Id Pedido]],Controle_Pedidos[Número Pedido Cliente],Controle_Pedidos[Prazo Entrega])</f>
        <v>45664</v>
      </c>
      <c r="F547" s="9" t="s">
        <v>19433</v>
      </c>
      <c r="G547" s="9" t="s">
        <v>37</v>
      </c>
      <c r="H547" s="55" t="s">
        <v>178</v>
      </c>
      <c r="I547" s="55" t="s">
        <v>178</v>
      </c>
      <c r="J547" s="55">
        <v>45642</v>
      </c>
      <c r="K547" s="52" t="s">
        <v>198</v>
      </c>
      <c r="L547" s="8" t="s">
        <v>124</v>
      </c>
      <c r="M547" s="8" t="s">
        <v>37</v>
      </c>
      <c r="N547" s="52" t="str">
        <f>IF(Follow[[#This Row],[DATAATUALIZAÇÃO]]&lt;=Follow[[#This Row],[Prev Entrega]],"Dentro do Prazo","Fora do Prazo")</f>
        <v>Dentro do Prazo</v>
      </c>
      <c r="O5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16/12/2024, referente ao pedido Nº Pedido 535 Rastreio Pedido 535, agradecemos a preferência e adoraríamos receber sua avaliação, tendo qualquer dúvida estamos à disposição.
Att
Tem tudo Shop</v>
      </c>
    </row>
    <row r="548" spans="1:15">
      <c r="A548" s="52" t="str">
        <f>_xlfn.XLOOKUP(Follow[[#This Row],[CODRASTREIO]],Controle_Pedidos[Cód Rastreamento],Controle_Pedidos[Número Pedido Cliente])</f>
        <v>Pedido 320</v>
      </c>
      <c r="B548" s="2" t="s">
        <v>17755</v>
      </c>
      <c r="C548" s="2" t="str">
        <f>Follow[[#This Row],[CODRASTREIO]]&amp;" B"</f>
        <v>CódRastreio313 B</v>
      </c>
      <c r="D548" s="52" t="str">
        <f>_xlfn.XLOOKUP(Follow[[#This Row],[Id Pedido]],Controle_Pedidos[Número Pedido Cliente],Controle_Pedidos[Loja])</f>
        <v>BV</v>
      </c>
      <c r="E548" s="9">
        <f>_xlfn.XLOOKUP(Follow[[#This Row],[Id Pedido]],Controle_Pedidos[Número Pedido Cliente],Controle_Pedidos[Prazo Entrega])</f>
        <v>45629</v>
      </c>
      <c r="F548" s="9" t="s">
        <v>19433</v>
      </c>
      <c r="G548" s="9" t="s">
        <v>37</v>
      </c>
      <c r="H548" s="52" t="s">
        <v>178</v>
      </c>
      <c r="I548" s="52" t="s">
        <v>178</v>
      </c>
      <c r="J548" s="55">
        <v>45615</v>
      </c>
      <c r="K548" s="54" t="s">
        <v>198</v>
      </c>
      <c r="L548" s="8" t="s">
        <v>124</v>
      </c>
      <c r="M548" s="8" t="s">
        <v>37</v>
      </c>
      <c r="N548" s="52" t="str">
        <f>IF(Follow[[#This Row],[DATAATUALIZAÇÃO]]&lt;=Follow[[#This Row],[Prev Entrega]],"Dentro do Prazo","Fora do Prazo")</f>
        <v>Dentro do Prazo</v>
      </c>
      <c r="O5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19/11/2024, referente ao pedido Nº Pedido 320 Rastreio Pedido 320, agradecemos a preferência e adoraríamos receber sua avaliação, tendo qualquer dúvida estamos à disposição.
Att
Tem tudo Shop</v>
      </c>
    </row>
    <row r="549" spans="1:15">
      <c r="A549" s="52" t="str">
        <f>_xlfn.XLOOKUP(Follow[[#This Row],[CODRASTREIO]],Controle_Pedidos[Cód Rastreamento],Controle_Pedidos[Número Pedido Cliente])</f>
        <v>Pedido 389</v>
      </c>
      <c r="B549" s="2" t="s">
        <v>17821</v>
      </c>
      <c r="C549" s="2" t="str">
        <f>Follow[[#This Row],[CODRASTREIO]]&amp;" B"</f>
        <v>CódRastreio379 B</v>
      </c>
      <c r="D549" s="52" t="str">
        <f>_xlfn.XLOOKUP(Follow[[#This Row],[Id Pedido]],Controle_Pedidos[Número Pedido Cliente],Controle_Pedidos[Loja])</f>
        <v>BV</v>
      </c>
      <c r="E549" s="9">
        <f>_xlfn.XLOOKUP(Follow[[#This Row],[Id Pedido]],Controle_Pedidos[Número Pedido Cliente],Controle_Pedidos[Prazo Entrega])</f>
        <v>45636</v>
      </c>
      <c r="F549" s="9" t="s">
        <v>19433</v>
      </c>
      <c r="G549" s="9" t="s">
        <v>37</v>
      </c>
      <c r="H549" s="52" t="s">
        <v>178</v>
      </c>
      <c r="I549" s="52" t="s">
        <v>178</v>
      </c>
      <c r="J549" s="55">
        <v>45624</v>
      </c>
      <c r="K549" s="54" t="s">
        <v>198</v>
      </c>
      <c r="L549" s="8" t="s">
        <v>124</v>
      </c>
      <c r="M549" s="8" t="s">
        <v>37</v>
      </c>
      <c r="N549" s="52" t="str">
        <f>IF(Follow[[#This Row],[DATAATUALIZAÇÃO]]&lt;=Follow[[#This Row],[Prev Entrega]],"Dentro do Prazo","Fora do Prazo")</f>
        <v>Dentro do Prazo</v>
      </c>
      <c r="O5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28/11/2024, referente ao pedido Nº Pedido 389 Rastreio Pedido 389, agradecemos a preferência e adoraríamos receber sua avaliação, tendo qualquer dúvida estamos à disposição.
Att
Tem tudo Shop</v>
      </c>
    </row>
    <row r="550" spans="1:15">
      <c r="A550" s="52" t="str">
        <f>_xlfn.XLOOKUP(Follow[[#This Row],[CODRASTREIO]],Controle_Pedidos[Cód Rastreamento],Controle_Pedidos[Número Pedido Cliente])</f>
        <v>Pedido 523</v>
      </c>
      <c r="B550" s="2" t="s">
        <v>17950</v>
      </c>
      <c r="C550" s="2" t="str">
        <f>Follow[[#This Row],[CODRASTREIO]]&amp;" B"</f>
        <v>CódRastreio508 B</v>
      </c>
      <c r="D550" s="52" t="str">
        <f>_xlfn.XLOOKUP(Follow[[#This Row],[Id Pedido]],Controle_Pedidos[Número Pedido Cliente],Controle_Pedidos[Loja])</f>
        <v>BV</v>
      </c>
      <c r="E550" s="9">
        <f>_xlfn.XLOOKUP(Follow[[#This Row],[Id Pedido]],Controle_Pedidos[Número Pedido Cliente],Controle_Pedidos[Prazo Entrega])</f>
        <v>45666</v>
      </c>
      <c r="F550" s="9" t="s">
        <v>19433</v>
      </c>
      <c r="G550" s="9" t="s">
        <v>37</v>
      </c>
      <c r="H550" s="52" t="s">
        <v>179</v>
      </c>
      <c r="I550" s="52" t="s">
        <v>178</v>
      </c>
      <c r="J550" s="55">
        <v>45643</v>
      </c>
      <c r="K550" s="52" t="s">
        <v>198</v>
      </c>
      <c r="L550" s="8" t="s">
        <v>124</v>
      </c>
      <c r="M550" s="8" t="s">
        <v>37</v>
      </c>
      <c r="N550" s="52" t="str">
        <f>IF(Follow[[#This Row],[DATAATUALIZAÇÃO]]&lt;=Follow[[#This Row],[Prev Entrega]],"Dentro do Prazo","Fora do Prazo")</f>
        <v>Dentro do Prazo</v>
      </c>
      <c r="O5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17/12/2024, referente ao pedido Nº Pedido 523 Rastreio Pedido 523, agradecemos a preferência e adoraríamos receber sua avaliação, tendo qualquer dúvida estamos à disposição.
Att
Tem tudo Shop</v>
      </c>
    </row>
    <row r="551" spans="1:15">
      <c r="A551" s="52" t="str">
        <f>_xlfn.XLOOKUP(Follow[[#This Row],[CODRASTREIO]],Controle_Pedidos[Cód Rastreamento],Controle_Pedidos[Número Pedido Cliente])</f>
        <v>Pedido 476</v>
      </c>
      <c r="B551" s="2" t="s">
        <v>17903</v>
      </c>
      <c r="C551" s="2" t="str">
        <f>Follow[[#This Row],[CODRASTREIO]]&amp;" B"</f>
        <v>CódRastreio461 B</v>
      </c>
      <c r="D551" s="52" t="str">
        <f>_xlfn.XLOOKUP(Follow[[#This Row],[Id Pedido]],Controle_Pedidos[Número Pedido Cliente],Controle_Pedidos[Loja])</f>
        <v>BV</v>
      </c>
      <c r="E551" s="9">
        <f>_xlfn.XLOOKUP(Follow[[#This Row],[Id Pedido]],Controle_Pedidos[Número Pedido Cliente],Controle_Pedidos[Prazo Entrega])</f>
        <v>45646</v>
      </c>
      <c r="F551" s="9" t="s">
        <v>19433</v>
      </c>
      <c r="G551" s="9" t="s">
        <v>37</v>
      </c>
      <c r="H551" s="55" t="s">
        <v>178</v>
      </c>
      <c r="I551" s="55" t="s">
        <v>178</v>
      </c>
      <c r="J551" s="55">
        <v>45636</v>
      </c>
      <c r="K551" s="52" t="s">
        <v>198</v>
      </c>
      <c r="L551" s="8" t="s">
        <v>124</v>
      </c>
      <c r="M551" s="8" t="s">
        <v>37</v>
      </c>
      <c r="N551" s="52" t="str">
        <f>IF(Follow[[#This Row],[DATAATUALIZAÇÃO]]&lt;=Follow[[#This Row],[Prev Entrega]],"Dentro do Prazo","Fora do Prazo")</f>
        <v>Dentro do Prazo</v>
      </c>
      <c r="O5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10/12/2024, referente ao pedido Nº Pedido 476 Rastreio Pedido 476, agradecemos a preferência e adoraríamos receber sua avaliação, tendo qualquer dúvida estamos à disposição.
Att
Tem tudo Shop</v>
      </c>
    </row>
    <row r="552" spans="1:15">
      <c r="A552" s="52" t="str">
        <f>_xlfn.XLOOKUP(Follow[[#This Row],[CODRASTREIO]],Controle_Pedidos[Cód Rastreamento],Controle_Pedidos[Número Pedido Cliente])</f>
        <v>Pedido 642</v>
      </c>
      <c r="B552" s="2" t="s">
        <v>18065</v>
      </c>
      <c r="C552" s="2" t="str">
        <f>Follow[[#This Row],[CODRASTREIO]]&amp;" B"</f>
        <v>CódRastreio623 B</v>
      </c>
      <c r="D552" s="52" t="str">
        <f>_xlfn.XLOOKUP(Follow[[#This Row],[Id Pedido]],Controle_Pedidos[Número Pedido Cliente],Controle_Pedidos[Loja])</f>
        <v>BV</v>
      </c>
      <c r="E552" s="9">
        <f>_xlfn.XLOOKUP(Follow[[#This Row],[Id Pedido]],Controle_Pedidos[Número Pedido Cliente],Controle_Pedidos[Prazo Entrega])</f>
        <v>45682</v>
      </c>
      <c r="F552" s="9" t="s">
        <v>19433</v>
      </c>
      <c r="G552" s="9" t="s">
        <v>37</v>
      </c>
      <c r="H552" s="52" t="s">
        <v>179</v>
      </c>
      <c r="I552" s="52" t="s">
        <v>178</v>
      </c>
      <c r="J552" s="55">
        <v>45665</v>
      </c>
      <c r="K552" s="52" t="s">
        <v>198</v>
      </c>
      <c r="L552" s="8" t="s">
        <v>124</v>
      </c>
      <c r="M552" s="8" t="s">
        <v>37</v>
      </c>
      <c r="N552" s="52" t="str">
        <f>IF(Follow[[#This Row],[DATAATUALIZAÇÃO]]&lt;=Follow[[#This Row],[Prev Entrega]],"Dentro do Prazo","Fora do Prazo")</f>
        <v>Dentro do Prazo</v>
      </c>
      <c r="O5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642 Rastreio Pedido 642, agradecemos a preferência e adoraríamos receber sua avaliação, tendo qualquer dúvida estamos à disposição.
Att
Tem tudo Shop</v>
      </c>
    </row>
    <row r="553" spans="1:15">
      <c r="A553" s="52" t="str">
        <f>_xlfn.XLOOKUP(Follow[[#This Row],[CODRASTREIO]],Controle_Pedidos[Cód Rastreamento],Controle_Pedidos[Número Pedido Cliente])</f>
        <v>Pedido 556</v>
      </c>
      <c r="B553" s="2" t="s">
        <v>17983</v>
      </c>
      <c r="C553" s="2" t="str">
        <f>Follow[[#This Row],[CODRASTREIO]]&amp;" B"</f>
        <v>CódRastreio541 B</v>
      </c>
      <c r="D553" s="52" t="str">
        <f>_xlfn.XLOOKUP(Follow[[#This Row],[Id Pedido]],Controle_Pedidos[Número Pedido Cliente],Controle_Pedidos[Loja])</f>
        <v>BV</v>
      </c>
      <c r="E553" s="9">
        <f>_xlfn.XLOOKUP(Follow[[#This Row],[Id Pedido]],Controle_Pedidos[Número Pedido Cliente],Controle_Pedidos[Prazo Entrega])</f>
        <v>45666</v>
      </c>
      <c r="F553" s="9" t="s">
        <v>19433</v>
      </c>
      <c r="G553" s="9" t="s">
        <v>37</v>
      </c>
      <c r="H553" s="52" t="s">
        <v>178</v>
      </c>
      <c r="I553" s="52" t="s">
        <v>178</v>
      </c>
      <c r="J553" s="55">
        <v>45645</v>
      </c>
      <c r="K553" s="52" t="s">
        <v>198</v>
      </c>
      <c r="L553" s="8" t="s">
        <v>124</v>
      </c>
      <c r="M553" s="8" t="s">
        <v>37</v>
      </c>
      <c r="N553" s="52" t="str">
        <f>IF(Follow[[#This Row],[DATAATUALIZAÇÃO]]&lt;=Follow[[#This Row],[Prev Entrega]],"Dentro do Prazo","Fora do Prazo")</f>
        <v>Dentro do Prazo</v>
      </c>
      <c r="O5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19/12/2024, referente ao pedido Nº Pedido 556 Rastreio Pedido 556, agradecemos a preferência e adoraríamos receber sua avaliação, tendo qualquer dúvida estamos à disposição.
Att
Tem tudo Shop</v>
      </c>
    </row>
    <row r="554" spans="1:15">
      <c r="A554" s="52" t="str">
        <f>_xlfn.XLOOKUP(Follow[[#This Row],[CODRASTREIO]],Controle_Pedidos[Cód Rastreamento],Controle_Pedidos[Número Pedido Cliente])</f>
        <v>Pedido 203</v>
      </c>
      <c r="B554" s="2" t="s">
        <v>17638</v>
      </c>
      <c r="C554" s="2" t="str">
        <f>Follow[[#This Row],[CODRASTREIO]]&amp;" B"</f>
        <v>CódRastreio196 B</v>
      </c>
      <c r="D554" s="52" t="str">
        <f>_xlfn.XLOOKUP(Follow[[#This Row],[Id Pedido]],Controle_Pedidos[Número Pedido Cliente],Controle_Pedidos[Loja])</f>
        <v>BV</v>
      </c>
      <c r="E554" s="9">
        <f>_xlfn.XLOOKUP(Follow[[#This Row],[Id Pedido]],Controle_Pedidos[Número Pedido Cliente],Controle_Pedidos[Prazo Entrega])</f>
        <v>45622</v>
      </c>
      <c r="F554" s="9" t="s">
        <v>19433</v>
      </c>
      <c r="G554" s="9" t="s">
        <v>37</v>
      </c>
      <c r="H554" s="52" t="s">
        <v>178</v>
      </c>
      <c r="I554" s="52" t="s">
        <v>178</v>
      </c>
      <c r="J554" s="55">
        <v>45604</v>
      </c>
      <c r="K554" s="54" t="s">
        <v>198</v>
      </c>
      <c r="L554" s="8" t="s">
        <v>124</v>
      </c>
      <c r="M554" s="8" t="s">
        <v>37</v>
      </c>
      <c r="N554" s="52" t="str">
        <f>IF(Follow[[#This Row],[DATAATUALIZAÇÃO]]&lt;=Follow[[#This Row],[Prev Entrega]],"Dentro do Prazo","Fora do Prazo")</f>
        <v>Dentro do Prazo</v>
      </c>
      <c r="O5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08/11/2024, referente ao pedido Nº Pedido 203 Rastreio Pedido 203, agradecemos a preferência e adoraríamos receber sua avaliação, tendo qualquer dúvida estamos à disposição.
Att
Tem tudo Shop</v>
      </c>
    </row>
    <row r="555" spans="1:15">
      <c r="A555" s="52" t="str">
        <f>_xlfn.XLOOKUP(Follow[[#This Row],[CODRASTREIO]],Controle_Pedidos[Cód Rastreamento],Controle_Pedidos[Número Pedido Cliente])</f>
        <v>Pedido 161</v>
      </c>
      <c r="B555" s="2" t="s">
        <v>17596</v>
      </c>
      <c r="C555" s="2" t="str">
        <f>Follow[[#This Row],[CODRASTREIO]]&amp;" B"</f>
        <v>CódRastreio154 B</v>
      </c>
      <c r="D555" s="52" t="str">
        <f>_xlfn.XLOOKUP(Follow[[#This Row],[Id Pedido]],Controle_Pedidos[Número Pedido Cliente],Controle_Pedidos[Loja])</f>
        <v>BV</v>
      </c>
      <c r="E555" s="9">
        <f>_xlfn.XLOOKUP(Follow[[#This Row],[Id Pedido]],Controle_Pedidos[Número Pedido Cliente],Controle_Pedidos[Prazo Entrega])</f>
        <v>45619</v>
      </c>
      <c r="F555" s="9" t="s">
        <v>19433</v>
      </c>
      <c r="G555" s="9" t="s">
        <v>37</v>
      </c>
      <c r="H555" s="52" t="s">
        <v>178</v>
      </c>
      <c r="I555" s="52" t="s">
        <v>178</v>
      </c>
      <c r="J555" s="55">
        <v>45604</v>
      </c>
      <c r="K555" s="54" t="s">
        <v>198</v>
      </c>
      <c r="L555" s="8" t="s">
        <v>124</v>
      </c>
      <c r="M555" s="8" t="s">
        <v>37</v>
      </c>
      <c r="N555" s="52" t="str">
        <f>IF(Follow[[#This Row],[DATAATUALIZAÇÃO]]&lt;=Follow[[#This Row],[Prev Entrega]],"Dentro do Prazo","Fora do Prazo")</f>
        <v>Dentro do Prazo</v>
      </c>
      <c r="O5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08/11/2024, referente ao pedido Nº Pedido 161 Rastreio Pedido 161, agradecemos a preferência e adoraríamos receber sua avaliação, tendo qualquer dúvida estamos à disposição.
Att
Tem tudo Shop</v>
      </c>
    </row>
    <row r="556" spans="1:15">
      <c r="A556" s="52" t="str">
        <f>_xlfn.XLOOKUP(Follow[[#This Row],[CODRASTREIO]],Controle_Pedidos[Cód Rastreamento],Controle_Pedidos[Número Pedido Cliente])</f>
        <v>Pedido 605</v>
      </c>
      <c r="B556" s="2" t="s">
        <v>18031</v>
      </c>
      <c r="C556" s="2" t="str">
        <f>Follow[[#This Row],[CODRASTREIO]]&amp;" B"</f>
        <v>CódRastreio589 B</v>
      </c>
      <c r="D556" s="52" t="str">
        <f>_xlfn.XLOOKUP(Follow[[#This Row],[Id Pedido]],Controle_Pedidos[Número Pedido Cliente],Controle_Pedidos[Loja])</f>
        <v>BV</v>
      </c>
      <c r="E556" s="9">
        <f>_xlfn.XLOOKUP(Follow[[#This Row],[Id Pedido]],Controle_Pedidos[Número Pedido Cliente],Controle_Pedidos[Prazo Entrega])</f>
        <v>45673</v>
      </c>
      <c r="F556" s="9" t="s">
        <v>19433</v>
      </c>
      <c r="G556" s="9" t="s">
        <v>37</v>
      </c>
      <c r="H556" s="52" t="s">
        <v>179</v>
      </c>
      <c r="I556" s="52" t="s">
        <v>178</v>
      </c>
      <c r="J556" s="55">
        <v>45665</v>
      </c>
      <c r="K556" s="52" t="s">
        <v>198</v>
      </c>
      <c r="L556" s="8" t="s">
        <v>124</v>
      </c>
      <c r="M556" s="8" t="s">
        <v>37</v>
      </c>
      <c r="N556" s="52" t="str">
        <f>IF(Follow[[#This Row],[DATAATUALIZAÇÃO]]&lt;=Follow[[#This Row],[Prev Entrega]],"Dentro do Prazo","Fora do Prazo")</f>
        <v>Dentro do Prazo</v>
      </c>
      <c r="O55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605 Rastreio Pedido 605, agradecemos a preferência e adoraríamos receber sua avaliação, tendo qualquer dúvida estamos à disposição.
Att
Tem tudo Shop</v>
      </c>
    </row>
    <row r="557" spans="1:15">
      <c r="A557" s="52" t="str">
        <f>_xlfn.XLOOKUP(Follow[[#This Row],[CODRASTREIO]],Controle_Pedidos[Cód Rastreamento],Controle_Pedidos[Número Pedido Cliente])</f>
        <v>Pedido 497</v>
      </c>
      <c r="B557" s="2" t="s">
        <v>17925</v>
      </c>
      <c r="C557" s="2" t="str">
        <f>Follow[[#This Row],[CODRASTREIO]]&amp;" B"</f>
        <v>CódRastreio483 B</v>
      </c>
      <c r="D557" s="52" t="str">
        <f>_xlfn.XLOOKUP(Follow[[#This Row],[Id Pedido]],Controle_Pedidos[Número Pedido Cliente],Controle_Pedidos[Loja])</f>
        <v>BV</v>
      </c>
      <c r="E557" s="9">
        <f>_xlfn.XLOOKUP(Follow[[#This Row],[Id Pedido]],Controle_Pedidos[Número Pedido Cliente],Controle_Pedidos[Prazo Entrega])</f>
        <v>45650</v>
      </c>
      <c r="F557" s="9" t="s">
        <v>19433</v>
      </c>
      <c r="G557" s="9" t="s">
        <v>37</v>
      </c>
      <c r="H557" s="55" t="s">
        <v>179</v>
      </c>
      <c r="I557" s="55" t="s">
        <v>178</v>
      </c>
      <c r="J557" s="55">
        <v>45642</v>
      </c>
      <c r="K557" s="52" t="s">
        <v>198</v>
      </c>
      <c r="L557" s="8" t="s">
        <v>124</v>
      </c>
      <c r="M557" s="8" t="s">
        <v>37</v>
      </c>
      <c r="N557" s="52" t="str">
        <f>IF(Follow[[#This Row],[DATAATUALIZAÇÃO]]&lt;=Follow[[#This Row],[Prev Entrega]],"Dentro do Prazo","Fora do Prazo")</f>
        <v>Dentro do Prazo</v>
      </c>
      <c r="O55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16/12/2024, referente ao pedido Nº Pedido 497 Rastreio Pedido 497, agradecemos a preferência e adoraríamos receber sua avaliação, tendo qualquer dúvida estamos à disposição.
Att
Tem tudo Shop</v>
      </c>
    </row>
    <row r="558" spans="1:15">
      <c r="A558" s="52" t="str">
        <f>_xlfn.XLOOKUP(Follow[[#This Row],[CODRASTREIO]],Controle_Pedidos[Cód Rastreamento],Controle_Pedidos[Número Pedido Cliente])</f>
        <v>Pedido 174</v>
      </c>
      <c r="B558" s="2" t="s">
        <v>17609</v>
      </c>
      <c r="C558" s="2" t="str">
        <f>Follow[[#This Row],[CODRASTREIO]]&amp;" B"</f>
        <v>CódRastreio167 B</v>
      </c>
      <c r="D558" s="52" t="str">
        <f>_xlfn.XLOOKUP(Follow[[#This Row],[Id Pedido]],Controle_Pedidos[Número Pedido Cliente],Controle_Pedidos[Loja])</f>
        <v>BV</v>
      </c>
      <c r="E558" s="9">
        <f>_xlfn.XLOOKUP(Follow[[#This Row],[Id Pedido]],Controle_Pedidos[Número Pedido Cliente],Controle_Pedidos[Prazo Entrega])</f>
        <v>45608</v>
      </c>
      <c r="F558" s="9" t="s">
        <v>19433</v>
      </c>
      <c r="G558" s="9" t="s">
        <v>37</v>
      </c>
      <c r="H558" s="52" t="s">
        <v>178</v>
      </c>
      <c r="I558" s="52" t="s">
        <v>178</v>
      </c>
      <c r="J558" s="55">
        <v>45600</v>
      </c>
      <c r="K558" s="54" t="s">
        <v>198</v>
      </c>
      <c r="L558" s="8" t="s">
        <v>124</v>
      </c>
      <c r="M558" s="8" t="s">
        <v>37</v>
      </c>
      <c r="N558" s="52" t="str">
        <f>IF(Follow[[#This Row],[DATAATUALIZAÇÃO]]&lt;=Follow[[#This Row],[Prev Entrega]],"Dentro do Prazo","Fora do Prazo")</f>
        <v>Dentro do Prazo</v>
      </c>
      <c r="O5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174 Rastreio Pedido 174, agradecemos a preferência e adoraríamos receber sua avaliação, tendo qualquer dúvida estamos à disposição.
Att
Tem tudo Shop</v>
      </c>
    </row>
    <row r="559" spans="1:15">
      <c r="A559" s="52" t="str">
        <f>_xlfn.XLOOKUP(Follow[[#This Row],[CODRASTREIO]],Controle_Pedidos[Cód Rastreamento],Controle_Pedidos[Número Pedido Cliente])</f>
        <v>Pedido 88</v>
      </c>
      <c r="B559" s="2" t="s">
        <v>17523</v>
      </c>
      <c r="C559" s="2" t="str">
        <f>Follow[[#This Row],[CODRASTREIO]]&amp;" B"</f>
        <v>CódRastreio81 B</v>
      </c>
      <c r="D559" s="52" t="str">
        <f>_xlfn.XLOOKUP(Follow[[#This Row],[Id Pedido]],Controle_Pedidos[Número Pedido Cliente],Controle_Pedidos[Loja])</f>
        <v>BV</v>
      </c>
      <c r="E559" s="9">
        <f>_xlfn.XLOOKUP(Follow[[#This Row],[Id Pedido]],Controle_Pedidos[Número Pedido Cliente],Controle_Pedidos[Prazo Entrega])</f>
        <v>45608</v>
      </c>
      <c r="F559" s="9" t="s">
        <v>19433</v>
      </c>
      <c r="G559" s="9" t="s">
        <v>37</v>
      </c>
      <c r="H559" s="52" t="s">
        <v>178</v>
      </c>
      <c r="I559" s="52" t="s">
        <v>178</v>
      </c>
      <c r="J559" s="55">
        <v>45595</v>
      </c>
      <c r="K559" s="54" t="s">
        <v>198</v>
      </c>
      <c r="L559" s="8" t="s">
        <v>124</v>
      </c>
      <c r="M559" s="8" t="s">
        <v>37</v>
      </c>
      <c r="N559" s="52" t="str">
        <f>IF(Follow[[#This Row],[DATAATUALIZAÇÃO]]&lt;=Follow[[#This Row],[Prev Entrega]],"Dentro do Prazo","Fora do Prazo")</f>
        <v>Dentro do Prazo</v>
      </c>
      <c r="O5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88 Rastreio Pedido 88, agradecemos a preferência e adoraríamos receber sua avaliação, tendo qualquer dúvida estamos à disposição.
Att
Tem tudo Shop</v>
      </c>
    </row>
    <row r="560" spans="1:15">
      <c r="A560" s="52" t="str">
        <f>_xlfn.XLOOKUP(Follow[[#This Row],[CODRASTREIO]],Controle_Pedidos[Cód Rastreamento],Controle_Pedidos[Número Pedido Cliente])</f>
        <v>Pedido 489</v>
      </c>
      <c r="B560" s="2" t="s">
        <v>17917</v>
      </c>
      <c r="C560" s="2" t="str">
        <f>Follow[[#This Row],[CODRASTREIO]]&amp;" B"</f>
        <v>CódRastreio475 B</v>
      </c>
      <c r="D560" s="52" t="str">
        <f>_xlfn.XLOOKUP(Follow[[#This Row],[Id Pedido]],Controle_Pedidos[Número Pedido Cliente],Controle_Pedidos[Loja])</f>
        <v>BV</v>
      </c>
      <c r="E560" s="9">
        <f>_xlfn.XLOOKUP(Follow[[#This Row],[Id Pedido]],Controle_Pedidos[Número Pedido Cliente],Controle_Pedidos[Prazo Entrega])</f>
        <v>45647</v>
      </c>
      <c r="F560" s="9" t="s">
        <v>19433</v>
      </c>
      <c r="G560" s="9" t="s">
        <v>37</v>
      </c>
      <c r="H560" s="55" t="s">
        <v>179</v>
      </c>
      <c r="I560" s="55" t="s">
        <v>178</v>
      </c>
      <c r="J560" s="55">
        <v>45637</v>
      </c>
      <c r="K560" s="52" t="s">
        <v>198</v>
      </c>
      <c r="L560" s="8" t="s">
        <v>124</v>
      </c>
      <c r="M560" s="8" t="s">
        <v>37</v>
      </c>
      <c r="N560" s="52" t="str">
        <f>IF(Follow[[#This Row],[DATAATUALIZAÇÃO]]&lt;=Follow[[#This Row],[Prev Entrega]],"Dentro do Prazo","Fora do Prazo")</f>
        <v>Dentro do Prazo</v>
      </c>
      <c r="O56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11/12/2024, referente ao pedido Nº Pedido 489 Rastreio Pedido 489, agradecemos a preferência e adoraríamos receber sua avaliação, tendo qualquer dúvida estamos à disposição.
Att
Tem tudo Shop</v>
      </c>
    </row>
    <row r="561" spans="1:15">
      <c r="A561" s="52" t="str">
        <f>_xlfn.XLOOKUP(Follow[[#This Row],[CODRASTREIO]],Controle_Pedidos[Cód Rastreamento],Controle_Pedidos[Número Pedido Cliente])</f>
        <v>Pedido 121</v>
      </c>
      <c r="B561" s="2" t="s">
        <v>17556</v>
      </c>
      <c r="C561" s="2" t="str">
        <f>Follow[[#This Row],[CODRASTREIO]]&amp;" B"</f>
        <v>CódRastreio114 B</v>
      </c>
      <c r="D561" s="52" t="str">
        <f>_xlfn.XLOOKUP(Follow[[#This Row],[Id Pedido]],Controle_Pedidos[Número Pedido Cliente],Controle_Pedidos[Loja])</f>
        <v>BV</v>
      </c>
      <c r="E561" s="9">
        <f>_xlfn.XLOOKUP(Follow[[#This Row],[Id Pedido]],Controle_Pedidos[Número Pedido Cliente],Controle_Pedidos[Prazo Entrega])</f>
        <v>45610</v>
      </c>
      <c r="F561" s="9" t="s">
        <v>19433</v>
      </c>
      <c r="G561" s="9" t="s">
        <v>37</v>
      </c>
      <c r="H561" s="52" t="s">
        <v>179</v>
      </c>
      <c r="I561" s="52" t="s">
        <v>178</v>
      </c>
      <c r="J561" s="55">
        <v>45603</v>
      </c>
      <c r="K561" s="54" t="s">
        <v>198</v>
      </c>
      <c r="L561" s="8" t="s">
        <v>124</v>
      </c>
      <c r="M561" s="8" t="s">
        <v>37</v>
      </c>
      <c r="N561" s="52" t="str">
        <f>IF(Follow[[#This Row],[DATAATUALIZAÇÃO]]&lt;=Follow[[#This Row],[Prev Entrega]],"Dentro do Prazo","Fora do Prazo")</f>
        <v>Dentro do Prazo</v>
      </c>
      <c r="O5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07/11/2024, referente ao pedido Nº Pedido 121 Rastreio Pedido 121, agradecemos a preferência e adoraríamos receber sua avaliação, tendo qualquer dúvida estamos à disposição.
Att
Tem tudo Shop</v>
      </c>
    </row>
    <row r="562" spans="1:15">
      <c r="A562" s="52" t="str">
        <f>_xlfn.XLOOKUP(Follow[[#This Row],[CODRASTREIO]],Controle_Pedidos[Cód Rastreamento],Controle_Pedidos[Número Pedido Cliente])</f>
        <v>Pedido 145</v>
      </c>
      <c r="B562" s="2" t="s">
        <v>17580</v>
      </c>
      <c r="C562" s="2" t="str">
        <f>Follow[[#This Row],[CODRASTREIO]]&amp;" B"</f>
        <v>CódRastreio138 B</v>
      </c>
      <c r="D562" s="52" t="str">
        <f>_xlfn.XLOOKUP(Follow[[#This Row],[Id Pedido]],Controle_Pedidos[Número Pedido Cliente],Controle_Pedidos[Loja])</f>
        <v>BV</v>
      </c>
      <c r="E562" s="9">
        <f>_xlfn.XLOOKUP(Follow[[#This Row],[Id Pedido]],Controle_Pedidos[Número Pedido Cliente],Controle_Pedidos[Prazo Entrega])</f>
        <v>45605</v>
      </c>
      <c r="F562" s="9" t="s">
        <v>19433</v>
      </c>
      <c r="G562" s="9" t="s">
        <v>37</v>
      </c>
      <c r="H562" s="52" t="s">
        <v>178</v>
      </c>
      <c r="I562" s="52" t="s">
        <v>178</v>
      </c>
      <c r="J562" s="55">
        <v>45596</v>
      </c>
      <c r="K562" s="54" t="s">
        <v>198</v>
      </c>
      <c r="L562" s="8" t="s">
        <v>124</v>
      </c>
      <c r="M562" s="8" t="s">
        <v>37</v>
      </c>
      <c r="N562" s="52" t="str">
        <f>IF(Follow[[#This Row],[DATAATUALIZAÇÃO]]&lt;=Follow[[#This Row],[Prev Entrega]],"Dentro do Prazo","Fora do Prazo")</f>
        <v>Dentro do Prazo</v>
      </c>
      <c r="O5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31/10/2024, referente ao pedido Nº Pedido 145 Rastreio Pedido 145, agradecemos a preferência e adoraríamos receber sua avaliação, tendo qualquer dúvida estamos à disposição.
Att
Tem tudo Shop</v>
      </c>
    </row>
    <row r="563" spans="1:15">
      <c r="A563" s="52" t="str">
        <f>_xlfn.XLOOKUP(Follow[[#This Row],[CODRASTREIO]],Controle_Pedidos[Cód Rastreamento],Controle_Pedidos[Número Pedido Cliente])</f>
        <v>Pedido 112</v>
      </c>
      <c r="B563" s="2" t="s">
        <v>17547</v>
      </c>
      <c r="C563" s="2" t="str">
        <f>Follow[[#This Row],[CODRASTREIO]]&amp;" B"</f>
        <v>CódRastreio105 B</v>
      </c>
      <c r="D563" s="52" t="str">
        <f>_xlfn.XLOOKUP(Follow[[#This Row],[Id Pedido]],Controle_Pedidos[Número Pedido Cliente],Controle_Pedidos[Loja])</f>
        <v>BV</v>
      </c>
      <c r="E563" s="9">
        <f>_xlfn.XLOOKUP(Follow[[#This Row],[Id Pedido]],Controle_Pedidos[Número Pedido Cliente],Controle_Pedidos[Prazo Entrega])</f>
        <v>45610</v>
      </c>
      <c r="F563" s="9" t="s">
        <v>19433</v>
      </c>
      <c r="G563" s="9" t="s">
        <v>37</v>
      </c>
      <c r="H563" s="52" t="s">
        <v>178</v>
      </c>
      <c r="I563" s="52" t="s">
        <v>178</v>
      </c>
      <c r="J563" s="55">
        <v>45595</v>
      </c>
      <c r="K563" s="54" t="s">
        <v>198</v>
      </c>
      <c r="L563" s="8" t="s">
        <v>124</v>
      </c>
      <c r="M563" s="8" t="s">
        <v>37</v>
      </c>
      <c r="N563" s="52" t="str">
        <f>IF(Follow[[#This Row],[DATAATUALIZAÇÃO]]&lt;=Follow[[#This Row],[Prev Entrega]],"Dentro do Prazo","Fora do Prazo")</f>
        <v>Dentro do Prazo</v>
      </c>
      <c r="O5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112 Rastreio Pedido 112, agradecemos a preferência e adoraríamos receber sua avaliação, tendo qualquer dúvida estamos à disposição.
Att
Tem tudo Shop</v>
      </c>
    </row>
    <row r="564" spans="1:15">
      <c r="A564" s="52" t="str">
        <f>_xlfn.XLOOKUP(Follow[[#This Row],[CODRASTREIO]],Controle_Pedidos[Cód Rastreamento],Controle_Pedidos[Número Pedido Cliente])</f>
        <v>Pedido 416</v>
      </c>
      <c r="B564" s="2" t="s">
        <v>17847</v>
      </c>
      <c r="C564" s="2" t="str">
        <f>Follow[[#This Row],[CODRASTREIO]]&amp;" B"</f>
        <v>CódRastreio405 B</v>
      </c>
      <c r="D564" s="52" t="str">
        <f>_xlfn.XLOOKUP(Follow[[#This Row],[Id Pedido]],Controle_Pedidos[Número Pedido Cliente],Controle_Pedidos[Loja])</f>
        <v>BV</v>
      </c>
      <c r="E564" s="9">
        <f>_xlfn.XLOOKUP(Follow[[#This Row],[Id Pedido]],Controle_Pedidos[Número Pedido Cliente],Controle_Pedidos[Prazo Entrega])</f>
        <v>45632</v>
      </c>
      <c r="F564" s="9" t="s">
        <v>19433</v>
      </c>
      <c r="G564" s="9" t="s">
        <v>37</v>
      </c>
      <c r="H564" s="52" t="s">
        <v>178</v>
      </c>
      <c r="I564" s="52" t="s">
        <v>178</v>
      </c>
      <c r="J564" s="55">
        <v>45621</v>
      </c>
      <c r="K564" s="54" t="s">
        <v>198</v>
      </c>
      <c r="L564" s="8" t="s">
        <v>124</v>
      </c>
      <c r="M564" s="8" t="s">
        <v>37</v>
      </c>
      <c r="N564" s="52" t="str">
        <f>IF(Follow[[#This Row],[DATAATUALIZAÇÃO]]&lt;=Follow[[#This Row],[Prev Entrega]],"Dentro do Prazo","Fora do Prazo")</f>
        <v>Dentro do Prazo</v>
      </c>
      <c r="O56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25/11/2024, referente ao pedido Nº Pedido 416 Rastreio Pedido 416, agradecemos a preferência e adoraríamos receber sua avaliação, tendo qualquer dúvida estamos à disposição.
Att
Tem tudo Shop</v>
      </c>
    </row>
    <row r="565" spans="1:15">
      <c r="A565" s="52" t="str">
        <f>_xlfn.XLOOKUP(Follow[[#This Row],[CODRASTREIO]],Controle_Pedidos[Cód Rastreamento],Controle_Pedidos[Número Pedido Cliente])</f>
        <v>Pedido 221</v>
      </c>
      <c r="B565" s="2" t="s">
        <v>17656</v>
      </c>
      <c r="C565" s="2" t="str">
        <f>Follow[[#This Row],[CODRASTREIO]]&amp;" B"</f>
        <v>CódRastreio214 B</v>
      </c>
      <c r="D565" s="52" t="str">
        <f>_xlfn.XLOOKUP(Follow[[#This Row],[Id Pedido]],Controle_Pedidos[Número Pedido Cliente],Controle_Pedidos[Loja])</f>
        <v>BV</v>
      </c>
      <c r="E565" s="9">
        <f>_xlfn.XLOOKUP(Follow[[#This Row],[Id Pedido]],Controle_Pedidos[Número Pedido Cliente],Controle_Pedidos[Prazo Entrega])</f>
        <v>45629</v>
      </c>
      <c r="F565" s="9" t="s">
        <v>19433</v>
      </c>
      <c r="G565" s="9" t="s">
        <v>37</v>
      </c>
      <c r="H565" s="52" t="s">
        <v>179</v>
      </c>
      <c r="I565" s="52" t="s">
        <v>178</v>
      </c>
      <c r="J565" s="55">
        <v>45610</v>
      </c>
      <c r="K565" s="54" t="s">
        <v>198</v>
      </c>
      <c r="L565" s="8" t="s">
        <v>124</v>
      </c>
      <c r="M565" s="8" t="s">
        <v>37</v>
      </c>
      <c r="N565" s="52" t="str">
        <f>IF(Follow[[#This Row],[DATAATUALIZAÇÃO]]&lt;=Follow[[#This Row],[Prev Entrega]],"Dentro do Prazo","Fora do Prazo")</f>
        <v>Dentro do Prazo</v>
      </c>
      <c r="O5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14/11/2024, referente ao pedido Nº Pedido 221 Rastreio Pedido 221, agradecemos a preferência e adoraríamos receber sua avaliação, tendo qualquer dúvida estamos à disposição.
Att
Tem tudo Shop</v>
      </c>
    </row>
    <row r="566" spans="1:15">
      <c r="A566" s="52" t="str">
        <f>_xlfn.XLOOKUP(Follow[[#This Row],[CODRASTREIO]],Controle_Pedidos[Cód Rastreamento],Controle_Pedidos[Número Pedido Cliente])</f>
        <v>Pedido 504</v>
      </c>
      <c r="B566" s="2" t="s">
        <v>17932</v>
      </c>
      <c r="C566" s="2" t="str">
        <f>Follow[[#This Row],[CODRASTREIO]]&amp;" B"</f>
        <v>CódRastreio490 B</v>
      </c>
      <c r="D566" s="52" t="str">
        <f>_xlfn.XLOOKUP(Follow[[#This Row],[Id Pedido]],Controle_Pedidos[Número Pedido Cliente],Controle_Pedidos[Loja])</f>
        <v>BV</v>
      </c>
      <c r="E566" s="9">
        <f>_xlfn.XLOOKUP(Follow[[#This Row],[Id Pedido]],Controle_Pedidos[Número Pedido Cliente],Controle_Pedidos[Prazo Entrega])</f>
        <v>45661</v>
      </c>
      <c r="F566" s="9" t="s">
        <v>19433</v>
      </c>
      <c r="G566" s="9" t="s">
        <v>37</v>
      </c>
      <c r="H566" s="52" t="s">
        <v>179</v>
      </c>
      <c r="I566" s="52" t="s">
        <v>178</v>
      </c>
      <c r="J566" s="55">
        <v>45644</v>
      </c>
      <c r="K566" s="52" t="s">
        <v>198</v>
      </c>
      <c r="L566" s="8" t="s">
        <v>124</v>
      </c>
      <c r="M566" s="8" t="s">
        <v>37</v>
      </c>
      <c r="N566" s="52" t="str">
        <f>IF(Follow[[#This Row],[DATAATUALIZAÇÃO]]&lt;=Follow[[#This Row],[Prev Entrega]],"Dentro do Prazo","Fora do Prazo")</f>
        <v>Dentro do Prazo</v>
      </c>
      <c r="O5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18/12/2024, referente ao pedido Nº Pedido 504 Rastreio Pedido 504, agradecemos a preferência e adoraríamos receber sua avaliação, tendo qualquer dúvida estamos à disposição.
Att
Tem tudo Shop</v>
      </c>
    </row>
    <row r="567" spans="1:15">
      <c r="A567" s="52" t="str">
        <f>_xlfn.XLOOKUP(Follow[[#This Row],[CODRASTREIO]],Controle_Pedidos[Cód Rastreamento],Controle_Pedidos[Número Pedido Cliente])</f>
        <v>Pedido 511</v>
      </c>
      <c r="B567" s="2" t="s">
        <v>17938</v>
      </c>
      <c r="C567" s="2" t="str">
        <f>Follow[[#This Row],[CODRASTREIO]]&amp;" B"</f>
        <v>CódRastreio496 B</v>
      </c>
      <c r="D567" s="52" t="str">
        <f>_xlfn.XLOOKUP(Follow[[#This Row],[Id Pedido]],Controle_Pedidos[Número Pedido Cliente],Controle_Pedidos[Loja])</f>
        <v>BV</v>
      </c>
      <c r="E567" s="9">
        <f>_xlfn.XLOOKUP(Follow[[#This Row],[Id Pedido]],Controle_Pedidos[Número Pedido Cliente],Controle_Pedidos[Prazo Entrega])</f>
        <v>45665</v>
      </c>
      <c r="F567" s="9" t="s">
        <v>19433</v>
      </c>
      <c r="G567" s="9" t="s">
        <v>37</v>
      </c>
      <c r="H567" s="52" t="s">
        <v>178</v>
      </c>
      <c r="I567" s="52" t="s">
        <v>178</v>
      </c>
      <c r="J567" s="55">
        <v>45643</v>
      </c>
      <c r="K567" s="52" t="s">
        <v>198</v>
      </c>
      <c r="L567" s="8" t="s">
        <v>124</v>
      </c>
      <c r="M567" s="8" t="s">
        <v>37</v>
      </c>
      <c r="N567" s="52" t="str">
        <f>IF(Follow[[#This Row],[DATAATUALIZAÇÃO]]&lt;=Follow[[#This Row],[Prev Entrega]],"Dentro do Prazo","Fora do Prazo")</f>
        <v>Dentro do Prazo</v>
      </c>
      <c r="O5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17/12/2024, referente ao pedido Nº Pedido 511 Rastreio Pedido 511, agradecemos a preferência e adoraríamos receber sua avaliação, tendo qualquer dúvida estamos à disposição.
Att
Tem tudo Shop</v>
      </c>
    </row>
    <row r="568" spans="1:15">
      <c r="A568" s="52" t="str">
        <f>_xlfn.XLOOKUP(Follow[[#This Row],[CODRASTREIO]],Controle_Pedidos[Cód Rastreamento],Controle_Pedidos[Número Pedido Cliente])</f>
        <v>Pedido 267</v>
      </c>
      <c r="B568" s="2" t="s">
        <v>17702</v>
      </c>
      <c r="C568" s="2" t="str">
        <f>Follow[[#This Row],[CODRASTREIO]]&amp;" B"</f>
        <v>CódRastreio260 B</v>
      </c>
      <c r="D568" s="52" t="str">
        <f>_xlfn.XLOOKUP(Follow[[#This Row],[Id Pedido]],Controle_Pedidos[Número Pedido Cliente],Controle_Pedidos[Loja])</f>
        <v>BV</v>
      </c>
      <c r="E568" s="9">
        <f>_xlfn.XLOOKUP(Follow[[#This Row],[Id Pedido]],Controle_Pedidos[Número Pedido Cliente],Controle_Pedidos[Prazo Entrega])</f>
        <v>45616</v>
      </c>
      <c r="F568" s="9" t="s">
        <v>19433</v>
      </c>
      <c r="G568" s="9" t="s">
        <v>37</v>
      </c>
      <c r="H568" s="52" t="s">
        <v>178</v>
      </c>
      <c r="I568" s="52" t="s">
        <v>178</v>
      </c>
      <c r="J568" s="55">
        <v>45607</v>
      </c>
      <c r="K568" s="54" t="s">
        <v>198</v>
      </c>
      <c r="L568" s="8" t="s">
        <v>124</v>
      </c>
      <c r="M568" s="8" t="s">
        <v>37</v>
      </c>
      <c r="N568" s="52" t="str">
        <f>IF(Follow[[#This Row],[DATAATUALIZAÇÃO]]&lt;=Follow[[#This Row],[Prev Entrega]],"Dentro do Prazo","Fora do Prazo")</f>
        <v>Dentro do Prazo</v>
      </c>
      <c r="O5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11/11/2024, referente ao pedido Nº Pedido 267 Rastreio Pedido 267, agradecemos a preferência e adoraríamos receber sua avaliação, tendo qualquer dúvida estamos à disposição.
Att
Tem tudo Shop</v>
      </c>
    </row>
    <row r="569" spans="1:15">
      <c r="A569" s="52" t="str">
        <f>_xlfn.XLOOKUP(Follow[[#This Row],[CODRASTREIO]],Controle_Pedidos[Cód Rastreamento],Controle_Pedidos[Número Pedido Cliente])</f>
        <v>Pedido 137</v>
      </c>
      <c r="B569" s="2" t="s">
        <v>17572</v>
      </c>
      <c r="C569" s="2" t="str">
        <f>Follow[[#This Row],[CODRASTREIO]]&amp;" B"</f>
        <v>CódRastreio130 B</v>
      </c>
      <c r="D569" s="52" t="str">
        <f>_xlfn.XLOOKUP(Follow[[#This Row],[Id Pedido]],Controle_Pedidos[Número Pedido Cliente],Controle_Pedidos[Loja])</f>
        <v>BV</v>
      </c>
      <c r="E569" s="9">
        <f>_xlfn.XLOOKUP(Follow[[#This Row],[Id Pedido]],Controle_Pedidos[Número Pedido Cliente],Controle_Pedidos[Prazo Entrega])</f>
        <v>45618</v>
      </c>
      <c r="F569" s="9" t="s">
        <v>19433</v>
      </c>
      <c r="G569" s="9" t="s">
        <v>37</v>
      </c>
      <c r="H569" s="52" t="s">
        <v>178</v>
      </c>
      <c r="I569" s="52" t="s">
        <v>178</v>
      </c>
      <c r="J569" s="55">
        <v>45601</v>
      </c>
      <c r="K569" s="54" t="s">
        <v>198</v>
      </c>
      <c r="L569" s="8" t="s">
        <v>124</v>
      </c>
      <c r="M569" s="8" t="s">
        <v>37</v>
      </c>
      <c r="N569" s="52" t="str">
        <f>IF(Follow[[#This Row],[DATAATUALIZAÇÃO]]&lt;=Follow[[#This Row],[Prev Entrega]],"Dentro do Prazo","Fora do Prazo")</f>
        <v>Dentro do Prazo</v>
      </c>
      <c r="O5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137 Rastreio Pedido 137, agradecemos a preferência e adoraríamos receber sua avaliação, tendo qualquer dúvida estamos à disposição.
Att
Tem tudo Shop</v>
      </c>
    </row>
    <row r="570" spans="1:15">
      <c r="A570" s="52" t="str">
        <f>_xlfn.XLOOKUP(Follow[[#This Row],[CODRASTREIO]],Controle_Pedidos[Cód Rastreamento],Controle_Pedidos[Número Pedido Cliente])</f>
        <v>Pedido 475</v>
      </c>
      <c r="B570" s="2" t="s">
        <v>17902</v>
      </c>
      <c r="C570" s="2" t="str">
        <f>Follow[[#This Row],[CODRASTREIO]]&amp;" B"</f>
        <v>CódRastreio460 B</v>
      </c>
      <c r="D570" s="52" t="str">
        <f>_xlfn.XLOOKUP(Follow[[#This Row],[Id Pedido]],Controle_Pedidos[Número Pedido Cliente],Controle_Pedidos[Loja])</f>
        <v>BV</v>
      </c>
      <c r="E570" s="9">
        <f>_xlfn.XLOOKUP(Follow[[#This Row],[Id Pedido]],Controle_Pedidos[Número Pedido Cliente],Controle_Pedidos[Prazo Entrega])</f>
        <v>45646</v>
      </c>
      <c r="F570" s="9" t="s">
        <v>19433</v>
      </c>
      <c r="G570" s="9" t="s">
        <v>37</v>
      </c>
      <c r="H570" s="55" t="s">
        <v>179</v>
      </c>
      <c r="I570" s="55" t="s">
        <v>178</v>
      </c>
      <c r="J570" s="55">
        <v>45635.548043981478</v>
      </c>
      <c r="K570" s="52" t="s">
        <v>198</v>
      </c>
      <c r="L570" s="8" t="s">
        <v>124</v>
      </c>
      <c r="M570" s="8" t="s">
        <v>37</v>
      </c>
      <c r="N570" s="52" t="str">
        <f>IF(Follow[[#This Row],[DATAATUALIZAÇÃO]]&lt;=Follow[[#This Row],[Prev Entrega]],"Dentro do Prazo","Fora do Prazo")</f>
        <v>Dentro do Prazo</v>
      </c>
      <c r="O5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09/12/2024, referente ao pedido Nº Pedido 475 Rastreio Pedido 475, agradecemos a preferência e adoraríamos receber sua avaliação, tendo qualquer dúvida estamos à disposição.
Att
Tem tudo Shop</v>
      </c>
    </row>
    <row r="571" spans="1:15">
      <c r="A571" s="52" t="str">
        <f>_xlfn.XLOOKUP(Follow[[#This Row],[CODRASTREIO]],Controle_Pedidos[Cód Rastreamento],Controle_Pedidos[Número Pedido Cliente])</f>
        <v>Pedido 583</v>
      </c>
      <c r="B571" s="2" t="s">
        <v>18010</v>
      </c>
      <c r="C571" s="2" t="str">
        <f>Follow[[#This Row],[CODRASTREIO]]&amp;" B"</f>
        <v>CódRastreio568 B</v>
      </c>
      <c r="D571" s="52" t="str">
        <f>_xlfn.XLOOKUP(Follow[[#This Row],[Id Pedido]],Controle_Pedidos[Número Pedido Cliente],Controle_Pedidos[Loja])</f>
        <v>BV</v>
      </c>
      <c r="E571" s="9">
        <f>_xlfn.XLOOKUP(Follow[[#This Row],[Id Pedido]],Controle_Pedidos[Número Pedido Cliente],Controle_Pedidos[Prazo Entrega])</f>
        <v>45673</v>
      </c>
      <c r="F571" s="9" t="s">
        <v>19433</v>
      </c>
      <c r="G571" s="9" t="s">
        <v>37</v>
      </c>
      <c r="H571" s="52" t="s">
        <v>179</v>
      </c>
      <c r="I571" s="52" t="s">
        <v>178</v>
      </c>
      <c r="J571" s="55">
        <v>45659</v>
      </c>
      <c r="K571" s="52" t="s">
        <v>198</v>
      </c>
      <c r="L571" s="8" t="s">
        <v>124</v>
      </c>
      <c r="M571" s="8" t="s">
        <v>37</v>
      </c>
      <c r="N571" s="52" t="str">
        <f>IF(Follow[[#This Row],[DATAATUALIZAÇÃO]]&lt;=Follow[[#This Row],[Prev Entrega]],"Dentro do Prazo","Fora do Prazo")</f>
        <v>Dentro do Prazo</v>
      </c>
      <c r="O5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02/01/2025, referente ao pedido Nº Pedido 583 Rastreio Pedido 583, agradecemos a preferência e adoraríamos receber sua avaliação, tendo qualquer dúvida estamos à disposição.
Att
Tem tudo Shop</v>
      </c>
    </row>
    <row r="572" spans="1:15">
      <c r="A572" s="52" t="str">
        <f>_xlfn.XLOOKUP(Follow[[#This Row],[CODRASTREIO]],Controle_Pedidos[Cód Rastreamento],Controle_Pedidos[Número Pedido Cliente])</f>
        <v>Pedido 656</v>
      </c>
      <c r="B572" s="2" t="s">
        <v>18078</v>
      </c>
      <c r="C572" s="2" t="str">
        <f>Follow[[#This Row],[CODRASTREIO]]&amp;" B"</f>
        <v>CódRastreio636 B</v>
      </c>
      <c r="D572" s="52" t="str">
        <f>_xlfn.XLOOKUP(Follow[[#This Row],[Id Pedido]],Controle_Pedidos[Número Pedido Cliente],Controle_Pedidos[Loja])</f>
        <v>BV</v>
      </c>
      <c r="E572" s="9">
        <f>_xlfn.XLOOKUP(Follow[[#This Row],[Id Pedido]],Controle_Pedidos[Número Pedido Cliente],Controle_Pedidos[Prazo Entrega])</f>
        <v>45679</v>
      </c>
      <c r="F572" s="9" t="s">
        <v>19433</v>
      </c>
      <c r="G572" s="9" t="s">
        <v>37</v>
      </c>
      <c r="H572" s="52" t="s">
        <v>179</v>
      </c>
      <c r="I572" s="52" t="s">
        <v>178</v>
      </c>
      <c r="J572" s="55">
        <v>45665</v>
      </c>
      <c r="K572" s="52" t="s">
        <v>198</v>
      </c>
      <c r="L572" s="8" t="s">
        <v>124</v>
      </c>
      <c r="M572" s="8" t="s">
        <v>37</v>
      </c>
      <c r="N572" s="52" t="str">
        <f>IF(Follow[[#This Row],[DATAATUALIZAÇÃO]]&lt;=Follow[[#This Row],[Prev Entrega]],"Dentro do Prazo","Fora do Prazo")</f>
        <v>Dentro do Prazo</v>
      </c>
      <c r="O5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656 Rastreio Pedido 656, agradecemos a preferência e adoraríamos receber sua avaliação, tendo qualquer dúvida estamos à disposição.
Att
Tem tudo Shop</v>
      </c>
    </row>
    <row r="573" spans="1:15">
      <c r="A573" s="52" t="str">
        <f>_xlfn.XLOOKUP(Follow[[#This Row],[CODRASTREIO]],Controle_Pedidos[Cód Rastreamento],Controle_Pedidos[Número Pedido Cliente])</f>
        <v>Pedido 86</v>
      </c>
      <c r="B573" s="2" t="s">
        <v>17521</v>
      </c>
      <c r="C573" s="2" t="str">
        <f>Follow[[#This Row],[CODRASTREIO]]&amp;" B"</f>
        <v>CódRastreio79 B</v>
      </c>
      <c r="D573" s="52" t="str">
        <f>_xlfn.XLOOKUP(Follow[[#This Row],[Id Pedido]],Controle_Pedidos[Número Pedido Cliente],Controle_Pedidos[Loja])</f>
        <v>BV</v>
      </c>
      <c r="E573" s="9">
        <f>_xlfn.XLOOKUP(Follow[[#This Row],[Id Pedido]],Controle_Pedidos[Número Pedido Cliente],Controle_Pedidos[Prazo Entrega])</f>
        <v>45610</v>
      </c>
      <c r="F573" s="9" t="s">
        <v>19433</v>
      </c>
      <c r="G573" s="9" t="s">
        <v>37</v>
      </c>
      <c r="H573" s="52" t="s">
        <v>179</v>
      </c>
      <c r="I573" s="52" t="s">
        <v>178</v>
      </c>
      <c r="J573" s="55">
        <v>45601</v>
      </c>
      <c r="K573" s="54" t="s">
        <v>198</v>
      </c>
      <c r="L573" s="8" t="s">
        <v>124</v>
      </c>
      <c r="M573" s="8" t="s">
        <v>37</v>
      </c>
      <c r="N573" s="52" t="str">
        <f>IF(Follow[[#This Row],[DATAATUALIZAÇÃO]]&lt;=Follow[[#This Row],[Prev Entrega]],"Dentro do Prazo","Fora do Prazo")</f>
        <v>Dentro do Prazo</v>
      </c>
      <c r="O5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05/11/2024, referente ao pedido Nº Pedido 86 Rastreio Pedido 86, agradecemos a preferência e adoraríamos receber sua avaliação, tendo qualquer dúvida estamos à disposição.
Att
Tem tudo Shop</v>
      </c>
    </row>
    <row r="574" spans="1:15">
      <c r="A574" s="52" t="str">
        <f>_xlfn.XLOOKUP(Follow[[#This Row],[CODRASTREIO]],Controle_Pedidos[Cód Rastreamento],Controle_Pedidos[Número Pedido Cliente])</f>
        <v>Pedido 109</v>
      </c>
      <c r="B574" s="2" t="s">
        <v>17544</v>
      </c>
      <c r="C574" s="2" t="str">
        <f>Follow[[#This Row],[CODRASTREIO]]&amp;" B"</f>
        <v>CódRastreio102 B</v>
      </c>
      <c r="D574" s="52" t="str">
        <f>_xlfn.XLOOKUP(Follow[[#This Row],[Id Pedido]],Controle_Pedidos[Número Pedido Cliente],Controle_Pedidos[Loja])</f>
        <v>BV</v>
      </c>
      <c r="E574" s="9">
        <f>_xlfn.XLOOKUP(Follow[[#This Row],[Id Pedido]],Controle_Pedidos[Número Pedido Cliente],Controle_Pedidos[Prazo Entrega])</f>
        <v>45617</v>
      </c>
      <c r="F574" s="9" t="s">
        <v>19433</v>
      </c>
      <c r="G574" s="9" t="s">
        <v>37</v>
      </c>
      <c r="H574" s="52" t="s">
        <v>178</v>
      </c>
      <c r="I574" s="52" t="s">
        <v>178</v>
      </c>
      <c r="J574" s="55">
        <v>45600</v>
      </c>
      <c r="K574" s="54" t="s">
        <v>198</v>
      </c>
      <c r="L574" s="8" t="s">
        <v>124</v>
      </c>
      <c r="M574" s="8" t="s">
        <v>37</v>
      </c>
      <c r="N574" s="52" t="str">
        <f>IF(Follow[[#This Row],[DATAATUALIZAÇÃO]]&lt;=Follow[[#This Row],[Prev Entrega]],"Dentro do Prazo","Fora do Prazo")</f>
        <v>Dentro do Prazo</v>
      </c>
      <c r="O5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109 Rastreio Pedido 109, agradecemos a preferência e adoraríamos receber sua avaliação, tendo qualquer dúvida estamos à disposição.
Att
Tem tudo Shop</v>
      </c>
    </row>
    <row r="575" spans="1:15">
      <c r="A575" s="52" t="str">
        <f>_xlfn.XLOOKUP(Follow[[#This Row],[CODRASTREIO]],Controle_Pedidos[Cód Rastreamento],Controle_Pedidos[Número Pedido Cliente])</f>
        <v>Pedido 194</v>
      </c>
      <c r="B575" s="2" t="s">
        <v>17629</v>
      </c>
      <c r="C575" s="2" t="str">
        <f>Follow[[#This Row],[CODRASTREIO]]&amp;" B"</f>
        <v>CódRastreio187 B</v>
      </c>
      <c r="D575" s="52" t="str">
        <f>_xlfn.XLOOKUP(Follow[[#This Row],[Id Pedido]],Controle_Pedidos[Número Pedido Cliente],Controle_Pedidos[Loja])</f>
        <v>BV</v>
      </c>
      <c r="E575" s="9">
        <f>_xlfn.XLOOKUP(Follow[[#This Row],[Id Pedido]],Controle_Pedidos[Número Pedido Cliente],Controle_Pedidos[Prazo Entrega])</f>
        <v>45626</v>
      </c>
      <c r="F575" s="9" t="s">
        <v>19433</v>
      </c>
      <c r="G575" s="9" t="s">
        <v>37</v>
      </c>
      <c r="H575" s="52" t="s">
        <v>179</v>
      </c>
      <c r="I575" s="52" t="s">
        <v>178</v>
      </c>
      <c r="J575" s="55">
        <v>45628</v>
      </c>
      <c r="K575" s="54" t="s">
        <v>198</v>
      </c>
      <c r="L575" s="8" t="s">
        <v>124</v>
      </c>
      <c r="M575" s="8" t="s">
        <v>37</v>
      </c>
      <c r="N575" s="52" t="str">
        <f>IF(Follow[[#This Row],[DATAATUALIZAÇÃO]]&lt;=Follow[[#This Row],[Prev Entrega]],"Dentro do Prazo","Fora do Prazo")</f>
        <v>Fora do Prazo</v>
      </c>
      <c r="O57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02/12/2024, referente ao pedido Nº Pedido 194 Rastreio Pedido 194, agradecemos a preferência e adoraríamos receber sua avaliação, tendo qualquer dúvida estamos à disposição.
Att
Tem tudo Shop</v>
      </c>
    </row>
    <row r="576" spans="1:15">
      <c r="A576" s="52" t="str">
        <f>_xlfn.XLOOKUP(Follow[[#This Row],[CODRASTREIO]],Controle_Pedidos[Cód Rastreamento],Controle_Pedidos[Número Pedido Cliente])</f>
        <v>Pedido 254</v>
      </c>
      <c r="B576" s="2" t="s">
        <v>17689</v>
      </c>
      <c r="C576" s="2" t="str">
        <f>Follow[[#This Row],[CODRASTREIO]]&amp;" B"</f>
        <v>CódRastreio247 B</v>
      </c>
      <c r="D576" s="52" t="str">
        <f>_xlfn.XLOOKUP(Follow[[#This Row],[Id Pedido]],Controle_Pedidos[Número Pedido Cliente],Controle_Pedidos[Loja])</f>
        <v>BV</v>
      </c>
      <c r="E576" s="9">
        <f>_xlfn.XLOOKUP(Follow[[#This Row],[Id Pedido]],Controle_Pedidos[Número Pedido Cliente],Controle_Pedidos[Prazo Entrega])</f>
        <v>45636</v>
      </c>
      <c r="F576" s="9" t="s">
        <v>19433</v>
      </c>
      <c r="G576" s="9" t="s">
        <v>37</v>
      </c>
      <c r="H576" s="52" t="s">
        <v>179</v>
      </c>
      <c r="I576" s="52" t="s">
        <v>178</v>
      </c>
      <c r="J576" s="55">
        <v>45624</v>
      </c>
      <c r="K576" s="54" t="s">
        <v>198</v>
      </c>
      <c r="L576" s="8" t="s">
        <v>124</v>
      </c>
      <c r="M576" s="8" t="s">
        <v>37</v>
      </c>
      <c r="N576" s="52" t="str">
        <f>IF(Follow[[#This Row],[DATAATUALIZAÇÃO]]&lt;=Follow[[#This Row],[Prev Entrega]],"Dentro do Prazo","Fora do Prazo")</f>
        <v>Dentro do Prazo</v>
      </c>
      <c r="O5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28/11/2024, referente ao pedido Nº Pedido 254 Rastreio Pedido 254, agradecemos a preferência e adoraríamos receber sua avaliação, tendo qualquer dúvida estamos à disposição.
Att
Tem tudo Shop</v>
      </c>
    </row>
    <row r="577" spans="1:15">
      <c r="A577" s="52" t="str">
        <f>_xlfn.XLOOKUP(Follow[[#This Row],[CODRASTREIO]],Controle_Pedidos[Cód Rastreamento],Controle_Pedidos[Número Pedido Cliente])</f>
        <v>Pedido 349</v>
      </c>
      <c r="B577" s="2" t="s">
        <v>17784</v>
      </c>
      <c r="C577" s="2" t="str">
        <f>Follow[[#This Row],[CODRASTREIO]]&amp;" B"</f>
        <v>CódRastreio342 B</v>
      </c>
      <c r="D577" s="52" t="str">
        <f>_xlfn.XLOOKUP(Follow[[#This Row],[Id Pedido]],Controle_Pedidos[Número Pedido Cliente],Controle_Pedidos[Loja])</f>
        <v>BV</v>
      </c>
      <c r="E577" s="9">
        <f>_xlfn.XLOOKUP(Follow[[#This Row],[Id Pedido]],Controle_Pedidos[Número Pedido Cliente],Controle_Pedidos[Prazo Entrega])</f>
        <v>45637</v>
      </c>
      <c r="F577" s="9" t="s">
        <v>19433</v>
      </c>
      <c r="G577" s="9" t="s">
        <v>37</v>
      </c>
      <c r="H577" s="55" t="s">
        <v>179</v>
      </c>
      <c r="I577" s="55" t="s">
        <v>178</v>
      </c>
      <c r="J577" s="55">
        <v>45631.427523148152</v>
      </c>
      <c r="K577" s="54" t="s">
        <v>198</v>
      </c>
      <c r="L577" s="8" t="s">
        <v>124</v>
      </c>
      <c r="M577" s="8" t="s">
        <v>199</v>
      </c>
      <c r="N577" s="52" t="str">
        <f>IF(Follow[[#This Row],[DATAATUALIZAÇÃO]]&lt;=Follow[[#This Row],[Prev Entrega]],"Dentro do Prazo","Fora do Prazo")</f>
        <v>Dentro do Prazo</v>
      </c>
      <c r="O5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05/12/2024, referente ao pedido Nº Pedido 349 Rastreio Pedido 349, agradecemos a preferência e adoraríamos receber sua avaliação, tendo qualquer dúvida estamos à disposição.
Att
Tem tudo Shop</v>
      </c>
    </row>
    <row r="578" spans="1:15">
      <c r="A578" s="52" t="str">
        <f>_xlfn.XLOOKUP(Follow[[#This Row],[CODRASTREIO]],Controle_Pedidos[Cód Rastreamento],Controle_Pedidos[Número Pedido Cliente])</f>
        <v>Pedido 40</v>
      </c>
      <c r="B578" s="2" t="s">
        <v>17473</v>
      </c>
      <c r="C578" s="2" t="str">
        <f>Follow[[#This Row],[CODRASTREIO]]&amp;" B"</f>
        <v>CódRastreio31 B</v>
      </c>
      <c r="D578" s="52" t="str">
        <f>_xlfn.XLOOKUP(Follow[[#This Row],[Id Pedido]],Controle_Pedidos[Número Pedido Cliente],Controle_Pedidos[Loja])</f>
        <v>BV</v>
      </c>
      <c r="E578" s="9">
        <f>_xlfn.XLOOKUP(Follow[[#This Row],[Id Pedido]],Controle_Pedidos[Número Pedido Cliente],Controle_Pedidos[Prazo Entrega])</f>
        <v>45608</v>
      </c>
      <c r="F578" s="9" t="s">
        <v>19433</v>
      </c>
      <c r="G578" s="9" t="s">
        <v>37</v>
      </c>
      <c r="H578" s="52" t="s">
        <v>178</v>
      </c>
      <c r="I578" s="52" t="s">
        <v>178</v>
      </c>
      <c r="J578" s="55">
        <v>45593</v>
      </c>
      <c r="K578" s="54" t="s">
        <v>198</v>
      </c>
      <c r="L578" s="8" t="s">
        <v>124</v>
      </c>
      <c r="M578" s="8" t="s">
        <v>37</v>
      </c>
      <c r="N578" s="52" t="str">
        <f>IF(Follow[[#This Row],[DATAATUALIZAÇÃO]]&lt;=Follow[[#This Row],[Prev Entrega]],"Dentro do Prazo","Fora do Prazo")</f>
        <v>Dentro do Prazo</v>
      </c>
      <c r="O5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28/10/2024, referente ao pedido Nº Pedido 40 Rastreio Pedido 40, agradecemos a preferência e adoraríamos receber sua avaliação, tendo qualquer dúvida estamos à disposição.
Att
Tem tudo Shop</v>
      </c>
    </row>
    <row r="579" spans="1:15">
      <c r="A579" s="52" t="str">
        <f>_xlfn.XLOOKUP(Follow[[#This Row],[CODRASTREIO]],Controle_Pedidos[Cód Rastreamento],Controle_Pedidos[Número Pedido Cliente])</f>
        <v>Pedido 550</v>
      </c>
      <c r="B579" s="2" t="s">
        <v>17977</v>
      </c>
      <c r="C579" s="2" t="str">
        <f>Follow[[#This Row],[CODRASTREIO]]&amp;" B"</f>
        <v>CódRastreio535 B</v>
      </c>
      <c r="D579" s="52" t="str">
        <f>_xlfn.XLOOKUP(Follow[[#This Row],[Id Pedido]],Controle_Pedidos[Número Pedido Cliente],Controle_Pedidos[Loja])</f>
        <v>BV</v>
      </c>
      <c r="E579" s="9">
        <f>_xlfn.XLOOKUP(Follow[[#This Row],[Id Pedido]],Controle_Pedidos[Número Pedido Cliente],Controle_Pedidos[Prazo Entrega])</f>
        <v>45672</v>
      </c>
      <c r="F579" s="9" t="s">
        <v>19433</v>
      </c>
      <c r="G579" s="9" t="s">
        <v>37</v>
      </c>
      <c r="H579" s="52" t="s">
        <v>178</v>
      </c>
      <c r="I579" s="52" t="s">
        <v>178</v>
      </c>
      <c r="J579" s="55">
        <v>45647</v>
      </c>
      <c r="K579" s="52" t="s">
        <v>198</v>
      </c>
      <c r="L579" s="8" t="s">
        <v>124</v>
      </c>
      <c r="M579" s="8" t="s">
        <v>37</v>
      </c>
      <c r="N579" s="52" t="str">
        <f>IF(Follow[[#This Row],[DATAATUALIZAÇÃO]]&lt;=Follow[[#This Row],[Prev Entrega]],"Dentro do Prazo","Fora do Prazo")</f>
        <v>Dentro do Prazo</v>
      </c>
      <c r="O5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21/12/2024, referente ao pedido Nº Pedido 550 Rastreio Pedido 550, agradecemos a preferência e adoraríamos receber sua avaliação, tendo qualquer dúvida estamos à disposição.
Att
Tem tudo Shop</v>
      </c>
    </row>
    <row r="580" spans="1:15">
      <c r="A580" s="52" t="str">
        <f>_xlfn.XLOOKUP(Follow[[#This Row],[CODRASTREIO]],Controle_Pedidos[Cód Rastreamento],Controle_Pedidos[Número Pedido Cliente])</f>
        <v>Pedido 527</v>
      </c>
      <c r="B580" s="2" t="s">
        <v>17954</v>
      </c>
      <c r="C580" s="2" t="str">
        <f>Follow[[#This Row],[CODRASTREIO]]&amp;" B"</f>
        <v>CódRastreio512 B</v>
      </c>
      <c r="D580" s="52" t="str">
        <f>_xlfn.XLOOKUP(Follow[[#This Row],[Id Pedido]],Controle_Pedidos[Número Pedido Cliente],Controle_Pedidos[Loja])</f>
        <v>BV</v>
      </c>
      <c r="E580" s="9">
        <f>_xlfn.XLOOKUP(Follow[[#This Row],[Id Pedido]],Controle_Pedidos[Número Pedido Cliente],Controle_Pedidos[Prazo Entrega])</f>
        <v>45667</v>
      </c>
      <c r="F580" s="9" t="s">
        <v>19433</v>
      </c>
      <c r="G580" s="9" t="s">
        <v>37</v>
      </c>
      <c r="H580" s="52" t="s">
        <v>178</v>
      </c>
      <c r="I580" s="52" t="s">
        <v>178</v>
      </c>
      <c r="J580" s="55">
        <v>45652</v>
      </c>
      <c r="K580" s="52" t="s">
        <v>198</v>
      </c>
      <c r="L580" s="8" t="s">
        <v>124</v>
      </c>
      <c r="M580" s="8" t="s">
        <v>37</v>
      </c>
      <c r="N580" s="52" t="str">
        <f>IF(Follow[[#This Row],[DATAATUALIZAÇÃO]]&lt;=Follow[[#This Row],[Prev Entrega]],"Dentro do Prazo","Fora do Prazo")</f>
        <v>Dentro do Prazo</v>
      </c>
      <c r="O5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26/12/2024, referente ao pedido Nº Pedido 527 Rastreio Pedido 527, agradecemos a preferência e adoraríamos receber sua avaliação, tendo qualquer dúvida estamos à disposição.
Att
Tem tudo Shop</v>
      </c>
    </row>
    <row r="581" spans="1:15">
      <c r="A581" s="52" t="str">
        <f>_xlfn.XLOOKUP(Follow[[#This Row],[CODRASTREIO]],Controle_Pedidos[Cód Rastreamento],Controle_Pedidos[Número Pedido Cliente])</f>
        <v>Pedido 638</v>
      </c>
      <c r="B581" s="2" t="s">
        <v>18062</v>
      </c>
      <c r="C581" s="2" t="str">
        <f>Follow[[#This Row],[CODRASTREIO]]&amp;" B"</f>
        <v>CódRastreio620 B</v>
      </c>
      <c r="D581" s="52" t="str">
        <f>_xlfn.XLOOKUP(Follow[[#This Row],[Id Pedido]],Controle_Pedidos[Número Pedido Cliente],Controle_Pedidos[Loja])</f>
        <v>BV</v>
      </c>
      <c r="E581" s="9">
        <f>_xlfn.XLOOKUP(Follow[[#This Row],[Id Pedido]],Controle_Pedidos[Número Pedido Cliente],Controle_Pedidos[Prazo Entrega])</f>
        <v>45682</v>
      </c>
      <c r="F581" s="9" t="s">
        <v>19433</v>
      </c>
      <c r="G581" s="9" t="s">
        <v>37</v>
      </c>
      <c r="H581" s="52" t="s">
        <v>179</v>
      </c>
      <c r="I581" s="52" t="s">
        <v>178</v>
      </c>
      <c r="J581" s="55">
        <v>45665</v>
      </c>
      <c r="K581" s="52" t="s">
        <v>198</v>
      </c>
      <c r="L581" s="8" t="s">
        <v>124</v>
      </c>
      <c r="M581" s="8" t="s">
        <v>37</v>
      </c>
      <c r="N581" s="52" t="str">
        <f>IF(Follow[[#This Row],[DATAATUALIZAÇÃO]]&lt;=Follow[[#This Row],[Prev Entrega]],"Dentro do Prazo","Fora do Prazo")</f>
        <v>Dentro do Prazo</v>
      </c>
      <c r="O5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638 Rastreio Pedido 638, agradecemos a preferência e adoraríamos receber sua avaliação, tendo qualquer dúvida estamos à disposição.
Att
Tem tudo Shop</v>
      </c>
    </row>
    <row r="582" spans="1:15">
      <c r="A582" s="52" t="str">
        <f>_xlfn.XLOOKUP(Follow[[#This Row],[CODRASTREIO]],Controle_Pedidos[Cód Rastreamento],Controle_Pedidos[Número Pedido Cliente])</f>
        <v>Pedido 503</v>
      </c>
      <c r="B582" s="2" t="s">
        <v>17931</v>
      </c>
      <c r="C582" s="2" t="str">
        <f>Follow[[#This Row],[CODRASTREIO]]&amp;" B"</f>
        <v>CódRastreio489 B</v>
      </c>
      <c r="D582" s="52" t="str">
        <f>_xlfn.XLOOKUP(Follow[[#This Row],[Id Pedido]],Controle_Pedidos[Número Pedido Cliente],Controle_Pedidos[Loja])</f>
        <v>BV</v>
      </c>
      <c r="E582" s="9">
        <f>_xlfn.XLOOKUP(Follow[[#This Row],[Id Pedido]],Controle_Pedidos[Número Pedido Cliente],Controle_Pedidos[Prazo Entrega])</f>
        <v>45653</v>
      </c>
      <c r="F582" s="9" t="s">
        <v>19433</v>
      </c>
      <c r="G582" s="9" t="s">
        <v>37</v>
      </c>
      <c r="H582" s="55" t="s">
        <v>179</v>
      </c>
      <c r="I582" s="55" t="s">
        <v>178</v>
      </c>
      <c r="J582" s="55">
        <v>45639</v>
      </c>
      <c r="K582" s="52" t="s">
        <v>198</v>
      </c>
      <c r="L582" s="8" t="s">
        <v>124</v>
      </c>
      <c r="M582" s="8" t="s">
        <v>37</v>
      </c>
      <c r="N582" s="52" t="str">
        <f>IF(Follow[[#This Row],[DATAATUALIZAÇÃO]]&lt;=Follow[[#This Row],[Prev Entrega]],"Dentro do Prazo","Fora do Prazo")</f>
        <v>Dentro do Prazo</v>
      </c>
      <c r="O5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13/12/2024, referente ao pedido Nº Pedido 503 Rastreio Pedido 503, agradecemos a preferência e adoraríamos receber sua avaliação, tendo qualquer dúvida estamos à disposição.
Att
Tem tudo Shop</v>
      </c>
    </row>
    <row r="583" spans="1:15">
      <c r="A583" s="52" t="str">
        <f>_xlfn.XLOOKUP(Follow[[#This Row],[CODRASTREIO]],Controle_Pedidos[Cód Rastreamento],Controle_Pedidos[Número Pedido Cliente])</f>
        <v>Pedido 606</v>
      </c>
      <c r="B583" s="2" t="s">
        <v>18032</v>
      </c>
      <c r="C583" s="2" t="str">
        <f>Follow[[#This Row],[CODRASTREIO]]&amp;" B"</f>
        <v>CódRastreio590 B</v>
      </c>
      <c r="D583" s="52" t="str">
        <f>_xlfn.XLOOKUP(Follow[[#This Row],[Id Pedido]],Controle_Pedidos[Número Pedido Cliente],Controle_Pedidos[Loja])</f>
        <v>BV</v>
      </c>
      <c r="E583" s="9">
        <f>_xlfn.XLOOKUP(Follow[[#This Row],[Id Pedido]],Controle_Pedidos[Número Pedido Cliente],Controle_Pedidos[Prazo Entrega])</f>
        <v>45673</v>
      </c>
      <c r="F583" s="9" t="s">
        <v>19433</v>
      </c>
      <c r="G583" s="9" t="s">
        <v>37</v>
      </c>
      <c r="H583" s="52" t="s">
        <v>179</v>
      </c>
      <c r="I583" s="52" t="s">
        <v>178</v>
      </c>
      <c r="J583" s="55">
        <v>45665</v>
      </c>
      <c r="K583" s="52" t="s">
        <v>198</v>
      </c>
      <c r="L583" s="8" t="s">
        <v>124</v>
      </c>
      <c r="M583" s="8" t="s">
        <v>37</v>
      </c>
      <c r="N583" s="52" t="str">
        <f>IF(Follow[[#This Row],[DATAATUALIZAÇÃO]]&lt;=Follow[[#This Row],[Prev Entrega]],"Dentro do Prazo","Fora do Prazo")</f>
        <v>Dentro do Prazo</v>
      </c>
      <c r="O5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606 Rastreio Pedido 606, agradecemos a preferência e adoraríamos receber sua avaliação, tendo qualquer dúvida estamos à disposição.
Att
Tem tudo Shop</v>
      </c>
    </row>
    <row r="584" spans="1:15">
      <c r="A584" s="52" t="str">
        <f>_xlfn.XLOOKUP(Follow[[#This Row],[CODRASTREIO]],Controle_Pedidos[Cód Rastreamento],Controle_Pedidos[Número Pedido Cliente])</f>
        <v>Pedido 178</v>
      </c>
      <c r="B584" s="2" t="s">
        <v>17613</v>
      </c>
      <c r="C584" s="2" t="str">
        <f>Follow[[#This Row],[CODRASTREIO]]&amp;" B"</f>
        <v>CódRastreio171 B</v>
      </c>
      <c r="D584" s="52" t="str">
        <f>_xlfn.XLOOKUP(Follow[[#This Row],[Id Pedido]],Controle_Pedidos[Número Pedido Cliente],Controle_Pedidos[Loja])</f>
        <v>BV</v>
      </c>
      <c r="E584" s="9">
        <f>_xlfn.XLOOKUP(Follow[[#This Row],[Id Pedido]],Controle_Pedidos[Número Pedido Cliente],Controle_Pedidos[Prazo Entrega])</f>
        <v>45610</v>
      </c>
      <c r="F584" s="9" t="s">
        <v>19433</v>
      </c>
      <c r="G584" s="9" t="s">
        <v>37</v>
      </c>
      <c r="H584" s="52" t="s">
        <v>179</v>
      </c>
      <c r="I584" s="52" t="s">
        <v>178</v>
      </c>
      <c r="J584" s="55">
        <v>45602</v>
      </c>
      <c r="K584" s="54" t="s">
        <v>198</v>
      </c>
      <c r="L584" s="8" t="s">
        <v>124</v>
      </c>
      <c r="M584" s="8" t="s">
        <v>37</v>
      </c>
      <c r="N584" s="52" t="str">
        <f>IF(Follow[[#This Row],[DATAATUALIZAÇÃO]]&lt;=Follow[[#This Row],[Prev Entrega]],"Dentro do Prazo","Fora do Prazo")</f>
        <v>Dentro do Prazo</v>
      </c>
      <c r="O5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06/11/2024, referente ao pedido Nº Pedido 178 Rastreio Pedido 178, agradecemos a preferência e adoraríamos receber sua avaliação, tendo qualquer dúvida estamos à disposição.
Att
Tem tudo Shop</v>
      </c>
    </row>
    <row r="585" spans="1:15">
      <c r="A585" s="52" t="str">
        <f>_xlfn.XLOOKUP(Follow[[#This Row],[CODRASTREIO]],Controle_Pedidos[Cód Rastreamento],Controle_Pedidos[Número Pedido Cliente])</f>
        <v>Pedido 510</v>
      </c>
      <c r="B585" s="2" t="s">
        <v>17937</v>
      </c>
      <c r="C585" s="2" t="str">
        <f>Follow[[#This Row],[CODRASTREIO]]&amp;" B"</f>
        <v>CódRastreio495 B</v>
      </c>
      <c r="D585" s="52" t="str">
        <f>_xlfn.XLOOKUP(Follow[[#This Row],[Id Pedido]],Controle_Pedidos[Número Pedido Cliente],Controle_Pedidos[Loja])</f>
        <v>BV</v>
      </c>
      <c r="E585" s="9">
        <f>_xlfn.XLOOKUP(Follow[[#This Row],[Id Pedido]],Controle_Pedidos[Número Pedido Cliente],Controle_Pedidos[Prazo Entrega])</f>
        <v>45657</v>
      </c>
      <c r="F585" s="9" t="s">
        <v>19433</v>
      </c>
      <c r="G585" s="9" t="s">
        <v>37</v>
      </c>
      <c r="H585" s="52" t="s">
        <v>179</v>
      </c>
      <c r="I585" s="52" t="s">
        <v>178</v>
      </c>
      <c r="J585" s="55">
        <v>45667</v>
      </c>
      <c r="K585" s="52" t="s">
        <v>198</v>
      </c>
      <c r="L585" s="8" t="s">
        <v>124</v>
      </c>
      <c r="M585" s="8" t="s">
        <v>88</v>
      </c>
      <c r="N585" s="52" t="str">
        <f>IF(Follow[[#This Row],[DATAATUALIZAÇÃO]]&lt;=Follow[[#This Row],[Prev Entrega]],"Dentro do Prazo","Fora do Prazo")</f>
        <v>Fora do Prazo</v>
      </c>
      <c r="O58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Branco foi entregue no dia 10/01/2025, referente ao pedido Nº Pedido 510 Rastreio Pedido 510, agradecemos a preferência e adoraríamos receber sua avaliação, tendo qualquer dúvida estamos à disposição.
Att
Tem tudo Shop</v>
      </c>
    </row>
    <row r="586" spans="1:15">
      <c r="A586" s="52" t="str">
        <f>_xlfn.XLOOKUP(Follow[[#This Row],[CODRASTREIO]],Controle_Pedidos[Cód Rastreamento],Controle_Pedidos[Número Pedido Cliente])</f>
        <v>Pedido 271</v>
      </c>
      <c r="B586" s="2" t="s">
        <v>17706</v>
      </c>
      <c r="C586" s="2" t="str">
        <f>Follow[[#This Row],[CODRASTREIO]]&amp;" B"</f>
        <v>CódRastreio264 B</v>
      </c>
      <c r="D586" s="52" t="str">
        <f>_xlfn.XLOOKUP(Follow[[#This Row],[Id Pedido]],Controle_Pedidos[Número Pedido Cliente],Controle_Pedidos[Loja])</f>
        <v>BV</v>
      </c>
      <c r="E586" s="9">
        <f>_xlfn.XLOOKUP(Follow[[#This Row],[Id Pedido]],Controle_Pedidos[Número Pedido Cliente],Controle_Pedidos[Prazo Entrega])</f>
        <v>45630</v>
      </c>
      <c r="F586" s="9" t="s">
        <v>19433</v>
      </c>
      <c r="G586" s="9" t="s">
        <v>37</v>
      </c>
      <c r="H586" s="52" t="s">
        <v>178</v>
      </c>
      <c r="I586" s="52" t="s">
        <v>178</v>
      </c>
      <c r="J586" s="55">
        <v>45611</v>
      </c>
      <c r="K586" s="54" t="s">
        <v>198</v>
      </c>
      <c r="L586" s="8" t="s">
        <v>124</v>
      </c>
      <c r="M586" s="8" t="s">
        <v>37</v>
      </c>
      <c r="N586" s="52" t="str">
        <f>IF(Follow[[#This Row],[DATAATUALIZAÇÃO]]&lt;=Follow[[#This Row],[Prev Entrega]],"Dentro do Prazo","Fora do Prazo")</f>
        <v>Dentro do Prazo</v>
      </c>
      <c r="O5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15/11/2024, referente ao pedido Nº Pedido 271 Rastreio Pedido 271, agradecemos a preferência e adoraríamos receber sua avaliação, tendo qualquer dúvida estamos à disposição.
Att
Tem tudo Shop</v>
      </c>
    </row>
    <row r="587" spans="1:15">
      <c r="A587" s="52" t="str">
        <f>_xlfn.XLOOKUP(Follow[[#This Row],[CODRASTREIO]],Controle_Pedidos[Cód Rastreamento],Controle_Pedidos[Número Pedido Cliente])</f>
        <v>Pedido 133</v>
      </c>
      <c r="B587" s="2" t="s">
        <v>17568</v>
      </c>
      <c r="C587" s="2" t="str">
        <f>Follow[[#This Row],[CODRASTREIO]]&amp;" B"</f>
        <v>CódRastreio126 B</v>
      </c>
      <c r="D587" s="52" t="str">
        <f>_xlfn.XLOOKUP(Follow[[#This Row],[Id Pedido]],Controle_Pedidos[Número Pedido Cliente],Controle_Pedidos[Loja])</f>
        <v>BV</v>
      </c>
      <c r="E587" s="9">
        <f>_xlfn.XLOOKUP(Follow[[#This Row],[Id Pedido]],Controle_Pedidos[Número Pedido Cliente],Controle_Pedidos[Prazo Entrega])</f>
        <v>45605</v>
      </c>
      <c r="F587" s="9" t="s">
        <v>19433</v>
      </c>
      <c r="G587" s="9" t="s">
        <v>37</v>
      </c>
      <c r="H587" s="52" t="s">
        <v>178</v>
      </c>
      <c r="I587" s="52" t="s">
        <v>178</v>
      </c>
      <c r="J587" s="55">
        <v>45605</v>
      </c>
      <c r="K587" s="54" t="s">
        <v>198</v>
      </c>
      <c r="L587" s="8" t="s">
        <v>124</v>
      </c>
      <c r="M587" s="8" t="s">
        <v>58</v>
      </c>
      <c r="N587" s="52" t="str">
        <f>IF(Follow[[#This Row],[DATAATUALIZAÇÃO]]&lt;=Follow[[#This Row],[Prev Entrega]],"Dentro do Prazo","Fora do Prazo")</f>
        <v>Dentro do Prazo</v>
      </c>
      <c r="O587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09/11/2024, referente ao pedido Nº Pedido 133 Rastreio Pedido 133, agradecemos a preferência e adoraríamos receber sua avaliação, tendo qualquer dúvida estamos à disposição.
Att
Tem tudo Shop</v>
      </c>
    </row>
    <row r="588" spans="1:15">
      <c r="A588" s="52" t="str">
        <f>_xlfn.XLOOKUP(Follow[[#This Row],[CODRASTREIO]],Controle_Pedidos[Cód Rastreamento],Controle_Pedidos[Número Pedido Cliente])</f>
        <v>Pedido 396</v>
      </c>
      <c r="B588" s="2" t="s">
        <v>17828</v>
      </c>
      <c r="C588" s="2" t="str">
        <f>Follow[[#This Row],[CODRASTREIO]]&amp;" B"</f>
        <v>CódRastreio386 B</v>
      </c>
      <c r="D588" s="52" t="str">
        <f>_xlfn.XLOOKUP(Follow[[#This Row],[Id Pedido]],Controle_Pedidos[Número Pedido Cliente],Controle_Pedidos[Loja])</f>
        <v>BV</v>
      </c>
      <c r="E588" s="9">
        <f>_xlfn.XLOOKUP(Follow[[#This Row],[Id Pedido]],Controle_Pedidos[Número Pedido Cliente],Controle_Pedidos[Prazo Entrega])</f>
        <v>45643</v>
      </c>
      <c r="F588" s="9" t="s">
        <v>19433</v>
      </c>
      <c r="G588" s="9" t="s">
        <v>37</v>
      </c>
      <c r="H588" s="52" t="s">
        <v>179</v>
      </c>
      <c r="I588" s="52" t="s">
        <v>178</v>
      </c>
      <c r="J588" s="55">
        <v>45629</v>
      </c>
      <c r="K588" s="54" t="s">
        <v>198</v>
      </c>
      <c r="L588" s="8" t="s">
        <v>124</v>
      </c>
      <c r="M588" s="8" t="s">
        <v>37</v>
      </c>
      <c r="N588" s="52" t="str">
        <f>IF(Follow[[#This Row],[DATAATUALIZAÇÃO]]&lt;=Follow[[#This Row],[Prev Entrega]],"Dentro do Prazo","Fora do Prazo")</f>
        <v>Dentro do Prazo</v>
      </c>
      <c r="O5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03/12/2024, referente ao pedido Nº Pedido 396 Rastreio Pedido 396, agradecemos a preferência e adoraríamos receber sua avaliação, tendo qualquer dúvida estamos à disposição.
Att
Tem tudo Shop</v>
      </c>
    </row>
    <row r="589" spans="1:15">
      <c r="A589" s="52" t="str">
        <f>_xlfn.XLOOKUP(Follow[[#This Row],[CODRASTREIO]],Controle_Pedidos[Cód Rastreamento],Controle_Pedidos[Número Pedido Cliente])</f>
        <v>Pedido 129</v>
      </c>
      <c r="B589" s="2" t="s">
        <v>17564</v>
      </c>
      <c r="C589" s="2" t="str">
        <f>Follow[[#This Row],[CODRASTREIO]]&amp;" B"</f>
        <v>CódRastreio122 B</v>
      </c>
      <c r="D589" s="52" t="str">
        <f>_xlfn.XLOOKUP(Follow[[#This Row],[Id Pedido]],Controle_Pedidos[Número Pedido Cliente],Controle_Pedidos[Loja])</f>
        <v>BV</v>
      </c>
      <c r="E589" s="9">
        <f>_xlfn.XLOOKUP(Follow[[#This Row],[Id Pedido]],Controle_Pedidos[Número Pedido Cliente],Controle_Pedidos[Prazo Entrega])</f>
        <v>45605</v>
      </c>
      <c r="F589" s="9" t="s">
        <v>19433</v>
      </c>
      <c r="G589" s="9" t="s">
        <v>37</v>
      </c>
      <c r="H589" s="52" t="s">
        <v>178</v>
      </c>
      <c r="I589" s="52" t="s">
        <v>178</v>
      </c>
      <c r="J589" s="55">
        <v>45596</v>
      </c>
      <c r="K589" s="54" t="s">
        <v>198</v>
      </c>
      <c r="L589" s="8" t="s">
        <v>124</v>
      </c>
      <c r="M589" s="8" t="s">
        <v>37</v>
      </c>
      <c r="N589" s="52" t="str">
        <f>IF(Follow[[#This Row],[DATAATUALIZAÇÃO]]&lt;=Follow[[#This Row],[Prev Entrega]],"Dentro do Prazo","Fora do Prazo")</f>
        <v>Dentro do Prazo</v>
      </c>
      <c r="O5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31/10/2024, referente ao pedido Nº Pedido 129 Rastreio Pedido 129, agradecemos a preferência e adoraríamos receber sua avaliação, tendo qualquer dúvida estamos à disposição.
Att
Tem tudo Shop</v>
      </c>
    </row>
    <row r="590" spans="1:15">
      <c r="A590" s="52" t="str">
        <f>_xlfn.XLOOKUP(Follow[[#This Row],[CODRASTREIO]],Controle_Pedidos[Cód Rastreamento],Controle_Pedidos[Número Pedido Cliente])</f>
        <v>Pedido 380</v>
      </c>
      <c r="B590" s="2" t="s">
        <v>17812</v>
      </c>
      <c r="C590" s="2" t="str">
        <f>Follow[[#This Row],[CODRASTREIO]]&amp;" B"</f>
        <v>CódRastreio370 B</v>
      </c>
      <c r="D590" s="52" t="str">
        <f>_xlfn.XLOOKUP(Follow[[#This Row],[Id Pedido]],Controle_Pedidos[Número Pedido Cliente],Controle_Pedidos[Loja])</f>
        <v>BV</v>
      </c>
      <c r="E590" s="9">
        <f>_xlfn.XLOOKUP(Follow[[#This Row],[Id Pedido]],Controle_Pedidos[Número Pedido Cliente],Controle_Pedidos[Prazo Entrega])</f>
        <v>45639</v>
      </c>
      <c r="F590" s="9" t="s">
        <v>19433</v>
      </c>
      <c r="G590" s="9" t="s">
        <v>37</v>
      </c>
      <c r="H590" s="52" t="s">
        <v>179</v>
      </c>
      <c r="I590" s="52" t="s">
        <v>178</v>
      </c>
      <c r="J590" s="55">
        <v>45624</v>
      </c>
      <c r="K590" s="54" t="s">
        <v>198</v>
      </c>
      <c r="L590" s="8" t="s">
        <v>124</v>
      </c>
      <c r="M590" s="8" t="s">
        <v>37</v>
      </c>
      <c r="N590" s="52" t="str">
        <f>IF(Follow[[#This Row],[DATAATUALIZAÇÃO]]&lt;=Follow[[#This Row],[Prev Entrega]],"Dentro do Prazo","Fora do Prazo")</f>
        <v>Dentro do Prazo</v>
      </c>
      <c r="O5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28/11/2024, referente ao pedido Nº Pedido 380 Rastreio Pedido 380, agradecemos a preferência e adoraríamos receber sua avaliação, tendo qualquer dúvida estamos à disposição.
Att
Tem tudo Shop</v>
      </c>
    </row>
    <row r="591" spans="1:15">
      <c r="A591" s="52" t="str">
        <f>_xlfn.XLOOKUP(Follow[[#This Row],[CODRASTREIO]],Controle_Pedidos[Cód Rastreamento],Controle_Pedidos[Número Pedido Cliente])</f>
        <v>Pedido 253</v>
      </c>
      <c r="B591" s="2" t="s">
        <v>17688</v>
      </c>
      <c r="C591" s="2" t="str">
        <f>Follow[[#This Row],[CODRASTREIO]]&amp;" B"</f>
        <v>CódRastreio246 B</v>
      </c>
      <c r="D591" s="52" t="str">
        <f>_xlfn.XLOOKUP(Follow[[#This Row],[Id Pedido]],Controle_Pedidos[Número Pedido Cliente],Controle_Pedidos[Loja])</f>
        <v>BV</v>
      </c>
      <c r="E591" s="9">
        <f>_xlfn.XLOOKUP(Follow[[#This Row],[Id Pedido]],Controle_Pedidos[Número Pedido Cliente],Controle_Pedidos[Prazo Entrega])</f>
        <v>45629</v>
      </c>
      <c r="F591" s="9" t="s">
        <v>19433</v>
      </c>
      <c r="G591" s="9" t="s">
        <v>37</v>
      </c>
      <c r="H591" s="52" t="s">
        <v>178</v>
      </c>
      <c r="I591" s="52" t="s">
        <v>178</v>
      </c>
      <c r="J591" s="55">
        <v>45612</v>
      </c>
      <c r="K591" s="54" t="s">
        <v>198</v>
      </c>
      <c r="L591" s="8" t="s">
        <v>124</v>
      </c>
      <c r="M591" s="8" t="s">
        <v>37</v>
      </c>
      <c r="N591" s="52" t="str">
        <f>IF(Follow[[#This Row],[DATAATUALIZAÇÃO]]&lt;=Follow[[#This Row],[Prev Entrega]],"Dentro do Prazo","Fora do Prazo")</f>
        <v>Dentro do Prazo</v>
      </c>
      <c r="O5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16/11/2024, referente ao pedido Nº Pedido 253 Rastreio Pedido 253, agradecemos a preferência e adoraríamos receber sua avaliação, tendo qualquer dúvida estamos à disposição.
Att
Tem tudo Shop</v>
      </c>
    </row>
    <row r="592" spans="1:15">
      <c r="A592" s="52" t="str">
        <f>_xlfn.XLOOKUP(Follow[[#This Row],[CODRASTREIO]],Controle_Pedidos[Cód Rastreamento],Controle_Pedidos[Número Pedido Cliente])</f>
        <v>Pedido 314</v>
      </c>
      <c r="B592" s="2" t="s">
        <v>17749</v>
      </c>
      <c r="C592" s="2" t="str">
        <f>Follow[[#This Row],[CODRASTREIO]]&amp;" B"</f>
        <v>CódRastreio307 B</v>
      </c>
      <c r="D592" s="52" t="str">
        <f>_xlfn.XLOOKUP(Follow[[#This Row],[Id Pedido]],Controle_Pedidos[Número Pedido Cliente],Controle_Pedidos[Loja])</f>
        <v>BV</v>
      </c>
      <c r="E592" s="9">
        <f>_xlfn.XLOOKUP(Follow[[#This Row],[Id Pedido]],Controle_Pedidos[Número Pedido Cliente],Controle_Pedidos[Prazo Entrega])</f>
        <v>45632</v>
      </c>
      <c r="F592" s="9" t="s">
        <v>19433</v>
      </c>
      <c r="G592" s="9" t="s">
        <v>37</v>
      </c>
      <c r="H592" s="52" t="s">
        <v>178</v>
      </c>
      <c r="I592" s="52" t="s">
        <v>178</v>
      </c>
      <c r="J592" s="55">
        <v>45617</v>
      </c>
      <c r="K592" s="54" t="s">
        <v>198</v>
      </c>
      <c r="L592" s="8" t="s">
        <v>124</v>
      </c>
      <c r="M592" s="8" t="s">
        <v>37</v>
      </c>
      <c r="N592" s="52" t="str">
        <f>IF(Follow[[#This Row],[DATAATUALIZAÇÃO]]&lt;=Follow[[#This Row],[Prev Entrega]],"Dentro do Prazo","Fora do Prazo")</f>
        <v>Dentro do Prazo</v>
      </c>
      <c r="O5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21/11/2024, referente ao pedido Nº Pedido 314 Rastreio Pedido 314, agradecemos a preferência e adoraríamos receber sua avaliação, tendo qualquer dúvida estamos à disposição.
Att
Tem tudo Shop</v>
      </c>
    </row>
    <row r="593" spans="1:15">
      <c r="A593" s="52" t="str">
        <f>_xlfn.XLOOKUP(Follow[[#This Row],[CODRASTREIO]],Controle_Pedidos[Cód Rastreamento],Controle_Pedidos[Número Pedido Cliente])</f>
        <v>Pedido 117</v>
      </c>
      <c r="B593" s="2" t="s">
        <v>17552</v>
      </c>
      <c r="C593" s="2" t="str">
        <f>Follow[[#This Row],[CODRASTREIO]]&amp;" B"</f>
        <v>CódRastreio110 B</v>
      </c>
      <c r="D593" s="52" t="str">
        <f>_xlfn.XLOOKUP(Follow[[#This Row],[Id Pedido]],Controle_Pedidos[Número Pedido Cliente],Controle_Pedidos[Loja])</f>
        <v>BV</v>
      </c>
      <c r="E593" s="9">
        <f>_xlfn.XLOOKUP(Follow[[#This Row],[Id Pedido]],Controle_Pedidos[Número Pedido Cliente],Controle_Pedidos[Prazo Entrega])</f>
        <v>45604</v>
      </c>
      <c r="F593" s="9" t="s">
        <v>19433</v>
      </c>
      <c r="G593" s="9" t="s">
        <v>37</v>
      </c>
      <c r="H593" s="52" t="s">
        <v>178</v>
      </c>
      <c r="I593" s="52" t="s">
        <v>178</v>
      </c>
      <c r="J593" s="55">
        <v>45596</v>
      </c>
      <c r="K593" s="54" t="s">
        <v>198</v>
      </c>
      <c r="L593" s="8" t="s">
        <v>124</v>
      </c>
      <c r="M593" s="8" t="s">
        <v>37</v>
      </c>
      <c r="N593" s="52" t="str">
        <f>IF(Follow[[#This Row],[DATAATUALIZAÇÃO]]&lt;=Follow[[#This Row],[Prev Entrega]],"Dentro do Prazo","Fora do Prazo")</f>
        <v>Dentro do Prazo</v>
      </c>
      <c r="O5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117 Rastreio Pedido 117, agradecemos a preferência e adoraríamos receber sua avaliação, tendo qualquer dúvida estamos à disposição.
Att
Tem tudo Shop</v>
      </c>
    </row>
    <row r="594" spans="1:15">
      <c r="A594" s="52" t="str">
        <f>_xlfn.XLOOKUP(Follow[[#This Row],[CODRASTREIO]],Controle_Pedidos[Cód Rastreamento],Controle_Pedidos[Número Pedido Cliente])</f>
        <v>Pedido 13</v>
      </c>
      <c r="B594" s="2" t="s">
        <v>17446</v>
      </c>
      <c r="C594" s="2" t="str">
        <f>Follow[[#This Row],[CODRASTREIO]]&amp;" B"</f>
        <v>CódRastreio4 B</v>
      </c>
      <c r="D594" s="52" t="str">
        <f>_xlfn.XLOOKUP(Follow[[#This Row],[Id Pedido]],Controle_Pedidos[Número Pedido Cliente],Controle_Pedidos[Loja])</f>
        <v>BV</v>
      </c>
      <c r="E594" s="9">
        <f>_xlfn.XLOOKUP(Follow[[#This Row],[Id Pedido]],Controle_Pedidos[Número Pedido Cliente],Controle_Pedidos[Prazo Entrega])</f>
        <v>45598</v>
      </c>
      <c r="F594" s="9" t="s">
        <v>19433</v>
      </c>
      <c r="G594" s="9" t="s">
        <v>37</v>
      </c>
      <c r="H594" s="52" t="s">
        <v>178</v>
      </c>
      <c r="I594" s="52" t="s">
        <v>178</v>
      </c>
      <c r="J594" s="9">
        <v>45590</v>
      </c>
      <c r="K594" s="54" t="s">
        <v>198</v>
      </c>
      <c r="L594" s="8" t="s">
        <v>124</v>
      </c>
      <c r="M594" s="8" t="s">
        <v>37</v>
      </c>
      <c r="N594" s="52" t="str">
        <f>IF(Follow[[#This Row],[DATAATUALIZAÇÃO]]&lt;=Follow[[#This Row],[Prev Entrega]],"Dentro do Prazo","Fora do Prazo")</f>
        <v>Dentro do Prazo</v>
      </c>
      <c r="O5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25/10/2024, referente ao pedido Nº Pedido 13 Rastreio Pedido 13, agradecemos a preferência e adoraríamos receber sua avaliação, tendo qualquer dúvida estamos à disposição.
Att
Tem tudo Shop</v>
      </c>
    </row>
    <row r="595" spans="1:15">
      <c r="A595" s="52" t="str">
        <f>_xlfn.XLOOKUP(Follow[[#This Row],[CODRASTREIO]],Controle_Pedidos[Cód Rastreamento],Controle_Pedidos[Número Pedido Cliente])</f>
        <v>Pedido 80</v>
      </c>
      <c r="B595" s="2" t="s">
        <v>17513</v>
      </c>
      <c r="C595" s="2" t="str">
        <f>Follow[[#This Row],[CODRASTREIO]]&amp;" B"</f>
        <v>CódRastreio71 B</v>
      </c>
      <c r="D595" s="52" t="str">
        <f>_xlfn.XLOOKUP(Follow[[#This Row],[Id Pedido]],Controle_Pedidos[Número Pedido Cliente],Controle_Pedidos[Loja])</f>
        <v>BV</v>
      </c>
      <c r="E595" s="9">
        <f>_xlfn.XLOOKUP(Follow[[#This Row],[Id Pedido]],Controle_Pedidos[Número Pedido Cliente],Controle_Pedidos[Prazo Entrega])</f>
        <v>45604</v>
      </c>
      <c r="F595" s="9" t="s">
        <v>19433</v>
      </c>
      <c r="G595" s="9" t="s">
        <v>37</v>
      </c>
      <c r="H595" s="52" t="s">
        <v>178</v>
      </c>
      <c r="I595" s="52" t="s">
        <v>178</v>
      </c>
      <c r="J595" s="55">
        <v>45594</v>
      </c>
      <c r="K595" s="54" t="s">
        <v>198</v>
      </c>
      <c r="L595" s="8" t="s">
        <v>124</v>
      </c>
      <c r="M595" s="8" t="s">
        <v>37</v>
      </c>
      <c r="N595" s="52" t="str">
        <f>IF(Follow[[#This Row],[DATAATUALIZAÇÃO]]&lt;=Follow[[#This Row],[Prev Entrega]],"Dentro do Prazo","Fora do Prazo")</f>
        <v>Dentro do Prazo</v>
      </c>
      <c r="O5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29/10/2024, referente ao pedido Nº Pedido 80 Rastreio Pedido 80, agradecemos a preferência e adoraríamos receber sua avaliação, tendo qualquer dúvida estamos à disposição.
Att
Tem tudo Shop</v>
      </c>
    </row>
    <row r="596" spans="1:15">
      <c r="A596" s="52" t="str">
        <f>_xlfn.XLOOKUP(Follow[[#This Row],[CODRASTREIO]],Controle_Pedidos[Cód Rastreamento],Controle_Pedidos[Número Pedido Cliente])</f>
        <v>Pedido 400</v>
      </c>
      <c r="B596" s="2" t="s">
        <v>17832</v>
      </c>
      <c r="C596" s="2" t="str">
        <f>Follow[[#This Row],[CODRASTREIO]]&amp;" B"</f>
        <v>CódRastreio390 B</v>
      </c>
      <c r="D596" s="52" t="str">
        <f>_xlfn.XLOOKUP(Follow[[#This Row],[Id Pedido]],Controle_Pedidos[Número Pedido Cliente],Controle_Pedidos[Loja])</f>
        <v>BV</v>
      </c>
      <c r="E596" s="9">
        <f>_xlfn.XLOOKUP(Follow[[#This Row],[Id Pedido]],Controle_Pedidos[Número Pedido Cliente],Controle_Pedidos[Prazo Entrega])</f>
        <v>45643</v>
      </c>
      <c r="F596" s="9" t="s">
        <v>19433</v>
      </c>
      <c r="G596" s="9" t="s">
        <v>37</v>
      </c>
      <c r="H596" s="52" t="s">
        <v>179</v>
      </c>
      <c r="I596" s="52" t="s">
        <v>178</v>
      </c>
      <c r="J596" s="55">
        <v>45643</v>
      </c>
      <c r="K596" s="52" t="s">
        <v>198</v>
      </c>
      <c r="L596" s="8" t="s">
        <v>124</v>
      </c>
      <c r="M596" s="8" t="s">
        <v>37</v>
      </c>
      <c r="N596" s="52" t="str">
        <f>IF(Follow[[#This Row],[DATAATUALIZAÇÃO]]&lt;=Follow[[#This Row],[Prev Entrega]],"Dentro do Prazo","Fora do Prazo")</f>
        <v>Dentro do Prazo</v>
      </c>
      <c r="O59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17/12/2024, referente ao pedido Nº Pedido 400 Rastreio Pedido 400, agradecemos a preferência e adoraríamos receber sua avaliação, tendo qualquer dúvida estamos à disposição.
Att
Tem tudo Shop</v>
      </c>
    </row>
    <row r="597" spans="1:15">
      <c r="A597" s="52" t="str">
        <f>_xlfn.XLOOKUP(Follow[[#This Row],[CODRASTREIO]],Controle_Pedidos[Cód Rastreamento],Controle_Pedidos[Número Pedido Cliente])</f>
        <v>Pedido 114</v>
      </c>
      <c r="B597" s="2" t="s">
        <v>17549</v>
      </c>
      <c r="C597" s="2" t="str">
        <f>Follow[[#This Row],[CODRASTREIO]]&amp;" B"</f>
        <v>CódRastreio107 B</v>
      </c>
      <c r="D597" s="52" t="str">
        <f>_xlfn.XLOOKUP(Follow[[#This Row],[Id Pedido]],Controle_Pedidos[Número Pedido Cliente],Controle_Pedidos[Loja])</f>
        <v>BV</v>
      </c>
      <c r="E597" s="9">
        <f>_xlfn.XLOOKUP(Follow[[#This Row],[Id Pedido]],Controle_Pedidos[Número Pedido Cliente],Controle_Pedidos[Prazo Entrega])</f>
        <v>45617</v>
      </c>
      <c r="F597" s="9" t="s">
        <v>19433</v>
      </c>
      <c r="G597" s="9" t="s">
        <v>37</v>
      </c>
      <c r="H597" s="52" t="s">
        <v>178</v>
      </c>
      <c r="I597" s="52" t="s">
        <v>178</v>
      </c>
      <c r="J597" s="55">
        <v>45605</v>
      </c>
      <c r="K597" s="54" t="s">
        <v>198</v>
      </c>
      <c r="L597" s="8" t="s">
        <v>124</v>
      </c>
      <c r="M597" s="8" t="s">
        <v>37</v>
      </c>
      <c r="N597" s="52" t="str">
        <f>IF(Follow[[#This Row],[DATAATUALIZAÇÃO]]&lt;=Follow[[#This Row],[Prev Entrega]],"Dentro do Prazo","Fora do Prazo")</f>
        <v>Dentro do Prazo</v>
      </c>
      <c r="O5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09/11/2024, referente ao pedido Nº Pedido 114 Rastreio Pedido 114, agradecemos a preferência e adoraríamos receber sua avaliação, tendo qualquer dúvida estamos à disposição.
Att
Tem tudo Shop</v>
      </c>
    </row>
    <row r="598" spans="1:15">
      <c r="A598" s="52" t="str">
        <f>_xlfn.XLOOKUP(Follow[[#This Row],[CODRASTREIO]],Controle_Pedidos[Cód Rastreamento],Controle_Pedidos[Número Pedido Cliente])</f>
        <v>Pedido 392</v>
      </c>
      <c r="B598" s="2" t="s">
        <v>17824</v>
      </c>
      <c r="C598" s="2" t="str">
        <f>Follow[[#This Row],[CODRASTREIO]]&amp;" B"</f>
        <v>CódRastreio382 B</v>
      </c>
      <c r="D598" s="52" t="str">
        <f>_xlfn.XLOOKUP(Follow[[#This Row],[Id Pedido]],Controle_Pedidos[Número Pedido Cliente],Controle_Pedidos[Loja])</f>
        <v>BV</v>
      </c>
      <c r="E598" s="9">
        <f>_xlfn.XLOOKUP(Follow[[#This Row],[Id Pedido]],Controle_Pedidos[Número Pedido Cliente],Controle_Pedidos[Prazo Entrega])</f>
        <v>45636</v>
      </c>
      <c r="F598" s="9" t="s">
        <v>19433</v>
      </c>
      <c r="G598" s="9" t="s">
        <v>37</v>
      </c>
      <c r="H598" s="52" t="s">
        <v>179</v>
      </c>
      <c r="I598" s="52" t="s">
        <v>178</v>
      </c>
      <c r="J598" s="55">
        <v>45622</v>
      </c>
      <c r="K598" s="54" t="s">
        <v>198</v>
      </c>
      <c r="L598" s="8" t="s">
        <v>124</v>
      </c>
      <c r="M598" s="8" t="s">
        <v>37</v>
      </c>
      <c r="N598" s="52" t="str">
        <f>IF(Follow[[#This Row],[DATAATUALIZAÇÃO]]&lt;=Follow[[#This Row],[Prev Entrega]],"Dentro do Prazo","Fora do Prazo")</f>
        <v>Dentro do Prazo</v>
      </c>
      <c r="O5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26/11/2024, referente ao pedido Nº Pedido 392 Rastreio Pedido 392, agradecemos a preferência e adoraríamos receber sua avaliação, tendo qualquer dúvida estamos à disposição.
Att
Tem tudo Shop</v>
      </c>
    </row>
    <row r="599" spans="1:15">
      <c r="A599" s="52" t="str">
        <f>_xlfn.XLOOKUP(Follow[[#This Row],[CODRASTREIO]],Controle_Pedidos[Cód Rastreamento],Controle_Pedidos[Número Pedido Cliente])</f>
        <v>Pedido 524</v>
      </c>
      <c r="B599" s="2" t="s">
        <v>17951</v>
      </c>
      <c r="C599" s="2" t="str">
        <f>Follow[[#This Row],[CODRASTREIO]]&amp;" B"</f>
        <v>CódRastreio509 B</v>
      </c>
      <c r="D599" s="52" t="str">
        <f>_xlfn.XLOOKUP(Follow[[#This Row],[Id Pedido]],Controle_Pedidos[Número Pedido Cliente],Controle_Pedidos[Loja])</f>
        <v>BV</v>
      </c>
      <c r="E599" s="9">
        <f>_xlfn.XLOOKUP(Follow[[#This Row],[Id Pedido]],Controle_Pedidos[Número Pedido Cliente],Controle_Pedidos[Prazo Entrega])</f>
        <v>45673</v>
      </c>
      <c r="F599" s="9" t="s">
        <v>19433</v>
      </c>
      <c r="G599" s="9" t="s">
        <v>37</v>
      </c>
      <c r="H599" s="52" t="s">
        <v>179</v>
      </c>
      <c r="I599" s="52" t="s">
        <v>178</v>
      </c>
      <c r="J599" s="55">
        <v>45667</v>
      </c>
      <c r="K599" s="52" t="s">
        <v>198</v>
      </c>
      <c r="L599" s="8" t="s">
        <v>124</v>
      </c>
      <c r="M599" s="8" t="s">
        <v>37</v>
      </c>
      <c r="N599" s="52" t="str">
        <f>IF(Follow[[#This Row],[DATAATUALIZAÇÃO]]&lt;=Follow[[#This Row],[Prev Entrega]],"Dentro do Prazo","Fora do Prazo")</f>
        <v>Dentro do Prazo</v>
      </c>
      <c r="O5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524 Rastreio Pedido 524, agradecemos a preferência e adoraríamos receber sua avaliação, tendo qualquer dúvida estamos à disposição.
Att
Tem tudo Shop</v>
      </c>
    </row>
    <row r="600" spans="1:15">
      <c r="A600" s="52" t="str">
        <f>_xlfn.XLOOKUP(Follow[[#This Row],[CODRASTREIO]],Controle_Pedidos[Cód Rastreamento],Controle_Pedidos[Número Pedido Cliente])</f>
        <v>Pedido 146</v>
      </c>
      <c r="B600" s="2" t="s">
        <v>17581</v>
      </c>
      <c r="C600" s="2" t="str">
        <f>Follow[[#This Row],[CODRASTREIO]]&amp;" B"</f>
        <v>CódRastreio139 B</v>
      </c>
      <c r="D600" s="52" t="str">
        <f>_xlfn.XLOOKUP(Follow[[#This Row],[Id Pedido]],Controle_Pedidos[Número Pedido Cliente],Controle_Pedidos[Loja])</f>
        <v>BV</v>
      </c>
      <c r="E600" s="9">
        <f>_xlfn.XLOOKUP(Follow[[#This Row],[Id Pedido]],Controle_Pedidos[Número Pedido Cliente],Controle_Pedidos[Prazo Entrega])</f>
        <v>45615</v>
      </c>
      <c r="F600" s="9" t="s">
        <v>19433</v>
      </c>
      <c r="G600" s="9" t="s">
        <v>37</v>
      </c>
      <c r="H600" s="52" t="s">
        <v>178</v>
      </c>
      <c r="I600" s="52" t="s">
        <v>178</v>
      </c>
      <c r="J600" s="55">
        <v>45600</v>
      </c>
      <c r="K600" s="54" t="s">
        <v>198</v>
      </c>
      <c r="L600" s="8" t="s">
        <v>124</v>
      </c>
      <c r="M600" s="8" t="s">
        <v>37</v>
      </c>
      <c r="N600" s="52" t="str">
        <f>IF(Follow[[#This Row],[DATAATUALIZAÇÃO]]&lt;=Follow[[#This Row],[Prev Entrega]],"Dentro do Prazo","Fora do Prazo")</f>
        <v>Dentro do Prazo</v>
      </c>
      <c r="O6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146 Rastreio Pedido 146, agradecemos a preferência e adoraríamos receber sua avaliação, tendo qualquer dúvida estamos à disposição.
Att
Tem tudo Shop</v>
      </c>
    </row>
    <row r="601" spans="1:15">
      <c r="A601" s="52" t="str">
        <f>_xlfn.XLOOKUP(Follow[[#This Row],[CODRASTREIO]],Controle_Pedidos[Cód Rastreamento],Controle_Pedidos[Número Pedido Cliente])</f>
        <v>Pedido 240</v>
      </c>
      <c r="B601" s="2" t="s">
        <v>17675</v>
      </c>
      <c r="C601" s="2" t="str">
        <f>Follow[[#This Row],[CODRASTREIO]]&amp;" B"</f>
        <v>CódRastreio233 B</v>
      </c>
      <c r="D601" s="52" t="str">
        <f>_xlfn.XLOOKUP(Follow[[#This Row],[Id Pedido]],Controle_Pedidos[Número Pedido Cliente],Controle_Pedidos[Loja])</f>
        <v>BV</v>
      </c>
      <c r="E601" s="9">
        <f>_xlfn.XLOOKUP(Follow[[#This Row],[Id Pedido]],Controle_Pedidos[Número Pedido Cliente],Controle_Pedidos[Prazo Entrega])</f>
        <v>45615</v>
      </c>
      <c r="F601" s="9" t="s">
        <v>19433</v>
      </c>
      <c r="G601" s="9" t="s">
        <v>37</v>
      </c>
      <c r="H601" s="52" t="s">
        <v>178</v>
      </c>
      <c r="I601" s="52" t="s">
        <v>178</v>
      </c>
      <c r="J601" s="55">
        <v>45604</v>
      </c>
      <c r="K601" s="54" t="s">
        <v>198</v>
      </c>
      <c r="L601" s="8" t="s">
        <v>124</v>
      </c>
      <c r="M601" s="8" t="s">
        <v>37</v>
      </c>
      <c r="N601" s="52" t="str">
        <f>IF(Follow[[#This Row],[DATAATUALIZAÇÃO]]&lt;=Follow[[#This Row],[Prev Entrega]],"Dentro do Prazo","Fora do Prazo")</f>
        <v>Dentro do Prazo</v>
      </c>
      <c r="O6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08/11/2024, referente ao pedido Nº Pedido 240 Rastreio Pedido 240, agradecemos a preferência e adoraríamos receber sua avaliação, tendo qualquer dúvida estamos à disposição.
Att
Tem tudo Shop</v>
      </c>
    </row>
    <row r="602" spans="1:15">
      <c r="A602" s="52" t="str">
        <f>_xlfn.XLOOKUP(Follow[[#This Row],[CODRASTREIO]],Controle_Pedidos[Cód Rastreamento],Controle_Pedidos[Número Pedido Cliente])</f>
        <v>Pedido 571</v>
      </c>
      <c r="B602" s="2" t="s">
        <v>17998</v>
      </c>
      <c r="C602" s="2" t="str">
        <f>Follow[[#This Row],[CODRASTREIO]]&amp;" B"</f>
        <v>CódRastreio556 B</v>
      </c>
      <c r="D602" s="52" t="str">
        <f>_xlfn.XLOOKUP(Follow[[#This Row],[Id Pedido]],Controle_Pedidos[Número Pedido Cliente],Controle_Pedidos[Loja])</f>
        <v>BV</v>
      </c>
      <c r="E602" s="9">
        <f>_xlfn.XLOOKUP(Follow[[#This Row],[Id Pedido]],Controle_Pedidos[Número Pedido Cliente],Controle_Pedidos[Prazo Entrega])</f>
        <v>45666</v>
      </c>
      <c r="F602" s="9" t="s">
        <v>19433</v>
      </c>
      <c r="G602" s="9" t="s">
        <v>37</v>
      </c>
      <c r="H602" s="52" t="s">
        <v>178</v>
      </c>
      <c r="I602" s="52" t="s">
        <v>178</v>
      </c>
      <c r="J602" s="55">
        <v>45645</v>
      </c>
      <c r="K602" s="52" t="s">
        <v>198</v>
      </c>
      <c r="L602" s="8" t="s">
        <v>124</v>
      </c>
      <c r="M602" s="8" t="s">
        <v>37</v>
      </c>
      <c r="N602" s="52" t="str">
        <f>IF(Follow[[#This Row],[DATAATUALIZAÇÃO]]&lt;=Follow[[#This Row],[Prev Entrega]],"Dentro do Prazo","Fora do Prazo")</f>
        <v>Dentro do Prazo</v>
      </c>
      <c r="O6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19/12/2024, referente ao pedido Nº Pedido 571 Rastreio Pedido 571, agradecemos a preferência e adoraríamos receber sua avaliação, tendo qualquer dúvida estamos à disposição.
Att
Tem tudo Shop</v>
      </c>
    </row>
    <row r="603" spans="1:15">
      <c r="A603" s="52" t="str">
        <f>_xlfn.XLOOKUP(Follow[[#This Row],[CODRASTREIO]],Controle_Pedidos[Cód Rastreamento],Controle_Pedidos[Número Pedido Cliente])</f>
        <v>Pedido 357</v>
      </c>
      <c r="B603" s="2" t="s">
        <v>17792</v>
      </c>
      <c r="C603" s="2" t="str">
        <f>Follow[[#This Row],[CODRASTREIO]]&amp;" B"</f>
        <v>CódRastreio350 B</v>
      </c>
      <c r="D603" s="52" t="str">
        <f>_xlfn.XLOOKUP(Follow[[#This Row],[Id Pedido]],Controle_Pedidos[Número Pedido Cliente],Controle_Pedidos[Loja])</f>
        <v>BV</v>
      </c>
      <c r="E603" s="9">
        <f>_xlfn.XLOOKUP(Follow[[#This Row],[Id Pedido]],Controle_Pedidos[Número Pedido Cliente],Controle_Pedidos[Prazo Entrega])</f>
        <v>45631</v>
      </c>
      <c r="F603" s="9" t="s">
        <v>19433</v>
      </c>
      <c r="G603" s="9" t="s">
        <v>37</v>
      </c>
      <c r="H603" s="52" t="s">
        <v>179</v>
      </c>
      <c r="I603" s="52" t="s">
        <v>178</v>
      </c>
      <c r="J603" s="55">
        <v>45622</v>
      </c>
      <c r="K603" s="54" t="s">
        <v>198</v>
      </c>
      <c r="L603" s="8" t="s">
        <v>124</v>
      </c>
      <c r="M603" s="8" t="s">
        <v>37</v>
      </c>
      <c r="N603" s="52" t="str">
        <f>IF(Follow[[#This Row],[DATAATUALIZAÇÃO]]&lt;=Follow[[#This Row],[Prev Entrega]],"Dentro do Prazo","Fora do Prazo")</f>
        <v>Dentro do Prazo</v>
      </c>
      <c r="O6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26/11/2024, referente ao pedido Nº Pedido 357 Rastreio Pedido 357, agradecemos a preferência e adoraríamos receber sua avaliação, tendo qualquer dúvida estamos à disposição.
Att
Tem tudo Shop</v>
      </c>
    </row>
    <row r="604" spans="1:15">
      <c r="A604" s="52" t="str">
        <f>_xlfn.XLOOKUP(Follow[[#This Row],[CODRASTREIO]],Controle_Pedidos[Cód Rastreamento],Controle_Pedidos[Número Pedido Cliente])</f>
        <v>Pedido 338</v>
      </c>
      <c r="B604" s="2" t="s">
        <v>17773</v>
      </c>
      <c r="C604" s="2" t="str">
        <f>Follow[[#This Row],[CODRASTREIO]]&amp;" B"</f>
        <v>CódRastreio331 B</v>
      </c>
      <c r="D604" s="52" t="str">
        <f>_xlfn.XLOOKUP(Follow[[#This Row],[Id Pedido]],Controle_Pedidos[Número Pedido Cliente],Controle_Pedidos[Loja])</f>
        <v>BV</v>
      </c>
      <c r="E604" s="9">
        <f>_xlfn.XLOOKUP(Follow[[#This Row],[Id Pedido]],Controle_Pedidos[Número Pedido Cliente],Controle_Pedidos[Prazo Entrega])</f>
        <v>45624</v>
      </c>
      <c r="F604" s="9" t="s">
        <v>19433</v>
      </c>
      <c r="G604" s="9" t="s">
        <v>37</v>
      </c>
      <c r="H604" s="52" t="s">
        <v>178</v>
      </c>
      <c r="I604" s="52" t="s">
        <v>178</v>
      </c>
      <c r="J604" s="55">
        <v>45611</v>
      </c>
      <c r="K604" s="54" t="s">
        <v>198</v>
      </c>
      <c r="L604" s="8" t="s">
        <v>124</v>
      </c>
      <c r="M604" s="8" t="s">
        <v>37</v>
      </c>
      <c r="N604" s="52" t="str">
        <f>IF(Follow[[#This Row],[DATAATUALIZAÇÃO]]&lt;=Follow[[#This Row],[Prev Entrega]],"Dentro do Prazo","Fora do Prazo")</f>
        <v>Dentro do Prazo</v>
      </c>
      <c r="O6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15/11/2024, referente ao pedido Nº Pedido 338 Rastreio Pedido 338, agradecemos a preferência e adoraríamos receber sua avaliação, tendo qualquer dúvida estamos à disposição.
Att
Tem tudo Shop</v>
      </c>
    </row>
    <row r="605" spans="1:15">
      <c r="A605" s="52" t="str">
        <f>_xlfn.XLOOKUP(Follow[[#This Row],[CODRASTREIO]],Controle_Pedidos[Cód Rastreamento],Controle_Pedidos[Número Pedido Cliente])</f>
        <v>Pedido 215</v>
      </c>
      <c r="B605" s="2" t="s">
        <v>17650</v>
      </c>
      <c r="C605" s="2" t="str">
        <f>Follow[[#This Row],[CODRASTREIO]]&amp;" B"</f>
        <v>CódRastreio208 B</v>
      </c>
      <c r="D605" s="52" t="str">
        <f>_xlfn.XLOOKUP(Follow[[#This Row],[Id Pedido]],Controle_Pedidos[Número Pedido Cliente],Controle_Pedidos[Loja])</f>
        <v>BV</v>
      </c>
      <c r="E605" s="9">
        <f>_xlfn.XLOOKUP(Follow[[#This Row],[Id Pedido]],Controle_Pedidos[Número Pedido Cliente],Controle_Pedidos[Prazo Entrega])</f>
        <v>45626</v>
      </c>
      <c r="F605" s="9" t="s">
        <v>19433</v>
      </c>
      <c r="G605" s="9" t="s">
        <v>37</v>
      </c>
      <c r="H605" s="52" t="s">
        <v>178</v>
      </c>
      <c r="I605" s="52" t="s">
        <v>178</v>
      </c>
      <c r="J605" s="55">
        <v>45608</v>
      </c>
      <c r="K605" s="54" t="s">
        <v>198</v>
      </c>
      <c r="L605" s="8" t="s">
        <v>124</v>
      </c>
      <c r="M605" s="8" t="s">
        <v>37</v>
      </c>
      <c r="N605" s="52" t="str">
        <f>IF(Follow[[#This Row],[DATAATUALIZAÇÃO]]&lt;=Follow[[#This Row],[Prev Entrega]],"Dentro do Prazo","Fora do Prazo")</f>
        <v>Dentro do Prazo</v>
      </c>
      <c r="O6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12/11/2024, referente ao pedido Nº Pedido 215 Rastreio Pedido 215, agradecemos a preferência e adoraríamos receber sua avaliação, tendo qualquer dúvida estamos à disposição.
Att
Tem tudo Shop</v>
      </c>
    </row>
    <row r="606" spans="1:15">
      <c r="A606" s="52" t="str">
        <f>_xlfn.XLOOKUP(Follow[[#This Row],[CODRASTREIO]],Controle_Pedidos[Cód Rastreamento],Controle_Pedidos[Número Pedido Cliente])</f>
        <v>Pedido 513</v>
      </c>
      <c r="B606" s="2" t="s">
        <v>17940</v>
      </c>
      <c r="C606" s="2" t="str">
        <f>Follow[[#This Row],[CODRASTREIO]]&amp;" B"</f>
        <v>CódRastreio498 B</v>
      </c>
      <c r="D606" s="52" t="str">
        <f>_xlfn.XLOOKUP(Follow[[#This Row],[Id Pedido]],Controle_Pedidos[Número Pedido Cliente],Controle_Pedidos[Loja])</f>
        <v>BV</v>
      </c>
      <c r="E606" s="9">
        <f>_xlfn.XLOOKUP(Follow[[#This Row],[Id Pedido]],Controle_Pedidos[Número Pedido Cliente],Controle_Pedidos[Prazo Entrega])</f>
        <v>45657</v>
      </c>
      <c r="F606" s="9" t="s">
        <v>19433</v>
      </c>
      <c r="G606" s="9" t="s">
        <v>37</v>
      </c>
      <c r="H606" s="52" t="s">
        <v>179</v>
      </c>
      <c r="I606" s="52" t="s">
        <v>178</v>
      </c>
      <c r="J606" s="55">
        <v>45646</v>
      </c>
      <c r="K606" s="52" t="s">
        <v>198</v>
      </c>
      <c r="L606" s="8" t="s">
        <v>124</v>
      </c>
      <c r="M606" s="8" t="s">
        <v>37</v>
      </c>
      <c r="N606" s="52" t="str">
        <f>IF(Follow[[#This Row],[DATAATUALIZAÇÃO]]&lt;=Follow[[#This Row],[Prev Entrega]],"Dentro do Prazo","Fora do Prazo")</f>
        <v>Dentro do Prazo</v>
      </c>
      <c r="O6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20/12/2024, referente ao pedido Nº Pedido 513 Rastreio Pedido 513, agradecemos a preferência e adoraríamos receber sua avaliação, tendo qualquer dúvida estamos à disposição.
Att
Tem tudo Shop</v>
      </c>
    </row>
    <row r="607" spans="1:15">
      <c r="A607" s="52" t="str">
        <f>_xlfn.XLOOKUP(Follow[[#This Row],[CODRASTREIO]],Controle_Pedidos[Cód Rastreamento],Controle_Pedidos[Número Pedido Cliente])</f>
        <v>Pedido 176</v>
      </c>
      <c r="B607" s="2" t="s">
        <v>17611</v>
      </c>
      <c r="C607" s="2" t="str">
        <f>Follow[[#This Row],[CODRASTREIO]]&amp;" B"</f>
        <v>CódRastreio169 B</v>
      </c>
      <c r="D607" s="52" t="str">
        <f>_xlfn.XLOOKUP(Follow[[#This Row],[Id Pedido]],Controle_Pedidos[Número Pedido Cliente],Controle_Pedidos[Loja])</f>
        <v>BV</v>
      </c>
      <c r="E607" s="9">
        <f>_xlfn.XLOOKUP(Follow[[#This Row],[Id Pedido]],Controle_Pedidos[Número Pedido Cliente],Controle_Pedidos[Prazo Entrega])</f>
        <v>45610</v>
      </c>
      <c r="F607" s="9" t="s">
        <v>19433</v>
      </c>
      <c r="G607" s="9" t="s">
        <v>37</v>
      </c>
      <c r="H607" s="52" t="s">
        <v>178</v>
      </c>
      <c r="I607" s="52" t="s">
        <v>178</v>
      </c>
      <c r="J607" s="55">
        <v>45601</v>
      </c>
      <c r="K607" s="54" t="s">
        <v>198</v>
      </c>
      <c r="L607" s="8" t="s">
        <v>124</v>
      </c>
      <c r="M607" s="8" t="s">
        <v>37</v>
      </c>
      <c r="N607" s="52" t="str">
        <f>IF(Follow[[#This Row],[DATAATUALIZAÇÃO]]&lt;=Follow[[#This Row],[Prev Entrega]],"Dentro do Prazo","Fora do Prazo")</f>
        <v>Dentro do Prazo</v>
      </c>
      <c r="O6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176 Rastreio Pedido 176, agradecemos a preferência e adoraríamos receber sua avaliação, tendo qualquer dúvida estamos à disposição.
Att
Tem tudo Shop</v>
      </c>
    </row>
    <row r="608" spans="1:15">
      <c r="A608" s="52" t="str">
        <f>_xlfn.XLOOKUP(Follow[[#This Row],[CODRASTREIO]],Controle_Pedidos[Cód Rastreamento],Controle_Pedidos[Número Pedido Cliente])</f>
        <v>Pedido 216</v>
      </c>
      <c r="B608" s="2" t="s">
        <v>17651</v>
      </c>
      <c r="C608" s="2" t="str">
        <f>Follow[[#This Row],[CODRASTREIO]]&amp;" B"</f>
        <v>CódRastreio209 B</v>
      </c>
      <c r="D608" s="52" t="str">
        <f>_xlfn.XLOOKUP(Follow[[#This Row],[Id Pedido]],Controle_Pedidos[Número Pedido Cliente],Controle_Pedidos[Loja])</f>
        <v>BV</v>
      </c>
      <c r="E608" s="9">
        <f>_xlfn.XLOOKUP(Follow[[#This Row],[Id Pedido]],Controle_Pedidos[Número Pedido Cliente],Controle_Pedidos[Prazo Entrega])</f>
        <v>45615</v>
      </c>
      <c r="F608" s="9" t="s">
        <v>19433</v>
      </c>
      <c r="G608" s="9" t="s">
        <v>37</v>
      </c>
      <c r="H608" s="52" t="s">
        <v>178</v>
      </c>
      <c r="I608" s="52" t="s">
        <v>178</v>
      </c>
      <c r="J608" s="55">
        <v>45604</v>
      </c>
      <c r="K608" s="54" t="s">
        <v>198</v>
      </c>
      <c r="L608" s="8" t="s">
        <v>124</v>
      </c>
      <c r="M608" s="8" t="s">
        <v>37</v>
      </c>
      <c r="N608" s="52" t="str">
        <f>IF(Follow[[#This Row],[DATAATUALIZAÇÃO]]&lt;=Follow[[#This Row],[Prev Entrega]],"Dentro do Prazo","Fora do Prazo")</f>
        <v>Dentro do Prazo</v>
      </c>
      <c r="O6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08/11/2024, referente ao pedido Nº Pedido 216 Rastreio Pedido 216, agradecemos a preferência e adoraríamos receber sua avaliação, tendo qualquer dúvida estamos à disposição.
Att
Tem tudo Shop</v>
      </c>
    </row>
    <row r="609" spans="1:15">
      <c r="A609" s="52" t="str">
        <f>_xlfn.XLOOKUP(Follow[[#This Row],[CODRASTREIO]],Controle_Pedidos[Cód Rastreamento],Controle_Pedidos[Número Pedido Cliente])</f>
        <v>Pedido 378</v>
      </c>
      <c r="B609" s="2" t="s">
        <v>17810</v>
      </c>
      <c r="C609" s="2" t="str">
        <f>Follow[[#This Row],[CODRASTREIO]]&amp;" B"</f>
        <v>CódRastreio368 B</v>
      </c>
      <c r="D609" s="52" t="str">
        <f>_xlfn.XLOOKUP(Follow[[#This Row],[Id Pedido]],Controle_Pedidos[Número Pedido Cliente],Controle_Pedidos[Loja])</f>
        <v>BV</v>
      </c>
      <c r="E609" s="9">
        <f>_xlfn.XLOOKUP(Follow[[#This Row],[Id Pedido]],Controle_Pedidos[Número Pedido Cliente],Controle_Pedidos[Prazo Entrega])</f>
        <v>45646</v>
      </c>
      <c r="F609" s="9" t="s">
        <v>19433</v>
      </c>
      <c r="G609" s="9" t="s">
        <v>37</v>
      </c>
      <c r="H609" s="52" t="s">
        <v>179</v>
      </c>
      <c r="I609" s="52" t="s">
        <v>178</v>
      </c>
      <c r="J609" s="55">
        <v>45643</v>
      </c>
      <c r="K609" s="52" t="s">
        <v>198</v>
      </c>
      <c r="L609" s="8" t="s">
        <v>124</v>
      </c>
      <c r="M609" s="8" t="s">
        <v>37</v>
      </c>
      <c r="N609" s="52" t="str">
        <f>IF(Follow[[#This Row],[DATAATUALIZAÇÃO]]&lt;=Follow[[#This Row],[Prev Entrega]],"Dentro do Prazo","Fora do Prazo")</f>
        <v>Dentro do Prazo</v>
      </c>
      <c r="O6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17/12/2024, referente ao pedido Nº Pedido 378 Rastreio Pedido 378, agradecemos a preferência e adoraríamos receber sua avaliação, tendo qualquer dúvida estamos à disposição.
Att
Tem tudo Shop</v>
      </c>
    </row>
    <row r="610" spans="1:15">
      <c r="A610" s="52" t="str">
        <f>_xlfn.XLOOKUP(Follow[[#This Row],[CODRASTREIO]],Controle_Pedidos[Cód Rastreamento],Controle_Pedidos[Número Pedido Cliente])</f>
        <v>Pedido 230</v>
      </c>
      <c r="B610" s="2" t="s">
        <v>17665</v>
      </c>
      <c r="C610" s="2" t="str">
        <f>Follow[[#This Row],[CODRASTREIO]]&amp;" B"</f>
        <v>CódRastreio223 B</v>
      </c>
      <c r="D610" s="52" t="str">
        <f>_xlfn.XLOOKUP(Follow[[#This Row],[Id Pedido]],Controle_Pedidos[Número Pedido Cliente],Controle_Pedidos[Loja])</f>
        <v>BV</v>
      </c>
      <c r="E610" s="9">
        <f>_xlfn.XLOOKUP(Follow[[#This Row],[Id Pedido]],Controle_Pedidos[Número Pedido Cliente],Controle_Pedidos[Prazo Entrega])</f>
        <v>45626</v>
      </c>
      <c r="F610" s="9" t="s">
        <v>19433</v>
      </c>
      <c r="G610" s="9" t="s">
        <v>37</v>
      </c>
      <c r="H610" s="52" t="s">
        <v>178</v>
      </c>
      <c r="I610" s="52" t="s">
        <v>178</v>
      </c>
      <c r="J610" s="55">
        <v>45609</v>
      </c>
      <c r="K610" s="54" t="s">
        <v>198</v>
      </c>
      <c r="L610" s="8" t="s">
        <v>124</v>
      </c>
      <c r="M610" s="8" t="s">
        <v>37</v>
      </c>
      <c r="N610" s="52" t="str">
        <f>IF(Follow[[#This Row],[DATAATUALIZAÇÃO]]&lt;=Follow[[#This Row],[Prev Entrega]],"Dentro do Prazo","Fora do Prazo")</f>
        <v>Dentro do Prazo</v>
      </c>
      <c r="O6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13/11/2024, referente ao pedido Nº Pedido 230 Rastreio Pedido 230, agradecemos a preferência e adoraríamos receber sua avaliação, tendo qualquer dúvida estamos à disposição.
Att
Tem tudo Shop</v>
      </c>
    </row>
    <row r="611" spans="1:15">
      <c r="A611" s="52" t="str">
        <f>_xlfn.XLOOKUP(Follow[[#This Row],[CODRASTREIO]],Controle_Pedidos[Cód Rastreamento],Controle_Pedidos[Número Pedido Cliente])</f>
        <v>Pedido 368</v>
      </c>
      <c r="B611" s="2" t="s">
        <v>17800</v>
      </c>
      <c r="C611" s="2" t="str">
        <f>Follow[[#This Row],[CODRASTREIO]]&amp;" B"</f>
        <v>CódRastreio358 B</v>
      </c>
      <c r="D611" s="52" t="str">
        <f>_xlfn.XLOOKUP(Follow[[#This Row],[Id Pedido]],Controle_Pedidos[Número Pedido Cliente],Controle_Pedidos[Loja])</f>
        <v>BV</v>
      </c>
      <c r="E611" s="9">
        <f>_xlfn.XLOOKUP(Follow[[#This Row],[Id Pedido]],Controle_Pedidos[Número Pedido Cliente],Controle_Pedidos[Prazo Entrega])</f>
        <v>45638</v>
      </c>
      <c r="F611" s="9" t="s">
        <v>19433</v>
      </c>
      <c r="G611" s="9" t="s">
        <v>37</v>
      </c>
      <c r="H611" s="52" t="s">
        <v>178</v>
      </c>
      <c r="I611" s="52" t="s">
        <v>178</v>
      </c>
      <c r="J611" s="55">
        <v>45615</v>
      </c>
      <c r="K611" s="54" t="s">
        <v>198</v>
      </c>
      <c r="L611" s="8" t="s">
        <v>124</v>
      </c>
      <c r="M611" s="8" t="s">
        <v>37</v>
      </c>
      <c r="N611" s="52" t="str">
        <f>IF(Follow[[#This Row],[DATAATUALIZAÇÃO]]&lt;=Follow[[#This Row],[Prev Entrega]],"Dentro do Prazo","Fora do Prazo")</f>
        <v>Dentro do Prazo</v>
      </c>
      <c r="O6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19/11/2024, referente ao pedido Nº Pedido 368 Rastreio Pedido 368, agradecemos a preferência e adoraríamos receber sua avaliação, tendo qualquer dúvida estamos à disposição.
Att
Tem tudo Shop</v>
      </c>
    </row>
    <row r="612" spans="1:15">
      <c r="A612" s="52" t="str">
        <f>_xlfn.XLOOKUP(Follow[[#This Row],[CODRASTREIO]],Controle_Pedidos[Cód Rastreamento],Controle_Pedidos[Número Pedido Cliente])</f>
        <v>Pedido 668</v>
      </c>
      <c r="B612" s="2" t="s">
        <v>18090</v>
      </c>
      <c r="C612" s="2" t="str">
        <f>Follow[[#This Row],[CODRASTREIO]]&amp;" B"</f>
        <v>CódRastreio648 B</v>
      </c>
      <c r="D612" s="52" t="str">
        <f>_xlfn.XLOOKUP(Follow[[#This Row],[Id Pedido]],Controle_Pedidos[Número Pedido Cliente],Controle_Pedidos[Loja])</f>
        <v>BV</v>
      </c>
      <c r="E612" s="9">
        <f>_xlfn.XLOOKUP(Follow[[#This Row],[Id Pedido]],Controle_Pedidos[Número Pedido Cliente],Controle_Pedidos[Prazo Entrega])</f>
        <v>45679</v>
      </c>
      <c r="F612" s="9" t="s">
        <v>19433</v>
      </c>
      <c r="G612" s="9" t="s">
        <v>37</v>
      </c>
      <c r="H612" s="52" t="s">
        <v>178</v>
      </c>
      <c r="I612" s="52" t="s">
        <v>178</v>
      </c>
      <c r="J612" s="55">
        <v>45665</v>
      </c>
      <c r="K612" s="52" t="s">
        <v>198</v>
      </c>
      <c r="L612" s="8" t="s">
        <v>124</v>
      </c>
      <c r="M612" s="8" t="s">
        <v>37</v>
      </c>
      <c r="N612" s="52" t="str">
        <f>IF(Follow[[#This Row],[DATAATUALIZAÇÃO]]&lt;=Follow[[#This Row],[Prev Entrega]],"Dentro do Prazo","Fora do Prazo")</f>
        <v>Dentro do Prazo</v>
      </c>
      <c r="O6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08/01/2025, referente ao pedido Nº Pedido 668 Rastreio Pedido 668, agradecemos a preferência e adoraríamos receber sua avaliação, tendo qualquer dúvida estamos à disposição.
Att
Tem tudo Shop</v>
      </c>
    </row>
    <row r="613" spans="1:15">
      <c r="A613" s="52" t="str">
        <f>_xlfn.XLOOKUP(Follow[[#This Row],[CODRASTREIO]],Controle_Pedidos[Cód Rastreamento],Controle_Pedidos[Número Pedido Cliente])</f>
        <v>Pedido 420</v>
      </c>
      <c r="B613" s="2" t="s">
        <v>17851</v>
      </c>
      <c r="C613" s="2" t="str">
        <f>Follow[[#This Row],[CODRASTREIO]]&amp;" B"</f>
        <v>CódRastreio409 B</v>
      </c>
      <c r="D613" s="52" t="str">
        <f>_xlfn.XLOOKUP(Follow[[#This Row],[Id Pedido]],Controle_Pedidos[Número Pedido Cliente],Controle_Pedidos[Loja])</f>
        <v>BV</v>
      </c>
      <c r="E613" s="9">
        <f>_xlfn.XLOOKUP(Follow[[#This Row],[Id Pedido]],Controle_Pedidos[Número Pedido Cliente],Controle_Pedidos[Prazo Entrega])</f>
        <v>45653</v>
      </c>
      <c r="F613" s="9" t="s">
        <v>19433</v>
      </c>
      <c r="G613" s="9" t="s">
        <v>37</v>
      </c>
      <c r="H613" s="52" t="s">
        <v>179</v>
      </c>
      <c r="I613" s="52" t="s">
        <v>178</v>
      </c>
      <c r="J613" s="55">
        <v>45629</v>
      </c>
      <c r="K613" s="54" t="s">
        <v>198</v>
      </c>
      <c r="L613" s="8" t="s">
        <v>124</v>
      </c>
      <c r="M613" s="8" t="s">
        <v>37</v>
      </c>
      <c r="N613" s="52" t="str">
        <f>IF(Follow[[#This Row],[DATAATUALIZAÇÃO]]&lt;=Follow[[#This Row],[Prev Entrega]],"Dentro do Prazo","Fora do Prazo")</f>
        <v>Dentro do Prazo</v>
      </c>
      <c r="O6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03/12/2024, referente ao pedido Nº Pedido 420 Rastreio Pedido 420, agradecemos a preferência e adoraríamos receber sua avaliação, tendo qualquer dúvida estamos à disposição.
Att
Tem tudo Shop</v>
      </c>
    </row>
    <row r="614" spans="1:15">
      <c r="A614" s="52" t="str">
        <f>_xlfn.XLOOKUP(Follow[[#This Row],[CODRASTREIO]],Controle_Pedidos[Cód Rastreamento],Controle_Pedidos[Número Pedido Cliente])</f>
        <v>Pedido 607</v>
      </c>
      <c r="B614" s="2" t="s">
        <v>18033</v>
      </c>
      <c r="C614" s="2" t="str">
        <f>Follow[[#This Row],[CODRASTREIO]]&amp;" B"</f>
        <v>CódRastreio591 B</v>
      </c>
      <c r="D614" s="52" t="str">
        <f>_xlfn.XLOOKUP(Follow[[#This Row],[Id Pedido]],Controle_Pedidos[Número Pedido Cliente],Controle_Pedidos[Loja])</f>
        <v>BV</v>
      </c>
      <c r="E614" s="9">
        <f>_xlfn.XLOOKUP(Follow[[#This Row],[Id Pedido]],Controle_Pedidos[Número Pedido Cliente],Controle_Pedidos[Prazo Entrega])</f>
        <v>45673</v>
      </c>
      <c r="F614" s="9" t="s">
        <v>19433</v>
      </c>
      <c r="G614" s="9" t="s">
        <v>37</v>
      </c>
      <c r="H614" s="52" t="s">
        <v>178</v>
      </c>
      <c r="I614" s="52" t="s">
        <v>178</v>
      </c>
      <c r="J614" s="55">
        <v>45656</v>
      </c>
      <c r="K614" s="52" t="s">
        <v>198</v>
      </c>
      <c r="L614" s="8" t="s">
        <v>124</v>
      </c>
      <c r="M614" s="8" t="s">
        <v>37</v>
      </c>
      <c r="N614" s="52" t="str">
        <f>IF(Follow[[#This Row],[DATAATUALIZAÇÃO]]&lt;=Follow[[#This Row],[Prev Entrega]],"Dentro do Prazo","Fora do Prazo")</f>
        <v>Dentro do Prazo</v>
      </c>
      <c r="O6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30/12/2024, referente ao pedido Nº Pedido 607 Rastreio Pedido 607, agradecemos a preferência e adoraríamos receber sua avaliação, tendo qualquer dúvida estamos à disposição.
Att
Tem tudo Shop</v>
      </c>
    </row>
    <row r="615" spans="1:15">
      <c r="A615" s="52" t="str">
        <f>_xlfn.XLOOKUP(Follow[[#This Row],[CODRASTREIO]],Controle_Pedidos[Cód Rastreamento],Controle_Pedidos[Número Pedido Cliente])</f>
        <v>Pedido 64</v>
      </c>
      <c r="B615" s="2" t="s">
        <v>17497</v>
      </c>
      <c r="C615" s="2" t="str">
        <f>Follow[[#This Row],[CODRASTREIO]]&amp;" B"</f>
        <v>CódRastreio55 B</v>
      </c>
      <c r="D615" s="52" t="str">
        <f>_xlfn.XLOOKUP(Follow[[#This Row],[Id Pedido]],Controle_Pedidos[Número Pedido Cliente],Controle_Pedidos[Loja])</f>
        <v>BV</v>
      </c>
      <c r="E615" s="9">
        <f>_xlfn.XLOOKUP(Follow[[#This Row],[Id Pedido]],Controle_Pedidos[Número Pedido Cliente],Controle_Pedidos[Prazo Entrega])</f>
        <v>45616</v>
      </c>
      <c r="F615" s="9" t="s">
        <v>19433</v>
      </c>
      <c r="G615" s="9" t="s">
        <v>37</v>
      </c>
      <c r="H615" s="52" t="s">
        <v>178</v>
      </c>
      <c r="I615" s="52" t="s">
        <v>178</v>
      </c>
      <c r="J615" s="55">
        <v>45601</v>
      </c>
      <c r="K615" s="54" t="s">
        <v>198</v>
      </c>
      <c r="L615" s="8" t="s">
        <v>124</v>
      </c>
      <c r="M615" s="8" t="s">
        <v>37</v>
      </c>
      <c r="N615" s="52" t="str">
        <f>IF(Follow[[#This Row],[DATAATUALIZAÇÃO]]&lt;=Follow[[#This Row],[Prev Entrega]],"Dentro do Prazo","Fora do Prazo")</f>
        <v>Dentro do Prazo</v>
      </c>
      <c r="O6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05/11/2024, referente ao pedido Nº Pedido 64 Rastreio Pedido 64, agradecemos a preferência e adoraríamos receber sua avaliação, tendo qualquer dúvida estamos à disposição.
Att
Tem tudo Shop</v>
      </c>
    </row>
    <row r="616" spans="1:15">
      <c r="A616" s="52" t="str">
        <f>_xlfn.XLOOKUP(Follow[[#This Row],[CODRASTREIO]],Controle_Pedidos[Cód Rastreamento],Controle_Pedidos[Número Pedido Cliente])</f>
        <v>Pedido 328</v>
      </c>
      <c r="B616" s="2" t="s">
        <v>17763</v>
      </c>
      <c r="C616" s="2" t="str">
        <f>Follow[[#This Row],[CODRASTREIO]]&amp;" B"</f>
        <v>CódRastreio321 B</v>
      </c>
      <c r="D616" s="52" t="str">
        <f>_xlfn.XLOOKUP(Follow[[#This Row],[Id Pedido]],Controle_Pedidos[Número Pedido Cliente],Controle_Pedidos[Loja])</f>
        <v>BV</v>
      </c>
      <c r="E616" s="9">
        <f>_xlfn.XLOOKUP(Follow[[#This Row],[Id Pedido]],Controle_Pedidos[Número Pedido Cliente],Controle_Pedidos[Prazo Entrega])</f>
        <v>45640</v>
      </c>
      <c r="F616" s="9" t="s">
        <v>19433</v>
      </c>
      <c r="G616" s="9" t="s">
        <v>37</v>
      </c>
      <c r="H616" s="52" t="s">
        <v>179</v>
      </c>
      <c r="I616" s="52" t="s">
        <v>178</v>
      </c>
      <c r="J616" s="55">
        <v>45622</v>
      </c>
      <c r="K616" s="54" t="s">
        <v>198</v>
      </c>
      <c r="L616" s="8" t="s">
        <v>124</v>
      </c>
      <c r="M616" s="8" t="s">
        <v>37</v>
      </c>
      <c r="N616" s="52" t="str">
        <f>IF(Follow[[#This Row],[DATAATUALIZAÇÃO]]&lt;=Follow[[#This Row],[Prev Entrega]],"Dentro do Prazo","Fora do Prazo")</f>
        <v>Dentro do Prazo</v>
      </c>
      <c r="O6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26/11/2024, referente ao pedido Nº Pedido 328 Rastreio Pedido 328, agradecemos a preferência e adoraríamos receber sua avaliação, tendo qualquer dúvida estamos à disposição.
Att
Tem tudo Shop</v>
      </c>
    </row>
    <row r="617" spans="1:15">
      <c r="A617" s="52" t="str">
        <f>_xlfn.XLOOKUP(Follow[[#This Row],[CODRASTREIO]],Controle_Pedidos[Cód Rastreamento],Controle_Pedidos[Número Pedido Cliente])</f>
        <v>Pedido 403</v>
      </c>
      <c r="B617" s="2" t="s">
        <v>17835</v>
      </c>
      <c r="C617" s="2" t="str">
        <f>Follow[[#This Row],[CODRASTREIO]]&amp;" B"</f>
        <v>CódRastreio393 B</v>
      </c>
      <c r="D617" s="52" t="str">
        <f>_xlfn.XLOOKUP(Follow[[#This Row],[Id Pedido]],Controle_Pedidos[Número Pedido Cliente],Controle_Pedidos[Loja])</f>
        <v>BV</v>
      </c>
      <c r="E617" s="9">
        <f>_xlfn.XLOOKUP(Follow[[#This Row],[Id Pedido]],Controle_Pedidos[Número Pedido Cliente],Controle_Pedidos[Prazo Entrega])</f>
        <v>45631</v>
      </c>
      <c r="F617" s="9" t="s">
        <v>19433</v>
      </c>
      <c r="G617" s="9" t="s">
        <v>37</v>
      </c>
      <c r="H617" s="52" t="s">
        <v>178</v>
      </c>
      <c r="I617" s="52" t="s">
        <v>178</v>
      </c>
      <c r="J617" s="55">
        <v>45622</v>
      </c>
      <c r="K617" s="54" t="s">
        <v>198</v>
      </c>
      <c r="L617" s="8" t="s">
        <v>124</v>
      </c>
      <c r="M617" s="8" t="s">
        <v>37</v>
      </c>
      <c r="N617" s="52" t="str">
        <f>IF(Follow[[#This Row],[DATAATUALIZAÇÃO]]&lt;=Follow[[#This Row],[Prev Entrega]],"Dentro do Prazo","Fora do Prazo")</f>
        <v>Dentro do Prazo</v>
      </c>
      <c r="O6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26/11/2024, referente ao pedido Nº Pedido 403 Rastreio Pedido 403, agradecemos a preferência e adoraríamos receber sua avaliação, tendo qualquer dúvida estamos à disposição.
Att
Tem tudo Shop</v>
      </c>
    </row>
    <row r="618" spans="1:15">
      <c r="A618" s="52" t="str">
        <f>_xlfn.XLOOKUP(Follow[[#This Row],[CODRASTREIO]],Controle_Pedidos[Cód Rastreamento],Controle_Pedidos[Número Pedido Cliente])</f>
        <v>Pedido 63</v>
      </c>
      <c r="B618" s="2" t="s">
        <v>17496</v>
      </c>
      <c r="C618" s="2" t="str">
        <f>Follow[[#This Row],[CODRASTREIO]]&amp;" B"</f>
        <v>CódRastreio54 B</v>
      </c>
      <c r="D618" s="52" t="str">
        <f>_xlfn.XLOOKUP(Follow[[#This Row],[Id Pedido]],Controle_Pedidos[Número Pedido Cliente],Controle_Pedidos[Loja])</f>
        <v>BV</v>
      </c>
      <c r="E618" s="9">
        <f>_xlfn.XLOOKUP(Follow[[#This Row],[Id Pedido]],Controle_Pedidos[Número Pedido Cliente],Controle_Pedidos[Prazo Entrega])</f>
        <v>45609</v>
      </c>
      <c r="F618" s="9" t="s">
        <v>19433</v>
      </c>
      <c r="G618" s="9" t="s">
        <v>37</v>
      </c>
      <c r="H618" s="52" t="s">
        <v>178</v>
      </c>
      <c r="I618" s="52" t="s">
        <v>178</v>
      </c>
      <c r="J618" s="55">
        <v>45596</v>
      </c>
      <c r="K618" s="54" t="s">
        <v>198</v>
      </c>
      <c r="L618" s="8" t="s">
        <v>124</v>
      </c>
      <c r="M618" s="8" t="s">
        <v>37</v>
      </c>
      <c r="N618" s="52" t="str">
        <f>IF(Follow[[#This Row],[DATAATUALIZAÇÃO]]&lt;=Follow[[#This Row],[Prev Entrega]],"Dentro do Prazo","Fora do Prazo")</f>
        <v>Dentro do Prazo</v>
      </c>
      <c r="O6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63 Rastreio Pedido 63, agradecemos a preferência e adoraríamos receber sua avaliação, tendo qualquer dúvida estamos à disposição.
Att
Tem tudo Shop</v>
      </c>
    </row>
    <row r="619" spans="1:15">
      <c r="A619" s="52" t="str">
        <f>_xlfn.XLOOKUP(Follow[[#This Row],[CODRASTREIO]],Controle_Pedidos[Cód Rastreamento],Controle_Pedidos[Número Pedido Cliente])</f>
        <v>Pedido 181</v>
      </c>
      <c r="B619" s="2" t="s">
        <v>17616</v>
      </c>
      <c r="C619" s="2" t="str">
        <f>Follow[[#This Row],[CODRASTREIO]]&amp;" B"</f>
        <v>CódRastreio174 B</v>
      </c>
      <c r="D619" s="52" t="str">
        <f>_xlfn.XLOOKUP(Follow[[#This Row],[Id Pedido]],Controle_Pedidos[Número Pedido Cliente],Controle_Pedidos[Loja])</f>
        <v>BV</v>
      </c>
      <c r="E619" s="9">
        <f>_xlfn.XLOOKUP(Follow[[#This Row],[Id Pedido]],Controle_Pedidos[Número Pedido Cliente],Controle_Pedidos[Prazo Entrega])</f>
        <v>45610</v>
      </c>
      <c r="F619" s="9" t="s">
        <v>19433</v>
      </c>
      <c r="G619" s="9" t="s">
        <v>37</v>
      </c>
      <c r="H619" s="52" t="s">
        <v>178</v>
      </c>
      <c r="I619" s="52" t="s">
        <v>178</v>
      </c>
      <c r="J619" s="55">
        <v>45600</v>
      </c>
      <c r="K619" s="54" t="s">
        <v>198</v>
      </c>
      <c r="L619" s="8" t="s">
        <v>124</v>
      </c>
      <c r="M619" s="8" t="s">
        <v>37</v>
      </c>
      <c r="N619" s="52" t="str">
        <f>IF(Follow[[#This Row],[DATAATUALIZAÇÃO]]&lt;=Follow[[#This Row],[Prev Entrega]],"Dentro do Prazo","Fora do Prazo")</f>
        <v>Dentro do Prazo</v>
      </c>
      <c r="O6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181 Rastreio Pedido 181, agradecemos a preferência e adoraríamos receber sua avaliação, tendo qualquer dúvida estamos à disposição.
Att
Tem tudo Shop</v>
      </c>
    </row>
    <row r="620" spans="1:15">
      <c r="A620" s="52" t="str">
        <f>_xlfn.XLOOKUP(Follow[[#This Row],[CODRASTREIO]],Controle_Pedidos[Cód Rastreamento],Controle_Pedidos[Número Pedido Cliente])</f>
        <v>Pedido 195</v>
      </c>
      <c r="B620" s="2" t="s">
        <v>17630</v>
      </c>
      <c r="C620" s="2" t="str">
        <f>Follow[[#This Row],[CODRASTREIO]]&amp;" B"</f>
        <v>CódRastreio188 B</v>
      </c>
      <c r="D620" s="52" t="str">
        <f>_xlfn.XLOOKUP(Follow[[#This Row],[Id Pedido]],Controle_Pedidos[Número Pedido Cliente],Controle_Pedidos[Loja])</f>
        <v>BV</v>
      </c>
      <c r="E620" s="9">
        <f>_xlfn.XLOOKUP(Follow[[#This Row],[Id Pedido]],Controle_Pedidos[Número Pedido Cliente],Controle_Pedidos[Prazo Entrega])</f>
        <v>45605</v>
      </c>
      <c r="F620" s="9" t="s">
        <v>19433</v>
      </c>
      <c r="G620" s="9" t="s">
        <v>37</v>
      </c>
      <c r="H620" s="52" t="s">
        <v>178</v>
      </c>
      <c r="I620" s="52" t="s">
        <v>178</v>
      </c>
      <c r="J620" s="55">
        <v>45601</v>
      </c>
      <c r="K620" s="54" t="s">
        <v>198</v>
      </c>
      <c r="L620" s="8" t="s">
        <v>124</v>
      </c>
      <c r="M620" s="8" t="s">
        <v>37</v>
      </c>
      <c r="N620" s="52" t="str">
        <f>IF(Follow[[#This Row],[DATAATUALIZAÇÃO]]&lt;=Follow[[#This Row],[Prev Entrega]],"Dentro do Prazo","Fora do Prazo")</f>
        <v>Dentro do Prazo</v>
      </c>
      <c r="O6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195 Rastreio Pedido 195, agradecemos a preferência e adoraríamos receber sua avaliação, tendo qualquer dúvida estamos à disposição.
Att
Tem tudo Shop</v>
      </c>
    </row>
    <row r="621" spans="1:15">
      <c r="A621" s="52" t="str">
        <f>_xlfn.XLOOKUP(Follow[[#This Row],[CODRASTREIO]],Controle_Pedidos[Cód Rastreamento],Controle_Pedidos[Número Pedido Cliente])</f>
        <v>Pedido 547</v>
      </c>
      <c r="B621" s="2" t="s">
        <v>17974</v>
      </c>
      <c r="C621" s="2" t="str">
        <f>Follow[[#This Row],[CODRASTREIO]]&amp;" B"</f>
        <v>CódRastreio532 B</v>
      </c>
      <c r="D621" s="52" t="str">
        <f>_xlfn.XLOOKUP(Follow[[#This Row],[Id Pedido]],Controle_Pedidos[Número Pedido Cliente],Controle_Pedidos[Loja])</f>
        <v>BV</v>
      </c>
      <c r="E621" s="9">
        <f>_xlfn.XLOOKUP(Follow[[#This Row],[Id Pedido]],Controle_Pedidos[Número Pedido Cliente],Controle_Pedidos[Prazo Entrega])</f>
        <v>45671</v>
      </c>
      <c r="F621" s="9" t="s">
        <v>19433</v>
      </c>
      <c r="G621" s="9" t="s">
        <v>37</v>
      </c>
      <c r="H621" s="52" t="s">
        <v>178</v>
      </c>
      <c r="I621" s="52" t="s">
        <v>178</v>
      </c>
      <c r="J621" s="55">
        <v>45666</v>
      </c>
      <c r="K621" s="52" t="s">
        <v>198</v>
      </c>
      <c r="L621" s="8" t="s">
        <v>124</v>
      </c>
      <c r="M621" s="8" t="s">
        <v>88</v>
      </c>
      <c r="N621" s="52" t="str">
        <f>IF(Follow[[#This Row],[DATAATUALIZAÇÃO]]&lt;=Follow[[#This Row],[Prev Entrega]],"Dentro do Prazo","Fora do Prazo")</f>
        <v>Dentro do Prazo</v>
      </c>
      <c r="O621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09/01/2025, referente ao pedido Nº Pedido 547 Rastreio Pedido 547, agradecemos a preferência e adoraríamos receber sua avaliação, tendo qualquer dúvida estamos à disposição.
Att
Tem tudo Shop</v>
      </c>
    </row>
    <row r="622" spans="1:15">
      <c r="A622" s="52" t="str">
        <f>_xlfn.XLOOKUP(Follow[[#This Row],[CODRASTREIO]],Controle_Pedidos[Cód Rastreamento],Controle_Pedidos[Número Pedido Cliente])</f>
        <v>Pedido 306</v>
      </c>
      <c r="B622" s="2" t="s">
        <v>17741</v>
      </c>
      <c r="C622" s="2" t="str">
        <f>Follow[[#This Row],[CODRASTREIO]]&amp;" B"</f>
        <v>CódRastreio299 B</v>
      </c>
      <c r="D622" s="52" t="str">
        <f>_xlfn.XLOOKUP(Follow[[#This Row],[Id Pedido]],Controle_Pedidos[Número Pedido Cliente],Controle_Pedidos[Loja])</f>
        <v>BV</v>
      </c>
      <c r="E622" s="9">
        <f>_xlfn.XLOOKUP(Follow[[#This Row],[Id Pedido]],Controle_Pedidos[Número Pedido Cliente],Controle_Pedidos[Prazo Entrega])</f>
        <v>45632</v>
      </c>
      <c r="F622" s="9" t="s">
        <v>19433</v>
      </c>
      <c r="G622" s="9" t="s">
        <v>37</v>
      </c>
      <c r="H622" s="52" t="s">
        <v>178</v>
      </c>
      <c r="I622" s="52" t="s">
        <v>178</v>
      </c>
      <c r="J622" s="55">
        <v>45614</v>
      </c>
      <c r="K622" s="54" t="s">
        <v>198</v>
      </c>
      <c r="L622" s="8" t="s">
        <v>124</v>
      </c>
      <c r="M622" s="8" t="s">
        <v>37</v>
      </c>
      <c r="N622" s="52" t="str">
        <f>IF(Follow[[#This Row],[DATAATUALIZAÇÃO]]&lt;=Follow[[#This Row],[Prev Entrega]],"Dentro do Prazo","Fora do Prazo")</f>
        <v>Dentro do Prazo</v>
      </c>
      <c r="O6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18/11/2024, referente ao pedido Nº Pedido 306 Rastreio Pedido 306, agradecemos a preferência e adoraríamos receber sua avaliação, tendo qualquer dúvida estamos à disposição.
Att
Tem tudo Shop</v>
      </c>
    </row>
    <row r="623" spans="1:15">
      <c r="A623" s="52" t="str">
        <f>_xlfn.XLOOKUP(Follow[[#This Row],[CODRASTREIO]],Controle_Pedidos[Cód Rastreamento],Controle_Pedidos[Número Pedido Cliente])</f>
        <v>Pedido 364</v>
      </c>
      <c r="B623" s="2" t="s">
        <v>17796</v>
      </c>
      <c r="C623" s="2" t="str">
        <f>Follow[[#This Row],[CODRASTREIO]]&amp;" B"</f>
        <v>CódRastreio354 B</v>
      </c>
      <c r="D623" s="52" t="str">
        <f>_xlfn.XLOOKUP(Follow[[#This Row],[Id Pedido]],Controle_Pedidos[Número Pedido Cliente],Controle_Pedidos[Loja])</f>
        <v>BV</v>
      </c>
      <c r="E623" s="9">
        <f>_xlfn.XLOOKUP(Follow[[#This Row],[Id Pedido]],Controle_Pedidos[Número Pedido Cliente],Controle_Pedidos[Prazo Entrega])</f>
        <v>45638</v>
      </c>
      <c r="F623" s="9" t="s">
        <v>19433</v>
      </c>
      <c r="G623" s="9" t="s">
        <v>37</v>
      </c>
      <c r="H623" s="55" t="s">
        <v>178</v>
      </c>
      <c r="I623" s="55" t="s">
        <v>178</v>
      </c>
      <c r="J623" s="55">
        <v>45631.956377314818</v>
      </c>
      <c r="K623" s="54" t="s">
        <v>198</v>
      </c>
      <c r="L623" s="8" t="s">
        <v>124</v>
      </c>
      <c r="M623" s="8" t="s">
        <v>37</v>
      </c>
      <c r="N623" s="52" t="str">
        <f>IF(Follow[[#This Row],[DATAATUALIZAÇÃO]]&lt;=Follow[[#This Row],[Prev Entrega]],"Dentro do Prazo","Fora do Prazo")</f>
        <v>Dentro do Prazo</v>
      </c>
      <c r="O6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05/12/2024, referente ao pedido Nº Pedido 364 Rastreio Pedido 364, agradecemos a preferência e adoraríamos receber sua avaliação, tendo qualquer dúvida estamos à disposição.
Att
Tem tudo Shop</v>
      </c>
    </row>
    <row r="624" spans="1:15">
      <c r="A624" s="52" t="str">
        <f>_xlfn.XLOOKUP(Follow[[#This Row],[CODRASTREIO]],Controle_Pedidos[Cód Rastreamento],Controle_Pedidos[Número Pedido Cliente])</f>
        <v>Pedido 637</v>
      </c>
      <c r="B624" s="2" t="s">
        <v>18061</v>
      </c>
      <c r="C624" s="2" t="str">
        <f>Follow[[#This Row],[CODRASTREIO]]&amp;" B"</f>
        <v>CódRastreio619 B</v>
      </c>
      <c r="D624" s="52" t="str">
        <f>_xlfn.XLOOKUP(Follow[[#This Row],[Id Pedido]],Controle_Pedidos[Número Pedido Cliente],Controle_Pedidos[Loja])</f>
        <v>BV</v>
      </c>
      <c r="E624" s="9">
        <f>_xlfn.XLOOKUP(Follow[[#This Row],[Id Pedido]],Controle_Pedidos[Número Pedido Cliente],Controle_Pedidos[Prazo Entrega])</f>
        <v>45682</v>
      </c>
      <c r="F624" s="9" t="s">
        <v>19433</v>
      </c>
      <c r="G624" s="9" t="s">
        <v>37</v>
      </c>
      <c r="H624" s="52" t="s">
        <v>179</v>
      </c>
      <c r="I624" s="52" t="s">
        <v>178</v>
      </c>
      <c r="J624" s="55">
        <v>45665</v>
      </c>
      <c r="K624" s="52" t="s">
        <v>198</v>
      </c>
      <c r="L624" s="8" t="s">
        <v>124</v>
      </c>
      <c r="M624" s="8" t="s">
        <v>37</v>
      </c>
      <c r="N624" s="52" t="str">
        <f>IF(Follow[[#This Row],[DATAATUALIZAÇÃO]]&lt;=Follow[[#This Row],[Prev Entrega]],"Dentro do Prazo","Fora do Prazo")</f>
        <v>Dentro do Prazo</v>
      </c>
      <c r="O62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637 Rastreio Pedido 637, agradecemos a preferência e adoraríamos receber sua avaliação, tendo qualquer dúvida estamos à disposição.
Att
Tem tudo Shop</v>
      </c>
    </row>
    <row r="625" spans="1:15">
      <c r="A625" s="52" t="str">
        <f>_xlfn.XLOOKUP(Follow[[#This Row],[CODRASTREIO]],Controle_Pedidos[Cód Rastreamento],Controle_Pedidos[Número Pedido Cliente])</f>
        <v>Pedido 220</v>
      </c>
      <c r="B625" s="2" t="s">
        <v>17655</v>
      </c>
      <c r="C625" s="2" t="str">
        <f>Follow[[#This Row],[CODRASTREIO]]&amp;" B"</f>
        <v>CódRastreio213 B</v>
      </c>
      <c r="D625" s="52" t="str">
        <f>_xlfn.XLOOKUP(Follow[[#This Row],[Id Pedido]],Controle_Pedidos[Número Pedido Cliente],Controle_Pedidos[Loja])</f>
        <v>BV</v>
      </c>
      <c r="E625" s="9">
        <f>_xlfn.XLOOKUP(Follow[[#This Row],[Id Pedido]],Controle_Pedidos[Número Pedido Cliente],Controle_Pedidos[Prazo Entrega])</f>
        <v>45626</v>
      </c>
      <c r="F625" s="9" t="s">
        <v>19433</v>
      </c>
      <c r="G625" s="9" t="s">
        <v>37</v>
      </c>
      <c r="H625" s="52" t="s">
        <v>179</v>
      </c>
      <c r="I625" s="52" t="s">
        <v>178</v>
      </c>
      <c r="J625" s="55">
        <v>45609</v>
      </c>
      <c r="K625" s="54" t="s">
        <v>198</v>
      </c>
      <c r="L625" s="8" t="s">
        <v>124</v>
      </c>
      <c r="M625" s="8" t="s">
        <v>37</v>
      </c>
      <c r="N625" s="52" t="str">
        <f>IF(Follow[[#This Row],[DATAATUALIZAÇÃO]]&lt;=Follow[[#This Row],[Prev Entrega]],"Dentro do Prazo","Fora do Prazo")</f>
        <v>Dentro do Prazo</v>
      </c>
      <c r="O6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13/11/2024, referente ao pedido Nº Pedido 220 Rastreio Pedido 220, agradecemos a preferência e adoraríamos receber sua avaliação, tendo qualquer dúvida estamos à disposição.
Att
Tem tudo Shop</v>
      </c>
    </row>
    <row r="626" spans="1:15">
      <c r="A626" s="52" t="str">
        <f>_xlfn.XLOOKUP(Follow[[#This Row],[CODRASTREIO]],Controle_Pedidos[Cód Rastreamento],Controle_Pedidos[Número Pedido Cliente])</f>
        <v>Pedido 592</v>
      </c>
      <c r="B626" s="2" t="s">
        <v>18019</v>
      </c>
      <c r="C626" s="2" t="str">
        <f>Follow[[#This Row],[CODRASTREIO]]&amp;" B"</f>
        <v>CódRastreio577 B</v>
      </c>
      <c r="D626" s="52" t="str">
        <f>_xlfn.XLOOKUP(Follow[[#This Row],[Id Pedido]],Controle_Pedidos[Número Pedido Cliente],Controle_Pedidos[Loja])</f>
        <v>BV</v>
      </c>
      <c r="E626" s="9">
        <f>_xlfn.XLOOKUP(Follow[[#This Row],[Id Pedido]],Controle_Pedidos[Número Pedido Cliente],Controle_Pedidos[Prazo Entrega])</f>
        <v>45666</v>
      </c>
      <c r="F626" s="9" t="s">
        <v>19433</v>
      </c>
      <c r="G626" s="9" t="s">
        <v>37</v>
      </c>
      <c r="H626" s="52" t="s">
        <v>178</v>
      </c>
      <c r="I626" s="52" t="s">
        <v>178</v>
      </c>
      <c r="J626" s="55">
        <v>45652</v>
      </c>
      <c r="K626" s="52" t="s">
        <v>198</v>
      </c>
      <c r="L626" s="8" t="s">
        <v>124</v>
      </c>
      <c r="M626" s="8" t="s">
        <v>37</v>
      </c>
      <c r="N626" s="52" t="str">
        <f>IF(Follow[[#This Row],[DATAATUALIZAÇÃO]]&lt;=Follow[[#This Row],[Prev Entrega]],"Dentro do Prazo","Fora do Prazo")</f>
        <v>Dentro do Prazo</v>
      </c>
      <c r="O6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26/12/2024, referente ao pedido Nº Pedido 592 Rastreio Pedido 592, agradecemos a preferência e adoraríamos receber sua avaliação, tendo qualquer dúvida estamos à disposição.
Att
Tem tudo Shop</v>
      </c>
    </row>
    <row r="627" spans="1:15">
      <c r="A627" s="52" t="str">
        <f>_xlfn.XLOOKUP(Follow[[#This Row],[CODRASTREIO]],Controle_Pedidos[Cód Rastreamento],Controle_Pedidos[Número Pedido Cliente])</f>
        <v>Pedido 579</v>
      </c>
      <c r="B627" s="2" t="s">
        <v>18006</v>
      </c>
      <c r="C627" s="2" t="str">
        <f>Follow[[#This Row],[CODRASTREIO]]&amp;" B"</f>
        <v>CódRastreio564 B</v>
      </c>
      <c r="D627" s="52" t="str">
        <f>_xlfn.XLOOKUP(Follow[[#This Row],[Id Pedido]],Controle_Pedidos[Número Pedido Cliente],Controle_Pedidos[Loja])</f>
        <v>BV</v>
      </c>
      <c r="E627" s="9">
        <f>_xlfn.XLOOKUP(Follow[[#This Row],[Id Pedido]],Controle_Pedidos[Número Pedido Cliente],Controle_Pedidos[Prazo Entrega])</f>
        <v>45667</v>
      </c>
      <c r="F627" s="9" t="s">
        <v>19433</v>
      </c>
      <c r="G627" s="9" t="s">
        <v>37</v>
      </c>
      <c r="H627" s="52" t="s">
        <v>179</v>
      </c>
      <c r="I627" s="52" t="s">
        <v>178</v>
      </c>
      <c r="J627" s="55">
        <v>45659</v>
      </c>
      <c r="K627" s="52" t="s">
        <v>198</v>
      </c>
      <c r="L627" s="8" t="s">
        <v>124</v>
      </c>
      <c r="M627" s="8" t="s">
        <v>37</v>
      </c>
      <c r="N627" s="52" t="str">
        <f>IF(Follow[[#This Row],[DATAATUALIZAÇÃO]]&lt;=Follow[[#This Row],[Prev Entrega]],"Dentro do Prazo","Fora do Prazo")</f>
        <v>Dentro do Prazo</v>
      </c>
      <c r="O6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579 Rastreio Pedido 579, agradecemos a preferência e adoraríamos receber sua avaliação, tendo qualquer dúvida estamos à disposição.
Att
Tem tudo Shop</v>
      </c>
    </row>
    <row r="628" spans="1:15">
      <c r="A628" s="52" t="str">
        <f>_xlfn.XLOOKUP(Follow[[#This Row],[CODRASTREIO]],Controle_Pedidos[Cód Rastreamento],Controle_Pedidos[Número Pedido Cliente])</f>
        <v>Pedido 122</v>
      </c>
      <c r="B628" s="2" t="s">
        <v>17557</v>
      </c>
      <c r="C628" s="2" t="str">
        <f>Follow[[#This Row],[CODRASTREIO]]&amp;" B"</f>
        <v>CódRastreio115 B</v>
      </c>
      <c r="D628" s="52" t="str">
        <f>_xlfn.XLOOKUP(Follow[[#This Row],[Id Pedido]],Controle_Pedidos[Número Pedido Cliente],Controle_Pedidos[Loja])</f>
        <v>BV</v>
      </c>
      <c r="E628" s="9">
        <f>_xlfn.XLOOKUP(Follow[[#This Row],[Id Pedido]],Controle_Pedidos[Número Pedido Cliente],Controle_Pedidos[Prazo Entrega])</f>
        <v>45617</v>
      </c>
      <c r="F628" s="9" t="s">
        <v>19433</v>
      </c>
      <c r="G628" s="9" t="s">
        <v>37</v>
      </c>
      <c r="H628" s="52" t="s">
        <v>178</v>
      </c>
      <c r="I628" s="52" t="s">
        <v>178</v>
      </c>
      <c r="J628" s="55">
        <v>45602</v>
      </c>
      <c r="K628" s="54" t="s">
        <v>198</v>
      </c>
      <c r="L628" s="8" t="s">
        <v>124</v>
      </c>
      <c r="M628" s="8" t="s">
        <v>37</v>
      </c>
      <c r="N628" s="52" t="str">
        <f>IF(Follow[[#This Row],[DATAATUALIZAÇÃO]]&lt;=Follow[[#This Row],[Prev Entrega]],"Dentro do Prazo","Fora do Prazo")</f>
        <v>Dentro do Prazo</v>
      </c>
      <c r="O6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06/11/2024, referente ao pedido Nº Pedido 122 Rastreio Pedido 122, agradecemos a preferência e adoraríamos receber sua avaliação, tendo qualquer dúvida estamos à disposição.
Att
Tem tudo Shop</v>
      </c>
    </row>
    <row r="629" spans="1:15">
      <c r="A629" s="52" t="str">
        <f>_xlfn.XLOOKUP(Follow[[#This Row],[CODRASTREIO]],Controle_Pedidos[Cód Rastreamento],Controle_Pedidos[Número Pedido Cliente])</f>
        <v>Pedido 82</v>
      </c>
      <c r="B629" s="2" t="s">
        <v>17517</v>
      </c>
      <c r="C629" s="2" t="str">
        <f>Follow[[#This Row],[CODRASTREIO]]&amp;" B"</f>
        <v>CódRastreio75 B</v>
      </c>
      <c r="D629" s="52" t="str">
        <f>_xlfn.XLOOKUP(Follow[[#This Row],[Id Pedido]],Controle_Pedidos[Número Pedido Cliente],Controle_Pedidos[Loja])</f>
        <v>BV</v>
      </c>
      <c r="E629" s="9">
        <f>_xlfn.XLOOKUP(Follow[[#This Row],[Id Pedido]],Controle_Pedidos[Número Pedido Cliente],Controle_Pedidos[Prazo Entrega])</f>
        <v>45617</v>
      </c>
      <c r="F629" s="9" t="s">
        <v>19433</v>
      </c>
      <c r="G629" s="9" t="s">
        <v>37</v>
      </c>
      <c r="H629" s="52" t="s">
        <v>178</v>
      </c>
      <c r="I629" s="52" t="s">
        <v>178</v>
      </c>
      <c r="J629" s="55">
        <v>45600</v>
      </c>
      <c r="K629" s="54" t="s">
        <v>198</v>
      </c>
      <c r="L629" s="8" t="s">
        <v>124</v>
      </c>
      <c r="M629" s="8" t="s">
        <v>37</v>
      </c>
      <c r="N629" s="52" t="str">
        <f>IF(Follow[[#This Row],[DATAATUALIZAÇÃO]]&lt;=Follow[[#This Row],[Prev Entrega]],"Dentro do Prazo","Fora do Prazo")</f>
        <v>Dentro do Prazo</v>
      </c>
      <c r="O6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04/11/2024, referente ao pedido Nº Pedido 82 Rastreio Pedido 82, agradecemos a preferência e adoraríamos receber sua avaliação, tendo qualquer dúvida estamos à disposição.
Att
Tem tudo Shop</v>
      </c>
    </row>
    <row r="630" spans="1:15">
      <c r="A630" s="52" t="str">
        <f>_xlfn.XLOOKUP(Follow[[#This Row],[CODRASTREIO]],Controle_Pedidos[Cód Rastreamento],Controle_Pedidos[Número Pedido Cliente])</f>
        <v>Pedido 553</v>
      </c>
      <c r="B630" s="2" t="s">
        <v>17980</v>
      </c>
      <c r="C630" s="2" t="str">
        <f>Follow[[#This Row],[CODRASTREIO]]&amp;" B"</f>
        <v>CódRastreio538 B</v>
      </c>
      <c r="D630" s="52" t="str">
        <f>_xlfn.XLOOKUP(Follow[[#This Row],[Id Pedido]],Controle_Pedidos[Número Pedido Cliente],Controle_Pedidos[Loja])</f>
        <v>BV</v>
      </c>
      <c r="E630" s="9">
        <f>_xlfn.XLOOKUP(Follow[[#This Row],[Id Pedido]],Controle_Pedidos[Número Pedido Cliente],Controle_Pedidos[Prazo Entrega])</f>
        <v>45672</v>
      </c>
      <c r="F630" s="9" t="s">
        <v>19433</v>
      </c>
      <c r="G630" s="9" t="s">
        <v>37</v>
      </c>
      <c r="H630" s="52" t="s">
        <v>178</v>
      </c>
      <c r="I630" s="52" t="s">
        <v>178</v>
      </c>
      <c r="J630" s="55">
        <v>45652</v>
      </c>
      <c r="K630" s="52" t="s">
        <v>198</v>
      </c>
      <c r="L630" s="8" t="s">
        <v>124</v>
      </c>
      <c r="M630" s="8" t="s">
        <v>37</v>
      </c>
      <c r="N630" s="52" t="str">
        <f>IF(Follow[[#This Row],[DATAATUALIZAÇÃO]]&lt;=Follow[[#This Row],[Prev Entrega]],"Dentro do Prazo","Fora do Prazo")</f>
        <v>Dentro do Prazo</v>
      </c>
      <c r="O6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26/12/2024, referente ao pedido Nº Pedido 553 Rastreio Pedido 553, agradecemos a preferência e adoraríamos receber sua avaliação, tendo qualquer dúvida estamos à disposição.
Att
Tem tudo Shop</v>
      </c>
    </row>
    <row r="631" spans="1:15">
      <c r="A631" s="52" t="str">
        <f>_xlfn.XLOOKUP(Follow[[#This Row],[CODRASTREIO]],Controle_Pedidos[Cód Rastreamento],Controle_Pedidos[Número Pedido Cliente])</f>
        <v>Pedido 37</v>
      </c>
      <c r="B631" s="2" t="s">
        <v>17470</v>
      </c>
      <c r="C631" s="2" t="str">
        <f>Follow[[#This Row],[CODRASTREIO]]&amp;" B"</f>
        <v>CódRastreio28 B</v>
      </c>
      <c r="D631" s="52" t="str">
        <f>_xlfn.XLOOKUP(Follow[[#This Row],[Id Pedido]],Controle_Pedidos[Número Pedido Cliente],Controle_Pedidos[Loja])</f>
        <v>BV</v>
      </c>
      <c r="E631" s="9">
        <f>_xlfn.XLOOKUP(Follow[[#This Row],[Id Pedido]],Controle_Pedidos[Número Pedido Cliente],Controle_Pedidos[Prazo Entrega])</f>
        <v>45605</v>
      </c>
      <c r="F631" s="9" t="s">
        <v>19433</v>
      </c>
      <c r="G631" s="9" t="s">
        <v>37</v>
      </c>
      <c r="H631" s="52" t="s">
        <v>178</v>
      </c>
      <c r="I631" s="52" t="s">
        <v>178</v>
      </c>
      <c r="J631" s="55">
        <v>45594</v>
      </c>
      <c r="K631" s="54" t="s">
        <v>198</v>
      </c>
      <c r="L631" s="8" t="s">
        <v>124</v>
      </c>
      <c r="M631" s="8" t="s">
        <v>37</v>
      </c>
      <c r="N631" s="52" t="str">
        <f>IF(Follow[[#This Row],[DATAATUALIZAÇÃO]]&lt;=Follow[[#This Row],[Prev Entrega]],"Dentro do Prazo","Fora do Prazo")</f>
        <v>Dentro do Prazo</v>
      </c>
      <c r="O6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29/10/2024, referente ao pedido Nº Pedido 37 Rastreio Pedido 37, agradecemos a preferência e adoraríamos receber sua avaliação, tendo qualquer dúvida estamos à disposição.
Att
Tem tudo Shop</v>
      </c>
    </row>
    <row r="632" spans="1:15">
      <c r="A632" s="52" t="str">
        <f>_xlfn.XLOOKUP(Follow[[#This Row],[CODRASTREIO]],Controle_Pedidos[Cód Rastreamento],Controle_Pedidos[Número Pedido Cliente])</f>
        <v>Pedido 208</v>
      </c>
      <c r="B632" s="2" t="s">
        <v>17643</v>
      </c>
      <c r="C632" s="2" t="str">
        <f>Follow[[#This Row],[CODRASTREIO]]&amp;" B"</f>
        <v>CódRastreio201 B</v>
      </c>
      <c r="D632" s="52" t="str">
        <f>_xlfn.XLOOKUP(Follow[[#This Row],[Id Pedido]],Controle_Pedidos[Número Pedido Cliente],Controle_Pedidos[Loja])</f>
        <v>BV</v>
      </c>
      <c r="E632" s="9">
        <f>_xlfn.XLOOKUP(Follow[[#This Row],[Id Pedido]],Controle_Pedidos[Número Pedido Cliente],Controle_Pedidos[Prazo Entrega])</f>
        <v>45615</v>
      </c>
      <c r="F632" s="9" t="s">
        <v>19433</v>
      </c>
      <c r="G632" s="9" t="s">
        <v>37</v>
      </c>
      <c r="H632" s="52" t="s">
        <v>178</v>
      </c>
      <c r="I632" s="52" t="s">
        <v>178</v>
      </c>
      <c r="J632" s="55">
        <v>45610</v>
      </c>
      <c r="K632" s="54" t="s">
        <v>198</v>
      </c>
      <c r="L632" s="8" t="s">
        <v>124</v>
      </c>
      <c r="M632" s="8" t="s">
        <v>37</v>
      </c>
      <c r="N632" s="52" t="str">
        <f>IF(Follow[[#This Row],[DATAATUALIZAÇÃO]]&lt;=Follow[[#This Row],[Prev Entrega]],"Dentro do Prazo","Fora do Prazo")</f>
        <v>Dentro do Prazo</v>
      </c>
      <c r="O6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14/11/2024, referente ao pedido Nº Pedido 208 Rastreio Pedido 208, agradecemos a preferência e adoraríamos receber sua avaliação, tendo qualquer dúvida estamos à disposição.
Att
Tem tudo Shop</v>
      </c>
    </row>
    <row r="633" spans="1:15">
      <c r="A633" s="52" t="str">
        <f>_xlfn.XLOOKUP(Follow[[#This Row],[CODRASTREIO]],Controle_Pedidos[Cód Rastreamento],Controle_Pedidos[Número Pedido Cliente])</f>
        <v>Pedido 445</v>
      </c>
      <c r="B633" s="2" t="s">
        <v>17873</v>
      </c>
      <c r="C633" s="2" t="str">
        <f>Follow[[#This Row],[CODRASTREIO]]&amp;" B"</f>
        <v>CódRastreio431 B</v>
      </c>
      <c r="D633" s="52" t="str">
        <f>_xlfn.XLOOKUP(Follow[[#This Row],[Id Pedido]],Controle_Pedidos[Número Pedido Cliente],Controle_Pedidos[Loja])</f>
        <v>BV</v>
      </c>
      <c r="E633" s="9">
        <f>_xlfn.XLOOKUP(Follow[[#This Row],[Id Pedido]],Controle_Pedidos[Número Pedido Cliente],Controle_Pedidos[Prazo Entrega])</f>
        <v>45637</v>
      </c>
      <c r="F633" s="9" t="s">
        <v>19433</v>
      </c>
      <c r="G633" s="9" t="s">
        <v>37</v>
      </c>
      <c r="H633" s="55" t="s">
        <v>178</v>
      </c>
      <c r="I633" s="55" t="s">
        <v>178</v>
      </c>
      <c r="J633" s="55">
        <v>45630</v>
      </c>
      <c r="K633" s="54" t="s">
        <v>198</v>
      </c>
      <c r="L633" s="8" t="s">
        <v>124</v>
      </c>
      <c r="M633" s="8" t="s">
        <v>37</v>
      </c>
      <c r="N633" s="52" t="str">
        <f>IF(Follow[[#This Row],[DATAATUALIZAÇÃO]]&lt;=Follow[[#This Row],[Prev Entrega]],"Dentro do Prazo","Fora do Prazo")</f>
        <v>Dentro do Prazo</v>
      </c>
      <c r="O6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04/12/2024, referente ao pedido Nº Pedido 445 Rastreio Pedido 445, agradecemos a preferência e adoraríamos receber sua avaliação, tendo qualquer dúvida estamos à disposição.
Att
Tem tudo Shop</v>
      </c>
    </row>
    <row r="634" spans="1:15">
      <c r="A634" s="52" t="str">
        <f>_xlfn.XLOOKUP(Follow[[#This Row],[CODRASTREIO]],Controle_Pedidos[Cód Rastreamento],Controle_Pedidos[Número Pedido Cliente])</f>
        <v>Pedido 69</v>
      </c>
      <c r="B634" s="2" t="s">
        <v>17502</v>
      </c>
      <c r="C634" s="2" t="str">
        <f>Follow[[#This Row],[CODRASTREIO]]&amp;" B"</f>
        <v>CódRastreio60 B</v>
      </c>
      <c r="D634" s="52" t="str">
        <f>_xlfn.XLOOKUP(Follow[[#This Row],[Id Pedido]],Controle_Pedidos[Número Pedido Cliente],Controle_Pedidos[Loja])</f>
        <v>BV</v>
      </c>
      <c r="E634" s="9">
        <f>_xlfn.XLOOKUP(Follow[[#This Row],[Id Pedido]],Controle_Pedidos[Número Pedido Cliente],Controle_Pedidos[Prazo Entrega])</f>
        <v>45605</v>
      </c>
      <c r="F634" s="9" t="s">
        <v>19433</v>
      </c>
      <c r="G634" s="9" t="s">
        <v>37</v>
      </c>
      <c r="H634" s="52" t="s">
        <v>178</v>
      </c>
      <c r="I634" s="52" t="s">
        <v>178</v>
      </c>
      <c r="J634" s="55">
        <v>45595</v>
      </c>
      <c r="K634" s="54" t="s">
        <v>198</v>
      </c>
      <c r="L634" s="8" t="s">
        <v>124</v>
      </c>
      <c r="M634" s="8" t="s">
        <v>37</v>
      </c>
      <c r="N634" s="52" t="str">
        <f>IF(Follow[[#This Row],[DATAATUALIZAÇÃO]]&lt;=Follow[[#This Row],[Prev Entrega]],"Dentro do Prazo","Fora do Prazo")</f>
        <v>Dentro do Prazo</v>
      </c>
      <c r="O6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30/10/2024, referente ao pedido Nº Pedido 69 Rastreio Pedido 69, agradecemos a preferência e adoraríamos receber sua avaliação, tendo qualquer dúvida estamos à disposição.
Att
Tem tudo Shop</v>
      </c>
    </row>
    <row r="635" spans="1:15">
      <c r="A635" s="52" t="str">
        <f>_xlfn.XLOOKUP(Follow[[#This Row],[CODRASTREIO]],Controle_Pedidos[Cód Rastreamento],Controle_Pedidos[Número Pedido Cliente])</f>
        <v>Pedido 242</v>
      </c>
      <c r="B635" s="2" t="s">
        <v>17677</v>
      </c>
      <c r="C635" s="2" t="str">
        <f>Follow[[#This Row],[CODRASTREIO]]&amp;" B"</f>
        <v>CódRastreio235 B</v>
      </c>
      <c r="D635" s="52" t="str">
        <f>_xlfn.XLOOKUP(Follow[[#This Row],[Id Pedido]],Controle_Pedidos[Número Pedido Cliente],Controle_Pedidos[Loja])</f>
        <v>BV</v>
      </c>
      <c r="E635" s="9">
        <f>_xlfn.XLOOKUP(Follow[[#This Row],[Id Pedido]],Controle_Pedidos[Número Pedido Cliente],Controle_Pedidos[Prazo Entrega])</f>
        <v>45622</v>
      </c>
      <c r="F635" s="9" t="s">
        <v>19433</v>
      </c>
      <c r="G635" s="9" t="s">
        <v>37</v>
      </c>
      <c r="H635" s="52" t="s">
        <v>178</v>
      </c>
      <c r="I635" s="52" t="s">
        <v>178</v>
      </c>
      <c r="J635" s="55">
        <v>45605</v>
      </c>
      <c r="K635" s="54" t="s">
        <v>198</v>
      </c>
      <c r="L635" s="8" t="s">
        <v>124</v>
      </c>
      <c r="M635" s="8" t="s">
        <v>37</v>
      </c>
      <c r="N635" s="52" t="str">
        <f>IF(Follow[[#This Row],[DATAATUALIZAÇÃO]]&lt;=Follow[[#This Row],[Prev Entrega]],"Dentro do Prazo","Fora do Prazo")</f>
        <v>Dentro do Prazo</v>
      </c>
      <c r="O63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09/11/2024, referente ao pedido Nº Pedido 242 Rastreio Pedido 242, agradecemos a preferência e adoraríamos receber sua avaliação, tendo qualquer dúvida estamos à disposição.
Att
Tem tudo Shop</v>
      </c>
    </row>
    <row r="636" spans="1:15">
      <c r="A636" s="52" t="str">
        <f>_xlfn.XLOOKUP(Follow[[#This Row],[CODRASTREIO]],Controle_Pedidos[Cód Rastreamento],Controle_Pedidos[Número Pedido Cliente])</f>
        <v>Pedido 243</v>
      </c>
      <c r="B636" s="2" t="s">
        <v>17678</v>
      </c>
      <c r="C636" s="2" t="str">
        <f>Follow[[#This Row],[CODRASTREIO]]&amp;" B"</f>
        <v>CódRastreio236 B</v>
      </c>
      <c r="D636" s="52" t="str">
        <f>_xlfn.XLOOKUP(Follow[[#This Row],[Id Pedido]],Controle_Pedidos[Número Pedido Cliente],Controle_Pedidos[Loja])</f>
        <v>BV</v>
      </c>
      <c r="E636" s="9">
        <f>_xlfn.XLOOKUP(Follow[[#This Row],[Id Pedido]],Controle_Pedidos[Número Pedido Cliente],Controle_Pedidos[Prazo Entrega])</f>
        <v>45622</v>
      </c>
      <c r="F636" s="9" t="s">
        <v>19433</v>
      </c>
      <c r="G636" s="9" t="s">
        <v>37</v>
      </c>
      <c r="H636" s="52" t="s">
        <v>178</v>
      </c>
      <c r="I636" s="52" t="s">
        <v>178</v>
      </c>
      <c r="J636" s="55">
        <v>45609</v>
      </c>
      <c r="K636" s="54" t="s">
        <v>198</v>
      </c>
      <c r="L636" s="8" t="s">
        <v>124</v>
      </c>
      <c r="M636" s="8" t="s">
        <v>37</v>
      </c>
      <c r="N636" s="52" t="str">
        <f>IF(Follow[[#This Row],[DATAATUALIZAÇÃO]]&lt;=Follow[[#This Row],[Prev Entrega]],"Dentro do Prazo","Fora do Prazo")</f>
        <v>Dentro do Prazo</v>
      </c>
      <c r="O63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13/11/2024, referente ao pedido Nº Pedido 243 Rastreio Pedido 243, agradecemos a preferência e adoraríamos receber sua avaliação, tendo qualquer dúvida estamos à disposição.
Att
Tem tudo Shop</v>
      </c>
    </row>
    <row r="637" spans="1:15">
      <c r="A637" s="52" t="str">
        <f>_xlfn.XLOOKUP(Follow[[#This Row],[CODRASTREIO]],Controle_Pedidos[Cód Rastreamento],Controle_Pedidos[Número Pedido Cliente])</f>
        <v>Pedido 278</v>
      </c>
      <c r="B637" s="2" t="s">
        <v>17713</v>
      </c>
      <c r="C637" s="2" t="str">
        <f>Follow[[#This Row],[CODRASTREIO]]&amp;" B"</f>
        <v>CódRastreio271 B</v>
      </c>
      <c r="D637" s="52" t="str">
        <f>_xlfn.XLOOKUP(Follow[[#This Row],[Id Pedido]],Controle_Pedidos[Número Pedido Cliente],Controle_Pedidos[Loja])</f>
        <v>BV</v>
      </c>
      <c r="E637" s="9">
        <f>_xlfn.XLOOKUP(Follow[[#This Row],[Id Pedido]],Controle_Pedidos[Número Pedido Cliente],Controle_Pedidos[Prazo Entrega])</f>
        <v>45618</v>
      </c>
      <c r="F637" s="9" t="s">
        <v>19433</v>
      </c>
      <c r="G637" s="9" t="s">
        <v>37</v>
      </c>
      <c r="H637" s="52" t="s">
        <v>178</v>
      </c>
      <c r="I637" s="52" t="s">
        <v>178</v>
      </c>
      <c r="J637" s="55">
        <v>45607</v>
      </c>
      <c r="K637" s="54" t="s">
        <v>198</v>
      </c>
      <c r="L637" s="8" t="s">
        <v>124</v>
      </c>
      <c r="M637" s="8" t="s">
        <v>37</v>
      </c>
      <c r="N637" s="52" t="str">
        <f>IF(Follow[[#This Row],[DATAATUALIZAÇÃO]]&lt;=Follow[[#This Row],[Prev Entrega]],"Dentro do Prazo","Fora do Prazo")</f>
        <v>Dentro do Prazo</v>
      </c>
      <c r="O6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11/11/2024, referente ao pedido Nº Pedido 278 Rastreio Pedido 278, agradecemos a preferência e adoraríamos receber sua avaliação, tendo qualquer dúvida estamos à disposição.
Att
Tem tudo Shop</v>
      </c>
    </row>
    <row r="638" spans="1:15">
      <c r="A638" s="52" t="str">
        <f>_xlfn.XLOOKUP(Follow[[#This Row],[CODRASTREIO]],Controle_Pedidos[Cód Rastreamento],Controle_Pedidos[Número Pedido Cliente])</f>
        <v>Pedido 410</v>
      </c>
      <c r="B638" s="2" t="s">
        <v>17841</v>
      </c>
      <c r="C638" s="2" t="str">
        <f>Follow[[#This Row],[CODRASTREIO]]&amp;" B"</f>
        <v>CódRastreio399 B</v>
      </c>
      <c r="D638" s="52" t="str">
        <f>_xlfn.XLOOKUP(Follow[[#This Row],[Id Pedido]],Controle_Pedidos[Número Pedido Cliente],Controle_Pedidos[Loja])</f>
        <v>BV</v>
      </c>
      <c r="E638" s="9">
        <f>_xlfn.XLOOKUP(Follow[[#This Row],[Id Pedido]],Controle_Pedidos[Número Pedido Cliente],Controle_Pedidos[Prazo Entrega])</f>
        <v>45637</v>
      </c>
      <c r="F638" s="9" t="s">
        <v>19433</v>
      </c>
      <c r="G638" s="9" t="s">
        <v>37</v>
      </c>
      <c r="H638" s="52" t="s">
        <v>178</v>
      </c>
      <c r="I638" s="52" t="s">
        <v>178</v>
      </c>
      <c r="J638" s="55">
        <v>45625</v>
      </c>
      <c r="K638" s="54" t="s">
        <v>198</v>
      </c>
      <c r="L638" s="8" t="s">
        <v>124</v>
      </c>
      <c r="M638" s="8" t="s">
        <v>37</v>
      </c>
      <c r="N638" s="52" t="str">
        <f>IF(Follow[[#This Row],[DATAATUALIZAÇÃO]]&lt;=Follow[[#This Row],[Prev Entrega]],"Dentro do Prazo","Fora do Prazo")</f>
        <v>Dentro do Prazo</v>
      </c>
      <c r="O6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29/11/2024, referente ao pedido Nº Pedido 410 Rastreio Pedido 410, agradecemos a preferência e adoraríamos receber sua avaliação, tendo qualquer dúvida estamos à disposição.
Att
Tem tudo Shop</v>
      </c>
    </row>
    <row r="639" spans="1:15">
      <c r="A639" s="52" t="str">
        <f>_xlfn.XLOOKUP(Follow[[#This Row],[CODRASTREIO]],Controle_Pedidos[Cód Rastreamento],Controle_Pedidos[Número Pedido Cliente])</f>
        <v>Pedido 347</v>
      </c>
      <c r="B639" s="2" t="s">
        <v>17782</v>
      </c>
      <c r="C639" s="2" t="str">
        <f>Follow[[#This Row],[CODRASTREIO]]&amp;" B"</f>
        <v>CódRastreio340 B</v>
      </c>
      <c r="D639" s="52" t="str">
        <f>_xlfn.XLOOKUP(Follow[[#This Row],[Id Pedido]],Controle_Pedidos[Número Pedido Cliente],Controle_Pedidos[Loja])</f>
        <v>BV</v>
      </c>
      <c r="E639" s="9">
        <f>_xlfn.XLOOKUP(Follow[[#This Row],[Id Pedido]],Controle_Pedidos[Número Pedido Cliente],Controle_Pedidos[Prazo Entrega])</f>
        <v>45631</v>
      </c>
      <c r="F639" s="9" t="s">
        <v>19433</v>
      </c>
      <c r="G639" s="9" t="s">
        <v>37</v>
      </c>
      <c r="H639" s="52" t="s">
        <v>179</v>
      </c>
      <c r="I639" s="52" t="s">
        <v>178</v>
      </c>
      <c r="J639" s="55">
        <v>45622</v>
      </c>
      <c r="K639" s="54" t="s">
        <v>198</v>
      </c>
      <c r="L639" s="8" t="s">
        <v>124</v>
      </c>
      <c r="M639" s="8" t="s">
        <v>37</v>
      </c>
      <c r="N639" s="52" t="str">
        <f>IF(Follow[[#This Row],[DATAATUALIZAÇÃO]]&lt;=Follow[[#This Row],[Prev Entrega]],"Dentro do Prazo","Fora do Prazo")</f>
        <v>Dentro do Prazo</v>
      </c>
      <c r="O6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26/11/2024, referente ao pedido Nº Pedido 347 Rastreio Pedido 347, agradecemos a preferência e adoraríamos receber sua avaliação, tendo qualquer dúvida estamos à disposição.
Att
Tem tudo Shop</v>
      </c>
    </row>
    <row r="640" spans="1:15">
      <c r="A640" s="52" t="str">
        <f>_xlfn.XLOOKUP(Follow[[#This Row],[CODRASTREIO]],Controle_Pedidos[Cód Rastreamento],Controle_Pedidos[Número Pedido Cliente])</f>
        <v>Pedido 558</v>
      </c>
      <c r="B640" s="2" t="s">
        <v>17985</v>
      </c>
      <c r="C640" s="2" t="str">
        <f>Follow[[#This Row],[CODRASTREIO]]&amp;" B"</f>
        <v>CódRastreio543 B</v>
      </c>
      <c r="D640" s="52" t="str">
        <f>_xlfn.XLOOKUP(Follow[[#This Row],[Id Pedido]],Controle_Pedidos[Número Pedido Cliente],Controle_Pedidos[Loja])</f>
        <v>BV</v>
      </c>
      <c r="E640" s="9">
        <f>_xlfn.XLOOKUP(Follow[[#This Row],[Id Pedido]],Controle_Pedidos[Número Pedido Cliente],Controle_Pedidos[Prazo Entrega])</f>
        <v>45666</v>
      </c>
      <c r="F640" s="9" t="s">
        <v>19433</v>
      </c>
      <c r="G640" s="9" t="s">
        <v>37</v>
      </c>
      <c r="H640" s="52" t="s">
        <v>178</v>
      </c>
      <c r="I640" s="52" t="s">
        <v>178</v>
      </c>
      <c r="J640" s="55">
        <v>45647</v>
      </c>
      <c r="K640" s="52" t="s">
        <v>198</v>
      </c>
      <c r="L640" s="8" t="s">
        <v>124</v>
      </c>
      <c r="M640" s="8" t="s">
        <v>37</v>
      </c>
      <c r="N640" s="52" t="str">
        <f>IF(Follow[[#This Row],[DATAATUALIZAÇÃO]]&lt;=Follow[[#This Row],[Prev Entrega]],"Dentro do Prazo","Fora do Prazo")</f>
        <v>Dentro do Prazo</v>
      </c>
      <c r="O6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21/12/2024, referente ao pedido Nº Pedido 558 Rastreio Pedido 558, agradecemos a preferência e adoraríamos receber sua avaliação, tendo qualquer dúvida estamos à disposição.
Att
Tem tudo Shop</v>
      </c>
    </row>
    <row r="641" spans="1:15">
      <c r="A641" s="52" t="str">
        <f>_xlfn.XLOOKUP(Follow[[#This Row],[CODRASTREIO]],Controle_Pedidos[Cód Rastreamento],Controle_Pedidos[Número Pedido Cliente])</f>
        <v>Pedido 171</v>
      </c>
      <c r="B641" s="2" t="s">
        <v>17606</v>
      </c>
      <c r="C641" s="2" t="str">
        <f>Follow[[#This Row],[CODRASTREIO]]&amp;" B"</f>
        <v>CódRastreio164 B</v>
      </c>
      <c r="D641" s="52" t="str">
        <f>_xlfn.XLOOKUP(Follow[[#This Row],[Id Pedido]],Controle_Pedidos[Número Pedido Cliente],Controle_Pedidos[Loja])</f>
        <v>BV</v>
      </c>
      <c r="E641" s="9">
        <f>_xlfn.XLOOKUP(Follow[[#This Row],[Id Pedido]],Controle_Pedidos[Número Pedido Cliente],Controle_Pedidos[Prazo Entrega])</f>
        <v>45610</v>
      </c>
      <c r="F641" s="9" t="s">
        <v>19433</v>
      </c>
      <c r="G641" s="9" t="s">
        <v>37</v>
      </c>
      <c r="H641" s="52" t="s">
        <v>178</v>
      </c>
      <c r="I641" s="52" t="s">
        <v>178</v>
      </c>
      <c r="J641" s="55">
        <v>45601</v>
      </c>
      <c r="K641" s="54" t="s">
        <v>198</v>
      </c>
      <c r="L641" s="8" t="s">
        <v>124</v>
      </c>
      <c r="M641" s="8" t="s">
        <v>37</v>
      </c>
      <c r="N641" s="52" t="str">
        <f>IF(Follow[[#This Row],[DATAATUALIZAÇÃO]]&lt;=Follow[[#This Row],[Prev Entrega]],"Dentro do Prazo","Fora do Prazo")</f>
        <v>Dentro do Prazo</v>
      </c>
      <c r="O6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05/11/2024, referente ao pedido Nº Pedido 171 Rastreio Pedido 171, agradecemos a preferência e adoraríamos receber sua avaliação, tendo qualquer dúvida estamos à disposição.
Att
Tem tudo Shop</v>
      </c>
    </row>
    <row r="642" spans="1:15">
      <c r="A642" s="52" t="str">
        <f>_xlfn.XLOOKUP(Follow[[#This Row],[CODRASTREIO]],Controle_Pedidos[Cód Rastreamento],Controle_Pedidos[Número Pedido Cliente])</f>
        <v>Pedido 572</v>
      </c>
      <c r="B642" s="2" t="s">
        <v>17999</v>
      </c>
      <c r="C642" s="2" t="str">
        <f>Follow[[#This Row],[CODRASTREIO]]&amp;" B"</f>
        <v>CódRastreio557 B</v>
      </c>
      <c r="D642" s="52" t="str">
        <f>_xlfn.XLOOKUP(Follow[[#This Row],[Id Pedido]],Controle_Pedidos[Número Pedido Cliente],Controle_Pedidos[Loja])</f>
        <v>BV</v>
      </c>
      <c r="E642" s="9">
        <f>_xlfn.XLOOKUP(Follow[[#This Row],[Id Pedido]],Controle_Pedidos[Número Pedido Cliente],Controle_Pedidos[Prazo Entrega])</f>
        <v>45664</v>
      </c>
      <c r="F642" s="9" t="s">
        <v>19433</v>
      </c>
      <c r="G642" s="9" t="s">
        <v>37</v>
      </c>
      <c r="H642" s="52" t="s">
        <v>178</v>
      </c>
      <c r="I642" s="52" t="s">
        <v>178</v>
      </c>
      <c r="J642" s="55">
        <v>45667</v>
      </c>
      <c r="K642" s="52" t="s">
        <v>198</v>
      </c>
      <c r="L642" s="8" t="s">
        <v>124</v>
      </c>
      <c r="M642" s="8" t="s">
        <v>200</v>
      </c>
      <c r="N642" s="52" t="str">
        <f>IF(Follow[[#This Row],[DATAATUALIZAÇÃO]]&lt;=Follow[[#This Row],[Prev Entrega]],"Dentro do Prazo","Fora do Prazo")</f>
        <v>Fora do Prazo</v>
      </c>
      <c r="O64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10/01/2025, referente ao pedido Nº Pedido 572 Rastreio Pedido 572, agradecemos a preferência e adoraríamos receber sua avaliação, tendo qualquer dúvida estamos à disposição.
Att
Tem tudo Shop</v>
      </c>
    </row>
    <row r="643" spans="1:15">
      <c r="A643" s="52" t="str">
        <f>_xlfn.XLOOKUP(Follow[[#This Row],[CODRASTREIO]],Controle_Pedidos[Cód Rastreamento],Controle_Pedidos[Número Pedido Cliente])</f>
        <v>Pedido 138</v>
      </c>
      <c r="B643" s="2" t="s">
        <v>17573</v>
      </c>
      <c r="C643" s="2" t="str">
        <f>Follow[[#This Row],[CODRASTREIO]]&amp;" B"</f>
        <v>CódRastreio131 B</v>
      </c>
      <c r="D643" s="52" t="str">
        <f>_xlfn.XLOOKUP(Follow[[#This Row],[Id Pedido]],Controle_Pedidos[Número Pedido Cliente],Controle_Pedidos[Loja])</f>
        <v>BV</v>
      </c>
      <c r="E643" s="9">
        <f>_xlfn.XLOOKUP(Follow[[#This Row],[Id Pedido]],Controle_Pedidos[Número Pedido Cliente],Controle_Pedidos[Prazo Entrega])</f>
        <v>45611</v>
      </c>
      <c r="F643" s="9" t="s">
        <v>19433</v>
      </c>
      <c r="G643" s="9" t="s">
        <v>37</v>
      </c>
      <c r="H643" s="52" t="s">
        <v>178</v>
      </c>
      <c r="I643" s="52" t="s">
        <v>178</v>
      </c>
      <c r="J643" s="55">
        <v>45600</v>
      </c>
      <c r="K643" s="54" t="s">
        <v>198</v>
      </c>
      <c r="L643" s="8" t="s">
        <v>124</v>
      </c>
      <c r="M643" s="8" t="s">
        <v>37</v>
      </c>
      <c r="N643" s="52" t="str">
        <f>IF(Follow[[#This Row],[DATAATUALIZAÇÃO]]&lt;=Follow[[#This Row],[Prev Entrega]],"Dentro do Prazo","Fora do Prazo")</f>
        <v>Dentro do Prazo</v>
      </c>
      <c r="O64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04/11/2024, referente ao pedido Nº Pedido 138 Rastreio Pedido 138, agradecemos a preferência e adoraríamos receber sua avaliação, tendo qualquer dúvida estamos à disposição.
Att
Tem tudo Shop</v>
      </c>
    </row>
    <row r="644" spans="1:15">
      <c r="A644" s="52" t="str">
        <f>_xlfn.XLOOKUP(Follow[[#This Row],[CODRASTREIO]],Controle_Pedidos[Cód Rastreamento],Controle_Pedidos[Número Pedido Cliente])</f>
        <v>Pedido 471</v>
      </c>
      <c r="B644" s="2" t="s">
        <v>17898</v>
      </c>
      <c r="C644" s="2" t="str">
        <f>Follow[[#This Row],[CODRASTREIO]]&amp;" B"</f>
        <v>CódRastreio456 B</v>
      </c>
      <c r="D644" s="52" t="str">
        <f>_xlfn.XLOOKUP(Follow[[#This Row],[Id Pedido]],Controle_Pedidos[Número Pedido Cliente],Controle_Pedidos[Loja])</f>
        <v>BV</v>
      </c>
      <c r="E644" s="9">
        <f>_xlfn.XLOOKUP(Follow[[#This Row],[Id Pedido]],Controle_Pedidos[Número Pedido Cliente],Controle_Pedidos[Prazo Entrega])</f>
        <v>45646</v>
      </c>
      <c r="F644" s="9" t="s">
        <v>19433</v>
      </c>
      <c r="G644" s="9" t="s">
        <v>37</v>
      </c>
      <c r="H644" s="52" t="s">
        <v>179</v>
      </c>
      <c r="I644" s="52" t="s">
        <v>178</v>
      </c>
      <c r="J644" s="55">
        <v>45646</v>
      </c>
      <c r="K644" s="52" t="s">
        <v>198</v>
      </c>
      <c r="L644" s="8" t="s">
        <v>124</v>
      </c>
      <c r="M644" s="8" t="s">
        <v>37</v>
      </c>
      <c r="N644" s="52" t="str">
        <f>IF(Follow[[#This Row],[DATAATUALIZAÇÃO]]&lt;=Follow[[#This Row],[Prev Entrega]],"Dentro do Prazo","Fora do Prazo")</f>
        <v>Dentro do Prazo</v>
      </c>
      <c r="O6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20/12/2024, referente ao pedido Nº Pedido 471 Rastreio Pedido 471, agradecemos a preferência e adoraríamos receber sua avaliação, tendo qualquer dúvida estamos à disposição.
Att
Tem tudo Shop</v>
      </c>
    </row>
    <row r="645" spans="1:15">
      <c r="A645" s="52" t="str">
        <f>_xlfn.XLOOKUP(Follow[[#This Row],[CODRASTREIO]],Controle_Pedidos[Cód Rastreamento],Controle_Pedidos[Número Pedido Cliente])</f>
        <v>Pedido 650</v>
      </c>
      <c r="B645" s="2" t="s">
        <v>18073</v>
      </c>
      <c r="C645" s="2" t="str">
        <f>Follow[[#This Row],[CODRASTREIO]]&amp;" B"</f>
        <v>CódRastreio631 B</v>
      </c>
      <c r="D645" s="52" t="str">
        <f>_xlfn.XLOOKUP(Follow[[#This Row],[Id Pedido]],Controle_Pedidos[Número Pedido Cliente],Controle_Pedidos[Loja])</f>
        <v>BV</v>
      </c>
      <c r="E645" s="9">
        <f>_xlfn.XLOOKUP(Follow[[#This Row],[Id Pedido]],Controle_Pedidos[Número Pedido Cliente],Controle_Pedidos[Prazo Entrega])</f>
        <v>45678</v>
      </c>
      <c r="F645" s="9" t="s">
        <v>19433</v>
      </c>
      <c r="G645" s="9" t="s">
        <v>37</v>
      </c>
      <c r="H645" s="52" t="s">
        <v>179</v>
      </c>
      <c r="I645" s="52" t="s">
        <v>178</v>
      </c>
      <c r="J645" s="55">
        <v>45665</v>
      </c>
      <c r="K645" s="52" t="s">
        <v>198</v>
      </c>
      <c r="L645" s="8" t="s">
        <v>124</v>
      </c>
      <c r="M645" s="8" t="s">
        <v>37</v>
      </c>
      <c r="N645" s="52" t="str">
        <f>IF(Follow[[#This Row],[DATAATUALIZAÇÃO]]&lt;=Follow[[#This Row],[Prev Entrega]],"Dentro do Prazo","Fora do Prazo")</f>
        <v>Dentro do Prazo</v>
      </c>
      <c r="O6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08/01/2025, referente ao pedido Nº Pedido 650 Rastreio Pedido 650, agradecemos a preferência e adoraríamos receber sua avaliação, tendo qualquer dúvida estamos à disposição.
Att
Tem tudo Shop</v>
      </c>
    </row>
    <row r="646" spans="1:15">
      <c r="A646" s="52" t="str">
        <f>_xlfn.XLOOKUP(Follow[[#This Row],[CODRASTREIO]],Controle_Pedidos[Cód Rastreamento],Controle_Pedidos[Número Pedido Cliente])</f>
        <v>Pedido 158</v>
      </c>
      <c r="B646" s="2" t="s">
        <v>17593</v>
      </c>
      <c r="C646" s="2" t="str">
        <f>Follow[[#This Row],[CODRASTREIO]]&amp;" B"</f>
        <v>CódRastreio151 B</v>
      </c>
      <c r="D646" s="52" t="str">
        <f>_xlfn.XLOOKUP(Follow[[#This Row],[Id Pedido]],Controle_Pedidos[Número Pedido Cliente],Controle_Pedidos[Loja])</f>
        <v>BV</v>
      </c>
      <c r="E646" s="9">
        <f>_xlfn.XLOOKUP(Follow[[#This Row],[Id Pedido]],Controle_Pedidos[Número Pedido Cliente],Controle_Pedidos[Prazo Entrega])</f>
        <v>45619</v>
      </c>
      <c r="F646" s="9" t="s">
        <v>19433</v>
      </c>
      <c r="G646" s="9" t="s">
        <v>37</v>
      </c>
      <c r="H646" s="52" t="s">
        <v>178</v>
      </c>
      <c r="I646" s="52" t="s">
        <v>178</v>
      </c>
      <c r="J646" s="55">
        <v>45604</v>
      </c>
      <c r="K646" s="54" t="s">
        <v>198</v>
      </c>
      <c r="L646" s="8" t="s">
        <v>124</v>
      </c>
      <c r="M646" s="8" t="s">
        <v>37</v>
      </c>
      <c r="N646" s="52" t="str">
        <f>IF(Follow[[#This Row],[DATAATUALIZAÇÃO]]&lt;=Follow[[#This Row],[Prev Entrega]],"Dentro do Prazo","Fora do Prazo")</f>
        <v>Dentro do Prazo</v>
      </c>
      <c r="O6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08/11/2024, referente ao pedido Nº Pedido 158 Rastreio Pedido 158, agradecemos a preferência e adoraríamos receber sua avaliação, tendo qualquer dúvida estamos à disposição.
Att
Tem tudo Shop</v>
      </c>
    </row>
    <row r="647" spans="1:15">
      <c r="A647" s="52" t="str">
        <f>_xlfn.XLOOKUP(Follow[[#This Row],[CODRASTREIO]],Controle_Pedidos[Cód Rastreamento],Controle_Pedidos[Número Pedido Cliente])</f>
        <v>Pedido 628</v>
      </c>
      <c r="B647" s="2" t="s">
        <v>18052</v>
      </c>
      <c r="C647" s="2" t="str">
        <f>Follow[[#This Row],[CODRASTREIO]]&amp;" B"</f>
        <v>CódRastreio610 B</v>
      </c>
      <c r="D647" s="52" t="str">
        <f>_xlfn.XLOOKUP(Follow[[#This Row],[Id Pedido]],Controle_Pedidos[Número Pedido Cliente],Controle_Pedidos[Loja])</f>
        <v>BV</v>
      </c>
      <c r="E647" s="9">
        <f>_xlfn.XLOOKUP(Follow[[#This Row],[Id Pedido]],Controle_Pedidos[Número Pedido Cliente],Controle_Pedidos[Prazo Entrega])</f>
        <v>45671</v>
      </c>
      <c r="F647" s="9" t="s">
        <v>19433</v>
      </c>
      <c r="G647" s="9" t="s">
        <v>37</v>
      </c>
      <c r="H647" s="52" t="s">
        <v>178</v>
      </c>
      <c r="I647" s="52" t="s">
        <v>178</v>
      </c>
      <c r="J647" s="55">
        <v>45660</v>
      </c>
      <c r="K647" s="52" t="s">
        <v>198</v>
      </c>
      <c r="L647" s="8" t="s">
        <v>124</v>
      </c>
      <c r="M647" s="8" t="s">
        <v>37</v>
      </c>
      <c r="N647" s="52" t="str">
        <f>IF(Follow[[#This Row],[DATAATUALIZAÇÃO]]&lt;=Follow[[#This Row],[Prev Entrega]],"Dentro do Prazo","Fora do Prazo")</f>
        <v>Dentro do Prazo</v>
      </c>
      <c r="O6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03/01/2025, referente ao pedido Nº Pedido 628 Rastreio Pedido 628, agradecemos a preferência e adoraríamos receber sua avaliação, tendo qualquer dúvida estamos à disposição.
Att
Tem tudo Shop</v>
      </c>
    </row>
    <row r="648" spans="1:15">
      <c r="A648" s="52" t="str">
        <f>_xlfn.XLOOKUP(Follow[[#This Row],[CODRASTREIO]],Controle_Pedidos[Cód Rastreamento],Controle_Pedidos[Número Pedido Cliente])</f>
        <v>Pedido 212</v>
      </c>
      <c r="B648" s="2" t="s">
        <v>17647</v>
      </c>
      <c r="C648" s="2" t="str">
        <f>Follow[[#This Row],[CODRASTREIO]]&amp;" B"</f>
        <v>CódRastreio205 B</v>
      </c>
      <c r="D648" s="52" t="str">
        <f>_xlfn.XLOOKUP(Follow[[#This Row],[Id Pedido]],Controle_Pedidos[Número Pedido Cliente],Controle_Pedidos[Loja])</f>
        <v>BV</v>
      </c>
      <c r="E648" s="9">
        <f>_xlfn.XLOOKUP(Follow[[#This Row],[Id Pedido]],Controle_Pedidos[Número Pedido Cliente],Controle_Pedidos[Prazo Entrega])</f>
        <v>45626</v>
      </c>
      <c r="F648" s="9" t="s">
        <v>19433</v>
      </c>
      <c r="G648" s="9" t="s">
        <v>37</v>
      </c>
      <c r="H648" s="52" t="s">
        <v>178</v>
      </c>
      <c r="I648" s="52" t="s">
        <v>178</v>
      </c>
      <c r="J648" s="55">
        <v>45609</v>
      </c>
      <c r="K648" s="54" t="s">
        <v>198</v>
      </c>
      <c r="L648" s="8" t="s">
        <v>124</v>
      </c>
      <c r="M648" s="8" t="s">
        <v>37</v>
      </c>
      <c r="N648" s="52" t="str">
        <f>IF(Follow[[#This Row],[DATAATUALIZAÇÃO]]&lt;=Follow[[#This Row],[Prev Entrega]],"Dentro do Prazo","Fora do Prazo")</f>
        <v>Dentro do Prazo</v>
      </c>
      <c r="O6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13/11/2024, referente ao pedido Nº Pedido 212 Rastreio Pedido 212, agradecemos a preferência e adoraríamos receber sua avaliação, tendo qualquer dúvida estamos à disposição.
Att
Tem tudo Shop</v>
      </c>
    </row>
    <row r="649" spans="1:15">
      <c r="A649" s="52" t="str">
        <f>_xlfn.XLOOKUP(Follow[[#This Row],[CODRASTREIO]],Controle_Pedidos[Cód Rastreamento],Controle_Pedidos[Número Pedido Cliente])</f>
        <v>Pedido 493</v>
      </c>
      <c r="B649" s="2" t="s">
        <v>17921</v>
      </c>
      <c r="C649" s="2" t="str">
        <f>Follow[[#This Row],[CODRASTREIO]]&amp;" B"</f>
        <v>CódRastreio479 B</v>
      </c>
      <c r="D649" s="52" t="str">
        <f>_xlfn.XLOOKUP(Follow[[#This Row],[Id Pedido]],Controle_Pedidos[Número Pedido Cliente],Controle_Pedidos[Loja])</f>
        <v>BV</v>
      </c>
      <c r="E649" s="9">
        <f>_xlfn.XLOOKUP(Follow[[#This Row],[Id Pedido]],Controle_Pedidos[Número Pedido Cliente],Controle_Pedidos[Prazo Entrega])</f>
        <v>45660</v>
      </c>
      <c r="F649" s="9" t="s">
        <v>19433</v>
      </c>
      <c r="G649" s="9" t="s">
        <v>37</v>
      </c>
      <c r="H649" s="52" t="s">
        <v>179</v>
      </c>
      <c r="I649" s="52" t="s">
        <v>178</v>
      </c>
      <c r="J649" s="55">
        <v>45644</v>
      </c>
      <c r="K649" s="52" t="s">
        <v>198</v>
      </c>
      <c r="L649" s="8" t="s">
        <v>124</v>
      </c>
      <c r="M649" s="8" t="s">
        <v>37</v>
      </c>
      <c r="N649" s="52" t="str">
        <f>IF(Follow[[#This Row],[DATAATUALIZAÇÃO]]&lt;=Follow[[#This Row],[Prev Entrega]],"Dentro do Prazo","Fora do Prazo")</f>
        <v>Dentro do Prazo</v>
      </c>
      <c r="O6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18/12/2024, referente ao pedido Nº Pedido 493 Rastreio Pedido 493, agradecemos a preferência e adoraríamos receber sua avaliação, tendo qualquer dúvida estamos à disposição.
Att
Tem tudo Shop</v>
      </c>
    </row>
    <row r="650" spans="1:15">
      <c r="A650" s="52" t="str">
        <f>_xlfn.XLOOKUP(Follow[[#This Row],[CODRASTREIO]],Controle_Pedidos[Cód Rastreamento],Controle_Pedidos[Número Pedido Cliente])</f>
        <v>Pedido 79</v>
      </c>
      <c r="B650" s="2" t="s">
        <v>17512</v>
      </c>
      <c r="C650" s="2" t="str">
        <f>Follow[[#This Row],[CODRASTREIO]]&amp;" B"</f>
        <v>CódRastreio70 B</v>
      </c>
      <c r="D650" s="52" t="str">
        <f>_xlfn.XLOOKUP(Follow[[#This Row],[Id Pedido]],Controle_Pedidos[Número Pedido Cliente],Controle_Pedidos[Loja])</f>
        <v>BV</v>
      </c>
      <c r="E650" s="9">
        <f>_xlfn.XLOOKUP(Follow[[#This Row],[Id Pedido]],Controle_Pedidos[Número Pedido Cliente],Controle_Pedidos[Prazo Entrega])</f>
        <v>45610</v>
      </c>
      <c r="F650" s="9" t="s">
        <v>19433</v>
      </c>
      <c r="G650" s="9" t="s">
        <v>37</v>
      </c>
      <c r="H650" s="52" t="s">
        <v>178</v>
      </c>
      <c r="I650" s="52" t="s">
        <v>178</v>
      </c>
      <c r="J650" s="55">
        <v>45624</v>
      </c>
      <c r="K650" s="54" t="s">
        <v>198</v>
      </c>
      <c r="L650" s="8" t="s">
        <v>124</v>
      </c>
      <c r="M650" s="8" t="s">
        <v>37</v>
      </c>
      <c r="N650" s="52" t="str">
        <f>IF(Follow[[#This Row],[DATAATUALIZAÇÃO]]&lt;=Follow[[#This Row],[Prev Entrega]],"Dentro do Prazo","Fora do Prazo")</f>
        <v>Fora do Prazo</v>
      </c>
      <c r="O6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28/11/2024, referente ao pedido Nº Pedido 79 Rastreio Pedido 79, agradecemos a preferência e adoraríamos receber sua avaliação, tendo qualquer dúvida estamos à disposição.
Att
Tem tudo Shop</v>
      </c>
    </row>
    <row r="651" spans="1:15">
      <c r="A651" s="52" t="str">
        <f>_xlfn.XLOOKUP(Follow[[#This Row],[CODRASTREIO]],Controle_Pedidos[Cód Rastreamento],Controle_Pedidos[Número Pedido Cliente])</f>
        <v>Pedido 160</v>
      </c>
      <c r="B651" s="2" t="s">
        <v>17595</v>
      </c>
      <c r="C651" s="2" t="str">
        <f>Follow[[#This Row],[CODRASTREIO]]&amp;" B"</f>
        <v>CódRastreio153 B</v>
      </c>
      <c r="D651" s="52" t="str">
        <f>_xlfn.XLOOKUP(Follow[[#This Row],[Id Pedido]],Controle_Pedidos[Número Pedido Cliente],Controle_Pedidos[Loja])</f>
        <v>BV</v>
      </c>
      <c r="E651" s="9">
        <f>_xlfn.XLOOKUP(Follow[[#This Row],[Id Pedido]],Controle_Pedidos[Número Pedido Cliente],Controle_Pedidos[Prazo Entrega])</f>
        <v>45610</v>
      </c>
      <c r="F651" s="9" t="s">
        <v>19433</v>
      </c>
      <c r="G651" s="9" t="s">
        <v>37</v>
      </c>
      <c r="H651" s="52" t="s">
        <v>178</v>
      </c>
      <c r="I651" s="52" t="s">
        <v>178</v>
      </c>
      <c r="J651" s="55">
        <v>45597</v>
      </c>
      <c r="K651" s="54" t="s">
        <v>198</v>
      </c>
      <c r="L651" s="8" t="s">
        <v>124</v>
      </c>
      <c r="M651" s="8" t="s">
        <v>37</v>
      </c>
      <c r="N651" s="52" t="str">
        <f>IF(Follow[[#This Row],[DATAATUALIZAÇÃO]]&lt;=Follow[[#This Row],[Prev Entrega]],"Dentro do Prazo","Fora do Prazo")</f>
        <v>Dentro do Prazo</v>
      </c>
      <c r="O65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01/11/2024, referente ao pedido Nº Pedido 160 Rastreio Pedido 160, agradecemos a preferência e adoraríamos receber sua avaliação, tendo qualquer dúvida estamos à disposição.
Att
Tem tudo Shop</v>
      </c>
    </row>
    <row r="652" spans="1:15">
      <c r="A652" s="52" t="str">
        <f>_xlfn.XLOOKUP(Follow[[#This Row],[CODRASTREIO]],Controle_Pedidos[Cód Rastreamento],Controle_Pedidos[Número Pedido Cliente])</f>
        <v>Pedido 207</v>
      </c>
      <c r="B652" s="2" t="s">
        <v>17642</v>
      </c>
      <c r="C652" s="2" t="str">
        <f>Follow[[#This Row],[CODRASTREIO]]&amp;" B"</f>
        <v>CódRastreio200 B</v>
      </c>
      <c r="D652" s="52" t="str">
        <f>_xlfn.XLOOKUP(Follow[[#This Row],[Id Pedido]],Controle_Pedidos[Número Pedido Cliente],Controle_Pedidos[Loja])</f>
        <v>BV</v>
      </c>
      <c r="E652" s="9">
        <f>_xlfn.XLOOKUP(Follow[[#This Row],[Id Pedido]],Controle_Pedidos[Número Pedido Cliente],Controle_Pedidos[Prazo Entrega])</f>
        <v>45622</v>
      </c>
      <c r="F652" s="9" t="s">
        <v>19433</v>
      </c>
      <c r="G652" s="9" t="s">
        <v>37</v>
      </c>
      <c r="H652" s="52" t="s">
        <v>179</v>
      </c>
      <c r="I652" s="52" t="s">
        <v>178</v>
      </c>
      <c r="J652" s="55">
        <v>45607</v>
      </c>
      <c r="K652" s="54" t="s">
        <v>198</v>
      </c>
      <c r="L652" s="8" t="s">
        <v>124</v>
      </c>
      <c r="M652" s="8" t="s">
        <v>37</v>
      </c>
      <c r="N652" s="52" t="str">
        <f>IF(Follow[[#This Row],[DATAATUALIZAÇÃO]]&lt;=Follow[[#This Row],[Prev Entrega]],"Dentro do Prazo","Fora do Prazo")</f>
        <v>Dentro do Prazo</v>
      </c>
      <c r="O6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11/11/2024, referente ao pedido Nº Pedido 207 Rastreio Pedido 207, agradecemos a preferência e adoraríamos receber sua avaliação, tendo qualquer dúvida estamos à disposição.
Att
Tem tudo Shop</v>
      </c>
    </row>
    <row r="653" spans="1:15">
      <c r="A653" s="52" t="str">
        <f>_xlfn.XLOOKUP(Follow[[#This Row],[CODRASTREIO]],Controle_Pedidos[Cód Rastreamento],Controle_Pedidos[Número Pedido Cliente])</f>
        <v>Pedido 141</v>
      </c>
      <c r="B653" s="2" t="s">
        <v>17576</v>
      </c>
      <c r="C653" s="2" t="str">
        <f>Follow[[#This Row],[CODRASTREIO]]&amp;" B"</f>
        <v>CódRastreio134 B</v>
      </c>
      <c r="D653" s="52" t="str">
        <f>_xlfn.XLOOKUP(Follow[[#This Row],[Id Pedido]],Controle_Pedidos[Número Pedido Cliente],Controle_Pedidos[Loja])</f>
        <v>BV</v>
      </c>
      <c r="E653" s="9">
        <f>_xlfn.XLOOKUP(Follow[[#This Row],[Id Pedido]],Controle_Pedidos[Número Pedido Cliente],Controle_Pedidos[Prazo Entrega])</f>
        <v>45605</v>
      </c>
      <c r="F653" s="9" t="s">
        <v>19433</v>
      </c>
      <c r="G653" s="9" t="s">
        <v>37</v>
      </c>
      <c r="H653" s="52" t="s">
        <v>178</v>
      </c>
      <c r="I653" s="52" t="s">
        <v>178</v>
      </c>
      <c r="J653" s="55">
        <v>45605</v>
      </c>
      <c r="K653" s="54" t="s">
        <v>198</v>
      </c>
      <c r="L653" s="8" t="s">
        <v>124</v>
      </c>
      <c r="M653" s="52" t="s">
        <v>202</v>
      </c>
      <c r="N653" s="52" t="str">
        <f>IF(Follow[[#This Row],[DATAATUALIZAÇÃO]]&lt;=Follow[[#This Row],[Prev Entrega]],"Dentro do Prazo","Fora do Prazo")</f>
        <v>Dentro do Prazo</v>
      </c>
      <c r="O65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09/11/2024, referente ao pedido Nº Pedido 141 Rastreio Pedido 141, agradecemos a preferência e adoraríamos receber sua avaliação, tendo qualquer dúvida estamos à disposição.
Att
Tem tudo Shop</v>
      </c>
    </row>
    <row r="654" spans="1:15">
      <c r="A654" s="52" t="str">
        <f>_xlfn.XLOOKUP(Follow[[#This Row],[CODRASTREIO]],Controle_Pedidos[Cód Rastreamento],Controle_Pedidos[Número Pedido Cliente])</f>
        <v>Pedido 125</v>
      </c>
      <c r="B654" s="2" t="s">
        <v>17560</v>
      </c>
      <c r="C654" s="2" t="str">
        <f>Follow[[#This Row],[CODRASTREIO]]&amp;" B"</f>
        <v>CódRastreio118 B</v>
      </c>
      <c r="D654" s="52" t="str">
        <f>_xlfn.XLOOKUP(Follow[[#This Row],[Id Pedido]],Controle_Pedidos[Número Pedido Cliente],Controle_Pedidos[Loja])</f>
        <v>BV</v>
      </c>
      <c r="E654" s="9">
        <f>_xlfn.XLOOKUP(Follow[[#This Row],[Id Pedido]],Controle_Pedidos[Número Pedido Cliente],Controle_Pedidos[Prazo Entrega])</f>
        <v>45611</v>
      </c>
      <c r="F654" s="9" t="s">
        <v>19433</v>
      </c>
      <c r="G654" s="9" t="s">
        <v>37</v>
      </c>
      <c r="H654" s="52" t="s">
        <v>178</v>
      </c>
      <c r="I654" s="52" t="s">
        <v>178</v>
      </c>
      <c r="J654" s="55">
        <v>45595</v>
      </c>
      <c r="K654" s="54" t="s">
        <v>198</v>
      </c>
      <c r="L654" s="8" t="s">
        <v>124</v>
      </c>
      <c r="M654" s="8" t="s">
        <v>37</v>
      </c>
      <c r="N654" s="52" t="str">
        <f>IF(Follow[[#This Row],[DATAATUALIZAÇÃO]]&lt;=Follow[[#This Row],[Prev Entrega]],"Dentro do Prazo","Fora do Prazo")</f>
        <v>Dentro do Prazo</v>
      </c>
      <c r="O6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30/10/2024, referente ao pedido Nº Pedido 125 Rastreio Pedido 125, agradecemos a preferência e adoraríamos receber sua avaliação, tendo qualquer dúvida estamos à disposição.
Att
Tem tudo Shop</v>
      </c>
    </row>
    <row r="655" spans="1:15">
      <c r="A655" s="52" t="str">
        <f>_xlfn.XLOOKUP(Follow[[#This Row],[CODRASTREIO]],Controle_Pedidos[Cód Rastreamento],Controle_Pedidos[Número Pedido Cliente])</f>
        <v>Pedido 515</v>
      </c>
      <c r="B655" s="2" t="s">
        <v>17942</v>
      </c>
      <c r="C655" s="2" t="str">
        <f>Follow[[#This Row],[CODRASTREIO]]&amp;" B"</f>
        <v>CódRastreio500 B</v>
      </c>
      <c r="D655" s="52" t="str">
        <f>_xlfn.XLOOKUP(Follow[[#This Row],[Id Pedido]],Controle_Pedidos[Número Pedido Cliente],Controle_Pedidos[Loja])</f>
        <v>BV</v>
      </c>
      <c r="E655" s="9">
        <f>_xlfn.XLOOKUP(Follow[[#This Row],[Id Pedido]],Controle_Pedidos[Número Pedido Cliente],Controle_Pedidos[Prazo Entrega])</f>
        <v>45657</v>
      </c>
      <c r="F655" s="9" t="s">
        <v>19433</v>
      </c>
      <c r="G655" s="9" t="s">
        <v>37</v>
      </c>
      <c r="H655" s="52" t="s">
        <v>179</v>
      </c>
      <c r="I655" s="52" t="s">
        <v>178</v>
      </c>
      <c r="J655" s="55">
        <v>45644</v>
      </c>
      <c r="K655" s="52" t="s">
        <v>198</v>
      </c>
      <c r="L655" s="8" t="s">
        <v>124</v>
      </c>
      <c r="M655" s="8" t="s">
        <v>37</v>
      </c>
      <c r="N655" s="52" t="str">
        <f>IF(Follow[[#This Row],[DATAATUALIZAÇÃO]]&lt;=Follow[[#This Row],[Prev Entrega]],"Dentro do Prazo","Fora do Prazo")</f>
        <v>Dentro do Prazo</v>
      </c>
      <c r="O6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18/12/2024, referente ao pedido Nº Pedido 515 Rastreio Pedido 515, agradecemos a preferência e adoraríamos receber sua avaliação, tendo qualquer dúvida estamos à disposição.
Att
Tem tudo Shop</v>
      </c>
    </row>
    <row r="656" spans="1:15">
      <c r="A656" s="52" t="str">
        <f>_xlfn.XLOOKUP(Follow[[#This Row],[CODRASTREIO]],Controle_Pedidos[Cód Rastreamento],Controle_Pedidos[Número Pedido Cliente])</f>
        <v>Pedido 519</v>
      </c>
      <c r="B656" s="2" t="s">
        <v>17946</v>
      </c>
      <c r="C656" s="2" t="str">
        <f>Follow[[#This Row],[CODRASTREIO]]&amp;" B"</f>
        <v>CódRastreio504 B</v>
      </c>
      <c r="D656" s="52" t="str">
        <f>_xlfn.XLOOKUP(Follow[[#This Row],[Id Pedido]],Controle_Pedidos[Número Pedido Cliente],Controle_Pedidos[Loja])</f>
        <v>BV</v>
      </c>
      <c r="E656" s="9">
        <f>_xlfn.XLOOKUP(Follow[[#This Row],[Id Pedido]],Controle_Pedidos[Número Pedido Cliente],Controle_Pedidos[Prazo Entrega])</f>
        <v>45672</v>
      </c>
      <c r="F656" s="9" t="s">
        <v>19433</v>
      </c>
      <c r="G656" s="9" t="s">
        <v>37</v>
      </c>
      <c r="H656" s="52" t="s">
        <v>179</v>
      </c>
      <c r="I656" s="52" t="s">
        <v>178</v>
      </c>
      <c r="J656" s="55">
        <v>45665</v>
      </c>
      <c r="K656" s="52" t="s">
        <v>198</v>
      </c>
      <c r="L656" s="8" t="s">
        <v>124</v>
      </c>
      <c r="M656" s="8" t="s">
        <v>37</v>
      </c>
      <c r="N656" s="52" t="str">
        <f>IF(Follow[[#This Row],[DATAATUALIZAÇÃO]]&lt;=Follow[[#This Row],[Prev Entrega]],"Dentro do Prazo","Fora do Prazo")</f>
        <v>Dentro do Prazo</v>
      </c>
      <c r="O6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519 Rastreio Pedido 519, agradecemos a preferência e adoraríamos receber sua avaliação, tendo qualquer dúvida estamos à disposição.
Att
Tem tudo Shop</v>
      </c>
    </row>
    <row r="657" spans="1:15">
      <c r="A657" s="52" t="str">
        <f>_xlfn.XLOOKUP(Follow[[#This Row],[CODRASTREIO]],Controle_Pedidos[Cód Rastreamento],Controle_Pedidos[Número Pedido Cliente])</f>
        <v>Pedido 577</v>
      </c>
      <c r="B657" s="2" t="s">
        <v>18004</v>
      </c>
      <c r="C657" s="2" t="str">
        <f>Follow[[#This Row],[CODRASTREIO]]&amp;" B"</f>
        <v>CódRastreio562 B</v>
      </c>
      <c r="D657" s="52" t="str">
        <f>_xlfn.XLOOKUP(Follow[[#This Row],[Id Pedido]],Controle_Pedidos[Número Pedido Cliente],Controle_Pedidos[Loja])</f>
        <v>BV</v>
      </c>
      <c r="E657" s="9">
        <f>_xlfn.XLOOKUP(Follow[[#This Row],[Id Pedido]],Controle_Pedidos[Número Pedido Cliente],Controle_Pedidos[Prazo Entrega])</f>
        <v>45673</v>
      </c>
      <c r="F657" s="9" t="s">
        <v>19433</v>
      </c>
      <c r="G657" s="9" t="s">
        <v>37</v>
      </c>
      <c r="H657" s="52" t="s">
        <v>179</v>
      </c>
      <c r="I657" s="52" t="s">
        <v>178</v>
      </c>
      <c r="J657" s="55">
        <v>45665</v>
      </c>
      <c r="K657" s="52" t="s">
        <v>198</v>
      </c>
      <c r="L657" s="8" t="s">
        <v>124</v>
      </c>
      <c r="M657" s="8" t="s">
        <v>37</v>
      </c>
      <c r="N657" s="52" t="str">
        <f>IF(Follow[[#This Row],[DATAATUALIZAÇÃO]]&lt;=Follow[[#This Row],[Prev Entrega]],"Dentro do Prazo","Fora do Prazo")</f>
        <v>Dentro do Prazo</v>
      </c>
      <c r="O6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577 Rastreio Pedido 577, agradecemos a preferência e adoraríamos receber sua avaliação, tendo qualquer dúvida estamos à disposição.
Att
Tem tudo Shop</v>
      </c>
    </row>
    <row r="658" spans="1:15">
      <c r="A658" s="52" t="str">
        <f>_xlfn.XLOOKUP(Follow[[#This Row],[CODRASTREIO]],Controle_Pedidos[Cód Rastreamento],Controle_Pedidos[Número Pedido Cliente])</f>
        <v>Pedido 494</v>
      </c>
      <c r="B658" s="2" t="s">
        <v>17922</v>
      </c>
      <c r="C658" s="2" t="str">
        <f>Follow[[#This Row],[CODRASTREIO]]&amp;" B"</f>
        <v>CódRastreio480 B</v>
      </c>
      <c r="D658" s="52" t="str">
        <f>_xlfn.XLOOKUP(Follow[[#This Row],[Id Pedido]],Controle_Pedidos[Número Pedido Cliente],Controle_Pedidos[Loja])</f>
        <v>BV</v>
      </c>
      <c r="E658" s="9">
        <f>_xlfn.XLOOKUP(Follow[[#This Row],[Id Pedido]],Controle_Pedidos[Número Pedido Cliente],Controle_Pedidos[Prazo Entrega])</f>
        <v>45650</v>
      </c>
      <c r="F658" s="9" t="s">
        <v>19433</v>
      </c>
      <c r="G658" s="9" t="s">
        <v>37</v>
      </c>
      <c r="H658" s="52" t="s">
        <v>179</v>
      </c>
      <c r="I658" s="52" t="s">
        <v>178</v>
      </c>
      <c r="J658" s="55">
        <v>45644</v>
      </c>
      <c r="K658" s="52" t="s">
        <v>198</v>
      </c>
      <c r="L658" s="8" t="s">
        <v>124</v>
      </c>
      <c r="M658" s="8" t="s">
        <v>37</v>
      </c>
      <c r="N658" s="52" t="str">
        <f>IF(Follow[[#This Row],[DATAATUALIZAÇÃO]]&lt;=Follow[[#This Row],[Prev Entrega]],"Dentro do Prazo","Fora do Prazo")</f>
        <v>Dentro do Prazo</v>
      </c>
      <c r="O6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18/12/2024, referente ao pedido Nº Pedido 494 Rastreio Pedido 494, agradecemos a preferência e adoraríamos receber sua avaliação, tendo qualquer dúvida estamos à disposição.
Att
Tem tudo Shop</v>
      </c>
    </row>
    <row r="659" spans="1:15">
      <c r="A659" s="52" t="str">
        <f>_xlfn.XLOOKUP(Follow[[#This Row],[CODRASTREIO]],Controle_Pedidos[Cód Rastreamento],Controle_Pedidos[Número Pedido Cliente])</f>
        <v>Pedido 26</v>
      </c>
      <c r="B659" s="2" t="s">
        <v>17459</v>
      </c>
      <c r="C659" s="2" t="str">
        <f>Follow[[#This Row],[CODRASTREIO]]&amp;" B"</f>
        <v>CódRastreio17 B</v>
      </c>
      <c r="D659" s="52" t="str">
        <f>_xlfn.XLOOKUP(Follow[[#This Row],[Id Pedido]],Controle_Pedidos[Número Pedido Cliente],Controle_Pedidos[Loja])</f>
        <v>BV</v>
      </c>
      <c r="E659" s="9">
        <f>_xlfn.XLOOKUP(Follow[[#This Row],[Id Pedido]],Controle_Pedidos[Número Pedido Cliente],Controle_Pedidos[Prazo Entrega])</f>
        <v>45605</v>
      </c>
      <c r="F659" s="9" t="s">
        <v>19433</v>
      </c>
      <c r="G659" s="9" t="s">
        <v>37</v>
      </c>
      <c r="H659" s="52" t="s">
        <v>178</v>
      </c>
      <c r="I659" s="52" t="s">
        <v>178</v>
      </c>
      <c r="J659" s="55">
        <v>45593</v>
      </c>
      <c r="K659" s="54" t="s">
        <v>198</v>
      </c>
      <c r="L659" s="8" t="s">
        <v>124</v>
      </c>
      <c r="M659" s="8" t="s">
        <v>37</v>
      </c>
      <c r="N659" s="52" t="str">
        <f>IF(Follow[[#This Row],[DATAATUALIZAÇÃO]]&lt;=Follow[[#This Row],[Prev Entrega]],"Dentro do Prazo","Fora do Prazo")</f>
        <v>Dentro do Prazo</v>
      </c>
      <c r="O6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28/10/2024, referente ao pedido Nº Pedido 26 Rastreio Pedido 26, agradecemos a preferência e adoraríamos receber sua avaliação, tendo qualquer dúvida estamos à disposição.
Att
Tem tudo Shop</v>
      </c>
    </row>
    <row r="660" spans="1:15">
      <c r="A660" s="52" t="str">
        <f>_xlfn.XLOOKUP(Follow[[#This Row],[CODRASTREIO]],Controle_Pedidos[Cód Rastreamento],Controle_Pedidos[Número Pedido Cliente])</f>
        <v>Pedido 507</v>
      </c>
      <c r="B660" s="2" t="s">
        <v>17935</v>
      </c>
      <c r="C660" s="2" t="str">
        <f>Follow[[#This Row],[CODRASTREIO]]&amp;" B"</f>
        <v>CódRastreio493 B</v>
      </c>
      <c r="D660" s="52" t="str">
        <f>_xlfn.XLOOKUP(Follow[[#This Row],[Id Pedido]],Controle_Pedidos[Número Pedido Cliente],Controle_Pedidos[Loja])</f>
        <v>BV</v>
      </c>
      <c r="E660" s="9">
        <f>_xlfn.XLOOKUP(Follow[[#This Row],[Id Pedido]],Controle_Pedidos[Número Pedido Cliente],Controle_Pedidos[Prazo Entrega])</f>
        <v>45661</v>
      </c>
      <c r="F660" s="9" t="s">
        <v>19433</v>
      </c>
      <c r="G660" s="9" t="s">
        <v>37</v>
      </c>
      <c r="H660" s="55" t="s">
        <v>179</v>
      </c>
      <c r="I660" s="55" t="s">
        <v>178</v>
      </c>
      <c r="J660" s="55">
        <v>45642</v>
      </c>
      <c r="K660" s="52" t="s">
        <v>198</v>
      </c>
      <c r="L660" s="8" t="s">
        <v>124</v>
      </c>
      <c r="M660" s="8" t="s">
        <v>37</v>
      </c>
      <c r="N660" s="52" t="str">
        <f>IF(Follow[[#This Row],[DATAATUALIZAÇÃO]]&lt;=Follow[[#This Row],[Prev Entrega]],"Dentro do Prazo","Fora do Prazo")</f>
        <v>Dentro do Prazo</v>
      </c>
      <c r="O6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16/12/2024, referente ao pedido Nº Pedido 507 Rastreio Pedido 507, agradecemos a preferência e adoraríamos receber sua avaliação, tendo qualquer dúvida estamos à disposição.
Att
Tem tudo Shop</v>
      </c>
    </row>
    <row r="661" spans="1:15">
      <c r="A661" s="52" t="str">
        <f>_xlfn.XLOOKUP(Follow[[#This Row],[CODRASTREIO]],Controle_Pedidos[Cód Rastreamento],Controle_Pedidos[Número Pedido Cliente])</f>
        <v>Pedido 341</v>
      </c>
      <c r="B661" s="2" t="s">
        <v>17776</v>
      </c>
      <c r="C661" s="2" t="str">
        <f>Follow[[#This Row],[CODRASTREIO]]&amp;" B"</f>
        <v>CódRastreio334 B</v>
      </c>
      <c r="D661" s="52" t="str">
        <f>_xlfn.XLOOKUP(Follow[[#This Row],[Id Pedido]],Controle_Pedidos[Número Pedido Cliente],Controle_Pedidos[Loja])</f>
        <v>BV</v>
      </c>
      <c r="E661" s="9">
        <f>_xlfn.XLOOKUP(Follow[[#This Row],[Id Pedido]],Controle_Pedidos[Número Pedido Cliente],Controle_Pedidos[Prazo Entrega])</f>
        <v>45624</v>
      </c>
      <c r="F661" s="9" t="s">
        <v>19433</v>
      </c>
      <c r="G661" s="9" t="s">
        <v>37</v>
      </c>
      <c r="H661" s="52" t="s">
        <v>178</v>
      </c>
      <c r="I661" s="52" t="s">
        <v>178</v>
      </c>
      <c r="J661" s="55">
        <v>45616</v>
      </c>
      <c r="K661" s="54" t="s">
        <v>198</v>
      </c>
      <c r="L661" s="8" t="s">
        <v>124</v>
      </c>
      <c r="M661" s="8" t="s">
        <v>37</v>
      </c>
      <c r="N661" s="52" t="str">
        <f>IF(Follow[[#This Row],[DATAATUALIZAÇÃO]]&lt;=Follow[[#This Row],[Prev Entrega]],"Dentro do Prazo","Fora do Prazo")</f>
        <v>Dentro do Prazo</v>
      </c>
      <c r="O6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20/11/2024, referente ao pedido Nº Pedido 341 Rastreio Pedido 341, agradecemos a preferência e adoraríamos receber sua avaliação, tendo qualquer dúvida estamos à disposição.
Att
Tem tudo Shop</v>
      </c>
    </row>
    <row r="662" spans="1:15">
      <c r="A662" s="52" t="str">
        <f>_xlfn.XLOOKUP(Follow[[#This Row],[CODRASTREIO]],Controle_Pedidos[Cód Rastreamento],Controle_Pedidos[Número Pedido Cliente])</f>
        <v>Pedido 585</v>
      </c>
      <c r="B662" s="2" t="s">
        <v>18012</v>
      </c>
      <c r="C662" s="2" t="str">
        <f>Follow[[#This Row],[CODRASTREIO]]&amp;" B"</f>
        <v>CódRastreio570 B</v>
      </c>
      <c r="D662" s="52" t="str">
        <f>_xlfn.XLOOKUP(Follow[[#This Row],[Id Pedido]],Controle_Pedidos[Número Pedido Cliente],Controle_Pedidos[Loja])</f>
        <v>BV</v>
      </c>
      <c r="E662" s="9">
        <f>_xlfn.XLOOKUP(Follow[[#This Row],[Id Pedido]],Controle_Pedidos[Número Pedido Cliente],Controle_Pedidos[Prazo Entrega])</f>
        <v>45668</v>
      </c>
      <c r="F662" s="9" t="s">
        <v>19433</v>
      </c>
      <c r="G662" s="9" t="s">
        <v>37</v>
      </c>
      <c r="H662" s="52" t="s">
        <v>179</v>
      </c>
      <c r="I662" s="52" t="s">
        <v>178</v>
      </c>
      <c r="J662" s="55">
        <v>45656</v>
      </c>
      <c r="K662" s="52" t="s">
        <v>198</v>
      </c>
      <c r="L662" s="8" t="s">
        <v>124</v>
      </c>
      <c r="M662" s="8" t="s">
        <v>37</v>
      </c>
      <c r="N662" s="52" t="str">
        <f>IF(Follow[[#This Row],[DATAATUALIZAÇÃO]]&lt;=Follow[[#This Row],[Prev Entrega]],"Dentro do Prazo","Fora do Prazo")</f>
        <v>Dentro do Prazo</v>
      </c>
      <c r="O6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30/12/2024, referente ao pedido Nº Pedido 585 Rastreio Pedido 585, agradecemos a preferência e adoraríamos receber sua avaliação, tendo qualquer dúvida estamos à disposição.
Att
Tem tudo Shop</v>
      </c>
    </row>
    <row r="663" spans="1:15">
      <c r="A663" s="52" t="str">
        <f>_xlfn.XLOOKUP(Follow[[#This Row],[CODRASTREIO]],Controle_Pedidos[Cód Rastreamento],Controle_Pedidos[Número Pedido Cliente])</f>
        <v>Pedido 51</v>
      </c>
      <c r="B663" s="2" t="s">
        <v>17484</v>
      </c>
      <c r="C663" s="2" t="str">
        <f>Follow[[#This Row],[CODRASTREIO]]&amp;" B"</f>
        <v>CódRastreio42 B</v>
      </c>
      <c r="D663" s="52" t="str">
        <f>_xlfn.XLOOKUP(Follow[[#This Row],[Id Pedido]],Controle_Pedidos[Número Pedido Cliente],Controle_Pedidos[Loja])</f>
        <v>BV</v>
      </c>
      <c r="E663" s="9">
        <f>_xlfn.XLOOKUP(Follow[[#This Row],[Id Pedido]],Controle_Pedidos[Número Pedido Cliente],Controle_Pedidos[Prazo Entrega])</f>
        <v>45615</v>
      </c>
      <c r="F663" s="9" t="s">
        <v>19433</v>
      </c>
      <c r="G663" s="9" t="s">
        <v>37</v>
      </c>
      <c r="H663" s="52" t="s">
        <v>178</v>
      </c>
      <c r="I663" s="52" t="s">
        <v>178</v>
      </c>
      <c r="J663" s="55">
        <v>45599</v>
      </c>
      <c r="K663" s="54" t="s">
        <v>198</v>
      </c>
      <c r="L663" s="8" t="s">
        <v>124</v>
      </c>
      <c r="M663" s="8" t="s">
        <v>37</v>
      </c>
      <c r="N663" s="52" t="str">
        <f>IF(Follow[[#This Row],[DATAATUALIZAÇÃO]]&lt;=Follow[[#This Row],[Prev Entrega]],"Dentro do Prazo","Fora do Prazo")</f>
        <v>Dentro do Prazo</v>
      </c>
      <c r="O6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03/11/2024, referente ao pedido Nº Pedido 51 Rastreio Pedido 51, agradecemos a preferência e adoraríamos receber sua avaliação, tendo qualquer dúvida estamos à disposição.
Att
Tem tudo Shop</v>
      </c>
    </row>
    <row r="664" spans="1:15">
      <c r="A664" s="52" t="str">
        <f>_xlfn.XLOOKUP(Follow[[#This Row],[CODRASTREIO]],Controle_Pedidos[Cód Rastreamento],Controle_Pedidos[Número Pedido Cliente])</f>
        <v>Pedido 441</v>
      </c>
      <c r="B664" s="2" t="s">
        <v>17868</v>
      </c>
      <c r="C664" s="2" t="str">
        <f>Follow[[#This Row],[CODRASTREIO]]&amp;" B"</f>
        <v>CódRastreio426 B</v>
      </c>
      <c r="D664" s="52" t="str">
        <f>_xlfn.XLOOKUP(Follow[[#This Row],[Id Pedido]],Controle_Pedidos[Número Pedido Cliente],Controle_Pedidos[Loja])</f>
        <v>BV</v>
      </c>
      <c r="E664" s="9">
        <f>_xlfn.XLOOKUP(Follow[[#This Row],[Id Pedido]],Controle_Pedidos[Número Pedido Cliente],Controle_Pedidos[Prazo Entrega])</f>
        <v>45647</v>
      </c>
      <c r="F664" s="9" t="s">
        <v>19433</v>
      </c>
      <c r="G664" s="9" t="s">
        <v>37</v>
      </c>
      <c r="H664" s="55" t="s">
        <v>178</v>
      </c>
      <c r="I664" s="55" t="s">
        <v>178</v>
      </c>
      <c r="J664" s="55">
        <v>45633.646111111113</v>
      </c>
      <c r="K664" s="52" t="s">
        <v>198</v>
      </c>
      <c r="L664" s="8" t="s">
        <v>124</v>
      </c>
      <c r="M664" s="8" t="s">
        <v>37</v>
      </c>
      <c r="N664" s="52" t="str">
        <f>IF(Follow[[#This Row],[DATAATUALIZAÇÃO]]&lt;=Follow[[#This Row],[Prev Entrega]],"Dentro do Prazo","Fora do Prazo")</f>
        <v>Dentro do Prazo</v>
      </c>
      <c r="O6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07/12/2024, referente ao pedido Nº Pedido 441 Rastreio Pedido 441, agradecemos a preferência e adoraríamos receber sua avaliação, tendo qualquer dúvida estamos à disposição.
Att
Tem tudo Shop</v>
      </c>
    </row>
    <row r="665" spans="1:15">
      <c r="A665" s="52" t="str">
        <f>_xlfn.XLOOKUP(Follow[[#This Row],[CODRASTREIO]],Controle_Pedidos[Cód Rastreamento],Controle_Pedidos[Número Pedido Cliente])</f>
        <v>Pedido 645</v>
      </c>
      <c r="B665" s="2" t="s">
        <v>18068</v>
      </c>
      <c r="C665" s="2" t="str">
        <f>Follow[[#This Row],[CODRASTREIO]]&amp;" B"</f>
        <v>CódRastreio626 B</v>
      </c>
      <c r="D665" s="52" t="str">
        <f>_xlfn.XLOOKUP(Follow[[#This Row],[Id Pedido]],Controle_Pedidos[Número Pedido Cliente],Controle_Pedidos[Loja])</f>
        <v>BV</v>
      </c>
      <c r="E665" s="9">
        <f>_xlfn.XLOOKUP(Follow[[#This Row],[Id Pedido]],Controle_Pedidos[Número Pedido Cliente],Controle_Pedidos[Prazo Entrega])</f>
        <v>45674</v>
      </c>
      <c r="F665" s="9" t="s">
        <v>19433</v>
      </c>
      <c r="G665" s="9" t="s">
        <v>37</v>
      </c>
      <c r="H665" s="52" t="s">
        <v>178</v>
      </c>
      <c r="I665" s="52" t="s">
        <v>178</v>
      </c>
      <c r="J665" s="55">
        <v>45665</v>
      </c>
      <c r="K665" s="52" t="s">
        <v>198</v>
      </c>
      <c r="L665" s="8" t="s">
        <v>124</v>
      </c>
      <c r="M665" s="8" t="s">
        <v>37</v>
      </c>
      <c r="N665" s="52" t="str">
        <f>IF(Follow[[#This Row],[DATAATUALIZAÇÃO]]&lt;=Follow[[#This Row],[Prev Entrega]],"Dentro do Prazo","Fora do Prazo")</f>
        <v>Dentro do Prazo</v>
      </c>
      <c r="O6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08/01/2025, referente ao pedido Nº Pedido 645 Rastreio Pedido 645, agradecemos a preferência e adoraríamos receber sua avaliação, tendo qualquer dúvida estamos à disposição.
Att
Tem tudo Shop</v>
      </c>
    </row>
    <row r="666" spans="1:15">
      <c r="A666" s="52" t="str">
        <f>_xlfn.XLOOKUP(Follow[[#This Row],[CODRASTREIO]],Controle_Pedidos[Cód Rastreamento],Controle_Pedidos[Número Pedido Cliente])</f>
        <v>Pedido 337</v>
      </c>
      <c r="B666" s="2" t="s">
        <v>17772</v>
      </c>
      <c r="C666" s="2" t="str">
        <f>Follow[[#This Row],[CODRASTREIO]]&amp;" B"</f>
        <v>CódRastreio330 B</v>
      </c>
      <c r="D666" s="52" t="str">
        <f>_xlfn.XLOOKUP(Follow[[#This Row],[Id Pedido]],Controle_Pedidos[Número Pedido Cliente],Controle_Pedidos[Loja])</f>
        <v>BV</v>
      </c>
      <c r="E666" s="9">
        <f>_xlfn.XLOOKUP(Follow[[#This Row],[Id Pedido]],Controle_Pedidos[Número Pedido Cliente],Controle_Pedidos[Prazo Entrega])</f>
        <v>45640</v>
      </c>
      <c r="F666" s="9" t="s">
        <v>19433</v>
      </c>
      <c r="G666" s="9" t="s">
        <v>37</v>
      </c>
      <c r="H666" s="52" t="s">
        <v>179</v>
      </c>
      <c r="I666" s="52" t="s">
        <v>178</v>
      </c>
      <c r="J666" s="55">
        <v>45623</v>
      </c>
      <c r="K666" s="54" t="s">
        <v>198</v>
      </c>
      <c r="L666" s="8" t="s">
        <v>124</v>
      </c>
      <c r="M666" s="8" t="s">
        <v>37</v>
      </c>
      <c r="N666" s="52" t="str">
        <f>IF(Follow[[#This Row],[DATAATUALIZAÇÃO]]&lt;=Follow[[#This Row],[Prev Entrega]],"Dentro do Prazo","Fora do Prazo")</f>
        <v>Dentro do Prazo</v>
      </c>
      <c r="O6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foi entregue no dia 27/11/2024, referente ao pedido Nº Pedido 337 Rastreio Pedido 337, agradecemos a preferência e adoraríamos receber sua avaliação, tendo qualquer dúvida estamos à disposição.
Att
Tem tudo Shop</v>
      </c>
    </row>
    <row r="667" spans="1:15">
      <c r="A667" s="52" t="str">
        <f>_xlfn.XLOOKUP(Follow[[#This Row],[CODRASTREIO]],Controle_Pedidos[Cód Rastreamento],Controle_Pedidos[Número Pedido Cliente])</f>
        <v>Pedido 322</v>
      </c>
      <c r="B667" s="2" t="s">
        <v>17757</v>
      </c>
      <c r="C667" s="2" t="str">
        <f>Follow[[#This Row],[CODRASTREIO]]&amp;" B"</f>
        <v>CódRastreio315 B</v>
      </c>
      <c r="D667" s="52" t="str">
        <f>_xlfn.XLOOKUP(Follow[[#This Row],[Id Pedido]],Controle_Pedidos[Número Pedido Cliente],Controle_Pedidos[Loja])</f>
        <v>BV</v>
      </c>
      <c r="E667" s="9">
        <f>_xlfn.XLOOKUP(Follow[[#This Row],[Id Pedido]],Controle_Pedidos[Número Pedido Cliente],Controle_Pedidos[Prazo Entrega])</f>
        <v>45629</v>
      </c>
      <c r="F667" s="9" t="s">
        <v>19433</v>
      </c>
      <c r="G667" s="9" t="s">
        <v>37</v>
      </c>
      <c r="H667" s="52" t="s">
        <v>179</v>
      </c>
      <c r="I667" s="52" t="s">
        <v>178</v>
      </c>
      <c r="J667" s="55">
        <v>45617</v>
      </c>
      <c r="K667" s="54" t="s">
        <v>198</v>
      </c>
      <c r="L667" s="8" t="s">
        <v>124</v>
      </c>
      <c r="M667" s="8" t="s">
        <v>37</v>
      </c>
      <c r="N667" s="52" t="str">
        <f>IF(Follow[[#This Row],[DATAATUALIZAÇÃO]]&lt;=Follow[[#This Row],[Prev Entrega]],"Dentro do Prazo","Fora do Prazo")</f>
        <v>Dentro do Prazo</v>
      </c>
      <c r="O6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21/11/2024, referente ao pedido Nº Pedido 322 Rastreio Pedido 322, agradecemos a preferência e adoraríamos receber sua avaliação, tendo qualquer dúvida estamos à disposição.
Att
Tem tudo Shop</v>
      </c>
    </row>
    <row r="668" spans="1:15">
      <c r="A668" s="52" t="str">
        <f>_xlfn.XLOOKUP(Follow[[#This Row],[CODRASTREIO]],Controle_Pedidos[Cód Rastreamento],Controle_Pedidos[Número Pedido Cliente])</f>
        <v>Pedido 485</v>
      </c>
      <c r="B668" s="2" t="s">
        <v>17912</v>
      </c>
      <c r="C668" s="2" t="str">
        <f>Follow[[#This Row],[CODRASTREIO]]&amp;" B"</f>
        <v>CódRastreio470 B</v>
      </c>
      <c r="D668" s="52" t="str">
        <f>_xlfn.XLOOKUP(Follow[[#This Row],[Id Pedido]],Controle_Pedidos[Número Pedido Cliente],Controle_Pedidos[Loja])</f>
        <v>BV</v>
      </c>
      <c r="E668" s="9">
        <f>_xlfn.XLOOKUP(Follow[[#This Row],[Id Pedido]],Controle_Pedidos[Número Pedido Cliente],Controle_Pedidos[Prazo Entrega])</f>
        <v>45647</v>
      </c>
      <c r="F668" s="9" t="s">
        <v>19433</v>
      </c>
      <c r="G668" s="9" t="s">
        <v>37</v>
      </c>
      <c r="H668" s="55" t="s">
        <v>178</v>
      </c>
      <c r="I668" s="55" t="s">
        <v>178</v>
      </c>
      <c r="J668" s="55">
        <v>45638</v>
      </c>
      <c r="K668" s="52" t="s">
        <v>198</v>
      </c>
      <c r="L668" s="8" t="s">
        <v>124</v>
      </c>
      <c r="M668" s="8" t="s">
        <v>37</v>
      </c>
      <c r="N668" s="52" t="str">
        <f>IF(Follow[[#This Row],[DATAATUALIZAÇÃO]]&lt;=Follow[[#This Row],[Prev Entrega]],"Dentro do Prazo","Fora do Prazo")</f>
        <v>Dentro do Prazo</v>
      </c>
      <c r="O6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12/12/2024, referente ao pedido Nº Pedido 485 Rastreio Pedido 485, agradecemos a preferência e adoraríamos receber sua avaliação, tendo qualquer dúvida estamos à disposição.
Att
Tem tudo Shop</v>
      </c>
    </row>
    <row r="669" spans="1:15">
      <c r="A669" s="52" t="str">
        <f>_xlfn.XLOOKUP(Follow[[#This Row],[CODRASTREIO]],Controle_Pedidos[Cód Rastreamento],Controle_Pedidos[Número Pedido Cliente])</f>
        <v>Pedido 227</v>
      </c>
      <c r="B669" s="2" t="s">
        <v>17662</v>
      </c>
      <c r="C669" s="2" t="str">
        <f>Follow[[#This Row],[CODRASTREIO]]&amp;" B"</f>
        <v>CódRastreio220 B</v>
      </c>
      <c r="D669" s="52" t="str">
        <f>_xlfn.XLOOKUP(Follow[[#This Row],[Id Pedido]],Controle_Pedidos[Número Pedido Cliente],Controle_Pedidos[Loja])</f>
        <v>BV</v>
      </c>
      <c r="E669" s="9">
        <f>_xlfn.XLOOKUP(Follow[[#This Row],[Id Pedido]],Controle_Pedidos[Número Pedido Cliente],Controle_Pedidos[Prazo Entrega])</f>
        <v>45615</v>
      </c>
      <c r="F669" s="9" t="s">
        <v>19433</v>
      </c>
      <c r="G669" s="9" t="s">
        <v>37</v>
      </c>
      <c r="H669" s="52" t="s">
        <v>178</v>
      </c>
      <c r="I669" s="52" t="s">
        <v>178</v>
      </c>
      <c r="J669" s="55">
        <v>45604</v>
      </c>
      <c r="K669" s="54" t="s">
        <v>198</v>
      </c>
      <c r="L669" s="8" t="s">
        <v>124</v>
      </c>
      <c r="M669" s="8" t="s">
        <v>37</v>
      </c>
      <c r="N669" s="52" t="str">
        <f>IF(Follow[[#This Row],[DATAATUALIZAÇÃO]]&lt;=Follow[[#This Row],[Prev Entrega]],"Dentro do Prazo","Fora do Prazo")</f>
        <v>Dentro do Prazo</v>
      </c>
      <c r="O6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08/11/2024, referente ao pedido Nº Pedido 227 Rastreio Pedido 227, agradecemos a preferência e adoraríamos receber sua avaliação, tendo qualquer dúvida estamos à disposição.
Att
Tem tudo Shop</v>
      </c>
    </row>
    <row r="670" spans="1:15">
      <c r="A670" s="52" t="str">
        <f>_xlfn.XLOOKUP(Follow[[#This Row],[CODRASTREIO]],Controle_Pedidos[Cód Rastreamento],Controle_Pedidos[Número Pedido Cliente])</f>
        <v>Pedido 42</v>
      </c>
      <c r="B670" s="2" t="s">
        <v>17475</v>
      </c>
      <c r="C670" s="2" t="str">
        <f>Follow[[#This Row],[CODRASTREIO]]&amp;" B"</f>
        <v>CódRastreio33 B</v>
      </c>
      <c r="D670" s="52" t="str">
        <f>_xlfn.XLOOKUP(Follow[[#This Row],[Id Pedido]],Controle_Pedidos[Número Pedido Cliente],Controle_Pedidos[Loja])</f>
        <v>BV</v>
      </c>
      <c r="E670" s="9">
        <f>_xlfn.XLOOKUP(Follow[[#This Row],[Id Pedido]],Controle_Pedidos[Número Pedido Cliente],Controle_Pedidos[Prazo Entrega])</f>
        <v>45615</v>
      </c>
      <c r="F670" s="9" t="s">
        <v>19433</v>
      </c>
      <c r="G670" s="9" t="s">
        <v>37</v>
      </c>
      <c r="H670" s="52" t="s">
        <v>178</v>
      </c>
      <c r="I670" s="52" t="s">
        <v>178</v>
      </c>
      <c r="J670" s="55">
        <v>45594</v>
      </c>
      <c r="K670" s="54" t="s">
        <v>198</v>
      </c>
      <c r="L670" s="8" t="s">
        <v>124</v>
      </c>
      <c r="M670" s="8" t="s">
        <v>37</v>
      </c>
      <c r="N670" s="52" t="str">
        <f>IF(Follow[[#This Row],[DATAATUALIZAÇÃO]]&lt;=Follow[[#This Row],[Prev Entrega]],"Dentro do Prazo","Fora do Prazo")</f>
        <v>Dentro do Prazo</v>
      </c>
      <c r="O6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42 Rastreio Pedido 42, agradecemos a preferência e adoraríamos receber sua avaliação, tendo qualquer dúvida estamos à disposição.
Att
Tem tudo Shop</v>
      </c>
    </row>
    <row r="671" spans="1:15">
      <c r="A671" s="52" t="str">
        <f>_xlfn.XLOOKUP(Follow[[#This Row],[CODRASTREIO]],Controle_Pedidos[Cód Rastreamento],Controle_Pedidos[Número Pedido Cliente])</f>
        <v>Pedido 231</v>
      </c>
      <c r="B671" s="2" t="s">
        <v>17666</v>
      </c>
      <c r="C671" s="2" t="str">
        <f>Follow[[#This Row],[CODRASTREIO]]&amp;" B"</f>
        <v>CódRastreio224 B</v>
      </c>
      <c r="D671" s="52" t="str">
        <f>_xlfn.XLOOKUP(Follow[[#This Row],[Id Pedido]],Controle_Pedidos[Número Pedido Cliente],Controle_Pedidos[Loja])</f>
        <v>BV</v>
      </c>
      <c r="E671" s="9">
        <f>_xlfn.XLOOKUP(Follow[[#This Row],[Id Pedido]],Controle_Pedidos[Número Pedido Cliente],Controle_Pedidos[Prazo Entrega])</f>
        <v>45622</v>
      </c>
      <c r="F671" s="9" t="s">
        <v>19433</v>
      </c>
      <c r="G671" s="9" t="s">
        <v>37</v>
      </c>
      <c r="H671" s="52" t="s">
        <v>178</v>
      </c>
      <c r="I671" s="52" t="s">
        <v>178</v>
      </c>
      <c r="J671" s="55">
        <v>45610</v>
      </c>
      <c r="K671" s="54" t="s">
        <v>198</v>
      </c>
      <c r="L671" s="8" t="s">
        <v>124</v>
      </c>
      <c r="M671" s="8" t="s">
        <v>37</v>
      </c>
      <c r="N671" s="52" t="str">
        <f>IF(Follow[[#This Row],[DATAATUALIZAÇÃO]]&lt;=Follow[[#This Row],[Prev Entrega]],"Dentro do Prazo","Fora do Prazo")</f>
        <v>Dentro do Prazo</v>
      </c>
      <c r="O6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14/11/2024, referente ao pedido Nº Pedido 231 Rastreio Pedido 231, agradecemos a preferência e adoraríamos receber sua avaliação, tendo qualquer dúvida estamos à disposição.
Att
Tem tudo Shop</v>
      </c>
    </row>
    <row r="672" spans="1:15">
      <c r="A672" s="52" t="str">
        <f>_xlfn.XLOOKUP(Follow[[#This Row],[CODRASTREIO]],Controle_Pedidos[Cód Rastreamento],Controle_Pedidos[Número Pedido Cliente])</f>
        <v>Pedido 517</v>
      </c>
      <c r="B672" s="2" t="s">
        <v>17944</v>
      </c>
      <c r="C672" s="2" t="str">
        <f>Follow[[#This Row],[CODRASTREIO]]&amp;" B"</f>
        <v>CódRastreio502 B</v>
      </c>
      <c r="D672" s="52" t="str">
        <f>_xlfn.XLOOKUP(Follow[[#This Row],[Id Pedido]],Controle_Pedidos[Número Pedido Cliente],Controle_Pedidos[Loja])</f>
        <v>BV</v>
      </c>
      <c r="E672" s="9">
        <f>_xlfn.XLOOKUP(Follow[[#This Row],[Id Pedido]],Controle_Pedidos[Número Pedido Cliente],Controle_Pedidos[Prazo Entrega])</f>
        <v>45665</v>
      </c>
      <c r="F672" s="9" t="s">
        <v>19433</v>
      </c>
      <c r="G672" s="9" t="s">
        <v>37</v>
      </c>
      <c r="H672" s="52" t="s">
        <v>179</v>
      </c>
      <c r="I672" s="52" t="s">
        <v>178</v>
      </c>
      <c r="J672" s="55">
        <v>45646</v>
      </c>
      <c r="K672" s="52" t="s">
        <v>198</v>
      </c>
      <c r="L672" s="8" t="s">
        <v>124</v>
      </c>
      <c r="M672" s="8" t="s">
        <v>37</v>
      </c>
      <c r="N672" s="52" t="str">
        <f>IF(Follow[[#This Row],[DATAATUALIZAÇÃO]]&lt;=Follow[[#This Row],[Prev Entrega]],"Dentro do Prazo","Fora do Prazo")</f>
        <v>Dentro do Prazo</v>
      </c>
      <c r="O6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20/12/2024, referente ao pedido Nº Pedido 517 Rastreio Pedido 517, agradecemos a preferência e adoraríamos receber sua avaliação, tendo qualquer dúvida estamos à disposição.
Att
Tem tudo Shop</v>
      </c>
    </row>
    <row r="673" spans="1:15">
      <c r="A673" s="52" t="str">
        <f>_xlfn.XLOOKUP(Follow[[#This Row],[CODRASTREIO]],Controle_Pedidos[Cód Rastreamento],Controle_Pedidos[Número Pedido Cliente])</f>
        <v>Pedido 61</v>
      </c>
      <c r="B673" s="2" t="s">
        <v>17494</v>
      </c>
      <c r="C673" s="2" t="str">
        <f>Follow[[#This Row],[CODRASTREIO]]&amp;" B"</f>
        <v>CódRastreio52 B</v>
      </c>
      <c r="D673" s="52" t="str">
        <f>_xlfn.XLOOKUP(Follow[[#This Row],[Id Pedido]],Controle_Pedidos[Número Pedido Cliente],Controle_Pedidos[Loja])</f>
        <v>BV</v>
      </c>
      <c r="E673" s="9">
        <f>_xlfn.XLOOKUP(Follow[[#This Row],[Id Pedido]],Controle_Pedidos[Número Pedido Cliente],Controle_Pedidos[Prazo Entrega])</f>
        <v>45615</v>
      </c>
      <c r="F673" s="9" t="s">
        <v>19433</v>
      </c>
      <c r="G673" s="9" t="s">
        <v>37</v>
      </c>
      <c r="H673" s="52" t="s">
        <v>178</v>
      </c>
      <c r="I673" s="52" t="s">
        <v>178</v>
      </c>
      <c r="J673" s="55">
        <v>45597</v>
      </c>
      <c r="K673" s="54" t="s">
        <v>198</v>
      </c>
      <c r="L673" s="8" t="s">
        <v>124</v>
      </c>
      <c r="M673" s="8" t="s">
        <v>37</v>
      </c>
      <c r="N673" s="52" t="str">
        <f>IF(Follow[[#This Row],[DATAATUALIZAÇÃO]]&lt;=Follow[[#This Row],[Prev Entrega]],"Dentro do Prazo","Fora do Prazo")</f>
        <v>Dentro do Prazo</v>
      </c>
      <c r="O6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01/11/2024, referente ao pedido Nº Pedido 61 Rastreio Pedido 61, agradecemos a preferência e adoraríamos receber sua avaliação, tendo qualquer dúvida estamos à disposição.
Att
Tem tudo Shop</v>
      </c>
    </row>
    <row r="674" spans="1:15">
      <c r="A674" s="52" t="str">
        <f>_xlfn.XLOOKUP(Follow[[#This Row],[CODRASTREIO]],Controle_Pedidos[Cód Rastreamento],Controle_Pedidos[Número Pedido Cliente])</f>
        <v>Pedido 463</v>
      </c>
      <c r="B674" s="2" t="s">
        <v>17890</v>
      </c>
      <c r="C674" s="2" t="str">
        <f>Follow[[#This Row],[CODRASTREIO]]&amp;" B"</f>
        <v>CódRastreio448 B</v>
      </c>
      <c r="D674" s="52" t="str">
        <f>_xlfn.XLOOKUP(Follow[[#This Row],[Id Pedido]],Controle_Pedidos[Número Pedido Cliente],Controle_Pedidos[Loja])</f>
        <v>BV</v>
      </c>
      <c r="E674" s="9">
        <f>_xlfn.XLOOKUP(Follow[[#This Row],[Id Pedido]],Controle_Pedidos[Número Pedido Cliente],Controle_Pedidos[Prazo Entrega])</f>
        <v>45653</v>
      </c>
      <c r="F674" s="9" t="s">
        <v>19433</v>
      </c>
      <c r="G674" s="9" t="s">
        <v>37</v>
      </c>
      <c r="H674" s="55" t="s">
        <v>178</v>
      </c>
      <c r="I674" s="55" t="s">
        <v>178</v>
      </c>
      <c r="J674" s="55">
        <v>45636</v>
      </c>
      <c r="K674" s="52" t="s">
        <v>198</v>
      </c>
      <c r="L674" s="8" t="s">
        <v>124</v>
      </c>
      <c r="M674" s="8" t="s">
        <v>37</v>
      </c>
      <c r="N674" s="52" t="str">
        <f>IF(Follow[[#This Row],[DATAATUALIZAÇÃO]]&lt;=Follow[[#This Row],[Prev Entrega]],"Dentro do Prazo","Fora do Prazo")</f>
        <v>Dentro do Prazo</v>
      </c>
      <c r="O6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10/12/2024, referente ao pedido Nº Pedido 463 Rastreio Pedido 463, agradecemos a preferência e adoraríamos receber sua avaliação, tendo qualquer dúvida estamos à disposição.
Att
Tem tudo Shop</v>
      </c>
    </row>
    <row r="675" spans="1:15">
      <c r="A675" s="52" t="str">
        <f>_xlfn.XLOOKUP(Follow[[#This Row],[CODRASTREIO]],Controle_Pedidos[Cód Rastreamento],Controle_Pedidos[Número Pedido Cliente])</f>
        <v>Pedido 62</v>
      </c>
      <c r="B675" s="2" t="s">
        <v>17495</v>
      </c>
      <c r="C675" s="2" t="str">
        <f>Follow[[#This Row],[CODRASTREIO]]&amp;" B"</f>
        <v>CódRastreio53 B</v>
      </c>
      <c r="D675" s="52" t="str">
        <f>_xlfn.XLOOKUP(Follow[[#This Row],[Id Pedido]],Controle_Pedidos[Número Pedido Cliente],Controle_Pedidos[Loja])</f>
        <v>BV</v>
      </c>
      <c r="E675" s="9">
        <f>_xlfn.XLOOKUP(Follow[[#This Row],[Id Pedido]],Controle_Pedidos[Número Pedido Cliente],Controle_Pedidos[Prazo Entrega])</f>
        <v>45616</v>
      </c>
      <c r="F675" s="9" t="s">
        <v>19433</v>
      </c>
      <c r="G675" s="9" t="s">
        <v>37</v>
      </c>
      <c r="H675" s="52" t="s">
        <v>179</v>
      </c>
      <c r="I675" s="52" t="s">
        <v>178</v>
      </c>
      <c r="J675" s="55">
        <v>45602</v>
      </c>
      <c r="K675" s="54" t="s">
        <v>198</v>
      </c>
      <c r="L675" s="8" t="s">
        <v>124</v>
      </c>
      <c r="M675" s="8" t="s">
        <v>37</v>
      </c>
      <c r="N675" s="52" t="str">
        <f>IF(Follow[[#This Row],[DATAATUALIZAÇÃO]]&lt;=Follow[[#This Row],[Prev Entrega]],"Dentro do Prazo","Fora do Prazo")</f>
        <v>Dentro do Prazo</v>
      </c>
      <c r="O6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06/11/2024, referente ao pedido Nº Pedido 62 Rastreio Pedido 62, agradecemos a preferência e adoraríamos receber sua avaliação, tendo qualquer dúvida estamos à disposição.
Att
Tem tudo Shop</v>
      </c>
    </row>
    <row r="676" spans="1:15">
      <c r="A676" s="52" t="str">
        <f>_xlfn.XLOOKUP(Follow[[#This Row],[CODRASTREIO]],Controle_Pedidos[Cód Rastreamento],Controle_Pedidos[Número Pedido Cliente])</f>
        <v>Pedido 609</v>
      </c>
      <c r="B676" s="2" t="s">
        <v>18035</v>
      </c>
      <c r="C676" s="2" t="str">
        <f>Follow[[#This Row],[CODRASTREIO]]&amp;" B"</f>
        <v>CódRastreio593 B</v>
      </c>
      <c r="D676" s="52" t="str">
        <f>_xlfn.XLOOKUP(Follow[[#This Row],[Id Pedido]],Controle_Pedidos[Número Pedido Cliente],Controle_Pedidos[Loja])</f>
        <v>BV</v>
      </c>
      <c r="E676" s="9">
        <f>_xlfn.XLOOKUP(Follow[[#This Row],[Id Pedido]],Controle_Pedidos[Número Pedido Cliente],Controle_Pedidos[Prazo Entrega])</f>
        <v>45673</v>
      </c>
      <c r="F676" s="9" t="s">
        <v>19433</v>
      </c>
      <c r="G676" s="9" t="s">
        <v>37</v>
      </c>
      <c r="H676" s="52" t="s">
        <v>179</v>
      </c>
      <c r="I676" s="52" t="s">
        <v>178</v>
      </c>
      <c r="J676" s="55">
        <v>45667</v>
      </c>
      <c r="K676" s="52" t="s">
        <v>198</v>
      </c>
      <c r="L676" s="8" t="s">
        <v>124</v>
      </c>
      <c r="M676" s="8" t="s">
        <v>37</v>
      </c>
      <c r="N676" s="52" t="str">
        <f>IF(Follow[[#This Row],[DATAATUALIZAÇÃO]]&lt;=Follow[[#This Row],[Prev Entrega]],"Dentro do Prazo","Fora do Prazo")</f>
        <v>Dentro do Prazo</v>
      </c>
      <c r="O6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10/01/2025, referente ao pedido Nº Pedido 609 Rastreio Pedido 609, agradecemos a preferência e adoraríamos receber sua avaliação, tendo qualquer dúvida estamos à disposição.
Att
Tem tudo Shop</v>
      </c>
    </row>
    <row r="677" spans="1:15">
      <c r="A677" s="52" t="str">
        <f>_xlfn.XLOOKUP(Follow[[#This Row],[CODRASTREIO]],Controle_Pedidos[Cód Rastreamento],Controle_Pedidos[Número Pedido Cliente])</f>
        <v>Pedido 612</v>
      </c>
      <c r="B677" s="2" t="s">
        <v>18037</v>
      </c>
      <c r="C677" s="2" t="str">
        <f>Follow[[#This Row],[CODRASTREIO]]&amp;" B"</f>
        <v>CódRastreio595 B</v>
      </c>
      <c r="D677" s="52" t="str">
        <f>_xlfn.XLOOKUP(Follow[[#This Row],[Id Pedido]],Controle_Pedidos[Número Pedido Cliente],Controle_Pedidos[Loja])</f>
        <v>BV</v>
      </c>
      <c r="E677" s="9">
        <f>_xlfn.XLOOKUP(Follow[[#This Row],[Id Pedido]],Controle_Pedidos[Número Pedido Cliente],Controle_Pedidos[Prazo Entrega])</f>
        <v>45686</v>
      </c>
      <c r="F677" s="9" t="s">
        <v>19433</v>
      </c>
      <c r="G677" s="9" t="s">
        <v>37</v>
      </c>
      <c r="H677" s="52" t="s">
        <v>179</v>
      </c>
      <c r="I677" s="52" t="s">
        <v>178</v>
      </c>
      <c r="J677" s="55">
        <v>45671</v>
      </c>
      <c r="K677" s="52" t="s">
        <v>198</v>
      </c>
      <c r="L677" s="8" t="s">
        <v>124</v>
      </c>
      <c r="M677" s="8" t="s">
        <v>37</v>
      </c>
      <c r="N677" s="52" t="str">
        <f>IF(Follow[[#This Row],[DATAATUALIZAÇÃO]]&lt;=Follow[[#This Row],[Prev Entrega]],"Dentro do Prazo","Fora do Prazo")</f>
        <v>Dentro do Prazo</v>
      </c>
      <c r="O6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14/01/2025, referente ao pedido Nº Pedido 612 Rastreio Pedido 612, agradecemos a preferência e adoraríamos receber sua avaliação, tendo qualquer dúvida estamos à disposição.
Att
Tem tudo Shop</v>
      </c>
    </row>
    <row r="678" spans="1:15">
      <c r="A678" s="52" t="str">
        <f>_xlfn.XLOOKUP(Follow[[#This Row],[CODRASTREIO]],Controle_Pedidos[Cód Rastreamento],Controle_Pedidos[Número Pedido Cliente])</f>
        <v>Pedido 613</v>
      </c>
      <c r="B678" s="2" t="s">
        <v>18038</v>
      </c>
      <c r="C678" s="2" t="str">
        <f>Follow[[#This Row],[CODRASTREIO]]&amp;" B"</f>
        <v>CódRastreio596 B</v>
      </c>
      <c r="D678" s="52" t="str">
        <f>_xlfn.XLOOKUP(Follow[[#This Row],[Id Pedido]],Controle_Pedidos[Número Pedido Cliente],Controle_Pedidos[Loja])</f>
        <v>BV</v>
      </c>
      <c r="E678" s="9">
        <f>_xlfn.XLOOKUP(Follow[[#This Row],[Id Pedido]],Controle_Pedidos[Número Pedido Cliente],Controle_Pedidos[Prazo Entrega])</f>
        <v>45686</v>
      </c>
      <c r="F678" s="9" t="s">
        <v>19433</v>
      </c>
      <c r="G678" s="9" t="s">
        <v>37</v>
      </c>
      <c r="H678" s="52" t="s">
        <v>179</v>
      </c>
      <c r="I678" s="52" t="s">
        <v>178</v>
      </c>
      <c r="J678" s="55">
        <v>45672</v>
      </c>
      <c r="K678" s="52" t="s">
        <v>198</v>
      </c>
      <c r="L678" s="8" t="s">
        <v>124</v>
      </c>
      <c r="M678" s="8" t="s">
        <v>37</v>
      </c>
      <c r="N678" s="52" t="str">
        <f>IF(Follow[[#This Row],[DATAATUALIZAÇÃO]]&lt;=Follow[[#This Row],[Prev Entrega]],"Dentro do Prazo","Fora do Prazo")</f>
        <v>Dentro do Prazo</v>
      </c>
      <c r="O6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15/01/2025, referente ao pedido Nº Pedido 613 Rastreio Pedido 613, agradecemos a preferência e adoraríamos receber sua avaliação, tendo qualquer dúvida estamos à disposição.
Att
Tem tudo Shop</v>
      </c>
    </row>
    <row r="679" spans="1:15">
      <c r="A679" s="52" t="str">
        <f>_xlfn.XLOOKUP(Follow[[#This Row],[CODRASTREIO]],Controle_Pedidos[Cód Rastreamento],Controle_Pedidos[Número Pedido Cliente])</f>
        <v>Pedido 268</v>
      </c>
      <c r="B679" s="2" t="s">
        <v>17703</v>
      </c>
      <c r="C679" s="2" t="str">
        <f>Follow[[#This Row],[CODRASTREIO]]&amp;" B"</f>
        <v>CódRastreio261 B</v>
      </c>
      <c r="D679" s="52" t="str">
        <f>_xlfn.XLOOKUP(Follow[[#This Row],[Id Pedido]],Controle_Pedidos[Número Pedido Cliente],Controle_Pedidos[Loja])</f>
        <v>BV</v>
      </c>
      <c r="E679" s="9">
        <f>_xlfn.XLOOKUP(Follow[[#This Row],[Id Pedido]],Controle_Pedidos[Número Pedido Cliente],Controle_Pedidos[Prazo Entrega])</f>
        <v>45630</v>
      </c>
      <c r="F679" s="9" t="s">
        <v>19433</v>
      </c>
      <c r="G679" s="9" t="s">
        <v>37</v>
      </c>
      <c r="H679" s="52" t="s">
        <v>179</v>
      </c>
      <c r="I679" s="52" t="s">
        <v>178</v>
      </c>
      <c r="J679" s="55">
        <v>45614</v>
      </c>
      <c r="K679" s="54" t="s">
        <v>198</v>
      </c>
      <c r="L679" s="8" t="s">
        <v>124</v>
      </c>
      <c r="M679" s="8" t="s">
        <v>37</v>
      </c>
      <c r="N679" s="52" t="str">
        <f>IF(Follow[[#This Row],[DATAATUALIZAÇÃO]]&lt;=Follow[[#This Row],[Prev Entrega]],"Dentro do Prazo","Fora do Prazo")</f>
        <v>Dentro do Prazo</v>
      </c>
      <c r="O6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18/11/2024, referente ao pedido Nº Pedido 268 Rastreio Pedido 268, agradecemos a preferência e adoraríamos receber sua avaliação, tendo qualquer dúvida estamos à disposição.
Att
Tem tudo Shop</v>
      </c>
    </row>
    <row r="680" spans="1:15">
      <c r="A680" s="52" t="str">
        <f>_xlfn.XLOOKUP(Follow[[#This Row],[CODRASTREIO]],Controle_Pedidos[Cód Rastreamento],Controle_Pedidos[Número Pedido Cliente])</f>
        <v>Pedido 391</v>
      </c>
      <c r="B680" s="2" t="s">
        <v>17823</v>
      </c>
      <c r="C680" s="2" t="str">
        <f>Follow[[#This Row],[CODRASTREIO]]&amp;" B"</f>
        <v>CódRastreio381 B</v>
      </c>
      <c r="D680" s="52" t="str">
        <f>_xlfn.XLOOKUP(Follow[[#This Row],[Id Pedido]],Controle_Pedidos[Número Pedido Cliente],Controle_Pedidos[Loja])</f>
        <v>BV</v>
      </c>
      <c r="E680" s="9">
        <f>_xlfn.XLOOKUP(Follow[[#This Row],[Id Pedido]],Controle_Pedidos[Número Pedido Cliente],Controle_Pedidos[Prazo Entrega])</f>
        <v>45636</v>
      </c>
      <c r="F680" s="9" t="s">
        <v>19433</v>
      </c>
      <c r="G680" s="9" t="s">
        <v>37</v>
      </c>
      <c r="H680" s="52" t="s">
        <v>179</v>
      </c>
      <c r="I680" s="52" t="s">
        <v>178</v>
      </c>
      <c r="J680" s="55">
        <v>45625</v>
      </c>
      <c r="K680" s="54" t="s">
        <v>198</v>
      </c>
      <c r="L680" s="8" t="s">
        <v>124</v>
      </c>
      <c r="M680" s="8" t="s">
        <v>37</v>
      </c>
      <c r="N680" s="52" t="str">
        <f>IF(Follow[[#This Row],[DATAATUALIZAÇÃO]]&lt;=Follow[[#This Row],[Prev Entrega]],"Dentro do Prazo","Fora do Prazo")</f>
        <v>Dentro do Prazo</v>
      </c>
      <c r="O6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29/11/2024, referente ao pedido Nº Pedido 391 Rastreio Pedido 391, agradecemos a preferência e adoraríamos receber sua avaliação, tendo qualquer dúvida estamos à disposição.
Att
Tem tudo Shop</v>
      </c>
    </row>
    <row r="681" spans="1:15">
      <c r="A681" s="52" t="str">
        <f>_xlfn.XLOOKUP(Follow[[#This Row],[CODRASTREIO]],Controle_Pedidos[Cód Rastreamento],Controle_Pedidos[Número Pedido Cliente])</f>
        <v>Pedido 616</v>
      </c>
      <c r="B681" s="2" t="s">
        <v>18041</v>
      </c>
      <c r="C681" s="2" t="str">
        <f>Follow[[#This Row],[CODRASTREIO]]&amp;" B"</f>
        <v>CódRastreio599 B</v>
      </c>
      <c r="D681" s="52" t="str">
        <f>_xlfn.XLOOKUP(Follow[[#This Row],[Id Pedido]],Controle_Pedidos[Número Pedido Cliente],Controle_Pedidos[Loja])</f>
        <v>BV</v>
      </c>
      <c r="E681" s="9">
        <f>_xlfn.XLOOKUP(Follow[[#This Row],[Id Pedido]],Controle_Pedidos[Número Pedido Cliente],Controle_Pedidos[Prazo Entrega])</f>
        <v>45680</v>
      </c>
      <c r="F681" s="9" t="s">
        <v>19433</v>
      </c>
      <c r="G681" s="9" t="s">
        <v>37</v>
      </c>
      <c r="H681" s="52" t="s">
        <v>179</v>
      </c>
      <c r="I681" s="52" t="s">
        <v>178</v>
      </c>
      <c r="J681" s="55">
        <v>45668</v>
      </c>
      <c r="K681" s="52" t="s">
        <v>198</v>
      </c>
      <c r="L681" s="8" t="s">
        <v>124</v>
      </c>
      <c r="M681" s="8" t="s">
        <v>37</v>
      </c>
      <c r="N681" s="52" t="str">
        <f>IF(Follow[[#This Row],[DATAATUALIZAÇÃO]]&lt;=Follow[[#This Row],[Prev Entrega]],"Dentro do Prazo","Fora do Prazo")</f>
        <v>Dentro do Prazo</v>
      </c>
      <c r="O6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11/01/2025, referente ao pedido Nº Pedido 616 Rastreio Pedido 616, agradecemos a preferência e adoraríamos receber sua avaliação, tendo qualquer dúvida estamos à disposição.
Att
Tem tudo Shop</v>
      </c>
    </row>
    <row r="682" spans="1:15">
      <c r="A682" s="52" t="str">
        <f>_xlfn.XLOOKUP(Follow[[#This Row],[CODRASTREIO]],Controle_Pedidos[Cód Rastreamento],Controle_Pedidos[Número Pedido Cliente])</f>
        <v>Pedido 617</v>
      </c>
      <c r="B682" s="2" t="s">
        <v>18042</v>
      </c>
      <c r="C682" s="2" t="str">
        <f>Follow[[#This Row],[CODRASTREIO]]&amp;" B"</f>
        <v>CódRastreio600 B</v>
      </c>
      <c r="D682" s="52" t="str">
        <f>_xlfn.XLOOKUP(Follow[[#This Row],[Id Pedido]],Controle_Pedidos[Número Pedido Cliente],Controle_Pedidos[Loja])</f>
        <v>BV</v>
      </c>
      <c r="E682" s="9">
        <f>_xlfn.XLOOKUP(Follow[[#This Row],[Id Pedido]],Controle_Pedidos[Número Pedido Cliente],Controle_Pedidos[Prazo Entrega])</f>
        <v>45680</v>
      </c>
      <c r="F682" s="9" t="s">
        <v>19433</v>
      </c>
      <c r="G682" s="9" t="s">
        <v>37</v>
      </c>
      <c r="H682" s="52" t="s">
        <v>179</v>
      </c>
      <c r="I682" s="52" t="s">
        <v>178</v>
      </c>
      <c r="J682" s="55">
        <v>45670</v>
      </c>
      <c r="K682" s="52" t="s">
        <v>198</v>
      </c>
      <c r="L682" s="8" t="s">
        <v>124</v>
      </c>
      <c r="M682" s="8" t="s">
        <v>37</v>
      </c>
      <c r="N682" s="52" t="str">
        <f>IF(Follow[[#This Row],[DATAATUALIZAÇÃO]]&lt;=Follow[[#This Row],[Prev Entrega]],"Dentro do Prazo","Fora do Prazo")</f>
        <v>Dentro do Prazo</v>
      </c>
      <c r="O6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13/01/2025, referente ao pedido Nº Pedido 617 Rastreio Pedido 617, agradecemos a preferência e adoraríamos receber sua avaliação, tendo qualquer dúvida estamos à disposição.
Att
Tem tudo Shop</v>
      </c>
    </row>
    <row r="683" spans="1:15">
      <c r="A683" s="52" t="str">
        <f>_xlfn.XLOOKUP(Follow[[#This Row],[CODRASTREIO]],Controle_Pedidos[Cód Rastreamento],Controle_Pedidos[Número Pedido Cliente])</f>
        <v>Pedido 618</v>
      </c>
      <c r="B683" s="2" t="s">
        <v>18043</v>
      </c>
      <c r="C683" s="2" t="str">
        <f>Follow[[#This Row],[CODRASTREIO]]&amp;" B"</f>
        <v>CódRastreio601 B</v>
      </c>
      <c r="D683" s="52" t="str">
        <f>_xlfn.XLOOKUP(Follow[[#This Row],[Id Pedido]],Controle_Pedidos[Número Pedido Cliente],Controle_Pedidos[Loja])</f>
        <v>BV</v>
      </c>
      <c r="E683" s="9">
        <f>_xlfn.XLOOKUP(Follow[[#This Row],[Id Pedido]],Controle_Pedidos[Número Pedido Cliente],Controle_Pedidos[Prazo Entrega])</f>
        <v>45680</v>
      </c>
      <c r="F683" s="9" t="s">
        <v>19433</v>
      </c>
      <c r="G683" s="9" t="s">
        <v>37</v>
      </c>
      <c r="H683" s="52" t="s">
        <v>179</v>
      </c>
      <c r="I683" s="52" t="s">
        <v>178</v>
      </c>
      <c r="J683" s="55">
        <v>45668</v>
      </c>
      <c r="K683" s="52" t="s">
        <v>198</v>
      </c>
      <c r="L683" s="8" t="s">
        <v>124</v>
      </c>
      <c r="M683" s="8" t="s">
        <v>37</v>
      </c>
      <c r="N683" s="52" t="str">
        <f>IF(Follow[[#This Row],[DATAATUALIZAÇÃO]]&lt;=Follow[[#This Row],[Prev Entrega]],"Dentro do Prazo","Fora do Prazo")</f>
        <v>Dentro do Prazo</v>
      </c>
      <c r="O6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11/01/2025, referente ao pedido Nº Pedido 618 Rastreio Pedido 618, agradecemos a preferência e adoraríamos receber sua avaliação, tendo qualquer dúvida estamos à disposição.
Att
Tem tudo Shop</v>
      </c>
    </row>
    <row r="684" spans="1:15">
      <c r="A684" s="52" t="str">
        <f>_xlfn.XLOOKUP(Follow[[#This Row],[CODRASTREIO]],Controle_Pedidos[Cód Rastreamento],Controle_Pedidos[Número Pedido Cliente])</f>
        <v>Pedido 619</v>
      </c>
      <c r="B684" s="2" t="s">
        <v>18044</v>
      </c>
      <c r="C684" s="2" t="str">
        <f>Follow[[#This Row],[CODRASTREIO]]&amp;" B"</f>
        <v>CódRastreio602 B</v>
      </c>
      <c r="D684" s="52" t="str">
        <f>_xlfn.XLOOKUP(Follow[[#This Row],[Id Pedido]],Controle_Pedidos[Número Pedido Cliente],Controle_Pedidos[Loja])</f>
        <v>BV</v>
      </c>
      <c r="E684" s="9">
        <f>_xlfn.XLOOKUP(Follow[[#This Row],[Id Pedido]],Controle_Pedidos[Número Pedido Cliente],Controle_Pedidos[Prazo Entrega])</f>
        <v>45674</v>
      </c>
      <c r="F684" s="9" t="s">
        <v>19433</v>
      </c>
      <c r="G684" s="9" t="s">
        <v>37</v>
      </c>
      <c r="H684" s="52" t="s">
        <v>179</v>
      </c>
      <c r="I684" s="52" t="s">
        <v>178</v>
      </c>
      <c r="J684" s="55">
        <v>45667</v>
      </c>
      <c r="K684" s="52" t="s">
        <v>198</v>
      </c>
      <c r="L684" s="8" t="s">
        <v>124</v>
      </c>
      <c r="M684" s="8" t="s">
        <v>37</v>
      </c>
      <c r="N684" s="52" t="str">
        <f>IF(Follow[[#This Row],[DATAATUALIZAÇÃO]]&lt;=Follow[[#This Row],[Prev Entrega]],"Dentro do Prazo","Fora do Prazo")</f>
        <v>Dentro do Prazo</v>
      </c>
      <c r="O68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10/01/2025, referente ao pedido Nº Pedido 619 Rastreio Pedido 619, agradecemos a preferência e adoraríamos receber sua avaliação, tendo qualquer dúvida estamos à disposição.
Att
Tem tudo Shop</v>
      </c>
    </row>
    <row r="685" spans="1:15">
      <c r="A685" s="52" t="str">
        <f>_xlfn.XLOOKUP(Follow[[#This Row],[CODRASTREIO]],Controle_Pedidos[Cód Rastreamento],Controle_Pedidos[Número Pedido Cliente])</f>
        <v>Pedido 620</v>
      </c>
      <c r="B685" s="2" t="s">
        <v>18045</v>
      </c>
      <c r="C685" s="2" t="str">
        <f>Follow[[#This Row],[CODRASTREIO]]&amp;" B"</f>
        <v>CódRastreio603 B</v>
      </c>
      <c r="D685" s="52" t="str">
        <f>_xlfn.XLOOKUP(Follow[[#This Row],[Id Pedido]],Controle_Pedidos[Número Pedido Cliente],Controle_Pedidos[Loja])</f>
        <v>BV</v>
      </c>
      <c r="E685" s="9">
        <f>_xlfn.XLOOKUP(Follow[[#This Row],[Id Pedido]],Controle_Pedidos[Número Pedido Cliente],Controle_Pedidos[Prazo Entrega])</f>
        <v>45687</v>
      </c>
      <c r="F685" s="9" t="s">
        <v>19433</v>
      </c>
      <c r="G685" s="9" t="s">
        <v>37</v>
      </c>
      <c r="H685" s="52" t="s">
        <v>179</v>
      </c>
      <c r="I685" s="52" t="s">
        <v>178</v>
      </c>
      <c r="J685" s="55">
        <v>45672</v>
      </c>
      <c r="K685" s="52" t="s">
        <v>198</v>
      </c>
      <c r="L685" s="8" t="s">
        <v>124</v>
      </c>
      <c r="M685" s="8" t="s">
        <v>37</v>
      </c>
      <c r="N685" s="52" t="str">
        <f>IF(Follow[[#This Row],[DATAATUALIZAÇÃO]]&lt;=Follow[[#This Row],[Prev Entrega]],"Dentro do Prazo","Fora do Prazo")</f>
        <v>Dentro do Prazo</v>
      </c>
      <c r="O6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15/01/2025, referente ao pedido Nº Pedido 620 Rastreio Pedido 620, agradecemos a preferência e adoraríamos receber sua avaliação, tendo qualquer dúvida estamos à disposição.
Att
Tem tudo Shop</v>
      </c>
    </row>
    <row r="686" spans="1:15">
      <c r="A686" s="52" t="str">
        <f>_xlfn.XLOOKUP(Follow[[#This Row],[CODRASTREIO]],Controle_Pedidos[Cód Rastreamento],Controle_Pedidos[Número Pedido Cliente])</f>
        <v>Pedido 590</v>
      </c>
      <c r="B686" s="2" t="s">
        <v>18017</v>
      </c>
      <c r="C686" s="2" t="str">
        <f>Follow[[#This Row],[CODRASTREIO]]&amp;" B"</f>
        <v>CódRastreio575 B</v>
      </c>
      <c r="D686" s="52" t="str">
        <f>_xlfn.XLOOKUP(Follow[[#This Row],[Id Pedido]],Controle_Pedidos[Número Pedido Cliente],Controle_Pedidos[Loja])</f>
        <v>BV</v>
      </c>
      <c r="E686" s="9">
        <f>_xlfn.XLOOKUP(Follow[[#This Row],[Id Pedido]],Controle_Pedidos[Número Pedido Cliente],Controle_Pedidos[Prazo Entrega])</f>
        <v>45671</v>
      </c>
      <c r="F686" s="9" t="s">
        <v>19433</v>
      </c>
      <c r="G686" s="9" t="s">
        <v>37</v>
      </c>
      <c r="H686" s="52" t="s">
        <v>179</v>
      </c>
      <c r="I686" s="52" t="s">
        <v>178</v>
      </c>
      <c r="J686" s="55">
        <v>45659</v>
      </c>
      <c r="K686" s="52" t="s">
        <v>198</v>
      </c>
      <c r="L686" s="8" t="s">
        <v>124</v>
      </c>
      <c r="M686" s="8" t="s">
        <v>37</v>
      </c>
      <c r="N686" s="52" t="str">
        <f>IF(Follow[[#This Row],[DATAATUALIZAÇÃO]]&lt;=Follow[[#This Row],[Prev Entrega]],"Dentro do Prazo","Fora do Prazo")</f>
        <v>Dentro do Prazo</v>
      </c>
      <c r="O6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02/01/2025, referente ao pedido Nº Pedido 590 Rastreio Pedido 590, agradecemos a preferência e adoraríamos receber sua avaliação, tendo qualquer dúvida estamos à disposição.
Att
Tem tudo Shop</v>
      </c>
    </row>
    <row r="687" spans="1:15">
      <c r="A687" s="52" t="str">
        <f>_xlfn.XLOOKUP(Follow[[#This Row],[CODRASTREIO]],Controle_Pedidos[Cód Rastreamento],Controle_Pedidos[Número Pedido Cliente])</f>
        <v>Pedido 472</v>
      </c>
      <c r="B687" s="2" t="s">
        <v>17899</v>
      </c>
      <c r="C687" s="2" t="str">
        <f>Follow[[#This Row],[CODRASTREIO]]&amp;" B"</f>
        <v>CódRastreio457 B</v>
      </c>
      <c r="D687" s="52" t="str">
        <f>_xlfn.XLOOKUP(Follow[[#This Row],[Id Pedido]],Controle_Pedidos[Número Pedido Cliente],Controle_Pedidos[Loja])</f>
        <v>BV</v>
      </c>
      <c r="E687" s="9">
        <f>_xlfn.XLOOKUP(Follow[[#This Row],[Id Pedido]],Controle_Pedidos[Número Pedido Cliente],Controle_Pedidos[Prazo Entrega])</f>
        <v>45654</v>
      </c>
      <c r="F687" s="9" t="s">
        <v>19433</v>
      </c>
      <c r="G687" s="9" t="s">
        <v>37</v>
      </c>
      <c r="H687" s="55" t="s">
        <v>179</v>
      </c>
      <c r="I687" s="55" t="s">
        <v>178</v>
      </c>
      <c r="J687" s="55">
        <v>45638</v>
      </c>
      <c r="K687" s="52" t="s">
        <v>198</v>
      </c>
      <c r="L687" s="8" t="s">
        <v>124</v>
      </c>
      <c r="M687" s="8" t="s">
        <v>37</v>
      </c>
      <c r="N687" s="52" t="str">
        <f>IF(Follow[[#This Row],[DATAATUALIZAÇÃO]]&lt;=Follow[[#This Row],[Prev Entrega]],"Dentro do Prazo","Fora do Prazo")</f>
        <v>Dentro do Prazo</v>
      </c>
      <c r="O6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12/12/2024, referente ao pedido Nº Pedido 472 Rastreio Pedido 472, agradecemos a preferência e adoraríamos receber sua avaliação, tendo qualquer dúvida estamos à disposição.
Att
Tem tudo Shop</v>
      </c>
    </row>
    <row r="688" spans="1:15">
      <c r="A688" s="52" t="str">
        <f>_xlfn.XLOOKUP(Follow[[#This Row],[CODRASTREIO]],Controle_Pedidos[Cód Rastreamento],Controle_Pedidos[Número Pedido Cliente])</f>
        <v>Pedido 623</v>
      </c>
      <c r="B688" s="2" t="s">
        <v>18048</v>
      </c>
      <c r="C688" s="2" t="str">
        <f>Follow[[#This Row],[CODRASTREIO]]&amp;" B"</f>
        <v>CódRastreio606 B</v>
      </c>
      <c r="D688" s="52" t="str">
        <f>_xlfn.XLOOKUP(Follow[[#This Row],[Id Pedido]],Controle_Pedidos[Número Pedido Cliente],Controle_Pedidos[Loja])</f>
        <v>BV</v>
      </c>
      <c r="E688" s="9">
        <f>_xlfn.XLOOKUP(Follow[[#This Row],[Id Pedido]],Controle_Pedidos[Número Pedido Cliente],Controle_Pedidos[Prazo Entrega])</f>
        <v>45680</v>
      </c>
      <c r="F688" s="9" t="s">
        <v>19433</v>
      </c>
      <c r="G688" s="9" t="s">
        <v>37</v>
      </c>
      <c r="H688" s="52" t="s">
        <v>179</v>
      </c>
      <c r="I688" s="52" t="s">
        <v>178</v>
      </c>
      <c r="J688" s="55">
        <v>45670</v>
      </c>
      <c r="K688" s="52" t="s">
        <v>198</v>
      </c>
      <c r="L688" s="8" t="s">
        <v>124</v>
      </c>
      <c r="M688" s="8" t="s">
        <v>37</v>
      </c>
      <c r="N688" s="52" t="str">
        <f>IF(Follow[[#This Row],[DATAATUALIZAÇÃO]]&lt;=Follow[[#This Row],[Prev Entrega]],"Dentro do Prazo","Fora do Prazo")</f>
        <v>Dentro do Prazo</v>
      </c>
      <c r="O6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13/01/2025, referente ao pedido Nº Pedido 623 Rastreio Pedido 623, agradecemos a preferência e adoraríamos receber sua avaliação, tendo qualquer dúvida estamos à disposição.
Att
Tem tudo Shop</v>
      </c>
    </row>
    <row r="689" spans="1:15">
      <c r="A689" s="52" t="str">
        <f>_xlfn.XLOOKUP(Follow[[#This Row],[CODRASTREIO]],Controle_Pedidos[Cód Rastreamento],Controle_Pedidos[Número Pedido Cliente])</f>
        <v>Pedido 624</v>
      </c>
      <c r="B689" s="2" t="s">
        <v>18049</v>
      </c>
      <c r="C689" s="2" t="str">
        <f>Follow[[#This Row],[CODRASTREIO]]&amp;" B"</f>
        <v>CódRastreio607 B</v>
      </c>
      <c r="D689" s="52" t="str">
        <f>_xlfn.XLOOKUP(Follow[[#This Row],[Id Pedido]],Controle_Pedidos[Número Pedido Cliente],Controle_Pedidos[Loja])</f>
        <v>BV</v>
      </c>
      <c r="E689" s="9">
        <f>_xlfn.XLOOKUP(Follow[[#This Row],[Id Pedido]],Controle_Pedidos[Número Pedido Cliente],Controle_Pedidos[Prazo Entrega])</f>
        <v>45687</v>
      </c>
      <c r="F689" s="9" t="s">
        <v>19433</v>
      </c>
      <c r="G689" s="9" t="s">
        <v>37</v>
      </c>
      <c r="H689" s="52" t="s">
        <v>179</v>
      </c>
      <c r="I689" s="52" t="s">
        <v>178</v>
      </c>
      <c r="J689" s="55">
        <v>45667</v>
      </c>
      <c r="K689" s="52" t="s">
        <v>198</v>
      </c>
      <c r="L689" s="8" t="s">
        <v>124</v>
      </c>
      <c r="M689" s="8" t="s">
        <v>37</v>
      </c>
      <c r="N689" s="52" t="str">
        <f>IF(Follow[[#This Row],[DATAATUALIZAÇÃO]]&lt;=Follow[[#This Row],[Prev Entrega]],"Dentro do Prazo","Fora do Prazo")</f>
        <v>Dentro do Prazo</v>
      </c>
      <c r="O6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10/01/2025, referente ao pedido Nº Pedido 624 Rastreio Pedido 624, agradecemos a preferência e adoraríamos receber sua avaliação, tendo qualquer dúvida estamos à disposição.
Att
Tem tudo Shop</v>
      </c>
    </row>
    <row r="690" spans="1:15">
      <c r="A690" s="52" t="str">
        <f>_xlfn.XLOOKUP(Follow[[#This Row],[CODRASTREIO]],Controle_Pedidos[Cód Rastreamento],Controle_Pedidos[Número Pedido Cliente])</f>
        <v>Pedido 626</v>
      </c>
      <c r="B690" s="2" t="s">
        <v>18050</v>
      </c>
      <c r="C690" s="2" t="str">
        <f>Follow[[#This Row],[CODRASTREIO]]&amp;" B"</f>
        <v>CódRastreio608 B</v>
      </c>
      <c r="D690" s="52" t="str">
        <f>_xlfn.XLOOKUP(Follow[[#This Row],[Id Pedido]],Controle_Pedidos[Número Pedido Cliente],Controle_Pedidos[Loja])</f>
        <v>BV</v>
      </c>
      <c r="E690" s="9">
        <f>_xlfn.XLOOKUP(Follow[[#This Row],[Id Pedido]],Controle_Pedidos[Número Pedido Cliente],Controle_Pedidos[Prazo Entrega])</f>
        <v>45674</v>
      </c>
      <c r="F690" s="9" t="s">
        <v>19433</v>
      </c>
      <c r="G690" s="9" t="s">
        <v>37</v>
      </c>
      <c r="H690" s="52" t="s">
        <v>179</v>
      </c>
      <c r="I690" s="52" t="s">
        <v>178</v>
      </c>
      <c r="J690" s="55">
        <v>45667</v>
      </c>
      <c r="K690" s="52" t="s">
        <v>198</v>
      </c>
      <c r="L690" s="8" t="s">
        <v>124</v>
      </c>
      <c r="M690" s="8" t="s">
        <v>37</v>
      </c>
      <c r="N690" s="52" t="str">
        <f>IF(Follow[[#This Row],[DATAATUALIZAÇÃO]]&lt;=Follow[[#This Row],[Prev Entrega]],"Dentro do Prazo","Fora do Prazo")</f>
        <v>Dentro do Prazo</v>
      </c>
      <c r="O6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626 Rastreio Pedido 626, agradecemos a preferência e adoraríamos receber sua avaliação, tendo qualquer dúvida estamos à disposição.
Att
Tem tudo Shop</v>
      </c>
    </row>
    <row r="691" spans="1:15">
      <c r="A691" s="52" t="str">
        <f>_xlfn.XLOOKUP(Follow[[#This Row],[CODRASTREIO]],Controle_Pedidos[Cód Rastreamento],Controle_Pedidos[Número Pedido Cliente])</f>
        <v>Pedido 627</v>
      </c>
      <c r="B691" s="2" t="s">
        <v>18051</v>
      </c>
      <c r="C691" s="2" t="str">
        <f>Follow[[#This Row],[CODRASTREIO]]&amp;" B"</f>
        <v>CódRastreio609 B</v>
      </c>
      <c r="D691" s="52" t="str">
        <f>_xlfn.XLOOKUP(Follow[[#This Row],[Id Pedido]],Controle_Pedidos[Número Pedido Cliente],Controle_Pedidos[Loja])</f>
        <v>BV</v>
      </c>
      <c r="E691" s="9">
        <f>_xlfn.XLOOKUP(Follow[[#This Row],[Id Pedido]],Controle_Pedidos[Número Pedido Cliente],Controle_Pedidos[Prazo Entrega])</f>
        <v>45674</v>
      </c>
      <c r="F691" s="9" t="s">
        <v>19433</v>
      </c>
      <c r="G691" s="9" t="s">
        <v>37</v>
      </c>
      <c r="H691" s="52" t="s">
        <v>179</v>
      </c>
      <c r="I691" s="52" t="s">
        <v>178</v>
      </c>
      <c r="J691" s="55">
        <v>45667</v>
      </c>
      <c r="K691" s="52" t="s">
        <v>198</v>
      </c>
      <c r="L691" s="8" t="s">
        <v>124</v>
      </c>
      <c r="M691" s="8" t="s">
        <v>37</v>
      </c>
      <c r="N691" s="52" t="str">
        <f>IF(Follow[[#This Row],[DATAATUALIZAÇÃO]]&lt;=Follow[[#This Row],[Prev Entrega]],"Dentro do Prazo","Fora do Prazo")</f>
        <v>Dentro do Prazo</v>
      </c>
      <c r="O6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627 Rastreio Pedido 627, agradecemos a preferência e adoraríamos receber sua avaliação, tendo qualquer dúvida estamos à disposição.
Att
Tem tudo Shop</v>
      </c>
    </row>
    <row r="692" spans="1:15">
      <c r="A692" s="52" t="str">
        <f>_xlfn.XLOOKUP(Follow[[#This Row],[CODRASTREIO]],Controle_Pedidos[Cód Rastreamento],Controle_Pedidos[Número Pedido Cliente])</f>
        <v>Pedido 356</v>
      </c>
      <c r="B692" s="2" t="s">
        <v>17791</v>
      </c>
      <c r="C692" s="2" t="str">
        <f>Follow[[#This Row],[CODRASTREIO]]&amp;" B"</f>
        <v>CódRastreio349 B</v>
      </c>
      <c r="D692" s="52" t="str">
        <f>_xlfn.XLOOKUP(Follow[[#This Row],[Id Pedido]],Controle_Pedidos[Número Pedido Cliente],Controle_Pedidos[Loja])</f>
        <v>BV</v>
      </c>
      <c r="E692" s="9">
        <f>_xlfn.XLOOKUP(Follow[[#This Row],[Id Pedido]],Controle_Pedidos[Número Pedido Cliente],Controle_Pedidos[Prazo Entrega])</f>
        <v>45631</v>
      </c>
      <c r="F692" s="9" t="s">
        <v>19433</v>
      </c>
      <c r="G692" s="9" t="s">
        <v>37</v>
      </c>
      <c r="H692" s="52" t="s">
        <v>178</v>
      </c>
      <c r="I692" s="52" t="s">
        <v>178</v>
      </c>
      <c r="J692" s="55">
        <v>45617</v>
      </c>
      <c r="K692" s="54" t="s">
        <v>198</v>
      </c>
      <c r="L692" s="8" t="s">
        <v>124</v>
      </c>
      <c r="M692" s="8" t="s">
        <v>37</v>
      </c>
      <c r="N692" s="52" t="str">
        <f>IF(Follow[[#This Row],[DATAATUALIZAÇÃO]]&lt;=Follow[[#This Row],[Prev Entrega]],"Dentro do Prazo","Fora do Prazo")</f>
        <v>Dentro do Prazo</v>
      </c>
      <c r="O6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21/11/2024, referente ao pedido Nº Pedido 356 Rastreio Pedido 356, agradecemos a preferência e adoraríamos receber sua avaliação, tendo qualquer dúvida estamos à disposição.
Att
Tem tudo Shop</v>
      </c>
    </row>
    <row r="693" spans="1:15">
      <c r="A693" s="52" t="str">
        <f>_xlfn.XLOOKUP(Follow[[#This Row],[CODRASTREIO]],Controle_Pedidos[Cód Rastreamento],Controle_Pedidos[Número Pedido Cliente])</f>
        <v>Pedido 629</v>
      </c>
      <c r="B693" s="2" t="s">
        <v>18053</v>
      </c>
      <c r="C693" s="2" t="str">
        <f>Follow[[#This Row],[CODRASTREIO]]&amp;" B"</f>
        <v>CódRastreio611 B</v>
      </c>
      <c r="D693" s="52" t="str">
        <f>_xlfn.XLOOKUP(Follow[[#This Row],[Id Pedido]],Controle_Pedidos[Número Pedido Cliente],Controle_Pedidos[Loja])</f>
        <v>BV</v>
      </c>
      <c r="E693" s="9">
        <f>_xlfn.XLOOKUP(Follow[[#This Row],[Id Pedido]],Controle_Pedidos[Número Pedido Cliente],Controle_Pedidos[Prazo Entrega])</f>
        <v>45681</v>
      </c>
      <c r="F693" s="9" t="s">
        <v>19433</v>
      </c>
      <c r="G693" s="9" t="s">
        <v>37</v>
      </c>
      <c r="H693" s="52" t="s">
        <v>179</v>
      </c>
      <c r="I693" s="52" t="s">
        <v>178</v>
      </c>
      <c r="J693" s="55">
        <v>45670</v>
      </c>
      <c r="K693" s="52" t="s">
        <v>198</v>
      </c>
      <c r="L693" s="8" t="s">
        <v>124</v>
      </c>
      <c r="M693" s="8" t="s">
        <v>37</v>
      </c>
      <c r="N693" s="52" t="str">
        <f>IF(Follow[[#This Row],[DATAATUALIZAÇÃO]]&lt;=Follow[[#This Row],[Prev Entrega]],"Dentro do Prazo","Fora do Prazo")</f>
        <v>Dentro do Prazo</v>
      </c>
      <c r="O6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13/01/2025, referente ao pedido Nº Pedido 629 Rastreio Pedido 629, agradecemos a preferência e adoraríamos receber sua avaliação, tendo qualquer dúvida estamos à disposição.
Att
Tem tudo Shop</v>
      </c>
    </row>
    <row r="694" spans="1:15">
      <c r="A694" s="52" t="str">
        <f>_xlfn.XLOOKUP(Follow[[#This Row],[CODRASTREIO]],Controle_Pedidos[Cód Rastreamento],Controle_Pedidos[Número Pedido Cliente])</f>
        <v>Pedido 630</v>
      </c>
      <c r="B694" s="2" t="s">
        <v>18054</v>
      </c>
      <c r="C694" s="2" t="str">
        <f>Follow[[#This Row],[CODRASTREIO]]&amp;" B"</f>
        <v>CódRastreio612 B</v>
      </c>
      <c r="D694" s="52" t="str">
        <f>_xlfn.XLOOKUP(Follow[[#This Row],[Id Pedido]],Controle_Pedidos[Número Pedido Cliente],Controle_Pedidos[Loja])</f>
        <v>BV</v>
      </c>
      <c r="E694" s="9">
        <f>_xlfn.XLOOKUP(Follow[[#This Row],[Id Pedido]],Controle_Pedidos[Número Pedido Cliente],Controle_Pedidos[Prazo Entrega])</f>
        <v>45675</v>
      </c>
      <c r="F694" s="9" t="s">
        <v>19433</v>
      </c>
      <c r="G694" s="9" t="s">
        <v>37</v>
      </c>
      <c r="H694" s="52" t="s">
        <v>179</v>
      </c>
      <c r="I694" s="52" t="s">
        <v>178</v>
      </c>
      <c r="J694" s="55">
        <v>45668</v>
      </c>
      <c r="K694" s="52" t="s">
        <v>198</v>
      </c>
      <c r="L694" s="8" t="s">
        <v>124</v>
      </c>
      <c r="M694" s="8" t="s">
        <v>199</v>
      </c>
      <c r="N694" s="52" t="str">
        <f>IF(Follow[[#This Row],[DATAATUALIZAÇÃO]]&lt;=Follow[[#This Row],[Prev Entrega]],"Dentro do Prazo","Fora do Prazo")</f>
        <v>Dentro do Prazo</v>
      </c>
      <c r="O6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11/01/2025, referente ao pedido Nº Pedido 630 Rastreio Pedido 630, agradecemos a preferência e adoraríamos receber sua avaliação, tendo qualquer dúvida estamos à disposição.
Att
Tem tudo Shop</v>
      </c>
    </row>
    <row r="695" spans="1:15">
      <c r="A695" s="52" t="str">
        <f>_xlfn.XLOOKUP(Follow[[#This Row],[CODRASTREIO]],Controle_Pedidos[Cód Rastreamento],Controle_Pedidos[Número Pedido Cliente])</f>
        <v>Pedido 334</v>
      </c>
      <c r="B695" s="2" t="s">
        <v>17769</v>
      </c>
      <c r="C695" s="2" t="str">
        <f>Follow[[#This Row],[CODRASTREIO]]&amp;" B"</f>
        <v>CódRastreio327 B</v>
      </c>
      <c r="D695" s="52" t="str">
        <f>_xlfn.XLOOKUP(Follow[[#This Row],[Id Pedido]],Controle_Pedidos[Número Pedido Cliente],Controle_Pedidos[Loja])</f>
        <v>BV</v>
      </c>
      <c r="E695" s="9">
        <f>_xlfn.XLOOKUP(Follow[[#This Row],[Id Pedido]],Controle_Pedidos[Número Pedido Cliente],Controle_Pedidos[Prazo Entrega])</f>
        <v>45633</v>
      </c>
      <c r="F695" s="9" t="s">
        <v>19433</v>
      </c>
      <c r="G695" s="9" t="s">
        <v>37</v>
      </c>
      <c r="H695" s="52" t="s">
        <v>179</v>
      </c>
      <c r="I695" s="52" t="s">
        <v>178</v>
      </c>
      <c r="J695" s="55">
        <v>45618</v>
      </c>
      <c r="K695" s="54" t="s">
        <v>198</v>
      </c>
      <c r="L695" s="8" t="s">
        <v>124</v>
      </c>
      <c r="M695" s="8" t="s">
        <v>37</v>
      </c>
      <c r="N695" s="52" t="str">
        <f>IF(Follow[[#This Row],[DATAATUALIZAÇÃO]]&lt;=Follow[[#This Row],[Prev Entrega]],"Dentro do Prazo","Fora do Prazo")</f>
        <v>Dentro do Prazo</v>
      </c>
      <c r="O6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22/11/2024, referente ao pedido Nº Pedido 334 Rastreio Pedido 334, agradecemos a preferência e adoraríamos receber sua avaliação, tendo qualquer dúvida estamos à disposição.
Att
Tem tudo Shop</v>
      </c>
    </row>
    <row r="696" spans="1:15">
      <c r="A696" s="52" t="str">
        <f>_xlfn.XLOOKUP(Follow[[#This Row],[CODRASTREIO]],Controle_Pedidos[Cód Rastreamento],Controle_Pedidos[Número Pedido Cliente])</f>
        <v>Pedido 634</v>
      </c>
      <c r="B696" s="2" t="s">
        <v>18058</v>
      </c>
      <c r="C696" s="2" t="str">
        <f>Follow[[#This Row],[CODRASTREIO]]&amp;" B"</f>
        <v>CódRastreio616 B</v>
      </c>
      <c r="D696" s="52" t="str">
        <f>_xlfn.XLOOKUP(Follow[[#This Row],[Id Pedido]],Controle_Pedidos[Número Pedido Cliente],Controle_Pedidos[Loja])</f>
        <v>BV</v>
      </c>
      <c r="E696" s="9">
        <f>_xlfn.XLOOKUP(Follow[[#This Row],[Id Pedido]],Controle_Pedidos[Número Pedido Cliente],Controle_Pedidos[Prazo Entrega])</f>
        <v>45681</v>
      </c>
      <c r="F696" s="9" t="s">
        <v>19433</v>
      </c>
      <c r="G696" s="9" t="s">
        <v>37</v>
      </c>
      <c r="H696" s="52" t="s">
        <v>179</v>
      </c>
      <c r="I696" s="52" t="s">
        <v>178</v>
      </c>
      <c r="J696" s="55">
        <v>45667</v>
      </c>
      <c r="K696" s="52" t="s">
        <v>198</v>
      </c>
      <c r="L696" s="8" t="s">
        <v>124</v>
      </c>
      <c r="M696" s="8" t="s">
        <v>37</v>
      </c>
      <c r="N696" s="52" t="str">
        <f>IF(Follow[[#This Row],[DATAATUALIZAÇÃO]]&lt;=Follow[[#This Row],[Prev Entrega]],"Dentro do Prazo","Fora do Prazo")</f>
        <v>Dentro do Prazo</v>
      </c>
      <c r="O6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10/01/2025, referente ao pedido Nº Pedido 634 Rastreio Pedido 634, agradecemos a preferência e adoraríamos receber sua avaliação, tendo qualquer dúvida estamos à disposição.
Att
Tem tudo Shop</v>
      </c>
    </row>
    <row r="697" spans="1:15">
      <c r="A697" s="52" t="str">
        <f>_xlfn.XLOOKUP(Follow[[#This Row],[CODRASTREIO]],Controle_Pedidos[Cód Rastreamento],Controle_Pedidos[Número Pedido Cliente])</f>
        <v>Pedido 291</v>
      </c>
      <c r="B697" s="2" t="s">
        <v>17726</v>
      </c>
      <c r="C697" s="2" t="str">
        <f>Follow[[#This Row],[CODRASTREIO]]&amp;" B"</f>
        <v>CódRastreio284 B</v>
      </c>
      <c r="D697" s="52" t="str">
        <f>_xlfn.XLOOKUP(Follow[[#This Row],[Id Pedido]],Controle_Pedidos[Número Pedido Cliente],Controle_Pedidos[Loja])</f>
        <v>BV</v>
      </c>
      <c r="E697" s="9">
        <f>_xlfn.XLOOKUP(Follow[[#This Row],[Id Pedido]],Controle_Pedidos[Número Pedido Cliente],Controle_Pedidos[Prazo Entrega])</f>
        <v>45624</v>
      </c>
      <c r="F697" s="9" t="s">
        <v>19433</v>
      </c>
      <c r="G697" s="9" t="s">
        <v>37</v>
      </c>
      <c r="H697" s="52" t="s">
        <v>178</v>
      </c>
      <c r="I697" s="52" t="s">
        <v>178</v>
      </c>
      <c r="J697" s="55">
        <v>45614</v>
      </c>
      <c r="K697" s="54" t="s">
        <v>198</v>
      </c>
      <c r="L697" s="8" t="s">
        <v>124</v>
      </c>
      <c r="M697" s="8" t="s">
        <v>37</v>
      </c>
      <c r="N697" s="52" t="str">
        <f>IF(Follow[[#This Row],[DATAATUALIZAÇÃO]]&lt;=Follow[[#This Row],[Prev Entrega]],"Dentro do Prazo","Fora do Prazo")</f>
        <v>Dentro do Prazo</v>
      </c>
      <c r="O6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18/11/2024, referente ao pedido Nº Pedido 291 Rastreio Pedido 291, agradecemos a preferência e adoraríamos receber sua avaliação, tendo qualquer dúvida estamos à disposição.
Att
Tem tudo Shop</v>
      </c>
    </row>
    <row r="698" spans="1:15">
      <c r="A698" s="52" t="str">
        <f>_xlfn.XLOOKUP(Follow[[#This Row],[CODRASTREIO]],Controle_Pedidos[Cód Rastreamento],Controle_Pedidos[Número Pedido Cliente])</f>
        <v>Pedido 100</v>
      </c>
      <c r="B698" s="2" t="s">
        <v>17535</v>
      </c>
      <c r="C698" s="2" t="str">
        <f>Follow[[#This Row],[CODRASTREIO]]&amp;" B"</f>
        <v>CódRastreio93 B</v>
      </c>
      <c r="D698" s="52" t="str">
        <f>_xlfn.XLOOKUP(Follow[[#This Row],[Id Pedido]],Controle_Pedidos[Número Pedido Cliente],Controle_Pedidos[Loja])</f>
        <v>BV</v>
      </c>
      <c r="E698" s="9">
        <f>_xlfn.XLOOKUP(Follow[[#This Row],[Id Pedido]],Controle_Pedidos[Número Pedido Cliente],Controle_Pedidos[Prazo Entrega])</f>
        <v>45610</v>
      </c>
      <c r="F698" s="9" t="s">
        <v>19433</v>
      </c>
      <c r="G698" s="9" t="s">
        <v>37</v>
      </c>
      <c r="H698" s="52" t="s">
        <v>178</v>
      </c>
      <c r="I698" s="52" t="s">
        <v>178</v>
      </c>
      <c r="J698" s="55">
        <v>45596</v>
      </c>
      <c r="K698" s="54" t="s">
        <v>198</v>
      </c>
      <c r="L698" s="8" t="s">
        <v>124</v>
      </c>
      <c r="M698" s="8" t="s">
        <v>37</v>
      </c>
      <c r="N698" s="52" t="str">
        <f>IF(Follow[[#This Row],[DATAATUALIZAÇÃO]]&lt;=Follow[[#This Row],[Prev Entrega]],"Dentro do Prazo","Fora do Prazo")</f>
        <v>Dentro do Prazo</v>
      </c>
      <c r="O69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31/10/2024, referente ao pedido Nº Pedido 100 Rastreio Pedido 100, agradecemos a preferência e adoraríamos receber sua avaliação, tendo qualquer dúvida estamos à disposição.
Att
Tem tudo Shop</v>
      </c>
    </row>
    <row r="699" spans="1:15">
      <c r="A699" s="52" t="str">
        <f>_xlfn.XLOOKUP(Follow[[#This Row],[CODRASTREIO]],Controle_Pedidos[Cód Rastreamento],Controle_Pedidos[Número Pedido Cliente])</f>
        <v>Pedido 635</v>
      </c>
      <c r="B699" s="2" t="s">
        <v>18059</v>
      </c>
      <c r="C699" s="2" t="str">
        <f>Follow[[#This Row],[CODRASTREIO]]&amp;" B"</f>
        <v>CódRastreio617 B</v>
      </c>
      <c r="D699" s="52" t="str">
        <f>_xlfn.XLOOKUP(Follow[[#This Row],[Id Pedido]],Controle_Pedidos[Número Pedido Cliente],Controle_Pedidos[Loja])</f>
        <v>BV</v>
      </c>
      <c r="E699" s="9">
        <f>_xlfn.XLOOKUP(Follow[[#This Row],[Id Pedido]],Controle_Pedidos[Número Pedido Cliente],Controle_Pedidos[Prazo Entrega])</f>
        <v>45681</v>
      </c>
      <c r="F699" s="9" t="s">
        <v>19433</v>
      </c>
      <c r="G699" s="9" t="s">
        <v>37</v>
      </c>
      <c r="H699" s="52" t="s">
        <v>179</v>
      </c>
      <c r="I699" s="52" t="s">
        <v>178</v>
      </c>
      <c r="J699" s="55">
        <v>45670</v>
      </c>
      <c r="K699" s="52" t="s">
        <v>198</v>
      </c>
      <c r="L699" s="8" t="s">
        <v>124</v>
      </c>
      <c r="M699" s="8" t="s">
        <v>199</v>
      </c>
      <c r="N699" s="52" t="str">
        <f>IF(Follow[[#This Row],[DATAATUALIZAÇÃO]]&lt;=Follow[[#This Row],[Prev Entrega]],"Dentro do Prazo","Fora do Prazo")</f>
        <v>Dentro do Prazo</v>
      </c>
      <c r="O6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13/01/2025, referente ao pedido Nº Pedido 635 Rastreio Pedido 635, agradecemos a preferência e adoraríamos receber sua avaliação, tendo qualquer dúvida estamos à disposição.
Att
Tem tudo Shop</v>
      </c>
    </row>
    <row r="700" spans="1:15">
      <c r="A700" s="52" t="str">
        <f>_xlfn.XLOOKUP(Follow[[#This Row],[CODRASTREIO]],Controle_Pedidos[Cód Rastreamento],Controle_Pedidos[Número Pedido Cliente])</f>
        <v>Pedido 261</v>
      </c>
      <c r="B700" s="2" t="s">
        <v>17696</v>
      </c>
      <c r="C700" s="2" t="str">
        <f>Follow[[#This Row],[CODRASTREIO]]&amp;" B"</f>
        <v>CódRastreio254 B</v>
      </c>
      <c r="D700" s="52" t="str">
        <f>_xlfn.XLOOKUP(Follow[[#This Row],[Id Pedido]],Controle_Pedidos[Número Pedido Cliente],Controle_Pedidos[Loja])</f>
        <v>BV</v>
      </c>
      <c r="E700" s="9">
        <f>_xlfn.XLOOKUP(Follow[[#This Row],[Id Pedido]],Controle_Pedidos[Número Pedido Cliente],Controle_Pedidos[Prazo Entrega])</f>
        <v>45629</v>
      </c>
      <c r="F700" s="9" t="s">
        <v>19433</v>
      </c>
      <c r="G700" s="9" t="s">
        <v>37</v>
      </c>
      <c r="H700" s="52" t="s">
        <v>178</v>
      </c>
      <c r="I700" s="52" t="s">
        <v>178</v>
      </c>
      <c r="J700" s="55">
        <v>45612</v>
      </c>
      <c r="K700" s="54" t="s">
        <v>198</v>
      </c>
      <c r="L700" s="8" t="s">
        <v>124</v>
      </c>
      <c r="M700" s="8" t="s">
        <v>37</v>
      </c>
      <c r="N700" s="52" t="str">
        <f>IF(Follow[[#This Row],[DATAATUALIZAÇÃO]]&lt;=Follow[[#This Row],[Prev Entrega]],"Dentro do Prazo","Fora do Prazo")</f>
        <v>Dentro do Prazo</v>
      </c>
      <c r="O7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16/11/2024, referente ao pedido Nº Pedido 261 Rastreio Pedido 261, agradecemos a preferência e adoraríamos receber sua avaliação, tendo qualquer dúvida estamos à disposição.
Att
Tem tudo Shop</v>
      </c>
    </row>
    <row r="701" spans="1:15">
      <c r="A701" s="52" t="str">
        <f>_xlfn.XLOOKUP(Follow[[#This Row],[CODRASTREIO]],Controle_Pedidos[Cód Rastreamento],Controle_Pedidos[Número Pedido Cliente])</f>
        <v>Pedido 282</v>
      </c>
      <c r="B701" s="2" t="s">
        <v>17717</v>
      </c>
      <c r="C701" s="2" t="str">
        <f>Follow[[#This Row],[CODRASTREIO]]&amp;" B"</f>
        <v>CódRastreio275 B</v>
      </c>
      <c r="D701" s="52" t="str">
        <f>_xlfn.XLOOKUP(Follow[[#This Row],[Id Pedido]],Controle_Pedidos[Número Pedido Cliente],Controle_Pedidos[Loja])</f>
        <v>BV</v>
      </c>
      <c r="E701" s="9">
        <f>_xlfn.XLOOKUP(Follow[[#This Row],[Id Pedido]],Controle_Pedidos[Número Pedido Cliente],Controle_Pedidos[Prazo Entrega])</f>
        <v>45618</v>
      </c>
      <c r="F701" s="9" t="s">
        <v>19433</v>
      </c>
      <c r="G701" s="9" t="s">
        <v>37</v>
      </c>
      <c r="H701" s="52" t="s">
        <v>178</v>
      </c>
      <c r="I701" s="52" t="s">
        <v>178</v>
      </c>
      <c r="J701" s="55">
        <v>45607</v>
      </c>
      <c r="K701" s="54" t="s">
        <v>198</v>
      </c>
      <c r="L701" s="8" t="s">
        <v>124</v>
      </c>
      <c r="M701" s="8" t="s">
        <v>37</v>
      </c>
      <c r="N701" s="52" t="str">
        <f>IF(Follow[[#This Row],[DATAATUALIZAÇÃO]]&lt;=Follow[[#This Row],[Prev Entrega]],"Dentro do Prazo","Fora do Prazo")</f>
        <v>Dentro do Prazo</v>
      </c>
      <c r="O7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Multi Processador 5 Laminas foi entregue no dia 11/11/2024, referente ao pedido Nº Pedido 282 Rastreio Pedido 282, agradecemos a preferência e adoraríamos receber sua avaliação, tendo qualquer dúvida estamos à disposição.
Att
Tem tudo Shop</v>
      </c>
    </row>
    <row r="702" spans="1:15">
      <c r="A702" s="52" t="str">
        <f>_xlfn.XLOOKUP(Follow[[#This Row],[CODRASTREIO]],Controle_Pedidos[Cód Rastreamento],Controle_Pedidos[Número Pedido Cliente])</f>
        <v>Pedido 21</v>
      </c>
      <c r="B702" s="2" t="s">
        <v>17454</v>
      </c>
      <c r="C702" s="2" t="str">
        <f>Follow[[#This Row],[CODRASTREIO]]&amp;" B"</f>
        <v>CódRastreio12 B</v>
      </c>
      <c r="D702" s="52" t="str">
        <f>_xlfn.XLOOKUP(Follow[[#This Row],[Id Pedido]],Controle_Pedidos[Número Pedido Cliente],Controle_Pedidos[Loja])</f>
        <v>BV</v>
      </c>
      <c r="E702" s="9">
        <f>_xlfn.XLOOKUP(Follow[[#This Row],[Id Pedido]],Controle_Pedidos[Número Pedido Cliente],Controle_Pedidos[Prazo Entrega])</f>
        <v>45605</v>
      </c>
      <c r="F702" s="9" t="s">
        <v>19433</v>
      </c>
      <c r="G702" s="9" t="s">
        <v>37</v>
      </c>
      <c r="H702" s="52" t="s">
        <v>178</v>
      </c>
      <c r="I702" s="52" t="s">
        <v>178</v>
      </c>
      <c r="J702" s="9">
        <v>45590</v>
      </c>
      <c r="K702" s="54" t="s">
        <v>198</v>
      </c>
      <c r="L702" s="8" t="s">
        <v>124</v>
      </c>
      <c r="M702" s="8" t="s">
        <v>37</v>
      </c>
      <c r="N702" s="52" t="str">
        <f>IF(Follow[[#This Row],[DATAATUALIZAÇÃO]]&lt;=Follow[[#This Row],[Prev Entrega]],"Dentro do Prazo","Fora do Prazo")</f>
        <v>Dentro do Prazo</v>
      </c>
      <c r="O7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25/10/2024, referente ao pedido Nº Pedido 21 Rastreio Pedido 21, agradecemos a preferência e adoraríamos receber sua avaliação, tendo qualquer dúvida estamos à disposição.
Att
Tem tudo Shop</v>
      </c>
    </row>
    <row r="703" spans="1:15">
      <c r="A703" s="52" t="str">
        <f>_xlfn.XLOOKUP(Follow[[#This Row],[CODRASTREIO]],Controle_Pedidos[Cód Rastreamento],Controle_Pedidos[Número Pedido Cliente])</f>
        <v>Pedido 639</v>
      </c>
      <c r="B703" s="2" t="s">
        <v>18063</v>
      </c>
      <c r="C703" s="2" t="str">
        <f>Follow[[#This Row],[CODRASTREIO]]&amp;" B"</f>
        <v>CódRastreio621 B</v>
      </c>
      <c r="D703" s="52" t="str">
        <f>_xlfn.XLOOKUP(Follow[[#This Row],[Id Pedido]],Controle_Pedidos[Número Pedido Cliente],Controle_Pedidos[Loja])</f>
        <v>BV</v>
      </c>
      <c r="E703" s="9">
        <f>_xlfn.XLOOKUP(Follow[[#This Row],[Id Pedido]],Controle_Pedidos[Número Pedido Cliente],Controle_Pedidos[Prazo Entrega])</f>
        <v>45682</v>
      </c>
      <c r="F703" s="9" t="s">
        <v>19433</v>
      </c>
      <c r="G703" s="9" t="s">
        <v>37</v>
      </c>
      <c r="H703" s="52" t="s">
        <v>178</v>
      </c>
      <c r="I703" s="52" t="s">
        <v>178</v>
      </c>
      <c r="J703" s="55">
        <v>45672</v>
      </c>
      <c r="K703" s="52" t="s">
        <v>198</v>
      </c>
      <c r="L703" s="8" t="s">
        <v>124</v>
      </c>
      <c r="M703" s="8" t="s">
        <v>37</v>
      </c>
      <c r="N703" s="52" t="str">
        <f>IF(Follow[[#This Row],[DATAATUALIZAÇÃO]]&lt;=Follow[[#This Row],[Prev Entrega]],"Dentro do Prazo","Fora do Prazo")</f>
        <v>Dentro do Prazo</v>
      </c>
      <c r="O7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15/01/2025, referente ao pedido Nº Pedido 639 Rastreio Pedido 639, agradecemos a preferência e adoraríamos receber sua avaliação, tendo qualquer dúvida estamos à disposição.
Att
Tem tudo Shop</v>
      </c>
    </row>
    <row r="704" spans="1:15">
      <c r="A704" s="52" t="str">
        <f>_xlfn.XLOOKUP(Follow[[#This Row],[CODRASTREIO]],Controle_Pedidos[Cód Rastreamento],Controle_Pedidos[Número Pedido Cliente])</f>
        <v>Pedido 264</v>
      </c>
      <c r="B704" s="2" t="s">
        <v>17699</v>
      </c>
      <c r="C704" s="2" t="str">
        <f>Follow[[#This Row],[CODRASTREIO]]&amp;" B"</f>
        <v>CódRastreio257 B</v>
      </c>
      <c r="D704" s="52" t="str">
        <f>_xlfn.XLOOKUP(Follow[[#This Row],[Id Pedido]],Controle_Pedidos[Número Pedido Cliente],Controle_Pedidos[Loja])</f>
        <v>BV</v>
      </c>
      <c r="E704" s="9">
        <f>_xlfn.XLOOKUP(Follow[[#This Row],[Id Pedido]],Controle_Pedidos[Número Pedido Cliente],Controle_Pedidos[Prazo Entrega])</f>
        <v>45629</v>
      </c>
      <c r="F704" s="9" t="s">
        <v>19433</v>
      </c>
      <c r="G704" s="9" t="s">
        <v>37</v>
      </c>
      <c r="H704" s="52" t="s">
        <v>178</v>
      </c>
      <c r="I704" s="52" t="s">
        <v>178</v>
      </c>
      <c r="J704" s="55">
        <v>45608</v>
      </c>
      <c r="K704" s="54" t="s">
        <v>198</v>
      </c>
      <c r="L704" s="8" t="s">
        <v>124</v>
      </c>
      <c r="M704" s="8" t="s">
        <v>37</v>
      </c>
      <c r="N704" s="52" t="str">
        <f>IF(Follow[[#This Row],[DATAATUALIZAÇÃO]]&lt;=Follow[[#This Row],[Prev Entrega]],"Dentro do Prazo","Fora do Prazo")</f>
        <v>Dentro do Prazo</v>
      </c>
      <c r="O70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Multi Processador 5 Laminas foi entregue no dia 12/11/2024, referente ao pedido Nº Pedido 264 Rastreio Pedido 264, agradecemos a preferência e adoraríamos receber sua avaliação, tendo qualquer dúvida estamos à disposição.
Att
Tem tudo Shop</v>
      </c>
    </row>
    <row r="705" spans="1:15">
      <c r="A705" s="52" t="str">
        <f>_xlfn.XLOOKUP(Follow[[#This Row],[CODRASTREIO]],Controle_Pedidos[Cód Rastreamento],Controle_Pedidos[Número Pedido Cliente])</f>
        <v>Pedido 11</v>
      </c>
      <c r="B705" s="2" t="s">
        <v>17444</v>
      </c>
      <c r="C705" s="2" t="str">
        <f>Follow[[#This Row],[CODRASTREIO]]&amp;" B"</f>
        <v>CódRastreio2 B</v>
      </c>
      <c r="D705" s="52" t="str">
        <f>_xlfn.XLOOKUP(Follow[[#This Row],[Id Pedido]],Controle_Pedidos[Número Pedido Cliente],Controle_Pedidos[Loja])</f>
        <v>BV</v>
      </c>
      <c r="E705" s="9">
        <f>_xlfn.XLOOKUP(Follow[[#This Row],[Id Pedido]],Controle_Pedidos[Número Pedido Cliente],Controle_Pedidos[Prazo Entrega])</f>
        <v>45598</v>
      </c>
      <c r="F705" s="9" t="s">
        <v>19433</v>
      </c>
      <c r="G705" s="9" t="s">
        <v>37</v>
      </c>
      <c r="H705" s="52" t="s">
        <v>178</v>
      </c>
      <c r="I705" s="52" t="s">
        <v>178</v>
      </c>
      <c r="J705" s="9">
        <v>45589</v>
      </c>
      <c r="K705" s="54" t="s">
        <v>198</v>
      </c>
      <c r="L705" s="8" t="s">
        <v>124</v>
      </c>
      <c r="M705" s="8" t="s">
        <v>37</v>
      </c>
      <c r="N705" s="52" t="str">
        <f>IF(Follow[[#This Row],[DATAATUALIZAÇÃO]]&lt;=Follow[[#This Row],[Prev Entrega]],"Dentro do Prazo","Fora do Prazo")</f>
        <v>Dentro do Prazo</v>
      </c>
      <c r="O7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24/10/2024, referente ao pedido Nº Pedido 11 Rastreio Pedido 11, agradecemos a preferência e adoraríamos receber sua avaliação, tendo qualquer dúvida estamos à disposição.
Att
Tem tudo Shop</v>
      </c>
    </row>
    <row r="706" spans="1:15">
      <c r="A706" s="52" t="str">
        <f>_xlfn.XLOOKUP(Follow[[#This Row],[CODRASTREIO]],Controle_Pedidos[Cód Rastreamento],Controle_Pedidos[Número Pedido Cliente])</f>
        <v>Pedido 643</v>
      </c>
      <c r="B706" s="2" t="s">
        <v>18066</v>
      </c>
      <c r="C706" s="2" t="str">
        <f>Follow[[#This Row],[CODRASTREIO]]&amp;" B"</f>
        <v>CódRastreio624 B</v>
      </c>
      <c r="D706" s="52" t="str">
        <f>_xlfn.XLOOKUP(Follow[[#This Row],[Id Pedido]],Controle_Pedidos[Número Pedido Cliente],Controle_Pedidos[Loja])</f>
        <v>BV</v>
      </c>
      <c r="E706" s="9">
        <f>_xlfn.XLOOKUP(Follow[[#This Row],[Id Pedido]],Controle_Pedidos[Número Pedido Cliente],Controle_Pedidos[Prazo Entrega])</f>
        <v>45682</v>
      </c>
      <c r="F706" s="9" t="s">
        <v>19433</v>
      </c>
      <c r="G706" s="9" t="s">
        <v>37</v>
      </c>
      <c r="H706" s="52" t="s">
        <v>178</v>
      </c>
      <c r="I706" s="52" t="s">
        <v>178</v>
      </c>
      <c r="J706" s="55">
        <v>45667</v>
      </c>
      <c r="K706" s="52" t="s">
        <v>198</v>
      </c>
      <c r="L706" s="8" t="s">
        <v>124</v>
      </c>
      <c r="M706" s="8" t="s">
        <v>37</v>
      </c>
      <c r="N706" s="52" t="str">
        <f>IF(Follow[[#This Row],[DATAATUALIZAÇÃO]]&lt;=Follow[[#This Row],[Prev Entrega]],"Dentro do Prazo","Fora do Prazo")</f>
        <v>Dentro do Prazo</v>
      </c>
      <c r="O7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10/01/2025, referente ao pedido Nº Pedido 643 Rastreio Pedido 643, agradecemos a preferência e adoraríamos receber sua avaliação, tendo qualquer dúvida estamos à disposição.
Att
Tem tudo Shop</v>
      </c>
    </row>
    <row r="707" spans="1:15">
      <c r="A707" s="52" t="str">
        <f>_xlfn.XLOOKUP(Follow[[#This Row],[CODRASTREIO]],Controle_Pedidos[Cód Rastreamento],Controle_Pedidos[Número Pedido Cliente])</f>
        <v>Pedido 647</v>
      </c>
      <c r="B707" s="2" t="s">
        <v>18070</v>
      </c>
      <c r="C707" s="2" t="str">
        <f>Follow[[#This Row],[CODRASTREIO]]&amp;" B"</f>
        <v>CódRastreio628 B</v>
      </c>
      <c r="D707" s="52" t="str">
        <f>_xlfn.XLOOKUP(Follow[[#This Row],[Id Pedido]],Controle_Pedidos[Número Pedido Cliente],Controle_Pedidos[Loja])</f>
        <v>BV</v>
      </c>
      <c r="E707" s="9">
        <f>_xlfn.XLOOKUP(Follow[[#This Row],[Id Pedido]],Controle_Pedidos[Número Pedido Cliente],Controle_Pedidos[Prazo Entrega])</f>
        <v>45678</v>
      </c>
      <c r="F707" s="9" t="s">
        <v>19433</v>
      </c>
      <c r="G707" s="9" t="s">
        <v>37</v>
      </c>
      <c r="H707" s="52" t="s">
        <v>179</v>
      </c>
      <c r="I707" s="52" t="s">
        <v>178</v>
      </c>
      <c r="J707" s="55">
        <v>45671</v>
      </c>
      <c r="K707" s="52" t="s">
        <v>198</v>
      </c>
      <c r="L707" s="8" t="s">
        <v>124</v>
      </c>
      <c r="M707" s="8" t="s">
        <v>37</v>
      </c>
      <c r="N707" s="52" t="str">
        <f>IF(Follow[[#This Row],[DATAATUALIZAÇÃO]]&lt;=Follow[[#This Row],[Prev Entrega]],"Dentro do Prazo","Fora do Prazo")</f>
        <v>Dentro do Prazo</v>
      </c>
      <c r="O70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14/01/2025, referente ao pedido Nº Pedido 647 Rastreio Pedido 647, agradecemos a preferência e adoraríamos receber sua avaliação, tendo qualquer dúvida estamos à disposição.
Att
Tem tudo Shop</v>
      </c>
    </row>
    <row r="708" spans="1:15">
      <c r="A708" s="52" t="str">
        <f>_xlfn.XLOOKUP(Follow[[#This Row],[CODRASTREIO]],Controle_Pedidos[Cód Rastreamento],Controle_Pedidos[Número Pedido Cliente])</f>
        <v>Pedido 10</v>
      </c>
      <c r="B708" s="2" t="s">
        <v>17443</v>
      </c>
      <c r="C708" s="2" t="str">
        <f>Follow[[#This Row],[CODRASTREIO]]&amp;" B"</f>
        <v>CódRastreio1 B</v>
      </c>
      <c r="D708" s="52" t="str">
        <f>_xlfn.XLOOKUP(Follow[[#This Row],[Id Pedido]],Controle_Pedidos[Número Pedido Cliente],Controle_Pedidos[Loja])</f>
        <v>BV</v>
      </c>
      <c r="E708" s="9">
        <f>_xlfn.XLOOKUP(Follow[[#This Row],[Id Pedido]],Controle_Pedidos[Número Pedido Cliente],Controle_Pedidos[Prazo Entrega])</f>
        <v>45601</v>
      </c>
      <c r="F708" s="9" t="s">
        <v>19433</v>
      </c>
      <c r="G708" s="9" t="s">
        <v>37</v>
      </c>
      <c r="H708" s="52" t="s">
        <v>178</v>
      </c>
      <c r="I708" s="52" t="s">
        <v>178</v>
      </c>
      <c r="J708" s="55">
        <v>45594</v>
      </c>
      <c r="K708" s="54" t="s">
        <v>198</v>
      </c>
      <c r="L708" s="8" t="s">
        <v>124</v>
      </c>
      <c r="M708" s="8" t="s">
        <v>37</v>
      </c>
      <c r="N708" s="52" t="str">
        <f>IF(Follow[[#This Row],[DATAATUALIZAÇÃO]]&lt;=Follow[[#This Row],[Prev Entrega]],"Dentro do Prazo","Fora do Prazo")</f>
        <v>Dentro do Prazo</v>
      </c>
      <c r="O7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29/10/2024, referente ao pedido Nº Pedido 10 Rastreio Pedido 10, agradecemos a preferência e adoraríamos receber sua avaliação, tendo qualquer dúvida estamos à disposição.
Att
Tem tudo Shop</v>
      </c>
    </row>
    <row r="709" spans="1:15">
      <c r="A709" s="52" t="str">
        <f>_xlfn.XLOOKUP(Follow[[#This Row],[CODRASTREIO]],Controle_Pedidos[Cód Rastreamento],Controle_Pedidos[Número Pedido Cliente])</f>
        <v>Pedido 303</v>
      </c>
      <c r="B709" s="2" t="s">
        <v>17738</v>
      </c>
      <c r="C709" s="2" t="str">
        <f>Follow[[#This Row],[CODRASTREIO]]&amp;" B"</f>
        <v>CódRastreio296 B</v>
      </c>
      <c r="D709" s="52" t="str">
        <f>_xlfn.XLOOKUP(Follow[[#This Row],[Id Pedido]],Controle_Pedidos[Número Pedido Cliente],Controle_Pedidos[Loja])</f>
        <v>BV</v>
      </c>
      <c r="E709" s="9">
        <f>_xlfn.XLOOKUP(Follow[[#This Row],[Id Pedido]],Controle_Pedidos[Número Pedido Cliente],Controle_Pedidos[Prazo Entrega])</f>
        <v>45626</v>
      </c>
      <c r="F709" s="9" t="s">
        <v>19433</v>
      </c>
      <c r="G709" s="9" t="s">
        <v>37</v>
      </c>
      <c r="H709" s="52" t="s">
        <v>178</v>
      </c>
      <c r="I709" s="52" t="s">
        <v>178</v>
      </c>
      <c r="J709" s="55">
        <v>45615</v>
      </c>
      <c r="K709" s="54" t="s">
        <v>198</v>
      </c>
      <c r="L709" s="8" t="s">
        <v>124</v>
      </c>
      <c r="M709" s="8" t="s">
        <v>37</v>
      </c>
      <c r="N709" s="52" t="str">
        <f>IF(Follow[[#This Row],[DATAATUALIZAÇÃO]]&lt;=Follow[[#This Row],[Prev Entrega]],"Dentro do Prazo","Fora do Prazo")</f>
        <v>Dentro do Prazo</v>
      </c>
      <c r="O7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19/11/2024, referente ao pedido Nº Pedido 303 Rastreio Pedido 303, agradecemos a preferência e adoraríamos receber sua avaliação, tendo qualquer dúvida estamos à disposição.
Att
Tem tudo Shop</v>
      </c>
    </row>
    <row r="710" spans="1:15">
      <c r="A710" s="52" t="str">
        <f>_xlfn.XLOOKUP(Follow[[#This Row],[CODRASTREIO]],Controle_Pedidos[Cód Rastreamento],Controle_Pedidos[Número Pedido Cliente])</f>
        <v>Pedido 651</v>
      </c>
      <c r="B710" s="2" t="s">
        <v>18074</v>
      </c>
      <c r="C710" s="2" t="str">
        <f>Follow[[#This Row],[CODRASTREIO]]&amp;" B"</f>
        <v>CódRastreio632 B</v>
      </c>
      <c r="D710" s="52" t="str">
        <f>_xlfn.XLOOKUP(Follow[[#This Row],[Id Pedido]],Controle_Pedidos[Número Pedido Cliente],Controle_Pedidos[Loja])</f>
        <v>BV</v>
      </c>
      <c r="E710" s="9">
        <f>_xlfn.XLOOKUP(Follow[[#This Row],[Id Pedido]],Controle_Pedidos[Número Pedido Cliente],Controle_Pedidos[Prazo Entrega])</f>
        <v>45682</v>
      </c>
      <c r="F710" s="9" t="s">
        <v>19433</v>
      </c>
      <c r="G710" s="9" t="s">
        <v>37</v>
      </c>
      <c r="H710" s="52" t="s">
        <v>179</v>
      </c>
      <c r="I710" s="52" t="s">
        <v>178</v>
      </c>
      <c r="J710" s="55">
        <v>45667</v>
      </c>
      <c r="K710" s="52" t="s">
        <v>198</v>
      </c>
      <c r="L710" s="8" t="s">
        <v>124</v>
      </c>
      <c r="M710" s="8" t="s">
        <v>37</v>
      </c>
      <c r="N710" s="52" t="str">
        <f>IF(Follow[[#This Row],[DATAATUALIZAÇÃO]]&lt;=Follow[[#This Row],[Prev Entrega]],"Dentro do Prazo","Fora do Prazo")</f>
        <v>Dentro do Prazo</v>
      </c>
      <c r="O7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10/01/2025, referente ao pedido Nº Pedido 651 Rastreio Pedido 651, agradecemos a preferência e adoraríamos receber sua avaliação, tendo qualquer dúvida estamos à disposição.
Att
Tem tudo Shop</v>
      </c>
    </row>
    <row r="711" spans="1:15">
      <c r="A711" s="52" t="str">
        <f>_xlfn.XLOOKUP(Follow[[#This Row],[CODRASTREIO]],Controle_Pedidos[Cód Rastreamento],Controle_Pedidos[Número Pedido Cliente])</f>
        <v>Pedido 27</v>
      </c>
      <c r="B711" s="2" t="s">
        <v>17460</v>
      </c>
      <c r="C711" s="2" t="str">
        <f>Follow[[#This Row],[CODRASTREIO]]&amp;" B"</f>
        <v>CódRastreio18 B</v>
      </c>
      <c r="D711" s="52" t="str">
        <f>_xlfn.XLOOKUP(Follow[[#This Row],[Id Pedido]],Controle_Pedidos[Número Pedido Cliente],Controle_Pedidos[Loja])</f>
        <v>BV</v>
      </c>
      <c r="E711" s="9">
        <f>_xlfn.XLOOKUP(Follow[[#This Row],[Id Pedido]],Controle_Pedidos[Número Pedido Cliente],Controle_Pedidos[Prazo Entrega])</f>
        <v>45605</v>
      </c>
      <c r="F711" s="9" t="s">
        <v>19433</v>
      </c>
      <c r="G711" s="9" t="s">
        <v>37</v>
      </c>
      <c r="H711" s="52" t="s">
        <v>178</v>
      </c>
      <c r="I711" s="52" t="s">
        <v>178</v>
      </c>
      <c r="J711" s="9">
        <v>45591</v>
      </c>
      <c r="K711" s="54" t="s">
        <v>198</v>
      </c>
      <c r="L711" s="8" t="s">
        <v>124</v>
      </c>
      <c r="M711" s="8" t="s">
        <v>37</v>
      </c>
      <c r="N711" s="52" t="str">
        <f>IF(Follow[[#This Row],[DATAATUALIZAÇÃO]]&lt;=Follow[[#This Row],[Prev Entrega]],"Dentro do Prazo","Fora do Prazo")</f>
        <v>Dentro do Prazo</v>
      </c>
      <c r="O7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26/10/2024, referente ao pedido Nº Pedido 27 Rastreio Pedido 27, agradecemos a preferência e adoraríamos receber sua avaliação, tendo qualquer dúvida estamos à disposição.
Att
Tem tudo Shop</v>
      </c>
    </row>
    <row r="712" spans="1:15">
      <c r="A712" s="52" t="str">
        <f>_xlfn.XLOOKUP(Follow[[#This Row],[CODRASTREIO]],Controle_Pedidos[Cód Rastreamento],Controle_Pedidos[Número Pedido Cliente])</f>
        <v>Pedido 653</v>
      </c>
      <c r="B712" s="2" t="s">
        <v>18076</v>
      </c>
      <c r="C712" s="2" t="str">
        <f>Follow[[#This Row],[CODRASTREIO]]&amp;" B"</f>
        <v>CódRastreio634 B</v>
      </c>
      <c r="D712" s="52" t="str">
        <f>_xlfn.XLOOKUP(Follow[[#This Row],[Id Pedido]],Controle_Pedidos[Número Pedido Cliente],Controle_Pedidos[Loja])</f>
        <v>BV</v>
      </c>
      <c r="E712" s="9">
        <f>_xlfn.XLOOKUP(Follow[[#This Row],[Id Pedido]],Controle_Pedidos[Número Pedido Cliente],Controle_Pedidos[Prazo Entrega])</f>
        <v>45682</v>
      </c>
      <c r="F712" s="9" t="s">
        <v>19433</v>
      </c>
      <c r="G712" s="9" t="s">
        <v>37</v>
      </c>
      <c r="H712" s="52" t="s">
        <v>179</v>
      </c>
      <c r="I712" s="52" t="s">
        <v>178</v>
      </c>
      <c r="J712" s="55">
        <v>45667</v>
      </c>
      <c r="K712" s="52" t="s">
        <v>198</v>
      </c>
      <c r="L712" s="8" t="s">
        <v>124</v>
      </c>
      <c r="M712" s="8" t="s">
        <v>37</v>
      </c>
      <c r="N712" s="52" t="str">
        <f>IF(Follow[[#This Row],[DATAATUALIZAÇÃO]]&lt;=Follow[[#This Row],[Prev Entrega]],"Dentro do Prazo","Fora do Prazo")</f>
        <v>Dentro do Prazo</v>
      </c>
      <c r="O7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653 Rastreio Pedido 653, agradecemos a preferência e adoraríamos receber sua avaliação, tendo qualquer dúvida estamos à disposição.
Att
Tem tudo Shop</v>
      </c>
    </row>
    <row r="713" spans="1:15">
      <c r="A713" s="52" t="str">
        <f>_xlfn.XLOOKUP(Follow[[#This Row],[CODRASTREIO]],Controle_Pedidos[Cód Rastreamento],Controle_Pedidos[Número Pedido Cliente])</f>
        <v>Pedido 433</v>
      </c>
      <c r="B713" s="2" t="s">
        <v>17861</v>
      </c>
      <c r="C713" s="2" t="str">
        <f>Follow[[#This Row],[CODRASTREIO]]&amp;" B"</f>
        <v>CódRastreio419 B</v>
      </c>
      <c r="D713" s="52" t="str">
        <f>_xlfn.XLOOKUP(Follow[[#This Row],[Id Pedido]],Controle_Pedidos[Número Pedido Cliente],Controle_Pedidos[Loja])</f>
        <v>BV</v>
      </c>
      <c r="E713" s="9">
        <f>_xlfn.XLOOKUP(Follow[[#This Row],[Id Pedido]],Controle_Pedidos[Número Pedido Cliente],Controle_Pedidos[Prazo Entrega])</f>
        <v>45640</v>
      </c>
      <c r="F713" s="9" t="s">
        <v>19433</v>
      </c>
      <c r="G713" s="9" t="s">
        <v>37</v>
      </c>
      <c r="H713" s="55" t="s">
        <v>178</v>
      </c>
      <c r="I713" s="55" t="s">
        <v>178</v>
      </c>
      <c r="J713" s="55">
        <v>45632.827534722222</v>
      </c>
      <c r="K713" s="54" t="s">
        <v>198</v>
      </c>
      <c r="L713" s="8" t="s">
        <v>124</v>
      </c>
      <c r="M713" s="8" t="s">
        <v>37</v>
      </c>
      <c r="N713" s="52" t="str">
        <f>IF(Follow[[#This Row],[DATAATUALIZAÇÃO]]&lt;=Follow[[#This Row],[Prev Entrega]],"Dentro do Prazo","Fora do Prazo")</f>
        <v>Dentro do Prazo</v>
      </c>
      <c r="O7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06/12/2024, referente ao pedido Nº Pedido 433 Rastreio Pedido 433, agradecemos a preferência e adoraríamos receber sua avaliação, tendo qualquer dúvida estamos à disposição.
Att
Tem tudo Shop</v>
      </c>
    </row>
    <row r="714" spans="1:15">
      <c r="A714" s="52" t="str">
        <f>_xlfn.XLOOKUP(Follow[[#This Row],[CODRASTREIO]],Controle_Pedidos[Cód Rastreamento],Controle_Pedidos[Número Pedido Cliente])</f>
        <v>Pedido 371</v>
      </c>
      <c r="B714" s="2" t="s">
        <v>17803</v>
      </c>
      <c r="C714" s="2" t="str">
        <f>Follow[[#This Row],[CODRASTREIO]]&amp;" B"</f>
        <v>CódRastreio361 B</v>
      </c>
      <c r="D714" s="52" t="str">
        <f>_xlfn.XLOOKUP(Follow[[#This Row],[Id Pedido]],Controle_Pedidos[Número Pedido Cliente],Controle_Pedidos[Loja])</f>
        <v>BV</v>
      </c>
      <c r="E714" s="9">
        <f>_xlfn.XLOOKUP(Follow[[#This Row],[Id Pedido]],Controle_Pedidos[Número Pedido Cliente],Controle_Pedidos[Prazo Entrega])</f>
        <v>45639</v>
      </c>
      <c r="F714" s="9" t="s">
        <v>19433</v>
      </c>
      <c r="G714" s="9" t="s">
        <v>37</v>
      </c>
      <c r="H714" s="52" t="s">
        <v>178</v>
      </c>
      <c r="I714" s="52" t="s">
        <v>178</v>
      </c>
      <c r="J714" s="55">
        <v>45622</v>
      </c>
      <c r="K714" s="54" t="s">
        <v>198</v>
      </c>
      <c r="L714" s="8" t="s">
        <v>124</v>
      </c>
      <c r="M714" s="8" t="s">
        <v>37</v>
      </c>
      <c r="N714" s="52" t="str">
        <f>IF(Follow[[#This Row],[DATAATUALIZAÇÃO]]&lt;=Follow[[#This Row],[Prev Entrega]],"Dentro do Prazo","Fora do Prazo")</f>
        <v>Dentro do Prazo</v>
      </c>
      <c r="O7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Preto foi entregue no dia 26/11/2024, referente ao pedido Nº Pedido 371 Rastreio Pedido 371, agradecemos a preferência e adoraríamos receber sua avaliação, tendo qualquer dúvida estamos à disposição.
Att
Tem tudo Shop</v>
      </c>
    </row>
    <row r="715" spans="1:15">
      <c r="A715" s="52" t="str">
        <f>_xlfn.XLOOKUP(Follow[[#This Row],[CODRASTREIO]],Controle_Pedidos[Cód Rastreamento],Controle_Pedidos[Número Pedido Cliente])</f>
        <v>Pedido 154</v>
      </c>
      <c r="B715" s="2" t="s">
        <v>17589</v>
      </c>
      <c r="C715" s="2" t="str">
        <f>Follow[[#This Row],[CODRASTREIO]]&amp;" B"</f>
        <v>CódRastreio147 B</v>
      </c>
      <c r="D715" s="52" t="str">
        <f>_xlfn.XLOOKUP(Follow[[#This Row],[Id Pedido]],Controle_Pedidos[Número Pedido Cliente],Controle_Pedidos[Loja])</f>
        <v>BV</v>
      </c>
      <c r="E715" s="9">
        <f>_xlfn.XLOOKUP(Follow[[#This Row],[Id Pedido]],Controle_Pedidos[Número Pedido Cliente],Controle_Pedidos[Prazo Entrega])</f>
        <v>45619</v>
      </c>
      <c r="F715" s="9" t="s">
        <v>19433</v>
      </c>
      <c r="G715" s="9" t="s">
        <v>37</v>
      </c>
      <c r="H715" s="52" t="s">
        <v>178</v>
      </c>
      <c r="I715" s="52" t="s">
        <v>178</v>
      </c>
      <c r="J715" s="55">
        <v>45607</v>
      </c>
      <c r="K715" s="54" t="s">
        <v>198</v>
      </c>
      <c r="L715" s="8" t="s">
        <v>124</v>
      </c>
      <c r="M715" s="8" t="s">
        <v>37</v>
      </c>
      <c r="N715" s="52" t="str">
        <f>IF(Follow[[#This Row],[DATAATUALIZAÇÃO]]&lt;=Follow[[#This Row],[Prev Entrega]],"Dentro do Prazo","Fora do Prazo")</f>
        <v>Dentro do Prazo</v>
      </c>
      <c r="O7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11/11/2024, referente ao pedido Nº Pedido 154 Rastreio Pedido 154, agradecemos a preferência e adoraríamos receber sua avaliação, tendo qualquer dúvida estamos à disposição.
Att
Tem tudo Shop</v>
      </c>
    </row>
    <row r="716" spans="1:15">
      <c r="A716" s="52" t="str">
        <f>_xlfn.XLOOKUP(Follow[[#This Row],[CODRASTREIO]],Controle_Pedidos[Cód Rastreamento],Controle_Pedidos[Número Pedido Cliente])</f>
        <v>Pedido 460</v>
      </c>
      <c r="B716" s="2" t="s">
        <v>17887</v>
      </c>
      <c r="C716" s="2" t="str">
        <f>Follow[[#This Row],[CODRASTREIO]]&amp;" B"</f>
        <v>CódRastreio445 B</v>
      </c>
      <c r="D716" s="52" t="str">
        <f>_xlfn.XLOOKUP(Follow[[#This Row],[Id Pedido]],Controle_Pedidos[Número Pedido Cliente],Controle_Pedidos[Loja])</f>
        <v>BV</v>
      </c>
      <c r="E716" s="9">
        <f>_xlfn.XLOOKUP(Follow[[#This Row],[Id Pedido]],Controle_Pedidos[Número Pedido Cliente],Controle_Pedidos[Prazo Entrega])</f>
        <v>45645</v>
      </c>
      <c r="F716" s="9" t="s">
        <v>19433</v>
      </c>
      <c r="G716" s="9" t="s">
        <v>37</v>
      </c>
      <c r="H716" s="55" t="s">
        <v>178</v>
      </c>
      <c r="I716" s="55" t="s">
        <v>178</v>
      </c>
      <c r="J716" s="55">
        <v>45632.673171296294</v>
      </c>
      <c r="K716" s="54" t="s">
        <v>198</v>
      </c>
      <c r="L716" s="8" t="s">
        <v>124</v>
      </c>
      <c r="M716" s="8" t="s">
        <v>37</v>
      </c>
      <c r="N716" s="52" t="str">
        <f>IF(Follow[[#This Row],[DATAATUALIZAÇÃO]]&lt;=Follow[[#This Row],[Prev Entrega]],"Dentro do Prazo","Fora do Prazo")</f>
        <v>Dentro do Prazo</v>
      </c>
      <c r="O7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06/12/2024, referente ao pedido Nº Pedido 460 Rastreio Pedido 460, agradecemos a preferência e adoraríamos receber sua avaliação, tendo qualquer dúvida estamos à disposição.
Att
Tem tudo Shop</v>
      </c>
    </row>
    <row r="717" spans="1:15">
      <c r="A717" s="52" t="str">
        <f>_xlfn.XLOOKUP(Follow[[#This Row],[CODRASTREIO]],Controle_Pedidos[Cód Rastreamento],Controle_Pedidos[Número Pedido Cliente])</f>
        <v>Pedido 660</v>
      </c>
      <c r="B717" s="2" t="s">
        <v>18082</v>
      </c>
      <c r="C717" s="2" t="str">
        <f>Follow[[#This Row],[CODRASTREIO]]&amp;" B"</f>
        <v>CódRastreio640 B</v>
      </c>
      <c r="D717" s="52" t="str">
        <f>_xlfn.XLOOKUP(Follow[[#This Row],[Id Pedido]],Controle_Pedidos[Número Pedido Cliente],Controle_Pedidos[Loja])</f>
        <v>BV</v>
      </c>
      <c r="E717" s="9">
        <f>_xlfn.XLOOKUP(Follow[[#This Row],[Id Pedido]],Controle_Pedidos[Número Pedido Cliente],Controle_Pedidos[Prazo Entrega])</f>
        <v>45685</v>
      </c>
      <c r="F717" s="9" t="s">
        <v>19433</v>
      </c>
      <c r="G717" s="9" t="s">
        <v>37</v>
      </c>
      <c r="H717" s="52" t="s">
        <v>179</v>
      </c>
      <c r="I717" s="52" t="s">
        <v>178</v>
      </c>
      <c r="J717" s="55">
        <v>45667</v>
      </c>
      <c r="K717" s="52" t="s">
        <v>198</v>
      </c>
      <c r="L717" s="8" t="s">
        <v>124</v>
      </c>
      <c r="M717" s="8" t="s">
        <v>203</v>
      </c>
      <c r="N717" s="52" t="str">
        <f>IF(Follow[[#This Row],[DATAATUALIZAÇÃO]]&lt;=Follow[[#This Row],[Prev Entrega]],"Dentro do Prazo","Fora do Prazo")</f>
        <v>Dentro do Prazo</v>
      </c>
      <c r="O717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660 Rastreio Pedido 660, agradecemos a preferência e adoraríamos receber sua avaliação, tendo qualquer dúvida estamos à disposição.
Att
Tem tudo Shop</v>
      </c>
    </row>
    <row r="718" spans="1:15">
      <c r="A718" s="52" t="str">
        <f>_xlfn.XLOOKUP(Follow[[#This Row],[CODRASTREIO]],Controle_Pedidos[Cód Rastreamento],Controle_Pedidos[Número Pedido Cliente])</f>
        <v>Pedido 277</v>
      </c>
      <c r="B718" s="2" t="s">
        <v>17712</v>
      </c>
      <c r="C718" s="2" t="str">
        <f>Follow[[#This Row],[CODRASTREIO]]&amp;" B"</f>
        <v>CódRastreio270 B</v>
      </c>
      <c r="D718" s="52" t="str">
        <f>_xlfn.XLOOKUP(Follow[[#This Row],[Id Pedido]],Controle_Pedidos[Número Pedido Cliente],Controle_Pedidos[Loja])</f>
        <v>BV</v>
      </c>
      <c r="E718" s="9">
        <f>_xlfn.XLOOKUP(Follow[[#This Row],[Id Pedido]],Controle_Pedidos[Número Pedido Cliente],Controle_Pedidos[Prazo Entrega])</f>
        <v>45630</v>
      </c>
      <c r="F718" s="9" t="s">
        <v>19433</v>
      </c>
      <c r="G718" s="9" t="s">
        <v>37</v>
      </c>
      <c r="H718" s="52" t="s">
        <v>178</v>
      </c>
      <c r="I718" s="52" t="s">
        <v>178</v>
      </c>
      <c r="J718" s="55">
        <v>45614</v>
      </c>
      <c r="K718" s="54" t="s">
        <v>198</v>
      </c>
      <c r="L718" s="8" t="s">
        <v>124</v>
      </c>
      <c r="M718" s="8" t="s">
        <v>37</v>
      </c>
      <c r="N718" s="52" t="str">
        <f>IF(Follow[[#This Row],[DATAATUALIZAÇÃO]]&lt;=Follow[[#This Row],[Prev Entrega]],"Dentro do Prazo","Fora do Prazo")</f>
        <v>Dentro do Prazo</v>
      </c>
      <c r="O7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18/11/2024, referente ao pedido Nº Pedido 277 Rastreio Pedido 277, agradecemos a preferência e adoraríamos receber sua avaliação, tendo qualquer dúvida estamos à disposição.
Att
Tem tudo Shop</v>
      </c>
    </row>
    <row r="719" spans="1:15">
      <c r="A719" s="52" t="str">
        <f>_xlfn.XLOOKUP(Follow[[#This Row],[CODRASTREIO]],Controle_Pedidos[Cód Rastreamento],Controle_Pedidos[Número Pedido Cliente])</f>
        <v>Pedido 15</v>
      </c>
      <c r="B719" s="2" t="s">
        <v>17448</v>
      </c>
      <c r="C719" s="2" t="str">
        <f>Follow[[#This Row],[CODRASTREIO]]&amp;" B"</f>
        <v>CódRastreio6 B</v>
      </c>
      <c r="D719" s="52" t="str">
        <f>_xlfn.XLOOKUP(Follow[[#This Row],[Id Pedido]],Controle_Pedidos[Número Pedido Cliente],Controle_Pedidos[Loja])</f>
        <v>BV</v>
      </c>
      <c r="E719" s="9">
        <f>_xlfn.XLOOKUP(Follow[[#This Row],[Id Pedido]],Controle_Pedidos[Número Pedido Cliente],Controle_Pedidos[Prazo Entrega])</f>
        <v>45610</v>
      </c>
      <c r="F719" s="9" t="s">
        <v>19433</v>
      </c>
      <c r="G719" s="9" t="s">
        <v>37</v>
      </c>
      <c r="H719" s="52" t="s">
        <v>178</v>
      </c>
      <c r="I719" s="52" t="s">
        <v>178</v>
      </c>
      <c r="J719" s="55">
        <v>45596</v>
      </c>
      <c r="K719" s="54" t="s">
        <v>198</v>
      </c>
      <c r="L719" s="8" t="s">
        <v>124</v>
      </c>
      <c r="M719" s="8" t="s">
        <v>37</v>
      </c>
      <c r="N719" s="52" t="str">
        <f>IF(Follow[[#This Row],[DATAATUALIZAÇÃO]]&lt;=Follow[[#This Row],[Prev Entrega]],"Dentro do Prazo","Fora do Prazo")</f>
        <v>Dentro do Prazo</v>
      </c>
      <c r="O7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31/10/2024, referente ao pedido Nº Pedido 15 Rastreio Pedido 15, agradecemos a preferência e adoraríamos receber sua avaliação, tendo qualquer dúvida estamos à disposição.
Att
Tem tudo Shop</v>
      </c>
    </row>
    <row r="720" spans="1:15">
      <c r="A720" s="52" t="str">
        <f>_xlfn.XLOOKUP(Follow[[#This Row],[CODRASTREIO]],Controle_Pedidos[Cód Rastreamento],Controle_Pedidos[Número Pedido Cliente])</f>
        <v>Pedido 646</v>
      </c>
      <c r="B720" s="2" t="s">
        <v>18069</v>
      </c>
      <c r="C720" s="2" t="str">
        <f>Follow[[#This Row],[CODRASTREIO]]&amp;" B"</f>
        <v>CódRastreio627 B</v>
      </c>
      <c r="D720" s="52" t="str">
        <f>_xlfn.XLOOKUP(Follow[[#This Row],[Id Pedido]],Controle_Pedidos[Número Pedido Cliente],Controle_Pedidos[Loja])</f>
        <v>BV</v>
      </c>
      <c r="E720" s="9">
        <f>_xlfn.XLOOKUP(Follow[[#This Row],[Id Pedido]],Controle_Pedidos[Número Pedido Cliente],Controle_Pedidos[Prazo Entrega])</f>
        <v>45678</v>
      </c>
      <c r="F720" s="9" t="s">
        <v>19433</v>
      </c>
      <c r="G720" s="9" t="s">
        <v>37</v>
      </c>
      <c r="H720" s="52" t="s">
        <v>178</v>
      </c>
      <c r="I720" s="52" t="s">
        <v>178</v>
      </c>
      <c r="J720" s="55">
        <v>45667</v>
      </c>
      <c r="K720" s="52" t="s">
        <v>198</v>
      </c>
      <c r="L720" s="8" t="s">
        <v>124</v>
      </c>
      <c r="M720" s="8" t="s">
        <v>37</v>
      </c>
      <c r="N720" s="52" t="str">
        <f>IF(Follow[[#This Row],[DATAATUALIZAÇÃO]]&lt;=Follow[[#This Row],[Prev Entrega]],"Dentro do Prazo","Fora do Prazo")</f>
        <v>Dentro do Prazo</v>
      </c>
      <c r="O7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10/01/2025, referente ao pedido Nº Pedido 646 Rastreio Pedido 646, agradecemos a preferência e adoraríamos receber sua avaliação, tendo qualquer dúvida estamos à disposição.
Att
Tem tudo Shop</v>
      </c>
    </row>
    <row r="721" spans="1:15">
      <c r="A721" s="52" t="str">
        <f>_xlfn.XLOOKUP(Follow[[#This Row],[CODRASTREIO]],Controle_Pedidos[Cód Rastreamento],Controle_Pedidos[Número Pedido Cliente])</f>
        <v>Pedido 648</v>
      </c>
      <c r="B721" s="2" t="s">
        <v>18071</v>
      </c>
      <c r="C721" s="2" t="str">
        <f>Follow[[#This Row],[CODRASTREIO]]&amp;" B"</f>
        <v>CódRastreio629 B</v>
      </c>
      <c r="D721" s="52" t="str">
        <f>_xlfn.XLOOKUP(Follow[[#This Row],[Id Pedido]],Controle_Pedidos[Número Pedido Cliente],Controle_Pedidos[Loja])</f>
        <v>BV</v>
      </c>
      <c r="E721" s="9">
        <f>_xlfn.XLOOKUP(Follow[[#This Row],[Id Pedido]],Controle_Pedidos[Número Pedido Cliente],Controle_Pedidos[Prazo Entrega])</f>
        <v>45678</v>
      </c>
      <c r="F721" s="9" t="s">
        <v>19433</v>
      </c>
      <c r="G721" s="9" t="s">
        <v>37</v>
      </c>
      <c r="H721" s="52" t="s">
        <v>178</v>
      </c>
      <c r="I721" s="52" t="s">
        <v>178</v>
      </c>
      <c r="J721" s="55">
        <v>45667</v>
      </c>
      <c r="K721" s="52" t="s">
        <v>198</v>
      </c>
      <c r="L721" s="8" t="s">
        <v>124</v>
      </c>
      <c r="M721" s="8" t="s">
        <v>37</v>
      </c>
      <c r="N721" s="52" t="str">
        <f>IF(Follow[[#This Row],[DATAATUALIZAÇÃO]]&lt;=Follow[[#This Row],[Prev Entrega]],"Dentro do Prazo","Fora do Prazo")</f>
        <v>Dentro do Prazo</v>
      </c>
      <c r="O7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10/01/2025, referente ao pedido Nº Pedido 648 Rastreio Pedido 648, agradecemos a preferência e adoraríamos receber sua avaliação, tendo qualquer dúvida estamos à disposição.
Att
Tem tudo Shop</v>
      </c>
    </row>
    <row r="722" spans="1:15">
      <c r="A722" s="52" t="str">
        <f>_xlfn.XLOOKUP(Follow[[#This Row],[CODRASTREIO]],Controle_Pedidos[Cód Rastreamento],Controle_Pedidos[Número Pedido Cliente])</f>
        <v>Pedido 662</v>
      </c>
      <c r="B722" s="2" t="s">
        <v>18084</v>
      </c>
      <c r="C722" s="2" t="str">
        <f>Follow[[#This Row],[CODRASTREIO]]&amp;" B"</f>
        <v>CódRastreio642 B</v>
      </c>
      <c r="D722" s="52" t="str">
        <f>_xlfn.XLOOKUP(Follow[[#This Row],[Id Pedido]],Controle_Pedidos[Número Pedido Cliente],Controle_Pedidos[Loja])</f>
        <v>BV</v>
      </c>
      <c r="E722" s="9">
        <f>_xlfn.XLOOKUP(Follow[[#This Row],[Id Pedido]],Controle_Pedidos[Número Pedido Cliente],Controle_Pedidos[Prazo Entrega])</f>
        <v>45685</v>
      </c>
      <c r="F722" s="9" t="s">
        <v>19433</v>
      </c>
      <c r="G722" s="9" t="s">
        <v>37</v>
      </c>
      <c r="H722" s="52" t="s">
        <v>178</v>
      </c>
      <c r="I722" s="52" t="s">
        <v>178</v>
      </c>
      <c r="J722" s="55">
        <v>45669</v>
      </c>
      <c r="K722" s="52" t="s">
        <v>198</v>
      </c>
      <c r="L722" s="8" t="s">
        <v>124</v>
      </c>
      <c r="M722" s="8" t="s">
        <v>37</v>
      </c>
      <c r="N722" s="52" t="str">
        <f>IF(Follow[[#This Row],[DATAATUALIZAÇÃO]]&lt;=Follow[[#This Row],[Prev Entrega]],"Dentro do Prazo","Fora do Prazo")</f>
        <v>Dentro do Prazo</v>
      </c>
      <c r="O7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12/01/2025, referente ao pedido Nº Pedido 662 Rastreio Pedido 662, agradecemos a preferência e adoraríamos receber sua avaliação, tendo qualquer dúvida estamos à disposição.
Att
Tem tudo Shop</v>
      </c>
    </row>
    <row r="723" spans="1:15">
      <c r="A723" s="52" t="str">
        <f>_xlfn.XLOOKUP(Follow[[#This Row],[CODRASTREIO]],Controle_Pedidos[Cód Rastreamento],Controle_Pedidos[Número Pedido Cliente])</f>
        <v>Pedido 664</v>
      </c>
      <c r="B723" s="2" t="s">
        <v>18086</v>
      </c>
      <c r="C723" s="2" t="str">
        <f>Follow[[#This Row],[CODRASTREIO]]&amp;" B"</f>
        <v>CódRastreio644 B</v>
      </c>
      <c r="D723" s="52" t="str">
        <f>_xlfn.XLOOKUP(Follow[[#This Row],[Id Pedido]],Controle_Pedidos[Número Pedido Cliente],Controle_Pedidos[Loja])</f>
        <v>BV</v>
      </c>
      <c r="E723" s="9">
        <f>_xlfn.XLOOKUP(Follow[[#This Row],[Id Pedido]],Controle_Pedidos[Número Pedido Cliente],Controle_Pedidos[Prazo Entrega])</f>
        <v>45685</v>
      </c>
      <c r="F723" s="9" t="s">
        <v>19433</v>
      </c>
      <c r="G723" s="9" t="s">
        <v>37</v>
      </c>
      <c r="H723" s="52" t="s">
        <v>178</v>
      </c>
      <c r="I723" s="52" t="s">
        <v>178</v>
      </c>
      <c r="J723" s="55">
        <v>45671</v>
      </c>
      <c r="K723" s="52" t="s">
        <v>198</v>
      </c>
      <c r="L723" s="8" t="s">
        <v>124</v>
      </c>
      <c r="M723" s="8" t="s">
        <v>37</v>
      </c>
      <c r="N723" s="52" t="str">
        <f>IF(Follow[[#This Row],[DATAATUALIZAÇÃO]]&lt;=Follow[[#This Row],[Prev Entrega]],"Dentro do Prazo","Fora do Prazo")</f>
        <v>Dentro do Prazo</v>
      </c>
      <c r="O7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14/01/2025, referente ao pedido Nº Pedido 664 Rastreio Pedido 664, agradecemos a preferência e adoraríamos receber sua avaliação, tendo qualquer dúvida estamos à disposição.
Att
Tem tudo Shop</v>
      </c>
    </row>
    <row r="724" spans="1:15">
      <c r="A724" s="52" t="str">
        <f>_xlfn.XLOOKUP(Follow[[#This Row],[CODRASTREIO]],Controle_Pedidos[Cód Rastreamento],Controle_Pedidos[Número Pedido Cliente])</f>
        <v>Pedido 666</v>
      </c>
      <c r="B724" s="2" t="s">
        <v>18088</v>
      </c>
      <c r="C724" s="2" t="str">
        <f>Follow[[#This Row],[CODRASTREIO]]&amp;" B"</f>
        <v>CódRastreio646 B</v>
      </c>
      <c r="D724" s="52" t="str">
        <f>_xlfn.XLOOKUP(Follow[[#This Row],[Id Pedido]],Controle_Pedidos[Número Pedido Cliente],Controle_Pedidos[Loja])</f>
        <v>BV</v>
      </c>
      <c r="E724" s="9">
        <f>_xlfn.XLOOKUP(Follow[[#This Row],[Id Pedido]],Controle_Pedidos[Número Pedido Cliente],Controle_Pedidos[Prazo Entrega])</f>
        <v>45679</v>
      </c>
      <c r="F724" s="9" t="s">
        <v>19433</v>
      </c>
      <c r="G724" s="9" t="s">
        <v>37</v>
      </c>
      <c r="H724" s="52" t="s">
        <v>179</v>
      </c>
      <c r="I724" s="52" t="s">
        <v>178</v>
      </c>
      <c r="J724" s="55">
        <v>45667</v>
      </c>
      <c r="K724" s="52" t="s">
        <v>198</v>
      </c>
      <c r="L724" s="8" t="s">
        <v>124</v>
      </c>
      <c r="M724" s="8" t="s">
        <v>37</v>
      </c>
      <c r="N724" s="52" t="str">
        <f>IF(Follow[[#This Row],[DATAATUALIZAÇÃO]]&lt;=Follow[[#This Row],[Prev Entrega]],"Dentro do Prazo","Fora do Prazo")</f>
        <v>Dentro do Prazo</v>
      </c>
      <c r="O7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666 Rastreio Pedido 666, agradecemos a preferência e adoraríamos receber sua avaliação, tendo qualquer dúvida estamos à disposição.
Att
Tem tudo Shop</v>
      </c>
    </row>
    <row r="725" spans="1:15">
      <c r="A725" s="52" t="str">
        <f>_xlfn.XLOOKUP(Follow[[#This Row],[CODRASTREIO]],Controle_Pedidos[Cód Rastreamento],Controle_Pedidos[Número Pedido Cliente])</f>
        <v>Pedido 667</v>
      </c>
      <c r="B725" s="2" t="s">
        <v>18089</v>
      </c>
      <c r="C725" s="2" t="str">
        <f>Follow[[#This Row],[CODRASTREIO]]&amp;" B"</f>
        <v>CódRastreio647 B</v>
      </c>
      <c r="D725" s="52" t="str">
        <f>_xlfn.XLOOKUP(Follow[[#This Row],[Id Pedido]],Controle_Pedidos[Número Pedido Cliente],Controle_Pedidos[Loja])</f>
        <v>BV</v>
      </c>
      <c r="E725" s="9">
        <f>_xlfn.XLOOKUP(Follow[[#This Row],[Id Pedido]],Controle_Pedidos[Número Pedido Cliente],Controle_Pedidos[Prazo Entrega])</f>
        <v>45679</v>
      </c>
      <c r="F725" s="9" t="s">
        <v>19433</v>
      </c>
      <c r="G725" s="9" t="s">
        <v>37</v>
      </c>
      <c r="H725" s="52" t="s">
        <v>179</v>
      </c>
      <c r="I725" s="52" t="s">
        <v>178</v>
      </c>
      <c r="J725" s="55">
        <v>45670</v>
      </c>
      <c r="K725" s="52" t="s">
        <v>198</v>
      </c>
      <c r="L725" s="8" t="s">
        <v>124</v>
      </c>
      <c r="M725" s="8" t="s">
        <v>37</v>
      </c>
      <c r="N725" s="52" t="str">
        <f>IF(Follow[[#This Row],[DATAATUALIZAÇÃO]]&lt;=Follow[[#This Row],[Prev Entrega]],"Dentro do Prazo","Fora do Prazo")</f>
        <v>Dentro do Prazo</v>
      </c>
      <c r="O7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13/01/2025, referente ao pedido Nº Pedido 667 Rastreio Pedido 667, agradecemos a preferência e adoraríamos receber sua avaliação, tendo qualquer dúvida estamos à disposição.
Att
Tem tudo Shop</v>
      </c>
    </row>
    <row r="726" spans="1:15">
      <c r="A726" s="52" t="str">
        <f>_xlfn.XLOOKUP(Follow[[#This Row],[CODRASTREIO]],Controle_Pedidos[Cód Rastreamento],Controle_Pedidos[Número Pedido Cliente])</f>
        <v>Pedido 89</v>
      </c>
      <c r="B726" s="2" t="s">
        <v>17524</v>
      </c>
      <c r="C726" s="2" t="str">
        <f>Follow[[#This Row],[CODRASTREIO]]&amp;" B"</f>
        <v>CódRastreio82 B</v>
      </c>
      <c r="D726" s="52" t="str">
        <f>_xlfn.XLOOKUP(Follow[[#This Row],[Id Pedido]],Controle_Pedidos[Número Pedido Cliente],Controle_Pedidos[Loja])</f>
        <v>BV</v>
      </c>
      <c r="E726" s="9">
        <f>_xlfn.XLOOKUP(Follow[[#This Row],[Id Pedido]],Controle_Pedidos[Número Pedido Cliente],Controle_Pedidos[Prazo Entrega])</f>
        <v>45610</v>
      </c>
      <c r="F726" s="9" t="s">
        <v>19433</v>
      </c>
      <c r="G726" s="9" t="s">
        <v>37</v>
      </c>
      <c r="H726" s="52" t="s">
        <v>178</v>
      </c>
      <c r="I726" s="52" t="s">
        <v>178</v>
      </c>
      <c r="J726" s="55">
        <v>45596</v>
      </c>
      <c r="K726" s="54" t="s">
        <v>198</v>
      </c>
      <c r="L726" s="8" t="s">
        <v>124</v>
      </c>
      <c r="M726" s="8" t="s">
        <v>37</v>
      </c>
      <c r="N726" s="52" t="str">
        <f>IF(Follow[[#This Row],[DATAATUALIZAÇÃO]]&lt;=Follow[[#This Row],[Prev Entrega]],"Dentro do Prazo","Fora do Prazo")</f>
        <v>Dentro do Prazo</v>
      </c>
      <c r="O7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31/10/2024, referente ao pedido Nº Pedido 89 Rastreio Pedido 89, agradecemos a preferência e adoraríamos receber sua avaliação, tendo qualquer dúvida estamos à disposição.
Att
Tem tudo Shop</v>
      </c>
    </row>
    <row r="727" spans="1:15">
      <c r="A727" s="52" t="str">
        <f>_xlfn.XLOOKUP(Follow[[#This Row],[CODRASTREIO]],Controle_Pedidos[Cód Rastreamento],Controle_Pedidos[Número Pedido Cliente])</f>
        <v>Pedido 670</v>
      </c>
      <c r="B727" s="2" t="s">
        <v>18092</v>
      </c>
      <c r="C727" s="2" t="str">
        <f>Follow[[#This Row],[CODRASTREIO]]&amp;" B"</f>
        <v>CódRastreio650 B</v>
      </c>
      <c r="D727" s="52" t="str">
        <f>_xlfn.XLOOKUP(Follow[[#This Row],[Id Pedido]],Controle_Pedidos[Número Pedido Cliente],Controle_Pedidos[Loja])</f>
        <v>BV</v>
      </c>
      <c r="E727" s="9">
        <f>_xlfn.XLOOKUP(Follow[[#This Row],[Id Pedido]],Controle_Pedidos[Número Pedido Cliente],Controle_Pedidos[Prazo Entrega])</f>
        <v>45679</v>
      </c>
      <c r="F727" s="9" t="s">
        <v>19433</v>
      </c>
      <c r="G727" s="9" t="s">
        <v>37</v>
      </c>
      <c r="H727" s="52" t="s">
        <v>179</v>
      </c>
      <c r="I727" s="52" t="s">
        <v>178</v>
      </c>
      <c r="J727" s="55">
        <v>45671</v>
      </c>
      <c r="K727" s="52" t="s">
        <v>198</v>
      </c>
      <c r="L727" s="8" t="s">
        <v>124</v>
      </c>
      <c r="M727" s="8" t="s">
        <v>37</v>
      </c>
      <c r="N727" s="52" t="str">
        <f>IF(Follow[[#This Row],[DATAATUALIZAÇÃO]]&lt;=Follow[[#This Row],[Prev Entrega]],"Dentro do Prazo","Fora do Prazo")</f>
        <v>Dentro do Prazo</v>
      </c>
      <c r="O7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14/01/2025, referente ao pedido Nº Pedido 670 Rastreio Pedido 670, agradecemos a preferência e adoraríamos receber sua avaliação, tendo qualquer dúvida estamos à disposição.
Att
Tem tudo Shop</v>
      </c>
    </row>
    <row r="728" spans="1:15">
      <c r="A728" s="52" t="str">
        <f>_xlfn.XLOOKUP(Follow[[#This Row],[CODRASTREIO]],Controle_Pedidos[Cód Rastreamento],Controle_Pedidos[Número Pedido Cliente])</f>
        <v>Pedido 671</v>
      </c>
      <c r="B728" s="2" t="s">
        <v>18093</v>
      </c>
      <c r="C728" s="2" t="str">
        <f>Follow[[#This Row],[CODRASTREIO]]&amp;" B"</f>
        <v>CódRastreio651 B</v>
      </c>
      <c r="D728" s="52" t="str">
        <f>_xlfn.XLOOKUP(Follow[[#This Row],[Id Pedido]],Controle_Pedidos[Número Pedido Cliente],Controle_Pedidos[Loja])</f>
        <v>BV</v>
      </c>
      <c r="E728" s="9">
        <f>_xlfn.XLOOKUP(Follow[[#This Row],[Id Pedido]],Controle_Pedidos[Número Pedido Cliente],Controle_Pedidos[Prazo Entrega])</f>
        <v>45685</v>
      </c>
      <c r="F728" s="9" t="s">
        <v>19433</v>
      </c>
      <c r="G728" s="9" t="s">
        <v>37</v>
      </c>
      <c r="H728" s="52" t="s">
        <v>179</v>
      </c>
      <c r="I728" s="52" t="s">
        <v>178</v>
      </c>
      <c r="J728" s="55">
        <v>45672</v>
      </c>
      <c r="K728" s="52" t="s">
        <v>198</v>
      </c>
      <c r="L728" s="8" t="s">
        <v>124</v>
      </c>
      <c r="M728" s="8" t="s">
        <v>37</v>
      </c>
      <c r="N728" s="52" t="str">
        <f>IF(Follow[[#This Row],[DATAATUALIZAÇÃO]]&lt;=Follow[[#This Row],[Prev Entrega]],"Dentro do Prazo","Fora do Prazo")</f>
        <v>Dentro do Prazo</v>
      </c>
      <c r="O7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15/01/2025, referente ao pedido Nº Pedido 671 Rastreio Pedido 671, agradecemos a preferência e adoraríamos receber sua avaliação, tendo qualquer dúvida estamos à disposição.
Att
Tem tudo Shop</v>
      </c>
    </row>
    <row r="729" spans="1:15">
      <c r="A729" s="52" t="str">
        <f>_xlfn.XLOOKUP(Follow[[#This Row],[CODRASTREIO]],Controle_Pedidos[Cód Rastreamento],Controle_Pedidos[Número Pedido Cliente])</f>
        <v>Pedido 672</v>
      </c>
      <c r="B729" s="2" t="s">
        <v>18094</v>
      </c>
      <c r="C729" s="2" t="str">
        <f>Follow[[#This Row],[CODRASTREIO]]&amp;" B"</f>
        <v>CódRastreio652 B</v>
      </c>
      <c r="D729" s="52" t="str">
        <f>_xlfn.XLOOKUP(Follow[[#This Row],[Id Pedido]],Controle_Pedidos[Número Pedido Cliente],Controle_Pedidos[Loja])</f>
        <v>BV</v>
      </c>
      <c r="E729" s="9">
        <f>_xlfn.XLOOKUP(Follow[[#This Row],[Id Pedido]],Controle_Pedidos[Número Pedido Cliente],Controle_Pedidos[Prazo Entrega])</f>
        <v>45685</v>
      </c>
      <c r="F729" s="9" t="s">
        <v>19433</v>
      </c>
      <c r="G729" s="9" t="s">
        <v>37</v>
      </c>
      <c r="H729" s="52" t="s">
        <v>179</v>
      </c>
      <c r="I729" s="52" t="s">
        <v>178</v>
      </c>
      <c r="J729" s="55">
        <v>45671</v>
      </c>
      <c r="K729" s="52" t="s">
        <v>198</v>
      </c>
      <c r="L729" s="8" t="s">
        <v>124</v>
      </c>
      <c r="M729" s="8" t="s">
        <v>37</v>
      </c>
      <c r="N729" s="52" t="str">
        <f>IF(Follow[[#This Row],[DATAATUALIZAÇÃO]]&lt;=Follow[[#This Row],[Prev Entrega]],"Dentro do Prazo","Fora do Prazo")</f>
        <v>Dentro do Prazo</v>
      </c>
      <c r="O7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14/01/2025, referente ao pedido Nº Pedido 672 Rastreio Pedido 672, agradecemos a preferência e adoraríamos receber sua avaliação, tendo qualquer dúvida estamos à disposição.
Att
Tem tudo Shop</v>
      </c>
    </row>
    <row r="730" spans="1:15">
      <c r="A730" s="52" t="str">
        <f>_xlfn.XLOOKUP(Follow[[#This Row],[CODRASTREIO]],Controle_Pedidos[Cód Rastreamento],Controle_Pedidos[Número Pedido Cliente])</f>
        <v>Pedido 674</v>
      </c>
      <c r="B730" s="2" t="s">
        <v>18096</v>
      </c>
      <c r="C730" s="2" t="str">
        <f>Follow[[#This Row],[CODRASTREIO]]&amp;" B"</f>
        <v>CódRastreio654 B</v>
      </c>
      <c r="D730" s="52" t="str">
        <f>_xlfn.XLOOKUP(Follow[[#This Row],[Id Pedido]],Controle_Pedidos[Número Pedido Cliente],Controle_Pedidos[Loja])</f>
        <v>BV</v>
      </c>
      <c r="E730" s="9">
        <f>_xlfn.XLOOKUP(Follow[[#This Row],[Id Pedido]],Controle_Pedidos[Número Pedido Cliente],Controle_Pedidos[Prazo Entrega])</f>
        <v>45685</v>
      </c>
      <c r="F730" s="9" t="s">
        <v>19433</v>
      </c>
      <c r="G730" s="9" t="s">
        <v>37</v>
      </c>
      <c r="H730" s="52" t="s">
        <v>179</v>
      </c>
      <c r="I730" s="52" t="s">
        <v>178</v>
      </c>
      <c r="J730" s="55">
        <v>45672</v>
      </c>
      <c r="K730" s="52" t="s">
        <v>198</v>
      </c>
      <c r="L730" s="8" t="s">
        <v>124</v>
      </c>
      <c r="M730" s="8" t="s">
        <v>37</v>
      </c>
      <c r="N730" s="52" t="str">
        <f>IF(Follow[[#This Row],[DATAATUALIZAÇÃO]]&lt;=Follow[[#This Row],[Prev Entrega]],"Dentro do Prazo","Fora do Prazo")</f>
        <v>Dentro do Prazo</v>
      </c>
      <c r="O7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15/01/2025, referente ao pedido Nº Pedido 674 Rastreio Pedido 674, agradecemos a preferência e adoraríamos receber sua avaliação, tendo qualquer dúvida estamos à disposição.
Att
Tem tudo Shop</v>
      </c>
    </row>
    <row r="731" spans="1:15">
      <c r="A731" s="52" t="str">
        <f>_xlfn.XLOOKUP(Follow[[#This Row],[CODRASTREIO]],Controle_Pedidos[Cód Rastreamento],Controle_Pedidos[Número Pedido Cliente])</f>
        <v>Pedido 675</v>
      </c>
      <c r="B731" s="2" t="s">
        <v>18097</v>
      </c>
      <c r="C731" s="2" t="str">
        <f>Follow[[#This Row],[CODRASTREIO]]&amp;" B"</f>
        <v>CódRastreio655 B</v>
      </c>
      <c r="D731" s="52" t="str">
        <f>_xlfn.XLOOKUP(Follow[[#This Row],[Id Pedido]],Controle_Pedidos[Número Pedido Cliente],Controle_Pedidos[Loja])</f>
        <v>BV</v>
      </c>
      <c r="E731" s="9">
        <f>_xlfn.XLOOKUP(Follow[[#This Row],[Id Pedido]],Controle_Pedidos[Número Pedido Cliente],Controle_Pedidos[Prazo Entrega])</f>
        <v>45679</v>
      </c>
      <c r="F731" s="9" t="s">
        <v>19433</v>
      </c>
      <c r="G731" s="9" t="s">
        <v>37</v>
      </c>
      <c r="H731" s="52" t="s">
        <v>179</v>
      </c>
      <c r="I731" s="52" t="s">
        <v>178</v>
      </c>
      <c r="J731" s="55">
        <v>45670</v>
      </c>
      <c r="K731" s="52" t="s">
        <v>198</v>
      </c>
      <c r="L731" s="8" t="s">
        <v>124</v>
      </c>
      <c r="M731" s="8" t="s">
        <v>37</v>
      </c>
      <c r="N731" s="52" t="str">
        <f>IF(Follow[[#This Row],[DATAATUALIZAÇÃO]]&lt;=Follow[[#This Row],[Prev Entrega]],"Dentro do Prazo","Fora do Prazo")</f>
        <v>Dentro do Prazo</v>
      </c>
      <c r="O7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13/01/2025, referente ao pedido Nº Pedido 675 Rastreio Pedido 675, agradecemos a preferência e adoraríamos receber sua avaliação, tendo qualquer dúvida estamos à disposição.
Att
Tem tudo Shop</v>
      </c>
    </row>
    <row r="732" spans="1:15">
      <c r="A732" s="52" t="str">
        <f>_xlfn.XLOOKUP(Follow[[#This Row],[CODRASTREIO]],Controle_Pedidos[Cód Rastreamento],Controle_Pedidos[Número Pedido Cliente])</f>
        <v>Pedido 676</v>
      </c>
      <c r="B732" s="2" t="s">
        <v>18098</v>
      </c>
      <c r="C732" s="2" t="str">
        <f>Follow[[#This Row],[CODRASTREIO]]&amp;" B"</f>
        <v>CódRastreio656 B</v>
      </c>
      <c r="D732" s="52" t="str">
        <f>_xlfn.XLOOKUP(Follow[[#This Row],[Id Pedido]],Controle_Pedidos[Número Pedido Cliente],Controle_Pedidos[Loja])</f>
        <v>BV</v>
      </c>
      <c r="E732" s="9">
        <f>_xlfn.XLOOKUP(Follow[[#This Row],[Id Pedido]],Controle_Pedidos[Número Pedido Cliente],Controle_Pedidos[Prazo Entrega])</f>
        <v>45685</v>
      </c>
      <c r="F732" s="9" t="s">
        <v>19433</v>
      </c>
      <c r="G732" s="9" t="s">
        <v>37</v>
      </c>
      <c r="H732" s="52" t="s">
        <v>178</v>
      </c>
      <c r="I732" s="52" t="s">
        <v>178</v>
      </c>
      <c r="J732" s="55">
        <v>45668</v>
      </c>
      <c r="K732" s="52" t="s">
        <v>198</v>
      </c>
      <c r="L732" s="8" t="s">
        <v>124</v>
      </c>
      <c r="M732" s="8" t="s">
        <v>37</v>
      </c>
      <c r="N732" s="52" t="str">
        <f>IF(Follow[[#This Row],[DATAATUALIZAÇÃO]]&lt;=Follow[[#This Row],[Prev Entrega]],"Dentro do Prazo","Fora do Prazo")</f>
        <v>Dentro do Prazo</v>
      </c>
      <c r="O7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11/01/2025, referente ao pedido Nº Pedido 676 Rastreio Pedido 676, agradecemos a preferência e adoraríamos receber sua avaliação, tendo qualquer dúvida estamos à disposição.
Att
Tem tudo Shop</v>
      </c>
    </row>
    <row r="733" spans="1:15">
      <c r="A733" s="52" t="str">
        <f>_xlfn.XLOOKUP(Follow[[#This Row],[CODRASTREIO]],Controle_Pedidos[Cód Rastreamento],Controle_Pedidos[Número Pedido Cliente])</f>
        <v>Pedido 678</v>
      </c>
      <c r="B733" s="2" t="s">
        <v>18100</v>
      </c>
      <c r="C733" s="2" t="str">
        <f>Follow[[#This Row],[CODRASTREIO]]&amp;" B"</f>
        <v>CódRastreio658 B</v>
      </c>
      <c r="D733" s="52" t="str">
        <f>_xlfn.XLOOKUP(Follow[[#This Row],[Id Pedido]],Controle_Pedidos[Número Pedido Cliente],Controle_Pedidos[Loja])</f>
        <v>BV</v>
      </c>
      <c r="E733" s="9">
        <f>_xlfn.XLOOKUP(Follow[[#This Row],[Id Pedido]],Controle_Pedidos[Número Pedido Cliente],Controle_Pedidos[Prazo Entrega])</f>
        <v>45686</v>
      </c>
      <c r="F733" s="9" t="s">
        <v>19433</v>
      </c>
      <c r="G733" s="9" t="s">
        <v>37</v>
      </c>
      <c r="H733" s="52" t="s">
        <v>178</v>
      </c>
      <c r="I733" s="52" t="s">
        <v>178</v>
      </c>
      <c r="J733" s="55">
        <v>45671</v>
      </c>
      <c r="K733" s="52" t="s">
        <v>198</v>
      </c>
      <c r="L733" s="8" t="s">
        <v>124</v>
      </c>
      <c r="M733" s="8" t="s">
        <v>37</v>
      </c>
      <c r="N733" s="52" t="str">
        <f>IF(Follow[[#This Row],[DATAATUALIZAÇÃO]]&lt;=Follow[[#This Row],[Prev Entrega]],"Dentro do Prazo","Fora do Prazo")</f>
        <v>Dentro do Prazo</v>
      </c>
      <c r="O7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14/01/2025, referente ao pedido Nº Pedido 678 Rastreio Pedido 678, agradecemos a preferência e adoraríamos receber sua avaliação, tendo qualquer dúvida estamos à disposição.
Att
Tem tudo Shop</v>
      </c>
    </row>
    <row r="734" spans="1:15">
      <c r="A734" s="52" t="str">
        <f>_xlfn.XLOOKUP(Follow[[#This Row],[CODRASTREIO]],Controle_Pedidos[Cód Rastreamento],Controle_Pedidos[Número Pedido Cliente])</f>
        <v>Pedido 679</v>
      </c>
      <c r="B734" s="2" t="s">
        <v>18101</v>
      </c>
      <c r="C734" s="2" t="str">
        <f>Follow[[#This Row],[CODRASTREIO]]&amp;" B"</f>
        <v>CódRastreio659 B</v>
      </c>
      <c r="D734" s="52" t="str">
        <f>_xlfn.XLOOKUP(Follow[[#This Row],[Id Pedido]],Controle_Pedidos[Número Pedido Cliente],Controle_Pedidos[Loja])</f>
        <v>BV</v>
      </c>
      <c r="E734" s="9">
        <f>_xlfn.XLOOKUP(Follow[[#This Row],[Id Pedido]],Controle_Pedidos[Número Pedido Cliente],Controle_Pedidos[Prazo Entrega])</f>
        <v>45686</v>
      </c>
      <c r="F734" s="9" t="s">
        <v>19433</v>
      </c>
      <c r="G734" s="9" t="s">
        <v>37</v>
      </c>
      <c r="H734" s="52" t="s">
        <v>179</v>
      </c>
      <c r="I734" s="52" t="s">
        <v>178</v>
      </c>
      <c r="J734" s="55">
        <v>45672</v>
      </c>
      <c r="K734" s="52" t="s">
        <v>198</v>
      </c>
      <c r="L734" s="8" t="s">
        <v>124</v>
      </c>
      <c r="M734" s="8" t="s">
        <v>37</v>
      </c>
      <c r="N734" s="52" t="str">
        <f>IF(Follow[[#This Row],[DATAATUALIZAÇÃO]]&lt;=Follow[[#This Row],[Prev Entrega]],"Dentro do Prazo","Fora do Prazo")</f>
        <v>Dentro do Prazo</v>
      </c>
      <c r="O7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15/01/2025, referente ao pedido Nº Pedido 679 Rastreio Pedido 679, agradecemos a preferência e adoraríamos receber sua avaliação, tendo qualquer dúvida estamos à disposição.
Att
Tem tudo Shop</v>
      </c>
    </row>
    <row r="735" spans="1:15">
      <c r="A735" s="52" t="str">
        <f>_xlfn.XLOOKUP(Follow[[#This Row],[CODRASTREIO]],Controle_Pedidos[Cód Rastreamento],Controle_Pedidos[Número Pedido Cliente])</f>
        <v>Pedido 683</v>
      </c>
      <c r="B735" s="2" t="s">
        <v>18105</v>
      </c>
      <c r="C735" s="2" t="str">
        <f>Follow[[#This Row],[CODRASTREIO]]&amp;" B"</f>
        <v>CódRastreio663 B</v>
      </c>
      <c r="D735" s="52" t="str">
        <f>_xlfn.XLOOKUP(Follow[[#This Row],[Id Pedido]],Controle_Pedidos[Número Pedido Cliente],Controle_Pedidos[Loja])</f>
        <v>BV</v>
      </c>
      <c r="E735" s="9">
        <f>_xlfn.XLOOKUP(Follow[[#This Row],[Id Pedido]],Controle_Pedidos[Número Pedido Cliente],Controle_Pedidos[Prazo Entrega])</f>
        <v>45686</v>
      </c>
      <c r="F735" s="9" t="s">
        <v>19433</v>
      </c>
      <c r="G735" s="9" t="s">
        <v>37</v>
      </c>
      <c r="H735" s="52" t="s">
        <v>179</v>
      </c>
      <c r="I735" s="52" t="s">
        <v>178</v>
      </c>
      <c r="J735" s="55">
        <v>45672</v>
      </c>
      <c r="K735" s="52" t="s">
        <v>198</v>
      </c>
      <c r="L735" s="8" t="s">
        <v>124</v>
      </c>
      <c r="M735" s="8" t="s">
        <v>37</v>
      </c>
      <c r="N735" s="52" t="str">
        <f>IF(Follow[[#This Row],[DATAATUALIZAÇÃO]]&lt;=Follow[[#This Row],[Prev Entrega]],"Dentro do Prazo","Fora do Prazo")</f>
        <v>Dentro do Prazo</v>
      </c>
      <c r="O7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15/01/2025, referente ao pedido Nº Pedido 683 Rastreio Pedido 683, agradecemos a preferência e adoraríamos receber sua avaliação, tendo qualquer dúvida estamos à disposição.
Att
Tem tudo Shop</v>
      </c>
    </row>
    <row r="736" spans="1:15">
      <c r="A736" s="52" t="str">
        <f>_xlfn.XLOOKUP(Follow[[#This Row],[CODRASTREIO]],Controle_Pedidos[Cód Rastreamento],Controle_Pedidos[Número Pedido Cliente])</f>
        <v>Pedido 657</v>
      </c>
      <c r="B736" s="2" t="s">
        <v>18079</v>
      </c>
      <c r="C736" s="2" t="str">
        <f>Follow[[#This Row],[CODRASTREIO]]&amp;" B"</f>
        <v>CódRastreio637 B</v>
      </c>
      <c r="D736" s="52" t="str">
        <f>_xlfn.XLOOKUP(Follow[[#This Row],[Id Pedido]],Controle_Pedidos[Número Pedido Cliente],Controle_Pedidos[Loja])</f>
        <v>BV</v>
      </c>
      <c r="E736" s="9">
        <f>_xlfn.XLOOKUP(Follow[[#This Row],[Id Pedido]],Controle_Pedidos[Número Pedido Cliente],Controle_Pedidos[Prazo Entrega])</f>
        <v>45679</v>
      </c>
      <c r="F736" s="9" t="s">
        <v>19433</v>
      </c>
      <c r="G736" s="9" t="s">
        <v>37</v>
      </c>
      <c r="H736" s="52" t="s">
        <v>179</v>
      </c>
      <c r="I736" s="52" t="s">
        <v>178</v>
      </c>
      <c r="J736" s="55">
        <v>45666</v>
      </c>
      <c r="K736" s="52" t="s">
        <v>198</v>
      </c>
      <c r="L736" s="8" t="s">
        <v>124</v>
      </c>
      <c r="M736" s="8" t="s">
        <v>19439</v>
      </c>
      <c r="N736" s="52" t="str">
        <f>IF(Follow[[#This Row],[DATAATUALIZAÇÃO]]&lt;=Follow[[#This Row],[Prev Entrega]],"Dentro do Prazo","Fora do Prazo")</f>
        <v>Dentro do Prazo</v>
      </c>
      <c r="O73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09/01/2025, referente ao pedido Nº Pedido 657 Rastreio Pedido 657, agradecemos a preferência e adoraríamos receber sua avaliação, tendo qualquer dúvida estamos à disposição.
Att
Tem tudo Shop</v>
      </c>
    </row>
    <row r="737" spans="1:15">
      <c r="A737" s="52" t="str">
        <f>_xlfn.XLOOKUP(Follow[[#This Row],[CODRASTREIO]],Controle_Pedidos[Cód Rastreamento],Controle_Pedidos[Número Pedido Cliente])</f>
        <v>Pedido 663</v>
      </c>
      <c r="B737" s="2" t="s">
        <v>18085</v>
      </c>
      <c r="C737" s="2" t="str">
        <f>Follow[[#This Row],[CODRASTREIO]]&amp;" B"</f>
        <v>CódRastreio643 B</v>
      </c>
      <c r="D737" s="52" t="str">
        <f>_xlfn.XLOOKUP(Follow[[#This Row],[Id Pedido]],Controle_Pedidos[Número Pedido Cliente],Controle_Pedidos[Loja])</f>
        <v>BV</v>
      </c>
      <c r="E737" s="9">
        <f>_xlfn.XLOOKUP(Follow[[#This Row],[Id Pedido]],Controle_Pedidos[Número Pedido Cliente],Controle_Pedidos[Prazo Entrega])</f>
        <v>45685</v>
      </c>
      <c r="F737" s="9" t="s">
        <v>19433</v>
      </c>
      <c r="G737" s="9" t="s">
        <v>37</v>
      </c>
      <c r="H737" s="52" t="s">
        <v>178</v>
      </c>
      <c r="I737" s="52" t="s">
        <v>178</v>
      </c>
      <c r="J737" s="55">
        <v>45670</v>
      </c>
      <c r="K737" s="52" t="s">
        <v>198</v>
      </c>
      <c r="L737" s="8" t="s">
        <v>124</v>
      </c>
      <c r="M737" s="8" t="s">
        <v>37</v>
      </c>
      <c r="N737" s="52" t="str">
        <f>IF(Follow[[#This Row],[DATAATUALIZAÇÃO]]&lt;=Follow[[#This Row],[Prev Entrega]],"Dentro do Prazo","Fora do Prazo")</f>
        <v>Dentro do Prazo</v>
      </c>
      <c r="O7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13/01/2025, referente ao pedido Nº Pedido 663 Rastreio Pedido 663, agradecemos a preferência e adoraríamos receber sua avaliação, tendo qualquer dúvida estamos à disposição.
Att
Tem tudo Shop</v>
      </c>
    </row>
    <row r="738" spans="1:15">
      <c r="A738" s="52" t="str">
        <f>_xlfn.XLOOKUP(Follow[[#This Row],[CODRASTREIO]],Controle_Pedidos[Cód Rastreamento],Controle_Pedidos[Número Pedido Cliente])</f>
        <v>Pedido 669</v>
      </c>
      <c r="B738" s="2" t="s">
        <v>18091</v>
      </c>
      <c r="C738" s="2" t="str">
        <f>Follow[[#This Row],[CODRASTREIO]]&amp;" B"</f>
        <v>CódRastreio649 B</v>
      </c>
      <c r="D738" s="52" t="str">
        <f>_xlfn.XLOOKUP(Follow[[#This Row],[Id Pedido]],Controle_Pedidos[Número Pedido Cliente],Controle_Pedidos[Loja])</f>
        <v>BV</v>
      </c>
      <c r="E738" s="9">
        <f>_xlfn.XLOOKUP(Follow[[#This Row],[Id Pedido]],Controle_Pedidos[Número Pedido Cliente],Controle_Pedidos[Prazo Entrega])</f>
        <v>45673</v>
      </c>
      <c r="F738" s="9" t="s">
        <v>19433</v>
      </c>
      <c r="G738" s="9" t="s">
        <v>37</v>
      </c>
      <c r="H738" s="52" t="s">
        <v>178</v>
      </c>
      <c r="I738" s="52" t="s">
        <v>178</v>
      </c>
      <c r="J738" s="55">
        <v>45667</v>
      </c>
      <c r="K738" s="52" t="s">
        <v>198</v>
      </c>
      <c r="L738" s="8" t="s">
        <v>124</v>
      </c>
      <c r="M738" s="8" t="s">
        <v>37</v>
      </c>
      <c r="N738" s="52" t="str">
        <f>IF(Follow[[#This Row],[DATAATUALIZAÇÃO]]&lt;=Follow[[#This Row],[Prev Entrega]],"Dentro do Prazo","Fora do Prazo")</f>
        <v>Dentro do Prazo</v>
      </c>
      <c r="O7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10/01/2025, referente ao pedido Nº Pedido 669 Rastreio Pedido 669, agradecemos a preferência e adoraríamos receber sua avaliação, tendo qualquer dúvida estamos à disposição.
Att
Tem tudo Shop</v>
      </c>
    </row>
    <row r="739" spans="1:15">
      <c r="A739" s="52" t="str">
        <f>_xlfn.XLOOKUP(Follow[[#This Row],[CODRASTREIO]],Controle_Pedidos[Cód Rastreamento],Controle_Pedidos[Número Pedido Cliente])</f>
        <v>Pedido 673</v>
      </c>
      <c r="B739" s="2" t="s">
        <v>18095</v>
      </c>
      <c r="C739" s="2" t="str">
        <f>Follow[[#This Row],[CODRASTREIO]]&amp;" B"</f>
        <v>CódRastreio653 B</v>
      </c>
      <c r="D739" s="52" t="str">
        <f>_xlfn.XLOOKUP(Follow[[#This Row],[Id Pedido]],Controle_Pedidos[Número Pedido Cliente],Controle_Pedidos[Loja])</f>
        <v>BV</v>
      </c>
      <c r="E739" s="9">
        <f>_xlfn.XLOOKUP(Follow[[#This Row],[Id Pedido]],Controle_Pedidos[Número Pedido Cliente],Controle_Pedidos[Prazo Entrega])</f>
        <v>45675</v>
      </c>
      <c r="F739" s="9" t="s">
        <v>19433</v>
      </c>
      <c r="G739" s="9" t="s">
        <v>37</v>
      </c>
      <c r="H739" s="52" t="s">
        <v>178</v>
      </c>
      <c r="I739" s="52" t="s">
        <v>178</v>
      </c>
      <c r="J739" s="55">
        <v>45667</v>
      </c>
      <c r="K739" s="52" t="s">
        <v>198</v>
      </c>
      <c r="L739" s="8" t="s">
        <v>124</v>
      </c>
      <c r="M739" s="8" t="s">
        <v>37</v>
      </c>
      <c r="N739" s="52" t="str">
        <f>IF(Follow[[#This Row],[DATAATUALIZAÇÃO]]&lt;=Follow[[#This Row],[Prev Entrega]],"Dentro do Prazo","Fora do Prazo")</f>
        <v>Dentro do Prazo</v>
      </c>
      <c r="O7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10/01/2025, referente ao pedido Nº Pedido 673 Rastreio Pedido 673, agradecemos a preferência e adoraríamos receber sua avaliação, tendo qualquer dúvida estamos à disposição.
Att
Tem tudo Shop</v>
      </c>
    </row>
    <row r="740" spans="1:15">
      <c r="A740" s="52" t="str">
        <f>_xlfn.XLOOKUP(Follow[[#This Row],[CODRASTREIO]],Controle_Pedidos[Cód Rastreamento],Controle_Pedidos[Número Pedido Cliente])</f>
        <v>Pedido 685</v>
      </c>
      <c r="B740" s="2" t="s">
        <v>18107</v>
      </c>
      <c r="C740" s="2" t="str">
        <f>Follow[[#This Row],[CODRASTREIO]]&amp;" B"</f>
        <v>CódRastreio665 B</v>
      </c>
      <c r="D740" s="52" t="str">
        <f>_xlfn.XLOOKUP(Follow[[#This Row],[Id Pedido]],Controle_Pedidos[Número Pedido Cliente],Controle_Pedidos[Loja])</f>
        <v>BV</v>
      </c>
      <c r="E740" s="9">
        <f>_xlfn.XLOOKUP(Follow[[#This Row],[Id Pedido]],Controle_Pedidos[Número Pedido Cliente],Controle_Pedidos[Prazo Entrega])</f>
        <v>45680</v>
      </c>
      <c r="F740" s="9" t="s">
        <v>19433</v>
      </c>
      <c r="G740" s="9" t="s">
        <v>37</v>
      </c>
      <c r="H740" s="52" t="s">
        <v>179</v>
      </c>
      <c r="I740" s="52" t="s">
        <v>178</v>
      </c>
      <c r="J740" s="55">
        <v>45667</v>
      </c>
      <c r="K740" s="52" t="s">
        <v>198</v>
      </c>
      <c r="L740" s="8" t="s">
        <v>124</v>
      </c>
      <c r="M740" s="8" t="s">
        <v>37</v>
      </c>
      <c r="N740" s="52" t="str">
        <f>IF(Follow[[#This Row],[DATAATUALIZAÇÃO]]&lt;=Follow[[#This Row],[Prev Entrega]],"Dentro do Prazo","Fora do Prazo")</f>
        <v>Dentro do Prazo</v>
      </c>
      <c r="O7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10/01/2025, referente ao pedido Nº Pedido 685 Rastreio Pedido 685, agradecemos a preferência e adoraríamos receber sua avaliação, tendo qualquer dúvida estamos à disposição.
Att
Tem tudo Shop</v>
      </c>
    </row>
    <row r="741" spans="1:15">
      <c r="A741" s="52" t="str">
        <f>_xlfn.XLOOKUP(Follow[[#This Row],[CODRASTREIO]],Controle_Pedidos[Cód Rastreamento],Controle_Pedidos[Número Pedido Cliente])</f>
        <v>Pedido 688</v>
      </c>
      <c r="B741" s="2" t="s">
        <v>18110</v>
      </c>
      <c r="C741" s="2" t="str">
        <f>Follow[[#This Row],[CODRASTREIO]]&amp;" B"</f>
        <v>CódRastreio668 B</v>
      </c>
      <c r="D741" s="52" t="str">
        <f>_xlfn.XLOOKUP(Follow[[#This Row],[Id Pedido]],Controle_Pedidos[Número Pedido Cliente],Controle_Pedidos[Loja])</f>
        <v>BV</v>
      </c>
      <c r="E741" s="9">
        <f>_xlfn.XLOOKUP(Follow[[#This Row],[Id Pedido]],Controle_Pedidos[Número Pedido Cliente],Controle_Pedidos[Prazo Entrega])</f>
        <v>45687</v>
      </c>
      <c r="F741" s="9" t="s">
        <v>19433</v>
      </c>
      <c r="G741" s="9" t="s">
        <v>37</v>
      </c>
      <c r="H741" s="52" t="s">
        <v>178</v>
      </c>
      <c r="I741" s="52" t="s">
        <v>178</v>
      </c>
      <c r="J741" s="55">
        <v>45672</v>
      </c>
      <c r="K741" s="52" t="s">
        <v>198</v>
      </c>
      <c r="L741" s="8" t="s">
        <v>124</v>
      </c>
      <c r="M741" s="8" t="s">
        <v>37</v>
      </c>
      <c r="N741" s="52" t="str">
        <f>IF(Follow[[#This Row],[DATAATUALIZAÇÃO]]&lt;=Follow[[#This Row],[Prev Entrega]],"Dentro do Prazo","Fora do Prazo")</f>
        <v>Dentro do Prazo</v>
      </c>
      <c r="O7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15/01/2025, referente ao pedido Nº Pedido 688 Rastreio Pedido 688, agradecemos a preferência e adoraríamos receber sua avaliação, tendo qualquer dúvida estamos à disposição.
Att
Tem tudo Shop</v>
      </c>
    </row>
    <row r="742" spans="1:15">
      <c r="A742" s="52" t="str">
        <f>_xlfn.XLOOKUP(Follow[[#This Row],[CODRASTREIO]],Controle_Pedidos[Cód Rastreamento],Controle_Pedidos[Número Pedido Cliente])</f>
        <v>Pedido 689</v>
      </c>
      <c r="B742" s="2" t="s">
        <v>18111</v>
      </c>
      <c r="C742" s="2" t="str">
        <f>Follow[[#This Row],[CODRASTREIO]]&amp;" B"</f>
        <v>CódRastreio669 B</v>
      </c>
      <c r="D742" s="52" t="str">
        <f>_xlfn.XLOOKUP(Follow[[#This Row],[Id Pedido]],Controle_Pedidos[Número Pedido Cliente],Controle_Pedidos[Loja])</f>
        <v>BV</v>
      </c>
      <c r="E742" s="9">
        <f>_xlfn.XLOOKUP(Follow[[#This Row],[Id Pedido]],Controle_Pedidos[Número Pedido Cliente],Controle_Pedidos[Prazo Entrega])</f>
        <v>45687</v>
      </c>
      <c r="F742" s="9" t="s">
        <v>19433</v>
      </c>
      <c r="G742" s="9" t="s">
        <v>37</v>
      </c>
      <c r="H742" s="52" t="s">
        <v>179</v>
      </c>
      <c r="I742" s="52" t="s">
        <v>178</v>
      </c>
      <c r="J742" s="55">
        <v>45665</v>
      </c>
      <c r="K742" s="52" t="s">
        <v>198</v>
      </c>
      <c r="L742" s="8" t="s">
        <v>124</v>
      </c>
      <c r="M742" s="8" t="s">
        <v>88</v>
      </c>
      <c r="N742" s="52" t="str">
        <f>IF(Follow[[#This Row],[DATAATUALIZAÇÃO]]&lt;=Follow[[#This Row],[Prev Entrega]],"Dentro do Prazo","Fora do Prazo")</f>
        <v>Dentro do Prazo</v>
      </c>
      <c r="O74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08/01/2025, referente ao pedido Nº Pedido 689 Rastreio Pedido 689, agradecemos a preferência e adoraríamos receber sua avaliação, tendo qualquer dúvida estamos à disposição.
Att
Tem tudo Shop</v>
      </c>
    </row>
    <row r="743" spans="1:15">
      <c r="A743" s="52" t="str">
        <f>_xlfn.XLOOKUP(Follow[[#This Row],[CODRASTREIO]],Controle_Pedidos[Cód Rastreamento],Controle_Pedidos[Número Pedido Cliente])</f>
        <v>Pedido 690</v>
      </c>
      <c r="B743" s="2" t="s">
        <v>18112</v>
      </c>
      <c r="C743" s="2" t="str">
        <f>Follow[[#This Row],[CODRASTREIO]]&amp;" B"</f>
        <v>CódRastreio670 B</v>
      </c>
      <c r="D743" s="52" t="str">
        <f>_xlfn.XLOOKUP(Follow[[#This Row],[Id Pedido]],Controle_Pedidos[Número Pedido Cliente],Controle_Pedidos[Loja])</f>
        <v>BV</v>
      </c>
      <c r="E743" s="9">
        <f>_xlfn.XLOOKUP(Follow[[#This Row],[Id Pedido]],Controle_Pedidos[Número Pedido Cliente],Controle_Pedidos[Prazo Entrega])</f>
        <v>45687</v>
      </c>
      <c r="F743" s="9" t="s">
        <v>19433</v>
      </c>
      <c r="G743" s="9" t="s">
        <v>37</v>
      </c>
      <c r="H743" s="52" t="s">
        <v>178</v>
      </c>
      <c r="I743" s="52" t="s">
        <v>178</v>
      </c>
      <c r="J743" s="55">
        <v>45672</v>
      </c>
      <c r="K743" s="52" t="s">
        <v>198</v>
      </c>
      <c r="L743" s="8" t="s">
        <v>124</v>
      </c>
      <c r="M743" s="8" t="s">
        <v>37</v>
      </c>
      <c r="N743" s="52" t="str">
        <f>IF(Follow[[#This Row],[DATAATUALIZAÇÃO]]&lt;=Follow[[#This Row],[Prev Entrega]],"Dentro do Prazo","Fora do Prazo")</f>
        <v>Dentro do Prazo</v>
      </c>
      <c r="O7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15/01/2025, referente ao pedido Nº Pedido 690 Rastreio Pedido 690, agradecemos a preferência e adoraríamos receber sua avaliação, tendo qualquer dúvida estamos à disposição.
Att
Tem tudo Shop</v>
      </c>
    </row>
    <row r="744" spans="1:15">
      <c r="A744" s="52" t="str">
        <f>_xlfn.XLOOKUP(Follow[[#This Row],[CODRASTREIO]],Controle_Pedidos[Cód Rastreamento],Controle_Pedidos[Número Pedido Cliente])</f>
        <v>Pedido 696</v>
      </c>
      <c r="B744" s="2" t="s">
        <v>18118</v>
      </c>
      <c r="C744" s="2" t="str">
        <f>Follow[[#This Row],[CODRASTREIO]]&amp;" B"</f>
        <v>CódRastreio676 B</v>
      </c>
      <c r="D744" s="52" t="str">
        <f>_xlfn.XLOOKUP(Follow[[#This Row],[Id Pedido]],Controle_Pedidos[Número Pedido Cliente],Controle_Pedidos[Loja])</f>
        <v>BV</v>
      </c>
      <c r="E744" s="9">
        <f>_xlfn.XLOOKUP(Follow[[#This Row],[Id Pedido]],Controle_Pedidos[Número Pedido Cliente],Controle_Pedidos[Prazo Entrega])</f>
        <v>45675</v>
      </c>
      <c r="F744" s="9" t="s">
        <v>19433</v>
      </c>
      <c r="G744" s="9" t="s">
        <v>37</v>
      </c>
      <c r="H744" s="52" t="s">
        <v>178</v>
      </c>
      <c r="I744" s="52" t="s">
        <v>178</v>
      </c>
      <c r="J744" s="55">
        <v>45667</v>
      </c>
      <c r="K744" s="52" t="s">
        <v>198</v>
      </c>
      <c r="L744" s="8" t="s">
        <v>124</v>
      </c>
      <c r="M744" s="8" t="s">
        <v>37</v>
      </c>
      <c r="N744" s="52" t="str">
        <f>IF(Follow[[#This Row],[DATAATUALIZAÇÃO]]&lt;=Follow[[#This Row],[Prev Entrega]],"Dentro do Prazo","Fora do Prazo")</f>
        <v>Dentro do Prazo</v>
      </c>
      <c r="O7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10/01/2025, referente ao pedido Nº Pedido 696 Rastreio Pedido 696, agradecemos a preferência e adoraríamos receber sua avaliação, tendo qualquer dúvida estamos à disposição.
Att
Tem tudo Shop</v>
      </c>
    </row>
    <row r="745" spans="1:15">
      <c r="A745" s="52" t="str">
        <f>_xlfn.XLOOKUP(Follow[[#This Row],[CODRASTREIO]],Controle_Pedidos[Cód Rastreamento],Controle_Pedidos[Número Pedido Cliente])</f>
        <v>Pedido 697</v>
      </c>
      <c r="B745" s="2" t="s">
        <v>18119</v>
      </c>
      <c r="C745" s="2" t="str">
        <f>Follow[[#This Row],[CODRASTREIO]]&amp;" B"</f>
        <v>CódRastreio677 B</v>
      </c>
      <c r="D745" s="52" t="str">
        <f>_xlfn.XLOOKUP(Follow[[#This Row],[Id Pedido]],Controle_Pedidos[Número Pedido Cliente],Controle_Pedidos[Loja])</f>
        <v>BV</v>
      </c>
      <c r="E745" s="9">
        <f>_xlfn.XLOOKUP(Follow[[#This Row],[Id Pedido]],Controle_Pedidos[Número Pedido Cliente],Controle_Pedidos[Prazo Entrega])</f>
        <v>45681</v>
      </c>
      <c r="F745" s="9" t="s">
        <v>19433</v>
      </c>
      <c r="G745" s="9" t="s">
        <v>37</v>
      </c>
      <c r="H745" s="52" t="s">
        <v>178</v>
      </c>
      <c r="I745" s="52" t="s">
        <v>178</v>
      </c>
      <c r="J745" s="55">
        <v>45668</v>
      </c>
      <c r="K745" s="52" t="s">
        <v>198</v>
      </c>
      <c r="L745" s="8" t="s">
        <v>124</v>
      </c>
      <c r="M745" s="8" t="s">
        <v>37</v>
      </c>
      <c r="N745" s="52" t="str">
        <f>IF(Follow[[#This Row],[DATAATUALIZAÇÃO]]&lt;=Follow[[#This Row],[Prev Entrega]],"Dentro do Prazo","Fora do Prazo")</f>
        <v>Dentro do Prazo</v>
      </c>
      <c r="O7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11/01/2025, referente ao pedido Nº Pedido 697 Rastreio Pedido 697, agradecemos a preferência e adoraríamos receber sua avaliação, tendo qualquer dúvida estamos à disposição.
Att
Tem tudo Shop</v>
      </c>
    </row>
    <row r="746" spans="1:15">
      <c r="A746" s="52" t="str">
        <f>_xlfn.XLOOKUP(Follow[[#This Row],[CODRASTREIO]],Controle_Pedidos[Cód Rastreamento],Controle_Pedidos[Número Pedido Cliente])</f>
        <v>Pedido 698</v>
      </c>
      <c r="B746" s="2" t="s">
        <v>18120</v>
      </c>
      <c r="C746" s="2" t="str">
        <f>Follow[[#This Row],[CODRASTREIO]]&amp;" B"</f>
        <v>CódRastreio678 B</v>
      </c>
      <c r="D746" s="52" t="str">
        <f>_xlfn.XLOOKUP(Follow[[#This Row],[Id Pedido]],Controle_Pedidos[Número Pedido Cliente],Controle_Pedidos[Loja])</f>
        <v>BV</v>
      </c>
      <c r="E746" s="9">
        <f>_xlfn.XLOOKUP(Follow[[#This Row],[Id Pedido]],Controle_Pedidos[Número Pedido Cliente],Controle_Pedidos[Prazo Entrega])</f>
        <v>45681</v>
      </c>
      <c r="F746" s="9" t="s">
        <v>19433</v>
      </c>
      <c r="G746" s="9" t="s">
        <v>37</v>
      </c>
      <c r="H746" s="52" t="s">
        <v>179</v>
      </c>
      <c r="I746" s="52" t="s">
        <v>178</v>
      </c>
      <c r="J746" s="55">
        <v>45667</v>
      </c>
      <c r="K746" s="52" t="s">
        <v>198</v>
      </c>
      <c r="L746" s="8" t="s">
        <v>124</v>
      </c>
      <c r="M746" s="8" t="s">
        <v>37</v>
      </c>
      <c r="N746" s="52" t="str">
        <f>IF(Follow[[#This Row],[DATAATUALIZAÇÃO]]&lt;=Follow[[#This Row],[Prev Entrega]],"Dentro do Prazo","Fora do Prazo")</f>
        <v>Dentro do Prazo</v>
      </c>
      <c r="O74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10/01/2025, referente ao pedido Nº Pedido 698 Rastreio Pedido 698, agradecemos a preferência e adoraríamos receber sua avaliação, tendo qualquer dúvida estamos à disposição.
Att
Tem tudo Shop</v>
      </c>
    </row>
    <row r="747" spans="1:15">
      <c r="A747" s="52" t="str">
        <f>_xlfn.XLOOKUP(Follow[[#This Row],[CODRASTREIO]],Controle_Pedidos[Cód Rastreamento],Controle_Pedidos[Número Pedido Cliente])</f>
        <v>Pedido 700</v>
      </c>
      <c r="B747" s="2" t="s">
        <v>18121</v>
      </c>
      <c r="C747" s="2" t="str">
        <f>Follow[[#This Row],[CODRASTREIO]]&amp;" B"</f>
        <v>CódRastreio679 B</v>
      </c>
      <c r="D747" s="52" t="str">
        <f>_xlfn.XLOOKUP(Follow[[#This Row],[Id Pedido]],Controle_Pedidos[Número Pedido Cliente],Controle_Pedidos[Loja])</f>
        <v>BV</v>
      </c>
      <c r="E747" s="9">
        <f>_xlfn.XLOOKUP(Follow[[#This Row],[Id Pedido]],Controle_Pedidos[Número Pedido Cliente],Controle_Pedidos[Prazo Entrega])</f>
        <v>45687</v>
      </c>
      <c r="F747" s="9" t="s">
        <v>19433</v>
      </c>
      <c r="G747" s="9" t="s">
        <v>37</v>
      </c>
      <c r="H747" s="52" t="s">
        <v>178</v>
      </c>
      <c r="I747" s="52" t="s">
        <v>178</v>
      </c>
      <c r="J747" s="55">
        <v>45668</v>
      </c>
      <c r="K747" s="52" t="s">
        <v>198</v>
      </c>
      <c r="L747" s="8" t="s">
        <v>124</v>
      </c>
      <c r="M747" s="8" t="s">
        <v>37</v>
      </c>
      <c r="N747" s="52" t="str">
        <f>IF(Follow[[#This Row],[DATAATUALIZAÇÃO]]&lt;=Follow[[#This Row],[Prev Entrega]],"Dentro do Prazo","Fora do Prazo")</f>
        <v>Dentro do Prazo</v>
      </c>
      <c r="O7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11/01/2025, referente ao pedido Nº Pedido 700 Rastreio Pedido 700, agradecemos a preferência e adoraríamos receber sua avaliação, tendo qualquer dúvida estamos à disposição.
Att
Tem tudo Shop</v>
      </c>
    </row>
    <row r="748" spans="1:15">
      <c r="A748" s="52" t="str">
        <f>_xlfn.XLOOKUP(Follow[[#This Row],[CODRASTREIO]],Controle_Pedidos[Cód Rastreamento],Controle_Pedidos[Número Pedido Cliente])</f>
        <v>Pedido 701</v>
      </c>
      <c r="B748" s="2" t="s">
        <v>18122</v>
      </c>
      <c r="C748" s="2" t="str">
        <f>Follow[[#This Row],[CODRASTREIO]]&amp;" B"</f>
        <v>CódRastreio680 B</v>
      </c>
      <c r="D748" s="52" t="str">
        <f>_xlfn.XLOOKUP(Follow[[#This Row],[Id Pedido]],Controle_Pedidos[Número Pedido Cliente],Controle_Pedidos[Loja])</f>
        <v>BV</v>
      </c>
      <c r="E748" s="9">
        <f>_xlfn.XLOOKUP(Follow[[#This Row],[Id Pedido]],Controle_Pedidos[Número Pedido Cliente],Controle_Pedidos[Prazo Entrega])</f>
        <v>45675</v>
      </c>
      <c r="F748" s="9" t="s">
        <v>19433</v>
      </c>
      <c r="G748" s="9" t="s">
        <v>37</v>
      </c>
      <c r="H748" s="52" t="s">
        <v>178</v>
      </c>
      <c r="I748" s="52" t="s">
        <v>178</v>
      </c>
      <c r="J748" s="55">
        <v>45667</v>
      </c>
      <c r="K748" s="52" t="s">
        <v>198</v>
      </c>
      <c r="L748" s="8" t="s">
        <v>124</v>
      </c>
      <c r="M748" s="8" t="s">
        <v>37</v>
      </c>
      <c r="N748" s="52" t="str">
        <f>IF(Follow[[#This Row],[DATAATUALIZAÇÃO]]&lt;=Follow[[#This Row],[Prev Entrega]],"Dentro do Prazo","Fora do Prazo")</f>
        <v>Dentro do Prazo</v>
      </c>
      <c r="O7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10/01/2025, referente ao pedido Nº Pedido 701 Rastreio Pedido 701, agradecemos a preferência e adoraríamos receber sua avaliação, tendo qualquer dúvida estamos à disposição.
Att
Tem tudo Shop</v>
      </c>
    </row>
    <row r="749" spans="1:15">
      <c r="A749" s="52" t="str">
        <f>_xlfn.XLOOKUP(Follow[[#This Row],[CODRASTREIO]],Controle_Pedidos[Cód Rastreamento],Controle_Pedidos[Número Pedido Cliente])</f>
        <v>Pedido 703</v>
      </c>
      <c r="B749" s="2" t="s">
        <v>18124</v>
      </c>
      <c r="C749" s="2" t="str">
        <f>Follow[[#This Row],[CODRASTREIO]]&amp;" B"</f>
        <v>CódRastreio682 B</v>
      </c>
      <c r="D749" s="52" t="str">
        <f>_xlfn.XLOOKUP(Follow[[#This Row],[Id Pedido]],Controle_Pedidos[Número Pedido Cliente],Controle_Pedidos[Loja])</f>
        <v>BV</v>
      </c>
      <c r="E749" s="9">
        <f>_xlfn.XLOOKUP(Follow[[#This Row],[Id Pedido]],Controle_Pedidos[Número Pedido Cliente],Controle_Pedidos[Prazo Entrega])</f>
        <v>45679</v>
      </c>
      <c r="F749" s="9" t="s">
        <v>19433</v>
      </c>
      <c r="G749" s="9" t="s">
        <v>37</v>
      </c>
      <c r="H749" s="52" t="s">
        <v>178</v>
      </c>
      <c r="I749" s="52" t="s">
        <v>178</v>
      </c>
      <c r="J749" s="55">
        <v>45667</v>
      </c>
      <c r="K749" s="52" t="s">
        <v>198</v>
      </c>
      <c r="L749" s="8" t="s">
        <v>124</v>
      </c>
      <c r="M749" s="8" t="s">
        <v>37</v>
      </c>
      <c r="N749" s="52" t="str">
        <f>IF(Follow[[#This Row],[DATAATUALIZAÇÃO]]&lt;=Follow[[#This Row],[Prev Entrega]],"Dentro do Prazo","Fora do Prazo")</f>
        <v>Dentro do Prazo</v>
      </c>
      <c r="O7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10/01/2025, referente ao pedido Nº Pedido 703 Rastreio Pedido 703, agradecemos a preferência e adoraríamos receber sua avaliação, tendo qualquer dúvida estamos à disposição.
Att
Tem tudo Shop</v>
      </c>
    </row>
    <row r="750" spans="1:15">
      <c r="A750" s="52" t="str">
        <f>_xlfn.XLOOKUP(Follow[[#This Row],[CODRASTREIO]],Controle_Pedidos[Cód Rastreamento],Controle_Pedidos[Número Pedido Cliente])</f>
        <v>Pedido 704</v>
      </c>
      <c r="B750" s="2" t="s">
        <v>18125</v>
      </c>
      <c r="C750" s="2" t="str">
        <f>Follow[[#This Row],[CODRASTREIO]]&amp;" B"</f>
        <v>CódRastreio683 B</v>
      </c>
      <c r="D750" s="52" t="str">
        <f>_xlfn.XLOOKUP(Follow[[#This Row],[Id Pedido]],Controle_Pedidos[Número Pedido Cliente],Controle_Pedidos[Loja])</f>
        <v>BV</v>
      </c>
      <c r="E750" s="9">
        <f>_xlfn.XLOOKUP(Follow[[#This Row],[Id Pedido]],Controle_Pedidos[Número Pedido Cliente],Controle_Pedidos[Prazo Entrega])</f>
        <v>45681</v>
      </c>
      <c r="F750" s="9" t="s">
        <v>19433</v>
      </c>
      <c r="G750" s="9" t="s">
        <v>37</v>
      </c>
      <c r="H750" s="52" t="s">
        <v>179</v>
      </c>
      <c r="I750" s="52" t="s">
        <v>178</v>
      </c>
      <c r="J750" s="55">
        <v>45668</v>
      </c>
      <c r="K750" s="52" t="s">
        <v>198</v>
      </c>
      <c r="L750" s="8" t="s">
        <v>124</v>
      </c>
      <c r="M750" s="8" t="s">
        <v>37</v>
      </c>
      <c r="N750" s="52" t="str">
        <f>IF(Follow[[#This Row],[DATAATUALIZAÇÃO]]&lt;=Follow[[#This Row],[Prev Entrega]],"Dentro do Prazo","Fora do Prazo")</f>
        <v>Dentro do Prazo</v>
      </c>
      <c r="O7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11/01/2025, referente ao pedido Nº Pedido 704 Rastreio Pedido 704, agradecemos a preferência e adoraríamos receber sua avaliação, tendo qualquer dúvida estamos à disposição.
Att
Tem tudo Shop</v>
      </c>
    </row>
    <row r="751" spans="1:15">
      <c r="A751" s="52" t="str">
        <f>_xlfn.XLOOKUP(Follow[[#This Row],[CODRASTREIO]],Controle_Pedidos[Cód Rastreamento],Controle_Pedidos[Número Pedido Cliente])</f>
        <v>Pedido 705</v>
      </c>
      <c r="B751" s="2" t="s">
        <v>18126</v>
      </c>
      <c r="C751" s="2" t="str">
        <f>Follow[[#This Row],[CODRASTREIO]]&amp;" B"</f>
        <v>CódRastreio684 B</v>
      </c>
      <c r="D751" s="52" t="str">
        <f>_xlfn.XLOOKUP(Follow[[#This Row],[Id Pedido]],Controle_Pedidos[Número Pedido Cliente],Controle_Pedidos[Loja])</f>
        <v>BV</v>
      </c>
      <c r="E751" s="9">
        <f>_xlfn.XLOOKUP(Follow[[#This Row],[Id Pedido]],Controle_Pedidos[Número Pedido Cliente],Controle_Pedidos[Prazo Entrega])</f>
        <v>45681</v>
      </c>
      <c r="F751" s="9" t="s">
        <v>19433</v>
      </c>
      <c r="G751" s="9" t="s">
        <v>37</v>
      </c>
      <c r="H751" s="52" t="s">
        <v>178</v>
      </c>
      <c r="I751" s="52" t="s">
        <v>178</v>
      </c>
      <c r="J751" s="55">
        <v>45670</v>
      </c>
      <c r="K751" s="52" t="s">
        <v>198</v>
      </c>
      <c r="L751" s="8" t="s">
        <v>124</v>
      </c>
      <c r="M751" s="8" t="s">
        <v>37</v>
      </c>
      <c r="N751" s="52" t="str">
        <f>IF(Follow[[#This Row],[DATAATUALIZAÇÃO]]&lt;=Follow[[#This Row],[Prev Entrega]],"Dentro do Prazo","Fora do Prazo")</f>
        <v>Dentro do Prazo</v>
      </c>
      <c r="O7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13/01/2025, referente ao pedido Nº Pedido 705 Rastreio Pedido 705, agradecemos a preferência e adoraríamos receber sua avaliação, tendo qualquer dúvida estamos à disposição.
Att
Tem tudo Shop</v>
      </c>
    </row>
    <row r="752" spans="1:15">
      <c r="A752" s="52" t="str">
        <f>_xlfn.XLOOKUP(Follow[[#This Row],[CODRASTREIO]],Controle_Pedidos[Cód Rastreamento],Controle_Pedidos[Número Pedido Cliente])</f>
        <v>Pedido 707</v>
      </c>
      <c r="B752" s="2" t="s">
        <v>18128</v>
      </c>
      <c r="C752" s="2" t="str">
        <f>Follow[[#This Row],[CODRASTREIO]]&amp;" B"</f>
        <v>CódRastreio686 B</v>
      </c>
      <c r="D752" s="52" t="str">
        <f>_xlfn.XLOOKUP(Follow[[#This Row],[Id Pedido]],Controle_Pedidos[Número Pedido Cliente],Controle_Pedidos[Loja])</f>
        <v>BV</v>
      </c>
      <c r="E752" s="9">
        <f>_xlfn.XLOOKUP(Follow[[#This Row],[Id Pedido]],Controle_Pedidos[Número Pedido Cliente],Controle_Pedidos[Prazo Entrega])</f>
        <v>45681</v>
      </c>
      <c r="F752" s="9" t="s">
        <v>19433</v>
      </c>
      <c r="G752" s="9" t="s">
        <v>37</v>
      </c>
      <c r="H752" s="52" t="s">
        <v>178</v>
      </c>
      <c r="I752" s="52" t="s">
        <v>178</v>
      </c>
      <c r="J752" s="55">
        <v>45672</v>
      </c>
      <c r="K752" s="52" t="s">
        <v>198</v>
      </c>
      <c r="L752" s="8" t="s">
        <v>124</v>
      </c>
      <c r="M752" s="8" t="s">
        <v>37</v>
      </c>
      <c r="N752" s="52" t="str">
        <f>IF(Follow[[#This Row],[DATAATUALIZAÇÃO]]&lt;=Follow[[#This Row],[Prev Entrega]],"Dentro do Prazo","Fora do Prazo")</f>
        <v>Dentro do Prazo</v>
      </c>
      <c r="O7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15/01/2025, referente ao pedido Nº Pedido 707 Rastreio Pedido 707, agradecemos a preferência e adoraríamos receber sua avaliação, tendo qualquer dúvida estamos à disposição.
Att
Tem tudo Shop</v>
      </c>
    </row>
    <row r="753" spans="1:15">
      <c r="A753" s="52" t="str">
        <f>_xlfn.XLOOKUP(Follow[[#This Row],[CODRASTREIO]],Controle_Pedidos[Cód Rastreamento],Controle_Pedidos[Número Pedido Cliente])</f>
        <v>Pedido 708</v>
      </c>
      <c r="B753" s="2" t="s">
        <v>18129</v>
      </c>
      <c r="C753" s="2" t="str">
        <f>Follow[[#This Row],[CODRASTREIO]]&amp;" B"</f>
        <v>CódRastreio687 B</v>
      </c>
      <c r="D753" s="52" t="str">
        <f>_xlfn.XLOOKUP(Follow[[#This Row],[Id Pedido]],Controle_Pedidos[Número Pedido Cliente],Controle_Pedidos[Loja])</f>
        <v>BV</v>
      </c>
      <c r="E753" s="9">
        <f>_xlfn.XLOOKUP(Follow[[#This Row],[Id Pedido]],Controle_Pedidos[Número Pedido Cliente],Controle_Pedidos[Prazo Entrega])</f>
        <v>45675</v>
      </c>
      <c r="F753" s="9" t="s">
        <v>19433</v>
      </c>
      <c r="G753" s="9" t="s">
        <v>37</v>
      </c>
      <c r="H753" s="52" t="s">
        <v>178</v>
      </c>
      <c r="I753" s="52" t="s">
        <v>178</v>
      </c>
      <c r="J753" s="55">
        <v>45667</v>
      </c>
      <c r="K753" s="52" t="s">
        <v>198</v>
      </c>
      <c r="L753" s="8" t="s">
        <v>124</v>
      </c>
      <c r="M753" s="8" t="s">
        <v>37</v>
      </c>
      <c r="N753" s="52" t="str">
        <f>IF(Follow[[#This Row],[DATAATUALIZAÇÃO]]&lt;=Follow[[#This Row],[Prev Entrega]],"Dentro do Prazo","Fora do Prazo")</f>
        <v>Dentro do Prazo</v>
      </c>
      <c r="O7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10/01/2025, referente ao pedido Nº Pedido 708 Rastreio Pedido 708, agradecemos a preferência e adoraríamos receber sua avaliação, tendo qualquer dúvida estamos à disposição.
Att
Tem tudo Shop</v>
      </c>
    </row>
    <row r="754" spans="1:15">
      <c r="A754" s="52" t="str">
        <f>_xlfn.XLOOKUP(Follow[[#This Row],[CODRASTREIO]],Controle_Pedidos[Cód Rastreamento],Controle_Pedidos[Número Pedido Cliente])</f>
        <v>Pedido 709</v>
      </c>
      <c r="B754" s="2" t="s">
        <v>18130</v>
      </c>
      <c r="C754" s="2" t="str">
        <f>Follow[[#This Row],[CODRASTREIO]]&amp;" B"</f>
        <v>CódRastreio688 B</v>
      </c>
      <c r="D754" s="52" t="str">
        <f>_xlfn.XLOOKUP(Follow[[#This Row],[Id Pedido]],Controle_Pedidos[Número Pedido Cliente],Controle_Pedidos[Loja])</f>
        <v>BV</v>
      </c>
      <c r="E754" s="9">
        <f>_xlfn.XLOOKUP(Follow[[#This Row],[Id Pedido]],Controle_Pedidos[Número Pedido Cliente],Controle_Pedidos[Prazo Entrega])</f>
        <v>45681</v>
      </c>
      <c r="F754" s="9" t="s">
        <v>19433</v>
      </c>
      <c r="G754" s="9" t="s">
        <v>37</v>
      </c>
      <c r="H754" s="52" t="s">
        <v>178</v>
      </c>
      <c r="I754" s="52" t="s">
        <v>178</v>
      </c>
      <c r="J754" s="55">
        <v>45670</v>
      </c>
      <c r="K754" s="52" t="s">
        <v>198</v>
      </c>
      <c r="L754" s="8" t="s">
        <v>124</v>
      </c>
      <c r="M754" s="8" t="s">
        <v>37</v>
      </c>
      <c r="N754" s="52" t="str">
        <f>IF(Follow[[#This Row],[DATAATUALIZAÇÃO]]&lt;=Follow[[#This Row],[Prev Entrega]],"Dentro do Prazo","Fora do Prazo")</f>
        <v>Dentro do Prazo</v>
      </c>
      <c r="O7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13/01/2025, referente ao pedido Nº Pedido 709 Rastreio Pedido 709, agradecemos a preferência e adoraríamos receber sua avaliação, tendo qualquer dúvida estamos à disposição.
Att
Tem tudo Shop</v>
      </c>
    </row>
    <row r="755" spans="1:15">
      <c r="A755" s="52" t="str">
        <f>_xlfn.XLOOKUP(Follow[[#This Row],[CODRASTREIO]],Controle_Pedidos[Cód Rastreamento],Controle_Pedidos[Número Pedido Cliente])</f>
        <v>Pedido 710</v>
      </c>
      <c r="B755" s="2" t="s">
        <v>18131</v>
      </c>
      <c r="C755" s="2" t="str">
        <f>Follow[[#This Row],[CODRASTREIO]]&amp;" B"</f>
        <v>CódRastreio689 B</v>
      </c>
      <c r="D755" s="52" t="str">
        <f>_xlfn.XLOOKUP(Follow[[#This Row],[Id Pedido]],Controle_Pedidos[Número Pedido Cliente],Controle_Pedidos[Loja])</f>
        <v>BV</v>
      </c>
      <c r="E755" s="9">
        <f>_xlfn.XLOOKUP(Follow[[#This Row],[Id Pedido]],Controle_Pedidos[Número Pedido Cliente],Controle_Pedidos[Prazo Entrega])</f>
        <v>45681</v>
      </c>
      <c r="F755" s="9" t="s">
        <v>19433</v>
      </c>
      <c r="G755" s="9" t="s">
        <v>37</v>
      </c>
      <c r="H755" s="52" t="s">
        <v>179</v>
      </c>
      <c r="I755" s="52" t="s">
        <v>178</v>
      </c>
      <c r="J755" s="55">
        <v>45670</v>
      </c>
      <c r="K755" s="52" t="s">
        <v>198</v>
      </c>
      <c r="L755" s="8" t="s">
        <v>124</v>
      </c>
      <c r="M755" s="8" t="s">
        <v>37</v>
      </c>
      <c r="N755" s="52" t="str">
        <f>IF(Follow[[#This Row],[DATAATUALIZAÇÃO]]&lt;=Follow[[#This Row],[Prev Entrega]],"Dentro do Prazo","Fora do Prazo")</f>
        <v>Dentro do Prazo</v>
      </c>
      <c r="O7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13/01/2025, referente ao pedido Nº Pedido 710 Rastreio Pedido 710, agradecemos a preferência e adoraríamos receber sua avaliação, tendo qualquer dúvida estamos à disposição.
Att
Tem tudo Shop</v>
      </c>
    </row>
    <row r="756" spans="1:15">
      <c r="A756" s="52" t="str">
        <f>_xlfn.XLOOKUP(Follow[[#This Row],[CODRASTREIO]],Controle_Pedidos[Cód Rastreamento],Controle_Pedidos[Número Pedido Cliente])</f>
        <v>Pedido 712</v>
      </c>
      <c r="B756" s="2" t="s">
        <v>18133</v>
      </c>
      <c r="C756" s="2" t="str">
        <f>Follow[[#This Row],[CODRASTREIO]]&amp;" B"</f>
        <v>CódRastreio691 B</v>
      </c>
      <c r="D756" s="52" t="str">
        <f>_xlfn.XLOOKUP(Follow[[#This Row],[Id Pedido]],Controle_Pedidos[Número Pedido Cliente],Controle_Pedidos[Loja])</f>
        <v>BV</v>
      </c>
      <c r="E756" s="9">
        <f>_xlfn.XLOOKUP(Follow[[#This Row],[Id Pedido]],Controle_Pedidos[Número Pedido Cliente],Controle_Pedidos[Prazo Entrega])</f>
        <v>45687</v>
      </c>
      <c r="F756" s="9" t="s">
        <v>19433</v>
      </c>
      <c r="G756" s="9" t="s">
        <v>37</v>
      </c>
      <c r="H756" s="52" t="s">
        <v>178</v>
      </c>
      <c r="I756" s="52" t="s">
        <v>178</v>
      </c>
      <c r="J756" s="55">
        <v>45670</v>
      </c>
      <c r="K756" s="52" t="s">
        <v>198</v>
      </c>
      <c r="L756" s="8" t="s">
        <v>124</v>
      </c>
      <c r="M756" s="8" t="s">
        <v>37</v>
      </c>
      <c r="N756" s="52" t="str">
        <f>IF(Follow[[#This Row],[DATAATUALIZAÇÃO]]&lt;=Follow[[#This Row],[Prev Entrega]],"Dentro do Prazo","Fora do Prazo")</f>
        <v>Dentro do Prazo</v>
      </c>
      <c r="O7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13/01/2025, referente ao pedido Nº Pedido 712 Rastreio Pedido 712, agradecemos a preferência e adoraríamos receber sua avaliação, tendo qualquer dúvida estamos à disposição.
Att
Tem tudo Shop</v>
      </c>
    </row>
    <row r="757" spans="1:15">
      <c r="A757" s="52" t="str">
        <f>_xlfn.XLOOKUP(Follow[[#This Row],[CODRASTREIO]],Controle_Pedidos[Cód Rastreamento],Controle_Pedidos[Número Pedido Cliente])</f>
        <v>Pedido 713</v>
      </c>
      <c r="B757" s="2" t="s">
        <v>18134</v>
      </c>
      <c r="C757" s="2" t="str">
        <f>Follow[[#This Row],[CODRASTREIO]]&amp;" B"</f>
        <v>CódRastreio692 B</v>
      </c>
      <c r="D757" s="52" t="str">
        <f>_xlfn.XLOOKUP(Follow[[#This Row],[Id Pedido]],Controle_Pedidos[Número Pedido Cliente],Controle_Pedidos[Loja])</f>
        <v>BV</v>
      </c>
      <c r="E757" s="9">
        <f>_xlfn.XLOOKUP(Follow[[#This Row],[Id Pedido]],Controle_Pedidos[Número Pedido Cliente],Controle_Pedidos[Prazo Entrega])</f>
        <v>45687</v>
      </c>
      <c r="F757" s="9" t="s">
        <v>19433</v>
      </c>
      <c r="G757" s="9" t="s">
        <v>37</v>
      </c>
      <c r="H757" s="52" t="s">
        <v>178</v>
      </c>
      <c r="I757" s="52" t="s">
        <v>178</v>
      </c>
      <c r="J757" s="55">
        <v>45670</v>
      </c>
      <c r="K757" s="52" t="s">
        <v>198</v>
      </c>
      <c r="L757" s="8" t="s">
        <v>124</v>
      </c>
      <c r="M757" s="8" t="s">
        <v>37</v>
      </c>
      <c r="N757" s="52" t="str">
        <f>IF(Follow[[#This Row],[DATAATUALIZAÇÃO]]&lt;=Follow[[#This Row],[Prev Entrega]],"Dentro do Prazo","Fora do Prazo")</f>
        <v>Dentro do Prazo</v>
      </c>
      <c r="O7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13/01/2025, referente ao pedido Nº Pedido 713 Rastreio Pedido 713, agradecemos a preferência e adoraríamos receber sua avaliação, tendo qualquer dúvida estamos à disposição.
Att
Tem tudo Shop</v>
      </c>
    </row>
    <row r="758" spans="1:15">
      <c r="A758" s="52" t="str">
        <f>_xlfn.XLOOKUP(Follow[[#This Row],[CODRASTREIO]],Controle_Pedidos[Cód Rastreamento],Controle_Pedidos[Número Pedido Cliente])</f>
        <v>Pedido 714</v>
      </c>
      <c r="B758" s="2" t="s">
        <v>18135</v>
      </c>
      <c r="C758" s="2" t="str">
        <f>Follow[[#This Row],[CODRASTREIO]]&amp;" B"</f>
        <v>CódRastreio693 B</v>
      </c>
      <c r="D758" s="52" t="str">
        <f>_xlfn.XLOOKUP(Follow[[#This Row],[Id Pedido]],Controle_Pedidos[Número Pedido Cliente],Controle_Pedidos[Loja])</f>
        <v>BV</v>
      </c>
      <c r="E758" s="9">
        <f>_xlfn.XLOOKUP(Follow[[#This Row],[Id Pedido]],Controle_Pedidos[Número Pedido Cliente],Controle_Pedidos[Prazo Entrega])</f>
        <v>45681</v>
      </c>
      <c r="F758" s="9" t="s">
        <v>19433</v>
      </c>
      <c r="G758" s="9" t="s">
        <v>37</v>
      </c>
      <c r="H758" s="52" t="s">
        <v>178</v>
      </c>
      <c r="I758" s="52" t="s">
        <v>178</v>
      </c>
      <c r="J758" s="55">
        <v>45667</v>
      </c>
      <c r="K758" s="52" t="s">
        <v>198</v>
      </c>
      <c r="L758" s="8" t="s">
        <v>124</v>
      </c>
      <c r="M758" s="8" t="s">
        <v>37</v>
      </c>
      <c r="N758" s="52" t="str">
        <f>IF(Follow[[#This Row],[DATAATUALIZAÇÃO]]&lt;=Follow[[#This Row],[Prev Entrega]],"Dentro do Prazo","Fora do Prazo")</f>
        <v>Dentro do Prazo</v>
      </c>
      <c r="O7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10/01/2025, referente ao pedido Nº Pedido 714 Rastreio Pedido 714, agradecemos a preferência e adoraríamos receber sua avaliação, tendo qualquer dúvida estamos à disposição.
Att
Tem tudo Shop</v>
      </c>
    </row>
    <row r="759" spans="1:15">
      <c r="A759" s="52" t="str">
        <f>_xlfn.XLOOKUP(Follow[[#This Row],[CODRASTREIO]],Controle_Pedidos[Cód Rastreamento],Controle_Pedidos[Número Pedido Cliente])</f>
        <v>Pedido 715</v>
      </c>
      <c r="B759" s="2" t="s">
        <v>18136</v>
      </c>
      <c r="C759" s="2" t="str">
        <f>Follow[[#This Row],[CODRASTREIO]]&amp;" B"</f>
        <v>CódRastreio694 B</v>
      </c>
      <c r="D759" s="52" t="str">
        <f>_xlfn.XLOOKUP(Follow[[#This Row],[Id Pedido]],Controle_Pedidos[Número Pedido Cliente],Controle_Pedidos[Loja])</f>
        <v>BV</v>
      </c>
      <c r="E759" s="9">
        <f>_xlfn.XLOOKUP(Follow[[#This Row],[Id Pedido]],Controle_Pedidos[Número Pedido Cliente],Controle_Pedidos[Prazo Entrega])</f>
        <v>45687</v>
      </c>
      <c r="F759" s="9" t="s">
        <v>19433</v>
      </c>
      <c r="G759" s="9" t="s">
        <v>37</v>
      </c>
      <c r="H759" s="52" t="s">
        <v>178</v>
      </c>
      <c r="I759" s="52" t="s">
        <v>178</v>
      </c>
      <c r="J759" s="55">
        <v>45670</v>
      </c>
      <c r="K759" s="52" t="s">
        <v>198</v>
      </c>
      <c r="L759" s="8" t="s">
        <v>124</v>
      </c>
      <c r="M759" s="8" t="s">
        <v>37</v>
      </c>
      <c r="N759" s="52" t="str">
        <f>IF(Follow[[#This Row],[DATAATUALIZAÇÃO]]&lt;=Follow[[#This Row],[Prev Entrega]],"Dentro do Prazo","Fora do Prazo")</f>
        <v>Dentro do Prazo</v>
      </c>
      <c r="O7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13/01/2025, referente ao pedido Nº Pedido 715 Rastreio Pedido 715, agradecemos a preferência e adoraríamos receber sua avaliação, tendo qualquer dúvida estamos à disposição.
Att
Tem tudo Shop</v>
      </c>
    </row>
    <row r="760" spans="1:15">
      <c r="A760" s="52" t="str">
        <f>_xlfn.XLOOKUP(Follow[[#This Row],[CODRASTREIO]],Controle_Pedidos[Cód Rastreamento],Controle_Pedidos[Número Pedido Cliente])</f>
        <v>Pedido 716</v>
      </c>
      <c r="B760" s="2" t="s">
        <v>18137</v>
      </c>
      <c r="C760" s="2" t="str">
        <f>Follow[[#This Row],[CODRASTREIO]]&amp;" B"</f>
        <v>CódRastreio695 B</v>
      </c>
      <c r="D760" s="52" t="str">
        <f>_xlfn.XLOOKUP(Follow[[#This Row],[Id Pedido]],Controle_Pedidos[Número Pedido Cliente],Controle_Pedidos[Loja])</f>
        <v>BV</v>
      </c>
      <c r="E760" s="9">
        <f>_xlfn.XLOOKUP(Follow[[#This Row],[Id Pedido]],Controle_Pedidos[Número Pedido Cliente],Controle_Pedidos[Prazo Entrega])</f>
        <v>45687</v>
      </c>
      <c r="F760" s="9" t="s">
        <v>19433</v>
      </c>
      <c r="G760" s="9" t="s">
        <v>37</v>
      </c>
      <c r="H760" s="52" t="s">
        <v>178</v>
      </c>
      <c r="I760" s="52" t="s">
        <v>178</v>
      </c>
      <c r="J760" s="55">
        <v>45670</v>
      </c>
      <c r="K760" s="52" t="s">
        <v>198</v>
      </c>
      <c r="L760" s="8" t="s">
        <v>124</v>
      </c>
      <c r="M760" s="8" t="s">
        <v>37</v>
      </c>
      <c r="N760" s="52" t="str">
        <f>IF(Follow[[#This Row],[DATAATUALIZAÇÃO]]&lt;=Follow[[#This Row],[Prev Entrega]],"Dentro do Prazo","Fora do Prazo")</f>
        <v>Dentro do Prazo</v>
      </c>
      <c r="O7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13/01/2025, referente ao pedido Nº Pedido 716 Rastreio Pedido 716, agradecemos a preferência e adoraríamos receber sua avaliação, tendo qualquer dúvida estamos à disposição.
Att
Tem tudo Shop</v>
      </c>
    </row>
    <row r="761" spans="1:15">
      <c r="A761" s="52" t="str">
        <f>_xlfn.XLOOKUP(Follow[[#This Row],[CODRASTREIO]],Controle_Pedidos[Cód Rastreamento],Controle_Pedidos[Número Pedido Cliente])</f>
        <v>Pedido 717</v>
      </c>
      <c r="B761" s="2" t="s">
        <v>18138</v>
      </c>
      <c r="C761" s="2" t="str">
        <f>Follow[[#This Row],[CODRASTREIO]]&amp;" B"</f>
        <v>CódRastreio696 B</v>
      </c>
      <c r="D761" s="52" t="str">
        <f>_xlfn.XLOOKUP(Follow[[#This Row],[Id Pedido]],Controle_Pedidos[Número Pedido Cliente],Controle_Pedidos[Loja])</f>
        <v>BV</v>
      </c>
      <c r="E761" s="9">
        <f>_xlfn.XLOOKUP(Follow[[#This Row],[Id Pedido]],Controle_Pedidos[Número Pedido Cliente],Controle_Pedidos[Prazo Entrega])</f>
        <v>45681</v>
      </c>
      <c r="F761" s="9" t="s">
        <v>19433</v>
      </c>
      <c r="G761" s="9" t="s">
        <v>37</v>
      </c>
      <c r="H761" s="52" t="s">
        <v>178</v>
      </c>
      <c r="I761" s="52" t="s">
        <v>178</v>
      </c>
      <c r="J761" s="55">
        <v>45672</v>
      </c>
      <c r="K761" s="52" t="s">
        <v>198</v>
      </c>
      <c r="L761" s="8" t="s">
        <v>124</v>
      </c>
      <c r="M761" s="8" t="s">
        <v>37</v>
      </c>
      <c r="N761" s="52" t="str">
        <f>IF(Follow[[#This Row],[DATAATUALIZAÇÃO]]&lt;=Follow[[#This Row],[Prev Entrega]],"Dentro do Prazo","Fora do Prazo")</f>
        <v>Dentro do Prazo</v>
      </c>
      <c r="O7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15/01/2025, referente ao pedido Nº Pedido 717 Rastreio Pedido 717, agradecemos a preferência e adoraríamos receber sua avaliação, tendo qualquer dúvida estamos à disposição.
Att
Tem tudo Shop</v>
      </c>
    </row>
    <row r="762" spans="1:15">
      <c r="A762" s="52" t="str">
        <f>_xlfn.XLOOKUP(Follow[[#This Row],[CODRASTREIO]],Controle_Pedidos[Cód Rastreamento],Controle_Pedidos[Número Pedido Cliente])</f>
        <v>Pedido 718</v>
      </c>
      <c r="B762" s="2" t="s">
        <v>18139</v>
      </c>
      <c r="C762" s="2" t="str">
        <f>Follow[[#This Row],[CODRASTREIO]]&amp;" B"</f>
        <v>CódRastreio697 B</v>
      </c>
      <c r="D762" s="52" t="str">
        <f>_xlfn.XLOOKUP(Follow[[#This Row],[Id Pedido]],Controle_Pedidos[Número Pedido Cliente],Controle_Pedidos[Loja])</f>
        <v>BV</v>
      </c>
      <c r="E762" s="9">
        <f>_xlfn.XLOOKUP(Follow[[#This Row],[Id Pedido]],Controle_Pedidos[Número Pedido Cliente],Controle_Pedidos[Prazo Entrega])</f>
        <v>45687</v>
      </c>
      <c r="F762" s="9" t="s">
        <v>19433</v>
      </c>
      <c r="G762" s="9" t="s">
        <v>37</v>
      </c>
      <c r="H762" s="52" t="s">
        <v>178</v>
      </c>
      <c r="I762" s="52" t="s">
        <v>178</v>
      </c>
      <c r="J762" s="55">
        <v>45672</v>
      </c>
      <c r="K762" s="52" t="s">
        <v>198</v>
      </c>
      <c r="L762" s="8" t="s">
        <v>124</v>
      </c>
      <c r="M762" s="8" t="s">
        <v>37</v>
      </c>
      <c r="N762" s="52" t="str">
        <f>IF(Follow[[#This Row],[DATAATUALIZAÇÃO]]&lt;=Follow[[#This Row],[Prev Entrega]],"Dentro do Prazo","Fora do Prazo")</f>
        <v>Dentro do Prazo</v>
      </c>
      <c r="O7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15/01/2025, referente ao pedido Nº Pedido 718 Rastreio Pedido 718, agradecemos a preferência e adoraríamos receber sua avaliação, tendo qualquer dúvida estamos à disposição.
Att
Tem tudo Shop</v>
      </c>
    </row>
    <row r="763" spans="1:15">
      <c r="A763" s="52" t="str">
        <f>_xlfn.XLOOKUP(Follow[[#This Row],[CODRASTREIO]],Controle_Pedidos[Cód Rastreamento],Controle_Pedidos[Número Pedido Cliente])</f>
        <v>Pedido 719</v>
      </c>
      <c r="B763" s="2" t="s">
        <v>18140</v>
      </c>
      <c r="C763" s="2" t="str">
        <f>Follow[[#This Row],[CODRASTREIO]]&amp;" B"</f>
        <v>CódRastreio698 B</v>
      </c>
      <c r="D763" s="52" t="str">
        <f>_xlfn.XLOOKUP(Follow[[#This Row],[Id Pedido]],Controle_Pedidos[Número Pedido Cliente],Controle_Pedidos[Loja])</f>
        <v>BV</v>
      </c>
      <c r="E763" s="9">
        <f>_xlfn.XLOOKUP(Follow[[#This Row],[Id Pedido]],Controle_Pedidos[Número Pedido Cliente],Controle_Pedidos[Prazo Entrega])</f>
        <v>45687</v>
      </c>
      <c r="F763" s="9" t="s">
        <v>19433</v>
      </c>
      <c r="G763" s="9" t="s">
        <v>37</v>
      </c>
      <c r="H763" s="52" t="s">
        <v>178</v>
      </c>
      <c r="I763" s="52" t="s">
        <v>178</v>
      </c>
      <c r="J763" s="55">
        <v>45672</v>
      </c>
      <c r="K763" s="52" t="s">
        <v>198</v>
      </c>
      <c r="L763" s="8" t="s">
        <v>124</v>
      </c>
      <c r="M763" s="8" t="s">
        <v>37</v>
      </c>
      <c r="N763" s="52" t="str">
        <f>IF(Follow[[#This Row],[DATAATUALIZAÇÃO]]&lt;=Follow[[#This Row],[Prev Entrega]],"Dentro do Prazo","Fora do Prazo")</f>
        <v>Dentro do Prazo</v>
      </c>
      <c r="O7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15/01/2025, referente ao pedido Nº Pedido 719 Rastreio Pedido 719, agradecemos a preferência e adoraríamos receber sua avaliação, tendo qualquer dúvida estamos à disposição.
Att
Tem tudo Shop</v>
      </c>
    </row>
    <row r="764" spans="1:15">
      <c r="A764" s="52" t="str">
        <f>_xlfn.XLOOKUP(Follow[[#This Row],[CODRASTREIO]],Controle_Pedidos[Cód Rastreamento],Controle_Pedidos[Número Pedido Cliente])</f>
        <v>Pedido 720</v>
      </c>
      <c r="B764" s="2" t="s">
        <v>18141</v>
      </c>
      <c r="C764" s="2" t="str">
        <f>Follow[[#This Row],[CODRASTREIO]]&amp;" B"</f>
        <v>CódRastreio699 B</v>
      </c>
      <c r="D764" s="52" t="str">
        <f>_xlfn.XLOOKUP(Follow[[#This Row],[Id Pedido]],Controle_Pedidos[Número Pedido Cliente],Controle_Pedidos[Loja])</f>
        <v>BV</v>
      </c>
      <c r="E764" s="9">
        <f>_xlfn.XLOOKUP(Follow[[#This Row],[Id Pedido]],Controle_Pedidos[Número Pedido Cliente],Controle_Pedidos[Prazo Entrega])</f>
        <v>45681</v>
      </c>
      <c r="F764" s="9" t="s">
        <v>19433</v>
      </c>
      <c r="G764" s="9" t="s">
        <v>37</v>
      </c>
      <c r="H764" s="52" t="s">
        <v>179</v>
      </c>
      <c r="I764" s="52" t="s">
        <v>178</v>
      </c>
      <c r="J764" s="55">
        <v>45668</v>
      </c>
      <c r="K764" s="52" t="s">
        <v>198</v>
      </c>
      <c r="L764" s="8" t="s">
        <v>124</v>
      </c>
      <c r="M764" s="8" t="s">
        <v>37</v>
      </c>
      <c r="N764" s="52" t="str">
        <f>IF(Follow[[#This Row],[DATAATUALIZAÇÃO]]&lt;=Follow[[#This Row],[Prev Entrega]],"Dentro do Prazo","Fora do Prazo")</f>
        <v>Dentro do Prazo</v>
      </c>
      <c r="O7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11/01/2025, referente ao pedido Nº Pedido 720 Rastreio Pedido 720, agradecemos a preferência e adoraríamos receber sua avaliação, tendo qualquer dúvida estamos à disposição.
Att
Tem tudo Shop</v>
      </c>
    </row>
    <row r="765" spans="1:15">
      <c r="A765" s="52" t="str">
        <f>_xlfn.XLOOKUP(Follow[[#This Row],[CODRASTREIO]],Controle_Pedidos[Cód Rastreamento],Controle_Pedidos[Número Pedido Cliente])</f>
        <v>Pedido 733</v>
      </c>
      <c r="B765" s="2" t="s">
        <v>18152</v>
      </c>
      <c r="C765" s="2" t="str">
        <f>Follow[[#This Row],[CODRASTREIO]]&amp;" B"</f>
        <v>CódRastreio710 B</v>
      </c>
      <c r="D765" s="52" t="str">
        <f>_xlfn.XLOOKUP(Follow[[#This Row],[Id Pedido]],Controle_Pedidos[Número Pedido Cliente],Controle_Pedidos[Loja])</f>
        <v>BV</v>
      </c>
      <c r="E765" s="9">
        <f>_xlfn.XLOOKUP(Follow[[#This Row],[Id Pedido]],Controle_Pedidos[Número Pedido Cliente],Controle_Pedidos[Prazo Entrega])</f>
        <v>45680</v>
      </c>
      <c r="F765" s="9" t="s">
        <v>19433</v>
      </c>
      <c r="G765" s="9" t="s">
        <v>37</v>
      </c>
      <c r="H765" s="52" t="s">
        <v>178</v>
      </c>
      <c r="I765" s="52" t="s">
        <v>178</v>
      </c>
      <c r="J765" s="55">
        <v>45673</v>
      </c>
      <c r="K765" s="52" t="s">
        <v>198</v>
      </c>
      <c r="L765" s="8" t="s">
        <v>124</v>
      </c>
      <c r="M765" s="8" t="s">
        <v>37</v>
      </c>
      <c r="N765" s="52" t="str">
        <f>IF(Follow[[#This Row],[DATAATUALIZAÇÃO]]&lt;=Follow[[#This Row],[Prev Entrega]],"Dentro do Prazo","Fora do Prazo")</f>
        <v>Dentro do Prazo</v>
      </c>
      <c r="O7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16/01/2025, referente ao pedido Nº Pedido 733 Rastreio Pedido 733, agradecemos a preferência e adoraríamos receber sua avaliação, tendo qualquer dúvida estamos à disposição.
Att
Tem tudo Shop</v>
      </c>
    </row>
    <row r="766" spans="1:15">
      <c r="A766" s="52" t="str">
        <f>_xlfn.XLOOKUP(Follow[[#This Row],[CODRASTREIO]],Controle_Pedidos[Cód Rastreamento],Controle_Pedidos[Número Pedido Cliente])</f>
        <v>Pedido 742</v>
      </c>
      <c r="B766" s="2" t="s">
        <v>18161</v>
      </c>
      <c r="C766" s="2" t="str">
        <f>Follow[[#This Row],[CODRASTREIO]]&amp;" B"</f>
        <v>CódRastreio719 B</v>
      </c>
      <c r="D766" s="52" t="str">
        <f>_xlfn.XLOOKUP(Follow[[#This Row],[Id Pedido]],Controle_Pedidos[Número Pedido Cliente],Controle_Pedidos[Loja])</f>
        <v>BV</v>
      </c>
      <c r="E766" s="9">
        <f>_xlfn.XLOOKUP(Follow[[#This Row],[Id Pedido]],Controle_Pedidos[Número Pedido Cliente],Controle_Pedidos[Prazo Entrega])</f>
        <v>45679</v>
      </c>
      <c r="F766" s="9" t="s">
        <v>19433</v>
      </c>
      <c r="G766" s="9" t="s">
        <v>37</v>
      </c>
      <c r="H766" s="52" t="s">
        <v>178</v>
      </c>
      <c r="I766" s="52" t="s">
        <v>178</v>
      </c>
      <c r="J766" s="55">
        <v>45671</v>
      </c>
      <c r="K766" s="52" t="s">
        <v>198</v>
      </c>
      <c r="L766" s="8" t="s">
        <v>124</v>
      </c>
      <c r="M766" s="8" t="s">
        <v>37</v>
      </c>
      <c r="N766" s="52" t="str">
        <f>IF(Follow[[#This Row],[DATAATUALIZAÇÃO]]&lt;=Follow[[#This Row],[Prev Entrega]],"Dentro do Prazo","Fora do Prazo")</f>
        <v>Dentro do Prazo</v>
      </c>
      <c r="O7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14/01/2025, referente ao pedido Nº Pedido 742 Rastreio Pedido 742, agradecemos a preferência e adoraríamos receber sua avaliação, tendo qualquer dúvida estamos à disposição.
Att
Tem tudo Shop</v>
      </c>
    </row>
    <row r="767" spans="1:15">
      <c r="A767" s="52" t="str">
        <f>_xlfn.XLOOKUP(Follow[[#This Row],[CODRASTREIO]],Controle_Pedidos[Cód Rastreamento],Controle_Pedidos[Número Pedido Cliente])</f>
        <v>Pedido 744</v>
      </c>
      <c r="B767" s="2" t="s">
        <v>18163</v>
      </c>
      <c r="C767" s="2" t="str">
        <f>Follow[[#This Row],[CODRASTREIO]]&amp;" B"</f>
        <v>CódRastreio721 B</v>
      </c>
      <c r="D767" s="52" t="str">
        <f>_xlfn.XLOOKUP(Follow[[#This Row],[Id Pedido]],Controle_Pedidos[Número Pedido Cliente],Controle_Pedidos[Loja])</f>
        <v>BV</v>
      </c>
      <c r="E767" s="9">
        <f>_xlfn.XLOOKUP(Follow[[#This Row],[Id Pedido]],Controle_Pedidos[Número Pedido Cliente],Controle_Pedidos[Prazo Entrega])</f>
        <v>45679</v>
      </c>
      <c r="F767" s="9" t="s">
        <v>19433</v>
      </c>
      <c r="G767" s="9" t="s">
        <v>37</v>
      </c>
      <c r="H767" s="52" t="s">
        <v>178</v>
      </c>
      <c r="I767" s="52" t="s">
        <v>178</v>
      </c>
      <c r="J767" s="55">
        <v>45671</v>
      </c>
      <c r="K767" s="52" t="s">
        <v>198</v>
      </c>
      <c r="L767" s="8" t="s">
        <v>124</v>
      </c>
      <c r="M767" s="8" t="s">
        <v>37</v>
      </c>
      <c r="N767" s="52" t="str">
        <f>IF(Follow[[#This Row],[DATAATUALIZAÇÃO]]&lt;=Follow[[#This Row],[Prev Entrega]],"Dentro do Prazo","Fora do Prazo")</f>
        <v>Dentro do Prazo</v>
      </c>
      <c r="O7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14/01/2025, referente ao pedido Nº Pedido 744 Rastreio Pedido 744, agradecemos a preferência e adoraríamos receber sua avaliação, tendo qualquer dúvida estamos à disposição.
Att
Tem tudo Shop</v>
      </c>
    </row>
    <row r="768" spans="1:15">
      <c r="A768" s="52" t="str">
        <f>_xlfn.XLOOKUP(Follow[[#This Row],[CODRASTREIO]],Controle_Pedidos[Cód Rastreamento],Controle_Pedidos[Número Pedido Cliente])</f>
        <v>Pedido 780</v>
      </c>
      <c r="B768" s="2" t="s">
        <v>18199</v>
      </c>
      <c r="C768" s="2" t="str">
        <f>Follow[[#This Row],[CODRASTREIO]]&amp;" B"</f>
        <v>CódRastreio757 B</v>
      </c>
      <c r="D768" s="52" t="str">
        <f>_xlfn.XLOOKUP(Follow[[#This Row],[Id Pedido]],Controle_Pedidos[Número Pedido Cliente],Controle_Pedidos[Loja])</f>
        <v>BV</v>
      </c>
      <c r="E768" s="9">
        <f>_xlfn.XLOOKUP(Follow[[#This Row],[Id Pedido]],Controle_Pedidos[Número Pedido Cliente],Controle_Pedidos[Prazo Entrega])</f>
        <v>45699</v>
      </c>
      <c r="F768" s="9" t="s">
        <v>19433</v>
      </c>
      <c r="G768" s="9" t="s">
        <v>37</v>
      </c>
      <c r="H768" s="52" t="s">
        <v>179</v>
      </c>
      <c r="I768" s="52" t="s">
        <v>178</v>
      </c>
      <c r="J768" s="55">
        <v>45694</v>
      </c>
      <c r="K768" s="52" t="s">
        <v>198</v>
      </c>
      <c r="L768" s="8" t="s">
        <v>124</v>
      </c>
      <c r="M768" s="8" t="s">
        <v>37</v>
      </c>
      <c r="N768" s="52" t="str">
        <f>IF(Follow[[#This Row],[DATAATUALIZAÇÃO]]&lt;=Follow[[#This Row],[Prev Entrega]],"Dentro do Prazo","Fora do Prazo")</f>
        <v>Dentro do Prazo</v>
      </c>
      <c r="O7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06/02/2025, referente ao pedido Nº Pedido 780 Rastreio Pedido 780, agradecemos a preferência e adoraríamos receber sua avaliação, tendo qualquer dúvida estamos à disposição.
Att
Tem tudo Shop</v>
      </c>
    </row>
    <row r="769" spans="1:15">
      <c r="A769" s="52" t="str">
        <f>_xlfn.XLOOKUP(Follow[[#This Row],[CODRASTREIO]],Controle_Pedidos[Cód Rastreamento],Controle_Pedidos[Número Pedido Cliente])</f>
        <v>Pedido 781</v>
      </c>
      <c r="B769" s="2" t="s">
        <v>18200</v>
      </c>
      <c r="C769" s="2" t="str">
        <f>Follow[[#This Row],[CODRASTREIO]]&amp;" B"</f>
        <v>CódRastreio758 B</v>
      </c>
      <c r="D769" s="52" t="str">
        <f>_xlfn.XLOOKUP(Follow[[#This Row],[Id Pedido]],Controle_Pedidos[Número Pedido Cliente],Controle_Pedidos[Loja])</f>
        <v>BV</v>
      </c>
      <c r="E769" s="9">
        <f>_xlfn.XLOOKUP(Follow[[#This Row],[Id Pedido]],Controle_Pedidos[Número Pedido Cliente],Controle_Pedidos[Prazo Entrega])</f>
        <v>45693</v>
      </c>
      <c r="F769" s="9" t="s">
        <v>19433</v>
      </c>
      <c r="G769" s="9" t="s">
        <v>37</v>
      </c>
      <c r="H769" s="52" t="s">
        <v>179</v>
      </c>
      <c r="I769" s="52" t="s">
        <v>178</v>
      </c>
      <c r="J769" s="55">
        <v>45689</v>
      </c>
      <c r="K769" s="52" t="s">
        <v>198</v>
      </c>
      <c r="L769" s="8" t="s">
        <v>124</v>
      </c>
      <c r="M769" s="8" t="s">
        <v>37</v>
      </c>
      <c r="N769" s="52" t="str">
        <f>IF(Follow[[#This Row],[DATAATUALIZAÇÃO]]&lt;=Follow[[#This Row],[Prev Entrega]],"Dentro do Prazo","Fora do Prazo")</f>
        <v>Dentro do Prazo</v>
      </c>
      <c r="O76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781 Rastreio Pedido 781, agradecemos a preferência e adoraríamos receber sua avaliação, tendo qualquer dúvida estamos à disposição.
Att
Tem tudo Shop</v>
      </c>
    </row>
    <row r="770" spans="1:15">
      <c r="A770" s="52" t="str">
        <f>_xlfn.XLOOKUP(Follow[[#This Row],[CODRASTREIO]],Controle_Pedidos[Cód Rastreamento],Controle_Pedidos[Número Pedido Cliente])</f>
        <v>Pedido 782</v>
      </c>
      <c r="B770" s="2" t="s">
        <v>18201</v>
      </c>
      <c r="C770" s="2" t="str">
        <f>Follow[[#This Row],[CODRASTREIO]]&amp;" B"</f>
        <v>CódRastreio759 B</v>
      </c>
      <c r="D770" s="52" t="str">
        <f>_xlfn.XLOOKUP(Follow[[#This Row],[Id Pedido]],Controle_Pedidos[Número Pedido Cliente],Controle_Pedidos[Loja])</f>
        <v>BV</v>
      </c>
      <c r="E770" s="9">
        <f>_xlfn.XLOOKUP(Follow[[#This Row],[Id Pedido]],Controle_Pedidos[Número Pedido Cliente],Controle_Pedidos[Prazo Entrega])</f>
        <v>45693</v>
      </c>
      <c r="F770" s="9" t="s">
        <v>19433</v>
      </c>
      <c r="G770" s="9" t="s">
        <v>37</v>
      </c>
      <c r="H770" s="52" t="s">
        <v>178</v>
      </c>
      <c r="I770" s="52" t="s">
        <v>178</v>
      </c>
      <c r="J770" s="55">
        <v>45698</v>
      </c>
      <c r="K770" s="52" t="s">
        <v>198</v>
      </c>
      <c r="L770" s="8" t="s">
        <v>124</v>
      </c>
      <c r="M770" s="8" t="s">
        <v>205</v>
      </c>
      <c r="N770" s="52" t="str">
        <f>IF(Follow[[#This Row],[DATAATUALIZAÇÃO]]&lt;=Follow[[#This Row],[Prev Entrega]],"Dentro do Prazo","Fora do Prazo")</f>
        <v>Fora do Prazo</v>
      </c>
      <c r="O7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10/02/2025, referente ao pedido Nº Pedido 782 Rastreio Pedido 782, agradecemos a preferência e adoraríamos receber sua avaliação, tendo qualquer dúvida estamos à disposição.
Att
Tem tudo Shop</v>
      </c>
    </row>
    <row r="771" spans="1:15">
      <c r="A771" s="52" t="str">
        <f>_xlfn.XLOOKUP(Follow[[#This Row],[CODRASTREIO]],Controle_Pedidos[Cód Rastreamento],Controle_Pedidos[Número Pedido Cliente])</f>
        <v>Pedido 783</v>
      </c>
      <c r="B771" s="2" t="s">
        <v>18202</v>
      </c>
      <c r="C771" s="2" t="str">
        <f>Follow[[#This Row],[CODRASTREIO]]&amp;" B"</f>
        <v>CódRastreio760 B</v>
      </c>
      <c r="D771" s="52" t="str">
        <f>_xlfn.XLOOKUP(Follow[[#This Row],[Id Pedido]],Controle_Pedidos[Número Pedido Cliente],Controle_Pedidos[Loja])</f>
        <v>BV</v>
      </c>
      <c r="E771" s="9">
        <f>_xlfn.XLOOKUP(Follow[[#This Row],[Id Pedido]],Controle_Pedidos[Número Pedido Cliente],Controle_Pedidos[Prazo Entrega])</f>
        <v>45694</v>
      </c>
      <c r="F771" s="9" t="s">
        <v>19433</v>
      </c>
      <c r="G771" s="9" t="s">
        <v>37</v>
      </c>
      <c r="H771" s="52" t="s">
        <v>179</v>
      </c>
      <c r="I771" s="52" t="s">
        <v>178</v>
      </c>
      <c r="J771" s="55">
        <v>45695</v>
      </c>
      <c r="K771" s="52" t="s">
        <v>198</v>
      </c>
      <c r="L771" s="8" t="s">
        <v>124</v>
      </c>
      <c r="M771" s="8" t="s">
        <v>37</v>
      </c>
      <c r="N771" s="52" t="str">
        <f>IF(Follow[[#This Row],[DATAATUALIZAÇÃO]]&lt;=Follow[[#This Row],[Prev Entrega]],"Dentro do Prazo","Fora do Prazo")</f>
        <v>Fora do Prazo</v>
      </c>
      <c r="O7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783 Rastreio Pedido 783, agradecemos a preferência e adoraríamos receber sua avaliação, tendo qualquer dúvida estamos à disposição.
Att
Tem tudo Shop</v>
      </c>
    </row>
    <row r="772" spans="1:15">
      <c r="A772" s="52" t="str">
        <f>_xlfn.XLOOKUP(Follow[[#This Row],[CODRASTREIO]],Controle_Pedidos[Cód Rastreamento],Controle_Pedidos[Número Pedido Cliente])</f>
        <v>Pedido 785</v>
      </c>
      <c r="B772" s="2" t="s">
        <v>18204</v>
      </c>
      <c r="C772" s="2" t="str">
        <f>Follow[[#This Row],[CODRASTREIO]]&amp;" B"</f>
        <v>CódRastreio762 B</v>
      </c>
      <c r="D772" s="52" t="str">
        <f>_xlfn.XLOOKUP(Follow[[#This Row],[Id Pedido]],Controle_Pedidos[Número Pedido Cliente],Controle_Pedidos[Loja])</f>
        <v>BV</v>
      </c>
      <c r="E772" s="9">
        <f>_xlfn.XLOOKUP(Follow[[#This Row],[Id Pedido]],Controle_Pedidos[Número Pedido Cliente],Controle_Pedidos[Prazo Entrega])</f>
        <v>45694</v>
      </c>
      <c r="F772" s="9" t="s">
        <v>19433</v>
      </c>
      <c r="G772" s="9" t="s">
        <v>37</v>
      </c>
      <c r="H772" s="52" t="s">
        <v>178</v>
      </c>
      <c r="I772" s="52" t="s">
        <v>178</v>
      </c>
      <c r="J772" s="55">
        <v>45685</v>
      </c>
      <c r="K772" s="52" t="s">
        <v>198</v>
      </c>
      <c r="L772" s="8" t="s">
        <v>124</v>
      </c>
      <c r="M772" s="8" t="s">
        <v>37</v>
      </c>
      <c r="N772" s="52" t="str">
        <f>IF(Follow[[#This Row],[DATAATUALIZAÇÃO]]&lt;=Follow[[#This Row],[Prev Entrega]],"Dentro do Prazo","Fora do Prazo")</f>
        <v>Dentro do Prazo</v>
      </c>
      <c r="O7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28/01/2025, referente ao pedido Nº Pedido 785 Rastreio Pedido 785, agradecemos a preferência e adoraríamos receber sua avaliação, tendo qualquer dúvida estamos à disposição.
Att
Tem tudo Shop</v>
      </c>
    </row>
    <row r="773" spans="1:15">
      <c r="A773" s="52" t="str">
        <f>_xlfn.XLOOKUP(Follow[[#This Row],[CODRASTREIO]],Controle_Pedidos[Cód Rastreamento],Controle_Pedidos[Número Pedido Cliente])</f>
        <v>Pedido 786</v>
      </c>
      <c r="B773" s="2" t="s">
        <v>18205</v>
      </c>
      <c r="C773" s="2" t="str">
        <f>Follow[[#This Row],[CODRASTREIO]]&amp;" B"</f>
        <v>CódRastreio763 B</v>
      </c>
      <c r="D773" s="52" t="str">
        <f>_xlfn.XLOOKUP(Follow[[#This Row],[Id Pedido]],Controle_Pedidos[Número Pedido Cliente],Controle_Pedidos[Loja])</f>
        <v>BV</v>
      </c>
      <c r="E773" s="9">
        <f>_xlfn.XLOOKUP(Follow[[#This Row],[Id Pedido]],Controle_Pedidos[Número Pedido Cliente],Controle_Pedidos[Prazo Entrega])</f>
        <v>45708</v>
      </c>
      <c r="F773" s="9" t="s">
        <v>19433</v>
      </c>
      <c r="G773" s="9" t="s">
        <v>37</v>
      </c>
      <c r="H773" s="52" t="s">
        <v>179</v>
      </c>
      <c r="I773" s="52" t="s">
        <v>178</v>
      </c>
      <c r="J773" s="55">
        <v>45692</v>
      </c>
      <c r="K773" s="52" t="s">
        <v>198</v>
      </c>
      <c r="L773" s="8" t="s">
        <v>124</v>
      </c>
      <c r="M773" s="8" t="s">
        <v>37</v>
      </c>
      <c r="N773" s="52" t="str">
        <f>IF(Follow[[#This Row],[DATAATUALIZAÇÃO]]&lt;=Follow[[#This Row],[Prev Entrega]],"Dentro do Prazo","Fora do Prazo")</f>
        <v>Dentro do Prazo</v>
      </c>
      <c r="O77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786 Rastreio Pedido 786, agradecemos a preferência e adoraríamos receber sua avaliação, tendo qualquer dúvida estamos à disposição.
Att
Tem tudo Shop</v>
      </c>
    </row>
    <row r="774" spans="1:15">
      <c r="A774" s="52" t="str">
        <f>_xlfn.XLOOKUP(Follow[[#This Row],[CODRASTREIO]],Controle_Pedidos[Cód Rastreamento],Controle_Pedidos[Número Pedido Cliente])</f>
        <v>Pedido 787</v>
      </c>
      <c r="B774" s="2" t="s">
        <v>18206</v>
      </c>
      <c r="C774" s="2" t="str">
        <f>Follow[[#This Row],[CODRASTREIO]]&amp;" B"</f>
        <v>CódRastreio764 B</v>
      </c>
      <c r="D774" s="52" t="str">
        <f>_xlfn.XLOOKUP(Follow[[#This Row],[Id Pedido]],Controle_Pedidos[Número Pedido Cliente],Controle_Pedidos[Loja])</f>
        <v>BV</v>
      </c>
      <c r="E774" s="9">
        <f>_xlfn.XLOOKUP(Follow[[#This Row],[Id Pedido]],Controle_Pedidos[Número Pedido Cliente],Controle_Pedidos[Prazo Entrega])</f>
        <v>45701</v>
      </c>
      <c r="F774" s="9" t="s">
        <v>19433</v>
      </c>
      <c r="G774" s="9" t="s">
        <v>37</v>
      </c>
      <c r="H774" s="52" t="s">
        <v>178</v>
      </c>
      <c r="I774" s="52" t="s">
        <v>178</v>
      </c>
      <c r="J774" s="55">
        <v>45687</v>
      </c>
      <c r="K774" s="52" t="s">
        <v>198</v>
      </c>
      <c r="L774" s="8" t="s">
        <v>124</v>
      </c>
      <c r="M774" s="8" t="s">
        <v>37</v>
      </c>
      <c r="N774" s="52" t="str">
        <f>IF(Follow[[#This Row],[DATAATUALIZAÇÃO]]&lt;=Follow[[#This Row],[Prev Entrega]],"Dentro do Prazo","Fora do Prazo")</f>
        <v>Dentro do Prazo</v>
      </c>
      <c r="O7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30/01/2025, referente ao pedido Nº Pedido 787 Rastreio Pedido 787, agradecemos a preferência e adoraríamos receber sua avaliação, tendo qualquer dúvida estamos à disposição.
Att
Tem tudo Shop</v>
      </c>
    </row>
    <row r="775" spans="1:15">
      <c r="A775" s="52" t="str">
        <f>_xlfn.XLOOKUP(Follow[[#This Row],[CODRASTREIO]],Controle_Pedidos[Cód Rastreamento],Controle_Pedidos[Número Pedido Cliente])</f>
        <v>Pedido 788</v>
      </c>
      <c r="B775" s="2" t="s">
        <v>18207</v>
      </c>
      <c r="C775" s="2" t="str">
        <f>Follow[[#This Row],[CODRASTREIO]]&amp;" B"</f>
        <v>CódRastreio765 B</v>
      </c>
      <c r="D775" s="52" t="str">
        <f>_xlfn.XLOOKUP(Follow[[#This Row],[Id Pedido]],Controle_Pedidos[Número Pedido Cliente],Controle_Pedidos[Loja])</f>
        <v>BV</v>
      </c>
      <c r="E775" s="9">
        <f>_xlfn.XLOOKUP(Follow[[#This Row],[Id Pedido]],Controle_Pedidos[Número Pedido Cliente],Controle_Pedidos[Prazo Entrega])</f>
        <v>45695</v>
      </c>
      <c r="F775" s="9" t="s">
        <v>19433</v>
      </c>
      <c r="G775" s="9" t="s">
        <v>37</v>
      </c>
      <c r="H775" s="52" t="s">
        <v>179</v>
      </c>
      <c r="I775" s="52" t="s">
        <v>178</v>
      </c>
      <c r="J775" s="55">
        <v>45692</v>
      </c>
      <c r="K775" s="52" t="s">
        <v>198</v>
      </c>
      <c r="L775" s="8" t="s">
        <v>124</v>
      </c>
      <c r="M775" s="8" t="s">
        <v>37</v>
      </c>
      <c r="N775" s="52" t="str">
        <f>IF(Follow[[#This Row],[DATAATUALIZAÇÃO]]&lt;=Follow[[#This Row],[Prev Entrega]],"Dentro do Prazo","Fora do Prazo")</f>
        <v>Dentro do Prazo</v>
      </c>
      <c r="O7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788 Rastreio Pedido 788, agradecemos a preferência e adoraríamos receber sua avaliação, tendo qualquer dúvida estamos à disposição.
Att
Tem tudo Shop</v>
      </c>
    </row>
    <row r="776" spans="1:15">
      <c r="A776" s="52" t="str">
        <f>_xlfn.XLOOKUP(Follow[[#This Row],[CODRASTREIO]],Controle_Pedidos[Cód Rastreamento],Controle_Pedidos[Número Pedido Cliente])</f>
        <v>Pedido 789</v>
      </c>
      <c r="B776" s="2" t="s">
        <v>18208</v>
      </c>
      <c r="C776" s="2" t="str">
        <f>Follow[[#This Row],[CODRASTREIO]]&amp;" B"</f>
        <v>CódRastreio766 B</v>
      </c>
      <c r="D776" s="52" t="str">
        <f>_xlfn.XLOOKUP(Follow[[#This Row],[Id Pedido]],Controle_Pedidos[Número Pedido Cliente],Controle_Pedidos[Loja])</f>
        <v>BV</v>
      </c>
      <c r="E776" s="9">
        <f>_xlfn.XLOOKUP(Follow[[#This Row],[Id Pedido]],Controle_Pedidos[Número Pedido Cliente],Controle_Pedidos[Prazo Entrega])</f>
        <v>45701</v>
      </c>
      <c r="F776" s="9" t="s">
        <v>19433</v>
      </c>
      <c r="G776" s="9" t="s">
        <v>37</v>
      </c>
      <c r="H776" s="52" t="s">
        <v>179</v>
      </c>
      <c r="I776" s="52" t="s">
        <v>178</v>
      </c>
      <c r="J776" s="55">
        <v>45692</v>
      </c>
      <c r="K776" s="52" t="s">
        <v>198</v>
      </c>
      <c r="L776" s="8" t="s">
        <v>124</v>
      </c>
      <c r="M776" s="8" t="s">
        <v>37</v>
      </c>
      <c r="N776" s="52" t="str">
        <f>IF(Follow[[#This Row],[DATAATUALIZAÇÃO]]&lt;=Follow[[#This Row],[Prev Entrega]],"Dentro do Prazo","Fora do Prazo")</f>
        <v>Dentro do Prazo</v>
      </c>
      <c r="O7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789 Rastreio Pedido 789, agradecemos a preferência e adoraríamos receber sua avaliação, tendo qualquer dúvida estamos à disposição.
Att
Tem tudo Shop</v>
      </c>
    </row>
    <row r="777" spans="1:15">
      <c r="A777" s="52" t="str">
        <f>_xlfn.XLOOKUP(Follow[[#This Row],[CODRASTREIO]],Controle_Pedidos[Cód Rastreamento],Controle_Pedidos[Número Pedido Cliente])</f>
        <v>Pedido 790</v>
      </c>
      <c r="B777" s="2" t="s">
        <v>18209</v>
      </c>
      <c r="C777" s="2" t="str">
        <f>Follow[[#This Row],[CODRASTREIO]]&amp;" B"</f>
        <v>CódRastreio767 B</v>
      </c>
      <c r="D777" s="52" t="str">
        <f>_xlfn.XLOOKUP(Follow[[#This Row],[Id Pedido]],Controle_Pedidos[Número Pedido Cliente],Controle_Pedidos[Loja])</f>
        <v>BV</v>
      </c>
      <c r="E777" s="9">
        <f>_xlfn.XLOOKUP(Follow[[#This Row],[Id Pedido]],Controle_Pedidos[Número Pedido Cliente],Controle_Pedidos[Prazo Entrega])</f>
        <v>45695</v>
      </c>
      <c r="F777" s="9" t="s">
        <v>19433</v>
      </c>
      <c r="G777" s="9" t="s">
        <v>37</v>
      </c>
      <c r="H777" s="52" t="s">
        <v>179</v>
      </c>
      <c r="I777" s="52" t="s">
        <v>178</v>
      </c>
      <c r="J777" s="55">
        <v>45687</v>
      </c>
      <c r="K777" s="52" t="s">
        <v>198</v>
      </c>
      <c r="L777" s="8" t="s">
        <v>124</v>
      </c>
      <c r="M777" s="8" t="s">
        <v>37</v>
      </c>
      <c r="N777" s="52" t="str">
        <f>IF(Follow[[#This Row],[DATAATUALIZAÇÃO]]&lt;=Follow[[#This Row],[Prev Entrega]],"Dentro do Prazo","Fora do Prazo")</f>
        <v>Dentro do Prazo</v>
      </c>
      <c r="O7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790 Rastreio Pedido 790, agradecemos a preferência e adoraríamos receber sua avaliação, tendo qualquer dúvida estamos à disposição.
Att
Tem tudo Shop</v>
      </c>
    </row>
    <row r="778" spans="1:15">
      <c r="A778" s="52" t="str">
        <f>_xlfn.XLOOKUP(Follow[[#This Row],[CODRASTREIO]],Controle_Pedidos[Cód Rastreamento],Controle_Pedidos[Número Pedido Cliente])</f>
        <v>Pedido 792</v>
      </c>
      <c r="B778" s="2" t="s">
        <v>18211</v>
      </c>
      <c r="C778" s="2" t="str">
        <f>Follow[[#This Row],[CODRASTREIO]]&amp;" B"</f>
        <v>CódRastreio769 B</v>
      </c>
      <c r="D778" s="52" t="str">
        <f>_xlfn.XLOOKUP(Follow[[#This Row],[Id Pedido]],Controle_Pedidos[Número Pedido Cliente],Controle_Pedidos[Loja])</f>
        <v>BV</v>
      </c>
      <c r="E778" s="9">
        <f>_xlfn.XLOOKUP(Follow[[#This Row],[Id Pedido]],Controle_Pedidos[Número Pedido Cliente],Controle_Pedidos[Prazo Entrega])</f>
        <v>45695</v>
      </c>
      <c r="F778" s="9" t="s">
        <v>19433</v>
      </c>
      <c r="G778" s="9" t="s">
        <v>37</v>
      </c>
      <c r="H778" s="52" t="s">
        <v>179</v>
      </c>
      <c r="I778" s="52" t="s">
        <v>178</v>
      </c>
      <c r="J778" s="55">
        <v>45688</v>
      </c>
      <c r="K778" s="52" t="s">
        <v>198</v>
      </c>
      <c r="L778" s="8" t="s">
        <v>124</v>
      </c>
      <c r="M778" s="8" t="s">
        <v>37</v>
      </c>
      <c r="N778" s="52" t="str">
        <f>IF(Follow[[#This Row],[DATAATUALIZAÇÃO]]&lt;=Follow[[#This Row],[Prev Entrega]],"Dentro do Prazo","Fora do Prazo")</f>
        <v>Dentro do Prazo</v>
      </c>
      <c r="O77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31/01/2025, referente ao pedido Nº Pedido 792 Rastreio Pedido 792, agradecemos a preferência e adoraríamos receber sua avaliação, tendo qualquer dúvida estamos à disposição.
Att
Tem tudo Shop</v>
      </c>
    </row>
    <row r="779" spans="1:15">
      <c r="A779" s="52" t="str">
        <f>_xlfn.XLOOKUP(Follow[[#This Row],[CODRASTREIO]],Controle_Pedidos[Cód Rastreamento],Controle_Pedidos[Número Pedido Cliente])</f>
        <v>Pedido 793</v>
      </c>
      <c r="B779" s="2" t="s">
        <v>18212</v>
      </c>
      <c r="C779" s="2" t="str">
        <f>Follow[[#This Row],[CODRASTREIO]]&amp;" B"</f>
        <v>CódRastreio770 B</v>
      </c>
      <c r="D779" s="52" t="str">
        <f>_xlfn.XLOOKUP(Follow[[#This Row],[Id Pedido]],Controle_Pedidos[Número Pedido Cliente],Controle_Pedidos[Loja])</f>
        <v>BV</v>
      </c>
      <c r="E779" s="9">
        <f>_xlfn.XLOOKUP(Follow[[#This Row],[Id Pedido]],Controle_Pedidos[Número Pedido Cliente],Controle_Pedidos[Prazo Entrega])</f>
        <v>45701</v>
      </c>
      <c r="F779" s="9" t="s">
        <v>19433</v>
      </c>
      <c r="G779" s="9" t="s">
        <v>37</v>
      </c>
      <c r="H779" s="52" t="s">
        <v>179</v>
      </c>
      <c r="I779" s="52" t="s">
        <v>178</v>
      </c>
      <c r="J779" s="55">
        <v>45692</v>
      </c>
      <c r="K779" s="52" t="s">
        <v>198</v>
      </c>
      <c r="L779" s="8" t="s">
        <v>124</v>
      </c>
      <c r="M779" s="8" t="s">
        <v>37</v>
      </c>
      <c r="N779" s="52" t="str">
        <f>IF(Follow[[#This Row],[DATAATUALIZAÇÃO]]&lt;=Follow[[#This Row],[Prev Entrega]],"Dentro do Prazo","Fora do Prazo")</f>
        <v>Dentro do Prazo</v>
      </c>
      <c r="O7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793 Rastreio Pedido 793, agradecemos a preferência e adoraríamos receber sua avaliação, tendo qualquer dúvida estamos à disposição.
Att
Tem tudo Shop</v>
      </c>
    </row>
    <row r="780" spans="1:15">
      <c r="A780" s="52" t="str">
        <f>_xlfn.XLOOKUP(Follow[[#This Row],[CODRASTREIO]],Controle_Pedidos[Cód Rastreamento],Controle_Pedidos[Número Pedido Cliente])</f>
        <v>Pedido 794</v>
      </c>
      <c r="B780" s="2" t="s">
        <v>18213</v>
      </c>
      <c r="C780" s="2" t="str">
        <f>Follow[[#This Row],[CODRASTREIO]]&amp;" B"</f>
        <v>CódRastreio771 B</v>
      </c>
      <c r="D780" s="52" t="str">
        <f>_xlfn.XLOOKUP(Follow[[#This Row],[Id Pedido]],Controle_Pedidos[Número Pedido Cliente],Controle_Pedidos[Loja])</f>
        <v>BV</v>
      </c>
      <c r="E780" s="9">
        <f>_xlfn.XLOOKUP(Follow[[#This Row],[Id Pedido]],Controle_Pedidos[Número Pedido Cliente],Controle_Pedidos[Prazo Entrega])</f>
        <v>45695</v>
      </c>
      <c r="F780" s="9" t="s">
        <v>19433</v>
      </c>
      <c r="G780" s="9" t="s">
        <v>37</v>
      </c>
      <c r="H780" s="52" t="s">
        <v>179</v>
      </c>
      <c r="I780" s="52" t="s">
        <v>178</v>
      </c>
      <c r="J780" s="55">
        <v>45689</v>
      </c>
      <c r="K780" s="52" t="s">
        <v>198</v>
      </c>
      <c r="L780" s="8" t="s">
        <v>124</v>
      </c>
      <c r="M780" s="8" t="s">
        <v>37</v>
      </c>
      <c r="N780" s="52" t="str">
        <f>IF(Follow[[#This Row],[DATAATUALIZAÇÃO]]&lt;=Follow[[#This Row],[Prev Entrega]],"Dentro do Prazo","Fora do Prazo")</f>
        <v>Dentro do Prazo</v>
      </c>
      <c r="O78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794 Rastreio Pedido 794, agradecemos a preferência e adoraríamos receber sua avaliação, tendo qualquer dúvida estamos à disposição.
Att
Tem tudo Shop</v>
      </c>
    </row>
    <row r="781" spans="1:15">
      <c r="A781" s="52" t="str">
        <f>_xlfn.XLOOKUP(Follow[[#This Row],[CODRASTREIO]],Controle_Pedidos[Cód Rastreamento],Controle_Pedidos[Número Pedido Cliente])</f>
        <v>Pedido 795</v>
      </c>
      <c r="B781" s="2" t="s">
        <v>18214</v>
      </c>
      <c r="C781" s="2" t="str">
        <f>Follow[[#This Row],[CODRASTREIO]]&amp;" B"</f>
        <v>CódRastreio772 B</v>
      </c>
      <c r="D781" s="52" t="str">
        <f>_xlfn.XLOOKUP(Follow[[#This Row],[Id Pedido]],Controle_Pedidos[Número Pedido Cliente],Controle_Pedidos[Loja])</f>
        <v>BV</v>
      </c>
      <c r="E781" s="9">
        <f>_xlfn.XLOOKUP(Follow[[#This Row],[Id Pedido]],Controle_Pedidos[Número Pedido Cliente],Controle_Pedidos[Prazo Entrega])</f>
        <v>45695</v>
      </c>
      <c r="F781" s="9" t="s">
        <v>19433</v>
      </c>
      <c r="G781" s="9" t="s">
        <v>37</v>
      </c>
      <c r="H781" s="52" t="s">
        <v>179</v>
      </c>
      <c r="I781" s="52" t="s">
        <v>178</v>
      </c>
      <c r="J781" s="55">
        <v>45692</v>
      </c>
      <c r="K781" s="52" t="s">
        <v>198</v>
      </c>
      <c r="L781" s="8" t="s">
        <v>124</v>
      </c>
      <c r="M781" s="8" t="s">
        <v>37</v>
      </c>
      <c r="N781" s="52" t="str">
        <f>IF(Follow[[#This Row],[DATAATUALIZAÇÃO]]&lt;=Follow[[#This Row],[Prev Entrega]],"Dentro do Prazo","Fora do Prazo")</f>
        <v>Dentro do Prazo</v>
      </c>
      <c r="O7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795 Rastreio Pedido 795, agradecemos a preferência e adoraríamos receber sua avaliação, tendo qualquer dúvida estamos à disposição.
Att
Tem tudo Shop</v>
      </c>
    </row>
    <row r="782" spans="1:15">
      <c r="A782" s="52" t="str">
        <f>_xlfn.XLOOKUP(Follow[[#This Row],[CODRASTREIO]],Controle_Pedidos[Cód Rastreamento],Controle_Pedidos[Número Pedido Cliente])</f>
        <v>Pedido 796</v>
      </c>
      <c r="B782" s="2" t="s">
        <v>18215</v>
      </c>
      <c r="C782" s="2" t="str">
        <f>Follow[[#This Row],[CODRASTREIO]]&amp;" B"</f>
        <v>CódRastreio773 B</v>
      </c>
      <c r="D782" s="52" t="str">
        <f>_xlfn.XLOOKUP(Follow[[#This Row],[Id Pedido]],Controle_Pedidos[Número Pedido Cliente],Controle_Pedidos[Loja])</f>
        <v>BV</v>
      </c>
      <c r="E782" s="9">
        <f>_xlfn.XLOOKUP(Follow[[#This Row],[Id Pedido]],Controle_Pedidos[Número Pedido Cliente],Controle_Pedidos[Prazo Entrega])</f>
        <v>45695</v>
      </c>
      <c r="F782" s="9" t="s">
        <v>19433</v>
      </c>
      <c r="G782" s="9" t="s">
        <v>37</v>
      </c>
      <c r="H782" s="52" t="s">
        <v>179</v>
      </c>
      <c r="I782" s="52" t="s">
        <v>178</v>
      </c>
      <c r="J782" s="55">
        <v>45689</v>
      </c>
      <c r="K782" s="52" t="s">
        <v>198</v>
      </c>
      <c r="L782" s="8" t="s">
        <v>124</v>
      </c>
      <c r="M782" s="8" t="s">
        <v>205</v>
      </c>
      <c r="N782" s="52" t="str">
        <f>IF(Follow[[#This Row],[DATAATUALIZAÇÃO]]&lt;=Follow[[#This Row],[Prev Entrega]],"Dentro do Prazo","Fora do Prazo")</f>
        <v>Dentro do Prazo</v>
      </c>
      <c r="O7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796 Rastreio Pedido 796, agradecemos a preferência e adoraríamos receber sua avaliação, tendo qualquer dúvida estamos à disposição.
Att
Tem tudo Shop</v>
      </c>
    </row>
    <row r="783" spans="1:15">
      <c r="A783" s="52" t="str">
        <f>_xlfn.XLOOKUP(Follow[[#This Row],[CODRASTREIO]],Controle_Pedidos[Cód Rastreamento],Controle_Pedidos[Número Pedido Cliente])</f>
        <v>Pedido 797</v>
      </c>
      <c r="B783" s="2" t="s">
        <v>18216</v>
      </c>
      <c r="C783" s="2" t="str">
        <f>Follow[[#This Row],[CODRASTREIO]]&amp;" B"</f>
        <v>CódRastreio774 B</v>
      </c>
      <c r="D783" s="52" t="str">
        <f>_xlfn.XLOOKUP(Follow[[#This Row],[Id Pedido]],Controle_Pedidos[Número Pedido Cliente],Controle_Pedidos[Loja])</f>
        <v>BV</v>
      </c>
      <c r="E783" s="9">
        <f>_xlfn.XLOOKUP(Follow[[#This Row],[Id Pedido]],Controle_Pedidos[Número Pedido Cliente],Controle_Pedidos[Prazo Entrega])</f>
        <v>45695</v>
      </c>
      <c r="F783" s="9" t="s">
        <v>19433</v>
      </c>
      <c r="G783" s="9" t="s">
        <v>37</v>
      </c>
      <c r="H783" s="52" t="s">
        <v>179</v>
      </c>
      <c r="I783" s="52" t="s">
        <v>178</v>
      </c>
      <c r="J783" s="55">
        <v>45706</v>
      </c>
      <c r="K783" s="52" t="s">
        <v>198</v>
      </c>
      <c r="L783" s="8" t="s">
        <v>124</v>
      </c>
      <c r="M783" s="8" t="s">
        <v>37</v>
      </c>
      <c r="N783" s="52" t="str">
        <f>IF(Follow[[#This Row],[DATAATUALIZAÇÃO]]&lt;=Follow[[#This Row],[Prev Entrega]],"Dentro do Prazo","Fora do Prazo")</f>
        <v>Fora do Prazo</v>
      </c>
      <c r="O7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18/02/2025, referente ao pedido Nº Pedido 797 Rastreio Pedido 797, agradecemos a preferência e adoraríamos receber sua avaliação, tendo qualquer dúvida estamos à disposição.
Att
Tem tudo Shop</v>
      </c>
    </row>
    <row r="784" spans="1:15">
      <c r="A784" s="52" t="str">
        <f>_xlfn.XLOOKUP(Follow[[#This Row],[CODRASTREIO]],Controle_Pedidos[Cód Rastreamento],Controle_Pedidos[Número Pedido Cliente])</f>
        <v>Pedido 799</v>
      </c>
      <c r="B784" s="2" t="s">
        <v>18218</v>
      </c>
      <c r="C784" s="2" t="str">
        <f>Follow[[#This Row],[CODRASTREIO]]&amp;" B"</f>
        <v>CódRastreio776 B</v>
      </c>
      <c r="D784" s="52" t="str">
        <f>_xlfn.XLOOKUP(Follow[[#This Row],[Id Pedido]],Controle_Pedidos[Número Pedido Cliente],Controle_Pedidos[Loja])</f>
        <v>BV</v>
      </c>
      <c r="E784" s="9">
        <f>_xlfn.XLOOKUP(Follow[[#This Row],[Id Pedido]],Controle_Pedidos[Número Pedido Cliente],Controle_Pedidos[Prazo Entrega])</f>
        <v>45695</v>
      </c>
      <c r="F784" s="9" t="s">
        <v>19433</v>
      </c>
      <c r="G784" s="9" t="s">
        <v>37</v>
      </c>
      <c r="H784" s="52" t="s">
        <v>179</v>
      </c>
      <c r="I784" s="52" t="s">
        <v>178</v>
      </c>
      <c r="J784" s="55">
        <v>45694</v>
      </c>
      <c r="K784" s="52" t="s">
        <v>198</v>
      </c>
      <c r="L784" s="8" t="s">
        <v>124</v>
      </c>
      <c r="M784" s="8" t="s">
        <v>37</v>
      </c>
      <c r="N784" s="52" t="str">
        <f>IF(Follow[[#This Row],[DATAATUALIZAÇÃO]]&lt;=Follow[[#This Row],[Prev Entrega]],"Dentro do Prazo","Fora do Prazo")</f>
        <v>Dentro do Prazo</v>
      </c>
      <c r="O7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06/02/2025, referente ao pedido Nº Pedido 799 Rastreio Pedido 799, agradecemos a preferência e adoraríamos receber sua avaliação, tendo qualquer dúvida estamos à disposição.
Att
Tem tudo Shop</v>
      </c>
    </row>
    <row r="785" spans="1:15">
      <c r="A785" s="52" t="str">
        <f>_xlfn.XLOOKUP(Follow[[#This Row],[CODRASTREIO]],Controle_Pedidos[Cód Rastreamento],Controle_Pedidos[Número Pedido Cliente])</f>
        <v>Pedido 800</v>
      </c>
      <c r="B785" s="2" t="s">
        <v>18219</v>
      </c>
      <c r="C785" s="2" t="str">
        <f>Follow[[#This Row],[CODRASTREIO]]&amp;" B"</f>
        <v>CódRastreio777 B</v>
      </c>
      <c r="D785" s="52" t="str">
        <f>_xlfn.XLOOKUP(Follow[[#This Row],[Id Pedido]],Controle_Pedidos[Número Pedido Cliente],Controle_Pedidos[Loja])</f>
        <v>BV</v>
      </c>
      <c r="E785" s="9">
        <f>_xlfn.XLOOKUP(Follow[[#This Row],[Id Pedido]],Controle_Pedidos[Número Pedido Cliente],Controle_Pedidos[Prazo Entrega])</f>
        <v>45708</v>
      </c>
      <c r="F785" s="9" t="s">
        <v>19433</v>
      </c>
      <c r="G785" s="9" t="s">
        <v>37</v>
      </c>
      <c r="H785" s="52" t="s">
        <v>179</v>
      </c>
      <c r="I785" s="52" t="s">
        <v>178</v>
      </c>
      <c r="J785" s="55">
        <v>45696</v>
      </c>
      <c r="K785" s="52" t="s">
        <v>198</v>
      </c>
      <c r="L785" s="8" t="s">
        <v>124</v>
      </c>
      <c r="M785" s="8" t="s">
        <v>37</v>
      </c>
      <c r="N785" s="52" t="str">
        <f>IF(Follow[[#This Row],[DATAATUALIZAÇÃO]]&lt;=Follow[[#This Row],[Prev Entrega]],"Dentro do Prazo","Fora do Prazo")</f>
        <v>Dentro do Prazo</v>
      </c>
      <c r="O7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08/02/2025, referente ao pedido Nº Pedido 800 Rastreio Pedido 800, agradecemos a preferência e adoraríamos receber sua avaliação, tendo qualquer dúvida estamos à disposição.
Att
Tem tudo Shop</v>
      </c>
    </row>
    <row r="786" spans="1:15">
      <c r="A786" s="52" t="str">
        <f>_xlfn.XLOOKUP(Follow[[#This Row],[CODRASTREIO]],Controle_Pedidos[Cód Rastreamento],Controle_Pedidos[Número Pedido Cliente])</f>
        <v>Pedido 801</v>
      </c>
      <c r="B786" s="2" t="s">
        <v>18220</v>
      </c>
      <c r="C786" s="2" t="str">
        <f>Follow[[#This Row],[CODRASTREIO]]&amp;" B"</f>
        <v>CódRastreio778 B</v>
      </c>
      <c r="D786" s="52" t="str">
        <f>_xlfn.XLOOKUP(Follow[[#This Row],[Id Pedido]],Controle_Pedidos[Número Pedido Cliente],Controle_Pedidos[Loja])</f>
        <v>BV</v>
      </c>
      <c r="E786" s="9">
        <f>_xlfn.XLOOKUP(Follow[[#This Row],[Id Pedido]],Controle_Pedidos[Número Pedido Cliente],Controle_Pedidos[Prazo Entrega])</f>
        <v>45693</v>
      </c>
      <c r="F786" s="9" t="s">
        <v>19433</v>
      </c>
      <c r="G786" s="9" t="s">
        <v>37</v>
      </c>
      <c r="H786" s="52" t="s">
        <v>178</v>
      </c>
      <c r="I786" s="52" t="s">
        <v>178</v>
      </c>
      <c r="J786" s="55">
        <v>45684</v>
      </c>
      <c r="K786" s="52" t="s">
        <v>198</v>
      </c>
      <c r="L786" s="8" t="s">
        <v>124</v>
      </c>
      <c r="M786" s="8" t="s">
        <v>37</v>
      </c>
      <c r="N786" s="52" t="str">
        <f>IF(Follow[[#This Row],[DATAATUALIZAÇÃO]]&lt;=Follow[[#This Row],[Prev Entrega]],"Dentro do Prazo","Fora do Prazo")</f>
        <v>Dentro do Prazo</v>
      </c>
      <c r="O7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27/01/2025, referente ao pedido Nº Pedido 801 Rastreio Pedido 801, agradecemos a preferência e adoraríamos receber sua avaliação, tendo qualquer dúvida estamos à disposição.
Att
Tem tudo Shop</v>
      </c>
    </row>
    <row r="787" spans="1:15">
      <c r="A787" s="52" t="str">
        <f>_xlfn.XLOOKUP(Follow[[#This Row],[CODRASTREIO]],Controle_Pedidos[Cód Rastreamento],Controle_Pedidos[Número Pedido Cliente])</f>
        <v>Pedido 802</v>
      </c>
      <c r="B787" s="2" t="s">
        <v>18221</v>
      </c>
      <c r="C787" s="2" t="str">
        <f>Follow[[#This Row],[CODRASTREIO]]&amp;" B"</f>
        <v>CódRastreio779 B</v>
      </c>
      <c r="D787" s="52" t="str">
        <f>_xlfn.XLOOKUP(Follow[[#This Row],[Id Pedido]],Controle_Pedidos[Número Pedido Cliente],Controle_Pedidos[Loja])</f>
        <v>BV</v>
      </c>
      <c r="E787" s="9">
        <f>_xlfn.XLOOKUP(Follow[[#This Row],[Id Pedido]],Controle_Pedidos[Número Pedido Cliente],Controle_Pedidos[Prazo Entrega])</f>
        <v>45695</v>
      </c>
      <c r="F787" s="9" t="s">
        <v>19433</v>
      </c>
      <c r="G787" s="9" t="s">
        <v>37</v>
      </c>
      <c r="H787" s="52" t="s">
        <v>179</v>
      </c>
      <c r="I787" s="52" t="s">
        <v>178</v>
      </c>
      <c r="J787" s="55">
        <v>45692</v>
      </c>
      <c r="K787" s="52" t="s">
        <v>198</v>
      </c>
      <c r="L787" s="8" t="s">
        <v>124</v>
      </c>
      <c r="M787" s="8" t="s">
        <v>37</v>
      </c>
      <c r="N787" s="52" t="str">
        <f>IF(Follow[[#This Row],[DATAATUALIZAÇÃO]]&lt;=Follow[[#This Row],[Prev Entrega]],"Dentro do Prazo","Fora do Prazo")</f>
        <v>Dentro do Prazo</v>
      </c>
      <c r="O7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802 Rastreio Pedido 802, agradecemos a preferência e adoraríamos receber sua avaliação, tendo qualquer dúvida estamos à disposição.
Att
Tem tudo Shop</v>
      </c>
    </row>
    <row r="788" spans="1:15">
      <c r="A788" s="52" t="str">
        <f>_xlfn.XLOOKUP(Follow[[#This Row],[CODRASTREIO]],Controle_Pedidos[Cód Rastreamento],Controle_Pedidos[Número Pedido Cliente])</f>
        <v>Pedido 803</v>
      </c>
      <c r="B788" s="2" t="s">
        <v>18222</v>
      </c>
      <c r="C788" s="2" t="str">
        <f>Follow[[#This Row],[CODRASTREIO]]&amp;" B"</f>
        <v>CódRastreio780 B</v>
      </c>
      <c r="D788" s="52" t="str">
        <f>_xlfn.XLOOKUP(Follow[[#This Row],[Id Pedido]],Controle_Pedidos[Número Pedido Cliente],Controle_Pedidos[Loja])</f>
        <v>BV</v>
      </c>
      <c r="E788" s="9">
        <f>_xlfn.XLOOKUP(Follow[[#This Row],[Id Pedido]],Controle_Pedidos[Número Pedido Cliente],Controle_Pedidos[Prazo Entrega])</f>
        <v>45702</v>
      </c>
      <c r="F788" s="9" t="s">
        <v>19433</v>
      </c>
      <c r="G788" s="9" t="s">
        <v>37</v>
      </c>
      <c r="H788" s="52" t="s">
        <v>179</v>
      </c>
      <c r="I788" s="52" t="s">
        <v>178</v>
      </c>
      <c r="J788" s="55">
        <v>45694</v>
      </c>
      <c r="K788" s="52" t="s">
        <v>198</v>
      </c>
      <c r="L788" s="8" t="s">
        <v>124</v>
      </c>
      <c r="M788" s="8" t="s">
        <v>37</v>
      </c>
      <c r="N788" s="52" t="str">
        <f>IF(Follow[[#This Row],[DATAATUALIZAÇÃO]]&lt;=Follow[[#This Row],[Prev Entrega]],"Dentro do Prazo","Fora do Prazo")</f>
        <v>Dentro do Prazo</v>
      </c>
      <c r="O7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06/02/2025, referente ao pedido Nº Pedido 803 Rastreio Pedido 803, agradecemos a preferência e adoraríamos receber sua avaliação, tendo qualquer dúvida estamos à disposição.
Att
Tem tudo Shop</v>
      </c>
    </row>
    <row r="789" spans="1:15">
      <c r="A789" s="52" t="str">
        <f>_xlfn.XLOOKUP(Follow[[#This Row],[CODRASTREIO]],Controle_Pedidos[Cód Rastreamento],Controle_Pedidos[Número Pedido Cliente])</f>
        <v>Pedido 804</v>
      </c>
      <c r="B789" s="2" t="s">
        <v>18223</v>
      </c>
      <c r="C789" s="2" t="str">
        <f>Follow[[#This Row],[CODRASTREIO]]&amp;" B"</f>
        <v>CódRastreio781 B</v>
      </c>
      <c r="D789" s="52" t="str">
        <f>_xlfn.XLOOKUP(Follow[[#This Row],[Id Pedido]],Controle_Pedidos[Número Pedido Cliente],Controle_Pedidos[Loja])</f>
        <v>BV</v>
      </c>
      <c r="E789" s="9">
        <f>_xlfn.XLOOKUP(Follow[[#This Row],[Id Pedido]],Controle_Pedidos[Número Pedido Cliente],Controle_Pedidos[Prazo Entrega])</f>
        <v>45696</v>
      </c>
      <c r="F789" s="9" t="s">
        <v>19433</v>
      </c>
      <c r="G789" s="9" t="s">
        <v>37</v>
      </c>
      <c r="H789" s="52" t="s">
        <v>179</v>
      </c>
      <c r="I789" s="52" t="s">
        <v>178</v>
      </c>
      <c r="J789" s="55">
        <v>45689</v>
      </c>
      <c r="K789" s="52" t="s">
        <v>198</v>
      </c>
      <c r="L789" s="8" t="s">
        <v>124</v>
      </c>
      <c r="M789" s="8" t="s">
        <v>37</v>
      </c>
      <c r="N789" s="52" t="str">
        <f>IF(Follow[[#This Row],[DATAATUALIZAÇÃO]]&lt;=Follow[[#This Row],[Prev Entrega]],"Dentro do Prazo","Fora do Prazo")</f>
        <v>Dentro do Prazo</v>
      </c>
      <c r="O7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804 Rastreio Pedido 804, agradecemos a preferência e adoraríamos receber sua avaliação, tendo qualquer dúvida estamos à disposição.
Att
Tem tudo Shop</v>
      </c>
    </row>
    <row r="790" spans="1:15">
      <c r="A790" s="52" t="str">
        <f>_xlfn.XLOOKUP(Follow[[#This Row],[CODRASTREIO]],Controle_Pedidos[Cód Rastreamento],Controle_Pedidos[Número Pedido Cliente])</f>
        <v>Pedido 805</v>
      </c>
      <c r="B790" s="2" t="s">
        <v>18224</v>
      </c>
      <c r="C790" s="2" t="str">
        <f>Follow[[#This Row],[CODRASTREIO]]&amp;" B"</f>
        <v>CódRastreio782 B</v>
      </c>
      <c r="D790" s="52" t="str">
        <f>_xlfn.XLOOKUP(Follow[[#This Row],[Id Pedido]],Controle_Pedidos[Número Pedido Cliente],Controle_Pedidos[Loja])</f>
        <v>BV</v>
      </c>
      <c r="E790" s="9">
        <f>_xlfn.XLOOKUP(Follow[[#This Row],[Id Pedido]],Controle_Pedidos[Número Pedido Cliente],Controle_Pedidos[Prazo Entrega])</f>
        <v>45696</v>
      </c>
      <c r="F790" s="9" t="s">
        <v>19433</v>
      </c>
      <c r="G790" s="9" t="s">
        <v>37</v>
      </c>
      <c r="H790" s="52" t="s">
        <v>179</v>
      </c>
      <c r="I790" s="52" t="s">
        <v>178</v>
      </c>
      <c r="J790" s="55">
        <v>45687</v>
      </c>
      <c r="K790" s="52" t="s">
        <v>198</v>
      </c>
      <c r="L790" s="8" t="s">
        <v>124</v>
      </c>
      <c r="M790" s="8" t="s">
        <v>37</v>
      </c>
      <c r="N790" s="52" t="str">
        <f>IF(Follow[[#This Row],[DATAATUALIZAÇÃO]]&lt;=Follow[[#This Row],[Prev Entrega]],"Dentro do Prazo","Fora do Prazo")</f>
        <v>Dentro do Prazo</v>
      </c>
      <c r="O7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805 Rastreio Pedido 805, agradecemos a preferência e adoraríamos receber sua avaliação, tendo qualquer dúvida estamos à disposição.
Att
Tem tudo Shop</v>
      </c>
    </row>
    <row r="791" spans="1:15">
      <c r="A791" s="52" t="str">
        <f>_xlfn.XLOOKUP(Follow[[#This Row],[CODRASTREIO]],Controle_Pedidos[Cód Rastreamento],Controle_Pedidos[Número Pedido Cliente])</f>
        <v>Pedido 806</v>
      </c>
      <c r="B791" s="2" t="s">
        <v>18225</v>
      </c>
      <c r="C791" s="2" t="str">
        <f>Follow[[#This Row],[CODRASTREIO]]&amp;" B"</f>
        <v>CódRastreio783 B</v>
      </c>
      <c r="D791" s="52" t="str">
        <f>_xlfn.XLOOKUP(Follow[[#This Row],[Id Pedido]],Controle_Pedidos[Número Pedido Cliente],Controle_Pedidos[Loja])</f>
        <v>BV</v>
      </c>
      <c r="E791" s="9">
        <f>_xlfn.XLOOKUP(Follow[[#This Row],[Id Pedido]],Controle_Pedidos[Número Pedido Cliente],Controle_Pedidos[Prazo Entrega])</f>
        <v>45709</v>
      </c>
      <c r="F791" s="9" t="s">
        <v>19433</v>
      </c>
      <c r="G791" s="9" t="s">
        <v>37</v>
      </c>
      <c r="H791" s="52" t="s">
        <v>179</v>
      </c>
      <c r="I791" s="52" t="s">
        <v>178</v>
      </c>
      <c r="J791" s="55">
        <v>45694</v>
      </c>
      <c r="K791" s="52" t="s">
        <v>198</v>
      </c>
      <c r="L791" s="8" t="s">
        <v>124</v>
      </c>
      <c r="M791" s="8" t="s">
        <v>37</v>
      </c>
      <c r="N791" s="52" t="str">
        <f>IF(Follow[[#This Row],[DATAATUALIZAÇÃO]]&lt;=Follow[[#This Row],[Prev Entrega]],"Dentro do Prazo","Fora do Prazo")</f>
        <v>Dentro do Prazo</v>
      </c>
      <c r="O7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06/02/2025, referente ao pedido Nº Pedido 806 Rastreio Pedido 806, agradecemos a preferência e adoraríamos receber sua avaliação, tendo qualquer dúvida estamos à disposição.
Att
Tem tudo Shop</v>
      </c>
    </row>
    <row r="792" spans="1:15">
      <c r="A792" s="52" t="str">
        <f>_xlfn.XLOOKUP(Follow[[#This Row],[CODRASTREIO]],Controle_Pedidos[Cód Rastreamento],Controle_Pedidos[Número Pedido Cliente])</f>
        <v>Pedido 807</v>
      </c>
      <c r="B792" s="2" t="s">
        <v>18226</v>
      </c>
      <c r="C792" s="2" t="str">
        <f>Follow[[#This Row],[CODRASTREIO]]&amp;" B"</f>
        <v>CódRastreio784 B</v>
      </c>
      <c r="D792" s="52" t="str">
        <f>_xlfn.XLOOKUP(Follow[[#This Row],[Id Pedido]],Controle_Pedidos[Número Pedido Cliente],Controle_Pedidos[Loja])</f>
        <v>BV</v>
      </c>
      <c r="E792" s="9">
        <f>_xlfn.XLOOKUP(Follow[[#This Row],[Id Pedido]],Controle_Pedidos[Número Pedido Cliente],Controle_Pedidos[Prazo Entrega])</f>
        <v>45696</v>
      </c>
      <c r="F792" s="9" t="s">
        <v>19433</v>
      </c>
      <c r="G792" s="9" t="s">
        <v>37</v>
      </c>
      <c r="H792" s="52" t="s">
        <v>179</v>
      </c>
      <c r="I792" s="52" t="s">
        <v>178</v>
      </c>
      <c r="J792" s="55">
        <v>45687</v>
      </c>
      <c r="K792" s="52" t="s">
        <v>198</v>
      </c>
      <c r="L792" s="8" t="s">
        <v>124</v>
      </c>
      <c r="M792" s="8" t="s">
        <v>37</v>
      </c>
      <c r="N792" s="52" t="str">
        <f>IF(Follow[[#This Row],[DATAATUALIZAÇÃO]]&lt;=Follow[[#This Row],[Prev Entrega]],"Dentro do Prazo","Fora do Prazo")</f>
        <v>Dentro do Prazo</v>
      </c>
      <c r="O7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807 Rastreio Pedido 807, agradecemos a preferência e adoraríamos receber sua avaliação, tendo qualquer dúvida estamos à disposição.
Att
Tem tudo Shop</v>
      </c>
    </row>
    <row r="793" spans="1:15">
      <c r="A793" s="52" t="str">
        <f>_xlfn.XLOOKUP(Follow[[#This Row],[CODRASTREIO]],Controle_Pedidos[Cód Rastreamento],Controle_Pedidos[Número Pedido Cliente])</f>
        <v>Pedido 808</v>
      </c>
      <c r="B793" s="2" t="s">
        <v>18227</v>
      </c>
      <c r="C793" s="2" t="str">
        <f>Follow[[#This Row],[CODRASTREIO]]&amp;" B"</f>
        <v>CódRastreio785 B</v>
      </c>
      <c r="D793" s="52" t="str">
        <f>_xlfn.XLOOKUP(Follow[[#This Row],[Id Pedido]],Controle_Pedidos[Número Pedido Cliente],Controle_Pedidos[Loja])</f>
        <v>BV</v>
      </c>
      <c r="E793" s="9">
        <f>_xlfn.XLOOKUP(Follow[[#This Row],[Id Pedido]],Controle_Pedidos[Número Pedido Cliente],Controle_Pedidos[Prazo Entrega])</f>
        <v>45696</v>
      </c>
      <c r="F793" s="9" t="s">
        <v>19433</v>
      </c>
      <c r="G793" s="9" t="s">
        <v>37</v>
      </c>
      <c r="H793" s="52" t="s">
        <v>179</v>
      </c>
      <c r="I793" s="52" t="s">
        <v>178</v>
      </c>
      <c r="J793" s="55">
        <v>45689</v>
      </c>
      <c r="K793" s="52" t="s">
        <v>198</v>
      </c>
      <c r="L793" s="8" t="s">
        <v>124</v>
      </c>
      <c r="M793" s="8" t="s">
        <v>37</v>
      </c>
      <c r="N793" s="52" t="str">
        <f>IF(Follow[[#This Row],[DATAATUALIZAÇÃO]]&lt;=Follow[[#This Row],[Prev Entrega]],"Dentro do Prazo","Fora do Prazo")</f>
        <v>Dentro do Prazo</v>
      </c>
      <c r="O79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01/02/2025, referente ao pedido Nº Pedido 808 Rastreio Pedido 808, agradecemos a preferência e adoraríamos receber sua avaliação, tendo qualquer dúvida estamos à disposição.
Att
Tem tudo Shop</v>
      </c>
    </row>
    <row r="794" spans="1:15">
      <c r="A794" s="52" t="str">
        <f>_xlfn.XLOOKUP(Follow[[#This Row],[CODRASTREIO]],Controle_Pedidos[Cód Rastreamento],Controle_Pedidos[Número Pedido Cliente])</f>
        <v>Pedido 810</v>
      </c>
      <c r="B794" s="2" t="s">
        <v>18229</v>
      </c>
      <c r="C794" s="2" t="str">
        <f>Follow[[#This Row],[CODRASTREIO]]&amp;" B"</f>
        <v>CódRastreio787 B</v>
      </c>
      <c r="D794" s="52" t="str">
        <f>_xlfn.XLOOKUP(Follow[[#This Row],[Id Pedido]],Controle_Pedidos[Número Pedido Cliente],Controle_Pedidos[Loja])</f>
        <v>BV</v>
      </c>
      <c r="E794" s="9">
        <f>_xlfn.XLOOKUP(Follow[[#This Row],[Id Pedido]],Controle_Pedidos[Número Pedido Cliente],Controle_Pedidos[Prazo Entrega])</f>
        <v>45694</v>
      </c>
      <c r="F794" s="9" t="s">
        <v>19433</v>
      </c>
      <c r="G794" s="9" t="s">
        <v>37</v>
      </c>
      <c r="H794" s="52" t="s">
        <v>178</v>
      </c>
      <c r="I794" s="52" t="s">
        <v>178</v>
      </c>
      <c r="J794" s="55">
        <v>45684</v>
      </c>
      <c r="K794" s="52" t="s">
        <v>198</v>
      </c>
      <c r="L794" s="8" t="s">
        <v>124</v>
      </c>
      <c r="M794" s="8" t="s">
        <v>37</v>
      </c>
      <c r="N794" s="52" t="str">
        <f>IF(Follow[[#This Row],[DATAATUALIZAÇÃO]]&lt;=Follow[[#This Row],[Prev Entrega]],"Dentro do Prazo","Fora do Prazo")</f>
        <v>Dentro do Prazo</v>
      </c>
      <c r="O7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27/01/2025, referente ao pedido Nº Pedido 810 Rastreio Pedido 810, agradecemos a preferência e adoraríamos receber sua avaliação, tendo qualquer dúvida estamos à disposição.
Att
Tem tudo Shop</v>
      </c>
    </row>
    <row r="795" spans="1:15">
      <c r="A795" s="52" t="str">
        <f>_xlfn.XLOOKUP(Follow[[#This Row],[CODRASTREIO]],Controle_Pedidos[Cód Rastreamento],Controle_Pedidos[Número Pedido Cliente])</f>
        <v>Pedido 879</v>
      </c>
      <c r="B795" s="2" t="s">
        <v>18298</v>
      </c>
      <c r="C795" s="2" t="str">
        <f>Follow[[#This Row],[CODRASTREIO]]&amp;" B"</f>
        <v>CódRastreio856 B</v>
      </c>
      <c r="D795" s="52" t="str">
        <f>_xlfn.XLOOKUP(Follow[[#This Row],[Id Pedido]],Controle_Pedidos[Número Pedido Cliente],Controle_Pedidos[Loja])</f>
        <v>GO</v>
      </c>
      <c r="E795" s="9">
        <f>_xlfn.XLOOKUP(Follow[[#This Row],[Id Pedido]],Controle_Pedidos[Número Pedido Cliente],Controle_Pedidos[Prazo Entrega])</f>
        <v>45699</v>
      </c>
      <c r="F795" s="9" t="s">
        <v>19433</v>
      </c>
      <c r="G795" s="9" t="s">
        <v>37</v>
      </c>
      <c r="H795" s="52" t="s">
        <v>179</v>
      </c>
      <c r="I795" s="52" t="s">
        <v>178</v>
      </c>
      <c r="J795" s="55">
        <v>45694</v>
      </c>
      <c r="K795" s="52" t="s">
        <v>198</v>
      </c>
      <c r="L795" s="8" t="s">
        <v>124</v>
      </c>
      <c r="M795" s="8" t="s">
        <v>37</v>
      </c>
      <c r="N795" s="52" t="str">
        <f>IF(Follow[[#This Row],[DATAATUALIZAÇÃO]]&lt;=Follow[[#This Row],[Prev Entrega]],"Dentro do Prazo","Fora do Prazo")</f>
        <v>Dentro do Prazo</v>
      </c>
      <c r="O7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Escova Multifuncional foi entregue no dia 06/02/2025, referente ao pedido Nº Pedido 879 Rastreio Pedido 879, agradecemos a preferência e adoraríamos receber sua avaliação, tendo qualquer dúvida estamos à disposição.
Att
Sec Variedades</v>
      </c>
    </row>
    <row r="796" spans="1:15">
      <c r="A796" s="52" t="str">
        <f>_xlfn.XLOOKUP(Follow[[#This Row],[CODRASTREIO]],Controle_Pedidos[Cód Rastreamento],Controle_Pedidos[Número Pedido Cliente])</f>
        <v>Pedido 775</v>
      </c>
      <c r="B796" s="2" t="s">
        <v>18194</v>
      </c>
      <c r="C796" s="2" t="str">
        <f>Follow[[#This Row],[CODRASTREIO]]&amp;" B"</f>
        <v>CódRastreio752 B</v>
      </c>
      <c r="D796" s="52" t="str">
        <f>_xlfn.XLOOKUP(Follow[[#This Row],[Id Pedido]],Controle_Pedidos[Número Pedido Cliente],Controle_Pedidos[Loja])</f>
        <v>BV</v>
      </c>
      <c r="E796" s="9">
        <f>_xlfn.XLOOKUP(Follow[[#This Row],[Id Pedido]],Controle_Pedidos[Número Pedido Cliente],Controle_Pedidos[Prazo Entrega])</f>
        <v>45695</v>
      </c>
      <c r="F796" s="9" t="s">
        <v>19433</v>
      </c>
      <c r="G796" s="9" t="s">
        <v>37</v>
      </c>
      <c r="H796" s="52" t="s">
        <v>179</v>
      </c>
      <c r="I796" s="52" t="s">
        <v>178</v>
      </c>
      <c r="J796" s="55">
        <v>45695</v>
      </c>
      <c r="K796" s="52" t="s">
        <v>198</v>
      </c>
      <c r="L796" s="8" t="s">
        <v>124</v>
      </c>
      <c r="M796" s="8" t="s">
        <v>37</v>
      </c>
      <c r="N796" s="52" t="str">
        <f>IF(Follow[[#This Row],[DATAATUALIZAÇÃO]]&lt;=Follow[[#This Row],[Prev Entrega]],"Dentro do Prazo","Fora do Prazo")</f>
        <v>Dentro do Prazo</v>
      </c>
      <c r="O7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07/02/2025, referente ao pedido Nº Pedido 775 Rastreio Pedido 775, agradecemos a preferência e adoraríamos receber sua avaliação, tendo qualquer dúvida estamos à disposição.
Att
Tem tudo Shop</v>
      </c>
    </row>
    <row r="797" spans="1:15">
      <c r="A797" s="52" t="str">
        <f>_xlfn.XLOOKUP(Follow[[#This Row],[CODRASTREIO]],Controle_Pedidos[Cód Rastreamento],Controle_Pedidos[Número Pedido Cliente])</f>
        <v>Pedido 777</v>
      </c>
      <c r="B797" s="2" t="s">
        <v>18196</v>
      </c>
      <c r="C797" s="2" t="str">
        <f>Follow[[#This Row],[CODRASTREIO]]&amp;" B"</f>
        <v>CódRastreio754 B</v>
      </c>
      <c r="D797" s="52" t="str">
        <f>_xlfn.XLOOKUP(Follow[[#This Row],[Id Pedido]],Controle_Pedidos[Número Pedido Cliente],Controle_Pedidos[Loja])</f>
        <v>BV</v>
      </c>
      <c r="E797" s="9">
        <f>_xlfn.XLOOKUP(Follow[[#This Row],[Id Pedido]],Controle_Pedidos[Número Pedido Cliente],Controle_Pedidos[Prazo Entrega])</f>
        <v>45696</v>
      </c>
      <c r="F797" s="9" t="s">
        <v>19433</v>
      </c>
      <c r="G797" s="9" t="s">
        <v>37</v>
      </c>
      <c r="H797" s="52" t="s">
        <v>179</v>
      </c>
      <c r="I797" s="52" t="s">
        <v>178</v>
      </c>
      <c r="J797" s="55">
        <v>45698</v>
      </c>
      <c r="K797" s="52" t="s">
        <v>198</v>
      </c>
      <c r="L797" s="8" t="s">
        <v>124</v>
      </c>
      <c r="M797" s="8" t="s">
        <v>37</v>
      </c>
      <c r="N797" s="52" t="str">
        <f>IF(Follow[[#This Row],[DATAATUALIZAÇÃO]]&lt;=Follow[[#This Row],[Prev Entrega]],"Dentro do Prazo","Fora do Prazo")</f>
        <v>Fora do Prazo</v>
      </c>
      <c r="O7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10/02/2025, referente ao pedido Nº Pedido 777 Rastreio Pedido 777, agradecemos a preferência e adoraríamos receber sua avaliação, tendo qualquer dúvida estamos à disposição.
Att
Tem tudo Shop</v>
      </c>
    </row>
    <row r="798" spans="1:15">
      <c r="A798" s="52" t="str">
        <f>_xlfn.XLOOKUP(Follow[[#This Row],[CODRASTREIO]],Controle_Pedidos[Cód Rastreamento],Controle_Pedidos[Número Pedido Cliente])</f>
        <v>Pedido 778</v>
      </c>
      <c r="B798" s="2" t="s">
        <v>18197</v>
      </c>
      <c r="C798" s="2" t="str">
        <f>Follow[[#This Row],[CODRASTREIO]]&amp;" B"</f>
        <v>CódRastreio755 B</v>
      </c>
      <c r="D798" s="52" t="str">
        <f>_xlfn.XLOOKUP(Follow[[#This Row],[Id Pedido]],Controle_Pedidos[Número Pedido Cliente],Controle_Pedidos[Loja])</f>
        <v>BV</v>
      </c>
      <c r="E798" s="9">
        <f>_xlfn.XLOOKUP(Follow[[#This Row],[Id Pedido]],Controle_Pedidos[Número Pedido Cliente],Controle_Pedidos[Prazo Entrega])</f>
        <v>45696</v>
      </c>
      <c r="F798" s="9" t="s">
        <v>19433</v>
      </c>
      <c r="G798" s="9" t="s">
        <v>37</v>
      </c>
      <c r="H798" s="52" t="s">
        <v>179</v>
      </c>
      <c r="I798" s="52" t="s">
        <v>178</v>
      </c>
      <c r="J798" s="55">
        <v>45694</v>
      </c>
      <c r="K798" s="52" t="s">
        <v>198</v>
      </c>
      <c r="L798" s="8" t="s">
        <v>124</v>
      </c>
      <c r="M798" s="8" t="s">
        <v>37</v>
      </c>
      <c r="N798" s="52" t="str">
        <f>IF(Follow[[#This Row],[DATAATUALIZAÇÃO]]&lt;=Follow[[#This Row],[Prev Entrega]],"Dentro do Prazo","Fora do Prazo")</f>
        <v>Dentro do Prazo</v>
      </c>
      <c r="O7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06/02/2025, referente ao pedido Nº Pedido 778 Rastreio Pedido 778, agradecemos a preferência e adoraríamos receber sua avaliação, tendo qualquer dúvida estamos à disposição.
Att
Tem tudo Shop</v>
      </c>
    </row>
    <row r="799" spans="1:15">
      <c r="A799" s="52" t="str">
        <f>_xlfn.XLOOKUP(Follow[[#This Row],[CODRASTREIO]],Controle_Pedidos[Cód Rastreamento],Controle_Pedidos[Número Pedido Cliente])</f>
        <v>Pedido 791</v>
      </c>
      <c r="B799" s="2" t="s">
        <v>18210</v>
      </c>
      <c r="C799" s="2" t="str">
        <f>Follow[[#This Row],[CODRASTREIO]]&amp;" B"</f>
        <v>CódRastreio768 B</v>
      </c>
      <c r="D799" s="52" t="str">
        <f>_xlfn.XLOOKUP(Follow[[#This Row],[Id Pedido]],Controle_Pedidos[Número Pedido Cliente],Controle_Pedidos[Loja])</f>
        <v>BV</v>
      </c>
      <c r="E799" s="9">
        <f>_xlfn.XLOOKUP(Follow[[#This Row],[Id Pedido]],Controle_Pedidos[Número Pedido Cliente],Controle_Pedidos[Prazo Entrega])</f>
        <v>45695</v>
      </c>
      <c r="F799" s="9" t="s">
        <v>19433</v>
      </c>
      <c r="G799" s="9" t="s">
        <v>37</v>
      </c>
      <c r="H799" s="52" t="s">
        <v>179</v>
      </c>
      <c r="I799" s="52" t="s">
        <v>178</v>
      </c>
      <c r="J799" s="55">
        <v>45687</v>
      </c>
      <c r="K799" s="52" t="s">
        <v>198</v>
      </c>
      <c r="L799" s="8" t="s">
        <v>124</v>
      </c>
      <c r="M799" s="8" t="s">
        <v>37</v>
      </c>
      <c r="N799" s="52" t="str">
        <f>IF(Follow[[#This Row],[DATAATUALIZAÇÃO]]&lt;=Follow[[#This Row],[Prev Entrega]],"Dentro do Prazo","Fora do Prazo")</f>
        <v>Dentro do Prazo</v>
      </c>
      <c r="O7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791 Rastreio Pedido 791, agradecemos a preferência e adoraríamos receber sua avaliação, tendo qualquer dúvida estamos à disposição.
Att
Tem tudo Shop</v>
      </c>
    </row>
    <row r="800" spans="1:15">
      <c r="A800" s="52" t="str">
        <f>_xlfn.XLOOKUP(Follow[[#This Row],[CODRASTREIO]],Controle_Pedidos[Cód Rastreamento],Controle_Pedidos[Número Pedido Cliente])</f>
        <v>Pedido 809</v>
      </c>
      <c r="B800" s="2" t="s">
        <v>18228</v>
      </c>
      <c r="C800" s="2" t="str">
        <f>Follow[[#This Row],[CODRASTREIO]]&amp;" B"</f>
        <v>CódRastreio786 B</v>
      </c>
      <c r="D800" s="52" t="str">
        <f>_xlfn.XLOOKUP(Follow[[#This Row],[Id Pedido]],Controle_Pedidos[Número Pedido Cliente],Controle_Pedidos[Loja])</f>
        <v>BV</v>
      </c>
      <c r="E800" s="9">
        <f>_xlfn.XLOOKUP(Follow[[#This Row],[Id Pedido]],Controle_Pedidos[Número Pedido Cliente],Controle_Pedidos[Prazo Entrega])</f>
        <v>45702</v>
      </c>
      <c r="F800" s="9" t="s">
        <v>19433</v>
      </c>
      <c r="G800" s="9" t="s">
        <v>37</v>
      </c>
      <c r="H800" s="52" t="s">
        <v>179</v>
      </c>
      <c r="I800" s="52" t="s">
        <v>178</v>
      </c>
      <c r="J800" s="55">
        <v>45693</v>
      </c>
      <c r="K800" s="52" t="s">
        <v>198</v>
      </c>
      <c r="L800" s="8" t="s">
        <v>124</v>
      </c>
      <c r="M800" s="8" t="s">
        <v>37</v>
      </c>
      <c r="N800" s="52" t="str">
        <f>IF(Follow[[#This Row],[DATAATUALIZAÇÃO]]&lt;=Follow[[#This Row],[Prev Entrega]],"Dentro do Prazo","Fora do Prazo")</f>
        <v>Dentro do Prazo</v>
      </c>
      <c r="O8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05/02/2025, referente ao pedido Nº Pedido 809 Rastreio Pedido 809, agradecemos a preferência e adoraríamos receber sua avaliação, tendo qualquer dúvida estamos à disposição.
Att
Tem tudo Shop</v>
      </c>
    </row>
    <row r="801" spans="1:15">
      <c r="A801" s="52" t="str">
        <f>_xlfn.XLOOKUP(Follow[[#This Row],[CODRASTREIO]],Controle_Pedidos[Cód Rastreamento],Controle_Pedidos[Número Pedido Cliente])</f>
        <v>Pedido 811</v>
      </c>
      <c r="B801" s="2" t="s">
        <v>18230</v>
      </c>
      <c r="C801" s="2" t="str">
        <f>Follow[[#This Row],[CODRASTREIO]]&amp;" B"</f>
        <v>CódRastreio788 B</v>
      </c>
      <c r="D801" s="52" t="str">
        <f>_xlfn.XLOOKUP(Follow[[#This Row],[Id Pedido]],Controle_Pedidos[Número Pedido Cliente],Controle_Pedidos[Loja])</f>
        <v>BV</v>
      </c>
      <c r="E801" s="9">
        <f>_xlfn.XLOOKUP(Follow[[#This Row],[Id Pedido]],Controle_Pedidos[Número Pedido Cliente],Controle_Pedidos[Prazo Entrega])</f>
        <v>45702</v>
      </c>
      <c r="F801" s="9" t="s">
        <v>19433</v>
      </c>
      <c r="G801" s="9" t="s">
        <v>37</v>
      </c>
      <c r="H801" s="52" t="s">
        <v>179</v>
      </c>
      <c r="I801" s="52" t="s">
        <v>178</v>
      </c>
      <c r="J801" s="55">
        <v>45695</v>
      </c>
      <c r="K801" s="52" t="s">
        <v>198</v>
      </c>
      <c r="L801" s="8" t="s">
        <v>124</v>
      </c>
      <c r="M801" s="8" t="s">
        <v>37</v>
      </c>
      <c r="N801" s="52" t="str">
        <f>IF(Follow[[#This Row],[DATAATUALIZAÇÃO]]&lt;=Follow[[#This Row],[Prev Entrega]],"Dentro do Prazo","Fora do Prazo")</f>
        <v>Dentro do Prazo</v>
      </c>
      <c r="O8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811 Rastreio Pedido 811, agradecemos a preferência e adoraríamos receber sua avaliação, tendo qualquer dúvida estamos à disposição.
Att
Tem tudo Shop</v>
      </c>
    </row>
    <row r="802" spans="1:15">
      <c r="A802" s="52" t="str">
        <f>_xlfn.XLOOKUP(Follow[[#This Row],[CODRASTREIO]],Controle_Pedidos[Cód Rastreamento],Controle_Pedidos[Número Pedido Cliente])</f>
        <v>Pedido 813</v>
      </c>
      <c r="B802" s="2" t="s">
        <v>18232</v>
      </c>
      <c r="C802" s="2" t="str">
        <f>Follow[[#This Row],[CODRASTREIO]]&amp;" B"</f>
        <v>CódRastreio790 B</v>
      </c>
      <c r="D802" s="52" t="str">
        <f>_xlfn.XLOOKUP(Follow[[#This Row],[Id Pedido]],Controle_Pedidos[Número Pedido Cliente],Controle_Pedidos[Loja])</f>
        <v>BV</v>
      </c>
      <c r="E802" s="9">
        <f>_xlfn.XLOOKUP(Follow[[#This Row],[Id Pedido]],Controle_Pedidos[Número Pedido Cliente],Controle_Pedidos[Prazo Entrega])</f>
        <v>45699</v>
      </c>
      <c r="F802" s="9" t="s">
        <v>19433</v>
      </c>
      <c r="G802" s="9" t="s">
        <v>37</v>
      </c>
      <c r="H802" s="52" t="s">
        <v>179</v>
      </c>
      <c r="I802" s="52" t="s">
        <v>178</v>
      </c>
      <c r="J802" s="55">
        <v>45698</v>
      </c>
      <c r="K802" s="52" t="s">
        <v>198</v>
      </c>
      <c r="L802" s="8" t="s">
        <v>124</v>
      </c>
      <c r="M802" s="8" t="s">
        <v>37</v>
      </c>
      <c r="N802" s="52" t="str">
        <f>IF(Follow[[#This Row],[DATAATUALIZAÇÃO]]&lt;=Follow[[#This Row],[Prev Entrega]],"Dentro do Prazo","Fora do Prazo")</f>
        <v>Dentro do Prazo</v>
      </c>
      <c r="O80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10/02/2025, referente ao pedido Nº Pedido 813 Rastreio Pedido 813, agradecemos a preferência e adoraríamos receber sua avaliação, tendo qualquer dúvida estamos à disposição.
Att
Tem tudo Shop</v>
      </c>
    </row>
    <row r="803" spans="1:15">
      <c r="A803" s="52" t="str">
        <f>_xlfn.XLOOKUP(Follow[[#This Row],[CODRASTREIO]],Controle_Pedidos[Cód Rastreamento],Controle_Pedidos[Número Pedido Cliente])</f>
        <v>Pedido 814</v>
      </c>
      <c r="B803" s="2" t="s">
        <v>18233</v>
      </c>
      <c r="C803" s="2" t="str">
        <f>Follow[[#This Row],[CODRASTREIO]]&amp;" B"</f>
        <v>CódRastreio791 B</v>
      </c>
      <c r="D803" s="52" t="str">
        <f>_xlfn.XLOOKUP(Follow[[#This Row],[Id Pedido]],Controle_Pedidos[Número Pedido Cliente],Controle_Pedidos[Loja])</f>
        <v>BV</v>
      </c>
      <c r="E803" s="9">
        <f>_xlfn.XLOOKUP(Follow[[#This Row],[Id Pedido]],Controle_Pedidos[Número Pedido Cliente],Controle_Pedidos[Prazo Entrega])</f>
        <v>45699</v>
      </c>
      <c r="F803" s="9" t="s">
        <v>19433</v>
      </c>
      <c r="G803" s="9" t="s">
        <v>37</v>
      </c>
      <c r="H803" s="52" t="s">
        <v>179</v>
      </c>
      <c r="I803" s="52" t="s">
        <v>178</v>
      </c>
      <c r="J803" s="55">
        <v>45692</v>
      </c>
      <c r="K803" s="52" t="s">
        <v>198</v>
      </c>
      <c r="L803" s="8" t="s">
        <v>124</v>
      </c>
      <c r="M803" s="8" t="s">
        <v>205</v>
      </c>
      <c r="N803" s="52" t="str">
        <f>IF(Follow[[#This Row],[DATAATUALIZAÇÃO]]&lt;=Follow[[#This Row],[Prev Entrega]],"Dentro do Prazo","Fora do Prazo")</f>
        <v>Dentro do Prazo</v>
      </c>
      <c r="O8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814 Rastreio Pedido 814, agradecemos a preferência e adoraríamos receber sua avaliação, tendo qualquer dúvida estamos à disposição.
Att
Tem tudo Shop</v>
      </c>
    </row>
    <row r="804" spans="1:15">
      <c r="A804" s="52" t="str">
        <f>_xlfn.XLOOKUP(Follow[[#This Row],[CODRASTREIO]],Controle_Pedidos[Cód Rastreamento],Controle_Pedidos[Número Pedido Cliente])</f>
        <v>Pedido 815</v>
      </c>
      <c r="B804" s="2" t="s">
        <v>18234</v>
      </c>
      <c r="C804" s="2" t="str">
        <f>Follow[[#This Row],[CODRASTREIO]]&amp;" B"</f>
        <v>CódRastreio792 B</v>
      </c>
      <c r="D804" s="52" t="str">
        <f>_xlfn.XLOOKUP(Follow[[#This Row],[Id Pedido]],Controle_Pedidos[Número Pedido Cliente],Controle_Pedidos[Loja])</f>
        <v>BV</v>
      </c>
      <c r="E804" s="9">
        <f>_xlfn.XLOOKUP(Follow[[#This Row],[Id Pedido]],Controle_Pedidos[Número Pedido Cliente],Controle_Pedidos[Prazo Entrega])</f>
        <v>45699</v>
      </c>
      <c r="F804" s="9" t="s">
        <v>19433</v>
      </c>
      <c r="G804" s="9" t="s">
        <v>37</v>
      </c>
      <c r="H804" s="52" t="s">
        <v>179</v>
      </c>
      <c r="I804" s="52" t="s">
        <v>178</v>
      </c>
      <c r="J804" s="55">
        <v>45691</v>
      </c>
      <c r="K804" s="52" t="s">
        <v>198</v>
      </c>
      <c r="L804" s="8" t="s">
        <v>124</v>
      </c>
      <c r="M804" s="8" t="s">
        <v>37</v>
      </c>
      <c r="N804" s="52" t="str">
        <f>IF(Follow[[#This Row],[DATAATUALIZAÇÃO]]&lt;=Follow[[#This Row],[Prev Entrega]],"Dentro do Prazo","Fora do Prazo")</f>
        <v>Dentro do Prazo</v>
      </c>
      <c r="O8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03/02/2025, referente ao pedido Nº Pedido 815 Rastreio Pedido 815, agradecemos a preferência e adoraríamos receber sua avaliação, tendo qualquer dúvida estamos à disposição.
Att
Tem tudo Shop</v>
      </c>
    </row>
    <row r="805" spans="1:15">
      <c r="A805" s="52" t="str">
        <f>_xlfn.XLOOKUP(Follow[[#This Row],[CODRASTREIO]],Controle_Pedidos[Cód Rastreamento],Controle_Pedidos[Número Pedido Cliente])</f>
        <v>Pedido 817</v>
      </c>
      <c r="B805" s="2" t="s">
        <v>18236</v>
      </c>
      <c r="C805" s="2" t="str">
        <f>Follow[[#This Row],[CODRASTREIO]]&amp;" B"</f>
        <v>CódRastreio794 B</v>
      </c>
      <c r="D805" s="52" t="str">
        <f>_xlfn.XLOOKUP(Follow[[#This Row],[Id Pedido]],Controle_Pedidos[Número Pedido Cliente],Controle_Pedidos[Loja])</f>
        <v>BV</v>
      </c>
      <c r="E805" s="9">
        <f>_xlfn.XLOOKUP(Follow[[#This Row],[Id Pedido]],Controle_Pedidos[Número Pedido Cliente],Controle_Pedidos[Prazo Entrega])</f>
        <v>45699</v>
      </c>
      <c r="F805" s="9" t="s">
        <v>19433</v>
      </c>
      <c r="G805" s="9" t="s">
        <v>37</v>
      </c>
      <c r="H805" s="52" t="s">
        <v>179</v>
      </c>
      <c r="I805" s="52" t="s">
        <v>178</v>
      </c>
      <c r="J805" s="55">
        <v>45687</v>
      </c>
      <c r="K805" s="52" t="s">
        <v>198</v>
      </c>
      <c r="L805" s="8" t="s">
        <v>124</v>
      </c>
      <c r="M805" s="8" t="s">
        <v>37</v>
      </c>
      <c r="N805" s="52" t="str">
        <f>IF(Follow[[#This Row],[DATAATUALIZAÇÃO]]&lt;=Follow[[#This Row],[Prev Entrega]],"Dentro do Prazo","Fora do Prazo")</f>
        <v>Dentro do Prazo</v>
      </c>
      <c r="O8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30/01/2025, referente ao pedido Nº Pedido 817 Rastreio Pedido 817, agradecemos a preferência e adoraríamos receber sua avaliação, tendo qualquer dúvida estamos à disposição.
Att
Tem tudo Shop</v>
      </c>
    </row>
    <row r="806" spans="1:15">
      <c r="A806" s="52" t="str">
        <f>_xlfn.XLOOKUP(Follow[[#This Row],[CODRASTREIO]],Controle_Pedidos[Cód Rastreamento],Controle_Pedidos[Número Pedido Cliente])</f>
        <v>Pedido 812</v>
      </c>
      <c r="B806" s="2" t="s">
        <v>18231</v>
      </c>
      <c r="C806" s="2" t="str">
        <f>Follow[[#This Row],[CODRASTREIO]]&amp;" B"</f>
        <v>CódRastreio789 B</v>
      </c>
      <c r="D806" s="52" t="str">
        <f>_xlfn.XLOOKUP(Follow[[#This Row],[Id Pedido]],Controle_Pedidos[Número Pedido Cliente],Controle_Pedidos[Loja])</f>
        <v>BV</v>
      </c>
      <c r="E806" s="9">
        <f>_xlfn.XLOOKUP(Follow[[#This Row],[Id Pedido]],Controle_Pedidos[Número Pedido Cliente],Controle_Pedidos[Prazo Entrega])</f>
        <v>45703</v>
      </c>
      <c r="F806" s="9" t="s">
        <v>19433</v>
      </c>
      <c r="G806" s="9" t="s">
        <v>37</v>
      </c>
      <c r="H806" s="52" t="s">
        <v>179</v>
      </c>
      <c r="I806" s="52" t="s">
        <v>178</v>
      </c>
      <c r="J806" s="55">
        <v>45687</v>
      </c>
      <c r="K806" s="52" t="s">
        <v>198</v>
      </c>
      <c r="L806" s="8" t="s">
        <v>124</v>
      </c>
      <c r="M806" s="8" t="s">
        <v>88</v>
      </c>
      <c r="N806" s="52" t="str">
        <f>IF(Follow[[#This Row],[DATAATUALIZAÇÃO]]&lt;=Follow[[#This Row],[Prev Entrega]],"Dentro do Prazo","Fora do Prazo")</f>
        <v>Dentro do Prazo</v>
      </c>
      <c r="O806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30/01/2025, referente ao pedido Nº Pedido 812 Rastreio Pedido 812, agradecemos a preferência e adoraríamos receber sua avaliação, tendo qualquer dúvida estamos à disposição.
Att
Tem tudo Shop</v>
      </c>
    </row>
    <row r="807" spans="1:15">
      <c r="A807" s="52" t="str">
        <f>_xlfn.XLOOKUP(Follow[[#This Row],[CODRASTREIO]],Controle_Pedidos[Cód Rastreamento],Controle_Pedidos[Número Pedido Cliente])</f>
        <v>Pedido 816</v>
      </c>
      <c r="B807" s="2" t="s">
        <v>18235</v>
      </c>
      <c r="C807" s="2" t="str">
        <f>Follow[[#This Row],[CODRASTREIO]]&amp;" B"</f>
        <v>CódRastreio793 B</v>
      </c>
      <c r="D807" s="52" t="str">
        <f>_xlfn.XLOOKUP(Follow[[#This Row],[Id Pedido]],Controle_Pedidos[Número Pedido Cliente],Controle_Pedidos[Loja])</f>
        <v>BV</v>
      </c>
      <c r="E807" s="9">
        <f>_xlfn.XLOOKUP(Follow[[#This Row],[Id Pedido]],Controle_Pedidos[Número Pedido Cliente],Controle_Pedidos[Prazo Entrega])</f>
        <v>45699</v>
      </c>
      <c r="F807" s="9" t="s">
        <v>19433</v>
      </c>
      <c r="G807" s="9" t="s">
        <v>37</v>
      </c>
      <c r="H807" s="52" t="s">
        <v>179</v>
      </c>
      <c r="I807" s="52" t="s">
        <v>178</v>
      </c>
      <c r="J807" s="55">
        <v>45695</v>
      </c>
      <c r="K807" s="52" t="s">
        <v>198</v>
      </c>
      <c r="L807" s="8" t="s">
        <v>124</v>
      </c>
      <c r="M807" s="8" t="s">
        <v>37</v>
      </c>
      <c r="N807" s="52" t="str">
        <f>IF(Follow[[#This Row],[DATAATUALIZAÇÃO]]&lt;=Follow[[#This Row],[Prev Entrega]],"Dentro do Prazo","Fora do Prazo")</f>
        <v>Dentro do Prazo</v>
      </c>
      <c r="O8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07/02/2025, referente ao pedido Nº Pedido 816 Rastreio Pedido 816, agradecemos a preferência e adoraríamos receber sua avaliação, tendo qualquer dúvida estamos à disposição.
Att
Tem tudo Shop</v>
      </c>
    </row>
    <row r="808" spans="1:15">
      <c r="A808" s="52" t="str">
        <f>_xlfn.XLOOKUP(Follow[[#This Row],[CODRASTREIO]],Controle_Pedidos[Cód Rastreamento],Controle_Pedidos[Número Pedido Cliente])</f>
        <v>Pedido 818</v>
      </c>
      <c r="B808" s="2" t="s">
        <v>18237</v>
      </c>
      <c r="C808" s="2" t="str">
        <f>Follow[[#This Row],[CODRASTREIO]]&amp;" B"</f>
        <v>CódRastreio795 B</v>
      </c>
      <c r="D808" s="52" t="str">
        <f>_xlfn.XLOOKUP(Follow[[#This Row],[Id Pedido]],Controle_Pedidos[Número Pedido Cliente],Controle_Pedidos[Loja])</f>
        <v>BV</v>
      </c>
      <c r="E808" s="9">
        <f>_xlfn.XLOOKUP(Follow[[#This Row],[Id Pedido]],Controle_Pedidos[Número Pedido Cliente],Controle_Pedidos[Prazo Entrega])</f>
        <v>45700</v>
      </c>
      <c r="F808" s="9" t="s">
        <v>19433</v>
      </c>
      <c r="G808" s="9" t="s">
        <v>37</v>
      </c>
      <c r="H808" s="52" t="s">
        <v>179</v>
      </c>
      <c r="I808" s="52" t="s">
        <v>178</v>
      </c>
      <c r="J808" s="55">
        <v>45692</v>
      </c>
      <c r="K808" s="52" t="s">
        <v>198</v>
      </c>
      <c r="L808" s="8" t="s">
        <v>124</v>
      </c>
      <c r="M808" s="8" t="s">
        <v>37</v>
      </c>
      <c r="N808" s="52" t="str">
        <f>IF(Follow[[#This Row],[DATAATUALIZAÇÃO]]&lt;=Follow[[#This Row],[Prev Entrega]],"Dentro do Prazo","Fora do Prazo")</f>
        <v>Dentro do Prazo</v>
      </c>
      <c r="O8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818 Rastreio Pedido 818, agradecemos a preferência e adoraríamos receber sua avaliação, tendo qualquer dúvida estamos à disposição.
Att
Tem tudo Shop</v>
      </c>
    </row>
    <row r="809" spans="1:15">
      <c r="A809" s="52" t="str">
        <f>_xlfn.XLOOKUP(Follow[[#This Row],[CODRASTREIO]],Controle_Pedidos[Cód Rastreamento],Controle_Pedidos[Número Pedido Cliente])</f>
        <v>Pedido 819</v>
      </c>
      <c r="B809" s="2" t="s">
        <v>18238</v>
      </c>
      <c r="C809" s="2" t="str">
        <f>Follow[[#This Row],[CODRASTREIO]]&amp;" B"</f>
        <v>CódRastreio796 B</v>
      </c>
      <c r="D809" s="52" t="str">
        <f>_xlfn.XLOOKUP(Follow[[#This Row],[Id Pedido]],Controle_Pedidos[Número Pedido Cliente],Controle_Pedidos[Loja])</f>
        <v>BV</v>
      </c>
      <c r="E809" s="9">
        <f>_xlfn.XLOOKUP(Follow[[#This Row],[Id Pedido]],Controle_Pedidos[Número Pedido Cliente],Controle_Pedidos[Prazo Entrega])</f>
        <v>45706</v>
      </c>
      <c r="F809" s="9" t="s">
        <v>19433</v>
      </c>
      <c r="G809" s="9" t="s">
        <v>37</v>
      </c>
      <c r="H809" s="52" t="s">
        <v>179</v>
      </c>
      <c r="I809" s="52" t="s">
        <v>178</v>
      </c>
      <c r="J809" s="55">
        <v>45694</v>
      </c>
      <c r="K809" s="52" t="s">
        <v>198</v>
      </c>
      <c r="L809" s="8" t="s">
        <v>124</v>
      </c>
      <c r="M809" s="8" t="s">
        <v>37</v>
      </c>
      <c r="N809" s="52" t="str">
        <f>IF(Follow[[#This Row],[DATAATUALIZAÇÃO]]&lt;=Follow[[#This Row],[Prev Entrega]],"Dentro do Prazo","Fora do Prazo")</f>
        <v>Dentro do Prazo</v>
      </c>
      <c r="O80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06/02/2025, referente ao pedido Nº Pedido 819 Rastreio Pedido 819, agradecemos a preferência e adoraríamos receber sua avaliação, tendo qualquer dúvida estamos à disposição.
Att
Tem tudo Shop</v>
      </c>
    </row>
    <row r="810" spans="1:15">
      <c r="A810" s="52" t="str">
        <f>_xlfn.XLOOKUP(Follow[[#This Row],[CODRASTREIO]],Controle_Pedidos[Cód Rastreamento],Controle_Pedidos[Número Pedido Cliente])</f>
        <v>Pedido 820</v>
      </c>
      <c r="B810" s="2" t="s">
        <v>18239</v>
      </c>
      <c r="C810" s="2" t="str">
        <f>Follow[[#This Row],[CODRASTREIO]]&amp;" B"</f>
        <v>CódRastreio797 B</v>
      </c>
      <c r="D810" s="52" t="str">
        <f>_xlfn.XLOOKUP(Follow[[#This Row],[Id Pedido]],Controle_Pedidos[Número Pedido Cliente],Controle_Pedidos[Loja])</f>
        <v>BV</v>
      </c>
      <c r="E810" s="9">
        <f>_xlfn.XLOOKUP(Follow[[#This Row],[Id Pedido]],Controle_Pedidos[Número Pedido Cliente],Controle_Pedidos[Prazo Entrega])</f>
        <v>45700</v>
      </c>
      <c r="F810" s="9" t="s">
        <v>19433</v>
      </c>
      <c r="G810" s="9" t="s">
        <v>37</v>
      </c>
      <c r="H810" s="52" t="s">
        <v>179</v>
      </c>
      <c r="I810" s="52" t="s">
        <v>178</v>
      </c>
      <c r="J810" s="55">
        <v>45688</v>
      </c>
      <c r="K810" s="52" t="s">
        <v>198</v>
      </c>
      <c r="L810" s="8" t="s">
        <v>124</v>
      </c>
      <c r="M810" s="8" t="s">
        <v>88</v>
      </c>
      <c r="N810" s="52" t="str">
        <f>IF(Follow[[#This Row],[DATAATUALIZAÇÃO]]&lt;=Follow[[#This Row],[Prev Entrega]],"Dentro do Prazo","Fora do Prazo")</f>
        <v>Dentro do Prazo</v>
      </c>
      <c r="O810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31/01/2025, referente ao pedido Nº Pedido 820 Rastreio Pedido 820, agradecemos a preferência e adoraríamos receber sua avaliação, tendo qualquer dúvida estamos à disposição.
Att
Tem tudo Shop</v>
      </c>
    </row>
    <row r="811" spans="1:15">
      <c r="A811" s="52" t="str">
        <f>_xlfn.XLOOKUP(Follow[[#This Row],[CODRASTREIO]],Controle_Pedidos[Cód Rastreamento],Controle_Pedidos[Número Pedido Cliente])</f>
        <v>Pedido 821</v>
      </c>
      <c r="B811" s="2" t="s">
        <v>18240</v>
      </c>
      <c r="C811" s="2" t="str">
        <f>Follow[[#This Row],[CODRASTREIO]]&amp;" B"</f>
        <v>CódRastreio798 B</v>
      </c>
      <c r="D811" s="52" t="str">
        <f>_xlfn.XLOOKUP(Follow[[#This Row],[Id Pedido]],Controle_Pedidos[Número Pedido Cliente],Controle_Pedidos[Loja])</f>
        <v>BV</v>
      </c>
      <c r="E811" s="9">
        <f>_xlfn.XLOOKUP(Follow[[#This Row],[Id Pedido]],Controle_Pedidos[Número Pedido Cliente],Controle_Pedidos[Prazo Entrega])</f>
        <v>45700</v>
      </c>
      <c r="F811" s="9" t="s">
        <v>19433</v>
      </c>
      <c r="G811" s="9" t="s">
        <v>37</v>
      </c>
      <c r="H811" s="52" t="s">
        <v>179</v>
      </c>
      <c r="I811" s="52" t="s">
        <v>178</v>
      </c>
      <c r="J811" s="55">
        <v>45688</v>
      </c>
      <c r="K811" s="52" t="s">
        <v>198</v>
      </c>
      <c r="L811" s="8" t="s">
        <v>124</v>
      </c>
      <c r="M811" s="8" t="s">
        <v>88</v>
      </c>
      <c r="N811" s="52" t="str">
        <f>IF(Follow[[#This Row],[DATAATUALIZAÇÃO]]&lt;=Follow[[#This Row],[Prev Entrega]],"Dentro do Prazo","Fora do Prazo")</f>
        <v>Dentro do Prazo</v>
      </c>
      <c r="O811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31/01/2025, referente ao pedido Nº Pedido 821 Rastreio Pedido 821, agradecemos a preferência e adoraríamos receber sua avaliação, tendo qualquer dúvida estamos à disposição.
Att
Tem tudo Shop</v>
      </c>
    </row>
    <row r="812" spans="1:15">
      <c r="A812" s="52" t="str">
        <f>_xlfn.XLOOKUP(Follow[[#This Row],[CODRASTREIO]],Controle_Pedidos[Cód Rastreamento],Controle_Pedidos[Número Pedido Cliente])</f>
        <v>Pedido 822</v>
      </c>
      <c r="B812" s="2" t="s">
        <v>18241</v>
      </c>
      <c r="C812" s="2" t="str">
        <f>Follow[[#This Row],[CODRASTREIO]]&amp;" B"</f>
        <v>CódRastreio799 B</v>
      </c>
      <c r="D812" s="52" t="str">
        <f>_xlfn.XLOOKUP(Follow[[#This Row],[Id Pedido]],Controle_Pedidos[Número Pedido Cliente],Controle_Pedidos[Loja])</f>
        <v>BV</v>
      </c>
      <c r="E812" s="9">
        <f>_xlfn.XLOOKUP(Follow[[#This Row],[Id Pedido]],Controle_Pedidos[Número Pedido Cliente],Controle_Pedidos[Prazo Entrega])</f>
        <v>45700</v>
      </c>
      <c r="F812" s="9" t="s">
        <v>19433</v>
      </c>
      <c r="G812" s="9" t="s">
        <v>37</v>
      </c>
      <c r="H812" s="52" t="s">
        <v>179</v>
      </c>
      <c r="I812" s="52" t="s">
        <v>178</v>
      </c>
      <c r="J812" s="55">
        <v>45695</v>
      </c>
      <c r="K812" s="52" t="s">
        <v>198</v>
      </c>
      <c r="L812" s="8" t="s">
        <v>124</v>
      </c>
      <c r="M812" s="8" t="s">
        <v>37</v>
      </c>
      <c r="N812" s="52" t="str">
        <f>IF(Follow[[#This Row],[DATAATUALIZAÇÃO]]&lt;=Follow[[#This Row],[Prev Entrega]],"Dentro do Prazo","Fora do Prazo")</f>
        <v>Dentro do Prazo</v>
      </c>
      <c r="O8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07/02/2025, referente ao pedido Nº Pedido 822 Rastreio Pedido 822, agradecemos a preferência e adoraríamos receber sua avaliação, tendo qualquer dúvida estamos à disposição.
Att
Tem tudo Shop</v>
      </c>
    </row>
    <row r="813" spans="1:15">
      <c r="A813" s="52" t="str">
        <f>_xlfn.XLOOKUP(Follow[[#This Row],[CODRASTREIO]],Controle_Pedidos[Cód Rastreamento],Controle_Pedidos[Número Pedido Cliente])</f>
        <v>Pedido 823</v>
      </c>
      <c r="B813" s="2" t="s">
        <v>18242</v>
      </c>
      <c r="C813" s="2" t="str">
        <f>Follow[[#This Row],[CODRASTREIO]]&amp;" B"</f>
        <v>CódRastreio800 B</v>
      </c>
      <c r="D813" s="52" t="str">
        <f>_xlfn.XLOOKUP(Follow[[#This Row],[Id Pedido]],Controle_Pedidos[Número Pedido Cliente],Controle_Pedidos[Loja])</f>
        <v>BV</v>
      </c>
      <c r="E813" s="9">
        <f>_xlfn.XLOOKUP(Follow[[#This Row],[Id Pedido]],Controle_Pedidos[Número Pedido Cliente],Controle_Pedidos[Prazo Entrega])</f>
        <v>45694</v>
      </c>
      <c r="F813" s="9" t="s">
        <v>19433</v>
      </c>
      <c r="G813" s="9" t="s">
        <v>37</v>
      </c>
      <c r="H813" s="52" t="s">
        <v>178</v>
      </c>
      <c r="I813" s="52" t="s">
        <v>178</v>
      </c>
      <c r="J813" s="55">
        <v>45684</v>
      </c>
      <c r="K813" s="52" t="s">
        <v>198</v>
      </c>
      <c r="L813" s="8" t="s">
        <v>124</v>
      </c>
      <c r="M813" s="8" t="s">
        <v>37</v>
      </c>
      <c r="N813" s="52" t="str">
        <f>IF(Follow[[#This Row],[DATAATUALIZAÇÃO]]&lt;=Follow[[#This Row],[Prev Entrega]],"Dentro do Prazo","Fora do Prazo")</f>
        <v>Dentro do Prazo</v>
      </c>
      <c r="O81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27/01/2025, referente ao pedido Nº Pedido 823 Rastreio Pedido 823, agradecemos a preferência e adoraríamos receber sua avaliação, tendo qualquer dúvida estamos à disposição.
Att
Tem tudo Shop</v>
      </c>
    </row>
    <row r="814" spans="1:15">
      <c r="A814" s="52" t="str">
        <f>_xlfn.XLOOKUP(Follow[[#This Row],[CODRASTREIO]],Controle_Pedidos[Cód Rastreamento],Controle_Pedidos[Número Pedido Cliente])</f>
        <v>Pedido 824</v>
      </c>
      <c r="B814" s="2" t="s">
        <v>18243</v>
      </c>
      <c r="C814" s="2" t="str">
        <f>Follow[[#This Row],[CODRASTREIO]]&amp;" B"</f>
        <v>CódRastreio801 B</v>
      </c>
      <c r="D814" s="52" t="str">
        <f>_xlfn.XLOOKUP(Follow[[#This Row],[Id Pedido]],Controle_Pedidos[Número Pedido Cliente],Controle_Pedidos[Loja])</f>
        <v>BV</v>
      </c>
      <c r="E814" s="9">
        <f>_xlfn.XLOOKUP(Follow[[#This Row],[Id Pedido]],Controle_Pedidos[Número Pedido Cliente],Controle_Pedidos[Prazo Entrega])</f>
        <v>45700</v>
      </c>
      <c r="F814" s="9" t="s">
        <v>19433</v>
      </c>
      <c r="G814" s="9" t="s">
        <v>37</v>
      </c>
      <c r="H814" s="52" t="s">
        <v>178</v>
      </c>
      <c r="I814" s="52" t="s">
        <v>178</v>
      </c>
      <c r="J814" s="55">
        <v>45684</v>
      </c>
      <c r="K814" s="52" t="s">
        <v>198</v>
      </c>
      <c r="L814" s="8" t="s">
        <v>124</v>
      </c>
      <c r="M814" s="8" t="s">
        <v>37</v>
      </c>
      <c r="N814" s="52" t="str">
        <f>IF(Follow[[#This Row],[DATAATUALIZAÇÃO]]&lt;=Follow[[#This Row],[Prev Entrega]],"Dentro do Prazo","Fora do Prazo")</f>
        <v>Dentro do Prazo</v>
      </c>
      <c r="O8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27/01/2025, referente ao pedido Nº Pedido 824 Rastreio Pedido 824, agradecemos a preferência e adoraríamos receber sua avaliação, tendo qualquer dúvida estamos à disposição.
Att
Tem tudo Shop</v>
      </c>
    </row>
    <row r="815" spans="1:15">
      <c r="A815" s="52" t="str">
        <f>_xlfn.XLOOKUP(Follow[[#This Row],[CODRASTREIO]],Controle_Pedidos[Cód Rastreamento],Controle_Pedidos[Número Pedido Cliente])</f>
        <v>Pedido 825</v>
      </c>
      <c r="B815" s="2" t="s">
        <v>18244</v>
      </c>
      <c r="C815" s="2" t="str">
        <f>Follow[[#This Row],[CODRASTREIO]]&amp;" B"</f>
        <v>CódRastreio802 B</v>
      </c>
      <c r="D815" s="52" t="str">
        <f>_xlfn.XLOOKUP(Follow[[#This Row],[Id Pedido]],Controle_Pedidos[Número Pedido Cliente],Controle_Pedidos[Loja])</f>
        <v>BV</v>
      </c>
      <c r="E815" s="9">
        <f>_xlfn.XLOOKUP(Follow[[#This Row],[Id Pedido]],Controle_Pedidos[Número Pedido Cliente],Controle_Pedidos[Prazo Entrega])</f>
        <v>45696</v>
      </c>
      <c r="F815" s="9" t="s">
        <v>19433</v>
      </c>
      <c r="G815" s="9" t="s">
        <v>37</v>
      </c>
      <c r="H815" s="52" t="s">
        <v>178</v>
      </c>
      <c r="I815" s="52" t="s">
        <v>178</v>
      </c>
      <c r="J815" s="55">
        <v>45684</v>
      </c>
      <c r="K815" s="52" t="s">
        <v>198</v>
      </c>
      <c r="L815" s="8" t="s">
        <v>124</v>
      </c>
      <c r="M815" s="8" t="s">
        <v>37</v>
      </c>
      <c r="N815" s="52" t="str">
        <f>IF(Follow[[#This Row],[DATAATUALIZAÇÃO]]&lt;=Follow[[#This Row],[Prev Entrega]],"Dentro do Prazo","Fora do Prazo")</f>
        <v>Dentro do Prazo</v>
      </c>
      <c r="O8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27/01/2025, referente ao pedido Nº Pedido 825 Rastreio Pedido 825, agradecemos a preferência e adoraríamos receber sua avaliação, tendo qualquer dúvida estamos à disposição.
Att
Tem tudo Shop</v>
      </c>
    </row>
    <row r="816" spans="1:15">
      <c r="A816" s="52" t="str">
        <f>_xlfn.XLOOKUP(Follow[[#This Row],[CODRASTREIO]],Controle_Pedidos[Cód Rastreamento],Controle_Pedidos[Número Pedido Cliente])</f>
        <v>Pedido 826</v>
      </c>
      <c r="B816" s="2" t="s">
        <v>18245</v>
      </c>
      <c r="C816" s="2" t="str">
        <f>Follow[[#This Row],[CODRASTREIO]]&amp;" B"</f>
        <v>CódRastreio803 B</v>
      </c>
      <c r="D816" s="52" t="str">
        <f>_xlfn.XLOOKUP(Follow[[#This Row],[Id Pedido]],Controle_Pedidos[Número Pedido Cliente],Controle_Pedidos[Loja])</f>
        <v>BV</v>
      </c>
      <c r="E816" s="9">
        <f>_xlfn.XLOOKUP(Follow[[#This Row],[Id Pedido]],Controle_Pedidos[Número Pedido Cliente],Controle_Pedidos[Prazo Entrega])</f>
        <v>45701</v>
      </c>
      <c r="F816" s="9" t="s">
        <v>19433</v>
      </c>
      <c r="G816" s="9" t="s">
        <v>37</v>
      </c>
      <c r="H816" s="52" t="s">
        <v>179</v>
      </c>
      <c r="I816" s="52" t="s">
        <v>178</v>
      </c>
      <c r="J816" s="55">
        <v>45687</v>
      </c>
      <c r="K816" s="52" t="s">
        <v>198</v>
      </c>
      <c r="L816" s="8" t="s">
        <v>124</v>
      </c>
      <c r="M816" s="8" t="s">
        <v>37</v>
      </c>
      <c r="N816" s="52" t="str">
        <f>IF(Follow[[#This Row],[DATAATUALIZAÇÃO]]&lt;=Follow[[#This Row],[Prev Entrega]],"Dentro do Prazo","Fora do Prazo")</f>
        <v>Dentro do Prazo</v>
      </c>
      <c r="O8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30/01/2025, referente ao pedido Nº Pedido 826 Rastreio Pedido 826, agradecemos a preferência e adoraríamos receber sua avaliação, tendo qualquer dúvida estamos à disposição.
Att
Tem tudo Shop</v>
      </c>
    </row>
    <row r="817" spans="1:15">
      <c r="A817" s="52" t="str">
        <f>_xlfn.XLOOKUP(Follow[[#This Row],[CODRASTREIO]],Controle_Pedidos[Cód Rastreamento],Controle_Pedidos[Número Pedido Cliente])</f>
        <v>Pedido 827</v>
      </c>
      <c r="B817" s="2" t="s">
        <v>18246</v>
      </c>
      <c r="C817" s="2" t="str">
        <f>Follow[[#This Row],[CODRASTREIO]]&amp;" B"</f>
        <v>CódRastreio804 B</v>
      </c>
      <c r="D817" s="52" t="str">
        <f>_xlfn.XLOOKUP(Follow[[#This Row],[Id Pedido]],Controle_Pedidos[Número Pedido Cliente],Controle_Pedidos[Loja])</f>
        <v>BV</v>
      </c>
      <c r="E817" s="9">
        <f>_xlfn.XLOOKUP(Follow[[#This Row],[Id Pedido]],Controle_Pedidos[Número Pedido Cliente],Controle_Pedidos[Prazo Entrega])</f>
        <v>45707</v>
      </c>
      <c r="F817" s="9" t="s">
        <v>19433</v>
      </c>
      <c r="G817" s="9" t="s">
        <v>37</v>
      </c>
      <c r="H817" s="52" t="s">
        <v>179</v>
      </c>
      <c r="I817" s="52" t="s">
        <v>178</v>
      </c>
      <c r="J817" s="55">
        <v>45692</v>
      </c>
      <c r="K817" s="52" t="s">
        <v>198</v>
      </c>
      <c r="L817" s="8" t="s">
        <v>124</v>
      </c>
      <c r="M817" s="8" t="s">
        <v>37</v>
      </c>
      <c r="N817" s="52" t="str">
        <f>IF(Follow[[#This Row],[DATAATUALIZAÇÃO]]&lt;=Follow[[#This Row],[Prev Entrega]],"Dentro do Prazo","Fora do Prazo")</f>
        <v>Dentro do Prazo</v>
      </c>
      <c r="O8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827 Rastreio Pedido 827, agradecemos a preferência e adoraríamos receber sua avaliação, tendo qualquer dúvida estamos à disposição.
Att
Tem tudo Shop</v>
      </c>
    </row>
    <row r="818" spans="1:15">
      <c r="A818" s="52" t="str">
        <f>_xlfn.XLOOKUP(Follow[[#This Row],[CODRASTREIO]],Controle_Pedidos[Cód Rastreamento],Controle_Pedidos[Número Pedido Cliente])</f>
        <v>Pedido 828</v>
      </c>
      <c r="B818" s="2" t="s">
        <v>18247</v>
      </c>
      <c r="C818" s="2" t="str">
        <f>Follow[[#This Row],[CODRASTREIO]]&amp;" B"</f>
        <v>CódRastreio805 B</v>
      </c>
      <c r="D818" s="52" t="str">
        <f>_xlfn.XLOOKUP(Follow[[#This Row],[Id Pedido]],Controle_Pedidos[Número Pedido Cliente],Controle_Pedidos[Loja])</f>
        <v>BV</v>
      </c>
      <c r="E818" s="9">
        <f>_xlfn.XLOOKUP(Follow[[#This Row],[Id Pedido]],Controle_Pedidos[Número Pedido Cliente],Controle_Pedidos[Prazo Entrega])</f>
        <v>45702</v>
      </c>
      <c r="F818" s="9" t="s">
        <v>19433</v>
      </c>
      <c r="G818" s="9" t="s">
        <v>37</v>
      </c>
      <c r="H818" s="52" t="s">
        <v>179</v>
      </c>
      <c r="I818" s="52" t="s">
        <v>178</v>
      </c>
      <c r="J818" s="55">
        <v>45694</v>
      </c>
      <c r="K818" s="52" t="s">
        <v>198</v>
      </c>
      <c r="L818" s="8" t="s">
        <v>124</v>
      </c>
      <c r="M818" s="8" t="s">
        <v>37</v>
      </c>
      <c r="N818" s="52" t="str">
        <f>IF(Follow[[#This Row],[DATAATUALIZAÇÃO]]&lt;=Follow[[#This Row],[Prev Entrega]],"Dentro do Prazo","Fora do Prazo")</f>
        <v>Dentro do Prazo</v>
      </c>
      <c r="O8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06/02/2025, referente ao pedido Nº Pedido 828 Rastreio Pedido 828, agradecemos a preferência e adoraríamos receber sua avaliação, tendo qualquer dúvida estamos à disposição.
Att
Tem tudo Shop</v>
      </c>
    </row>
    <row r="819" spans="1:15">
      <c r="A819" s="52" t="str">
        <f>_xlfn.XLOOKUP(Follow[[#This Row],[CODRASTREIO]],Controle_Pedidos[Cód Rastreamento],Controle_Pedidos[Número Pedido Cliente])</f>
        <v>Pedido 829</v>
      </c>
      <c r="B819" s="2" t="s">
        <v>18248</v>
      </c>
      <c r="C819" s="2" t="str">
        <f>Follow[[#This Row],[CODRASTREIO]]&amp;" B"</f>
        <v>CódRastreio806 B</v>
      </c>
      <c r="D819" s="52" t="str">
        <f>_xlfn.XLOOKUP(Follow[[#This Row],[Id Pedido]],Controle_Pedidos[Número Pedido Cliente],Controle_Pedidos[Loja])</f>
        <v>BV</v>
      </c>
      <c r="E819" s="9">
        <f>_xlfn.XLOOKUP(Follow[[#This Row],[Id Pedido]],Controle_Pedidos[Número Pedido Cliente],Controle_Pedidos[Prazo Entrega])</f>
        <v>45702</v>
      </c>
      <c r="F819" s="9" t="s">
        <v>19433</v>
      </c>
      <c r="G819" s="9" t="s">
        <v>37</v>
      </c>
      <c r="H819" s="52" t="s">
        <v>179</v>
      </c>
      <c r="I819" s="52" t="s">
        <v>178</v>
      </c>
      <c r="J819" s="55">
        <v>45693</v>
      </c>
      <c r="K819" s="52" t="s">
        <v>198</v>
      </c>
      <c r="L819" s="8" t="s">
        <v>124</v>
      </c>
      <c r="M819" s="8" t="s">
        <v>37</v>
      </c>
      <c r="N819" s="52" t="str">
        <f>IF(Follow[[#This Row],[DATAATUALIZAÇÃO]]&lt;=Follow[[#This Row],[Prev Entrega]],"Dentro do Prazo","Fora do Prazo")</f>
        <v>Dentro do Prazo</v>
      </c>
      <c r="O8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05/02/2025, referente ao pedido Nº Pedido 829 Rastreio Pedido 829, agradecemos a preferência e adoraríamos receber sua avaliação, tendo qualquer dúvida estamos à disposição.
Att
Tem tudo Shop</v>
      </c>
    </row>
    <row r="820" spans="1:15">
      <c r="A820" s="52" t="str">
        <f>_xlfn.XLOOKUP(Follow[[#This Row],[CODRASTREIO]],Controle_Pedidos[Cód Rastreamento],Controle_Pedidos[Número Pedido Cliente])</f>
        <v>Pedido 880</v>
      </c>
      <c r="B820" s="2" t="s">
        <v>18299</v>
      </c>
      <c r="C820" s="2" t="str">
        <f>Follow[[#This Row],[CODRASTREIO]]&amp;" B"</f>
        <v>CódRastreio857 B</v>
      </c>
      <c r="D820" s="52" t="str">
        <f>_xlfn.XLOOKUP(Follow[[#This Row],[Id Pedido]],Controle_Pedidos[Número Pedido Cliente],Controle_Pedidos[Loja])</f>
        <v>GO</v>
      </c>
      <c r="E820" s="9">
        <f>_xlfn.XLOOKUP(Follow[[#This Row],[Id Pedido]],Controle_Pedidos[Número Pedido Cliente],Controle_Pedidos[Prazo Entrega])</f>
        <v>45702</v>
      </c>
      <c r="F820" s="9" t="s">
        <v>19433</v>
      </c>
      <c r="G820" s="9" t="s">
        <v>37</v>
      </c>
      <c r="H820" s="52" t="s">
        <v>179</v>
      </c>
      <c r="I820" s="52" t="s">
        <v>178</v>
      </c>
      <c r="J820" s="55">
        <v>45693</v>
      </c>
      <c r="K820" s="52" t="s">
        <v>198</v>
      </c>
      <c r="L820" s="8" t="s">
        <v>124</v>
      </c>
      <c r="M820" s="8" t="s">
        <v>37</v>
      </c>
      <c r="N820" s="52" t="str">
        <f>IF(Follow[[#This Row],[DATAATUALIZAÇÃO]]&lt;=Follow[[#This Row],[Prev Entrega]],"Dentro do Prazo","Fora do Prazo")</f>
        <v>Dentro do Prazo</v>
      </c>
      <c r="O8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05/02/2025, referente ao pedido Nº Pedido 880 Rastreio Pedido 880, agradecemos a preferência e adoraríamos receber sua avaliação, tendo qualquer dúvida estamos à disposição.
Att
Sec Variedades</v>
      </c>
    </row>
    <row r="821" spans="1:15">
      <c r="A821" s="52" t="str">
        <f>_xlfn.XLOOKUP(Follow[[#This Row],[CODRASTREIO]],Controle_Pedidos[Cód Rastreamento],Controle_Pedidos[Número Pedido Cliente])</f>
        <v>Pedido 881</v>
      </c>
      <c r="B821" s="2" t="s">
        <v>18300</v>
      </c>
      <c r="C821" s="2" t="str">
        <f>Follow[[#This Row],[CODRASTREIO]]&amp;" B"</f>
        <v>CódRastreio858 B</v>
      </c>
      <c r="D821" s="52" t="str">
        <f>_xlfn.XLOOKUP(Follow[[#This Row],[Id Pedido]],Controle_Pedidos[Número Pedido Cliente],Controle_Pedidos[Loja])</f>
        <v>GO</v>
      </c>
      <c r="E821" s="9">
        <f>_xlfn.XLOOKUP(Follow[[#This Row],[Id Pedido]],Controle_Pedidos[Número Pedido Cliente],Controle_Pedidos[Prazo Entrega])</f>
        <v>45702</v>
      </c>
      <c r="F821" s="9" t="s">
        <v>19433</v>
      </c>
      <c r="G821" s="9" t="s">
        <v>37</v>
      </c>
      <c r="H821" s="52" t="s">
        <v>179</v>
      </c>
      <c r="I821" s="52" t="s">
        <v>178</v>
      </c>
      <c r="J821" s="55">
        <v>45696</v>
      </c>
      <c r="K821" s="52" t="s">
        <v>198</v>
      </c>
      <c r="L821" s="8" t="s">
        <v>124</v>
      </c>
      <c r="M821" s="8" t="s">
        <v>37</v>
      </c>
      <c r="N821" s="52" t="str">
        <f>IF(Follow[[#This Row],[DATAATUALIZAÇÃO]]&lt;=Follow[[#This Row],[Prev Entrega]],"Dentro do Prazo","Fora do Prazo")</f>
        <v>Dentro do Prazo</v>
      </c>
      <c r="O8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08/02/2025, referente ao pedido Nº Pedido 881 Rastreio Pedido 881, agradecemos a preferência e adoraríamos receber sua avaliação, tendo qualquer dúvida estamos à disposição.
Att
Sec Variedades</v>
      </c>
    </row>
    <row r="822" spans="1:15">
      <c r="A822" s="52" t="str">
        <f>_xlfn.XLOOKUP(Follow[[#This Row],[CODRASTREIO]],Controle_Pedidos[Cód Rastreamento],Controle_Pedidos[Número Pedido Cliente])</f>
        <v>Pedido 830</v>
      </c>
      <c r="B822" s="2" t="s">
        <v>18249</v>
      </c>
      <c r="C822" s="2" t="str">
        <f>Follow[[#This Row],[CODRASTREIO]]&amp;" B"</f>
        <v>CódRastreio807 B</v>
      </c>
      <c r="D822" s="52" t="str">
        <f>_xlfn.XLOOKUP(Follow[[#This Row],[Id Pedido]],Controle_Pedidos[Número Pedido Cliente],Controle_Pedidos[Loja])</f>
        <v>BV</v>
      </c>
      <c r="E822" s="9">
        <f>_xlfn.XLOOKUP(Follow[[#This Row],[Id Pedido]],Controle_Pedidos[Número Pedido Cliente],Controle_Pedidos[Prazo Entrega])</f>
        <v>45696</v>
      </c>
      <c r="F822" s="9" t="s">
        <v>19433</v>
      </c>
      <c r="G822" s="9" t="s">
        <v>37</v>
      </c>
      <c r="H822" s="52" t="s">
        <v>178</v>
      </c>
      <c r="I822" s="52" t="s">
        <v>178</v>
      </c>
      <c r="J822" s="55">
        <v>45686</v>
      </c>
      <c r="K822" s="52" t="s">
        <v>198</v>
      </c>
      <c r="L822" s="8" t="s">
        <v>124</v>
      </c>
      <c r="M822" s="8" t="s">
        <v>37</v>
      </c>
      <c r="N822" s="52" t="str">
        <f>IF(Follow[[#This Row],[DATAATUALIZAÇÃO]]&lt;=Follow[[#This Row],[Prev Entrega]],"Dentro do Prazo","Fora do Prazo")</f>
        <v>Dentro do Prazo</v>
      </c>
      <c r="O8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29/01/2025, referente ao pedido Nº Pedido 830 Rastreio Pedido 830, agradecemos a preferência e adoraríamos receber sua avaliação, tendo qualquer dúvida estamos à disposição.
Att
Tem tudo Shop</v>
      </c>
    </row>
    <row r="823" spans="1:15">
      <c r="A823" s="52" t="str">
        <f>_xlfn.XLOOKUP(Follow[[#This Row],[CODRASTREIO]],Controle_Pedidos[Cód Rastreamento],Controle_Pedidos[Número Pedido Cliente])</f>
        <v>Pedido 831</v>
      </c>
      <c r="B823" s="2" t="s">
        <v>18250</v>
      </c>
      <c r="C823" s="2" t="str">
        <f>Follow[[#This Row],[CODRASTREIO]]&amp;" B"</f>
        <v>CódRastreio808 B</v>
      </c>
      <c r="D823" s="52" t="str">
        <f>_xlfn.XLOOKUP(Follow[[#This Row],[Id Pedido]],Controle_Pedidos[Número Pedido Cliente],Controle_Pedidos[Loja])</f>
        <v>BV</v>
      </c>
      <c r="E823" s="9">
        <f>_xlfn.XLOOKUP(Follow[[#This Row],[Id Pedido]],Controle_Pedidos[Número Pedido Cliente],Controle_Pedidos[Prazo Entrega])</f>
        <v>45702</v>
      </c>
      <c r="F823" s="9" t="s">
        <v>19433</v>
      </c>
      <c r="G823" s="9" t="s">
        <v>37</v>
      </c>
      <c r="H823" s="52" t="s">
        <v>179</v>
      </c>
      <c r="I823" s="52" t="s">
        <v>178</v>
      </c>
      <c r="J823" s="55">
        <v>45695</v>
      </c>
      <c r="K823" s="52" t="s">
        <v>198</v>
      </c>
      <c r="L823" s="8" t="s">
        <v>124</v>
      </c>
      <c r="M823" s="8" t="s">
        <v>37</v>
      </c>
      <c r="N823" s="52" t="str">
        <f>IF(Follow[[#This Row],[DATAATUALIZAÇÃO]]&lt;=Follow[[#This Row],[Prev Entrega]],"Dentro do Prazo","Fora do Prazo")</f>
        <v>Dentro do Prazo</v>
      </c>
      <c r="O8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07/02/2025, referente ao pedido Nº Pedido 831 Rastreio Pedido 831, agradecemos a preferência e adoraríamos receber sua avaliação, tendo qualquer dúvida estamos à disposição.
Att
Tem tudo Shop</v>
      </c>
    </row>
    <row r="824" spans="1:15">
      <c r="A824" s="52" t="str">
        <f>_xlfn.XLOOKUP(Follow[[#This Row],[CODRASTREIO]],Controle_Pedidos[Cód Rastreamento],Controle_Pedidos[Número Pedido Cliente])</f>
        <v>Pedido 832</v>
      </c>
      <c r="B824" s="2" t="s">
        <v>18251</v>
      </c>
      <c r="C824" s="2" t="str">
        <f>Follow[[#This Row],[CODRASTREIO]]&amp;" B"</f>
        <v>CódRastreio809 B</v>
      </c>
      <c r="D824" s="52" t="str">
        <f>_xlfn.XLOOKUP(Follow[[#This Row],[Id Pedido]],Controle_Pedidos[Número Pedido Cliente],Controle_Pedidos[Loja])</f>
        <v>BV</v>
      </c>
      <c r="E824" s="9">
        <f>_xlfn.XLOOKUP(Follow[[#This Row],[Id Pedido]],Controle_Pedidos[Número Pedido Cliente],Controle_Pedidos[Prazo Entrega])</f>
        <v>45702</v>
      </c>
      <c r="F824" s="9" t="s">
        <v>19433</v>
      </c>
      <c r="G824" s="9" t="s">
        <v>37</v>
      </c>
      <c r="H824" s="52" t="s">
        <v>179</v>
      </c>
      <c r="I824" s="52" t="s">
        <v>178</v>
      </c>
      <c r="J824" s="55">
        <v>45693</v>
      </c>
      <c r="K824" s="52" t="s">
        <v>198</v>
      </c>
      <c r="L824" s="8" t="s">
        <v>124</v>
      </c>
      <c r="M824" s="8" t="s">
        <v>37</v>
      </c>
      <c r="N824" s="52" t="str">
        <f>IF(Follow[[#This Row],[DATAATUALIZAÇÃO]]&lt;=Follow[[#This Row],[Prev Entrega]],"Dentro do Prazo","Fora do Prazo")</f>
        <v>Dentro do Prazo</v>
      </c>
      <c r="O8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05/02/2025, referente ao pedido Nº Pedido 832 Rastreio Pedido 832, agradecemos a preferência e adoraríamos receber sua avaliação, tendo qualquer dúvida estamos à disposição.
Att
Tem tudo Shop</v>
      </c>
    </row>
    <row r="825" spans="1:15">
      <c r="A825" s="52" t="str">
        <f>_xlfn.XLOOKUP(Follow[[#This Row],[CODRASTREIO]],Controle_Pedidos[Cód Rastreamento],Controle_Pedidos[Número Pedido Cliente])</f>
        <v>Pedido 833</v>
      </c>
      <c r="B825" s="2" t="s">
        <v>18252</v>
      </c>
      <c r="C825" s="2" t="str">
        <f>Follow[[#This Row],[CODRASTREIO]]&amp;" B"</f>
        <v>CódRastreio810 B</v>
      </c>
      <c r="D825" s="52" t="str">
        <f>_xlfn.XLOOKUP(Follow[[#This Row],[Id Pedido]],Controle_Pedidos[Número Pedido Cliente],Controle_Pedidos[Loja])</f>
        <v>BV</v>
      </c>
      <c r="E825" s="9">
        <f>_xlfn.XLOOKUP(Follow[[#This Row],[Id Pedido]],Controle_Pedidos[Número Pedido Cliente],Controle_Pedidos[Prazo Entrega])</f>
        <v>45702</v>
      </c>
      <c r="F825" s="9" t="s">
        <v>19433</v>
      </c>
      <c r="G825" s="9" t="s">
        <v>37</v>
      </c>
      <c r="H825" s="52" t="s">
        <v>179</v>
      </c>
      <c r="I825" s="52" t="s">
        <v>178</v>
      </c>
      <c r="J825" s="55">
        <v>45695</v>
      </c>
      <c r="K825" s="52" t="s">
        <v>198</v>
      </c>
      <c r="L825" s="8" t="s">
        <v>124</v>
      </c>
      <c r="M825" s="8" t="s">
        <v>37</v>
      </c>
      <c r="N825" s="52" t="str">
        <f>IF(Follow[[#This Row],[DATAATUALIZAÇÃO]]&lt;=Follow[[#This Row],[Prev Entrega]],"Dentro do Prazo","Fora do Prazo")</f>
        <v>Dentro do Prazo</v>
      </c>
      <c r="O8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833 Rastreio Pedido 833, agradecemos a preferência e adoraríamos receber sua avaliação, tendo qualquer dúvida estamos à disposição.
Att
Tem tudo Shop</v>
      </c>
    </row>
    <row r="826" spans="1:15">
      <c r="A826" s="52" t="str">
        <f>_xlfn.XLOOKUP(Follow[[#This Row],[CODRASTREIO]],Controle_Pedidos[Cód Rastreamento],Controle_Pedidos[Número Pedido Cliente])</f>
        <v>Pedido 834</v>
      </c>
      <c r="B826" s="2" t="s">
        <v>18253</v>
      </c>
      <c r="C826" s="2" t="str">
        <f>Follow[[#This Row],[CODRASTREIO]]&amp;" B"</f>
        <v>CódRastreio811 B</v>
      </c>
      <c r="D826" s="52" t="str">
        <f>_xlfn.XLOOKUP(Follow[[#This Row],[Id Pedido]],Controle_Pedidos[Número Pedido Cliente],Controle_Pedidos[Loja])</f>
        <v>BV</v>
      </c>
      <c r="E826" s="9">
        <f>_xlfn.XLOOKUP(Follow[[#This Row],[Id Pedido]],Controle_Pedidos[Número Pedido Cliente],Controle_Pedidos[Prazo Entrega])</f>
        <v>45702</v>
      </c>
      <c r="F826" s="9" t="s">
        <v>19433</v>
      </c>
      <c r="G826" s="9" t="s">
        <v>37</v>
      </c>
      <c r="H826" s="52" t="s">
        <v>179</v>
      </c>
      <c r="I826" s="52" t="s">
        <v>178</v>
      </c>
      <c r="J826" s="55">
        <v>45696</v>
      </c>
      <c r="K826" s="52" t="s">
        <v>198</v>
      </c>
      <c r="L826" s="8" t="s">
        <v>124</v>
      </c>
      <c r="M826" s="8" t="s">
        <v>37</v>
      </c>
      <c r="N826" s="52" t="str">
        <f>IF(Follow[[#This Row],[DATAATUALIZAÇÃO]]&lt;=Follow[[#This Row],[Prev Entrega]],"Dentro do Prazo","Fora do Prazo")</f>
        <v>Dentro do Prazo</v>
      </c>
      <c r="O8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08/02/2025, referente ao pedido Nº Pedido 834 Rastreio Pedido 834, agradecemos a preferência e adoraríamos receber sua avaliação, tendo qualquer dúvida estamos à disposição.
Att
Tem tudo Shop</v>
      </c>
    </row>
    <row r="827" spans="1:15">
      <c r="A827" s="52" t="str">
        <f>_xlfn.XLOOKUP(Follow[[#This Row],[CODRASTREIO]],Controle_Pedidos[Cód Rastreamento],Controle_Pedidos[Número Pedido Cliente])</f>
        <v>Pedido 835</v>
      </c>
      <c r="B827" s="2" t="s">
        <v>18254</v>
      </c>
      <c r="C827" s="2" t="str">
        <f>Follow[[#This Row],[CODRASTREIO]]&amp;" B"</f>
        <v>CódRastreio812 B</v>
      </c>
      <c r="D827" s="52" t="str">
        <f>_xlfn.XLOOKUP(Follow[[#This Row],[Id Pedido]],Controle_Pedidos[Número Pedido Cliente],Controle_Pedidos[Loja])</f>
        <v>BV</v>
      </c>
      <c r="E827" s="9">
        <f>_xlfn.XLOOKUP(Follow[[#This Row],[Id Pedido]],Controle_Pedidos[Número Pedido Cliente],Controle_Pedidos[Prazo Entrega])</f>
        <v>45702</v>
      </c>
      <c r="F827" s="9" t="s">
        <v>19433</v>
      </c>
      <c r="G827" s="9" t="s">
        <v>37</v>
      </c>
      <c r="H827" s="52" t="s">
        <v>179</v>
      </c>
      <c r="I827" s="52" t="s">
        <v>178</v>
      </c>
      <c r="J827" s="55">
        <v>45698</v>
      </c>
      <c r="K827" s="52" t="s">
        <v>198</v>
      </c>
      <c r="L827" s="8" t="s">
        <v>124</v>
      </c>
      <c r="M827" s="8" t="s">
        <v>37</v>
      </c>
      <c r="N827" s="52" t="str">
        <f>IF(Follow[[#This Row],[DATAATUALIZAÇÃO]]&lt;=Follow[[#This Row],[Prev Entrega]],"Dentro do Prazo","Fora do Prazo")</f>
        <v>Dentro do Prazo</v>
      </c>
      <c r="O8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10/02/2025, referente ao pedido Nº Pedido 835 Rastreio Pedido 835, agradecemos a preferência e adoraríamos receber sua avaliação, tendo qualquer dúvida estamos à disposição.
Att
Tem tudo Shop</v>
      </c>
    </row>
    <row r="828" spans="1:15">
      <c r="A828" s="52" t="str">
        <f>_xlfn.XLOOKUP(Follow[[#This Row],[CODRASTREIO]],Controle_Pedidos[Cód Rastreamento],Controle_Pedidos[Número Pedido Cliente])</f>
        <v>Pedido 836</v>
      </c>
      <c r="B828" s="2" t="s">
        <v>18255</v>
      </c>
      <c r="C828" s="2" t="str">
        <f>Follow[[#This Row],[CODRASTREIO]]&amp;" B"</f>
        <v>CódRastreio813 B</v>
      </c>
      <c r="D828" s="52" t="str">
        <f>_xlfn.XLOOKUP(Follow[[#This Row],[Id Pedido]],Controle_Pedidos[Número Pedido Cliente],Controle_Pedidos[Loja])</f>
        <v>BV</v>
      </c>
      <c r="E828" s="9">
        <f>_xlfn.XLOOKUP(Follow[[#This Row],[Id Pedido]],Controle_Pedidos[Número Pedido Cliente],Controle_Pedidos[Prazo Entrega])</f>
        <v>45709</v>
      </c>
      <c r="F828" s="9" t="s">
        <v>19433</v>
      </c>
      <c r="G828" s="9" t="s">
        <v>37</v>
      </c>
      <c r="H828" s="52" t="s">
        <v>179</v>
      </c>
      <c r="I828" s="52" t="s">
        <v>178</v>
      </c>
      <c r="J828" s="55">
        <v>45700</v>
      </c>
      <c r="K828" s="52" t="s">
        <v>198</v>
      </c>
      <c r="L828" s="8" t="s">
        <v>124</v>
      </c>
      <c r="M828" s="8" t="s">
        <v>37</v>
      </c>
      <c r="N828" s="52" t="str">
        <f>IF(Follow[[#This Row],[DATAATUALIZAÇÃO]]&lt;=Follow[[#This Row],[Prev Entrega]],"Dentro do Prazo","Fora do Prazo")</f>
        <v>Dentro do Prazo</v>
      </c>
      <c r="O82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12/02/2025, referente ao pedido Nº Pedido 836 Rastreio Pedido 836, agradecemos a preferência e adoraríamos receber sua avaliação, tendo qualquer dúvida estamos à disposição.
Att
Tem tudo Shop</v>
      </c>
    </row>
    <row r="829" spans="1:15">
      <c r="A829" s="52" t="str">
        <f>_xlfn.XLOOKUP(Follow[[#This Row],[CODRASTREIO]],Controle_Pedidos[Cód Rastreamento],Controle_Pedidos[Número Pedido Cliente])</f>
        <v>Pedido 837</v>
      </c>
      <c r="B829" s="2" t="s">
        <v>18256</v>
      </c>
      <c r="C829" s="2" t="str">
        <f>Follow[[#This Row],[CODRASTREIO]]&amp;" B"</f>
        <v>CódRastreio814 B</v>
      </c>
      <c r="D829" s="52" t="str">
        <f>_xlfn.XLOOKUP(Follow[[#This Row],[Id Pedido]],Controle_Pedidos[Número Pedido Cliente],Controle_Pedidos[Loja])</f>
        <v>BV</v>
      </c>
      <c r="E829" s="9">
        <f>_xlfn.XLOOKUP(Follow[[#This Row],[Id Pedido]],Controle_Pedidos[Número Pedido Cliente],Controle_Pedidos[Prazo Entrega])</f>
        <v>45709</v>
      </c>
      <c r="F829" s="9" t="s">
        <v>19433</v>
      </c>
      <c r="G829" s="9" t="s">
        <v>37</v>
      </c>
      <c r="H829" s="52" t="s">
        <v>178</v>
      </c>
      <c r="I829" s="52" t="s">
        <v>178</v>
      </c>
      <c r="J829" s="55">
        <v>45692</v>
      </c>
      <c r="K829" s="52" t="s">
        <v>198</v>
      </c>
      <c r="L829" s="8" t="s">
        <v>124</v>
      </c>
      <c r="M829" s="8" t="s">
        <v>37</v>
      </c>
      <c r="N829" s="52" t="str">
        <f>IF(Follow[[#This Row],[DATAATUALIZAÇÃO]]&lt;=Follow[[#This Row],[Prev Entrega]],"Dentro do Prazo","Fora do Prazo")</f>
        <v>Dentro do Prazo</v>
      </c>
      <c r="O8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04/02/2025, referente ao pedido Nº Pedido 837 Rastreio Pedido 837, agradecemos a preferência e adoraríamos receber sua avaliação, tendo qualquer dúvida estamos à disposição.
Att
Tem tudo Shop</v>
      </c>
    </row>
    <row r="830" spans="1:15">
      <c r="A830" s="52" t="str">
        <f>_xlfn.XLOOKUP(Follow[[#This Row],[CODRASTREIO]],Controle_Pedidos[Cód Rastreamento],Controle_Pedidos[Número Pedido Cliente])</f>
        <v>Pedido 882</v>
      </c>
      <c r="B830" s="2" t="s">
        <v>18301</v>
      </c>
      <c r="C830" s="2" t="str">
        <f>Follow[[#This Row],[CODRASTREIO]]&amp;" B"</f>
        <v>CódRastreio859 B</v>
      </c>
      <c r="D830" s="52" t="str">
        <f>_xlfn.XLOOKUP(Follow[[#This Row],[Id Pedido]],Controle_Pedidos[Número Pedido Cliente],Controle_Pedidos[Loja])</f>
        <v>GO</v>
      </c>
      <c r="E830" s="9">
        <f>_xlfn.XLOOKUP(Follow[[#This Row],[Id Pedido]],Controle_Pedidos[Número Pedido Cliente],Controle_Pedidos[Prazo Entrega])</f>
        <v>45708</v>
      </c>
      <c r="F830" s="9" t="s">
        <v>19433</v>
      </c>
      <c r="G830" s="9" t="s">
        <v>37</v>
      </c>
      <c r="H830" s="52" t="s">
        <v>179</v>
      </c>
      <c r="I830" s="52" t="s">
        <v>178</v>
      </c>
      <c r="J830" s="55">
        <v>45701</v>
      </c>
      <c r="K830" s="52" t="s">
        <v>198</v>
      </c>
      <c r="L830" s="8" t="s">
        <v>124</v>
      </c>
      <c r="M830" s="8" t="s">
        <v>37</v>
      </c>
      <c r="N830" s="52" t="str">
        <f>IF(Follow[[#This Row],[DATAATUALIZAÇÃO]]&lt;=Follow[[#This Row],[Prev Entrega]],"Dentro do Prazo","Fora do Prazo")</f>
        <v>Dentro do Prazo</v>
      </c>
      <c r="O83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13/02/2025, referente ao pedido Nº Pedido 882 Rastreio Pedido 882, agradecemos a preferência e adoraríamos receber sua avaliação, tendo qualquer dúvida estamos à disposição.
Att
Sec Variedades</v>
      </c>
    </row>
    <row r="831" spans="1:15">
      <c r="A831" s="52" t="str">
        <f>_xlfn.XLOOKUP(Follow[[#This Row],[CODRASTREIO]],Controle_Pedidos[Cód Rastreamento],Controle_Pedidos[Número Pedido Cliente])</f>
        <v>Pedido 883</v>
      </c>
      <c r="B831" s="2" t="s">
        <v>18302</v>
      </c>
      <c r="C831" s="2" t="str">
        <f>Follow[[#This Row],[CODRASTREIO]]&amp;" B"</f>
        <v>CódRastreio860 B</v>
      </c>
      <c r="D831" s="52" t="str">
        <f>_xlfn.XLOOKUP(Follow[[#This Row],[Id Pedido]],Controle_Pedidos[Número Pedido Cliente],Controle_Pedidos[Loja])</f>
        <v>GO</v>
      </c>
      <c r="E831" s="9">
        <f>_xlfn.XLOOKUP(Follow[[#This Row],[Id Pedido]],Controle_Pedidos[Número Pedido Cliente],Controle_Pedidos[Prazo Entrega])</f>
        <v>45702</v>
      </c>
      <c r="F831" s="9" t="s">
        <v>19433</v>
      </c>
      <c r="G831" s="9" t="s">
        <v>37</v>
      </c>
      <c r="H831" s="52" t="s">
        <v>179</v>
      </c>
      <c r="I831" s="52" t="s">
        <v>178</v>
      </c>
      <c r="J831" s="55">
        <v>45695</v>
      </c>
      <c r="K831" s="52" t="s">
        <v>198</v>
      </c>
      <c r="L831" s="8" t="s">
        <v>124</v>
      </c>
      <c r="M831" s="8" t="s">
        <v>37</v>
      </c>
      <c r="N831" s="52" t="str">
        <f>IF(Follow[[#This Row],[DATAATUALIZAÇÃO]]&lt;=Follow[[#This Row],[Prev Entrega]],"Dentro do Prazo","Fora do Prazo")</f>
        <v>Dentro do Prazo</v>
      </c>
      <c r="O8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883 Rastreio Pedido 883, agradecemos a preferência e adoraríamos receber sua avaliação, tendo qualquer dúvida estamos à disposição.
Att
Sec Variedades</v>
      </c>
    </row>
    <row r="832" spans="1:15">
      <c r="A832" s="52" t="str">
        <f>_xlfn.XLOOKUP(Follow[[#This Row],[CODRASTREIO]],Controle_Pedidos[Cód Rastreamento],Controle_Pedidos[Número Pedido Cliente])</f>
        <v>Pedido 884</v>
      </c>
      <c r="B832" s="2" t="s">
        <v>18303</v>
      </c>
      <c r="C832" s="2" t="str">
        <f>Follow[[#This Row],[CODRASTREIO]]&amp;" B"</f>
        <v>CódRastreio861 B</v>
      </c>
      <c r="D832" s="52" t="str">
        <f>_xlfn.XLOOKUP(Follow[[#This Row],[Id Pedido]],Controle_Pedidos[Número Pedido Cliente],Controle_Pedidos[Loja])</f>
        <v>GO</v>
      </c>
      <c r="E832" s="9">
        <f>_xlfn.XLOOKUP(Follow[[#This Row],[Id Pedido]],Controle_Pedidos[Número Pedido Cliente],Controle_Pedidos[Prazo Entrega])</f>
        <v>45702</v>
      </c>
      <c r="F832" s="9" t="s">
        <v>19433</v>
      </c>
      <c r="G832" s="9" t="s">
        <v>37</v>
      </c>
      <c r="H832" s="52" t="s">
        <v>179</v>
      </c>
      <c r="I832" s="52" t="s">
        <v>178</v>
      </c>
      <c r="J832" s="55">
        <v>45694</v>
      </c>
      <c r="K832" s="52" t="s">
        <v>198</v>
      </c>
      <c r="L832" s="8" t="s">
        <v>124</v>
      </c>
      <c r="M832" s="8" t="s">
        <v>37</v>
      </c>
      <c r="N832" s="52" t="str">
        <f>IF(Follow[[#This Row],[DATAATUALIZAÇÃO]]&lt;=Follow[[#This Row],[Prev Entrega]],"Dentro do Prazo","Fora do Prazo")</f>
        <v>Dentro do Prazo</v>
      </c>
      <c r="O8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06/02/2025, referente ao pedido Nº Pedido 884 Rastreio Pedido 884, agradecemos a preferência e adoraríamos receber sua avaliação, tendo qualquer dúvida estamos à disposição.
Att
Sec Variedades</v>
      </c>
    </row>
    <row r="833" spans="1:15">
      <c r="A833" s="52" t="str">
        <f>_xlfn.XLOOKUP(Follow[[#This Row],[CODRASTREIO]],Controle_Pedidos[Cód Rastreamento],Controle_Pedidos[Número Pedido Cliente])</f>
        <v>Pedido 885</v>
      </c>
      <c r="B833" s="2" t="s">
        <v>18304</v>
      </c>
      <c r="C833" s="2" t="str">
        <f>Follow[[#This Row],[CODRASTREIO]]&amp;" B"</f>
        <v>CódRastreio862 B</v>
      </c>
      <c r="D833" s="52" t="str">
        <f>_xlfn.XLOOKUP(Follow[[#This Row],[Id Pedido]],Controle_Pedidos[Número Pedido Cliente],Controle_Pedidos[Loja])</f>
        <v>GO</v>
      </c>
      <c r="E833" s="9">
        <f>_xlfn.XLOOKUP(Follow[[#This Row],[Id Pedido]],Controle_Pedidos[Número Pedido Cliente],Controle_Pedidos[Prazo Entrega])</f>
        <v>45708</v>
      </c>
      <c r="F833" s="9" t="s">
        <v>19433</v>
      </c>
      <c r="G833" s="9" t="s">
        <v>37</v>
      </c>
      <c r="H833" s="52" t="s">
        <v>179</v>
      </c>
      <c r="I833" s="52" t="s">
        <v>178</v>
      </c>
      <c r="J833" s="55">
        <v>45696</v>
      </c>
      <c r="K833" s="52" t="s">
        <v>198</v>
      </c>
      <c r="L833" s="8" t="s">
        <v>124</v>
      </c>
      <c r="M833" s="8" t="s">
        <v>37</v>
      </c>
      <c r="N833" s="52" t="str">
        <f>IF(Follow[[#This Row],[DATAATUALIZAÇÃO]]&lt;=Follow[[#This Row],[Prev Entrega]],"Dentro do Prazo","Fora do Prazo")</f>
        <v>Dentro do Prazo</v>
      </c>
      <c r="O83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08/02/2025, referente ao pedido Nº Pedido 885 Rastreio Pedido 885, agradecemos a preferência e adoraríamos receber sua avaliação, tendo qualquer dúvida estamos à disposição.
Att
Sec Variedades</v>
      </c>
    </row>
    <row r="834" spans="1:15">
      <c r="A834" s="52" t="str">
        <f>_xlfn.XLOOKUP(Follow[[#This Row],[CODRASTREIO]],Controle_Pedidos[Cód Rastreamento],Controle_Pedidos[Número Pedido Cliente])</f>
        <v>Pedido 886</v>
      </c>
      <c r="B834" s="2" t="s">
        <v>18305</v>
      </c>
      <c r="C834" s="2" t="str">
        <f>Follow[[#This Row],[CODRASTREIO]]&amp;" B"</f>
        <v>CódRastreio863 B</v>
      </c>
      <c r="D834" s="52" t="str">
        <f>_xlfn.XLOOKUP(Follow[[#This Row],[Id Pedido]],Controle_Pedidos[Número Pedido Cliente],Controle_Pedidos[Loja])</f>
        <v>GO</v>
      </c>
      <c r="E834" s="9">
        <f>_xlfn.XLOOKUP(Follow[[#This Row],[Id Pedido]],Controle_Pedidos[Número Pedido Cliente],Controle_Pedidos[Prazo Entrega])</f>
        <v>45708</v>
      </c>
      <c r="F834" s="9" t="s">
        <v>19433</v>
      </c>
      <c r="G834" s="9" t="s">
        <v>37</v>
      </c>
      <c r="H834" s="52" t="s">
        <v>179</v>
      </c>
      <c r="I834" s="52" t="s">
        <v>178</v>
      </c>
      <c r="J834" s="55">
        <v>45695</v>
      </c>
      <c r="K834" s="52" t="s">
        <v>198</v>
      </c>
      <c r="L834" s="8" t="s">
        <v>124</v>
      </c>
      <c r="M834" s="8" t="s">
        <v>37</v>
      </c>
      <c r="N834" s="52" t="str">
        <f>IF(Follow[[#This Row],[DATAATUALIZAÇÃO]]&lt;=Follow[[#This Row],[Prev Entrega]],"Dentro do Prazo","Fora do Prazo")</f>
        <v>Dentro do Prazo</v>
      </c>
      <c r="O8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886 Rastreio Pedido 886, agradecemos a preferência e adoraríamos receber sua avaliação, tendo qualquer dúvida estamos à disposição.
Att
Sec Variedades</v>
      </c>
    </row>
    <row r="835" spans="1:15">
      <c r="A835" s="52" t="str">
        <f>_xlfn.XLOOKUP(Follow[[#This Row],[CODRASTREIO]],Controle_Pedidos[Cód Rastreamento],Controle_Pedidos[Número Pedido Cliente])</f>
        <v>Pedido 887</v>
      </c>
      <c r="B835" s="2" t="s">
        <v>18306</v>
      </c>
      <c r="C835" s="2" t="str">
        <f>Follow[[#This Row],[CODRASTREIO]]&amp;" B"</f>
        <v>CódRastreio864 B</v>
      </c>
      <c r="D835" s="52" t="str">
        <f>_xlfn.XLOOKUP(Follow[[#This Row],[Id Pedido]],Controle_Pedidos[Número Pedido Cliente],Controle_Pedidos[Loja])</f>
        <v>GO</v>
      </c>
      <c r="E835" s="9">
        <f>_xlfn.XLOOKUP(Follow[[#This Row],[Id Pedido]],Controle_Pedidos[Número Pedido Cliente],Controle_Pedidos[Prazo Entrega])</f>
        <v>45702</v>
      </c>
      <c r="F835" s="9" t="s">
        <v>19433</v>
      </c>
      <c r="G835" s="9" t="s">
        <v>37</v>
      </c>
      <c r="H835" s="52" t="s">
        <v>179</v>
      </c>
      <c r="I835" s="52" t="s">
        <v>178</v>
      </c>
      <c r="J835" s="55">
        <v>45695</v>
      </c>
      <c r="K835" s="52" t="s">
        <v>198</v>
      </c>
      <c r="L835" s="8" t="s">
        <v>124</v>
      </c>
      <c r="M835" s="8" t="s">
        <v>37</v>
      </c>
      <c r="N835" s="52" t="str">
        <f>IF(Follow[[#This Row],[DATAATUALIZAÇÃO]]&lt;=Follow[[#This Row],[Prev Entrega]],"Dentro do Prazo","Fora do Prazo")</f>
        <v>Dentro do Prazo</v>
      </c>
      <c r="O8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887 Rastreio Pedido 887, agradecemos a preferência e adoraríamos receber sua avaliação, tendo qualquer dúvida estamos à disposição.
Att
Sec Variedades</v>
      </c>
    </row>
    <row r="836" spans="1:15">
      <c r="A836" s="52" t="str">
        <f>_xlfn.XLOOKUP(Follow[[#This Row],[CODRASTREIO]],Controle_Pedidos[Cód Rastreamento],Controle_Pedidos[Número Pedido Cliente])</f>
        <v>Pedido 888</v>
      </c>
      <c r="B836" s="2" t="s">
        <v>18307</v>
      </c>
      <c r="C836" s="2" t="str">
        <f>Follow[[#This Row],[CODRASTREIO]]&amp;" B"</f>
        <v>CódRastreio865 B</v>
      </c>
      <c r="D836" s="52" t="str">
        <f>_xlfn.XLOOKUP(Follow[[#This Row],[Id Pedido]],Controle_Pedidos[Número Pedido Cliente],Controle_Pedidos[Loja])</f>
        <v>GO</v>
      </c>
      <c r="E836" s="9">
        <f>_xlfn.XLOOKUP(Follow[[#This Row],[Id Pedido]],Controle_Pedidos[Número Pedido Cliente],Controle_Pedidos[Prazo Entrega])</f>
        <v>45702</v>
      </c>
      <c r="F836" s="9" t="s">
        <v>19433</v>
      </c>
      <c r="G836" s="9" t="s">
        <v>37</v>
      </c>
      <c r="H836" s="52" t="s">
        <v>179</v>
      </c>
      <c r="I836" s="52" t="s">
        <v>178</v>
      </c>
      <c r="J836" s="55">
        <v>45692</v>
      </c>
      <c r="K836" s="52" t="s">
        <v>198</v>
      </c>
      <c r="L836" s="8" t="s">
        <v>124</v>
      </c>
      <c r="M836" s="8" t="s">
        <v>37</v>
      </c>
      <c r="N836" s="52" t="str">
        <f>IF(Follow[[#This Row],[DATAATUALIZAÇÃO]]&lt;=Follow[[#This Row],[Prev Entrega]],"Dentro do Prazo","Fora do Prazo")</f>
        <v>Dentro do Prazo</v>
      </c>
      <c r="O83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04/02/2025, referente ao pedido Nº Pedido 888 Rastreio Pedido 888, agradecemos a preferência e adoraríamos receber sua avaliação, tendo qualquer dúvida estamos à disposição.
Att
Sec Variedades</v>
      </c>
    </row>
    <row r="837" spans="1:15">
      <c r="A837" s="52" t="str">
        <f>_xlfn.XLOOKUP(Follow[[#This Row],[CODRASTREIO]],Controle_Pedidos[Cód Rastreamento],Controle_Pedidos[Número Pedido Cliente])</f>
        <v>Pedido 889</v>
      </c>
      <c r="B837" s="2" t="s">
        <v>18308</v>
      </c>
      <c r="C837" s="2" t="str">
        <f>Follow[[#This Row],[CODRASTREIO]]&amp;" B"</f>
        <v>CódRastreio866 B</v>
      </c>
      <c r="D837" s="52" t="str">
        <f>_xlfn.XLOOKUP(Follow[[#This Row],[Id Pedido]],Controle_Pedidos[Número Pedido Cliente],Controle_Pedidos[Loja])</f>
        <v>GO</v>
      </c>
      <c r="E837" s="9">
        <f>_xlfn.XLOOKUP(Follow[[#This Row],[Id Pedido]],Controle_Pedidos[Número Pedido Cliente],Controle_Pedidos[Prazo Entrega])</f>
        <v>45709</v>
      </c>
      <c r="F837" s="9" t="s">
        <v>19433</v>
      </c>
      <c r="G837" s="9" t="s">
        <v>37</v>
      </c>
      <c r="H837" s="52" t="s">
        <v>179</v>
      </c>
      <c r="I837" s="52" t="s">
        <v>178</v>
      </c>
      <c r="J837" s="55">
        <v>45699</v>
      </c>
      <c r="K837" s="52" t="s">
        <v>198</v>
      </c>
      <c r="L837" s="8" t="s">
        <v>124</v>
      </c>
      <c r="M837" s="8" t="s">
        <v>37</v>
      </c>
      <c r="N837" s="52" t="str">
        <f>IF(Follow[[#This Row],[DATAATUALIZAÇÃO]]&lt;=Follow[[#This Row],[Prev Entrega]],"Dentro do Prazo","Fora do Prazo")</f>
        <v>Dentro do Prazo</v>
      </c>
      <c r="O8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11/02/2025, referente ao pedido Nº Pedido 889 Rastreio Pedido 889, agradecemos a preferência e adoraríamos receber sua avaliação, tendo qualquer dúvida estamos à disposição.
Att
Sec Variedades</v>
      </c>
    </row>
    <row r="838" spans="1:15">
      <c r="A838" s="52" t="str">
        <f>_xlfn.XLOOKUP(Follow[[#This Row],[CODRASTREIO]],Controle_Pedidos[Cód Rastreamento],Controle_Pedidos[Número Pedido Cliente])</f>
        <v>Pedido 890</v>
      </c>
      <c r="B838" s="2" t="s">
        <v>18309</v>
      </c>
      <c r="C838" s="2" t="str">
        <f>Follow[[#This Row],[CODRASTREIO]]&amp;" B"</f>
        <v>CódRastreio867 B</v>
      </c>
      <c r="D838" s="52" t="str">
        <f>_xlfn.XLOOKUP(Follow[[#This Row],[Id Pedido]],Controle_Pedidos[Número Pedido Cliente],Controle_Pedidos[Loja])</f>
        <v>GO</v>
      </c>
      <c r="E838" s="9">
        <f>_xlfn.XLOOKUP(Follow[[#This Row],[Id Pedido]],Controle_Pedidos[Número Pedido Cliente],Controle_Pedidos[Prazo Entrega])</f>
        <v>45703</v>
      </c>
      <c r="F838" s="9" t="s">
        <v>19433</v>
      </c>
      <c r="G838" s="9" t="s">
        <v>37</v>
      </c>
      <c r="H838" s="52" t="s">
        <v>179</v>
      </c>
      <c r="I838" s="52" t="s">
        <v>178</v>
      </c>
      <c r="J838" s="55">
        <v>45695</v>
      </c>
      <c r="K838" s="52" t="s">
        <v>198</v>
      </c>
      <c r="L838" s="8" t="s">
        <v>124</v>
      </c>
      <c r="M838" s="8" t="s">
        <v>37</v>
      </c>
      <c r="N838" s="52" t="str">
        <f>IF(Follow[[#This Row],[DATAATUALIZAÇÃO]]&lt;=Follow[[#This Row],[Prev Entrega]],"Dentro do Prazo","Fora do Prazo")</f>
        <v>Dentro do Prazo</v>
      </c>
      <c r="O8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890 Rastreio Pedido 890, agradecemos a preferência e adoraríamos receber sua avaliação, tendo qualquer dúvida estamos à disposição.
Att
Sec Variedades</v>
      </c>
    </row>
    <row r="839" spans="1:15">
      <c r="A839" s="52" t="str">
        <f>_xlfn.XLOOKUP(Follow[[#This Row],[CODRASTREIO]],Controle_Pedidos[Cód Rastreamento],Controle_Pedidos[Número Pedido Cliente])</f>
        <v>Pedido 838</v>
      </c>
      <c r="B839" s="2" t="s">
        <v>18257</v>
      </c>
      <c r="C839" s="2" t="str">
        <f>Follow[[#This Row],[CODRASTREIO]]&amp;" B"</f>
        <v>CódRastreio815 B</v>
      </c>
      <c r="D839" s="52" t="str">
        <f>_xlfn.XLOOKUP(Follow[[#This Row],[Id Pedido]],Controle_Pedidos[Número Pedido Cliente],Controle_Pedidos[Loja])</f>
        <v>BV</v>
      </c>
      <c r="E839" s="9">
        <f>_xlfn.XLOOKUP(Follow[[#This Row],[Id Pedido]],Controle_Pedidos[Número Pedido Cliente],Controle_Pedidos[Prazo Entrega])</f>
        <v>45716</v>
      </c>
      <c r="F839" s="9" t="s">
        <v>19433</v>
      </c>
      <c r="G839" s="9" t="s">
        <v>37</v>
      </c>
      <c r="H839" s="52" t="s">
        <v>179</v>
      </c>
      <c r="I839" s="52" t="s">
        <v>178</v>
      </c>
      <c r="J839" s="55">
        <v>45709</v>
      </c>
      <c r="K839" s="52" t="s">
        <v>198</v>
      </c>
      <c r="L839" s="8" t="s">
        <v>124</v>
      </c>
      <c r="M839" s="8" t="s">
        <v>37</v>
      </c>
      <c r="N839" s="52" t="str">
        <f>IF(Follow[[#This Row],[DATAATUALIZAÇÃO]]&lt;=Follow[[#This Row],[Prev Entrega]],"Dentro do Prazo","Fora do Prazo")</f>
        <v>Dentro do Prazo</v>
      </c>
      <c r="O8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21/02/2025, referente ao pedido Nº Pedido 838 Rastreio Pedido 838, agradecemos a preferência e adoraríamos receber sua avaliação, tendo qualquer dúvida estamos à disposição.
Att
Tem tudo Shop</v>
      </c>
    </row>
    <row r="840" spans="1:15">
      <c r="A840" s="52" t="str">
        <f>_xlfn.XLOOKUP(Follow[[#This Row],[CODRASTREIO]],Controle_Pedidos[Cód Rastreamento],Controle_Pedidos[Número Pedido Cliente])</f>
        <v>Pedido 891</v>
      </c>
      <c r="B840" s="2" t="s">
        <v>18310</v>
      </c>
      <c r="C840" s="2" t="str">
        <f>Follow[[#This Row],[CODRASTREIO]]&amp;" B"</f>
        <v>CódRastreio868 B</v>
      </c>
      <c r="D840" s="52" t="str">
        <f>_xlfn.XLOOKUP(Follow[[#This Row],[Id Pedido]],Controle_Pedidos[Número Pedido Cliente],Controle_Pedidos[Loja])</f>
        <v>GO</v>
      </c>
      <c r="E840" s="9">
        <f>_xlfn.XLOOKUP(Follow[[#This Row],[Id Pedido]],Controle_Pedidos[Número Pedido Cliente],Controle_Pedidos[Prazo Entrega])</f>
        <v>45706</v>
      </c>
      <c r="F840" s="9" t="s">
        <v>19433</v>
      </c>
      <c r="G840" s="9" t="s">
        <v>37</v>
      </c>
      <c r="H840" s="52" t="s">
        <v>179</v>
      </c>
      <c r="I840" s="52" t="s">
        <v>178</v>
      </c>
      <c r="J840" s="55">
        <v>45695</v>
      </c>
      <c r="K840" s="52" t="s">
        <v>198</v>
      </c>
      <c r="L840" s="8" t="s">
        <v>124</v>
      </c>
      <c r="M840" s="8" t="s">
        <v>37</v>
      </c>
      <c r="N840" s="52" t="str">
        <f>IF(Follow[[#This Row],[DATAATUALIZAÇÃO]]&lt;=Follow[[#This Row],[Prev Entrega]],"Dentro do Prazo","Fora do Prazo")</f>
        <v>Dentro do Prazo</v>
      </c>
      <c r="O8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07/02/2025, referente ao pedido Nº Pedido 891 Rastreio Pedido 891, agradecemos a preferência e adoraríamos receber sua avaliação, tendo qualquer dúvida estamos à disposição.
Att
Sec Variedades</v>
      </c>
    </row>
    <row r="841" spans="1:15">
      <c r="A841" s="52" t="str">
        <f>_xlfn.XLOOKUP(Follow[[#This Row],[CODRASTREIO]],Controle_Pedidos[Cód Rastreamento],Controle_Pedidos[Número Pedido Cliente])</f>
        <v>Pedido 892</v>
      </c>
      <c r="B841" s="2" t="s">
        <v>18311</v>
      </c>
      <c r="C841" s="2" t="str">
        <f>Follow[[#This Row],[CODRASTREIO]]&amp;" B"</f>
        <v>CódRastreio869 B</v>
      </c>
      <c r="D841" s="52" t="str">
        <f>_xlfn.XLOOKUP(Follow[[#This Row],[Id Pedido]],Controle_Pedidos[Número Pedido Cliente],Controle_Pedidos[Loja])</f>
        <v>GO</v>
      </c>
      <c r="E841" s="9">
        <f>_xlfn.XLOOKUP(Follow[[#This Row],[Id Pedido]],Controle_Pedidos[Número Pedido Cliente],Controle_Pedidos[Prazo Entrega])</f>
        <v>45710</v>
      </c>
      <c r="F841" s="9" t="s">
        <v>19433</v>
      </c>
      <c r="G841" s="122" t="s">
        <v>206</v>
      </c>
      <c r="H841" s="9" t="s">
        <v>179</v>
      </c>
      <c r="I841" s="9" t="s">
        <v>178</v>
      </c>
      <c r="J841" s="9">
        <v>45693</v>
      </c>
      <c r="K841" s="8" t="s">
        <v>198</v>
      </c>
      <c r="L841" s="8" t="s">
        <v>124</v>
      </c>
      <c r="M841" s="8" t="s">
        <v>37</v>
      </c>
      <c r="N841" s="52" t="str">
        <f>IF(Follow[[#This Row],[DATAATUALIZAÇÃO]]&lt;=Follow[[#This Row],[Prev Entrega]],"Dentro do Prazo","Fora do Prazo")</f>
        <v>Dentro do Prazo</v>
      </c>
      <c r="O841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05/02/2025, referente ao pedido Nº Pedido 892 Rastreio CNBR00044743479, agradecemos a preferência e adoraríamos receber sua avaliação, tendo qualquer dúvida estamos à disposição.
Att
Sec Variedades</v>
      </c>
    </row>
    <row r="842" spans="1:15">
      <c r="A842" s="52" t="str">
        <f>_xlfn.XLOOKUP(Follow[[#This Row],[CODRASTREIO]],Controle_Pedidos[Cód Rastreamento],Controle_Pedidos[Número Pedido Cliente])</f>
        <v>Pedido 893</v>
      </c>
      <c r="B842" s="2" t="s">
        <v>18312</v>
      </c>
      <c r="C842" s="2" t="str">
        <f>Follow[[#This Row],[CODRASTREIO]]&amp;" B"</f>
        <v>CódRastreio870 B</v>
      </c>
      <c r="D842" s="52" t="str">
        <f>_xlfn.XLOOKUP(Follow[[#This Row],[Id Pedido]],Controle_Pedidos[Número Pedido Cliente],Controle_Pedidos[Loja])</f>
        <v>GO</v>
      </c>
      <c r="E842" s="9">
        <f>_xlfn.XLOOKUP(Follow[[#This Row],[Id Pedido]],Controle_Pedidos[Número Pedido Cliente],Controle_Pedidos[Prazo Entrega])</f>
        <v>45706</v>
      </c>
      <c r="F842" s="9" t="s">
        <v>19433</v>
      </c>
      <c r="G842" s="9" t="s">
        <v>37</v>
      </c>
      <c r="H842" s="52" t="s">
        <v>179</v>
      </c>
      <c r="I842" s="52" t="s">
        <v>178</v>
      </c>
      <c r="J842" s="55">
        <v>45698</v>
      </c>
      <c r="K842" s="52" t="s">
        <v>198</v>
      </c>
      <c r="L842" s="8" t="s">
        <v>124</v>
      </c>
      <c r="M842" s="8" t="s">
        <v>37</v>
      </c>
      <c r="N842" s="52" t="str">
        <f>IF(Follow[[#This Row],[DATAATUALIZAÇÃO]]&lt;=Follow[[#This Row],[Prev Entrega]],"Dentro do Prazo","Fora do Prazo")</f>
        <v>Dentro do Prazo</v>
      </c>
      <c r="O8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10/02/2025, referente ao pedido Nº Pedido 893 Rastreio Pedido 893, agradecemos a preferência e adoraríamos receber sua avaliação, tendo qualquer dúvida estamos à disposição.
Att
Sec Variedades</v>
      </c>
    </row>
    <row r="843" spans="1:15">
      <c r="A843" s="52" t="str">
        <f>_xlfn.XLOOKUP(Follow[[#This Row],[CODRASTREIO]],Controle_Pedidos[Cód Rastreamento],Controle_Pedidos[Número Pedido Cliente])</f>
        <v>Pedido 839</v>
      </c>
      <c r="B843" s="2" t="s">
        <v>18258</v>
      </c>
      <c r="C843" s="2" t="str">
        <f>Follow[[#This Row],[CODRASTREIO]]&amp;" B"</f>
        <v>CódRastreio816 B</v>
      </c>
      <c r="D843" s="52" t="str">
        <f>_xlfn.XLOOKUP(Follow[[#This Row],[Id Pedido]],Controle_Pedidos[Número Pedido Cliente],Controle_Pedidos[Loja])</f>
        <v>BV</v>
      </c>
      <c r="E843" s="9">
        <f>_xlfn.XLOOKUP(Follow[[#This Row],[Id Pedido]],Controle_Pedidos[Número Pedido Cliente],Controle_Pedidos[Prazo Entrega])</f>
        <v>45713</v>
      </c>
      <c r="F843" s="9" t="s">
        <v>19433</v>
      </c>
      <c r="G843" s="9" t="s">
        <v>37</v>
      </c>
      <c r="H843" s="52" t="s">
        <v>179</v>
      </c>
      <c r="I843" s="52" t="s">
        <v>178</v>
      </c>
      <c r="J843" s="55">
        <v>45701</v>
      </c>
      <c r="K843" s="52" t="s">
        <v>198</v>
      </c>
      <c r="L843" s="8" t="s">
        <v>124</v>
      </c>
      <c r="M843" s="8" t="s">
        <v>37</v>
      </c>
      <c r="N843" s="52" t="str">
        <f>IF(Follow[[#This Row],[DATAATUALIZAÇÃO]]&lt;=Follow[[#This Row],[Prev Entrega]],"Dentro do Prazo","Fora do Prazo")</f>
        <v>Dentro do Prazo</v>
      </c>
      <c r="O8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13/02/2025, referente ao pedido Nº Pedido 839 Rastreio Pedido 839, agradecemos a preferência e adoraríamos receber sua avaliação, tendo qualquer dúvida estamos à disposição.
Att
Tem tudo Shop</v>
      </c>
    </row>
    <row r="844" spans="1:15">
      <c r="A844" s="52" t="str">
        <f>_xlfn.XLOOKUP(Follow[[#This Row],[CODRASTREIO]],Controle_Pedidos[Cód Rastreamento],Controle_Pedidos[Número Pedido Cliente])</f>
        <v>Pedido 840</v>
      </c>
      <c r="B844" s="2" t="s">
        <v>18259</v>
      </c>
      <c r="C844" s="2" t="str">
        <f>Follow[[#This Row],[CODRASTREIO]]&amp;" B"</f>
        <v>CódRastreio817 B</v>
      </c>
      <c r="D844" s="52" t="str">
        <f>_xlfn.XLOOKUP(Follow[[#This Row],[Id Pedido]],Controle_Pedidos[Número Pedido Cliente],Controle_Pedidos[Loja])</f>
        <v>BV</v>
      </c>
      <c r="E844" s="9">
        <f>_xlfn.XLOOKUP(Follow[[#This Row],[Id Pedido]],Controle_Pedidos[Número Pedido Cliente],Controle_Pedidos[Prazo Entrega])</f>
        <v>45707</v>
      </c>
      <c r="F844" s="9" t="s">
        <v>19433</v>
      </c>
      <c r="G844" s="9" t="s">
        <v>37</v>
      </c>
      <c r="H844" s="52" t="s">
        <v>179</v>
      </c>
      <c r="I844" s="52" t="s">
        <v>178</v>
      </c>
      <c r="J844" s="55">
        <v>45696</v>
      </c>
      <c r="K844" s="52" t="s">
        <v>198</v>
      </c>
      <c r="L844" s="8" t="s">
        <v>124</v>
      </c>
      <c r="M844" s="8" t="s">
        <v>37</v>
      </c>
      <c r="N844" s="52" t="str">
        <f>IF(Follow[[#This Row],[DATAATUALIZAÇÃO]]&lt;=Follow[[#This Row],[Prev Entrega]],"Dentro do Prazo","Fora do Prazo")</f>
        <v>Dentro do Prazo</v>
      </c>
      <c r="O8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08/02/2025, referente ao pedido Nº Pedido 840 Rastreio Pedido 840, agradecemos a preferência e adoraríamos receber sua avaliação, tendo qualquer dúvida estamos à disposição.
Att
Tem tudo Shop</v>
      </c>
    </row>
    <row r="845" spans="1:15">
      <c r="A845" s="52" t="str">
        <f>_xlfn.XLOOKUP(Follow[[#This Row],[CODRASTREIO]],Controle_Pedidos[Cód Rastreamento],Controle_Pedidos[Número Pedido Cliente])</f>
        <v>Pedido 894</v>
      </c>
      <c r="B845" s="2" t="s">
        <v>18313</v>
      </c>
      <c r="C845" s="2" t="str">
        <f>Follow[[#This Row],[CODRASTREIO]]&amp;" B"</f>
        <v>CódRastreio871 B</v>
      </c>
      <c r="D845" s="52" t="str">
        <f>_xlfn.XLOOKUP(Follow[[#This Row],[Id Pedido]],Controle_Pedidos[Número Pedido Cliente],Controle_Pedidos[Loja])</f>
        <v>GO</v>
      </c>
      <c r="E845" s="9">
        <f>_xlfn.XLOOKUP(Follow[[#This Row],[Id Pedido]],Controle_Pedidos[Número Pedido Cliente],Controle_Pedidos[Prazo Entrega])</f>
        <v>45707</v>
      </c>
      <c r="F845" s="9" t="s">
        <v>19433</v>
      </c>
      <c r="G845" s="9" t="s">
        <v>37</v>
      </c>
      <c r="H845" s="52" t="s">
        <v>179</v>
      </c>
      <c r="I845" s="52" t="s">
        <v>178</v>
      </c>
      <c r="J845" s="55">
        <v>45698</v>
      </c>
      <c r="K845" s="52" t="s">
        <v>198</v>
      </c>
      <c r="L845" s="8" t="s">
        <v>124</v>
      </c>
      <c r="M845" s="8" t="s">
        <v>37</v>
      </c>
      <c r="N845" s="52" t="str">
        <f>IF(Follow[[#This Row],[DATAATUALIZAÇÃO]]&lt;=Follow[[#This Row],[Prev Entrega]],"Dentro do Prazo","Fora do Prazo")</f>
        <v>Dentro do Prazo</v>
      </c>
      <c r="O8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10/02/2025, referente ao pedido Nº Pedido 894 Rastreio Pedido 894, agradecemos a preferência e adoraríamos receber sua avaliação, tendo qualquer dúvida estamos à disposição.
Att
Sec Variedades</v>
      </c>
    </row>
    <row r="846" spans="1:15">
      <c r="A846" s="52" t="str">
        <f>_xlfn.XLOOKUP(Follow[[#This Row],[CODRASTREIO]],Controle_Pedidos[Cód Rastreamento],Controle_Pedidos[Número Pedido Cliente])</f>
        <v>Pedido 895</v>
      </c>
      <c r="B846" s="2" t="s">
        <v>18314</v>
      </c>
      <c r="C846" s="2" t="str">
        <f>Follow[[#This Row],[CODRASTREIO]]&amp;" B"</f>
        <v>CódRastreio872 B</v>
      </c>
      <c r="D846" s="52" t="str">
        <f>_xlfn.XLOOKUP(Follow[[#This Row],[Id Pedido]],Controle_Pedidos[Número Pedido Cliente],Controle_Pedidos[Loja])</f>
        <v>GO</v>
      </c>
      <c r="E846" s="9">
        <f>_xlfn.XLOOKUP(Follow[[#This Row],[Id Pedido]],Controle_Pedidos[Número Pedido Cliente],Controle_Pedidos[Prazo Entrega])</f>
        <v>45708</v>
      </c>
      <c r="F846" s="9" t="s">
        <v>19433</v>
      </c>
      <c r="G846" s="9" t="s">
        <v>37</v>
      </c>
      <c r="H846" s="52" t="s">
        <v>179</v>
      </c>
      <c r="I846" s="52" t="s">
        <v>178</v>
      </c>
      <c r="J846" s="55">
        <v>45700</v>
      </c>
      <c r="K846" s="52" t="s">
        <v>198</v>
      </c>
      <c r="L846" s="8" t="s">
        <v>124</v>
      </c>
      <c r="M846" s="8" t="s">
        <v>37</v>
      </c>
      <c r="N846" s="52" t="str">
        <f>IF(Follow[[#This Row],[DATAATUALIZAÇÃO]]&lt;=Follow[[#This Row],[Prev Entrega]],"Dentro do Prazo","Fora do Prazo")</f>
        <v>Dentro do Prazo</v>
      </c>
      <c r="O8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12/02/2025, referente ao pedido Nº Pedido 895 Rastreio Pedido 895, agradecemos a preferência e adoraríamos receber sua avaliação, tendo qualquer dúvida estamos à disposição.
Att
Sec Variedades</v>
      </c>
    </row>
    <row r="847" spans="1:15">
      <c r="A847" s="52" t="str">
        <f>_xlfn.XLOOKUP(Follow[[#This Row],[CODRASTREIO]],Controle_Pedidos[Cód Rastreamento],Controle_Pedidos[Número Pedido Cliente])</f>
        <v>Pedido 896</v>
      </c>
      <c r="B847" s="2" t="s">
        <v>18315</v>
      </c>
      <c r="C847" s="2" t="str">
        <f>Follow[[#This Row],[CODRASTREIO]]&amp;" B"</f>
        <v>CódRastreio873 B</v>
      </c>
      <c r="D847" s="52" t="str">
        <f>_xlfn.XLOOKUP(Follow[[#This Row],[Id Pedido]],Controle_Pedidos[Número Pedido Cliente],Controle_Pedidos[Loja])</f>
        <v>GO</v>
      </c>
      <c r="E847" s="9">
        <f>_xlfn.XLOOKUP(Follow[[#This Row],[Id Pedido]],Controle_Pedidos[Número Pedido Cliente],Controle_Pedidos[Prazo Entrega])</f>
        <v>45709</v>
      </c>
      <c r="F847" s="9" t="s">
        <v>19433</v>
      </c>
      <c r="G847" s="9" t="s">
        <v>37</v>
      </c>
      <c r="H847" s="52" t="s">
        <v>179</v>
      </c>
      <c r="I847" s="52" t="s">
        <v>178</v>
      </c>
      <c r="J847" s="55">
        <v>45706</v>
      </c>
      <c r="K847" s="52" t="s">
        <v>198</v>
      </c>
      <c r="L847" s="8" t="s">
        <v>124</v>
      </c>
      <c r="M847" s="8" t="s">
        <v>37</v>
      </c>
      <c r="N847" s="52" t="str">
        <f>IF(Follow[[#This Row],[DATAATUALIZAÇÃO]]&lt;=Follow[[#This Row],[Prev Entrega]],"Dentro do Prazo","Fora do Prazo")</f>
        <v>Dentro do Prazo</v>
      </c>
      <c r="O8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18/02/2025, referente ao pedido Nº Pedido 896 Rastreio Pedido 896, agradecemos a preferência e adoraríamos receber sua avaliação, tendo qualquer dúvida estamos à disposição.
Att
Sec Variedades</v>
      </c>
    </row>
    <row r="848" spans="1:15">
      <c r="A848" s="52" t="str">
        <f>_xlfn.XLOOKUP(Follow[[#This Row],[CODRASTREIO]],Controle_Pedidos[Cód Rastreamento],Controle_Pedidos[Número Pedido Cliente])</f>
        <v>Pedido 841</v>
      </c>
      <c r="B848" s="2" t="s">
        <v>18260</v>
      </c>
      <c r="C848" s="2" t="str">
        <f>Follow[[#This Row],[CODRASTREIO]]&amp;" B"</f>
        <v>CódRastreio818 B</v>
      </c>
      <c r="D848" s="52" t="str">
        <f>_xlfn.XLOOKUP(Follow[[#This Row],[Id Pedido]],Controle_Pedidos[Número Pedido Cliente],Controle_Pedidos[Loja])</f>
        <v>BV</v>
      </c>
      <c r="E848" s="9">
        <f>_xlfn.XLOOKUP(Follow[[#This Row],[Id Pedido]],Controle_Pedidos[Número Pedido Cliente],Controle_Pedidos[Prazo Entrega])</f>
        <v>45708</v>
      </c>
      <c r="F848" s="9" t="s">
        <v>19433</v>
      </c>
      <c r="G848" s="9" t="s">
        <v>37</v>
      </c>
      <c r="H848" s="52" t="s">
        <v>179</v>
      </c>
      <c r="I848" s="52" t="s">
        <v>178</v>
      </c>
      <c r="J848" s="55">
        <v>45699</v>
      </c>
      <c r="K848" s="52" t="s">
        <v>198</v>
      </c>
      <c r="L848" s="8" t="s">
        <v>124</v>
      </c>
      <c r="M848" s="8" t="s">
        <v>37</v>
      </c>
      <c r="N848" s="52" t="str">
        <f>IF(Follow[[#This Row],[DATAATUALIZAÇÃO]]&lt;=Follow[[#This Row],[Prev Entrega]],"Dentro do Prazo","Fora do Prazo")</f>
        <v>Dentro do Prazo</v>
      </c>
      <c r="O8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11/02/2025, referente ao pedido Nº Pedido 841 Rastreio Pedido 841, agradecemos a preferência e adoraríamos receber sua avaliação, tendo qualquer dúvida estamos à disposição.
Att
Tem tudo Shop</v>
      </c>
    </row>
    <row r="849" spans="1:15">
      <c r="A849" s="52" t="str">
        <f>_xlfn.XLOOKUP(Follow[[#This Row],[CODRASTREIO]],Controle_Pedidos[Cód Rastreamento],Controle_Pedidos[Número Pedido Cliente])</f>
        <v>Pedido 897</v>
      </c>
      <c r="B849" s="2" t="s">
        <v>18316</v>
      </c>
      <c r="C849" s="2" t="str">
        <f>Follow[[#This Row],[CODRASTREIO]]&amp;" B"</f>
        <v>CódRastreio874 B</v>
      </c>
      <c r="D849" s="52" t="str">
        <f>_xlfn.XLOOKUP(Follow[[#This Row],[Id Pedido]],Controle_Pedidos[Número Pedido Cliente],Controle_Pedidos[Loja])</f>
        <v>GO</v>
      </c>
      <c r="E849" s="9">
        <f>_xlfn.XLOOKUP(Follow[[#This Row],[Id Pedido]],Controle_Pedidos[Número Pedido Cliente],Controle_Pedidos[Prazo Entrega])</f>
        <v>45709</v>
      </c>
      <c r="F849" s="9" t="s">
        <v>19433</v>
      </c>
      <c r="G849" s="9" t="s">
        <v>37</v>
      </c>
      <c r="H849" s="52" t="s">
        <v>179</v>
      </c>
      <c r="I849" s="52" t="s">
        <v>178</v>
      </c>
      <c r="J849" s="55">
        <v>45698</v>
      </c>
      <c r="K849" s="52" t="s">
        <v>198</v>
      </c>
      <c r="L849" s="8" t="s">
        <v>124</v>
      </c>
      <c r="M849" s="8" t="s">
        <v>37</v>
      </c>
      <c r="N849" s="52" t="str">
        <f>IF(Follow[[#This Row],[DATAATUALIZAÇÃO]]&lt;=Follow[[#This Row],[Prev Entrega]],"Dentro do Prazo","Fora do Prazo")</f>
        <v>Dentro do Prazo</v>
      </c>
      <c r="O8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10/02/2025, referente ao pedido Nº Pedido 897 Rastreio Pedido 897, agradecemos a preferência e adoraríamos receber sua avaliação, tendo qualquer dúvida estamos à disposição.
Att
Sec Variedades</v>
      </c>
    </row>
    <row r="850" spans="1:15">
      <c r="A850" s="52" t="str">
        <f>_xlfn.XLOOKUP(Follow[[#This Row],[CODRASTREIO]],Controle_Pedidos[Cód Rastreamento],Controle_Pedidos[Número Pedido Cliente])</f>
        <v>Pedido 898</v>
      </c>
      <c r="B850" s="2" t="s">
        <v>18317</v>
      </c>
      <c r="C850" s="2" t="str">
        <f>Follow[[#This Row],[CODRASTREIO]]&amp;" B"</f>
        <v>CódRastreio875 B</v>
      </c>
      <c r="D850" s="52" t="str">
        <f>_xlfn.XLOOKUP(Follow[[#This Row],[Id Pedido]],Controle_Pedidos[Número Pedido Cliente],Controle_Pedidos[Loja])</f>
        <v>GO</v>
      </c>
      <c r="E850" s="9">
        <f>_xlfn.XLOOKUP(Follow[[#This Row],[Id Pedido]],Controle_Pedidos[Número Pedido Cliente],Controle_Pedidos[Prazo Entrega])</f>
        <v>45709</v>
      </c>
      <c r="F850" s="9" t="s">
        <v>19433</v>
      </c>
      <c r="G850" s="9" t="s">
        <v>37</v>
      </c>
      <c r="H850" s="52" t="s">
        <v>179</v>
      </c>
      <c r="I850" s="52" t="s">
        <v>178</v>
      </c>
      <c r="J850" s="55">
        <v>45700</v>
      </c>
      <c r="K850" s="52" t="s">
        <v>198</v>
      </c>
      <c r="L850" s="8" t="s">
        <v>124</v>
      </c>
      <c r="M850" s="8" t="s">
        <v>37</v>
      </c>
      <c r="N850" s="52" t="str">
        <f>IF(Follow[[#This Row],[DATAATUALIZAÇÃO]]&lt;=Follow[[#This Row],[Prev Entrega]],"Dentro do Prazo","Fora do Prazo")</f>
        <v>Dentro do Prazo</v>
      </c>
      <c r="O8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12/02/2025, referente ao pedido Nº Pedido 898 Rastreio Pedido 898, agradecemos a preferência e adoraríamos receber sua avaliação, tendo qualquer dúvida estamos à disposição.
Att
Sec Variedades</v>
      </c>
    </row>
    <row r="851" spans="1:15">
      <c r="A851" s="52" t="str">
        <f>_xlfn.XLOOKUP(Follow[[#This Row],[CODRASTREIO]],Controle_Pedidos[Cód Rastreamento],Controle_Pedidos[Número Pedido Cliente])</f>
        <v>Pedido 899</v>
      </c>
      <c r="B851" s="2" t="s">
        <v>18318</v>
      </c>
      <c r="C851" s="2" t="str">
        <f>Follow[[#This Row],[CODRASTREIO]]&amp;" B"</f>
        <v>CódRastreio876 B</v>
      </c>
      <c r="D851" s="52" t="str">
        <f>_xlfn.XLOOKUP(Follow[[#This Row],[Id Pedido]],Controle_Pedidos[Número Pedido Cliente],Controle_Pedidos[Loja])</f>
        <v>GO</v>
      </c>
      <c r="E851" s="9">
        <f>_xlfn.XLOOKUP(Follow[[#This Row],[Id Pedido]],Controle_Pedidos[Número Pedido Cliente],Controle_Pedidos[Prazo Entrega])</f>
        <v>45709</v>
      </c>
      <c r="F851" s="9" t="s">
        <v>19433</v>
      </c>
      <c r="G851" s="9" t="s">
        <v>37</v>
      </c>
      <c r="H851" s="52" t="s">
        <v>179</v>
      </c>
      <c r="I851" s="52" t="s">
        <v>178</v>
      </c>
      <c r="J851" s="55">
        <v>45698</v>
      </c>
      <c r="K851" s="52" t="s">
        <v>198</v>
      </c>
      <c r="L851" s="8" t="s">
        <v>124</v>
      </c>
      <c r="M851" s="8" t="s">
        <v>37</v>
      </c>
      <c r="N851" s="52" t="str">
        <f>IF(Follow[[#This Row],[DATAATUALIZAÇÃO]]&lt;=Follow[[#This Row],[Prev Entrega]],"Dentro do Prazo","Fora do Prazo")</f>
        <v>Dentro do Prazo</v>
      </c>
      <c r="O8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10/02/2025, referente ao pedido Nº Pedido 899 Rastreio Pedido 899, agradecemos a preferência e adoraríamos receber sua avaliação, tendo qualquer dúvida estamos à disposição.
Att
Sec Variedades</v>
      </c>
    </row>
    <row r="852" spans="1:15">
      <c r="A852" s="52" t="str">
        <f>_xlfn.XLOOKUP(Follow[[#This Row],[CODRASTREIO]],Controle_Pedidos[Cód Rastreamento],Controle_Pedidos[Número Pedido Cliente])</f>
        <v>Pedido 842</v>
      </c>
      <c r="B852" s="2" t="s">
        <v>18261</v>
      </c>
      <c r="C852" s="2" t="str">
        <f>Follow[[#This Row],[CODRASTREIO]]&amp;" B"</f>
        <v>CódRastreio819 B</v>
      </c>
      <c r="D852" s="52" t="str">
        <f>_xlfn.XLOOKUP(Follow[[#This Row],[Id Pedido]],Controle_Pedidos[Número Pedido Cliente],Controle_Pedidos[Loja])</f>
        <v>BV</v>
      </c>
      <c r="E852" s="9">
        <f>_xlfn.XLOOKUP(Follow[[#This Row],[Id Pedido]],Controle_Pedidos[Número Pedido Cliente],Controle_Pedidos[Prazo Entrega])</f>
        <v>45706</v>
      </c>
      <c r="F852" s="9" t="s">
        <v>19433</v>
      </c>
      <c r="G852" s="9" t="s">
        <v>37</v>
      </c>
      <c r="H852" s="52" t="s">
        <v>178</v>
      </c>
      <c r="I852" s="52" t="s">
        <v>178</v>
      </c>
      <c r="J852" s="55">
        <v>45694</v>
      </c>
      <c r="K852" s="52" t="s">
        <v>198</v>
      </c>
      <c r="L852" s="8" t="s">
        <v>124</v>
      </c>
      <c r="M852" s="8" t="s">
        <v>37</v>
      </c>
      <c r="N852" s="52" t="str">
        <f>IF(Follow[[#This Row],[DATAATUALIZAÇÃO]]&lt;=Follow[[#This Row],[Prev Entrega]],"Dentro do Prazo","Fora do Prazo")</f>
        <v>Dentro do Prazo</v>
      </c>
      <c r="O8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06/02/2025, referente ao pedido Nº Pedido 842 Rastreio Pedido 842, agradecemos a preferência e adoraríamos receber sua avaliação, tendo qualquer dúvida estamos à disposição.
Att
Tem tudo Shop</v>
      </c>
    </row>
    <row r="853" spans="1:15">
      <c r="A853" s="52" t="str">
        <f>_xlfn.XLOOKUP(Follow[[#This Row],[CODRASTREIO]],Controle_Pedidos[Cód Rastreamento],Controle_Pedidos[Número Pedido Cliente])</f>
        <v>Pedido 843</v>
      </c>
      <c r="B853" s="2" t="s">
        <v>18262</v>
      </c>
      <c r="C853" s="2" t="str">
        <f>Follow[[#This Row],[CODRASTREIO]]&amp;" B"</f>
        <v>CódRastreio820 B</v>
      </c>
      <c r="D853" s="52" t="str">
        <f>_xlfn.XLOOKUP(Follow[[#This Row],[Id Pedido]],Controle_Pedidos[Número Pedido Cliente],Controle_Pedidos[Loja])</f>
        <v>BV</v>
      </c>
      <c r="E853" s="9">
        <f>_xlfn.XLOOKUP(Follow[[#This Row],[Id Pedido]],Controle_Pedidos[Número Pedido Cliente],Controle_Pedidos[Prazo Entrega])</f>
        <v>45703</v>
      </c>
      <c r="F853" s="9" t="s">
        <v>19433</v>
      </c>
      <c r="G853" s="9" t="s">
        <v>37</v>
      </c>
      <c r="H853" s="52" t="s">
        <v>178</v>
      </c>
      <c r="I853" s="52" t="s">
        <v>178</v>
      </c>
      <c r="J853" s="55">
        <v>45693</v>
      </c>
      <c r="K853" s="52" t="s">
        <v>198</v>
      </c>
      <c r="L853" s="8" t="s">
        <v>124</v>
      </c>
      <c r="M853" s="8" t="s">
        <v>37</v>
      </c>
      <c r="N853" s="52" t="str">
        <f>IF(Follow[[#This Row],[DATAATUALIZAÇÃO]]&lt;=Follow[[#This Row],[Prev Entrega]],"Dentro do Prazo","Fora do Prazo")</f>
        <v>Dentro do Prazo</v>
      </c>
      <c r="O8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05/02/2025, referente ao pedido Nº Pedido 843 Rastreio Pedido 843, agradecemos a preferência e adoraríamos receber sua avaliação, tendo qualquer dúvida estamos à disposição.
Att
Tem tudo Shop</v>
      </c>
    </row>
    <row r="854" spans="1:15">
      <c r="A854" s="52" t="str">
        <f>_xlfn.XLOOKUP(Follow[[#This Row],[CODRASTREIO]],Controle_Pedidos[Cód Rastreamento],Controle_Pedidos[Número Pedido Cliente])</f>
        <v>Pedido 844</v>
      </c>
      <c r="B854" s="2" t="s">
        <v>18263</v>
      </c>
      <c r="C854" s="2" t="str">
        <f>Follow[[#This Row],[CODRASTREIO]]&amp;" B"</f>
        <v>CódRastreio821 B</v>
      </c>
      <c r="D854" s="52" t="str">
        <f>_xlfn.XLOOKUP(Follow[[#This Row],[Id Pedido]],Controle_Pedidos[Número Pedido Cliente],Controle_Pedidos[Loja])</f>
        <v>BV</v>
      </c>
      <c r="E854" s="9">
        <f>_xlfn.XLOOKUP(Follow[[#This Row],[Id Pedido]],Controle_Pedidos[Número Pedido Cliente],Controle_Pedidos[Prazo Entrega])</f>
        <v>45709</v>
      </c>
      <c r="F854" s="9" t="s">
        <v>19433</v>
      </c>
      <c r="G854" s="9" t="s">
        <v>37</v>
      </c>
      <c r="H854" s="52" t="s">
        <v>178</v>
      </c>
      <c r="I854" s="52" t="s">
        <v>178</v>
      </c>
      <c r="J854" s="55">
        <v>45694</v>
      </c>
      <c r="K854" s="52" t="s">
        <v>198</v>
      </c>
      <c r="L854" s="8" t="s">
        <v>124</v>
      </c>
      <c r="M854" s="8" t="s">
        <v>37</v>
      </c>
      <c r="N854" s="52" t="str">
        <f>IF(Follow[[#This Row],[DATAATUALIZAÇÃO]]&lt;=Follow[[#This Row],[Prev Entrega]],"Dentro do Prazo","Fora do Prazo")</f>
        <v>Dentro do Prazo</v>
      </c>
      <c r="O8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06/02/2025, referente ao pedido Nº Pedido 844 Rastreio Pedido 844, agradecemos a preferência e adoraríamos receber sua avaliação, tendo qualquer dúvida estamos à disposição.
Att
Tem tudo Shop</v>
      </c>
    </row>
    <row r="855" spans="1:15">
      <c r="A855" s="52" t="str">
        <f>_xlfn.XLOOKUP(Follow[[#This Row],[CODRASTREIO]],Controle_Pedidos[Cód Rastreamento],Controle_Pedidos[Número Pedido Cliente])</f>
        <v>Pedido 845</v>
      </c>
      <c r="B855" s="2" t="s">
        <v>18264</v>
      </c>
      <c r="C855" s="2" t="str">
        <f>Follow[[#This Row],[CODRASTREIO]]&amp;" B"</f>
        <v>CódRastreio822 B</v>
      </c>
      <c r="D855" s="52" t="str">
        <f>_xlfn.XLOOKUP(Follow[[#This Row],[Id Pedido]],Controle_Pedidos[Número Pedido Cliente],Controle_Pedidos[Loja])</f>
        <v>BV</v>
      </c>
      <c r="E855" s="9">
        <f>_xlfn.XLOOKUP(Follow[[#This Row],[Id Pedido]],Controle_Pedidos[Número Pedido Cliente],Controle_Pedidos[Prazo Entrega])</f>
        <v>45709</v>
      </c>
      <c r="F855" s="9" t="s">
        <v>19433</v>
      </c>
      <c r="G855" s="9" t="s">
        <v>37</v>
      </c>
      <c r="H855" s="52" t="s">
        <v>178</v>
      </c>
      <c r="I855" s="52" t="s">
        <v>178</v>
      </c>
      <c r="J855" s="55">
        <v>45694</v>
      </c>
      <c r="K855" s="52" t="s">
        <v>198</v>
      </c>
      <c r="L855" s="8" t="s">
        <v>124</v>
      </c>
      <c r="M855" s="8" t="s">
        <v>37</v>
      </c>
      <c r="N855" s="52" t="str">
        <f>IF(Follow[[#This Row],[DATAATUALIZAÇÃO]]&lt;=Follow[[#This Row],[Prev Entrega]],"Dentro do Prazo","Fora do Prazo")</f>
        <v>Dentro do Prazo</v>
      </c>
      <c r="O8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06/02/2025, referente ao pedido Nº Pedido 845 Rastreio Pedido 845, agradecemos a preferência e adoraríamos receber sua avaliação, tendo qualquer dúvida estamos à disposição.
Att
Tem tudo Shop</v>
      </c>
    </row>
    <row r="856" spans="1:15">
      <c r="A856" s="52" t="str">
        <f>_xlfn.XLOOKUP(Follow[[#This Row],[CODRASTREIO]],Controle_Pedidos[Cód Rastreamento],Controle_Pedidos[Número Pedido Cliente])</f>
        <v>Pedido 846</v>
      </c>
      <c r="B856" s="2" t="s">
        <v>18265</v>
      </c>
      <c r="C856" s="2" t="str">
        <f>Follow[[#This Row],[CODRASTREIO]]&amp;" B"</f>
        <v>CódRastreio823 B</v>
      </c>
      <c r="D856" s="52" t="str">
        <f>_xlfn.XLOOKUP(Follow[[#This Row],[Id Pedido]],Controle_Pedidos[Número Pedido Cliente],Controle_Pedidos[Loja])</f>
        <v>BV</v>
      </c>
      <c r="E856" s="9">
        <f>_xlfn.XLOOKUP(Follow[[#This Row],[Id Pedido]],Controle_Pedidos[Número Pedido Cliente],Controle_Pedidos[Prazo Entrega])</f>
        <v>45709</v>
      </c>
      <c r="F856" s="9" t="s">
        <v>19433</v>
      </c>
      <c r="G856" s="9" t="s">
        <v>37</v>
      </c>
      <c r="H856" s="52" t="s">
        <v>178</v>
      </c>
      <c r="I856" s="52" t="s">
        <v>178</v>
      </c>
      <c r="J856" s="55">
        <v>45694</v>
      </c>
      <c r="K856" s="52" t="s">
        <v>198</v>
      </c>
      <c r="L856" s="8" t="s">
        <v>124</v>
      </c>
      <c r="M856" s="8" t="s">
        <v>37</v>
      </c>
      <c r="N856" s="52" t="str">
        <f>IF(Follow[[#This Row],[DATAATUALIZAÇÃO]]&lt;=Follow[[#This Row],[Prev Entrega]],"Dentro do Prazo","Fora do Prazo")</f>
        <v>Dentro do Prazo</v>
      </c>
      <c r="O8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06/02/2025, referente ao pedido Nº Pedido 846 Rastreio Pedido 846, agradecemos a preferência e adoraríamos receber sua avaliação, tendo qualquer dúvida estamos à disposição.
Att
Tem tudo Shop</v>
      </c>
    </row>
    <row r="857" spans="1:15">
      <c r="A857" s="52" t="str">
        <f>_xlfn.XLOOKUP(Follow[[#This Row],[CODRASTREIO]],Controle_Pedidos[Cód Rastreamento],Controle_Pedidos[Número Pedido Cliente])</f>
        <v>Pedido 847</v>
      </c>
      <c r="B857" s="2" t="s">
        <v>18266</v>
      </c>
      <c r="C857" s="2" t="str">
        <f>Follow[[#This Row],[CODRASTREIO]]&amp;" B"</f>
        <v>CódRastreio824 B</v>
      </c>
      <c r="D857" s="52" t="str">
        <f>_xlfn.XLOOKUP(Follow[[#This Row],[Id Pedido]],Controle_Pedidos[Número Pedido Cliente],Controle_Pedidos[Loja])</f>
        <v>BV</v>
      </c>
      <c r="E857" s="9">
        <f>_xlfn.XLOOKUP(Follow[[#This Row],[Id Pedido]],Controle_Pedidos[Número Pedido Cliente],Controle_Pedidos[Prazo Entrega])</f>
        <v>45703</v>
      </c>
      <c r="F857" s="9" t="s">
        <v>19433</v>
      </c>
      <c r="G857" s="9" t="s">
        <v>37</v>
      </c>
      <c r="H857" s="52" t="s">
        <v>178</v>
      </c>
      <c r="I857" s="52" t="s">
        <v>178</v>
      </c>
      <c r="J857" s="55">
        <v>45696</v>
      </c>
      <c r="K857" s="52" t="s">
        <v>198</v>
      </c>
      <c r="L857" s="8" t="s">
        <v>124</v>
      </c>
      <c r="M857" s="8" t="s">
        <v>37</v>
      </c>
      <c r="N857" s="52" t="str">
        <f>IF(Follow[[#This Row],[DATAATUALIZAÇÃO]]&lt;=Follow[[#This Row],[Prev Entrega]],"Dentro do Prazo","Fora do Prazo")</f>
        <v>Dentro do Prazo</v>
      </c>
      <c r="O85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08/02/2025, referente ao pedido Nº Pedido 847 Rastreio Pedido 847, agradecemos a preferência e adoraríamos receber sua avaliação, tendo qualquer dúvida estamos à disposição.
Att
Tem tudo Shop</v>
      </c>
    </row>
    <row r="858" spans="1:15">
      <c r="A858" s="52" t="str">
        <f>_xlfn.XLOOKUP(Follow[[#This Row],[CODRASTREIO]],Controle_Pedidos[Cód Rastreamento],Controle_Pedidos[Número Pedido Cliente])</f>
        <v>Pedido 849</v>
      </c>
      <c r="B858" s="2" t="s">
        <v>18268</v>
      </c>
      <c r="C858" s="2" t="str">
        <f>Follow[[#This Row],[CODRASTREIO]]&amp;" B"</f>
        <v>CódRastreio826 B</v>
      </c>
      <c r="D858" s="52" t="str">
        <f>_xlfn.XLOOKUP(Follow[[#This Row],[Id Pedido]],Controle_Pedidos[Número Pedido Cliente],Controle_Pedidos[Loja])</f>
        <v>BV</v>
      </c>
      <c r="E858" s="9">
        <f>_xlfn.XLOOKUP(Follow[[#This Row],[Id Pedido]],Controle_Pedidos[Número Pedido Cliente],Controle_Pedidos[Prazo Entrega])</f>
        <v>45709</v>
      </c>
      <c r="F858" s="9" t="s">
        <v>19433</v>
      </c>
      <c r="G858" s="9" t="s">
        <v>37</v>
      </c>
      <c r="H858" s="52" t="s">
        <v>178</v>
      </c>
      <c r="I858" s="52" t="s">
        <v>178</v>
      </c>
      <c r="J858" s="55">
        <v>45705</v>
      </c>
      <c r="K858" s="52" t="s">
        <v>198</v>
      </c>
      <c r="L858" s="8" t="s">
        <v>124</v>
      </c>
      <c r="M858" s="8" t="s">
        <v>37</v>
      </c>
      <c r="N858" s="52" t="str">
        <f>IF(Follow[[#This Row],[DATAATUALIZAÇÃO]]&lt;=Follow[[#This Row],[Prev Entrega]],"Dentro do Prazo","Fora do Prazo")</f>
        <v>Dentro do Prazo</v>
      </c>
      <c r="O8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17/02/2025, referente ao pedido Nº Pedido 849 Rastreio Pedido 849, agradecemos a preferência e adoraríamos receber sua avaliação, tendo qualquer dúvida estamos à disposição.
Att
Tem tudo Shop</v>
      </c>
    </row>
    <row r="859" spans="1:15">
      <c r="A859" s="52" t="str">
        <f>_xlfn.XLOOKUP(Follow[[#This Row],[CODRASTREIO]],Controle_Pedidos[Cód Rastreamento],Controle_Pedidos[Número Pedido Cliente])</f>
        <v>Pedido 851</v>
      </c>
      <c r="B859" s="2" t="s">
        <v>18270</v>
      </c>
      <c r="C859" s="2" t="str">
        <f>Follow[[#This Row],[CODRASTREIO]]&amp;" B"</f>
        <v>CódRastreio828 B</v>
      </c>
      <c r="D859" s="52" t="str">
        <f>_xlfn.XLOOKUP(Follow[[#This Row],[Id Pedido]],Controle_Pedidos[Número Pedido Cliente],Controle_Pedidos[Loja])</f>
        <v>BV</v>
      </c>
      <c r="E859" s="9">
        <f>_xlfn.XLOOKUP(Follow[[#This Row],[Id Pedido]],Controle_Pedidos[Número Pedido Cliente],Controle_Pedidos[Prazo Entrega])</f>
        <v>45709</v>
      </c>
      <c r="F859" s="9" t="s">
        <v>19433</v>
      </c>
      <c r="G859" s="9" t="s">
        <v>37</v>
      </c>
      <c r="H859" s="52" t="s">
        <v>178</v>
      </c>
      <c r="I859" s="52" t="s">
        <v>178</v>
      </c>
      <c r="J859" s="55">
        <v>45695</v>
      </c>
      <c r="K859" s="52" t="s">
        <v>198</v>
      </c>
      <c r="L859" s="8" t="s">
        <v>124</v>
      </c>
      <c r="M859" s="8" t="s">
        <v>37</v>
      </c>
      <c r="N859" s="52" t="str">
        <f>IF(Follow[[#This Row],[DATAATUALIZAÇÃO]]&lt;=Follow[[#This Row],[Prev Entrega]],"Dentro do Prazo","Fora do Prazo")</f>
        <v>Dentro do Prazo</v>
      </c>
      <c r="O8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07/02/2025, referente ao pedido Nº Pedido 851 Rastreio Pedido 851, agradecemos a preferência e adoraríamos receber sua avaliação, tendo qualquer dúvida estamos à disposição.
Att
Tem tudo Shop</v>
      </c>
    </row>
    <row r="860" spans="1:15">
      <c r="A860" s="52" t="str">
        <f>_xlfn.XLOOKUP(Follow[[#This Row],[CODRASTREIO]],Controle_Pedidos[Cód Rastreamento],Controle_Pedidos[Número Pedido Cliente])</f>
        <v>Pedido 852</v>
      </c>
      <c r="B860" s="2" t="s">
        <v>18271</v>
      </c>
      <c r="C860" s="2" t="str">
        <f>Follow[[#This Row],[CODRASTREIO]]&amp;" B"</f>
        <v>CódRastreio829 B</v>
      </c>
      <c r="D860" s="52" t="str">
        <f>_xlfn.XLOOKUP(Follow[[#This Row],[Id Pedido]],Controle_Pedidos[Número Pedido Cliente],Controle_Pedidos[Loja])</f>
        <v>BV</v>
      </c>
      <c r="E860" s="9">
        <f>_xlfn.XLOOKUP(Follow[[#This Row],[Id Pedido]],Controle_Pedidos[Número Pedido Cliente],Controle_Pedidos[Prazo Entrega])</f>
        <v>45715</v>
      </c>
      <c r="F860" s="9" t="s">
        <v>19433</v>
      </c>
      <c r="G860" s="9" t="s">
        <v>37</v>
      </c>
      <c r="H860" s="52" t="s">
        <v>178</v>
      </c>
      <c r="I860" s="52" t="s">
        <v>178</v>
      </c>
      <c r="J860" s="55">
        <v>45696</v>
      </c>
      <c r="K860" s="52" t="s">
        <v>198</v>
      </c>
      <c r="L860" s="8" t="s">
        <v>124</v>
      </c>
      <c r="M860" s="8" t="s">
        <v>37</v>
      </c>
      <c r="N860" s="52" t="str">
        <f>IF(Follow[[#This Row],[DATAATUALIZAÇÃO]]&lt;=Follow[[#This Row],[Prev Entrega]],"Dentro do Prazo","Fora do Prazo")</f>
        <v>Dentro do Prazo</v>
      </c>
      <c r="O8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08/02/2025, referente ao pedido Nº Pedido 852 Rastreio Pedido 852, agradecemos a preferência e adoraríamos receber sua avaliação, tendo qualquer dúvida estamos à disposição.
Att
Tem tudo Shop</v>
      </c>
    </row>
    <row r="861" spans="1:15">
      <c r="A861" s="52" t="str">
        <f>_xlfn.XLOOKUP(Follow[[#This Row],[CODRASTREIO]],Controle_Pedidos[Cód Rastreamento],Controle_Pedidos[Número Pedido Cliente])</f>
        <v>Pedido 855</v>
      </c>
      <c r="B861" s="2" t="s">
        <v>18274</v>
      </c>
      <c r="C861" s="2" t="str">
        <f>Follow[[#This Row],[CODRASTREIO]]&amp;" B"</f>
        <v>CódRastreio832 B</v>
      </c>
      <c r="D861" s="52" t="str">
        <f>_xlfn.XLOOKUP(Follow[[#This Row],[Id Pedido]],Controle_Pedidos[Número Pedido Cliente],Controle_Pedidos[Loja])</f>
        <v>BV</v>
      </c>
      <c r="E861" s="9">
        <f>_xlfn.XLOOKUP(Follow[[#This Row],[Id Pedido]],Controle_Pedidos[Número Pedido Cliente],Controle_Pedidos[Prazo Entrega])</f>
        <v>45709</v>
      </c>
      <c r="F861" s="9" t="s">
        <v>19433</v>
      </c>
      <c r="G861" s="9" t="s">
        <v>207</v>
      </c>
      <c r="H861" s="9" t="s">
        <v>179</v>
      </c>
      <c r="I861" s="9" t="s">
        <v>178</v>
      </c>
      <c r="J861" s="9">
        <v>45715</v>
      </c>
      <c r="K861" s="8" t="s">
        <v>198</v>
      </c>
      <c r="L861" s="8" t="s">
        <v>124</v>
      </c>
      <c r="M861" s="8" t="s">
        <v>104</v>
      </c>
      <c r="N861" s="52" t="str">
        <f>IF(Follow[[#This Row],[DATAATUALIZAÇÃO]]&lt;=Follow[[#This Row],[Prev Entrega]],"Dentro do Prazo","Fora do Prazo")</f>
        <v>Fora do Prazo</v>
      </c>
      <c r="O861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27/02/2025, referente ao pedido Nº Pedido 855 Rastreio NM747754467BR, agradecemos a preferência e adoraríamos receber sua avaliação, tendo qualquer dúvida estamos à disposição.
Att
Tem tudo Shop</v>
      </c>
    </row>
    <row r="862" spans="1:15">
      <c r="A862" s="52" t="str">
        <f>_xlfn.XLOOKUP(Follow[[#This Row],[CODRASTREIO]],Controle_Pedidos[Cód Rastreamento],Controle_Pedidos[Número Pedido Cliente])</f>
        <v>Pedido 856</v>
      </c>
      <c r="B862" s="2" t="s">
        <v>18275</v>
      </c>
      <c r="C862" s="2" t="str">
        <f>Follow[[#This Row],[CODRASTREIO]]&amp;" B"</f>
        <v>CódRastreio833 B</v>
      </c>
      <c r="D862" s="52" t="str">
        <f>_xlfn.XLOOKUP(Follow[[#This Row],[Id Pedido]],Controle_Pedidos[Número Pedido Cliente],Controle_Pedidos[Loja])</f>
        <v>BV</v>
      </c>
      <c r="E862" s="9">
        <f>_xlfn.XLOOKUP(Follow[[#This Row],[Id Pedido]],Controle_Pedidos[Número Pedido Cliente],Controle_Pedidos[Prazo Entrega])</f>
        <v>45715</v>
      </c>
      <c r="F862" s="9" t="s">
        <v>19433</v>
      </c>
      <c r="G862" s="9" t="s">
        <v>37</v>
      </c>
      <c r="H862" s="52" t="s">
        <v>178</v>
      </c>
      <c r="I862" s="52" t="s">
        <v>178</v>
      </c>
      <c r="J862" s="55">
        <v>45706</v>
      </c>
      <c r="K862" s="52" t="s">
        <v>198</v>
      </c>
      <c r="L862" s="8" t="s">
        <v>124</v>
      </c>
      <c r="M862" s="8" t="s">
        <v>37</v>
      </c>
      <c r="N862" s="52" t="str">
        <f>IF(Follow[[#This Row],[DATAATUALIZAÇÃO]]&lt;=Follow[[#This Row],[Prev Entrega]],"Dentro do Prazo","Fora do Prazo")</f>
        <v>Dentro do Prazo</v>
      </c>
      <c r="O8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18/02/2025, referente ao pedido Nº Pedido 856 Rastreio Pedido 856, agradecemos a preferência e adoraríamos receber sua avaliação, tendo qualquer dúvida estamos à disposição.
Att
Tem tudo Shop</v>
      </c>
    </row>
    <row r="863" spans="1:15">
      <c r="A863" s="52" t="str">
        <f>_xlfn.XLOOKUP(Follow[[#This Row],[CODRASTREIO]],Controle_Pedidos[Cód Rastreamento],Controle_Pedidos[Número Pedido Cliente])</f>
        <v>Pedido 857</v>
      </c>
      <c r="B863" s="2" t="s">
        <v>18276</v>
      </c>
      <c r="C863" s="2" t="str">
        <f>Follow[[#This Row],[CODRASTREIO]]&amp;" B"</f>
        <v>CódRastreio834 B</v>
      </c>
      <c r="D863" s="52" t="str">
        <f>_xlfn.XLOOKUP(Follow[[#This Row],[Id Pedido]],Controle_Pedidos[Número Pedido Cliente],Controle_Pedidos[Loja])</f>
        <v>BV</v>
      </c>
      <c r="E863" s="9">
        <f>_xlfn.XLOOKUP(Follow[[#This Row],[Id Pedido]],Controle_Pedidos[Número Pedido Cliente],Controle_Pedidos[Prazo Entrega])</f>
        <v>45715</v>
      </c>
      <c r="F863" s="9" t="s">
        <v>19433</v>
      </c>
      <c r="G863" s="9" t="s">
        <v>37</v>
      </c>
      <c r="H863" s="52" t="s">
        <v>178</v>
      </c>
      <c r="I863" s="52" t="s">
        <v>178</v>
      </c>
      <c r="J863" s="55">
        <v>45700</v>
      </c>
      <c r="K863" s="52" t="s">
        <v>198</v>
      </c>
      <c r="L863" s="8" t="s">
        <v>124</v>
      </c>
      <c r="M863" s="8" t="s">
        <v>37</v>
      </c>
      <c r="N863" s="52" t="str">
        <f>IF(Follow[[#This Row],[DATAATUALIZAÇÃO]]&lt;=Follow[[#This Row],[Prev Entrega]],"Dentro do Prazo","Fora do Prazo")</f>
        <v>Dentro do Prazo</v>
      </c>
      <c r="O8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12/02/2025, referente ao pedido Nº Pedido 857 Rastreio Pedido 857, agradecemos a preferência e adoraríamos receber sua avaliação, tendo qualquer dúvida estamos à disposição.
Att
Tem tudo Shop</v>
      </c>
    </row>
    <row r="864" spans="1:15">
      <c r="A864" s="52" t="str">
        <f>_xlfn.XLOOKUP(Follow[[#This Row],[CODRASTREIO]],Controle_Pedidos[Cód Rastreamento],Controle_Pedidos[Número Pedido Cliente])</f>
        <v>Pedido 858</v>
      </c>
      <c r="B864" s="2" t="s">
        <v>18277</v>
      </c>
      <c r="C864" s="2" t="str">
        <f>Follow[[#This Row],[CODRASTREIO]]&amp;" B"</f>
        <v>CódRastreio835 B</v>
      </c>
      <c r="D864" s="52" t="str">
        <f>_xlfn.XLOOKUP(Follow[[#This Row],[Id Pedido]],Controle_Pedidos[Número Pedido Cliente],Controle_Pedidos[Loja])</f>
        <v>BV</v>
      </c>
      <c r="E864" s="9">
        <f>_xlfn.XLOOKUP(Follow[[#This Row],[Id Pedido]],Controle_Pedidos[Número Pedido Cliente],Controle_Pedidos[Prazo Entrega])</f>
        <v>45709</v>
      </c>
      <c r="F864" s="9" t="s">
        <v>19433</v>
      </c>
      <c r="G864" s="9" t="s">
        <v>37</v>
      </c>
      <c r="H864" s="52" t="s">
        <v>178</v>
      </c>
      <c r="I864" s="52" t="s">
        <v>178</v>
      </c>
      <c r="J864" s="55">
        <v>45694</v>
      </c>
      <c r="K864" s="52" t="s">
        <v>198</v>
      </c>
      <c r="L864" s="8" t="s">
        <v>124</v>
      </c>
      <c r="M864" s="8" t="s">
        <v>37</v>
      </c>
      <c r="N864" s="52" t="str">
        <f>IF(Follow[[#This Row],[DATAATUALIZAÇÃO]]&lt;=Follow[[#This Row],[Prev Entrega]],"Dentro do Prazo","Fora do Prazo")</f>
        <v>Dentro do Prazo</v>
      </c>
      <c r="O86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06/02/2025, referente ao pedido Nº Pedido 858 Rastreio Pedido 858, agradecemos a preferência e adoraríamos receber sua avaliação, tendo qualquer dúvida estamos à disposição.
Att
Tem tudo Shop</v>
      </c>
    </row>
    <row r="865" spans="1:15">
      <c r="A865" s="52" t="str">
        <f>_xlfn.XLOOKUP(Follow[[#This Row],[CODRASTREIO]],Controle_Pedidos[Cód Rastreamento],Controle_Pedidos[Número Pedido Cliente])</f>
        <v>Pedido 854</v>
      </c>
      <c r="B865" s="2" t="s">
        <v>18273</v>
      </c>
      <c r="C865" s="2" t="str">
        <f>Follow[[#This Row],[CODRASTREIO]]&amp;" B"</f>
        <v>CódRastreio831 B</v>
      </c>
      <c r="D865" s="52" t="str">
        <f>_xlfn.XLOOKUP(Follow[[#This Row],[Id Pedido]],Controle_Pedidos[Número Pedido Cliente],Controle_Pedidos[Loja])</f>
        <v>BV</v>
      </c>
      <c r="E865" s="9">
        <f>_xlfn.XLOOKUP(Follow[[#This Row],[Id Pedido]],Controle_Pedidos[Número Pedido Cliente],Controle_Pedidos[Prazo Entrega])</f>
        <v>45707</v>
      </c>
      <c r="F865" s="9" t="s">
        <v>19433</v>
      </c>
      <c r="G865" s="9" t="s">
        <v>37</v>
      </c>
      <c r="H865" s="52" t="s">
        <v>178</v>
      </c>
      <c r="I865" s="52" t="s">
        <v>178</v>
      </c>
      <c r="J865" s="55">
        <v>45699</v>
      </c>
      <c r="K865" s="52" t="s">
        <v>198</v>
      </c>
      <c r="L865" s="8" t="s">
        <v>124</v>
      </c>
      <c r="M865" s="8" t="s">
        <v>37</v>
      </c>
      <c r="N865" s="52" t="str">
        <f>IF(Follow[[#This Row],[DATAATUALIZAÇÃO]]&lt;=Follow[[#This Row],[Prev Entrega]],"Dentro do Prazo","Fora do Prazo")</f>
        <v>Dentro do Prazo</v>
      </c>
      <c r="O8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11/02/2025, referente ao pedido Nº Pedido 854 Rastreio Pedido 854, agradecemos a preferência e adoraríamos receber sua avaliação, tendo qualquer dúvida estamos à disposição.
Att
Tem tudo Shop</v>
      </c>
    </row>
    <row r="866" spans="1:15">
      <c r="A866" s="52" t="str">
        <f>_xlfn.XLOOKUP(Follow[[#This Row],[CODRASTREIO]],Controle_Pedidos[Cód Rastreamento],Controle_Pedidos[Número Pedido Cliente])</f>
        <v>Pedido 859</v>
      </c>
      <c r="B866" s="2" t="s">
        <v>18278</v>
      </c>
      <c r="C866" s="2" t="str">
        <f>Follow[[#This Row],[CODRASTREIO]]&amp;" B"</f>
        <v>CódRastreio836 B</v>
      </c>
      <c r="D866" s="52" t="str">
        <f>_xlfn.XLOOKUP(Follow[[#This Row],[Id Pedido]],Controle_Pedidos[Número Pedido Cliente],Controle_Pedidos[Loja])</f>
        <v>BV</v>
      </c>
      <c r="E866" s="9">
        <f>_xlfn.XLOOKUP(Follow[[#This Row],[Id Pedido]],Controle_Pedidos[Número Pedido Cliente],Controle_Pedidos[Prazo Entrega])</f>
        <v>45716</v>
      </c>
      <c r="F866" s="9" t="s">
        <v>19433</v>
      </c>
      <c r="G866" s="9" t="s">
        <v>37</v>
      </c>
      <c r="H866" s="52" t="s">
        <v>178</v>
      </c>
      <c r="I866" s="52" t="s">
        <v>178</v>
      </c>
      <c r="J866" s="55">
        <v>45699</v>
      </c>
      <c r="K866" s="52" t="s">
        <v>198</v>
      </c>
      <c r="L866" s="8" t="s">
        <v>124</v>
      </c>
      <c r="M866" s="8" t="s">
        <v>37</v>
      </c>
      <c r="N866" s="52" t="str">
        <f>IF(Follow[[#This Row],[DATAATUALIZAÇÃO]]&lt;=Follow[[#This Row],[Prev Entrega]],"Dentro do Prazo","Fora do Prazo")</f>
        <v>Dentro do Prazo</v>
      </c>
      <c r="O86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11/02/2025, referente ao pedido Nº Pedido 859 Rastreio Pedido 859, agradecemos a preferência e adoraríamos receber sua avaliação, tendo qualquer dúvida estamos à disposição.
Att
Tem tudo Shop</v>
      </c>
    </row>
    <row r="867" spans="1:15">
      <c r="A867" s="52" t="str">
        <f>_xlfn.XLOOKUP(Follow[[#This Row],[CODRASTREIO]],Controle_Pedidos[Cód Rastreamento],Controle_Pedidos[Número Pedido Cliente])</f>
        <v>Pedido 860</v>
      </c>
      <c r="B867" s="2" t="s">
        <v>18279</v>
      </c>
      <c r="C867" s="2" t="str">
        <f>Follow[[#This Row],[CODRASTREIO]]&amp;" B"</f>
        <v>CódRastreio837 B</v>
      </c>
      <c r="D867" s="52" t="str">
        <f>_xlfn.XLOOKUP(Follow[[#This Row],[Id Pedido]],Controle_Pedidos[Número Pedido Cliente],Controle_Pedidos[Loja])</f>
        <v>BV</v>
      </c>
      <c r="E867" s="9">
        <f>_xlfn.XLOOKUP(Follow[[#This Row],[Id Pedido]],Controle_Pedidos[Número Pedido Cliente],Controle_Pedidos[Prazo Entrega])</f>
        <v>45710</v>
      </c>
      <c r="F867" s="9" t="s">
        <v>19433</v>
      </c>
      <c r="G867" s="9" t="s">
        <v>37</v>
      </c>
      <c r="H867" s="52" t="s">
        <v>178</v>
      </c>
      <c r="I867" s="52" t="s">
        <v>178</v>
      </c>
      <c r="J867" s="55">
        <v>45695</v>
      </c>
      <c r="K867" s="52" t="s">
        <v>198</v>
      </c>
      <c r="L867" s="8" t="s">
        <v>124</v>
      </c>
      <c r="M867" s="8" t="s">
        <v>37</v>
      </c>
      <c r="N867" s="52" t="str">
        <f>IF(Follow[[#This Row],[DATAATUALIZAÇÃO]]&lt;=Follow[[#This Row],[Prev Entrega]],"Dentro do Prazo","Fora do Prazo")</f>
        <v>Dentro do Prazo</v>
      </c>
      <c r="O8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07/02/2025, referente ao pedido Nº Pedido 860 Rastreio Pedido 860, agradecemos a preferência e adoraríamos receber sua avaliação, tendo qualquer dúvida estamos à disposição.
Att
Tem tudo Shop</v>
      </c>
    </row>
    <row r="868" spans="1:15">
      <c r="A868" s="52" t="str">
        <f>_xlfn.XLOOKUP(Follow[[#This Row],[CODRASTREIO]],Controle_Pedidos[Cód Rastreamento],Controle_Pedidos[Número Pedido Cliente])</f>
        <v>Pedido 861</v>
      </c>
      <c r="B868" s="2" t="s">
        <v>18280</v>
      </c>
      <c r="C868" s="2" t="str">
        <f>Follow[[#This Row],[CODRASTREIO]]&amp;" B"</f>
        <v>CódRastreio838 B</v>
      </c>
      <c r="D868" s="52" t="str">
        <f>_xlfn.XLOOKUP(Follow[[#This Row],[Id Pedido]],Controle_Pedidos[Número Pedido Cliente],Controle_Pedidos[Loja])</f>
        <v>BV</v>
      </c>
      <c r="E868" s="9">
        <f>_xlfn.XLOOKUP(Follow[[#This Row],[Id Pedido]],Controle_Pedidos[Número Pedido Cliente],Controle_Pedidos[Prazo Entrega])</f>
        <v>45708</v>
      </c>
      <c r="F868" s="9" t="s">
        <v>19433</v>
      </c>
      <c r="G868" s="9" t="s">
        <v>37</v>
      </c>
      <c r="H868" s="52" t="s">
        <v>178</v>
      </c>
      <c r="I868" s="52" t="s">
        <v>178</v>
      </c>
      <c r="J868" s="55">
        <v>45695</v>
      </c>
      <c r="K868" s="52" t="s">
        <v>198</v>
      </c>
      <c r="L868" s="8" t="s">
        <v>124</v>
      </c>
      <c r="M868" s="8" t="s">
        <v>37</v>
      </c>
      <c r="N868" s="52" t="str">
        <f>IF(Follow[[#This Row],[DATAATUALIZAÇÃO]]&lt;=Follow[[#This Row],[Prev Entrega]],"Dentro do Prazo","Fora do Prazo")</f>
        <v>Dentro do Prazo</v>
      </c>
      <c r="O8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07/02/2025, referente ao pedido Nº Pedido 861 Rastreio Pedido 861, agradecemos a preferência e adoraríamos receber sua avaliação, tendo qualquer dúvida estamos à disposição.
Att
Tem tudo Shop</v>
      </c>
    </row>
    <row r="869" spans="1:15">
      <c r="A869" s="52" t="str">
        <f>_xlfn.XLOOKUP(Follow[[#This Row],[CODRASTREIO]],Controle_Pedidos[Cód Rastreamento],Controle_Pedidos[Número Pedido Cliente])</f>
        <v>Pedido 862</v>
      </c>
      <c r="B869" s="2" t="s">
        <v>18281</v>
      </c>
      <c r="C869" s="2" t="str">
        <f>Follow[[#This Row],[CODRASTREIO]]&amp;" B"</f>
        <v>CódRastreio839 B</v>
      </c>
      <c r="D869" s="52" t="str">
        <f>_xlfn.XLOOKUP(Follow[[#This Row],[Id Pedido]],Controle_Pedidos[Número Pedido Cliente],Controle_Pedidos[Loja])</f>
        <v>BV</v>
      </c>
      <c r="E869" s="9">
        <f>_xlfn.XLOOKUP(Follow[[#This Row],[Id Pedido]],Controle_Pedidos[Número Pedido Cliente],Controle_Pedidos[Prazo Entrega])</f>
        <v>45710</v>
      </c>
      <c r="F869" s="9" t="s">
        <v>19433</v>
      </c>
      <c r="G869" s="9" t="s">
        <v>37</v>
      </c>
      <c r="H869" s="52" t="s">
        <v>179</v>
      </c>
      <c r="I869" s="52" t="s">
        <v>178</v>
      </c>
      <c r="J869" s="55">
        <v>45698</v>
      </c>
      <c r="K869" s="52" t="s">
        <v>198</v>
      </c>
      <c r="L869" s="8" t="s">
        <v>124</v>
      </c>
      <c r="M869" s="8" t="s">
        <v>37</v>
      </c>
      <c r="N869" s="52" t="str">
        <f>IF(Follow[[#This Row],[DATAATUALIZAÇÃO]]&lt;=Follow[[#This Row],[Prev Entrega]],"Dentro do Prazo","Fora do Prazo")</f>
        <v>Dentro do Prazo</v>
      </c>
      <c r="O86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10/02/2025, referente ao pedido Nº Pedido 862 Rastreio Pedido 862, agradecemos a preferência e adoraríamos receber sua avaliação, tendo qualquer dúvida estamos à disposição.
Att
Tem tudo Shop</v>
      </c>
    </row>
    <row r="870" spans="1:15">
      <c r="A870" s="52" t="str">
        <f>_xlfn.XLOOKUP(Follow[[#This Row],[CODRASTREIO]],Controle_Pedidos[Cód Rastreamento],Controle_Pedidos[Número Pedido Cliente])</f>
        <v>Pedido 863</v>
      </c>
      <c r="B870" s="2" t="s">
        <v>18282</v>
      </c>
      <c r="C870" s="2" t="str">
        <f>Follow[[#This Row],[CODRASTREIO]]&amp;" B"</f>
        <v>CódRastreio840 B</v>
      </c>
      <c r="D870" s="52" t="str">
        <f>_xlfn.XLOOKUP(Follow[[#This Row],[Id Pedido]],Controle_Pedidos[Número Pedido Cliente],Controle_Pedidos[Loja])</f>
        <v>BV</v>
      </c>
      <c r="E870" s="9">
        <f>_xlfn.XLOOKUP(Follow[[#This Row],[Id Pedido]],Controle_Pedidos[Número Pedido Cliente],Controle_Pedidos[Prazo Entrega])</f>
        <v>45710</v>
      </c>
      <c r="F870" s="9" t="s">
        <v>19433</v>
      </c>
      <c r="G870" s="9" t="s">
        <v>37</v>
      </c>
      <c r="H870" s="52" t="s">
        <v>178</v>
      </c>
      <c r="I870" s="52" t="s">
        <v>178</v>
      </c>
      <c r="J870" s="55">
        <v>45698</v>
      </c>
      <c r="K870" s="52" t="s">
        <v>198</v>
      </c>
      <c r="L870" s="8" t="s">
        <v>124</v>
      </c>
      <c r="M870" s="8" t="s">
        <v>37</v>
      </c>
      <c r="N870" s="52" t="str">
        <f>IF(Follow[[#This Row],[DATAATUALIZAÇÃO]]&lt;=Follow[[#This Row],[Prev Entrega]],"Dentro do Prazo","Fora do Prazo")</f>
        <v>Dentro do Prazo</v>
      </c>
      <c r="O8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10/02/2025, referente ao pedido Nº Pedido 863 Rastreio Pedido 863, agradecemos a preferência e adoraríamos receber sua avaliação, tendo qualquer dúvida estamos à disposição.
Att
Tem tudo Shop</v>
      </c>
    </row>
    <row r="871" spans="1:15">
      <c r="A871" s="52" t="str">
        <f>_xlfn.XLOOKUP(Follow[[#This Row],[CODRASTREIO]],Controle_Pedidos[Cód Rastreamento],Controle_Pedidos[Número Pedido Cliente])</f>
        <v>Pedido 864</v>
      </c>
      <c r="B871" s="2" t="s">
        <v>18283</v>
      </c>
      <c r="C871" s="2" t="str">
        <f>Follow[[#This Row],[CODRASTREIO]]&amp;" B"</f>
        <v>CódRastreio841 B</v>
      </c>
      <c r="D871" s="52" t="str">
        <f>_xlfn.XLOOKUP(Follow[[#This Row],[Id Pedido]],Controle_Pedidos[Número Pedido Cliente],Controle_Pedidos[Loja])</f>
        <v>BV</v>
      </c>
      <c r="E871" s="9">
        <f>_xlfn.XLOOKUP(Follow[[#This Row],[Id Pedido]],Controle_Pedidos[Número Pedido Cliente],Controle_Pedidos[Prazo Entrega])</f>
        <v>45716</v>
      </c>
      <c r="F871" s="9" t="s">
        <v>19433</v>
      </c>
      <c r="G871" s="9" t="s">
        <v>37</v>
      </c>
      <c r="H871" s="52" t="s">
        <v>178</v>
      </c>
      <c r="I871" s="52" t="s">
        <v>178</v>
      </c>
      <c r="J871" s="55">
        <v>45698</v>
      </c>
      <c r="K871" s="52" t="s">
        <v>198</v>
      </c>
      <c r="L871" s="8" t="s">
        <v>124</v>
      </c>
      <c r="M871" s="8" t="s">
        <v>37</v>
      </c>
      <c r="N871" s="52" t="str">
        <f>IF(Follow[[#This Row],[DATAATUALIZAÇÃO]]&lt;=Follow[[#This Row],[Prev Entrega]],"Dentro do Prazo","Fora do Prazo")</f>
        <v>Dentro do Prazo</v>
      </c>
      <c r="O8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10/02/2025, referente ao pedido Nº Pedido 864 Rastreio Pedido 864, agradecemos a preferência e adoraríamos receber sua avaliação, tendo qualquer dúvida estamos à disposição.
Att
Tem tudo Shop</v>
      </c>
    </row>
    <row r="872" spans="1:15">
      <c r="A872" s="52" t="str">
        <f>_xlfn.XLOOKUP(Follow[[#This Row],[CODRASTREIO]],Controle_Pedidos[Cód Rastreamento],Controle_Pedidos[Número Pedido Cliente])</f>
        <v>Pedido 848</v>
      </c>
      <c r="B872" s="2" t="s">
        <v>18267</v>
      </c>
      <c r="C872" s="2" t="str">
        <f>Follow[[#This Row],[CODRASTREIO]]&amp;" B"</f>
        <v>CódRastreio825 B</v>
      </c>
      <c r="D872" s="52" t="str">
        <f>_xlfn.XLOOKUP(Follow[[#This Row],[Id Pedido]],Controle_Pedidos[Número Pedido Cliente],Controle_Pedidos[Loja])</f>
        <v>BV</v>
      </c>
      <c r="E872" s="9">
        <f>_xlfn.XLOOKUP(Follow[[#This Row],[Id Pedido]],Controle_Pedidos[Número Pedido Cliente],Controle_Pedidos[Prazo Entrega])</f>
        <v>45709</v>
      </c>
      <c r="F872" s="9" t="s">
        <v>19433</v>
      </c>
      <c r="G872" s="9" t="s">
        <v>37</v>
      </c>
      <c r="H872" s="52" t="s">
        <v>179</v>
      </c>
      <c r="I872" s="52" t="s">
        <v>178</v>
      </c>
      <c r="J872" s="55">
        <v>45705</v>
      </c>
      <c r="K872" s="52" t="s">
        <v>198</v>
      </c>
      <c r="L872" s="8" t="s">
        <v>124</v>
      </c>
      <c r="M872" s="8" t="s">
        <v>37</v>
      </c>
      <c r="N872" s="52" t="str">
        <f>IF(Follow[[#This Row],[DATAATUALIZAÇÃO]]&lt;=Follow[[#This Row],[Prev Entrega]],"Dentro do Prazo","Fora do Prazo")</f>
        <v>Dentro do Prazo</v>
      </c>
      <c r="O8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17/02/2025, referente ao pedido Nº Pedido 848 Rastreio Pedido 848, agradecemos a preferência e adoraríamos receber sua avaliação, tendo qualquer dúvida estamos à disposição.
Att
Tem tudo Shop</v>
      </c>
    </row>
    <row r="873" spans="1:15">
      <c r="A873" s="52" t="str">
        <f>_xlfn.XLOOKUP(Follow[[#This Row],[CODRASTREIO]],Controle_Pedidos[Cód Rastreamento],Controle_Pedidos[Número Pedido Cliente])</f>
        <v>Pedido 850</v>
      </c>
      <c r="B873" s="2" t="s">
        <v>18269</v>
      </c>
      <c r="C873" s="2" t="str">
        <f>Follow[[#This Row],[CODRASTREIO]]&amp;" B"</f>
        <v>CódRastreio827 B</v>
      </c>
      <c r="D873" s="52" t="str">
        <f>_xlfn.XLOOKUP(Follow[[#This Row],[Id Pedido]],Controle_Pedidos[Número Pedido Cliente],Controle_Pedidos[Loja])</f>
        <v>BV</v>
      </c>
      <c r="E873" s="9">
        <f>_xlfn.XLOOKUP(Follow[[#This Row],[Id Pedido]],Controle_Pedidos[Número Pedido Cliente],Controle_Pedidos[Prazo Entrega])</f>
        <v>45727</v>
      </c>
      <c r="F873" s="9" t="s">
        <v>19433</v>
      </c>
      <c r="G873" s="9" t="s">
        <v>37</v>
      </c>
      <c r="H873" s="52" t="s">
        <v>179</v>
      </c>
      <c r="I873" s="52" t="s">
        <v>178</v>
      </c>
      <c r="J873" s="55">
        <v>45710</v>
      </c>
      <c r="K873" s="52" t="s">
        <v>198</v>
      </c>
      <c r="L873" s="8" t="s">
        <v>124</v>
      </c>
      <c r="M873" s="8" t="s">
        <v>37</v>
      </c>
      <c r="N873" s="52" t="str">
        <f>IF(Follow[[#This Row],[DATAATUALIZAÇÃO]]&lt;=Follow[[#This Row],[Prev Entrega]],"Dentro do Prazo","Fora do Prazo")</f>
        <v>Dentro do Prazo</v>
      </c>
      <c r="O8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22/02/2025, referente ao pedido Nº Pedido 850 Rastreio Pedido 850, agradecemos a preferência e adoraríamos receber sua avaliação, tendo qualquer dúvida estamos à disposição.
Att
Tem tudo Shop</v>
      </c>
    </row>
    <row r="874" spans="1:15">
      <c r="A874" s="52" t="str">
        <f>_xlfn.XLOOKUP(Follow[[#This Row],[CODRASTREIO]],Controle_Pedidos[Cód Rastreamento],Controle_Pedidos[Número Pedido Cliente])</f>
        <v>Pedido 853</v>
      </c>
      <c r="B874" s="2" t="s">
        <v>18272</v>
      </c>
      <c r="C874" s="2" t="str">
        <f>Follow[[#This Row],[CODRASTREIO]]&amp;" B"</f>
        <v>CódRastreio830 B</v>
      </c>
      <c r="D874" s="52" t="str">
        <f>_xlfn.XLOOKUP(Follow[[#This Row],[Id Pedido]],Controle_Pedidos[Número Pedido Cliente],Controle_Pedidos[Loja])</f>
        <v>BV</v>
      </c>
      <c r="E874" s="9">
        <f>_xlfn.XLOOKUP(Follow[[#This Row],[Id Pedido]],Controle_Pedidos[Número Pedido Cliente],Controle_Pedidos[Prazo Entrega])</f>
        <v>45709</v>
      </c>
      <c r="F874" s="9" t="s">
        <v>19433</v>
      </c>
      <c r="G874" s="9" t="s">
        <v>37</v>
      </c>
      <c r="H874" s="52" t="s">
        <v>179</v>
      </c>
      <c r="I874" s="52" t="s">
        <v>178</v>
      </c>
      <c r="J874" s="55">
        <v>45702</v>
      </c>
      <c r="K874" s="52" t="s">
        <v>198</v>
      </c>
      <c r="L874" s="8" t="s">
        <v>124</v>
      </c>
      <c r="M874" s="8" t="s">
        <v>37</v>
      </c>
      <c r="N874" s="52" t="str">
        <f>IF(Follow[[#This Row],[DATAATUALIZAÇÃO]]&lt;=Follow[[#This Row],[Prev Entrega]],"Dentro do Prazo","Fora do Prazo")</f>
        <v>Dentro do Prazo</v>
      </c>
      <c r="O87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14/02/2025, referente ao pedido Nº Pedido 853 Rastreio Pedido 853, agradecemos a preferência e adoraríamos receber sua avaliação, tendo qualquer dúvida estamos à disposição.
Att
Tem tudo Shop</v>
      </c>
    </row>
    <row r="875" spans="1:15">
      <c r="A875" s="52" t="str">
        <f>_xlfn.XLOOKUP(Follow[[#This Row],[CODRASTREIO]],Controle_Pedidos[Cód Rastreamento],Controle_Pedidos[Número Pedido Cliente])</f>
        <v>Pedido 865</v>
      </c>
      <c r="B875" s="2" t="s">
        <v>18284</v>
      </c>
      <c r="C875" s="2" t="str">
        <f>Follow[[#This Row],[CODRASTREIO]]&amp;" B"</f>
        <v>CódRastreio842 B</v>
      </c>
      <c r="D875" s="52" t="str">
        <f>_xlfn.XLOOKUP(Follow[[#This Row],[Id Pedido]],Controle_Pedidos[Número Pedido Cliente],Controle_Pedidos[Loja])</f>
        <v>BV</v>
      </c>
      <c r="E875" s="9">
        <f>_xlfn.XLOOKUP(Follow[[#This Row],[Id Pedido]],Controle_Pedidos[Número Pedido Cliente],Controle_Pedidos[Prazo Entrega])</f>
        <v>45710</v>
      </c>
      <c r="F875" s="9" t="s">
        <v>19433</v>
      </c>
      <c r="G875" s="9" t="s">
        <v>37</v>
      </c>
      <c r="H875" s="52" t="s">
        <v>178</v>
      </c>
      <c r="I875" s="52" t="s">
        <v>178</v>
      </c>
      <c r="J875" s="55">
        <v>45698</v>
      </c>
      <c r="K875" s="52" t="s">
        <v>198</v>
      </c>
      <c r="L875" s="8" t="s">
        <v>124</v>
      </c>
      <c r="M875" s="8" t="s">
        <v>37</v>
      </c>
      <c r="N875" s="52" t="str">
        <f>IF(Follow[[#This Row],[DATAATUALIZAÇÃO]]&lt;=Follow[[#This Row],[Prev Entrega]],"Dentro do Prazo","Fora do Prazo")</f>
        <v>Dentro do Prazo</v>
      </c>
      <c r="O8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10/02/2025, referente ao pedido Nº Pedido 865 Rastreio Pedido 865, agradecemos a preferência e adoraríamos receber sua avaliação, tendo qualquer dúvida estamos à disposição.
Att
Tem tudo Shop</v>
      </c>
    </row>
    <row r="876" spans="1:15">
      <c r="A876" s="52" t="str">
        <f>_xlfn.XLOOKUP(Follow[[#This Row],[CODRASTREIO]],Controle_Pedidos[Cód Rastreamento],Controle_Pedidos[Número Pedido Cliente])</f>
        <v>Pedido 866</v>
      </c>
      <c r="B876" s="2" t="s">
        <v>18285</v>
      </c>
      <c r="C876" s="2" t="str">
        <f>Follow[[#This Row],[CODRASTREIO]]&amp;" B"</f>
        <v>CódRastreio843 B</v>
      </c>
      <c r="D876" s="52" t="str">
        <f>_xlfn.XLOOKUP(Follow[[#This Row],[Id Pedido]],Controle_Pedidos[Número Pedido Cliente],Controle_Pedidos[Loja])</f>
        <v>BV</v>
      </c>
      <c r="E876" s="9">
        <f>_xlfn.XLOOKUP(Follow[[#This Row],[Id Pedido]],Controle_Pedidos[Número Pedido Cliente],Controle_Pedidos[Prazo Entrega])</f>
        <v>45710</v>
      </c>
      <c r="F876" s="9" t="s">
        <v>19433</v>
      </c>
      <c r="G876" s="9" t="s">
        <v>37</v>
      </c>
      <c r="H876" s="52" t="s">
        <v>178</v>
      </c>
      <c r="I876" s="52" t="s">
        <v>178</v>
      </c>
      <c r="J876" s="55">
        <v>45696</v>
      </c>
      <c r="K876" s="52" t="s">
        <v>198</v>
      </c>
      <c r="L876" s="8" t="s">
        <v>124</v>
      </c>
      <c r="M876" s="8" t="s">
        <v>37</v>
      </c>
      <c r="N876" s="52" t="str">
        <f>IF(Follow[[#This Row],[DATAATUALIZAÇÃO]]&lt;=Follow[[#This Row],[Prev Entrega]],"Dentro do Prazo","Fora do Prazo")</f>
        <v>Dentro do Prazo</v>
      </c>
      <c r="O8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08/02/2025, referente ao pedido Nº Pedido 866 Rastreio Pedido 866, agradecemos a preferência e adoraríamos receber sua avaliação, tendo qualquer dúvida estamos à disposição.
Att
Tem tudo Shop</v>
      </c>
    </row>
    <row r="877" spans="1:15">
      <c r="A877" s="52" t="str">
        <f>_xlfn.XLOOKUP(Follow[[#This Row],[CODRASTREIO]],Controle_Pedidos[Cód Rastreamento],Controle_Pedidos[Número Pedido Cliente])</f>
        <v>Pedido 869</v>
      </c>
      <c r="B877" s="2" t="s">
        <v>18288</v>
      </c>
      <c r="C877" s="2" t="str">
        <f>Follow[[#This Row],[CODRASTREIO]]&amp;" B"</f>
        <v>CódRastreio846 B</v>
      </c>
      <c r="D877" s="52" t="str">
        <f>_xlfn.XLOOKUP(Follow[[#This Row],[Id Pedido]],Controle_Pedidos[Número Pedido Cliente],Controle_Pedidos[Loja])</f>
        <v>BV</v>
      </c>
      <c r="E877" s="9">
        <f>_xlfn.XLOOKUP(Follow[[#This Row],[Id Pedido]],Controle_Pedidos[Número Pedido Cliente],Controle_Pedidos[Prazo Entrega])</f>
        <v>45717</v>
      </c>
      <c r="F877" s="9" t="s">
        <v>19433</v>
      </c>
      <c r="G877" s="9" t="s">
        <v>37</v>
      </c>
      <c r="H877" s="52" t="s">
        <v>178</v>
      </c>
      <c r="I877" s="52" t="s">
        <v>178</v>
      </c>
      <c r="J877" s="55">
        <v>45700</v>
      </c>
      <c r="K877" s="52" t="s">
        <v>198</v>
      </c>
      <c r="L877" s="8" t="s">
        <v>124</v>
      </c>
      <c r="M877" s="8" t="s">
        <v>37</v>
      </c>
      <c r="N877" s="52" t="str">
        <f>IF(Follow[[#This Row],[DATAATUALIZAÇÃO]]&lt;=Follow[[#This Row],[Prev Entrega]],"Dentro do Prazo","Fora do Prazo")</f>
        <v>Dentro do Prazo</v>
      </c>
      <c r="O8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12/02/2025, referente ao pedido Nº Pedido 869 Rastreio Pedido 869, agradecemos a preferência e adoraríamos receber sua avaliação, tendo qualquer dúvida estamos à disposição.
Att
Tem tudo Shop</v>
      </c>
    </row>
    <row r="878" spans="1:15">
      <c r="A878" s="52" t="str">
        <f>_xlfn.XLOOKUP(Follow[[#This Row],[CODRASTREIO]],Controle_Pedidos[Cód Rastreamento],Controle_Pedidos[Número Pedido Cliente])</f>
        <v>Pedido 870</v>
      </c>
      <c r="B878" s="2" t="s">
        <v>18289</v>
      </c>
      <c r="C878" s="2" t="str">
        <f>Follow[[#This Row],[CODRASTREIO]]&amp;" B"</f>
        <v>CódRastreio847 B</v>
      </c>
      <c r="D878" s="52" t="str">
        <f>_xlfn.XLOOKUP(Follow[[#This Row],[Id Pedido]],Controle_Pedidos[Número Pedido Cliente],Controle_Pedidos[Loja])</f>
        <v>BV</v>
      </c>
      <c r="E878" s="9">
        <f>_xlfn.XLOOKUP(Follow[[#This Row],[Id Pedido]],Controle_Pedidos[Número Pedido Cliente],Controle_Pedidos[Prazo Entrega])</f>
        <v>45713</v>
      </c>
      <c r="F878" s="9" t="s">
        <v>19433</v>
      </c>
      <c r="G878" s="9" t="s">
        <v>37</v>
      </c>
      <c r="H878" s="52" t="s">
        <v>178</v>
      </c>
      <c r="I878" s="52" t="s">
        <v>178</v>
      </c>
      <c r="J878" s="55">
        <v>45712</v>
      </c>
      <c r="K878" s="52" t="s">
        <v>198</v>
      </c>
      <c r="L878" s="8" t="s">
        <v>124</v>
      </c>
      <c r="M878" s="8" t="s">
        <v>205</v>
      </c>
      <c r="N878" s="52" t="str">
        <f>IF(Follow[[#This Row],[DATAATUALIZAÇÃO]]&lt;=Follow[[#This Row],[Prev Entrega]],"Dentro do Prazo","Fora do Prazo")</f>
        <v>Dentro do Prazo</v>
      </c>
      <c r="O8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24/02/2025, referente ao pedido Nº Pedido 870 Rastreio Pedido 870, agradecemos a preferência e adoraríamos receber sua avaliação, tendo qualquer dúvida estamos à disposição.
Att
Tem tudo Shop</v>
      </c>
    </row>
    <row r="879" spans="1:15">
      <c r="A879" s="52" t="str">
        <f>_xlfn.XLOOKUP(Follow[[#This Row],[CODRASTREIO]],Controle_Pedidos[Cód Rastreamento],Controle_Pedidos[Número Pedido Cliente])</f>
        <v>Pedido 871</v>
      </c>
      <c r="B879" s="2" t="s">
        <v>18290</v>
      </c>
      <c r="C879" s="2" t="str">
        <f>Follow[[#This Row],[CODRASTREIO]]&amp;" B"</f>
        <v>CódRastreio848 B</v>
      </c>
      <c r="D879" s="52" t="str">
        <f>_xlfn.XLOOKUP(Follow[[#This Row],[Id Pedido]],Controle_Pedidos[Número Pedido Cliente],Controle_Pedidos[Loja])</f>
        <v>BV</v>
      </c>
      <c r="E879" s="9">
        <f>_xlfn.XLOOKUP(Follow[[#This Row],[Id Pedido]],Controle_Pedidos[Número Pedido Cliente],Controle_Pedidos[Prazo Entrega])</f>
        <v>45713</v>
      </c>
      <c r="F879" s="9" t="s">
        <v>19433</v>
      </c>
      <c r="G879" s="9" t="s">
        <v>37</v>
      </c>
      <c r="H879" s="52" t="s">
        <v>179</v>
      </c>
      <c r="I879" s="52" t="s">
        <v>178</v>
      </c>
      <c r="J879" s="55">
        <v>45706</v>
      </c>
      <c r="K879" s="52" t="s">
        <v>198</v>
      </c>
      <c r="L879" s="8" t="s">
        <v>124</v>
      </c>
      <c r="M879" s="8" t="s">
        <v>37</v>
      </c>
      <c r="N879" s="52" t="str">
        <f>IF(Follow[[#This Row],[DATAATUALIZAÇÃO]]&lt;=Follow[[#This Row],[Prev Entrega]],"Dentro do Prazo","Fora do Prazo")</f>
        <v>Dentro do Prazo</v>
      </c>
      <c r="O8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18/02/2025, referente ao pedido Nº Pedido 871 Rastreio Pedido 871, agradecemos a preferência e adoraríamos receber sua avaliação, tendo qualquer dúvida estamos à disposição.
Att
Tem tudo Shop</v>
      </c>
    </row>
    <row r="880" spans="1:15">
      <c r="A880" s="52" t="str">
        <f>_xlfn.XLOOKUP(Follow[[#This Row],[CODRASTREIO]],Controle_Pedidos[Cód Rastreamento],Controle_Pedidos[Número Pedido Cliente])</f>
        <v>Pedido 872</v>
      </c>
      <c r="B880" s="2" t="s">
        <v>18291</v>
      </c>
      <c r="C880" s="2" t="str">
        <f>Follow[[#This Row],[CODRASTREIO]]&amp;" B"</f>
        <v>CódRastreio849 B</v>
      </c>
      <c r="D880" s="52" t="str">
        <f>_xlfn.XLOOKUP(Follow[[#This Row],[Id Pedido]],Controle_Pedidos[Número Pedido Cliente],Controle_Pedidos[Loja])</f>
        <v>BV</v>
      </c>
      <c r="E880" s="9">
        <f>_xlfn.XLOOKUP(Follow[[#This Row],[Id Pedido]],Controle_Pedidos[Número Pedido Cliente],Controle_Pedidos[Prazo Entrega])</f>
        <v>45713</v>
      </c>
      <c r="F880" s="9" t="s">
        <v>19433</v>
      </c>
      <c r="G880" s="9" t="s">
        <v>37</v>
      </c>
      <c r="H880" s="52" t="s">
        <v>179</v>
      </c>
      <c r="I880" s="52" t="s">
        <v>178</v>
      </c>
      <c r="J880" s="55">
        <v>45700</v>
      </c>
      <c r="K880" s="52" t="s">
        <v>198</v>
      </c>
      <c r="L880" s="8" t="s">
        <v>124</v>
      </c>
      <c r="M880" s="8" t="s">
        <v>37</v>
      </c>
      <c r="N880" s="52" t="str">
        <f>IF(Follow[[#This Row],[DATAATUALIZAÇÃO]]&lt;=Follow[[#This Row],[Prev Entrega]],"Dentro do Prazo","Fora do Prazo")</f>
        <v>Dentro do Prazo</v>
      </c>
      <c r="O8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12/02/2025, referente ao pedido Nº Pedido 872 Rastreio Pedido 872, agradecemos a preferência e adoraríamos receber sua avaliação, tendo qualquer dúvida estamos à disposição.
Att
Tem tudo Shop</v>
      </c>
    </row>
    <row r="881" spans="1:15">
      <c r="A881" s="52" t="str">
        <f>_xlfn.XLOOKUP(Follow[[#This Row],[CODRASTREIO]],Controle_Pedidos[Cód Rastreamento],Controle_Pedidos[Número Pedido Cliente])</f>
        <v>Pedido 868</v>
      </c>
      <c r="B881" s="2" t="s">
        <v>18287</v>
      </c>
      <c r="C881" s="2" t="str">
        <f>Follow[[#This Row],[CODRASTREIO]]&amp;" B"</f>
        <v>CódRastreio845 B</v>
      </c>
      <c r="D881" s="52" t="str">
        <f>_xlfn.XLOOKUP(Follow[[#This Row],[Id Pedido]],Controle_Pedidos[Número Pedido Cliente],Controle_Pedidos[Loja])</f>
        <v>BV</v>
      </c>
      <c r="E881" s="9">
        <f>_xlfn.XLOOKUP(Follow[[#This Row],[Id Pedido]],Controle_Pedidos[Número Pedido Cliente],Controle_Pedidos[Prazo Entrega])</f>
        <v>45709</v>
      </c>
      <c r="F881" s="9" t="s">
        <v>19433</v>
      </c>
      <c r="G881" s="9" t="s">
        <v>37</v>
      </c>
      <c r="H881" s="52" t="s">
        <v>178</v>
      </c>
      <c r="I881" s="52" t="s">
        <v>178</v>
      </c>
      <c r="J881" s="55">
        <v>45698</v>
      </c>
      <c r="K881" s="52" t="s">
        <v>198</v>
      </c>
      <c r="L881" s="8" t="s">
        <v>124</v>
      </c>
      <c r="M881" s="8" t="s">
        <v>37</v>
      </c>
      <c r="N881" s="52" t="str">
        <f>IF(Follow[[#This Row],[DATAATUALIZAÇÃO]]&lt;=Follow[[#This Row],[Prev Entrega]],"Dentro do Prazo","Fora do Prazo")</f>
        <v>Dentro do Prazo</v>
      </c>
      <c r="O8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10/02/2025, referente ao pedido Nº Pedido 868 Rastreio Pedido 868, agradecemos a preferência e adoraríamos receber sua avaliação, tendo qualquer dúvida estamos à disposição.
Att
Tem tudo Shop</v>
      </c>
    </row>
    <row r="882" spans="1:15">
      <c r="A882" s="52" t="str">
        <f>_xlfn.XLOOKUP(Follow[[#This Row],[CODRASTREIO]],Controle_Pedidos[Cód Rastreamento],Controle_Pedidos[Número Pedido Cliente])</f>
        <v>Pedido 867</v>
      </c>
      <c r="B882" s="2" t="s">
        <v>18286</v>
      </c>
      <c r="C882" s="2" t="str">
        <f>Follow[[#This Row],[CODRASTREIO]]&amp;" B"</f>
        <v>CódRastreio844 B</v>
      </c>
      <c r="D882" s="52" t="str">
        <f>_xlfn.XLOOKUP(Follow[[#This Row],[Id Pedido]],Controle_Pedidos[Número Pedido Cliente],Controle_Pedidos[Loja])</f>
        <v>BV</v>
      </c>
      <c r="E882" s="9">
        <f>_xlfn.XLOOKUP(Follow[[#This Row],[Id Pedido]],Controle_Pedidos[Número Pedido Cliente],Controle_Pedidos[Prazo Entrega])</f>
        <v>45717</v>
      </c>
      <c r="F882" s="9" t="s">
        <v>19433</v>
      </c>
      <c r="G882" s="9" t="s">
        <v>37</v>
      </c>
      <c r="H882" s="52" t="s">
        <v>179</v>
      </c>
      <c r="I882" s="52" t="s">
        <v>178</v>
      </c>
      <c r="J882" s="55">
        <v>45708</v>
      </c>
      <c r="K882" s="52" t="s">
        <v>198</v>
      </c>
      <c r="L882" s="8" t="s">
        <v>124</v>
      </c>
      <c r="M882" s="8" t="s">
        <v>37</v>
      </c>
      <c r="N882" s="52" t="str">
        <f>IF(Follow[[#This Row],[DATAATUALIZAÇÃO]]&lt;=Follow[[#This Row],[Prev Entrega]],"Dentro do Prazo","Fora do Prazo")</f>
        <v>Dentro do Prazo</v>
      </c>
      <c r="O8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20/02/2025, referente ao pedido Nº Pedido 867 Rastreio Pedido 867, agradecemos a preferência e adoraríamos receber sua avaliação, tendo qualquer dúvida estamos à disposição.
Att
Tem tudo Shop</v>
      </c>
    </row>
    <row r="883" spans="1:15">
      <c r="A883" s="52" t="str">
        <f>_xlfn.XLOOKUP(Follow[[#This Row],[CODRASTREIO]],Controle_Pedidos[Cód Rastreamento],Controle_Pedidos[Número Pedido Cliente])</f>
        <v>Pedido 874</v>
      </c>
      <c r="B883" s="2" t="s">
        <v>18293</v>
      </c>
      <c r="C883" s="2" t="str">
        <f>Follow[[#This Row],[CODRASTREIO]]&amp;" B"</f>
        <v>CódRastreio851 B</v>
      </c>
      <c r="D883" s="52" t="str">
        <f>_xlfn.XLOOKUP(Follow[[#This Row],[Id Pedido]],Controle_Pedidos[Número Pedido Cliente],Controle_Pedidos[Loja])</f>
        <v>BV</v>
      </c>
      <c r="E883" s="9">
        <f>_xlfn.XLOOKUP(Follow[[#This Row],[Id Pedido]],Controle_Pedidos[Número Pedido Cliente],Controle_Pedidos[Prazo Entrega])</f>
        <v>45723</v>
      </c>
      <c r="F883" s="9" t="s">
        <v>19433</v>
      </c>
      <c r="G883" s="9" t="s">
        <v>37</v>
      </c>
      <c r="H883" s="52" t="s">
        <v>179</v>
      </c>
      <c r="I883" s="52" t="s">
        <v>178</v>
      </c>
      <c r="J883" s="55">
        <v>45705</v>
      </c>
      <c r="K883" s="52" t="s">
        <v>198</v>
      </c>
      <c r="L883" s="8" t="s">
        <v>124</v>
      </c>
      <c r="M883" s="8" t="s">
        <v>37</v>
      </c>
      <c r="N883" s="52" t="str">
        <f>IF(Follow[[#This Row],[DATAATUALIZAÇÃO]]&lt;=Follow[[#This Row],[Prev Entrega]],"Dentro do Prazo","Fora do Prazo")</f>
        <v>Dentro do Prazo</v>
      </c>
      <c r="O8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17/02/2025, referente ao pedido Nº Pedido 874 Rastreio Pedido 874, agradecemos a preferência e adoraríamos receber sua avaliação, tendo qualquer dúvida estamos à disposição.
Att
Tem tudo Shop</v>
      </c>
    </row>
    <row r="884" spans="1:15">
      <c r="A884" s="52" t="str">
        <f>_xlfn.XLOOKUP(Follow[[#This Row],[CODRASTREIO]],Controle_Pedidos[Cód Rastreamento],Controle_Pedidos[Número Pedido Cliente])</f>
        <v>Pedido 876</v>
      </c>
      <c r="B884" s="2" t="s">
        <v>18295</v>
      </c>
      <c r="C884" s="2" t="str">
        <f>Follow[[#This Row],[CODRASTREIO]]&amp;" B"</f>
        <v>CódRastreio853 B</v>
      </c>
      <c r="D884" s="52" t="str">
        <f>_xlfn.XLOOKUP(Follow[[#This Row],[Id Pedido]],Controle_Pedidos[Número Pedido Cliente],Controle_Pedidos[Loja])</f>
        <v>BV</v>
      </c>
      <c r="E884" s="9">
        <f>_xlfn.XLOOKUP(Follow[[#This Row],[Id Pedido]],Controle_Pedidos[Número Pedido Cliente],Controle_Pedidos[Prazo Entrega])</f>
        <v>45714</v>
      </c>
      <c r="F884" s="9" t="s">
        <v>19433</v>
      </c>
      <c r="G884" s="9" t="s">
        <v>37</v>
      </c>
      <c r="H884" s="52" t="s">
        <v>179</v>
      </c>
      <c r="I884" s="52" t="s">
        <v>178</v>
      </c>
      <c r="J884" s="55">
        <v>45701</v>
      </c>
      <c r="K884" s="52" t="s">
        <v>198</v>
      </c>
      <c r="L884" s="8" t="s">
        <v>124</v>
      </c>
      <c r="M884" s="8" t="s">
        <v>37</v>
      </c>
      <c r="N884" s="52" t="str">
        <f>IF(Follow[[#This Row],[DATAATUALIZAÇÃO]]&lt;=Follow[[#This Row],[Prev Entrega]],"Dentro do Prazo","Fora do Prazo")</f>
        <v>Dentro do Prazo</v>
      </c>
      <c r="O8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13/02/2025, referente ao pedido Nº Pedido 876 Rastreio Pedido 876, agradecemos a preferência e adoraríamos receber sua avaliação, tendo qualquer dúvida estamos à disposição.
Att
Tem tudo Shop</v>
      </c>
    </row>
    <row r="885" spans="1:15">
      <c r="A885" s="52" t="str">
        <f>_xlfn.XLOOKUP(Follow[[#This Row],[CODRASTREIO]],Controle_Pedidos[Cód Rastreamento],Controle_Pedidos[Número Pedido Cliente])</f>
        <v>Pedido 877</v>
      </c>
      <c r="B885" s="2" t="s">
        <v>18296</v>
      </c>
      <c r="C885" s="2" t="str">
        <f>Follow[[#This Row],[CODRASTREIO]]&amp;" B"</f>
        <v>CódRastreio854 B</v>
      </c>
      <c r="D885" s="52" t="str">
        <f>_xlfn.XLOOKUP(Follow[[#This Row],[Id Pedido]],Controle_Pedidos[Número Pedido Cliente],Controle_Pedidos[Loja])</f>
        <v>BV</v>
      </c>
      <c r="E885" s="9">
        <f>_xlfn.XLOOKUP(Follow[[#This Row],[Id Pedido]],Controle_Pedidos[Número Pedido Cliente],Controle_Pedidos[Prazo Entrega])</f>
        <v>45714</v>
      </c>
      <c r="F885" s="9" t="s">
        <v>19433</v>
      </c>
      <c r="G885" s="9" t="s">
        <v>37</v>
      </c>
      <c r="H885" s="52" t="s">
        <v>179</v>
      </c>
      <c r="I885" s="52" t="s">
        <v>178</v>
      </c>
      <c r="J885" s="55">
        <v>45705</v>
      </c>
      <c r="K885" s="52" t="s">
        <v>198</v>
      </c>
      <c r="L885" s="8" t="s">
        <v>124</v>
      </c>
      <c r="M885" s="8" t="s">
        <v>37</v>
      </c>
      <c r="N885" s="52" t="str">
        <f>IF(Follow[[#This Row],[DATAATUALIZAÇÃO]]&lt;=Follow[[#This Row],[Prev Entrega]],"Dentro do Prazo","Fora do Prazo")</f>
        <v>Dentro do Prazo</v>
      </c>
      <c r="O8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17/02/2025, referente ao pedido Nº Pedido 877 Rastreio Pedido 877, agradecemos a preferência e adoraríamos receber sua avaliação, tendo qualquer dúvida estamos à disposição.
Att
Tem tudo Shop</v>
      </c>
    </row>
    <row r="886" spans="1:15">
      <c r="A886" s="52" t="str">
        <f>_xlfn.XLOOKUP(Follow[[#This Row],[CODRASTREIO]],Controle_Pedidos[Cód Rastreamento],Controle_Pedidos[Número Pedido Cliente])</f>
        <v>Pedido 900</v>
      </c>
      <c r="B886" s="2" t="s">
        <v>18319</v>
      </c>
      <c r="C886" s="2" t="str">
        <f>Follow[[#This Row],[CODRASTREIO]]&amp;" B"</f>
        <v>CódRastreio877 B</v>
      </c>
      <c r="D886" s="52" t="str">
        <f>_xlfn.XLOOKUP(Follow[[#This Row],[Id Pedido]],Controle_Pedidos[Número Pedido Cliente],Controle_Pedidos[Loja])</f>
        <v>GO</v>
      </c>
      <c r="E886" s="9">
        <f>_xlfn.XLOOKUP(Follow[[#This Row],[Id Pedido]],Controle_Pedidos[Número Pedido Cliente],Controle_Pedidos[Prazo Entrega])</f>
        <v>45723</v>
      </c>
      <c r="F886" s="9" t="s">
        <v>19433</v>
      </c>
      <c r="G886" s="9" t="s">
        <v>37</v>
      </c>
      <c r="H886" s="52" t="s">
        <v>179</v>
      </c>
      <c r="I886" s="52" t="s">
        <v>178</v>
      </c>
      <c r="J886" s="55">
        <v>45701</v>
      </c>
      <c r="K886" s="52" t="s">
        <v>198</v>
      </c>
      <c r="L886" s="8" t="s">
        <v>124</v>
      </c>
      <c r="M886" s="8" t="s">
        <v>37</v>
      </c>
      <c r="N886" s="52" t="str">
        <f>IF(Follow[[#This Row],[DATAATUALIZAÇÃO]]&lt;=Follow[[#This Row],[Prev Entrega]],"Dentro do Prazo","Fora do Prazo")</f>
        <v>Dentro do Prazo</v>
      </c>
      <c r="O8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13/02/2025, referente ao pedido Nº Pedido 900 Rastreio Pedido 900, agradecemos a preferência e adoraríamos receber sua avaliação, tendo qualquer dúvida estamos à disposição.
Att
Sec Variedades</v>
      </c>
    </row>
    <row r="887" spans="1:15">
      <c r="A887" s="52" t="str">
        <f>_xlfn.XLOOKUP(Follow[[#This Row],[CODRASTREIO]],Controle_Pedidos[Cód Rastreamento],Controle_Pedidos[Número Pedido Cliente])</f>
        <v>Pedido 875</v>
      </c>
      <c r="B887" s="2" t="s">
        <v>18294</v>
      </c>
      <c r="C887" s="2" t="str">
        <f>Follow[[#This Row],[CODRASTREIO]]&amp;" B"</f>
        <v>CódRastreio852 B</v>
      </c>
      <c r="D887" s="52" t="str">
        <f>_xlfn.XLOOKUP(Follow[[#This Row],[Id Pedido]],Controle_Pedidos[Número Pedido Cliente],Controle_Pedidos[Loja])</f>
        <v>BV</v>
      </c>
      <c r="E887" s="9">
        <f>_xlfn.XLOOKUP(Follow[[#This Row],[Id Pedido]],Controle_Pedidos[Número Pedido Cliente],Controle_Pedidos[Prazo Entrega])</f>
        <v>45710</v>
      </c>
      <c r="F887" s="9" t="s">
        <v>19433</v>
      </c>
      <c r="G887" s="9" t="s">
        <v>37</v>
      </c>
      <c r="H887" s="52" t="s">
        <v>178</v>
      </c>
      <c r="I887" s="52" t="s">
        <v>178</v>
      </c>
      <c r="J887" s="55">
        <v>45698</v>
      </c>
      <c r="K887" s="52" t="s">
        <v>198</v>
      </c>
      <c r="L887" s="8" t="s">
        <v>124</v>
      </c>
      <c r="M887" s="8" t="s">
        <v>37</v>
      </c>
      <c r="N887" s="52" t="str">
        <f>IF(Follow[[#This Row],[DATAATUALIZAÇÃO]]&lt;=Follow[[#This Row],[Prev Entrega]],"Dentro do Prazo","Fora do Prazo")</f>
        <v>Dentro do Prazo</v>
      </c>
      <c r="O8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10/02/2025, referente ao pedido Nº Pedido 875 Rastreio Pedido 875, agradecemos a preferência e adoraríamos receber sua avaliação, tendo qualquer dúvida estamos à disposição.
Att
Tem tudo Shop</v>
      </c>
    </row>
    <row r="888" spans="1:15">
      <c r="A888" s="52" t="str">
        <f>_xlfn.XLOOKUP(Follow[[#This Row],[CODRASTREIO]],Controle_Pedidos[Cód Rastreamento],Controle_Pedidos[Número Pedido Cliente])</f>
        <v>Pedido 901</v>
      </c>
      <c r="B888" s="2" t="s">
        <v>18320</v>
      </c>
      <c r="C888" s="2" t="str">
        <f>Follow[[#This Row],[CODRASTREIO]]&amp;" B"</f>
        <v>CódRastreio878 B</v>
      </c>
      <c r="D888" s="52" t="str">
        <f>_xlfn.XLOOKUP(Follow[[#This Row],[Id Pedido]],Controle_Pedidos[Número Pedido Cliente],Controle_Pedidos[Loja])</f>
        <v>GO</v>
      </c>
      <c r="E888" s="9">
        <f>_xlfn.XLOOKUP(Follow[[#This Row],[Id Pedido]],Controle_Pedidos[Número Pedido Cliente],Controle_Pedidos[Prazo Entrega])</f>
        <v>45723</v>
      </c>
      <c r="F888" s="9" t="s">
        <v>19433</v>
      </c>
      <c r="G888" s="9" t="s">
        <v>37</v>
      </c>
      <c r="H888" s="52" t="s">
        <v>179</v>
      </c>
      <c r="I888" s="52" t="s">
        <v>178</v>
      </c>
      <c r="J888" s="55">
        <v>45713</v>
      </c>
      <c r="K888" s="52" t="s">
        <v>198</v>
      </c>
      <c r="L888" s="8" t="s">
        <v>124</v>
      </c>
      <c r="M888" s="8" t="s">
        <v>208</v>
      </c>
      <c r="N888" s="52" t="str">
        <f>IF(Follow[[#This Row],[DATAATUALIZAÇÃO]]&lt;=Follow[[#This Row],[Prev Entrega]],"Dentro do Prazo","Fora do Prazo")</f>
        <v>Dentro do Prazo</v>
      </c>
      <c r="O8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25/02/2025, referente ao pedido Nº Pedido 901 Rastreio Pedido 901, agradecemos a preferência e adoraríamos receber sua avaliação, tendo qualquer dúvida estamos à disposição.
Att
Sec Variedades</v>
      </c>
    </row>
    <row r="889" spans="1:15">
      <c r="A889" s="52" t="str">
        <f>_xlfn.XLOOKUP(Follow[[#This Row],[CODRASTREIO]],Controle_Pedidos[Cód Rastreamento],Controle_Pedidos[Número Pedido Cliente])</f>
        <v>Pedido 902</v>
      </c>
      <c r="B889" s="2" t="s">
        <v>18321</v>
      </c>
      <c r="C889" s="2" t="str">
        <f>Follow[[#This Row],[CODRASTREIO]]&amp;" B"</f>
        <v>CódRastreio879 B</v>
      </c>
      <c r="D889" s="52" t="str">
        <f>_xlfn.XLOOKUP(Follow[[#This Row],[Id Pedido]],Controle_Pedidos[Número Pedido Cliente],Controle_Pedidos[Loja])</f>
        <v>MEI</v>
      </c>
      <c r="E889" s="9">
        <f>_xlfn.XLOOKUP(Follow[[#This Row],[Id Pedido]],Controle_Pedidos[Número Pedido Cliente],Controle_Pedidos[Prazo Entrega])</f>
        <v>45714</v>
      </c>
      <c r="F889" s="9" t="s">
        <v>19433</v>
      </c>
      <c r="G889" s="9" t="s">
        <v>37</v>
      </c>
      <c r="H889" s="52" t="s">
        <v>179</v>
      </c>
      <c r="I889" s="52" t="s">
        <v>178</v>
      </c>
      <c r="J889" s="55">
        <v>45707</v>
      </c>
      <c r="K889" s="52" t="s">
        <v>198</v>
      </c>
      <c r="L889" s="8" t="s">
        <v>124</v>
      </c>
      <c r="M889" s="8" t="s">
        <v>37</v>
      </c>
      <c r="N889" s="52" t="str">
        <f>IF(Follow[[#This Row],[DATAATUALIZAÇÃO]]&lt;=Follow[[#This Row],[Prev Entrega]],"Dentro do Prazo","Fora do Prazo")</f>
        <v>Dentro do Prazo</v>
      </c>
      <c r="O8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19/02/2025, referente ao pedido Nº Pedido 902 Rastreio Pedido 902, agradecemos a preferência e adoraríamos receber sua avaliação, tendo qualquer dúvida estamos à disposição.
Att
NTA Variedades</v>
      </c>
    </row>
    <row r="890" spans="1:15">
      <c r="A890" s="52" t="str">
        <f>_xlfn.XLOOKUP(Follow[[#This Row],[CODRASTREIO]],Controle_Pedidos[Cód Rastreamento],Controle_Pedidos[Número Pedido Cliente])</f>
        <v>Pedido 903</v>
      </c>
      <c r="B890" s="2" t="s">
        <v>18322</v>
      </c>
      <c r="C890" s="2" t="str">
        <f>Follow[[#This Row],[CODRASTREIO]]&amp;" B"</f>
        <v>CódRastreio880 B</v>
      </c>
      <c r="D890" s="52" t="str">
        <f>_xlfn.XLOOKUP(Follow[[#This Row],[Id Pedido]],Controle_Pedidos[Número Pedido Cliente],Controle_Pedidos[Loja])</f>
        <v>MEI</v>
      </c>
      <c r="E890" s="9">
        <f>_xlfn.XLOOKUP(Follow[[#This Row],[Id Pedido]],Controle_Pedidos[Número Pedido Cliente],Controle_Pedidos[Prazo Entrega])</f>
        <v>45714</v>
      </c>
      <c r="F890" s="9" t="s">
        <v>19433</v>
      </c>
      <c r="G890" s="9" t="s">
        <v>37</v>
      </c>
      <c r="H890" s="52" t="s">
        <v>179</v>
      </c>
      <c r="I890" s="52" t="s">
        <v>178</v>
      </c>
      <c r="J890" s="55">
        <v>45708</v>
      </c>
      <c r="K890" s="52" t="s">
        <v>198</v>
      </c>
      <c r="L890" s="8" t="s">
        <v>124</v>
      </c>
      <c r="M890" s="8" t="s">
        <v>37</v>
      </c>
      <c r="N890" s="52" t="str">
        <f>IF(Follow[[#This Row],[DATAATUALIZAÇÃO]]&lt;=Follow[[#This Row],[Prev Entrega]],"Dentro do Prazo","Fora do Prazo")</f>
        <v>Dentro do Prazo</v>
      </c>
      <c r="O89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20/02/2025, referente ao pedido Nº Pedido 903 Rastreio Pedido 903, agradecemos a preferência e adoraríamos receber sua avaliação, tendo qualquer dúvida estamos à disposição.
Att
NTA Variedades</v>
      </c>
    </row>
    <row r="891" spans="1:15">
      <c r="A891" s="52" t="str">
        <f>_xlfn.XLOOKUP(Follow[[#This Row],[CODRASTREIO]],Controle_Pedidos[Cód Rastreamento],Controle_Pedidos[Número Pedido Cliente])</f>
        <v>Pedido 904</v>
      </c>
      <c r="B891" s="2" t="s">
        <v>18323</v>
      </c>
      <c r="C891" s="2" t="str">
        <f>Follow[[#This Row],[CODRASTREIO]]&amp;" B"</f>
        <v>CódRastreio881 B</v>
      </c>
      <c r="D891" s="52" t="str">
        <f>_xlfn.XLOOKUP(Follow[[#This Row],[Id Pedido]],Controle_Pedidos[Número Pedido Cliente],Controle_Pedidos[Loja])</f>
        <v>MEI</v>
      </c>
      <c r="E891" s="9">
        <f>_xlfn.XLOOKUP(Follow[[#This Row],[Id Pedido]],Controle_Pedidos[Número Pedido Cliente],Controle_Pedidos[Prazo Entrega])</f>
        <v>45714</v>
      </c>
      <c r="F891" s="9" t="s">
        <v>19433</v>
      </c>
      <c r="G891" s="9" t="s">
        <v>37</v>
      </c>
      <c r="H891" s="52" t="s">
        <v>179</v>
      </c>
      <c r="I891" s="52" t="s">
        <v>178</v>
      </c>
      <c r="J891" s="55">
        <v>45710</v>
      </c>
      <c r="K891" s="52" t="s">
        <v>198</v>
      </c>
      <c r="L891" s="8" t="s">
        <v>124</v>
      </c>
      <c r="M891" s="8" t="s">
        <v>37</v>
      </c>
      <c r="N891" s="52" t="str">
        <f>IF(Follow[[#This Row],[DATAATUALIZAÇÃO]]&lt;=Follow[[#This Row],[Prev Entrega]],"Dentro do Prazo","Fora do Prazo")</f>
        <v>Dentro do Prazo</v>
      </c>
      <c r="O8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22/02/2025, referente ao pedido Nº Pedido 904 Rastreio Pedido 904, agradecemos a preferência e adoraríamos receber sua avaliação, tendo qualquer dúvida estamos à disposição.
Att
NTA Variedades</v>
      </c>
    </row>
    <row r="892" spans="1:15">
      <c r="A892" s="52" t="str">
        <f>_xlfn.XLOOKUP(Follow[[#This Row],[CODRASTREIO]],Controle_Pedidos[Cód Rastreamento],Controle_Pedidos[Número Pedido Cliente])</f>
        <v>Pedido 905</v>
      </c>
      <c r="B892" s="2" t="s">
        <v>18324</v>
      </c>
      <c r="C892" s="2" t="str">
        <f>Follow[[#This Row],[CODRASTREIO]]&amp;" B"</f>
        <v>CódRastreio882 B</v>
      </c>
      <c r="D892" s="52" t="str">
        <f>_xlfn.XLOOKUP(Follow[[#This Row],[Id Pedido]],Controle_Pedidos[Número Pedido Cliente],Controle_Pedidos[Loja])</f>
        <v>MEI</v>
      </c>
      <c r="E892" s="9">
        <f>_xlfn.XLOOKUP(Follow[[#This Row],[Id Pedido]],Controle_Pedidos[Número Pedido Cliente],Controle_Pedidos[Prazo Entrega])</f>
        <v>45723</v>
      </c>
      <c r="F892" s="9" t="s">
        <v>19433</v>
      </c>
      <c r="G892" s="122" t="s">
        <v>209</v>
      </c>
      <c r="H892" s="9" t="s">
        <v>179</v>
      </c>
      <c r="I892" s="9" t="s">
        <v>178</v>
      </c>
      <c r="J892" s="9">
        <v>45714</v>
      </c>
      <c r="K892" s="8" t="s">
        <v>198</v>
      </c>
      <c r="L892" s="8" t="s">
        <v>124</v>
      </c>
      <c r="M892" s="8" t="s">
        <v>37</v>
      </c>
      <c r="N892" s="52" t="str">
        <f>IF(Follow[[#This Row],[DATAATUALIZAÇÃO]]&lt;=Follow[[#This Row],[Prev Entrega]],"Dentro do Prazo","Fora do Prazo")</f>
        <v>Dentro do Prazo</v>
      </c>
      <c r="O8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26/02/2025, referente ao pedido Nº Pedido 905 Rastreio CNBR00048377449, agradecemos a preferência e adoraríamos receber sua avaliação, tendo qualquer dúvida estamos à disposição.
Att
NTA Variedades</v>
      </c>
    </row>
    <row r="893" spans="1:15">
      <c r="A893" s="52" t="str">
        <f>_xlfn.XLOOKUP(Follow[[#This Row],[CODRASTREIO]],Controle_Pedidos[Cód Rastreamento],Controle_Pedidos[Número Pedido Cliente])</f>
        <v>Pedido 906</v>
      </c>
      <c r="B893" s="2" t="s">
        <v>18325</v>
      </c>
      <c r="C893" s="2" t="str">
        <f>Follow[[#This Row],[CODRASTREIO]]&amp;" B"</f>
        <v>CódRastreio883 B</v>
      </c>
      <c r="D893" s="52" t="str">
        <f>_xlfn.XLOOKUP(Follow[[#This Row],[Id Pedido]],Controle_Pedidos[Número Pedido Cliente],Controle_Pedidos[Loja])</f>
        <v>MEI</v>
      </c>
      <c r="E893" s="9">
        <f>_xlfn.XLOOKUP(Follow[[#This Row],[Id Pedido]],Controle_Pedidos[Número Pedido Cliente],Controle_Pedidos[Prazo Entrega])</f>
        <v>45714</v>
      </c>
      <c r="F893" s="9" t="s">
        <v>19433</v>
      </c>
      <c r="G893" s="9" t="s">
        <v>37</v>
      </c>
      <c r="H893" s="52" t="s">
        <v>179</v>
      </c>
      <c r="I893" s="52" t="s">
        <v>178</v>
      </c>
      <c r="J893" s="55">
        <v>45709</v>
      </c>
      <c r="K893" s="52" t="s">
        <v>198</v>
      </c>
      <c r="L893" s="8" t="s">
        <v>124</v>
      </c>
      <c r="M893" s="8" t="s">
        <v>37</v>
      </c>
      <c r="N893" s="52" t="str">
        <f>IF(Follow[[#This Row],[DATAATUALIZAÇÃO]]&lt;=Follow[[#This Row],[Prev Entrega]],"Dentro do Prazo","Fora do Prazo")</f>
        <v>Dentro do Prazo</v>
      </c>
      <c r="O8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21/02/2025, referente ao pedido Nº Pedido 906 Rastreio Pedido 906, agradecemos a preferência e adoraríamos receber sua avaliação, tendo qualquer dúvida estamos à disposição.
Att
NTA Variedades</v>
      </c>
    </row>
    <row r="894" spans="1:15">
      <c r="A894" s="52" t="str">
        <f>_xlfn.XLOOKUP(Follow[[#This Row],[CODRASTREIO]],Controle_Pedidos[Cód Rastreamento],Controle_Pedidos[Número Pedido Cliente])</f>
        <v>Pedido 907</v>
      </c>
      <c r="B894" s="2" t="s">
        <v>18326</v>
      </c>
      <c r="C894" s="2" t="str">
        <f>Follow[[#This Row],[CODRASTREIO]]&amp;" B"</f>
        <v>CódRastreio884 B</v>
      </c>
      <c r="D894" s="52" t="str">
        <f>_xlfn.XLOOKUP(Follow[[#This Row],[Id Pedido]],Controle_Pedidos[Número Pedido Cliente],Controle_Pedidos[Loja])</f>
        <v>MEI</v>
      </c>
      <c r="E894" s="9">
        <f>_xlfn.XLOOKUP(Follow[[#This Row],[Id Pedido]],Controle_Pedidos[Número Pedido Cliente],Controle_Pedidos[Prazo Entrega])</f>
        <v>45723</v>
      </c>
      <c r="F894" s="9" t="s">
        <v>19433</v>
      </c>
      <c r="G894" s="9" t="s">
        <v>37</v>
      </c>
      <c r="H894" s="52" t="s">
        <v>179</v>
      </c>
      <c r="I894" s="52" t="s">
        <v>178</v>
      </c>
      <c r="J894" s="55">
        <v>45712</v>
      </c>
      <c r="K894" s="52" t="s">
        <v>198</v>
      </c>
      <c r="L894" s="8" t="s">
        <v>124</v>
      </c>
      <c r="M894" s="8" t="s">
        <v>37</v>
      </c>
      <c r="N894" s="52" t="str">
        <f>IF(Follow[[#This Row],[DATAATUALIZAÇÃO]]&lt;=Follow[[#This Row],[Prev Entrega]],"Dentro do Prazo","Fora do Prazo")</f>
        <v>Dentro do Prazo</v>
      </c>
      <c r="O8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24/02/2025, referente ao pedido Nº Pedido 907 Rastreio Pedido 907, agradecemos a preferência e adoraríamos receber sua avaliação, tendo qualquer dúvida estamos à disposição.
Att
NTA Variedades</v>
      </c>
    </row>
    <row r="895" spans="1:15">
      <c r="A895" s="52" t="str">
        <f>_xlfn.XLOOKUP(Follow[[#This Row],[CODRASTREIO]],Controle_Pedidos[Cód Rastreamento],Controle_Pedidos[Número Pedido Cliente])</f>
        <v>Pedido 908</v>
      </c>
      <c r="B895" s="2" t="s">
        <v>18327</v>
      </c>
      <c r="C895" s="2" t="str">
        <f>Follow[[#This Row],[CODRASTREIO]]&amp;" B"</f>
        <v>CódRastreio885 B</v>
      </c>
      <c r="D895" s="52" t="str">
        <f>_xlfn.XLOOKUP(Follow[[#This Row],[Id Pedido]],Controle_Pedidos[Número Pedido Cliente],Controle_Pedidos[Loja])</f>
        <v>MEI</v>
      </c>
      <c r="E895" s="9">
        <f>_xlfn.XLOOKUP(Follow[[#This Row],[Id Pedido]],Controle_Pedidos[Número Pedido Cliente],Controle_Pedidos[Prazo Entrega])</f>
        <v>45723</v>
      </c>
      <c r="F895" s="9" t="s">
        <v>19433</v>
      </c>
      <c r="G895" s="9" t="s">
        <v>37</v>
      </c>
      <c r="H895" s="52" t="s">
        <v>179</v>
      </c>
      <c r="I895" s="52" t="s">
        <v>178</v>
      </c>
      <c r="J895" s="55">
        <v>45712</v>
      </c>
      <c r="K895" s="52" t="s">
        <v>198</v>
      </c>
      <c r="L895" s="8" t="s">
        <v>124</v>
      </c>
      <c r="M895" s="8" t="s">
        <v>37</v>
      </c>
      <c r="N895" s="52" t="str">
        <f>IF(Follow[[#This Row],[DATAATUALIZAÇÃO]]&lt;=Follow[[#This Row],[Prev Entrega]],"Dentro do Prazo","Fora do Prazo")</f>
        <v>Dentro do Prazo</v>
      </c>
      <c r="O8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24/02/2025, referente ao pedido Nº Pedido 908 Rastreio Pedido 908, agradecemos a preferência e adoraríamos receber sua avaliação, tendo qualquer dúvida estamos à disposição.
Att
NTA Variedades</v>
      </c>
    </row>
    <row r="896" spans="1:15">
      <c r="A896" s="52" t="str">
        <f>_xlfn.XLOOKUP(Follow[[#This Row],[CODRASTREIO]],Controle_Pedidos[Cód Rastreamento],Controle_Pedidos[Número Pedido Cliente])</f>
        <v>Pedido 909</v>
      </c>
      <c r="B896" s="2" t="s">
        <v>18328</v>
      </c>
      <c r="C896" s="2" t="str">
        <f>Follow[[#This Row],[CODRASTREIO]]&amp;" B"</f>
        <v>CódRastreio886 B</v>
      </c>
      <c r="D896" s="52" t="str">
        <f>_xlfn.XLOOKUP(Follow[[#This Row],[Id Pedido]],Controle_Pedidos[Número Pedido Cliente],Controle_Pedidos[Loja])</f>
        <v>MEI</v>
      </c>
      <c r="E896" s="9">
        <f>_xlfn.XLOOKUP(Follow[[#This Row],[Id Pedido]],Controle_Pedidos[Número Pedido Cliente],Controle_Pedidos[Prazo Entrega])</f>
        <v>45714</v>
      </c>
      <c r="F896" s="9" t="s">
        <v>19433</v>
      </c>
      <c r="G896" s="9" t="s">
        <v>37</v>
      </c>
      <c r="H896" s="52" t="s">
        <v>179</v>
      </c>
      <c r="I896" s="52" t="s">
        <v>178</v>
      </c>
      <c r="J896" s="55">
        <v>45712</v>
      </c>
      <c r="K896" s="52" t="s">
        <v>198</v>
      </c>
      <c r="L896" s="8" t="s">
        <v>124</v>
      </c>
      <c r="M896" s="8" t="s">
        <v>37</v>
      </c>
      <c r="N896" s="52" t="str">
        <f>IF(Follow[[#This Row],[DATAATUALIZAÇÃO]]&lt;=Follow[[#This Row],[Prev Entrega]],"Dentro do Prazo","Fora do Prazo")</f>
        <v>Dentro do Prazo</v>
      </c>
      <c r="O89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24/02/2025, referente ao pedido Nº Pedido 909 Rastreio Pedido 909, agradecemos a preferência e adoraríamos receber sua avaliação, tendo qualquer dúvida estamos à disposição.
Att
NTA Variedades</v>
      </c>
    </row>
    <row r="897" spans="1:15">
      <c r="A897" s="52" t="str">
        <f>_xlfn.XLOOKUP(Follow[[#This Row],[CODRASTREIO]],Controle_Pedidos[Cód Rastreamento],Controle_Pedidos[Número Pedido Cliente])</f>
        <v>Pedido 910</v>
      </c>
      <c r="B897" s="2" t="s">
        <v>18329</v>
      </c>
      <c r="C897" s="2" t="str">
        <f>Follow[[#This Row],[CODRASTREIO]]&amp;" B"</f>
        <v>CódRastreio887 B</v>
      </c>
      <c r="D897" s="52" t="str">
        <f>_xlfn.XLOOKUP(Follow[[#This Row],[Id Pedido]],Controle_Pedidos[Número Pedido Cliente],Controle_Pedidos[Loja])</f>
        <v>MEI</v>
      </c>
      <c r="E897" s="9">
        <f>_xlfn.XLOOKUP(Follow[[#This Row],[Id Pedido]],Controle_Pedidos[Número Pedido Cliente],Controle_Pedidos[Prazo Entrega])</f>
        <v>45723</v>
      </c>
      <c r="F897" s="9" t="s">
        <v>19433</v>
      </c>
      <c r="G897" s="122" t="s">
        <v>210</v>
      </c>
      <c r="H897" s="9" t="s">
        <v>179</v>
      </c>
      <c r="I897" s="9" t="s">
        <v>178</v>
      </c>
      <c r="J897" s="9">
        <v>45715</v>
      </c>
      <c r="K897" s="8" t="s">
        <v>198</v>
      </c>
      <c r="L897" s="8" t="s">
        <v>124</v>
      </c>
      <c r="M897" s="8" t="s">
        <v>205</v>
      </c>
      <c r="N897" s="52" t="str">
        <f>IF(Follow[[#This Row],[DATAATUALIZAÇÃO]]&lt;=Follow[[#This Row],[Prev Entrega]],"Dentro do Prazo","Fora do Prazo")</f>
        <v>Dentro do Prazo</v>
      </c>
      <c r="O89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27/02/2025, referente ao pedido Nº Pedido 910 Rastreio CNBR00048394767, agradecemos a preferência e adoraríamos receber sua avaliação, tendo qualquer dúvida estamos à disposição.
Att
NTA Variedades</v>
      </c>
    </row>
    <row r="898" spans="1:15">
      <c r="A898" s="52" t="str">
        <f>_xlfn.XLOOKUP(Follow[[#This Row],[CODRASTREIO]],Controle_Pedidos[Cód Rastreamento],Controle_Pedidos[Número Pedido Cliente])</f>
        <v>Pedido 911</v>
      </c>
      <c r="B898" s="2" t="s">
        <v>18330</v>
      </c>
      <c r="C898" s="2" t="str">
        <f>Follow[[#This Row],[CODRASTREIO]]&amp;" B"</f>
        <v>CódRastreio888 B</v>
      </c>
      <c r="D898" s="52" t="str">
        <f>_xlfn.XLOOKUP(Follow[[#This Row],[Id Pedido]],Controle_Pedidos[Número Pedido Cliente],Controle_Pedidos[Loja])</f>
        <v>MEI</v>
      </c>
      <c r="E898" s="9">
        <f>_xlfn.XLOOKUP(Follow[[#This Row],[Id Pedido]],Controle_Pedidos[Número Pedido Cliente],Controle_Pedidos[Prazo Entrega])</f>
        <v>45730</v>
      </c>
      <c r="F898" s="9" t="s">
        <v>19433</v>
      </c>
      <c r="G898" s="9" t="s">
        <v>37</v>
      </c>
      <c r="H898" s="52" t="s">
        <v>179</v>
      </c>
      <c r="I898" s="52" t="s">
        <v>178</v>
      </c>
      <c r="J898" s="55">
        <v>45709</v>
      </c>
      <c r="K898" s="52" t="s">
        <v>198</v>
      </c>
      <c r="L898" s="8" t="s">
        <v>124</v>
      </c>
      <c r="M898" s="8" t="s">
        <v>37</v>
      </c>
      <c r="N898" s="52" t="str">
        <f>IF(Follow[[#This Row],[DATAATUALIZAÇÃO]]&lt;=Follow[[#This Row],[Prev Entrega]],"Dentro do Prazo","Fora do Prazo")</f>
        <v>Dentro do Prazo</v>
      </c>
      <c r="O8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21/02/2025, referente ao pedido Nº Pedido 911 Rastreio Pedido 911, agradecemos a preferência e adoraríamos receber sua avaliação, tendo qualquer dúvida estamos à disposição.
Att
NTA Variedades</v>
      </c>
    </row>
    <row r="899" spans="1:15">
      <c r="A899" s="52" t="str">
        <f>_xlfn.XLOOKUP(Follow[[#This Row],[CODRASTREIO]],Controle_Pedidos[Cód Rastreamento],Controle_Pedidos[Número Pedido Cliente])</f>
        <v>Pedido 912</v>
      </c>
      <c r="B899" s="2" t="s">
        <v>18331</v>
      </c>
      <c r="C899" s="2" t="str">
        <f>Follow[[#This Row],[CODRASTREIO]]&amp;" B"</f>
        <v>CódRastreio889 B</v>
      </c>
      <c r="D899" s="52" t="str">
        <f>_xlfn.XLOOKUP(Follow[[#This Row],[Id Pedido]],Controle_Pedidos[Número Pedido Cliente],Controle_Pedidos[Loja])</f>
        <v>MEI</v>
      </c>
      <c r="E899" s="9">
        <f>_xlfn.XLOOKUP(Follow[[#This Row],[Id Pedido]],Controle_Pedidos[Número Pedido Cliente],Controle_Pedidos[Prazo Entrega])</f>
        <v>45714</v>
      </c>
      <c r="F899" s="9" t="s">
        <v>19433</v>
      </c>
      <c r="G899" s="9" t="s">
        <v>37</v>
      </c>
      <c r="H899" s="52" t="s">
        <v>179</v>
      </c>
      <c r="I899" s="52" t="s">
        <v>178</v>
      </c>
      <c r="J899" s="55">
        <v>45705</v>
      </c>
      <c r="K899" s="52" t="s">
        <v>198</v>
      </c>
      <c r="L899" s="8" t="s">
        <v>124</v>
      </c>
      <c r="M899" s="8" t="s">
        <v>37</v>
      </c>
      <c r="N899" s="52" t="str">
        <f>IF(Follow[[#This Row],[DATAATUALIZAÇÃO]]&lt;=Follow[[#This Row],[Prev Entrega]],"Dentro do Prazo","Fora do Prazo")</f>
        <v>Dentro do Prazo</v>
      </c>
      <c r="O8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17/02/2025, referente ao pedido Nº Pedido 912 Rastreio Pedido 912, agradecemos a preferência e adoraríamos receber sua avaliação, tendo qualquer dúvida estamos à disposição.
Att
NTA Variedades</v>
      </c>
    </row>
    <row r="900" spans="1:15">
      <c r="A900" s="52" t="str">
        <f>_xlfn.XLOOKUP(Follow[[#This Row],[CODRASTREIO]],Controle_Pedidos[Cód Rastreamento],Controle_Pedidos[Número Pedido Cliente])</f>
        <v>Pedido 913</v>
      </c>
      <c r="B900" s="2" t="s">
        <v>18332</v>
      </c>
      <c r="C900" s="2" t="str">
        <f>Follow[[#This Row],[CODRASTREIO]]&amp;" B"</f>
        <v>CódRastreio890 B</v>
      </c>
      <c r="D900" s="52" t="str">
        <f>_xlfn.XLOOKUP(Follow[[#This Row],[Id Pedido]],Controle_Pedidos[Número Pedido Cliente],Controle_Pedidos[Loja])</f>
        <v>MEI</v>
      </c>
      <c r="E900" s="9">
        <f>_xlfn.XLOOKUP(Follow[[#This Row],[Id Pedido]],Controle_Pedidos[Número Pedido Cliente],Controle_Pedidos[Prazo Entrega])</f>
        <v>45730</v>
      </c>
      <c r="F900" s="9" t="s">
        <v>19433</v>
      </c>
      <c r="G900" s="122" t="s">
        <v>211</v>
      </c>
      <c r="H900" s="9" t="s">
        <v>179</v>
      </c>
      <c r="I900" s="9" t="s">
        <v>178</v>
      </c>
      <c r="J900" s="9">
        <v>45729</v>
      </c>
      <c r="K900" s="8" t="s">
        <v>198</v>
      </c>
      <c r="L900" s="8" t="s">
        <v>124</v>
      </c>
      <c r="M900" s="8" t="s">
        <v>37</v>
      </c>
      <c r="N900" s="52" t="str">
        <f>IF(Follow[[#This Row],[DATAATUALIZAÇÃO]]&lt;=Follow[[#This Row],[Prev Entrega]],"Dentro do Prazo","Fora do Prazo")</f>
        <v>Dentro do Prazo</v>
      </c>
      <c r="O9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13/03/2025, referente ao pedido Nº Pedido 913 Rastreio NM750498035BR, agradecemos a preferência e adoraríamos receber sua avaliação, tendo qualquer dúvida estamos à disposição.
Att
NTA Variedades</v>
      </c>
    </row>
    <row r="901" spans="1:15">
      <c r="A901" s="52" t="str">
        <f>_xlfn.XLOOKUP(Follow[[#This Row],[CODRASTREIO]],Controle_Pedidos[Cód Rastreamento],Controle_Pedidos[Número Pedido Cliente])</f>
        <v>Pedido 914</v>
      </c>
      <c r="B901" s="2" t="s">
        <v>18333</v>
      </c>
      <c r="C901" s="2" t="str">
        <f>Follow[[#This Row],[CODRASTREIO]]&amp;" B"</f>
        <v>CódRastreio891 B</v>
      </c>
      <c r="D901" s="52" t="str">
        <f>_xlfn.XLOOKUP(Follow[[#This Row],[Id Pedido]],Controle_Pedidos[Número Pedido Cliente],Controle_Pedidos[Loja])</f>
        <v>MEI</v>
      </c>
      <c r="E901" s="9">
        <f>_xlfn.XLOOKUP(Follow[[#This Row],[Id Pedido]],Controle_Pedidos[Número Pedido Cliente],Controle_Pedidos[Prazo Entrega])</f>
        <v>45714</v>
      </c>
      <c r="F901" s="9" t="s">
        <v>19433</v>
      </c>
      <c r="G901" s="9" t="s">
        <v>37</v>
      </c>
      <c r="H901" s="52" t="s">
        <v>179</v>
      </c>
      <c r="I901" s="52" t="s">
        <v>178</v>
      </c>
      <c r="J901" s="55">
        <v>45705</v>
      </c>
      <c r="K901" s="52" t="s">
        <v>198</v>
      </c>
      <c r="L901" s="8" t="s">
        <v>124</v>
      </c>
      <c r="M901" s="8" t="s">
        <v>37</v>
      </c>
      <c r="N901" s="52" t="str">
        <f>IF(Follow[[#This Row],[DATAATUALIZAÇÃO]]&lt;=Follow[[#This Row],[Prev Entrega]],"Dentro do Prazo","Fora do Prazo")</f>
        <v>Dentro do Prazo</v>
      </c>
      <c r="O9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17/02/2025, referente ao pedido Nº Pedido 914 Rastreio Pedido 914, agradecemos a preferência e adoraríamos receber sua avaliação, tendo qualquer dúvida estamos à disposição.
Att
NTA Variedades</v>
      </c>
    </row>
    <row r="902" spans="1:15">
      <c r="A902" s="52" t="str">
        <f>_xlfn.XLOOKUP(Follow[[#This Row],[CODRASTREIO]],Controle_Pedidos[Cód Rastreamento],Controle_Pedidos[Número Pedido Cliente])</f>
        <v>Pedido 915</v>
      </c>
      <c r="B902" s="2" t="s">
        <v>18334</v>
      </c>
      <c r="C902" s="2" t="str">
        <f>Follow[[#This Row],[CODRASTREIO]]&amp;" B"</f>
        <v>CódRastreio892 B</v>
      </c>
      <c r="D902" s="52" t="str">
        <f>_xlfn.XLOOKUP(Follow[[#This Row],[Id Pedido]],Controle_Pedidos[Número Pedido Cliente],Controle_Pedidos[Loja])</f>
        <v>MEI</v>
      </c>
      <c r="E902" s="9">
        <f>_xlfn.XLOOKUP(Follow[[#This Row],[Id Pedido]],Controle_Pedidos[Número Pedido Cliente],Controle_Pedidos[Prazo Entrega])</f>
        <v>45723</v>
      </c>
      <c r="F902" s="9" t="s">
        <v>19433</v>
      </c>
      <c r="G902" s="9" t="s">
        <v>212</v>
      </c>
      <c r="H902" s="9" t="s">
        <v>179</v>
      </c>
      <c r="I902" s="9" t="s">
        <v>178</v>
      </c>
      <c r="J902" s="9">
        <v>45715.393483796295</v>
      </c>
      <c r="K902" s="8" t="s">
        <v>198</v>
      </c>
      <c r="L902" s="8" t="s">
        <v>124</v>
      </c>
      <c r="M902" s="8" t="s">
        <v>208</v>
      </c>
      <c r="N902" s="52" t="str">
        <f>IF(Follow[[#This Row],[DATAATUALIZAÇÃO]]&lt;=Follow[[#This Row],[Prev Entrega]],"Dentro do Prazo","Fora do Prazo")</f>
        <v>Dentro do Prazo</v>
      </c>
      <c r="O902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27/02/2025, referente ao pedido Nº Pedido 915 Rastreio NM750520657BR, agradecemos a preferência e adoraríamos receber sua avaliação, tendo qualquer dúvida estamos à disposição.
Att
NTA Variedades</v>
      </c>
    </row>
    <row r="903" spans="1:15">
      <c r="A903" s="52" t="str">
        <f>_xlfn.XLOOKUP(Follow[[#This Row],[CODRASTREIO]],Controle_Pedidos[Cód Rastreamento],Controle_Pedidos[Número Pedido Cliente])</f>
        <v>Pedido 916</v>
      </c>
      <c r="B903" s="2" t="s">
        <v>18335</v>
      </c>
      <c r="C903" s="2" t="str">
        <f>Follow[[#This Row],[CODRASTREIO]]&amp;" B"</f>
        <v>CódRastreio893 B</v>
      </c>
      <c r="D903" s="52" t="str">
        <f>_xlfn.XLOOKUP(Follow[[#This Row],[Id Pedido]],Controle_Pedidos[Número Pedido Cliente],Controle_Pedidos[Loja])</f>
        <v>MEI</v>
      </c>
      <c r="E903" s="9">
        <f>_xlfn.XLOOKUP(Follow[[#This Row],[Id Pedido]],Controle_Pedidos[Número Pedido Cliente],Controle_Pedidos[Prazo Entrega])</f>
        <v>45723</v>
      </c>
      <c r="F903" s="9" t="s">
        <v>19433</v>
      </c>
      <c r="G903" s="9" t="s">
        <v>37</v>
      </c>
      <c r="H903" s="52" t="s">
        <v>179</v>
      </c>
      <c r="I903" s="52" t="s">
        <v>178</v>
      </c>
      <c r="J903" s="55">
        <v>45708</v>
      </c>
      <c r="K903" s="52" t="s">
        <v>198</v>
      </c>
      <c r="L903" s="8" t="s">
        <v>124</v>
      </c>
      <c r="M903" s="8" t="s">
        <v>37</v>
      </c>
      <c r="N903" s="52" t="str">
        <f>IF(Follow[[#This Row],[DATAATUALIZAÇÃO]]&lt;=Follow[[#This Row],[Prev Entrega]],"Dentro do Prazo","Fora do Prazo")</f>
        <v>Dentro do Prazo</v>
      </c>
      <c r="O9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20/02/2025, referente ao pedido Nº Pedido 916 Rastreio Pedido 916, agradecemos a preferência e adoraríamos receber sua avaliação, tendo qualquer dúvida estamos à disposição.
Att
NTA Variedades</v>
      </c>
    </row>
    <row r="904" spans="1:15">
      <c r="A904" s="52" t="str">
        <f>_xlfn.XLOOKUP(Follow[[#This Row],[CODRASTREIO]],Controle_Pedidos[Cód Rastreamento],Controle_Pedidos[Número Pedido Cliente])</f>
        <v>Pedido 917</v>
      </c>
      <c r="B904" s="2" t="s">
        <v>18336</v>
      </c>
      <c r="C904" s="2" t="str">
        <f>Follow[[#This Row],[CODRASTREIO]]&amp;" B"</f>
        <v>CódRastreio894 B</v>
      </c>
      <c r="D904" s="52" t="str">
        <f>_xlfn.XLOOKUP(Follow[[#This Row],[Id Pedido]],Controle_Pedidos[Número Pedido Cliente],Controle_Pedidos[Loja])</f>
        <v>MEI</v>
      </c>
      <c r="E904" s="9">
        <f>_xlfn.XLOOKUP(Follow[[#This Row],[Id Pedido]],Controle_Pedidos[Número Pedido Cliente],Controle_Pedidos[Prazo Entrega])</f>
        <v>45723</v>
      </c>
      <c r="F904" s="9" t="s">
        <v>19433</v>
      </c>
      <c r="G904" s="9" t="s">
        <v>37</v>
      </c>
      <c r="H904" s="52" t="s">
        <v>179</v>
      </c>
      <c r="I904" s="52" t="s">
        <v>178</v>
      </c>
      <c r="J904" s="55">
        <v>45705</v>
      </c>
      <c r="K904" s="52" t="s">
        <v>198</v>
      </c>
      <c r="L904" s="8" t="s">
        <v>124</v>
      </c>
      <c r="M904" s="8" t="s">
        <v>37</v>
      </c>
      <c r="N904" s="52" t="str">
        <f>IF(Follow[[#This Row],[DATAATUALIZAÇÃO]]&lt;=Follow[[#This Row],[Prev Entrega]],"Dentro do Prazo","Fora do Prazo")</f>
        <v>Dentro do Prazo</v>
      </c>
      <c r="O9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17/02/2025, referente ao pedido Nº Pedido 917 Rastreio Pedido 917, agradecemos a preferência e adoraríamos receber sua avaliação, tendo qualquer dúvida estamos à disposição.
Att
NTA Variedades</v>
      </c>
    </row>
    <row r="905" spans="1:15">
      <c r="A905" s="52" t="str">
        <f>_xlfn.XLOOKUP(Follow[[#This Row],[CODRASTREIO]],Controle_Pedidos[Cód Rastreamento],Controle_Pedidos[Número Pedido Cliente])</f>
        <v>Pedido 918</v>
      </c>
      <c r="B905" s="2" t="s">
        <v>18337</v>
      </c>
      <c r="C905" s="2" t="str">
        <f>Follow[[#This Row],[CODRASTREIO]]&amp;" B"</f>
        <v>CódRastreio895 B</v>
      </c>
      <c r="D905" s="52" t="str">
        <f>_xlfn.XLOOKUP(Follow[[#This Row],[Id Pedido]],Controle_Pedidos[Número Pedido Cliente],Controle_Pedidos[Loja])</f>
        <v>MEI</v>
      </c>
      <c r="E905" s="9">
        <f>_xlfn.XLOOKUP(Follow[[#This Row],[Id Pedido]],Controle_Pedidos[Número Pedido Cliente],Controle_Pedidos[Prazo Entrega])</f>
        <v>45714</v>
      </c>
      <c r="F905" s="9" t="s">
        <v>19433</v>
      </c>
      <c r="G905" s="9" t="s">
        <v>37</v>
      </c>
      <c r="H905" s="52" t="s">
        <v>179</v>
      </c>
      <c r="I905" s="52" t="s">
        <v>178</v>
      </c>
      <c r="J905" s="55">
        <v>45706</v>
      </c>
      <c r="K905" s="52" t="s">
        <v>198</v>
      </c>
      <c r="L905" s="8" t="s">
        <v>124</v>
      </c>
      <c r="M905" s="8" t="s">
        <v>37</v>
      </c>
      <c r="N905" s="52" t="str">
        <f>IF(Follow[[#This Row],[DATAATUALIZAÇÃO]]&lt;=Follow[[#This Row],[Prev Entrega]],"Dentro do Prazo","Fora do Prazo")</f>
        <v>Dentro do Prazo</v>
      </c>
      <c r="O9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18/02/2025, referente ao pedido Nº Pedido 918 Rastreio Pedido 918, agradecemos a preferência e adoraríamos receber sua avaliação, tendo qualquer dúvida estamos à disposição.
Att
NTA Variedades</v>
      </c>
    </row>
    <row r="906" spans="1:15">
      <c r="A906" s="52" t="str">
        <f>_xlfn.XLOOKUP(Follow[[#This Row],[CODRASTREIO]],Controle_Pedidos[Cód Rastreamento],Controle_Pedidos[Número Pedido Cliente])</f>
        <v>Pedido 919</v>
      </c>
      <c r="B906" s="2" t="s">
        <v>18338</v>
      </c>
      <c r="C906" s="2" t="str">
        <f>Follow[[#This Row],[CODRASTREIO]]&amp;" B"</f>
        <v>CódRastreio896 B</v>
      </c>
      <c r="D906" s="52" t="str">
        <f>_xlfn.XLOOKUP(Follow[[#This Row],[Id Pedido]],Controle_Pedidos[Número Pedido Cliente],Controle_Pedidos[Loja])</f>
        <v>MEI</v>
      </c>
      <c r="E906" s="9">
        <f>_xlfn.XLOOKUP(Follow[[#This Row],[Id Pedido]],Controle_Pedidos[Número Pedido Cliente],Controle_Pedidos[Prazo Entrega])</f>
        <v>45715</v>
      </c>
      <c r="F906" s="9" t="s">
        <v>19433</v>
      </c>
      <c r="G906" s="9" t="s">
        <v>37</v>
      </c>
      <c r="H906" s="52" t="s">
        <v>179</v>
      </c>
      <c r="I906" s="52" t="s">
        <v>178</v>
      </c>
      <c r="J906" s="55">
        <v>45701</v>
      </c>
      <c r="K906" s="52" t="s">
        <v>198</v>
      </c>
      <c r="L906" s="8" t="s">
        <v>124</v>
      </c>
      <c r="M906" s="8" t="s">
        <v>37</v>
      </c>
      <c r="N906" s="52" t="str">
        <f>IF(Follow[[#This Row],[DATAATUALIZAÇÃO]]&lt;=Follow[[#This Row],[Prev Entrega]],"Dentro do Prazo","Fora do Prazo")</f>
        <v>Dentro do Prazo</v>
      </c>
      <c r="O9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13/02/2025, referente ao pedido Nº Pedido 919 Rastreio Pedido 919, agradecemos a preferência e adoraríamos receber sua avaliação, tendo qualquer dúvida estamos à disposição.
Att
NTA Variedades</v>
      </c>
    </row>
    <row r="907" spans="1:15">
      <c r="A907" s="52" t="str">
        <f>_xlfn.XLOOKUP(Follow[[#This Row],[CODRASTREIO]],Controle_Pedidos[Cód Rastreamento],Controle_Pedidos[Número Pedido Cliente])</f>
        <v>Pedido 920</v>
      </c>
      <c r="B907" s="2" t="s">
        <v>18339</v>
      </c>
      <c r="C907" s="2" t="str">
        <f>Follow[[#This Row],[CODRASTREIO]]&amp;" B"</f>
        <v>CódRastreio897 B</v>
      </c>
      <c r="D907" s="52" t="str">
        <f>_xlfn.XLOOKUP(Follow[[#This Row],[Id Pedido]],Controle_Pedidos[Número Pedido Cliente],Controle_Pedidos[Loja])</f>
        <v>MEI</v>
      </c>
      <c r="E907" s="9">
        <f>_xlfn.XLOOKUP(Follow[[#This Row],[Id Pedido]],Controle_Pedidos[Número Pedido Cliente],Controle_Pedidos[Prazo Entrega])</f>
        <v>45715</v>
      </c>
      <c r="F907" s="9" t="s">
        <v>19433</v>
      </c>
      <c r="G907" s="9" t="s">
        <v>37</v>
      </c>
      <c r="H907" s="52" t="s">
        <v>179</v>
      </c>
      <c r="I907" s="52" t="s">
        <v>178</v>
      </c>
      <c r="J907" s="55">
        <v>45708</v>
      </c>
      <c r="K907" s="52" t="s">
        <v>198</v>
      </c>
      <c r="L907" s="8" t="s">
        <v>124</v>
      </c>
      <c r="M907" s="8" t="s">
        <v>37</v>
      </c>
      <c r="N907" s="52" t="str">
        <f>IF(Follow[[#This Row],[DATAATUALIZAÇÃO]]&lt;=Follow[[#This Row],[Prev Entrega]],"Dentro do Prazo","Fora do Prazo")</f>
        <v>Dentro do Prazo</v>
      </c>
      <c r="O9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Kit Forma de Gelo c/ Tampa 4 un foi entregue no dia 20/02/2025, referente ao pedido Nº Pedido 920 Rastreio Pedido 920, agradecemos a preferência e adoraríamos receber sua avaliação, tendo qualquer dúvida estamos à disposição.
Att
NTA Variedades</v>
      </c>
    </row>
    <row r="908" spans="1:15">
      <c r="A908" s="52" t="str">
        <f>_xlfn.XLOOKUP(Follow[[#This Row],[CODRASTREIO]],Controle_Pedidos[Cód Rastreamento],Controle_Pedidos[Número Pedido Cliente])</f>
        <v>Pedido 873</v>
      </c>
      <c r="B908" s="2" t="s">
        <v>18292</v>
      </c>
      <c r="C908" s="2" t="str">
        <f>Follow[[#This Row],[CODRASTREIO]]&amp;" B"</f>
        <v>CódRastreio850 B</v>
      </c>
      <c r="D908" s="52" t="str">
        <f>_xlfn.XLOOKUP(Follow[[#This Row],[Id Pedido]],Controle_Pedidos[Número Pedido Cliente],Controle_Pedidos[Loja])</f>
        <v>BV</v>
      </c>
      <c r="E908" s="9">
        <f>_xlfn.XLOOKUP(Follow[[#This Row],[Id Pedido]],Controle_Pedidos[Número Pedido Cliente],Controle_Pedidos[Prazo Entrega])</f>
        <v>45717</v>
      </c>
      <c r="F908" s="9" t="s">
        <v>19433</v>
      </c>
      <c r="G908" s="9" t="s">
        <v>37</v>
      </c>
      <c r="H908" s="52" t="s">
        <v>179</v>
      </c>
      <c r="I908" s="52" t="s">
        <v>178</v>
      </c>
      <c r="J908" s="55">
        <v>45708</v>
      </c>
      <c r="K908" s="52" t="s">
        <v>198</v>
      </c>
      <c r="L908" s="8" t="s">
        <v>124</v>
      </c>
      <c r="M908" s="8" t="s">
        <v>37</v>
      </c>
      <c r="N908" s="52" t="str">
        <f>IF(Follow[[#This Row],[DATAATUALIZAÇÃO]]&lt;=Follow[[#This Row],[Prev Entrega]],"Dentro do Prazo","Fora do Prazo")</f>
        <v>Dentro do Prazo</v>
      </c>
      <c r="O9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20/02/2025, referente ao pedido Nº Pedido 873 Rastreio Pedido 873, agradecemos a preferência e adoraríamos receber sua avaliação, tendo qualquer dúvida estamos à disposição.
Att
Tem tudo Shop</v>
      </c>
    </row>
    <row r="909" spans="1:15">
      <c r="A909" s="52" t="str">
        <f>_xlfn.XLOOKUP(Follow[[#This Row],[CODRASTREIO]],Controle_Pedidos[Cód Rastreamento],Controle_Pedidos[Número Pedido Cliente])</f>
        <v>Pedido 921</v>
      </c>
      <c r="B909" s="2" t="s">
        <v>18340</v>
      </c>
      <c r="C909" s="2" t="str">
        <f>Follow[[#This Row],[CODRASTREIO]]&amp;" B"</f>
        <v>CódRastreio898 B</v>
      </c>
      <c r="D909" s="52" t="str">
        <f>_xlfn.XLOOKUP(Follow[[#This Row],[Id Pedido]],Controle_Pedidos[Número Pedido Cliente],Controle_Pedidos[Loja])</f>
        <v>BV</v>
      </c>
      <c r="E909" s="9">
        <f>_xlfn.XLOOKUP(Follow[[#This Row],[Id Pedido]],Controle_Pedidos[Número Pedido Cliente],Controle_Pedidos[Prazo Entrega])</f>
        <v>45715</v>
      </c>
      <c r="F909" s="9" t="s">
        <v>19433</v>
      </c>
      <c r="G909" s="9" t="s">
        <v>37</v>
      </c>
      <c r="H909" s="52" t="s">
        <v>178</v>
      </c>
      <c r="I909" s="52" t="s">
        <v>178</v>
      </c>
      <c r="J909" s="55">
        <v>45701</v>
      </c>
      <c r="K909" s="52" t="s">
        <v>198</v>
      </c>
      <c r="L909" s="8" t="s">
        <v>124</v>
      </c>
      <c r="M909" s="8" t="s">
        <v>37</v>
      </c>
      <c r="N909" s="52" t="str">
        <f>IF(Follow[[#This Row],[DATAATUALIZAÇÃO]]&lt;=Follow[[#This Row],[Prev Entrega]],"Dentro do Prazo","Fora do Prazo")</f>
        <v>Dentro do Prazo</v>
      </c>
      <c r="O9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13/02/2025, referente ao pedido Nº Pedido 921 Rastreio Pedido 921, agradecemos a preferência e adoraríamos receber sua avaliação, tendo qualquer dúvida estamos à disposição.
Att
Tem tudo Shop</v>
      </c>
    </row>
    <row r="910" spans="1:15">
      <c r="A910" s="52" t="str">
        <f>_xlfn.XLOOKUP(Follow[[#This Row],[CODRASTREIO]],Controle_Pedidos[Cód Rastreamento],Controle_Pedidos[Número Pedido Cliente])</f>
        <v>Pedido 922</v>
      </c>
      <c r="B910" s="2" t="s">
        <v>18341</v>
      </c>
      <c r="C910" s="2" t="str">
        <f>Follow[[#This Row],[CODRASTREIO]]&amp;" B"</f>
        <v>CódRastreio899 B</v>
      </c>
      <c r="D910" s="52" t="str">
        <f>_xlfn.XLOOKUP(Follow[[#This Row],[Id Pedido]],Controle_Pedidos[Número Pedido Cliente],Controle_Pedidos[Loja])</f>
        <v>BV</v>
      </c>
      <c r="E910" s="9">
        <f>_xlfn.XLOOKUP(Follow[[#This Row],[Id Pedido]],Controle_Pedidos[Número Pedido Cliente],Controle_Pedidos[Prazo Entrega])</f>
        <v>45715</v>
      </c>
      <c r="F910" s="9" t="s">
        <v>19433</v>
      </c>
      <c r="G910" s="9" t="s">
        <v>37</v>
      </c>
      <c r="H910" s="52" t="s">
        <v>179</v>
      </c>
      <c r="I910" s="52" t="s">
        <v>178</v>
      </c>
      <c r="J910" s="55">
        <v>45708</v>
      </c>
      <c r="K910" s="52" t="s">
        <v>198</v>
      </c>
      <c r="L910" s="8" t="s">
        <v>124</v>
      </c>
      <c r="M910" s="8" t="s">
        <v>37</v>
      </c>
      <c r="N910" s="52" t="str">
        <f>IF(Follow[[#This Row],[DATAATUALIZAÇÃO]]&lt;=Follow[[#This Row],[Prev Entrega]],"Dentro do Prazo","Fora do Prazo")</f>
        <v>Dentro do Prazo</v>
      </c>
      <c r="O9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20/02/2025, referente ao pedido Nº Pedido 922 Rastreio Pedido 922, agradecemos a preferência e adoraríamos receber sua avaliação, tendo qualquer dúvida estamos à disposição.
Att
Tem tudo Shop</v>
      </c>
    </row>
    <row r="911" spans="1:15">
      <c r="A911" s="52" t="str">
        <f>_xlfn.XLOOKUP(Follow[[#This Row],[CODRASTREIO]],Controle_Pedidos[Cód Rastreamento],Controle_Pedidos[Número Pedido Cliente])</f>
        <v>Pedido 923</v>
      </c>
      <c r="B911" s="2" t="s">
        <v>18342</v>
      </c>
      <c r="C911" s="2" t="str">
        <f>Follow[[#This Row],[CODRASTREIO]]&amp;" B"</f>
        <v>CódRastreio900 B</v>
      </c>
      <c r="D911" s="52" t="str">
        <f>_xlfn.XLOOKUP(Follow[[#This Row],[Id Pedido]],Controle_Pedidos[Número Pedido Cliente],Controle_Pedidos[Loja])</f>
        <v>BV</v>
      </c>
      <c r="E911" s="9">
        <f>_xlfn.XLOOKUP(Follow[[#This Row],[Id Pedido]],Controle_Pedidos[Número Pedido Cliente],Controle_Pedidos[Prazo Entrega])</f>
        <v>45716</v>
      </c>
      <c r="F911" s="9" t="s">
        <v>19433</v>
      </c>
      <c r="G911" s="9" t="s">
        <v>37</v>
      </c>
      <c r="H911" s="52" t="s">
        <v>179</v>
      </c>
      <c r="I911" s="52" t="s">
        <v>178</v>
      </c>
      <c r="J911" s="55">
        <v>45706</v>
      </c>
      <c r="K911" s="52" t="s">
        <v>198</v>
      </c>
      <c r="L911" s="8" t="s">
        <v>124</v>
      </c>
      <c r="M911" s="8" t="s">
        <v>37</v>
      </c>
      <c r="N911" s="52" t="str">
        <f>IF(Follow[[#This Row],[DATAATUALIZAÇÃO]]&lt;=Follow[[#This Row],[Prev Entrega]],"Dentro do Prazo","Fora do Prazo")</f>
        <v>Dentro do Prazo</v>
      </c>
      <c r="O9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18/02/2025, referente ao pedido Nº Pedido 923 Rastreio Pedido 923, agradecemos a preferência e adoraríamos receber sua avaliação, tendo qualquer dúvida estamos à disposição.
Att
Tem tudo Shop</v>
      </c>
    </row>
    <row r="912" spans="1:15">
      <c r="A912" s="52" t="str">
        <f>_xlfn.XLOOKUP(Follow[[#This Row],[CODRASTREIO]],Controle_Pedidos[Cód Rastreamento],Controle_Pedidos[Número Pedido Cliente])</f>
        <v>Pedido 925</v>
      </c>
      <c r="B912" s="2" t="s">
        <v>18344</v>
      </c>
      <c r="C912" s="2" t="str">
        <f>Follow[[#This Row],[CODRASTREIO]]&amp;" B"</f>
        <v>CódRastreio902 B</v>
      </c>
      <c r="D912" s="52" t="str">
        <f>_xlfn.XLOOKUP(Follow[[#This Row],[Id Pedido]],Controle_Pedidos[Número Pedido Cliente],Controle_Pedidos[Loja])</f>
        <v>BV</v>
      </c>
      <c r="E912" s="9">
        <f>_xlfn.XLOOKUP(Follow[[#This Row],[Id Pedido]],Controle_Pedidos[Número Pedido Cliente],Controle_Pedidos[Prazo Entrega])</f>
        <v>45716</v>
      </c>
      <c r="F912" s="9" t="s">
        <v>19433</v>
      </c>
      <c r="G912" s="9" t="s">
        <v>37</v>
      </c>
      <c r="H912" s="52" t="s">
        <v>179</v>
      </c>
      <c r="I912" s="52" t="s">
        <v>178</v>
      </c>
      <c r="J912" s="55">
        <v>45708</v>
      </c>
      <c r="K912" s="52" t="s">
        <v>198</v>
      </c>
      <c r="L912" s="8" t="s">
        <v>124</v>
      </c>
      <c r="M912" s="8" t="s">
        <v>37</v>
      </c>
      <c r="N912" s="52" t="str">
        <f>IF(Follow[[#This Row],[DATAATUALIZAÇÃO]]&lt;=Follow[[#This Row],[Prev Entrega]],"Dentro do Prazo","Fora do Prazo")</f>
        <v>Dentro do Prazo</v>
      </c>
      <c r="O9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20/02/2025, referente ao pedido Nº Pedido 925 Rastreio Pedido 925, agradecemos a preferência e adoraríamos receber sua avaliação, tendo qualquer dúvida estamos à disposição.
Att
Tem tudo Shop</v>
      </c>
    </row>
    <row r="913" spans="1:15">
      <c r="A913" s="52" t="str">
        <f>_xlfn.XLOOKUP(Follow[[#This Row],[CODRASTREIO]],Controle_Pedidos[Cód Rastreamento],Controle_Pedidos[Número Pedido Cliente])</f>
        <v>Pedido 924</v>
      </c>
      <c r="B913" s="2" t="s">
        <v>18343</v>
      </c>
      <c r="C913" s="2" t="str">
        <f>Follow[[#This Row],[CODRASTREIO]]&amp;" B"</f>
        <v>CódRastreio901 B</v>
      </c>
      <c r="D913" s="52" t="str">
        <f>_xlfn.XLOOKUP(Follow[[#This Row],[Id Pedido]],Controle_Pedidos[Número Pedido Cliente],Controle_Pedidos[Loja])</f>
        <v>BV</v>
      </c>
      <c r="E913" s="9">
        <f>_xlfn.XLOOKUP(Follow[[#This Row],[Id Pedido]],Controle_Pedidos[Número Pedido Cliente],Controle_Pedidos[Prazo Entrega])</f>
        <v>45716</v>
      </c>
      <c r="F913" s="9" t="s">
        <v>19433</v>
      </c>
      <c r="G913" s="9" t="s">
        <v>37</v>
      </c>
      <c r="H913" s="52" t="s">
        <v>178</v>
      </c>
      <c r="I913" s="52" t="s">
        <v>178</v>
      </c>
      <c r="J913" s="55">
        <v>45712</v>
      </c>
      <c r="K913" s="52" t="s">
        <v>198</v>
      </c>
      <c r="L913" s="8" t="s">
        <v>124</v>
      </c>
      <c r="M913" s="8" t="s">
        <v>37</v>
      </c>
      <c r="N913" s="52" t="str">
        <f>IF(Follow[[#This Row],[DATAATUALIZAÇÃO]]&lt;=Follow[[#This Row],[Prev Entrega]],"Dentro do Prazo","Fora do Prazo")</f>
        <v>Dentro do Prazo</v>
      </c>
      <c r="O91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24/02/2025, referente ao pedido Nº Pedido 924 Rastreio Pedido 924, agradecemos a preferência e adoraríamos receber sua avaliação, tendo qualquer dúvida estamos à disposição.
Att
Tem tudo Shop</v>
      </c>
    </row>
    <row r="914" spans="1:15">
      <c r="A914" s="52" t="str">
        <f>_xlfn.XLOOKUP(Follow[[#This Row],[CODRASTREIO]],Controle_Pedidos[Cód Rastreamento],Controle_Pedidos[Número Pedido Cliente])</f>
        <v>Pedido 926</v>
      </c>
      <c r="B914" s="2" t="s">
        <v>18345</v>
      </c>
      <c r="C914" s="2" t="str">
        <f>Follow[[#This Row],[CODRASTREIO]]&amp;" B"</f>
        <v>CódRastreio903 B</v>
      </c>
      <c r="D914" s="52" t="str">
        <f>_xlfn.XLOOKUP(Follow[[#This Row],[Id Pedido]],Controle_Pedidos[Número Pedido Cliente],Controle_Pedidos[Loja])</f>
        <v>MEI</v>
      </c>
      <c r="E914" s="9">
        <f>_xlfn.XLOOKUP(Follow[[#This Row],[Id Pedido]],Controle_Pedidos[Número Pedido Cliente],Controle_Pedidos[Prazo Entrega])</f>
        <v>45710</v>
      </c>
      <c r="F914" s="9" t="s">
        <v>19433</v>
      </c>
      <c r="G914" s="9" t="s">
        <v>37</v>
      </c>
      <c r="H914" s="52" t="s">
        <v>178</v>
      </c>
      <c r="I914" s="52" t="s">
        <v>178</v>
      </c>
      <c r="J914" s="55">
        <v>45701</v>
      </c>
      <c r="K914" s="52" t="s">
        <v>198</v>
      </c>
      <c r="L914" s="8" t="s">
        <v>124</v>
      </c>
      <c r="M914" s="8" t="s">
        <v>37</v>
      </c>
      <c r="N914" s="52" t="str">
        <f>IF(Follow[[#This Row],[DATAATUALIZAÇÃO]]&lt;=Follow[[#This Row],[Prev Entrega]],"Dentro do Prazo","Fora do Prazo")</f>
        <v>Dentro do Prazo</v>
      </c>
      <c r="O9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13/02/2025, referente ao pedido Nº Pedido 926 Rastreio Pedido 926, agradecemos a preferência e adoraríamos receber sua avaliação, tendo qualquer dúvida estamos à disposição.
Att
NTA Variedades</v>
      </c>
    </row>
    <row r="915" spans="1:15">
      <c r="A915" s="52" t="str">
        <f>_xlfn.XLOOKUP(Follow[[#This Row],[CODRASTREIO]],Controle_Pedidos[Cód Rastreamento],Controle_Pedidos[Número Pedido Cliente])</f>
        <v>Pedido 927</v>
      </c>
      <c r="B915" s="2" t="s">
        <v>18346</v>
      </c>
      <c r="C915" s="2" t="str">
        <f>Follow[[#This Row],[CODRASTREIO]]&amp;" B"</f>
        <v>CódRastreio904 B</v>
      </c>
      <c r="D915" s="52" t="str">
        <f>_xlfn.XLOOKUP(Follow[[#This Row],[Id Pedido]],Controle_Pedidos[Número Pedido Cliente],Controle_Pedidos[Loja])</f>
        <v>MEI</v>
      </c>
      <c r="E915" s="9">
        <f>_xlfn.XLOOKUP(Follow[[#This Row],[Id Pedido]],Controle_Pedidos[Número Pedido Cliente],Controle_Pedidos[Prazo Entrega])</f>
        <v>45716</v>
      </c>
      <c r="F915" s="9" t="s">
        <v>19433</v>
      </c>
      <c r="G915" s="9" t="s">
        <v>37</v>
      </c>
      <c r="H915" s="52" t="s">
        <v>178</v>
      </c>
      <c r="I915" s="52" t="s">
        <v>178</v>
      </c>
      <c r="J915" s="55">
        <v>45702</v>
      </c>
      <c r="K915" s="52" t="s">
        <v>198</v>
      </c>
      <c r="L915" s="8" t="s">
        <v>124</v>
      </c>
      <c r="M915" s="8" t="s">
        <v>37</v>
      </c>
      <c r="N915" s="52" t="str">
        <f>IF(Follow[[#This Row],[DATAATUALIZAÇÃO]]&lt;=Follow[[#This Row],[Prev Entrega]],"Dentro do Prazo","Fora do Prazo")</f>
        <v>Dentro do Prazo</v>
      </c>
      <c r="O9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14/02/2025, referente ao pedido Nº Pedido 927 Rastreio Pedido 927, agradecemos a preferência e adoraríamos receber sua avaliação, tendo qualquer dúvida estamos à disposição.
Att
NTA Variedades</v>
      </c>
    </row>
    <row r="916" spans="1:15">
      <c r="A916" s="52" t="str">
        <f>_xlfn.XLOOKUP(Follow[[#This Row],[CODRASTREIO]],Controle_Pedidos[Cód Rastreamento],Controle_Pedidos[Número Pedido Cliente])</f>
        <v>Pedido 928</v>
      </c>
      <c r="B916" s="2" t="s">
        <v>18347</v>
      </c>
      <c r="C916" s="2" t="str">
        <f>Follow[[#This Row],[CODRASTREIO]]&amp;" B"</f>
        <v>CódRastreio905 B</v>
      </c>
      <c r="D916" s="52" t="str">
        <f>_xlfn.XLOOKUP(Follow[[#This Row],[Id Pedido]],Controle_Pedidos[Número Pedido Cliente],Controle_Pedidos[Loja])</f>
        <v>BV</v>
      </c>
      <c r="E916" s="9">
        <f>_xlfn.XLOOKUP(Follow[[#This Row],[Id Pedido]],Controle_Pedidos[Número Pedido Cliente],Controle_Pedidos[Prazo Entrega])</f>
        <v>45714</v>
      </c>
      <c r="F916" s="9" t="s">
        <v>19433</v>
      </c>
      <c r="G916" s="9" t="s">
        <v>37</v>
      </c>
      <c r="H916" s="52" t="s">
        <v>178</v>
      </c>
      <c r="I916" s="52" t="s">
        <v>178</v>
      </c>
      <c r="J916" s="55">
        <v>45705</v>
      </c>
      <c r="K916" s="52" t="s">
        <v>198</v>
      </c>
      <c r="L916" s="8" t="s">
        <v>124</v>
      </c>
      <c r="M916" s="8" t="s">
        <v>37</v>
      </c>
      <c r="N916" s="52" t="str">
        <f>IF(Follow[[#This Row],[DATAATUALIZAÇÃO]]&lt;=Follow[[#This Row],[Prev Entrega]],"Dentro do Prazo","Fora do Prazo")</f>
        <v>Dentro do Prazo</v>
      </c>
      <c r="O9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17/02/2025, referente ao pedido Nº Pedido 928 Rastreio Pedido 928, agradecemos a preferência e adoraríamos receber sua avaliação, tendo qualquer dúvida estamos à disposição.
Att
Tem tudo Shop</v>
      </c>
    </row>
    <row r="917" spans="1:15">
      <c r="A917" s="52" t="str">
        <f>_xlfn.XLOOKUP(Follow[[#This Row],[CODRASTREIO]],Controle_Pedidos[Cód Rastreamento],Controle_Pedidos[Número Pedido Cliente])</f>
        <v>Pedido 931</v>
      </c>
      <c r="B917" s="2" t="s">
        <v>18350</v>
      </c>
      <c r="C917" s="2" t="str">
        <f>Follow[[#This Row],[CODRASTREIO]]&amp;" B"</f>
        <v>CódRastreio908 B</v>
      </c>
      <c r="D917" s="52" t="str">
        <f>_xlfn.XLOOKUP(Follow[[#This Row],[Id Pedido]],Controle_Pedidos[Número Pedido Cliente],Controle_Pedidos[Loja])</f>
        <v>BV</v>
      </c>
      <c r="E917" s="9">
        <f>_xlfn.XLOOKUP(Follow[[#This Row],[Id Pedido]],Controle_Pedidos[Número Pedido Cliente],Controle_Pedidos[Prazo Entrega])</f>
        <v>45710</v>
      </c>
      <c r="F917" s="9" t="s">
        <v>19433</v>
      </c>
      <c r="G917" s="9" t="s">
        <v>37</v>
      </c>
      <c r="H917" s="52" t="s">
        <v>178</v>
      </c>
      <c r="I917" s="52" t="s">
        <v>178</v>
      </c>
      <c r="J917" s="55">
        <v>45702</v>
      </c>
      <c r="K917" s="52" t="s">
        <v>198</v>
      </c>
      <c r="L917" s="8" t="s">
        <v>124</v>
      </c>
      <c r="M917" s="8" t="s">
        <v>37</v>
      </c>
      <c r="N917" s="52" t="str">
        <f>IF(Follow[[#This Row],[DATAATUALIZAÇÃO]]&lt;=Follow[[#This Row],[Prev Entrega]],"Dentro do Prazo","Fora do Prazo")</f>
        <v>Dentro do Prazo</v>
      </c>
      <c r="O9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14/02/2025, referente ao pedido Nº Pedido 931 Rastreio Pedido 931, agradecemos a preferência e adoraríamos receber sua avaliação, tendo qualquer dúvida estamos à disposição.
Att
Tem tudo Shop</v>
      </c>
    </row>
    <row r="918" spans="1:15">
      <c r="A918" s="52" t="str">
        <f>_xlfn.XLOOKUP(Follow[[#This Row],[CODRASTREIO]],Controle_Pedidos[Cód Rastreamento],Controle_Pedidos[Número Pedido Cliente])</f>
        <v>Pedido 933</v>
      </c>
      <c r="B918" s="2" t="s">
        <v>18352</v>
      </c>
      <c r="C918" s="2" t="str">
        <f>Follow[[#This Row],[CODRASTREIO]]&amp;" B"</f>
        <v>CódRastreio910 B</v>
      </c>
      <c r="D918" s="52" t="str">
        <f>_xlfn.XLOOKUP(Follow[[#This Row],[Id Pedido]],Controle_Pedidos[Número Pedido Cliente],Controle_Pedidos[Loja])</f>
        <v>BV</v>
      </c>
      <c r="E918" s="9">
        <f>_xlfn.XLOOKUP(Follow[[#This Row],[Id Pedido]],Controle_Pedidos[Número Pedido Cliente],Controle_Pedidos[Prazo Entrega])</f>
        <v>45716</v>
      </c>
      <c r="F918" s="9" t="s">
        <v>19433</v>
      </c>
      <c r="G918" s="9" t="s">
        <v>37</v>
      </c>
      <c r="H918" s="52" t="s">
        <v>179</v>
      </c>
      <c r="I918" s="52" t="s">
        <v>178</v>
      </c>
      <c r="J918" s="55">
        <v>45705</v>
      </c>
      <c r="K918" s="52" t="s">
        <v>198</v>
      </c>
      <c r="L918" s="8" t="s">
        <v>124</v>
      </c>
      <c r="M918" s="8" t="s">
        <v>37</v>
      </c>
      <c r="N918" s="52" t="str">
        <f>IF(Follow[[#This Row],[DATAATUALIZAÇÃO]]&lt;=Follow[[#This Row],[Prev Entrega]],"Dentro do Prazo","Fora do Prazo")</f>
        <v>Dentro do Prazo</v>
      </c>
      <c r="O9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17/02/2025, referente ao pedido Nº Pedido 933 Rastreio Pedido 933, agradecemos a preferência e adoraríamos receber sua avaliação, tendo qualquer dúvida estamos à disposição.
Att
Tem tudo Shop</v>
      </c>
    </row>
    <row r="919" spans="1:15">
      <c r="A919" s="52" t="str">
        <f>_xlfn.XLOOKUP(Follow[[#This Row],[CODRASTREIO]],Controle_Pedidos[Cód Rastreamento],Controle_Pedidos[Número Pedido Cliente])</f>
        <v>Pedido 934</v>
      </c>
      <c r="B919" s="2" t="s">
        <v>18353</v>
      </c>
      <c r="C919" s="2" t="str">
        <f>Follow[[#This Row],[CODRASTREIO]]&amp;" B"</f>
        <v>CódRastreio911 B</v>
      </c>
      <c r="D919" s="52" t="str">
        <f>_xlfn.XLOOKUP(Follow[[#This Row],[Id Pedido]],Controle_Pedidos[Número Pedido Cliente],Controle_Pedidos[Loja])</f>
        <v>BV</v>
      </c>
      <c r="E919" s="9">
        <f>_xlfn.XLOOKUP(Follow[[#This Row],[Id Pedido]],Controle_Pedidos[Número Pedido Cliente],Controle_Pedidos[Prazo Entrega])</f>
        <v>45716</v>
      </c>
      <c r="F919" s="9" t="s">
        <v>19433</v>
      </c>
      <c r="G919" s="9" t="s">
        <v>37</v>
      </c>
      <c r="H919" s="52" t="s">
        <v>179</v>
      </c>
      <c r="I919" s="52" t="s">
        <v>178</v>
      </c>
      <c r="J919" s="55">
        <v>45705</v>
      </c>
      <c r="K919" s="52" t="s">
        <v>198</v>
      </c>
      <c r="L919" s="8" t="s">
        <v>124</v>
      </c>
      <c r="M919" s="8" t="s">
        <v>37</v>
      </c>
      <c r="N919" s="52" t="str">
        <f>IF(Follow[[#This Row],[DATAATUALIZAÇÃO]]&lt;=Follow[[#This Row],[Prev Entrega]],"Dentro do Prazo","Fora do Prazo")</f>
        <v>Dentro do Prazo</v>
      </c>
      <c r="O9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17/02/2025, referente ao pedido Nº Pedido 934 Rastreio Pedido 934, agradecemos a preferência e adoraríamos receber sua avaliação, tendo qualquer dúvida estamos à disposição.
Att
Tem tudo Shop</v>
      </c>
    </row>
    <row r="920" spans="1:15">
      <c r="A920" s="52" t="str">
        <f>_xlfn.XLOOKUP(Follow[[#This Row],[CODRASTREIO]],Controle_Pedidos[Cód Rastreamento],Controle_Pedidos[Número Pedido Cliente])</f>
        <v>Pedido 935</v>
      </c>
      <c r="B920" s="2" t="s">
        <v>18354</v>
      </c>
      <c r="C920" s="2" t="str">
        <f>Follow[[#This Row],[CODRASTREIO]]&amp;" B"</f>
        <v>CódRastreio912 B</v>
      </c>
      <c r="D920" s="52" t="str">
        <f>_xlfn.XLOOKUP(Follow[[#This Row],[Id Pedido]],Controle_Pedidos[Número Pedido Cliente],Controle_Pedidos[Loja])</f>
        <v>BV</v>
      </c>
      <c r="E920" s="9">
        <f>_xlfn.XLOOKUP(Follow[[#This Row],[Id Pedido]],Controle_Pedidos[Número Pedido Cliente],Controle_Pedidos[Prazo Entrega])</f>
        <v>45716</v>
      </c>
      <c r="F920" s="9" t="s">
        <v>19433</v>
      </c>
      <c r="G920" s="9" t="s">
        <v>37</v>
      </c>
      <c r="H920" s="52" t="s">
        <v>179</v>
      </c>
      <c r="I920" s="52" t="s">
        <v>178</v>
      </c>
      <c r="J920" s="55">
        <v>45706</v>
      </c>
      <c r="K920" s="52" t="s">
        <v>198</v>
      </c>
      <c r="L920" s="8" t="s">
        <v>124</v>
      </c>
      <c r="M920" s="8" t="s">
        <v>37</v>
      </c>
      <c r="N920" s="52" t="str">
        <f>IF(Follow[[#This Row],[DATAATUALIZAÇÃO]]&lt;=Follow[[#This Row],[Prev Entrega]],"Dentro do Prazo","Fora do Prazo")</f>
        <v>Dentro do Prazo</v>
      </c>
      <c r="O9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18/02/2025, referente ao pedido Nº Pedido 935 Rastreio Pedido 935, agradecemos a preferência e adoraríamos receber sua avaliação, tendo qualquer dúvida estamos à disposição.
Att
Tem tudo Shop</v>
      </c>
    </row>
    <row r="921" spans="1:15">
      <c r="A921" s="52" t="str">
        <f>_xlfn.XLOOKUP(Follow[[#This Row],[CODRASTREIO]],Controle_Pedidos[Cód Rastreamento],Controle_Pedidos[Número Pedido Cliente])</f>
        <v>Pedido 937</v>
      </c>
      <c r="B921" s="2" t="s">
        <v>18356</v>
      </c>
      <c r="C921" s="2" t="str">
        <f>Follow[[#This Row],[CODRASTREIO]]&amp;" B"</f>
        <v>CódRastreio914 B</v>
      </c>
      <c r="D921" s="52" t="str">
        <f>_xlfn.XLOOKUP(Follow[[#This Row],[Id Pedido]],Controle_Pedidos[Número Pedido Cliente],Controle_Pedidos[Loja])</f>
        <v>GO</v>
      </c>
      <c r="E921" s="9">
        <f>_xlfn.XLOOKUP(Follow[[#This Row],[Id Pedido]],Controle_Pedidos[Número Pedido Cliente],Controle_Pedidos[Prazo Entrega])</f>
        <v>45716</v>
      </c>
      <c r="F921" s="9" t="s">
        <v>19433</v>
      </c>
      <c r="G921" s="9" t="s">
        <v>37</v>
      </c>
      <c r="H921" s="52" t="s">
        <v>179</v>
      </c>
      <c r="I921" s="52" t="s">
        <v>178</v>
      </c>
      <c r="J921" s="55">
        <v>45705</v>
      </c>
      <c r="K921" s="52" t="s">
        <v>198</v>
      </c>
      <c r="L921" s="8" t="s">
        <v>124</v>
      </c>
      <c r="M921" s="8" t="s">
        <v>37</v>
      </c>
      <c r="N921" s="52" t="str">
        <f>IF(Follow[[#This Row],[DATAATUALIZAÇÃO]]&lt;=Follow[[#This Row],[Prev Entrega]],"Dentro do Prazo","Fora do Prazo")</f>
        <v>Dentro do Prazo</v>
      </c>
      <c r="O9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17/02/2025, referente ao pedido Nº Pedido 937 Rastreio Pedido 937, agradecemos a preferência e adoraríamos receber sua avaliação, tendo qualquer dúvida estamos à disposição.
Att
Sec Variedades</v>
      </c>
    </row>
    <row r="922" spans="1:15">
      <c r="A922" s="52" t="str">
        <f>_xlfn.XLOOKUP(Follow[[#This Row],[CODRASTREIO]],Controle_Pedidos[Cód Rastreamento],Controle_Pedidos[Número Pedido Cliente])</f>
        <v>Pedido 938</v>
      </c>
      <c r="B922" s="2" t="s">
        <v>18357</v>
      </c>
      <c r="C922" s="2" t="str">
        <f>Follow[[#This Row],[CODRASTREIO]]&amp;" B"</f>
        <v>CódRastreio915 B</v>
      </c>
      <c r="D922" s="52" t="str">
        <f>_xlfn.XLOOKUP(Follow[[#This Row],[Id Pedido]],Controle_Pedidos[Número Pedido Cliente],Controle_Pedidos[Loja])</f>
        <v>GO</v>
      </c>
      <c r="E922" s="9">
        <f>_xlfn.XLOOKUP(Follow[[#This Row],[Id Pedido]],Controle_Pedidos[Número Pedido Cliente],Controle_Pedidos[Prazo Entrega])</f>
        <v>45734</v>
      </c>
      <c r="F922" s="9" t="s">
        <v>19433</v>
      </c>
      <c r="G922" s="122" t="s">
        <v>213</v>
      </c>
      <c r="H922" s="9" t="s">
        <v>179</v>
      </c>
      <c r="I922" s="9" t="s">
        <v>178</v>
      </c>
      <c r="J922" s="9">
        <v>45727</v>
      </c>
      <c r="K922" s="8" t="s">
        <v>198</v>
      </c>
      <c r="L922" s="8" t="s">
        <v>124</v>
      </c>
      <c r="M922" s="8" t="s">
        <v>37</v>
      </c>
      <c r="N922" s="52" t="str">
        <f>IF(Follow[[#This Row],[DATAATUALIZAÇÃO]]&lt;=Follow[[#This Row],[Prev Entrega]],"Dentro do Prazo","Fora do Prazo")</f>
        <v>Dentro do Prazo</v>
      </c>
      <c r="O9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11/03/2025, referente ao pedido Nº Pedido 938 Rastreio NM752262955BR, agradecemos a preferência e adoraríamos receber sua avaliação, tendo qualquer dúvida estamos à disposição.
Att
Sec Variedades</v>
      </c>
    </row>
    <row r="923" spans="1:15">
      <c r="A923" s="52" t="str">
        <f>_xlfn.XLOOKUP(Follow[[#This Row],[CODRASTREIO]],Controle_Pedidos[Cód Rastreamento],Controle_Pedidos[Número Pedido Cliente])</f>
        <v>Pedido 939</v>
      </c>
      <c r="B923" s="2" t="s">
        <v>18358</v>
      </c>
      <c r="C923" s="2" t="str">
        <f>Follow[[#This Row],[CODRASTREIO]]&amp;" B"</f>
        <v>CódRastreio916 B</v>
      </c>
      <c r="D923" s="52" t="str">
        <f>_xlfn.XLOOKUP(Follow[[#This Row],[Id Pedido]],Controle_Pedidos[Número Pedido Cliente],Controle_Pedidos[Loja])</f>
        <v>GO</v>
      </c>
      <c r="E923" s="9">
        <f>_xlfn.XLOOKUP(Follow[[#This Row],[Id Pedido]],Controle_Pedidos[Número Pedido Cliente],Controle_Pedidos[Prazo Entrega])</f>
        <v>45716</v>
      </c>
      <c r="F923" s="9" t="s">
        <v>19433</v>
      </c>
      <c r="G923" s="9" t="s">
        <v>37</v>
      </c>
      <c r="H923" s="52" t="s">
        <v>179</v>
      </c>
      <c r="I923" s="52" t="s">
        <v>178</v>
      </c>
      <c r="J923" s="55">
        <v>45705</v>
      </c>
      <c r="K923" s="52" t="s">
        <v>198</v>
      </c>
      <c r="L923" s="8" t="s">
        <v>124</v>
      </c>
      <c r="M923" s="8" t="s">
        <v>37</v>
      </c>
      <c r="N923" s="52" t="str">
        <f>IF(Follow[[#This Row],[DATAATUALIZAÇÃO]]&lt;=Follow[[#This Row],[Prev Entrega]],"Dentro do Prazo","Fora do Prazo")</f>
        <v>Dentro do Prazo</v>
      </c>
      <c r="O92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17/02/2025, referente ao pedido Nº Pedido 939 Rastreio Pedido 939, agradecemos a preferência e adoraríamos receber sua avaliação, tendo qualquer dúvida estamos à disposição.
Att
Sec Variedades</v>
      </c>
    </row>
    <row r="924" spans="1:15">
      <c r="A924" s="52" t="str">
        <f>_xlfn.XLOOKUP(Follow[[#This Row],[CODRASTREIO]],Controle_Pedidos[Cód Rastreamento],Controle_Pedidos[Número Pedido Cliente])</f>
        <v>Pedido 940</v>
      </c>
      <c r="B924" s="2" t="s">
        <v>18359</v>
      </c>
      <c r="C924" s="2" t="str">
        <f>Follow[[#This Row],[CODRASTREIO]]&amp;" B"</f>
        <v>CódRastreio917 B</v>
      </c>
      <c r="D924" s="52" t="str">
        <f>_xlfn.XLOOKUP(Follow[[#This Row],[Id Pedido]],Controle_Pedidos[Número Pedido Cliente],Controle_Pedidos[Loja])</f>
        <v>GO</v>
      </c>
      <c r="E924" s="9">
        <f>_xlfn.XLOOKUP(Follow[[#This Row],[Id Pedido]],Controle_Pedidos[Número Pedido Cliente],Controle_Pedidos[Prazo Entrega])</f>
        <v>45734</v>
      </c>
      <c r="F924" s="9" t="s">
        <v>19433</v>
      </c>
      <c r="G924" s="9" t="s">
        <v>37</v>
      </c>
      <c r="H924" s="52" t="s">
        <v>179</v>
      </c>
      <c r="I924" s="52" t="s">
        <v>178</v>
      </c>
      <c r="J924" s="55">
        <v>45712</v>
      </c>
      <c r="K924" s="52" t="s">
        <v>198</v>
      </c>
      <c r="L924" s="8" t="s">
        <v>124</v>
      </c>
      <c r="M924" s="8" t="s">
        <v>37</v>
      </c>
      <c r="N924" s="52" t="str">
        <f>IF(Follow[[#This Row],[DATAATUALIZAÇÃO]]&lt;=Follow[[#This Row],[Prev Entrega]],"Dentro do Prazo","Fora do Prazo")</f>
        <v>Dentro do Prazo</v>
      </c>
      <c r="O9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940 Rastreio Pedido 940, agradecemos a preferência e adoraríamos receber sua avaliação, tendo qualquer dúvida estamos à disposição.
Att
Sec Variedades</v>
      </c>
    </row>
    <row r="925" spans="1:15">
      <c r="A925" s="52" t="str">
        <f>_xlfn.XLOOKUP(Follow[[#This Row],[CODRASTREIO]],Controle_Pedidos[Cód Rastreamento],Controle_Pedidos[Número Pedido Cliente])</f>
        <v>Pedido 941</v>
      </c>
      <c r="B925" s="2" t="s">
        <v>18360</v>
      </c>
      <c r="C925" s="2" t="str">
        <f>Follow[[#This Row],[CODRASTREIO]]&amp;" B"</f>
        <v>CódRastreio918 B</v>
      </c>
      <c r="D925" s="52" t="str">
        <f>_xlfn.XLOOKUP(Follow[[#This Row],[Id Pedido]],Controle_Pedidos[Número Pedido Cliente],Controle_Pedidos[Loja])</f>
        <v>GO</v>
      </c>
      <c r="E925" s="9">
        <f>_xlfn.XLOOKUP(Follow[[#This Row],[Id Pedido]],Controle_Pedidos[Número Pedido Cliente],Controle_Pedidos[Prazo Entrega])</f>
        <v>45727</v>
      </c>
      <c r="F925" s="9" t="s">
        <v>19433</v>
      </c>
      <c r="G925" s="9" t="s">
        <v>37</v>
      </c>
      <c r="H925" s="52" t="s">
        <v>179</v>
      </c>
      <c r="I925" s="52" t="s">
        <v>178</v>
      </c>
      <c r="J925" s="55">
        <v>45708</v>
      </c>
      <c r="K925" s="52" t="s">
        <v>198</v>
      </c>
      <c r="L925" s="8" t="s">
        <v>124</v>
      </c>
      <c r="M925" s="8" t="s">
        <v>37</v>
      </c>
      <c r="N925" s="52" t="str">
        <f>IF(Follow[[#This Row],[DATAATUALIZAÇÃO]]&lt;=Follow[[#This Row],[Prev Entrega]],"Dentro do Prazo","Fora do Prazo")</f>
        <v>Dentro do Prazo</v>
      </c>
      <c r="O92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20/02/2025, referente ao pedido Nº Pedido 941 Rastreio Pedido 941, agradecemos a preferência e adoraríamos receber sua avaliação, tendo qualquer dúvida estamos à disposição.
Att
Sec Variedades</v>
      </c>
    </row>
    <row r="926" spans="1:15">
      <c r="A926" s="52" t="str">
        <f>_xlfn.XLOOKUP(Follow[[#This Row],[CODRASTREIO]],Controle_Pedidos[Cód Rastreamento],Controle_Pedidos[Número Pedido Cliente])</f>
        <v>Pedido 942</v>
      </c>
      <c r="B926" s="2" t="s">
        <v>18361</v>
      </c>
      <c r="C926" s="2" t="str">
        <f>Follow[[#This Row],[CODRASTREIO]]&amp;" B"</f>
        <v>CódRastreio919 B</v>
      </c>
      <c r="D926" s="52" t="str">
        <f>_xlfn.XLOOKUP(Follow[[#This Row],[Id Pedido]],Controle_Pedidos[Número Pedido Cliente],Controle_Pedidos[Loja])</f>
        <v>GO</v>
      </c>
      <c r="E926" s="9">
        <f>_xlfn.XLOOKUP(Follow[[#This Row],[Id Pedido]],Controle_Pedidos[Número Pedido Cliente],Controle_Pedidos[Prazo Entrega])</f>
        <v>45727</v>
      </c>
      <c r="F926" s="9" t="s">
        <v>19433</v>
      </c>
      <c r="G926" s="9" t="s">
        <v>37</v>
      </c>
      <c r="H926" s="52" t="s">
        <v>179</v>
      </c>
      <c r="I926" s="52" t="s">
        <v>178</v>
      </c>
      <c r="J926" s="55">
        <v>45712</v>
      </c>
      <c r="K926" s="52" t="s">
        <v>198</v>
      </c>
      <c r="L926" s="8" t="s">
        <v>124</v>
      </c>
      <c r="M926" s="8" t="s">
        <v>37</v>
      </c>
      <c r="N926" s="52" t="str">
        <f>IF(Follow[[#This Row],[DATAATUALIZAÇÃO]]&lt;=Follow[[#This Row],[Prev Entrega]],"Dentro do Prazo","Fora do Prazo")</f>
        <v>Dentro do Prazo</v>
      </c>
      <c r="O92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942 Rastreio Pedido 942, agradecemos a preferência e adoraríamos receber sua avaliação, tendo qualquer dúvida estamos à disposição.
Att
Sec Variedades</v>
      </c>
    </row>
    <row r="927" spans="1:15">
      <c r="A927" s="52" t="str">
        <f>_xlfn.XLOOKUP(Follow[[#This Row],[CODRASTREIO]],Controle_Pedidos[Cód Rastreamento],Controle_Pedidos[Número Pedido Cliente])</f>
        <v>Pedido 943</v>
      </c>
      <c r="B927" s="2" t="s">
        <v>18362</v>
      </c>
      <c r="C927" s="2" t="str">
        <f>Follow[[#This Row],[CODRASTREIO]]&amp;" B"</f>
        <v>CódRastreio920 B</v>
      </c>
      <c r="D927" s="52" t="str">
        <f>_xlfn.XLOOKUP(Follow[[#This Row],[Id Pedido]],Controle_Pedidos[Número Pedido Cliente],Controle_Pedidos[Loja])</f>
        <v>GO</v>
      </c>
      <c r="E927" s="9">
        <f>_xlfn.XLOOKUP(Follow[[#This Row],[Id Pedido]],Controle_Pedidos[Número Pedido Cliente],Controle_Pedidos[Prazo Entrega])</f>
        <v>45716</v>
      </c>
      <c r="F927" s="9" t="s">
        <v>19433</v>
      </c>
      <c r="G927" s="9" t="s">
        <v>37</v>
      </c>
      <c r="H927" s="52" t="s">
        <v>179</v>
      </c>
      <c r="I927" s="52" t="s">
        <v>178</v>
      </c>
      <c r="J927" s="55">
        <v>45706</v>
      </c>
      <c r="K927" s="52" t="s">
        <v>198</v>
      </c>
      <c r="L927" s="8" t="s">
        <v>124</v>
      </c>
      <c r="M927" s="8" t="s">
        <v>37</v>
      </c>
      <c r="N927" s="52" t="str">
        <f>IF(Follow[[#This Row],[DATAATUALIZAÇÃO]]&lt;=Follow[[#This Row],[Prev Entrega]],"Dentro do Prazo","Fora do Prazo")</f>
        <v>Dentro do Prazo</v>
      </c>
      <c r="O92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18/02/2025, referente ao pedido Nº Pedido 943 Rastreio Pedido 943, agradecemos a preferência e adoraríamos receber sua avaliação, tendo qualquer dúvida estamos à disposição.
Att
Sec Variedades</v>
      </c>
    </row>
    <row r="928" spans="1:15">
      <c r="A928" s="52" t="str">
        <f>_xlfn.XLOOKUP(Follow[[#This Row],[CODRASTREIO]],Controle_Pedidos[Cód Rastreamento],Controle_Pedidos[Número Pedido Cliente])</f>
        <v>Pedido 929</v>
      </c>
      <c r="B928" s="2" t="s">
        <v>18348</v>
      </c>
      <c r="C928" s="2" t="str">
        <f>Follow[[#This Row],[CODRASTREIO]]&amp;" B"</f>
        <v>CódRastreio906 B</v>
      </c>
      <c r="D928" s="52" t="str">
        <f>_xlfn.XLOOKUP(Follow[[#This Row],[Id Pedido]],Controle_Pedidos[Número Pedido Cliente],Controle_Pedidos[Loja])</f>
        <v>BV</v>
      </c>
      <c r="E928" s="9">
        <f>_xlfn.XLOOKUP(Follow[[#This Row],[Id Pedido]],Controle_Pedidos[Número Pedido Cliente],Controle_Pedidos[Prazo Entrega])</f>
        <v>45716</v>
      </c>
      <c r="F928" s="9" t="s">
        <v>19433</v>
      </c>
      <c r="G928" s="9" t="s">
        <v>37</v>
      </c>
      <c r="H928" s="52" t="s">
        <v>179</v>
      </c>
      <c r="I928" s="52" t="s">
        <v>178</v>
      </c>
      <c r="J928" s="55">
        <v>45706</v>
      </c>
      <c r="K928" s="52" t="s">
        <v>198</v>
      </c>
      <c r="L928" s="8" t="s">
        <v>124</v>
      </c>
      <c r="M928" s="8" t="s">
        <v>104</v>
      </c>
      <c r="N928" s="52" t="str">
        <f>IF(Follow[[#This Row],[DATAATUALIZAÇÃO]]&lt;=Follow[[#This Row],[Prev Entrega]],"Dentro do Prazo","Fora do Prazo")</f>
        <v>Dentro do Prazo</v>
      </c>
      <c r="O92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18/02/2025, referente ao pedido Nº Pedido 929 Rastreio Pedido 929, agradecemos a preferência e adoraríamos receber sua avaliação, tendo qualquer dúvida estamos à disposição.
Att
Tem tudo Shop</v>
      </c>
    </row>
    <row r="929" spans="1:15">
      <c r="A929" s="52" t="str">
        <f>_xlfn.XLOOKUP(Follow[[#This Row],[CODRASTREIO]],Controle_Pedidos[Cód Rastreamento],Controle_Pedidos[Número Pedido Cliente])</f>
        <v>Pedido 930</v>
      </c>
      <c r="B929" s="2" t="s">
        <v>18349</v>
      </c>
      <c r="C929" s="2" t="str">
        <f>Follow[[#This Row],[CODRASTREIO]]&amp;" B"</f>
        <v>CódRastreio907 B</v>
      </c>
      <c r="D929" s="52" t="str">
        <f>_xlfn.XLOOKUP(Follow[[#This Row],[Id Pedido]],Controle_Pedidos[Número Pedido Cliente],Controle_Pedidos[Loja])</f>
        <v>BV</v>
      </c>
      <c r="E929" s="9">
        <f>_xlfn.XLOOKUP(Follow[[#This Row],[Id Pedido]],Controle_Pedidos[Número Pedido Cliente],Controle_Pedidos[Prazo Entrega])</f>
        <v>45716</v>
      </c>
      <c r="F929" s="9" t="s">
        <v>19433</v>
      </c>
      <c r="G929" s="9" t="s">
        <v>37</v>
      </c>
      <c r="H929" s="52" t="s">
        <v>179</v>
      </c>
      <c r="I929" s="52" t="s">
        <v>178</v>
      </c>
      <c r="J929" s="55">
        <v>45709</v>
      </c>
      <c r="K929" s="52" t="s">
        <v>198</v>
      </c>
      <c r="L929" s="8" t="s">
        <v>124</v>
      </c>
      <c r="M929" s="8" t="s">
        <v>37</v>
      </c>
      <c r="N929" s="52" t="str">
        <f>IF(Follow[[#This Row],[DATAATUALIZAÇÃO]]&lt;=Follow[[#This Row],[Prev Entrega]],"Dentro do Prazo","Fora do Prazo")</f>
        <v>Dentro do Prazo</v>
      </c>
      <c r="O9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21/02/2025, referente ao pedido Nº Pedido 930 Rastreio Pedido 930, agradecemos a preferência e adoraríamos receber sua avaliação, tendo qualquer dúvida estamos à disposição.
Att
Tem tudo Shop</v>
      </c>
    </row>
    <row r="930" spans="1:15">
      <c r="A930" s="52" t="str">
        <f>_xlfn.XLOOKUP(Follow[[#This Row],[CODRASTREIO]],Controle_Pedidos[Cód Rastreamento],Controle_Pedidos[Número Pedido Cliente])</f>
        <v>Pedido 932</v>
      </c>
      <c r="B930" s="2" t="s">
        <v>18351</v>
      </c>
      <c r="C930" s="2" t="str">
        <f>Follow[[#This Row],[CODRASTREIO]]&amp;" B"</f>
        <v>CódRastreio909 B</v>
      </c>
      <c r="D930" s="52" t="str">
        <f>_xlfn.XLOOKUP(Follow[[#This Row],[Id Pedido]],Controle_Pedidos[Número Pedido Cliente],Controle_Pedidos[Loja])</f>
        <v>BV</v>
      </c>
      <c r="E930" s="9">
        <f>_xlfn.XLOOKUP(Follow[[#This Row],[Id Pedido]],Controle_Pedidos[Número Pedido Cliente],Controle_Pedidos[Prazo Entrega])</f>
        <v>45727</v>
      </c>
      <c r="F930" s="9" t="s">
        <v>19433</v>
      </c>
      <c r="G930" s="9" t="s">
        <v>37</v>
      </c>
      <c r="H930" s="52" t="s">
        <v>179</v>
      </c>
      <c r="I930" s="52" t="s">
        <v>178</v>
      </c>
      <c r="J930" s="55">
        <v>45710</v>
      </c>
      <c r="K930" s="52" t="s">
        <v>198</v>
      </c>
      <c r="L930" s="8" t="s">
        <v>124</v>
      </c>
      <c r="M930" s="8" t="s">
        <v>37</v>
      </c>
      <c r="N930" s="52" t="str">
        <f>IF(Follow[[#This Row],[DATAATUALIZAÇÃO]]&lt;=Follow[[#This Row],[Prev Entrega]],"Dentro do Prazo","Fora do Prazo")</f>
        <v>Dentro do Prazo</v>
      </c>
      <c r="O9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22/02/2025, referente ao pedido Nº Pedido 932 Rastreio Pedido 932, agradecemos a preferência e adoraríamos receber sua avaliação, tendo qualquer dúvida estamos à disposição.
Att
Tem tudo Shop</v>
      </c>
    </row>
    <row r="931" spans="1:15">
      <c r="A931" s="52" t="str">
        <f>_xlfn.XLOOKUP(Follow[[#This Row],[CODRASTREIO]],Controle_Pedidos[Cód Rastreamento],Controle_Pedidos[Número Pedido Cliente])</f>
        <v>Pedido 936</v>
      </c>
      <c r="B931" s="2" t="s">
        <v>18355</v>
      </c>
      <c r="C931" s="2" t="str">
        <f>Follow[[#This Row],[CODRASTREIO]]&amp;" B"</f>
        <v>CódRastreio913 B</v>
      </c>
      <c r="D931" s="52" t="str">
        <f>_xlfn.XLOOKUP(Follow[[#This Row],[Id Pedido]],Controle_Pedidos[Número Pedido Cliente],Controle_Pedidos[Loja])</f>
        <v>BV</v>
      </c>
      <c r="E931" s="9">
        <f>_xlfn.XLOOKUP(Follow[[#This Row],[Id Pedido]],Controle_Pedidos[Número Pedido Cliente],Controle_Pedidos[Prazo Entrega])</f>
        <v>45734</v>
      </c>
      <c r="F931" s="9" t="s">
        <v>19433</v>
      </c>
      <c r="G931" s="122" t="s">
        <v>214</v>
      </c>
      <c r="H931" s="9" t="s">
        <v>179</v>
      </c>
      <c r="I931" s="9" t="s">
        <v>178</v>
      </c>
      <c r="J931" s="9">
        <v>45717</v>
      </c>
      <c r="K931" s="8" t="s">
        <v>198</v>
      </c>
      <c r="L931" s="8" t="s">
        <v>124</v>
      </c>
      <c r="M931" s="8" t="s">
        <v>37</v>
      </c>
      <c r="N931" s="52" t="str">
        <f>IF(Follow[[#This Row],[DATAATUALIZAÇÃO]]&lt;=Follow[[#This Row],[Prev Entrega]],"Dentro do Prazo","Fora do Prazo")</f>
        <v>Dentro do Prazo</v>
      </c>
      <c r="O9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01/03/2025, referente ao pedido Nº Pedido 936 Rastreio CNBR00050037969, agradecemos a preferência e adoraríamos receber sua avaliação, tendo qualquer dúvida estamos à disposição.
Att
Tem tudo Shop</v>
      </c>
    </row>
    <row r="932" spans="1:15">
      <c r="A932" s="52" t="str">
        <f>_xlfn.XLOOKUP(Follow[[#This Row],[CODRASTREIO]],Controle_Pedidos[Cód Rastreamento],Controle_Pedidos[Número Pedido Cliente])</f>
        <v>Pedido 947</v>
      </c>
      <c r="B932" s="2" t="s">
        <v>18366</v>
      </c>
      <c r="C932" s="2" t="str">
        <f>Follow[[#This Row],[CODRASTREIO]]&amp;" B"</f>
        <v>CódRastreio924 B</v>
      </c>
      <c r="D932" s="52" t="str">
        <f>_xlfn.XLOOKUP(Follow[[#This Row],[Id Pedido]],Controle_Pedidos[Número Pedido Cliente],Controle_Pedidos[Loja])</f>
        <v>BV</v>
      </c>
      <c r="E932" s="9">
        <f>_xlfn.XLOOKUP(Follow[[#This Row],[Id Pedido]],Controle_Pedidos[Número Pedido Cliente],Controle_Pedidos[Prazo Entrega])</f>
        <v>45717</v>
      </c>
      <c r="F932" s="9" t="s">
        <v>19433</v>
      </c>
      <c r="G932" s="9" t="s">
        <v>37</v>
      </c>
      <c r="H932" s="52" t="s">
        <v>179</v>
      </c>
      <c r="I932" s="52" t="s">
        <v>178</v>
      </c>
      <c r="J932" s="55">
        <v>45710</v>
      </c>
      <c r="K932" s="52" t="s">
        <v>198</v>
      </c>
      <c r="L932" s="8" t="s">
        <v>124</v>
      </c>
      <c r="M932" s="8" t="s">
        <v>37</v>
      </c>
      <c r="N932" s="52" t="str">
        <f>IF(Follow[[#This Row],[DATAATUALIZAÇÃO]]&lt;=Follow[[#This Row],[Prev Entrega]],"Dentro do Prazo","Fora do Prazo")</f>
        <v>Dentro do Prazo</v>
      </c>
      <c r="O9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22/02/2025, referente ao pedido Nº Pedido 947 Rastreio Pedido 947, agradecemos a preferência e adoraríamos receber sua avaliação, tendo qualquer dúvida estamos à disposição.
Att
Tem tudo Shop</v>
      </c>
    </row>
    <row r="933" spans="1:15">
      <c r="A933" s="52" t="str">
        <f>_xlfn.XLOOKUP(Follow[[#This Row],[CODRASTREIO]],Controle_Pedidos[Cód Rastreamento],Controle_Pedidos[Número Pedido Cliente])</f>
        <v>Pedido 948</v>
      </c>
      <c r="B933" s="2" t="s">
        <v>18367</v>
      </c>
      <c r="C933" s="2" t="str">
        <f>Follow[[#This Row],[CODRASTREIO]]&amp;" B"</f>
        <v>CódRastreio925 B</v>
      </c>
      <c r="D933" s="52" t="str">
        <f>_xlfn.XLOOKUP(Follow[[#This Row],[Id Pedido]],Controle_Pedidos[Número Pedido Cliente],Controle_Pedidos[Loja])</f>
        <v>BV</v>
      </c>
      <c r="E933" s="9">
        <f>_xlfn.XLOOKUP(Follow[[#This Row],[Id Pedido]],Controle_Pedidos[Número Pedido Cliente],Controle_Pedidos[Prazo Entrega])</f>
        <v>45728</v>
      </c>
      <c r="F933" s="9" t="s">
        <v>19433</v>
      </c>
      <c r="G933" s="122" t="s">
        <v>215</v>
      </c>
      <c r="H933" s="9" t="s">
        <v>179</v>
      </c>
      <c r="I933" s="9" t="s">
        <v>178</v>
      </c>
      <c r="J933" s="9">
        <v>45714</v>
      </c>
      <c r="K933" s="8" t="s">
        <v>198</v>
      </c>
      <c r="L933" s="8" t="s">
        <v>124</v>
      </c>
      <c r="M933" s="8" t="s">
        <v>37</v>
      </c>
      <c r="N933" s="52" t="str">
        <f>IF(Follow[[#This Row],[DATAATUALIZAÇÃO]]&lt;=Follow[[#This Row],[Prev Entrega]],"Dentro do Prazo","Fora do Prazo")</f>
        <v>Dentro do Prazo</v>
      </c>
      <c r="O9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26/02/2025, referente ao pedido Nº Pedido 948 Rastreio CNBR00050062290, agradecemos a preferência e adoraríamos receber sua avaliação, tendo qualquer dúvida estamos à disposição.
Att
Tem tudo Shop</v>
      </c>
    </row>
    <row r="934" spans="1:15">
      <c r="A934" s="52" t="str">
        <f>_xlfn.XLOOKUP(Follow[[#This Row],[CODRASTREIO]],Controle_Pedidos[Cód Rastreamento],Controle_Pedidos[Número Pedido Cliente])</f>
        <v>Pedido 949</v>
      </c>
      <c r="B934" s="2" t="s">
        <v>18368</v>
      </c>
      <c r="C934" s="2" t="str">
        <f>Follow[[#This Row],[CODRASTREIO]]&amp;" B"</f>
        <v>CódRastreio926 B</v>
      </c>
      <c r="D934" s="52" t="str">
        <f>_xlfn.XLOOKUP(Follow[[#This Row],[Id Pedido]],Controle_Pedidos[Número Pedido Cliente],Controle_Pedidos[Loja])</f>
        <v>BV</v>
      </c>
      <c r="E934" s="9">
        <f>_xlfn.XLOOKUP(Follow[[#This Row],[Id Pedido]],Controle_Pedidos[Número Pedido Cliente],Controle_Pedidos[Prazo Entrega])</f>
        <v>45717</v>
      </c>
      <c r="F934" s="9" t="s">
        <v>19433</v>
      </c>
      <c r="G934" s="122" t="s">
        <v>216</v>
      </c>
      <c r="H934" s="9" t="s">
        <v>179</v>
      </c>
      <c r="I934" s="9" t="s">
        <v>178</v>
      </c>
      <c r="J934" s="9">
        <v>45722</v>
      </c>
      <c r="K934" s="8" t="s">
        <v>198</v>
      </c>
      <c r="L934" s="8" t="s">
        <v>124</v>
      </c>
      <c r="M934" s="8" t="s">
        <v>37</v>
      </c>
      <c r="N934" s="52" t="str">
        <f>IF(Follow[[#This Row],[DATAATUALIZAÇÃO]]&lt;=Follow[[#This Row],[Prev Entrega]],"Dentro do Prazo","Fora do Prazo")</f>
        <v>Fora do Prazo</v>
      </c>
      <c r="O934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06/03/2025, referente ao pedido Nº Pedido 949 Rastreio CNBR00050066159, agradecemos a preferência e adoraríamos receber sua avaliação, tendo qualquer dúvida estamos à disposição.
Att
Tem tudo Shop</v>
      </c>
    </row>
    <row r="935" spans="1:15">
      <c r="A935" s="52" t="str">
        <f>_xlfn.XLOOKUP(Follow[[#This Row],[CODRASTREIO]],Controle_Pedidos[Cód Rastreamento],Controle_Pedidos[Número Pedido Cliente])</f>
        <v>Pedido 950</v>
      </c>
      <c r="B935" s="2" t="s">
        <v>18369</v>
      </c>
      <c r="C935" s="2" t="str">
        <f>Follow[[#This Row],[CODRASTREIO]]&amp;" B"</f>
        <v>CódRastreio927 B</v>
      </c>
      <c r="D935" s="52" t="str">
        <f>_xlfn.XLOOKUP(Follow[[#This Row],[Id Pedido]],Controle_Pedidos[Número Pedido Cliente],Controle_Pedidos[Loja])</f>
        <v>BV</v>
      </c>
      <c r="E935" s="9">
        <f>_xlfn.XLOOKUP(Follow[[#This Row],[Id Pedido]],Controle_Pedidos[Número Pedido Cliente],Controle_Pedidos[Prazo Entrega])</f>
        <v>45728</v>
      </c>
      <c r="F935" s="9" t="s">
        <v>19433</v>
      </c>
      <c r="G935" s="9" t="s">
        <v>37</v>
      </c>
      <c r="H935" s="52" t="s">
        <v>179</v>
      </c>
      <c r="I935" s="52" t="s">
        <v>178</v>
      </c>
      <c r="J935" s="55">
        <v>45712</v>
      </c>
      <c r="K935" s="52" t="s">
        <v>198</v>
      </c>
      <c r="L935" s="8" t="s">
        <v>124</v>
      </c>
      <c r="M935" s="8" t="s">
        <v>37</v>
      </c>
      <c r="N935" s="52" t="str">
        <f>IF(Follow[[#This Row],[DATAATUALIZAÇÃO]]&lt;=Follow[[#This Row],[Prev Entrega]],"Dentro do Prazo","Fora do Prazo")</f>
        <v>Dentro do Prazo</v>
      </c>
      <c r="O93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24/02/2025, referente ao pedido Nº Pedido 950 Rastreio Pedido 950, agradecemos a preferência e adoraríamos receber sua avaliação, tendo qualquer dúvida estamos à disposição.
Att
Tem tudo Shop</v>
      </c>
    </row>
    <row r="936" spans="1:15">
      <c r="A936" s="52" t="str">
        <f>_xlfn.XLOOKUP(Follow[[#This Row],[CODRASTREIO]],Controle_Pedidos[Cód Rastreamento],Controle_Pedidos[Número Pedido Cliente])</f>
        <v>Pedido 951</v>
      </c>
      <c r="B936" s="2" t="s">
        <v>18370</v>
      </c>
      <c r="C936" s="2" t="str">
        <f>Follow[[#This Row],[CODRASTREIO]]&amp;" B"</f>
        <v>CódRastreio928 B</v>
      </c>
      <c r="D936" s="52" t="str">
        <f>_xlfn.XLOOKUP(Follow[[#This Row],[Id Pedido]],Controle_Pedidos[Número Pedido Cliente],Controle_Pedidos[Loja])</f>
        <v>BV</v>
      </c>
      <c r="E936" s="9">
        <f>_xlfn.XLOOKUP(Follow[[#This Row],[Id Pedido]],Controle_Pedidos[Número Pedido Cliente],Controle_Pedidos[Prazo Entrega])</f>
        <v>45717</v>
      </c>
      <c r="F936" s="9" t="s">
        <v>19433</v>
      </c>
      <c r="G936" s="9" t="s">
        <v>37</v>
      </c>
      <c r="H936" s="52" t="s">
        <v>179</v>
      </c>
      <c r="I936" s="52" t="s">
        <v>178</v>
      </c>
      <c r="J936" s="55">
        <v>45709</v>
      </c>
      <c r="K936" s="52" t="s">
        <v>198</v>
      </c>
      <c r="L936" s="8" t="s">
        <v>124</v>
      </c>
      <c r="M936" s="8" t="s">
        <v>37</v>
      </c>
      <c r="N936" s="52" t="str">
        <f>IF(Follow[[#This Row],[DATAATUALIZAÇÃO]]&lt;=Follow[[#This Row],[Prev Entrega]],"Dentro do Prazo","Fora do Prazo")</f>
        <v>Dentro do Prazo</v>
      </c>
      <c r="O93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21/02/2025, referente ao pedido Nº Pedido 951 Rastreio Pedido 951, agradecemos a preferência e adoraríamos receber sua avaliação, tendo qualquer dúvida estamos à disposição.
Att
Tem tudo Shop</v>
      </c>
    </row>
    <row r="937" spans="1:15">
      <c r="A937" s="52" t="str">
        <f>_xlfn.XLOOKUP(Follow[[#This Row],[CODRASTREIO]],Controle_Pedidos[Cód Rastreamento],Controle_Pedidos[Número Pedido Cliente])</f>
        <v>Pedido 952</v>
      </c>
      <c r="B937" s="2" t="s">
        <v>18371</v>
      </c>
      <c r="C937" s="2" t="str">
        <f>Follow[[#This Row],[CODRASTREIO]]&amp;" B"</f>
        <v>CódRastreio929 B</v>
      </c>
      <c r="D937" s="52" t="str">
        <f>_xlfn.XLOOKUP(Follow[[#This Row],[Id Pedido]],Controle_Pedidos[Número Pedido Cliente],Controle_Pedidos[Loja])</f>
        <v>BV</v>
      </c>
      <c r="E937" s="9">
        <f>_xlfn.XLOOKUP(Follow[[#This Row],[Id Pedido]],Controle_Pedidos[Número Pedido Cliente],Controle_Pedidos[Prazo Entrega])</f>
        <v>45717</v>
      </c>
      <c r="F937" s="9" t="s">
        <v>19433</v>
      </c>
      <c r="G937" s="9" t="s">
        <v>37</v>
      </c>
      <c r="H937" s="52" t="s">
        <v>179</v>
      </c>
      <c r="I937" s="52" t="s">
        <v>178</v>
      </c>
      <c r="J937" s="55">
        <v>45708</v>
      </c>
      <c r="K937" s="52" t="s">
        <v>198</v>
      </c>
      <c r="L937" s="8" t="s">
        <v>124</v>
      </c>
      <c r="M937" s="8" t="s">
        <v>37</v>
      </c>
      <c r="N937" s="52" t="str">
        <f>IF(Follow[[#This Row],[DATAATUALIZAÇÃO]]&lt;=Follow[[#This Row],[Prev Entrega]],"Dentro do Prazo","Fora do Prazo")</f>
        <v>Dentro do Prazo</v>
      </c>
      <c r="O93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20/02/2025, referente ao pedido Nº Pedido 952 Rastreio Pedido 952, agradecemos a preferência e adoraríamos receber sua avaliação, tendo qualquer dúvida estamos à disposição.
Att
Tem tudo Shop</v>
      </c>
    </row>
    <row r="938" spans="1:15">
      <c r="A938" s="52" t="str">
        <f>_xlfn.XLOOKUP(Follow[[#This Row],[CODRASTREIO]],Controle_Pedidos[Cód Rastreamento],Controle_Pedidos[Número Pedido Cliente])</f>
        <v>Pedido 955</v>
      </c>
      <c r="B938" s="2" t="s">
        <v>18374</v>
      </c>
      <c r="C938" s="2" t="str">
        <f>Follow[[#This Row],[CODRASTREIO]]&amp;" B"</f>
        <v>CódRastreio932 B</v>
      </c>
      <c r="D938" s="52" t="str">
        <f>_xlfn.XLOOKUP(Follow[[#This Row],[Id Pedido]],Controle_Pedidos[Número Pedido Cliente],Controle_Pedidos[Loja])</f>
        <v>GO</v>
      </c>
      <c r="E938" s="9">
        <f>_xlfn.XLOOKUP(Follow[[#This Row],[Id Pedido]],Controle_Pedidos[Número Pedido Cliente],Controle_Pedidos[Prazo Entrega])</f>
        <v>45735</v>
      </c>
      <c r="F938" s="9" t="s">
        <v>19433</v>
      </c>
      <c r="G938" s="9" t="s">
        <v>37</v>
      </c>
      <c r="H938" s="52" t="s">
        <v>179</v>
      </c>
      <c r="I938" s="52" t="s">
        <v>178</v>
      </c>
      <c r="J938" s="55">
        <v>45713</v>
      </c>
      <c r="K938" s="52" t="s">
        <v>198</v>
      </c>
      <c r="L938" s="8" t="s">
        <v>124</v>
      </c>
      <c r="M938" s="8" t="s">
        <v>37</v>
      </c>
      <c r="N938" s="52" t="str">
        <f>IF(Follow[[#This Row],[DATAATUALIZAÇÃO]]&lt;=Follow[[#This Row],[Prev Entrega]],"Dentro do Prazo","Fora do Prazo")</f>
        <v>Dentro do Prazo</v>
      </c>
      <c r="O93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25/02/2025, referente ao pedido Nº Pedido 955 Rastreio Pedido 955, agradecemos a preferência e adoraríamos receber sua avaliação, tendo qualquer dúvida estamos à disposição.
Att
Sec Variedades</v>
      </c>
    </row>
    <row r="939" spans="1:15">
      <c r="A939" s="52" t="str">
        <f>_xlfn.XLOOKUP(Follow[[#This Row],[CODRASTREIO]],Controle_Pedidos[Cód Rastreamento],Controle_Pedidos[Número Pedido Cliente])</f>
        <v>Pedido 956</v>
      </c>
      <c r="B939" s="2" t="s">
        <v>18375</v>
      </c>
      <c r="C939" s="2" t="str">
        <f>Follow[[#This Row],[CODRASTREIO]]&amp;" B"</f>
        <v>CódRastreio933 B</v>
      </c>
      <c r="D939" s="52" t="str">
        <f>_xlfn.XLOOKUP(Follow[[#This Row],[Id Pedido]],Controle_Pedidos[Número Pedido Cliente],Controle_Pedidos[Loja])</f>
        <v>GO</v>
      </c>
      <c r="E939" s="9">
        <f>_xlfn.XLOOKUP(Follow[[#This Row],[Id Pedido]],Controle_Pedidos[Número Pedido Cliente],Controle_Pedidos[Prazo Entrega])</f>
        <v>45735</v>
      </c>
      <c r="F939" s="9" t="s">
        <v>19433</v>
      </c>
      <c r="G939" s="122" t="s">
        <v>217</v>
      </c>
      <c r="H939" s="9" t="s">
        <v>179</v>
      </c>
      <c r="I939" s="9" t="s">
        <v>178</v>
      </c>
      <c r="J939" s="9">
        <v>45726</v>
      </c>
      <c r="K939" s="8" t="s">
        <v>198</v>
      </c>
      <c r="L939" s="8" t="s">
        <v>124</v>
      </c>
      <c r="M939" s="8" t="s">
        <v>37</v>
      </c>
      <c r="N939" s="52" t="str">
        <f>IF(Follow[[#This Row],[DATAATUALIZAÇÃO]]&lt;=Follow[[#This Row],[Prev Entrega]],"Dentro do Prazo","Fora do Prazo")</f>
        <v>Dentro do Prazo</v>
      </c>
      <c r="O9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10/03/2025, referente ao pedido Nº Pedido 956 Rastreio NM752787026BR, agradecemos a preferência e adoraríamos receber sua avaliação, tendo qualquer dúvida estamos à disposição.
Att
Sec Variedades</v>
      </c>
    </row>
    <row r="940" spans="1:15">
      <c r="A940" s="52" t="str">
        <f>_xlfn.XLOOKUP(Follow[[#This Row],[CODRASTREIO]],Controle_Pedidos[Cód Rastreamento],Controle_Pedidos[Número Pedido Cliente])</f>
        <v>Pedido 945</v>
      </c>
      <c r="B940" s="2" t="s">
        <v>18364</v>
      </c>
      <c r="C940" s="2" t="str">
        <f>Follow[[#This Row],[CODRASTREIO]]&amp;" B"</f>
        <v>CódRastreio922 B</v>
      </c>
      <c r="D940" s="52" t="str">
        <f>_xlfn.XLOOKUP(Follow[[#This Row],[Id Pedido]],Controle_Pedidos[Número Pedido Cliente],Controle_Pedidos[Loja])</f>
        <v>GO</v>
      </c>
      <c r="E940" s="9">
        <f>_xlfn.XLOOKUP(Follow[[#This Row],[Id Pedido]],Controle_Pedidos[Número Pedido Cliente],Controle_Pedidos[Prazo Entrega])</f>
        <v>45716</v>
      </c>
      <c r="F940" s="9" t="s">
        <v>19433</v>
      </c>
      <c r="G940" s="9" t="s">
        <v>37</v>
      </c>
      <c r="H940" s="52" t="s">
        <v>179</v>
      </c>
      <c r="I940" s="52" t="s">
        <v>178</v>
      </c>
      <c r="J940" s="55">
        <v>45712</v>
      </c>
      <c r="K940" s="52" t="s">
        <v>198</v>
      </c>
      <c r="L940" s="8" t="s">
        <v>124</v>
      </c>
      <c r="M940" s="8" t="s">
        <v>37</v>
      </c>
      <c r="N940" s="52" t="str">
        <f>IF(Follow[[#This Row],[DATAATUALIZAÇÃO]]&lt;=Follow[[#This Row],[Prev Entrega]],"Dentro do Prazo","Fora do Prazo")</f>
        <v>Dentro do Prazo</v>
      </c>
      <c r="O9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945 Rastreio Pedido 945, agradecemos a preferência e adoraríamos receber sua avaliação, tendo qualquer dúvida estamos à disposição.
Att
Sec Variedades</v>
      </c>
    </row>
    <row r="941" spans="1:15">
      <c r="A941" s="52" t="str">
        <f>_xlfn.XLOOKUP(Follow[[#This Row],[CODRASTREIO]],Controle_Pedidos[Cód Rastreamento],Controle_Pedidos[Número Pedido Cliente])</f>
        <v>Pedido 946</v>
      </c>
      <c r="B941" s="2" t="s">
        <v>18365</v>
      </c>
      <c r="C941" s="2" t="str">
        <f>Follow[[#This Row],[CODRASTREIO]]&amp;" B"</f>
        <v>CódRastreio923 B</v>
      </c>
      <c r="D941" s="52" t="str">
        <f>_xlfn.XLOOKUP(Follow[[#This Row],[Id Pedido]],Controle_Pedidos[Número Pedido Cliente],Controle_Pedidos[Loja])</f>
        <v>GO</v>
      </c>
      <c r="E941" s="9">
        <f>_xlfn.XLOOKUP(Follow[[#This Row],[Id Pedido]],Controle_Pedidos[Número Pedido Cliente],Controle_Pedidos[Prazo Entrega])</f>
        <v>45716</v>
      </c>
      <c r="F941" s="9" t="s">
        <v>19433</v>
      </c>
      <c r="G941" s="9" t="s">
        <v>37</v>
      </c>
      <c r="H941" s="52" t="s">
        <v>179</v>
      </c>
      <c r="I941" s="52" t="s">
        <v>178</v>
      </c>
      <c r="J941" s="55">
        <v>45712</v>
      </c>
      <c r="K941" s="52" t="s">
        <v>198</v>
      </c>
      <c r="L941" s="8" t="s">
        <v>124</v>
      </c>
      <c r="M941" s="8" t="s">
        <v>37</v>
      </c>
      <c r="N941" s="52" t="str">
        <f>IF(Follow[[#This Row],[DATAATUALIZAÇÃO]]&lt;=Follow[[#This Row],[Prev Entrega]],"Dentro do Prazo","Fora do Prazo")</f>
        <v>Dentro do Prazo</v>
      </c>
      <c r="O9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946 Rastreio Pedido 946, agradecemos a preferência e adoraríamos receber sua avaliação, tendo qualquer dúvida estamos à disposição.
Att
Sec Variedades</v>
      </c>
    </row>
    <row r="942" spans="1:15">
      <c r="A942" s="52" t="str">
        <f>_xlfn.XLOOKUP(Follow[[#This Row],[CODRASTREIO]],Controle_Pedidos[Cód Rastreamento],Controle_Pedidos[Número Pedido Cliente])</f>
        <v>Pedido 953</v>
      </c>
      <c r="B942" s="2" t="s">
        <v>18372</v>
      </c>
      <c r="C942" s="2" t="str">
        <f>Follow[[#This Row],[CODRASTREIO]]&amp;" B"</f>
        <v>CódRastreio930 B</v>
      </c>
      <c r="D942" s="52" t="str">
        <f>_xlfn.XLOOKUP(Follow[[#This Row],[Id Pedido]],Controle_Pedidos[Número Pedido Cliente],Controle_Pedidos[Loja])</f>
        <v>GO</v>
      </c>
      <c r="E942" s="9">
        <f>_xlfn.XLOOKUP(Follow[[#This Row],[Id Pedido]],Controle_Pedidos[Número Pedido Cliente],Controle_Pedidos[Prazo Entrega])</f>
        <v>45728</v>
      </c>
      <c r="F942" s="9" t="s">
        <v>19433</v>
      </c>
      <c r="G942" s="9" t="s">
        <v>37</v>
      </c>
      <c r="H942" s="52" t="s">
        <v>179</v>
      </c>
      <c r="I942" s="52" t="s">
        <v>178</v>
      </c>
      <c r="J942" s="55">
        <v>45713</v>
      </c>
      <c r="K942" s="52" t="s">
        <v>198</v>
      </c>
      <c r="L942" s="8" t="s">
        <v>124</v>
      </c>
      <c r="M942" s="8" t="s">
        <v>37</v>
      </c>
      <c r="N942" s="52" t="str">
        <f>IF(Follow[[#This Row],[DATAATUALIZAÇÃO]]&lt;=Follow[[#This Row],[Prev Entrega]],"Dentro do Prazo","Fora do Prazo")</f>
        <v>Dentro do Prazo</v>
      </c>
      <c r="O9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25/02/2025, referente ao pedido Nº Pedido 953 Rastreio Pedido 953, agradecemos a preferência e adoraríamos receber sua avaliação, tendo qualquer dúvida estamos à disposição.
Att
Sec Variedades</v>
      </c>
    </row>
    <row r="943" spans="1:15">
      <c r="A943" s="52" t="str">
        <f>_xlfn.XLOOKUP(Follow[[#This Row],[CODRASTREIO]],Controle_Pedidos[Cód Rastreamento],Controle_Pedidos[Número Pedido Cliente])</f>
        <v>Pedido 954</v>
      </c>
      <c r="B943" s="2" t="s">
        <v>18373</v>
      </c>
      <c r="C943" s="2" t="str">
        <f>Follow[[#This Row],[CODRASTREIO]]&amp;" B"</f>
        <v>CódRastreio931 B</v>
      </c>
      <c r="D943" s="52" t="str">
        <f>_xlfn.XLOOKUP(Follow[[#This Row],[Id Pedido]],Controle_Pedidos[Número Pedido Cliente],Controle_Pedidos[Loja])</f>
        <v>GO</v>
      </c>
      <c r="E943" s="9">
        <f>_xlfn.XLOOKUP(Follow[[#This Row],[Id Pedido]],Controle_Pedidos[Número Pedido Cliente],Controle_Pedidos[Prazo Entrega])</f>
        <v>45717</v>
      </c>
      <c r="F943" s="9" t="s">
        <v>19433</v>
      </c>
      <c r="G943" s="122" t="s">
        <v>218</v>
      </c>
      <c r="H943" s="9" t="s">
        <v>179</v>
      </c>
      <c r="I943" s="9" t="s">
        <v>178</v>
      </c>
      <c r="J943" s="9">
        <v>45723</v>
      </c>
      <c r="K943" s="8" t="s">
        <v>198</v>
      </c>
      <c r="L943" s="8" t="s">
        <v>124</v>
      </c>
      <c r="M943" s="8" t="s">
        <v>37</v>
      </c>
      <c r="N943" s="52" t="str">
        <f>IF(Follow[[#This Row],[DATAATUALIZAÇÃO]]&lt;=Follow[[#This Row],[Prev Entrega]],"Dentro do Prazo","Fora do Prazo")</f>
        <v>Fora do Prazo</v>
      </c>
      <c r="O9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07/03/2025, referente ao pedido Nº Pedido 954 Rastreio CNBR00050445857, agradecemos a preferência e adoraríamos receber sua avaliação, tendo qualquer dúvida estamos à disposição.
Att
Sec Variedades</v>
      </c>
    </row>
    <row r="944" spans="1:15">
      <c r="A944" s="52" t="str">
        <f>_xlfn.XLOOKUP(Follow[[#This Row],[CODRASTREIO]],Controle_Pedidos[Cód Rastreamento],Controle_Pedidos[Número Pedido Cliente])</f>
        <v>Pedido 958</v>
      </c>
      <c r="B944" s="2" t="s">
        <v>18377</v>
      </c>
      <c r="C944" s="2" t="str">
        <f>Follow[[#This Row],[CODRASTREIO]]&amp;" B"</f>
        <v>CódRastreio935 B</v>
      </c>
      <c r="D944" s="52" t="str">
        <f>_xlfn.XLOOKUP(Follow[[#This Row],[Id Pedido]],Controle_Pedidos[Número Pedido Cliente],Controle_Pedidos[Loja])</f>
        <v>MEI</v>
      </c>
      <c r="E944" s="9">
        <f>_xlfn.XLOOKUP(Follow[[#This Row],[Id Pedido]],Controle_Pedidos[Número Pedido Cliente],Controle_Pedidos[Prazo Entrega])</f>
        <v>45723</v>
      </c>
      <c r="F944" s="9" t="s">
        <v>19433</v>
      </c>
      <c r="G944" s="9" t="s">
        <v>219</v>
      </c>
      <c r="H944" s="9" t="s">
        <v>179</v>
      </c>
      <c r="I944" s="9" t="s">
        <v>178</v>
      </c>
      <c r="J944" s="9">
        <v>45712</v>
      </c>
      <c r="K944" s="8" t="s">
        <v>198</v>
      </c>
      <c r="L944" s="8" t="s">
        <v>124</v>
      </c>
      <c r="M944" s="8" t="s">
        <v>104</v>
      </c>
      <c r="N944" s="52" t="str">
        <f>IF(Follow[[#This Row],[DATAATUALIZAÇÃO]]&lt;=Follow[[#This Row],[Prev Entrega]],"Dentro do Prazo","Fora do Prazo")</f>
        <v>Dentro do Prazo</v>
      </c>
      <c r="O944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958 Rastreio CNBR00050571325, agradecemos a preferência e adoraríamos receber sua avaliação, tendo qualquer dúvida estamos à disposição.
Att
NTA Variedades</v>
      </c>
    </row>
    <row r="945" spans="1:15">
      <c r="A945" s="52" t="str">
        <f>_xlfn.XLOOKUP(Follow[[#This Row],[CODRASTREIO]],Controle_Pedidos[Cód Rastreamento],Controle_Pedidos[Número Pedido Cliente])</f>
        <v>Pedido 959</v>
      </c>
      <c r="B945" s="2" t="s">
        <v>18378</v>
      </c>
      <c r="C945" s="2" t="str">
        <f>Follow[[#This Row],[CODRASTREIO]]&amp;" B"</f>
        <v>CódRastreio936 B</v>
      </c>
      <c r="D945" s="52" t="str">
        <f>_xlfn.XLOOKUP(Follow[[#This Row],[Id Pedido]],Controle_Pedidos[Número Pedido Cliente],Controle_Pedidos[Loja])</f>
        <v>MEI</v>
      </c>
      <c r="E945" s="9">
        <f>_xlfn.XLOOKUP(Follow[[#This Row],[Id Pedido]],Controle_Pedidos[Número Pedido Cliente],Controle_Pedidos[Prazo Entrega])</f>
        <v>45723</v>
      </c>
      <c r="F945" s="9" t="s">
        <v>19433</v>
      </c>
      <c r="G945" s="9" t="s">
        <v>37</v>
      </c>
      <c r="H945" s="52" t="s">
        <v>179</v>
      </c>
      <c r="I945" s="52" t="s">
        <v>178</v>
      </c>
      <c r="J945" s="55">
        <v>45712</v>
      </c>
      <c r="K945" s="52" t="s">
        <v>198</v>
      </c>
      <c r="L945" s="8" t="s">
        <v>124</v>
      </c>
      <c r="M945" s="8" t="s">
        <v>37</v>
      </c>
      <c r="N945" s="52" t="str">
        <f>IF(Follow[[#This Row],[DATAATUALIZAÇÃO]]&lt;=Follow[[#This Row],[Prev Entrega]],"Dentro do Prazo","Fora do Prazo")</f>
        <v>Dentro do Prazo</v>
      </c>
      <c r="O94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959 Rastreio Pedido 959, agradecemos a preferência e adoraríamos receber sua avaliação, tendo qualquer dúvida estamos à disposição.
Att
NTA Variedades</v>
      </c>
    </row>
    <row r="946" spans="1:15">
      <c r="A946" s="52" t="str">
        <f>_xlfn.XLOOKUP(Follow[[#This Row],[CODRASTREIO]],Controle_Pedidos[Cód Rastreamento],Controle_Pedidos[Número Pedido Cliente])</f>
        <v>Pedido 960</v>
      </c>
      <c r="B946" s="2" t="s">
        <v>18379</v>
      </c>
      <c r="C946" s="2" t="str">
        <f>Follow[[#This Row],[CODRASTREIO]]&amp;" B"</f>
        <v>CódRastreio937 B</v>
      </c>
      <c r="D946" s="52" t="str">
        <f>_xlfn.XLOOKUP(Follow[[#This Row],[Id Pedido]],Controle_Pedidos[Número Pedido Cliente],Controle_Pedidos[Loja])</f>
        <v>MEI</v>
      </c>
      <c r="E946" s="9">
        <f>_xlfn.XLOOKUP(Follow[[#This Row],[Id Pedido]],Controle_Pedidos[Número Pedido Cliente],Controle_Pedidos[Prazo Entrega])</f>
        <v>45714</v>
      </c>
      <c r="F946" s="9" t="s">
        <v>19433</v>
      </c>
      <c r="G946" s="9" t="s">
        <v>37</v>
      </c>
      <c r="H946" s="52" t="s">
        <v>178</v>
      </c>
      <c r="I946" s="52" t="s">
        <v>178</v>
      </c>
      <c r="J946" s="55">
        <v>45702</v>
      </c>
      <c r="K946" s="52" t="s">
        <v>198</v>
      </c>
      <c r="L946" s="8" t="s">
        <v>124</v>
      </c>
      <c r="M946" s="8" t="s">
        <v>37</v>
      </c>
      <c r="N946" s="52" t="str">
        <f>IF(Follow[[#This Row],[DATAATUALIZAÇÃO]]&lt;=Follow[[#This Row],[Prev Entrega]],"Dentro do Prazo","Fora do Prazo")</f>
        <v>Dentro do Prazo</v>
      </c>
      <c r="O9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14/02/2025, referente ao pedido Nº Pedido 960 Rastreio Pedido 960, agradecemos a preferência e adoraríamos receber sua avaliação, tendo qualquer dúvida estamos à disposição.
Att
NTA Variedades</v>
      </c>
    </row>
    <row r="947" spans="1:15">
      <c r="A947" s="52" t="str">
        <f>_xlfn.XLOOKUP(Follow[[#This Row],[CODRASTREIO]],Controle_Pedidos[Cód Rastreamento],Controle_Pedidos[Número Pedido Cliente])</f>
        <v>Pedido 961</v>
      </c>
      <c r="B947" s="2" t="s">
        <v>18380</v>
      </c>
      <c r="C947" s="2" t="str">
        <f>Follow[[#This Row],[CODRASTREIO]]&amp;" B"</f>
        <v>CódRastreio938 B</v>
      </c>
      <c r="D947" s="52" t="str">
        <f>_xlfn.XLOOKUP(Follow[[#This Row],[Id Pedido]],Controle_Pedidos[Número Pedido Cliente],Controle_Pedidos[Loja])</f>
        <v>MEI</v>
      </c>
      <c r="E947" s="9">
        <f>_xlfn.XLOOKUP(Follow[[#This Row],[Id Pedido]],Controle_Pedidos[Número Pedido Cliente],Controle_Pedidos[Prazo Entrega])</f>
        <v>45716</v>
      </c>
      <c r="F947" s="9" t="s">
        <v>19433</v>
      </c>
      <c r="G947" s="9" t="s">
        <v>37</v>
      </c>
      <c r="H947" s="52" t="s">
        <v>178</v>
      </c>
      <c r="I947" s="52" t="s">
        <v>178</v>
      </c>
      <c r="J947" s="55">
        <v>45703</v>
      </c>
      <c r="K947" s="52" t="s">
        <v>198</v>
      </c>
      <c r="L947" s="8" t="s">
        <v>124</v>
      </c>
      <c r="M947" s="8" t="s">
        <v>37</v>
      </c>
      <c r="N947" s="52" t="str">
        <f>IF(Follow[[#This Row],[DATAATUALIZAÇÃO]]&lt;=Follow[[#This Row],[Prev Entrega]],"Dentro do Prazo","Fora do Prazo")</f>
        <v>Dentro do Prazo</v>
      </c>
      <c r="O9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15/02/2025, referente ao pedido Nº Pedido 961 Rastreio Pedido 961, agradecemos a preferência e adoraríamos receber sua avaliação, tendo qualquer dúvida estamos à disposição.
Att
NTA Variedades</v>
      </c>
    </row>
    <row r="948" spans="1:15">
      <c r="A948" s="52" t="str">
        <f>_xlfn.XLOOKUP(Follow[[#This Row],[CODRASTREIO]],Controle_Pedidos[Cód Rastreamento],Controle_Pedidos[Número Pedido Cliente])</f>
        <v>Pedido 962</v>
      </c>
      <c r="B948" s="2" t="s">
        <v>18381</v>
      </c>
      <c r="C948" s="2" t="str">
        <f>Follow[[#This Row],[CODRASTREIO]]&amp;" B"</f>
        <v>CódRastreio939 B</v>
      </c>
      <c r="D948" s="52" t="str">
        <f>_xlfn.XLOOKUP(Follow[[#This Row],[Id Pedido]],Controle_Pedidos[Número Pedido Cliente],Controle_Pedidos[Loja])</f>
        <v>MEI</v>
      </c>
      <c r="E948" s="9">
        <f>_xlfn.XLOOKUP(Follow[[#This Row],[Id Pedido]],Controle_Pedidos[Número Pedido Cliente],Controle_Pedidos[Prazo Entrega])</f>
        <v>45714</v>
      </c>
      <c r="F948" s="9" t="s">
        <v>19433</v>
      </c>
      <c r="G948" s="9" t="s">
        <v>37</v>
      </c>
      <c r="H948" s="52" t="s">
        <v>178</v>
      </c>
      <c r="I948" s="52" t="s">
        <v>178</v>
      </c>
      <c r="J948" s="55">
        <v>45702</v>
      </c>
      <c r="K948" s="52" t="s">
        <v>198</v>
      </c>
      <c r="L948" s="8" t="s">
        <v>124</v>
      </c>
      <c r="M948" s="8" t="s">
        <v>37</v>
      </c>
      <c r="N948" s="52" t="str">
        <f>IF(Follow[[#This Row],[DATAATUALIZAÇÃO]]&lt;=Follow[[#This Row],[Prev Entrega]],"Dentro do Prazo","Fora do Prazo")</f>
        <v>Dentro do Prazo</v>
      </c>
      <c r="O9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14/02/2025, referente ao pedido Nº Pedido 962 Rastreio Pedido 962, agradecemos a preferência e adoraríamos receber sua avaliação, tendo qualquer dúvida estamos à disposição.
Att
NTA Variedades</v>
      </c>
    </row>
    <row r="949" spans="1:15">
      <c r="A949" s="52" t="str">
        <f>_xlfn.XLOOKUP(Follow[[#This Row],[CODRASTREIO]],Controle_Pedidos[Cód Rastreamento],Controle_Pedidos[Número Pedido Cliente])</f>
        <v>Pedido 963</v>
      </c>
      <c r="B949" s="2" t="s">
        <v>18382</v>
      </c>
      <c r="C949" s="2" t="str">
        <f>Follow[[#This Row],[CODRASTREIO]]&amp;" B"</f>
        <v>CódRastreio940 B</v>
      </c>
      <c r="D949" s="52" t="str">
        <f>_xlfn.XLOOKUP(Follow[[#This Row],[Id Pedido]],Controle_Pedidos[Número Pedido Cliente],Controle_Pedidos[Loja])</f>
        <v>MEI</v>
      </c>
      <c r="E949" s="9">
        <f>_xlfn.XLOOKUP(Follow[[#This Row],[Id Pedido]],Controle_Pedidos[Número Pedido Cliente],Controle_Pedidos[Prazo Entrega])</f>
        <v>45729</v>
      </c>
      <c r="F949" s="9" t="s">
        <v>19433</v>
      </c>
      <c r="G949" s="9" t="s">
        <v>220</v>
      </c>
      <c r="H949" s="9" t="s">
        <v>179</v>
      </c>
      <c r="I949" s="9" t="s">
        <v>178</v>
      </c>
      <c r="J949" s="9">
        <v>45714</v>
      </c>
      <c r="K949" s="8" t="s">
        <v>198</v>
      </c>
      <c r="L949" s="8" t="s">
        <v>124</v>
      </c>
      <c r="M949" s="8" t="s">
        <v>37</v>
      </c>
      <c r="N949" s="52" t="str">
        <f>IF(Follow[[#This Row],[DATAATUALIZAÇÃO]]&lt;=Follow[[#This Row],[Prev Entrega]],"Dentro do Prazo","Fora do Prazo")</f>
        <v>Dentro do Prazo</v>
      </c>
      <c r="O9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26/02/2025, referente ao pedido Nº Pedido 963 Rastreio CNBR00050549081, agradecemos a preferência e adoraríamos receber sua avaliação, tendo qualquer dúvida estamos à disposição.
Att
NTA Variedades</v>
      </c>
    </row>
    <row r="950" spans="1:15">
      <c r="A950" s="52" t="str">
        <f>_xlfn.XLOOKUP(Follow[[#This Row],[CODRASTREIO]],Controle_Pedidos[Cód Rastreamento],Controle_Pedidos[Número Pedido Cliente])</f>
        <v>Pedido 964</v>
      </c>
      <c r="B950" s="2" t="s">
        <v>18383</v>
      </c>
      <c r="C950" s="2" t="str">
        <f>Follow[[#This Row],[CODRASTREIO]]&amp;" B"</f>
        <v>CódRastreio941 B</v>
      </c>
      <c r="D950" s="52" t="str">
        <f>_xlfn.XLOOKUP(Follow[[#This Row],[Id Pedido]],Controle_Pedidos[Número Pedido Cliente],Controle_Pedidos[Loja])</f>
        <v>MEI</v>
      </c>
      <c r="E950" s="9">
        <f>_xlfn.XLOOKUP(Follow[[#This Row],[Id Pedido]],Controle_Pedidos[Número Pedido Cliente],Controle_Pedidos[Prazo Entrega])</f>
        <v>45723</v>
      </c>
      <c r="F950" s="9" t="s">
        <v>19433</v>
      </c>
      <c r="G950" s="9" t="s">
        <v>37</v>
      </c>
      <c r="H950" s="52" t="s">
        <v>179</v>
      </c>
      <c r="I950" s="52" t="s">
        <v>178</v>
      </c>
      <c r="J950" s="55">
        <v>45713</v>
      </c>
      <c r="K950" s="52" t="s">
        <v>198</v>
      </c>
      <c r="L950" s="8" t="s">
        <v>124</v>
      </c>
      <c r="M950" s="8" t="s">
        <v>37</v>
      </c>
      <c r="N950" s="52" t="str">
        <f>IF(Follow[[#This Row],[DATAATUALIZAÇÃO]]&lt;=Follow[[#This Row],[Prev Entrega]],"Dentro do Prazo","Fora do Prazo")</f>
        <v>Dentro do Prazo</v>
      </c>
      <c r="O9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25/02/2025, referente ao pedido Nº Pedido 964 Rastreio Pedido 964, agradecemos a preferência e adoraríamos receber sua avaliação, tendo qualquer dúvida estamos à disposição.
Att
NTA Variedades</v>
      </c>
    </row>
    <row r="951" spans="1:15">
      <c r="A951" s="52" t="str">
        <f>_xlfn.XLOOKUP(Follow[[#This Row],[CODRASTREIO]],Controle_Pedidos[Cód Rastreamento],Controle_Pedidos[Número Pedido Cliente])</f>
        <v>Pedido 965</v>
      </c>
      <c r="B951" s="2" t="s">
        <v>18384</v>
      </c>
      <c r="C951" s="2" t="str">
        <f>Follow[[#This Row],[CODRASTREIO]]&amp;" B"</f>
        <v>CódRastreio942 B</v>
      </c>
      <c r="D951" s="52" t="str">
        <f>_xlfn.XLOOKUP(Follow[[#This Row],[Id Pedido]],Controle_Pedidos[Número Pedido Cliente],Controle_Pedidos[Loja])</f>
        <v>MEI</v>
      </c>
      <c r="E951" s="9">
        <f>_xlfn.XLOOKUP(Follow[[#This Row],[Id Pedido]],Controle_Pedidos[Número Pedido Cliente],Controle_Pedidos[Prazo Entrega])</f>
        <v>45723</v>
      </c>
      <c r="F951" s="9" t="s">
        <v>19433</v>
      </c>
      <c r="G951" s="9" t="s">
        <v>37</v>
      </c>
      <c r="H951" s="52" t="s">
        <v>178</v>
      </c>
      <c r="I951" s="52" t="s">
        <v>178</v>
      </c>
      <c r="J951" s="55">
        <v>45703</v>
      </c>
      <c r="K951" s="52" t="s">
        <v>198</v>
      </c>
      <c r="L951" s="8" t="s">
        <v>124</v>
      </c>
      <c r="M951" s="8" t="s">
        <v>37</v>
      </c>
      <c r="N951" s="52" t="str">
        <f>IF(Follow[[#This Row],[DATAATUALIZAÇÃO]]&lt;=Follow[[#This Row],[Prev Entrega]],"Dentro do Prazo","Fora do Prazo")</f>
        <v>Dentro do Prazo</v>
      </c>
      <c r="O9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15/02/2025, referente ao pedido Nº Pedido 965 Rastreio Pedido 965, agradecemos a preferência e adoraríamos receber sua avaliação, tendo qualquer dúvida estamos à disposição.
Att
NTA Variedades</v>
      </c>
    </row>
    <row r="952" spans="1:15">
      <c r="A952" s="52" t="str">
        <f>_xlfn.XLOOKUP(Follow[[#This Row],[CODRASTREIO]],Controle_Pedidos[Cód Rastreamento],Controle_Pedidos[Número Pedido Cliente])</f>
        <v>Pedido 968</v>
      </c>
      <c r="B952" s="2" t="s">
        <v>18387</v>
      </c>
      <c r="C952" s="2" t="str">
        <f>Follow[[#This Row],[CODRASTREIO]]&amp;" B"</f>
        <v>CódRastreio945 B</v>
      </c>
      <c r="D952" s="52" t="str">
        <f>_xlfn.XLOOKUP(Follow[[#This Row],[Id Pedido]],Controle_Pedidos[Número Pedido Cliente],Controle_Pedidos[Loja])</f>
        <v>GO</v>
      </c>
      <c r="E952" s="9">
        <f>_xlfn.XLOOKUP(Follow[[#This Row],[Id Pedido]],Controle_Pedidos[Número Pedido Cliente],Controle_Pedidos[Prazo Entrega])</f>
        <v>45729</v>
      </c>
      <c r="F952" s="9" t="s">
        <v>19433</v>
      </c>
      <c r="G952" s="9" t="s">
        <v>121</v>
      </c>
      <c r="H952" s="9" t="s">
        <v>179</v>
      </c>
      <c r="I952" s="9" t="s">
        <v>178</v>
      </c>
      <c r="J952" s="9">
        <v>45712</v>
      </c>
      <c r="K952" s="8" t="s">
        <v>198</v>
      </c>
      <c r="L952" s="8" t="s">
        <v>124</v>
      </c>
      <c r="M952" s="8" t="s">
        <v>37</v>
      </c>
      <c r="N952" s="52" t="str">
        <f>IF(Follow[[#This Row],[DATAATUALIZAÇÃO]]&lt;=Follow[[#This Row],[Prev Entrega]],"Dentro do Prazo","Fora do Prazo")</f>
        <v>Dentro do Prazo</v>
      </c>
      <c r="O95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968 Rastreio CNBR00050518885, agradecemos a preferência e adoraríamos receber sua avaliação, tendo qualquer dúvida estamos à disposição.
Att
Sec Variedades</v>
      </c>
    </row>
    <row r="953" spans="1:15">
      <c r="A953" s="52" t="str">
        <f>_xlfn.XLOOKUP(Follow[[#This Row],[CODRASTREIO]],Controle_Pedidos[Cód Rastreamento],Controle_Pedidos[Número Pedido Cliente])</f>
        <v>Pedido 957</v>
      </c>
      <c r="B953" s="2" t="s">
        <v>18376</v>
      </c>
      <c r="C953" s="2" t="str">
        <f>Follow[[#This Row],[CODRASTREIO]]&amp;" B"</f>
        <v>CódRastreio934 B</v>
      </c>
      <c r="D953" s="52" t="str">
        <f>_xlfn.XLOOKUP(Follow[[#This Row],[Id Pedido]],Controle_Pedidos[Número Pedido Cliente],Controle_Pedidos[Loja])</f>
        <v>BV</v>
      </c>
      <c r="E953" s="9">
        <f>_xlfn.XLOOKUP(Follow[[#This Row],[Id Pedido]],Controle_Pedidos[Número Pedido Cliente],Controle_Pedidos[Prazo Entrega])</f>
        <v>45723</v>
      </c>
      <c r="F953" s="9" t="s">
        <v>19433</v>
      </c>
      <c r="G953" s="9" t="s">
        <v>221</v>
      </c>
      <c r="H953" s="9" t="s">
        <v>179</v>
      </c>
      <c r="I953" s="9" t="s">
        <v>178</v>
      </c>
      <c r="J953" s="9">
        <v>45720</v>
      </c>
      <c r="K953" s="8" t="s">
        <v>198</v>
      </c>
      <c r="L953" s="8" t="s">
        <v>124</v>
      </c>
      <c r="M953" s="8" t="s">
        <v>37</v>
      </c>
      <c r="N953" s="52" t="str">
        <f>IF(Follow[[#This Row],[DATAATUALIZAÇÃO]]&lt;=Follow[[#This Row],[Prev Entrega]],"Dentro do Prazo","Fora do Prazo")</f>
        <v>Dentro do Prazo</v>
      </c>
      <c r="O9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04/03/2025, referente ao pedido Nº Pedido 957 Rastreio CNBR00050992483, agradecemos a preferência e adoraríamos receber sua avaliação, tendo qualquer dúvida estamos à disposição.
Att
Tem tudo Shop</v>
      </c>
    </row>
    <row r="954" spans="1:15">
      <c r="A954" s="52" t="str">
        <f>_xlfn.XLOOKUP(Follow[[#This Row],[CODRASTREIO]],Controle_Pedidos[Cód Rastreamento],Controle_Pedidos[Número Pedido Cliente])</f>
        <v>Pedido 966</v>
      </c>
      <c r="B954" s="2" t="s">
        <v>18385</v>
      </c>
      <c r="C954" s="2" t="str">
        <f>Follow[[#This Row],[CODRASTREIO]]&amp;" B"</f>
        <v>CódRastreio943 B</v>
      </c>
      <c r="D954" s="52" t="str">
        <f>_xlfn.XLOOKUP(Follow[[#This Row],[Id Pedido]],Controle_Pedidos[Número Pedido Cliente],Controle_Pedidos[Loja])</f>
        <v>MEI</v>
      </c>
      <c r="E954" s="9">
        <f>_xlfn.XLOOKUP(Follow[[#This Row],[Id Pedido]],Controle_Pedidos[Número Pedido Cliente],Controle_Pedidos[Prazo Entrega])</f>
        <v>45723</v>
      </c>
      <c r="F954" s="9" t="s">
        <v>19433</v>
      </c>
      <c r="G954" s="9" t="s">
        <v>37</v>
      </c>
      <c r="H954" s="52" t="s">
        <v>179</v>
      </c>
      <c r="I954" s="52" t="s">
        <v>178</v>
      </c>
      <c r="J954" s="55">
        <v>45711</v>
      </c>
      <c r="K954" s="52" t="s">
        <v>198</v>
      </c>
      <c r="L954" s="8" t="s">
        <v>124</v>
      </c>
      <c r="M954" s="8" t="s">
        <v>37</v>
      </c>
      <c r="N954" s="52" t="str">
        <f>IF(Follow[[#This Row],[DATAATUALIZAÇÃO]]&lt;=Follow[[#This Row],[Prev Entrega]],"Dentro do Prazo","Fora do Prazo")</f>
        <v>Dentro do Prazo</v>
      </c>
      <c r="O95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23/02/2025, referente ao pedido Nº Pedido 966 Rastreio Pedido 966, agradecemos a preferência e adoraríamos receber sua avaliação, tendo qualquer dúvida estamos à disposição.
Att
NTA Variedades</v>
      </c>
    </row>
    <row r="955" spans="1:15">
      <c r="A955" s="52" t="str">
        <f>_xlfn.XLOOKUP(Follow[[#This Row],[CODRASTREIO]],Controle_Pedidos[Cód Rastreamento],Controle_Pedidos[Número Pedido Cliente])</f>
        <v>Pedido 967</v>
      </c>
      <c r="B955" s="2" t="s">
        <v>18386</v>
      </c>
      <c r="C955" s="2" t="str">
        <f>Follow[[#This Row],[CODRASTREIO]]&amp;" B"</f>
        <v>CódRastreio944 B</v>
      </c>
      <c r="D955" s="52" t="str">
        <f>_xlfn.XLOOKUP(Follow[[#This Row],[Id Pedido]],Controle_Pedidos[Número Pedido Cliente],Controle_Pedidos[Loja])</f>
        <v>GO</v>
      </c>
      <c r="E955" s="9">
        <f>_xlfn.XLOOKUP(Follow[[#This Row],[Id Pedido]],Controle_Pedidos[Número Pedido Cliente],Controle_Pedidos[Prazo Entrega])</f>
        <v>45723</v>
      </c>
      <c r="F955" s="9" t="s">
        <v>19433</v>
      </c>
      <c r="G955" s="9" t="s">
        <v>37</v>
      </c>
      <c r="H955" s="52" t="s">
        <v>179</v>
      </c>
      <c r="I955" s="52" t="s">
        <v>178</v>
      </c>
      <c r="J955" s="55">
        <v>45712</v>
      </c>
      <c r="K955" s="52" t="s">
        <v>198</v>
      </c>
      <c r="L955" s="8" t="s">
        <v>124</v>
      </c>
      <c r="M955" s="8" t="s">
        <v>37</v>
      </c>
      <c r="N955" s="52" t="str">
        <f>IF(Follow[[#This Row],[DATAATUALIZAÇÃO]]&lt;=Follow[[#This Row],[Prev Entrega]],"Dentro do Prazo","Fora do Prazo")</f>
        <v>Dentro do Prazo</v>
      </c>
      <c r="O9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24/02/2025, referente ao pedido Nº Pedido 967 Rastreio Pedido 967, agradecemos a preferência e adoraríamos receber sua avaliação, tendo qualquer dúvida estamos à disposição.
Att
Sec Variedades</v>
      </c>
    </row>
    <row r="956" spans="1:15">
      <c r="A956" s="52" t="str">
        <f>_xlfn.XLOOKUP(Follow[[#This Row],[CODRASTREIO]],Controle_Pedidos[Cód Rastreamento],Controle_Pedidos[Número Pedido Cliente])</f>
        <v>Pedido 969</v>
      </c>
      <c r="B956" s="2" t="s">
        <v>18388</v>
      </c>
      <c r="C956" s="2" t="str">
        <f>Follow[[#This Row],[CODRASTREIO]]&amp;" B"</f>
        <v>CódRastreio946 B</v>
      </c>
      <c r="D956" s="52" t="str">
        <f>_xlfn.XLOOKUP(Follow[[#This Row],[Id Pedido]],Controle_Pedidos[Número Pedido Cliente],Controle_Pedidos[Loja])</f>
        <v>BV</v>
      </c>
      <c r="E956" s="9">
        <f>_xlfn.XLOOKUP(Follow[[#This Row],[Id Pedido]],Controle_Pedidos[Número Pedido Cliente],Controle_Pedidos[Prazo Entrega])</f>
        <v>45730</v>
      </c>
      <c r="F956" s="9" t="s">
        <v>19433</v>
      </c>
      <c r="G956" s="9" t="s">
        <v>37</v>
      </c>
      <c r="H956" s="52" t="s">
        <v>179</v>
      </c>
      <c r="I956" s="52" t="s">
        <v>178</v>
      </c>
      <c r="J956" s="55">
        <v>45712</v>
      </c>
      <c r="K956" s="52" t="s">
        <v>198</v>
      </c>
      <c r="L956" s="8" t="s">
        <v>124</v>
      </c>
      <c r="M956" s="8" t="s">
        <v>37</v>
      </c>
      <c r="N956" s="52" t="str">
        <f>IF(Follow[[#This Row],[DATAATUALIZAÇÃO]]&lt;=Follow[[#This Row],[Prev Entrega]],"Dentro do Prazo","Fora do Prazo")</f>
        <v>Dentro do Prazo</v>
      </c>
      <c r="O9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24/02/2025, referente ao pedido Nº Pedido 969 Rastreio Pedido 969, agradecemos a preferência e adoraríamos receber sua avaliação, tendo qualquer dúvida estamos à disposição.
Att
Tem tudo Shop</v>
      </c>
    </row>
    <row r="957" spans="1:15">
      <c r="A957" s="52" t="str">
        <f>_xlfn.XLOOKUP(Follow[[#This Row],[CODRASTREIO]],Controle_Pedidos[Cód Rastreamento],Controle_Pedidos[Número Pedido Cliente])</f>
        <v>Pedido 970</v>
      </c>
      <c r="B957" s="2" t="s">
        <v>18389</v>
      </c>
      <c r="C957" s="2" t="str">
        <f>Follow[[#This Row],[CODRASTREIO]]&amp;" B"</f>
        <v>CódRastreio947 B</v>
      </c>
      <c r="D957" s="52" t="str">
        <f>_xlfn.XLOOKUP(Follow[[#This Row],[Id Pedido]],Controle_Pedidos[Número Pedido Cliente],Controle_Pedidos[Loja])</f>
        <v>BV</v>
      </c>
      <c r="E957" s="9">
        <f>_xlfn.XLOOKUP(Follow[[#This Row],[Id Pedido]],Controle_Pedidos[Número Pedido Cliente],Controle_Pedidos[Prazo Entrega])</f>
        <v>45724</v>
      </c>
      <c r="F957" s="9" t="s">
        <v>19433</v>
      </c>
      <c r="G957" s="9" t="s">
        <v>37</v>
      </c>
      <c r="H957" s="52" t="s">
        <v>179</v>
      </c>
      <c r="I957" s="52" t="s">
        <v>178</v>
      </c>
      <c r="J957" s="55">
        <v>45710</v>
      </c>
      <c r="K957" s="52" t="s">
        <v>198</v>
      </c>
      <c r="L957" s="8" t="s">
        <v>124</v>
      </c>
      <c r="M957" s="8" t="s">
        <v>37</v>
      </c>
      <c r="N957" s="52" t="str">
        <f>IF(Follow[[#This Row],[DATAATUALIZAÇÃO]]&lt;=Follow[[#This Row],[Prev Entrega]],"Dentro do Prazo","Fora do Prazo")</f>
        <v>Dentro do Prazo</v>
      </c>
      <c r="O95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22/02/2025, referente ao pedido Nº Pedido 970 Rastreio Pedido 970, agradecemos a preferência e adoraríamos receber sua avaliação, tendo qualquer dúvida estamos à disposição.
Att
Tem tudo Shop</v>
      </c>
    </row>
    <row r="958" spans="1:15">
      <c r="A958" s="52" t="str">
        <f>_xlfn.XLOOKUP(Follow[[#This Row],[CODRASTREIO]],Controle_Pedidos[Cód Rastreamento],Controle_Pedidos[Número Pedido Cliente])</f>
        <v>Pedido 971</v>
      </c>
      <c r="B958" s="2" t="s">
        <v>18390</v>
      </c>
      <c r="C958" s="2" t="str">
        <f>Follow[[#This Row],[CODRASTREIO]]&amp;" B"</f>
        <v>CódRastreio948 B</v>
      </c>
      <c r="D958" s="52" t="str">
        <f>_xlfn.XLOOKUP(Follow[[#This Row],[Id Pedido]],Controle_Pedidos[Número Pedido Cliente],Controle_Pedidos[Loja])</f>
        <v>BV</v>
      </c>
      <c r="E958" s="9">
        <f>_xlfn.XLOOKUP(Follow[[#This Row],[Id Pedido]],Controle_Pedidos[Número Pedido Cliente],Controle_Pedidos[Prazo Entrega])</f>
        <v>45730</v>
      </c>
      <c r="F958" s="9" t="s">
        <v>19433</v>
      </c>
      <c r="G958" s="9" t="s">
        <v>37</v>
      </c>
      <c r="H958" s="52" t="s">
        <v>179</v>
      </c>
      <c r="I958" s="52" t="s">
        <v>178</v>
      </c>
      <c r="J958" s="55">
        <v>45712</v>
      </c>
      <c r="K958" s="52" t="s">
        <v>198</v>
      </c>
      <c r="L958" s="8" t="s">
        <v>124</v>
      </c>
      <c r="M958" s="8" t="s">
        <v>37</v>
      </c>
      <c r="N958" s="52" t="str">
        <f>IF(Follow[[#This Row],[DATAATUALIZAÇÃO]]&lt;=Follow[[#This Row],[Prev Entrega]],"Dentro do Prazo","Fora do Prazo")</f>
        <v>Dentro do Prazo</v>
      </c>
      <c r="O9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24/02/2025, referente ao pedido Nº Pedido 971 Rastreio Pedido 971, agradecemos a preferência e adoraríamos receber sua avaliação, tendo qualquer dúvida estamos à disposição.
Att
Tem tudo Shop</v>
      </c>
    </row>
    <row r="959" spans="1:15">
      <c r="A959" s="52" t="str">
        <f>_xlfn.XLOOKUP(Follow[[#This Row],[CODRASTREIO]],Controle_Pedidos[Cód Rastreamento],Controle_Pedidos[Número Pedido Cliente])</f>
        <v>Pedido 972</v>
      </c>
      <c r="B959" s="2" t="s">
        <v>18391</v>
      </c>
      <c r="C959" s="2" t="str">
        <f>Follow[[#This Row],[CODRASTREIO]]&amp;" B"</f>
        <v>CódRastreio949 B</v>
      </c>
      <c r="D959" s="52" t="str">
        <f>_xlfn.XLOOKUP(Follow[[#This Row],[Id Pedido]],Controle_Pedidos[Número Pedido Cliente],Controle_Pedidos[Loja])</f>
        <v>BV</v>
      </c>
      <c r="E959" s="9">
        <f>_xlfn.XLOOKUP(Follow[[#This Row],[Id Pedido]],Controle_Pedidos[Número Pedido Cliente],Controle_Pedidos[Prazo Entrega])</f>
        <v>45724</v>
      </c>
      <c r="F959" s="9" t="s">
        <v>19433</v>
      </c>
      <c r="G959" s="9" t="s">
        <v>37</v>
      </c>
      <c r="H959" s="52" t="s">
        <v>179</v>
      </c>
      <c r="I959" s="52" t="s">
        <v>178</v>
      </c>
      <c r="J959" s="55">
        <v>45712</v>
      </c>
      <c r="K959" s="52" t="s">
        <v>198</v>
      </c>
      <c r="L959" s="8" t="s">
        <v>124</v>
      </c>
      <c r="M959" s="8" t="s">
        <v>37</v>
      </c>
      <c r="N959" s="52" t="str">
        <f>IF(Follow[[#This Row],[DATAATUALIZAÇÃO]]&lt;=Follow[[#This Row],[Prev Entrega]],"Dentro do Prazo","Fora do Prazo")</f>
        <v>Dentro do Prazo</v>
      </c>
      <c r="O9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24/02/2025, referente ao pedido Nº Pedido 972 Rastreio Pedido 972, agradecemos a preferência e adoraríamos receber sua avaliação, tendo qualquer dúvida estamos à disposição.
Att
Tem tudo Shop</v>
      </c>
    </row>
    <row r="960" spans="1:15">
      <c r="A960" s="52" t="str">
        <f>_xlfn.XLOOKUP(Follow[[#This Row],[CODRASTREIO]],Controle_Pedidos[Cód Rastreamento],Controle_Pedidos[Número Pedido Cliente])</f>
        <v>Pedido 973</v>
      </c>
      <c r="B960" s="2" t="s">
        <v>18392</v>
      </c>
      <c r="C960" s="2" t="str">
        <f>Follow[[#This Row],[CODRASTREIO]]&amp;" B"</f>
        <v>CódRastreio950 B</v>
      </c>
      <c r="D960" s="52" t="str">
        <f>_xlfn.XLOOKUP(Follow[[#This Row],[Id Pedido]],Controle_Pedidos[Número Pedido Cliente],Controle_Pedidos[Loja])</f>
        <v>BV</v>
      </c>
      <c r="E960" s="9">
        <f>_xlfn.XLOOKUP(Follow[[#This Row],[Id Pedido]],Controle_Pedidos[Número Pedido Cliente],Controle_Pedidos[Prazo Entrega])</f>
        <v>45724</v>
      </c>
      <c r="F960" s="9" t="s">
        <v>19433</v>
      </c>
      <c r="G960" s="9" t="s">
        <v>222</v>
      </c>
      <c r="H960" s="9" t="s">
        <v>179</v>
      </c>
      <c r="I960" s="9" t="s">
        <v>178</v>
      </c>
      <c r="J960" s="9">
        <v>45713</v>
      </c>
      <c r="K960" s="8" t="s">
        <v>198</v>
      </c>
      <c r="L960" s="8" t="s">
        <v>124</v>
      </c>
      <c r="M960" s="8" t="s">
        <v>37</v>
      </c>
      <c r="N960" s="52" t="str">
        <f>IF(Follow[[#This Row],[DATAATUALIZAÇÃO]]&lt;=Follow[[#This Row],[Prev Entrega]],"Dentro do Prazo","Fora do Prazo")</f>
        <v>Dentro do Prazo</v>
      </c>
      <c r="O9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25/02/2025, referente ao pedido Nº Pedido 973 Rastreio CNBR00051092987, agradecemos a preferência e adoraríamos receber sua avaliação, tendo qualquer dúvida estamos à disposição.
Att
Tem tudo Shop</v>
      </c>
    </row>
    <row r="961" spans="1:15">
      <c r="A961" s="52" t="str">
        <f>_xlfn.XLOOKUP(Follow[[#This Row],[CODRASTREIO]],Controle_Pedidos[Cód Rastreamento],Controle_Pedidos[Número Pedido Cliente])</f>
        <v>Pedido 974</v>
      </c>
      <c r="B961" s="2" t="s">
        <v>18393</v>
      </c>
      <c r="C961" s="2" t="str">
        <f>Follow[[#This Row],[CODRASTREIO]]&amp;" B"</f>
        <v>CódRastreio951 B</v>
      </c>
      <c r="D961" s="52" t="str">
        <f>_xlfn.XLOOKUP(Follow[[#This Row],[Id Pedido]],Controle_Pedidos[Número Pedido Cliente],Controle_Pedidos[Loja])</f>
        <v>MEI</v>
      </c>
      <c r="E961" s="9">
        <f>_xlfn.XLOOKUP(Follow[[#This Row],[Id Pedido]],Controle_Pedidos[Número Pedido Cliente],Controle_Pedidos[Prazo Entrega])</f>
        <v>45724</v>
      </c>
      <c r="F961" s="9" t="s">
        <v>19433</v>
      </c>
      <c r="G961" s="9" t="s">
        <v>37</v>
      </c>
      <c r="H961" s="52" t="s">
        <v>179</v>
      </c>
      <c r="I961" s="52" t="s">
        <v>178</v>
      </c>
      <c r="J961" s="55">
        <v>45710</v>
      </c>
      <c r="K961" s="52" t="s">
        <v>198</v>
      </c>
      <c r="L961" s="8" t="s">
        <v>124</v>
      </c>
      <c r="M961" s="8" t="s">
        <v>37</v>
      </c>
      <c r="N961" s="52" t="str">
        <f>IF(Follow[[#This Row],[DATAATUALIZAÇÃO]]&lt;=Follow[[#This Row],[Prev Entrega]],"Dentro do Prazo","Fora do Prazo")</f>
        <v>Dentro do Prazo</v>
      </c>
      <c r="O96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22/02/2025, referente ao pedido Nº Pedido 974 Rastreio Pedido 974, agradecemos a preferência e adoraríamos receber sua avaliação, tendo qualquer dúvida estamos à disposição.
Att
NTA Variedades</v>
      </c>
    </row>
    <row r="962" spans="1:15">
      <c r="A962" s="52" t="str">
        <f>_xlfn.XLOOKUP(Follow[[#This Row],[CODRASTREIO]],Controle_Pedidos[Cód Rastreamento],Controle_Pedidos[Número Pedido Cliente])</f>
        <v>Pedido 975</v>
      </c>
      <c r="B962" s="2" t="s">
        <v>18394</v>
      </c>
      <c r="C962" s="2" t="str">
        <f>Follow[[#This Row],[CODRASTREIO]]&amp;" B"</f>
        <v>CódRastreio952 B</v>
      </c>
      <c r="D962" s="52" t="str">
        <f>_xlfn.XLOOKUP(Follow[[#This Row],[Id Pedido]],Controle_Pedidos[Número Pedido Cliente],Controle_Pedidos[Loja])</f>
        <v>MEI</v>
      </c>
      <c r="E962" s="9">
        <f>_xlfn.XLOOKUP(Follow[[#This Row],[Id Pedido]],Controle_Pedidos[Número Pedido Cliente],Controle_Pedidos[Prazo Entrega])</f>
        <v>45730</v>
      </c>
      <c r="F962" s="9" t="s">
        <v>19433</v>
      </c>
      <c r="G962" s="9" t="s">
        <v>37</v>
      </c>
      <c r="H962" s="52" t="s">
        <v>178</v>
      </c>
      <c r="I962" s="52" t="s">
        <v>178</v>
      </c>
      <c r="J962" s="55">
        <v>45710</v>
      </c>
      <c r="K962" s="52" t="s">
        <v>198</v>
      </c>
      <c r="L962" s="8" t="s">
        <v>124</v>
      </c>
      <c r="M962" s="8" t="s">
        <v>37</v>
      </c>
      <c r="N962" s="52" t="str">
        <f>IF(Follow[[#This Row],[DATAATUALIZAÇÃO]]&lt;=Follow[[#This Row],[Prev Entrega]],"Dentro do Prazo","Fora do Prazo")</f>
        <v>Dentro do Prazo</v>
      </c>
      <c r="O9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22/02/2025, referente ao pedido Nº Pedido 975 Rastreio Pedido 975, agradecemos a preferência e adoraríamos receber sua avaliação, tendo qualquer dúvida estamos à disposição.
Att
NTA Variedades</v>
      </c>
    </row>
    <row r="963" spans="1:15">
      <c r="A963" s="52" t="str">
        <f>_xlfn.XLOOKUP(Follow[[#This Row],[CODRASTREIO]],Controle_Pedidos[Cód Rastreamento],Controle_Pedidos[Número Pedido Cliente])</f>
        <v>Pedido 976</v>
      </c>
      <c r="B963" s="2" t="s">
        <v>18395</v>
      </c>
      <c r="C963" s="2" t="str">
        <f>Follow[[#This Row],[CODRASTREIO]]&amp;" B"</f>
        <v>CódRastreio953 B</v>
      </c>
      <c r="D963" s="52" t="str">
        <f>_xlfn.XLOOKUP(Follow[[#This Row],[Id Pedido]],Controle_Pedidos[Número Pedido Cliente],Controle_Pedidos[Loja])</f>
        <v>BV</v>
      </c>
      <c r="E963" s="9">
        <f>_xlfn.XLOOKUP(Follow[[#This Row],[Id Pedido]],Controle_Pedidos[Número Pedido Cliente],Controle_Pedidos[Prazo Entrega])</f>
        <v>45731</v>
      </c>
      <c r="F963" s="9" t="s">
        <v>19433</v>
      </c>
      <c r="G963" s="9" t="s">
        <v>223</v>
      </c>
      <c r="H963" s="9" t="s">
        <v>179</v>
      </c>
      <c r="I963" s="9" t="s">
        <v>178</v>
      </c>
      <c r="J963" s="9">
        <v>45714</v>
      </c>
      <c r="K963" s="8" t="s">
        <v>198</v>
      </c>
      <c r="L963" s="8" t="s">
        <v>124</v>
      </c>
      <c r="M963" s="8" t="s">
        <v>37</v>
      </c>
      <c r="N963" s="52" t="str">
        <f>IF(Follow[[#This Row],[DATAATUALIZAÇÃO]]&lt;=Follow[[#This Row],[Prev Entrega]],"Dentro do Prazo","Fora do Prazo")</f>
        <v>Dentro do Prazo</v>
      </c>
      <c r="O9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26/02/2025, referente ao pedido Nº Pedido 976 Rastreio CNBR00051660931, agradecemos a preferência e adoraríamos receber sua avaliação, tendo qualquer dúvida estamos à disposição.
Att
Tem tudo Shop</v>
      </c>
    </row>
    <row r="964" spans="1:15">
      <c r="A964" s="52" t="str">
        <f>_xlfn.XLOOKUP(Follow[[#This Row],[CODRASTREIO]],Controle_Pedidos[Cód Rastreamento],Controle_Pedidos[Número Pedido Cliente])</f>
        <v>Pedido 977</v>
      </c>
      <c r="B964" s="2" t="s">
        <v>18396</v>
      </c>
      <c r="C964" s="2" t="str">
        <f>Follow[[#This Row],[CODRASTREIO]]&amp;" B"</f>
        <v>CódRastreio954 B</v>
      </c>
      <c r="D964" s="52" t="str">
        <f>_xlfn.XLOOKUP(Follow[[#This Row],[Id Pedido]],Controle_Pedidos[Número Pedido Cliente],Controle_Pedidos[Loja])</f>
        <v>BV</v>
      </c>
      <c r="E964" s="9">
        <f>_xlfn.XLOOKUP(Follow[[#This Row],[Id Pedido]],Controle_Pedidos[Número Pedido Cliente],Controle_Pedidos[Prazo Entrega])</f>
        <v>45727</v>
      </c>
      <c r="F964" s="9" t="s">
        <v>19433</v>
      </c>
      <c r="G964" s="9" t="s">
        <v>224</v>
      </c>
      <c r="H964" s="9" t="s">
        <v>179</v>
      </c>
      <c r="I964" s="9" t="s">
        <v>178</v>
      </c>
      <c r="J964" s="9">
        <v>45715</v>
      </c>
      <c r="K964" s="8" t="s">
        <v>198</v>
      </c>
      <c r="L964" s="8" t="s">
        <v>124</v>
      </c>
      <c r="M964" s="8" t="s">
        <v>205</v>
      </c>
      <c r="N964" s="52" t="str">
        <f>IF(Follow[[#This Row],[DATAATUALIZAÇÃO]]&lt;=Follow[[#This Row],[Prev Entrega]],"Dentro do Prazo","Fora do Prazo")</f>
        <v>Dentro do Prazo</v>
      </c>
      <c r="O96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27/02/2025, referente ao pedido Nº Pedido 977 Rastreio CNBR00051669367, agradecemos a preferência e adoraríamos receber sua avaliação, tendo qualquer dúvida estamos à disposição.
Att
Tem tudo Shop</v>
      </c>
    </row>
    <row r="965" spans="1:15">
      <c r="A965" s="52" t="str">
        <f>_xlfn.XLOOKUP(Follow[[#This Row],[CODRASTREIO]],Controle_Pedidos[Cód Rastreamento],Controle_Pedidos[Número Pedido Cliente])</f>
        <v>Pedido 978</v>
      </c>
      <c r="B965" s="2" t="s">
        <v>18397</v>
      </c>
      <c r="C965" s="2" t="str">
        <f>Follow[[#This Row],[CODRASTREIO]]&amp;" B"</f>
        <v>CódRastreio955 B</v>
      </c>
      <c r="D965" s="52" t="str">
        <f>_xlfn.XLOOKUP(Follow[[#This Row],[Id Pedido]],Controle_Pedidos[Número Pedido Cliente],Controle_Pedidos[Loja])</f>
        <v>BV</v>
      </c>
      <c r="E965" s="9">
        <f>_xlfn.XLOOKUP(Follow[[#This Row],[Id Pedido]],Controle_Pedidos[Número Pedido Cliente],Controle_Pedidos[Prazo Entrega])</f>
        <v>45727</v>
      </c>
      <c r="F965" s="9" t="s">
        <v>19433</v>
      </c>
      <c r="G965" s="9" t="s">
        <v>225</v>
      </c>
      <c r="H965" s="9" t="s">
        <v>179</v>
      </c>
      <c r="I965" s="9" t="s">
        <v>178</v>
      </c>
      <c r="J965" s="9">
        <v>45715</v>
      </c>
      <c r="K965" s="8" t="s">
        <v>198</v>
      </c>
      <c r="L965" s="8" t="s">
        <v>124</v>
      </c>
      <c r="M965" s="8" t="s">
        <v>37</v>
      </c>
      <c r="N965" s="52" t="str">
        <f>IF(Follow[[#This Row],[DATAATUALIZAÇÃO]]&lt;=Follow[[#This Row],[Prev Entrega]],"Dentro do Prazo","Fora do Prazo")</f>
        <v>Dentro do Prazo</v>
      </c>
      <c r="O96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27/02/2025, referente ao pedido Nº Pedido 978 Rastreio CNBR00051676791, agradecemos a preferência e adoraríamos receber sua avaliação, tendo qualquer dúvida estamos à disposição.
Att
Tem tudo Shop</v>
      </c>
    </row>
    <row r="966" spans="1:15">
      <c r="A966" s="52" t="str">
        <f>_xlfn.XLOOKUP(Follow[[#This Row],[CODRASTREIO]],Controle_Pedidos[Cód Rastreamento],Controle_Pedidos[Número Pedido Cliente])</f>
        <v>Pedido 979</v>
      </c>
      <c r="B966" s="2" t="s">
        <v>18398</v>
      </c>
      <c r="C966" s="2" t="str">
        <f>Follow[[#This Row],[CODRASTREIO]]&amp;" B"</f>
        <v>CódRastreio956 B</v>
      </c>
      <c r="D966" s="52" t="str">
        <f>_xlfn.XLOOKUP(Follow[[#This Row],[Id Pedido]],Controle_Pedidos[Número Pedido Cliente],Controle_Pedidos[Loja])</f>
        <v>BV</v>
      </c>
      <c r="E966" s="9">
        <f>_xlfn.XLOOKUP(Follow[[#This Row],[Id Pedido]],Controle_Pedidos[Número Pedido Cliente],Controle_Pedidos[Prazo Entrega])</f>
        <v>45727</v>
      </c>
      <c r="F966" s="9" t="s">
        <v>19433</v>
      </c>
      <c r="G966" s="9" t="s">
        <v>37</v>
      </c>
      <c r="H966" s="52" t="s">
        <v>179</v>
      </c>
      <c r="I966" s="52" t="s">
        <v>178</v>
      </c>
      <c r="J966" s="55">
        <v>45712</v>
      </c>
      <c r="K966" s="52" t="s">
        <v>198</v>
      </c>
      <c r="L966" s="8" t="s">
        <v>124</v>
      </c>
      <c r="M966" s="8" t="s">
        <v>37</v>
      </c>
      <c r="N966" s="52" t="str">
        <f>IF(Follow[[#This Row],[DATAATUALIZAÇÃO]]&lt;=Follow[[#This Row],[Prev Entrega]],"Dentro do Prazo","Fora do Prazo")</f>
        <v>Dentro do Prazo</v>
      </c>
      <c r="O9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24/02/2025, referente ao pedido Nº Pedido 979 Rastreio Pedido 979, agradecemos a preferência e adoraríamos receber sua avaliação, tendo qualquer dúvida estamos à disposição.
Att
Tem tudo Shop</v>
      </c>
    </row>
    <row r="967" spans="1:15">
      <c r="A967" s="52" t="str">
        <f>_xlfn.XLOOKUP(Follow[[#This Row],[CODRASTREIO]],Controle_Pedidos[Cód Rastreamento],Controle_Pedidos[Número Pedido Cliente])</f>
        <v>Pedido 980</v>
      </c>
      <c r="B967" s="2" t="s">
        <v>18399</v>
      </c>
      <c r="C967" s="2" t="str">
        <f>Follow[[#This Row],[CODRASTREIO]]&amp;" B"</f>
        <v>CódRastreio957 B</v>
      </c>
      <c r="D967" s="52" t="str">
        <f>_xlfn.XLOOKUP(Follow[[#This Row],[Id Pedido]],Controle_Pedidos[Número Pedido Cliente],Controle_Pedidos[Loja])</f>
        <v>MEI</v>
      </c>
      <c r="E967" s="9">
        <f>_xlfn.XLOOKUP(Follow[[#This Row],[Id Pedido]],Controle_Pedidos[Número Pedido Cliente],Controle_Pedidos[Prazo Entrega])</f>
        <v>45724</v>
      </c>
      <c r="F967" s="9" t="s">
        <v>19433</v>
      </c>
      <c r="G967" s="9" t="s">
        <v>37</v>
      </c>
      <c r="H967" s="52" t="s">
        <v>178</v>
      </c>
      <c r="I967" s="52" t="s">
        <v>178</v>
      </c>
      <c r="J967" s="55">
        <v>45712</v>
      </c>
      <c r="K967" s="52" t="s">
        <v>198</v>
      </c>
      <c r="L967" s="8" t="s">
        <v>124</v>
      </c>
      <c r="M967" s="8" t="s">
        <v>37</v>
      </c>
      <c r="N967" s="52" t="str">
        <f>IF(Follow[[#This Row],[DATAATUALIZAÇÃO]]&lt;=Follow[[#This Row],[Prev Entrega]],"Dentro do Prazo","Fora do Prazo")</f>
        <v>Dentro do Prazo</v>
      </c>
      <c r="O9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24/02/2025, referente ao pedido Nº Pedido 980 Rastreio Pedido 980, agradecemos a preferência e adoraríamos receber sua avaliação, tendo qualquer dúvida estamos à disposição.
Att
NTA Variedades</v>
      </c>
    </row>
    <row r="968" spans="1:15">
      <c r="A968" s="52" t="str">
        <f>_xlfn.XLOOKUP(Follow[[#This Row],[CODRASTREIO]],Controle_Pedidos[Cód Rastreamento],Controle_Pedidos[Número Pedido Cliente])</f>
        <v>Pedido 981</v>
      </c>
      <c r="B968" s="2" t="s">
        <v>18400</v>
      </c>
      <c r="C968" s="2" t="str">
        <f>Follow[[#This Row],[CODRASTREIO]]&amp;" B"</f>
        <v>CódRastreio958 B</v>
      </c>
      <c r="D968" s="52" t="str">
        <f>_xlfn.XLOOKUP(Follow[[#This Row],[Id Pedido]],Controle_Pedidos[Número Pedido Cliente],Controle_Pedidos[Loja])</f>
        <v>MEI</v>
      </c>
      <c r="E968" s="9">
        <f>_xlfn.XLOOKUP(Follow[[#This Row],[Id Pedido]],Controle_Pedidos[Número Pedido Cliente],Controle_Pedidos[Prazo Entrega])</f>
        <v>45731</v>
      </c>
      <c r="F968" s="9" t="s">
        <v>19433</v>
      </c>
      <c r="G968" s="9" t="s">
        <v>37</v>
      </c>
      <c r="H968" s="9" t="s">
        <v>178</v>
      </c>
      <c r="I968" s="9" t="s">
        <v>178</v>
      </c>
      <c r="J968" s="9">
        <v>45737</v>
      </c>
      <c r="K968" s="8" t="s">
        <v>198</v>
      </c>
      <c r="L968" s="8" t="s">
        <v>124</v>
      </c>
      <c r="M968" s="8" t="s">
        <v>208</v>
      </c>
      <c r="N968" s="52" t="str">
        <f>IF(Follow[[#This Row],[DATAATUALIZAÇÃO]]&lt;=Follow[[#This Row],[Prev Entrega]],"Dentro do Prazo","Fora do Prazo")</f>
        <v>Fora do Prazo</v>
      </c>
      <c r="O96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21/03/2025, referente ao pedido Nº Pedido 981 Rastreio Pedido 981, agradecemos a preferência e adoraríamos receber sua avaliação, tendo qualquer dúvida estamos à disposição.
Att
NTA Variedades</v>
      </c>
    </row>
    <row r="969" spans="1:15">
      <c r="A969" s="52" t="str">
        <f>_xlfn.XLOOKUP(Follow[[#This Row],[CODRASTREIO]],Controle_Pedidos[Cód Rastreamento],Controle_Pedidos[Número Pedido Cliente])</f>
        <v>Pedido 982</v>
      </c>
      <c r="B969" s="2" t="s">
        <v>18401</v>
      </c>
      <c r="C969" s="2" t="str">
        <f>Follow[[#This Row],[CODRASTREIO]]&amp;" B"</f>
        <v>CódRastreio959 B</v>
      </c>
      <c r="D969" s="52" t="str">
        <f>_xlfn.XLOOKUP(Follow[[#This Row],[Id Pedido]],Controle_Pedidos[Número Pedido Cliente],Controle_Pedidos[Loja])</f>
        <v>MEI</v>
      </c>
      <c r="E969" s="9">
        <f>_xlfn.XLOOKUP(Follow[[#This Row],[Id Pedido]],Controle_Pedidos[Número Pedido Cliente],Controle_Pedidos[Prazo Entrega])</f>
        <v>45727</v>
      </c>
      <c r="F969" s="9" t="s">
        <v>19433</v>
      </c>
      <c r="G969" s="9" t="s">
        <v>37</v>
      </c>
      <c r="H969" s="52" t="s">
        <v>178</v>
      </c>
      <c r="I969" s="52" t="s">
        <v>178</v>
      </c>
      <c r="J969" s="55">
        <v>45708</v>
      </c>
      <c r="K969" s="52" t="s">
        <v>198</v>
      </c>
      <c r="L969" s="8" t="s">
        <v>124</v>
      </c>
      <c r="M969" s="8" t="s">
        <v>37</v>
      </c>
      <c r="N969" s="52" t="str">
        <f>IF(Follow[[#This Row],[DATAATUALIZAÇÃO]]&lt;=Follow[[#This Row],[Prev Entrega]],"Dentro do Prazo","Fora do Prazo")</f>
        <v>Dentro do Prazo</v>
      </c>
      <c r="O9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20/02/2025, referente ao pedido Nº Pedido 982 Rastreio Pedido 982, agradecemos a preferência e adoraríamos receber sua avaliação, tendo qualquer dúvida estamos à disposição.
Att
NTA Variedades</v>
      </c>
    </row>
    <row r="970" spans="1:15">
      <c r="A970" s="52" t="str">
        <f>_xlfn.XLOOKUP(Follow[[#This Row],[CODRASTREIO]],Controle_Pedidos[Cód Rastreamento],Controle_Pedidos[Número Pedido Cliente])</f>
        <v>Pedido 983</v>
      </c>
      <c r="B970" s="2" t="s">
        <v>18402</v>
      </c>
      <c r="C970" s="2" t="str">
        <f>Follow[[#This Row],[CODRASTREIO]]&amp;" B"</f>
        <v>CódRastreio960 B</v>
      </c>
      <c r="D970" s="52" t="str">
        <f>_xlfn.XLOOKUP(Follow[[#This Row],[Id Pedido]],Controle_Pedidos[Número Pedido Cliente],Controle_Pedidos[Loja])</f>
        <v>BV</v>
      </c>
      <c r="E970" s="9">
        <f>_xlfn.XLOOKUP(Follow[[#This Row],[Id Pedido]],Controle_Pedidos[Número Pedido Cliente],Controle_Pedidos[Prazo Entrega])</f>
        <v>45728</v>
      </c>
      <c r="F970" s="9" t="s">
        <v>19433</v>
      </c>
      <c r="G970" s="9" t="s">
        <v>37</v>
      </c>
      <c r="H970" s="52" t="s">
        <v>178</v>
      </c>
      <c r="I970" s="52" t="s">
        <v>178</v>
      </c>
      <c r="J970" s="55">
        <v>45709</v>
      </c>
      <c r="K970" s="52" t="s">
        <v>198</v>
      </c>
      <c r="L970" s="8" t="s">
        <v>124</v>
      </c>
      <c r="M970" s="8" t="s">
        <v>37</v>
      </c>
      <c r="N970" s="52" t="str">
        <f>IF(Follow[[#This Row],[DATAATUALIZAÇÃO]]&lt;=Follow[[#This Row],[Prev Entrega]],"Dentro do Prazo","Fora do Prazo")</f>
        <v>Dentro do Prazo</v>
      </c>
      <c r="O9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21/02/2025, referente ao pedido Nº Pedido 983 Rastreio Pedido 983, agradecemos a preferência e adoraríamos receber sua avaliação, tendo qualquer dúvida estamos à disposição.
Att
Tem tudo Shop</v>
      </c>
    </row>
    <row r="971" spans="1:15">
      <c r="A971" s="52" t="str">
        <f>_xlfn.XLOOKUP(Follow[[#This Row],[CODRASTREIO]],Controle_Pedidos[Cód Rastreamento],Controle_Pedidos[Número Pedido Cliente])</f>
        <v>Pedido 984</v>
      </c>
      <c r="B971" s="2" t="s">
        <v>18403</v>
      </c>
      <c r="C971" s="2" t="str">
        <f>Follow[[#This Row],[CODRASTREIO]]&amp;" B"</f>
        <v>CódRastreio961 B</v>
      </c>
      <c r="D971" s="52" t="str">
        <f>_xlfn.XLOOKUP(Follow[[#This Row],[Id Pedido]],Controle_Pedidos[Número Pedido Cliente],Controle_Pedidos[Loja])</f>
        <v>BV</v>
      </c>
      <c r="E971" s="9">
        <f>_xlfn.XLOOKUP(Follow[[#This Row],[Id Pedido]],Controle_Pedidos[Número Pedido Cliente],Controle_Pedidos[Prazo Entrega])</f>
        <v>45728</v>
      </c>
      <c r="F971" s="9" t="s">
        <v>19433</v>
      </c>
      <c r="G971" s="9" t="s">
        <v>226</v>
      </c>
      <c r="H971" s="9" t="s">
        <v>179</v>
      </c>
      <c r="I971" s="9" t="s">
        <v>178</v>
      </c>
      <c r="J971" s="9">
        <v>45715</v>
      </c>
      <c r="K971" s="8" t="s">
        <v>198</v>
      </c>
      <c r="L971" s="8" t="s">
        <v>124</v>
      </c>
      <c r="M971" s="8" t="s">
        <v>37</v>
      </c>
      <c r="N971" s="52" t="str">
        <f>IF(Follow[[#This Row],[DATAATUALIZAÇÃO]]&lt;=Follow[[#This Row],[Prev Entrega]],"Dentro do Prazo","Fora do Prazo")</f>
        <v>Dentro do Prazo</v>
      </c>
      <c r="O97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27/02/2025, referente ao pedido Nº Pedido 984 Rastreio CNBR00052303518, agradecemos a preferência e adoraríamos receber sua avaliação, tendo qualquer dúvida estamos à disposição.
Att
Tem tudo Shop</v>
      </c>
    </row>
    <row r="972" spans="1:15">
      <c r="A972" s="52" t="str">
        <f>_xlfn.XLOOKUP(Follow[[#This Row],[CODRASTREIO]],Controle_Pedidos[Cód Rastreamento],Controle_Pedidos[Número Pedido Cliente])</f>
        <v>Pedido 985</v>
      </c>
      <c r="B972" s="2" t="s">
        <v>18404</v>
      </c>
      <c r="C972" s="2" t="str">
        <f>Follow[[#This Row],[CODRASTREIO]]&amp;" B"</f>
        <v>CódRastreio962 B</v>
      </c>
      <c r="D972" s="52" t="str">
        <f>_xlfn.XLOOKUP(Follow[[#This Row],[Id Pedido]],Controle_Pedidos[Número Pedido Cliente],Controle_Pedidos[Loja])</f>
        <v>MEI</v>
      </c>
      <c r="E972" s="9">
        <f>_xlfn.XLOOKUP(Follow[[#This Row],[Id Pedido]],Controle_Pedidos[Número Pedido Cliente],Controle_Pedidos[Prazo Entrega])</f>
        <v>45738</v>
      </c>
      <c r="F972" s="9" t="s">
        <v>19433</v>
      </c>
      <c r="G972" s="9" t="s">
        <v>227</v>
      </c>
      <c r="H972" s="9" t="s">
        <v>179</v>
      </c>
      <c r="I972" s="9" t="s">
        <v>178</v>
      </c>
      <c r="J972" s="9">
        <v>45715</v>
      </c>
      <c r="K972" s="8" t="s">
        <v>198</v>
      </c>
      <c r="L972" s="8" t="s">
        <v>124</v>
      </c>
      <c r="M972" s="8" t="s">
        <v>37</v>
      </c>
      <c r="N972" s="52" t="str">
        <f>IF(Follow[[#This Row],[DATAATUALIZAÇÃO]]&lt;=Follow[[#This Row],[Prev Entrega]],"Dentro do Prazo","Fora do Prazo")</f>
        <v>Dentro do Prazo</v>
      </c>
      <c r="O97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27/02/2025, referente ao pedido Nº Pedido 985 Rastreio NM754422292BR, agradecemos a preferência e adoraríamos receber sua avaliação, tendo qualquer dúvida estamos à disposição.
Att
NTA Variedades</v>
      </c>
    </row>
    <row r="973" spans="1:15">
      <c r="A973" s="52" t="str">
        <f>_xlfn.XLOOKUP(Follow[[#This Row],[CODRASTREIO]],Controle_Pedidos[Cód Rastreamento],Controle_Pedidos[Número Pedido Cliente])</f>
        <v>Pedido 987</v>
      </c>
      <c r="B973" s="2" t="s">
        <v>18406</v>
      </c>
      <c r="C973" s="2" t="str">
        <f>Follow[[#This Row],[CODRASTREIO]]&amp;" B"</f>
        <v>CódRastreio964 B</v>
      </c>
      <c r="D973" s="52" t="str">
        <f>_xlfn.XLOOKUP(Follow[[#This Row],[Id Pedido]],Controle_Pedidos[Número Pedido Cliente],Controle_Pedidos[Loja])</f>
        <v>MEI</v>
      </c>
      <c r="E973" s="9">
        <f>_xlfn.XLOOKUP(Follow[[#This Row],[Id Pedido]],Controle_Pedidos[Número Pedido Cliente],Controle_Pedidos[Prazo Entrega])</f>
        <v>45741</v>
      </c>
      <c r="F973" s="9" t="s">
        <v>19433</v>
      </c>
      <c r="G973" s="9" t="s">
        <v>228</v>
      </c>
      <c r="H973" s="9" t="s">
        <v>179</v>
      </c>
      <c r="I973" s="9" t="s">
        <v>178</v>
      </c>
      <c r="J973" s="9">
        <v>45728.600092592591</v>
      </c>
      <c r="K973" s="8" t="s">
        <v>198</v>
      </c>
      <c r="L973" s="8" t="s">
        <v>124</v>
      </c>
      <c r="M973" s="8" t="s">
        <v>37</v>
      </c>
      <c r="N973" s="52" t="str">
        <f>IF(Follow[[#This Row],[DATAATUALIZAÇÃO]]&lt;=Follow[[#This Row],[Prev Entrega]],"Dentro do Prazo","Fora do Prazo")</f>
        <v>Dentro do Prazo</v>
      </c>
      <c r="O9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12/03/2025, referente ao pedido Nº Pedido 987 Rastreio NM754325790BR, agradecemos a preferência e adoraríamos receber sua avaliação, tendo qualquer dúvida estamos à disposição.
Att
NTA Variedades</v>
      </c>
    </row>
    <row r="974" spans="1:15">
      <c r="A974" s="52" t="str">
        <f>_xlfn.XLOOKUP(Follow[[#This Row],[CODRASTREIO]],Controle_Pedidos[Cód Rastreamento],Controle_Pedidos[Número Pedido Cliente])</f>
        <v>Pedido 986</v>
      </c>
      <c r="B974" s="2" t="s">
        <v>18405</v>
      </c>
      <c r="C974" s="2" t="str">
        <f>Follow[[#This Row],[CODRASTREIO]]&amp;" B"</f>
        <v>CódRastreio963 B</v>
      </c>
      <c r="D974" s="52" t="str">
        <f>_xlfn.XLOOKUP(Follow[[#This Row],[Id Pedido]],Controle_Pedidos[Número Pedido Cliente],Controle_Pedidos[Loja])</f>
        <v>MEI</v>
      </c>
      <c r="E974" s="9">
        <f>_xlfn.XLOOKUP(Follow[[#This Row],[Id Pedido]],Controle_Pedidos[Número Pedido Cliente],Controle_Pedidos[Prazo Entrega])</f>
        <v>45728</v>
      </c>
      <c r="F974" s="9" t="s">
        <v>19433</v>
      </c>
      <c r="G974" s="9" t="s">
        <v>37</v>
      </c>
      <c r="H974" s="52" t="s">
        <v>178</v>
      </c>
      <c r="I974" s="52" t="s">
        <v>178</v>
      </c>
      <c r="J974" s="55">
        <v>45709</v>
      </c>
      <c r="K974" s="52" t="s">
        <v>198</v>
      </c>
      <c r="L974" s="8" t="s">
        <v>124</v>
      </c>
      <c r="M974" s="8" t="s">
        <v>37</v>
      </c>
      <c r="N974" s="52" t="str">
        <f>IF(Follow[[#This Row],[DATAATUALIZAÇÃO]]&lt;=Follow[[#This Row],[Prev Entrega]],"Dentro do Prazo","Fora do Prazo")</f>
        <v>Dentro do Prazo</v>
      </c>
      <c r="O9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21/02/2025, referente ao pedido Nº Pedido 986 Rastreio Pedido 986, agradecemos a preferência e adoraríamos receber sua avaliação, tendo qualquer dúvida estamos à disposição.
Att
NTA Variedades</v>
      </c>
    </row>
    <row r="975" spans="1:15">
      <c r="A975" s="52" t="str">
        <f>_xlfn.XLOOKUP(Follow[[#This Row],[CODRASTREIO]],Controle_Pedidos[Cód Rastreamento],Controle_Pedidos[Número Pedido Cliente])</f>
        <v>Pedido 988</v>
      </c>
      <c r="B975" s="2" t="s">
        <v>18407</v>
      </c>
      <c r="C975" s="2" t="str">
        <f>Follow[[#This Row],[CODRASTREIO]]&amp;" B"</f>
        <v>CódRastreio965 B</v>
      </c>
      <c r="D975" s="52" t="str">
        <f>_xlfn.XLOOKUP(Follow[[#This Row],[Id Pedido]],Controle_Pedidos[Número Pedido Cliente],Controle_Pedidos[Loja])</f>
        <v>MEI</v>
      </c>
      <c r="E975" s="9">
        <f>_xlfn.XLOOKUP(Follow[[#This Row],[Id Pedido]],Controle_Pedidos[Número Pedido Cliente],Controle_Pedidos[Prazo Entrega])</f>
        <v>45728</v>
      </c>
      <c r="F975" s="9" t="s">
        <v>19433</v>
      </c>
      <c r="G975" s="9" t="s">
        <v>229</v>
      </c>
      <c r="H975" s="9" t="s">
        <v>179</v>
      </c>
      <c r="I975" s="9" t="s">
        <v>178</v>
      </c>
      <c r="J975" s="9">
        <v>45716</v>
      </c>
      <c r="K975" s="8" t="s">
        <v>198</v>
      </c>
      <c r="L975" s="8" t="s">
        <v>124</v>
      </c>
      <c r="M975" s="8" t="s">
        <v>37</v>
      </c>
      <c r="N975" s="52" t="str">
        <f>IF(Follow[[#This Row],[DATAATUALIZAÇÃO]]&lt;=Follow[[#This Row],[Prev Entrega]],"Dentro do Prazo","Fora do Prazo")</f>
        <v>Dentro do Prazo</v>
      </c>
      <c r="O9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28/02/2025, referente ao pedido Nº Pedido 988 Rastreio CNBR00053702884, agradecemos a preferência e adoraríamos receber sua avaliação, tendo qualquer dúvida estamos à disposição.
Att
NTA Variedades</v>
      </c>
    </row>
    <row r="976" spans="1:15">
      <c r="A976" s="52" t="str">
        <f>_xlfn.XLOOKUP(Follow[[#This Row],[CODRASTREIO]],Controle_Pedidos[Cód Rastreamento],Controle_Pedidos[Número Pedido Cliente])</f>
        <v>Pedido 989</v>
      </c>
      <c r="B976" s="2" t="s">
        <v>18408</v>
      </c>
      <c r="C976" s="2" t="str">
        <f>Follow[[#This Row],[CODRASTREIO]]&amp;" B"</f>
        <v>CódRastreio966 B</v>
      </c>
      <c r="D976" s="52" t="str">
        <f>_xlfn.XLOOKUP(Follow[[#This Row],[Id Pedido]],Controle_Pedidos[Número Pedido Cliente],Controle_Pedidos[Loja])</f>
        <v>MEI</v>
      </c>
      <c r="E976" s="9">
        <f>_xlfn.XLOOKUP(Follow[[#This Row],[Id Pedido]],Controle_Pedidos[Número Pedido Cliente],Controle_Pedidos[Prazo Entrega])</f>
        <v>45728</v>
      </c>
      <c r="F976" s="9" t="s">
        <v>19433</v>
      </c>
      <c r="G976" s="9" t="s">
        <v>230</v>
      </c>
      <c r="H976" s="9" t="s">
        <v>179</v>
      </c>
      <c r="I976" s="9" t="s">
        <v>178</v>
      </c>
      <c r="J976" s="9">
        <v>45722</v>
      </c>
      <c r="K976" s="8" t="s">
        <v>198</v>
      </c>
      <c r="L976" s="8" t="s">
        <v>124</v>
      </c>
      <c r="M976" s="8" t="s">
        <v>37</v>
      </c>
      <c r="N976" s="52" t="str">
        <f>IF(Follow[[#This Row],[DATAATUALIZAÇÃO]]&lt;=Follow[[#This Row],[Prev Entrega]],"Dentro do Prazo","Fora do Prazo")</f>
        <v>Dentro do Prazo</v>
      </c>
      <c r="O97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989 Rastreio CNBR00053698485, agradecemos a preferência e adoraríamos receber sua avaliação, tendo qualquer dúvida estamos à disposição.
Att
NTA Variedades</v>
      </c>
    </row>
    <row r="977" spans="1:15">
      <c r="A977" s="52" t="str">
        <f>_xlfn.XLOOKUP(Follow[[#This Row],[CODRASTREIO]],Controle_Pedidos[Cód Rastreamento],Controle_Pedidos[Número Pedido Cliente])</f>
        <v>Pedido 990</v>
      </c>
      <c r="B977" s="2" t="s">
        <v>18409</v>
      </c>
      <c r="C977" s="2" t="str">
        <f>Follow[[#This Row],[CODRASTREIO]]&amp;" B"</f>
        <v>CódRastreio967 B</v>
      </c>
      <c r="D977" s="52" t="str">
        <f>_xlfn.XLOOKUP(Follow[[#This Row],[Id Pedido]],Controle_Pedidos[Número Pedido Cliente],Controle_Pedidos[Loja])</f>
        <v>BV</v>
      </c>
      <c r="E977" s="9">
        <f>_xlfn.XLOOKUP(Follow[[#This Row],[Id Pedido]],Controle_Pedidos[Número Pedido Cliente],Controle_Pedidos[Prazo Entrega])</f>
        <v>45734</v>
      </c>
      <c r="F977" s="9" t="s">
        <v>19433</v>
      </c>
      <c r="G977" s="9" t="s">
        <v>231</v>
      </c>
      <c r="H977" s="9" t="s">
        <v>179</v>
      </c>
      <c r="I977" s="9" t="s">
        <v>178</v>
      </c>
      <c r="J977" s="9">
        <v>45726</v>
      </c>
      <c r="K977" s="8" t="s">
        <v>198</v>
      </c>
      <c r="L977" s="8" t="s">
        <v>124</v>
      </c>
      <c r="M977" s="8" t="s">
        <v>37</v>
      </c>
      <c r="N977" s="52" t="str">
        <f>IF(Follow[[#This Row],[DATAATUALIZAÇÃO]]&lt;=Follow[[#This Row],[Prev Entrega]],"Dentro do Prazo","Fora do Prazo")</f>
        <v>Dentro do Prazo</v>
      </c>
      <c r="O9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10/03/2025, referente ao pedido Nº Pedido 990 Rastreio CNBR00053748215, agradecemos a preferência e adoraríamos receber sua avaliação, tendo qualquer dúvida estamos à disposição.
Att
Tem tudo Shop</v>
      </c>
    </row>
    <row r="978" spans="1:15">
      <c r="A978" s="52" t="str">
        <f>_xlfn.XLOOKUP(Follow[[#This Row],[CODRASTREIO]],Controle_Pedidos[Cód Rastreamento],Controle_Pedidos[Número Pedido Cliente])</f>
        <v>Pedido 991</v>
      </c>
      <c r="B978" s="2" t="s">
        <v>18410</v>
      </c>
      <c r="C978" s="2" t="str">
        <f>Follow[[#This Row],[CODRASTREIO]]&amp;" B"</f>
        <v>CódRastreio968 B</v>
      </c>
      <c r="D978" s="52" t="str">
        <f>_xlfn.XLOOKUP(Follow[[#This Row],[Id Pedido]],Controle_Pedidos[Número Pedido Cliente],Controle_Pedidos[Loja])</f>
        <v>BV</v>
      </c>
      <c r="E978" s="9">
        <f>_xlfn.XLOOKUP(Follow[[#This Row],[Id Pedido]],Controle_Pedidos[Número Pedido Cliente],Controle_Pedidos[Prazo Entrega])</f>
        <v>45717</v>
      </c>
      <c r="F978" s="9" t="s">
        <v>19433</v>
      </c>
      <c r="G978" s="9" t="s">
        <v>37</v>
      </c>
      <c r="H978" s="52" t="s">
        <v>178</v>
      </c>
      <c r="I978" s="52" t="s">
        <v>178</v>
      </c>
      <c r="J978" s="55">
        <v>45708</v>
      </c>
      <c r="K978" s="52" t="s">
        <v>198</v>
      </c>
      <c r="L978" s="8" t="s">
        <v>124</v>
      </c>
      <c r="M978" s="8" t="s">
        <v>37</v>
      </c>
      <c r="N978" s="52" t="str">
        <f>IF(Follow[[#This Row],[DATAATUALIZAÇÃO]]&lt;=Follow[[#This Row],[Prev Entrega]],"Dentro do Prazo","Fora do Prazo")</f>
        <v>Dentro do Prazo</v>
      </c>
      <c r="O9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20/02/2025, referente ao pedido Nº Pedido 991 Rastreio Pedido 991, agradecemos a preferência e adoraríamos receber sua avaliação, tendo qualquer dúvida estamos à disposição.
Att
Tem tudo Shop</v>
      </c>
    </row>
    <row r="979" spans="1:15">
      <c r="A979" s="52" t="str">
        <f>_xlfn.XLOOKUP(Follow[[#This Row],[CODRASTREIO]],Controle_Pedidos[Cód Rastreamento],Controle_Pedidos[Número Pedido Cliente])</f>
        <v>Pedido 992</v>
      </c>
      <c r="B979" s="2" t="s">
        <v>18411</v>
      </c>
      <c r="C979" s="2" t="str">
        <f>Follow[[#This Row],[CODRASTREIO]]&amp;" B"</f>
        <v>CódRastreio969 B</v>
      </c>
      <c r="D979" s="52" t="str">
        <f>_xlfn.XLOOKUP(Follow[[#This Row],[Id Pedido]],Controle_Pedidos[Número Pedido Cliente],Controle_Pedidos[Loja])</f>
        <v>BV</v>
      </c>
      <c r="E979" s="9">
        <f>_xlfn.XLOOKUP(Follow[[#This Row],[Id Pedido]],Controle_Pedidos[Número Pedido Cliente],Controle_Pedidos[Prazo Entrega])</f>
        <v>45728</v>
      </c>
      <c r="F979" s="9" t="s">
        <v>19433</v>
      </c>
      <c r="G979" s="9" t="s">
        <v>37</v>
      </c>
      <c r="H979" s="52" t="s">
        <v>178</v>
      </c>
      <c r="I979" s="52" t="s">
        <v>178</v>
      </c>
      <c r="J979" s="55">
        <v>45712</v>
      </c>
      <c r="K979" s="52" t="s">
        <v>198</v>
      </c>
      <c r="L979" s="8" t="s">
        <v>124</v>
      </c>
      <c r="M979" s="8" t="s">
        <v>37</v>
      </c>
      <c r="N979" s="52" t="str">
        <f>IF(Follow[[#This Row],[DATAATUALIZAÇÃO]]&lt;=Follow[[#This Row],[Prev Entrega]],"Dentro do Prazo","Fora do Prazo")</f>
        <v>Dentro do Prazo</v>
      </c>
      <c r="O9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24/02/2025, referente ao pedido Nº Pedido 992 Rastreio Pedido 992, agradecemos a preferência e adoraríamos receber sua avaliação, tendo qualquer dúvida estamos à disposição.
Att
Tem tudo Shop</v>
      </c>
    </row>
    <row r="980" spans="1:15">
      <c r="A980" s="52" t="str">
        <f>_xlfn.XLOOKUP(Follow[[#This Row],[CODRASTREIO]],Controle_Pedidos[Cód Rastreamento],Controle_Pedidos[Número Pedido Cliente])</f>
        <v>Pedido 993</v>
      </c>
      <c r="B980" s="2" t="s">
        <v>18412</v>
      </c>
      <c r="C980" s="2" t="str">
        <f>Follow[[#This Row],[CODRASTREIO]]&amp;" B"</f>
        <v>CódRastreio970 B</v>
      </c>
      <c r="D980" s="52" t="str">
        <f>_xlfn.XLOOKUP(Follow[[#This Row],[Id Pedido]],Controle_Pedidos[Número Pedido Cliente],Controle_Pedidos[Loja])</f>
        <v>BV</v>
      </c>
      <c r="E980" s="9">
        <f>_xlfn.XLOOKUP(Follow[[#This Row],[Id Pedido]],Controle_Pedidos[Número Pedido Cliente],Controle_Pedidos[Prazo Entrega])</f>
        <v>45728</v>
      </c>
      <c r="F980" s="9" t="s">
        <v>19433</v>
      </c>
      <c r="G980" s="9" t="s">
        <v>37</v>
      </c>
      <c r="H980" s="52" t="s">
        <v>178</v>
      </c>
      <c r="I980" s="52" t="s">
        <v>178</v>
      </c>
      <c r="J980" s="55">
        <v>45712</v>
      </c>
      <c r="K980" s="52" t="s">
        <v>198</v>
      </c>
      <c r="L980" s="8" t="s">
        <v>124</v>
      </c>
      <c r="M980" s="8" t="s">
        <v>37</v>
      </c>
      <c r="N980" s="52" t="str">
        <f>IF(Follow[[#This Row],[DATAATUALIZAÇÃO]]&lt;=Follow[[#This Row],[Prev Entrega]],"Dentro do Prazo","Fora do Prazo")</f>
        <v>Dentro do Prazo</v>
      </c>
      <c r="O9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24/02/2025, referente ao pedido Nº Pedido 993 Rastreio Pedido 993, agradecemos a preferência e adoraríamos receber sua avaliação, tendo qualquer dúvida estamos à disposição.
Att
Tem tudo Shop</v>
      </c>
    </row>
    <row r="981" spans="1:15">
      <c r="A981" s="52" t="str">
        <f>_xlfn.XLOOKUP(Follow[[#This Row],[CODRASTREIO]],Controle_Pedidos[Cód Rastreamento],Controle_Pedidos[Número Pedido Cliente])</f>
        <v>Pedido 994</v>
      </c>
      <c r="B981" s="2" t="s">
        <v>18413</v>
      </c>
      <c r="C981" s="2" t="str">
        <f>Follow[[#This Row],[CODRASTREIO]]&amp;" B"</f>
        <v>CódRastreio971 B</v>
      </c>
      <c r="D981" s="52" t="str">
        <f>_xlfn.XLOOKUP(Follow[[#This Row],[Id Pedido]],Controle_Pedidos[Número Pedido Cliente],Controle_Pedidos[Loja])</f>
        <v>BV</v>
      </c>
      <c r="E981" s="9">
        <f>_xlfn.XLOOKUP(Follow[[#This Row],[Id Pedido]],Controle_Pedidos[Número Pedido Cliente],Controle_Pedidos[Prazo Entrega])</f>
        <v>45728</v>
      </c>
      <c r="F981" s="9" t="s">
        <v>19433</v>
      </c>
      <c r="G981" s="9" t="s">
        <v>37</v>
      </c>
      <c r="H981" s="52" t="s">
        <v>178</v>
      </c>
      <c r="I981" s="52" t="s">
        <v>178</v>
      </c>
      <c r="J981" s="55">
        <v>45710</v>
      </c>
      <c r="K981" s="52" t="s">
        <v>198</v>
      </c>
      <c r="L981" s="8" t="s">
        <v>124</v>
      </c>
      <c r="M981" s="8" t="s">
        <v>37</v>
      </c>
      <c r="N981" s="52" t="str">
        <f>IF(Follow[[#This Row],[DATAATUALIZAÇÃO]]&lt;=Follow[[#This Row],[Prev Entrega]],"Dentro do Prazo","Fora do Prazo")</f>
        <v>Dentro do Prazo</v>
      </c>
      <c r="O98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22/02/2025, referente ao pedido Nº Pedido 994 Rastreio Pedido 994, agradecemos a preferência e adoraríamos receber sua avaliação, tendo qualquer dúvida estamos à disposição.
Att
Tem tudo Shop</v>
      </c>
    </row>
    <row r="982" spans="1:15">
      <c r="A982" s="52" t="str">
        <f>_xlfn.XLOOKUP(Follow[[#This Row],[CODRASTREIO]],Controle_Pedidos[Cód Rastreamento],Controle_Pedidos[Número Pedido Cliente])</f>
        <v>Pedido 996</v>
      </c>
      <c r="B982" s="2" t="s">
        <v>18415</v>
      </c>
      <c r="C982" s="2" t="str">
        <f>Follow[[#This Row],[CODRASTREIO]]&amp;" B"</f>
        <v>CódRastreio973 B</v>
      </c>
      <c r="D982" s="52" t="str">
        <f>_xlfn.XLOOKUP(Follow[[#This Row],[Id Pedido]],Controle_Pedidos[Número Pedido Cliente],Controle_Pedidos[Loja])</f>
        <v>BV</v>
      </c>
      <c r="E982" s="9">
        <f>_xlfn.XLOOKUP(Follow[[#This Row],[Id Pedido]],Controle_Pedidos[Número Pedido Cliente],Controle_Pedidos[Prazo Entrega])</f>
        <v>45728</v>
      </c>
      <c r="F982" s="9" t="s">
        <v>19433</v>
      </c>
      <c r="G982" s="9" t="s">
        <v>232</v>
      </c>
      <c r="H982" s="9" t="s">
        <v>179</v>
      </c>
      <c r="I982" s="9" t="s">
        <v>178</v>
      </c>
      <c r="J982" s="9">
        <v>45715</v>
      </c>
      <c r="K982" s="8" t="s">
        <v>198</v>
      </c>
      <c r="L982" s="8" t="s">
        <v>124</v>
      </c>
      <c r="M982" s="8" t="s">
        <v>37</v>
      </c>
      <c r="N982" s="52" t="str">
        <f>IF(Follow[[#This Row],[DATAATUALIZAÇÃO]]&lt;=Follow[[#This Row],[Prev Entrega]],"Dentro do Prazo","Fora do Prazo")</f>
        <v>Dentro do Prazo</v>
      </c>
      <c r="O9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27/02/2025, referente ao pedido Nº Pedido 996 Rastreio CNBR00053761692, agradecemos a preferência e adoraríamos receber sua avaliação, tendo qualquer dúvida estamos à disposição.
Att
Tem tudo Shop</v>
      </c>
    </row>
    <row r="983" spans="1:15">
      <c r="A983" s="52" t="str">
        <f>_xlfn.XLOOKUP(Follow[[#This Row],[CODRASTREIO]],Controle_Pedidos[Cód Rastreamento],Controle_Pedidos[Número Pedido Cliente])</f>
        <v>Pedido 997</v>
      </c>
      <c r="B983" s="2" t="s">
        <v>18416</v>
      </c>
      <c r="C983" s="2" t="str">
        <f>Follow[[#This Row],[CODRASTREIO]]&amp;" B"</f>
        <v>CódRastreio974 B</v>
      </c>
      <c r="D983" s="52" t="str">
        <f>_xlfn.XLOOKUP(Follow[[#This Row],[Id Pedido]],Controle_Pedidos[Número Pedido Cliente],Controle_Pedidos[Loja])</f>
        <v>BV</v>
      </c>
      <c r="E983" s="9">
        <f>_xlfn.XLOOKUP(Follow[[#This Row],[Id Pedido]],Controle_Pedidos[Número Pedido Cliente],Controle_Pedidos[Prazo Entrega])</f>
        <v>45734</v>
      </c>
      <c r="F983" s="9" t="s">
        <v>19433</v>
      </c>
      <c r="G983" s="9" t="s">
        <v>37</v>
      </c>
      <c r="H983" s="9" t="s">
        <v>178</v>
      </c>
      <c r="I983" s="9" t="s">
        <v>178</v>
      </c>
      <c r="J983" s="9">
        <v>45714</v>
      </c>
      <c r="K983" s="8" t="s">
        <v>198</v>
      </c>
      <c r="L983" s="8" t="s">
        <v>124</v>
      </c>
      <c r="M983" s="8" t="s">
        <v>37</v>
      </c>
      <c r="N983" s="52" t="str">
        <f>IF(Follow[[#This Row],[DATAATUALIZAÇÃO]]&lt;=Follow[[#This Row],[Prev Entrega]],"Dentro do Prazo","Fora do Prazo")</f>
        <v>Dentro do Prazo</v>
      </c>
      <c r="O9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Adaptador Bluetooph foi entregue no dia 26/02/2025, referente ao pedido Nº Pedido 997 Rastreio Pedido 997, agradecemos a preferência e adoraríamos receber sua avaliação, tendo qualquer dúvida estamos à disposição.
Att
Tem tudo Shop</v>
      </c>
    </row>
    <row r="984" spans="1:15">
      <c r="A984" s="52" t="str">
        <f>_xlfn.XLOOKUP(Follow[[#This Row],[CODRASTREIO]],Controle_Pedidos[Cód Rastreamento],Controle_Pedidos[Número Pedido Cliente])</f>
        <v>Pedido 998</v>
      </c>
      <c r="B984" s="2" t="s">
        <v>18417</v>
      </c>
      <c r="C984" s="2" t="str">
        <f>Follow[[#This Row],[CODRASTREIO]]&amp;" B"</f>
        <v>CódRastreio975 B</v>
      </c>
      <c r="D984" s="52" t="str">
        <f>_xlfn.XLOOKUP(Follow[[#This Row],[Id Pedido]],Controle_Pedidos[Número Pedido Cliente],Controle_Pedidos[Loja])</f>
        <v>BV</v>
      </c>
      <c r="E984" s="9">
        <f>_xlfn.XLOOKUP(Follow[[#This Row],[Id Pedido]],Controle_Pedidos[Número Pedido Cliente],Controle_Pedidos[Prazo Entrega])</f>
        <v>45728</v>
      </c>
      <c r="F984" s="9" t="s">
        <v>19433</v>
      </c>
      <c r="G984" s="9" t="s">
        <v>37</v>
      </c>
      <c r="H984" s="52" t="s">
        <v>178</v>
      </c>
      <c r="I984" s="52" t="s">
        <v>178</v>
      </c>
      <c r="J984" s="55">
        <v>45712</v>
      </c>
      <c r="K984" s="52" t="s">
        <v>198</v>
      </c>
      <c r="L984" s="8" t="s">
        <v>124</v>
      </c>
      <c r="M984" s="8" t="s">
        <v>37</v>
      </c>
      <c r="N984" s="52" t="str">
        <f>IF(Follow[[#This Row],[DATAATUALIZAÇÃO]]&lt;=Follow[[#This Row],[Prev Entrega]],"Dentro do Prazo","Fora do Prazo")</f>
        <v>Dentro do Prazo</v>
      </c>
      <c r="O9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24/02/2025, referente ao pedido Nº Pedido 998 Rastreio Pedido 998, agradecemos a preferência e adoraríamos receber sua avaliação, tendo qualquer dúvida estamos à disposição.
Att
Tem tudo Shop</v>
      </c>
    </row>
    <row r="985" spans="1:15">
      <c r="A985" s="52" t="str">
        <f>_xlfn.XLOOKUP(Follow[[#This Row],[CODRASTREIO]],Controle_Pedidos[Cód Rastreamento],Controle_Pedidos[Número Pedido Cliente])</f>
        <v>Pedido 999</v>
      </c>
      <c r="B985" s="2" t="s">
        <v>18418</v>
      </c>
      <c r="C985" s="2" t="str">
        <f>Follow[[#This Row],[CODRASTREIO]]&amp;" B"</f>
        <v>CódRastreio976 B</v>
      </c>
      <c r="D985" s="52" t="str">
        <f>_xlfn.XLOOKUP(Follow[[#This Row],[Id Pedido]],Controle_Pedidos[Número Pedido Cliente],Controle_Pedidos[Loja])</f>
        <v>BV</v>
      </c>
      <c r="E985" s="9">
        <f>_xlfn.XLOOKUP(Follow[[#This Row],[Id Pedido]],Controle_Pedidos[Número Pedido Cliente],Controle_Pedidos[Prazo Entrega])</f>
        <v>45734</v>
      </c>
      <c r="F985" s="9" t="s">
        <v>19433</v>
      </c>
      <c r="G985" s="9" t="s">
        <v>233</v>
      </c>
      <c r="H985" s="9" t="s">
        <v>179</v>
      </c>
      <c r="I985" s="9" t="s">
        <v>178</v>
      </c>
      <c r="J985" s="9">
        <v>45717</v>
      </c>
      <c r="K985" s="8" t="s">
        <v>198</v>
      </c>
      <c r="L985" s="8" t="s">
        <v>124</v>
      </c>
      <c r="M985" s="8" t="s">
        <v>37</v>
      </c>
      <c r="N985" s="52" t="str">
        <f>IF(Follow[[#This Row],[DATAATUALIZAÇÃO]]&lt;=Follow[[#This Row],[Prev Entrega]],"Dentro do Prazo","Fora do Prazo")</f>
        <v>Dentro do Prazo</v>
      </c>
      <c r="O9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01/03/2025, referente ao pedido Nº Pedido 999 Rastreio CNBR00053764963, agradecemos a preferência e adoraríamos receber sua avaliação, tendo qualquer dúvida estamos à disposição.
Att
Tem tudo Shop</v>
      </c>
    </row>
    <row r="986" spans="1:15">
      <c r="A986" s="52" t="str">
        <f>_xlfn.XLOOKUP(Follow[[#This Row],[CODRASTREIO]],Controle_Pedidos[Cód Rastreamento],Controle_Pedidos[Número Pedido Cliente])</f>
        <v>Pedido 1000</v>
      </c>
      <c r="B986" s="2" t="s">
        <v>18419</v>
      </c>
      <c r="C986" s="2" t="str">
        <f>Follow[[#This Row],[CODRASTREIO]]&amp;" B"</f>
        <v>CódRastreio977 B</v>
      </c>
      <c r="D986" s="52" t="str">
        <f>_xlfn.XLOOKUP(Follow[[#This Row],[Id Pedido]],Controle_Pedidos[Número Pedido Cliente],Controle_Pedidos[Loja])</f>
        <v>BV</v>
      </c>
      <c r="E986" s="9">
        <f>_xlfn.XLOOKUP(Follow[[#This Row],[Id Pedido]],Controle_Pedidos[Número Pedido Cliente],Controle_Pedidos[Prazo Entrega])</f>
        <v>45717</v>
      </c>
      <c r="F986" s="9" t="s">
        <v>19433</v>
      </c>
      <c r="G986" s="9" t="s">
        <v>37</v>
      </c>
      <c r="H986" s="52" t="s">
        <v>178</v>
      </c>
      <c r="I986" s="52" t="s">
        <v>178</v>
      </c>
      <c r="J986" s="55">
        <v>45709</v>
      </c>
      <c r="K986" s="52" t="s">
        <v>198</v>
      </c>
      <c r="L986" s="8" t="s">
        <v>124</v>
      </c>
      <c r="M986" s="8" t="s">
        <v>37</v>
      </c>
      <c r="N986" s="52" t="str">
        <f>IF(Follow[[#This Row],[DATAATUALIZAÇÃO]]&lt;=Follow[[#This Row],[Prev Entrega]],"Dentro do Prazo","Fora do Prazo")</f>
        <v>Dentro do Prazo</v>
      </c>
      <c r="O9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21/02/2025, referente ao pedido Nº Pedido 1000 Rastreio Pedido 1000, agradecemos a preferência e adoraríamos receber sua avaliação, tendo qualquer dúvida estamos à disposição.
Att
Tem tudo Shop</v>
      </c>
    </row>
    <row r="987" spans="1:15">
      <c r="A987" s="52" t="str">
        <f>_xlfn.XLOOKUP(Follow[[#This Row],[CODRASTREIO]],Controle_Pedidos[Cód Rastreamento],Controle_Pedidos[Número Pedido Cliente])</f>
        <v>Pedido 1001</v>
      </c>
      <c r="B987" s="2" t="s">
        <v>18420</v>
      </c>
      <c r="C987" s="2" t="str">
        <f>Follow[[#This Row],[CODRASTREIO]]&amp;" B"</f>
        <v>CódRastreio978 B</v>
      </c>
      <c r="D987" s="52" t="str">
        <f>_xlfn.XLOOKUP(Follow[[#This Row],[Id Pedido]],Controle_Pedidos[Número Pedido Cliente],Controle_Pedidos[Loja])</f>
        <v>MEI</v>
      </c>
      <c r="E987" s="9">
        <f>_xlfn.XLOOKUP(Follow[[#This Row],[Id Pedido]],Controle_Pedidos[Número Pedido Cliente],Controle_Pedidos[Prazo Entrega])</f>
        <v>45728</v>
      </c>
      <c r="F987" s="9" t="s">
        <v>19433</v>
      </c>
      <c r="G987" s="9" t="s">
        <v>234</v>
      </c>
      <c r="H987" s="9" t="s">
        <v>179</v>
      </c>
      <c r="I987" s="9" t="s">
        <v>178</v>
      </c>
      <c r="J987" s="9">
        <v>45722</v>
      </c>
      <c r="K987" s="8" t="s">
        <v>198</v>
      </c>
      <c r="L987" s="8" t="s">
        <v>124</v>
      </c>
      <c r="M987" s="8" t="s">
        <v>37</v>
      </c>
      <c r="N987" s="52" t="str">
        <f>IF(Follow[[#This Row],[DATAATUALIZAÇÃO]]&lt;=Follow[[#This Row],[Prev Entrega]],"Dentro do Prazo","Fora do Prazo")</f>
        <v>Dentro do Prazo</v>
      </c>
      <c r="O987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1001 Rastreio CNBR00053711705, agradecemos a preferência e adoraríamos receber sua avaliação, tendo qualquer dúvida estamos à disposição.
Att
NTA Variedades</v>
      </c>
    </row>
    <row r="988" spans="1:15">
      <c r="A988" s="52" t="str">
        <f>_xlfn.XLOOKUP(Follow[[#This Row],[CODRASTREIO]],Controle_Pedidos[Cód Rastreamento],Controle_Pedidos[Número Pedido Cliente])</f>
        <v>Pedido 1002</v>
      </c>
      <c r="B988" s="2" t="s">
        <v>18421</v>
      </c>
      <c r="C988" s="2" t="str">
        <f>Follow[[#This Row],[CODRASTREIO]]&amp;" B"</f>
        <v>CódRastreio979 B</v>
      </c>
      <c r="D988" s="52" t="str">
        <f>_xlfn.XLOOKUP(Follow[[#This Row],[Id Pedido]],Controle_Pedidos[Número Pedido Cliente],Controle_Pedidos[Loja])</f>
        <v>MEI</v>
      </c>
      <c r="E988" s="9">
        <f>_xlfn.XLOOKUP(Follow[[#This Row],[Id Pedido]],Controle_Pedidos[Número Pedido Cliente],Controle_Pedidos[Prazo Entrega])</f>
        <v>45728</v>
      </c>
      <c r="F988" s="9" t="s">
        <v>19433</v>
      </c>
      <c r="G988" s="9" t="s">
        <v>235</v>
      </c>
      <c r="H988" s="9" t="s">
        <v>179</v>
      </c>
      <c r="I988" s="9" t="s">
        <v>178</v>
      </c>
      <c r="J988" s="9">
        <v>45717</v>
      </c>
      <c r="K988" s="8" t="s">
        <v>198</v>
      </c>
      <c r="L988" s="8" t="s">
        <v>124</v>
      </c>
      <c r="M988" s="8" t="s">
        <v>37</v>
      </c>
      <c r="N988" s="52" t="str">
        <f>IF(Follow[[#This Row],[DATAATUALIZAÇÃO]]&lt;=Follow[[#This Row],[Prev Entrega]],"Dentro do Prazo","Fora do Prazo")</f>
        <v>Dentro do Prazo</v>
      </c>
      <c r="O9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01/03/2025, referente ao pedido Nº Pedido 1002 Rastreio CNBR00053717686, agradecemos a preferência e adoraríamos receber sua avaliação, tendo qualquer dúvida estamos à disposição.
Att
NTA Variedades</v>
      </c>
    </row>
    <row r="989" spans="1:15">
      <c r="A989" s="52" t="str">
        <f>_xlfn.XLOOKUP(Follow[[#This Row],[CODRASTREIO]],Controle_Pedidos[Cód Rastreamento],Controle_Pedidos[Número Pedido Cliente])</f>
        <v>Pedido 1003</v>
      </c>
      <c r="B989" s="2" t="s">
        <v>18422</v>
      </c>
      <c r="C989" s="2" t="str">
        <f>Follow[[#This Row],[CODRASTREIO]]&amp;" B"</f>
        <v>CódRastreio980 B</v>
      </c>
      <c r="D989" s="52" t="str">
        <f>_xlfn.XLOOKUP(Follow[[#This Row],[Id Pedido]],Controle_Pedidos[Número Pedido Cliente],Controle_Pedidos[Loja])</f>
        <v>MEI</v>
      </c>
      <c r="E989" s="9">
        <f>_xlfn.XLOOKUP(Follow[[#This Row],[Id Pedido]],Controle_Pedidos[Número Pedido Cliente],Controle_Pedidos[Prazo Entrega])</f>
        <v>45734</v>
      </c>
      <c r="F989" s="9" t="s">
        <v>19433</v>
      </c>
      <c r="G989" s="122" t="s">
        <v>236</v>
      </c>
      <c r="H989" s="9" t="s">
        <v>179</v>
      </c>
      <c r="I989" s="9" t="s">
        <v>178</v>
      </c>
      <c r="J989" s="9">
        <v>45730</v>
      </c>
      <c r="K989" s="8" t="s">
        <v>198</v>
      </c>
      <c r="L989" s="8" t="s">
        <v>124</v>
      </c>
      <c r="M989" s="8" t="s">
        <v>208</v>
      </c>
      <c r="N989" s="52" t="str">
        <f>IF(Follow[[#This Row],[DATAATUALIZAÇÃO]]&lt;=Follow[[#This Row],[Prev Entrega]],"Dentro do Prazo","Fora do Prazo")</f>
        <v>Dentro do Prazo</v>
      </c>
      <c r="O9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14/03/2025, referente ao pedido Nº Pedido 1003 Rastreio CNBR00053713301, agradecemos a preferência e adoraríamos receber sua avaliação, tendo qualquer dúvida estamos à disposição.
Att
NTA Variedades</v>
      </c>
    </row>
    <row r="990" spans="1:15">
      <c r="A990" s="52" t="str">
        <f>_xlfn.XLOOKUP(Follow[[#This Row],[CODRASTREIO]],Controle_Pedidos[Cód Rastreamento],Controle_Pedidos[Número Pedido Cliente])</f>
        <v>Pedido 1004</v>
      </c>
      <c r="B990" s="2" t="s">
        <v>18423</v>
      </c>
      <c r="C990" s="2" t="str">
        <f>Follow[[#This Row],[CODRASTREIO]]&amp;" B"</f>
        <v>CódRastreio981 B</v>
      </c>
      <c r="D990" s="52" t="str">
        <f>_xlfn.XLOOKUP(Follow[[#This Row],[Id Pedido]],Controle_Pedidos[Número Pedido Cliente],Controle_Pedidos[Loja])</f>
        <v>MEI</v>
      </c>
      <c r="E990" s="9">
        <f>_xlfn.XLOOKUP(Follow[[#This Row],[Id Pedido]],Controle_Pedidos[Número Pedido Cliente],Controle_Pedidos[Prazo Entrega])</f>
        <v>45734</v>
      </c>
      <c r="F990" s="9" t="s">
        <v>19433</v>
      </c>
      <c r="G990" s="9" t="s">
        <v>237</v>
      </c>
      <c r="H990" s="9" t="s">
        <v>179</v>
      </c>
      <c r="I990" s="9" t="s">
        <v>178</v>
      </c>
      <c r="J990" s="9">
        <v>45717</v>
      </c>
      <c r="K990" s="8" t="s">
        <v>198</v>
      </c>
      <c r="L990" s="8" t="s">
        <v>124</v>
      </c>
      <c r="M990" s="8" t="s">
        <v>37</v>
      </c>
      <c r="N990" s="52" t="str">
        <f>IF(Follow[[#This Row],[DATAATUALIZAÇÃO]]&lt;=Follow[[#This Row],[Prev Entrega]],"Dentro do Prazo","Fora do Prazo")</f>
        <v>Dentro do Prazo</v>
      </c>
      <c r="O9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01/03/2025, referente ao pedido Nº Pedido 1004 Rastreio CNBR00053712787, agradecemos a preferência e adoraríamos receber sua avaliação, tendo qualquer dúvida estamos à disposição.
Att
NTA Variedades</v>
      </c>
    </row>
    <row r="991" spans="1:15">
      <c r="A991" s="52" t="str">
        <f>_xlfn.XLOOKUP(Follow[[#This Row],[CODRASTREIO]],Controle_Pedidos[Cód Rastreamento],Controle_Pedidos[Número Pedido Cliente])</f>
        <v>Pedido 1006</v>
      </c>
      <c r="B991" s="2" t="s">
        <v>18425</v>
      </c>
      <c r="C991" s="2" t="str">
        <f>Follow[[#This Row],[CODRASTREIO]]&amp;" B"</f>
        <v>CódRastreio983 B</v>
      </c>
      <c r="D991" s="52" t="str">
        <f>_xlfn.XLOOKUP(Follow[[#This Row],[Id Pedido]],Controle_Pedidos[Número Pedido Cliente],Controle_Pedidos[Loja])</f>
        <v>MEI</v>
      </c>
      <c r="E991" s="9">
        <f>_xlfn.XLOOKUP(Follow[[#This Row],[Id Pedido]],Controle_Pedidos[Número Pedido Cliente],Controle_Pedidos[Prazo Entrega])</f>
        <v>45734</v>
      </c>
      <c r="F991" s="9" t="s">
        <v>19433</v>
      </c>
      <c r="G991" s="9" t="s">
        <v>238</v>
      </c>
      <c r="H991" s="9" t="s">
        <v>179</v>
      </c>
      <c r="I991" s="9" t="s">
        <v>178</v>
      </c>
      <c r="J991" s="9">
        <v>45722</v>
      </c>
      <c r="K991" s="8" t="s">
        <v>198</v>
      </c>
      <c r="L991" s="8" t="s">
        <v>124</v>
      </c>
      <c r="M991" s="8" t="s">
        <v>37</v>
      </c>
      <c r="N991" s="52" t="str">
        <f>IF(Follow[[#This Row],[DATAATUALIZAÇÃO]]&lt;=Follow[[#This Row],[Prev Entrega]],"Dentro do Prazo","Fora do Prazo")</f>
        <v>Dentro do Prazo</v>
      </c>
      <c r="O991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1006 Rastreio CNBR00053725581, agradecemos a preferência e adoraríamos receber sua avaliação, tendo qualquer dúvida estamos à disposição.
Att
NTA Variedades</v>
      </c>
    </row>
    <row r="992" spans="1:15">
      <c r="A992" s="52" t="str">
        <f>_xlfn.XLOOKUP(Follow[[#This Row],[CODRASTREIO]],Controle_Pedidos[Cód Rastreamento],Controle_Pedidos[Número Pedido Cliente])</f>
        <v>Pedido 1007</v>
      </c>
      <c r="B992" s="2" t="s">
        <v>18426</v>
      </c>
      <c r="C992" s="2" t="str">
        <f>Follow[[#This Row],[CODRASTREIO]]&amp;" B"</f>
        <v>CódRastreio984 B</v>
      </c>
      <c r="D992" s="52" t="str">
        <f>_xlfn.XLOOKUP(Follow[[#This Row],[Id Pedido]],Controle_Pedidos[Número Pedido Cliente],Controle_Pedidos[Loja])</f>
        <v>MEI</v>
      </c>
      <c r="E992" s="9">
        <f>_xlfn.XLOOKUP(Follow[[#This Row],[Id Pedido]],Controle_Pedidos[Número Pedido Cliente],Controle_Pedidos[Prazo Entrega])</f>
        <v>45728</v>
      </c>
      <c r="F992" s="9" t="s">
        <v>19433</v>
      </c>
      <c r="G992" s="9" t="s">
        <v>239</v>
      </c>
      <c r="H992" s="9" t="s">
        <v>179</v>
      </c>
      <c r="I992" s="9" t="s">
        <v>178</v>
      </c>
      <c r="J992" s="9">
        <v>45721</v>
      </c>
      <c r="K992" s="8" t="s">
        <v>198</v>
      </c>
      <c r="L992" s="8" t="s">
        <v>124</v>
      </c>
      <c r="M992" s="8" t="s">
        <v>37</v>
      </c>
      <c r="N992" s="52" t="str">
        <f>IF(Follow[[#This Row],[DATAATUALIZAÇÃO]]&lt;=Follow[[#This Row],[Prev Entrega]],"Dentro do Prazo","Fora do Prazo")</f>
        <v>Dentro do Prazo</v>
      </c>
      <c r="O9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05/03/2025, referente ao pedido Nº Pedido 1007 Rastreio CNBR00053720980, agradecemos a preferência e adoraríamos receber sua avaliação, tendo qualquer dúvida estamos à disposição.
Att
NTA Variedades</v>
      </c>
    </row>
    <row r="993" spans="1:15">
      <c r="A993" s="52" t="str">
        <f>_xlfn.XLOOKUP(Follow[[#This Row],[CODRASTREIO]],Controle_Pedidos[Cód Rastreamento],Controle_Pedidos[Número Pedido Cliente])</f>
        <v>Pedido 1008</v>
      </c>
      <c r="B993" s="2" t="s">
        <v>18427</v>
      </c>
      <c r="C993" s="2" t="str">
        <f>Follow[[#This Row],[CODRASTREIO]]&amp;" B"</f>
        <v>CódRastreio985 B</v>
      </c>
      <c r="D993" s="52" t="str">
        <f>_xlfn.XLOOKUP(Follow[[#This Row],[Id Pedido]],Controle_Pedidos[Número Pedido Cliente],Controle_Pedidos[Loja])</f>
        <v>MEI</v>
      </c>
      <c r="E993" s="9">
        <f>_xlfn.XLOOKUP(Follow[[#This Row],[Id Pedido]],Controle_Pedidos[Número Pedido Cliente],Controle_Pedidos[Prazo Entrega])</f>
        <v>45734</v>
      </c>
      <c r="F993" s="9" t="s">
        <v>19433</v>
      </c>
      <c r="G993" s="9" t="s">
        <v>240</v>
      </c>
      <c r="H993" s="9" t="s">
        <v>179</v>
      </c>
      <c r="I993" s="9" t="s">
        <v>178</v>
      </c>
      <c r="J993" s="9">
        <v>45720</v>
      </c>
      <c r="K993" s="8" t="s">
        <v>198</v>
      </c>
      <c r="L993" s="8" t="s">
        <v>124</v>
      </c>
      <c r="M993" s="8" t="s">
        <v>208</v>
      </c>
      <c r="N993" s="52" t="str">
        <f>IF(Follow[[#This Row],[DATAATUALIZAÇÃO]]&lt;=Follow[[#This Row],[Prev Entrega]],"Dentro do Prazo","Fora do Prazo")</f>
        <v>Dentro do Prazo</v>
      </c>
      <c r="O9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04/03/2025, referente ao pedido Nº Pedido 1008 Rastreio CNBR00053731589, agradecemos a preferência e adoraríamos receber sua avaliação, tendo qualquer dúvida estamos à disposição.
Att
NTA Variedades</v>
      </c>
    </row>
    <row r="994" spans="1:15">
      <c r="A994" s="52" t="str">
        <f>_xlfn.XLOOKUP(Follow[[#This Row],[CODRASTREIO]],Controle_Pedidos[Cód Rastreamento],Controle_Pedidos[Número Pedido Cliente])</f>
        <v>Pedido 1009</v>
      </c>
      <c r="B994" s="2" t="s">
        <v>18428</v>
      </c>
      <c r="C994" s="2" t="str">
        <f>Follow[[#This Row],[CODRASTREIO]]&amp;" B"</f>
        <v>CódRastreio986 B</v>
      </c>
      <c r="D994" s="52" t="str">
        <f>_xlfn.XLOOKUP(Follow[[#This Row],[Id Pedido]],Controle_Pedidos[Número Pedido Cliente],Controle_Pedidos[Loja])</f>
        <v>MEI</v>
      </c>
      <c r="E994" s="9">
        <f>_xlfn.XLOOKUP(Follow[[#This Row],[Id Pedido]],Controle_Pedidos[Número Pedido Cliente],Controle_Pedidos[Prazo Entrega])</f>
        <v>45728</v>
      </c>
      <c r="F994" s="9" t="s">
        <v>19433</v>
      </c>
      <c r="G994" s="9" t="s">
        <v>241</v>
      </c>
      <c r="H994" s="9" t="s">
        <v>179</v>
      </c>
      <c r="I994" s="9" t="s">
        <v>178</v>
      </c>
      <c r="J994" s="9">
        <v>45716</v>
      </c>
      <c r="K994" s="8" t="s">
        <v>198</v>
      </c>
      <c r="L994" s="8" t="s">
        <v>124</v>
      </c>
      <c r="M994" s="8" t="s">
        <v>37</v>
      </c>
      <c r="N994" s="52" t="str">
        <f>IF(Follow[[#This Row],[DATAATUALIZAÇÃO]]&lt;=Follow[[#This Row],[Prev Entrega]],"Dentro do Prazo","Fora do Prazo")</f>
        <v>Dentro do Prazo</v>
      </c>
      <c r="O9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28/02/2025, referente ao pedido Nº Pedido 1009 Rastreio CNBR00053742015, agradecemos a preferência e adoraríamos receber sua avaliação, tendo qualquer dúvida estamos à disposição.
Att
NTA Variedades</v>
      </c>
    </row>
    <row r="995" spans="1:15">
      <c r="A995" s="52" t="str">
        <f>_xlfn.XLOOKUP(Follow[[#This Row],[CODRASTREIO]],Controle_Pedidos[Cód Rastreamento],Controle_Pedidos[Número Pedido Cliente])</f>
        <v>Pedido 1010</v>
      </c>
      <c r="B995" s="2" t="s">
        <v>18429</v>
      </c>
      <c r="C995" s="2" t="str">
        <f>Follow[[#This Row],[CODRASTREIO]]&amp;" B"</f>
        <v>CódRastreio987 B</v>
      </c>
      <c r="D995" s="52" t="str">
        <f>_xlfn.XLOOKUP(Follow[[#This Row],[Id Pedido]],Controle_Pedidos[Número Pedido Cliente],Controle_Pedidos[Loja])</f>
        <v>MEI</v>
      </c>
      <c r="E995" s="9">
        <f>_xlfn.XLOOKUP(Follow[[#This Row],[Id Pedido]],Controle_Pedidos[Número Pedido Cliente],Controle_Pedidos[Prazo Entrega])</f>
        <v>45728</v>
      </c>
      <c r="F995" s="9" t="s">
        <v>19433</v>
      </c>
      <c r="G995" s="9" t="s">
        <v>242</v>
      </c>
      <c r="H995" s="9" t="s">
        <v>179</v>
      </c>
      <c r="I995" s="9" t="s">
        <v>178</v>
      </c>
      <c r="J995" s="9">
        <v>45716</v>
      </c>
      <c r="K995" s="8" t="s">
        <v>198</v>
      </c>
      <c r="L995" s="8" t="s">
        <v>124</v>
      </c>
      <c r="M995" s="8" t="s">
        <v>37</v>
      </c>
      <c r="N995" s="52" t="str">
        <f>IF(Follow[[#This Row],[DATAATUALIZAÇÃO]]&lt;=Follow[[#This Row],[Prev Entrega]],"Dentro do Prazo","Fora do Prazo")</f>
        <v>Dentro do Prazo</v>
      </c>
      <c r="O9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28/02/2025, referente ao pedido Nº Pedido 1010 Rastreio CNBR00053737409, agradecemos a preferência e adoraríamos receber sua avaliação, tendo qualquer dúvida estamos à disposição.
Att
NTA Variedades</v>
      </c>
    </row>
    <row r="996" spans="1:15">
      <c r="A996" s="52" t="str">
        <f>_xlfn.XLOOKUP(Follow[[#This Row],[CODRASTREIO]],Controle_Pedidos[Cód Rastreamento],Controle_Pedidos[Número Pedido Cliente])</f>
        <v>Pedido 1012</v>
      </c>
      <c r="B996" s="2" t="s">
        <v>18431</v>
      </c>
      <c r="C996" s="2" t="str">
        <f>Follow[[#This Row],[CODRASTREIO]]&amp;" B"</f>
        <v>CódRastreio989 B</v>
      </c>
      <c r="D996" s="52" t="str">
        <f>_xlfn.XLOOKUP(Follow[[#This Row],[Id Pedido]],Controle_Pedidos[Número Pedido Cliente],Controle_Pedidos[Loja])</f>
        <v>MEI</v>
      </c>
      <c r="E996" s="9">
        <f>_xlfn.XLOOKUP(Follow[[#This Row],[Id Pedido]],Controle_Pedidos[Número Pedido Cliente],Controle_Pedidos[Prazo Entrega])</f>
        <v>45729</v>
      </c>
      <c r="F996" s="9" t="s">
        <v>19433</v>
      </c>
      <c r="G996" s="9" t="s">
        <v>243</v>
      </c>
      <c r="H996" s="9" t="s">
        <v>179</v>
      </c>
      <c r="I996" s="9" t="s">
        <v>178</v>
      </c>
      <c r="J996" s="9">
        <v>45748</v>
      </c>
      <c r="K996" s="8" t="s">
        <v>198</v>
      </c>
      <c r="L996" s="8" t="s">
        <v>124</v>
      </c>
      <c r="M996" s="8" t="s">
        <v>37</v>
      </c>
      <c r="N996" s="52" t="str">
        <f>IF(Follow[[#This Row],[DATAATUALIZAÇÃO]]&lt;=Follow[[#This Row],[Prev Entrega]],"Dentro do Prazo","Fora do Prazo")</f>
        <v>Fora do Prazo</v>
      </c>
      <c r="O99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01/04/2025, referente ao pedido Nº Pedido 1012 Rastreio CNBR00053739984, agradecemos a preferência e adoraríamos receber sua avaliação, tendo qualquer dúvida estamos à disposição.
Att
NTA Variedades</v>
      </c>
    </row>
    <row r="997" spans="1:15">
      <c r="A997" s="52" t="str">
        <f>_xlfn.XLOOKUP(Follow[[#This Row],[CODRASTREIO]],Controle_Pedidos[Cód Rastreamento],Controle_Pedidos[Número Pedido Cliente])</f>
        <v>Pedido 1011</v>
      </c>
      <c r="B997" s="2" t="s">
        <v>18430</v>
      </c>
      <c r="C997" s="2" t="str">
        <f>Follow[[#This Row],[CODRASTREIO]]&amp;" B"</f>
        <v>CódRastreio988 B</v>
      </c>
      <c r="D997" s="52" t="str">
        <f>_xlfn.XLOOKUP(Follow[[#This Row],[Id Pedido]],Controle_Pedidos[Número Pedido Cliente],Controle_Pedidos[Loja])</f>
        <v>MEI</v>
      </c>
      <c r="E997" s="9">
        <f>_xlfn.XLOOKUP(Follow[[#This Row],[Id Pedido]],Controle_Pedidos[Número Pedido Cliente],Controle_Pedidos[Prazo Entrega])</f>
        <v>45728</v>
      </c>
      <c r="F997" s="9" t="s">
        <v>19433</v>
      </c>
      <c r="G997" s="9" t="s">
        <v>37</v>
      </c>
      <c r="H997" s="9" t="s">
        <v>178</v>
      </c>
      <c r="I997" s="9" t="s">
        <v>178</v>
      </c>
      <c r="J997" s="9">
        <v>45716</v>
      </c>
      <c r="K997" s="8" t="s">
        <v>198</v>
      </c>
      <c r="L997" s="8" t="s">
        <v>124</v>
      </c>
      <c r="M997" s="8" t="s">
        <v>37</v>
      </c>
      <c r="N997" s="52" t="str">
        <f>IF(Follow[[#This Row],[DATAATUALIZAÇÃO]]&lt;=Follow[[#This Row],[Prev Entrega]],"Dentro do Prazo","Fora do Prazo")</f>
        <v>Dentro do Prazo</v>
      </c>
      <c r="O9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28/02/2025, referente ao pedido Nº Pedido 1011 Rastreio Pedido 1011, agradecemos a preferência e adoraríamos receber sua avaliação, tendo qualquer dúvida estamos à disposição.
Att
NTA Variedades</v>
      </c>
    </row>
    <row r="998" spans="1:15">
      <c r="A998" s="52" t="str">
        <f>_xlfn.XLOOKUP(Follow[[#This Row],[CODRASTREIO]],Controle_Pedidos[Cód Rastreamento],Controle_Pedidos[Número Pedido Cliente])</f>
        <v>Pedido 1013</v>
      </c>
      <c r="B998" s="2" t="s">
        <v>18432</v>
      </c>
      <c r="C998" s="2" t="str">
        <f>Follow[[#This Row],[CODRASTREIO]]&amp;" B"</f>
        <v>CódRastreio990 B</v>
      </c>
      <c r="D998" s="52" t="str">
        <f>_xlfn.XLOOKUP(Follow[[#This Row],[Id Pedido]],Controle_Pedidos[Número Pedido Cliente],Controle_Pedidos[Loja])</f>
        <v>BV</v>
      </c>
      <c r="E998" s="9">
        <f>_xlfn.XLOOKUP(Follow[[#This Row],[Id Pedido]],Controle_Pedidos[Número Pedido Cliente],Controle_Pedidos[Prazo Entrega])</f>
        <v>45735</v>
      </c>
      <c r="F998" s="9" t="s">
        <v>19433</v>
      </c>
      <c r="G998" s="9" t="s">
        <v>244</v>
      </c>
      <c r="H998" s="9" t="s">
        <v>179</v>
      </c>
      <c r="I998" s="9" t="s">
        <v>178</v>
      </c>
      <c r="J998" s="9">
        <v>45723</v>
      </c>
      <c r="K998" s="8" t="s">
        <v>198</v>
      </c>
      <c r="L998" s="8" t="s">
        <v>124</v>
      </c>
      <c r="M998" s="8" t="s">
        <v>208</v>
      </c>
      <c r="N998" s="52" t="str">
        <f>IF(Follow[[#This Row],[DATAATUALIZAÇÃO]]&lt;=Follow[[#This Row],[Prev Entrega]],"Dentro do Prazo","Fora do Prazo")</f>
        <v>Dentro do Prazo</v>
      </c>
      <c r="O9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07/03/2025, referente ao pedido Nº Pedido 1013 Rastreio CNBR00054478121, agradecemos a preferência e adoraríamos receber sua avaliação, tendo qualquer dúvida estamos à disposição.
Att
Tem tudo Shop</v>
      </c>
    </row>
    <row r="999" spans="1:15">
      <c r="A999" s="52" t="str">
        <f>_xlfn.XLOOKUP(Follow[[#This Row],[CODRASTREIO]],Controle_Pedidos[Cód Rastreamento],Controle_Pedidos[Número Pedido Cliente])</f>
        <v>Pedido 1014</v>
      </c>
      <c r="B999" s="2" t="s">
        <v>18433</v>
      </c>
      <c r="C999" s="2" t="str">
        <f>Follow[[#This Row],[CODRASTREIO]]&amp;" B"</f>
        <v>CódRastreio991 B</v>
      </c>
      <c r="D999" s="52" t="str">
        <f>_xlfn.XLOOKUP(Follow[[#This Row],[Id Pedido]],Controle_Pedidos[Número Pedido Cliente],Controle_Pedidos[Loja])</f>
        <v>MEI</v>
      </c>
      <c r="E999" s="9">
        <f>_xlfn.XLOOKUP(Follow[[#This Row],[Id Pedido]],Controle_Pedidos[Número Pedido Cliente],Controle_Pedidos[Prazo Entrega])</f>
        <v>45735</v>
      </c>
      <c r="F999" s="9" t="s">
        <v>19433</v>
      </c>
      <c r="G999" s="9" t="s">
        <v>245</v>
      </c>
      <c r="H999" s="9" t="s">
        <v>179</v>
      </c>
      <c r="I999" s="9" t="s">
        <v>178</v>
      </c>
      <c r="J999" s="9">
        <v>45724</v>
      </c>
      <c r="K999" s="8" t="s">
        <v>198</v>
      </c>
      <c r="L999" s="8" t="s">
        <v>124</v>
      </c>
      <c r="M999" s="8" t="s">
        <v>208</v>
      </c>
      <c r="N999" s="52" t="str">
        <f>IF(Follow[[#This Row],[DATAATUALIZAÇÃO]]&lt;=Follow[[#This Row],[Prev Entrega]],"Dentro do Prazo","Fora do Prazo")</f>
        <v>Dentro do Prazo</v>
      </c>
      <c r="O9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08/03/2025, referente ao pedido Nº Pedido 1014 Rastreio CNBR00054446273, agradecemos a preferência e adoraríamos receber sua avaliação, tendo qualquer dúvida estamos à disposição.
Att
NTA Variedades</v>
      </c>
    </row>
    <row r="1000" spans="1:15">
      <c r="A1000" s="52" t="str">
        <f>_xlfn.XLOOKUP(Follow[[#This Row],[CODRASTREIO]],Controle_Pedidos[Cód Rastreamento],Controle_Pedidos[Número Pedido Cliente])</f>
        <v>Pedido 1015</v>
      </c>
      <c r="B1000" s="2" t="s">
        <v>18434</v>
      </c>
      <c r="C1000" s="2" t="str">
        <f>Follow[[#This Row],[CODRASTREIO]]&amp;" B"</f>
        <v>CódRastreio992 B</v>
      </c>
      <c r="D1000" s="52" t="str">
        <f>_xlfn.XLOOKUP(Follow[[#This Row],[Id Pedido]],Controle_Pedidos[Número Pedido Cliente],Controle_Pedidos[Loja])</f>
        <v>MEI</v>
      </c>
      <c r="E1000" s="9">
        <f>_xlfn.XLOOKUP(Follow[[#This Row],[Id Pedido]],Controle_Pedidos[Número Pedido Cliente],Controle_Pedidos[Prazo Entrega])</f>
        <v>45735</v>
      </c>
      <c r="F1000" s="9" t="s">
        <v>19433</v>
      </c>
      <c r="G1000" s="9" t="s">
        <v>37</v>
      </c>
      <c r="H1000" s="9" t="s">
        <v>178</v>
      </c>
      <c r="I1000" s="9" t="s">
        <v>178</v>
      </c>
      <c r="J1000" s="9">
        <v>45715</v>
      </c>
      <c r="K1000" s="8" t="s">
        <v>198</v>
      </c>
      <c r="L1000" s="8" t="s">
        <v>124</v>
      </c>
      <c r="M1000" s="8" t="s">
        <v>37</v>
      </c>
      <c r="N1000" s="52" t="str">
        <f>IF(Follow[[#This Row],[DATAATUALIZAÇÃO]]&lt;=Follow[[#This Row],[Prev Entrega]],"Dentro do Prazo","Fora do Prazo")</f>
        <v>Dentro do Prazo</v>
      </c>
      <c r="O100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27/02/2025, referente ao pedido Nº Pedido 1015 Rastreio Pedido 1015, agradecemos a preferência e adoraríamos receber sua avaliação, tendo qualquer dúvida estamos à disposição.
Att
NTA Variedades</v>
      </c>
    </row>
    <row r="1001" spans="1:15">
      <c r="A1001" s="52" t="str">
        <f>_xlfn.XLOOKUP(Follow[[#This Row],[CODRASTREIO]],Controle_Pedidos[Cód Rastreamento],Controle_Pedidos[Número Pedido Cliente])</f>
        <v>Pedido 1016</v>
      </c>
      <c r="B1001" s="2" t="s">
        <v>18435</v>
      </c>
      <c r="C1001" s="2" t="str">
        <f>Follow[[#This Row],[CODRASTREIO]]&amp;" B"</f>
        <v>CódRastreio993 B</v>
      </c>
      <c r="D1001" s="52" t="str">
        <f>_xlfn.XLOOKUP(Follow[[#This Row],[Id Pedido]],Controle_Pedidos[Número Pedido Cliente],Controle_Pedidos[Loja])</f>
        <v>MEI</v>
      </c>
      <c r="E1001" s="9">
        <f>_xlfn.XLOOKUP(Follow[[#This Row],[Id Pedido]],Controle_Pedidos[Número Pedido Cliente],Controle_Pedidos[Prazo Entrega])</f>
        <v>45729</v>
      </c>
      <c r="F1001" s="9" t="s">
        <v>19433</v>
      </c>
      <c r="G1001" s="9" t="s">
        <v>37</v>
      </c>
      <c r="H1001" s="52" t="s">
        <v>178</v>
      </c>
      <c r="I1001" s="52" t="s">
        <v>178</v>
      </c>
      <c r="J1001" s="55">
        <v>45712</v>
      </c>
      <c r="K1001" s="52" t="s">
        <v>198</v>
      </c>
      <c r="L1001" s="8" t="s">
        <v>124</v>
      </c>
      <c r="M1001" s="8" t="s">
        <v>37</v>
      </c>
      <c r="N1001" s="52" t="str">
        <f>IF(Follow[[#This Row],[DATAATUALIZAÇÃO]]&lt;=Follow[[#This Row],[Prev Entrega]],"Dentro do Prazo","Fora do Prazo")</f>
        <v>Dentro do Prazo</v>
      </c>
      <c r="O10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24/02/2025, referente ao pedido Nº Pedido 1016 Rastreio Pedido 1016, agradecemos a preferência e adoraríamos receber sua avaliação, tendo qualquer dúvida estamos à disposição.
Att
NTA Variedades</v>
      </c>
    </row>
    <row r="1002" spans="1:15">
      <c r="A1002" s="52" t="str">
        <f>_xlfn.XLOOKUP(Follow[[#This Row],[CODRASTREIO]],Controle_Pedidos[Cód Rastreamento],Controle_Pedidos[Número Pedido Cliente])</f>
        <v>Pedido 1017</v>
      </c>
      <c r="B1002" s="2" t="s">
        <v>18436</v>
      </c>
      <c r="C1002" s="2" t="str">
        <f>Follow[[#This Row],[CODRASTREIO]]&amp;" B"</f>
        <v>CódRastreio994 B</v>
      </c>
      <c r="D1002" s="52" t="str">
        <f>_xlfn.XLOOKUP(Follow[[#This Row],[Id Pedido]],Controle_Pedidos[Número Pedido Cliente],Controle_Pedidos[Loja])</f>
        <v>MEI</v>
      </c>
      <c r="E1002" s="9">
        <f>_xlfn.XLOOKUP(Follow[[#This Row],[Id Pedido]],Controle_Pedidos[Número Pedido Cliente],Controle_Pedidos[Prazo Entrega])</f>
        <v>45729</v>
      </c>
      <c r="F1002" s="9" t="s">
        <v>19433</v>
      </c>
      <c r="G1002" s="9" t="s">
        <v>37</v>
      </c>
      <c r="H1002" s="52" t="s">
        <v>178</v>
      </c>
      <c r="I1002" s="52" t="s">
        <v>178</v>
      </c>
      <c r="J1002" s="55">
        <v>45710</v>
      </c>
      <c r="K1002" s="52" t="s">
        <v>198</v>
      </c>
      <c r="L1002" s="8" t="s">
        <v>124</v>
      </c>
      <c r="M1002" s="8" t="s">
        <v>37</v>
      </c>
      <c r="N1002" s="52" t="str">
        <f>IF(Follow[[#This Row],[DATAATUALIZAÇÃO]]&lt;=Follow[[#This Row],[Prev Entrega]],"Dentro do Prazo","Fora do Prazo")</f>
        <v>Dentro do Prazo</v>
      </c>
      <c r="O100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22/02/2025, referente ao pedido Nº Pedido 1017 Rastreio Pedido 1017, agradecemos a preferência e adoraríamos receber sua avaliação, tendo qualquer dúvida estamos à disposição.
Att
NTA Variedades</v>
      </c>
    </row>
    <row r="1003" spans="1:15">
      <c r="A1003" s="52" t="str">
        <f>_xlfn.XLOOKUP(Follow[[#This Row],[CODRASTREIO]],Controle_Pedidos[Cód Rastreamento],Controle_Pedidos[Número Pedido Cliente])</f>
        <v>Pedido 1018</v>
      </c>
      <c r="B1003" s="2" t="s">
        <v>18437</v>
      </c>
      <c r="C1003" s="2" t="str">
        <f>Follow[[#This Row],[CODRASTREIO]]&amp;" B"</f>
        <v>CódRastreio995 B</v>
      </c>
      <c r="D1003" s="52" t="str">
        <f>_xlfn.XLOOKUP(Follow[[#This Row],[Id Pedido]],Controle_Pedidos[Número Pedido Cliente],Controle_Pedidos[Loja])</f>
        <v>MEI</v>
      </c>
      <c r="E1003" s="9">
        <f>_xlfn.XLOOKUP(Follow[[#This Row],[Id Pedido]],Controle_Pedidos[Número Pedido Cliente],Controle_Pedidos[Prazo Entrega])</f>
        <v>45729</v>
      </c>
      <c r="F1003" s="9" t="s">
        <v>19433</v>
      </c>
      <c r="G1003" s="9" t="s">
        <v>246</v>
      </c>
      <c r="H1003" s="9" t="s">
        <v>179</v>
      </c>
      <c r="I1003" s="9" t="s">
        <v>178</v>
      </c>
      <c r="J1003" s="9">
        <v>45722</v>
      </c>
      <c r="K1003" s="8" t="s">
        <v>198</v>
      </c>
      <c r="L1003" s="8" t="s">
        <v>124</v>
      </c>
      <c r="M1003" s="8" t="s">
        <v>37</v>
      </c>
      <c r="N1003" s="52" t="str">
        <f>IF(Follow[[#This Row],[DATAATUALIZAÇÃO]]&lt;=Follow[[#This Row],[Prev Entrega]],"Dentro do Prazo","Fora do Prazo")</f>
        <v>Dentro do Prazo</v>
      </c>
      <c r="O1003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1018 Rastreio CNBR00054459103, agradecemos a preferência e adoraríamos receber sua avaliação, tendo qualquer dúvida estamos à disposição.
Att
NTA Variedades</v>
      </c>
    </row>
    <row r="1004" spans="1:15">
      <c r="A1004" s="52" t="str">
        <f>_xlfn.XLOOKUP(Follow[[#This Row],[CODRASTREIO]],Controle_Pedidos[Cód Rastreamento],Controle_Pedidos[Número Pedido Cliente])</f>
        <v>Pedido 1019</v>
      </c>
      <c r="B1004" s="2" t="s">
        <v>18438</v>
      </c>
      <c r="C1004" s="2" t="str">
        <f>Follow[[#This Row],[CODRASTREIO]]&amp;" B"</f>
        <v>CódRastreio996 B</v>
      </c>
      <c r="D1004" s="52" t="str">
        <f>_xlfn.XLOOKUP(Follow[[#This Row],[Id Pedido]],Controle_Pedidos[Número Pedido Cliente],Controle_Pedidos[Loja])</f>
        <v>MEI</v>
      </c>
      <c r="E1004" s="9">
        <f>_xlfn.XLOOKUP(Follow[[#This Row],[Id Pedido]],Controle_Pedidos[Número Pedido Cliente],Controle_Pedidos[Prazo Entrega])</f>
        <v>45730</v>
      </c>
      <c r="F1004" s="9" t="s">
        <v>19433</v>
      </c>
      <c r="G1004" s="9" t="s">
        <v>37</v>
      </c>
      <c r="H1004" s="52" t="s">
        <v>178</v>
      </c>
      <c r="I1004" s="52" t="s">
        <v>178</v>
      </c>
      <c r="J1004" s="55">
        <v>45710</v>
      </c>
      <c r="K1004" s="52" t="s">
        <v>198</v>
      </c>
      <c r="L1004" s="8" t="s">
        <v>124</v>
      </c>
      <c r="M1004" s="8" t="s">
        <v>37</v>
      </c>
      <c r="N1004" s="52" t="str">
        <f>IF(Follow[[#This Row],[DATAATUALIZAÇÃO]]&lt;=Follow[[#This Row],[Prev Entrega]],"Dentro do Prazo","Fora do Prazo")</f>
        <v>Dentro do Prazo</v>
      </c>
      <c r="O10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22/02/2025, referente ao pedido Nº Pedido 1019 Rastreio Pedido 1019, agradecemos a preferência e adoraríamos receber sua avaliação, tendo qualquer dúvida estamos à disposição.
Att
NTA Variedades</v>
      </c>
    </row>
    <row r="1005" spans="1:15">
      <c r="A1005" s="52" t="str">
        <f>_xlfn.XLOOKUP(Follow[[#This Row],[CODRASTREIO]],Controle_Pedidos[Cód Rastreamento],Controle_Pedidos[Número Pedido Cliente])</f>
        <v>Pedido 995</v>
      </c>
      <c r="B1005" s="2" t="s">
        <v>18414</v>
      </c>
      <c r="C1005" s="2" t="str">
        <f>Follow[[#This Row],[CODRASTREIO]]&amp;" B"</f>
        <v>CódRastreio972 B</v>
      </c>
      <c r="D1005" s="52" t="str">
        <f>_xlfn.XLOOKUP(Follow[[#This Row],[Id Pedido]],Controle_Pedidos[Número Pedido Cliente],Controle_Pedidos[Loja])</f>
        <v>BV</v>
      </c>
      <c r="E1005" s="9">
        <f>_xlfn.XLOOKUP(Follow[[#This Row],[Id Pedido]],Controle_Pedidos[Número Pedido Cliente],Controle_Pedidos[Prazo Entrega])</f>
        <v>45728</v>
      </c>
      <c r="F1005" s="9" t="s">
        <v>19433</v>
      </c>
      <c r="G1005" s="9" t="s">
        <v>37</v>
      </c>
      <c r="H1005" s="52" t="s">
        <v>178</v>
      </c>
      <c r="I1005" s="52" t="s">
        <v>178</v>
      </c>
      <c r="J1005" s="55">
        <v>45712</v>
      </c>
      <c r="K1005" s="52" t="s">
        <v>198</v>
      </c>
      <c r="L1005" s="8" t="s">
        <v>124</v>
      </c>
      <c r="M1005" s="8" t="s">
        <v>37</v>
      </c>
      <c r="N1005" s="52" t="str">
        <f>IF(Follow[[#This Row],[DATAATUALIZAÇÃO]]&lt;=Follow[[#This Row],[Prev Entrega]],"Dentro do Prazo","Fora do Prazo")</f>
        <v>Dentro do Prazo</v>
      </c>
      <c r="O10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com Regulagem foi entregue no dia 24/02/2025, referente ao pedido Nº Pedido 995 Rastreio Pedido 995, agradecemos a preferência e adoraríamos receber sua avaliação, tendo qualquer dúvida estamos à disposição.
Att
Tem tudo Shop</v>
      </c>
    </row>
    <row r="1006" spans="1:15">
      <c r="A1006" s="52" t="str">
        <f>_xlfn.XLOOKUP(Follow[[#This Row],[CODRASTREIO]],Controle_Pedidos[Cód Rastreamento],Controle_Pedidos[Número Pedido Cliente])</f>
        <v>Pedido 1005</v>
      </c>
      <c r="B1006" s="2" t="s">
        <v>18424</v>
      </c>
      <c r="C1006" s="2" t="str">
        <f>Follow[[#This Row],[CODRASTREIO]]&amp;" B"</f>
        <v>CódRastreio982 B</v>
      </c>
      <c r="D1006" s="52" t="str">
        <f>_xlfn.XLOOKUP(Follow[[#This Row],[Id Pedido]],Controle_Pedidos[Número Pedido Cliente],Controle_Pedidos[Loja])</f>
        <v>MEI</v>
      </c>
      <c r="E1006" s="9">
        <f>_xlfn.XLOOKUP(Follow[[#This Row],[Id Pedido]],Controle_Pedidos[Número Pedido Cliente],Controle_Pedidos[Prazo Entrega])</f>
        <v>45734</v>
      </c>
      <c r="F1006" s="9" t="s">
        <v>19433</v>
      </c>
      <c r="G1006" s="9" t="s">
        <v>247</v>
      </c>
      <c r="H1006" s="9" t="s">
        <v>179</v>
      </c>
      <c r="I1006" s="9" t="s">
        <v>178</v>
      </c>
      <c r="J1006" s="9">
        <v>45723</v>
      </c>
      <c r="K1006" s="8" t="s">
        <v>198</v>
      </c>
      <c r="L1006" s="8" t="s">
        <v>124</v>
      </c>
      <c r="M1006" s="8" t="s">
        <v>37</v>
      </c>
      <c r="N1006" s="52" t="str">
        <f>IF(Follow[[#This Row],[DATAATUALIZAÇÃO]]&lt;=Follow[[#This Row],[Prev Entrega]],"Dentro do Prazo","Fora do Prazo")</f>
        <v>Dentro do Prazo</v>
      </c>
      <c r="O10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07/03/2025, referente ao pedido Nº Pedido 1005 Rastreio CNBR00055443946, agradecemos a preferência e adoraríamos receber sua avaliação, tendo qualquer dúvida estamos à disposição.
Att
NTA Variedades</v>
      </c>
    </row>
    <row r="1007" spans="1:15">
      <c r="A1007" s="52" t="str">
        <f>_xlfn.XLOOKUP(Follow[[#This Row],[CODRASTREIO]],Controle_Pedidos[Cód Rastreamento],Controle_Pedidos[Número Pedido Cliente])</f>
        <v>Pedido 1020</v>
      </c>
      <c r="B1007" s="2" t="s">
        <v>18439</v>
      </c>
      <c r="C1007" s="2" t="str">
        <f>Follow[[#This Row],[CODRASTREIO]]&amp;" B"</f>
        <v>CódRastreio997 B</v>
      </c>
      <c r="D1007" s="52" t="str">
        <f>_xlfn.XLOOKUP(Follow[[#This Row],[Id Pedido]],Controle_Pedidos[Número Pedido Cliente],Controle_Pedidos[Loja])</f>
        <v>BV</v>
      </c>
      <c r="E1007" s="9">
        <f>_xlfn.XLOOKUP(Follow[[#This Row],[Id Pedido]],Controle_Pedidos[Número Pedido Cliente],Controle_Pedidos[Prazo Entrega])</f>
        <v>45730</v>
      </c>
      <c r="F1007" s="9" t="s">
        <v>19433</v>
      </c>
      <c r="G1007" s="9" t="s">
        <v>37</v>
      </c>
      <c r="H1007" s="52" t="s">
        <v>178</v>
      </c>
      <c r="I1007" s="52" t="s">
        <v>178</v>
      </c>
      <c r="J1007" s="55">
        <v>45712</v>
      </c>
      <c r="K1007" s="52" t="s">
        <v>198</v>
      </c>
      <c r="L1007" s="8" t="s">
        <v>124</v>
      </c>
      <c r="M1007" s="8" t="s">
        <v>37</v>
      </c>
      <c r="N1007" s="52" t="str">
        <f>IF(Follow[[#This Row],[DATAATUALIZAÇÃO]]&lt;=Follow[[#This Row],[Prev Entrega]],"Dentro do Prazo","Fora do Prazo")</f>
        <v>Dentro do Prazo</v>
      </c>
      <c r="O10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24/02/2025, referente ao pedido Nº Pedido 1020 Rastreio Pedido 1020, agradecemos a preferência e adoraríamos receber sua avaliação, tendo qualquer dúvida estamos à disposição.
Att
Tem tudo Shop</v>
      </c>
    </row>
    <row r="1008" spans="1:15">
      <c r="A1008" s="52" t="str">
        <f>_xlfn.XLOOKUP(Follow[[#This Row],[CODRASTREIO]],Controle_Pedidos[Cód Rastreamento],Controle_Pedidos[Número Pedido Cliente])</f>
        <v>Pedido 1021</v>
      </c>
      <c r="B1008" s="2" t="s">
        <v>18440</v>
      </c>
      <c r="C1008" s="2" t="str">
        <f>Follow[[#This Row],[CODRASTREIO]]&amp;" B"</f>
        <v>CódRastreio998 B</v>
      </c>
      <c r="D1008" s="52" t="str">
        <f>_xlfn.XLOOKUP(Follow[[#This Row],[Id Pedido]],Controle_Pedidos[Número Pedido Cliente],Controle_Pedidos[Loja])</f>
        <v>BV</v>
      </c>
      <c r="E1008" s="9">
        <f>_xlfn.XLOOKUP(Follow[[#This Row],[Id Pedido]],Controle_Pedidos[Número Pedido Cliente],Controle_Pedidos[Prazo Entrega])</f>
        <v>45731</v>
      </c>
      <c r="F1008" s="9" t="s">
        <v>19433</v>
      </c>
      <c r="G1008" s="9" t="s">
        <v>248</v>
      </c>
      <c r="H1008" s="9" t="s">
        <v>179</v>
      </c>
      <c r="I1008" s="9" t="s">
        <v>178</v>
      </c>
      <c r="J1008" s="9">
        <v>45722</v>
      </c>
      <c r="K1008" s="8" t="s">
        <v>198</v>
      </c>
      <c r="L1008" s="8" t="s">
        <v>124</v>
      </c>
      <c r="M1008" s="8" t="s">
        <v>37</v>
      </c>
      <c r="N1008" s="52" t="str">
        <f>IF(Follow[[#This Row],[DATAATUALIZAÇÃO]]&lt;=Follow[[#This Row],[Prev Entrega]],"Dentro do Prazo","Fora do Prazo")</f>
        <v>Dentro do Prazo</v>
      </c>
      <c r="O1008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06/03/2025, referente ao pedido Nº Pedido 1021 Rastreio CNBR00055444309, agradecemos a preferência e adoraríamos receber sua avaliação, tendo qualquer dúvida estamos à disposição.
Att
Tem tudo Shop</v>
      </c>
    </row>
    <row r="1009" spans="1:15">
      <c r="A1009" s="52" t="str">
        <f>_xlfn.XLOOKUP(Follow[[#This Row],[CODRASTREIO]],Controle_Pedidos[Cód Rastreamento],Controle_Pedidos[Número Pedido Cliente])</f>
        <v>Pedido 1022</v>
      </c>
      <c r="B1009" s="2" t="s">
        <v>18441</v>
      </c>
      <c r="C1009" s="2" t="str">
        <f>Follow[[#This Row],[CODRASTREIO]]&amp;" B"</f>
        <v>CódRastreio999 B</v>
      </c>
      <c r="D1009" s="52" t="str">
        <f>_xlfn.XLOOKUP(Follow[[#This Row],[Id Pedido]],Controle_Pedidos[Número Pedido Cliente],Controle_Pedidos[Loja])</f>
        <v>MEI</v>
      </c>
      <c r="E1009" s="9">
        <f>_xlfn.XLOOKUP(Follow[[#This Row],[Id Pedido]],Controle_Pedidos[Número Pedido Cliente],Controle_Pedidos[Prazo Entrega])</f>
        <v>45730</v>
      </c>
      <c r="F1009" s="9" t="s">
        <v>19433</v>
      </c>
      <c r="G1009" s="9" t="s">
        <v>249</v>
      </c>
      <c r="H1009" s="9" t="s">
        <v>179</v>
      </c>
      <c r="I1009" s="9" t="s">
        <v>178</v>
      </c>
      <c r="J1009" s="9">
        <v>45719</v>
      </c>
      <c r="K1009" s="8" t="s">
        <v>198</v>
      </c>
      <c r="L1009" s="8" t="s">
        <v>124</v>
      </c>
      <c r="M1009" s="8" t="s">
        <v>37</v>
      </c>
      <c r="N1009" s="52" t="str">
        <f>IF(Follow[[#This Row],[DATAATUALIZAÇÃO]]&lt;=Follow[[#This Row],[Prev Entrega]],"Dentro do Prazo","Fora do Prazo")</f>
        <v>Dentro do Prazo</v>
      </c>
      <c r="O100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03/03/2025, referente ao pedido Nº Pedido 1022 Rastreio CNBR00055453380, agradecemos a preferência e adoraríamos receber sua avaliação, tendo qualquer dúvida estamos à disposição.
Att
NTA Variedades</v>
      </c>
    </row>
    <row r="1010" spans="1:15">
      <c r="A1010" s="52" t="str">
        <f>_xlfn.XLOOKUP(Follow[[#This Row],[CODRASTREIO]],Controle_Pedidos[Cód Rastreamento],Controle_Pedidos[Número Pedido Cliente])</f>
        <v>Pedido 1023</v>
      </c>
      <c r="B1010" s="2" t="s">
        <v>18442</v>
      </c>
      <c r="C1010" s="2" t="str">
        <f>Follow[[#This Row],[CODRASTREIO]]&amp;" B"</f>
        <v>CódRastreio1000 B</v>
      </c>
      <c r="D1010" s="52" t="str">
        <f>_xlfn.XLOOKUP(Follow[[#This Row],[Id Pedido]],Controle_Pedidos[Número Pedido Cliente],Controle_Pedidos[Loja])</f>
        <v>MEI</v>
      </c>
      <c r="E1010" s="9">
        <f>_xlfn.XLOOKUP(Follow[[#This Row],[Id Pedido]],Controle_Pedidos[Número Pedido Cliente],Controle_Pedidos[Prazo Entrega])</f>
        <v>45736</v>
      </c>
      <c r="F1010" s="9" t="s">
        <v>19433</v>
      </c>
      <c r="G1010" s="122" t="s">
        <v>250</v>
      </c>
      <c r="H1010" s="9" t="s">
        <v>179</v>
      </c>
      <c r="I1010" s="9" t="s">
        <v>178</v>
      </c>
      <c r="J1010" s="9">
        <v>45729</v>
      </c>
      <c r="K1010" s="8" t="s">
        <v>198</v>
      </c>
      <c r="L1010" s="8" t="s">
        <v>124</v>
      </c>
      <c r="M1010" s="8" t="s">
        <v>37</v>
      </c>
      <c r="N1010" s="52" t="str">
        <f>IF(Follow[[#This Row],[DATAATUALIZAÇÃO]]&lt;=Follow[[#This Row],[Prev Entrega]],"Dentro do Prazo","Fora do Prazo")</f>
        <v>Dentro do Prazo</v>
      </c>
      <c r="O10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13/03/2025, referente ao pedido Nº Pedido 1023 Rastreio CNBR00055463174, agradecemos a preferência e adoraríamos receber sua avaliação, tendo qualquer dúvida estamos à disposição.
Att
NTA Variedades</v>
      </c>
    </row>
    <row r="1011" spans="1:15">
      <c r="A1011" s="52" t="str">
        <f>_xlfn.XLOOKUP(Follow[[#This Row],[CODRASTREIO]],Controle_Pedidos[Cód Rastreamento],Controle_Pedidos[Número Pedido Cliente])</f>
        <v>Pedido 1025</v>
      </c>
      <c r="B1011" s="2" t="s">
        <v>18444</v>
      </c>
      <c r="C1011" s="2" t="str">
        <f>Follow[[#This Row],[CODRASTREIO]]&amp;" B"</f>
        <v>CódRastreio1002 B</v>
      </c>
      <c r="D1011" s="52" t="str">
        <f>_xlfn.XLOOKUP(Follow[[#This Row],[Id Pedido]],Controle_Pedidos[Número Pedido Cliente],Controle_Pedidos[Loja])</f>
        <v>MEI</v>
      </c>
      <c r="E1011" s="9">
        <f>_xlfn.XLOOKUP(Follow[[#This Row],[Id Pedido]],Controle_Pedidos[Número Pedido Cliente],Controle_Pedidos[Prazo Entrega])</f>
        <v>45731</v>
      </c>
      <c r="F1011" s="9" t="s">
        <v>19433</v>
      </c>
      <c r="G1011" s="9" t="s">
        <v>251</v>
      </c>
      <c r="H1011" s="9" t="s">
        <v>179</v>
      </c>
      <c r="I1011" s="9" t="s">
        <v>178</v>
      </c>
      <c r="J1011" s="9">
        <v>45721</v>
      </c>
      <c r="K1011" s="8" t="s">
        <v>198</v>
      </c>
      <c r="L1011" s="8" t="s">
        <v>124</v>
      </c>
      <c r="M1011" s="8" t="s">
        <v>37</v>
      </c>
      <c r="N1011" s="52" t="str">
        <f>IF(Follow[[#This Row],[DATAATUALIZAÇÃO]]&lt;=Follow[[#This Row],[Prev Entrega]],"Dentro do Prazo","Fora do Prazo")</f>
        <v>Dentro do Prazo</v>
      </c>
      <c r="O10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05/03/2025, referente ao pedido Nº Pedido 1025 Rastreio CNBR00055459490, agradecemos a preferência e adoraríamos receber sua avaliação, tendo qualquer dúvida estamos à disposição.
Att
NTA Variedades</v>
      </c>
    </row>
    <row r="1012" spans="1:15">
      <c r="A1012" s="52" t="str">
        <f>_xlfn.XLOOKUP(Follow[[#This Row],[CODRASTREIO]],Controle_Pedidos[Cód Rastreamento],Controle_Pedidos[Número Pedido Cliente])</f>
        <v>Pedido 1024</v>
      </c>
      <c r="B1012" s="2" t="s">
        <v>18443</v>
      </c>
      <c r="C1012" s="2" t="str">
        <f>Follow[[#This Row],[CODRASTREIO]]&amp;" B"</f>
        <v>CódRastreio1001 B</v>
      </c>
      <c r="D1012" s="52" t="str">
        <f>_xlfn.XLOOKUP(Follow[[#This Row],[Id Pedido]],Controle_Pedidos[Número Pedido Cliente],Controle_Pedidos[Loja])</f>
        <v>MEI</v>
      </c>
      <c r="E1012" s="9">
        <f>_xlfn.XLOOKUP(Follow[[#This Row],[Id Pedido]],Controle_Pedidos[Número Pedido Cliente],Controle_Pedidos[Prazo Entrega])</f>
        <v>45730</v>
      </c>
      <c r="F1012" s="9" t="s">
        <v>19433</v>
      </c>
      <c r="G1012" s="9" t="s">
        <v>252</v>
      </c>
      <c r="H1012" s="9" t="s">
        <v>179</v>
      </c>
      <c r="I1012" s="9" t="s">
        <v>178</v>
      </c>
      <c r="J1012" s="9">
        <v>45750</v>
      </c>
      <c r="K1012" s="8" t="s">
        <v>198</v>
      </c>
      <c r="L1012" s="8" t="s">
        <v>124</v>
      </c>
      <c r="M1012" s="8" t="s">
        <v>253</v>
      </c>
      <c r="N1012" s="52" t="str">
        <f>IF(Follow[[#This Row],[DATAATUALIZAÇÃO]]&lt;=Follow[[#This Row],[Prev Entrega]],"Dentro do Prazo","Fora do Prazo")</f>
        <v>Fora do Prazo</v>
      </c>
      <c r="O10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03/04/2025, referente ao pedido Nº Pedido 1024 Rastreio CNBR00055867829, agradecemos a preferência e adoraríamos receber sua avaliação, tendo qualquer dúvida estamos à disposição.
Att
NTA Variedades</v>
      </c>
    </row>
    <row r="1013" spans="1:15">
      <c r="A1013" s="52" t="str">
        <f>_xlfn.XLOOKUP(Follow[[#This Row],[CODRASTREIO]],Controle_Pedidos[Cód Rastreamento],Controle_Pedidos[Número Pedido Cliente])</f>
        <v>Pedido 1026</v>
      </c>
      <c r="B1013" s="2" t="s">
        <v>18445</v>
      </c>
      <c r="C1013" s="2" t="str">
        <f>Follow[[#This Row],[CODRASTREIO]]&amp;" B"</f>
        <v>CódRastreio1003 B</v>
      </c>
      <c r="D1013" s="52" t="str">
        <f>_xlfn.XLOOKUP(Follow[[#This Row],[Id Pedido]],Controle_Pedidos[Número Pedido Cliente],Controle_Pedidos[Loja])</f>
        <v>BV</v>
      </c>
      <c r="E1013" s="9">
        <f>_xlfn.XLOOKUP(Follow[[#This Row],[Id Pedido]],Controle_Pedidos[Número Pedido Cliente],Controle_Pedidos[Prazo Entrega])</f>
        <v>45738</v>
      </c>
      <c r="F1013" s="9" t="s">
        <v>19433</v>
      </c>
      <c r="G1013" s="9" t="s">
        <v>254</v>
      </c>
      <c r="H1013" s="9" t="s">
        <v>179</v>
      </c>
      <c r="I1013" s="9" t="s">
        <v>178</v>
      </c>
      <c r="J1013" s="9">
        <v>45723</v>
      </c>
      <c r="K1013" s="8" t="s">
        <v>198</v>
      </c>
      <c r="L1013" s="8" t="s">
        <v>124</v>
      </c>
      <c r="M1013" s="8" t="s">
        <v>37</v>
      </c>
      <c r="N1013" s="52" t="str">
        <f>IF(Follow[[#This Row],[DATAATUALIZAÇÃO]]&lt;=Follow[[#This Row],[Prev Entrega]],"Dentro do Prazo","Fora do Prazo")</f>
        <v>Dentro do Prazo</v>
      </c>
      <c r="O10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07/03/2025, referente ao pedido Nº Pedido 1026 Rastreio CNBR00055874207, agradecemos a preferência e adoraríamos receber sua avaliação, tendo qualquer dúvida estamos à disposição.
Att
Tem tudo Shop</v>
      </c>
    </row>
    <row r="1014" spans="1:15">
      <c r="A1014" s="52" t="str">
        <f>_xlfn.XLOOKUP(Follow[[#This Row],[CODRASTREIO]],Controle_Pedidos[Cód Rastreamento],Controle_Pedidos[Número Pedido Cliente])</f>
        <v>Pedido 1027</v>
      </c>
      <c r="B1014" s="2" t="s">
        <v>18446</v>
      </c>
      <c r="C1014" s="2" t="str">
        <f>Follow[[#This Row],[CODRASTREIO]]&amp;" B"</f>
        <v>CódRastreio1004 B</v>
      </c>
      <c r="D1014" s="52" t="str">
        <f>_xlfn.XLOOKUP(Follow[[#This Row],[Id Pedido]],Controle_Pedidos[Número Pedido Cliente],Controle_Pedidos[Loja])</f>
        <v>MEI</v>
      </c>
      <c r="E1014" s="9">
        <f>_xlfn.XLOOKUP(Follow[[#This Row],[Id Pedido]],Controle_Pedidos[Número Pedido Cliente],Controle_Pedidos[Prazo Entrega])</f>
        <v>45734</v>
      </c>
      <c r="F1014" s="9" t="s">
        <v>19433</v>
      </c>
      <c r="G1014" s="9" t="s">
        <v>255</v>
      </c>
      <c r="H1014" s="9" t="s">
        <v>179</v>
      </c>
      <c r="I1014" s="9" t="s">
        <v>178</v>
      </c>
      <c r="J1014" s="9">
        <v>45716</v>
      </c>
      <c r="K1014" s="8" t="s">
        <v>198</v>
      </c>
      <c r="L1014" s="8" t="s">
        <v>124</v>
      </c>
      <c r="M1014" s="8" t="s">
        <v>37</v>
      </c>
      <c r="N1014" s="52" t="str">
        <f>IF(Follow[[#This Row],[DATAATUALIZAÇÃO]]&lt;=Follow[[#This Row],[Prev Entrega]],"Dentro do Prazo","Fora do Prazo")</f>
        <v>Dentro do Prazo</v>
      </c>
      <c r="O101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28/02/2025, referente ao pedido Nº Pedido 1027 Rastreio CNBR00056167205, agradecemos a preferência e adoraríamos receber sua avaliação, tendo qualquer dúvida estamos à disposição.
Att
NTA Variedades</v>
      </c>
    </row>
    <row r="1015" spans="1:15">
      <c r="A1015" s="52" t="str">
        <f>_xlfn.XLOOKUP(Follow[[#This Row],[CODRASTREIO]],Controle_Pedidos[Cód Rastreamento],Controle_Pedidos[Número Pedido Cliente])</f>
        <v>Pedido 1028</v>
      </c>
      <c r="B1015" s="2" t="s">
        <v>18447</v>
      </c>
      <c r="C1015" s="2" t="str">
        <f>Follow[[#This Row],[CODRASTREIO]]&amp;" B"</f>
        <v>CódRastreio1005 B</v>
      </c>
      <c r="D1015" s="52" t="str">
        <f>_xlfn.XLOOKUP(Follow[[#This Row],[Id Pedido]],Controle_Pedidos[Número Pedido Cliente],Controle_Pedidos[Loja])</f>
        <v>BV</v>
      </c>
      <c r="E1015" s="9">
        <f>_xlfn.XLOOKUP(Follow[[#This Row],[Id Pedido]],Controle_Pedidos[Número Pedido Cliente],Controle_Pedidos[Prazo Entrega])</f>
        <v>45728</v>
      </c>
      <c r="F1015" s="9" t="s">
        <v>19433</v>
      </c>
      <c r="G1015" s="9" t="s">
        <v>37</v>
      </c>
      <c r="H1015" s="9" t="s">
        <v>178</v>
      </c>
      <c r="I1015" s="9" t="s">
        <v>178</v>
      </c>
      <c r="J1015" s="9">
        <v>45715</v>
      </c>
      <c r="K1015" s="8" t="s">
        <v>198</v>
      </c>
      <c r="L1015" s="8" t="s">
        <v>124</v>
      </c>
      <c r="M1015" s="8" t="s">
        <v>37</v>
      </c>
      <c r="N1015" s="52" t="str">
        <f>IF(Follow[[#This Row],[DATAATUALIZAÇÃO]]&lt;=Follow[[#This Row],[Prev Entrega]],"Dentro do Prazo","Fora do Prazo")</f>
        <v>Dentro do Prazo</v>
      </c>
      <c r="O10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27/02/2025, referente ao pedido Nº Pedido 1028 Rastreio Pedido 1028, agradecemos a preferência e adoraríamos receber sua avaliação, tendo qualquer dúvida estamos à disposição.
Att
Tem tudo Shop</v>
      </c>
    </row>
    <row r="1016" spans="1:15">
      <c r="A1016" s="52" t="str">
        <f>_xlfn.XLOOKUP(Follow[[#This Row],[CODRASTREIO]],Controle_Pedidos[Cód Rastreamento],Controle_Pedidos[Número Pedido Cliente])</f>
        <v>Pedido 1029</v>
      </c>
      <c r="B1016" s="2" t="s">
        <v>18448</v>
      </c>
      <c r="C1016" s="2" t="str">
        <f>Follow[[#This Row],[CODRASTREIO]]&amp;" B"</f>
        <v>CódRastreio1006 B</v>
      </c>
      <c r="D1016" s="52" t="str">
        <f>_xlfn.XLOOKUP(Follow[[#This Row],[Id Pedido]],Controle_Pedidos[Número Pedido Cliente],Controle_Pedidos[Loja])</f>
        <v>BV</v>
      </c>
      <c r="E1016" s="9">
        <f>_xlfn.XLOOKUP(Follow[[#This Row],[Id Pedido]],Controle_Pedidos[Número Pedido Cliente],Controle_Pedidos[Prazo Entrega])</f>
        <v>45734</v>
      </c>
      <c r="F1016" s="9" t="s">
        <v>19433</v>
      </c>
      <c r="G1016" s="9" t="s">
        <v>256</v>
      </c>
      <c r="H1016" s="9" t="s">
        <v>179</v>
      </c>
      <c r="I1016" s="9" t="s">
        <v>178</v>
      </c>
      <c r="J1016" s="9">
        <v>45722</v>
      </c>
      <c r="K1016" s="8" t="s">
        <v>198</v>
      </c>
      <c r="L1016" s="8" t="s">
        <v>124</v>
      </c>
      <c r="M1016" s="8" t="s">
        <v>37</v>
      </c>
      <c r="N1016" s="52" t="str">
        <f>IF(Follow[[#This Row],[DATAATUALIZAÇÃO]]&lt;=Follow[[#This Row],[Prev Entrega]],"Dentro do Prazo","Fora do Prazo")</f>
        <v>Dentro do Prazo</v>
      </c>
      <c r="O1016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06/03/2025, referente ao pedido Nº Pedido 1029 Rastreio NM756669152BR, agradecemos a preferência e adoraríamos receber sua avaliação, tendo qualquer dúvida estamos à disposição.
Att
Tem tudo Shop</v>
      </c>
    </row>
    <row r="1017" spans="1:15">
      <c r="A1017" s="52" t="str">
        <f>_xlfn.XLOOKUP(Follow[[#This Row],[CODRASTREIO]],Controle_Pedidos[Cód Rastreamento],Controle_Pedidos[Número Pedido Cliente])</f>
        <v>Pedido 1030</v>
      </c>
      <c r="B1017" s="2" t="s">
        <v>18449</v>
      </c>
      <c r="C1017" s="2" t="str">
        <f>Follow[[#This Row],[CODRASTREIO]]&amp;" B"</f>
        <v>CódRastreio1007 B</v>
      </c>
      <c r="D1017" s="52" t="str">
        <f>_xlfn.XLOOKUP(Follow[[#This Row],[Id Pedido]],Controle_Pedidos[Número Pedido Cliente],Controle_Pedidos[Loja])</f>
        <v>BV</v>
      </c>
      <c r="E1017" s="9">
        <f>_xlfn.XLOOKUP(Follow[[#This Row],[Id Pedido]],Controle_Pedidos[Número Pedido Cliente],Controle_Pedidos[Prazo Entrega])</f>
        <v>45741</v>
      </c>
      <c r="F1017" s="9" t="s">
        <v>19433</v>
      </c>
      <c r="G1017" s="9" t="s">
        <v>37</v>
      </c>
      <c r="H1017" s="9" t="s">
        <v>178</v>
      </c>
      <c r="I1017" s="9" t="s">
        <v>178</v>
      </c>
      <c r="J1017" s="9">
        <v>45734</v>
      </c>
      <c r="K1017" s="8" t="s">
        <v>198</v>
      </c>
      <c r="L1017" s="8" t="s">
        <v>124</v>
      </c>
      <c r="M1017" s="8" t="s">
        <v>208</v>
      </c>
      <c r="N1017" s="52" t="str">
        <f>IF(Follow[[#This Row],[DATAATUALIZAÇÃO]]&lt;=Follow[[#This Row],[Prev Entrega]],"Dentro do Prazo","Fora do Prazo")</f>
        <v>Dentro do Prazo</v>
      </c>
      <c r="O10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18/03/2025, referente ao pedido Nº Pedido 1030 Rastreio Pedido 1030, agradecemos a preferência e adoraríamos receber sua avaliação, tendo qualquer dúvida estamos à disposição.
Att
Tem tudo Shop</v>
      </c>
    </row>
    <row r="1018" spans="1:15">
      <c r="A1018" s="52" t="str">
        <f>_xlfn.XLOOKUP(Follow[[#This Row],[CODRASTREIO]],Controle_Pedidos[Cód Rastreamento],Controle_Pedidos[Número Pedido Cliente])</f>
        <v>Pedido 1031</v>
      </c>
      <c r="B1018" s="2" t="s">
        <v>18450</v>
      </c>
      <c r="C1018" s="2" t="str">
        <f>Follow[[#This Row],[CODRASTREIO]]&amp;" B"</f>
        <v>CódRastreio1008 B</v>
      </c>
      <c r="D1018" s="52" t="str">
        <f>_xlfn.XLOOKUP(Follow[[#This Row],[Id Pedido]],Controle_Pedidos[Número Pedido Cliente],Controle_Pedidos[Loja])</f>
        <v>BV</v>
      </c>
      <c r="E1018" s="9">
        <f>_xlfn.XLOOKUP(Follow[[#This Row],[Id Pedido]],Controle_Pedidos[Número Pedido Cliente],Controle_Pedidos[Prazo Entrega])</f>
        <v>45729</v>
      </c>
      <c r="F1018" s="9" t="s">
        <v>19433</v>
      </c>
      <c r="G1018" s="9" t="s">
        <v>37</v>
      </c>
      <c r="H1018" s="9" t="s">
        <v>178</v>
      </c>
      <c r="I1018" s="9" t="s">
        <v>178</v>
      </c>
      <c r="J1018" s="9">
        <v>45714</v>
      </c>
      <c r="K1018" s="8" t="s">
        <v>198</v>
      </c>
      <c r="L1018" s="8" t="s">
        <v>124</v>
      </c>
      <c r="M1018" s="8" t="s">
        <v>37</v>
      </c>
      <c r="N1018" s="52" t="str">
        <f>IF(Follow[[#This Row],[DATAATUALIZAÇÃO]]&lt;=Follow[[#This Row],[Prev Entrega]],"Dentro do Prazo","Fora do Prazo")</f>
        <v>Dentro do Prazo</v>
      </c>
      <c r="O10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26/02/2025, referente ao pedido Nº Pedido 1031 Rastreio Pedido 1031, agradecemos a preferência e adoraríamos receber sua avaliação, tendo qualquer dúvida estamos à disposição.
Att
Tem tudo Shop</v>
      </c>
    </row>
    <row r="1019" spans="1:15">
      <c r="A1019" s="52" t="str">
        <f>_xlfn.XLOOKUP(Follow[[#This Row],[CODRASTREIO]],Controle_Pedidos[Cód Rastreamento],Controle_Pedidos[Número Pedido Cliente])</f>
        <v>Pedido 1032</v>
      </c>
      <c r="B1019" s="2" t="s">
        <v>18451</v>
      </c>
      <c r="C1019" s="2" t="str">
        <f>Follow[[#This Row],[CODRASTREIO]]&amp;" B"</f>
        <v>CódRastreio1009 B</v>
      </c>
      <c r="D1019" s="52" t="str">
        <f>_xlfn.XLOOKUP(Follow[[#This Row],[Id Pedido]],Controle_Pedidos[Número Pedido Cliente],Controle_Pedidos[Loja])</f>
        <v>BV</v>
      </c>
      <c r="E1019" s="9">
        <f>_xlfn.XLOOKUP(Follow[[#This Row],[Id Pedido]],Controle_Pedidos[Número Pedido Cliente],Controle_Pedidos[Prazo Entrega])</f>
        <v>45727</v>
      </c>
      <c r="F1019" s="9" t="s">
        <v>19433</v>
      </c>
      <c r="G1019" s="9" t="s">
        <v>37</v>
      </c>
      <c r="H1019" s="9" t="s">
        <v>178</v>
      </c>
      <c r="I1019" s="9" t="s">
        <v>178</v>
      </c>
      <c r="J1019" s="9">
        <v>45714</v>
      </c>
      <c r="K1019" s="8" t="s">
        <v>198</v>
      </c>
      <c r="L1019" s="8" t="s">
        <v>124</v>
      </c>
      <c r="M1019" s="8" t="s">
        <v>37</v>
      </c>
      <c r="N1019" s="52" t="str">
        <f>IF(Follow[[#This Row],[DATAATUALIZAÇÃO]]&lt;=Follow[[#This Row],[Prev Entrega]],"Dentro do Prazo","Fora do Prazo")</f>
        <v>Dentro do Prazo</v>
      </c>
      <c r="O10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Multi Processador USB 3 Laminas foi entregue no dia 26/02/2025, referente ao pedido Nº Pedido 1032 Rastreio Pedido 1032, agradecemos a preferência e adoraríamos receber sua avaliação, tendo qualquer dúvida estamos à disposição.
Att
Tem tudo Shop</v>
      </c>
    </row>
    <row r="1020" spans="1:15">
      <c r="A1020" s="52" t="str">
        <f>_xlfn.XLOOKUP(Follow[[#This Row],[CODRASTREIO]],Controle_Pedidos[Cód Rastreamento],Controle_Pedidos[Número Pedido Cliente])</f>
        <v>Pedido 1033</v>
      </c>
      <c r="B1020" s="2" t="s">
        <v>18452</v>
      </c>
      <c r="C1020" s="2" t="str">
        <f>Follow[[#This Row],[CODRASTREIO]]&amp;" B"</f>
        <v>CódRastreio1010 B</v>
      </c>
      <c r="D1020" s="52" t="str">
        <f>_xlfn.XLOOKUP(Follow[[#This Row],[Id Pedido]],Controle_Pedidos[Número Pedido Cliente],Controle_Pedidos[Loja])</f>
        <v>BV</v>
      </c>
      <c r="E1020" s="9">
        <f>_xlfn.XLOOKUP(Follow[[#This Row],[Id Pedido]],Controle_Pedidos[Número Pedido Cliente],Controle_Pedidos[Prazo Entrega])</f>
        <v>45735</v>
      </c>
      <c r="F1020" s="9" t="s">
        <v>19433</v>
      </c>
      <c r="G1020" s="9" t="s">
        <v>37</v>
      </c>
      <c r="H1020" s="9" t="s">
        <v>178</v>
      </c>
      <c r="I1020" s="9" t="s">
        <v>178</v>
      </c>
      <c r="J1020" s="9">
        <v>45721</v>
      </c>
      <c r="K1020" s="8" t="s">
        <v>198</v>
      </c>
      <c r="L1020" s="8" t="s">
        <v>124</v>
      </c>
      <c r="M1020" s="8" t="s">
        <v>37</v>
      </c>
      <c r="N1020" s="52" t="str">
        <f>IF(Follow[[#This Row],[DATAATUALIZAÇÃO]]&lt;=Follow[[#This Row],[Prev Entrega]],"Dentro do Prazo","Fora do Prazo")</f>
        <v>Dentro do Prazo</v>
      </c>
      <c r="O10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05/03/2025, referente ao pedido Nº Pedido 1033 Rastreio Pedido 1033, agradecemos a preferência e adoraríamos receber sua avaliação, tendo qualquer dúvida estamos à disposição.
Att
Tem tudo Shop</v>
      </c>
    </row>
    <row r="1021" spans="1:15">
      <c r="A1021" s="52" t="str">
        <f>_xlfn.XLOOKUP(Follow[[#This Row],[CODRASTREIO]],Controle_Pedidos[Cód Rastreamento],Controle_Pedidos[Número Pedido Cliente])</f>
        <v>Pedido 1034</v>
      </c>
      <c r="B1021" s="2" t="s">
        <v>18453</v>
      </c>
      <c r="C1021" s="2" t="str">
        <f>Follow[[#This Row],[CODRASTREIO]]&amp;" B"</f>
        <v>CódRastreio1011 B</v>
      </c>
      <c r="D1021" s="52" t="str">
        <f>_xlfn.XLOOKUP(Follow[[#This Row],[Id Pedido]],Controle_Pedidos[Número Pedido Cliente],Controle_Pedidos[Loja])</f>
        <v>GO</v>
      </c>
      <c r="E1021" s="9">
        <f>_xlfn.XLOOKUP(Follow[[#This Row],[Id Pedido]],Controle_Pedidos[Número Pedido Cliente],Controle_Pedidos[Prazo Entrega])</f>
        <v>45741</v>
      </c>
      <c r="F1021" s="9" t="s">
        <v>19433</v>
      </c>
      <c r="G1021" s="9" t="s">
        <v>257</v>
      </c>
      <c r="H1021" s="9" t="s">
        <v>179</v>
      </c>
      <c r="I1021" s="9" t="s">
        <v>178</v>
      </c>
      <c r="J1021" s="9">
        <v>45723</v>
      </c>
      <c r="K1021" s="8" t="s">
        <v>198</v>
      </c>
      <c r="L1021" s="8" t="s">
        <v>124</v>
      </c>
      <c r="M1021" s="8" t="s">
        <v>37</v>
      </c>
      <c r="N1021" s="52" t="str">
        <f>IF(Follow[[#This Row],[DATAATUALIZAÇÃO]]&lt;=Follow[[#This Row],[Prev Entrega]],"Dentro do Prazo","Fora do Prazo")</f>
        <v>Dentro do Prazo</v>
      </c>
      <c r="O10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Webcam foi entregue no dia 07/03/2025, referente ao pedido Nº Pedido 1034 Rastreio NM756664756BR, agradecemos a preferência e adoraríamos receber sua avaliação, tendo qualquer dúvida estamos à disposição.
Att
Sec Variedades</v>
      </c>
    </row>
    <row r="1022" spans="1:15">
      <c r="A1022" s="52" t="str">
        <f>_xlfn.XLOOKUP(Follow[[#This Row],[CODRASTREIO]],Controle_Pedidos[Cód Rastreamento],Controle_Pedidos[Número Pedido Cliente])</f>
        <v>Pedido 1035</v>
      </c>
      <c r="B1022" s="2" t="s">
        <v>18454</v>
      </c>
      <c r="C1022" s="2" t="str">
        <f>Follow[[#This Row],[CODRASTREIO]]&amp;" B"</f>
        <v>CódRastreio1012 B</v>
      </c>
      <c r="D1022" s="52" t="str">
        <f>_xlfn.XLOOKUP(Follow[[#This Row],[Id Pedido]],Controle_Pedidos[Número Pedido Cliente],Controle_Pedidos[Loja])</f>
        <v>BV</v>
      </c>
      <c r="E1022" s="9">
        <f>_xlfn.XLOOKUP(Follow[[#This Row],[Id Pedido]],Controle_Pedidos[Número Pedido Cliente],Controle_Pedidos[Prazo Entrega])</f>
        <v>45729</v>
      </c>
      <c r="F1022" s="9" t="s">
        <v>19433</v>
      </c>
      <c r="G1022" s="9" t="s">
        <v>37</v>
      </c>
      <c r="H1022" s="9" t="s">
        <v>178</v>
      </c>
      <c r="I1022" s="9" t="s">
        <v>178</v>
      </c>
      <c r="J1022" s="9">
        <v>45723</v>
      </c>
      <c r="K1022" s="8" t="s">
        <v>198</v>
      </c>
      <c r="L1022" s="8" t="s">
        <v>124</v>
      </c>
      <c r="M1022" s="8" t="s">
        <v>208</v>
      </c>
      <c r="N1022" s="52" t="str">
        <f>IF(Follow[[#This Row],[DATAATUALIZAÇÃO]]&lt;=Follow[[#This Row],[Prev Entrega]],"Dentro do Prazo","Fora do Prazo")</f>
        <v>Dentro do Prazo</v>
      </c>
      <c r="O102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07/03/2025, referente ao pedido Nº Pedido 1035 Rastreio Pedido 1035, agradecemos a preferência e adoraríamos receber sua avaliação, tendo qualquer dúvida estamos à disposição.
Att
Tem tudo Shop</v>
      </c>
    </row>
    <row r="1023" spans="1:15">
      <c r="A1023" s="52" t="str">
        <f>_xlfn.XLOOKUP(Follow[[#This Row],[CODRASTREIO]],Controle_Pedidos[Cód Rastreamento],Controle_Pedidos[Número Pedido Cliente])</f>
        <v>Pedido 1036</v>
      </c>
      <c r="B1023" s="2" t="s">
        <v>18455</v>
      </c>
      <c r="C1023" s="2" t="str">
        <f>Follow[[#This Row],[CODRASTREIO]]&amp;" B"</f>
        <v>CódRastreio1013 B</v>
      </c>
      <c r="D1023" s="52" t="str">
        <f>_xlfn.XLOOKUP(Follow[[#This Row],[Id Pedido]],Controle_Pedidos[Número Pedido Cliente],Controle_Pedidos[Loja])</f>
        <v>BV</v>
      </c>
      <c r="E1023" s="9">
        <f>_xlfn.XLOOKUP(Follow[[#This Row],[Id Pedido]],Controle_Pedidos[Número Pedido Cliente],Controle_Pedidos[Prazo Entrega])</f>
        <v>45735</v>
      </c>
      <c r="F1023" s="9" t="s">
        <v>19433</v>
      </c>
      <c r="G1023" s="9" t="s">
        <v>37</v>
      </c>
      <c r="H1023" s="9" t="s">
        <v>178</v>
      </c>
      <c r="I1023" s="9" t="s">
        <v>178</v>
      </c>
      <c r="J1023" s="9">
        <v>45745</v>
      </c>
      <c r="K1023" s="8" t="s">
        <v>198</v>
      </c>
      <c r="L1023" s="8" t="s">
        <v>124</v>
      </c>
      <c r="M1023" s="8" t="s">
        <v>104</v>
      </c>
      <c r="N1023" s="52" t="str">
        <f>IF(Follow[[#This Row],[DATAATUALIZAÇÃO]]&lt;=Follow[[#This Row],[Prev Entrega]],"Dentro do Prazo","Fora do Prazo")</f>
        <v>Fora do Prazo</v>
      </c>
      <c r="O102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29/03/2025, referente ao pedido Nº Pedido 1036 Rastreio Pedido 1036, agradecemos a preferência e adoraríamos receber sua avaliação, tendo qualquer dúvida estamos à disposição.
Att
Tem tudo Shop</v>
      </c>
    </row>
    <row r="1024" spans="1:15">
      <c r="A1024" s="52" t="str">
        <f>_xlfn.XLOOKUP(Follow[[#This Row],[CODRASTREIO]],Controle_Pedidos[Cód Rastreamento],Controle_Pedidos[Número Pedido Cliente])</f>
        <v>Pedido 1037</v>
      </c>
      <c r="B1024" s="2" t="s">
        <v>18456</v>
      </c>
      <c r="C1024" s="2" t="str">
        <f>Follow[[#This Row],[CODRASTREIO]]&amp;" B"</f>
        <v>CódRastreio1014 B</v>
      </c>
      <c r="D1024" s="52" t="str">
        <f>_xlfn.XLOOKUP(Follow[[#This Row],[Id Pedido]],Controle_Pedidos[Número Pedido Cliente],Controle_Pedidos[Loja])</f>
        <v>BV</v>
      </c>
      <c r="E1024" s="9">
        <f>_xlfn.XLOOKUP(Follow[[#This Row],[Id Pedido]],Controle_Pedidos[Número Pedido Cliente],Controle_Pedidos[Prazo Entrega])</f>
        <v>45735</v>
      </c>
      <c r="F1024" s="9" t="s">
        <v>19433</v>
      </c>
      <c r="G1024" s="9" t="s">
        <v>37</v>
      </c>
      <c r="H1024" s="9" t="s">
        <v>178</v>
      </c>
      <c r="I1024" s="9" t="s">
        <v>178</v>
      </c>
      <c r="J1024" s="9">
        <v>45717</v>
      </c>
      <c r="K1024" s="8" t="s">
        <v>198</v>
      </c>
      <c r="L1024" s="8" t="s">
        <v>124</v>
      </c>
      <c r="M1024" s="8" t="s">
        <v>37</v>
      </c>
      <c r="N1024" s="52" t="str">
        <f>IF(Follow[[#This Row],[DATAATUALIZAÇÃO]]&lt;=Follow[[#This Row],[Prev Entrega]],"Dentro do Prazo","Fora do Prazo")</f>
        <v>Dentro do Prazo</v>
      </c>
      <c r="O10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01/03/2025, referente ao pedido Nº Pedido 1037 Rastreio Pedido 1037, agradecemos a preferência e adoraríamos receber sua avaliação, tendo qualquer dúvida estamos à disposição.
Att
Tem tudo Shop</v>
      </c>
    </row>
    <row r="1025" spans="1:15">
      <c r="A1025" s="52" t="str">
        <f>_xlfn.XLOOKUP(Follow[[#This Row],[CODRASTREIO]],Controle_Pedidos[Cód Rastreamento],Controle_Pedidos[Número Pedido Cliente])</f>
        <v>Pedido 1039</v>
      </c>
      <c r="B1025" s="2" t="s">
        <v>18458</v>
      </c>
      <c r="C1025" s="2" t="str">
        <f>Follow[[#This Row],[CODRASTREIO]]&amp;" B"</f>
        <v>CódRastreio1016 B</v>
      </c>
      <c r="D1025" s="52" t="str">
        <f>_xlfn.XLOOKUP(Follow[[#This Row],[Id Pedido]],Controle_Pedidos[Número Pedido Cliente],Controle_Pedidos[Loja])</f>
        <v>BV</v>
      </c>
      <c r="E1025" s="9">
        <f>_xlfn.XLOOKUP(Follow[[#This Row],[Id Pedido]],Controle_Pedidos[Número Pedido Cliente],Controle_Pedidos[Prazo Entrega])</f>
        <v>45729</v>
      </c>
      <c r="F1025" s="9" t="s">
        <v>19433</v>
      </c>
      <c r="G1025" s="9" t="s">
        <v>37</v>
      </c>
      <c r="H1025" s="9" t="s">
        <v>178</v>
      </c>
      <c r="I1025" s="9" t="s">
        <v>178</v>
      </c>
      <c r="J1025" s="9">
        <v>45714</v>
      </c>
      <c r="K1025" s="8" t="s">
        <v>198</v>
      </c>
      <c r="L1025" s="8" t="s">
        <v>124</v>
      </c>
      <c r="M1025" s="8" t="s">
        <v>37</v>
      </c>
      <c r="N1025" s="52" t="str">
        <f>IF(Follow[[#This Row],[DATAATUALIZAÇÃO]]&lt;=Follow[[#This Row],[Prev Entrega]],"Dentro do Prazo","Fora do Prazo")</f>
        <v>Dentro do Prazo</v>
      </c>
      <c r="O102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26/02/2025, referente ao pedido Nº Pedido 1039 Rastreio Pedido 1039, agradecemos a preferência e adoraríamos receber sua avaliação, tendo qualquer dúvida estamos à disposição.
Att
Tem tudo Shop</v>
      </c>
    </row>
    <row r="1026" spans="1:15">
      <c r="A1026" s="52" t="str">
        <f>_xlfn.XLOOKUP(Follow[[#This Row],[CODRASTREIO]],Controle_Pedidos[Cód Rastreamento],Controle_Pedidos[Número Pedido Cliente])</f>
        <v>Pedido 1040</v>
      </c>
      <c r="B1026" s="2" t="s">
        <v>18459</v>
      </c>
      <c r="C1026" s="2" t="str">
        <f>Follow[[#This Row],[CODRASTREIO]]&amp;" B"</f>
        <v>CódRastreio1017 B</v>
      </c>
      <c r="D1026" s="52" t="str">
        <f>_xlfn.XLOOKUP(Follow[[#This Row],[Id Pedido]],Controle_Pedidos[Número Pedido Cliente],Controle_Pedidos[Loja])</f>
        <v>BV</v>
      </c>
      <c r="E1026" s="9">
        <f>_xlfn.XLOOKUP(Follow[[#This Row],[Id Pedido]],Controle_Pedidos[Número Pedido Cliente],Controle_Pedidos[Prazo Entrega])</f>
        <v>45742</v>
      </c>
      <c r="F1026" s="9" t="s">
        <v>19433</v>
      </c>
      <c r="G1026" s="9" t="s">
        <v>37</v>
      </c>
      <c r="H1026" s="9" t="s">
        <v>178</v>
      </c>
      <c r="I1026" s="9" t="s">
        <v>178</v>
      </c>
      <c r="J1026" s="9">
        <v>45719</v>
      </c>
      <c r="K1026" s="8" t="s">
        <v>198</v>
      </c>
      <c r="L1026" s="8" t="s">
        <v>124</v>
      </c>
      <c r="M1026" s="8" t="s">
        <v>37</v>
      </c>
      <c r="N1026" s="52" t="str">
        <f>IF(Follow[[#This Row],[DATAATUALIZAÇÃO]]&lt;=Follow[[#This Row],[Prev Entrega]],"Dentro do Prazo","Fora do Prazo")</f>
        <v>Dentro do Prazo</v>
      </c>
      <c r="O10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03/03/2025, referente ao pedido Nº Pedido 1040 Rastreio Pedido 1040, agradecemos a preferência e adoraríamos receber sua avaliação, tendo qualquer dúvida estamos à disposição.
Att
Tem tudo Shop</v>
      </c>
    </row>
    <row r="1027" spans="1:15">
      <c r="A1027" s="52" t="str">
        <f>_xlfn.XLOOKUP(Follow[[#This Row],[CODRASTREIO]],Controle_Pedidos[Cód Rastreamento],Controle_Pedidos[Número Pedido Cliente])</f>
        <v>Pedido 1041</v>
      </c>
      <c r="B1027" s="2" t="s">
        <v>18460</v>
      </c>
      <c r="C1027" s="2" t="str">
        <f>Follow[[#This Row],[CODRASTREIO]]&amp;" B"</f>
        <v>CódRastreio1018 B</v>
      </c>
      <c r="D1027" s="52" t="str">
        <f>_xlfn.XLOOKUP(Follow[[#This Row],[Id Pedido]],Controle_Pedidos[Número Pedido Cliente],Controle_Pedidos[Loja])</f>
        <v>BV</v>
      </c>
      <c r="E1027" s="9">
        <f>_xlfn.XLOOKUP(Follow[[#This Row],[Id Pedido]],Controle_Pedidos[Número Pedido Cliente],Controle_Pedidos[Prazo Entrega])</f>
        <v>45730</v>
      </c>
      <c r="F1027" s="9" t="s">
        <v>19433</v>
      </c>
      <c r="G1027" s="9" t="s">
        <v>37</v>
      </c>
      <c r="H1027" s="9" t="s">
        <v>178</v>
      </c>
      <c r="I1027" s="9" t="s">
        <v>178</v>
      </c>
      <c r="J1027" s="9">
        <v>45723</v>
      </c>
      <c r="K1027" s="8" t="s">
        <v>198</v>
      </c>
      <c r="L1027" s="8" t="s">
        <v>124</v>
      </c>
      <c r="M1027" s="8" t="s">
        <v>203</v>
      </c>
      <c r="N1027" s="52" t="str">
        <f>IF(Follow[[#This Row],[DATAATUALIZAÇÃO]]&lt;=Follow[[#This Row],[Prev Entrega]],"Dentro do Prazo","Fora do Prazo")</f>
        <v>Dentro do Prazo</v>
      </c>
      <c r="O102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07/03/2025, referente ao pedido Nº Pedido 1041 Rastreio Pedido 1041, agradecemos a preferência e adoraríamos receber sua avaliação, tendo qualquer dúvida estamos à disposição.
Att
Tem tudo Shop</v>
      </c>
    </row>
    <row r="1028" spans="1:15">
      <c r="A1028" s="52" t="str">
        <f>_xlfn.XLOOKUP(Follow[[#This Row],[CODRASTREIO]],Controle_Pedidos[Cód Rastreamento],Controle_Pedidos[Número Pedido Cliente])</f>
        <v>Pedido 1042</v>
      </c>
      <c r="B1028" s="2" t="s">
        <v>18461</v>
      </c>
      <c r="C1028" s="2" t="str">
        <f>Follow[[#This Row],[CODRASTREIO]]&amp;" B"</f>
        <v>CódRastreio1019 B</v>
      </c>
      <c r="D1028" s="52" t="str">
        <f>_xlfn.XLOOKUP(Follow[[#This Row],[Id Pedido]],Controle_Pedidos[Número Pedido Cliente],Controle_Pedidos[Loja])</f>
        <v>BV</v>
      </c>
      <c r="E1028" s="9">
        <f>_xlfn.XLOOKUP(Follow[[#This Row],[Id Pedido]],Controle_Pedidos[Número Pedido Cliente],Controle_Pedidos[Prazo Entrega])</f>
        <v>45736</v>
      </c>
      <c r="F1028" s="9" t="s">
        <v>19433</v>
      </c>
      <c r="G1028" s="9" t="s">
        <v>258</v>
      </c>
      <c r="H1028" s="9" t="s">
        <v>179</v>
      </c>
      <c r="I1028" s="9" t="s">
        <v>178</v>
      </c>
      <c r="J1028" s="9">
        <v>45726</v>
      </c>
      <c r="K1028" s="8" t="s">
        <v>198</v>
      </c>
      <c r="L1028" s="8" t="s">
        <v>124</v>
      </c>
      <c r="M1028" s="8" t="s">
        <v>37</v>
      </c>
      <c r="N1028" s="52" t="str">
        <f>IF(Follow[[#This Row],[DATAATUALIZAÇÃO]]&lt;=Follow[[#This Row],[Prev Entrega]],"Dentro do Prazo","Fora do Prazo")</f>
        <v>Dentro do Prazo</v>
      </c>
      <c r="O102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10/03/2025, referente ao pedido Nº Pedido 1042 Rastreio CNBR00056752451, agradecemos a preferência e adoraríamos receber sua avaliação, tendo qualquer dúvida estamos à disposição.
Att
Tem tudo Shop</v>
      </c>
    </row>
    <row r="1029" spans="1:15">
      <c r="A1029" s="52" t="str">
        <f>_xlfn.XLOOKUP(Follow[[#This Row],[CODRASTREIO]],Controle_Pedidos[Cód Rastreamento],Controle_Pedidos[Número Pedido Cliente])</f>
        <v>Pedido 1043</v>
      </c>
      <c r="B1029" s="2" t="s">
        <v>18462</v>
      </c>
      <c r="C1029" s="2" t="str">
        <f>Follow[[#This Row],[CODRASTREIO]]&amp;" B"</f>
        <v>CódRastreio1020 B</v>
      </c>
      <c r="D1029" s="52" t="str">
        <f>_xlfn.XLOOKUP(Follow[[#This Row],[Id Pedido]],Controle_Pedidos[Número Pedido Cliente],Controle_Pedidos[Loja])</f>
        <v>MEI</v>
      </c>
      <c r="E1029" s="9">
        <f>_xlfn.XLOOKUP(Follow[[#This Row],[Id Pedido]],Controle_Pedidos[Número Pedido Cliente],Controle_Pedidos[Prazo Entrega])</f>
        <v>45735</v>
      </c>
      <c r="F1029" s="9" t="s">
        <v>19433</v>
      </c>
      <c r="G1029" s="9" t="s">
        <v>259</v>
      </c>
      <c r="H1029" s="9" t="s">
        <v>179</v>
      </c>
      <c r="I1029" s="9" t="s">
        <v>178</v>
      </c>
      <c r="J1029" s="9">
        <v>45722</v>
      </c>
      <c r="K1029" s="8" t="s">
        <v>198</v>
      </c>
      <c r="L1029" s="8" t="s">
        <v>124</v>
      </c>
      <c r="M1029" s="8" t="s">
        <v>37</v>
      </c>
      <c r="N1029" s="52" t="str">
        <f>IF(Follow[[#This Row],[DATAATUALIZAÇÃO]]&lt;=Follow[[#This Row],[Prev Entrega]],"Dentro do Prazo","Fora do Prazo")</f>
        <v>Dentro do Prazo</v>
      </c>
      <c r="O1029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1043 Rastreio NM758434543BR, agradecemos a preferência e adoraríamos receber sua avaliação, tendo qualquer dúvida estamos à disposição.
Att
NTA Variedades</v>
      </c>
    </row>
    <row r="1030" spans="1:15">
      <c r="A1030" s="52" t="str">
        <f>_xlfn.XLOOKUP(Follow[[#This Row],[CODRASTREIO]],Controle_Pedidos[Cód Rastreamento],Controle_Pedidos[Número Pedido Cliente])</f>
        <v>Pedido 1044</v>
      </c>
      <c r="B1030" s="2" t="s">
        <v>18463</v>
      </c>
      <c r="C1030" s="2" t="str">
        <f>Follow[[#This Row],[CODRASTREIO]]&amp;" B"</f>
        <v>CódRastreio1021 B</v>
      </c>
      <c r="D1030" s="52" t="str">
        <f>_xlfn.XLOOKUP(Follow[[#This Row],[Id Pedido]],Controle_Pedidos[Número Pedido Cliente],Controle_Pedidos[Loja])</f>
        <v>MEI</v>
      </c>
      <c r="E1030" s="9">
        <f>_xlfn.XLOOKUP(Follow[[#This Row],[Id Pedido]],Controle_Pedidos[Número Pedido Cliente],Controle_Pedidos[Prazo Entrega])</f>
        <v>45735</v>
      </c>
      <c r="F1030" s="9" t="s">
        <v>19433</v>
      </c>
      <c r="G1030" s="9" t="s">
        <v>260</v>
      </c>
      <c r="H1030" s="9" t="s">
        <v>179</v>
      </c>
      <c r="I1030" s="9" t="s">
        <v>178</v>
      </c>
      <c r="J1030" s="9">
        <v>45722</v>
      </c>
      <c r="K1030" s="8" t="s">
        <v>198</v>
      </c>
      <c r="L1030" s="8" t="s">
        <v>124</v>
      </c>
      <c r="M1030" s="8" t="s">
        <v>37</v>
      </c>
      <c r="N1030" s="52" t="str">
        <f>IF(Follow[[#This Row],[DATAATUALIZAÇÃO]]&lt;=Follow[[#This Row],[Prev Entrega]],"Dentro do Prazo","Fora do Prazo")</f>
        <v>Dentro do Prazo</v>
      </c>
      <c r="O103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1044 Rastreio NM758439656BR, agradecemos a preferência e adoraríamos receber sua avaliação, tendo qualquer dúvida estamos à disposição.
Att
NTA Variedades</v>
      </c>
    </row>
    <row r="1031" spans="1:15">
      <c r="A1031" s="52" t="str">
        <f>_xlfn.XLOOKUP(Follow[[#This Row],[CODRASTREIO]],Controle_Pedidos[Cód Rastreamento],Controle_Pedidos[Número Pedido Cliente])</f>
        <v>Pedido 1045</v>
      </c>
      <c r="B1031" s="2" t="s">
        <v>18464</v>
      </c>
      <c r="C1031" s="2" t="str">
        <f>Follow[[#This Row],[CODRASTREIO]]&amp;" B"</f>
        <v>CódRastreio1022 B</v>
      </c>
      <c r="D1031" s="52" t="str">
        <f>_xlfn.XLOOKUP(Follow[[#This Row],[Id Pedido]],Controle_Pedidos[Número Pedido Cliente],Controle_Pedidos[Loja])</f>
        <v>MEI</v>
      </c>
      <c r="E1031" s="9">
        <f>_xlfn.XLOOKUP(Follow[[#This Row],[Id Pedido]],Controle_Pedidos[Número Pedido Cliente],Controle_Pedidos[Prazo Entrega])</f>
        <v>45735</v>
      </c>
      <c r="F1031" s="9" t="s">
        <v>19433</v>
      </c>
      <c r="G1031" s="9" t="s">
        <v>261</v>
      </c>
      <c r="H1031" s="9" t="s">
        <v>179</v>
      </c>
      <c r="I1031" s="9" t="s">
        <v>178</v>
      </c>
      <c r="J1031" s="9">
        <v>45722</v>
      </c>
      <c r="K1031" s="8" t="s">
        <v>198</v>
      </c>
      <c r="L1031" s="8" t="s">
        <v>124</v>
      </c>
      <c r="M1031" s="8" t="s">
        <v>37</v>
      </c>
      <c r="N1031" s="52" t="str">
        <f>IF(Follow[[#This Row],[DATAATUALIZAÇÃO]]&lt;=Follow[[#This Row],[Prev Entrega]],"Dentro do Prazo","Fora do Prazo")</f>
        <v>Dentro do Prazo</v>
      </c>
      <c r="O103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1045 Rastreio NM758456835BR, agradecemos a preferência e adoraríamos receber sua avaliação, tendo qualquer dúvida estamos à disposição.
Att
NTA Variedades</v>
      </c>
    </row>
    <row r="1032" spans="1:15">
      <c r="A1032" s="52" t="str">
        <f>_xlfn.XLOOKUP(Follow[[#This Row],[CODRASTREIO]],Controle_Pedidos[Cód Rastreamento],Controle_Pedidos[Número Pedido Cliente])</f>
        <v>Pedido 1046</v>
      </c>
      <c r="B1032" s="2" t="s">
        <v>18465</v>
      </c>
      <c r="C1032" s="2" t="str">
        <f>Follow[[#This Row],[CODRASTREIO]]&amp;" B"</f>
        <v>CódRastreio1023 B</v>
      </c>
      <c r="D1032" s="52" t="str">
        <f>_xlfn.XLOOKUP(Follow[[#This Row],[Id Pedido]],Controle_Pedidos[Número Pedido Cliente],Controle_Pedidos[Loja])</f>
        <v>MEI</v>
      </c>
      <c r="E1032" s="9">
        <f>_xlfn.XLOOKUP(Follow[[#This Row],[Id Pedido]],Controle_Pedidos[Número Pedido Cliente],Controle_Pedidos[Prazo Entrega])</f>
        <v>45741</v>
      </c>
      <c r="F1032" s="9" t="s">
        <v>19433</v>
      </c>
      <c r="G1032" s="122" t="s">
        <v>262</v>
      </c>
      <c r="H1032" s="9" t="s">
        <v>179</v>
      </c>
      <c r="I1032" s="9" t="s">
        <v>178</v>
      </c>
      <c r="J1032" s="9">
        <v>45730</v>
      </c>
      <c r="K1032" s="8" t="s">
        <v>198</v>
      </c>
      <c r="L1032" s="8" t="s">
        <v>124</v>
      </c>
      <c r="M1032" s="8" t="s">
        <v>37</v>
      </c>
      <c r="N1032" s="52" t="str">
        <f>IF(Follow[[#This Row],[DATAATUALIZAÇÃO]]&lt;=Follow[[#This Row],[Prev Entrega]],"Dentro do Prazo","Fora do Prazo")</f>
        <v>Dentro do Prazo</v>
      </c>
      <c r="O10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14/03/2025, referente ao pedido Nº Pedido 1046 Rastreio NM758453922BR, agradecemos a preferência e adoraríamos receber sua avaliação, tendo qualquer dúvida estamos à disposição.
Att
NTA Variedades</v>
      </c>
    </row>
    <row r="1033" spans="1:15">
      <c r="A1033" s="52" t="str">
        <f>_xlfn.XLOOKUP(Follow[[#This Row],[CODRASTREIO]],Controle_Pedidos[Cód Rastreamento],Controle_Pedidos[Número Pedido Cliente])</f>
        <v>Pedido 1047</v>
      </c>
      <c r="B1033" s="2" t="s">
        <v>18466</v>
      </c>
      <c r="C1033" s="2" t="str">
        <f>Follow[[#This Row],[CODRASTREIO]]&amp;" B"</f>
        <v>CódRastreio1024 B</v>
      </c>
      <c r="D1033" s="52" t="str">
        <f>_xlfn.XLOOKUP(Follow[[#This Row],[Id Pedido]],Controle_Pedidos[Número Pedido Cliente],Controle_Pedidos[Loja])</f>
        <v>MEI</v>
      </c>
      <c r="E1033" s="9">
        <f>_xlfn.XLOOKUP(Follow[[#This Row],[Id Pedido]],Controle_Pedidos[Número Pedido Cliente],Controle_Pedidos[Prazo Entrega])</f>
        <v>45736</v>
      </c>
      <c r="F1033" s="9" t="s">
        <v>19433</v>
      </c>
      <c r="G1033" s="9" t="s">
        <v>263</v>
      </c>
      <c r="H1033" s="9" t="s">
        <v>179</v>
      </c>
      <c r="I1033" s="9" t="s">
        <v>178</v>
      </c>
      <c r="J1033" s="9">
        <v>45722</v>
      </c>
      <c r="K1033" s="8" t="s">
        <v>198</v>
      </c>
      <c r="L1033" s="8" t="s">
        <v>124</v>
      </c>
      <c r="M1033" s="8" t="s">
        <v>37</v>
      </c>
      <c r="N1033" s="52" t="str">
        <f>IF(Follow[[#This Row],[DATAATUALIZAÇÃO]]&lt;=Follow[[#This Row],[Prev Entrega]],"Dentro do Prazo","Fora do Prazo")</f>
        <v>Dentro do Prazo</v>
      </c>
      <c r="O1033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1047 Rastreio NM758477380BR, agradecemos a preferência e adoraríamos receber sua avaliação, tendo qualquer dúvida estamos à disposição.
Att
NTA Variedades</v>
      </c>
    </row>
    <row r="1034" spans="1:15">
      <c r="A1034" s="52" t="str">
        <f>_xlfn.XLOOKUP(Follow[[#This Row],[CODRASTREIO]],Controle_Pedidos[Cód Rastreamento],Controle_Pedidos[Número Pedido Cliente])</f>
        <v>Pedido 1048</v>
      </c>
      <c r="B1034" s="2" t="s">
        <v>18467</v>
      </c>
      <c r="C1034" s="2" t="str">
        <f>Follow[[#This Row],[CODRASTREIO]]&amp;" B"</f>
        <v>CódRastreio1025 B</v>
      </c>
      <c r="D1034" s="52" t="str">
        <f>_xlfn.XLOOKUP(Follow[[#This Row],[Id Pedido]],Controle_Pedidos[Número Pedido Cliente],Controle_Pedidos[Loja])</f>
        <v>MEI</v>
      </c>
      <c r="E1034" s="9">
        <f>_xlfn.XLOOKUP(Follow[[#This Row],[Id Pedido]],Controle_Pedidos[Número Pedido Cliente],Controle_Pedidos[Prazo Entrega])</f>
        <v>45736</v>
      </c>
      <c r="F1034" s="9" t="s">
        <v>19433</v>
      </c>
      <c r="G1034" s="9" t="s">
        <v>264</v>
      </c>
      <c r="H1034" s="9" t="s">
        <v>179</v>
      </c>
      <c r="I1034" s="9" t="s">
        <v>178</v>
      </c>
      <c r="J1034" s="9">
        <v>45726</v>
      </c>
      <c r="K1034" s="8" t="s">
        <v>198</v>
      </c>
      <c r="L1034" s="8" t="s">
        <v>124</v>
      </c>
      <c r="M1034" s="8" t="s">
        <v>37</v>
      </c>
      <c r="N1034" s="52" t="str">
        <f>IF(Follow[[#This Row],[DATAATUALIZAÇÃO]]&lt;=Follow[[#This Row],[Prev Entrega]],"Dentro do Prazo","Fora do Prazo")</f>
        <v>Dentro do Prazo</v>
      </c>
      <c r="O103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10/03/2025, referente ao pedido Nº Pedido 1048 Rastreio NM758480698BR, agradecemos a preferência e adoraríamos receber sua avaliação, tendo qualquer dúvida estamos à disposição.
Att
NTA Variedades</v>
      </c>
    </row>
    <row r="1035" spans="1:15">
      <c r="A1035" s="52" t="str">
        <f>_xlfn.XLOOKUP(Follow[[#This Row],[CODRASTREIO]],Controle_Pedidos[Cód Rastreamento],Controle_Pedidos[Número Pedido Cliente])</f>
        <v>Pedido 1049</v>
      </c>
      <c r="B1035" s="2" t="s">
        <v>18468</v>
      </c>
      <c r="C1035" s="2" t="str">
        <f>Follow[[#This Row],[CODRASTREIO]]&amp;" B"</f>
        <v>CódRastreio1026 B</v>
      </c>
      <c r="D1035" s="52" t="str">
        <f>_xlfn.XLOOKUP(Follow[[#This Row],[Id Pedido]],Controle_Pedidos[Número Pedido Cliente],Controle_Pedidos[Loja])</f>
        <v>MEI</v>
      </c>
      <c r="E1035" s="9">
        <f>_xlfn.XLOOKUP(Follow[[#This Row],[Id Pedido]],Controle_Pedidos[Número Pedido Cliente],Controle_Pedidos[Prazo Entrega])</f>
        <v>45736</v>
      </c>
      <c r="F1035" s="9" t="s">
        <v>19433</v>
      </c>
      <c r="G1035" s="9" t="s">
        <v>265</v>
      </c>
      <c r="H1035" s="9" t="s">
        <v>179</v>
      </c>
      <c r="I1035" s="9" t="s">
        <v>178</v>
      </c>
      <c r="J1035" s="9">
        <v>45722</v>
      </c>
      <c r="K1035" s="8" t="s">
        <v>198</v>
      </c>
      <c r="L1035" s="8" t="s">
        <v>124</v>
      </c>
      <c r="M1035" s="8" t="s">
        <v>37</v>
      </c>
      <c r="N1035" s="52" t="str">
        <f>IF(Follow[[#This Row],[DATAATUALIZAÇÃO]]&lt;=Follow[[#This Row],[Prev Entrega]],"Dentro do Prazo","Fora do Prazo")</f>
        <v>Dentro do Prazo</v>
      </c>
      <c r="O103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06/03/2025, referente ao pedido Nº Pedido 1049 Rastreio NM758490001BR, agradecemos a preferência e adoraríamos receber sua avaliação, tendo qualquer dúvida estamos à disposição.
Att
NTA Variedades</v>
      </c>
    </row>
    <row r="1036" spans="1:15">
      <c r="A1036" s="52" t="str">
        <f>_xlfn.XLOOKUP(Follow[[#This Row],[CODRASTREIO]],Controle_Pedidos[Cód Rastreamento],Controle_Pedidos[Número Pedido Cliente])</f>
        <v>Pedido 1051</v>
      </c>
      <c r="B1036" s="2" t="s">
        <v>18470</v>
      </c>
      <c r="C1036" s="2" t="str">
        <f>Follow[[#This Row],[CODRASTREIO]]&amp;" B"</f>
        <v>CódRastreio1028 B</v>
      </c>
      <c r="D1036" s="52" t="str">
        <f>_xlfn.XLOOKUP(Follow[[#This Row],[Id Pedido]],Controle_Pedidos[Número Pedido Cliente],Controle_Pedidos[Loja])</f>
        <v>BV</v>
      </c>
      <c r="E1036" s="9">
        <f>_xlfn.XLOOKUP(Follow[[#This Row],[Id Pedido]],Controle_Pedidos[Número Pedido Cliente],Controle_Pedidos[Prazo Entrega])</f>
        <v>45731</v>
      </c>
      <c r="F1036" s="9" t="s">
        <v>19433</v>
      </c>
      <c r="G1036" s="9" t="s">
        <v>37</v>
      </c>
      <c r="H1036" s="52" t="s">
        <v>178</v>
      </c>
      <c r="I1036" s="9" t="s">
        <v>178</v>
      </c>
      <c r="J1036" s="55">
        <v>45716</v>
      </c>
      <c r="K1036" s="54" t="s">
        <v>198</v>
      </c>
      <c r="L1036" s="8" t="s">
        <v>124</v>
      </c>
      <c r="M1036" s="8" t="s">
        <v>37</v>
      </c>
      <c r="N1036" s="52" t="str">
        <f>IF(Follow[[#This Row],[DATAATUALIZAÇÃO]]&lt;=Follow[[#This Row],[Prev Entrega]],"Dentro do Prazo","Fora do Prazo")</f>
        <v>Dentro do Prazo</v>
      </c>
      <c r="O10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28/02/2025, referente ao pedido Nº Pedido 1051 Rastreio Pedido 1051, agradecemos a preferência e adoraríamos receber sua avaliação, tendo qualquer dúvida estamos à disposição.
Att
Tem tudo Shop</v>
      </c>
    </row>
    <row r="1037" spans="1:15">
      <c r="A1037" s="52" t="str">
        <f>_xlfn.XLOOKUP(Follow[[#This Row],[CODRASTREIO]],Controle_Pedidos[Cód Rastreamento],Controle_Pedidos[Número Pedido Cliente])</f>
        <v>Pedido 1053</v>
      </c>
      <c r="B1037" s="2" t="s">
        <v>18472</v>
      </c>
      <c r="C1037" s="2" t="str">
        <f>Follow[[#This Row],[CODRASTREIO]]&amp;" B"</f>
        <v>CódRastreio1030 B</v>
      </c>
      <c r="D1037" s="52" t="str">
        <f>_xlfn.XLOOKUP(Follow[[#This Row],[Id Pedido]],Controle_Pedidos[Número Pedido Cliente],Controle_Pedidos[Loja])</f>
        <v>BV</v>
      </c>
      <c r="E1037" s="9">
        <f>_xlfn.XLOOKUP(Follow[[#This Row],[Id Pedido]],Controle_Pedidos[Número Pedido Cliente],Controle_Pedidos[Prazo Entrega])</f>
        <v>45738</v>
      </c>
      <c r="F1037" s="9" t="s">
        <v>19433</v>
      </c>
      <c r="G1037" s="122" t="s">
        <v>266</v>
      </c>
      <c r="H1037" s="9" t="s">
        <v>179</v>
      </c>
      <c r="I1037" s="9" t="s">
        <v>178</v>
      </c>
      <c r="J1037" s="9">
        <v>45729</v>
      </c>
      <c r="K1037" s="8" t="s">
        <v>198</v>
      </c>
      <c r="L1037" s="8" t="s">
        <v>124</v>
      </c>
      <c r="M1037" s="8" t="s">
        <v>37</v>
      </c>
      <c r="N1037" s="52" t="str">
        <f>IF(Follow[[#This Row],[DATAATUALIZAÇÃO]]&lt;=Follow[[#This Row],[Prev Entrega]],"Dentro do Prazo","Fora do Prazo")</f>
        <v>Dentro do Prazo</v>
      </c>
      <c r="O10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13/03/2025, referente ao pedido Nº Pedido 1053 Rastreio NM759758877BR, agradecemos a preferência e adoraríamos receber sua avaliação, tendo qualquer dúvida estamos à disposição.
Att
Tem tudo Shop</v>
      </c>
    </row>
    <row r="1038" spans="1:15">
      <c r="A1038" s="52" t="str">
        <f>_xlfn.XLOOKUP(Follow[[#This Row],[CODRASTREIO]],Controle_Pedidos[Cód Rastreamento],Controle_Pedidos[Número Pedido Cliente])</f>
        <v>Pedido 1054</v>
      </c>
      <c r="B1038" s="2" t="s">
        <v>18473</v>
      </c>
      <c r="C1038" s="2" t="str">
        <f>Follow[[#This Row],[CODRASTREIO]]&amp;" B"</f>
        <v>CódRastreio1031 B</v>
      </c>
      <c r="D1038" s="52" t="str">
        <f>_xlfn.XLOOKUP(Follow[[#This Row],[Id Pedido]],Controle_Pedidos[Número Pedido Cliente],Controle_Pedidos[Loja])</f>
        <v>BV</v>
      </c>
      <c r="E1038" s="9">
        <f>_xlfn.XLOOKUP(Follow[[#This Row],[Id Pedido]],Controle_Pedidos[Número Pedido Cliente],Controle_Pedidos[Prazo Entrega])</f>
        <v>45738</v>
      </c>
      <c r="F1038" s="9" t="s">
        <v>19433</v>
      </c>
      <c r="G1038" s="9" t="s">
        <v>267</v>
      </c>
      <c r="H1038" s="52" t="s">
        <v>179</v>
      </c>
      <c r="I1038" s="9" t="s">
        <v>178</v>
      </c>
      <c r="J1038" s="55">
        <v>45728.609050925923</v>
      </c>
      <c r="K1038" s="54" t="s">
        <v>198</v>
      </c>
      <c r="L1038" s="8" t="s">
        <v>124</v>
      </c>
      <c r="M1038" s="8" t="s">
        <v>37</v>
      </c>
      <c r="N1038" s="52" t="str">
        <f>IF(Follow[[#This Row],[DATAATUALIZAÇÃO]]&lt;=Follow[[#This Row],[Prev Entrega]],"Dentro do Prazo","Fora do Prazo")</f>
        <v>Dentro do Prazo</v>
      </c>
      <c r="O10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12/03/2025, referente ao pedido Nº Pedido 1054 Rastreio NM759768239BR, agradecemos a preferência e adoraríamos receber sua avaliação, tendo qualquer dúvida estamos à disposição.
Att
Tem tudo Shop</v>
      </c>
    </row>
    <row r="1039" spans="1:15">
      <c r="A1039" s="52" t="str">
        <f>_xlfn.XLOOKUP(Follow[[#This Row],[CODRASTREIO]],Controle_Pedidos[Cód Rastreamento],Controle_Pedidos[Número Pedido Cliente])</f>
        <v>Pedido 1055</v>
      </c>
      <c r="B1039" s="2" t="s">
        <v>18474</v>
      </c>
      <c r="C1039" s="2" t="str">
        <f>Follow[[#This Row],[CODRASTREIO]]&amp;" B"</f>
        <v>CódRastreio1032 B</v>
      </c>
      <c r="D1039" s="52" t="str">
        <f>_xlfn.XLOOKUP(Follow[[#This Row],[Id Pedido]],Controle_Pedidos[Número Pedido Cliente],Controle_Pedidos[Loja])</f>
        <v>MEI</v>
      </c>
      <c r="E1039" s="9">
        <f>_xlfn.XLOOKUP(Follow[[#This Row],[Id Pedido]],Controle_Pedidos[Número Pedido Cliente],Controle_Pedidos[Prazo Entrega])</f>
        <v>45731</v>
      </c>
      <c r="F1039" s="9" t="s">
        <v>19433</v>
      </c>
      <c r="G1039" s="9" t="s">
        <v>37</v>
      </c>
      <c r="H1039" s="52" t="s">
        <v>178</v>
      </c>
      <c r="I1039" s="9" t="s">
        <v>178</v>
      </c>
      <c r="J1039" s="55">
        <v>45716</v>
      </c>
      <c r="K1039" s="54" t="s">
        <v>198</v>
      </c>
      <c r="L1039" s="8" t="s">
        <v>124</v>
      </c>
      <c r="M1039" s="8" t="s">
        <v>37</v>
      </c>
      <c r="N1039" s="52" t="str">
        <f>IF(Follow[[#This Row],[DATAATUALIZAÇÃO]]&lt;=Follow[[#This Row],[Prev Entrega]],"Dentro do Prazo","Fora do Prazo")</f>
        <v>Dentro do Prazo</v>
      </c>
      <c r="O10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28/02/2025, referente ao pedido Nº Pedido 1055 Rastreio Pedido 1055, agradecemos a preferência e adoraríamos receber sua avaliação, tendo qualquer dúvida estamos à disposição.
Att
NTA Variedades</v>
      </c>
    </row>
    <row r="1040" spans="1:15">
      <c r="A1040" s="52" t="str">
        <f>_xlfn.XLOOKUP(Follow[[#This Row],[CODRASTREIO]],Controle_Pedidos[Cód Rastreamento],Controle_Pedidos[Número Pedido Cliente])</f>
        <v>Pedido 1056</v>
      </c>
      <c r="B1040" s="2" t="s">
        <v>18475</v>
      </c>
      <c r="C1040" s="2" t="str">
        <f>Follow[[#This Row],[CODRASTREIO]]&amp;" B"</f>
        <v>CódRastreio1033 B</v>
      </c>
      <c r="D1040" s="52" t="str">
        <f>_xlfn.XLOOKUP(Follow[[#This Row],[Id Pedido]],Controle_Pedidos[Número Pedido Cliente],Controle_Pedidos[Loja])</f>
        <v>MEI</v>
      </c>
      <c r="E1040" s="9">
        <f>_xlfn.XLOOKUP(Follow[[#This Row],[Id Pedido]],Controle_Pedidos[Número Pedido Cliente],Controle_Pedidos[Prazo Entrega])</f>
        <v>45744</v>
      </c>
      <c r="F1040" s="9" t="s">
        <v>19433</v>
      </c>
      <c r="G1040" s="9" t="s">
        <v>37</v>
      </c>
      <c r="H1040" s="52" t="s">
        <v>178</v>
      </c>
      <c r="I1040" s="9" t="s">
        <v>178</v>
      </c>
      <c r="J1040" s="55">
        <v>45721</v>
      </c>
      <c r="K1040" s="54" t="s">
        <v>198</v>
      </c>
      <c r="L1040" s="8" t="s">
        <v>124</v>
      </c>
      <c r="M1040" s="8" t="s">
        <v>37</v>
      </c>
      <c r="N1040" s="52" t="str">
        <f>IF(Follow[[#This Row],[DATAATUALIZAÇÃO]]&lt;=Follow[[#This Row],[Prev Entrega]],"Dentro do Prazo","Fora do Prazo")</f>
        <v>Dentro do Prazo</v>
      </c>
      <c r="O10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05/03/2025, referente ao pedido Nº Pedido 1056 Rastreio Pedido 1056, agradecemos a preferência e adoraríamos receber sua avaliação, tendo qualquer dúvida estamos à disposição.
Att
NTA Variedades</v>
      </c>
    </row>
    <row r="1041" spans="1:15">
      <c r="A1041" s="52" t="str">
        <f>_xlfn.XLOOKUP(Follow[[#This Row],[CODRASTREIO]],Controle_Pedidos[Cód Rastreamento],Controle_Pedidos[Número Pedido Cliente])</f>
        <v>Pedido 1057</v>
      </c>
      <c r="B1041" s="2" t="s">
        <v>18476</v>
      </c>
      <c r="C1041" s="2" t="str">
        <f>Follow[[#This Row],[CODRASTREIO]]&amp;" B"</f>
        <v>CódRastreio1034 B</v>
      </c>
      <c r="D1041" s="52" t="str">
        <f>_xlfn.XLOOKUP(Follow[[#This Row],[Id Pedido]],Controle_Pedidos[Número Pedido Cliente],Controle_Pedidos[Loja])</f>
        <v>MEI</v>
      </c>
      <c r="E1041" s="9">
        <f>_xlfn.XLOOKUP(Follow[[#This Row],[Id Pedido]],Controle_Pedidos[Número Pedido Cliente],Controle_Pedidos[Prazo Entrega])</f>
        <v>45744</v>
      </c>
      <c r="F1041" s="9" t="s">
        <v>19433</v>
      </c>
      <c r="G1041" s="9" t="s">
        <v>37</v>
      </c>
      <c r="H1041" s="9" t="s">
        <v>178</v>
      </c>
      <c r="I1041" s="9" t="s">
        <v>178</v>
      </c>
      <c r="J1041" s="9">
        <v>45730</v>
      </c>
      <c r="K1041" s="8" t="s">
        <v>198</v>
      </c>
      <c r="L1041" s="8" t="s">
        <v>124</v>
      </c>
      <c r="M1041" s="8" t="s">
        <v>37</v>
      </c>
      <c r="N1041" s="52" t="str">
        <f>IF(Follow[[#This Row],[DATAATUALIZAÇÃO]]&lt;=Follow[[#This Row],[Prev Entrega]],"Dentro do Prazo","Fora do Prazo")</f>
        <v>Dentro do Prazo</v>
      </c>
      <c r="O10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14/03/2025, referente ao pedido Nº Pedido 1057 Rastreio Pedido 1057, agradecemos a preferência e adoraríamos receber sua avaliação, tendo qualquer dúvida estamos à disposição.
Att
NTA Variedades</v>
      </c>
    </row>
    <row r="1042" spans="1:15">
      <c r="A1042" s="52" t="str">
        <f>_xlfn.XLOOKUP(Follow[[#This Row],[CODRASTREIO]],Controle_Pedidos[Cód Rastreamento],Controle_Pedidos[Número Pedido Cliente])</f>
        <v>Pedido 1058</v>
      </c>
      <c r="B1042" s="2" t="s">
        <v>18477</v>
      </c>
      <c r="C1042" s="2" t="str">
        <f>Follow[[#This Row],[CODRASTREIO]]&amp;" B"</f>
        <v>CódRastreio1035 B</v>
      </c>
      <c r="D1042" s="52" t="str">
        <f>_xlfn.XLOOKUP(Follow[[#This Row],[Id Pedido]],Controle_Pedidos[Número Pedido Cliente],Controle_Pedidos[Loja])</f>
        <v>MEI</v>
      </c>
      <c r="E1042" s="9">
        <f>_xlfn.XLOOKUP(Follow[[#This Row],[Id Pedido]],Controle_Pedidos[Número Pedido Cliente],Controle_Pedidos[Prazo Entrega])</f>
        <v>45734</v>
      </c>
      <c r="F1042" s="9" t="s">
        <v>19433</v>
      </c>
      <c r="G1042" s="9" t="s">
        <v>37</v>
      </c>
      <c r="H1042" s="52" t="s">
        <v>178</v>
      </c>
      <c r="I1042" s="9" t="s">
        <v>178</v>
      </c>
      <c r="J1042" s="55">
        <v>45722</v>
      </c>
      <c r="K1042" s="54" t="s">
        <v>198</v>
      </c>
      <c r="L1042" s="8" t="s">
        <v>124</v>
      </c>
      <c r="M1042" s="8" t="s">
        <v>37</v>
      </c>
      <c r="N1042" s="52" t="str">
        <f>IF(Follow[[#This Row],[DATAATUALIZAÇÃO]]&lt;=Follow[[#This Row],[Prev Entrega]],"Dentro do Prazo","Fora do Prazo")</f>
        <v>Dentro do Prazo</v>
      </c>
      <c r="O1042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06/03/2025, referente ao pedido Nº Pedido 1058 Rastreio Pedido 1058, agradecemos a preferência e adoraríamos receber sua avaliação, tendo qualquer dúvida estamos à disposição.
Att
NTA Variedades</v>
      </c>
    </row>
    <row r="1043" spans="1:15">
      <c r="A1043" s="52" t="str">
        <f>_xlfn.XLOOKUP(Follow[[#This Row],[CODRASTREIO]],Controle_Pedidos[Cód Rastreamento],Controle_Pedidos[Número Pedido Cliente])</f>
        <v>Pedido 1059</v>
      </c>
      <c r="B1043" s="2" t="s">
        <v>18478</v>
      </c>
      <c r="C1043" s="2" t="str">
        <f>Follow[[#This Row],[CODRASTREIO]]&amp;" B"</f>
        <v>CódRastreio1036 B</v>
      </c>
      <c r="D1043" s="52" t="str">
        <f>_xlfn.XLOOKUP(Follow[[#This Row],[Id Pedido]],Controle_Pedidos[Número Pedido Cliente],Controle_Pedidos[Loja])</f>
        <v>BV</v>
      </c>
      <c r="E1043" s="9">
        <f>_xlfn.XLOOKUP(Follow[[#This Row],[Id Pedido]],Controle_Pedidos[Número Pedido Cliente],Controle_Pedidos[Prazo Entrega])</f>
        <v>45741</v>
      </c>
      <c r="F1043" s="9" t="s">
        <v>19433</v>
      </c>
      <c r="G1043" s="9" t="s">
        <v>268</v>
      </c>
      <c r="H1043" s="52" t="s">
        <v>179</v>
      </c>
      <c r="I1043" s="9" t="s">
        <v>178</v>
      </c>
      <c r="J1043" s="55">
        <v>45727</v>
      </c>
      <c r="K1043" s="54" t="s">
        <v>198</v>
      </c>
      <c r="L1043" s="8" t="s">
        <v>124</v>
      </c>
      <c r="M1043" s="8" t="s">
        <v>37</v>
      </c>
      <c r="N1043" s="52" t="str">
        <f>IF(Follow[[#This Row],[DATAATUALIZAÇÃO]]&lt;=Follow[[#This Row],[Prev Entrega]],"Dentro do Prazo","Fora do Prazo")</f>
        <v>Dentro do Prazo</v>
      </c>
      <c r="O10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11/03/2025, referente ao pedido Nº Pedido 1059 Rastreio NM760427435BR, agradecemos a preferência e adoraríamos receber sua avaliação, tendo qualquer dúvida estamos à disposição.
Att
Tem tudo Shop</v>
      </c>
    </row>
    <row r="1044" spans="1:15">
      <c r="A1044" s="52" t="str">
        <f>_xlfn.XLOOKUP(Follow[[#This Row],[CODRASTREIO]],Controle_Pedidos[Cód Rastreamento],Controle_Pedidos[Número Pedido Cliente])</f>
        <v>Pedido 1062</v>
      </c>
      <c r="B1044" s="2" t="s">
        <v>18481</v>
      </c>
      <c r="C1044" s="2" t="str">
        <f>Follow[[#This Row],[CODRASTREIO]]&amp;" B"</f>
        <v>CódRastreio1039 B</v>
      </c>
      <c r="D1044" s="52" t="str">
        <f>_xlfn.XLOOKUP(Follow[[#This Row],[Id Pedido]],Controle_Pedidos[Número Pedido Cliente],Controle_Pedidos[Loja])</f>
        <v>BV</v>
      </c>
      <c r="E1044" s="9">
        <f>_xlfn.XLOOKUP(Follow[[#This Row],[Id Pedido]],Controle_Pedidos[Número Pedido Cliente],Controle_Pedidos[Prazo Entrega])</f>
        <v>45735</v>
      </c>
      <c r="F1044" s="9" t="s">
        <v>19433</v>
      </c>
      <c r="G1044" s="9" t="s">
        <v>37</v>
      </c>
      <c r="H1044" s="9" t="s">
        <v>178</v>
      </c>
      <c r="I1044" s="9" t="s">
        <v>178</v>
      </c>
      <c r="J1044" s="9">
        <v>45769</v>
      </c>
      <c r="K1044" s="8" t="s">
        <v>198</v>
      </c>
      <c r="L1044" s="8" t="s">
        <v>124</v>
      </c>
      <c r="M1044" s="8" t="s">
        <v>269</v>
      </c>
      <c r="N1044" s="52" t="str">
        <f>IF(Follow[[#This Row],[DATAATUALIZAÇÃO]]&lt;=Follow[[#This Row],[Prev Entrega]],"Dentro do Prazo","Fora do Prazo")</f>
        <v>Fora do Prazo</v>
      </c>
      <c r="O1044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22/04/2025, referente ao pedido Nº Pedido 1062 Rastreio Pedido 1062, agradecemos a preferência e adoraríamos receber sua avaliação, tendo qualquer dúvida estamos à disposição.
Att
Tem tudo Shop</v>
      </c>
    </row>
    <row r="1045" spans="1:15">
      <c r="A1045" s="52" t="str">
        <f>_xlfn.XLOOKUP(Follow[[#This Row],[CODRASTREIO]],Controle_Pedidos[Cód Rastreamento],Controle_Pedidos[Número Pedido Cliente])</f>
        <v>Pedido 1064</v>
      </c>
      <c r="B1045" s="2" t="s">
        <v>18483</v>
      </c>
      <c r="C1045" s="2" t="str">
        <f>Follow[[#This Row],[CODRASTREIO]]&amp;" B"</f>
        <v>CódRastreio1041 B</v>
      </c>
      <c r="D1045" s="52" t="str">
        <f>_xlfn.XLOOKUP(Follow[[#This Row],[Id Pedido]],Controle_Pedidos[Número Pedido Cliente],Controle_Pedidos[Loja])</f>
        <v>BV</v>
      </c>
      <c r="E1045" s="9">
        <f>_xlfn.XLOOKUP(Follow[[#This Row],[Id Pedido]],Controle_Pedidos[Número Pedido Cliente],Controle_Pedidos[Prazo Entrega])</f>
        <v>45741</v>
      </c>
      <c r="F1045" s="9" t="s">
        <v>19433</v>
      </c>
      <c r="G1045" s="9" t="s">
        <v>270</v>
      </c>
      <c r="H1045" s="52" t="s">
        <v>179</v>
      </c>
      <c r="I1045" s="9" t="s">
        <v>178</v>
      </c>
      <c r="J1045" s="55">
        <v>45723</v>
      </c>
      <c r="K1045" s="54" t="s">
        <v>198</v>
      </c>
      <c r="L1045" s="8" t="s">
        <v>124</v>
      </c>
      <c r="M1045" s="8" t="s">
        <v>37</v>
      </c>
      <c r="N1045" s="52" t="str">
        <f>IF(Follow[[#This Row],[DATAATUALIZAÇÃO]]&lt;=Follow[[#This Row],[Prev Entrega]],"Dentro do Prazo","Fora do Prazo")</f>
        <v>Dentro do Prazo</v>
      </c>
      <c r="O10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07/03/2025, referente ao pedido Nº Pedido 1064 Rastreio NM760594376BR, agradecemos a preferência e adoraríamos receber sua avaliação, tendo qualquer dúvida estamos à disposição.
Att
Tem tudo Shop</v>
      </c>
    </row>
    <row r="1046" spans="1:15">
      <c r="A1046" s="52" t="str">
        <f>_xlfn.XLOOKUP(Follow[[#This Row],[CODRASTREIO]],Controle_Pedidos[Cód Rastreamento],Controle_Pedidos[Número Pedido Cliente])</f>
        <v>Pedido 1065</v>
      </c>
      <c r="B1046" s="2" t="s">
        <v>18484</v>
      </c>
      <c r="C1046" s="2" t="str">
        <f>Follow[[#This Row],[CODRASTREIO]]&amp;" B"</f>
        <v>CódRastreio1042 B</v>
      </c>
      <c r="D1046" s="52" t="str">
        <f>_xlfn.XLOOKUP(Follow[[#This Row],[Id Pedido]],Controle_Pedidos[Número Pedido Cliente],Controle_Pedidos[Loja])</f>
        <v>GO</v>
      </c>
      <c r="E1046" s="9">
        <f>_xlfn.XLOOKUP(Follow[[#This Row],[Id Pedido]],Controle_Pedidos[Número Pedido Cliente],Controle_Pedidos[Prazo Entrega])</f>
        <v>45735</v>
      </c>
      <c r="F1046" s="9" t="s">
        <v>19433</v>
      </c>
      <c r="G1046" s="122" t="s">
        <v>271</v>
      </c>
      <c r="H1046" s="9" t="s">
        <v>179</v>
      </c>
      <c r="I1046" s="9" t="s">
        <v>178</v>
      </c>
      <c r="J1046" s="9">
        <v>45733</v>
      </c>
      <c r="K1046" s="8" t="s">
        <v>198</v>
      </c>
      <c r="L1046" s="8" t="s">
        <v>124</v>
      </c>
      <c r="M1046" s="8" t="s">
        <v>208</v>
      </c>
      <c r="N1046" s="52" t="str">
        <f>IF(Follow[[#This Row],[DATAATUALIZAÇÃO]]&lt;=Follow[[#This Row],[Prev Entrega]],"Dentro do Prazo","Fora do Prazo")</f>
        <v>Dentro do Prazo</v>
      </c>
      <c r="O10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Escova Multifuncional foi entregue no dia 17/03/2025, referente ao pedido Nº Pedido 1065 Rastreio NM760587295BR, agradecemos a preferência e adoraríamos receber sua avaliação, tendo qualquer dúvida estamos à disposição.
Att
Sec Variedades</v>
      </c>
    </row>
    <row r="1047" spans="1:15">
      <c r="A1047" s="52" t="str">
        <f>_xlfn.XLOOKUP(Follow[[#This Row],[CODRASTREIO]],Controle_Pedidos[Cód Rastreamento],Controle_Pedidos[Número Pedido Cliente])</f>
        <v>Pedido 1063</v>
      </c>
      <c r="B1047" s="2" t="s">
        <v>18482</v>
      </c>
      <c r="C1047" s="2" t="str">
        <f>Follow[[#This Row],[CODRASTREIO]]&amp;" B"</f>
        <v>CódRastreio1040 B</v>
      </c>
      <c r="D1047" s="52" t="str">
        <f>_xlfn.XLOOKUP(Follow[[#This Row],[Id Pedido]],Controle_Pedidos[Número Pedido Cliente],Controle_Pedidos[Loja])</f>
        <v>BV</v>
      </c>
      <c r="E1047" s="9">
        <f>_xlfn.XLOOKUP(Follow[[#This Row],[Id Pedido]],Controle_Pedidos[Número Pedido Cliente],Controle_Pedidos[Prazo Entrega])</f>
        <v>45745</v>
      </c>
      <c r="F1047" s="9" t="s">
        <v>19433</v>
      </c>
      <c r="G1047" s="9" t="s">
        <v>37</v>
      </c>
      <c r="H1047" s="52" t="s">
        <v>178</v>
      </c>
      <c r="I1047" s="9" t="s">
        <v>178</v>
      </c>
      <c r="J1047" s="55">
        <v>45728.822685185187</v>
      </c>
      <c r="K1047" s="54" t="s">
        <v>198</v>
      </c>
      <c r="L1047" s="8" t="s">
        <v>124</v>
      </c>
      <c r="M1047" s="8" t="s">
        <v>37</v>
      </c>
      <c r="N1047" s="52" t="str">
        <f>IF(Follow[[#This Row],[DATAATUALIZAÇÃO]]&lt;=Follow[[#This Row],[Prev Entrega]],"Dentro do Prazo","Fora do Prazo")</f>
        <v>Dentro do Prazo</v>
      </c>
      <c r="O10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12/03/2025, referente ao pedido Nº Pedido 1063 Rastreio Pedido 1063, agradecemos a preferência e adoraríamos receber sua avaliação, tendo qualquer dúvida estamos à disposição.
Att
Tem tudo Shop</v>
      </c>
    </row>
    <row r="1048" spans="1:15">
      <c r="A1048" s="52" t="str">
        <f>_xlfn.XLOOKUP(Follow[[#This Row],[CODRASTREIO]],Controle_Pedidos[Cód Rastreamento],Controle_Pedidos[Número Pedido Cliente])</f>
        <v>Pedido 1071</v>
      </c>
      <c r="B1048" s="2" t="s">
        <v>18490</v>
      </c>
      <c r="C1048" s="2" t="str">
        <f>Follow[[#This Row],[CODRASTREIO]]&amp;" B"</f>
        <v>CódRastreio1048 B</v>
      </c>
      <c r="D1048" s="52" t="str">
        <f>_xlfn.XLOOKUP(Follow[[#This Row],[Id Pedido]],Controle_Pedidos[Número Pedido Cliente],Controle_Pedidos[Loja])</f>
        <v>BV</v>
      </c>
      <c r="E1048" s="9">
        <f>_xlfn.XLOOKUP(Follow[[#This Row],[Id Pedido]],Controle_Pedidos[Número Pedido Cliente],Controle_Pedidos[Prazo Entrega])</f>
        <v>45748</v>
      </c>
      <c r="F1048" s="9" t="s">
        <v>19433</v>
      </c>
      <c r="G1048" s="9" t="s">
        <v>37</v>
      </c>
      <c r="H1048" s="9" t="s">
        <v>178</v>
      </c>
      <c r="I1048" s="9" t="s">
        <v>178</v>
      </c>
      <c r="J1048" s="9">
        <v>45731</v>
      </c>
      <c r="K1048" s="8" t="s">
        <v>198</v>
      </c>
      <c r="L1048" s="8" t="s">
        <v>124</v>
      </c>
      <c r="M1048" s="8" t="s">
        <v>37</v>
      </c>
      <c r="N1048" s="52" t="str">
        <f>IF(Follow[[#This Row],[DATAATUALIZAÇÃO]]&lt;=Follow[[#This Row],[Prev Entrega]],"Dentro do Prazo","Fora do Prazo")</f>
        <v>Dentro do Prazo</v>
      </c>
      <c r="O10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15/03/2025, referente ao pedido Nº Pedido 1071 Rastreio Pedido 1071, agradecemos a preferência e adoraríamos receber sua avaliação, tendo qualquer dúvida estamos à disposição.
Att
Tem tudo Shop</v>
      </c>
    </row>
    <row r="1049" spans="1:15">
      <c r="A1049" s="52" t="str">
        <f>_xlfn.XLOOKUP(Follow[[#This Row],[CODRASTREIO]],Controle_Pedidos[Cód Rastreamento],Controle_Pedidos[Número Pedido Cliente])</f>
        <v>Pedido 1038</v>
      </c>
      <c r="B1049" s="2" t="s">
        <v>18457</v>
      </c>
      <c r="C1049" s="2" t="str">
        <f>Follow[[#This Row],[CODRASTREIO]]&amp;" B"</f>
        <v>CódRastreio1015 B</v>
      </c>
      <c r="D1049" s="52" t="str">
        <f>_xlfn.XLOOKUP(Follow[[#This Row],[Id Pedido]],Controle_Pedidos[Número Pedido Cliente],Controle_Pedidos[Loja])</f>
        <v>BV</v>
      </c>
      <c r="E1049" s="9">
        <f>_xlfn.XLOOKUP(Follow[[#This Row],[Id Pedido]],Controle_Pedidos[Número Pedido Cliente],Controle_Pedidos[Prazo Entrega])</f>
        <v>45748</v>
      </c>
      <c r="F1049" s="9" t="s">
        <v>19433</v>
      </c>
      <c r="G1049" s="9" t="s">
        <v>272</v>
      </c>
      <c r="H1049" s="9" t="s">
        <v>179</v>
      </c>
      <c r="I1049" s="9" t="s">
        <v>178</v>
      </c>
      <c r="J1049" s="9">
        <v>45750</v>
      </c>
      <c r="K1049" s="8" t="s">
        <v>198</v>
      </c>
      <c r="L1049" s="8" t="s">
        <v>124</v>
      </c>
      <c r="M1049" s="8" t="s">
        <v>37</v>
      </c>
      <c r="N1049" s="52" t="str">
        <f>IF(Follow[[#This Row],[DATAATUALIZAÇÃO]]&lt;=Follow[[#This Row],[Prev Entrega]],"Dentro do Prazo","Fora do Prazo")</f>
        <v>Fora do Prazo</v>
      </c>
      <c r="O10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Branco foi entregue no dia 03/04/2025, referente ao pedido Nº Pedido 1038 Rastreio NM760923046BR, agradecemos a preferência e adoraríamos receber sua avaliação, tendo qualquer dúvida estamos à disposição.
Att
Tem tudo Shop</v>
      </c>
    </row>
    <row r="1050" spans="1:15">
      <c r="A1050" s="52" t="str">
        <f>_xlfn.XLOOKUP(Follow[[#This Row],[CODRASTREIO]],Controle_Pedidos[Cód Rastreamento],Controle_Pedidos[Número Pedido Cliente])</f>
        <v>Pedido 1061</v>
      </c>
      <c r="B1050" s="2" t="s">
        <v>18480</v>
      </c>
      <c r="C1050" s="2" t="str">
        <f>Follow[[#This Row],[CODRASTREIO]]&amp;" B"</f>
        <v>CódRastreio1038 B</v>
      </c>
      <c r="D1050" s="52" t="str">
        <f>_xlfn.XLOOKUP(Follow[[#This Row],[Id Pedido]],Controle_Pedidos[Número Pedido Cliente],Controle_Pedidos[Loja])</f>
        <v>BV</v>
      </c>
      <c r="E1050" s="9">
        <f>_xlfn.XLOOKUP(Follow[[#This Row],[Id Pedido]],Controle_Pedidos[Número Pedido Cliente],Controle_Pedidos[Prazo Entrega])</f>
        <v>45741</v>
      </c>
      <c r="F1050" s="9" t="s">
        <v>19433</v>
      </c>
      <c r="G1050" s="9" t="s">
        <v>37</v>
      </c>
      <c r="H1050" s="9" t="s">
        <v>178</v>
      </c>
      <c r="I1050" s="9" t="s">
        <v>178</v>
      </c>
      <c r="J1050" s="9">
        <v>45729</v>
      </c>
      <c r="K1050" s="8" t="s">
        <v>198</v>
      </c>
      <c r="L1050" s="8" t="s">
        <v>124</v>
      </c>
      <c r="M1050" s="8" t="s">
        <v>37</v>
      </c>
      <c r="N1050" s="52" t="str">
        <f>IF(Follow[[#This Row],[DATAATUALIZAÇÃO]]&lt;=Follow[[#This Row],[Prev Entrega]],"Dentro do Prazo","Fora do Prazo")</f>
        <v>Dentro do Prazo</v>
      </c>
      <c r="O10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13/03/2025, referente ao pedido Nº Pedido 1061 Rastreio Pedido 1061, agradecemos a preferência e adoraríamos receber sua avaliação, tendo qualquer dúvida estamos à disposição.
Att
Tem tudo Shop</v>
      </c>
    </row>
    <row r="1051" spans="1:15">
      <c r="A1051" s="52" t="str">
        <f>_xlfn.XLOOKUP(Follow[[#This Row],[CODRASTREIO]],Controle_Pedidos[Cód Rastreamento],Controle_Pedidos[Número Pedido Cliente])</f>
        <v>Pedido 1066</v>
      </c>
      <c r="B1051" s="2" t="s">
        <v>18485</v>
      </c>
      <c r="C1051" s="2" t="str">
        <f>Follow[[#This Row],[CODRASTREIO]]&amp;" B"</f>
        <v>CódRastreio1043 B</v>
      </c>
      <c r="D1051" s="52" t="str">
        <f>_xlfn.XLOOKUP(Follow[[#This Row],[Id Pedido]],Controle_Pedidos[Número Pedido Cliente],Controle_Pedidos[Loja])</f>
        <v>BV</v>
      </c>
      <c r="E1051" s="9">
        <f>_xlfn.XLOOKUP(Follow[[#This Row],[Id Pedido]],Controle_Pedidos[Número Pedido Cliente],Controle_Pedidos[Prazo Entrega])</f>
        <v>45741</v>
      </c>
      <c r="F1051" s="9" t="s">
        <v>19433</v>
      </c>
      <c r="G1051" s="9" t="s">
        <v>273</v>
      </c>
      <c r="H1051" s="52" t="s">
        <v>179</v>
      </c>
      <c r="I1051" s="9" t="s">
        <v>178</v>
      </c>
      <c r="J1051" s="55">
        <v>45726</v>
      </c>
      <c r="K1051" s="54" t="s">
        <v>198</v>
      </c>
      <c r="L1051" s="8" t="s">
        <v>124</v>
      </c>
      <c r="M1051" s="8" t="s">
        <v>37</v>
      </c>
      <c r="N1051" s="52" t="str">
        <f>IF(Follow[[#This Row],[DATAATUALIZAÇÃO]]&lt;=Follow[[#This Row],[Prev Entrega]],"Dentro do Prazo","Fora do Prazo")</f>
        <v>Dentro do Prazo</v>
      </c>
      <c r="O10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10/03/2025, referente ao pedido Nº Pedido 1066 Rastreio NM760946909BR, agradecemos a preferência e adoraríamos receber sua avaliação, tendo qualquer dúvida estamos à disposição.
Att
Tem tudo Shop</v>
      </c>
    </row>
    <row r="1052" spans="1:15">
      <c r="A1052" s="52" t="str">
        <f>_xlfn.XLOOKUP(Follow[[#This Row],[CODRASTREIO]],Controle_Pedidos[Cód Rastreamento],Controle_Pedidos[Número Pedido Cliente])</f>
        <v>Pedido 1067</v>
      </c>
      <c r="B1052" s="2" t="s">
        <v>18486</v>
      </c>
      <c r="C1052" s="2" t="str">
        <f>Follow[[#This Row],[CODRASTREIO]]&amp;" B"</f>
        <v>CódRastreio1044 B</v>
      </c>
      <c r="D1052" s="52" t="str">
        <f>_xlfn.XLOOKUP(Follow[[#This Row],[Id Pedido]],Controle_Pedidos[Número Pedido Cliente],Controle_Pedidos[Loja])</f>
        <v>BV</v>
      </c>
      <c r="E1052" s="9">
        <f>_xlfn.XLOOKUP(Follow[[#This Row],[Id Pedido]],Controle_Pedidos[Número Pedido Cliente],Controle_Pedidos[Prazo Entrega])</f>
        <v>45742</v>
      </c>
      <c r="F1052" s="9" t="s">
        <v>19433</v>
      </c>
      <c r="G1052" s="9" t="s">
        <v>274</v>
      </c>
      <c r="H1052" s="52" t="s">
        <v>179</v>
      </c>
      <c r="I1052" s="9" t="s">
        <v>178</v>
      </c>
      <c r="J1052" s="55">
        <v>45726</v>
      </c>
      <c r="K1052" s="54" t="s">
        <v>198</v>
      </c>
      <c r="L1052" s="8" t="s">
        <v>124</v>
      </c>
      <c r="M1052" s="8" t="s">
        <v>37</v>
      </c>
      <c r="N1052" s="52" t="str">
        <f>IF(Follow[[#This Row],[DATAATUALIZAÇÃO]]&lt;=Follow[[#This Row],[Prev Entrega]],"Dentro do Prazo","Fora do Prazo")</f>
        <v>Dentro do Prazo</v>
      </c>
      <c r="O10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10/03/2025, referente ao pedido Nº Pedido 1067 Rastreio NM760946002BR, agradecemos a preferência e adoraríamos receber sua avaliação, tendo qualquer dúvida estamos à disposição.
Att
Tem tudo Shop</v>
      </c>
    </row>
    <row r="1053" spans="1:15">
      <c r="A1053" s="52" t="str">
        <f>_xlfn.XLOOKUP(Follow[[#This Row],[CODRASTREIO]],Controle_Pedidos[Cód Rastreamento],Controle_Pedidos[Número Pedido Cliente])</f>
        <v>Pedido 1068</v>
      </c>
      <c r="B1053" s="2" t="s">
        <v>18487</v>
      </c>
      <c r="C1053" s="2" t="str">
        <f>Follow[[#This Row],[CODRASTREIO]]&amp;" B"</f>
        <v>CódRastreio1045 B</v>
      </c>
      <c r="D1053" s="52" t="str">
        <f>_xlfn.XLOOKUP(Follow[[#This Row],[Id Pedido]],Controle_Pedidos[Número Pedido Cliente],Controle_Pedidos[Loja])</f>
        <v>BV</v>
      </c>
      <c r="E1053" s="9">
        <f>_xlfn.XLOOKUP(Follow[[#This Row],[Id Pedido]],Controle_Pedidos[Número Pedido Cliente],Controle_Pedidos[Prazo Entrega])</f>
        <v>45742</v>
      </c>
      <c r="F1053" s="9" t="s">
        <v>19433</v>
      </c>
      <c r="G1053" s="9" t="s">
        <v>37</v>
      </c>
      <c r="H1053" s="9" t="s">
        <v>178</v>
      </c>
      <c r="I1053" s="9" t="s">
        <v>178</v>
      </c>
      <c r="J1053" s="9">
        <v>45730</v>
      </c>
      <c r="K1053" s="8" t="s">
        <v>198</v>
      </c>
      <c r="L1053" s="8" t="s">
        <v>124</v>
      </c>
      <c r="M1053" s="8" t="s">
        <v>37</v>
      </c>
      <c r="N1053" s="52" t="str">
        <f>IF(Follow[[#This Row],[DATAATUALIZAÇÃO]]&lt;=Follow[[#This Row],[Prev Entrega]],"Dentro do Prazo","Fora do Prazo")</f>
        <v>Dentro do Prazo</v>
      </c>
      <c r="O105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14/03/2025, referente ao pedido Nº Pedido 1068 Rastreio Pedido 1068, agradecemos a preferência e adoraríamos receber sua avaliação, tendo qualquer dúvida estamos à disposição.
Att
Tem tudo Shop</v>
      </c>
    </row>
    <row r="1054" spans="1:15">
      <c r="A1054" s="52" t="str">
        <f>_xlfn.XLOOKUP(Follow[[#This Row],[CODRASTREIO]],Controle_Pedidos[Cód Rastreamento],Controle_Pedidos[Número Pedido Cliente])</f>
        <v>Pedido 1069</v>
      </c>
      <c r="B1054" s="2" t="s">
        <v>18488</v>
      </c>
      <c r="C1054" s="2" t="str">
        <f>Follow[[#This Row],[CODRASTREIO]]&amp;" B"</f>
        <v>CódRastreio1046 B</v>
      </c>
      <c r="D1054" s="52" t="str">
        <f>_xlfn.XLOOKUP(Follow[[#This Row],[Id Pedido]],Controle_Pedidos[Número Pedido Cliente],Controle_Pedidos[Loja])</f>
        <v>BV</v>
      </c>
      <c r="E1054" s="9">
        <f>_xlfn.XLOOKUP(Follow[[#This Row],[Id Pedido]],Controle_Pedidos[Número Pedido Cliente],Controle_Pedidos[Prazo Entrega])</f>
        <v>45748</v>
      </c>
      <c r="F1054" s="9" t="s">
        <v>19433</v>
      </c>
      <c r="G1054" s="122" t="s">
        <v>275</v>
      </c>
      <c r="H1054" s="9" t="s">
        <v>179</v>
      </c>
      <c r="I1054" s="9" t="s">
        <v>178</v>
      </c>
      <c r="J1054" s="9">
        <v>45729</v>
      </c>
      <c r="K1054" s="8" t="s">
        <v>198</v>
      </c>
      <c r="L1054" s="8" t="s">
        <v>124</v>
      </c>
      <c r="M1054" s="8" t="s">
        <v>37</v>
      </c>
      <c r="N1054" s="52" t="str">
        <f>IF(Follow[[#This Row],[DATAATUALIZAÇÃO]]&lt;=Follow[[#This Row],[Prev Entrega]],"Dentro do Prazo","Fora do Prazo")</f>
        <v>Dentro do Prazo</v>
      </c>
      <c r="O10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13/03/2025, referente ao pedido Nº Pedido 1069 Rastreio NM760958495BR, agradecemos a preferência e adoraríamos receber sua avaliação, tendo qualquer dúvida estamos à disposição.
Att
Tem tudo Shop</v>
      </c>
    </row>
    <row r="1055" spans="1:15">
      <c r="A1055" s="52" t="str">
        <f>_xlfn.XLOOKUP(Follow[[#This Row],[CODRASTREIO]],Controle_Pedidos[Cód Rastreamento],Controle_Pedidos[Número Pedido Cliente])</f>
        <v>Pedido 1070</v>
      </c>
      <c r="B1055" s="2" t="s">
        <v>18489</v>
      </c>
      <c r="C1055" s="2" t="str">
        <f>Follow[[#This Row],[CODRASTREIO]]&amp;" B"</f>
        <v>CódRastreio1047 B</v>
      </c>
      <c r="D1055" s="52" t="str">
        <f>_xlfn.XLOOKUP(Follow[[#This Row],[Id Pedido]],Controle_Pedidos[Número Pedido Cliente],Controle_Pedidos[Loja])</f>
        <v>BV</v>
      </c>
      <c r="E1055" s="9">
        <f>_xlfn.XLOOKUP(Follow[[#This Row],[Id Pedido]],Controle_Pedidos[Número Pedido Cliente],Controle_Pedidos[Prazo Entrega])</f>
        <v>45748</v>
      </c>
      <c r="F1055" s="9" t="s">
        <v>19433</v>
      </c>
      <c r="G1055" s="122" t="s">
        <v>276</v>
      </c>
      <c r="H1055" s="9" t="s">
        <v>179</v>
      </c>
      <c r="I1055" s="9" t="s">
        <v>178</v>
      </c>
      <c r="J1055" s="9">
        <v>45736</v>
      </c>
      <c r="K1055" s="8" t="s">
        <v>198</v>
      </c>
      <c r="L1055" s="8" t="s">
        <v>124</v>
      </c>
      <c r="M1055" s="8" t="s">
        <v>37</v>
      </c>
      <c r="N1055" s="52" t="str">
        <f>IF(Follow[[#This Row],[DATAATUALIZAÇÃO]]&lt;=Follow[[#This Row],[Prev Entrega]],"Dentro do Prazo","Fora do Prazo")</f>
        <v>Dentro do Prazo</v>
      </c>
      <c r="O10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20/03/2025, referente ao pedido Nº Pedido 1070 Rastreio NM760977367BR, agradecemos a preferência e adoraríamos receber sua avaliação, tendo qualquer dúvida estamos à disposição.
Att
Tem tudo Shop</v>
      </c>
    </row>
    <row r="1056" spans="1:15">
      <c r="A1056" s="52" t="str">
        <f>_xlfn.XLOOKUP(Follow[[#This Row],[CODRASTREIO]],Controle_Pedidos[Cód Rastreamento],Controle_Pedidos[Número Pedido Cliente])</f>
        <v>Pedido 1072</v>
      </c>
      <c r="B1056" s="2" t="s">
        <v>18491</v>
      </c>
      <c r="C1056" s="2" t="str">
        <f>Follow[[#This Row],[CODRASTREIO]]&amp;" B"</f>
        <v>CódRastreio1049 B</v>
      </c>
      <c r="D1056" s="52" t="str">
        <f>_xlfn.XLOOKUP(Follow[[#This Row],[Id Pedido]],Controle_Pedidos[Número Pedido Cliente],Controle_Pedidos[Loja])</f>
        <v>BV</v>
      </c>
      <c r="E1056" s="9">
        <f>_xlfn.XLOOKUP(Follow[[#This Row],[Id Pedido]],Controle_Pedidos[Número Pedido Cliente],Controle_Pedidos[Prazo Entrega])</f>
        <v>45742</v>
      </c>
      <c r="F1056" s="9" t="s">
        <v>19433</v>
      </c>
      <c r="G1056" s="9" t="s">
        <v>277</v>
      </c>
      <c r="H1056" s="52" t="s">
        <v>179</v>
      </c>
      <c r="I1056" s="9" t="s">
        <v>178</v>
      </c>
      <c r="J1056" s="55">
        <v>45726</v>
      </c>
      <c r="K1056" s="54" t="s">
        <v>198</v>
      </c>
      <c r="L1056" s="8" t="s">
        <v>124</v>
      </c>
      <c r="M1056" s="8" t="s">
        <v>37</v>
      </c>
      <c r="N1056" s="52" t="str">
        <f>IF(Follow[[#This Row],[DATAATUALIZAÇÃO]]&lt;=Follow[[#This Row],[Prev Entrega]],"Dentro do Prazo","Fora do Prazo")</f>
        <v>Dentro do Prazo</v>
      </c>
      <c r="O10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10/03/2025, referente ao pedido Nº Pedido 1072 Rastreio NM760987611BR, agradecemos a preferência e adoraríamos receber sua avaliação, tendo qualquer dúvida estamos à disposição.
Att
Tem tudo Shop</v>
      </c>
    </row>
    <row r="1057" spans="1:15">
      <c r="A1057" s="52" t="str">
        <f>_xlfn.XLOOKUP(Follow[[#This Row],[CODRASTREIO]],Controle_Pedidos[Cód Rastreamento],Controle_Pedidos[Número Pedido Cliente])</f>
        <v>Pedido 1075</v>
      </c>
      <c r="B1057" s="2" t="s">
        <v>18494</v>
      </c>
      <c r="C1057" s="2" t="str">
        <f>Follow[[#This Row],[CODRASTREIO]]&amp;" B"</f>
        <v>CódRastreio1052 B</v>
      </c>
      <c r="D1057" s="52" t="str">
        <f>_xlfn.XLOOKUP(Follow[[#This Row],[Id Pedido]],Controle_Pedidos[Número Pedido Cliente],Controle_Pedidos[Loja])</f>
        <v>BV</v>
      </c>
      <c r="E1057" s="9">
        <f>_xlfn.XLOOKUP(Follow[[#This Row],[Id Pedido]],Controle_Pedidos[Número Pedido Cliente],Controle_Pedidos[Prazo Entrega])</f>
        <v>45748</v>
      </c>
      <c r="F1057" s="9" t="s">
        <v>19433</v>
      </c>
      <c r="G1057" s="9" t="s">
        <v>37</v>
      </c>
      <c r="H1057" s="9" t="s">
        <v>178</v>
      </c>
      <c r="I1057" s="9" t="s">
        <v>178</v>
      </c>
      <c r="J1057" s="9">
        <v>45729</v>
      </c>
      <c r="K1057" s="8" t="s">
        <v>198</v>
      </c>
      <c r="L1057" s="8" t="s">
        <v>124</v>
      </c>
      <c r="M1057" s="8" t="s">
        <v>37</v>
      </c>
      <c r="N1057" s="52" t="str">
        <f>IF(Follow[[#This Row],[DATAATUALIZAÇÃO]]&lt;=Follow[[#This Row],[Prev Entrega]],"Dentro do Prazo","Fora do Prazo")</f>
        <v>Dentro do Prazo</v>
      </c>
      <c r="O105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13/03/2025, referente ao pedido Nº Pedido 1075 Rastreio Pedido 1075, agradecemos a preferência e adoraríamos receber sua avaliação, tendo qualquer dúvida estamos à disposição.
Att
Tem tudo Shop</v>
      </c>
    </row>
    <row r="1058" spans="1:15">
      <c r="A1058" s="52" t="str">
        <f>_xlfn.XLOOKUP(Follow[[#This Row],[CODRASTREIO]],Controle_Pedidos[Cód Rastreamento],Controle_Pedidos[Número Pedido Cliente])</f>
        <v>Pedido 1073</v>
      </c>
      <c r="B1058" s="2" t="s">
        <v>18492</v>
      </c>
      <c r="C1058" s="2" t="str">
        <f>Follow[[#This Row],[CODRASTREIO]]&amp;" B"</f>
        <v>CódRastreio1050 B</v>
      </c>
      <c r="D1058" s="52" t="str">
        <f>_xlfn.XLOOKUP(Follow[[#This Row],[Id Pedido]],Controle_Pedidos[Número Pedido Cliente],Controle_Pedidos[Loja])</f>
        <v>BV</v>
      </c>
      <c r="E1058" s="9">
        <f>_xlfn.XLOOKUP(Follow[[#This Row],[Id Pedido]],Controle_Pedidos[Número Pedido Cliente],Controle_Pedidos[Prazo Entrega])</f>
        <v>45748</v>
      </c>
      <c r="F1058" s="9" t="s">
        <v>19433</v>
      </c>
      <c r="G1058" s="9" t="s">
        <v>278</v>
      </c>
      <c r="H1058" s="9" t="s">
        <v>179</v>
      </c>
      <c r="I1058" s="9" t="s">
        <v>178</v>
      </c>
      <c r="J1058" s="9">
        <v>45771</v>
      </c>
      <c r="K1058" s="8" t="s">
        <v>198</v>
      </c>
      <c r="L1058" s="8" t="s">
        <v>124</v>
      </c>
      <c r="M1058" s="8" t="s">
        <v>37</v>
      </c>
      <c r="N1058" s="52" t="str">
        <f>IF(Follow[[#This Row],[DATAATUALIZAÇÃO]]&lt;=Follow[[#This Row],[Prev Entrega]],"Dentro do Prazo","Fora do Prazo")</f>
        <v>Fora do Prazo</v>
      </c>
      <c r="O105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24/04/2025, referente ao pedido Nº Pedido 1073 Rastreio NM761839375BR, agradecemos a preferência e adoraríamos receber sua avaliação, tendo qualquer dúvida estamos à disposição.
Att
Tem tudo Shop</v>
      </c>
    </row>
    <row r="1059" spans="1:15">
      <c r="A1059" s="52" t="str">
        <f>_xlfn.XLOOKUP(Follow[[#This Row],[CODRASTREIO]],Controle_Pedidos[Cód Rastreamento],Controle_Pedidos[Número Pedido Cliente])</f>
        <v>Pedido 1076</v>
      </c>
      <c r="B1059" s="2" t="s">
        <v>18495</v>
      </c>
      <c r="C1059" s="2" t="str">
        <f>Follow[[#This Row],[CODRASTREIO]]&amp;" B"</f>
        <v>CódRastreio1053 B</v>
      </c>
      <c r="D1059" s="52" t="str">
        <f>_xlfn.XLOOKUP(Follow[[#This Row],[Id Pedido]],Controle_Pedidos[Número Pedido Cliente],Controle_Pedidos[Loja])</f>
        <v>BV</v>
      </c>
      <c r="E1059" s="9">
        <f>_xlfn.XLOOKUP(Follow[[#This Row],[Id Pedido]],Controle_Pedidos[Número Pedido Cliente],Controle_Pedidos[Prazo Entrega])</f>
        <v>45748</v>
      </c>
      <c r="F1059" s="9" t="s">
        <v>19433</v>
      </c>
      <c r="G1059" s="9" t="s">
        <v>279</v>
      </c>
      <c r="H1059" s="52" t="s">
        <v>179</v>
      </c>
      <c r="I1059" s="9" t="s">
        <v>178</v>
      </c>
      <c r="J1059" s="55">
        <v>45728.666400462964</v>
      </c>
      <c r="K1059" s="54" t="s">
        <v>198</v>
      </c>
      <c r="L1059" s="8" t="s">
        <v>124</v>
      </c>
      <c r="M1059" s="8" t="s">
        <v>37</v>
      </c>
      <c r="N1059" s="52" t="str">
        <f>IF(Follow[[#This Row],[DATAATUALIZAÇÃO]]&lt;=Follow[[#This Row],[Prev Entrega]],"Dentro do Prazo","Fora do Prazo")</f>
        <v>Dentro do Prazo</v>
      </c>
      <c r="O10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12/03/2025, referente ao pedido Nº Pedido 1076 Rastreio NM761875435BR, agradecemos a preferência e adoraríamos receber sua avaliação, tendo qualquer dúvida estamos à disposição.
Att
Tem tudo Shop</v>
      </c>
    </row>
    <row r="1060" spans="1:15">
      <c r="A1060" s="52" t="str">
        <f>_xlfn.XLOOKUP(Follow[[#This Row],[CODRASTREIO]],Controle_Pedidos[Cód Rastreamento],Controle_Pedidos[Número Pedido Cliente])</f>
        <v>Pedido 1077</v>
      </c>
      <c r="B1060" s="2" t="s">
        <v>18496</v>
      </c>
      <c r="C1060" s="2" t="str">
        <f>Follow[[#This Row],[CODRASTREIO]]&amp;" B"</f>
        <v>CódRastreio1054 B</v>
      </c>
      <c r="D1060" s="52" t="str">
        <f>_xlfn.XLOOKUP(Follow[[#This Row],[Id Pedido]],Controle_Pedidos[Número Pedido Cliente],Controle_Pedidos[Loja])</f>
        <v>BV</v>
      </c>
      <c r="E1060" s="9">
        <f>_xlfn.XLOOKUP(Follow[[#This Row],[Id Pedido]],Controle_Pedidos[Número Pedido Cliente],Controle_Pedidos[Prazo Entrega])</f>
        <v>45748</v>
      </c>
      <c r="F1060" s="9" t="s">
        <v>19433</v>
      </c>
      <c r="G1060" s="122" t="s">
        <v>280</v>
      </c>
      <c r="H1060" s="9" t="s">
        <v>179</v>
      </c>
      <c r="I1060" s="9" t="s">
        <v>178</v>
      </c>
      <c r="J1060" s="9">
        <v>45733</v>
      </c>
      <c r="K1060" s="8" t="s">
        <v>198</v>
      </c>
      <c r="L1060" s="8" t="s">
        <v>124</v>
      </c>
      <c r="M1060" s="8" t="s">
        <v>37</v>
      </c>
      <c r="N1060" s="52" t="str">
        <f>IF(Follow[[#This Row],[DATAATUALIZAÇÃO]]&lt;=Follow[[#This Row],[Prev Entrega]],"Dentro do Prazo","Fora do Prazo")</f>
        <v>Dentro do Prazo</v>
      </c>
      <c r="O106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17/03/2025, referente ao pedido Nº Pedido 1077 Rastreio NM761888059BR, agradecemos a preferência e adoraríamos receber sua avaliação, tendo qualquer dúvida estamos à disposição.
Att
Tem tudo Shop</v>
      </c>
    </row>
    <row r="1061" spans="1:15">
      <c r="A1061" s="52" t="str">
        <f>_xlfn.XLOOKUP(Follow[[#This Row],[CODRASTREIO]],Controle_Pedidos[Cód Rastreamento],Controle_Pedidos[Número Pedido Cliente])</f>
        <v>Pedido 1079</v>
      </c>
      <c r="B1061" s="2" t="s">
        <v>18498</v>
      </c>
      <c r="C1061" s="2" t="str">
        <f>Follow[[#This Row],[CODRASTREIO]]&amp;" B"</f>
        <v>CódRastreio1056 B</v>
      </c>
      <c r="D1061" s="52" t="str">
        <f>_xlfn.XLOOKUP(Follow[[#This Row],[Id Pedido]],Controle_Pedidos[Número Pedido Cliente],Controle_Pedidos[Loja])</f>
        <v>BV</v>
      </c>
      <c r="E1061" s="9">
        <f>_xlfn.XLOOKUP(Follow[[#This Row],[Id Pedido]],Controle_Pedidos[Número Pedido Cliente],Controle_Pedidos[Prazo Entrega])</f>
        <v>45748</v>
      </c>
      <c r="F1061" s="9" t="s">
        <v>19433</v>
      </c>
      <c r="G1061" s="122" t="s">
        <v>281</v>
      </c>
      <c r="H1061" s="9" t="s">
        <v>179</v>
      </c>
      <c r="I1061" s="9" t="s">
        <v>178</v>
      </c>
      <c r="J1061" s="9">
        <v>45734</v>
      </c>
      <c r="K1061" s="8" t="s">
        <v>198</v>
      </c>
      <c r="L1061" s="8" t="s">
        <v>124</v>
      </c>
      <c r="M1061" s="8" t="s">
        <v>37</v>
      </c>
      <c r="N1061" s="52" t="str">
        <f>IF(Follow[[#This Row],[DATAATUALIZAÇÃO]]&lt;=Follow[[#This Row],[Prev Entrega]],"Dentro do Prazo","Fora do Prazo")</f>
        <v>Dentro do Prazo</v>
      </c>
      <c r="O10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18/03/2025, referente ao pedido Nº Pedido 1079 Rastreio NM761906883BR, agradecemos a preferência e adoraríamos receber sua avaliação, tendo qualquer dúvida estamos à disposição.
Att
Tem tudo Shop</v>
      </c>
    </row>
    <row r="1062" spans="1:15">
      <c r="A1062" s="52" t="str">
        <f>_xlfn.XLOOKUP(Follow[[#This Row],[CODRASTREIO]],Controle_Pedidos[Cód Rastreamento],Controle_Pedidos[Número Pedido Cliente])</f>
        <v>Pedido 1081</v>
      </c>
      <c r="B1062" s="2" t="s">
        <v>18500</v>
      </c>
      <c r="C1062" s="2" t="str">
        <f>Follow[[#This Row],[CODRASTREIO]]&amp;" B"</f>
        <v>CódRastreio1058 B</v>
      </c>
      <c r="D1062" s="52" t="str">
        <f>_xlfn.XLOOKUP(Follow[[#This Row],[Id Pedido]],Controle_Pedidos[Número Pedido Cliente],Controle_Pedidos[Loja])</f>
        <v>BV</v>
      </c>
      <c r="E1062" s="9">
        <f>_xlfn.XLOOKUP(Follow[[#This Row],[Id Pedido]],Controle_Pedidos[Número Pedido Cliente],Controle_Pedidos[Prazo Entrega])</f>
        <v>45748</v>
      </c>
      <c r="F1062" s="9" t="s">
        <v>19433</v>
      </c>
      <c r="G1062" s="122" t="s">
        <v>282</v>
      </c>
      <c r="H1062" s="9" t="s">
        <v>179</v>
      </c>
      <c r="I1062" s="9" t="s">
        <v>178</v>
      </c>
      <c r="J1062" s="9">
        <v>45730</v>
      </c>
      <c r="K1062" s="8" t="s">
        <v>198</v>
      </c>
      <c r="L1062" s="8" t="s">
        <v>124</v>
      </c>
      <c r="M1062" s="8" t="s">
        <v>37</v>
      </c>
      <c r="N1062" s="52" t="str">
        <f>IF(Follow[[#This Row],[DATAATUALIZAÇÃO]]&lt;=Follow[[#This Row],[Prev Entrega]],"Dentro do Prazo","Fora do Prazo")</f>
        <v>Dentro do Prazo</v>
      </c>
      <c r="O10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14/03/2025, referente ao pedido Nº Pedido 1081 Rastreio NM761920324BR, agradecemos a preferência e adoraríamos receber sua avaliação, tendo qualquer dúvida estamos à disposição.
Att
Tem tudo Shop</v>
      </c>
    </row>
    <row r="1063" spans="1:15">
      <c r="A1063" s="52" t="str">
        <f>_xlfn.XLOOKUP(Follow[[#This Row],[CODRASTREIO]],Controle_Pedidos[Cód Rastreamento],Controle_Pedidos[Número Pedido Cliente])</f>
        <v>Pedido 1083</v>
      </c>
      <c r="B1063" s="2" t="s">
        <v>18502</v>
      </c>
      <c r="C1063" s="2" t="str">
        <f>Follow[[#This Row],[CODRASTREIO]]&amp;" B"</f>
        <v>CódRastreio1060 B</v>
      </c>
      <c r="D1063" s="52" t="str">
        <f>_xlfn.XLOOKUP(Follow[[#This Row],[Id Pedido]],Controle_Pedidos[Número Pedido Cliente],Controle_Pedidos[Loja])</f>
        <v>BV</v>
      </c>
      <c r="E1063" s="9">
        <f>_xlfn.XLOOKUP(Follow[[#This Row],[Id Pedido]],Controle_Pedidos[Número Pedido Cliente],Controle_Pedidos[Prazo Entrega])</f>
        <v>45736</v>
      </c>
      <c r="F1063" s="9" t="s">
        <v>19433</v>
      </c>
      <c r="G1063" s="9" t="s">
        <v>37</v>
      </c>
      <c r="H1063" s="52" t="s">
        <v>178</v>
      </c>
      <c r="I1063" s="9" t="s">
        <v>178</v>
      </c>
      <c r="J1063" s="55">
        <v>45722</v>
      </c>
      <c r="K1063" s="54" t="s">
        <v>198</v>
      </c>
      <c r="L1063" s="8" t="s">
        <v>124</v>
      </c>
      <c r="M1063" s="8" t="s">
        <v>37</v>
      </c>
      <c r="N1063" s="52" t="str">
        <f>IF(Follow[[#This Row],[DATAATUALIZAÇÃO]]&lt;=Follow[[#This Row],[Prev Entrega]],"Dentro do Prazo","Fora do Prazo")</f>
        <v>Dentro do Prazo</v>
      </c>
      <c r="O1063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06/03/2025, referente ao pedido Nº Pedido 1083 Rastreio Pedido 1083, agradecemos a preferência e adoraríamos receber sua avaliação, tendo qualquer dúvida estamos à disposição.
Att
Tem tudo Shop</v>
      </c>
    </row>
    <row r="1064" spans="1:15">
      <c r="A1064" s="52" t="str">
        <f>_xlfn.XLOOKUP(Follow[[#This Row],[CODRASTREIO]],Controle_Pedidos[Cód Rastreamento],Controle_Pedidos[Número Pedido Cliente])</f>
        <v>Pedido 1084</v>
      </c>
      <c r="B1064" s="2" t="s">
        <v>18503</v>
      </c>
      <c r="C1064" s="2" t="str">
        <f>Follow[[#This Row],[CODRASTREIO]]&amp;" B"</f>
        <v>CódRastreio1061 B</v>
      </c>
      <c r="D1064" s="52" t="str">
        <f>_xlfn.XLOOKUP(Follow[[#This Row],[Id Pedido]],Controle_Pedidos[Número Pedido Cliente],Controle_Pedidos[Loja])</f>
        <v>BV</v>
      </c>
      <c r="E1064" s="9">
        <f>_xlfn.XLOOKUP(Follow[[#This Row],[Id Pedido]],Controle_Pedidos[Número Pedido Cliente],Controle_Pedidos[Prazo Entrega])</f>
        <v>45755</v>
      </c>
      <c r="F1064" s="9" t="s">
        <v>19433</v>
      </c>
      <c r="G1064" s="122" t="s">
        <v>283</v>
      </c>
      <c r="H1064" s="9" t="s">
        <v>179</v>
      </c>
      <c r="I1064" s="9" t="s">
        <v>178</v>
      </c>
      <c r="J1064" s="9">
        <v>45733</v>
      </c>
      <c r="K1064" s="8" t="s">
        <v>198</v>
      </c>
      <c r="L1064" s="8" t="s">
        <v>124</v>
      </c>
      <c r="M1064" s="8" t="s">
        <v>37</v>
      </c>
      <c r="N1064" s="52" t="str">
        <f>IF(Follow[[#This Row],[DATAATUALIZAÇÃO]]&lt;=Follow[[#This Row],[Prev Entrega]],"Dentro do Prazo","Fora do Prazo")</f>
        <v>Dentro do Prazo</v>
      </c>
      <c r="O10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17/03/2025, referente ao pedido Nº Pedido 1084 Rastreio NM761937625BR, agradecemos a preferência e adoraríamos receber sua avaliação, tendo qualquer dúvida estamos à disposição.
Att
Tem tudo Shop</v>
      </c>
    </row>
    <row r="1065" spans="1:15">
      <c r="A1065" s="52" t="str">
        <f>_xlfn.XLOOKUP(Follow[[#This Row],[CODRASTREIO]],Controle_Pedidos[Cód Rastreamento],Controle_Pedidos[Número Pedido Cliente])</f>
        <v>Pedido 1085</v>
      </c>
      <c r="B1065" s="2" t="s">
        <v>18504</v>
      </c>
      <c r="C1065" s="2" t="str">
        <f>Follow[[#This Row],[CODRASTREIO]]&amp;" B"</f>
        <v>CódRastreio1062 B</v>
      </c>
      <c r="D1065" s="52" t="str">
        <f>_xlfn.XLOOKUP(Follow[[#This Row],[Id Pedido]],Controle_Pedidos[Número Pedido Cliente],Controle_Pedidos[Loja])</f>
        <v>MEI</v>
      </c>
      <c r="E1065" s="9">
        <f>_xlfn.XLOOKUP(Follow[[#This Row],[Id Pedido]],Controle_Pedidos[Número Pedido Cliente],Controle_Pedidos[Prazo Entrega])</f>
        <v>45742</v>
      </c>
      <c r="F1065" s="9" t="s">
        <v>19433</v>
      </c>
      <c r="G1065" s="9" t="s">
        <v>37</v>
      </c>
      <c r="H1065" s="52" t="s">
        <v>178</v>
      </c>
      <c r="I1065" s="9" t="s">
        <v>178</v>
      </c>
      <c r="J1065" s="55">
        <v>45727</v>
      </c>
      <c r="K1065" s="54" t="s">
        <v>198</v>
      </c>
      <c r="L1065" s="8" t="s">
        <v>124</v>
      </c>
      <c r="M1065" s="8" t="s">
        <v>37</v>
      </c>
      <c r="N1065" s="52" t="str">
        <f>IF(Follow[[#This Row],[DATAATUALIZAÇÃO]]&lt;=Follow[[#This Row],[Prev Entrega]],"Dentro do Prazo","Fora do Prazo")</f>
        <v>Dentro do Prazo</v>
      </c>
      <c r="O10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11/03/2025, referente ao pedido Nº Pedido 1085 Rastreio Pedido 1085, agradecemos a preferência e adoraríamos receber sua avaliação, tendo qualquer dúvida estamos à disposição.
Att
NTA Variedades</v>
      </c>
    </row>
    <row r="1066" spans="1:15">
      <c r="A1066" s="52" t="str">
        <f>_xlfn.XLOOKUP(Follow[[#This Row],[CODRASTREIO]],Controle_Pedidos[Cód Rastreamento],Controle_Pedidos[Número Pedido Cliente])</f>
        <v>Pedido 1086</v>
      </c>
      <c r="B1066" s="2" t="s">
        <v>18505</v>
      </c>
      <c r="C1066" s="2" t="str">
        <f>Follow[[#This Row],[CODRASTREIO]]&amp;" B"</f>
        <v>CódRastreio1063 B</v>
      </c>
      <c r="D1066" s="52" t="str">
        <f>_xlfn.XLOOKUP(Follow[[#This Row],[Id Pedido]],Controle_Pedidos[Número Pedido Cliente],Controle_Pedidos[Loja])</f>
        <v>MEI</v>
      </c>
      <c r="E1066" s="9">
        <f>_xlfn.XLOOKUP(Follow[[#This Row],[Id Pedido]],Controle_Pedidos[Número Pedido Cliente],Controle_Pedidos[Prazo Entrega])</f>
        <v>45736</v>
      </c>
      <c r="F1066" s="9" t="s">
        <v>19433</v>
      </c>
      <c r="G1066" s="9" t="s">
        <v>37</v>
      </c>
      <c r="H1066" s="52" t="s">
        <v>178</v>
      </c>
      <c r="I1066" s="9" t="s">
        <v>178</v>
      </c>
      <c r="J1066" s="55">
        <v>45723</v>
      </c>
      <c r="K1066" s="54" t="s">
        <v>198</v>
      </c>
      <c r="L1066" s="8" t="s">
        <v>124</v>
      </c>
      <c r="M1066" s="8" t="s">
        <v>37</v>
      </c>
      <c r="N1066" s="52" t="str">
        <f>IF(Follow[[#This Row],[DATAATUALIZAÇÃO]]&lt;=Follow[[#This Row],[Prev Entrega]],"Dentro do Prazo","Fora do Prazo")</f>
        <v>Dentro do Prazo</v>
      </c>
      <c r="O10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07/03/2025, referente ao pedido Nº Pedido 1086 Rastreio Pedido 1086, agradecemos a preferência e adoraríamos receber sua avaliação, tendo qualquer dúvida estamos à disposição.
Att
NTA Variedades</v>
      </c>
    </row>
    <row r="1067" spans="1:15">
      <c r="A1067" s="52" t="str">
        <f>_xlfn.XLOOKUP(Follow[[#This Row],[CODRASTREIO]],Controle_Pedidos[Cód Rastreamento],Controle_Pedidos[Número Pedido Cliente])</f>
        <v>Pedido 1087</v>
      </c>
      <c r="B1067" s="2" t="s">
        <v>18506</v>
      </c>
      <c r="C1067" s="2" t="str">
        <f>Follow[[#This Row],[CODRASTREIO]]&amp;" B"</f>
        <v>CódRastreio1064 B</v>
      </c>
      <c r="D1067" s="52" t="str">
        <f>_xlfn.XLOOKUP(Follow[[#This Row],[Id Pedido]],Controle_Pedidos[Número Pedido Cliente],Controle_Pedidos[Loja])</f>
        <v>MEI</v>
      </c>
      <c r="E1067" s="9">
        <f>_xlfn.XLOOKUP(Follow[[#This Row],[Id Pedido]],Controle_Pedidos[Número Pedido Cliente],Controle_Pedidos[Prazo Entrega])</f>
        <v>45736</v>
      </c>
      <c r="F1067" s="9" t="s">
        <v>19433</v>
      </c>
      <c r="G1067" s="9" t="s">
        <v>37</v>
      </c>
      <c r="H1067" s="52" t="s">
        <v>178</v>
      </c>
      <c r="I1067" s="9" t="s">
        <v>178</v>
      </c>
      <c r="J1067" s="55">
        <v>45723</v>
      </c>
      <c r="K1067" s="54" t="s">
        <v>198</v>
      </c>
      <c r="L1067" s="8" t="s">
        <v>124</v>
      </c>
      <c r="M1067" s="8" t="s">
        <v>37</v>
      </c>
      <c r="N1067" s="52" t="str">
        <f>IF(Follow[[#This Row],[DATAATUALIZAÇÃO]]&lt;=Follow[[#This Row],[Prev Entrega]],"Dentro do Prazo","Fora do Prazo")</f>
        <v>Dentro do Prazo</v>
      </c>
      <c r="O10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07/03/2025, referente ao pedido Nº Pedido 1087 Rastreio Pedido 1087, agradecemos a preferência e adoraríamos receber sua avaliação, tendo qualquer dúvida estamos à disposição.
Att
NTA Variedades</v>
      </c>
    </row>
    <row r="1068" spans="1:15">
      <c r="A1068" s="52" t="str">
        <f>_xlfn.XLOOKUP(Follow[[#This Row],[CODRASTREIO]],Controle_Pedidos[Cód Rastreamento],Controle_Pedidos[Número Pedido Cliente])</f>
        <v>Pedido 1088</v>
      </c>
      <c r="B1068" s="2" t="s">
        <v>18507</v>
      </c>
      <c r="C1068" s="2" t="str">
        <f>Follow[[#This Row],[CODRASTREIO]]&amp;" B"</f>
        <v>CódRastreio1065 B</v>
      </c>
      <c r="D1068" s="52" t="str">
        <f>_xlfn.XLOOKUP(Follow[[#This Row],[Id Pedido]],Controle_Pedidos[Número Pedido Cliente],Controle_Pedidos[Loja])</f>
        <v>MEI</v>
      </c>
      <c r="E1068" s="9">
        <f>_xlfn.XLOOKUP(Follow[[#This Row],[Id Pedido]],Controle_Pedidos[Número Pedido Cliente],Controle_Pedidos[Prazo Entrega])</f>
        <v>45748</v>
      </c>
      <c r="F1068" s="9" t="s">
        <v>19433</v>
      </c>
      <c r="G1068" s="122" t="s">
        <v>284</v>
      </c>
      <c r="H1068" s="9" t="s">
        <v>179</v>
      </c>
      <c r="I1068" s="9" t="s">
        <v>178</v>
      </c>
      <c r="J1068" s="9">
        <v>45729</v>
      </c>
      <c r="K1068" s="8" t="s">
        <v>198</v>
      </c>
      <c r="L1068" s="8" t="s">
        <v>124</v>
      </c>
      <c r="M1068" s="8" t="s">
        <v>37</v>
      </c>
      <c r="N1068" s="52" t="str">
        <f>IF(Follow[[#This Row],[DATAATUALIZAÇÃO]]&lt;=Follow[[#This Row],[Prev Entrega]],"Dentro do Prazo","Fora do Prazo")</f>
        <v>Dentro do Prazo</v>
      </c>
      <c r="O10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13/03/2025, referente ao pedido Nº Pedido 1088 Rastreio NM761980623BR, agradecemos a preferência e adoraríamos receber sua avaliação, tendo qualquer dúvida estamos à disposição.
Att
NTA Variedades</v>
      </c>
    </row>
    <row r="1069" spans="1:15">
      <c r="A1069" s="52" t="str">
        <f>_xlfn.XLOOKUP(Follow[[#This Row],[CODRASTREIO]],Controle_Pedidos[Cód Rastreamento],Controle_Pedidos[Número Pedido Cliente])</f>
        <v>Pedido 1089</v>
      </c>
      <c r="B1069" s="2" t="s">
        <v>18508</v>
      </c>
      <c r="C1069" s="2" t="str">
        <f>Follow[[#This Row],[CODRASTREIO]]&amp;" B"</f>
        <v>CódRastreio1066 B</v>
      </c>
      <c r="D1069" s="52" t="str">
        <f>_xlfn.XLOOKUP(Follow[[#This Row],[Id Pedido]],Controle_Pedidos[Número Pedido Cliente],Controle_Pedidos[Loja])</f>
        <v>GO</v>
      </c>
      <c r="E1069" s="9">
        <f>_xlfn.XLOOKUP(Follow[[#This Row],[Id Pedido]],Controle_Pedidos[Número Pedido Cliente],Controle_Pedidos[Prazo Entrega])</f>
        <v>45742</v>
      </c>
      <c r="F1069" s="9" t="s">
        <v>19433</v>
      </c>
      <c r="G1069" s="9" t="s">
        <v>285</v>
      </c>
      <c r="H1069" s="52" t="s">
        <v>179</v>
      </c>
      <c r="I1069" s="9" t="s">
        <v>178</v>
      </c>
      <c r="J1069" s="55">
        <v>45726</v>
      </c>
      <c r="K1069" s="54" t="s">
        <v>198</v>
      </c>
      <c r="L1069" s="8" t="s">
        <v>124</v>
      </c>
      <c r="M1069" s="8" t="s">
        <v>37</v>
      </c>
      <c r="N1069" s="52" t="str">
        <f>IF(Follow[[#This Row],[DATAATUALIZAÇÃO]]&lt;=Follow[[#This Row],[Prev Entrega]],"Dentro do Prazo","Fora do Prazo")</f>
        <v>Dentro do Prazo</v>
      </c>
      <c r="O10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10/03/2025, referente ao pedido Nº Pedido 1089 Rastreio CNBR00057913880, agradecemos a preferência e adoraríamos receber sua avaliação, tendo qualquer dúvida estamos à disposição.
Att
Sec Variedades</v>
      </c>
    </row>
    <row r="1070" spans="1:15">
      <c r="A1070" s="52" t="str">
        <f>_xlfn.XLOOKUP(Follow[[#This Row],[CODRASTREIO]],Controle_Pedidos[Cód Rastreamento],Controle_Pedidos[Número Pedido Cliente])</f>
        <v>Pedido 944</v>
      </c>
      <c r="B1070" s="2" t="s">
        <v>18363</v>
      </c>
      <c r="C1070" s="2" t="str">
        <f>Follow[[#This Row],[CODRASTREIO]]&amp;" B"</f>
        <v>CódRastreio921 B</v>
      </c>
      <c r="D1070" s="52" t="str">
        <f>_xlfn.XLOOKUP(Follow[[#This Row],[Id Pedido]],Controle_Pedidos[Número Pedido Cliente],Controle_Pedidos[Loja])</f>
        <v>GO</v>
      </c>
      <c r="E1070" s="9">
        <f>_xlfn.XLOOKUP(Follow[[#This Row],[Id Pedido]],Controle_Pedidos[Número Pedido Cliente],Controle_Pedidos[Prazo Entrega])</f>
        <v>45727</v>
      </c>
      <c r="F1070" s="9" t="s">
        <v>19433</v>
      </c>
      <c r="G1070" s="9" t="s">
        <v>286</v>
      </c>
      <c r="H1070" s="52" t="s">
        <v>179</v>
      </c>
      <c r="I1070" s="9" t="s">
        <v>178</v>
      </c>
      <c r="J1070" s="55">
        <v>45724</v>
      </c>
      <c r="K1070" s="54" t="s">
        <v>198</v>
      </c>
      <c r="L1070" s="8" t="s">
        <v>124</v>
      </c>
      <c r="M1070" s="8" t="s">
        <v>37</v>
      </c>
      <c r="N1070" s="52" t="str">
        <f>IF(Follow[[#This Row],[DATAATUALIZAÇÃO]]&lt;=Follow[[#This Row],[Prev Entrega]],"Dentro do Prazo","Fora do Prazo")</f>
        <v>Dentro do Prazo</v>
      </c>
      <c r="O10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08/03/2025, referente ao pedido Nº Pedido 944 Rastreio CNBR00050447335, agradecemos a preferência e adoraríamos receber sua avaliação, tendo qualquer dúvida estamos à disposição.
Att
Sec Variedades</v>
      </c>
    </row>
    <row r="1071" spans="1:15">
      <c r="A1071" s="52" t="str">
        <f>_xlfn.XLOOKUP(Follow[[#This Row],[CODRASTREIO]],Controle_Pedidos[Cód Rastreamento],Controle_Pedidos[Número Pedido Cliente])</f>
        <v>Pedido 1050</v>
      </c>
      <c r="B1071" s="2" t="s">
        <v>18469</v>
      </c>
      <c r="C1071" s="2" t="str">
        <f>Follow[[#This Row],[CODRASTREIO]]&amp;" B"</f>
        <v>CódRastreio1027 B</v>
      </c>
      <c r="D1071" s="52" t="str">
        <f>_xlfn.XLOOKUP(Follow[[#This Row],[Id Pedido]],Controle_Pedidos[Número Pedido Cliente],Controle_Pedidos[Loja])</f>
        <v>BV</v>
      </c>
      <c r="E1071" s="9">
        <f>_xlfn.XLOOKUP(Follow[[#This Row],[Id Pedido]],Controle_Pedidos[Número Pedido Cliente],Controle_Pedidos[Prazo Entrega])</f>
        <v>45736</v>
      </c>
      <c r="F1071" s="9" t="s">
        <v>19433</v>
      </c>
      <c r="G1071" s="9" t="s">
        <v>37</v>
      </c>
      <c r="H1071" s="52" t="s">
        <v>178</v>
      </c>
      <c r="I1071" s="9" t="s">
        <v>178</v>
      </c>
      <c r="J1071" s="55">
        <v>45726</v>
      </c>
      <c r="K1071" s="54" t="s">
        <v>198</v>
      </c>
      <c r="L1071" s="8" t="s">
        <v>124</v>
      </c>
      <c r="M1071" s="8" t="s">
        <v>37</v>
      </c>
      <c r="N1071" s="52" t="str">
        <f>IF(Follow[[#This Row],[DATAATUALIZAÇÃO]]&lt;=Follow[[#This Row],[Prev Entrega]],"Dentro do Prazo","Fora do Prazo")</f>
        <v>Dentro do Prazo</v>
      </c>
      <c r="O10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10/03/2025, referente ao pedido Nº Pedido 1050 Rastreio Pedido 1050, agradecemos a preferência e adoraríamos receber sua avaliação, tendo qualquer dúvida estamos à disposição.
Att
Tem tudo Shop</v>
      </c>
    </row>
    <row r="1072" spans="1:15">
      <c r="A1072" s="52" t="str">
        <f>_xlfn.XLOOKUP(Follow[[#This Row],[CODRASTREIO]],Controle_Pedidos[Cód Rastreamento],Controle_Pedidos[Número Pedido Cliente])</f>
        <v>Pedido 1052</v>
      </c>
      <c r="B1072" s="2" t="s">
        <v>18471</v>
      </c>
      <c r="C1072" s="2" t="str">
        <f>Follow[[#This Row],[CODRASTREIO]]&amp;" B"</f>
        <v>CódRastreio1029 B</v>
      </c>
      <c r="D1072" s="52" t="str">
        <f>_xlfn.XLOOKUP(Follow[[#This Row],[Id Pedido]],Controle_Pedidos[Número Pedido Cliente],Controle_Pedidos[Loja])</f>
        <v>BV</v>
      </c>
      <c r="E1072" s="9">
        <f>_xlfn.XLOOKUP(Follow[[#This Row],[Id Pedido]],Controle_Pedidos[Número Pedido Cliente],Controle_Pedidos[Prazo Entrega])</f>
        <v>45731</v>
      </c>
      <c r="F1072" s="9" t="s">
        <v>19433</v>
      </c>
      <c r="G1072" s="9" t="s">
        <v>37</v>
      </c>
      <c r="H1072" s="52" t="s">
        <v>178</v>
      </c>
      <c r="I1072" s="9" t="s">
        <v>178</v>
      </c>
      <c r="J1072" s="55">
        <v>45722</v>
      </c>
      <c r="K1072" s="54" t="s">
        <v>198</v>
      </c>
      <c r="L1072" s="8" t="s">
        <v>124</v>
      </c>
      <c r="M1072" s="8" t="s">
        <v>37</v>
      </c>
      <c r="N1072" s="52" t="str">
        <f>IF(Follow[[#This Row],[DATAATUALIZAÇÃO]]&lt;=Follow[[#This Row],[Prev Entrega]],"Dentro do Prazo","Fora do Prazo")</f>
        <v>Dentro do Prazo</v>
      </c>
      <c r="O1072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06/03/2025, referente ao pedido Nº Pedido 1052 Rastreio Pedido 1052, agradecemos a preferência e adoraríamos receber sua avaliação, tendo qualquer dúvida estamos à disposição.
Att
Tem tudo Shop</v>
      </c>
    </row>
    <row r="1073" spans="1:15">
      <c r="A1073" s="52" t="str">
        <f>_xlfn.XLOOKUP(Follow[[#This Row],[CODRASTREIO]],Controle_Pedidos[Cód Rastreamento],Controle_Pedidos[Número Pedido Cliente])</f>
        <v>Pedido 1060</v>
      </c>
      <c r="B1073" s="2" t="s">
        <v>18479</v>
      </c>
      <c r="C1073" s="2" t="str">
        <f>Follow[[#This Row],[CODRASTREIO]]&amp;" B"</f>
        <v>CódRastreio1037 B</v>
      </c>
      <c r="D1073" s="52" t="str">
        <f>_xlfn.XLOOKUP(Follow[[#This Row],[Id Pedido]],Controle_Pedidos[Número Pedido Cliente],Controle_Pedidos[Loja])</f>
        <v>BV</v>
      </c>
      <c r="E1073" s="9">
        <f>_xlfn.XLOOKUP(Follow[[#This Row],[Id Pedido]],Controle_Pedidos[Número Pedido Cliente],Controle_Pedidos[Prazo Entrega])</f>
        <v>45745</v>
      </c>
      <c r="F1073" s="9" t="s">
        <v>19433</v>
      </c>
      <c r="G1073" s="9" t="s">
        <v>37</v>
      </c>
      <c r="H1073" s="9" t="s">
        <v>178</v>
      </c>
      <c r="I1073" s="9" t="s">
        <v>178</v>
      </c>
      <c r="J1073" s="9">
        <v>45736</v>
      </c>
      <c r="K1073" s="8" t="s">
        <v>198</v>
      </c>
      <c r="L1073" s="8" t="s">
        <v>124</v>
      </c>
      <c r="M1073" s="8" t="s">
        <v>37</v>
      </c>
      <c r="N1073" s="52" t="str">
        <f>IF(Follow[[#This Row],[DATAATUALIZAÇÃO]]&lt;=Follow[[#This Row],[Prev Entrega]],"Dentro do Prazo","Fora do Prazo")</f>
        <v>Dentro do Prazo</v>
      </c>
      <c r="O10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20/03/2025, referente ao pedido Nº Pedido 1060 Rastreio Pedido 1060, agradecemos a preferência e adoraríamos receber sua avaliação, tendo qualquer dúvida estamos à disposição.
Att
Tem tudo Shop</v>
      </c>
    </row>
    <row r="1074" spans="1:15">
      <c r="A1074" s="52" t="str">
        <f>_xlfn.XLOOKUP(Follow[[#This Row],[CODRASTREIO]],Controle_Pedidos[Cód Rastreamento],Controle_Pedidos[Número Pedido Cliente])</f>
        <v>Pedido 1080</v>
      </c>
      <c r="B1074" s="2" t="s">
        <v>18499</v>
      </c>
      <c r="C1074" s="2" t="str">
        <f>Follow[[#This Row],[CODRASTREIO]]&amp;" B"</f>
        <v>CódRastreio1057 B</v>
      </c>
      <c r="D1074" s="52" t="str">
        <f>_xlfn.XLOOKUP(Follow[[#This Row],[Id Pedido]],Controle_Pedidos[Número Pedido Cliente],Controle_Pedidos[Loja])</f>
        <v>BV</v>
      </c>
      <c r="E1074" s="9">
        <f>_xlfn.XLOOKUP(Follow[[#This Row],[Id Pedido]],Controle_Pedidos[Número Pedido Cliente],Controle_Pedidos[Prazo Entrega])</f>
        <v>45748</v>
      </c>
      <c r="F1074" s="9" t="s">
        <v>19433</v>
      </c>
      <c r="G1074" s="122" t="s">
        <v>287</v>
      </c>
      <c r="H1074" s="9" t="s">
        <v>179</v>
      </c>
      <c r="I1074" s="9" t="s">
        <v>178</v>
      </c>
      <c r="J1074" s="9">
        <v>45736</v>
      </c>
      <c r="K1074" s="8" t="s">
        <v>198</v>
      </c>
      <c r="L1074" s="8" t="s">
        <v>124</v>
      </c>
      <c r="M1074" s="8" t="s">
        <v>37</v>
      </c>
      <c r="N1074" s="52" t="str">
        <f>IF(Follow[[#This Row],[DATAATUALIZAÇÃO]]&lt;=Follow[[#This Row],[Prev Entrega]],"Dentro do Prazo","Fora do Prazo")</f>
        <v>Dentro do Prazo</v>
      </c>
      <c r="O10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20/03/2025, referente ao pedido Nº Pedido 1080 Rastreio NM763153214BR, agradecemos a preferência e adoraríamos receber sua avaliação, tendo qualquer dúvida estamos à disposição.
Att
Tem tudo Shop</v>
      </c>
    </row>
    <row r="1075" spans="1:15">
      <c r="A1075" s="52" t="str">
        <f>_xlfn.XLOOKUP(Follow[[#This Row],[CODRASTREIO]],Controle_Pedidos[Cód Rastreamento],Controle_Pedidos[Número Pedido Cliente])</f>
        <v>Pedido 1082</v>
      </c>
      <c r="B1075" s="2" t="s">
        <v>18501</v>
      </c>
      <c r="C1075" s="2" t="str">
        <f>Follow[[#This Row],[CODRASTREIO]]&amp;" B"</f>
        <v>CódRastreio1059 B</v>
      </c>
      <c r="D1075" s="52" t="str">
        <f>_xlfn.XLOOKUP(Follow[[#This Row],[Id Pedido]],Controle_Pedidos[Número Pedido Cliente],Controle_Pedidos[Loja])</f>
        <v>BV</v>
      </c>
      <c r="E1075" s="9">
        <f>_xlfn.XLOOKUP(Follow[[#This Row],[Id Pedido]],Controle_Pedidos[Número Pedido Cliente],Controle_Pedidos[Prazo Entrega])</f>
        <v>45736</v>
      </c>
      <c r="F1075" s="9" t="s">
        <v>19433</v>
      </c>
      <c r="G1075" s="9" t="s">
        <v>37</v>
      </c>
      <c r="H1075" s="52" t="s">
        <v>178</v>
      </c>
      <c r="I1075" s="9" t="s">
        <v>178</v>
      </c>
      <c r="J1075" s="55">
        <v>45723</v>
      </c>
      <c r="K1075" s="54" t="s">
        <v>198</v>
      </c>
      <c r="L1075" s="8" t="s">
        <v>124</v>
      </c>
      <c r="M1075" s="8" t="s">
        <v>37</v>
      </c>
      <c r="N1075" s="52" t="str">
        <f>IF(Follow[[#This Row],[DATAATUALIZAÇÃO]]&lt;=Follow[[#This Row],[Prev Entrega]],"Dentro do Prazo","Fora do Prazo")</f>
        <v>Dentro do Prazo</v>
      </c>
      <c r="O10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07/03/2025, referente ao pedido Nº Pedido 1082 Rastreio Pedido 1082, agradecemos a preferência e adoraríamos receber sua avaliação, tendo qualquer dúvida estamos à disposição.
Att
Tem tudo Shop</v>
      </c>
    </row>
    <row r="1076" spans="1:15">
      <c r="A1076" s="52" t="str">
        <f>_xlfn.XLOOKUP(Follow[[#This Row],[CODRASTREIO]],Controle_Pedidos[Cód Rastreamento],Controle_Pedidos[Número Pedido Cliente])</f>
        <v>Pedido 1091</v>
      </c>
      <c r="B1076" s="2" t="s">
        <v>18510</v>
      </c>
      <c r="C1076" s="2" t="str">
        <f>Follow[[#This Row],[CODRASTREIO]]&amp;" B"</f>
        <v>CódRastreio1068 B</v>
      </c>
      <c r="D1076" s="52" t="str">
        <f>_xlfn.XLOOKUP(Follow[[#This Row],[Id Pedido]],Controle_Pedidos[Número Pedido Cliente],Controle_Pedidos[Loja])</f>
        <v>BV</v>
      </c>
      <c r="E1076" s="9">
        <f>_xlfn.XLOOKUP(Follow[[#This Row],[Id Pedido]],Controle_Pedidos[Número Pedido Cliente],Controle_Pedidos[Prazo Entrega])</f>
        <v>45736</v>
      </c>
      <c r="F1076" s="9" t="s">
        <v>19433</v>
      </c>
      <c r="G1076" s="9" t="s">
        <v>37</v>
      </c>
      <c r="H1076" s="9" t="s">
        <v>178</v>
      </c>
      <c r="I1076" s="9" t="s">
        <v>178</v>
      </c>
      <c r="J1076" s="9">
        <v>45729</v>
      </c>
      <c r="K1076" s="8" t="s">
        <v>198</v>
      </c>
      <c r="L1076" s="8" t="s">
        <v>124</v>
      </c>
      <c r="M1076" s="8" t="s">
        <v>37</v>
      </c>
      <c r="N1076" s="52" t="str">
        <f>IF(Follow[[#This Row],[DATAATUALIZAÇÃO]]&lt;=Follow[[#This Row],[Prev Entrega]],"Dentro do Prazo","Fora do Prazo")</f>
        <v>Dentro do Prazo</v>
      </c>
      <c r="O10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13/03/2025, referente ao pedido Nº Pedido 1091 Rastreio Pedido 1091, agradecemos a preferência e adoraríamos receber sua avaliação, tendo qualquer dúvida estamos à disposição.
Att
Tem tudo Shop</v>
      </c>
    </row>
    <row r="1077" spans="1:15">
      <c r="A1077" s="52" t="str">
        <f>_xlfn.XLOOKUP(Follow[[#This Row],[CODRASTREIO]],Controle_Pedidos[Cód Rastreamento],Controle_Pedidos[Número Pedido Cliente])</f>
        <v>Pedido 1092</v>
      </c>
      <c r="B1077" s="2" t="s">
        <v>18511</v>
      </c>
      <c r="C1077" s="2" t="str">
        <f>Follow[[#This Row],[CODRASTREIO]]&amp;" B"</f>
        <v>CódRastreio1069 B</v>
      </c>
      <c r="D1077" s="52" t="str">
        <f>_xlfn.XLOOKUP(Follow[[#This Row],[Id Pedido]],Controle_Pedidos[Número Pedido Cliente],Controle_Pedidos[Loja])</f>
        <v>BV</v>
      </c>
      <c r="E1077" s="9">
        <f>_xlfn.XLOOKUP(Follow[[#This Row],[Id Pedido]],Controle_Pedidos[Número Pedido Cliente],Controle_Pedidos[Prazo Entrega])</f>
        <v>45736</v>
      </c>
      <c r="F1077" s="9" t="s">
        <v>19433</v>
      </c>
      <c r="G1077" s="9" t="s">
        <v>37</v>
      </c>
      <c r="H1077" s="52" t="s">
        <v>178</v>
      </c>
      <c r="I1077" s="9" t="s">
        <v>178</v>
      </c>
      <c r="J1077" s="55">
        <v>45722</v>
      </c>
      <c r="K1077" s="54" t="s">
        <v>198</v>
      </c>
      <c r="L1077" s="8" t="s">
        <v>124</v>
      </c>
      <c r="M1077" s="8" t="s">
        <v>37</v>
      </c>
      <c r="N1077" s="52" t="str">
        <f>IF(Follow[[#This Row],[DATAATUALIZAÇÃO]]&lt;=Follow[[#This Row],[Prev Entrega]],"Dentro do Prazo","Fora do Prazo")</f>
        <v>Dentro do Prazo</v>
      </c>
      <c r="O1077" s="12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06/03/2025, referente ao pedido Nº Pedido 1092 Rastreio Pedido 1092, agradecemos a preferência e adoraríamos receber sua avaliação, tendo qualquer dúvida estamos à disposição.
Att
Tem tudo Shop</v>
      </c>
    </row>
    <row r="1078" spans="1:15">
      <c r="A1078" s="52" t="str">
        <f>_xlfn.XLOOKUP(Follow[[#This Row],[CODRASTREIO]],Controle_Pedidos[Cód Rastreamento],Controle_Pedidos[Número Pedido Cliente])</f>
        <v>Pedido 1093</v>
      </c>
      <c r="B1078" s="2" t="s">
        <v>18512</v>
      </c>
      <c r="C1078" s="2" t="str">
        <f>Follow[[#This Row],[CODRASTREIO]]&amp;" B"</f>
        <v>CódRastreio1070 B</v>
      </c>
      <c r="D1078" s="52" t="str">
        <f>_xlfn.XLOOKUP(Follow[[#This Row],[Id Pedido]],Controle_Pedidos[Número Pedido Cliente],Controle_Pedidos[Loja])</f>
        <v>BV</v>
      </c>
      <c r="E1078" s="9">
        <f>_xlfn.XLOOKUP(Follow[[#This Row],[Id Pedido]],Controle_Pedidos[Número Pedido Cliente],Controle_Pedidos[Prazo Entrega])</f>
        <v>45755</v>
      </c>
      <c r="F1078" s="9" t="s">
        <v>19433</v>
      </c>
      <c r="G1078" s="9" t="s">
        <v>288</v>
      </c>
      <c r="H1078" s="9" t="s">
        <v>179</v>
      </c>
      <c r="I1078" s="9" t="s">
        <v>178</v>
      </c>
      <c r="J1078" s="9">
        <v>45763</v>
      </c>
      <c r="K1078" s="8" t="s">
        <v>198</v>
      </c>
      <c r="L1078" s="8" t="s">
        <v>124</v>
      </c>
      <c r="M1078" s="8" t="s">
        <v>208</v>
      </c>
      <c r="N1078" s="52" t="str">
        <f>IF(Follow[[#This Row],[DATAATUALIZAÇÃO]]&lt;=Follow[[#This Row],[Prev Entrega]],"Dentro do Prazo","Fora do Prazo")</f>
        <v>Fora do Prazo</v>
      </c>
      <c r="O10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16/04/2025, referente ao pedido Nº Pedido 1093 Rastreio NM763191420BR, agradecemos a preferência e adoraríamos receber sua avaliação, tendo qualquer dúvida estamos à disposição.
Att
Tem tudo Shop</v>
      </c>
    </row>
    <row r="1079" spans="1:15">
      <c r="A1079" s="52" t="str">
        <f>_xlfn.XLOOKUP(Follow[[#This Row],[CODRASTREIO]],Controle_Pedidos[Cód Rastreamento],Controle_Pedidos[Número Pedido Cliente])</f>
        <v>Pedido 1094</v>
      </c>
      <c r="B1079" s="2" t="s">
        <v>18513</v>
      </c>
      <c r="C1079" s="2" t="str">
        <f>Follow[[#This Row],[CODRASTREIO]]&amp;" B"</f>
        <v>CódRastreio1071 B</v>
      </c>
      <c r="D1079" s="52" t="str">
        <f>_xlfn.XLOOKUP(Follow[[#This Row],[Id Pedido]],Controle_Pedidos[Número Pedido Cliente],Controle_Pedidos[Loja])</f>
        <v>BV</v>
      </c>
      <c r="E1079" s="9">
        <f>_xlfn.XLOOKUP(Follow[[#This Row],[Id Pedido]],Controle_Pedidos[Número Pedido Cliente],Controle_Pedidos[Prazo Entrega])</f>
        <v>45748</v>
      </c>
      <c r="F1079" s="9" t="s">
        <v>19433</v>
      </c>
      <c r="G1079" s="122" t="s">
        <v>289</v>
      </c>
      <c r="H1079" s="9" t="s">
        <v>179</v>
      </c>
      <c r="I1079" s="9" t="s">
        <v>178</v>
      </c>
      <c r="J1079" s="9">
        <v>45737</v>
      </c>
      <c r="K1079" s="8" t="s">
        <v>198</v>
      </c>
      <c r="L1079" s="8" t="s">
        <v>124</v>
      </c>
      <c r="M1079" s="8" t="s">
        <v>37</v>
      </c>
      <c r="N1079" s="52" t="str">
        <f>IF(Follow[[#This Row],[DATAATUALIZAÇÃO]]&lt;=Follow[[#This Row],[Prev Entrega]],"Dentro do Prazo","Fora do Prazo")</f>
        <v>Dentro do Prazo</v>
      </c>
      <c r="O10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21/03/2025, referente ao pedido Nº Pedido 1094 Rastreio NM763186685BR, agradecemos a preferência e adoraríamos receber sua avaliação, tendo qualquer dúvida estamos à disposição.
Att
Tem tudo Shop</v>
      </c>
    </row>
    <row r="1080" spans="1:15">
      <c r="A1080" s="52" t="str">
        <f>_xlfn.XLOOKUP(Follow[[#This Row],[CODRASTREIO]],Controle_Pedidos[Cód Rastreamento],Controle_Pedidos[Número Pedido Cliente])</f>
        <v>Pedido 1095</v>
      </c>
      <c r="B1080" s="2" t="s">
        <v>18514</v>
      </c>
      <c r="C1080" s="2" t="str">
        <f>Follow[[#This Row],[CODRASTREIO]]&amp;" B"</f>
        <v>CódRastreio1072 B</v>
      </c>
      <c r="D1080" s="52" t="str">
        <f>_xlfn.XLOOKUP(Follow[[#This Row],[Id Pedido]],Controle_Pedidos[Número Pedido Cliente],Controle_Pedidos[Loja])</f>
        <v>BV</v>
      </c>
      <c r="E1080" s="9">
        <f>_xlfn.XLOOKUP(Follow[[#This Row],[Id Pedido]],Controle_Pedidos[Número Pedido Cliente],Controle_Pedidos[Prazo Entrega])</f>
        <v>45736</v>
      </c>
      <c r="F1080" s="9" t="s">
        <v>19433</v>
      </c>
      <c r="G1080" s="9" t="s">
        <v>37</v>
      </c>
      <c r="H1080" s="52" t="s">
        <v>178</v>
      </c>
      <c r="I1080" s="9" t="s">
        <v>178</v>
      </c>
      <c r="J1080" s="55">
        <v>45724</v>
      </c>
      <c r="K1080" s="54" t="s">
        <v>198</v>
      </c>
      <c r="L1080" s="8" t="s">
        <v>124</v>
      </c>
      <c r="M1080" s="8" t="s">
        <v>37</v>
      </c>
      <c r="N1080" s="52" t="str">
        <f>IF(Follow[[#This Row],[DATAATUALIZAÇÃO]]&lt;=Follow[[#This Row],[Prev Entrega]],"Dentro do Prazo","Fora do Prazo")</f>
        <v>Dentro do Prazo</v>
      </c>
      <c r="O10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08/03/2025, referente ao pedido Nº Pedido 1095 Rastreio Pedido 1095, agradecemos a preferência e adoraríamos receber sua avaliação, tendo qualquer dúvida estamos à disposição.
Att
Tem tudo Shop</v>
      </c>
    </row>
    <row r="1081" spans="1:15">
      <c r="A1081" s="52" t="str">
        <f>_xlfn.XLOOKUP(Follow[[#This Row],[CODRASTREIO]],Controle_Pedidos[Cód Rastreamento],Controle_Pedidos[Número Pedido Cliente])</f>
        <v>Pedido 1090</v>
      </c>
      <c r="B1081" s="2" t="s">
        <v>18509</v>
      </c>
      <c r="C1081" s="2" t="str">
        <f>Follow[[#This Row],[CODRASTREIO]]&amp;" B"</f>
        <v>CódRastreio1067 B</v>
      </c>
      <c r="D1081" s="52" t="str">
        <f>_xlfn.XLOOKUP(Follow[[#This Row],[Id Pedido]],Controle_Pedidos[Número Pedido Cliente],Controle_Pedidos[Loja])</f>
        <v>BV</v>
      </c>
      <c r="E1081" s="9">
        <f>_xlfn.XLOOKUP(Follow[[#This Row],[Id Pedido]],Controle_Pedidos[Número Pedido Cliente],Controle_Pedidos[Prazo Entrega])</f>
        <v>45742</v>
      </c>
      <c r="F1081" s="9" t="s">
        <v>19433</v>
      </c>
      <c r="G1081" s="9" t="s">
        <v>37</v>
      </c>
      <c r="H1081" s="9" t="s">
        <v>178</v>
      </c>
      <c r="I1081" s="9" t="s">
        <v>178</v>
      </c>
      <c r="J1081" s="9">
        <v>45735</v>
      </c>
      <c r="K1081" s="8" t="s">
        <v>198</v>
      </c>
      <c r="L1081" s="8" t="s">
        <v>124</v>
      </c>
      <c r="M1081" s="8" t="s">
        <v>37</v>
      </c>
      <c r="N1081" s="52" t="str">
        <f>IF(Follow[[#This Row],[DATAATUALIZAÇÃO]]&lt;=Follow[[#This Row],[Prev Entrega]],"Dentro do Prazo","Fora do Prazo")</f>
        <v>Dentro do Prazo</v>
      </c>
      <c r="O10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19/03/2025, referente ao pedido Nº Pedido 1090 Rastreio Pedido 1090, agradecemos a preferência e adoraríamos receber sua avaliação, tendo qualquer dúvida estamos à disposição.
Att
Tem tudo Shop</v>
      </c>
    </row>
    <row r="1082" spans="1:15">
      <c r="A1082" s="52" t="str">
        <f>_xlfn.XLOOKUP(Follow[[#This Row],[CODRASTREIO]],Controle_Pedidos[Cód Rastreamento],Controle_Pedidos[Número Pedido Cliente])</f>
        <v>Pedido 1096</v>
      </c>
      <c r="B1082" s="2" t="s">
        <v>18515</v>
      </c>
      <c r="C1082" s="2" t="str">
        <f>Follow[[#This Row],[CODRASTREIO]]&amp;" B"</f>
        <v>CódRastreio1073 B</v>
      </c>
      <c r="D1082" s="52" t="str">
        <f>_xlfn.XLOOKUP(Follow[[#This Row],[Id Pedido]],Controle_Pedidos[Número Pedido Cliente],Controle_Pedidos[Loja])</f>
        <v>BV</v>
      </c>
      <c r="E1082" s="9">
        <f>_xlfn.XLOOKUP(Follow[[#This Row],[Id Pedido]],Controle_Pedidos[Número Pedido Cliente],Controle_Pedidos[Prazo Entrega])</f>
        <v>45736</v>
      </c>
      <c r="F1082" s="9" t="s">
        <v>19433</v>
      </c>
      <c r="G1082" s="9" t="s">
        <v>37</v>
      </c>
      <c r="H1082" s="9" t="s">
        <v>178</v>
      </c>
      <c r="I1082" s="9" t="s">
        <v>178</v>
      </c>
      <c r="J1082" s="9">
        <v>45729</v>
      </c>
      <c r="K1082" s="8" t="s">
        <v>198</v>
      </c>
      <c r="L1082" s="8" t="s">
        <v>124</v>
      </c>
      <c r="M1082" s="8" t="s">
        <v>37</v>
      </c>
      <c r="N1082" s="52" t="str">
        <f>IF(Follow[[#This Row],[DATAATUALIZAÇÃO]]&lt;=Follow[[#This Row],[Prev Entrega]],"Dentro do Prazo","Fora do Prazo")</f>
        <v>Dentro do Prazo</v>
      </c>
      <c r="O10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13/03/2025, referente ao pedido Nº Pedido 1096 Rastreio Pedido 1096, agradecemos a preferência e adoraríamos receber sua avaliação, tendo qualquer dúvida estamos à disposição.
Att
Tem tudo Shop</v>
      </c>
    </row>
    <row r="1083" spans="1:15">
      <c r="A1083" s="52" t="str">
        <f>_xlfn.XLOOKUP(Follow[[#This Row],[CODRASTREIO]],Controle_Pedidos[Cód Rastreamento],Controle_Pedidos[Número Pedido Cliente])</f>
        <v>Pedido 1097</v>
      </c>
      <c r="B1083" s="2" t="s">
        <v>18516</v>
      </c>
      <c r="C1083" s="2" t="str">
        <f>Follow[[#This Row],[CODRASTREIO]]&amp;" B"</f>
        <v>CódRastreio1074 B</v>
      </c>
      <c r="D1083" s="52" t="str">
        <f>_xlfn.XLOOKUP(Follow[[#This Row],[Id Pedido]],Controle_Pedidos[Número Pedido Cliente],Controle_Pedidos[Loja])</f>
        <v>BV</v>
      </c>
      <c r="E1083" s="9">
        <f>_xlfn.XLOOKUP(Follow[[#This Row],[Id Pedido]],Controle_Pedidos[Número Pedido Cliente],Controle_Pedidos[Prazo Entrega])</f>
        <v>45742</v>
      </c>
      <c r="F1083" s="9" t="s">
        <v>19433</v>
      </c>
      <c r="G1083" s="9" t="s">
        <v>37</v>
      </c>
      <c r="H1083" s="9" t="s">
        <v>178</v>
      </c>
      <c r="I1083" s="9" t="s">
        <v>178</v>
      </c>
      <c r="J1083" s="9">
        <v>45733</v>
      </c>
      <c r="K1083" s="8" t="s">
        <v>198</v>
      </c>
      <c r="L1083" s="8" t="s">
        <v>124</v>
      </c>
      <c r="M1083" s="8" t="s">
        <v>37</v>
      </c>
      <c r="N1083" s="52" t="str">
        <f>IF(Follow[[#This Row],[DATAATUALIZAÇÃO]]&lt;=Follow[[#This Row],[Prev Entrega]],"Dentro do Prazo","Fora do Prazo")</f>
        <v>Dentro do Prazo</v>
      </c>
      <c r="O108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17/03/2025, referente ao pedido Nº Pedido 1097 Rastreio Pedido 1097, agradecemos a preferência e adoraríamos receber sua avaliação, tendo qualquer dúvida estamos à disposição.
Att
Tem tudo Shop</v>
      </c>
    </row>
    <row r="1084" spans="1:15">
      <c r="A1084" s="52" t="str">
        <f>_xlfn.XLOOKUP(Follow[[#This Row],[CODRASTREIO]],Controle_Pedidos[Cód Rastreamento],Controle_Pedidos[Número Pedido Cliente])</f>
        <v>Pedido 1098</v>
      </c>
      <c r="B1084" s="2" t="s">
        <v>18517</v>
      </c>
      <c r="C1084" s="2" t="str">
        <f>Follow[[#This Row],[CODRASTREIO]]&amp;" B"</f>
        <v>CódRastreio1075 B</v>
      </c>
      <c r="D1084" s="52" t="str">
        <f>_xlfn.XLOOKUP(Follow[[#This Row],[Id Pedido]],Controle_Pedidos[Número Pedido Cliente],Controle_Pedidos[Loja])</f>
        <v>BV</v>
      </c>
      <c r="E1084" s="9">
        <f>_xlfn.XLOOKUP(Follow[[#This Row],[Id Pedido]],Controle_Pedidos[Número Pedido Cliente],Controle_Pedidos[Prazo Entrega])</f>
        <v>45748</v>
      </c>
      <c r="F1084" s="9" t="s">
        <v>19433</v>
      </c>
      <c r="G1084" s="9" t="s">
        <v>290</v>
      </c>
      <c r="H1084" s="9" t="s">
        <v>179</v>
      </c>
      <c r="I1084" s="9" t="s">
        <v>178</v>
      </c>
      <c r="J1084" s="9">
        <v>45770</v>
      </c>
      <c r="K1084" s="8" t="s">
        <v>198</v>
      </c>
      <c r="L1084" s="8" t="s">
        <v>124</v>
      </c>
      <c r="M1084" s="8" t="s">
        <v>37</v>
      </c>
      <c r="N1084" s="52" t="str">
        <f>IF(Follow[[#This Row],[DATAATUALIZAÇÃO]]&lt;=Follow[[#This Row],[Prev Entrega]],"Dentro do Prazo","Fora do Prazo")</f>
        <v>Fora do Prazo</v>
      </c>
      <c r="O10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23/04/2025, referente ao pedido Nº Pedido 1098 Rastreio NM763632949BR, agradecemos a preferência e adoraríamos receber sua avaliação, tendo qualquer dúvida estamos à disposição.
Att
Tem tudo Shop</v>
      </c>
    </row>
    <row r="1085" spans="1:15">
      <c r="A1085" s="52" t="str">
        <f>_xlfn.XLOOKUP(Follow[[#This Row],[CODRASTREIO]],Controle_Pedidos[Cód Rastreamento],Controle_Pedidos[Número Pedido Cliente])</f>
        <v>Pedido 1099</v>
      </c>
      <c r="B1085" s="2" t="s">
        <v>18518</v>
      </c>
      <c r="C1085" s="2" t="str">
        <f>Follow[[#This Row],[CODRASTREIO]]&amp;" B"</f>
        <v>CódRastreio1076 B</v>
      </c>
      <c r="D1085" s="52" t="str">
        <f>_xlfn.XLOOKUP(Follow[[#This Row],[Id Pedido]],Controle_Pedidos[Número Pedido Cliente],Controle_Pedidos[Loja])</f>
        <v>BV</v>
      </c>
      <c r="E1085" s="9">
        <f>_xlfn.XLOOKUP(Follow[[#This Row],[Id Pedido]],Controle_Pedidos[Número Pedido Cliente],Controle_Pedidos[Prazo Entrega])</f>
        <v>45748</v>
      </c>
      <c r="F1085" s="9" t="s">
        <v>19433</v>
      </c>
      <c r="G1085" s="9" t="s">
        <v>291</v>
      </c>
      <c r="H1085" s="9" t="s">
        <v>179</v>
      </c>
      <c r="I1085" s="9" t="s">
        <v>178</v>
      </c>
      <c r="J1085" s="9">
        <v>45764</v>
      </c>
      <c r="K1085" s="8" t="s">
        <v>198</v>
      </c>
      <c r="L1085" s="8" t="s">
        <v>124</v>
      </c>
      <c r="M1085" s="8" t="s">
        <v>37</v>
      </c>
      <c r="N1085" s="52" t="str">
        <f>IF(Follow[[#This Row],[DATAATUALIZAÇÃO]]&lt;=Follow[[#This Row],[Prev Entrega]],"Dentro do Prazo","Fora do Prazo")</f>
        <v>Fora do Prazo</v>
      </c>
      <c r="O10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17/04/2025, referente ao pedido Nº Pedido 1099 Rastreio NM763634145BR, agradecemos a preferência e adoraríamos receber sua avaliação, tendo qualquer dúvida estamos à disposição.
Att
Tem tudo Shop</v>
      </c>
    </row>
    <row r="1086" spans="1:15">
      <c r="A1086" s="52" t="str">
        <f>_xlfn.XLOOKUP(Follow[[#This Row],[CODRASTREIO]],Controle_Pedidos[Cód Rastreamento],Controle_Pedidos[Número Pedido Cliente])</f>
        <v>Pedido 1101</v>
      </c>
      <c r="B1086" s="2" t="s">
        <v>18520</v>
      </c>
      <c r="C1086" s="2" t="str">
        <f>Follow[[#This Row],[CODRASTREIO]]&amp;" B"</f>
        <v>CódRastreio1078 B</v>
      </c>
      <c r="D1086" s="52" t="str">
        <f>_xlfn.XLOOKUP(Follow[[#This Row],[Id Pedido]],Controle_Pedidos[Número Pedido Cliente],Controle_Pedidos[Loja])</f>
        <v>GO</v>
      </c>
      <c r="E1086" s="9">
        <f>_xlfn.XLOOKUP(Follow[[#This Row],[Id Pedido]],Controle_Pedidos[Número Pedido Cliente],Controle_Pedidos[Prazo Entrega])</f>
        <v>45748</v>
      </c>
      <c r="F1086" s="9" t="s">
        <v>19433</v>
      </c>
      <c r="G1086" s="122" t="s">
        <v>292</v>
      </c>
      <c r="H1086" s="9" t="s">
        <v>179</v>
      </c>
      <c r="I1086" s="9" t="s">
        <v>178</v>
      </c>
      <c r="J1086" s="9">
        <v>45735</v>
      </c>
      <c r="K1086" s="8" t="s">
        <v>198</v>
      </c>
      <c r="L1086" s="8" t="s">
        <v>124</v>
      </c>
      <c r="M1086" s="8" t="s">
        <v>37</v>
      </c>
      <c r="N1086" s="52" t="str">
        <f>IF(Follow[[#This Row],[DATAATUALIZAÇÃO]]&lt;=Follow[[#This Row],[Prev Entrega]],"Dentro do Prazo","Fora do Prazo")</f>
        <v>Dentro do Prazo</v>
      </c>
      <c r="O10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19/03/2025, referente ao pedido Nº Pedido 1101 Rastreio NM763693143BR, agradecemos a preferência e adoraríamos receber sua avaliação, tendo qualquer dúvida estamos à disposição.
Att
Sec Variedades</v>
      </c>
    </row>
    <row r="1087" spans="1:15">
      <c r="A1087" s="52" t="str">
        <f>_xlfn.XLOOKUP(Follow[[#This Row],[CODRASTREIO]],Controle_Pedidos[Cód Rastreamento],Controle_Pedidos[Número Pedido Cliente])</f>
        <v>Pedido 1102</v>
      </c>
      <c r="B1087" s="2" t="s">
        <v>18521</v>
      </c>
      <c r="C1087" s="2" t="str">
        <f>Follow[[#This Row],[CODRASTREIO]]&amp;" B"</f>
        <v>CódRastreio1079 B</v>
      </c>
      <c r="D1087" s="52" t="str">
        <f>_xlfn.XLOOKUP(Follow[[#This Row],[Id Pedido]],Controle_Pedidos[Número Pedido Cliente],Controle_Pedidos[Loja])</f>
        <v>BV</v>
      </c>
      <c r="E1087" s="9">
        <f>_xlfn.XLOOKUP(Follow[[#This Row],[Id Pedido]],Controle_Pedidos[Número Pedido Cliente],Controle_Pedidos[Prazo Entrega])</f>
        <v>45748</v>
      </c>
      <c r="F1087" s="9" t="s">
        <v>19433</v>
      </c>
      <c r="G1087" s="122" t="s">
        <v>293</v>
      </c>
      <c r="H1087" s="9" t="s">
        <v>179</v>
      </c>
      <c r="I1087" s="9" t="s">
        <v>178</v>
      </c>
      <c r="J1087" s="9">
        <v>45730</v>
      </c>
      <c r="K1087" s="8" t="s">
        <v>198</v>
      </c>
      <c r="L1087" s="8" t="s">
        <v>124</v>
      </c>
      <c r="M1087" s="8" t="s">
        <v>37</v>
      </c>
      <c r="N1087" s="52" t="str">
        <f>IF(Follow[[#This Row],[DATAATUALIZAÇÃO]]&lt;=Follow[[#This Row],[Prev Entrega]],"Dentro do Prazo","Fora do Prazo")</f>
        <v>Dentro do Prazo</v>
      </c>
      <c r="O10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14/03/2025, referente ao pedido Nº Pedido 1102 Rastreio NM763648467BR, agradecemos a preferência e adoraríamos receber sua avaliação, tendo qualquer dúvida estamos à disposição.
Att
Tem tudo Shop</v>
      </c>
    </row>
    <row r="1088" spans="1:15">
      <c r="A1088" s="52" t="str">
        <f>_xlfn.XLOOKUP(Follow[[#This Row],[CODRASTREIO]],Controle_Pedidos[Cód Rastreamento],Controle_Pedidos[Número Pedido Cliente])</f>
        <v>Pedido 1103</v>
      </c>
      <c r="B1088" s="2" t="s">
        <v>18522</v>
      </c>
      <c r="C1088" s="2" t="str">
        <f>Follow[[#This Row],[CODRASTREIO]]&amp;" B"</f>
        <v>CódRastreio1080 B</v>
      </c>
      <c r="D1088" s="52" t="str">
        <f>_xlfn.XLOOKUP(Follow[[#This Row],[Id Pedido]],Controle_Pedidos[Número Pedido Cliente],Controle_Pedidos[Loja])</f>
        <v>BV</v>
      </c>
      <c r="E1088" s="9">
        <f>_xlfn.XLOOKUP(Follow[[#This Row],[Id Pedido]],Controle_Pedidos[Número Pedido Cliente],Controle_Pedidos[Prazo Entrega])</f>
        <v>45742</v>
      </c>
      <c r="F1088" s="9" t="s">
        <v>19433</v>
      </c>
      <c r="G1088" s="9" t="s">
        <v>294</v>
      </c>
      <c r="H1088" s="9" t="s">
        <v>179</v>
      </c>
      <c r="I1088" s="9" t="s">
        <v>178</v>
      </c>
      <c r="J1088" s="9">
        <v>45740</v>
      </c>
      <c r="K1088" s="8" t="s">
        <v>198</v>
      </c>
      <c r="L1088" s="8" t="s">
        <v>124</v>
      </c>
      <c r="M1088" s="8" t="s">
        <v>37</v>
      </c>
      <c r="N1088" s="52" t="str">
        <f>IF(Follow[[#This Row],[DATAATUALIZAÇÃO]]&lt;=Follow[[#This Row],[Prev Entrega]],"Dentro do Prazo","Fora do Prazo")</f>
        <v>Dentro do Prazo</v>
      </c>
      <c r="O10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24/03/2025, referente ao pedido Nº Pedido 1103 Rastreio NM763655397BR, agradecemos a preferência e adoraríamos receber sua avaliação, tendo qualquer dúvida estamos à disposição.
Att
Tem tudo Shop</v>
      </c>
    </row>
    <row r="1089" spans="1:15">
      <c r="A1089" s="52" t="str">
        <f>_xlfn.XLOOKUP(Follow[[#This Row],[CODRASTREIO]],Controle_Pedidos[Cód Rastreamento],Controle_Pedidos[Número Pedido Cliente])</f>
        <v>Pedido 1104</v>
      </c>
      <c r="B1089" s="2" t="s">
        <v>18523</v>
      </c>
      <c r="C1089" s="2" t="str">
        <f>Follow[[#This Row],[CODRASTREIO]]&amp;" B"</f>
        <v>CódRastreio1081 B</v>
      </c>
      <c r="D1089" s="52" t="str">
        <f>_xlfn.XLOOKUP(Follow[[#This Row],[Id Pedido]],Controle_Pedidos[Número Pedido Cliente],Controle_Pedidos[Loja])</f>
        <v>BV</v>
      </c>
      <c r="E1089" s="9">
        <f>_xlfn.XLOOKUP(Follow[[#This Row],[Id Pedido]],Controle_Pedidos[Número Pedido Cliente],Controle_Pedidos[Prazo Entrega])</f>
        <v>45736</v>
      </c>
      <c r="F1089" s="9" t="s">
        <v>19433</v>
      </c>
      <c r="G1089" s="9" t="s">
        <v>37</v>
      </c>
      <c r="H1089" s="9" t="s">
        <v>178</v>
      </c>
      <c r="I1089" s="9" t="s">
        <v>178</v>
      </c>
      <c r="J1089" s="9">
        <v>45729</v>
      </c>
      <c r="K1089" s="8" t="s">
        <v>198</v>
      </c>
      <c r="L1089" s="8" t="s">
        <v>124</v>
      </c>
      <c r="M1089" s="8" t="s">
        <v>37</v>
      </c>
      <c r="N1089" s="52" t="str">
        <f>IF(Follow[[#This Row],[DATAATUALIZAÇÃO]]&lt;=Follow[[#This Row],[Prev Entrega]],"Dentro do Prazo","Fora do Prazo")</f>
        <v>Dentro do Prazo</v>
      </c>
      <c r="O10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13/03/2025, referente ao pedido Nº Pedido 1104 Rastreio Pedido 1104, agradecemos a preferência e adoraríamos receber sua avaliação, tendo qualquer dúvida estamos à disposição.
Att
Tem tudo Shop</v>
      </c>
    </row>
    <row r="1090" spans="1:15">
      <c r="A1090" s="52" t="str">
        <f>_xlfn.XLOOKUP(Follow[[#This Row],[CODRASTREIO]],Controle_Pedidos[Cód Rastreamento],Controle_Pedidos[Número Pedido Cliente])</f>
        <v>Pedido 1107</v>
      </c>
      <c r="B1090" s="2" t="s">
        <v>18525</v>
      </c>
      <c r="C1090" s="2" t="str">
        <f>Follow[[#This Row],[CODRASTREIO]]&amp;" B"</f>
        <v>CódRastreio1083 B</v>
      </c>
      <c r="D1090" s="52" t="str">
        <f>_xlfn.XLOOKUP(Follow[[#This Row],[Id Pedido]],Controle_Pedidos[Número Pedido Cliente],Controle_Pedidos[Loja])</f>
        <v>BV</v>
      </c>
      <c r="E1090" s="9">
        <f>_xlfn.XLOOKUP(Follow[[#This Row],[Id Pedido]],Controle_Pedidos[Número Pedido Cliente],Controle_Pedidos[Prazo Entrega])</f>
        <v>45742</v>
      </c>
      <c r="F1090" s="9" t="s">
        <v>19433</v>
      </c>
      <c r="G1090" s="9" t="s">
        <v>37</v>
      </c>
      <c r="H1090" s="9" t="s">
        <v>178</v>
      </c>
      <c r="I1090" s="9" t="s">
        <v>178</v>
      </c>
      <c r="J1090" s="9">
        <v>45769</v>
      </c>
      <c r="K1090" s="8" t="s">
        <v>198</v>
      </c>
      <c r="L1090" s="8" t="s">
        <v>124</v>
      </c>
      <c r="M1090" s="8" t="s">
        <v>269</v>
      </c>
      <c r="N1090" s="52" t="str">
        <f>IF(Follow[[#This Row],[DATAATUALIZAÇÃO]]&lt;=Follow[[#This Row],[Prev Entrega]],"Dentro do Prazo","Fora do Prazo")</f>
        <v>Fora do Prazo</v>
      </c>
      <c r="O1090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22/04/2025, referente ao pedido Nº Pedido 1107 Rastreio Pedido 1107, agradecemos a preferência e adoraríamos receber sua avaliação, tendo qualquer dúvida estamos à disposição.
Att
Tem tudo Shop</v>
      </c>
    </row>
    <row r="1091" spans="1:15">
      <c r="A1091" s="52" t="str">
        <f>_xlfn.XLOOKUP(Follow[[#This Row],[CODRASTREIO]],Controle_Pedidos[Cód Rastreamento],Controle_Pedidos[Número Pedido Cliente])</f>
        <v>Pedido 1108</v>
      </c>
      <c r="B1091" s="2" t="s">
        <v>18526</v>
      </c>
      <c r="C1091" s="2" t="str">
        <f>Follow[[#This Row],[CODRASTREIO]]&amp;" B"</f>
        <v>CódRastreio1084 B</v>
      </c>
      <c r="D1091" s="52" t="str">
        <f>_xlfn.XLOOKUP(Follow[[#This Row],[Id Pedido]],Controle_Pedidos[Número Pedido Cliente],Controle_Pedidos[Loja])</f>
        <v>MEI</v>
      </c>
      <c r="E1091" s="9">
        <f>_xlfn.XLOOKUP(Follow[[#This Row],[Id Pedido]],Controle_Pedidos[Número Pedido Cliente],Controle_Pedidos[Prazo Entrega])</f>
        <v>45748</v>
      </c>
      <c r="F1091" s="9" t="s">
        <v>19433</v>
      </c>
      <c r="G1091" s="122" t="s">
        <v>295</v>
      </c>
      <c r="H1091" s="9" t="s">
        <v>179</v>
      </c>
      <c r="I1091" s="9" t="s">
        <v>178</v>
      </c>
      <c r="J1091" s="9">
        <v>45729</v>
      </c>
      <c r="K1091" s="8" t="s">
        <v>198</v>
      </c>
      <c r="L1091" s="8" t="s">
        <v>124</v>
      </c>
      <c r="M1091" s="8" t="s">
        <v>37</v>
      </c>
      <c r="N1091" s="52" t="str">
        <f>IF(Follow[[#This Row],[DATAATUALIZAÇÃO]]&lt;=Follow[[#This Row],[Prev Entrega]],"Dentro do Prazo","Fora do Prazo")</f>
        <v>Dentro do Prazo</v>
      </c>
      <c r="O10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13/03/2025, referente ao pedido Nº Pedido 1108 Rastreio NM763702667BR, agradecemos a preferência e adoraríamos receber sua avaliação, tendo qualquer dúvida estamos à disposição.
Att
NTA Variedades</v>
      </c>
    </row>
    <row r="1092" spans="1:15">
      <c r="A1092" s="52" t="str">
        <f>_xlfn.XLOOKUP(Follow[[#This Row],[CODRASTREIO]],Controle_Pedidos[Cód Rastreamento],Controle_Pedidos[Número Pedido Cliente])</f>
        <v>Pedido 1074</v>
      </c>
      <c r="B1092" s="2" t="s">
        <v>18493</v>
      </c>
      <c r="C1092" s="2" t="str">
        <f>Follow[[#This Row],[CODRASTREIO]]&amp;" B"</f>
        <v>CódRastreio1051 B</v>
      </c>
      <c r="D1092" s="52" t="str">
        <f>_xlfn.XLOOKUP(Follow[[#This Row],[Id Pedido]],Controle_Pedidos[Número Pedido Cliente],Controle_Pedidos[Loja])</f>
        <v>BV</v>
      </c>
      <c r="E1092" s="9">
        <f>_xlfn.XLOOKUP(Follow[[#This Row],[Id Pedido]],Controle_Pedidos[Número Pedido Cliente],Controle_Pedidos[Prazo Entrega])</f>
        <v>45736</v>
      </c>
      <c r="F1092" s="9" t="s">
        <v>19433</v>
      </c>
      <c r="G1092" s="9" t="s">
        <v>37</v>
      </c>
      <c r="H1092" s="9" t="s">
        <v>178</v>
      </c>
      <c r="I1092" s="9" t="s">
        <v>178</v>
      </c>
      <c r="J1092" s="9">
        <v>45729</v>
      </c>
      <c r="K1092" s="8" t="s">
        <v>198</v>
      </c>
      <c r="L1092" s="8" t="s">
        <v>124</v>
      </c>
      <c r="M1092" s="8" t="s">
        <v>37</v>
      </c>
      <c r="N1092" s="52" t="str">
        <f>IF(Follow[[#This Row],[DATAATUALIZAÇÃO]]&lt;=Follow[[#This Row],[Prev Entrega]],"Dentro do Prazo","Fora do Prazo")</f>
        <v>Dentro do Prazo</v>
      </c>
      <c r="O10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13/03/2025, referente ao pedido Nº Pedido 1074 Rastreio Pedido 1074, agradecemos a preferência e adoraríamos receber sua avaliação, tendo qualquer dúvida estamos à disposição.
Att
Tem tudo Shop</v>
      </c>
    </row>
    <row r="1093" spans="1:15">
      <c r="A1093" s="52" t="str">
        <f>_xlfn.XLOOKUP(Follow[[#This Row],[CODRASTREIO]],Controle_Pedidos[Cód Rastreamento],Controle_Pedidos[Número Pedido Cliente])</f>
        <v>Pedido 1078</v>
      </c>
      <c r="B1093" s="2" t="s">
        <v>18497</v>
      </c>
      <c r="C1093" s="2" t="str">
        <f>Follow[[#This Row],[CODRASTREIO]]&amp;" B"</f>
        <v>CódRastreio1055 B</v>
      </c>
      <c r="D1093" s="52" t="str">
        <f>_xlfn.XLOOKUP(Follow[[#This Row],[Id Pedido]],Controle_Pedidos[Número Pedido Cliente],Controle_Pedidos[Loja])</f>
        <v>BV</v>
      </c>
      <c r="E1093" s="9">
        <f>_xlfn.XLOOKUP(Follow[[#This Row],[Id Pedido]],Controle_Pedidos[Número Pedido Cliente],Controle_Pedidos[Prazo Entrega])</f>
        <v>45736</v>
      </c>
      <c r="F1093" s="9" t="s">
        <v>19433</v>
      </c>
      <c r="G1093" s="9" t="s">
        <v>37</v>
      </c>
      <c r="H1093" s="9" t="s">
        <v>178</v>
      </c>
      <c r="I1093" s="9" t="s">
        <v>178</v>
      </c>
      <c r="J1093" s="9">
        <v>45733</v>
      </c>
      <c r="K1093" s="8" t="s">
        <v>198</v>
      </c>
      <c r="L1093" s="8" t="s">
        <v>124</v>
      </c>
      <c r="M1093" s="8" t="s">
        <v>208</v>
      </c>
      <c r="N1093" s="52" t="str">
        <f>IF(Follow[[#This Row],[DATAATUALIZAÇÃO]]&lt;=Follow[[#This Row],[Prev Entrega]],"Dentro do Prazo","Fora do Prazo")</f>
        <v>Dentro do Prazo</v>
      </c>
      <c r="O10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17/03/2025, referente ao pedido Nº Pedido 1078 Rastreio Pedido 1078, agradecemos a preferência e adoraríamos receber sua avaliação, tendo qualquer dúvida estamos à disposição.
Att
Tem tudo Shop</v>
      </c>
    </row>
    <row r="1094" spans="1:15">
      <c r="A1094" s="52" t="str">
        <f>_xlfn.XLOOKUP(Follow[[#This Row],[CODRASTREIO]],Controle_Pedidos[Cód Rastreamento],Controle_Pedidos[Número Pedido Cliente])</f>
        <v>Pedido 1106</v>
      </c>
      <c r="B1094" s="2" t="s">
        <v>18524</v>
      </c>
      <c r="C1094" s="2" t="str">
        <f>Follow[[#This Row],[CODRASTREIO]]&amp;" B"</f>
        <v>CódRastreio1082 B</v>
      </c>
      <c r="D1094" s="52" t="str">
        <f>_xlfn.XLOOKUP(Follow[[#This Row],[Id Pedido]],Controle_Pedidos[Número Pedido Cliente],Controle_Pedidos[Loja])</f>
        <v>BV</v>
      </c>
      <c r="E1094" s="9">
        <f>_xlfn.XLOOKUP(Follow[[#This Row],[Id Pedido]],Controle_Pedidos[Número Pedido Cliente],Controle_Pedidos[Prazo Entrega])</f>
        <v>45742</v>
      </c>
      <c r="F1094" s="9" t="s">
        <v>19433</v>
      </c>
      <c r="G1094" s="122" t="s">
        <v>296</v>
      </c>
      <c r="H1094" s="9" t="s">
        <v>179</v>
      </c>
      <c r="I1094" s="9" t="s">
        <v>178</v>
      </c>
      <c r="J1094" s="9">
        <v>45736</v>
      </c>
      <c r="K1094" s="8" t="s">
        <v>198</v>
      </c>
      <c r="L1094" s="8" t="s">
        <v>124</v>
      </c>
      <c r="M1094" s="8" t="s">
        <v>37</v>
      </c>
      <c r="N1094" s="52" t="str">
        <f>IF(Follow[[#This Row],[DATAATUALIZAÇÃO]]&lt;=Follow[[#This Row],[Prev Entrega]],"Dentro do Prazo","Fora do Prazo")</f>
        <v>Dentro do Prazo</v>
      </c>
      <c r="O10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20/03/2025, referente ao pedido Nº Pedido 1106 Rastreio CNBR00059011166, agradecemos a preferência e adoraríamos receber sua avaliação, tendo qualquer dúvida estamos à disposição.
Att
Tem tudo Shop</v>
      </c>
    </row>
    <row r="1095" spans="1:15">
      <c r="A1095" s="52" t="str">
        <f>_xlfn.XLOOKUP(Follow[[#This Row],[CODRASTREIO]],Controle_Pedidos[Cód Rastreamento],Controle_Pedidos[Número Pedido Cliente])</f>
        <v>Pedido 1110</v>
      </c>
      <c r="B1095" s="2" t="s">
        <v>18528</v>
      </c>
      <c r="C1095" s="2" t="str">
        <f>Follow[[#This Row],[CODRASTREIO]]&amp;" B"</f>
        <v>CódRastreio1086 B</v>
      </c>
      <c r="D1095" s="52" t="str">
        <f>_xlfn.XLOOKUP(Follow[[#This Row],[Id Pedido]],Controle_Pedidos[Número Pedido Cliente],Controle_Pedidos[Loja])</f>
        <v>BV</v>
      </c>
      <c r="E1095" s="9">
        <f>_xlfn.XLOOKUP(Follow[[#This Row],[Id Pedido]],Controle_Pedidos[Número Pedido Cliente],Controle_Pedidos[Prazo Entrega])</f>
        <v>45743</v>
      </c>
      <c r="F1095" s="9" t="s">
        <v>19433</v>
      </c>
      <c r="G1095" s="9" t="s">
        <v>37</v>
      </c>
      <c r="H1095" s="9" t="s">
        <v>178</v>
      </c>
      <c r="I1095" s="9" t="s">
        <v>178</v>
      </c>
      <c r="J1095" s="9">
        <v>45742</v>
      </c>
      <c r="K1095" s="8" t="s">
        <v>198</v>
      </c>
      <c r="L1095" s="8" t="s">
        <v>124</v>
      </c>
      <c r="M1095" s="8" t="s">
        <v>297</v>
      </c>
      <c r="N1095" s="52" t="str">
        <f>IF(Follow[[#This Row],[DATAATUALIZAÇÃO]]&lt;=Follow[[#This Row],[Prev Entrega]],"Dentro do Prazo","Fora do Prazo")</f>
        <v>Dentro do Prazo</v>
      </c>
      <c r="O10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26/03/2025, referente ao pedido Nº Pedido 1110 Rastreio Pedido 1110, agradecemos a preferência e adoraríamos receber sua avaliação, tendo qualquer dúvida estamos à disposição.
Att
Tem tudo Shop</v>
      </c>
    </row>
    <row r="1096" spans="1:15">
      <c r="A1096" s="52" t="str">
        <f>_xlfn.XLOOKUP(Follow[[#This Row],[CODRASTREIO]],Controle_Pedidos[Cód Rastreamento],Controle_Pedidos[Número Pedido Cliente])</f>
        <v>Pedido 1111</v>
      </c>
      <c r="B1096" s="2" t="s">
        <v>18529</v>
      </c>
      <c r="C1096" s="2" t="str">
        <f>Follow[[#This Row],[CODRASTREIO]]&amp;" B"</f>
        <v>CódRastreio1087 B</v>
      </c>
      <c r="D1096" s="52" t="str">
        <f>_xlfn.XLOOKUP(Follow[[#This Row],[Id Pedido]],Controle_Pedidos[Número Pedido Cliente],Controle_Pedidos[Loja])</f>
        <v>BV</v>
      </c>
      <c r="E1096" s="9">
        <f>_xlfn.XLOOKUP(Follow[[#This Row],[Id Pedido]],Controle_Pedidos[Número Pedido Cliente],Controle_Pedidos[Prazo Entrega])</f>
        <v>45756</v>
      </c>
      <c r="F1096" s="9" t="s">
        <v>19433</v>
      </c>
      <c r="G1096" s="9" t="s">
        <v>298</v>
      </c>
      <c r="H1096" s="9" t="s">
        <v>179</v>
      </c>
      <c r="I1096" s="9" t="s">
        <v>178</v>
      </c>
      <c r="J1096" s="9">
        <v>45743</v>
      </c>
      <c r="K1096" s="8" t="s">
        <v>198</v>
      </c>
      <c r="L1096" s="8" t="s">
        <v>124</v>
      </c>
      <c r="M1096" s="8" t="s">
        <v>37</v>
      </c>
      <c r="N1096" s="52" t="str">
        <f>IF(Follow[[#This Row],[DATAATUALIZAÇÃO]]&lt;=Follow[[#This Row],[Prev Entrega]],"Dentro do Prazo","Fora do Prazo")</f>
        <v>Dentro do Prazo</v>
      </c>
      <c r="O10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27/03/2025, referente ao pedido Nº Pedido 1111 Rastreio CNBR00059080977, agradecemos a preferência e adoraríamos receber sua avaliação, tendo qualquer dúvida estamos à disposição.
Att
Tem tudo Shop</v>
      </c>
    </row>
    <row r="1097" spans="1:15">
      <c r="A1097" s="52" t="str">
        <f>_xlfn.XLOOKUP(Follow[[#This Row],[CODRASTREIO]],Controle_Pedidos[Cód Rastreamento],Controle_Pedidos[Número Pedido Cliente])</f>
        <v>Pedido 1112</v>
      </c>
      <c r="B1097" s="2" t="s">
        <v>18530</v>
      </c>
      <c r="C1097" s="2" t="str">
        <f>Follow[[#This Row],[CODRASTREIO]]&amp;" B"</f>
        <v>CódRastreio1088 B</v>
      </c>
      <c r="D1097" s="52" t="str">
        <f>_xlfn.XLOOKUP(Follow[[#This Row],[Id Pedido]],Controle_Pedidos[Número Pedido Cliente],Controle_Pedidos[Loja])</f>
        <v>MEI</v>
      </c>
      <c r="E1097" s="9">
        <f>_xlfn.XLOOKUP(Follow[[#This Row],[Id Pedido]],Controle_Pedidos[Número Pedido Cliente],Controle_Pedidos[Prazo Entrega])</f>
        <v>45745</v>
      </c>
      <c r="F1097" s="9" t="s">
        <v>19433</v>
      </c>
      <c r="G1097" s="122" t="s">
        <v>299</v>
      </c>
      <c r="H1097" s="9" t="s">
        <v>179</v>
      </c>
      <c r="I1097" s="9" t="s">
        <v>178</v>
      </c>
      <c r="J1097" s="9">
        <v>45734</v>
      </c>
      <c r="K1097" s="8" t="s">
        <v>198</v>
      </c>
      <c r="L1097" s="8" t="s">
        <v>124</v>
      </c>
      <c r="M1097" s="8" t="s">
        <v>37</v>
      </c>
      <c r="N1097" s="52" t="str">
        <f>IF(Follow[[#This Row],[DATAATUALIZAÇÃO]]&lt;=Follow[[#This Row],[Prev Entrega]],"Dentro do Prazo","Fora do Prazo")</f>
        <v>Dentro do Prazo</v>
      </c>
      <c r="O10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18/03/2025, referente ao pedido Nº Pedido 1112 Rastreio CNBR00059089357, agradecemos a preferência e adoraríamos receber sua avaliação, tendo qualquer dúvida estamos à disposição.
Att
NTA Variedades</v>
      </c>
    </row>
    <row r="1098" spans="1:15">
      <c r="A1098" s="52" t="str">
        <f>_xlfn.XLOOKUP(Follow[[#This Row],[CODRASTREIO]],Controle_Pedidos[Cód Rastreamento],Controle_Pedidos[Número Pedido Cliente])</f>
        <v>Pedido 1114</v>
      </c>
      <c r="B1098" s="2" t="s">
        <v>18532</v>
      </c>
      <c r="C1098" s="2" t="str">
        <f>Follow[[#This Row],[CODRASTREIO]]&amp;" B"</f>
        <v>CódRastreio1090 B</v>
      </c>
      <c r="D1098" s="52" t="str">
        <f>_xlfn.XLOOKUP(Follow[[#This Row],[Id Pedido]],Controle_Pedidos[Número Pedido Cliente],Controle_Pedidos[Loja])</f>
        <v>MEI</v>
      </c>
      <c r="E1098" s="9">
        <f>_xlfn.XLOOKUP(Follow[[#This Row],[Id Pedido]],Controle_Pedidos[Número Pedido Cliente],Controle_Pedidos[Prazo Entrega])</f>
        <v>45749</v>
      </c>
      <c r="F1098" s="9" t="s">
        <v>19433</v>
      </c>
      <c r="G1098" s="122" t="s">
        <v>300</v>
      </c>
      <c r="H1098" s="9" t="s">
        <v>179</v>
      </c>
      <c r="I1098" s="9" t="s">
        <v>178</v>
      </c>
      <c r="J1098" s="9">
        <v>45734</v>
      </c>
      <c r="K1098" s="8" t="s">
        <v>198</v>
      </c>
      <c r="L1098" s="8" t="s">
        <v>124</v>
      </c>
      <c r="M1098" s="8" t="s">
        <v>37</v>
      </c>
      <c r="N1098" s="52" t="str">
        <f>IF(Follow[[#This Row],[DATAATUALIZAÇÃO]]&lt;=Follow[[#This Row],[Prev Entrega]],"Dentro do Prazo","Fora do Prazo")</f>
        <v>Dentro do Prazo</v>
      </c>
      <c r="O10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18/03/2025, referente ao pedido Nº Pedido 1114 Rastreio CNBR00059098823, agradecemos a preferência e adoraríamos receber sua avaliação, tendo qualquer dúvida estamos à disposição.
Att
NTA Variedades</v>
      </c>
    </row>
    <row r="1099" spans="1:15">
      <c r="A1099" s="52" t="str">
        <f>_xlfn.XLOOKUP(Follow[[#This Row],[CODRASTREIO]],Controle_Pedidos[Cód Rastreamento],Controle_Pedidos[Número Pedido Cliente])</f>
        <v>Pedido 1115</v>
      </c>
      <c r="B1099" s="2" t="s">
        <v>18533</v>
      </c>
      <c r="C1099" s="2" t="str">
        <f>Follow[[#This Row],[CODRASTREIO]]&amp;" B"</f>
        <v>CódRastreio1091 B</v>
      </c>
      <c r="D1099" s="52" t="str">
        <f>_xlfn.XLOOKUP(Follow[[#This Row],[Id Pedido]],Controle_Pedidos[Número Pedido Cliente],Controle_Pedidos[Loja])</f>
        <v>GO</v>
      </c>
      <c r="E1099" s="9">
        <f>_xlfn.XLOOKUP(Follow[[#This Row],[Id Pedido]],Controle_Pedidos[Número Pedido Cliente],Controle_Pedidos[Prazo Entrega])</f>
        <v>45749</v>
      </c>
      <c r="F1099" s="9" t="s">
        <v>19433</v>
      </c>
      <c r="G1099" s="9" t="s">
        <v>301</v>
      </c>
      <c r="H1099" s="9" t="s">
        <v>179</v>
      </c>
      <c r="I1099" s="9" t="s">
        <v>178</v>
      </c>
      <c r="J1099" s="9">
        <v>45740</v>
      </c>
      <c r="K1099" s="8" t="s">
        <v>198</v>
      </c>
      <c r="L1099" s="8" t="s">
        <v>124</v>
      </c>
      <c r="M1099" s="8" t="s">
        <v>37</v>
      </c>
      <c r="N1099" s="52" t="str">
        <f>IF(Follow[[#This Row],[DATAATUALIZAÇÃO]]&lt;=Follow[[#This Row],[Prev Entrega]],"Dentro do Prazo","Fora do Prazo")</f>
        <v>Dentro do Prazo</v>
      </c>
      <c r="O10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Relógio Smart foi entregue no dia 24/03/2025, referente ao pedido Nº Pedido 1115 Rastreio CNBR00059109583, agradecemos a preferência e adoraríamos receber sua avaliação, tendo qualquer dúvida estamos à disposição.
Att
Sec Variedades</v>
      </c>
    </row>
    <row r="1100" spans="1:15">
      <c r="A1100" s="52" t="str">
        <f>_xlfn.XLOOKUP(Follow[[#This Row],[CODRASTREIO]],Controle_Pedidos[Cód Rastreamento],Controle_Pedidos[Número Pedido Cliente])</f>
        <v>Pedido 1117</v>
      </c>
      <c r="B1100" s="2" t="s">
        <v>18535</v>
      </c>
      <c r="C1100" s="2" t="str">
        <f>Follow[[#This Row],[CODRASTREIO]]&amp;" B"</f>
        <v>CódRastreio1093 B</v>
      </c>
      <c r="D1100" s="52" t="str">
        <f>_xlfn.XLOOKUP(Follow[[#This Row],[Id Pedido]],Controle_Pedidos[Número Pedido Cliente],Controle_Pedidos[Loja])</f>
        <v>BV</v>
      </c>
      <c r="E1100" s="9">
        <f>_xlfn.XLOOKUP(Follow[[#This Row],[Id Pedido]],Controle_Pedidos[Número Pedido Cliente],Controle_Pedidos[Prazo Entrega])</f>
        <v>45744</v>
      </c>
      <c r="F1100" s="9" t="s">
        <v>19433</v>
      </c>
      <c r="G1100" s="9" t="s">
        <v>302</v>
      </c>
      <c r="H1100" s="9" t="s">
        <v>179</v>
      </c>
      <c r="I1100" s="9" t="s">
        <v>178</v>
      </c>
      <c r="J1100" s="9">
        <v>45739</v>
      </c>
      <c r="K1100" s="8" t="s">
        <v>198</v>
      </c>
      <c r="L1100" s="8" t="s">
        <v>124</v>
      </c>
      <c r="M1100" s="8" t="s">
        <v>37</v>
      </c>
      <c r="N1100" s="52" t="str">
        <f>IF(Follow[[#This Row],[DATAATUALIZAÇÃO]]&lt;=Follow[[#This Row],[Prev Entrega]],"Dentro do Prazo","Fora do Prazo")</f>
        <v>Dentro do Prazo</v>
      </c>
      <c r="O11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23/03/2025, referente ao pedido Nº Pedido 1117 Rastreio CNBR00059480176, agradecemos a preferência e adoraríamos receber sua avaliação, tendo qualquer dúvida estamos à disposição.
Att
Tem tudo Shop</v>
      </c>
    </row>
    <row r="1101" spans="1:15">
      <c r="A1101" s="52" t="str">
        <f>_xlfn.XLOOKUP(Follow[[#This Row],[CODRASTREIO]],Controle_Pedidos[Cód Rastreamento],Controle_Pedidos[Número Pedido Cliente])</f>
        <v>Pedido 1118</v>
      </c>
      <c r="B1101" s="2" t="s">
        <v>18536</v>
      </c>
      <c r="C1101" s="2" t="str">
        <f>Follow[[#This Row],[CODRASTREIO]]&amp;" B"</f>
        <v>CódRastreio1094 B</v>
      </c>
      <c r="D1101" s="52" t="str">
        <f>_xlfn.XLOOKUP(Follow[[#This Row],[Id Pedido]],Controle_Pedidos[Número Pedido Cliente],Controle_Pedidos[Loja])</f>
        <v>MEI</v>
      </c>
      <c r="E1101" s="9">
        <f>_xlfn.XLOOKUP(Follow[[#This Row],[Id Pedido]],Controle_Pedidos[Número Pedido Cliente],Controle_Pedidos[Prazo Entrega])</f>
        <v>45744</v>
      </c>
      <c r="F1101" s="9" t="s">
        <v>19433</v>
      </c>
      <c r="G1101" s="9" t="s">
        <v>37</v>
      </c>
      <c r="H1101" s="9" t="s">
        <v>178</v>
      </c>
      <c r="I1101" s="9" t="s">
        <v>178</v>
      </c>
      <c r="J1101" s="9">
        <v>45735</v>
      </c>
      <c r="K1101" s="8" t="s">
        <v>198</v>
      </c>
      <c r="L1101" s="8" t="s">
        <v>124</v>
      </c>
      <c r="M1101" s="8" t="s">
        <v>37</v>
      </c>
      <c r="N1101" s="52" t="str">
        <f>IF(Follow[[#This Row],[DATAATUALIZAÇÃO]]&lt;=Follow[[#This Row],[Prev Entrega]],"Dentro do Prazo","Fora do Prazo")</f>
        <v>Dentro do Prazo</v>
      </c>
      <c r="O11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19/03/2025, referente ao pedido Nº Pedido 1118 Rastreio Pedido 1118, agradecemos a preferência e adoraríamos receber sua avaliação, tendo qualquer dúvida estamos à disposição.
Att
NTA Variedades</v>
      </c>
    </row>
    <row r="1102" spans="1:15">
      <c r="A1102" s="52" t="str">
        <f>_xlfn.XLOOKUP(Follow[[#This Row],[CODRASTREIO]],Controle_Pedidos[Cód Rastreamento],Controle_Pedidos[Número Pedido Cliente])</f>
        <v>Pedido 1119</v>
      </c>
      <c r="B1102" s="2" t="s">
        <v>18537</v>
      </c>
      <c r="C1102" s="2" t="str">
        <f>Follow[[#This Row],[CODRASTREIO]]&amp;" B"</f>
        <v>CódRastreio1095 B</v>
      </c>
      <c r="D1102" s="52" t="str">
        <f>_xlfn.XLOOKUP(Follow[[#This Row],[Id Pedido]],Controle_Pedidos[Número Pedido Cliente],Controle_Pedidos[Loja])</f>
        <v>MEI</v>
      </c>
      <c r="E1102" s="9">
        <f>_xlfn.XLOOKUP(Follow[[#This Row],[Id Pedido]],Controle_Pedidos[Número Pedido Cliente],Controle_Pedidos[Prazo Entrega])</f>
        <v>45750</v>
      </c>
      <c r="F1102" s="9" t="s">
        <v>19433</v>
      </c>
      <c r="G1102" s="9" t="s">
        <v>37</v>
      </c>
      <c r="H1102" s="9" t="s">
        <v>178</v>
      </c>
      <c r="I1102" s="9" t="s">
        <v>178</v>
      </c>
      <c r="J1102" s="9">
        <v>45738</v>
      </c>
      <c r="K1102" s="8" t="s">
        <v>198</v>
      </c>
      <c r="L1102" s="8" t="s">
        <v>124</v>
      </c>
      <c r="M1102" s="8" t="s">
        <v>37</v>
      </c>
      <c r="N1102" s="52" t="str">
        <f>IF(Follow[[#This Row],[DATAATUALIZAÇÃO]]&lt;=Follow[[#This Row],[Prev Entrega]],"Dentro do Prazo","Fora do Prazo")</f>
        <v>Dentro do Prazo</v>
      </c>
      <c r="O11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22/03/2025, referente ao pedido Nº Pedido 1119 Rastreio Pedido 1119, agradecemos a preferência e adoraríamos receber sua avaliação, tendo qualquer dúvida estamos à disposição.
Att
NTA Variedades</v>
      </c>
    </row>
    <row r="1103" spans="1:15">
      <c r="A1103" s="52" t="str">
        <f>_xlfn.XLOOKUP(Follow[[#This Row],[CODRASTREIO]],Controle_Pedidos[Cód Rastreamento],Controle_Pedidos[Número Pedido Cliente])</f>
        <v>Pedido 1120</v>
      </c>
      <c r="B1103" s="2" t="s">
        <v>18538</v>
      </c>
      <c r="C1103" s="2" t="str">
        <f>Follow[[#This Row],[CODRASTREIO]]&amp;" B"</f>
        <v>CódRastreio1096 B</v>
      </c>
      <c r="D1103" s="52" t="str">
        <f>_xlfn.XLOOKUP(Follow[[#This Row],[Id Pedido]],Controle_Pedidos[Número Pedido Cliente],Controle_Pedidos[Loja])</f>
        <v>MEI</v>
      </c>
      <c r="E1103" s="9">
        <f>_xlfn.XLOOKUP(Follow[[#This Row],[Id Pedido]],Controle_Pedidos[Número Pedido Cliente],Controle_Pedidos[Prazo Entrega])</f>
        <v>45750</v>
      </c>
      <c r="F1103" s="9" t="s">
        <v>19433</v>
      </c>
      <c r="G1103" s="9" t="s">
        <v>37</v>
      </c>
      <c r="H1103" s="9" t="s">
        <v>178</v>
      </c>
      <c r="I1103" s="9" t="s">
        <v>178</v>
      </c>
      <c r="J1103" s="9">
        <v>45733</v>
      </c>
      <c r="K1103" s="8" t="s">
        <v>198</v>
      </c>
      <c r="L1103" s="8" t="s">
        <v>124</v>
      </c>
      <c r="M1103" s="8" t="s">
        <v>37</v>
      </c>
      <c r="N1103" s="52" t="str">
        <f>IF(Follow[[#This Row],[DATAATUALIZAÇÃO]]&lt;=Follow[[#This Row],[Prev Entrega]],"Dentro do Prazo","Fora do Prazo")</f>
        <v>Dentro do Prazo</v>
      </c>
      <c r="O11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17/03/2025, referente ao pedido Nº Pedido 1120 Rastreio Pedido 1120, agradecemos a preferência e adoraríamos receber sua avaliação, tendo qualquer dúvida estamos à disposição.
Att
NTA Variedades</v>
      </c>
    </row>
    <row r="1104" spans="1:15">
      <c r="A1104" s="52" t="str">
        <f>_xlfn.XLOOKUP(Follow[[#This Row],[CODRASTREIO]],Controle_Pedidos[Cód Rastreamento],Controle_Pedidos[Número Pedido Cliente])</f>
        <v>Pedido 1121</v>
      </c>
      <c r="B1104" s="2" t="s">
        <v>18539</v>
      </c>
      <c r="C1104" s="2" t="str">
        <f>Follow[[#This Row],[CODRASTREIO]]&amp;" B"</f>
        <v>CódRastreio1097 B</v>
      </c>
      <c r="D1104" s="52" t="str">
        <f>_xlfn.XLOOKUP(Follow[[#This Row],[Id Pedido]],Controle_Pedidos[Número Pedido Cliente],Controle_Pedidos[Loja])</f>
        <v>MEI</v>
      </c>
      <c r="E1104" s="9">
        <f>_xlfn.XLOOKUP(Follow[[#This Row],[Id Pedido]],Controle_Pedidos[Número Pedido Cliente],Controle_Pedidos[Prazo Entrega])</f>
        <v>45738</v>
      </c>
      <c r="F1104" s="9" t="s">
        <v>19433</v>
      </c>
      <c r="G1104" s="9" t="s">
        <v>37</v>
      </c>
      <c r="H1104" s="52" t="s">
        <v>178</v>
      </c>
      <c r="I1104" s="9" t="s">
        <v>178</v>
      </c>
      <c r="J1104" s="55">
        <v>45728.579594907409</v>
      </c>
      <c r="K1104" s="54" t="s">
        <v>198</v>
      </c>
      <c r="L1104" s="8" t="s">
        <v>124</v>
      </c>
      <c r="M1104" s="8" t="s">
        <v>37</v>
      </c>
      <c r="N1104" s="52" t="str">
        <f>IF(Follow[[#This Row],[DATAATUALIZAÇÃO]]&lt;=Follow[[#This Row],[Prev Entrega]],"Dentro do Prazo","Fora do Prazo")</f>
        <v>Dentro do Prazo</v>
      </c>
      <c r="O11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12/03/2025, referente ao pedido Nº Pedido 1121 Rastreio Pedido 1121, agradecemos a preferência e adoraríamos receber sua avaliação, tendo qualquer dúvida estamos à disposição.
Att
NTA Variedades</v>
      </c>
    </row>
    <row r="1105" spans="1:15">
      <c r="A1105" s="52" t="str">
        <f>_xlfn.XLOOKUP(Follow[[#This Row],[CODRASTREIO]],Controle_Pedidos[Cód Rastreamento],Controle_Pedidos[Número Pedido Cliente])</f>
        <v>Pedido 1100</v>
      </c>
      <c r="B1105" s="2" t="s">
        <v>18519</v>
      </c>
      <c r="C1105" s="2" t="str">
        <f>Follow[[#This Row],[CODRASTREIO]]&amp;" B"</f>
        <v>CódRastreio1077 B</v>
      </c>
      <c r="D1105" s="52" t="str">
        <f>_xlfn.XLOOKUP(Follow[[#This Row],[Id Pedido]],Controle_Pedidos[Número Pedido Cliente],Controle_Pedidos[Loja])</f>
        <v>MEI</v>
      </c>
      <c r="E1105" s="9">
        <f>_xlfn.XLOOKUP(Follow[[#This Row],[Id Pedido]],Controle_Pedidos[Número Pedido Cliente],Controle_Pedidos[Prazo Entrega])</f>
        <v>45742</v>
      </c>
      <c r="F1105" s="9" t="s">
        <v>19433</v>
      </c>
      <c r="G1105" s="9" t="s">
        <v>37</v>
      </c>
      <c r="H1105" s="9" t="s">
        <v>178</v>
      </c>
      <c r="I1105" s="9" t="s">
        <v>178</v>
      </c>
      <c r="J1105" s="9">
        <v>45734</v>
      </c>
      <c r="K1105" s="8" t="s">
        <v>198</v>
      </c>
      <c r="L1105" s="8" t="s">
        <v>124</v>
      </c>
      <c r="M1105" s="8" t="s">
        <v>37</v>
      </c>
      <c r="N1105" s="52" t="str">
        <f>IF(Follow[[#This Row],[DATAATUALIZAÇÃO]]&lt;=Follow[[#This Row],[Prev Entrega]],"Dentro do Prazo","Fora do Prazo")</f>
        <v>Dentro do Prazo</v>
      </c>
      <c r="O11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18/03/2025, referente ao pedido Nº Pedido 1100 Rastreio Pedido 1100, agradecemos a preferência e adoraríamos receber sua avaliação, tendo qualquer dúvida estamos à disposição.
Att
NTA Variedades</v>
      </c>
    </row>
    <row r="1106" spans="1:15">
      <c r="A1106" s="52" t="str">
        <f>_xlfn.XLOOKUP(Follow[[#This Row],[CODRASTREIO]],Controle_Pedidos[Cód Rastreamento],Controle_Pedidos[Número Pedido Cliente])</f>
        <v>Pedido 1109</v>
      </c>
      <c r="B1106" s="2" t="s">
        <v>18527</v>
      </c>
      <c r="C1106" s="2" t="str">
        <f>Follow[[#This Row],[CODRASTREIO]]&amp;" B"</f>
        <v>CódRastreio1085 B</v>
      </c>
      <c r="D1106" s="52" t="str">
        <f>_xlfn.XLOOKUP(Follow[[#This Row],[Id Pedido]],Controle_Pedidos[Número Pedido Cliente],Controle_Pedidos[Loja])</f>
        <v>MEI</v>
      </c>
      <c r="E1106" s="9">
        <f>_xlfn.XLOOKUP(Follow[[#This Row],[Id Pedido]],Controle_Pedidos[Número Pedido Cliente],Controle_Pedidos[Prazo Entrega])</f>
        <v>45736</v>
      </c>
      <c r="F1106" s="9" t="s">
        <v>19433</v>
      </c>
      <c r="G1106" s="9" t="s">
        <v>37</v>
      </c>
      <c r="H1106" s="9" t="s">
        <v>178</v>
      </c>
      <c r="I1106" s="9" t="s">
        <v>178</v>
      </c>
      <c r="J1106" s="9">
        <v>45729</v>
      </c>
      <c r="K1106" s="8" t="s">
        <v>198</v>
      </c>
      <c r="L1106" s="8" t="s">
        <v>124</v>
      </c>
      <c r="M1106" s="8" t="s">
        <v>37</v>
      </c>
      <c r="N1106" s="52" t="str">
        <f>IF(Follow[[#This Row],[DATAATUALIZAÇÃO]]&lt;=Follow[[#This Row],[Prev Entrega]],"Dentro do Prazo","Fora do Prazo")</f>
        <v>Dentro do Prazo</v>
      </c>
      <c r="O11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13/03/2025, referente ao pedido Nº Pedido 1109 Rastreio Pedido 1109, agradecemos a preferência e adoraríamos receber sua avaliação, tendo qualquer dúvida estamos à disposição.
Att
NTA Variedades</v>
      </c>
    </row>
    <row r="1107" spans="1:15">
      <c r="A1107" s="52" t="str">
        <f>_xlfn.XLOOKUP(Follow[[#This Row],[CODRASTREIO]],Controle_Pedidos[Cód Rastreamento],Controle_Pedidos[Número Pedido Cliente])</f>
        <v>Pedido 1113</v>
      </c>
      <c r="B1107" s="2" t="s">
        <v>18531</v>
      </c>
      <c r="C1107" s="2" t="str">
        <f>Follow[[#This Row],[CODRASTREIO]]&amp;" B"</f>
        <v>CódRastreio1089 B</v>
      </c>
      <c r="D1107" s="52" t="str">
        <f>_xlfn.XLOOKUP(Follow[[#This Row],[Id Pedido]],Controle_Pedidos[Número Pedido Cliente],Controle_Pedidos[Loja])</f>
        <v>MEI</v>
      </c>
      <c r="E1107" s="9">
        <f>_xlfn.XLOOKUP(Follow[[#This Row],[Id Pedido]],Controle_Pedidos[Número Pedido Cliente],Controle_Pedidos[Prazo Entrega])</f>
        <v>45737</v>
      </c>
      <c r="F1107" s="9" t="s">
        <v>19433</v>
      </c>
      <c r="G1107" s="9" t="s">
        <v>37</v>
      </c>
      <c r="H1107" s="9" t="s">
        <v>178</v>
      </c>
      <c r="I1107" s="9" t="s">
        <v>178</v>
      </c>
      <c r="J1107" s="9">
        <v>45729</v>
      </c>
      <c r="K1107" s="8" t="s">
        <v>198</v>
      </c>
      <c r="L1107" s="8" t="s">
        <v>124</v>
      </c>
      <c r="M1107" s="8" t="s">
        <v>37</v>
      </c>
      <c r="N1107" s="52" t="str">
        <f>IF(Follow[[#This Row],[DATAATUALIZAÇÃO]]&lt;=Follow[[#This Row],[Prev Entrega]],"Dentro do Prazo","Fora do Prazo")</f>
        <v>Dentro do Prazo</v>
      </c>
      <c r="O11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13/03/2025, referente ao pedido Nº Pedido 1113 Rastreio Pedido 1113, agradecemos a preferência e adoraríamos receber sua avaliação, tendo qualquer dúvida estamos à disposição.
Att
NTA Variedades</v>
      </c>
    </row>
    <row r="1108" spans="1:15">
      <c r="A1108" s="52" t="str">
        <f>_xlfn.XLOOKUP(Follow[[#This Row],[CODRASTREIO]],Controle_Pedidos[Cód Rastreamento],Controle_Pedidos[Número Pedido Cliente])</f>
        <v>Pedido 1116</v>
      </c>
      <c r="B1108" s="2" t="s">
        <v>18534</v>
      </c>
      <c r="C1108" s="2" t="str">
        <f>Follow[[#This Row],[CODRASTREIO]]&amp;" B"</f>
        <v>CódRastreio1092 B</v>
      </c>
      <c r="D1108" s="52" t="str">
        <f>_xlfn.XLOOKUP(Follow[[#This Row],[Id Pedido]],Controle_Pedidos[Número Pedido Cliente],Controle_Pedidos[Loja])</f>
        <v>BV</v>
      </c>
      <c r="E1108" s="9">
        <f>_xlfn.XLOOKUP(Follow[[#This Row],[Id Pedido]],Controle_Pedidos[Número Pedido Cliente],Controle_Pedidos[Prazo Entrega])</f>
        <v>45744</v>
      </c>
      <c r="F1108" s="9" t="s">
        <v>19433</v>
      </c>
      <c r="G1108" s="122" t="s">
        <v>303</v>
      </c>
      <c r="H1108" s="9" t="s">
        <v>179</v>
      </c>
      <c r="I1108" s="9" t="s">
        <v>178</v>
      </c>
      <c r="J1108" s="9">
        <v>45738</v>
      </c>
      <c r="K1108" s="8" t="s">
        <v>198</v>
      </c>
      <c r="L1108" s="8" t="s">
        <v>124</v>
      </c>
      <c r="M1108" s="8" t="s">
        <v>37</v>
      </c>
      <c r="N1108" s="52" t="str">
        <f>IF(Follow[[#This Row],[DATAATUALIZAÇÃO]]&lt;=Follow[[#This Row],[Prev Entrega]],"Dentro do Prazo","Fora do Prazo")</f>
        <v>Dentro do Prazo</v>
      </c>
      <c r="O11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22/03/2025, referente ao pedido Nº Pedido 1116 Rastreio CNBR00060673114, agradecemos a preferência e adoraríamos receber sua avaliação, tendo qualquer dúvida estamos à disposição.
Att
Tem tudo Shop</v>
      </c>
    </row>
    <row r="1109" spans="1:15">
      <c r="A1109" s="52" t="str">
        <f>_xlfn.XLOOKUP(Follow[[#This Row],[CODRASTREIO]],Controle_Pedidos[Cód Rastreamento],Controle_Pedidos[Número Pedido Cliente])</f>
        <v>Pedido 1122</v>
      </c>
      <c r="B1109" s="2" t="s">
        <v>18540</v>
      </c>
      <c r="C1109" s="2" t="str">
        <f>Follow[[#This Row],[CODRASTREIO]]&amp;" B"</f>
        <v>CódRastreio1098 B</v>
      </c>
      <c r="D1109" s="52" t="str">
        <f>_xlfn.XLOOKUP(Follow[[#This Row],[Id Pedido]],Controle_Pedidos[Número Pedido Cliente],Controle_Pedidos[Loja])</f>
        <v>BV</v>
      </c>
      <c r="E1109" s="9">
        <f>_xlfn.XLOOKUP(Follow[[#This Row],[Id Pedido]],Controle_Pedidos[Número Pedido Cliente],Controle_Pedidos[Prazo Entrega])</f>
        <v>45757</v>
      </c>
      <c r="F1109" s="9" t="s">
        <v>19433</v>
      </c>
      <c r="G1109" s="9" t="s">
        <v>304</v>
      </c>
      <c r="H1109" s="9" t="s">
        <v>179</v>
      </c>
      <c r="I1109" s="9" t="s">
        <v>178</v>
      </c>
      <c r="J1109" s="9">
        <v>45747</v>
      </c>
      <c r="K1109" s="8" t="s">
        <v>198</v>
      </c>
      <c r="L1109" s="8" t="s">
        <v>124</v>
      </c>
      <c r="M1109" s="8" t="s">
        <v>37</v>
      </c>
      <c r="N1109" s="52" t="str">
        <f>IF(Follow[[#This Row],[DATAATUALIZAÇÃO]]&lt;=Follow[[#This Row],[Prev Entrega]],"Dentro do Prazo","Fora do Prazo")</f>
        <v>Dentro do Prazo</v>
      </c>
      <c r="O110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31/03/2025, referente ao pedido Nº Pedido 1122 Rastreio CNBR00060670890, agradecemos a preferência e adoraríamos receber sua avaliação, tendo qualquer dúvida estamos à disposição.
Att
Tem tudo Shop</v>
      </c>
    </row>
    <row r="1110" spans="1:15">
      <c r="A1110" s="52" t="str">
        <f>_xlfn.XLOOKUP(Follow[[#This Row],[CODRASTREIO]],Controle_Pedidos[Cód Rastreamento],Controle_Pedidos[Número Pedido Cliente])</f>
        <v>Pedido 1123</v>
      </c>
      <c r="B1110" s="2" t="s">
        <v>18541</v>
      </c>
      <c r="C1110" s="2" t="str">
        <f>Follow[[#This Row],[CODRASTREIO]]&amp;" B"</f>
        <v>CódRastreio1099 B</v>
      </c>
      <c r="D1110" s="52" t="str">
        <f>_xlfn.XLOOKUP(Follow[[#This Row],[Id Pedido]],Controle_Pedidos[Número Pedido Cliente],Controle_Pedidos[Loja])</f>
        <v>BV</v>
      </c>
      <c r="E1110" s="9">
        <f>_xlfn.XLOOKUP(Follow[[#This Row],[Id Pedido]],Controle_Pedidos[Número Pedido Cliente],Controle_Pedidos[Prazo Entrega])</f>
        <v>45750</v>
      </c>
      <c r="F1110" s="9" t="s">
        <v>19433</v>
      </c>
      <c r="G1110" s="9" t="s">
        <v>305</v>
      </c>
      <c r="H1110" s="9" t="s">
        <v>179</v>
      </c>
      <c r="I1110" s="9" t="s">
        <v>178</v>
      </c>
      <c r="J1110" s="9">
        <v>45743</v>
      </c>
      <c r="K1110" s="8" t="s">
        <v>198</v>
      </c>
      <c r="L1110" s="8" t="s">
        <v>124</v>
      </c>
      <c r="M1110" s="8" t="s">
        <v>37</v>
      </c>
      <c r="N1110" s="52" t="str">
        <f>IF(Follow[[#This Row],[DATAATUALIZAÇÃO]]&lt;=Follow[[#This Row],[Prev Entrega]],"Dentro do Prazo","Fora do Prazo")</f>
        <v>Dentro do Prazo</v>
      </c>
      <c r="O11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27/03/2025, referente ao pedido Nº Pedido 1123 Rastreio CNBR00060679766, agradecemos a preferência e adoraríamos receber sua avaliação, tendo qualquer dúvida estamos à disposição.
Att
Tem tudo Shop</v>
      </c>
    </row>
    <row r="1111" spans="1:15">
      <c r="A1111" s="52" t="str">
        <f>_xlfn.XLOOKUP(Follow[[#This Row],[CODRASTREIO]],Controle_Pedidos[Cód Rastreamento],Controle_Pedidos[Número Pedido Cliente])</f>
        <v>Pedido 1124</v>
      </c>
      <c r="B1111" s="2" t="s">
        <v>18542</v>
      </c>
      <c r="C1111" s="2" t="str">
        <f>Follow[[#This Row],[CODRASTREIO]]&amp;" B"</f>
        <v>CódRastreio1100 B</v>
      </c>
      <c r="D1111" s="52" t="str">
        <f>_xlfn.XLOOKUP(Follow[[#This Row],[Id Pedido]],Controle_Pedidos[Número Pedido Cliente],Controle_Pedidos[Loja])</f>
        <v>BV</v>
      </c>
      <c r="E1111" s="9">
        <f>_xlfn.XLOOKUP(Follow[[#This Row],[Id Pedido]],Controle_Pedidos[Número Pedido Cliente],Controle_Pedidos[Prazo Entrega])</f>
        <v>45750</v>
      </c>
      <c r="F1111" s="9" t="s">
        <v>19433</v>
      </c>
      <c r="G1111" s="9" t="s">
        <v>37</v>
      </c>
      <c r="H1111" s="9" t="s">
        <v>178</v>
      </c>
      <c r="I1111" s="9" t="s">
        <v>178</v>
      </c>
      <c r="J1111" s="9">
        <v>45735</v>
      </c>
      <c r="K1111" s="8" t="s">
        <v>198</v>
      </c>
      <c r="L1111" s="8" t="s">
        <v>124</v>
      </c>
      <c r="M1111" s="8" t="s">
        <v>37</v>
      </c>
      <c r="N1111" s="52" t="str">
        <f>IF(Follow[[#This Row],[DATAATUALIZAÇÃO]]&lt;=Follow[[#This Row],[Prev Entrega]],"Dentro do Prazo","Fora do Prazo")</f>
        <v>Dentro do Prazo</v>
      </c>
      <c r="O11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19/03/2025, referente ao pedido Nº Pedido 1124 Rastreio Pedido 1124, agradecemos a preferência e adoraríamos receber sua avaliação, tendo qualquer dúvida estamos à disposição.
Att
Tem tudo Shop</v>
      </c>
    </row>
    <row r="1112" spans="1:15">
      <c r="A1112" s="52" t="str">
        <f>_xlfn.XLOOKUP(Follow[[#This Row],[CODRASTREIO]],Controle_Pedidos[Cód Rastreamento],Controle_Pedidos[Número Pedido Cliente])</f>
        <v>Pedido 1125</v>
      </c>
      <c r="B1112" s="2" t="s">
        <v>18543</v>
      </c>
      <c r="C1112" s="2" t="str">
        <f>Follow[[#This Row],[CODRASTREIO]]&amp;" B"</f>
        <v>CódRastreio1101 B</v>
      </c>
      <c r="D1112" s="52" t="str">
        <f>_xlfn.XLOOKUP(Follow[[#This Row],[Id Pedido]],Controle_Pedidos[Número Pedido Cliente],Controle_Pedidos[Loja])</f>
        <v>BV</v>
      </c>
      <c r="E1112" s="9">
        <f>_xlfn.XLOOKUP(Follow[[#This Row],[Id Pedido]],Controle_Pedidos[Número Pedido Cliente],Controle_Pedidos[Prazo Entrega])</f>
        <v>45738</v>
      </c>
      <c r="F1112" s="9" t="s">
        <v>19433</v>
      </c>
      <c r="G1112" s="9" t="s">
        <v>37</v>
      </c>
      <c r="H1112" s="52" t="s">
        <v>178</v>
      </c>
      <c r="I1112" s="9" t="s">
        <v>178</v>
      </c>
      <c r="J1112" s="55">
        <v>45728.766863425924</v>
      </c>
      <c r="K1112" s="54" t="s">
        <v>198</v>
      </c>
      <c r="L1112" s="8" t="s">
        <v>124</v>
      </c>
      <c r="M1112" s="8" t="s">
        <v>37</v>
      </c>
      <c r="N1112" s="52" t="str">
        <f>IF(Follow[[#This Row],[DATAATUALIZAÇÃO]]&lt;=Follow[[#This Row],[Prev Entrega]],"Dentro do Prazo","Fora do Prazo")</f>
        <v>Dentro do Prazo</v>
      </c>
      <c r="O11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12/03/2025, referente ao pedido Nº Pedido 1125 Rastreio Pedido 1125, agradecemos a preferência e adoraríamos receber sua avaliação, tendo qualquer dúvida estamos à disposição.
Att
Tem tudo Shop</v>
      </c>
    </row>
    <row r="1113" spans="1:15">
      <c r="A1113" s="52" t="str">
        <f>_xlfn.XLOOKUP(Follow[[#This Row],[CODRASTREIO]],Controle_Pedidos[Cód Rastreamento],Controle_Pedidos[Número Pedido Cliente])</f>
        <v>Pedido 1126</v>
      </c>
      <c r="B1113" s="2" t="s">
        <v>18544</v>
      </c>
      <c r="C1113" s="2" t="str">
        <f>Follow[[#This Row],[CODRASTREIO]]&amp;" B"</f>
        <v>CódRastreio1102 B</v>
      </c>
      <c r="D1113" s="52" t="str">
        <f>_xlfn.XLOOKUP(Follow[[#This Row],[Id Pedido]],Controle_Pedidos[Número Pedido Cliente],Controle_Pedidos[Loja])</f>
        <v>BV</v>
      </c>
      <c r="E1113" s="9">
        <f>_xlfn.XLOOKUP(Follow[[#This Row],[Id Pedido]],Controle_Pedidos[Número Pedido Cliente],Controle_Pedidos[Prazo Entrega])</f>
        <v>45741</v>
      </c>
      <c r="F1113" s="9" t="s">
        <v>19433</v>
      </c>
      <c r="G1113" s="9" t="s">
        <v>37</v>
      </c>
      <c r="H1113" s="9" t="s">
        <v>178</v>
      </c>
      <c r="I1113" s="9" t="s">
        <v>178</v>
      </c>
      <c r="J1113" s="9">
        <v>45730</v>
      </c>
      <c r="K1113" s="8" t="s">
        <v>198</v>
      </c>
      <c r="L1113" s="8" t="s">
        <v>124</v>
      </c>
      <c r="M1113" s="8" t="s">
        <v>37</v>
      </c>
      <c r="N1113" s="52" t="str">
        <f>IF(Follow[[#This Row],[DATAATUALIZAÇÃO]]&lt;=Follow[[#This Row],[Prev Entrega]],"Dentro do Prazo","Fora do Prazo")</f>
        <v>Dentro do Prazo</v>
      </c>
      <c r="O11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14/03/2025, referente ao pedido Nº Pedido 1126 Rastreio Pedido 1126, agradecemos a preferência e adoraríamos receber sua avaliação, tendo qualquer dúvida estamos à disposição.
Att
Tem tudo Shop</v>
      </c>
    </row>
    <row r="1114" spans="1:15">
      <c r="A1114" s="52" t="str">
        <f>_xlfn.XLOOKUP(Follow[[#This Row],[CODRASTREIO]],Controle_Pedidos[Cód Rastreamento],Controle_Pedidos[Número Pedido Cliente])</f>
        <v>Pedido 1127</v>
      </c>
      <c r="B1114" s="2" t="s">
        <v>18545</v>
      </c>
      <c r="C1114" s="2" t="str">
        <f>Follow[[#This Row],[CODRASTREIO]]&amp;" B"</f>
        <v>CódRastreio1103 B</v>
      </c>
      <c r="D1114" s="52" t="str">
        <f>_xlfn.XLOOKUP(Follow[[#This Row],[Id Pedido]],Controle_Pedidos[Número Pedido Cliente],Controle_Pedidos[Loja])</f>
        <v>BV</v>
      </c>
      <c r="E1114" s="9">
        <f>_xlfn.XLOOKUP(Follow[[#This Row],[Id Pedido]],Controle_Pedidos[Número Pedido Cliente],Controle_Pedidos[Prazo Entrega])</f>
        <v>45745</v>
      </c>
      <c r="F1114" s="9" t="s">
        <v>19433</v>
      </c>
      <c r="G1114" s="9" t="s">
        <v>306</v>
      </c>
      <c r="H1114" s="9" t="s">
        <v>179</v>
      </c>
      <c r="I1114" s="9" t="s">
        <v>178</v>
      </c>
      <c r="J1114" s="9">
        <v>45741</v>
      </c>
      <c r="K1114" s="8" t="s">
        <v>198</v>
      </c>
      <c r="L1114" s="8" t="s">
        <v>124</v>
      </c>
      <c r="M1114" s="8" t="s">
        <v>37</v>
      </c>
      <c r="N1114" s="52" t="str">
        <f>IF(Follow[[#This Row],[DATAATUALIZAÇÃO]]&lt;=Follow[[#This Row],[Prev Entrega]],"Dentro do Prazo","Fora do Prazo")</f>
        <v>Dentro do Prazo</v>
      </c>
      <c r="O11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25/03/2025, referente ao pedido Nº Pedido 1127 Rastreio CNBR00060694775, agradecemos a preferência e adoraríamos receber sua avaliação, tendo qualquer dúvida estamos à disposição.
Att
Tem tudo Shop</v>
      </c>
    </row>
    <row r="1115" spans="1:15">
      <c r="A1115" s="52" t="str">
        <f>_xlfn.XLOOKUP(Follow[[#This Row],[CODRASTREIO]],Controle_Pedidos[Cód Rastreamento],Controle_Pedidos[Número Pedido Cliente])</f>
        <v>Pedido 1128</v>
      </c>
      <c r="B1115" s="2" t="s">
        <v>18546</v>
      </c>
      <c r="C1115" s="2" t="str">
        <f>Follow[[#This Row],[CODRASTREIO]]&amp;" B"</f>
        <v>CódRastreio1104 B</v>
      </c>
      <c r="D1115" s="52" t="str">
        <f>_xlfn.XLOOKUP(Follow[[#This Row],[Id Pedido]],Controle_Pedidos[Número Pedido Cliente],Controle_Pedidos[Loja])</f>
        <v>MEI</v>
      </c>
      <c r="E1115" s="9">
        <f>_xlfn.XLOOKUP(Follow[[#This Row],[Id Pedido]],Controle_Pedidos[Número Pedido Cliente],Controle_Pedidos[Prazo Entrega])</f>
        <v>45744</v>
      </c>
      <c r="F1115" s="9" t="s">
        <v>19433</v>
      </c>
      <c r="G1115" s="122" t="s">
        <v>307</v>
      </c>
      <c r="H1115" s="9" t="s">
        <v>179</v>
      </c>
      <c r="I1115" s="9" t="s">
        <v>178</v>
      </c>
      <c r="J1115" s="9">
        <v>45737</v>
      </c>
      <c r="K1115" s="8" t="s">
        <v>198</v>
      </c>
      <c r="L1115" s="8" t="s">
        <v>124</v>
      </c>
      <c r="M1115" s="8" t="s">
        <v>37</v>
      </c>
      <c r="N1115" s="52" t="str">
        <f>IF(Follow[[#This Row],[DATAATUALIZAÇÃO]]&lt;=Follow[[#This Row],[Prev Entrega]],"Dentro do Prazo","Fora do Prazo")</f>
        <v>Dentro do Prazo</v>
      </c>
      <c r="O111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21/03/2025, referente ao pedido Nº Pedido 1128 Rastreio CNBR00060707185, agradecemos a preferência e adoraríamos receber sua avaliação, tendo qualquer dúvida estamos à disposição.
Att
NTA Variedades</v>
      </c>
    </row>
    <row r="1116" spans="1:15">
      <c r="A1116" s="52" t="str">
        <f>_xlfn.XLOOKUP(Follow[[#This Row],[CODRASTREIO]],Controle_Pedidos[Cód Rastreamento],Controle_Pedidos[Número Pedido Cliente])</f>
        <v>Pedido 1130</v>
      </c>
      <c r="B1116" s="2" t="s">
        <v>18548</v>
      </c>
      <c r="C1116" s="2" t="str">
        <f>Follow[[#This Row],[CODRASTREIO]]&amp;" B"</f>
        <v>CódRastreio1106 B</v>
      </c>
      <c r="D1116" s="52" t="str">
        <f>_xlfn.XLOOKUP(Follow[[#This Row],[Id Pedido]],Controle_Pedidos[Número Pedido Cliente],Controle_Pedidos[Loja])</f>
        <v>MEI</v>
      </c>
      <c r="E1116" s="9">
        <f>_xlfn.XLOOKUP(Follow[[#This Row],[Id Pedido]],Controle_Pedidos[Número Pedido Cliente],Controle_Pedidos[Prazo Entrega])</f>
        <v>45750</v>
      </c>
      <c r="F1116" s="9" t="s">
        <v>19433</v>
      </c>
      <c r="G1116" s="9" t="s">
        <v>308</v>
      </c>
      <c r="H1116" s="9" t="s">
        <v>179</v>
      </c>
      <c r="I1116" s="9" t="s">
        <v>178</v>
      </c>
      <c r="J1116" s="9">
        <v>45742</v>
      </c>
      <c r="K1116" s="8" t="s">
        <v>198</v>
      </c>
      <c r="L1116" s="8" t="s">
        <v>124</v>
      </c>
      <c r="M1116" s="8" t="s">
        <v>37</v>
      </c>
      <c r="N1116" s="52" t="str">
        <f>IF(Follow[[#This Row],[DATAATUALIZAÇÃO]]&lt;=Follow[[#This Row],[Prev Entrega]],"Dentro do Prazo","Fora do Prazo")</f>
        <v>Dentro do Prazo</v>
      </c>
      <c r="O11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26/03/2025, referente ao pedido Nº Pedido 1130 Rastreio CNBR00060713570, agradecemos a preferência e adoraríamos receber sua avaliação, tendo qualquer dúvida estamos à disposição.
Att
NTA Variedades</v>
      </c>
    </row>
    <row r="1117" spans="1:15">
      <c r="A1117" s="52" t="str">
        <f>_xlfn.XLOOKUP(Follow[[#This Row],[CODRASTREIO]],Controle_Pedidos[Cód Rastreamento],Controle_Pedidos[Número Pedido Cliente])</f>
        <v>Pedido 1131</v>
      </c>
      <c r="B1117" s="2" t="s">
        <v>18549</v>
      </c>
      <c r="C1117" s="2" t="str">
        <f>Follow[[#This Row],[CODRASTREIO]]&amp;" B"</f>
        <v>CódRastreio1107 B</v>
      </c>
      <c r="D1117" s="52" t="str">
        <f>_xlfn.XLOOKUP(Follow[[#This Row],[Id Pedido]],Controle_Pedidos[Número Pedido Cliente],Controle_Pedidos[Loja])</f>
        <v>MEI</v>
      </c>
      <c r="E1117" s="9">
        <f>_xlfn.XLOOKUP(Follow[[#This Row],[Id Pedido]],Controle_Pedidos[Número Pedido Cliente],Controle_Pedidos[Prazo Entrega])</f>
        <v>45744</v>
      </c>
      <c r="F1117" s="9" t="s">
        <v>19433</v>
      </c>
      <c r="G1117" s="9" t="s">
        <v>309</v>
      </c>
      <c r="H1117" s="9" t="s">
        <v>179</v>
      </c>
      <c r="I1117" s="9" t="s">
        <v>178</v>
      </c>
      <c r="J1117" s="9">
        <v>45740</v>
      </c>
      <c r="K1117" s="8" t="s">
        <v>198</v>
      </c>
      <c r="L1117" s="8" t="s">
        <v>124</v>
      </c>
      <c r="M1117" s="8" t="s">
        <v>37</v>
      </c>
      <c r="N1117" s="52" t="str">
        <f>IF(Follow[[#This Row],[DATAATUALIZAÇÃO]]&lt;=Follow[[#This Row],[Prev Entrega]],"Dentro do Prazo","Fora do Prazo")</f>
        <v>Dentro do Prazo</v>
      </c>
      <c r="O11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24/03/2025, referente ao pedido Nº Pedido 1131 Rastreio CNBR00060686702, agradecemos a preferência e adoraríamos receber sua avaliação, tendo qualquer dúvida estamos à disposição.
Att
NTA Variedades</v>
      </c>
    </row>
    <row r="1118" spans="1:15">
      <c r="A1118" s="52" t="str">
        <f>_xlfn.XLOOKUP(Follow[[#This Row],[CODRASTREIO]],Controle_Pedidos[Cód Rastreamento],Controle_Pedidos[Número Pedido Cliente])</f>
        <v>Pedido 1132</v>
      </c>
      <c r="B1118" s="2" t="s">
        <v>18550</v>
      </c>
      <c r="C1118" s="2" t="str">
        <f>Follow[[#This Row],[CODRASTREIO]]&amp;" B"</f>
        <v>CódRastreio1108 B</v>
      </c>
      <c r="D1118" s="52" t="str">
        <f>_xlfn.XLOOKUP(Follow[[#This Row],[Id Pedido]],Controle_Pedidos[Número Pedido Cliente],Controle_Pedidos[Loja])</f>
        <v>MEI</v>
      </c>
      <c r="E1118" s="9">
        <f>_xlfn.XLOOKUP(Follow[[#This Row],[Id Pedido]],Controle_Pedidos[Número Pedido Cliente],Controle_Pedidos[Prazo Entrega])</f>
        <v>45742</v>
      </c>
      <c r="F1118" s="9" t="s">
        <v>19433</v>
      </c>
      <c r="G1118" s="9" t="s">
        <v>310</v>
      </c>
      <c r="H1118" s="9" t="s">
        <v>179</v>
      </c>
      <c r="I1118" s="9" t="s">
        <v>178</v>
      </c>
      <c r="J1118" s="9">
        <v>45738</v>
      </c>
      <c r="K1118" s="8" t="s">
        <v>198</v>
      </c>
      <c r="L1118" s="8" t="s">
        <v>124</v>
      </c>
      <c r="M1118" s="8" t="s">
        <v>37</v>
      </c>
      <c r="N1118" s="52" t="str">
        <f>IF(Follow[[#This Row],[DATAATUALIZAÇÃO]]&lt;=Follow[[#This Row],[Prev Entrega]],"Dentro do Prazo","Fora do Prazo")</f>
        <v>Dentro do Prazo</v>
      </c>
      <c r="O11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22/03/2025, referente ao pedido Nº Pedido 1132 Rastreio CNBR00060684903, agradecemos a preferência e adoraríamos receber sua avaliação, tendo qualquer dúvida estamos à disposição.
Att
NTA Variedades</v>
      </c>
    </row>
    <row r="1119" spans="1:15">
      <c r="A1119" s="52" t="str">
        <f>_xlfn.XLOOKUP(Follow[[#This Row],[CODRASTREIO]],Controle_Pedidos[Cód Rastreamento],Controle_Pedidos[Número Pedido Cliente])</f>
        <v>Pedido 1133</v>
      </c>
      <c r="B1119" s="2" t="s">
        <v>18551</v>
      </c>
      <c r="C1119" s="2" t="str">
        <f>Follow[[#This Row],[CODRASTREIO]]&amp;" B"</f>
        <v>CódRastreio1109 B</v>
      </c>
      <c r="D1119" s="52" t="str">
        <f>_xlfn.XLOOKUP(Follow[[#This Row],[Id Pedido]],Controle_Pedidos[Número Pedido Cliente],Controle_Pedidos[Loja])</f>
        <v>MEI</v>
      </c>
      <c r="E1119" s="9">
        <f>_xlfn.XLOOKUP(Follow[[#This Row],[Id Pedido]],Controle_Pedidos[Número Pedido Cliente],Controle_Pedidos[Prazo Entrega])</f>
        <v>45751</v>
      </c>
      <c r="F1119" s="9" t="s">
        <v>19433</v>
      </c>
      <c r="G1119" s="9" t="s">
        <v>311</v>
      </c>
      <c r="H1119" s="9" t="s">
        <v>179</v>
      </c>
      <c r="I1119" s="9" t="s">
        <v>178</v>
      </c>
      <c r="J1119" s="9">
        <v>45742</v>
      </c>
      <c r="K1119" s="8" t="s">
        <v>198</v>
      </c>
      <c r="L1119" s="8" t="s">
        <v>124</v>
      </c>
      <c r="M1119" s="8" t="s">
        <v>37</v>
      </c>
      <c r="N1119" s="52" t="str">
        <f>IF(Follow[[#This Row],[DATAATUALIZAÇÃO]]&lt;=Follow[[#This Row],[Prev Entrega]],"Dentro do Prazo","Fora do Prazo")</f>
        <v>Dentro do Prazo</v>
      </c>
      <c r="O11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26/03/2025, referente ao pedido Nº Pedido 1133 Rastreio CNBR00060713976, agradecemos a preferência e adoraríamos receber sua avaliação, tendo qualquer dúvida estamos à disposição.
Att
NTA Variedades</v>
      </c>
    </row>
    <row r="1120" spans="1:15">
      <c r="A1120" s="52" t="str">
        <f>_xlfn.XLOOKUP(Follow[[#This Row],[CODRASTREIO]],Controle_Pedidos[Cód Rastreamento],Controle_Pedidos[Número Pedido Cliente])</f>
        <v>Pedido 1134</v>
      </c>
      <c r="B1120" s="2" t="s">
        <v>18552</v>
      </c>
      <c r="C1120" s="2" t="str">
        <f>Follow[[#This Row],[CODRASTREIO]]&amp;" B"</f>
        <v>CódRastreio1110 B</v>
      </c>
      <c r="D1120" s="52" t="str">
        <f>_xlfn.XLOOKUP(Follow[[#This Row],[Id Pedido]],Controle_Pedidos[Número Pedido Cliente],Controle_Pedidos[Loja])</f>
        <v>MEI</v>
      </c>
      <c r="E1120" s="9">
        <f>_xlfn.XLOOKUP(Follow[[#This Row],[Id Pedido]],Controle_Pedidos[Número Pedido Cliente],Controle_Pedidos[Prazo Entrega])</f>
        <v>45751</v>
      </c>
      <c r="F1120" s="9" t="s">
        <v>19433</v>
      </c>
      <c r="G1120" s="9" t="s">
        <v>312</v>
      </c>
      <c r="H1120" s="9" t="s">
        <v>179</v>
      </c>
      <c r="I1120" s="9" t="s">
        <v>178</v>
      </c>
      <c r="J1120" s="9">
        <v>45742</v>
      </c>
      <c r="K1120" s="8" t="s">
        <v>198</v>
      </c>
      <c r="L1120" s="8" t="s">
        <v>124</v>
      </c>
      <c r="M1120" s="8" t="s">
        <v>37</v>
      </c>
      <c r="N1120" s="52" t="str">
        <f>IF(Follow[[#This Row],[DATAATUALIZAÇÃO]]&lt;=Follow[[#This Row],[Prev Entrega]],"Dentro do Prazo","Fora do Prazo")</f>
        <v>Dentro do Prazo</v>
      </c>
      <c r="O11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26/03/2025, referente ao pedido Nº Pedido 1134 Rastreio CNBR00060671081, agradecemos a preferência e adoraríamos receber sua avaliação, tendo qualquer dúvida estamos à disposição.
Att
NTA Variedades</v>
      </c>
    </row>
    <row r="1121" spans="1:15">
      <c r="A1121" s="52" t="str">
        <f>_xlfn.XLOOKUP(Follow[[#This Row],[CODRASTREIO]],Controle_Pedidos[Cód Rastreamento],Controle_Pedidos[Número Pedido Cliente])</f>
        <v>Pedido 1135</v>
      </c>
      <c r="B1121" s="2" t="s">
        <v>18553</v>
      </c>
      <c r="C1121" s="2" t="str">
        <f>Follow[[#This Row],[CODRASTREIO]]&amp;" B"</f>
        <v>CódRastreio1111 B</v>
      </c>
      <c r="D1121" s="52" t="str">
        <f>_xlfn.XLOOKUP(Follow[[#This Row],[Id Pedido]],Controle_Pedidos[Número Pedido Cliente],Controle_Pedidos[Loja])</f>
        <v>MEI</v>
      </c>
      <c r="E1121" s="9">
        <f>_xlfn.XLOOKUP(Follow[[#This Row],[Id Pedido]],Controle_Pedidos[Número Pedido Cliente],Controle_Pedidos[Prazo Entrega])</f>
        <v>45741</v>
      </c>
      <c r="F1121" s="9" t="s">
        <v>19433</v>
      </c>
      <c r="G1121" s="9" t="s">
        <v>313</v>
      </c>
      <c r="H1121" s="9" t="s">
        <v>179</v>
      </c>
      <c r="I1121" s="9" t="s">
        <v>178</v>
      </c>
      <c r="J1121" s="9">
        <v>45740</v>
      </c>
      <c r="K1121" s="8" t="s">
        <v>198</v>
      </c>
      <c r="L1121" s="8" t="s">
        <v>124</v>
      </c>
      <c r="M1121" s="8" t="s">
        <v>37</v>
      </c>
      <c r="N1121" s="52" t="str">
        <f>IF(Follow[[#This Row],[DATAATUALIZAÇÃO]]&lt;=Follow[[#This Row],[Prev Entrega]],"Dentro do Prazo","Fora do Prazo")</f>
        <v>Dentro do Prazo</v>
      </c>
      <c r="O11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24/03/2025, referente ao pedido Nº Pedido 1135 Rastreio CNBR00060671640, agradecemos a preferência e adoraríamos receber sua avaliação, tendo qualquer dúvida estamos à disposição.
Att
NTA Variedades</v>
      </c>
    </row>
    <row r="1122" spans="1:15">
      <c r="A1122" s="52" t="str">
        <f>_xlfn.XLOOKUP(Follow[[#This Row],[CODRASTREIO]],Controle_Pedidos[Cód Rastreamento],Controle_Pedidos[Número Pedido Cliente])</f>
        <v>Pedido 1136</v>
      </c>
      <c r="B1122" s="2" t="s">
        <v>18554</v>
      </c>
      <c r="C1122" s="2" t="str">
        <f>Follow[[#This Row],[CODRASTREIO]]&amp;" B"</f>
        <v>CódRastreio1112 B</v>
      </c>
      <c r="D1122" s="52" t="str">
        <f>_xlfn.XLOOKUP(Follow[[#This Row],[Id Pedido]],Controle_Pedidos[Número Pedido Cliente],Controle_Pedidos[Loja])</f>
        <v>GO</v>
      </c>
      <c r="E1122" s="9">
        <f>_xlfn.XLOOKUP(Follow[[#This Row],[Id Pedido]],Controle_Pedidos[Número Pedido Cliente],Controle_Pedidos[Prazo Entrega])</f>
        <v>45744</v>
      </c>
      <c r="F1122" s="9" t="s">
        <v>19433</v>
      </c>
      <c r="G1122" s="9" t="s">
        <v>314</v>
      </c>
      <c r="H1122" s="9" t="s">
        <v>179</v>
      </c>
      <c r="I1122" s="9" t="s">
        <v>178</v>
      </c>
      <c r="J1122" s="9">
        <v>45744</v>
      </c>
      <c r="K1122" s="8" t="s">
        <v>198</v>
      </c>
      <c r="L1122" s="8" t="s">
        <v>124</v>
      </c>
      <c r="M1122" s="8" t="s">
        <v>37</v>
      </c>
      <c r="N1122" s="52" t="str">
        <f>IF(Follow[[#This Row],[DATAATUALIZAÇÃO]]&lt;=Follow[[#This Row],[Prev Entrega]],"Dentro do Prazo","Fora do Prazo")</f>
        <v>Dentro do Prazo</v>
      </c>
      <c r="O11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28/03/2025, referente ao pedido Nº Pedido 1136 Rastreio NM765797150BR, agradecemos a preferência e adoraríamos receber sua avaliação, tendo qualquer dúvida estamos à disposição.
Att
Sec Variedades</v>
      </c>
    </row>
    <row r="1123" spans="1:15">
      <c r="A1123" s="52" t="str">
        <f>_xlfn.XLOOKUP(Follow[[#This Row],[CODRASTREIO]],Controle_Pedidos[Cód Rastreamento],Controle_Pedidos[Número Pedido Cliente])</f>
        <v>Pedido 1129</v>
      </c>
      <c r="B1123" s="2" t="s">
        <v>18547</v>
      </c>
      <c r="C1123" s="2" t="str">
        <f>Follow[[#This Row],[CODRASTREIO]]&amp;" B"</f>
        <v>CódRastreio1105 B</v>
      </c>
      <c r="D1123" s="52" t="str">
        <f>_xlfn.XLOOKUP(Follow[[#This Row],[Id Pedido]],Controle_Pedidos[Número Pedido Cliente],Controle_Pedidos[Loja])</f>
        <v>MEI</v>
      </c>
      <c r="E1123" s="9">
        <f>_xlfn.XLOOKUP(Follow[[#This Row],[Id Pedido]],Controle_Pedidos[Número Pedido Cliente],Controle_Pedidos[Prazo Entrega])</f>
        <v>45744</v>
      </c>
      <c r="F1123" s="9" t="s">
        <v>19433</v>
      </c>
      <c r="G1123" s="9" t="s">
        <v>315</v>
      </c>
      <c r="H1123" s="9" t="s">
        <v>179</v>
      </c>
      <c r="I1123" s="9" t="s">
        <v>178</v>
      </c>
      <c r="J1123" s="9">
        <v>45740</v>
      </c>
      <c r="K1123" s="8" t="s">
        <v>198</v>
      </c>
      <c r="L1123" s="8" t="s">
        <v>124</v>
      </c>
      <c r="M1123" s="8" t="s">
        <v>37</v>
      </c>
      <c r="N1123" s="52" t="str">
        <f>IF(Follow[[#This Row],[DATAATUALIZAÇÃO]]&lt;=Follow[[#This Row],[Prev Entrega]],"Dentro do Prazo","Fora do Prazo")</f>
        <v>Dentro do Prazo</v>
      </c>
      <c r="O11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24/03/2025, referente ao pedido Nº Pedido 1129 Rastreio CNBR00061119601, agradecemos a preferência e adoraríamos receber sua avaliação, tendo qualquer dúvida estamos à disposição.
Att
NTA Variedades</v>
      </c>
    </row>
    <row r="1124" spans="1:15">
      <c r="A1124" s="52" t="str">
        <f>_xlfn.XLOOKUP(Follow[[#This Row],[CODRASTREIO]],Controle_Pedidos[Cód Rastreamento],Controle_Pedidos[Número Pedido Cliente])</f>
        <v>Pedido 1138</v>
      </c>
      <c r="B1124" s="2" t="s">
        <v>18556</v>
      </c>
      <c r="C1124" s="2" t="str">
        <f>Follow[[#This Row],[CODRASTREIO]]&amp;" B"</f>
        <v>CódRastreio1114 B</v>
      </c>
      <c r="D1124" s="52" t="str">
        <f>_xlfn.XLOOKUP(Follow[[#This Row],[Id Pedido]],Controle_Pedidos[Número Pedido Cliente],Controle_Pedidos[Loja])</f>
        <v>BV</v>
      </c>
      <c r="E1124" s="9">
        <f>_xlfn.XLOOKUP(Follow[[#This Row],[Id Pedido]],Controle_Pedidos[Número Pedido Cliente],Controle_Pedidos[Prazo Entrega])</f>
        <v>45745</v>
      </c>
      <c r="F1124" s="9" t="s">
        <v>19433</v>
      </c>
      <c r="G1124" s="122" t="s">
        <v>316</v>
      </c>
      <c r="H1124" s="9" t="s">
        <v>179</v>
      </c>
      <c r="I1124" s="9" t="s">
        <v>178</v>
      </c>
      <c r="J1124" s="9">
        <v>45736</v>
      </c>
      <c r="K1124" s="8" t="s">
        <v>198</v>
      </c>
      <c r="L1124" s="8" t="s">
        <v>124</v>
      </c>
      <c r="M1124" s="8" t="s">
        <v>37</v>
      </c>
      <c r="N1124" s="52" t="str">
        <f>IF(Follow[[#This Row],[DATAATUALIZAÇÃO]]&lt;=Follow[[#This Row],[Prev Entrega]],"Dentro do Prazo","Fora do Prazo")</f>
        <v>Dentro do Prazo</v>
      </c>
      <c r="O11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20/03/2025, referente ao pedido Nº Pedido 1138 Rastreio CNBR00061106636, agradecemos a preferência e adoraríamos receber sua avaliação, tendo qualquer dúvida estamos à disposição.
Att
Tem tudo Shop</v>
      </c>
    </row>
    <row r="1125" spans="1:15">
      <c r="A1125" s="52" t="str">
        <f>_xlfn.XLOOKUP(Follow[[#This Row],[CODRASTREIO]],Controle_Pedidos[Cód Rastreamento],Controle_Pedidos[Número Pedido Cliente])</f>
        <v>Pedido 1141</v>
      </c>
      <c r="B1125" s="2" t="s">
        <v>18558</v>
      </c>
      <c r="C1125" s="2" t="str">
        <f>Follow[[#This Row],[CODRASTREIO]]&amp;" B"</f>
        <v>CódRastreio1116 B</v>
      </c>
      <c r="D1125" s="52" t="str">
        <f>_xlfn.XLOOKUP(Follow[[#This Row],[Id Pedido]],Controle_Pedidos[Número Pedido Cliente],Controle_Pedidos[Loja])</f>
        <v>MEI</v>
      </c>
      <c r="E1125" s="9">
        <f>_xlfn.XLOOKUP(Follow[[#This Row],[Id Pedido]],Controle_Pedidos[Número Pedido Cliente],Controle_Pedidos[Prazo Entrega])</f>
        <v>45744</v>
      </c>
      <c r="F1125" s="9" t="s">
        <v>19433</v>
      </c>
      <c r="G1125" s="9" t="s">
        <v>317</v>
      </c>
      <c r="H1125" s="9" t="s">
        <v>179</v>
      </c>
      <c r="I1125" s="9" t="s">
        <v>178</v>
      </c>
      <c r="J1125" s="9">
        <v>45740</v>
      </c>
      <c r="K1125" s="8" t="s">
        <v>198</v>
      </c>
      <c r="L1125" s="8" t="s">
        <v>124</v>
      </c>
      <c r="M1125" s="8" t="s">
        <v>37</v>
      </c>
      <c r="N1125" s="52" t="str">
        <f>IF(Follow[[#This Row],[DATAATUALIZAÇÃO]]&lt;=Follow[[#This Row],[Prev Entrega]],"Dentro do Prazo","Fora do Prazo")</f>
        <v>Dentro do Prazo</v>
      </c>
      <c r="O11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24/03/2025, referente ao pedido Nº Pedido 1141 Rastreio CNBR00061070514, agradecemos a preferência e adoraríamos receber sua avaliação, tendo qualquer dúvida estamos à disposição.
Att
NTA Variedades</v>
      </c>
    </row>
    <row r="1126" spans="1:15">
      <c r="A1126" s="52" t="str">
        <f>_xlfn.XLOOKUP(Follow[[#This Row],[CODRASTREIO]],Controle_Pedidos[Cód Rastreamento],Controle_Pedidos[Número Pedido Cliente])</f>
        <v>Pedido 1142</v>
      </c>
      <c r="B1126" s="2" t="s">
        <v>18559</v>
      </c>
      <c r="C1126" s="2" t="str">
        <f>Follow[[#This Row],[CODRASTREIO]]&amp;" B"</f>
        <v>CódRastreio1117 B</v>
      </c>
      <c r="D1126" s="52" t="str">
        <f>_xlfn.XLOOKUP(Follow[[#This Row],[Id Pedido]],Controle_Pedidos[Número Pedido Cliente],Controle_Pedidos[Loja])</f>
        <v>MEI</v>
      </c>
      <c r="E1126" s="9">
        <f>_xlfn.XLOOKUP(Follow[[#This Row],[Id Pedido]],Controle_Pedidos[Número Pedido Cliente],Controle_Pedidos[Prazo Entrega])</f>
        <v>45748</v>
      </c>
      <c r="F1126" s="9" t="s">
        <v>19433</v>
      </c>
      <c r="G1126" s="9" t="s">
        <v>318</v>
      </c>
      <c r="H1126" s="9" t="s">
        <v>179</v>
      </c>
      <c r="I1126" s="9" t="s">
        <v>178</v>
      </c>
      <c r="J1126" s="9">
        <v>45742</v>
      </c>
      <c r="K1126" s="8" t="s">
        <v>198</v>
      </c>
      <c r="L1126" s="8" t="s">
        <v>124</v>
      </c>
      <c r="M1126" s="8" t="s">
        <v>37</v>
      </c>
      <c r="N1126" s="52" t="str">
        <f>IF(Follow[[#This Row],[DATAATUALIZAÇÃO]]&lt;=Follow[[#This Row],[Prev Entrega]],"Dentro do Prazo","Fora do Prazo")</f>
        <v>Dentro do Prazo</v>
      </c>
      <c r="O11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26/03/2025, referente ao pedido Nº Pedido 1142 Rastreio CNBR00061071149, agradecemos a preferência e adoraríamos receber sua avaliação, tendo qualquer dúvida estamos à disposição.
Att
NTA Variedades</v>
      </c>
    </row>
    <row r="1127" spans="1:15">
      <c r="A1127" s="52" t="str">
        <f>_xlfn.XLOOKUP(Follow[[#This Row],[CODRASTREIO]],Controle_Pedidos[Cód Rastreamento],Controle_Pedidos[Número Pedido Cliente])</f>
        <v>Pedido 1143</v>
      </c>
      <c r="B1127" s="2" t="s">
        <v>18560</v>
      </c>
      <c r="C1127" s="2" t="str">
        <f>Follow[[#This Row],[CODRASTREIO]]&amp;" B"</f>
        <v>CódRastreio1118 B</v>
      </c>
      <c r="D1127" s="52" t="str">
        <f>_xlfn.XLOOKUP(Follow[[#This Row],[Id Pedido]],Controle_Pedidos[Número Pedido Cliente],Controle_Pedidos[Loja])</f>
        <v>MEI</v>
      </c>
      <c r="E1127" s="9">
        <f>_xlfn.XLOOKUP(Follow[[#This Row],[Id Pedido]],Controle_Pedidos[Número Pedido Cliente],Controle_Pedidos[Prazo Entrega])</f>
        <v>45759</v>
      </c>
      <c r="F1127" s="9" t="s">
        <v>19433</v>
      </c>
      <c r="G1127" s="9" t="s">
        <v>319</v>
      </c>
      <c r="H1127" s="9" t="s">
        <v>179</v>
      </c>
      <c r="I1127" s="9" t="s">
        <v>178</v>
      </c>
      <c r="J1127" s="9">
        <v>45750</v>
      </c>
      <c r="K1127" s="8" t="s">
        <v>198</v>
      </c>
      <c r="L1127" s="8" t="s">
        <v>124</v>
      </c>
      <c r="M1127" s="8" t="s">
        <v>37</v>
      </c>
      <c r="N1127" s="52" t="str">
        <f>IF(Follow[[#This Row],[DATAATUALIZAÇÃO]]&lt;=Follow[[#This Row],[Prev Entrega]],"Dentro do Prazo","Fora do Prazo")</f>
        <v>Dentro do Prazo</v>
      </c>
      <c r="O11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03/04/2025, referente ao pedido Nº Pedido 1143 Rastreio CNBR00061117343, agradecemos a preferência e adoraríamos receber sua avaliação, tendo qualquer dúvida estamos à disposição.
Att
NTA Variedades</v>
      </c>
    </row>
    <row r="1128" spans="1:15">
      <c r="A1128" s="52" t="str">
        <f>_xlfn.XLOOKUP(Follow[[#This Row],[CODRASTREIO]],Controle_Pedidos[Cód Rastreamento],Controle_Pedidos[Número Pedido Cliente])</f>
        <v>Pedido 1140</v>
      </c>
      <c r="B1128" s="2" t="s">
        <v>18557</v>
      </c>
      <c r="C1128" s="2" t="str">
        <f>Follow[[#This Row],[CODRASTREIO]]&amp;" B"</f>
        <v>CódRastreio1115 B</v>
      </c>
      <c r="D1128" s="52" t="str">
        <f>_xlfn.XLOOKUP(Follow[[#This Row],[Id Pedido]],Controle_Pedidos[Número Pedido Cliente],Controle_Pedidos[Loja])</f>
        <v>BV</v>
      </c>
      <c r="E1128" s="9">
        <f>_xlfn.XLOOKUP(Follow[[#This Row],[Id Pedido]],Controle_Pedidos[Número Pedido Cliente],Controle_Pedidos[Prazo Entrega])</f>
        <v>45752</v>
      </c>
      <c r="F1128" s="9" t="s">
        <v>19433</v>
      </c>
      <c r="G1128" s="9" t="s">
        <v>320</v>
      </c>
      <c r="H1128" s="9" t="s">
        <v>179</v>
      </c>
      <c r="I1128" s="9" t="s">
        <v>178</v>
      </c>
      <c r="J1128" s="9">
        <v>45741</v>
      </c>
      <c r="K1128" s="8" t="s">
        <v>198</v>
      </c>
      <c r="L1128" s="8" t="s">
        <v>124</v>
      </c>
      <c r="M1128" s="8" t="s">
        <v>37</v>
      </c>
      <c r="N1128" s="52" t="str">
        <f>IF(Follow[[#This Row],[DATAATUALIZAÇÃO]]&lt;=Follow[[#This Row],[Prev Entrega]],"Dentro do Prazo","Fora do Prazo")</f>
        <v>Dentro do Prazo</v>
      </c>
      <c r="O11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25/03/2025, referente ao pedido Nº Pedido 1140 Rastreio CNBR00061450865, agradecemos a preferência e adoraríamos receber sua avaliação, tendo qualquer dúvida estamos à disposição.
Att
Tem tudo Shop</v>
      </c>
    </row>
    <row r="1129" spans="1:15">
      <c r="A1129" s="52" t="str">
        <f>_xlfn.XLOOKUP(Follow[[#This Row],[CODRASTREIO]],Controle_Pedidos[Cód Rastreamento],Controle_Pedidos[Número Pedido Cliente])</f>
        <v>Pedido 1146</v>
      </c>
      <c r="B1129" s="2" t="s">
        <v>18563</v>
      </c>
      <c r="C1129" s="2" t="str">
        <f>Follow[[#This Row],[CODRASTREIO]]&amp;" B"</f>
        <v>CódRastreio1121 B</v>
      </c>
      <c r="D1129" s="52" t="str">
        <f>_xlfn.XLOOKUP(Follow[[#This Row],[Id Pedido]],Controle_Pedidos[Número Pedido Cliente],Controle_Pedidos[Loja])</f>
        <v>BV</v>
      </c>
      <c r="E1129" s="9">
        <f>_xlfn.XLOOKUP(Follow[[#This Row],[Id Pedido]],Controle_Pedidos[Número Pedido Cliente],Controle_Pedidos[Prazo Entrega])</f>
        <v>45755</v>
      </c>
      <c r="F1129" s="9" t="s">
        <v>19433</v>
      </c>
      <c r="G1129" s="9" t="s">
        <v>37</v>
      </c>
      <c r="H1129" s="9" t="s">
        <v>178</v>
      </c>
      <c r="I1129" s="9" t="s">
        <v>178</v>
      </c>
      <c r="J1129" s="9">
        <v>45742</v>
      </c>
      <c r="K1129" s="8" t="s">
        <v>198</v>
      </c>
      <c r="L1129" s="8" t="s">
        <v>124</v>
      </c>
      <c r="M1129" s="8" t="s">
        <v>37</v>
      </c>
      <c r="N1129" s="52" t="str">
        <f>IF(Follow[[#This Row],[DATAATUALIZAÇÃO]]&lt;=Follow[[#This Row],[Prev Entrega]],"Dentro do Prazo","Fora do Prazo")</f>
        <v>Dentro do Prazo</v>
      </c>
      <c r="O112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26/03/2025, referente ao pedido Nº Pedido 1146 Rastreio Pedido 1146, agradecemos a preferência e adoraríamos receber sua avaliação, tendo qualquer dúvida estamos à disposição.
Att
Tem tudo Shop</v>
      </c>
    </row>
    <row r="1130" spans="1:15">
      <c r="A1130" s="52" t="str">
        <f>_xlfn.XLOOKUP(Follow[[#This Row],[CODRASTREIO]],Controle_Pedidos[Cód Rastreamento],Controle_Pedidos[Número Pedido Cliente])</f>
        <v>Pedido 1147</v>
      </c>
      <c r="B1130" s="2" t="s">
        <v>18564</v>
      </c>
      <c r="C1130" s="2" t="str">
        <f>Follow[[#This Row],[CODRASTREIO]]&amp;" B"</f>
        <v>CódRastreio1122 B</v>
      </c>
      <c r="D1130" s="52" t="str">
        <f>_xlfn.XLOOKUP(Follow[[#This Row],[Id Pedido]],Controle_Pedidos[Número Pedido Cliente],Controle_Pedidos[Loja])</f>
        <v>MEI</v>
      </c>
      <c r="E1130" s="9">
        <f>_xlfn.XLOOKUP(Follow[[#This Row],[Id Pedido]],Controle_Pedidos[Número Pedido Cliente],Controle_Pedidos[Prazo Entrega])</f>
        <v>45749</v>
      </c>
      <c r="F1130" s="9" t="s">
        <v>19433</v>
      </c>
      <c r="G1130" s="9" t="s">
        <v>321</v>
      </c>
      <c r="H1130" s="9" t="s">
        <v>179</v>
      </c>
      <c r="I1130" s="9" t="s">
        <v>178</v>
      </c>
      <c r="J1130" s="9">
        <v>45752</v>
      </c>
      <c r="K1130" s="8" t="s">
        <v>198</v>
      </c>
      <c r="L1130" s="8" t="s">
        <v>124</v>
      </c>
      <c r="M1130" s="8" t="s">
        <v>37</v>
      </c>
      <c r="N1130" s="52" t="str">
        <f>IF(Follow[[#This Row],[DATAATUALIZAÇÃO]]&lt;=Follow[[#This Row],[Prev Entrega]],"Dentro do Prazo","Fora do Prazo")</f>
        <v>Fora do Prazo</v>
      </c>
      <c r="O11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05/04/2025, referente ao pedido Nº Pedido 1147 Rastreio CNBR00061455836, agradecemos a preferência e adoraríamos receber sua avaliação, tendo qualquer dúvida estamos à disposição.
Att
NTA Variedades</v>
      </c>
    </row>
    <row r="1131" spans="1:15">
      <c r="A1131" s="52" t="str">
        <f>_xlfn.XLOOKUP(Follow[[#This Row],[CODRASTREIO]],Controle_Pedidos[Cód Rastreamento],Controle_Pedidos[Número Pedido Cliente])</f>
        <v>Pedido 1148</v>
      </c>
      <c r="B1131" s="2" t="s">
        <v>18565</v>
      </c>
      <c r="C1131" s="2" t="str">
        <f>Follow[[#This Row],[CODRASTREIO]]&amp;" B"</f>
        <v>CódRastreio1123 B</v>
      </c>
      <c r="D1131" s="52" t="str">
        <f>_xlfn.XLOOKUP(Follow[[#This Row],[Id Pedido]],Controle_Pedidos[Número Pedido Cliente],Controle_Pedidos[Loja])</f>
        <v>MEI</v>
      </c>
      <c r="E1131" s="9">
        <f>_xlfn.XLOOKUP(Follow[[#This Row],[Id Pedido]],Controle_Pedidos[Número Pedido Cliente],Controle_Pedidos[Prazo Entrega])</f>
        <v>45755</v>
      </c>
      <c r="F1131" s="9" t="s">
        <v>19433</v>
      </c>
      <c r="G1131" s="9" t="s">
        <v>322</v>
      </c>
      <c r="H1131" s="9" t="s">
        <v>179</v>
      </c>
      <c r="I1131" s="9" t="s">
        <v>178</v>
      </c>
      <c r="J1131" s="9">
        <v>45751</v>
      </c>
      <c r="K1131" s="8" t="s">
        <v>198</v>
      </c>
      <c r="L1131" s="8" t="s">
        <v>124</v>
      </c>
      <c r="M1131" s="8" t="s">
        <v>37</v>
      </c>
      <c r="N1131" s="52" t="str">
        <f>IF(Follow[[#This Row],[DATAATUALIZAÇÃO]]&lt;=Follow[[#This Row],[Prev Entrega]],"Dentro do Prazo","Fora do Prazo")</f>
        <v>Dentro do Prazo</v>
      </c>
      <c r="O11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04/04/2025, referente ao pedido Nº Pedido 1148 Rastreio CNBR00061461194, agradecemos a preferência e adoraríamos receber sua avaliação, tendo qualquer dúvida estamos à disposição.
Att
NTA Variedades</v>
      </c>
    </row>
    <row r="1132" spans="1:15">
      <c r="A1132" s="52" t="str">
        <f>_xlfn.XLOOKUP(Follow[[#This Row],[CODRASTREIO]],Controle_Pedidos[Cód Rastreamento],Controle_Pedidos[Número Pedido Cliente])</f>
        <v>Pedido 1149</v>
      </c>
      <c r="B1132" s="2" t="s">
        <v>18566</v>
      </c>
      <c r="C1132" s="2" t="str">
        <f>Follow[[#This Row],[CODRASTREIO]]&amp;" B"</f>
        <v>CódRastreio1124 B</v>
      </c>
      <c r="D1132" s="52" t="str">
        <f>_xlfn.XLOOKUP(Follow[[#This Row],[Id Pedido]],Controle_Pedidos[Número Pedido Cliente],Controle_Pedidos[Loja])</f>
        <v>MEI</v>
      </c>
      <c r="E1132" s="9">
        <f>_xlfn.XLOOKUP(Follow[[#This Row],[Id Pedido]],Controle_Pedidos[Número Pedido Cliente],Controle_Pedidos[Prazo Entrega])</f>
        <v>45749</v>
      </c>
      <c r="F1132" s="9" t="s">
        <v>19433</v>
      </c>
      <c r="G1132" s="9" t="s">
        <v>323</v>
      </c>
      <c r="H1132" s="9" t="s">
        <v>179</v>
      </c>
      <c r="I1132" s="9" t="s">
        <v>178</v>
      </c>
      <c r="J1132" s="9">
        <v>45747</v>
      </c>
      <c r="K1132" s="8" t="s">
        <v>198</v>
      </c>
      <c r="L1132" s="8" t="s">
        <v>124</v>
      </c>
      <c r="M1132" s="8" t="s">
        <v>37</v>
      </c>
      <c r="N1132" s="52" t="str">
        <f>IF(Follow[[#This Row],[DATAATUALIZAÇÃO]]&lt;=Follow[[#This Row],[Prev Entrega]],"Dentro do Prazo","Fora do Prazo")</f>
        <v>Dentro do Prazo</v>
      </c>
      <c r="O11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31/03/2025, referente ao pedido Nº Pedido 1149 Rastreio CNBR00061529092, agradecemos a preferência e adoraríamos receber sua avaliação, tendo qualquer dúvida estamos à disposição.
Att
NTA Variedades</v>
      </c>
    </row>
    <row r="1133" spans="1:15">
      <c r="A1133" s="52" t="str">
        <f>_xlfn.XLOOKUP(Follow[[#This Row],[CODRASTREIO]],Controle_Pedidos[Cód Rastreamento],Controle_Pedidos[Número Pedido Cliente])</f>
        <v>Pedido 1150</v>
      </c>
      <c r="B1133" s="2" t="s">
        <v>18567</v>
      </c>
      <c r="C1133" s="2" t="str">
        <f>Follow[[#This Row],[CODRASTREIO]]&amp;" B"</f>
        <v>CódRastreio1125 B</v>
      </c>
      <c r="D1133" s="52" t="str">
        <f>_xlfn.XLOOKUP(Follow[[#This Row],[Id Pedido]],Controle_Pedidos[Número Pedido Cliente],Controle_Pedidos[Loja])</f>
        <v>MEI</v>
      </c>
      <c r="E1133" s="9">
        <f>_xlfn.XLOOKUP(Follow[[#This Row],[Id Pedido]],Controle_Pedidos[Número Pedido Cliente],Controle_Pedidos[Prazo Entrega])</f>
        <v>45749</v>
      </c>
      <c r="F1133" s="9" t="s">
        <v>19433</v>
      </c>
      <c r="G1133" s="9" t="s">
        <v>324</v>
      </c>
      <c r="H1133" s="9" t="s">
        <v>179</v>
      </c>
      <c r="I1133" s="9" t="s">
        <v>178</v>
      </c>
      <c r="J1133" s="9">
        <v>45748</v>
      </c>
      <c r="K1133" s="8" t="s">
        <v>198</v>
      </c>
      <c r="L1133" s="8" t="s">
        <v>124</v>
      </c>
      <c r="M1133" s="8" t="s">
        <v>37</v>
      </c>
      <c r="N1133" s="52" t="str">
        <f>IF(Follow[[#This Row],[DATAATUALIZAÇÃO]]&lt;=Follow[[#This Row],[Prev Entrega]],"Dentro do Prazo","Fora do Prazo")</f>
        <v>Dentro do Prazo</v>
      </c>
      <c r="O11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01/04/2025, referente ao pedido Nº Pedido 1150 Rastreio CNBR00061503212, agradecemos a preferência e adoraríamos receber sua avaliação, tendo qualquer dúvida estamos à disposição.
Att
NTA Variedades</v>
      </c>
    </row>
    <row r="1134" spans="1:15">
      <c r="A1134" s="52" t="str">
        <f>_xlfn.XLOOKUP(Follow[[#This Row],[CODRASTREIO]],Controle_Pedidos[Cód Rastreamento],Controle_Pedidos[Número Pedido Cliente])</f>
        <v>Pedido 1151</v>
      </c>
      <c r="B1134" s="2" t="s">
        <v>18568</v>
      </c>
      <c r="C1134" s="2" t="str">
        <f>Follow[[#This Row],[CODRASTREIO]]&amp;" B"</f>
        <v>CódRastreio1126 B</v>
      </c>
      <c r="D1134" s="52" t="str">
        <f>_xlfn.XLOOKUP(Follow[[#This Row],[Id Pedido]],Controle_Pedidos[Número Pedido Cliente],Controle_Pedidos[Loja])</f>
        <v>MEI</v>
      </c>
      <c r="E1134" s="9">
        <f>_xlfn.XLOOKUP(Follow[[#This Row],[Id Pedido]],Controle_Pedidos[Número Pedido Cliente],Controle_Pedidos[Prazo Entrega])</f>
        <v>45749</v>
      </c>
      <c r="F1134" s="9" t="s">
        <v>19433</v>
      </c>
      <c r="G1134" s="9" t="s">
        <v>325</v>
      </c>
      <c r="H1134" s="9" t="s">
        <v>179</v>
      </c>
      <c r="I1134" s="9" t="s">
        <v>178</v>
      </c>
      <c r="J1134" s="9">
        <v>45749</v>
      </c>
      <c r="K1134" s="8" t="s">
        <v>198</v>
      </c>
      <c r="L1134" s="8" t="s">
        <v>124</v>
      </c>
      <c r="M1134" s="8" t="s">
        <v>37</v>
      </c>
      <c r="N1134" s="52" t="str">
        <f>IF(Follow[[#This Row],[DATAATUALIZAÇÃO]]&lt;=Follow[[#This Row],[Prev Entrega]],"Dentro do Prazo","Fora do Prazo")</f>
        <v>Dentro do Prazo</v>
      </c>
      <c r="O113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02/04/2025, referente ao pedido Nº Pedido 1151 Rastreio CNBR00061494451, agradecemos a preferência e adoraríamos receber sua avaliação, tendo qualquer dúvida estamos à disposição.
Att
NTA Variedades</v>
      </c>
    </row>
    <row r="1135" spans="1:15">
      <c r="A1135" s="52" t="str">
        <f>_xlfn.XLOOKUP(Follow[[#This Row],[CODRASTREIO]],Controle_Pedidos[Cód Rastreamento],Controle_Pedidos[Número Pedido Cliente])</f>
        <v>Pedido 1137</v>
      </c>
      <c r="B1135" s="2" t="s">
        <v>18555</v>
      </c>
      <c r="C1135" s="2" t="str">
        <f>Follow[[#This Row],[CODRASTREIO]]&amp;" B"</f>
        <v>CódRastreio1113 B</v>
      </c>
      <c r="D1135" s="52" t="str">
        <f>_xlfn.XLOOKUP(Follow[[#This Row],[Id Pedido]],Controle_Pedidos[Número Pedido Cliente],Controle_Pedidos[Loja])</f>
        <v>BV</v>
      </c>
      <c r="E1135" s="9">
        <f>_xlfn.XLOOKUP(Follow[[#This Row],[Id Pedido]],Controle_Pedidos[Número Pedido Cliente],Controle_Pedidos[Prazo Entrega])</f>
        <v>45741</v>
      </c>
      <c r="F1135" s="9" t="s">
        <v>19433</v>
      </c>
      <c r="G1135" s="9" t="s">
        <v>326</v>
      </c>
      <c r="H1135" s="9" t="s">
        <v>179</v>
      </c>
      <c r="I1135" s="9" t="s">
        <v>178</v>
      </c>
      <c r="J1135" s="9">
        <v>45748</v>
      </c>
      <c r="K1135" s="8" t="s">
        <v>198</v>
      </c>
      <c r="L1135" s="8" t="s">
        <v>124</v>
      </c>
      <c r="M1135" s="8" t="s">
        <v>37</v>
      </c>
      <c r="N1135" s="52" t="str">
        <f>IF(Follow[[#This Row],[DATAATUALIZAÇÃO]]&lt;=Follow[[#This Row],[Prev Entrega]],"Dentro do Prazo","Fora do Prazo")</f>
        <v>Fora do Prazo</v>
      </c>
      <c r="O11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01/04/2025, referente ao pedido Nº Pedido 1137 Rastreio CNBR00061926309, agradecemos a preferência e adoraríamos receber sua avaliação, tendo qualquer dúvida estamos à disposição.
Att
Tem tudo Shop</v>
      </c>
    </row>
    <row r="1136" spans="1:15">
      <c r="A1136" s="52" t="str">
        <f>_xlfn.XLOOKUP(Follow[[#This Row],[CODRASTREIO]],Controle_Pedidos[Cód Rastreamento],Controle_Pedidos[Número Pedido Cliente])</f>
        <v>Pedido 1154</v>
      </c>
      <c r="B1136" s="2" t="s">
        <v>18571</v>
      </c>
      <c r="C1136" s="2" t="str">
        <f>Follow[[#This Row],[CODRASTREIO]]&amp;" B"</f>
        <v>CódRastreio1129 B</v>
      </c>
      <c r="D1136" s="52" t="str">
        <f>_xlfn.XLOOKUP(Follow[[#This Row],[Id Pedido]],Controle_Pedidos[Número Pedido Cliente],Controle_Pedidos[Loja])</f>
        <v>BV</v>
      </c>
      <c r="E1136" s="9">
        <f>_xlfn.XLOOKUP(Follow[[#This Row],[Id Pedido]],Controle_Pedidos[Número Pedido Cliente],Controle_Pedidos[Prazo Entrega])</f>
        <v>45750</v>
      </c>
      <c r="F1136" s="9" t="s">
        <v>19433</v>
      </c>
      <c r="G1136" s="9" t="s">
        <v>327</v>
      </c>
      <c r="H1136" s="52" t="s">
        <v>179</v>
      </c>
      <c r="I1136" s="9" t="s">
        <v>178</v>
      </c>
      <c r="J1136" s="55">
        <v>45741</v>
      </c>
      <c r="K1136" s="54" t="s">
        <v>198</v>
      </c>
      <c r="L1136" s="8" t="s">
        <v>124</v>
      </c>
      <c r="M1136" s="8" t="s">
        <v>37</v>
      </c>
      <c r="N1136" s="52" t="str">
        <f>IF(Follow[[#This Row],[DATAATUALIZAÇÃO]]&lt;=Follow[[#This Row],[Prev Entrega]],"Dentro do Prazo","Fora do Prazo")</f>
        <v>Dentro do Prazo</v>
      </c>
      <c r="O11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25/03/2025, referente ao pedido Nº Pedido 1154 Rastreio NM767517731BR, agradecemos a preferência e adoraríamos receber sua avaliação, tendo qualquer dúvida estamos à disposição.
Att
Tem tudo Shop</v>
      </c>
    </row>
    <row r="1137" spans="1:15">
      <c r="A1137" s="52" t="str">
        <f>_xlfn.XLOOKUP(Follow[[#This Row],[CODRASTREIO]],Controle_Pedidos[Cód Rastreamento],Controle_Pedidos[Número Pedido Cliente])</f>
        <v>Pedido 1155</v>
      </c>
      <c r="B1137" s="2" t="s">
        <v>18572</v>
      </c>
      <c r="C1137" s="2" t="str">
        <f>Follow[[#This Row],[CODRASTREIO]]&amp;" B"</f>
        <v>CódRastreio1130 B</v>
      </c>
      <c r="D1137" s="52" t="str">
        <f>_xlfn.XLOOKUP(Follow[[#This Row],[Id Pedido]],Controle_Pedidos[Número Pedido Cliente],Controle_Pedidos[Loja])</f>
        <v>BV</v>
      </c>
      <c r="E1137" s="9">
        <f>_xlfn.XLOOKUP(Follow[[#This Row],[Id Pedido]],Controle_Pedidos[Número Pedido Cliente],Controle_Pedidos[Prazo Entrega])</f>
        <v>45748</v>
      </c>
      <c r="F1137" s="9" t="s">
        <v>19433</v>
      </c>
      <c r="G1137" s="9" t="s">
        <v>37</v>
      </c>
      <c r="H1137" s="9" t="s">
        <v>178</v>
      </c>
      <c r="I1137" s="9" t="s">
        <v>178</v>
      </c>
      <c r="J1137" s="9">
        <v>45775</v>
      </c>
      <c r="K1137" s="8" t="s">
        <v>198</v>
      </c>
      <c r="L1137" s="8" t="s">
        <v>124</v>
      </c>
      <c r="M1137" s="8" t="s">
        <v>208</v>
      </c>
      <c r="N1137" s="52" t="str">
        <f>IF(Follow[[#This Row],[DATAATUALIZAÇÃO]]&lt;=Follow[[#This Row],[Prev Entrega]],"Dentro do Prazo","Fora do Prazo")</f>
        <v>Fora do Prazo</v>
      </c>
      <c r="O11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28/04/2025, referente ao pedido Nº Pedido 1155 Rastreio Pedido 1155, agradecemos a preferência e adoraríamos receber sua avaliação, tendo qualquer dúvida estamos à disposição.
Att
Tem tudo Shop</v>
      </c>
    </row>
    <row r="1138" spans="1:15">
      <c r="A1138" s="52" t="str">
        <f>_xlfn.XLOOKUP(Follow[[#This Row],[CODRASTREIO]],Controle_Pedidos[Cód Rastreamento],Controle_Pedidos[Número Pedido Cliente])</f>
        <v>Pedido 1156</v>
      </c>
      <c r="B1138" s="2" t="s">
        <v>18573</v>
      </c>
      <c r="C1138" s="2" t="str">
        <f>Follow[[#This Row],[CODRASTREIO]]&amp;" B"</f>
        <v>CódRastreio1131 B</v>
      </c>
      <c r="D1138" s="52" t="str">
        <f>_xlfn.XLOOKUP(Follow[[#This Row],[Id Pedido]],Controle_Pedidos[Número Pedido Cliente],Controle_Pedidos[Loja])</f>
        <v>BV</v>
      </c>
      <c r="E1138" s="9">
        <f>_xlfn.XLOOKUP(Follow[[#This Row],[Id Pedido]],Controle_Pedidos[Número Pedido Cliente],Controle_Pedidos[Prazo Entrega])</f>
        <v>45756</v>
      </c>
      <c r="F1138" s="9" t="s">
        <v>19433</v>
      </c>
      <c r="G1138" s="9" t="s">
        <v>37</v>
      </c>
      <c r="H1138" s="9" t="s">
        <v>178</v>
      </c>
      <c r="I1138" s="9" t="s">
        <v>178</v>
      </c>
      <c r="J1138" s="9">
        <v>45749</v>
      </c>
      <c r="K1138" s="8" t="s">
        <v>198</v>
      </c>
      <c r="L1138" s="8" t="s">
        <v>124</v>
      </c>
      <c r="M1138" s="8" t="s">
        <v>37</v>
      </c>
      <c r="N1138" s="52" t="str">
        <f>IF(Follow[[#This Row],[DATAATUALIZAÇÃO]]&lt;=Follow[[#This Row],[Prev Entrega]],"Dentro do Prazo","Fora do Prazo")</f>
        <v>Dentro do Prazo</v>
      </c>
      <c r="O11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02/04/2025, referente ao pedido Nº Pedido 1156 Rastreio Pedido 1156, agradecemos a preferência e adoraríamos receber sua avaliação, tendo qualquer dúvida estamos à disposição.
Att
Tem tudo Shop</v>
      </c>
    </row>
    <row r="1139" spans="1:15">
      <c r="A1139" s="52" t="str">
        <f>_xlfn.XLOOKUP(Follow[[#This Row],[CODRASTREIO]],Controle_Pedidos[Cód Rastreamento],Controle_Pedidos[Número Pedido Cliente])</f>
        <v>Pedido 1158</v>
      </c>
      <c r="B1139" s="2" t="s">
        <v>18575</v>
      </c>
      <c r="C1139" s="2" t="str">
        <f>Follow[[#This Row],[CODRASTREIO]]&amp;" B"</f>
        <v>CódRastreio1133 B</v>
      </c>
      <c r="D1139" s="52" t="str">
        <f>_xlfn.XLOOKUP(Follow[[#This Row],[Id Pedido]],Controle_Pedidos[Número Pedido Cliente],Controle_Pedidos[Loja])</f>
        <v>MEI</v>
      </c>
      <c r="E1139" s="9">
        <f>_xlfn.XLOOKUP(Follow[[#This Row],[Id Pedido]],Controle_Pedidos[Número Pedido Cliente],Controle_Pedidos[Prazo Entrega])</f>
        <v>45750</v>
      </c>
      <c r="F1139" s="9" t="s">
        <v>19433</v>
      </c>
      <c r="G1139" s="9" t="s">
        <v>328</v>
      </c>
      <c r="H1139" s="9" t="s">
        <v>179</v>
      </c>
      <c r="I1139" s="9" t="s">
        <v>178</v>
      </c>
      <c r="J1139" s="9">
        <v>45748</v>
      </c>
      <c r="K1139" s="8" t="s">
        <v>198</v>
      </c>
      <c r="L1139" s="8" t="s">
        <v>124</v>
      </c>
      <c r="M1139" s="8" t="s">
        <v>37</v>
      </c>
      <c r="N1139" s="52" t="str">
        <f>IF(Follow[[#This Row],[DATAATUALIZAÇÃO]]&lt;=Follow[[#This Row],[Prev Entrega]],"Dentro do Prazo","Fora do Prazo")</f>
        <v>Dentro do Prazo</v>
      </c>
      <c r="O11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01/04/2025, referente ao pedido Nº Pedido 1158 Rastreio NM767542943BR, agradecemos a preferência e adoraríamos receber sua avaliação, tendo qualquer dúvida estamos à disposição.
Att
NTA Variedades</v>
      </c>
    </row>
    <row r="1140" spans="1:15">
      <c r="A1140" s="52" t="str">
        <f>_xlfn.XLOOKUP(Follow[[#This Row],[CODRASTREIO]],Controle_Pedidos[Cód Rastreamento],Controle_Pedidos[Número Pedido Cliente])</f>
        <v>Pedido 1159</v>
      </c>
      <c r="B1140" s="2" t="s">
        <v>18576</v>
      </c>
      <c r="C1140" s="2" t="str">
        <f>Follow[[#This Row],[CODRASTREIO]]&amp;" B"</f>
        <v>CódRastreio1134 B</v>
      </c>
      <c r="D1140" s="52" t="str">
        <f>_xlfn.XLOOKUP(Follow[[#This Row],[Id Pedido]],Controle_Pedidos[Número Pedido Cliente],Controle_Pedidos[Loja])</f>
        <v>MEI</v>
      </c>
      <c r="E1140" s="9">
        <f>_xlfn.XLOOKUP(Follow[[#This Row],[Id Pedido]],Controle_Pedidos[Número Pedido Cliente],Controle_Pedidos[Prazo Entrega])</f>
        <v>45750</v>
      </c>
      <c r="F1140" s="9" t="s">
        <v>19433</v>
      </c>
      <c r="G1140" s="9" t="s">
        <v>37</v>
      </c>
      <c r="H1140" s="52" t="s">
        <v>178</v>
      </c>
      <c r="I1140" s="9" t="s">
        <v>178</v>
      </c>
      <c r="J1140" s="55">
        <v>45737</v>
      </c>
      <c r="K1140" s="54" t="s">
        <v>198</v>
      </c>
      <c r="L1140" s="8" t="s">
        <v>124</v>
      </c>
      <c r="M1140" s="8" t="s">
        <v>37</v>
      </c>
      <c r="N1140" s="52" t="str">
        <f>IF(Follow[[#This Row],[DATAATUALIZAÇÃO]]&lt;=Follow[[#This Row],[Prev Entrega]],"Dentro do Prazo","Fora do Prazo")</f>
        <v>Dentro do Prazo</v>
      </c>
      <c r="O11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Hand Grip Fortalecedor foi entregue no dia 21/03/2025, referente ao pedido Nº Pedido 1159 Rastreio Pedido 1159, agradecemos a preferência e adoraríamos receber sua avaliação, tendo qualquer dúvida estamos à disposição.
Att
NTA Variedades</v>
      </c>
    </row>
    <row r="1141" spans="1:15">
      <c r="A1141" s="52" t="str">
        <f>_xlfn.XLOOKUP(Follow[[#This Row],[CODRASTREIO]],Controle_Pedidos[Cód Rastreamento],Controle_Pedidos[Número Pedido Cliente])</f>
        <v>Pedido 1160</v>
      </c>
      <c r="B1141" s="2" t="s">
        <v>18577</v>
      </c>
      <c r="C1141" s="2" t="str">
        <f>Follow[[#This Row],[CODRASTREIO]]&amp;" B"</f>
        <v>CódRastreio1135 B</v>
      </c>
      <c r="D1141" s="52" t="str">
        <f>_xlfn.XLOOKUP(Follow[[#This Row],[Id Pedido]],Controle_Pedidos[Número Pedido Cliente],Controle_Pedidos[Loja])</f>
        <v>MEI</v>
      </c>
      <c r="E1141" s="9">
        <f>_xlfn.XLOOKUP(Follow[[#This Row],[Id Pedido]],Controle_Pedidos[Número Pedido Cliente],Controle_Pedidos[Prazo Entrega])</f>
        <v>45750</v>
      </c>
      <c r="F1141" s="9" t="s">
        <v>19433</v>
      </c>
      <c r="G1141" s="9" t="s">
        <v>329</v>
      </c>
      <c r="H1141" s="9" t="s">
        <v>179</v>
      </c>
      <c r="I1141" s="9" t="s">
        <v>178</v>
      </c>
      <c r="J1141" s="9">
        <v>45745</v>
      </c>
      <c r="K1141" s="8" t="s">
        <v>198</v>
      </c>
      <c r="L1141" s="8" t="s">
        <v>124</v>
      </c>
      <c r="M1141" s="8" t="s">
        <v>37</v>
      </c>
      <c r="N1141" s="52" t="str">
        <f>IF(Follow[[#This Row],[DATAATUALIZAÇÃO]]&lt;=Follow[[#This Row],[Prev Entrega]],"Dentro do Prazo","Fora do Prazo")</f>
        <v>Dentro do Prazo</v>
      </c>
      <c r="O114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29/03/2025, referente ao pedido Nº Pedido 1160 Rastreio CNBR00062049970, agradecemos a preferência e adoraríamos receber sua avaliação, tendo qualquer dúvida estamos à disposição.
Att
NTA Variedades</v>
      </c>
    </row>
    <row r="1142" spans="1:15">
      <c r="A1142" s="52" t="str">
        <f>_xlfn.XLOOKUP(Follow[[#This Row],[CODRASTREIO]],Controle_Pedidos[Cód Rastreamento],Controle_Pedidos[Número Pedido Cliente])</f>
        <v>Pedido 1161</v>
      </c>
      <c r="B1142" s="2" t="s">
        <v>18578</v>
      </c>
      <c r="C1142" s="2" t="str">
        <f>Follow[[#This Row],[CODRASTREIO]]&amp;" B"</f>
        <v>CódRastreio1136 B</v>
      </c>
      <c r="D1142" s="52" t="str">
        <f>_xlfn.XLOOKUP(Follow[[#This Row],[Id Pedido]],Controle_Pedidos[Número Pedido Cliente],Controle_Pedidos[Loja])</f>
        <v>MEI</v>
      </c>
      <c r="E1142" s="9">
        <f>_xlfn.XLOOKUP(Follow[[#This Row],[Id Pedido]],Controle_Pedidos[Número Pedido Cliente],Controle_Pedidos[Prazo Entrega])</f>
        <v>45750</v>
      </c>
      <c r="F1142" s="9" t="s">
        <v>19433</v>
      </c>
      <c r="G1142" s="9" t="s">
        <v>330</v>
      </c>
      <c r="H1142" s="52" t="s">
        <v>179</v>
      </c>
      <c r="I1142" s="9" t="s">
        <v>178</v>
      </c>
      <c r="J1142" s="55">
        <v>45743</v>
      </c>
      <c r="K1142" s="54" t="s">
        <v>198</v>
      </c>
      <c r="L1142" s="8" t="s">
        <v>124</v>
      </c>
      <c r="M1142" s="8" t="s">
        <v>208</v>
      </c>
      <c r="N1142" s="52" t="str">
        <f>IF(Follow[[#This Row],[DATAATUALIZAÇÃO]]&lt;=Follow[[#This Row],[Prev Entrega]],"Dentro do Prazo","Fora do Prazo")</f>
        <v>Dentro do Prazo</v>
      </c>
      <c r="O11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27/03/2025, referente ao pedido Nº Pedido 1161 Rastreio NM767569464BR, agradecemos a preferência e adoraríamos receber sua avaliação, tendo qualquer dúvida estamos à disposição.
Att
NTA Variedades</v>
      </c>
    </row>
    <row r="1143" spans="1:15">
      <c r="A1143" s="52" t="str">
        <f>_xlfn.XLOOKUP(Follow[[#This Row],[CODRASTREIO]],Controle_Pedidos[Cód Rastreamento],Controle_Pedidos[Número Pedido Cliente])</f>
        <v>Pedido 1162</v>
      </c>
      <c r="B1143" s="2" t="s">
        <v>18579</v>
      </c>
      <c r="C1143" s="2" t="str">
        <f>Follow[[#This Row],[CODRASTREIO]]&amp;" B"</f>
        <v>CódRastreio1137 B</v>
      </c>
      <c r="D1143" s="52" t="str">
        <f>_xlfn.XLOOKUP(Follow[[#This Row],[Id Pedido]],Controle_Pedidos[Número Pedido Cliente],Controle_Pedidos[Loja])</f>
        <v>MEI</v>
      </c>
      <c r="E1143" s="9">
        <f>_xlfn.XLOOKUP(Follow[[#This Row],[Id Pedido]],Controle_Pedidos[Número Pedido Cliente],Controle_Pedidos[Prazo Entrega])</f>
        <v>45750</v>
      </c>
      <c r="F1143" s="9" t="s">
        <v>19433</v>
      </c>
      <c r="G1143" s="9" t="s">
        <v>331</v>
      </c>
      <c r="H1143" s="52" t="s">
        <v>179</v>
      </c>
      <c r="I1143" s="9" t="s">
        <v>178</v>
      </c>
      <c r="J1143" s="55">
        <v>45741</v>
      </c>
      <c r="K1143" s="54" t="s">
        <v>198</v>
      </c>
      <c r="L1143" s="8" t="s">
        <v>124</v>
      </c>
      <c r="M1143" s="8" t="s">
        <v>37</v>
      </c>
      <c r="N1143" s="52" t="str">
        <f>IF(Follow[[#This Row],[DATAATUALIZAÇÃO]]&lt;=Follow[[#This Row],[Prev Entrega]],"Dentro do Prazo","Fora do Prazo")</f>
        <v>Dentro do Prazo</v>
      </c>
      <c r="O11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25/03/2025, referente ao pedido Nº Pedido 1162 Rastreio NM767592785BR, agradecemos a preferência e adoraríamos receber sua avaliação, tendo qualquer dúvida estamos à disposição.
Att
NTA Variedades</v>
      </c>
    </row>
    <row r="1144" spans="1:15">
      <c r="A1144" s="52" t="str">
        <f>_xlfn.XLOOKUP(Follow[[#This Row],[CODRASTREIO]],Controle_Pedidos[Cód Rastreamento],Controle_Pedidos[Número Pedido Cliente])</f>
        <v>Pedido 1163</v>
      </c>
      <c r="B1144" s="2" t="s">
        <v>18580</v>
      </c>
      <c r="C1144" s="2" t="str">
        <f>Follow[[#This Row],[CODRASTREIO]]&amp;" B"</f>
        <v>CódRastreio1138 B</v>
      </c>
      <c r="D1144" s="52" t="str">
        <f>_xlfn.XLOOKUP(Follow[[#This Row],[Id Pedido]],Controle_Pedidos[Número Pedido Cliente],Controle_Pedidos[Loja])</f>
        <v>MEI</v>
      </c>
      <c r="E1144" s="9">
        <f>_xlfn.XLOOKUP(Follow[[#This Row],[Id Pedido]],Controle_Pedidos[Número Pedido Cliente],Controle_Pedidos[Prazo Entrega])</f>
        <v>45744</v>
      </c>
      <c r="F1144" s="9" t="s">
        <v>19433</v>
      </c>
      <c r="G1144" s="9" t="s">
        <v>332</v>
      </c>
      <c r="H1144" s="9" t="s">
        <v>179</v>
      </c>
      <c r="I1144" s="9" t="s">
        <v>178</v>
      </c>
      <c r="J1144" s="9">
        <v>45754</v>
      </c>
      <c r="K1144" s="8" t="s">
        <v>198</v>
      </c>
      <c r="L1144" s="8" t="s">
        <v>124</v>
      </c>
      <c r="M1144" s="8" t="s">
        <v>37</v>
      </c>
      <c r="N1144" s="52" t="str">
        <f>IF(Follow[[#This Row],[DATAATUALIZAÇÃO]]&lt;=Follow[[#This Row],[Prev Entrega]],"Dentro do Prazo","Fora do Prazo")</f>
        <v>Fora do Prazo</v>
      </c>
      <c r="O11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07/04/2025, referente ao pedido Nº Pedido 1163 Rastreio NM767511623BR, agradecemos a preferência e adoraríamos receber sua avaliação, tendo qualquer dúvida estamos à disposição.
Att
NTA Variedades</v>
      </c>
    </row>
    <row r="1145" spans="1:15">
      <c r="A1145" s="52" t="str">
        <f>_xlfn.XLOOKUP(Follow[[#This Row],[CODRASTREIO]],Controle_Pedidos[Cód Rastreamento],Controle_Pedidos[Número Pedido Cliente])</f>
        <v>Pedido 1144</v>
      </c>
      <c r="B1145" s="2" t="s">
        <v>18561</v>
      </c>
      <c r="C1145" s="2" t="str">
        <f>Follow[[#This Row],[CODRASTREIO]]&amp;" B"</f>
        <v>CódRastreio1119 B</v>
      </c>
      <c r="D1145" s="52" t="str">
        <f>_xlfn.XLOOKUP(Follow[[#This Row],[Id Pedido]],Controle_Pedidos[Número Pedido Cliente],Controle_Pedidos[Loja])</f>
        <v>BV</v>
      </c>
      <c r="E1145" s="9">
        <f>_xlfn.XLOOKUP(Follow[[#This Row],[Id Pedido]],Controle_Pedidos[Número Pedido Cliente],Controle_Pedidos[Prazo Entrega])</f>
        <v>45749</v>
      </c>
      <c r="F1145" s="9" t="s">
        <v>19433</v>
      </c>
      <c r="G1145" s="9" t="s">
        <v>37</v>
      </c>
      <c r="H1145" s="52" t="s">
        <v>178</v>
      </c>
      <c r="I1145" s="9" t="s">
        <v>178</v>
      </c>
      <c r="J1145" s="55">
        <v>45741</v>
      </c>
      <c r="K1145" s="54" t="s">
        <v>198</v>
      </c>
      <c r="L1145" s="8" t="s">
        <v>124</v>
      </c>
      <c r="M1145" s="8" t="s">
        <v>37</v>
      </c>
      <c r="N1145" s="52" t="str">
        <f>IF(Follow[[#This Row],[DATAATUALIZAÇÃO]]&lt;=Follow[[#This Row],[Prev Entrega]],"Dentro do Prazo","Fora do Prazo")</f>
        <v>Dentro do Prazo</v>
      </c>
      <c r="O11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com Regulagem foi entregue no dia 25/03/2025, referente ao pedido Nº Pedido 1144 Rastreio Pedido 1144, agradecemos a preferência e adoraríamos receber sua avaliação, tendo qualquer dúvida estamos à disposição.
Att
Tem tudo Shop</v>
      </c>
    </row>
    <row r="1146" spans="1:15">
      <c r="A1146" s="52" t="str">
        <f>_xlfn.XLOOKUP(Follow[[#This Row],[CODRASTREIO]],Controle_Pedidos[Cód Rastreamento],Controle_Pedidos[Número Pedido Cliente])</f>
        <v>Pedido 1145</v>
      </c>
      <c r="B1146" s="2" t="s">
        <v>18562</v>
      </c>
      <c r="C1146" s="2" t="str">
        <f>Follow[[#This Row],[CODRASTREIO]]&amp;" B"</f>
        <v>CódRastreio1120 B</v>
      </c>
      <c r="D1146" s="52" t="str">
        <f>_xlfn.XLOOKUP(Follow[[#This Row],[Id Pedido]],Controle_Pedidos[Número Pedido Cliente],Controle_Pedidos[Loja])</f>
        <v>BV</v>
      </c>
      <c r="E1146" s="9">
        <f>_xlfn.XLOOKUP(Follow[[#This Row],[Id Pedido]],Controle_Pedidos[Número Pedido Cliente],Controle_Pedidos[Prazo Entrega])</f>
        <v>45743</v>
      </c>
      <c r="F1146" s="9" t="s">
        <v>19433</v>
      </c>
      <c r="G1146" s="9" t="s">
        <v>37</v>
      </c>
      <c r="H1146" s="52" t="s">
        <v>178</v>
      </c>
      <c r="I1146" s="9" t="s">
        <v>178</v>
      </c>
      <c r="J1146" s="55">
        <v>45737</v>
      </c>
      <c r="K1146" s="54" t="s">
        <v>198</v>
      </c>
      <c r="L1146" s="8" t="s">
        <v>124</v>
      </c>
      <c r="M1146" s="8" t="s">
        <v>37</v>
      </c>
      <c r="N1146" s="52" t="str">
        <f>IF(Follow[[#This Row],[DATAATUALIZAÇÃO]]&lt;=Follow[[#This Row],[Prev Entrega]],"Dentro do Prazo","Fora do Prazo")</f>
        <v>Dentro do Prazo</v>
      </c>
      <c r="O11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com Regulagem foi entregue no dia 21/03/2025, referente ao pedido Nº Pedido 1145 Rastreio Pedido 1145, agradecemos a preferência e adoraríamos receber sua avaliação, tendo qualquer dúvida estamos à disposição.
Att
Tem tudo Shop</v>
      </c>
    </row>
    <row r="1147" spans="1:15">
      <c r="A1147" s="52" t="str">
        <f>_xlfn.XLOOKUP(Follow[[#This Row],[CODRASTREIO]],Controle_Pedidos[Cód Rastreamento],Controle_Pedidos[Número Pedido Cliente])</f>
        <v>Pedido 1152</v>
      </c>
      <c r="B1147" s="2" t="s">
        <v>18569</v>
      </c>
      <c r="C1147" s="2" t="str">
        <f>Follow[[#This Row],[CODRASTREIO]]&amp;" B"</f>
        <v>CódRastreio1127 B</v>
      </c>
      <c r="D1147" s="52" t="str">
        <f>_xlfn.XLOOKUP(Follow[[#This Row],[Id Pedido]],Controle_Pedidos[Número Pedido Cliente],Controle_Pedidos[Loja])</f>
        <v>BV</v>
      </c>
      <c r="E1147" s="9">
        <f>_xlfn.XLOOKUP(Follow[[#This Row],[Id Pedido]],Controle_Pedidos[Número Pedido Cliente],Controle_Pedidos[Prazo Entrega])</f>
        <v>45756</v>
      </c>
      <c r="F1147" s="9" t="s">
        <v>19433</v>
      </c>
      <c r="G1147" s="9" t="s">
        <v>37</v>
      </c>
      <c r="H1147" s="52" t="s">
        <v>178</v>
      </c>
      <c r="I1147" s="9" t="s">
        <v>178</v>
      </c>
      <c r="J1147" s="55">
        <v>45743</v>
      </c>
      <c r="K1147" s="54" t="s">
        <v>198</v>
      </c>
      <c r="L1147" s="8" t="s">
        <v>124</v>
      </c>
      <c r="M1147" s="8" t="s">
        <v>37</v>
      </c>
      <c r="N1147" s="52" t="str">
        <f>IF(Follow[[#This Row],[DATAATUALIZAÇÃO]]&lt;=Follow[[#This Row],[Prev Entrega]],"Dentro do Prazo","Fora do Prazo")</f>
        <v>Dentro do Prazo</v>
      </c>
      <c r="O11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27/03/2025, referente ao pedido Nº Pedido 1152 Rastreio Pedido 1152, agradecemos a preferência e adoraríamos receber sua avaliação, tendo qualquer dúvida estamos à disposição.
Att
Tem tudo Shop</v>
      </c>
    </row>
    <row r="1148" spans="1:15">
      <c r="A1148" s="52" t="str">
        <f>_xlfn.XLOOKUP(Follow[[#This Row],[CODRASTREIO]],Controle_Pedidos[Cód Rastreamento],Controle_Pedidos[Número Pedido Cliente])</f>
        <v>Pedido 1153</v>
      </c>
      <c r="B1148" s="2" t="s">
        <v>18570</v>
      </c>
      <c r="C1148" s="2" t="str">
        <f>Follow[[#This Row],[CODRASTREIO]]&amp;" B"</f>
        <v>CódRastreio1128 B</v>
      </c>
      <c r="D1148" s="52" t="str">
        <f>_xlfn.XLOOKUP(Follow[[#This Row],[Id Pedido]],Controle_Pedidos[Número Pedido Cliente],Controle_Pedidos[Loja])</f>
        <v>BV</v>
      </c>
      <c r="E1148" s="9">
        <f>_xlfn.XLOOKUP(Follow[[#This Row],[Id Pedido]],Controle_Pedidos[Número Pedido Cliente],Controle_Pedidos[Prazo Entrega])</f>
        <v>45756</v>
      </c>
      <c r="F1148" s="9" t="s">
        <v>19433</v>
      </c>
      <c r="G1148" s="9" t="s">
        <v>37</v>
      </c>
      <c r="H1148" s="52" t="s">
        <v>178</v>
      </c>
      <c r="I1148" s="9" t="s">
        <v>178</v>
      </c>
      <c r="J1148" s="55">
        <v>45743</v>
      </c>
      <c r="K1148" s="54" t="s">
        <v>198</v>
      </c>
      <c r="L1148" s="8" t="s">
        <v>124</v>
      </c>
      <c r="M1148" s="8" t="s">
        <v>37</v>
      </c>
      <c r="N1148" s="52" t="str">
        <f>IF(Follow[[#This Row],[DATAATUALIZAÇÃO]]&lt;=Follow[[#This Row],[Prev Entrega]],"Dentro do Prazo","Fora do Prazo")</f>
        <v>Dentro do Prazo</v>
      </c>
      <c r="O11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27/03/2025, referente ao pedido Nº Pedido 1153 Rastreio Pedido 1153, agradecemos a preferência e adoraríamos receber sua avaliação, tendo qualquer dúvida estamos à disposição.
Att
Tem tudo Shop</v>
      </c>
    </row>
    <row r="1149" spans="1:15">
      <c r="A1149" s="52" t="str">
        <f>_xlfn.XLOOKUP(Follow[[#This Row],[CODRASTREIO]],Controle_Pedidos[Cód Rastreamento],Controle_Pedidos[Número Pedido Cliente])</f>
        <v>Pedido 1164</v>
      </c>
      <c r="B1149" s="2" t="s">
        <v>18581</v>
      </c>
      <c r="C1149" s="2" t="str">
        <f>Follow[[#This Row],[CODRASTREIO]]&amp;" B"</f>
        <v>CódRastreio1139 B</v>
      </c>
      <c r="D1149" s="52" t="str">
        <f>_xlfn.XLOOKUP(Follow[[#This Row],[Id Pedido]],Controle_Pedidos[Número Pedido Cliente],Controle_Pedidos[Loja])</f>
        <v>MEI</v>
      </c>
      <c r="E1149" s="9">
        <f>_xlfn.XLOOKUP(Follow[[#This Row],[Id Pedido]],Controle_Pedidos[Número Pedido Cliente],Controle_Pedidos[Prazo Entrega])</f>
        <v>45750</v>
      </c>
      <c r="F1149" s="9" t="s">
        <v>19433</v>
      </c>
      <c r="G1149" s="9" t="s">
        <v>333</v>
      </c>
      <c r="H1149" s="52" t="s">
        <v>179</v>
      </c>
      <c r="I1149" s="9" t="s">
        <v>178</v>
      </c>
      <c r="J1149" s="55">
        <v>45740</v>
      </c>
      <c r="K1149" s="54" t="s">
        <v>198</v>
      </c>
      <c r="L1149" s="8" t="s">
        <v>124</v>
      </c>
      <c r="M1149" s="8" t="s">
        <v>37</v>
      </c>
      <c r="N1149" s="52" t="str">
        <f>IF(Follow[[#This Row],[DATAATUALIZAÇÃO]]&lt;=Follow[[#This Row],[Prev Entrega]],"Dentro do Prazo","Fora do Prazo")</f>
        <v>Dentro do Prazo</v>
      </c>
      <c r="O11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24/03/2025, referente ao pedido Nº Pedido 1164 Rastreio CNBR00062469073, agradecemos a preferência e adoraríamos receber sua avaliação, tendo qualquer dúvida estamos à disposição.
Att
NTA Variedades</v>
      </c>
    </row>
    <row r="1150" spans="1:15">
      <c r="A1150" s="52" t="str">
        <f>_xlfn.XLOOKUP(Follow[[#This Row],[CODRASTREIO]],Controle_Pedidos[Cód Rastreamento],Controle_Pedidos[Número Pedido Cliente])</f>
        <v>Pedido 1166</v>
      </c>
      <c r="B1150" s="2" t="s">
        <v>18583</v>
      </c>
      <c r="C1150" s="2" t="str">
        <f>Follow[[#This Row],[CODRASTREIO]]&amp;" B"</f>
        <v>CódRastreio1141 B</v>
      </c>
      <c r="D1150" s="52" t="str">
        <f>_xlfn.XLOOKUP(Follow[[#This Row],[Id Pedido]],Controle_Pedidos[Número Pedido Cliente],Controle_Pedidos[Loja])</f>
        <v>MEI</v>
      </c>
      <c r="E1150" s="9">
        <f>_xlfn.XLOOKUP(Follow[[#This Row],[Id Pedido]],Controle_Pedidos[Número Pedido Cliente],Controle_Pedidos[Prazo Entrega])</f>
        <v>45756</v>
      </c>
      <c r="F1150" s="9" t="s">
        <v>19433</v>
      </c>
      <c r="G1150" s="9" t="s">
        <v>334</v>
      </c>
      <c r="H1150" s="9" t="s">
        <v>179</v>
      </c>
      <c r="I1150" s="9" t="s">
        <v>178</v>
      </c>
      <c r="J1150" s="9">
        <v>45751</v>
      </c>
      <c r="K1150" s="8" t="s">
        <v>198</v>
      </c>
      <c r="L1150" s="8" t="s">
        <v>124</v>
      </c>
      <c r="M1150" s="8" t="s">
        <v>37</v>
      </c>
      <c r="N1150" s="52" t="str">
        <f>IF(Follow[[#This Row],[DATAATUALIZAÇÃO]]&lt;=Follow[[#This Row],[Prev Entrega]],"Dentro do Prazo","Fora do Prazo")</f>
        <v>Dentro do Prazo</v>
      </c>
      <c r="O11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04/04/2025, referente ao pedido Nº Pedido 1166 Rastreio CNBR00062296644, agradecemos a preferência e adoraríamos receber sua avaliação, tendo qualquer dúvida estamos à disposição.
Att
NTA Variedades</v>
      </c>
    </row>
    <row r="1151" spans="1:15">
      <c r="A1151" s="52" t="str">
        <f>_xlfn.XLOOKUP(Follow[[#This Row],[CODRASTREIO]],Controle_Pedidos[Cód Rastreamento],Controle_Pedidos[Número Pedido Cliente])</f>
        <v>Pedido 1168</v>
      </c>
      <c r="B1151" s="2" t="s">
        <v>18584</v>
      </c>
      <c r="C1151" s="2" t="str">
        <f>Follow[[#This Row],[CODRASTREIO]]&amp;" B"</f>
        <v>CódRastreio1142 B</v>
      </c>
      <c r="D1151" s="52" t="str">
        <f>_xlfn.XLOOKUP(Follow[[#This Row],[Id Pedido]],Controle_Pedidos[Número Pedido Cliente],Controle_Pedidos[Loja])</f>
        <v>BV</v>
      </c>
      <c r="E1151" s="9">
        <f>_xlfn.XLOOKUP(Follow[[#This Row],[Id Pedido]],Controle_Pedidos[Número Pedido Cliente],Controle_Pedidos[Prazo Entrega])</f>
        <v>45751</v>
      </c>
      <c r="F1151" s="9" t="s">
        <v>19433</v>
      </c>
      <c r="G1151" s="9" t="s">
        <v>37</v>
      </c>
      <c r="H1151" s="52" t="s">
        <v>178</v>
      </c>
      <c r="I1151" s="9" t="s">
        <v>178</v>
      </c>
      <c r="J1151" s="55">
        <v>45740</v>
      </c>
      <c r="K1151" s="54" t="s">
        <v>198</v>
      </c>
      <c r="L1151" s="8" t="s">
        <v>124</v>
      </c>
      <c r="M1151" s="8" t="s">
        <v>37</v>
      </c>
      <c r="N1151" s="52" t="str">
        <f>IF(Follow[[#This Row],[DATAATUALIZAÇÃO]]&lt;=Follow[[#This Row],[Prev Entrega]],"Dentro do Prazo","Fora do Prazo")</f>
        <v>Dentro do Prazo</v>
      </c>
      <c r="O11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24/03/2025, referente ao pedido Nº Pedido 1168 Rastreio Pedido 1168, agradecemos a preferência e adoraríamos receber sua avaliação, tendo qualquer dúvida estamos à disposição.
Att
Tem tudo Shop</v>
      </c>
    </row>
    <row r="1152" spans="1:15">
      <c r="A1152" s="52" t="str">
        <f>_xlfn.XLOOKUP(Follow[[#This Row],[CODRASTREIO]],Controle_Pedidos[Cód Rastreamento],Controle_Pedidos[Número Pedido Cliente])</f>
        <v>Pedido 1169</v>
      </c>
      <c r="B1152" s="2" t="s">
        <v>18585</v>
      </c>
      <c r="C1152" s="2" t="str">
        <f>Follow[[#This Row],[CODRASTREIO]]&amp;" B"</f>
        <v>CódRastreio1143 B</v>
      </c>
      <c r="D1152" s="52" t="str">
        <f>_xlfn.XLOOKUP(Follow[[#This Row],[Id Pedido]],Controle_Pedidos[Número Pedido Cliente],Controle_Pedidos[Loja])</f>
        <v>BV</v>
      </c>
      <c r="E1152" s="9">
        <f>_xlfn.XLOOKUP(Follow[[#This Row],[Id Pedido]],Controle_Pedidos[Número Pedido Cliente],Controle_Pedidos[Prazo Entrega])</f>
        <v>45751</v>
      </c>
      <c r="F1152" s="9" t="s">
        <v>19433</v>
      </c>
      <c r="G1152" s="9" t="s">
        <v>335</v>
      </c>
      <c r="H1152" s="9" t="s">
        <v>179</v>
      </c>
      <c r="I1152" s="9" t="s">
        <v>178</v>
      </c>
      <c r="J1152" s="9">
        <v>45748</v>
      </c>
      <c r="K1152" s="8" t="s">
        <v>198</v>
      </c>
      <c r="L1152" s="8" t="s">
        <v>124</v>
      </c>
      <c r="M1152" s="8" t="s">
        <v>37</v>
      </c>
      <c r="N1152" s="52" t="str">
        <f>IF(Follow[[#This Row],[DATAATUALIZAÇÃO]]&lt;=Follow[[#This Row],[Prev Entrega]],"Dentro do Prazo","Fora do Prazo")</f>
        <v>Dentro do Prazo</v>
      </c>
      <c r="O11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01/04/2025, referente ao pedido Nº Pedido 1169 Rastreio CNBR00062288162, agradecemos a preferência e adoraríamos receber sua avaliação, tendo qualquer dúvida estamos à disposição.
Att
Tem tudo Shop</v>
      </c>
    </row>
    <row r="1153" spans="1:15">
      <c r="A1153" s="52" t="str">
        <f>_xlfn.XLOOKUP(Follow[[#This Row],[CODRASTREIO]],Controle_Pedidos[Cód Rastreamento],Controle_Pedidos[Número Pedido Cliente])</f>
        <v>Pedido 1171</v>
      </c>
      <c r="B1153" s="2" t="s">
        <v>18587</v>
      </c>
      <c r="C1153" s="2" t="str">
        <f>Follow[[#This Row],[CODRASTREIO]]&amp;" B"</f>
        <v>CódRastreio1145 B</v>
      </c>
      <c r="D1153" s="52" t="str">
        <f>_xlfn.XLOOKUP(Follow[[#This Row],[Id Pedido]],Controle_Pedidos[Número Pedido Cliente],Controle_Pedidos[Loja])</f>
        <v>MEI</v>
      </c>
      <c r="E1153" s="9">
        <f>_xlfn.XLOOKUP(Follow[[#This Row],[Id Pedido]],Controle_Pedidos[Número Pedido Cliente],Controle_Pedidos[Prazo Entrega])</f>
        <v>45764</v>
      </c>
      <c r="F1153" s="9" t="s">
        <v>19433</v>
      </c>
      <c r="G1153" s="9" t="s">
        <v>336</v>
      </c>
      <c r="H1153" s="9" t="s">
        <v>179</v>
      </c>
      <c r="I1153" s="9" t="s">
        <v>178</v>
      </c>
      <c r="J1153" s="9">
        <v>45754</v>
      </c>
      <c r="K1153" s="8" t="s">
        <v>198</v>
      </c>
      <c r="L1153" s="8" t="s">
        <v>124</v>
      </c>
      <c r="M1153" s="8" t="s">
        <v>37</v>
      </c>
      <c r="N1153" s="52" t="str">
        <f>IF(Follow[[#This Row],[DATAATUALIZAÇÃO]]&lt;=Follow[[#This Row],[Prev Entrega]],"Dentro do Prazo","Fora do Prazo")</f>
        <v>Dentro do Prazo</v>
      </c>
      <c r="O11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07/04/2025, referente ao pedido Nº Pedido 1171 Rastreio NM767855734BR, agradecemos a preferência e adoraríamos receber sua avaliação, tendo qualquer dúvida estamos à disposição.
Att
NTA Variedades</v>
      </c>
    </row>
    <row r="1154" spans="1:15">
      <c r="A1154" s="52" t="str">
        <f>_xlfn.XLOOKUP(Follow[[#This Row],[CODRASTREIO]],Controle_Pedidos[Cód Rastreamento],Controle_Pedidos[Número Pedido Cliente])</f>
        <v>Pedido 1172</v>
      </c>
      <c r="B1154" s="2" t="s">
        <v>18588</v>
      </c>
      <c r="C1154" s="2" t="str">
        <f>Follow[[#This Row],[CODRASTREIO]]&amp;" B"</f>
        <v>CódRastreio1146 B</v>
      </c>
      <c r="D1154" s="52" t="str">
        <f>_xlfn.XLOOKUP(Follow[[#This Row],[Id Pedido]],Controle_Pedidos[Número Pedido Cliente],Controle_Pedidos[Loja])</f>
        <v>MEI</v>
      </c>
      <c r="E1154" s="9">
        <f>_xlfn.XLOOKUP(Follow[[#This Row],[Id Pedido]],Controle_Pedidos[Número Pedido Cliente],Controle_Pedidos[Prazo Entrega])</f>
        <v>45751</v>
      </c>
      <c r="F1154" s="9" t="s">
        <v>19433</v>
      </c>
      <c r="G1154" s="122" t="s">
        <v>337</v>
      </c>
      <c r="H1154" s="52" t="s">
        <v>179</v>
      </c>
      <c r="I1154" s="9" t="s">
        <v>178</v>
      </c>
      <c r="J1154" s="55">
        <v>45738</v>
      </c>
      <c r="K1154" s="54" t="s">
        <v>198</v>
      </c>
      <c r="L1154" s="8" t="s">
        <v>124</v>
      </c>
      <c r="M1154" s="8" t="s">
        <v>37</v>
      </c>
      <c r="N1154" s="52" t="str">
        <f>IF(Follow[[#This Row],[DATAATUALIZAÇÃO]]&lt;=Follow[[#This Row],[Prev Entrega]],"Dentro do Prazo","Fora do Prazo")</f>
        <v>Dentro do Prazo</v>
      </c>
      <c r="O11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22/03/2025, referente ao pedido Nº Pedido 1172 Rastreio CNBR00062464165, agradecemos a preferência e adoraríamos receber sua avaliação, tendo qualquer dúvida estamos à disposição.
Att
NTA Variedades</v>
      </c>
    </row>
    <row r="1155" spans="1:15">
      <c r="A1155" s="52" t="str">
        <f>_xlfn.XLOOKUP(Follow[[#This Row],[CODRASTREIO]],Controle_Pedidos[Cód Rastreamento],Controle_Pedidos[Número Pedido Cliente])</f>
        <v>Pedido 1173</v>
      </c>
      <c r="B1155" s="2" t="s">
        <v>18589</v>
      </c>
      <c r="C1155" s="2" t="str">
        <f>Follow[[#This Row],[CODRASTREIO]]&amp;" B"</f>
        <v>CódRastreio1147 B</v>
      </c>
      <c r="D1155" s="52" t="str">
        <f>_xlfn.XLOOKUP(Follow[[#This Row],[Id Pedido]],Controle_Pedidos[Número Pedido Cliente],Controle_Pedidos[Loja])</f>
        <v>MEI</v>
      </c>
      <c r="E1155" s="9">
        <f>_xlfn.XLOOKUP(Follow[[#This Row],[Id Pedido]],Controle_Pedidos[Número Pedido Cliente],Controle_Pedidos[Prazo Entrega])</f>
        <v>45757</v>
      </c>
      <c r="F1155" s="9" t="s">
        <v>19433</v>
      </c>
      <c r="G1155" s="9" t="s">
        <v>338</v>
      </c>
      <c r="H1155" s="9" t="s">
        <v>179</v>
      </c>
      <c r="I1155" s="9" t="s">
        <v>178</v>
      </c>
      <c r="J1155" s="9">
        <v>45755</v>
      </c>
      <c r="K1155" s="8" t="s">
        <v>198</v>
      </c>
      <c r="L1155" s="8" t="s">
        <v>124</v>
      </c>
      <c r="M1155" s="8" t="s">
        <v>37</v>
      </c>
      <c r="N1155" s="52" t="str">
        <f>IF(Follow[[#This Row],[DATAATUALIZAÇÃO]]&lt;=Follow[[#This Row],[Prev Entrega]],"Dentro do Prazo","Fora do Prazo")</f>
        <v>Dentro do Prazo</v>
      </c>
      <c r="O11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08/04/2025, referente ao pedido Nº Pedido 1173 Rastreio NM767847168BR, agradecemos a preferência e adoraríamos receber sua avaliação, tendo qualquer dúvida estamos à disposição.
Att
NTA Variedades</v>
      </c>
    </row>
    <row r="1156" spans="1:15">
      <c r="A1156" s="52" t="str">
        <f>_xlfn.XLOOKUP(Follow[[#This Row],[CODRASTREIO]],Controle_Pedidos[Cód Rastreamento],Controle_Pedidos[Número Pedido Cliente])</f>
        <v>Pedido 1175</v>
      </c>
      <c r="B1156" s="2" t="s">
        <v>18591</v>
      </c>
      <c r="C1156" s="2" t="str">
        <f>Follow[[#This Row],[CODRASTREIO]]&amp;" B"</f>
        <v>CódRastreio1149 B</v>
      </c>
      <c r="D1156" s="52" t="str">
        <f>_xlfn.XLOOKUP(Follow[[#This Row],[Id Pedido]],Controle_Pedidos[Número Pedido Cliente],Controle_Pedidos[Loja])</f>
        <v>MEI</v>
      </c>
      <c r="E1156" s="9">
        <f>_xlfn.XLOOKUP(Follow[[#This Row],[Id Pedido]],Controle_Pedidos[Número Pedido Cliente],Controle_Pedidos[Prazo Entrega])</f>
        <v>45751</v>
      </c>
      <c r="F1156" s="9" t="s">
        <v>19433</v>
      </c>
      <c r="G1156" s="9" t="s">
        <v>339</v>
      </c>
      <c r="H1156" s="9" t="s">
        <v>179</v>
      </c>
      <c r="I1156" s="9" t="s">
        <v>178</v>
      </c>
      <c r="J1156" s="9">
        <v>45748</v>
      </c>
      <c r="K1156" s="8" t="s">
        <v>198</v>
      </c>
      <c r="L1156" s="8" t="s">
        <v>124</v>
      </c>
      <c r="M1156" s="8" t="s">
        <v>37</v>
      </c>
      <c r="N1156" s="52" t="str">
        <f>IF(Follow[[#This Row],[DATAATUALIZAÇÃO]]&lt;=Follow[[#This Row],[Prev Entrega]],"Dentro do Prazo","Fora do Prazo")</f>
        <v>Dentro do Prazo</v>
      </c>
      <c r="O11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01/04/2025, referente ao pedido Nº Pedido 1175 Rastreio NM767853574BR, agradecemos a preferência e adoraríamos receber sua avaliação, tendo qualquer dúvida estamos à disposição.
Att
NTA Variedades</v>
      </c>
    </row>
    <row r="1157" spans="1:15">
      <c r="A1157" s="52" t="str">
        <f>_xlfn.XLOOKUP(Follow[[#This Row],[CODRASTREIO]],Controle_Pedidos[Cód Rastreamento],Controle_Pedidos[Número Pedido Cliente])</f>
        <v>Pedido 1178</v>
      </c>
      <c r="B1157" s="2" t="s">
        <v>18593</v>
      </c>
      <c r="C1157" s="2" t="str">
        <f>Follow[[#This Row],[CODRASTREIO]]&amp;" B"</f>
        <v>CódRastreio1151 B</v>
      </c>
      <c r="D1157" s="52" t="str">
        <f>_xlfn.XLOOKUP(Follow[[#This Row],[Id Pedido]],Controle_Pedidos[Número Pedido Cliente],Controle_Pedidos[Loja])</f>
        <v>BV</v>
      </c>
      <c r="E1157" s="9">
        <f>_xlfn.XLOOKUP(Follow[[#This Row],[Id Pedido]],Controle_Pedidos[Número Pedido Cliente],Controle_Pedidos[Prazo Entrega])</f>
        <v>45757</v>
      </c>
      <c r="F1157" s="9" t="s">
        <v>19433</v>
      </c>
      <c r="G1157" s="9" t="s">
        <v>340</v>
      </c>
      <c r="H1157" s="9" t="s">
        <v>179</v>
      </c>
      <c r="I1157" s="9" t="s">
        <v>178</v>
      </c>
      <c r="J1157" s="9">
        <v>45752</v>
      </c>
      <c r="K1157" s="8" t="s">
        <v>198</v>
      </c>
      <c r="L1157" s="8" t="s">
        <v>124</v>
      </c>
      <c r="M1157" s="8" t="s">
        <v>37</v>
      </c>
      <c r="N1157" s="52" t="str">
        <f>IF(Follow[[#This Row],[DATAATUALIZAÇÃO]]&lt;=Follow[[#This Row],[Prev Entrega]],"Dentro do Prazo","Fora do Prazo")</f>
        <v>Dentro do Prazo</v>
      </c>
      <c r="O11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05/04/2025, referente ao pedido Nº Pedido 1178 Rastreio CNBR00062931526, agradecemos a preferência e adoraríamos receber sua avaliação, tendo qualquer dúvida estamos à disposição.
Att
Tem tudo Shop</v>
      </c>
    </row>
    <row r="1158" spans="1:15">
      <c r="A1158" s="52" t="str">
        <f>_xlfn.XLOOKUP(Follow[[#This Row],[CODRASTREIO]],Controle_Pedidos[Cód Rastreamento],Controle_Pedidos[Número Pedido Cliente])</f>
        <v>Pedido 1186</v>
      </c>
      <c r="B1158" s="2" t="s">
        <v>18597</v>
      </c>
      <c r="C1158" s="2" t="str">
        <f>Follow[[#This Row],[CODRASTREIO]]&amp;" B"</f>
        <v>CódRastreio1155 B</v>
      </c>
      <c r="D1158" s="52" t="str">
        <f>_xlfn.XLOOKUP(Follow[[#This Row],[Id Pedido]],Controle_Pedidos[Número Pedido Cliente],Controle_Pedidos[Loja])</f>
        <v>BV</v>
      </c>
      <c r="E1158" s="9">
        <f>_xlfn.XLOOKUP(Follow[[#This Row],[Id Pedido]],Controle_Pedidos[Número Pedido Cliente],Controle_Pedidos[Prazo Entrega])</f>
        <v>45757</v>
      </c>
      <c r="F1158" s="9" t="s">
        <v>19433</v>
      </c>
      <c r="G1158" s="9" t="s">
        <v>341</v>
      </c>
      <c r="H1158" s="9" t="s">
        <v>179</v>
      </c>
      <c r="I1158" s="9" t="s">
        <v>178</v>
      </c>
      <c r="J1158" s="9">
        <v>45755</v>
      </c>
      <c r="K1158" s="8" t="s">
        <v>198</v>
      </c>
      <c r="L1158" s="8" t="s">
        <v>124</v>
      </c>
      <c r="M1158" s="8" t="s">
        <v>37</v>
      </c>
      <c r="N1158" s="52" t="str">
        <f>IF(Follow[[#This Row],[DATAATUALIZAÇÃO]]&lt;=Follow[[#This Row],[Prev Entrega]],"Dentro do Prazo","Fora do Prazo")</f>
        <v>Dentro do Prazo</v>
      </c>
      <c r="O11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08/04/2025, referente ao pedido Nº Pedido 1186 Rastreio CNBR00062938775, agradecemos a preferência e adoraríamos receber sua avaliação, tendo qualquer dúvida estamos à disposição.
Att
Tem tudo Shop</v>
      </c>
    </row>
    <row r="1159" spans="1:15">
      <c r="A1159" s="52" t="str">
        <f>_xlfn.XLOOKUP(Follow[[#This Row],[CODRASTREIO]],Controle_Pedidos[Cód Rastreamento],Controle_Pedidos[Número Pedido Cliente])</f>
        <v>Pedido 1191</v>
      </c>
      <c r="B1159" s="2" t="s">
        <v>18600</v>
      </c>
      <c r="C1159" s="2" t="str">
        <f>Follow[[#This Row],[CODRASTREIO]]&amp;" B"</f>
        <v>CódRastreio1158 B</v>
      </c>
      <c r="D1159" s="52" t="str">
        <f>_xlfn.XLOOKUP(Follow[[#This Row],[Id Pedido]],Controle_Pedidos[Número Pedido Cliente],Controle_Pedidos[Loja])</f>
        <v>BV</v>
      </c>
      <c r="E1159" s="9">
        <f>_xlfn.XLOOKUP(Follow[[#This Row],[Id Pedido]],Controle_Pedidos[Número Pedido Cliente],Controle_Pedidos[Prazo Entrega])</f>
        <v>45751</v>
      </c>
      <c r="F1159" s="9" t="s">
        <v>19433</v>
      </c>
      <c r="G1159" s="9" t="s">
        <v>342</v>
      </c>
      <c r="H1159" s="9" t="s">
        <v>179</v>
      </c>
      <c r="I1159" s="9" t="s">
        <v>178</v>
      </c>
      <c r="J1159" s="9">
        <v>45751</v>
      </c>
      <c r="K1159" s="8" t="s">
        <v>198</v>
      </c>
      <c r="L1159" s="8" t="s">
        <v>124</v>
      </c>
      <c r="M1159" s="8" t="s">
        <v>37</v>
      </c>
      <c r="N1159" s="52" t="str">
        <f>IF(Follow[[#This Row],[DATAATUALIZAÇÃO]]&lt;=Follow[[#This Row],[Prev Entrega]],"Dentro do Prazo","Fora do Prazo")</f>
        <v>Dentro do Prazo</v>
      </c>
      <c r="O11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04/04/2025, referente ao pedido Nº Pedido 1191 Rastreio CNBR00062948712, agradecemos a preferência e adoraríamos receber sua avaliação, tendo qualquer dúvida estamos à disposição.
Att
Tem tudo Shop</v>
      </c>
    </row>
    <row r="1160" spans="1:15">
      <c r="A1160" s="52" t="str">
        <f>_xlfn.XLOOKUP(Follow[[#This Row],[CODRASTREIO]],Controle_Pedidos[Cód Rastreamento],Controle_Pedidos[Número Pedido Cliente])</f>
        <v>Pedido 1192</v>
      </c>
      <c r="B1160" s="2" t="s">
        <v>18601</v>
      </c>
      <c r="C1160" s="2" t="str">
        <f>Follow[[#This Row],[CODRASTREIO]]&amp;" B"</f>
        <v>CódRastreio1159 B</v>
      </c>
      <c r="D1160" s="52" t="str">
        <f>_xlfn.XLOOKUP(Follow[[#This Row],[Id Pedido]],Controle_Pedidos[Número Pedido Cliente],Controle_Pedidos[Loja])</f>
        <v>BV</v>
      </c>
      <c r="E1160" s="9">
        <f>_xlfn.XLOOKUP(Follow[[#This Row],[Id Pedido]],Controle_Pedidos[Número Pedido Cliente],Controle_Pedidos[Prazo Entrega])</f>
        <v>45751</v>
      </c>
      <c r="F1160" s="9" t="s">
        <v>19433</v>
      </c>
      <c r="G1160" s="9" t="s">
        <v>343</v>
      </c>
      <c r="H1160" s="9" t="s">
        <v>179</v>
      </c>
      <c r="I1160" s="9" t="s">
        <v>178</v>
      </c>
      <c r="J1160" s="9">
        <v>45750</v>
      </c>
      <c r="K1160" s="8" t="s">
        <v>198</v>
      </c>
      <c r="L1160" s="8" t="s">
        <v>124</v>
      </c>
      <c r="M1160" s="8" t="s">
        <v>37</v>
      </c>
      <c r="N1160" s="52" t="str">
        <f>IF(Follow[[#This Row],[DATAATUALIZAÇÃO]]&lt;=Follow[[#This Row],[Prev Entrega]],"Dentro do Prazo","Fora do Prazo")</f>
        <v>Dentro do Prazo</v>
      </c>
      <c r="O11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03/04/2025, referente ao pedido Nº Pedido 1192 Rastreio CNBR00062956546, agradecemos a preferência e adoraríamos receber sua avaliação, tendo qualquer dúvida estamos à disposição.
Att
Tem tudo Shop</v>
      </c>
    </row>
    <row r="1161" spans="1:15">
      <c r="A1161" s="52" t="str">
        <f>_xlfn.XLOOKUP(Follow[[#This Row],[CODRASTREIO]],Controle_Pedidos[Cód Rastreamento],Controle_Pedidos[Número Pedido Cliente])</f>
        <v>Pedido 1193</v>
      </c>
      <c r="B1161" s="2" t="s">
        <v>18602</v>
      </c>
      <c r="C1161" s="2" t="str">
        <f>Follow[[#This Row],[CODRASTREIO]]&amp;" B"</f>
        <v>CódRastreio1160 B</v>
      </c>
      <c r="D1161" s="52" t="str">
        <f>_xlfn.XLOOKUP(Follow[[#This Row],[Id Pedido]],Controle_Pedidos[Número Pedido Cliente],Controle_Pedidos[Loja])</f>
        <v>BV</v>
      </c>
      <c r="E1161" s="9">
        <f>_xlfn.XLOOKUP(Follow[[#This Row],[Id Pedido]],Controle_Pedidos[Número Pedido Cliente],Controle_Pedidos[Prazo Entrega])</f>
        <v>45751</v>
      </c>
      <c r="F1161" s="9" t="s">
        <v>19433</v>
      </c>
      <c r="G1161" s="9" t="s">
        <v>344</v>
      </c>
      <c r="H1161" s="9" t="s">
        <v>179</v>
      </c>
      <c r="I1161" s="9" t="s">
        <v>178</v>
      </c>
      <c r="J1161" s="9">
        <v>45750</v>
      </c>
      <c r="K1161" s="8" t="s">
        <v>198</v>
      </c>
      <c r="L1161" s="8" t="s">
        <v>124</v>
      </c>
      <c r="M1161" s="8" t="s">
        <v>37</v>
      </c>
      <c r="N1161" s="52" t="str">
        <f>IF(Follow[[#This Row],[DATAATUALIZAÇÃO]]&lt;=Follow[[#This Row],[Prev Entrega]],"Dentro do Prazo","Fora do Prazo")</f>
        <v>Dentro do Prazo</v>
      </c>
      <c r="O11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03/04/2025, referente ao pedido Nº Pedido 1193 Rastreio CNBR00062952343, agradecemos a preferência e adoraríamos receber sua avaliação, tendo qualquer dúvida estamos à disposição.
Att
Tem tudo Shop</v>
      </c>
    </row>
    <row r="1162" spans="1:15">
      <c r="A1162" s="52" t="str">
        <f>_xlfn.XLOOKUP(Follow[[#This Row],[CODRASTREIO]],Controle_Pedidos[Cód Rastreamento],Controle_Pedidos[Número Pedido Cliente])</f>
        <v>Pedido 1195</v>
      </c>
      <c r="B1162" s="2" t="s">
        <v>18603</v>
      </c>
      <c r="C1162" s="2" t="str">
        <f>Follow[[#This Row],[CODRASTREIO]]&amp;" B"</f>
        <v>CódRastreio1161 B</v>
      </c>
      <c r="D1162" s="52" t="str">
        <f>_xlfn.XLOOKUP(Follow[[#This Row],[Id Pedido]],Controle_Pedidos[Número Pedido Cliente],Controle_Pedidos[Loja])</f>
        <v>BV</v>
      </c>
      <c r="E1162" s="9">
        <f>_xlfn.XLOOKUP(Follow[[#This Row],[Id Pedido]],Controle_Pedidos[Número Pedido Cliente],Controle_Pedidos[Prazo Entrega])</f>
        <v>45764</v>
      </c>
      <c r="F1162" s="9" t="s">
        <v>19433</v>
      </c>
      <c r="G1162" s="9" t="s">
        <v>345</v>
      </c>
      <c r="H1162" s="9" t="s">
        <v>179</v>
      </c>
      <c r="I1162" s="9" t="s">
        <v>178</v>
      </c>
      <c r="J1162" s="9">
        <v>45757</v>
      </c>
      <c r="K1162" s="8" t="s">
        <v>198</v>
      </c>
      <c r="L1162" s="8" t="s">
        <v>124</v>
      </c>
      <c r="M1162" s="8" t="s">
        <v>37</v>
      </c>
      <c r="N1162" s="52" t="str">
        <f>IF(Follow[[#This Row],[DATAATUALIZAÇÃO]]&lt;=Follow[[#This Row],[Prev Entrega]],"Dentro do Prazo","Fora do Prazo")</f>
        <v>Dentro do Prazo</v>
      </c>
      <c r="O11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10/04/2025, referente ao pedido Nº Pedido 1195 Rastreio CNBR00062952759, agradecemos a preferência e adoraríamos receber sua avaliação, tendo qualquer dúvida estamos à disposição.
Att
Tem tudo Shop</v>
      </c>
    </row>
    <row r="1163" spans="1:15">
      <c r="A1163" s="52" t="str">
        <f>_xlfn.XLOOKUP(Follow[[#This Row],[CODRASTREIO]],Controle_Pedidos[Cód Rastreamento],Controle_Pedidos[Número Pedido Cliente])</f>
        <v>Pedido 1196</v>
      </c>
      <c r="B1163" s="2" t="s">
        <v>18604</v>
      </c>
      <c r="C1163" s="2" t="str">
        <f>Follow[[#This Row],[CODRASTREIO]]&amp;" B"</f>
        <v>CódRastreio1162 B</v>
      </c>
      <c r="D1163" s="52" t="str">
        <f>_xlfn.XLOOKUP(Follow[[#This Row],[Id Pedido]],Controle_Pedidos[Número Pedido Cliente],Controle_Pedidos[Loja])</f>
        <v>BV</v>
      </c>
      <c r="E1163" s="9">
        <f>_xlfn.XLOOKUP(Follow[[#This Row],[Id Pedido]],Controle_Pedidos[Número Pedido Cliente],Controle_Pedidos[Prazo Entrega])</f>
        <v>45751</v>
      </c>
      <c r="F1163" s="9" t="s">
        <v>19433</v>
      </c>
      <c r="G1163" s="9" t="s">
        <v>346</v>
      </c>
      <c r="H1163" s="9" t="s">
        <v>179</v>
      </c>
      <c r="I1163" s="9" t="s">
        <v>178</v>
      </c>
      <c r="J1163" s="9">
        <v>45751</v>
      </c>
      <c r="K1163" s="8" t="s">
        <v>198</v>
      </c>
      <c r="L1163" s="8" t="s">
        <v>124</v>
      </c>
      <c r="M1163" s="8" t="s">
        <v>37</v>
      </c>
      <c r="N1163" s="52" t="str">
        <f>IF(Follow[[#This Row],[DATAATUALIZAÇÃO]]&lt;=Follow[[#This Row],[Prev Entrega]],"Dentro do Prazo","Fora do Prazo")</f>
        <v>Dentro do Prazo</v>
      </c>
      <c r="O11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04/04/2025, referente ao pedido Nº Pedido 1196 Rastreio CNBR00062954331, agradecemos a preferência e adoraríamos receber sua avaliação, tendo qualquer dúvida estamos à disposição.
Att
Tem tudo Shop</v>
      </c>
    </row>
    <row r="1164" spans="1:15">
      <c r="A1164" s="52" t="str">
        <f>_xlfn.XLOOKUP(Follow[[#This Row],[CODRASTREIO]],Controle_Pedidos[Cód Rastreamento],Controle_Pedidos[Número Pedido Cliente])</f>
        <v>Pedido 1208</v>
      </c>
      <c r="B1164" s="2" t="s">
        <v>18608</v>
      </c>
      <c r="C1164" s="2" t="str">
        <f>Follow[[#This Row],[CODRASTREIO]]&amp;" B"</f>
        <v>CódRastreio1166 B</v>
      </c>
      <c r="D1164" s="52" t="str">
        <f>_xlfn.XLOOKUP(Follow[[#This Row],[Id Pedido]],Controle_Pedidos[Número Pedido Cliente],Controle_Pedidos[Loja])</f>
        <v>BV</v>
      </c>
      <c r="E1164" s="9">
        <f>_xlfn.XLOOKUP(Follow[[#This Row],[Id Pedido]],Controle_Pedidos[Número Pedido Cliente],Controle_Pedidos[Prazo Entrega])</f>
        <v>45751</v>
      </c>
      <c r="F1164" s="9" t="s">
        <v>19433</v>
      </c>
      <c r="G1164" s="9" t="s">
        <v>347</v>
      </c>
      <c r="H1164" s="9" t="s">
        <v>179</v>
      </c>
      <c r="I1164" s="9" t="s">
        <v>178</v>
      </c>
      <c r="J1164" s="9">
        <v>45754</v>
      </c>
      <c r="K1164" s="8" t="s">
        <v>198</v>
      </c>
      <c r="L1164" s="8" t="s">
        <v>124</v>
      </c>
      <c r="M1164" s="8" t="s">
        <v>37</v>
      </c>
      <c r="N1164" s="52" t="str">
        <f>IF(Follow[[#This Row],[DATAATUALIZAÇÃO]]&lt;=Follow[[#This Row],[Prev Entrega]],"Dentro do Prazo","Fora do Prazo")</f>
        <v>Fora do Prazo</v>
      </c>
      <c r="O11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07/04/2025, referente ao pedido Nº Pedido 1208 Rastreio NM768343855BR, agradecemos a preferência e adoraríamos receber sua avaliação, tendo qualquer dúvida estamos à disposição.
Att
Tem tudo Shop</v>
      </c>
    </row>
    <row r="1165" spans="1:15">
      <c r="A1165" s="52" t="str">
        <f>_xlfn.XLOOKUP(Follow[[#This Row],[CODRASTREIO]],Controle_Pedidos[Cód Rastreamento],Controle_Pedidos[Número Pedido Cliente])</f>
        <v>Pedido 1209</v>
      </c>
      <c r="B1165" s="2" t="s">
        <v>18609</v>
      </c>
      <c r="C1165" s="2" t="str">
        <f>Follow[[#This Row],[CODRASTREIO]]&amp;" B"</f>
        <v>CódRastreio1167 B</v>
      </c>
      <c r="D1165" s="52" t="str">
        <f>_xlfn.XLOOKUP(Follow[[#This Row],[Id Pedido]],Controle_Pedidos[Número Pedido Cliente],Controle_Pedidos[Loja])</f>
        <v>BV</v>
      </c>
      <c r="E1165" s="9">
        <f>_xlfn.XLOOKUP(Follow[[#This Row],[Id Pedido]],Controle_Pedidos[Número Pedido Cliente],Controle_Pedidos[Prazo Entrega])</f>
        <v>45751</v>
      </c>
      <c r="F1165" s="9" t="s">
        <v>19433</v>
      </c>
      <c r="G1165" s="9" t="s">
        <v>348</v>
      </c>
      <c r="H1165" s="9" t="s">
        <v>179</v>
      </c>
      <c r="I1165" s="9" t="s">
        <v>178</v>
      </c>
      <c r="J1165" s="9">
        <v>45751</v>
      </c>
      <c r="K1165" s="8" t="s">
        <v>198</v>
      </c>
      <c r="L1165" s="8" t="s">
        <v>124</v>
      </c>
      <c r="M1165" s="8" t="s">
        <v>37</v>
      </c>
      <c r="N1165" s="52" t="str">
        <f>IF(Follow[[#This Row],[DATAATUALIZAÇÃO]]&lt;=Follow[[#This Row],[Prev Entrega]],"Dentro do Prazo","Fora do Prazo")</f>
        <v>Dentro do Prazo</v>
      </c>
      <c r="O116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04/04/2025, referente ao pedido Nº Pedido 1209 Rastreio CNBR00062982055, agradecemos a preferência e adoraríamos receber sua avaliação, tendo qualquer dúvida estamos à disposição.
Att
Tem tudo Shop</v>
      </c>
    </row>
    <row r="1166" spans="1:15">
      <c r="A1166" s="52" t="str">
        <f>_xlfn.XLOOKUP(Follow[[#This Row],[CODRASTREIO]],Controle_Pedidos[Cód Rastreamento],Controle_Pedidos[Número Pedido Cliente])</f>
        <v>Pedido 1211</v>
      </c>
      <c r="B1166" s="2" t="s">
        <v>18610</v>
      </c>
      <c r="C1166" s="2" t="str">
        <f>Follow[[#This Row],[CODRASTREIO]]&amp;" B"</f>
        <v>CódRastreio1168 B</v>
      </c>
      <c r="D1166" s="52" t="str">
        <f>_xlfn.XLOOKUP(Follow[[#This Row],[Id Pedido]],Controle_Pedidos[Número Pedido Cliente],Controle_Pedidos[Loja])</f>
        <v>BV</v>
      </c>
      <c r="E1166" s="9">
        <f>_xlfn.XLOOKUP(Follow[[#This Row],[Id Pedido]],Controle_Pedidos[Número Pedido Cliente],Controle_Pedidos[Prazo Entrega])</f>
        <v>45751</v>
      </c>
      <c r="F1166" s="9" t="s">
        <v>19433</v>
      </c>
      <c r="G1166" s="9" t="s">
        <v>349</v>
      </c>
      <c r="H1166" s="9" t="s">
        <v>179</v>
      </c>
      <c r="I1166" s="9" t="s">
        <v>178</v>
      </c>
      <c r="J1166" s="9">
        <v>45754</v>
      </c>
      <c r="K1166" s="8" t="s">
        <v>198</v>
      </c>
      <c r="L1166" s="8" t="s">
        <v>124</v>
      </c>
      <c r="M1166" s="8" t="s">
        <v>37</v>
      </c>
      <c r="N1166" s="52" t="str">
        <f>IF(Follow[[#This Row],[DATAATUALIZAÇÃO]]&lt;=Follow[[#This Row],[Prev Entrega]],"Dentro do Prazo","Fora do Prazo")</f>
        <v>Fora do Prazo</v>
      </c>
      <c r="O116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07/04/2025, referente ao pedido Nº Pedido 1211 Rastreio CNBR00062979730, agradecemos a preferência e adoraríamos receber sua avaliação, tendo qualquer dúvida estamos à disposição.
Att
Tem tudo Shop</v>
      </c>
    </row>
    <row r="1167" spans="1:15">
      <c r="A1167" s="52" t="str">
        <f>_xlfn.XLOOKUP(Follow[[#This Row],[CODRASTREIO]],Controle_Pedidos[Cód Rastreamento],Controle_Pedidos[Número Pedido Cliente])</f>
        <v>Pedido 1212</v>
      </c>
      <c r="B1167" s="2" t="s">
        <v>18611</v>
      </c>
      <c r="C1167" s="2" t="str">
        <f>Follow[[#This Row],[CODRASTREIO]]&amp;" B"</f>
        <v>CódRastreio1169 B</v>
      </c>
      <c r="D1167" s="52" t="str">
        <f>_xlfn.XLOOKUP(Follow[[#This Row],[Id Pedido]],Controle_Pedidos[Número Pedido Cliente],Controle_Pedidos[Loja])</f>
        <v>MEI</v>
      </c>
      <c r="E1167" s="9">
        <f>_xlfn.XLOOKUP(Follow[[#This Row],[Id Pedido]],Controle_Pedidos[Número Pedido Cliente],Controle_Pedidos[Prazo Entrega])</f>
        <v>45751</v>
      </c>
      <c r="F1167" s="9" t="s">
        <v>19433</v>
      </c>
      <c r="G1167" s="9" t="s">
        <v>350</v>
      </c>
      <c r="H1167" s="9" t="s">
        <v>179</v>
      </c>
      <c r="I1167" s="9" t="s">
        <v>178</v>
      </c>
      <c r="J1167" s="9">
        <v>45750</v>
      </c>
      <c r="K1167" s="8" t="s">
        <v>198</v>
      </c>
      <c r="L1167" s="8" t="s">
        <v>124</v>
      </c>
      <c r="M1167" s="8" t="s">
        <v>37</v>
      </c>
      <c r="N1167" s="52" t="str">
        <f>IF(Follow[[#This Row],[DATAATUALIZAÇÃO]]&lt;=Follow[[#This Row],[Prev Entrega]],"Dentro do Prazo","Fora do Prazo")</f>
        <v>Dentro do Prazo</v>
      </c>
      <c r="O116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03/04/2025, referente ao pedido Nº Pedido 1212 Rastreio CNBR00062999643, agradecemos a preferência e adoraríamos receber sua avaliação, tendo qualquer dúvida estamos à disposição.
Att
NTA Variedades</v>
      </c>
    </row>
    <row r="1168" spans="1:15">
      <c r="A1168" s="52" t="str">
        <f>_xlfn.XLOOKUP(Follow[[#This Row],[CODRASTREIO]],Controle_Pedidos[Cód Rastreamento],Controle_Pedidos[Número Pedido Cliente])</f>
        <v>Pedido 1213</v>
      </c>
      <c r="B1168" s="2" t="s">
        <v>18612</v>
      </c>
      <c r="C1168" s="2" t="str">
        <f>Follow[[#This Row],[CODRASTREIO]]&amp;" B"</f>
        <v>CódRastreio1170 B</v>
      </c>
      <c r="D1168" s="52" t="str">
        <f>_xlfn.XLOOKUP(Follow[[#This Row],[Id Pedido]],Controle_Pedidos[Número Pedido Cliente],Controle_Pedidos[Loja])</f>
        <v>MEI</v>
      </c>
      <c r="E1168" s="9">
        <f>_xlfn.XLOOKUP(Follow[[#This Row],[Id Pedido]],Controle_Pedidos[Número Pedido Cliente],Controle_Pedidos[Prazo Entrega])</f>
        <v>45757</v>
      </c>
      <c r="F1168" s="9" t="s">
        <v>19433</v>
      </c>
      <c r="G1168" s="9" t="s">
        <v>351</v>
      </c>
      <c r="H1168" s="9" t="s">
        <v>179</v>
      </c>
      <c r="I1168" s="9" t="s">
        <v>178</v>
      </c>
      <c r="J1168" s="9">
        <v>45750</v>
      </c>
      <c r="K1168" s="8" t="s">
        <v>198</v>
      </c>
      <c r="L1168" s="8" t="s">
        <v>124</v>
      </c>
      <c r="M1168" s="8" t="s">
        <v>37</v>
      </c>
      <c r="N1168" s="52" t="str">
        <f>IF(Follow[[#This Row],[DATAATUALIZAÇÃO]]&lt;=Follow[[#This Row],[Prev Entrega]],"Dentro do Prazo","Fora do Prazo")</f>
        <v>Dentro do Prazo</v>
      </c>
      <c r="O11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03/04/2025, referente ao pedido Nº Pedido 1213 Rastreio CNBR00063167554, agradecemos a preferência e adoraríamos receber sua avaliação, tendo qualquer dúvida estamos à disposição.
Att
NTA Variedades</v>
      </c>
    </row>
    <row r="1169" spans="1:15">
      <c r="A1169" s="52" t="str">
        <f>_xlfn.XLOOKUP(Follow[[#This Row],[CODRASTREIO]],Controle_Pedidos[Cód Rastreamento],Controle_Pedidos[Número Pedido Cliente])</f>
        <v>Pedido 1215</v>
      </c>
      <c r="B1169" s="2" t="s">
        <v>18614</v>
      </c>
      <c r="C1169" s="2" t="str">
        <f>Follow[[#This Row],[CODRASTREIO]]&amp;" B"</f>
        <v>CódRastreio1172 B</v>
      </c>
      <c r="D1169" s="52" t="str">
        <f>_xlfn.XLOOKUP(Follow[[#This Row],[Id Pedido]],Controle_Pedidos[Número Pedido Cliente],Controle_Pedidos[Loja])</f>
        <v>MEI</v>
      </c>
      <c r="E1169" s="9">
        <f>_xlfn.XLOOKUP(Follow[[#This Row],[Id Pedido]],Controle_Pedidos[Número Pedido Cliente],Controle_Pedidos[Prazo Entrega])</f>
        <v>45757</v>
      </c>
      <c r="F1169" s="9" t="s">
        <v>19433</v>
      </c>
      <c r="G1169" s="9" t="s">
        <v>352</v>
      </c>
      <c r="H1169" s="9" t="s">
        <v>179</v>
      </c>
      <c r="I1169" s="9" t="s">
        <v>178</v>
      </c>
      <c r="J1169" s="9">
        <v>45752</v>
      </c>
      <c r="K1169" s="8" t="s">
        <v>198</v>
      </c>
      <c r="L1169" s="8" t="s">
        <v>124</v>
      </c>
      <c r="M1169" s="8" t="s">
        <v>37</v>
      </c>
      <c r="N1169" s="52" t="str">
        <f>IF(Follow[[#This Row],[DATAATUALIZAÇÃO]]&lt;=Follow[[#This Row],[Prev Entrega]],"Dentro do Prazo","Fora do Prazo")</f>
        <v>Dentro do Prazo</v>
      </c>
      <c r="O11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05/04/2025, referente ao pedido Nº Pedido 1215 Rastreio CNBR00063173506, agradecemos a preferência e adoraríamos receber sua avaliação, tendo qualquer dúvida estamos à disposição.
Att
NTA Variedades</v>
      </c>
    </row>
    <row r="1170" spans="1:15">
      <c r="A1170" s="52" t="str">
        <f>_xlfn.XLOOKUP(Follow[[#This Row],[CODRASTREIO]],Controle_Pedidos[Cód Rastreamento],Controle_Pedidos[Número Pedido Cliente])</f>
        <v>Pedido 1216</v>
      </c>
      <c r="B1170" s="2" t="s">
        <v>18615</v>
      </c>
      <c r="C1170" s="2" t="str">
        <f>Follow[[#This Row],[CODRASTREIO]]&amp;" B"</f>
        <v>CódRastreio1173 B</v>
      </c>
      <c r="D1170" s="52" t="str">
        <f>_xlfn.XLOOKUP(Follow[[#This Row],[Id Pedido]],Controle_Pedidos[Número Pedido Cliente],Controle_Pedidos[Loja])</f>
        <v>MEI</v>
      </c>
      <c r="E1170" s="9">
        <f>_xlfn.XLOOKUP(Follow[[#This Row],[Id Pedido]],Controle_Pedidos[Número Pedido Cliente],Controle_Pedidos[Prazo Entrega])</f>
        <v>45757</v>
      </c>
      <c r="F1170" s="9" t="s">
        <v>19433</v>
      </c>
      <c r="G1170" s="9" t="s">
        <v>353</v>
      </c>
      <c r="H1170" s="9" t="s">
        <v>179</v>
      </c>
      <c r="I1170" s="9" t="s">
        <v>178</v>
      </c>
      <c r="J1170" s="9">
        <v>45748</v>
      </c>
      <c r="K1170" s="8" t="s">
        <v>198</v>
      </c>
      <c r="L1170" s="8" t="s">
        <v>124</v>
      </c>
      <c r="M1170" s="8" t="s">
        <v>37</v>
      </c>
      <c r="N1170" s="52" t="str">
        <f>IF(Follow[[#This Row],[DATAATUALIZAÇÃO]]&lt;=Follow[[#This Row],[Prev Entrega]],"Dentro do Prazo","Fora do Prazo")</f>
        <v>Dentro do Prazo</v>
      </c>
      <c r="O11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01/04/2025, referente ao pedido Nº Pedido 1216 Rastreio NM768388295BR, agradecemos a preferência e adoraríamos receber sua avaliação, tendo qualquer dúvida estamos à disposição.
Att
NTA Variedades</v>
      </c>
    </row>
    <row r="1171" spans="1:15">
      <c r="A1171" s="52" t="str">
        <f>_xlfn.XLOOKUP(Follow[[#This Row],[CODRASTREIO]],Controle_Pedidos[Cód Rastreamento],Controle_Pedidos[Número Pedido Cliente])</f>
        <v>Pedido 1233</v>
      </c>
      <c r="B1171" s="2" t="s">
        <v>18632</v>
      </c>
      <c r="C1171" s="2" t="str">
        <f>Follow[[#This Row],[CODRASTREIO]]&amp;" B"</f>
        <v>CódRastreio1190 B</v>
      </c>
      <c r="D1171" s="52" t="str">
        <f>_xlfn.XLOOKUP(Follow[[#This Row],[Id Pedido]],Controle_Pedidos[Número Pedido Cliente],Controle_Pedidos[Loja])</f>
        <v>GO</v>
      </c>
      <c r="E1171" s="9">
        <f>_xlfn.XLOOKUP(Follow[[#This Row],[Id Pedido]],Controle_Pedidos[Número Pedido Cliente],Controle_Pedidos[Prazo Entrega])</f>
        <v>45757</v>
      </c>
      <c r="F1171" s="9" t="s">
        <v>19433</v>
      </c>
      <c r="G1171" s="9" t="s">
        <v>354</v>
      </c>
      <c r="H1171" s="9" t="s">
        <v>179</v>
      </c>
      <c r="I1171" s="9" t="s">
        <v>178</v>
      </c>
      <c r="J1171" s="9">
        <v>45752</v>
      </c>
      <c r="K1171" s="8" t="s">
        <v>198</v>
      </c>
      <c r="L1171" s="8" t="s">
        <v>124</v>
      </c>
      <c r="M1171" s="8" t="s">
        <v>37</v>
      </c>
      <c r="N1171" s="52" t="str">
        <f>IF(Follow[[#This Row],[DATAATUALIZAÇÃO]]&lt;=Follow[[#This Row],[Prev Entrega]],"Dentro do Prazo","Fora do Prazo")</f>
        <v>Dentro do Prazo</v>
      </c>
      <c r="O11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05/04/2025, referente ao pedido Nº Pedido 1233 Rastreio CNBR00063168783, agradecemos a preferência e adoraríamos receber sua avaliação, tendo qualquer dúvida estamos à disposição.
Att
Sec Variedades</v>
      </c>
    </row>
    <row r="1172" spans="1:15">
      <c r="A1172" s="52" t="str">
        <f>_xlfn.XLOOKUP(Follow[[#This Row],[CODRASTREIO]],Controle_Pedidos[Cód Rastreamento],Controle_Pedidos[Número Pedido Cliente])</f>
        <v>Pedido 1214</v>
      </c>
      <c r="B1172" s="2" t="s">
        <v>18613</v>
      </c>
      <c r="C1172" s="2" t="str">
        <f>Follow[[#This Row],[CODRASTREIO]]&amp;" B"</f>
        <v>CódRastreio1171 B</v>
      </c>
      <c r="D1172" s="52" t="str">
        <f>_xlfn.XLOOKUP(Follow[[#This Row],[Id Pedido]],Controle_Pedidos[Número Pedido Cliente],Controle_Pedidos[Loja])</f>
        <v>MEI</v>
      </c>
      <c r="E1172" s="9">
        <f>_xlfn.XLOOKUP(Follow[[#This Row],[Id Pedido]],Controle_Pedidos[Número Pedido Cliente],Controle_Pedidos[Prazo Entrega])</f>
        <v>45751</v>
      </c>
      <c r="F1172" s="9" t="s">
        <v>19433</v>
      </c>
      <c r="G1172" s="9" t="s">
        <v>355</v>
      </c>
      <c r="H1172" s="9" t="s">
        <v>179</v>
      </c>
      <c r="I1172" s="9" t="s">
        <v>178</v>
      </c>
      <c r="J1172" s="9">
        <v>45749</v>
      </c>
      <c r="K1172" s="8" t="s">
        <v>198</v>
      </c>
      <c r="L1172" s="8" t="s">
        <v>124</v>
      </c>
      <c r="M1172" s="8" t="s">
        <v>208</v>
      </c>
      <c r="N1172" s="52" t="str">
        <f>IF(Follow[[#This Row],[DATAATUALIZAÇÃO]]&lt;=Follow[[#This Row],[Prev Entrega]],"Dentro do Prazo","Fora do Prazo")</f>
        <v>Dentro do Prazo</v>
      </c>
      <c r="O11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02/04/2025, referente ao pedido Nº Pedido 1214 Rastreio NM769557985BR, agradecemos a preferência e adoraríamos receber sua avaliação, tendo qualquer dúvida estamos à disposição.
Att
NTA Variedades</v>
      </c>
    </row>
    <row r="1173" spans="1:15">
      <c r="A1173" s="52" t="str">
        <f>_xlfn.XLOOKUP(Follow[[#This Row],[CODRASTREIO]],Controle_Pedidos[Cód Rastreamento],Controle_Pedidos[Número Pedido Cliente])</f>
        <v>Pedido 1217</v>
      </c>
      <c r="B1173" s="2" t="s">
        <v>18616</v>
      </c>
      <c r="C1173" s="2" t="str">
        <f>Follow[[#This Row],[CODRASTREIO]]&amp;" B"</f>
        <v>CódRastreio1174 B</v>
      </c>
      <c r="D1173" s="52" t="str">
        <f>_xlfn.XLOOKUP(Follow[[#This Row],[Id Pedido]],Controle_Pedidos[Número Pedido Cliente],Controle_Pedidos[Loja])</f>
        <v>MEI</v>
      </c>
      <c r="E1173" s="9">
        <f>_xlfn.XLOOKUP(Follow[[#This Row],[Id Pedido]],Controle_Pedidos[Número Pedido Cliente],Controle_Pedidos[Prazo Entrega])</f>
        <v>45751</v>
      </c>
      <c r="F1173" s="9" t="s">
        <v>19433</v>
      </c>
      <c r="G1173" s="9" t="s">
        <v>356</v>
      </c>
      <c r="H1173" s="9" t="s">
        <v>179</v>
      </c>
      <c r="I1173" s="9" t="s">
        <v>178</v>
      </c>
      <c r="J1173" s="9">
        <v>45754</v>
      </c>
      <c r="K1173" s="8" t="s">
        <v>198</v>
      </c>
      <c r="L1173" s="8" t="s">
        <v>124</v>
      </c>
      <c r="M1173" s="8" t="s">
        <v>37</v>
      </c>
      <c r="N1173" s="52" t="str">
        <f>IF(Follow[[#This Row],[DATAATUALIZAÇÃO]]&lt;=Follow[[#This Row],[Prev Entrega]],"Dentro do Prazo","Fora do Prazo")</f>
        <v>Fora do Prazo</v>
      </c>
      <c r="O11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07/04/2025, referente ao pedido Nº Pedido 1217 Rastreio NM769421497BR, agradecemos a preferência e adoraríamos receber sua avaliação, tendo qualquer dúvida estamos à disposição.
Att
NTA Variedades</v>
      </c>
    </row>
    <row r="1174" spans="1:15">
      <c r="A1174" s="52" t="str">
        <f>_xlfn.XLOOKUP(Follow[[#This Row],[CODRASTREIO]],Controle_Pedidos[Cód Rastreamento],Controle_Pedidos[Número Pedido Cliente])</f>
        <v>Pedido 1219</v>
      </c>
      <c r="B1174" s="2" t="s">
        <v>18618</v>
      </c>
      <c r="C1174" s="2" t="str">
        <f>Follow[[#This Row],[CODRASTREIO]]&amp;" B"</f>
        <v>CódRastreio1176 B</v>
      </c>
      <c r="D1174" s="52" t="str">
        <f>_xlfn.XLOOKUP(Follow[[#This Row],[Id Pedido]],Controle_Pedidos[Número Pedido Cliente],Controle_Pedidos[Loja])</f>
        <v>MEI</v>
      </c>
      <c r="E1174" s="9">
        <f>_xlfn.XLOOKUP(Follow[[#This Row],[Id Pedido]],Controle_Pedidos[Número Pedido Cliente],Controle_Pedidos[Prazo Entrega])</f>
        <v>45757</v>
      </c>
      <c r="F1174" s="9" t="s">
        <v>19433</v>
      </c>
      <c r="G1174" s="9" t="s">
        <v>357</v>
      </c>
      <c r="H1174" s="9" t="s">
        <v>179</v>
      </c>
      <c r="I1174" s="9" t="s">
        <v>178</v>
      </c>
      <c r="J1174" s="9">
        <v>45754</v>
      </c>
      <c r="K1174" s="8" t="s">
        <v>198</v>
      </c>
      <c r="L1174" s="8" t="s">
        <v>124</v>
      </c>
      <c r="M1174" s="8" t="s">
        <v>37</v>
      </c>
      <c r="N1174" s="52" t="str">
        <f>IF(Follow[[#This Row],[DATAATUALIZAÇÃO]]&lt;=Follow[[#This Row],[Prev Entrega]],"Dentro do Prazo","Fora do Prazo")</f>
        <v>Dentro do Prazo</v>
      </c>
      <c r="O11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1219 Rastreio NM769827909BR, agradecemos a preferência e adoraríamos receber sua avaliação, tendo qualquer dúvida estamos à disposição.
Att
NTA Variedades</v>
      </c>
    </row>
    <row r="1175" spans="1:15">
      <c r="A1175" s="52" t="str">
        <f>_xlfn.XLOOKUP(Follow[[#This Row],[CODRASTREIO]],Controle_Pedidos[Cód Rastreamento],Controle_Pedidos[Número Pedido Cliente])</f>
        <v>Pedido 1220</v>
      </c>
      <c r="B1175" s="2" t="s">
        <v>18619</v>
      </c>
      <c r="C1175" s="2" t="str">
        <f>Follow[[#This Row],[CODRASTREIO]]&amp;" B"</f>
        <v>CódRastreio1177 B</v>
      </c>
      <c r="D1175" s="52" t="str">
        <f>_xlfn.XLOOKUP(Follow[[#This Row],[Id Pedido]],Controle_Pedidos[Número Pedido Cliente],Controle_Pedidos[Loja])</f>
        <v>MEI</v>
      </c>
      <c r="E1175" s="9">
        <f>_xlfn.XLOOKUP(Follow[[#This Row],[Id Pedido]],Controle_Pedidos[Número Pedido Cliente],Controle_Pedidos[Prazo Entrega])</f>
        <v>45751</v>
      </c>
      <c r="F1175" s="9" t="s">
        <v>19433</v>
      </c>
      <c r="G1175" s="9" t="s">
        <v>358</v>
      </c>
      <c r="H1175" s="9" t="s">
        <v>179</v>
      </c>
      <c r="I1175" s="9" t="s">
        <v>178</v>
      </c>
      <c r="J1175" s="9">
        <v>45747</v>
      </c>
      <c r="K1175" s="8" t="s">
        <v>198</v>
      </c>
      <c r="L1175" s="8" t="s">
        <v>124</v>
      </c>
      <c r="M1175" s="8" t="s">
        <v>37</v>
      </c>
      <c r="N1175" s="52" t="str">
        <f>IF(Follow[[#This Row],[DATAATUALIZAÇÃO]]&lt;=Follow[[#This Row],[Prev Entrega]],"Dentro do Prazo","Fora do Prazo")</f>
        <v>Dentro do Prazo</v>
      </c>
      <c r="O11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31/03/2025, referente ao pedido Nº Pedido 1220 Rastreio NM769621856BR, agradecemos a preferência e adoraríamos receber sua avaliação, tendo qualquer dúvida estamos à disposição.
Att
NTA Variedades</v>
      </c>
    </row>
    <row r="1176" spans="1:15">
      <c r="A1176" s="52" t="str">
        <f>_xlfn.XLOOKUP(Follow[[#This Row],[CODRASTREIO]],Controle_Pedidos[Cód Rastreamento],Controle_Pedidos[Número Pedido Cliente])</f>
        <v>Pedido 1221</v>
      </c>
      <c r="B1176" s="2" t="s">
        <v>18620</v>
      </c>
      <c r="C1176" s="2" t="str">
        <f>Follow[[#This Row],[CODRASTREIO]]&amp;" B"</f>
        <v>CódRastreio1178 B</v>
      </c>
      <c r="D1176" s="52" t="str">
        <f>_xlfn.XLOOKUP(Follow[[#This Row],[Id Pedido]],Controle_Pedidos[Número Pedido Cliente],Controle_Pedidos[Loja])</f>
        <v>MEI</v>
      </c>
      <c r="E1176" s="9">
        <f>_xlfn.XLOOKUP(Follow[[#This Row],[Id Pedido]],Controle_Pedidos[Número Pedido Cliente],Controle_Pedidos[Prazo Entrega])</f>
        <v>45751</v>
      </c>
      <c r="F1176" s="9" t="s">
        <v>19433</v>
      </c>
      <c r="G1176" s="9" t="s">
        <v>359</v>
      </c>
      <c r="H1176" s="9" t="s">
        <v>179</v>
      </c>
      <c r="I1176" s="9" t="s">
        <v>178</v>
      </c>
      <c r="J1176" s="9">
        <v>45754</v>
      </c>
      <c r="K1176" s="8" t="s">
        <v>198</v>
      </c>
      <c r="L1176" s="8" t="s">
        <v>124</v>
      </c>
      <c r="M1176" s="8" t="s">
        <v>37</v>
      </c>
      <c r="N1176" s="52" t="str">
        <f>IF(Follow[[#This Row],[DATAATUALIZAÇÃO]]&lt;=Follow[[#This Row],[Prev Entrega]],"Dentro do Prazo","Fora do Prazo")</f>
        <v>Fora do Prazo</v>
      </c>
      <c r="O11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1221 Rastreio NM769629466BR, agradecemos a preferência e adoraríamos receber sua avaliação, tendo qualquer dúvida estamos à disposição.
Att
NTA Variedades</v>
      </c>
    </row>
    <row r="1177" spans="1:15">
      <c r="A1177" s="52" t="str">
        <f>_xlfn.XLOOKUP(Follow[[#This Row],[CODRASTREIO]],Controle_Pedidos[Cód Rastreamento],Controle_Pedidos[Número Pedido Cliente])</f>
        <v>Pedido 1223</v>
      </c>
      <c r="B1177" s="2" t="s">
        <v>18622</v>
      </c>
      <c r="C1177" s="2" t="str">
        <f>Follow[[#This Row],[CODRASTREIO]]&amp;" B"</f>
        <v>CódRastreio1180 B</v>
      </c>
      <c r="D1177" s="52" t="str">
        <f>_xlfn.XLOOKUP(Follow[[#This Row],[Id Pedido]],Controle_Pedidos[Número Pedido Cliente],Controle_Pedidos[Loja])</f>
        <v>MEI</v>
      </c>
      <c r="E1177" s="9">
        <f>_xlfn.XLOOKUP(Follow[[#This Row],[Id Pedido]],Controle_Pedidos[Número Pedido Cliente],Controle_Pedidos[Prazo Entrega])</f>
        <v>45751</v>
      </c>
      <c r="F1177" s="9" t="s">
        <v>19433</v>
      </c>
      <c r="G1177" s="9" t="s">
        <v>360</v>
      </c>
      <c r="H1177" s="52" t="s">
        <v>179</v>
      </c>
      <c r="I1177" s="9" t="s">
        <v>178</v>
      </c>
      <c r="J1177" s="55">
        <v>45744</v>
      </c>
      <c r="K1177" s="54" t="s">
        <v>198</v>
      </c>
      <c r="L1177" s="8" t="s">
        <v>124</v>
      </c>
      <c r="M1177" s="8" t="s">
        <v>37</v>
      </c>
      <c r="N1177" s="52" t="str">
        <f>IF(Follow[[#This Row],[DATAATUALIZAÇÃO]]&lt;=Follow[[#This Row],[Prev Entrega]],"Dentro do Prazo","Fora do Prazo")</f>
        <v>Dentro do Prazo</v>
      </c>
      <c r="O11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28/03/2025, referente ao pedido Nº Pedido 1223 Rastreio NM769832753BR, agradecemos a preferência e adoraríamos receber sua avaliação, tendo qualquer dúvida estamos à disposição.
Att
NTA Variedades</v>
      </c>
    </row>
    <row r="1178" spans="1:15">
      <c r="A1178" s="52" t="str">
        <f>_xlfn.XLOOKUP(Follow[[#This Row],[CODRASTREIO]],Controle_Pedidos[Cód Rastreamento],Controle_Pedidos[Número Pedido Cliente])</f>
        <v>Pedido 1225</v>
      </c>
      <c r="B1178" s="2" t="s">
        <v>18624</v>
      </c>
      <c r="C1178" s="2" t="str">
        <f>Follow[[#This Row],[CODRASTREIO]]&amp;" B"</f>
        <v>CódRastreio1182 B</v>
      </c>
      <c r="D1178" s="52" t="str">
        <f>_xlfn.XLOOKUP(Follow[[#This Row],[Id Pedido]],Controle_Pedidos[Número Pedido Cliente],Controle_Pedidos[Loja])</f>
        <v>MEI</v>
      </c>
      <c r="E1178" s="9">
        <f>_xlfn.XLOOKUP(Follow[[#This Row],[Id Pedido]],Controle_Pedidos[Número Pedido Cliente],Controle_Pedidos[Prazo Entrega])</f>
        <v>45757</v>
      </c>
      <c r="F1178" s="9" t="s">
        <v>19433</v>
      </c>
      <c r="G1178" s="9" t="s">
        <v>361</v>
      </c>
      <c r="H1178" s="9" t="s">
        <v>179</v>
      </c>
      <c r="I1178" s="9" t="s">
        <v>178</v>
      </c>
      <c r="J1178" s="9">
        <v>45755</v>
      </c>
      <c r="K1178" s="8" t="s">
        <v>198</v>
      </c>
      <c r="L1178" s="8" t="s">
        <v>124</v>
      </c>
      <c r="M1178" s="8" t="s">
        <v>37</v>
      </c>
      <c r="N1178" s="52" t="str">
        <f>IF(Follow[[#This Row],[DATAATUALIZAÇÃO]]&lt;=Follow[[#This Row],[Prev Entrega]],"Dentro do Prazo","Fora do Prazo")</f>
        <v>Dentro do Prazo</v>
      </c>
      <c r="O11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08/04/2025, referente ao pedido Nº Pedido 1225 Rastreio NM769558844BR, agradecemos a preferência e adoraríamos receber sua avaliação, tendo qualquer dúvida estamos à disposição.
Att
NTA Variedades</v>
      </c>
    </row>
    <row r="1179" spans="1:15">
      <c r="A1179" s="52" t="str">
        <f>_xlfn.XLOOKUP(Follow[[#This Row],[CODRASTREIO]],Controle_Pedidos[Cód Rastreamento],Controle_Pedidos[Número Pedido Cliente])</f>
        <v>Pedido 1226</v>
      </c>
      <c r="B1179" s="2" t="s">
        <v>18625</v>
      </c>
      <c r="C1179" s="2" t="str">
        <f>Follow[[#This Row],[CODRASTREIO]]&amp;" B"</f>
        <v>CódRastreio1183 B</v>
      </c>
      <c r="D1179" s="52" t="str">
        <f>_xlfn.XLOOKUP(Follow[[#This Row],[Id Pedido]],Controle_Pedidos[Número Pedido Cliente],Controle_Pedidos[Loja])</f>
        <v>MEI</v>
      </c>
      <c r="E1179" s="9">
        <f>_xlfn.XLOOKUP(Follow[[#This Row],[Id Pedido]],Controle_Pedidos[Número Pedido Cliente],Controle_Pedidos[Prazo Entrega])</f>
        <v>45749</v>
      </c>
      <c r="F1179" s="9" t="s">
        <v>19433</v>
      </c>
      <c r="G1179" s="9" t="s">
        <v>362</v>
      </c>
      <c r="H1179" s="52" t="s">
        <v>179</v>
      </c>
      <c r="I1179" s="9" t="s">
        <v>178</v>
      </c>
      <c r="J1179" s="55">
        <v>45743</v>
      </c>
      <c r="K1179" s="54" t="s">
        <v>198</v>
      </c>
      <c r="L1179" s="8" t="s">
        <v>124</v>
      </c>
      <c r="M1179" s="8" t="s">
        <v>37</v>
      </c>
      <c r="N1179" s="52" t="str">
        <f>IF(Follow[[#This Row],[DATAATUALIZAÇÃO]]&lt;=Follow[[#This Row],[Prev Entrega]],"Dentro do Prazo","Fora do Prazo")</f>
        <v>Dentro do Prazo</v>
      </c>
      <c r="O11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27/03/2025, referente ao pedido Nº Pedido 1226 Rastreio NM769835777BR, agradecemos a preferência e adoraríamos receber sua avaliação, tendo qualquer dúvida estamos à disposição.
Att
NTA Variedades</v>
      </c>
    </row>
    <row r="1180" spans="1:15">
      <c r="A1180" s="52" t="str">
        <f>_xlfn.XLOOKUP(Follow[[#This Row],[CODRASTREIO]],Controle_Pedidos[Cód Rastreamento],Controle_Pedidos[Número Pedido Cliente])</f>
        <v>Pedido 1227</v>
      </c>
      <c r="B1180" s="2" t="s">
        <v>18626</v>
      </c>
      <c r="C1180" s="2" t="str">
        <f>Follow[[#This Row],[CODRASTREIO]]&amp;" B"</f>
        <v>CódRastreio1184 B</v>
      </c>
      <c r="D1180" s="52" t="str">
        <f>_xlfn.XLOOKUP(Follow[[#This Row],[Id Pedido]],Controle_Pedidos[Número Pedido Cliente],Controle_Pedidos[Loja])</f>
        <v>MEI</v>
      </c>
      <c r="E1180" s="9">
        <f>_xlfn.XLOOKUP(Follow[[#This Row],[Id Pedido]],Controle_Pedidos[Número Pedido Cliente],Controle_Pedidos[Prazo Entrega])</f>
        <v>45764</v>
      </c>
      <c r="F1180" s="9" t="s">
        <v>19433</v>
      </c>
      <c r="G1180" s="9" t="s">
        <v>363</v>
      </c>
      <c r="H1180" s="9" t="s">
        <v>179</v>
      </c>
      <c r="I1180" s="9" t="s">
        <v>178</v>
      </c>
      <c r="J1180" s="9">
        <v>45775</v>
      </c>
      <c r="K1180" s="8" t="s">
        <v>198</v>
      </c>
      <c r="L1180" s="8" t="s">
        <v>124</v>
      </c>
      <c r="M1180" s="8" t="s">
        <v>37</v>
      </c>
      <c r="N1180" s="52" t="str">
        <f>IF(Follow[[#This Row],[DATAATUALIZAÇÃO]]&lt;=Follow[[#This Row],[Prev Entrega]],"Dentro do Prazo","Fora do Prazo")</f>
        <v>Fora do Prazo</v>
      </c>
      <c r="O11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28/04/2025, referente ao pedido Nº Pedido 1227 Rastreio NM769565902BR, agradecemos a preferência e adoraríamos receber sua avaliação, tendo qualquer dúvida estamos à disposição.
Att
NTA Variedades</v>
      </c>
    </row>
    <row r="1181" spans="1:15">
      <c r="A1181" s="52" t="str">
        <f>_xlfn.XLOOKUP(Follow[[#This Row],[CODRASTREIO]],Controle_Pedidos[Cód Rastreamento],Controle_Pedidos[Número Pedido Cliente])</f>
        <v>Pedido 1228</v>
      </c>
      <c r="B1181" s="2" t="s">
        <v>18627</v>
      </c>
      <c r="C1181" s="2" t="str">
        <f>Follow[[#This Row],[CODRASTREIO]]&amp;" B"</f>
        <v>CódRastreio1185 B</v>
      </c>
      <c r="D1181" s="52" t="str">
        <f>_xlfn.XLOOKUP(Follow[[#This Row],[Id Pedido]],Controle_Pedidos[Número Pedido Cliente],Controle_Pedidos[Loja])</f>
        <v>MEI</v>
      </c>
      <c r="E1181" s="9">
        <f>_xlfn.XLOOKUP(Follow[[#This Row],[Id Pedido]],Controle_Pedidos[Número Pedido Cliente],Controle_Pedidos[Prazo Entrega])</f>
        <v>45757</v>
      </c>
      <c r="F1181" s="9" t="s">
        <v>19433</v>
      </c>
      <c r="G1181" s="9" t="s">
        <v>364</v>
      </c>
      <c r="H1181" s="9" t="s">
        <v>179</v>
      </c>
      <c r="I1181" s="9" t="s">
        <v>178</v>
      </c>
      <c r="J1181" s="9">
        <v>45751</v>
      </c>
      <c r="K1181" s="8" t="s">
        <v>198</v>
      </c>
      <c r="L1181" s="8" t="s">
        <v>124</v>
      </c>
      <c r="M1181" s="8" t="s">
        <v>37</v>
      </c>
      <c r="N1181" s="52" t="str">
        <f>IF(Follow[[#This Row],[DATAATUALIZAÇÃO]]&lt;=Follow[[#This Row],[Prev Entrega]],"Dentro do Prazo","Fora do Prazo")</f>
        <v>Dentro do Prazo</v>
      </c>
      <c r="O118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04/04/2025, referente ao pedido Nº Pedido 1228 Rastreio NM769674329BR, agradecemos a preferência e adoraríamos receber sua avaliação, tendo qualquer dúvida estamos à disposição.
Att
NTA Variedades</v>
      </c>
    </row>
    <row r="1182" spans="1:15">
      <c r="A1182" s="52" t="str">
        <f>_xlfn.XLOOKUP(Follow[[#This Row],[CODRASTREIO]],Controle_Pedidos[Cód Rastreamento],Controle_Pedidos[Número Pedido Cliente])</f>
        <v>Pedido 1230</v>
      </c>
      <c r="B1182" s="2" t="s">
        <v>18629</v>
      </c>
      <c r="C1182" s="2" t="str">
        <f>Follow[[#This Row],[CODRASTREIO]]&amp;" B"</f>
        <v>CódRastreio1187 B</v>
      </c>
      <c r="D1182" s="52" t="str">
        <f>_xlfn.XLOOKUP(Follow[[#This Row],[Id Pedido]],Controle_Pedidos[Número Pedido Cliente],Controle_Pedidos[Loja])</f>
        <v>MEI</v>
      </c>
      <c r="E1182" s="9">
        <f>_xlfn.XLOOKUP(Follow[[#This Row],[Id Pedido]],Controle_Pedidos[Número Pedido Cliente],Controle_Pedidos[Prazo Entrega])</f>
        <v>45751</v>
      </c>
      <c r="F1182" s="9" t="s">
        <v>19433</v>
      </c>
      <c r="G1182" s="9" t="s">
        <v>365</v>
      </c>
      <c r="H1182" s="9" t="s">
        <v>179</v>
      </c>
      <c r="I1182" s="9" t="s">
        <v>178</v>
      </c>
      <c r="J1182" s="9">
        <v>45755</v>
      </c>
      <c r="K1182" s="8" t="s">
        <v>198</v>
      </c>
      <c r="L1182" s="8" t="s">
        <v>124</v>
      </c>
      <c r="M1182" s="8" t="s">
        <v>208</v>
      </c>
      <c r="N1182" s="52" t="str">
        <f>IF(Follow[[#This Row],[DATAATUALIZAÇÃO]]&lt;=Follow[[#This Row],[Prev Entrega]],"Dentro do Prazo","Fora do Prazo")</f>
        <v>Fora do Prazo</v>
      </c>
      <c r="O11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08/04/2025, referente ao pedido Nº Pedido 1230 Rastreio NM769677585BR, agradecemos a preferência e adoraríamos receber sua avaliação, tendo qualquer dúvida estamos à disposição.
Att
NTA Variedades</v>
      </c>
    </row>
    <row r="1183" spans="1:15">
      <c r="A1183" s="52" t="str">
        <f>_xlfn.XLOOKUP(Follow[[#This Row],[CODRASTREIO]],Controle_Pedidos[Cód Rastreamento],Controle_Pedidos[Número Pedido Cliente])</f>
        <v>Pedido 1231</v>
      </c>
      <c r="B1183" s="2" t="s">
        <v>18630</v>
      </c>
      <c r="C1183" s="2" t="str">
        <f>Follow[[#This Row],[CODRASTREIO]]&amp;" B"</f>
        <v>CódRastreio1188 B</v>
      </c>
      <c r="D1183" s="52" t="str">
        <f>_xlfn.XLOOKUP(Follow[[#This Row],[Id Pedido]],Controle_Pedidos[Número Pedido Cliente],Controle_Pedidos[Loja])</f>
        <v>MEI</v>
      </c>
      <c r="E1183" s="9">
        <f>_xlfn.XLOOKUP(Follow[[#This Row],[Id Pedido]],Controle_Pedidos[Número Pedido Cliente],Controle_Pedidos[Prazo Entrega])</f>
        <v>45757</v>
      </c>
      <c r="F1183" s="9" t="s">
        <v>19433</v>
      </c>
      <c r="G1183" s="9" t="s">
        <v>366</v>
      </c>
      <c r="H1183" s="9" t="s">
        <v>179</v>
      </c>
      <c r="I1183" s="9" t="s">
        <v>178</v>
      </c>
      <c r="J1183" s="9">
        <v>45755</v>
      </c>
      <c r="K1183" s="8" t="s">
        <v>198</v>
      </c>
      <c r="L1183" s="8" t="s">
        <v>124</v>
      </c>
      <c r="M1183" s="8" t="s">
        <v>37</v>
      </c>
      <c r="N1183" s="52" t="str">
        <f>IF(Follow[[#This Row],[DATAATUALIZAÇÃO]]&lt;=Follow[[#This Row],[Prev Entrega]],"Dentro do Prazo","Fora do Prazo")</f>
        <v>Dentro do Prazo</v>
      </c>
      <c r="O11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08/04/2025, referente ao pedido Nº Pedido 1231 Rastreio NM769684564BR, agradecemos a preferência e adoraríamos receber sua avaliação, tendo qualquer dúvida estamos à disposição.
Att
NTA Variedades</v>
      </c>
    </row>
    <row r="1184" spans="1:15">
      <c r="A1184" s="52" t="str">
        <f>_xlfn.XLOOKUP(Follow[[#This Row],[CODRASTREIO]],Controle_Pedidos[Cód Rastreamento],Controle_Pedidos[Número Pedido Cliente])</f>
        <v>Pedido 1232</v>
      </c>
      <c r="B1184" s="2" t="s">
        <v>18631</v>
      </c>
      <c r="C1184" s="2" t="str">
        <f>Follow[[#This Row],[CODRASTREIO]]&amp;" B"</f>
        <v>CódRastreio1189 B</v>
      </c>
      <c r="D1184" s="52" t="str">
        <f>_xlfn.XLOOKUP(Follow[[#This Row],[Id Pedido]],Controle_Pedidos[Número Pedido Cliente],Controle_Pedidos[Loja])</f>
        <v>MEI</v>
      </c>
      <c r="E1184" s="9">
        <f>_xlfn.XLOOKUP(Follow[[#This Row],[Id Pedido]],Controle_Pedidos[Número Pedido Cliente],Controle_Pedidos[Prazo Entrega])</f>
        <v>45751</v>
      </c>
      <c r="F1184" s="9" t="s">
        <v>19433</v>
      </c>
      <c r="G1184" s="9" t="s">
        <v>367</v>
      </c>
      <c r="H1184" s="9" t="s">
        <v>179</v>
      </c>
      <c r="I1184" s="9" t="s">
        <v>178</v>
      </c>
      <c r="J1184" s="9">
        <v>45749</v>
      </c>
      <c r="K1184" s="8" t="s">
        <v>198</v>
      </c>
      <c r="L1184" s="8" t="s">
        <v>124</v>
      </c>
      <c r="M1184" s="8" t="s">
        <v>37</v>
      </c>
      <c r="N1184" s="52" t="str">
        <f>IF(Follow[[#This Row],[DATAATUALIZAÇÃO]]&lt;=Follow[[#This Row],[Prev Entrega]],"Dentro do Prazo","Fora do Prazo")</f>
        <v>Dentro do Prazo</v>
      </c>
      <c r="O11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02/04/2025, referente ao pedido Nº Pedido 1232 Rastreio NM769694218BR, agradecemos a preferência e adoraríamos receber sua avaliação, tendo qualquer dúvida estamos à disposição.
Att
NTA Variedades</v>
      </c>
    </row>
    <row r="1185" spans="1:15">
      <c r="A1185" s="52" t="str">
        <f>_xlfn.XLOOKUP(Follow[[#This Row],[CODRASTREIO]],Controle_Pedidos[Cód Rastreamento],Controle_Pedidos[Número Pedido Cliente])</f>
        <v>Pedido 1268</v>
      </c>
      <c r="B1185" s="2" t="s">
        <v>18654</v>
      </c>
      <c r="C1185" s="2" t="str">
        <f>Follow[[#This Row],[CODRASTREIO]]&amp;" B"</f>
        <v>CódRastreio1212 B</v>
      </c>
      <c r="D1185" s="52" t="str">
        <f>_xlfn.XLOOKUP(Follow[[#This Row],[Id Pedido]],Controle_Pedidos[Número Pedido Cliente],Controle_Pedidos[Loja])</f>
        <v>MEI</v>
      </c>
      <c r="E1185" s="9">
        <f>_xlfn.XLOOKUP(Follow[[#This Row],[Id Pedido]],Controle_Pedidos[Número Pedido Cliente],Controle_Pedidos[Prazo Entrega])</f>
        <v>45751</v>
      </c>
      <c r="F1185" s="9" t="s">
        <v>19433</v>
      </c>
      <c r="G1185" s="9" t="s">
        <v>368</v>
      </c>
      <c r="H1185" s="9" t="s">
        <v>179</v>
      </c>
      <c r="I1185" s="9" t="s">
        <v>178</v>
      </c>
      <c r="J1185" s="9">
        <v>45754</v>
      </c>
      <c r="K1185" s="8" t="s">
        <v>198</v>
      </c>
      <c r="L1185" s="8" t="s">
        <v>124</v>
      </c>
      <c r="M1185" s="8" t="s">
        <v>37</v>
      </c>
      <c r="N1185" s="52" t="str">
        <f>IF(Follow[[#This Row],[DATAATUALIZAÇÃO]]&lt;=Follow[[#This Row],[Prev Entrega]],"Dentro do Prazo","Fora do Prazo")</f>
        <v>Fora do Prazo</v>
      </c>
      <c r="O11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1268 Rastreio NM769727154BR, agradecemos a preferência e adoraríamos receber sua avaliação, tendo qualquer dúvida estamos à disposição.
Att
NTA Variedades</v>
      </c>
    </row>
    <row r="1186" spans="1:15">
      <c r="A1186" s="52" t="str">
        <f>_xlfn.XLOOKUP(Follow[[#This Row],[CODRASTREIO]],Controle_Pedidos[Cód Rastreamento],Controle_Pedidos[Número Pedido Cliente])</f>
        <v>Pedido 1271</v>
      </c>
      <c r="B1186" s="2" t="s">
        <v>18655</v>
      </c>
      <c r="C1186" s="2" t="str">
        <f>Follow[[#This Row],[CODRASTREIO]]&amp;" B"</f>
        <v>CódRastreio1213 B</v>
      </c>
      <c r="D1186" s="52" t="str">
        <f>_xlfn.XLOOKUP(Follow[[#This Row],[Id Pedido]],Controle_Pedidos[Número Pedido Cliente],Controle_Pedidos[Loja])</f>
        <v>MEI</v>
      </c>
      <c r="E1186" s="9">
        <f>_xlfn.XLOOKUP(Follow[[#This Row],[Id Pedido]],Controle_Pedidos[Número Pedido Cliente],Controle_Pedidos[Prazo Entrega])</f>
        <v>45757</v>
      </c>
      <c r="F1186" s="9" t="s">
        <v>19433</v>
      </c>
      <c r="G1186" s="9" t="s">
        <v>369</v>
      </c>
      <c r="H1186" s="9" t="s">
        <v>179</v>
      </c>
      <c r="I1186" s="9" t="s">
        <v>178</v>
      </c>
      <c r="J1186" s="9">
        <v>45755</v>
      </c>
      <c r="K1186" s="8" t="s">
        <v>198</v>
      </c>
      <c r="L1186" s="8" t="s">
        <v>124</v>
      </c>
      <c r="M1186" s="8" t="s">
        <v>37</v>
      </c>
      <c r="N1186" s="52" t="str">
        <f>IF(Follow[[#This Row],[DATAATUALIZAÇÃO]]&lt;=Follow[[#This Row],[Prev Entrega]],"Dentro do Prazo","Fora do Prazo")</f>
        <v>Dentro do Prazo</v>
      </c>
      <c r="O11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08/04/2025, referente ao pedido Nº Pedido 1271 Rastreio NM769758117BR, agradecemos a preferência e adoraríamos receber sua avaliação, tendo qualquer dúvida estamos à disposição.
Att
NTA Variedades</v>
      </c>
    </row>
    <row r="1187" spans="1:15">
      <c r="A1187" s="52" t="str">
        <f>_xlfn.XLOOKUP(Follow[[#This Row],[CODRASTREIO]],Controle_Pedidos[Cód Rastreamento],Controle_Pedidos[Número Pedido Cliente])</f>
        <v>Pedido 1275</v>
      </c>
      <c r="B1187" s="2" t="s">
        <v>18659</v>
      </c>
      <c r="C1187" s="2" t="str">
        <f>Follow[[#This Row],[CODRASTREIO]]&amp;" B"</f>
        <v>CódRastreio1217 B</v>
      </c>
      <c r="D1187" s="52" t="str">
        <f>_xlfn.XLOOKUP(Follow[[#This Row],[Id Pedido]],Controle_Pedidos[Número Pedido Cliente],Controle_Pedidos[Loja])</f>
        <v>MEI</v>
      </c>
      <c r="E1187" s="9">
        <f>_xlfn.XLOOKUP(Follow[[#This Row],[Id Pedido]],Controle_Pedidos[Número Pedido Cliente],Controle_Pedidos[Prazo Entrega])</f>
        <v>45751</v>
      </c>
      <c r="F1187" s="9" t="s">
        <v>19433</v>
      </c>
      <c r="G1187" s="9" t="s">
        <v>370</v>
      </c>
      <c r="H1187" s="9" t="s">
        <v>179</v>
      </c>
      <c r="I1187" s="9" t="s">
        <v>178</v>
      </c>
      <c r="J1187" s="9">
        <v>45752</v>
      </c>
      <c r="K1187" s="8" t="s">
        <v>198</v>
      </c>
      <c r="L1187" s="8" t="s">
        <v>124</v>
      </c>
      <c r="M1187" s="8" t="s">
        <v>37</v>
      </c>
      <c r="N1187" s="52" t="str">
        <f>IF(Follow[[#This Row],[DATAATUALIZAÇÃO]]&lt;=Follow[[#This Row],[Prev Entrega]],"Dentro do Prazo","Fora do Prazo")</f>
        <v>Fora do Prazo</v>
      </c>
      <c r="O11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05/04/2025, referente ao pedido Nº Pedido 1275 Rastreio NM769779324BR, agradecemos a preferência e adoraríamos receber sua avaliação, tendo qualquer dúvida estamos à disposição.
Att
NTA Variedades</v>
      </c>
    </row>
    <row r="1188" spans="1:15">
      <c r="A1188" s="52" t="str">
        <f>_xlfn.XLOOKUP(Follow[[#This Row],[CODRASTREIO]],Controle_Pedidos[Cód Rastreamento],Controle_Pedidos[Número Pedido Cliente])</f>
        <v>Pedido 1276</v>
      </c>
      <c r="B1188" s="2" t="s">
        <v>18660</v>
      </c>
      <c r="C1188" s="2" t="str">
        <f>Follow[[#This Row],[CODRASTREIO]]&amp;" B"</f>
        <v>CódRastreio1218 B</v>
      </c>
      <c r="D1188" s="52" t="str">
        <f>_xlfn.XLOOKUP(Follow[[#This Row],[Id Pedido]],Controle_Pedidos[Número Pedido Cliente],Controle_Pedidos[Loja])</f>
        <v>MEI</v>
      </c>
      <c r="E1188" s="9">
        <f>_xlfn.XLOOKUP(Follow[[#This Row],[Id Pedido]],Controle_Pedidos[Número Pedido Cliente],Controle_Pedidos[Prazo Entrega])</f>
        <v>45751</v>
      </c>
      <c r="F1188" s="9" t="s">
        <v>19433</v>
      </c>
      <c r="G1188" s="9" t="s">
        <v>371</v>
      </c>
      <c r="H1188" s="9" t="s">
        <v>179</v>
      </c>
      <c r="I1188" s="9" t="s">
        <v>178</v>
      </c>
      <c r="J1188" s="9">
        <v>45755</v>
      </c>
      <c r="K1188" s="8" t="s">
        <v>198</v>
      </c>
      <c r="L1188" s="8" t="s">
        <v>124</v>
      </c>
      <c r="M1188" s="8" t="s">
        <v>37</v>
      </c>
      <c r="N1188" s="52" t="str">
        <f>IF(Follow[[#This Row],[DATAATUALIZAÇÃO]]&lt;=Follow[[#This Row],[Prev Entrega]],"Dentro do Prazo","Fora do Prazo")</f>
        <v>Fora do Prazo</v>
      </c>
      <c r="O11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08/04/2025, referente ao pedido Nº Pedido 1276 Rastreio NM769782059BR, agradecemos a preferência e adoraríamos receber sua avaliação, tendo qualquer dúvida estamos à disposição.
Att
NTA Variedades</v>
      </c>
    </row>
    <row r="1189" spans="1:15">
      <c r="A1189" s="52" t="str">
        <f>_xlfn.XLOOKUP(Follow[[#This Row],[CODRASTREIO]],Controle_Pedidos[Cód Rastreamento],Controle_Pedidos[Número Pedido Cliente])</f>
        <v>Pedido 1280</v>
      </c>
      <c r="B1189" s="2" t="s">
        <v>18664</v>
      </c>
      <c r="C1189" s="2" t="str">
        <f>Follow[[#This Row],[CODRASTREIO]]&amp;" B"</f>
        <v>CódRastreio1222 B</v>
      </c>
      <c r="D1189" s="52" t="str">
        <f>_xlfn.XLOOKUP(Follow[[#This Row],[Id Pedido]],Controle_Pedidos[Número Pedido Cliente],Controle_Pedidos[Loja])</f>
        <v>MEI</v>
      </c>
      <c r="E1189" s="9">
        <f>_xlfn.XLOOKUP(Follow[[#This Row],[Id Pedido]],Controle_Pedidos[Número Pedido Cliente],Controle_Pedidos[Prazo Entrega])</f>
        <v>45757</v>
      </c>
      <c r="F1189" s="9" t="s">
        <v>19433</v>
      </c>
      <c r="G1189" s="9" t="s">
        <v>372</v>
      </c>
      <c r="H1189" s="9" t="s">
        <v>179</v>
      </c>
      <c r="I1189" s="9" t="s">
        <v>178</v>
      </c>
      <c r="J1189" s="9">
        <v>45757</v>
      </c>
      <c r="K1189" s="8" t="s">
        <v>198</v>
      </c>
      <c r="L1189" s="8" t="s">
        <v>124</v>
      </c>
      <c r="M1189" s="8" t="s">
        <v>37</v>
      </c>
      <c r="N1189" s="52" t="str">
        <f>IF(Follow[[#This Row],[DATAATUALIZAÇÃO]]&lt;=Follow[[#This Row],[Prev Entrega]],"Dentro do Prazo","Fora do Prazo")</f>
        <v>Dentro do Prazo</v>
      </c>
      <c r="O11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10/04/2025, referente ao pedido Nº Pedido 1280 Rastreio NM769794729BR, agradecemos a preferência e adoraríamos receber sua avaliação, tendo qualquer dúvida estamos à disposição.
Att
NTA Variedades</v>
      </c>
    </row>
    <row r="1190" spans="1:15">
      <c r="A1190" s="52" t="str">
        <f>_xlfn.XLOOKUP(Follow[[#This Row],[CODRASTREIO]],Controle_Pedidos[Cód Rastreamento],Controle_Pedidos[Número Pedido Cliente])</f>
        <v>Pedido 1174</v>
      </c>
      <c r="B1190" s="2" t="s">
        <v>18590</v>
      </c>
      <c r="C1190" s="2" t="str">
        <f>Follow[[#This Row],[CODRASTREIO]]&amp;" B"</f>
        <v>CódRastreio1148 B</v>
      </c>
      <c r="D1190" s="52" t="str">
        <f>_xlfn.XLOOKUP(Follow[[#This Row],[Id Pedido]],Controle_Pedidos[Número Pedido Cliente],Controle_Pedidos[Loja])</f>
        <v>MEI</v>
      </c>
      <c r="E1190" s="9">
        <f>_xlfn.XLOOKUP(Follow[[#This Row],[Id Pedido]],Controle_Pedidos[Número Pedido Cliente],Controle_Pedidos[Prazo Entrega])</f>
        <v>45751</v>
      </c>
      <c r="F1190" s="9" t="s">
        <v>19433</v>
      </c>
      <c r="G1190" s="9" t="s">
        <v>373</v>
      </c>
      <c r="H1190" s="9" t="s">
        <v>179</v>
      </c>
      <c r="I1190" s="9" t="s">
        <v>178</v>
      </c>
      <c r="J1190" s="9">
        <v>45758</v>
      </c>
      <c r="K1190" s="8" t="s">
        <v>198</v>
      </c>
      <c r="L1190" s="8" t="s">
        <v>124</v>
      </c>
      <c r="M1190" s="8" t="s">
        <v>37</v>
      </c>
      <c r="N1190" s="52" t="str">
        <f>IF(Follow[[#This Row],[DATAATUALIZAÇÃO]]&lt;=Follow[[#This Row],[Prev Entrega]],"Dentro do Prazo","Fora do Prazo")</f>
        <v>Fora do Prazo</v>
      </c>
      <c r="O11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11/04/2025, referente ao pedido Nº Pedido 1174 Rastreio CNBR00063696585, agradecemos a preferência e adoraríamos receber sua avaliação, tendo qualquer dúvida estamos à disposição.
Att
NTA Variedades</v>
      </c>
    </row>
    <row r="1191" spans="1:15">
      <c r="A1191" s="52" t="str">
        <f>_xlfn.XLOOKUP(Follow[[#This Row],[CODRASTREIO]],Controle_Pedidos[Cód Rastreamento],Controle_Pedidos[Número Pedido Cliente])</f>
        <v>Pedido 1202</v>
      </c>
      <c r="B1191" s="2" t="s">
        <v>18606</v>
      </c>
      <c r="C1191" s="2" t="str">
        <f>Follow[[#This Row],[CODRASTREIO]]&amp;" B"</f>
        <v>CódRastreio1164 B</v>
      </c>
      <c r="D1191" s="52" t="str">
        <f>_xlfn.XLOOKUP(Follow[[#This Row],[Id Pedido]],Controle_Pedidos[Número Pedido Cliente],Controle_Pedidos[Loja])</f>
        <v>BV</v>
      </c>
      <c r="E1191" s="9">
        <f>_xlfn.XLOOKUP(Follow[[#This Row],[Id Pedido]],Controle_Pedidos[Número Pedido Cliente],Controle_Pedidos[Prazo Entrega])</f>
        <v>45757</v>
      </c>
      <c r="F1191" s="9" t="s">
        <v>19433</v>
      </c>
      <c r="G1191" s="9" t="s">
        <v>37</v>
      </c>
      <c r="H1191" s="9" t="s">
        <v>178</v>
      </c>
      <c r="I1191" s="9" t="s">
        <v>178</v>
      </c>
      <c r="J1191" s="9">
        <v>45749</v>
      </c>
      <c r="K1191" s="8" t="s">
        <v>198</v>
      </c>
      <c r="L1191" s="8" t="s">
        <v>124</v>
      </c>
      <c r="M1191" s="8" t="s">
        <v>37</v>
      </c>
      <c r="N1191" s="52" t="str">
        <f>IF(Follow[[#This Row],[DATAATUALIZAÇÃO]]&lt;=Follow[[#This Row],[Prev Entrega]],"Dentro do Prazo","Fora do Prazo")</f>
        <v>Dentro do Prazo</v>
      </c>
      <c r="O11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02/04/2025, referente ao pedido Nº Pedido 1202 Rastreio Pedido 1202, agradecemos a preferência e adoraríamos receber sua avaliação, tendo qualquer dúvida estamos à disposição.
Att
Tem tudo Shop</v>
      </c>
    </row>
    <row r="1192" spans="1:15">
      <c r="A1192" s="52" t="str">
        <f>_xlfn.XLOOKUP(Follow[[#This Row],[CODRASTREIO]],Controle_Pedidos[Cód Rastreamento],Controle_Pedidos[Número Pedido Cliente])</f>
        <v>Pedido 1205</v>
      </c>
      <c r="B1192" s="2" t="s">
        <v>18607</v>
      </c>
      <c r="C1192" s="2" t="str">
        <f>Follow[[#This Row],[CODRASTREIO]]&amp;" B"</f>
        <v>CódRastreio1165 B</v>
      </c>
      <c r="D1192" s="52" t="str">
        <f>_xlfn.XLOOKUP(Follow[[#This Row],[Id Pedido]],Controle_Pedidos[Número Pedido Cliente],Controle_Pedidos[Loja])</f>
        <v>BV</v>
      </c>
      <c r="E1192" s="9">
        <f>_xlfn.XLOOKUP(Follow[[#This Row],[Id Pedido]],Controle_Pedidos[Número Pedido Cliente],Controle_Pedidos[Prazo Entrega])</f>
        <v>45751</v>
      </c>
      <c r="F1192" s="9" t="s">
        <v>19433</v>
      </c>
      <c r="G1192" s="9" t="s">
        <v>37</v>
      </c>
      <c r="H1192" s="52" t="s">
        <v>178</v>
      </c>
      <c r="I1192" s="9" t="s">
        <v>178</v>
      </c>
      <c r="J1192" s="55">
        <v>45740</v>
      </c>
      <c r="K1192" s="54" t="s">
        <v>198</v>
      </c>
      <c r="L1192" s="8" t="s">
        <v>124</v>
      </c>
      <c r="M1192" s="8" t="s">
        <v>37</v>
      </c>
      <c r="N1192" s="52" t="str">
        <f>IF(Follow[[#This Row],[DATAATUALIZAÇÃO]]&lt;=Follow[[#This Row],[Prev Entrega]],"Dentro do Prazo","Fora do Prazo")</f>
        <v>Dentro do Prazo</v>
      </c>
      <c r="O11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24/03/2025, referente ao pedido Nº Pedido 1205 Rastreio Pedido 1205, agradecemos a preferência e adoraríamos receber sua avaliação, tendo qualquer dúvida estamos à disposição.
Att
Tem tudo Shop</v>
      </c>
    </row>
    <row r="1193" spans="1:15">
      <c r="A1193" s="52" t="str">
        <f>_xlfn.XLOOKUP(Follow[[#This Row],[CODRASTREIO]],Controle_Pedidos[Cód Rastreamento],Controle_Pedidos[Número Pedido Cliente])</f>
        <v>Pedido 1218</v>
      </c>
      <c r="B1193" s="2" t="s">
        <v>18617</v>
      </c>
      <c r="C1193" s="2" t="str">
        <f>Follow[[#This Row],[CODRASTREIO]]&amp;" B"</f>
        <v>CódRastreio1175 B</v>
      </c>
      <c r="D1193" s="52" t="str">
        <f>_xlfn.XLOOKUP(Follow[[#This Row],[Id Pedido]],Controle_Pedidos[Número Pedido Cliente],Controle_Pedidos[Loja])</f>
        <v>MEI</v>
      </c>
      <c r="E1193" s="9">
        <f>_xlfn.XLOOKUP(Follow[[#This Row],[Id Pedido]],Controle_Pedidos[Número Pedido Cliente],Controle_Pedidos[Prazo Entrega])</f>
        <v>45749</v>
      </c>
      <c r="F1193" s="9" t="s">
        <v>19433</v>
      </c>
      <c r="G1193" s="9" t="s">
        <v>374</v>
      </c>
      <c r="H1193" s="52" t="s">
        <v>179</v>
      </c>
      <c r="I1193" s="9" t="s">
        <v>178</v>
      </c>
      <c r="J1193" s="55">
        <v>45744</v>
      </c>
      <c r="K1193" s="54" t="s">
        <v>198</v>
      </c>
      <c r="L1193" s="8" t="s">
        <v>124</v>
      </c>
      <c r="M1193" s="8" t="s">
        <v>37</v>
      </c>
      <c r="N1193" s="52" t="str">
        <f>IF(Follow[[#This Row],[DATAATUALIZAÇÃO]]&lt;=Follow[[#This Row],[Prev Entrega]],"Dentro do Prazo","Fora do Prazo")</f>
        <v>Dentro do Prazo</v>
      </c>
      <c r="O119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28/03/2025, referente ao pedido Nº Pedido 1218 Rastreio NM770546361BR, agradecemos a preferência e adoraríamos receber sua avaliação, tendo qualquer dúvida estamos à disposição.
Att
NTA Variedades</v>
      </c>
    </row>
    <row r="1194" spans="1:15">
      <c r="A1194" s="52" t="str">
        <f>_xlfn.XLOOKUP(Follow[[#This Row],[CODRASTREIO]],Controle_Pedidos[Cód Rastreamento],Controle_Pedidos[Número Pedido Cliente])</f>
        <v>Pedido 1222</v>
      </c>
      <c r="B1194" s="2" t="s">
        <v>18621</v>
      </c>
      <c r="C1194" s="2" t="str">
        <f>Follow[[#This Row],[CODRASTREIO]]&amp;" B"</f>
        <v>CódRastreio1179 B</v>
      </c>
      <c r="D1194" s="52" t="str">
        <f>_xlfn.XLOOKUP(Follow[[#This Row],[Id Pedido]],Controle_Pedidos[Número Pedido Cliente],Controle_Pedidos[Loja])</f>
        <v>MEI</v>
      </c>
      <c r="E1194" s="9">
        <f>_xlfn.XLOOKUP(Follow[[#This Row],[Id Pedido]],Controle_Pedidos[Número Pedido Cliente],Controle_Pedidos[Prazo Entrega])</f>
        <v>45751</v>
      </c>
      <c r="F1194" s="9" t="s">
        <v>19433</v>
      </c>
      <c r="G1194" s="9" t="s">
        <v>375</v>
      </c>
      <c r="H1194" s="9" t="s">
        <v>179</v>
      </c>
      <c r="I1194" s="9" t="s">
        <v>178</v>
      </c>
      <c r="J1194" s="9">
        <v>45748</v>
      </c>
      <c r="K1194" s="8" t="s">
        <v>198</v>
      </c>
      <c r="L1194" s="8" t="s">
        <v>124</v>
      </c>
      <c r="M1194" s="8" t="s">
        <v>37</v>
      </c>
      <c r="N1194" s="52" t="str">
        <f>IF(Follow[[#This Row],[DATAATUALIZAÇÃO]]&lt;=Follow[[#This Row],[Prev Entrega]],"Dentro do Prazo","Fora do Prazo")</f>
        <v>Dentro do Prazo</v>
      </c>
      <c r="O11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01/04/2025, referente ao pedido Nº Pedido 1222 Rastreio NM770371719BR, agradecemos a preferência e adoraríamos receber sua avaliação, tendo qualquer dúvida estamos à disposição.
Att
NTA Variedades</v>
      </c>
    </row>
    <row r="1195" spans="1:15">
      <c r="A1195" s="52" t="str">
        <f>_xlfn.XLOOKUP(Follow[[#This Row],[CODRASTREIO]],Controle_Pedidos[Cód Rastreamento],Controle_Pedidos[Número Pedido Cliente])</f>
        <v>Pedido 1224</v>
      </c>
      <c r="B1195" s="2" t="s">
        <v>18623</v>
      </c>
      <c r="C1195" s="2" t="str">
        <f>Follow[[#This Row],[CODRASTREIO]]&amp;" B"</f>
        <v>CódRastreio1181 B</v>
      </c>
      <c r="D1195" s="52" t="str">
        <f>_xlfn.XLOOKUP(Follow[[#This Row],[Id Pedido]],Controle_Pedidos[Número Pedido Cliente],Controle_Pedidos[Loja])</f>
        <v>MEI</v>
      </c>
      <c r="E1195" s="9">
        <f>_xlfn.XLOOKUP(Follow[[#This Row],[Id Pedido]],Controle_Pedidos[Número Pedido Cliente],Controle_Pedidos[Prazo Entrega])</f>
        <v>45751</v>
      </c>
      <c r="F1195" s="9" t="s">
        <v>19433</v>
      </c>
      <c r="G1195" s="9" t="s">
        <v>376</v>
      </c>
      <c r="H1195" s="9" t="s">
        <v>179</v>
      </c>
      <c r="I1195" s="9" t="s">
        <v>178</v>
      </c>
      <c r="J1195" s="9">
        <v>45756</v>
      </c>
      <c r="K1195" s="8" t="s">
        <v>198</v>
      </c>
      <c r="L1195" s="8" t="s">
        <v>124</v>
      </c>
      <c r="M1195" s="8" t="s">
        <v>37</v>
      </c>
      <c r="N1195" s="52" t="str">
        <f>IF(Follow[[#This Row],[DATAATUALIZAÇÃO]]&lt;=Follow[[#This Row],[Prev Entrega]],"Dentro do Prazo","Fora do Prazo")</f>
        <v>Fora do Prazo</v>
      </c>
      <c r="O11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09/04/2025, referente ao pedido Nº Pedido 1224 Rastreio NM770732324BR, agradecemos a preferência e adoraríamos receber sua avaliação, tendo qualquer dúvida estamos à disposição.
Att
NTA Variedades</v>
      </c>
    </row>
    <row r="1196" spans="1:15">
      <c r="A1196" s="52" t="str">
        <f>_xlfn.XLOOKUP(Follow[[#This Row],[CODRASTREIO]],Controle_Pedidos[Cód Rastreamento],Controle_Pedidos[Número Pedido Cliente])</f>
        <v>Pedido 1229</v>
      </c>
      <c r="B1196" s="2" t="s">
        <v>18628</v>
      </c>
      <c r="C1196" s="2" t="str">
        <f>Follow[[#This Row],[CODRASTREIO]]&amp;" B"</f>
        <v>CódRastreio1186 B</v>
      </c>
      <c r="D1196" s="52" t="str">
        <f>_xlfn.XLOOKUP(Follow[[#This Row],[Id Pedido]],Controle_Pedidos[Número Pedido Cliente],Controle_Pedidos[Loja])</f>
        <v>MEI</v>
      </c>
      <c r="E1196" s="9">
        <f>_xlfn.XLOOKUP(Follow[[#This Row],[Id Pedido]],Controle_Pedidos[Número Pedido Cliente],Controle_Pedidos[Prazo Entrega])</f>
        <v>45757</v>
      </c>
      <c r="F1196" s="9" t="s">
        <v>19433</v>
      </c>
      <c r="G1196" s="9" t="s">
        <v>377</v>
      </c>
      <c r="H1196" s="9" t="s">
        <v>179</v>
      </c>
      <c r="I1196" s="9" t="s">
        <v>178</v>
      </c>
      <c r="J1196" s="9">
        <v>45749</v>
      </c>
      <c r="K1196" s="8" t="s">
        <v>198</v>
      </c>
      <c r="L1196" s="8" t="s">
        <v>124</v>
      </c>
      <c r="M1196" s="8" t="s">
        <v>37</v>
      </c>
      <c r="N1196" s="52" t="str">
        <f>IF(Follow[[#This Row],[DATAATUALIZAÇÃO]]&lt;=Follow[[#This Row],[Prev Entrega]],"Dentro do Prazo","Fora do Prazo")</f>
        <v>Dentro do Prazo</v>
      </c>
      <c r="O11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02/04/2025, referente ao pedido Nº Pedido 1229 Rastreio NM770751558BR, agradecemos a preferência e adoraríamos receber sua avaliação, tendo qualquer dúvida estamos à disposição.
Att
NTA Variedades</v>
      </c>
    </row>
    <row r="1197" spans="1:15">
      <c r="A1197" s="52" t="str">
        <f>_xlfn.XLOOKUP(Follow[[#This Row],[CODRASTREIO]],Controle_Pedidos[Cód Rastreamento],Controle_Pedidos[Número Pedido Cliente])</f>
        <v>Pedido 1235</v>
      </c>
      <c r="B1197" s="2" t="s">
        <v>18634</v>
      </c>
      <c r="C1197" s="2" t="str">
        <f>Follow[[#This Row],[CODRASTREIO]]&amp;" B"</f>
        <v>CódRastreio1192 B</v>
      </c>
      <c r="D1197" s="52" t="str">
        <f>_xlfn.XLOOKUP(Follow[[#This Row],[Id Pedido]],Controle_Pedidos[Número Pedido Cliente],Controle_Pedidos[Loja])</f>
        <v>BV</v>
      </c>
      <c r="E1197" s="9">
        <f>_xlfn.XLOOKUP(Follow[[#This Row],[Id Pedido]],Controle_Pedidos[Número Pedido Cliente],Controle_Pedidos[Prazo Entrega])</f>
        <v>45751</v>
      </c>
      <c r="F1197" s="9" t="s">
        <v>19433</v>
      </c>
      <c r="G1197" s="9" t="s">
        <v>378</v>
      </c>
      <c r="H1197" s="9" t="s">
        <v>179</v>
      </c>
      <c r="I1197" s="9" t="s">
        <v>178</v>
      </c>
      <c r="J1197" s="9">
        <v>45747</v>
      </c>
      <c r="K1197" s="8" t="s">
        <v>198</v>
      </c>
      <c r="L1197" s="8" t="s">
        <v>124</v>
      </c>
      <c r="M1197" s="8" t="s">
        <v>37</v>
      </c>
      <c r="N1197" s="52" t="str">
        <f>IF(Follow[[#This Row],[DATAATUALIZAÇÃO]]&lt;=Follow[[#This Row],[Prev Entrega]],"Dentro do Prazo","Fora do Prazo")</f>
        <v>Dentro do Prazo</v>
      </c>
      <c r="O11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31/03/2025, referente ao pedido Nº Pedido 1235 Rastreio NM770812362BR, agradecemos a preferência e adoraríamos receber sua avaliação, tendo qualquer dúvida estamos à disposição.
Att
Tem tudo Shop</v>
      </c>
    </row>
    <row r="1198" spans="1:15">
      <c r="A1198" s="52" t="str">
        <f>_xlfn.XLOOKUP(Follow[[#This Row],[CODRASTREIO]],Controle_Pedidos[Cód Rastreamento],Controle_Pedidos[Número Pedido Cliente])</f>
        <v>Pedido 1255</v>
      </c>
      <c r="B1198" s="2" t="s">
        <v>18644</v>
      </c>
      <c r="C1198" s="2" t="str">
        <f>Follow[[#This Row],[CODRASTREIO]]&amp;" B"</f>
        <v>CódRastreio1202 B</v>
      </c>
      <c r="D1198" s="52" t="str">
        <f>_xlfn.XLOOKUP(Follow[[#This Row],[Id Pedido]],Controle_Pedidos[Número Pedido Cliente],Controle_Pedidos[Loja])</f>
        <v>BV</v>
      </c>
      <c r="E1198" s="9">
        <f>_xlfn.XLOOKUP(Follow[[#This Row],[Id Pedido]],Controle_Pedidos[Número Pedido Cliente],Controle_Pedidos[Prazo Entrega])</f>
        <v>45758</v>
      </c>
      <c r="F1198" s="9" t="s">
        <v>19433</v>
      </c>
      <c r="G1198" s="9" t="s">
        <v>37</v>
      </c>
      <c r="H1198" s="9" t="s">
        <v>178</v>
      </c>
      <c r="I1198" s="9" t="s">
        <v>178</v>
      </c>
      <c r="J1198" s="9">
        <v>45749</v>
      </c>
      <c r="K1198" s="8" t="s">
        <v>198</v>
      </c>
      <c r="L1198" s="8" t="s">
        <v>124</v>
      </c>
      <c r="M1198" s="8" t="s">
        <v>379</v>
      </c>
      <c r="N1198" s="52" t="str">
        <f>IF(Follow[[#This Row],[DATAATUALIZAÇÃO]]&lt;=Follow[[#This Row],[Prev Entrega]],"Dentro do Prazo","Fora do Prazo")</f>
        <v>Dentro do Prazo</v>
      </c>
      <c r="O119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02/04/2025, referente ao pedido Nº Pedido 1255 Rastreio Pedido 1255, agradecemos a preferência e adoraríamos receber sua avaliação, tendo qualquer dúvida estamos à disposição.
Att
Tem tudo Shop</v>
      </c>
    </row>
    <row r="1199" spans="1:15">
      <c r="A1199" s="52" t="str">
        <f>_xlfn.XLOOKUP(Follow[[#This Row],[CODRASTREIO]],Controle_Pedidos[Cód Rastreamento],Controle_Pedidos[Número Pedido Cliente])</f>
        <v>Pedido 1261</v>
      </c>
      <c r="B1199" s="2" t="s">
        <v>18647</v>
      </c>
      <c r="C1199" s="2" t="str">
        <f>Follow[[#This Row],[CODRASTREIO]]&amp;" B"</f>
        <v>CódRastreio1205 B</v>
      </c>
      <c r="D1199" s="52" t="str">
        <f>_xlfn.XLOOKUP(Follow[[#This Row],[Id Pedido]],Controle_Pedidos[Número Pedido Cliente],Controle_Pedidos[Loja])</f>
        <v>BV</v>
      </c>
      <c r="E1199" s="9">
        <f>_xlfn.XLOOKUP(Follow[[#This Row],[Id Pedido]],Controle_Pedidos[Número Pedido Cliente],Controle_Pedidos[Prazo Entrega])</f>
        <v>45758</v>
      </c>
      <c r="F1199" s="9" t="s">
        <v>19433</v>
      </c>
      <c r="G1199" s="9" t="s">
        <v>380</v>
      </c>
      <c r="H1199" s="9" t="s">
        <v>179</v>
      </c>
      <c r="I1199" s="9" t="s">
        <v>178</v>
      </c>
      <c r="J1199" s="9">
        <v>45769</v>
      </c>
      <c r="K1199" s="8" t="s">
        <v>198</v>
      </c>
      <c r="L1199" s="8" t="s">
        <v>124</v>
      </c>
      <c r="M1199" s="8" t="s">
        <v>37</v>
      </c>
      <c r="N1199" s="52" t="str">
        <f>IF(Follow[[#This Row],[DATAATUALIZAÇÃO]]&lt;=Follow[[#This Row],[Prev Entrega]],"Dentro do Prazo","Fora do Prazo")</f>
        <v>Fora do Prazo</v>
      </c>
      <c r="O11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22/04/2025, referente ao pedido Nº Pedido 1261 Rastreio CNBR00063646914, agradecemos a preferência e adoraríamos receber sua avaliação, tendo qualquer dúvida estamos à disposição.
Att
Tem tudo Shop</v>
      </c>
    </row>
    <row r="1200" spans="1:15">
      <c r="A1200" s="52" t="str">
        <f>_xlfn.XLOOKUP(Follow[[#This Row],[CODRASTREIO]],Controle_Pedidos[Cód Rastreamento],Controle_Pedidos[Número Pedido Cliente])</f>
        <v>Pedido 1262</v>
      </c>
      <c r="B1200" s="2" t="s">
        <v>18648</v>
      </c>
      <c r="C1200" s="2" t="str">
        <f>Follow[[#This Row],[CODRASTREIO]]&amp;" B"</f>
        <v>CódRastreio1206 B</v>
      </c>
      <c r="D1200" s="52" t="str">
        <f>_xlfn.XLOOKUP(Follow[[#This Row],[Id Pedido]],Controle_Pedidos[Número Pedido Cliente],Controle_Pedidos[Loja])</f>
        <v>BV</v>
      </c>
      <c r="E1200" s="9">
        <f>_xlfn.XLOOKUP(Follow[[#This Row],[Id Pedido]],Controle_Pedidos[Número Pedido Cliente],Controle_Pedidos[Prazo Entrega])</f>
        <v>45752</v>
      </c>
      <c r="F1200" s="9" t="s">
        <v>19433</v>
      </c>
      <c r="G1200" s="9" t="s">
        <v>381</v>
      </c>
      <c r="H1200" s="9" t="s">
        <v>179</v>
      </c>
      <c r="I1200" s="9" t="s">
        <v>178</v>
      </c>
      <c r="J1200" s="9">
        <v>45748</v>
      </c>
      <c r="K1200" s="8" t="s">
        <v>198</v>
      </c>
      <c r="L1200" s="8" t="s">
        <v>124</v>
      </c>
      <c r="M1200" s="8" t="s">
        <v>37</v>
      </c>
      <c r="N1200" s="52" t="str">
        <f>IF(Follow[[#This Row],[DATAATUALIZAÇÃO]]&lt;=Follow[[#This Row],[Prev Entrega]],"Dentro do Prazo","Fora do Prazo")</f>
        <v>Dentro do Prazo</v>
      </c>
      <c r="O120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01/04/2025, referente ao pedido Nº Pedido 1262 Rastreio NM770797815BR, agradecemos a preferência e adoraríamos receber sua avaliação, tendo qualquer dúvida estamos à disposição.
Att
Tem tudo Shop</v>
      </c>
    </row>
    <row r="1201" spans="1:15">
      <c r="A1201" s="52" t="str">
        <f>_xlfn.XLOOKUP(Follow[[#This Row],[CODRASTREIO]],Controle_Pedidos[Cód Rastreamento],Controle_Pedidos[Número Pedido Cliente])</f>
        <v>Pedido 1264</v>
      </c>
      <c r="B1201" s="2" t="s">
        <v>18650</v>
      </c>
      <c r="C1201" s="2" t="str">
        <f>Follow[[#This Row],[CODRASTREIO]]&amp;" B"</f>
        <v>CódRastreio1208 B</v>
      </c>
      <c r="D1201" s="52" t="str">
        <f>_xlfn.XLOOKUP(Follow[[#This Row],[Id Pedido]],Controle_Pedidos[Número Pedido Cliente],Controle_Pedidos[Loja])</f>
        <v>MEI</v>
      </c>
      <c r="E1201" s="9">
        <f>_xlfn.XLOOKUP(Follow[[#This Row],[Id Pedido]],Controle_Pedidos[Número Pedido Cliente],Controle_Pedidos[Prazo Entrega])</f>
        <v>45757</v>
      </c>
      <c r="F1201" s="9" t="s">
        <v>19433</v>
      </c>
      <c r="G1201" s="9" t="s">
        <v>382</v>
      </c>
      <c r="H1201" s="9" t="s">
        <v>179</v>
      </c>
      <c r="I1201" s="9" t="s">
        <v>178</v>
      </c>
      <c r="J1201" s="9">
        <v>45750</v>
      </c>
      <c r="K1201" s="8" t="s">
        <v>198</v>
      </c>
      <c r="L1201" s="8" t="s">
        <v>124</v>
      </c>
      <c r="M1201" s="8" t="s">
        <v>37</v>
      </c>
      <c r="N1201" s="52" t="str">
        <f>IF(Follow[[#This Row],[DATAATUALIZAÇÃO]]&lt;=Follow[[#This Row],[Prev Entrega]],"Dentro do Prazo","Fora do Prazo")</f>
        <v>Dentro do Prazo</v>
      </c>
      <c r="O12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03/04/2025, referente ao pedido Nº Pedido 1264 Rastreio NM770812813BR, agradecemos a preferência e adoraríamos receber sua avaliação, tendo qualquer dúvida estamos à disposição.
Att
NTA Variedades</v>
      </c>
    </row>
    <row r="1202" spans="1:15">
      <c r="A1202" s="52" t="str">
        <f>_xlfn.XLOOKUP(Follow[[#This Row],[CODRASTREIO]],Controle_Pedidos[Cód Rastreamento],Controle_Pedidos[Número Pedido Cliente])</f>
        <v>Pedido 1265</v>
      </c>
      <c r="B1202" s="2" t="s">
        <v>18651</v>
      </c>
      <c r="C1202" s="2" t="str">
        <f>Follow[[#This Row],[CODRASTREIO]]&amp;" B"</f>
        <v>CódRastreio1209 B</v>
      </c>
      <c r="D1202" s="52" t="str">
        <f>_xlfn.XLOOKUP(Follow[[#This Row],[Id Pedido]],Controle_Pedidos[Número Pedido Cliente],Controle_Pedidos[Loja])</f>
        <v>MEI</v>
      </c>
      <c r="E1202" s="9">
        <f>_xlfn.XLOOKUP(Follow[[#This Row],[Id Pedido]],Controle_Pedidos[Número Pedido Cliente],Controle_Pedidos[Prazo Entrega])</f>
        <v>45757</v>
      </c>
      <c r="F1202" s="9" t="s">
        <v>19433</v>
      </c>
      <c r="G1202" s="9" t="s">
        <v>383</v>
      </c>
      <c r="H1202" s="9" t="s">
        <v>179</v>
      </c>
      <c r="I1202" s="9" t="s">
        <v>178</v>
      </c>
      <c r="J1202" s="9">
        <v>45748</v>
      </c>
      <c r="K1202" s="8" t="s">
        <v>198</v>
      </c>
      <c r="L1202" s="8" t="s">
        <v>124</v>
      </c>
      <c r="M1202" s="8" t="s">
        <v>37</v>
      </c>
      <c r="N1202" s="52" t="str">
        <f>IF(Follow[[#This Row],[DATAATUALIZAÇÃO]]&lt;=Follow[[#This Row],[Prev Entrega]],"Dentro do Prazo","Fora do Prazo")</f>
        <v>Dentro do Prazo</v>
      </c>
      <c r="O12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01/04/2025, referente ao pedido Nº Pedido 1265 Rastreio NM770826755BR, agradecemos a preferência e adoraríamos receber sua avaliação, tendo qualquer dúvida estamos à disposição.
Att
NTA Variedades</v>
      </c>
    </row>
    <row r="1203" spans="1:15">
      <c r="A1203" s="52" t="str">
        <f>_xlfn.XLOOKUP(Follow[[#This Row],[CODRASTREIO]],Controle_Pedidos[Cód Rastreamento],Controle_Pedidos[Número Pedido Cliente])</f>
        <v>Pedido 1311</v>
      </c>
      <c r="B1203" s="2" t="s">
        <v>18695</v>
      </c>
      <c r="C1203" s="2" t="str">
        <f>Follow[[#This Row],[CODRASTREIO]]&amp;" B"</f>
        <v>CódRastreio1253 B</v>
      </c>
      <c r="D1203" s="52" t="str">
        <f>_xlfn.XLOOKUP(Follow[[#This Row],[Id Pedido]],Controle_Pedidos[Número Pedido Cliente],Controle_Pedidos[Loja])</f>
        <v>GO</v>
      </c>
      <c r="E1203" s="9">
        <f>_xlfn.XLOOKUP(Follow[[#This Row],[Id Pedido]],Controle_Pedidos[Número Pedido Cliente],Controle_Pedidos[Prazo Entrega])</f>
        <v>45759</v>
      </c>
      <c r="F1203" s="9" t="s">
        <v>19433</v>
      </c>
      <c r="G1203" s="9" t="s">
        <v>384</v>
      </c>
      <c r="H1203" s="9" t="s">
        <v>179</v>
      </c>
      <c r="I1203" s="9" t="s">
        <v>178</v>
      </c>
      <c r="J1203" s="9">
        <v>45747</v>
      </c>
      <c r="K1203" s="8" t="s">
        <v>198</v>
      </c>
      <c r="L1203" s="8" t="s">
        <v>124</v>
      </c>
      <c r="M1203" s="8" t="s">
        <v>37</v>
      </c>
      <c r="N1203" s="52" t="str">
        <f>IF(Follow[[#This Row],[DATAATUALIZAÇÃO]]&lt;=Follow[[#This Row],[Prev Entrega]],"Dentro do Prazo","Fora do Prazo")</f>
        <v>Dentro do Prazo</v>
      </c>
      <c r="O120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31/03/2025, referente ao pedido Nº Pedido 1311 Rastreio NM770935640BR, agradecemos a preferência e adoraríamos receber sua avaliação, tendo qualquer dúvida estamos à disposição.
Att
Sec Variedades</v>
      </c>
    </row>
    <row r="1204" spans="1:15">
      <c r="A1204" s="52" t="str">
        <f>_xlfn.XLOOKUP(Follow[[#This Row],[CODRASTREIO]],Controle_Pedidos[Cód Rastreamento],Controle_Pedidos[Número Pedido Cliente])</f>
        <v>Pedido 1312</v>
      </c>
      <c r="B1204" s="2" t="s">
        <v>18696</v>
      </c>
      <c r="C1204" s="2" t="str">
        <f>Follow[[#This Row],[CODRASTREIO]]&amp;" B"</f>
        <v>CódRastreio1254 B</v>
      </c>
      <c r="D1204" s="52" t="str">
        <f>_xlfn.XLOOKUP(Follow[[#This Row],[Id Pedido]],Controle_Pedidos[Número Pedido Cliente],Controle_Pedidos[Loja])</f>
        <v>GO</v>
      </c>
      <c r="E1204" s="9">
        <f>_xlfn.XLOOKUP(Follow[[#This Row],[Id Pedido]],Controle_Pedidos[Número Pedido Cliente],Controle_Pedidos[Prazo Entrega])</f>
        <v>45770</v>
      </c>
      <c r="F1204" s="9" t="s">
        <v>19433</v>
      </c>
      <c r="G1204" s="9" t="s">
        <v>385</v>
      </c>
      <c r="H1204" s="9" t="s">
        <v>179</v>
      </c>
      <c r="I1204" s="9" t="s">
        <v>178</v>
      </c>
      <c r="J1204" s="9">
        <v>45757</v>
      </c>
      <c r="K1204" s="8" t="s">
        <v>198</v>
      </c>
      <c r="L1204" s="8" t="s">
        <v>124</v>
      </c>
      <c r="M1204" s="8" t="s">
        <v>37</v>
      </c>
      <c r="N1204" s="52" t="str">
        <f>IF(Follow[[#This Row],[DATAATUALIZAÇÃO]]&lt;=Follow[[#This Row],[Prev Entrega]],"Dentro do Prazo","Fora do Prazo")</f>
        <v>Dentro do Prazo</v>
      </c>
      <c r="O12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10/04/2025, referente ao pedido Nº Pedido 1312 Rastreio NM770957455BR, agradecemos a preferência e adoraríamos receber sua avaliação, tendo qualquer dúvida estamos à disposição.
Att
Sec Variedades</v>
      </c>
    </row>
    <row r="1205" spans="1:15">
      <c r="A1205" s="52" t="str">
        <f>_xlfn.XLOOKUP(Follow[[#This Row],[CODRASTREIO]],Controle_Pedidos[Cód Rastreamento],Controle_Pedidos[Número Pedido Cliente])</f>
        <v>Pedido 1313</v>
      </c>
      <c r="B1205" s="2" t="s">
        <v>18697</v>
      </c>
      <c r="C1205" s="2" t="str">
        <f>Follow[[#This Row],[CODRASTREIO]]&amp;" B"</f>
        <v>CódRastreio1255 B</v>
      </c>
      <c r="D1205" s="52" t="str">
        <f>_xlfn.XLOOKUP(Follow[[#This Row],[Id Pedido]],Controle_Pedidos[Número Pedido Cliente],Controle_Pedidos[Loja])</f>
        <v>GO</v>
      </c>
      <c r="E1205" s="9">
        <f>_xlfn.XLOOKUP(Follow[[#This Row],[Id Pedido]],Controle_Pedidos[Número Pedido Cliente],Controle_Pedidos[Prazo Entrega])</f>
        <v>45770</v>
      </c>
      <c r="F1205" s="9" t="s">
        <v>19433</v>
      </c>
      <c r="G1205" s="9" t="s">
        <v>386</v>
      </c>
      <c r="H1205" s="9" t="s">
        <v>179</v>
      </c>
      <c r="I1205" s="9" t="s">
        <v>178</v>
      </c>
      <c r="J1205" s="147">
        <v>45764.389166666668</v>
      </c>
      <c r="K1205" s="8" t="s">
        <v>198</v>
      </c>
      <c r="L1205" s="8" t="s">
        <v>124</v>
      </c>
      <c r="M1205" s="8" t="s">
        <v>208</v>
      </c>
      <c r="N1205" s="52" t="str">
        <f>IF(Follow[[#This Row],[DATAATUALIZAÇÃO]]&lt;=Follow[[#This Row],[Prev Entrega]],"Dentro do Prazo","Fora do Prazo")</f>
        <v>Dentro do Prazo</v>
      </c>
      <c r="O120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17/04/2025, referente ao pedido Nº Pedido 1313 Rastreio NM770970805BR, agradecemos a preferência e adoraríamos receber sua avaliação, tendo qualquer dúvida estamos à disposição.
Att
Sec Variedades</v>
      </c>
    </row>
    <row r="1206" spans="1:15">
      <c r="A1206" s="52" t="str">
        <f>_xlfn.XLOOKUP(Follow[[#This Row],[CODRASTREIO]],Controle_Pedidos[Cód Rastreamento],Controle_Pedidos[Número Pedido Cliente])</f>
        <v>Pedido 1315</v>
      </c>
      <c r="B1206" s="2" t="s">
        <v>18699</v>
      </c>
      <c r="C1206" s="2" t="str">
        <f>Follow[[#This Row],[CODRASTREIO]]&amp;" B"</f>
        <v>CódRastreio1257 B</v>
      </c>
      <c r="D1206" s="52" t="str">
        <f>_xlfn.XLOOKUP(Follow[[#This Row],[Id Pedido]],Controle_Pedidos[Número Pedido Cliente],Controle_Pedidos[Loja])</f>
        <v>GO</v>
      </c>
      <c r="E1206" s="9">
        <f>_xlfn.XLOOKUP(Follow[[#This Row],[Id Pedido]],Controle_Pedidos[Número Pedido Cliente],Controle_Pedidos[Prazo Entrega])</f>
        <v>45759</v>
      </c>
      <c r="F1206" s="9" t="s">
        <v>19433</v>
      </c>
      <c r="G1206" s="9" t="s">
        <v>387</v>
      </c>
      <c r="H1206" s="9" t="s">
        <v>179</v>
      </c>
      <c r="I1206" s="9" t="s">
        <v>178</v>
      </c>
      <c r="J1206" s="9">
        <v>45749</v>
      </c>
      <c r="K1206" s="8" t="s">
        <v>198</v>
      </c>
      <c r="L1206" s="8" t="s">
        <v>124</v>
      </c>
      <c r="M1206" s="8" t="s">
        <v>37</v>
      </c>
      <c r="N1206" s="52" t="str">
        <f>IF(Follow[[#This Row],[DATAATUALIZAÇÃO]]&lt;=Follow[[#This Row],[Prev Entrega]],"Dentro do Prazo","Fora do Prazo")</f>
        <v>Dentro do Prazo</v>
      </c>
      <c r="O12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02/04/2025, referente ao pedido Nº Pedido 1315 Rastreio NM771011442BR, agradecemos a preferência e adoraríamos receber sua avaliação, tendo qualquer dúvida estamos à disposição.
Att
Sec Variedades</v>
      </c>
    </row>
    <row r="1207" spans="1:15">
      <c r="A1207" s="52" t="str">
        <f>_xlfn.XLOOKUP(Follow[[#This Row],[CODRASTREIO]],Controle_Pedidos[Cód Rastreamento],Controle_Pedidos[Número Pedido Cliente])</f>
        <v>Pedido 1165</v>
      </c>
      <c r="B1207" s="2" t="s">
        <v>18582</v>
      </c>
      <c r="C1207" s="2" t="str">
        <f>Follow[[#This Row],[CODRASTREIO]]&amp;" B"</f>
        <v>CódRastreio1140 B</v>
      </c>
      <c r="D1207" s="52" t="str">
        <f>_xlfn.XLOOKUP(Follow[[#This Row],[Id Pedido]],Controle_Pedidos[Número Pedido Cliente],Controle_Pedidos[Loja])</f>
        <v>MEI</v>
      </c>
      <c r="E1207" s="9">
        <f>_xlfn.XLOOKUP(Follow[[#This Row],[Id Pedido]],Controle_Pedidos[Número Pedido Cliente],Controle_Pedidos[Prazo Entrega])</f>
        <v>45756</v>
      </c>
      <c r="F1207" s="9" t="s">
        <v>19433</v>
      </c>
      <c r="G1207" s="9" t="s">
        <v>388</v>
      </c>
      <c r="H1207" s="9" t="s">
        <v>179</v>
      </c>
      <c r="I1207" s="9" t="s">
        <v>178</v>
      </c>
      <c r="J1207" s="9">
        <v>45750</v>
      </c>
      <c r="K1207" s="8" t="s">
        <v>198</v>
      </c>
      <c r="L1207" s="8" t="s">
        <v>124</v>
      </c>
      <c r="M1207" s="8" t="s">
        <v>37</v>
      </c>
      <c r="N1207" s="52" t="str">
        <f>IF(Follow[[#This Row],[DATAATUALIZAÇÃO]]&lt;=Follow[[#This Row],[Prev Entrega]],"Dentro do Prazo","Fora do Prazo")</f>
        <v>Dentro do Prazo</v>
      </c>
      <c r="O12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Hand Grip Fortalecedor foi entregue no dia 03/04/2025, referente ao pedido Nº Pedido 1165 Rastreio NM771878440BR, agradecemos a preferência e adoraríamos receber sua avaliação, tendo qualquer dúvida estamos à disposição.
Att
NTA Variedades</v>
      </c>
    </row>
    <row r="1208" spans="1:15">
      <c r="A1208" s="52" t="str">
        <f>_xlfn.XLOOKUP(Follow[[#This Row],[CODRASTREIO]],Controle_Pedidos[Cód Rastreamento],Controle_Pedidos[Número Pedido Cliente])</f>
        <v>Pedido 1170</v>
      </c>
      <c r="B1208" s="2" t="s">
        <v>18586</v>
      </c>
      <c r="C1208" s="2" t="str">
        <f>Follow[[#This Row],[CODRASTREIO]]&amp;" B"</f>
        <v>CódRastreio1144 B</v>
      </c>
      <c r="D1208" s="52" t="str">
        <f>_xlfn.XLOOKUP(Follow[[#This Row],[Id Pedido]],Controle_Pedidos[Número Pedido Cliente],Controle_Pedidos[Loja])</f>
        <v>MEI</v>
      </c>
      <c r="E1208" s="9">
        <f>_xlfn.XLOOKUP(Follow[[#This Row],[Id Pedido]],Controle_Pedidos[Número Pedido Cliente],Controle_Pedidos[Prazo Entrega])</f>
        <v>45756</v>
      </c>
      <c r="F1208" s="9" t="s">
        <v>19433</v>
      </c>
      <c r="G1208" s="9" t="s">
        <v>389</v>
      </c>
      <c r="H1208" s="9" t="s">
        <v>179</v>
      </c>
      <c r="I1208" s="9" t="s">
        <v>178</v>
      </c>
      <c r="J1208" s="9">
        <v>45749</v>
      </c>
      <c r="K1208" s="8" t="s">
        <v>198</v>
      </c>
      <c r="L1208" s="8" t="s">
        <v>124</v>
      </c>
      <c r="M1208" s="8" t="s">
        <v>37</v>
      </c>
      <c r="N1208" s="52" t="str">
        <f>IF(Follow[[#This Row],[DATAATUALIZAÇÃO]]&lt;=Follow[[#This Row],[Prev Entrega]],"Dentro do Prazo","Fora do Prazo")</f>
        <v>Dentro do Prazo</v>
      </c>
      <c r="O12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Hand Grip Fortalecedor foi entregue no dia 02/04/2025, referente ao pedido Nº Pedido 1170 Rastreio NM772327752BR, agradecemos a preferência e adoraríamos receber sua avaliação, tendo qualquer dúvida estamos à disposição.
Att
NTA Variedades</v>
      </c>
    </row>
    <row r="1209" spans="1:15">
      <c r="A1209" s="52" t="str">
        <f>_xlfn.XLOOKUP(Follow[[#This Row],[CODRASTREIO]],Controle_Pedidos[Cód Rastreamento],Controle_Pedidos[Número Pedido Cliente])</f>
        <v>Pedido 1176</v>
      </c>
      <c r="B1209" s="2" t="s">
        <v>18592</v>
      </c>
      <c r="C1209" s="2" t="str">
        <f>Follow[[#This Row],[CODRASTREIO]]&amp;" B"</f>
        <v>CódRastreio1150 B</v>
      </c>
      <c r="D1209" s="52" t="str">
        <f>_xlfn.XLOOKUP(Follow[[#This Row],[Id Pedido]],Controle_Pedidos[Número Pedido Cliente],Controle_Pedidos[Loja])</f>
        <v>MEI</v>
      </c>
      <c r="E1209" s="9">
        <f>_xlfn.XLOOKUP(Follow[[#This Row],[Id Pedido]],Controle_Pedidos[Número Pedido Cliente],Controle_Pedidos[Prazo Entrega])</f>
        <v>45751</v>
      </c>
      <c r="F1209" s="9" t="s">
        <v>19433</v>
      </c>
      <c r="G1209" s="9" t="s">
        <v>390</v>
      </c>
      <c r="H1209" s="9" t="s">
        <v>179</v>
      </c>
      <c r="I1209" s="9" t="s">
        <v>178</v>
      </c>
      <c r="J1209" s="9">
        <v>45748</v>
      </c>
      <c r="K1209" s="8" t="s">
        <v>198</v>
      </c>
      <c r="L1209" s="8" t="s">
        <v>124</v>
      </c>
      <c r="M1209" s="8" t="s">
        <v>37</v>
      </c>
      <c r="N1209" s="52" t="str">
        <f>IF(Follow[[#This Row],[DATAATUALIZAÇÃO]]&lt;=Follow[[#This Row],[Prev Entrega]],"Dentro do Prazo","Fora do Prazo")</f>
        <v>Dentro do Prazo</v>
      </c>
      <c r="O12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01/04/2025, referente ao pedido Nº Pedido 1176 Rastreio NM770273328BR, agradecemos a preferência e adoraríamos receber sua avaliação, tendo qualquer dúvida estamos à disposição.
Att
NTA Variedades</v>
      </c>
    </row>
    <row r="1210" spans="1:15">
      <c r="A1210" s="52" t="str">
        <f>_xlfn.XLOOKUP(Follow[[#This Row],[CODRASTREIO]],Controle_Pedidos[Cód Rastreamento],Controle_Pedidos[Número Pedido Cliente])</f>
        <v>Pedido 1180</v>
      </c>
      <c r="B1210" s="2" t="s">
        <v>18594</v>
      </c>
      <c r="C1210" s="2" t="str">
        <f>Follow[[#This Row],[CODRASTREIO]]&amp;" B"</f>
        <v>CódRastreio1152 B</v>
      </c>
      <c r="D1210" s="52" t="str">
        <f>_xlfn.XLOOKUP(Follow[[#This Row],[Id Pedido]],Controle_Pedidos[Número Pedido Cliente],Controle_Pedidos[Loja])</f>
        <v>BV</v>
      </c>
      <c r="E1210" s="9">
        <f>_xlfn.XLOOKUP(Follow[[#This Row],[Id Pedido]],Controle_Pedidos[Número Pedido Cliente],Controle_Pedidos[Prazo Entrega])</f>
        <v>45751</v>
      </c>
      <c r="F1210" s="9" t="s">
        <v>19433</v>
      </c>
      <c r="G1210" s="9" t="s">
        <v>37</v>
      </c>
      <c r="H1210" s="52" t="s">
        <v>178</v>
      </c>
      <c r="I1210" s="9" t="s">
        <v>178</v>
      </c>
      <c r="J1210" s="55">
        <v>45743</v>
      </c>
      <c r="K1210" s="54" t="s">
        <v>198</v>
      </c>
      <c r="L1210" s="8" t="s">
        <v>124</v>
      </c>
      <c r="M1210" s="8" t="s">
        <v>37</v>
      </c>
      <c r="N1210" s="52" t="str">
        <f>IF(Follow[[#This Row],[DATAATUALIZAÇÃO]]&lt;=Follow[[#This Row],[Prev Entrega]],"Dentro do Prazo","Fora do Prazo")</f>
        <v>Dentro do Prazo</v>
      </c>
      <c r="O12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27/03/2025, referente ao pedido Nº Pedido 1180 Rastreio Pedido 1180, agradecemos a preferência e adoraríamos receber sua avaliação, tendo qualquer dúvida estamos à disposição.
Att
Tem tudo Shop</v>
      </c>
    </row>
    <row r="1211" spans="1:15">
      <c r="A1211" s="52" t="str">
        <f>_xlfn.XLOOKUP(Follow[[#This Row],[CODRASTREIO]],Controle_Pedidos[Cód Rastreamento],Controle_Pedidos[Número Pedido Cliente])</f>
        <v>Pedido 1182</v>
      </c>
      <c r="B1211" s="2" t="s">
        <v>18595</v>
      </c>
      <c r="C1211" s="2" t="str">
        <f>Follow[[#This Row],[CODRASTREIO]]&amp;" B"</f>
        <v>CódRastreio1153 B</v>
      </c>
      <c r="D1211" s="52" t="str">
        <f>_xlfn.XLOOKUP(Follow[[#This Row],[Id Pedido]],Controle_Pedidos[Número Pedido Cliente],Controle_Pedidos[Loja])</f>
        <v>BV</v>
      </c>
      <c r="E1211" s="9">
        <f>_xlfn.XLOOKUP(Follow[[#This Row],[Id Pedido]],Controle_Pedidos[Número Pedido Cliente],Controle_Pedidos[Prazo Entrega])</f>
        <v>45751</v>
      </c>
      <c r="F1211" s="9" t="s">
        <v>19433</v>
      </c>
      <c r="G1211" s="9" t="s">
        <v>37</v>
      </c>
      <c r="H1211" s="9" t="s">
        <v>178</v>
      </c>
      <c r="I1211" s="9" t="s">
        <v>178</v>
      </c>
      <c r="J1211" s="9">
        <v>45748</v>
      </c>
      <c r="K1211" s="8" t="s">
        <v>198</v>
      </c>
      <c r="L1211" s="8" t="s">
        <v>124</v>
      </c>
      <c r="M1211" s="8" t="s">
        <v>37</v>
      </c>
      <c r="N1211" s="52" t="str">
        <f>IF(Follow[[#This Row],[DATAATUALIZAÇÃO]]&lt;=Follow[[#This Row],[Prev Entrega]],"Dentro do Prazo","Fora do Prazo")</f>
        <v>Dentro do Prazo</v>
      </c>
      <c r="O12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01/04/2025, referente ao pedido Nº Pedido 1182 Rastreio Pedido 1182, agradecemos a preferência e adoraríamos receber sua avaliação, tendo qualquer dúvida estamos à disposição.
Att
Tem tudo Shop</v>
      </c>
    </row>
    <row r="1212" spans="1:15">
      <c r="A1212" s="52" t="str">
        <f>_xlfn.XLOOKUP(Follow[[#This Row],[CODRASTREIO]],Controle_Pedidos[Cód Rastreamento],Controle_Pedidos[Número Pedido Cliente])</f>
        <v>Pedido 1190</v>
      </c>
      <c r="B1212" s="2" t="s">
        <v>18599</v>
      </c>
      <c r="C1212" s="2" t="str">
        <f>Follow[[#This Row],[CODRASTREIO]]&amp;" B"</f>
        <v>CódRastreio1157 B</v>
      </c>
      <c r="D1212" s="52" t="str">
        <f>_xlfn.XLOOKUP(Follow[[#This Row],[Id Pedido]],Controle_Pedidos[Número Pedido Cliente],Controle_Pedidos[Loja])</f>
        <v>BV</v>
      </c>
      <c r="E1212" s="9">
        <f>_xlfn.XLOOKUP(Follow[[#This Row],[Id Pedido]],Controle_Pedidos[Número Pedido Cliente],Controle_Pedidos[Prazo Entrega])</f>
        <v>45751</v>
      </c>
      <c r="F1212" s="9" t="s">
        <v>19433</v>
      </c>
      <c r="G1212" s="9" t="s">
        <v>37</v>
      </c>
      <c r="H1212" s="9" t="s">
        <v>179</v>
      </c>
      <c r="I1212" s="9" t="s">
        <v>391</v>
      </c>
      <c r="J1212" s="9">
        <v>45756</v>
      </c>
      <c r="K1212" s="8" t="s">
        <v>198</v>
      </c>
      <c r="L1212" s="8" t="s">
        <v>124</v>
      </c>
      <c r="M1212" s="8" t="s">
        <v>37</v>
      </c>
      <c r="N1212" s="52" t="str">
        <f>IF(Follow[[#This Row],[DATAATUALIZAÇÃO]]&lt;=Follow[[#This Row],[Prev Entrega]],"Dentro do Prazo","Fora do Prazo")</f>
        <v>Fora do Prazo</v>
      </c>
      <c r="O12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09/04/2025, referente ao pedido Nº Pedido 1190 Rastreio Pedido 1190, agradecemos a preferência e adoraríamos receber sua avaliação, tendo qualquer dúvida estamos à disposição.
Att
Tem tudo Shop</v>
      </c>
    </row>
    <row r="1213" spans="1:15">
      <c r="A1213" s="52" t="str">
        <f>_xlfn.XLOOKUP(Follow[[#This Row],[CODRASTREIO]],Controle_Pedidos[Cód Rastreamento],Controle_Pedidos[Número Pedido Cliente])</f>
        <v>Pedido 1198</v>
      </c>
      <c r="B1213" s="2" t="s">
        <v>18605</v>
      </c>
      <c r="C1213" s="2" t="str">
        <f>Follow[[#This Row],[CODRASTREIO]]&amp;" B"</f>
        <v>CódRastreio1163 B</v>
      </c>
      <c r="D1213" s="52" t="str">
        <f>_xlfn.XLOOKUP(Follow[[#This Row],[Id Pedido]],Controle_Pedidos[Número Pedido Cliente],Controle_Pedidos[Loja])</f>
        <v>BV</v>
      </c>
      <c r="E1213" s="9">
        <f>_xlfn.XLOOKUP(Follow[[#This Row],[Id Pedido]],Controle_Pedidos[Número Pedido Cliente],Controle_Pedidos[Prazo Entrega])</f>
        <v>45751</v>
      </c>
      <c r="F1213" s="9" t="s">
        <v>19433</v>
      </c>
      <c r="G1213" s="9" t="s">
        <v>37</v>
      </c>
      <c r="H1213" s="9" t="s">
        <v>179</v>
      </c>
      <c r="I1213" s="9" t="s">
        <v>391</v>
      </c>
      <c r="J1213" s="9">
        <v>45756</v>
      </c>
      <c r="K1213" s="8" t="s">
        <v>198</v>
      </c>
      <c r="L1213" s="8" t="s">
        <v>124</v>
      </c>
      <c r="M1213" s="8" t="s">
        <v>37</v>
      </c>
      <c r="N1213" s="52" t="str">
        <f>IF(Follow[[#This Row],[DATAATUALIZAÇÃO]]&lt;=Follow[[#This Row],[Prev Entrega]],"Dentro do Prazo","Fora do Prazo")</f>
        <v>Fora do Prazo</v>
      </c>
      <c r="O12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09/04/2025, referente ao pedido Nº Pedido 1198 Rastreio Pedido 1198, agradecemos a preferência e adoraríamos receber sua avaliação, tendo qualquer dúvida estamos à disposição.
Att
Tem tudo Shop</v>
      </c>
    </row>
    <row r="1214" spans="1:15">
      <c r="A1214" s="52" t="str">
        <f>_xlfn.XLOOKUP(Follow[[#This Row],[CODRASTREIO]],Controle_Pedidos[Cód Rastreamento],Controle_Pedidos[Número Pedido Cliente])</f>
        <v>Pedido 1241</v>
      </c>
      <c r="B1214" s="2" t="s">
        <v>18636</v>
      </c>
      <c r="C1214" s="2" t="str">
        <f>Follow[[#This Row],[CODRASTREIO]]&amp;" B"</f>
        <v>CódRastreio1194 B</v>
      </c>
      <c r="D1214" s="52" t="str">
        <f>_xlfn.XLOOKUP(Follow[[#This Row],[Id Pedido]],Controle_Pedidos[Número Pedido Cliente],Controle_Pedidos[Loja])</f>
        <v>BV</v>
      </c>
      <c r="E1214" s="9">
        <f>_xlfn.XLOOKUP(Follow[[#This Row],[Id Pedido]],Controle_Pedidos[Número Pedido Cliente],Controle_Pedidos[Prazo Entrega])</f>
        <v>45757</v>
      </c>
      <c r="F1214" s="9" t="s">
        <v>19433</v>
      </c>
      <c r="G1214" s="9" t="s">
        <v>392</v>
      </c>
      <c r="H1214" s="9" t="s">
        <v>179</v>
      </c>
      <c r="I1214" s="9" t="s">
        <v>178</v>
      </c>
      <c r="J1214" s="9">
        <v>45745</v>
      </c>
      <c r="K1214" s="8" t="s">
        <v>198</v>
      </c>
      <c r="L1214" s="8" t="s">
        <v>124</v>
      </c>
      <c r="M1214" s="8" t="s">
        <v>37</v>
      </c>
      <c r="N1214" s="52" t="str">
        <f>IF(Follow[[#This Row],[DATAATUALIZAÇÃO]]&lt;=Follow[[#This Row],[Prev Entrega]],"Dentro do Prazo","Fora do Prazo")</f>
        <v>Dentro do Prazo</v>
      </c>
      <c r="O12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29/03/2025, referente ao pedido Nº Pedido 1241 Rastreio NM771910763BR, agradecemos a preferência e adoraríamos receber sua avaliação, tendo qualquer dúvida estamos à disposição.
Att
Tem tudo Shop</v>
      </c>
    </row>
    <row r="1215" spans="1:15">
      <c r="A1215" s="52" t="str">
        <f>_xlfn.XLOOKUP(Follow[[#This Row],[CODRASTREIO]],Controle_Pedidos[Cód Rastreamento],Controle_Pedidos[Número Pedido Cliente])</f>
        <v>Pedido 1242</v>
      </c>
      <c r="B1215" s="2" t="s">
        <v>18637</v>
      </c>
      <c r="C1215" s="2" t="str">
        <f>Follow[[#This Row],[CODRASTREIO]]&amp;" B"</f>
        <v>CódRastreio1195 B</v>
      </c>
      <c r="D1215" s="52" t="str">
        <f>_xlfn.XLOOKUP(Follow[[#This Row],[Id Pedido]],Controle_Pedidos[Número Pedido Cliente],Controle_Pedidos[Loja])</f>
        <v>BV</v>
      </c>
      <c r="E1215" s="9">
        <f>_xlfn.XLOOKUP(Follow[[#This Row],[Id Pedido]],Controle_Pedidos[Número Pedido Cliente],Controle_Pedidos[Prazo Entrega])</f>
        <v>45757</v>
      </c>
      <c r="F1215" s="9" t="s">
        <v>19433</v>
      </c>
      <c r="G1215" s="9" t="s">
        <v>393</v>
      </c>
      <c r="H1215" s="9" t="s">
        <v>179</v>
      </c>
      <c r="I1215" s="9" t="s">
        <v>178</v>
      </c>
      <c r="J1215" s="9">
        <v>45747</v>
      </c>
      <c r="K1215" s="8" t="s">
        <v>198</v>
      </c>
      <c r="L1215" s="8" t="s">
        <v>124</v>
      </c>
      <c r="M1215" s="8" t="s">
        <v>37</v>
      </c>
      <c r="N1215" s="52" t="str">
        <f>IF(Follow[[#This Row],[DATAATUALIZAÇÃO]]&lt;=Follow[[#This Row],[Prev Entrega]],"Dentro do Prazo","Fora do Prazo")</f>
        <v>Dentro do Prazo</v>
      </c>
      <c r="O12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31/03/2025, referente ao pedido Nº Pedido 1242 Rastreio NM771908257BR, agradecemos a preferência e adoraríamos receber sua avaliação, tendo qualquer dúvida estamos à disposição.
Att
Tem tudo Shop</v>
      </c>
    </row>
    <row r="1216" spans="1:15">
      <c r="A1216" s="52" t="str">
        <f>_xlfn.XLOOKUP(Follow[[#This Row],[CODRASTREIO]],Controle_Pedidos[Cód Rastreamento],Controle_Pedidos[Número Pedido Cliente])</f>
        <v>Pedido 1247</v>
      </c>
      <c r="B1216" s="2" t="s">
        <v>18641</v>
      </c>
      <c r="C1216" s="2" t="str">
        <f>Follow[[#This Row],[CODRASTREIO]]&amp;" B"</f>
        <v>CódRastreio1199 B</v>
      </c>
      <c r="D1216" s="52" t="str">
        <f>_xlfn.XLOOKUP(Follow[[#This Row],[Id Pedido]],Controle_Pedidos[Número Pedido Cliente],Controle_Pedidos[Loja])</f>
        <v>BV</v>
      </c>
      <c r="E1216" s="9">
        <f>_xlfn.XLOOKUP(Follow[[#This Row],[Id Pedido]],Controle_Pedidos[Número Pedido Cliente],Controle_Pedidos[Prazo Entrega])</f>
        <v>45752</v>
      </c>
      <c r="F1216" s="9" t="s">
        <v>19433</v>
      </c>
      <c r="G1216" s="9" t="s">
        <v>394</v>
      </c>
      <c r="H1216" s="52" t="s">
        <v>179</v>
      </c>
      <c r="I1216" s="9" t="s">
        <v>178</v>
      </c>
      <c r="J1216" s="55">
        <v>45743</v>
      </c>
      <c r="K1216" s="54" t="s">
        <v>198</v>
      </c>
      <c r="L1216" s="8" t="s">
        <v>124</v>
      </c>
      <c r="M1216" s="8" t="s">
        <v>37</v>
      </c>
      <c r="N1216" s="52" t="str">
        <f>IF(Follow[[#This Row],[DATAATUALIZAÇÃO]]&lt;=Follow[[#This Row],[Prev Entrega]],"Dentro do Prazo","Fora do Prazo")</f>
        <v>Dentro do Prazo</v>
      </c>
      <c r="O121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27/03/2025, referente ao pedido Nº Pedido 1247 Rastreio NM771917744BR, agradecemos a preferência e adoraríamos receber sua avaliação, tendo qualquer dúvida estamos à disposição.
Att
Tem tudo Shop</v>
      </c>
    </row>
    <row r="1217" spans="1:15">
      <c r="A1217" s="52" t="str">
        <f>_xlfn.XLOOKUP(Follow[[#This Row],[CODRASTREIO]],Controle_Pedidos[Cód Rastreamento],Controle_Pedidos[Número Pedido Cliente])</f>
        <v>Pedido 1310</v>
      </c>
      <c r="B1217" s="2" t="s">
        <v>18694</v>
      </c>
      <c r="C1217" s="2" t="str">
        <f>Follow[[#This Row],[CODRASTREIO]]&amp;" B"</f>
        <v>CódRastreio1252 B</v>
      </c>
      <c r="D1217" s="52" t="str">
        <f>_xlfn.XLOOKUP(Follow[[#This Row],[Id Pedido]],Controle_Pedidos[Número Pedido Cliente],Controle_Pedidos[Loja])</f>
        <v>GO</v>
      </c>
      <c r="E1217" s="9">
        <f>_xlfn.XLOOKUP(Follow[[#This Row],[Id Pedido]],Controle_Pedidos[Número Pedido Cliente],Controle_Pedidos[Prazo Entrega])</f>
        <v>45755</v>
      </c>
      <c r="F1217" s="9" t="s">
        <v>19433</v>
      </c>
      <c r="G1217" s="9" t="s">
        <v>395</v>
      </c>
      <c r="H1217" s="52" t="s">
        <v>179</v>
      </c>
      <c r="I1217" s="9" t="s">
        <v>178</v>
      </c>
      <c r="J1217" s="55">
        <v>45743</v>
      </c>
      <c r="K1217" s="54" t="s">
        <v>198</v>
      </c>
      <c r="L1217" s="8" t="s">
        <v>124</v>
      </c>
      <c r="M1217" s="8" t="s">
        <v>37</v>
      </c>
      <c r="N1217" s="52" t="str">
        <f>IF(Follow[[#This Row],[DATAATUALIZAÇÃO]]&lt;=Follow[[#This Row],[Prev Entrega]],"Dentro do Prazo","Fora do Prazo")</f>
        <v>Dentro do Prazo</v>
      </c>
      <c r="O12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27/03/2025, referente ao pedido Nº Pedido 1310 Rastreio NM771911790BR, agradecemos a preferência e adoraríamos receber sua avaliação, tendo qualquer dúvida estamos à disposição.
Att
Sec Variedades</v>
      </c>
    </row>
    <row r="1218" spans="1:15">
      <c r="A1218" s="52" t="str">
        <f>_xlfn.XLOOKUP(Follow[[#This Row],[CODRASTREIO]],Controle_Pedidos[Cód Rastreamento],Controle_Pedidos[Número Pedido Cliente])</f>
        <v>Pedido 1314</v>
      </c>
      <c r="B1218" s="2" t="s">
        <v>18698</v>
      </c>
      <c r="C1218" s="2" t="str">
        <f>Follow[[#This Row],[CODRASTREIO]]&amp;" B"</f>
        <v>CódRastreio1256 B</v>
      </c>
      <c r="D1218" s="52" t="str">
        <f>_xlfn.XLOOKUP(Follow[[#This Row],[Id Pedido]],Controle_Pedidos[Número Pedido Cliente],Controle_Pedidos[Loja])</f>
        <v>GO</v>
      </c>
      <c r="E1218" s="9">
        <f>_xlfn.XLOOKUP(Follow[[#This Row],[Id Pedido]],Controle_Pedidos[Número Pedido Cliente],Controle_Pedidos[Prazo Entrega])</f>
        <v>45759</v>
      </c>
      <c r="F1218" s="9" t="s">
        <v>19433</v>
      </c>
      <c r="G1218" s="9" t="s">
        <v>396</v>
      </c>
      <c r="H1218" s="52" t="s">
        <v>179</v>
      </c>
      <c r="I1218" s="9" t="s">
        <v>178</v>
      </c>
      <c r="J1218" s="55">
        <v>45744</v>
      </c>
      <c r="K1218" s="54" t="s">
        <v>198</v>
      </c>
      <c r="L1218" s="8" t="s">
        <v>124</v>
      </c>
      <c r="M1218" s="8" t="s">
        <v>37</v>
      </c>
      <c r="N1218" s="52" t="str">
        <f>IF(Follow[[#This Row],[DATAATUALIZAÇÃO]]&lt;=Follow[[#This Row],[Prev Entrega]],"Dentro do Prazo","Fora do Prazo")</f>
        <v>Dentro do Prazo</v>
      </c>
      <c r="O12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28/03/2025, referente ao pedido Nº Pedido 1314 Rastreio NM771906327BR, agradecemos a preferência e adoraríamos receber sua avaliação, tendo qualquer dúvida estamos à disposição.
Att
Sec Variedades</v>
      </c>
    </row>
    <row r="1219" spans="1:15">
      <c r="A1219" s="52" t="str">
        <f>_xlfn.XLOOKUP(Follow[[#This Row],[CODRASTREIO]],Controle_Pedidos[Cód Rastreamento],Controle_Pedidos[Número Pedido Cliente])</f>
        <v>Pedido 1316</v>
      </c>
      <c r="B1219" s="2" t="s">
        <v>18700</v>
      </c>
      <c r="C1219" s="2" t="str">
        <f>Follow[[#This Row],[CODRASTREIO]]&amp;" B"</f>
        <v>CódRastreio1258 B</v>
      </c>
      <c r="D1219" s="52" t="str">
        <f>_xlfn.XLOOKUP(Follow[[#This Row],[Id Pedido]],Controle_Pedidos[Número Pedido Cliente],Controle_Pedidos[Loja])</f>
        <v>GO</v>
      </c>
      <c r="E1219" s="9">
        <f>_xlfn.XLOOKUP(Follow[[#This Row],[Id Pedido]],Controle_Pedidos[Número Pedido Cliente],Controle_Pedidos[Prazo Entrega])</f>
        <v>45755</v>
      </c>
      <c r="F1219" s="9" t="s">
        <v>19433</v>
      </c>
      <c r="G1219" s="9" t="s">
        <v>397</v>
      </c>
      <c r="H1219" s="9" t="s">
        <v>179</v>
      </c>
      <c r="I1219" s="9" t="s">
        <v>178</v>
      </c>
      <c r="J1219" s="9">
        <v>45747</v>
      </c>
      <c r="K1219" s="8" t="s">
        <v>198</v>
      </c>
      <c r="L1219" s="8" t="s">
        <v>124</v>
      </c>
      <c r="M1219" s="8" t="s">
        <v>37</v>
      </c>
      <c r="N1219" s="52" t="str">
        <f>IF(Follow[[#This Row],[DATAATUALIZAÇÃO]]&lt;=Follow[[#This Row],[Prev Entrega]],"Dentro do Prazo","Fora do Prazo")</f>
        <v>Dentro do Prazo</v>
      </c>
      <c r="O12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31/03/2025, referente ao pedido Nº Pedido 1316 Rastreio NM771998592BR, agradecemos a preferência e adoraríamos receber sua avaliação, tendo qualquer dúvida estamos à disposição.
Att
Sec Variedades</v>
      </c>
    </row>
    <row r="1220" spans="1:15">
      <c r="A1220" s="52" t="str">
        <f>_xlfn.XLOOKUP(Follow[[#This Row],[CODRASTREIO]],Controle_Pedidos[Cód Rastreamento],Controle_Pedidos[Número Pedido Cliente])</f>
        <v>Pedido 1240</v>
      </c>
      <c r="B1220" s="2" t="s">
        <v>18635</v>
      </c>
      <c r="C1220" s="2" t="str">
        <f>Follow[[#This Row],[CODRASTREIO]]&amp;" B"</f>
        <v>CódRastreio1193 B</v>
      </c>
      <c r="D1220" s="52" t="str">
        <f>_xlfn.XLOOKUP(Follow[[#This Row],[Id Pedido]],Controle_Pedidos[Número Pedido Cliente],Controle_Pedidos[Loja])</f>
        <v>BV</v>
      </c>
      <c r="E1220" s="9">
        <f>_xlfn.XLOOKUP(Follow[[#This Row],[Id Pedido]],Controle_Pedidos[Número Pedido Cliente],Controle_Pedidos[Prazo Entrega])</f>
        <v>45745</v>
      </c>
      <c r="F1220" s="9" t="s">
        <v>19433</v>
      </c>
      <c r="G1220" s="9" t="s">
        <v>37</v>
      </c>
      <c r="H1220" s="9" t="s">
        <v>178</v>
      </c>
      <c r="I1220" s="9" t="s">
        <v>178</v>
      </c>
      <c r="J1220" s="55">
        <v>45741</v>
      </c>
      <c r="K1220" s="54" t="s">
        <v>198</v>
      </c>
      <c r="L1220" s="8" t="s">
        <v>124</v>
      </c>
      <c r="M1220" s="8" t="s">
        <v>37</v>
      </c>
      <c r="N1220" s="52" t="str">
        <f>IF(Follow[[#This Row],[DATAATUALIZAÇÃO]]&lt;=Follow[[#This Row],[Prev Entrega]],"Dentro do Prazo","Fora do Prazo")</f>
        <v>Dentro do Prazo</v>
      </c>
      <c r="O12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25/03/2025, referente ao pedido Nº Pedido 1240 Rastreio Pedido 1240, agradecemos a preferência e adoraríamos receber sua avaliação, tendo qualquer dúvida estamos à disposição.
Att
Tem tudo Shop</v>
      </c>
    </row>
    <row r="1221" spans="1:15">
      <c r="A1221" s="52" t="str">
        <f>_xlfn.XLOOKUP(Follow[[#This Row],[CODRASTREIO]],Controle_Pedidos[Cód Rastreamento],Controle_Pedidos[Número Pedido Cliente])</f>
        <v>Pedido 1243</v>
      </c>
      <c r="B1221" s="2" t="s">
        <v>18638</v>
      </c>
      <c r="C1221" s="2" t="str">
        <f>Follow[[#This Row],[CODRASTREIO]]&amp;" B"</f>
        <v>CódRastreio1196 B</v>
      </c>
      <c r="D1221" s="52" t="str">
        <f>_xlfn.XLOOKUP(Follow[[#This Row],[Id Pedido]],Controle_Pedidos[Número Pedido Cliente],Controle_Pedidos[Loja])</f>
        <v>BV</v>
      </c>
      <c r="E1221" s="9">
        <f>_xlfn.XLOOKUP(Follow[[#This Row],[Id Pedido]],Controle_Pedidos[Número Pedido Cliente],Controle_Pedidos[Prazo Entrega])</f>
        <v>45751</v>
      </c>
      <c r="F1221" s="9" t="s">
        <v>19433</v>
      </c>
      <c r="G1221" s="9" t="s">
        <v>37</v>
      </c>
      <c r="H1221" s="9" t="s">
        <v>178</v>
      </c>
      <c r="I1221" s="9" t="s">
        <v>178</v>
      </c>
      <c r="J1221" s="55">
        <v>45743</v>
      </c>
      <c r="K1221" s="54" t="s">
        <v>198</v>
      </c>
      <c r="L1221" s="8" t="s">
        <v>124</v>
      </c>
      <c r="M1221" s="8" t="s">
        <v>37</v>
      </c>
      <c r="N1221" s="52" t="str">
        <f>IF(Follow[[#This Row],[DATAATUALIZAÇÃO]]&lt;=Follow[[#This Row],[Prev Entrega]],"Dentro do Prazo","Fora do Prazo")</f>
        <v>Dentro do Prazo</v>
      </c>
      <c r="O12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27/03/2025, referente ao pedido Nº Pedido 1243 Rastreio Pedido 1243, agradecemos a preferência e adoraríamos receber sua avaliação, tendo qualquer dúvida estamos à disposição.
Att
Tem tudo Shop</v>
      </c>
    </row>
    <row r="1222" spans="1:15">
      <c r="A1222" s="52" t="str">
        <f>_xlfn.XLOOKUP(Follow[[#This Row],[CODRASTREIO]],Controle_Pedidos[Cód Rastreamento],Controle_Pedidos[Número Pedido Cliente])</f>
        <v>Pedido 1245</v>
      </c>
      <c r="B1222" s="2" t="s">
        <v>18639</v>
      </c>
      <c r="C1222" s="2" t="str">
        <f>Follow[[#This Row],[CODRASTREIO]]&amp;" B"</f>
        <v>CódRastreio1197 B</v>
      </c>
      <c r="D1222" s="52" t="str">
        <f>_xlfn.XLOOKUP(Follow[[#This Row],[Id Pedido]],Controle_Pedidos[Número Pedido Cliente],Controle_Pedidos[Loja])</f>
        <v>BV</v>
      </c>
      <c r="E1222" s="9">
        <f>_xlfn.XLOOKUP(Follow[[#This Row],[Id Pedido]],Controle_Pedidos[Número Pedido Cliente],Controle_Pedidos[Prazo Entrega])</f>
        <v>45758</v>
      </c>
      <c r="F1222" s="9" t="s">
        <v>19433</v>
      </c>
      <c r="G1222" s="9" t="s">
        <v>37</v>
      </c>
      <c r="H1222" s="9" t="s">
        <v>178</v>
      </c>
      <c r="I1222" s="9" t="s">
        <v>178</v>
      </c>
      <c r="J1222" s="9">
        <v>45745</v>
      </c>
      <c r="K1222" s="8" t="s">
        <v>198</v>
      </c>
      <c r="L1222" s="8" t="s">
        <v>124</v>
      </c>
      <c r="M1222" s="8" t="s">
        <v>37</v>
      </c>
      <c r="N1222" s="52" t="str">
        <f>IF(Follow[[#This Row],[DATAATUALIZAÇÃO]]&lt;=Follow[[#This Row],[Prev Entrega]],"Dentro do Prazo","Fora do Prazo")</f>
        <v>Dentro do Prazo</v>
      </c>
      <c r="O12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29/03/2025, referente ao pedido Nº Pedido 1245 Rastreio Pedido 1245, agradecemos a preferência e adoraríamos receber sua avaliação, tendo qualquer dúvida estamos à disposição.
Att
Tem tudo Shop</v>
      </c>
    </row>
    <row r="1223" spans="1:15">
      <c r="A1223" s="52" t="str">
        <f>_xlfn.XLOOKUP(Follow[[#This Row],[CODRASTREIO]],Controle_Pedidos[Cód Rastreamento],Controle_Pedidos[Número Pedido Cliente])</f>
        <v>Pedido 1246</v>
      </c>
      <c r="B1223" s="2" t="s">
        <v>18640</v>
      </c>
      <c r="C1223" s="2" t="str">
        <f>Follow[[#This Row],[CODRASTREIO]]&amp;" B"</f>
        <v>CódRastreio1198 B</v>
      </c>
      <c r="D1223" s="52" t="str">
        <f>_xlfn.XLOOKUP(Follow[[#This Row],[Id Pedido]],Controle_Pedidos[Número Pedido Cliente],Controle_Pedidos[Loja])</f>
        <v>BV</v>
      </c>
      <c r="E1223" s="9">
        <f>_xlfn.XLOOKUP(Follow[[#This Row],[Id Pedido]],Controle_Pedidos[Número Pedido Cliente],Controle_Pedidos[Prazo Entrega])</f>
        <v>45752</v>
      </c>
      <c r="F1223" s="9" t="s">
        <v>19433</v>
      </c>
      <c r="G1223" s="9" t="s">
        <v>37</v>
      </c>
      <c r="H1223" s="9" t="s">
        <v>178</v>
      </c>
      <c r="I1223" s="9" t="s">
        <v>178</v>
      </c>
      <c r="J1223" s="9">
        <v>45751</v>
      </c>
      <c r="K1223" s="8" t="s">
        <v>198</v>
      </c>
      <c r="L1223" s="8" t="s">
        <v>124</v>
      </c>
      <c r="M1223" s="8" t="s">
        <v>37</v>
      </c>
      <c r="N1223" s="52" t="str">
        <f>IF(Follow[[#This Row],[DATAATUALIZAÇÃO]]&lt;=Follow[[#This Row],[Prev Entrega]],"Dentro do Prazo","Fora do Prazo")</f>
        <v>Dentro do Prazo</v>
      </c>
      <c r="O12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04/04/2025, referente ao pedido Nº Pedido 1246 Rastreio Pedido 1246, agradecemos a preferência e adoraríamos receber sua avaliação, tendo qualquer dúvida estamos à disposição.
Att
Tem tudo Shop</v>
      </c>
    </row>
    <row r="1224" spans="1:15">
      <c r="A1224" s="52" t="str">
        <f>_xlfn.XLOOKUP(Follow[[#This Row],[CODRASTREIO]],Controle_Pedidos[Cód Rastreamento],Controle_Pedidos[Número Pedido Cliente])</f>
        <v>Pedido 1249</v>
      </c>
      <c r="B1224" s="2" t="s">
        <v>18642</v>
      </c>
      <c r="C1224" s="2" t="str">
        <f>Follow[[#This Row],[CODRASTREIO]]&amp;" B"</f>
        <v>CódRastreio1200 B</v>
      </c>
      <c r="D1224" s="52" t="str">
        <f>_xlfn.XLOOKUP(Follow[[#This Row],[Id Pedido]],Controle_Pedidos[Número Pedido Cliente],Controle_Pedidos[Loja])</f>
        <v>BV</v>
      </c>
      <c r="E1224" s="9">
        <f>_xlfn.XLOOKUP(Follow[[#This Row],[Id Pedido]],Controle_Pedidos[Número Pedido Cliente],Controle_Pedidos[Prazo Entrega])</f>
        <v>45752</v>
      </c>
      <c r="F1224" s="9" t="s">
        <v>19433</v>
      </c>
      <c r="G1224" s="9" t="s">
        <v>37</v>
      </c>
      <c r="H1224" s="9" t="s">
        <v>178</v>
      </c>
      <c r="I1224" s="9" t="s">
        <v>178</v>
      </c>
      <c r="J1224" s="9">
        <v>45747</v>
      </c>
      <c r="K1224" s="8" t="s">
        <v>198</v>
      </c>
      <c r="L1224" s="8" t="s">
        <v>124</v>
      </c>
      <c r="M1224" s="8" t="s">
        <v>37</v>
      </c>
      <c r="N1224" s="52" t="str">
        <f>IF(Follow[[#This Row],[DATAATUALIZAÇÃO]]&lt;=Follow[[#This Row],[Prev Entrega]],"Dentro do Prazo","Fora do Prazo")</f>
        <v>Dentro do Prazo</v>
      </c>
      <c r="O122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31/03/2025, referente ao pedido Nº Pedido 1249 Rastreio Pedido 1249, agradecemos a preferência e adoraríamos receber sua avaliação, tendo qualquer dúvida estamos à disposição.
Att
Tem tudo Shop</v>
      </c>
    </row>
    <row r="1225" spans="1:15">
      <c r="A1225" s="52" t="str">
        <f>_xlfn.XLOOKUP(Follow[[#This Row],[CODRASTREIO]],Controle_Pedidos[Cód Rastreamento],Controle_Pedidos[Número Pedido Cliente])</f>
        <v>Pedido 1252</v>
      </c>
      <c r="B1225" s="2" t="s">
        <v>18643</v>
      </c>
      <c r="C1225" s="2" t="str">
        <f>Follow[[#This Row],[CODRASTREIO]]&amp;" B"</f>
        <v>CódRastreio1201 B</v>
      </c>
      <c r="D1225" s="52" t="str">
        <f>_xlfn.XLOOKUP(Follow[[#This Row],[Id Pedido]],Controle_Pedidos[Número Pedido Cliente],Controle_Pedidos[Loja])</f>
        <v>BV</v>
      </c>
      <c r="E1225" s="9">
        <f>_xlfn.XLOOKUP(Follow[[#This Row],[Id Pedido]],Controle_Pedidos[Número Pedido Cliente],Controle_Pedidos[Prazo Entrega])</f>
        <v>45752</v>
      </c>
      <c r="F1225" s="9" t="s">
        <v>19433</v>
      </c>
      <c r="G1225" s="9" t="s">
        <v>37</v>
      </c>
      <c r="H1225" s="9" t="s">
        <v>178</v>
      </c>
      <c r="I1225" s="9" t="s">
        <v>178</v>
      </c>
      <c r="J1225" s="55">
        <v>45743</v>
      </c>
      <c r="K1225" s="54" t="s">
        <v>198</v>
      </c>
      <c r="L1225" s="8" t="s">
        <v>124</v>
      </c>
      <c r="M1225" s="8" t="s">
        <v>37</v>
      </c>
      <c r="N1225" s="52" t="str">
        <f>IF(Follow[[#This Row],[DATAATUALIZAÇÃO]]&lt;=Follow[[#This Row],[Prev Entrega]],"Dentro do Prazo","Fora do Prazo")</f>
        <v>Dentro do Prazo</v>
      </c>
      <c r="O12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27/03/2025, referente ao pedido Nº Pedido 1252 Rastreio Pedido 1252, agradecemos a preferência e adoraríamos receber sua avaliação, tendo qualquer dúvida estamos à disposição.
Att
Tem tudo Shop</v>
      </c>
    </row>
    <row r="1226" spans="1:15">
      <c r="A1226" s="52" t="str">
        <f>_xlfn.XLOOKUP(Follow[[#This Row],[CODRASTREIO]],Controle_Pedidos[Cód Rastreamento],Controle_Pedidos[Número Pedido Cliente])</f>
        <v>Pedido 1256</v>
      </c>
      <c r="B1226" s="2" t="s">
        <v>18645</v>
      </c>
      <c r="C1226" s="2" t="str">
        <f>Follow[[#This Row],[CODRASTREIO]]&amp;" B"</f>
        <v>CódRastreio1203 B</v>
      </c>
      <c r="D1226" s="52" t="str">
        <f>_xlfn.XLOOKUP(Follow[[#This Row],[Id Pedido]],Controle_Pedidos[Número Pedido Cliente],Controle_Pedidos[Loja])</f>
        <v>BV</v>
      </c>
      <c r="E1226" s="9">
        <f>_xlfn.XLOOKUP(Follow[[#This Row],[Id Pedido]],Controle_Pedidos[Número Pedido Cliente],Controle_Pedidos[Prazo Entrega])</f>
        <v>45750</v>
      </c>
      <c r="F1226" s="9" t="s">
        <v>19433</v>
      </c>
      <c r="G1226" s="9" t="s">
        <v>37</v>
      </c>
      <c r="H1226" s="9" t="s">
        <v>178</v>
      </c>
      <c r="I1226" s="9" t="s">
        <v>178</v>
      </c>
      <c r="J1226" s="9">
        <v>45747</v>
      </c>
      <c r="K1226" s="8" t="s">
        <v>198</v>
      </c>
      <c r="L1226" s="8" t="s">
        <v>124</v>
      </c>
      <c r="M1226" s="8" t="s">
        <v>37</v>
      </c>
      <c r="N1226" s="52" t="str">
        <f>IF(Follow[[#This Row],[DATAATUALIZAÇÃO]]&lt;=Follow[[#This Row],[Prev Entrega]],"Dentro do Prazo","Fora do Prazo")</f>
        <v>Dentro do Prazo</v>
      </c>
      <c r="O12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31/03/2025, referente ao pedido Nº Pedido 1256 Rastreio Pedido 1256, agradecemos a preferência e adoraríamos receber sua avaliação, tendo qualquer dúvida estamos à disposição.
Att
Tem tudo Shop</v>
      </c>
    </row>
    <row r="1227" spans="1:15">
      <c r="A1227" s="52" t="str">
        <f>_xlfn.XLOOKUP(Follow[[#This Row],[CODRASTREIO]],Controle_Pedidos[Cód Rastreamento],Controle_Pedidos[Número Pedido Cliente])</f>
        <v>Pedido 1257</v>
      </c>
      <c r="B1227" s="2" t="s">
        <v>18646</v>
      </c>
      <c r="C1227" s="2" t="str">
        <f>Follow[[#This Row],[CODRASTREIO]]&amp;" B"</f>
        <v>CódRastreio1204 B</v>
      </c>
      <c r="D1227" s="52" t="str">
        <f>_xlfn.XLOOKUP(Follow[[#This Row],[Id Pedido]],Controle_Pedidos[Número Pedido Cliente],Controle_Pedidos[Loja])</f>
        <v>BV</v>
      </c>
      <c r="E1227" s="9">
        <f>_xlfn.XLOOKUP(Follow[[#This Row],[Id Pedido]],Controle_Pedidos[Número Pedido Cliente],Controle_Pedidos[Prazo Entrega])</f>
        <v>45752</v>
      </c>
      <c r="F1227" s="9" t="s">
        <v>19433</v>
      </c>
      <c r="G1227" s="9" t="s">
        <v>37</v>
      </c>
      <c r="H1227" s="9" t="s">
        <v>178</v>
      </c>
      <c r="I1227" s="9" t="s">
        <v>178</v>
      </c>
      <c r="J1227" s="55">
        <v>45743</v>
      </c>
      <c r="K1227" s="54" t="s">
        <v>198</v>
      </c>
      <c r="L1227" s="8" t="s">
        <v>124</v>
      </c>
      <c r="M1227" s="8" t="s">
        <v>37</v>
      </c>
      <c r="N1227" s="52" t="str">
        <f>IF(Follow[[#This Row],[DATAATUALIZAÇÃO]]&lt;=Follow[[#This Row],[Prev Entrega]],"Dentro do Prazo","Fora do Prazo")</f>
        <v>Dentro do Prazo</v>
      </c>
      <c r="O12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27/03/2025, referente ao pedido Nº Pedido 1257 Rastreio Pedido 1257, agradecemos a preferência e adoraríamos receber sua avaliação, tendo qualquer dúvida estamos à disposição.
Att
Tem tudo Shop</v>
      </c>
    </row>
    <row r="1228" spans="1:15">
      <c r="A1228" s="52" t="str">
        <f>_xlfn.XLOOKUP(Follow[[#This Row],[CODRASTREIO]],Controle_Pedidos[Cód Rastreamento],Controle_Pedidos[Número Pedido Cliente])</f>
        <v>Pedido 1263</v>
      </c>
      <c r="B1228" s="2" t="s">
        <v>18649</v>
      </c>
      <c r="C1228" s="2" t="str">
        <f>Follow[[#This Row],[CODRASTREIO]]&amp;" B"</f>
        <v>CódRastreio1207 B</v>
      </c>
      <c r="D1228" s="52" t="str">
        <f>_xlfn.XLOOKUP(Follow[[#This Row],[Id Pedido]],Controle_Pedidos[Número Pedido Cliente],Controle_Pedidos[Loja])</f>
        <v>BV</v>
      </c>
      <c r="E1228" s="9">
        <f>_xlfn.XLOOKUP(Follow[[#This Row],[Id Pedido]],Controle_Pedidos[Número Pedido Cliente],Controle_Pedidos[Prazo Entrega])</f>
        <v>45752</v>
      </c>
      <c r="F1228" s="9" t="s">
        <v>19433</v>
      </c>
      <c r="G1228" s="9" t="s">
        <v>37</v>
      </c>
      <c r="H1228" s="9" t="s">
        <v>178</v>
      </c>
      <c r="I1228" s="9" t="s">
        <v>178</v>
      </c>
      <c r="J1228" s="55">
        <v>45743</v>
      </c>
      <c r="K1228" s="54" t="s">
        <v>198</v>
      </c>
      <c r="L1228" s="8" t="s">
        <v>124</v>
      </c>
      <c r="M1228" s="8" t="s">
        <v>37</v>
      </c>
      <c r="N1228" s="52" t="str">
        <f>IF(Follow[[#This Row],[DATAATUALIZAÇÃO]]&lt;=Follow[[#This Row],[Prev Entrega]],"Dentro do Prazo","Fora do Prazo")</f>
        <v>Dentro do Prazo</v>
      </c>
      <c r="O12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27/03/2025, referente ao pedido Nº Pedido 1263 Rastreio Pedido 1263, agradecemos a preferência e adoraríamos receber sua avaliação, tendo qualquer dúvida estamos à disposição.
Att
Tem tudo Shop</v>
      </c>
    </row>
    <row r="1229" spans="1:15">
      <c r="A1229" s="52" t="str">
        <f>_xlfn.XLOOKUP(Follow[[#This Row],[CODRASTREIO]],Controle_Pedidos[Cód Rastreamento],Controle_Pedidos[Número Pedido Cliente])</f>
        <v>Pedido 1298</v>
      </c>
      <c r="B1229" s="2" t="s">
        <v>18682</v>
      </c>
      <c r="C1229" s="2" t="str">
        <f>Follow[[#This Row],[CODRASTREIO]]&amp;" B"</f>
        <v>CódRastreio1240 B</v>
      </c>
      <c r="D1229" s="52" t="str">
        <f>_xlfn.XLOOKUP(Follow[[#This Row],[Id Pedido]],Controle_Pedidos[Número Pedido Cliente],Controle_Pedidos[Loja])</f>
        <v>BV</v>
      </c>
      <c r="E1229" s="9">
        <f>_xlfn.XLOOKUP(Follow[[#This Row],[Id Pedido]],Controle_Pedidos[Número Pedido Cliente],Controle_Pedidos[Prazo Entrega])</f>
        <v>45750</v>
      </c>
      <c r="F1229" s="9" t="s">
        <v>19433</v>
      </c>
      <c r="G1229" s="9" t="s">
        <v>37</v>
      </c>
      <c r="H1229" s="9" t="s">
        <v>178</v>
      </c>
      <c r="I1229" s="9" t="s">
        <v>178</v>
      </c>
      <c r="J1229" s="55">
        <v>45743</v>
      </c>
      <c r="K1229" s="54" t="s">
        <v>198</v>
      </c>
      <c r="L1229" s="8" t="s">
        <v>124</v>
      </c>
      <c r="M1229" s="8" t="s">
        <v>37</v>
      </c>
      <c r="N1229" s="52" t="str">
        <f>IF(Follow[[#This Row],[DATAATUALIZAÇÃO]]&lt;=Follow[[#This Row],[Prev Entrega]],"Dentro do Prazo","Fora do Prazo")</f>
        <v>Dentro do Prazo</v>
      </c>
      <c r="O12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27/03/2025, referente ao pedido Nº Pedido 1298 Rastreio Pedido 1298, agradecemos a preferência e adoraríamos receber sua avaliação, tendo qualquer dúvida estamos à disposição.
Att
Tem tudo Shop</v>
      </c>
    </row>
    <row r="1230" spans="1:15">
      <c r="A1230" s="52" t="str">
        <f>_xlfn.XLOOKUP(Follow[[#This Row],[CODRASTREIO]],Controle_Pedidos[Cód Rastreamento],Controle_Pedidos[Número Pedido Cliente])</f>
        <v>Pedido 1301</v>
      </c>
      <c r="B1230" s="2" t="s">
        <v>18685</v>
      </c>
      <c r="C1230" s="2" t="str">
        <f>Follow[[#This Row],[CODRASTREIO]]&amp;" B"</f>
        <v>CódRastreio1243 B</v>
      </c>
      <c r="D1230" s="52" t="str">
        <f>_xlfn.XLOOKUP(Follow[[#This Row],[Id Pedido]],Controle_Pedidos[Número Pedido Cliente],Controle_Pedidos[Loja])</f>
        <v>BV</v>
      </c>
      <c r="E1230" s="9">
        <f>_xlfn.XLOOKUP(Follow[[#This Row],[Id Pedido]],Controle_Pedidos[Número Pedido Cliente],Controle_Pedidos[Prazo Entrega])</f>
        <v>45759</v>
      </c>
      <c r="F1230" s="9" t="s">
        <v>19433</v>
      </c>
      <c r="G1230" s="9" t="s">
        <v>37</v>
      </c>
      <c r="H1230" s="9" t="s">
        <v>178</v>
      </c>
      <c r="I1230" s="9" t="s">
        <v>178</v>
      </c>
      <c r="J1230" s="9">
        <v>45750</v>
      </c>
      <c r="K1230" s="8" t="s">
        <v>198</v>
      </c>
      <c r="L1230" s="8" t="s">
        <v>124</v>
      </c>
      <c r="M1230" s="8" t="s">
        <v>37</v>
      </c>
      <c r="N1230" s="52" t="str">
        <f>IF(Follow[[#This Row],[DATAATUALIZAÇÃO]]&lt;=Follow[[#This Row],[Prev Entrega]],"Dentro do Prazo","Fora do Prazo")</f>
        <v>Dentro do Prazo</v>
      </c>
      <c r="O12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03/04/2025, referente ao pedido Nº Pedido 1301 Rastreio Pedido 1301, agradecemos a preferência e adoraríamos receber sua avaliação, tendo qualquer dúvida estamos à disposição.
Att
Tem tudo Shop</v>
      </c>
    </row>
    <row r="1231" spans="1:15">
      <c r="A1231" s="52" t="str">
        <f>_xlfn.XLOOKUP(Follow[[#This Row],[CODRASTREIO]],Controle_Pedidos[Cód Rastreamento],Controle_Pedidos[Número Pedido Cliente])</f>
        <v>Pedido 1303</v>
      </c>
      <c r="B1231" s="2" t="s">
        <v>18687</v>
      </c>
      <c r="C1231" s="2" t="str">
        <f>Follow[[#This Row],[CODRASTREIO]]&amp;" B"</f>
        <v>CódRastreio1245 B</v>
      </c>
      <c r="D1231" s="52" t="str">
        <f>_xlfn.XLOOKUP(Follow[[#This Row],[Id Pedido]],Controle_Pedidos[Número Pedido Cliente],Controle_Pedidos[Loja])</f>
        <v>BV</v>
      </c>
      <c r="E1231" s="9">
        <f>_xlfn.XLOOKUP(Follow[[#This Row],[Id Pedido]],Controle_Pedidos[Número Pedido Cliente],Controle_Pedidos[Prazo Entrega])</f>
        <v>45755</v>
      </c>
      <c r="F1231" s="9" t="s">
        <v>19433</v>
      </c>
      <c r="G1231" s="9" t="s">
        <v>37</v>
      </c>
      <c r="H1231" s="9" t="s">
        <v>178</v>
      </c>
      <c r="I1231" s="9" t="s">
        <v>178</v>
      </c>
      <c r="J1231" s="55">
        <v>45744</v>
      </c>
      <c r="K1231" s="54" t="s">
        <v>198</v>
      </c>
      <c r="L1231" s="8" t="s">
        <v>124</v>
      </c>
      <c r="M1231" s="8" t="s">
        <v>37</v>
      </c>
      <c r="N1231" s="52" t="str">
        <f>IF(Follow[[#This Row],[DATAATUALIZAÇÃO]]&lt;=Follow[[#This Row],[Prev Entrega]],"Dentro do Prazo","Fora do Prazo")</f>
        <v>Dentro do Prazo</v>
      </c>
      <c r="O12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Balança foi entregue no dia 28/03/2025, referente ao pedido Nº Pedido 1303 Rastreio Pedido 1303, agradecemos a preferência e adoraríamos receber sua avaliação, tendo qualquer dúvida estamos à disposição.
Att
Tem tudo Shop</v>
      </c>
    </row>
    <row r="1232" spans="1:15">
      <c r="A1232" s="52" t="str">
        <f>_xlfn.XLOOKUP(Follow[[#This Row],[CODRASTREIO]],Controle_Pedidos[Cód Rastreamento],Controle_Pedidos[Número Pedido Cliente])</f>
        <v>Pedido 1189</v>
      </c>
      <c r="B1232" s="2" t="s">
        <v>18598</v>
      </c>
      <c r="C1232" s="2" t="str">
        <f>Follow[[#This Row],[CODRASTREIO]]&amp;" B"</f>
        <v>CódRastreio1156 B</v>
      </c>
      <c r="D1232" s="52" t="str">
        <f>_xlfn.XLOOKUP(Follow[[#This Row],[Id Pedido]],Controle_Pedidos[Número Pedido Cliente],Controle_Pedidos[Loja])</f>
        <v>BV</v>
      </c>
      <c r="E1232" s="9">
        <f>_xlfn.XLOOKUP(Follow[[#This Row],[Id Pedido]],Controle_Pedidos[Número Pedido Cliente],Controle_Pedidos[Prazo Entrega])</f>
        <v>45751</v>
      </c>
      <c r="F1232" s="9" t="s">
        <v>19436</v>
      </c>
      <c r="G1232" s="9" t="s">
        <v>37</v>
      </c>
      <c r="H1232" s="9" t="s">
        <v>179</v>
      </c>
      <c r="I1232" s="9" t="s">
        <v>391</v>
      </c>
      <c r="J1232" s="9">
        <v>45752</v>
      </c>
      <c r="K1232" s="8" t="s">
        <v>198</v>
      </c>
      <c r="L1232" s="8" t="s">
        <v>124</v>
      </c>
      <c r="M1232" s="8" t="s">
        <v>37</v>
      </c>
      <c r="N1232" s="52" t="str">
        <f>IF(Follow[[#This Row],[DATAATUALIZAÇÃO]]&lt;=Follow[[#This Row],[Prev Entrega]],"Dentro do Prazo","Fora do Prazo")</f>
        <v>Fora do Prazo</v>
      </c>
      <c r="O12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05/04/2025, referente ao pedido Nº Pedido 1189 Rastreio Pedido 1189, agradecemos a preferência e adoraríamos receber sua avaliação, tendo qualquer dúvida estamos à disposição.
Att
Tem tudo Shop</v>
      </c>
    </row>
    <row r="1233" spans="1:15">
      <c r="A1233" s="52" t="str">
        <f>_xlfn.XLOOKUP(Follow[[#This Row],[CODRASTREIO]],Controle_Pedidos[Cód Rastreamento],Controle_Pedidos[Número Pedido Cliente])</f>
        <v>Pedido 1183</v>
      </c>
      <c r="B1233" s="2" t="s">
        <v>18596</v>
      </c>
      <c r="C1233" s="2" t="str">
        <f>Follow[[#This Row],[CODRASTREIO]]&amp;" B"</f>
        <v>CódRastreio1154 B</v>
      </c>
      <c r="D1233" s="52" t="str">
        <f>_xlfn.XLOOKUP(Follow[[#This Row],[Id Pedido]],Controle_Pedidos[Número Pedido Cliente],Controle_Pedidos[Loja])</f>
        <v>BV</v>
      </c>
      <c r="E1233" s="9">
        <f>_xlfn.XLOOKUP(Follow[[#This Row],[Id Pedido]],Controle_Pedidos[Número Pedido Cliente],Controle_Pedidos[Prazo Entrega])</f>
        <v>45757</v>
      </c>
      <c r="F1233" s="9" t="s">
        <v>19433</v>
      </c>
      <c r="G1233" s="9" t="s">
        <v>37</v>
      </c>
      <c r="H1233" s="9" t="s">
        <v>179</v>
      </c>
      <c r="I1233" s="9" t="s">
        <v>391</v>
      </c>
      <c r="J1233" s="9">
        <v>45756</v>
      </c>
      <c r="K1233" s="8" t="s">
        <v>198</v>
      </c>
      <c r="L1233" s="8" t="s">
        <v>124</v>
      </c>
      <c r="M1233" s="8" t="s">
        <v>37</v>
      </c>
      <c r="N1233" s="52" t="str">
        <f>IF(Follow[[#This Row],[DATAATUALIZAÇÃO]]&lt;=Follow[[#This Row],[Prev Entrega]],"Dentro do Prazo","Fora do Prazo")</f>
        <v>Dentro do Prazo</v>
      </c>
      <c r="O12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09/04/2025, referente ao pedido Nº Pedido 1183 Rastreio Pedido 1183, agradecemos a preferência e adoraríamos receber sua avaliação, tendo qualquer dúvida estamos à disposição.
Att
Tem tudo Shop</v>
      </c>
    </row>
    <row r="1234" spans="1:15">
      <c r="A1234" s="52" t="str">
        <f>_xlfn.XLOOKUP(Follow[[#This Row],[CODRASTREIO]],Controle_Pedidos[Cód Rastreamento],Controle_Pedidos[Número Pedido Cliente])</f>
        <v>Pedido 1234</v>
      </c>
      <c r="B1234" s="2" t="s">
        <v>18633</v>
      </c>
      <c r="C1234" s="2" t="str">
        <f>Follow[[#This Row],[CODRASTREIO]]&amp;" B"</f>
        <v>CódRastreio1191 B</v>
      </c>
      <c r="D1234" s="52" t="str">
        <f>_xlfn.XLOOKUP(Follow[[#This Row],[Id Pedido]],Controle_Pedidos[Número Pedido Cliente],Controle_Pedidos[Loja])</f>
        <v>BV</v>
      </c>
      <c r="E1234" s="9">
        <f>_xlfn.XLOOKUP(Follow[[#This Row],[Id Pedido]],Controle_Pedidos[Número Pedido Cliente],Controle_Pedidos[Prazo Entrega])</f>
        <v>45751</v>
      </c>
      <c r="F1234" s="9" t="s">
        <v>19433</v>
      </c>
      <c r="G1234" s="9" t="s">
        <v>398</v>
      </c>
      <c r="H1234" s="9" t="s">
        <v>179</v>
      </c>
      <c r="I1234" s="9" t="s">
        <v>178</v>
      </c>
      <c r="J1234" s="9">
        <v>45757</v>
      </c>
      <c r="K1234" s="8" t="s">
        <v>198</v>
      </c>
      <c r="L1234" s="8" t="s">
        <v>124</v>
      </c>
      <c r="M1234" s="8" t="s">
        <v>37</v>
      </c>
      <c r="N1234" s="52" t="str">
        <f>IF(Follow[[#This Row],[DATAATUALIZAÇÃO]]&lt;=Follow[[#This Row],[Prev Entrega]],"Dentro do Prazo","Fora do Prazo")</f>
        <v>Fora do Prazo</v>
      </c>
      <c r="O12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10/04/2025, referente ao pedido Nº Pedido 1234 Rastreio NM772808581BR, agradecemos a preferência e adoraríamos receber sua avaliação, tendo qualquer dúvida estamos à disposição.
Att
Tem tudo Shop</v>
      </c>
    </row>
    <row r="1235" spans="1:15">
      <c r="A1235" s="52" t="str">
        <f>_xlfn.XLOOKUP(Follow[[#This Row],[CODRASTREIO]],Controle_Pedidos[Cód Rastreamento],Controle_Pedidos[Número Pedido Cliente])</f>
        <v>Pedido 1266</v>
      </c>
      <c r="B1235" s="2" t="s">
        <v>18652</v>
      </c>
      <c r="C1235" s="2" t="str">
        <f>Follow[[#This Row],[CODRASTREIO]]&amp;" B"</f>
        <v>CódRastreio1210 B</v>
      </c>
      <c r="D1235" s="52" t="str">
        <f>_xlfn.XLOOKUP(Follow[[#This Row],[Id Pedido]],Controle_Pedidos[Número Pedido Cliente],Controle_Pedidos[Loja])</f>
        <v>MEI</v>
      </c>
      <c r="E1235" s="9">
        <f>_xlfn.XLOOKUP(Follow[[#This Row],[Id Pedido]],Controle_Pedidos[Número Pedido Cliente],Controle_Pedidos[Prazo Entrega])</f>
        <v>45757</v>
      </c>
      <c r="F1235" s="9" t="s">
        <v>19433</v>
      </c>
      <c r="G1235" s="9" t="s">
        <v>399</v>
      </c>
      <c r="H1235" s="9" t="s">
        <v>179</v>
      </c>
      <c r="I1235" s="9" t="s">
        <v>178</v>
      </c>
      <c r="J1235" s="9">
        <v>45749</v>
      </c>
      <c r="K1235" s="8" t="s">
        <v>198</v>
      </c>
      <c r="L1235" s="8" t="s">
        <v>124</v>
      </c>
      <c r="M1235" s="8" t="s">
        <v>37</v>
      </c>
      <c r="N1235" s="52" t="str">
        <f>IF(Follow[[#This Row],[DATAATUALIZAÇÃO]]&lt;=Follow[[#This Row],[Prev Entrega]],"Dentro do Prazo","Fora do Prazo")</f>
        <v>Dentro do Prazo</v>
      </c>
      <c r="O12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02/04/2025, referente ao pedido Nº Pedido 1266 Rastreio NM773195151BR, agradecemos a preferência e adoraríamos receber sua avaliação, tendo qualquer dúvida estamos à disposição.
Att
NTA Variedades</v>
      </c>
    </row>
    <row r="1236" spans="1:15">
      <c r="A1236" s="52" t="str">
        <f>_xlfn.XLOOKUP(Follow[[#This Row],[CODRASTREIO]],Controle_Pedidos[Cód Rastreamento],Controle_Pedidos[Número Pedido Cliente])</f>
        <v>Pedido 1267</v>
      </c>
      <c r="B1236" s="2" t="s">
        <v>18653</v>
      </c>
      <c r="C1236" s="2" t="str">
        <f>Follow[[#This Row],[CODRASTREIO]]&amp;" B"</f>
        <v>CódRastreio1211 B</v>
      </c>
      <c r="D1236" s="52" t="str">
        <f>_xlfn.XLOOKUP(Follow[[#This Row],[Id Pedido]],Controle_Pedidos[Número Pedido Cliente],Controle_Pedidos[Loja])</f>
        <v>MEI</v>
      </c>
      <c r="E1236" s="9">
        <f>_xlfn.XLOOKUP(Follow[[#This Row],[Id Pedido]],Controle_Pedidos[Número Pedido Cliente],Controle_Pedidos[Prazo Entrega])</f>
        <v>45751</v>
      </c>
      <c r="F1236" s="9" t="s">
        <v>19433</v>
      </c>
      <c r="G1236" s="9" t="s">
        <v>400</v>
      </c>
      <c r="H1236" s="9" t="s">
        <v>179</v>
      </c>
      <c r="I1236" s="9" t="s">
        <v>178</v>
      </c>
      <c r="J1236" s="9">
        <v>45756</v>
      </c>
      <c r="K1236" s="8" t="s">
        <v>198</v>
      </c>
      <c r="L1236" s="8" t="s">
        <v>124</v>
      </c>
      <c r="M1236" s="8" t="s">
        <v>37</v>
      </c>
      <c r="N1236" s="52" t="str">
        <f>IF(Follow[[#This Row],[DATAATUALIZAÇÃO]]&lt;=Follow[[#This Row],[Prev Entrega]],"Dentro do Prazo","Fora do Prazo")</f>
        <v>Fora do Prazo</v>
      </c>
      <c r="O12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09/04/2025, referente ao pedido Nº Pedido 1267 Rastreio NM773202714BR, agradecemos a preferência e adoraríamos receber sua avaliação, tendo qualquer dúvida estamos à disposição.
Att
NTA Variedades</v>
      </c>
    </row>
    <row r="1237" spans="1:15">
      <c r="A1237" s="52" t="str">
        <f>_xlfn.XLOOKUP(Follow[[#This Row],[CODRASTREIO]],Controle_Pedidos[Cód Rastreamento],Controle_Pedidos[Número Pedido Cliente])</f>
        <v>Pedido 1272</v>
      </c>
      <c r="B1237" s="2" t="s">
        <v>18656</v>
      </c>
      <c r="C1237" s="2" t="str">
        <f>Follow[[#This Row],[CODRASTREIO]]&amp;" B"</f>
        <v>CódRastreio1214 B</v>
      </c>
      <c r="D1237" s="52" t="str">
        <f>_xlfn.XLOOKUP(Follow[[#This Row],[Id Pedido]],Controle_Pedidos[Número Pedido Cliente],Controle_Pedidos[Loja])</f>
        <v>MEI</v>
      </c>
      <c r="E1237" s="9">
        <f>_xlfn.XLOOKUP(Follow[[#This Row],[Id Pedido]],Controle_Pedidos[Número Pedido Cliente],Controle_Pedidos[Prazo Entrega])</f>
        <v>45749</v>
      </c>
      <c r="F1237" s="9" t="s">
        <v>19433</v>
      </c>
      <c r="G1237" s="9" t="s">
        <v>401</v>
      </c>
      <c r="H1237" s="9" t="s">
        <v>179</v>
      </c>
      <c r="I1237" s="9" t="s">
        <v>178</v>
      </c>
      <c r="J1237" s="9">
        <v>45747</v>
      </c>
      <c r="K1237" s="8" t="s">
        <v>198</v>
      </c>
      <c r="L1237" s="8" t="s">
        <v>124</v>
      </c>
      <c r="M1237" s="8" t="s">
        <v>37</v>
      </c>
      <c r="N1237" s="52" t="str">
        <f>IF(Follow[[#This Row],[DATAATUALIZAÇÃO]]&lt;=Follow[[#This Row],[Prev Entrega]],"Dentro do Prazo","Fora do Prazo")</f>
        <v>Dentro do Prazo</v>
      </c>
      <c r="O12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31/03/2025, referente ao pedido Nº Pedido 1272 Rastreio NM773250547BR, agradecemos a preferência e adoraríamos receber sua avaliação, tendo qualquer dúvida estamos à disposição.
Att
NTA Variedades</v>
      </c>
    </row>
    <row r="1238" spans="1:15">
      <c r="A1238" s="52" t="str">
        <f>_xlfn.XLOOKUP(Follow[[#This Row],[CODRASTREIO]],Controle_Pedidos[Cód Rastreamento],Controle_Pedidos[Número Pedido Cliente])</f>
        <v>Pedido 1300</v>
      </c>
      <c r="B1238" s="2" t="s">
        <v>18684</v>
      </c>
      <c r="C1238" s="2" t="str">
        <f>Follow[[#This Row],[CODRASTREIO]]&amp;" B"</f>
        <v>CódRastreio1242 B</v>
      </c>
      <c r="D1238" s="52" t="str">
        <f>_xlfn.XLOOKUP(Follow[[#This Row],[Id Pedido]],Controle_Pedidos[Número Pedido Cliente],Controle_Pedidos[Loja])</f>
        <v>BV</v>
      </c>
      <c r="E1238" s="9">
        <f>_xlfn.XLOOKUP(Follow[[#This Row],[Id Pedido]],Controle_Pedidos[Número Pedido Cliente],Controle_Pedidos[Prazo Entrega])</f>
        <v>45765</v>
      </c>
      <c r="F1238" s="9" t="s">
        <v>19433</v>
      </c>
      <c r="G1238" s="9" t="s">
        <v>402</v>
      </c>
      <c r="H1238" s="9" t="s">
        <v>179</v>
      </c>
      <c r="I1238" s="9" t="s">
        <v>178</v>
      </c>
      <c r="J1238" s="9">
        <v>45779</v>
      </c>
      <c r="K1238" s="8" t="s">
        <v>198</v>
      </c>
      <c r="L1238" s="8" t="s">
        <v>124</v>
      </c>
      <c r="M1238" s="8" t="s">
        <v>37</v>
      </c>
      <c r="N1238" s="52" t="str">
        <f>IF(Follow[[#This Row],[DATAATUALIZAÇÃO]]&lt;=Follow[[#This Row],[Prev Entrega]],"Dentro do Prazo","Fora do Prazo")</f>
        <v>Fora do Prazo</v>
      </c>
      <c r="O12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02/05/2025, referente ao pedido Nº Pedido 1300 Rastreio NM773100352BR, agradecemos a preferência e adoraríamos receber sua avaliação, tendo qualquer dúvida estamos à disposição.
Att
Tem tudo Shop</v>
      </c>
    </row>
    <row r="1239" spans="1:15">
      <c r="A1239" s="52" t="str">
        <f>_xlfn.XLOOKUP(Follow[[#This Row],[CODRASTREIO]],Controle_Pedidos[Cód Rastreamento],Controle_Pedidos[Número Pedido Cliente])</f>
        <v>Pedido 1304</v>
      </c>
      <c r="B1239" s="2" t="s">
        <v>18688</v>
      </c>
      <c r="C1239" s="2" t="str">
        <f>Follow[[#This Row],[CODRASTREIO]]&amp;" B"</f>
        <v>CódRastreio1246 B</v>
      </c>
      <c r="D1239" s="52" t="str">
        <f>_xlfn.XLOOKUP(Follow[[#This Row],[Id Pedido]],Controle_Pedidos[Número Pedido Cliente],Controle_Pedidos[Loja])</f>
        <v>BV</v>
      </c>
      <c r="E1239" s="9">
        <f>_xlfn.XLOOKUP(Follow[[#This Row],[Id Pedido]],Controle_Pedidos[Número Pedido Cliente],Controle_Pedidos[Prazo Entrega])</f>
        <v>45755</v>
      </c>
      <c r="F1239" s="9" t="s">
        <v>19433</v>
      </c>
      <c r="G1239" s="9" t="s">
        <v>403</v>
      </c>
      <c r="H1239" s="9" t="s">
        <v>179</v>
      </c>
      <c r="I1239" s="9" t="s">
        <v>178</v>
      </c>
      <c r="J1239" s="9">
        <v>45754</v>
      </c>
      <c r="K1239" s="8" t="s">
        <v>198</v>
      </c>
      <c r="L1239" s="8" t="s">
        <v>124</v>
      </c>
      <c r="M1239" s="8" t="s">
        <v>37</v>
      </c>
      <c r="N1239" s="52" t="str">
        <f>IF(Follow[[#This Row],[DATAATUALIZAÇÃO]]&lt;=Follow[[#This Row],[Prev Entrega]],"Dentro do Prazo","Fora do Prazo")</f>
        <v>Dentro do Prazo</v>
      </c>
      <c r="O12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07/04/2025, referente ao pedido Nº Pedido 1304 Rastreio NM773142998BR, agradecemos a preferência e adoraríamos receber sua avaliação, tendo qualquer dúvida estamos à disposição.
Att
Tem tudo Shop</v>
      </c>
    </row>
    <row r="1240" spans="1:15">
      <c r="A1240" s="52" t="str">
        <f>_xlfn.XLOOKUP(Follow[[#This Row],[CODRASTREIO]],Controle_Pedidos[Cód Rastreamento],Controle_Pedidos[Número Pedido Cliente])</f>
        <v>Pedido 1273</v>
      </c>
      <c r="B1240" s="2" t="s">
        <v>18657</v>
      </c>
      <c r="C1240" s="2" t="str">
        <f>Follow[[#This Row],[CODRASTREIO]]&amp;" B"</f>
        <v>CódRastreio1215 B</v>
      </c>
      <c r="D1240" s="52" t="str">
        <f>_xlfn.XLOOKUP(Follow[[#This Row],[Id Pedido]],Controle_Pedidos[Número Pedido Cliente],Controle_Pedidos[Loja])</f>
        <v>MEI</v>
      </c>
      <c r="E1240" s="9">
        <f>_xlfn.XLOOKUP(Follow[[#This Row],[Id Pedido]],Controle_Pedidos[Número Pedido Cliente],Controle_Pedidos[Prazo Entrega])</f>
        <v>45757</v>
      </c>
      <c r="F1240" s="9" t="s">
        <v>19433</v>
      </c>
      <c r="G1240" s="9" t="s">
        <v>404</v>
      </c>
      <c r="H1240" s="9" t="s">
        <v>179</v>
      </c>
      <c r="I1240" s="9" t="s">
        <v>178</v>
      </c>
      <c r="J1240" s="9">
        <v>45762</v>
      </c>
      <c r="K1240" s="8" t="s">
        <v>198</v>
      </c>
      <c r="L1240" s="8" t="s">
        <v>124</v>
      </c>
      <c r="M1240" s="8" t="s">
        <v>37</v>
      </c>
      <c r="N1240" s="52" t="str">
        <f>IF(Follow[[#This Row],[DATAATUALIZAÇÃO]]&lt;=Follow[[#This Row],[Prev Entrega]],"Dentro do Prazo","Fora do Prazo")</f>
        <v>Fora do Prazo</v>
      </c>
      <c r="O124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15/04/2025, referente ao pedido Nº Pedido 1273 Rastreio NM774045900BR, agradecemos a preferência e adoraríamos receber sua avaliação, tendo qualquer dúvida estamos à disposição.
Att
NTA Variedades</v>
      </c>
    </row>
    <row r="1241" spans="1:15">
      <c r="A1241" s="52" t="str">
        <f>_xlfn.XLOOKUP(Follow[[#This Row],[CODRASTREIO]],Controle_Pedidos[Cód Rastreamento],Controle_Pedidos[Número Pedido Cliente])</f>
        <v>Pedido 1274</v>
      </c>
      <c r="B1241" s="2" t="s">
        <v>18658</v>
      </c>
      <c r="C1241" s="2" t="str">
        <f>Follow[[#This Row],[CODRASTREIO]]&amp;" B"</f>
        <v>CódRastreio1216 B</v>
      </c>
      <c r="D1241" s="52" t="str">
        <f>_xlfn.XLOOKUP(Follow[[#This Row],[Id Pedido]],Controle_Pedidos[Número Pedido Cliente],Controle_Pedidos[Loja])</f>
        <v>MEI</v>
      </c>
      <c r="E1241" s="9">
        <f>_xlfn.XLOOKUP(Follow[[#This Row],[Id Pedido]],Controle_Pedidos[Número Pedido Cliente],Controle_Pedidos[Prazo Entrega])</f>
        <v>45751</v>
      </c>
      <c r="F1241" s="9" t="s">
        <v>19433</v>
      </c>
      <c r="G1241" s="9" t="s">
        <v>405</v>
      </c>
      <c r="H1241" s="9" t="s">
        <v>179</v>
      </c>
      <c r="I1241" s="9" t="s">
        <v>178</v>
      </c>
      <c r="J1241" s="9">
        <v>45751</v>
      </c>
      <c r="K1241" s="8" t="s">
        <v>198</v>
      </c>
      <c r="L1241" s="8" t="s">
        <v>124</v>
      </c>
      <c r="M1241" s="8" t="s">
        <v>37</v>
      </c>
      <c r="N1241" s="52" t="str">
        <f>IF(Follow[[#This Row],[DATAATUALIZAÇÃO]]&lt;=Follow[[#This Row],[Prev Entrega]],"Dentro do Prazo","Fora do Prazo")</f>
        <v>Dentro do Prazo</v>
      </c>
      <c r="O12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04/04/2025, referente ao pedido Nº Pedido 1274 Rastreio NM774052450BR, agradecemos a preferência e adoraríamos receber sua avaliação, tendo qualquer dúvida estamos à disposição.
Att
NTA Variedades</v>
      </c>
    </row>
    <row r="1242" spans="1:15">
      <c r="A1242" s="52" t="str">
        <f>_xlfn.XLOOKUP(Follow[[#This Row],[CODRASTREIO]],Controle_Pedidos[Cód Rastreamento],Controle_Pedidos[Número Pedido Cliente])</f>
        <v>Pedido 1277</v>
      </c>
      <c r="B1242" s="2" t="s">
        <v>18661</v>
      </c>
      <c r="C1242" s="2" t="str">
        <f>Follow[[#This Row],[CODRASTREIO]]&amp;" B"</f>
        <v>CódRastreio1219 B</v>
      </c>
      <c r="D1242" s="52" t="str">
        <f>_xlfn.XLOOKUP(Follow[[#This Row],[Id Pedido]],Controle_Pedidos[Número Pedido Cliente],Controle_Pedidos[Loja])</f>
        <v>MEI</v>
      </c>
      <c r="E1242" s="9">
        <f>_xlfn.XLOOKUP(Follow[[#This Row],[Id Pedido]],Controle_Pedidos[Número Pedido Cliente],Controle_Pedidos[Prazo Entrega])</f>
        <v>45757</v>
      </c>
      <c r="F1242" s="9" t="s">
        <v>19433</v>
      </c>
      <c r="G1242" s="9" t="s">
        <v>406</v>
      </c>
      <c r="H1242" s="9" t="s">
        <v>179</v>
      </c>
      <c r="I1242" s="9" t="s">
        <v>178</v>
      </c>
      <c r="J1242" s="9">
        <v>45748</v>
      </c>
      <c r="K1242" s="8" t="s">
        <v>198</v>
      </c>
      <c r="L1242" s="8" t="s">
        <v>124</v>
      </c>
      <c r="M1242" s="8" t="s">
        <v>37</v>
      </c>
      <c r="N1242" s="52" t="str">
        <f>IF(Follow[[#This Row],[DATAATUALIZAÇÃO]]&lt;=Follow[[#This Row],[Prev Entrega]],"Dentro do Prazo","Fora do Prazo")</f>
        <v>Dentro do Prazo</v>
      </c>
      <c r="O12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01/04/2025, referente ao pedido Nº Pedido 1277 Rastreio NM774057488BR, agradecemos a preferência e adoraríamos receber sua avaliação, tendo qualquer dúvida estamos à disposição.
Att
NTA Variedades</v>
      </c>
    </row>
    <row r="1243" spans="1:15">
      <c r="A1243" s="52" t="str">
        <f>_xlfn.XLOOKUP(Follow[[#This Row],[CODRASTREIO]],Controle_Pedidos[Cód Rastreamento],Controle_Pedidos[Número Pedido Cliente])</f>
        <v>Pedido 1278</v>
      </c>
      <c r="B1243" s="2" t="s">
        <v>18662</v>
      </c>
      <c r="C1243" s="2" t="str">
        <f>Follow[[#This Row],[CODRASTREIO]]&amp;" B"</f>
        <v>CódRastreio1220 B</v>
      </c>
      <c r="D1243" s="52" t="str">
        <f>_xlfn.XLOOKUP(Follow[[#This Row],[Id Pedido]],Controle_Pedidos[Número Pedido Cliente],Controle_Pedidos[Loja])</f>
        <v>MEI</v>
      </c>
      <c r="E1243" s="9">
        <f>_xlfn.XLOOKUP(Follow[[#This Row],[Id Pedido]],Controle_Pedidos[Número Pedido Cliente],Controle_Pedidos[Prazo Entrega])</f>
        <v>45751</v>
      </c>
      <c r="F1243" s="9" t="s">
        <v>19433</v>
      </c>
      <c r="G1243" s="9" t="s">
        <v>407</v>
      </c>
      <c r="H1243" s="9" t="s">
        <v>179</v>
      </c>
      <c r="I1243" s="9" t="s">
        <v>178</v>
      </c>
      <c r="J1243" s="9">
        <v>45750</v>
      </c>
      <c r="K1243" s="8" t="s">
        <v>198</v>
      </c>
      <c r="L1243" s="8" t="s">
        <v>124</v>
      </c>
      <c r="M1243" s="8" t="s">
        <v>37</v>
      </c>
      <c r="N1243" s="52" t="str">
        <f>IF(Follow[[#This Row],[DATAATUALIZAÇÃO]]&lt;=Follow[[#This Row],[Prev Entrega]],"Dentro do Prazo","Fora do Prazo")</f>
        <v>Dentro do Prazo</v>
      </c>
      <c r="O12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03/04/2025, referente ao pedido Nº Pedido 1278 Rastreio NM774062721BR, agradecemos a preferência e adoraríamos receber sua avaliação, tendo qualquer dúvida estamos à disposição.
Att
NTA Variedades</v>
      </c>
    </row>
    <row r="1244" spans="1:15">
      <c r="A1244" s="52" t="str">
        <f>_xlfn.XLOOKUP(Follow[[#This Row],[CODRASTREIO]],Controle_Pedidos[Cód Rastreamento],Controle_Pedidos[Número Pedido Cliente])</f>
        <v>Pedido 1279</v>
      </c>
      <c r="B1244" s="2" t="s">
        <v>18663</v>
      </c>
      <c r="C1244" s="2" t="str">
        <f>Follow[[#This Row],[CODRASTREIO]]&amp;" B"</f>
        <v>CódRastreio1221 B</v>
      </c>
      <c r="D1244" s="52" t="str">
        <f>_xlfn.XLOOKUP(Follow[[#This Row],[Id Pedido]],Controle_Pedidos[Número Pedido Cliente],Controle_Pedidos[Loja])</f>
        <v>MEI</v>
      </c>
      <c r="E1244" s="9">
        <f>_xlfn.XLOOKUP(Follow[[#This Row],[Id Pedido]],Controle_Pedidos[Número Pedido Cliente],Controle_Pedidos[Prazo Entrega])</f>
        <v>45749</v>
      </c>
      <c r="F1244" s="9" t="s">
        <v>19433</v>
      </c>
      <c r="G1244" s="9" t="s">
        <v>408</v>
      </c>
      <c r="H1244" s="9" t="s">
        <v>179</v>
      </c>
      <c r="I1244" s="9" t="s">
        <v>178</v>
      </c>
      <c r="J1244" s="9">
        <v>45754</v>
      </c>
      <c r="K1244" s="8" t="s">
        <v>198</v>
      </c>
      <c r="L1244" s="8" t="s">
        <v>124</v>
      </c>
      <c r="M1244" s="8" t="s">
        <v>37</v>
      </c>
      <c r="N1244" s="52" t="str">
        <f>IF(Follow[[#This Row],[DATAATUALIZAÇÃO]]&lt;=Follow[[#This Row],[Prev Entrega]],"Dentro do Prazo","Fora do Prazo")</f>
        <v>Fora do Prazo</v>
      </c>
      <c r="O12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1279 Rastreio NM774088233BR, agradecemos a preferência e adoraríamos receber sua avaliação, tendo qualquer dúvida estamos à disposição.
Att
NTA Variedades</v>
      </c>
    </row>
    <row r="1245" spans="1:15">
      <c r="A1245" s="52" t="str">
        <f>_xlfn.XLOOKUP(Follow[[#This Row],[CODRASTREIO]],Controle_Pedidos[Cód Rastreamento],Controle_Pedidos[Número Pedido Cliente])</f>
        <v>Pedido 1281</v>
      </c>
      <c r="B1245" s="2" t="s">
        <v>18665</v>
      </c>
      <c r="C1245" s="2" t="str">
        <f>Follow[[#This Row],[CODRASTREIO]]&amp;" B"</f>
        <v>CódRastreio1223 B</v>
      </c>
      <c r="D1245" s="52" t="str">
        <f>_xlfn.XLOOKUP(Follow[[#This Row],[Id Pedido]],Controle_Pedidos[Número Pedido Cliente],Controle_Pedidos[Loja])</f>
        <v>MEI</v>
      </c>
      <c r="E1245" s="9">
        <f>_xlfn.XLOOKUP(Follow[[#This Row],[Id Pedido]],Controle_Pedidos[Número Pedido Cliente],Controle_Pedidos[Prazo Entrega])</f>
        <v>45757</v>
      </c>
      <c r="F1245" s="9" t="s">
        <v>19433</v>
      </c>
      <c r="G1245" s="9" t="s">
        <v>409</v>
      </c>
      <c r="H1245" s="9" t="s">
        <v>179</v>
      </c>
      <c r="I1245" s="9" t="s">
        <v>178</v>
      </c>
      <c r="J1245" s="9">
        <v>45749</v>
      </c>
      <c r="K1245" s="8" t="s">
        <v>198</v>
      </c>
      <c r="L1245" s="8" t="s">
        <v>124</v>
      </c>
      <c r="M1245" s="8" t="s">
        <v>37</v>
      </c>
      <c r="N1245" s="52" t="str">
        <f>IF(Follow[[#This Row],[DATAATUALIZAÇÃO]]&lt;=Follow[[#This Row],[Prev Entrega]],"Dentro do Prazo","Fora do Prazo")</f>
        <v>Dentro do Prazo</v>
      </c>
      <c r="O12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02/04/2025, referente ao pedido Nº Pedido 1281 Rastreio NM774080209BR, agradecemos a preferência e adoraríamos receber sua avaliação, tendo qualquer dúvida estamos à disposição.
Att
NTA Variedades</v>
      </c>
    </row>
    <row r="1246" spans="1:15">
      <c r="A1246" s="52" t="str">
        <f>_xlfn.XLOOKUP(Follow[[#This Row],[CODRASTREIO]],Controle_Pedidos[Cód Rastreamento],Controle_Pedidos[Número Pedido Cliente])</f>
        <v>Pedido 1282</v>
      </c>
      <c r="B1246" s="2" t="s">
        <v>18666</v>
      </c>
      <c r="C1246" s="2" t="str">
        <f>Follow[[#This Row],[CODRASTREIO]]&amp;" B"</f>
        <v>CódRastreio1224 B</v>
      </c>
      <c r="D1246" s="52" t="str">
        <f>_xlfn.XLOOKUP(Follow[[#This Row],[Id Pedido]],Controle_Pedidos[Número Pedido Cliente],Controle_Pedidos[Loja])</f>
        <v>MEI</v>
      </c>
      <c r="E1246" s="9">
        <f>_xlfn.XLOOKUP(Follow[[#This Row],[Id Pedido]],Controle_Pedidos[Número Pedido Cliente],Controle_Pedidos[Prazo Entrega])</f>
        <v>45758</v>
      </c>
      <c r="F1246" s="9" t="s">
        <v>19433</v>
      </c>
      <c r="G1246" s="9" t="s">
        <v>410</v>
      </c>
      <c r="H1246" s="9" t="s">
        <v>179</v>
      </c>
      <c r="I1246" s="9" t="s">
        <v>178</v>
      </c>
      <c r="J1246" s="9">
        <v>45751</v>
      </c>
      <c r="K1246" s="8" t="s">
        <v>198</v>
      </c>
      <c r="L1246" s="8" t="s">
        <v>124</v>
      </c>
      <c r="M1246" s="8" t="s">
        <v>37</v>
      </c>
      <c r="N1246" s="52" t="str">
        <f>IF(Follow[[#This Row],[DATAATUALIZAÇÃO]]&lt;=Follow[[#This Row],[Prev Entrega]],"Dentro do Prazo","Fora do Prazo")</f>
        <v>Dentro do Prazo</v>
      </c>
      <c r="O12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04/04/2025, referente ao pedido Nº Pedido 1282 Rastreio NM774100331BR, agradecemos a preferência e adoraríamos receber sua avaliação, tendo qualquer dúvida estamos à disposição.
Att
NTA Variedades</v>
      </c>
    </row>
    <row r="1247" spans="1:15">
      <c r="A1247" s="52" t="str">
        <f>_xlfn.XLOOKUP(Follow[[#This Row],[CODRASTREIO]],Controle_Pedidos[Cód Rastreamento],Controle_Pedidos[Número Pedido Cliente])</f>
        <v>Pedido 1283</v>
      </c>
      <c r="B1247" s="2" t="s">
        <v>18667</v>
      </c>
      <c r="C1247" s="2" t="str">
        <f>Follow[[#This Row],[CODRASTREIO]]&amp;" B"</f>
        <v>CódRastreio1225 B</v>
      </c>
      <c r="D1247" s="52" t="str">
        <f>_xlfn.XLOOKUP(Follow[[#This Row],[Id Pedido]],Controle_Pedidos[Número Pedido Cliente],Controle_Pedidos[Loja])</f>
        <v>MEI</v>
      </c>
      <c r="E1247" s="9">
        <f>_xlfn.XLOOKUP(Follow[[#This Row],[Id Pedido]],Controle_Pedidos[Número Pedido Cliente],Controle_Pedidos[Prazo Entrega])</f>
        <v>45758</v>
      </c>
      <c r="F1247" s="9" t="s">
        <v>19433</v>
      </c>
      <c r="G1247" s="9" t="s">
        <v>411</v>
      </c>
      <c r="H1247" s="9" t="s">
        <v>179</v>
      </c>
      <c r="I1247" s="9" t="s">
        <v>178</v>
      </c>
      <c r="J1247" s="9">
        <v>45762</v>
      </c>
      <c r="K1247" s="8" t="s">
        <v>198</v>
      </c>
      <c r="L1247" s="8" t="s">
        <v>124</v>
      </c>
      <c r="M1247" s="8" t="s">
        <v>208</v>
      </c>
      <c r="N1247" s="52" t="str">
        <f>IF(Follow[[#This Row],[DATAATUALIZAÇÃO]]&lt;=Follow[[#This Row],[Prev Entrega]],"Dentro do Prazo","Fora do Prazo")</f>
        <v>Fora do Prazo</v>
      </c>
      <c r="O124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15/04/2025, referente ao pedido Nº Pedido 1283 Rastreio NM774105515BR, agradecemos a preferência e adoraríamos receber sua avaliação, tendo qualquer dúvida estamos à disposição.
Att
NTA Variedades</v>
      </c>
    </row>
    <row r="1248" spans="1:15">
      <c r="A1248" s="52" t="str">
        <f>_xlfn.XLOOKUP(Follow[[#This Row],[CODRASTREIO]],Controle_Pedidos[Cód Rastreamento],Controle_Pedidos[Número Pedido Cliente])</f>
        <v>Pedido 1286</v>
      </c>
      <c r="B1248" s="2" t="s">
        <v>18670</v>
      </c>
      <c r="C1248" s="2" t="str">
        <f>Follow[[#This Row],[CODRASTREIO]]&amp;" B"</f>
        <v>CódRastreio1228 B</v>
      </c>
      <c r="D1248" s="52" t="str">
        <f>_xlfn.XLOOKUP(Follow[[#This Row],[Id Pedido]],Controle_Pedidos[Número Pedido Cliente],Controle_Pedidos[Loja])</f>
        <v>MEI</v>
      </c>
      <c r="E1248" s="9">
        <f>_xlfn.XLOOKUP(Follow[[#This Row],[Id Pedido]],Controle_Pedidos[Número Pedido Cliente],Controle_Pedidos[Prazo Entrega])</f>
        <v>45752</v>
      </c>
      <c r="F1248" s="9" t="s">
        <v>19433</v>
      </c>
      <c r="G1248" s="9" t="s">
        <v>412</v>
      </c>
      <c r="H1248" s="9" t="s">
        <v>179</v>
      </c>
      <c r="I1248" s="9" t="s">
        <v>178</v>
      </c>
      <c r="J1248" s="9">
        <v>45762</v>
      </c>
      <c r="K1248" s="8" t="s">
        <v>198</v>
      </c>
      <c r="L1248" s="8" t="s">
        <v>124</v>
      </c>
      <c r="M1248" s="8" t="s">
        <v>37</v>
      </c>
      <c r="N1248" s="52" t="str">
        <f>IF(Follow[[#This Row],[DATAATUALIZAÇÃO]]&lt;=Follow[[#This Row],[Prev Entrega]],"Dentro do Prazo","Fora do Prazo")</f>
        <v>Fora do Prazo</v>
      </c>
      <c r="O12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15/04/2025, referente ao pedido Nº Pedido 1286 Rastreio NM774162945BR, agradecemos a preferência e adoraríamos receber sua avaliação, tendo qualquer dúvida estamos à disposição.
Att
NTA Variedades</v>
      </c>
    </row>
    <row r="1249" spans="1:15">
      <c r="A1249" s="52" t="str">
        <f>_xlfn.XLOOKUP(Follow[[#This Row],[CODRASTREIO]],Controle_Pedidos[Cód Rastreamento],Controle_Pedidos[Número Pedido Cliente])</f>
        <v>Pedido 1290</v>
      </c>
      <c r="B1249" s="2" t="s">
        <v>18674</v>
      </c>
      <c r="C1249" s="2" t="str">
        <f>Follow[[#This Row],[CODRASTREIO]]&amp;" B"</f>
        <v>CódRastreio1232 B</v>
      </c>
      <c r="D1249" s="52" t="str">
        <f>_xlfn.XLOOKUP(Follow[[#This Row],[Id Pedido]],Controle_Pedidos[Número Pedido Cliente],Controle_Pedidos[Loja])</f>
        <v>MEI</v>
      </c>
      <c r="E1249" s="9">
        <f>_xlfn.XLOOKUP(Follow[[#This Row],[Id Pedido]],Controle_Pedidos[Número Pedido Cliente],Controle_Pedidos[Prazo Entrega])</f>
        <v>45752</v>
      </c>
      <c r="F1249" s="9" t="s">
        <v>19433</v>
      </c>
      <c r="G1249" s="9" t="s">
        <v>413</v>
      </c>
      <c r="H1249" s="9" t="s">
        <v>179</v>
      </c>
      <c r="I1249" s="9" t="s">
        <v>178</v>
      </c>
      <c r="J1249" s="9">
        <v>45747</v>
      </c>
      <c r="K1249" s="8" t="s">
        <v>198</v>
      </c>
      <c r="L1249" s="8" t="s">
        <v>124</v>
      </c>
      <c r="M1249" s="8" t="s">
        <v>37</v>
      </c>
      <c r="N1249" s="52" t="str">
        <f>IF(Follow[[#This Row],[DATAATUALIZAÇÃO]]&lt;=Follow[[#This Row],[Prev Entrega]],"Dentro do Prazo","Fora do Prazo")</f>
        <v>Dentro do Prazo</v>
      </c>
      <c r="O12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31/03/2025, referente ao pedido Nº Pedido 1290 Rastreio NM774207810BR, agradecemos a preferência e adoraríamos receber sua avaliação, tendo qualquer dúvida estamos à disposição.
Att
NTA Variedades</v>
      </c>
    </row>
    <row r="1250" spans="1:15">
      <c r="A1250" s="52" t="str">
        <f>_xlfn.XLOOKUP(Follow[[#This Row],[CODRASTREIO]],Controle_Pedidos[Cód Rastreamento],Controle_Pedidos[Número Pedido Cliente])</f>
        <v>Pedido 1293</v>
      </c>
      <c r="B1250" s="2" t="s">
        <v>18677</v>
      </c>
      <c r="C1250" s="2" t="str">
        <f>Follow[[#This Row],[CODRASTREIO]]&amp;" B"</f>
        <v>CódRastreio1235 B</v>
      </c>
      <c r="D1250" s="52" t="str">
        <f>_xlfn.XLOOKUP(Follow[[#This Row],[Id Pedido]],Controle_Pedidos[Número Pedido Cliente],Controle_Pedidos[Loja])</f>
        <v>MEI</v>
      </c>
      <c r="E1250" s="9">
        <f>_xlfn.XLOOKUP(Follow[[#This Row],[Id Pedido]],Controle_Pedidos[Número Pedido Cliente],Controle_Pedidos[Prazo Entrega])</f>
        <v>45758</v>
      </c>
      <c r="F1250" s="9" t="s">
        <v>19433</v>
      </c>
      <c r="G1250" s="9" t="s">
        <v>414</v>
      </c>
      <c r="H1250" s="9" t="s">
        <v>179</v>
      </c>
      <c r="I1250" s="9" t="s">
        <v>178</v>
      </c>
      <c r="J1250" s="9">
        <v>45762</v>
      </c>
      <c r="K1250" s="8" t="s">
        <v>198</v>
      </c>
      <c r="L1250" s="8" t="s">
        <v>124</v>
      </c>
      <c r="M1250" s="8" t="s">
        <v>37</v>
      </c>
      <c r="N1250" s="52" t="str">
        <f>IF(Follow[[#This Row],[DATAATUALIZAÇÃO]]&lt;=Follow[[#This Row],[Prev Entrega]],"Dentro do Prazo","Fora do Prazo")</f>
        <v>Fora do Prazo</v>
      </c>
      <c r="O12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15/04/2025, referente ao pedido Nº Pedido 1293 Rastreio NM774219115BR, agradecemos a preferência e adoraríamos receber sua avaliação, tendo qualquer dúvida estamos à disposição.
Att
NTA Variedades</v>
      </c>
    </row>
    <row r="1251" spans="1:15">
      <c r="A1251" s="52" t="str">
        <f>_xlfn.XLOOKUP(Follow[[#This Row],[CODRASTREIO]],Controle_Pedidos[Cód Rastreamento],Controle_Pedidos[Número Pedido Cliente])</f>
        <v>Pedido 1295</v>
      </c>
      <c r="B1251" s="2" t="s">
        <v>18679</v>
      </c>
      <c r="C1251" s="2" t="str">
        <f>Follow[[#This Row],[CODRASTREIO]]&amp;" B"</f>
        <v>CódRastreio1237 B</v>
      </c>
      <c r="D1251" s="52" t="str">
        <f>_xlfn.XLOOKUP(Follow[[#This Row],[Id Pedido]],Controle_Pedidos[Número Pedido Cliente],Controle_Pedidos[Loja])</f>
        <v>MEI</v>
      </c>
      <c r="E1251" s="9">
        <f>_xlfn.XLOOKUP(Follow[[#This Row],[Id Pedido]],Controle_Pedidos[Número Pedido Cliente],Controle_Pedidos[Prazo Entrega])</f>
        <v>45752</v>
      </c>
      <c r="F1251" s="9" t="s">
        <v>19433</v>
      </c>
      <c r="G1251" s="9" t="s">
        <v>415</v>
      </c>
      <c r="H1251" s="9" t="s">
        <v>179</v>
      </c>
      <c r="I1251" s="9" t="s">
        <v>178</v>
      </c>
      <c r="J1251" s="9">
        <v>45748</v>
      </c>
      <c r="K1251" s="8" t="s">
        <v>198</v>
      </c>
      <c r="L1251" s="8" t="s">
        <v>124</v>
      </c>
      <c r="M1251" s="8" t="s">
        <v>37</v>
      </c>
      <c r="N1251" s="52" t="str">
        <f>IF(Follow[[#This Row],[DATAATUALIZAÇÃO]]&lt;=Follow[[#This Row],[Prev Entrega]],"Dentro do Prazo","Fora do Prazo")</f>
        <v>Dentro do Prazo</v>
      </c>
      <c r="O12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01/04/2025, referente ao pedido Nº Pedido 1295 Rastreio NM774110682BR, agradecemos a preferência e adoraríamos receber sua avaliação, tendo qualquer dúvida estamos à disposição.
Att
NTA Variedades</v>
      </c>
    </row>
    <row r="1252" spans="1:15">
      <c r="A1252" s="52" t="str">
        <f>_xlfn.XLOOKUP(Follow[[#This Row],[CODRASTREIO]],Controle_Pedidos[Cód Rastreamento],Controle_Pedidos[Número Pedido Cliente])</f>
        <v>Pedido 1305</v>
      </c>
      <c r="B1252" s="2" t="s">
        <v>18689</v>
      </c>
      <c r="C1252" s="2" t="str">
        <f>Follow[[#This Row],[CODRASTREIO]]&amp;" B"</f>
        <v>CódRastreio1247 B</v>
      </c>
      <c r="D1252" s="52" t="str">
        <f>_xlfn.XLOOKUP(Follow[[#This Row],[Id Pedido]],Controle_Pedidos[Número Pedido Cliente],Controle_Pedidos[Loja])</f>
        <v>MEI</v>
      </c>
      <c r="E1252" s="9">
        <f>_xlfn.XLOOKUP(Follow[[#This Row],[Id Pedido]],Controle_Pedidos[Número Pedido Cliente],Controle_Pedidos[Prazo Entrega])</f>
        <v>45765</v>
      </c>
      <c r="F1252" s="9" t="s">
        <v>19433</v>
      </c>
      <c r="G1252" s="9" t="s">
        <v>416</v>
      </c>
      <c r="H1252" s="9" t="s">
        <v>179</v>
      </c>
      <c r="I1252" s="9" t="s">
        <v>178</v>
      </c>
      <c r="J1252" s="9">
        <v>45755</v>
      </c>
      <c r="K1252" s="8" t="s">
        <v>198</v>
      </c>
      <c r="L1252" s="8" t="s">
        <v>124</v>
      </c>
      <c r="M1252" s="8" t="s">
        <v>37</v>
      </c>
      <c r="N1252" s="52" t="str">
        <f>IF(Follow[[#This Row],[DATAATUALIZAÇÃO]]&lt;=Follow[[#This Row],[Prev Entrega]],"Dentro do Prazo","Fora do Prazo")</f>
        <v>Dentro do Prazo</v>
      </c>
      <c r="O12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08/04/2025, referente ao pedido Nº Pedido 1305 Rastreio NM774257816BR, agradecemos a preferência e adoraríamos receber sua avaliação, tendo qualquer dúvida estamos à disposição.
Att
NTA Variedades</v>
      </c>
    </row>
    <row r="1253" spans="1:15">
      <c r="A1253" s="52" t="str">
        <f>_xlfn.XLOOKUP(Follow[[#This Row],[CODRASTREIO]],Controle_Pedidos[Cód Rastreamento],Controle_Pedidos[Número Pedido Cliente])</f>
        <v>Pedido 1306</v>
      </c>
      <c r="B1253" s="2" t="s">
        <v>18690</v>
      </c>
      <c r="C1253" s="2" t="str">
        <f>Follow[[#This Row],[CODRASTREIO]]&amp;" B"</f>
        <v>CódRastreio1248 B</v>
      </c>
      <c r="D1253" s="52" t="str">
        <f>_xlfn.XLOOKUP(Follow[[#This Row],[Id Pedido]],Controle_Pedidos[Número Pedido Cliente],Controle_Pedidos[Loja])</f>
        <v>MEI</v>
      </c>
      <c r="E1253" s="9">
        <f>_xlfn.XLOOKUP(Follow[[#This Row],[Id Pedido]],Controle_Pedidos[Número Pedido Cliente],Controle_Pedidos[Prazo Entrega])</f>
        <v>45752</v>
      </c>
      <c r="F1253" s="9" t="s">
        <v>19433</v>
      </c>
      <c r="G1253" s="9" t="s">
        <v>417</v>
      </c>
      <c r="H1253" s="9" t="s">
        <v>179</v>
      </c>
      <c r="I1253" s="9" t="s">
        <v>178</v>
      </c>
      <c r="J1253" s="9">
        <v>45754</v>
      </c>
      <c r="K1253" s="8" t="s">
        <v>198</v>
      </c>
      <c r="L1253" s="8" t="s">
        <v>124</v>
      </c>
      <c r="M1253" s="8" t="s">
        <v>37</v>
      </c>
      <c r="N1253" s="52" t="str">
        <f>IF(Follow[[#This Row],[DATAATUALIZAÇÃO]]&lt;=Follow[[#This Row],[Prev Entrega]],"Dentro do Prazo","Fora do Prazo")</f>
        <v>Fora do Prazo</v>
      </c>
      <c r="O12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1306 Rastreio NM774258003BR, agradecemos a preferência e adoraríamos receber sua avaliação, tendo qualquer dúvida estamos à disposição.
Att
NTA Variedades</v>
      </c>
    </row>
    <row r="1254" spans="1:15">
      <c r="A1254" s="52" t="str">
        <f>_xlfn.XLOOKUP(Follow[[#This Row],[CODRASTREIO]],Controle_Pedidos[Cód Rastreamento],Controle_Pedidos[Número Pedido Cliente])</f>
        <v>Pedido 1307</v>
      </c>
      <c r="B1254" s="2" t="s">
        <v>18691</v>
      </c>
      <c r="C1254" s="2" t="str">
        <f>Follow[[#This Row],[CODRASTREIO]]&amp;" B"</f>
        <v>CódRastreio1249 B</v>
      </c>
      <c r="D1254" s="52" t="str">
        <f>_xlfn.XLOOKUP(Follow[[#This Row],[Id Pedido]],Controle_Pedidos[Número Pedido Cliente],Controle_Pedidos[Loja])</f>
        <v>MEI</v>
      </c>
      <c r="E1254" s="9">
        <f>_xlfn.XLOOKUP(Follow[[#This Row],[Id Pedido]],Controle_Pedidos[Número Pedido Cliente],Controle_Pedidos[Prazo Entrega])</f>
        <v>45770</v>
      </c>
      <c r="F1254" s="9" t="s">
        <v>19433</v>
      </c>
      <c r="G1254" s="9" t="s">
        <v>418</v>
      </c>
      <c r="H1254" s="9" t="s">
        <v>179</v>
      </c>
      <c r="I1254" s="9" t="s">
        <v>178</v>
      </c>
      <c r="J1254" s="9">
        <v>45757</v>
      </c>
      <c r="K1254" s="8" t="s">
        <v>198</v>
      </c>
      <c r="L1254" s="8" t="s">
        <v>124</v>
      </c>
      <c r="M1254" s="8" t="s">
        <v>37</v>
      </c>
      <c r="N1254" s="52" t="str">
        <f>IF(Follow[[#This Row],[DATAATUALIZAÇÃO]]&lt;=Follow[[#This Row],[Prev Entrega]],"Dentro do Prazo","Fora do Prazo")</f>
        <v>Dentro do Prazo</v>
      </c>
      <c r="O12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10/04/2025, referente ao pedido Nº Pedido 1307 Rastreio NM774266897BR, agradecemos a preferência e adoraríamos receber sua avaliação, tendo qualquer dúvida estamos à disposição.
Att
NTA Variedades</v>
      </c>
    </row>
    <row r="1255" spans="1:15">
      <c r="A1255" s="52" t="str">
        <f>_xlfn.XLOOKUP(Follow[[#This Row],[CODRASTREIO]],Controle_Pedidos[Cód Rastreamento],Controle_Pedidos[Número Pedido Cliente])</f>
        <v>Pedido 1308</v>
      </c>
      <c r="B1255" s="2" t="s">
        <v>18692</v>
      </c>
      <c r="C1255" s="2" t="str">
        <f>Follow[[#This Row],[CODRASTREIO]]&amp;" B"</f>
        <v>CódRastreio1250 B</v>
      </c>
      <c r="D1255" s="52" t="str">
        <f>_xlfn.XLOOKUP(Follow[[#This Row],[Id Pedido]],Controle_Pedidos[Número Pedido Cliente],Controle_Pedidos[Loja])</f>
        <v>MEI</v>
      </c>
      <c r="E1255" s="9">
        <f>_xlfn.XLOOKUP(Follow[[#This Row],[Id Pedido]],Controle_Pedidos[Número Pedido Cliente],Controle_Pedidos[Prazo Entrega])</f>
        <v>45759</v>
      </c>
      <c r="F1255" s="9" t="s">
        <v>19433</v>
      </c>
      <c r="G1255" s="9" t="s">
        <v>419</v>
      </c>
      <c r="H1255" s="9" t="s">
        <v>179</v>
      </c>
      <c r="I1255" s="9" t="s">
        <v>178</v>
      </c>
      <c r="J1255" s="9">
        <v>45755</v>
      </c>
      <c r="K1255" s="8" t="s">
        <v>198</v>
      </c>
      <c r="L1255" s="8" t="s">
        <v>124</v>
      </c>
      <c r="M1255" s="8" t="s">
        <v>37</v>
      </c>
      <c r="N1255" s="52" t="str">
        <f>IF(Follow[[#This Row],[DATAATUALIZAÇÃO]]&lt;=Follow[[#This Row],[Prev Entrega]],"Dentro do Prazo","Fora do Prazo")</f>
        <v>Dentro do Prazo</v>
      </c>
      <c r="O12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08/04/2025, referente ao pedido Nº Pedido 1308 Rastreio NM774273840BR, agradecemos a preferência e adoraríamos receber sua avaliação, tendo qualquer dúvida estamos à disposição.
Att
NTA Variedades</v>
      </c>
    </row>
    <row r="1256" spans="1:15">
      <c r="A1256" s="52" t="str">
        <f>_xlfn.XLOOKUP(Follow[[#This Row],[CODRASTREIO]],Controle_Pedidos[Cód Rastreamento],Controle_Pedidos[Número Pedido Cliente])</f>
        <v>Pedido 1309</v>
      </c>
      <c r="B1256" s="2" t="s">
        <v>18693</v>
      </c>
      <c r="C1256" s="2" t="str">
        <f>Follow[[#This Row],[CODRASTREIO]]&amp;" B"</f>
        <v>CódRastreio1251 B</v>
      </c>
      <c r="D1256" s="52" t="str">
        <f>_xlfn.XLOOKUP(Follow[[#This Row],[Id Pedido]],Controle_Pedidos[Número Pedido Cliente],Controle_Pedidos[Loja])</f>
        <v>MEI</v>
      </c>
      <c r="E1256" s="9">
        <f>_xlfn.XLOOKUP(Follow[[#This Row],[Id Pedido]],Controle_Pedidos[Número Pedido Cliente],Controle_Pedidos[Prazo Entrega])</f>
        <v>45755</v>
      </c>
      <c r="F1256" s="9" t="s">
        <v>19433</v>
      </c>
      <c r="G1256" s="9" t="s">
        <v>420</v>
      </c>
      <c r="H1256" s="9" t="s">
        <v>179</v>
      </c>
      <c r="I1256" s="9" t="s">
        <v>178</v>
      </c>
      <c r="J1256" s="9">
        <v>45761</v>
      </c>
      <c r="K1256" s="8" t="s">
        <v>198</v>
      </c>
      <c r="L1256" s="8" t="s">
        <v>124</v>
      </c>
      <c r="M1256" s="8" t="s">
        <v>37</v>
      </c>
      <c r="N1256" s="52" t="str">
        <f>IF(Follow[[#This Row],[DATAATUALIZAÇÃO]]&lt;=Follow[[#This Row],[Prev Entrega]],"Dentro do Prazo","Fora do Prazo")</f>
        <v>Fora do Prazo</v>
      </c>
      <c r="O125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14/04/2025, referente ao pedido Nº Pedido 1309 Rastreio NM774277325BR, agradecemos a preferência e adoraríamos receber sua avaliação, tendo qualquer dúvida estamos à disposição.
Att
NTA Variedades</v>
      </c>
    </row>
    <row r="1257" spans="1:15">
      <c r="A1257" s="52" t="str">
        <f>_xlfn.XLOOKUP(Follow[[#This Row],[CODRASTREIO]],Controle_Pedidos[Cód Rastreamento],Controle_Pedidos[Número Pedido Cliente])</f>
        <v>Pedido 1284</v>
      </c>
      <c r="B1257" s="2" t="s">
        <v>18668</v>
      </c>
      <c r="C1257" s="2" t="str">
        <f>Follow[[#This Row],[CODRASTREIO]]&amp;" B"</f>
        <v>CódRastreio1226 B</v>
      </c>
      <c r="D1257" s="52" t="str">
        <f>_xlfn.XLOOKUP(Follow[[#This Row],[Id Pedido]],Controle_Pedidos[Número Pedido Cliente],Controle_Pedidos[Loja])</f>
        <v>MEI</v>
      </c>
      <c r="E1257" s="9">
        <f>_xlfn.XLOOKUP(Follow[[#This Row],[Id Pedido]],Controle_Pedidos[Número Pedido Cliente],Controle_Pedidos[Prazo Entrega])</f>
        <v>45758</v>
      </c>
      <c r="F1257" s="9" t="s">
        <v>19433</v>
      </c>
      <c r="G1257" s="9" t="s">
        <v>421</v>
      </c>
      <c r="H1257" s="9" t="s">
        <v>179</v>
      </c>
      <c r="I1257" s="9" t="s">
        <v>178</v>
      </c>
      <c r="J1257" s="9">
        <v>45752</v>
      </c>
      <c r="K1257" s="8" t="s">
        <v>198</v>
      </c>
      <c r="L1257" s="8" t="s">
        <v>124</v>
      </c>
      <c r="M1257" s="8" t="s">
        <v>37</v>
      </c>
      <c r="N1257" s="52" t="str">
        <f>IF(Follow[[#This Row],[DATAATUALIZAÇÃO]]&lt;=Follow[[#This Row],[Prev Entrega]],"Dentro do Prazo","Fora do Prazo")</f>
        <v>Dentro do Prazo</v>
      </c>
      <c r="O125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05/04/2025, referente ao pedido Nº Pedido 1284 Rastreio NM775227197BR, agradecemos a preferência e adoraríamos receber sua avaliação, tendo qualquer dúvida estamos à disposição.
Att
NTA Variedades</v>
      </c>
    </row>
    <row r="1258" spans="1:15">
      <c r="A1258" s="52" t="str">
        <f>_xlfn.XLOOKUP(Follow[[#This Row],[CODRASTREIO]],Controle_Pedidos[Cód Rastreamento],Controle_Pedidos[Número Pedido Cliente])</f>
        <v>Pedido 1285</v>
      </c>
      <c r="B1258" s="2" t="s">
        <v>18669</v>
      </c>
      <c r="C1258" s="2" t="str">
        <f>Follow[[#This Row],[CODRASTREIO]]&amp;" B"</f>
        <v>CódRastreio1227 B</v>
      </c>
      <c r="D1258" s="52" t="str">
        <f>_xlfn.XLOOKUP(Follow[[#This Row],[Id Pedido]],Controle_Pedidos[Número Pedido Cliente],Controle_Pedidos[Loja])</f>
        <v>MEI</v>
      </c>
      <c r="E1258" s="9">
        <f>_xlfn.XLOOKUP(Follow[[#This Row],[Id Pedido]],Controle_Pedidos[Número Pedido Cliente],Controle_Pedidos[Prazo Entrega])</f>
        <v>45752</v>
      </c>
      <c r="F1258" s="9" t="s">
        <v>19433</v>
      </c>
      <c r="G1258" s="9" t="s">
        <v>422</v>
      </c>
      <c r="H1258" s="9" t="s">
        <v>179</v>
      </c>
      <c r="I1258" s="9" t="s">
        <v>178</v>
      </c>
      <c r="J1258" s="9">
        <v>45751</v>
      </c>
      <c r="K1258" s="8" t="s">
        <v>198</v>
      </c>
      <c r="L1258" s="8" t="s">
        <v>124</v>
      </c>
      <c r="M1258" s="8" t="s">
        <v>37</v>
      </c>
      <c r="N1258" s="52" t="str">
        <f>IF(Follow[[#This Row],[DATAATUALIZAÇÃO]]&lt;=Follow[[#This Row],[Prev Entrega]],"Dentro do Prazo","Fora do Prazo")</f>
        <v>Dentro do Prazo</v>
      </c>
      <c r="O12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04/04/2025, referente ao pedido Nº Pedido 1285 Rastreio CNBR00064311605, agradecemos a preferência e adoraríamos receber sua avaliação, tendo qualquer dúvida estamos à disposição.
Att
NTA Variedades</v>
      </c>
    </row>
    <row r="1259" spans="1:15">
      <c r="A1259" s="52" t="str">
        <f>_xlfn.XLOOKUP(Follow[[#This Row],[CODRASTREIO]],Controle_Pedidos[Cód Rastreamento],Controle_Pedidos[Número Pedido Cliente])</f>
        <v>Pedido 1287</v>
      </c>
      <c r="B1259" s="2" t="s">
        <v>18671</v>
      </c>
      <c r="C1259" s="2" t="str">
        <f>Follow[[#This Row],[CODRASTREIO]]&amp;" B"</f>
        <v>CódRastreio1229 B</v>
      </c>
      <c r="D1259" s="52" t="str">
        <f>_xlfn.XLOOKUP(Follow[[#This Row],[Id Pedido]],Controle_Pedidos[Número Pedido Cliente],Controle_Pedidos[Loja])</f>
        <v>MEI</v>
      </c>
      <c r="E1259" s="9">
        <f>_xlfn.XLOOKUP(Follow[[#This Row],[Id Pedido]],Controle_Pedidos[Número Pedido Cliente],Controle_Pedidos[Prazo Entrega])</f>
        <v>45752</v>
      </c>
      <c r="F1259" s="9" t="s">
        <v>19433</v>
      </c>
      <c r="G1259" s="9" t="s">
        <v>423</v>
      </c>
      <c r="H1259" s="9" t="s">
        <v>179</v>
      </c>
      <c r="I1259" s="9" t="s">
        <v>178</v>
      </c>
      <c r="J1259" s="9">
        <v>45755</v>
      </c>
      <c r="K1259" s="8" t="s">
        <v>198</v>
      </c>
      <c r="L1259" s="8" t="s">
        <v>124</v>
      </c>
      <c r="M1259" s="8" t="s">
        <v>37</v>
      </c>
      <c r="N1259" s="52" t="str">
        <f>IF(Follow[[#This Row],[DATAATUALIZAÇÃO]]&lt;=Follow[[#This Row],[Prev Entrega]],"Dentro do Prazo","Fora do Prazo")</f>
        <v>Fora do Prazo</v>
      </c>
      <c r="O125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08/04/2025, referente ao pedido Nº Pedido 1287 Rastreio NM775237234BR, agradecemos a preferência e adoraríamos receber sua avaliação, tendo qualquer dúvida estamos à disposição.
Att
NTA Variedades</v>
      </c>
    </row>
    <row r="1260" spans="1:15">
      <c r="A1260" s="52" t="str">
        <f>_xlfn.XLOOKUP(Follow[[#This Row],[CODRASTREIO]],Controle_Pedidos[Cód Rastreamento],Controle_Pedidos[Número Pedido Cliente])</f>
        <v>Pedido 1288</v>
      </c>
      <c r="B1260" s="2" t="s">
        <v>18672</v>
      </c>
      <c r="C1260" s="2" t="str">
        <f>Follow[[#This Row],[CODRASTREIO]]&amp;" B"</f>
        <v>CódRastreio1230 B</v>
      </c>
      <c r="D1260" s="52" t="str">
        <f>_xlfn.XLOOKUP(Follow[[#This Row],[Id Pedido]],Controle_Pedidos[Número Pedido Cliente],Controle_Pedidos[Loja])</f>
        <v>MEI</v>
      </c>
      <c r="E1260" s="9">
        <f>_xlfn.XLOOKUP(Follow[[#This Row],[Id Pedido]],Controle_Pedidos[Número Pedido Cliente],Controle_Pedidos[Prazo Entrega])</f>
        <v>45758</v>
      </c>
      <c r="F1260" s="9" t="s">
        <v>19433</v>
      </c>
      <c r="G1260" s="9" t="s">
        <v>424</v>
      </c>
      <c r="H1260" s="9" t="s">
        <v>179</v>
      </c>
      <c r="I1260" s="9" t="s">
        <v>178</v>
      </c>
      <c r="J1260" s="9">
        <v>45752</v>
      </c>
      <c r="K1260" s="8" t="s">
        <v>198</v>
      </c>
      <c r="L1260" s="8" t="s">
        <v>124</v>
      </c>
      <c r="M1260" s="8" t="s">
        <v>37</v>
      </c>
      <c r="N1260" s="52" t="str">
        <f>IF(Follow[[#This Row],[DATAATUALIZAÇÃO]]&lt;=Follow[[#This Row],[Prev Entrega]],"Dentro do Prazo","Fora do Prazo")</f>
        <v>Dentro do Prazo</v>
      </c>
      <c r="O126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05/04/2025, referente ao pedido Nº Pedido 1288 Rastreio CNBR00064282599, agradecemos a preferência e adoraríamos receber sua avaliação, tendo qualquer dúvida estamos à disposição.
Att
NTA Variedades</v>
      </c>
    </row>
    <row r="1261" spans="1:15">
      <c r="A1261" s="52" t="str">
        <f>_xlfn.XLOOKUP(Follow[[#This Row],[CODRASTREIO]],Controle_Pedidos[Cód Rastreamento],Controle_Pedidos[Número Pedido Cliente])</f>
        <v>Pedido 1289</v>
      </c>
      <c r="B1261" s="2" t="s">
        <v>18673</v>
      </c>
      <c r="C1261" s="2" t="str">
        <f>Follow[[#This Row],[CODRASTREIO]]&amp;" B"</f>
        <v>CódRastreio1231 B</v>
      </c>
      <c r="D1261" s="52" t="str">
        <f>_xlfn.XLOOKUP(Follow[[#This Row],[Id Pedido]],Controle_Pedidos[Número Pedido Cliente],Controle_Pedidos[Loja])</f>
        <v>MEI</v>
      </c>
      <c r="E1261" s="9">
        <f>_xlfn.XLOOKUP(Follow[[#This Row],[Id Pedido]],Controle_Pedidos[Número Pedido Cliente],Controle_Pedidos[Prazo Entrega])</f>
        <v>45752</v>
      </c>
      <c r="F1261" s="9" t="s">
        <v>19433</v>
      </c>
      <c r="G1261" s="9" t="s">
        <v>425</v>
      </c>
      <c r="H1261" s="9" t="s">
        <v>179</v>
      </c>
      <c r="I1261" s="9" t="s">
        <v>178</v>
      </c>
      <c r="J1261" s="9">
        <v>45749</v>
      </c>
      <c r="K1261" s="8" t="s">
        <v>198</v>
      </c>
      <c r="L1261" s="8" t="s">
        <v>124</v>
      </c>
      <c r="M1261" s="8" t="s">
        <v>37</v>
      </c>
      <c r="N1261" s="52" t="str">
        <f>IF(Follow[[#This Row],[DATAATUALIZAÇÃO]]&lt;=Follow[[#This Row],[Prev Entrega]],"Dentro do Prazo","Fora do Prazo")</f>
        <v>Dentro do Prazo</v>
      </c>
      <c r="O12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02/04/2025, referente ao pedido Nº Pedido 1289 Rastreio CNBR00064295456, agradecemos a preferência e adoraríamos receber sua avaliação, tendo qualquer dúvida estamos à disposição.
Att
NTA Variedades</v>
      </c>
    </row>
    <row r="1262" spans="1:15">
      <c r="A1262" s="52" t="str">
        <f>_xlfn.XLOOKUP(Follow[[#This Row],[CODRASTREIO]],Controle_Pedidos[Cód Rastreamento],Controle_Pedidos[Número Pedido Cliente])</f>
        <v>Pedido 1291</v>
      </c>
      <c r="B1262" s="2" t="s">
        <v>18675</v>
      </c>
      <c r="C1262" s="2" t="str">
        <f>Follow[[#This Row],[CODRASTREIO]]&amp;" B"</f>
        <v>CódRastreio1233 B</v>
      </c>
      <c r="D1262" s="52" t="str">
        <f>_xlfn.XLOOKUP(Follow[[#This Row],[Id Pedido]],Controle_Pedidos[Número Pedido Cliente],Controle_Pedidos[Loja])</f>
        <v>MEI</v>
      </c>
      <c r="E1262" s="9">
        <f>_xlfn.XLOOKUP(Follow[[#This Row],[Id Pedido]],Controle_Pedidos[Número Pedido Cliente],Controle_Pedidos[Prazo Entrega])</f>
        <v>45758</v>
      </c>
      <c r="F1262" s="9" t="s">
        <v>19433</v>
      </c>
      <c r="G1262" s="9" t="s">
        <v>426</v>
      </c>
      <c r="H1262" s="9" t="s">
        <v>179</v>
      </c>
      <c r="I1262" s="9" t="s">
        <v>178</v>
      </c>
      <c r="J1262" s="9">
        <v>45754</v>
      </c>
      <c r="K1262" s="8" t="s">
        <v>198</v>
      </c>
      <c r="L1262" s="8" t="s">
        <v>124</v>
      </c>
      <c r="M1262" s="8" t="s">
        <v>37</v>
      </c>
      <c r="N1262" s="52" t="str">
        <f>IF(Follow[[#This Row],[DATAATUALIZAÇÃO]]&lt;=Follow[[#This Row],[Prev Entrega]],"Dentro do Prazo","Fora do Prazo")</f>
        <v>Dentro do Prazo</v>
      </c>
      <c r="O12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07/04/2025, referente ao pedido Nº Pedido 1291 Rastreio CNBR00064303647, agradecemos a preferência e adoraríamos receber sua avaliação, tendo qualquer dúvida estamos à disposição.
Att
NTA Variedades</v>
      </c>
    </row>
    <row r="1263" spans="1:15">
      <c r="A1263" s="52" t="str">
        <f>_xlfn.XLOOKUP(Follow[[#This Row],[CODRASTREIO]],Controle_Pedidos[Cód Rastreamento],Controle_Pedidos[Número Pedido Cliente])</f>
        <v>Pedido 1292</v>
      </c>
      <c r="B1263" s="2" t="s">
        <v>18676</v>
      </c>
      <c r="C1263" s="2" t="str">
        <f>Follow[[#This Row],[CODRASTREIO]]&amp;" B"</f>
        <v>CódRastreio1234 B</v>
      </c>
      <c r="D1263" s="52" t="str">
        <f>_xlfn.XLOOKUP(Follow[[#This Row],[Id Pedido]],Controle_Pedidos[Número Pedido Cliente],Controle_Pedidos[Loja])</f>
        <v>MEI</v>
      </c>
      <c r="E1263" s="9">
        <f>_xlfn.XLOOKUP(Follow[[#This Row],[Id Pedido]],Controle_Pedidos[Número Pedido Cliente],Controle_Pedidos[Prazo Entrega])</f>
        <v>45752</v>
      </c>
      <c r="F1263" s="9" t="s">
        <v>19433</v>
      </c>
      <c r="G1263" s="9" t="s">
        <v>427</v>
      </c>
      <c r="H1263" s="9" t="s">
        <v>179</v>
      </c>
      <c r="I1263" s="9" t="s">
        <v>178</v>
      </c>
      <c r="J1263" s="9">
        <v>45755</v>
      </c>
      <c r="K1263" s="8" t="s">
        <v>198</v>
      </c>
      <c r="L1263" s="8" t="s">
        <v>124</v>
      </c>
      <c r="M1263" s="8" t="s">
        <v>37</v>
      </c>
      <c r="N1263" s="52" t="str">
        <f>IF(Follow[[#This Row],[DATAATUALIZAÇÃO]]&lt;=Follow[[#This Row],[Prev Entrega]],"Dentro do Prazo","Fora do Prazo")</f>
        <v>Fora do Prazo</v>
      </c>
      <c r="O126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08/04/2025, referente ao pedido Nº Pedido 1292 Rastreio CNBR00064279916, agradecemos a preferência e adoraríamos receber sua avaliação, tendo qualquer dúvida estamos à disposição.
Att
NTA Variedades</v>
      </c>
    </row>
    <row r="1264" spans="1:15">
      <c r="A1264" s="52" t="str">
        <f>_xlfn.XLOOKUP(Follow[[#This Row],[CODRASTREIO]],Controle_Pedidos[Cód Rastreamento],Controle_Pedidos[Número Pedido Cliente])</f>
        <v>Pedido 1294</v>
      </c>
      <c r="B1264" s="2" t="s">
        <v>18678</v>
      </c>
      <c r="C1264" s="2" t="str">
        <f>Follow[[#This Row],[CODRASTREIO]]&amp;" B"</f>
        <v>CódRastreio1236 B</v>
      </c>
      <c r="D1264" s="52" t="str">
        <f>_xlfn.XLOOKUP(Follow[[#This Row],[Id Pedido]],Controle_Pedidos[Número Pedido Cliente],Controle_Pedidos[Loja])</f>
        <v>MEI</v>
      </c>
      <c r="E1264" s="9">
        <f>_xlfn.XLOOKUP(Follow[[#This Row],[Id Pedido]],Controle_Pedidos[Número Pedido Cliente],Controle_Pedidos[Prazo Entrega])</f>
        <v>45758</v>
      </c>
      <c r="F1264" s="9" t="s">
        <v>19433</v>
      </c>
      <c r="G1264" s="9" t="s">
        <v>428</v>
      </c>
      <c r="H1264" s="9" t="s">
        <v>179</v>
      </c>
      <c r="I1264" s="9" t="s">
        <v>178</v>
      </c>
      <c r="J1264" s="9">
        <v>45754</v>
      </c>
      <c r="K1264" s="8" t="s">
        <v>198</v>
      </c>
      <c r="L1264" s="8" t="s">
        <v>124</v>
      </c>
      <c r="M1264" s="8" t="s">
        <v>37</v>
      </c>
      <c r="N1264" s="52" t="str">
        <f>IF(Follow[[#This Row],[DATAATUALIZAÇÃO]]&lt;=Follow[[#This Row],[Prev Entrega]],"Dentro do Prazo","Fora do Prazo")</f>
        <v>Dentro do Prazo</v>
      </c>
      <c r="O12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07/04/2025, referente ao pedido Nº Pedido 1294 Rastreio CNBR00064282968, agradecemos a preferência e adoraríamos receber sua avaliação, tendo qualquer dúvida estamos à disposição.
Att
NTA Variedades</v>
      </c>
    </row>
    <row r="1265" spans="1:15">
      <c r="A1265" s="52" t="str">
        <f>_xlfn.XLOOKUP(Follow[[#This Row],[CODRASTREIO]],Controle_Pedidos[Cód Rastreamento],Controle_Pedidos[Número Pedido Cliente])</f>
        <v>Pedido 1296</v>
      </c>
      <c r="B1265" s="2" t="s">
        <v>18680</v>
      </c>
      <c r="C1265" s="2" t="str">
        <f>Follow[[#This Row],[CODRASTREIO]]&amp;" B"</f>
        <v>CódRastreio1238 B</v>
      </c>
      <c r="D1265" s="52" t="str">
        <f>_xlfn.XLOOKUP(Follow[[#This Row],[Id Pedido]],Controle_Pedidos[Número Pedido Cliente],Controle_Pedidos[Loja])</f>
        <v>MEI</v>
      </c>
      <c r="E1265" s="9">
        <f>_xlfn.XLOOKUP(Follow[[#This Row],[Id Pedido]],Controle_Pedidos[Número Pedido Cliente],Controle_Pedidos[Prazo Entrega])</f>
        <v>45758</v>
      </c>
      <c r="F1265" s="9" t="s">
        <v>19433</v>
      </c>
      <c r="G1265" s="9" t="s">
        <v>429</v>
      </c>
      <c r="H1265" s="9" t="s">
        <v>179</v>
      </c>
      <c r="I1265" s="9" t="s">
        <v>178</v>
      </c>
      <c r="J1265" s="9">
        <v>45755</v>
      </c>
      <c r="K1265" s="8" t="s">
        <v>198</v>
      </c>
      <c r="L1265" s="8" t="s">
        <v>124</v>
      </c>
      <c r="M1265" s="8" t="s">
        <v>37</v>
      </c>
      <c r="N1265" s="52" t="str">
        <f>IF(Follow[[#This Row],[DATAATUALIZAÇÃO]]&lt;=Follow[[#This Row],[Prev Entrega]],"Dentro do Prazo","Fora do Prazo")</f>
        <v>Dentro do Prazo</v>
      </c>
      <c r="O12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08/04/2025, referente ao pedido Nº Pedido 1296 Rastreio NM775230593BR, agradecemos a preferência e adoraríamos receber sua avaliação, tendo qualquer dúvida estamos à disposição.
Att
NTA Variedades</v>
      </c>
    </row>
    <row r="1266" spans="1:15">
      <c r="A1266" s="52" t="str">
        <f>_xlfn.XLOOKUP(Follow[[#This Row],[CODRASTREIO]],Controle_Pedidos[Cód Rastreamento],Controle_Pedidos[Número Pedido Cliente])</f>
        <v>Pedido 1297</v>
      </c>
      <c r="B1266" s="2" t="s">
        <v>18681</v>
      </c>
      <c r="C1266" s="2" t="str">
        <f>Follow[[#This Row],[CODRASTREIO]]&amp;" B"</f>
        <v>CódRastreio1239 B</v>
      </c>
      <c r="D1266" s="52" t="str">
        <f>_xlfn.XLOOKUP(Follow[[#This Row],[Id Pedido]],Controle_Pedidos[Número Pedido Cliente],Controle_Pedidos[Loja])</f>
        <v>MEI</v>
      </c>
      <c r="E1266" s="9">
        <f>_xlfn.XLOOKUP(Follow[[#This Row],[Id Pedido]],Controle_Pedidos[Número Pedido Cliente],Controle_Pedidos[Prazo Entrega])</f>
        <v>45758</v>
      </c>
      <c r="F1266" s="9" t="s">
        <v>19433</v>
      </c>
      <c r="G1266" s="9" t="s">
        <v>430</v>
      </c>
      <c r="H1266" s="9" t="s">
        <v>179</v>
      </c>
      <c r="I1266" s="9" t="s">
        <v>178</v>
      </c>
      <c r="J1266" s="9">
        <v>45754</v>
      </c>
      <c r="K1266" s="8" t="s">
        <v>198</v>
      </c>
      <c r="L1266" s="8" t="s">
        <v>124</v>
      </c>
      <c r="M1266" s="8" t="s">
        <v>37</v>
      </c>
      <c r="N1266" s="52" t="str">
        <f>IF(Follow[[#This Row],[DATAATUALIZAÇÃO]]&lt;=Follow[[#This Row],[Prev Entrega]],"Dentro do Prazo","Fora do Prazo")</f>
        <v>Dentro do Prazo</v>
      </c>
      <c r="O12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Bomba d'agua foi entregue no dia 07/04/2025, referente ao pedido Nº Pedido 1297 Rastreio NM775321983BR, agradecemos a preferência e adoraríamos receber sua avaliação, tendo qualquer dúvida estamos à disposição.
Att
NTA Variedades</v>
      </c>
    </row>
    <row r="1267" spans="1:15">
      <c r="A1267" s="52" t="str">
        <f>_xlfn.XLOOKUP(Follow[[#This Row],[CODRASTREIO]],Controle_Pedidos[Cód Rastreamento],Controle_Pedidos[Número Pedido Cliente])</f>
        <v>Pedido 1299</v>
      </c>
      <c r="B1267" s="2" t="s">
        <v>18683</v>
      </c>
      <c r="C1267" s="2" t="str">
        <f>Follow[[#This Row],[CODRASTREIO]]&amp;" B"</f>
        <v>CódRastreio1241 B</v>
      </c>
      <c r="D1267" s="52" t="str">
        <f>_xlfn.XLOOKUP(Follow[[#This Row],[Id Pedido]],Controle_Pedidos[Número Pedido Cliente],Controle_Pedidos[Loja])</f>
        <v>BV</v>
      </c>
      <c r="E1267" s="9">
        <f>_xlfn.XLOOKUP(Follow[[#This Row],[Id Pedido]],Controle_Pedidos[Número Pedido Cliente],Controle_Pedidos[Prazo Entrega])</f>
        <v>45758</v>
      </c>
      <c r="F1267" s="9" t="s">
        <v>19433</v>
      </c>
      <c r="G1267" s="9" t="s">
        <v>431</v>
      </c>
      <c r="H1267" s="9" t="s">
        <v>179</v>
      </c>
      <c r="I1267" s="9" t="s">
        <v>178</v>
      </c>
      <c r="J1267" s="9">
        <v>45750</v>
      </c>
      <c r="K1267" s="8" t="s">
        <v>198</v>
      </c>
      <c r="L1267" s="8" t="s">
        <v>124</v>
      </c>
      <c r="M1267" s="8" t="s">
        <v>37</v>
      </c>
      <c r="N1267" s="52" t="str">
        <f>IF(Follow[[#This Row],[DATAATUALIZAÇÃO]]&lt;=Follow[[#This Row],[Prev Entrega]],"Dentro do Prazo","Fora do Prazo")</f>
        <v>Dentro do Prazo</v>
      </c>
      <c r="O12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03/04/2025, referente ao pedido Nº Pedido 1299 Rastreio NM774809355BR, agradecemos a preferência e adoraríamos receber sua avaliação, tendo qualquer dúvida estamos à disposição.
Att
Tem tudo Shop</v>
      </c>
    </row>
    <row r="1268" spans="1:15">
      <c r="A1268" s="52" t="str">
        <f>_xlfn.XLOOKUP(Follow[[#This Row],[CODRASTREIO]],Controle_Pedidos[Cód Rastreamento],Controle_Pedidos[Número Pedido Cliente])</f>
        <v>Pedido 1302</v>
      </c>
      <c r="B1268" s="2" t="s">
        <v>18686</v>
      </c>
      <c r="C1268" s="2" t="str">
        <f>Follow[[#This Row],[CODRASTREIO]]&amp;" B"</f>
        <v>CódRastreio1244 B</v>
      </c>
      <c r="D1268" s="52" t="str">
        <f>_xlfn.XLOOKUP(Follow[[#This Row],[Id Pedido]],Controle_Pedidos[Número Pedido Cliente],Controle_Pedidos[Loja])</f>
        <v>BV</v>
      </c>
      <c r="E1268" s="9">
        <f>_xlfn.XLOOKUP(Follow[[#This Row],[Id Pedido]],Controle_Pedidos[Número Pedido Cliente],Controle_Pedidos[Prazo Entrega])</f>
        <v>45759</v>
      </c>
      <c r="F1268" s="9" t="s">
        <v>19433</v>
      </c>
      <c r="G1268" s="9" t="s">
        <v>432</v>
      </c>
      <c r="H1268" s="9" t="s">
        <v>179</v>
      </c>
      <c r="I1268" s="9" t="s">
        <v>178</v>
      </c>
      <c r="J1268" s="9">
        <v>45762</v>
      </c>
      <c r="K1268" s="8" t="s">
        <v>198</v>
      </c>
      <c r="L1268" s="8" t="s">
        <v>124</v>
      </c>
      <c r="M1268" s="8" t="s">
        <v>37</v>
      </c>
      <c r="N1268" s="52" t="str">
        <f>IF(Follow[[#This Row],[DATAATUALIZAÇÃO]]&lt;=Follow[[#This Row],[Prev Entrega]],"Dentro do Prazo","Fora do Prazo")</f>
        <v>Fora do Prazo</v>
      </c>
      <c r="O12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15/04/2025, referente ao pedido Nº Pedido 1302 Rastreio NM774807408BR, agradecemos a preferência e adoraríamos receber sua avaliação, tendo qualquer dúvida estamos à disposição.
Att
Tem tudo Shop</v>
      </c>
    </row>
    <row r="1269" spans="1:15">
      <c r="A1269" s="52" t="str">
        <f>_xlfn.XLOOKUP(Follow[[#This Row],[CODRASTREIO]],Controle_Pedidos[Cód Rastreamento],Controle_Pedidos[Número Pedido Cliente])</f>
        <v>Pedido 1317</v>
      </c>
      <c r="B1269" s="2" t="s">
        <v>18701</v>
      </c>
      <c r="C1269" s="2" t="str">
        <f>Follow[[#This Row],[CODRASTREIO]]&amp;" B"</f>
        <v>CódRastreio1259 B</v>
      </c>
      <c r="D1269" s="52" t="str">
        <f>_xlfn.XLOOKUP(Follow[[#This Row],[Id Pedido]],Controle_Pedidos[Número Pedido Cliente],Controle_Pedidos[Loja])</f>
        <v>GO</v>
      </c>
      <c r="E1269" s="9">
        <f>_xlfn.XLOOKUP(Follow[[#This Row],[Id Pedido]],Controle_Pedidos[Número Pedido Cliente],Controle_Pedidos[Prazo Entrega])</f>
        <v>45759</v>
      </c>
      <c r="F1269" s="9" t="s">
        <v>19433</v>
      </c>
      <c r="G1269" s="9" t="s">
        <v>433</v>
      </c>
      <c r="H1269" s="9" t="s">
        <v>179</v>
      </c>
      <c r="I1269" s="9" t="s">
        <v>178</v>
      </c>
      <c r="J1269" s="9">
        <v>45754</v>
      </c>
      <c r="K1269" s="8" t="s">
        <v>198</v>
      </c>
      <c r="L1269" s="8" t="s">
        <v>124</v>
      </c>
      <c r="M1269" s="8" t="s">
        <v>37</v>
      </c>
      <c r="N1269" s="52" t="str">
        <f>IF(Follow[[#This Row],[DATAATUALIZAÇÃO]]&lt;=Follow[[#This Row],[Prev Entrega]],"Dentro do Prazo","Fora do Prazo")</f>
        <v>Dentro do Prazo</v>
      </c>
      <c r="O12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1317 Rastreio NM774763565BR, agradecemos a preferência e adoraríamos receber sua avaliação, tendo qualquer dúvida estamos à disposição.
Att
Sec Variedades</v>
      </c>
    </row>
    <row r="1270" spans="1:15">
      <c r="A1270" s="52" t="str">
        <f>_xlfn.XLOOKUP(Follow[[#This Row],[CODRASTREIO]],Controle_Pedidos[Cód Rastreamento],Controle_Pedidos[Número Pedido Cliente])</f>
        <v>Pedido 1318</v>
      </c>
      <c r="B1270" s="2" t="s">
        <v>18702</v>
      </c>
      <c r="C1270" s="2" t="str">
        <f>Follow[[#This Row],[CODRASTREIO]]&amp;" B"</f>
        <v>CódRastreio1260 B</v>
      </c>
      <c r="D1270" s="52" t="str">
        <f>_xlfn.XLOOKUP(Follow[[#This Row],[Id Pedido]],Controle_Pedidos[Número Pedido Cliente],Controle_Pedidos[Loja])</f>
        <v>GO</v>
      </c>
      <c r="E1270" s="9">
        <f>_xlfn.XLOOKUP(Follow[[#This Row],[Id Pedido]],Controle_Pedidos[Número Pedido Cliente],Controle_Pedidos[Prazo Entrega])</f>
        <v>45759</v>
      </c>
      <c r="F1270" s="9" t="s">
        <v>19433</v>
      </c>
      <c r="G1270" s="9" t="s">
        <v>434</v>
      </c>
      <c r="H1270" s="9" t="s">
        <v>179</v>
      </c>
      <c r="I1270" s="9" t="s">
        <v>178</v>
      </c>
      <c r="J1270" s="9">
        <v>45750</v>
      </c>
      <c r="K1270" s="8" t="s">
        <v>198</v>
      </c>
      <c r="L1270" s="8" t="s">
        <v>124</v>
      </c>
      <c r="M1270" s="8" t="s">
        <v>37</v>
      </c>
      <c r="N1270" s="52" t="str">
        <f>IF(Follow[[#This Row],[DATAATUALIZAÇÃO]]&lt;=Follow[[#This Row],[Prev Entrega]],"Dentro do Prazo","Fora do Prazo")</f>
        <v>Dentro do Prazo</v>
      </c>
      <c r="O127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03/04/2025, referente ao pedido Nº Pedido 1318 Rastreio NM774773430BR, agradecemos a preferência e adoraríamos receber sua avaliação, tendo qualquer dúvida estamos à disposição.
Att
Sec Variedades</v>
      </c>
    </row>
    <row r="1271" spans="1:15">
      <c r="A1271" s="52" t="str">
        <f>_xlfn.XLOOKUP(Follow[[#This Row],[CODRASTREIO]],Controle_Pedidos[Cód Rastreamento],Controle_Pedidos[Número Pedido Cliente])</f>
        <v>Pedido 1319</v>
      </c>
      <c r="B1271" s="2" t="s">
        <v>18703</v>
      </c>
      <c r="C1271" s="2" t="str">
        <f>Follow[[#This Row],[CODRASTREIO]]&amp;" B"</f>
        <v>CódRastreio1261 B</v>
      </c>
      <c r="D1271" s="52" t="str">
        <f>_xlfn.XLOOKUP(Follow[[#This Row],[Id Pedido]],Controle_Pedidos[Número Pedido Cliente],Controle_Pedidos[Loja])</f>
        <v>GO</v>
      </c>
      <c r="E1271" s="9">
        <f>_xlfn.XLOOKUP(Follow[[#This Row],[Id Pedido]],Controle_Pedidos[Número Pedido Cliente],Controle_Pedidos[Prazo Entrega])</f>
        <v>45770</v>
      </c>
      <c r="F1271" s="9" t="s">
        <v>19433</v>
      </c>
      <c r="G1271" s="9" t="s">
        <v>435</v>
      </c>
      <c r="H1271" s="9" t="s">
        <v>179</v>
      </c>
      <c r="I1271" s="9" t="s">
        <v>178</v>
      </c>
      <c r="J1271" s="9">
        <v>45790</v>
      </c>
      <c r="K1271" s="8" t="s">
        <v>198</v>
      </c>
      <c r="L1271" s="8" t="s">
        <v>124</v>
      </c>
      <c r="M1271" s="8" t="s">
        <v>37</v>
      </c>
      <c r="N1271" s="52" t="str">
        <f>IF(Follow[[#This Row],[DATAATUALIZAÇÃO]]&lt;=Follow[[#This Row],[Prev Entrega]],"Dentro do Prazo","Fora do Prazo")</f>
        <v>Fora do Prazo</v>
      </c>
      <c r="O12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13/05/2025, referente ao pedido Nº Pedido 1319 Rastreio NM774782635BR, agradecemos a preferência e adoraríamos receber sua avaliação, tendo qualquer dúvida estamos à disposição.
Att
Sec Variedades</v>
      </c>
    </row>
    <row r="1272" spans="1:15">
      <c r="A1272" s="52" t="str">
        <f>_xlfn.XLOOKUP(Follow[[#This Row],[CODRASTREIO]],Controle_Pedidos[Cód Rastreamento],Controle_Pedidos[Número Pedido Cliente])</f>
        <v>Pedido 1321</v>
      </c>
      <c r="B1272" s="2" t="s">
        <v>18705</v>
      </c>
      <c r="C1272" s="2" t="str">
        <f>Follow[[#This Row],[CODRASTREIO]]&amp;" B"</f>
        <v>CódRastreio1263 B</v>
      </c>
      <c r="D1272" s="52" t="str">
        <f>_xlfn.XLOOKUP(Follow[[#This Row],[Id Pedido]],Controle_Pedidos[Número Pedido Cliente],Controle_Pedidos[Loja])</f>
        <v>GO</v>
      </c>
      <c r="E1272" s="9">
        <f>_xlfn.XLOOKUP(Follow[[#This Row],[Id Pedido]],Controle_Pedidos[Número Pedido Cliente],Controle_Pedidos[Prazo Entrega])</f>
        <v>45759</v>
      </c>
      <c r="F1272" s="9" t="s">
        <v>19433</v>
      </c>
      <c r="G1272" s="9" t="s">
        <v>436</v>
      </c>
      <c r="H1272" s="9" t="s">
        <v>179</v>
      </c>
      <c r="I1272" s="9" t="s">
        <v>178</v>
      </c>
      <c r="J1272" s="9">
        <v>45754</v>
      </c>
      <c r="K1272" s="8" t="s">
        <v>198</v>
      </c>
      <c r="L1272" s="8" t="s">
        <v>124</v>
      </c>
      <c r="M1272" s="8" t="s">
        <v>37</v>
      </c>
      <c r="N1272" s="52" t="str">
        <f>IF(Follow[[#This Row],[DATAATUALIZAÇÃO]]&lt;=Follow[[#This Row],[Prev Entrega]],"Dentro do Prazo","Fora do Prazo")</f>
        <v>Dentro do Prazo</v>
      </c>
      <c r="O12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1321 Rastreio NM774799825BR, agradecemos a preferência e adoraríamos receber sua avaliação, tendo qualquer dúvida estamos à disposição.
Att
Sec Variedades</v>
      </c>
    </row>
    <row r="1273" spans="1:15">
      <c r="A1273" s="52" t="str">
        <f>_xlfn.XLOOKUP(Follow[[#This Row],[CODRASTREIO]],Controle_Pedidos[Cód Rastreamento],Controle_Pedidos[Número Pedido Cliente])</f>
        <v>Pedido 1322</v>
      </c>
      <c r="B1273" s="2" t="s">
        <v>18706</v>
      </c>
      <c r="C1273" s="2" t="str">
        <f>Follow[[#This Row],[CODRASTREIO]]&amp;" B"</f>
        <v>CódRastreio1264 B</v>
      </c>
      <c r="D1273" s="52" t="str">
        <f>_xlfn.XLOOKUP(Follow[[#This Row],[Id Pedido]],Controle_Pedidos[Número Pedido Cliente],Controle_Pedidos[Loja])</f>
        <v>GO</v>
      </c>
      <c r="E1273" s="9">
        <f>_xlfn.XLOOKUP(Follow[[#This Row],[Id Pedido]],Controle_Pedidos[Número Pedido Cliente],Controle_Pedidos[Prazo Entrega])</f>
        <v>45770</v>
      </c>
      <c r="F1273" s="9" t="s">
        <v>19433</v>
      </c>
      <c r="G1273" s="9" t="s">
        <v>437</v>
      </c>
      <c r="H1273" s="9" t="s">
        <v>179</v>
      </c>
      <c r="I1273" s="9" t="s">
        <v>178</v>
      </c>
      <c r="J1273" s="9">
        <v>45771</v>
      </c>
      <c r="K1273" s="8" t="s">
        <v>198</v>
      </c>
      <c r="L1273" s="8" t="s">
        <v>124</v>
      </c>
      <c r="M1273" s="8" t="s">
        <v>37</v>
      </c>
      <c r="N1273" s="52" t="str">
        <f>IF(Follow[[#This Row],[DATAATUALIZAÇÃO]]&lt;=Follow[[#This Row],[Prev Entrega]],"Dentro do Prazo","Fora do Prazo")</f>
        <v>Fora do Prazo</v>
      </c>
      <c r="O12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24/04/2025, referente ao pedido Nº Pedido 1322 Rastreio NM774798578BR, agradecemos a preferência e adoraríamos receber sua avaliação, tendo qualquer dúvida estamos à disposição.
Att
Sec Variedades</v>
      </c>
    </row>
    <row r="1274" spans="1:15">
      <c r="A1274" s="52" t="str">
        <f>_xlfn.XLOOKUP(Follow[[#This Row],[CODRASTREIO]],Controle_Pedidos[Cód Rastreamento],Controle_Pedidos[Número Pedido Cliente])</f>
        <v>Pedido 1323</v>
      </c>
      <c r="B1274" s="2" t="s">
        <v>18707</v>
      </c>
      <c r="C1274" s="2" t="str">
        <f>Follow[[#This Row],[CODRASTREIO]]&amp;" B"</f>
        <v>CódRastreio1265 B</v>
      </c>
      <c r="D1274" s="52" t="str">
        <f>_xlfn.XLOOKUP(Follow[[#This Row],[Id Pedido]],Controle_Pedidos[Número Pedido Cliente],Controle_Pedidos[Loja])</f>
        <v>GO</v>
      </c>
      <c r="E1274" s="9">
        <f>_xlfn.XLOOKUP(Follow[[#This Row],[Id Pedido]],Controle_Pedidos[Número Pedido Cliente],Controle_Pedidos[Prazo Entrega])</f>
        <v>45755</v>
      </c>
      <c r="F1274" s="9" t="s">
        <v>19433</v>
      </c>
      <c r="G1274" s="9" t="s">
        <v>438</v>
      </c>
      <c r="H1274" s="9" t="s">
        <v>179</v>
      </c>
      <c r="I1274" s="9" t="s">
        <v>178</v>
      </c>
      <c r="J1274" s="9">
        <v>45754</v>
      </c>
      <c r="K1274" s="8" t="s">
        <v>198</v>
      </c>
      <c r="L1274" s="8" t="s">
        <v>124</v>
      </c>
      <c r="M1274" s="8" t="s">
        <v>37</v>
      </c>
      <c r="N1274" s="52" t="str">
        <f>IF(Follow[[#This Row],[DATAATUALIZAÇÃO]]&lt;=Follow[[#This Row],[Prev Entrega]],"Dentro do Prazo","Fora do Prazo")</f>
        <v>Dentro do Prazo</v>
      </c>
      <c r="O12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1323 Rastreio NM774810424BR, agradecemos a preferência e adoraríamos receber sua avaliação, tendo qualquer dúvida estamos à disposição.
Att
Sec Variedades</v>
      </c>
    </row>
    <row r="1275" spans="1:15">
      <c r="A1275" s="52" t="str">
        <f>_xlfn.XLOOKUP(Follow[[#This Row],[CODRASTREIO]],Controle_Pedidos[Cód Rastreamento],Controle_Pedidos[Número Pedido Cliente])</f>
        <v>Pedido 1324</v>
      </c>
      <c r="B1275" s="2" t="s">
        <v>18708</v>
      </c>
      <c r="C1275" s="2" t="str">
        <f>Follow[[#This Row],[CODRASTREIO]]&amp;" B"</f>
        <v>CódRastreio1266 B</v>
      </c>
      <c r="D1275" s="52" t="str">
        <f>_xlfn.XLOOKUP(Follow[[#This Row],[Id Pedido]],Controle_Pedidos[Número Pedido Cliente],Controle_Pedidos[Loja])</f>
        <v>GO</v>
      </c>
      <c r="E1275" s="9">
        <f>_xlfn.XLOOKUP(Follow[[#This Row],[Id Pedido]],Controle_Pedidos[Número Pedido Cliente],Controle_Pedidos[Prazo Entrega])</f>
        <v>45755</v>
      </c>
      <c r="F1275" s="9" t="s">
        <v>19433</v>
      </c>
      <c r="G1275" s="9" t="s">
        <v>439</v>
      </c>
      <c r="H1275" s="9" t="s">
        <v>179</v>
      </c>
      <c r="I1275" s="9" t="s">
        <v>178</v>
      </c>
      <c r="J1275" s="9">
        <v>45750</v>
      </c>
      <c r="K1275" s="8" t="s">
        <v>198</v>
      </c>
      <c r="L1275" s="8" t="s">
        <v>124</v>
      </c>
      <c r="M1275" s="8" t="s">
        <v>37</v>
      </c>
      <c r="N1275" s="52" t="str">
        <f>IF(Follow[[#This Row],[DATAATUALIZAÇÃO]]&lt;=Follow[[#This Row],[Prev Entrega]],"Dentro do Prazo","Fora do Prazo")</f>
        <v>Dentro do Prazo</v>
      </c>
      <c r="O12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03/04/2025, referente ao pedido Nº Pedido 1324 Rastreio NM775722054BR, agradecemos a preferência e adoraríamos receber sua avaliação, tendo qualquer dúvida estamos à disposição.
Att
Sec Variedades</v>
      </c>
    </row>
    <row r="1276" spans="1:15">
      <c r="A1276" s="52" t="str">
        <f>_xlfn.XLOOKUP(Follow[[#This Row],[CODRASTREIO]],Controle_Pedidos[Cód Rastreamento],Controle_Pedidos[Número Pedido Cliente])</f>
        <v>Pedido 1325</v>
      </c>
      <c r="B1276" s="2" t="s">
        <v>18709</v>
      </c>
      <c r="C1276" s="2" t="str">
        <f>Follow[[#This Row],[CODRASTREIO]]&amp;" B"</f>
        <v>CódRastreio1267 B</v>
      </c>
      <c r="D1276" s="52" t="str">
        <f>_xlfn.XLOOKUP(Follow[[#This Row],[Id Pedido]],Controle_Pedidos[Número Pedido Cliente],Controle_Pedidos[Loja])</f>
        <v>GO</v>
      </c>
      <c r="E1276" s="9">
        <f>_xlfn.XLOOKUP(Follow[[#This Row],[Id Pedido]],Controle_Pedidos[Número Pedido Cliente],Controle_Pedidos[Prazo Entrega])</f>
        <v>45759</v>
      </c>
      <c r="F1276" s="9" t="s">
        <v>19433</v>
      </c>
      <c r="G1276" s="9" t="s">
        <v>440</v>
      </c>
      <c r="H1276" s="9" t="s">
        <v>179</v>
      </c>
      <c r="I1276" s="9" t="s">
        <v>178</v>
      </c>
      <c r="J1276" s="9">
        <v>45755</v>
      </c>
      <c r="K1276" s="8" t="s">
        <v>198</v>
      </c>
      <c r="L1276" s="8" t="s">
        <v>124</v>
      </c>
      <c r="M1276" s="8" t="s">
        <v>37</v>
      </c>
      <c r="N1276" s="52" t="str">
        <f>IF(Follow[[#This Row],[DATAATUALIZAÇÃO]]&lt;=Follow[[#This Row],[Prev Entrega]],"Dentro do Prazo","Fora do Prazo")</f>
        <v>Dentro do Prazo</v>
      </c>
      <c r="O12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08/04/2025, referente ao pedido Nº Pedido 1325 Rastreio NM774817997BR, agradecemos a preferência e adoraríamos receber sua avaliação, tendo qualquer dúvida estamos à disposição.
Att
Sec Variedades</v>
      </c>
    </row>
    <row r="1277" spans="1:15">
      <c r="A1277" s="52" t="str">
        <f>_xlfn.XLOOKUP(Follow[[#This Row],[CODRASTREIO]],Controle_Pedidos[Cód Rastreamento],Controle_Pedidos[Número Pedido Cliente])</f>
        <v>Pedido 1326</v>
      </c>
      <c r="B1277" s="2" t="s">
        <v>18710</v>
      </c>
      <c r="C1277" s="2" t="str">
        <f>Follow[[#This Row],[CODRASTREIO]]&amp;" B"</f>
        <v>CódRastreio1268 B</v>
      </c>
      <c r="D1277" s="52" t="str">
        <f>_xlfn.XLOOKUP(Follow[[#This Row],[Id Pedido]],Controle_Pedidos[Número Pedido Cliente],Controle_Pedidos[Loja])</f>
        <v>GO</v>
      </c>
      <c r="E1277" s="9">
        <f>_xlfn.XLOOKUP(Follow[[#This Row],[Id Pedido]],Controle_Pedidos[Número Pedido Cliente],Controle_Pedidos[Prazo Entrega])</f>
        <v>45755</v>
      </c>
      <c r="F1277" s="9" t="s">
        <v>19433</v>
      </c>
      <c r="G1277" s="9" t="s">
        <v>441</v>
      </c>
      <c r="H1277" s="9" t="s">
        <v>179</v>
      </c>
      <c r="I1277" s="9" t="s">
        <v>178</v>
      </c>
      <c r="J1277" s="9">
        <v>45763</v>
      </c>
      <c r="K1277" s="8" t="s">
        <v>198</v>
      </c>
      <c r="L1277" s="8" t="s">
        <v>124</v>
      </c>
      <c r="M1277" s="8" t="s">
        <v>37</v>
      </c>
      <c r="N1277" s="52" t="str">
        <f>IF(Follow[[#This Row],[DATAATUALIZAÇÃO]]&lt;=Follow[[#This Row],[Prev Entrega]],"Dentro do Prazo","Fora do Prazo")</f>
        <v>Fora do Prazo</v>
      </c>
      <c r="O12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16/04/2025, referente ao pedido Nº Pedido 1326 Rastreio NM774824437BR, agradecemos a preferência e adoraríamos receber sua avaliação, tendo qualquer dúvida estamos à disposição.
Att
Sec Variedades</v>
      </c>
    </row>
    <row r="1278" spans="1:15">
      <c r="A1278" s="52" t="str">
        <f>_xlfn.XLOOKUP(Follow[[#This Row],[CODRASTREIO]],Controle_Pedidos[Cód Rastreamento],Controle_Pedidos[Número Pedido Cliente])</f>
        <v>Pedido 1328</v>
      </c>
      <c r="B1278" s="2" t="s">
        <v>18712</v>
      </c>
      <c r="C1278" s="2" t="str">
        <f>Follow[[#This Row],[CODRASTREIO]]&amp;" B"</f>
        <v>CódRastreio1270 B</v>
      </c>
      <c r="D1278" s="52" t="str">
        <f>_xlfn.XLOOKUP(Follow[[#This Row],[Id Pedido]],Controle_Pedidos[Número Pedido Cliente],Controle_Pedidos[Loja])</f>
        <v>GO</v>
      </c>
      <c r="E1278" s="9">
        <f>_xlfn.XLOOKUP(Follow[[#This Row],[Id Pedido]],Controle_Pedidos[Número Pedido Cliente],Controle_Pedidos[Prazo Entrega])</f>
        <v>45755</v>
      </c>
      <c r="F1278" s="9" t="s">
        <v>19433</v>
      </c>
      <c r="G1278" s="9" t="s">
        <v>442</v>
      </c>
      <c r="H1278" s="9" t="s">
        <v>179</v>
      </c>
      <c r="I1278" s="9" t="s">
        <v>178</v>
      </c>
      <c r="J1278" s="9">
        <v>45754</v>
      </c>
      <c r="K1278" s="8" t="s">
        <v>198</v>
      </c>
      <c r="L1278" s="8" t="s">
        <v>124</v>
      </c>
      <c r="M1278" s="8" t="s">
        <v>37</v>
      </c>
      <c r="N1278" s="52" t="str">
        <f>IF(Follow[[#This Row],[DATAATUALIZAÇÃO]]&lt;=Follow[[#This Row],[Prev Entrega]],"Dentro do Prazo","Fora do Prazo")</f>
        <v>Dentro do Prazo</v>
      </c>
      <c r="O12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07/04/2025, referente ao pedido Nº Pedido 1328 Rastreio NM774831044BR, agradecemos a preferência e adoraríamos receber sua avaliação, tendo qualquer dúvida estamos à disposição.
Att
Sec Variedades</v>
      </c>
    </row>
    <row r="1279" spans="1:15">
      <c r="A1279" s="52" t="str">
        <f>_xlfn.XLOOKUP(Follow[[#This Row],[CODRASTREIO]],Controle_Pedidos[Cód Rastreamento],Controle_Pedidos[Número Pedido Cliente])</f>
        <v>Pedido 1330</v>
      </c>
      <c r="B1279" s="2" t="s">
        <v>18714</v>
      </c>
      <c r="C1279" s="2" t="str">
        <f>Follow[[#This Row],[CODRASTREIO]]&amp;" B"</f>
        <v>CódRastreio1272 B</v>
      </c>
      <c r="D1279" s="52" t="str">
        <f>_xlfn.XLOOKUP(Follow[[#This Row],[Id Pedido]],Controle_Pedidos[Número Pedido Cliente],Controle_Pedidos[Loja])</f>
        <v>GO</v>
      </c>
      <c r="E1279" s="9">
        <f>_xlfn.XLOOKUP(Follow[[#This Row],[Id Pedido]],Controle_Pedidos[Número Pedido Cliente],Controle_Pedidos[Prazo Entrega])</f>
        <v>45759</v>
      </c>
      <c r="F1279" s="9" t="s">
        <v>19433</v>
      </c>
      <c r="G1279" s="9" t="s">
        <v>443</v>
      </c>
      <c r="H1279" s="9" t="s">
        <v>179</v>
      </c>
      <c r="I1279" s="9" t="s">
        <v>178</v>
      </c>
      <c r="J1279" s="9">
        <v>45763</v>
      </c>
      <c r="K1279" s="8" t="s">
        <v>198</v>
      </c>
      <c r="L1279" s="8" t="s">
        <v>124</v>
      </c>
      <c r="M1279" s="8" t="s">
        <v>37</v>
      </c>
      <c r="N1279" s="52" t="str">
        <f>IF(Follow[[#This Row],[DATAATUALIZAÇÃO]]&lt;=Follow[[#This Row],[Prev Entrega]],"Dentro do Prazo","Fora do Prazo")</f>
        <v>Fora do Prazo</v>
      </c>
      <c r="O12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16/04/2025, referente ao pedido Nº Pedido 1330 Rastreio NM774844445BR, agradecemos a preferência e adoraríamos receber sua avaliação, tendo qualquer dúvida estamos à disposição.
Att
Sec Variedades</v>
      </c>
    </row>
    <row r="1280" spans="1:15">
      <c r="A1280" s="52" t="str">
        <f>_xlfn.XLOOKUP(Follow[[#This Row],[CODRASTREIO]],Controle_Pedidos[Cód Rastreamento],Controle_Pedidos[Número Pedido Cliente])</f>
        <v>Pedido 1331</v>
      </c>
      <c r="B1280" s="2" t="s">
        <v>18715</v>
      </c>
      <c r="C1280" s="2" t="str">
        <f>Follow[[#This Row],[CODRASTREIO]]&amp;" B"</f>
        <v>CódRastreio1273 B</v>
      </c>
      <c r="D1280" s="52" t="str">
        <f>_xlfn.XLOOKUP(Follow[[#This Row],[Id Pedido]],Controle_Pedidos[Número Pedido Cliente],Controle_Pedidos[Loja])</f>
        <v>GO</v>
      </c>
      <c r="E1280" s="9">
        <f>_xlfn.XLOOKUP(Follow[[#This Row],[Id Pedido]],Controle_Pedidos[Número Pedido Cliente],Controle_Pedidos[Prazo Entrega])</f>
        <v>45759</v>
      </c>
      <c r="F1280" s="9" t="s">
        <v>19433</v>
      </c>
      <c r="G1280" s="9" t="s">
        <v>444</v>
      </c>
      <c r="H1280" s="9" t="s">
        <v>179</v>
      </c>
      <c r="I1280" s="9" t="s">
        <v>178</v>
      </c>
      <c r="J1280" s="9">
        <v>45763</v>
      </c>
      <c r="K1280" s="8" t="s">
        <v>198</v>
      </c>
      <c r="L1280" s="8" t="s">
        <v>124</v>
      </c>
      <c r="M1280" s="8" t="s">
        <v>37</v>
      </c>
      <c r="N1280" s="52" t="str">
        <f>IF(Follow[[#This Row],[DATAATUALIZAÇÃO]]&lt;=Follow[[#This Row],[Prev Entrega]],"Dentro do Prazo","Fora do Prazo")</f>
        <v>Fora do Prazo</v>
      </c>
      <c r="O12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16/04/2025, referente ao pedido Nº Pedido 1331 Rastreio NM774850318BR, agradecemos a preferência e adoraríamos receber sua avaliação, tendo qualquer dúvida estamos à disposição.
Att
Sec Variedades</v>
      </c>
    </row>
    <row r="1281" spans="1:15">
      <c r="A1281" s="52" t="str">
        <f>_xlfn.XLOOKUP(Follow[[#This Row],[CODRASTREIO]],Controle_Pedidos[Cód Rastreamento],Controle_Pedidos[Número Pedido Cliente])</f>
        <v>Pedido 1332</v>
      </c>
      <c r="B1281" s="2" t="s">
        <v>18716</v>
      </c>
      <c r="C1281" s="2" t="str">
        <f>Follow[[#This Row],[CODRASTREIO]]&amp;" B"</f>
        <v>CódRastreio1274 B</v>
      </c>
      <c r="D1281" s="52" t="str">
        <f>_xlfn.XLOOKUP(Follow[[#This Row],[Id Pedido]],Controle_Pedidos[Número Pedido Cliente],Controle_Pedidos[Loja])</f>
        <v>GO</v>
      </c>
      <c r="E1281" s="9">
        <f>_xlfn.XLOOKUP(Follow[[#This Row],[Id Pedido]],Controle_Pedidos[Número Pedido Cliente],Controle_Pedidos[Prazo Entrega])</f>
        <v>45759</v>
      </c>
      <c r="F1281" s="9" t="s">
        <v>19433</v>
      </c>
      <c r="G1281" s="9" t="s">
        <v>445</v>
      </c>
      <c r="H1281" s="9" t="s">
        <v>179</v>
      </c>
      <c r="I1281" s="9" t="s">
        <v>178</v>
      </c>
      <c r="J1281" s="9">
        <v>45763</v>
      </c>
      <c r="K1281" s="8" t="s">
        <v>198</v>
      </c>
      <c r="L1281" s="8" t="s">
        <v>124</v>
      </c>
      <c r="M1281" s="8" t="s">
        <v>208</v>
      </c>
      <c r="N1281" s="52" t="str">
        <f>IF(Follow[[#This Row],[DATAATUALIZAÇÃO]]&lt;=Follow[[#This Row],[Prev Entrega]],"Dentro do Prazo","Fora do Prazo")</f>
        <v>Fora do Prazo</v>
      </c>
      <c r="O128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16/04/2025, referente ao pedido Nº Pedido 1332 Rastreio NM774849093BR, agradecemos a preferência e adoraríamos receber sua avaliação, tendo qualquer dúvida estamos à disposição.
Att
Sec Variedades</v>
      </c>
    </row>
    <row r="1282" spans="1:15">
      <c r="A1282" s="52" t="str">
        <f>_xlfn.XLOOKUP(Follow[[#This Row],[CODRASTREIO]],Controle_Pedidos[Cód Rastreamento],Controle_Pedidos[Número Pedido Cliente])</f>
        <v>Pedido 1333</v>
      </c>
      <c r="B1282" s="2" t="s">
        <v>18717</v>
      </c>
      <c r="C1282" s="2" t="str">
        <f>Follow[[#This Row],[CODRASTREIO]]&amp;" B"</f>
        <v>CódRastreio1275 B</v>
      </c>
      <c r="D1282" s="52" t="str">
        <f>_xlfn.XLOOKUP(Follow[[#This Row],[Id Pedido]],Controle_Pedidos[Número Pedido Cliente],Controle_Pedidos[Loja])</f>
        <v>GO</v>
      </c>
      <c r="E1282" s="9">
        <f>_xlfn.XLOOKUP(Follow[[#This Row],[Id Pedido]],Controle_Pedidos[Número Pedido Cliente],Controle_Pedidos[Prazo Entrega])</f>
        <v>45759</v>
      </c>
      <c r="F1282" s="9" t="s">
        <v>19433</v>
      </c>
      <c r="G1282" s="9" t="s">
        <v>446</v>
      </c>
      <c r="H1282" s="9" t="s">
        <v>179</v>
      </c>
      <c r="I1282" s="9" t="s">
        <v>178</v>
      </c>
      <c r="J1282" s="9">
        <v>45755</v>
      </c>
      <c r="K1282" s="8" t="s">
        <v>198</v>
      </c>
      <c r="L1282" s="8" t="s">
        <v>124</v>
      </c>
      <c r="M1282" s="8" t="s">
        <v>37</v>
      </c>
      <c r="N1282" s="52" t="str">
        <f>IF(Follow[[#This Row],[DATAATUALIZAÇÃO]]&lt;=Follow[[#This Row],[Prev Entrega]],"Dentro do Prazo","Fora do Prazo")</f>
        <v>Dentro do Prazo</v>
      </c>
      <c r="O12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08/04/2025, referente ao pedido Nº Pedido 1333 Rastreio NM774800311BR, agradecemos a preferência e adoraríamos receber sua avaliação, tendo qualquer dúvida estamos à disposição.
Att
Sec Variedades</v>
      </c>
    </row>
    <row r="1283" spans="1:15">
      <c r="A1283" s="52" t="str">
        <f>_xlfn.XLOOKUP(Follow[[#This Row],[CODRASTREIO]],Controle_Pedidos[Cód Rastreamento],Controle_Pedidos[Número Pedido Cliente])</f>
        <v>Pedido 1334</v>
      </c>
      <c r="B1283" s="2" t="s">
        <v>18718</v>
      </c>
      <c r="C1283" s="2" t="str">
        <f>Follow[[#This Row],[CODRASTREIO]]&amp;" B"</f>
        <v>CódRastreio1276 B</v>
      </c>
      <c r="D1283" s="52" t="str">
        <f>_xlfn.XLOOKUP(Follow[[#This Row],[Id Pedido]],Controle_Pedidos[Número Pedido Cliente],Controle_Pedidos[Loja])</f>
        <v>GO</v>
      </c>
      <c r="E1283" s="9">
        <f>_xlfn.XLOOKUP(Follow[[#This Row],[Id Pedido]],Controle_Pedidos[Número Pedido Cliente],Controle_Pedidos[Prazo Entrega])</f>
        <v>45770</v>
      </c>
      <c r="F1283" s="9" t="s">
        <v>19433</v>
      </c>
      <c r="G1283" s="9" t="s">
        <v>447</v>
      </c>
      <c r="H1283" s="9" t="s">
        <v>179</v>
      </c>
      <c r="I1283" s="9" t="s">
        <v>178</v>
      </c>
      <c r="J1283" s="9">
        <v>45790</v>
      </c>
      <c r="K1283" s="8" t="s">
        <v>198</v>
      </c>
      <c r="L1283" s="8" t="s">
        <v>124</v>
      </c>
      <c r="M1283" s="8" t="s">
        <v>37</v>
      </c>
      <c r="N1283" s="52" t="str">
        <f>IF(Follow[[#This Row],[DATAATUALIZAÇÃO]]&lt;=Follow[[#This Row],[Prev Entrega]],"Dentro do Prazo","Fora do Prazo")</f>
        <v>Fora do Prazo</v>
      </c>
      <c r="O128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13/05/2025, referente ao pedido Nº Pedido 1334 Rastreio NM774866026BR, agradecemos a preferência e adoraríamos receber sua avaliação, tendo qualquer dúvida estamos à disposição.
Att
Sec Variedades</v>
      </c>
    </row>
    <row r="1284" spans="1:15">
      <c r="A1284" s="52" t="str">
        <f>_xlfn.XLOOKUP(Follow[[#This Row],[CODRASTREIO]],Controle_Pedidos[Cód Rastreamento],Controle_Pedidos[Número Pedido Cliente])</f>
        <v>Pedido 1336</v>
      </c>
      <c r="B1284" s="2" t="s">
        <v>18720</v>
      </c>
      <c r="C1284" s="2" t="str">
        <f>Follow[[#This Row],[CODRASTREIO]]&amp;" B"</f>
        <v>CódRastreio1278 B</v>
      </c>
      <c r="D1284" s="52" t="str">
        <f>_xlfn.XLOOKUP(Follow[[#This Row],[Id Pedido]],Controle_Pedidos[Número Pedido Cliente],Controle_Pedidos[Loja])</f>
        <v>GO</v>
      </c>
      <c r="E1284" s="9">
        <f>_xlfn.XLOOKUP(Follow[[#This Row],[Id Pedido]],Controle_Pedidos[Número Pedido Cliente],Controle_Pedidos[Prazo Entrega])</f>
        <v>45759</v>
      </c>
      <c r="F1284" s="9" t="s">
        <v>19433</v>
      </c>
      <c r="G1284" s="9" t="s">
        <v>448</v>
      </c>
      <c r="H1284" s="9" t="s">
        <v>179</v>
      </c>
      <c r="I1284" s="9" t="s">
        <v>178</v>
      </c>
      <c r="J1284" s="9">
        <v>45758</v>
      </c>
      <c r="K1284" s="8" t="s">
        <v>198</v>
      </c>
      <c r="L1284" s="8" t="s">
        <v>124</v>
      </c>
      <c r="M1284" s="8" t="s">
        <v>208</v>
      </c>
      <c r="N1284" s="52" t="str">
        <f>IF(Follow[[#This Row],[DATAATUALIZAÇÃO]]&lt;=Follow[[#This Row],[Prev Entrega]],"Dentro do Prazo","Fora do Prazo")</f>
        <v>Dentro do Prazo</v>
      </c>
      <c r="O12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11/04/2025, referente ao pedido Nº Pedido 1336 Rastreio NM774867548BR, agradecemos a preferência e adoraríamos receber sua avaliação, tendo qualquer dúvida estamos à disposição.
Att
Sec Variedades</v>
      </c>
    </row>
    <row r="1285" spans="1:15">
      <c r="A1285" s="52" t="str">
        <f>_xlfn.XLOOKUP(Follow[[#This Row],[CODRASTREIO]],Controle_Pedidos[Cód Rastreamento],Controle_Pedidos[Número Pedido Cliente])</f>
        <v>Pedido 1337</v>
      </c>
      <c r="B1285" s="2" t="s">
        <v>18721</v>
      </c>
      <c r="C1285" s="2" t="str">
        <f>Follow[[#This Row],[CODRASTREIO]]&amp;" B"</f>
        <v>CódRastreio1279 B</v>
      </c>
      <c r="D1285" s="52" t="str">
        <f>_xlfn.XLOOKUP(Follow[[#This Row],[Id Pedido]],Controle_Pedidos[Número Pedido Cliente],Controle_Pedidos[Loja])</f>
        <v>GO</v>
      </c>
      <c r="E1285" s="9">
        <f>_xlfn.XLOOKUP(Follow[[#This Row],[Id Pedido]],Controle_Pedidos[Número Pedido Cliente],Controle_Pedidos[Prazo Entrega])</f>
        <v>45759</v>
      </c>
      <c r="F1285" s="9" t="s">
        <v>19433</v>
      </c>
      <c r="G1285" s="9" t="s">
        <v>449</v>
      </c>
      <c r="H1285" s="9" t="s">
        <v>179</v>
      </c>
      <c r="I1285" s="9" t="s">
        <v>178</v>
      </c>
      <c r="J1285" s="9">
        <v>45755</v>
      </c>
      <c r="K1285" s="8" t="s">
        <v>198</v>
      </c>
      <c r="L1285" s="8" t="s">
        <v>124</v>
      </c>
      <c r="M1285" s="8" t="s">
        <v>37</v>
      </c>
      <c r="N1285" s="52" t="str">
        <f>IF(Follow[[#This Row],[DATAATUALIZAÇÃO]]&lt;=Follow[[#This Row],[Prev Entrega]],"Dentro do Prazo","Fora do Prazo")</f>
        <v>Dentro do Prazo</v>
      </c>
      <c r="O12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08/04/2025, referente ao pedido Nº Pedido 1337 Rastreio NM774872684BR, agradecemos a preferência e adoraríamos receber sua avaliação, tendo qualquer dúvida estamos à disposição.
Att
Sec Variedades</v>
      </c>
    </row>
    <row r="1286" spans="1:15">
      <c r="A1286" s="52" t="str">
        <f>_xlfn.XLOOKUP(Follow[[#This Row],[CODRASTREIO]],Controle_Pedidos[Cód Rastreamento],Controle_Pedidos[Número Pedido Cliente])</f>
        <v>Pedido 1340</v>
      </c>
      <c r="B1286" s="2" t="s">
        <v>18724</v>
      </c>
      <c r="C1286" s="2" t="str">
        <f>Follow[[#This Row],[CODRASTREIO]]&amp;" B"</f>
        <v>CódRastreio1282 B</v>
      </c>
      <c r="D1286" s="52" t="str">
        <f>_xlfn.XLOOKUP(Follow[[#This Row],[Id Pedido]],Controle_Pedidos[Número Pedido Cliente],Controle_Pedidos[Loja])</f>
        <v>GO</v>
      </c>
      <c r="E1286" s="9">
        <f>_xlfn.XLOOKUP(Follow[[#This Row],[Id Pedido]],Controle_Pedidos[Número Pedido Cliente],Controle_Pedidos[Prazo Entrega])</f>
        <v>45755</v>
      </c>
      <c r="F1286" s="9" t="s">
        <v>19433</v>
      </c>
      <c r="G1286" s="9" t="s">
        <v>450</v>
      </c>
      <c r="H1286" s="9" t="s">
        <v>179</v>
      </c>
      <c r="I1286" s="9" t="s">
        <v>178</v>
      </c>
      <c r="J1286" s="9">
        <v>45751</v>
      </c>
      <c r="K1286" s="8" t="s">
        <v>198</v>
      </c>
      <c r="L1286" s="8" t="s">
        <v>124</v>
      </c>
      <c r="M1286" s="8" t="s">
        <v>37</v>
      </c>
      <c r="N1286" s="52" t="str">
        <f>IF(Follow[[#This Row],[DATAATUALIZAÇÃO]]&lt;=Follow[[#This Row],[Prev Entrega]],"Dentro do Prazo","Fora do Prazo")</f>
        <v>Dentro do Prazo</v>
      </c>
      <c r="O12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04/04/2025, referente ao pedido Nº Pedido 1340 Rastreio NM774965465BR, agradecemos a preferência e adoraríamos receber sua avaliação, tendo qualquer dúvida estamos à disposição.
Att
Sec Variedades</v>
      </c>
    </row>
    <row r="1287" spans="1:15">
      <c r="A1287" s="52" t="str">
        <f>_xlfn.XLOOKUP(Follow[[#This Row],[CODRASTREIO]],Controle_Pedidos[Cód Rastreamento],Controle_Pedidos[Número Pedido Cliente])</f>
        <v>Pedido 1320</v>
      </c>
      <c r="B1287" s="2" t="s">
        <v>18704</v>
      </c>
      <c r="C1287" s="2" t="str">
        <f>Follow[[#This Row],[CODRASTREIO]]&amp;" B"</f>
        <v>CódRastreio1262 B</v>
      </c>
      <c r="D1287" s="52" t="str">
        <f>_xlfn.XLOOKUP(Follow[[#This Row],[Id Pedido]],Controle_Pedidos[Número Pedido Cliente],Controle_Pedidos[Loja])</f>
        <v>GO</v>
      </c>
      <c r="E1287" s="9">
        <f>_xlfn.XLOOKUP(Follow[[#This Row],[Id Pedido]],Controle_Pedidos[Número Pedido Cliente],Controle_Pedidos[Prazo Entrega])</f>
        <v>45755</v>
      </c>
      <c r="F1287" s="9" t="s">
        <v>19433</v>
      </c>
      <c r="G1287" s="9" t="s">
        <v>451</v>
      </c>
      <c r="H1287" s="9" t="s">
        <v>179</v>
      </c>
      <c r="I1287" s="9" t="s">
        <v>178</v>
      </c>
      <c r="J1287" s="9">
        <v>45750</v>
      </c>
      <c r="K1287" s="8" t="s">
        <v>198</v>
      </c>
      <c r="L1287" s="8" t="s">
        <v>124</v>
      </c>
      <c r="M1287" s="8" t="s">
        <v>37</v>
      </c>
      <c r="N1287" s="52" t="str">
        <f>IF(Follow[[#This Row],[DATAATUALIZAÇÃO]]&lt;=Follow[[#This Row],[Prev Entrega]],"Dentro do Prazo","Fora do Prazo")</f>
        <v>Dentro do Prazo</v>
      </c>
      <c r="O12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03/04/2025, referente ao pedido Nº Pedido 1320 Rastreio NM776409559BR, agradecemos a preferência e adoraríamos receber sua avaliação, tendo qualquer dúvida estamos à disposição.
Att
Sec Variedades</v>
      </c>
    </row>
    <row r="1288" spans="1:15">
      <c r="A1288" s="52" t="str">
        <f>_xlfn.XLOOKUP(Follow[[#This Row],[CODRASTREIO]],Controle_Pedidos[Cód Rastreamento],Controle_Pedidos[Número Pedido Cliente])</f>
        <v>Pedido 1327</v>
      </c>
      <c r="B1288" s="2" t="s">
        <v>18711</v>
      </c>
      <c r="C1288" s="2" t="str">
        <f>Follow[[#This Row],[CODRASTREIO]]&amp;" B"</f>
        <v>CódRastreio1269 B</v>
      </c>
      <c r="D1288" s="52" t="str">
        <f>_xlfn.XLOOKUP(Follow[[#This Row],[Id Pedido]],Controle_Pedidos[Número Pedido Cliente],Controle_Pedidos[Loja])</f>
        <v>GO</v>
      </c>
      <c r="E1288" s="9">
        <f>_xlfn.XLOOKUP(Follow[[#This Row],[Id Pedido]],Controle_Pedidos[Número Pedido Cliente],Controle_Pedidos[Prazo Entrega])</f>
        <v>45755</v>
      </c>
      <c r="F1288" s="9" t="s">
        <v>19433</v>
      </c>
      <c r="G1288" s="9" t="s">
        <v>452</v>
      </c>
      <c r="H1288" s="9" t="s">
        <v>179</v>
      </c>
      <c r="I1288" s="9" t="s">
        <v>178</v>
      </c>
      <c r="J1288" s="9">
        <v>45750</v>
      </c>
      <c r="K1288" s="8" t="s">
        <v>198</v>
      </c>
      <c r="L1288" s="8" t="s">
        <v>124</v>
      </c>
      <c r="M1288" s="8" t="s">
        <v>37</v>
      </c>
      <c r="N1288" s="52" t="str">
        <f>IF(Follow[[#This Row],[DATAATUALIZAÇÃO]]&lt;=Follow[[#This Row],[Prev Entrega]],"Dentro do Prazo","Fora do Prazo")</f>
        <v>Dentro do Prazo</v>
      </c>
      <c r="O12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03/04/2025, referente ao pedido Nº Pedido 1327 Rastreio NM776421890BR, agradecemos a preferência e adoraríamos receber sua avaliação, tendo qualquer dúvida estamos à disposição.
Att
Sec Variedades</v>
      </c>
    </row>
    <row r="1289" spans="1:15">
      <c r="A1289" s="52" t="str">
        <f>_xlfn.XLOOKUP(Follow[[#This Row],[CODRASTREIO]],Controle_Pedidos[Cód Rastreamento],Controle_Pedidos[Número Pedido Cliente])</f>
        <v>Pedido 1329</v>
      </c>
      <c r="B1289" s="2" t="s">
        <v>18713</v>
      </c>
      <c r="C1289" s="2" t="str">
        <f>Follow[[#This Row],[CODRASTREIO]]&amp;" B"</f>
        <v>CódRastreio1271 B</v>
      </c>
      <c r="D1289" s="52" t="str">
        <f>_xlfn.XLOOKUP(Follow[[#This Row],[Id Pedido]],Controle_Pedidos[Número Pedido Cliente],Controle_Pedidos[Loja])</f>
        <v>GO</v>
      </c>
      <c r="E1289" s="9">
        <f>_xlfn.XLOOKUP(Follow[[#This Row],[Id Pedido]],Controle_Pedidos[Número Pedido Cliente],Controle_Pedidos[Prazo Entrega])</f>
        <v>45770</v>
      </c>
      <c r="F1289" s="9" t="s">
        <v>19433</v>
      </c>
      <c r="G1289" s="9" t="s">
        <v>453</v>
      </c>
      <c r="H1289" s="9" t="s">
        <v>179</v>
      </c>
      <c r="I1289" s="9" t="s">
        <v>178</v>
      </c>
      <c r="J1289" s="9">
        <v>45758</v>
      </c>
      <c r="K1289" s="8" t="s">
        <v>198</v>
      </c>
      <c r="L1289" s="8" t="s">
        <v>124</v>
      </c>
      <c r="M1289" s="8" t="s">
        <v>208</v>
      </c>
      <c r="N1289" s="52" t="str">
        <f>IF(Follow[[#This Row],[DATAATUALIZAÇÃO]]&lt;=Follow[[#This Row],[Prev Entrega]],"Dentro do Prazo","Fora do Prazo")</f>
        <v>Dentro do Prazo</v>
      </c>
      <c r="O128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11/04/2025, referente ao pedido Nº Pedido 1329 Rastreio NM776454898BR, agradecemos a preferência e adoraríamos receber sua avaliação, tendo qualquer dúvida estamos à disposição.
Att
Sec Variedades</v>
      </c>
    </row>
    <row r="1290" spans="1:15">
      <c r="A1290" s="52" t="str">
        <f>_xlfn.XLOOKUP(Follow[[#This Row],[CODRASTREIO]],Controle_Pedidos[Cód Rastreamento],Controle_Pedidos[Número Pedido Cliente])</f>
        <v>Pedido 1335</v>
      </c>
      <c r="B1290" s="2" t="s">
        <v>18719</v>
      </c>
      <c r="C1290" s="2" t="str">
        <f>Follow[[#This Row],[CODRASTREIO]]&amp;" B"</f>
        <v>CódRastreio1277 B</v>
      </c>
      <c r="D1290" s="52" t="str">
        <f>_xlfn.XLOOKUP(Follow[[#This Row],[Id Pedido]],Controle_Pedidos[Número Pedido Cliente],Controle_Pedidos[Loja])</f>
        <v>GO</v>
      </c>
      <c r="E1290" s="9">
        <f>_xlfn.XLOOKUP(Follow[[#This Row],[Id Pedido]],Controle_Pedidos[Número Pedido Cliente],Controle_Pedidos[Prazo Entrega])</f>
        <v>45759</v>
      </c>
      <c r="F1290" s="9" t="s">
        <v>19433</v>
      </c>
      <c r="G1290" s="9" t="s">
        <v>454</v>
      </c>
      <c r="H1290" s="9" t="s">
        <v>179</v>
      </c>
      <c r="I1290" s="9" t="s">
        <v>178</v>
      </c>
      <c r="J1290" s="9">
        <v>45762</v>
      </c>
      <c r="K1290" s="8" t="s">
        <v>198</v>
      </c>
      <c r="L1290" s="8" t="s">
        <v>124</v>
      </c>
      <c r="M1290" s="8" t="s">
        <v>37</v>
      </c>
      <c r="N1290" s="52" t="str">
        <f>IF(Follow[[#This Row],[DATAATUALIZAÇÃO]]&lt;=Follow[[#This Row],[Prev Entrega]],"Dentro do Prazo","Fora do Prazo")</f>
        <v>Fora do Prazo</v>
      </c>
      <c r="O12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15/04/2025, referente ao pedido Nº Pedido 1335 Rastreio NM776459997BR, agradecemos a preferência e adoraríamos receber sua avaliação, tendo qualquer dúvida estamos à disposição.
Att
Sec Variedades</v>
      </c>
    </row>
    <row r="1291" spans="1:15">
      <c r="A1291" s="52" t="str">
        <f>_xlfn.XLOOKUP(Follow[[#This Row],[CODRASTREIO]],Controle_Pedidos[Cód Rastreamento],Controle_Pedidos[Número Pedido Cliente])</f>
        <v>Pedido 1338</v>
      </c>
      <c r="B1291" s="2" t="s">
        <v>18722</v>
      </c>
      <c r="C1291" s="2" t="str">
        <f>Follow[[#This Row],[CODRASTREIO]]&amp;" B"</f>
        <v>CódRastreio1280 B</v>
      </c>
      <c r="D1291" s="52" t="str">
        <f>_xlfn.XLOOKUP(Follow[[#This Row],[Id Pedido]],Controle_Pedidos[Número Pedido Cliente],Controle_Pedidos[Loja])</f>
        <v>GO</v>
      </c>
      <c r="E1291" s="9">
        <f>_xlfn.XLOOKUP(Follow[[#This Row],[Id Pedido]],Controle_Pedidos[Número Pedido Cliente],Controle_Pedidos[Prazo Entrega])</f>
        <v>45759</v>
      </c>
      <c r="F1291" s="9" t="s">
        <v>19433</v>
      </c>
      <c r="G1291" s="9" t="s">
        <v>455</v>
      </c>
      <c r="H1291" s="9" t="s">
        <v>179</v>
      </c>
      <c r="I1291" s="9" t="s">
        <v>178</v>
      </c>
      <c r="J1291" s="9">
        <v>45751</v>
      </c>
      <c r="K1291" s="8" t="s">
        <v>198</v>
      </c>
      <c r="L1291" s="8" t="s">
        <v>124</v>
      </c>
      <c r="M1291" s="8" t="s">
        <v>37</v>
      </c>
      <c r="N1291" s="52" t="str">
        <f>IF(Follow[[#This Row],[DATAATUALIZAÇÃO]]&lt;=Follow[[#This Row],[Prev Entrega]],"Dentro do Prazo","Fora do Prazo")</f>
        <v>Dentro do Prazo</v>
      </c>
      <c r="O12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04/04/2025, referente ao pedido Nº Pedido 1338 Rastreio NM776471445BR, agradecemos a preferência e adoraríamos receber sua avaliação, tendo qualquer dúvida estamos à disposição.
Att
Sec Variedades</v>
      </c>
    </row>
    <row r="1292" spans="1:15">
      <c r="A1292" s="52" t="str">
        <f>_xlfn.XLOOKUP(Follow[[#This Row],[CODRASTREIO]],Controle_Pedidos[Cód Rastreamento],Controle_Pedidos[Número Pedido Cliente])</f>
        <v>Pedido 1339</v>
      </c>
      <c r="B1292" s="2" t="s">
        <v>18723</v>
      </c>
      <c r="C1292" s="2" t="str">
        <f>Follow[[#This Row],[CODRASTREIO]]&amp;" B"</f>
        <v>CódRastreio1281 B</v>
      </c>
      <c r="D1292" s="52" t="str">
        <f>_xlfn.XLOOKUP(Follow[[#This Row],[Id Pedido]],Controle_Pedidos[Número Pedido Cliente],Controle_Pedidos[Loja])</f>
        <v>GO</v>
      </c>
      <c r="E1292" s="9">
        <f>_xlfn.XLOOKUP(Follow[[#This Row],[Id Pedido]],Controle_Pedidos[Número Pedido Cliente],Controle_Pedidos[Prazo Entrega])</f>
        <v>45759</v>
      </c>
      <c r="F1292" s="9" t="s">
        <v>19433</v>
      </c>
      <c r="G1292" s="9" t="s">
        <v>456</v>
      </c>
      <c r="H1292" s="9" t="s">
        <v>179</v>
      </c>
      <c r="I1292" s="9" t="s">
        <v>178</v>
      </c>
      <c r="J1292" s="9">
        <v>45757</v>
      </c>
      <c r="K1292" s="8" t="s">
        <v>198</v>
      </c>
      <c r="L1292" s="8" t="s">
        <v>124</v>
      </c>
      <c r="M1292" s="8" t="s">
        <v>37</v>
      </c>
      <c r="N1292" s="52" t="str">
        <f>IF(Follow[[#This Row],[DATAATUALIZAÇÃO]]&lt;=Follow[[#This Row],[Prev Entrega]],"Dentro do Prazo","Fora do Prazo")</f>
        <v>Dentro do Prazo</v>
      </c>
      <c r="O12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10/04/2025, referente ao pedido Nº Pedido 1339 Rastreio NM776478418BR, agradecemos a preferência e adoraríamos receber sua avaliação, tendo qualquer dúvida estamos à disposição.
Att
Sec Variedades</v>
      </c>
    </row>
    <row r="1293" spans="1:15">
      <c r="A1293" s="52" t="str">
        <f>_xlfn.XLOOKUP(Follow[[#This Row],[CODRASTREIO]],Controle_Pedidos[Cód Rastreamento],Controle_Pedidos[Número Pedido Cliente])</f>
        <v>Pedido 1341</v>
      </c>
      <c r="B1293" s="2" t="s">
        <v>18725</v>
      </c>
      <c r="C1293" s="2" t="str">
        <f>Follow[[#This Row],[CODRASTREIO]]&amp;" B"</f>
        <v>CódRastreio1283 B</v>
      </c>
      <c r="D1293" s="52" t="str">
        <f>_xlfn.XLOOKUP(Follow[[#This Row],[Id Pedido]],Controle_Pedidos[Número Pedido Cliente],Controle_Pedidos[Loja])</f>
        <v>MEI</v>
      </c>
      <c r="E1293" s="9">
        <f>_xlfn.XLOOKUP(Follow[[#This Row],[Id Pedido]],Controle_Pedidos[Número Pedido Cliente],Controle_Pedidos[Prazo Entrega])</f>
        <v>45758</v>
      </c>
      <c r="F1293" s="9" t="s">
        <v>19433</v>
      </c>
      <c r="G1293" s="9" t="s">
        <v>457</v>
      </c>
      <c r="H1293" s="9" t="s">
        <v>179</v>
      </c>
      <c r="I1293" s="9" t="s">
        <v>178</v>
      </c>
      <c r="J1293" s="9">
        <v>45748</v>
      </c>
      <c r="K1293" s="8" t="s">
        <v>198</v>
      </c>
      <c r="L1293" s="8" t="s">
        <v>124</v>
      </c>
      <c r="M1293" s="8" t="s">
        <v>37</v>
      </c>
      <c r="N1293" s="52" t="str">
        <f>IF(Follow[[#This Row],[DATAATUALIZAÇÃO]]&lt;=Follow[[#This Row],[Prev Entrega]],"Dentro do Prazo","Fora do Prazo")</f>
        <v>Dentro do Prazo</v>
      </c>
      <c r="O12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01/04/2025, referente ao pedido Nº Pedido 1341 Rastreio NM776491445BR, agradecemos a preferência e adoraríamos receber sua avaliação, tendo qualquer dúvida estamos à disposição.
Att
NTA Variedades</v>
      </c>
    </row>
    <row r="1294" spans="1:15">
      <c r="A1294" s="52" t="str">
        <f>_xlfn.XLOOKUP(Follow[[#This Row],[CODRASTREIO]],Controle_Pedidos[Cód Rastreamento],Controle_Pedidos[Número Pedido Cliente])</f>
        <v>Pedido 1343</v>
      </c>
      <c r="B1294" s="2" t="s">
        <v>18726</v>
      </c>
      <c r="C1294" s="2" t="str">
        <f>Follow[[#This Row],[CODRASTREIO]]&amp;" B"</f>
        <v>CódRastreio1284 B</v>
      </c>
      <c r="D1294" s="52" t="str">
        <f>_xlfn.XLOOKUP(Follow[[#This Row],[Id Pedido]],Controle_Pedidos[Número Pedido Cliente],Controle_Pedidos[Loja])</f>
        <v>MEI</v>
      </c>
      <c r="E1294" s="9">
        <f>_xlfn.XLOOKUP(Follow[[#This Row],[Id Pedido]],Controle_Pedidos[Número Pedido Cliente],Controle_Pedidos[Prazo Entrega])</f>
        <v>45764</v>
      </c>
      <c r="F1294" s="9" t="s">
        <v>19433</v>
      </c>
      <c r="G1294" s="9" t="s">
        <v>458</v>
      </c>
      <c r="H1294" s="9" t="s">
        <v>179</v>
      </c>
      <c r="I1294" s="9" t="s">
        <v>178</v>
      </c>
      <c r="J1294" s="9">
        <v>45756</v>
      </c>
      <c r="K1294" s="8" t="s">
        <v>198</v>
      </c>
      <c r="L1294" s="8" t="s">
        <v>124</v>
      </c>
      <c r="M1294" s="8" t="s">
        <v>37</v>
      </c>
      <c r="N1294" s="52" t="str">
        <f>IF(Follow[[#This Row],[DATAATUALIZAÇÃO]]&lt;=Follow[[#This Row],[Prev Entrega]],"Dentro do Prazo","Fora do Prazo")</f>
        <v>Dentro do Prazo</v>
      </c>
      <c r="O12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09/04/2025, referente ao pedido Nº Pedido 1343 Rastreio NM776619637BR, agradecemos a preferência e adoraríamos receber sua avaliação, tendo qualquer dúvida estamos à disposição.
Att
NTA Variedades</v>
      </c>
    </row>
    <row r="1295" spans="1:15">
      <c r="A1295" s="52" t="str">
        <f>_xlfn.XLOOKUP(Follow[[#This Row],[CODRASTREIO]],Controle_Pedidos[Cód Rastreamento],Controle_Pedidos[Número Pedido Cliente])</f>
        <v>Pedido 1344</v>
      </c>
      <c r="B1295" s="2" t="s">
        <v>18727</v>
      </c>
      <c r="C1295" s="2" t="str">
        <f>Follow[[#This Row],[CODRASTREIO]]&amp;" B"</f>
        <v>CódRastreio1285 B</v>
      </c>
      <c r="D1295" s="52" t="str">
        <f>_xlfn.XLOOKUP(Follow[[#This Row],[Id Pedido]],Controle_Pedidos[Número Pedido Cliente],Controle_Pedidos[Loja])</f>
        <v>MEI</v>
      </c>
      <c r="E1295" s="9">
        <f>_xlfn.XLOOKUP(Follow[[#This Row],[Id Pedido]],Controle_Pedidos[Número Pedido Cliente],Controle_Pedidos[Prazo Entrega])</f>
        <v>45758</v>
      </c>
      <c r="F1295" s="9" t="s">
        <v>19433</v>
      </c>
      <c r="G1295" s="9" t="s">
        <v>459</v>
      </c>
      <c r="H1295" s="9" t="s">
        <v>179</v>
      </c>
      <c r="I1295" s="9" t="s">
        <v>178</v>
      </c>
      <c r="J1295" s="9">
        <v>45750</v>
      </c>
      <c r="K1295" s="8" t="s">
        <v>198</v>
      </c>
      <c r="L1295" s="8" t="s">
        <v>124</v>
      </c>
      <c r="M1295" s="8" t="s">
        <v>37</v>
      </c>
      <c r="N1295" s="52" t="str">
        <f>IF(Follow[[#This Row],[DATAATUALIZAÇÃO]]&lt;=Follow[[#This Row],[Prev Entrega]],"Dentro do Prazo","Fora do Prazo")</f>
        <v>Dentro do Prazo</v>
      </c>
      <c r="O12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03/04/2025, referente ao pedido Nº Pedido 1344 Rastreio NM776632426BR, agradecemos a preferência e adoraríamos receber sua avaliação, tendo qualquer dúvida estamos à disposição.
Att
NTA Variedades</v>
      </c>
    </row>
    <row r="1296" spans="1:15">
      <c r="A1296" s="52" t="str">
        <f>_xlfn.XLOOKUP(Follow[[#This Row],[CODRASTREIO]],Controle_Pedidos[Cód Rastreamento],Controle_Pedidos[Número Pedido Cliente])</f>
        <v>Pedido 1345</v>
      </c>
      <c r="B1296" s="2" t="s">
        <v>18728</v>
      </c>
      <c r="C1296" s="2" t="str">
        <f>Follow[[#This Row],[CODRASTREIO]]&amp;" B"</f>
        <v>CódRastreio1286 B</v>
      </c>
      <c r="D1296" s="52" t="str">
        <f>_xlfn.XLOOKUP(Follow[[#This Row],[Id Pedido]],Controle_Pedidos[Número Pedido Cliente],Controle_Pedidos[Loja])</f>
        <v>MEI</v>
      </c>
      <c r="E1296" s="9">
        <f>_xlfn.XLOOKUP(Follow[[#This Row],[Id Pedido]],Controle_Pedidos[Número Pedido Cliente],Controle_Pedidos[Prazo Entrega])</f>
        <v>45764</v>
      </c>
      <c r="F1296" s="9" t="s">
        <v>19433</v>
      </c>
      <c r="G1296" s="9" t="s">
        <v>460</v>
      </c>
      <c r="H1296" s="9" t="s">
        <v>179</v>
      </c>
      <c r="I1296" s="9" t="s">
        <v>178</v>
      </c>
      <c r="J1296" s="9">
        <v>45758</v>
      </c>
      <c r="K1296" s="8" t="s">
        <v>198</v>
      </c>
      <c r="L1296" s="8" t="s">
        <v>124</v>
      </c>
      <c r="M1296" s="8" t="s">
        <v>37</v>
      </c>
      <c r="N1296" s="52" t="str">
        <f>IF(Follow[[#This Row],[DATAATUALIZAÇÃO]]&lt;=Follow[[#This Row],[Prev Entrega]],"Dentro do Prazo","Fora do Prazo")</f>
        <v>Dentro do Prazo</v>
      </c>
      <c r="O12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11/04/2025, referente ao pedido Nº Pedido 1345 Rastreio NM776649320BR, agradecemos a preferência e adoraríamos receber sua avaliação, tendo qualquer dúvida estamos à disposição.
Att
NTA Variedades</v>
      </c>
    </row>
    <row r="1297" spans="1:15">
      <c r="A1297" s="52" t="str">
        <f>_xlfn.XLOOKUP(Follow[[#This Row],[CODRASTREIO]],Controle_Pedidos[Cód Rastreamento],Controle_Pedidos[Número Pedido Cliente])</f>
        <v>Pedido 1346</v>
      </c>
      <c r="B1297" s="2" t="s">
        <v>18729</v>
      </c>
      <c r="C1297" s="2" t="str">
        <f>Follow[[#This Row],[CODRASTREIO]]&amp;" B"</f>
        <v>CódRastreio1287 B</v>
      </c>
      <c r="D1297" s="52" t="str">
        <f>_xlfn.XLOOKUP(Follow[[#This Row],[Id Pedido]],Controle_Pedidos[Número Pedido Cliente],Controle_Pedidos[Loja])</f>
        <v>MEI</v>
      </c>
      <c r="E1297" s="9">
        <f>_xlfn.XLOOKUP(Follow[[#This Row],[Id Pedido]],Controle_Pedidos[Número Pedido Cliente],Controle_Pedidos[Prazo Entrega])</f>
        <v>45758</v>
      </c>
      <c r="F1297" s="9" t="s">
        <v>19433</v>
      </c>
      <c r="G1297" s="9" t="s">
        <v>461</v>
      </c>
      <c r="H1297" s="9" t="s">
        <v>179</v>
      </c>
      <c r="I1297" s="9" t="s">
        <v>178</v>
      </c>
      <c r="J1297" s="9">
        <v>45751</v>
      </c>
      <c r="K1297" s="8" t="s">
        <v>198</v>
      </c>
      <c r="L1297" s="8" t="s">
        <v>124</v>
      </c>
      <c r="M1297" s="8" t="s">
        <v>37</v>
      </c>
      <c r="N1297" s="52" t="str">
        <f>IF(Follow[[#This Row],[DATAATUALIZAÇÃO]]&lt;=Follow[[#This Row],[Prev Entrega]],"Dentro do Prazo","Fora do Prazo")</f>
        <v>Dentro do Prazo</v>
      </c>
      <c r="O129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04/04/2025, referente ao pedido Nº Pedido 1346 Rastreio NM776694598BR, agradecemos a preferência e adoraríamos receber sua avaliação, tendo qualquer dúvida estamos à disposição.
Att
NTA Variedades</v>
      </c>
    </row>
    <row r="1298" spans="1:15">
      <c r="A1298" s="52" t="str">
        <f>_xlfn.XLOOKUP(Follow[[#This Row],[CODRASTREIO]],Controle_Pedidos[Cód Rastreamento],Controle_Pedidos[Número Pedido Cliente])</f>
        <v>Pedido 1347</v>
      </c>
      <c r="B1298" s="2" t="s">
        <v>18730</v>
      </c>
      <c r="C1298" s="2" t="str">
        <f>Follow[[#This Row],[CODRASTREIO]]&amp;" B"</f>
        <v>CódRastreio1288 B</v>
      </c>
      <c r="D1298" s="52" t="str">
        <f>_xlfn.XLOOKUP(Follow[[#This Row],[Id Pedido]],Controle_Pedidos[Número Pedido Cliente],Controle_Pedidos[Loja])</f>
        <v>MEI</v>
      </c>
      <c r="E1298" s="9">
        <f>_xlfn.XLOOKUP(Follow[[#This Row],[Id Pedido]],Controle_Pedidos[Número Pedido Cliente],Controle_Pedidos[Prazo Entrega])</f>
        <v>45776</v>
      </c>
      <c r="F1298" s="9" t="s">
        <v>19433</v>
      </c>
      <c r="G1298" s="9" t="s">
        <v>462</v>
      </c>
      <c r="H1298" s="9" t="s">
        <v>179</v>
      </c>
      <c r="I1298" s="9" t="s">
        <v>178</v>
      </c>
      <c r="J1298" s="9">
        <v>45755</v>
      </c>
      <c r="K1298" s="8" t="s">
        <v>198</v>
      </c>
      <c r="L1298" s="8" t="s">
        <v>124</v>
      </c>
      <c r="M1298" s="8" t="s">
        <v>37</v>
      </c>
      <c r="N1298" s="52" t="str">
        <f>IF(Follow[[#This Row],[DATAATUALIZAÇÃO]]&lt;=Follow[[#This Row],[Prev Entrega]],"Dentro do Prazo","Fora do Prazo")</f>
        <v>Dentro do Prazo</v>
      </c>
      <c r="O12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08/04/2025, referente ao pedido Nº Pedido 1347 Rastreio NM776654639BR, agradecemos a preferência e adoraríamos receber sua avaliação, tendo qualquer dúvida estamos à disposição.
Att
NTA Variedades</v>
      </c>
    </row>
    <row r="1299" spans="1:15">
      <c r="A1299" s="52" t="str">
        <f>_xlfn.XLOOKUP(Follow[[#This Row],[CODRASTREIO]],Controle_Pedidos[Cód Rastreamento],Controle_Pedidos[Número Pedido Cliente])</f>
        <v>Pedido 1348</v>
      </c>
      <c r="B1299" s="2" t="s">
        <v>18731</v>
      </c>
      <c r="C1299" s="2" t="str">
        <f>Follow[[#This Row],[CODRASTREIO]]&amp;" B"</f>
        <v>CódRastreio1289 B</v>
      </c>
      <c r="D1299" s="52" t="str">
        <f>_xlfn.XLOOKUP(Follow[[#This Row],[Id Pedido]],Controle_Pedidos[Número Pedido Cliente],Controle_Pedidos[Loja])</f>
        <v>MEI</v>
      </c>
      <c r="E1299" s="9">
        <f>_xlfn.XLOOKUP(Follow[[#This Row],[Id Pedido]],Controle_Pedidos[Número Pedido Cliente],Controle_Pedidos[Prazo Entrega])</f>
        <v>45776</v>
      </c>
      <c r="F1299" s="9" t="s">
        <v>19433</v>
      </c>
      <c r="G1299" s="9" t="s">
        <v>463</v>
      </c>
      <c r="H1299" s="9" t="s">
        <v>179</v>
      </c>
      <c r="I1299" s="9" t="s">
        <v>178</v>
      </c>
      <c r="J1299" s="9">
        <v>45756</v>
      </c>
      <c r="K1299" s="8" t="s">
        <v>198</v>
      </c>
      <c r="L1299" s="8" t="s">
        <v>124</v>
      </c>
      <c r="M1299" s="8" t="s">
        <v>37</v>
      </c>
      <c r="N1299" s="52" t="str">
        <f>IF(Follow[[#This Row],[DATAATUALIZAÇÃO]]&lt;=Follow[[#This Row],[Prev Entrega]],"Dentro do Prazo","Fora do Prazo")</f>
        <v>Dentro do Prazo</v>
      </c>
      <c r="O12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09/04/2025, referente ao pedido Nº Pedido 1348 Rastreio NM776680829BR, agradecemos a preferência e adoraríamos receber sua avaliação, tendo qualquer dúvida estamos à disposição.
Att
NTA Variedades</v>
      </c>
    </row>
    <row r="1300" spans="1:15">
      <c r="A1300" s="52" t="str">
        <f>_xlfn.XLOOKUP(Follow[[#This Row],[CODRASTREIO]],Controle_Pedidos[Cód Rastreamento],Controle_Pedidos[Número Pedido Cliente])</f>
        <v>Pedido 1349</v>
      </c>
      <c r="B1300" s="2" t="s">
        <v>18732</v>
      </c>
      <c r="C1300" s="2" t="str">
        <f>Follow[[#This Row],[CODRASTREIO]]&amp;" B"</f>
        <v>CódRastreio1290 B</v>
      </c>
      <c r="D1300" s="52" t="str">
        <f>_xlfn.XLOOKUP(Follow[[#This Row],[Id Pedido]],Controle_Pedidos[Número Pedido Cliente],Controle_Pedidos[Loja])</f>
        <v>MEI</v>
      </c>
      <c r="E1300" s="9">
        <f>_xlfn.XLOOKUP(Follow[[#This Row],[Id Pedido]],Controle_Pedidos[Número Pedido Cliente],Controle_Pedidos[Prazo Entrega])</f>
        <v>45759</v>
      </c>
      <c r="F1300" s="9" t="s">
        <v>19433</v>
      </c>
      <c r="G1300" s="9" t="s">
        <v>464</v>
      </c>
      <c r="H1300" s="9" t="s">
        <v>179</v>
      </c>
      <c r="I1300" s="9" t="s">
        <v>178</v>
      </c>
      <c r="J1300" s="9">
        <v>45748</v>
      </c>
      <c r="K1300" s="8" t="s">
        <v>198</v>
      </c>
      <c r="L1300" s="8" t="s">
        <v>124</v>
      </c>
      <c r="M1300" s="8" t="s">
        <v>37</v>
      </c>
      <c r="N1300" s="52" t="str">
        <f>IF(Follow[[#This Row],[DATAATUALIZAÇÃO]]&lt;=Follow[[#This Row],[Prev Entrega]],"Dentro do Prazo","Fora do Prazo")</f>
        <v>Dentro do Prazo</v>
      </c>
      <c r="O13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01/04/2025, referente ao pedido Nº Pedido 1349 Rastreio NM776678520BR, agradecemos a preferência e adoraríamos receber sua avaliação, tendo qualquer dúvida estamos à disposição.
Att
NTA Variedades</v>
      </c>
    </row>
    <row r="1301" spans="1:15">
      <c r="A1301" s="52" t="str">
        <f>_xlfn.XLOOKUP(Follow[[#This Row],[CODRASTREIO]],Controle_Pedidos[Cód Rastreamento],Controle_Pedidos[Número Pedido Cliente])</f>
        <v>Pedido 1350</v>
      </c>
      <c r="B1301" s="2" t="s">
        <v>18733</v>
      </c>
      <c r="C1301" s="2" t="str">
        <f>Follow[[#This Row],[CODRASTREIO]]&amp;" B"</f>
        <v>CódRastreio1291 B</v>
      </c>
      <c r="D1301" s="52" t="str">
        <f>_xlfn.XLOOKUP(Follow[[#This Row],[Id Pedido]],Controle_Pedidos[Número Pedido Cliente],Controle_Pedidos[Loja])</f>
        <v>MEI</v>
      </c>
      <c r="E1301" s="9">
        <f>_xlfn.XLOOKUP(Follow[[#This Row],[Id Pedido]],Controle_Pedidos[Número Pedido Cliente],Controle_Pedidos[Prazo Entrega])</f>
        <v>45759</v>
      </c>
      <c r="F1301" s="9" t="s">
        <v>19433</v>
      </c>
      <c r="G1301" s="9" t="s">
        <v>465</v>
      </c>
      <c r="H1301" s="9" t="s">
        <v>179</v>
      </c>
      <c r="I1301" s="9" t="s">
        <v>178</v>
      </c>
      <c r="J1301" s="9">
        <v>45757</v>
      </c>
      <c r="K1301" s="8" t="s">
        <v>198</v>
      </c>
      <c r="L1301" s="8" t="s">
        <v>124</v>
      </c>
      <c r="M1301" s="8" t="s">
        <v>37</v>
      </c>
      <c r="N1301" s="52" t="str">
        <f>IF(Follow[[#This Row],[DATAATUALIZAÇÃO]]&lt;=Follow[[#This Row],[Prev Entrega]],"Dentro do Prazo","Fora do Prazo")</f>
        <v>Dentro do Prazo</v>
      </c>
      <c r="O13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10/04/2025, referente ao pedido Nº Pedido 1350 Rastreio NM776692827BR, agradecemos a preferência e adoraríamos receber sua avaliação, tendo qualquer dúvida estamos à disposição.
Att
NTA Variedades</v>
      </c>
    </row>
    <row r="1302" spans="1:15">
      <c r="A1302" s="52" t="str">
        <f>_xlfn.XLOOKUP(Follow[[#This Row],[CODRASTREIO]],Controle_Pedidos[Cód Rastreamento],Controle_Pedidos[Número Pedido Cliente])</f>
        <v>Pedido 1351</v>
      </c>
      <c r="B1302" s="2" t="s">
        <v>18734</v>
      </c>
      <c r="C1302" s="2" t="str">
        <f>Follow[[#This Row],[CODRASTREIO]]&amp;" B"</f>
        <v>CódRastreio1292 B</v>
      </c>
      <c r="D1302" s="52" t="str">
        <f>_xlfn.XLOOKUP(Follow[[#This Row],[Id Pedido]],Controle_Pedidos[Número Pedido Cliente],Controle_Pedidos[Loja])</f>
        <v>MEI</v>
      </c>
      <c r="E1302" s="9">
        <f>_xlfn.XLOOKUP(Follow[[#This Row],[Id Pedido]],Controle_Pedidos[Número Pedido Cliente],Controle_Pedidos[Prazo Entrega])</f>
        <v>45776</v>
      </c>
      <c r="F1302" s="9" t="s">
        <v>19433</v>
      </c>
      <c r="G1302" s="9" t="s">
        <v>466</v>
      </c>
      <c r="H1302" s="9" t="s">
        <v>179</v>
      </c>
      <c r="I1302" s="9" t="s">
        <v>178</v>
      </c>
      <c r="J1302" s="9">
        <v>45772</v>
      </c>
      <c r="K1302" s="8" t="s">
        <v>198</v>
      </c>
      <c r="L1302" s="8" t="s">
        <v>124</v>
      </c>
      <c r="M1302" s="8" t="s">
        <v>37</v>
      </c>
      <c r="N1302" s="52" t="str">
        <f>IF(Follow[[#This Row],[DATAATUALIZAÇÃO]]&lt;=Follow[[#This Row],[Prev Entrega]],"Dentro do Prazo","Fora do Prazo")</f>
        <v>Dentro do Prazo</v>
      </c>
      <c r="O13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25/04/2025, referente ao pedido Nº Pedido 1351 Rastreio NM777691955BR, agradecemos a preferência e adoraríamos receber sua avaliação, tendo qualquer dúvida estamos à disposição.
Att
NTA Variedades</v>
      </c>
    </row>
    <row r="1303" spans="1:15">
      <c r="A1303" s="52" t="str">
        <f>_xlfn.XLOOKUP(Follow[[#This Row],[CODRASTREIO]],Controle_Pedidos[Cód Rastreamento],Controle_Pedidos[Número Pedido Cliente])</f>
        <v>Pedido 1353</v>
      </c>
      <c r="B1303" s="2" t="s">
        <v>18736</v>
      </c>
      <c r="C1303" s="2" t="str">
        <f>Follow[[#This Row],[CODRASTREIO]]&amp;" B"</f>
        <v>CódRastreio1294 B</v>
      </c>
      <c r="D1303" s="52" t="str">
        <f>_xlfn.XLOOKUP(Follow[[#This Row],[Id Pedido]],Controle_Pedidos[Número Pedido Cliente],Controle_Pedidos[Loja])</f>
        <v>MEI</v>
      </c>
      <c r="E1303" s="9">
        <f>_xlfn.XLOOKUP(Follow[[#This Row],[Id Pedido]],Controle_Pedidos[Número Pedido Cliente],Controle_Pedidos[Prazo Entrega])</f>
        <v>45777</v>
      </c>
      <c r="F1303" s="9" t="s">
        <v>19433</v>
      </c>
      <c r="G1303" s="9" t="s">
        <v>467</v>
      </c>
      <c r="H1303" s="9" t="s">
        <v>179</v>
      </c>
      <c r="I1303" s="9" t="s">
        <v>178</v>
      </c>
      <c r="J1303" s="9">
        <v>45797</v>
      </c>
      <c r="K1303" s="8" t="s">
        <v>198</v>
      </c>
      <c r="L1303" s="8" t="s">
        <v>124</v>
      </c>
      <c r="M1303" s="8" t="s">
        <v>37</v>
      </c>
      <c r="N1303" s="52" t="str">
        <f>IF(Follow[[#This Row],[DATAATUALIZAÇÃO]]&lt;=Follow[[#This Row],[Prev Entrega]],"Dentro do Prazo","Fora do Prazo")</f>
        <v>Fora do Prazo</v>
      </c>
      <c r="O13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20/05/2025, referente ao pedido Nº Pedido 1353 Rastreio NM777718066BR, agradecemos a preferência e adoraríamos receber sua avaliação, tendo qualquer dúvida estamos à disposição.
Att
NTA Variedades</v>
      </c>
    </row>
    <row r="1304" spans="1:15">
      <c r="A1304" s="52" t="str">
        <f>_xlfn.XLOOKUP(Follow[[#This Row],[CODRASTREIO]],Controle_Pedidos[Cód Rastreamento],Controle_Pedidos[Número Pedido Cliente])</f>
        <v>Pedido 1354</v>
      </c>
      <c r="B1304" s="2" t="s">
        <v>18737</v>
      </c>
      <c r="C1304" s="2" t="str">
        <f>Follow[[#This Row],[CODRASTREIO]]&amp;" B"</f>
        <v>CódRastreio1295 B</v>
      </c>
      <c r="D1304" s="52" t="str">
        <f>_xlfn.XLOOKUP(Follow[[#This Row],[Id Pedido]],Controle_Pedidos[Número Pedido Cliente],Controle_Pedidos[Loja])</f>
        <v>MEI</v>
      </c>
      <c r="E1304" s="9">
        <f>_xlfn.XLOOKUP(Follow[[#This Row],[Id Pedido]],Controle_Pedidos[Número Pedido Cliente],Controle_Pedidos[Prazo Entrega])</f>
        <v>45777</v>
      </c>
      <c r="F1304" s="9" t="s">
        <v>19433</v>
      </c>
      <c r="G1304" s="9" t="s">
        <v>468</v>
      </c>
      <c r="H1304" s="9" t="s">
        <v>179</v>
      </c>
      <c r="I1304" s="9" t="s">
        <v>178</v>
      </c>
      <c r="J1304" s="9">
        <v>45762</v>
      </c>
      <c r="K1304" s="8" t="s">
        <v>198</v>
      </c>
      <c r="L1304" s="8" t="s">
        <v>124</v>
      </c>
      <c r="M1304" s="8" t="s">
        <v>208</v>
      </c>
      <c r="N1304" s="52" t="str">
        <f>IF(Follow[[#This Row],[DATAATUALIZAÇÃO]]&lt;=Follow[[#This Row],[Prev Entrega]],"Dentro do Prazo","Fora do Prazo")</f>
        <v>Dentro do Prazo</v>
      </c>
      <c r="O13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15/04/2025, referente ao pedido Nº Pedido 1354 Rastreio NM777724163BR, agradecemos a preferência e adoraríamos receber sua avaliação, tendo qualquer dúvida estamos à disposição.
Att
NTA Variedades</v>
      </c>
    </row>
    <row r="1305" spans="1:15">
      <c r="A1305" s="52" t="str">
        <f>_xlfn.XLOOKUP(Follow[[#This Row],[CODRASTREIO]],Controle_Pedidos[Cód Rastreamento],Controle_Pedidos[Número Pedido Cliente])</f>
        <v>Pedido 1352</v>
      </c>
      <c r="B1305" s="2" t="s">
        <v>18735</v>
      </c>
      <c r="C1305" s="2" t="str">
        <f>Follow[[#This Row],[CODRASTREIO]]&amp;" B"</f>
        <v>CódRastreio1293 B</v>
      </c>
      <c r="D1305" s="52" t="str">
        <f>_xlfn.XLOOKUP(Follow[[#This Row],[Id Pedido]],Controle_Pedidos[Número Pedido Cliente],Controle_Pedidos[Loja])</f>
        <v>MEI</v>
      </c>
      <c r="E1305" s="9">
        <f>_xlfn.XLOOKUP(Follow[[#This Row],[Id Pedido]],Controle_Pedidos[Número Pedido Cliente],Controle_Pedidos[Prazo Entrega])</f>
        <v>45770</v>
      </c>
      <c r="F1305" s="9" t="s">
        <v>19433</v>
      </c>
      <c r="G1305" s="9" t="s">
        <v>469</v>
      </c>
      <c r="H1305" s="9" t="s">
        <v>179</v>
      </c>
      <c r="I1305" s="9" t="s">
        <v>178</v>
      </c>
      <c r="J1305" s="9">
        <v>45756</v>
      </c>
      <c r="K1305" s="8" t="s">
        <v>198</v>
      </c>
      <c r="L1305" s="8" t="s">
        <v>124</v>
      </c>
      <c r="M1305" s="8" t="s">
        <v>37</v>
      </c>
      <c r="N1305" s="52" t="str">
        <f>IF(Follow[[#This Row],[DATAATUALIZAÇÃO]]&lt;=Follow[[#This Row],[Prev Entrega]],"Dentro do Prazo","Fora do Prazo")</f>
        <v>Dentro do Prazo</v>
      </c>
      <c r="O13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09/04/2025, referente ao pedido Nº Pedido 1352 Rastreio NM778668763BR, agradecemos a preferência e adoraríamos receber sua avaliação, tendo qualquer dúvida estamos à disposição.
Att
NTA Variedades</v>
      </c>
    </row>
    <row r="1306" spans="1:15">
      <c r="A1306" s="52" t="str">
        <f>_xlfn.XLOOKUP(Follow[[#This Row],[CODRASTREIO]],Controle_Pedidos[Cód Rastreamento],Controle_Pedidos[Número Pedido Cliente])</f>
        <v>Pedido 1355</v>
      </c>
      <c r="B1306" s="2" t="s">
        <v>18738</v>
      </c>
      <c r="C1306" s="2" t="str">
        <f>Follow[[#This Row],[CODRASTREIO]]&amp;" B"</f>
        <v>CódRastreio1296 B</v>
      </c>
      <c r="D1306" s="52" t="str">
        <f>_xlfn.XLOOKUP(Follow[[#This Row],[Id Pedido]],Controle_Pedidos[Número Pedido Cliente],Controle_Pedidos[Loja])</f>
        <v>MEI</v>
      </c>
      <c r="E1306" s="9">
        <f>_xlfn.XLOOKUP(Follow[[#This Row],[Id Pedido]],Controle_Pedidos[Número Pedido Cliente],Controle_Pedidos[Prazo Entrega])</f>
        <v>45770</v>
      </c>
      <c r="F1306" s="9" t="s">
        <v>19433</v>
      </c>
      <c r="G1306" s="9" t="s">
        <v>470</v>
      </c>
      <c r="H1306" s="9" t="s">
        <v>179</v>
      </c>
      <c r="I1306" s="9" t="s">
        <v>178</v>
      </c>
      <c r="J1306" s="9">
        <v>45764</v>
      </c>
      <c r="K1306" s="8" t="s">
        <v>198</v>
      </c>
      <c r="L1306" s="8" t="s">
        <v>124</v>
      </c>
      <c r="M1306" s="8" t="s">
        <v>37</v>
      </c>
      <c r="N1306" s="52" t="str">
        <f>IF(Follow[[#This Row],[DATAATUALIZAÇÃO]]&lt;=Follow[[#This Row],[Prev Entrega]],"Dentro do Prazo","Fora do Prazo")</f>
        <v>Dentro do Prazo</v>
      </c>
      <c r="O13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17/04/2025, referente ao pedido Nº Pedido 1355 Rastreio NM778898276BR, agradecemos a preferência e adoraríamos receber sua avaliação, tendo qualquer dúvida estamos à disposição.
Att
NTA Variedades</v>
      </c>
    </row>
    <row r="1307" spans="1:15">
      <c r="A1307" s="52" t="str">
        <f>_xlfn.XLOOKUP(Follow[[#This Row],[CODRASTREIO]],Controle_Pedidos[Cód Rastreamento],Controle_Pedidos[Número Pedido Cliente])</f>
        <v>Pedido 1358</v>
      </c>
      <c r="B1307" s="2" t="s">
        <v>18741</v>
      </c>
      <c r="C1307" s="2" t="str">
        <f>Follow[[#This Row],[CODRASTREIO]]&amp;" B"</f>
        <v>CódRastreio1299 B</v>
      </c>
      <c r="D1307" s="52" t="str">
        <f>_xlfn.XLOOKUP(Follow[[#This Row],[Id Pedido]],Controle_Pedidos[Número Pedido Cliente],Controle_Pedidos[Loja])</f>
        <v>MEI</v>
      </c>
      <c r="E1307" s="9">
        <f>_xlfn.XLOOKUP(Follow[[#This Row],[Id Pedido]],Controle_Pedidos[Número Pedido Cliente],Controle_Pedidos[Prazo Entrega])</f>
        <v>45764</v>
      </c>
      <c r="F1307" s="9" t="s">
        <v>19433</v>
      </c>
      <c r="G1307" s="9" t="s">
        <v>471</v>
      </c>
      <c r="H1307" s="9" t="s">
        <v>179</v>
      </c>
      <c r="I1307" s="9" t="s">
        <v>178</v>
      </c>
      <c r="J1307" s="9">
        <v>45756</v>
      </c>
      <c r="K1307" s="8" t="s">
        <v>198</v>
      </c>
      <c r="L1307" s="8" t="s">
        <v>124</v>
      </c>
      <c r="M1307" s="8" t="s">
        <v>37</v>
      </c>
      <c r="N1307" s="52" t="str">
        <f>IF(Follow[[#This Row],[DATAATUALIZAÇÃO]]&lt;=Follow[[#This Row],[Prev Entrega]],"Dentro do Prazo","Fora do Prazo")</f>
        <v>Dentro do Prazo</v>
      </c>
      <c r="O13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09/04/2025, referente ao pedido Nº Pedido 1358 Rastreio NM779796905BR, agradecemos a preferência e adoraríamos receber sua avaliação, tendo qualquer dúvida estamos à disposição.
Att
NTA Variedades</v>
      </c>
    </row>
    <row r="1308" spans="1:15">
      <c r="A1308" s="52" t="str">
        <f>_xlfn.XLOOKUP(Follow[[#This Row],[CODRASTREIO]],Controle_Pedidos[Cód Rastreamento],Controle_Pedidos[Número Pedido Cliente])</f>
        <v>Pedido 1359</v>
      </c>
      <c r="B1308" s="2" t="s">
        <v>18742</v>
      </c>
      <c r="C1308" s="2" t="str">
        <f>Follow[[#This Row],[CODRASTREIO]]&amp;" B"</f>
        <v>CódRastreio1300 B</v>
      </c>
      <c r="D1308" s="52" t="str">
        <f>_xlfn.XLOOKUP(Follow[[#This Row],[Id Pedido]],Controle_Pedidos[Número Pedido Cliente],Controle_Pedidos[Loja])</f>
        <v>MEI</v>
      </c>
      <c r="E1308" s="9">
        <f>_xlfn.XLOOKUP(Follow[[#This Row],[Id Pedido]],Controle_Pedidos[Número Pedido Cliente],Controle_Pedidos[Prazo Entrega])</f>
        <v>45764</v>
      </c>
      <c r="F1308" s="9" t="s">
        <v>19433</v>
      </c>
      <c r="G1308" s="9" t="s">
        <v>472</v>
      </c>
      <c r="H1308" s="9" t="s">
        <v>179</v>
      </c>
      <c r="I1308" s="9" t="s">
        <v>178</v>
      </c>
      <c r="J1308" s="9">
        <v>45754</v>
      </c>
      <c r="K1308" s="8" t="s">
        <v>198</v>
      </c>
      <c r="L1308" s="8" t="s">
        <v>124</v>
      </c>
      <c r="M1308" s="8" t="s">
        <v>37</v>
      </c>
      <c r="N1308" s="52" t="str">
        <f>IF(Follow[[#This Row],[DATAATUALIZAÇÃO]]&lt;=Follow[[#This Row],[Prev Entrega]],"Dentro do Prazo","Fora do Prazo")</f>
        <v>Dentro do Prazo</v>
      </c>
      <c r="O130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Fone de ouvido XT60 foi entregue no dia 07/04/2025, referente ao pedido Nº Pedido 1359 Rastreio NM779800463BR, agradecemos a preferência e adoraríamos receber sua avaliação, tendo qualquer dúvida estamos à disposição.
Att
NTA Variedades</v>
      </c>
    </row>
    <row r="1309" spans="1:15">
      <c r="A1309" s="52" t="str">
        <f>_xlfn.XLOOKUP(Follow[[#This Row],[CODRASTREIO]],Controle_Pedidos[Cód Rastreamento],Controle_Pedidos[Número Pedido Cliente])</f>
        <v>Pedido 1360</v>
      </c>
      <c r="B1309" s="2" t="s">
        <v>18743</v>
      </c>
      <c r="C1309" s="2" t="str">
        <f>Follow[[#This Row],[CODRASTREIO]]&amp;" B"</f>
        <v>CódRastreio1301 B</v>
      </c>
      <c r="D1309" s="52" t="str">
        <f>_xlfn.XLOOKUP(Follow[[#This Row],[Id Pedido]],Controle_Pedidos[Número Pedido Cliente],Controle_Pedidos[Loja])</f>
        <v>MEI</v>
      </c>
      <c r="E1309" s="9">
        <f>_xlfn.XLOOKUP(Follow[[#This Row],[Id Pedido]],Controle_Pedidos[Número Pedido Cliente],Controle_Pedidos[Prazo Entrega])</f>
        <v>45772</v>
      </c>
      <c r="F1309" s="9" t="s">
        <v>19433</v>
      </c>
      <c r="G1309" s="9" t="s">
        <v>473</v>
      </c>
      <c r="H1309" s="9" t="s">
        <v>179</v>
      </c>
      <c r="I1309" s="9" t="s">
        <v>178</v>
      </c>
      <c r="J1309" s="9">
        <v>45757</v>
      </c>
      <c r="K1309" s="8" t="s">
        <v>198</v>
      </c>
      <c r="L1309" s="8" t="s">
        <v>124</v>
      </c>
      <c r="M1309" s="8" t="s">
        <v>37</v>
      </c>
      <c r="N1309" s="52" t="str">
        <f>IF(Follow[[#This Row],[DATAATUALIZAÇÃO]]&lt;=Follow[[#This Row],[Prev Entrega]],"Dentro do Prazo","Fora do Prazo")</f>
        <v>Dentro do Prazo</v>
      </c>
      <c r="O13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10/04/2025, referente ao pedido Nº Pedido 1360 Rastreio NM779813232BR, agradecemos a preferência e adoraríamos receber sua avaliação, tendo qualquer dúvida estamos à disposição.
Att
NTA Variedades</v>
      </c>
    </row>
    <row r="1310" spans="1:15">
      <c r="A1310" s="52" t="str">
        <f>_xlfn.XLOOKUP(Follow[[#This Row],[CODRASTREIO]],Controle_Pedidos[Cód Rastreamento],Controle_Pedidos[Número Pedido Cliente])</f>
        <v>Pedido 1356</v>
      </c>
      <c r="B1310" s="2" t="s">
        <v>18739</v>
      </c>
      <c r="C1310" s="2" t="str">
        <f>Follow[[#This Row],[CODRASTREIO]]&amp;" B"</f>
        <v>CódRastreio1297 B</v>
      </c>
      <c r="D1310" s="52" t="str">
        <f>_xlfn.XLOOKUP(Follow[[#This Row],[Id Pedido]],Controle_Pedidos[Número Pedido Cliente],Controle_Pedidos[Loja])</f>
        <v>MEI</v>
      </c>
      <c r="E1310" s="9">
        <f>_xlfn.XLOOKUP(Follow[[#This Row],[Id Pedido]],Controle_Pedidos[Número Pedido Cliente],Controle_Pedidos[Prazo Entrega])</f>
        <v>45770</v>
      </c>
      <c r="F1310" s="9" t="s">
        <v>19433</v>
      </c>
      <c r="G1310" s="9" t="s">
        <v>474</v>
      </c>
      <c r="H1310" s="9" t="s">
        <v>179</v>
      </c>
      <c r="I1310" s="9" t="s">
        <v>178</v>
      </c>
      <c r="J1310" s="9">
        <v>45758</v>
      </c>
      <c r="K1310" s="8" t="s">
        <v>198</v>
      </c>
      <c r="L1310" s="8" t="s">
        <v>124</v>
      </c>
      <c r="M1310" s="8" t="s">
        <v>37</v>
      </c>
      <c r="N1310" s="52" t="str">
        <f>IF(Follow[[#This Row],[DATAATUALIZAÇÃO]]&lt;=Follow[[#This Row],[Prev Entrega]],"Dentro do Prazo","Fora do Prazo")</f>
        <v>Dentro do Prazo</v>
      </c>
      <c r="O13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11/04/2025, referente ao pedido Nº Pedido 1356 Rastreio NM780668223BR, agradecemos a preferência e adoraríamos receber sua avaliação, tendo qualquer dúvida estamos à disposição.
Att
NTA Variedades</v>
      </c>
    </row>
    <row r="1311" spans="1:15">
      <c r="A1311" s="52" t="str">
        <f>_xlfn.XLOOKUP(Follow[[#This Row],[CODRASTREIO]],Controle_Pedidos[Cód Rastreamento],Controle_Pedidos[Número Pedido Cliente])</f>
        <v>Pedido 1357</v>
      </c>
      <c r="B1311" s="2" t="s">
        <v>18740</v>
      </c>
      <c r="C1311" s="2" t="str">
        <f>Follow[[#This Row],[CODRASTREIO]]&amp;" B"</f>
        <v>CódRastreio1298 B</v>
      </c>
      <c r="D1311" s="52" t="str">
        <f>_xlfn.XLOOKUP(Follow[[#This Row],[Id Pedido]],Controle_Pedidos[Número Pedido Cliente],Controle_Pedidos[Loja])</f>
        <v>MEI</v>
      </c>
      <c r="E1311" s="9">
        <f>_xlfn.XLOOKUP(Follow[[#This Row],[Id Pedido]],Controle_Pedidos[Número Pedido Cliente],Controle_Pedidos[Prazo Entrega])</f>
        <v>45778</v>
      </c>
      <c r="F1311" s="9" t="s">
        <v>19433</v>
      </c>
      <c r="G1311" s="9" t="s">
        <v>475</v>
      </c>
      <c r="H1311" s="9" t="s">
        <v>179</v>
      </c>
      <c r="I1311" s="9" t="s">
        <v>178</v>
      </c>
      <c r="J1311" s="9">
        <v>45761</v>
      </c>
      <c r="K1311" s="8" t="s">
        <v>198</v>
      </c>
      <c r="L1311" s="8" t="s">
        <v>124</v>
      </c>
      <c r="M1311" s="8" t="s">
        <v>37</v>
      </c>
      <c r="N1311" s="52" t="str">
        <f>IF(Follow[[#This Row],[DATAATUALIZAÇÃO]]&lt;=Follow[[#This Row],[Prev Entrega]],"Dentro do Prazo","Fora do Prazo")</f>
        <v>Dentro do Prazo</v>
      </c>
      <c r="O13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14/04/2025, referente ao pedido Nº Pedido 1357 Rastreio NM780672660BR, agradecemos a preferência e adoraríamos receber sua avaliação, tendo qualquer dúvida estamos à disposição.
Att
NTA Variedades</v>
      </c>
    </row>
    <row r="1312" spans="1:15">
      <c r="A1312" s="52" t="str">
        <f>_xlfn.XLOOKUP(Follow[[#This Row],[CODRASTREIO]],Controle_Pedidos[Cód Rastreamento],Controle_Pedidos[Número Pedido Cliente])</f>
        <v>Pedido 1361</v>
      </c>
      <c r="B1312" s="2" t="s">
        <v>18744</v>
      </c>
      <c r="C1312" s="2" t="str">
        <f>Follow[[#This Row],[CODRASTREIO]]&amp;" B"</f>
        <v>CódRastreio1302 B</v>
      </c>
      <c r="D1312" s="52" t="str">
        <f>_xlfn.XLOOKUP(Follow[[#This Row],[Id Pedido]],Controle_Pedidos[Número Pedido Cliente],Controle_Pedidos[Loja])</f>
        <v>MEI</v>
      </c>
      <c r="E1312" s="9">
        <f>_xlfn.XLOOKUP(Follow[[#This Row],[Id Pedido]],Controle_Pedidos[Número Pedido Cliente],Controle_Pedidos[Prazo Entrega])</f>
        <v>45772</v>
      </c>
      <c r="F1312" s="9" t="s">
        <v>19433</v>
      </c>
      <c r="G1312" s="9" t="s">
        <v>476</v>
      </c>
      <c r="H1312" s="9" t="s">
        <v>179</v>
      </c>
      <c r="I1312" s="9" t="s">
        <v>178</v>
      </c>
      <c r="J1312" s="9">
        <v>45755</v>
      </c>
      <c r="K1312" s="8" t="s">
        <v>198</v>
      </c>
      <c r="L1312" s="8" t="s">
        <v>124</v>
      </c>
      <c r="M1312" s="8" t="s">
        <v>37</v>
      </c>
      <c r="N1312" s="52" t="str">
        <f>IF(Follow[[#This Row],[DATAATUALIZAÇÃO]]&lt;=Follow[[#This Row],[Prev Entrega]],"Dentro do Prazo","Fora do Prazo")</f>
        <v>Dentro do Prazo</v>
      </c>
      <c r="O13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08/04/2025, referente ao pedido Nº Pedido 1361 Rastreio NM780684742BR, agradecemos a preferência e adoraríamos receber sua avaliação, tendo qualquer dúvida estamos à disposição.
Att
NTA Variedades</v>
      </c>
    </row>
    <row r="1313" spans="1:15">
      <c r="A1313" s="52" t="str">
        <f>_xlfn.XLOOKUP(Follow[[#This Row],[CODRASTREIO]],Controle_Pedidos[Cód Rastreamento],Controle_Pedidos[Número Pedido Cliente])</f>
        <v>Pedido 1362</v>
      </c>
      <c r="B1313" s="2" t="s">
        <v>18745</v>
      </c>
      <c r="C1313" s="2" t="str">
        <f>Follow[[#This Row],[CODRASTREIO]]&amp;" B"</f>
        <v>CódRastreio1303 B</v>
      </c>
      <c r="D1313" s="52" t="str">
        <f>_xlfn.XLOOKUP(Follow[[#This Row],[Id Pedido]],Controle_Pedidos[Número Pedido Cliente],Controle_Pedidos[Loja])</f>
        <v>MEI</v>
      </c>
      <c r="E1313" s="9">
        <f>_xlfn.XLOOKUP(Follow[[#This Row],[Id Pedido]],Controle_Pedidos[Número Pedido Cliente],Controle_Pedidos[Prazo Entrega])</f>
        <v>45765</v>
      </c>
      <c r="F1313" s="9" t="s">
        <v>19433</v>
      </c>
      <c r="G1313" s="9" t="s">
        <v>37</v>
      </c>
      <c r="H1313" s="9" t="s">
        <v>178</v>
      </c>
      <c r="I1313" s="9" t="s">
        <v>178</v>
      </c>
      <c r="J1313" s="9">
        <v>45756</v>
      </c>
      <c r="K1313" s="8" t="s">
        <v>198</v>
      </c>
      <c r="L1313" s="8" t="s">
        <v>124</v>
      </c>
      <c r="M1313" s="8" t="s">
        <v>37</v>
      </c>
      <c r="N1313" s="52" t="str">
        <f>IF(Follow[[#This Row],[DATAATUALIZAÇÃO]]&lt;=Follow[[#This Row],[Prev Entrega]],"Dentro do Prazo","Fora do Prazo")</f>
        <v>Dentro do Prazo</v>
      </c>
      <c r="O13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09/04/2025, referente ao pedido Nº Pedido 1362 Rastreio Pedido 1362, agradecemos a preferência e adoraríamos receber sua avaliação, tendo qualquer dúvida estamos à disposição.
Att
NTA Variedades</v>
      </c>
    </row>
    <row r="1314" spans="1:15">
      <c r="A1314" s="52" t="str">
        <f>_xlfn.XLOOKUP(Follow[[#This Row],[CODRASTREIO]],Controle_Pedidos[Cód Rastreamento],Controle_Pedidos[Número Pedido Cliente])</f>
        <v>Pedido 1363</v>
      </c>
      <c r="B1314" s="2" t="s">
        <v>18746</v>
      </c>
      <c r="C1314" s="2" t="str">
        <f>Follow[[#This Row],[CODRASTREIO]]&amp;" B"</f>
        <v>CódRastreio1304 B</v>
      </c>
      <c r="D1314" s="52" t="str">
        <f>_xlfn.XLOOKUP(Follow[[#This Row],[Id Pedido]],Controle_Pedidos[Número Pedido Cliente],Controle_Pedidos[Loja])</f>
        <v>MEI</v>
      </c>
      <c r="E1314" s="9">
        <f>_xlfn.XLOOKUP(Follow[[#This Row],[Id Pedido]],Controle_Pedidos[Número Pedido Cliente],Controle_Pedidos[Prazo Entrega])</f>
        <v>45765</v>
      </c>
      <c r="F1314" s="9" t="s">
        <v>19433</v>
      </c>
      <c r="G1314" s="9" t="s">
        <v>37</v>
      </c>
      <c r="H1314" s="9" t="s">
        <v>178</v>
      </c>
      <c r="I1314" s="9" t="s">
        <v>178</v>
      </c>
      <c r="J1314" s="9">
        <v>45763</v>
      </c>
      <c r="K1314" s="8" t="s">
        <v>198</v>
      </c>
      <c r="L1314" s="8" t="s">
        <v>124</v>
      </c>
      <c r="M1314" s="8" t="s">
        <v>37</v>
      </c>
      <c r="N1314" s="52" t="str">
        <f>IF(Follow[[#This Row],[DATAATUALIZAÇÃO]]&lt;=Follow[[#This Row],[Prev Entrega]],"Dentro do Prazo","Fora do Prazo")</f>
        <v>Dentro do Prazo</v>
      </c>
      <c r="O13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16/04/2025, referente ao pedido Nº Pedido 1363 Rastreio Pedido 1363, agradecemos a preferência e adoraríamos receber sua avaliação, tendo qualquer dúvida estamos à disposição.
Att
NTA Variedades</v>
      </c>
    </row>
    <row r="1315" spans="1:15">
      <c r="A1315" s="52" t="str">
        <f>_xlfn.XLOOKUP(Follow[[#This Row],[CODRASTREIO]],Controle_Pedidos[Cód Rastreamento],Controle_Pedidos[Número Pedido Cliente])</f>
        <v>Pedido 1364</v>
      </c>
      <c r="B1315" s="2" t="s">
        <v>18747</v>
      </c>
      <c r="C1315" s="2" t="str">
        <f>Follow[[#This Row],[CODRASTREIO]]&amp;" B"</f>
        <v>CódRastreio1305 B</v>
      </c>
      <c r="D1315" s="52" t="str">
        <f>_xlfn.XLOOKUP(Follow[[#This Row],[Id Pedido]],Controle_Pedidos[Número Pedido Cliente],Controle_Pedidos[Loja])</f>
        <v>MEI</v>
      </c>
      <c r="E1315" s="9">
        <f>_xlfn.XLOOKUP(Follow[[#This Row],[Id Pedido]],Controle_Pedidos[Número Pedido Cliente],Controle_Pedidos[Prazo Entrega])</f>
        <v>45773</v>
      </c>
      <c r="F1315" s="9" t="s">
        <v>19433</v>
      </c>
      <c r="G1315" s="9" t="s">
        <v>477</v>
      </c>
      <c r="H1315" s="9" t="s">
        <v>179</v>
      </c>
      <c r="I1315" s="9" t="s">
        <v>178</v>
      </c>
      <c r="J1315" s="9">
        <v>45756</v>
      </c>
      <c r="K1315" s="8" t="s">
        <v>198</v>
      </c>
      <c r="L1315" s="8" t="s">
        <v>124</v>
      </c>
      <c r="M1315" s="8" t="s">
        <v>37</v>
      </c>
      <c r="N1315" s="52" t="str">
        <f>IF(Follow[[#This Row],[DATAATUALIZAÇÃO]]&lt;=Follow[[#This Row],[Prev Entrega]],"Dentro do Prazo","Fora do Prazo")</f>
        <v>Dentro do Prazo</v>
      </c>
      <c r="O13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09/04/2025, referente ao pedido Nº Pedido 1364 Rastreio NM782460362BR, agradecemos a preferência e adoraríamos receber sua avaliação, tendo qualquer dúvida estamos à disposição.
Att
NTA Variedades</v>
      </c>
    </row>
    <row r="1316" spans="1:15">
      <c r="A1316" s="52" t="str">
        <f>_xlfn.XLOOKUP(Follow[[#This Row],[CODRASTREIO]],Controle_Pedidos[Cód Rastreamento],Controle_Pedidos[Número Pedido Cliente])</f>
        <v>Pedido 1366</v>
      </c>
      <c r="B1316" s="2" t="s">
        <v>18748</v>
      </c>
      <c r="C1316" s="2" t="str">
        <f>Follow[[#This Row],[CODRASTREIO]]&amp;" B"</f>
        <v>CódRastreio1306 B</v>
      </c>
      <c r="D1316" s="52" t="str">
        <f>_xlfn.XLOOKUP(Follow[[#This Row],[Id Pedido]],Controle_Pedidos[Número Pedido Cliente],Controle_Pedidos[Loja])</f>
        <v>MEI</v>
      </c>
      <c r="E1316" s="9">
        <f>_xlfn.XLOOKUP(Follow[[#This Row],[Id Pedido]],Controle_Pedidos[Número Pedido Cliente],Controle_Pedidos[Prazo Entrega])</f>
        <v>45765</v>
      </c>
      <c r="F1316" s="9" t="s">
        <v>19433</v>
      </c>
      <c r="G1316" s="9" t="s">
        <v>478</v>
      </c>
      <c r="H1316" s="9" t="s">
        <v>179</v>
      </c>
      <c r="I1316" s="9" t="s">
        <v>178</v>
      </c>
      <c r="J1316" s="9">
        <v>45761</v>
      </c>
      <c r="K1316" s="8" t="s">
        <v>198</v>
      </c>
      <c r="L1316" s="8" t="s">
        <v>124</v>
      </c>
      <c r="M1316" s="8" t="s">
        <v>37</v>
      </c>
      <c r="N1316" s="52" t="str">
        <f>IF(Follow[[#This Row],[DATAATUALIZAÇÃO]]&lt;=Follow[[#This Row],[Prev Entrega]],"Dentro do Prazo","Fora do Prazo")</f>
        <v>Dentro do Prazo</v>
      </c>
      <c r="O13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14/04/2025, referente ao pedido Nº Pedido 1366 Rastreio NM782473485BR, agradecemos a preferência e adoraríamos receber sua avaliação, tendo qualquer dúvida estamos à disposição.
Att
NTA Variedades</v>
      </c>
    </row>
    <row r="1317" spans="1:15">
      <c r="A1317" s="52" t="str">
        <f>_xlfn.XLOOKUP(Follow[[#This Row],[CODRASTREIO]],Controle_Pedidos[Cód Rastreamento],Controle_Pedidos[Número Pedido Cliente])</f>
        <v>Pedido 1367</v>
      </c>
      <c r="B1317" s="2" t="s">
        <v>18749</v>
      </c>
      <c r="C1317" s="2" t="str">
        <f>Follow[[#This Row],[CODRASTREIO]]&amp;" B"</f>
        <v>CódRastreio1307 B</v>
      </c>
      <c r="D1317" s="52" t="str">
        <f>_xlfn.XLOOKUP(Follow[[#This Row],[Id Pedido]],Controle_Pedidos[Número Pedido Cliente],Controle_Pedidos[Loja])</f>
        <v>MEI</v>
      </c>
      <c r="E1317" s="9">
        <f>_xlfn.XLOOKUP(Follow[[#This Row],[Id Pedido]],Controle_Pedidos[Número Pedido Cliente],Controle_Pedidos[Prazo Entrega])</f>
        <v>45765</v>
      </c>
      <c r="F1317" s="9" t="s">
        <v>19433</v>
      </c>
      <c r="G1317" s="9" t="s">
        <v>479</v>
      </c>
      <c r="H1317" s="9" t="s">
        <v>179</v>
      </c>
      <c r="I1317" s="9" t="s">
        <v>178</v>
      </c>
      <c r="J1317" s="9">
        <v>45762</v>
      </c>
      <c r="K1317" s="8" t="s">
        <v>198</v>
      </c>
      <c r="L1317" s="8" t="s">
        <v>124</v>
      </c>
      <c r="M1317" s="8" t="s">
        <v>37</v>
      </c>
      <c r="N1317" s="52" t="str">
        <f>IF(Follow[[#This Row],[DATAATUALIZAÇÃO]]&lt;=Follow[[#This Row],[Prev Entrega]],"Dentro do Prazo","Fora do Prazo")</f>
        <v>Dentro do Prazo</v>
      </c>
      <c r="O13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15/04/2025, referente ao pedido Nº Pedido 1367 Rastreio NM782670848BR, agradecemos a preferência e adoraríamos receber sua avaliação, tendo qualquer dúvida estamos à disposição.
Att
NTA Variedades</v>
      </c>
    </row>
    <row r="1318" spans="1:15">
      <c r="A1318" s="52" t="str">
        <f>_xlfn.XLOOKUP(Follow[[#This Row],[CODRASTREIO]],Controle_Pedidos[Cód Rastreamento],Controle_Pedidos[Número Pedido Cliente])</f>
        <v>Pedido 1368</v>
      </c>
      <c r="B1318" s="2" t="s">
        <v>18750</v>
      </c>
      <c r="C1318" s="2" t="str">
        <f>Follow[[#This Row],[CODRASTREIO]]&amp;" B"</f>
        <v>CódRastreio1308 B</v>
      </c>
      <c r="D1318" s="52" t="str">
        <f>_xlfn.XLOOKUP(Follow[[#This Row],[Id Pedido]],Controle_Pedidos[Número Pedido Cliente],Controle_Pedidos[Loja])</f>
        <v>MEI</v>
      </c>
      <c r="E1318" s="9">
        <f>_xlfn.XLOOKUP(Follow[[#This Row],[Id Pedido]],Controle_Pedidos[Número Pedido Cliente],Controle_Pedidos[Prazo Entrega])</f>
        <v>45765</v>
      </c>
      <c r="F1318" s="9" t="s">
        <v>19433</v>
      </c>
      <c r="G1318" s="9" t="s">
        <v>480</v>
      </c>
      <c r="H1318" s="9" t="s">
        <v>179</v>
      </c>
      <c r="I1318" s="9" t="s">
        <v>178</v>
      </c>
      <c r="J1318" s="9">
        <v>45756</v>
      </c>
      <c r="K1318" s="8" t="s">
        <v>198</v>
      </c>
      <c r="L1318" s="8" t="s">
        <v>124</v>
      </c>
      <c r="M1318" s="8" t="s">
        <v>37</v>
      </c>
      <c r="N1318" s="52" t="str">
        <f>IF(Follow[[#This Row],[DATAATUALIZAÇÃO]]&lt;=Follow[[#This Row],[Prev Entrega]],"Dentro do Prazo","Fora do Prazo")</f>
        <v>Dentro do Prazo</v>
      </c>
      <c r="O13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09/04/2025, referente ao pedido Nº Pedido 1368 Rastreio NM782502337BR, agradecemos a preferência e adoraríamos receber sua avaliação, tendo qualquer dúvida estamos à disposição.
Att
NTA Variedades</v>
      </c>
    </row>
    <row r="1319" spans="1:15">
      <c r="A1319" s="52" t="str">
        <f>_xlfn.XLOOKUP(Follow[[#This Row],[CODRASTREIO]],Controle_Pedidos[Cód Rastreamento],Controle_Pedidos[Número Pedido Cliente])</f>
        <v>Pedido 1370</v>
      </c>
      <c r="B1319" s="2" t="s">
        <v>18752</v>
      </c>
      <c r="C1319" s="2" t="str">
        <f>Follow[[#This Row],[CODRASTREIO]]&amp;" B"</f>
        <v>CódRastreio1310 B</v>
      </c>
      <c r="D1319" s="52" t="str">
        <f>_xlfn.XLOOKUP(Follow[[#This Row],[Id Pedido]],Controle_Pedidos[Número Pedido Cliente],Controle_Pedidos[Loja])</f>
        <v>MEI</v>
      </c>
      <c r="E1319" s="9">
        <f>_xlfn.XLOOKUP(Follow[[#This Row],[Id Pedido]],Controle_Pedidos[Número Pedido Cliente],Controle_Pedidos[Prazo Entrega])</f>
        <v>45773</v>
      </c>
      <c r="F1319" s="9" t="s">
        <v>19433</v>
      </c>
      <c r="G1319" s="9" t="s">
        <v>481</v>
      </c>
      <c r="H1319" s="9" t="s">
        <v>179</v>
      </c>
      <c r="I1319" s="9" t="s">
        <v>178</v>
      </c>
      <c r="J1319" s="9">
        <v>45758</v>
      </c>
      <c r="K1319" s="8" t="s">
        <v>198</v>
      </c>
      <c r="L1319" s="8" t="s">
        <v>124</v>
      </c>
      <c r="M1319" s="8" t="s">
        <v>37</v>
      </c>
      <c r="N1319" s="52" t="str">
        <f>IF(Follow[[#This Row],[DATAATUALIZAÇÃO]]&lt;=Follow[[#This Row],[Prev Entrega]],"Dentro do Prazo","Fora do Prazo")</f>
        <v>Dentro do Prazo</v>
      </c>
      <c r="O13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11/04/2025, referente ao pedido Nº Pedido 1370 Rastreio NM782505700BR, agradecemos a preferência e adoraríamos receber sua avaliação, tendo qualquer dúvida estamos à disposição.
Att
NTA Variedades</v>
      </c>
    </row>
    <row r="1320" spans="1:15">
      <c r="A1320" s="52" t="str">
        <f>_xlfn.XLOOKUP(Follow[[#This Row],[CODRASTREIO]],Controle_Pedidos[Cód Rastreamento],Controle_Pedidos[Número Pedido Cliente])</f>
        <v>Pedido 1371</v>
      </c>
      <c r="B1320" s="2" t="s">
        <v>18753</v>
      </c>
      <c r="C1320" s="2" t="str">
        <f>Follow[[#This Row],[CODRASTREIO]]&amp;" B"</f>
        <v>CódRastreio1311 B</v>
      </c>
      <c r="D1320" s="52" t="str">
        <f>_xlfn.XLOOKUP(Follow[[#This Row],[Id Pedido]],Controle_Pedidos[Número Pedido Cliente],Controle_Pedidos[Loja])</f>
        <v>MEI</v>
      </c>
      <c r="E1320" s="9">
        <f>_xlfn.XLOOKUP(Follow[[#This Row],[Id Pedido]],Controle_Pedidos[Número Pedido Cliente],Controle_Pedidos[Prazo Entrega])</f>
        <v>45765</v>
      </c>
      <c r="F1320" s="9" t="s">
        <v>19433</v>
      </c>
      <c r="G1320" s="9" t="s">
        <v>482</v>
      </c>
      <c r="H1320" s="9" t="s">
        <v>179</v>
      </c>
      <c r="I1320" s="9" t="s">
        <v>178</v>
      </c>
      <c r="J1320" s="9">
        <v>45756</v>
      </c>
      <c r="K1320" s="8" t="s">
        <v>198</v>
      </c>
      <c r="L1320" s="8" t="s">
        <v>124</v>
      </c>
      <c r="M1320" s="8" t="s">
        <v>37</v>
      </c>
      <c r="N1320" s="52" t="str">
        <f>IF(Follow[[#This Row],[DATAATUALIZAÇÃO]]&lt;=Follow[[#This Row],[Prev Entrega]],"Dentro do Prazo","Fora do Prazo")</f>
        <v>Dentro do Prazo</v>
      </c>
      <c r="O13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09/04/2025, referente ao pedido Nº Pedido 1371 Rastreio NM782686349BR, agradecemos a preferência e adoraríamos receber sua avaliação, tendo qualquer dúvida estamos à disposição.
Att
NTA Variedades</v>
      </c>
    </row>
    <row r="1321" spans="1:15">
      <c r="A1321" s="52" t="str">
        <f>_xlfn.XLOOKUP(Follow[[#This Row],[CODRASTREIO]],Controle_Pedidos[Cód Rastreamento],Controle_Pedidos[Número Pedido Cliente])</f>
        <v>Pedido 1374</v>
      </c>
      <c r="B1321" s="2" t="s">
        <v>18756</v>
      </c>
      <c r="C1321" s="2" t="str">
        <f>Follow[[#This Row],[CODRASTREIO]]&amp;" B"</f>
        <v>CódRastreio1314 B</v>
      </c>
      <c r="D1321" s="52" t="str">
        <f>_xlfn.XLOOKUP(Follow[[#This Row],[Id Pedido]],Controle_Pedidos[Número Pedido Cliente],Controle_Pedidos[Loja])</f>
        <v>MEI</v>
      </c>
      <c r="E1321" s="9">
        <f>_xlfn.XLOOKUP(Follow[[#This Row],[Id Pedido]],Controle_Pedidos[Número Pedido Cliente],Controle_Pedidos[Prazo Entrega])</f>
        <v>45776</v>
      </c>
      <c r="F1321" s="9" t="s">
        <v>19433</v>
      </c>
      <c r="G1321" s="9" t="s">
        <v>483</v>
      </c>
      <c r="H1321" s="9" t="s">
        <v>179</v>
      </c>
      <c r="I1321" s="9" t="s">
        <v>178</v>
      </c>
      <c r="J1321" s="9">
        <v>45769</v>
      </c>
      <c r="K1321" s="8" t="s">
        <v>198</v>
      </c>
      <c r="L1321" s="8" t="s">
        <v>124</v>
      </c>
      <c r="M1321" s="8" t="s">
        <v>37</v>
      </c>
      <c r="N1321" s="52" t="str">
        <f>IF(Follow[[#This Row],[DATAATUALIZAÇÃO]]&lt;=Follow[[#This Row],[Prev Entrega]],"Dentro do Prazo","Fora do Prazo")</f>
        <v>Dentro do Prazo</v>
      </c>
      <c r="O13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22/04/2025, referente ao pedido Nº Pedido 1374 Rastreio NM782619653BR, agradecemos a preferência e adoraríamos receber sua avaliação, tendo qualquer dúvida estamos à disposição.
Att
NTA Variedades</v>
      </c>
    </row>
    <row r="1322" spans="1:15">
      <c r="A1322" s="52" t="str">
        <f>_xlfn.XLOOKUP(Follow[[#This Row],[CODRASTREIO]],Controle_Pedidos[Cód Rastreamento],Controle_Pedidos[Número Pedido Cliente])</f>
        <v>Pedido 1375</v>
      </c>
      <c r="B1322" s="2" t="s">
        <v>18757</v>
      </c>
      <c r="C1322" s="2" t="str">
        <f>Follow[[#This Row],[CODRASTREIO]]&amp;" B"</f>
        <v>CódRastreio1315 B</v>
      </c>
      <c r="D1322" s="52" t="str">
        <f>_xlfn.XLOOKUP(Follow[[#This Row],[Id Pedido]],Controle_Pedidos[Número Pedido Cliente],Controle_Pedidos[Loja])</f>
        <v>MEI</v>
      </c>
      <c r="E1322" s="9">
        <f>_xlfn.XLOOKUP(Follow[[#This Row],[Id Pedido]],Controle_Pedidos[Número Pedido Cliente],Controle_Pedidos[Prazo Entrega])</f>
        <v>45776</v>
      </c>
      <c r="F1322" s="9" t="s">
        <v>19433</v>
      </c>
      <c r="G1322" s="9" t="s">
        <v>484</v>
      </c>
      <c r="H1322" s="9" t="s">
        <v>179</v>
      </c>
      <c r="I1322" s="9" t="s">
        <v>178</v>
      </c>
      <c r="J1322" s="9">
        <v>45763</v>
      </c>
      <c r="K1322" s="8" t="s">
        <v>198</v>
      </c>
      <c r="L1322" s="8" t="s">
        <v>124</v>
      </c>
      <c r="M1322" s="8" t="s">
        <v>37</v>
      </c>
      <c r="N1322" s="52" t="str">
        <f>IF(Follow[[#This Row],[DATAATUALIZAÇÃO]]&lt;=Follow[[#This Row],[Prev Entrega]],"Dentro do Prazo","Fora do Prazo")</f>
        <v>Dentro do Prazo</v>
      </c>
      <c r="O13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Luminária Azul de mesa infantil foi entregue no dia 16/04/2025, referente ao pedido Nº Pedido 1375 Rastreio NM783165865BR, agradecemos a preferência e adoraríamos receber sua avaliação, tendo qualquer dúvida estamos à disposição.
Att
NTA Variedades</v>
      </c>
    </row>
    <row r="1323" spans="1:15">
      <c r="A1323" s="52" t="str">
        <f>_xlfn.XLOOKUP(Follow[[#This Row],[CODRASTREIO]],Controle_Pedidos[Cód Rastreamento],Controle_Pedidos[Número Pedido Cliente])</f>
        <v>Pedido 1377</v>
      </c>
      <c r="B1323" s="2" t="s">
        <v>18759</v>
      </c>
      <c r="C1323" s="2" t="str">
        <f>Follow[[#This Row],[CODRASTREIO]]&amp;" B"</f>
        <v>CódRastreio1317 B</v>
      </c>
      <c r="D1323" s="52" t="str">
        <f>_xlfn.XLOOKUP(Follow[[#This Row],[Id Pedido]],Controle_Pedidos[Número Pedido Cliente],Controle_Pedidos[Loja])</f>
        <v>MEI</v>
      </c>
      <c r="E1323" s="9">
        <f>_xlfn.XLOOKUP(Follow[[#This Row],[Id Pedido]],Controle_Pedidos[Número Pedido Cliente],Controle_Pedidos[Prazo Entrega])</f>
        <v>45776</v>
      </c>
      <c r="F1323" s="9" t="s">
        <v>19433</v>
      </c>
      <c r="G1323" s="9" t="s">
        <v>37</v>
      </c>
      <c r="H1323" s="9" t="s">
        <v>178</v>
      </c>
      <c r="I1323" s="9" t="s">
        <v>178</v>
      </c>
      <c r="J1323" s="9">
        <v>45754</v>
      </c>
      <c r="K1323" s="8" t="s">
        <v>198</v>
      </c>
      <c r="L1323" s="8" t="s">
        <v>124</v>
      </c>
      <c r="M1323" s="8" t="s">
        <v>37</v>
      </c>
      <c r="N1323" s="52" t="str">
        <f>IF(Follow[[#This Row],[DATAATUALIZAÇÃO]]&lt;=Follow[[#This Row],[Prev Entrega]],"Dentro do Prazo","Fora do Prazo")</f>
        <v>Dentro do Prazo</v>
      </c>
      <c r="O13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07/04/2025, referente ao pedido Nº Pedido 1377 Rastreio Pedido 1377, agradecemos a preferência e adoraríamos receber sua avaliação, tendo qualquer dúvida estamos à disposição.
Att
NTA Variedades</v>
      </c>
    </row>
    <row r="1324" spans="1:15">
      <c r="A1324" s="52" t="str">
        <f>_xlfn.XLOOKUP(Follow[[#This Row],[CODRASTREIO]],Controle_Pedidos[Cód Rastreamento],Controle_Pedidos[Número Pedido Cliente])</f>
        <v>Pedido 1369</v>
      </c>
      <c r="B1324" s="2" t="s">
        <v>18751</v>
      </c>
      <c r="C1324" s="2" t="str">
        <f>Follow[[#This Row],[CODRASTREIO]]&amp;" B"</f>
        <v>CódRastreio1309 B</v>
      </c>
      <c r="D1324" s="52" t="str">
        <f>_xlfn.XLOOKUP(Follow[[#This Row],[Id Pedido]],Controle_Pedidos[Número Pedido Cliente],Controle_Pedidos[Loja])</f>
        <v>MEI</v>
      </c>
      <c r="E1324" s="9">
        <f>_xlfn.XLOOKUP(Follow[[#This Row],[Id Pedido]],Controle_Pedidos[Número Pedido Cliente],Controle_Pedidos[Prazo Entrega])</f>
        <v>45773</v>
      </c>
      <c r="F1324" s="9" t="s">
        <v>19433</v>
      </c>
      <c r="G1324" s="9" t="s">
        <v>485</v>
      </c>
      <c r="H1324" s="9" t="s">
        <v>179</v>
      </c>
      <c r="I1324" s="9" t="s">
        <v>178</v>
      </c>
      <c r="J1324" s="9">
        <v>45769</v>
      </c>
      <c r="K1324" s="8" t="s">
        <v>198</v>
      </c>
      <c r="L1324" s="8" t="s">
        <v>124</v>
      </c>
      <c r="M1324" s="8" t="s">
        <v>37</v>
      </c>
      <c r="N1324" s="52" t="str">
        <f>IF(Follow[[#This Row],[DATAATUALIZAÇÃO]]&lt;=Follow[[#This Row],[Prev Entrega]],"Dentro do Prazo","Fora do Prazo")</f>
        <v>Dentro do Prazo</v>
      </c>
      <c r="O13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22/04/2025, referente ao pedido Nº Pedido 1369 Rastreio NM784298850BR, agradecemos a preferência e adoraríamos receber sua avaliação, tendo qualquer dúvida estamos à disposição.
Att
NTA Variedades</v>
      </c>
    </row>
    <row r="1325" spans="1:15">
      <c r="A1325" s="52" t="str">
        <f>_xlfn.XLOOKUP(Follow[[#This Row],[CODRASTREIO]],Controle_Pedidos[Cód Rastreamento],Controle_Pedidos[Número Pedido Cliente])</f>
        <v>Pedido 1372</v>
      </c>
      <c r="B1325" s="2" t="s">
        <v>18754</v>
      </c>
      <c r="C1325" s="2" t="str">
        <f>Follow[[#This Row],[CODRASTREIO]]&amp;" B"</f>
        <v>CódRastreio1312 B</v>
      </c>
      <c r="D1325" s="52" t="str">
        <f>_xlfn.XLOOKUP(Follow[[#This Row],[Id Pedido]],Controle_Pedidos[Número Pedido Cliente],Controle_Pedidos[Loja])</f>
        <v>MEI</v>
      </c>
      <c r="E1325" s="9">
        <f>_xlfn.XLOOKUP(Follow[[#This Row],[Id Pedido]],Controle_Pedidos[Número Pedido Cliente],Controle_Pedidos[Prazo Entrega])</f>
        <v>45773</v>
      </c>
      <c r="F1325" s="9" t="s">
        <v>19433</v>
      </c>
      <c r="G1325" s="9" t="s">
        <v>486</v>
      </c>
      <c r="H1325" s="9" t="s">
        <v>179</v>
      </c>
      <c r="I1325" s="9" t="s">
        <v>178</v>
      </c>
      <c r="J1325" s="9">
        <v>45764</v>
      </c>
      <c r="K1325" s="8" t="s">
        <v>198</v>
      </c>
      <c r="L1325" s="8" t="s">
        <v>124</v>
      </c>
      <c r="M1325" s="8" t="s">
        <v>37</v>
      </c>
      <c r="N1325" s="52" t="str">
        <f>IF(Follow[[#This Row],[DATAATUALIZAÇÃO]]&lt;=Follow[[#This Row],[Prev Entrega]],"Dentro do Prazo","Fora do Prazo")</f>
        <v>Dentro do Prazo</v>
      </c>
      <c r="O13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17/04/2025, referente ao pedido Nº Pedido 1372 Rastreio NM784293035BR, agradecemos a preferência e adoraríamos receber sua avaliação, tendo qualquer dúvida estamos à disposição.
Att
NTA Variedades</v>
      </c>
    </row>
    <row r="1326" spans="1:15">
      <c r="A1326" s="52" t="str">
        <f>_xlfn.XLOOKUP(Follow[[#This Row],[CODRASTREIO]],Controle_Pedidos[Cód Rastreamento],Controle_Pedidos[Número Pedido Cliente])</f>
        <v>Pedido 1373</v>
      </c>
      <c r="B1326" s="2" t="s">
        <v>18755</v>
      </c>
      <c r="C1326" s="2" t="str">
        <f>Follow[[#This Row],[CODRASTREIO]]&amp;" B"</f>
        <v>CódRastreio1313 B</v>
      </c>
      <c r="D1326" s="52" t="str">
        <f>_xlfn.XLOOKUP(Follow[[#This Row],[Id Pedido]],Controle_Pedidos[Número Pedido Cliente],Controle_Pedidos[Loja])</f>
        <v>MEI</v>
      </c>
      <c r="E1326" s="9">
        <f>_xlfn.XLOOKUP(Follow[[#This Row],[Id Pedido]],Controle_Pedidos[Número Pedido Cliente],Controle_Pedidos[Prazo Entrega])</f>
        <v>45773</v>
      </c>
      <c r="F1326" s="9" t="s">
        <v>19433</v>
      </c>
      <c r="G1326" s="9" t="s">
        <v>487</v>
      </c>
      <c r="H1326" s="9" t="s">
        <v>179</v>
      </c>
      <c r="I1326" s="9" t="s">
        <v>178</v>
      </c>
      <c r="J1326" s="9">
        <v>45769</v>
      </c>
      <c r="K1326" s="8" t="s">
        <v>198</v>
      </c>
      <c r="L1326" s="8" t="s">
        <v>124</v>
      </c>
      <c r="M1326" s="8" t="s">
        <v>208</v>
      </c>
      <c r="N1326" s="52" t="str">
        <f>IF(Follow[[#This Row],[DATAATUALIZAÇÃO]]&lt;=Follow[[#This Row],[Prev Entrega]],"Dentro do Prazo","Fora do Prazo")</f>
        <v>Dentro do Prazo</v>
      </c>
      <c r="O13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22/04/2025, referente ao pedido Nº Pedido 1373 Rastreio NM784290140BR, agradecemos a preferência e adoraríamos receber sua avaliação, tendo qualquer dúvida estamos à disposição.
Att
NTA Variedades</v>
      </c>
    </row>
    <row r="1327" spans="1:15">
      <c r="A1327" s="52" t="str">
        <f>_xlfn.XLOOKUP(Follow[[#This Row],[CODRASTREIO]],Controle_Pedidos[Cód Rastreamento],Controle_Pedidos[Número Pedido Cliente])</f>
        <v>Pedido 1376</v>
      </c>
      <c r="B1327" s="2" t="s">
        <v>18758</v>
      </c>
      <c r="C1327" s="2" t="str">
        <f>Follow[[#This Row],[CODRASTREIO]]&amp;" B"</f>
        <v>CódRastreio1316 B</v>
      </c>
      <c r="D1327" s="52" t="str">
        <f>_xlfn.XLOOKUP(Follow[[#This Row],[Id Pedido]],Controle_Pedidos[Número Pedido Cliente],Controle_Pedidos[Loja])</f>
        <v>MEI</v>
      </c>
      <c r="E1327" s="9">
        <f>_xlfn.XLOOKUP(Follow[[#This Row],[Id Pedido]],Controle_Pedidos[Número Pedido Cliente],Controle_Pedidos[Prazo Entrega])</f>
        <v>45776</v>
      </c>
      <c r="F1327" s="9" t="s">
        <v>19433</v>
      </c>
      <c r="G1327" s="9" t="s">
        <v>488</v>
      </c>
      <c r="H1327" s="9" t="s">
        <v>179</v>
      </c>
      <c r="I1327" s="9" t="s">
        <v>178</v>
      </c>
      <c r="J1327" s="9">
        <v>45762</v>
      </c>
      <c r="K1327" s="8" t="s">
        <v>198</v>
      </c>
      <c r="L1327" s="8" t="s">
        <v>124</v>
      </c>
      <c r="M1327" s="8" t="s">
        <v>37</v>
      </c>
      <c r="N1327" s="52" t="str">
        <f>IF(Follow[[#This Row],[DATAATUALIZAÇÃO]]&lt;=Follow[[#This Row],[Prev Entrega]],"Dentro do Prazo","Fora do Prazo")</f>
        <v>Dentro do Prazo</v>
      </c>
      <c r="O13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15/04/2025, referente ao pedido Nº Pedido 1376 Rastreio NM784297580BR, agradecemos a preferência e adoraríamos receber sua avaliação, tendo qualquer dúvida estamos à disposição.
Att
NTA Variedades</v>
      </c>
    </row>
    <row r="1328" spans="1:15">
      <c r="A1328" s="52" t="str">
        <f>_xlfn.XLOOKUP(Follow[[#This Row],[CODRASTREIO]],Controle_Pedidos[Cód Rastreamento],Controle_Pedidos[Número Pedido Cliente])</f>
        <v>Pedido 1378</v>
      </c>
      <c r="B1328" s="2" t="s">
        <v>18760</v>
      </c>
      <c r="C1328" s="2" t="str">
        <f>Follow[[#This Row],[CODRASTREIO]]&amp;" B"</f>
        <v>CódRastreio1318 B</v>
      </c>
      <c r="D1328" s="52" t="str">
        <f>_xlfn.XLOOKUP(Follow[[#This Row],[Id Pedido]],Controle_Pedidos[Número Pedido Cliente],Controle_Pedidos[Loja])</f>
        <v>MEI</v>
      </c>
      <c r="E1328" s="9">
        <f>_xlfn.XLOOKUP(Follow[[#This Row],[Id Pedido]],Controle_Pedidos[Número Pedido Cliente],Controle_Pedidos[Prazo Entrega])</f>
        <v>45776</v>
      </c>
      <c r="F1328" s="9" t="s">
        <v>19433</v>
      </c>
      <c r="G1328" s="9" t="s">
        <v>489</v>
      </c>
      <c r="H1328" s="9" t="s">
        <v>179</v>
      </c>
      <c r="I1328" s="9" t="s">
        <v>178</v>
      </c>
      <c r="J1328" s="9">
        <v>45769</v>
      </c>
      <c r="K1328" s="8" t="s">
        <v>198</v>
      </c>
      <c r="L1328" s="8" t="s">
        <v>124</v>
      </c>
      <c r="M1328" s="8" t="s">
        <v>37</v>
      </c>
      <c r="N1328" s="52" t="str">
        <f>IF(Follow[[#This Row],[DATAATUALIZAÇÃO]]&lt;=Follow[[#This Row],[Prev Entrega]],"Dentro do Prazo","Fora do Prazo")</f>
        <v>Dentro do Prazo</v>
      </c>
      <c r="O13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22/04/2025, referente ao pedido Nº Pedido 1378 Rastreio NM784303033BR, agradecemos a preferência e adoraríamos receber sua avaliação, tendo qualquer dúvida estamos à disposição.
Att
NTA Variedades</v>
      </c>
    </row>
    <row r="1329" spans="1:15">
      <c r="A1329" s="52" t="str">
        <f>_xlfn.XLOOKUP(Follow[[#This Row],[CODRASTREIO]],Controle_Pedidos[Cód Rastreamento],Controle_Pedidos[Número Pedido Cliente])</f>
        <v>Pedido 1379</v>
      </c>
      <c r="B1329" s="2" t="s">
        <v>18761</v>
      </c>
      <c r="C1329" s="2" t="str">
        <f>Follow[[#This Row],[CODRASTREIO]]&amp;" B"</f>
        <v>CódRastreio1319 B</v>
      </c>
      <c r="D1329" s="52" t="str">
        <f>_xlfn.XLOOKUP(Follow[[#This Row],[Id Pedido]],Controle_Pedidos[Número Pedido Cliente],Controle_Pedidos[Loja])</f>
        <v>MEI</v>
      </c>
      <c r="E1329" s="9">
        <f>_xlfn.XLOOKUP(Follow[[#This Row],[Id Pedido]],Controle_Pedidos[Número Pedido Cliente],Controle_Pedidos[Prazo Entrega])</f>
        <v>45770</v>
      </c>
      <c r="F1329" s="9" t="s">
        <v>19433</v>
      </c>
      <c r="G1329" s="9" t="s">
        <v>490</v>
      </c>
      <c r="H1329" s="9" t="s">
        <v>179</v>
      </c>
      <c r="I1329" s="9" t="s">
        <v>178</v>
      </c>
      <c r="J1329" s="9">
        <v>45763</v>
      </c>
      <c r="K1329" s="8" t="s">
        <v>198</v>
      </c>
      <c r="L1329" s="8" t="s">
        <v>124</v>
      </c>
      <c r="M1329" s="8" t="s">
        <v>37</v>
      </c>
      <c r="N1329" s="52" t="str">
        <f>IF(Follow[[#This Row],[DATAATUALIZAÇÃO]]&lt;=Follow[[#This Row],[Prev Entrega]],"Dentro do Prazo","Fora do Prazo")</f>
        <v>Dentro do Prazo</v>
      </c>
      <c r="O13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16/04/2025, referente ao pedido Nº Pedido 1379 Rastreio NM784294019BR, agradecemos a preferência e adoraríamos receber sua avaliação, tendo qualquer dúvida estamos à disposição.
Att
NTA Variedades</v>
      </c>
    </row>
    <row r="1330" spans="1:15">
      <c r="A1330" s="52" t="str">
        <f>_xlfn.XLOOKUP(Follow[[#This Row],[CODRASTREIO]],Controle_Pedidos[Cód Rastreamento],Controle_Pedidos[Número Pedido Cliente])</f>
        <v>Pedido 1380</v>
      </c>
      <c r="B1330" s="2" t="s">
        <v>18762</v>
      </c>
      <c r="C1330" s="2" t="str">
        <f>Follow[[#This Row],[CODRASTREIO]]&amp;" B"</f>
        <v>CódRastreio1320 B</v>
      </c>
      <c r="D1330" s="52" t="str">
        <f>_xlfn.XLOOKUP(Follow[[#This Row],[Id Pedido]],Controle_Pedidos[Número Pedido Cliente],Controle_Pedidos[Loja])</f>
        <v>MEI</v>
      </c>
      <c r="E1330" s="9">
        <f>_xlfn.XLOOKUP(Follow[[#This Row],[Id Pedido]],Controle_Pedidos[Número Pedido Cliente],Controle_Pedidos[Prazo Entrega])</f>
        <v>45770</v>
      </c>
      <c r="F1330" s="9" t="s">
        <v>19433</v>
      </c>
      <c r="G1330" s="9" t="s">
        <v>491</v>
      </c>
      <c r="H1330" s="9" t="s">
        <v>179</v>
      </c>
      <c r="I1330" s="9" t="s">
        <v>178</v>
      </c>
      <c r="J1330" s="9">
        <v>45758</v>
      </c>
      <c r="K1330" s="8" t="s">
        <v>198</v>
      </c>
      <c r="L1330" s="8" t="s">
        <v>124</v>
      </c>
      <c r="M1330" s="8" t="s">
        <v>37</v>
      </c>
      <c r="N1330" s="52" t="str">
        <f>IF(Follow[[#This Row],[DATAATUALIZAÇÃO]]&lt;=Follow[[#This Row],[Prev Entrega]],"Dentro do Prazo","Fora do Prazo")</f>
        <v>Dentro do Prazo</v>
      </c>
      <c r="O13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11/04/2025, referente ao pedido Nº Pedido 1380 Rastreio NM784374701BR, agradecemos a preferência e adoraríamos receber sua avaliação, tendo qualquer dúvida estamos à disposição.
Att
NTA Variedades</v>
      </c>
    </row>
    <row r="1331" spans="1:15">
      <c r="A1331" s="52" t="str">
        <f>_xlfn.XLOOKUP(Follow[[#This Row],[CODRASTREIO]],Controle_Pedidos[Cód Rastreamento],Controle_Pedidos[Número Pedido Cliente])</f>
        <v>Pedido 1381</v>
      </c>
      <c r="B1331" s="2" t="s">
        <v>18763</v>
      </c>
      <c r="C1331" s="2" t="str">
        <f>Follow[[#This Row],[CODRASTREIO]]&amp;" B"</f>
        <v>CódRastreio1321 B</v>
      </c>
      <c r="D1331" s="52" t="str">
        <f>_xlfn.XLOOKUP(Follow[[#This Row],[Id Pedido]],Controle_Pedidos[Número Pedido Cliente],Controle_Pedidos[Loja])</f>
        <v>MEI</v>
      </c>
      <c r="E1331" s="9">
        <f>_xlfn.XLOOKUP(Follow[[#This Row],[Id Pedido]],Controle_Pedidos[Número Pedido Cliente],Controle_Pedidos[Prazo Entrega])</f>
        <v>45784</v>
      </c>
      <c r="F1331" s="9" t="s">
        <v>19433</v>
      </c>
      <c r="G1331" s="9" t="s">
        <v>492</v>
      </c>
      <c r="H1331" s="9" t="s">
        <v>179</v>
      </c>
      <c r="I1331" s="9" t="s">
        <v>178</v>
      </c>
      <c r="J1331" s="9">
        <v>45783</v>
      </c>
      <c r="K1331" s="8" t="s">
        <v>198</v>
      </c>
      <c r="L1331" s="8" t="s">
        <v>124</v>
      </c>
      <c r="M1331" s="8" t="s">
        <v>37</v>
      </c>
      <c r="N1331" s="52" t="str">
        <f>IF(Follow[[#This Row],[DATAATUALIZAÇÃO]]&lt;=Follow[[#This Row],[Prev Entrega]],"Dentro do Prazo","Fora do Prazo")</f>
        <v>Dentro do Prazo</v>
      </c>
      <c r="O133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06/05/2025, referente ao pedido Nº Pedido 1381 Rastreio NM784383181BR, agradecemos a preferência e adoraríamos receber sua avaliação, tendo qualquer dúvida estamos à disposição.
Att
NTA Variedades</v>
      </c>
    </row>
    <row r="1332" spans="1:15">
      <c r="A1332" s="52" t="str">
        <f>_xlfn.XLOOKUP(Follow[[#This Row],[CODRASTREIO]],Controle_Pedidos[Cód Rastreamento],Controle_Pedidos[Número Pedido Cliente])</f>
        <v>Pedido 1382</v>
      </c>
      <c r="B1332" s="2" t="s">
        <v>18764</v>
      </c>
      <c r="C1332" s="2" t="str">
        <f>Follow[[#This Row],[CODRASTREIO]]&amp;" B"</f>
        <v>CódRastreio1322 B</v>
      </c>
      <c r="D1332" s="52" t="str">
        <f>_xlfn.XLOOKUP(Follow[[#This Row],[Id Pedido]],Controle_Pedidos[Número Pedido Cliente],Controle_Pedidos[Loja])</f>
        <v>MEI</v>
      </c>
      <c r="E1332" s="9">
        <f>_xlfn.XLOOKUP(Follow[[#This Row],[Id Pedido]],Controle_Pedidos[Número Pedido Cliente],Controle_Pedidos[Prazo Entrega])</f>
        <v>45776</v>
      </c>
      <c r="F1332" s="9" t="s">
        <v>19433</v>
      </c>
      <c r="G1332" s="9" t="s">
        <v>37</v>
      </c>
      <c r="H1332" s="9" t="s">
        <v>178</v>
      </c>
      <c r="I1332" s="9" t="s">
        <v>178</v>
      </c>
      <c r="J1332" s="9">
        <v>45754</v>
      </c>
      <c r="K1332" s="8" t="s">
        <v>198</v>
      </c>
      <c r="L1332" s="8" t="s">
        <v>124</v>
      </c>
      <c r="M1332" s="8" t="s">
        <v>37</v>
      </c>
      <c r="N1332" s="52" t="str">
        <f>IF(Follow[[#This Row],[DATAATUALIZAÇÃO]]&lt;=Follow[[#This Row],[Prev Entrega]],"Dentro do Prazo","Fora do Prazo")</f>
        <v>Dentro do Prazo</v>
      </c>
      <c r="O13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07/04/2025, referente ao pedido Nº Pedido 1382 Rastreio Pedido 1382, agradecemos a preferência e adoraríamos receber sua avaliação, tendo qualquer dúvida estamos à disposição.
Att
NTA Variedades</v>
      </c>
    </row>
    <row r="1333" spans="1:15">
      <c r="A1333" s="52" t="str">
        <f>_xlfn.XLOOKUP(Follow[[#This Row],[CODRASTREIO]],Controle_Pedidos[Cód Rastreamento],Controle_Pedidos[Número Pedido Cliente])</f>
        <v>Pedido 1383</v>
      </c>
      <c r="B1333" s="2" t="s">
        <v>18765</v>
      </c>
      <c r="C1333" s="2" t="str">
        <f>Follow[[#This Row],[CODRASTREIO]]&amp;" B"</f>
        <v>CódRastreio1323 B</v>
      </c>
      <c r="D1333" s="52" t="str">
        <f>_xlfn.XLOOKUP(Follow[[#This Row],[Id Pedido]],Controle_Pedidos[Número Pedido Cliente],Controle_Pedidos[Loja])</f>
        <v>MEI</v>
      </c>
      <c r="E1333" s="9">
        <f>_xlfn.XLOOKUP(Follow[[#This Row],[Id Pedido]],Controle_Pedidos[Número Pedido Cliente],Controle_Pedidos[Prazo Entrega])</f>
        <v>45777</v>
      </c>
      <c r="F1333" s="9" t="s">
        <v>19433</v>
      </c>
      <c r="G1333" s="9" t="s">
        <v>37</v>
      </c>
      <c r="H1333" s="9" t="s">
        <v>178</v>
      </c>
      <c r="I1333" s="9" t="s">
        <v>178</v>
      </c>
      <c r="J1333" s="9">
        <v>45755</v>
      </c>
      <c r="K1333" s="8" t="s">
        <v>198</v>
      </c>
      <c r="L1333" s="8" t="s">
        <v>124</v>
      </c>
      <c r="M1333" s="8" t="s">
        <v>37</v>
      </c>
      <c r="N1333" s="52" t="str">
        <f>IF(Follow[[#This Row],[DATAATUALIZAÇÃO]]&lt;=Follow[[#This Row],[Prev Entrega]],"Dentro do Prazo","Fora do Prazo")</f>
        <v>Dentro do Prazo</v>
      </c>
      <c r="O13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08/04/2025, referente ao pedido Nº Pedido 1383 Rastreio Pedido 1383, agradecemos a preferência e adoraríamos receber sua avaliação, tendo qualquer dúvida estamos à disposição.
Att
NTA Variedades</v>
      </c>
    </row>
    <row r="1334" spans="1:15">
      <c r="A1334" s="52" t="str">
        <f>_xlfn.XLOOKUP(Follow[[#This Row],[CODRASTREIO]],Controle_Pedidos[Cód Rastreamento],Controle_Pedidos[Número Pedido Cliente])</f>
        <v>Pedido 1384</v>
      </c>
      <c r="B1334" s="2" t="s">
        <v>18766</v>
      </c>
      <c r="C1334" s="2" t="str">
        <f>Follow[[#This Row],[CODRASTREIO]]&amp;" B"</f>
        <v>CódRastreio1324 B</v>
      </c>
      <c r="D1334" s="52" t="str">
        <f>_xlfn.XLOOKUP(Follow[[#This Row],[Id Pedido]],Controle_Pedidos[Número Pedido Cliente],Controle_Pedidos[Loja])</f>
        <v>MEI</v>
      </c>
      <c r="E1334" s="9">
        <f>_xlfn.XLOOKUP(Follow[[#This Row],[Id Pedido]],Controle_Pedidos[Número Pedido Cliente],Controle_Pedidos[Prazo Entrega])</f>
        <v>45777</v>
      </c>
      <c r="F1334" s="9" t="s">
        <v>19433</v>
      </c>
      <c r="G1334" s="9" t="s">
        <v>493</v>
      </c>
      <c r="H1334" s="9" t="s">
        <v>179</v>
      </c>
      <c r="I1334" s="9" t="s">
        <v>178</v>
      </c>
      <c r="J1334" s="9">
        <v>45759</v>
      </c>
      <c r="K1334" s="8" t="s">
        <v>198</v>
      </c>
      <c r="L1334" s="8" t="s">
        <v>124</v>
      </c>
      <c r="M1334" s="8" t="s">
        <v>37</v>
      </c>
      <c r="N1334" s="52" t="str">
        <f>IF(Follow[[#This Row],[DATAATUALIZAÇÃO]]&lt;=Follow[[#This Row],[Prev Entrega]],"Dentro do Prazo","Fora do Prazo")</f>
        <v>Dentro do Prazo</v>
      </c>
      <c r="O133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12/04/2025, referente ao pedido Nº Pedido 1384 Rastreio NM784406727BR, agradecemos a preferência e adoraríamos receber sua avaliação, tendo qualquer dúvida estamos à disposição.
Att
NTA Variedades</v>
      </c>
    </row>
    <row r="1335" spans="1:15">
      <c r="A1335" s="52" t="str">
        <f>_xlfn.XLOOKUP(Follow[[#This Row],[CODRASTREIO]],Controle_Pedidos[Cód Rastreamento],Controle_Pedidos[Número Pedido Cliente])</f>
        <v>Pedido 1387</v>
      </c>
      <c r="B1335" s="2" t="s">
        <v>18768</v>
      </c>
      <c r="C1335" s="2" t="str">
        <f>Follow[[#This Row],[CODRASTREIO]]&amp;" B"</f>
        <v>CódRastreio1326 B</v>
      </c>
      <c r="D1335" s="52" t="str">
        <f>_xlfn.XLOOKUP(Follow[[#This Row],[Id Pedido]],Controle_Pedidos[Número Pedido Cliente],Controle_Pedidos[Loja])</f>
        <v>MEI</v>
      </c>
      <c r="E1335" s="9">
        <f>_xlfn.XLOOKUP(Follow[[#This Row],[Id Pedido]],Controle_Pedidos[Número Pedido Cliente],Controle_Pedidos[Prazo Entrega])</f>
        <v>45777</v>
      </c>
      <c r="F1335" s="9" t="s">
        <v>19433</v>
      </c>
      <c r="G1335" s="9" t="s">
        <v>494</v>
      </c>
      <c r="H1335" s="9" t="s">
        <v>179</v>
      </c>
      <c r="I1335" s="9" t="s">
        <v>178</v>
      </c>
      <c r="J1335" s="9">
        <v>45761</v>
      </c>
      <c r="K1335" s="8" t="s">
        <v>198</v>
      </c>
      <c r="L1335" s="8" t="s">
        <v>124</v>
      </c>
      <c r="M1335" s="8" t="s">
        <v>37</v>
      </c>
      <c r="N1335" s="52" t="str">
        <f>IF(Follow[[#This Row],[DATAATUALIZAÇÃO]]&lt;=Follow[[#This Row],[Prev Entrega]],"Dentro do Prazo","Fora do Prazo")</f>
        <v>Dentro do Prazo</v>
      </c>
      <c r="O13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14/04/2025, referente ao pedido Nº Pedido 1387 Rastreio NM785046265BR, agradecemos a preferência e adoraríamos receber sua avaliação, tendo qualquer dúvida estamos à disposição.
Att
NTA Variedades</v>
      </c>
    </row>
    <row r="1336" spans="1:15">
      <c r="A1336" s="52" t="str">
        <f>_xlfn.XLOOKUP(Follow[[#This Row],[CODRASTREIO]],Controle_Pedidos[Cód Rastreamento],Controle_Pedidos[Número Pedido Cliente])</f>
        <v>Pedido 1388</v>
      </c>
      <c r="B1336" s="2" t="s">
        <v>18769</v>
      </c>
      <c r="C1336" s="2" t="str">
        <f>Follow[[#This Row],[CODRASTREIO]]&amp;" B"</f>
        <v>CódRastreio1327 B</v>
      </c>
      <c r="D1336" s="52" t="str">
        <f>_xlfn.XLOOKUP(Follow[[#This Row],[Id Pedido]],Controle_Pedidos[Número Pedido Cliente],Controle_Pedidos[Loja])</f>
        <v>MEI</v>
      </c>
      <c r="E1336" s="9">
        <f>_xlfn.XLOOKUP(Follow[[#This Row],[Id Pedido]],Controle_Pedidos[Número Pedido Cliente],Controle_Pedidos[Prazo Entrega])</f>
        <v>45777</v>
      </c>
      <c r="F1336" s="9" t="s">
        <v>19433</v>
      </c>
      <c r="G1336" s="9" t="s">
        <v>495</v>
      </c>
      <c r="H1336" s="9" t="s">
        <v>179</v>
      </c>
      <c r="I1336" s="9" t="s">
        <v>178</v>
      </c>
      <c r="J1336" s="9">
        <v>45770</v>
      </c>
      <c r="K1336" s="8" t="s">
        <v>198</v>
      </c>
      <c r="L1336" s="8" t="s">
        <v>124</v>
      </c>
      <c r="M1336" s="8" t="s">
        <v>37</v>
      </c>
      <c r="N1336" s="52" t="str">
        <f>IF(Follow[[#This Row],[DATAATUALIZAÇÃO]]&lt;=Follow[[#This Row],[Prev Entrega]],"Dentro do Prazo","Fora do Prazo")</f>
        <v>Dentro do Prazo</v>
      </c>
      <c r="O13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23/04/2025, referente ao pedido Nº Pedido 1388 Rastreio NM785047212BR, agradecemos a preferência e adoraríamos receber sua avaliação, tendo qualquer dúvida estamos à disposição.
Att
NTA Variedades</v>
      </c>
    </row>
    <row r="1337" spans="1:15">
      <c r="A1337" s="52" t="str">
        <f>_xlfn.XLOOKUP(Follow[[#This Row],[CODRASTREIO]],Controle_Pedidos[Cód Rastreamento],Controle_Pedidos[Número Pedido Cliente])</f>
        <v>Pedido 1389</v>
      </c>
      <c r="B1337" s="2" t="s">
        <v>18770</v>
      </c>
      <c r="C1337" s="2" t="str">
        <f>Follow[[#This Row],[CODRASTREIO]]&amp;" B"</f>
        <v>CódRastreio1328 B</v>
      </c>
      <c r="D1337" s="52" t="str">
        <f>_xlfn.XLOOKUP(Follow[[#This Row],[Id Pedido]],Controle_Pedidos[Número Pedido Cliente],Controle_Pedidos[Loja])</f>
        <v>MEI</v>
      </c>
      <c r="E1337" s="9">
        <f>_xlfn.XLOOKUP(Follow[[#This Row],[Id Pedido]],Controle_Pedidos[Número Pedido Cliente],Controle_Pedidos[Prazo Entrega])</f>
        <v>45785</v>
      </c>
      <c r="F1337" s="9" t="s">
        <v>19433</v>
      </c>
      <c r="G1337" s="9" t="s">
        <v>37</v>
      </c>
      <c r="H1337" s="9" t="s">
        <v>178</v>
      </c>
      <c r="I1337" s="9" t="s">
        <v>178</v>
      </c>
      <c r="J1337" s="9">
        <v>45762</v>
      </c>
      <c r="K1337" s="8" t="s">
        <v>198</v>
      </c>
      <c r="L1337" s="8" t="s">
        <v>124</v>
      </c>
      <c r="M1337" s="8" t="s">
        <v>37</v>
      </c>
      <c r="N1337" s="52" t="str">
        <f>IF(Follow[[#This Row],[DATAATUALIZAÇÃO]]&lt;=Follow[[#This Row],[Prev Entrega]],"Dentro do Prazo","Fora do Prazo")</f>
        <v>Dentro do Prazo</v>
      </c>
      <c r="O133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15/04/2025, referente ao pedido Nº Pedido 1389 Rastreio Pedido 1389, agradecemos a preferência e adoraríamos receber sua avaliação, tendo qualquer dúvida estamos à disposição.
Att
NTA Variedades</v>
      </c>
    </row>
    <row r="1338" spans="1:15">
      <c r="A1338" s="52" t="str">
        <f>_xlfn.XLOOKUP(Follow[[#This Row],[CODRASTREIO]],Controle_Pedidos[Cód Rastreamento],Controle_Pedidos[Número Pedido Cliente])</f>
        <v>Pedido 1390</v>
      </c>
      <c r="B1338" s="2" t="s">
        <v>18771</v>
      </c>
      <c r="C1338" s="2" t="str">
        <f>Follow[[#This Row],[CODRASTREIO]]&amp;" B"</f>
        <v>CódRastreio1329 B</v>
      </c>
      <c r="D1338" s="52" t="str">
        <f>_xlfn.XLOOKUP(Follow[[#This Row],[Id Pedido]],Controle_Pedidos[Número Pedido Cliente],Controle_Pedidos[Loja])</f>
        <v>MEI</v>
      </c>
      <c r="E1338" s="9">
        <f>_xlfn.XLOOKUP(Follow[[#This Row],[Id Pedido]],Controle_Pedidos[Número Pedido Cliente],Controle_Pedidos[Prazo Entrega])</f>
        <v>45772</v>
      </c>
      <c r="F1338" s="9" t="s">
        <v>19433</v>
      </c>
      <c r="G1338" s="9" t="s">
        <v>496</v>
      </c>
      <c r="H1338" s="9" t="s">
        <v>179</v>
      </c>
      <c r="I1338" s="9" t="s">
        <v>178</v>
      </c>
      <c r="J1338" s="9">
        <v>45758</v>
      </c>
      <c r="K1338" s="8" t="s">
        <v>198</v>
      </c>
      <c r="L1338" s="8" t="s">
        <v>124</v>
      </c>
      <c r="M1338" s="8" t="s">
        <v>37</v>
      </c>
      <c r="N1338" s="52" t="str">
        <f>IF(Follow[[#This Row],[DATAATUALIZAÇÃO]]&lt;=Follow[[#This Row],[Prev Entrega]],"Dentro do Prazo","Fora do Prazo")</f>
        <v>Dentro do Prazo</v>
      </c>
      <c r="O13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11/04/2025, referente ao pedido Nº Pedido 1390 Rastreio NM785076267BR, agradecemos a preferência e adoraríamos receber sua avaliação, tendo qualquer dúvida estamos à disposição.
Att
NTA Variedades</v>
      </c>
    </row>
    <row r="1339" spans="1:15">
      <c r="A1339" s="52" t="str">
        <f>_xlfn.XLOOKUP(Follow[[#This Row],[CODRASTREIO]],Controle_Pedidos[Cód Rastreamento],Controle_Pedidos[Número Pedido Cliente])</f>
        <v>Pedido 1391</v>
      </c>
      <c r="B1339" s="2" t="s">
        <v>18772</v>
      </c>
      <c r="C1339" s="2" t="str">
        <f>Follow[[#This Row],[CODRASTREIO]]&amp;" B"</f>
        <v>CódRastreio1330 B</v>
      </c>
      <c r="D1339" s="52" t="str">
        <f>_xlfn.XLOOKUP(Follow[[#This Row],[Id Pedido]],Controle_Pedidos[Número Pedido Cliente],Controle_Pedidos[Loja])</f>
        <v>MEI</v>
      </c>
      <c r="E1339" s="9">
        <f>_xlfn.XLOOKUP(Follow[[#This Row],[Id Pedido]],Controle_Pedidos[Número Pedido Cliente],Controle_Pedidos[Prazo Entrega])</f>
        <v>45778</v>
      </c>
      <c r="F1339" s="9" t="s">
        <v>19433</v>
      </c>
      <c r="G1339" s="9" t="s">
        <v>497</v>
      </c>
      <c r="H1339" s="9" t="s">
        <v>179</v>
      </c>
      <c r="I1339" s="9" t="s">
        <v>178</v>
      </c>
      <c r="J1339" s="9">
        <v>45770</v>
      </c>
      <c r="K1339" s="8" t="s">
        <v>198</v>
      </c>
      <c r="L1339" s="8" t="s">
        <v>124</v>
      </c>
      <c r="M1339" s="8" t="s">
        <v>37</v>
      </c>
      <c r="N1339" s="52" t="str">
        <f>IF(Follow[[#This Row],[DATAATUALIZAÇÃO]]&lt;=Follow[[#This Row],[Prev Entrega]],"Dentro do Prazo","Fora do Prazo")</f>
        <v>Dentro do Prazo</v>
      </c>
      <c r="O13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23/04/2025, referente ao pedido Nº Pedido 1391 Rastreio NM785080451BR, agradecemos a preferência e adoraríamos receber sua avaliação, tendo qualquer dúvida estamos à disposição.
Att
NTA Variedades</v>
      </c>
    </row>
    <row r="1340" spans="1:15">
      <c r="A1340" s="52" t="str">
        <f>_xlfn.XLOOKUP(Follow[[#This Row],[CODRASTREIO]],Controle_Pedidos[Cód Rastreamento],Controle_Pedidos[Número Pedido Cliente])</f>
        <v>Pedido 1394</v>
      </c>
      <c r="B1340" s="2" t="s">
        <v>18775</v>
      </c>
      <c r="C1340" s="2" t="str">
        <f>Follow[[#This Row],[CODRASTREIO]]&amp;" B"</f>
        <v>CódRastreio1333 B</v>
      </c>
      <c r="D1340" s="52" t="str">
        <f>_xlfn.XLOOKUP(Follow[[#This Row],[Id Pedido]],Controle_Pedidos[Número Pedido Cliente],Controle_Pedidos[Loja])</f>
        <v>MEI</v>
      </c>
      <c r="E1340" s="9">
        <f>_xlfn.XLOOKUP(Follow[[#This Row],[Id Pedido]],Controle_Pedidos[Número Pedido Cliente],Controle_Pedidos[Prazo Entrega])</f>
        <v>45772</v>
      </c>
      <c r="F1340" s="9" t="s">
        <v>19433</v>
      </c>
      <c r="G1340" s="9" t="s">
        <v>498</v>
      </c>
      <c r="H1340" s="9" t="s">
        <v>179</v>
      </c>
      <c r="I1340" s="9" t="s">
        <v>178</v>
      </c>
      <c r="J1340" s="9">
        <v>45762</v>
      </c>
      <c r="K1340" s="8" t="s">
        <v>198</v>
      </c>
      <c r="L1340" s="8" t="s">
        <v>124</v>
      </c>
      <c r="M1340" s="8" t="s">
        <v>37</v>
      </c>
      <c r="N1340" s="52" t="str">
        <f>IF(Follow[[#This Row],[DATAATUALIZAÇÃO]]&lt;=Follow[[#This Row],[Prev Entrega]],"Dentro do Prazo","Fora do Prazo")</f>
        <v>Dentro do Prazo</v>
      </c>
      <c r="O134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15/04/2025, referente ao pedido Nº Pedido 1394 Rastreio NM785076179BR, agradecemos a preferência e adoraríamos receber sua avaliação, tendo qualquer dúvida estamos à disposição.
Att
NTA Variedades</v>
      </c>
    </row>
    <row r="1341" spans="1:15">
      <c r="A1341" s="52" t="str">
        <f>_xlfn.XLOOKUP(Follow[[#This Row],[CODRASTREIO]],Controle_Pedidos[Cód Rastreamento],Controle_Pedidos[Número Pedido Cliente])</f>
        <v>Pedido 1395</v>
      </c>
      <c r="B1341" s="2" t="s">
        <v>18776</v>
      </c>
      <c r="C1341" s="2" t="str">
        <f>Follow[[#This Row],[CODRASTREIO]]&amp;" B"</f>
        <v>CódRastreio1334 B</v>
      </c>
      <c r="D1341" s="52" t="str">
        <f>_xlfn.XLOOKUP(Follow[[#This Row],[Id Pedido]],Controle_Pedidos[Número Pedido Cliente],Controle_Pedidos[Loja])</f>
        <v>MEI</v>
      </c>
      <c r="E1341" s="9">
        <f>_xlfn.XLOOKUP(Follow[[#This Row],[Id Pedido]],Controle_Pedidos[Número Pedido Cliente],Controle_Pedidos[Prazo Entrega])</f>
        <v>45772</v>
      </c>
      <c r="F1341" s="9" t="s">
        <v>19433</v>
      </c>
      <c r="G1341" s="9" t="s">
        <v>499</v>
      </c>
      <c r="H1341" s="9" t="s">
        <v>179</v>
      </c>
      <c r="I1341" s="9" t="s">
        <v>178</v>
      </c>
      <c r="J1341" s="9">
        <v>45762</v>
      </c>
      <c r="K1341" s="8" t="s">
        <v>198</v>
      </c>
      <c r="L1341" s="8" t="s">
        <v>124</v>
      </c>
      <c r="M1341" s="8" t="s">
        <v>37</v>
      </c>
      <c r="N1341" s="52" t="str">
        <f>IF(Follow[[#This Row],[DATAATUALIZAÇÃO]]&lt;=Follow[[#This Row],[Prev Entrega]],"Dentro do Prazo","Fora do Prazo")</f>
        <v>Dentro do Prazo</v>
      </c>
      <c r="O13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15/04/2025, referente ao pedido Nº Pedido 1395 Rastreio NM785089115BR, agradecemos a preferência e adoraríamos receber sua avaliação, tendo qualquer dúvida estamos à disposição.
Att
NTA Variedades</v>
      </c>
    </row>
    <row r="1342" spans="1:15">
      <c r="A1342" s="52" t="str">
        <f>_xlfn.XLOOKUP(Follow[[#This Row],[CODRASTREIO]],Controle_Pedidos[Cód Rastreamento],Controle_Pedidos[Número Pedido Cliente])</f>
        <v>Pedido 1399</v>
      </c>
      <c r="B1342" s="2" t="s">
        <v>18780</v>
      </c>
      <c r="C1342" s="2" t="str">
        <f>Follow[[#This Row],[CODRASTREIO]]&amp;" B"</f>
        <v>CódRastreio1338 B</v>
      </c>
      <c r="D1342" s="52" t="str">
        <f>_xlfn.XLOOKUP(Follow[[#This Row],[Id Pedido]],Controle_Pedidos[Número Pedido Cliente],Controle_Pedidos[Loja])</f>
        <v>MEI</v>
      </c>
      <c r="E1342" s="9">
        <f>_xlfn.XLOOKUP(Follow[[#This Row],[Id Pedido]],Controle_Pedidos[Número Pedido Cliente],Controle_Pedidos[Prazo Entrega])</f>
        <v>45778</v>
      </c>
      <c r="F1342" s="9" t="s">
        <v>19433</v>
      </c>
      <c r="G1342" s="9" t="s">
        <v>500</v>
      </c>
      <c r="H1342" s="9" t="s">
        <v>179</v>
      </c>
      <c r="I1342" s="9" t="s">
        <v>178</v>
      </c>
      <c r="J1342" s="9">
        <v>45764</v>
      </c>
      <c r="K1342" s="8" t="s">
        <v>198</v>
      </c>
      <c r="L1342" s="8" t="s">
        <v>124</v>
      </c>
      <c r="M1342" s="8" t="s">
        <v>37</v>
      </c>
      <c r="N1342" s="52" t="str">
        <f>IF(Follow[[#This Row],[DATAATUALIZAÇÃO]]&lt;=Follow[[#This Row],[Prev Entrega]],"Dentro do Prazo","Fora do Prazo")</f>
        <v>Dentro do Prazo</v>
      </c>
      <c r="O13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17/04/2025, referente ao pedido Nº Pedido 1399 Rastreio NM785193776BR, agradecemos a preferência e adoraríamos receber sua avaliação, tendo qualquer dúvida estamos à disposição.
Att
NTA Variedades</v>
      </c>
    </row>
    <row r="1343" spans="1:15">
      <c r="A1343" s="52" t="str">
        <f>_xlfn.XLOOKUP(Follow[[#This Row],[CODRASTREIO]],Controle_Pedidos[Cód Rastreamento],Controle_Pedidos[Número Pedido Cliente])</f>
        <v>Pedido 1400</v>
      </c>
      <c r="B1343" s="2" t="s">
        <v>18781</v>
      </c>
      <c r="C1343" s="2" t="str">
        <f>Follow[[#This Row],[CODRASTREIO]]&amp;" B"</f>
        <v>CódRastreio1339 B</v>
      </c>
      <c r="D1343" s="52" t="str">
        <f>_xlfn.XLOOKUP(Follow[[#This Row],[Id Pedido]],Controle_Pedidos[Número Pedido Cliente],Controle_Pedidos[Loja])</f>
        <v>MEI</v>
      </c>
      <c r="E1343" s="9">
        <f>_xlfn.XLOOKUP(Follow[[#This Row],[Id Pedido]],Controle_Pedidos[Número Pedido Cliente],Controle_Pedidos[Prazo Entrega])</f>
        <v>45778</v>
      </c>
      <c r="F1343" s="9" t="s">
        <v>19433</v>
      </c>
      <c r="G1343" s="9" t="s">
        <v>501</v>
      </c>
      <c r="H1343" s="9" t="s">
        <v>179</v>
      </c>
      <c r="I1343" s="9" t="s">
        <v>178</v>
      </c>
      <c r="J1343" s="9">
        <v>45770</v>
      </c>
      <c r="K1343" s="8" t="s">
        <v>198</v>
      </c>
      <c r="L1343" s="8" t="s">
        <v>124</v>
      </c>
      <c r="M1343" s="8" t="s">
        <v>37</v>
      </c>
      <c r="N1343" s="52" t="str">
        <f>IF(Follow[[#This Row],[DATAATUALIZAÇÃO]]&lt;=Follow[[#This Row],[Prev Entrega]],"Dentro do Prazo","Fora do Prazo")</f>
        <v>Dentro do Prazo</v>
      </c>
      <c r="O13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23/04/2025, referente ao pedido Nº Pedido 1400 Rastreio NM785186191BR, agradecemos a preferência e adoraríamos receber sua avaliação, tendo qualquer dúvida estamos à disposição.
Att
NTA Variedades</v>
      </c>
    </row>
    <row r="1344" spans="1:15">
      <c r="A1344" s="52" t="str">
        <f>_xlfn.XLOOKUP(Follow[[#This Row],[CODRASTREIO]],Controle_Pedidos[Cód Rastreamento],Controle_Pedidos[Número Pedido Cliente])</f>
        <v>Pedido 1401</v>
      </c>
      <c r="B1344" s="2" t="s">
        <v>18782</v>
      </c>
      <c r="C1344" s="2" t="str">
        <f>Follow[[#This Row],[CODRASTREIO]]&amp;" B"</f>
        <v>CódRastreio1340 B</v>
      </c>
      <c r="D1344" s="52" t="str">
        <f>_xlfn.XLOOKUP(Follow[[#This Row],[Id Pedido]],Controle_Pedidos[Número Pedido Cliente],Controle_Pedidos[Loja])</f>
        <v>MEI</v>
      </c>
      <c r="E1344" s="9">
        <f>_xlfn.XLOOKUP(Follow[[#This Row],[Id Pedido]],Controle_Pedidos[Número Pedido Cliente],Controle_Pedidos[Prazo Entrega])</f>
        <v>45778</v>
      </c>
      <c r="F1344" s="9" t="s">
        <v>19433</v>
      </c>
      <c r="G1344" s="9" t="s">
        <v>502</v>
      </c>
      <c r="H1344" s="9" t="s">
        <v>179</v>
      </c>
      <c r="I1344" s="9" t="s">
        <v>178</v>
      </c>
      <c r="J1344" s="9">
        <v>45770</v>
      </c>
      <c r="K1344" s="8" t="s">
        <v>198</v>
      </c>
      <c r="L1344" s="8" t="s">
        <v>124</v>
      </c>
      <c r="M1344" s="8" t="s">
        <v>37</v>
      </c>
      <c r="N1344" s="52" t="str">
        <f>IF(Follow[[#This Row],[DATAATUALIZAÇÃO]]&lt;=Follow[[#This Row],[Prev Entrega]],"Dentro do Prazo","Fora do Prazo")</f>
        <v>Dentro do Prazo</v>
      </c>
      <c r="O13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23/04/2025, referente ao pedido Nº Pedido 1401 Rastreio NM785206506BR, agradecemos a preferência e adoraríamos receber sua avaliação, tendo qualquer dúvida estamos à disposição.
Att
NTA Variedades</v>
      </c>
    </row>
    <row r="1345" spans="1:15">
      <c r="A1345" s="52" t="str">
        <f>_xlfn.XLOOKUP(Follow[[#This Row],[CODRASTREIO]],Controle_Pedidos[Cód Rastreamento],Controle_Pedidos[Número Pedido Cliente])</f>
        <v>Pedido 1406</v>
      </c>
      <c r="B1345" s="2" t="s">
        <v>18787</v>
      </c>
      <c r="C1345" s="2" t="str">
        <f>Follow[[#This Row],[CODRASTREIO]]&amp;" B"</f>
        <v>CódRastreio1345 B</v>
      </c>
      <c r="D1345" s="52" t="str">
        <f>_xlfn.XLOOKUP(Follow[[#This Row],[Id Pedido]],Controle_Pedidos[Número Pedido Cliente],Controle_Pedidos[Loja])</f>
        <v>GO</v>
      </c>
      <c r="E1345" s="9">
        <f>_xlfn.XLOOKUP(Follow[[#This Row],[Id Pedido]],Controle_Pedidos[Número Pedido Cliente],Controle_Pedidos[Prazo Entrega])</f>
        <v>45777</v>
      </c>
      <c r="F1345" s="9" t="s">
        <v>19433</v>
      </c>
      <c r="G1345" s="9" t="s">
        <v>503</v>
      </c>
      <c r="H1345" s="9" t="s">
        <v>179</v>
      </c>
      <c r="I1345" s="9" t="s">
        <v>178</v>
      </c>
      <c r="J1345" s="9">
        <v>45763</v>
      </c>
      <c r="K1345" s="8" t="s">
        <v>198</v>
      </c>
      <c r="L1345" s="8" t="s">
        <v>124</v>
      </c>
      <c r="M1345" s="8" t="s">
        <v>208</v>
      </c>
      <c r="N1345" s="52" t="str">
        <f>IF(Follow[[#This Row],[DATAATUALIZAÇÃO]]&lt;=Follow[[#This Row],[Prev Entrega]],"Dentro do Prazo","Fora do Prazo")</f>
        <v>Dentro do Prazo</v>
      </c>
      <c r="O13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16/04/2025, referente ao pedido Nº Pedido 1406 Rastreio NM784150726BR, agradecemos a preferência e adoraríamos receber sua avaliação, tendo qualquer dúvida estamos à disposição.
Att
Sec Variedades</v>
      </c>
    </row>
    <row r="1346" spans="1:15">
      <c r="A1346" s="52" t="str">
        <f>_xlfn.XLOOKUP(Follow[[#This Row],[CODRASTREIO]],Controle_Pedidos[Cód Rastreamento],Controle_Pedidos[Número Pedido Cliente])</f>
        <v>Pedido 1407</v>
      </c>
      <c r="B1346" s="2" t="s">
        <v>18788</v>
      </c>
      <c r="C1346" s="2" t="str">
        <f>Follow[[#This Row],[CODRASTREIO]]&amp;" B"</f>
        <v>CódRastreio1346 B</v>
      </c>
      <c r="D1346" s="52" t="str">
        <f>_xlfn.XLOOKUP(Follow[[#This Row],[Id Pedido]],Controle_Pedidos[Número Pedido Cliente],Controle_Pedidos[Loja])</f>
        <v>GO</v>
      </c>
      <c r="E1346" s="9">
        <f>_xlfn.XLOOKUP(Follow[[#This Row],[Id Pedido]],Controle_Pedidos[Número Pedido Cliente],Controle_Pedidos[Prazo Entrega])</f>
        <v>45785</v>
      </c>
      <c r="F1346" s="9" t="s">
        <v>19433</v>
      </c>
      <c r="G1346" s="9" t="s">
        <v>504</v>
      </c>
      <c r="H1346" s="9" t="s">
        <v>179</v>
      </c>
      <c r="I1346" s="9" t="s">
        <v>178</v>
      </c>
      <c r="J1346" s="9">
        <v>45764</v>
      </c>
      <c r="K1346" s="8" t="s">
        <v>198</v>
      </c>
      <c r="L1346" s="8" t="s">
        <v>124</v>
      </c>
      <c r="M1346" s="8" t="s">
        <v>37</v>
      </c>
      <c r="N1346" s="52" t="str">
        <f>IF(Follow[[#This Row],[DATAATUALIZAÇÃO]]&lt;=Follow[[#This Row],[Prev Entrega]],"Dentro do Prazo","Fora do Prazo")</f>
        <v>Dentro do Prazo</v>
      </c>
      <c r="O134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Escova Multifuncional foi entregue no dia 17/04/2025, referente ao pedido Nº Pedido 1407 Rastreio NM784820275BR, agradecemos a preferência e adoraríamos receber sua avaliação, tendo qualquer dúvida estamos à disposição.
Att
Sec Variedades</v>
      </c>
    </row>
    <row r="1347" spans="1:15">
      <c r="A1347" s="52" t="str">
        <f>_xlfn.XLOOKUP(Follow[[#This Row],[CODRASTREIO]],Controle_Pedidos[Cód Rastreamento],Controle_Pedidos[Número Pedido Cliente])</f>
        <v>Pedido 1408</v>
      </c>
      <c r="B1347" s="2" t="s">
        <v>18789</v>
      </c>
      <c r="C1347" s="2" t="str">
        <f>Follow[[#This Row],[CODRASTREIO]]&amp;" B"</f>
        <v>CódRastreio1347 B</v>
      </c>
      <c r="D1347" s="52" t="str">
        <f>_xlfn.XLOOKUP(Follow[[#This Row],[Id Pedido]],Controle_Pedidos[Número Pedido Cliente],Controle_Pedidos[Loja])</f>
        <v>MEI</v>
      </c>
      <c r="E1347" s="9">
        <f>_xlfn.XLOOKUP(Follow[[#This Row],[Id Pedido]],Controle_Pedidos[Número Pedido Cliente],Controle_Pedidos[Prazo Entrega])</f>
        <v>45772</v>
      </c>
      <c r="F1347" s="9" t="s">
        <v>19433</v>
      </c>
      <c r="G1347" s="9" t="s">
        <v>37</v>
      </c>
      <c r="H1347" s="9" t="s">
        <v>178</v>
      </c>
      <c r="I1347" s="9" t="s">
        <v>178</v>
      </c>
      <c r="J1347" s="9">
        <v>45757</v>
      </c>
      <c r="K1347" s="8" t="s">
        <v>198</v>
      </c>
      <c r="L1347" s="8" t="s">
        <v>124</v>
      </c>
      <c r="M1347" s="8" t="s">
        <v>37</v>
      </c>
      <c r="N1347" s="52" t="str">
        <f>IF(Follow[[#This Row],[DATAATUALIZAÇÃO]]&lt;=Follow[[#This Row],[Prev Entrega]],"Dentro do Prazo","Fora do Prazo")</f>
        <v>Dentro do Prazo</v>
      </c>
      <c r="O134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10/04/2025, referente ao pedido Nº Pedido 1408 Rastreio Pedido 1408, agradecemos a preferência e adoraríamos receber sua avaliação, tendo qualquer dúvida estamos à disposição.
Att
NTA Variedades</v>
      </c>
    </row>
    <row r="1348" spans="1:15">
      <c r="A1348" s="52" t="str">
        <f>_xlfn.XLOOKUP(Follow[[#This Row],[CODRASTREIO]],Controle_Pedidos[Cód Rastreamento],Controle_Pedidos[Número Pedido Cliente])</f>
        <v>Pedido 1385</v>
      </c>
      <c r="B1348" s="2" t="s">
        <v>18767</v>
      </c>
      <c r="C1348" s="2" t="str">
        <f>Follow[[#This Row],[CODRASTREIO]]&amp;" B"</f>
        <v>CódRastreio1325 B</v>
      </c>
      <c r="D1348" s="52" t="str">
        <f>_xlfn.XLOOKUP(Follow[[#This Row],[Id Pedido]],Controle_Pedidos[Número Pedido Cliente],Controle_Pedidos[Loja])</f>
        <v>MEI</v>
      </c>
      <c r="E1348" s="9">
        <f>_xlfn.XLOOKUP(Follow[[#This Row],[Id Pedido]],Controle_Pedidos[Número Pedido Cliente],Controle_Pedidos[Prazo Entrega])</f>
        <v>45777</v>
      </c>
      <c r="F1348" s="9" t="s">
        <v>19433</v>
      </c>
      <c r="G1348" s="9" t="s">
        <v>505</v>
      </c>
      <c r="H1348" s="9" t="s">
        <v>179</v>
      </c>
      <c r="I1348" s="52" t="s">
        <v>178</v>
      </c>
      <c r="J1348" s="140">
        <v>45763</v>
      </c>
      <c r="K1348" s="124" t="s">
        <v>198</v>
      </c>
      <c r="L1348" s="8" t="s">
        <v>124</v>
      </c>
      <c r="M1348" s="8" t="s">
        <v>37</v>
      </c>
      <c r="N1348" s="52" t="str">
        <f>IF(Follow[[#This Row],[DATAATUALIZAÇÃO]]&lt;=Follow[[#This Row],[Prev Entrega]],"Dentro do Prazo","Fora do Prazo")</f>
        <v>Dentro do Prazo</v>
      </c>
      <c r="O13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16/04/2025, referente ao pedido Nº Pedido 1385 Rastreio NM787022258BR, agradecemos a preferência e adoraríamos receber sua avaliação, tendo qualquer dúvida estamos à disposição.
Att
NTA Variedades</v>
      </c>
    </row>
    <row r="1349" spans="1:15">
      <c r="A1349" s="52" t="str">
        <f>_xlfn.XLOOKUP(Follow[[#This Row],[CODRASTREIO]],Controle_Pedidos[Cód Rastreamento],Controle_Pedidos[Número Pedido Cliente])</f>
        <v>Pedido 1392</v>
      </c>
      <c r="B1349" s="2" t="s">
        <v>18773</v>
      </c>
      <c r="C1349" s="2" t="str">
        <f>Follow[[#This Row],[CODRASTREIO]]&amp;" B"</f>
        <v>CódRastreio1331 B</v>
      </c>
      <c r="D1349" s="52" t="str">
        <f>_xlfn.XLOOKUP(Follow[[#This Row],[Id Pedido]],Controle_Pedidos[Número Pedido Cliente],Controle_Pedidos[Loja])</f>
        <v>MEI</v>
      </c>
      <c r="E1349" s="9">
        <f>_xlfn.XLOOKUP(Follow[[#This Row],[Id Pedido]],Controle_Pedidos[Número Pedido Cliente],Controle_Pedidos[Prazo Entrega])</f>
        <v>45778</v>
      </c>
      <c r="F1349" s="9" t="s">
        <v>19433</v>
      </c>
      <c r="G1349" s="9" t="s">
        <v>506</v>
      </c>
      <c r="H1349" s="9" t="s">
        <v>179</v>
      </c>
      <c r="I1349" s="52" t="s">
        <v>178</v>
      </c>
      <c r="J1349" s="140">
        <v>45770</v>
      </c>
      <c r="K1349" s="124" t="s">
        <v>198</v>
      </c>
      <c r="L1349" s="8" t="s">
        <v>124</v>
      </c>
      <c r="M1349" s="8" t="s">
        <v>37</v>
      </c>
      <c r="N1349" s="52" t="str">
        <f>IF(Follow[[#This Row],[DATAATUALIZAÇÃO]]&lt;=Follow[[#This Row],[Prev Entrega]],"Dentro do Prazo","Fora do Prazo")</f>
        <v>Dentro do Prazo</v>
      </c>
      <c r="O13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23/04/2025, referente ao pedido Nº Pedido 1392 Rastreio NM785548810BR, agradecemos a preferência e adoraríamos receber sua avaliação, tendo qualquer dúvida estamos à disposição.
Att
NTA Variedades</v>
      </c>
    </row>
    <row r="1350" spans="1:15">
      <c r="A1350" s="52" t="str">
        <f>_xlfn.XLOOKUP(Follow[[#This Row],[CODRASTREIO]],Controle_Pedidos[Cód Rastreamento],Controle_Pedidos[Número Pedido Cliente])</f>
        <v>Pedido 1396</v>
      </c>
      <c r="B1350" s="2" t="s">
        <v>18777</v>
      </c>
      <c r="C1350" s="2" t="str">
        <f>Follow[[#This Row],[CODRASTREIO]]&amp;" B"</f>
        <v>CódRastreio1335 B</v>
      </c>
      <c r="D1350" s="52" t="str">
        <f>_xlfn.XLOOKUP(Follow[[#This Row],[Id Pedido]],Controle_Pedidos[Número Pedido Cliente],Controle_Pedidos[Loja])</f>
        <v>MEI</v>
      </c>
      <c r="E1350" s="9">
        <f>_xlfn.XLOOKUP(Follow[[#This Row],[Id Pedido]],Controle_Pedidos[Número Pedido Cliente],Controle_Pedidos[Prazo Entrega])</f>
        <v>45778</v>
      </c>
      <c r="F1350" s="9" t="s">
        <v>19433</v>
      </c>
      <c r="G1350" s="9" t="s">
        <v>507</v>
      </c>
      <c r="H1350" s="9" t="s">
        <v>179</v>
      </c>
      <c r="I1350" s="52" t="s">
        <v>178</v>
      </c>
      <c r="J1350" s="140">
        <v>45770</v>
      </c>
      <c r="K1350" s="124" t="s">
        <v>198</v>
      </c>
      <c r="L1350" s="8" t="s">
        <v>124</v>
      </c>
      <c r="M1350" s="8" t="s">
        <v>37</v>
      </c>
      <c r="N1350" s="52" t="str">
        <f>IF(Follow[[#This Row],[DATAATUALIZAÇÃO]]&lt;=Follow[[#This Row],[Prev Entrega]],"Dentro do Prazo","Fora do Prazo")</f>
        <v>Dentro do Prazo</v>
      </c>
      <c r="O13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23/04/2025, referente ao pedido Nº Pedido 1396 Rastreio NM785555325BR, agradecemos a preferência e adoraríamos receber sua avaliação, tendo qualquer dúvida estamos à disposição.
Att
NTA Variedades</v>
      </c>
    </row>
    <row r="1351" spans="1:15">
      <c r="A1351" s="52" t="str">
        <f>_xlfn.XLOOKUP(Follow[[#This Row],[CODRASTREIO]],Controle_Pedidos[Cód Rastreamento],Controle_Pedidos[Número Pedido Cliente])</f>
        <v>Pedido 1402</v>
      </c>
      <c r="B1351" s="2" t="s">
        <v>18783</v>
      </c>
      <c r="C1351" s="2" t="str">
        <f>Follow[[#This Row],[CODRASTREIO]]&amp;" B"</f>
        <v>CódRastreio1341 B</v>
      </c>
      <c r="D1351" s="52" t="str">
        <f>_xlfn.XLOOKUP(Follow[[#This Row],[Id Pedido]],Controle_Pedidos[Número Pedido Cliente],Controle_Pedidos[Loja])</f>
        <v>MEI</v>
      </c>
      <c r="E1351" s="9">
        <f>_xlfn.XLOOKUP(Follow[[#This Row],[Id Pedido]],Controle_Pedidos[Número Pedido Cliente],Controle_Pedidos[Prazo Entrega])</f>
        <v>45786</v>
      </c>
      <c r="F1351" s="9" t="s">
        <v>19433</v>
      </c>
      <c r="G1351" s="9" t="s">
        <v>508</v>
      </c>
      <c r="H1351" s="9" t="s">
        <v>179</v>
      </c>
      <c r="I1351" s="52" t="s">
        <v>178</v>
      </c>
      <c r="J1351" s="140">
        <v>45775</v>
      </c>
      <c r="K1351" s="124" t="s">
        <v>198</v>
      </c>
      <c r="L1351" s="8" t="s">
        <v>124</v>
      </c>
      <c r="M1351" s="8" t="s">
        <v>37</v>
      </c>
      <c r="N1351" s="52" t="str">
        <f>IF(Follow[[#This Row],[DATAATUALIZAÇÃO]]&lt;=Follow[[#This Row],[Prev Entrega]],"Dentro do Prazo","Fora do Prazo")</f>
        <v>Dentro do Prazo</v>
      </c>
      <c r="O13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28/04/2025, referente ao pedido Nº Pedido 1402 Rastreio NM786969181BR, agradecemos a preferência e adoraríamos receber sua avaliação, tendo qualquer dúvida estamos à disposição.
Att
NTA Variedades</v>
      </c>
    </row>
    <row r="1352" spans="1:15">
      <c r="A1352" s="52" t="str">
        <f>_xlfn.XLOOKUP(Follow[[#This Row],[CODRASTREIO]],Controle_Pedidos[Cód Rastreamento],Controle_Pedidos[Número Pedido Cliente])</f>
        <v>Pedido 1403</v>
      </c>
      <c r="B1352" s="2" t="s">
        <v>18784</v>
      </c>
      <c r="C1352" s="2" t="str">
        <f>Follow[[#This Row],[CODRASTREIO]]&amp;" B"</f>
        <v>CódRastreio1342 B</v>
      </c>
      <c r="D1352" s="52" t="str">
        <f>_xlfn.XLOOKUP(Follow[[#This Row],[Id Pedido]],Controle_Pedidos[Número Pedido Cliente],Controle_Pedidos[Loja])</f>
        <v>MEI</v>
      </c>
      <c r="E1352" s="9">
        <f>_xlfn.XLOOKUP(Follow[[#This Row],[Id Pedido]],Controle_Pedidos[Número Pedido Cliente],Controle_Pedidos[Prazo Entrega])</f>
        <v>45778</v>
      </c>
      <c r="F1352" s="9" t="s">
        <v>19433</v>
      </c>
      <c r="G1352" s="9" t="s">
        <v>509</v>
      </c>
      <c r="H1352" s="9" t="s">
        <v>179</v>
      </c>
      <c r="I1352" s="52" t="s">
        <v>178</v>
      </c>
      <c r="J1352" s="140">
        <v>45764</v>
      </c>
      <c r="K1352" s="124" t="s">
        <v>198</v>
      </c>
      <c r="L1352" s="8" t="s">
        <v>124</v>
      </c>
      <c r="M1352" s="8" t="s">
        <v>37</v>
      </c>
      <c r="N1352" s="52" t="str">
        <f>IF(Follow[[#This Row],[DATAATUALIZAÇÃO]]&lt;=Follow[[#This Row],[Prev Entrega]],"Dentro do Prazo","Fora do Prazo")</f>
        <v>Dentro do Prazo</v>
      </c>
      <c r="O13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17/04/2025, referente ao pedido Nº Pedido 1403 Rastreio NM786983784BR, agradecemos a preferência e adoraríamos receber sua avaliação, tendo qualquer dúvida estamos à disposição.
Att
NTA Variedades</v>
      </c>
    </row>
    <row r="1353" spans="1:15">
      <c r="A1353" s="52" t="str">
        <f>_xlfn.XLOOKUP(Follow[[#This Row],[CODRASTREIO]],Controle_Pedidos[Cód Rastreamento],Controle_Pedidos[Número Pedido Cliente])</f>
        <v>Pedido 1393</v>
      </c>
      <c r="B1353" s="2" t="s">
        <v>18774</v>
      </c>
      <c r="C1353" s="2" t="str">
        <f>Follow[[#This Row],[CODRASTREIO]]&amp;" B"</f>
        <v>CódRastreio1332 B</v>
      </c>
      <c r="D1353" s="52" t="str">
        <f>_xlfn.XLOOKUP(Follow[[#This Row],[Id Pedido]],Controle_Pedidos[Número Pedido Cliente],Controle_Pedidos[Loja])</f>
        <v>MEI</v>
      </c>
      <c r="E1353" s="9">
        <f>_xlfn.XLOOKUP(Follow[[#This Row],[Id Pedido]],Controle_Pedidos[Número Pedido Cliente],Controle_Pedidos[Prazo Entrega])</f>
        <v>45778</v>
      </c>
      <c r="F1353" s="9" t="s">
        <v>19433</v>
      </c>
      <c r="G1353" s="9" t="s">
        <v>510</v>
      </c>
      <c r="H1353" s="9" t="s">
        <v>179</v>
      </c>
      <c r="I1353" s="52" t="s">
        <v>178</v>
      </c>
      <c r="J1353" s="140">
        <v>45766</v>
      </c>
      <c r="K1353" s="124" t="s">
        <v>198</v>
      </c>
      <c r="L1353" s="8" t="s">
        <v>124</v>
      </c>
      <c r="M1353" s="8" t="s">
        <v>37</v>
      </c>
      <c r="N1353" s="52" t="str">
        <f>IF(Follow[[#This Row],[DATAATUALIZAÇÃO]]&lt;=Follow[[#This Row],[Prev Entrega]],"Dentro do Prazo","Fora do Prazo")</f>
        <v>Dentro do Prazo</v>
      </c>
      <c r="O13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19/04/2025, referente ao pedido Nº Pedido 1393 Rastreio CNBR00065276516, agradecemos a preferência e adoraríamos receber sua avaliação, tendo qualquer dúvida estamos à disposição.
Att
NTA Variedades</v>
      </c>
    </row>
    <row r="1354" spans="1:15">
      <c r="A1354" s="52" t="str">
        <f>_xlfn.XLOOKUP(Follow[[#This Row],[CODRASTREIO]],Controle_Pedidos[Cód Rastreamento],Controle_Pedidos[Número Pedido Cliente])</f>
        <v>Pedido 1397</v>
      </c>
      <c r="B1354" s="2" t="s">
        <v>18778</v>
      </c>
      <c r="C1354" s="2" t="str">
        <f>Follow[[#This Row],[CODRASTREIO]]&amp;" B"</f>
        <v>CódRastreio1336 B</v>
      </c>
      <c r="D1354" s="52" t="str">
        <f>_xlfn.XLOOKUP(Follow[[#This Row],[Id Pedido]],Controle_Pedidos[Número Pedido Cliente],Controle_Pedidos[Loja])</f>
        <v>MEI</v>
      </c>
      <c r="E1354" s="9">
        <f>_xlfn.XLOOKUP(Follow[[#This Row],[Id Pedido]],Controle_Pedidos[Número Pedido Cliente],Controle_Pedidos[Prazo Entrega])</f>
        <v>45778</v>
      </c>
      <c r="F1354" s="9" t="s">
        <v>19433</v>
      </c>
      <c r="G1354" s="9" t="s">
        <v>511</v>
      </c>
      <c r="H1354" s="9" t="s">
        <v>179</v>
      </c>
      <c r="I1354" s="52" t="s">
        <v>178</v>
      </c>
      <c r="J1354" s="140">
        <v>45769</v>
      </c>
      <c r="K1354" s="124" t="s">
        <v>198</v>
      </c>
      <c r="L1354" s="8" t="s">
        <v>124</v>
      </c>
      <c r="M1354" s="8" t="s">
        <v>37</v>
      </c>
      <c r="N1354" s="52" t="str">
        <f>IF(Follow[[#This Row],[DATAATUALIZAÇÃO]]&lt;=Follow[[#This Row],[Prev Entrega]],"Dentro do Prazo","Fora do Prazo")</f>
        <v>Dentro do Prazo</v>
      </c>
      <c r="O13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22/04/2025, referente ao pedido Nº Pedido 1397 Rastreio NM788122221BR, agradecemos a preferência e adoraríamos receber sua avaliação, tendo qualquer dúvida estamos à disposição.
Att
NTA Variedades</v>
      </c>
    </row>
    <row r="1355" spans="1:15">
      <c r="A1355" s="52" t="str">
        <f>_xlfn.XLOOKUP(Follow[[#This Row],[CODRASTREIO]],Controle_Pedidos[Cód Rastreamento],Controle_Pedidos[Número Pedido Cliente])</f>
        <v>Pedido 1404</v>
      </c>
      <c r="B1355" s="2" t="s">
        <v>18785</v>
      </c>
      <c r="C1355" s="2" t="str">
        <f>Follow[[#This Row],[CODRASTREIO]]&amp;" B"</f>
        <v>CódRastreio1343 B</v>
      </c>
      <c r="D1355" s="52" t="str">
        <f>_xlfn.XLOOKUP(Follow[[#This Row],[Id Pedido]],Controle_Pedidos[Número Pedido Cliente],Controle_Pedidos[Loja])</f>
        <v>MEI</v>
      </c>
      <c r="E1355" s="9">
        <f>_xlfn.XLOOKUP(Follow[[#This Row],[Id Pedido]],Controle_Pedidos[Número Pedido Cliente],Controle_Pedidos[Prazo Entrega])</f>
        <v>45772</v>
      </c>
      <c r="F1355" s="9" t="s">
        <v>19433</v>
      </c>
      <c r="G1355" s="9" t="s">
        <v>512</v>
      </c>
      <c r="H1355" s="9" t="s">
        <v>179</v>
      </c>
      <c r="I1355" s="52" t="s">
        <v>178</v>
      </c>
      <c r="J1355" s="140">
        <v>45769</v>
      </c>
      <c r="K1355" s="124" t="s">
        <v>198</v>
      </c>
      <c r="L1355" s="8" t="s">
        <v>124</v>
      </c>
      <c r="M1355" s="8" t="s">
        <v>37</v>
      </c>
      <c r="N1355" s="52" t="str">
        <f>IF(Follow[[#This Row],[DATAATUALIZAÇÃO]]&lt;=Follow[[#This Row],[Prev Entrega]],"Dentro do Prazo","Fora do Prazo")</f>
        <v>Dentro do Prazo</v>
      </c>
      <c r="O13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22/04/2025, referente ao pedido Nº Pedido 1404 Rastreio NM788174762BR, agradecemos a preferência e adoraríamos receber sua avaliação, tendo qualquer dúvida estamos à disposição.
Att
NTA Variedades</v>
      </c>
    </row>
    <row r="1356" spans="1:15">
      <c r="A1356" s="52" t="str">
        <f>_xlfn.XLOOKUP(Follow[[#This Row],[CODRASTREIO]],Controle_Pedidos[Cód Rastreamento],Controle_Pedidos[Número Pedido Cliente])</f>
        <v>Pedido 1409</v>
      </c>
      <c r="B1356" s="2" t="s">
        <v>18790</v>
      </c>
      <c r="C1356" s="2" t="str">
        <f>Follow[[#This Row],[CODRASTREIO]]&amp;" B"</f>
        <v>CódRastreio1348 B</v>
      </c>
      <c r="D1356" s="52" t="str">
        <f>_xlfn.XLOOKUP(Follow[[#This Row],[Id Pedido]],Controle_Pedidos[Número Pedido Cliente],Controle_Pedidos[Loja])</f>
        <v>MEI</v>
      </c>
      <c r="E1356" s="9">
        <f>_xlfn.XLOOKUP(Follow[[#This Row],[Id Pedido]],Controle_Pedidos[Número Pedido Cliente],Controle_Pedidos[Prazo Entrega])</f>
        <v>45778</v>
      </c>
      <c r="F1356" s="9" t="s">
        <v>19433</v>
      </c>
      <c r="G1356" s="9" t="s">
        <v>37</v>
      </c>
      <c r="H1356" s="9" t="s">
        <v>178</v>
      </c>
      <c r="I1356" s="52" t="s">
        <v>178</v>
      </c>
      <c r="J1356" s="140">
        <v>45763</v>
      </c>
      <c r="K1356" s="124" t="s">
        <v>198</v>
      </c>
      <c r="L1356" s="8" t="s">
        <v>124</v>
      </c>
      <c r="M1356" s="8" t="s">
        <v>37</v>
      </c>
      <c r="N1356" s="52" t="str">
        <f>IF(Follow[[#This Row],[DATAATUALIZAÇÃO]]&lt;=Follow[[#This Row],[Prev Entrega]],"Dentro do Prazo","Fora do Prazo")</f>
        <v>Dentro do Prazo</v>
      </c>
      <c r="O13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16/04/2025, referente ao pedido Nº Pedido 1409 Rastreio Pedido 1409, agradecemos a preferência e adoraríamos receber sua avaliação, tendo qualquer dúvida estamos à disposição.
Att
NTA Variedades</v>
      </c>
    </row>
    <row r="1357" spans="1:15">
      <c r="A1357" s="52" t="str">
        <f>_xlfn.XLOOKUP(Follow[[#This Row],[CODRASTREIO]],Controle_Pedidos[Cód Rastreamento],Controle_Pedidos[Número Pedido Cliente])</f>
        <v>Pedido 1410</v>
      </c>
      <c r="B1357" s="2" t="s">
        <v>18791</v>
      </c>
      <c r="C1357" s="2" t="str">
        <f>Follow[[#This Row],[CODRASTREIO]]&amp;" B"</f>
        <v>CódRastreio1349 B</v>
      </c>
      <c r="D1357" s="52" t="str">
        <f>_xlfn.XLOOKUP(Follow[[#This Row],[Id Pedido]],Controle_Pedidos[Número Pedido Cliente],Controle_Pedidos[Loja])</f>
        <v>MEI</v>
      </c>
      <c r="E1357" s="9">
        <f>_xlfn.XLOOKUP(Follow[[#This Row],[Id Pedido]],Controle_Pedidos[Número Pedido Cliente],Controle_Pedidos[Prazo Entrega])</f>
        <v>45780</v>
      </c>
      <c r="F1357" s="9" t="s">
        <v>19433</v>
      </c>
      <c r="G1357" s="9" t="s">
        <v>513</v>
      </c>
      <c r="H1357" s="9" t="s">
        <v>179</v>
      </c>
      <c r="I1357" s="52" t="s">
        <v>178</v>
      </c>
      <c r="J1357" s="140">
        <v>45769</v>
      </c>
      <c r="K1357" s="124" t="s">
        <v>198</v>
      </c>
      <c r="L1357" s="8" t="s">
        <v>124</v>
      </c>
      <c r="M1357" s="8" t="s">
        <v>37</v>
      </c>
      <c r="N1357" s="52" t="str">
        <f>IF(Follow[[#This Row],[DATAATUALIZAÇÃO]]&lt;=Follow[[#This Row],[Prev Entrega]],"Dentro do Prazo","Fora do Prazo")</f>
        <v>Dentro do Prazo</v>
      </c>
      <c r="O13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22/04/2025, referente ao pedido Nº Pedido 1410 Rastreio CNBR00065256314, agradecemos a preferência e adoraríamos receber sua avaliação, tendo qualquer dúvida estamos à disposição.
Att
NTA Variedades</v>
      </c>
    </row>
    <row r="1358" spans="1:15">
      <c r="A1358" s="52" t="str">
        <f>_xlfn.XLOOKUP(Follow[[#This Row],[CODRASTREIO]],Controle_Pedidos[Cód Rastreamento],Controle_Pedidos[Número Pedido Cliente])</f>
        <v>Pedido 1411</v>
      </c>
      <c r="B1358" s="2" t="s">
        <v>18792</v>
      </c>
      <c r="C1358" s="2" t="str">
        <f>Follow[[#This Row],[CODRASTREIO]]&amp;" B"</f>
        <v>CódRastreio1350 B</v>
      </c>
      <c r="D1358" s="52" t="str">
        <f>_xlfn.XLOOKUP(Follow[[#This Row],[Id Pedido]],Controle_Pedidos[Número Pedido Cliente],Controle_Pedidos[Loja])</f>
        <v>MEI</v>
      </c>
      <c r="E1358" s="9">
        <f>_xlfn.XLOOKUP(Follow[[#This Row],[Id Pedido]],Controle_Pedidos[Número Pedido Cliente],Controle_Pedidos[Prazo Entrega])</f>
        <v>45773</v>
      </c>
      <c r="F1358" s="9" t="s">
        <v>19433</v>
      </c>
      <c r="G1358" s="9" t="s">
        <v>37</v>
      </c>
      <c r="H1358" s="9" t="s">
        <v>178</v>
      </c>
      <c r="I1358" s="52" t="s">
        <v>178</v>
      </c>
      <c r="J1358" s="140">
        <v>45756</v>
      </c>
      <c r="K1358" s="124" t="s">
        <v>198</v>
      </c>
      <c r="L1358" s="8" t="s">
        <v>124</v>
      </c>
      <c r="M1358" s="8" t="s">
        <v>37</v>
      </c>
      <c r="N1358" s="52" t="str">
        <f>IF(Follow[[#This Row],[DATAATUALIZAÇÃO]]&lt;=Follow[[#This Row],[Prev Entrega]],"Dentro do Prazo","Fora do Prazo")</f>
        <v>Dentro do Prazo</v>
      </c>
      <c r="O13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09/04/2025, referente ao pedido Nº Pedido 1411 Rastreio Pedido 1411, agradecemos a preferência e adoraríamos receber sua avaliação, tendo qualquer dúvida estamos à disposição.
Att
NTA Variedades</v>
      </c>
    </row>
    <row r="1359" spans="1:15">
      <c r="A1359" s="52" t="str">
        <f>_xlfn.XLOOKUP(Follow[[#This Row],[CODRASTREIO]],Controle_Pedidos[Cód Rastreamento],Controle_Pedidos[Número Pedido Cliente])</f>
        <v>Pedido 1412</v>
      </c>
      <c r="B1359" s="2" t="s">
        <v>18793</v>
      </c>
      <c r="C1359" s="2" t="str">
        <f>Follow[[#This Row],[CODRASTREIO]]&amp;" B"</f>
        <v>CódRastreio1351 B</v>
      </c>
      <c r="D1359" s="52" t="str">
        <f>_xlfn.XLOOKUP(Follow[[#This Row],[Id Pedido]],Controle_Pedidos[Número Pedido Cliente],Controle_Pedidos[Loja])</f>
        <v>MEI</v>
      </c>
      <c r="E1359" s="9">
        <f>_xlfn.XLOOKUP(Follow[[#This Row],[Id Pedido]],Controle_Pedidos[Número Pedido Cliente],Controle_Pedidos[Prazo Entrega])</f>
        <v>45780</v>
      </c>
      <c r="F1359" s="9" t="s">
        <v>19433</v>
      </c>
      <c r="G1359" s="9" t="s">
        <v>514</v>
      </c>
      <c r="H1359" s="9" t="s">
        <v>179</v>
      </c>
      <c r="I1359" s="52" t="s">
        <v>178</v>
      </c>
      <c r="J1359" s="140">
        <v>45771</v>
      </c>
      <c r="K1359" s="124" t="s">
        <v>198</v>
      </c>
      <c r="L1359" s="8" t="s">
        <v>124</v>
      </c>
      <c r="M1359" s="8" t="s">
        <v>37</v>
      </c>
      <c r="N1359" s="52" t="str">
        <f>IF(Follow[[#This Row],[DATAATUALIZAÇÃO]]&lt;=Follow[[#This Row],[Prev Entrega]],"Dentro do Prazo","Fora do Prazo")</f>
        <v>Dentro do Prazo</v>
      </c>
      <c r="O13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24/04/2025, referente ao pedido Nº Pedido 1412 Rastreio NM788232037BR, agradecemos a preferência e adoraríamos receber sua avaliação, tendo qualquer dúvida estamos à disposição.
Att
NTA Variedades</v>
      </c>
    </row>
    <row r="1360" spans="1:15">
      <c r="A1360" s="52" t="str">
        <f>_xlfn.XLOOKUP(Follow[[#This Row],[CODRASTREIO]],Controle_Pedidos[Cód Rastreamento],Controle_Pedidos[Número Pedido Cliente])</f>
        <v>Pedido 1414</v>
      </c>
      <c r="B1360" s="2" t="s">
        <v>18795</v>
      </c>
      <c r="C1360" s="2" t="str">
        <f>Follow[[#This Row],[CODRASTREIO]]&amp;" B"</f>
        <v>CódRastreio1353 B</v>
      </c>
      <c r="D1360" s="52" t="str">
        <f>_xlfn.XLOOKUP(Follow[[#This Row],[Id Pedido]],Controle_Pedidos[Número Pedido Cliente],Controle_Pedidos[Loja])</f>
        <v>GO</v>
      </c>
      <c r="E1360" s="9">
        <f>_xlfn.XLOOKUP(Follow[[#This Row],[Id Pedido]],Controle_Pedidos[Número Pedido Cliente],Controle_Pedidos[Prazo Entrega])</f>
        <v>45778</v>
      </c>
      <c r="F1360" s="9" t="s">
        <v>19433</v>
      </c>
      <c r="G1360" s="9" t="s">
        <v>515</v>
      </c>
      <c r="H1360" s="9" t="s">
        <v>179</v>
      </c>
      <c r="I1360" s="52" t="s">
        <v>178</v>
      </c>
      <c r="J1360" s="140">
        <v>45771</v>
      </c>
      <c r="K1360" s="124" t="s">
        <v>198</v>
      </c>
      <c r="L1360" s="8" t="s">
        <v>124</v>
      </c>
      <c r="M1360" s="8" t="s">
        <v>37</v>
      </c>
      <c r="N1360" s="52" t="str">
        <f>IF(Follow[[#This Row],[DATAATUALIZAÇÃO]]&lt;=Follow[[#This Row],[Prev Entrega]],"Dentro do Prazo","Fora do Prazo")</f>
        <v>Dentro do Prazo</v>
      </c>
      <c r="O136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24/04/2025, referente ao pedido Nº Pedido 1414 Rastreio NM788152223BR, agradecemos a preferência e adoraríamos receber sua avaliação, tendo qualquer dúvida estamos à disposição.
Att
Sec Variedades</v>
      </c>
    </row>
    <row r="1361" spans="1:15">
      <c r="A1361" s="52" t="str">
        <f>_xlfn.XLOOKUP(Follow[[#This Row],[CODRASTREIO]],Controle_Pedidos[Cód Rastreamento],Controle_Pedidos[Número Pedido Cliente])</f>
        <v>Pedido 1415</v>
      </c>
      <c r="B1361" s="2" t="s">
        <v>18796</v>
      </c>
      <c r="C1361" s="2" t="str">
        <f>Follow[[#This Row],[CODRASTREIO]]&amp;" B"</f>
        <v>CódRastreio1354 B</v>
      </c>
      <c r="D1361" s="52" t="str">
        <f>_xlfn.XLOOKUP(Follow[[#This Row],[Id Pedido]],Controle_Pedidos[Número Pedido Cliente],Controle_Pedidos[Loja])</f>
        <v>MEI</v>
      </c>
      <c r="E1361" s="9">
        <f>_xlfn.XLOOKUP(Follow[[#This Row],[Id Pedido]],Controle_Pedidos[Número Pedido Cliente],Controle_Pedidos[Prazo Entrega])</f>
        <v>45773</v>
      </c>
      <c r="F1361" s="9" t="s">
        <v>19433</v>
      </c>
      <c r="G1361" s="9" t="s">
        <v>516</v>
      </c>
      <c r="H1361" s="9" t="s">
        <v>179</v>
      </c>
      <c r="I1361" s="52" t="s">
        <v>178</v>
      </c>
      <c r="J1361" s="140">
        <v>45776</v>
      </c>
      <c r="K1361" s="124" t="s">
        <v>198</v>
      </c>
      <c r="L1361" s="8" t="s">
        <v>124</v>
      </c>
      <c r="M1361" s="8" t="s">
        <v>37</v>
      </c>
      <c r="N1361" s="52" t="str">
        <f>IF(Follow[[#This Row],[DATAATUALIZAÇÃO]]&lt;=Follow[[#This Row],[Prev Entrega]],"Dentro do Prazo","Fora do Prazo")</f>
        <v>Fora do Prazo</v>
      </c>
      <c r="O13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29/04/2025, referente ao pedido Nº Pedido 1415 Rastreio NM788327239BR, agradecemos a preferência e adoraríamos receber sua avaliação, tendo qualquer dúvida estamos à disposição.
Att
NTA Variedades</v>
      </c>
    </row>
    <row r="1362" spans="1:15">
      <c r="A1362" s="52" t="str">
        <f>_xlfn.XLOOKUP(Follow[[#This Row],[CODRASTREIO]],Controle_Pedidos[Cód Rastreamento],Controle_Pedidos[Número Pedido Cliente])</f>
        <v>Pedido 1416</v>
      </c>
      <c r="B1362" s="2" t="s">
        <v>18797</v>
      </c>
      <c r="C1362" s="2" t="str">
        <f>Follow[[#This Row],[CODRASTREIO]]&amp;" B"</f>
        <v>CódRastreio1355 B</v>
      </c>
      <c r="D1362" s="52" t="str">
        <f>_xlfn.XLOOKUP(Follow[[#This Row],[Id Pedido]],Controle_Pedidos[Número Pedido Cliente],Controle_Pedidos[Loja])</f>
        <v>MEI</v>
      </c>
      <c r="E1362" s="9">
        <f>_xlfn.XLOOKUP(Follow[[#This Row],[Id Pedido]],Controle_Pedidos[Número Pedido Cliente],Controle_Pedidos[Prazo Entrega])</f>
        <v>45780</v>
      </c>
      <c r="F1362" s="9" t="s">
        <v>19433</v>
      </c>
      <c r="G1362" s="9" t="s">
        <v>37</v>
      </c>
      <c r="H1362" s="9" t="s">
        <v>178</v>
      </c>
      <c r="I1362" s="52" t="s">
        <v>178</v>
      </c>
      <c r="J1362" s="140">
        <v>45769</v>
      </c>
      <c r="K1362" s="124" t="s">
        <v>198</v>
      </c>
      <c r="L1362" s="8" t="s">
        <v>124</v>
      </c>
      <c r="M1362" s="8" t="s">
        <v>37</v>
      </c>
      <c r="N1362" s="52" t="str">
        <f>IF(Follow[[#This Row],[DATAATUALIZAÇÃO]]&lt;=Follow[[#This Row],[Prev Entrega]],"Dentro do Prazo","Fora do Prazo")</f>
        <v>Dentro do Prazo</v>
      </c>
      <c r="O13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22/04/2025, referente ao pedido Nº Pedido 1416 Rastreio Pedido 1416, agradecemos a preferência e adoraríamos receber sua avaliação, tendo qualquer dúvida estamos à disposição.
Att
NTA Variedades</v>
      </c>
    </row>
    <row r="1363" spans="1:15">
      <c r="A1363" s="52" t="str">
        <f>_xlfn.XLOOKUP(Follow[[#This Row],[CODRASTREIO]],Controle_Pedidos[Cód Rastreamento],Controle_Pedidos[Número Pedido Cliente])</f>
        <v>Pedido 1417</v>
      </c>
      <c r="B1363" s="2" t="s">
        <v>18798</v>
      </c>
      <c r="C1363" s="2" t="str">
        <f>Follow[[#This Row],[CODRASTREIO]]&amp;" B"</f>
        <v>CódRastreio1356 B</v>
      </c>
      <c r="D1363" s="52" t="str">
        <f>_xlfn.XLOOKUP(Follow[[#This Row],[Id Pedido]],Controle_Pedidos[Número Pedido Cliente],Controle_Pedidos[Loja])</f>
        <v>MEI</v>
      </c>
      <c r="E1363" s="9">
        <f>_xlfn.XLOOKUP(Follow[[#This Row],[Id Pedido]],Controle_Pedidos[Número Pedido Cliente],Controle_Pedidos[Prazo Entrega])</f>
        <v>45773</v>
      </c>
      <c r="F1363" s="9" t="s">
        <v>19433</v>
      </c>
      <c r="G1363" s="9" t="s">
        <v>37</v>
      </c>
      <c r="H1363" s="9" t="s">
        <v>178</v>
      </c>
      <c r="I1363" s="52" t="s">
        <v>178</v>
      </c>
      <c r="J1363" s="140">
        <v>45757</v>
      </c>
      <c r="K1363" s="124" t="s">
        <v>198</v>
      </c>
      <c r="L1363" s="8" t="s">
        <v>124</v>
      </c>
      <c r="M1363" s="8" t="s">
        <v>37</v>
      </c>
      <c r="N1363" s="52" t="str">
        <f>IF(Follow[[#This Row],[DATAATUALIZAÇÃO]]&lt;=Follow[[#This Row],[Prev Entrega]],"Dentro do Prazo","Fora do Prazo")</f>
        <v>Dentro do Prazo</v>
      </c>
      <c r="O13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10/04/2025, referente ao pedido Nº Pedido 1417 Rastreio Pedido 1417, agradecemos a preferência e adoraríamos receber sua avaliação, tendo qualquer dúvida estamos à disposição.
Att
NTA Variedades</v>
      </c>
    </row>
    <row r="1364" spans="1:15">
      <c r="A1364" s="52" t="str">
        <f>_xlfn.XLOOKUP(Follow[[#This Row],[CODRASTREIO]],Controle_Pedidos[Cód Rastreamento],Controle_Pedidos[Número Pedido Cliente])</f>
        <v>Pedido 1413</v>
      </c>
      <c r="B1364" s="2" t="s">
        <v>18794</v>
      </c>
      <c r="C1364" s="2" t="str">
        <f>Follow[[#This Row],[CODRASTREIO]]&amp;" B"</f>
        <v>CódRastreio1352 B</v>
      </c>
      <c r="D1364" s="52" t="str">
        <f>_xlfn.XLOOKUP(Follow[[#This Row],[Id Pedido]],Controle_Pedidos[Número Pedido Cliente],Controle_Pedidos[Loja])</f>
        <v>MEI</v>
      </c>
      <c r="E1364" s="9">
        <f>_xlfn.XLOOKUP(Follow[[#This Row],[Id Pedido]],Controle_Pedidos[Número Pedido Cliente],Controle_Pedidos[Prazo Entrega])</f>
        <v>45787</v>
      </c>
      <c r="F1364" s="9" t="s">
        <v>19433</v>
      </c>
      <c r="G1364" s="9" t="s">
        <v>517</v>
      </c>
      <c r="H1364" s="9" t="s">
        <v>179</v>
      </c>
      <c r="I1364" s="52" t="s">
        <v>178</v>
      </c>
      <c r="J1364" s="140">
        <v>45771</v>
      </c>
      <c r="K1364" s="124" t="s">
        <v>198</v>
      </c>
      <c r="L1364" s="8" t="s">
        <v>124</v>
      </c>
      <c r="M1364" s="8" t="s">
        <v>37</v>
      </c>
      <c r="N1364" s="52" t="str">
        <f>IF(Follow[[#This Row],[DATAATUALIZAÇÃO]]&lt;=Follow[[#This Row],[Prev Entrega]],"Dentro do Prazo","Fora do Prazo")</f>
        <v>Dentro do Prazo</v>
      </c>
      <c r="O13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24/04/2025, referente ao pedido Nº Pedido 1413 Rastreio NM789139603BR, agradecemos a preferência e adoraríamos receber sua avaliação, tendo qualquer dúvida estamos à disposição.
Att
NTA Variedades</v>
      </c>
    </row>
    <row r="1365" spans="1:15">
      <c r="A1365" s="52" t="str">
        <f>_xlfn.XLOOKUP(Follow[[#This Row],[CODRASTREIO]],Controle_Pedidos[Cód Rastreamento],Controle_Pedidos[Número Pedido Cliente])</f>
        <v>Pedido 1418</v>
      </c>
      <c r="B1365" s="2" t="s">
        <v>18799</v>
      </c>
      <c r="C1365" s="2" t="str">
        <f>Follow[[#This Row],[CODRASTREIO]]&amp;" B"</f>
        <v>CódRastreio1357 B</v>
      </c>
      <c r="D1365" s="52" t="str">
        <f>_xlfn.XLOOKUP(Follow[[#This Row],[Id Pedido]],Controle_Pedidos[Número Pedido Cliente],Controle_Pedidos[Loja])</f>
        <v>MEI</v>
      </c>
      <c r="E1365" s="9">
        <f>_xlfn.XLOOKUP(Follow[[#This Row],[Id Pedido]],Controle_Pedidos[Número Pedido Cliente],Controle_Pedidos[Prazo Entrega])</f>
        <v>45783</v>
      </c>
      <c r="F1365" s="9" t="s">
        <v>19433</v>
      </c>
      <c r="G1365" s="9" t="s">
        <v>518</v>
      </c>
      <c r="H1365" s="9" t="s">
        <v>179</v>
      </c>
      <c r="I1365" s="52" t="s">
        <v>178</v>
      </c>
      <c r="J1365" s="140">
        <v>45776</v>
      </c>
      <c r="K1365" s="124" t="s">
        <v>198</v>
      </c>
      <c r="L1365" s="8" t="s">
        <v>124</v>
      </c>
      <c r="M1365" s="8" t="s">
        <v>37</v>
      </c>
      <c r="N1365" s="52" t="str">
        <f>IF(Follow[[#This Row],[DATAATUALIZAÇÃO]]&lt;=Follow[[#This Row],[Prev Entrega]],"Dentro do Prazo","Fora do Prazo")</f>
        <v>Dentro do Prazo</v>
      </c>
      <c r="O13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29/04/2025, referente ao pedido Nº Pedido 1418 Rastreio NM789058184BR, agradecemos a preferência e adoraríamos receber sua avaliação, tendo qualquer dúvida estamos à disposição.
Att
NTA Variedades</v>
      </c>
    </row>
    <row r="1366" spans="1:15">
      <c r="A1366" s="52" t="str">
        <f>_xlfn.XLOOKUP(Follow[[#This Row],[CODRASTREIO]],Controle_Pedidos[Cód Rastreamento],Controle_Pedidos[Número Pedido Cliente])</f>
        <v>Pedido 1420</v>
      </c>
      <c r="B1366" s="2" t="s">
        <v>18801</v>
      </c>
      <c r="C1366" s="2" t="str">
        <f>Follow[[#This Row],[CODRASTREIO]]&amp;" B"</f>
        <v>CódRastreio1359 B</v>
      </c>
      <c r="D1366" s="52" t="str">
        <f>_xlfn.XLOOKUP(Follow[[#This Row],[Id Pedido]],Controle_Pedidos[Número Pedido Cliente],Controle_Pedidos[Loja])</f>
        <v>MEI</v>
      </c>
      <c r="E1366" s="9">
        <f>_xlfn.XLOOKUP(Follow[[#This Row],[Id Pedido]],Controle_Pedidos[Número Pedido Cliente],Controle_Pedidos[Prazo Entrega])</f>
        <v>45790</v>
      </c>
      <c r="F1366" s="9" t="s">
        <v>19433</v>
      </c>
      <c r="G1366" s="9" t="s">
        <v>519</v>
      </c>
      <c r="H1366" s="9" t="s">
        <v>179</v>
      </c>
      <c r="I1366" s="9" t="s">
        <v>178</v>
      </c>
      <c r="J1366" s="9">
        <v>45783</v>
      </c>
      <c r="K1366" s="8" t="s">
        <v>198</v>
      </c>
      <c r="L1366" s="8" t="s">
        <v>124</v>
      </c>
      <c r="M1366" s="8" t="s">
        <v>37</v>
      </c>
      <c r="N1366" s="52" t="str">
        <f>IF(Follow[[#This Row],[DATAATUALIZAÇÃO]]&lt;=Follow[[#This Row],[Prev Entrega]],"Dentro do Prazo","Fora do Prazo")</f>
        <v>Dentro do Prazo</v>
      </c>
      <c r="O13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06/05/2025, referente ao pedido Nº Pedido 1420 Rastreio NM789077926BR, agradecemos a preferência e adoraríamos receber sua avaliação, tendo qualquer dúvida estamos à disposição.
Att
NTA Variedades</v>
      </c>
    </row>
    <row r="1367" spans="1:15">
      <c r="A1367" s="52" t="str">
        <f>_xlfn.XLOOKUP(Follow[[#This Row],[CODRASTREIO]],Controle_Pedidos[Cód Rastreamento],Controle_Pedidos[Número Pedido Cliente])</f>
        <v>Pedido 1421</v>
      </c>
      <c r="B1367" s="2" t="s">
        <v>18802</v>
      </c>
      <c r="C1367" s="2" t="str">
        <f>Follow[[#This Row],[CODRASTREIO]]&amp;" B"</f>
        <v>CódRastreio1360 B</v>
      </c>
      <c r="D1367" s="52" t="str">
        <f>_xlfn.XLOOKUP(Follow[[#This Row],[Id Pedido]],Controle_Pedidos[Número Pedido Cliente],Controle_Pedidos[Loja])</f>
        <v>MEI</v>
      </c>
      <c r="E1367" s="9">
        <f>_xlfn.XLOOKUP(Follow[[#This Row],[Id Pedido]],Controle_Pedidos[Número Pedido Cliente],Controle_Pedidos[Prazo Entrega])</f>
        <v>45783</v>
      </c>
      <c r="F1367" s="9" t="s">
        <v>19433</v>
      </c>
      <c r="G1367" s="9" t="s">
        <v>520</v>
      </c>
      <c r="H1367" s="9" t="s">
        <v>179</v>
      </c>
      <c r="I1367" s="52" t="s">
        <v>178</v>
      </c>
      <c r="J1367" s="140">
        <v>45770</v>
      </c>
      <c r="K1367" s="124" t="s">
        <v>198</v>
      </c>
      <c r="L1367" s="8" t="s">
        <v>124</v>
      </c>
      <c r="M1367" s="8" t="s">
        <v>37</v>
      </c>
      <c r="N1367" s="52" t="str">
        <f>IF(Follow[[#This Row],[DATAATUALIZAÇÃO]]&lt;=Follow[[#This Row],[Prev Entrega]],"Dentro do Prazo","Fora do Prazo")</f>
        <v>Dentro do Prazo</v>
      </c>
      <c r="O13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de teto foi entregue no dia 23/04/2025, referente ao pedido Nº Pedido 1421 Rastreio NM789093230BR, agradecemos a preferência e adoraríamos receber sua avaliação, tendo qualquer dúvida estamos à disposição.
Att
NTA Variedades</v>
      </c>
    </row>
    <row r="1368" spans="1:15">
      <c r="A1368" s="52" t="str">
        <f>_xlfn.XLOOKUP(Follow[[#This Row],[CODRASTREIO]],Controle_Pedidos[Cód Rastreamento],Controle_Pedidos[Número Pedido Cliente])</f>
        <v>Pedido 1422</v>
      </c>
      <c r="B1368" s="2" t="s">
        <v>18803</v>
      </c>
      <c r="C1368" s="2" t="str">
        <f>Follow[[#This Row],[CODRASTREIO]]&amp;" B"</f>
        <v>CódRastreio1361 B</v>
      </c>
      <c r="D1368" s="52" t="str">
        <f>_xlfn.XLOOKUP(Follow[[#This Row],[Id Pedido]],Controle_Pedidos[Número Pedido Cliente],Controle_Pedidos[Loja])</f>
        <v>MEI</v>
      </c>
      <c r="E1368" s="9">
        <f>_xlfn.XLOOKUP(Follow[[#This Row],[Id Pedido]],Controle_Pedidos[Número Pedido Cliente],Controle_Pedidos[Prazo Entrega])</f>
        <v>45776</v>
      </c>
      <c r="F1368" s="9" t="s">
        <v>19433</v>
      </c>
      <c r="G1368" s="9" t="s">
        <v>37</v>
      </c>
      <c r="H1368" s="9" t="s">
        <v>178</v>
      </c>
      <c r="I1368" s="52" t="s">
        <v>178</v>
      </c>
      <c r="J1368" s="140">
        <v>45763</v>
      </c>
      <c r="K1368" s="124" t="s">
        <v>198</v>
      </c>
      <c r="L1368" s="8" t="s">
        <v>124</v>
      </c>
      <c r="M1368" s="8" t="s">
        <v>37</v>
      </c>
      <c r="N1368" s="52" t="str">
        <f>IF(Follow[[#This Row],[DATAATUALIZAÇÃO]]&lt;=Follow[[#This Row],[Prev Entrega]],"Dentro do Prazo","Fora do Prazo")</f>
        <v>Dentro do Prazo</v>
      </c>
      <c r="O136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16/04/2025, referente ao pedido Nº Pedido 1422 Rastreio Pedido 1422, agradecemos a preferência e adoraríamos receber sua avaliação, tendo qualquer dúvida estamos à disposição.
Att
NTA Variedades</v>
      </c>
    </row>
    <row r="1369" spans="1:15">
      <c r="A1369" s="52" t="str">
        <f>_xlfn.XLOOKUP(Follow[[#This Row],[CODRASTREIO]],Controle_Pedidos[Cód Rastreamento],Controle_Pedidos[Número Pedido Cliente])</f>
        <v>Pedido 1423</v>
      </c>
      <c r="B1369" s="2" t="s">
        <v>18804</v>
      </c>
      <c r="C1369" s="2" t="str">
        <f>Follow[[#This Row],[CODRASTREIO]]&amp;" B"</f>
        <v>CódRastreio1362 B</v>
      </c>
      <c r="D1369" s="52" t="str">
        <f>_xlfn.XLOOKUP(Follow[[#This Row],[Id Pedido]],Controle_Pedidos[Número Pedido Cliente],Controle_Pedidos[Loja])</f>
        <v>MEI</v>
      </c>
      <c r="E1369" s="9">
        <f>_xlfn.XLOOKUP(Follow[[#This Row],[Id Pedido]],Controle_Pedidos[Número Pedido Cliente],Controle_Pedidos[Prazo Entrega])</f>
        <v>45776</v>
      </c>
      <c r="F1369" s="9" t="s">
        <v>19433</v>
      </c>
      <c r="G1369" s="9" t="s">
        <v>521</v>
      </c>
      <c r="H1369" s="9" t="s">
        <v>179</v>
      </c>
      <c r="I1369" s="52" t="s">
        <v>178</v>
      </c>
      <c r="J1369" s="140">
        <v>45773</v>
      </c>
      <c r="K1369" s="124" t="s">
        <v>198</v>
      </c>
      <c r="L1369" s="8" t="s">
        <v>124</v>
      </c>
      <c r="M1369" s="8" t="s">
        <v>37</v>
      </c>
      <c r="N1369" s="52" t="str">
        <f>IF(Follow[[#This Row],[DATAATUALIZAÇÃO]]&lt;=Follow[[#This Row],[Prev Entrega]],"Dentro do Prazo","Fora do Prazo")</f>
        <v>Dentro do Prazo</v>
      </c>
      <c r="O13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26/04/2025, referente ao pedido Nº Pedido 1423 Rastreio NM789089717BR, agradecemos a preferência e adoraríamos receber sua avaliação, tendo qualquer dúvida estamos à disposição.
Att
NTA Variedades</v>
      </c>
    </row>
    <row r="1370" spans="1:15">
      <c r="A1370" s="52" t="str">
        <f>_xlfn.XLOOKUP(Follow[[#This Row],[CODRASTREIO]],Controle_Pedidos[Cód Rastreamento],Controle_Pedidos[Número Pedido Cliente])</f>
        <v>Pedido 1424</v>
      </c>
      <c r="B1370" s="2" t="s">
        <v>18805</v>
      </c>
      <c r="C1370" s="2" t="str">
        <f>Follow[[#This Row],[CODRASTREIO]]&amp;" B"</f>
        <v>CódRastreio1363 B</v>
      </c>
      <c r="D1370" s="52" t="str">
        <f>_xlfn.XLOOKUP(Follow[[#This Row],[Id Pedido]],Controle_Pedidos[Número Pedido Cliente],Controle_Pedidos[Loja])</f>
        <v>MEI</v>
      </c>
      <c r="E1370" s="9">
        <f>_xlfn.XLOOKUP(Follow[[#This Row],[Id Pedido]],Controle_Pedidos[Número Pedido Cliente],Controle_Pedidos[Prazo Entrega])</f>
        <v>45776</v>
      </c>
      <c r="F1370" s="9" t="s">
        <v>19433</v>
      </c>
      <c r="G1370" s="9" t="s">
        <v>522</v>
      </c>
      <c r="H1370" s="9" t="s">
        <v>179</v>
      </c>
      <c r="I1370" s="52" t="s">
        <v>178</v>
      </c>
      <c r="J1370" s="140">
        <v>45769</v>
      </c>
      <c r="K1370" s="124" t="s">
        <v>198</v>
      </c>
      <c r="L1370" s="8" t="s">
        <v>124</v>
      </c>
      <c r="M1370" s="8" t="s">
        <v>37</v>
      </c>
      <c r="N1370" s="52" t="str">
        <f>IF(Follow[[#This Row],[DATAATUALIZAÇÃO]]&lt;=Follow[[#This Row],[Prev Entrega]],"Dentro do Prazo","Fora do Prazo")</f>
        <v>Dentro do Prazo</v>
      </c>
      <c r="O137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22/04/2025, referente ao pedido Nº Pedido 1424 Rastreio NM789100678BR, agradecemos a preferência e adoraríamos receber sua avaliação, tendo qualquer dúvida estamos à disposição.
Att
NTA Variedades</v>
      </c>
    </row>
    <row r="1371" spans="1:15">
      <c r="A1371" s="52" t="str">
        <f>_xlfn.XLOOKUP(Follow[[#This Row],[CODRASTREIO]],Controle_Pedidos[Cód Rastreamento],Controle_Pedidos[Número Pedido Cliente])</f>
        <v>Pedido 1428</v>
      </c>
      <c r="B1371" s="2" t="s">
        <v>18808</v>
      </c>
      <c r="C1371" s="2" t="str">
        <f>Follow[[#This Row],[CODRASTREIO]]&amp;" B"</f>
        <v>CódRastreio1366 B</v>
      </c>
      <c r="D1371" s="52" t="str">
        <f>_xlfn.XLOOKUP(Follow[[#This Row],[Id Pedido]],Controle_Pedidos[Número Pedido Cliente],Controle_Pedidos[Loja])</f>
        <v>MEI</v>
      </c>
      <c r="E1371" s="9">
        <f>_xlfn.XLOOKUP(Follow[[#This Row],[Id Pedido]],Controle_Pedidos[Número Pedido Cliente],Controle_Pedidos[Prazo Entrega])</f>
        <v>45783</v>
      </c>
      <c r="F1371" s="9" t="s">
        <v>19433</v>
      </c>
      <c r="G1371" s="9" t="s">
        <v>37</v>
      </c>
      <c r="H1371" s="9" t="s">
        <v>178</v>
      </c>
      <c r="I1371" s="52" t="s">
        <v>178</v>
      </c>
      <c r="J1371" s="140">
        <v>45762</v>
      </c>
      <c r="K1371" s="124" t="s">
        <v>198</v>
      </c>
      <c r="L1371" s="8" t="s">
        <v>124</v>
      </c>
      <c r="M1371" s="8" t="s">
        <v>37</v>
      </c>
      <c r="N1371" s="52" t="str">
        <f>IF(Follow[[#This Row],[DATAATUALIZAÇÃO]]&lt;=Follow[[#This Row],[Prev Entrega]],"Dentro do Prazo","Fora do Prazo")</f>
        <v>Dentro do Prazo</v>
      </c>
      <c r="O13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15/04/2025, referente ao pedido Nº Pedido 1428 Rastreio Pedido 1428, agradecemos a preferência e adoraríamos receber sua avaliação, tendo qualquer dúvida estamos à disposição.
Att
NTA Variedades</v>
      </c>
    </row>
    <row r="1372" spans="1:15">
      <c r="A1372" s="52" t="str">
        <f>_xlfn.XLOOKUP(Follow[[#This Row],[CODRASTREIO]],Controle_Pedidos[Cód Rastreamento],Controle_Pedidos[Número Pedido Cliente])</f>
        <v>Pedido 1429</v>
      </c>
      <c r="B1372" s="2" t="s">
        <v>18809</v>
      </c>
      <c r="C1372" s="2" t="str">
        <f>Follow[[#This Row],[CODRASTREIO]]&amp;" B"</f>
        <v>CódRastreio1367 B</v>
      </c>
      <c r="D1372" s="52" t="str">
        <f>_xlfn.XLOOKUP(Follow[[#This Row],[Id Pedido]],Controle_Pedidos[Número Pedido Cliente],Controle_Pedidos[Loja])</f>
        <v>MEI</v>
      </c>
      <c r="E1372" s="9">
        <f>_xlfn.XLOOKUP(Follow[[#This Row],[Id Pedido]],Controle_Pedidos[Número Pedido Cliente],Controle_Pedidos[Prazo Entrega])</f>
        <v>45776</v>
      </c>
      <c r="F1372" s="9" t="s">
        <v>19433</v>
      </c>
      <c r="G1372" s="9" t="s">
        <v>523</v>
      </c>
      <c r="H1372" s="9" t="s">
        <v>179</v>
      </c>
      <c r="I1372" s="52" t="s">
        <v>178</v>
      </c>
      <c r="J1372" s="140">
        <v>45769</v>
      </c>
      <c r="K1372" s="124" t="s">
        <v>198</v>
      </c>
      <c r="L1372" s="8" t="s">
        <v>124</v>
      </c>
      <c r="M1372" s="8" t="s">
        <v>37</v>
      </c>
      <c r="N1372" s="52" t="str">
        <f>IF(Follow[[#This Row],[DATAATUALIZAÇÃO]]&lt;=Follow[[#This Row],[Prev Entrega]],"Dentro do Prazo","Fora do Prazo")</f>
        <v>Dentro do Prazo</v>
      </c>
      <c r="O13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22/04/2025, referente ao pedido Nº Pedido 1429 Rastreio NM789187935BR, agradecemos a preferência e adoraríamos receber sua avaliação, tendo qualquer dúvida estamos à disposição.
Att
NTA Variedades</v>
      </c>
    </row>
    <row r="1373" spans="1:15">
      <c r="A1373" s="52" t="str">
        <f>_xlfn.XLOOKUP(Follow[[#This Row],[CODRASTREIO]],Controle_Pedidos[Cód Rastreamento],Controle_Pedidos[Número Pedido Cliente])</f>
        <v>Pedido 1430</v>
      </c>
      <c r="B1373" s="2" t="s">
        <v>18810</v>
      </c>
      <c r="C1373" s="2" t="str">
        <f>Follow[[#This Row],[CODRASTREIO]]&amp;" B"</f>
        <v>CódRastreio1368 B</v>
      </c>
      <c r="D1373" s="52" t="str">
        <f>_xlfn.XLOOKUP(Follow[[#This Row],[Id Pedido]],Controle_Pedidos[Número Pedido Cliente],Controle_Pedidos[Loja])</f>
        <v>MEI</v>
      </c>
      <c r="E1373" s="9">
        <f>_xlfn.XLOOKUP(Follow[[#This Row],[Id Pedido]],Controle_Pedidos[Número Pedido Cliente],Controle_Pedidos[Prazo Entrega])</f>
        <v>45783</v>
      </c>
      <c r="F1373" s="9" t="s">
        <v>19433</v>
      </c>
      <c r="G1373" s="9" t="s">
        <v>37</v>
      </c>
      <c r="H1373" s="9" t="s">
        <v>178</v>
      </c>
      <c r="I1373" s="52" t="s">
        <v>178</v>
      </c>
      <c r="J1373" s="140">
        <v>45766</v>
      </c>
      <c r="K1373" s="124" t="s">
        <v>198</v>
      </c>
      <c r="L1373" s="8" t="s">
        <v>124</v>
      </c>
      <c r="M1373" s="8" t="s">
        <v>37</v>
      </c>
      <c r="N1373" s="52" t="str">
        <f>IF(Follow[[#This Row],[DATAATUALIZAÇÃO]]&lt;=Follow[[#This Row],[Prev Entrega]],"Dentro do Prazo","Fora do Prazo")</f>
        <v>Dentro do Prazo</v>
      </c>
      <c r="O137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19/04/2025, referente ao pedido Nº Pedido 1430 Rastreio Pedido 1430, agradecemos a preferência e adoraríamos receber sua avaliação, tendo qualquer dúvida estamos à disposição.
Att
NTA Variedades</v>
      </c>
    </row>
    <row r="1374" spans="1:15">
      <c r="A1374" s="52" t="str">
        <f>_xlfn.XLOOKUP(Follow[[#This Row],[CODRASTREIO]],Controle_Pedidos[Cód Rastreamento],Controle_Pedidos[Número Pedido Cliente])</f>
        <v>Pedido 1431</v>
      </c>
      <c r="B1374" s="2" t="s">
        <v>18811</v>
      </c>
      <c r="C1374" s="2" t="str">
        <f>Follow[[#This Row],[CODRASTREIO]]&amp;" B"</f>
        <v>CódRastreio1369 B</v>
      </c>
      <c r="D1374" s="52" t="str">
        <f>_xlfn.XLOOKUP(Follow[[#This Row],[Id Pedido]],Controle_Pedidos[Número Pedido Cliente],Controle_Pedidos[Loja])</f>
        <v>MEI</v>
      </c>
      <c r="E1374" s="9">
        <f>_xlfn.XLOOKUP(Follow[[#This Row],[Id Pedido]],Controle_Pedidos[Número Pedido Cliente],Controle_Pedidos[Prazo Entrega])</f>
        <v>45776</v>
      </c>
      <c r="F1374" s="9" t="s">
        <v>19433</v>
      </c>
      <c r="G1374" s="9" t="s">
        <v>37</v>
      </c>
      <c r="H1374" s="9" t="s">
        <v>178</v>
      </c>
      <c r="I1374" s="52" t="s">
        <v>178</v>
      </c>
      <c r="J1374" s="140">
        <v>45763</v>
      </c>
      <c r="K1374" s="124" t="s">
        <v>198</v>
      </c>
      <c r="L1374" s="8" t="s">
        <v>124</v>
      </c>
      <c r="M1374" s="8" t="s">
        <v>37</v>
      </c>
      <c r="N1374" s="52" t="str">
        <f>IF(Follow[[#This Row],[DATAATUALIZAÇÃO]]&lt;=Follow[[#This Row],[Prev Entrega]],"Dentro do Prazo","Fora do Prazo")</f>
        <v>Dentro do Prazo</v>
      </c>
      <c r="O13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16/04/2025, referente ao pedido Nº Pedido 1431 Rastreio Pedido 1431, agradecemos a preferência e adoraríamos receber sua avaliação, tendo qualquer dúvida estamos à disposição.
Att
NTA Variedades</v>
      </c>
    </row>
    <row r="1375" spans="1:15">
      <c r="A1375" s="52" t="str">
        <f>_xlfn.XLOOKUP(Follow[[#This Row],[CODRASTREIO]],Controle_Pedidos[Cód Rastreamento],Controle_Pedidos[Número Pedido Cliente])</f>
        <v>Pedido 1419</v>
      </c>
      <c r="B1375" s="2" t="s">
        <v>18800</v>
      </c>
      <c r="C1375" s="2" t="str">
        <f>Follow[[#This Row],[CODRASTREIO]]&amp;" B"</f>
        <v>CódRastreio1358 B</v>
      </c>
      <c r="D1375" s="52" t="str">
        <f>_xlfn.XLOOKUP(Follow[[#This Row],[Id Pedido]],Controle_Pedidos[Número Pedido Cliente],Controle_Pedidos[Loja])</f>
        <v>MEI</v>
      </c>
      <c r="E1375" s="9">
        <f>_xlfn.XLOOKUP(Follow[[#This Row],[Id Pedido]],Controle_Pedidos[Número Pedido Cliente],Controle_Pedidos[Prazo Entrega])</f>
        <v>45790</v>
      </c>
      <c r="F1375" s="9" t="s">
        <v>19433</v>
      </c>
      <c r="G1375" s="9" t="s">
        <v>37</v>
      </c>
      <c r="H1375" s="9" t="s">
        <v>178</v>
      </c>
      <c r="I1375" s="52" t="s">
        <v>178</v>
      </c>
      <c r="J1375" s="140">
        <v>45766</v>
      </c>
      <c r="K1375" s="124" t="s">
        <v>198</v>
      </c>
      <c r="L1375" s="8" t="s">
        <v>124</v>
      </c>
      <c r="M1375" s="8" t="s">
        <v>37</v>
      </c>
      <c r="N1375" s="52" t="str">
        <f>IF(Follow[[#This Row],[DATAATUALIZAÇÃO]]&lt;=Follow[[#This Row],[Prev Entrega]],"Dentro do Prazo","Fora do Prazo")</f>
        <v>Dentro do Prazo</v>
      </c>
      <c r="O137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19/04/2025, referente ao pedido Nº Pedido 1419 Rastreio Pedido 1419, agradecemos a preferência e adoraríamos receber sua avaliação, tendo qualquer dúvida estamos à disposição.
Att
NTA Variedades</v>
      </c>
    </row>
    <row r="1376" spans="1:15">
      <c r="A1376" s="52" t="str">
        <f>_xlfn.XLOOKUP(Follow[[#This Row],[CODRASTREIO]],Controle_Pedidos[Cód Rastreamento],Controle_Pedidos[Número Pedido Cliente])</f>
        <v>Pedido 1425</v>
      </c>
      <c r="B1376" s="2" t="s">
        <v>18806</v>
      </c>
      <c r="C1376" s="2" t="str">
        <f>Follow[[#This Row],[CODRASTREIO]]&amp;" B"</f>
        <v>CódRastreio1364 B</v>
      </c>
      <c r="D1376" s="52" t="str">
        <f>_xlfn.XLOOKUP(Follow[[#This Row],[Id Pedido]],Controle_Pedidos[Número Pedido Cliente],Controle_Pedidos[Loja])</f>
        <v>MEI</v>
      </c>
      <c r="E1376" s="9">
        <f>_xlfn.XLOOKUP(Follow[[#This Row],[Id Pedido]],Controle_Pedidos[Número Pedido Cliente],Controle_Pedidos[Prazo Entrega])</f>
        <v>45776</v>
      </c>
      <c r="F1376" s="9" t="s">
        <v>19433</v>
      </c>
      <c r="G1376" s="9" t="s">
        <v>524</v>
      </c>
      <c r="H1376" s="9" t="s">
        <v>179</v>
      </c>
      <c r="I1376" s="52" t="s">
        <v>178</v>
      </c>
      <c r="J1376" s="140">
        <v>45772</v>
      </c>
      <c r="K1376" s="124" t="s">
        <v>198</v>
      </c>
      <c r="L1376" s="8" t="s">
        <v>124</v>
      </c>
      <c r="M1376" s="8" t="s">
        <v>208</v>
      </c>
      <c r="N1376" s="52" t="str">
        <f>IF(Follow[[#This Row],[DATAATUALIZAÇÃO]]&lt;=Follow[[#This Row],[Prev Entrega]],"Dentro do Prazo","Fora do Prazo")</f>
        <v>Dentro do Prazo</v>
      </c>
      <c r="O13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25/04/2025, referente ao pedido Nº Pedido 1425 Rastreio NM789645370BR, agradecemos a preferência e adoraríamos receber sua avaliação, tendo qualquer dúvida estamos à disposição.
Att
NTA Variedades</v>
      </c>
    </row>
    <row r="1377" spans="1:15">
      <c r="A1377" s="52" t="str">
        <f>_xlfn.XLOOKUP(Follow[[#This Row],[CODRASTREIO]],Controle_Pedidos[Cód Rastreamento],Controle_Pedidos[Número Pedido Cliente])</f>
        <v>Pedido 1433</v>
      </c>
      <c r="B1377" s="2" t="s">
        <v>18813</v>
      </c>
      <c r="C1377" s="2" t="str">
        <f>Follow[[#This Row],[CODRASTREIO]]&amp;" B"</f>
        <v>CódRastreio1371 B</v>
      </c>
      <c r="D1377" s="52" t="str">
        <f>_xlfn.XLOOKUP(Follow[[#This Row],[Id Pedido]],Controle_Pedidos[Número Pedido Cliente],Controle_Pedidos[Loja])</f>
        <v>MEI</v>
      </c>
      <c r="E1377" s="9">
        <f>_xlfn.XLOOKUP(Follow[[#This Row],[Id Pedido]],Controle_Pedidos[Número Pedido Cliente],Controle_Pedidos[Prazo Entrega])</f>
        <v>45783</v>
      </c>
      <c r="F1377" s="9" t="s">
        <v>19433</v>
      </c>
      <c r="G1377" s="9" t="s">
        <v>525</v>
      </c>
      <c r="H1377" s="9" t="s">
        <v>179</v>
      </c>
      <c r="I1377" s="9" t="s">
        <v>178</v>
      </c>
      <c r="J1377" s="9">
        <v>45777</v>
      </c>
      <c r="K1377" s="8" t="s">
        <v>198</v>
      </c>
      <c r="L1377" s="8" t="s">
        <v>124</v>
      </c>
      <c r="M1377" s="8" t="s">
        <v>208</v>
      </c>
      <c r="N1377" s="52" t="str">
        <f>IF(Follow[[#This Row],[DATAATUALIZAÇÃO]]&lt;=Follow[[#This Row],[Prev Entrega]],"Dentro do Prazo","Fora do Prazo")</f>
        <v>Dentro do Prazo</v>
      </c>
      <c r="O13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30/04/2025, referente ao pedido Nº Pedido 1433 Rastreio NM789852363BR, agradecemos a preferência e adoraríamos receber sua avaliação, tendo qualquer dúvida estamos à disposição.
Att
NTA Variedades</v>
      </c>
    </row>
    <row r="1378" spans="1:15">
      <c r="A1378" s="52" t="str">
        <f>_xlfn.XLOOKUP(Follow[[#This Row],[CODRASTREIO]],Controle_Pedidos[Cód Rastreamento],Controle_Pedidos[Número Pedido Cliente])</f>
        <v>Pedido 1434</v>
      </c>
      <c r="B1378" s="2" t="s">
        <v>18814</v>
      </c>
      <c r="C1378" s="2" t="str">
        <f>Follow[[#This Row],[CODRASTREIO]]&amp;" B"</f>
        <v>CódRastreio1372 B</v>
      </c>
      <c r="D1378" s="52" t="str">
        <f>_xlfn.XLOOKUP(Follow[[#This Row],[Id Pedido]],Controle_Pedidos[Número Pedido Cliente],Controle_Pedidos[Loja])</f>
        <v>MEI</v>
      </c>
      <c r="E1378" s="9">
        <f>_xlfn.XLOOKUP(Follow[[#This Row],[Id Pedido]],Controle_Pedidos[Número Pedido Cliente],Controle_Pedidos[Prazo Entrega])</f>
        <v>45783</v>
      </c>
      <c r="F1378" s="9" t="s">
        <v>19433</v>
      </c>
      <c r="G1378" s="9" t="s">
        <v>526</v>
      </c>
      <c r="H1378" s="9" t="s">
        <v>179</v>
      </c>
      <c r="I1378" s="9" t="s">
        <v>178</v>
      </c>
      <c r="J1378" s="9">
        <v>45785</v>
      </c>
      <c r="K1378" s="8" t="s">
        <v>198</v>
      </c>
      <c r="L1378" s="8" t="s">
        <v>124</v>
      </c>
      <c r="M1378" s="8" t="s">
        <v>37</v>
      </c>
      <c r="N1378" s="52" t="str">
        <f>IF(Follow[[#This Row],[DATAATUALIZAÇÃO]]&lt;=Follow[[#This Row],[Prev Entrega]],"Dentro do Prazo","Fora do Prazo")</f>
        <v>Fora do Prazo</v>
      </c>
      <c r="O137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08/05/2025, referente ao pedido Nº Pedido 1434 Rastreio NM789746515BR, agradecemos a preferência e adoraríamos receber sua avaliação, tendo qualquer dúvida estamos à disposição.
Att
NTA Variedades</v>
      </c>
    </row>
    <row r="1379" spans="1:15">
      <c r="A1379" s="52" t="str">
        <f>_xlfn.XLOOKUP(Follow[[#This Row],[CODRASTREIO]],Controle_Pedidos[Cód Rastreamento],Controle_Pedidos[Número Pedido Cliente])</f>
        <v>Pedido 1436</v>
      </c>
      <c r="B1379" s="2" t="s">
        <v>18816</v>
      </c>
      <c r="C1379" s="2" t="str">
        <f>Follow[[#This Row],[CODRASTREIO]]&amp;" B"</f>
        <v>CódRastreio1374 B</v>
      </c>
      <c r="D1379" s="52" t="str">
        <f>_xlfn.XLOOKUP(Follow[[#This Row],[Id Pedido]],Controle_Pedidos[Número Pedido Cliente],Controle_Pedidos[Loja])</f>
        <v>MEI</v>
      </c>
      <c r="E1379" s="9">
        <f>_xlfn.XLOOKUP(Follow[[#This Row],[Id Pedido]],Controle_Pedidos[Número Pedido Cliente],Controle_Pedidos[Prazo Entrega])</f>
        <v>45776</v>
      </c>
      <c r="F1379" s="9" t="s">
        <v>19433</v>
      </c>
      <c r="G1379" s="9" t="s">
        <v>37</v>
      </c>
      <c r="H1379" s="9" t="s">
        <v>178</v>
      </c>
      <c r="I1379" s="52" t="s">
        <v>178</v>
      </c>
      <c r="J1379" s="140">
        <v>45769</v>
      </c>
      <c r="K1379" s="124" t="s">
        <v>198</v>
      </c>
      <c r="L1379" s="8" t="s">
        <v>124</v>
      </c>
      <c r="M1379" s="8" t="s">
        <v>37</v>
      </c>
      <c r="N1379" s="52" t="str">
        <f>IF(Follow[[#This Row],[DATAATUALIZAÇÃO]]&lt;=Follow[[#This Row],[Prev Entrega]],"Dentro do Prazo","Fora do Prazo")</f>
        <v>Dentro do Prazo</v>
      </c>
      <c r="O13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22/04/2025, referente ao pedido Nº Pedido 1436 Rastreio Pedido 1436, agradecemos a preferência e adoraríamos receber sua avaliação, tendo qualquer dúvida estamos à disposição.
Att
NTA Variedades</v>
      </c>
    </row>
    <row r="1380" spans="1:15">
      <c r="A1380" s="52" t="str">
        <f>_xlfn.XLOOKUP(Follow[[#This Row],[CODRASTREIO]],Controle_Pedidos[Cód Rastreamento],Controle_Pedidos[Número Pedido Cliente])</f>
        <v>Pedido 1437</v>
      </c>
      <c r="B1380" s="2" t="s">
        <v>18817</v>
      </c>
      <c r="C1380" s="2" t="str">
        <f>Follow[[#This Row],[CODRASTREIO]]&amp;" B"</f>
        <v>CódRastreio1375 B</v>
      </c>
      <c r="D1380" s="52" t="str">
        <f>_xlfn.XLOOKUP(Follow[[#This Row],[Id Pedido]],Controle_Pedidos[Número Pedido Cliente],Controle_Pedidos[Loja])</f>
        <v>MEI</v>
      </c>
      <c r="E1380" s="9">
        <f>_xlfn.XLOOKUP(Follow[[#This Row],[Id Pedido]],Controle_Pedidos[Número Pedido Cliente],Controle_Pedidos[Prazo Entrega])</f>
        <v>45776</v>
      </c>
      <c r="F1380" s="9" t="s">
        <v>19433</v>
      </c>
      <c r="G1380" s="9" t="s">
        <v>37</v>
      </c>
      <c r="H1380" s="9" t="s">
        <v>178</v>
      </c>
      <c r="I1380" s="52" t="s">
        <v>178</v>
      </c>
      <c r="J1380" s="140">
        <v>45762</v>
      </c>
      <c r="K1380" s="124" t="s">
        <v>198</v>
      </c>
      <c r="L1380" s="8" t="s">
        <v>124</v>
      </c>
      <c r="M1380" s="8" t="s">
        <v>37</v>
      </c>
      <c r="N1380" s="52" t="str">
        <f>IF(Follow[[#This Row],[DATAATUALIZAÇÃO]]&lt;=Follow[[#This Row],[Prev Entrega]],"Dentro do Prazo","Fora do Prazo")</f>
        <v>Dentro do Prazo</v>
      </c>
      <c r="O13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15/04/2025, referente ao pedido Nº Pedido 1437 Rastreio Pedido 1437, agradecemos a preferência e adoraríamos receber sua avaliação, tendo qualquer dúvida estamos à disposição.
Att
NTA Variedades</v>
      </c>
    </row>
    <row r="1381" spans="1:15">
      <c r="A1381" s="52" t="str">
        <f>_xlfn.XLOOKUP(Follow[[#This Row],[CODRASTREIO]],Controle_Pedidos[Cód Rastreamento],Controle_Pedidos[Número Pedido Cliente])</f>
        <v>Pedido 1438</v>
      </c>
      <c r="B1381" s="2" t="s">
        <v>18818</v>
      </c>
      <c r="C1381" s="2" t="str">
        <f>Follow[[#This Row],[CODRASTREIO]]&amp;" B"</f>
        <v>CódRastreio1376 B</v>
      </c>
      <c r="D1381" s="52" t="str">
        <f>_xlfn.XLOOKUP(Follow[[#This Row],[Id Pedido]],Controle_Pedidos[Número Pedido Cliente],Controle_Pedidos[Loja])</f>
        <v>MEI</v>
      </c>
      <c r="E1381" s="9">
        <f>_xlfn.XLOOKUP(Follow[[#This Row],[Id Pedido]],Controle_Pedidos[Número Pedido Cliente],Controle_Pedidos[Prazo Entrega])</f>
        <v>45783</v>
      </c>
      <c r="F1381" s="9" t="s">
        <v>19433</v>
      </c>
      <c r="G1381" s="9" t="s">
        <v>527</v>
      </c>
      <c r="H1381" s="9" t="s">
        <v>179</v>
      </c>
      <c r="I1381" s="52" t="s">
        <v>178</v>
      </c>
      <c r="J1381" s="140">
        <v>45770</v>
      </c>
      <c r="K1381" s="124" t="s">
        <v>198</v>
      </c>
      <c r="L1381" s="8" t="s">
        <v>124</v>
      </c>
      <c r="M1381" s="8" t="s">
        <v>37</v>
      </c>
      <c r="N1381" s="52" t="str">
        <f>IF(Follow[[#This Row],[DATAATUALIZAÇÃO]]&lt;=Follow[[#This Row],[Prev Entrega]],"Dentro do Prazo","Fora do Prazo")</f>
        <v>Dentro do Prazo</v>
      </c>
      <c r="O13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23/04/2025, referente ao pedido Nº Pedido 1438 Rastreio NM789879525BR, agradecemos a preferência e adoraríamos receber sua avaliação, tendo qualquer dúvida estamos à disposição.
Att
NTA Variedades</v>
      </c>
    </row>
    <row r="1382" spans="1:15">
      <c r="A1382" s="52" t="str">
        <f>_xlfn.XLOOKUP(Follow[[#This Row],[CODRASTREIO]],Controle_Pedidos[Cód Rastreamento],Controle_Pedidos[Número Pedido Cliente])</f>
        <v>Pedido 1439</v>
      </c>
      <c r="B1382" s="2" t="s">
        <v>18819</v>
      </c>
      <c r="C1382" s="2" t="str">
        <f>Follow[[#This Row],[CODRASTREIO]]&amp;" B"</f>
        <v>CódRastreio1377 B</v>
      </c>
      <c r="D1382" s="52" t="str">
        <f>_xlfn.XLOOKUP(Follow[[#This Row],[Id Pedido]],Controle_Pedidos[Número Pedido Cliente],Controle_Pedidos[Loja])</f>
        <v>MEI</v>
      </c>
      <c r="E1382" s="9">
        <f>_xlfn.XLOOKUP(Follow[[#This Row],[Id Pedido]],Controle_Pedidos[Número Pedido Cliente],Controle_Pedidos[Prazo Entrega])</f>
        <v>45783</v>
      </c>
      <c r="F1382" s="9" t="s">
        <v>19433</v>
      </c>
      <c r="G1382" s="9" t="s">
        <v>37</v>
      </c>
      <c r="H1382" s="9" t="s">
        <v>178</v>
      </c>
      <c r="I1382" s="52" t="s">
        <v>178</v>
      </c>
      <c r="J1382" s="140">
        <v>45765</v>
      </c>
      <c r="K1382" s="124" t="s">
        <v>198</v>
      </c>
      <c r="L1382" s="8" t="s">
        <v>124</v>
      </c>
      <c r="M1382" s="8" t="s">
        <v>37</v>
      </c>
      <c r="N1382" s="52" t="str">
        <f>IF(Follow[[#This Row],[DATAATUALIZAÇÃO]]&lt;=Follow[[#This Row],[Prev Entrega]],"Dentro do Prazo","Fora do Prazo")</f>
        <v>Dentro do Prazo</v>
      </c>
      <c r="O13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18/04/2025, referente ao pedido Nº Pedido 1439 Rastreio Pedido 1439, agradecemos a preferência e adoraríamos receber sua avaliação, tendo qualquer dúvida estamos à disposição.
Att
NTA Variedades</v>
      </c>
    </row>
    <row r="1383" spans="1:15">
      <c r="A1383" s="52" t="str">
        <f>_xlfn.XLOOKUP(Follow[[#This Row],[CODRASTREIO]],Controle_Pedidos[Cód Rastreamento],Controle_Pedidos[Número Pedido Cliente])</f>
        <v>Pedido 1440</v>
      </c>
      <c r="B1383" s="2" t="s">
        <v>18820</v>
      </c>
      <c r="C1383" s="2" t="str">
        <f>Follow[[#This Row],[CODRASTREIO]]&amp;" B"</f>
        <v>CódRastreio1378 B</v>
      </c>
      <c r="D1383" s="52" t="str">
        <f>_xlfn.XLOOKUP(Follow[[#This Row],[Id Pedido]],Controle_Pedidos[Número Pedido Cliente],Controle_Pedidos[Loja])</f>
        <v>MEI</v>
      </c>
      <c r="E1383" s="9">
        <f>_xlfn.XLOOKUP(Follow[[#This Row],[Id Pedido]],Controle_Pedidos[Número Pedido Cliente],Controle_Pedidos[Prazo Entrega])</f>
        <v>45776</v>
      </c>
      <c r="F1383" s="9" t="s">
        <v>19433</v>
      </c>
      <c r="G1383" s="9" t="s">
        <v>37</v>
      </c>
      <c r="H1383" s="9" t="s">
        <v>178</v>
      </c>
      <c r="I1383" s="52" t="s">
        <v>178</v>
      </c>
      <c r="J1383" s="140">
        <v>45770</v>
      </c>
      <c r="K1383" s="124" t="s">
        <v>198</v>
      </c>
      <c r="L1383" s="8" t="s">
        <v>124</v>
      </c>
      <c r="M1383" s="8" t="s">
        <v>37</v>
      </c>
      <c r="N1383" s="52" t="str">
        <f>IF(Follow[[#This Row],[DATAATUALIZAÇÃO]]&lt;=Follow[[#This Row],[Prev Entrega]],"Dentro do Prazo","Fora do Prazo")</f>
        <v>Dentro do Prazo</v>
      </c>
      <c r="O13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23/04/2025, referente ao pedido Nº Pedido 1440 Rastreio Pedido 1440, agradecemos a preferência e adoraríamos receber sua avaliação, tendo qualquer dúvida estamos à disposição.
Att
NTA Variedades</v>
      </c>
    </row>
    <row r="1384" spans="1:15">
      <c r="A1384" s="52" t="str">
        <f>_xlfn.XLOOKUP(Follow[[#This Row],[CODRASTREIO]],Controle_Pedidos[Cód Rastreamento],Controle_Pedidos[Número Pedido Cliente])</f>
        <v>Pedido 1441</v>
      </c>
      <c r="B1384" s="2" t="s">
        <v>18821</v>
      </c>
      <c r="C1384" s="2" t="str">
        <f>Follow[[#This Row],[CODRASTREIO]]&amp;" B"</f>
        <v>CódRastreio1379 B</v>
      </c>
      <c r="D1384" s="52" t="str">
        <f>_xlfn.XLOOKUP(Follow[[#This Row],[Id Pedido]],Controle_Pedidos[Número Pedido Cliente],Controle_Pedidos[Loja])</f>
        <v>MEI</v>
      </c>
      <c r="E1384" s="9">
        <f>_xlfn.XLOOKUP(Follow[[#This Row],[Id Pedido]],Controle_Pedidos[Número Pedido Cliente],Controle_Pedidos[Prazo Entrega])</f>
        <v>45783</v>
      </c>
      <c r="F1384" s="9" t="s">
        <v>19433</v>
      </c>
      <c r="G1384" s="9" t="s">
        <v>37</v>
      </c>
      <c r="H1384" s="9" t="s">
        <v>178</v>
      </c>
      <c r="I1384" s="52" t="s">
        <v>178</v>
      </c>
      <c r="J1384" s="140">
        <v>45762</v>
      </c>
      <c r="K1384" s="124" t="s">
        <v>198</v>
      </c>
      <c r="L1384" s="8" t="s">
        <v>124</v>
      </c>
      <c r="M1384" s="8" t="s">
        <v>37</v>
      </c>
      <c r="N1384" s="52" t="str">
        <f>IF(Follow[[#This Row],[DATAATUALIZAÇÃO]]&lt;=Follow[[#This Row],[Prev Entrega]],"Dentro do Prazo","Fora do Prazo")</f>
        <v>Dentro do Prazo</v>
      </c>
      <c r="O138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15/04/2025, referente ao pedido Nº Pedido 1441 Rastreio Pedido 1441, agradecemos a preferência e adoraríamos receber sua avaliação, tendo qualquer dúvida estamos à disposição.
Att
NTA Variedades</v>
      </c>
    </row>
    <row r="1385" spans="1:15">
      <c r="A1385" s="52" t="str">
        <f>_xlfn.XLOOKUP(Follow[[#This Row],[CODRASTREIO]],Controle_Pedidos[Cód Rastreamento],Controle_Pedidos[Número Pedido Cliente])</f>
        <v>Pedido 1443</v>
      </c>
      <c r="B1385" s="2" t="s">
        <v>18823</v>
      </c>
      <c r="C1385" s="2" t="str">
        <f>Follow[[#This Row],[CODRASTREIO]]&amp;" B"</f>
        <v>CódRastreio1381 B</v>
      </c>
      <c r="D1385" s="52" t="str">
        <f>_xlfn.XLOOKUP(Follow[[#This Row],[Id Pedido]],Controle_Pedidos[Número Pedido Cliente],Controle_Pedidos[Loja])</f>
        <v>MEI</v>
      </c>
      <c r="E1385" s="9">
        <f>_xlfn.XLOOKUP(Follow[[#This Row],[Id Pedido]],Controle_Pedidos[Número Pedido Cliente],Controle_Pedidos[Prazo Entrega])</f>
        <v>45776</v>
      </c>
      <c r="F1385" s="9" t="s">
        <v>19433</v>
      </c>
      <c r="G1385" s="9" t="s">
        <v>528</v>
      </c>
      <c r="H1385" s="9" t="s">
        <v>179</v>
      </c>
      <c r="I1385" s="52" t="s">
        <v>178</v>
      </c>
      <c r="J1385" s="140">
        <v>45764</v>
      </c>
      <c r="K1385" s="124" t="s">
        <v>198</v>
      </c>
      <c r="L1385" s="8" t="s">
        <v>124</v>
      </c>
      <c r="M1385" s="8" t="s">
        <v>37</v>
      </c>
      <c r="N1385" s="52" t="str">
        <f>IF(Follow[[#This Row],[DATAATUALIZAÇÃO]]&lt;=Follow[[#This Row],[Prev Entrega]],"Dentro do Prazo","Fora do Prazo")</f>
        <v>Dentro do Prazo</v>
      </c>
      <c r="O13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17/04/2025, referente ao pedido Nº Pedido 1443 Rastreio NM789926295BR, agradecemos a preferência e adoraríamos receber sua avaliação, tendo qualquer dúvida estamos à disposição.
Att
NTA Variedades</v>
      </c>
    </row>
    <row r="1386" spans="1:15">
      <c r="A1386" s="52" t="str">
        <f>_xlfn.XLOOKUP(Follow[[#This Row],[CODRASTREIO]],Controle_Pedidos[Cód Rastreamento],Controle_Pedidos[Número Pedido Cliente])</f>
        <v>Pedido 1445</v>
      </c>
      <c r="B1386" s="2" t="s">
        <v>18825</v>
      </c>
      <c r="C1386" s="2" t="str">
        <f>Follow[[#This Row],[CODRASTREIO]]&amp;" B"</f>
        <v>CódRastreio1383 B</v>
      </c>
      <c r="D1386" s="52" t="str">
        <f>_xlfn.XLOOKUP(Follow[[#This Row],[Id Pedido]],Controle_Pedidos[Número Pedido Cliente],Controle_Pedidos[Loja])</f>
        <v>MEI</v>
      </c>
      <c r="E1386" s="9">
        <f>_xlfn.XLOOKUP(Follow[[#This Row],[Id Pedido]],Controle_Pedidos[Número Pedido Cliente],Controle_Pedidos[Prazo Entrega])</f>
        <v>45783</v>
      </c>
      <c r="F1386" s="9" t="s">
        <v>19433</v>
      </c>
      <c r="G1386" s="9" t="s">
        <v>37</v>
      </c>
      <c r="H1386" s="9" t="s">
        <v>178</v>
      </c>
      <c r="I1386" s="52" t="s">
        <v>178</v>
      </c>
      <c r="J1386" s="140">
        <v>45764</v>
      </c>
      <c r="K1386" s="124" t="s">
        <v>198</v>
      </c>
      <c r="L1386" s="8" t="s">
        <v>124</v>
      </c>
      <c r="M1386" s="8" t="s">
        <v>37</v>
      </c>
      <c r="N1386" s="52" t="str">
        <f>IF(Follow[[#This Row],[DATAATUALIZAÇÃO]]&lt;=Follow[[#This Row],[Prev Entrega]],"Dentro do Prazo","Fora do Prazo")</f>
        <v>Dentro do Prazo</v>
      </c>
      <c r="O138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17/04/2025, referente ao pedido Nº Pedido 1445 Rastreio Pedido 1445, agradecemos a preferência e adoraríamos receber sua avaliação, tendo qualquer dúvida estamos à disposição.
Att
NTA Variedades</v>
      </c>
    </row>
    <row r="1387" spans="1:15">
      <c r="A1387" s="52" t="str">
        <f>_xlfn.XLOOKUP(Follow[[#This Row],[CODRASTREIO]],Controle_Pedidos[Cód Rastreamento],Controle_Pedidos[Número Pedido Cliente])</f>
        <v>Pedido 1446</v>
      </c>
      <c r="B1387" s="2" t="s">
        <v>18826</v>
      </c>
      <c r="C1387" s="2" t="str">
        <f>Follow[[#This Row],[CODRASTREIO]]&amp;" B"</f>
        <v>CódRastreio1384 B</v>
      </c>
      <c r="D1387" s="52" t="str">
        <f>_xlfn.XLOOKUP(Follow[[#This Row],[Id Pedido]],Controle_Pedidos[Número Pedido Cliente],Controle_Pedidos[Loja])</f>
        <v>MEI</v>
      </c>
      <c r="E1387" s="9">
        <f>_xlfn.XLOOKUP(Follow[[#This Row],[Id Pedido]],Controle_Pedidos[Número Pedido Cliente],Controle_Pedidos[Prazo Entrega])</f>
        <v>45776</v>
      </c>
      <c r="F1387" s="9" t="s">
        <v>19433</v>
      </c>
      <c r="G1387" s="9" t="s">
        <v>529</v>
      </c>
      <c r="H1387" s="9" t="s">
        <v>179</v>
      </c>
      <c r="I1387" s="52" t="s">
        <v>178</v>
      </c>
      <c r="J1387" s="140">
        <v>45770</v>
      </c>
      <c r="K1387" s="124" t="s">
        <v>198</v>
      </c>
      <c r="L1387" s="8" t="s">
        <v>124</v>
      </c>
      <c r="M1387" s="8" t="s">
        <v>37</v>
      </c>
      <c r="N1387" s="52" t="str">
        <f>IF(Follow[[#This Row],[DATAATUALIZAÇÃO]]&lt;=Follow[[#This Row],[Prev Entrega]],"Dentro do Prazo","Fora do Prazo")</f>
        <v>Dentro do Prazo</v>
      </c>
      <c r="O13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23/04/2025, referente ao pedido Nº Pedido 1446 Rastreio NM789944396BR, agradecemos a preferência e adoraríamos receber sua avaliação, tendo qualquer dúvida estamos à disposição.
Att
NTA Variedades</v>
      </c>
    </row>
    <row r="1388" spans="1:15">
      <c r="A1388" s="52" t="str">
        <f>_xlfn.XLOOKUP(Follow[[#This Row],[CODRASTREIO]],Controle_Pedidos[Cód Rastreamento],Controle_Pedidos[Número Pedido Cliente])</f>
        <v>Pedido 1447</v>
      </c>
      <c r="B1388" s="2" t="s">
        <v>18827</v>
      </c>
      <c r="C1388" s="2" t="str">
        <f>Follow[[#This Row],[CODRASTREIO]]&amp;" B"</f>
        <v>CódRastreio1385 B</v>
      </c>
      <c r="D1388" s="52" t="str">
        <f>_xlfn.XLOOKUP(Follow[[#This Row],[Id Pedido]],Controle_Pedidos[Número Pedido Cliente],Controle_Pedidos[Loja])</f>
        <v>MEI</v>
      </c>
      <c r="E1388" s="9">
        <f>_xlfn.XLOOKUP(Follow[[#This Row],[Id Pedido]],Controle_Pedidos[Número Pedido Cliente],Controle_Pedidos[Prazo Entrega])</f>
        <v>45783</v>
      </c>
      <c r="F1388" s="9" t="s">
        <v>19433</v>
      </c>
      <c r="G1388" s="9" t="s">
        <v>530</v>
      </c>
      <c r="H1388" s="9" t="s">
        <v>179</v>
      </c>
      <c r="I1388" s="52" t="s">
        <v>178</v>
      </c>
      <c r="J1388" s="140">
        <v>45764</v>
      </c>
      <c r="K1388" s="124" t="s">
        <v>198</v>
      </c>
      <c r="L1388" s="8" t="s">
        <v>124</v>
      </c>
      <c r="M1388" s="8" t="s">
        <v>37</v>
      </c>
      <c r="N1388" s="52" t="str">
        <f>IF(Follow[[#This Row],[DATAATUALIZAÇÃO]]&lt;=Follow[[#This Row],[Prev Entrega]],"Dentro do Prazo","Fora do Prazo")</f>
        <v>Dentro do Prazo</v>
      </c>
      <c r="O138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17/04/2025, referente ao pedido Nº Pedido 1447 Rastreio NM789949946BR, agradecemos a preferência e adoraríamos receber sua avaliação, tendo qualquer dúvida estamos à disposição.
Att
NTA Variedades</v>
      </c>
    </row>
    <row r="1389" spans="1:15">
      <c r="A1389" s="52" t="str">
        <f>_xlfn.XLOOKUP(Follow[[#This Row],[CODRASTREIO]],Controle_Pedidos[Cód Rastreamento],Controle_Pedidos[Número Pedido Cliente])</f>
        <v>Pedido 1398</v>
      </c>
      <c r="B1389" s="2" t="s">
        <v>18779</v>
      </c>
      <c r="C1389" s="2" t="str">
        <f>Follow[[#This Row],[CODRASTREIO]]&amp;" B"</f>
        <v>CódRastreio1337 B</v>
      </c>
      <c r="D1389" s="52" t="str">
        <f>_xlfn.XLOOKUP(Follow[[#This Row],[Id Pedido]],Controle_Pedidos[Número Pedido Cliente],Controle_Pedidos[Loja])</f>
        <v>MEI</v>
      </c>
      <c r="E1389" s="9">
        <f>_xlfn.XLOOKUP(Follow[[#This Row],[Id Pedido]],Controle_Pedidos[Número Pedido Cliente],Controle_Pedidos[Prazo Entrega])</f>
        <v>45786</v>
      </c>
      <c r="F1389" s="9" t="s">
        <v>19433</v>
      </c>
      <c r="G1389" s="9" t="s">
        <v>531</v>
      </c>
      <c r="H1389" s="9" t="s">
        <v>179</v>
      </c>
      <c r="I1389" s="9" t="s">
        <v>178</v>
      </c>
      <c r="J1389" s="9">
        <v>45791</v>
      </c>
      <c r="K1389" s="8" t="s">
        <v>198</v>
      </c>
      <c r="L1389" s="8" t="s">
        <v>124</v>
      </c>
      <c r="M1389" s="8" t="s">
        <v>37</v>
      </c>
      <c r="N1389" s="52" t="str">
        <f>IF(Follow[[#This Row],[DATAATUALIZAÇÃO]]&lt;=Follow[[#This Row],[Prev Entrega]],"Dentro do Prazo","Fora do Prazo")</f>
        <v>Fora do Prazo</v>
      </c>
      <c r="O138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14/05/2025, referente ao pedido Nº Pedido 1398 Rastreio NM791383615BR, agradecemos a preferência e adoraríamos receber sua avaliação, tendo qualquer dúvida estamos à disposição.
Att
NTA Variedades</v>
      </c>
    </row>
    <row r="1390" spans="1:15">
      <c r="A1390" s="52" t="str">
        <f>_xlfn.XLOOKUP(Follow[[#This Row],[CODRASTREIO]],Controle_Pedidos[Cód Rastreamento],Controle_Pedidos[Número Pedido Cliente])</f>
        <v>Pedido 1449</v>
      </c>
      <c r="B1390" s="2" t="s">
        <v>18829</v>
      </c>
      <c r="C1390" s="2" t="str">
        <f>Follow[[#This Row],[CODRASTREIO]]&amp;" B"</f>
        <v>CódRastreio1387 B</v>
      </c>
      <c r="D1390" s="52" t="str">
        <f>_xlfn.XLOOKUP(Follow[[#This Row],[Id Pedido]],Controle_Pedidos[Número Pedido Cliente],Controle_Pedidos[Loja])</f>
        <v>MEI</v>
      </c>
      <c r="E1390" s="9">
        <f>_xlfn.XLOOKUP(Follow[[#This Row],[Id Pedido]],Controle_Pedidos[Número Pedido Cliente],Controle_Pedidos[Prazo Entrega])</f>
        <v>45790</v>
      </c>
      <c r="F1390" s="9" t="s">
        <v>19433</v>
      </c>
      <c r="G1390" s="9" t="s">
        <v>532</v>
      </c>
      <c r="H1390" s="9" t="s">
        <v>179</v>
      </c>
      <c r="I1390" s="9" t="s">
        <v>178</v>
      </c>
      <c r="J1390" s="9">
        <v>45793</v>
      </c>
      <c r="K1390" s="8" t="s">
        <v>533</v>
      </c>
      <c r="L1390" s="8" t="s">
        <v>124</v>
      </c>
      <c r="M1390" s="8" t="s">
        <v>208</v>
      </c>
      <c r="N1390" s="52" t="str">
        <f>IF(Follow[[#This Row],[DATAATUALIZAÇÃO]]&lt;=Follow[[#This Row],[Prev Entrega]],"Dentro do Prazo","Fora do Prazo")</f>
        <v>Fora do Prazo</v>
      </c>
      <c r="O1390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16/05/2025, referente ao pedido Nº Pedido 1449 Rastreio NM790768671BR, agradecemos a preferência e adoraríamos receber sua avaliação, tendo qualquer dúvida estamos à disposição.
Att
NTA Variedades</v>
      </c>
    </row>
    <row r="1391" spans="1:15">
      <c r="A1391" s="52" t="str">
        <f>_xlfn.XLOOKUP(Follow[[#This Row],[CODRASTREIO]],Controle_Pedidos[Cód Rastreamento],Controle_Pedidos[Número Pedido Cliente])</f>
        <v>Pedido 1450</v>
      </c>
      <c r="B1391" s="2" t="s">
        <v>18830</v>
      </c>
      <c r="C1391" s="2" t="str">
        <f>Follow[[#This Row],[CODRASTREIO]]&amp;" B"</f>
        <v>CódRastreio1388 B</v>
      </c>
      <c r="D1391" s="52" t="str">
        <f>_xlfn.XLOOKUP(Follow[[#This Row],[Id Pedido]],Controle_Pedidos[Número Pedido Cliente],Controle_Pedidos[Loja])</f>
        <v>MEI</v>
      </c>
      <c r="E1391" s="9">
        <f>_xlfn.XLOOKUP(Follow[[#This Row],[Id Pedido]],Controle_Pedidos[Número Pedido Cliente],Controle_Pedidos[Prazo Entrega])</f>
        <v>45791</v>
      </c>
      <c r="F1391" s="9" t="s">
        <v>19433</v>
      </c>
      <c r="G1391" s="9" t="s">
        <v>534</v>
      </c>
      <c r="H1391" s="9" t="s">
        <v>179</v>
      </c>
      <c r="I1391" s="9" t="s">
        <v>178</v>
      </c>
      <c r="J1391" s="9">
        <v>45779</v>
      </c>
      <c r="K1391" s="8" t="s">
        <v>198</v>
      </c>
      <c r="L1391" s="8" t="s">
        <v>124</v>
      </c>
      <c r="M1391" s="8" t="s">
        <v>37</v>
      </c>
      <c r="N1391" s="52" t="str">
        <f>IF(Follow[[#This Row],[DATAATUALIZAÇÃO]]&lt;=Follow[[#This Row],[Prev Entrega]],"Dentro do Prazo","Fora do Prazo")</f>
        <v>Dentro do Prazo</v>
      </c>
      <c r="O13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02/05/2025, referente ao pedido Nº Pedido 1450 Rastreio NM790797766BR, agradecemos a preferência e adoraríamos receber sua avaliação, tendo qualquer dúvida estamos à disposição.
Att
NTA Variedades</v>
      </c>
    </row>
    <row r="1392" spans="1:15">
      <c r="A1392" s="52" t="str">
        <f>_xlfn.XLOOKUP(Follow[[#This Row],[CODRASTREIO]],Controle_Pedidos[Cód Rastreamento],Controle_Pedidos[Número Pedido Cliente])</f>
        <v>Pedido 1451</v>
      </c>
      <c r="B1392" s="2" t="s">
        <v>18831</v>
      </c>
      <c r="C1392" s="2" t="str">
        <f>Follow[[#This Row],[CODRASTREIO]]&amp;" B"</f>
        <v>CódRastreio1389 B</v>
      </c>
      <c r="D1392" s="52" t="str">
        <f>_xlfn.XLOOKUP(Follow[[#This Row],[Id Pedido]],Controle_Pedidos[Número Pedido Cliente],Controle_Pedidos[Loja])</f>
        <v>MEI</v>
      </c>
      <c r="E1392" s="9">
        <f>_xlfn.XLOOKUP(Follow[[#This Row],[Id Pedido]],Controle_Pedidos[Número Pedido Cliente],Controle_Pedidos[Prazo Entrega])</f>
        <v>45784</v>
      </c>
      <c r="F1392" s="9" t="s">
        <v>19433</v>
      </c>
      <c r="G1392" s="9" t="s">
        <v>535</v>
      </c>
      <c r="H1392" s="9" t="s">
        <v>179</v>
      </c>
      <c r="I1392" s="52" t="s">
        <v>178</v>
      </c>
      <c r="J1392" s="140">
        <v>45776</v>
      </c>
      <c r="K1392" s="124" t="s">
        <v>198</v>
      </c>
      <c r="L1392" s="8" t="s">
        <v>124</v>
      </c>
      <c r="M1392" s="8" t="s">
        <v>37</v>
      </c>
      <c r="N1392" s="52" t="str">
        <f>IF(Follow[[#This Row],[DATAATUALIZAÇÃO]]&lt;=Follow[[#This Row],[Prev Entrega]],"Dentro do Prazo","Fora do Prazo")</f>
        <v>Dentro do Prazo</v>
      </c>
      <c r="O13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29/04/2025, referente ao pedido Nº Pedido 1451 Rastreio NM790810785BR, agradecemos a preferência e adoraríamos receber sua avaliação, tendo qualquer dúvida estamos à disposição.
Att
NTA Variedades</v>
      </c>
    </row>
    <row r="1393" spans="1:15">
      <c r="A1393" s="52" t="str">
        <f>_xlfn.XLOOKUP(Follow[[#This Row],[CODRASTREIO]],Controle_Pedidos[Cód Rastreamento],Controle_Pedidos[Número Pedido Cliente])</f>
        <v>Pedido 1452</v>
      </c>
      <c r="B1393" s="2" t="s">
        <v>18832</v>
      </c>
      <c r="C1393" s="2" t="str">
        <f>Follow[[#This Row],[CODRASTREIO]]&amp;" B"</f>
        <v>CódRastreio1390 B</v>
      </c>
      <c r="D1393" s="52" t="str">
        <f>_xlfn.XLOOKUP(Follow[[#This Row],[Id Pedido]],Controle_Pedidos[Número Pedido Cliente],Controle_Pedidos[Loja])</f>
        <v>MEI</v>
      </c>
      <c r="E1393" s="9">
        <f>_xlfn.XLOOKUP(Follow[[#This Row],[Id Pedido]],Controle_Pedidos[Número Pedido Cliente],Controle_Pedidos[Prazo Entrega])</f>
        <v>45784</v>
      </c>
      <c r="F1393" s="9" t="s">
        <v>19433</v>
      </c>
      <c r="G1393" s="9" t="s">
        <v>536</v>
      </c>
      <c r="H1393" s="9" t="s">
        <v>179</v>
      </c>
      <c r="I1393" s="52" t="s">
        <v>178</v>
      </c>
      <c r="J1393" s="140">
        <v>45776</v>
      </c>
      <c r="K1393" s="124" t="s">
        <v>198</v>
      </c>
      <c r="L1393" s="8" t="s">
        <v>124</v>
      </c>
      <c r="M1393" s="8" t="s">
        <v>37</v>
      </c>
      <c r="N1393" s="52" t="str">
        <f>IF(Follow[[#This Row],[DATAATUALIZAÇÃO]]&lt;=Follow[[#This Row],[Prev Entrega]],"Dentro do Prazo","Fora do Prazo")</f>
        <v>Dentro do Prazo</v>
      </c>
      <c r="O139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29/04/2025, referente ao pedido Nº Pedido 1452 Rastreio NM790820663BR, agradecemos a preferência e adoraríamos receber sua avaliação, tendo qualquer dúvida estamos à disposição.
Att
NTA Variedades</v>
      </c>
    </row>
    <row r="1394" spans="1:15">
      <c r="A1394" s="52" t="str">
        <f>_xlfn.XLOOKUP(Follow[[#This Row],[CODRASTREIO]],Controle_Pedidos[Cód Rastreamento],Controle_Pedidos[Número Pedido Cliente])</f>
        <v>Pedido 1458</v>
      </c>
      <c r="B1394" s="2" t="s">
        <v>18836</v>
      </c>
      <c r="C1394" s="2" t="str">
        <f>Follow[[#This Row],[CODRASTREIO]]&amp;" B"</f>
        <v>CódRastreio1394 B</v>
      </c>
      <c r="D1394" s="52" t="str">
        <f>_xlfn.XLOOKUP(Follow[[#This Row],[Id Pedido]],Controle_Pedidos[Número Pedido Cliente],Controle_Pedidos[Loja])</f>
        <v>MEI</v>
      </c>
      <c r="E1394" s="9">
        <f>_xlfn.XLOOKUP(Follow[[#This Row],[Id Pedido]],Controle_Pedidos[Número Pedido Cliente],Controle_Pedidos[Prazo Entrega])</f>
        <v>45777</v>
      </c>
      <c r="F1394" s="9" t="s">
        <v>19433</v>
      </c>
      <c r="G1394" s="9" t="s">
        <v>37</v>
      </c>
      <c r="H1394" s="9" t="s">
        <v>178</v>
      </c>
      <c r="I1394" s="52" t="s">
        <v>178</v>
      </c>
      <c r="J1394" s="140">
        <v>45766</v>
      </c>
      <c r="K1394" s="124" t="s">
        <v>198</v>
      </c>
      <c r="L1394" s="8" t="s">
        <v>124</v>
      </c>
      <c r="M1394" s="8" t="s">
        <v>37</v>
      </c>
      <c r="N1394" s="52" t="str">
        <f>IF(Follow[[#This Row],[DATAATUALIZAÇÃO]]&lt;=Follow[[#This Row],[Prev Entrega]],"Dentro do Prazo","Fora do Prazo")</f>
        <v>Dentro do Prazo</v>
      </c>
      <c r="O13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19/04/2025, referente ao pedido Nº Pedido 1458 Rastreio Pedido 1458, agradecemos a preferência e adoraríamos receber sua avaliação, tendo qualquer dúvida estamos à disposição.
Att
NTA Variedades</v>
      </c>
    </row>
    <row r="1395" spans="1:15">
      <c r="A1395" s="52" t="str">
        <f>_xlfn.XLOOKUP(Follow[[#This Row],[CODRASTREIO]],Controle_Pedidos[Cód Rastreamento],Controle_Pedidos[Número Pedido Cliente])</f>
        <v>Pedido 1405</v>
      </c>
      <c r="B1395" s="2" t="s">
        <v>18786</v>
      </c>
      <c r="C1395" s="2" t="str">
        <f>Follow[[#This Row],[CODRASTREIO]]&amp;" B"</f>
        <v>CódRastreio1344 B</v>
      </c>
      <c r="D1395" s="52" t="str">
        <f>_xlfn.XLOOKUP(Follow[[#This Row],[Id Pedido]],Controle_Pedidos[Número Pedido Cliente],Controle_Pedidos[Loja])</f>
        <v>MEI</v>
      </c>
      <c r="E1395" s="9">
        <f>_xlfn.XLOOKUP(Follow[[#This Row],[Id Pedido]],Controle_Pedidos[Número Pedido Cliente],Controle_Pedidos[Prazo Entrega])</f>
        <v>45772</v>
      </c>
      <c r="F1395" s="9" t="s">
        <v>19433</v>
      </c>
      <c r="G1395" s="9" t="s">
        <v>537</v>
      </c>
      <c r="H1395" s="9" t="s">
        <v>179</v>
      </c>
      <c r="I1395" s="52" t="s">
        <v>178</v>
      </c>
      <c r="J1395" s="140">
        <v>45766</v>
      </c>
      <c r="K1395" s="124" t="s">
        <v>198</v>
      </c>
      <c r="L1395" s="8" t="s">
        <v>124</v>
      </c>
      <c r="M1395" s="8" t="s">
        <v>37</v>
      </c>
      <c r="N1395" s="52" t="str">
        <f>IF(Follow[[#This Row],[DATAATUALIZAÇÃO]]&lt;=Follow[[#This Row],[Prev Entrega]],"Dentro do Prazo","Fora do Prazo")</f>
        <v>Dentro do Prazo</v>
      </c>
      <c r="O139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19/04/2025, referente ao pedido Nº Pedido 1405 Rastreio CNBR00065535705, agradecemos a preferência e adoraríamos receber sua avaliação, tendo qualquer dúvida estamos à disposição.
Att
NTA Variedades</v>
      </c>
    </row>
    <row r="1396" spans="1:15">
      <c r="A1396" s="52" t="str">
        <f>_xlfn.XLOOKUP(Follow[[#This Row],[CODRASTREIO]],Controle_Pedidos[Cód Rastreamento],Controle_Pedidos[Número Pedido Cliente])</f>
        <v>Pedido 1427</v>
      </c>
      <c r="B1396" s="2" t="s">
        <v>18807</v>
      </c>
      <c r="C1396" s="2" t="str">
        <f>Follow[[#This Row],[CODRASTREIO]]&amp;" B"</f>
        <v>CódRastreio1365 B</v>
      </c>
      <c r="D1396" s="52" t="str">
        <f>_xlfn.XLOOKUP(Follow[[#This Row],[Id Pedido]],Controle_Pedidos[Número Pedido Cliente],Controle_Pedidos[Loja])</f>
        <v>MEI</v>
      </c>
      <c r="E1396" s="9">
        <f>_xlfn.XLOOKUP(Follow[[#This Row],[Id Pedido]],Controle_Pedidos[Número Pedido Cliente],Controle_Pedidos[Prazo Entrega])</f>
        <v>45783</v>
      </c>
      <c r="F1396" s="9" t="s">
        <v>19433</v>
      </c>
      <c r="G1396" s="9" t="s">
        <v>538</v>
      </c>
      <c r="H1396" s="9" t="s">
        <v>179</v>
      </c>
      <c r="I1396" s="52" t="s">
        <v>178</v>
      </c>
      <c r="J1396" s="140">
        <v>45770</v>
      </c>
      <c r="K1396" s="124" t="s">
        <v>198</v>
      </c>
      <c r="L1396" s="8" t="s">
        <v>124</v>
      </c>
      <c r="M1396" s="8" t="s">
        <v>37</v>
      </c>
      <c r="N1396" s="52" t="str">
        <f>IF(Follow[[#This Row],[DATAATUALIZAÇÃO]]&lt;=Follow[[#This Row],[Prev Entrega]],"Dentro do Prazo","Fora do Prazo")</f>
        <v>Dentro do Prazo</v>
      </c>
      <c r="O139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23/04/2025, referente ao pedido Nº Pedido 1427 Rastreio CNBR00065532818, agradecemos a preferência e adoraríamos receber sua avaliação, tendo qualquer dúvida estamos à disposição.
Att
NTA Variedades</v>
      </c>
    </row>
    <row r="1397" spans="1:15">
      <c r="A1397" s="52" t="str">
        <f>_xlfn.XLOOKUP(Follow[[#This Row],[CODRASTREIO]],Controle_Pedidos[Cód Rastreamento],Controle_Pedidos[Número Pedido Cliente])</f>
        <v>Pedido 1432</v>
      </c>
      <c r="B1397" s="2" t="s">
        <v>18812</v>
      </c>
      <c r="C1397" s="2" t="str">
        <f>Follow[[#This Row],[CODRASTREIO]]&amp;" B"</f>
        <v>CódRastreio1370 B</v>
      </c>
      <c r="D1397" s="52" t="str">
        <f>_xlfn.XLOOKUP(Follow[[#This Row],[Id Pedido]],Controle_Pedidos[Número Pedido Cliente],Controle_Pedidos[Loja])</f>
        <v>MEI</v>
      </c>
      <c r="E1397" s="9">
        <f>_xlfn.XLOOKUP(Follow[[#This Row],[Id Pedido]],Controle_Pedidos[Número Pedido Cliente],Controle_Pedidos[Prazo Entrega])</f>
        <v>45783</v>
      </c>
      <c r="F1397" s="9" t="s">
        <v>19433</v>
      </c>
      <c r="G1397" s="9" t="s">
        <v>539</v>
      </c>
      <c r="H1397" s="9" t="s">
        <v>179</v>
      </c>
      <c r="I1397" s="52" t="s">
        <v>178</v>
      </c>
      <c r="J1397" s="140">
        <v>45772</v>
      </c>
      <c r="K1397" s="124" t="s">
        <v>198</v>
      </c>
      <c r="L1397" s="8" t="s">
        <v>124</v>
      </c>
      <c r="M1397" s="8" t="s">
        <v>37</v>
      </c>
      <c r="N1397" s="52" t="str">
        <f>IF(Follow[[#This Row],[DATAATUALIZAÇÃO]]&lt;=Follow[[#This Row],[Prev Entrega]],"Dentro do Prazo","Fora do Prazo")</f>
        <v>Dentro do Prazo</v>
      </c>
      <c r="O13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25/04/2025, referente ao pedido Nº Pedido 1432 Rastreio CNBR00065535756, agradecemos a preferência e adoraríamos receber sua avaliação, tendo qualquer dúvida estamos à disposição.
Att
NTA Variedades</v>
      </c>
    </row>
    <row r="1398" spans="1:15">
      <c r="A1398" s="52" t="str">
        <f>_xlfn.XLOOKUP(Follow[[#This Row],[CODRASTREIO]],Controle_Pedidos[Cód Rastreamento],Controle_Pedidos[Número Pedido Cliente])</f>
        <v>Pedido 1435</v>
      </c>
      <c r="B1398" s="2" t="s">
        <v>18815</v>
      </c>
      <c r="C1398" s="2" t="str">
        <f>Follow[[#This Row],[CODRASTREIO]]&amp;" B"</f>
        <v>CódRastreio1373 B</v>
      </c>
      <c r="D1398" s="52" t="str">
        <f>_xlfn.XLOOKUP(Follow[[#This Row],[Id Pedido]],Controle_Pedidos[Número Pedido Cliente],Controle_Pedidos[Loja])</f>
        <v>MEI</v>
      </c>
      <c r="E1398" s="9">
        <f>_xlfn.XLOOKUP(Follow[[#This Row],[Id Pedido]],Controle_Pedidos[Número Pedido Cliente],Controle_Pedidos[Prazo Entrega])</f>
        <v>45776</v>
      </c>
      <c r="F1398" s="9" t="s">
        <v>19433</v>
      </c>
      <c r="G1398" s="9" t="s">
        <v>540</v>
      </c>
      <c r="H1398" s="9" t="s">
        <v>179</v>
      </c>
      <c r="I1398" s="52" t="s">
        <v>178</v>
      </c>
      <c r="J1398" s="140">
        <v>45770</v>
      </c>
      <c r="K1398" s="124" t="s">
        <v>198</v>
      </c>
      <c r="L1398" s="8" t="s">
        <v>124</v>
      </c>
      <c r="M1398" s="8" t="s">
        <v>37</v>
      </c>
      <c r="N1398" s="52" t="str">
        <f>IF(Follow[[#This Row],[DATAATUALIZAÇÃO]]&lt;=Follow[[#This Row],[Prev Entrega]],"Dentro do Prazo","Fora do Prazo")</f>
        <v>Dentro do Prazo</v>
      </c>
      <c r="O13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23/04/2025, referente ao pedido Nº Pedido 1435 Rastreio CNBR00065559221, agradecemos a preferência e adoraríamos receber sua avaliação, tendo qualquer dúvida estamos à disposição.
Att
NTA Variedades</v>
      </c>
    </row>
    <row r="1399" spans="1:15">
      <c r="A1399" s="52" t="str">
        <f>_xlfn.XLOOKUP(Follow[[#This Row],[CODRASTREIO]],Controle_Pedidos[Cód Rastreamento],Controle_Pedidos[Número Pedido Cliente])</f>
        <v>Pedido 1442</v>
      </c>
      <c r="B1399" s="2" t="s">
        <v>18822</v>
      </c>
      <c r="C1399" s="2" t="str">
        <f>Follow[[#This Row],[CODRASTREIO]]&amp;" B"</f>
        <v>CódRastreio1380 B</v>
      </c>
      <c r="D1399" s="52" t="str">
        <f>_xlfn.XLOOKUP(Follow[[#This Row],[Id Pedido]],Controle_Pedidos[Número Pedido Cliente],Controle_Pedidos[Loja])</f>
        <v>MEI</v>
      </c>
      <c r="E1399" s="9">
        <f>_xlfn.XLOOKUP(Follow[[#This Row],[Id Pedido]],Controle_Pedidos[Número Pedido Cliente],Controle_Pedidos[Prazo Entrega])</f>
        <v>45776</v>
      </c>
      <c r="F1399" s="9" t="s">
        <v>19433</v>
      </c>
      <c r="G1399" s="9" t="s">
        <v>541</v>
      </c>
      <c r="H1399" s="9" t="s">
        <v>179</v>
      </c>
      <c r="I1399" s="52" t="s">
        <v>178</v>
      </c>
      <c r="J1399" s="140">
        <v>45770</v>
      </c>
      <c r="K1399" s="124" t="s">
        <v>198</v>
      </c>
      <c r="L1399" s="8" t="s">
        <v>124</v>
      </c>
      <c r="M1399" s="8" t="s">
        <v>208</v>
      </c>
      <c r="N1399" s="52" t="str">
        <f>IF(Follow[[#This Row],[DATAATUALIZAÇÃO]]&lt;=Follow[[#This Row],[Prev Entrega]],"Dentro do Prazo","Fora do Prazo")</f>
        <v>Dentro do Prazo</v>
      </c>
      <c r="O139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23/04/2025, referente ao pedido Nº Pedido 1442 Rastreio CNBR00065569198, agradecemos a preferência e adoraríamos receber sua avaliação, tendo qualquer dúvida estamos à disposição.
Att
NTA Variedades</v>
      </c>
    </row>
    <row r="1400" spans="1:15">
      <c r="A1400" s="52" t="str">
        <f>_xlfn.XLOOKUP(Follow[[#This Row],[CODRASTREIO]],Controle_Pedidos[Cód Rastreamento],Controle_Pedidos[Número Pedido Cliente])</f>
        <v>Pedido 1454</v>
      </c>
      <c r="B1400" s="2" t="s">
        <v>18834</v>
      </c>
      <c r="C1400" s="2" t="str">
        <f>Follow[[#This Row],[CODRASTREIO]]&amp;" B"</f>
        <v>CódRastreio1392 B</v>
      </c>
      <c r="D1400" s="52" t="str">
        <f>_xlfn.XLOOKUP(Follow[[#This Row],[Id Pedido]],Controle_Pedidos[Número Pedido Cliente],Controle_Pedidos[Loja])</f>
        <v>MEI</v>
      </c>
      <c r="E1400" s="9">
        <f>_xlfn.XLOOKUP(Follow[[#This Row],[Id Pedido]],Controle_Pedidos[Número Pedido Cliente],Controle_Pedidos[Prazo Entrega])</f>
        <v>45784</v>
      </c>
      <c r="F1400" s="9" t="s">
        <v>19433</v>
      </c>
      <c r="G1400" s="9" t="s">
        <v>542</v>
      </c>
      <c r="H1400" s="9" t="s">
        <v>179</v>
      </c>
      <c r="I1400" s="9" t="s">
        <v>178</v>
      </c>
      <c r="J1400" s="9">
        <v>45782</v>
      </c>
      <c r="K1400" s="8" t="s">
        <v>198</v>
      </c>
      <c r="L1400" s="8" t="s">
        <v>124</v>
      </c>
      <c r="M1400" s="8" t="s">
        <v>37</v>
      </c>
      <c r="N1400" s="52" t="str">
        <f>IF(Follow[[#This Row],[DATAATUALIZAÇÃO]]&lt;=Follow[[#This Row],[Prev Entrega]],"Dentro do Prazo","Fora do Prazo")</f>
        <v>Dentro do Prazo</v>
      </c>
      <c r="O14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05/05/2025, referente ao pedido Nº Pedido 1454 Rastreio NM791116402BR, agradecemos a preferência e adoraríamos receber sua avaliação, tendo qualquer dúvida estamos à disposição.
Att
NTA Variedades</v>
      </c>
    </row>
    <row r="1401" spans="1:15">
      <c r="A1401" s="52" t="str">
        <f>_xlfn.XLOOKUP(Follow[[#This Row],[CODRASTREIO]],Controle_Pedidos[Cód Rastreamento],Controle_Pedidos[Número Pedido Cliente])</f>
        <v>Pedido 1456</v>
      </c>
      <c r="B1401" s="2" t="s">
        <v>18835</v>
      </c>
      <c r="C1401" s="2" t="str">
        <f>Follow[[#This Row],[CODRASTREIO]]&amp;" B"</f>
        <v>CódRastreio1393 B</v>
      </c>
      <c r="D1401" s="52" t="str">
        <f>_xlfn.XLOOKUP(Follow[[#This Row],[Id Pedido]],Controle_Pedidos[Número Pedido Cliente],Controle_Pedidos[Loja])</f>
        <v>MEI</v>
      </c>
      <c r="E1401" s="9">
        <f>_xlfn.XLOOKUP(Follow[[#This Row],[Id Pedido]],Controle_Pedidos[Número Pedido Cliente],Controle_Pedidos[Prazo Entrega])</f>
        <v>45784</v>
      </c>
      <c r="F1401" s="9" t="s">
        <v>19433</v>
      </c>
      <c r="G1401" s="9" t="s">
        <v>543</v>
      </c>
      <c r="H1401" s="9" t="s">
        <v>179</v>
      </c>
      <c r="I1401" s="9" t="s">
        <v>178</v>
      </c>
      <c r="J1401" s="9">
        <v>45785</v>
      </c>
      <c r="K1401" s="8" t="s">
        <v>198</v>
      </c>
      <c r="L1401" s="8" t="s">
        <v>124</v>
      </c>
      <c r="M1401" s="8" t="s">
        <v>208</v>
      </c>
      <c r="N1401" s="52" t="str">
        <f>IF(Follow[[#This Row],[DATAATUALIZAÇÃO]]&lt;=Follow[[#This Row],[Prev Entrega]],"Dentro do Prazo","Fora do Prazo")</f>
        <v>Fora do Prazo</v>
      </c>
      <c r="O14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08/05/2025, referente ao pedido Nº Pedido 1456 Rastreio NM791126855BR, agradecemos a preferência e adoraríamos receber sua avaliação, tendo qualquer dúvida estamos à disposição.
Att
NTA Variedades</v>
      </c>
    </row>
    <row r="1402" spans="1:15">
      <c r="A1402" s="52" t="str">
        <f>_xlfn.XLOOKUP(Follow[[#This Row],[CODRASTREIO]],Controle_Pedidos[Cód Rastreamento],Controle_Pedidos[Número Pedido Cliente])</f>
        <v>Pedido 1459</v>
      </c>
      <c r="B1402" s="2" t="s">
        <v>18837</v>
      </c>
      <c r="C1402" s="2" t="str">
        <f>Follow[[#This Row],[CODRASTREIO]]&amp;" B"</f>
        <v>CódRastreio1395 B</v>
      </c>
      <c r="D1402" s="52" t="str">
        <f>_xlfn.XLOOKUP(Follow[[#This Row],[Id Pedido]],Controle_Pedidos[Número Pedido Cliente],Controle_Pedidos[Loja])</f>
        <v>MEI</v>
      </c>
      <c r="E1402" s="9">
        <f>_xlfn.XLOOKUP(Follow[[#This Row],[Id Pedido]],Controle_Pedidos[Número Pedido Cliente],Controle_Pedidos[Prazo Entrega])</f>
        <v>45777</v>
      </c>
      <c r="F1402" s="9" t="s">
        <v>19433</v>
      </c>
      <c r="G1402" s="9" t="s">
        <v>544</v>
      </c>
      <c r="H1402" s="9" t="s">
        <v>179</v>
      </c>
      <c r="I1402" s="52" t="s">
        <v>178</v>
      </c>
      <c r="J1402" s="140">
        <v>45770</v>
      </c>
      <c r="K1402" s="124" t="s">
        <v>198</v>
      </c>
      <c r="L1402" s="8" t="s">
        <v>124</v>
      </c>
      <c r="M1402" s="8" t="s">
        <v>37</v>
      </c>
      <c r="N1402" s="52" t="str">
        <f>IF(Follow[[#This Row],[DATAATUALIZAÇÃO]]&lt;=Follow[[#This Row],[Prev Entrega]],"Dentro do Prazo","Fora do Prazo")</f>
        <v>Dentro do Prazo</v>
      </c>
      <c r="O14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23/04/2025, referente ao pedido Nº Pedido 1459 Rastreio NM791212386BR, agradecemos a preferência e adoraríamos receber sua avaliação, tendo qualquer dúvida estamos à disposição.
Att
NTA Variedades</v>
      </c>
    </row>
    <row r="1403" spans="1:15">
      <c r="A1403" s="52" t="str">
        <f>_xlfn.XLOOKUP(Follow[[#This Row],[CODRASTREIO]],Controle_Pedidos[Cód Rastreamento],Controle_Pedidos[Número Pedido Cliente])</f>
        <v>Pedido 1462</v>
      </c>
      <c r="B1403" s="2" t="s">
        <v>18840</v>
      </c>
      <c r="C1403" s="2" t="str">
        <f>Follow[[#This Row],[CODRASTREIO]]&amp;" B"</f>
        <v>CódRastreio1398 B</v>
      </c>
      <c r="D1403" s="52" t="str">
        <f>_xlfn.XLOOKUP(Follow[[#This Row],[Id Pedido]],Controle_Pedidos[Número Pedido Cliente],Controle_Pedidos[Loja])</f>
        <v>MEI</v>
      </c>
      <c r="E1403" s="9">
        <f>_xlfn.XLOOKUP(Follow[[#This Row],[Id Pedido]],Controle_Pedidos[Número Pedido Cliente],Controle_Pedidos[Prazo Entrega])</f>
        <v>45784</v>
      </c>
      <c r="F1403" s="9" t="s">
        <v>19433</v>
      </c>
      <c r="G1403" s="9" t="s">
        <v>545</v>
      </c>
      <c r="H1403" s="9" t="s">
        <v>179</v>
      </c>
      <c r="I1403" s="52" t="s">
        <v>178</v>
      </c>
      <c r="J1403" s="140">
        <v>45776</v>
      </c>
      <c r="K1403" s="124" t="s">
        <v>198</v>
      </c>
      <c r="L1403" s="8" t="s">
        <v>124</v>
      </c>
      <c r="M1403" s="8" t="s">
        <v>37</v>
      </c>
      <c r="N1403" s="52" t="str">
        <f>IF(Follow[[#This Row],[DATAATUALIZAÇÃO]]&lt;=Follow[[#This Row],[Prev Entrega]],"Dentro do Prazo","Fora do Prazo")</f>
        <v>Dentro do Prazo</v>
      </c>
      <c r="O140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29/04/2025, referente ao pedido Nº Pedido 1462 Rastreio NM791354194BR, agradecemos a preferência e adoraríamos receber sua avaliação, tendo qualquer dúvida estamos à disposição.
Att
NTA Variedades</v>
      </c>
    </row>
    <row r="1404" spans="1:15">
      <c r="A1404" s="52" t="str">
        <f>_xlfn.XLOOKUP(Follow[[#This Row],[CODRASTREIO]],Controle_Pedidos[Cód Rastreamento],Controle_Pedidos[Número Pedido Cliente])</f>
        <v>Pedido 1463</v>
      </c>
      <c r="B1404" s="2" t="s">
        <v>18841</v>
      </c>
      <c r="C1404" s="2" t="str">
        <f>Follow[[#This Row],[CODRASTREIO]]&amp;" B"</f>
        <v>CódRastreio1399 B</v>
      </c>
      <c r="D1404" s="52" t="str">
        <f>_xlfn.XLOOKUP(Follow[[#This Row],[Id Pedido]],Controle_Pedidos[Número Pedido Cliente],Controle_Pedidos[Loja])</f>
        <v>MEI</v>
      </c>
      <c r="E1404" s="9">
        <f>_xlfn.XLOOKUP(Follow[[#This Row],[Id Pedido]],Controle_Pedidos[Número Pedido Cliente],Controle_Pedidos[Prazo Entrega])</f>
        <v>45784</v>
      </c>
      <c r="F1404" s="9" t="s">
        <v>19433</v>
      </c>
      <c r="G1404" s="9" t="s">
        <v>546</v>
      </c>
      <c r="H1404" s="9" t="s">
        <v>179</v>
      </c>
      <c r="I1404" s="52" t="s">
        <v>178</v>
      </c>
      <c r="J1404" s="140">
        <v>45772</v>
      </c>
      <c r="K1404" s="124" t="s">
        <v>198</v>
      </c>
      <c r="L1404" s="8" t="s">
        <v>124</v>
      </c>
      <c r="M1404" s="8" t="s">
        <v>37</v>
      </c>
      <c r="N1404" s="52" t="str">
        <f>IF(Follow[[#This Row],[DATAATUALIZAÇÃO]]&lt;=Follow[[#This Row],[Prev Entrega]],"Dentro do Prazo","Fora do Prazo")</f>
        <v>Dentro do Prazo</v>
      </c>
      <c r="O14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25/04/2025, referente ao pedido Nº Pedido 1463 Rastreio NM791380866BR, agradecemos a preferência e adoraríamos receber sua avaliação, tendo qualquer dúvida estamos à disposição.
Att
NTA Variedades</v>
      </c>
    </row>
    <row r="1405" spans="1:15">
      <c r="A1405" s="52" t="str">
        <f>_xlfn.XLOOKUP(Follow[[#This Row],[CODRASTREIO]],Controle_Pedidos[Cód Rastreamento],Controle_Pedidos[Número Pedido Cliente])</f>
        <v>Pedido 1467</v>
      </c>
      <c r="B1405" s="2" t="s">
        <v>18845</v>
      </c>
      <c r="C1405" s="2" t="str">
        <f>Follow[[#This Row],[CODRASTREIO]]&amp;" B"</f>
        <v>CódRastreio1403 B</v>
      </c>
      <c r="D1405" s="52" t="str">
        <f>_xlfn.XLOOKUP(Follow[[#This Row],[Id Pedido]],Controle_Pedidos[Número Pedido Cliente],Controle_Pedidos[Loja])</f>
        <v>MEI</v>
      </c>
      <c r="E1405" s="9">
        <f>_xlfn.XLOOKUP(Follow[[#This Row],[Id Pedido]],Controle_Pedidos[Número Pedido Cliente],Controle_Pedidos[Prazo Entrega])</f>
        <v>45778</v>
      </c>
      <c r="F1405" s="9" t="s">
        <v>19433</v>
      </c>
      <c r="G1405" s="9" t="s">
        <v>547</v>
      </c>
      <c r="H1405" s="9" t="s">
        <v>179</v>
      </c>
      <c r="I1405" s="52" t="s">
        <v>178</v>
      </c>
      <c r="J1405" s="140">
        <v>45771</v>
      </c>
      <c r="K1405" s="124" t="s">
        <v>198</v>
      </c>
      <c r="L1405" s="8" t="s">
        <v>124</v>
      </c>
      <c r="M1405" s="8" t="s">
        <v>37</v>
      </c>
      <c r="N1405" s="52" t="str">
        <f>IF(Follow[[#This Row],[DATAATUALIZAÇÃO]]&lt;=Follow[[#This Row],[Prev Entrega]],"Dentro do Prazo","Fora do Prazo")</f>
        <v>Dentro do Prazo</v>
      </c>
      <c r="O140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24/04/2025, referente ao pedido Nº Pedido 1467 Rastreio NM791399505BR, agradecemos a preferência e adoraríamos receber sua avaliação, tendo qualquer dúvida estamos à disposição.
Att
NTA Variedades</v>
      </c>
    </row>
    <row r="1406" spans="1:15">
      <c r="A1406" s="52" t="str">
        <f>_xlfn.XLOOKUP(Follow[[#This Row],[CODRASTREIO]],Controle_Pedidos[Cód Rastreamento],Controle_Pedidos[Número Pedido Cliente])</f>
        <v>Pedido 1468</v>
      </c>
      <c r="B1406" s="2" t="s">
        <v>18846</v>
      </c>
      <c r="C1406" s="2" t="str">
        <f>Follow[[#This Row],[CODRASTREIO]]&amp;" B"</f>
        <v>CódRastreio1404 B</v>
      </c>
      <c r="D1406" s="52" t="str">
        <f>_xlfn.XLOOKUP(Follow[[#This Row],[Id Pedido]],Controle_Pedidos[Número Pedido Cliente],Controle_Pedidos[Loja])</f>
        <v>MEI</v>
      </c>
      <c r="E1406" s="9">
        <f>_xlfn.XLOOKUP(Follow[[#This Row],[Id Pedido]],Controle_Pedidos[Número Pedido Cliente],Controle_Pedidos[Prazo Entrega])</f>
        <v>45778</v>
      </c>
      <c r="F1406" s="9" t="s">
        <v>19433</v>
      </c>
      <c r="G1406" s="9" t="s">
        <v>548</v>
      </c>
      <c r="H1406" s="9" t="s">
        <v>179</v>
      </c>
      <c r="I1406" s="52" t="s">
        <v>178</v>
      </c>
      <c r="J1406" s="140">
        <v>45769</v>
      </c>
      <c r="K1406" s="124" t="s">
        <v>198</v>
      </c>
      <c r="L1406" s="8" t="s">
        <v>124</v>
      </c>
      <c r="M1406" s="8" t="s">
        <v>37</v>
      </c>
      <c r="N1406" s="52" t="str">
        <f>IF(Follow[[#This Row],[DATAATUALIZAÇÃO]]&lt;=Follow[[#This Row],[Prev Entrega]],"Dentro do Prazo","Fora do Prazo")</f>
        <v>Dentro do Prazo</v>
      </c>
      <c r="O14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22/04/2025, referente ao pedido Nº Pedido 1468 Rastreio NM791578435BR, agradecemos a preferência e adoraríamos receber sua avaliação, tendo qualquer dúvida estamos à disposição.
Att
NTA Variedades</v>
      </c>
    </row>
    <row r="1407" spans="1:15">
      <c r="A1407" s="52" t="str">
        <f>_xlfn.XLOOKUP(Follow[[#This Row],[CODRASTREIO]],Controle_Pedidos[Cód Rastreamento],Controle_Pedidos[Número Pedido Cliente])</f>
        <v>Pedido 1470</v>
      </c>
      <c r="B1407" s="2" t="s">
        <v>18848</v>
      </c>
      <c r="C1407" s="2" t="str">
        <f>Follow[[#This Row],[CODRASTREIO]]&amp;" B"</f>
        <v>CódRastreio1406 B</v>
      </c>
      <c r="D1407" s="52" t="str">
        <f>_xlfn.XLOOKUP(Follow[[#This Row],[Id Pedido]],Controle_Pedidos[Número Pedido Cliente],Controle_Pedidos[Loja])</f>
        <v>MEI</v>
      </c>
      <c r="E1407" s="9">
        <f>_xlfn.XLOOKUP(Follow[[#This Row],[Id Pedido]],Controle_Pedidos[Número Pedido Cliente],Controle_Pedidos[Prazo Entrega])</f>
        <v>45785</v>
      </c>
      <c r="F1407" s="9" t="s">
        <v>19433</v>
      </c>
      <c r="G1407" s="9" t="s">
        <v>549</v>
      </c>
      <c r="H1407" s="9" t="s">
        <v>179</v>
      </c>
      <c r="I1407" s="9" t="s">
        <v>178</v>
      </c>
      <c r="J1407" s="9">
        <v>45777</v>
      </c>
      <c r="K1407" s="8" t="s">
        <v>198</v>
      </c>
      <c r="L1407" s="8" t="s">
        <v>124</v>
      </c>
      <c r="M1407" s="8" t="s">
        <v>37</v>
      </c>
      <c r="N1407" s="52" t="str">
        <f>IF(Follow[[#This Row],[DATAATUALIZAÇÃO]]&lt;=Follow[[#This Row],[Prev Entrega]],"Dentro do Prazo","Fora do Prazo")</f>
        <v>Dentro do Prazo</v>
      </c>
      <c r="O14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30/04/2025, referente ao pedido Nº Pedido 1470 Rastreio NM791575655BR, agradecemos a preferência e adoraríamos receber sua avaliação, tendo qualquer dúvida estamos à disposição.
Att
NTA Variedades</v>
      </c>
    </row>
    <row r="1408" spans="1:15">
      <c r="A1408" s="52" t="str">
        <f>_xlfn.XLOOKUP(Follow[[#This Row],[CODRASTREIO]],Controle_Pedidos[Cód Rastreamento],Controle_Pedidos[Número Pedido Cliente])</f>
        <v>Pedido 1471</v>
      </c>
      <c r="B1408" s="2" t="s">
        <v>18849</v>
      </c>
      <c r="C1408" s="2" t="str">
        <f>Follow[[#This Row],[CODRASTREIO]]&amp;" B"</f>
        <v>CódRastreio1407 B</v>
      </c>
      <c r="D1408" s="52" t="str">
        <f>_xlfn.XLOOKUP(Follow[[#This Row],[Id Pedido]],Controle_Pedidos[Número Pedido Cliente],Controle_Pedidos[Loja])</f>
        <v>MEI</v>
      </c>
      <c r="E1408" s="9">
        <f>_xlfn.XLOOKUP(Follow[[#This Row],[Id Pedido]],Controle_Pedidos[Número Pedido Cliente],Controle_Pedidos[Prazo Entrega])</f>
        <v>45785</v>
      </c>
      <c r="F1408" s="9" t="s">
        <v>19433</v>
      </c>
      <c r="G1408" s="9" t="s">
        <v>550</v>
      </c>
      <c r="H1408" s="9" t="s">
        <v>179</v>
      </c>
      <c r="I1408" s="9" t="s">
        <v>178</v>
      </c>
      <c r="J1408" s="9">
        <v>45782</v>
      </c>
      <c r="K1408" s="8" t="s">
        <v>198</v>
      </c>
      <c r="L1408" s="8" t="s">
        <v>124</v>
      </c>
      <c r="M1408" s="8" t="s">
        <v>37</v>
      </c>
      <c r="N1408" s="52" t="str">
        <f>IF(Follow[[#This Row],[DATAATUALIZAÇÃO]]&lt;=Follow[[#This Row],[Prev Entrega]],"Dentro do Prazo","Fora do Prazo")</f>
        <v>Dentro do Prazo</v>
      </c>
      <c r="O140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05/05/2025, referente ao pedido Nº Pedido 1471 Rastreio NM791510994BR, agradecemos a preferência e adoraríamos receber sua avaliação, tendo qualquer dúvida estamos à disposição.
Att
NTA Variedades</v>
      </c>
    </row>
    <row r="1409" spans="1:15">
      <c r="A1409" s="52" t="str">
        <f>_xlfn.XLOOKUP(Follow[[#This Row],[CODRASTREIO]],Controle_Pedidos[Cód Rastreamento],Controle_Pedidos[Número Pedido Cliente])</f>
        <v>Pedido 1507</v>
      </c>
      <c r="B1409" s="2" t="s">
        <v>18883</v>
      </c>
      <c r="C1409" s="2" t="str">
        <f>Follow[[#This Row],[CODRASTREIO]]&amp;" B"</f>
        <v>CódRastreio1441 B</v>
      </c>
      <c r="D1409" s="52" t="str">
        <f>_xlfn.XLOOKUP(Follow[[#This Row],[Id Pedido]],Controle_Pedidos[Número Pedido Cliente],Controle_Pedidos[Loja])</f>
        <v>GO</v>
      </c>
      <c r="E1409" s="9">
        <f>_xlfn.XLOOKUP(Follow[[#This Row],[Id Pedido]],Controle_Pedidos[Número Pedido Cliente],Controle_Pedidos[Prazo Entrega])</f>
        <v>45787</v>
      </c>
      <c r="F1409" s="9" t="s">
        <v>19433</v>
      </c>
      <c r="G1409" s="9" t="s">
        <v>551</v>
      </c>
      <c r="H1409" s="9" t="s">
        <v>179</v>
      </c>
      <c r="I1409" s="52" t="s">
        <v>178</v>
      </c>
      <c r="J1409" s="140">
        <v>45775</v>
      </c>
      <c r="K1409" s="124" t="s">
        <v>198</v>
      </c>
      <c r="L1409" s="8" t="s">
        <v>124</v>
      </c>
      <c r="M1409" s="8" t="s">
        <v>37</v>
      </c>
      <c r="N1409" s="52" t="str">
        <f>IF(Follow[[#This Row],[DATAATUALIZAÇÃO]]&lt;=Follow[[#This Row],[Prev Entrega]],"Dentro do Prazo","Fora do Prazo")</f>
        <v>Dentro do Prazo</v>
      </c>
      <c r="O14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28/04/2025, referente ao pedido Nº Pedido 1507 Rastreio NM791195714BR, agradecemos a preferência e adoraríamos receber sua avaliação, tendo qualquer dúvida estamos à disposição.
Att
Sec Variedades</v>
      </c>
    </row>
    <row r="1410" spans="1:15">
      <c r="A1410" s="52" t="str">
        <f>_xlfn.XLOOKUP(Follow[[#This Row],[CODRASTREIO]],Controle_Pedidos[Cód Rastreamento],Controle_Pedidos[Número Pedido Cliente])</f>
        <v>Pedido 1448</v>
      </c>
      <c r="B1410" s="2" t="s">
        <v>18828</v>
      </c>
      <c r="C1410" s="2" t="str">
        <f>Follow[[#This Row],[CODRASTREIO]]&amp;" B"</f>
        <v>CódRastreio1386 B</v>
      </c>
      <c r="D1410" s="52" t="str">
        <f>_xlfn.XLOOKUP(Follow[[#This Row],[Id Pedido]],Controle_Pedidos[Número Pedido Cliente],Controle_Pedidos[Loja])</f>
        <v>MEI</v>
      </c>
      <c r="E1410" s="9">
        <f>_xlfn.XLOOKUP(Follow[[#This Row],[Id Pedido]],Controle_Pedidos[Número Pedido Cliente],Controle_Pedidos[Prazo Entrega])</f>
        <v>45790</v>
      </c>
      <c r="F1410" s="9" t="s">
        <v>19433</v>
      </c>
      <c r="G1410" s="9" t="s">
        <v>552</v>
      </c>
      <c r="H1410" s="9" t="s">
        <v>179</v>
      </c>
      <c r="I1410" s="52" t="s">
        <v>178</v>
      </c>
      <c r="J1410" s="140">
        <v>45773</v>
      </c>
      <c r="K1410" s="124" t="s">
        <v>198</v>
      </c>
      <c r="L1410" s="8" t="s">
        <v>124</v>
      </c>
      <c r="M1410" s="8" t="s">
        <v>37</v>
      </c>
      <c r="N1410" s="52" t="str">
        <f>IF(Follow[[#This Row],[DATAATUALIZAÇÃO]]&lt;=Follow[[#This Row],[Prev Entrega]],"Dentro do Prazo","Fora do Prazo")</f>
        <v>Dentro do Prazo</v>
      </c>
      <c r="O141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26/04/2025, referente ao pedido Nº Pedido 1448 Rastreio CNBR00065587707, agradecemos a preferência e adoraríamos receber sua avaliação, tendo qualquer dúvida estamos à disposição.
Att
NTA Variedades</v>
      </c>
    </row>
    <row r="1411" spans="1:15">
      <c r="A1411" s="52" t="str">
        <f>_xlfn.XLOOKUP(Follow[[#This Row],[CODRASTREIO]],Controle_Pedidos[Cód Rastreamento],Controle_Pedidos[Número Pedido Cliente])</f>
        <v>Pedido 1453</v>
      </c>
      <c r="B1411" s="2" t="s">
        <v>18833</v>
      </c>
      <c r="C1411" s="2" t="str">
        <f>Follow[[#This Row],[CODRASTREIO]]&amp;" B"</f>
        <v>CódRastreio1391 B</v>
      </c>
      <c r="D1411" s="52" t="str">
        <f>_xlfn.XLOOKUP(Follow[[#This Row],[Id Pedido]],Controle_Pedidos[Número Pedido Cliente],Controle_Pedidos[Loja])</f>
        <v>MEI</v>
      </c>
      <c r="E1411" s="9">
        <f>_xlfn.XLOOKUP(Follow[[#This Row],[Id Pedido]],Controle_Pedidos[Número Pedido Cliente],Controle_Pedidos[Prazo Entrega])</f>
        <v>45784</v>
      </c>
      <c r="F1411" s="9" t="s">
        <v>19433</v>
      </c>
      <c r="G1411" s="9" t="s">
        <v>553</v>
      </c>
      <c r="H1411" s="9" t="s">
        <v>179</v>
      </c>
      <c r="I1411" s="52" t="s">
        <v>178</v>
      </c>
      <c r="J1411" s="140">
        <v>45771</v>
      </c>
      <c r="K1411" s="124" t="s">
        <v>198</v>
      </c>
      <c r="L1411" s="8" t="s">
        <v>124</v>
      </c>
      <c r="M1411" s="8" t="s">
        <v>37</v>
      </c>
      <c r="N1411" s="52" t="str">
        <f>IF(Follow[[#This Row],[DATAATUALIZAÇÃO]]&lt;=Follow[[#This Row],[Prev Entrega]],"Dentro do Prazo","Fora do Prazo")</f>
        <v>Dentro do Prazo</v>
      </c>
      <c r="O14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24/04/2025, referente ao pedido Nº Pedido 1453 Rastreio NM791993285BR, agradecemos a preferência e adoraríamos receber sua avaliação, tendo qualquer dúvida estamos à disposição.
Att
NTA Variedades</v>
      </c>
    </row>
    <row r="1412" spans="1:15">
      <c r="A1412" s="52" t="str">
        <f>_xlfn.XLOOKUP(Follow[[#This Row],[CODRASTREIO]],Controle_Pedidos[Cód Rastreamento],Controle_Pedidos[Número Pedido Cliente])</f>
        <v>Pedido 1460</v>
      </c>
      <c r="B1412" s="2" t="s">
        <v>18838</v>
      </c>
      <c r="C1412" s="2" t="str">
        <f>Follow[[#This Row],[CODRASTREIO]]&amp;" B"</f>
        <v>CódRastreio1396 B</v>
      </c>
      <c r="D1412" s="52" t="str">
        <f>_xlfn.XLOOKUP(Follow[[#This Row],[Id Pedido]],Controle_Pedidos[Número Pedido Cliente],Controle_Pedidos[Loja])</f>
        <v>BV</v>
      </c>
      <c r="E1412" s="9">
        <f>_xlfn.XLOOKUP(Follow[[#This Row],[Id Pedido]],Controle_Pedidos[Número Pedido Cliente],Controle_Pedidos[Prazo Entrega])</f>
        <v>45783</v>
      </c>
      <c r="F1412" s="9" t="s">
        <v>19433</v>
      </c>
      <c r="G1412" s="9" t="s">
        <v>554</v>
      </c>
      <c r="H1412" s="9" t="s">
        <v>179</v>
      </c>
      <c r="I1412" s="9" t="s">
        <v>178</v>
      </c>
      <c r="J1412" s="9">
        <v>45782</v>
      </c>
      <c r="K1412" s="8" t="s">
        <v>198</v>
      </c>
      <c r="L1412" s="8" t="s">
        <v>124</v>
      </c>
      <c r="M1412" s="8" t="s">
        <v>37</v>
      </c>
      <c r="N1412" s="52" t="str">
        <f>IF(Follow[[#This Row],[DATAATUALIZAÇÃO]]&lt;=Follow[[#This Row],[Prev Entrega]],"Dentro do Prazo","Fora do Prazo")</f>
        <v>Dentro do Prazo</v>
      </c>
      <c r="O14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05/05/2025, referente ao pedido Nº Pedido 1460 Rastreio NM791991766BR, agradecemos a preferência e adoraríamos receber sua avaliação, tendo qualquer dúvida estamos à disposição.
Att
Tem tudo Shop</v>
      </c>
    </row>
    <row r="1413" spans="1:15">
      <c r="A1413" s="52" t="str">
        <f>_xlfn.XLOOKUP(Follow[[#This Row],[CODRASTREIO]],Controle_Pedidos[Cód Rastreamento],Controle_Pedidos[Número Pedido Cliente])</f>
        <v>Pedido 1461</v>
      </c>
      <c r="B1413" s="2" t="s">
        <v>18839</v>
      </c>
      <c r="C1413" s="2" t="str">
        <f>Follow[[#This Row],[CODRASTREIO]]&amp;" B"</f>
        <v>CódRastreio1397 B</v>
      </c>
      <c r="D1413" s="52" t="str">
        <f>_xlfn.XLOOKUP(Follow[[#This Row],[Id Pedido]],Controle_Pedidos[Número Pedido Cliente],Controle_Pedidos[Loja])</f>
        <v>BV</v>
      </c>
      <c r="E1413" s="9">
        <f>_xlfn.XLOOKUP(Follow[[#This Row],[Id Pedido]],Controle_Pedidos[Número Pedido Cliente],Controle_Pedidos[Prazo Entrega])</f>
        <v>45790</v>
      </c>
      <c r="F1413" s="9" t="s">
        <v>19433</v>
      </c>
      <c r="G1413" s="9" t="s">
        <v>555</v>
      </c>
      <c r="H1413" s="9" t="s">
        <v>179</v>
      </c>
      <c r="I1413" s="9" t="s">
        <v>178</v>
      </c>
      <c r="J1413" s="9">
        <v>45789</v>
      </c>
      <c r="K1413" s="8" t="s">
        <v>198</v>
      </c>
      <c r="L1413" s="8" t="s">
        <v>124</v>
      </c>
      <c r="M1413" s="8" t="s">
        <v>37</v>
      </c>
      <c r="N1413" s="52" t="str">
        <f>IF(Follow[[#This Row],[DATAATUALIZAÇÃO]]&lt;=Follow[[#This Row],[Prev Entrega]],"Dentro do Prazo","Fora do Prazo")</f>
        <v>Dentro do Prazo</v>
      </c>
      <c r="O141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12/05/2025, referente ao pedido Nº Pedido 1461 Rastreio NM791977441BR, agradecemos a preferência e adoraríamos receber sua avaliação, tendo qualquer dúvida estamos à disposição.
Att
Tem tudo Shop</v>
      </c>
    </row>
    <row r="1414" spans="1:15">
      <c r="A1414" s="52" t="str">
        <f>_xlfn.XLOOKUP(Follow[[#This Row],[CODRASTREIO]],Controle_Pedidos[Cód Rastreamento],Controle_Pedidos[Número Pedido Cliente])</f>
        <v>Pedido 1469</v>
      </c>
      <c r="B1414" s="2" t="s">
        <v>18847</v>
      </c>
      <c r="C1414" s="2" t="str">
        <f>Follow[[#This Row],[CODRASTREIO]]&amp;" B"</f>
        <v>CódRastreio1405 B</v>
      </c>
      <c r="D1414" s="52" t="str">
        <f>_xlfn.XLOOKUP(Follow[[#This Row],[Id Pedido]],Controle_Pedidos[Número Pedido Cliente],Controle_Pedidos[Loja])</f>
        <v>MEI</v>
      </c>
      <c r="E1414" s="9">
        <f>_xlfn.XLOOKUP(Follow[[#This Row],[Id Pedido]],Controle_Pedidos[Número Pedido Cliente],Controle_Pedidos[Prazo Entrega])</f>
        <v>45792</v>
      </c>
      <c r="F1414" s="9" t="s">
        <v>19433</v>
      </c>
      <c r="G1414" s="9" t="s">
        <v>556</v>
      </c>
      <c r="H1414" s="9" t="s">
        <v>179</v>
      </c>
      <c r="I1414" s="9" t="s">
        <v>178</v>
      </c>
      <c r="J1414" s="9">
        <v>45790</v>
      </c>
      <c r="K1414" s="8" t="s">
        <v>198</v>
      </c>
      <c r="L1414" s="8" t="s">
        <v>124</v>
      </c>
      <c r="M1414" s="8" t="s">
        <v>37</v>
      </c>
      <c r="N1414" s="52" t="str">
        <f>IF(Follow[[#This Row],[DATAATUALIZAÇÃO]]&lt;=Follow[[#This Row],[Prev Entrega]],"Dentro do Prazo","Fora do Prazo")</f>
        <v>Dentro do Prazo</v>
      </c>
      <c r="O14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13/05/2025, referente ao pedido Nº Pedido 1469 Rastreio NM791881859BR, agradecemos a preferência e adoraríamos receber sua avaliação, tendo qualquer dúvida estamos à disposição.
Att
NTA Variedades</v>
      </c>
    </row>
    <row r="1415" spans="1:15">
      <c r="A1415" s="52" t="str">
        <f>_xlfn.XLOOKUP(Follow[[#This Row],[CODRASTREIO]],Controle_Pedidos[Cód Rastreamento],Controle_Pedidos[Número Pedido Cliente])</f>
        <v>Pedido 1474</v>
      </c>
      <c r="B1415" s="2" t="s">
        <v>18852</v>
      </c>
      <c r="C1415" s="2" t="str">
        <f>Follow[[#This Row],[CODRASTREIO]]&amp;" B"</f>
        <v>CódRastreio1410 B</v>
      </c>
      <c r="D1415" s="52" t="str">
        <f>_xlfn.XLOOKUP(Follow[[#This Row],[Id Pedido]],Controle_Pedidos[Número Pedido Cliente],Controle_Pedidos[Loja])</f>
        <v>MEI</v>
      </c>
      <c r="E1415" s="9">
        <f>_xlfn.XLOOKUP(Follow[[#This Row],[Id Pedido]],Controle_Pedidos[Número Pedido Cliente],Controle_Pedidos[Prazo Entrega])</f>
        <v>45778</v>
      </c>
      <c r="F1415" s="9" t="s">
        <v>19433</v>
      </c>
      <c r="G1415" s="9" t="s">
        <v>557</v>
      </c>
      <c r="H1415" s="9" t="s">
        <v>179</v>
      </c>
      <c r="I1415" s="52" t="s">
        <v>178</v>
      </c>
      <c r="J1415" s="140">
        <v>45771</v>
      </c>
      <c r="K1415" s="124" t="s">
        <v>198</v>
      </c>
      <c r="L1415" s="8" t="s">
        <v>124</v>
      </c>
      <c r="M1415" s="8" t="s">
        <v>37</v>
      </c>
      <c r="N1415" s="52" t="str">
        <f>IF(Follow[[#This Row],[DATAATUALIZAÇÃO]]&lt;=Follow[[#This Row],[Prev Entrega]],"Dentro do Prazo","Fora do Prazo")</f>
        <v>Dentro do Prazo</v>
      </c>
      <c r="O141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24/04/2025, referente ao pedido Nº Pedido 1474 Rastreio NM791879501BR, agradecemos a preferência e adoraríamos receber sua avaliação, tendo qualquer dúvida estamos à disposição.
Att
NTA Variedades</v>
      </c>
    </row>
    <row r="1416" spans="1:15">
      <c r="A1416" s="52" t="str">
        <f>_xlfn.XLOOKUP(Follow[[#This Row],[CODRASTREIO]],Controle_Pedidos[Cód Rastreamento],Controle_Pedidos[Número Pedido Cliente])</f>
        <v>Pedido 1477</v>
      </c>
      <c r="B1416" s="2" t="s">
        <v>18855</v>
      </c>
      <c r="C1416" s="2" t="str">
        <f>Follow[[#This Row],[CODRASTREIO]]&amp;" B"</f>
        <v>CódRastreio1413 B</v>
      </c>
      <c r="D1416" s="52" t="str">
        <f>_xlfn.XLOOKUP(Follow[[#This Row],[Id Pedido]],Controle_Pedidos[Número Pedido Cliente],Controle_Pedidos[Loja])</f>
        <v>MEI</v>
      </c>
      <c r="E1416" s="9">
        <f>_xlfn.XLOOKUP(Follow[[#This Row],[Id Pedido]],Controle_Pedidos[Número Pedido Cliente],Controle_Pedidos[Prazo Entrega])</f>
        <v>45780</v>
      </c>
      <c r="F1416" s="9" t="s">
        <v>19433</v>
      </c>
      <c r="G1416" s="9" t="s">
        <v>558</v>
      </c>
      <c r="H1416" s="9" t="s">
        <v>179</v>
      </c>
      <c r="I1416" s="52" t="s">
        <v>178</v>
      </c>
      <c r="J1416" s="140">
        <v>45765</v>
      </c>
      <c r="K1416" s="124" t="s">
        <v>198</v>
      </c>
      <c r="L1416" s="8" t="s">
        <v>124</v>
      </c>
      <c r="M1416" s="8" t="s">
        <v>37</v>
      </c>
      <c r="N1416" s="52" t="str">
        <f>IF(Follow[[#This Row],[DATAATUALIZAÇÃO]]&lt;=Follow[[#This Row],[Prev Entrega]],"Dentro do Prazo","Fora do Prazo")</f>
        <v>Dentro do Prazo</v>
      </c>
      <c r="O14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18/04/2025, referente ao pedido Nº Pedido 1477 Rastreio CNBR00065615569, agradecemos a preferência e adoraríamos receber sua avaliação, tendo qualquer dúvida estamos à disposição.
Att
NTA Variedades</v>
      </c>
    </row>
    <row r="1417" spans="1:15">
      <c r="A1417" s="52" t="str">
        <f>_xlfn.XLOOKUP(Follow[[#This Row],[CODRASTREIO]],Controle_Pedidos[Cód Rastreamento],Controle_Pedidos[Número Pedido Cliente])</f>
        <v>Pedido 1480</v>
      </c>
      <c r="B1417" s="2" t="s">
        <v>18858</v>
      </c>
      <c r="C1417" s="2" t="str">
        <f>Follow[[#This Row],[CODRASTREIO]]&amp;" B"</f>
        <v>CódRastreio1416 B</v>
      </c>
      <c r="D1417" s="52" t="str">
        <f>_xlfn.XLOOKUP(Follow[[#This Row],[Id Pedido]],Controle_Pedidos[Número Pedido Cliente],Controle_Pedidos[Loja])</f>
        <v>MEI</v>
      </c>
      <c r="E1417" s="9">
        <f>_xlfn.XLOOKUP(Follow[[#This Row],[Id Pedido]],Controle_Pedidos[Número Pedido Cliente],Controle_Pedidos[Prazo Entrega])</f>
        <v>45786</v>
      </c>
      <c r="F1417" s="9" t="s">
        <v>19433</v>
      </c>
      <c r="G1417" s="9" t="s">
        <v>559</v>
      </c>
      <c r="H1417" s="9" t="s">
        <v>179</v>
      </c>
      <c r="I1417" s="9" t="s">
        <v>178</v>
      </c>
      <c r="J1417" s="9">
        <v>45777</v>
      </c>
      <c r="K1417" s="8" t="s">
        <v>198</v>
      </c>
      <c r="L1417" s="8" t="s">
        <v>124</v>
      </c>
      <c r="M1417" s="8" t="s">
        <v>37</v>
      </c>
      <c r="N1417" s="52" t="str">
        <f>IF(Follow[[#This Row],[DATAATUALIZAÇÃO]]&lt;=Follow[[#This Row],[Prev Entrega]],"Dentro do Prazo","Fora do Prazo")</f>
        <v>Dentro do Prazo</v>
      </c>
      <c r="O14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30/04/2025, referente ao pedido Nº Pedido 1480 Rastreio NM791823706BR, agradecemos a preferência e adoraríamos receber sua avaliação, tendo qualquer dúvida estamos à disposição.
Att
NTA Variedades</v>
      </c>
    </row>
    <row r="1418" spans="1:15">
      <c r="A1418" s="52" t="str">
        <f>_xlfn.XLOOKUP(Follow[[#This Row],[CODRASTREIO]],Controle_Pedidos[Cód Rastreamento],Controle_Pedidos[Número Pedido Cliente])</f>
        <v>Pedido 1511</v>
      </c>
      <c r="B1418" s="2" t="s">
        <v>18887</v>
      </c>
      <c r="C1418" s="2" t="str">
        <f>Follow[[#This Row],[CODRASTREIO]]&amp;" B"</f>
        <v>CódRastreio1445 B</v>
      </c>
      <c r="D1418" s="52" t="str">
        <f>_xlfn.XLOOKUP(Follow[[#This Row],[Id Pedido]],Controle_Pedidos[Número Pedido Cliente],Controle_Pedidos[Loja])</f>
        <v>MEI</v>
      </c>
      <c r="E1418" s="9">
        <f>_xlfn.XLOOKUP(Follow[[#This Row],[Id Pedido]],Controle_Pedidos[Número Pedido Cliente],Controle_Pedidos[Prazo Entrega])</f>
        <v>45790</v>
      </c>
      <c r="F1418" s="9" t="s">
        <v>19433</v>
      </c>
      <c r="G1418" s="9" t="s">
        <v>560</v>
      </c>
      <c r="H1418" s="9" t="s">
        <v>179</v>
      </c>
      <c r="I1418" s="52" t="s">
        <v>178</v>
      </c>
      <c r="J1418" s="140">
        <v>45772</v>
      </c>
      <c r="K1418" s="124" t="s">
        <v>198</v>
      </c>
      <c r="L1418" s="8" t="s">
        <v>124</v>
      </c>
      <c r="M1418" s="8" t="s">
        <v>37</v>
      </c>
      <c r="N1418" s="52" t="str">
        <f>IF(Follow[[#This Row],[DATAATUALIZAÇÃO]]&lt;=Follow[[#This Row],[Prev Entrega]],"Dentro do Prazo","Fora do Prazo")</f>
        <v>Dentro do Prazo</v>
      </c>
      <c r="O141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25/04/2025, referente ao pedido Nº Pedido 1511 Rastreio CNBR00065594816, agradecemos a preferência e adoraríamos receber sua avaliação, tendo qualquer dúvida estamos à disposição.
Att
NTA Variedades</v>
      </c>
    </row>
    <row r="1419" spans="1:15">
      <c r="A1419" s="52" t="str">
        <f>_xlfn.XLOOKUP(Follow[[#This Row],[CODRASTREIO]],Controle_Pedidos[Cód Rastreamento],Controle_Pedidos[Número Pedido Cliente])</f>
        <v>Pedido 1512</v>
      </c>
      <c r="B1419" s="2" t="s">
        <v>18888</v>
      </c>
      <c r="C1419" s="2" t="str">
        <f>Follow[[#This Row],[CODRASTREIO]]&amp;" B"</f>
        <v>CódRastreio1446 B</v>
      </c>
      <c r="D1419" s="52" t="str">
        <f>_xlfn.XLOOKUP(Follow[[#This Row],[Id Pedido]],Controle_Pedidos[Número Pedido Cliente],Controle_Pedidos[Loja])</f>
        <v>MEI</v>
      </c>
      <c r="E1419" s="9">
        <f>_xlfn.XLOOKUP(Follow[[#This Row],[Id Pedido]],Controle_Pedidos[Número Pedido Cliente],Controle_Pedidos[Prazo Entrega])</f>
        <v>45797</v>
      </c>
      <c r="F1419" s="9" t="s">
        <v>19433</v>
      </c>
      <c r="G1419" s="9" t="s">
        <v>561</v>
      </c>
      <c r="H1419" s="9" t="s">
        <v>179</v>
      </c>
      <c r="I1419" s="52" t="s">
        <v>178</v>
      </c>
      <c r="J1419" s="140">
        <v>45772</v>
      </c>
      <c r="K1419" s="124" t="s">
        <v>198</v>
      </c>
      <c r="L1419" s="8" t="s">
        <v>124</v>
      </c>
      <c r="M1419" s="8" t="s">
        <v>37</v>
      </c>
      <c r="N1419" s="52" t="str">
        <f>IF(Follow[[#This Row],[DATAATUALIZAÇÃO]]&lt;=Follow[[#This Row],[Prev Entrega]],"Dentro do Prazo","Fora do Prazo")</f>
        <v>Dentro do Prazo</v>
      </c>
      <c r="O141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25/04/2025, referente ao pedido Nº Pedido 1512 Rastreio CNBR00065603109, agradecemos a preferência e adoraríamos receber sua avaliação, tendo qualquer dúvida estamos à disposição.
Att
NTA Variedades</v>
      </c>
    </row>
    <row r="1420" spans="1:15">
      <c r="A1420" s="52" t="str">
        <f>_xlfn.XLOOKUP(Follow[[#This Row],[CODRASTREIO]],Controle_Pedidos[Cód Rastreamento],Controle_Pedidos[Número Pedido Cliente])</f>
        <v>Pedido 1513</v>
      </c>
      <c r="B1420" s="2" t="s">
        <v>18889</v>
      </c>
      <c r="C1420" s="2" t="str">
        <f>Follow[[#This Row],[CODRASTREIO]]&amp;" B"</f>
        <v>CódRastreio1447 B</v>
      </c>
      <c r="D1420" s="52" t="str">
        <f>_xlfn.XLOOKUP(Follow[[#This Row],[Id Pedido]],Controle_Pedidos[Número Pedido Cliente],Controle_Pedidos[Loja])</f>
        <v>MEI</v>
      </c>
      <c r="E1420" s="9">
        <f>_xlfn.XLOOKUP(Follow[[#This Row],[Id Pedido]],Controle_Pedidos[Número Pedido Cliente],Controle_Pedidos[Prazo Entrega])</f>
        <v>45790</v>
      </c>
      <c r="F1420" s="9" t="s">
        <v>19433</v>
      </c>
      <c r="G1420" s="9" t="s">
        <v>562</v>
      </c>
      <c r="H1420" s="9" t="s">
        <v>179</v>
      </c>
      <c r="I1420" s="52" t="s">
        <v>178</v>
      </c>
      <c r="J1420" s="140">
        <v>45769</v>
      </c>
      <c r="K1420" s="124" t="s">
        <v>198</v>
      </c>
      <c r="L1420" s="8" t="s">
        <v>124</v>
      </c>
      <c r="M1420" s="8" t="s">
        <v>37</v>
      </c>
      <c r="N1420" s="52" t="str">
        <f>IF(Follow[[#This Row],[DATAATUALIZAÇÃO]]&lt;=Follow[[#This Row],[Prev Entrega]],"Dentro do Prazo","Fora do Prazo")</f>
        <v>Dentro do Prazo</v>
      </c>
      <c r="O14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22/04/2025, referente ao pedido Nº Pedido 1513 Rastreio CNBR00065594410, agradecemos a preferência e adoraríamos receber sua avaliação, tendo qualquer dúvida estamos à disposição.
Att
NTA Variedades</v>
      </c>
    </row>
    <row r="1421" spans="1:15">
      <c r="A1421" s="52" t="str">
        <f>_xlfn.XLOOKUP(Follow[[#This Row],[CODRASTREIO]],Controle_Pedidos[Cód Rastreamento],Controle_Pedidos[Número Pedido Cliente])</f>
        <v>Pedido 1514</v>
      </c>
      <c r="B1421" s="2" t="s">
        <v>18890</v>
      </c>
      <c r="C1421" s="2" t="str">
        <f>Follow[[#This Row],[CODRASTREIO]]&amp;" B"</f>
        <v>CódRastreio1448 B</v>
      </c>
      <c r="D1421" s="52" t="str">
        <f>_xlfn.XLOOKUP(Follow[[#This Row],[Id Pedido]],Controle_Pedidos[Número Pedido Cliente],Controle_Pedidos[Loja])</f>
        <v>MEI</v>
      </c>
      <c r="E1421" s="9">
        <f>_xlfn.XLOOKUP(Follow[[#This Row],[Id Pedido]],Controle_Pedidos[Número Pedido Cliente],Controle_Pedidos[Prazo Entrega])</f>
        <v>45797</v>
      </c>
      <c r="F1421" s="9" t="s">
        <v>19433</v>
      </c>
      <c r="G1421" s="9" t="s">
        <v>563</v>
      </c>
      <c r="H1421" s="9" t="s">
        <v>179</v>
      </c>
      <c r="I1421" s="52" t="s">
        <v>178</v>
      </c>
      <c r="J1421" s="140">
        <v>45771</v>
      </c>
      <c r="K1421" s="124" t="s">
        <v>198</v>
      </c>
      <c r="L1421" s="8" t="s">
        <v>124</v>
      </c>
      <c r="M1421" s="8" t="s">
        <v>37</v>
      </c>
      <c r="N1421" s="52" t="str">
        <f>IF(Follow[[#This Row],[DATAATUALIZAÇÃO]]&lt;=Follow[[#This Row],[Prev Entrega]],"Dentro do Prazo","Fora do Prazo")</f>
        <v>Dentro do Prazo</v>
      </c>
      <c r="O14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24/04/2025, referente ao pedido Nº Pedido 1514 Rastreio CNBR00065600275, agradecemos a preferência e adoraríamos receber sua avaliação, tendo qualquer dúvida estamos à disposição.
Att
NTA Variedades</v>
      </c>
    </row>
    <row r="1422" spans="1:15">
      <c r="A1422" s="52" t="str">
        <f>_xlfn.XLOOKUP(Follow[[#This Row],[CODRASTREIO]],Controle_Pedidos[Cód Rastreamento],Controle_Pedidos[Número Pedido Cliente])</f>
        <v>Pedido 1464</v>
      </c>
      <c r="B1422" s="2" t="s">
        <v>18842</v>
      </c>
      <c r="C1422" s="2" t="str">
        <f>Follow[[#This Row],[CODRASTREIO]]&amp;" B"</f>
        <v>CódRastreio1400 B</v>
      </c>
      <c r="D1422" s="52" t="str">
        <f>_xlfn.XLOOKUP(Follow[[#This Row],[Id Pedido]],Controle_Pedidos[Número Pedido Cliente],Controle_Pedidos[Loja])</f>
        <v>MEI</v>
      </c>
      <c r="E1422" s="9">
        <f>_xlfn.XLOOKUP(Follow[[#This Row],[Id Pedido]],Controle_Pedidos[Número Pedido Cliente],Controle_Pedidos[Prazo Entrega])</f>
        <v>45791</v>
      </c>
      <c r="F1422" s="9" t="s">
        <v>19433</v>
      </c>
      <c r="G1422" s="9" t="s">
        <v>37</v>
      </c>
      <c r="H1422" s="9" t="s">
        <v>178</v>
      </c>
      <c r="I1422" s="52" t="s">
        <v>178</v>
      </c>
      <c r="J1422" s="140">
        <v>45772</v>
      </c>
      <c r="K1422" s="124" t="s">
        <v>198</v>
      </c>
      <c r="L1422" s="8" t="s">
        <v>124</v>
      </c>
      <c r="M1422" s="8" t="s">
        <v>37</v>
      </c>
      <c r="N1422" s="52" t="str">
        <f>IF(Follow[[#This Row],[DATAATUALIZAÇÃO]]&lt;=Follow[[#This Row],[Prev Entrega]],"Dentro do Prazo","Fora do Prazo")</f>
        <v>Dentro do Prazo</v>
      </c>
      <c r="O142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25/04/2025, referente ao pedido Nº Pedido 1464 Rastreio Pedido 1464, agradecemos a preferência e adoraríamos receber sua avaliação, tendo qualquer dúvida estamos à disposição.
Att
NTA Variedades</v>
      </c>
    </row>
    <row r="1423" spans="1:15">
      <c r="A1423" s="52" t="str">
        <f>_xlfn.XLOOKUP(Follow[[#This Row],[CODRASTREIO]],Controle_Pedidos[Cód Rastreamento],Controle_Pedidos[Número Pedido Cliente])</f>
        <v>Pedido 1465</v>
      </c>
      <c r="B1423" s="2" t="s">
        <v>18843</v>
      </c>
      <c r="C1423" s="2" t="str">
        <f>Follow[[#This Row],[CODRASTREIO]]&amp;" B"</f>
        <v>CódRastreio1401 B</v>
      </c>
      <c r="D1423" s="52" t="str">
        <f>_xlfn.XLOOKUP(Follow[[#This Row],[Id Pedido]],Controle_Pedidos[Número Pedido Cliente],Controle_Pedidos[Loja])</f>
        <v>MEI</v>
      </c>
      <c r="E1423" s="9">
        <f>_xlfn.XLOOKUP(Follow[[#This Row],[Id Pedido]],Controle_Pedidos[Número Pedido Cliente],Controle_Pedidos[Prazo Entrega])</f>
        <v>45784</v>
      </c>
      <c r="F1423" s="9" t="s">
        <v>19433</v>
      </c>
      <c r="G1423" s="9" t="s">
        <v>37</v>
      </c>
      <c r="H1423" s="9" t="s">
        <v>178</v>
      </c>
      <c r="I1423" s="52" t="s">
        <v>178</v>
      </c>
      <c r="J1423" s="140">
        <v>45770</v>
      </c>
      <c r="K1423" s="124" t="s">
        <v>198</v>
      </c>
      <c r="L1423" s="8" t="s">
        <v>124</v>
      </c>
      <c r="M1423" s="8" t="s">
        <v>37</v>
      </c>
      <c r="N1423" s="52" t="str">
        <f>IF(Follow[[#This Row],[DATAATUALIZAÇÃO]]&lt;=Follow[[#This Row],[Prev Entrega]],"Dentro do Prazo","Fora do Prazo")</f>
        <v>Dentro do Prazo</v>
      </c>
      <c r="O142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23/04/2025, referente ao pedido Nº Pedido 1465 Rastreio Pedido 1465, agradecemos a preferência e adoraríamos receber sua avaliação, tendo qualquer dúvida estamos à disposição.
Att
NTA Variedades</v>
      </c>
    </row>
    <row r="1424" spans="1:15">
      <c r="A1424" s="52" t="str">
        <f>_xlfn.XLOOKUP(Follow[[#This Row],[CODRASTREIO]],Controle_Pedidos[Cód Rastreamento],Controle_Pedidos[Número Pedido Cliente])</f>
        <v>Pedido 1466</v>
      </c>
      <c r="B1424" s="2" t="s">
        <v>18844</v>
      </c>
      <c r="C1424" s="2" t="str">
        <f>Follow[[#This Row],[CODRASTREIO]]&amp;" B"</f>
        <v>CódRastreio1402 B</v>
      </c>
      <c r="D1424" s="52" t="str">
        <f>_xlfn.XLOOKUP(Follow[[#This Row],[Id Pedido]],Controle_Pedidos[Número Pedido Cliente],Controle_Pedidos[Loja])</f>
        <v>MEI</v>
      </c>
      <c r="E1424" s="9">
        <f>_xlfn.XLOOKUP(Follow[[#This Row],[Id Pedido]],Controle_Pedidos[Número Pedido Cliente],Controle_Pedidos[Prazo Entrega])</f>
        <v>45784</v>
      </c>
      <c r="F1424" s="9" t="s">
        <v>19433</v>
      </c>
      <c r="G1424" s="9" t="s">
        <v>37</v>
      </c>
      <c r="H1424" s="9" t="s">
        <v>178</v>
      </c>
      <c r="I1424" s="52" t="s">
        <v>178</v>
      </c>
      <c r="J1424" s="140">
        <v>45764</v>
      </c>
      <c r="K1424" s="124" t="s">
        <v>198</v>
      </c>
      <c r="L1424" s="8" t="s">
        <v>124</v>
      </c>
      <c r="M1424" s="8" t="s">
        <v>37</v>
      </c>
      <c r="N1424" s="52" t="str">
        <f>IF(Follow[[#This Row],[DATAATUALIZAÇÃO]]&lt;=Follow[[#This Row],[Prev Entrega]],"Dentro do Prazo","Fora do Prazo")</f>
        <v>Dentro do Prazo</v>
      </c>
      <c r="O14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17/04/2025, referente ao pedido Nº Pedido 1466 Rastreio Pedido 1466, agradecemos a preferência e adoraríamos receber sua avaliação, tendo qualquer dúvida estamos à disposição.
Att
NTA Variedades</v>
      </c>
    </row>
    <row r="1425" spans="1:15">
      <c r="A1425" s="52" t="str">
        <f>_xlfn.XLOOKUP(Follow[[#This Row],[CODRASTREIO]],Controle_Pedidos[Cód Rastreamento],Controle_Pedidos[Número Pedido Cliente])</f>
        <v>Pedido 1472</v>
      </c>
      <c r="B1425" s="2" t="s">
        <v>18850</v>
      </c>
      <c r="C1425" s="2" t="str">
        <f>Follow[[#This Row],[CODRASTREIO]]&amp;" B"</f>
        <v>CódRastreio1408 B</v>
      </c>
      <c r="D1425" s="52" t="str">
        <f>_xlfn.XLOOKUP(Follow[[#This Row],[Id Pedido]],Controle_Pedidos[Número Pedido Cliente],Controle_Pedidos[Loja])</f>
        <v>MEI</v>
      </c>
      <c r="E1425" s="9">
        <f>_xlfn.XLOOKUP(Follow[[#This Row],[Id Pedido]],Controle_Pedidos[Número Pedido Cliente],Controle_Pedidos[Prazo Entrega])</f>
        <v>45778</v>
      </c>
      <c r="F1425" s="9" t="s">
        <v>19433</v>
      </c>
      <c r="G1425" s="9" t="s">
        <v>37</v>
      </c>
      <c r="H1425" s="9" t="s">
        <v>178</v>
      </c>
      <c r="I1425" s="52" t="s">
        <v>178</v>
      </c>
      <c r="J1425" s="140">
        <v>45764</v>
      </c>
      <c r="K1425" s="124" t="s">
        <v>198</v>
      </c>
      <c r="L1425" s="8" t="s">
        <v>124</v>
      </c>
      <c r="M1425" s="8" t="s">
        <v>37</v>
      </c>
      <c r="N1425" s="52" t="str">
        <f>IF(Follow[[#This Row],[DATAATUALIZAÇÃO]]&lt;=Follow[[#This Row],[Prev Entrega]],"Dentro do Prazo","Fora do Prazo")</f>
        <v>Dentro do Prazo</v>
      </c>
      <c r="O142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17/04/2025, referente ao pedido Nº Pedido 1472 Rastreio Pedido 1472, agradecemos a preferência e adoraríamos receber sua avaliação, tendo qualquer dúvida estamos à disposição.
Att
NTA Variedades</v>
      </c>
    </row>
    <row r="1426" spans="1:15">
      <c r="A1426" s="52" t="str">
        <f>_xlfn.XLOOKUP(Follow[[#This Row],[CODRASTREIO]],Controle_Pedidos[Cód Rastreamento],Controle_Pedidos[Número Pedido Cliente])</f>
        <v>Pedido 1473</v>
      </c>
      <c r="B1426" s="2" t="s">
        <v>18851</v>
      </c>
      <c r="C1426" s="2" t="str">
        <f>Follow[[#This Row],[CODRASTREIO]]&amp;" B"</f>
        <v>CódRastreio1409 B</v>
      </c>
      <c r="D1426" s="52" t="str">
        <f>_xlfn.XLOOKUP(Follow[[#This Row],[Id Pedido]],Controle_Pedidos[Número Pedido Cliente],Controle_Pedidos[Loja])</f>
        <v>MEI</v>
      </c>
      <c r="E1426" s="9">
        <f>_xlfn.XLOOKUP(Follow[[#This Row],[Id Pedido]],Controle_Pedidos[Número Pedido Cliente],Controle_Pedidos[Prazo Entrega])</f>
        <v>45778</v>
      </c>
      <c r="F1426" s="9" t="s">
        <v>19433</v>
      </c>
      <c r="G1426" s="9" t="s">
        <v>37</v>
      </c>
      <c r="H1426" s="9" t="s">
        <v>178</v>
      </c>
      <c r="I1426" s="52" t="s">
        <v>178</v>
      </c>
      <c r="J1426" s="140">
        <v>45769</v>
      </c>
      <c r="K1426" s="124" t="s">
        <v>198</v>
      </c>
      <c r="L1426" s="8" t="s">
        <v>124</v>
      </c>
      <c r="M1426" s="8" t="s">
        <v>37</v>
      </c>
      <c r="N1426" s="52" t="str">
        <f>IF(Follow[[#This Row],[DATAATUALIZAÇÃO]]&lt;=Follow[[#This Row],[Prev Entrega]],"Dentro do Prazo","Fora do Prazo")</f>
        <v>Dentro do Prazo</v>
      </c>
      <c r="O14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22/04/2025, referente ao pedido Nº Pedido 1473 Rastreio Pedido 1473, agradecemos a preferência e adoraríamos receber sua avaliação, tendo qualquer dúvida estamos à disposição.
Att
NTA Variedades</v>
      </c>
    </row>
    <row r="1427" spans="1:15">
      <c r="A1427" s="52" t="str">
        <f>_xlfn.XLOOKUP(Follow[[#This Row],[CODRASTREIO]],Controle_Pedidos[Cód Rastreamento],Controle_Pedidos[Número Pedido Cliente])</f>
        <v>Pedido 1475</v>
      </c>
      <c r="B1427" s="2" t="s">
        <v>18853</v>
      </c>
      <c r="C1427" s="2" t="str">
        <f>Follow[[#This Row],[CODRASTREIO]]&amp;" B"</f>
        <v>CódRastreio1411 B</v>
      </c>
      <c r="D1427" s="52" t="str">
        <f>_xlfn.XLOOKUP(Follow[[#This Row],[Id Pedido]],Controle_Pedidos[Número Pedido Cliente],Controle_Pedidos[Loja])</f>
        <v>MEI</v>
      </c>
      <c r="E1427" s="9">
        <f>_xlfn.XLOOKUP(Follow[[#This Row],[Id Pedido]],Controle_Pedidos[Número Pedido Cliente],Controle_Pedidos[Prazo Entrega])</f>
        <v>45786</v>
      </c>
      <c r="F1427" s="9" t="s">
        <v>19433</v>
      </c>
      <c r="G1427" s="9" t="s">
        <v>37</v>
      </c>
      <c r="H1427" s="9" t="s">
        <v>178</v>
      </c>
      <c r="I1427" s="52" t="s">
        <v>178</v>
      </c>
      <c r="J1427" s="140">
        <v>45771</v>
      </c>
      <c r="K1427" s="124" t="s">
        <v>198</v>
      </c>
      <c r="L1427" s="8" t="s">
        <v>124</v>
      </c>
      <c r="M1427" s="8" t="s">
        <v>37</v>
      </c>
      <c r="N1427" s="52" t="str">
        <f>IF(Follow[[#This Row],[DATAATUALIZAÇÃO]]&lt;=Follow[[#This Row],[Prev Entrega]],"Dentro do Prazo","Fora do Prazo")</f>
        <v>Dentro do Prazo</v>
      </c>
      <c r="O14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24/04/2025, referente ao pedido Nº Pedido 1475 Rastreio Pedido 1475, agradecemos a preferência e adoraríamos receber sua avaliação, tendo qualquer dúvida estamos à disposição.
Att
NTA Variedades</v>
      </c>
    </row>
    <row r="1428" spans="1:15">
      <c r="A1428" s="52" t="str">
        <f>_xlfn.XLOOKUP(Follow[[#This Row],[CODRASTREIO]],Controle_Pedidos[Cód Rastreamento],Controle_Pedidos[Número Pedido Cliente])</f>
        <v>Pedido 1476</v>
      </c>
      <c r="B1428" s="2" t="s">
        <v>18854</v>
      </c>
      <c r="C1428" s="2" t="str">
        <f>Follow[[#This Row],[CODRASTREIO]]&amp;" B"</f>
        <v>CódRastreio1412 B</v>
      </c>
      <c r="D1428" s="52" t="str">
        <f>_xlfn.XLOOKUP(Follow[[#This Row],[Id Pedido]],Controle_Pedidos[Número Pedido Cliente],Controle_Pedidos[Loja])</f>
        <v>MEI</v>
      </c>
      <c r="E1428" s="9">
        <f>_xlfn.XLOOKUP(Follow[[#This Row],[Id Pedido]],Controle_Pedidos[Número Pedido Cliente],Controle_Pedidos[Prazo Entrega])</f>
        <v>45786</v>
      </c>
      <c r="F1428" s="9" t="s">
        <v>19433</v>
      </c>
      <c r="G1428" s="9" t="s">
        <v>564</v>
      </c>
      <c r="H1428" s="9" t="s">
        <v>179</v>
      </c>
      <c r="I1428" s="9" t="s">
        <v>178</v>
      </c>
      <c r="J1428" s="9">
        <v>45783</v>
      </c>
      <c r="K1428" s="8" t="s">
        <v>198</v>
      </c>
      <c r="L1428" s="8" t="s">
        <v>124</v>
      </c>
      <c r="M1428" s="8" t="s">
        <v>37</v>
      </c>
      <c r="N1428" s="52" t="str">
        <f>IF(Follow[[#This Row],[DATAATUALIZAÇÃO]]&lt;=Follow[[#This Row],[Prev Entrega]],"Dentro do Prazo","Fora do Prazo")</f>
        <v>Dentro do Prazo</v>
      </c>
      <c r="O142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06/05/2025, referente ao pedido Nº Pedido 1476 Rastreio NM791795660BR, agradecemos a preferência e adoraríamos receber sua avaliação, tendo qualquer dúvida estamos à disposição.
Att
NTA Variedades</v>
      </c>
    </row>
    <row r="1429" spans="1:15">
      <c r="A1429" s="52" t="str">
        <f>_xlfn.XLOOKUP(Follow[[#This Row],[CODRASTREIO]],Controle_Pedidos[Cód Rastreamento],Controle_Pedidos[Número Pedido Cliente])</f>
        <v>Pedido 1478</v>
      </c>
      <c r="B1429" s="2" t="s">
        <v>18856</v>
      </c>
      <c r="C1429" s="2" t="str">
        <f>Follow[[#This Row],[CODRASTREIO]]&amp;" B"</f>
        <v>CódRastreio1414 B</v>
      </c>
      <c r="D1429" s="52" t="str">
        <f>_xlfn.XLOOKUP(Follow[[#This Row],[Id Pedido]],Controle_Pedidos[Número Pedido Cliente],Controle_Pedidos[Loja])</f>
        <v>MEI</v>
      </c>
      <c r="E1429" s="9">
        <f>_xlfn.XLOOKUP(Follow[[#This Row],[Id Pedido]],Controle_Pedidos[Número Pedido Cliente],Controle_Pedidos[Prazo Entrega])</f>
        <v>45786</v>
      </c>
      <c r="F1429" s="9" t="s">
        <v>19433</v>
      </c>
      <c r="G1429" s="9" t="s">
        <v>565</v>
      </c>
      <c r="H1429" s="9" t="s">
        <v>179</v>
      </c>
      <c r="I1429" s="9" t="s">
        <v>178</v>
      </c>
      <c r="J1429" s="9">
        <v>45777</v>
      </c>
      <c r="K1429" s="8" t="s">
        <v>198</v>
      </c>
      <c r="L1429" s="8" t="s">
        <v>124</v>
      </c>
      <c r="M1429" s="8" t="s">
        <v>37</v>
      </c>
      <c r="N1429" s="52" t="str">
        <f>IF(Follow[[#This Row],[DATAATUALIZAÇÃO]]&lt;=Follow[[#This Row],[Prev Entrega]],"Dentro do Prazo","Fora do Prazo")</f>
        <v>Dentro do Prazo</v>
      </c>
      <c r="O14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30/04/2025, referente ao pedido Nº Pedido 1478 Rastreio NM792466909BR, agradecemos a preferência e adoraríamos receber sua avaliação, tendo qualquer dúvida estamos à disposição.
Att
NTA Variedades</v>
      </c>
    </row>
    <row r="1430" spans="1:15">
      <c r="A1430" s="52" t="str">
        <f>_xlfn.XLOOKUP(Follow[[#This Row],[CODRASTREIO]],Controle_Pedidos[Cód Rastreamento],Controle_Pedidos[Número Pedido Cliente])</f>
        <v>Pedido 1479</v>
      </c>
      <c r="B1430" s="2" t="s">
        <v>18857</v>
      </c>
      <c r="C1430" s="2" t="str">
        <f>Follow[[#This Row],[CODRASTREIO]]&amp;" B"</f>
        <v>CódRastreio1415 B</v>
      </c>
      <c r="D1430" s="52" t="str">
        <f>_xlfn.XLOOKUP(Follow[[#This Row],[Id Pedido]],Controle_Pedidos[Número Pedido Cliente],Controle_Pedidos[Loja])</f>
        <v>MEI</v>
      </c>
      <c r="E1430" s="9">
        <f>_xlfn.XLOOKUP(Follow[[#This Row],[Id Pedido]],Controle_Pedidos[Número Pedido Cliente],Controle_Pedidos[Prazo Entrega])</f>
        <v>45786</v>
      </c>
      <c r="F1430" s="9" t="s">
        <v>19433</v>
      </c>
      <c r="G1430" s="9" t="s">
        <v>37</v>
      </c>
      <c r="H1430" s="9" t="s">
        <v>178</v>
      </c>
      <c r="I1430" s="52" t="s">
        <v>178</v>
      </c>
      <c r="J1430" s="140">
        <v>45768</v>
      </c>
      <c r="K1430" s="124" t="s">
        <v>198</v>
      </c>
      <c r="L1430" s="8" t="s">
        <v>124</v>
      </c>
      <c r="M1430" s="8" t="s">
        <v>37</v>
      </c>
      <c r="N1430" s="52" t="str">
        <f>IF(Follow[[#This Row],[DATAATUALIZAÇÃO]]&lt;=Follow[[#This Row],[Prev Entrega]],"Dentro do Prazo","Fora do Prazo")</f>
        <v>Dentro do Prazo</v>
      </c>
      <c r="O143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21/04/2025, referente ao pedido Nº Pedido 1479 Rastreio Pedido 1479, agradecemos a preferência e adoraríamos receber sua avaliação, tendo qualquer dúvida estamos à disposição.
Att
NTA Variedades</v>
      </c>
    </row>
    <row r="1431" spans="1:15">
      <c r="A1431" s="52" t="str">
        <f>_xlfn.XLOOKUP(Follow[[#This Row],[CODRASTREIO]],Controle_Pedidos[Cód Rastreamento],Controle_Pedidos[Número Pedido Cliente])</f>
        <v>Pedido 1481</v>
      </c>
      <c r="B1431" s="2" t="s">
        <v>18859</v>
      </c>
      <c r="C1431" s="2" t="str">
        <f>Follow[[#This Row],[CODRASTREIO]]&amp;" B"</f>
        <v>CódRastreio1417 B</v>
      </c>
      <c r="D1431" s="52" t="str">
        <f>_xlfn.XLOOKUP(Follow[[#This Row],[Id Pedido]],Controle_Pedidos[Número Pedido Cliente],Controle_Pedidos[Loja])</f>
        <v>MEI</v>
      </c>
      <c r="E1431" s="9">
        <f>_xlfn.XLOOKUP(Follow[[#This Row],[Id Pedido]],Controle_Pedidos[Número Pedido Cliente],Controle_Pedidos[Prazo Entrega])</f>
        <v>45780</v>
      </c>
      <c r="F1431" s="9" t="s">
        <v>19433</v>
      </c>
      <c r="G1431" s="9" t="s">
        <v>566</v>
      </c>
      <c r="H1431" s="9" t="s">
        <v>179</v>
      </c>
      <c r="I1431" s="9" t="s">
        <v>178</v>
      </c>
      <c r="J1431" s="9">
        <v>45785</v>
      </c>
      <c r="K1431" s="124" t="s">
        <v>198</v>
      </c>
      <c r="L1431" s="8" t="s">
        <v>124</v>
      </c>
      <c r="M1431" s="8" t="s">
        <v>208</v>
      </c>
      <c r="N1431" s="52" t="str">
        <f>IF(Follow[[#This Row],[DATAATUALIZAÇÃO]]&lt;=Follow[[#This Row],[Prev Entrega]],"Dentro do Prazo","Fora do Prazo")</f>
        <v>Fora do Prazo</v>
      </c>
      <c r="O1431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08/05/2025, referente ao pedido Nº Pedido 1481 Rastreio NM791802581BR, agradecemos a preferência e adoraríamos receber sua avaliação, tendo qualquer dúvida estamos à disposição.
Att
NTA Variedades</v>
      </c>
    </row>
    <row r="1432" spans="1:15">
      <c r="A1432" s="52" t="str">
        <f>_xlfn.XLOOKUP(Follow[[#This Row],[CODRASTREIO]],Controle_Pedidos[Cód Rastreamento],Controle_Pedidos[Número Pedido Cliente])</f>
        <v>Pedido 1484</v>
      </c>
      <c r="B1432" s="2" t="s">
        <v>18862</v>
      </c>
      <c r="C1432" s="2" t="str">
        <f>Follow[[#This Row],[CODRASTREIO]]&amp;" B"</f>
        <v>CódRastreio1420 B</v>
      </c>
      <c r="D1432" s="52" t="str">
        <f>_xlfn.XLOOKUP(Follow[[#This Row],[Id Pedido]],Controle_Pedidos[Número Pedido Cliente],Controle_Pedidos[Loja])</f>
        <v>MEI</v>
      </c>
      <c r="E1432" s="9">
        <f>_xlfn.XLOOKUP(Follow[[#This Row],[Id Pedido]],Controle_Pedidos[Número Pedido Cliente],Controle_Pedidos[Prazo Entrega])</f>
        <v>45786</v>
      </c>
      <c r="F1432" s="9" t="s">
        <v>19433</v>
      </c>
      <c r="G1432" s="9" t="s">
        <v>37</v>
      </c>
      <c r="H1432" s="9" t="s">
        <v>178</v>
      </c>
      <c r="I1432" s="52" t="s">
        <v>178</v>
      </c>
      <c r="J1432" s="140">
        <v>45772</v>
      </c>
      <c r="K1432" s="124" t="s">
        <v>198</v>
      </c>
      <c r="L1432" s="8" t="s">
        <v>124</v>
      </c>
      <c r="M1432" s="8" t="s">
        <v>37</v>
      </c>
      <c r="N1432" s="52" t="str">
        <f>IF(Follow[[#This Row],[DATAATUALIZAÇÃO]]&lt;=Follow[[#This Row],[Prev Entrega]],"Dentro do Prazo","Fora do Prazo")</f>
        <v>Dentro do Prazo</v>
      </c>
      <c r="O143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25/04/2025, referente ao pedido Nº Pedido 1484 Rastreio Pedido 1484, agradecemos a preferência e adoraríamos receber sua avaliação, tendo qualquer dúvida estamos à disposição.
Att
NTA Variedades</v>
      </c>
    </row>
    <row r="1433" spans="1:15">
      <c r="A1433" s="52" t="str">
        <f>_xlfn.XLOOKUP(Follow[[#This Row],[CODRASTREIO]],Controle_Pedidos[Cód Rastreamento],Controle_Pedidos[Número Pedido Cliente])</f>
        <v>Pedido 1485</v>
      </c>
      <c r="B1433" s="2" t="s">
        <v>18863</v>
      </c>
      <c r="C1433" s="2" t="str">
        <f>Follow[[#This Row],[CODRASTREIO]]&amp;" B"</f>
        <v>CódRastreio1421 B</v>
      </c>
      <c r="D1433" s="52" t="str">
        <f>_xlfn.XLOOKUP(Follow[[#This Row],[Id Pedido]],Controle_Pedidos[Número Pedido Cliente],Controle_Pedidos[Loja])</f>
        <v>MEI</v>
      </c>
      <c r="E1433" s="9">
        <f>_xlfn.XLOOKUP(Follow[[#This Row],[Id Pedido]],Controle_Pedidos[Número Pedido Cliente],Controle_Pedidos[Prazo Entrega])</f>
        <v>45793</v>
      </c>
      <c r="F1433" s="9" t="s">
        <v>19433</v>
      </c>
      <c r="G1433" s="9" t="s">
        <v>567</v>
      </c>
      <c r="H1433" s="9" t="s">
        <v>179</v>
      </c>
      <c r="I1433" s="9" t="s">
        <v>178</v>
      </c>
      <c r="J1433" s="9">
        <v>45803</v>
      </c>
      <c r="K1433" s="8" t="s">
        <v>198</v>
      </c>
      <c r="L1433" s="8" t="s">
        <v>124</v>
      </c>
      <c r="M1433" s="8" t="s">
        <v>37</v>
      </c>
      <c r="N1433" s="52" t="str">
        <f>IF(Follow[[#This Row],[DATAATUALIZAÇÃO]]&lt;=Follow[[#This Row],[Prev Entrega]],"Dentro do Prazo","Fora do Prazo")</f>
        <v>Fora do Prazo</v>
      </c>
      <c r="O143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26/05/2025, referente ao pedido Nº Pedido 1485 Rastreio NM792316484BR, agradecemos a preferência e adoraríamos receber sua avaliação, tendo qualquer dúvida estamos à disposição.
Att
NTA Variedades</v>
      </c>
    </row>
    <row r="1434" spans="1:15">
      <c r="A1434" s="52" t="str">
        <f>_xlfn.XLOOKUP(Follow[[#This Row],[CODRASTREIO]],Controle_Pedidos[Cód Rastreamento],Controle_Pedidos[Número Pedido Cliente])</f>
        <v>Pedido 1486</v>
      </c>
      <c r="B1434" s="2" t="s">
        <v>18864</v>
      </c>
      <c r="C1434" s="2" t="str">
        <f>Follow[[#This Row],[CODRASTREIO]]&amp;" B"</f>
        <v>CódRastreio1422 B</v>
      </c>
      <c r="D1434" s="52" t="str">
        <f>_xlfn.XLOOKUP(Follow[[#This Row],[Id Pedido]],Controle_Pedidos[Número Pedido Cliente],Controle_Pedidos[Loja])</f>
        <v>MEI</v>
      </c>
      <c r="E1434" s="9">
        <f>_xlfn.XLOOKUP(Follow[[#This Row],[Id Pedido]],Controle_Pedidos[Número Pedido Cliente],Controle_Pedidos[Prazo Entrega])</f>
        <v>45787</v>
      </c>
      <c r="F1434" s="9" t="s">
        <v>19433</v>
      </c>
      <c r="G1434" s="9" t="s">
        <v>568</v>
      </c>
      <c r="H1434" s="9" t="s">
        <v>179</v>
      </c>
      <c r="I1434" s="9" t="s">
        <v>178</v>
      </c>
      <c r="J1434" s="9">
        <v>45782</v>
      </c>
      <c r="K1434" s="8" t="s">
        <v>198</v>
      </c>
      <c r="L1434" s="8" t="s">
        <v>124</v>
      </c>
      <c r="M1434" s="8" t="s">
        <v>37</v>
      </c>
      <c r="N1434" s="52" t="str">
        <f>IF(Follow[[#This Row],[DATAATUALIZAÇÃO]]&lt;=Follow[[#This Row],[Prev Entrega]],"Dentro do Prazo","Fora do Prazo")</f>
        <v>Dentro do Prazo</v>
      </c>
      <c r="O143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05/05/2025, referente ao pedido Nº Pedido 1486 Rastreio NM792324812BR, agradecemos a preferência e adoraríamos receber sua avaliação, tendo qualquer dúvida estamos à disposição.
Att
NTA Variedades</v>
      </c>
    </row>
    <row r="1435" spans="1:15">
      <c r="A1435" s="52" t="str">
        <f>_xlfn.XLOOKUP(Follow[[#This Row],[CODRASTREIO]],Controle_Pedidos[Cód Rastreamento],Controle_Pedidos[Número Pedido Cliente])</f>
        <v>Pedido 1489</v>
      </c>
      <c r="B1435" s="2" t="s">
        <v>18867</v>
      </c>
      <c r="C1435" s="2" t="str">
        <f>Follow[[#This Row],[CODRASTREIO]]&amp;" B"</f>
        <v>CódRastreio1425 B</v>
      </c>
      <c r="D1435" s="52" t="str">
        <f>_xlfn.XLOOKUP(Follow[[#This Row],[Id Pedido]],Controle_Pedidos[Número Pedido Cliente],Controle_Pedidos[Loja])</f>
        <v>MEI</v>
      </c>
      <c r="E1435" s="9">
        <f>_xlfn.XLOOKUP(Follow[[#This Row],[Id Pedido]],Controle_Pedidos[Número Pedido Cliente],Controle_Pedidos[Prazo Entrega])</f>
        <v>45794</v>
      </c>
      <c r="F1435" s="9" t="s">
        <v>19433</v>
      </c>
      <c r="G1435" s="9" t="s">
        <v>569</v>
      </c>
      <c r="H1435" s="9" t="s">
        <v>179</v>
      </c>
      <c r="I1435" s="52" t="s">
        <v>178</v>
      </c>
      <c r="J1435" s="140">
        <v>45769</v>
      </c>
      <c r="K1435" s="124" t="s">
        <v>198</v>
      </c>
      <c r="L1435" s="8" t="s">
        <v>124</v>
      </c>
      <c r="M1435" s="8" t="s">
        <v>37</v>
      </c>
      <c r="N1435" s="52" t="str">
        <f>IF(Follow[[#This Row],[DATAATUALIZAÇÃO]]&lt;=Follow[[#This Row],[Prev Entrega]],"Dentro do Prazo","Fora do Prazo")</f>
        <v>Dentro do Prazo</v>
      </c>
      <c r="O143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22/04/2025, referente ao pedido Nº Pedido 1489 Rastreio CNBR00065781987, agradecemos a preferência e adoraríamos receber sua avaliação, tendo qualquer dúvida estamos à disposição.
Att
NTA Variedades</v>
      </c>
    </row>
    <row r="1436" spans="1:15">
      <c r="A1436" s="52" t="str">
        <f>_xlfn.XLOOKUP(Follow[[#This Row],[CODRASTREIO]],Controle_Pedidos[Cód Rastreamento],Controle_Pedidos[Número Pedido Cliente])</f>
        <v>Pedido 1490</v>
      </c>
      <c r="B1436" s="2" t="s">
        <v>18868</v>
      </c>
      <c r="C1436" s="2" t="str">
        <f>Follow[[#This Row],[CODRASTREIO]]&amp;" B"</f>
        <v>CódRastreio1426 B</v>
      </c>
      <c r="D1436" s="52" t="str">
        <f>_xlfn.XLOOKUP(Follow[[#This Row],[Id Pedido]],Controle_Pedidos[Número Pedido Cliente],Controle_Pedidos[Loja])</f>
        <v>MEI</v>
      </c>
      <c r="E1436" s="9">
        <f>_xlfn.XLOOKUP(Follow[[#This Row],[Id Pedido]],Controle_Pedidos[Número Pedido Cliente],Controle_Pedidos[Prazo Entrega])</f>
        <v>45794</v>
      </c>
      <c r="F1436" s="9" t="s">
        <v>19433</v>
      </c>
      <c r="G1436" s="9" t="s">
        <v>570</v>
      </c>
      <c r="H1436" s="9" t="s">
        <v>179</v>
      </c>
      <c r="I1436" s="52" t="s">
        <v>178</v>
      </c>
      <c r="J1436" s="140">
        <v>45769</v>
      </c>
      <c r="K1436" s="124" t="s">
        <v>198</v>
      </c>
      <c r="L1436" s="8" t="s">
        <v>124</v>
      </c>
      <c r="M1436" s="8" t="s">
        <v>37</v>
      </c>
      <c r="N1436" s="52" t="str">
        <f>IF(Follow[[#This Row],[DATAATUALIZAÇÃO]]&lt;=Follow[[#This Row],[Prev Entrega]],"Dentro do Prazo","Fora do Prazo")</f>
        <v>Dentro do Prazo</v>
      </c>
      <c r="O143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22/04/2025, referente ao pedido Nº Pedido 1490 Rastreio CNBR00065785729, agradecemos a preferência e adoraríamos receber sua avaliação, tendo qualquer dúvida estamos à disposição.
Att
NTA Variedades</v>
      </c>
    </row>
    <row r="1437" spans="1:15">
      <c r="A1437" s="52" t="str">
        <f>_xlfn.XLOOKUP(Follow[[#This Row],[CODRASTREIO]],Controle_Pedidos[Cód Rastreamento],Controle_Pedidos[Número Pedido Cliente])</f>
        <v>Pedido 1493</v>
      </c>
      <c r="B1437" s="2" t="s">
        <v>18870</v>
      </c>
      <c r="C1437" s="2" t="str">
        <f>Follow[[#This Row],[CODRASTREIO]]&amp;" B"</f>
        <v>CódRastreio1428 B</v>
      </c>
      <c r="D1437" s="52" t="str">
        <f>_xlfn.XLOOKUP(Follow[[#This Row],[Id Pedido]],Controle_Pedidos[Número Pedido Cliente],Controle_Pedidos[Loja])</f>
        <v>MEI</v>
      </c>
      <c r="E1437" s="9">
        <f>_xlfn.XLOOKUP(Follow[[#This Row],[Id Pedido]],Controle_Pedidos[Número Pedido Cliente],Controle_Pedidos[Prazo Entrega])</f>
        <v>45787</v>
      </c>
      <c r="F1437" s="9" t="s">
        <v>19433</v>
      </c>
      <c r="G1437" s="9" t="s">
        <v>37</v>
      </c>
      <c r="H1437" s="9" t="s">
        <v>178</v>
      </c>
      <c r="I1437" s="52" t="s">
        <v>178</v>
      </c>
      <c r="J1437" s="140">
        <v>45774</v>
      </c>
      <c r="K1437" s="124" t="s">
        <v>198</v>
      </c>
      <c r="L1437" s="8" t="s">
        <v>124</v>
      </c>
      <c r="M1437" s="8" t="s">
        <v>37</v>
      </c>
      <c r="N1437" s="52" t="str">
        <f>IF(Follow[[#This Row],[DATAATUALIZAÇÃO]]&lt;=Follow[[#This Row],[Prev Entrega]],"Dentro do Prazo","Fora do Prazo")</f>
        <v>Dentro do Prazo</v>
      </c>
      <c r="O143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27/04/2025, referente ao pedido Nº Pedido 1493 Rastreio Pedido 1493, agradecemos a preferência e adoraríamos receber sua avaliação, tendo qualquer dúvida estamos à disposição.
Att
NTA Variedades</v>
      </c>
    </row>
    <row r="1438" spans="1:15">
      <c r="A1438" s="52" t="str">
        <f>_xlfn.XLOOKUP(Follow[[#This Row],[CODRASTREIO]],Controle_Pedidos[Cód Rastreamento],Controle_Pedidos[Número Pedido Cliente])</f>
        <v>Pedido 1494</v>
      </c>
      <c r="B1438" s="2" t="s">
        <v>18871</v>
      </c>
      <c r="C1438" s="2" t="str">
        <f>Follow[[#This Row],[CODRASTREIO]]&amp;" B"</f>
        <v>CódRastreio1429 B</v>
      </c>
      <c r="D1438" s="52" t="str">
        <f>_xlfn.XLOOKUP(Follow[[#This Row],[Id Pedido]],Controle_Pedidos[Número Pedido Cliente],Controle_Pedidos[Loja])</f>
        <v>MEI</v>
      </c>
      <c r="E1438" s="9">
        <f>_xlfn.XLOOKUP(Follow[[#This Row],[Id Pedido]],Controle_Pedidos[Número Pedido Cliente],Controle_Pedidos[Prazo Entrega])</f>
        <v>45783</v>
      </c>
      <c r="F1438" s="9" t="s">
        <v>19433</v>
      </c>
      <c r="G1438" s="9" t="s">
        <v>37</v>
      </c>
      <c r="H1438" s="9" t="s">
        <v>178</v>
      </c>
      <c r="I1438" s="52" t="s">
        <v>178</v>
      </c>
      <c r="J1438" s="140">
        <v>45770</v>
      </c>
      <c r="K1438" s="124" t="s">
        <v>198</v>
      </c>
      <c r="L1438" s="8" t="s">
        <v>124</v>
      </c>
      <c r="M1438" s="8" t="s">
        <v>37</v>
      </c>
      <c r="N1438" s="52" t="str">
        <f>IF(Follow[[#This Row],[DATAATUALIZAÇÃO]]&lt;=Follow[[#This Row],[Prev Entrega]],"Dentro do Prazo","Fora do Prazo")</f>
        <v>Dentro do Prazo</v>
      </c>
      <c r="O143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23/04/2025, referente ao pedido Nº Pedido 1494 Rastreio Pedido 1494, agradecemos a preferência e adoraríamos receber sua avaliação, tendo qualquer dúvida estamos à disposição.
Att
NTA Variedades</v>
      </c>
    </row>
    <row r="1439" spans="1:15">
      <c r="A1439" s="52" t="str">
        <f>_xlfn.XLOOKUP(Follow[[#This Row],[CODRASTREIO]],Controle_Pedidos[Cód Rastreamento],Controle_Pedidos[Número Pedido Cliente])</f>
        <v>Pedido 1515</v>
      </c>
      <c r="B1439" s="2" t="s">
        <v>18891</v>
      </c>
      <c r="C1439" s="2" t="str">
        <f>Follow[[#This Row],[CODRASTREIO]]&amp;" B"</f>
        <v>CódRastreio1449 B</v>
      </c>
      <c r="D1439" s="52" t="str">
        <f>_xlfn.XLOOKUP(Follow[[#This Row],[Id Pedido]],Controle_Pedidos[Número Pedido Cliente],Controle_Pedidos[Loja])</f>
        <v>MEI</v>
      </c>
      <c r="E1439" s="9">
        <f>_xlfn.XLOOKUP(Follow[[#This Row],[Id Pedido]],Controle_Pedidos[Número Pedido Cliente],Controle_Pedidos[Prazo Entrega])</f>
        <v>45784</v>
      </c>
      <c r="F1439" s="9" t="s">
        <v>19433</v>
      </c>
      <c r="G1439" s="9" t="s">
        <v>37</v>
      </c>
      <c r="H1439" s="9" t="s">
        <v>178</v>
      </c>
      <c r="I1439" s="52" t="s">
        <v>178</v>
      </c>
      <c r="J1439" s="140">
        <v>45766</v>
      </c>
      <c r="K1439" s="124" t="s">
        <v>198</v>
      </c>
      <c r="L1439" s="8" t="s">
        <v>124</v>
      </c>
      <c r="M1439" s="8" t="s">
        <v>37</v>
      </c>
      <c r="N1439" s="52" t="str">
        <f>IF(Follow[[#This Row],[DATAATUALIZAÇÃO]]&lt;=Follow[[#This Row],[Prev Entrega]],"Dentro do Prazo","Fora do Prazo")</f>
        <v>Dentro do Prazo</v>
      </c>
      <c r="O14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19/04/2025, referente ao pedido Nº Pedido 1515 Rastreio Pedido 1515, agradecemos a preferência e adoraríamos receber sua avaliação, tendo qualquer dúvida estamos à disposição.
Att
NTA Variedades</v>
      </c>
    </row>
    <row r="1440" spans="1:15">
      <c r="A1440" s="52" t="str">
        <f>_xlfn.XLOOKUP(Follow[[#This Row],[CODRASTREIO]],Controle_Pedidos[Cód Rastreamento],Controle_Pedidos[Número Pedido Cliente])</f>
        <v>Pedido 1516</v>
      </c>
      <c r="B1440" s="2" t="s">
        <v>18892</v>
      </c>
      <c r="C1440" s="2" t="str">
        <f>Follow[[#This Row],[CODRASTREIO]]&amp;" B"</f>
        <v>CódRastreio1450 B</v>
      </c>
      <c r="D1440" s="52" t="str">
        <f>_xlfn.XLOOKUP(Follow[[#This Row],[Id Pedido]],Controle_Pedidos[Número Pedido Cliente],Controle_Pedidos[Loja])</f>
        <v>MEI</v>
      </c>
      <c r="E1440" s="9">
        <f>_xlfn.XLOOKUP(Follow[[#This Row],[Id Pedido]],Controle_Pedidos[Número Pedido Cliente],Controle_Pedidos[Prazo Entrega])</f>
        <v>45797</v>
      </c>
      <c r="F1440" s="9" t="s">
        <v>19433</v>
      </c>
      <c r="G1440" s="9" t="s">
        <v>571</v>
      </c>
      <c r="H1440" s="9" t="s">
        <v>179</v>
      </c>
      <c r="I1440" s="9" t="s">
        <v>178</v>
      </c>
      <c r="J1440" s="9">
        <v>45810</v>
      </c>
      <c r="K1440" s="8" t="s">
        <v>198</v>
      </c>
      <c r="L1440" s="8" t="s">
        <v>124</v>
      </c>
      <c r="M1440" s="8" t="s">
        <v>37</v>
      </c>
      <c r="N1440" s="52" t="str">
        <f>IF(Follow[[#This Row],[DATAATUALIZAÇÃO]]&lt;=Follow[[#This Row],[Prev Entrega]],"Dentro do Prazo","Fora do Prazo")</f>
        <v>Fora do Prazo</v>
      </c>
      <c r="O144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02/06/2025, referente ao pedido Nº Pedido 1516 Rastreio NM791800585BR, agradecemos a preferência e adoraríamos receber sua avaliação, tendo qualquer dúvida estamos à disposição.
Att
NTA Variedades</v>
      </c>
    </row>
    <row r="1441" spans="1:15">
      <c r="A1441" s="52" t="str">
        <f>_xlfn.XLOOKUP(Follow[[#This Row],[CODRASTREIO]],Controle_Pedidos[Cód Rastreamento],Controle_Pedidos[Número Pedido Cliente])</f>
        <v>Pedido 1517</v>
      </c>
      <c r="B1441" s="2" t="s">
        <v>18893</v>
      </c>
      <c r="C1441" s="2" t="str">
        <f>Follow[[#This Row],[CODRASTREIO]]&amp;" B"</f>
        <v>CódRastreio1451 B</v>
      </c>
      <c r="D1441" s="52" t="str">
        <f>_xlfn.XLOOKUP(Follow[[#This Row],[Id Pedido]],Controle_Pedidos[Número Pedido Cliente],Controle_Pedidos[Loja])</f>
        <v>GO</v>
      </c>
      <c r="E1441" s="9">
        <f>_xlfn.XLOOKUP(Follow[[#This Row],[Id Pedido]],Controle_Pedidos[Número Pedido Cliente],Controle_Pedidos[Prazo Entrega])</f>
        <v>45790</v>
      </c>
      <c r="F1441" s="9" t="s">
        <v>19433</v>
      </c>
      <c r="G1441" s="9" t="s">
        <v>572</v>
      </c>
      <c r="H1441" s="9" t="s">
        <v>179</v>
      </c>
      <c r="I1441" s="52" t="s">
        <v>178</v>
      </c>
      <c r="J1441" s="140">
        <v>45775</v>
      </c>
      <c r="K1441" s="124" t="s">
        <v>198</v>
      </c>
      <c r="L1441" s="8" t="s">
        <v>124</v>
      </c>
      <c r="M1441" s="8" t="s">
        <v>37</v>
      </c>
      <c r="N1441" s="52" t="str">
        <f>IF(Follow[[#This Row],[DATAATUALIZAÇÃO]]&lt;=Follow[[#This Row],[Prev Entrega]],"Dentro do Prazo","Fora do Prazo")</f>
        <v>Dentro do Prazo</v>
      </c>
      <c r="O144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28/04/2025, referente ao pedido Nº Pedido 1517 Rastreio NM792472263BR, agradecemos a preferência e adoraríamos receber sua avaliação, tendo qualquer dúvida estamos à disposição.
Att
Sec Variedades</v>
      </c>
    </row>
    <row r="1442" spans="1:15">
      <c r="A1442" s="52" t="str">
        <f>_xlfn.XLOOKUP(Follow[[#This Row],[CODRASTREIO]],Controle_Pedidos[Cód Rastreamento],Controle_Pedidos[Número Pedido Cliente])</f>
        <v>Pedido 1518</v>
      </c>
      <c r="B1442" s="2" t="s">
        <v>18894</v>
      </c>
      <c r="C1442" s="2" t="str">
        <f>Follow[[#This Row],[CODRASTREIO]]&amp;" B"</f>
        <v>CódRastreio1452 B</v>
      </c>
      <c r="D1442" s="52" t="str">
        <f>_xlfn.XLOOKUP(Follow[[#This Row],[Id Pedido]],Controle_Pedidos[Número Pedido Cliente],Controle_Pedidos[Loja])</f>
        <v>GO</v>
      </c>
      <c r="E1442" s="9">
        <f>_xlfn.XLOOKUP(Follow[[#This Row],[Id Pedido]],Controle_Pedidos[Número Pedido Cliente],Controle_Pedidos[Prazo Entrega])</f>
        <v>45797</v>
      </c>
      <c r="F1442" s="9" t="s">
        <v>19433</v>
      </c>
      <c r="G1442" s="9" t="s">
        <v>573</v>
      </c>
      <c r="H1442" s="9" t="s">
        <v>179</v>
      </c>
      <c r="I1442" s="9" t="s">
        <v>178</v>
      </c>
      <c r="J1442" s="9">
        <v>45783</v>
      </c>
      <c r="K1442" s="8" t="s">
        <v>198</v>
      </c>
      <c r="L1442" s="8" t="s">
        <v>124</v>
      </c>
      <c r="M1442" s="8" t="s">
        <v>37</v>
      </c>
      <c r="N1442" s="52" t="str">
        <f>IF(Follow[[#This Row],[DATAATUALIZAÇÃO]]&lt;=Follow[[#This Row],[Prev Entrega]],"Dentro do Prazo","Fora do Prazo")</f>
        <v>Dentro do Prazo</v>
      </c>
      <c r="O14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06/05/2025, referente ao pedido Nº Pedido 1518 Rastreio NM792461212BR, agradecemos a preferência e adoraríamos receber sua avaliação, tendo qualquer dúvida estamos à disposição.
Att
Sec Variedades</v>
      </c>
    </row>
    <row r="1443" spans="1:15">
      <c r="A1443" s="52" t="str">
        <f>_xlfn.XLOOKUP(Follow[[#This Row],[CODRASTREIO]],Controle_Pedidos[Cód Rastreamento],Controle_Pedidos[Número Pedido Cliente])</f>
        <v>Pedido 1519</v>
      </c>
      <c r="B1443" s="2" t="s">
        <v>18895</v>
      </c>
      <c r="C1443" s="2" t="str">
        <f>Follow[[#This Row],[CODRASTREIO]]&amp;" B"</f>
        <v>CódRastreio1453 B</v>
      </c>
      <c r="D1443" s="52" t="str">
        <f>_xlfn.XLOOKUP(Follow[[#This Row],[Id Pedido]],Controle_Pedidos[Número Pedido Cliente],Controle_Pedidos[Loja])</f>
        <v>MEI</v>
      </c>
      <c r="E1443" s="9">
        <f>_xlfn.XLOOKUP(Follow[[#This Row],[Id Pedido]],Controle_Pedidos[Número Pedido Cliente],Controle_Pedidos[Prazo Entrega])</f>
        <v>45784</v>
      </c>
      <c r="F1443" s="9" t="s">
        <v>19433</v>
      </c>
      <c r="G1443" s="9" t="s">
        <v>37</v>
      </c>
      <c r="H1443" s="9" t="s">
        <v>178</v>
      </c>
      <c r="I1443" s="52" t="s">
        <v>178</v>
      </c>
      <c r="J1443" s="140">
        <v>45769</v>
      </c>
      <c r="K1443" s="124" t="s">
        <v>198</v>
      </c>
      <c r="L1443" s="8" t="s">
        <v>124</v>
      </c>
      <c r="M1443" s="8" t="s">
        <v>37</v>
      </c>
      <c r="N1443" s="52" t="str">
        <f>IF(Follow[[#This Row],[DATAATUALIZAÇÃO]]&lt;=Follow[[#This Row],[Prev Entrega]],"Dentro do Prazo","Fora do Prazo")</f>
        <v>Dentro do Prazo</v>
      </c>
      <c r="O144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22/04/2025, referente ao pedido Nº Pedido 1519 Rastreio Pedido 1519, agradecemos a preferência e adoraríamos receber sua avaliação, tendo qualquer dúvida estamos à disposição.
Att
NTA Variedades</v>
      </c>
    </row>
    <row r="1444" spans="1:15">
      <c r="A1444" s="52" t="str">
        <f>_xlfn.XLOOKUP(Follow[[#This Row],[CODRASTREIO]],Controle_Pedidos[Cód Rastreamento],Controle_Pedidos[Número Pedido Cliente])</f>
        <v>Pedido 1520</v>
      </c>
      <c r="B1444" s="2" t="s">
        <v>18896</v>
      </c>
      <c r="C1444" s="2" t="str">
        <f>Follow[[#This Row],[CODRASTREIO]]&amp;" B"</f>
        <v>CódRastreio1454 B</v>
      </c>
      <c r="D1444" s="52" t="str">
        <f>_xlfn.XLOOKUP(Follow[[#This Row],[Id Pedido]],Controle_Pedidos[Número Pedido Cliente],Controle_Pedidos[Loja])</f>
        <v>MEI</v>
      </c>
      <c r="E1444" s="9">
        <f>_xlfn.XLOOKUP(Follow[[#This Row],[Id Pedido]],Controle_Pedidos[Número Pedido Cliente],Controle_Pedidos[Prazo Entrega])</f>
        <v>45790</v>
      </c>
      <c r="F1444" s="9" t="s">
        <v>19433</v>
      </c>
      <c r="G1444" s="9" t="s">
        <v>574</v>
      </c>
      <c r="H1444" s="9" t="s">
        <v>179</v>
      </c>
      <c r="I1444" s="52" t="s">
        <v>178</v>
      </c>
      <c r="J1444" s="140">
        <v>45772</v>
      </c>
      <c r="K1444" s="124" t="s">
        <v>198</v>
      </c>
      <c r="L1444" s="8" t="s">
        <v>124</v>
      </c>
      <c r="M1444" s="8" t="s">
        <v>37</v>
      </c>
      <c r="N1444" s="52" t="str">
        <f>IF(Follow[[#This Row],[DATAATUALIZAÇÃO]]&lt;=Follow[[#This Row],[Prev Entrega]],"Dentro do Prazo","Fora do Prazo")</f>
        <v>Dentro do Prazo</v>
      </c>
      <c r="O144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25/04/2025, referente ao pedido Nº Pedido 1520 Rastreio CNBR00065789129, agradecemos a preferência e adoraríamos receber sua avaliação, tendo qualquer dúvida estamos à disposição.
Att
NTA Variedades</v>
      </c>
    </row>
    <row r="1445" spans="1:15">
      <c r="A1445" s="52" t="str">
        <f>_xlfn.XLOOKUP(Follow[[#This Row],[CODRASTREIO]],Controle_Pedidos[Cód Rastreamento],Controle_Pedidos[Número Pedido Cliente])</f>
        <v>Pedido 1521</v>
      </c>
      <c r="B1445" s="2" t="s">
        <v>18897</v>
      </c>
      <c r="C1445" s="2" t="str">
        <f>Follow[[#This Row],[CODRASTREIO]]&amp;" B"</f>
        <v>CódRastreio1455 B</v>
      </c>
      <c r="D1445" s="52" t="str">
        <f>_xlfn.XLOOKUP(Follow[[#This Row],[Id Pedido]],Controle_Pedidos[Número Pedido Cliente],Controle_Pedidos[Loja])</f>
        <v>MEI</v>
      </c>
      <c r="E1445" s="9">
        <f>_xlfn.XLOOKUP(Follow[[#This Row],[Id Pedido]],Controle_Pedidos[Número Pedido Cliente],Controle_Pedidos[Prazo Entrega])</f>
        <v>45784</v>
      </c>
      <c r="F1445" s="9" t="s">
        <v>19433</v>
      </c>
      <c r="G1445" s="9" t="s">
        <v>37</v>
      </c>
      <c r="H1445" s="9" t="s">
        <v>178</v>
      </c>
      <c r="I1445" s="52" t="s">
        <v>178</v>
      </c>
      <c r="J1445" s="140">
        <v>45768</v>
      </c>
      <c r="K1445" s="124" t="s">
        <v>198</v>
      </c>
      <c r="L1445" s="8" t="s">
        <v>124</v>
      </c>
      <c r="M1445" s="8" t="s">
        <v>37</v>
      </c>
      <c r="N1445" s="52" t="str">
        <f>IF(Follow[[#This Row],[DATAATUALIZAÇÃO]]&lt;=Follow[[#This Row],[Prev Entrega]],"Dentro do Prazo","Fora do Prazo")</f>
        <v>Dentro do Prazo</v>
      </c>
      <c r="O144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21/04/2025, referente ao pedido Nº Pedido 1521 Rastreio Pedido 1521, agradecemos a preferência e adoraríamos receber sua avaliação, tendo qualquer dúvida estamos à disposição.
Att
NTA Variedades</v>
      </c>
    </row>
    <row r="1446" spans="1:15">
      <c r="A1446" s="52" t="str">
        <f>_xlfn.XLOOKUP(Follow[[#This Row],[CODRASTREIO]],Controle_Pedidos[Cód Rastreamento],Controle_Pedidos[Número Pedido Cliente])</f>
        <v>Pedido 1522</v>
      </c>
      <c r="B1446" s="2" t="s">
        <v>18898</v>
      </c>
      <c r="C1446" s="2" t="str">
        <f>Follow[[#This Row],[CODRASTREIO]]&amp;" B"</f>
        <v>CódRastreio1456 B</v>
      </c>
      <c r="D1446" s="52" t="str">
        <f>_xlfn.XLOOKUP(Follow[[#This Row],[Id Pedido]],Controle_Pedidos[Número Pedido Cliente],Controle_Pedidos[Loja])</f>
        <v>MEI</v>
      </c>
      <c r="E1446" s="9">
        <f>_xlfn.XLOOKUP(Follow[[#This Row],[Id Pedido]],Controle_Pedidos[Número Pedido Cliente],Controle_Pedidos[Prazo Entrega])</f>
        <v>45790</v>
      </c>
      <c r="F1446" s="9" t="s">
        <v>19433</v>
      </c>
      <c r="G1446" s="9" t="s">
        <v>37</v>
      </c>
      <c r="H1446" s="9" t="s">
        <v>178</v>
      </c>
      <c r="I1446" s="52" t="s">
        <v>178</v>
      </c>
      <c r="J1446" s="140">
        <v>45772</v>
      </c>
      <c r="K1446" s="124" t="s">
        <v>198</v>
      </c>
      <c r="L1446" s="8" t="s">
        <v>124</v>
      </c>
      <c r="M1446" s="8" t="s">
        <v>37</v>
      </c>
      <c r="N1446" s="52" t="str">
        <f>IF(Follow[[#This Row],[DATAATUALIZAÇÃO]]&lt;=Follow[[#This Row],[Prev Entrega]],"Dentro do Prazo","Fora do Prazo")</f>
        <v>Dentro do Prazo</v>
      </c>
      <c r="O144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25/04/2025, referente ao pedido Nº Pedido 1522 Rastreio Pedido 1522, agradecemos a preferência e adoraríamos receber sua avaliação, tendo qualquer dúvida estamos à disposição.
Att
NTA Variedades</v>
      </c>
    </row>
    <row r="1447" spans="1:15">
      <c r="A1447" s="52" t="str">
        <f>_xlfn.XLOOKUP(Follow[[#This Row],[CODRASTREIO]],Controle_Pedidos[Cód Rastreamento],Controle_Pedidos[Número Pedido Cliente])</f>
        <v>Pedido 1444</v>
      </c>
      <c r="B1447" s="2" t="s">
        <v>18824</v>
      </c>
      <c r="C1447" s="2" t="str">
        <f>Follow[[#This Row],[CODRASTREIO]]&amp;" B"</f>
        <v>CódRastreio1382 B</v>
      </c>
      <c r="D1447" s="52" t="str">
        <f>_xlfn.XLOOKUP(Follow[[#This Row],[Id Pedido]],Controle_Pedidos[Número Pedido Cliente],Controle_Pedidos[Loja])</f>
        <v>MEI</v>
      </c>
      <c r="E1447" s="9">
        <f>_xlfn.XLOOKUP(Follow[[#This Row],[Id Pedido]],Controle_Pedidos[Número Pedido Cliente],Controle_Pedidos[Prazo Entrega])</f>
        <v>45783</v>
      </c>
      <c r="F1447" s="9" t="s">
        <v>19433</v>
      </c>
      <c r="G1447" s="9" t="s">
        <v>575</v>
      </c>
      <c r="H1447" s="9" t="s">
        <v>179</v>
      </c>
      <c r="I1447" s="52" t="s">
        <v>178</v>
      </c>
      <c r="J1447" s="140">
        <v>45775</v>
      </c>
      <c r="K1447" s="124" t="s">
        <v>198</v>
      </c>
      <c r="L1447" s="8" t="s">
        <v>124</v>
      </c>
      <c r="M1447" s="8" t="s">
        <v>37</v>
      </c>
      <c r="N1447" s="52" t="str">
        <f>IF(Follow[[#This Row],[DATAATUALIZAÇÃO]]&lt;=Follow[[#This Row],[Prev Entrega]],"Dentro do Prazo","Fora do Prazo")</f>
        <v>Dentro do Prazo</v>
      </c>
      <c r="O14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28/04/2025, referente ao pedido Nº Pedido 1444 Rastreio CNBR00065839512, agradecemos a preferência e adoraríamos receber sua avaliação, tendo qualquer dúvida estamos à disposição.
Att
NTA Variedades</v>
      </c>
    </row>
    <row r="1448" spans="1:15">
      <c r="A1448" s="52" t="str">
        <f>_xlfn.XLOOKUP(Follow[[#This Row],[CODRASTREIO]],Controle_Pedidos[Cód Rastreamento],Controle_Pedidos[Número Pedido Cliente])</f>
        <v>Pedido 1482</v>
      </c>
      <c r="B1448" s="2" t="s">
        <v>18860</v>
      </c>
      <c r="C1448" s="2" t="str">
        <f>Follow[[#This Row],[CODRASTREIO]]&amp;" B"</f>
        <v>CódRastreio1418 B</v>
      </c>
      <c r="D1448" s="52" t="str">
        <f>_xlfn.XLOOKUP(Follow[[#This Row],[Id Pedido]],Controle_Pedidos[Número Pedido Cliente],Controle_Pedidos[Loja])</f>
        <v>MEI</v>
      </c>
      <c r="E1448" s="9">
        <f>_xlfn.XLOOKUP(Follow[[#This Row],[Id Pedido]],Controle_Pedidos[Número Pedido Cliente],Controle_Pedidos[Prazo Entrega])</f>
        <v>45786</v>
      </c>
      <c r="F1448" s="9" t="s">
        <v>19433</v>
      </c>
      <c r="G1448" s="9" t="s">
        <v>576</v>
      </c>
      <c r="H1448" s="9" t="s">
        <v>179</v>
      </c>
      <c r="I1448" s="9" t="s">
        <v>178</v>
      </c>
      <c r="J1448" s="9">
        <v>45784</v>
      </c>
      <c r="K1448" s="8" t="s">
        <v>198</v>
      </c>
      <c r="L1448" s="8" t="s">
        <v>124</v>
      </c>
      <c r="M1448" s="8" t="s">
        <v>37</v>
      </c>
      <c r="N1448" s="52" t="str">
        <f>IF(Follow[[#This Row],[DATAATUALIZAÇÃO]]&lt;=Follow[[#This Row],[Prev Entrega]],"Dentro do Prazo","Fora do Prazo")</f>
        <v>Dentro do Prazo</v>
      </c>
      <c r="O14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07/05/2025, referente ao pedido Nº Pedido 1482 Rastreio NM793521500BR, agradecemos a preferência e adoraríamos receber sua avaliação, tendo qualquer dúvida estamos à disposição.
Att
NTA Variedades</v>
      </c>
    </row>
    <row r="1449" spans="1:15">
      <c r="A1449" s="52" t="str">
        <f>_xlfn.XLOOKUP(Follow[[#This Row],[CODRASTREIO]],Controle_Pedidos[Cód Rastreamento],Controle_Pedidos[Número Pedido Cliente])</f>
        <v>Pedido 1483</v>
      </c>
      <c r="B1449" s="2" t="s">
        <v>18861</v>
      </c>
      <c r="C1449" s="2" t="str">
        <f>Follow[[#This Row],[CODRASTREIO]]&amp;" B"</f>
        <v>CódRastreio1419 B</v>
      </c>
      <c r="D1449" s="52" t="str">
        <f>_xlfn.XLOOKUP(Follow[[#This Row],[Id Pedido]],Controle_Pedidos[Número Pedido Cliente],Controle_Pedidos[Loja])</f>
        <v>MEI</v>
      </c>
      <c r="E1449" s="9">
        <f>_xlfn.XLOOKUP(Follow[[#This Row],[Id Pedido]],Controle_Pedidos[Número Pedido Cliente],Controle_Pedidos[Prazo Entrega])</f>
        <v>45780</v>
      </c>
      <c r="F1449" s="9" t="s">
        <v>19433</v>
      </c>
      <c r="G1449" s="9" t="s">
        <v>577</v>
      </c>
      <c r="H1449" s="9" t="s">
        <v>179</v>
      </c>
      <c r="I1449" s="9" t="s">
        <v>178</v>
      </c>
      <c r="J1449" s="9">
        <v>45775</v>
      </c>
      <c r="K1449" s="8" t="s">
        <v>578</v>
      </c>
      <c r="L1449" s="8" t="s">
        <v>124</v>
      </c>
      <c r="M1449" s="8" t="s">
        <v>208</v>
      </c>
      <c r="N1449" s="52" t="str">
        <f>IF(Follow[[#This Row],[DATAATUALIZAÇÃO]]&lt;=Follow[[#This Row],[Prev Entrega]],"Dentro do Prazo","Fora do Prazo")</f>
        <v>Dentro do Prazo</v>
      </c>
      <c r="O1449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28/04/2025, referente ao pedido Nº Pedido 1483 Rastreio NM793450732BR, agradecemos a preferência e adoraríamos receber sua avaliação, tendo qualquer dúvida estamos à disposição.
Att
NTA Variedades</v>
      </c>
    </row>
    <row r="1450" spans="1:15">
      <c r="A1450" s="52" t="str">
        <f>_xlfn.XLOOKUP(Follow[[#This Row],[CODRASTREIO]],Controle_Pedidos[Cód Rastreamento],Controle_Pedidos[Número Pedido Cliente])</f>
        <v>Pedido 1487</v>
      </c>
      <c r="B1450" s="2" t="s">
        <v>18865</v>
      </c>
      <c r="C1450" s="2" t="str">
        <f>Follow[[#This Row],[CODRASTREIO]]&amp;" B"</f>
        <v>CódRastreio1423 B</v>
      </c>
      <c r="D1450" s="52" t="str">
        <f>_xlfn.XLOOKUP(Follow[[#This Row],[Id Pedido]],Controle_Pedidos[Número Pedido Cliente],Controle_Pedidos[Loja])</f>
        <v>MEI</v>
      </c>
      <c r="E1450" s="9">
        <f>_xlfn.XLOOKUP(Follow[[#This Row],[Id Pedido]],Controle_Pedidos[Número Pedido Cliente],Controle_Pedidos[Prazo Entrega])</f>
        <v>45787</v>
      </c>
      <c r="F1450" s="9" t="s">
        <v>19433</v>
      </c>
      <c r="G1450" s="9" t="s">
        <v>579</v>
      </c>
      <c r="H1450" s="9" t="s">
        <v>179</v>
      </c>
      <c r="I1450" s="52" t="s">
        <v>178</v>
      </c>
      <c r="J1450" s="140">
        <v>45775</v>
      </c>
      <c r="K1450" s="124" t="s">
        <v>198</v>
      </c>
      <c r="L1450" s="8" t="s">
        <v>124</v>
      </c>
      <c r="M1450" s="8" t="s">
        <v>37</v>
      </c>
      <c r="N1450" s="52" t="str">
        <f>IF(Follow[[#This Row],[DATAATUALIZAÇÃO]]&lt;=Follow[[#This Row],[Prev Entrega]],"Dentro do Prazo","Fora do Prazo")</f>
        <v>Dentro do Prazo</v>
      </c>
      <c r="O145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28/04/2025, referente ao pedido Nº Pedido 1487 Rastreio NM793666274BR, agradecemos a preferência e adoraríamos receber sua avaliação, tendo qualquer dúvida estamos à disposição.
Att
NTA Variedades</v>
      </c>
    </row>
    <row r="1451" spans="1:15">
      <c r="A1451" s="52" t="str">
        <f>_xlfn.XLOOKUP(Follow[[#This Row],[CODRASTREIO]],Controle_Pedidos[Cód Rastreamento],Controle_Pedidos[Número Pedido Cliente])</f>
        <v>Pedido 1488</v>
      </c>
      <c r="B1451" s="2" t="s">
        <v>18866</v>
      </c>
      <c r="C1451" s="2" t="str">
        <f>Follow[[#This Row],[CODRASTREIO]]&amp;" B"</f>
        <v>CódRastreio1424 B</v>
      </c>
      <c r="D1451" s="52" t="str">
        <f>_xlfn.XLOOKUP(Follow[[#This Row],[Id Pedido]],Controle_Pedidos[Número Pedido Cliente],Controle_Pedidos[Loja])</f>
        <v>MEI</v>
      </c>
      <c r="E1451" s="9">
        <f>_xlfn.XLOOKUP(Follow[[#This Row],[Id Pedido]],Controle_Pedidos[Número Pedido Cliente],Controle_Pedidos[Prazo Entrega])</f>
        <v>45787</v>
      </c>
      <c r="F1451" s="9" t="s">
        <v>19433</v>
      </c>
      <c r="G1451" s="9" t="s">
        <v>580</v>
      </c>
      <c r="H1451" s="9" t="s">
        <v>179</v>
      </c>
      <c r="I1451" s="9" t="s">
        <v>178</v>
      </c>
      <c r="J1451" s="9">
        <v>45776</v>
      </c>
      <c r="K1451" s="8" t="s">
        <v>198</v>
      </c>
      <c r="L1451" s="8" t="s">
        <v>124</v>
      </c>
      <c r="M1451" s="8" t="s">
        <v>208</v>
      </c>
      <c r="N1451" s="52" t="str">
        <f>IF(Follow[[#This Row],[DATAATUALIZAÇÃO]]&lt;=Follow[[#This Row],[Prev Entrega]],"Dentro do Prazo","Fora do Prazo")</f>
        <v>Dentro do Prazo</v>
      </c>
      <c r="O14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29/04/2025, referente ao pedido Nº Pedido 1488 Rastreio NM793443365BR, agradecemos a preferência e adoraríamos receber sua avaliação, tendo qualquer dúvida estamos à disposição.
Att
NTA Variedades</v>
      </c>
    </row>
    <row r="1452" spans="1:15">
      <c r="A1452" s="52" t="str">
        <f>_xlfn.XLOOKUP(Follow[[#This Row],[CODRASTREIO]],Controle_Pedidos[Cód Rastreamento],Controle_Pedidos[Número Pedido Cliente])</f>
        <v>Pedido 1492</v>
      </c>
      <c r="B1452" s="2" t="s">
        <v>18869</v>
      </c>
      <c r="C1452" s="2" t="str">
        <f>Follow[[#This Row],[CODRASTREIO]]&amp;" B"</f>
        <v>CódRastreio1427 B</v>
      </c>
      <c r="D1452" s="52" t="str">
        <f>_xlfn.XLOOKUP(Follow[[#This Row],[Id Pedido]],Controle_Pedidos[Número Pedido Cliente],Controle_Pedidos[Loja])</f>
        <v>MEI</v>
      </c>
      <c r="E1452" s="9">
        <f>_xlfn.XLOOKUP(Follow[[#This Row],[Id Pedido]],Controle_Pedidos[Número Pedido Cliente],Controle_Pedidos[Prazo Entrega])</f>
        <v>45787</v>
      </c>
      <c r="F1452" s="9" t="s">
        <v>19433</v>
      </c>
      <c r="G1452" s="9" t="s">
        <v>581</v>
      </c>
      <c r="H1452" s="9" t="s">
        <v>179</v>
      </c>
      <c r="I1452" s="52" t="s">
        <v>178</v>
      </c>
      <c r="J1452" s="140">
        <v>45775</v>
      </c>
      <c r="K1452" s="124" t="s">
        <v>198</v>
      </c>
      <c r="L1452" s="8" t="s">
        <v>124</v>
      </c>
      <c r="M1452" s="8" t="s">
        <v>37</v>
      </c>
      <c r="N1452" s="52" t="str">
        <f>IF(Follow[[#This Row],[DATAATUALIZAÇÃO]]&lt;=Follow[[#This Row],[Prev Entrega]],"Dentro do Prazo","Fora do Prazo")</f>
        <v>Dentro do Prazo</v>
      </c>
      <c r="O14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28/04/2025, referente ao pedido Nº Pedido 1492 Rastreio NM793448800BR, agradecemos a preferência e adoraríamos receber sua avaliação, tendo qualquer dúvida estamos à disposição.
Att
NTA Variedades</v>
      </c>
    </row>
    <row r="1453" spans="1:15">
      <c r="A1453" s="52" t="str">
        <f>_xlfn.XLOOKUP(Follow[[#This Row],[CODRASTREIO]],Controle_Pedidos[Cód Rastreamento],Controle_Pedidos[Número Pedido Cliente])</f>
        <v>Pedido 1523</v>
      </c>
      <c r="B1453" s="2" t="s">
        <v>18899</v>
      </c>
      <c r="C1453" s="2" t="str">
        <f>Follow[[#This Row],[CODRASTREIO]]&amp;" B"</f>
        <v>CódRastreio1457 B</v>
      </c>
      <c r="D1453" s="52" t="str">
        <f>_xlfn.XLOOKUP(Follow[[#This Row],[Id Pedido]],Controle_Pedidos[Número Pedido Cliente],Controle_Pedidos[Loja])</f>
        <v>GO</v>
      </c>
      <c r="E1453" s="9">
        <f>_xlfn.XLOOKUP(Follow[[#This Row],[Id Pedido]],Controle_Pedidos[Número Pedido Cliente],Controle_Pedidos[Prazo Entrega])</f>
        <v>45790</v>
      </c>
      <c r="F1453" s="9" t="s">
        <v>19433</v>
      </c>
      <c r="G1453" s="9" t="s">
        <v>582</v>
      </c>
      <c r="H1453" s="9" t="s">
        <v>179</v>
      </c>
      <c r="I1453" s="52" t="s">
        <v>178</v>
      </c>
      <c r="J1453" s="140">
        <v>45775</v>
      </c>
      <c r="K1453" s="124" t="s">
        <v>198</v>
      </c>
      <c r="L1453" s="8" t="s">
        <v>124</v>
      </c>
      <c r="M1453" s="8" t="s">
        <v>37</v>
      </c>
      <c r="N1453" s="52" t="str">
        <f>IF(Follow[[#This Row],[DATAATUALIZAÇÃO]]&lt;=Follow[[#This Row],[Prev Entrega]],"Dentro do Prazo","Fora do Prazo")</f>
        <v>Dentro do Prazo</v>
      </c>
      <c r="O14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28/04/2025, referente ao pedido Nº Pedido 1523 Rastreio NM793432566BR, agradecemos a preferência e adoraríamos receber sua avaliação, tendo qualquer dúvida estamos à disposição.
Att
Sec Variedades</v>
      </c>
    </row>
    <row r="1454" spans="1:15">
      <c r="A1454" s="52" t="str">
        <f>_xlfn.XLOOKUP(Follow[[#This Row],[CODRASTREIO]],Controle_Pedidos[Cód Rastreamento],Controle_Pedidos[Número Pedido Cliente])</f>
        <v>Pedido 1524</v>
      </c>
      <c r="B1454" s="2" t="s">
        <v>18900</v>
      </c>
      <c r="C1454" s="2" t="str">
        <f>Follow[[#This Row],[CODRASTREIO]]&amp;" B"</f>
        <v>CódRastreio1458 B</v>
      </c>
      <c r="D1454" s="52" t="str">
        <f>_xlfn.XLOOKUP(Follow[[#This Row],[Id Pedido]],Controle_Pedidos[Número Pedido Cliente],Controle_Pedidos[Loja])</f>
        <v>GO</v>
      </c>
      <c r="E1454" s="9">
        <f>_xlfn.XLOOKUP(Follow[[#This Row],[Id Pedido]],Controle_Pedidos[Número Pedido Cliente],Controle_Pedidos[Prazo Entrega])</f>
        <v>45790</v>
      </c>
      <c r="F1454" s="9" t="s">
        <v>19433</v>
      </c>
      <c r="G1454" s="9" t="s">
        <v>583</v>
      </c>
      <c r="H1454" s="9" t="s">
        <v>179</v>
      </c>
      <c r="I1454" s="52" t="s">
        <v>178</v>
      </c>
      <c r="J1454" s="140">
        <v>45775</v>
      </c>
      <c r="K1454" s="124" t="s">
        <v>198</v>
      </c>
      <c r="L1454" s="8" t="s">
        <v>124</v>
      </c>
      <c r="M1454" s="8" t="s">
        <v>37</v>
      </c>
      <c r="N1454" s="52" t="str">
        <f>IF(Follow[[#This Row],[DATAATUALIZAÇÃO]]&lt;=Follow[[#This Row],[Prev Entrega]],"Dentro do Prazo","Fora do Prazo")</f>
        <v>Dentro do Prazo</v>
      </c>
      <c r="O145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28/04/2025, referente ao pedido Nº Pedido 1524 Rastreio NM793432671BR, agradecemos a preferência e adoraríamos receber sua avaliação, tendo qualquer dúvida estamos à disposição.
Att
Sec Variedades</v>
      </c>
    </row>
    <row r="1455" spans="1:15">
      <c r="A1455" s="52" t="str">
        <f>_xlfn.XLOOKUP(Follow[[#This Row],[CODRASTREIO]],Controle_Pedidos[Cód Rastreamento],Controle_Pedidos[Número Pedido Cliente])</f>
        <v>Pedido 1527</v>
      </c>
      <c r="B1455" s="2" t="s">
        <v>18902</v>
      </c>
      <c r="C1455" s="2" t="str">
        <f>Follow[[#This Row],[CODRASTREIO]]&amp;" B"</f>
        <v>CódRastreio1460 B</v>
      </c>
      <c r="D1455" s="52" t="str">
        <f>_xlfn.XLOOKUP(Follow[[#This Row],[Id Pedido]],Controle_Pedidos[Número Pedido Cliente],Controle_Pedidos[Loja])</f>
        <v>MEI</v>
      </c>
      <c r="E1455" s="9">
        <f>_xlfn.XLOOKUP(Follow[[#This Row],[Id Pedido]],Controle_Pedidos[Número Pedido Cliente],Controle_Pedidos[Prazo Entrega])</f>
        <v>45784</v>
      </c>
      <c r="F1455" s="9" t="s">
        <v>19433</v>
      </c>
      <c r="G1455" s="9" t="s">
        <v>37</v>
      </c>
      <c r="H1455" s="9" t="s">
        <v>178</v>
      </c>
      <c r="I1455" s="52" t="s">
        <v>178</v>
      </c>
      <c r="J1455" s="140">
        <v>45770</v>
      </c>
      <c r="K1455" s="124" t="s">
        <v>198</v>
      </c>
      <c r="L1455" s="8" t="s">
        <v>124</v>
      </c>
      <c r="M1455" s="8" t="s">
        <v>37</v>
      </c>
      <c r="N1455" s="52" t="str">
        <f>IF(Follow[[#This Row],[DATAATUALIZAÇÃO]]&lt;=Follow[[#This Row],[Prev Entrega]],"Dentro do Prazo","Fora do Prazo")</f>
        <v>Dentro do Prazo</v>
      </c>
      <c r="O145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23/04/2025, referente ao pedido Nº Pedido 1527 Rastreio Pedido 1527, agradecemos a preferência e adoraríamos receber sua avaliação, tendo qualquer dúvida estamos à disposição.
Att
NTA Variedades</v>
      </c>
    </row>
    <row r="1456" spans="1:15">
      <c r="A1456" s="52" t="str">
        <f>_xlfn.XLOOKUP(Follow[[#This Row],[CODRASTREIO]],Controle_Pedidos[Cód Rastreamento],Controle_Pedidos[Número Pedido Cliente])</f>
        <v>Pedido 1528</v>
      </c>
      <c r="B1456" s="2" t="s">
        <v>18903</v>
      </c>
      <c r="C1456" s="2" t="str">
        <f>Follow[[#This Row],[CODRASTREIO]]&amp;" B"</f>
        <v>CódRastreio1461 B</v>
      </c>
      <c r="D1456" s="52" t="str">
        <f>_xlfn.XLOOKUP(Follow[[#This Row],[Id Pedido]],Controle_Pedidos[Número Pedido Cliente],Controle_Pedidos[Loja])</f>
        <v>MEI</v>
      </c>
      <c r="E1456" s="9">
        <f>_xlfn.XLOOKUP(Follow[[#This Row],[Id Pedido]],Controle_Pedidos[Número Pedido Cliente],Controle_Pedidos[Prazo Entrega])</f>
        <v>45784</v>
      </c>
      <c r="F1456" s="9" t="s">
        <v>19433</v>
      </c>
      <c r="G1456" s="9" t="s">
        <v>37</v>
      </c>
      <c r="H1456" s="9" t="s">
        <v>178</v>
      </c>
      <c r="I1456" s="52" t="s">
        <v>178</v>
      </c>
      <c r="J1456" s="140">
        <v>45776</v>
      </c>
      <c r="K1456" s="124" t="s">
        <v>198</v>
      </c>
      <c r="L1456" s="8" t="s">
        <v>124</v>
      </c>
      <c r="M1456" s="8" t="s">
        <v>208</v>
      </c>
      <c r="N1456" s="52" t="str">
        <f>IF(Follow[[#This Row],[DATAATUALIZAÇÃO]]&lt;=Follow[[#This Row],[Prev Entrega]],"Dentro do Prazo","Fora do Prazo")</f>
        <v>Dentro do Prazo</v>
      </c>
      <c r="O145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29/04/2025, referente ao pedido Nº Pedido 1528 Rastreio Pedido 1528, agradecemos a preferência e adoraríamos receber sua avaliação, tendo qualquer dúvida estamos à disposição.
Att
NTA Variedades</v>
      </c>
    </row>
    <row r="1457" spans="1:15">
      <c r="A1457" s="52" t="str">
        <f>_xlfn.XLOOKUP(Follow[[#This Row],[CODRASTREIO]],Controle_Pedidos[Cód Rastreamento],Controle_Pedidos[Número Pedido Cliente])</f>
        <v>Pedido 1529</v>
      </c>
      <c r="B1457" s="2" t="s">
        <v>18904</v>
      </c>
      <c r="C1457" s="2" t="str">
        <f>Follow[[#This Row],[CODRASTREIO]]&amp;" B"</f>
        <v>CódRastreio1462 B</v>
      </c>
      <c r="D1457" s="52" t="str">
        <f>_xlfn.XLOOKUP(Follow[[#This Row],[Id Pedido]],Controle_Pedidos[Número Pedido Cliente],Controle_Pedidos[Loja])</f>
        <v>MEI</v>
      </c>
      <c r="E1457" s="9">
        <f>_xlfn.XLOOKUP(Follow[[#This Row],[Id Pedido]],Controle_Pedidos[Número Pedido Cliente],Controle_Pedidos[Prazo Entrega])</f>
        <v>45790</v>
      </c>
      <c r="F1457" s="9" t="s">
        <v>19433</v>
      </c>
      <c r="G1457" s="9" t="s">
        <v>37</v>
      </c>
      <c r="H1457" s="9" t="s">
        <v>178</v>
      </c>
      <c r="I1457" s="52" t="s">
        <v>178</v>
      </c>
      <c r="J1457" s="140">
        <v>45771</v>
      </c>
      <c r="K1457" s="124" t="s">
        <v>198</v>
      </c>
      <c r="L1457" s="8" t="s">
        <v>124</v>
      </c>
      <c r="M1457" s="8" t="s">
        <v>37</v>
      </c>
      <c r="N1457" s="52" t="str">
        <f>IF(Follow[[#This Row],[DATAATUALIZAÇÃO]]&lt;=Follow[[#This Row],[Prev Entrega]],"Dentro do Prazo","Fora do Prazo")</f>
        <v>Dentro do Prazo</v>
      </c>
      <c r="O145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Suporte de Celular Branco foi entregue no dia 24/04/2025, referente ao pedido Nº Pedido 1529 Rastreio Pedido 1529, agradecemos a preferência e adoraríamos receber sua avaliação, tendo qualquer dúvida estamos à disposição.
Att
NTA Variedades</v>
      </c>
    </row>
    <row r="1458" spans="1:15">
      <c r="A1458" s="52" t="str">
        <f>_xlfn.XLOOKUP(Follow[[#This Row],[CODRASTREIO]],Controle_Pedidos[Cód Rastreamento],Controle_Pedidos[Número Pedido Cliente])</f>
        <v>Pedido 1531</v>
      </c>
      <c r="B1458" s="2" t="s">
        <v>18905</v>
      </c>
      <c r="C1458" s="2" t="str">
        <f>Follow[[#This Row],[CODRASTREIO]]&amp;" B"</f>
        <v>CódRastreio1463 B</v>
      </c>
      <c r="D1458" s="52" t="str">
        <f>_xlfn.XLOOKUP(Follow[[#This Row],[Id Pedido]],Controle_Pedidos[Número Pedido Cliente],Controle_Pedidos[Loja])</f>
        <v>MEI</v>
      </c>
      <c r="E1458" s="9">
        <f>_xlfn.XLOOKUP(Follow[[#This Row],[Id Pedido]],Controle_Pedidos[Número Pedido Cliente],Controle_Pedidos[Prazo Entrega])</f>
        <v>45791</v>
      </c>
      <c r="F1458" s="9" t="s">
        <v>19433</v>
      </c>
      <c r="G1458" s="9" t="s">
        <v>584</v>
      </c>
      <c r="H1458" s="9" t="s">
        <v>179</v>
      </c>
      <c r="I1458" s="9" t="s">
        <v>178</v>
      </c>
      <c r="J1458" s="9">
        <v>45825</v>
      </c>
      <c r="K1458" s="8" t="s">
        <v>585</v>
      </c>
      <c r="L1458" s="8" t="s">
        <v>124</v>
      </c>
      <c r="M1458" s="8" t="s">
        <v>37</v>
      </c>
      <c r="N1458" s="52" t="str">
        <f>IF(Follow[[#This Row],[DATAATUALIZAÇÃO]]&lt;=Follow[[#This Row],[Prev Entrega]],"Dentro do Prazo","Fora do Prazo")</f>
        <v>Fora do Prazo</v>
      </c>
      <c r="O145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17/06/2025, referente ao pedido Nº Pedido 1531 Rastreio NM793613625BR, agradecemos a preferência e adoraríamos receber sua avaliação, tendo qualquer dúvida estamos à disposição.
Att
NTA Variedades</v>
      </c>
    </row>
    <row r="1459" spans="1:15">
      <c r="A1459" s="52" t="str">
        <f>_xlfn.XLOOKUP(Follow[[#This Row],[CODRASTREIO]],Controle_Pedidos[Cód Rastreamento],Controle_Pedidos[Número Pedido Cliente])</f>
        <v>Pedido 1532</v>
      </c>
      <c r="B1459" s="2" t="s">
        <v>18906</v>
      </c>
      <c r="C1459" s="2" t="str">
        <f>Follow[[#This Row],[CODRASTREIO]]&amp;" B"</f>
        <v>CódRastreio1464 B</v>
      </c>
      <c r="D1459" s="52" t="str">
        <f>_xlfn.XLOOKUP(Follow[[#This Row],[Id Pedido]],Controle_Pedidos[Número Pedido Cliente],Controle_Pedidos[Loja])</f>
        <v>MEI</v>
      </c>
      <c r="E1459" s="9">
        <f>_xlfn.XLOOKUP(Follow[[#This Row],[Id Pedido]],Controle_Pedidos[Número Pedido Cliente],Controle_Pedidos[Prazo Entrega])</f>
        <v>45791</v>
      </c>
      <c r="F1459" s="9" t="s">
        <v>19433</v>
      </c>
      <c r="G1459" s="9" t="s">
        <v>586</v>
      </c>
      <c r="H1459" s="9" t="s">
        <v>179</v>
      </c>
      <c r="I1459" s="9" t="s">
        <v>178</v>
      </c>
      <c r="J1459" s="9">
        <v>45813</v>
      </c>
      <c r="K1459" s="8" t="s">
        <v>198</v>
      </c>
      <c r="L1459" s="8" t="s">
        <v>124</v>
      </c>
      <c r="M1459" s="8" t="s">
        <v>37</v>
      </c>
      <c r="N1459" s="52" t="str">
        <f>IF(Follow[[#This Row],[DATAATUALIZAÇÃO]]&lt;=Follow[[#This Row],[Prev Entrega]],"Dentro do Prazo","Fora do Prazo")</f>
        <v>Fora do Prazo</v>
      </c>
      <c r="O145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05/06/2025, referente ao pedido Nº Pedido 1532 Rastreio NM793468225BR, agradecemos a preferência e adoraríamos receber sua avaliação, tendo qualquer dúvida estamos à disposição.
Att
NTA Variedades</v>
      </c>
    </row>
    <row r="1460" spans="1:15">
      <c r="A1460" s="52" t="str">
        <f>_xlfn.XLOOKUP(Follow[[#This Row],[CODRASTREIO]],Controle_Pedidos[Cód Rastreamento],Controle_Pedidos[Número Pedido Cliente])</f>
        <v>Pedido 1496</v>
      </c>
      <c r="B1460" s="2" t="s">
        <v>18872</v>
      </c>
      <c r="C1460" s="2" t="str">
        <f>Follow[[#This Row],[CODRASTREIO]]&amp;" B"</f>
        <v>CódRastreio1430 B</v>
      </c>
      <c r="D1460" s="52" t="str">
        <f>_xlfn.XLOOKUP(Follow[[#This Row],[Id Pedido]],Controle_Pedidos[Número Pedido Cliente],Controle_Pedidos[Loja])</f>
        <v>MEI</v>
      </c>
      <c r="E1460" s="9">
        <f>_xlfn.XLOOKUP(Follow[[#This Row],[Id Pedido]],Controle_Pedidos[Número Pedido Cliente],Controle_Pedidos[Prazo Entrega])</f>
        <v>45787</v>
      </c>
      <c r="F1460" s="9" t="s">
        <v>19433</v>
      </c>
      <c r="G1460" s="9" t="s">
        <v>587</v>
      </c>
      <c r="H1460" s="9" t="s">
        <v>179</v>
      </c>
      <c r="I1460" s="9" t="s">
        <v>178</v>
      </c>
      <c r="J1460" s="9">
        <v>45791</v>
      </c>
      <c r="K1460" s="8" t="s">
        <v>198</v>
      </c>
      <c r="L1460" s="8" t="s">
        <v>124</v>
      </c>
      <c r="M1460" s="8" t="s">
        <v>37</v>
      </c>
      <c r="N1460" s="52" t="str">
        <f>IF(Follow[[#This Row],[DATAATUALIZAÇÃO]]&lt;=Follow[[#This Row],[Prev Entrega]],"Dentro do Prazo","Fora do Prazo")</f>
        <v>Fora do Prazo</v>
      </c>
      <c r="O146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14/05/2025, referente ao pedido Nº Pedido 1496 Rastreio NM794614551BR, agradecemos a preferência e adoraríamos receber sua avaliação, tendo qualquer dúvida estamos à disposição.
Att
NTA Variedades</v>
      </c>
    </row>
    <row r="1461" spans="1:15">
      <c r="A1461" s="52" t="str">
        <f>_xlfn.XLOOKUP(Follow[[#This Row],[CODRASTREIO]],Controle_Pedidos[Cód Rastreamento],Controle_Pedidos[Número Pedido Cliente])</f>
        <v>Pedido 1497</v>
      </c>
      <c r="B1461" s="2" t="s">
        <v>18873</v>
      </c>
      <c r="C1461" s="2" t="str">
        <f>Follow[[#This Row],[CODRASTREIO]]&amp;" B"</f>
        <v>CódRastreio1431 B</v>
      </c>
      <c r="D1461" s="52" t="str">
        <f>_xlfn.XLOOKUP(Follow[[#This Row],[Id Pedido]],Controle_Pedidos[Número Pedido Cliente],Controle_Pedidos[Loja])</f>
        <v>MEI</v>
      </c>
      <c r="E1461" s="9">
        <f>_xlfn.XLOOKUP(Follow[[#This Row],[Id Pedido]],Controle_Pedidos[Número Pedido Cliente],Controle_Pedidos[Prazo Entrega])</f>
        <v>45794</v>
      </c>
      <c r="F1461" s="9" t="s">
        <v>19433</v>
      </c>
      <c r="G1461" s="9" t="s">
        <v>588</v>
      </c>
      <c r="H1461" s="9" t="s">
        <v>179</v>
      </c>
      <c r="I1461" s="9" t="s">
        <v>178</v>
      </c>
      <c r="J1461" s="9">
        <v>45800</v>
      </c>
      <c r="K1461" s="8" t="s">
        <v>198</v>
      </c>
      <c r="L1461" s="8" t="s">
        <v>124</v>
      </c>
      <c r="M1461" s="8" t="s">
        <v>37</v>
      </c>
      <c r="N1461" s="52" t="str">
        <f>IF(Follow[[#This Row],[DATAATUALIZAÇÃO]]&lt;=Follow[[#This Row],[Prev Entrega]],"Dentro do Prazo","Fora do Prazo")</f>
        <v>Fora do Prazo</v>
      </c>
      <c r="O146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23/05/2025, referente ao pedido Nº Pedido 1497 Rastreio NM794619647BR, agradecemos a preferência e adoraríamos receber sua avaliação, tendo qualquer dúvida estamos à disposição.
Att
NTA Variedades</v>
      </c>
    </row>
    <row r="1462" spans="1:15">
      <c r="A1462" s="52" t="str">
        <f>_xlfn.XLOOKUP(Follow[[#This Row],[CODRASTREIO]],Controle_Pedidos[Cód Rastreamento],Controle_Pedidos[Número Pedido Cliente])</f>
        <v>Pedido 1498</v>
      </c>
      <c r="B1462" s="2" t="s">
        <v>18874</v>
      </c>
      <c r="C1462" s="2" t="str">
        <f>Follow[[#This Row],[CODRASTREIO]]&amp;" B"</f>
        <v>CódRastreio1432 B</v>
      </c>
      <c r="D1462" s="52" t="str">
        <f>_xlfn.XLOOKUP(Follow[[#This Row],[Id Pedido]],Controle_Pedidos[Número Pedido Cliente],Controle_Pedidos[Loja])</f>
        <v>MEI</v>
      </c>
      <c r="E1462" s="9">
        <f>_xlfn.XLOOKUP(Follow[[#This Row],[Id Pedido]],Controle_Pedidos[Número Pedido Cliente],Controle_Pedidos[Prazo Entrega])</f>
        <v>45783</v>
      </c>
      <c r="F1462" s="9" t="s">
        <v>19433</v>
      </c>
      <c r="G1462" s="9" t="s">
        <v>589</v>
      </c>
      <c r="H1462" s="9" t="s">
        <v>179</v>
      </c>
      <c r="I1462" s="9" t="s">
        <v>178</v>
      </c>
      <c r="J1462" s="9">
        <v>45782</v>
      </c>
      <c r="K1462" s="8" t="s">
        <v>198</v>
      </c>
      <c r="L1462" s="8" t="s">
        <v>124</v>
      </c>
      <c r="M1462" s="8" t="s">
        <v>37</v>
      </c>
      <c r="N1462" s="52" t="str">
        <f>IF(Follow[[#This Row],[DATAATUALIZAÇÃO]]&lt;=Follow[[#This Row],[Prev Entrega]],"Dentro do Prazo","Fora do Prazo")</f>
        <v>Dentro do Prazo</v>
      </c>
      <c r="O14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05/05/2025, referente ao pedido Nº Pedido 1498 Rastreio NM794509672BR, agradecemos a preferência e adoraríamos receber sua avaliação, tendo qualquer dúvida estamos à disposição.
Att
NTA Variedades</v>
      </c>
    </row>
    <row r="1463" spans="1:15">
      <c r="A1463" s="52" t="str">
        <f>_xlfn.XLOOKUP(Follow[[#This Row],[CODRASTREIO]],Controle_Pedidos[Cód Rastreamento],Controle_Pedidos[Número Pedido Cliente])</f>
        <v>Pedido 1525</v>
      </c>
      <c r="B1463" s="2" t="s">
        <v>18901</v>
      </c>
      <c r="C1463" s="2" t="str">
        <f>Follow[[#This Row],[CODRASTREIO]]&amp;" B"</f>
        <v>CódRastreio1459 B</v>
      </c>
      <c r="D1463" s="52" t="str">
        <f>_xlfn.XLOOKUP(Follow[[#This Row],[Id Pedido]],Controle_Pedidos[Número Pedido Cliente],Controle_Pedidos[Loja])</f>
        <v>GO</v>
      </c>
      <c r="E1463" s="9">
        <f>_xlfn.XLOOKUP(Follow[[#This Row],[Id Pedido]],Controle_Pedidos[Número Pedido Cliente],Controle_Pedidos[Prazo Entrega])</f>
        <v>45784</v>
      </c>
      <c r="F1463" s="9" t="s">
        <v>19433</v>
      </c>
      <c r="G1463" s="9" t="s">
        <v>590</v>
      </c>
      <c r="H1463" s="9" t="s">
        <v>179</v>
      </c>
      <c r="I1463" s="52" t="s">
        <v>178</v>
      </c>
      <c r="J1463" s="140">
        <v>45775</v>
      </c>
      <c r="K1463" s="124" t="s">
        <v>198</v>
      </c>
      <c r="L1463" s="8" t="s">
        <v>124</v>
      </c>
      <c r="M1463" s="8" t="s">
        <v>37</v>
      </c>
      <c r="N1463" s="52" t="str">
        <f>IF(Follow[[#This Row],[DATAATUALIZAÇÃO]]&lt;=Follow[[#This Row],[Prev Entrega]],"Dentro do Prazo","Fora do Prazo")</f>
        <v>Dentro do Prazo</v>
      </c>
      <c r="O146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28/04/2025, referente ao pedido Nº Pedido 1525 Rastreio NM794763493BR, agradecemos a preferência e adoraríamos receber sua avaliação, tendo qualquer dúvida estamos à disposição.
Att
Sec Variedades</v>
      </c>
    </row>
    <row r="1464" spans="1:15">
      <c r="A1464" s="52" t="str">
        <f>_xlfn.XLOOKUP(Follow[[#This Row],[CODRASTREIO]],Controle_Pedidos[Cód Rastreamento],Controle_Pedidos[Número Pedido Cliente])</f>
        <v>Pedido 1533</v>
      </c>
      <c r="B1464" s="2" t="s">
        <v>18907</v>
      </c>
      <c r="C1464" s="2" t="str">
        <f>Follow[[#This Row],[CODRASTREIO]]&amp;" B"</f>
        <v>CódRastreio1465 B</v>
      </c>
      <c r="D1464" s="52" t="str">
        <f>_xlfn.XLOOKUP(Follow[[#This Row],[Id Pedido]],Controle_Pedidos[Número Pedido Cliente],Controle_Pedidos[Loja])</f>
        <v>GO</v>
      </c>
      <c r="E1464" s="9">
        <f>_xlfn.XLOOKUP(Follow[[#This Row],[Id Pedido]],Controle_Pedidos[Número Pedido Cliente],Controle_Pedidos[Prazo Entrega])</f>
        <v>45790</v>
      </c>
      <c r="F1464" s="9" t="s">
        <v>19433</v>
      </c>
      <c r="G1464" s="9" t="s">
        <v>591</v>
      </c>
      <c r="H1464" s="9" t="s">
        <v>179</v>
      </c>
      <c r="I1464" s="9" t="s">
        <v>178</v>
      </c>
      <c r="J1464" s="9">
        <v>45779</v>
      </c>
      <c r="K1464" s="8" t="s">
        <v>198</v>
      </c>
      <c r="L1464" s="8" t="s">
        <v>124</v>
      </c>
      <c r="M1464" s="8" t="s">
        <v>37</v>
      </c>
      <c r="N1464" s="52" t="str">
        <f>IF(Follow[[#This Row],[DATAATUALIZAÇÃO]]&lt;=Follow[[#This Row],[Prev Entrega]],"Dentro do Prazo","Fora do Prazo")</f>
        <v>Dentro do Prazo</v>
      </c>
      <c r="O146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02/05/2025, referente ao pedido Nº Pedido 1533 Rastreio NM794422786BR, agradecemos a preferência e adoraríamos receber sua avaliação, tendo qualquer dúvida estamos à disposição.
Att
Sec Variedades</v>
      </c>
    </row>
    <row r="1465" spans="1:15">
      <c r="A1465" s="52" t="str">
        <f>_xlfn.XLOOKUP(Follow[[#This Row],[CODRASTREIO]],Controle_Pedidos[Cód Rastreamento],Controle_Pedidos[Número Pedido Cliente])</f>
        <v>Pedido 1534</v>
      </c>
      <c r="B1465" s="2" t="s">
        <v>18908</v>
      </c>
      <c r="C1465" s="2" t="str">
        <f>Follow[[#This Row],[CODRASTREIO]]&amp;" B"</f>
        <v>CódRastreio1466 B</v>
      </c>
      <c r="D1465" s="52" t="str">
        <f>_xlfn.XLOOKUP(Follow[[#This Row],[Id Pedido]],Controle_Pedidos[Número Pedido Cliente],Controle_Pedidos[Loja])</f>
        <v>GO</v>
      </c>
      <c r="E1465" s="9">
        <f>_xlfn.XLOOKUP(Follow[[#This Row],[Id Pedido]],Controle_Pedidos[Número Pedido Cliente],Controle_Pedidos[Prazo Entrega])</f>
        <v>45791</v>
      </c>
      <c r="F1465" s="9" t="s">
        <v>19433</v>
      </c>
      <c r="G1465" s="9" t="s">
        <v>592</v>
      </c>
      <c r="H1465" s="9" t="s">
        <v>179</v>
      </c>
      <c r="I1465" s="9" t="s">
        <v>178</v>
      </c>
      <c r="J1465" s="9">
        <v>45782</v>
      </c>
      <c r="K1465" s="8" t="s">
        <v>198</v>
      </c>
      <c r="L1465" s="8" t="s">
        <v>124</v>
      </c>
      <c r="M1465" s="8" t="s">
        <v>37</v>
      </c>
      <c r="N1465" s="52" t="str">
        <f>IF(Follow[[#This Row],[DATAATUALIZAÇÃO]]&lt;=Follow[[#This Row],[Prev Entrega]],"Dentro do Prazo","Fora do Prazo")</f>
        <v>Dentro do Prazo</v>
      </c>
      <c r="O14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05/05/2025, referente ao pedido Nº Pedido 1534 Rastreio NM794423747BR, agradecemos a preferência e adoraríamos receber sua avaliação, tendo qualquer dúvida estamos à disposição.
Att
Sec Variedades</v>
      </c>
    </row>
    <row r="1466" spans="1:15">
      <c r="A1466" s="52" t="str">
        <f>_xlfn.XLOOKUP(Follow[[#This Row],[CODRASTREIO]],Controle_Pedidos[Cód Rastreamento],Controle_Pedidos[Número Pedido Cliente])</f>
        <v>Pedido 1535</v>
      </c>
      <c r="B1466" s="2" t="s">
        <v>18909</v>
      </c>
      <c r="C1466" s="2" t="str">
        <f>Follow[[#This Row],[CODRASTREIO]]&amp;" B"</f>
        <v>CódRastreio1467 B</v>
      </c>
      <c r="D1466" s="52" t="str">
        <f>_xlfn.XLOOKUP(Follow[[#This Row],[Id Pedido]],Controle_Pedidos[Número Pedido Cliente],Controle_Pedidos[Loja])</f>
        <v>GO</v>
      </c>
      <c r="E1466" s="9">
        <f>_xlfn.XLOOKUP(Follow[[#This Row],[Id Pedido]],Controle_Pedidos[Número Pedido Cliente],Controle_Pedidos[Prazo Entrega])</f>
        <v>45785</v>
      </c>
      <c r="F1466" s="9" t="s">
        <v>19433</v>
      </c>
      <c r="G1466" s="9" t="s">
        <v>593</v>
      </c>
      <c r="H1466" s="9" t="s">
        <v>179</v>
      </c>
      <c r="I1466" s="9" t="s">
        <v>178</v>
      </c>
      <c r="J1466" s="9">
        <v>45777</v>
      </c>
      <c r="K1466" s="8" t="s">
        <v>198</v>
      </c>
      <c r="L1466" s="8" t="s">
        <v>124</v>
      </c>
      <c r="M1466" s="8" t="s">
        <v>37</v>
      </c>
      <c r="N1466" s="52" t="str">
        <f>IF(Follow[[#This Row],[DATAATUALIZAÇÃO]]&lt;=Follow[[#This Row],[Prev Entrega]],"Dentro do Prazo","Fora do Prazo")</f>
        <v>Dentro do Prazo</v>
      </c>
      <c r="O146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30/04/2025, referente ao pedido Nº Pedido 1535 Rastreio NM794420431BR, agradecemos a preferência e adoraríamos receber sua avaliação, tendo qualquer dúvida estamos à disposição.
Att
Sec Variedades</v>
      </c>
    </row>
    <row r="1467" spans="1:15">
      <c r="A1467" s="52" t="str">
        <f>_xlfn.XLOOKUP(Follow[[#This Row],[CODRASTREIO]],Controle_Pedidos[Cód Rastreamento],Controle_Pedidos[Número Pedido Cliente])</f>
        <v>Pedido 1536</v>
      </c>
      <c r="B1467" s="2" t="s">
        <v>18910</v>
      </c>
      <c r="C1467" s="2" t="str">
        <f>Follow[[#This Row],[CODRASTREIO]]&amp;" B"</f>
        <v>CódRastreio1468 B</v>
      </c>
      <c r="D1467" s="52" t="str">
        <f>_xlfn.XLOOKUP(Follow[[#This Row],[Id Pedido]],Controle_Pedidos[Número Pedido Cliente],Controle_Pedidos[Loja])</f>
        <v>MEI</v>
      </c>
      <c r="E1467" s="9">
        <f>_xlfn.XLOOKUP(Follow[[#This Row],[Id Pedido]],Controle_Pedidos[Número Pedido Cliente],Controle_Pedidos[Prazo Entrega])</f>
        <v>45786</v>
      </c>
      <c r="F1467" s="9" t="s">
        <v>19433</v>
      </c>
      <c r="G1467" s="9" t="s">
        <v>37</v>
      </c>
      <c r="H1467" s="9" t="s">
        <v>178</v>
      </c>
      <c r="I1467" s="52" t="s">
        <v>178</v>
      </c>
      <c r="J1467" s="140">
        <v>45772</v>
      </c>
      <c r="K1467" s="124" t="s">
        <v>198</v>
      </c>
      <c r="L1467" s="8" t="s">
        <v>124</v>
      </c>
      <c r="M1467" s="8" t="s">
        <v>37</v>
      </c>
      <c r="N1467" s="52" t="str">
        <f>IF(Follow[[#This Row],[DATAATUALIZAÇÃO]]&lt;=Follow[[#This Row],[Prev Entrega]],"Dentro do Prazo","Fora do Prazo")</f>
        <v>Dentro do Prazo</v>
      </c>
      <c r="O146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25/04/2025, referente ao pedido Nº Pedido 1536 Rastreio Pedido 1536, agradecemos a preferência e adoraríamos receber sua avaliação, tendo qualquer dúvida estamos à disposição.
Att
NTA Variedades</v>
      </c>
    </row>
    <row r="1468" spans="1:15">
      <c r="A1468" s="52" t="str">
        <f>_xlfn.XLOOKUP(Follow[[#This Row],[CODRASTREIO]],Controle_Pedidos[Cód Rastreamento],Controle_Pedidos[Número Pedido Cliente])</f>
        <v>Pedido 1537</v>
      </c>
      <c r="B1468" s="2" t="s">
        <v>18911</v>
      </c>
      <c r="C1468" s="2" t="str">
        <f>Follow[[#This Row],[CODRASTREIO]]&amp;" B"</f>
        <v>CódRastreio1469 B</v>
      </c>
      <c r="D1468" s="52" t="str">
        <f>_xlfn.XLOOKUP(Follow[[#This Row],[Id Pedido]],Controle_Pedidos[Número Pedido Cliente],Controle_Pedidos[Loja])</f>
        <v>MEI</v>
      </c>
      <c r="E1468" s="9">
        <f>_xlfn.XLOOKUP(Follow[[#This Row],[Id Pedido]],Controle_Pedidos[Número Pedido Cliente],Controle_Pedidos[Prazo Entrega])</f>
        <v>45792</v>
      </c>
      <c r="F1468" s="9" t="s">
        <v>19433</v>
      </c>
      <c r="G1468" s="9" t="s">
        <v>594</v>
      </c>
      <c r="H1468" s="9" t="s">
        <v>179</v>
      </c>
      <c r="I1468" s="9" t="s">
        <v>178</v>
      </c>
      <c r="J1468" s="9">
        <v>45791</v>
      </c>
      <c r="K1468" s="8" t="s">
        <v>198</v>
      </c>
      <c r="L1468" s="8" t="s">
        <v>124</v>
      </c>
      <c r="M1468" s="8" t="s">
        <v>37</v>
      </c>
      <c r="N1468" s="52" t="str">
        <f>IF(Follow[[#This Row],[DATAATUALIZAÇÃO]]&lt;=Follow[[#This Row],[Prev Entrega]],"Dentro do Prazo","Fora do Prazo")</f>
        <v>Dentro do Prazo</v>
      </c>
      <c r="O146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14/05/2025, referente ao pedido Nº Pedido 1537 Rastreio NM794471402BR, agradecemos a preferência e adoraríamos receber sua avaliação, tendo qualquer dúvida estamos à disposição.
Att
NTA Variedades</v>
      </c>
    </row>
    <row r="1469" spans="1:15">
      <c r="A1469" s="52" t="str">
        <f>_xlfn.XLOOKUP(Follow[[#This Row],[CODRASTREIO]],Controle_Pedidos[Cód Rastreamento],Controle_Pedidos[Número Pedido Cliente])</f>
        <v>Pedido 1499</v>
      </c>
      <c r="B1469" s="2" t="s">
        <v>18875</v>
      </c>
      <c r="C1469" s="2" t="str">
        <f>Follow[[#This Row],[CODRASTREIO]]&amp;" B"</f>
        <v>CódRastreio1433 B</v>
      </c>
      <c r="D1469" s="52" t="str">
        <f>_xlfn.XLOOKUP(Follow[[#This Row],[Id Pedido]],Controle_Pedidos[Número Pedido Cliente],Controle_Pedidos[Loja])</f>
        <v>MEI</v>
      </c>
      <c r="E1469" s="9">
        <f>_xlfn.XLOOKUP(Follow[[#This Row],[Id Pedido]],Controle_Pedidos[Número Pedido Cliente],Controle_Pedidos[Prazo Entrega])</f>
        <v>45787</v>
      </c>
      <c r="F1469" s="9" t="s">
        <v>19433</v>
      </c>
      <c r="G1469" s="9" t="s">
        <v>595</v>
      </c>
      <c r="H1469" s="9" t="s">
        <v>179</v>
      </c>
      <c r="I1469" s="9" t="s">
        <v>178</v>
      </c>
      <c r="J1469" s="9">
        <v>45779</v>
      </c>
      <c r="K1469" s="8" t="s">
        <v>198</v>
      </c>
      <c r="L1469" s="8" t="s">
        <v>124</v>
      </c>
      <c r="M1469" s="8" t="s">
        <v>208</v>
      </c>
      <c r="N1469" s="52" t="str">
        <f>IF(Follow[[#This Row],[DATAATUALIZAÇÃO]]&lt;=Follow[[#This Row],[Prev Entrega]],"Dentro do Prazo","Fora do Prazo")</f>
        <v>Dentro do Prazo</v>
      </c>
      <c r="O146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02/05/2025, referente ao pedido Nº Pedido 1499 Rastreio NM795427334BR, agradecemos a preferência e adoraríamos receber sua avaliação, tendo qualquer dúvida estamos à disposição.
Att
NTA Variedades</v>
      </c>
    </row>
    <row r="1470" spans="1:15">
      <c r="A1470" s="52" t="str">
        <f>_xlfn.XLOOKUP(Follow[[#This Row],[CODRASTREIO]],Controle_Pedidos[Cód Rastreamento],Controle_Pedidos[Número Pedido Cliente])</f>
        <v>Pedido 1500</v>
      </c>
      <c r="B1470" s="2" t="s">
        <v>18876</v>
      </c>
      <c r="C1470" s="2" t="str">
        <f>Follow[[#This Row],[CODRASTREIO]]&amp;" B"</f>
        <v>CódRastreio1434 B</v>
      </c>
      <c r="D1470" s="52" t="str">
        <f>_xlfn.XLOOKUP(Follow[[#This Row],[Id Pedido]],Controle_Pedidos[Número Pedido Cliente],Controle_Pedidos[Loja])</f>
        <v>MEI</v>
      </c>
      <c r="E1470" s="9">
        <f>_xlfn.XLOOKUP(Follow[[#This Row],[Id Pedido]],Controle_Pedidos[Número Pedido Cliente],Controle_Pedidos[Prazo Entrega])</f>
        <v>45790</v>
      </c>
      <c r="F1470" s="9" t="s">
        <v>19433</v>
      </c>
      <c r="G1470" s="9" t="s">
        <v>596</v>
      </c>
      <c r="H1470" s="9" t="s">
        <v>179</v>
      </c>
      <c r="I1470" s="9" t="s">
        <v>178</v>
      </c>
      <c r="J1470" s="9">
        <v>45807</v>
      </c>
      <c r="K1470" s="8" t="s">
        <v>198</v>
      </c>
      <c r="L1470" s="8" t="s">
        <v>124</v>
      </c>
      <c r="M1470" s="8" t="s">
        <v>37</v>
      </c>
      <c r="N1470" s="52" t="str">
        <f>IF(Follow[[#This Row],[DATAATUALIZAÇÃO]]&lt;=Follow[[#This Row],[Prev Entrega]],"Dentro do Prazo","Fora do Prazo")</f>
        <v>Fora do Prazo</v>
      </c>
      <c r="O147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30/05/2025, referente ao pedido Nº Pedido 1500 Rastreio NM795366290BR, agradecemos a preferência e adoraríamos receber sua avaliação, tendo qualquer dúvida estamos à disposição.
Att
NTA Variedades</v>
      </c>
    </row>
    <row r="1471" spans="1:15">
      <c r="A1471" s="52" t="str">
        <f>_xlfn.XLOOKUP(Follow[[#This Row],[CODRASTREIO]],Controle_Pedidos[Cód Rastreamento],Controle_Pedidos[Número Pedido Cliente])</f>
        <v>Pedido 1501</v>
      </c>
      <c r="B1471" s="2" t="s">
        <v>18877</v>
      </c>
      <c r="C1471" s="2" t="str">
        <f>Follow[[#This Row],[CODRASTREIO]]&amp;" B"</f>
        <v>CódRastreio1435 B</v>
      </c>
      <c r="D1471" s="52" t="str">
        <f>_xlfn.XLOOKUP(Follow[[#This Row],[Id Pedido]],Controle_Pedidos[Número Pedido Cliente],Controle_Pedidos[Loja])</f>
        <v>MEI</v>
      </c>
      <c r="E1471" s="9">
        <f>_xlfn.XLOOKUP(Follow[[#This Row],[Id Pedido]],Controle_Pedidos[Número Pedido Cliente],Controle_Pedidos[Prazo Entrega])</f>
        <v>45790</v>
      </c>
      <c r="F1471" s="9" t="s">
        <v>19433</v>
      </c>
      <c r="G1471" s="9" t="s">
        <v>597</v>
      </c>
      <c r="H1471" s="9" t="s">
        <v>179</v>
      </c>
      <c r="I1471" s="9" t="s">
        <v>178</v>
      </c>
      <c r="J1471" s="9">
        <v>45783</v>
      </c>
      <c r="K1471" s="8" t="s">
        <v>198</v>
      </c>
      <c r="L1471" s="8" t="s">
        <v>124</v>
      </c>
      <c r="M1471" s="8" t="s">
        <v>37</v>
      </c>
      <c r="N1471" s="52" t="str">
        <f>IF(Follow[[#This Row],[DATAATUALIZAÇÃO]]&lt;=Follow[[#This Row],[Prev Entrega]],"Dentro do Prazo","Fora do Prazo")</f>
        <v>Dentro do Prazo</v>
      </c>
      <c r="O147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06/05/2025, referente ao pedido Nº Pedido 1501 Rastreio NM795250005BR, agradecemos a preferência e adoraríamos receber sua avaliação, tendo qualquer dúvida estamos à disposição.
Att
NTA Variedades</v>
      </c>
    </row>
    <row r="1472" spans="1:15">
      <c r="A1472" s="52" t="str">
        <f>_xlfn.XLOOKUP(Follow[[#This Row],[CODRASTREIO]],Controle_Pedidos[Cód Rastreamento],Controle_Pedidos[Número Pedido Cliente])</f>
        <v>Pedido 1502</v>
      </c>
      <c r="B1472" s="2" t="s">
        <v>18878</v>
      </c>
      <c r="C1472" s="2" t="str">
        <f>Follow[[#This Row],[CODRASTREIO]]&amp;" B"</f>
        <v>CódRastreio1436 B</v>
      </c>
      <c r="D1472" s="52" t="str">
        <f>_xlfn.XLOOKUP(Follow[[#This Row],[Id Pedido]],Controle_Pedidos[Número Pedido Cliente],Controle_Pedidos[Loja])</f>
        <v>MEI</v>
      </c>
      <c r="E1472" s="9">
        <f>_xlfn.XLOOKUP(Follow[[#This Row],[Id Pedido]],Controle_Pedidos[Número Pedido Cliente],Controle_Pedidos[Prazo Entrega])</f>
        <v>45784</v>
      </c>
      <c r="F1472" s="9" t="s">
        <v>19433</v>
      </c>
      <c r="G1472" s="9" t="s">
        <v>37</v>
      </c>
      <c r="H1472" s="9" t="s">
        <v>178</v>
      </c>
      <c r="I1472" s="52" t="s">
        <v>178</v>
      </c>
      <c r="J1472" s="140">
        <v>45775</v>
      </c>
      <c r="K1472" s="124" t="s">
        <v>198</v>
      </c>
      <c r="L1472" s="8" t="s">
        <v>124</v>
      </c>
      <c r="M1472" s="8" t="s">
        <v>37</v>
      </c>
      <c r="N1472" s="52" t="str">
        <f>IF(Follow[[#This Row],[DATAATUALIZAÇÃO]]&lt;=Follow[[#This Row],[Prev Entrega]],"Dentro do Prazo","Fora do Prazo")</f>
        <v>Dentro do Prazo</v>
      </c>
      <c r="O147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Caixinha de som Preta foi entregue no dia 28/04/2025, referente ao pedido Nº Pedido 1502 Rastreio Pedido 1502, agradecemos a preferência e adoraríamos receber sua avaliação, tendo qualquer dúvida estamos à disposição.
Att
NTA Variedades</v>
      </c>
    </row>
    <row r="1473" spans="1:15">
      <c r="A1473" s="52" t="str">
        <f>_xlfn.XLOOKUP(Follow[[#This Row],[CODRASTREIO]],Controle_Pedidos[Cód Rastreamento],Controle_Pedidos[Número Pedido Cliente])</f>
        <v>Pedido 1503</v>
      </c>
      <c r="B1473" s="2" t="s">
        <v>18879</v>
      </c>
      <c r="C1473" s="2" t="str">
        <f>Follow[[#This Row],[CODRASTREIO]]&amp;" B"</f>
        <v>CódRastreio1437 B</v>
      </c>
      <c r="D1473" s="52" t="str">
        <f>_xlfn.XLOOKUP(Follow[[#This Row],[Id Pedido]],Controle_Pedidos[Número Pedido Cliente],Controle_Pedidos[Loja])</f>
        <v>MEI</v>
      </c>
      <c r="E1473" s="9">
        <f>_xlfn.XLOOKUP(Follow[[#This Row],[Id Pedido]],Controle_Pedidos[Número Pedido Cliente],Controle_Pedidos[Prazo Entrega])</f>
        <v>45790</v>
      </c>
      <c r="F1473" s="9" t="s">
        <v>19433</v>
      </c>
      <c r="G1473" s="9" t="s">
        <v>598</v>
      </c>
      <c r="H1473" s="9" t="s">
        <v>179</v>
      </c>
      <c r="I1473" s="9" t="s">
        <v>178</v>
      </c>
      <c r="J1473" s="9">
        <v>45811</v>
      </c>
      <c r="K1473" s="8" t="s">
        <v>198</v>
      </c>
      <c r="L1473" s="8" t="s">
        <v>124</v>
      </c>
      <c r="M1473" s="8" t="s">
        <v>37</v>
      </c>
      <c r="N1473" s="52" t="str">
        <f>IF(Follow[[#This Row],[DATAATUALIZAÇÃO]]&lt;=Follow[[#This Row],[Prev Entrega]],"Dentro do Prazo","Fora do Prazo")</f>
        <v>Fora do Prazo</v>
      </c>
      <c r="O147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03/06/2025, referente ao pedido Nº Pedido 1503 Rastreio NM795449913BR, agradecemos a preferência e adoraríamos receber sua avaliação, tendo qualquer dúvida estamos à disposição.
Att
NTA Variedades</v>
      </c>
    </row>
    <row r="1474" spans="1:15">
      <c r="A1474" s="52" t="str">
        <f>_xlfn.XLOOKUP(Follow[[#This Row],[CODRASTREIO]],Controle_Pedidos[Cód Rastreamento],Controle_Pedidos[Número Pedido Cliente])</f>
        <v>Pedido 1504</v>
      </c>
      <c r="B1474" s="2" t="s">
        <v>18880</v>
      </c>
      <c r="C1474" s="2" t="str">
        <f>Follow[[#This Row],[CODRASTREIO]]&amp;" B"</f>
        <v>CódRastreio1438 B</v>
      </c>
      <c r="D1474" s="52" t="str">
        <f>_xlfn.XLOOKUP(Follow[[#This Row],[Id Pedido]],Controle_Pedidos[Número Pedido Cliente],Controle_Pedidos[Loja])</f>
        <v>MEI</v>
      </c>
      <c r="E1474" s="9">
        <f>_xlfn.XLOOKUP(Follow[[#This Row],[Id Pedido]],Controle_Pedidos[Número Pedido Cliente],Controle_Pedidos[Prazo Entrega])</f>
        <v>45790</v>
      </c>
      <c r="F1474" s="9" t="s">
        <v>19433</v>
      </c>
      <c r="G1474" s="9" t="s">
        <v>599</v>
      </c>
      <c r="H1474" s="9" t="s">
        <v>179</v>
      </c>
      <c r="I1474" s="9" t="s">
        <v>178</v>
      </c>
      <c r="J1474" s="9">
        <v>45800</v>
      </c>
      <c r="K1474" s="8" t="s">
        <v>198</v>
      </c>
      <c r="L1474" s="8" t="s">
        <v>124</v>
      </c>
      <c r="M1474" s="8" t="s">
        <v>37</v>
      </c>
      <c r="N1474" s="52" t="str">
        <f>IF(Follow[[#This Row],[DATAATUALIZAÇÃO]]&lt;=Follow[[#This Row],[Prev Entrega]],"Dentro do Prazo","Fora do Prazo")</f>
        <v>Fora do Prazo</v>
      </c>
      <c r="O147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23/05/2025, referente ao pedido Nº Pedido 1504 Rastreio NM795452489BR, agradecemos a preferência e adoraríamos receber sua avaliação, tendo qualquer dúvida estamos à disposição.
Att
NTA Variedades</v>
      </c>
    </row>
    <row r="1475" spans="1:15">
      <c r="A1475" s="52" t="str">
        <f>_xlfn.XLOOKUP(Follow[[#This Row],[CODRASTREIO]],Controle_Pedidos[Cód Rastreamento],Controle_Pedidos[Número Pedido Cliente])</f>
        <v>Pedido 1506</v>
      </c>
      <c r="B1475" s="2" t="s">
        <v>18882</v>
      </c>
      <c r="C1475" s="2" t="str">
        <f>Follow[[#This Row],[CODRASTREIO]]&amp;" B"</f>
        <v>CódRastreio1440 B</v>
      </c>
      <c r="D1475" s="52" t="str">
        <f>_xlfn.XLOOKUP(Follow[[#This Row],[Id Pedido]],Controle_Pedidos[Número Pedido Cliente],Controle_Pedidos[Loja])</f>
        <v>MEI</v>
      </c>
      <c r="E1475" s="9">
        <f>_xlfn.XLOOKUP(Follow[[#This Row],[Id Pedido]],Controle_Pedidos[Número Pedido Cliente],Controle_Pedidos[Prazo Entrega])</f>
        <v>45784</v>
      </c>
      <c r="F1475" s="9" t="s">
        <v>19433</v>
      </c>
      <c r="G1475" s="9" t="s">
        <v>600</v>
      </c>
      <c r="H1475" s="9" t="s">
        <v>179</v>
      </c>
      <c r="I1475" s="52" t="s">
        <v>178</v>
      </c>
      <c r="J1475" s="140">
        <v>45776</v>
      </c>
      <c r="K1475" s="124" t="s">
        <v>198</v>
      </c>
      <c r="L1475" s="8" t="s">
        <v>124</v>
      </c>
      <c r="M1475" s="8" t="s">
        <v>37</v>
      </c>
      <c r="N1475" s="52" t="str">
        <f>IF(Follow[[#This Row],[DATAATUALIZAÇÃO]]&lt;=Follow[[#This Row],[Prev Entrega]],"Dentro do Prazo","Fora do Prazo")</f>
        <v>Dentro do Prazo</v>
      </c>
      <c r="O147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29/04/2025, referente ao pedido Nº Pedido 1506 Rastreio NM795459133BR, agradecemos a preferência e adoraríamos receber sua avaliação, tendo qualquer dúvida estamos à disposição.
Att
NTA Variedades</v>
      </c>
    </row>
    <row r="1476" spans="1:15">
      <c r="A1476" s="52" t="str">
        <f>_xlfn.XLOOKUP(Follow[[#This Row],[CODRASTREIO]],Controle_Pedidos[Cód Rastreamento],Controle_Pedidos[Número Pedido Cliente])</f>
        <v>Pedido 1508</v>
      </c>
      <c r="B1476" s="2" t="s">
        <v>18884</v>
      </c>
      <c r="C1476" s="2" t="str">
        <f>Follow[[#This Row],[CODRASTREIO]]&amp;" B"</f>
        <v>CódRastreio1442 B</v>
      </c>
      <c r="D1476" s="52" t="str">
        <f>_xlfn.XLOOKUP(Follow[[#This Row],[Id Pedido]],Controle_Pedidos[Número Pedido Cliente],Controle_Pedidos[Loja])</f>
        <v>MEI</v>
      </c>
      <c r="E1476" s="9">
        <f>_xlfn.XLOOKUP(Follow[[#This Row],[Id Pedido]],Controle_Pedidos[Número Pedido Cliente],Controle_Pedidos[Prazo Entrega])</f>
        <v>45790</v>
      </c>
      <c r="F1476" s="9" t="s">
        <v>19433</v>
      </c>
      <c r="G1476" s="9" t="s">
        <v>601</v>
      </c>
      <c r="H1476" s="9" t="s">
        <v>179</v>
      </c>
      <c r="I1476" s="9" t="s">
        <v>178</v>
      </c>
      <c r="J1476" s="9">
        <v>45799</v>
      </c>
      <c r="K1476" s="8" t="s">
        <v>198</v>
      </c>
      <c r="L1476" s="8" t="s">
        <v>124</v>
      </c>
      <c r="M1476" s="8" t="s">
        <v>37</v>
      </c>
      <c r="N1476" s="52" t="str">
        <f>IF(Follow[[#This Row],[DATAATUALIZAÇÃO]]&lt;=Follow[[#This Row],[Prev Entrega]],"Dentro do Prazo","Fora do Prazo")</f>
        <v>Fora do Prazo</v>
      </c>
      <c r="O14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22/05/2025, referente ao pedido Nº Pedido 1508 Rastreio NM795472982BR, agradecemos a preferência e adoraríamos receber sua avaliação, tendo qualquer dúvida estamos à disposição.
Att
NTA Variedades</v>
      </c>
    </row>
    <row r="1477" spans="1:15">
      <c r="A1477" s="52" t="str">
        <f>_xlfn.XLOOKUP(Follow[[#This Row],[CODRASTREIO]],Controle_Pedidos[Cód Rastreamento],Controle_Pedidos[Número Pedido Cliente])</f>
        <v>Pedido 1509</v>
      </c>
      <c r="B1477" s="2" t="s">
        <v>18885</v>
      </c>
      <c r="C1477" s="2" t="str">
        <f>Follow[[#This Row],[CODRASTREIO]]&amp;" B"</f>
        <v>CódRastreio1443 B</v>
      </c>
      <c r="D1477" s="52" t="str">
        <f>_xlfn.XLOOKUP(Follow[[#This Row],[Id Pedido]],Controle_Pedidos[Número Pedido Cliente],Controle_Pedidos[Loja])</f>
        <v>MEI</v>
      </c>
      <c r="E1477" s="9">
        <f>_xlfn.XLOOKUP(Follow[[#This Row],[Id Pedido]],Controle_Pedidos[Número Pedido Cliente],Controle_Pedidos[Prazo Entrega])</f>
        <v>45790</v>
      </c>
      <c r="F1477" s="9" t="s">
        <v>19433</v>
      </c>
      <c r="G1477" s="9" t="s">
        <v>602</v>
      </c>
      <c r="H1477" s="9" t="s">
        <v>179</v>
      </c>
      <c r="I1477" s="9" t="s">
        <v>178</v>
      </c>
      <c r="J1477" s="9">
        <v>45777</v>
      </c>
      <c r="K1477" s="8" t="s">
        <v>198</v>
      </c>
      <c r="L1477" s="8" t="s">
        <v>124</v>
      </c>
      <c r="M1477" s="8" t="s">
        <v>37</v>
      </c>
      <c r="N1477" s="52" t="str">
        <f>IF(Follow[[#This Row],[DATAATUALIZAÇÃO]]&lt;=Follow[[#This Row],[Prev Entrega]],"Dentro do Prazo","Fora do Prazo")</f>
        <v>Dentro do Prazo</v>
      </c>
      <c r="O14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30/04/2025, referente ao pedido Nº Pedido 1509 Rastreio NM795381310BR, agradecemos a preferência e adoraríamos receber sua avaliação, tendo qualquer dúvida estamos à disposição.
Att
NTA Variedades</v>
      </c>
    </row>
    <row r="1478" spans="1:15">
      <c r="A1478" s="52" t="str">
        <f>_xlfn.XLOOKUP(Follow[[#This Row],[CODRASTREIO]],Controle_Pedidos[Cód Rastreamento],Controle_Pedidos[Número Pedido Cliente])</f>
        <v>Pedido 1510</v>
      </c>
      <c r="B1478" s="2" t="s">
        <v>18886</v>
      </c>
      <c r="C1478" s="2" t="str">
        <f>Follow[[#This Row],[CODRASTREIO]]&amp;" B"</f>
        <v>CódRastreio1444 B</v>
      </c>
      <c r="D1478" s="52" t="str">
        <f>_xlfn.XLOOKUP(Follow[[#This Row],[Id Pedido]],Controle_Pedidos[Número Pedido Cliente],Controle_Pedidos[Loja])</f>
        <v>MEI</v>
      </c>
      <c r="E1478" s="9">
        <f>_xlfn.XLOOKUP(Follow[[#This Row],[Id Pedido]],Controle_Pedidos[Número Pedido Cliente],Controle_Pedidos[Prazo Entrega])</f>
        <v>45790</v>
      </c>
      <c r="F1478" s="9" t="s">
        <v>19433</v>
      </c>
      <c r="G1478" s="9" t="s">
        <v>603</v>
      </c>
      <c r="H1478" s="9" t="s">
        <v>179</v>
      </c>
      <c r="I1478" s="9" t="s">
        <v>178</v>
      </c>
      <c r="J1478" s="9">
        <v>45799</v>
      </c>
      <c r="K1478" s="8" t="s">
        <v>578</v>
      </c>
      <c r="L1478" s="8" t="s">
        <v>124</v>
      </c>
      <c r="M1478" s="8" t="s">
        <v>208</v>
      </c>
      <c r="N1478" s="52" t="str">
        <f>IF(Follow[[#This Row],[DATAATUALIZAÇÃO]]&lt;=Follow[[#This Row],[Prev Entrega]],"Dentro do Prazo","Fora do Prazo")</f>
        <v>Fora do Prazo</v>
      </c>
      <c r="O147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22/05/2025, referente ao pedido Nº Pedido 1510 Rastreio NM795380566BR, agradecemos a preferência e adoraríamos receber sua avaliação, tendo qualquer dúvida estamos à disposição.
Att
NTA Variedades</v>
      </c>
    </row>
    <row r="1479" spans="1:15">
      <c r="A1479" s="52" t="str">
        <f>_xlfn.XLOOKUP(Follow[[#This Row],[CODRASTREIO]],Controle_Pedidos[Cód Rastreamento],Controle_Pedidos[Número Pedido Cliente])</f>
        <v>Pedido 1505</v>
      </c>
      <c r="B1479" s="2" t="s">
        <v>18881</v>
      </c>
      <c r="C1479" s="2" t="str">
        <f>Follow[[#This Row],[CODRASTREIO]]&amp;" B"</f>
        <v>CódRastreio1439 B</v>
      </c>
      <c r="D1479" s="52" t="str">
        <f>_xlfn.XLOOKUP(Follow[[#This Row],[Id Pedido]],Controle_Pedidos[Número Pedido Cliente],Controle_Pedidos[Loja])</f>
        <v>MEI</v>
      </c>
      <c r="E1479" s="9">
        <f>_xlfn.XLOOKUP(Follow[[#This Row],[Id Pedido]],Controle_Pedidos[Número Pedido Cliente],Controle_Pedidos[Prazo Entrega])</f>
        <v>45790</v>
      </c>
      <c r="F1479" s="9" t="s">
        <v>19433</v>
      </c>
      <c r="G1479" s="9" t="s">
        <v>37</v>
      </c>
      <c r="H1479" s="9" t="s">
        <v>178</v>
      </c>
      <c r="I1479" s="9" t="s">
        <v>178</v>
      </c>
      <c r="J1479" s="9">
        <v>45777</v>
      </c>
      <c r="K1479" s="8" t="s">
        <v>198</v>
      </c>
      <c r="L1479" s="8" t="s">
        <v>124</v>
      </c>
      <c r="M1479" s="8" t="s">
        <v>208</v>
      </c>
      <c r="N1479" s="52" t="str">
        <f>IF(Follow[[#This Row],[DATAATUALIZAÇÃO]]&lt;=Follow[[#This Row],[Prev Entrega]],"Dentro do Prazo","Fora do Prazo")</f>
        <v>Dentro do Prazo</v>
      </c>
      <c r="O14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30/04/2025, referente ao pedido Nº Pedido 1505 Rastreio Pedido 1505, agradecemos a preferência e adoraríamos receber sua avaliação, tendo qualquer dúvida estamos à disposição.
Att
NTA Variedades</v>
      </c>
    </row>
    <row r="1480" spans="1:15">
      <c r="A1480" s="52" t="str">
        <f>_xlfn.XLOOKUP(Follow[[#This Row],[CODRASTREIO]],Controle_Pedidos[Cód Rastreamento],Controle_Pedidos[Número Pedido Cliente])</f>
        <v>Pedido 1540</v>
      </c>
      <c r="B1480" s="2" t="s">
        <v>18912</v>
      </c>
      <c r="C1480" s="2" t="str">
        <f>Follow[[#This Row],[CODRASTREIO]]&amp;" B"</f>
        <v>CódRastreio1470 B</v>
      </c>
      <c r="D1480" s="52" t="str">
        <f>_xlfn.XLOOKUP(Follow[[#This Row],[Id Pedido]],Controle_Pedidos[Número Pedido Cliente],Controle_Pedidos[Loja])</f>
        <v>MEI</v>
      </c>
      <c r="E1480" s="9">
        <f>_xlfn.XLOOKUP(Follow[[#This Row],[Id Pedido]],Controle_Pedidos[Número Pedido Cliente],Controle_Pedidos[Prazo Entrega])</f>
        <v>45786</v>
      </c>
      <c r="F1480" s="9" t="s">
        <v>19433</v>
      </c>
      <c r="G1480" s="9" t="s">
        <v>37</v>
      </c>
      <c r="H1480" s="9" t="s">
        <v>178</v>
      </c>
      <c r="I1480" s="52" t="s">
        <v>178</v>
      </c>
      <c r="J1480" s="140">
        <v>45776</v>
      </c>
      <c r="K1480" s="124" t="s">
        <v>198</v>
      </c>
      <c r="L1480" s="8" t="s">
        <v>124</v>
      </c>
      <c r="M1480" s="8" t="s">
        <v>208</v>
      </c>
      <c r="N1480" s="52" t="str">
        <f>IF(Follow[[#This Row],[DATAATUALIZAÇÃO]]&lt;=Follow[[#This Row],[Prev Entrega]],"Dentro do Prazo","Fora do Prazo")</f>
        <v>Dentro do Prazo</v>
      </c>
      <c r="O14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29/04/2025, referente ao pedido Nº Pedido 1540 Rastreio Pedido 1540, agradecemos a preferência e adoraríamos receber sua avaliação, tendo qualquer dúvida estamos à disposição.
Att
NTA Variedades</v>
      </c>
    </row>
    <row r="1481" spans="1:15">
      <c r="A1481" s="52" t="str">
        <f>_xlfn.XLOOKUP(Follow[[#This Row],[CODRASTREIO]],Controle_Pedidos[Cód Rastreamento],Controle_Pedidos[Número Pedido Cliente])</f>
        <v>Pedido 1549</v>
      </c>
      <c r="B1481" s="2" t="s">
        <v>18920</v>
      </c>
      <c r="C1481" s="2" t="str">
        <f>Follow[[#This Row],[CODRASTREIO]]&amp;" B"</f>
        <v>CódRastreio1478 B</v>
      </c>
      <c r="D1481" s="52" t="str">
        <f>_xlfn.XLOOKUP(Follow[[#This Row],[Id Pedido]],Controle_Pedidos[Número Pedido Cliente],Controle_Pedidos[Loja])</f>
        <v>GO</v>
      </c>
      <c r="E1481" s="9">
        <f>_xlfn.XLOOKUP(Follow[[#This Row],[Id Pedido]],Controle_Pedidos[Número Pedido Cliente],Controle_Pedidos[Prazo Entrega])</f>
        <v>45790</v>
      </c>
      <c r="F1481" s="9" t="s">
        <v>19433</v>
      </c>
      <c r="G1481" s="9" t="s">
        <v>604</v>
      </c>
      <c r="H1481" s="9" t="s">
        <v>179</v>
      </c>
      <c r="I1481" s="52" t="s">
        <v>178</v>
      </c>
      <c r="J1481" s="140">
        <v>45776</v>
      </c>
      <c r="K1481" s="124" t="s">
        <v>198</v>
      </c>
      <c r="L1481" s="8" t="s">
        <v>124</v>
      </c>
      <c r="M1481" s="8" t="s">
        <v>37</v>
      </c>
      <c r="N1481" s="52" t="str">
        <f>IF(Follow[[#This Row],[DATAATUALIZAÇÃO]]&lt;=Follow[[#This Row],[Prev Entrega]],"Dentro do Prazo","Fora do Prazo")</f>
        <v>Dentro do Prazo</v>
      </c>
      <c r="O148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29/04/2025, referente ao pedido Nº Pedido 1549 Rastreio NM798596898BR, agradecemos a preferência e adoraríamos receber sua avaliação, tendo qualquer dúvida estamos à disposição.
Att
Sec Variedades</v>
      </c>
    </row>
    <row r="1482" spans="1:15">
      <c r="A1482" s="52" t="str">
        <f>_xlfn.XLOOKUP(Follow[[#This Row],[CODRASTREIO]],Controle_Pedidos[Cód Rastreamento],Controle_Pedidos[Número Pedido Cliente])</f>
        <v>Pedido 1553</v>
      </c>
      <c r="B1482" s="2" t="s">
        <v>18924</v>
      </c>
      <c r="C1482" s="2" t="str">
        <f>Follow[[#This Row],[CODRASTREIO]]&amp;" B"</f>
        <v>CódRastreio1482 B</v>
      </c>
      <c r="D1482" s="52" t="str">
        <f>_xlfn.XLOOKUP(Follow[[#This Row],[Id Pedido]],Controle_Pedidos[Número Pedido Cliente],Controle_Pedidos[Loja])</f>
        <v>BV</v>
      </c>
      <c r="E1482" s="9">
        <f>_xlfn.XLOOKUP(Follow[[#This Row],[Id Pedido]],Controle_Pedidos[Número Pedido Cliente],Controle_Pedidos[Prazo Entrega])</f>
        <v>45790</v>
      </c>
      <c r="F1482" s="9" t="s">
        <v>19433</v>
      </c>
      <c r="G1482" s="9" t="s">
        <v>37</v>
      </c>
      <c r="H1482" s="9" t="s">
        <v>178</v>
      </c>
      <c r="I1482" s="9" t="s">
        <v>178</v>
      </c>
      <c r="J1482" s="9">
        <v>45777</v>
      </c>
      <c r="K1482" s="8" t="s">
        <v>198</v>
      </c>
      <c r="L1482" s="8" t="s">
        <v>124</v>
      </c>
      <c r="M1482" s="8" t="s">
        <v>37</v>
      </c>
      <c r="N1482" s="52" t="str">
        <f>IF(Follow[[#This Row],[DATAATUALIZAÇÃO]]&lt;=Follow[[#This Row],[Prev Entrega]],"Dentro do Prazo","Fora do Prazo")</f>
        <v>Dentro do Prazo</v>
      </c>
      <c r="O148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30/04/2025, referente ao pedido Nº Pedido 1553 Rastreio Pedido 1553, agradecemos a preferência e adoraríamos receber sua avaliação, tendo qualquer dúvida estamos à disposição.
Att
Tem tudo Shop</v>
      </c>
    </row>
    <row r="1483" spans="1:15">
      <c r="A1483" s="52" t="str">
        <f>_xlfn.XLOOKUP(Follow[[#This Row],[CODRASTREIO]],Controle_Pedidos[Cód Rastreamento],Controle_Pedidos[Número Pedido Cliente])</f>
        <v>Pedido 1554</v>
      </c>
      <c r="B1483" s="2" t="s">
        <v>18925</v>
      </c>
      <c r="C1483" s="2" t="str">
        <f>Follow[[#This Row],[CODRASTREIO]]&amp;" B"</f>
        <v>CódRastreio1483 B</v>
      </c>
      <c r="D1483" s="52" t="str">
        <f>_xlfn.XLOOKUP(Follow[[#This Row],[Id Pedido]],Controle_Pedidos[Número Pedido Cliente],Controle_Pedidos[Loja])</f>
        <v>BV</v>
      </c>
      <c r="E1483" s="9">
        <f>_xlfn.XLOOKUP(Follow[[#This Row],[Id Pedido]],Controle_Pedidos[Número Pedido Cliente],Controle_Pedidos[Prazo Entrega])</f>
        <v>45794</v>
      </c>
      <c r="F1483" s="9" t="s">
        <v>19433</v>
      </c>
      <c r="G1483" s="9" t="s">
        <v>605</v>
      </c>
      <c r="H1483" s="9" t="s">
        <v>179</v>
      </c>
      <c r="I1483" s="9" t="s">
        <v>178</v>
      </c>
      <c r="J1483" s="9">
        <v>45826</v>
      </c>
      <c r="K1483" s="8" t="s">
        <v>585</v>
      </c>
      <c r="L1483" s="8" t="s">
        <v>124</v>
      </c>
      <c r="M1483" s="8" t="s">
        <v>37</v>
      </c>
      <c r="N1483" s="52" t="str">
        <f>IF(Follow[[#This Row],[DATAATUALIZAÇÃO]]&lt;=Follow[[#This Row],[Prev Entrega]],"Dentro do Prazo","Fora do Prazo")</f>
        <v>Fora do Prazo</v>
      </c>
      <c r="O148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18/06/2025, referente ao pedido Nº Pedido 1554 Rastreio NM798729081BR, agradecemos a preferência e adoraríamos receber sua avaliação, tendo qualquer dúvida estamos à disposição.
Att
Tem tudo Shop</v>
      </c>
    </row>
    <row r="1484" spans="1:15">
      <c r="A1484" s="52" t="str">
        <f>_xlfn.XLOOKUP(Follow[[#This Row],[CODRASTREIO]],Controle_Pedidos[Cód Rastreamento],Controle_Pedidos[Número Pedido Cliente])</f>
        <v>Pedido 1557</v>
      </c>
      <c r="B1484" s="2" t="s">
        <v>18928</v>
      </c>
      <c r="C1484" s="2" t="str">
        <f>Follow[[#This Row],[CODRASTREIO]]&amp;" B"</f>
        <v>CódRastreio1486 B</v>
      </c>
      <c r="D1484" s="52" t="str">
        <f>_xlfn.XLOOKUP(Follow[[#This Row],[Id Pedido]],Controle_Pedidos[Número Pedido Cliente],Controle_Pedidos[Loja])</f>
        <v>GO</v>
      </c>
      <c r="E1484" s="9">
        <f>_xlfn.XLOOKUP(Follow[[#This Row],[Id Pedido]],Controle_Pedidos[Número Pedido Cliente],Controle_Pedidos[Prazo Entrega])</f>
        <v>45801</v>
      </c>
      <c r="F1484" s="9" t="s">
        <v>19433</v>
      </c>
      <c r="G1484" s="9" t="s">
        <v>606</v>
      </c>
      <c r="H1484" s="9" t="s">
        <v>179</v>
      </c>
      <c r="I1484" s="9" t="s">
        <v>178</v>
      </c>
      <c r="J1484" s="9">
        <v>45811</v>
      </c>
      <c r="K1484" s="8" t="s">
        <v>198</v>
      </c>
      <c r="L1484" s="8" t="s">
        <v>124</v>
      </c>
      <c r="M1484" s="8" t="s">
        <v>37</v>
      </c>
      <c r="N1484" s="52" t="str">
        <f>IF(Follow[[#This Row],[DATAATUALIZAÇÃO]]&lt;=Follow[[#This Row],[Prev Entrega]],"Dentro do Prazo","Fora do Prazo")</f>
        <v>Fora do Prazo</v>
      </c>
      <c r="O14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03/06/2025, referente ao pedido Nº Pedido 1557 Rastreio NM798633437BR, agradecemos a preferência e adoraríamos receber sua avaliação, tendo qualquer dúvida estamos à disposição.
Att
Sec Variedades</v>
      </c>
    </row>
    <row r="1485" spans="1:15">
      <c r="A1485" s="52" t="str">
        <f>_xlfn.XLOOKUP(Follow[[#This Row],[CODRASTREIO]],Controle_Pedidos[Cód Rastreamento],Controle_Pedidos[Número Pedido Cliente])</f>
        <v>Pedido 1541</v>
      </c>
      <c r="B1485" s="2" t="s">
        <v>18913</v>
      </c>
      <c r="C1485" s="2" t="str">
        <f>Follow[[#This Row],[CODRASTREIO]]&amp;" B"</f>
        <v>CódRastreio1471 B</v>
      </c>
      <c r="D1485" s="52" t="str">
        <f>_xlfn.XLOOKUP(Follow[[#This Row],[Id Pedido]],Controle_Pedidos[Número Pedido Cliente],Controle_Pedidos[Loja])</f>
        <v>MEI</v>
      </c>
      <c r="E1485" s="9">
        <f>_xlfn.XLOOKUP(Follow[[#This Row],[Id Pedido]],Controle_Pedidos[Número Pedido Cliente],Controle_Pedidos[Prazo Entrega])</f>
        <v>45793</v>
      </c>
      <c r="F1485" s="9" t="s">
        <v>19433</v>
      </c>
      <c r="G1485" s="9" t="s">
        <v>607</v>
      </c>
      <c r="H1485" s="9" t="s">
        <v>179</v>
      </c>
      <c r="I1485" s="9" t="s">
        <v>178</v>
      </c>
      <c r="J1485" s="9">
        <v>45790</v>
      </c>
      <c r="K1485" s="8" t="s">
        <v>198</v>
      </c>
      <c r="L1485" s="8" t="s">
        <v>124</v>
      </c>
      <c r="M1485" s="8" t="s">
        <v>37</v>
      </c>
      <c r="N1485" s="52" t="str">
        <f>IF(Follow[[#This Row],[DATAATUALIZAÇÃO]]&lt;=Follow[[#This Row],[Prev Entrega]],"Dentro do Prazo","Fora do Prazo")</f>
        <v>Dentro do Prazo</v>
      </c>
      <c r="O148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13/05/2025, referente ao pedido Nº Pedido 1541 Rastreio NM799617815BR, agradecemos a preferência e adoraríamos receber sua avaliação, tendo qualquer dúvida estamos à disposição.
Att
NTA Variedades</v>
      </c>
    </row>
    <row r="1486" spans="1:15">
      <c r="A1486" s="52" t="str">
        <f>_xlfn.XLOOKUP(Follow[[#This Row],[CODRASTREIO]],Controle_Pedidos[Cód Rastreamento],Controle_Pedidos[Número Pedido Cliente])</f>
        <v>Pedido 1542</v>
      </c>
      <c r="B1486" s="2" t="s">
        <v>18914</v>
      </c>
      <c r="C1486" s="2" t="str">
        <f>Follow[[#This Row],[CODRASTREIO]]&amp;" B"</f>
        <v>CódRastreio1472 B</v>
      </c>
      <c r="D1486" s="52" t="str">
        <f>_xlfn.XLOOKUP(Follow[[#This Row],[Id Pedido]],Controle_Pedidos[Número Pedido Cliente],Controle_Pedidos[Loja])</f>
        <v>MEI</v>
      </c>
      <c r="E1486" s="9">
        <f>_xlfn.XLOOKUP(Follow[[#This Row],[Id Pedido]],Controle_Pedidos[Número Pedido Cliente],Controle_Pedidos[Prazo Entrega])</f>
        <v>45793</v>
      </c>
      <c r="F1486" s="9" t="s">
        <v>19433</v>
      </c>
      <c r="G1486" s="9" t="s">
        <v>608</v>
      </c>
      <c r="H1486" s="9" t="s">
        <v>179</v>
      </c>
      <c r="I1486" s="9" t="s">
        <v>178</v>
      </c>
      <c r="J1486" s="9">
        <v>45825</v>
      </c>
      <c r="K1486" s="8" t="s">
        <v>533</v>
      </c>
      <c r="L1486" s="8" t="s">
        <v>124</v>
      </c>
      <c r="M1486" s="8" t="s">
        <v>609</v>
      </c>
      <c r="N1486" s="52" t="str">
        <f>IF(Follow[[#This Row],[DATAATUALIZAÇÃO]]&lt;=Follow[[#This Row],[Prev Entrega]],"Dentro do Prazo","Fora do Prazo")</f>
        <v>Fora do Prazo</v>
      </c>
      <c r="O1486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17/06/2025, referente ao pedido Nº Pedido 1542 Rastreio NM799625349BR, agradecemos a preferência e adoraríamos receber sua avaliação, tendo qualquer dúvida estamos à disposição.
Att
NTA Variedades</v>
      </c>
    </row>
    <row r="1487" spans="1:15">
      <c r="A1487" s="52" t="str">
        <f>_xlfn.XLOOKUP(Follow[[#This Row],[CODRASTREIO]],Controle_Pedidos[Cód Rastreamento],Controle_Pedidos[Número Pedido Cliente])</f>
        <v>Pedido 1543</v>
      </c>
      <c r="B1487" s="2" t="s">
        <v>18915</v>
      </c>
      <c r="C1487" s="2" t="str">
        <f>Follow[[#This Row],[CODRASTREIO]]&amp;" B"</f>
        <v>CódRastreio1473 B</v>
      </c>
      <c r="D1487" s="52" t="str">
        <f>_xlfn.XLOOKUP(Follow[[#This Row],[Id Pedido]],Controle_Pedidos[Número Pedido Cliente],Controle_Pedidos[Loja])</f>
        <v>MEI</v>
      </c>
      <c r="E1487" s="9">
        <f>_xlfn.XLOOKUP(Follow[[#This Row],[Id Pedido]],Controle_Pedidos[Número Pedido Cliente],Controle_Pedidos[Prazo Entrega])</f>
        <v>45793</v>
      </c>
      <c r="F1487" s="9" t="s">
        <v>19433</v>
      </c>
      <c r="G1487" s="9" t="s">
        <v>610</v>
      </c>
      <c r="H1487" s="9" t="s">
        <v>179</v>
      </c>
      <c r="I1487" s="9" t="s">
        <v>178</v>
      </c>
      <c r="J1487" s="9">
        <v>45786</v>
      </c>
      <c r="K1487" s="8" t="s">
        <v>198</v>
      </c>
      <c r="L1487" s="8" t="s">
        <v>124</v>
      </c>
      <c r="M1487" s="8" t="s">
        <v>37</v>
      </c>
      <c r="N1487" s="52" t="str">
        <f>IF(Follow[[#This Row],[DATAATUALIZAÇÃO]]&lt;=Follow[[#This Row],[Prev Entrega]],"Dentro do Prazo","Fora do Prazo")</f>
        <v>Dentro do Prazo</v>
      </c>
      <c r="O14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09/05/2025, referente ao pedido Nº Pedido 1543 Rastreio NM799654455BR, agradecemos a preferência e adoraríamos receber sua avaliação, tendo qualquer dúvida estamos à disposição.
Att
NTA Variedades</v>
      </c>
    </row>
    <row r="1488" spans="1:15">
      <c r="A1488" s="52" t="str">
        <f>_xlfn.XLOOKUP(Follow[[#This Row],[CODRASTREIO]],Controle_Pedidos[Cód Rastreamento],Controle_Pedidos[Número Pedido Cliente])</f>
        <v>Pedido 1544</v>
      </c>
      <c r="B1488" s="2" t="s">
        <v>18916</v>
      </c>
      <c r="C1488" s="2" t="str">
        <f>Follow[[#This Row],[CODRASTREIO]]&amp;" B"</f>
        <v>CódRastreio1474 B</v>
      </c>
      <c r="D1488" s="52" t="str">
        <f>_xlfn.XLOOKUP(Follow[[#This Row],[Id Pedido]],Controle_Pedidos[Número Pedido Cliente],Controle_Pedidos[Loja])</f>
        <v>MEI</v>
      </c>
      <c r="E1488" s="9">
        <f>_xlfn.XLOOKUP(Follow[[#This Row],[Id Pedido]],Controle_Pedidos[Número Pedido Cliente],Controle_Pedidos[Prazo Entrega])</f>
        <v>45793</v>
      </c>
      <c r="F1488" s="9" t="s">
        <v>19433</v>
      </c>
      <c r="G1488" s="9" t="s">
        <v>611</v>
      </c>
      <c r="H1488" s="9" t="s">
        <v>179</v>
      </c>
      <c r="I1488" s="9" t="s">
        <v>178</v>
      </c>
      <c r="J1488" s="9">
        <v>45804</v>
      </c>
      <c r="K1488" s="8" t="s">
        <v>198</v>
      </c>
      <c r="L1488" s="8" t="s">
        <v>124</v>
      </c>
      <c r="M1488" s="8" t="s">
        <v>37</v>
      </c>
      <c r="N1488" s="52" t="str">
        <f>IF(Follow[[#This Row],[DATAATUALIZAÇÃO]]&lt;=Follow[[#This Row],[Prev Entrega]],"Dentro do Prazo","Fora do Prazo")</f>
        <v>Fora do Prazo</v>
      </c>
      <c r="O148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27/05/2025, referente ao pedido Nº Pedido 1544 Rastreio NM799632248BR, agradecemos a preferência e adoraríamos receber sua avaliação, tendo qualquer dúvida estamos à disposição.
Att
NTA Variedades</v>
      </c>
    </row>
    <row r="1489" spans="1:15">
      <c r="A1489" s="52" t="str">
        <f>_xlfn.XLOOKUP(Follow[[#This Row],[CODRASTREIO]],Controle_Pedidos[Cód Rastreamento],Controle_Pedidos[Número Pedido Cliente])</f>
        <v>Pedido 1545</v>
      </c>
      <c r="B1489" s="2" t="s">
        <v>18917</v>
      </c>
      <c r="C1489" s="2" t="str">
        <f>Follow[[#This Row],[CODRASTREIO]]&amp;" B"</f>
        <v>CódRastreio1475 B</v>
      </c>
      <c r="D1489" s="52" t="str">
        <f>_xlfn.XLOOKUP(Follow[[#This Row],[Id Pedido]],Controle_Pedidos[Número Pedido Cliente],Controle_Pedidos[Loja])</f>
        <v>GO</v>
      </c>
      <c r="E1489" s="9">
        <f>_xlfn.XLOOKUP(Follow[[#This Row],[Id Pedido]],Controle_Pedidos[Número Pedido Cliente],Controle_Pedidos[Prazo Entrega])</f>
        <v>45799</v>
      </c>
      <c r="F1489" s="9" t="s">
        <v>19433</v>
      </c>
      <c r="G1489" s="9" t="s">
        <v>612</v>
      </c>
      <c r="H1489" s="9" t="s">
        <v>179</v>
      </c>
      <c r="I1489" s="9" t="s">
        <v>178</v>
      </c>
      <c r="J1489" s="9">
        <v>45803</v>
      </c>
      <c r="K1489" s="8" t="s">
        <v>198</v>
      </c>
      <c r="L1489" s="8" t="s">
        <v>124</v>
      </c>
      <c r="M1489" s="8" t="s">
        <v>37</v>
      </c>
      <c r="N1489" s="52" t="str">
        <f>IF(Follow[[#This Row],[DATAATUALIZAÇÃO]]&lt;=Follow[[#This Row],[Prev Entrega]],"Dentro do Prazo","Fora do Prazo")</f>
        <v>Fora do Prazo</v>
      </c>
      <c r="O148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26/05/2025, referente ao pedido Nº Pedido 1545 Rastreio NM799655059BR, agradecemos a preferência e adoraríamos receber sua avaliação, tendo qualquer dúvida estamos à disposição.
Att
Sec Variedades</v>
      </c>
    </row>
    <row r="1490" spans="1:15">
      <c r="A1490" s="52" t="str">
        <f>_xlfn.XLOOKUP(Follow[[#This Row],[CODRASTREIO]],Controle_Pedidos[Cód Rastreamento],Controle_Pedidos[Número Pedido Cliente])</f>
        <v>Pedido 1550</v>
      </c>
      <c r="B1490" s="2" t="s">
        <v>18921</v>
      </c>
      <c r="C1490" s="2" t="str">
        <f>Follow[[#This Row],[CODRASTREIO]]&amp;" B"</f>
        <v>CódRastreio1479 B</v>
      </c>
      <c r="D1490" s="52" t="str">
        <f>_xlfn.XLOOKUP(Follow[[#This Row],[Id Pedido]],Controle_Pedidos[Número Pedido Cliente],Controle_Pedidos[Loja])</f>
        <v>GO</v>
      </c>
      <c r="E1490" s="9">
        <f>_xlfn.XLOOKUP(Follow[[#This Row],[Id Pedido]],Controle_Pedidos[Número Pedido Cliente],Controle_Pedidos[Prazo Entrega])</f>
        <v>45790</v>
      </c>
      <c r="F1490" s="9" t="s">
        <v>19433</v>
      </c>
      <c r="G1490" s="9" t="s">
        <v>613</v>
      </c>
      <c r="H1490" s="9" t="s">
        <v>179</v>
      </c>
      <c r="I1490" s="9" t="s">
        <v>178</v>
      </c>
      <c r="J1490" s="9">
        <v>45790</v>
      </c>
      <c r="K1490" s="8" t="s">
        <v>198</v>
      </c>
      <c r="L1490" s="8" t="s">
        <v>124</v>
      </c>
      <c r="M1490" s="8" t="s">
        <v>37</v>
      </c>
      <c r="N1490" s="52" t="str">
        <f>IF(Follow[[#This Row],[DATAATUALIZAÇÃO]]&lt;=Follow[[#This Row],[Prev Entrega]],"Dentro do Prazo","Fora do Prazo")</f>
        <v>Dentro do Prazo</v>
      </c>
      <c r="O14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13/05/2025, referente ao pedido Nº Pedido 1550 Rastreio NM799660805BR, agradecemos a preferência e adoraríamos receber sua avaliação, tendo qualquer dúvida estamos à disposição.
Att
Sec Variedades</v>
      </c>
    </row>
    <row r="1491" spans="1:15">
      <c r="A1491" s="52" t="str">
        <f>_xlfn.XLOOKUP(Follow[[#This Row],[CODRASTREIO]],Controle_Pedidos[Cód Rastreamento],Controle_Pedidos[Número Pedido Cliente])</f>
        <v>Pedido 1551</v>
      </c>
      <c r="B1491" s="2" t="s">
        <v>18922</v>
      </c>
      <c r="C1491" s="2" t="str">
        <f>Follow[[#This Row],[CODRASTREIO]]&amp;" B"</f>
        <v>CódRastreio1480 B</v>
      </c>
      <c r="D1491" s="52" t="str">
        <f>_xlfn.XLOOKUP(Follow[[#This Row],[Id Pedido]],Controle_Pedidos[Número Pedido Cliente],Controle_Pedidos[Loja])</f>
        <v>MEI</v>
      </c>
      <c r="E1491" s="9">
        <f>_xlfn.XLOOKUP(Follow[[#This Row],[Id Pedido]],Controle_Pedidos[Número Pedido Cliente],Controle_Pedidos[Prazo Entrega])</f>
        <v>45801</v>
      </c>
      <c r="F1491" s="9" t="s">
        <v>19433</v>
      </c>
      <c r="G1491" s="9" t="s">
        <v>614</v>
      </c>
      <c r="H1491" s="9" t="s">
        <v>179</v>
      </c>
      <c r="I1491" s="9" t="s">
        <v>178</v>
      </c>
      <c r="J1491" s="147">
        <v>45831.419791666667</v>
      </c>
      <c r="K1491" s="8" t="s">
        <v>198</v>
      </c>
      <c r="L1491" s="8" t="s">
        <v>124</v>
      </c>
      <c r="M1491" s="8" t="s">
        <v>37</v>
      </c>
      <c r="N1491" s="52" t="str">
        <f>IF(Follow[[#This Row],[DATAATUALIZAÇÃO]]&lt;=Follow[[#This Row],[Prev Entrega]],"Dentro do Prazo","Fora do Prazo")</f>
        <v>Fora do Prazo</v>
      </c>
      <c r="O149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23/06/2025, referente ao pedido Nº Pedido 1551 Rastreio NM799656805BR, agradecemos a preferência e adoraríamos receber sua avaliação, tendo qualquer dúvida estamos à disposição.
Att
NTA Variedades</v>
      </c>
    </row>
    <row r="1492" spans="1:15">
      <c r="A1492" s="52" t="str">
        <f>_xlfn.XLOOKUP(Follow[[#This Row],[CODRASTREIO]],Controle_Pedidos[Cód Rastreamento],Controle_Pedidos[Número Pedido Cliente])</f>
        <v>Pedido 1552</v>
      </c>
      <c r="B1492" s="2" t="s">
        <v>18923</v>
      </c>
      <c r="C1492" s="2" t="str">
        <f>Follow[[#This Row],[CODRASTREIO]]&amp;" B"</f>
        <v>CódRastreio1481 B</v>
      </c>
      <c r="D1492" s="52" t="str">
        <f>_xlfn.XLOOKUP(Follow[[#This Row],[Id Pedido]],Controle_Pedidos[Número Pedido Cliente],Controle_Pedidos[Loja])</f>
        <v>MEI</v>
      </c>
      <c r="E1492" s="9">
        <f>_xlfn.XLOOKUP(Follow[[#This Row],[Id Pedido]],Controle_Pedidos[Número Pedido Cliente],Controle_Pedidos[Prazo Entrega])</f>
        <v>45790</v>
      </c>
      <c r="F1492" s="9" t="s">
        <v>19433</v>
      </c>
      <c r="G1492" s="9" t="s">
        <v>615</v>
      </c>
      <c r="H1492" s="9" t="s">
        <v>179</v>
      </c>
      <c r="I1492" s="9" t="s">
        <v>178</v>
      </c>
      <c r="J1492" s="9">
        <v>45803</v>
      </c>
      <c r="K1492" s="8" t="s">
        <v>198</v>
      </c>
      <c r="L1492" s="8" t="s">
        <v>124</v>
      </c>
      <c r="M1492" s="8" t="s">
        <v>37</v>
      </c>
      <c r="N1492" s="52" t="str">
        <f>IF(Follow[[#This Row],[DATAATUALIZAÇÃO]]&lt;=Follow[[#This Row],[Prev Entrega]],"Dentro do Prazo","Fora do Prazo")</f>
        <v>Fora do Prazo</v>
      </c>
      <c r="O149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26/05/2025, referente ao pedido Nº Pedido 1552 Rastreio NM799629133BR, agradecemos a preferência e adoraríamos receber sua avaliação, tendo qualquer dúvida estamos à disposição.
Att
NTA Variedades</v>
      </c>
    </row>
    <row r="1493" spans="1:15">
      <c r="A1493" s="52" t="str">
        <f>_xlfn.XLOOKUP(Follow[[#This Row],[CODRASTREIO]],Controle_Pedidos[Cód Rastreamento],Controle_Pedidos[Número Pedido Cliente])</f>
        <v>Pedido 1555</v>
      </c>
      <c r="B1493" s="2" t="s">
        <v>18926</v>
      </c>
      <c r="C1493" s="2" t="str">
        <f>Follow[[#This Row],[CODRASTREIO]]&amp;" B"</f>
        <v>CódRastreio1484 B</v>
      </c>
      <c r="D1493" s="52" t="str">
        <f>_xlfn.XLOOKUP(Follow[[#This Row],[Id Pedido]],Controle_Pedidos[Número Pedido Cliente],Controle_Pedidos[Loja])</f>
        <v>GO</v>
      </c>
      <c r="E1493" s="9">
        <f>_xlfn.XLOOKUP(Follow[[#This Row],[Id Pedido]],Controle_Pedidos[Número Pedido Cliente],Controle_Pedidos[Prazo Entrega])</f>
        <v>45790</v>
      </c>
      <c r="F1493" s="9" t="s">
        <v>19433</v>
      </c>
      <c r="G1493" s="9" t="s">
        <v>616</v>
      </c>
      <c r="H1493" s="9" t="s">
        <v>179</v>
      </c>
      <c r="I1493" s="9" t="s">
        <v>178</v>
      </c>
      <c r="J1493" s="9">
        <v>45801</v>
      </c>
      <c r="K1493" s="8" t="s">
        <v>198</v>
      </c>
      <c r="L1493" s="8" t="s">
        <v>124</v>
      </c>
      <c r="M1493" s="8" t="s">
        <v>37</v>
      </c>
      <c r="N1493" s="52" t="str">
        <f>IF(Follow[[#This Row],[DATAATUALIZAÇÃO]]&lt;=Follow[[#This Row],[Prev Entrega]],"Dentro do Prazo","Fora do Prazo")</f>
        <v>Fora do Prazo</v>
      </c>
      <c r="O149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24/05/2025, referente ao pedido Nº Pedido 1555 Rastreio NM799661235BR, agradecemos a preferência e adoraríamos receber sua avaliação, tendo qualquer dúvida estamos à disposição.
Att
Sec Variedades</v>
      </c>
    </row>
    <row r="1494" spans="1:15">
      <c r="A1494" s="52" t="str">
        <f>_xlfn.XLOOKUP(Follow[[#This Row],[CODRASTREIO]],Controle_Pedidos[Cód Rastreamento],Controle_Pedidos[Número Pedido Cliente])</f>
        <v>Pedido 1556</v>
      </c>
      <c r="B1494" s="2" t="s">
        <v>18927</v>
      </c>
      <c r="C1494" s="2" t="str">
        <f>Follow[[#This Row],[CODRASTREIO]]&amp;" B"</f>
        <v>CódRastreio1485 B</v>
      </c>
      <c r="D1494" s="52" t="str">
        <f>_xlfn.XLOOKUP(Follow[[#This Row],[Id Pedido]],Controle_Pedidos[Número Pedido Cliente],Controle_Pedidos[Loja])</f>
        <v>GO</v>
      </c>
      <c r="E1494" s="9">
        <f>_xlfn.XLOOKUP(Follow[[#This Row],[Id Pedido]],Controle_Pedidos[Número Pedido Cliente],Controle_Pedidos[Prazo Entrega])</f>
        <v>45801</v>
      </c>
      <c r="F1494" s="9" t="s">
        <v>19433</v>
      </c>
      <c r="G1494" s="9" t="s">
        <v>617</v>
      </c>
      <c r="H1494" s="9" t="s">
        <v>179</v>
      </c>
      <c r="I1494" s="9" t="s">
        <v>178</v>
      </c>
      <c r="J1494" s="9">
        <v>45818</v>
      </c>
      <c r="K1494" s="8" t="s">
        <v>198</v>
      </c>
      <c r="L1494" s="8" t="s">
        <v>124</v>
      </c>
      <c r="M1494" s="8" t="s">
        <v>37</v>
      </c>
      <c r="N1494" s="52" t="str">
        <f>IF(Follow[[#This Row],[DATAATUALIZAÇÃO]]&lt;=Follow[[#This Row],[Prev Entrega]],"Dentro do Prazo","Fora do Prazo")</f>
        <v>Fora do Prazo</v>
      </c>
      <c r="O149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10/06/2025, referente ao pedido Nº Pedido 1556 Rastreio NM799650958BR, agradecemos a preferência e adoraríamos receber sua avaliação, tendo qualquer dúvida estamos à disposição.
Att
Sec Variedades</v>
      </c>
    </row>
    <row r="1495" spans="1:15">
      <c r="A1495" s="52" t="str">
        <f>_xlfn.XLOOKUP(Follow[[#This Row],[CODRASTREIO]],Controle_Pedidos[Cód Rastreamento],Controle_Pedidos[Número Pedido Cliente])</f>
        <v>Pedido 1558</v>
      </c>
      <c r="B1495" s="2" t="s">
        <v>18929</v>
      </c>
      <c r="C1495" s="2" t="str">
        <f>Follow[[#This Row],[CODRASTREIO]]&amp;" B"</f>
        <v>CódRastreio1487 B</v>
      </c>
      <c r="D1495" s="52" t="str">
        <f>_xlfn.XLOOKUP(Follow[[#This Row],[Id Pedido]],Controle_Pedidos[Número Pedido Cliente],Controle_Pedidos[Loja])</f>
        <v>MEI</v>
      </c>
      <c r="E1495" s="9">
        <f>_xlfn.XLOOKUP(Follow[[#This Row],[Id Pedido]],Controle_Pedidos[Número Pedido Cliente],Controle_Pedidos[Prazo Entrega])</f>
        <v>45794</v>
      </c>
      <c r="F1495" s="9" t="s">
        <v>19433</v>
      </c>
      <c r="G1495" s="9" t="s">
        <v>618</v>
      </c>
      <c r="H1495" s="9" t="s">
        <v>179</v>
      </c>
      <c r="I1495" s="9" t="s">
        <v>178</v>
      </c>
      <c r="J1495" s="9">
        <v>45806</v>
      </c>
      <c r="K1495" s="8" t="s">
        <v>198</v>
      </c>
      <c r="L1495" s="8" t="s">
        <v>124</v>
      </c>
      <c r="M1495" s="8" t="s">
        <v>37</v>
      </c>
      <c r="N1495" s="52" t="str">
        <f>IF(Follow[[#This Row],[DATAATUALIZAÇÃO]]&lt;=Follow[[#This Row],[Prev Entrega]],"Dentro do Prazo","Fora do Prazo")</f>
        <v>Fora do Prazo</v>
      </c>
      <c r="O149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29/05/2025, referente ao pedido Nº Pedido 1558 Rastreio NM799638078BR, agradecemos a preferência e adoraríamos receber sua avaliação, tendo qualquer dúvida estamos à disposição.
Att
NTA Variedades</v>
      </c>
    </row>
    <row r="1496" spans="1:15">
      <c r="A1496" s="52" t="str">
        <f>_xlfn.XLOOKUP(Follow[[#This Row],[CODRASTREIO]],Controle_Pedidos[Cód Rastreamento],Controle_Pedidos[Número Pedido Cliente])</f>
        <v>Pedido 1559</v>
      </c>
      <c r="B1496" s="2" t="s">
        <v>18930</v>
      </c>
      <c r="C1496" s="2" t="str">
        <f>Follow[[#This Row],[CODRASTREIO]]&amp;" B"</f>
        <v>CódRastreio1488 B</v>
      </c>
      <c r="D1496" s="52" t="str">
        <f>_xlfn.XLOOKUP(Follow[[#This Row],[Id Pedido]],Controle_Pedidos[Número Pedido Cliente],Controle_Pedidos[Loja])</f>
        <v>MEI</v>
      </c>
      <c r="E1496" s="9">
        <f>_xlfn.XLOOKUP(Follow[[#This Row],[Id Pedido]],Controle_Pedidos[Número Pedido Cliente],Controle_Pedidos[Prazo Entrega])</f>
        <v>45794</v>
      </c>
      <c r="F1496" s="9" t="s">
        <v>19433</v>
      </c>
      <c r="G1496" s="9" t="s">
        <v>619</v>
      </c>
      <c r="H1496" s="9" t="s">
        <v>179</v>
      </c>
      <c r="I1496" s="9" t="s">
        <v>178</v>
      </c>
      <c r="J1496" s="9">
        <v>45805</v>
      </c>
      <c r="K1496" s="8" t="s">
        <v>198</v>
      </c>
      <c r="L1496" s="8" t="s">
        <v>124</v>
      </c>
      <c r="M1496" s="8" t="s">
        <v>37</v>
      </c>
      <c r="N1496" s="52" t="str">
        <f>IF(Follow[[#This Row],[DATAATUALIZAÇÃO]]&lt;=Follow[[#This Row],[Prev Entrega]],"Dentro do Prazo","Fora do Prazo")</f>
        <v>Fora do Prazo</v>
      </c>
      <c r="O149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28/05/2025, referente ao pedido Nº Pedido 1559 Rastreio NM799634717BR, agradecemos a preferência e adoraríamos receber sua avaliação, tendo qualquer dúvida estamos à disposição.
Att
NTA Variedades</v>
      </c>
    </row>
    <row r="1497" spans="1:15">
      <c r="A1497" s="52" t="str">
        <f>_xlfn.XLOOKUP(Follow[[#This Row],[CODRASTREIO]],Controle_Pedidos[Cód Rastreamento],Controle_Pedidos[Número Pedido Cliente])</f>
        <v>Pedido 1560</v>
      </c>
      <c r="B1497" s="2" t="s">
        <v>18931</v>
      </c>
      <c r="C1497" s="2" t="str">
        <f>Follow[[#This Row],[CODRASTREIO]]&amp;" B"</f>
        <v>CódRastreio1489 B</v>
      </c>
      <c r="D1497" s="52" t="str">
        <f>_xlfn.XLOOKUP(Follow[[#This Row],[Id Pedido]],Controle_Pedidos[Número Pedido Cliente],Controle_Pedidos[Loja])</f>
        <v>MEI</v>
      </c>
      <c r="E1497" s="9">
        <f>_xlfn.XLOOKUP(Follow[[#This Row],[Id Pedido]],Controle_Pedidos[Número Pedido Cliente],Controle_Pedidos[Prazo Entrega])</f>
        <v>45797</v>
      </c>
      <c r="F1497" s="9" t="s">
        <v>19433</v>
      </c>
      <c r="G1497" s="9" t="s">
        <v>37</v>
      </c>
      <c r="H1497" s="9" t="s">
        <v>178</v>
      </c>
      <c r="I1497" s="9" t="s">
        <v>178</v>
      </c>
      <c r="J1497" s="9">
        <v>45777</v>
      </c>
      <c r="K1497" s="8" t="s">
        <v>198</v>
      </c>
      <c r="L1497" s="8" t="s">
        <v>124</v>
      </c>
      <c r="M1497" s="8" t="s">
        <v>37</v>
      </c>
      <c r="N1497" s="52" t="str">
        <f>IF(Follow[[#This Row],[DATAATUALIZAÇÃO]]&lt;=Follow[[#This Row],[Prev Entrega]],"Dentro do Prazo","Fora do Prazo")</f>
        <v>Dentro do Prazo</v>
      </c>
      <c r="O14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30/04/2025, referente ao pedido Nº Pedido 1560 Rastreio Pedido 1560, agradecemos a preferência e adoraríamos receber sua avaliação, tendo qualquer dúvida estamos à disposição.
Att
NTA Variedades</v>
      </c>
    </row>
    <row r="1498" spans="1:15">
      <c r="A1498" s="52" t="str">
        <f>_xlfn.XLOOKUP(Follow[[#This Row],[CODRASTREIO]],Controle_Pedidos[Cód Rastreamento],Controle_Pedidos[Número Pedido Cliente])</f>
        <v>Pedido 1561</v>
      </c>
      <c r="B1498" s="2" t="s">
        <v>18932</v>
      </c>
      <c r="C1498" s="2" t="str">
        <f>Follow[[#This Row],[CODRASTREIO]]&amp;" B"</f>
        <v>CódRastreio1490 B</v>
      </c>
      <c r="D1498" s="52" t="str">
        <f>_xlfn.XLOOKUP(Follow[[#This Row],[Id Pedido]],Controle_Pedidos[Número Pedido Cliente],Controle_Pedidos[Loja])</f>
        <v>MEI</v>
      </c>
      <c r="E1498" s="9">
        <f>_xlfn.XLOOKUP(Follow[[#This Row],[Id Pedido]],Controle_Pedidos[Número Pedido Cliente],Controle_Pedidos[Prazo Entrega])</f>
        <v>45797</v>
      </c>
      <c r="F1498" s="9" t="s">
        <v>19433</v>
      </c>
      <c r="G1498" s="9" t="s">
        <v>620</v>
      </c>
      <c r="H1498" s="9" t="s">
        <v>179</v>
      </c>
      <c r="I1498" s="9" t="s">
        <v>178</v>
      </c>
      <c r="J1498" s="9">
        <v>45792</v>
      </c>
      <c r="K1498" s="8" t="s">
        <v>198</v>
      </c>
      <c r="L1498" s="8" t="s">
        <v>124</v>
      </c>
      <c r="M1498" s="8" t="s">
        <v>37</v>
      </c>
      <c r="N1498" s="52" t="str">
        <f>IF(Follow[[#This Row],[DATAATUALIZAÇÃO]]&lt;=Follow[[#This Row],[Prev Entrega]],"Dentro do Prazo","Fora do Prazo")</f>
        <v>Dentro do Prazo</v>
      </c>
      <c r="O149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15/05/2025, referente ao pedido Nº Pedido 1561 Rastreio NM800389052BR, agradecemos a preferência e adoraríamos receber sua avaliação, tendo qualquer dúvida estamos à disposição.
Att
NTA Variedades</v>
      </c>
    </row>
    <row r="1499" spans="1:15">
      <c r="A1499" s="52" t="str">
        <f>_xlfn.XLOOKUP(Follow[[#This Row],[CODRASTREIO]],Controle_Pedidos[Cód Rastreamento],Controle_Pedidos[Número Pedido Cliente])</f>
        <v>Pedido 1562</v>
      </c>
      <c r="B1499" s="2" t="s">
        <v>18933</v>
      </c>
      <c r="C1499" s="2" t="str">
        <f>Follow[[#This Row],[CODRASTREIO]]&amp;" B"</f>
        <v>CódRastreio1491 B</v>
      </c>
      <c r="D1499" s="52" t="str">
        <f>_xlfn.XLOOKUP(Follow[[#This Row],[Id Pedido]],Controle_Pedidos[Número Pedido Cliente],Controle_Pedidos[Loja])</f>
        <v>MEI</v>
      </c>
      <c r="E1499" s="9">
        <f>_xlfn.XLOOKUP(Follow[[#This Row],[Id Pedido]],Controle_Pedidos[Número Pedido Cliente],Controle_Pedidos[Prazo Entrega])</f>
        <v>45797</v>
      </c>
      <c r="F1499" s="9" t="s">
        <v>19433</v>
      </c>
      <c r="G1499" s="9" t="s">
        <v>621</v>
      </c>
      <c r="H1499" s="9" t="s">
        <v>179</v>
      </c>
      <c r="I1499" s="9" t="s">
        <v>178</v>
      </c>
      <c r="J1499" s="9">
        <v>45812</v>
      </c>
      <c r="K1499" s="8" t="s">
        <v>198</v>
      </c>
      <c r="L1499" s="8" t="s">
        <v>124</v>
      </c>
      <c r="M1499" s="8" t="s">
        <v>37</v>
      </c>
      <c r="N1499" s="52" t="str">
        <f>IF(Follow[[#This Row],[DATAATUALIZAÇÃO]]&lt;=Follow[[#This Row],[Prev Entrega]],"Dentro do Prazo","Fora do Prazo")</f>
        <v>Fora do Prazo</v>
      </c>
      <c r="O149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04/06/2025, referente ao pedido Nº Pedido 1562 Rastreio NM800397371BR, agradecemos a preferência e adoraríamos receber sua avaliação, tendo qualquer dúvida estamos à disposição.
Att
NTA Variedades</v>
      </c>
    </row>
    <row r="1500" spans="1:15">
      <c r="A1500" s="52" t="str">
        <f>_xlfn.XLOOKUP(Follow[[#This Row],[CODRASTREIO]],Controle_Pedidos[Cód Rastreamento],Controle_Pedidos[Número Pedido Cliente])</f>
        <v>Pedido 1563</v>
      </c>
      <c r="B1500" s="2" t="s">
        <v>18934</v>
      </c>
      <c r="C1500" s="2" t="str">
        <f>Follow[[#This Row],[CODRASTREIO]]&amp;" B"</f>
        <v>CódRastreio1492 B</v>
      </c>
      <c r="D1500" s="52" t="str">
        <f>_xlfn.XLOOKUP(Follow[[#This Row],[Id Pedido]],Controle_Pedidos[Número Pedido Cliente],Controle_Pedidos[Loja])</f>
        <v>MEI</v>
      </c>
      <c r="E1500" s="9">
        <f>_xlfn.XLOOKUP(Follow[[#This Row],[Id Pedido]],Controle_Pedidos[Número Pedido Cliente],Controle_Pedidos[Prazo Entrega])</f>
        <v>45797</v>
      </c>
      <c r="F1500" s="9" t="s">
        <v>19433</v>
      </c>
      <c r="G1500" s="9" t="s">
        <v>37</v>
      </c>
      <c r="H1500" s="9" t="s">
        <v>178</v>
      </c>
      <c r="I1500" s="9" t="s">
        <v>178</v>
      </c>
      <c r="J1500" s="9">
        <v>45783</v>
      </c>
      <c r="K1500" s="8" t="s">
        <v>198</v>
      </c>
      <c r="L1500" s="8" t="s">
        <v>124</v>
      </c>
      <c r="M1500" s="8" t="s">
        <v>37</v>
      </c>
      <c r="N1500" s="52" t="str">
        <f>IF(Follow[[#This Row],[DATAATUALIZAÇÃO]]&lt;=Follow[[#This Row],[Prev Entrega]],"Dentro do Prazo","Fora do Prazo")</f>
        <v>Dentro do Prazo</v>
      </c>
      <c r="O150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06/05/2025, referente ao pedido Nº Pedido 1563 Rastreio Pedido 1563, agradecemos a preferência e adoraríamos receber sua avaliação, tendo qualquer dúvida estamos à disposição.
Att
NTA Variedades</v>
      </c>
    </row>
    <row r="1501" spans="1:15">
      <c r="A1501" s="52" t="str">
        <f>_xlfn.XLOOKUP(Follow[[#This Row],[CODRASTREIO]],Controle_Pedidos[Cód Rastreamento],Controle_Pedidos[Número Pedido Cliente])</f>
        <v>Pedido 1564</v>
      </c>
      <c r="B1501" s="2" t="s">
        <v>18935</v>
      </c>
      <c r="C1501" s="2" t="str">
        <f>Follow[[#This Row],[CODRASTREIO]]&amp;" B"</f>
        <v>CódRastreio1493 B</v>
      </c>
      <c r="D1501" s="52" t="str">
        <f>_xlfn.XLOOKUP(Follow[[#This Row],[Id Pedido]],Controle_Pedidos[Número Pedido Cliente],Controle_Pedidos[Loja])</f>
        <v>BV</v>
      </c>
      <c r="E1501" s="9">
        <f>_xlfn.XLOOKUP(Follow[[#This Row],[Id Pedido]],Controle_Pedidos[Número Pedido Cliente],Controle_Pedidos[Prazo Entrega])</f>
        <v>45791</v>
      </c>
      <c r="F1501" s="9" t="s">
        <v>19433</v>
      </c>
      <c r="G1501" s="9" t="s">
        <v>622</v>
      </c>
      <c r="H1501" s="9" t="s">
        <v>179</v>
      </c>
      <c r="I1501" s="9" t="s">
        <v>178</v>
      </c>
      <c r="J1501" s="9">
        <v>45783</v>
      </c>
      <c r="K1501" s="8" t="s">
        <v>198</v>
      </c>
      <c r="L1501" s="8" t="s">
        <v>124</v>
      </c>
      <c r="M1501" s="8" t="s">
        <v>37</v>
      </c>
      <c r="N1501" s="52" t="str">
        <f>IF(Follow[[#This Row],[DATAATUALIZAÇÃO]]&lt;=Follow[[#This Row],[Prev Entrega]],"Dentro do Prazo","Fora do Prazo")</f>
        <v>Dentro do Prazo</v>
      </c>
      <c r="O15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06/05/2025, referente ao pedido Nº Pedido 1564 Rastreio NM800376898BR, agradecemos a preferência e adoraríamos receber sua avaliação, tendo qualquer dúvida estamos à disposição.
Att
Tem tudo Shop</v>
      </c>
    </row>
    <row r="1502" spans="1:15">
      <c r="A1502" s="52" t="str">
        <f>_xlfn.XLOOKUP(Follow[[#This Row],[CODRASTREIO]],Controle_Pedidos[Cód Rastreamento],Controle_Pedidos[Número Pedido Cliente])</f>
        <v>Pedido 1565</v>
      </c>
      <c r="B1502" s="2" t="s">
        <v>18936</v>
      </c>
      <c r="C1502" s="2" t="str">
        <f>Follow[[#This Row],[CODRASTREIO]]&amp;" B"</f>
        <v>CódRastreio1494 B</v>
      </c>
      <c r="D1502" s="52" t="str">
        <f>_xlfn.XLOOKUP(Follow[[#This Row],[Id Pedido]],Controle_Pedidos[Número Pedido Cliente],Controle_Pedidos[Loja])</f>
        <v>GO</v>
      </c>
      <c r="E1502" s="9">
        <f>_xlfn.XLOOKUP(Follow[[#This Row],[Id Pedido]],Controle_Pedidos[Número Pedido Cliente],Controle_Pedidos[Prazo Entrega])</f>
        <v>45794</v>
      </c>
      <c r="F1502" s="9" t="s">
        <v>19433</v>
      </c>
      <c r="G1502" s="9" t="s">
        <v>623</v>
      </c>
      <c r="H1502" s="9" t="s">
        <v>179</v>
      </c>
      <c r="I1502" s="9" t="s">
        <v>178</v>
      </c>
      <c r="J1502" s="9">
        <v>45799</v>
      </c>
      <c r="K1502" s="8" t="s">
        <v>198</v>
      </c>
      <c r="L1502" s="8" t="s">
        <v>124</v>
      </c>
      <c r="M1502" s="8" t="s">
        <v>37</v>
      </c>
      <c r="N1502" s="52" t="str">
        <f>IF(Follow[[#This Row],[DATAATUALIZAÇÃO]]&lt;=Follow[[#This Row],[Prev Entrega]],"Dentro do Prazo","Fora do Prazo")</f>
        <v>Fora do Prazo</v>
      </c>
      <c r="O150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22/05/2025, referente ao pedido Nº Pedido 1565 Rastreio NM800404801BR, agradecemos a preferência e adoraríamos receber sua avaliação, tendo qualquer dúvida estamos à disposição.
Att
Sec Variedades</v>
      </c>
    </row>
    <row r="1503" spans="1:15">
      <c r="A1503" s="52" t="str">
        <f>_xlfn.XLOOKUP(Follow[[#This Row],[CODRASTREIO]],Controle_Pedidos[Cód Rastreamento],Controle_Pedidos[Número Pedido Cliente])</f>
        <v>Pedido 1566</v>
      </c>
      <c r="B1503" s="2" t="s">
        <v>18937</v>
      </c>
      <c r="C1503" s="2" t="str">
        <f>Follow[[#This Row],[CODRASTREIO]]&amp;" B"</f>
        <v>CódRastreio1495 B</v>
      </c>
      <c r="D1503" s="52" t="str">
        <f>_xlfn.XLOOKUP(Follow[[#This Row],[Id Pedido]],Controle_Pedidos[Número Pedido Cliente],Controle_Pedidos[Loja])</f>
        <v>MEI</v>
      </c>
      <c r="E1503" s="9">
        <f>_xlfn.XLOOKUP(Follow[[#This Row],[Id Pedido]],Controle_Pedidos[Número Pedido Cliente],Controle_Pedidos[Prazo Entrega])</f>
        <v>45791</v>
      </c>
      <c r="F1503" s="9" t="s">
        <v>19433</v>
      </c>
      <c r="G1503" s="9" t="s">
        <v>624</v>
      </c>
      <c r="H1503" s="9" t="s">
        <v>179</v>
      </c>
      <c r="I1503" s="9" t="s">
        <v>178</v>
      </c>
      <c r="J1503" s="9">
        <v>45804</v>
      </c>
      <c r="K1503" s="8" t="s">
        <v>198</v>
      </c>
      <c r="L1503" s="8" t="s">
        <v>124</v>
      </c>
      <c r="M1503" s="8" t="s">
        <v>37</v>
      </c>
      <c r="N1503" s="52" t="str">
        <f>IF(Follow[[#This Row],[DATAATUALIZAÇÃO]]&lt;=Follow[[#This Row],[Prev Entrega]],"Dentro do Prazo","Fora do Prazo")</f>
        <v>Fora do Prazo</v>
      </c>
      <c r="O150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27/05/2025, referente ao pedido Nº Pedido 1566 Rastreio NM800420322BR, agradecemos a preferência e adoraríamos receber sua avaliação, tendo qualquer dúvida estamos à disposição.
Att
NTA Variedades</v>
      </c>
    </row>
    <row r="1504" spans="1:15">
      <c r="A1504" s="52" t="str">
        <f>_xlfn.XLOOKUP(Follow[[#This Row],[CODRASTREIO]],Controle_Pedidos[Cód Rastreamento],Controle_Pedidos[Número Pedido Cliente])</f>
        <v>Pedido 1567</v>
      </c>
      <c r="B1504" s="2" t="s">
        <v>18938</v>
      </c>
      <c r="C1504" s="2" t="str">
        <f>Follow[[#This Row],[CODRASTREIO]]&amp;" B"</f>
        <v>CódRastreio1496 B</v>
      </c>
      <c r="D1504" s="52" t="str">
        <f>_xlfn.XLOOKUP(Follow[[#This Row],[Id Pedido]],Controle_Pedidos[Número Pedido Cliente],Controle_Pedidos[Loja])</f>
        <v>MEI</v>
      </c>
      <c r="E1504" s="9">
        <f>_xlfn.XLOOKUP(Follow[[#This Row],[Id Pedido]],Controle_Pedidos[Número Pedido Cliente],Controle_Pedidos[Prazo Entrega])</f>
        <v>45797</v>
      </c>
      <c r="F1504" s="9" t="s">
        <v>19433</v>
      </c>
      <c r="G1504" s="9" t="s">
        <v>625</v>
      </c>
      <c r="H1504" s="9" t="s">
        <v>179</v>
      </c>
      <c r="I1504" s="9" t="s">
        <v>178</v>
      </c>
      <c r="J1504" s="9">
        <v>45791</v>
      </c>
      <c r="K1504" s="8" t="s">
        <v>198</v>
      </c>
      <c r="L1504" s="8" t="s">
        <v>124</v>
      </c>
      <c r="M1504" s="8" t="s">
        <v>37</v>
      </c>
      <c r="N1504" s="52" t="str">
        <f>IF(Follow[[#This Row],[DATAATUALIZAÇÃO]]&lt;=Follow[[#This Row],[Prev Entrega]],"Dentro do Prazo","Fora do Prazo")</f>
        <v>Dentro do Prazo</v>
      </c>
      <c r="O150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14/05/2025, referente ao pedido Nº Pedido 1567 Rastreio NM800411674BR, agradecemos a preferência e adoraríamos receber sua avaliação, tendo qualquer dúvida estamos à disposição.
Att
NTA Variedades</v>
      </c>
    </row>
    <row r="1505" spans="1:15">
      <c r="A1505" s="52" t="str">
        <f>_xlfn.XLOOKUP(Follow[[#This Row],[CODRASTREIO]],Controle_Pedidos[Cód Rastreamento],Controle_Pedidos[Número Pedido Cliente])</f>
        <v>Pedido 1568</v>
      </c>
      <c r="B1505" s="2" t="s">
        <v>18939</v>
      </c>
      <c r="C1505" s="2" t="str">
        <f>Follow[[#This Row],[CODRASTREIO]]&amp;" B"</f>
        <v>CódRastreio1497 B</v>
      </c>
      <c r="D1505" s="52" t="str">
        <f>_xlfn.XLOOKUP(Follow[[#This Row],[Id Pedido]],Controle_Pedidos[Número Pedido Cliente],Controle_Pedidos[Loja])</f>
        <v>MEI</v>
      </c>
      <c r="E1505" s="9">
        <f>_xlfn.XLOOKUP(Follow[[#This Row],[Id Pedido]],Controle_Pedidos[Número Pedido Cliente],Controle_Pedidos[Prazo Entrega])</f>
        <v>45797</v>
      </c>
      <c r="F1505" s="9" t="s">
        <v>19433</v>
      </c>
      <c r="G1505" s="9" t="s">
        <v>626</v>
      </c>
      <c r="H1505" s="9" t="s">
        <v>179</v>
      </c>
      <c r="I1505" s="9" t="s">
        <v>178</v>
      </c>
      <c r="J1505" s="9">
        <v>45803</v>
      </c>
      <c r="K1505" s="8" t="s">
        <v>198</v>
      </c>
      <c r="L1505" s="8" t="s">
        <v>124</v>
      </c>
      <c r="M1505" s="8" t="s">
        <v>37</v>
      </c>
      <c r="N1505" s="52" t="str">
        <f>IF(Follow[[#This Row],[DATAATUALIZAÇÃO]]&lt;=Follow[[#This Row],[Prev Entrega]],"Dentro do Prazo","Fora do Prazo")</f>
        <v>Fora do Prazo</v>
      </c>
      <c r="O150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26/05/2025, referente ao pedido Nº Pedido 1568 Rastreio NM800423195BR, agradecemos a preferência e adoraríamos receber sua avaliação, tendo qualquer dúvida estamos à disposição.
Att
NTA Variedades</v>
      </c>
    </row>
    <row r="1506" spans="1:15">
      <c r="A1506" s="52" t="str">
        <f>_xlfn.XLOOKUP(Follow[[#This Row],[CODRASTREIO]],Controle_Pedidos[Cód Rastreamento],Controle_Pedidos[Número Pedido Cliente])</f>
        <v>Pedido 1570</v>
      </c>
      <c r="B1506" s="2" t="s">
        <v>18941</v>
      </c>
      <c r="C1506" s="2" t="str">
        <f>Follow[[#This Row],[CODRASTREIO]]&amp;" B"</f>
        <v>CódRastreio1499 B</v>
      </c>
      <c r="D1506" s="52" t="str">
        <f>_xlfn.XLOOKUP(Follow[[#This Row],[Id Pedido]],Controle_Pedidos[Número Pedido Cliente],Controle_Pedidos[Loja])</f>
        <v>MEI</v>
      </c>
      <c r="E1506" s="9">
        <f>_xlfn.XLOOKUP(Follow[[#This Row],[Id Pedido]],Controle_Pedidos[Número Pedido Cliente],Controle_Pedidos[Prazo Entrega])</f>
        <v>45791</v>
      </c>
      <c r="F1506" s="9" t="s">
        <v>19433</v>
      </c>
      <c r="G1506" s="9" t="s">
        <v>37</v>
      </c>
      <c r="H1506" s="9" t="s">
        <v>178</v>
      </c>
      <c r="I1506" s="52" t="s">
        <v>178</v>
      </c>
      <c r="J1506" s="140">
        <v>45776</v>
      </c>
      <c r="K1506" s="124" t="s">
        <v>198</v>
      </c>
      <c r="L1506" s="8" t="s">
        <v>124</v>
      </c>
      <c r="M1506" s="8" t="s">
        <v>37</v>
      </c>
      <c r="N1506" s="52" t="str">
        <f>IF(Follow[[#This Row],[DATAATUALIZAÇÃO]]&lt;=Follow[[#This Row],[Prev Entrega]],"Dentro do Prazo","Fora do Prazo")</f>
        <v>Dentro do Prazo</v>
      </c>
      <c r="O15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29/04/2025, referente ao pedido Nº Pedido 1570 Rastreio Pedido 1570, agradecemos a preferência e adoraríamos receber sua avaliação, tendo qualquer dúvida estamos à disposição.
Att
NTA Variedades</v>
      </c>
    </row>
    <row r="1507" spans="1:15">
      <c r="A1507" s="52" t="str">
        <f>_xlfn.XLOOKUP(Follow[[#This Row],[CODRASTREIO]],Controle_Pedidos[Cód Rastreamento],Controle_Pedidos[Número Pedido Cliente])</f>
        <v>Pedido 1571</v>
      </c>
      <c r="B1507" s="2" t="s">
        <v>18942</v>
      </c>
      <c r="C1507" s="2" t="str">
        <f>Follow[[#This Row],[CODRASTREIO]]&amp;" B"</f>
        <v>CódRastreio1500 B</v>
      </c>
      <c r="D1507" s="52" t="str">
        <f>_xlfn.XLOOKUP(Follow[[#This Row],[Id Pedido]],Controle_Pedidos[Número Pedido Cliente],Controle_Pedidos[Loja])</f>
        <v>MEI</v>
      </c>
      <c r="E1507" s="9">
        <f>_xlfn.XLOOKUP(Follow[[#This Row],[Id Pedido]],Controle_Pedidos[Número Pedido Cliente],Controle_Pedidos[Prazo Entrega])</f>
        <v>45792</v>
      </c>
      <c r="F1507" s="9" t="s">
        <v>19433</v>
      </c>
      <c r="G1507" s="9" t="s">
        <v>37</v>
      </c>
      <c r="H1507" s="9" t="s">
        <v>178</v>
      </c>
      <c r="I1507" s="52" t="s">
        <v>178</v>
      </c>
      <c r="J1507" s="140">
        <v>45776</v>
      </c>
      <c r="K1507" s="124" t="s">
        <v>198</v>
      </c>
      <c r="L1507" s="8" t="s">
        <v>124</v>
      </c>
      <c r="M1507" s="8" t="s">
        <v>37</v>
      </c>
      <c r="N1507" s="52" t="str">
        <f>IF(Follow[[#This Row],[DATAATUALIZAÇÃO]]&lt;=Follow[[#This Row],[Prev Entrega]],"Dentro do Prazo","Fora do Prazo")</f>
        <v>Dentro do Prazo</v>
      </c>
      <c r="O150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29/04/2025, referente ao pedido Nº Pedido 1571 Rastreio Pedido 1571, agradecemos a preferência e adoraríamos receber sua avaliação, tendo qualquer dúvida estamos à disposição.
Att
NTA Variedades</v>
      </c>
    </row>
    <row r="1508" spans="1:15">
      <c r="A1508" s="52" t="str">
        <f>_xlfn.XLOOKUP(Follow[[#This Row],[CODRASTREIO]],Controle_Pedidos[Cód Rastreamento],Controle_Pedidos[Número Pedido Cliente])</f>
        <v>Pedido 1572</v>
      </c>
      <c r="B1508" s="2" t="s">
        <v>18943</v>
      </c>
      <c r="C1508" s="2" t="str">
        <f>Follow[[#This Row],[CODRASTREIO]]&amp;" B"</f>
        <v>CódRastreio1501 B</v>
      </c>
      <c r="D1508" s="52" t="str">
        <f>_xlfn.XLOOKUP(Follow[[#This Row],[Id Pedido]],Controle_Pedidos[Número Pedido Cliente],Controle_Pedidos[Loja])</f>
        <v>MEI</v>
      </c>
      <c r="E1508" s="9">
        <f>_xlfn.XLOOKUP(Follow[[#This Row],[Id Pedido]],Controle_Pedidos[Número Pedido Cliente],Controle_Pedidos[Prazo Entrega])</f>
        <v>45798</v>
      </c>
      <c r="F1508" s="9" t="s">
        <v>19433</v>
      </c>
      <c r="G1508" s="9" t="s">
        <v>627</v>
      </c>
      <c r="H1508" s="9" t="s">
        <v>179</v>
      </c>
      <c r="I1508" s="9" t="s">
        <v>178</v>
      </c>
      <c r="J1508" s="9">
        <v>45793</v>
      </c>
      <c r="K1508" s="8" t="s">
        <v>533</v>
      </c>
      <c r="L1508" s="8" t="s">
        <v>124</v>
      </c>
      <c r="M1508" s="8" t="s">
        <v>208</v>
      </c>
      <c r="N1508" s="52" t="str">
        <f>IF(Follow[[#This Row],[DATAATUALIZAÇÃO]]&lt;=Follow[[#This Row],[Prev Entrega]],"Dentro do Prazo","Fora do Prazo")</f>
        <v>Dentro do Prazo</v>
      </c>
      <c r="O150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16/05/2025, referente ao pedido Nº Pedido 1572 Rastreio NM800455335BR, agradecemos a preferência e adoraríamos receber sua avaliação, tendo qualquer dúvida estamos à disposição.
Att
NTA Variedades</v>
      </c>
    </row>
    <row r="1509" spans="1:15">
      <c r="A1509" s="52" t="str">
        <f>_xlfn.XLOOKUP(Follow[[#This Row],[CODRASTREIO]],Controle_Pedidos[Cód Rastreamento],Controle_Pedidos[Número Pedido Cliente])</f>
        <v>Pedido 1573</v>
      </c>
      <c r="B1509" s="2" t="s">
        <v>18944</v>
      </c>
      <c r="C1509" s="2" t="str">
        <f>Follow[[#This Row],[CODRASTREIO]]&amp;" B"</f>
        <v>CódRastreio1502 B</v>
      </c>
      <c r="D1509" s="52" t="str">
        <f>_xlfn.XLOOKUP(Follow[[#This Row],[Id Pedido]],Controle_Pedidos[Número Pedido Cliente],Controle_Pedidos[Loja])</f>
        <v>MEI</v>
      </c>
      <c r="E1509" s="9">
        <f>_xlfn.XLOOKUP(Follow[[#This Row],[Id Pedido]],Controle_Pedidos[Número Pedido Cliente],Controle_Pedidos[Prazo Entrega])</f>
        <v>45798</v>
      </c>
      <c r="F1509" s="9" t="s">
        <v>19433</v>
      </c>
      <c r="G1509" s="9" t="s">
        <v>37</v>
      </c>
      <c r="H1509" s="9" t="s">
        <v>178</v>
      </c>
      <c r="I1509" s="9" t="s">
        <v>178</v>
      </c>
      <c r="J1509" s="9">
        <v>45782</v>
      </c>
      <c r="K1509" s="8" t="s">
        <v>198</v>
      </c>
      <c r="L1509" s="8" t="s">
        <v>124</v>
      </c>
      <c r="M1509" s="8" t="s">
        <v>37</v>
      </c>
      <c r="N1509" s="52" t="str">
        <f>IF(Follow[[#This Row],[DATAATUALIZAÇÃO]]&lt;=Follow[[#This Row],[Prev Entrega]],"Dentro do Prazo","Fora do Prazo")</f>
        <v>Dentro do Prazo</v>
      </c>
      <c r="O15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05/05/2025, referente ao pedido Nº Pedido 1573 Rastreio Pedido 1573, agradecemos a preferência e adoraríamos receber sua avaliação, tendo qualquer dúvida estamos à disposição.
Att
NTA Variedades</v>
      </c>
    </row>
    <row r="1510" spans="1:15">
      <c r="A1510" s="52" t="str">
        <f>_xlfn.XLOOKUP(Follow[[#This Row],[CODRASTREIO]],Controle_Pedidos[Cód Rastreamento],Controle_Pedidos[Número Pedido Cliente])</f>
        <v>Pedido 1575</v>
      </c>
      <c r="B1510" s="2" t="s">
        <v>18946</v>
      </c>
      <c r="C1510" s="2" t="str">
        <f>Follow[[#This Row],[CODRASTREIO]]&amp;" B"</f>
        <v>CódRastreio1504 B</v>
      </c>
      <c r="D1510" s="52" t="str">
        <f>_xlfn.XLOOKUP(Follow[[#This Row],[Id Pedido]],Controle_Pedidos[Número Pedido Cliente],Controle_Pedidos[Loja])</f>
        <v>MEI</v>
      </c>
      <c r="E1510" s="9">
        <f>_xlfn.XLOOKUP(Follow[[#This Row],[Id Pedido]],Controle_Pedidos[Número Pedido Cliente],Controle_Pedidos[Prazo Entrega])</f>
        <v>45792</v>
      </c>
      <c r="F1510" s="9" t="s">
        <v>19433</v>
      </c>
      <c r="G1510" s="9" t="s">
        <v>628</v>
      </c>
      <c r="H1510" s="9" t="s">
        <v>179</v>
      </c>
      <c r="I1510" s="9" t="s">
        <v>178</v>
      </c>
      <c r="J1510" s="9">
        <v>45796</v>
      </c>
      <c r="K1510" s="8" t="s">
        <v>198</v>
      </c>
      <c r="L1510" s="8" t="s">
        <v>124</v>
      </c>
      <c r="M1510" s="8" t="s">
        <v>37</v>
      </c>
      <c r="N1510" s="52" t="str">
        <f>IF(Follow[[#This Row],[DATAATUALIZAÇÃO]]&lt;=Follow[[#This Row],[Prev Entrega]],"Dentro do Prazo","Fora do Prazo")</f>
        <v>Fora do Prazo</v>
      </c>
      <c r="O151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19/05/2025, referente ao pedido Nº Pedido 1575 Rastreio NM800462115BR, agradecemos a preferência e adoraríamos receber sua avaliação, tendo qualquer dúvida estamos à disposição.
Att
NTA Variedades</v>
      </c>
    </row>
    <row r="1511" spans="1:15">
      <c r="A1511" s="52" t="str">
        <f>_xlfn.XLOOKUP(Follow[[#This Row],[CODRASTREIO]],Controle_Pedidos[Cód Rastreamento],Controle_Pedidos[Número Pedido Cliente])</f>
        <v>Pedido 1546</v>
      </c>
      <c r="B1511" s="2" t="s">
        <v>18918</v>
      </c>
      <c r="C1511" s="2" t="str">
        <f>Follow[[#This Row],[CODRASTREIO]]&amp;" B"</f>
        <v>CódRastreio1476 B</v>
      </c>
      <c r="D1511" s="52" t="str">
        <f>_xlfn.XLOOKUP(Follow[[#This Row],[Id Pedido]],Controle_Pedidos[Número Pedido Cliente],Controle_Pedidos[Loja])</f>
        <v>MEI</v>
      </c>
      <c r="E1511" s="9">
        <f>_xlfn.XLOOKUP(Follow[[#This Row],[Id Pedido]],Controle_Pedidos[Número Pedido Cliente],Controle_Pedidos[Prazo Entrega])</f>
        <v>45793</v>
      </c>
      <c r="F1511" s="9" t="s">
        <v>19433</v>
      </c>
      <c r="G1511" s="9" t="s">
        <v>629</v>
      </c>
      <c r="H1511" s="9" t="s">
        <v>179</v>
      </c>
      <c r="I1511" s="9" t="s">
        <v>178</v>
      </c>
      <c r="J1511" s="9">
        <v>45790</v>
      </c>
      <c r="K1511" s="8" t="s">
        <v>198</v>
      </c>
      <c r="L1511" s="8" t="s">
        <v>124</v>
      </c>
      <c r="M1511" s="8" t="s">
        <v>37</v>
      </c>
      <c r="N1511" s="52" t="str">
        <f>IF(Follow[[#This Row],[DATAATUALIZAÇÃO]]&lt;=Follow[[#This Row],[Prev Entrega]],"Dentro do Prazo","Fora do Prazo")</f>
        <v>Dentro do Prazo</v>
      </c>
      <c r="O15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13/05/2025, referente ao pedido Nº Pedido 1546 Rastreio NM800954565BR, agradecemos a preferência e adoraríamos receber sua avaliação, tendo qualquer dúvida estamos à disposição.
Att
NTA Variedades</v>
      </c>
    </row>
    <row r="1512" spans="1:15">
      <c r="A1512" s="52" t="str">
        <f>_xlfn.XLOOKUP(Follow[[#This Row],[CODRASTREIO]],Controle_Pedidos[Cód Rastreamento],Controle_Pedidos[Número Pedido Cliente])</f>
        <v>Pedido 1547</v>
      </c>
      <c r="B1512" s="2" t="s">
        <v>18919</v>
      </c>
      <c r="C1512" s="2" t="str">
        <f>Follow[[#This Row],[CODRASTREIO]]&amp;" B"</f>
        <v>CódRastreio1477 B</v>
      </c>
      <c r="D1512" s="52" t="str">
        <f>_xlfn.XLOOKUP(Follow[[#This Row],[Id Pedido]],Controle_Pedidos[Número Pedido Cliente],Controle_Pedidos[Loja])</f>
        <v>MEI</v>
      </c>
      <c r="E1512" s="9">
        <f>_xlfn.XLOOKUP(Follow[[#This Row],[Id Pedido]],Controle_Pedidos[Número Pedido Cliente],Controle_Pedidos[Prazo Entrega])</f>
        <v>45793</v>
      </c>
      <c r="F1512" s="9" t="s">
        <v>19433</v>
      </c>
      <c r="G1512" s="9" t="s">
        <v>630</v>
      </c>
      <c r="H1512" s="9" t="s">
        <v>179</v>
      </c>
      <c r="I1512" s="9" t="s">
        <v>178</v>
      </c>
      <c r="J1512" s="9">
        <v>45789</v>
      </c>
      <c r="K1512" s="8" t="s">
        <v>198</v>
      </c>
      <c r="L1512" s="8" t="s">
        <v>124</v>
      </c>
      <c r="M1512" s="8" t="s">
        <v>37</v>
      </c>
      <c r="N1512" s="52" t="str">
        <f>IF(Follow[[#This Row],[DATAATUALIZAÇÃO]]&lt;=Follow[[#This Row],[Prev Entrega]],"Dentro do Prazo","Fora do Prazo")</f>
        <v>Dentro do Prazo</v>
      </c>
      <c r="O15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12/05/2025, referente ao pedido Nº Pedido 1547 Rastreio NM800979831BR, agradecemos a preferência e adoraríamos receber sua avaliação, tendo qualquer dúvida estamos à disposição.
Att
NTA Variedades</v>
      </c>
    </row>
    <row r="1513" spans="1:15">
      <c r="A1513" s="52" t="str">
        <f>_xlfn.XLOOKUP(Follow[[#This Row],[CODRASTREIO]],Controle_Pedidos[Cód Rastreamento],Controle_Pedidos[Número Pedido Cliente])</f>
        <v>Pedido 1569</v>
      </c>
      <c r="B1513" s="2" t="s">
        <v>18940</v>
      </c>
      <c r="C1513" s="2" t="str">
        <f>Follow[[#This Row],[CODRASTREIO]]&amp;" B"</f>
        <v>CódRastreio1498 B</v>
      </c>
      <c r="D1513" s="52" t="str">
        <f>_xlfn.XLOOKUP(Follow[[#This Row],[Id Pedido]],Controle_Pedidos[Número Pedido Cliente],Controle_Pedidos[Loja])</f>
        <v>MEI</v>
      </c>
      <c r="E1513" s="9">
        <f>_xlfn.XLOOKUP(Follow[[#This Row],[Id Pedido]],Controle_Pedidos[Número Pedido Cliente],Controle_Pedidos[Prazo Entrega])</f>
        <v>45804</v>
      </c>
      <c r="F1513" s="9" t="s">
        <v>19433</v>
      </c>
      <c r="G1513" s="9" t="s">
        <v>631</v>
      </c>
      <c r="H1513" s="9" t="s">
        <v>179</v>
      </c>
      <c r="I1513" s="9" t="s">
        <v>178</v>
      </c>
      <c r="J1513" s="147">
        <v>45820.360185185185</v>
      </c>
      <c r="K1513" s="8" t="s">
        <v>198</v>
      </c>
      <c r="L1513" s="8" t="s">
        <v>124</v>
      </c>
      <c r="M1513" s="8" t="s">
        <v>37</v>
      </c>
      <c r="N1513" s="52" t="str">
        <f>IF(Follow[[#This Row],[DATAATUALIZAÇÃO]]&lt;=Follow[[#This Row],[Prev Entrega]],"Dentro do Prazo","Fora do Prazo")</f>
        <v>Fora do Prazo</v>
      </c>
      <c r="O151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Luminária Azul de mesa infantil foi entregue no dia 12/06/2025, referente ao pedido Nº Pedido 1569 Rastreio NM800871145BR, agradecemos a preferência e adoraríamos receber sua avaliação, tendo qualquer dúvida estamos à disposição.
Att
NTA Variedades</v>
      </c>
    </row>
    <row r="1514" spans="1:15">
      <c r="A1514" s="52" t="str">
        <f>_xlfn.XLOOKUP(Follow[[#This Row],[CODRASTREIO]],Controle_Pedidos[Cód Rastreamento],Controle_Pedidos[Número Pedido Cliente])</f>
        <v>Pedido 1576</v>
      </c>
      <c r="B1514" s="2" t="s">
        <v>18947</v>
      </c>
      <c r="C1514" s="2" t="str">
        <f>Follow[[#This Row],[CODRASTREIO]]&amp;" B"</f>
        <v>CódRastreio1505 B</v>
      </c>
      <c r="D1514" s="52" t="str">
        <f>_xlfn.XLOOKUP(Follow[[#This Row],[Id Pedido]],Controle_Pedidos[Número Pedido Cliente],Controle_Pedidos[Loja])</f>
        <v>GO</v>
      </c>
      <c r="E1514" s="9">
        <f>_xlfn.XLOOKUP(Follow[[#This Row],[Id Pedido]],Controle_Pedidos[Número Pedido Cliente],Controle_Pedidos[Prazo Entrega])</f>
        <v>45798</v>
      </c>
      <c r="F1514" s="9" t="s">
        <v>19433</v>
      </c>
      <c r="G1514" s="9" t="s">
        <v>632</v>
      </c>
      <c r="H1514" s="9" t="s">
        <v>179</v>
      </c>
      <c r="I1514" s="9" t="s">
        <v>178</v>
      </c>
      <c r="J1514" s="9">
        <v>45786</v>
      </c>
      <c r="K1514" s="8" t="s">
        <v>198</v>
      </c>
      <c r="L1514" s="8" t="s">
        <v>124</v>
      </c>
      <c r="M1514" s="8" t="s">
        <v>37</v>
      </c>
      <c r="N1514" s="52" t="str">
        <f>IF(Follow[[#This Row],[DATAATUALIZAÇÃO]]&lt;=Follow[[#This Row],[Prev Entrega]],"Dentro do Prazo","Fora do Prazo")</f>
        <v>Dentro do Prazo</v>
      </c>
      <c r="O15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09/05/2025, referente ao pedido Nº Pedido 1576 Rastreio NM800924268BR, agradecemos a preferência e adoraríamos receber sua avaliação, tendo qualquer dúvida estamos à disposição.
Att
Sec Variedades</v>
      </c>
    </row>
    <row r="1515" spans="1:15">
      <c r="A1515" s="52" t="str">
        <f>_xlfn.XLOOKUP(Follow[[#This Row],[CODRASTREIO]],Controle_Pedidos[Cód Rastreamento],Controle_Pedidos[Número Pedido Cliente])</f>
        <v>Pedido 1577</v>
      </c>
      <c r="B1515" s="2" t="s">
        <v>18948</v>
      </c>
      <c r="C1515" s="2" t="str">
        <f>Follow[[#This Row],[CODRASTREIO]]&amp;" B"</f>
        <v>CódRastreio1506 B</v>
      </c>
      <c r="D1515" s="52" t="str">
        <f>_xlfn.XLOOKUP(Follow[[#This Row],[Id Pedido]],Controle_Pedidos[Número Pedido Cliente],Controle_Pedidos[Loja])</f>
        <v>MEI</v>
      </c>
      <c r="E1515" s="9">
        <f>_xlfn.XLOOKUP(Follow[[#This Row],[Id Pedido]],Controle_Pedidos[Número Pedido Cliente],Controle_Pedidos[Prazo Entrega])</f>
        <v>45798</v>
      </c>
      <c r="F1515" s="9" t="s">
        <v>19433</v>
      </c>
      <c r="G1515" s="9" t="s">
        <v>633</v>
      </c>
      <c r="H1515" s="9" t="s">
        <v>179</v>
      </c>
      <c r="I1515" s="9" t="s">
        <v>178</v>
      </c>
      <c r="J1515" s="147">
        <v>45819.597534722219</v>
      </c>
      <c r="K1515" s="8" t="s">
        <v>198</v>
      </c>
      <c r="L1515" s="8" t="s">
        <v>124</v>
      </c>
      <c r="M1515" s="8" t="s">
        <v>37</v>
      </c>
      <c r="N1515" s="52" t="str">
        <f>IF(Follow[[#This Row],[DATAATUALIZAÇÃO]]&lt;=Follow[[#This Row],[Prev Entrega]],"Dentro do Prazo","Fora do Prazo")</f>
        <v>Fora do Prazo</v>
      </c>
      <c r="O151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11/06/2025, referente ao pedido Nº Pedido 1577 Rastreio NM800974729BR, agradecemos a preferência e adoraríamos receber sua avaliação, tendo qualquer dúvida estamos à disposição.
Att
NTA Variedades</v>
      </c>
    </row>
    <row r="1516" spans="1:15">
      <c r="A1516" s="52" t="str">
        <f>_xlfn.XLOOKUP(Follow[[#This Row],[CODRASTREIO]],Controle_Pedidos[Cód Rastreamento],Controle_Pedidos[Número Pedido Cliente])</f>
        <v>Pedido 1574</v>
      </c>
      <c r="B1516" s="2" t="s">
        <v>18945</v>
      </c>
      <c r="C1516" s="2" t="str">
        <f>Follow[[#This Row],[CODRASTREIO]]&amp;" B"</f>
        <v>CódRastreio1503 B</v>
      </c>
      <c r="D1516" s="52" t="str">
        <f>_xlfn.XLOOKUP(Follow[[#This Row],[Id Pedido]],Controle_Pedidos[Número Pedido Cliente],Controle_Pedidos[Loja])</f>
        <v>MEI</v>
      </c>
      <c r="E1516" s="9">
        <f>_xlfn.XLOOKUP(Follow[[#This Row],[Id Pedido]],Controle_Pedidos[Número Pedido Cliente],Controle_Pedidos[Prazo Entrega])</f>
        <v>45798</v>
      </c>
      <c r="F1516" s="9" t="s">
        <v>19433</v>
      </c>
      <c r="G1516" s="9" t="s">
        <v>634</v>
      </c>
      <c r="H1516" s="9" t="s">
        <v>179</v>
      </c>
      <c r="I1516" s="9" t="s">
        <v>178</v>
      </c>
      <c r="J1516" s="9">
        <v>45786</v>
      </c>
      <c r="K1516" s="8" t="s">
        <v>198</v>
      </c>
      <c r="L1516" s="8" t="s">
        <v>124</v>
      </c>
      <c r="M1516" s="8" t="s">
        <v>37</v>
      </c>
      <c r="N1516" s="52" t="str">
        <f>IF(Follow[[#This Row],[DATAATUALIZAÇÃO]]&lt;=Follow[[#This Row],[Prev Entrega]],"Dentro do Prazo","Fora do Prazo")</f>
        <v>Dentro do Prazo</v>
      </c>
      <c r="O15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09/05/2025, referente ao pedido Nº Pedido 1574 Rastreio NM801975867BR, agradecemos a preferência e adoraríamos receber sua avaliação, tendo qualquer dúvida estamos à disposição.
Att
NTA Variedades</v>
      </c>
    </row>
    <row r="1517" spans="1:15">
      <c r="A1517" s="52" t="str">
        <f>_xlfn.XLOOKUP(Follow[[#This Row],[CODRASTREIO]],Controle_Pedidos[Cód Rastreamento],Controle_Pedidos[Número Pedido Cliente])</f>
        <v>Pedido 1578</v>
      </c>
      <c r="B1517" s="2" t="s">
        <v>18949</v>
      </c>
      <c r="C1517" s="2" t="str">
        <f>Follow[[#This Row],[CODRASTREIO]]&amp;" B"</f>
        <v>CódRastreio1507 B</v>
      </c>
      <c r="D1517" s="52" t="str">
        <f>_xlfn.XLOOKUP(Follow[[#This Row],[Id Pedido]],Controle_Pedidos[Número Pedido Cliente],Controle_Pedidos[Loja])</f>
        <v>MEI</v>
      </c>
      <c r="E1517" s="9">
        <f>_xlfn.XLOOKUP(Follow[[#This Row],[Id Pedido]],Controle_Pedidos[Número Pedido Cliente],Controle_Pedidos[Prazo Entrega])</f>
        <v>45798</v>
      </c>
      <c r="F1517" s="9" t="s">
        <v>19433</v>
      </c>
      <c r="G1517" s="9" t="s">
        <v>635</v>
      </c>
      <c r="H1517" s="9" t="s">
        <v>179</v>
      </c>
      <c r="I1517" s="9" t="s">
        <v>178</v>
      </c>
      <c r="J1517" s="9">
        <v>45799</v>
      </c>
      <c r="K1517" s="8" t="s">
        <v>198</v>
      </c>
      <c r="L1517" s="8" t="s">
        <v>124</v>
      </c>
      <c r="M1517" s="8" t="s">
        <v>37</v>
      </c>
      <c r="N1517" s="52" t="str">
        <f>IF(Follow[[#This Row],[DATAATUALIZAÇÃO]]&lt;=Follow[[#This Row],[Prev Entrega]],"Dentro do Prazo","Fora do Prazo")</f>
        <v>Fora do Prazo</v>
      </c>
      <c r="O151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22/05/2025, referente ao pedido Nº Pedido 1578 Rastreio NM801844362BR, agradecemos a preferência e adoraríamos receber sua avaliação, tendo qualquer dúvida estamos à disposição.
Att
NTA Variedades</v>
      </c>
    </row>
    <row r="1518" spans="1:15">
      <c r="A1518" s="52" t="str">
        <f>_xlfn.XLOOKUP(Follow[[#This Row],[CODRASTREIO]],Controle_Pedidos[Cód Rastreamento],Controle_Pedidos[Número Pedido Cliente])</f>
        <v>Pedido 1579</v>
      </c>
      <c r="B1518" s="2" t="s">
        <v>18950</v>
      </c>
      <c r="C1518" s="2" t="str">
        <f>Follow[[#This Row],[CODRASTREIO]]&amp;" B"</f>
        <v>CódRastreio1508 B</v>
      </c>
      <c r="D1518" s="52" t="str">
        <f>_xlfn.XLOOKUP(Follow[[#This Row],[Id Pedido]],Controle_Pedidos[Número Pedido Cliente],Controle_Pedidos[Loja])</f>
        <v>MEI</v>
      </c>
      <c r="E1518" s="9">
        <f>_xlfn.XLOOKUP(Follow[[#This Row],[Id Pedido]],Controle_Pedidos[Número Pedido Cliente],Controle_Pedidos[Prazo Entrega])</f>
        <v>45798</v>
      </c>
      <c r="F1518" s="9" t="s">
        <v>19433</v>
      </c>
      <c r="G1518" s="9" t="s">
        <v>636</v>
      </c>
      <c r="H1518" s="9" t="s">
        <v>179</v>
      </c>
      <c r="I1518" s="9" t="s">
        <v>178</v>
      </c>
      <c r="J1518" s="9">
        <v>45806</v>
      </c>
      <c r="K1518" s="8" t="s">
        <v>198</v>
      </c>
      <c r="L1518" s="8" t="s">
        <v>124</v>
      </c>
      <c r="M1518" s="8" t="s">
        <v>37</v>
      </c>
      <c r="N1518" s="52" t="str">
        <f>IF(Follow[[#This Row],[DATAATUALIZAÇÃO]]&lt;=Follow[[#This Row],[Prev Entrega]],"Dentro do Prazo","Fora do Prazo")</f>
        <v>Fora do Prazo</v>
      </c>
      <c r="O151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29/05/2025, referente ao pedido Nº Pedido 1579 Rastreio NM801976377BR, agradecemos a preferência e adoraríamos receber sua avaliação, tendo qualquer dúvida estamos à disposição.
Att
NTA Variedades</v>
      </c>
    </row>
    <row r="1519" spans="1:15">
      <c r="A1519" s="52" t="str">
        <f>_xlfn.XLOOKUP(Follow[[#This Row],[CODRASTREIO]],Controle_Pedidos[Cód Rastreamento],Controle_Pedidos[Número Pedido Cliente])</f>
        <v>Pedido 1580</v>
      </c>
      <c r="B1519" s="2" t="s">
        <v>18951</v>
      </c>
      <c r="C1519" s="2" t="str">
        <f>Follow[[#This Row],[CODRASTREIO]]&amp;" B"</f>
        <v>CódRastreio1509 B</v>
      </c>
      <c r="D1519" s="52" t="str">
        <f>_xlfn.XLOOKUP(Follow[[#This Row],[Id Pedido]],Controle_Pedidos[Número Pedido Cliente],Controle_Pedidos[Loja])</f>
        <v>MEI</v>
      </c>
      <c r="E1519" s="9">
        <f>_xlfn.XLOOKUP(Follow[[#This Row],[Id Pedido]],Controle_Pedidos[Número Pedido Cliente],Controle_Pedidos[Prazo Entrega])</f>
        <v>45799</v>
      </c>
      <c r="F1519" s="9" t="s">
        <v>19433</v>
      </c>
      <c r="G1519" s="9" t="s">
        <v>637</v>
      </c>
      <c r="H1519" s="9" t="s">
        <v>179</v>
      </c>
      <c r="I1519" s="9" t="s">
        <v>178</v>
      </c>
      <c r="J1519" s="147">
        <v>45829.415659722225</v>
      </c>
      <c r="K1519" s="8" t="s">
        <v>198</v>
      </c>
      <c r="L1519" s="8" t="s">
        <v>124</v>
      </c>
      <c r="M1519" s="8" t="s">
        <v>37</v>
      </c>
      <c r="N1519" s="52" t="str">
        <f>IF(Follow[[#This Row],[DATAATUALIZAÇÃO]]&lt;=Follow[[#This Row],[Prev Entrega]],"Dentro do Prazo","Fora do Prazo")</f>
        <v>Fora do Prazo</v>
      </c>
      <c r="O151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21/06/2025, referente ao pedido Nº Pedido 1580 Rastreio NM801862180BR, agradecemos a preferência e adoraríamos receber sua avaliação, tendo qualquer dúvida estamos à disposição.
Att
NTA Variedades</v>
      </c>
    </row>
    <row r="1520" spans="1:15">
      <c r="A1520" s="52" t="str">
        <f>_xlfn.XLOOKUP(Follow[[#This Row],[CODRASTREIO]],Controle_Pedidos[Cód Rastreamento],Controle_Pedidos[Número Pedido Cliente])</f>
        <v>Pedido 1581</v>
      </c>
      <c r="B1520" s="2" t="s">
        <v>18952</v>
      </c>
      <c r="C1520" s="2" t="str">
        <f>Follow[[#This Row],[CODRASTREIO]]&amp;" B"</f>
        <v>CódRastreio1510 B</v>
      </c>
      <c r="D1520" s="52" t="str">
        <f>_xlfn.XLOOKUP(Follow[[#This Row],[Id Pedido]],Controle_Pedidos[Número Pedido Cliente],Controle_Pedidos[Loja])</f>
        <v>MEI</v>
      </c>
      <c r="E1520" s="9">
        <f>_xlfn.XLOOKUP(Follow[[#This Row],[Id Pedido]],Controle_Pedidos[Número Pedido Cliente],Controle_Pedidos[Prazo Entrega])</f>
        <v>45799</v>
      </c>
      <c r="F1520" s="9" t="s">
        <v>19433</v>
      </c>
      <c r="G1520" s="9" t="s">
        <v>638</v>
      </c>
      <c r="H1520" s="9" t="s">
        <v>179</v>
      </c>
      <c r="I1520" s="9" t="s">
        <v>178</v>
      </c>
      <c r="J1520" s="9">
        <v>45787</v>
      </c>
      <c r="K1520" s="8" t="s">
        <v>198</v>
      </c>
      <c r="L1520" s="8" t="s">
        <v>124</v>
      </c>
      <c r="M1520" s="8" t="s">
        <v>37</v>
      </c>
      <c r="N1520" s="52" t="str">
        <f>IF(Follow[[#This Row],[DATAATUALIZAÇÃO]]&lt;=Follow[[#This Row],[Prev Entrega]],"Dentro do Prazo","Fora do Prazo")</f>
        <v>Dentro do Prazo</v>
      </c>
      <c r="O152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10/05/2025, referente ao pedido Nº Pedido 1581 Rastreio NM801834060BR, agradecemos a preferência e adoraríamos receber sua avaliação, tendo qualquer dúvida estamos à disposição.
Att
NTA Variedades</v>
      </c>
    </row>
    <row r="1521" spans="1:15">
      <c r="A1521" s="52" t="str">
        <f>_xlfn.XLOOKUP(Follow[[#This Row],[CODRASTREIO]],Controle_Pedidos[Cód Rastreamento],Controle_Pedidos[Número Pedido Cliente])</f>
        <v>Pedido 1582</v>
      </c>
      <c r="B1521" s="2" t="s">
        <v>18953</v>
      </c>
      <c r="C1521" s="2" t="str">
        <f>Follow[[#This Row],[CODRASTREIO]]&amp;" B"</f>
        <v>CódRastreio1511 B</v>
      </c>
      <c r="D1521" s="52" t="str">
        <f>_xlfn.XLOOKUP(Follow[[#This Row],[Id Pedido]],Controle_Pedidos[Número Pedido Cliente],Controle_Pedidos[Loja])</f>
        <v>MEI</v>
      </c>
      <c r="E1521" s="9">
        <f>_xlfn.XLOOKUP(Follow[[#This Row],[Id Pedido]],Controle_Pedidos[Número Pedido Cliente],Controle_Pedidos[Prazo Entrega])</f>
        <v>45793</v>
      </c>
      <c r="F1521" s="9" t="s">
        <v>19433</v>
      </c>
      <c r="G1521" s="9" t="s">
        <v>639</v>
      </c>
      <c r="H1521" s="9" t="s">
        <v>179</v>
      </c>
      <c r="I1521" s="9" t="s">
        <v>178</v>
      </c>
      <c r="J1521" s="9">
        <v>45790</v>
      </c>
      <c r="K1521" s="8" t="s">
        <v>198</v>
      </c>
      <c r="L1521" s="8" t="s">
        <v>124</v>
      </c>
      <c r="M1521" s="8" t="s">
        <v>37</v>
      </c>
      <c r="N1521" s="52" t="str">
        <f>IF(Follow[[#This Row],[DATAATUALIZAÇÃO]]&lt;=Follow[[#This Row],[Prev Entrega]],"Dentro do Prazo","Fora do Prazo")</f>
        <v>Dentro do Prazo</v>
      </c>
      <c r="O152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13/05/2025, referente ao pedido Nº Pedido 1582 Rastreio NM801728070BR, agradecemos a preferência e adoraríamos receber sua avaliação, tendo qualquer dúvida estamos à disposição.
Att
NTA Variedades</v>
      </c>
    </row>
    <row r="1522" spans="1:15">
      <c r="A1522" s="52" t="str">
        <f>_xlfn.XLOOKUP(Follow[[#This Row],[CODRASTREIO]],Controle_Pedidos[Cód Rastreamento],Controle_Pedidos[Número Pedido Cliente])</f>
        <v>Pedido 1583</v>
      </c>
      <c r="B1522" s="2" t="s">
        <v>18954</v>
      </c>
      <c r="C1522" s="2" t="str">
        <f>Follow[[#This Row],[CODRASTREIO]]&amp;" B"</f>
        <v>CódRastreio1512 B</v>
      </c>
      <c r="D1522" s="52" t="str">
        <f>_xlfn.XLOOKUP(Follow[[#This Row],[Id Pedido]],Controle_Pedidos[Número Pedido Cliente],Controle_Pedidos[Loja])</f>
        <v>MEI</v>
      </c>
      <c r="E1522" s="9">
        <f>_xlfn.XLOOKUP(Follow[[#This Row],[Id Pedido]],Controle_Pedidos[Número Pedido Cliente],Controle_Pedidos[Prazo Entrega])</f>
        <v>45806</v>
      </c>
      <c r="F1522" s="9" t="s">
        <v>19433</v>
      </c>
      <c r="G1522" s="9" t="s">
        <v>640</v>
      </c>
      <c r="H1522" s="9" t="s">
        <v>179</v>
      </c>
      <c r="I1522" s="9" t="s">
        <v>178</v>
      </c>
      <c r="J1522" s="9">
        <v>45817</v>
      </c>
      <c r="K1522" s="8" t="s">
        <v>198</v>
      </c>
      <c r="L1522" s="8" t="s">
        <v>124</v>
      </c>
      <c r="M1522" s="8" t="s">
        <v>37</v>
      </c>
      <c r="N1522" s="52" t="str">
        <f>IF(Follow[[#This Row],[DATAATUALIZAÇÃO]]&lt;=Follow[[#This Row],[Prev Entrega]],"Dentro do Prazo","Fora do Prazo")</f>
        <v>Fora do Prazo</v>
      </c>
      <c r="O152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09/06/2025, referente ao pedido Nº Pedido 1583 Rastreio NM801736990BR, agradecemos a preferência e adoraríamos receber sua avaliação, tendo qualquer dúvida estamos à disposição.
Att
NTA Variedades</v>
      </c>
    </row>
    <row r="1523" spans="1:15">
      <c r="A1523" s="52" t="str">
        <f>_xlfn.XLOOKUP(Follow[[#This Row],[CODRASTREIO]],Controle_Pedidos[Cód Rastreamento],Controle_Pedidos[Número Pedido Cliente])</f>
        <v>Pedido 1584</v>
      </c>
      <c r="B1523" s="2" t="s">
        <v>18955</v>
      </c>
      <c r="C1523" s="2" t="str">
        <f>Follow[[#This Row],[CODRASTREIO]]&amp;" B"</f>
        <v>CódRastreio1513 B</v>
      </c>
      <c r="D1523" s="52" t="str">
        <f>_xlfn.XLOOKUP(Follow[[#This Row],[Id Pedido]],Controle_Pedidos[Número Pedido Cliente],Controle_Pedidos[Loja])</f>
        <v>MEI</v>
      </c>
      <c r="E1523" s="9">
        <f>_xlfn.XLOOKUP(Follow[[#This Row],[Id Pedido]],Controle_Pedidos[Número Pedido Cliente],Controle_Pedidos[Prazo Entrega])</f>
        <v>45800</v>
      </c>
      <c r="F1523" s="9" t="s">
        <v>19433</v>
      </c>
      <c r="G1523" s="9" t="s">
        <v>641</v>
      </c>
      <c r="H1523" s="9" t="s">
        <v>179</v>
      </c>
      <c r="I1523" s="9" t="s">
        <v>178</v>
      </c>
      <c r="J1523" s="147">
        <v>45821.504999999997</v>
      </c>
      <c r="K1523" s="8" t="s">
        <v>198</v>
      </c>
      <c r="L1523" s="8" t="s">
        <v>124</v>
      </c>
      <c r="M1523" s="8" t="s">
        <v>37</v>
      </c>
      <c r="N1523" s="52" t="str">
        <f>IF(Follow[[#This Row],[DATAATUALIZAÇÃO]]&lt;=Follow[[#This Row],[Prev Entrega]],"Dentro do Prazo","Fora do Prazo")</f>
        <v>Fora do Prazo</v>
      </c>
      <c r="O152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13/06/2025, referente ao pedido Nº Pedido 1584 Rastreio NM802606024BR, agradecemos a preferência e adoraríamos receber sua avaliação, tendo qualquer dúvida estamos à disposição.
Att
NTA Variedades</v>
      </c>
    </row>
    <row r="1524" spans="1:15">
      <c r="A1524" s="52" t="str">
        <f>_xlfn.XLOOKUP(Follow[[#This Row],[CODRASTREIO]],Controle_Pedidos[Cód Rastreamento],Controle_Pedidos[Número Pedido Cliente])</f>
        <v>Pedido 1585</v>
      </c>
      <c r="B1524" s="2" t="s">
        <v>18956</v>
      </c>
      <c r="C1524" s="2" t="str">
        <f>Follow[[#This Row],[CODRASTREIO]]&amp;" B"</f>
        <v>CódRastreio1514 B</v>
      </c>
      <c r="D1524" s="52" t="str">
        <f>_xlfn.XLOOKUP(Follow[[#This Row],[Id Pedido]],Controle_Pedidos[Número Pedido Cliente],Controle_Pedidos[Loja])</f>
        <v>MEI</v>
      </c>
      <c r="E1524" s="9">
        <f>_xlfn.XLOOKUP(Follow[[#This Row],[Id Pedido]],Controle_Pedidos[Número Pedido Cliente],Controle_Pedidos[Prazo Entrega])</f>
        <v>45807</v>
      </c>
      <c r="F1524" s="9" t="s">
        <v>19433</v>
      </c>
      <c r="G1524" s="9" t="s">
        <v>642</v>
      </c>
      <c r="H1524" s="9" t="s">
        <v>179</v>
      </c>
      <c r="I1524" s="9" t="s">
        <v>178</v>
      </c>
      <c r="J1524" s="9">
        <v>45796</v>
      </c>
      <c r="K1524" s="8" t="s">
        <v>198</v>
      </c>
      <c r="L1524" s="8" t="s">
        <v>124</v>
      </c>
      <c r="M1524" s="8" t="s">
        <v>37</v>
      </c>
      <c r="N1524" s="52" t="str">
        <f>IF(Follow[[#This Row],[DATAATUALIZAÇÃO]]&lt;=Follow[[#This Row],[Prev Entrega]],"Dentro do Prazo","Fora do Prazo")</f>
        <v>Dentro do Prazo</v>
      </c>
      <c r="O152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19/05/2025, referente ao pedido Nº Pedido 1585 Rastreio NM802401839BR, agradecemos a preferência e adoraríamos receber sua avaliação, tendo qualquer dúvida estamos à disposição.
Att
NTA Variedades</v>
      </c>
    </row>
    <row r="1525" spans="1:15">
      <c r="A1525" s="52" t="str">
        <f>_xlfn.XLOOKUP(Follow[[#This Row],[CODRASTREIO]],Controle_Pedidos[Cód Rastreamento],Controle_Pedidos[Número Pedido Cliente])</f>
        <v>Pedido 1588</v>
      </c>
      <c r="B1525" s="2" t="s">
        <v>18958</v>
      </c>
      <c r="C1525" s="2" t="str">
        <f>Follow[[#This Row],[CODRASTREIO]]&amp;" B"</f>
        <v>CódRastreio1516 B</v>
      </c>
      <c r="D1525" s="52" t="str">
        <f>_xlfn.XLOOKUP(Follow[[#This Row],[Id Pedido]],Controle_Pedidos[Número Pedido Cliente],Controle_Pedidos[Loja])</f>
        <v>MEI</v>
      </c>
      <c r="E1525" s="9">
        <f>_xlfn.XLOOKUP(Follow[[#This Row],[Id Pedido]],Controle_Pedidos[Número Pedido Cliente],Controle_Pedidos[Prazo Entrega])</f>
        <v>45807</v>
      </c>
      <c r="F1525" s="9" t="s">
        <v>19433</v>
      </c>
      <c r="G1525" s="9" t="s">
        <v>643</v>
      </c>
      <c r="H1525" s="9" t="s">
        <v>179</v>
      </c>
      <c r="I1525" s="9" t="s">
        <v>178</v>
      </c>
      <c r="J1525" s="147">
        <v>45840</v>
      </c>
      <c r="K1525" s="8" t="s">
        <v>198</v>
      </c>
      <c r="L1525" s="8" t="s">
        <v>124</v>
      </c>
      <c r="M1525" s="8" t="s">
        <v>37</v>
      </c>
      <c r="N1525" s="52" t="str">
        <f>IF(Follow[[#This Row],[DATAATUALIZAÇÃO]]&lt;=Follow[[#This Row],[Prev Entrega]],"Dentro do Prazo","Fora do Prazo")</f>
        <v>Fora do Prazo</v>
      </c>
      <c r="O152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02/07/2025, referente ao pedido Nº Pedido 1588 Rastreio NM803567199BR, agradecemos a preferência e adoraríamos receber sua avaliação, tendo qualquer dúvida estamos à disposição.
Att
NTA Variedades</v>
      </c>
    </row>
    <row r="1526" spans="1:15">
      <c r="A1526" s="52" t="str">
        <f>_xlfn.XLOOKUP(Follow[[#This Row],[CODRASTREIO]],Controle_Pedidos[Cód Rastreamento],Controle_Pedidos[Número Pedido Cliente])</f>
        <v>Pedido 1592</v>
      </c>
      <c r="B1526" s="2" t="s">
        <v>18962</v>
      </c>
      <c r="C1526" s="2" t="str">
        <f>Follow[[#This Row],[CODRASTREIO]]&amp;" B"</f>
        <v>CódRastreio1520 B</v>
      </c>
      <c r="D1526" s="52" t="str">
        <f>_xlfn.XLOOKUP(Follow[[#This Row],[Id Pedido]],Controle_Pedidos[Número Pedido Cliente],Controle_Pedidos[Loja])</f>
        <v>MEI</v>
      </c>
      <c r="E1526" s="9">
        <f>_xlfn.XLOOKUP(Follow[[#This Row],[Id Pedido]],Controle_Pedidos[Número Pedido Cliente],Controle_Pedidos[Prazo Entrega])</f>
        <v>45800</v>
      </c>
      <c r="F1526" s="9" t="s">
        <v>19433</v>
      </c>
      <c r="G1526" s="9" t="s">
        <v>644</v>
      </c>
      <c r="H1526" s="9" t="s">
        <v>179</v>
      </c>
      <c r="I1526" s="9" t="s">
        <v>178</v>
      </c>
      <c r="J1526" s="9">
        <v>45784</v>
      </c>
      <c r="K1526" s="8" t="s">
        <v>198</v>
      </c>
      <c r="L1526" s="8" t="s">
        <v>124</v>
      </c>
      <c r="M1526" s="8" t="s">
        <v>37</v>
      </c>
      <c r="N1526" s="52" t="str">
        <f>IF(Follow[[#This Row],[DATAATUALIZAÇÃO]]&lt;=Follow[[#This Row],[Prev Entrega]],"Dentro do Prazo","Fora do Prazo")</f>
        <v>Dentro do Prazo</v>
      </c>
      <c r="O152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Luminária Azul de mesa infantil foi entregue no dia 07/05/2025, referente ao pedido Nº Pedido 1592 Rastreio CNBR00067602697, agradecemos a preferência e adoraríamos receber sua avaliação, tendo qualquer dúvida estamos à disposição.
Att
NTA Variedades</v>
      </c>
    </row>
    <row r="1527" spans="1:15">
      <c r="A1527" s="52" t="str">
        <f>_xlfn.XLOOKUP(Follow[[#This Row],[CODRASTREIO]],Controle_Pedidos[Cód Rastreamento],Controle_Pedidos[Número Pedido Cliente])</f>
        <v>Pedido 1603</v>
      </c>
      <c r="B1527" s="2" t="s">
        <v>18973</v>
      </c>
      <c r="C1527" s="2" t="str">
        <f>Follow[[#This Row],[CODRASTREIO]]&amp;" B"</f>
        <v>CódRastreio1531 B</v>
      </c>
      <c r="D1527" s="52" t="str">
        <f>_xlfn.XLOOKUP(Follow[[#This Row],[Id Pedido]],Controle_Pedidos[Número Pedido Cliente],Controle_Pedidos[Loja])</f>
        <v>MEI</v>
      </c>
      <c r="E1527" s="9">
        <f>_xlfn.XLOOKUP(Follow[[#This Row],[Id Pedido]],Controle_Pedidos[Número Pedido Cliente],Controle_Pedidos[Prazo Entrega])</f>
        <v>45794</v>
      </c>
      <c r="F1527" s="9" t="s">
        <v>19433</v>
      </c>
      <c r="G1527" s="9" t="s">
        <v>37</v>
      </c>
      <c r="H1527" s="9" t="s">
        <v>178</v>
      </c>
      <c r="I1527" s="9" t="s">
        <v>178</v>
      </c>
      <c r="J1527" s="9">
        <v>45797</v>
      </c>
      <c r="K1527" s="8" t="s">
        <v>198</v>
      </c>
      <c r="L1527" s="8" t="s">
        <v>124</v>
      </c>
      <c r="M1527" s="8" t="s">
        <v>37</v>
      </c>
      <c r="N1527" s="52" t="str">
        <f>IF(Follow[[#This Row],[DATAATUALIZAÇÃO]]&lt;=Follow[[#This Row],[Prev Entrega]],"Dentro do Prazo","Fora do Prazo")</f>
        <v>Fora do Prazo</v>
      </c>
      <c r="O152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20/05/2025, referente ao pedido Nº Pedido 1603 Rastreio Pedido 1603, agradecemos a preferência e adoraríamos receber sua avaliação, tendo qualquer dúvida estamos à disposição.
Att
NTA Variedades</v>
      </c>
    </row>
    <row r="1528" spans="1:15">
      <c r="A1528" s="52" t="str">
        <f>_xlfn.XLOOKUP(Follow[[#This Row],[CODRASTREIO]],Controle_Pedidos[Cód Rastreamento],Controle_Pedidos[Número Pedido Cliente])</f>
        <v>Pedido 1586</v>
      </c>
      <c r="B1528" s="2" t="s">
        <v>18957</v>
      </c>
      <c r="C1528" s="2" t="str">
        <f>Follow[[#This Row],[CODRASTREIO]]&amp;" B"</f>
        <v>CódRastreio1515 B</v>
      </c>
      <c r="D1528" s="52" t="str">
        <f>_xlfn.XLOOKUP(Follow[[#This Row],[Id Pedido]],Controle_Pedidos[Número Pedido Cliente],Controle_Pedidos[Loja])</f>
        <v>MEI</v>
      </c>
      <c r="E1528" s="9">
        <f>_xlfn.XLOOKUP(Follow[[#This Row],[Id Pedido]],Controle_Pedidos[Número Pedido Cliente],Controle_Pedidos[Prazo Entrega])</f>
        <v>45800</v>
      </c>
      <c r="F1528" s="9" t="s">
        <v>19433</v>
      </c>
      <c r="G1528" s="9" t="s">
        <v>645</v>
      </c>
      <c r="H1528" s="9" t="s">
        <v>179</v>
      </c>
      <c r="I1528" s="9" t="s">
        <v>178</v>
      </c>
      <c r="J1528" s="147">
        <v>45820.580879629626</v>
      </c>
      <c r="K1528" s="8" t="s">
        <v>198</v>
      </c>
      <c r="L1528" s="8" t="s">
        <v>124</v>
      </c>
      <c r="M1528" s="8" t="s">
        <v>37</v>
      </c>
      <c r="N1528" s="52" t="str">
        <f>IF(Follow[[#This Row],[DATAATUALIZAÇÃO]]&lt;=Follow[[#This Row],[Prev Entrega]],"Dentro do Prazo","Fora do Prazo")</f>
        <v>Fora do Prazo</v>
      </c>
      <c r="O152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12/06/2025, referente ao pedido Nº Pedido 1586 Rastreio NM804359382BR, agradecemos a preferência e adoraríamos receber sua avaliação, tendo qualquer dúvida estamos à disposição.
Att
NTA Variedades</v>
      </c>
    </row>
    <row r="1529" spans="1:15">
      <c r="A1529" s="52" t="str">
        <f>_xlfn.XLOOKUP(Follow[[#This Row],[CODRASTREIO]],Controle_Pedidos[Cód Rastreamento],Controle_Pedidos[Número Pedido Cliente])</f>
        <v>Pedido 1590</v>
      </c>
      <c r="B1529" s="2" t="s">
        <v>18960</v>
      </c>
      <c r="C1529" s="2" t="str">
        <f>Follow[[#This Row],[CODRASTREIO]]&amp;" B"</f>
        <v>CódRastreio1518 B</v>
      </c>
      <c r="D1529" s="52" t="str">
        <f>_xlfn.XLOOKUP(Follow[[#This Row],[Id Pedido]],Controle_Pedidos[Número Pedido Cliente],Controle_Pedidos[Loja])</f>
        <v>MEI</v>
      </c>
      <c r="E1529" s="9">
        <f>_xlfn.XLOOKUP(Follow[[#This Row],[Id Pedido]],Controle_Pedidos[Número Pedido Cliente],Controle_Pedidos[Prazo Entrega])</f>
        <v>45800</v>
      </c>
      <c r="F1529" s="9" t="s">
        <v>19433</v>
      </c>
      <c r="G1529" s="9" t="s">
        <v>646</v>
      </c>
      <c r="H1529" s="9" t="s">
        <v>179</v>
      </c>
      <c r="I1529" s="9" t="s">
        <v>178</v>
      </c>
      <c r="J1529" s="9">
        <v>45794</v>
      </c>
      <c r="K1529" s="8" t="s">
        <v>198</v>
      </c>
      <c r="L1529" s="8" t="s">
        <v>124</v>
      </c>
      <c r="M1529" s="8" t="s">
        <v>37</v>
      </c>
      <c r="N1529" s="52" t="str">
        <f>IF(Follow[[#This Row],[DATAATUALIZAÇÃO]]&lt;=Follow[[#This Row],[Prev Entrega]],"Dentro do Prazo","Fora do Prazo")</f>
        <v>Dentro do Prazo</v>
      </c>
      <c r="O152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17/05/2025, referente ao pedido Nº Pedido 1590 Rastreio CNBR00067976989, agradecemos a preferência e adoraríamos receber sua avaliação, tendo qualquer dúvida estamos à disposição.
Att
NTA Variedades</v>
      </c>
    </row>
    <row r="1530" spans="1:15">
      <c r="A1530" s="52" t="str">
        <f>_xlfn.XLOOKUP(Follow[[#This Row],[CODRASTREIO]],Controle_Pedidos[Cód Rastreamento],Controle_Pedidos[Número Pedido Cliente])</f>
        <v>Pedido 1591</v>
      </c>
      <c r="B1530" s="2" t="s">
        <v>18961</v>
      </c>
      <c r="C1530" s="2" t="str">
        <f>Follow[[#This Row],[CODRASTREIO]]&amp;" B"</f>
        <v>CódRastreio1519 B</v>
      </c>
      <c r="D1530" s="52" t="str">
        <f>_xlfn.XLOOKUP(Follow[[#This Row],[Id Pedido]],Controle_Pedidos[Número Pedido Cliente],Controle_Pedidos[Loja])</f>
        <v>MEI</v>
      </c>
      <c r="E1530" s="9">
        <f>_xlfn.XLOOKUP(Follow[[#This Row],[Id Pedido]],Controle_Pedidos[Número Pedido Cliente],Controle_Pedidos[Prazo Entrega])</f>
        <v>45800</v>
      </c>
      <c r="F1530" s="9" t="s">
        <v>19433</v>
      </c>
      <c r="G1530" s="9" t="s">
        <v>647</v>
      </c>
      <c r="H1530" s="9" t="s">
        <v>179</v>
      </c>
      <c r="I1530" s="9" t="s">
        <v>178</v>
      </c>
      <c r="J1530" s="9">
        <v>45812</v>
      </c>
      <c r="K1530" s="8" t="s">
        <v>198</v>
      </c>
      <c r="L1530" s="8" t="s">
        <v>124</v>
      </c>
      <c r="M1530" s="8" t="s">
        <v>37</v>
      </c>
      <c r="N1530" s="52" t="str">
        <f>IF(Follow[[#This Row],[DATAATUALIZAÇÃO]]&lt;=Follow[[#This Row],[Prev Entrega]],"Dentro do Prazo","Fora do Prazo")</f>
        <v>Fora do Prazo</v>
      </c>
      <c r="O153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04/06/2025, referente ao pedido Nº Pedido 1591 Rastreio CNBR00067987712, agradecemos a preferência e adoraríamos receber sua avaliação, tendo qualquer dúvida estamos à disposição.
Att
NTA Variedades</v>
      </c>
    </row>
    <row r="1531" spans="1:15">
      <c r="A1531" s="52" t="str">
        <f>_xlfn.XLOOKUP(Follow[[#This Row],[CODRASTREIO]],Controle_Pedidos[Cód Rastreamento],Controle_Pedidos[Número Pedido Cliente])</f>
        <v>Pedido 1595</v>
      </c>
      <c r="B1531" s="2" t="s">
        <v>18965</v>
      </c>
      <c r="C1531" s="2" t="str">
        <f>Follow[[#This Row],[CODRASTREIO]]&amp;" B"</f>
        <v>CódRastreio1523 B</v>
      </c>
      <c r="D1531" s="52" t="str">
        <f>_xlfn.XLOOKUP(Follow[[#This Row],[Id Pedido]],Controle_Pedidos[Número Pedido Cliente],Controle_Pedidos[Loja])</f>
        <v>MEI</v>
      </c>
      <c r="E1531" s="9">
        <f>_xlfn.XLOOKUP(Follow[[#This Row],[Id Pedido]],Controle_Pedidos[Número Pedido Cliente],Controle_Pedidos[Prazo Entrega])</f>
        <v>45794</v>
      </c>
      <c r="F1531" s="9" t="s">
        <v>19433</v>
      </c>
      <c r="G1531" s="9" t="s">
        <v>648</v>
      </c>
      <c r="H1531" s="9" t="s">
        <v>179</v>
      </c>
      <c r="I1531" s="9" t="s">
        <v>178</v>
      </c>
      <c r="J1531" s="147">
        <v>45832</v>
      </c>
      <c r="K1531" s="8" t="s">
        <v>198</v>
      </c>
      <c r="L1531" s="8" t="s">
        <v>124</v>
      </c>
      <c r="M1531" s="8" t="s">
        <v>37</v>
      </c>
      <c r="N1531" s="52" t="str">
        <f>IF(Follow[[#This Row],[DATAATUALIZAÇÃO]]&lt;=Follow[[#This Row],[Prev Entrega]],"Dentro do Prazo","Fora do Prazo")</f>
        <v>Fora do Prazo</v>
      </c>
      <c r="O153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24/06/2025, referente ao pedido Nº Pedido 1595 Rastreio CNBR00067966364, agradecemos a preferência e adoraríamos receber sua avaliação, tendo qualquer dúvida estamos à disposição.
Att
NTA Variedades</v>
      </c>
    </row>
    <row r="1532" spans="1:15">
      <c r="A1532" s="52" t="str">
        <f>_xlfn.XLOOKUP(Follow[[#This Row],[CODRASTREIO]],Controle_Pedidos[Cód Rastreamento],Controle_Pedidos[Número Pedido Cliente])</f>
        <v>Pedido 1596</v>
      </c>
      <c r="B1532" s="2" t="s">
        <v>18966</v>
      </c>
      <c r="C1532" s="2" t="str">
        <f>Follow[[#This Row],[CODRASTREIO]]&amp;" B"</f>
        <v>CódRastreio1524 B</v>
      </c>
      <c r="D1532" s="52" t="str">
        <f>_xlfn.XLOOKUP(Follow[[#This Row],[Id Pedido]],Controle_Pedidos[Número Pedido Cliente],Controle_Pedidos[Loja])</f>
        <v>MEI</v>
      </c>
      <c r="E1532" s="9">
        <f>_xlfn.XLOOKUP(Follow[[#This Row],[Id Pedido]],Controle_Pedidos[Número Pedido Cliente],Controle_Pedidos[Prazo Entrega])</f>
        <v>45800</v>
      </c>
      <c r="F1532" s="9" t="s">
        <v>19433</v>
      </c>
      <c r="G1532" s="9" t="s">
        <v>649</v>
      </c>
      <c r="H1532" s="9" t="s">
        <v>179</v>
      </c>
      <c r="I1532" s="9" t="s">
        <v>178</v>
      </c>
      <c r="J1532" s="147">
        <v>45840</v>
      </c>
      <c r="K1532" s="8" t="s">
        <v>198</v>
      </c>
      <c r="L1532" s="8" t="s">
        <v>124</v>
      </c>
      <c r="M1532" s="8" t="s">
        <v>37</v>
      </c>
      <c r="N1532" s="52" t="str">
        <f>IF(Follow[[#This Row],[DATAATUALIZAÇÃO]]&lt;=Follow[[#This Row],[Prev Entrega]],"Dentro do Prazo","Fora do Prazo")</f>
        <v>Fora do Prazo</v>
      </c>
      <c r="O153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02/07/2025, referente ao pedido Nº Pedido 1596 Rastreio CNBR00067961899, agradecemos a preferência e adoraríamos receber sua avaliação, tendo qualquer dúvida estamos à disposição.
Att
NTA Variedades</v>
      </c>
    </row>
    <row r="1533" spans="1:15">
      <c r="A1533" s="52" t="str">
        <f>_xlfn.XLOOKUP(Follow[[#This Row],[CODRASTREIO]],Controle_Pedidos[Cód Rastreamento],Controle_Pedidos[Número Pedido Cliente])</f>
        <v>Pedido 1598</v>
      </c>
      <c r="B1533" s="2" t="s">
        <v>18968</v>
      </c>
      <c r="C1533" s="2" t="str">
        <f>Follow[[#This Row],[CODRASTREIO]]&amp;" B"</f>
        <v>CódRastreio1526 B</v>
      </c>
      <c r="D1533" s="52" t="str">
        <f>_xlfn.XLOOKUP(Follow[[#This Row],[Id Pedido]],Controle_Pedidos[Número Pedido Cliente],Controle_Pedidos[Loja])</f>
        <v>MEI</v>
      </c>
      <c r="E1533" s="9">
        <f>_xlfn.XLOOKUP(Follow[[#This Row],[Id Pedido]],Controle_Pedidos[Número Pedido Cliente],Controle_Pedidos[Prazo Entrega])</f>
        <v>45794</v>
      </c>
      <c r="F1533" s="9" t="s">
        <v>19433</v>
      </c>
      <c r="G1533" s="9" t="s">
        <v>650</v>
      </c>
      <c r="H1533" s="9" t="s">
        <v>179</v>
      </c>
      <c r="I1533" s="9" t="s">
        <v>178</v>
      </c>
      <c r="J1533" s="9">
        <v>45786</v>
      </c>
      <c r="K1533" s="8" t="s">
        <v>198</v>
      </c>
      <c r="L1533" s="8" t="s">
        <v>124</v>
      </c>
      <c r="M1533" s="8" t="s">
        <v>37</v>
      </c>
      <c r="N1533" s="52" t="str">
        <f>IF(Follow[[#This Row],[DATAATUALIZAÇÃO]]&lt;=Follow[[#This Row],[Prev Entrega]],"Dentro do Prazo","Fora do Prazo")</f>
        <v>Dentro do Prazo</v>
      </c>
      <c r="O153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09/05/2025, referente ao pedido Nº Pedido 1598 Rastreio CNBR00067971719, agradecemos a preferência e adoraríamos receber sua avaliação, tendo qualquer dúvida estamos à disposição.
Att
NTA Variedades</v>
      </c>
    </row>
    <row r="1534" spans="1:15">
      <c r="A1534" s="52" t="str">
        <f>_xlfn.XLOOKUP(Follow[[#This Row],[CODRASTREIO]],Controle_Pedidos[Cód Rastreamento],Controle_Pedidos[Número Pedido Cliente])</f>
        <v>Pedido 1601</v>
      </c>
      <c r="B1534" s="2" t="s">
        <v>18971</v>
      </c>
      <c r="C1534" s="2" t="str">
        <f>Follow[[#This Row],[CODRASTREIO]]&amp;" B"</f>
        <v>CódRastreio1529 B</v>
      </c>
      <c r="D1534" s="52" t="str">
        <f>_xlfn.XLOOKUP(Follow[[#This Row],[Id Pedido]],Controle_Pedidos[Número Pedido Cliente],Controle_Pedidos[Loja])</f>
        <v>MEI</v>
      </c>
      <c r="E1534" s="9">
        <f>_xlfn.XLOOKUP(Follow[[#This Row],[Id Pedido]],Controle_Pedidos[Número Pedido Cliente],Controle_Pedidos[Prazo Entrega])</f>
        <v>45800</v>
      </c>
      <c r="F1534" s="9" t="s">
        <v>19433</v>
      </c>
      <c r="G1534" s="9" t="s">
        <v>651</v>
      </c>
      <c r="H1534" s="9" t="s">
        <v>179</v>
      </c>
      <c r="I1534" s="9" t="s">
        <v>178</v>
      </c>
      <c r="J1534" s="9">
        <v>45800</v>
      </c>
      <c r="K1534" s="8" t="s">
        <v>198</v>
      </c>
      <c r="L1534" s="8" t="s">
        <v>124</v>
      </c>
      <c r="M1534" s="8" t="s">
        <v>37</v>
      </c>
      <c r="N1534" s="52" t="str">
        <f>IF(Follow[[#This Row],[DATAATUALIZAÇÃO]]&lt;=Follow[[#This Row],[Prev Entrega]],"Dentro do Prazo","Fora do Prazo")</f>
        <v>Dentro do Prazo</v>
      </c>
      <c r="O153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23/05/2025, referente ao pedido Nº Pedido 1601 Rastreio NM804316529BR, agradecemos a preferência e adoraríamos receber sua avaliação, tendo qualquer dúvida estamos à disposição.
Att
NTA Variedades</v>
      </c>
    </row>
    <row r="1535" spans="1:15">
      <c r="A1535" s="52" t="str">
        <f>_xlfn.XLOOKUP(Follow[[#This Row],[CODRASTREIO]],Controle_Pedidos[Cód Rastreamento],Controle_Pedidos[Número Pedido Cliente])</f>
        <v>Pedido 1605</v>
      </c>
      <c r="B1535" s="2" t="s">
        <v>18975</v>
      </c>
      <c r="C1535" s="2" t="str">
        <f>Follow[[#This Row],[CODRASTREIO]]&amp;" B"</f>
        <v>CódRastreio1533 B</v>
      </c>
      <c r="D1535" s="52" t="str">
        <f>_xlfn.XLOOKUP(Follow[[#This Row],[Id Pedido]],Controle_Pedidos[Número Pedido Cliente],Controle_Pedidos[Loja])</f>
        <v>MEI</v>
      </c>
      <c r="E1535" s="9">
        <f>_xlfn.XLOOKUP(Follow[[#This Row],[Id Pedido]],Controle_Pedidos[Número Pedido Cliente],Controle_Pedidos[Prazo Entrega])</f>
        <v>45808</v>
      </c>
      <c r="F1535" s="9" t="s">
        <v>19433</v>
      </c>
      <c r="G1535" s="9" t="s">
        <v>652</v>
      </c>
      <c r="H1535" s="9" t="s">
        <v>179</v>
      </c>
      <c r="I1535" s="9" t="s">
        <v>178</v>
      </c>
      <c r="J1535" s="147">
        <v>45833</v>
      </c>
      <c r="K1535" s="8" t="s">
        <v>198</v>
      </c>
      <c r="L1535" s="8" t="s">
        <v>124</v>
      </c>
      <c r="M1535" s="8" t="s">
        <v>37</v>
      </c>
      <c r="N1535" s="52" t="str">
        <f>IF(Follow[[#This Row],[DATAATUALIZAÇÃO]]&lt;=Follow[[#This Row],[Prev Entrega]],"Dentro do Prazo","Fora do Prazo")</f>
        <v>Fora do Prazo</v>
      </c>
      <c r="O153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25/06/2025, referente ao pedido Nº Pedido 1605 Rastreio NM804320007BR, agradecemos a preferência e adoraríamos receber sua avaliação, tendo qualquer dúvida estamos à disposição.
Att
NTA Variedades</v>
      </c>
    </row>
    <row r="1536" spans="1:15">
      <c r="A1536" s="52" t="str">
        <f>_xlfn.XLOOKUP(Follow[[#This Row],[CODRASTREIO]],Controle_Pedidos[Cód Rastreamento],Controle_Pedidos[Número Pedido Cliente])</f>
        <v>Pedido 1606</v>
      </c>
      <c r="B1536" s="2" t="s">
        <v>18976</v>
      </c>
      <c r="C1536" s="2" t="str">
        <f>Follow[[#This Row],[CODRASTREIO]]&amp;" B"</f>
        <v>CódRastreio1534 B</v>
      </c>
      <c r="D1536" s="52" t="str">
        <f>_xlfn.XLOOKUP(Follow[[#This Row],[Id Pedido]],Controle_Pedidos[Número Pedido Cliente],Controle_Pedidos[Loja])</f>
        <v>MEI</v>
      </c>
      <c r="E1536" s="9">
        <f>_xlfn.XLOOKUP(Follow[[#This Row],[Id Pedido]],Controle_Pedidos[Número Pedido Cliente],Controle_Pedidos[Prazo Entrega])</f>
        <v>45801</v>
      </c>
      <c r="F1536" s="9" t="s">
        <v>19433</v>
      </c>
      <c r="G1536" s="9" t="s">
        <v>653</v>
      </c>
      <c r="H1536" s="9" t="s">
        <v>179</v>
      </c>
      <c r="I1536" s="9" t="s">
        <v>178</v>
      </c>
      <c r="J1536" s="9">
        <v>45812</v>
      </c>
      <c r="K1536" s="8" t="s">
        <v>198</v>
      </c>
      <c r="L1536" s="8" t="s">
        <v>124</v>
      </c>
      <c r="M1536" s="8" t="s">
        <v>37</v>
      </c>
      <c r="N1536" s="52" t="str">
        <f>IF(Follow[[#This Row],[DATAATUALIZAÇÃO]]&lt;=Follow[[#This Row],[Prev Entrega]],"Dentro do Prazo","Fora do Prazo")</f>
        <v>Fora do Prazo</v>
      </c>
      <c r="O153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04/06/2025, referente ao pedido Nº Pedido 1606 Rastreio CNBR00067970904, agradecemos a preferência e adoraríamos receber sua avaliação, tendo qualquer dúvida estamos à disposição.
Att
NTA Variedades</v>
      </c>
    </row>
    <row r="1537" spans="1:15">
      <c r="A1537" s="52" t="str">
        <f>_xlfn.XLOOKUP(Follow[[#This Row],[CODRASTREIO]],Controle_Pedidos[Cód Rastreamento],Controle_Pedidos[Número Pedido Cliente])</f>
        <v>Pedido 1607</v>
      </c>
      <c r="B1537" s="2" t="s">
        <v>18977</v>
      </c>
      <c r="C1537" s="2" t="str">
        <f>Follow[[#This Row],[CODRASTREIO]]&amp;" B"</f>
        <v>CódRastreio1535 B</v>
      </c>
      <c r="D1537" s="52" t="str">
        <f>_xlfn.XLOOKUP(Follow[[#This Row],[Id Pedido]],Controle_Pedidos[Número Pedido Cliente],Controle_Pedidos[Loja])</f>
        <v>MEI</v>
      </c>
      <c r="E1537" s="9">
        <f>_xlfn.XLOOKUP(Follow[[#This Row],[Id Pedido]],Controle_Pedidos[Número Pedido Cliente],Controle_Pedidos[Prazo Entrega])</f>
        <v>45797</v>
      </c>
      <c r="F1537" s="9" t="s">
        <v>19433</v>
      </c>
      <c r="G1537" s="9" t="s">
        <v>654</v>
      </c>
      <c r="H1537" s="9" t="s">
        <v>179</v>
      </c>
      <c r="I1537" s="9" t="s">
        <v>178</v>
      </c>
      <c r="J1537" s="9">
        <v>45805</v>
      </c>
      <c r="K1537" s="8" t="s">
        <v>198</v>
      </c>
      <c r="L1537" s="8" t="s">
        <v>124</v>
      </c>
      <c r="M1537" s="8" t="s">
        <v>37</v>
      </c>
      <c r="N1537" s="52" t="str">
        <f>IF(Follow[[#This Row],[DATAATUALIZAÇÃO]]&lt;=Follow[[#This Row],[Prev Entrega]],"Dentro do Prazo","Fora do Prazo")</f>
        <v>Fora do Prazo</v>
      </c>
      <c r="O153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28/05/2025, referente ao pedido Nº Pedido 1607 Rastreio NM804316458BR, agradecemos a preferência e adoraríamos receber sua avaliação, tendo qualquer dúvida estamos à disposição.
Att
NTA Variedades</v>
      </c>
    </row>
    <row r="1538" spans="1:15">
      <c r="A1538" s="52" t="str">
        <f>_xlfn.XLOOKUP(Follow[[#This Row],[CODRASTREIO]],Controle_Pedidos[Cód Rastreamento],Controle_Pedidos[Número Pedido Cliente])</f>
        <v>Pedido 1609</v>
      </c>
      <c r="B1538" s="2" t="s">
        <v>18979</v>
      </c>
      <c r="C1538" s="2" t="str">
        <f>Follow[[#This Row],[CODRASTREIO]]&amp;" B"</f>
        <v>CódRastreio1537 B</v>
      </c>
      <c r="D1538" s="52" t="str">
        <f>_xlfn.XLOOKUP(Follow[[#This Row],[Id Pedido]],Controle_Pedidos[Número Pedido Cliente],Controle_Pedidos[Loja])</f>
        <v>MEI</v>
      </c>
      <c r="E1538" s="9">
        <f>_xlfn.XLOOKUP(Follow[[#This Row],[Id Pedido]],Controle_Pedidos[Número Pedido Cliente],Controle_Pedidos[Prazo Entrega])</f>
        <v>45808</v>
      </c>
      <c r="F1538" s="9" t="s">
        <v>19433</v>
      </c>
      <c r="G1538" s="9" t="s">
        <v>655</v>
      </c>
      <c r="H1538" s="9" t="s">
        <v>179</v>
      </c>
      <c r="I1538" s="9" t="s">
        <v>178</v>
      </c>
      <c r="J1538" s="147">
        <v>45833</v>
      </c>
      <c r="K1538" s="8" t="s">
        <v>198</v>
      </c>
      <c r="L1538" s="8" t="s">
        <v>124</v>
      </c>
      <c r="M1538" s="8" t="s">
        <v>37</v>
      </c>
      <c r="N1538" s="52" t="str">
        <f>IF(Follow[[#This Row],[DATAATUALIZAÇÃO]]&lt;=Follow[[#This Row],[Prev Entrega]],"Dentro do Prazo","Fora do Prazo")</f>
        <v>Fora do Prazo</v>
      </c>
      <c r="O153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25/06/2025, referente ao pedido Nº Pedido 1609 Rastreio NM804324445BR, agradecemos a preferência e adoraríamos receber sua avaliação, tendo qualquer dúvida estamos à disposição.
Att
NTA Variedades</v>
      </c>
    </row>
    <row r="1539" spans="1:15">
      <c r="A1539" s="52" t="str">
        <f>_xlfn.XLOOKUP(Follow[[#This Row],[CODRASTREIO]],Controle_Pedidos[Cód Rastreamento],Controle_Pedidos[Número Pedido Cliente])</f>
        <v>Pedido 1612</v>
      </c>
      <c r="B1539" s="2" t="s">
        <v>18982</v>
      </c>
      <c r="C1539" s="2" t="str">
        <f>Follow[[#This Row],[CODRASTREIO]]&amp;" B"</f>
        <v>CódRastreio1540 B</v>
      </c>
      <c r="D1539" s="52" t="str">
        <f>_xlfn.XLOOKUP(Follow[[#This Row],[Id Pedido]],Controle_Pedidos[Número Pedido Cliente],Controle_Pedidos[Loja])</f>
        <v>GO</v>
      </c>
      <c r="E1539" s="9">
        <f>_xlfn.XLOOKUP(Follow[[#This Row],[Id Pedido]],Controle_Pedidos[Número Pedido Cliente],Controle_Pedidos[Prazo Entrega])</f>
        <v>45800</v>
      </c>
      <c r="F1539" s="9" t="s">
        <v>19433</v>
      </c>
      <c r="G1539" s="9" t="s">
        <v>656</v>
      </c>
      <c r="H1539" s="9" t="s">
        <v>179</v>
      </c>
      <c r="I1539" s="9" t="s">
        <v>178</v>
      </c>
      <c r="J1539" s="9">
        <v>45790</v>
      </c>
      <c r="K1539" s="8" t="s">
        <v>198</v>
      </c>
      <c r="L1539" s="8" t="s">
        <v>124</v>
      </c>
      <c r="M1539" s="8" t="s">
        <v>37</v>
      </c>
      <c r="N1539" s="52" t="str">
        <f>IF(Follow[[#This Row],[DATAATUALIZAÇÃO]]&lt;=Follow[[#This Row],[Prev Entrega]],"Dentro do Prazo","Fora do Prazo")</f>
        <v>Dentro do Prazo</v>
      </c>
      <c r="O153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13/05/2025, referente ao pedido Nº Pedido 1612 Rastreio CNBR00067979952, agradecemos a preferência e adoraríamos receber sua avaliação, tendo qualquer dúvida estamos à disposição.
Att
Sec Variedades</v>
      </c>
    </row>
    <row r="1540" spans="1:15">
      <c r="A1540" s="52" t="str">
        <f>_xlfn.XLOOKUP(Follow[[#This Row],[CODRASTREIO]],Controle_Pedidos[Cód Rastreamento],Controle_Pedidos[Número Pedido Cliente])</f>
        <v>Pedido 1617</v>
      </c>
      <c r="B1540" s="2" t="s">
        <v>18986</v>
      </c>
      <c r="C1540" s="2" t="str">
        <f>Follow[[#This Row],[CODRASTREIO]]&amp;" B"</f>
        <v>CódRastreio1544 B</v>
      </c>
      <c r="D1540" s="52" t="str">
        <f>_xlfn.XLOOKUP(Follow[[#This Row],[Id Pedido]],Controle_Pedidos[Número Pedido Cliente],Controle_Pedidos[Loja])</f>
        <v>MEI</v>
      </c>
      <c r="E1540" s="9">
        <f>_xlfn.XLOOKUP(Follow[[#This Row],[Id Pedido]],Controle_Pedidos[Número Pedido Cliente],Controle_Pedidos[Prazo Entrega])</f>
        <v>45801</v>
      </c>
      <c r="F1540" s="9" t="s">
        <v>19433</v>
      </c>
      <c r="G1540" s="9" t="s">
        <v>657</v>
      </c>
      <c r="H1540" s="9" t="s">
        <v>179</v>
      </c>
      <c r="I1540" s="9" t="s">
        <v>178</v>
      </c>
      <c r="J1540" s="9">
        <v>45784</v>
      </c>
      <c r="K1540" s="8" t="s">
        <v>578</v>
      </c>
      <c r="L1540" s="8" t="s">
        <v>124</v>
      </c>
      <c r="M1540" s="8" t="s">
        <v>37</v>
      </c>
      <c r="N1540" s="52" t="str">
        <f>IF(Follow[[#This Row],[DATAATUALIZAÇÃO]]&lt;=Follow[[#This Row],[Prev Entrega]],"Dentro do Prazo","Fora do Prazo")</f>
        <v>Dentro do Prazo</v>
      </c>
      <c r="O1540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07/05/2025, referente ao pedido Nº Pedido 1617 Rastreio CNBR00067986395, agradecemos a preferência e adoraríamos receber sua avaliação, tendo qualquer dúvida estamos à disposição.
Att
NTA Variedades</v>
      </c>
    </row>
    <row r="1541" spans="1:15">
      <c r="A1541" s="52" t="str">
        <f>_xlfn.XLOOKUP(Follow[[#This Row],[CODRASTREIO]],Controle_Pedidos[Cód Rastreamento],Controle_Pedidos[Número Pedido Cliente])</f>
        <v>Pedido 1624</v>
      </c>
      <c r="B1541" s="2" t="s">
        <v>18992</v>
      </c>
      <c r="C1541" s="2" t="str">
        <f>Follow[[#This Row],[CODRASTREIO]]&amp;" B"</f>
        <v>CódRastreio1550 B</v>
      </c>
      <c r="D1541" s="52" t="str">
        <f>_xlfn.XLOOKUP(Follow[[#This Row],[Id Pedido]],Controle_Pedidos[Número Pedido Cliente],Controle_Pedidos[Loja])</f>
        <v>MEI</v>
      </c>
      <c r="E1541" s="9">
        <f>_xlfn.XLOOKUP(Follow[[#This Row],[Id Pedido]],Controle_Pedidos[Número Pedido Cliente],Controle_Pedidos[Prazo Entrega])</f>
        <v>45804</v>
      </c>
      <c r="F1541" s="9" t="s">
        <v>19433</v>
      </c>
      <c r="G1541" s="9" t="s">
        <v>658</v>
      </c>
      <c r="H1541" s="9" t="s">
        <v>179</v>
      </c>
      <c r="I1541" s="9" t="s">
        <v>178</v>
      </c>
      <c r="J1541" s="9">
        <v>45868</v>
      </c>
      <c r="K1541" s="8" t="s">
        <v>533</v>
      </c>
      <c r="L1541" s="8" t="s">
        <v>124</v>
      </c>
      <c r="M1541" s="8" t="s">
        <v>208</v>
      </c>
      <c r="N1541" s="52" t="str">
        <f>IF(Follow[[#This Row],[DATAATUALIZAÇÃO]]&lt;=Follow[[#This Row],[Prev Entrega]],"Dentro do Prazo","Fora do Prazo")</f>
        <v>Fora do Prazo</v>
      </c>
      <c r="O1541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30/07/2025, referente ao pedido Nº Pedido 1624 Rastreio NM804389755BR, agradecemos a preferência e adoraríamos receber sua avaliação, tendo qualquer dúvida estamos à disposição.
Att
NTA Variedades</v>
      </c>
    </row>
    <row r="1542" spans="1:15">
      <c r="A1542" s="52" t="str">
        <f>_xlfn.XLOOKUP(Follow[[#This Row],[CODRASTREIO]],Controle_Pedidos[Cód Rastreamento],Controle_Pedidos[Número Pedido Cliente])</f>
        <v>Pedido 1593</v>
      </c>
      <c r="B1542" s="2" t="s">
        <v>18963</v>
      </c>
      <c r="C1542" s="2" t="str">
        <f>Follow[[#This Row],[CODRASTREIO]]&amp;" B"</f>
        <v>CódRastreio1521 B</v>
      </c>
      <c r="D1542" s="52" t="str">
        <f>_xlfn.XLOOKUP(Follow[[#This Row],[Id Pedido]],Controle_Pedidos[Número Pedido Cliente],Controle_Pedidos[Loja])</f>
        <v>MEI</v>
      </c>
      <c r="E1542" s="9">
        <f>_xlfn.XLOOKUP(Follow[[#This Row],[Id Pedido]],Controle_Pedidos[Número Pedido Cliente],Controle_Pedidos[Prazo Entrega])</f>
        <v>45800</v>
      </c>
      <c r="F1542" s="9" t="s">
        <v>19433</v>
      </c>
      <c r="G1542" s="9" t="s">
        <v>659</v>
      </c>
      <c r="H1542" s="9" t="s">
        <v>179</v>
      </c>
      <c r="I1542" s="9" t="s">
        <v>178</v>
      </c>
      <c r="J1542" s="9">
        <v>45792</v>
      </c>
      <c r="K1542" s="8" t="s">
        <v>198</v>
      </c>
      <c r="L1542" s="8" t="s">
        <v>124</v>
      </c>
      <c r="M1542" s="8" t="s">
        <v>37</v>
      </c>
      <c r="N1542" s="52" t="str">
        <f>IF(Follow[[#This Row],[DATAATUALIZAÇÃO]]&lt;=Follow[[#This Row],[Prev Entrega]],"Dentro do Prazo","Fora do Prazo")</f>
        <v>Dentro do Prazo</v>
      </c>
      <c r="O154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15/05/2025, referente ao pedido Nº Pedido 1593 Rastreio NM804344989BR, agradecemos a preferência e adoraríamos receber sua avaliação, tendo qualquer dúvida estamos à disposição.
Att
NTA Variedades</v>
      </c>
    </row>
    <row r="1543" spans="1:15">
      <c r="A1543" s="52" t="str">
        <f>_xlfn.XLOOKUP(Follow[[#This Row],[CODRASTREIO]],Controle_Pedidos[Cód Rastreamento],Controle_Pedidos[Número Pedido Cliente])</f>
        <v>Pedido 1611</v>
      </c>
      <c r="B1543" s="2" t="s">
        <v>18981</v>
      </c>
      <c r="C1543" s="2" t="str">
        <f>Follow[[#This Row],[CODRASTREIO]]&amp;" B"</f>
        <v>CódRastreio1539 B</v>
      </c>
      <c r="D1543" s="52" t="str">
        <f>_xlfn.XLOOKUP(Follow[[#This Row],[Id Pedido]],Controle_Pedidos[Número Pedido Cliente],Controle_Pedidos[Loja])</f>
        <v>MEI</v>
      </c>
      <c r="E1543" s="9">
        <f>_xlfn.XLOOKUP(Follow[[#This Row],[Id Pedido]],Controle_Pedidos[Número Pedido Cliente],Controle_Pedidos[Prazo Entrega])</f>
        <v>45801</v>
      </c>
      <c r="F1543" s="9" t="s">
        <v>19433</v>
      </c>
      <c r="G1543" s="9" t="s">
        <v>37</v>
      </c>
      <c r="H1543" s="9" t="s">
        <v>178</v>
      </c>
      <c r="I1543" s="9" t="s">
        <v>178</v>
      </c>
      <c r="J1543" s="9">
        <v>45791</v>
      </c>
      <c r="K1543" s="8" t="s">
        <v>198</v>
      </c>
      <c r="L1543" s="8" t="s">
        <v>124</v>
      </c>
      <c r="M1543" s="8" t="s">
        <v>37</v>
      </c>
      <c r="N1543" s="52" t="str">
        <f>IF(Follow[[#This Row],[DATAATUALIZAÇÃO]]&lt;=Follow[[#This Row],[Prev Entrega]],"Dentro do Prazo","Fora do Prazo")</f>
        <v>Dentro do Prazo</v>
      </c>
      <c r="O154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14/05/2025, referente ao pedido Nº Pedido 1611 Rastreio Pedido 1611, agradecemos a preferência e adoraríamos receber sua avaliação, tendo qualquer dúvida estamos à disposição.
Att
NTA Variedades</v>
      </c>
    </row>
    <row r="1544" spans="1:15">
      <c r="A1544" s="52" t="str">
        <f>_xlfn.XLOOKUP(Follow[[#This Row],[CODRASTREIO]],Controle_Pedidos[Cód Rastreamento],Controle_Pedidos[Número Pedido Cliente])</f>
        <v>Pedido 1613</v>
      </c>
      <c r="B1544" s="2" t="s">
        <v>18983</v>
      </c>
      <c r="C1544" s="2" t="str">
        <f>Follow[[#This Row],[CODRASTREIO]]&amp;" B"</f>
        <v>CódRastreio1541 B</v>
      </c>
      <c r="D1544" s="52" t="str">
        <f>_xlfn.XLOOKUP(Follow[[#This Row],[Id Pedido]],Controle_Pedidos[Número Pedido Cliente],Controle_Pedidos[Loja])</f>
        <v>MEI</v>
      </c>
      <c r="E1544" s="9">
        <f>_xlfn.XLOOKUP(Follow[[#This Row],[Id Pedido]],Controle_Pedidos[Número Pedido Cliente],Controle_Pedidos[Prazo Entrega])</f>
        <v>45801</v>
      </c>
      <c r="F1544" s="9" t="s">
        <v>19433</v>
      </c>
      <c r="G1544" s="9" t="s">
        <v>660</v>
      </c>
      <c r="H1544" s="9" t="s">
        <v>179</v>
      </c>
      <c r="I1544" s="9" t="s">
        <v>178</v>
      </c>
      <c r="J1544" s="9">
        <v>45810</v>
      </c>
      <c r="K1544" s="8" t="s">
        <v>198</v>
      </c>
      <c r="L1544" s="8" t="s">
        <v>124</v>
      </c>
      <c r="M1544" s="8" t="s">
        <v>37</v>
      </c>
      <c r="N1544" s="52" t="str">
        <f>IF(Follow[[#This Row],[DATAATUALIZAÇÃO]]&lt;=Follow[[#This Row],[Prev Entrega]],"Dentro do Prazo","Fora do Prazo")</f>
        <v>Fora do Prazo</v>
      </c>
      <c r="O154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02/06/2025, referente ao pedido Nº Pedido 1613 Rastreio NM804881608BR, agradecemos a preferência e adoraríamos receber sua avaliação, tendo qualquer dúvida estamos à disposição.
Att
NTA Variedades</v>
      </c>
    </row>
    <row r="1545" spans="1:15">
      <c r="A1545" s="52" t="str">
        <f>_xlfn.XLOOKUP(Follow[[#This Row],[CODRASTREIO]],Controle_Pedidos[Cód Rastreamento],Controle_Pedidos[Número Pedido Cliente])</f>
        <v>Pedido 1614</v>
      </c>
      <c r="B1545" s="2" t="s">
        <v>18984</v>
      </c>
      <c r="C1545" s="2" t="str">
        <f>Follow[[#This Row],[CODRASTREIO]]&amp;" B"</f>
        <v>CódRastreio1542 B</v>
      </c>
      <c r="D1545" s="52" t="str">
        <f>_xlfn.XLOOKUP(Follow[[#This Row],[Id Pedido]],Controle_Pedidos[Número Pedido Cliente],Controle_Pedidos[Loja])</f>
        <v>MEI</v>
      </c>
      <c r="E1545" s="9">
        <f>_xlfn.XLOOKUP(Follow[[#This Row],[Id Pedido]],Controle_Pedidos[Número Pedido Cliente],Controle_Pedidos[Prazo Entrega])</f>
        <v>45801</v>
      </c>
      <c r="F1545" s="9" t="s">
        <v>19433</v>
      </c>
      <c r="G1545" s="9" t="s">
        <v>661</v>
      </c>
      <c r="H1545" s="9" t="s">
        <v>179</v>
      </c>
      <c r="I1545" s="9" t="s">
        <v>178</v>
      </c>
      <c r="J1545" s="9">
        <v>45807</v>
      </c>
      <c r="K1545" s="8" t="s">
        <v>198</v>
      </c>
      <c r="L1545" s="8" t="s">
        <v>124</v>
      </c>
      <c r="M1545" s="8" t="s">
        <v>37</v>
      </c>
      <c r="N1545" s="52" t="str">
        <f>IF(Follow[[#This Row],[DATAATUALIZAÇÃO]]&lt;=Follow[[#This Row],[Prev Entrega]],"Dentro do Prazo","Fora do Prazo")</f>
        <v>Fora do Prazo</v>
      </c>
      <c r="O154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30/05/2025, referente ao pedido Nº Pedido 1614 Rastreio NM805456805BR, agradecemos a preferência e adoraríamos receber sua avaliação, tendo qualquer dúvida estamos à disposição.
Att
NTA Variedades</v>
      </c>
    </row>
    <row r="1546" spans="1:15">
      <c r="A1546" s="52" t="str">
        <f>_xlfn.XLOOKUP(Follow[[#This Row],[CODRASTREIO]],Controle_Pedidos[Cód Rastreamento],Controle_Pedidos[Número Pedido Cliente])</f>
        <v>Pedido 1619</v>
      </c>
      <c r="B1546" s="2" t="s">
        <v>18987</v>
      </c>
      <c r="C1546" s="2" t="str">
        <f>Follow[[#This Row],[CODRASTREIO]]&amp;" B"</f>
        <v>CódRastreio1545 B</v>
      </c>
      <c r="D1546" s="52" t="str">
        <f>_xlfn.XLOOKUP(Follow[[#This Row],[Id Pedido]],Controle_Pedidos[Número Pedido Cliente],Controle_Pedidos[Loja])</f>
        <v>MEI</v>
      </c>
      <c r="E1546" s="9">
        <f>_xlfn.XLOOKUP(Follow[[#This Row],[Id Pedido]],Controle_Pedidos[Número Pedido Cliente],Controle_Pedidos[Prazo Entrega])</f>
        <v>45808</v>
      </c>
      <c r="F1546" s="9" t="s">
        <v>19433</v>
      </c>
      <c r="G1546" s="9" t="s">
        <v>662</v>
      </c>
      <c r="H1546" s="9" t="s">
        <v>179</v>
      </c>
      <c r="I1546" s="9" t="s">
        <v>178</v>
      </c>
      <c r="J1546" s="147">
        <v>45832</v>
      </c>
      <c r="K1546" s="8" t="s">
        <v>198</v>
      </c>
      <c r="L1546" s="8" t="s">
        <v>124</v>
      </c>
      <c r="M1546" s="8" t="s">
        <v>37</v>
      </c>
      <c r="N1546" s="52" t="str">
        <f>IF(Follow[[#This Row],[DATAATUALIZAÇÃO]]&lt;=Follow[[#This Row],[Prev Entrega]],"Dentro do Prazo","Fora do Prazo")</f>
        <v>Fora do Prazo</v>
      </c>
      <c r="O154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24/06/2025, referente ao pedido Nº Pedido 1619 Rastreio NM804886891BR, agradecemos a preferência e adoraríamos receber sua avaliação, tendo qualquer dúvida estamos à disposição.
Att
NTA Variedades</v>
      </c>
    </row>
    <row r="1547" spans="1:15">
      <c r="A1547" s="52" t="str">
        <f>_xlfn.XLOOKUP(Follow[[#This Row],[CODRASTREIO]],Controle_Pedidos[Cód Rastreamento],Controle_Pedidos[Número Pedido Cliente])</f>
        <v>Pedido 1620</v>
      </c>
      <c r="B1547" s="2" t="s">
        <v>18988</v>
      </c>
      <c r="C1547" s="2" t="str">
        <f>Follow[[#This Row],[CODRASTREIO]]&amp;" B"</f>
        <v>CódRastreio1546 B</v>
      </c>
      <c r="D1547" s="52" t="str">
        <f>_xlfn.XLOOKUP(Follow[[#This Row],[Id Pedido]],Controle_Pedidos[Número Pedido Cliente],Controle_Pedidos[Loja])</f>
        <v>MEI</v>
      </c>
      <c r="E1547" s="9">
        <f>_xlfn.XLOOKUP(Follow[[#This Row],[Id Pedido]],Controle_Pedidos[Número Pedido Cliente],Controle_Pedidos[Prazo Entrega])</f>
        <v>45801</v>
      </c>
      <c r="F1547" s="9" t="s">
        <v>19433</v>
      </c>
      <c r="G1547" s="9" t="s">
        <v>37</v>
      </c>
      <c r="H1547" s="9" t="s">
        <v>178</v>
      </c>
      <c r="I1547" s="9" t="s">
        <v>178</v>
      </c>
      <c r="J1547" s="9">
        <v>45787</v>
      </c>
      <c r="K1547" s="8" t="s">
        <v>198</v>
      </c>
      <c r="L1547" s="8" t="s">
        <v>124</v>
      </c>
      <c r="M1547" s="8" t="s">
        <v>37</v>
      </c>
      <c r="N1547" s="52" t="str">
        <f>IF(Follow[[#This Row],[DATAATUALIZAÇÃO]]&lt;=Follow[[#This Row],[Prev Entrega]],"Dentro do Prazo","Fora do Prazo")</f>
        <v>Dentro do Prazo</v>
      </c>
      <c r="O154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10/05/2025, referente ao pedido Nº Pedido 1620 Rastreio Pedido 1620, agradecemos a preferência e adoraríamos receber sua avaliação, tendo qualquer dúvida estamos à disposição.
Att
NTA Variedades</v>
      </c>
    </row>
    <row r="1548" spans="1:15">
      <c r="A1548" s="52" t="str">
        <f>_xlfn.XLOOKUP(Follow[[#This Row],[CODRASTREIO]],Controle_Pedidos[Cód Rastreamento],Controle_Pedidos[Número Pedido Cliente])</f>
        <v>Pedido 1622</v>
      </c>
      <c r="B1548" s="2" t="s">
        <v>18990</v>
      </c>
      <c r="C1548" s="2" t="str">
        <f>Follow[[#This Row],[CODRASTREIO]]&amp;" B"</f>
        <v>CódRastreio1548 B</v>
      </c>
      <c r="D1548" s="52" t="str">
        <f>_xlfn.XLOOKUP(Follow[[#This Row],[Id Pedido]],Controle_Pedidos[Número Pedido Cliente],Controle_Pedidos[Loja])</f>
        <v>MEI</v>
      </c>
      <c r="E1548" s="9">
        <f>_xlfn.XLOOKUP(Follow[[#This Row],[Id Pedido]],Controle_Pedidos[Número Pedido Cliente],Controle_Pedidos[Prazo Entrega])</f>
        <v>45804</v>
      </c>
      <c r="F1548" s="9" t="s">
        <v>19433</v>
      </c>
      <c r="G1548" s="9" t="s">
        <v>663</v>
      </c>
      <c r="H1548" s="9" t="s">
        <v>179</v>
      </c>
      <c r="I1548" s="9" t="s">
        <v>178</v>
      </c>
      <c r="J1548" s="9">
        <v>45791</v>
      </c>
      <c r="K1548" s="8" t="s">
        <v>198</v>
      </c>
      <c r="L1548" s="8" t="s">
        <v>124</v>
      </c>
      <c r="M1548" s="8" t="s">
        <v>37</v>
      </c>
      <c r="N1548" s="52" t="str">
        <f>IF(Follow[[#This Row],[DATAATUALIZAÇÃO]]&lt;=Follow[[#This Row],[Prev Entrega]],"Dentro do Prazo","Fora do Prazo")</f>
        <v>Dentro do Prazo</v>
      </c>
      <c r="O154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14/05/2025, referente ao pedido Nº Pedido 1622 Rastreio CNBR00068313774, agradecemos a preferência e adoraríamos receber sua avaliação, tendo qualquer dúvida estamos à disposição.
Att
NTA Variedades</v>
      </c>
    </row>
    <row r="1549" spans="1:15">
      <c r="A1549" s="52" t="str">
        <f>_xlfn.XLOOKUP(Follow[[#This Row],[CODRASTREIO]],Controle_Pedidos[Cód Rastreamento],Controle_Pedidos[Número Pedido Cliente])</f>
        <v>Pedido 1623</v>
      </c>
      <c r="B1549" s="2" t="s">
        <v>18991</v>
      </c>
      <c r="C1549" s="2" t="str">
        <f>Follow[[#This Row],[CODRASTREIO]]&amp;" B"</f>
        <v>CódRastreio1549 B</v>
      </c>
      <c r="D1549" s="52" t="str">
        <f>_xlfn.XLOOKUP(Follow[[#This Row],[Id Pedido]],Controle_Pedidos[Número Pedido Cliente],Controle_Pedidos[Loja])</f>
        <v>MEI</v>
      </c>
      <c r="E1549" s="9">
        <f>_xlfn.XLOOKUP(Follow[[#This Row],[Id Pedido]],Controle_Pedidos[Número Pedido Cliente],Controle_Pedidos[Prazo Entrega])</f>
        <v>45804</v>
      </c>
      <c r="F1549" s="9" t="s">
        <v>19433</v>
      </c>
      <c r="G1549" s="9" t="s">
        <v>664</v>
      </c>
      <c r="H1549" s="9" t="s">
        <v>179</v>
      </c>
      <c r="I1549" s="9" t="s">
        <v>178</v>
      </c>
      <c r="J1549" s="9">
        <v>45789</v>
      </c>
      <c r="K1549" s="8" t="s">
        <v>198</v>
      </c>
      <c r="L1549" s="8" t="s">
        <v>124</v>
      </c>
      <c r="M1549" s="8" t="s">
        <v>37</v>
      </c>
      <c r="N1549" s="52" t="str">
        <f>IF(Follow[[#This Row],[DATAATUALIZAÇÃO]]&lt;=Follow[[#This Row],[Prev Entrega]],"Dentro do Prazo","Fora do Prazo")</f>
        <v>Dentro do Prazo</v>
      </c>
      <c r="O154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12/05/2025, referente ao pedido Nº Pedido 1623 Rastreio CNBR00068311406, agradecemos a preferência e adoraríamos receber sua avaliação, tendo qualquer dúvida estamos à disposição.
Att
NTA Variedades</v>
      </c>
    </row>
    <row r="1550" spans="1:15">
      <c r="A1550" s="52" t="str">
        <f>_xlfn.XLOOKUP(Follow[[#This Row],[CODRASTREIO]],Controle_Pedidos[Cód Rastreamento],Controle_Pedidos[Número Pedido Cliente])</f>
        <v>Pedido 1626</v>
      </c>
      <c r="B1550" s="2" t="s">
        <v>18994</v>
      </c>
      <c r="C1550" s="2" t="str">
        <f>Follow[[#This Row],[CODRASTREIO]]&amp;" B"</f>
        <v>CódRastreio1552 B</v>
      </c>
      <c r="D1550" s="52" t="str">
        <f>_xlfn.XLOOKUP(Follow[[#This Row],[Id Pedido]],Controle_Pedidos[Número Pedido Cliente],Controle_Pedidos[Loja])</f>
        <v>MEI</v>
      </c>
      <c r="E1550" s="9">
        <f>_xlfn.XLOOKUP(Follow[[#This Row],[Id Pedido]],Controle_Pedidos[Número Pedido Cliente],Controle_Pedidos[Prazo Entrega])</f>
        <v>45811</v>
      </c>
      <c r="F1550" s="9" t="s">
        <v>19433</v>
      </c>
      <c r="G1550" s="9" t="s">
        <v>665</v>
      </c>
      <c r="H1550" s="9" t="s">
        <v>179</v>
      </c>
      <c r="I1550" s="9" t="s">
        <v>178</v>
      </c>
      <c r="J1550" s="9">
        <v>45800</v>
      </c>
      <c r="K1550" s="8" t="s">
        <v>198</v>
      </c>
      <c r="L1550" s="8" t="s">
        <v>124</v>
      </c>
      <c r="M1550" s="8" t="s">
        <v>37</v>
      </c>
      <c r="N1550" s="52" t="str">
        <f>IF(Follow[[#This Row],[DATAATUALIZAÇÃO]]&lt;=Follow[[#This Row],[Prev Entrega]],"Dentro do Prazo","Fora do Prazo")</f>
        <v>Dentro do Prazo</v>
      </c>
      <c r="O155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23/05/2025, referente ao pedido Nº Pedido 1626 Rastreio NM804886415BR, agradecemos a preferência e adoraríamos receber sua avaliação, tendo qualquer dúvida estamos à disposição.
Att
NTA Variedades</v>
      </c>
    </row>
    <row r="1551" spans="1:15">
      <c r="A1551" s="52" t="str">
        <f>_xlfn.XLOOKUP(Follow[[#This Row],[CODRASTREIO]],Controle_Pedidos[Cód Rastreamento],Controle_Pedidos[Número Pedido Cliente])</f>
        <v>Pedido 1627</v>
      </c>
      <c r="B1551" s="2" t="s">
        <v>18995</v>
      </c>
      <c r="C1551" s="2" t="str">
        <f>Follow[[#This Row],[CODRASTREIO]]&amp;" B"</f>
        <v>CódRastreio1553 B</v>
      </c>
      <c r="D1551" s="52" t="str">
        <f>_xlfn.XLOOKUP(Follow[[#This Row],[Id Pedido]],Controle_Pedidos[Número Pedido Cliente],Controle_Pedidos[Loja])</f>
        <v>MEI</v>
      </c>
      <c r="E1551" s="9">
        <f>_xlfn.XLOOKUP(Follow[[#This Row],[Id Pedido]],Controle_Pedidos[Número Pedido Cliente],Controle_Pedidos[Prazo Entrega])</f>
        <v>45804</v>
      </c>
      <c r="F1551" s="9" t="s">
        <v>19433</v>
      </c>
      <c r="G1551" s="9" t="s">
        <v>666</v>
      </c>
      <c r="H1551" s="9" t="s">
        <v>179</v>
      </c>
      <c r="I1551" s="9" t="s">
        <v>178</v>
      </c>
      <c r="J1551" s="9">
        <v>45790</v>
      </c>
      <c r="K1551" s="8" t="s">
        <v>198</v>
      </c>
      <c r="L1551" s="8" t="s">
        <v>124</v>
      </c>
      <c r="M1551" s="8" t="s">
        <v>37</v>
      </c>
      <c r="N1551" s="52" t="str">
        <f>IF(Follow[[#This Row],[DATAATUALIZAÇÃO]]&lt;=Follow[[#This Row],[Prev Entrega]],"Dentro do Prazo","Fora do Prazo")</f>
        <v>Dentro do Prazo</v>
      </c>
      <c r="O155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13/05/2025, referente ao pedido Nº Pedido 1627 Rastreio CNBR00068308455, agradecemos a preferência e adoraríamos receber sua avaliação, tendo qualquer dúvida estamos à disposição.
Att
NTA Variedades</v>
      </c>
    </row>
    <row r="1552" spans="1:15">
      <c r="A1552" s="52" t="str">
        <f>_xlfn.XLOOKUP(Follow[[#This Row],[CODRASTREIO]],Controle_Pedidos[Cód Rastreamento],Controle_Pedidos[Número Pedido Cliente])</f>
        <v>Pedido 1629</v>
      </c>
      <c r="B1552" s="2" t="s">
        <v>18996</v>
      </c>
      <c r="C1552" s="2" t="str">
        <f>Follow[[#This Row],[CODRASTREIO]]&amp;" B"</f>
        <v>CódRastreio1554 B</v>
      </c>
      <c r="D1552" s="52" t="str">
        <f>_xlfn.XLOOKUP(Follow[[#This Row],[Id Pedido]],Controle_Pedidos[Número Pedido Cliente],Controle_Pedidos[Loja])</f>
        <v>MEI</v>
      </c>
      <c r="E1552" s="9">
        <f>_xlfn.XLOOKUP(Follow[[#This Row],[Id Pedido]],Controle_Pedidos[Número Pedido Cliente],Controle_Pedidos[Prazo Entrega])</f>
        <v>45811</v>
      </c>
      <c r="F1552" s="9" t="s">
        <v>19433</v>
      </c>
      <c r="G1552" s="9" t="s">
        <v>667</v>
      </c>
      <c r="H1552" s="9" t="s">
        <v>179</v>
      </c>
      <c r="I1552" s="9" t="s">
        <v>178</v>
      </c>
      <c r="J1552" s="9">
        <v>45797</v>
      </c>
      <c r="K1552" s="8" t="s">
        <v>198</v>
      </c>
      <c r="L1552" s="8" t="s">
        <v>124</v>
      </c>
      <c r="M1552" s="8" t="s">
        <v>37</v>
      </c>
      <c r="N1552" s="52" t="str">
        <f>IF(Follow[[#This Row],[DATAATUALIZAÇÃO]]&lt;=Follow[[#This Row],[Prev Entrega]],"Dentro do Prazo","Fora do Prazo")</f>
        <v>Dentro do Prazo</v>
      </c>
      <c r="O155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20/05/2025, referente ao pedido Nº Pedido 1629 Rastreio CNBR00068823114, agradecemos a preferência e adoraríamos receber sua avaliação, tendo qualquer dúvida estamos à disposição.
Att
NTA Variedades</v>
      </c>
    </row>
    <row r="1553" spans="1:15">
      <c r="A1553" s="52" t="str">
        <f>_xlfn.XLOOKUP(Follow[[#This Row],[CODRASTREIO]],Controle_Pedidos[Cód Rastreamento],Controle_Pedidos[Número Pedido Cliente])</f>
        <v>Pedido 1630</v>
      </c>
      <c r="B1553" s="2" t="s">
        <v>18997</v>
      </c>
      <c r="C1553" s="2" t="str">
        <f>Follow[[#This Row],[CODRASTREIO]]&amp;" B"</f>
        <v>CódRastreio1555 B</v>
      </c>
      <c r="D1553" s="52" t="str">
        <f>_xlfn.XLOOKUP(Follow[[#This Row],[Id Pedido]],Controle_Pedidos[Número Pedido Cliente],Controle_Pedidos[Loja])</f>
        <v>MEI</v>
      </c>
      <c r="E1553" s="9">
        <f>_xlfn.XLOOKUP(Follow[[#This Row],[Id Pedido]],Controle_Pedidos[Número Pedido Cliente],Controle_Pedidos[Prazo Entrega])</f>
        <v>45798</v>
      </c>
      <c r="F1553" s="9" t="s">
        <v>19433</v>
      </c>
      <c r="G1553" s="9" t="s">
        <v>668</v>
      </c>
      <c r="H1553" s="9" t="s">
        <v>179</v>
      </c>
      <c r="I1553" s="9" t="s">
        <v>178</v>
      </c>
      <c r="J1553" s="9">
        <v>45785</v>
      </c>
      <c r="K1553" s="8" t="s">
        <v>198</v>
      </c>
      <c r="L1553" s="8" t="s">
        <v>124</v>
      </c>
      <c r="M1553" s="8" t="s">
        <v>37</v>
      </c>
      <c r="N1553" s="52" t="str">
        <f>IF(Follow[[#This Row],[DATAATUALIZAÇÃO]]&lt;=Follow[[#This Row],[Prev Entrega]],"Dentro do Prazo","Fora do Prazo")</f>
        <v>Dentro do Prazo</v>
      </c>
      <c r="O155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08/05/2025, referente ao pedido Nº Pedido 1630 Rastreio CNBR00068639153, agradecemos a preferência e adoraríamos receber sua avaliação, tendo qualquer dúvida estamos à disposição.
Att
NTA Variedades</v>
      </c>
    </row>
    <row r="1554" spans="1:15">
      <c r="A1554" s="52" t="str">
        <f>_xlfn.XLOOKUP(Follow[[#This Row],[CODRASTREIO]],Controle_Pedidos[Cód Rastreamento],Controle_Pedidos[Número Pedido Cliente])</f>
        <v>Pedido 1632</v>
      </c>
      <c r="B1554" s="2" t="s">
        <v>18998</v>
      </c>
      <c r="C1554" s="2" t="str">
        <f>Follow[[#This Row],[CODRASTREIO]]&amp;" B"</f>
        <v>CódRastreio1556 B</v>
      </c>
      <c r="D1554" s="52" t="str">
        <f>_xlfn.XLOOKUP(Follow[[#This Row],[Id Pedido]],Controle_Pedidos[Número Pedido Cliente],Controle_Pedidos[Loja])</f>
        <v>MEI</v>
      </c>
      <c r="E1554" s="9">
        <f>_xlfn.XLOOKUP(Follow[[#This Row],[Id Pedido]],Controle_Pedidos[Número Pedido Cliente],Controle_Pedidos[Prazo Entrega])</f>
        <v>45798</v>
      </c>
      <c r="F1554" s="9" t="s">
        <v>19433</v>
      </c>
      <c r="G1554" s="9" t="s">
        <v>37</v>
      </c>
      <c r="H1554" s="9" t="s">
        <v>178</v>
      </c>
      <c r="I1554" s="9" t="s">
        <v>178</v>
      </c>
      <c r="J1554" s="9">
        <v>45805</v>
      </c>
      <c r="K1554" s="8" t="s">
        <v>198</v>
      </c>
      <c r="L1554" s="8" t="s">
        <v>124</v>
      </c>
      <c r="M1554" s="8" t="s">
        <v>37</v>
      </c>
      <c r="N1554" s="52" t="str">
        <f>IF(Follow[[#This Row],[DATAATUALIZAÇÃO]]&lt;=Follow[[#This Row],[Prev Entrega]],"Dentro do Prazo","Fora do Prazo")</f>
        <v>Fora do Prazo</v>
      </c>
      <c r="O155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28/05/2025, referente ao pedido Nº Pedido 1632 Rastreio Pedido 1632, agradecemos a preferência e adoraríamos receber sua avaliação, tendo qualquer dúvida estamos à disposição.
Att
NTA Variedades</v>
      </c>
    </row>
    <row r="1555" spans="1:15">
      <c r="A1555" s="52" t="str">
        <f>_xlfn.XLOOKUP(Follow[[#This Row],[CODRASTREIO]],Controle_Pedidos[Cód Rastreamento],Controle_Pedidos[Número Pedido Cliente])</f>
        <v>Pedido 1634</v>
      </c>
      <c r="B1555" s="2" t="s">
        <v>18999</v>
      </c>
      <c r="C1555" s="2" t="str">
        <f>Follow[[#This Row],[CODRASTREIO]]&amp;" B"</f>
        <v>CódRastreio1557 B</v>
      </c>
      <c r="D1555" s="52" t="str">
        <f>_xlfn.XLOOKUP(Follow[[#This Row],[Id Pedido]],Controle_Pedidos[Número Pedido Cliente],Controle_Pedidos[Loja])</f>
        <v>MEI</v>
      </c>
      <c r="E1555" s="9">
        <f>_xlfn.XLOOKUP(Follow[[#This Row],[Id Pedido]],Controle_Pedidos[Número Pedido Cliente],Controle_Pedidos[Prazo Entrega])</f>
        <v>45805</v>
      </c>
      <c r="F1555" s="9" t="s">
        <v>19433</v>
      </c>
      <c r="G1555" s="9" t="s">
        <v>669</v>
      </c>
      <c r="H1555" s="9" t="s">
        <v>179</v>
      </c>
      <c r="I1555" s="9" t="s">
        <v>178</v>
      </c>
      <c r="J1555" s="9">
        <v>45829</v>
      </c>
      <c r="K1555" s="8" t="s">
        <v>533</v>
      </c>
      <c r="L1555" s="8" t="s">
        <v>124</v>
      </c>
      <c r="M1555" s="8" t="s">
        <v>37</v>
      </c>
      <c r="N1555" s="52" t="str">
        <f>IF(Follow[[#This Row],[DATAATUALIZAÇÃO]]&lt;=Follow[[#This Row],[Prev Entrega]],"Dentro do Prazo","Fora do Prazo")</f>
        <v>Fora do Prazo</v>
      </c>
      <c r="O155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21/06/2025, referente ao pedido Nº Pedido 1634 Rastreio CNBR00068328043, agradecemos a preferência e adoraríamos receber sua avaliação, tendo qualquer dúvida estamos à disposição.
Att
NTA Variedades</v>
      </c>
    </row>
    <row r="1556" spans="1:15">
      <c r="A1556" s="52" t="str">
        <f>_xlfn.XLOOKUP(Follow[[#This Row],[CODRASTREIO]],Controle_Pedidos[Cód Rastreamento],Controle_Pedidos[Número Pedido Cliente])</f>
        <v>Pedido 1636</v>
      </c>
      <c r="B1556" s="2" t="s">
        <v>19001</v>
      </c>
      <c r="C1556" s="2" t="str">
        <f>Follow[[#This Row],[CODRASTREIO]]&amp;" B"</f>
        <v>CódRastreio1559 B</v>
      </c>
      <c r="D1556" s="52" t="str">
        <f>_xlfn.XLOOKUP(Follow[[#This Row],[Id Pedido]],Controle_Pedidos[Número Pedido Cliente],Controle_Pedidos[Loja])</f>
        <v>MEI</v>
      </c>
      <c r="E1556" s="9">
        <f>_xlfn.XLOOKUP(Follow[[#This Row],[Id Pedido]],Controle_Pedidos[Número Pedido Cliente],Controle_Pedidos[Prazo Entrega])</f>
        <v>45805</v>
      </c>
      <c r="F1556" s="9" t="s">
        <v>19433</v>
      </c>
      <c r="G1556" s="9" t="s">
        <v>670</v>
      </c>
      <c r="H1556" s="9" t="s">
        <v>179</v>
      </c>
      <c r="I1556" s="9" t="s">
        <v>178</v>
      </c>
      <c r="J1556" s="9">
        <v>45805</v>
      </c>
      <c r="K1556" s="8" t="s">
        <v>198</v>
      </c>
      <c r="L1556" s="8" t="s">
        <v>124</v>
      </c>
      <c r="M1556" s="8" t="s">
        <v>37</v>
      </c>
      <c r="N1556" s="52" t="str">
        <f>IF(Follow[[#This Row],[DATAATUALIZAÇÃO]]&lt;=Follow[[#This Row],[Prev Entrega]],"Dentro do Prazo","Fora do Prazo")</f>
        <v>Dentro do Prazo</v>
      </c>
      <c r="O155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28/05/2025, referente ao pedido Nº Pedido 1636 Rastreio NM805376387BR, agradecemos a preferência e adoraríamos receber sua avaliação, tendo qualquer dúvida estamos à disposição.
Att
NTA Variedades</v>
      </c>
    </row>
    <row r="1557" spans="1:15">
      <c r="A1557" s="52" t="str">
        <f>_xlfn.XLOOKUP(Follow[[#This Row],[CODRASTREIO]],Controle_Pedidos[Cód Rastreamento],Controle_Pedidos[Número Pedido Cliente])</f>
        <v>Pedido 1638</v>
      </c>
      <c r="B1557" s="2" t="s">
        <v>19003</v>
      </c>
      <c r="C1557" s="2" t="str">
        <f>Follow[[#This Row],[CODRASTREIO]]&amp;" B"</f>
        <v>CódRastreio1561 B</v>
      </c>
      <c r="D1557" s="52" t="str">
        <f>_xlfn.XLOOKUP(Follow[[#This Row],[Id Pedido]],Controle_Pedidos[Número Pedido Cliente],Controle_Pedidos[Loja])</f>
        <v>MEI</v>
      </c>
      <c r="E1557" s="9">
        <f>_xlfn.XLOOKUP(Follow[[#This Row],[Id Pedido]],Controle_Pedidos[Número Pedido Cliente],Controle_Pedidos[Prazo Entrega])</f>
        <v>45805</v>
      </c>
      <c r="F1557" s="9" t="s">
        <v>19433</v>
      </c>
      <c r="G1557" s="9" t="s">
        <v>671</v>
      </c>
      <c r="H1557" s="9" t="s">
        <v>179</v>
      </c>
      <c r="I1557" s="9" t="s">
        <v>178</v>
      </c>
      <c r="J1557" s="9">
        <v>45805</v>
      </c>
      <c r="K1557" s="8" t="s">
        <v>198</v>
      </c>
      <c r="L1557" s="8" t="s">
        <v>124</v>
      </c>
      <c r="M1557" s="8" t="s">
        <v>37</v>
      </c>
      <c r="N1557" s="52" t="str">
        <f>IF(Follow[[#This Row],[DATAATUALIZAÇÃO]]&lt;=Follow[[#This Row],[Prev Entrega]],"Dentro do Prazo","Fora do Prazo")</f>
        <v>Dentro do Prazo</v>
      </c>
      <c r="O155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28/05/2025, referente ao pedido Nº Pedido 1638 Rastreio NM805463789BR, agradecemos a preferência e adoraríamos receber sua avaliação, tendo qualquer dúvida estamos à disposição.
Att
NTA Variedades</v>
      </c>
    </row>
    <row r="1558" spans="1:15">
      <c r="A1558" s="52" t="str">
        <f>_xlfn.XLOOKUP(Follow[[#This Row],[CODRASTREIO]],Controle_Pedidos[Cód Rastreamento],Controle_Pedidos[Número Pedido Cliente])</f>
        <v>Pedido 1639</v>
      </c>
      <c r="B1558" s="2" t="s">
        <v>19004</v>
      </c>
      <c r="C1558" s="2" t="str">
        <f>Follow[[#This Row],[CODRASTREIO]]&amp;" B"</f>
        <v>CódRastreio1562 B</v>
      </c>
      <c r="D1558" s="52" t="str">
        <f>_xlfn.XLOOKUP(Follow[[#This Row],[Id Pedido]],Controle_Pedidos[Número Pedido Cliente],Controle_Pedidos[Loja])</f>
        <v>MEI</v>
      </c>
      <c r="E1558" s="9">
        <f>_xlfn.XLOOKUP(Follow[[#This Row],[Id Pedido]],Controle_Pedidos[Número Pedido Cliente],Controle_Pedidos[Prazo Entrega])</f>
        <v>45799</v>
      </c>
      <c r="F1558" s="9" t="s">
        <v>19433</v>
      </c>
      <c r="G1558" s="9" t="s">
        <v>37</v>
      </c>
      <c r="H1558" s="9" t="s">
        <v>178</v>
      </c>
      <c r="I1558" s="9" t="s">
        <v>178</v>
      </c>
      <c r="J1558" s="9">
        <v>45787</v>
      </c>
      <c r="K1558" s="8" t="s">
        <v>198</v>
      </c>
      <c r="L1558" s="8" t="s">
        <v>124</v>
      </c>
      <c r="M1558" s="8" t="s">
        <v>37</v>
      </c>
      <c r="N1558" s="52" t="str">
        <f>IF(Follow[[#This Row],[DATAATUALIZAÇÃO]]&lt;=Follow[[#This Row],[Prev Entrega]],"Dentro do Prazo","Fora do Prazo")</f>
        <v>Dentro do Prazo</v>
      </c>
      <c r="O1558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10/05/2025, referente ao pedido Nº Pedido 1639 Rastreio Pedido 1639, agradecemos a preferência e adoraríamos receber sua avaliação, tendo qualquer dúvida estamos à disposição.
Att
NTA Variedades</v>
      </c>
    </row>
    <row r="1559" spans="1:15">
      <c r="A1559" s="52" t="str">
        <f>_xlfn.XLOOKUP(Follow[[#This Row],[CODRASTREIO]],Controle_Pedidos[Cód Rastreamento],Controle_Pedidos[Número Pedido Cliente])</f>
        <v>Pedido 1642</v>
      </c>
      <c r="B1559" s="2" t="s">
        <v>19006</v>
      </c>
      <c r="C1559" s="2" t="str">
        <f>Follow[[#This Row],[CODRASTREIO]]&amp;" B"</f>
        <v>CódRastreio1564 B</v>
      </c>
      <c r="D1559" s="52" t="str">
        <f>_xlfn.XLOOKUP(Follow[[#This Row],[Id Pedido]],Controle_Pedidos[Número Pedido Cliente],Controle_Pedidos[Loja])</f>
        <v>MEI</v>
      </c>
      <c r="E1559" s="9">
        <f>_xlfn.XLOOKUP(Follow[[#This Row],[Id Pedido]],Controle_Pedidos[Número Pedido Cliente],Controle_Pedidos[Prazo Entrega])</f>
        <v>45799</v>
      </c>
      <c r="F1559" s="9" t="s">
        <v>19433</v>
      </c>
      <c r="G1559" s="9" t="s">
        <v>672</v>
      </c>
      <c r="H1559" s="9" t="s">
        <v>179</v>
      </c>
      <c r="I1559" s="9" t="s">
        <v>178</v>
      </c>
      <c r="J1559" s="9">
        <v>45796</v>
      </c>
      <c r="K1559" s="8" t="s">
        <v>198</v>
      </c>
      <c r="L1559" s="8" t="s">
        <v>124</v>
      </c>
      <c r="M1559" s="8" t="s">
        <v>37</v>
      </c>
      <c r="N1559" s="52" t="str">
        <f>IF(Follow[[#This Row],[DATAATUALIZAÇÃO]]&lt;=Follow[[#This Row],[Prev Entrega]],"Dentro do Prazo","Fora do Prazo")</f>
        <v>Dentro do Prazo</v>
      </c>
      <c r="O155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19/05/2025, referente ao pedido Nº Pedido 1642 Rastreio CNBR00069206496, agradecemos a preferência e adoraríamos receber sua avaliação, tendo qualquer dúvida estamos à disposição.
Att
NTA Variedades</v>
      </c>
    </row>
    <row r="1560" spans="1:15">
      <c r="A1560" s="52" t="str">
        <f>_xlfn.XLOOKUP(Follow[[#This Row],[CODRASTREIO]],Controle_Pedidos[Cód Rastreamento],Controle_Pedidos[Número Pedido Cliente])</f>
        <v>Pedido 1645</v>
      </c>
      <c r="B1560" s="2" t="s">
        <v>19008</v>
      </c>
      <c r="C1560" s="2" t="str">
        <f>Follow[[#This Row],[CODRASTREIO]]&amp;" B"</f>
        <v>CódRastreio1566 B</v>
      </c>
      <c r="D1560" s="52" t="str">
        <f>_xlfn.XLOOKUP(Follow[[#This Row],[Id Pedido]],Controle_Pedidos[Número Pedido Cliente],Controle_Pedidos[Loja])</f>
        <v>MEI</v>
      </c>
      <c r="E1560" s="9">
        <f>_xlfn.XLOOKUP(Follow[[#This Row],[Id Pedido]],Controle_Pedidos[Número Pedido Cliente],Controle_Pedidos[Prazo Entrega])</f>
        <v>45799</v>
      </c>
      <c r="F1560" s="9" t="s">
        <v>19433</v>
      </c>
      <c r="G1560" s="9" t="s">
        <v>37</v>
      </c>
      <c r="H1560" s="9" t="s">
        <v>178</v>
      </c>
      <c r="I1560" s="9" t="s">
        <v>178</v>
      </c>
      <c r="J1560" s="9">
        <v>45814</v>
      </c>
      <c r="K1560" s="8" t="s">
        <v>198</v>
      </c>
      <c r="L1560" s="8" t="s">
        <v>124</v>
      </c>
      <c r="M1560" s="8" t="s">
        <v>208</v>
      </c>
      <c r="N1560" s="52" t="str">
        <f>IF(Follow[[#This Row],[DATAATUALIZAÇÃO]]&lt;=Follow[[#This Row],[Prev Entrega]],"Dentro do Prazo","Fora do Prazo")</f>
        <v>Fora do Prazo</v>
      </c>
      <c r="O156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06/06/2025, referente ao pedido Nº Pedido 1645 Rastreio Pedido 1645, agradecemos a preferência e adoraríamos receber sua avaliação, tendo qualquer dúvida estamos à disposição.
Att
NTA Variedades</v>
      </c>
    </row>
    <row r="1561" spans="1:15">
      <c r="A1561" s="52" t="str">
        <f>_xlfn.XLOOKUP(Follow[[#This Row],[CODRASTREIO]],Controle_Pedidos[Cód Rastreamento],Controle_Pedidos[Número Pedido Cliente])</f>
        <v>Pedido 1646</v>
      </c>
      <c r="B1561" s="2" t="s">
        <v>19009</v>
      </c>
      <c r="C1561" s="2" t="str">
        <f>Follow[[#This Row],[CODRASTREIO]]&amp;" B"</f>
        <v>CódRastreio1567 B</v>
      </c>
      <c r="D1561" s="52" t="str">
        <f>_xlfn.XLOOKUP(Follow[[#This Row],[Id Pedido]],Controle_Pedidos[Número Pedido Cliente],Controle_Pedidos[Loja])</f>
        <v>MEI</v>
      </c>
      <c r="E1561" s="9">
        <f>_xlfn.XLOOKUP(Follow[[#This Row],[Id Pedido]],Controle_Pedidos[Número Pedido Cliente],Controle_Pedidos[Prazo Entrega])</f>
        <v>45806</v>
      </c>
      <c r="F1561" s="9" t="s">
        <v>19433</v>
      </c>
      <c r="G1561" s="9" t="s">
        <v>673</v>
      </c>
      <c r="H1561" s="9" t="s">
        <v>179</v>
      </c>
      <c r="I1561" s="9" t="s">
        <v>178</v>
      </c>
      <c r="J1561" s="9">
        <v>45792</v>
      </c>
      <c r="K1561" s="8" t="s">
        <v>198</v>
      </c>
      <c r="L1561" s="8" t="s">
        <v>124</v>
      </c>
      <c r="M1561" s="8" t="s">
        <v>37</v>
      </c>
      <c r="N1561" s="52" t="str">
        <f>IF(Follow[[#This Row],[DATAATUALIZAÇÃO]]&lt;=Follow[[#This Row],[Prev Entrega]],"Dentro do Prazo","Fora do Prazo")</f>
        <v>Dentro do Prazo</v>
      </c>
      <c r="O156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15/05/2025, referente ao pedido Nº Pedido 1646 Rastreio CNBR00068921267, agradecemos a preferência e adoraríamos receber sua avaliação, tendo qualquer dúvida estamos à disposição.
Att
NTA Variedades</v>
      </c>
    </row>
    <row r="1562" spans="1:15">
      <c r="A1562" s="52" t="str">
        <f>_xlfn.XLOOKUP(Follow[[#This Row],[CODRASTREIO]],Controle_Pedidos[Cód Rastreamento],Controle_Pedidos[Número Pedido Cliente])</f>
        <v>Pedido 1647</v>
      </c>
      <c r="B1562" s="2" t="s">
        <v>19010</v>
      </c>
      <c r="C1562" s="2" t="str">
        <f>Follow[[#This Row],[CODRASTREIO]]&amp;" B"</f>
        <v>CódRastreio1568 B</v>
      </c>
      <c r="D1562" s="52" t="str">
        <f>_xlfn.XLOOKUP(Follow[[#This Row],[Id Pedido]],Controle_Pedidos[Número Pedido Cliente],Controle_Pedidos[Loja])</f>
        <v>GO</v>
      </c>
      <c r="E1562" s="9">
        <f>_xlfn.XLOOKUP(Follow[[#This Row],[Id Pedido]],Controle_Pedidos[Número Pedido Cliente],Controle_Pedidos[Prazo Entrega])</f>
        <v>45806</v>
      </c>
      <c r="F1562" s="9" t="s">
        <v>19433</v>
      </c>
      <c r="G1562" s="9" t="s">
        <v>674</v>
      </c>
      <c r="H1562" s="9" t="s">
        <v>179</v>
      </c>
      <c r="I1562" s="9" t="s">
        <v>178</v>
      </c>
      <c r="J1562" s="9">
        <v>45799</v>
      </c>
      <c r="K1562" s="8" t="s">
        <v>198</v>
      </c>
      <c r="L1562" s="8" t="s">
        <v>124</v>
      </c>
      <c r="M1562" s="8" t="s">
        <v>37</v>
      </c>
      <c r="N1562" s="52" t="str">
        <f>IF(Follow[[#This Row],[DATAATUALIZAÇÃO]]&lt;=Follow[[#This Row],[Prev Entrega]],"Dentro do Prazo","Fora do Prazo")</f>
        <v>Dentro do Prazo</v>
      </c>
      <c r="O156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22/05/2025, referente ao pedido Nº Pedido 1647 Rastreio NM806530309BR, agradecemos a preferência e adoraríamos receber sua avaliação, tendo qualquer dúvida estamos à disposição.
Att
Sec Variedades</v>
      </c>
    </row>
    <row r="1563" spans="1:15">
      <c r="A1563" s="52" t="str">
        <f>_xlfn.XLOOKUP(Follow[[#This Row],[CODRASTREIO]],Controle_Pedidos[Cód Rastreamento],Controle_Pedidos[Número Pedido Cliente])</f>
        <v>Pedido 1589</v>
      </c>
      <c r="B1563" s="2" t="s">
        <v>18959</v>
      </c>
      <c r="C1563" s="2" t="str">
        <f>Follow[[#This Row],[CODRASTREIO]]&amp;" B"</f>
        <v>CódRastreio1517 B</v>
      </c>
      <c r="D1563" s="52" t="str">
        <f>_xlfn.XLOOKUP(Follow[[#This Row],[Id Pedido]],Controle_Pedidos[Número Pedido Cliente],Controle_Pedidos[Loja])</f>
        <v>MEI</v>
      </c>
      <c r="E1563" s="9">
        <f>_xlfn.XLOOKUP(Follow[[#This Row],[Id Pedido]],Controle_Pedidos[Número Pedido Cliente],Controle_Pedidos[Prazo Entrega])</f>
        <v>45800</v>
      </c>
      <c r="F1563" s="9" t="s">
        <v>19433</v>
      </c>
      <c r="G1563" s="9" t="s">
        <v>675</v>
      </c>
      <c r="H1563" s="9" t="s">
        <v>179</v>
      </c>
      <c r="I1563" s="9" t="s">
        <v>178</v>
      </c>
      <c r="J1563" s="9">
        <v>45787</v>
      </c>
      <c r="K1563" s="8" t="s">
        <v>198</v>
      </c>
      <c r="L1563" s="8" t="s">
        <v>124</v>
      </c>
      <c r="M1563" s="8" t="s">
        <v>37</v>
      </c>
      <c r="N1563" s="52" t="str">
        <f>IF(Follow[[#This Row],[DATAATUALIZAÇÃO]]&lt;=Follow[[#This Row],[Prev Entrega]],"Dentro do Prazo","Fora do Prazo")</f>
        <v>Dentro do Prazo</v>
      </c>
      <c r="O1563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1589 Rastreio NM805820525BR, agradecemos a preferência e adoraríamos receber sua avaliação, tendo qualquer dúvida estamos à disposição.
Att
NTA Variedades</v>
      </c>
    </row>
    <row r="1564" spans="1:15">
      <c r="A1564" s="52" t="str">
        <f>_xlfn.XLOOKUP(Follow[[#This Row],[CODRASTREIO]],Controle_Pedidos[Cód Rastreamento],Controle_Pedidos[Número Pedido Cliente])</f>
        <v>Pedido 1594</v>
      </c>
      <c r="B1564" s="2" t="s">
        <v>18964</v>
      </c>
      <c r="C1564" s="2" t="str">
        <f>Follow[[#This Row],[CODRASTREIO]]&amp;" B"</f>
        <v>CódRastreio1522 B</v>
      </c>
      <c r="D1564" s="52" t="str">
        <f>_xlfn.XLOOKUP(Follow[[#This Row],[Id Pedido]],Controle_Pedidos[Número Pedido Cliente],Controle_Pedidos[Loja])</f>
        <v>MEI</v>
      </c>
      <c r="E1564" s="9">
        <f>_xlfn.XLOOKUP(Follow[[#This Row],[Id Pedido]],Controle_Pedidos[Número Pedido Cliente],Controle_Pedidos[Prazo Entrega])</f>
        <v>45794</v>
      </c>
      <c r="F1564" s="9" t="s">
        <v>19433</v>
      </c>
      <c r="G1564" s="9" t="s">
        <v>676</v>
      </c>
      <c r="H1564" s="9" t="s">
        <v>179</v>
      </c>
      <c r="I1564" s="9" t="s">
        <v>178</v>
      </c>
      <c r="J1564" s="9">
        <v>45787</v>
      </c>
      <c r="K1564" s="8" t="s">
        <v>198</v>
      </c>
      <c r="L1564" s="8" t="s">
        <v>124</v>
      </c>
      <c r="M1564" s="8" t="s">
        <v>37</v>
      </c>
      <c r="N1564" s="52" t="str">
        <f>IF(Follow[[#This Row],[DATAATUALIZAÇÃO]]&lt;=Follow[[#This Row],[Prev Entrega]],"Dentro do Prazo","Fora do Prazo")</f>
        <v>Dentro do Prazo</v>
      </c>
      <c r="O1564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1594 Rastreio CNBR00070054599, agradecemos a preferência e adoraríamos receber sua avaliação, tendo qualquer dúvida estamos à disposição.
Att
NTA Variedades</v>
      </c>
    </row>
    <row r="1565" spans="1:15">
      <c r="A1565" s="52" t="str">
        <f>_xlfn.XLOOKUP(Follow[[#This Row],[CODRASTREIO]],Controle_Pedidos[Cód Rastreamento],Controle_Pedidos[Número Pedido Cliente])</f>
        <v>Pedido 1597</v>
      </c>
      <c r="B1565" s="2" t="s">
        <v>18967</v>
      </c>
      <c r="C1565" s="2" t="str">
        <f>Follow[[#This Row],[CODRASTREIO]]&amp;" B"</f>
        <v>CódRastreio1525 B</v>
      </c>
      <c r="D1565" s="52" t="str">
        <f>_xlfn.XLOOKUP(Follow[[#This Row],[Id Pedido]],Controle_Pedidos[Número Pedido Cliente],Controle_Pedidos[Loja])</f>
        <v>MEI</v>
      </c>
      <c r="E1565" s="9">
        <f>_xlfn.XLOOKUP(Follow[[#This Row],[Id Pedido]],Controle_Pedidos[Número Pedido Cliente],Controle_Pedidos[Prazo Entrega])</f>
        <v>45794</v>
      </c>
      <c r="F1565" s="9" t="s">
        <v>19433</v>
      </c>
      <c r="G1565" s="9" t="s">
        <v>677</v>
      </c>
      <c r="H1565" s="9" t="s">
        <v>179</v>
      </c>
      <c r="I1565" s="9" t="s">
        <v>178</v>
      </c>
      <c r="J1565" s="9">
        <v>45786</v>
      </c>
      <c r="K1565" s="8" t="s">
        <v>198</v>
      </c>
      <c r="L1565" s="8" t="s">
        <v>124</v>
      </c>
      <c r="M1565" s="8" t="s">
        <v>37</v>
      </c>
      <c r="N1565" s="52" t="str">
        <f>IF(Follow[[#This Row],[DATAATUALIZAÇÃO]]&lt;=Follow[[#This Row],[Prev Entrega]],"Dentro do Prazo","Fora do Prazo")</f>
        <v>Dentro do Prazo</v>
      </c>
      <c r="O1565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09/05/2025, referente ao pedido Nº Pedido 1597 Rastreio NM805834357BR, agradecemos a preferência e adoraríamos receber sua avaliação, tendo qualquer dúvida estamos à disposição.
Att
NTA Variedades</v>
      </c>
    </row>
    <row r="1566" spans="1:15">
      <c r="A1566" s="52" t="str">
        <f>_xlfn.XLOOKUP(Follow[[#This Row],[CODRASTREIO]],Controle_Pedidos[Cód Rastreamento],Controle_Pedidos[Número Pedido Cliente])</f>
        <v>Pedido 1599</v>
      </c>
      <c r="B1566" s="2" t="s">
        <v>18969</v>
      </c>
      <c r="C1566" s="2" t="str">
        <f>Follow[[#This Row],[CODRASTREIO]]&amp;" B"</f>
        <v>CódRastreio1527 B</v>
      </c>
      <c r="D1566" s="52" t="str">
        <f>_xlfn.XLOOKUP(Follow[[#This Row],[Id Pedido]],Controle_Pedidos[Número Pedido Cliente],Controle_Pedidos[Loja])</f>
        <v>MEI</v>
      </c>
      <c r="E1566" s="9">
        <f>_xlfn.XLOOKUP(Follow[[#This Row],[Id Pedido]],Controle_Pedidos[Número Pedido Cliente],Controle_Pedidos[Prazo Entrega])</f>
        <v>45800</v>
      </c>
      <c r="F1566" s="9" t="s">
        <v>19433</v>
      </c>
      <c r="G1566" s="9" t="s">
        <v>678</v>
      </c>
      <c r="H1566" s="9" t="s">
        <v>179</v>
      </c>
      <c r="I1566" s="9" t="s">
        <v>178</v>
      </c>
      <c r="J1566" s="9">
        <v>45787</v>
      </c>
      <c r="K1566" s="8" t="s">
        <v>198</v>
      </c>
      <c r="L1566" s="8" t="s">
        <v>124</v>
      </c>
      <c r="M1566" s="8" t="s">
        <v>37</v>
      </c>
      <c r="N1566" s="52" t="str">
        <f>IF(Follow[[#This Row],[DATAATUALIZAÇÃO]]&lt;=Follow[[#This Row],[Prev Entrega]],"Dentro do Prazo","Fora do Prazo")</f>
        <v>Dentro do Prazo</v>
      </c>
      <c r="O156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1599 Rastreio NM805852660BR, agradecemos a preferência e adoraríamos receber sua avaliação, tendo qualquer dúvida estamos à disposição.
Att
NTA Variedades</v>
      </c>
    </row>
    <row r="1567" spans="1:15">
      <c r="A1567" s="52" t="str">
        <f>_xlfn.XLOOKUP(Follow[[#This Row],[CODRASTREIO]],Controle_Pedidos[Cód Rastreamento],Controle_Pedidos[Número Pedido Cliente])</f>
        <v>Pedido 1600</v>
      </c>
      <c r="B1567" s="2" t="s">
        <v>18970</v>
      </c>
      <c r="C1567" s="2" t="str">
        <f>Follow[[#This Row],[CODRASTREIO]]&amp;" B"</f>
        <v>CódRastreio1528 B</v>
      </c>
      <c r="D1567" s="52" t="str">
        <f>_xlfn.XLOOKUP(Follow[[#This Row],[Id Pedido]],Controle_Pedidos[Número Pedido Cliente],Controle_Pedidos[Loja])</f>
        <v>MEI</v>
      </c>
      <c r="E1567" s="9">
        <f>_xlfn.XLOOKUP(Follow[[#This Row],[Id Pedido]],Controle_Pedidos[Número Pedido Cliente],Controle_Pedidos[Prazo Entrega])</f>
        <v>45794</v>
      </c>
      <c r="F1567" s="9" t="s">
        <v>19433</v>
      </c>
      <c r="G1567" s="9" t="s">
        <v>679</v>
      </c>
      <c r="H1567" s="9" t="s">
        <v>179</v>
      </c>
      <c r="I1567" s="9" t="s">
        <v>178</v>
      </c>
      <c r="J1567" s="9">
        <v>45787</v>
      </c>
      <c r="K1567" s="8" t="s">
        <v>198</v>
      </c>
      <c r="L1567" s="8" t="s">
        <v>124</v>
      </c>
      <c r="M1567" s="8" t="s">
        <v>37</v>
      </c>
      <c r="N1567" s="52" t="str">
        <f>IF(Follow[[#This Row],[DATAATUALIZAÇÃO]]&lt;=Follow[[#This Row],[Prev Entrega]],"Dentro do Prazo","Fora do Prazo")</f>
        <v>Dentro do Prazo</v>
      </c>
      <c r="O1567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1600 Rastreio CNBR00070040943, agradecemos a preferência e adoraríamos receber sua avaliação, tendo qualquer dúvida estamos à disposição.
Att
NTA Variedades</v>
      </c>
    </row>
    <row r="1568" spans="1:15">
      <c r="A1568" s="52" t="str">
        <f>_xlfn.XLOOKUP(Follow[[#This Row],[CODRASTREIO]],Controle_Pedidos[Cód Rastreamento],Controle_Pedidos[Número Pedido Cliente])</f>
        <v>Pedido 1602</v>
      </c>
      <c r="B1568" s="2" t="s">
        <v>18972</v>
      </c>
      <c r="C1568" s="2" t="str">
        <f>Follow[[#This Row],[CODRASTREIO]]&amp;" B"</f>
        <v>CódRastreio1530 B</v>
      </c>
      <c r="D1568" s="52" t="str">
        <f>_xlfn.XLOOKUP(Follow[[#This Row],[Id Pedido]],Controle_Pedidos[Número Pedido Cliente],Controle_Pedidos[Loja])</f>
        <v>MEI</v>
      </c>
      <c r="E1568" s="9">
        <f>_xlfn.XLOOKUP(Follow[[#This Row],[Id Pedido]],Controle_Pedidos[Número Pedido Cliente],Controle_Pedidos[Prazo Entrega])</f>
        <v>45794</v>
      </c>
      <c r="F1568" s="9" t="s">
        <v>19433</v>
      </c>
      <c r="G1568" s="9" t="s">
        <v>680</v>
      </c>
      <c r="H1568" s="9" t="s">
        <v>179</v>
      </c>
      <c r="I1568" s="9" t="s">
        <v>178</v>
      </c>
      <c r="J1568" s="9">
        <v>45787</v>
      </c>
      <c r="K1568" s="8" t="s">
        <v>198</v>
      </c>
      <c r="L1568" s="8" t="s">
        <v>124</v>
      </c>
      <c r="M1568" s="8" t="s">
        <v>37</v>
      </c>
      <c r="N1568" s="52" t="str">
        <f>IF(Follow[[#This Row],[DATAATUALIZAÇÃO]]&lt;=Follow[[#This Row],[Prev Entrega]],"Dentro do Prazo","Fora do Prazo")</f>
        <v>Dentro do Prazo</v>
      </c>
      <c r="O1568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1602 Rastreio CNBR00070038472, agradecemos a preferência e adoraríamos receber sua avaliação, tendo qualquer dúvida estamos à disposição.
Att
NTA Variedades</v>
      </c>
    </row>
    <row r="1569" spans="1:15">
      <c r="A1569" s="52" t="str">
        <f>_xlfn.XLOOKUP(Follow[[#This Row],[CODRASTREIO]],Controle_Pedidos[Cód Rastreamento],Controle_Pedidos[Número Pedido Cliente])</f>
        <v>Pedido 1604</v>
      </c>
      <c r="B1569" s="2" t="s">
        <v>18974</v>
      </c>
      <c r="C1569" s="2" t="str">
        <f>Follow[[#This Row],[CODRASTREIO]]&amp;" B"</f>
        <v>CódRastreio1532 B</v>
      </c>
      <c r="D1569" s="52" t="str">
        <f>_xlfn.XLOOKUP(Follow[[#This Row],[Id Pedido]],Controle_Pedidos[Número Pedido Cliente],Controle_Pedidos[Loja])</f>
        <v>MEI</v>
      </c>
      <c r="E1569" s="9">
        <f>_xlfn.XLOOKUP(Follow[[#This Row],[Id Pedido]],Controle_Pedidos[Número Pedido Cliente],Controle_Pedidos[Prazo Entrega])</f>
        <v>45801</v>
      </c>
      <c r="F1569" s="9" t="s">
        <v>19433</v>
      </c>
      <c r="G1569" s="9" t="s">
        <v>681</v>
      </c>
      <c r="H1569" s="9" t="s">
        <v>179</v>
      </c>
      <c r="I1569" s="9" t="s">
        <v>178</v>
      </c>
      <c r="J1569" s="9">
        <v>45787</v>
      </c>
      <c r="K1569" s="8" t="s">
        <v>198</v>
      </c>
      <c r="L1569" s="8" t="s">
        <v>124</v>
      </c>
      <c r="M1569" s="8" t="s">
        <v>37</v>
      </c>
      <c r="N1569" s="52" t="str">
        <f>IF(Follow[[#This Row],[DATAATUALIZAÇÃO]]&lt;=Follow[[#This Row],[Prev Entrega]],"Dentro do Prazo","Fora do Prazo")</f>
        <v>Dentro do Prazo</v>
      </c>
      <c r="O156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1604 Rastreio CNBR00070049685, agradecemos a preferência e adoraríamos receber sua avaliação, tendo qualquer dúvida estamos à disposição.
Att
NTA Variedades</v>
      </c>
    </row>
    <row r="1570" spans="1:15">
      <c r="A1570" s="52" t="str">
        <f>_xlfn.XLOOKUP(Follow[[#This Row],[CODRASTREIO]],Controle_Pedidos[Cód Rastreamento],Controle_Pedidos[Número Pedido Cliente])</f>
        <v>Pedido 1608</v>
      </c>
      <c r="B1570" s="2" t="s">
        <v>18978</v>
      </c>
      <c r="C1570" s="2" t="str">
        <f>Follow[[#This Row],[CODRASTREIO]]&amp;" B"</f>
        <v>CódRastreio1536 B</v>
      </c>
      <c r="D1570" s="52" t="str">
        <f>_xlfn.XLOOKUP(Follow[[#This Row],[Id Pedido]],Controle_Pedidos[Número Pedido Cliente],Controle_Pedidos[Loja])</f>
        <v>MEI</v>
      </c>
      <c r="E1570" s="9">
        <f>_xlfn.XLOOKUP(Follow[[#This Row],[Id Pedido]],Controle_Pedidos[Número Pedido Cliente],Controle_Pedidos[Prazo Entrega])</f>
        <v>45801</v>
      </c>
      <c r="F1570" s="9" t="s">
        <v>19433</v>
      </c>
      <c r="G1570" s="9" t="s">
        <v>682</v>
      </c>
      <c r="H1570" s="9" t="s">
        <v>179</v>
      </c>
      <c r="I1570" s="9" t="s">
        <v>178</v>
      </c>
      <c r="J1570" s="9">
        <v>45787</v>
      </c>
      <c r="K1570" s="8" t="s">
        <v>198</v>
      </c>
      <c r="L1570" s="8" t="s">
        <v>124</v>
      </c>
      <c r="M1570" s="8" t="s">
        <v>37</v>
      </c>
      <c r="N1570" s="52" t="str">
        <f>IF(Follow[[#This Row],[DATAATUALIZAÇÃO]]&lt;=Follow[[#This Row],[Prev Entrega]],"Dentro do Prazo","Fora do Prazo")</f>
        <v>Dentro do Prazo</v>
      </c>
      <c r="O157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1608 Rastreio CNBR00070048771, agradecemos a preferência e adoraríamos receber sua avaliação, tendo qualquer dúvida estamos à disposição.
Att
NTA Variedades</v>
      </c>
    </row>
    <row r="1571" spans="1:15">
      <c r="A1571" s="52" t="str">
        <f>_xlfn.XLOOKUP(Follow[[#This Row],[CODRASTREIO]],Controle_Pedidos[Cód Rastreamento],Controle_Pedidos[Número Pedido Cliente])</f>
        <v>Pedido 1610</v>
      </c>
      <c r="B1571" s="2" t="s">
        <v>18980</v>
      </c>
      <c r="C1571" s="2" t="str">
        <f>Follow[[#This Row],[CODRASTREIO]]&amp;" B"</f>
        <v>CódRastreio1538 B</v>
      </c>
      <c r="D1571" s="52" t="str">
        <f>_xlfn.XLOOKUP(Follow[[#This Row],[Id Pedido]],Controle_Pedidos[Número Pedido Cliente],Controle_Pedidos[Loja])</f>
        <v>MEI</v>
      </c>
      <c r="E1571" s="9">
        <f>_xlfn.XLOOKUP(Follow[[#This Row],[Id Pedido]],Controle_Pedidos[Número Pedido Cliente],Controle_Pedidos[Prazo Entrega])</f>
        <v>45801</v>
      </c>
      <c r="F1571" s="9" t="s">
        <v>19433</v>
      </c>
      <c r="G1571" s="9" t="s">
        <v>683</v>
      </c>
      <c r="H1571" s="9" t="s">
        <v>179</v>
      </c>
      <c r="I1571" s="9" t="s">
        <v>178</v>
      </c>
      <c r="J1571" s="9">
        <v>45786</v>
      </c>
      <c r="K1571" s="8" t="s">
        <v>198</v>
      </c>
      <c r="L1571" s="8" t="s">
        <v>124</v>
      </c>
      <c r="M1571" s="8" t="s">
        <v>37</v>
      </c>
      <c r="N1571" s="52" t="str">
        <f>IF(Follow[[#This Row],[DATAATUALIZAÇÃO]]&lt;=Follow[[#This Row],[Prev Entrega]],"Dentro do Prazo","Fora do Prazo")</f>
        <v>Dentro do Prazo</v>
      </c>
      <c r="O157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09/05/2025, referente ao pedido Nº Pedido 1610 Rastreio NM805881502BR, agradecemos a preferência e adoraríamos receber sua avaliação, tendo qualquer dúvida estamos à disposição.
Att
NTA Variedades</v>
      </c>
    </row>
    <row r="1572" spans="1:15">
      <c r="A1572" s="52" t="str">
        <f>_xlfn.XLOOKUP(Follow[[#This Row],[CODRASTREIO]],Controle_Pedidos[Cód Rastreamento],Controle_Pedidos[Número Pedido Cliente])</f>
        <v>Pedido 1648</v>
      </c>
      <c r="B1572" s="2" t="s">
        <v>19011</v>
      </c>
      <c r="C1572" s="2" t="str">
        <f>Follow[[#This Row],[CODRASTREIO]]&amp;" B"</f>
        <v>CódRastreio1569 B</v>
      </c>
      <c r="D1572" s="52" t="str">
        <f>_xlfn.XLOOKUP(Follow[[#This Row],[Id Pedido]],Controle_Pedidos[Número Pedido Cliente],Controle_Pedidos[Loja])</f>
        <v>MEI</v>
      </c>
      <c r="E1572" s="9">
        <f>_xlfn.XLOOKUP(Follow[[#This Row],[Id Pedido]],Controle_Pedidos[Número Pedido Cliente],Controle_Pedidos[Prazo Entrega])</f>
        <v>45806</v>
      </c>
      <c r="F1572" s="9" t="s">
        <v>19433</v>
      </c>
      <c r="G1572" s="9" t="s">
        <v>37</v>
      </c>
      <c r="H1572" s="9" t="s">
        <v>178</v>
      </c>
      <c r="I1572" s="9" t="s">
        <v>178</v>
      </c>
      <c r="J1572" s="9">
        <v>45800</v>
      </c>
      <c r="K1572" s="8" t="s">
        <v>198</v>
      </c>
      <c r="L1572" s="8" t="s">
        <v>124</v>
      </c>
      <c r="M1572" s="8" t="s">
        <v>37</v>
      </c>
      <c r="N1572" s="52" t="str">
        <f>IF(Follow[[#This Row],[DATAATUALIZAÇÃO]]&lt;=Follow[[#This Row],[Prev Entrega]],"Dentro do Prazo","Fora do Prazo")</f>
        <v>Dentro do Prazo</v>
      </c>
      <c r="O157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23/05/2025, referente ao pedido Nº Pedido 1648 Rastreio Pedido 1648, agradecemos a preferência e adoraríamos receber sua avaliação, tendo qualquer dúvida estamos à disposição.
Att
NTA Variedades</v>
      </c>
    </row>
    <row r="1573" spans="1:15">
      <c r="A1573" s="52" t="str">
        <f>_xlfn.XLOOKUP(Follow[[#This Row],[CODRASTREIO]],Controle_Pedidos[Cód Rastreamento],Controle_Pedidos[Número Pedido Cliente])</f>
        <v>Pedido 1655</v>
      </c>
      <c r="B1573" s="2" t="s">
        <v>19018</v>
      </c>
      <c r="C1573" s="2" t="str">
        <f>Follow[[#This Row],[CODRASTREIO]]&amp;" B"</f>
        <v>CódRastreio1576 B</v>
      </c>
      <c r="D1573" s="52" t="str">
        <f>_xlfn.XLOOKUP(Follow[[#This Row],[Id Pedido]],Controle_Pedidos[Número Pedido Cliente],Controle_Pedidos[Loja])</f>
        <v>MEI</v>
      </c>
      <c r="E1573" s="9">
        <f>_xlfn.XLOOKUP(Follow[[#This Row],[Id Pedido]],Controle_Pedidos[Número Pedido Cliente],Controle_Pedidos[Prazo Entrega])</f>
        <v>45800</v>
      </c>
      <c r="F1573" s="9" t="s">
        <v>19433</v>
      </c>
      <c r="G1573" s="9" t="s">
        <v>37</v>
      </c>
      <c r="H1573" s="9" t="s">
        <v>178</v>
      </c>
      <c r="I1573" s="9" t="s">
        <v>178</v>
      </c>
      <c r="J1573" s="9">
        <v>45790</v>
      </c>
      <c r="K1573" s="8" t="s">
        <v>198</v>
      </c>
      <c r="L1573" s="8" t="s">
        <v>124</v>
      </c>
      <c r="M1573" s="8" t="s">
        <v>37</v>
      </c>
      <c r="N1573" s="52" t="str">
        <f>IF(Follow[[#This Row],[DATAATUALIZAÇÃO]]&lt;=Follow[[#This Row],[Prev Entrega]],"Dentro do Prazo","Fora do Prazo")</f>
        <v>Dentro do Prazo</v>
      </c>
      <c r="O157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13/05/2025, referente ao pedido Nº Pedido 1655 Rastreio Pedido 1655, agradecemos a preferência e adoraríamos receber sua avaliação, tendo qualquer dúvida estamos à disposição.
Att
NTA Variedades</v>
      </c>
    </row>
    <row r="1574" spans="1:15">
      <c r="A1574" s="52" t="str">
        <f>_xlfn.XLOOKUP(Follow[[#This Row],[CODRASTREIO]],Controle_Pedidos[Cód Rastreamento],Controle_Pedidos[Número Pedido Cliente])</f>
        <v>Pedido 1621</v>
      </c>
      <c r="B1574" s="2" t="s">
        <v>18989</v>
      </c>
      <c r="C1574" s="2" t="str">
        <f>Follow[[#This Row],[CODRASTREIO]]&amp;" B"</f>
        <v>CódRastreio1547 B</v>
      </c>
      <c r="D1574" s="52" t="str">
        <f>_xlfn.XLOOKUP(Follow[[#This Row],[Id Pedido]],Controle_Pedidos[Número Pedido Cliente],Controle_Pedidos[Loja])</f>
        <v>MEI</v>
      </c>
      <c r="E1574" s="9">
        <f>_xlfn.XLOOKUP(Follow[[#This Row],[Id Pedido]],Controle_Pedidos[Número Pedido Cliente],Controle_Pedidos[Prazo Entrega])</f>
        <v>45801</v>
      </c>
      <c r="F1574" s="9" t="s">
        <v>19433</v>
      </c>
      <c r="G1574" s="9" t="s">
        <v>37</v>
      </c>
      <c r="H1574" s="9" t="s">
        <v>178</v>
      </c>
      <c r="I1574" s="52" t="s">
        <v>178</v>
      </c>
      <c r="J1574" s="140">
        <v>45789</v>
      </c>
      <c r="K1574" s="124" t="s">
        <v>198</v>
      </c>
      <c r="L1574" s="8" t="s">
        <v>124</v>
      </c>
      <c r="M1574" s="8" t="s">
        <v>37</v>
      </c>
      <c r="N1574" s="52" t="str">
        <f>IF(Follow[[#This Row],[DATAATUALIZAÇÃO]]&lt;=Follow[[#This Row],[Prev Entrega]],"Dentro do Prazo","Fora do Prazo")</f>
        <v>Dentro do Prazo</v>
      </c>
      <c r="O157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12/05/2025, referente ao pedido Nº Pedido 1621 Rastreio Pedido 1621, agradecemos a preferência e adoraríamos receber sua avaliação, tendo qualquer dúvida estamos à disposição.
Att
NTA Variedades</v>
      </c>
    </row>
    <row r="1575" spans="1:15">
      <c r="A1575" s="52" t="str">
        <f>_xlfn.XLOOKUP(Follow[[#This Row],[CODRASTREIO]],Controle_Pedidos[Cód Rastreamento],Controle_Pedidos[Número Pedido Cliente])</f>
        <v>Pedido 1625</v>
      </c>
      <c r="B1575" s="2" t="s">
        <v>18993</v>
      </c>
      <c r="C1575" s="2" t="str">
        <f>Follow[[#This Row],[CODRASTREIO]]&amp;" B"</f>
        <v>CódRastreio1551 B</v>
      </c>
      <c r="D1575" s="52" t="str">
        <f>_xlfn.XLOOKUP(Follow[[#This Row],[Id Pedido]],Controle_Pedidos[Número Pedido Cliente],Controle_Pedidos[Loja])</f>
        <v>MEI</v>
      </c>
      <c r="E1575" s="9">
        <f>_xlfn.XLOOKUP(Follow[[#This Row],[Id Pedido]],Controle_Pedidos[Número Pedido Cliente],Controle_Pedidos[Prazo Entrega])</f>
        <v>45804</v>
      </c>
      <c r="F1575" s="9" t="s">
        <v>19433</v>
      </c>
      <c r="G1575" s="9" t="s">
        <v>37</v>
      </c>
      <c r="H1575" s="9" t="s">
        <v>178</v>
      </c>
      <c r="I1575" s="52" t="s">
        <v>178</v>
      </c>
      <c r="J1575" s="140">
        <v>45790</v>
      </c>
      <c r="K1575" s="124" t="s">
        <v>198</v>
      </c>
      <c r="L1575" s="8" t="s">
        <v>124</v>
      </c>
      <c r="M1575" s="8" t="s">
        <v>37</v>
      </c>
      <c r="N1575" s="52" t="str">
        <f>IF(Follow[[#This Row],[DATAATUALIZAÇÃO]]&lt;=Follow[[#This Row],[Prev Entrega]],"Dentro do Prazo","Fora do Prazo")</f>
        <v>Dentro do Prazo</v>
      </c>
      <c r="O157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13/05/2025, referente ao pedido Nº Pedido 1625 Rastreio Pedido 1625, agradecemos a preferência e adoraríamos receber sua avaliação, tendo qualquer dúvida estamos à disposição.
Att
NTA Variedades</v>
      </c>
    </row>
    <row r="1576" spans="1:15">
      <c r="A1576" s="52" t="str">
        <f>_xlfn.XLOOKUP(Follow[[#This Row],[CODRASTREIO]],Controle_Pedidos[Cód Rastreamento],Controle_Pedidos[Número Pedido Cliente])</f>
        <v>Pedido 1635</v>
      </c>
      <c r="B1576" s="2" t="s">
        <v>19000</v>
      </c>
      <c r="C1576" s="2" t="str">
        <f>Follow[[#This Row],[CODRASTREIO]]&amp;" B"</f>
        <v>CódRastreio1558 B</v>
      </c>
      <c r="D1576" s="52" t="str">
        <f>_xlfn.XLOOKUP(Follow[[#This Row],[Id Pedido]],Controle_Pedidos[Número Pedido Cliente],Controle_Pedidos[Loja])</f>
        <v>MEI</v>
      </c>
      <c r="E1576" s="9">
        <f>_xlfn.XLOOKUP(Follow[[#This Row],[Id Pedido]],Controle_Pedidos[Número Pedido Cliente],Controle_Pedidos[Prazo Entrega])</f>
        <v>45799</v>
      </c>
      <c r="F1576" s="9" t="s">
        <v>19433</v>
      </c>
      <c r="G1576" s="9" t="s">
        <v>37</v>
      </c>
      <c r="H1576" s="9" t="s">
        <v>178</v>
      </c>
      <c r="I1576" s="52" t="s">
        <v>178</v>
      </c>
      <c r="J1576" s="140">
        <v>45793</v>
      </c>
      <c r="K1576" s="124" t="s">
        <v>198</v>
      </c>
      <c r="L1576" s="8" t="s">
        <v>124</v>
      </c>
      <c r="M1576" s="8" t="s">
        <v>37</v>
      </c>
      <c r="N1576" s="52" t="str">
        <f>IF(Follow[[#This Row],[DATAATUALIZAÇÃO]]&lt;=Follow[[#This Row],[Prev Entrega]],"Dentro do Prazo","Fora do Prazo")</f>
        <v>Dentro do Prazo</v>
      </c>
      <c r="O157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16/05/2025, referente ao pedido Nº Pedido 1635 Rastreio Pedido 1635, agradecemos a preferência e adoraríamos receber sua avaliação, tendo qualquer dúvida estamos à disposição.
Att
NTA Variedades</v>
      </c>
    </row>
    <row r="1577" spans="1:15">
      <c r="A1577" s="52" t="str">
        <f>_xlfn.XLOOKUP(Follow[[#This Row],[CODRASTREIO]],Controle_Pedidos[Cód Rastreamento],Controle_Pedidos[Número Pedido Cliente])</f>
        <v>Pedido 1637</v>
      </c>
      <c r="B1577" s="2" t="s">
        <v>19002</v>
      </c>
      <c r="C1577" s="2" t="str">
        <f>Follow[[#This Row],[CODRASTREIO]]&amp;" B"</f>
        <v>CódRastreio1560 B</v>
      </c>
      <c r="D1577" s="52" t="str">
        <f>_xlfn.XLOOKUP(Follow[[#This Row],[Id Pedido]],Controle_Pedidos[Número Pedido Cliente],Controle_Pedidos[Loja])</f>
        <v>MEI</v>
      </c>
      <c r="E1577" s="9">
        <f>_xlfn.XLOOKUP(Follow[[#This Row],[Id Pedido]],Controle_Pedidos[Número Pedido Cliente],Controle_Pedidos[Prazo Entrega])</f>
        <v>45805</v>
      </c>
      <c r="F1577" s="9" t="s">
        <v>19433</v>
      </c>
      <c r="G1577" s="9" t="s">
        <v>37</v>
      </c>
      <c r="H1577" s="9" t="s">
        <v>178</v>
      </c>
      <c r="I1577" s="52" t="s">
        <v>178</v>
      </c>
      <c r="J1577" s="140">
        <v>45789</v>
      </c>
      <c r="K1577" s="124" t="s">
        <v>198</v>
      </c>
      <c r="L1577" s="8" t="s">
        <v>124</v>
      </c>
      <c r="M1577" s="8" t="s">
        <v>37</v>
      </c>
      <c r="N1577" s="52" t="str">
        <f>IF(Follow[[#This Row],[DATAATUALIZAÇÃO]]&lt;=Follow[[#This Row],[Prev Entrega]],"Dentro do Prazo","Fora do Prazo")</f>
        <v>Dentro do Prazo</v>
      </c>
      <c r="O157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12/05/2025, referente ao pedido Nº Pedido 1637 Rastreio Pedido 1637, agradecemos a preferência e adoraríamos receber sua avaliação, tendo qualquer dúvida estamos à disposição.
Att
NTA Variedades</v>
      </c>
    </row>
    <row r="1578" spans="1:15">
      <c r="A1578" s="52" t="str">
        <f>_xlfn.XLOOKUP(Follow[[#This Row],[CODRASTREIO]],Controle_Pedidos[Cód Rastreamento],Controle_Pedidos[Número Pedido Cliente])</f>
        <v>Pedido 1649</v>
      </c>
      <c r="B1578" s="2" t="s">
        <v>19012</v>
      </c>
      <c r="C1578" s="2" t="str">
        <f>Follow[[#This Row],[CODRASTREIO]]&amp;" B"</f>
        <v>CódRastreio1570 B</v>
      </c>
      <c r="D1578" s="52" t="str">
        <f>_xlfn.XLOOKUP(Follow[[#This Row],[Id Pedido]],Controle_Pedidos[Número Pedido Cliente],Controle_Pedidos[Loja])</f>
        <v>MEI</v>
      </c>
      <c r="E1578" s="9">
        <f>_xlfn.XLOOKUP(Follow[[#This Row],[Id Pedido]],Controle_Pedidos[Número Pedido Cliente],Controle_Pedidos[Prazo Entrega])</f>
        <v>45813</v>
      </c>
      <c r="F1578" s="9" t="s">
        <v>19433</v>
      </c>
      <c r="G1578" s="9" t="s">
        <v>684</v>
      </c>
      <c r="H1578" s="9" t="s">
        <v>179</v>
      </c>
      <c r="I1578" s="9" t="s">
        <v>178</v>
      </c>
      <c r="J1578" s="147">
        <v>45832</v>
      </c>
      <c r="K1578" s="8" t="s">
        <v>198</v>
      </c>
      <c r="L1578" s="8" t="s">
        <v>124</v>
      </c>
      <c r="M1578" s="8" t="s">
        <v>37</v>
      </c>
      <c r="N1578" s="52" t="str">
        <f>IF(Follow[[#This Row],[DATAATUALIZAÇÃO]]&lt;=Follow[[#This Row],[Prev Entrega]],"Dentro do Prazo","Fora do Prazo")</f>
        <v>Fora do Prazo</v>
      </c>
      <c r="O157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24/06/2025, referente ao pedido Nº Pedido 1649 Rastreio NM809157254BR, agradecemos a preferência e adoraríamos receber sua avaliação, tendo qualquer dúvida estamos à disposição.
Att
NTA Variedades</v>
      </c>
    </row>
    <row r="1579" spans="1:15">
      <c r="A1579" s="52" t="str">
        <f>_xlfn.XLOOKUP(Follow[[#This Row],[CODRASTREIO]],Controle_Pedidos[Cód Rastreamento],Controle_Pedidos[Número Pedido Cliente])</f>
        <v>Pedido 1650</v>
      </c>
      <c r="B1579" s="2" t="s">
        <v>19013</v>
      </c>
      <c r="C1579" s="2" t="str">
        <f>Follow[[#This Row],[CODRASTREIO]]&amp;" B"</f>
        <v>CódRastreio1571 B</v>
      </c>
      <c r="D1579" s="52" t="str">
        <f>_xlfn.XLOOKUP(Follow[[#This Row],[Id Pedido]],Controle_Pedidos[Número Pedido Cliente],Controle_Pedidos[Loja])</f>
        <v>MEI</v>
      </c>
      <c r="E1579" s="9">
        <f>_xlfn.XLOOKUP(Follow[[#This Row],[Id Pedido]],Controle_Pedidos[Número Pedido Cliente],Controle_Pedidos[Prazo Entrega])</f>
        <v>45806</v>
      </c>
      <c r="F1579" s="9" t="s">
        <v>19433</v>
      </c>
      <c r="G1579" s="9" t="s">
        <v>685</v>
      </c>
      <c r="H1579" s="9" t="s">
        <v>179</v>
      </c>
      <c r="I1579" s="52" t="s">
        <v>178</v>
      </c>
      <c r="J1579" s="140">
        <v>45796</v>
      </c>
      <c r="K1579" s="124" t="s">
        <v>198</v>
      </c>
      <c r="L1579" s="8" t="s">
        <v>124</v>
      </c>
      <c r="M1579" s="8" t="s">
        <v>37</v>
      </c>
      <c r="N1579" s="52" t="str">
        <f>IF(Follow[[#This Row],[DATAATUALIZAÇÃO]]&lt;=Follow[[#This Row],[Prev Entrega]],"Dentro do Prazo","Fora do Prazo")</f>
        <v>Dentro do Prazo</v>
      </c>
      <c r="O157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19/05/2025, referente ao pedido Nº Pedido 1650 Rastreio NM809131708BR, agradecemos a preferência e adoraríamos receber sua avaliação, tendo qualquer dúvida estamos à disposição.
Att
NTA Variedades</v>
      </c>
    </row>
    <row r="1580" spans="1:15">
      <c r="A1580" s="52" t="str">
        <f>_xlfn.XLOOKUP(Follow[[#This Row],[CODRASTREIO]],Controle_Pedidos[Cód Rastreamento],Controle_Pedidos[Número Pedido Cliente])</f>
        <v>Pedido 1651</v>
      </c>
      <c r="B1580" s="2" t="s">
        <v>19014</v>
      </c>
      <c r="C1580" s="2" t="str">
        <f>Follow[[#This Row],[CODRASTREIO]]&amp;" B"</f>
        <v>CódRastreio1572 B</v>
      </c>
      <c r="D1580" s="52" t="str">
        <f>_xlfn.XLOOKUP(Follow[[#This Row],[Id Pedido]],Controle_Pedidos[Número Pedido Cliente],Controle_Pedidos[Loja])</f>
        <v>MEI</v>
      </c>
      <c r="E1580" s="9">
        <f>_xlfn.XLOOKUP(Follow[[#This Row],[Id Pedido]],Controle_Pedidos[Número Pedido Cliente],Controle_Pedidos[Prazo Entrega])</f>
        <v>45806</v>
      </c>
      <c r="F1580" s="9" t="s">
        <v>19433</v>
      </c>
      <c r="G1580" s="9" t="s">
        <v>686</v>
      </c>
      <c r="H1580" s="9" t="s">
        <v>179</v>
      </c>
      <c r="I1580" s="52" t="s">
        <v>178</v>
      </c>
      <c r="J1580" s="140">
        <v>45797</v>
      </c>
      <c r="K1580" s="124" t="s">
        <v>198</v>
      </c>
      <c r="L1580" s="8" t="s">
        <v>124</v>
      </c>
      <c r="M1580" s="8" t="s">
        <v>37</v>
      </c>
      <c r="N1580" s="52" t="str">
        <f>IF(Follow[[#This Row],[DATAATUALIZAÇÃO]]&lt;=Follow[[#This Row],[Prev Entrega]],"Dentro do Prazo","Fora do Prazo")</f>
        <v>Dentro do Prazo</v>
      </c>
      <c r="O158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20/05/2025, referente ao pedido Nº Pedido 1651 Rastreio NM809144264BR, agradecemos a preferência e adoraríamos receber sua avaliação, tendo qualquer dúvida estamos à disposição.
Att
NTA Variedades</v>
      </c>
    </row>
    <row r="1581" spans="1:15">
      <c r="A1581" s="52" t="str">
        <f>_xlfn.XLOOKUP(Follow[[#This Row],[CODRASTREIO]],Controle_Pedidos[Cód Rastreamento],Controle_Pedidos[Número Pedido Cliente])</f>
        <v>Pedido 1652</v>
      </c>
      <c r="B1581" s="2" t="s">
        <v>19015</v>
      </c>
      <c r="C1581" s="2" t="str">
        <f>Follow[[#This Row],[CODRASTREIO]]&amp;" B"</f>
        <v>CódRastreio1573 B</v>
      </c>
      <c r="D1581" s="52" t="str">
        <f>_xlfn.XLOOKUP(Follow[[#This Row],[Id Pedido]],Controle_Pedidos[Número Pedido Cliente],Controle_Pedidos[Loja])</f>
        <v>MEI</v>
      </c>
      <c r="E1581" s="9">
        <f>_xlfn.XLOOKUP(Follow[[#This Row],[Id Pedido]],Controle_Pedidos[Número Pedido Cliente],Controle_Pedidos[Prazo Entrega])</f>
        <v>45806</v>
      </c>
      <c r="F1581" s="9" t="s">
        <v>19433</v>
      </c>
      <c r="G1581" s="9" t="s">
        <v>687</v>
      </c>
      <c r="H1581" s="9" t="s">
        <v>179</v>
      </c>
      <c r="I1581" s="52" t="s">
        <v>178</v>
      </c>
      <c r="J1581" s="140">
        <v>45800</v>
      </c>
      <c r="K1581" s="124" t="s">
        <v>198</v>
      </c>
      <c r="L1581" s="8" t="s">
        <v>124</v>
      </c>
      <c r="M1581" s="8" t="s">
        <v>37</v>
      </c>
      <c r="N1581" s="52" t="str">
        <f>IF(Follow[[#This Row],[DATAATUALIZAÇÃO]]&lt;=Follow[[#This Row],[Prev Entrega]],"Dentro do Prazo","Fora do Prazo")</f>
        <v>Dentro do Prazo</v>
      </c>
      <c r="O158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23/05/2025, referente ao pedido Nº Pedido 1652 Rastreio CNBR00070402909, agradecemos a preferência e adoraríamos receber sua avaliação, tendo qualquer dúvida estamos à disposição.
Att
NTA Variedades</v>
      </c>
    </row>
    <row r="1582" spans="1:15">
      <c r="A1582" s="52" t="str">
        <f>_xlfn.XLOOKUP(Follow[[#This Row],[CODRASTREIO]],Controle_Pedidos[Cód Rastreamento],Controle_Pedidos[Número Pedido Cliente])</f>
        <v>Pedido 1653</v>
      </c>
      <c r="B1582" s="2" t="s">
        <v>19016</v>
      </c>
      <c r="C1582" s="2" t="str">
        <f>Follow[[#This Row],[CODRASTREIO]]&amp;" B"</f>
        <v>CódRastreio1574 B</v>
      </c>
      <c r="D1582" s="52" t="str">
        <f>_xlfn.XLOOKUP(Follow[[#This Row],[Id Pedido]],Controle_Pedidos[Número Pedido Cliente],Controle_Pedidos[Loja])</f>
        <v>MEI</v>
      </c>
      <c r="E1582" s="9">
        <f>_xlfn.XLOOKUP(Follow[[#This Row],[Id Pedido]],Controle_Pedidos[Número Pedido Cliente],Controle_Pedidos[Prazo Entrega])</f>
        <v>45813</v>
      </c>
      <c r="F1582" s="9" t="s">
        <v>19433</v>
      </c>
      <c r="G1582" s="9" t="s">
        <v>688</v>
      </c>
      <c r="H1582" s="9" t="s">
        <v>179</v>
      </c>
      <c r="I1582" s="9" t="s">
        <v>178</v>
      </c>
      <c r="J1582" s="9">
        <v>45814</v>
      </c>
      <c r="K1582" s="8" t="s">
        <v>198</v>
      </c>
      <c r="L1582" s="8" t="s">
        <v>124</v>
      </c>
      <c r="M1582" s="8" t="s">
        <v>37</v>
      </c>
      <c r="N1582" s="52" t="str">
        <f>IF(Follow[[#This Row],[DATAATUALIZAÇÃO]]&lt;=Follow[[#This Row],[Prev Entrega]],"Dentro do Prazo","Fora do Prazo")</f>
        <v>Fora do Prazo</v>
      </c>
      <c r="O15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06/06/2025, referente ao pedido Nº Pedido 1653 Rastreio NM809156259BR, agradecemos a preferência e adoraríamos receber sua avaliação, tendo qualquer dúvida estamos à disposição.
Att
NTA Variedades</v>
      </c>
    </row>
    <row r="1583" spans="1:15">
      <c r="A1583" s="52" t="str">
        <f>_xlfn.XLOOKUP(Follow[[#This Row],[CODRASTREIO]],Controle_Pedidos[Cód Rastreamento],Controle_Pedidos[Número Pedido Cliente])</f>
        <v>Pedido 1654</v>
      </c>
      <c r="B1583" s="2" t="s">
        <v>19017</v>
      </c>
      <c r="C1583" s="2" t="str">
        <f>Follow[[#This Row],[CODRASTREIO]]&amp;" B"</f>
        <v>CódRastreio1575 B</v>
      </c>
      <c r="D1583" s="52" t="str">
        <f>_xlfn.XLOOKUP(Follow[[#This Row],[Id Pedido]],Controle_Pedidos[Número Pedido Cliente],Controle_Pedidos[Loja])</f>
        <v>MEI</v>
      </c>
      <c r="E1583" s="9">
        <f>_xlfn.XLOOKUP(Follow[[#This Row],[Id Pedido]],Controle_Pedidos[Número Pedido Cliente],Controle_Pedidos[Prazo Entrega])</f>
        <v>45806</v>
      </c>
      <c r="F1583" s="9" t="s">
        <v>19433</v>
      </c>
      <c r="G1583" s="9" t="s">
        <v>689</v>
      </c>
      <c r="H1583" s="9" t="s">
        <v>179</v>
      </c>
      <c r="I1583" s="52" t="s">
        <v>178</v>
      </c>
      <c r="J1583" s="140">
        <v>45798</v>
      </c>
      <c r="K1583" s="124" t="s">
        <v>198</v>
      </c>
      <c r="L1583" s="8" t="s">
        <v>124</v>
      </c>
      <c r="M1583" s="8" t="s">
        <v>37</v>
      </c>
      <c r="N1583" s="52" t="str">
        <f>IF(Follow[[#This Row],[DATAATUALIZAÇÃO]]&lt;=Follow[[#This Row],[Prev Entrega]],"Dentro do Prazo","Fora do Prazo")</f>
        <v>Dentro do Prazo</v>
      </c>
      <c r="O1583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21/05/2025, referente ao pedido Nº Pedido 1654 Rastreio NM809146605BR, agradecemos a preferência e adoraríamos receber sua avaliação, tendo qualquer dúvida estamos à disposição.
Att
NTA Variedades</v>
      </c>
    </row>
    <row r="1584" spans="1:15">
      <c r="A1584" s="52" t="str">
        <f>_xlfn.XLOOKUP(Follow[[#This Row],[CODRASTREIO]],Controle_Pedidos[Cód Rastreamento],Controle_Pedidos[Número Pedido Cliente])</f>
        <v>Pedido 1656</v>
      </c>
      <c r="B1584" s="2" t="s">
        <v>19019</v>
      </c>
      <c r="C1584" s="2" t="str">
        <f>Follow[[#This Row],[CODRASTREIO]]&amp;" B"</f>
        <v>CódRastreio1577 B</v>
      </c>
      <c r="D1584" s="52" t="str">
        <f>_xlfn.XLOOKUP(Follow[[#This Row],[Id Pedido]],Controle_Pedidos[Número Pedido Cliente],Controle_Pedidos[Loja])</f>
        <v>MEI</v>
      </c>
      <c r="E1584" s="9">
        <f>_xlfn.XLOOKUP(Follow[[#This Row],[Id Pedido]],Controle_Pedidos[Número Pedido Cliente],Controle_Pedidos[Prazo Entrega])</f>
        <v>45806</v>
      </c>
      <c r="F1584" s="9" t="s">
        <v>19433</v>
      </c>
      <c r="G1584" s="9" t="s">
        <v>690</v>
      </c>
      <c r="H1584" s="9" t="s">
        <v>179</v>
      </c>
      <c r="I1584" s="52" t="s">
        <v>178</v>
      </c>
      <c r="J1584" s="140">
        <v>45800</v>
      </c>
      <c r="K1584" s="124" t="s">
        <v>198</v>
      </c>
      <c r="L1584" s="8" t="s">
        <v>124</v>
      </c>
      <c r="M1584" s="8" t="s">
        <v>37</v>
      </c>
      <c r="N1584" s="52" t="str">
        <f>IF(Follow[[#This Row],[DATAATUALIZAÇÃO]]&lt;=Follow[[#This Row],[Prev Entrega]],"Dentro do Prazo","Fora do Prazo")</f>
        <v>Dentro do Prazo</v>
      </c>
      <c r="O15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23/05/2025, referente ao pedido Nº Pedido 1656 Rastreio CNBR00070329452, agradecemos a preferência e adoraríamos receber sua avaliação, tendo qualquer dúvida estamos à disposição.
Att
NTA Variedades</v>
      </c>
    </row>
    <row r="1585" spans="1:15">
      <c r="A1585" s="52" t="str">
        <f>_xlfn.XLOOKUP(Follow[[#This Row],[CODRASTREIO]],Controle_Pedidos[Cód Rastreamento],Controle_Pedidos[Número Pedido Cliente])</f>
        <v>Pedido 1657</v>
      </c>
      <c r="B1585" s="2" t="s">
        <v>19020</v>
      </c>
      <c r="C1585" s="2" t="str">
        <f>Follow[[#This Row],[CODRASTREIO]]&amp;" B"</f>
        <v>CódRastreio1578 B</v>
      </c>
      <c r="D1585" s="52" t="str">
        <f>_xlfn.XLOOKUP(Follow[[#This Row],[Id Pedido]],Controle_Pedidos[Número Pedido Cliente],Controle_Pedidos[Loja])</f>
        <v>MEI</v>
      </c>
      <c r="E1585" s="9">
        <f>_xlfn.XLOOKUP(Follow[[#This Row],[Id Pedido]],Controle_Pedidos[Número Pedido Cliente],Controle_Pedidos[Prazo Entrega])</f>
        <v>45806</v>
      </c>
      <c r="F1585" s="9" t="s">
        <v>19433</v>
      </c>
      <c r="G1585" s="9" t="s">
        <v>691</v>
      </c>
      <c r="H1585" s="9" t="s">
        <v>179</v>
      </c>
      <c r="I1585" s="9" t="s">
        <v>178</v>
      </c>
      <c r="J1585" s="9">
        <v>45806</v>
      </c>
      <c r="K1585" s="8" t="s">
        <v>198</v>
      </c>
      <c r="L1585" s="8" t="s">
        <v>124</v>
      </c>
      <c r="M1585" s="8" t="s">
        <v>37</v>
      </c>
      <c r="N1585" s="52" t="str">
        <f>IF(Follow[[#This Row],[DATAATUALIZAÇÃO]]&lt;=Follow[[#This Row],[Prev Entrega]],"Dentro do Prazo","Fora do Prazo")</f>
        <v>Dentro do Prazo</v>
      </c>
      <c r="O158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29/05/2025, referente ao pedido Nº Pedido 1657 Rastreio CNBR00070415541, agradecemos a preferência e adoraríamos receber sua avaliação, tendo qualquer dúvida estamos à disposição.
Att
NTA Variedades</v>
      </c>
    </row>
    <row r="1586" spans="1:15">
      <c r="A1586" s="52" t="str">
        <f>_xlfn.XLOOKUP(Follow[[#This Row],[CODRASTREIO]],Controle_Pedidos[Cód Rastreamento],Controle_Pedidos[Número Pedido Cliente])</f>
        <v>Pedido 1658</v>
      </c>
      <c r="B1586" s="2" t="s">
        <v>19021</v>
      </c>
      <c r="C1586" s="2" t="str">
        <f>Follow[[#This Row],[CODRASTREIO]]&amp;" B"</f>
        <v>CódRastreio1579 B</v>
      </c>
      <c r="D1586" s="52" t="str">
        <f>_xlfn.XLOOKUP(Follow[[#This Row],[Id Pedido]],Controle_Pedidos[Número Pedido Cliente],Controle_Pedidos[Loja])</f>
        <v>MEI</v>
      </c>
      <c r="E1586" s="9">
        <f>_xlfn.XLOOKUP(Follow[[#This Row],[Id Pedido]],Controle_Pedidos[Número Pedido Cliente],Controle_Pedidos[Prazo Entrega])</f>
        <v>45806</v>
      </c>
      <c r="F1586" s="9" t="s">
        <v>19433</v>
      </c>
      <c r="G1586" s="9" t="s">
        <v>692</v>
      </c>
      <c r="H1586" s="9" t="s">
        <v>179</v>
      </c>
      <c r="I1586" s="52" t="s">
        <v>178</v>
      </c>
      <c r="J1586" s="140">
        <v>45803</v>
      </c>
      <c r="K1586" s="124" t="s">
        <v>198</v>
      </c>
      <c r="L1586" s="8" t="s">
        <v>124</v>
      </c>
      <c r="M1586" s="8" t="s">
        <v>37</v>
      </c>
      <c r="N1586" s="52" t="str">
        <f>IF(Follow[[#This Row],[DATAATUALIZAÇÃO]]&lt;=Follow[[#This Row],[Prev Entrega]],"Dentro do Prazo","Fora do Prazo")</f>
        <v>Dentro do Prazo</v>
      </c>
      <c r="O158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26/05/2025, referente ao pedido Nº Pedido 1658 Rastreio CNBR00070412635, agradecemos a preferência e adoraríamos receber sua avaliação, tendo qualquer dúvida estamos à disposição.
Att
NTA Variedades</v>
      </c>
    </row>
    <row r="1587" spans="1:15">
      <c r="A1587" s="52" t="str">
        <f>_xlfn.XLOOKUP(Follow[[#This Row],[CODRASTREIO]],Controle_Pedidos[Cód Rastreamento],Controle_Pedidos[Número Pedido Cliente])</f>
        <v>Pedido 1659</v>
      </c>
      <c r="B1587" s="2" t="s">
        <v>19022</v>
      </c>
      <c r="C1587" s="2" t="str">
        <f>Follow[[#This Row],[CODRASTREIO]]&amp;" B"</f>
        <v>CódRastreio1580 B</v>
      </c>
      <c r="D1587" s="52" t="str">
        <f>_xlfn.XLOOKUP(Follow[[#This Row],[Id Pedido]],Controle_Pedidos[Número Pedido Cliente],Controle_Pedidos[Loja])</f>
        <v>MEI</v>
      </c>
      <c r="E1587" s="9">
        <f>_xlfn.XLOOKUP(Follow[[#This Row],[Id Pedido]],Controle_Pedidos[Número Pedido Cliente],Controle_Pedidos[Prazo Entrega])</f>
        <v>45806</v>
      </c>
      <c r="F1587" s="9" t="s">
        <v>19433</v>
      </c>
      <c r="G1587" s="9" t="s">
        <v>37</v>
      </c>
      <c r="H1587" s="9" t="s">
        <v>178</v>
      </c>
      <c r="I1587" s="52" t="s">
        <v>178</v>
      </c>
      <c r="J1587" s="140">
        <v>45787</v>
      </c>
      <c r="K1587" s="124" t="s">
        <v>198</v>
      </c>
      <c r="L1587" s="8" t="s">
        <v>124</v>
      </c>
      <c r="M1587" s="8" t="s">
        <v>37</v>
      </c>
      <c r="N1587" s="52" t="str">
        <f>IF(Follow[[#This Row],[DATAATUALIZAÇÃO]]&lt;=Follow[[#This Row],[Prev Entrega]],"Dentro do Prazo","Fora do Prazo")</f>
        <v>Dentro do Prazo</v>
      </c>
      <c r="O158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10/05/2025, referente ao pedido Nº Pedido 1659 Rastreio Pedido 1659, agradecemos a preferência e adoraríamos receber sua avaliação, tendo qualquer dúvida estamos à disposição.
Att
NTA Variedades</v>
      </c>
    </row>
    <row r="1588" spans="1:15">
      <c r="A1588" s="52" t="str">
        <f>_xlfn.XLOOKUP(Follow[[#This Row],[CODRASTREIO]],Controle_Pedidos[Cód Rastreamento],Controle_Pedidos[Número Pedido Cliente])</f>
        <v>Pedido 1615</v>
      </c>
      <c r="B1588" s="2" t="s">
        <v>18985</v>
      </c>
      <c r="C1588" s="2" t="str">
        <f>Follow[[#This Row],[CODRASTREIO]]&amp;" B"</f>
        <v>CódRastreio1543 B</v>
      </c>
      <c r="D1588" s="52" t="str">
        <f>_xlfn.XLOOKUP(Follow[[#This Row],[Id Pedido]],Controle_Pedidos[Número Pedido Cliente],Controle_Pedidos[Loja])</f>
        <v>MEI</v>
      </c>
      <c r="E1588" s="9">
        <f>_xlfn.XLOOKUP(Follow[[#This Row],[Id Pedido]],Controle_Pedidos[Número Pedido Cliente],Controle_Pedidos[Prazo Entrega])</f>
        <v>45801</v>
      </c>
      <c r="F1588" s="9" t="s">
        <v>19433</v>
      </c>
      <c r="G1588" s="9" t="s">
        <v>693</v>
      </c>
      <c r="H1588" s="9" t="s">
        <v>179</v>
      </c>
      <c r="I1588" s="52" t="s">
        <v>178</v>
      </c>
      <c r="J1588" s="140">
        <v>45788</v>
      </c>
      <c r="K1588" s="124" t="s">
        <v>198</v>
      </c>
      <c r="L1588" s="8" t="s">
        <v>124</v>
      </c>
      <c r="M1588" s="8" t="s">
        <v>37</v>
      </c>
      <c r="N1588" s="52" t="str">
        <f>IF(Follow[[#This Row],[DATAATUALIZAÇÃO]]&lt;=Follow[[#This Row],[Prev Entrega]],"Dentro do Prazo","Fora do Prazo")</f>
        <v>Dentro do Prazo</v>
      </c>
      <c r="O158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11/05/2025, referente ao pedido Nº Pedido 1615 Rastreio NM805891748BR, agradecemos a preferência e adoraríamos receber sua avaliação, tendo qualquer dúvida estamos à disposição.
Att
NTA Variedades</v>
      </c>
    </row>
    <row r="1589" spans="1:15">
      <c r="A1589" s="52" t="str">
        <f>_xlfn.XLOOKUP(Follow[[#This Row],[CODRASTREIO]],Controle_Pedidos[Cód Rastreamento],Controle_Pedidos[Número Pedido Cliente])</f>
        <v>Pedido 1640</v>
      </c>
      <c r="B1589" s="2" t="s">
        <v>19005</v>
      </c>
      <c r="C1589" s="2" t="str">
        <f>Follow[[#This Row],[CODRASTREIO]]&amp;" B"</f>
        <v>CódRastreio1563 B</v>
      </c>
      <c r="D1589" s="52" t="str">
        <f>_xlfn.XLOOKUP(Follow[[#This Row],[Id Pedido]],Controle_Pedidos[Número Pedido Cliente],Controle_Pedidos[Loja])</f>
        <v>MEI</v>
      </c>
      <c r="E1589" s="9">
        <f>_xlfn.XLOOKUP(Follow[[#This Row],[Id Pedido]],Controle_Pedidos[Número Pedido Cliente],Controle_Pedidos[Prazo Entrega])</f>
        <v>45805</v>
      </c>
      <c r="F1589" s="9" t="s">
        <v>19433</v>
      </c>
      <c r="G1589" s="9" t="s">
        <v>694</v>
      </c>
      <c r="H1589" s="9" t="s">
        <v>179</v>
      </c>
      <c r="I1589" s="52" t="s">
        <v>178</v>
      </c>
      <c r="J1589" s="140">
        <v>45789</v>
      </c>
      <c r="K1589" s="124" t="s">
        <v>198</v>
      </c>
      <c r="L1589" s="8" t="s">
        <v>124</v>
      </c>
      <c r="M1589" s="8" t="s">
        <v>37</v>
      </c>
      <c r="N1589" s="52" t="str">
        <f>IF(Follow[[#This Row],[DATAATUALIZAÇÃO]]&lt;=Follow[[#This Row],[Prev Entrega]],"Dentro do Prazo","Fora do Prazo")</f>
        <v>Dentro do Prazo</v>
      </c>
      <c r="O158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12/05/2025, referente ao pedido Nº Pedido 1640 Rastreio CNBR00070931024, agradecemos a preferência e adoraríamos receber sua avaliação, tendo qualquer dúvida estamos à disposição.
Att
NTA Variedades</v>
      </c>
    </row>
    <row r="1590" spans="1:15">
      <c r="A1590" s="52" t="str">
        <f>_xlfn.XLOOKUP(Follow[[#This Row],[CODRASTREIO]],Controle_Pedidos[Cód Rastreamento],Controle_Pedidos[Número Pedido Cliente])</f>
        <v>Pedido 1644</v>
      </c>
      <c r="B1590" s="2" t="s">
        <v>19007</v>
      </c>
      <c r="C1590" s="2" t="str">
        <f>Follow[[#This Row],[CODRASTREIO]]&amp;" B"</f>
        <v>CódRastreio1565 B</v>
      </c>
      <c r="D1590" s="52" t="str">
        <f>_xlfn.XLOOKUP(Follow[[#This Row],[Id Pedido]],Controle_Pedidos[Número Pedido Cliente],Controle_Pedidos[Loja])</f>
        <v>MEI</v>
      </c>
      <c r="E1590" s="9">
        <f>_xlfn.XLOOKUP(Follow[[#This Row],[Id Pedido]],Controle_Pedidos[Número Pedido Cliente],Controle_Pedidos[Prazo Entrega])</f>
        <v>45797</v>
      </c>
      <c r="F1590" s="9" t="s">
        <v>19433</v>
      </c>
      <c r="G1590" s="9" t="s">
        <v>37</v>
      </c>
      <c r="H1590" s="9" t="s">
        <v>178</v>
      </c>
      <c r="I1590" s="52" t="s">
        <v>178</v>
      </c>
      <c r="J1590" s="140">
        <v>45793</v>
      </c>
      <c r="K1590" s="124" t="s">
        <v>198</v>
      </c>
      <c r="L1590" s="8" t="s">
        <v>124</v>
      </c>
      <c r="M1590" s="8" t="s">
        <v>37</v>
      </c>
      <c r="N1590" s="52" t="str">
        <f>IF(Follow[[#This Row],[DATAATUALIZAÇÃO]]&lt;=Follow[[#This Row],[Prev Entrega]],"Dentro do Prazo","Fora do Prazo")</f>
        <v>Dentro do Prazo</v>
      </c>
      <c r="O1590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16/05/2025, referente ao pedido Nº Pedido 1644 Rastreio Pedido 1644, agradecemos a preferência e adoraríamos receber sua avaliação, tendo qualquer dúvida estamos à disposição.
Att
NTA Variedades</v>
      </c>
    </row>
    <row r="1591" spans="1:15">
      <c r="A1591" s="52" t="str">
        <f>_xlfn.XLOOKUP(Follow[[#This Row],[CODRASTREIO]],Controle_Pedidos[Cód Rastreamento],Controle_Pedidos[Número Pedido Cliente])</f>
        <v>Pedido 1660</v>
      </c>
      <c r="B1591" s="2" t="s">
        <v>19023</v>
      </c>
      <c r="C1591" s="2" t="str">
        <f>Follow[[#This Row],[CODRASTREIO]]&amp;" B"</f>
        <v>CódRastreio1581 B</v>
      </c>
      <c r="D1591" s="52" t="str">
        <f>_xlfn.XLOOKUP(Follow[[#This Row],[Id Pedido]],Controle_Pedidos[Número Pedido Cliente],Controle_Pedidos[Loja])</f>
        <v>MEI</v>
      </c>
      <c r="E1591" s="9">
        <f>_xlfn.XLOOKUP(Follow[[#This Row],[Id Pedido]],Controle_Pedidos[Número Pedido Cliente],Controle_Pedidos[Prazo Entrega])</f>
        <v>45806</v>
      </c>
      <c r="F1591" s="9" t="s">
        <v>19433</v>
      </c>
      <c r="G1591" s="9" t="s">
        <v>695</v>
      </c>
      <c r="H1591" s="9" t="s">
        <v>179</v>
      </c>
      <c r="I1591" s="52" t="s">
        <v>178</v>
      </c>
      <c r="J1591" s="140">
        <v>45798</v>
      </c>
      <c r="K1591" s="124" t="s">
        <v>198</v>
      </c>
      <c r="L1591" s="8" t="s">
        <v>124</v>
      </c>
      <c r="M1591" s="8" t="s">
        <v>37</v>
      </c>
      <c r="N1591" s="52" t="str">
        <f>IF(Follow[[#This Row],[DATAATUALIZAÇÃO]]&lt;=Follow[[#This Row],[Prev Entrega]],"Dentro do Prazo","Fora do Prazo")</f>
        <v>Dentro do Prazo</v>
      </c>
      <c r="O159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21/05/2025, referente ao pedido Nº Pedido 1660 Rastreio NM809813065BR, agradecemos a preferência e adoraríamos receber sua avaliação, tendo qualquer dúvida estamos à disposição.
Att
NTA Variedades</v>
      </c>
    </row>
    <row r="1592" spans="1:15">
      <c r="A1592" s="52" t="str">
        <f>_xlfn.XLOOKUP(Follow[[#This Row],[CODRASTREIO]],Controle_Pedidos[Cód Rastreamento],Controle_Pedidos[Número Pedido Cliente])</f>
        <v>Pedido 1662</v>
      </c>
      <c r="B1592" s="2" t="s">
        <v>19025</v>
      </c>
      <c r="C1592" s="2" t="str">
        <f>Follow[[#This Row],[CODRASTREIO]]&amp;" B"</f>
        <v>CódRastreio1583 B</v>
      </c>
      <c r="D1592" s="52" t="str">
        <f>_xlfn.XLOOKUP(Follow[[#This Row],[Id Pedido]],Controle_Pedidos[Número Pedido Cliente],Controle_Pedidos[Loja])</f>
        <v>MEI</v>
      </c>
      <c r="E1592" s="9">
        <f>_xlfn.XLOOKUP(Follow[[#This Row],[Id Pedido]],Controle_Pedidos[Número Pedido Cliente],Controle_Pedidos[Prazo Entrega])</f>
        <v>45800</v>
      </c>
      <c r="F1592" s="9" t="s">
        <v>19433</v>
      </c>
      <c r="G1592" s="9" t="s">
        <v>37</v>
      </c>
      <c r="H1592" s="9" t="s">
        <v>178</v>
      </c>
      <c r="I1592" s="52" t="s">
        <v>178</v>
      </c>
      <c r="J1592" s="140">
        <v>45794</v>
      </c>
      <c r="K1592" s="124" t="s">
        <v>198</v>
      </c>
      <c r="L1592" s="8" t="s">
        <v>124</v>
      </c>
      <c r="M1592" s="8" t="s">
        <v>37</v>
      </c>
      <c r="N1592" s="52" t="str">
        <f>IF(Follow[[#This Row],[DATAATUALIZAÇÃO]]&lt;=Follow[[#This Row],[Prev Entrega]],"Dentro do Prazo","Fora do Prazo")</f>
        <v>Dentro do Prazo</v>
      </c>
      <c r="O159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17/05/2025, referente ao pedido Nº Pedido 1662 Rastreio Pedido 1662, agradecemos a preferência e adoraríamos receber sua avaliação, tendo qualquer dúvida estamos à disposição.
Att
NTA Variedades</v>
      </c>
    </row>
    <row r="1593" spans="1:15">
      <c r="A1593" s="52" t="str">
        <f>_xlfn.XLOOKUP(Follow[[#This Row],[CODRASTREIO]],Controle_Pedidos[Cód Rastreamento],Controle_Pedidos[Número Pedido Cliente])</f>
        <v>Pedido 1669</v>
      </c>
      <c r="B1593" s="2" t="s">
        <v>19032</v>
      </c>
      <c r="C1593" s="2" t="str">
        <f>Follow[[#This Row],[CODRASTREIO]]&amp;" B"</f>
        <v>CódRastreio1590 B</v>
      </c>
      <c r="D1593" s="52" t="str">
        <f>_xlfn.XLOOKUP(Follow[[#This Row],[Id Pedido]],Controle_Pedidos[Número Pedido Cliente],Controle_Pedidos[Loja])</f>
        <v>MEI</v>
      </c>
      <c r="E1593" s="9">
        <f>_xlfn.XLOOKUP(Follow[[#This Row],[Id Pedido]],Controle_Pedidos[Número Pedido Cliente],Controle_Pedidos[Prazo Entrega])</f>
        <v>45807</v>
      </c>
      <c r="F1593" s="9" t="s">
        <v>19433</v>
      </c>
      <c r="G1593" s="9" t="s">
        <v>37</v>
      </c>
      <c r="H1593" s="9" t="s">
        <v>178</v>
      </c>
      <c r="I1593" s="52" t="s">
        <v>178</v>
      </c>
      <c r="J1593" s="140">
        <v>45800</v>
      </c>
      <c r="K1593" s="124" t="s">
        <v>198</v>
      </c>
      <c r="L1593" s="8" t="s">
        <v>124</v>
      </c>
      <c r="M1593" s="8" t="s">
        <v>37</v>
      </c>
      <c r="N1593" s="52" t="str">
        <f>IF(Follow[[#This Row],[DATAATUALIZAÇÃO]]&lt;=Follow[[#This Row],[Prev Entrega]],"Dentro do Prazo","Fora do Prazo")</f>
        <v>Dentro do Prazo</v>
      </c>
      <c r="O159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23/05/2025, referente ao pedido Nº Pedido 1669 Rastreio Pedido 1669, agradecemos a preferência e adoraríamos receber sua avaliação, tendo qualquer dúvida estamos à disposição.
Att
NTA Variedades</v>
      </c>
    </row>
    <row r="1594" spans="1:15">
      <c r="A1594" s="52" t="str">
        <f>_xlfn.XLOOKUP(Follow[[#This Row],[CODRASTREIO]],Controle_Pedidos[Cód Rastreamento],Controle_Pedidos[Número Pedido Cliente])</f>
        <v>Pedido 1671</v>
      </c>
      <c r="B1594" s="2" t="s">
        <v>19034</v>
      </c>
      <c r="C1594" s="2" t="str">
        <f>Follow[[#This Row],[CODRASTREIO]]&amp;" B"</f>
        <v>CódRastreio1592 B</v>
      </c>
      <c r="D1594" s="52" t="str">
        <f>_xlfn.XLOOKUP(Follow[[#This Row],[Id Pedido]],Controle_Pedidos[Número Pedido Cliente],Controle_Pedidos[Loja])</f>
        <v>MEI</v>
      </c>
      <c r="E1594" s="9">
        <f>_xlfn.XLOOKUP(Follow[[#This Row],[Id Pedido]],Controle_Pedidos[Número Pedido Cliente],Controle_Pedidos[Prazo Entrega])</f>
        <v>45801</v>
      </c>
      <c r="F1594" s="9" t="s">
        <v>19433</v>
      </c>
      <c r="G1594" s="9" t="s">
        <v>696</v>
      </c>
      <c r="H1594" s="9" t="s">
        <v>179</v>
      </c>
      <c r="I1594" s="52" t="s">
        <v>178</v>
      </c>
      <c r="J1594" s="140">
        <v>45797</v>
      </c>
      <c r="K1594" s="124" t="s">
        <v>198</v>
      </c>
      <c r="L1594" s="8" t="s">
        <v>124</v>
      </c>
      <c r="M1594" s="8" t="s">
        <v>37</v>
      </c>
      <c r="N1594" s="52" t="str">
        <f>IF(Follow[[#This Row],[DATAATUALIZAÇÃO]]&lt;=Follow[[#This Row],[Prev Entrega]],"Dentro do Prazo","Fora do Prazo")</f>
        <v>Dentro do Prazo</v>
      </c>
      <c r="O159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Fone de ouvido XT60 foi entregue no dia 20/05/2025, referente ao pedido Nº Pedido 1671 Rastreio CNBR00070753926, agradecemos a preferência e adoraríamos receber sua avaliação, tendo qualquer dúvida estamos à disposição.
Att
NTA Variedades</v>
      </c>
    </row>
    <row r="1595" spans="1:15">
      <c r="A1595" s="52" t="str">
        <f>_xlfn.XLOOKUP(Follow[[#This Row],[CODRASTREIO]],Controle_Pedidos[Cód Rastreamento],Controle_Pedidos[Número Pedido Cliente])</f>
        <v>Pedido 1661</v>
      </c>
      <c r="B1595" s="2" t="s">
        <v>19024</v>
      </c>
      <c r="C1595" s="2" t="str">
        <f>Follow[[#This Row],[CODRASTREIO]]&amp;" B"</f>
        <v>CódRastreio1582 B</v>
      </c>
      <c r="D1595" s="52" t="str">
        <f>_xlfn.XLOOKUP(Follow[[#This Row],[Id Pedido]],Controle_Pedidos[Número Pedido Cliente],Controle_Pedidos[Loja])</f>
        <v>MEI</v>
      </c>
      <c r="E1595" s="9">
        <f>_xlfn.XLOOKUP(Follow[[#This Row],[Id Pedido]],Controle_Pedidos[Número Pedido Cliente],Controle_Pedidos[Prazo Entrega])</f>
        <v>45813</v>
      </c>
      <c r="F1595" s="9" t="s">
        <v>19433</v>
      </c>
      <c r="G1595" s="9" t="s">
        <v>697</v>
      </c>
      <c r="H1595" s="9" t="s">
        <v>179</v>
      </c>
      <c r="I1595" s="9" t="s">
        <v>178</v>
      </c>
      <c r="J1595" s="147">
        <v>45821.578958333332</v>
      </c>
      <c r="K1595" s="8" t="s">
        <v>198</v>
      </c>
      <c r="L1595" s="8" t="s">
        <v>124</v>
      </c>
      <c r="M1595" s="8" t="s">
        <v>37</v>
      </c>
      <c r="N1595" s="52" t="str">
        <f>IF(Follow[[#This Row],[DATAATUALIZAÇÃO]]&lt;=Follow[[#This Row],[Prev Entrega]],"Dentro do Prazo","Fora do Prazo")</f>
        <v>Fora do Prazo</v>
      </c>
      <c r="O159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13/06/2025, referente ao pedido Nº Pedido 1661 Rastreio NM810990947BR, agradecemos a preferência e adoraríamos receber sua avaliação, tendo qualquer dúvida estamos à disposição.
Att
NTA Variedades</v>
      </c>
    </row>
    <row r="1596" spans="1:15">
      <c r="A1596" s="52" t="str">
        <f>_xlfn.XLOOKUP(Follow[[#This Row],[CODRASTREIO]],Controle_Pedidos[Cód Rastreamento],Controle_Pedidos[Número Pedido Cliente])</f>
        <v>Pedido 1663</v>
      </c>
      <c r="B1596" s="2" t="s">
        <v>19026</v>
      </c>
      <c r="C1596" s="2" t="str">
        <f>Follow[[#This Row],[CODRASTREIO]]&amp;" B"</f>
        <v>CódRastreio1584 B</v>
      </c>
      <c r="D1596" s="52" t="str">
        <f>_xlfn.XLOOKUP(Follow[[#This Row],[Id Pedido]],Controle_Pedidos[Número Pedido Cliente],Controle_Pedidos[Loja])</f>
        <v>MEI</v>
      </c>
      <c r="E1596" s="9">
        <f>_xlfn.XLOOKUP(Follow[[#This Row],[Id Pedido]],Controle_Pedidos[Número Pedido Cliente],Controle_Pedidos[Prazo Entrega])</f>
        <v>45806</v>
      </c>
      <c r="F1596" s="9" t="s">
        <v>19433</v>
      </c>
      <c r="G1596" s="9" t="s">
        <v>698</v>
      </c>
      <c r="H1596" s="9" t="s">
        <v>179</v>
      </c>
      <c r="I1596" s="9" t="s">
        <v>178</v>
      </c>
      <c r="J1596" s="147">
        <v>45820.629386574074</v>
      </c>
      <c r="K1596" s="8" t="s">
        <v>198</v>
      </c>
      <c r="L1596" s="8" t="s">
        <v>124</v>
      </c>
      <c r="M1596" s="8" t="s">
        <v>37</v>
      </c>
      <c r="N1596" s="52" t="str">
        <f>IF(Follow[[#This Row],[DATAATUALIZAÇÃO]]&lt;=Follow[[#This Row],[Prev Entrega]],"Dentro do Prazo","Fora do Prazo")</f>
        <v>Fora do Prazo</v>
      </c>
      <c r="O159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12/06/2025, referente ao pedido Nº Pedido 1663 Rastreio NM810992395BR, agradecemos a preferência e adoraríamos receber sua avaliação, tendo qualquer dúvida estamos à disposição.
Att
NTA Variedades</v>
      </c>
    </row>
    <row r="1597" spans="1:15">
      <c r="A1597" s="52" t="str">
        <f>_xlfn.XLOOKUP(Follow[[#This Row],[CODRASTREIO]],Controle_Pedidos[Cód Rastreamento],Controle_Pedidos[Número Pedido Cliente])</f>
        <v>Pedido 1664</v>
      </c>
      <c r="B1597" s="2" t="s">
        <v>19027</v>
      </c>
      <c r="C1597" s="2" t="str">
        <f>Follow[[#This Row],[CODRASTREIO]]&amp;" B"</f>
        <v>CódRastreio1585 B</v>
      </c>
      <c r="D1597" s="52" t="str">
        <f>_xlfn.XLOOKUP(Follow[[#This Row],[Id Pedido]],Controle_Pedidos[Número Pedido Cliente],Controle_Pedidos[Loja])</f>
        <v>MEI</v>
      </c>
      <c r="E1597" s="9">
        <f>_xlfn.XLOOKUP(Follow[[#This Row],[Id Pedido]],Controle_Pedidos[Número Pedido Cliente],Controle_Pedidos[Prazo Entrega])</f>
        <v>45800</v>
      </c>
      <c r="F1597" s="9" t="s">
        <v>19433</v>
      </c>
      <c r="G1597" s="9" t="s">
        <v>699</v>
      </c>
      <c r="H1597" s="9" t="s">
        <v>179</v>
      </c>
      <c r="I1597" s="52" t="s">
        <v>178</v>
      </c>
      <c r="J1597" s="140">
        <v>45799</v>
      </c>
      <c r="K1597" s="124" t="s">
        <v>198</v>
      </c>
      <c r="L1597" s="8" t="s">
        <v>124</v>
      </c>
      <c r="M1597" s="8" t="s">
        <v>37</v>
      </c>
      <c r="N1597" s="52" t="str">
        <f>IF(Follow[[#This Row],[DATAATUALIZAÇÃO]]&lt;=Follow[[#This Row],[Prev Entrega]],"Dentro do Prazo","Fora do Prazo")</f>
        <v>Dentro do Prazo</v>
      </c>
      <c r="O1597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22/05/2025, referente ao pedido Nº Pedido 1664 Rastreio NM810703306BR, agradecemos a preferência e adoraríamos receber sua avaliação, tendo qualquer dúvida estamos à disposição.
Att
NTA Variedades</v>
      </c>
    </row>
    <row r="1598" spans="1:15">
      <c r="A1598" s="52" t="str">
        <f>_xlfn.XLOOKUP(Follow[[#This Row],[CODRASTREIO]],Controle_Pedidos[Cód Rastreamento],Controle_Pedidos[Número Pedido Cliente])</f>
        <v>Pedido 1665</v>
      </c>
      <c r="B1598" s="2" t="s">
        <v>19028</v>
      </c>
      <c r="C1598" s="2" t="str">
        <f>Follow[[#This Row],[CODRASTREIO]]&amp;" B"</f>
        <v>CódRastreio1586 B</v>
      </c>
      <c r="D1598" s="52" t="str">
        <f>_xlfn.XLOOKUP(Follow[[#This Row],[Id Pedido]],Controle_Pedidos[Número Pedido Cliente],Controle_Pedidos[Loja])</f>
        <v>MEI</v>
      </c>
      <c r="E1598" s="9">
        <f>_xlfn.XLOOKUP(Follow[[#This Row],[Id Pedido]],Controle_Pedidos[Número Pedido Cliente],Controle_Pedidos[Prazo Entrega])</f>
        <v>45806</v>
      </c>
      <c r="F1598" s="9" t="s">
        <v>19433</v>
      </c>
      <c r="G1598" s="9" t="s">
        <v>700</v>
      </c>
      <c r="H1598" s="9" t="s">
        <v>179</v>
      </c>
      <c r="I1598" s="52" t="s">
        <v>178</v>
      </c>
      <c r="J1598" s="140">
        <v>45800</v>
      </c>
      <c r="K1598" s="124" t="s">
        <v>198</v>
      </c>
      <c r="L1598" s="8" t="s">
        <v>124</v>
      </c>
      <c r="M1598" s="8" t="s">
        <v>37</v>
      </c>
      <c r="N1598" s="52" t="str">
        <f>IF(Follow[[#This Row],[DATAATUALIZAÇÃO]]&lt;=Follow[[#This Row],[Prev Entrega]],"Dentro do Prazo","Fora do Prazo")</f>
        <v>Dentro do Prazo</v>
      </c>
      <c r="O159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23/05/2025, referente ao pedido Nº Pedido 1665 Rastreio CNBR00071218043, agradecemos a preferência e adoraríamos receber sua avaliação, tendo qualquer dúvida estamos à disposição.
Att
NTA Variedades</v>
      </c>
    </row>
    <row r="1599" spans="1:15">
      <c r="A1599" s="52" t="str">
        <f>_xlfn.XLOOKUP(Follow[[#This Row],[CODRASTREIO]],Controle_Pedidos[Cód Rastreamento],Controle_Pedidos[Número Pedido Cliente])</f>
        <v>Pedido 1666</v>
      </c>
      <c r="B1599" s="2" t="s">
        <v>19029</v>
      </c>
      <c r="C1599" s="2" t="str">
        <f>Follow[[#This Row],[CODRASTREIO]]&amp;" B"</f>
        <v>CódRastreio1587 B</v>
      </c>
      <c r="D1599" s="52" t="str">
        <f>_xlfn.XLOOKUP(Follow[[#This Row],[Id Pedido]],Controle_Pedidos[Número Pedido Cliente],Controle_Pedidos[Loja])</f>
        <v>MEI</v>
      </c>
      <c r="E1599" s="9">
        <f>_xlfn.XLOOKUP(Follow[[#This Row],[Id Pedido]],Controle_Pedidos[Número Pedido Cliente],Controle_Pedidos[Prazo Entrega])</f>
        <v>45813</v>
      </c>
      <c r="F1599" s="9" t="s">
        <v>19433</v>
      </c>
      <c r="G1599" s="9" t="s">
        <v>701</v>
      </c>
      <c r="H1599" s="9" t="s">
        <v>179</v>
      </c>
      <c r="I1599" s="9" t="s">
        <v>178</v>
      </c>
      <c r="J1599" s="147">
        <v>45828.562071759261</v>
      </c>
      <c r="K1599" s="8" t="s">
        <v>198</v>
      </c>
      <c r="L1599" s="8" t="s">
        <v>124</v>
      </c>
      <c r="M1599" s="8" t="s">
        <v>37</v>
      </c>
      <c r="N1599" s="52" t="str">
        <f>IF(Follow[[#This Row],[DATAATUALIZAÇÃO]]&lt;=Follow[[#This Row],[Prev Entrega]],"Dentro do Prazo","Fora do Prazo")</f>
        <v>Fora do Prazo</v>
      </c>
      <c r="O159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20/06/2025, referente ao pedido Nº Pedido 1666 Rastreio NM810982557BR, agradecemos a preferência e adoraríamos receber sua avaliação, tendo qualquer dúvida estamos à disposição.
Att
NTA Variedades</v>
      </c>
    </row>
    <row r="1600" spans="1:15">
      <c r="A1600" s="52" t="str">
        <f>_xlfn.XLOOKUP(Follow[[#This Row],[CODRASTREIO]],Controle_Pedidos[Cód Rastreamento],Controle_Pedidos[Número Pedido Cliente])</f>
        <v>Pedido 1667</v>
      </c>
      <c r="B1600" s="2" t="s">
        <v>19030</v>
      </c>
      <c r="C1600" s="2" t="str">
        <f>Follow[[#This Row],[CODRASTREIO]]&amp;" B"</f>
        <v>CódRastreio1588 B</v>
      </c>
      <c r="D1600" s="52" t="str">
        <f>_xlfn.XLOOKUP(Follow[[#This Row],[Id Pedido]],Controle_Pedidos[Número Pedido Cliente],Controle_Pedidos[Loja])</f>
        <v>MEI</v>
      </c>
      <c r="E1600" s="9">
        <f>_xlfn.XLOOKUP(Follow[[#This Row],[Id Pedido]],Controle_Pedidos[Número Pedido Cliente],Controle_Pedidos[Prazo Entrega])</f>
        <v>45814</v>
      </c>
      <c r="F1600" s="9" t="s">
        <v>19433</v>
      </c>
      <c r="G1600" s="9" t="s">
        <v>702</v>
      </c>
      <c r="H1600" s="9" t="s">
        <v>179</v>
      </c>
      <c r="I1600" s="9" t="s">
        <v>178</v>
      </c>
      <c r="J1600" s="147">
        <v>45835</v>
      </c>
      <c r="K1600" s="8" t="s">
        <v>198</v>
      </c>
      <c r="L1600" s="8" t="s">
        <v>124</v>
      </c>
      <c r="M1600" s="8" t="s">
        <v>37</v>
      </c>
      <c r="N1600" s="52" t="str">
        <f>IF(Follow[[#This Row],[DATAATUALIZAÇÃO]]&lt;=Follow[[#This Row],[Prev Entrega]],"Dentro do Prazo","Fora do Prazo")</f>
        <v>Fora do Prazo</v>
      </c>
      <c r="O160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Luminária Azul de mesa infantil foi entregue no dia 27/06/2025, referente ao pedido Nº Pedido 1667 Rastreio NM810757162BR, agradecemos a preferência e adoraríamos receber sua avaliação, tendo qualquer dúvida estamos à disposição.
Att
NTA Variedades</v>
      </c>
    </row>
    <row r="1601" spans="1:15">
      <c r="A1601" s="52" t="str">
        <f>_xlfn.XLOOKUP(Follow[[#This Row],[CODRASTREIO]],Controle_Pedidos[Cód Rastreamento],Controle_Pedidos[Número Pedido Cliente])</f>
        <v>Pedido 1668</v>
      </c>
      <c r="B1601" s="2" t="s">
        <v>19031</v>
      </c>
      <c r="C1601" s="2" t="str">
        <f>Follow[[#This Row],[CODRASTREIO]]&amp;" B"</f>
        <v>CódRastreio1589 B</v>
      </c>
      <c r="D1601" s="52" t="str">
        <f>_xlfn.XLOOKUP(Follow[[#This Row],[Id Pedido]],Controle_Pedidos[Número Pedido Cliente],Controle_Pedidos[Loja])</f>
        <v>MEI</v>
      </c>
      <c r="E1601" s="9">
        <f>_xlfn.XLOOKUP(Follow[[#This Row],[Id Pedido]],Controle_Pedidos[Número Pedido Cliente],Controle_Pedidos[Prazo Entrega])</f>
        <v>45801</v>
      </c>
      <c r="F1601" s="9" t="s">
        <v>19433</v>
      </c>
      <c r="G1601" s="9" t="s">
        <v>703</v>
      </c>
      <c r="H1601" s="9" t="s">
        <v>179</v>
      </c>
      <c r="I1601" s="52" t="s">
        <v>178</v>
      </c>
      <c r="J1601" s="140">
        <v>45797</v>
      </c>
      <c r="K1601" s="124" t="s">
        <v>198</v>
      </c>
      <c r="L1601" s="8" t="s">
        <v>124</v>
      </c>
      <c r="M1601" s="8" t="s">
        <v>37</v>
      </c>
      <c r="N1601" s="52" t="str">
        <f>IF(Follow[[#This Row],[DATAATUALIZAÇÃO]]&lt;=Follow[[#This Row],[Prev Entrega]],"Dentro do Prazo","Fora do Prazo")</f>
        <v>Dentro do Prazo</v>
      </c>
      <c r="O160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20/05/2025, referente ao pedido Nº Pedido 1668 Rastreio CNBR00071131858, agradecemos a preferência e adoraríamos receber sua avaliação, tendo qualquer dúvida estamos à disposição.
Att
NTA Variedades</v>
      </c>
    </row>
    <row r="1602" spans="1:15">
      <c r="A1602" s="52" t="str">
        <f>_xlfn.XLOOKUP(Follow[[#This Row],[CODRASTREIO]],Controle_Pedidos[Cód Rastreamento],Controle_Pedidos[Número Pedido Cliente])</f>
        <v>Pedido 1670</v>
      </c>
      <c r="B1602" s="2" t="s">
        <v>19033</v>
      </c>
      <c r="C1602" s="2" t="str">
        <f>Follow[[#This Row],[CODRASTREIO]]&amp;" B"</f>
        <v>CódRastreio1591 B</v>
      </c>
      <c r="D1602" s="52" t="str">
        <f>_xlfn.XLOOKUP(Follow[[#This Row],[Id Pedido]],Controle_Pedidos[Número Pedido Cliente],Controle_Pedidos[Loja])</f>
        <v>MEI</v>
      </c>
      <c r="E1602" s="9">
        <f>_xlfn.XLOOKUP(Follow[[#This Row],[Id Pedido]],Controle_Pedidos[Número Pedido Cliente],Controle_Pedidos[Prazo Entrega])</f>
        <v>45801</v>
      </c>
      <c r="F1602" s="9" t="s">
        <v>19433</v>
      </c>
      <c r="G1602" s="9" t="s">
        <v>37</v>
      </c>
      <c r="H1602" s="9" t="s">
        <v>178</v>
      </c>
      <c r="I1602" s="52" t="s">
        <v>178</v>
      </c>
      <c r="J1602" s="140">
        <v>45791</v>
      </c>
      <c r="K1602" s="124" t="s">
        <v>198</v>
      </c>
      <c r="L1602" s="8" t="s">
        <v>124</v>
      </c>
      <c r="M1602" s="8" t="s">
        <v>37</v>
      </c>
      <c r="N1602" s="52" t="str">
        <f>IF(Follow[[#This Row],[DATAATUALIZAÇÃO]]&lt;=Follow[[#This Row],[Prev Entrega]],"Dentro do Prazo","Fora do Prazo")</f>
        <v>Dentro do Prazo</v>
      </c>
      <c r="O160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14/05/2025, referente ao pedido Nº Pedido 1670 Rastreio Pedido 1670, agradecemos a preferência e adoraríamos receber sua avaliação, tendo qualquer dúvida estamos à disposição.
Att
NTA Variedades</v>
      </c>
    </row>
    <row r="1603" spans="1:15">
      <c r="A1603" s="52" t="str">
        <f>_xlfn.XLOOKUP(Follow[[#This Row],[CODRASTREIO]],Controle_Pedidos[Cód Rastreamento],Controle_Pedidos[Número Pedido Cliente])</f>
        <v>Pedido 1672</v>
      </c>
      <c r="B1603" s="2" t="s">
        <v>19035</v>
      </c>
      <c r="C1603" s="2" t="str">
        <f>Follow[[#This Row],[CODRASTREIO]]&amp;" B"</f>
        <v>CódRastreio1593 B</v>
      </c>
      <c r="D1603" s="52" t="str">
        <f>_xlfn.XLOOKUP(Follow[[#This Row],[Id Pedido]],Controle_Pedidos[Número Pedido Cliente],Controle_Pedidos[Loja])</f>
        <v>MEI</v>
      </c>
      <c r="E1603" s="9">
        <f>_xlfn.XLOOKUP(Follow[[#This Row],[Id Pedido]],Controle_Pedidos[Número Pedido Cliente],Controle_Pedidos[Prazo Entrega])</f>
        <v>45807</v>
      </c>
      <c r="F1603" s="9" t="s">
        <v>19433</v>
      </c>
      <c r="G1603" s="9" t="s">
        <v>704</v>
      </c>
      <c r="H1603" s="9" t="s">
        <v>179</v>
      </c>
      <c r="I1603" s="52" t="s">
        <v>178</v>
      </c>
      <c r="J1603" s="140">
        <v>45798</v>
      </c>
      <c r="K1603" s="124" t="s">
        <v>198</v>
      </c>
      <c r="L1603" s="8" t="s">
        <v>124</v>
      </c>
      <c r="M1603" s="8" t="s">
        <v>37</v>
      </c>
      <c r="N1603" s="52" t="str">
        <f>IF(Follow[[#This Row],[DATAATUALIZAÇÃO]]&lt;=Follow[[#This Row],[Prev Entrega]],"Dentro do Prazo","Fora do Prazo")</f>
        <v>Dentro do Prazo</v>
      </c>
      <c r="O160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21/05/2025, referente ao pedido Nº Pedido 1672 Rastreio CNBR00071135429, agradecemos a preferência e adoraríamos receber sua avaliação, tendo qualquer dúvida estamos à disposição.
Att
NTA Variedades</v>
      </c>
    </row>
    <row r="1604" spans="1:15">
      <c r="A1604" s="52" t="str">
        <f>_xlfn.XLOOKUP(Follow[[#This Row],[CODRASTREIO]],Controle_Pedidos[Cód Rastreamento],Controle_Pedidos[Número Pedido Cliente])</f>
        <v>Pedido 1673</v>
      </c>
      <c r="B1604" s="2" t="s">
        <v>19036</v>
      </c>
      <c r="C1604" s="2" t="str">
        <f>Follow[[#This Row],[CODRASTREIO]]&amp;" B"</f>
        <v>CódRastreio1594 B</v>
      </c>
      <c r="D1604" s="52" t="str">
        <f>_xlfn.XLOOKUP(Follow[[#This Row],[Id Pedido]],Controle_Pedidos[Número Pedido Cliente],Controle_Pedidos[Loja])</f>
        <v>MEI</v>
      </c>
      <c r="E1604" s="9">
        <f>_xlfn.XLOOKUP(Follow[[#This Row],[Id Pedido]],Controle_Pedidos[Número Pedido Cliente],Controle_Pedidos[Prazo Entrega])</f>
        <v>45801</v>
      </c>
      <c r="F1604" s="9" t="s">
        <v>19433</v>
      </c>
      <c r="G1604" s="9" t="s">
        <v>37</v>
      </c>
      <c r="H1604" s="9" t="s">
        <v>178</v>
      </c>
      <c r="I1604" s="52" t="s">
        <v>178</v>
      </c>
      <c r="J1604" s="140">
        <v>45797</v>
      </c>
      <c r="K1604" s="124" t="s">
        <v>198</v>
      </c>
      <c r="L1604" s="8" t="s">
        <v>124</v>
      </c>
      <c r="M1604" s="8" t="s">
        <v>37</v>
      </c>
      <c r="N1604" s="52" t="str">
        <f>IF(Follow[[#This Row],[DATAATUALIZAÇÃO]]&lt;=Follow[[#This Row],[Prev Entrega]],"Dentro do Prazo","Fora do Prazo")</f>
        <v>Dentro do Prazo</v>
      </c>
      <c r="O160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20/05/2025, referente ao pedido Nº Pedido 1673 Rastreio Pedido 1673, agradecemos a preferência e adoraríamos receber sua avaliação, tendo qualquer dúvida estamos à disposição.
Att
NTA Variedades</v>
      </c>
    </row>
    <row r="1605" spans="1:15">
      <c r="A1605" s="52" t="str">
        <f>_xlfn.XLOOKUP(Follow[[#This Row],[CODRASTREIO]],Controle_Pedidos[Cód Rastreamento],Controle_Pedidos[Número Pedido Cliente])</f>
        <v>Pedido 1674</v>
      </c>
      <c r="B1605" s="2" t="s">
        <v>19037</v>
      </c>
      <c r="C1605" s="2" t="str">
        <f>Follow[[#This Row],[CODRASTREIO]]&amp;" B"</f>
        <v>CódRastreio1595 B</v>
      </c>
      <c r="D1605" s="52" t="str">
        <f>_xlfn.XLOOKUP(Follow[[#This Row],[Id Pedido]],Controle_Pedidos[Número Pedido Cliente],Controle_Pedidos[Loja])</f>
        <v>MEI</v>
      </c>
      <c r="E1605" s="9">
        <f>_xlfn.XLOOKUP(Follow[[#This Row],[Id Pedido]],Controle_Pedidos[Número Pedido Cliente],Controle_Pedidos[Prazo Entrega])</f>
        <v>45808</v>
      </c>
      <c r="F1605" s="9" t="s">
        <v>19433</v>
      </c>
      <c r="G1605" s="9" t="s">
        <v>705</v>
      </c>
      <c r="H1605" s="9" t="s">
        <v>179</v>
      </c>
      <c r="I1605" s="9" t="s">
        <v>178</v>
      </c>
      <c r="J1605" s="147">
        <v>45819.599918981483</v>
      </c>
      <c r="K1605" s="8" t="s">
        <v>198</v>
      </c>
      <c r="L1605" s="8" t="s">
        <v>124</v>
      </c>
      <c r="M1605" s="8" t="s">
        <v>37</v>
      </c>
      <c r="N1605" s="52" t="str">
        <f>IF(Follow[[#This Row],[DATAATUALIZAÇÃO]]&lt;=Follow[[#This Row],[Prev Entrega]],"Dentro do Prazo","Fora do Prazo")</f>
        <v>Fora do Prazo</v>
      </c>
      <c r="O160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11/06/2025, referente ao pedido Nº Pedido 1674 Rastreio NM810700976BR, agradecemos a preferência e adoraríamos receber sua avaliação, tendo qualquer dúvida estamos à disposição.
Att
NTA Variedades</v>
      </c>
    </row>
    <row r="1606" spans="1:15">
      <c r="A1606" s="52" t="str">
        <f>_xlfn.XLOOKUP(Follow[[#This Row],[CODRASTREIO]],Controle_Pedidos[Cód Rastreamento],Controle_Pedidos[Número Pedido Cliente])</f>
        <v>Pedido 1675</v>
      </c>
      <c r="B1606" s="2" t="s">
        <v>19038</v>
      </c>
      <c r="C1606" s="2" t="str">
        <f>Follow[[#This Row],[CODRASTREIO]]&amp;" B"</f>
        <v>CódRastreio1596 B</v>
      </c>
      <c r="D1606" s="52" t="str">
        <f>_xlfn.XLOOKUP(Follow[[#This Row],[Id Pedido]],Controle_Pedidos[Número Pedido Cliente],Controle_Pedidos[Loja])</f>
        <v>MEI</v>
      </c>
      <c r="E1606" s="9">
        <f>_xlfn.XLOOKUP(Follow[[#This Row],[Id Pedido]],Controle_Pedidos[Número Pedido Cliente],Controle_Pedidos[Prazo Entrega])</f>
        <v>45804</v>
      </c>
      <c r="F1606" s="9" t="s">
        <v>19433</v>
      </c>
      <c r="G1606" s="9" t="s">
        <v>706</v>
      </c>
      <c r="H1606" s="9" t="s">
        <v>179</v>
      </c>
      <c r="I1606" s="52" t="s">
        <v>178</v>
      </c>
      <c r="J1606" s="140">
        <v>45797</v>
      </c>
      <c r="K1606" s="124" t="s">
        <v>198</v>
      </c>
      <c r="L1606" s="8" t="s">
        <v>124</v>
      </c>
      <c r="M1606" s="8" t="s">
        <v>37</v>
      </c>
      <c r="N1606" s="52" t="str">
        <f>IF(Follow[[#This Row],[DATAATUALIZAÇÃO]]&lt;=Follow[[#This Row],[Prev Entrega]],"Dentro do Prazo","Fora do Prazo")</f>
        <v>Dentro do Prazo</v>
      </c>
      <c r="O160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20/05/2025, referente ao pedido Nº Pedido 1675 Rastreio NM810766164BR, agradecemos a preferência e adoraríamos receber sua avaliação, tendo qualquer dúvida estamos à disposição.
Att
NTA Variedades</v>
      </c>
    </row>
    <row r="1607" spans="1:15">
      <c r="A1607" s="52" t="str">
        <f>_xlfn.XLOOKUP(Follow[[#This Row],[CODRASTREIO]],Controle_Pedidos[Cód Rastreamento],Controle_Pedidos[Número Pedido Cliente])</f>
        <v>Pedido 1676</v>
      </c>
      <c r="B1607" s="2" t="s">
        <v>19039</v>
      </c>
      <c r="C1607" s="2" t="str">
        <f>Follow[[#This Row],[CODRASTREIO]]&amp;" B"</f>
        <v>CódRastreio1597 B</v>
      </c>
      <c r="D1607" s="52" t="str">
        <f>_xlfn.XLOOKUP(Follow[[#This Row],[Id Pedido]],Controle_Pedidos[Número Pedido Cliente],Controle_Pedidos[Loja])</f>
        <v>MEI</v>
      </c>
      <c r="E1607" s="9">
        <f>_xlfn.XLOOKUP(Follow[[#This Row],[Id Pedido]],Controle_Pedidos[Número Pedido Cliente],Controle_Pedidos[Prazo Entrega])</f>
        <v>45815</v>
      </c>
      <c r="F1607" s="9" t="s">
        <v>19433</v>
      </c>
      <c r="G1607" s="9" t="s">
        <v>707</v>
      </c>
      <c r="H1607" s="9" t="s">
        <v>179</v>
      </c>
      <c r="I1607" s="9" t="s">
        <v>178</v>
      </c>
      <c r="J1607" s="147">
        <v>45830.576261574075</v>
      </c>
      <c r="K1607" s="8" t="s">
        <v>198</v>
      </c>
      <c r="L1607" s="8" t="s">
        <v>124</v>
      </c>
      <c r="M1607" s="8" t="s">
        <v>37</v>
      </c>
      <c r="N1607" s="52" t="str">
        <f>IF(Follow[[#This Row],[DATAATUALIZAÇÃO]]&lt;=Follow[[#This Row],[Prev Entrega]],"Dentro do Prazo","Fora do Prazo")</f>
        <v>Fora do Prazo</v>
      </c>
      <c r="O160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22/06/2025, referente ao pedido Nº Pedido 1676 Rastreio NM811720107BR, agradecemos a preferência e adoraríamos receber sua avaliação, tendo qualquer dúvida estamos à disposição.
Att
NTA Variedades</v>
      </c>
    </row>
    <row r="1608" spans="1:15">
      <c r="A1608" s="52" t="str">
        <f>_xlfn.XLOOKUP(Follow[[#This Row],[CODRASTREIO]],Controle_Pedidos[Cód Rastreamento],Controle_Pedidos[Número Pedido Cliente])</f>
        <v>Pedido 1678</v>
      </c>
      <c r="B1608" s="2" t="s">
        <v>19041</v>
      </c>
      <c r="C1608" s="2" t="str">
        <f>Follow[[#This Row],[CODRASTREIO]]&amp;" B"</f>
        <v>CódRastreio1599 B</v>
      </c>
      <c r="D1608" s="52" t="str">
        <f>_xlfn.XLOOKUP(Follow[[#This Row],[Id Pedido]],Controle_Pedidos[Número Pedido Cliente],Controle_Pedidos[Loja])</f>
        <v>MEI</v>
      </c>
      <c r="E1608" s="9">
        <f>_xlfn.XLOOKUP(Follow[[#This Row],[Id Pedido]],Controle_Pedidos[Número Pedido Cliente],Controle_Pedidos[Prazo Entrega])</f>
        <v>45811</v>
      </c>
      <c r="F1608" s="9" t="s">
        <v>19433</v>
      </c>
      <c r="G1608" s="9" t="s">
        <v>708</v>
      </c>
      <c r="H1608" s="9" t="s">
        <v>179</v>
      </c>
      <c r="I1608" s="9" t="s">
        <v>178</v>
      </c>
      <c r="J1608" s="147">
        <v>45841</v>
      </c>
      <c r="K1608" s="8" t="s">
        <v>198</v>
      </c>
      <c r="L1608" s="8" t="s">
        <v>124</v>
      </c>
      <c r="M1608" s="8" t="s">
        <v>37</v>
      </c>
      <c r="N1608" s="52" t="str">
        <f>IF(Follow[[#This Row],[DATAATUALIZAÇÃO]]&lt;=Follow[[#This Row],[Prev Entrega]],"Dentro do Prazo","Fora do Prazo")</f>
        <v>Fora do Prazo</v>
      </c>
      <c r="O160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Lampada Led foi entregue no dia 03/07/2025, referente ao pedido Nº Pedido 1678 Rastreio NM810834006BR, agradecemos a preferência e adoraríamos receber sua avaliação, tendo qualquer dúvida estamos à disposição.
Att
NTA Variedades</v>
      </c>
    </row>
    <row r="1609" spans="1:15">
      <c r="A1609" s="52" t="str">
        <f>_xlfn.XLOOKUP(Follow[[#This Row],[CODRASTREIO]],Controle_Pedidos[Cód Rastreamento],Controle_Pedidos[Número Pedido Cliente])</f>
        <v>Pedido 1679</v>
      </c>
      <c r="B1609" s="2" t="s">
        <v>19042</v>
      </c>
      <c r="C1609" s="2" t="str">
        <f>Follow[[#This Row],[CODRASTREIO]]&amp;" B"</f>
        <v>CódRastreio1600 B</v>
      </c>
      <c r="D1609" s="52" t="str">
        <f>_xlfn.XLOOKUP(Follow[[#This Row],[Id Pedido]],Controle_Pedidos[Número Pedido Cliente],Controle_Pedidos[Loja])</f>
        <v>MEI</v>
      </c>
      <c r="E1609" s="9">
        <f>_xlfn.XLOOKUP(Follow[[#This Row],[Id Pedido]],Controle_Pedidos[Número Pedido Cliente],Controle_Pedidos[Prazo Entrega])</f>
        <v>45805</v>
      </c>
      <c r="F1609" s="9" t="s">
        <v>19433</v>
      </c>
      <c r="G1609" s="9" t="s">
        <v>709</v>
      </c>
      <c r="H1609" s="9" t="s">
        <v>179</v>
      </c>
      <c r="I1609" s="52" t="s">
        <v>178</v>
      </c>
      <c r="J1609" s="140">
        <v>45797</v>
      </c>
      <c r="K1609" s="124" t="s">
        <v>198</v>
      </c>
      <c r="L1609" s="8" t="s">
        <v>124</v>
      </c>
      <c r="M1609" s="8" t="s">
        <v>37</v>
      </c>
      <c r="N1609" s="52" t="str">
        <f>IF(Follow[[#This Row],[DATAATUALIZAÇÃO]]&lt;=Follow[[#This Row],[Prev Entrega]],"Dentro do Prazo","Fora do Prazo")</f>
        <v>Dentro do Prazo</v>
      </c>
      <c r="O1609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20/05/2025, referente ao pedido Nº Pedido 1679 Rastreio CNBR00071551493, agradecemos a preferência e adoraríamos receber sua avaliação, tendo qualquer dúvida estamos à disposição.
Att
NTA Variedades</v>
      </c>
    </row>
    <row r="1610" spans="1:15">
      <c r="A1610" s="52" t="str">
        <f>_xlfn.XLOOKUP(Follow[[#This Row],[CODRASTREIO]],Controle_Pedidos[Cód Rastreamento],Controle_Pedidos[Número Pedido Cliente])</f>
        <v>Pedido 1683</v>
      </c>
      <c r="B1610" s="2" t="s">
        <v>19043</v>
      </c>
      <c r="C1610" s="2" t="str">
        <f>Follow[[#This Row],[CODRASTREIO]]&amp;" B"</f>
        <v>CódRastreio1601 B</v>
      </c>
      <c r="D1610" s="52" t="str">
        <f>_xlfn.XLOOKUP(Follow[[#This Row],[Id Pedido]],Controle_Pedidos[Número Pedido Cliente],Controle_Pedidos[Loja])</f>
        <v>MEI</v>
      </c>
      <c r="E1610" s="9">
        <f>_xlfn.XLOOKUP(Follow[[#This Row],[Id Pedido]],Controle_Pedidos[Número Pedido Cliente],Controle_Pedidos[Prazo Entrega])</f>
        <v>45811</v>
      </c>
      <c r="F1610" s="9" t="s">
        <v>19433</v>
      </c>
      <c r="G1610" s="9" t="s">
        <v>710</v>
      </c>
      <c r="H1610" s="9" t="s">
        <v>179</v>
      </c>
      <c r="I1610" s="9" t="s">
        <v>178</v>
      </c>
      <c r="J1610" s="9">
        <v>45811</v>
      </c>
      <c r="K1610" s="8" t="s">
        <v>198</v>
      </c>
      <c r="L1610" s="8" t="s">
        <v>124</v>
      </c>
      <c r="M1610" s="8" t="s">
        <v>37</v>
      </c>
      <c r="N1610" s="52" t="str">
        <f>IF(Follow[[#This Row],[DATAATUALIZAÇÃO]]&lt;=Follow[[#This Row],[Prev Entrega]],"Dentro do Prazo","Fora do Prazo")</f>
        <v>Dentro do Prazo</v>
      </c>
      <c r="O161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03/06/2025, referente ao pedido Nº Pedido 1683 Rastreio NM811724126BR, agradecemos a preferência e adoraríamos receber sua avaliação, tendo qualquer dúvida estamos à disposição.
Att
NTA Variedades</v>
      </c>
    </row>
    <row r="1611" spans="1:15">
      <c r="A1611" s="52" t="str">
        <f>_xlfn.XLOOKUP(Follow[[#This Row],[CODRASTREIO]],Controle_Pedidos[Cód Rastreamento],Controle_Pedidos[Número Pedido Cliente])</f>
        <v>Pedido 1684</v>
      </c>
      <c r="B1611" s="2" t="s">
        <v>19044</v>
      </c>
      <c r="C1611" s="2" t="str">
        <f>Follow[[#This Row],[CODRASTREIO]]&amp;" B"</f>
        <v>CódRastreio1602 B</v>
      </c>
      <c r="D1611" s="52" t="str">
        <f>_xlfn.XLOOKUP(Follow[[#This Row],[Id Pedido]],Controle_Pedidos[Número Pedido Cliente],Controle_Pedidos[Loja])</f>
        <v>MEI</v>
      </c>
      <c r="E1611" s="9">
        <f>_xlfn.XLOOKUP(Follow[[#This Row],[Id Pedido]],Controle_Pedidos[Número Pedido Cliente],Controle_Pedidos[Prazo Entrega])</f>
        <v>45806</v>
      </c>
      <c r="F1611" s="9" t="s">
        <v>19433</v>
      </c>
      <c r="G1611" s="9" t="s">
        <v>711</v>
      </c>
      <c r="H1611" s="9" t="s">
        <v>179</v>
      </c>
      <c r="I1611" s="52" t="s">
        <v>178</v>
      </c>
      <c r="J1611" s="140">
        <v>45797</v>
      </c>
      <c r="K1611" s="124" t="s">
        <v>198</v>
      </c>
      <c r="L1611" s="8" t="s">
        <v>124</v>
      </c>
      <c r="M1611" s="8" t="s">
        <v>37</v>
      </c>
      <c r="N1611" s="52" t="str">
        <f>IF(Follow[[#This Row],[DATAATUALIZAÇÃO]]&lt;=Follow[[#This Row],[Prev Entrega]],"Dentro do Prazo","Fora do Prazo")</f>
        <v>Dentro do Prazo</v>
      </c>
      <c r="O1611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20/05/2025, referente ao pedido Nº Pedido 1684 Rastreio CNBR00071175291, agradecemos a preferência e adoraríamos receber sua avaliação, tendo qualquer dúvida estamos à disposição.
Att
NTA Variedades</v>
      </c>
    </row>
    <row r="1612" spans="1:15">
      <c r="A1612" s="52" t="str">
        <f>_xlfn.XLOOKUP(Follow[[#This Row],[CODRASTREIO]],Controle_Pedidos[Cód Rastreamento],Controle_Pedidos[Número Pedido Cliente])</f>
        <v>Pedido 1685</v>
      </c>
      <c r="B1612" s="2" t="s">
        <v>19045</v>
      </c>
      <c r="C1612" s="2" t="str">
        <f>Follow[[#This Row],[CODRASTREIO]]&amp;" B"</f>
        <v>CódRastreio1603 B</v>
      </c>
      <c r="D1612" s="52" t="str">
        <f>_xlfn.XLOOKUP(Follow[[#This Row],[Id Pedido]],Controle_Pedidos[Número Pedido Cliente],Controle_Pedidos[Loja])</f>
        <v>MEI</v>
      </c>
      <c r="E1612" s="9">
        <f>_xlfn.XLOOKUP(Follow[[#This Row],[Id Pedido]],Controle_Pedidos[Número Pedido Cliente],Controle_Pedidos[Prazo Entrega])</f>
        <v>45812</v>
      </c>
      <c r="F1612" s="9" t="s">
        <v>19433</v>
      </c>
      <c r="G1612" s="9" t="s">
        <v>712</v>
      </c>
      <c r="H1612" s="9" t="s">
        <v>179</v>
      </c>
      <c r="I1612" s="52" t="s">
        <v>178</v>
      </c>
      <c r="J1612" s="140">
        <v>45799</v>
      </c>
      <c r="K1612" s="124" t="s">
        <v>198</v>
      </c>
      <c r="L1612" s="8" t="s">
        <v>124</v>
      </c>
      <c r="M1612" s="8" t="s">
        <v>37</v>
      </c>
      <c r="N1612" s="52" t="str">
        <f>IF(Follow[[#This Row],[DATAATUALIZAÇÃO]]&lt;=Follow[[#This Row],[Prev Entrega]],"Dentro do Prazo","Fora do Prazo")</f>
        <v>Dentro do Prazo</v>
      </c>
      <c r="O1612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22/05/2025, referente ao pedido Nº Pedido 1685 Rastreio CNBR00071298246, agradecemos a preferência e adoraríamos receber sua avaliação, tendo qualquer dúvida estamos à disposição.
Att
NTA Variedades</v>
      </c>
    </row>
    <row r="1613" spans="1:15">
      <c r="A1613" s="52" t="str">
        <f>_xlfn.XLOOKUP(Follow[[#This Row],[CODRASTREIO]],Controle_Pedidos[Cód Rastreamento],Controle_Pedidos[Número Pedido Cliente])</f>
        <v>Pedido 1677</v>
      </c>
      <c r="B1613" s="2" t="s">
        <v>19040</v>
      </c>
      <c r="C1613" s="2" t="str">
        <f>Follow[[#This Row],[CODRASTREIO]]&amp;" B"</f>
        <v>CódRastreio1598 B</v>
      </c>
      <c r="D1613" s="52" t="str">
        <f>_xlfn.XLOOKUP(Follow[[#This Row],[Id Pedido]],Controle_Pedidos[Número Pedido Cliente],Controle_Pedidos[Loja])</f>
        <v>MEI</v>
      </c>
      <c r="E1613" s="9">
        <f>_xlfn.XLOOKUP(Follow[[#This Row],[Id Pedido]],Controle_Pedidos[Número Pedido Cliente],Controle_Pedidos[Prazo Entrega])</f>
        <v>45811</v>
      </c>
      <c r="F1613" s="9" t="s">
        <v>19433</v>
      </c>
      <c r="G1613" s="9" t="s">
        <v>713</v>
      </c>
      <c r="H1613" s="9" t="s">
        <v>179</v>
      </c>
      <c r="I1613" s="9" t="s">
        <v>178</v>
      </c>
      <c r="J1613" s="147">
        <v>45833</v>
      </c>
      <c r="K1613" s="8" t="s">
        <v>198</v>
      </c>
      <c r="L1613" s="8" t="s">
        <v>124</v>
      </c>
      <c r="M1613" s="8" t="s">
        <v>37</v>
      </c>
      <c r="N1613" s="52" t="str">
        <f>IF(Follow[[#This Row],[DATAATUALIZAÇÃO]]&lt;=Follow[[#This Row],[Prev Entrega]],"Dentro do Prazo","Fora do Prazo")</f>
        <v>Fora do Prazo</v>
      </c>
      <c r="O161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25/06/2025, referente ao pedido Nº Pedido 1677 Rastreio NM814639824BR, agradecemos a preferência e adoraríamos receber sua avaliação, tendo qualquer dúvida estamos à disposição.
Att
NTA Variedades</v>
      </c>
    </row>
    <row r="1614" spans="1:15">
      <c r="A1614" s="52" t="str">
        <f>_xlfn.XLOOKUP(Follow[[#This Row],[CODRASTREIO]],Controle_Pedidos[Cód Rastreamento],Controle_Pedidos[Número Pedido Cliente])</f>
        <v>Pedido 1694</v>
      </c>
      <c r="B1614" s="2" t="s">
        <v>19048</v>
      </c>
      <c r="C1614" s="2" t="str">
        <f>Follow[[#This Row],[CODRASTREIO]]&amp;" B"</f>
        <v>CódRastreio1606 B</v>
      </c>
      <c r="D1614" s="52" t="str">
        <f>_xlfn.XLOOKUP(Follow[[#This Row],[Id Pedido]],Controle_Pedidos[Número Pedido Cliente],Controle_Pedidos[Loja])</f>
        <v>MEI</v>
      </c>
      <c r="E1614" s="9">
        <f>_xlfn.XLOOKUP(Follow[[#This Row],[Id Pedido]],Controle_Pedidos[Número Pedido Cliente],Controle_Pedidos[Prazo Entrega])</f>
        <v>45801</v>
      </c>
      <c r="F1614" s="9" t="s">
        <v>19433</v>
      </c>
      <c r="G1614" s="9" t="s">
        <v>37</v>
      </c>
      <c r="H1614" s="9" t="s">
        <v>178</v>
      </c>
      <c r="I1614" s="52" t="s">
        <v>178</v>
      </c>
      <c r="J1614" s="140">
        <v>45793</v>
      </c>
      <c r="K1614" s="124" t="s">
        <v>198</v>
      </c>
      <c r="L1614" s="8" t="s">
        <v>124</v>
      </c>
      <c r="M1614" s="8" t="s">
        <v>37</v>
      </c>
      <c r="N1614" s="52" t="str">
        <f>IF(Follow[[#This Row],[DATAATUALIZAÇÃO]]&lt;=Follow[[#This Row],[Prev Entrega]],"Dentro do Prazo","Fora do Prazo")</f>
        <v>Dentro do Prazo</v>
      </c>
      <c r="O1614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16/05/2025, referente ao pedido Nº Pedido 1694 Rastreio Pedido 1694, agradecemos a preferência e adoraríamos receber sua avaliação, tendo qualquer dúvida estamos à disposição.
Att
NTA Variedades</v>
      </c>
    </row>
    <row r="1615" spans="1:15">
      <c r="A1615" s="52" t="str">
        <f>_xlfn.XLOOKUP(Follow[[#This Row],[CODRASTREIO]],Controle_Pedidos[Cód Rastreamento],Controle_Pedidos[Número Pedido Cliente])</f>
        <v>Pedido 1692</v>
      </c>
      <c r="B1615" s="2" t="s">
        <v>19046</v>
      </c>
      <c r="C1615" s="2" t="str">
        <f>Follow[[#This Row],[CODRASTREIO]]&amp;" B"</f>
        <v>CódRastreio1604 B</v>
      </c>
      <c r="D1615" s="52" t="str">
        <f>_xlfn.XLOOKUP(Follow[[#This Row],[Id Pedido]],Controle_Pedidos[Número Pedido Cliente],Controle_Pedidos[Loja])</f>
        <v>MEI</v>
      </c>
      <c r="E1615" s="9">
        <f>_xlfn.XLOOKUP(Follow[[#This Row],[Id Pedido]],Controle_Pedidos[Número Pedido Cliente],Controle_Pedidos[Prazo Entrega])</f>
        <v>45813</v>
      </c>
      <c r="F1615" s="9" t="s">
        <v>19433</v>
      </c>
      <c r="G1615" s="9" t="s">
        <v>714</v>
      </c>
      <c r="H1615" s="9" t="s">
        <v>179</v>
      </c>
      <c r="I1615" s="9" t="s">
        <v>178</v>
      </c>
      <c r="J1615" s="9">
        <v>45834</v>
      </c>
      <c r="K1615" s="8" t="s">
        <v>533</v>
      </c>
      <c r="L1615" s="8" t="s">
        <v>184</v>
      </c>
      <c r="M1615" s="8" t="s">
        <v>37</v>
      </c>
      <c r="N1615" s="52" t="str">
        <f>IF(Follow[[#This Row],[DATAATUALIZAÇÃO]]&lt;=Follow[[#This Row],[Prev Entrega]],"Dentro do Prazo","Fora do Prazo")</f>
        <v>Fora do Prazo</v>
      </c>
      <c r="O161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26/06/2025, referente ao pedido Nº Pedido 1692 Rastreio NM816888104BR, agradecemos a preferência e adoraríamos receber sua avaliação, tendo qualquer dúvida estamos à disposição.
Att
NTA Variedades</v>
      </c>
    </row>
    <row r="1616" spans="1:15">
      <c r="A1616" s="52" t="str">
        <f>_xlfn.XLOOKUP(Follow[[#This Row],[CODRASTREIO]],Controle_Pedidos[Cód Rastreamento],Controle_Pedidos[Número Pedido Cliente])</f>
        <v>Pedido 1698</v>
      </c>
      <c r="B1616" s="2" t="s">
        <v>19050</v>
      </c>
      <c r="C1616" s="2" t="str">
        <f>Follow[[#This Row],[CODRASTREIO]]&amp;" B"</f>
        <v>CódRastreio1608 B</v>
      </c>
      <c r="D1616" s="52" t="str">
        <f>_xlfn.XLOOKUP(Follow[[#This Row],[Id Pedido]],Controle_Pedidos[Número Pedido Cliente],Controle_Pedidos[Loja])</f>
        <v>MEI</v>
      </c>
      <c r="E1616" s="9">
        <f>_xlfn.XLOOKUP(Follow[[#This Row],[Id Pedido]],Controle_Pedidos[Número Pedido Cliente],Controle_Pedidos[Prazo Entrega])</f>
        <v>45813</v>
      </c>
      <c r="F1616" s="9" t="s">
        <v>19433</v>
      </c>
      <c r="G1616" s="9" t="s">
        <v>37</v>
      </c>
      <c r="H1616" s="9" t="s">
        <v>178</v>
      </c>
      <c r="I1616" s="52" t="s">
        <v>178</v>
      </c>
      <c r="J1616" s="140">
        <v>45799</v>
      </c>
      <c r="K1616" s="124" t="s">
        <v>198</v>
      </c>
      <c r="L1616" s="8" t="s">
        <v>124</v>
      </c>
      <c r="M1616" s="8" t="s">
        <v>208</v>
      </c>
      <c r="N1616" s="52" t="str">
        <f>IF(Follow[[#This Row],[DATAATUALIZAÇÃO]]&lt;=Follow[[#This Row],[Prev Entrega]],"Dentro do Prazo","Fora do Prazo")</f>
        <v>Dentro do Prazo</v>
      </c>
      <c r="O1616" s="56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Copo Termico foi entregue no dia 22/05/2025, referente ao pedido Nº Pedido 1698 Rastreio Pedido 1698, agradecemos a preferência e adoraríamos receber sua avaliação, tendo qualquer dúvida estamos à disposição.
Att
NTA Variedades</v>
      </c>
    </row>
    <row r="1617" spans="1:15">
      <c r="A1617" s="52" t="str">
        <f>_xlfn.XLOOKUP(Follow[[#This Row],[CODRASTREIO]],Controle_Pedidos[Cód Rastreamento],Controle_Pedidos[Número Pedido Cliente])</f>
        <v>Pedido 1693</v>
      </c>
      <c r="B1617" s="2" t="s">
        <v>19047</v>
      </c>
      <c r="C1617" s="2" t="str">
        <f>Follow[[#This Row],[CODRASTREIO]]&amp;" B"</f>
        <v>CódRastreio1605 B</v>
      </c>
      <c r="D1617" s="52" t="str">
        <f>_xlfn.XLOOKUP(Follow[[#This Row],[Id Pedido]],Controle_Pedidos[Número Pedido Cliente],Controle_Pedidos[Loja])</f>
        <v>MEI</v>
      </c>
      <c r="E1617" s="9">
        <f>_xlfn.XLOOKUP(Follow[[#This Row],[Id Pedido]],Controle_Pedidos[Número Pedido Cliente],Controle_Pedidos[Prazo Entrega])</f>
        <v>45813</v>
      </c>
      <c r="F1617" s="9" t="s">
        <v>19433</v>
      </c>
      <c r="G1617" s="9" t="s">
        <v>715</v>
      </c>
      <c r="H1617" s="9" t="s">
        <v>179</v>
      </c>
      <c r="I1617" s="9" t="s">
        <v>178</v>
      </c>
      <c r="J1617" s="147">
        <v>45831.41265046296</v>
      </c>
      <c r="K1617" s="8" t="s">
        <v>198</v>
      </c>
      <c r="L1617" s="8" t="s">
        <v>124</v>
      </c>
      <c r="M1617" s="8" t="s">
        <v>37</v>
      </c>
      <c r="N1617" s="52" t="str">
        <f>IF(Follow[[#This Row],[DATAATUALIZAÇÃO]]&lt;=Follow[[#This Row],[Prev Entrega]],"Dentro do Prazo","Fora do Prazo")</f>
        <v>Fora do Prazo</v>
      </c>
      <c r="O161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1693 Rastreio NM818357483BR, agradecemos a preferência e adoraríamos receber sua avaliação, tendo qualquer dúvida estamos à disposição.
Att
NTA Variedades</v>
      </c>
    </row>
    <row r="1618" spans="1:15">
      <c r="A1618" s="52" t="str">
        <f>_xlfn.XLOOKUP(Follow[[#This Row],[CODRASTREIO]],Controle_Pedidos[Cód Rastreamento],Controle_Pedidos[Número Pedido Cliente])</f>
        <v>Pedido 1695</v>
      </c>
      <c r="B1618" s="2" t="s">
        <v>19049</v>
      </c>
      <c r="C1618" s="2" t="str">
        <f>Follow[[#This Row],[CODRASTREIO]]&amp;" B"</f>
        <v>CódRastreio1607 B</v>
      </c>
      <c r="D1618" s="52" t="str">
        <f>_xlfn.XLOOKUP(Follow[[#This Row],[Id Pedido]],Controle_Pedidos[Número Pedido Cliente],Controle_Pedidos[Loja])</f>
        <v>MEI</v>
      </c>
      <c r="E1618" s="9">
        <f>_xlfn.XLOOKUP(Follow[[#This Row],[Id Pedido]],Controle_Pedidos[Número Pedido Cliente],Controle_Pedidos[Prazo Entrega])</f>
        <v>45807</v>
      </c>
      <c r="F1618" s="9" t="s">
        <v>19433</v>
      </c>
      <c r="G1618" s="9" t="s">
        <v>716</v>
      </c>
      <c r="H1618" s="9" t="s">
        <v>179</v>
      </c>
      <c r="I1618" s="9" t="s">
        <v>178</v>
      </c>
      <c r="J1618" s="147">
        <v>45819.715694444443</v>
      </c>
      <c r="K1618" s="8" t="s">
        <v>198</v>
      </c>
      <c r="L1618" s="8" t="s">
        <v>124</v>
      </c>
      <c r="M1618" s="8" t="s">
        <v>37</v>
      </c>
      <c r="N1618" s="52" t="str">
        <f>IF(Follow[[#This Row],[DATAATUALIZAÇÃO]]&lt;=Follow[[#This Row],[Prev Entrega]],"Dentro do Prazo","Fora do Prazo")</f>
        <v>Fora do Prazo</v>
      </c>
      <c r="O161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11/06/2025, referente ao pedido Nº Pedido 1695 Rastreio NM818467515BR, agradecemos a preferência e adoraríamos receber sua avaliação, tendo qualquer dúvida estamos à disposição.
Att
NTA Variedades</v>
      </c>
    </row>
    <row r="1619" spans="1:15">
      <c r="A1619" s="52" t="str">
        <f>_xlfn.XLOOKUP(Follow[[#This Row],[CODRASTREIO]],Controle_Pedidos[Cód Rastreamento],Controle_Pedidos[Número Pedido Cliente])</f>
        <v>Pedido 1699</v>
      </c>
      <c r="B1619" s="2" t="s">
        <v>19051</v>
      </c>
      <c r="C1619" s="2" t="str">
        <f>Follow[[#This Row],[CODRASTREIO]]&amp;" B"</f>
        <v>CódRastreio1609 B</v>
      </c>
      <c r="D1619" s="52" t="str">
        <f>_xlfn.XLOOKUP(Follow[[#This Row],[Id Pedido]],Controle_Pedidos[Número Pedido Cliente],Controle_Pedidos[Loja])</f>
        <v>MEI</v>
      </c>
      <c r="E1619" s="9">
        <f>_xlfn.XLOOKUP(Follow[[#This Row],[Id Pedido]],Controle_Pedidos[Número Pedido Cliente],Controle_Pedidos[Prazo Entrega])</f>
        <v>45820</v>
      </c>
      <c r="F1619" s="9" t="s">
        <v>19433</v>
      </c>
      <c r="G1619" s="9" t="s">
        <v>717</v>
      </c>
      <c r="H1619" s="9" t="s">
        <v>179</v>
      </c>
      <c r="I1619" s="9" t="s">
        <v>178</v>
      </c>
      <c r="J1619" s="9">
        <v>45812</v>
      </c>
      <c r="K1619" s="8" t="s">
        <v>198</v>
      </c>
      <c r="L1619" s="8" t="s">
        <v>124</v>
      </c>
      <c r="M1619" s="8" t="s">
        <v>37</v>
      </c>
      <c r="N1619" s="52" t="str">
        <f>IF(Follow[[#This Row],[DATAATUALIZAÇÃO]]&lt;=Follow[[#This Row],[Prev Entrega]],"Dentro do Prazo","Fora do Prazo")</f>
        <v>Dentro do Prazo</v>
      </c>
      <c r="O161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04/06/2025, referente ao pedido Nº Pedido 1699 Rastreio NM818437076BR, agradecemos a preferência e adoraríamos receber sua avaliação, tendo qualquer dúvida estamos à disposição.
Att
NTA Variedades</v>
      </c>
    </row>
    <row r="1620" spans="1:15">
      <c r="A1620" s="52" t="str">
        <f>_xlfn.XLOOKUP(Follow[[#This Row],[CODRASTREIO]],Controle_Pedidos[Cód Rastreamento],Controle_Pedidos[Número Pedido Cliente])</f>
        <v>Pedido 1703</v>
      </c>
      <c r="B1620" s="2" t="s">
        <v>19052</v>
      </c>
      <c r="C1620" s="2" t="str">
        <f>Follow[[#This Row],[CODRASTREIO]]&amp;" B"</f>
        <v>CódRastreio1610 B</v>
      </c>
      <c r="D1620" s="52" t="str">
        <f>_xlfn.XLOOKUP(Follow[[#This Row],[Id Pedido]],Controle_Pedidos[Número Pedido Cliente],Controle_Pedidos[Loja])</f>
        <v>MEI</v>
      </c>
      <c r="E1620" s="9">
        <f>_xlfn.XLOOKUP(Follow[[#This Row],[Id Pedido]],Controle_Pedidos[Número Pedido Cliente],Controle_Pedidos[Prazo Entrega])</f>
        <v>45820</v>
      </c>
      <c r="F1620" s="9" t="s">
        <v>19433</v>
      </c>
      <c r="G1620" s="9" t="s">
        <v>718</v>
      </c>
      <c r="H1620" s="9" t="s">
        <v>179</v>
      </c>
      <c r="I1620" s="9" t="s">
        <v>178</v>
      </c>
      <c r="J1620" s="147">
        <v>45847</v>
      </c>
      <c r="K1620" s="8" t="s">
        <v>198</v>
      </c>
      <c r="L1620" s="8" t="s">
        <v>124</v>
      </c>
      <c r="M1620" s="8" t="s">
        <v>37</v>
      </c>
      <c r="N1620" s="52" t="str">
        <f>IF(Follow[[#This Row],[DATAATUALIZAÇÃO]]&lt;=Follow[[#This Row],[Prev Entrega]],"Dentro do Prazo","Fora do Prazo")</f>
        <v>Fora do Prazo</v>
      </c>
      <c r="O162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09/07/2025, referente ao pedido Nº Pedido 1703 Rastreio NM818464672BR, agradecemos a preferência e adoraríamos receber sua avaliação, tendo qualquer dúvida estamos à disposição.
Att
NTA Variedades</v>
      </c>
    </row>
    <row r="1621" spans="1:15">
      <c r="A1621" s="52" t="str">
        <f>_xlfn.XLOOKUP(Follow[[#This Row],[CODRASTREIO]],Controle_Pedidos[Cód Rastreamento],Controle_Pedidos[Número Pedido Cliente])</f>
        <v>Pedido 1706</v>
      </c>
      <c r="B1621" s="2" t="s">
        <v>19053</v>
      </c>
      <c r="C1621" s="2" t="str">
        <f>Follow[[#This Row],[CODRASTREIO]]&amp;" B"</f>
        <v>CódRastreio1611 B</v>
      </c>
      <c r="D1621" s="52" t="str">
        <f>_xlfn.XLOOKUP(Follow[[#This Row],[Id Pedido]],Controle_Pedidos[Número Pedido Cliente],Controle_Pedidos[Loja])</f>
        <v>MEI</v>
      </c>
      <c r="E1621" s="9">
        <f>_xlfn.XLOOKUP(Follow[[#This Row],[Id Pedido]],Controle_Pedidos[Número Pedido Cliente],Controle_Pedidos[Prazo Entrega])</f>
        <v>45814</v>
      </c>
      <c r="F1621" s="9" t="s">
        <v>19433</v>
      </c>
      <c r="G1621" s="9" t="s">
        <v>719</v>
      </c>
      <c r="H1621" s="9" t="s">
        <v>179</v>
      </c>
      <c r="I1621" s="9" t="s">
        <v>178</v>
      </c>
      <c r="J1621" s="9">
        <v>45807</v>
      </c>
      <c r="K1621" s="8" t="s">
        <v>198</v>
      </c>
      <c r="L1621" s="8" t="s">
        <v>124</v>
      </c>
      <c r="M1621" s="8" t="s">
        <v>37</v>
      </c>
      <c r="N1621" s="52" t="str">
        <f>IF(Follow[[#This Row],[DATAATUALIZAÇÃO]]&lt;=Follow[[#This Row],[Prev Entrega]],"Dentro do Prazo","Fora do Prazo")</f>
        <v>Dentro do Prazo</v>
      </c>
      <c r="O162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30/05/2025, referente ao pedido Nº Pedido 1706 Rastreio CNBR00073337783, agradecemos a preferência e adoraríamos receber sua avaliação, tendo qualquer dúvida estamos à disposição.
Att
NTA Variedades</v>
      </c>
    </row>
    <row r="1622" spans="1:15">
      <c r="A1622" s="52" t="str">
        <f>_xlfn.XLOOKUP(Follow[[#This Row],[CODRASTREIO]],Controle_Pedidos[Cód Rastreamento],Controle_Pedidos[Número Pedido Cliente])</f>
        <v>Pedido 1708</v>
      </c>
      <c r="B1622" s="2" t="s">
        <v>19055</v>
      </c>
      <c r="C1622" s="2" t="str">
        <f>Follow[[#This Row],[CODRASTREIO]]&amp;" B"</f>
        <v>CódRastreio1613 B</v>
      </c>
      <c r="D1622" s="52" t="str">
        <f>_xlfn.XLOOKUP(Follow[[#This Row],[Id Pedido]],Controle_Pedidos[Número Pedido Cliente],Controle_Pedidos[Loja])</f>
        <v>MEI</v>
      </c>
      <c r="E1622" s="9">
        <f>_xlfn.XLOOKUP(Follow[[#This Row],[Id Pedido]],Controle_Pedidos[Número Pedido Cliente],Controle_Pedidos[Prazo Entrega])</f>
        <v>45814</v>
      </c>
      <c r="F1622" s="9" t="s">
        <v>19433</v>
      </c>
      <c r="G1622" s="9" t="s">
        <v>720</v>
      </c>
      <c r="H1622" s="9" t="s">
        <v>179</v>
      </c>
      <c r="I1622" s="9" t="s">
        <v>178</v>
      </c>
      <c r="J1622" s="9">
        <v>45810</v>
      </c>
      <c r="K1622" s="8" t="s">
        <v>198</v>
      </c>
      <c r="L1622" s="8" t="s">
        <v>124</v>
      </c>
      <c r="M1622" s="8" t="s">
        <v>37</v>
      </c>
      <c r="N1622" s="52" t="str">
        <f>IF(Follow[[#This Row],[DATAATUALIZAÇÃO]]&lt;=Follow[[#This Row],[Prev Entrega]],"Dentro do Prazo","Fora do Prazo")</f>
        <v>Dentro do Prazo</v>
      </c>
      <c r="O162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02/06/2025, referente ao pedido Nº Pedido 1708 Rastreio CNBR00073453633, agradecemos a preferência e adoraríamos receber sua avaliação, tendo qualquer dúvida estamos à disposição.
Att
NTA Variedades</v>
      </c>
    </row>
    <row r="1623" spans="1:15">
      <c r="A1623" s="52" t="str">
        <f>_xlfn.XLOOKUP(Follow[[#This Row],[CODRASTREIO]],Controle_Pedidos[Cód Rastreamento],Controle_Pedidos[Número Pedido Cliente])</f>
        <v>Pedido 1712</v>
      </c>
      <c r="B1623" s="2" t="s">
        <v>19057</v>
      </c>
      <c r="C1623" s="2" t="str">
        <f>Follow[[#This Row],[CODRASTREIO]]&amp;" B"</f>
        <v>CódRastreio1615 B</v>
      </c>
      <c r="D1623" s="52" t="str">
        <f>_xlfn.XLOOKUP(Follow[[#This Row],[Id Pedido]],Controle_Pedidos[Número Pedido Cliente],Controle_Pedidos[Loja])</f>
        <v>MEI</v>
      </c>
      <c r="E1623" s="9">
        <f>_xlfn.XLOOKUP(Follow[[#This Row],[Id Pedido]],Controle_Pedidos[Número Pedido Cliente],Controle_Pedidos[Prazo Entrega])</f>
        <v>45818</v>
      </c>
      <c r="F1623" s="9" t="s">
        <v>19433</v>
      </c>
      <c r="G1623" s="9" t="s">
        <v>721</v>
      </c>
      <c r="H1623" s="9" t="s">
        <v>179</v>
      </c>
      <c r="I1623" s="9" t="s">
        <v>178</v>
      </c>
      <c r="J1623" s="9">
        <v>45812</v>
      </c>
      <c r="K1623" s="8" t="s">
        <v>198</v>
      </c>
      <c r="L1623" s="8" t="s">
        <v>124</v>
      </c>
      <c r="M1623" s="8" t="s">
        <v>37</v>
      </c>
      <c r="N1623" s="52" t="str">
        <f>IF(Follow[[#This Row],[DATAATUALIZAÇÃO]]&lt;=Follow[[#This Row],[Prev Entrega]],"Dentro do Prazo","Fora do Prazo")</f>
        <v>Dentro do Prazo</v>
      </c>
      <c r="O162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04/06/2025, referente ao pedido Nº Pedido 1712 Rastreio CNBR00073626107, agradecemos a preferência e adoraríamos receber sua avaliação, tendo qualquer dúvida estamos à disposição.
Att
NTA Variedades</v>
      </c>
    </row>
    <row r="1624" spans="1:15">
      <c r="A1624" s="52" t="str">
        <f>_xlfn.XLOOKUP(Follow[[#This Row],[CODRASTREIO]],Controle_Pedidos[Cód Rastreamento],Controle_Pedidos[Número Pedido Cliente])</f>
        <v>Pedido 1714</v>
      </c>
      <c r="B1624" s="2" t="s">
        <v>19059</v>
      </c>
      <c r="C1624" s="2" t="str">
        <f>Follow[[#This Row],[CODRASTREIO]]&amp;" B"</f>
        <v>CódRastreio1617 B</v>
      </c>
      <c r="D1624" s="52" t="str">
        <f>_xlfn.XLOOKUP(Follow[[#This Row],[Id Pedido]],Controle_Pedidos[Número Pedido Cliente],Controle_Pedidos[Loja])</f>
        <v>MEI</v>
      </c>
      <c r="E1624" s="9">
        <f>_xlfn.XLOOKUP(Follow[[#This Row],[Id Pedido]],Controle_Pedidos[Número Pedido Cliente],Controle_Pedidos[Prazo Entrega])</f>
        <v>45818</v>
      </c>
      <c r="F1624" s="9" t="s">
        <v>19433</v>
      </c>
      <c r="G1624" s="9" t="s">
        <v>722</v>
      </c>
      <c r="H1624" s="9" t="s">
        <v>179</v>
      </c>
      <c r="I1624" s="9" t="s">
        <v>178</v>
      </c>
      <c r="J1624" s="9">
        <v>45810</v>
      </c>
      <c r="K1624" s="8" t="s">
        <v>198</v>
      </c>
      <c r="L1624" s="8" t="s">
        <v>124</v>
      </c>
      <c r="M1624" s="8" t="s">
        <v>37</v>
      </c>
      <c r="N1624" s="52" t="str">
        <f>IF(Follow[[#This Row],[DATAATUALIZAÇÃO]]&lt;=Follow[[#This Row],[Prev Entrega]],"Dentro do Prazo","Fora do Prazo")</f>
        <v>Dentro do Prazo</v>
      </c>
      <c r="O162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02/06/2025, referente ao pedido Nº Pedido 1714 Rastreio CNBR00073663121, agradecemos a preferência e adoraríamos receber sua avaliação, tendo qualquer dúvida estamos à disposição.
Att
NTA Variedades</v>
      </c>
    </row>
    <row r="1625" spans="1:15">
      <c r="A1625" s="52" t="str">
        <f>_xlfn.XLOOKUP(Follow[[#This Row],[CODRASTREIO]],Controle_Pedidos[Cód Rastreamento],Controle_Pedidos[Número Pedido Cliente])</f>
        <v>Pedido 1718</v>
      </c>
      <c r="B1625" s="2" t="s">
        <v>19062</v>
      </c>
      <c r="C1625" s="2" t="str">
        <f>Follow[[#This Row],[CODRASTREIO]]&amp;" B"</f>
        <v>CódRastreio1620 B</v>
      </c>
      <c r="D1625" s="52" t="str">
        <f>_xlfn.XLOOKUP(Follow[[#This Row],[Id Pedido]],Controle_Pedidos[Número Pedido Cliente],Controle_Pedidos[Loja])</f>
        <v>MEI</v>
      </c>
      <c r="E1625" s="9">
        <f>_xlfn.XLOOKUP(Follow[[#This Row],[Id Pedido]],Controle_Pedidos[Número Pedido Cliente],Controle_Pedidos[Prazo Entrega])</f>
        <v>45820</v>
      </c>
      <c r="F1625" s="9" t="s">
        <v>19433</v>
      </c>
      <c r="G1625" s="9" t="s">
        <v>37</v>
      </c>
      <c r="H1625" s="9" t="s">
        <v>178</v>
      </c>
      <c r="I1625" s="9" t="s">
        <v>178</v>
      </c>
      <c r="J1625" s="147">
        <v>45856</v>
      </c>
      <c r="K1625" s="8" t="s">
        <v>198</v>
      </c>
      <c r="L1625" s="8" t="s">
        <v>124</v>
      </c>
      <c r="M1625" s="8" t="s">
        <v>37</v>
      </c>
      <c r="N1625" s="52" t="str">
        <f>IF(Follow[[#This Row],[DATAATUALIZAÇÃO]]&lt;=Follow[[#This Row],[Prev Entrega]],"Dentro do Prazo","Fora do Prazo")</f>
        <v>Fora do Prazo</v>
      </c>
      <c r="O1625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Garrafa Termica foi entregue no dia 18/07/2025, referente ao pedido Nº Pedido 1718 Rastreio Pedido 1718, agradecemos a preferência e adoraríamos receber sua avaliação, tendo qualquer dúvida estamos à disposição.
Att
NTA Variedades</v>
      </c>
    </row>
    <row r="1626" spans="1:15">
      <c r="A1626" s="52" t="str">
        <f>_xlfn.XLOOKUP(Follow[[#This Row],[CODRASTREIO]],Controle_Pedidos[Cód Rastreamento],Controle_Pedidos[Número Pedido Cliente])</f>
        <v>Pedido 1707</v>
      </c>
      <c r="B1626" s="2" t="s">
        <v>19054</v>
      </c>
      <c r="C1626" s="2" t="str">
        <f>Follow[[#This Row],[CODRASTREIO]]&amp;" B"</f>
        <v>CódRastreio1612 B</v>
      </c>
      <c r="D1626" s="52" t="str">
        <f>_xlfn.XLOOKUP(Follow[[#This Row],[Id Pedido]],Controle_Pedidos[Número Pedido Cliente],Controle_Pedidos[Loja])</f>
        <v>MEI</v>
      </c>
      <c r="E1626" s="9">
        <f>_xlfn.XLOOKUP(Follow[[#This Row],[Id Pedido]],Controle_Pedidos[Número Pedido Cliente],Controle_Pedidos[Prazo Entrega])</f>
        <v>45821</v>
      </c>
      <c r="F1626" s="9" t="s">
        <v>19433</v>
      </c>
      <c r="G1626" s="9" t="s">
        <v>723</v>
      </c>
      <c r="H1626" s="9" t="s">
        <v>179</v>
      </c>
      <c r="I1626" s="9" t="s">
        <v>178</v>
      </c>
      <c r="J1626" s="147">
        <v>45834</v>
      </c>
      <c r="K1626" s="8" t="s">
        <v>198</v>
      </c>
      <c r="L1626" s="8" t="s">
        <v>124</v>
      </c>
      <c r="M1626" s="8" t="s">
        <v>37</v>
      </c>
      <c r="N1626" s="52" t="str">
        <f>IF(Follow[[#This Row],[DATAATUALIZAÇÃO]]&lt;=Follow[[#This Row],[Prev Entrega]],"Dentro do Prazo","Fora do Prazo")</f>
        <v>Fora do Prazo</v>
      </c>
      <c r="O162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26/06/2025, referente ao pedido Nº Pedido 1707 Rastreio NM826494384BR, agradecemos a preferência e adoraríamos receber sua avaliação, tendo qualquer dúvida estamos à disposição.
Att
NTA Variedades</v>
      </c>
    </row>
    <row r="1627" spans="1:15">
      <c r="A1627" s="52" t="str">
        <f>_xlfn.XLOOKUP(Follow[[#This Row],[CODRASTREIO]],Controle_Pedidos[Cód Rastreamento],Controle_Pedidos[Número Pedido Cliente])</f>
        <v>Pedido 1713</v>
      </c>
      <c r="B1627" s="2" t="s">
        <v>19058</v>
      </c>
      <c r="C1627" s="2" t="str">
        <f>Follow[[#This Row],[CODRASTREIO]]&amp;" B"</f>
        <v>CódRastreio1616 B</v>
      </c>
      <c r="D1627" s="52" t="str">
        <f>_xlfn.XLOOKUP(Follow[[#This Row],[Id Pedido]],Controle_Pedidos[Número Pedido Cliente],Controle_Pedidos[Loja])</f>
        <v>MEI</v>
      </c>
      <c r="E1627" s="9">
        <f>_xlfn.XLOOKUP(Follow[[#This Row],[Id Pedido]],Controle_Pedidos[Número Pedido Cliente],Controle_Pedidos[Prazo Entrega])</f>
        <v>45825</v>
      </c>
      <c r="F1627" s="9" t="s">
        <v>19433</v>
      </c>
      <c r="G1627" s="9" t="s">
        <v>724</v>
      </c>
      <c r="H1627" s="9" t="s">
        <v>179</v>
      </c>
      <c r="I1627" s="9" t="s">
        <v>178</v>
      </c>
      <c r="J1627" s="147">
        <v>45833</v>
      </c>
      <c r="K1627" s="8" t="s">
        <v>198</v>
      </c>
      <c r="L1627" s="8" t="s">
        <v>124</v>
      </c>
      <c r="M1627" s="8" t="s">
        <v>37</v>
      </c>
      <c r="N1627" s="52" t="str">
        <f>IF(Follow[[#This Row],[DATAATUALIZAÇÃO]]&lt;=Follow[[#This Row],[Prev Entrega]],"Dentro do Prazo","Fora do Prazo")</f>
        <v>Fora do Prazo</v>
      </c>
      <c r="O162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25/06/2025, referente ao pedido Nº Pedido 1713 Rastreio NM827080070BR, agradecemos a preferência e adoraríamos receber sua avaliação, tendo qualquer dúvida estamos à disposição.
Att
NTA Variedades</v>
      </c>
    </row>
    <row r="1628" spans="1:15">
      <c r="A1628" s="52" t="str">
        <f>_xlfn.XLOOKUP(Follow[[#This Row],[CODRASTREIO]],Controle_Pedidos[Cód Rastreamento],Controle_Pedidos[Número Pedido Cliente])</f>
        <v>Pedido 1719</v>
      </c>
      <c r="B1628" s="2" t="s">
        <v>19063</v>
      </c>
      <c r="C1628" s="2" t="str">
        <f>Follow[[#This Row],[CODRASTREIO]]&amp;" B"</f>
        <v>CódRastreio1621 B</v>
      </c>
      <c r="D1628" s="52" t="str">
        <f>_xlfn.XLOOKUP(Follow[[#This Row],[Id Pedido]],Controle_Pedidos[Número Pedido Cliente],Controle_Pedidos[Loja])</f>
        <v>MEI</v>
      </c>
      <c r="E1628" s="9">
        <f>_xlfn.XLOOKUP(Follow[[#This Row],[Id Pedido]],Controle_Pedidos[Número Pedido Cliente],Controle_Pedidos[Prazo Entrega])</f>
        <v>45820</v>
      </c>
      <c r="F1628" s="9" t="s">
        <v>19433</v>
      </c>
      <c r="G1628" s="9" t="s">
        <v>37</v>
      </c>
      <c r="H1628" s="9" t="s">
        <v>178</v>
      </c>
      <c r="I1628" s="9" t="s">
        <v>178</v>
      </c>
      <c r="J1628" s="9">
        <v>45815</v>
      </c>
      <c r="K1628" s="8" t="s">
        <v>198</v>
      </c>
      <c r="L1628" s="8" t="s">
        <v>124</v>
      </c>
      <c r="M1628" s="8" t="s">
        <v>725</v>
      </c>
      <c r="N1628" s="52" t="str">
        <f>IF(Follow[[#This Row],[DATAATUALIZAÇÃO]]&lt;=Follow[[#This Row],[Prev Entrega]],"Dentro do Prazo","Fora do Prazo")</f>
        <v>Dentro do Prazo</v>
      </c>
      <c r="O162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Hand Grip Fortalecedor foi entregue no dia 07/06/2025, referente ao pedido Nº Pedido 1719 Rastreio Pedido 1719, agradecemos a preferência e adoraríamos receber sua avaliação, tendo qualquer dúvida estamos à disposição.
Att
NTA Variedades</v>
      </c>
    </row>
    <row r="1629" spans="1:15">
      <c r="A1629" s="52" t="s">
        <v>15064</v>
      </c>
      <c r="B1629" s="2" t="s">
        <v>19448</v>
      </c>
      <c r="C1629" s="2" t="str">
        <f>Follow[[#This Row],[CODRASTREIO]]&amp;" B"</f>
        <v>CódRastreio1622 1 Envio B</v>
      </c>
      <c r="D1629" s="52" t="s">
        <v>113</v>
      </c>
      <c r="E1629" s="9">
        <v>45814</v>
      </c>
      <c r="F1629" s="9" t="s">
        <v>19436</v>
      </c>
      <c r="G1629" s="9" t="s">
        <v>37</v>
      </c>
      <c r="H1629" s="9" t="s">
        <v>178</v>
      </c>
      <c r="I1629" s="52" t="s">
        <v>178</v>
      </c>
      <c r="J1629" s="140">
        <v>45806</v>
      </c>
      <c r="K1629" s="124" t="s">
        <v>198</v>
      </c>
      <c r="L1629" s="8" t="s">
        <v>124</v>
      </c>
      <c r="M1629" s="8" t="s">
        <v>37</v>
      </c>
      <c r="N1629" s="52" t="str">
        <f>IF(Follow[[#This Row],[DATAATUALIZAÇÃO]]&lt;=Follow[[#This Row],[Prev Entrega]],"Dentro do Prazo","Fora do Prazo")</f>
        <v>Dentro do Prazo</v>
      </c>
      <c r="O162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29/05/2025, referente ao pedido Nº Pedido 1721 Rastreio Pedido 1721, agradecemos a preferência e adoraríamos receber sua avaliação, tendo qualquer dúvida estamos à disposição.
Att
NTA Variedades</v>
      </c>
    </row>
    <row r="1630" spans="1:15">
      <c r="A1630" s="52" t="str">
        <f>_xlfn.XLOOKUP(Follow[[#This Row],[CODRASTREIO]],Controle_Pedidos[Cód Rastreamento],Controle_Pedidos[Número Pedido Cliente])</f>
        <v>Pedido 1721</v>
      </c>
      <c r="B1630" s="2" t="s">
        <v>19064</v>
      </c>
      <c r="C1630" s="2" t="str">
        <f>Follow[[#This Row],[CODRASTREIO]]&amp;" B"</f>
        <v>CódRastreio1622 B</v>
      </c>
      <c r="D1630" s="52" t="str">
        <f>_xlfn.XLOOKUP(Follow[[#This Row],[Id Pedido]],Controle_Pedidos[Número Pedido Cliente],Controle_Pedidos[Loja])</f>
        <v>MEI</v>
      </c>
      <c r="E1630" s="9">
        <f>_xlfn.XLOOKUP(Follow[[#This Row],[Id Pedido]],Controle_Pedidos[Número Pedido Cliente],Controle_Pedidos[Prazo Entrega])</f>
        <v>45814</v>
      </c>
      <c r="F1630" s="9" t="s">
        <v>19436</v>
      </c>
      <c r="G1630" s="9" t="s">
        <v>37</v>
      </c>
      <c r="H1630" s="9" t="s">
        <v>178</v>
      </c>
      <c r="I1630" s="9" t="s">
        <v>178</v>
      </c>
      <c r="J1630" s="140">
        <v>45806</v>
      </c>
      <c r="K1630" s="124" t="s">
        <v>198</v>
      </c>
      <c r="L1630" s="8" t="s">
        <v>124</v>
      </c>
      <c r="M1630" s="8" t="s">
        <v>37</v>
      </c>
      <c r="N1630" s="52" t="str">
        <f>IF(Follow[[#This Row],[DATAATUALIZAÇÃO]]&lt;=Follow[[#This Row],[Prev Entrega]],"Dentro do Prazo","Fora do Prazo")</f>
        <v>Dentro do Prazo</v>
      </c>
      <c r="O163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29/05/2025, referente ao pedido Nº Pedido 1721 Rastreio Pedido 1721, agradecemos a preferência e adoraríamos receber sua avaliação, tendo qualquer dúvida estamos à disposição.
Att
NTA Variedades</v>
      </c>
    </row>
    <row r="1631" spans="1:15">
      <c r="A1631" s="52" t="str">
        <f>_xlfn.XLOOKUP(Follow[[#This Row],[CODRASTREIO]],Controle_Pedidos[Cód Rastreamento],Controle_Pedidos[Número Pedido Cliente])</f>
        <v>Pedido 1723</v>
      </c>
      <c r="B1631" s="2" t="s">
        <v>19065</v>
      </c>
      <c r="C1631" s="2" t="str">
        <f>Follow[[#This Row],[CODRASTREIO]]&amp;" B"</f>
        <v>CódRastreio1623 B</v>
      </c>
      <c r="D1631" s="52" t="str">
        <f>_xlfn.XLOOKUP(Follow[[#This Row],[Id Pedido]],Controle_Pedidos[Número Pedido Cliente],Controle_Pedidos[Loja])</f>
        <v>MEI</v>
      </c>
      <c r="E1631" s="9">
        <f>_xlfn.XLOOKUP(Follow[[#This Row],[Id Pedido]],Controle_Pedidos[Número Pedido Cliente],Controle_Pedidos[Prazo Entrega])</f>
        <v>45820</v>
      </c>
      <c r="F1631" s="9" t="s">
        <v>19436</v>
      </c>
      <c r="G1631" s="9" t="s">
        <v>37</v>
      </c>
      <c r="H1631" s="9" t="s">
        <v>179</v>
      </c>
      <c r="I1631" s="9" t="s">
        <v>178</v>
      </c>
      <c r="J1631" s="140">
        <v>45884</v>
      </c>
      <c r="K1631" s="8" t="s">
        <v>578</v>
      </c>
      <c r="L1631" s="8" t="s">
        <v>183</v>
      </c>
      <c r="M1631" s="8" t="s">
        <v>37</v>
      </c>
      <c r="N1631" s="52" t="str">
        <f>IF(Follow[[#This Row],[DATAATUALIZAÇÃO]]&lt;=Follow[[#This Row],[Prev Entrega]],"Dentro do Prazo","Fora do Prazo")</f>
        <v>Fora do Prazo</v>
      </c>
      <c r="O163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15/08/2025, referente ao pedido Nº Pedido 1723 Rastreio Pedido 1723, agradecemos a preferência e adoraríamos receber sua avaliação, tendo qualquer dúvida estamos à disposição.
Att
NTA Variedades</v>
      </c>
    </row>
    <row r="1632" spans="1:15">
      <c r="A1632" s="52" t="str">
        <f>_xlfn.XLOOKUP(Follow[[#This Row],[CODRASTREIO]],Controle_Pedidos[Cód Rastreamento],Controle_Pedidos[Número Pedido Cliente])</f>
        <v>Pedido 1724</v>
      </c>
      <c r="B1632" s="2" t="s">
        <v>19066</v>
      </c>
      <c r="C1632" s="2" t="str">
        <f>Follow[[#This Row],[CODRASTREIO]]&amp;" B"</f>
        <v>CódRastreio1624 B</v>
      </c>
      <c r="D1632" s="52" t="str">
        <f>_xlfn.XLOOKUP(Follow[[#This Row],[Id Pedido]],Controle_Pedidos[Número Pedido Cliente],Controle_Pedidos[Loja])</f>
        <v>MEI</v>
      </c>
      <c r="E1632" s="9">
        <f>_xlfn.XLOOKUP(Follow[[#This Row],[Id Pedido]],Controle_Pedidos[Número Pedido Cliente],Controle_Pedidos[Prazo Entrega])</f>
        <v>45814</v>
      </c>
      <c r="F1632" s="9" t="s">
        <v>19436</v>
      </c>
      <c r="G1632" s="9" t="s">
        <v>37</v>
      </c>
      <c r="H1632" s="9" t="s">
        <v>179</v>
      </c>
      <c r="I1632" s="9" t="s">
        <v>178</v>
      </c>
      <c r="J1632" s="140">
        <v>45814</v>
      </c>
      <c r="K1632" s="124" t="s">
        <v>198</v>
      </c>
      <c r="L1632" s="8" t="s">
        <v>124</v>
      </c>
      <c r="M1632" s="8" t="s">
        <v>37</v>
      </c>
      <c r="N1632" s="52" t="str">
        <f>IF(Follow[[#This Row],[DATAATUALIZAÇÃO]]&lt;=Follow[[#This Row],[Prev Entrega]],"Dentro do Prazo","Fora do Prazo")</f>
        <v>Dentro do Prazo</v>
      </c>
      <c r="O163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Preto foi entregue no dia 06/06/2025, referente ao pedido Nº Pedido 1724 Rastreio Pedido 1724, agradecemos a preferência e adoraríamos receber sua avaliação, tendo qualquer dúvida estamos à disposição.
Att
NTA Variedades</v>
      </c>
    </row>
    <row r="1633" spans="1:15">
      <c r="A1633" s="52" t="str">
        <f>_xlfn.XLOOKUP(Follow[[#This Row],[CODRASTREIO]],Controle_Pedidos[Cód Rastreamento],Controle_Pedidos[Número Pedido Cliente])</f>
        <v>Pedido 1725</v>
      </c>
      <c r="B1633" s="2" t="s">
        <v>19067</v>
      </c>
      <c r="C1633" s="2" t="str">
        <f>Follow[[#This Row],[CODRASTREIO]]&amp;" B"</f>
        <v>CódRastreio1625 B</v>
      </c>
      <c r="D1633" s="52" t="str">
        <f>_xlfn.XLOOKUP(Follow[[#This Row],[Id Pedido]],Controle_Pedidos[Número Pedido Cliente],Controle_Pedidos[Loja])</f>
        <v>MEI</v>
      </c>
      <c r="E1633" s="9">
        <f>_xlfn.XLOOKUP(Follow[[#This Row],[Id Pedido]],Controle_Pedidos[Número Pedido Cliente],Controle_Pedidos[Prazo Entrega])</f>
        <v>45820</v>
      </c>
      <c r="F1633" s="9" t="s">
        <v>19434</v>
      </c>
      <c r="G1633" s="9" t="s">
        <v>37</v>
      </c>
      <c r="H1633" s="9" t="s">
        <v>178</v>
      </c>
      <c r="I1633" s="9" t="s">
        <v>178</v>
      </c>
      <c r="J1633" s="140">
        <v>45810</v>
      </c>
      <c r="K1633" s="124" t="s">
        <v>198</v>
      </c>
      <c r="L1633" s="8" t="s">
        <v>124</v>
      </c>
      <c r="M1633" s="8" t="str">
        <f>_xlfn.XLOOKUP(Follow[[#This Row],[CODRASTREIO]],'Banco de Dados'!$G$2:$G$2123,'Banco de Dados'!$I$2:$I$2123)</f>
        <v>CPF 1683</v>
      </c>
      <c r="N1633" s="52" t="str">
        <f>IF(Follow[[#This Row],[DATAATUALIZAÇÃO]]&lt;=Follow[[#This Row],[Prev Entrega]],"Dentro do Prazo","Fora do Prazo")</f>
        <v>Dentro do Prazo</v>
      </c>
      <c r="O163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02/06/2025, referente ao pedido Nº Pedido 1725 Rastreio Pedido 1725, agradecemos a preferência e adoraríamos receber sua avaliação, tendo qualquer dúvida estamos à disposição.
Att
NTA Variedades</v>
      </c>
    </row>
    <row r="1634" spans="1:15">
      <c r="A1634" s="52" t="str">
        <f>_xlfn.XLOOKUP(Follow[[#This Row],[CODRASTREIO]],Controle_Pedidos[Cód Rastreamento],Controle_Pedidos[Número Pedido Cliente])</f>
        <v>Pedido 1726</v>
      </c>
      <c r="B1634" s="2" t="s">
        <v>19068</v>
      </c>
      <c r="C1634" s="2" t="str">
        <f>Follow[[#This Row],[CODRASTREIO]]&amp;" B"</f>
        <v>CódRastreio1626 B</v>
      </c>
      <c r="D1634" s="52" t="str">
        <f>_xlfn.XLOOKUP(Follow[[#This Row],[Id Pedido]],Controle_Pedidos[Número Pedido Cliente],Controle_Pedidos[Loja])</f>
        <v>MEI</v>
      </c>
      <c r="E1634" s="9">
        <f>_xlfn.XLOOKUP(Follow[[#This Row],[Id Pedido]],Controle_Pedidos[Número Pedido Cliente],Controle_Pedidos[Prazo Entrega])</f>
        <v>45820</v>
      </c>
      <c r="F1634" s="9" t="s">
        <v>19434</v>
      </c>
      <c r="G1634" s="9" t="s">
        <v>37</v>
      </c>
      <c r="H1634" s="9" t="s">
        <v>178</v>
      </c>
      <c r="I1634" s="9" t="s">
        <v>178</v>
      </c>
      <c r="J1634" s="140">
        <v>45845</v>
      </c>
      <c r="K1634" s="124" t="s">
        <v>198</v>
      </c>
      <c r="L1634" s="8" t="s">
        <v>124</v>
      </c>
      <c r="M1634" s="8" t="s">
        <v>37</v>
      </c>
      <c r="N1634" s="52" t="str">
        <f>IF(Follow[[#This Row],[DATAATUALIZAÇÃO]]&lt;=Follow[[#This Row],[Prev Entrega]],"Dentro do Prazo","Fora do Prazo")</f>
        <v>Fora do Prazo</v>
      </c>
      <c r="O163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07/07/2025, referente ao pedido Nº Pedido 1726 Rastreio Pedido 1726, agradecemos a preferência e adoraríamos receber sua avaliação, tendo qualquer dúvida estamos à disposição.
Att
NTA Variedades</v>
      </c>
    </row>
    <row r="1635" spans="1:15">
      <c r="A1635" s="52" t="str">
        <f>_xlfn.XLOOKUP(Follow[[#This Row],[CODRASTREIO]],Controle_Pedidos[Cód Rastreamento],Controle_Pedidos[Número Pedido Cliente])</f>
        <v>Pedido 1730</v>
      </c>
      <c r="B1635" s="2" t="s">
        <v>19071</v>
      </c>
      <c r="C1635" s="2" t="str">
        <f>Follow[[#This Row],[CODRASTREIO]]&amp;" B"</f>
        <v>CódRastreio1629 B</v>
      </c>
      <c r="D1635" s="52" t="str">
        <f>_xlfn.XLOOKUP(Follow[[#This Row],[Id Pedido]],Controle_Pedidos[Número Pedido Cliente],Controle_Pedidos[Loja])</f>
        <v>MEI</v>
      </c>
      <c r="E1635" s="9">
        <f>_xlfn.XLOOKUP(Follow[[#This Row],[Id Pedido]],Controle_Pedidos[Número Pedido Cliente],Controle_Pedidos[Prazo Entrega])</f>
        <v>45821</v>
      </c>
      <c r="F1635" s="9" t="s">
        <v>19434</v>
      </c>
      <c r="G1635" s="9" t="s">
        <v>37</v>
      </c>
      <c r="H1635" s="9" t="s">
        <v>178</v>
      </c>
      <c r="I1635" s="9" t="s">
        <v>178</v>
      </c>
      <c r="J1635" s="140">
        <v>45810</v>
      </c>
      <c r="K1635" s="124" t="s">
        <v>198</v>
      </c>
      <c r="L1635" s="8" t="s">
        <v>124</v>
      </c>
      <c r="M1635" s="8" t="str">
        <f>_xlfn.XLOOKUP(Follow[[#This Row],[CODRASTREIO]],'Banco de Dados'!$G$2:$G$2123,'Banco de Dados'!$I$2:$I$2123)</f>
        <v>CPF 1688</v>
      </c>
      <c r="N1635" s="52" t="str">
        <f>IF(Follow[[#This Row],[DATAATUALIZAÇÃO]]&lt;=Follow[[#This Row],[Prev Entrega]],"Dentro do Prazo","Fora do Prazo")</f>
        <v>Dentro do Prazo</v>
      </c>
      <c r="O163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02/06/2025, referente ao pedido Nº Pedido 1730 Rastreio Pedido 1730, agradecemos a preferência e adoraríamos receber sua avaliação, tendo qualquer dúvida estamos à disposição.
Att
NTA Variedades</v>
      </c>
    </row>
    <row r="1636" spans="1:15">
      <c r="A1636" s="52" t="str">
        <f>_xlfn.XLOOKUP(Follow[[#This Row],[CODRASTREIO]],Controle_Pedidos[Cód Rastreamento],Controle_Pedidos[Número Pedido Cliente])</f>
        <v>Pedido 1715</v>
      </c>
      <c r="B1636" s="2" t="s">
        <v>19060</v>
      </c>
      <c r="C1636" s="2" t="str">
        <f>Follow[[#This Row],[CODRASTREIO]]&amp;" B"</f>
        <v>CódRastreio1618 B</v>
      </c>
      <c r="D1636" s="52" t="str">
        <f>_xlfn.XLOOKUP(Follow[[#This Row],[Id Pedido]],Controle_Pedidos[Número Pedido Cliente],Controle_Pedidos[Loja])</f>
        <v>MEI</v>
      </c>
      <c r="E1636" s="9">
        <f>_xlfn.XLOOKUP(Follow[[#This Row],[Id Pedido]],Controle_Pedidos[Número Pedido Cliente],Controle_Pedidos[Prazo Entrega])</f>
        <v>45813</v>
      </c>
      <c r="F1636" s="9" t="s">
        <v>19434</v>
      </c>
      <c r="G1636" s="9" t="s">
        <v>37</v>
      </c>
      <c r="H1636" s="9" t="s">
        <v>178</v>
      </c>
      <c r="I1636" s="9" t="s">
        <v>178</v>
      </c>
      <c r="J1636" s="144">
        <v>45819</v>
      </c>
      <c r="K1636" s="124" t="s">
        <v>198</v>
      </c>
      <c r="L1636" s="8" t="s">
        <v>124</v>
      </c>
      <c r="M1636" s="8" t="s">
        <v>37</v>
      </c>
      <c r="N1636" s="52" t="str">
        <f>IF(Follow[[#This Row],[DATAATUALIZAÇÃO]]&lt;=Follow[[#This Row],[Prev Entrega]],"Dentro do Prazo","Fora do Prazo")</f>
        <v>Fora do Prazo</v>
      </c>
      <c r="O163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11/06/2025, referente ao pedido Nº Pedido 1715 Rastreio Pedido 1715, agradecemos a preferência e adoraríamos receber sua avaliação, tendo qualquer dúvida estamos à disposição.
Att
NTA Variedades</v>
      </c>
    </row>
    <row r="1637" spans="1:15">
      <c r="A1637" s="52" t="str">
        <f>_xlfn.XLOOKUP(Follow[[#This Row],[CODRASTREIO]],Controle_Pedidos[Cód Rastreamento],Controle_Pedidos[Número Pedido Cliente])</f>
        <v>Pedido 1734</v>
      </c>
      <c r="B1637" s="2" t="s">
        <v>19072</v>
      </c>
      <c r="C1637" s="2" t="str">
        <f>Follow[[#This Row],[CODRASTREIO]]&amp;" B"</f>
        <v>CódRastreio1630 B</v>
      </c>
      <c r="D1637" s="52" t="str">
        <f>_xlfn.XLOOKUP(Follow[[#This Row],[Id Pedido]],Controle_Pedidos[Número Pedido Cliente],Controle_Pedidos[Loja])</f>
        <v>MEI</v>
      </c>
      <c r="E1637" s="9">
        <f>_xlfn.XLOOKUP(Follow[[#This Row],[Id Pedido]],Controle_Pedidos[Número Pedido Cliente],Controle_Pedidos[Prazo Entrega])</f>
        <v>45832</v>
      </c>
      <c r="F1637" s="9" t="s">
        <v>19436</v>
      </c>
      <c r="G1637" s="9" t="s">
        <v>37</v>
      </c>
      <c r="H1637" s="52" t="s">
        <v>178</v>
      </c>
      <c r="I1637" s="54" t="s">
        <v>178</v>
      </c>
      <c r="J1637" s="144">
        <v>45819</v>
      </c>
      <c r="K1637" s="54" t="s">
        <v>198</v>
      </c>
      <c r="L1637" s="8" t="s">
        <v>124</v>
      </c>
      <c r="M1637" s="8" t="s">
        <v>37</v>
      </c>
      <c r="N1637" s="52" t="str">
        <f>IF(Follow[[#This Row],[DATAATUALIZAÇÃO]]&lt;=Follow[[#This Row],[Prev Entrega]],"Dentro do Prazo","Fora do Prazo")</f>
        <v>Dentro do Prazo</v>
      </c>
      <c r="O163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11/06/2025, referente ao pedido Nº Pedido 1734 Rastreio Pedido 1734, agradecemos a preferência e adoraríamos receber sua avaliação, tendo qualquer dúvida estamos à disposição.
Att
NTA Variedades</v>
      </c>
    </row>
    <row r="1638" spans="1:15">
      <c r="A1638" s="52" t="str">
        <f>_xlfn.XLOOKUP(Follow[[#This Row],[CODRASTREIO]],Controle_Pedidos[Cód Rastreamento],Controle_Pedidos[Número Pedido Cliente])</f>
        <v>Pedido 1735</v>
      </c>
      <c r="B1638" s="2" t="s">
        <v>19073</v>
      </c>
      <c r="C1638" s="2" t="str">
        <f>Follow[[#This Row],[CODRASTREIO]]&amp;" B"</f>
        <v>CódRastreio1631 B</v>
      </c>
      <c r="D1638" s="52" t="str">
        <f>_xlfn.XLOOKUP(Follow[[#This Row],[Id Pedido]],Controle_Pedidos[Número Pedido Cliente],Controle_Pedidos[Loja])</f>
        <v>MEI</v>
      </c>
      <c r="E1638" s="9">
        <f>_xlfn.XLOOKUP(Follow[[#This Row],[Id Pedido]],Controle_Pedidos[Número Pedido Cliente],Controle_Pedidos[Prazo Entrega])</f>
        <v>45825</v>
      </c>
      <c r="F1638" s="9" t="s">
        <v>19436</v>
      </c>
      <c r="G1638" s="9" t="s">
        <v>37</v>
      </c>
      <c r="H1638" s="52" t="s">
        <v>178</v>
      </c>
      <c r="I1638" s="54" t="s">
        <v>178</v>
      </c>
      <c r="J1638" s="144">
        <v>45819</v>
      </c>
      <c r="K1638" s="54" t="s">
        <v>198</v>
      </c>
      <c r="L1638" s="8" t="s">
        <v>124</v>
      </c>
      <c r="M1638" s="8" t="s">
        <v>37</v>
      </c>
      <c r="N1638" s="52" t="str">
        <f>IF(Follow[[#This Row],[DATAATUALIZAÇÃO]]&lt;=Follow[[#This Row],[Prev Entrega]],"Dentro do Prazo","Fora do Prazo")</f>
        <v>Dentro do Prazo</v>
      </c>
      <c r="O163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11/06/2025, referente ao pedido Nº Pedido 1735 Rastreio Pedido 1735, agradecemos a preferência e adoraríamos receber sua avaliação, tendo qualquer dúvida estamos à disposição.
Att
NTA Variedades</v>
      </c>
    </row>
    <row r="1639" spans="1:15">
      <c r="A1639" s="52" t="s">
        <v>15079</v>
      </c>
      <c r="B1639" s="2" t="s">
        <v>19449</v>
      </c>
      <c r="C1639" s="2" t="str">
        <f>Follow[[#This Row],[CODRASTREIO]]&amp;" B"</f>
        <v>CódRastreio1632 1 Envio B</v>
      </c>
      <c r="D1639" s="52" t="s">
        <v>113</v>
      </c>
      <c r="E1639" s="9">
        <v>45834</v>
      </c>
      <c r="F1639" s="9" t="s">
        <v>19434</v>
      </c>
      <c r="G1639" s="9" t="s">
        <v>37</v>
      </c>
      <c r="H1639" s="9" t="s">
        <v>178</v>
      </c>
      <c r="I1639" s="9" t="s">
        <v>178</v>
      </c>
      <c r="J1639" s="144">
        <v>45817</v>
      </c>
      <c r="K1639" s="54" t="s">
        <v>198</v>
      </c>
      <c r="L1639" s="8" t="s">
        <v>124</v>
      </c>
      <c r="M1639" s="8" t="s">
        <v>37</v>
      </c>
      <c r="N1639" s="52" t="str">
        <f>IF(Follow[[#This Row],[DATAATUALIZAÇÃO]]&lt;=Follow[[#This Row],[Prev Entrega]],"Dentro do Prazo","Fora do Prazo")</f>
        <v>Dentro do Prazo</v>
      </c>
      <c r="O163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09/06/2025, referente ao pedido Nº Pedido 1736 Rastreio Pedido 1736, agradecemos a preferência e adoraríamos receber sua avaliação, tendo qualquer dúvida estamos à disposição.
Att
NTA Variedades</v>
      </c>
    </row>
    <row r="1640" spans="1:15">
      <c r="A1640" s="52" t="str">
        <f>_xlfn.XLOOKUP(Follow[[#This Row],[CODRASTREIO]],Controle_Pedidos[Cód Rastreamento],Controle_Pedidos[Número Pedido Cliente])</f>
        <v>Pedido 1737</v>
      </c>
      <c r="B1640" s="2" t="s">
        <v>19076</v>
      </c>
      <c r="C1640" s="2" t="str">
        <f>Follow[[#This Row],[CODRASTREIO]]&amp;" B"</f>
        <v>CódRastreio1634 B</v>
      </c>
      <c r="D1640" s="52" t="str">
        <f>_xlfn.XLOOKUP(Follow[[#This Row],[Id Pedido]],Controle_Pedidos[Número Pedido Cliente],Controle_Pedidos[Loja])</f>
        <v>MEI</v>
      </c>
      <c r="E1640" s="9">
        <f>_xlfn.XLOOKUP(Follow[[#This Row],[Id Pedido]],Controle_Pedidos[Número Pedido Cliente],Controle_Pedidos[Prazo Entrega])</f>
        <v>45827</v>
      </c>
      <c r="F1640" s="9" t="s">
        <v>19436</v>
      </c>
      <c r="G1640" s="9" t="s">
        <v>37</v>
      </c>
      <c r="H1640" s="52" t="s">
        <v>178</v>
      </c>
      <c r="I1640" s="54" t="s">
        <v>178</v>
      </c>
      <c r="J1640" s="144">
        <v>45818</v>
      </c>
      <c r="K1640" s="54" t="s">
        <v>198</v>
      </c>
      <c r="L1640" s="8" t="s">
        <v>124</v>
      </c>
      <c r="M1640" s="8" t="s">
        <v>37</v>
      </c>
      <c r="N1640" s="52" t="str">
        <f>IF(Follow[[#This Row],[DATAATUALIZAÇÃO]]&lt;=Follow[[#This Row],[Prev Entrega]],"Dentro do Prazo","Fora do Prazo")</f>
        <v>Dentro do Prazo</v>
      </c>
      <c r="O164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10/06/2025, referente ao pedido Nº Pedido 1737 Rastreio Pedido 1737, agradecemos a preferência e adoraríamos receber sua avaliação, tendo qualquer dúvida estamos à disposição.
Att
NTA Variedades</v>
      </c>
    </row>
    <row r="1641" spans="1:15">
      <c r="A1641" s="52" t="str">
        <f>_xlfn.XLOOKUP(Follow[[#This Row],[CODRASTREIO]],Controle_Pedidos[Cód Rastreamento],Controle_Pedidos[Número Pedido Cliente])</f>
        <v>Pedido 1738</v>
      </c>
      <c r="B1641" s="2" t="s">
        <v>19077</v>
      </c>
      <c r="C1641" s="2" t="str">
        <f>Follow[[#This Row],[CODRASTREIO]]&amp;" B"</f>
        <v>CódRastreio1635 B</v>
      </c>
      <c r="D1641" s="52" t="str">
        <f>_xlfn.XLOOKUP(Follow[[#This Row],[Id Pedido]],Controle_Pedidos[Número Pedido Cliente],Controle_Pedidos[Loja])</f>
        <v>GO</v>
      </c>
      <c r="E1641" s="9">
        <f>_xlfn.XLOOKUP(Follow[[#This Row],[Id Pedido]],Controle_Pedidos[Número Pedido Cliente],Controle_Pedidos[Prazo Entrega])</f>
        <v>45827</v>
      </c>
      <c r="F1641" s="9" t="s">
        <v>19433</v>
      </c>
      <c r="G1641" s="9" t="s">
        <v>37</v>
      </c>
      <c r="H1641" s="52" t="s">
        <v>178</v>
      </c>
      <c r="I1641" s="54" t="s">
        <v>178</v>
      </c>
      <c r="J1641" s="144">
        <v>45818</v>
      </c>
      <c r="K1641" s="54" t="s">
        <v>198</v>
      </c>
      <c r="L1641" s="8" t="s">
        <v>124</v>
      </c>
      <c r="M1641" s="8" t="s">
        <v>37</v>
      </c>
      <c r="N1641" s="52" t="str">
        <f>IF(Follow[[#This Row],[DATAATUALIZAÇÃO]]&lt;=Follow[[#This Row],[Prev Entrega]],"Dentro do Prazo","Fora do Prazo")</f>
        <v>Dentro do Prazo</v>
      </c>
      <c r="O164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10/06/2025, referente ao pedido Nº Pedido 1738 Rastreio Pedido 1738, agradecemos a preferência e adoraríamos receber sua avaliação, tendo qualquer dúvida estamos à disposição.
Att
Sec Variedades</v>
      </c>
    </row>
    <row r="1642" spans="1:15">
      <c r="A1642" s="52" t="str">
        <f>_xlfn.XLOOKUP(Follow[[#This Row],[CODRASTREIO]],Controle_Pedidos[Cód Rastreamento],Controle_Pedidos[Número Pedido Cliente])</f>
        <v>Pedido 1739</v>
      </c>
      <c r="B1642" s="2" t="s">
        <v>19078</v>
      </c>
      <c r="C1642" s="2" t="str">
        <f>Follow[[#This Row],[CODRASTREIO]]&amp;" B"</f>
        <v>CódRastreio1636 B</v>
      </c>
      <c r="D1642" s="52" t="str">
        <f>_xlfn.XLOOKUP(Follow[[#This Row],[Id Pedido]],Controle_Pedidos[Número Pedido Cliente],Controle_Pedidos[Loja])</f>
        <v>GO</v>
      </c>
      <c r="E1642" s="9">
        <f>_xlfn.XLOOKUP(Follow[[#This Row],[Id Pedido]],Controle_Pedidos[Número Pedido Cliente],Controle_Pedidos[Prazo Entrega])</f>
        <v>45835</v>
      </c>
      <c r="F1642" s="9" t="s">
        <v>19434</v>
      </c>
      <c r="G1642" s="9" t="s">
        <v>37</v>
      </c>
      <c r="H1642" s="9" t="s">
        <v>178</v>
      </c>
      <c r="I1642" s="9" t="s">
        <v>178</v>
      </c>
      <c r="J1642" s="144">
        <v>45817</v>
      </c>
      <c r="K1642" s="54" t="s">
        <v>198</v>
      </c>
      <c r="L1642" s="8" t="s">
        <v>124</v>
      </c>
      <c r="M1642" s="8" t="s">
        <v>37</v>
      </c>
      <c r="N1642" s="52" t="str">
        <f>IF(Follow[[#This Row],[DATAATUALIZAÇÃO]]&lt;=Follow[[#This Row],[Prev Entrega]],"Dentro do Prazo","Fora do Prazo")</f>
        <v>Dentro do Prazo</v>
      </c>
      <c r="O164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09/06/2025, referente ao pedido Nº Pedido 1739 Rastreio Pedido 1739, agradecemos a preferência e adoraríamos receber sua avaliação, tendo qualquer dúvida estamos à disposição.
Att
Sec Variedades</v>
      </c>
    </row>
    <row r="1643" spans="1:15">
      <c r="A1643" s="52" t="str">
        <f>_xlfn.XLOOKUP(Follow[[#This Row],[CODRASTREIO]],Controle_Pedidos[Cód Rastreamento],Controle_Pedidos[Número Pedido Cliente])</f>
        <v>Pedido 1741</v>
      </c>
      <c r="B1643" s="2" t="s">
        <v>19080</v>
      </c>
      <c r="C1643" s="2" t="str">
        <f>Follow[[#This Row],[CODRASTREIO]]&amp;" B"</f>
        <v>CódRastreio1638 B</v>
      </c>
      <c r="D1643" s="52" t="str">
        <f>_xlfn.XLOOKUP(Follow[[#This Row],[Id Pedido]],Controle_Pedidos[Número Pedido Cliente],Controle_Pedidos[Loja])</f>
        <v>GO</v>
      </c>
      <c r="E1643" s="9">
        <f>_xlfn.XLOOKUP(Follow[[#This Row],[Id Pedido]],Controle_Pedidos[Número Pedido Cliente],Controle_Pedidos[Prazo Entrega])</f>
        <v>45841</v>
      </c>
      <c r="F1643" s="9" t="s">
        <v>19434</v>
      </c>
      <c r="G1643" s="9" t="s">
        <v>37</v>
      </c>
      <c r="H1643" s="9" t="s">
        <v>178</v>
      </c>
      <c r="I1643" s="9" t="s">
        <v>178</v>
      </c>
      <c r="J1643" s="144">
        <v>45823</v>
      </c>
      <c r="K1643" s="54" t="s">
        <v>198</v>
      </c>
      <c r="L1643" s="8" t="s">
        <v>124</v>
      </c>
      <c r="M1643" s="8" t="s">
        <v>37</v>
      </c>
      <c r="N1643" s="52" t="str">
        <f>IF(Follow[[#This Row],[DATAATUALIZAÇÃO]]&lt;=Follow[[#This Row],[Prev Entrega]],"Dentro do Prazo","Fora do Prazo")</f>
        <v>Dentro do Prazo</v>
      </c>
      <c r="O164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15/06/2025, referente ao pedido Nº Pedido 1741 Rastreio Pedido 1741, agradecemos a preferência e adoraríamos receber sua avaliação, tendo qualquer dúvida estamos à disposição.
Att
Sec Variedades</v>
      </c>
    </row>
    <row r="1644" spans="1:15">
      <c r="A1644" s="52" t="str">
        <f>_xlfn.XLOOKUP(Follow[[#This Row],[CODRASTREIO]],Controle_Pedidos[Cód Rastreamento],Controle_Pedidos[Número Pedido Cliente])</f>
        <v>Pedido 1740</v>
      </c>
      <c r="B1644" s="2" t="s">
        <v>19079</v>
      </c>
      <c r="C1644" s="2" t="str">
        <f>Follow[[#This Row],[CODRASTREIO]]&amp;" B"</f>
        <v>CódRastreio1637 B</v>
      </c>
      <c r="D1644" s="52" t="str">
        <f>_xlfn.XLOOKUP(Follow[[#This Row],[Id Pedido]],Controle_Pedidos[Número Pedido Cliente],Controle_Pedidos[Loja])</f>
        <v>MEI</v>
      </c>
      <c r="E1644" s="9">
        <f>_xlfn.XLOOKUP(Follow[[#This Row],[Id Pedido]],Controle_Pedidos[Número Pedido Cliente],Controle_Pedidos[Prazo Entrega])</f>
        <v>45840</v>
      </c>
      <c r="F1644" s="9" t="s">
        <v>19433</v>
      </c>
      <c r="G1644" s="9" t="s">
        <v>726</v>
      </c>
      <c r="H1644" s="9" t="s">
        <v>179</v>
      </c>
      <c r="I1644" s="9" t="s">
        <v>178</v>
      </c>
      <c r="J1644" s="147">
        <v>45859</v>
      </c>
      <c r="K1644" s="8" t="s">
        <v>198</v>
      </c>
      <c r="L1644" s="8" t="s">
        <v>124</v>
      </c>
      <c r="M1644" s="8" t="s">
        <v>37</v>
      </c>
      <c r="N1644" s="52" t="str">
        <f>IF(Follow[[#This Row],[DATAATUALIZAÇÃO]]&lt;=Follow[[#This Row],[Prev Entrega]],"Dentro do Prazo","Fora do Prazo")</f>
        <v>Fora do Prazo</v>
      </c>
      <c r="O164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21/07/2025, referente ao pedido Nº Pedido 1740 Rastreio NM830357654BR, agradecemos a preferência e adoraríamos receber sua avaliação, tendo qualquer dúvida estamos à disposição.
Att
NTA Variedades</v>
      </c>
    </row>
    <row r="1645" spans="1:15">
      <c r="A1645" s="52" t="str">
        <f>_xlfn.XLOOKUP(Follow[[#This Row],[CODRASTREIO]],Controle_Pedidos[Cód Rastreamento],Controle_Pedidos[Número Pedido Cliente])</f>
        <v>Pedido 1711</v>
      </c>
      <c r="B1645" s="2" t="s">
        <v>19056</v>
      </c>
      <c r="C1645" s="2" t="str">
        <f>Follow[[#This Row],[CODRASTREIO]]&amp;" B"</f>
        <v>CódRastreio1614 B</v>
      </c>
      <c r="D1645" s="52" t="str">
        <f>_xlfn.XLOOKUP(Follow[[#This Row],[Id Pedido]],Controle_Pedidos[Número Pedido Cliente],Controle_Pedidos[Loja])</f>
        <v>MEI</v>
      </c>
      <c r="E1645" s="9">
        <f>_xlfn.XLOOKUP(Follow[[#This Row],[Id Pedido]],Controle_Pedidos[Número Pedido Cliente],Controle_Pedidos[Prazo Entrega])</f>
        <v>45818</v>
      </c>
      <c r="F1645" s="9" t="s">
        <v>19436</v>
      </c>
      <c r="G1645" s="9" t="s">
        <v>37</v>
      </c>
      <c r="H1645" s="52" t="s">
        <v>178</v>
      </c>
      <c r="I1645" s="54" t="s">
        <v>178</v>
      </c>
      <c r="J1645" s="144">
        <v>45816</v>
      </c>
      <c r="K1645" s="54" t="s">
        <v>198</v>
      </c>
      <c r="L1645" s="8" t="s">
        <v>124</v>
      </c>
      <c r="M1645" s="8" t="s">
        <v>37</v>
      </c>
      <c r="N1645" s="52" t="str">
        <f>IF(Follow[[#This Row],[DATAATUALIZAÇÃO]]&lt;=Follow[[#This Row],[Prev Entrega]],"Dentro do Prazo","Fora do Prazo")</f>
        <v>Dentro do Prazo</v>
      </c>
      <c r="O164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08/06/2025, referente ao pedido Nº Pedido 1711 Rastreio Pedido 1711, agradecemos a preferência e adoraríamos receber sua avaliação, tendo qualquer dúvida estamos à disposição.
Att
NTA Variedades</v>
      </c>
    </row>
    <row r="1646" spans="1:15">
      <c r="A1646" s="52" t="str">
        <f>_xlfn.XLOOKUP(Follow[[#This Row],[CODRASTREIO]],Controle_Pedidos[Cód Rastreamento],Controle_Pedidos[Número Pedido Cliente])</f>
        <v>Pedido 1717</v>
      </c>
      <c r="B1646" s="2" t="s">
        <v>19061</v>
      </c>
      <c r="C1646" s="2" t="str">
        <f>Follow[[#This Row],[CODRASTREIO]]&amp;" B"</f>
        <v>CódRastreio1619 B</v>
      </c>
      <c r="D1646" s="52" t="str">
        <f>_xlfn.XLOOKUP(Follow[[#This Row],[Id Pedido]],Controle_Pedidos[Número Pedido Cliente],Controle_Pedidos[Loja])</f>
        <v>MEI</v>
      </c>
      <c r="E1646" s="9">
        <f>_xlfn.XLOOKUP(Follow[[#This Row],[Id Pedido]],Controle_Pedidos[Número Pedido Cliente],Controle_Pedidos[Prazo Entrega])</f>
        <v>45826</v>
      </c>
      <c r="F1646" s="9" t="s">
        <v>19434</v>
      </c>
      <c r="G1646" s="9" t="s">
        <v>37</v>
      </c>
      <c r="H1646" s="9" t="s">
        <v>178</v>
      </c>
      <c r="I1646" s="9" t="s">
        <v>178</v>
      </c>
      <c r="J1646" s="144">
        <v>45817</v>
      </c>
      <c r="K1646" s="54" t="s">
        <v>198</v>
      </c>
      <c r="L1646" s="8" t="s">
        <v>124</v>
      </c>
      <c r="M1646" s="8" t="s">
        <v>37</v>
      </c>
      <c r="N1646" s="52" t="str">
        <f>IF(Follow[[#This Row],[DATAATUALIZAÇÃO]]&lt;=Follow[[#This Row],[Prev Entrega]],"Dentro do Prazo","Fora do Prazo")</f>
        <v>Dentro do Prazo</v>
      </c>
      <c r="O164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09/06/2025, referente ao pedido Nº Pedido 1717 Rastreio Pedido 1717, agradecemos a preferência e adoraríamos receber sua avaliação, tendo qualquer dúvida estamos à disposição.
Att
NTA Variedades</v>
      </c>
    </row>
    <row r="1647" spans="1:15">
      <c r="A1647" s="52" t="str">
        <f>_xlfn.XLOOKUP(Follow[[#This Row],[CODRASTREIO]],Controle_Pedidos[Cód Rastreamento],Controle_Pedidos[Número Pedido Cliente])</f>
        <v>Pedido 1728</v>
      </c>
      <c r="B1647" s="2" t="s">
        <v>19069</v>
      </c>
      <c r="C1647" s="2" t="str">
        <f>Follow[[#This Row],[CODRASTREIO]]&amp;" B"</f>
        <v>CódRastreio1627 B</v>
      </c>
      <c r="D1647" s="52" t="str">
        <f>_xlfn.XLOOKUP(Follow[[#This Row],[Id Pedido]],Controle_Pedidos[Número Pedido Cliente],Controle_Pedidos[Loja])</f>
        <v>MEI</v>
      </c>
      <c r="E1647" s="9">
        <f>_xlfn.XLOOKUP(Follow[[#This Row],[Id Pedido]],Controle_Pedidos[Número Pedido Cliente],Controle_Pedidos[Prazo Entrega])</f>
        <v>45814</v>
      </c>
      <c r="F1647" s="9" t="s">
        <v>19436</v>
      </c>
      <c r="G1647" s="9" t="s">
        <v>37</v>
      </c>
      <c r="H1647" s="52" t="s">
        <v>178</v>
      </c>
      <c r="I1647" s="54" t="s">
        <v>178</v>
      </c>
      <c r="J1647" s="144">
        <v>45812</v>
      </c>
      <c r="K1647" s="54" t="s">
        <v>198</v>
      </c>
      <c r="L1647" s="8" t="s">
        <v>124</v>
      </c>
      <c r="M1647" s="8" t="s">
        <v>37</v>
      </c>
      <c r="N1647" s="52" t="str">
        <f>IF(Follow[[#This Row],[DATAATUALIZAÇÃO]]&lt;=Follow[[#This Row],[Prev Entrega]],"Dentro do Prazo","Fora do Prazo")</f>
        <v>Dentro do Prazo</v>
      </c>
      <c r="O164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Karaoke portátil foi entregue no dia 04/06/2025, referente ao pedido Nº Pedido 1728 Rastreio Pedido 1728, agradecemos a preferência e adoraríamos receber sua avaliação, tendo qualquer dúvida estamos à disposição.
Att
NTA Variedades</v>
      </c>
    </row>
    <row r="1648" spans="1:15">
      <c r="A1648" s="52" t="str">
        <f>_xlfn.XLOOKUP(Follow[[#This Row],[CODRASTREIO]],Controle_Pedidos[Cód Rastreamento],Controle_Pedidos[Número Pedido Cliente])</f>
        <v>Pedido 1729</v>
      </c>
      <c r="B1648" s="2" t="s">
        <v>19070</v>
      </c>
      <c r="C1648" s="2" t="str">
        <f>Follow[[#This Row],[CODRASTREIO]]&amp;" B"</f>
        <v>CódRastreio1628 B</v>
      </c>
      <c r="D1648" s="52" t="str">
        <f>_xlfn.XLOOKUP(Follow[[#This Row],[Id Pedido]],Controle_Pedidos[Número Pedido Cliente],Controle_Pedidos[Loja])</f>
        <v>MEI</v>
      </c>
      <c r="E1648" s="9">
        <f>_xlfn.XLOOKUP(Follow[[#This Row],[Id Pedido]],Controle_Pedidos[Número Pedido Cliente],Controle_Pedidos[Prazo Entrega])</f>
        <v>45815</v>
      </c>
      <c r="F1648" s="9" t="s">
        <v>19434</v>
      </c>
      <c r="G1648" s="9" t="s">
        <v>37</v>
      </c>
      <c r="H1648" s="9" t="s">
        <v>178</v>
      </c>
      <c r="I1648" s="9" t="s">
        <v>178</v>
      </c>
      <c r="J1648" s="144">
        <v>45814</v>
      </c>
      <c r="K1648" s="54" t="s">
        <v>198</v>
      </c>
      <c r="L1648" s="8" t="s">
        <v>124</v>
      </c>
      <c r="M1648" s="8" t="s">
        <v>37</v>
      </c>
      <c r="N1648" s="52" t="str">
        <f>IF(Follow[[#This Row],[DATAATUALIZAÇÃO]]&lt;=Follow[[#This Row],[Prev Entrega]],"Dentro do Prazo","Fora do Prazo")</f>
        <v>Dentro do Prazo</v>
      </c>
      <c r="O164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Maçarico Culinário Portátil foi entregue no dia 06/06/2025, referente ao pedido Nº Pedido 1729 Rastreio Pedido 1729, agradecemos a preferência e adoraríamos receber sua avaliação, tendo qualquer dúvida estamos à disposição.
Att
NTA Variedades</v>
      </c>
    </row>
    <row r="1649" spans="1:15">
      <c r="A1649" s="52" t="str">
        <f>_xlfn.XLOOKUP(Follow[[#This Row],[CODRASTREIO]],Controle_Pedidos[Cód Rastreamento],Controle_Pedidos[Número Pedido Cliente])</f>
        <v>Pedido 1736</v>
      </c>
      <c r="B1649" s="2" t="s">
        <v>19074</v>
      </c>
      <c r="C1649" s="2" t="str">
        <f>Follow[[#This Row],[CODRASTREIO]]&amp;" B"</f>
        <v>CódRastreio1632 B</v>
      </c>
      <c r="D1649" s="52" t="str">
        <f>_xlfn.XLOOKUP(Follow[[#This Row],[Id Pedido]],Controle_Pedidos[Número Pedido Cliente],Controle_Pedidos[Loja])</f>
        <v>MEI</v>
      </c>
      <c r="E1649" s="9">
        <f>_xlfn.XLOOKUP(Follow[[#This Row],[Id Pedido]],Controle_Pedidos[Número Pedido Cliente],Controle_Pedidos[Prazo Entrega])</f>
        <v>45834</v>
      </c>
      <c r="F1649" s="9" t="s">
        <v>19434</v>
      </c>
      <c r="G1649" s="9" t="s">
        <v>37</v>
      </c>
      <c r="H1649" s="9" t="s">
        <v>178</v>
      </c>
      <c r="I1649" s="9" t="s">
        <v>178</v>
      </c>
      <c r="J1649" s="144">
        <v>45819</v>
      </c>
      <c r="K1649" s="54" t="s">
        <v>198</v>
      </c>
      <c r="L1649" s="8" t="s">
        <v>124</v>
      </c>
      <c r="M1649" s="8" t="s">
        <v>37</v>
      </c>
      <c r="N1649" s="52" t="str">
        <f>IF(Follow[[#This Row],[DATAATUALIZAÇÃO]]&lt;=Follow[[#This Row],[Prev Entrega]],"Dentro do Prazo","Fora do Prazo")</f>
        <v>Dentro do Prazo</v>
      </c>
      <c r="O164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11/06/2025, referente ao pedido Nº Pedido 1736 Rastreio Pedido 1736, agradecemos a preferência e adoraríamos receber sua avaliação, tendo qualquer dúvida estamos à disposição.
Att
NTA Variedades</v>
      </c>
    </row>
    <row r="1650" spans="1:15">
      <c r="A1650" s="52" t="str">
        <f>_xlfn.XLOOKUP(Follow[[#This Row],[CODRASTREIO]],Controle_Pedidos[Cód Rastreamento],Controle_Pedidos[Número Pedido Cliente])</f>
        <v>Pedido 1742</v>
      </c>
      <c r="B1650" s="2" t="s">
        <v>19081</v>
      </c>
      <c r="C1650" s="2" t="str">
        <f>Follow[[#This Row],[CODRASTREIO]]&amp;" B"</f>
        <v>CódRastreio1639 B</v>
      </c>
      <c r="D1650" s="52" t="str">
        <f>_xlfn.XLOOKUP(Follow[[#This Row],[Id Pedido]],Controle_Pedidos[Número Pedido Cliente],Controle_Pedidos[Loja])</f>
        <v>GO</v>
      </c>
      <c r="E1650" s="9">
        <f>_xlfn.XLOOKUP(Follow[[#This Row],[Id Pedido]],Controle_Pedidos[Número Pedido Cliente],Controle_Pedidos[Prazo Entrega])</f>
        <v>45835</v>
      </c>
      <c r="F1650" s="9" t="s">
        <v>19434</v>
      </c>
      <c r="G1650" s="9" t="s">
        <v>37</v>
      </c>
      <c r="H1650" s="9" t="s">
        <v>178</v>
      </c>
      <c r="I1650" s="9" t="s">
        <v>178</v>
      </c>
      <c r="J1650" s="144">
        <v>45819</v>
      </c>
      <c r="K1650" s="54" t="s">
        <v>198</v>
      </c>
      <c r="L1650" s="8" t="s">
        <v>124</v>
      </c>
      <c r="M1650" s="9" t="s">
        <v>37</v>
      </c>
      <c r="N1650" s="52" t="str">
        <f>IF(Follow[[#This Row],[DATAATUALIZAÇÃO]]&lt;=Follow[[#This Row],[Prev Entrega]],"Dentro do Prazo","Fora do Prazo")</f>
        <v>Dentro do Prazo</v>
      </c>
      <c r="O165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Escova Multifuncional foi entregue no dia 11/06/2025, referente ao pedido Nº Pedido 1742 Rastreio Pedido 1742, agradecemos a preferência e adoraríamos receber sua avaliação, tendo qualquer dúvida estamos à disposição.
Att
Sec Variedades</v>
      </c>
    </row>
    <row r="1651" spans="1:15">
      <c r="A1651" s="52" t="str">
        <f>_xlfn.XLOOKUP(Follow[[#This Row],[CODRASTREIO]],Controle_Pedidos[Cód Rastreamento],Controle_Pedidos[Número Pedido Cliente])</f>
        <v>Pedido 1743</v>
      </c>
      <c r="B1651" s="2" t="s">
        <v>19082</v>
      </c>
      <c r="C1651" s="2" t="str">
        <f>Follow[[#This Row],[CODRASTREIO]]&amp;" B"</f>
        <v>CódRastreio1640 B</v>
      </c>
      <c r="D1651" s="52" t="str">
        <f>_xlfn.XLOOKUP(Follow[[#This Row],[Id Pedido]],Controle_Pedidos[Número Pedido Cliente],Controle_Pedidos[Loja])</f>
        <v>BV</v>
      </c>
      <c r="E1651" s="9">
        <f>_xlfn.XLOOKUP(Follow[[#This Row],[Id Pedido]],Controle_Pedidos[Número Pedido Cliente],Controle_Pedidos[Prazo Entrega])</f>
        <v>45832</v>
      </c>
      <c r="F1651" s="9" t="s">
        <v>19434</v>
      </c>
      <c r="G1651" s="9" t="s">
        <v>37</v>
      </c>
      <c r="H1651" s="9" t="s">
        <v>178</v>
      </c>
      <c r="I1651" s="9" t="s">
        <v>178</v>
      </c>
      <c r="J1651" s="9">
        <v>45815</v>
      </c>
      <c r="K1651" s="9" t="s">
        <v>198</v>
      </c>
      <c r="L1651" s="8" t="s">
        <v>124</v>
      </c>
      <c r="M1651" s="9" t="s">
        <v>37</v>
      </c>
      <c r="N1651" s="52" t="str">
        <f>IF(Follow[[#This Row],[DATAATUALIZAÇÃO]]&lt;=Follow[[#This Row],[Prev Entrega]],"Dentro do Prazo","Fora do Prazo")</f>
        <v>Dentro do Prazo</v>
      </c>
      <c r="O165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07/06/2025, referente ao pedido Nº Pedido 1743 Rastreio Pedido 1743, agradecemos a preferência e adoraríamos receber sua avaliação, tendo qualquer dúvida estamos à disposição.
Att
Tem tudo Shop</v>
      </c>
    </row>
    <row r="1652" spans="1:15">
      <c r="A1652" s="52" t="s">
        <v>15087</v>
      </c>
      <c r="B1652" s="2" t="s">
        <v>19450</v>
      </c>
      <c r="C1652" s="2" t="str">
        <f>Follow[[#This Row],[CODRASTREIO]]&amp;" B"</f>
        <v>CódRastreio1641 1 Envio B</v>
      </c>
      <c r="D1652" s="52" t="s">
        <v>36</v>
      </c>
      <c r="E1652" s="9">
        <v>45839</v>
      </c>
      <c r="F1652" s="9" t="s">
        <v>19434</v>
      </c>
      <c r="G1652" s="9" t="s">
        <v>37</v>
      </c>
      <c r="H1652" s="9" t="s">
        <v>178</v>
      </c>
      <c r="I1652" s="9" t="s">
        <v>178</v>
      </c>
      <c r="J1652" s="9">
        <v>45818</v>
      </c>
      <c r="K1652" s="9" t="s">
        <v>198</v>
      </c>
      <c r="L1652" s="8" t="s">
        <v>124</v>
      </c>
      <c r="M1652" s="9" t="s">
        <v>37</v>
      </c>
      <c r="N1652" s="52" t="str">
        <f>IF(Follow[[#This Row],[DATAATUALIZAÇÃO]]&lt;=Follow[[#This Row],[Prev Entrega]],"Dentro do Prazo","Fora do Prazo")</f>
        <v>Dentro do Prazo</v>
      </c>
      <c r="O165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10/06/2025, referente ao pedido Nº Pedido 1744 Rastreio Pedido 1744, agradecemos a preferência e adoraríamos receber sua avaliação, tendo qualquer dúvida estamos à disposição.
Att
Tem tudo Shop</v>
      </c>
    </row>
    <row r="1653" spans="1:15">
      <c r="A1653" s="52" t="str">
        <f>_xlfn.XLOOKUP(Follow[[#This Row],[CODRASTREIO]],Controle_Pedidos[Cód Rastreamento],Controle_Pedidos[Número Pedido Cliente])</f>
        <v>Pedido 1744</v>
      </c>
      <c r="B1653" s="2" t="s">
        <v>19083</v>
      </c>
      <c r="C1653" s="2" t="str">
        <f>Follow[[#This Row],[CODRASTREIO]]&amp;" B"</f>
        <v>CódRastreio1641 B</v>
      </c>
      <c r="D1653" s="52" t="str">
        <f>_xlfn.XLOOKUP(Follow[[#This Row],[Id Pedido]],Controle_Pedidos[Número Pedido Cliente],Controle_Pedidos[Loja])</f>
        <v>BV</v>
      </c>
      <c r="E1653" s="9">
        <f>_xlfn.XLOOKUP(Follow[[#This Row],[Id Pedido]],Controle_Pedidos[Número Pedido Cliente],Controle_Pedidos[Prazo Entrega])</f>
        <v>45839</v>
      </c>
      <c r="F1653" s="9" t="s">
        <v>19434</v>
      </c>
      <c r="G1653" s="9" t="s">
        <v>37</v>
      </c>
      <c r="H1653" s="9" t="s">
        <v>178</v>
      </c>
      <c r="I1653" s="9" t="s">
        <v>178</v>
      </c>
      <c r="J1653" s="9">
        <v>45818</v>
      </c>
      <c r="K1653" s="9" t="s">
        <v>198</v>
      </c>
      <c r="L1653" s="8" t="s">
        <v>124</v>
      </c>
      <c r="M1653" s="9" t="s">
        <v>37</v>
      </c>
      <c r="N1653" s="52" t="str">
        <f>IF(Follow[[#This Row],[DATAATUALIZAÇÃO]]&lt;=Follow[[#This Row],[Prev Entrega]],"Dentro do Prazo","Fora do Prazo")</f>
        <v>Dentro do Prazo</v>
      </c>
      <c r="O165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10/06/2025, referente ao pedido Nº Pedido 1744 Rastreio Pedido 1744, agradecemos a preferência e adoraríamos receber sua avaliação, tendo qualquer dúvida estamos à disposição.
Att
Tem tudo Shop</v>
      </c>
    </row>
    <row r="1654" spans="1:15">
      <c r="A1654" s="52" t="str">
        <f>_xlfn.XLOOKUP(Follow[[#This Row],[CODRASTREIO]],Controle_Pedidos[Cód Rastreamento],Controle_Pedidos[Número Pedido Cliente])</f>
        <v>Pedido 1747</v>
      </c>
      <c r="B1654" s="2" t="s">
        <v>19085</v>
      </c>
      <c r="C1654" s="2" t="str">
        <f>Follow[[#This Row],[CODRASTREIO]]&amp;" B"</f>
        <v>CódRastreio1643 B</v>
      </c>
      <c r="D1654" s="52" t="str">
        <f>_xlfn.XLOOKUP(Follow[[#This Row],[Id Pedido]],Controle_Pedidos[Número Pedido Cliente],Controle_Pedidos[Loja])</f>
        <v>BV</v>
      </c>
      <c r="E1654" s="9">
        <f>_xlfn.XLOOKUP(Follow[[#This Row],[Id Pedido]],Controle_Pedidos[Número Pedido Cliente],Controle_Pedidos[Prazo Entrega])</f>
        <v>45840</v>
      </c>
      <c r="F1654" s="9" t="s">
        <v>19434</v>
      </c>
      <c r="G1654" s="9" t="s">
        <v>37</v>
      </c>
      <c r="H1654" s="9" t="s">
        <v>178</v>
      </c>
      <c r="I1654" s="9" t="s">
        <v>178</v>
      </c>
      <c r="J1654" s="9">
        <v>45820</v>
      </c>
      <c r="K1654" s="54" t="s">
        <v>198</v>
      </c>
      <c r="L1654" s="8" t="s">
        <v>124</v>
      </c>
      <c r="M1654" s="9" t="s">
        <v>37</v>
      </c>
      <c r="N1654" s="52" t="str">
        <f>IF(Follow[[#This Row],[DATAATUALIZAÇÃO]]&lt;=Follow[[#This Row],[Prev Entrega]],"Dentro do Prazo","Fora do Prazo")</f>
        <v>Dentro do Prazo</v>
      </c>
      <c r="O165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12/06/2025, referente ao pedido Nº Pedido 1747 Rastreio Pedido 1747, agradecemos a preferência e adoraríamos receber sua avaliação, tendo qualquer dúvida estamos à disposição.
Att
Tem tudo Shop</v>
      </c>
    </row>
    <row r="1655" spans="1:15">
      <c r="A1655" s="52" t="str">
        <f>_xlfn.XLOOKUP(Follow[[#This Row],[CODRASTREIO]],Controle_Pedidos[Cód Rastreamento],Controle_Pedidos[Número Pedido Cliente])</f>
        <v>Pedido 1748</v>
      </c>
      <c r="B1655" s="2" t="s">
        <v>19086</v>
      </c>
      <c r="C1655" s="2" t="str">
        <f>Follow[[#This Row],[CODRASTREIO]]&amp;" B"</f>
        <v>CódRastreio1644 B</v>
      </c>
      <c r="D1655" s="52" t="str">
        <f>_xlfn.XLOOKUP(Follow[[#This Row],[Id Pedido]],Controle_Pedidos[Número Pedido Cliente],Controle_Pedidos[Loja])</f>
        <v>BV</v>
      </c>
      <c r="E1655" s="9">
        <f>_xlfn.XLOOKUP(Follow[[#This Row],[Id Pedido]],Controle_Pedidos[Número Pedido Cliente],Controle_Pedidos[Prazo Entrega])</f>
        <v>45840</v>
      </c>
      <c r="F1655" s="9" t="s">
        <v>19436</v>
      </c>
      <c r="G1655" s="9" t="s">
        <v>37</v>
      </c>
      <c r="H1655" s="9" t="s">
        <v>178</v>
      </c>
      <c r="I1655" s="9" t="s">
        <v>178</v>
      </c>
      <c r="J1655" s="9">
        <v>45831</v>
      </c>
      <c r="K1655" s="54" t="s">
        <v>198</v>
      </c>
      <c r="L1655" s="8" t="s">
        <v>124</v>
      </c>
      <c r="M1655" s="9" t="s">
        <v>37</v>
      </c>
      <c r="N1655" s="52" t="str">
        <f>IF(Follow[[#This Row],[DATAATUALIZAÇÃO]]&lt;=Follow[[#This Row],[Prev Entrega]],"Dentro do Prazo","Fora do Prazo")</f>
        <v>Dentro do Prazo</v>
      </c>
      <c r="O165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1748 Rastreio Pedido 1748, agradecemos a preferência e adoraríamos receber sua avaliação, tendo qualquer dúvida estamos à disposição.
Att
Tem tudo Shop</v>
      </c>
    </row>
    <row r="1656" spans="1:15">
      <c r="A1656" s="52" t="str">
        <f>_xlfn.XLOOKUP(Follow[[#This Row],[CODRASTREIO]],Controle_Pedidos[Cód Rastreamento],Controle_Pedidos[Número Pedido Cliente])</f>
        <v>Pedido 1749</v>
      </c>
      <c r="B1656" s="2" t="s">
        <v>19087</v>
      </c>
      <c r="C1656" s="2" t="str">
        <f>Follow[[#This Row],[CODRASTREIO]]&amp;" B"</f>
        <v>CódRastreio1645 B</v>
      </c>
      <c r="D1656" s="52" t="str">
        <f>_xlfn.XLOOKUP(Follow[[#This Row],[Id Pedido]],Controle_Pedidos[Número Pedido Cliente],Controle_Pedidos[Loja])</f>
        <v>BV</v>
      </c>
      <c r="E1656" s="9">
        <f>_xlfn.XLOOKUP(Follow[[#This Row],[Id Pedido]],Controle_Pedidos[Número Pedido Cliente],Controle_Pedidos[Prazo Entrega])</f>
        <v>45841</v>
      </c>
      <c r="F1656" s="9" t="s">
        <v>19436</v>
      </c>
      <c r="G1656" s="9" t="s">
        <v>37</v>
      </c>
      <c r="H1656" s="9" t="s">
        <v>178</v>
      </c>
      <c r="I1656" s="9" t="s">
        <v>178</v>
      </c>
      <c r="J1656" s="9">
        <v>45821</v>
      </c>
      <c r="K1656" s="54" t="s">
        <v>198</v>
      </c>
      <c r="L1656" s="8" t="s">
        <v>124</v>
      </c>
      <c r="M1656" s="9" t="s">
        <v>37</v>
      </c>
      <c r="N1656" s="52" t="str">
        <f>IF(Follow[[#This Row],[DATAATUALIZAÇÃO]]&lt;=Follow[[#This Row],[Prev Entrega]],"Dentro do Prazo","Fora do Prazo")</f>
        <v>Dentro do Prazo</v>
      </c>
      <c r="O165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13/06/2025, referente ao pedido Nº Pedido 1749 Rastreio Pedido 1749, agradecemos a preferência e adoraríamos receber sua avaliação, tendo qualquer dúvida estamos à disposição.
Att
Tem tudo Shop</v>
      </c>
    </row>
    <row r="1657" spans="1:15">
      <c r="A1657" s="52" t="str">
        <f>_xlfn.XLOOKUP(Follow[[#This Row],[CODRASTREIO]],Controle_Pedidos[Cód Rastreamento],Controle_Pedidos[Número Pedido Cliente])</f>
        <v>Pedido 1753</v>
      </c>
      <c r="B1657" s="2" t="s">
        <v>19091</v>
      </c>
      <c r="C1657" s="2" t="str">
        <f>Follow[[#This Row],[CODRASTREIO]]&amp;" B"</f>
        <v>CódRastreio1649 B</v>
      </c>
      <c r="D1657" s="52" t="str">
        <f>_xlfn.XLOOKUP(Follow[[#This Row],[Id Pedido]],Controle_Pedidos[Número Pedido Cliente],Controle_Pedidos[Loja])</f>
        <v>GO</v>
      </c>
      <c r="E1657" s="9">
        <f>_xlfn.XLOOKUP(Follow[[#This Row],[Id Pedido]],Controle_Pedidos[Número Pedido Cliente],Controle_Pedidos[Prazo Entrega])</f>
        <v>45840</v>
      </c>
      <c r="F1657" s="9" t="s">
        <v>19434</v>
      </c>
      <c r="G1657" s="9" t="s">
        <v>37</v>
      </c>
      <c r="H1657" s="9" t="s">
        <v>178</v>
      </c>
      <c r="I1657" s="9" t="s">
        <v>178</v>
      </c>
      <c r="J1657" s="9">
        <v>45819</v>
      </c>
      <c r="K1657" s="54" t="s">
        <v>198</v>
      </c>
      <c r="L1657" s="8" t="s">
        <v>124</v>
      </c>
      <c r="M1657" s="9" t="s">
        <v>37</v>
      </c>
      <c r="N1657" s="52" t="str">
        <f>IF(Follow[[#This Row],[DATAATUALIZAÇÃO]]&lt;=Follow[[#This Row],[Prev Entrega]],"Dentro do Prazo","Fora do Prazo")</f>
        <v>Dentro do Prazo</v>
      </c>
      <c r="O165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Escova Multifuncional foi entregue no dia 11/06/2025, referente ao pedido Nº Pedido 1753 Rastreio Pedido 1753, agradecemos a preferência e adoraríamos receber sua avaliação, tendo qualquer dúvida estamos à disposição.
Att
Sec Variedades</v>
      </c>
    </row>
    <row r="1658" spans="1:15">
      <c r="A1658" s="52" t="str">
        <f>_xlfn.XLOOKUP(Follow[[#This Row],[CODRASTREIO]],Controle_Pedidos[Cód Rastreamento],Controle_Pedidos[Número Pedido Cliente])</f>
        <v>Pedido 1746</v>
      </c>
      <c r="B1658" s="2" t="s">
        <v>19084</v>
      </c>
      <c r="C1658" s="2" t="str">
        <f>Follow[[#This Row],[CODRASTREIO]]&amp;" B"</f>
        <v>CódRastreio1642 B</v>
      </c>
      <c r="D1658" s="52" t="str">
        <f>_xlfn.XLOOKUP(Follow[[#This Row],[Id Pedido]],Controle_Pedidos[Número Pedido Cliente],Controle_Pedidos[Loja])</f>
        <v>BV</v>
      </c>
      <c r="E1658" s="9">
        <f>_xlfn.XLOOKUP(Follow[[#This Row],[Id Pedido]],Controle_Pedidos[Número Pedido Cliente],Controle_Pedidos[Prazo Entrega])</f>
        <v>45839</v>
      </c>
      <c r="F1658" s="9" t="s">
        <v>19433</v>
      </c>
      <c r="G1658" s="9" t="s">
        <v>727</v>
      </c>
      <c r="H1658" s="9" t="s">
        <v>179</v>
      </c>
      <c r="I1658" s="9" t="s">
        <v>178</v>
      </c>
      <c r="J1658" s="147">
        <v>45839</v>
      </c>
      <c r="K1658" s="8" t="s">
        <v>198</v>
      </c>
      <c r="L1658" s="8" t="s">
        <v>124</v>
      </c>
      <c r="M1658" s="8" t="s">
        <v>37</v>
      </c>
      <c r="N1658" s="52" t="str">
        <f>IF(Follow[[#This Row],[DATAATUALIZAÇÃO]]&lt;=Follow[[#This Row],[Prev Entrega]],"Dentro do Prazo","Fora do Prazo")</f>
        <v>Dentro do Prazo</v>
      </c>
      <c r="O165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01/07/2025, referente ao pedido Nº Pedido 1746 Rastreio CNBR00077431343, agradecemos a preferência e adoraríamos receber sua avaliação, tendo qualquer dúvida estamos à disposição.
Att
Tem tudo Shop</v>
      </c>
    </row>
    <row r="1659" spans="1:15">
      <c r="A1659" s="52" t="str">
        <f>_xlfn.XLOOKUP(Follow[[#This Row],[CODRASTREIO]],Controle_Pedidos[Cód Rastreamento],Controle_Pedidos[Número Pedido Cliente])</f>
        <v>Pedido 1750</v>
      </c>
      <c r="B1659" s="2" t="s">
        <v>19088</v>
      </c>
      <c r="C1659" s="2" t="str">
        <f>Follow[[#This Row],[CODRASTREIO]]&amp;" B"</f>
        <v>CódRastreio1646 B</v>
      </c>
      <c r="D1659" s="52" t="str">
        <f>_xlfn.XLOOKUP(Follow[[#This Row],[Id Pedido]],Controle_Pedidos[Número Pedido Cliente],Controle_Pedidos[Loja])</f>
        <v>BV</v>
      </c>
      <c r="E1659" s="9">
        <f>_xlfn.XLOOKUP(Follow[[#This Row],[Id Pedido]],Controle_Pedidos[Número Pedido Cliente],Controle_Pedidos[Prazo Entrega])</f>
        <v>45829</v>
      </c>
      <c r="F1659" s="9" t="s">
        <v>19433</v>
      </c>
      <c r="G1659" s="9" t="s">
        <v>728</v>
      </c>
      <c r="H1659" s="9" t="s">
        <v>179</v>
      </c>
      <c r="I1659" s="9" t="s">
        <v>178</v>
      </c>
      <c r="J1659" s="147">
        <v>45826.64203703704</v>
      </c>
      <c r="K1659" s="8" t="s">
        <v>198</v>
      </c>
      <c r="L1659" s="8" t="s">
        <v>124</v>
      </c>
      <c r="M1659" s="8" t="s">
        <v>37</v>
      </c>
      <c r="N1659" s="52" t="str">
        <f>IF(Follow[[#This Row],[DATAATUALIZAÇÃO]]&lt;=Follow[[#This Row],[Prev Entrega]],"Dentro do Prazo","Fora do Prazo")</f>
        <v>Dentro do Prazo</v>
      </c>
      <c r="O165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Azul foi entregue no dia 18/06/2025, referente ao pedido Nº Pedido 1750 Rastreio NM840144614BR, agradecemos a preferência e adoraríamos receber sua avaliação, tendo qualquer dúvida estamos à disposição.
Att
Tem tudo Shop</v>
      </c>
    </row>
    <row r="1660" spans="1:15">
      <c r="A1660" s="52" t="str">
        <f>_xlfn.XLOOKUP(Follow[[#This Row],[CODRASTREIO]],Controle_Pedidos[Cód Rastreamento],Controle_Pedidos[Número Pedido Cliente])</f>
        <v>Pedido 1751</v>
      </c>
      <c r="B1660" s="2" t="s">
        <v>19089</v>
      </c>
      <c r="C1660" s="2" t="str">
        <f>Follow[[#This Row],[CODRASTREIO]]&amp;" B"</f>
        <v>CódRastreio1647 B</v>
      </c>
      <c r="D1660" s="52" t="str">
        <f>_xlfn.XLOOKUP(Follow[[#This Row],[Id Pedido]],Controle_Pedidos[Número Pedido Cliente],Controle_Pedidos[Loja])</f>
        <v>BV</v>
      </c>
      <c r="E1660" s="9">
        <f>_xlfn.XLOOKUP(Follow[[#This Row],[Id Pedido]],Controle_Pedidos[Número Pedido Cliente],Controle_Pedidos[Prazo Entrega])</f>
        <v>45842</v>
      </c>
      <c r="F1660" s="9" t="s">
        <v>19433</v>
      </c>
      <c r="G1660" s="9" t="s">
        <v>729</v>
      </c>
      <c r="H1660" s="9" t="s">
        <v>179</v>
      </c>
      <c r="I1660" s="9" t="s">
        <v>178</v>
      </c>
      <c r="J1660" s="147">
        <v>45841</v>
      </c>
      <c r="K1660" s="8" t="s">
        <v>198</v>
      </c>
      <c r="L1660" s="8" t="s">
        <v>124</v>
      </c>
      <c r="M1660" s="8" t="s">
        <v>37</v>
      </c>
      <c r="N1660" s="52" t="str">
        <f>IF(Follow[[#This Row],[DATAATUALIZAÇÃO]]&lt;=Follow[[#This Row],[Prev Entrega]],"Dentro do Prazo","Fora do Prazo")</f>
        <v>Dentro do Prazo</v>
      </c>
      <c r="O166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1751 Rastreio NM840168624BR, agradecemos a preferência e adoraríamos receber sua avaliação, tendo qualquer dúvida estamos à disposição.
Att
Tem tudo Shop</v>
      </c>
    </row>
    <row r="1661" spans="1:15">
      <c r="A1661" s="52" t="str">
        <f>_xlfn.XLOOKUP(Follow[[#This Row],[CODRASTREIO]],Controle_Pedidos[Cód Rastreamento],Controle_Pedidos[Número Pedido Cliente])</f>
        <v>Pedido 1752</v>
      </c>
      <c r="B1661" s="2" t="s">
        <v>19090</v>
      </c>
      <c r="C1661" s="2" t="str">
        <f>Follow[[#This Row],[CODRASTREIO]]&amp;" B"</f>
        <v>CódRastreio1648 B</v>
      </c>
      <c r="D1661" s="52" t="str">
        <f>_xlfn.XLOOKUP(Follow[[#This Row],[Id Pedido]],Controle_Pedidos[Número Pedido Cliente],Controle_Pedidos[Loja])</f>
        <v>BV</v>
      </c>
      <c r="E1661" s="9">
        <f>_xlfn.XLOOKUP(Follow[[#This Row],[Id Pedido]],Controle_Pedidos[Número Pedido Cliente],Controle_Pedidos[Prazo Entrega])</f>
        <v>45836</v>
      </c>
      <c r="F1661" s="9" t="s">
        <v>19433</v>
      </c>
      <c r="G1661" s="9" t="s">
        <v>730</v>
      </c>
      <c r="H1661" s="9" t="s">
        <v>179</v>
      </c>
      <c r="I1661" s="9" t="s">
        <v>178</v>
      </c>
      <c r="J1661" s="147">
        <v>45842</v>
      </c>
      <c r="K1661" s="8" t="s">
        <v>198</v>
      </c>
      <c r="L1661" s="8" t="s">
        <v>124</v>
      </c>
      <c r="M1661" s="8" t="s">
        <v>37</v>
      </c>
      <c r="N1661" s="52" t="str">
        <f>IF(Follow[[#This Row],[DATAATUALIZAÇÃO]]&lt;=Follow[[#This Row],[Prev Entrega]],"Dentro do Prazo","Fora do Prazo")</f>
        <v>Fora do Prazo</v>
      </c>
      <c r="O166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04/07/2025, referente ao pedido Nº Pedido 1752 Rastreio NM842284367BR, agradecemos a preferência e adoraríamos receber sua avaliação, tendo qualquer dúvida estamos à disposição.
Att
Tem tudo Shop</v>
      </c>
    </row>
    <row r="1662" spans="1:15">
      <c r="A1662" s="52" t="str">
        <f>_xlfn.XLOOKUP(Follow[[#This Row],[CODRASTREIO]],Controle_Pedidos[Cód Rastreamento],Controle_Pedidos[Número Pedido Cliente])</f>
        <v>Pedido 1754</v>
      </c>
      <c r="B1662" s="2" t="s">
        <v>19092</v>
      </c>
      <c r="C1662" s="2" t="str">
        <f>Follow[[#This Row],[CODRASTREIO]]&amp;" B"</f>
        <v>CódRastreio1650 B</v>
      </c>
      <c r="D1662" s="52" t="str">
        <f>_xlfn.XLOOKUP(Follow[[#This Row],[Id Pedido]],Controle_Pedidos[Número Pedido Cliente],Controle_Pedidos[Loja])</f>
        <v>BV</v>
      </c>
      <c r="E1662" s="9">
        <f>_xlfn.XLOOKUP(Follow[[#This Row],[Id Pedido]],Controle_Pedidos[Número Pedido Cliente],Controle_Pedidos[Prazo Entrega])</f>
        <v>45842</v>
      </c>
      <c r="F1662" s="9" t="s">
        <v>19433</v>
      </c>
      <c r="G1662" s="9" t="s">
        <v>731</v>
      </c>
      <c r="H1662" s="9" t="s">
        <v>179</v>
      </c>
      <c r="I1662" s="9" t="s">
        <v>178</v>
      </c>
      <c r="J1662" s="147">
        <v>45838</v>
      </c>
      <c r="K1662" s="8" t="s">
        <v>198</v>
      </c>
      <c r="L1662" s="8" t="s">
        <v>124</v>
      </c>
      <c r="M1662" s="8" t="s">
        <v>37</v>
      </c>
      <c r="N1662" s="52" t="str">
        <f>IF(Follow[[#This Row],[DATAATUALIZAÇÃO]]&lt;=Follow[[#This Row],[Prev Entrega]],"Dentro do Prazo","Fora do Prazo")</f>
        <v>Dentro do Prazo</v>
      </c>
      <c r="O166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30/06/2025, referente ao pedido Nº Pedido 1754 Rastreio NM841264468BR, agradecemos a preferência e adoraríamos receber sua avaliação, tendo qualquer dúvida estamos à disposição.
Att
Tem tudo Shop</v>
      </c>
    </row>
    <row r="1663" spans="1:15">
      <c r="A1663" s="52" t="str">
        <f>_xlfn.XLOOKUP(Follow[[#This Row],[CODRASTREIO]],Controle_Pedidos[Cód Rastreamento],Controle_Pedidos[Número Pedido Cliente])</f>
        <v>Pedido 1755</v>
      </c>
      <c r="B1663" s="2" t="s">
        <v>19093</v>
      </c>
      <c r="C1663" s="2" t="str">
        <f>Follow[[#This Row],[CODRASTREIO]]&amp;" B"</f>
        <v>CódRastreio1651 B</v>
      </c>
      <c r="D1663" s="52" t="str">
        <f>_xlfn.XLOOKUP(Follow[[#This Row],[Id Pedido]],Controle_Pedidos[Número Pedido Cliente],Controle_Pedidos[Loja])</f>
        <v>BV</v>
      </c>
      <c r="E1663" s="9">
        <f>_xlfn.XLOOKUP(Follow[[#This Row],[Id Pedido]],Controle_Pedidos[Número Pedido Cliente],Controle_Pedidos[Prazo Entrega])</f>
        <v>45850</v>
      </c>
      <c r="F1663" s="9" t="s">
        <v>19433</v>
      </c>
      <c r="G1663" s="9" t="s">
        <v>732</v>
      </c>
      <c r="H1663" s="9" t="s">
        <v>179</v>
      </c>
      <c r="I1663" s="9" t="s">
        <v>178</v>
      </c>
      <c r="J1663" s="9">
        <v>45828</v>
      </c>
      <c r="K1663" s="8" t="s">
        <v>733</v>
      </c>
      <c r="L1663" s="8" t="s">
        <v>183</v>
      </c>
      <c r="M1663" s="8" t="s">
        <v>37</v>
      </c>
      <c r="N1663" s="52" t="str">
        <f>IF(Follow[[#This Row],[DATAATUALIZAÇÃO]]&lt;=Follow[[#This Row],[Prev Entrega]],"Dentro do Prazo","Fora do Prazo")</f>
        <v>Dentro do Prazo</v>
      </c>
      <c r="O166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20/06/2025, referente ao pedido Nº Pedido 1755 Rastreio CNBR00077666112, agradecemos a preferência e adoraríamos receber sua avaliação, tendo qualquer dúvida estamos à disposição.
Att
Tem tudo Shop</v>
      </c>
    </row>
    <row r="1664" spans="1:15">
      <c r="A1664" s="52" t="str">
        <f>_xlfn.XLOOKUP(Follow[[#This Row],[CODRASTREIO]],Controle_Pedidos[Cód Rastreamento],Controle_Pedidos[Número Pedido Cliente])</f>
        <v>Pedido 1756</v>
      </c>
      <c r="B1664" s="2" t="s">
        <v>19094</v>
      </c>
      <c r="C1664" s="2" t="str">
        <f>Follow[[#This Row],[CODRASTREIO]]&amp;" B"</f>
        <v>CódRastreio1652 B</v>
      </c>
      <c r="D1664" s="52" t="str">
        <f>_xlfn.XLOOKUP(Follow[[#This Row],[Id Pedido]],Controle_Pedidos[Número Pedido Cliente],Controle_Pedidos[Loja])</f>
        <v>BV</v>
      </c>
      <c r="E1664" s="9">
        <f>_xlfn.XLOOKUP(Follow[[#This Row],[Id Pedido]],Controle_Pedidos[Número Pedido Cliente],Controle_Pedidos[Prazo Entrega])</f>
        <v>45853</v>
      </c>
      <c r="F1664" s="9" t="s">
        <v>19433</v>
      </c>
      <c r="G1664" s="9" t="s">
        <v>734</v>
      </c>
      <c r="H1664" s="9" t="s">
        <v>179</v>
      </c>
      <c r="I1664" s="9" t="s">
        <v>178</v>
      </c>
      <c r="J1664" s="147">
        <v>45866</v>
      </c>
      <c r="K1664" s="8" t="s">
        <v>198</v>
      </c>
      <c r="L1664" s="8" t="s">
        <v>124</v>
      </c>
      <c r="M1664" s="8" t="s">
        <v>208</v>
      </c>
      <c r="N1664" s="52" t="str">
        <f>IF(Follow[[#This Row],[DATAATUALIZAÇÃO]]&lt;=Follow[[#This Row],[Prev Entrega]],"Dentro do Prazo","Fora do Prazo")</f>
        <v>Fora do Prazo</v>
      </c>
      <c r="O166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28/07/2025, referente ao pedido Nº Pedido 1756 Rastreio NM846550978BR, agradecemos a preferência e adoraríamos receber sua avaliação, tendo qualquer dúvida estamos à disposição.
Att
Tem tudo Shop</v>
      </c>
    </row>
    <row r="1665" spans="1:15">
      <c r="A1665" s="52" t="str">
        <f>_xlfn.XLOOKUP(Follow[[#This Row],[CODRASTREIO]],Controle_Pedidos[Cód Rastreamento],Controle_Pedidos[Número Pedido Cliente])</f>
        <v>Pedido 1757</v>
      </c>
      <c r="B1665" s="2" t="s">
        <v>19095</v>
      </c>
      <c r="C1665" s="2" t="str">
        <f>Follow[[#This Row],[CODRASTREIO]]&amp;" B"</f>
        <v>CódRastreio1653 B</v>
      </c>
      <c r="D1665" s="52" t="str">
        <f>_xlfn.XLOOKUP(Follow[[#This Row],[Id Pedido]],Controle_Pedidos[Número Pedido Cliente],Controle_Pedidos[Loja])</f>
        <v>BV</v>
      </c>
      <c r="E1665" s="9">
        <f>_xlfn.XLOOKUP(Follow[[#This Row],[Id Pedido]],Controle_Pedidos[Número Pedido Cliente],Controle_Pedidos[Prazo Entrega])</f>
        <v>45853</v>
      </c>
      <c r="F1665" s="9" t="s">
        <v>19433</v>
      </c>
      <c r="G1665" s="9" t="s">
        <v>735</v>
      </c>
      <c r="H1665" s="9" t="s">
        <v>179</v>
      </c>
      <c r="I1665" s="9" t="s">
        <v>178</v>
      </c>
      <c r="J1665" s="147">
        <v>45847</v>
      </c>
      <c r="K1665" s="8" t="s">
        <v>198</v>
      </c>
      <c r="L1665" s="8" t="s">
        <v>124</v>
      </c>
      <c r="M1665" s="8" t="s">
        <v>37</v>
      </c>
      <c r="N1665" s="52" t="str">
        <f>IF(Follow[[#This Row],[DATAATUALIZAÇÃO]]&lt;=Follow[[#This Row],[Prev Entrega]],"Dentro do Prazo","Fora do Prazo")</f>
        <v>Dentro do Prazo</v>
      </c>
      <c r="O166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1757 Rastreio NM842310447BR, agradecemos a preferência e adoraríamos receber sua avaliação, tendo qualquer dúvida estamos à disposição.
Att
Tem tudo Shop</v>
      </c>
    </row>
    <row r="1666" spans="1:15">
      <c r="A1666" s="52" t="str">
        <f>_xlfn.XLOOKUP(Follow[[#This Row],[CODRASTREIO]],Controle_Pedidos[Cód Rastreamento],Controle_Pedidos[Número Pedido Cliente])</f>
        <v>Pedido 1758</v>
      </c>
      <c r="B1666" s="2" t="s">
        <v>19096</v>
      </c>
      <c r="C1666" s="2" t="str">
        <f>Follow[[#This Row],[CODRASTREIO]]&amp;" B"</f>
        <v>CódRastreio1654 B</v>
      </c>
      <c r="D1666" s="52" t="str">
        <f>_xlfn.XLOOKUP(Follow[[#This Row],[Id Pedido]],Controle_Pedidos[Número Pedido Cliente],Controle_Pedidos[Loja])</f>
        <v>BV</v>
      </c>
      <c r="E1666" s="9">
        <f>_xlfn.XLOOKUP(Follow[[#This Row],[Id Pedido]],Controle_Pedidos[Número Pedido Cliente],Controle_Pedidos[Prazo Entrega])</f>
        <v>45847</v>
      </c>
      <c r="F1666" s="9" t="s">
        <v>19433</v>
      </c>
      <c r="G1666" s="9" t="s">
        <v>736</v>
      </c>
      <c r="H1666" s="9" t="s">
        <v>179</v>
      </c>
      <c r="I1666" s="9" t="s">
        <v>178</v>
      </c>
      <c r="J1666" s="147">
        <v>45841</v>
      </c>
      <c r="K1666" s="8" t="s">
        <v>198</v>
      </c>
      <c r="L1666" s="8" t="s">
        <v>124</v>
      </c>
      <c r="M1666" s="8" t="s">
        <v>37</v>
      </c>
      <c r="N1666" s="52" t="str">
        <f>IF(Follow[[#This Row],[DATAATUALIZAÇÃO]]&lt;=Follow[[#This Row],[Prev Entrega]],"Dentro do Prazo","Fora do Prazo")</f>
        <v>Dentro do Prazo</v>
      </c>
      <c r="O166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1758 Rastreio NM842316609BR, agradecemos a preferência e adoraríamos receber sua avaliação, tendo qualquer dúvida estamos à disposição.
Att
Tem tudo Shop</v>
      </c>
    </row>
    <row r="1667" spans="1:15">
      <c r="A1667" s="52" t="str">
        <f>_xlfn.XLOOKUP(Follow[[#This Row],[CODRASTREIO]],Controle_Pedidos[Cód Rastreamento],Controle_Pedidos[Número Pedido Cliente])</f>
        <v>Pedido 1760</v>
      </c>
      <c r="B1667" s="2" t="s">
        <v>19097</v>
      </c>
      <c r="C1667" s="2" t="str">
        <f>Follow[[#This Row],[CODRASTREIO]]&amp;" B"</f>
        <v>CódRastreio1655 B</v>
      </c>
      <c r="D1667" s="52" t="str">
        <f>_xlfn.XLOOKUP(Follow[[#This Row],[Id Pedido]],Controle_Pedidos[Número Pedido Cliente],Controle_Pedidos[Loja])</f>
        <v>BV</v>
      </c>
      <c r="E1667" s="9">
        <f>_xlfn.XLOOKUP(Follow[[#This Row],[Id Pedido]],Controle_Pedidos[Número Pedido Cliente],Controle_Pedidos[Prazo Entrega])</f>
        <v>45854</v>
      </c>
      <c r="F1667" s="9" t="s">
        <v>19433</v>
      </c>
      <c r="G1667" s="9" t="s">
        <v>737</v>
      </c>
      <c r="H1667" s="9" t="s">
        <v>179</v>
      </c>
      <c r="I1667" s="9" t="s">
        <v>178</v>
      </c>
      <c r="J1667" s="147">
        <v>45838</v>
      </c>
      <c r="K1667" s="8" t="s">
        <v>198</v>
      </c>
      <c r="L1667" s="8" t="s">
        <v>124</v>
      </c>
      <c r="M1667" s="8" t="s">
        <v>37</v>
      </c>
      <c r="N1667" s="52" t="str">
        <f>IF(Follow[[#This Row],[DATAATUALIZAÇÃO]]&lt;=Follow[[#This Row],[Prev Entrega]],"Dentro do Prazo","Fora do Prazo")</f>
        <v>Dentro do Prazo</v>
      </c>
      <c r="O166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30/06/2025, referente ao pedido Nº Pedido 1760 Rastreio CNBR00078757668, agradecemos a preferência e adoraríamos receber sua avaliação, tendo qualquer dúvida estamos à disposição.
Att
Tem tudo Shop</v>
      </c>
    </row>
    <row r="1668" spans="1:15">
      <c r="A1668" s="52" t="str">
        <f>_xlfn.XLOOKUP(Follow[[#This Row],[CODRASTREIO]],Controle_Pedidos[Cód Rastreamento],Controle_Pedidos[Número Pedido Cliente])</f>
        <v>Pedido 1761</v>
      </c>
      <c r="B1668" s="2" t="s">
        <v>19098</v>
      </c>
      <c r="C1668" s="2" t="str">
        <f>Follow[[#This Row],[CODRASTREIO]]&amp;" B"</f>
        <v>CódRastreio1656 B</v>
      </c>
      <c r="D1668" s="52" t="str">
        <f>_xlfn.XLOOKUP(Follow[[#This Row],[Id Pedido]],Controle_Pedidos[Número Pedido Cliente],Controle_Pedidos[Loja])</f>
        <v>BV</v>
      </c>
      <c r="E1668" s="9">
        <f>_xlfn.XLOOKUP(Follow[[#This Row],[Id Pedido]],Controle_Pedidos[Número Pedido Cliente],Controle_Pedidos[Prazo Entrega])</f>
        <v>45848</v>
      </c>
      <c r="F1668" s="9" t="s">
        <v>19434</v>
      </c>
      <c r="G1668" s="9" t="s">
        <v>37</v>
      </c>
      <c r="H1668" s="9" t="s">
        <v>178</v>
      </c>
      <c r="I1668" s="9" t="s">
        <v>178</v>
      </c>
      <c r="J1668" s="144">
        <v>45831</v>
      </c>
      <c r="K1668" s="54" t="s">
        <v>198</v>
      </c>
      <c r="L1668" s="8" t="s">
        <v>124</v>
      </c>
      <c r="M1668" s="8" t="s">
        <v>37</v>
      </c>
      <c r="N1668" s="52" t="str">
        <f>IF(Follow[[#This Row],[DATAATUALIZAÇÃO]]&lt;=Follow[[#This Row],[Prev Entrega]],"Dentro do Prazo","Fora do Prazo")</f>
        <v>Dentro do Prazo</v>
      </c>
      <c r="O166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1761 Rastreio Pedido 1761, agradecemos a preferência e adoraríamos receber sua avaliação, tendo qualquer dúvida estamos à disposição.
Att
Tem tudo Shop</v>
      </c>
    </row>
    <row r="1669" spans="1:15">
      <c r="A1669" s="52" t="str">
        <f>_xlfn.XLOOKUP(Follow[[#This Row],[CODRASTREIO]],Controle_Pedidos[Cód Rastreamento],Controle_Pedidos[Número Pedido Cliente])</f>
        <v>Pedido 1762</v>
      </c>
      <c r="B1669" s="2" t="s">
        <v>19099</v>
      </c>
      <c r="C1669" s="2" t="str">
        <f>Follow[[#This Row],[CODRASTREIO]]&amp;" B"</f>
        <v>CódRastreio1657 B</v>
      </c>
      <c r="D1669" s="52" t="str">
        <f>_xlfn.XLOOKUP(Follow[[#This Row],[Id Pedido]],Controle_Pedidos[Número Pedido Cliente],Controle_Pedidos[Loja])</f>
        <v>BV</v>
      </c>
      <c r="E1669" s="9">
        <f>_xlfn.XLOOKUP(Follow[[#This Row],[Id Pedido]],Controle_Pedidos[Número Pedido Cliente],Controle_Pedidos[Prazo Entrega])</f>
        <v>45842</v>
      </c>
      <c r="F1669" s="9" t="s">
        <v>19433</v>
      </c>
      <c r="G1669" s="9" t="s">
        <v>738</v>
      </c>
      <c r="H1669" s="9" t="s">
        <v>179</v>
      </c>
      <c r="I1669" s="9" t="s">
        <v>178</v>
      </c>
      <c r="J1669" s="147">
        <v>45831.530439814815</v>
      </c>
      <c r="K1669" s="8" t="s">
        <v>198</v>
      </c>
      <c r="L1669" s="8" t="s">
        <v>124</v>
      </c>
      <c r="M1669" s="8" t="s">
        <v>37</v>
      </c>
      <c r="N1669" s="52" t="str">
        <f>IF(Follow[[#This Row],[DATAATUALIZAÇÃO]]&lt;=Follow[[#This Row],[Prev Entrega]],"Dentro do Prazo","Fora do Prazo")</f>
        <v>Dentro do Prazo</v>
      </c>
      <c r="O166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1762 Rastreio NM843949704BR, agradecemos a preferência e adoraríamos receber sua avaliação, tendo qualquer dúvida estamos à disposição.
Att
Tem tudo Shop</v>
      </c>
    </row>
    <row r="1670" spans="1:15">
      <c r="A1670" s="52" t="str">
        <f>_xlfn.XLOOKUP(Follow[[#This Row],[CODRASTREIO]],Controle_Pedidos[Cód Rastreamento],Controle_Pedidos[Número Pedido Cliente])</f>
        <v>Pedido 1763</v>
      </c>
      <c r="B1670" s="2" t="s">
        <v>19100</v>
      </c>
      <c r="C1670" s="2" t="str">
        <f>Follow[[#This Row],[CODRASTREIO]]&amp;" B"</f>
        <v>CódRastreio1658 B</v>
      </c>
      <c r="D1670" s="52" t="str">
        <f>_xlfn.XLOOKUP(Follow[[#This Row],[Id Pedido]],Controle_Pedidos[Número Pedido Cliente],Controle_Pedidos[Loja])</f>
        <v>BV</v>
      </c>
      <c r="E1670" s="9">
        <f>_xlfn.XLOOKUP(Follow[[#This Row],[Id Pedido]],Controle_Pedidos[Número Pedido Cliente],Controle_Pedidos[Prazo Entrega])</f>
        <v>45848</v>
      </c>
      <c r="F1670" s="9" t="s">
        <v>19433</v>
      </c>
      <c r="G1670" s="9" t="s">
        <v>739</v>
      </c>
      <c r="H1670" s="9" t="s">
        <v>179</v>
      </c>
      <c r="I1670" s="9" t="s">
        <v>178</v>
      </c>
      <c r="J1670" s="147">
        <v>45836</v>
      </c>
      <c r="K1670" s="8" t="s">
        <v>198</v>
      </c>
      <c r="L1670" s="8" t="s">
        <v>124</v>
      </c>
      <c r="M1670" s="8" t="s">
        <v>37</v>
      </c>
      <c r="N1670" s="52" t="str">
        <f>IF(Follow[[#This Row],[DATAATUALIZAÇÃO]]&lt;=Follow[[#This Row],[Prev Entrega]],"Dentro do Prazo","Fora do Prazo")</f>
        <v>Dentro do Prazo</v>
      </c>
      <c r="O167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28/06/2025, referente ao pedido Nº Pedido 1763 Rastreio CNBR00078755408, agradecemos a preferência e adoraríamos receber sua avaliação, tendo qualquer dúvida estamos à disposição.
Att
Tem tudo Shop</v>
      </c>
    </row>
    <row r="1671" spans="1:15">
      <c r="A1671" s="52" t="str">
        <f>_xlfn.XLOOKUP(Follow[[#This Row],[CODRASTREIO]],Controle_Pedidos[Cód Rastreamento],Controle_Pedidos[Número Pedido Cliente])</f>
        <v>Pedido 1764</v>
      </c>
      <c r="B1671" s="2" t="s">
        <v>19101</v>
      </c>
      <c r="C1671" s="2" t="str">
        <f>Follow[[#This Row],[CODRASTREIO]]&amp;" B"</f>
        <v>CódRastreio1659 B</v>
      </c>
      <c r="D1671" s="52" t="str">
        <f>_xlfn.XLOOKUP(Follow[[#This Row],[Id Pedido]],Controle_Pedidos[Número Pedido Cliente],Controle_Pedidos[Loja])</f>
        <v>BV</v>
      </c>
      <c r="E1671" s="9">
        <f>_xlfn.XLOOKUP(Follow[[#This Row],[Id Pedido]],Controle_Pedidos[Número Pedido Cliente],Controle_Pedidos[Prazo Entrega])</f>
        <v>45843</v>
      </c>
      <c r="F1671" s="9" t="s">
        <v>19434</v>
      </c>
      <c r="G1671" s="9" t="s">
        <v>37</v>
      </c>
      <c r="H1671" s="9" t="s">
        <v>178</v>
      </c>
      <c r="I1671" s="9" t="s">
        <v>178</v>
      </c>
      <c r="J1671" s="144">
        <v>45829</v>
      </c>
      <c r="K1671" s="54" t="s">
        <v>198</v>
      </c>
      <c r="L1671" s="8" t="s">
        <v>124</v>
      </c>
      <c r="M1671" s="8" t="s">
        <v>37</v>
      </c>
      <c r="N1671" s="52" t="str">
        <f>IF(Follow[[#This Row],[DATAATUALIZAÇÃO]]&lt;=Follow[[#This Row],[Prev Entrega]],"Dentro do Prazo","Fora do Prazo")</f>
        <v>Dentro do Prazo</v>
      </c>
      <c r="O167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21/06/2025, referente ao pedido Nº Pedido 1764 Rastreio Pedido 1764, agradecemos a preferência e adoraríamos receber sua avaliação, tendo qualquer dúvida estamos à disposição.
Att
Tem tudo Shop</v>
      </c>
    </row>
    <row r="1672" spans="1:15">
      <c r="A1672" s="52" t="str">
        <f>_xlfn.XLOOKUP(Follow[[#This Row],[CODRASTREIO]],Controle_Pedidos[Cód Rastreamento],Controle_Pedidos[Número Pedido Cliente])</f>
        <v>Pedido 1765</v>
      </c>
      <c r="B1672" s="2" t="s">
        <v>19102</v>
      </c>
      <c r="C1672" s="2" t="str">
        <f>Follow[[#This Row],[CODRASTREIO]]&amp;" B"</f>
        <v>CódRastreio1660 B</v>
      </c>
      <c r="D1672" s="52" t="str">
        <f>_xlfn.XLOOKUP(Follow[[#This Row],[Id Pedido]],Controle_Pedidos[Número Pedido Cliente],Controle_Pedidos[Loja])</f>
        <v>BV</v>
      </c>
      <c r="E1672" s="9">
        <f>_xlfn.XLOOKUP(Follow[[#This Row],[Id Pedido]],Controle_Pedidos[Número Pedido Cliente],Controle_Pedidos[Prazo Entrega])</f>
        <v>45843</v>
      </c>
      <c r="F1672" s="9" t="s">
        <v>19434</v>
      </c>
      <c r="G1672" s="9" t="s">
        <v>37</v>
      </c>
      <c r="H1672" s="9" t="s">
        <v>178</v>
      </c>
      <c r="I1672" s="9" t="s">
        <v>178</v>
      </c>
      <c r="J1672" s="144">
        <v>45828</v>
      </c>
      <c r="K1672" s="54" t="s">
        <v>198</v>
      </c>
      <c r="L1672" s="8" t="s">
        <v>124</v>
      </c>
      <c r="M1672" s="8" t="s">
        <v>37</v>
      </c>
      <c r="N1672" s="52" t="str">
        <f>IF(Follow[[#This Row],[DATAATUALIZAÇÃO]]&lt;=Follow[[#This Row],[Prev Entrega]],"Dentro do Prazo","Fora do Prazo")</f>
        <v>Dentro do Prazo</v>
      </c>
      <c r="O167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20/06/2025, referente ao pedido Nº Pedido 1765 Rastreio Pedido 1765, agradecemos a preferência e adoraríamos receber sua avaliação, tendo qualquer dúvida estamos à disposição.
Att
Tem tudo Shop</v>
      </c>
    </row>
    <row r="1673" spans="1:15">
      <c r="A1673" s="52" t="str">
        <f>_xlfn.XLOOKUP(Follow[[#This Row],[CODRASTREIO]],Controle_Pedidos[Cód Rastreamento],Controle_Pedidos[Número Pedido Cliente])</f>
        <v>Pedido 1766</v>
      </c>
      <c r="B1673" s="2" t="s">
        <v>19103</v>
      </c>
      <c r="C1673" s="2" t="str">
        <f>Follow[[#This Row],[CODRASTREIO]]&amp;" B"</f>
        <v>CódRastreio1661 B</v>
      </c>
      <c r="D1673" s="52" t="str">
        <f>_xlfn.XLOOKUP(Follow[[#This Row],[Id Pedido]],Controle_Pedidos[Número Pedido Cliente],Controle_Pedidos[Loja])</f>
        <v>BV</v>
      </c>
      <c r="E1673" s="9">
        <f>_xlfn.XLOOKUP(Follow[[#This Row],[Id Pedido]],Controle_Pedidos[Número Pedido Cliente],Controle_Pedidos[Prazo Entrega])</f>
        <v>45849</v>
      </c>
      <c r="F1673" s="9" t="s">
        <v>19433</v>
      </c>
      <c r="G1673" s="9" t="s">
        <v>740</v>
      </c>
      <c r="H1673" s="9" t="s">
        <v>179</v>
      </c>
      <c r="I1673" s="9" t="s">
        <v>178</v>
      </c>
      <c r="J1673" s="147">
        <v>45845</v>
      </c>
      <c r="K1673" s="8" t="s">
        <v>198</v>
      </c>
      <c r="L1673" s="8" t="s">
        <v>124</v>
      </c>
      <c r="M1673" s="8" t="s">
        <v>37</v>
      </c>
      <c r="N1673" s="52" t="str">
        <f>IF(Follow[[#This Row],[DATAATUALIZAÇÃO]]&lt;=Follow[[#This Row],[Prev Entrega]],"Dentro do Prazo","Fora do Prazo")</f>
        <v>Dentro do Prazo</v>
      </c>
      <c r="O167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1766 Rastreio NM849288757BR, agradecemos a preferência e adoraríamos receber sua avaliação, tendo qualquer dúvida estamos à disposição.
Att
Tem tudo Shop</v>
      </c>
    </row>
    <row r="1674" spans="1:15">
      <c r="A1674" s="52" t="str">
        <f>_xlfn.XLOOKUP(Follow[[#This Row],[CODRASTREIO]],Controle_Pedidos[Cód Rastreamento],Controle_Pedidos[Número Pedido Cliente])</f>
        <v>Pedido 1767</v>
      </c>
      <c r="B1674" s="2" t="s">
        <v>19104</v>
      </c>
      <c r="C1674" s="2" t="str">
        <f>Follow[[#This Row],[CODRASTREIO]]&amp;" B"</f>
        <v>CódRastreio1662 B</v>
      </c>
      <c r="D1674" s="52" t="str">
        <f>_xlfn.XLOOKUP(Follow[[#This Row],[Id Pedido]],Controle_Pedidos[Número Pedido Cliente],Controle_Pedidos[Loja])</f>
        <v>BV</v>
      </c>
      <c r="E1674" s="9">
        <f>_xlfn.XLOOKUP(Follow[[#This Row],[Id Pedido]],Controle_Pedidos[Número Pedido Cliente],Controle_Pedidos[Prazo Entrega])</f>
        <v>45843</v>
      </c>
      <c r="F1674" s="9" t="s">
        <v>19434</v>
      </c>
      <c r="G1674" s="9" t="s">
        <v>37</v>
      </c>
      <c r="H1674" s="9" t="s">
        <v>178</v>
      </c>
      <c r="I1674" s="9" t="s">
        <v>178</v>
      </c>
      <c r="J1674" s="144">
        <v>45829</v>
      </c>
      <c r="K1674" s="54" t="s">
        <v>198</v>
      </c>
      <c r="L1674" s="8" t="s">
        <v>124</v>
      </c>
      <c r="M1674" s="8" t="s">
        <v>37</v>
      </c>
      <c r="N1674" s="52" t="str">
        <f>IF(Follow[[#This Row],[DATAATUALIZAÇÃO]]&lt;=Follow[[#This Row],[Prev Entrega]],"Dentro do Prazo","Fora do Prazo")</f>
        <v>Dentro do Prazo</v>
      </c>
      <c r="O167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21/06/2025, referente ao pedido Nº Pedido 1767 Rastreio Pedido 1767, agradecemos a preferência e adoraríamos receber sua avaliação, tendo qualquer dúvida estamos à disposição.
Att
Tem tudo Shop</v>
      </c>
    </row>
    <row r="1675" spans="1:15">
      <c r="A1675" s="52" t="str">
        <f>_xlfn.XLOOKUP(Follow[[#This Row],[CODRASTREIO]],Controle_Pedidos[Cód Rastreamento],Controle_Pedidos[Número Pedido Cliente])</f>
        <v>Pedido 1768</v>
      </c>
      <c r="B1675" s="2" t="s">
        <v>19105</v>
      </c>
      <c r="C1675" s="2" t="str">
        <f>Follow[[#This Row],[CODRASTREIO]]&amp;" B"</f>
        <v>CódRastreio1663 B</v>
      </c>
      <c r="D1675" s="52" t="str">
        <f>_xlfn.XLOOKUP(Follow[[#This Row],[Id Pedido]],Controle_Pedidos[Número Pedido Cliente],Controle_Pedidos[Loja])</f>
        <v>BV</v>
      </c>
      <c r="E1675" s="9">
        <f>_xlfn.XLOOKUP(Follow[[#This Row],[Id Pedido]],Controle_Pedidos[Número Pedido Cliente],Controle_Pedidos[Prazo Entrega])</f>
        <v>45849</v>
      </c>
      <c r="F1675" s="9" t="s">
        <v>19434</v>
      </c>
      <c r="G1675" s="9" t="s">
        <v>37</v>
      </c>
      <c r="H1675" s="9" t="s">
        <v>178</v>
      </c>
      <c r="I1675" s="9" t="s">
        <v>178</v>
      </c>
      <c r="J1675" s="144">
        <v>45831</v>
      </c>
      <c r="K1675" s="54" t="s">
        <v>198</v>
      </c>
      <c r="L1675" s="8" t="s">
        <v>124</v>
      </c>
      <c r="M1675" s="8" t="s">
        <v>37</v>
      </c>
      <c r="N1675" s="52" t="str">
        <f>IF(Follow[[#This Row],[DATAATUALIZAÇÃO]]&lt;=Follow[[#This Row],[Prev Entrega]],"Dentro do Prazo","Fora do Prazo")</f>
        <v>Dentro do Prazo</v>
      </c>
      <c r="O167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1768 Rastreio Pedido 1768, agradecemos a preferência e adoraríamos receber sua avaliação, tendo qualquer dúvida estamos à disposição.
Att
Tem tudo Shop</v>
      </c>
    </row>
    <row r="1676" spans="1:15">
      <c r="A1676" s="52" t="str">
        <f>_xlfn.XLOOKUP(Follow[[#This Row],[CODRASTREIO]],Controle_Pedidos[Cód Rastreamento],Controle_Pedidos[Número Pedido Cliente])</f>
        <v>Pedido 1769</v>
      </c>
      <c r="B1676" s="2" t="s">
        <v>19106</v>
      </c>
      <c r="C1676" s="2" t="str">
        <f>Follow[[#This Row],[CODRASTREIO]]&amp;" B"</f>
        <v>CódRastreio1664 B</v>
      </c>
      <c r="D1676" s="52" t="str">
        <f>_xlfn.XLOOKUP(Follow[[#This Row],[Id Pedido]],Controle_Pedidos[Número Pedido Cliente],Controle_Pedidos[Loja])</f>
        <v>BV</v>
      </c>
      <c r="E1676" s="9">
        <f>_xlfn.XLOOKUP(Follow[[#This Row],[Id Pedido]],Controle_Pedidos[Número Pedido Cliente],Controle_Pedidos[Prazo Entrega])</f>
        <v>45856</v>
      </c>
      <c r="F1676" s="9" t="s">
        <v>19433</v>
      </c>
      <c r="G1676" s="9" t="s">
        <v>741</v>
      </c>
      <c r="H1676" s="9" t="s">
        <v>179</v>
      </c>
      <c r="I1676" s="9" t="s">
        <v>178</v>
      </c>
      <c r="J1676" s="147">
        <v>45838</v>
      </c>
      <c r="K1676" s="8" t="s">
        <v>198</v>
      </c>
      <c r="L1676" s="8" t="s">
        <v>124</v>
      </c>
      <c r="M1676" s="8" t="s">
        <v>37</v>
      </c>
      <c r="N1676" s="52" t="str">
        <f>IF(Follow[[#This Row],[DATAATUALIZAÇÃO]]&lt;=Follow[[#This Row],[Prev Entrega]],"Dentro do Prazo","Fora do Prazo")</f>
        <v>Dentro do Prazo</v>
      </c>
      <c r="O167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30/06/2025, referente ao pedido Nº Pedido 1769 Rastreio CNBR00078767632, agradecemos a preferência e adoraríamos receber sua avaliação, tendo qualquer dúvida estamos à disposição.
Att
Tem tudo Shop</v>
      </c>
    </row>
    <row r="1677" spans="1:15">
      <c r="A1677" s="52" t="str">
        <f>_xlfn.XLOOKUP(Follow[[#This Row],[CODRASTREIO]],Controle_Pedidos[Cód Rastreamento],Controle_Pedidos[Número Pedido Cliente])</f>
        <v>Pedido 1770</v>
      </c>
      <c r="B1677" s="2" t="s">
        <v>19107</v>
      </c>
      <c r="C1677" s="2" t="str">
        <f>Follow[[#This Row],[CODRASTREIO]]&amp;" B"</f>
        <v>CódRastreio1665 B</v>
      </c>
      <c r="D1677" s="52" t="str">
        <f>_xlfn.XLOOKUP(Follow[[#This Row],[Id Pedido]],Controle_Pedidos[Número Pedido Cliente],Controle_Pedidos[Loja])</f>
        <v>BV</v>
      </c>
      <c r="E1677" s="9">
        <f>_xlfn.XLOOKUP(Follow[[#This Row],[Id Pedido]],Controle_Pedidos[Número Pedido Cliente],Controle_Pedidos[Prazo Entrega])</f>
        <v>45843</v>
      </c>
      <c r="F1677" s="9" t="s">
        <v>19433</v>
      </c>
      <c r="G1677" s="9" t="s">
        <v>742</v>
      </c>
      <c r="H1677" s="9" t="s">
        <v>179</v>
      </c>
      <c r="I1677" s="9" t="s">
        <v>178</v>
      </c>
      <c r="J1677" s="147">
        <v>45834</v>
      </c>
      <c r="K1677" s="8" t="s">
        <v>198</v>
      </c>
      <c r="L1677" s="8" t="s">
        <v>124</v>
      </c>
      <c r="M1677" s="8" t="s">
        <v>37</v>
      </c>
      <c r="N1677" s="52" t="str">
        <f>IF(Follow[[#This Row],[DATAATUALIZAÇÃO]]&lt;=Follow[[#This Row],[Prev Entrega]],"Dentro do Prazo","Fora do Prazo")</f>
        <v>Dentro do Prazo</v>
      </c>
      <c r="O167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26/06/2025, referente ao pedido Nº Pedido 1770 Rastreio NM849309165BR, agradecemos a preferência e adoraríamos receber sua avaliação, tendo qualquer dúvida estamos à disposição.
Att
Tem tudo Shop</v>
      </c>
    </row>
    <row r="1678" spans="1:15">
      <c r="A1678" s="52" t="str">
        <f>_xlfn.XLOOKUP(Follow[[#This Row],[CODRASTREIO]],Controle_Pedidos[Cód Rastreamento],Controle_Pedidos[Número Pedido Cliente])</f>
        <v>Pedido 1771</v>
      </c>
      <c r="B1678" s="2" t="s">
        <v>19108</v>
      </c>
      <c r="C1678" s="2" t="str">
        <f>Follow[[#This Row],[CODRASTREIO]]&amp;" B"</f>
        <v>CódRastreio1666 B</v>
      </c>
      <c r="D1678" s="52" t="str">
        <f>_xlfn.XLOOKUP(Follow[[#This Row],[Id Pedido]],Controle_Pedidos[Número Pedido Cliente],Controle_Pedidos[Loja])</f>
        <v>BV</v>
      </c>
      <c r="E1678" s="9">
        <f>_xlfn.XLOOKUP(Follow[[#This Row],[Id Pedido]],Controle_Pedidos[Número Pedido Cliente],Controle_Pedidos[Prazo Entrega])</f>
        <v>45849</v>
      </c>
      <c r="F1678" s="9" t="s">
        <v>19434</v>
      </c>
      <c r="G1678" s="9" t="s">
        <v>37</v>
      </c>
      <c r="H1678" s="9" t="s">
        <v>178</v>
      </c>
      <c r="I1678" s="9" t="s">
        <v>178</v>
      </c>
      <c r="J1678" s="144">
        <v>45834</v>
      </c>
      <c r="K1678" s="54" t="s">
        <v>198</v>
      </c>
      <c r="L1678" s="8" t="s">
        <v>124</v>
      </c>
      <c r="M1678" s="8" t="s">
        <v>208</v>
      </c>
      <c r="N1678" s="52" t="str">
        <f>IF(Follow[[#This Row],[DATAATUALIZAÇÃO]]&lt;=Follow[[#This Row],[Prev Entrega]],"Dentro do Prazo","Fora do Prazo")</f>
        <v>Dentro do Prazo</v>
      </c>
      <c r="O167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26/06/2025, referente ao pedido Nº Pedido 1771 Rastreio Pedido 1771, agradecemos a preferência e adoraríamos receber sua avaliação, tendo qualquer dúvida estamos à disposição.
Att
Tem tudo Shop</v>
      </c>
    </row>
    <row r="1679" spans="1:15">
      <c r="A1679" s="52" t="str">
        <f>_xlfn.XLOOKUP(Follow[[#This Row],[CODRASTREIO]],Controle_Pedidos[Cód Rastreamento],Controle_Pedidos[Número Pedido Cliente])</f>
        <v>Pedido 1772</v>
      </c>
      <c r="B1679" s="2" t="s">
        <v>19109</v>
      </c>
      <c r="C1679" s="2" t="str">
        <f>Follow[[#This Row],[CODRASTREIO]]&amp;" B"</f>
        <v>CódRastreio1667 B</v>
      </c>
      <c r="D1679" s="52" t="str">
        <f>_xlfn.XLOOKUP(Follow[[#This Row],[Id Pedido]],Controle_Pedidos[Número Pedido Cliente],Controle_Pedidos[Loja])</f>
        <v>BV</v>
      </c>
      <c r="E1679" s="9">
        <f>_xlfn.XLOOKUP(Follow[[#This Row],[Id Pedido]],Controle_Pedidos[Número Pedido Cliente],Controle_Pedidos[Prazo Entrega])</f>
        <v>45849</v>
      </c>
      <c r="F1679" s="9" t="s">
        <v>19433</v>
      </c>
      <c r="G1679" s="9" t="s">
        <v>743</v>
      </c>
      <c r="H1679" s="9" t="s">
        <v>179</v>
      </c>
      <c r="I1679" s="9" t="s">
        <v>178</v>
      </c>
      <c r="J1679" s="147">
        <v>45835</v>
      </c>
      <c r="K1679" s="8" t="s">
        <v>198</v>
      </c>
      <c r="L1679" s="8" t="s">
        <v>124</v>
      </c>
      <c r="M1679" s="8" t="s">
        <v>37</v>
      </c>
      <c r="N1679" s="52" t="str">
        <f>IF(Follow[[#This Row],[DATAATUALIZAÇÃO]]&lt;=Follow[[#This Row],[Prev Entrega]],"Dentro do Prazo","Fora do Prazo")</f>
        <v>Dentro do Prazo</v>
      </c>
      <c r="O167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27/06/2025, referente ao pedido Nº Pedido 1772 Rastreio NM849325401BR, agradecemos a preferência e adoraríamos receber sua avaliação, tendo qualquer dúvida estamos à disposição.
Att
Tem tudo Shop</v>
      </c>
    </row>
    <row r="1680" spans="1:15">
      <c r="A1680" s="52" t="str">
        <f>_xlfn.XLOOKUP(Follow[[#This Row],[CODRASTREIO]],Controle_Pedidos[Cód Rastreamento],Controle_Pedidos[Número Pedido Cliente])</f>
        <v>Pedido 1773</v>
      </c>
      <c r="B1680" s="2" t="s">
        <v>19110</v>
      </c>
      <c r="C1680" s="2" t="str">
        <f>Follow[[#This Row],[CODRASTREIO]]&amp;" B"</f>
        <v>CódRastreio1668 B</v>
      </c>
      <c r="D1680" s="52" t="str">
        <f>_xlfn.XLOOKUP(Follow[[#This Row],[Id Pedido]],Controle_Pedidos[Número Pedido Cliente],Controle_Pedidos[Loja])</f>
        <v>BV</v>
      </c>
      <c r="E1680" s="9">
        <f>_xlfn.XLOOKUP(Follow[[#This Row],[Id Pedido]],Controle_Pedidos[Número Pedido Cliente],Controle_Pedidos[Prazo Entrega])</f>
        <v>45849</v>
      </c>
      <c r="F1680" s="9" t="s">
        <v>19434</v>
      </c>
      <c r="G1680" s="9" t="s">
        <v>37</v>
      </c>
      <c r="H1680" s="9" t="s">
        <v>178</v>
      </c>
      <c r="I1680" s="9" t="s">
        <v>178</v>
      </c>
      <c r="J1680" s="144">
        <v>45831</v>
      </c>
      <c r="K1680" s="54" t="s">
        <v>198</v>
      </c>
      <c r="L1680" s="8" t="s">
        <v>124</v>
      </c>
      <c r="M1680" s="8" t="s">
        <v>37</v>
      </c>
      <c r="N1680" s="52" t="str">
        <f>IF(Follow[[#This Row],[DATAATUALIZAÇÃO]]&lt;=Follow[[#This Row],[Prev Entrega]],"Dentro do Prazo","Fora do Prazo")</f>
        <v>Dentro do Prazo</v>
      </c>
      <c r="O168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1773 Rastreio Pedido 1773, agradecemos a preferência e adoraríamos receber sua avaliação, tendo qualquer dúvida estamos à disposição.
Att
Tem tudo Shop</v>
      </c>
    </row>
    <row r="1681" spans="1:15">
      <c r="A1681" s="52" t="str">
        <f>_xlfn.XLOOKUP(Follow[[#This Row],[CODRASTREIO]],Controle_Pedidos[Cód Rastreamento],Controle_Pedidos[Número Pedido Cliente])</f>
        <v>Pedido 1774</v>
      </c>
      <c r="B1681" s="2" t="s">
        <v>19111</v>
      </c>
      <c r="C1681" s="2" t="str">
        <f>Follow[[#This Row],[CODRASTREIO]]&amp;" B"</f>
        <v>CódRastreio1669 B</v>
      </c>
      <c r="D1681" s="52" t="str">
        <f>_xlfn.XLOOKUP(Follow[[#This Row],[Id Pedido]],Controle_Pedidos[Número Pedido Cliente],Controle_Pedidos[Loja])</f>
        <v>BV</v>
      </c>
      <c r="E1681" s="9">
        <f>_xlfn.XLOOKUP(Follow[[#This Row],[Id Pedido]],Controle_Pedidos[Número Pedido Cliente],Controle_Pedidos[Prazo Entrega])</f>
        <v>45843</v>
      </c>
      <c r="F1681" s="9" t="s">
        <v>19433</v>
      </c>
      <c r="G1681" s="9" t="s">
        <v>744</v>
      </c>
      <c r="H1681" s="9" t="s">
        <v>179</v>
      </c>
      <c r="I1681" s="9" t="s">
        <v>178</v>
      </c>
      <c r="J1681" s="147">
        <v>45838</v>
      </c>
      <c r="K1681" s="8" t="s">
        <v>198</v>
      </c>
      <c r="L1681" s="8" t="s">
        <v>124</v>
      </c>
      <c r="M1681" s="8" t="s">
        <v>37</v>
      </c>
      <c r="N1681" s="52" t="str">
        <f>IF(Follow[[#This Row],[DATAATUALIZAÇÃO]]&lt;=Follow[[#This Row],[Prev Entrega]],"Dentro do Prazo","Fora do Prazo")</f>
        <v>Dentro do Prazo</v>
      </c>
      <c r="O168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30/06/2025, referente ao pedido Nº Pedido 1774 Rastreio CNBR00078772211, agradecemos a preferência e adoraríamos receber sua avaliação, tendo qualquer dúvida estamos à disposição.
Att
Tem tudo Shop</v>
      </c>
    </row>
    <row r="1682" spans="1:15">
      <c r="A1682" s="52" t="str">
        <f>_xlfn.XLOOKUP(Follow[[#This Row],[CODRASTREIO]],Controle_Pedidos[Cód Rastreamento],Controle_Pedidos[Número Pedido Cliente])</f>
        <v>Pedido 1775</v>
      </c>
      <c r="B1682" s="2" t="s">
        <v>19112</v>
      </c>
      <c r="C1682" s="2" t="str">
        <f>Follow[[#This Row],[CODRASTREIO]]&amp;" B"</f>
        <v>CódRastreio1670 B</v>
      </c>
      <c r="D1682" s="52" t="str">
        <f>_xlfn.XLOOKUP(Follow[[#This Row],[Id Pedido]],Controle_Pedidos[Número Pedido Cliente],Controle_Pedidos[Loja])</f>
        <v>BV</v>
      </c>
      <c r="E1682" s="9">
        <f>_xlfn.XLOOKUP(Follow[[#This Row],[Id Pedido]],Controle_Pedidos[Número Pedido Cliente],Controle_Pedidos[Prazo Entrega])</f>
        <v>45856</v>
      </c>
      <c r="F1682" s="9" t="s">
        <v>19433</v>
      </c>
      <c r="G1682" s="9" t="s">
        <v>745</v>
      </c>
      <c r="H1682" s="9" t="s">
        <v>179</v>
      </c>
      <c r="I1682" s="9" t="s">
        <v>178</v>
      </c>
      <c r="J1682" s="147">
        <v>45845</v>
      </c>
      <c r="K1682" s="8" t="s">
        <v>198</v>
      </c>
      <c r="L1682" s="8" t="s">
        <v>124</v>
      </c>
      <c r="M1682" s="8" t="s">
        <v>37</v>
      </c>
      <c r="N1682" s="52" t="str">
        <f>IF(Follow[[#This Row],[DATAATUALIZAÇÃO]]&lt;=Follow[[#This Row],[Prev Entrega]],"Dentro do Prazo","Fora do Prazo")</f>
        <v>Dentro do Prazo</v>
      </c>
      <c r="O16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1775 Rastreio CNBR00078776603, agradecemos a preferência e adoraríamos receber sua avaliação, tendo qualquer dúvida estamos à disposição.
Att
Tem tudo Shop</v>
      </c>
    </row>
    <row r="1683" spans="1:15">
      <c r="A1683" s="52" t="str">
        <f>_xlfn.XLOOKUP(Follow[[#This Row],[CODRASTREIO]],Controle_Pedidos[Cód Rastreamento],Controle_Pedidos[Número Pedido Cliente])</f>
        <v>Pedido 1776</v>
      </c>
      <c r="B1683" s="2" t="s">
        <v>19113</v>
      </c>
      <c r="C1683" s="2" t="str">
        <f>Follow[[#This Row],[CODRASTREIO]]&amp;" B"</f>
        <v>CódRastreio1671 B</v>
      </c>
      <c r="D1683" s="52" t="str">
        <f>_xlfn.XLOOKUP(Follow[[#This Row],[Id Pedido]],Controle_Pedidos[Número Pedido Cliente],Controle_Pedidos[Loja])</f>
        <v>BV</v>
      </c>
      <c r="E1683" s="9">
        <f>_xlfn.XLOOKUP(Follow[[#This Row],[Id Pedido]],Controle_Pedidos[Número Pedido Cliente],Controle_Pedidos[Prazo Entrega])</f>
        <v>45849</v>
      </c>
      <c r="F1683" s="9" t="s">
        <v>19433</v>
      </c>
      <c r="G1683" s="9" t="s">
        <v>746</v>
      </c>
      <c r="H1683" s="9" t="s">
        <v>179</v>
      </c>
      <c r="I1683" s="9" t="s">
        <v>178</v>
      </c>
      <c r="J1683" s="147">
        <v>45841</v>
      </c>
      <c r="K1683" s="8" t="s">
        <v>198</v>
      </c>
      <c r="L1683" s="8" t="s">
        <v>124</v>
      </c>
      <c r="M1683" s="8" t="s">
        <v>37</v>
      </c>
      <c r="N1683" s="52" t="str">
        <f>IF(Follow[[#This Row],[DATAATUALIZAÇÃO]]&lt;=Follow[[#This Row],[Prev Entrega]],"Dentro do Prazo","Fora do Prazo")</f>
        <v>Dentro do Prazo</v>
      </c>
      <c r="O168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1776 Rastreio CNBR00078762945, agradecemos a preferência e adoraríamos receber sua avaliação, tendo qualquer dúvida estamos à disposição.
Att
Tem tudo Shop</v>
      </c>
    </row>
    <row r="1684" spans="1:15">
      <c r="A1684" s="52" t="str">
        <f>_xlfn.XLOOKUP(Follow[[#This Row],[CODRASTREIO]],Controle_Pedidos[Cód Rastreamento],Controle_Pedidos[Número Pedido Cliente])</f>
        <v>Pedido 1777</v>
      </c>
      <c r="B1684" s="2" t="s">
        <v>19114</v>
      </c>
      <c r="C1684" s="2" t="str">
        <f>Follow[[#This Row],[CODRASTREIO]]&amp;" B"</f>
        <v>CódRastreio1672 B</v>
      </c>
      <c r="D1684" s="52" t="str">
        <f>_xlfn.XLOOKUP(Follow[[#This Row],[Id Pedido]],Controle_Pedidos[Número Pedido Cliente],Controle_Pedidos[Loja])</f>
        <v>BV</v>
      </c>
      <c r="E1684" s="9">
        <f>_xlfn.XLOOKUP(Follow[[#This Row],[Id Pedido]],Controle_Pedidos[Número Pedido Cliente],Controle_Pedidos[Prazo Entrega])</f>
        <v>45850</v>
      </c>
      <c r="F1684" s="9" t="s">
        <v>19433</v>
      </c>
      <c r="G1684" s="9" t="s">
        <v>747</v>
      </c>
      <c r="H1684" s="9" t="s">
        <v>179</v>
      </c>
      <c r="I1684" s="9" t="s">
        <v>178</v>
      </c>
      <c r="J1684" s="147">
        <v>45839</v>
      </c>
      <c r="K1684" s="8" t="s">
        <v>198</v>
      </c>
      <c r="L1684" s="8" t="s">
        <v>124</v>
      </c>
      <c r="M1684" s="8" t="s">
        <v>37</v>
      </c>
      <c r="N1684" s="52" t="str">
        <f>IF(Follow[[#This Row],[DATAATUALIZAÇÃO]]&lt;=Follow[[#This Row],[Prev Entrega]],"Dentro do Prazo","Fora do Prazo")</f>
        <v>Dentro do Prazo</v>
      </c>
      <c r="O16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01/07/2025, referente ao pedido Nº Pedido 1777 Rastreio CNBR00079143099, agradecemos a preferência e adoraríamos receber sua avaliação, tendo qualquer dúvida estamos à disposição.
Att
Tem tudo Shop</v>
      </c>
    </row>
    <row r="1685" spans="1:15">
      <c r="A1685" s="52" t="str">
        <f>_xlfn.XLOOKUP(Follow[[#This Row],[CODRASTREIO]],Controle_Pedidos[Cód Rastreamento],Controle_Pedidos[Número Pedido Cliente])</f>
        <v>Pedido 1778</v>
      </c>
      <c r="B1685" s="2" t="s">
        <v>19115</v>
      </c>
      <c r="C1685" s="2" t="str">
        <f>Follow[[#This Row],[CODRASTREIO]]&amp;" B"</f>
        <v>CódRastreio1673 B</v>
      </c>
      <c r="D1685" s="52" t="str">
        <f>_xlfn.XLOOKUP(Follow[[#This Row],[Id Pedido]],Controle_Pedidos[Número Pedido Cliente],Controle_Pedidos[Loja])</f>
        <v>BV</v>
      </c>
      <c r="E1685" s="9">
        <f>_xlfn.XLOOKUP(Follow[[#This Row],[Id Pedido]],Controle_Pedidos[Número Pedido Cliente],Controle_Pedidos[Prazo Entrega])</f>
        <v>45850</v>
      </c>
      <c r="F1685" s="9" t="s">
        <v>19433</v>
      </c>
      <c r="G1685" s="9" t="s">
        <v>748</v>
      </c>
      <c r="H1685" s="9" t="s">
        <v>179</v>
      </c>
      <c r="I1685" s="9" t="s">
        <v>178</v>
      </c>
      <c r="J1685" s="147">
        <v>45841</v>
      </c>
      <c r="K1685" s="8" t="s">
        <v>198</v>
      </c>
      <c r="L1685" s="8" t="s">
        <v>124</v>
      </c>
      <c r="M1685" s="8" t="s">
        <v>37</v>
      </c>
      <c r="N1685" s="52" t="str">
        <f>IF(Follow[[#This Row],[DATAATUALIZAÇÃO]]&lt;=Follow[[#This Row],[Prev Entrega]],"Dentro do Prazo","Fora do Prazo")</f>
        <v>Dentro do Prazo</v>
      </c>
      <c r="O168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1778 Rastreio NM851456873BR, agradecemos a preferência e adoraríamos receber sua avaliação, tendo qualquer dúvida estamos à disposição.
Att
Tem tudo Shop</v>
      </c>
    </row>
    <row r="1686" spans="1:15">
      <c r="A1686" s="52" t="str">
        <f>_xlfn.XLOOKUP(Follow[[#This Row],[CODRASTREIO]],Controle_Pedidos[Cód Rastreamento],Controle_Pedidos[Número Pedido Cliente])</f>
        <v>Pedido 1779</v>
      </c>
      <c r="B1686" s="2" t="s">
        <v>19116</v>
      </c>
      <c r="C1686" s="2" t="str">
        <f>Follow[[#This Row],[CODRASTREIO]]&amp;" B"</f>
        <v>CódRastreio1674 B</v>
      </c>
      <c r="D1686" s="52" t="str">
        <f>_xlfn.XLOOKUP(Follow[[#This Row],[Id Pedido]],Controle_Pedidos[Número Pedido Cliente],Controle_Pedidos[Loja])</f>
        <v>BV</v>
      </c>
      <c r="E1686" s="9">
        <f>_xlfn.XLOOKUP(Follow[[#This Row],[Id Pedido]],Controle_Pedidos[Número Pedido Cliente],Controle_Pedidos[Prazo Entrega])</f>
        <v>45850</v>
      </c>
      <c r="F1686" s="9" t="s">
        <v>19433</v>
      </c>
      <c r="G1686" s="9" t="s">
        <v>749</v>
      </c>
      <c r="H1686" s="9" t="s">
        <v>179</v>
      </c>
      <c r="I1686" s="9" t="s">
        <v>178</v>
      </c>
      <c r="J1686" s="147">
        <v>45847</v>
      </c>
      <c r="K1686" s="8" t="s">
        <v>198</v>
      </c>
      <c r="L1686" s="8" t="s">
        <v>124</v>
      </c>
      <c r="M1686" s="8" t="s">
        <v>37</v>
      </c>
      <c r="N1686" s="52" t="str">
        <f>IF(Follow[[#This Row],[DATAATUALIZAÇÃO]]&lt;=Follow[[#This Row],[Prev Entrega]],"Dentro do Prazo","Fora do Prazo")</f>
        <v>Dentro do Prazo</v>
      </c>
      <c r="O168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1779 Rastreio NM851594702BR, agradecemos a preferência e adoraríamos receber sua avaliação, tendo qualquer dúvida estamos à disposição.
Att
Tem tudo Shop</v>
      </c>
    </row>
    <row r="1687" spans="1:15">
      <c r="A1687" s="52" t="str">
        <f>_xlfn.XLOOKUP(Follow[[#This Row],[CODRASTREIO]],Controle_Pedidos[Cód Rastreamento],Controle_Pedidos[Número Pedido Cliente])</f>
        <v>Pedido 1780</v>
      </c>
      <c r="B1687" s="2" t="s">
        <v>19117</v>
      </c>
      <c r="C1687" s="2" t="str">
        <f>Follow[[#This Row],[CODRASTREIO]]&amp;" B"</f>
        <v>CódRastreio1675 B</v>
      </c>
      <c r="D1687" s="52" t="str">
        <f>_xlfn.XLOOKUP(Follow[[#This Row],[Id Pedido]],Controle_Pedidos[Número Pedido Cliente],Controle_Pedidos[Loja])</f>
        <v>BV</v>
      </c>
      <c r="E1687" s="9">
        <f>_xlfn.XLOOKUP(Follow[[#This Row],[Id Pedido]],Controle_Pedidos[Número Pedido Cliente],Controle_Pedidos[Prazo Entrega])</f>
        <v>45857</v>
      </c>
      <c r="F1687" s="9" t="s">
        <v>19433</v>
      </c>
      <c r="G1687" s="9" t="s">
        <v>750</v>
      </c>
      <c r="H1687" s="9" t="s">
        <v>179</v>
      </c>
      <c r="I1687" s="9" t="s">
        <v>178</v>
      </c>
      <c r="J1687" s="147">
        <v>45839</v>
      </c>
      <c r="K1687" s="8" t="s">
        <v>198</v>
      </c>
      <c r="L1687" s="8" t="s">
        <v>124</v>
      </c>
      <c r="M1687" s="8" t="s">
        <v>37</v>
      </c>
      <c r="N1687" s="52" t="str">
        <f>IF(Follow[[#This Row],[DATAATUALIZAÇÃO]]&lt;=Follow[[#This Row],[Prev Entrega]],"Dentro do Prazo","Fora do Prazo")</f>
        <v>Dentro do Prazo</v>
      </c>
      <c r="O168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01/07/2025, referente ao pedido Nº Pedido 1780 Rastreio CNBR00079134965, agradecemos a preferência e adoraríamos receber sua avaliação, tendo qualquer dúvida estamos à disposição.
Att
Tem tudo Shop</v>
      </c>
    </row>
    <row r="1688" spans="1:15">
      <c r="A1688" s="52" t="str">
        <f>_xlfn.XLOOKUP(Follow[[#This Row],[CODRASTREIO]],Controle_Pedidos[Cód Rastreamento],Controle_Pedidos[Número Pedido Cliente])</f>
        <v>Pedido 1781</v>
      </c>
      <c r="B1688" s="2" t="s">
        <v>19118</v>
      </c>
      <c r="C1688" s="2" t="str">
        <f>Follow[[#This Row],[CODRASTREIO]]&amp;" B"</f>
        <v>CódRastreio1676 B</v>
      </c>
      <c r="D1688" s="52" t="str">
        <f>_xlfn.XLOOKUP(Follow[[#This Row],[Id Pedido]],Controle_Pedidos[Número Pedido Cliente],Controle_Pedidos[Loja])</f>
        <v>BV</v>
      </c>
      <c r="E1688" s="9">
        <f>_xlfn.XLOOKUP(Follow[[#This Row],[Id Pedido]],Controle_Pedidos[Número Pedido Cliente],Controle_Pedidos[Prazo Entrega])</f>
        <v>45857</v>
      </c>
      <c r="F1688" s="9" t="s">
        <v>19433</v>
      </c>
      <c r="G1688" s="9" t="s">
        <v>751</v>
      </c>
      <c r="H1688" s="9" t="s">
        <v>179</v>
      </c>
      <c r="I1688" s="9" t="s">
        <v>178</v>
      </c>
      <c r="J1688" s="147">
        <v>45839</v>
      </c>
      <c r="K1688" s="8" t="s">
        <v>198</v>
      </c>
      <c r="L1688" s="8" t="s">
        <v>124</v>
      </c>
      <c r="M1688" s="8" t="s">
        <v>37</v>
      </c>
      <c r="N1688" s="52" t="str">
        <f>IF(Follow[[#This Row],[DATAATUALIZAÇÃO]]&lt;=Follow[[#This Row],[Prev Entrega]],"Dentro do Prazo","Fora do Prazo")</f>
        <v>Dentro do Prazo</v>
      </c>
      <c r="O168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01/07/2025, referente ao pedido Nº Pedido 1781 Rastreio CNBR00079148178, agradecemos a preferência e adoraríamos receber sua avaliação, tendo qualquer dúvida estamos à disposição.
Att
Tem tudo Shop</v>
      </c>
    </row>
    <row r="1689" spans="1:15">
      <c r="A1689" s="52" t="str">
        <f>_xlfn.XLOOKUP(Follow[[#This Row],[CODRASTREIO]],Controle_Pedidos[Cód Rastreamento],Controle_Pedidos[Número Pedido Cliente])</f>
        <v>Pedido 1782</v>
      </c>
      <c r="B1689" s="2" t="s">
        <v>19119</v>
      </c>
      <c r="C1689" s="2" t="str">
        <f>Follow[[#This Row],[CODRASTREIO]]&amp;" B"</f>
        <v>CódRastreio1677 B</v>
      </c>
      <c r="D1689" s="52" t="str">
        <f>_xlfn.XLOOKUP(Follow[[#This Row],[Id Pedido]],Controle_Pedidos[Número Pedido Cliente],Controle_Pedidos[Loja])</f>
        <v>BV</v>
      </c>
      <c r="E1689" s="9">
        <f>_xlfn.XLOOKUP(Follow[[#This Row],[Id Pedido]],Controle_Pedidos[Número Pedido Cliente],Controle_Pedidos[Prazo Entrega])</f>
        <v>45850</v>
      </c>
      <c r="F1689" s="9" t="s">
        <v>19434</v>
      </c>
      <c r="G1689" s="9" t="s">
        <v>37</v>
      </c>
      <c r="H1689" s="9" t="s">
        <v>178</v>
      </c>
      <c r="I1689" s="9" t="s">
        <v>178</v>
      </c>
      <c r="J1689" s="144">
        <v>45831</v>
      </c>
      <c r="K1689" s="54" t="s">
        <v>198</v>
      </c>
      <c r="L1689" s="8" t="s">
        <v>124</v>
      </c>
      <c r="M1689" s="8" t="s">
        <v>37</v>
      </c>
      <c r="N1689" s="52" t="str">
        <f>IF(Follow[[#This Row],[DATAATUALIZAÇÃO]]&lt;=Follow[[#This Row],[Prev Entrega]],"Dentro do Prazo","Fora do Prazo")</f>
        <v>Dentro do Prazo</v>
      </c>
      <c r="O168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23/06/2025, referente ao pedido Nº Pedido 1782 Rastreio Pedido 1782, agradecemos a preferência e adoraríamos receber sua avaliação, tendo qualquer dúvida estamos à disposição.
Att
Tem tudo Shop</v>
      </c>
    </row>
    <row r="1690" spans="1:15">
      <c r="A1690" s="52" t="str">
        <f>_xlfn.XLOOKUP(Follow[[#This Row],[CODRASTREIO]],Controle_Pedidos[Cód Rastreamento],Controle_Pedidos[Número Pedido Cliente])</f>
        <v>Pedido 1783</v>
      </c>
      <c r="B1690" s="2" t="s">
        <v>19120</v>
      </c>
      <c r="C1690" s="2" t="str">
        <f>Follow[[#This Row],[CODRASTREIO]]&amp;" B"</f>
        <v>CódRastreio1678 B</v>
      </c>
      <c r="D1690" s="52" t="str">
        <f>_xlfn.XLOOKUP(Follow[[#This Row],[Id Pedido]],Controle_Pedidos[Número Pedido Cliente],Controle_Pedidos[Loja])</f>
        <v>BV</v>
      </c>
      <c r="E1690" s="9">
        <f>_xlfn.XLOOKUP(Follow[[#This Row],[Id Pedido]],Controle_Pedidos[Número Pedido Cliente],Controle_Pedidos[Prazo Entrega])</f>
        <v>45846</v>
      </c>
      <c r="F1690" s="9" t="s">
        <v>19434</v>
      </c>
      <c r="G1690" s="9" t="s">
        <v>37</v>
      </c>
      <c r="H1690" s="9" t="s">
        <v>178</v>
      </c>
      <c r="I1690" s="9" t="s">
        <v>178</v>
      </c>
      <c r="J1690" s="144">
        <v>45828</v>
      </c>
      <c r="K1690" s="54" t="s">
        <v>198</v>
      </c>
      <c r="L1690" s="8" t="s">
        <v>124</v>
      </c>
      <c r="M1690" s="8" t="s">
        <v>37</v>
      </c>
      <c r="N1690" s="52" t="str">
        <f>IF(Follow[[#This Row],[DATAATUALIZAÇÃO]]&lt;=Follow[[#This Row],[Prev Entrega]],"Dentro do Prazo","Fora do Prazo")</f>
        <v>Dentro do Prazo</v>
      </c>
      <c r="O169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20/06/2025, referente ao pedido Nº Pedido 1783 Rastreio Pedido 1783, agradecemos a preferência e adoraríamos receber sua avaliação, tendo qualquer dúvida estamos à disposição.
Att
Tem tudo Shop</v>
      </c>
    </row>
    <row r="1691" spans="1:15">
      <c r="A1691" s="52" t="str">
        <f>_xlfn.XLOOKUP(Follow[[#This Row],[CODRASTREIO]],Controle_Pedidos[Cód Rastreamento],Controle_Pedidos[Número Pedido Cliente])</f>
        <v>Pedido 1784</v>
      </c>
      <c r="B1691" s="2" t="s">
        <v>19121</v>
      </c>
      <c r="C1691" s="2" t="str">
        <f>Follow[[#This Row],[CODRASTREIO]]&amp;" B"</f>
        <v>CódRastreio1679 B</v>
      </c>
      <c r="D1691" s="52" t="str">
        <f>_xlfn.XLOOKUP(Follow[[#This Row],[Id Pedido]],Controle_Pedidos[Número Pedido Cliente],Controle_Pedidos[Loja])</f>
        <v>BV</v>
      </c>
      <c r="E1691" s="9">
        <f>_xlfn.XLOOKUP(Follow[[#This Row],[Id Pedido]],Controle_Pedidos[Número Pedido Cliente],Controle_Pedidos[Prazo Entrega])</f>
        <v>45857</v>
      </c>
      <c r="F1691" s="9" t="s">
        <v>19433</v>
      </c>
      <c r="G1691" s="9" t="s">
        <v>752</v>
      </c>
      <c r="H1691" s="9" t="s">
        <v>179</v>
      </c>
      <c r="I1691" s="9" t="s">
        <v>178</v>
      </c>
      <c r="J1691" s="147">
        <v>45846</v>
      </c>
      <c r="K1691" s="8" t="s">
        <v>198</v>
      </c>
      <c r="L1691" s="8" t="s">
        <v>124</v>
      </c>
      <c r="M1691" s="8" t="s">
        <v>37</v>
      </c>
      <c r="N1691" s="52" t="str">
        <f>IF(Follow[[#This Row],[DATAATUALIZAÇÃO]]&lt;=Follow[[#This Row],[Prev Entrega]],"Dentro do Prazo","Fora do Prazo")</f>
        <v>Dentro do Prazo</v>
      </c>
      <c r="O169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08/07/2025, referente ao pedido Nº Pedido 1784 Rastreio CNBR00079148745, agradecemos a preferência e adoraríamos receber sua avaliação, tendo qualquer dúvida estamos à disposição.
Att
Tem tudo Shop</v>
      </c>
    </row>
    <row r="1692" spans="1:15">
      <c r="A1692" s="52" t="str">
        <f>_xlfn.XLOOKUP(Follow[[#This Row],[CODRASTREIO]],Controle_Pedidos[Cód Rastreamento],Controle_Pedidos[Número Pedido Cliente])</f>
        <v>Pedido 1785</v>
      </c>
      <c r="B1692" s="2" t="s">
        <v>19122</v>
      </c>
      <c r="C1692" s="2" t="str">
        <f>Follow[[#This Row],[CODRASTREIO]]&amp;" B"</f>
        <v>CódRastreio1680 B</v>
      </c>
      <c r="D1692" s="52" t="str">
        <f>_xlfn.XLOOKUP(Follow[[#This Row],[Id Pedido]],Controle_Pedidos[Número Pedido Cliente],Controle_Pedidos[Loja])</f>
        <v>GO</v>
      </c>
      <c r="E1692" s="9">
        <f>_xlfn.XLOOKUP(Follow[[#This Row],[Id Pedido]],Controle_Pedidos[Número Pedido Cliente],Controle_Pedidos[Prazo Entrega])</f>
        <v>45849</v>
      </c>
      <c r="F1692" s="9" t="s">
        <v>19434</v>
      </c>
      <c r="G1692" s="9" t="s">
        <v>37</v>
      </c>
      <c r="H1692" s="9" t="s">
        <v>178</v>
      </c>
      <c r="I1692" s="9" t="s">
        <v>178</v>
      </c>
      <c r="J1692" s="144">
        <v>45834</v>
      </c>
      <c r="K1692" s="54" t="s">
        <v>198</v>
      </c>
      <c r="L1692" s="8" t="s">
        <v>124</v>
      </c>
      <c r="M1692" s="8" t="s">
        <v>37</v>
      </c>
      <c r="N1692" s="52" t="str">
        <f>IF(Follow[[#This Row],[DATAATUALIZAÇÃO]]&lt;=Follow[[#This Row],[Prev Entrega]],"Dentro do Prazo","Fora do Prazo")</f>
        <v>Dentro do Prazo</v>
      </c>
      <c r="O169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Cortador de Legumes foi entregue no dia 26/06/2025, referente ao pedido Nº Pedido 1785 Rastreio Pedido 1785, agradecemos a preferência e adoraríamos receber sua avaliação, tendo qualquer dúvida estamos à disposição.
Att
Sec Variedades</v>
      </c>
    </row>
    <row r="1693" spans="1:15">
      <c r="A1693" s="52" t="str">
        <f>_xlfn.XLOOKUP(Follow[[#This Row],[CODRASTREIO]],Controle_Pedidos[Cód Rastreamento],Controle_Pedidos[Número Pedido Cliente])</f>
        <v>Pedido 1786</v>
      </c>
      <c r="B1693" s="2" t="s">
        <v>19123</v>
      </c>
      <c r="C1693" s="2" t="str">
        <f>Follow[[#This Row],[CODRASTREIO]]&amp;" B"</f>
        <v>CódRastreio1681 B</v>
      </c>
      <c r="D1693" s="52" t="str">
        <f>_xlfn.XLOOKUP(Follow[[#This Row],[Id Pedido]],Controle_Pedidos[Número Pedido Cliente],Controle_Pedidos[Loja])</f>
        <v>GO</v>
      </c>
      <c r="E1693" s="9">
        <f>_xlfn.XLOOKUP(Follow[[#This Row],[Id Pedido]],Controle_Pedidos[Número Pedido Cliente],Controle_Pedidos[Prazo Entrega])</f>
        <v>45850</v>
      </c>
      <c r="F1693" s="9" t="s">
        <v>19434</v>
      </c>
      <c r="G1693" s="9" t="s">
        <v>37</v>
      </c>
      <c r="H1693" s="9" t="s">
        <v>178</v>
      </c>
      <c r="I1693" s="9" t="s">
        <v>178</v>
      </c>
      <c r="J1693" s="144">
        <v>45832</v>
      </c>
      <c r="K1693" s="54" t="s">
        <v>198</v>
      </c>
      <c r="L1693" s="8" t="s">
        <v>124</v>
      </c>
      <c r="M1693" s="8" t="s">
        <v>37</v>
      </c>
      <c r="N1693" s="52" t="str">
        <f>IF(Follow[[#This Row],[DATAATUALIZAÇÃO]]&lt;=Follow[[#This Row],[Prev Entrega]],"Dentro do Prazo","Fora do Prazo")</f>
        <v>Dentro do Prazo</v>
      </c>
      <c r="O169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24/06/2025, referente ao pedido Nº Pedido 1786 Rastreio Pedido 1786, agradecemos a preferência e adoraríamos receber sua avaliação, tendo qualquer dúvida estamos à disposição.
Att
Sec Variedades</v>
      </c>
    </row>
    <row r="1694" spans="1:15">
      <c r="A1694" s="52" t="str">
        <f>_xlfn.XLOOKUP(Follow[[#This Row],[CODRASTREIO]],Controle_Pedidos[Cód Rastreamento],Controle_Pedidos[Número Pedido Cliente])</f>
        <v>Pedido 1788</v>
      </c>
      <c r="B1694" s="2" t="s">
        <v>19125</v>
      </c>
      <c r="C1694" s="2" t="str">
        <f>Follow[[#This Row],[CODRASTREIO]]&amp;" B"</f>
        <v>CódRastreio1683 B</v>
      </c>
      <c r="D1694" s="52" t="str">
        <f>_xlfn.XLOOKUP(Follow[[#This Row],[Id Pedido]],Controle_Pedidos[Número Pedido Cliente],Controle_Pedidos[Loja])</f>
        <v>BV</v>
      </c>
      <c r="E1694" s="9">
        <f>_xlfn.XLOOKUP(Follow[[#This Row],[Id Pedido]],Controle_Pedidos[Número Pedido Cliente],Controle_Pedidos[Prazo Entrega])</f>
        <v>45854</v>
      </c>
      <c r="F1694" s="9" t="s">
        <v>19433</v>
      </c>
      <c r="G1694" s="9" t="s">
        <v>37</v>
      </c>
      <c r="H1694" s="9" t="s">
        <v>178</v>
      </c>
      <c r="I1694" s="9" t="s">
        <v>178</v>
      </c>
      <c r="J1694" s="9">
        <v>45840</v>
      </c>
      <c r="K1694" s="9" t="s">
        <v>198</v>
      </c>
      <c r="L1694" s="8" t="s">
        <v>124</v>
      </c>
      <c r="M1694" s="9" t="s">
        <v>37</v>
      </c>
      <c r="N1694" s="52" t="str">
        <f>IF(Follow[[#This Row],[DATAATUALIZAÇÃO]]&lt;=Follow[[#This Row],[Prev Entrega]],"Dentro do Prazo","Fora do Prazo")</f>
        <v>Dentro do Prazo</v>
      </c>
      <c r="O169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02/07/2025, referente ao pedido Nº Pedido 1788 Rastreio Pedido 1788, agradecemos a preferência e adoraríamos receber sua avaliação, tendo qualquer dúvida estamos à disposição.
Att
Tem tudo Shop</v>
      </c>
    </row>
    <row r="1695" spans="1:15">
      <c r="A1695" s="52" t="str">
        <f>_xlfn.XLOOKUP(Follow[[#This Row],[CODRASTREIO]],Controle_Pedidos[Cód Rastreamento],Controle_Pedidos[Número Pedido Cliente])</f>
        <v>Pedido 1789</v>
      </c>
      <c r="B1695" s="2" t="s">
        <v>19126</v>
      </c>
      <c r="C1695" s="2" t="str">
        <f>Follow[[#This Row],[CODRASTREIO]]&amp;" B"</f>
        <v>CódRastreio1684 B</v>
      </c>
      <c r="D1695" s="52" t="str">
        <f>_xlfn.XLOOKUP(Follow[[#This Row],[Id Pedido]],Controle_Pedidos[Número Pedido Cliente],Controle_Pedidos[Loja])</f>
        <v>BV</v>
      </c>
      <c r="E1695" s="9">
        <f>_xlfn.XLOOKUP(Follow[[#This Row],[Id Pedido]],Controle_Pedidos[Número Pedido Cliente],Controle_Pedidos[Prazo Entrega])</f>
        <v>45848</v>
      </c>
      <c r="F1695" s="9" t="s">
        <v>19433</v>
      </c>
      <c r="G1695" s="9" t="s">
        <v>753</v>
      </c>
      <c r="H1695" s="9" t="s">
        <v>179</v>
      </c>
      <c r="I1695" s="9" t="s">
        <v>178</v>
      </c>
      <c r="J1695" s="9">
        <v>45840</v>
      </c>
      <c r="K1695" s="9" t="s">
        <v>198</v>
      </c>
      <c r="L1695" s="8" t="s">
        <v>124</v>
      </c>
      <c r="M1695" s="9" t="s">
        <v>37</v>
      </c>
      <c r="N1695" s="52" t="str">
        <f>IF(Follow[[#This Row],[DATAATUALIZAÇÃO]]&lt;=Follow[[#This Row],[Prev Entrega]],"Dentro do Prazo","Fora do Prazo")</f>
        <v>Dentro do Prazo</v>
      </c>
      <c r="O169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02/07/2025, referente ao pedido Nº Pedido 1789 Rastreio NM854447425BR, agradecemos a preferência e adoraríamos receber sua avaliação, tendo qualquer dúvida estamos à disposição.
Att
Tem tudo Shop</v>
      </c>
    </row>
    <row r="1696" spans="1:15">
      <c r="A1696" s="52" t="str">
        <f>_xlfn.XLOOKUP(Follow[[#This Row],[CODRASTREIO]],Controle_Pedidos[Cód Rastreamento],Controle_Pedidos[Número Pedido Cliente])</f>
        <v>Pedido 1790</v>
      </c>
      <c r="B1696" s="2" t="s">
        <v>19127</v>
      </c>
      <c r="C1696" s="2" t="str">
        <f>Follow[[#This Row],[CODRASTREIO]]&amp;" B"</f>
        <v>CódRastreio1685 B</v>
      </c>
      <c r="D1696" s="52" t="str">
        <f>_xlfn.XLOOKUP(Follow[[#This Row],[Id Pedido]],Controle_Pedidos[Número Pedido Cliente],Controle_Pedidos[Loja])</f>
        <v>BV</v>
      </c>
      <c r="E1696" s="9">
        <f>_xlfn.XLOOKUP(Follow[[#This Row],[Id Pedido]],Controle_Pedidos[Número Pedido Cliente],Controle_Pedidos[Prazo Entrega])</f>
        <v>45854</v>
      </c>
      <c r="F1696" s="9" t="s">
        <v>19433</v>
      </c>
      <c r="G1696" s="9" t="s">
        <v>754</v>
      </c>
      <c r="H1696" s="9" t="s">
        <v>179</v>
      </c>
      <c r="I1696" s="9" t="s">
        <v>178</v>
      </c>
      <c r="J1696" s="9">
        <v>45845</v>
      </c>
      <c r="K1696" s="9" t="s">
        <v>198</v>
      </c>
      <c r="L1696" s="8" t="s">
        <v>124</v>
      </c>
      <c r="M1696" s="9" t="s">
        <v>37</v>
      </c>
      <c r="N1696" s="52" t="str">
        <f>IF(Follow[[#This Row],[DATAATUALIZAÇÃO]]&lt;=Follow[[#This Row],[Prev Entrega]],"Dentro do Prazo","Fora do Prazo")</f>
        <v>Dentro do Prazo</v>
      </c>
      <c r="O169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1790 Rastreio CNBR00079781541, agradecemos a preferência e adoraríamos receber sua avaliação, tendo qualquer dúvida estamos à disposição.
Att
Tem tudo Shop</v>
      </c>
    </row>
    <row r="1697" spans="1:15">
      <c r="A1697" s="52" t="str">
        <f>_xlfn.XLOOKUP(Follow[[#This Row],[CODRASTREIO]],Controle_Pedidos[Cód Rastreamento],Controle_Pedidos[Número Pedido Cliente])</f>
        <v>Pedido 1792</v>
      </c>
      <c r="B1697" s="2" t="s">
        <v>19129</v>
      </c>
      <c r="C1697" s="2" t="str">
        <f>Follow[[#This Row],[CODRASTREIO]]&amp;" B"</f>
        <v>CódRastreio1687 B</v>
      </c>
      <c r="D1697" s="52" t="str">
        <f>_xlfn.XLOOKUP(Follow[[#This Row],[Id Pedido]],Controle_Pedidos[Número Pedido Cliente],Controle_Pedidos[Loja])</f>
        <v>BV</v>
      </c>
      <c r="E1697" s="9">
        <f>_xlfn.XLOOKUP(Follow[[#This Row],[Id Pedido]],Controle_Pedidos[Número Pedido Cliente],Controle_Pedidos[Prazo Entrega])</f>
        <v>45854</v>
      </c>
      <c r="F1697" s="9" t="s">
        <v>19433</v>
      </c>
      <c r="G1697" s="9" t="s">
        <v>755</v>
      </c>
      <c r="H1697" s="9" t="s">
        <v>179</v>
      </c>
      <c r="I1697" s="9" t="s">
        <v>178</v>
      </c>
      <c r="J1697" s="9">
        <v>45845</v>
      </c>
      <c r="K1697" s="9" t="s">
        <v>198</v>
      </c>
      <c r="L1697" s="8" t="s">
        <v>124</v>
      </c>
      <c r="M1697" s="9" t="s">
        <v>37</v>
      </c>
      <c r="N1697" s="52" t="str">
        <f>IF(Follow[[#This Row],[DATAATUALIZAÇÃO]]&lt;=Follow[[#This Row],[Prev Entrega]],"Dentro do Prazo","Fora do Prazo")</f>
        <v>Dentro do Prazo</v>
      </c>
      <c r="O169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1792 Rastreio NM854469575BR, agradecemos a preferência e adoraríamos receber sua avaliação, tendo qualquer dúvida estamos à disposição.
Att
Tem tudo Shop</v>
      </c>
    </row>
    <row r="1698" spans="1:15">
      <c r="A1698" s="52" t="str">
        <f>_xlfn.XLOOKUP(Follow[[#This Row],[CODRASTREIO]],Controle_Pedidos[Cód Rastreamento],Controle_Pedidos[Número Pedido Cliente])</f>
        <v>Pedido 1793</v>
      </c>
      <c r="B1698" s="2" t="s">
        <v>19130</v>
      </c>
      <c r="C1698" s="2" t="str">
        <f>Follow[[#This Row],[CODRASTREIO]]&amp;" B"</f>
        <v>CódRastreio1688 B</v>
      </c>
      <c r="D1698" s="52" t="str">
        <f>_xlfn.XLOOKUP(Follow[[#This Row],[Id Pedido]],Controle_Pedidos[Número Pedido Cliente],Controle_Pedidos[Loja])</f>
        <v>BV</v>
      </c>
      <c r="E1698" s="9">
        <f>_xlfn.XLOOKUP(Follow[[#This Row],[Id Pedido]],Controle_Pedidos[Número Pedido Cliente],Controle_Pedidos[Prazo Entrega])</f>
        <v>45854</v>
      </c>
      <c r="F1698" s="9" t="s">
        <v>19433</v>
      </c>
      <c r="G1698" s="9" t="s">
        <v>756</v>
      </c>
      <c r="H1698" s="9" t="s">
        <v>179</v>
      </c>
      <c r="I1698" s="9" t="s">
        <v>178</v>
      </c>
      <c r="J1698" s="9">
        <v>45852</v>
      </c>
      <c r="K1698" s="9" t="s">
        <v>198</v>
      </c>
      <c r="L1698" s="8" t="s">
        <v>124</v>
      </c>
      <c r="M1698" s="9" t="s">
        <v>37</v>
      </c>
      <c r="N1698" s="52" t="str">
        <f>IF(Follow[[#This Row],[DATAATUALIZAÇÃO]]&lt;=Follow[[#This Row],[Prev Entrega]],"Dentro do Prazo","Fora do Prazo")</f>
        <v>Dentro do Prazo</v>
      </c>
      <c r="O169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1793 Rastreio NM854609729BR, agradecemos a preferência e adoraríamos receber sua avaliação, tendo qualquer dúvida estamos à disposição.
Att
Tem tudo Shop</v>
      </c>
    </row>
    <row r="1699" spans="1:15">
      <c r="A1699" s="52" t="str">
        <f>_xlfn.XLOOKUP(Follow[[#This Row],[CODRASTREIO]],Controle_Pedidos[Cód Rastreamento],Controle_Pedidos[Número Pedido Cliente])</f>
        <v>Pedido 1794</v>
      </c>
      <c r="B1699" s="2" t="s">
        <v>19131</v>
      </c>
      <c r="C1699" s="2" t="str">
        <f>Follow[[#This Row],[CODRASTREIO]]&amp;" B"</f>
        <v>CódRastreio1689 B</v>
      </c>
      <c r="D1699" s="52" t="str">
        <f>_xlfn.XLOOKUP(Follow[[#This Row],[Id Pedido]],Controle_Pedidos[Número Pedido Cliente],Controle_Pedidos[Loja])</f>
        <v>BV</v>
      </c>
      <c r="E1699" s="9">
        <f>_xlfn.XLOOKUP(Follow[[#This Row],[Id Pedido]],Controle_Pedidos[Número Pedido Cliente],Controle_Pedidos[Prazo Entrega])</f>
        <v>45848</v>
      </c>
      <c r="F1699" s="9" t="s">
        <v>19433</v>
      </c>
      <c r="G1699" s="9" t="s">
        <v>757</v>
      </c>
      <c r="H1699" s="9" t="s">
        <v>179</v>
      </c>
      <c r="I1699" s="9" t="s">
        <v>178</v>
      </c>
      <c r="J1699" s="9">
        <v>45840</v>
      </c>
      <c r="K1699" s="9" t="s">
        <v>198</v>
      </c>
      <c r="L1699" s="8" t="s">
        <v>124</v>
      </c>
      <c r="M1699" s="9" t="s">
        <v>37</v>
      </c>
      <c r="N1699" s="52" t="str">
        <f>IF(Follow[[#This Row],[DATAATUALIZAÇÃO]]&lt;=Follow[[#This Row],[Prev Entrega]],"Dentro do Prazo","Fora do Prazo")</f>
        <v>Dentro do Prazo</v>
      </c>
      <c r="O169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02/07/2025, referente ao pedido Nº Pedido 1794 Rastreio NM854626086BR, agradecemos a preferência e adoraríamos receber sua avaliação, tendo qualquer dúvida estamos à disposição.
Att
Tem tudo Shop</v>
      </c>
    </row>
    <row r="1700" spans="1:15">
      <c r="A1700" s="52" t="str">
        <f>_xlfn.XLOOKUP(Follow[[#This Row],[CODRASTREIO]],Controle_Pedidos[Cód Rastreamento],Controle_Pedidos[Número Pedido Cliente])</f>
        <v>Pedido 1795</v>
      </c>
      <c r="B1700" s="2" t="s">
        <v>19132</v>
      </c>
      <c r="C1700" s="2" t="str">
        <f>Follow[[#This Row],[CODRASTREIO]]&amp;" B"</f>
        <v>CódRastreio1690 B</v>
      </c>
      <c r="D1700" s="52" t="str">
        <f>_xlfn.XLOOKUP(Follow[[#This Row],[Id Pedido]],Controle_Pedidos[Número Pedido Cliente],Controle_Pedidos[Loja])</f>
        <v>BV</v>
      </c>
      <c r="E1700" s="9">
        <f>_xlfn.XLOOKUP(Follow[[#This Row],[Id Pedido]],Controle_Pedidos[Número Pedido Cliente],Controle_Pedidos[Prazo Entrega])</f>
        <v>45854</v>
      </c>
      <c r="F1700" s="9" t="s">
        <v>19433</v>
      </c>
      <c r="G1700" s="9" t="s">
        <v>37</v>
      </c>
      <c r="H1700" s="9" t="s">
        <v>178</v>
      </c>
      <c r="I1700" s="9" t="s">
        <v>178</v>
      </c>
      <c r="J1700" s="9">
        <v>45839</v>
      </c>
      <c r="K1700" s="9" t="s">
        <v>198</v>
      </c>
      <c r="L1700" s="8" t="s">
        <v>124</v>
      </c>
      <c r="M1700" s="9" t="s">
        <v>37</v>
      </c>
      <c r="N1700" s="52" t="str">
        <f>IF(Follow[[#This Row],[DATAATUALIZAÇÃO]]&lt;=Follow[[#This Row],[Prev Entrega]],"Dentro do Prazo","Fora do Prazo")</f>
        <v>Dentro do Prazo</v>
      </c>
      <c r="O170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01/07/2025, referente ao pedido Nº Pedido 1795 Rastreio Pedido 1795, agradecemos a preferência e adoraríamos receber sua avaliação, tendo qualquer dúvida estamos à disposição.
Att
Tem tudo Shop</v>
      </c>
    </row>
    <row r="1701" spans="1:15">
      <c r="A1701" s="52" t="str">
        <f>_xlfn.XLOOKUP(Follow[[#This Row],[CODRASTREIO]],Controle_Pedidos[Cód Rastreamento],Controle_Pedidos[Número Pedido Cliente])</f>
        <v>Pedido 1796</v>
      </c>
      <c r="B1701" s="2" t="s">
        <v>19133</v>
      </c>
      <c r="C1701" s="2" t="str">
        <f>Follow[[#This Row],[CODRASTREIO]]&amp;" B"</f>
        <v>CódRastreio1691 B</v>
      </c>
      <c r="D1701" s="52" t="str">
        <f>_xlfn.XLOOKUP(Follow[[#This Row],[Id Pedido]],Controle_Pedidos[Número Pedido Cliente],Controle_Pedidos[Loja])</f>
        <v>BV</v>
      </c>
      <c r="E1701" s="9">
        <f>_xlfn.XLOOKUP(Follow[[#This Row],[Id Pedido]],Controle_Pedidos[Número Pedido Cliente],Controle_Pedidos[Prazo Entrega])</f>
        <v>45848</v>
      </c>
      <c r="F1701" s="9" t="s">
        <v>19433</v>
      </c>
      <c r="G1701" s="9" t="s">
        <v>758</v>
      </c>
      <c r="H1701" s="9" t="s">
        <v>179</v>
      </c>
      <c r="I1701" s="9" t="s">
        <v>178</v>
      </c>
      <c r="J1701" s="9">
        <v>45846</v>
      </c>
      <c r="K1701" s="9" t="s">
        <v>198</v>
      </c>
      <c r="L1701" s="8" t="s">
        <v>124</v>
      </c>
      <c r="M1701" s="9" t="s">
        <v>37</v>
      </c>
      <c r="N1701" s="52" t="str">
        <f>IF(Follow[[#This Row],[DATAATUALIZAÇÃO]]&lt;=Follow[[#This Row],[Prev Entrega]],"Dentro do Prazo","Fora do Prazo")</f>
        <v>Dentro do Prazo</v>
      </c>
      <c r="O170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08/07/2025, referente ao pedido Nº Pedido 1796 Rastreio NM854647775BR, agradecemos a preferência e adoraríamos receber sua avaliação, tendo qualquer dúvida estamos à disposição.
Att
Tem tudo Shop</v>
      </c>
    </row>
    <row r="1702" spans="1:15">
      <c r="A1702" s="52" t="str">
        <f>_xlfn.XLOOKUP(Follow[[#This Row],[CODRASTREIO]],Controle_Pedidos[Cód Rastreamento],Controle_Pedidos[Número Pedido Cliente])</f>
        <v>Pedido 1797</v>
      </c>
      <c r="B1702" s="2" t="s">
        <v>19134</v>
      </c>
      <c r="C1702" s="2" t="str">
        <f>Follow[[#This Row],[CODRASTREIO]]&amp;" B"</f>
        <v>CódRastreio1692 B</v>
      </c>
      <c r="D1702" s="52" t="str">
        <f>_xlfn.XLOOKUP(Follow[[#This Row],[Id Pedido]],Controle_Pedidos[Número Pedido Cliente],Controle_Pedidos[Loja])</f>
        <v>BV</v>
      </c>
      <c r="E1702" s="9">
        <f>_xlfn.XLOOKUP(Follow[[#This Row],[Id Pedido]],Controle_Pedidos[Número Pedido Cliente],Controle_Pedidos[Prazo Entrega])</f>
        <v>45861</v>
      </c>
      <c r="F1702" s="9" t="s">
        <v>19433</v>
      </c>
      <c r="G1702" s="9" t="s">
        <v>759</v>
      </c>
      <c r="H1702" s="9" t="s">
        <v>179</v>
      </c>
      <c r="I1702" s="9" t="s">
        <v>178</v>
      </c>
      <c r="J1702" s="9">
        <v>45850</v>
      </c>
      <c r="K1702" s="9" t="s">
        <v>198</v>
      </c>
      <c r="L1702" s="8" t="s">
        <v>124</v>
      </c>
      <c r="M1702" s="9" t="s">
        <v>37</v>
      </c>
      <c r="N1702" s="52" t="str">
        <f>IF(Follow[[#This Row],[DATAATUALIZAÇÃO]]&lt;=Follow[[#This Row],[Prev Entrega]],"Dentro do Prazo","Fora do Prazo")</f>
        <v>Dentro do Prazo</v>
      </c>
      <c r="O170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12/07/2025, referente ao pedido Nº Pedido 1797 Rastreio CNBR00079871392, agradecemos a preferência e adoraríamos receber sua avaliação, tendo qualquer dúvida estamos à disposição.
Att
Tem tudo Shop</v>
      </c>
    </row>
    <row r="1703" spans="1:15">
      <c r="A1703" s="52" t="str">
        <f>_xlfn.XLOOKUP(Follow[[#This Row],[CODRASTREIO]],Controle_Pedidos[Cód Rastreamento],Controle_Pedidos[Número Pedido Cliente])</f>
        <v>Pedido 1798</v>
      </c>
      <c r="B1703" s="2" t="s">
        <v>19135</v>
      </c>
      <c r="C1703" s="2" t="str">
        <f>Follow[[#This Row],[CODRASTREIO]]&amp;" B"</f>
        <v>CódRastreio1693 B</v>
      </c>
      <c r="D1703" s="52" t="str">
        <f>_xlfn.XLOOKUP(Follow[[#This Row],[Id Pedido]],Controle_Pedidos[Número Pedido Cliente],Controle_Pedidos[Loja])</f>
        <v>BV</v>
      </c>
      <c r="E1703" s="9">
        <f>_xlfn.XLOOKUP(Follow[[#This Row],[Id Pedido]],Controle_Pedidos[Número Pedido Cliente],Controle_Pedidos[Prazo Entrega])</f>
        <v>45861</v>
      </c>
      <c r="F1703" s="9" t="s">
        <v>19433</v>
      </c>
      <c r="G1703" s="9" t="s">
        <v>760</v>
      </c>
      <c r="H1703" s="9" t="s">
        <v>179</v>
      </c>
      <c r="I1703" s="9" t="s">
        <v>178</v>
      </c>
      <c r="J1703" s="9">
        <v>45847</v>
      </c>
      <c r="K1703" s="9" t="s">
        <v>198</v>
      </c>
      <c r="L1703" s="8" t="s">
        <v>124</v>
      </c>
      <c r="M1703" s="9" t="s">
        <v>37</v>
      </c>
      <c r="N1703" s="52" t="str">
        <f>IF(Follow[[#This Row],[DATAATUALIZAÇÃO]]&lt;=Follow[[#This Row],[Prev Entrega]],"Dentro do Prazo","Fora do Prazo")</f>
        <v>Dentro do Prazo</v>
      </c>
      <c r="O170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1798 Rastreio CNBR00079867464, agradecemos a preferência e adoraríamos receber sua avaliação, tendo qualquer dúvida estamos à disposição.
Att
Tem tudo Shop</v>
      </c>
    </row>
    <row r="1704" spans="1:15">
      <c r="A1704" s="52" t="str">
        <f>_xlfn.XLOOKUP(Follow[[#This Row],[CODRASTREIO]],Controle_Pedidos[Cód Rastreamento],Controle_Pedidos[Número Pedido Cliente])</f>
        <v>Pedido 1799</v>
      </c>
      <c r="B1704" s="2" t="s">
        <v>19136</v>
      </c>
      <c r="C1704" s="2" t="str">
        <f>Follow[[#This Row],[CODRASTREIO]]&amp;" B"</f>
        <v>CódRastreio1694 B</v>
      </c>
      <c r="D1704" s="52" t="str">
        <f>_xlfn.XLOOKUP(Follow[[#This Row],[Id Pedido]],Controle_Pedidos[Número Pedido Cliente],Controle_Pedidos[Loja])</f>
        <v>BV</v>
      </c>
      <c r="E1704" s="9">
        <f>_xlfn.XLOOKUP(Follow[[#This Row],[Id Pedido]],Controle_Pedidos[Número Pedido Cliente],Controle_Pedidos[Prazo Entrega])</f>
        <v>45848</v>
      </c>
      <c r="F1704" s="9" t="s">
        <v>19433</v>
      </c>
      <c r="G1704" s="9" t="s">
        <v>37</v>
      </c>
      <c r="H1704" s="9" t="s">
        <v>178</v>
      </c>
      <c r="I1704" s="9" t="s">
        <v>178</v>
      </c>
      <c r="J1704" s="9">
        <v>45839</v>
      </c>
      <c r="K1704" s="8" t="s">
        <v>198</v>
      </c>
      <c r="L1704" s="8" t="s">
        <v>124</v>
      </c>
      <c r="M1704" s="9" t="s">
        <v>37</v>
      </c>
      <c r="N1704" s="52" t="str">
        <f>IF(Follow[[#This Row],[DATAATUALIZAÇÃO]]&lt;=Follow[[#This Row],[Prev Entrega]],"Dentro do Prazo","Fora do Prazo")</f>
        <v>Dentro do Prazo</v>
      </c>
      <c r="O170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01/07/2025, referente ao pedido Nº Pedido 1799 Rastreio Pedido 1799, agradecemos a preferência e adoraríamos receber sua avaliação, tendo qualquer dúvida estamos à disposição.
Att
Tem tudo Shop</v>
      </c>
    </row>
    <row r="1705" spans="1:15">
      <c r="A1705" s="52" t="str">
        <f>_xlfn.XLOOKUP(Follow[[#This Row],[CODRASTREIO]],Controle_Pedidos[Cód Rastreamento],Controle_Pedidos[Número Pedido Cliente])</f>
        <v>Pedido 1800</v>
      </c>
      <c r="B1705" s="2" t="s">
        <v>19137</v>
      </c>
      <c r="C1705" s="2" t="str">
        <f>Follow[[#This Row],[CODRASTREIO]]&amp;" B"</f>
        <v>CódRastreio1695 B</v>
      </c>
      <c r="D1705" s="52" t="str">
        <f>_xlfn.XLOOKUP(Follow[[#This Row],[Id Pedido]],Controle_Pedidos[Número Pedido Cliente],Controle_Pedidos[Loja])</f>
        <v>BV</v>
      </c>
      <c r="E1705" s="9">
        <f>_xlfn.XLOOKUP(Follow[[#This Row],[Id Pedido]],Controle_Pedidos[Número Pedido Cliente],Controle_Pedidos[Prazo Entrega])</f>
        <v>45862</v>
      </c>
      <c r="F1705" s="9" t="s">
        <v>19433</v>
      </c>
      <c r="G1705" s="9" t="s">
        <v>761</v>
      </c>
      <c r="H1705" s="9" t="s">
        <v>179</v>
      </c>
      <c r="I1705" s="9" t="s">
        <v>178</v>
      </c>
      <c r="J1705" s="9">
        <v>45847</v>
      </c>
      <c r="K1705" s="9" t="s">
        <v>198</v>
      </c>
      <c r="L1705" s="8" t="s">
        <v>124</v>
      </c>
      <c r="M1705" s="9" t="s">
        <v>37</v>
      </c>
      <c r="N1705" s="52" t="str">
        <f>IF(Follow[[#This Row],[DATAATUALIZAÇÃO]]&lt;=Follow[[#This Row],[Prev Entrega]],"Dentro do Prazo","Fora do Prazo")</f>
        <v>Dentro do Prazo</v>
      </c>
      <c r="O170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1800 Rastreio CNBR00079884605, agradecemos a preferência e adoraríamos receber sua avaliação, tendo qualquer dúvida estamos à disposição.
Att
Tem tudo Shop</v>
      </c>
    </row>
    <row r="1706" spans="1:15">
      <c r="A1706" s="52" t="str">
        <f>_xlfn.XLOOKUP(Follow[[#This Row],[CODRASTREIO]],Controle_Pedidos[Cód Rastreamento],Controle_Pedidos[Número Pedido Cliente])</f>
        <v>Pedido 1801</v>
      </c>
      <c r="B1706" s="2" t="s">
        <v>19138</v>
      </c>
      <c r="C1706" s="2" t="str">
        <f>Follow[[#This Row],[CODRASTREIO]]&amp;" B"</f>
        <v>CódRastreio1696 B</v>
      </c>
      <c r="D1706" s="52" t="str">
        <f>_xlfn.XLOOKUP(Follow[[#This Row],[Id Pedido]],Controle_Pedidos[Número Pedido Cliente],Controle_Pedidos[Loja])</f>
        <v>BV</v>
      </c>
      <c r="E1706" s="9">
        <f>_xlfn.XLOOKUP(Follow[[#This Row],[Id Pedido]],Controle_Pedidos[Número Pedido Cliente],Controle_Pedidos[Prazo Entrega])</f>
        <v>45849</v>
      </c>
      <c r="F1706" s="9" t="s">
        <v>19433</v>
      </c>
      <c r="G1706" s="9" t="s">
        <v>762</v>
      </c>
      <c r="H1706" s="9" t="s">
        <v>179</v>
      </c>
      <c r="I1706" s="9" t="s">
        <v>178</v>
      </c>
      <c r="J1706" s="9">
        <v>45841</v>
      </c>
      <c r="K1706" s="9" t="s">
        <v>198</v>
      </c>
      <c r="L1706" s="8" t="s">
        <v>124</v>
      </c>
      <c r="M1706" s="9" t="s">
        <v>37</v>
      </c>
      <c r="N1706" s="52" t="str">
        <f>IF(Follow[[#This Row],[DATAATUALIZAÇÃO]]&lt;=Follow[[#This Row],[Prev Entrega]],"Dentro do Prazo","Fora do Prazo")</f>
        <v>Dentro do Prazo</v>
      </c>
      <c r="O170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1801 Rastreio NM855685704BR, agradecemos a preferência e adoraríamos receber sua avaliação, tendo qualquer dúvida estamos à disposição.
Att
Tem tudo Shop</v>
      </c>
    </row>
    <row r="1707" spans="1:15">
      <c r="A1707" s="52" t="str">
        <f>_xlfn.XLOOKUP(Follow[[#This Row],[CODRASTREIO]],Controle_Pedidos[Cód Rastreamento],Controle_Pedidos[Número Pedido Cliente])</f>
        <v>Pedido 1802</v>
      </c>
      <c r="B1707" s="2" t="s">
        <v>19139</v>
      </c>
      <c r="C1707" s="2" t="str">
        <f>Follow[[#This Row],[CODRASTREIO]]&amp;" B"</f>
        <v>CódRastreio1697 B</v>
      </c>
      <c r="D1707" s="52" t="str">
        <f>_xlfn.XLOOKUP(Follow[[#This Row],[Id Pedido]],Controle_Pedidos[Número Pedido Cliente],Controle_Pedidos[Loja])</f>
        <v>BV</v>
      </c>
      <c r="E1707" s="9">
        <f>_xlfn.XLOOKUP(Follow[[#This Row],[Id Pedido]],Controle_Pedidos[Número Pedido Cliente],Controle_Pedidos[Prazo Entrega])</f>
        <v>45855</v>
      </c>
      <c r="F1707" s="9" t="s">
        <v>19433</v>
      </c>
      <c r="G1707" s="9" t="s">
        <v>37</v>
      </c>
      <c r="H1707" s="9" t="s">
        <v>178</v>
      </c>
      <c r="I1707" s="9" t="s">
        <v>178</v>
      </c>
      <c r="J1707" s="9">
        <v>45843</v>
      </c>
      <c r="K1707" s="8" t="s">
        <v>198</v>
      </c>
      <c r="L1707" s="8" t="s">
        <v>124</v>
      </c>
      <c r="M1707" s="9" t="s">
        <v>37</v>
      </c>
      <c r="N1707" s="52" t="str">
        <f>IF(Follow[[#This Row],[DATAATUALIZAÇÃO]]&lt;=Follow[[#This Row],[Prev Entrega]],"Dentro do Prazo","Fora do Prazo")</f>
        <v>Dentro do Prazo</v>
      </c>
      <c r="O170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05/07/2025, referente ao pedido Nº Pedido 1802 Rastreio Pedido 1802, agradecemos a preferência e adoraríamos receber sua avaliação, tendo qualquer dúvida estamos à disposição.
Att
Tem tudo Shop</v>
      </c>
    </row>
    <row r="1708" spans="1:15">
      <c r="A1708" s="52" t="str">
        <f>_xlfn.XLOOKUP(Follow[[#This Row],[CODRASTREIO]],Controle_Pedidos[Cód Rastreamento],Controle_Pedidos[Número Pedido Cliente])</f>
        <v>Pedido 1803</v>
      </c>
      <c r="B1708" s="2" t="s">
        <v>19140</v>
      </c>
      <c r="C1708" s="2" t="str">
        <f>Follow[[#This Row],[CODRASTREIO]]&amp;" B"</f>
        <v>CódRastreio1698 B</v>
      </c>
      <c r="D1708" s="52" t="str">
        <f>_xlfn.XLOOKUP(Follow[[#This Row],[Id Pedido]],Controle_Pedidos[Número Pedido Cliente],Controle_Pedidos[Loja])</f>
        <v>BV</v>
      </c>
      <c r="E1708" s="9">
        <f>_xlfn.XLOOKUP(Follow[[#This Row],[Id Pedido]],Controle_Pedidos[Número Pedido Cliente],Controle_Pedidos[Prazo Entrega])</f>
        <v>45855</v>
      </c>
      <c r="F1708" s="9" t="s">
        <v>19433</v>
      </c>
      <c r="G1708" s="9" t="s">
        <v>763</v>
      </c>
      <c r="H1708" s="9" t="s">
        <v>179</v>
      </c>
      <c r="I1708" s="9" t="s">
        <v>178</v>
      </c>
      <c r="J1708" s="9">
        <v>45842</v>
      </c>
      <c r="K1708" s="9" t="s">
        <v>198</v>
      </c>
      <c r="L1708" s="8" t="s">
        <v>124</v>
      </c>
      <c r="M1708" s="9" t="s">
        <v>37</v>
      </c>
      <c r="N1708" s="52" t="str">
        <f>IF(Follow[[#This Row],[DATAATUALIZAÇÃO]]&lt;=Follow[[#This Row],[Prev Entrega]],"Dentro do Prazo","Fora do Prazo")</f>
        <v>Dentro do Prazo</v>
      </c>
      <c r="O170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04/07/2025, referente ao pedido Nº Pedido 1803 Rastreio CNBR00079892533, agradecemos a preferência e adoraríamos receber sua avaliação, tendo qualquer dúvida estamos à disposição.
Att
Tem tudo Shop</v>
      </c>
    </row>
    <row r="1709" spans="1:15">
      <c r="A1709" s="52" t="str">
        <f>_xlfn.XLOOKUP(Follow[[#This Row],[CODRASTREIO]],Controle_Pedidos[Cód Rastreamento],Controle_Pedidos[Número Pedido Cliente])</f>
        <v>Pedido 1787</v>
      </c>
      <c r="B1709" s="2" t="s">
        <v>19124</v>
      </c>
      <c r="C1709" s="2" t="str">
        <f>Follow[[#This Row],[CODRASTREIO]]&amp;" B"</f>
        <v>CódRastreio1682 B</v>
      </c>
      <c r="D1709" s="52" t="str">
        <f>_xlfn.XLOOKUP(Follow[[#This Row],[Id Pedido]],Controle_Pedidos[Número Pedido Cliente],Controle_Pedidos[Loja])</f>
        <v>BV</v>
      </c>
      <c r="E1709" s="9">
        <f>_xlfn.XLOOKUP(Follow[[#This Row],[Id Pedido]],Controle_Pedidos[Número Pedido Cliente],Controle_Pedidos[Prazo Entrega])</f>
        <v>45860</v>
      </c>
      <c r="F1709" s="9" t="s">
        <v>19433</v>
      </c>
      <c r="G1709" s="9" t="s">
        <v>764</v>
      </c>
      <c r="H1709" s="52" t="s">
        <v>179</v>
      </c>
      <c r="I1709" s="54" t="s">
        <v>178</v>
      </c>
      <c r="J1709" s="144">
        <v>45849</v>
      </c>
      <c r="K1709" s="54" t="s">
        <v>198</v>
      </c>
      <c r="L1709" s="8" t="s">
        <v>124</v>
      </c>
      <c r="M1709" s="9" t="s">
        <v>37</v>
      </c>
      <c r="N1709" s="52" t="str">
        <f>IF(Follow[[#This Row],[DATAATUALIZAÇÃO]]&lt;=Follow[[#This Row],[Prev Entrega]],"Dentro do Prazo","Fora do Prazo")</f>
        <v>Dentro do Prazo</v>
      </c>
      <c r="O170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11/07/2025, referente ao pedido Nº Pedido 1787 Rastreio CNBR00079770790, agradecemos a preferência e adoraríamos receber sua avaliação, tendo qualquer dúvida estamos à disposição.
Att
Tem tudo Shop</v>
      </c>
    </row>
    <row r="1710" spans="1:15">
      <c r="A1710" s="52" t="str">
        <f>_xlfn.XLOOKUP(Follow[[#This Row],[CODRASTREIO]],Controle_Pedidos[Cód Rastreamento],Controle_Pedidos[Número Pedido Cliente])</f>
        <v>Pedido 1791</v>
      </c>
      <c r="B1710" s="2" t="s">
        <v>19128</v>
      </c>
      <c r="C1710" s="2" t="str">
        <f>Follow[[#This Row],[CODRASTREIO]]&amp;" B"</f>
        <v>CódRastreio1686 B</v>
      </c>
      <c r="D1710" s="52" t="str">
        <f>_xlfn.XLOOKUP(Follow[[#This Row],[Id Pedido]],Controle_Pedidos[Número Pedido Cliente],Controle_Pedidos[Loja])</f>
        <v>BV</v>
      </c>
      <c r="E1710" s="9">
        <f>_xlfn.XLOOKUP(Follow[[#This Row],[Id Pedido]],Controle_Pedidos[Número Pedido Cliente],Controle_Pedidos[Prazo Entrega])</f>
        <v>45848</v>
      </c>
      <c r="F1710" s="9" t="s">
        <v>19433</v>
      </c>
      <c r="G1710" s="9" t="s">
        <v>765</v>
      </c>
      <c r="H1710" s="52" t="s">
        <v>179</v>
      </c>
      <c r="I1710" s="54" t="s">
        <v>178</v>
      </c>
      <c r="J1710" s="144">
        <v>45841</v>
      </c>
      <c r="K1710" s="54" t="s">
        <v>198</v>
      </c>
      <c r="L1710" s="8" t="s">
        <v>124</v>
      </c>
      <c r="M1710" s="9" t="s">
        <v>37</v>
      </c>
      <c r="N1710" s="52" t="str">
        <f>IF(Follow[[#This Row],[DATAATUALIZAÇÃO]]&lt;=Follow[[#This Row],[Prev Entrega]],"Dentro do Prazo","Fora do Prazo")</f>
        <v>Dentro do Prazo</v>
      </c>
      <c r="O171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1791 Rastreio NM854469350BR, agradecemos a preferência e adoraríamos receber sua avaliação, tendo qualquer dúvida estamos à disposição.
Att
Tem tudo Shop</v>
      </c>
    </row>
    <row r="1711" spans="1:15">
      <c r="A1711" s="52" t="str">
        <f>_xlfn.XLOOKUP(Follow[[#This Row],[CODRASTREIO]],Controle_Pedidos[Cód Rastreamento],Controle_Pedidos[Número Pedido Cliente])</f>
        <v>Pedido 1804</v>
      </c>
      <c r="B1711" s="2" t="s">
        <v>19141</v>
      </c>
      <c r="C1711" s="2" t="str">
        <f>Follow[[#This Row],[CODRASTREIO]]&amp;" B"</f>
        <v>CódRastreio1699 B</v>
      </c>
      <c r="D1711" s="52" t="str">
        <f>_xlfn.XLOOKUP(Follow[[#This Row],[Id Pedido]],Controle_Pedidos[Número Pedido Cliente],Controle_Pedidos[Loja])</f>
        <v>BV</v>
      </c>
      <c r="E1711" s="9">
        <f>_xlfn.XLOOKUP(Follow[[#This Row],[Id Pedido]],Controle_Pedidos[Número Pedido Cliente],Controle_Pedidos[Prazo Entrega])</f>
        <v>45849</v>
      </c>
      <c r="F1711" s="9" t="s">
        <v>19433</v>
      </c>
      <c r="G1711" s="9" t="s">
        <v>766</v>
      </c>
      <c r="H1711" s="52" t="s">
        <v>179</v>
      </c>
      <c r="I1711" s="54" t="s">
        <v>178</v>
      </c>
      <c r="J1711" s="144">
        <v>45847</v>
      </c>
      <c r="K1711" s="54" t="s">
        <v>198</v>
      </c>
      <c r="L1711" s="8" t="s">
        <v>124</v>
      </c>
      <c r="M1711" s="9" t="s">
        <v>37</v>
      </c>
      <c r="N1711" s="52" t="str">
        <f>IF(Follow[[#This Row],[DATAATUALIZAÇÃO]]&lt;=Follow[[#This Row],[Prev Entrega]],"Dentro do Prazo","Fora do Prazo")</f>
        <v>Dentro do Prazo</v>
      </c>
      <c r="O171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1804 Rastreio NM856611243BR, agradecemos a preferência e adoraríamos receber sua avaliação, tendo qualquer dúvida estamos à disposição.
Att
Tem tudo Shop</v>
      </c>
    </row>
    <row r="1712" spans="1:15">
      <c r="A1712" s="52" t="str">
        <f>_xlfn.XLOOKUP(Follow[[#This Row],[CODRASTREIO]],Controle_Pedidos[Cód Rastreamento],Controle_Pedidos[Número Pedido Cliente])</f>
        <v>Pedido 1805</v>
      </c>
      <c r="B1712" s="2" t="s">
        <v>19142</v>
      </c>
      <c r="C1712" s="2" t="str">
        <f>Follow[[#This Row],[CODRASTREIO]]&amp;" B"</f>
        <v>CódRastreio1700 B</v>
      </c>
      <c r="D1712" s="52" t="str">
        <f>_xlfn.XLOOKUP(Follow[[#This Row],[Id Pedido]],Controle_Pedidos[Número Pedido Cliente],Controle_Pedidos[Loja])</f>
        <v>BV</v>
      </c>
      <c r="E1712" s="9">
        <f>_xlfn.XLOOKUP(Follow[[#This Row],[Id Pedido]],Controle_Pedidos[Número Pedido Cliente],Controle_Pedidos[Prazo Entrega])</f>
        <v>45855</v>
      </c>
      <c r="F1712" s="9" t="s">
        <v>19433</v>
      </c>
      <c r="G1712" s="9" t="s">
        <v>767</v>
      </c>
      <c r="H1712" s="52" t="s">
        <v>179</v>
      </c>
      <c r="I1712" s="54" t="s">
        <v>178</v>
      </c>
      <c r="J1712" s="144">
        <v>45846</v>
      </c>
      <c r="K1712" s="54" t="s">
        <v>198</v>
      </c>
      <c r="L1712" s="8" t="s">
        <v>124</v>
      </c>
      <c r="M1712" s="9" t="s">
        <v>37</v>
      </c>
      <c r="N1712" s="52" t="str">
        <f>IF(Follow[[#This Row],[DATAATUALIZAÇÃO]]&lt;=Follow[[#This Row],[Prev Entrega]],"Dentro do Prazo","Fora do Prazo")</f>
        <v>Dentro do Prazo</v>
      </c>
      <c r="O171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08/07/2025, referente ao pedido Nº Pedido 1805 Rastreio CNBR00080076787, agradecemos a preferência e adoraríamos receber sua avaliação, tendo qualquer dúvida estamos à disposição.
Att
Tem tudo Shop</v>
      </c>
    </row>
    <row r="1713" spans="1:15">
      <c r="A1713" s="52" t="str">
        <f>_xlfn.XLOOKUP(Follow[[#This Row],[CODRASTREIO]],Controle_Pedidos[Cód Rastreamento],Controle_Pedidos[Número Pedido Cliente])</f>
        <v>Pedido 1806</v>
      </c>
      <c r="B1713" s="2" t="s">
        <v>19143</v>
      </c>
      <c r="C1713" s="2" t="str">
        <f>Follow[[#This Row],[CODRASTREIO]]&amp;" B"</f>
        <v>CódRastreio1701 B</v>
      </c>
      <c r="D1713" s="52" t="str">
        <f>_xlfn.XLOOKUP(Follow[[#This Row],[Id Pedido]],Controle_Pedidos[Número Pedido Cliente],Controle_Pedidos[Loja])</f>
        <v>BV</v>
      </c>
      <c r="E1713" s="9">
        <f>_xlfn.XLOOKUP(Follow[[#This Row],[Id Pedido]],Controle_Pedidos[Número Pedido Cliente],Controle_Pedidos[Prazo Entrega])</f>
        <v>45855</v>
      </c>
      <c r="F1713" s="9" t="s">
        <v>19433</v>
      </c>
      <c r="G1713" s="9" t="s">
        <v>768</v>
      </c>
      <c r="H1713" s="52" t="s">
        <v>179</v>
      </c>
      <c r="I1713" s="54" t="s">
        <v>178</v>
      </c>
      <c r="J1713" s="144">
        <v>45847</v>
      </c>
      <c r="K1713" s="54" t="s">
        <v>198</v>
      </c>
      <c r="L1713" s="8" t="s">
        <v>124</v>
      </c>
      <c r="M1713" s="9" t="s">
        <v>37</v>
      </c>
      <c r="N1713" s="52" t="str">
        <f>IF(Follow[[#This Row],[DATAATUALIZAÇÃO]]&lt;=Follow[[#This Row],[Prev Entrega]],"Dentro do Prazo","Fora do Prazo")</f>
        <v>Dentro do Prazo</v>
      </c>
      <c r="O171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1806 Rastreio CNBR00080082360, agradecemos a preferência e adoraríamos receber sua avaliação, tendo qualquer dúvida estamos à disposição.
Att
Tem tudo Shop</v>
      </c>
    </row>
    <row r="1714" spans="1:15">
      <c r="A1714" s="52" t="str">
        <f>_xlfn.XLOOKUP(Follow[[#This Row],[CODRASTREIO]],Controle_Pedidos[Cód Rastreamento],Controle_Pedidos[Número Pedido Cliente])</f>
        <v>Pedido 1807</v>
      </c>
      <c r="B1714" s="2" t="s">
        <v>19144</v>
      </c>
      <c r="C1714" s="2" t="str">
        <f>Follow[[#This Row],[CODRASTREIO]]&amp;" B"</f>
        <v>CódRastreio1702 B</v>
      </c>
      <c r="D1714" s="52" t="str">
        <f>_xlfn.XLOOKUP(Follow[[#This Row],[Id Pedido]],Controle_Pedidos[Número Pedido Cliente],Controle_Pedidos[Loja])</f>
        <v>BV</v>
      </c>
      <c r="E1714" s="9">
        <f>_xlfn.XLOOKUP(Follow[[#This Row],[Id Pedido]],Controle_Pedidos[Número Pedido Cliente],Controle_Pedidos[Prazo Entrega])</f>
        <v>45855</v>
      </c>
      <c r="F1714" s="9" t="s">
        <v>19433</v>
      </c>
      <c r="G1714" s="9" t="s">
        <v>769</v>
      </c>
      <c r="H1714" s="52" t="s">
        <v>179</v>
      </c>
      <c r="I1714" s="54" t="s">
        <v>178</v>
      </c>
      <c r="J1714" s="144">
        <v>45849</v>
      </c>
      <c r="K1714" s="54" t="s">
        <v>198</v>
      </c>
      <c r="L1714" s="8" t="s">
        <v>124</v>
      </c>
      <c r="M1714" s="9" t="s">
        <v>37</v>
      </c>
      <c r="N1714" s="52" t="str">
        <f>IF(Follow[[#This Row],[DATAATUALIZAÇÃO]]&lt;=Follow[[#This Row],[Prev Entrega]],"Dentro do Prazo","Fora do Prazo")</f>
        <v>Dentro do Prazo</v>
      </c>
      <c r="O171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11/07/2025, referente ao pedido Nº Pedido 1807 Rastreio NM856661275BR, agradecemos a preferência e adoraríamos receber sua avaliação, tendo qualquer dúvida estamos à disposição.
Att
Tem tudo Shop</v>
      </c>
    </row>
    <row r="1715" spans="1:15">
      <c r="A1715" s="52" t="str">
        <f>_xlfn.XLOOKUP(Follow[[#This Row],[CODRASTREIO]],Controle_Pedidos[Cód Rastreamento],Controle_Pedidos[Número Pedido Cliente])</f>
        <v>Pedido 1808</v>
      </c>
      <c r="B1715" s="2" t="s">
        <v>19145</v>
      </c>
      <c r="C1715" s="2" t="str">
        <f>Follow[[#This Row],[CODRASTREIO]]&amp;" B"</f>
        <v>CódRastreio1703 B</v>
      </c>
      <c r="D1715" s="52" t="str">
        <f>_xlfn.XLOOKUP(Follow[[#This Row],[Id Pedido]],Controle_Pedidos[Número Pedido Cliente],Controle_Pedidos[Loja])</f>
        <v>BV</v>
      </c>
      <c r="E1715" s="9">
        <f>_xlfn.XLOOKUP(Follow[[#This Row],[Id Pedido]],Controle_Pedidos[Número Pedido Cliente],Controle_Pedidos[Prazo Entrega])</f>
        <v>45855</v>
      </c>
      <c r="F1715" s="9" t="s">
        <v>19433</v>
      </c>
      <c r="G1715" s="9" t="s">
        <v>770</v>
      </c>
      <c r="H1715" s="52" t="s">
        <v>179</v>
      </c>
      <c r="I1715" s="54" t="s">
        <v>178</v>
      </c>
      <c r="J1715" s="144">
        <v>45845</v>
      </c>
      <c r="K1715" s="54" t="s">
        <v>198</v>
      </c>
      <c r="L1715" s="8" t="s">
        <v>124</v>
      </c>
      <c r="M1715" s="9" t="s">
        <v>37</v>
      </c>
      <c r="N1715" s="52" t="str">
        <f>IF(Follow[[#This Row],[DATAATUALIZAÇÃO]]&lt;=Follow[[#This Row],[Prev Entrega]],"Dentro do Prazo","Fora do Prazo")</f>
        <v>Dentro do Prazo</v>
      </c>
      <c r="O171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1808 Rastreio CNBR00080090544, agradecemos a preferência e adoraríamos receber sua avaliação, tendo qualquer dúvida estamos à disposição.
Att
Tem tudo Shop</v>
      </c>
    </row>
    <row r="1716" spans="1:15">
      <c r="A1716" s="52" t="str">
        <f>_xlfn.XLOOKUP(Follow[[#This Row],[CODRASTREIO]],Controle_Pedidos[Cód Rastreamento],Controle_Pedidos[Número Pedido Cliente])</f>
        <v>Pedido 1810</v>
      </c>
      <c r="B1716" s="2" t="s">
        <v>19147</v>
      </c>
      <c r="C1716" s="2" t="str">
        <f>Follow[[#This Row],[CODRASTREIO]]&amp;" B"</f>
        <v>CódRastreio1705 B</v>
      </c>
      <c r="D1716" s="52" t="str">
        <f>_xlfn.XLOOKUP(Follow[[#This Row],[Id Pedido]],Controle_Pedidos[Número Pedido Cliente],Controle_Pedidos[Loja])</f>
        <v>BV</v>
      </c>
      <c r="E1716" s="9">
        <f>_xlfn.XLOOKUP(Follow[[#This Row],[Id Pedido]],Controle_Pedidos[Número Pedido Cliente],Controle_Pedidos[Prazo Entrega])</f>
        <v>45849</v>
      </c>
      <c r="F1716" s="9" t="s">
        <v>19433</v>
      </c>
      <c r="G1716" s="9" t="s">
        <v>771</v>
      </c>
      <c r="H1716" s="52" t="s">
        <v>179</v>
      </c>
      <c r="I1716" s="54" t="s">
        <v>178</v>
      </c>
      <c r="J1716" s="144">
        <v>45846</v>
      </c>
      <c r="K1716" s="54" t="s">
        <v>198</v>
      </c>
      <c r="L1716" s="8" t="s">
        <v>124</v>
      </c>
      <c r="M1716" s="9" t="s">
        <v>208</v>
      </c>
      <c r="N1716" s="52" t="str">
        <f>IF(Follow[[#This Row],[DATAATUALIZAÇÃO]]&lt;=Follow[[#This Row],[Prev Entrega]],"Dentro do Prazo","Fora do Prazo")</f>
        <v>Dentro do Prazo</v>
      </c>
      <c r="O171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08/07/2025, referente ao pedido Nº Pedido 1810 Rastreio NM856533135BR, agradecemos a preferência e adoraríamos receber sua avaliação, tendo qualquer dúvida estamos à disposição.
Att
Tem tudo Shop</v>
      </c>
    </row>
    <row r="1717" spans="1:15">
      <c r="A1717" s="52" t="str">
        <f>_xlfn.XLOOKUP(Follow[[#This Row],[CODRASTREIO]],Controle_Pedidos[Cód Rastreamento],Controle_Pedidos[Número Pedido Cliente])</f>
        <v>Pedido 1812</v>
      </c>
      <c r="B1717" s="2" t="s">
        <v>19149</v>
      </c>
      <c r="C1717" s="2" t="str">
        <f>Follow[[#This Row],[CODRASTREIO]]&amp;" B"</f>
        <v>CódRastreio1707 B</v>
      </c>
      <c r="D1717" s="52" t="str">
        <f>_xlfn.XLOOKUP(Follow[[#This Row],[Id Pedido]],Controle_Pedidos[Número Pedido Cliente],Controle_Pedidos[Loja])</f>
        <v>BV</v>
      </c>
      <c r="E1717" s="9">
        <f>_xlfn.XLOOKUP(Follow[[#This Row],[Id Pedido]],Controle_Pedidos[Número Pedido Cliente],Controle_Pedidos[Prazo Entrega])</f>
        <v>45856</v>
      </c>
      <c r="F1717" s="9" t="s">
        <v>19434</v>
      </c>
      <c r="G1717" s="9" t="s">
        <v>37</v>
      </c>
      <c r="H1717" s="52" t="s">
        <v>178</v>
      </c>
      <c r="I1717" s="54" t="s">
        <v>178</v>
      </c>
      <c r="J1717" s="144" t="s">
        <v>37</v>
      </c>
      <c r="K1717" s="54" t="s">
        <v>198</v>
      </c>
      <c r="L1717" s="9" t="s">
        <v>124</v>
      </c>
      <c r="M1717" s="8" t="s">
        <v>37</v>
      </c>
      <c r="N1717" s="52" t="str">
        <f>IF(Follow[[#This Row],[DATAATUALIZAÇÃO]]&lt;=Follow[[#This Row],[Prev Entrega]],"Dentro do Prazo","Fora do Prazo")</f>
        <v>Fora do Prazo</v>
      </c>
      <c r="O1717" s="58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-, referente ao pedido Nº Pedido 1812 Rastreio Pedido 1812, agradecemos a preferência e adoraríamos receber sua avaliação, tendo qualquer dúvida estamos à disposição.
Att
Tem tudo Shop</v>
      </c>
    </row>
    <row r="1718" spans="1:15">
      <c r="A1718" s="52" t="str">
        <f>_xlfn.XLOOKUP(Follow[[#This Row],[CODRASTREIO]],Controle_Pedidos[Cód Rastreamento],Controle_Pedidos[Número Pedido Cliente])</f>
        <v>Pedido 1816</v>
      </c>
      <c r="B1718" s="2" t="s">
        <v>19153</v>
      </c>
      <c r="C1718" s="2" t="str">
        <f>Follow[[#This Row],[CODRASTREIO]]&amp;" B"</f>
        <v>CódRastreio1711 B</v>
      </c>
      <c r="D1718" s="52" t="str">
        <f>_xlfn.XLOOKUP(Follow[[#This Row],[Id Pedido]],Controle_Pedidos[Número Pedido Cliente],Controle_Pedidos[Loja])</f>
        <v>BV</v>
      </c>
      <c r="E1718" s="9">
        <f>_xlfn.XLOOKUP(Follow[[#This Row],[Id Pedido]],Controle_Pedidos[Número Pedido Cliente],Controle_Pedidos[Prazo Entrega])</f>
        <v>45850</v>
      </c>
      <c r="F1718" s="9" t="s">
        <v>19434</v>
      </c>
      <c r="G1718" s="9" t="s">
        <v>37</v>
      </c>
      <c r="H1718" s="52" t="s">
        <v>178</v>
      </c>
      <c r="I1718" s="54" t="s">
        <v>178</v>
      </c>
      <c r="J1718" s="144" t="s">
        <v>37</v>
      </c>
      <c r="K1718" s="54" t="s">
        <v>198</v>
      </c>
      <c r="L1718" s="9" t="s">
        <v>124</v>
      </c>
      <c r="M1718" s="8" t="s">
        <v>37</v>
      </c>
      <c r="N1718" s="52" t="str">
        <f>IF(Follow[[#This Row],[DATAATUALIZAÇÃO]]&lt;=Follow[[#This Row],[Prev Entrega]],"Dentro do Prazo","Fora do Prazo")</f>
        <v>Fora do Prazo</v>
      </c>
      <c r="O171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-, referente ao pedido Nº Pedido 1816 Rastreio Pedido 1816, agradecemos a preferência e adoraríamos receber sua avaliação, tendo qualquer dúvida estamos à disposição.
Att
Tem tudo Shop</v>
      </c>
    </row>
    <row r="1719" spans="1:15">
      <c r="A1719" s="52" t="s">
        <v>15173</v>
      </c>
      <c r="B1719" s="2" t="s">
        <v>19451</v>
      </c>
      <c r="C1719" s="2" t="str">
        <f>Follow[[#This Row],[CODRASTREIO]]&amp;" B"</f>
        <v>CódRastreio1721 1 Envio B</v>
      </c>
      <c r="D1719" s="52" t="s">
        <v>36</v>
      </c>
      <c r="E1719" s="9">
        <v>45864</v>
      </c>
      <c r="F1719" s="9" t="s">
        <v>19434</v>
      </c>
      <c r="G1719" s="9" t="s">
        <v>37</v>
      </c>
      <c r="H1719" s="52" t="s">
        <v>178</v>
      </c>
      <c r="I1719" s="54" t="s">
        <v>178</v>
      </c>
      <c r="J1719" s="144">
        <v>45841</v>
      </c>
      <c r="K1719" s="54" t="s">
        <v>198</v>
      </c>
      <c r="L1719" s="8" t="s">
        <v>124</v>
      </c>
      <c r="M1719" s="9" t="s">
        <v>37</v>
      </c>
      <c r="N1719" s="52" t="str">
        <f>IF(Follow[[#This Row],[DATAATUALIZAÇÃO]]&lt;=Follow[[#This Row],[Prev Entrega]],"Dentro do Prazo","Fora do Prazo")</f>
        <v>Dentro do Prazo</v>
      </c>
      <c r="O171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1830 Rastreio Pedido 1830, agradecemos a preferência e adoraríamos receber sua avaliação, tendo qualquer dúvida estamos à disposição.
Att
Tem tudo Shop</v>
      </c>
    </row>
    <row r="1720" spans="1:15">
      <c r="A1720" s="52" t="str">
        <f>_xlfn.XLOOKUP(Follow[[#This Row],[CODRASTREIO]],Controle_Pedidos[Cód Rastreamento],Controle_Pedidos[Número Pedido Cliente])</f>
        <v>Pedido 1830</v>
      </c>
      <c r="B1720" s="2" t="s">
        <v>19163</v>
      </c>
      <c r="C1720" s="2" t="str">
        <f>Follow[[#This Row],[CODRASTREIO]]&amp;" B"</f>
        <v>CódRastreio1721 B</v>
      </c>
      <c r="D1720" s="52" t="str">
        <f>_xlfn.XLOOKUP(Follow[[#This Row],[Id Pedido]],Controle_Pedidos[Número Pedido Cliente],Controle_Pedidos[Loja])</f>
        <v>BV</v>
      </c>
      <c r="E1720" s="9">
        <f>_xlfn.XLOOKUP(Follow[[#This Row],[Id Pedido]],Controle_Pedidos[Número Pedido Cliente],Controle_Pedidos[Prazo Entrega])</f>
        <v>45864</v>
      </c>
      <c r="F1720" s="9" t="s">
        <v>19434</v>
      </c>
      <c r="G1720" s="9" t="s">
        <v>37</v>
      </c>
      <c r="H1720" s="52" t="s">
        <v>178</v>
      </c>
      <c r="I1720" s="54" t="s">
        <v>178</v>
      </c>
      <c r="J1720" s="144">
        <v>45841</v>
      </c>
      <c r="K1720" s="54" t="s">
        <v>198</v>
      </c>
      <c r="L1720" s="8" t="s">
        <v>124</v>
      </c>
      <c r="M1720" s="9" t="s">
        <v>37</v>
      </c>
      <c r="N1720" s="52" t="str">
        <f>IF(Follow[[#This Row],[DATAATUALIZAÇÃO]]&lt;=Follow[[#This Row],[Prev Entrega]],"Dentro do Prazo","Fora do Prazo")</f>
        <v>Dentro do Prazo</v>
      </c>
      <c r="O172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03/07/2025, referente ao pedido Nº Pedido 1830 Rastreio Pedido 1830, agradecemos a preferência e adoraríamos receber sua avaliação, tendo qualquer dúvida estamos à disposição.
Att
Tem tudo Shop</v>
      </c>
    </row>
    <row r="1721" spans="1:15">
      <c r="A1721" s="52" t="str">
        <f>_xlfn.XLOOKUP(Follow[[#This Row],[CODRASTREIO]],Controle_Pedidos[Cód Rastreamento],Controle_Pedidos[Número Pedido Cliente])</f>
        <v>Pedido 1841</v>
      </c>
      <c r="B1721" s="2" t="s">
        <v>19166</v>
      </c>
      <c r="C1721" s="2" t="str">
        <f>Follow[[#This Row],[CODRASTREIO]]&amp;" B"</f>
        <v>CódRastreio1724 B</v>
      </c>
      <c r="D1721" s="52" t="str">
        <f>_xlfn.XLOOKUP(Follow[[#This Row],[Id Pedido]],Controle_Pedidos[Número Pedido Cliente],Controle_Pedidos[Loja])</f>
        <v>BV</v>
      </c>
      <c r="E1721" s="9">
        <f>_xlfn.XLOOKUP(Follow[[#This Row],[Id Pedido]],Controle_Pedidos[Número Pedido Cliente],Controle_Pedidos[Prazo Entrega])</f>
        <v>45860</v>
      </c>
      <c r="F1721" s="9" t="s">
        <v>19433</v>
      </c>
      <c r="G1721" s="9" t="s">
        <v>772</v>
      </c>
      <c r="H1721" s="52" t="s">
        <v>179</v>
      </c>
      <c r="I1721" s="54" t="s">
        <v>178</v>
      </c>
      <c r="J1721" s="144">
        <v>45867</v>
      </c>
      <c r="K1721" s="54" t="s">
        <v>198</v>
      </c>
      <c r="L1721" s="8" t="s">
        <v>124</v>
      </c>
      <c r="M1721" s="9" t="s">
        <v>37</v>
      </c>
      <c r="N1721" s="52" t="str">
        <f>IF(Follow[[#This Row],[DATAATUALIZAÇÃO]]&lt;=Follow[[#This Row],[Prev Entrega]],"Dentro do Prazo","Fora do Prazo")</f>
        <v>Fora do Prazo</v>
      </c>
      <c r="O172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29/07/2025, referente ao pedido Nº Pedido 1841 Rastreio NM861963509BR, agradecemos a preferência e adoraríamos receber sua avaliação, tendo qualquer dúvida estamos à disposição.
Att
Tem tudo Shop</v>
      </c>
    </row>
    <row r="1722" spans="1:15">
      <c r="A1722" s="52" t="str">
        <f>_xlfn.XLOOKUP(Follow[[#This Row],[CODRASTREIO]],Controle_Pedidos[Cód Rastreamento],Controle_Pedidos[Número Pedido Cliente])</f>
        <v>Pedido 1842</v>
      </c>
      <c r="B1722" s="2" t="s">
        <v>19167</v>
      </c>
      <c r="C1722" s="2" t="str">
        <f>Follow[[#This Row],[CODRASTREIO]]&amp;" B"</f>
        <v>CódRastreio1725 B</v>
      </c>
      <c r="D1722" s="52" t="str">
        <f>_xlfn.XLOOKUP(Follow[[#This Row],[Id Pedido]],Controle_Pedidos[Número Pedido Cliente],Controle_Pedidos[Loja])</f>
        <v>BV</v>
      </c>
      <c r="E1722" s="9">
        <f>_xlfn.XLOOKUP(Follow[[#This Row],[Id Pedido]],Controle_Pedidos[Número Pedido Cliente],Controle_Pedidos[Prazo Entrega])</f>
        <v>45854</v>
      </c>
      <c r="F1722" s="9" t="s">
        <v>19433</v>
      </c>
      <c r="G1722" s="9" t="s">
        <v>773</v>
      </c>
      <c r="H1722" s="52" t="s">
        <v>179</v>
      </c>
      <c r="I1722" s="54" t="s">
        <v>178</v>
      </c>
      <c r="J1722" s="144">
        <v>45870</v>
      </c>
      <c r="K1722" s="54" t="s">
        <v>198</v>
      </c>
      <c r="L1722" s="8" t="s">
        <v>124</v>
      </c>
      <c r="M1722" s="9" t="s">
        <v>37</v>
      </c>
      <c r="N1722" s="52" t="str">
        <f>IF(Follow[[#This Row],[DATAATUALIZAÇÃO]]&lt;=Follow[[#This Row],[Prev Entrega]],"Dentro do Prazo","Fora do Prazo")</f>
        <v>Fora do Prazo</v>
      </c>
      <c r="O172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01/08/2025, referente ao pedido Nº Pedido 1842 Rastreio NM862009426BR, agradecemos a preferência e adoraríamos receber sua avaliação, tendo qualquer dúvida estamos à disposição.
Att
Tem tudo Shop</v>
      </c>
    </row>
    <row r="1723" spans="1:15">
      <c r="A1723" s="52" t="str">
        <f>_xlfn.XLOOKUP(Follow[[#This Row],[CODRASTREIO]],Controle_Pedidos[Cód Rastreamento],Controle_Pedidos[Número Pedido Cliente])</f>
        <v>Pedido 1843</v>
      </c>
      <c r="B1723" s="2" t="s">
        <v>19168</v>
      </c>
      <c r="C1723" s="2" t="str">
        <f>Follow[[#This Row],[CODRASTREIO]]&amp;" B"</f>
        <v>CódRastreio1726 B</v>
      </c>
      <c r="D1723" s="52" t="str">
        <f>_xlfn.XLOOKUP(Follow[[#This Row],[Id Pedido]],Controle_Pedidos[Número Pedido Cliente],Controle_Pedidos[Loja])</f>
        <v>BV</v>
      </c>
      <c r="E1723" s="9">
        <f>_xlfn.XLOOKUP(Follow[[#This Row],[Id Pedido]],Controle_Pedidos[Número Pedido Cliente],Controle_Pedidos[Prazo Entrega])</f>
        <v>45860</v>
      </c>
      <c r="F1723" s="9" t="s">
        <v>19433</v>
      </c>
      <c r="G1723" s="9" t="s">
        <v>774</v>
      </c>
      <c r="H1723" s="52" t="s">
        <v>179</v>
      </c>
      <c r="I1723" s="54" t="s">
        <v>178</v>
      </c>
      <c r="J1723" s="144">
        <v>45853</v>
      </c>
      <c r="K1723" s="54" t="s">
        <v>198</v>
      </c>
      <c r="L1723" s="8" t="s">
        <v>124</v>
      </c>
      <c r="M1723" s="9" t="s">
        <v>37</v>
      </c>
      <c r="N1723" s="52" t="str">
        <f>IF(Follow[[#This Row],[DATAATUALIZAÇÃO]]&lt;=Follow[[#This Row],[Prev Entrega]],"Dentro do Prazo","Fora do Prazo")</f>
        <v>Dentro do Prazo</v>
      </c>
      <c r="O172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15/07/2025, referente ao pedido Nº Pedido 1843 Rastreio NM862136495BR, agradecemos a preferência e adoraríamos receber sua avaliação, tendo qualquer dúvida estamos à disposição.
Att
Tem tudo Shop</v>
      </c>
    </row>
    <row r="1724" spans="1:15">
      <c r="A1724" s="52" t="str">
        <f>_xlfn.XLOOKUP(Follow[[#This Row],[CODRASTREIO]],Controle_Pedidos[Cód Rastreamento],Controle_Pedidos[Número Pedido Cliente])</f>
        <v>Pedido 1845</v>
      </c>
      <c r="B1724" s="2" t="s">
        <v>19170</v>
      </c>
      <c r="C1724" s="2" t="str">
        <f>Follow[[#This Row],[CODRASTREIO]]&amp;" B"</f>
        <v>CódRastreio1728 B</v>
      </c>
      <c r="D1724" s="52" t="str">
        <f>_xlfn.XLOOKUP(Follow[[#This Row],[Id Pedido]],Controle_Pedidos[Número Pedido Cliente],Controle_Pedidos[Loja])</f>
        <v>BV</v>
      </c>
      <c r="E1724" s="9">
        <f>_xlfn.XLOOKUP(Follow[[#This Row],[Id Pedido]],Controle_Pedidos[Número Pedido Cliente],Controle_Pedidos[Prazo Entrega])</f>
        <v>45868</v>
      </c>
      <c r="F1724" s="9" t="s">
        <v>19433</v>
      </c>
      <c r="G1724" s="9" t="s">
        <v>775</v>
      </c>
      <c r="H1724" s="52" t="s">
        <v>179</v>
      </c>
      <c r="I1724" s="54" t="s">
        <v>178</v>
      </c>
      <c r="J1724" s="144">
        <v>45856</v>
      </c>
      <c r="K1724" s="54" t="s">
        <v>198</v>
      </c>
      <c r="L1724" s="8" t="s">
        <v>124</v>
      </c>
      <c r="M1724" s="9" t="s">
        <v>37</v>
      </c>
      <c r="N1724" s="52" t="str">
        <f>IF(Follow[[#This Row],[DATAATUALIZAÇÃO]]&lt;=Follow[[#This Row],[Prev Entrega]],"Dentro do Prazo","Fora do Prazo")</f>
        <v>Dentro do Prazo</v>
      </c>
      <c r="O172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18/07/2025, referente ao pedido Nº Pedido 1845 Rastreio CNBR00081409265, agradecemos a preferência e adoraríamos receber sua avaliação, tendo qualquer dúvida estamos à disposição.
Att
Tem tudo Shop</v>
      </c>
    </row>
    <row r="1725" spans="1:15">
      <c r="A1725" s="52" t="str">
        <f>_xlfn.XLOOKUP(Follow[[#This Row],[CODRASTREIO]],Controle_Pedidos[Cód Rastreamento],Controle_Pedidos[Número Pedido Cliente])</f>
        <v>Pedido 1848</v>
      </c>
      <c r="B1725" s="2" t="s">
        <v>19173</v>
      </c>
      <c r="C1725" s="2" t="str">
        <f>Follow[[#This Row],[CODRASTREIO]]&amp;" B"</f>
        <v>CódRastreio1731 B</v>
      </c>
      <c r="D1725" s="52" t="str">
        <f>_xlfn.XLOOKUP(Follow[[#This Row],[Id Pedido]],Controle_Pedidos[Número Pedido Cliente],Controle_Pedidos[Loja])</f>
        <v>BV</v>
      </c>
      <c r="E1725" s="9">
        <f>_xlfn.XLOOKUP(Follow[[#This Row],[Id Pedido]],Controle_Pedidos[Número Pedido Cliente],Controle_Pedidos[Prazo Entrega])</f>
        <v>45863</v>
      </c>
      <c r="F1725" s="9" t="s">
        <v>19433</v>
      </c>
      <c r="G1725" s="9" t="s">
        <v>776</v>
      </c>
      <c r="H1725" s="52" t="s">
        <v>179</v>
      </c>
      <c r="I1725" s="54" t="s">
        <v>178</v>
      </c>
      <c r="J1725" s="144">
        <v>45853</v>
      </c>
      <c r="K1725" s="54" t="s">
        <v>198</v>
      </c>
      <c r="L1725" s="8" t="s">
        <v>124</v>
      </c>
      <c r="M1725" s="9" t="s">
        <v>37</v>
      </c>
      <c r="N1725" s="52" t="str">
        <f>IF(Follow[[#This Row],[DATAATUALIZAÇÃO]]&lt;=Follow[[#This Row],[Prev Entrega]],"Dentro do Prazo","Fora do Prazo")</f>
        <v>Dentro do Prazo</v>
      </c>
      <c r="O172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15/07/2025, referente ao pedido Nº Pedido 1848 Rastreio NM862098063BR, agradecemos a preferência e adoraríamos receber sua avaliação, tendo qualquer dúvida estamos à disposição.
Att
Tem tudo Shop</v>
      </c>
    </row>
    <row r="1726" spans="1:15">
      <c r="A1726" s="52" t="str">
        <f>_xlfn.XLOOKUP(Follow[[#This Row],[CODRASTREIO]],Controle_Pedidos[Cód Rastreamento],Controle_Pedidos[Número Pedido Cliente])</f>
        <v>Pedido 1850</v>
      </c>
      <c r="B1726" s="2" t="s">
        <v>19175</v>
      </c>
      <c r="C1726" s="2" t="str">
        <f>Follow[[#This Row],[CODRASTREIO]]&amp;" B"</f>
        <v>CódRastreio1733 B</v>
      </c>
      <c r="D1726" s="52" t="str">
        <f>_xlfn.XLOOKUP(Follow[[#This Row],[Id Pedido]],Controle_Pedidos[Número Pedido Cliente],Controle_Pedidos[Loja])</f>
        <v>BV</v>
      </c>
      <c r="E1726" s="9">
        <f>_xlfn.XLOOKUP(Follow[[#This Row],[Id Pedido]],Controle_Pedidos[Número Pedido Cliente],Controle_Pedidos[Prazo Entrega])</f>
        <v>45857</v>
      </c>
      <c r="F1726" s="9" t="s">
        <v>19433</v>
      </c>
      <c r="G1726" s="9" t="s">
        <v>777</v>
      </c>
      <c r="H1726" s="52" t="s">
        <v>179</v>
      </c>
      <c r="I1726" s="54" t="s">
        <v>178</v>
      </c>
      <c r="J1726" s="144">
        <v>45852</v>
      </c>
      <c r="K1726" s="54" t="s">
        <v>198</v>
      </c>
      <c r="L1726" s="8" t="s">
        <v>124</v>
      </c>
      <c r="M1726" s="9" t="s">
        <v>37</v>
      </c>
      <c r="N1726" s="52" t="str">
        <f>IF(Follow[[#This Row],[DATAATUALIZAÇÃO]]&lt;=Follow[[#This Row],[Prev Entrega]],"Dentro do Prazo","Fora do Prazo")</f>
        <v>Dentro do Prazo</v>
      </c>
      <c r="O172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1850 Rastreio NM862124642BR, agradecemos a preferência e adoraríamos receber sua avaliação, tendo qualquer dúvida estamos à disposição.
Att
Tem tudo Shop</v>
      </c>
    </row>
    <row r="1727" spans="1:15">
      <c r="A1727" s="52" t="str">
        <f>_xlfn.XLOOKUP(Follow[[#This Row],[CODRASTREIO]],Controle_Pedidos[Cód Rastreamento],Controle_Pedidos[Número Pedido Cliente])</f>
        <v>Pedido 1844</v>
      </c>
      <c r="B1727" s="2" t="s">
        <v>19169</v>
      </c>
      <c r="C1727" s="2" t="str">
        <f>Follow[[#This Row],[CODRASTREIO]]&amp;" B"</f>
        <v>CódRastreio1727 B</v>
      </c>
      <c r="D1727" s="52" t="str">
        <f>_xlfn.XLOOKUP(Follow[[#This Row],[Id Pedido]],Controle_Pedidos[Número Pedido Cliente],Controle_Pedidos[Loja])</f>
        <v>BV</v>
      </c>
      <c r="E1727" s="9">
        <f>_xlfn.XLOOKUP(Follow[[#This Row],[Id Pedido]],Controle_Pedidos[Número Pedido Cliente],Controle_Pedidos[Prazo Entrega])</f>
        <v>45861</v>
      </c>
      <c r="F1727" s="9" t="s">
        <v>19434</v>
      </c>
      <c r="G1727" s="9" t="s">
        <v>37</v>
      </c>
      <c r="H1727" s="52" t="s">
        <v>178</v>
      </c>
      <c r="I1727" s="54" t="s">
        <v>178</v>
      </c>
      <c r="J1727" s="144">
        <v>45870</v>
      </c>
      <c r="K1727" s="54" t="s">
        <v>198</v>
      </c>
      <c r="L1727" s="8" t="s">
        <v>124</v>
      </c>
      <c r="M1727" s="8" t="s">
        <v>208</v>
      </c>
      <c r="N1727" s="52" t="str">
        <f>IF(Follow[[#This Row],[DATAATUALIZAÇÃO]]&lt;=Follow[[#This Row],[Prev Entrega]],"Dentro do Prazo","Fora do Prazo")</f>
        <v>Fora do Prazo</v>
      </c>
      <c r="O172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01/08/2025, referente ao pedido Nº Pedido 1844 Rastreio Pedido 1844, agradecemos a preferência e adoraríamos receber sua avaliação, tendo qualquer dúvida estamos à disposição.
Att
Tem tudo Shop</v>
      </c>
    </row>
    <row r="1728" spans="1:15">
      <c r="A1728" s="52" t="str">
        <f>_xlfn.XLOOKUP(Follow[[#This Row],[CODRASTREIO]],Controle_Pedidos[Cód Rastreamento],Controle_Pedidos[Número Pedido Cliente])</f>
        <v>Pedido 1846</v>
      </c>
      <c r="B1728" s="2" t="s">
        <v>19171</v>
      </c>
      <c r="C1728" s="2" t="str">
        <f>Follow[[#This Row],[CODRASTREIO]]&amp;" B"</f>
        <v>CódRastreio1729 B</v>
      </c>
      <c r="D1728" s="52" t="str">
        <f>_xlfn.XLOOKUP(Follow[[#This Row],[Id Pedido]],Controle_Pedidos[Número Pedido Cliente],Controle_Pedidos[Loja])</f>
        <v>BV</v>
      </c>
      <c r="E1728" s="9">
        <f>_xlfn.XLOOKUP(Follow[[#This Row],[Id Pedido]],Controle_Pedidos[Número Pedido Cliente],Controle_Pedidos[Prazo Entrega])</f>
        <v>45862</v>
      </c>
      <c r="F1728" s="9" t="s">
        <v>19434</v>
      </c>
      <c r="G1728" s="9" t="s">
        <v>37</v>
      </c>
      <c r="H1728" s="52" t="s">
        <v>178</v>
      </c>
      <c r="I1728" s="54" t="s">
        <v>178</v>
      </c>
      <c r="J1728" s="144">
        <v>45848</v>
      </c>
      <c r="K1728" s="54" t="s">
        <v>198</v>
      </c>
      <c r="L1728" s="8" t="s">
        <v>124</v>
      </c>
      <c r="M1728" s="8" t="s">
        <v>37</v>
      </c>
      <c r="N1728" s="52" t="str">
        <f>IF(Follow[[#This Row],[DATAATUALIZAÇÃO]]&lt;=Follow[[#This Row],[Prev Entrega]],"Dentro do Prazo","Fora do Prazo")</f>
        <v>Dentro do Prazo</v>
      </c>
      <c r="O172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10/07/2025, referente ao pedido Nº Pedido 1846 Rastreio Pedido 1846, agradecemos a preferência e adoraríamos receber sua avaliação, tendo qualquer dúvida estamos à disposição.
Att
Tem tudo Shop</v>
      </c>
    </row>
    <row r="1729" spans="1:15">
      <c r="A1729" s="52" t="str">
        <f>_xlfn.XLOOKUP(Follow[[#This Row],[CODRASTREIO]],Controle_Pedidos[Cód Rastreamento],Controle_Pedidos[Número Pedido Cliente])</f>
        <v>Pedido 1847</v>
      </c>
      <c r="B1729" s="2" t="s">
        <v>19172</v>
      </c>
      <c r="C1729" s="2" t="str">
        <f>Follow[[#This Row],[CODRASTREIO]]&amp;" B"</f>
        <v>CódRastreio1730 B</v>
      </c>
      <c r="D1729" s="52" t="str">
        <f>_xlfn.XLOOKUP(Follow[[#This Row],[Id Pedido]],Controle_Pedidos[Número Pedido Cliente],Controle_Pedidos[Loja])</f>
        <v>BV</v>
      </c>
      <c r="E1729" s="9">
        <f>_xlfn.XLOOKUP(Follow[[#This Row],[Id Pedido]],Controle_Pedidos[Número Pedido Cliente],Controle_Pedidos[Prazo Entrega])</f>
        <v>45863</v>
      </c>
      <c r="F1729" s="9" t="s">
        <v>19434</v>
      </c>
      <c r="G1729" s="9" t="s">
        <v>37</v>
      </c>
      <c r="H1729" s="52" t="s">
        <v>178</v>
      </c>
      <c r="I1729" s="54" t="s">
        <v>178</v>
      </c>
      <c r="J1729" s="144">
        <v>45848</v>
      </c>
      <c r="K1729" s="54" t="s">
        <v>198</v>
      </c>
      <c r="L1729" s="8" t="s">
        <v>124</v>
      </c>
      <c r="M1729" s="8" t="s">
        <v>37</v>
      </c>
      <c r="N1729" s="52" t="str">
        <f>IF(Follow[[#This Row],[DATAATUALIZAÇÃO]]&lt;=Follow[[#This Row],[Prev Entrega]],"Dentro do Prazo","Fora do Prazo")</f>
        <v>Dentro do Prazo</v>
      </c>
      <c r="O172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10/07/2025, referente ao pedido Nº Pedido 1847 Rastreio Pedido 1847, agradecemos a preferência e adoraríamos receber sua avaliação, tendo qualquer dúvida estamos à disposição.
Att
Tem tudo Shop</v>
      </c>
    </row>
    <row r="1730" spans="1:15">
      <c r="A1730" s="52" t="str">
        <f>_xlfn.XLOOKUP(Follow[[#This Row],[CODRASTREIO]],Controle_Pedidos[Cód Rastreamento],Controle_Pedidos[Número Pedido Cliente])</f>
        <v>Pedido 1849</v>
      </c>
      <c r="B1730" s="2" t="s">
        <v>19174</v>
      </c>
      <c r="C1730" s="2" t="str">
        <f>Follow[[#This Row],[CODRASTREIO]]&amp;" B"</f>
        <v>CódRastreio1732 B</v>
      </c>
      <c r="D1730" s="52" t="str">
        <f>_xlfn.XLOOKUP(Follow[[#This Row],[Id Pedido]],Controle_Pedidos[Número Pedido Cliente],Controle_Pedidos[Loja])</f>
        <v>BV</v>
      </c>
      <c r="E1730" s="9">
        <f>_xlfn.XLOOKUP(Follow[[#This Row],[Id Pedido]],Controle_Pedidos[Número Pedido Cliente],Controle_Pedidos[Prazo Entrega])</f>
        <v>45863</v>
      </c>
      <c r="F1730" s="9" t="s">
        <v>19434</v>
      </c>
      <c r="G1730" s="9" t="s">
        <v>37</v>
      </c>
      <c r="H1730" s="52" t="s">
        <v>178</v>
      </c>
      <c r="I1730" s="54" t="s">
        <v>178</v>
      </c>
      <c r="J1730" s="144">
        <v>45847</v>
      </c>
      <c r="K1730" s="54" t="s">
        <v>198</v>
      </c>
      <c r="L1730" s="8" t="s">
        <v>124</v>
      </c>
      <c r="M1730" s="8" t="s">
        <v>37</v>
      </c>
      <c r="N1730" s="52" t="str">
        <f>IF(Follow[[#This Row],[DATAATUALIZAÇÃO]]&lt;=Follow[[#This Row],[Prev Entrega]],"Dentro do Prazo","Fora do Prazo")</f>
        <v>Dentro do Prazo</v>
      </c>
      <c r="O173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1849 Rastreio Pedido 1849, agradecemos a preferência e adoraríamos receber sua avaliação, tendo qualquer dúvida estamos à disposição.
Att
Tem tudo Shop</v>
      </c>
    </row>
    <row r="1731" spans="1:15">
      <c r="A1731" s="52" t="str">
        <f>_xlfn.XLOOKUP(Follow[[#This Row],[CODRASTREIO]],Controle_Pedidos[Cód Rastreamento],Controle_Pedidos[Número Pedido Cliente])</f>
        <v>Pedido 1851</v>
      </c>
      <c r="B1731" s="2" t="s">
        <v>19176</v>
      </c>
      <c r="C1731" s="2" t="str">
        <f>Follow[[#This Row],[CODRASTREIO]]&amp;" B"</f>
        <v>CódRastreio1734 B</v>
      </c>
      <c r="D1731" s="52" t="str">
        <f>_xlfn.XLOOKUP(Follow[[#This Row],[Id Pedido]],Controle_Pedidos[Número Pedido Cliente],Controle_Pedidos[Loja])</f>
        <v>BV</v>
      </c>
      <c r="E1731" s="9">
        <f>_xlfn.XLOOKUP(Follow[[#This Row],[Id Pedido]],Controle_Pedidos[Número Pedido Cliente],Controle_Pedidos[Prazo Entrega])</f>
        <v>45863</v>
      </c>
      <c r="F1731" s="9" t="s">
        <v>19434</v>
      </c>
      <c r="G1731" s="9" t="s">
        <v>37</v>
      </c>
      <c r="H1731" s="52" t="s">
        <v>178</v>
      </c>
      <c r="I1731" s="54" t="s">
        <v>178</v>
      </c>
      <c r="J1731" s="144">
        <v>45849</v>
      </c>
      <c r="K1731" s="54" t="s">
        <v>198</v>
      </c>
      <c r="L1731" s="8" t="s">
        <v>124</v>
      </c>
      <c r="M1731" s="8" t="s">
        <v>37</v>
      </c>
      <c r="N1731" s="52" t="str">
        <f>IF(Follow[[#This Row],[DATAATUALIZAÇÃO]]&lt;=Follow[[#This Row],[Prev Entrega]],"Dentro do Prazo","Fora do Prazo")</f>
        <v>Dentro do Prazo</v>
      </c>
      <c r="O173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11/07/2025, referente ao pedido Nº Pedido 1851 Rastreio Pedido 1851, agradecemos a preferência e adoraríamos receber sua avaliação, tendo qualquer dúvida estamos à disposição.
Att
Tem tudo Shop</v>
      </c>
    </row>
    <row r="1732" spans="1:15">
      <c r="A1732" s="52" t="str">
        <f>_xlfn.XLOOKUP(Follow[[#This Row],[CODRASTREIO]],Controle_Pedidos[Cód Rastreamento],Controle_Pedidos[Número Pedido Cliente])</f>
        <v>Pedido 1852</v>
      </c>
      <c r="B1732" s="2" t="s">
        <v>19177</v>
      </c>
      <c r="C1732" s="2" t="str">
        <f>Follow[[#This Row],[CODRASTREIO]]&amp;" B"</f>
        <v>CódRastreio1735 B</v>
      </c>
      <c r="D1732" s="52" t="str">
        <f>_xlfn.XLOOKUP(Follow[[#This Row],[Id Pedido]],Controle_Pedidos[Número Pedido Cliente],Controle_Pedidos[Loja])</f>
        <v>BV</v>
      </c>
      <c r="E1732" s="9">
        <f>_xlfn.XLOOKUP(Follow[[#This Row],[Id Pedido]],Controle_Pedidos[Número Pedido Cliente],Controle_Pedidos[Prazo Entrega])</f>
        <v>45864</v>
      </c>
      <c r="F1732" s="9" t="s">
        <v>19434</v>
      </c>
      <c r="G1732" s="9" t="s">
        <v>37</v>
      </c>
      <c r="H1732" s="52" t="s">
        <v>178</v>
      </c>
      <c r="I1732" s="54" t="s">
        <v>178</v>
      </c>
      <c r="J1732" s="144">
        <v>45848</v>
      </c>
      <c r="K1732" s="54" t="s">
        <v>198</v>
      </c>
      <c r="L1732" s="8" t="s">
        <v>124</v>
      </c>
      <c r="M1732" s="8" t="s">
        <v>37</v>
      </c>
      <c r="N1732" s="52" t="str">
        <f>IF(Follow[[#This Row],[DATAATUALIZAÇÃO]]&lt;=Follow[[#This Row],[Prev Entrega]],"Dentro do Prazo","Fora do Prazo")</f>
        <v>Dentro do Prazo</v>
      </c>
      <c r="O173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10/07/2025, referente ao pedido Nº Pedido 1852 Rastreio Pedido 1852, agradecemos a preferência e adoraríamos receber sua avaliação, tendo qualquer dúvida estamos à disposição.
Att
Tem tudo Shop</v>
      </c>
    </row>
    <row r="1733" spans="1:15">
      <c r="A1733" s="52" t="str">
        <f>_xlfn.XLOOKUP(Follow[[#This Row],[CODRASTREIO]],Controle_Pedidos[Cód Rastreamento],Controle_Pedidos[Número Pedido Cliente])</f>
        <v>Pedido 1853</v>
      </c>
      <c r="B1733" s="2" t="s">
        <v>19178</v>
      </c>
      <c r="C1733" s="2" t="str">
        <f>Follow[[#This Row],[CODRASTREIO]]&amp;" B"</f>
        <v>CódRastreio1736 B</v>
      </c>
      <c r="D1733" s="52" t="str">
        <f>_xlfn.XLOOKUP(Follow[[#This Row],[Id Pedido]],Controle_Pedidos[Número Pedido Cliente],Controle_Pedidos[Loja])</f>
        <v>BV</v>
      </c>
      <c r="E1733" s="9">
        <f>_xlfn.XLOOKUP(Follow[[#This Row],[Id Pedido]],Controle_Pedidos[Número Pedido Cliente],Controle_Pedidos[Prazo Entrega])</f>
        <v>45864</v>
      </c>
      <c r="F1733" s="9" t="s">
        <v>19434</v>
      </c>
      <c r="G1733" s="9" t="s">
        <v>37</v>
      </c>
      <c r="H1733" s="52" t="s">
        <v>178</v>
      </c>
      <c r="I1733" s="54" t="s">
        <v>178</v>
      </c>
      <c r="J1733" s="144">
        <v>45846</v>
      </c>
      <c r="K1733" s="54" t="s">
        <v>198</v>
      </c>
      <c r="L1733" s="8" t="s">
        <v>124</v>
      </c>
      <c r="M1733" s="8" t="s">
        <v>37</v>
      </c>
      <c r="N1733" s="52" t="str">
        <f>IF(Follow[[#This Row],[DATAATUALIZAÇÃO]]&lt;=Follow[[#This Row],[Prev Entrega]],"Dentro do Prazo","Fora do Prazo")</f>
        <v>Dentro do Prazo</v>
      </c>
      <c r="O173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08/07/2025, referente ao pedido Nº Pedido 1853 Rastreio Pedido 1853, agradecemos a preferência e adoraríamos receber sua avaliação, tendo qualquer dúvida estamos à disposição.
Att
Tem tudo Shop</v>
      </c>
    </row>
    <row r="1734" spans="1:15">
      <c r="A1734" s="52" t="str">
        <f>_xlfn.XLOOKUP(Follow[[#This Row],[CODRASTREIO]],Controle_Pedidos[Cód Rastreamento],Controle_Pedidos[Número Pedido Cliente])</f>
        <v>Pedido 1854</v>
      </c>
      <c r="B1734" s="2" t="s">
        <v>19179</v>
      </c>
      <c r="C1734" s="2" t="str">
        <f>Follow[[#This Row],[CODRASTREIO]]&amp;" B"</f>
        <v>CódRastreio1737 B</v>
      </c>
      <c r="D1734" s="52" t="str">
        <f>_xlfn.XLOOKUP(Follow[[#This Row],[Id Pedido]],Controle_Pedidos[Número Pedido Cliente],Controle_Pedidos[Loja])</f>
        <v>BV</v>
      </c>
      <c r="E1734" s="9">
        <f>_xlfn.XLOOKUP(Follow[[#This Row],[Id Pedido]],Controle_Pedidos[Número Pedido Cliente],Controle_Pedidos[Prazo Entrega])</f>
        <v>45864</v>
      </c>
      <c r="F1734" s="9" t="s">
        <v>19434</v>
      </c>
      <c r="G1734" s="9" t="s">
        <v>37</v>
      </c>
      <c r="H1734" s="52" t="s">
        <v>178</v>
      </c>
      <c r="I1734" s="54" t="s">
        <v>178</v>
      </c>
      <c r="J1734" s="144">
        <v>45850</v>
      </c>
      <c r="K1734" s="54" t="s">
        <v>198</v>
      </c>
      <c r="L1734" s="8" t="s">
        <v>124</v>
      </c>
      <c r="M1734" s="8" t="s">
        <v>37</v>
      </c>
      <c r="N1734" s="52" t="str">
        <f>IF(Follow[[#This Row],[DATAATUALIZAÇÃO]]&lt;=Follow[[#This Row],[Prev Entrega]],"Dentro do Prazo","Fora do Prazo")</f>
        <v>Dentro do Prazo</v>
      </c>
      <c r="O173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12/07/2025, referente ao pedido Nº Pedido 1854 Rastreio Pedido 1854, agradecemos a preferência e adoraríamos receber sua avaliação, tendo qualquer dúvida estamos à disposição.
Att
Tem tudo Shop</v>
      </c>
    </row>
    <row r="1735" spans="1:15">
      <c r="A1735" s="52" t="str">
        <f>_xlfn.XLOOKUP(Follow[[#This Row],[CODRASTREIO]],Controle_Pedidos[Cód Rastreamento],Controle_Pedidos[Número Pedido Cliente])</f>
        <v>Pedido 1855</v>
      </c>
      <c r="B1735" s="2" t="s">
        <v>19180</v>
      </c>
      <c r="C1735" s="2" t="str">
        <f>Follow[[#This Row],[CODRASTREIO]]&amp;" B"</f>
        <v>CódRastreio1738 B</v>
      </c>
      <c r="D1735" s="52" t="str">
        <f>_xlfn.XLOOKUP(Follow[[#This Row],[Id Pedido]],Controle_Pedidos[Número Pedido Cliente],Controle_Pedidos[Loja])</f>
        <v>BV</v>
      </c>
      <c r="E1735" s="9">
        <f>_xlfn.XLOOKUP(Follow[[#This Row],[Id Pedido]],Controle_Pedidos[Número Pedido Cliente],Controle_Pedidos[Prazo Entrega])</f>
        <v>45860</v>
      </c>
      <c r="F1735" s="9" t="s">
        <v>19434</v>
      </c>
      <c r="G1735" s="9" t="s">
        <v>37</v>
      </c>
      <c r="H1735" s="52" t="s">
        <v>178</v>
      </c>
      <c r="I1735" s="54" t="s">
        <v>178</v>
      </c>
      <c r="J1735" s="144">
        <v>45845</v>
      </c>
      <c r="K1735" s="54" t="s">
        <v>198</v>
      </c>
      <c r="L1735" s="8" t="s">
        <v>124</v>
      </c>
      <c r="M1735" s="9" t="s">
        <v>37</v>
      </c>
      <c r="N1735" s="52" t="str">
        <f>IF(Follow[[#This Row],[DATAATUALIZAÇÃO]]&lt;=Follow[[#This Row],[Prev Entrega]],"Dentro do Prazo","Fora do Prazo")</f>
        <v>Dentro do Prazo</v>
      </c>
      <c r="O173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1855 Rastreio Pedido 1855, agradecemos a preferência e adoraríamos receber sua avaliação, tendo qualquer dúvida estamos à disposição.
Att
Tem tudo Shop</v>
      </c>
    </row>
    <row r="1736" spans="1:15">
      <c r="A1736" s="52" t="str">
        <f>_xlfn.XLOOKUP(Follow[[#This Row],[CODRASTREIO]],Controle_Pedidos[Cód Rastreamento],Controle_Pedidos[Número Pedido Cliente])</f>
        <v>Pedido 1856</v>
      </c>
      <c r="B1736" s="2" t="s">
        <v>19181</v>
      </c>
      <c r="C1736" s="2" t="str">
        <f>Follow[[#This Row],[CODRASTREIO]]&amp;" B"</f>
        <v>CódRastreio1739 B</v>
      </c>
      <c r="D1736" s="52" t="str">
        <f>_xlfn.XLOOKUP(Follow[[#This Row],[Id Pedido]],Controle_Pedidos[Número Pedido Cliente],Controle_Pedidos[Loja])</f>
        <v>BV</v>
      </c>
      <c r="E1736" s="9">
        <f>_xlfn.XLOOKUP(Follow[[#This Row],[Id Pedido]],Controle_Pedidos[Número Pedido Cliente],Controle_Pedidos[Prazo Entrega])</f>
        <v>45860</v>
      </c>
      <c r="F1736" s="9" t="s">
        <v>19434</v>
      </c>
      <c r="G1736" s="9" t="s">
        <v>37</v>
      </c>
      <c r="H1736" s="52" t="s">
        <v>178</v>
      </c>
      <c r="I1736" s="54" t="s">
        <v>178</v>
      </c>
      <c r="J1736" s="144">
        <v>45848</v>
      </c>
      <c r="K1736" s="54" t="s">
        <v>198</v>
      </c>
      <c r="L1736" s="8" t="s">
        <v>124</v>
      </c>
      <c r="M1736" s="8" t="s">
        <v>37</v>
      </c>
      <c r="N1736" s="52" t="str">
        <f>IF(Follow[[#This Row],[DATAATUALIZAÇÃO]]&lt;=Follow[[#This Row],[Prev Entrega]],"Dentro do Prazo","Fora do Prazo")</f>
        <v>Dentro do Prazo</v>
      </c>
      <c r="O173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10/07/2025, referente ao pedido Nº Pedido 1856 Rastreio Pedido 1856, agradecemos a preferência e adoraríamos receber sua avaliação, tendo qualquer dúvida estamos à disposição.
Att
Tem tudo Shop</v>
      </c>
    </row>
    <row r="1737" spans="1:15">
      <c r="A1737" s="52" t="str">
        <f>_xlfn.XLOOKUP(Follow[[#This Row],[CODRASTREIO]],Controle_Pedidos[Cód Rastreamento],Controle_Pedidos[Número Pedido Cliente])</f>
        <v>Pedido 1857</v>
      </c>
      <c r="B1737" s="2" t="s">
        <v>19182</v>
      </c>
      <c r="C1737" s="2" t="str">
        <f>Follow[[#This Row],[CODRASTREIO]]&amp;" B"</f>
        <v>CódRastreio1740 B</v>
      </c>
      <c r="D1737" s="52" t="str">
        <f>_xlfn.XLOOKUP(Follow[[#This Row],[Id Pedido]],Controle_Pedidos[Número Pedido Cliente],Controle_Pedidos[Loja])</f>
        <v>BV</v>
      </c>
      <c r="E1737" s="9">
        <f>_xlfn.XLOOKUP(Follow[[#This Row],[Id Pedido]],Controle_Pedidos[Número Pedido Cliente],Controle_Pedidos[Prazo Entrega])</f>
        <v>45864</v>
      </c>
      <c r="F1737" s="9" t="s">
        <v>19434</v>
      </c>
      <c r="G1737" s="9" t="s">
        <v>37</v>
      </c>
      <c r="H1737" s="52" t="s">
        <v>178</v>
      </c>
      <c r="I1737" s="54" t="s">
        <v>178</v>
      </c>
      <c r="J1737" s="144">
        <v>45842</v>
      </c>
      <c r="K1737" s="54" t="s">
        <v>533</v>
      </c>
      <c r="L1737" s="8" t="s">
        <v>184</v>
      </c>
      <c r="M1737" s="8" t="s">
        <v>37</v>
      </c>
      <c r="N1737" s="52" t="str">
        <f>IF(Follow[[#This Row],[DATAATUALIZAÇÃO]]&lt;=Follow[[#This Row],[Prev Entrega]],"Dentro do Prazo","Fora do Prazo")</f>
        <v>Dentro do Prazo</v>
      </c>
      <c r="O173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04/07/2025, referente ao pedido Nº Pedido 1857 Rastreio Pedido 1857, agradecemos a preferência e adoraríamos receber sua avaliação, tendo qualquer dúvida estamos à disposição.
Att
Tem tudo Shop</v>
      </c>
    </row>
    <row r="1738" spans="1:15">
      <c r="A1738" s="52" t="str">
        <f>_xlfn.XLOOKUP(Follow[[#This Row],[CODRASTREIO]],Controle_Pedidos[Cód Rastreamento],Controle_Pedidos[Número Pedido Cliente])</f>
        <v>Pedido 1858</v>
      </c>
      <c r="B1738" s="2" t="s">
        <v>19183</v>
      </c>
      <c r="C1738" s="2" t="str">
        <f>Follow[[#This Row],[CODRASTREIO]]&amp;" B"</f>
        <v>CódRastreio1741 B</v>
      </c>
      <c r="D1738" s="52" t="str">
        <f>_xlfn.XLOOKUP(Follow[[#This Row],[Id Pedido]],Controle_Pedidos[Número Pedido Cliente],Controle_Pedidos[Loja])</f>
        <v>BV</v>
      </c>
      <c r="E1738" s="9">
        <f>_xlfn.XLOOKUP(Follow[[#This Row],[Id Pedido]],Controle_Pedidos[Número Pedido Cliente],Controle_Pedidos[Prazo Entrega])</f>
        <v>45864</v>
      </c>
      <c r="F1738" s="9" t="s">
        <v>19434</v>
      </c>
      <c r="G1738" s="9" t="s">
        <v>37</v>
      </c>
      <c r="H1738" s="52" t="s">
        <v>178</v>
      </c>
      <c r="I1738" s="54" t="s">
        <v>178</v>
      </c>
      <c r="J1738" s="144">
        <v>45845</v>
      </c>
      <c r="K1738" s="54" t="s">
        <v>198</v>
      </c>
      <c r="L1738" s="8" t="s">
        <v>124</v>
      </c>
      <c r="M1738" s="9" t="s">
        <v>37</v>
      </c>
      <c r="N1738" s="52" t="str">
        <f>IF(Follow[[#This Row],[DATAATUALIZAÇÃO]]&lt;=Follow[[#This Row],[Prev Entrega]],"Dentro do Prazo","Fora do Prazo")</f>
        <v>Dentro do Prazo</v>
      </c>
      <c r="O173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1858 Rastreio Pedido 1858, agradecemos a preferência e adoraríamos receber sua avaliação, tendo qualquer dúvida estamos à disposição.
Att
Tem tudo Shop</v>
      </c>
    </row>
    <row r="1739" spans="1:15">
      <c r="A1739" s="52" t="str">
        <f>_xlfn.XLOOKUP(Follow[[#This Row],[CODRASTREIO]],Controle_Pedidos[Cód Rastreamento],Controle_Pedidos[Número Pedido Cliente])</f>
        <v>Pedido 1859</v>
      </c>
      <c r="B1739" s="2" t="s">
        <v>19184</v>
      </c>
      <c r="C1739" s="2" t="str">
        <f>Follow[[#This Row],[CODRASTREIO]]&amp;" B"</f>
        <v>CódRastreio1742 B</v>
      </c>
      <c r="D1739" s="52" t="str">
        <f>_xlfn.XLOOKUP(Follow[[#This Row],[Id Pedido]],Controle_Pedidos[Número Pedido Cliente],Controle_Pedidos[Loja])</f>
        <v>BV</v>
      </c>
      <c r="E1739" s="9">
        <f>_xlfn.XLOOKUP(Follow[[#This Row],[Id Pedido]],Controle_Pedidos[Número Pedido Cliente],Controle_Pedidos[Prazo Entrega])</f>
        <v>45864</v>
      </c>
      <c r="F1739" s="9" t="s">
        <v>19434</v>
      </c>
      <c r="G1739" s="9" t="s">
        <v>37</v>
      </c>
      <c r="H1739" s="52" t="s">
        <v>178</v>
      </c>
      <c r="I1739" s="54" t="s">
        <v>178</v>
      </c>
      <c r="J1739" s="144">
        <v>45852</v>
      </c>
      <c r="K1739" s="54" t="s">
        <v>198</v>
      </c>
      <c r="L1739" s="8" t="s">
        <v>124</v>
      </c>
      <c r="M1739" s="8" t="s">
        <v>37</v>
      </c>
      <c r="N1739" s="52" t="str">
        <f>IF(Follow[[#This Row],[DATAATUALIZAÇÃO]]&lt;=Follow[[#This Row],[Prev Entrega]],"Dentro do Prazo","Fora do Prazo")</f>
        <v>Dentro do Prazo</v>
      </c>
      <c r="O173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1859 Rastreio Pedido 1859, agradecemos a preferência e adoraríamos receber sua avaliação, tendo qualquer dúvida estamos à disposição.
Att
Tem tudo Shop</v>
      </c>
    </row>
    <row r="1740" spans="1:15">
      <c r="A1740" s="52" t="str">
        <f>_xlfn.XLOOKUP(Follow[[#This Row],[CODRASTREIO]],Controle_Pedidos[Cód Rastreamento],Controle_Pedidos[Número Pedido Cliente])</f>
        <v>Pedido 1860</v>
      </c>
      <c r="B1740" s="2" t="s">
        <v>19185</v>
      </c>
      <c r="C1740" s="2" t="str">
        <f>Follow[[#This Row],[CODRASTREIO]]&amp;" B"</f>
        <v>CódRastreio1743 B</v>
      </c>
      <c r="D1740" s="52" t="str">
        <f>_xlfn.XLOOKUP(Follow[[#This Row],[Id Pedido]],Controle_Pedidos[Número Pedido Cliente],Controle_Pedidos[Loja])</f>
        <v>BV</v>
      </c>
      <c r="E1740" s="9">
        <f>_xlfn.XLOOKUP(Follow[[#This Row],[Id Pedido]],Controle_Pedidos[Número Pedido Cliente],Controle_Pedidos[Prazo Entrega])</f>
        <v>45867</v>
      </c>
      <c r="F1740" s="9" t="s">
        <v>19434</v>
      </c>
      <c r="G1740" s="9" t="s">
        <v>37</v>
      </c>
      <c r="H1740" s="52" t="s">
        <v>178</v>
      </c>
      <c r="I1740" s="54" t="s">
        <v>178</v>
      </c>
      <c r="J1740" s="144">
        <v>45847</v>
      </c>
      <c r="K1740" s="54" t="s">
        <v>198</v>
      </c>
      <c r="L1740" s="8" t="s">
        <v>124</v>
      </c>
      <c r="M1740" s="8" t="s">
        <v>37</v>
      </c>
      <c r="N1740" s="52" t="str">
        <f>IF(Follow[[#This Row],[DATAATUALIZAÇÃO]]&lt;=Follow[[#This Row],[Prev Entrega]],"Dentro do Prazo","Fora do Prazo")</f>
        <v>Dentro do Prazo</v>
      </c>
      <c r="O174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1860 Rastreio Pedido 1860, agradecemos a preferência e adoraríamos receber sua avaliação, tendo qualquer dúvida estamos à disposição.
Att
Tem tudo Shop</v>
      </c>
    </row>
    <row r="1741" spans="1:15">
      <c r="A1741" s="52" t="str">
        <f>_xlfn.XLOOKUP(Follow[[#This Row],[CODRASTREIO]],Controle_Pedidos[Cód Rastreamento],Controle_Pedidos[Número Pedido Cliente])</f>
        <v>Pedido 1861</v>
      </c>
      <c r="B1741" s="2" t="s">
        <v>19186</v>
      </c>
      <c r="C1741" s="2" t="str">
        <f>Follow[[#This Row],[CODRASTREIO]]&amp;" B"</f>
        <v>CódRastreio1744 B</v>
      </c>
      <c r="D1741" s="52" t="str">
        <f>_xlfn.XLOOKUP(Follow[[#This Row],[Id Pedido]],Controle_Pedidos[Número Pedido Cliente],Controle_Pedidos[Loja])</f>
        <v>BV</v>
      </c>
      <c r="E1741" s="9">
        <f>_xlfn.XLOOKUP(Follow[[#This Row],[Id Pedido]],Controle_Pedidos[Número Pedido Cliente],Controle_Pedidos[Prazo Entrega])</f>
        <v>45867</v>
      </c>
      <c r="F1741" s="9" t="s">
        <v>19434</v>
      </c>
      <c r="G1741" s="9" t="s">
        <v>37</v>
      </c>
      <c r="H1741" s="52" t="s">
        <v>178</v>
      </c>
      <c r="I1741" s="54" t="s">
        <v>178</v>
      </c>
      <c r="J1741" s="144">
        <v>45845</v>
      </c>
      <c r="K1741" s="54" t="s">
        <v>198</v>
      </c>
      <c r="L1741" s="8" t="s">
        <v>124</v>
      </c>
      <c r="M1741" s="9" t="s">
        <v>37</v>
      </c>
      <c r="N1741" s="52" t="str">
        <f>IF(Follow[[#This Row],[DATAATUALIZAÇÃO]]&lt;=Follow[[#This Row],[Prev Entrega]],"Dentro do Prazo","Fora do Prazo")</f>
        <v>Dentro do Prazo</v>
      </c>
      <c r="O174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1861 Rastreio Pedido 1861, agradecemos a preferência e adoraríamos receber sua avaliação, tendo qualquer dúvida estamos à disposição.
Att
Tem tudo Shop</v>
      </c>
    </row>
    <row r="1742" spans="1:15">
      <c r="A1742" s="52" t="str">
        <f>_xlfn.XLOOKUP(Follow[[#This Row],[CODRASTREIO]],Controle_Pedidos[Cód Rastreamento],Controle_Pedidos[Número Pedido Cliente])</f>
        <v>Pedido 1862</v>
      </c>
      <c r="B1742" s="2" t="s">
        <v>19187</v>
      </c>
      <c r="C1742" s="2" t="str">
        <f>Follow[[#This Row],[CODRASTREIO]]&amp;" B"</f>
        <v>CódRastreio1745 B</v>
      </c>
      <c r="D1742" s="52" t="str">
        <f>_xlfn.XLOOKUP(Follow[[#This Row],[Id Pedido]],Controle_Pedidos[Número Pedido Cliente],Controle_Pedidos[Loja])</f>
        <v>BV</v>
      </c>
      <c r="E1742" s="9">
        <f>_xlfn.XLOOKUP(Follow[[#This Row],[Id Pedido]],Controle_Pedidos[Número Pedido Cliente],Controle_Pedidos[Prazo Entrega])</f>
        <v>45861</v>
      </c>
      <c r="F1742" s="9" t="s">
        <v>19434</v>
      </c>
      <c r="G1742" s="9" t="s">
        <v>37</v>
      </c>
      <c r="H1742" s="52" t="s">
        <v>178</v>
      </c>
      <c r="I1742" s="54" t="s">
        <v>178</v>
      </c>
      <c r="J1742" s="144">
        <v>45846</v>
      </c>
      <c r="K1742" s="54" t="s">
        <v>198</v>
      </c>
      <c r="L1742" s="8" t="s">
        <v>124</v>
      </c>
      <c r="M1742" s="8" t="s">
        <v>37</v>
      </c>
      <c r="N1742" s="52" t="str">
        <f>IF(Follow[[#This Row],[DATAATUALIZAÇÃO]]&lt;=Follow[[#This Row],[Prev Entrega]],"Dentro do Prazo","Fora do Prazo")</f>
        <v>Dentro do Prazo</v>
      </c>
      <c r="O174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08/07/2025, referente ao pedido Nº Pedido 1862 Rastreio Pedido 1862, agradecemos a preferência e adoraríamos receber sua avaliação, tendo qualquer dúvida estamos à disposição.
Att
Tem tudo Shop</v>
      </c>
    </row>
    <row r="1743" spans="1:15">
      <c r="A1743" s="52" t="str">
        <f>_xlfn.XLOOKUP(Follow[[#This Row],[CODRASTREIO]],Controle_Pedidos[Cód Rastreamento],Controle_Pedidos[Número Pedido Cliente])</f>
        <v>Pedido 1863</v>
      </c>
      <c r="B1743" s="2" t="s">
        <v>19188</v>
      </c>
      <c r="C1743" s="2" t="str">
        <f>Follow[[#This Row],[CODRASTREIO]]&amp;" B"</f>
        <v>CódRastreio1746 B</v>
      </c>
      <c r="D1743" s="52" t="str">
        <f>_xlfn.XLOOKUP(Follow[[#This Row],[Id Pedido]],Controle_Pedidos[Número Pedido Cliente],Controle_Pedidos[Loja])</f>
        <v>BV</v>
      </c>
      <c r="E1743" s="9">
        <f>_xlfn.XLOOKUP(Follow[[#This Row],[Id Pedido]],Controle_Pedidos[Número Pedido Cliente],Controle_Pedidos[Prazo Entrega])</f>
        <v>45861</v>
      </c>
      <c r="F1743" s="9" t="s">
        <v>19434</v>
      </c>
      <c r="G1743" s="9" t="s">
        <v>37</v>
      </c>
      <c r="H1743" s="52" t="s">
        <v>178</v>
      </c>
      <c r="I1743" s="54" t="s">
        <v>178</v>
      </c>
      <c r="J1743" s="144">
        <v>45845</v>
      </c>
      <c r="K1743" s="54" t="s">
        <v>198</v>
      </c>
      <c r="L1743" s="8" t="s">
        <v>124</v>
      </c>
      <c r="M1743" s="9" t="s">
        <v>37</v>
      </c>
      <c r="N1743" s="52" t="str">
        <f>IF(Follow[[#This Row],[DATAATUALIZAÇÃO]]&lt;=Follow[[#This Row],[Prev Entrega]],"Dentro do Prazo","Fora do Prazo")</f>
        <v>Dentro do Prazo</v>
      </c>
      <c r="O174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07/07/2025, referente ao pedido Nº Pedido 1863 Rastreio Pedido 1863, agradecemos a preferência e adoraríamos receber sua avaliação, tendo qualquer dúvida estamos à disposição.
Att
Tem tudo Shop</v>
      </c>
    </row>
    <row r="1744" spans="1:15">
      <c r="A1744" s="52" t="str">
        <f>_xlfn.XLOOKUP(Follow[[#This Row],[CODRASTREIO]],Controle_Pedidos[Cód Rastreamento],Controle_Pedidos[Número Pedido Cliente])</f>
        <v>Pedido 1864</v>
      </c>
      <c r="B1744" s="2" t="s">
        <v>19189</v>
      </c>
      <c r="C1744" s="2" t="str">
        <f>Follow[[#This Row],[CODRASTREIO]]&amp;" B"</f>
        <v>CódRastreio1747 B</v>
      </c>
      <c r="D1744" s="52" t="str">
        <f>_xlfn.XLOOKUP(Follow[[#This Row],[Id Pedido]],Controle_Pedidos[Número Pedido Cliente],Controle_Pedidos[Loja])</f>
        <v>BV</v>
      </c>
      <c r="E1744" s="9">
        <f>_xlfn.XLOOKUP(Follow[[#This Row],[Id Pedido]],Controle_Pedidos[Número Pedido Cliente],Controle_Pedidos[Prazo Entrega])</f>
        <v>45875</v>
      </c>
      <c r="F1744" s="9" t="s">
        <v>19434</v>
      </c>
      <c r="G1744" s="9" t="s">
        <v>37</v>
      </c>
      <c r="H1744" s="52" t="s">
        <v>178</v>
      </c>
      <c r="I1744" s="54" t="s">
        <v>178</v>
      </c>
      <c r="J1744" s="144">
        <v>45843</v>
      </c>
      <c r="K1744" s="54" t="s">
        <v>198</v>
      </c>
      <c r="L1744" s="8" t="s">
        <v>124</v>
      </c>
      <c r="M1744" s="8" t="s">
        <v>37</v>
      </c>
      <c r="N1744" s="52" t="str">
        <f>IF(Follow[[#This Row],[DATAATUALIZAÇÃO]]&lt;=Follow[[#This Row],[Prev Entrega]],"Dentro do Prazo","Fora do Prazo")</f>
        <v>Dentro do Prazo</v>
      </c>
      <c r="O174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05/07/2025, referente ao pedido Nº Pedido 1864 Rastreio Pedido 1864, agradecemos a preferência e adoraríamos receber sua avaliação, tendo qualquer dúvida estamos à disposição.
Att
Tem tudo Shop</v>
      </c>
    </row>
    <row r="1745" spans="1:15">
      <c r="A1745" s="52" t="str">
        <f>_xlfn.XLOOKUP(Follow[[#This Row],[CODRASTREIO]],Controle_Pedidos[Cód Rastreamento],Controle_Pedidos[Número Pedido Cliente])</f>
        <v>Pedido 1809</v>
      </c>
      <c r="B1745" s="2" t="s">
        <v>19146</v>
      </c>
      <c r="C1745" s="2" t="str">
        <f>Follow[[#This Row],[CODRASTREIO]]&amp;" B"</f>
        <v>CódRastreio1704 B</v>
      </c>
      <c r="D1745" s="52" t="str">
        <f>_xlfn.XLOOKUP(Follow[[#This Row],[Id Pedido]],Controle_Pedidos[Número Pedido Cliente],Controle_Pedidos[Loja])</f>
        <v>BV</v>
      </c>
      <c r="E1745" s="9">
        <f>_xlfn.XLOOKUP(Follow[[#This Row],[Id Pedido]],Controle_Pedidos[Número Pedido Cliente],Controle_Pedidos[Prazo Entrega])</f>
        <v>45849</v>
      </c>
      <c r="F1745" s="9" t="s">
        <v>19433</v>
      </c>
      <c r="G1745" s="9" t="s">
        <v>778</v>
      </c>
      <c r="H1745" s="52" t="s">
        <v>179</v>
      </c>
      <c r="I1745" s="54" t="s">
        <v>178</v>
      </c>
      <c r="J1745" s="144">
        <v>45849</v>
      </c>
      <c r="K1745" s="54" t="s">
        <v>198</v>
      </c>
      <c r="L1745" s="8" t="s">
        <v>124</v>
      </c>
      <c r="M1745" s="9" t="s">
        <v>37</v>
      </c>
      <c r="N1745" s="52" t="str">
        <f>IF(Follow[[#This Row],[DATAATUALIZAÇÃO]]&lt;=Follow[[#This Row],[Prev Entrega]],"Dentro do Prazo","Fora do Prazo")</f>
        <v>Dentro do Prazo</v>
      </c>
      <c r="O174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11/07/2025, referente ao pedido Nº Pedido 1809 Rastreio NM857704499BR, agradecemos a preferência e adoraríamos receber sua avaliação, tendo qualquer dúvida estamos à disposição.
Att
Tem tudo Shop</v>
      </c>
    </row>
    <row r="1746" spans="1:15">
      <c r="A1746" s="52" t="str">
        <f>_xlfn.XLOOKUP(Follow[[#This Row],[CODRASTREIO]],Controle_Pedidos[Cód Rastreamento],Controle_Pedidos[Número Pedido Cliente])</f>
        <v>Pedido 1811</v>
      </c>
      <c r="B1746" s="2" t="s">
        <v>19148</v>
      </c>
      <c r="C1746" s="2" t="str">
        <f>Follow[[#This Row],[CODRASTREIO]]&amp;" B"</f>
        <v>CódRastreio1706 B</v>
      </c>
      <c r="D1746" s="52" t="str">
        <f>_xlfn.XLOOKUP(Follow[[#This Row],[Id Pedido]],Controle_Pedidos[Número Pedido Cliente],Controle_Pedidos[Loja])</f>
        <v>BV</v>
      </c>
      <c r="E1746" s="9">
        <f>_xlfn.XLOOKUP(Follow[[#This Row],[Id Pedido]],Controle_Pedidos[Número Pedido Cliente],Controle_Pedidos[Prazo Entrega])</f>
        <v>45855</v>
      </c>
      <c r="F1746" s="9" t="s">
        <v>19433</v>
      </c>
      <c r="G1746" s="9" t="s">
        <v>779</v>
      </c>
      <c r="H1746" s="52" t="s">
        <v>179</v>
      </c>
      <c r="I1746" s="54" t="s">
        <v>178</v>
      </c>
      <c r="J1746" s="144">
        <v>45852</v>
      </c>
      <c r="K1746" s="54" t="s">
        <v>198</v>
      </c>
      <c r="L1746" s="8" t="s">
        <v>124</v>
      </c>
      <c r="M1746" s="9" t="s">
        <v>37</v>
      </c>
      <c r="N1746" s="52" t="str">
        <f>IF(Follow[[#This Row],[DATAATUALIZAÇÃO]]&lt;=Follow[[#This Row],[Prev Entrega]],"Dentro do Prazo","Fora do Prazo")</f>
        <v>Dentro do Prazo</v>
      </c>
      <c r="O174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1811 Rastreio NM857703140BR, agradecemos a preferência e adoraríamos receber sua avaliação, tendo qualquer dúvida estamos à disposição.
Att
Tem tudo Shop</v>
      </c>
    </row>
    <row r="1747" spans="1:15">
      <c r="A1747" s="52" t="str">
        <f>_xlfn.XLOOKUP(Follow[[#This Row],[CODRASTREIO]],Controle_Pedidos[Cód Rastreamento],Controle_Pedidos[Número Pedido Cliente])</f>
        <v>Pedido 1813</v>
      </c>
      <c r="B1747" s="2" t="s">
        <v>19150</v>
      </c>
      <c r="C1747" s="2" t="str">
        <f>Follow[[#This Row],[CODRASTREIO]]&amp;" B"</f>
        <v>CódRastreio1708 B</v>
      </c>
      <c r="D1747" s="52" t="str">
        <f>_xlfn.XLOOKUP(Follow[[#This Row],[Id Pedido]],Controle_Pedidos[Número Pedido Cliente],Controle_Pedidos[Loja])</f>
        <v>BV</v>
      </c>
      <c r="E1747" s="9">
        <f>_xlfn.XLOOKUP(Follow[[#This Row],[Id Pedido]],Controle_Pedidos[Número Pedido Cliente],Controle_Pedidos[Prazo Entrega])</f>
        <v>45856</v>
      </c>
      <c r="F1747" s="9" t="s">
        <v>19433</v>
      </c>
      <c r="G1747" s="9" t="s">
        <v>780</v>
      </c>
      <c r="H1747" s="52" t="s">
        <v>179</v>
      </c>
      <c r="I1747" s="54" t="s">
        <v>178</v>
      </c>
      <c r="J1747" s="144">
        <v>45852</v>
      </c>
      <c r="K1747" s="54" t="s">
        <v>198</v>
      </c>
      <c r="L1747" s="8" t="s">
        <v>124</v>
      </c>
      <c r="M1747" s="9" t="s">
        <v>37</v>
      </c>
      <c r="N1747" s="52" t="str">
        <f>IF(Follow[[#This Row],[DATAATUALIZAÇÃO]]&lt;=Follow[[#This Row],[Prev Entrega]],"Dentro do Prazo","Fora do Prazo")</f>
        <v>Dentro do Prazo</v>
      </c>
      <c r="O174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1813 Rastreio CNBR00081557952, agradecemos a preferência e adoraríamos receber sua avaliação, tendo qualquer dúvida estamos à disposição.
Att
Tem tudo Shop</v>
      </c>
    </row>
    <row r="1748" spans="1:15">
      <c r="A1748" s="52" t="str">
        <f>_xlfn.XLOOKUP(Follow[[#This Row],[CODRASTREIO]],Controle_Pedidos[Cód Rastreamento],Controle_Pedidos[Número Pedido Cliente])</f>
        <v>Pedido 1814</v>
      </c>
      <c r="B1748" s="2" t="s">
        <v>19151</v>
      </c>
      <c r="C1748" s="2" t="str">
        <f>Follow[[#This Row],[CODRASTREIO]]&amp;" B"</f>
        <v>CódRastreio1709 B</v>
      </c>
      <c r="D1748" s="52" t="str">
        <f>_xlfn.XLOOKUP(Follow[[#This Row],[Id Pedido]],Controle_Pedidos[Número Pedido Cliente],Controle_Pedidos[Loja])</f>
        <v>BV</v>
      </c>
      <c r="E1748" s="9">
        <f>_xlfn.XLOOKUP(Follow[[#This Row],[Id Pedido]],Controle_Pedidos[Número Pedido Cliente],Controle_Pedidos[Prazo Entrega])</f>
        <v>45856</v>
      </c>
      <c r="F1748" s="9" t="s">
        <v>19433</v>
      </c>
      <c r="G1748" s="9" t="s">
        <v>781</v>
      </c>
      <c r="H1748" s="52" t="s">
        <v>179</v>
      </c>
      <c r="I1748" s="54" t="s">
        <v>178</v>
      </c>
      <c r="J1748" s="144">
        <v>45852</v>
      </c>
      <c r="K1748" s="54" t="s">
        <v>198</v>
      </c>
      <c r="L1748" s="8" t="s">
        <v>124</v>
      </c>
      <c r="M1748" s="9" t="s">
        <v>37</v>
      </c>
      <c r="N1748" s="52" t="str">
        <f>IF(Follow[[#This Row],[DATAATUALIZAÇÃO]]&lt;=Follow[[#This Row],[Prev Entrega]],"Dentro do Prazo","Fora do Prazo")</f>
        <v>Dentro do Prazo</v>
      </c>
      <c r="O174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1814 Rastreio CNBR00081564296, agradecemos a preferência e adoraríamos receber sua avaliação, tendo qualquer dúvida estamos à disposição.
Att
Tem tudo Shop</v>
      </c>
    </row>
    <row r="1749" spans="1:15">
      <c r="A1749" s="52" t="str">
        <f>_xlfn.XLOOKUP(Follow[[#This Row],[CODRASTREIO]],Controle_Pedidos[Cód Rastreamento],Controle_Pedidos[Número Pedido Cliente])</f>
        <v>Pedido 1819</v>
      </c>
      <c r="B1749" s="2" t="s">
        <v>19156</v>
      </c>
      <c r="C1749" s="2" t="str">
        <f>Follow[[#This Row],[CODRASTREIO]]&amp;" B"</f>
        <v>CódRastreio1714 B</v>
      </c>
      <c r="D1749" s="52" t="str">
        <f>_xlfn.XLOOKUP(Follow[[#This Row],[Id Pedido]],Controle_Pedidos[Número Pedido Cliente],Controle_Pedidos[Loja])</f>
        <v>BV</v>
      </c>
      <c r="E1749" s="9">
        <f>_xlfn.XLOOKUP(Follow[[#This Row],[Id Pedido]],Controle_Pedidos[Número Pedido Cliente],Controle_Pedidos[Prazo Entrega])</f>
        <v>45856</v>
      </c>
      <c r="F1749" s="9" t="s">
        <v>19433</v>
      </c>
      <c r="G1749" s="9" t="s">
        <v>782</v>
      </c>
      <c r="H1749" s="52" t="s">
        <v>179</v>
      </c>
      <c r="I1749" s="54" t="s">
        <v>178</v>
      </c>
      <c r="J1749" s="9">
        <v>45884</v>
      </c>
      <c r="K1749" s="54" t="s">
        <v>533</v>
      </c>
      <c r="L1749" s="8" t="s">
        <v>184</v>
      </c>
      <c r="M1749" s="9" t="s">
        <v>37</v>
      </c>
      <c r="N1749" s="52" t="str">
        <f>IF(Follow[[#This Row],[DATAATUALIZAÇÃO]]&lt;=Follow[[#This Row],[Prev Entrega]],"Dentro do Prazo","Fora do Prazo")</f>
        <v>Fora do Prazo</v>
      </c>
      <c r="O174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15/08/2025, referente ao pedido Nº Pedido 1819 Rastreio NM858405213BR, agradecemos a preferência e adoraríamos receber sua avaliação, tendo qualquer dúvida estamos à disposição.
Att
Tem tudo Shop</v>
      </c>
    </row>
    <row r="1750" spans="1:15">
      <c r="A1750" s="52" t="str">
        <f>_xlfn.XLOOKUP(Follow[[#This Row],[CODRASTREIO]],Controle_Pedidos[Cód Rastreamento],Controle_Pedidos[Número Pedido Cliente])</f>
        <v>Pedido 1822</v>
      </c>
      <c r="B1750" s="2" t="s">
        <v>19157</v>
      </c>
      <c r="C1750" s="2" t="str">
        <f>Follow[[#This Row],[CODRASTREIO]]&amp;" B"</f>
        <v>CódRastreio1715 B</v>
      </c>
      <c r="D1750" s="52" t="str">
        <f>_xlfn.XLOOKUP(Follow[[#This Row],[Id Pedido]],Controle_Pedidos[Número Pedido Cliente],Controle_Pedidos[Loja])</f>
        <v>BV</v>
      </c>
      <c r="E1750" s="9">
        <f>_xlfn.XLOOKUP(Follow[[#This Row],[Id Pedido]],Controle_Pedidos[Número Pedido Cliente],Controle_Pedidos[Prazo Entrega])</f>
        <v>45856</v>
      </c>
      <c r="F1750" s="9" t="s">
        <v>19433</v>
      </c>
      <c r="G1750" s="9" t="s">
        <v>783</v>
      </c>
      <c r="H1750" s="52" t="s">
        <v>179</v>
      </c>
      <c r="I1750" s="54" t="s">
        <v>178</v>
      </c>
      <c r="J1750" s="144">
        <v>45855</v>
      </c>
      <c r="K1750" s="54" t="s">
        <v>198</v>
      </c>
      <c r="L1750" s="8" t="s">
        <v>124</v>
      </c>
      <c r="M1750" s="9" t="s">
        <v>37</v>
      </c>
      <c r="N1750" s="52" t="str">
        <f>IF(Follow[[#This Row],[DATAATUALIZAÇÃO]]&lt;=Follow[[#This Row],[Prev Entrega]],"Dentro do Prazo","Fora do Prazo")</f>
        <v>Dentro do Prazo</v>
      </c>
      <c r="O175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17/07/2025, referente ao pedido Nº Pedido 1822 Rastreio NM858447765BR, agradecemos a preferência e adoraríamos receber sua avaliação, tendo qualquer dúvida estamos à disposição.
Att
Tem tudo Shop</v>
      </c>
    </row>
    <row r="1751" spans="1:15">
      <c r="A1751" s="52" t="str">
        <f>_xlfn.XLOOKUP(Follow[[#This Row],[CODRASTREIO]],Controle_Pedidos[Cód Rastreamento],Controle_Pedidos[Número Pedido Cliente])</f>
        <v>Pedido 1823</v>
      </c>
      <c r="B1751" s="2" t="s">
        <v>19158</v>
      </c>
      <c r="C1751" s="2" t="str">
        <f>Follow[[#This Row],[CODRASTREIO]]&amp;" B"</f>
        <v>CódRastreio1716 B</v>
      </c>
      <c r="D1751" s="52" t="str">
        <f>_xlfn.XLOOKUP(Follow[[#This Row],[Id Pedido]],Controle_Pedidos[Número Pedido Cliente],Controle_Pedidos[Loja])</f>
        <v>BV</v>
      </c>
      <c r="E1751" s="9">
        <f>_xlfn.XLOOKUP(Follow[[#This Row],[Id Pedido]],Controle_Pedidos[Número Pedido Cliente],Controle_Pedidos[Prazo Entrega])</f>
        <v>45857</v>
      </c>
      <c r="F1751" s="9" t="s">
        <v>19433</v>
      </c>
      <c r="G1751" s="9" t="s">
        <v>784</v>
      </c>
      <c r="H1751" s="52" t="s">
        <v>179</v>
      </c>
      <c r="I1751" s="54" t="s">
        <v>178</v>
      </c>
      <c r="J1751" s="144">
        <v>45855</v>
      </c>
      <c r="K1751" s="54" t="s">
        <v>198</v>
      </c>
      <c r="L1751" s="8" t="s">
        <v>124</v>
      </c>
      <c r="M1751" s="9" t="s">
        <v>37</v>
      </c>
      <c r="N1751" s="52" t="str">
        <f>IF(Follow[[#This Row],[DATAATUALIZAÇÃO]]&lt;=Follow[[#This Row],[Prev Entrega]],"Dentro do Prazo","Fora do Prazo")</f>
        <v>Dentro do Prazo</v>
      </c>
      <c r="O175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17/07/2025, referente ao pedido Nº Pedido 1823 Rastreio NM858445932BR, agradecemos a preferência e adoraríamos receber sua avaliação, tendo qualquer dúvida estamos à disposição.
Att
Tem tudo Shop</v>
      </c>
    </row>
    <row r="1752" spans="1:15">
      <c r="A1752" s="52" t="str">
        <f>_xlfn.XLOOKUP(Follow[[#This Row],[CODRASTREIO]],Controle_Pedidos[Cód Rastreamento],Controle_Pedidos[Número Pedido Cliente])</f>
        <v>Pedido 1824</v>
      </c>
      <c r="B1752" s="2" t="s">
        <v>19159</v>
      </c>
      <c r="C1752" s="2" t="str">
        <f>Follow[[#This Row],[CODRASTREIO]]&amp;" B"</f>
        <v>CódRastreio1717 B</v>
      </c>
      <c r="D1752" s="52" t="str">
        <f>_xlfn.XLOOKUP(Follow[[#This Row],[Id Pedido]],Controle_Pedidos[Número Pedido Cliente],Controle_Pedidos[Loja])</f>
        <v>BV</v>
      </c>
      <c r="E1752" s="9">
        <f>_xlfn.XLOOKUP(Follow[[#This Row],[Id Pedido]],Controle_Pedidos[Número Pedido Cliente],Controle_Pedidos[Prazo Entrega])</f>
        <v>45853</v>
      </c>
      <c r="F1752" s="9" t="s">
        <v>19433</v>
      </c>
      <c r="G1752" s="9" t="s">
        <v>785</v>
      </c>
      <c r="H1752" s="52" t="s">
        <v>179</v>
      </c>
      <c r="I1752" s="54" t="s">
        <v>178</v>
      </c>
      <c r="J1752" s="144">
        <v>45852</v>
      </c>
      <c r="K1752" s="54" t="s">
        <v>198</v>
      </c>
      <c r="L1752" s="8" t="s">
        <v>124</v>
      </c>
      <c r="M1752" s="9" t="s">
        <v>37</v>
      </c>
      <c r="N1752" s="52" t="str">
        <f>IF(Follow[[#This Row],[DATAATUALIZAÇÃO]]&lt;=Follow[[#This Row],[Prev Entrega]],"Dentro do Prazo","Fora do Prazo")</f>
        <v>Dentro do Prazo</v>
      </c>
      <c r="O175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14/07/2025, referente ao pedido Nº Pedido 1824 Rastreio NM858592516BR, agradecemos a preferência e adoraríamos receber sua avaliação, tendo qualquer dúvida estamos à disposição.
Att
Tem tudo Shop</v>
      </c>
    </row>
    <row r="1753" spans="1:15">
      <c r="A1753" s="52" t="str">
        <f>_xlfn.XLOOKUP(Follow[[#This Row],[CODRASTREIO]],Controle_Pedidos[Cód Rastreamento],Controle_Pedidos[Número Pedido Cliente])</f>
        <v>Pedido 1825</v>
      </c>
      <c r="B1753" s="2" t="s">
        <v>19160</v>
      </c>
      <c r="C1753" s="2" t="str">
        <f>Follow[[#This Row],[CODRASTREIO]]&amp;" B"</f>
        <v>CódRastreio1718 B</v>
      </c>
      <c r="D1753" s="52" t="str">
        <f>_xlfn.XLOOKUP(Follow[[#This Row],[Id Pedido]],Controle_Pedidos[Número Pedido Cliente],Controle_Pedidos[Loja])</f>
        <v>BV</v>
      </c>
      <c r="E1753" s="9">
        <f>_xlfn.XLOOKUP(Follow[[#This Row],[Id Pedido]],Controle_Pedidos[Número Pedido Cliente],Controle_Pedidos[Prazo Entrega])</f>
        <v>45864</v>
      </c>
      <c r="F1753" s="9" t="s">
        <v>19433</v>
      </c>
      <c r="G1753" s="9" t="s">
        <v>786</v>
      </c>
      <c r="H1753" s="52" t="s">
        <v>179</v>
      </c>
      <c r="I1753" s="54" t="s">
        <v>178</v>
      </c>
      <c r="J1753" s="144">
        <v>45856</v>
      </c>
      <c r="K1753" s="54" t="s">
        <v>198</v>
      </c>
      <c r="L1753" s="8" t="s">
        <v>124</v>
      </c>
      <c r="M1753" s="9" t="s">
        <v>37</v>
      </c>
      <c r="N1753" s="52" t="str">
        <f>IF(Follow[[#This Row],[DATAATUALIZAÇÃO]]&lt;=Follow[[#This Row],[Prev Entrega]],"Dentro do Prazo","Fora do Prazo")</f>
        <v>Dentro do Prazo</v>
      </c>
      <c r="O175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18/07/2025, referente ao pedido Nº Pedido 1825 Rastreio CNBR00081559860, agradecemos a preferência e adoraríamos receber sua avaliação, tendo qualquer dúvida estamos à disposição.
Att
Tem tudo Shop</v>
      </c>
    </row>
    <row r="1754" spans="1:15">
      <c r="A1754" s="52" t="str">
        <f>_xlfn.XLOOKUP(Follow[[#This Row],[CODRASTREIO]],Controle_Pedidos[Cód Rastreamento],Controle_Pedidos[Número Pedido Cliente])</f>
        <v>Pedido 1826</v>
      </c>
      <c r="B1754" s="2" t="s">
        <v>19161</v>
      </c>
      <c r="C1754" s="2" t="str">
        <f>Follow[[#This Row],[CODRASTREIO]]&amp;" B"</f>
        <v>CódRastreio1719 B</v>
      </c>
      <c r="D1754" s="52" t="str">
        <f>_xlfn.XLOOKUP(Follow[[#This Row],[Id Pedido]],Controle_Pedidos[Número Pedido Cliente],Controle_Pedidos[Loja])</f>
        <v>BV</v>
      </c>
      <c r="E1754" s="9">
        <f>_xlfn.XLOOKUP(Follow[[#This Row],[Id Pedido]],Controle_Pedidos[Número Pedido Cliente],Controle_Pedidos[Prazo Entrega])</f>
        <v>45857</v>
      </c>
      <c r="F1754" s="9" t="s">
        <v>19433</v>
      </c>
      <c r="G1754" s="9" t="s">
        <v>787</v>
      </c>
      <c r="H1754" s="52" t="s">
        <v>179</v>
      </c>
      <c r="I1754" s="54" t="s">
        <v>178</v>
      </c>
      <c r="J1754" s="144">
        <v>45850</v>
      </c>
      <c r="K1754" s="54" t="s">
        <v>198</v>
      </c>
      <c r="L1754" s="8" t="s">
        <v>124</v>
      </c>
      <c r="M1754" s="9" t="s">
        <v>37</v>
      </c>
      <c r="N1754" s="52" t="str">
        <f>IF(Follow[[#This Row],[DATAATUALIZAÇÃO]]&lt;=Follow[[#This Row],[Prev Entrega]],"Dentro do Prazo","Fora do Prazo")</f>
        <v>Dentro do Prazo</v>
      </c>
      <c r="O175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12/07/2025, referente ao pedido Nº Pedido 1826 Rastreio CNBR00081562848, agradecemos a preferência e adoraríamos receber sua avaliação, tendo qualquer dúvida estamos à disposição.
Att
Tem tudo Shop</v>
      </c>
    </row>
    <row r="1755" spans="1:15">
      <c r="A1755" s="52" t="str">
        <f>_xlfn.XLOOKUP(Follow[[#This Row],[CODRASTREIO]],Controle_Pedidos[Cód Rastreamento],Controle_Pedidos[Número Pedido Cliente])</f>
        <v>Pedido 1828</v>
      </c>
      <c r="B1755" s="2" t="s">
        <v>19162</v>
      </c>
      <c r="C1755" s="2" t="str">
        <f>Follow[[#This Row],[CODRASTREIO]]&amp;" B"</f>
        <v>CódRastreio1720 B</v>
      </c>
      <c r="D1755" s="52" t="str">
        <f>_xlfn.XLOOKUP(Follow[[#This Row],[Id Pedido]],Controle_Pedidos[Número Pedido Cliente],Controle_Pedidos[Loja])</f>
        <v>BV</v>
      </c>
      <c r="E1755" s="9">
        <f>_xlfn.XLOOKUP(Follow[[#This Row],[Id Pedido]],Controle_Pedidos[Número Pedido Cliente],Controle_Pedidos[Prazo Entrega])</f>
        <v>45857</v>
      </c>
      <c r="F1755" s="9" t="s">
        <v>19433</v>
      </c>
      <c r="G1755" s="9" t="s">
        <v>788</v>
      </c>
      <c r="H1755" s="52" t="s">
        <v>179</v>
      </c>
      <c r="I1755" s="54" t="s">
        <v>178</v>
      </c>
      <c r="J1755" s="144">
        <v>45853</v>
      </c>
      <c r="K1755" s="54" t="s">
        <v>198</v>
      </c>
      <c r="L1755" s="8" t="s">
        <v>124</v>
      </c>
      <c r="M1755" s="9" t="s">
        <v>37</v>
      </c>
      <c r="N1755" s="52" t="str">
        <f>IF(Follow[[#This Row],[DATAATUALIZAÇÃO]]&lt;=Follow[[#This Row],[Prev Entrega]],"Dentro do Prazo","Fora do Prazo")</f>
        <v>Dentro do Prazo</v>
      </c>
      <c r="O175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15/07/2025, referente ao pedido Nº Pedido 1828 Rastreio CNBR00081570563, agradecemos a preferência e adoraríamos receber sua avaliação, tendo qualquer dúvida estamos à disposição.
Att
Tem tudo Shop</v>
      </c>
    </row>
    <row r="1756" spans="1:15">
      <c r="A1756" s="52" t="str">
        <f>_xlfn.XLOOKUP(Follow[[#This Row],[CODRASTREIO]],Controle_Pedidos[Cód Rastreamento],Controle_Pedidos[Número Pedido Cliente])</f>
        <v>Pedido 1832</v>
      </c>
      <c r="B1756" s="2" t="s">
        <v>19164</v>
      </c>
      <c r="C1756" s="2" t="str">
        <f>Follow[[#This Row],[CODRASTREIO]]&amp;" B"</f>
        <v>CódRastreio1722 B</v>
      </c>
      <c r="D1756" s="52" t="str">
        <f>_xlfn.XLOOKUP(Follow[[#This Row],[Id Pedido]],Controle_Pedidos[Número Pedido Cliente],Controle_Pedidos[Loja])</f>
        <v>BV</v>
      </c>
      <c r="E1756" s="9">
        <f>_xlfn.XLOOKUP(Follow[[#This Row],[Id Pedido]],Controle_Pedidos[Número Pedido Cliente],Controle_Pedidos[Prazo Entrega])</f>
        <v>45857</v>
      </c>
      <c r="F1756" s="9" t="s">
        <v>19433</v>
      </c>
      <c r="G1756" s="9" t="s">
        <v>789</v>
      </c>
      <c r="H1756" s="52" t="s">
        <v>179</v>
      </c>
      <c r="I1756" s="54" t="s">
        <v>178</v>
      </c>
      <c r="J1756" s="144">
        <v>45855</v>
      </c>
      <c r="K1756" s="54" t="s">
        <v>198</v>
      </c>
      <c r="L1756" s="8" t="s">
        <v>124</v>
      </c>
      <c r="M1756" s="9" t="s">
        <v>37</v>
      </c>
      <c r="N1756" s="52" t="str">
        <f>IF(Follow[[#This Row],[DATAATUALIZAÇÃO]]&lt;=Follow[[#This Row],[Prev Entrega]],"Dentro do Prazo","Fora do Prazo")</f>
        <v>Dentro do Prazo</v>
      </c>
      <c r="O175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17/07/2025, referente ao pedido Nº Pedido 1832 Rastreio NM858635375BR, agradecemos a preferência e adoraríamos receber sua avaliação, tendo qualquer dúvida estamos à disposição.
Att
Tem tudo Shop</v>
      </c>
    </row>
    <row r="1757" spans="1:15">
      <c r="A1757" s="52" t="str">
        <f>_xlfn.XLOOKUP(Follow[[#This Row],[CODRASTREIO]],Controle_Pedidos[Cód Rastreamento],Controle_Pedidos[Número Pedido Cliente])</f>
        <v>Pedido 1834</v>
      </c>
      <c r="B1757" s="2" t="s">
        <v>19165</v>
      </c>
      <c r="C1757" s="2" t="str">
        <f>Follow[[#This Row],[CODRASTREIO]]&amp;" B"</f>
        <v>CódRastreio1723 B</v>
      </c>
      <c r="D1757" s="52" t="str">
        <f>_xlfn.XLOOKUP(Follow[[#This Row],[Id Pedido]],Controle_Pedidos[Número Pedido Cliente],Controle_Pedidos[Loja])</f>
        <v>BV</v>
      </c>
      <c r="E1757" s="9">
        <f>_xlfn.XLOOKUP(Follow[[#This Row],[Id Pedido]],Controle_Pedidos[Número Pedido Cliente],Controle_Pedidos[Prazo Entrega])</f>
        <v>45864</v>
      </c>
      <c r="F1757" s="9" t="s">
        <v>19433</v>
      </c>
      <c r="G1757" s="9" t="s">
        <v>790</v>
      </c>
      <c r="H1757" s="52" t="s">
        <v>179</v>
      </c>
      <c r="I1757" s="54" t="s">
        <v>178</v>
      </c>
      <c r="J1757" s="144">
        <v>45873</v>
      </c>
      <c r="K1757" s="54" t="s">
        <v>198</v>
      </c>
      <c r="L1757" s="8" t="s">
        <v>124</v>
      </c>
      <c r="M1757" s="9" t="s">
        <v>37</v>
      </c>
      <c r="N1757" s="52" t="str">
        <f>IF(Follow[[#This Row],[DATAATUALIZAÇÃO]]&lt;=Follow[[#This Row],[Prev Entrega]],"Dentro do Prazo","Fora do Prazo")</f>
        <v>Fora do Prazo</v>
      </c>
      <c r="O175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04/08/2025, referente ao pedido Nº Pedido 1834 Rastreio NM858645576BR, agradecemos a preferência e adoraríamos receber sua avaliação, tendo qualquer dúvida estamos à disposição.
Att
Tem tudo Shop</v>
      </c>
    </row>
    <row r="1758" spans="1:15">
      <c r="A1758" s="52" t="str">
        <f>_xlfn.XLOOKUP(Follow[[#This Row],[CODRASTREIO]],Controle_Pedidos[Cód Rastreamento],Controle_Pedidos[Número Pedido Cliente])</f>
        <v>Pedido 1815</v>
      </c>
      <c r="B1758" s="2" t="s">
        <v>19152</v>
      </c>
      <c r="C1758" s="2" t="str">
        <f>Follow[[#This Row],[CODRASTREIO]]&amp;" B"</f>
        <v>CódRastreio1710 B</v>
      </c>
      <c r="D1758" s="52" t="str">
        <f>_xlfn.XLOOKUP(Follow[[#This Row],[Id Pedido]],Controle_Pedidos[Número Pedido Cliente],Controle_Pedidos[Loja])</f>
        <v>BV</v>
      </c>
      <c r="E1758" s="9">
        <f>_xlfn.XLOOKUP(Follow[[#This Row],[Id Pedido]],Controle_Pedidos[Número Pedido Cliente],Controle_Pedidos[Prazo Entrega])</f>
        <v>45850</v>
      </c>
      <c r="F1758" s="9" t="s">
        <v>19433</v>
      </c>
      <c r="G1758" s="9" t="s">
        <v>791</v>
      </c>
      <c r="H1758" s="52" t="s">
        <v>179</v>
      </c>
      <c r="I1758" s="54" t="s">
        <v>178</v>
      </c>
      <c r="J1758" s="9">
        <v>45887</v>
      </c>
      <c r="K1758" s="54" t="s">
        <v>198</v>
      </c>
      <c r="L1758" s="8" t="s">
        <v>124</v>
      </c>
      <c r="M1758" s="9" t="s">
        <v>37</v>
      </c>
      <c r="N1758" s="52" t="str">
        <f>IF(Follow[[#This Row],[DATAATUALIZAÇÃO]]&lt;=Follow[[#This Row],[Prev Entrega]],"Dentro do Prazo","Fora do Prazo")</f>
        <v>Fora do Prazo</v>
      </c>
      <c r="O175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18/08/2025, referente ao pedido Nº Pedido 1815 Rastreio CNBR00081565316, agradecemos a preferência e adoraríamos receber sua avaliação, tendo qualquer dúvida estamos à disposição.
Att
Tem tudo Shop</v>
      </c>
    </row>
    <row r="1759" spans="1:15">
      <c r="A1759" s="52" t="str">
        <f>_xlfn.XLOOKUP(Follow[[#This Row],[CODRASTREIO]],Controle_Pedidos[Cód Rastreamento],Controle_Pedidos[Número Pedido Cliente])</f>
        <v>Pedido 1817</v>
      </c>
      <c r="B1759" s="2" t="s">
        <v>19154</v>
      </c>
      <c r="C1759" s="2" t="str">
        <f>Follow[[#This Row],[CODRASTREIO]]&amp;" B"</f>
        <v>CódRastreio1712 B</v>
      </c>
      <c r="D1759" s="52" t="str">
        <f>_xlfn.XLOOKUP(Follow[[#This Row],[Id Pedido]],Controle_Pedidos[Número Pedido Cliente],Controle_Pedidos[Loja])</f>
        <v>BV</v>
      </c>
      <c r="E1759" s="9">
        <f>_xlfn.XLOOKUP(Follow[[#This Row],[Id Pedido]],Controle_Pedidos[Número Pedido Cliente],Controle_Pedidos[Prazo Entrega])</f>
        <v>45856</v>
      </c>
      <c r="F1759" s="9" t="s">
        <v>19433</v>
      </c>
      <c r="G1759" s="9" t="s">
        <v>792</v>
      </c>
      <c r="H1759" s="52" t="s">
        <v>179</v>
      </c>
      <c r="I1759" s="54" t="s">
        <v>178</v>
      </c>
      <c r="J1759" s="144">
        <v>45853</v>
      </c>
      <c r="K1759" s="54" t="s">
        <v>198</v>
      </c>
      <c r="L1759" s="8" t="s">
        <v>124</v>
      </c>
      <c r="M1759" s="9" t="s">
        <v>37</v>
      </c>
      <c r="N1759" s="52" t="str">
        <f>IF(Follow[[#This Row],[DATAATUALIZAÇÃO]]&lt;=Follow[[#This Row],[Prev Entrega]],"Dentro do Prazo","Fora do Prazo")</f>
        <v>Dentro do Prazo</v>
      </c>
      <c r="O175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15/07/2025, referente ao pedido Nº Pedido 1817 Rastreio CNBR00081565262, agradecemos a preferência e adoraríamos receber sua avaliação, tendo qualquer dúvida estamos à disposição.
Att
Tem tudo Shop</v>
      </c>
    </row>
    <row r="1760" spans="1:15">
      <c r="A1760" s="52" t="str">
        <f>_xlfn.XLOOKUP(Follow[[#This Row],[CODRASTREIO]],Controle_Pedidos[Cód Rastreamento],Controle_Pedidos[Número Pedido Cliente])</f>
        <v>Pedido 1818</v>
      </c>
      <c r="B1760" s="2" t="s">
        <v>19155</v>
      </c>
      <c r="C1760" s="2" t="str">
        <f>Follow[[#This Row],[CODRASTREIO]]&amp;" B"</f>
        <v>CódRastreio1713 B</v>
      </c>
      <c r="D1760" s="52" t="str">
        <f>_xlfn.XLOOKUP(Follow[[#This Row],[Id Pedido]],Controle_Pedidos[Número Pedido Cliente],Controle_Pedidos[Loja])</f>
        <v>BV</v>
      </c>
      <c r="E1760" s="9">
        <f>_xlfn.XLOOKUP(Follow[[#This Row],[Id Pedido]],Controle_Pedidos[Número Pedido Cliente],Controle_Pedidos[Prazo Entrega])</f>
        <v>45850</v>
      </c>
      <c r="F1760" s="9" t="s">
        <v>19433</v>
      </c>
      <c r="G1760" s="9" t="s">
        <v>793</v>
      </c>
      <c r="H1760" s="52" t="s">
        <v>179</v>
      </c>
      <c r="I1760" s="54" t="s">
        <v>178</v>
      </c>
      <c r="J1760" s="144">
        <v>45881</v>
      </c>
      <c r="K1760" s="54" t="s">
        <v>198</v>
      </c>
      <c r="L1760" s="8" t="s">
        <v>124</v>
      </c>
      <c r="M1760" s="9" t="s">
        <v>37</v>
      </c>
      <c r="N1760" s="52" t="str">
        <f>IF(Follow[[#This Row],[DATAATUALIZAÇÃO]]&lt;=Follow[[#This Row],[Prev Entrega]],"Dentro do Prazo","Fora do Prazo")</f>
        <v>Fora do Prazo</v>
      </c>
      <c r="O176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12/08/2025, referente ao pedido Nº Pedido 1818 Rastreio CNBR00081561358, agradecemos a preferência e adoraríamos receber sua avaliação, tendo qualquer dúvida estamos à disposição.
Att
Tem tudo Shop</v>
      </c>
    </row>
    <row r="1761" spans="1:15">
      <c r="A1761" s="52" t="str">
        <f>_xlfn.XLOOKUP(Follow[[#This Row],[CODRASTREIO]],Controle_Pedidos[Cód Rastreamento],Controle_Pedidos[Número Pedido Cliente])</f>
        <v>Pedido 1865</v>
      </c>
      <c r="B1761" s="2" t="s">
        <v>19190</v>
      </c>
      <c r="C1761" s="2" t="str">
        <f>Follow[[#This Row],[CODRASTREIO]]&amp;" B"</f>
        <v>CódRastreio1748 B</v>
      </c>
      <c r="D1761" s="52" t="str">
        <f>_xlfn.XLOOKUP(Follow[[#This Row],[Id Pedido]],Controle_Pedidos[Número Pedido Cliente],Controle_Pedidos[Loja])</f>
        <v>BV</v>
      </c>
      <c r="E1761" s="9">
        <f>_xlfn.XLOOKUP(Follow[[#This Row],[Id Pedido]],Controle_Pedidos[Número Pedido Cliente],Controle_Pedidos[Prazo Entrega])</f>
        <v>45857</v>
      </c>
      <c r="F1761" s="9" t="s">
        <v>19434</v>
      </c>
      <c r="G1761" s="9" t="s">
        <v>37</v>
      </c>
      <c r="H1761" s="52" t="s">
        <v>178</v>
      </c>
      <c r="I1761" s="54" t="s">
        <v>178</v>
      </c>
      <c r="J1761" s="144">
        <v>45847</v>
      </c>
      <c r="K1761" s="54" t="s">
        <v>198</v>
      </c>
      <c r="L1761" s="8" t="s">
        <v>124</v>
      </c>
      <c r="M1761" s="8" t="s">
        <v>37</v>
      </c>
      <c r="N1761" s="52" t="str">
        <f>IF(Follow[[#This Row],[DATAATUALIZAÇÃO]]&lt;=Follow[[#This Row],[Prev Entrega]],"Dentro do Prazo","Fora do Prazo")</f>
        <v>Dentro do Prazo</v>
      </c>
      <c r="O176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09/07/2025, referente ao pedido Nº Pedido 1865 Rastreio Pedido 1865, agradecemos a preferência e adoraríamos receber sua avaliação, tendo qualquer dúvida estamos à disposição.
Att
Tem tudo Shop</v>
      </c>
    </row>
    <row r="1762" spans="1:15">
      <c r="A1762" s="52" t="str">
        <f>_xlfn.XLOOKUP(Follow[[#This Row],[CODRASTREIO]],Controle_Pedidos[Cód Rastreamento],Controle_Pedidos[Número Pedido Cliente])</f>
        <v>Pedido 1866</v>
      </c>
      <c r="B1762" s="2" t="s">
        <v>19191</v>
      </c>
      <c r="C1762" s="2" t="str">
        <f>Follow[[#This Row],[CODRASTREIO]]&amp;" B"</f>
        <v>CódRastreio1749 B</v>
      </c>
      <c r="D1762" s="52" t="str">
        <f>_xlfn.XLOOKUP(Follow[[#This Row],[Id Pedido]],Controle_Pedidos[Número Pedido Cliente],Controle_Pedidos[Loja])</f>
        <v>BV</v>
      </c>
      <c r="E1762" s="9">
        <f>_xlfn.XLOOKUP(Follow[[#This Row],[Id Pedido]],Controle_Pedidos[Número Pedido Cliente],Controle_Pedidos[Prazo Entrega])</f>
        <v>45882</v>
      </c>
      <c r="F1762" s="9" t="s">
        <v>19434</v>
      </c>
      <c r="G1762" s="9" t="s">
        <v>37</v>
      </c>
      <c r="H1762" s="52" t="s">
        <v>178</v>
      </c>
      <c r="I1762" s="54" t="s">
        <v>178</v>
      </c>
      <c r="J1762" s="144">
        <v>45854</v>
      </c>
      <c r="K1762" s="54" t="s">
        <v>198</v>
      </c>
      <c r="L1762" s="8" t="s">
        <v>124</v>
      </c>
      <c r="M1762" s="8" t="s">
        <v>37</v>
      </c>
      <c r="N1762" s="52" t="str">
        <f>IF(Follow[[#This Row],[DATAATUALIZAÇÃO]]&lt;=Follow[[#This Row],[Prev Entrega]],"Dentro do Prazo","Fora do Prazo")</f>
        <v>Dentro do Prazo</v>
      </c>
      <c r="O176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16/07/2025, referente ao pedido Nº Pedido 1866 Rastreio Pedido 1866, agradecemos a preferência e adoraríamos receber sua avaliação, tendo qualquer dúvida estamos à disposição.
Att
Tem tudo Shop</v>
      </c>
    </row>
    <row r="1763" spans="1:15">
      <c r="A1763" s="52" t="str">
        <f>_xlfn.XLOOKUP(Follow[[#This Row],[CODRASTREIO]],Controle_Pedidos[Cód Rastreamento],Controle_Pedidos[Número Pedido Cliente])</f>
        <v>Pedido 1867</v>
      </c>
      <c r="B1763" s="2" t="s">
        <v>19192</v>
      </c>
      <c r="C1763" s="2" t="str">
        <f>Follow[[#This Row],[CODRASTREIO]]&amp;" B"</f>
        <v>CódRastreio1750 B</v>
      </c>
      <c r="D1763" s="52" t="str">
        <f>_xlfn.XLOOKUP(Follow[[#This Row],[Id Pedido]],Controle_Pedidos[Número Pedido Cliente],Controle_Pedidos[Loja])</f>
        <v>BV</v>
      </c>
      <c r="E1763" s="9">
        <f>_xlfn.XLOOKUP(Follow[[#This Row],[Id Pedido]],Controle_Pedidos[Número Pedido Cliente],Controle_Pedidos[Prazo Entrega])</f>
        <v>45857</v>
      </c>
      <c r="F1763" s="9" t="s">
        <v>19434</v>
      </c>
      <c r="G1763" s="9" t="s">
        <v>37</v>
      </c>
      <c r="H1763" s="52" t="s">
        <v>178</v>
      </c>
      <c r="I1763" s="54" t="s">
        <v>178</v>
      </c>
      <c r="J1763" s="144">
        <v>45848</v>
      </c>
      <c r="K1763" s="54" t="s">
        <v>198</v>
      </c>
      <c r="L1763" s="8" t="s">
        <v>124</v>
      </c>
      <c r="M1763" s="8" t="s">
        <v>37</v>
      </c>
      <c r="N1763" s="52" t="str">
        <f>IF(Follow[[#This Row],[DATAATUALIZAÇÃO]]&lt;=Follow[[#This Row],[Prev Entrega]],"Dentro do Prazo","Fora do Prazo")</f>
        <v>Dentro do Prazo</v>
      </c>
      <c r="O176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10/07/2025, referente ao pedido Nº Pedido 1867 Rastreio Pedido 1867, agradecemos a preferência e adoraríamos receber sua avaliação, tendo qualquer dúvida estamos à disposição.
Att
Tem tudo Shop</v>
      </c>
    </row>
    <row r="1764" spans="1:15">
      <c r="A1764" s="52" t="str">
        <f>_xlfn.XLOOKUP(Follow[[#This Row],[CODRASTREIO]],Controle_Pedidos[Cód Rastreamento],Controle_Pedidos[Número Pedido Cliente])</f>
        <v>Pedido 1868</v>
      </c>
      <c r="B1764" s="2" t="s">
        <v>19193</v>
      </c>
      <c r="C1764" s="2" t="str">
        <f>Follow[[#This Row],[CODRASTREIO]]&amp;" B"</f>
        <v>CódRastreio1751 B</v>
      </c>
      <c r="D1764" s="52" t="str">
        <f>_xlfn.XLOOKUP(Follow[[#This Row],[Id Pedido]],Controle_Pedidos[Número Pedido Cliente],Controle_Pedidos[Loja])</f>
        <v>BV</v>
      </c>
      <c r="E1764" s="9">
        <f>_xlfn.XLOOKUP(Follow[[#This Row],[Id Pedido]],Controle_Pedidos[Número Pedido Cliente],Controle_Pedidos[Prazo Entrega])</f>
        <v>45863</v>
      </c>
      <c r="F1764" s="9" t="s">
        <v>19434</v>
      </c>
      <c r="G1764" s="9" t="s">
        <v>37</v>
      </c>
      <c r="H1764" s="52" t="s">
        <v>178</v>
      </c>
      <c r="I1764" s="54" t="s">
        <v>178</v>
      </c>
      <c r="J1764" s="144">
        <v>45848</v>
      </c>
      <c r="K1764" s="54" t="s">
        <v>198</v>
      </c>
      <c r="L1764" s="8" t="s">
        <v>124</v>
      </c>
      <c r="M1764" s="8" t="s">
        <v>37</v>
      </c>
      <c r="N1764" s="52" t="str">
        <f>IF(Follow[[#This Row],[DATAATUALIZAÇÃO]]&lt;=Follow[[#This Row],[Prev Entrega]],"Dentro do Prazo","Fora do Prazo")</f>
        <v>Dentro do Prazo</v>
      </c>
      <c r="O176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1868 Rastreio Pedido 1868, agradecemos a preferência e adoraríamos receber sua avaliação, tendo qualquer dúvida estamos à disposição.
Att
Tem tudo Shop</v>
      </c>
    </row>
    <row r="1765" spans="1:15">
      <c r="A1765" s="52" t="str">
        <f>_xlfn.XLOOKUP(Follow[[#This Row],[CODRASTREIO]],Controle_Pedidos[Cód Rastreamento],Controle_Pedidos[Número Pedido Cliente])</f>
        <v>Pedido 1869</v>
      </c>
      <c r="B1765" s="2" t="s">
        <v>19194</v>
      </c>
      <c r="C1765" s="2" t="str">
        <f>Follow[[#This Row],[CODRASTREIO]]&amp;" B"</f>
        <v>CódRastreio1752 B</v>
      </c>
      <c r="D1765" s="52" t="str">
        <f>_xlfn.XLOOKUP(Follow[[#This Row],[Id Pedido]],Controle_Pedidos[Número Pedido Cliente],Controle_Pedidos[Loja])</f>
        <v>BV</v>
      </c>
      <c r="E1765" s="9">
        <f>_xlfn.XLOOKUP(Follow[[#This Row],[Id Pedido]],Controle_Pedidos[Número Pedido Cliente],Controle_Pedidos[Prazo Entrega])</f>
        <v>45861</v>
      </c>
      <c r="F1765" s="9" t="s">
        <v>19434</v>
      </c>
      <c r="G1765" s="9" t="s">
        <v>37</v>
      </c>
      <c r="H1765" s="52" t="s">
        <v>178</v>
      </c>
      <c r="I1765" s="54" t="s">
        <v>178</v>
      </c>
      <c r="J1765" s="144">
        <v>45849</v>
      </c>
      <c r="K1765" s="54" t="s">
        <v>198</v>
      </c>
      <c r="L1765" s="8" t="s">
        <v>124</v>
      </c>
      <c r="M1765" s="8" t="s">
        <v>37</v>
      </c>
      <c r="N1765" s="52" t="str">
        <f>IF(Follow[[#This Row],[DATAATUALIZAÇÃO]]&lt;=Follow[[#This Row],[Prev Entrega]],"Dentro do Prazo","Fora do Prazo")</f>
        <v>Dentro do Prazo</v>
      </c>
      <c r="O176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11/07/2025, referente ao pedido Nº Pedido 1869 Rastreio Pedido 1869, agradecemos a preferência e adoraríamos receber sua avaliação, tendo qualquer dúvida estamos à disposição.
Att
Tem tudo Shop</v>
      </c>
    </row>
    <row r="1766" spans="1:15">
      <c r="A1766" s="52" t="str">
        <f>_xlfn.XLOOKUP(Follow[[#This Row],[CODRASTREIO]],Controle_Pedidos[Cód Rastreamento],Controle_Pedidos[Número Pedido Cliente])</f>
        <v>Pedido 1870</v>
      </c>
      <c r="B1766" s="2" t="s">
        <v>19195</v>
      </c>
      <c r="C1766" s="2" t="str">
        <f>Follow[[#This Row],[CODRASTREIO]]&amp;" B"</f>
        <v>CódRastreio1753 B</v>
      </c>
      <c r="D1766" s="52" t="str">
        <f>_xlfn.XLOOKUP(Follow[[#This Row],[Id Pedido]],Controle_Pedidos[Número Pedido Cliente],Controle_Pedidos[Loja])</f>
        <v>BV</v>
      </c>
      <c r="E1766" s="9">
        <f>_xlfn.XLOOKUP(Follow[[#This Row],[Id Pedido]],Controle_Pedidos[Número Pedido Cliente],Controle_Pedidos[Prazo Entrega])</f>
        <v>45863</v>
      </c>
      <c r="F1766" s="9" t="s">
        <v>19434</v>
      </c>
      <c r="G1766" s="9" t="s">
        <v>37</v>
      </c>
      <c r="H1766" s="52" t="s">
        <v>178</v>
      </c>
      <c r="I1766" s="54" t="s">
        <v>178</v>
      </c>
      <c r="J1766" s="144">
        <v>45850</v>
      </c>
      <c r="K1766" s="54" t="s">
        <v>198</v>
      </c>
      <c r="L1766" s="8" t="s">
        <v>124</v>
      </c>
      <c r="M1766" s="8" t="s">
        <v>37</v>
      </c>
      <c r="N1766" s="52" t="str">
        <f>IF(Follow[[#This Row],[DATAATUALIZAÇÃO]]&lt;=Follow[[#This Row],[Prev Entrega]],"Dentro do Prazo","Fora do Prazo")</f>
        <v>Dentro do Prazo</v>
      </c>
      <c r="O176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12/07/2025, referente ao pedido Nº Pedido 1870 Rastreio Pedido 1870, agradecemos a preferência e adoraríamos receber sua avaliação, tendo qualquer dúvida estamos à disposição.
Att
Tem tudo Shop</v>
      </c>
    </row>
    <row r="1767" spans="1:15">
      <c r="A1767" s="52" t="str">
        <f>_xlfn.XLOOKUP(Follow[[#This Row],[CODRASTREIO]],Controle_Pedidos[Cód Rastreamento],Controle_Pedidos[Número Pedido Cliente])</f>
        <v>Pedido 1871</v>
      </c>
      <c r="B1767" s="2" t="s">
        <v>19196</v>
      </c>
      <c r="C1767" s="2" t="str">
        <f>Follow[[#This Row],[CODRASTREIO]]&amp;" B"</f>
        <v>CódRastreio1754 B</v>
      </c>
      <c r="D1767" s="52" t="str">
        <f>_xlfn.XLOOKUP(Follow[[#This Row],[Id Pedido]],Controle_Pedidos[Número Pedido Cliente],Controle_Pedidos[Loja])</f>
        <v>BV</v>
      </c>
      <c r="E1767" s="9">
        <f>_xlfn.XLOOKUP(Follow[[#This Row],[Id Pedido]],Controle_Pedidos[Número Pedido Cliente],Controle_Pedidos[Prazo Entrega])</f>
        <v>45863</v>
      </c>
      <c r="F1767" s="9" t="s">
        <v>19434</v>
      </c>
      <c r="G1767" s="9" t="s">
        <v>37</v>
      </c>
      <c r="H1767" s="52" t="s">
        <v>178</v>
      </c>
      <c r="I1767" s="54" t="s">
        <v>178</v>
      </c>
      <c r="J1767" s="144">
        <v>45848</v>
      </c>
      <c r="K1767" s="54" t="s">
        <v>198</v>
      </c>
      <c r="L1767" s="8" t="s">
        <v>124</v>
      </c>
      <c r="M1767" s="8" t="s">
        <v>37</v>
      </c>
      <c r="N1767" s="52" t="str">
        <f>IF(Follow[[#This Row],[DATAATUALIZAÇÃO]]&lt;=Follow[[#This Row],[Prev Entrega]],"Dentro do Prazo","Fora do Prazo")</f>
        <v>Dentro do Prazo</v>
      </c>
      <c r="O176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1871 Rastreio Pedido 1871, agradecemos a preferência e adoraríamos receber sua avaliação, tendo qualquer dúvida estamos à disposição.
Att
Tem tudo Shop</v>
      </c>
    </row>
    <row r="1768" spans="1:15">
      <c r="A1768" s="52" t="str">
        <f>_xlfn.XLOOKUP(Follow[[#This Row],[CODRASTREIO]],Controle_Pedidos[Cód Rastreamento],Controle_Pedidos[Número Pedido Cliente])</f>
        <v>Pedido 1872</v>
      </c>
      <c r="B1768" s="2" t="s">
        <v>19197</v>
      </c>
      <c r="C1768" s="2" t="str">
        <f>Follow[[#This Row],[CODRASTREIO]]&amp;" B"</f>
        <v>CódRastreio1755 B</v>
      </c>
      <c r="D1768" s="52" t="str">
        <f>_xlfn.XLOOKUP(Follow[[#This Row],[Id Pedido]],Controle_Pedidos[Número Pedido Cliente],Controle_Pedidos[Loja])</f>
        <v>BV</v>
      </c>
      <c r="E1768" s="9">
        <f>_xlfn.XLOOKUP(Follow[[#This Row],[Id Pedido]],Controle_Pedidos[Número Pedido Cliente],Controle_Pedidos[Prazo Entrega])</f>
        <v>45857</v>
      </c>
      <c r="F1768" s="9" t="s">
        <v>19434</v>
      </c>
      <c r="G1768" s="9" t="s">
        <v>37</v>
      </c>
      <c r="H1768" s="52" t="s">
        <v>178</v>
      </c>
      <c r="I1768" s="54" t="s">
        <v>178</v>
      </c>
      <c r="J1768" s="144">
        <v>45847</v>
      </c>
      <c r="K1768" s="54" t="s">
        <v>198</v>
      </c>
      <c r="L1768" s="8" t="s">
        <v>124</v>
      </c>
      <c r="M1768" s="8" t="s">
        <v>37</v>
      </c>
      <c r="N1768" s="52" t="str">
        <f>IF(Follow[[#This Row],[DATAATUALIZAÇÃO]]&lt;=Follow[[#This Row],[Prev Entrega]],"Dentro do Prazo","Fora do Prazo")</f>
        <v>Dentro do Prazo</v>
      </c>
      <c r="O176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09/07/2025, referente ao pedido Nº Pedido 1872 Rastreio Pedido 1872, agradecemos a preferência e adoraríamos receber sua avaliação, tendo qualquer dúvida estamos à disposição.
Att
Tem tudo Shop</v>
      </c>
    </row>
    <row r="1769" spans="1:15">
      <c r="A1769" s="52" t="str">
        <f>_xlfn.XLOOKUP(Follow[[#This Row],[CODRASTREIO]],Controle_Pedidos[Cód Rastreamento],Controle_Pedidos[Número Pedido Cliente])</f>
        <v>Pedido 1873</v>
      </c>
      <c r="B1769" s="2" t="s">
        <v>19198</v>
      </c>
      <c r="C1769" s="2" t="str">
        <f>Follow[[#This Row],[CODRASTREIO]]&amp;" B"</f>
        <v>CódRastreio1756 B</v>
      </c>
      <c r="D1769" s="52" t="str">
        <f>_xlfn.XLOOKUP(Follow[[#This Row],[Id Pedido]],Controle_Pedidos[Número Pedido Cliente],Controle_Pedidos[Loja])</f>
        <v>BV</v>
      </c>
      <c r="E1769" s="9">
        <f>_xlfn.XLOOKUP(Follow[[#This Row],[Id Pedido]],Controle_Pedidos[Número Pedido Cliente],Controle_Pedidos[Prazo Entrega])</f>
        <v>45857</v>
      </c>
      <c r="F1769" s="9" t="s">
        <v>19434</v>
      </c>
      <c r="G1769" s="9" t="s">
        <v>37</v>
      </c>
      <c r="H1769" s="52" t="s">
        <v>178</v>
      </c>
      <c r="I1769" s="54" t="s">
        <v>178</v>
      </c>
      <c r="J1769" s="144">
        <v>45848</v>
      </c>
      <c r="K1769" s="54" t="s">
        <v>198</v>
      </c>
      <c r="L1769" s="8" t="s">
        <v>124</v>
      </c>
      <c r="M1769" s="8" t="s">
        <v>37</v>
      </c>
      <c r="N1769" s="52" t="str">
        <f>IF(Follow[[#This Row],[DATAATUALIZAÇÃO]]&lt;=Follow[[#This Row],[Prev Entrega]],"Dentro do Prazo","Fora do Prazo")</f>
        <v>Dentro do Prazo</v>
      </c>
      <c r="O176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10/07/2025, referente ao pedido Nº Pedido 1873 Rastreio Pedido 1873, agradecemos a preferência e adoraríamos receber sua avaliação, tendo qualquer dúvida estamos à disposição.
Att
Tem tudo Shop</v>
      </c>
    </row>
    <row r="1770" spans="1:15">
      <c r="A1770" s="52" t="str">
        <f>_xlfn.XLOOKUP(Follow[[#This Row],[CODRASTREIO]],Controle_Pedidos[Cód Rastreamento],Controle_Pedidos[Número Pedido Cliente])</f>
        <v>Pedido 1874</v>
      </c>
      <c r="B1770" s="2" t="s">
        <v>19199</v>
      </c>
      <c r="C1770" s="2" t="str">
        <f>Follow[[#This Row],[CODRASTREIO]]&amp;" B"</f>
        <v>CódRastreio1757 B</v>
      </c>
      <c r="D1770" s="52" t="str">
        <f>_xlfn.XLOOKUP(Follow[[#This Row],[Id Pedido]],Controle_Pedidos[Número Pedido Cliente],Controle_Pedidos[Loja])</f>
        <v>BV</v>
      </c>
      <c r="E1770" s="9">
        <f>_xlfn.XLOOKUP(Follow[[#This Row],[Id Pedido]],Controle_Pedidos[Número Pedido Cliente],Controle_Pedidos[Prazo Entrega])</f>
        <v>45861</v>
      </c>
      <c r="F1770" s="9" t="s">
        <v>19434</v>
      </c>
      <c r="G1770" s="9" t="s">
        <v>37</v>
      </c>
      <c r="H1770" s="52" t="s">
        <v>178</v>
      </c>
      <c r="I1770" s="54" t="s">
        <v>178</v>
      </c>
      <c r="J1770" s="144">
        <v>45848</v>
      </c>
      <c r="K1770" s="54" t="s">
        <v>198</v>
      </c>
      <c r="L1770" s="8" t="s">
        <v>124</v>
      </c>
      <c r="M1770" s="8" t="s">
        <v>37</v>
      </c>
      <c r="N1770" s="52" t="str">
        <f>IF(Follow[[#This Row],[DATAATUALIZAÇÃO]]&lt;=Follow[[#This Row],[Prev Entrega]],"Dentro do Prazo","Fora do Prazo")</f>
        <v>Dentro do Prazo</v>
      </c>
      <c r="O177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1874 Rastreio Pedido 1874, agradecemos a preferência e adoraríamos receber sua avaliação, tendo qualquer dúvida estamos à disposição.
Att
Tem tudo Shop</v>
      </c>
    </row>
    <row r="1771" spans="1:15">
      <c r="A1771" s="52" t="str">
        <f>_xlfn.XLOOKUP(Follow[[#This Row],[CODRASTREIO]],Controle_Pedidos[Cód Rastreamento],Controle_Pedidos[Número Pedido Cliente])</f>
        <v>Pedido 1875</v>
      </c>
      <c r="B1771" s="2" t="s">
        <v>19200</v>
      </c>
      <c r="C1771" s="2" t="str">
        <f>Follow[[#This Row],[CODRASTREIO]]&amp;" B"</f>
        <v>CódRastreio1758 B</v>
      </c>
      <c r="D1771" s="52" t="str">
        <f>_xlfn.XLOOKUP(Follow[[#This Row],[Id Pedido]],Controle_Pedidos[Número Pedido Cliente],Controle_Pedidos[Loja])</f>
        <v>BV</v>
      </c>
      <c r="E1771" s="9">
        <f>_xlfn.XLOOKUP(Follow[[#This Row],[Id Pedido]],Controle_Pedidos[Número Pedido Cliente],Controle_Pedidos[Prazo Entrega])</f>
        <v>45863</v>
      </c>
      <c r="F1771" s="9" t="s">
        <v>19434</v>
      </c>
      <c r="G1771" s="9" t="s">
        <v>37</v>
      </c>
      <c r="H1771" s="52" t="s">
        <v>178</v>
      </c>
      <c r="I1771" s="54" t="s">
        <v>178</v>
      </c>
      <c r="J1771" s="144">
        <v>45849</v>
      </c>
      <c r="K1771" s="54" t="s">
        <v>198</v>
      </c>
      <c r="L1771" s="8" t="s">
        <v>124</v>
      </c>
      <c r="M1771" s="8" t="s">
        <v>37</v>
      </c>
      <c r="N1771" s="52" t="str">
        <f>IF(Follow[[#This Row],[DATAATUALIZAÇÃO]]&lt;=Follow[[#This Row],[Prev Entrega]],"Dentro do Prazo","Fora do Prazo")</f>
        <v>Dentro do Prazo</v>
      </c>
      <c r="O177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11/07/2025, referente ao pedido Nº Pedido 1875 Rastreio Pedido 1875, agradecemos a preferência e adoraríamos receber sua avaliação, tendo qualquer dúvida estamos à disposição.
Att
Tem tudo Shop</v>
      </c>
    </row>
    <row r="1772" spans="1:15">
      <c r="A1772" s="52" t="str">
        <f>_xlfn.XLOOKUP(Follow[[#This Row],[CODRASTREIO]],Controle_Pedidos[Cód Rastreamento],Controle_Pedidos[Número Pedido Cliente])</f>
        <v>Pedido 1876</v>
      </c>
      <c r="B1772" s="2" t="s">
        <v>19201</v>
      </c>
      <c r="C1772" s="2" t="str">
        <f>Follow[[#This Row],[CODRASTREIO]]&amp;" B"</f>
        <v>CódRastreio1759 B</v>
      </c>
      <c r="D1772" s="52" t="str">
        <f>_xlfn.XLOOKUP(Follow[[#This Row],[Id Pedido]],Controle_Pedidos[Número Pedido Cliente],Controle_Pedidos[Loja])</f>
        <v>BV</v>
      </c>
      <c r="E1772" s="9">
        <f>_xlfn.XLOOKUP(Follow[[#This Row],[Id Pedido]],Controle_Pedidos[Número Pedido Cliente],Controle_Pedidos[Prazo Entrega])</f>
        <v>45861</v>
      </c>
      <c r="F1772" s="9" t="s">
        <v>19434</v>
      </c>
      <c r="G1772" s="9" t="s">
        <v>37</v>
      </c>
      <c r="H1772" s="52" t="s">
        <v>178</v>
      </c>
      <c r="I1772" s="54" t="s">
        <v>178</v>
      </c>
      <c r="J1772" s="144">
        <v>45849</v>
      </c>
      <c r="K1772" s="54" t="s">
        <v>198</v>
      </c>
      <c r="L1772" s="8" t="s">
        <v>124</v>
      </c>
      <c r="M1772" s="8" t="s">
        <v>37</v>
      </c>
      <c r="N1772" s="52" t="str">
        <f>IF(Follow[[#This Row],[DATAATUALIZAÇÃO]]&lt;=Follow[[#This Row],[Prev Entrega]],"Dentro do Prazo","Fora do Prazo")</f>
        <v>Dentro do Prazo</v>
      </c>
      <c r="O177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11/07/2025, referente ao pedido Nº Pedido 1876 Rastreio Pedido 1876, agradecemos a preferência e adoraríamos receber sua avaliação, tendo qualquer dúvida estamos à disposição.
Att
Tem tudo Shop</v>
      </c>
    </row>
    <row r="1773" spans="1:15">
      <c r="A1773" s="52" t="str">
        <f>_xlfn.XLOOKUP(Follow[[#This Row],[CODRASTREIO]],Controle_Pedidos[Cód Rastreamento],Controle_Pedidos[Número Pedido Cliente])</f>
        <v>Pedido 1877</v>
      </c>
      <c r="B1773" s="2" t="s">
        <v>19202</v>
      </c>
      <c r="C1773" s="2" t="str">
        <f>Follow[[#This Row],[CODRASTREIO]]&amp;" B"</f>
        <v>CódRastreio1760 B</v>
      </c>
      <c r="D1773" s="52" t="str">
        <f>_xlfn.XLOOKUP(Follow[[#This Row],[Id Pedido]],Controle_Pedidos[Número Pedido Cliente],Controle_Pedidos[Loja])</f>
        <v>BV</v>
      </c>
      <c r="E1773" s="9">
        <f>_xlfn.XLOOKUP(Follow[[#This Row],[Id Pedido]],Controle_Pedidos[Número Pedido Cliente],Controle_Pedidos[Prazo Entrega])</f>
        <v>45857</v>
      </c>
      <c r="F1773" s="9" t="s">
        <v>19434</v>
      </c>
      <c r="G1773" s="9" t="s">
        <v>37</v>
      </c>
      <c r="H1773" s="52" t="s">
        <v>178</v>
      </c>
      <c r="I1773" s="54" t="s">
        <v>178</v>
      </c>
      <c r="J1773" s="144">
        <v>45848</v>
      </c>
      <c r="K1773" s="54" t="s">
        <v>198</v>
      </c>
      <c r="L1773" s="8" t="s">
        <v>124</v>
      </c>
      <c r="M1773" s="8" t="s">
        <v>37</v>
      </c>
      <c r="N1773" s="52" t="str">
        <f>IF(Follow[[#This Row],[DATAATUALIZAÇÃO]]&lt;=Follow[[#This Row],[Prev Entrega]],"Dentro do Prazo","Fora do Prazo")</f>
        <v>Dentro do Prazo</v>
      </c>
      <c r="O177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1877 Rastreio Pedido 1877, agradecemos a preferência e adoraríamos receber sua avaliação, tendo qualquer dúvida estamos à disposição.
Att
Tem tudo Shop</v>
      </c>
    </row>
    <row r="1774" spans="1:15">
      <c r="A1774" s="52" t="str">
        <f>_xlfn.XLOOKUP(Follow[[#This Row],[CODRASTREIO]],Controle_Pedidos[Cód Rastreamento],Controle_Pedidos[Número Pedido Cliente])</f>
        <v>Pedido 1878</v>
      </c>
      <c r="B1774" s="2" t="s">
        <v>19203</v>
      </c>
      <c r="C1774" s="2" t="str">
        <f>Follow[[#This Row],[CODRASTREIO]]&amp;" B"</f>
        <v>CódRastreio1761 B</v>
      </c>
      <c r="D1774" s="52" t="str">
        <f>_xlfn.XLOOKUP(Follow[[#This Row],[Id Pedido]],Controle_Pedidos[Número Pedido Cliente],Controle_Pedidos[Loja])</f>
        <v>BV</v>
      </c>
      <c r="E1774" s="9">
        <f>_xlfn.XLOOKUP(Follow[[#This Row],[Id Pedido]],Controle_Pedidos[Número Pedido Cliente],Controle_Pedidos[Prazo Entrega])</f>
        <v>45857</v>
      </c>
      <c r="F1774" s="9" t="s">
        <v>19434</v>
      </c>
      <c r="G1774" s="9" t="s">
        <v>37</v>
      </c>
      <c r="H1774" s="52" t="s">
        <v>178</v>
      </c>
      <c r="I1774" s="54" t="s">
        <v>178</v>
      </c>
      <c r="J1774" s="144">
        <v>45848</v>
      </c>
      <c r="K1774" s="54" t="s">
        <v>198</v>
      </c>
      <c r="L1774" s="8" t="s">
        <v>124</v>
      </c>
      <c r="M1774" s="8" t="s">
        <v>37</v>
      </c>
      <c r="N1774" s="52" t="str">
        <f>IF(Follow[[#This Row],[DATAATUALIZAÇÃO]]&lt;=Follow[[#This Row],[Prev Entrega]],"Dentro do Prazo","Fora do Prazo")</f>
        <v>Dentro do Prazo</v>
      </c>
      <c r="O177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1878 Rastreio Pedido 1878, agradecemos a preferência e adoraríamos receber sua avaliação, tendo qualquer dúvida estamos à disposição.
Att
Tem tudo Shop</v>
      </c>
    </row>
    <row r="1775" spans="1:15">
      <c r="A1775" s="52" t="str">
        <f>_xlfn.XLOOKUP(Follow[[#This Row],[CODRASTREIO]],Controle_Pedidos[Cód Rastreamento],Controle_Pedidos[Número Pedido Cliente])</f>
        <v>Pedido 1879</v>
      </c>
      <c r="B1775" s="2" t="s">
        <v>19204</v>
      </c>
      <c r="C1775" s="2" t="str">
        <f>Follow[[#This Row],[CODRASTREIO]]&amp;" B"</f>
        <v>CódRastreio1762 B</v>
      </c>
      <c r="D1775" s="52" t="str">
        <f>_xlfn.XLOOKUP(Follow[[#This Row],[Id Pedido]],Controle_Pedidos[Número Pedido Cliente],Controle_Pedidos[Loja])</f>
        <v>BV</v>
      </c>
      <c r="E1775" s="9">
        <f>_xlfn.XLOOKUP(Follow[[#This Row],[Id Pedido]],Controle_Pedidos[Número Pedido Cliente],Controle_Pedidos[Prazo Entrega])</f>
        <v>45860</v>
      </c>
      <c r="F1775" s="9" t="s">
        <v>19434</v>
      </c>
      <c r="G1775" s="9" t="s">
        <v>37</v>
      </c>
      <c r="H1775" s="52" t="s">
        <v>178</v>
      </c>
      <c r="I1775" s="54" t="s">
        <v>178</v>
      </c>
      <c r="J1775" s="144">
        <v>45848</v>
      </c>
      <c r="K1775" s="54" t="s">
        <v>198</v>
      </c>
      <c r="L1775" s="8" t="s">
        <v>124</v>
      </c>
      <c r="M1775" s="8" t="s">
        <v>37</v>
      </c>
      <c r="N1775" s="52" t="str">
        <f>IF(Follow[[#This Row],[DATAATUALIZAÇÃO]]&lt;=Follow[[#This Row],[Prev Entrega]],"Dentro do Prazo","Fora do Prazo")</f>
        <v>Dentro do Prazo</v>
      </c>
      <c r="O177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1879 Rastreio Pedido 1879, agradecemos a preferência e adoraríamos receber sua avaliação, tendo qualquer dúvida estamos à disposição.
Att
Tem tudo Shop</v>
      </c>
    </row>
    <row r="1776" spans="1:15">
      <c r="A1776" s="52" t="str">
        <f>_xlfn.XLOOKUP(Follow[[#This Row],[CODRASTREIO]],Controle_Pedidos[Cód Rastreamento],Controle_Pedidos[Número Pedido Cliente])</f>
        <v>Pedido 1880</v>
      </c>
      <c r="B1776" s="2" t="s">
        <v>19205</v>
      </c>
      <c r="C1776" s="2" t="str">
        <f>Follow[[#This Row],[CODRASTREIO]]&amp;" B"</f>
        <v>CódRastreio1763 B</v>
      </c>
      <c r="D1776" s="52" t="str">
        <f>_xlfn.XLOOKUP(Follow[[#This Row],[Id Pedido]],Controle_Pedidos[Número Pedido Cliente],Controle_Pedidos[Loja])</f>
        <v>BV</v>
      </c>
      <c r="E1776" s="9">
        <f>_xlfn.XLOOKUP(Follow[[#This Row],[Id Pedido]],Controle_Pedidos[Número Pedido Cliente],Controle_Pedidos[Prazo Entrega])</f>
        <v>45864</v>
      </c>
      <c r="F1776" s="9" t="s">
        <v>19434</v>
      </c>
      <c r="G1776" s="9" t="s">
        <v>37</v>
      </c>
      <c r="H1776" s="52" t="s">
        <v>178</v>
      </c>
      <c r="I1776" s="54" t="s">
        <v>178</v>
      </c>
      <c r="J1776" s="144">
        <v>45849</v>
      </c>
      <c r="K1776" s="54" t="s">
        <v>198</v>
      </c>
      <c r="L1776" s="8" t="s">
        <v>124</v>
      </c>
      <c r="M1776" s="8" t="s">
        <v>37</v>
      </c>
      <c r="N1776" s="52" t="str">
        <f>IF(Follow[[#This Row],[DATAATUALIZAÇÃO]]&lt;=Follow[[#This Row],[Prev Entrega]],"Dentro do Prazo","Fora do Prazo")</f>
        <v>Dentro do Prazo</v>
      </c>
      <c r="O177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11/07/2025, referente ao pedido Nº Pedido 1880 Rastreio Pedido 1880, agradecemos a preferência e adoraríamos receber sua avaliação, tendo qualquer dúvida estamos à disposição.
Att
Tem tudo Shop</v>
      </c>
    </row>
    <row r="1777" spans="1:15">
      <c r="A1777" s="52" t="str">
        <f>_xlfn.XLOOKUP(Follow[[#This Row],[CODRASTREIO]],Controle_Pedidos[Cód Rastreamento],Controle_Pedidos[Número Pedido Cliente])</f>
        <v>Pedido 1881</v>
      </c>
      <c r="B1777" s="2" t="s">
        <v>19206</v>
      </c>
      <c r="C1777" s="2" t="str">
        <f>Follow[[#This Row],[CODRASTREIO]]&amp;" B"</f>
        <v>CódRastreio1764 B</v>
      </c>
      <c r="D1777" s="52" t="str">
        <f>_xlfn.XLOOKUP(Follow[[#This Row],[Id Pedido]],Controle_Pedidos[Número Pedido Cliente],Controle_Pedidos[Loja])</f>
        <v>BV</v>
      </c>
      <c r="E1777" s="9">
        <f>_xlfn.XLOOKUP(Follow[[#This Row],[Id Pedido]],Controle_Pedidos[Número Pedido Cliente],Controle_Pedidos[Prazo Entrega])</f>
        <v>45862</v>
      </c>
      <c r="F1777" s="9" t="s">
        <v>19434</v>
      </c>
      <c r="G1777" s="9" t="s">
        <v>37</v>
      </c>
      <c r="H1777" s="52" t="s">
        <v>178</v>
      </c>
      <c r="I1777" s="54" t="s">
        <v>178</v>
      </c>
      <c r="J1777" s="144">
        <v>45850</v>
      </c>
      <c r="K1777" s="54" t="s">
        <v>198</v>
      </c>
      <c r="L1777" s="8" t="s">
        <v>124</v>
      </c>
      <c r="M1777" s="8" t="s">
        <v>37</v>
      </c>
      <c r="N1777" s="52" t="str">
        <f>IF(Follow[[#This Row],[DATAATUALIZAÇÃO]]&lt;=Follow[[#This Row],[Prev Entrega]],"Dentro do Prazo","Fora do Prazo")</f>
        <v>Dentro do Prazo</v>
      </c>
      <c r="O177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12/07/2025, referente ao pedido Nº Pedido 1881 Rastreio Pedido 1881, agradecemos a preferência e adoraríamos receber sua avaliação, tendo qualquer dúvida estamos à disposição.
Att
Tem tudo Shop</v>
      </c>
    </row>
    <row r="1778" spans="1:15">
      <c r="A1778" s="52" t="str">
        <f>_xlfn.XLOOKUP(Follow[[#This Row],[CODRASTREIO]],Controle_Pedidos[Cód Rastreamento],Controle_Pedidos[Número Pedido Cliente])</f>
        <v>Pedido 1882</v>
      </c>
      <c r="B1778" s="2" t="s">
        <v>19207</v>
      </c>
      <c r="C1778" s="2" t="str">
        <f>Follow[[#This Row],[CODRASTREIO]]&amp;" B"</f>
        <v>CódRastreio1765 B</v>
      </c>
      <c r="D1778" s="52" t="str">
        <f>_xlfn.XLOOKUP(Follow[[#This Row],[Id Pedido]],Controle_Pedidos[Número Pedido Cliente],Controle_Pedidos[Loja])</f>
        <v>BV</v>
      </c>
      <c r="E1778" s="9">
        <f>_xlfn.XLOOKUP(Follow[[#This Row],[Id Pedido]],Controle_Pedidos[Número Pedido Cliente],Controle_Pedidos[Prazo Entrega])</f>
        <v>45860</v>
      </c>
      <c r="F1778" s="9" t="s">
        <v>19434</v>
      </c>
      <c r="G1778" s="9" t="s">
        <v>37</v>
      </c>
      <c r="H1778" s="52" t="s">
        <v>178</v>
      </c>
      <c r="I1778" s="54" t="s">
        <v>178</v>
      </c>
      <c r="J1778" s="144">
        <v>45849</v>
      </c>
      <c r="K1778" s="54" t="s">
        <v>198</v>
      </c>
      <c r="L1778" s="8" t="s">
        <v>124</v>
      </c>
      <c r="M1778" s="8" t="s">
        <v>37</v>
      </c>
      <c r="N1778" s="52" t="str">
        <f>IF(Follow[[#This Row],[DATAATUALIZAÇÃO]]&lt;=Follow[[#This Row],[Prev Entrega]],"Dentro do Prazo","Fora do Prazo")</f>
        <v>Dentro do Prazo</v>
      </c>
      <c r="O177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11/07/2025, referente ao pedido Nº Pedido 1882 Rastreio Pedido 1882, agradecemos a preferência e adoraríamos receber sua avaliação, tendo qualquer dúvida estamos à disposição.
Att
Tem tudo Shop</v>
      </c>
    </row>
    <row r="1779" spans="1:15">
      <c r="A1779" s="52" t="str">
        <f>_xlfn.XLOOKUP(Follow[[#This Row],[CODRASTREIO]],Controle_Pedidos[Cód Rastreamento],Controle_Pedidos[Número Pedido Cliente])</f>
        <v>Pedido 1883</v>
      </c>
      <c r="B1779" s="2" t="s">
        <v>19208</v>
      </c>
      <c r="C1779" s="2" t="str">
        <f>Follow[[#This Row],[CODRASTREIO]]&amp;" B"</f>
        <v>CódRastreio1766 B</v>
      </c>
      <c r="D1779" s="52" t="str">
        <f>_xlfn.XLOOKUP(Follow[[#This Row],[Id Pedido]],Controle_Pedidos[Número Pedido Cliente],Controle_Pedidos[Loja])</f>
        <v>BV</v>
      </c>
      <c r="E1779" s="9">
        <f>_xlfn.XLOOKUP(Follow[[#This Row],[Id Pedido]],Controle_Pedidos[Número Pedido Cliente],Controle_Pedidos[Prazo Entrega])</f>
        <v>45864</v>
      </c>
      <c r="F1779" s="9" t="s">
        <v>19434</v>
      </c>
      <c r="G1779" s="9" t="s">
        <v>37</v>
      </c>
      <c r="H1779" s="52" t="s">
        <v>178</v>
      </c>
      <c r="I1779" s="54" t="s">
        <v>178</v>
      </c>
      <c r="J1779" s="144">
        <v>45850</v>
      </c>
      <c r="K1779" s="54" t="s">
        <v>198</v>
      </c>
      <c r="L1779" s="8" t="s">
        <v>124</v>
      </c>
      <c r="M1779" s="8" t="s">
        <v>37</v>
      </c>
      <c r="N1779" s="52" t="str">
        <f>IF(Follow[[#This Row],[DATAATUALIZAÇÃO]]&lt;=Follow[[#This Row],[Prev Entrega]],"Dentro do Prazo","Fora do Prazo")</f>
        <v>Dentro do Prazo</v>
      </c>
      <c r="O177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12/07/2025, referente ao pedido Nº Pedido 1883 Rastreio Pedido 1883, agradecemos a preferência e adoraríamos receber sua avaliação, tendo qualquer dúvida estamos à disposição.
Att
Tem tudo Shop</v>
      </c>
    </row>
    <row r="1780" spans="1:15">
      <c r="A1780" s="52" t="str">
        <f>_xlfn.XLOOKUP(Follow[[#This Row],[CODRASTREIO]],Controle_Pedidos[Cód Rastreamento],Controle_Pedidos[Número Pedido Cliente])</f>
        <v>Pedido 1884</v>
      </c>
      <c r="B1780" s="2" t="s">
        <v>19209</v>
      </c>
      <c r="C1780" s="2" t="str">
        <f>Follow[[#This Row],[CODRASTREIO]]&amp;" B"</f>
        <v>CódRastreio1767 B</v>
      </c>
      <c r="D1780" s="52" t="str">
        <f>_xlfn.XLOOKUP(Follow[[#This Row],[Id Pedido]],Controle_Pedidos[Número Pedido Cliente],Controle_Pedidos[Loja])</f>
        <v>BV</v>
      </c>
      <c r="E1780" s="9">
        <f>_xlfn.XLOOKUP(Follow[[#This Row],[Id Pedido]],Controle_Pedidos[Número Pedido Cliente],Controle_Pedidos[Prazo Entrega])</f>
        <v>45864</v>
      </c>
      <c r="F1780" s="9" t="s">
        <v>19434</v>
      </c>
      <c r="G1780" s="9" t="s">
        <v>37</v>
      </c>
      <c r="H1780" s="52" t="s">
        <v>178</v>
      </c>
      <c r="I1780" s="54" t="s">
        <v>178</v>
      </c>
      <c r="J1780" s="144">
        <v>45853</v>
      </c>
      <c r="K1780" s="54" t="s">
        <v>198</v>
      </c>
      <c r="L1780" s="8" t="s">
        <v>124</v>
      </c>
      <c r="M1780" s="8" t="s">
        <v>37</v>
      </c>
      <c r="N1780" s="52" t="str">
        <f>IF(Follow[[#This Row],[DATAATUALIZAÇÃO]]&lt;=Follow[[#This Row],[Prev Entrega]],"Dentro do Prazo","Fora do Prazo")</f>
        <v>Dentro do Prazo</v>
      </c>
      <c r="O178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15/07/2025, referente ao pedido Nº Pedido 1884 Rastreio Pedido 1884, agradecemos a preferência e adoraríamos receber sua avaliação, tendo qualquer dúvida estamos à disposição.
Att
Tem tudo Shop</v>
      </c>
    </row>
    <row r="1781" spans="1:15">
      <c r="A1781" s="52" t="str">
        <f>_xlfn.XLOOKUP(Follow[[#This Row],[CODRASTREIO]],Controle_Pedidos[Cód Rastreamento],Controle_Pedidos[Número Pedido Cliente])</f>
        <v>Pedido 1885</v>
      </c>
      <c r="B1781" s="2" t="s">
        <v>19210</v>
      </c>
      <c r="C1781" s="2" t="str">
        <f>Follow[[#This Row],[CODRASTREIO]]&amp;" B"</f>
        <v>CódRastreio1768 B</v>
      </c>
      <c r="D1781" s="52" t="str">
        <f>_xlfn.XLOOKUP(Follow[[#This Row],[Id Pedido]],Controle_Pedidos[Número Pedido Cliente],Controle_Pedidos[Loja])</f>
        <v>BV</v>
      </c>
      <c r="E1781" s="9">
        <f>_xlfn.XLOOKUP(Follow[[#This Row],[Id Pedido]],Controle_Pedidos[Número Pedido Cliente],Controle_Pedidos[Prazo Entrega])</f>
        <v>45870</v>
      </c>
      <c r="F1781" s="9" t="s">
        <v>19434</v>
      </c>
      <c r="G1781" s="9" t="s">
        <v>37</v>
      </c>
      <c r="H1781" s="52" t="s">
        <v>178</v>
      </c>
      <c r="I1781" s="54" t="s">
        <v>178</v>
      </c>
      <c r="J1781" s="144">
        <v>45849</v>
      </c>
      <c r="K1781" s="54" t="s">
        <v>198</v>
      </c>
      <c r="L1781" s="8" t="s">
        <v>124</v>
      </c>
      <c r="M1781" s="8" t="s">
        <v>37</v>
      </c>
      <c r="N1781" s="52" t="str">
        <f>IF(Follow[[#This Row],[DATAATUALIZAÇÃO]]&lt;=Follow[[#This Row],[Prev Entrega]],"Dentro do Prazo","Fora do Prazo")</f>
        <v>Dentro do Prazo</v>
      </c>
      <c r="O178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11/07/2025, referente ao pedido Nº Pedido 1885 Rastreio Pedido 1885, agradecemos a preferência e adoraríamos receber sua avaliação, tendo qualquer dúvida estamos à disposição.
Att
Tem tudo Shop</v>
      </c>
    </row>
    <row r="1782" spans="1:15">
      <c r="A1782" s="52" t="str">
        <f>_xlfn.XLOOKUP(Follow[[#This Row],[CODRASTREIO]],Controle_Pedidos[Cód Rastreamento],Controle_Pedidos[Número Pedido Cliente])</f>
        <v>Pedido 1886</v>
      </c>
      <c r="B1782" s="2" t="s">
        <v>19211</v>
      </c>
      <c r="C1782" s="2" t="str">
        <f>Follow[[#This Row],[CODRASTREIO]]&amp;" B"</f>
        <v>CódRastreio1769 B</v>
      </c>
      <c r="D1782" s="52" t="str">
        <f>_xlfn.XLOOKUP(Follow[[#This Row],[Id Pedido]],Controle_Pedidos[Número Pedido Cliente],Controle_Pedidos[Loja])</f>
        <v>BV</v>
      </c>
      <c r="E1782" s="9">
        <f>_xlfn.XLOOKUP(Follow[[#This Row],[Id Pedido]],Controle_Pedidos[Número Pedido Cliente],Controle_Pedidos[Prazo Entrega])</f>
        <v>45862</v>
      </c>
      <c r="F1782" s="9" t="s">
        <v>19434</v>
      </c>
      <c r="G1782" s="9" t="s">
        <v>37</v>
      </c>
      <c r="H1782" s="52" t="s">
        <v>178</v>
      </c>
      <c r="I1782" s="54" t="s">
        <v>178</v>
      </c>
      <c r="J1782" s="144">
        <v>45848</v>
      </c>
      <c r="K1782" s="54" t="s">
        <v>533</v>
      </c>
      <c r="L1782" s="8" t="s">
        <v>184</v>
      </c>
      <c r="M1782" s="8" t="s">
        <v>37</v>
      </c>
      <c r="N1782" s="52" t="str">
        <f>IF(Follow[[#This Row],[DATAATUALIZAÇÃO]]&lt;=Follow[[#This Row],[Prev Entrega]],"Dentro do Prazo","Fora do Prazo")</f>
        <v>Dentro do Prazo</v>
      </c>
      <c r="O17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10/07/2025, referente ao pedido Nº Pedido 1886 Rastreio Pedido 1886, agradecemos a preferência e adoraríamos receber sua avaliação, tendo qualquer dúvida estamos à disposição.
Att
Tem tudo Shop</v>
      </c>
    </row>
    <row r="1783" spans="1:15">
      <c r="A1783" s="52" t="str">
        <f>_xlfn.XLOOKUP(Follow[[#This Row],[CODRASTREIO]],Controle_Pedidos[Cód Rastreamento],Controle_Pedidos[Número Pedido Cliente])</f>
        <v>Pedido 1887</v>
      </c>
      <c r="B1783" s="2" t="s">
        <v>19212</v>
      </c>
      <c r="C1783" s="2" t="str">
        <f>Follow[[#This Row],[CODRASTREIO]]&amp;" B"</f>
        <v>CódRastreio1770 B</v>
      </c>
      <c r="D1783" s="52" t="str">
        <f>_xlfn.XLOOKUP(Follow[[#This Row],[Id Pedido]],Controle_Pedidos[Número Pedido Cliente],Controle_Pedidos[Loja])</f>
        <v>BV</v>
      </c>
      <c r="E1783" s="9">
        <f>_xlfn.XLOOKUP(Follow[[#This Row],[Id Pedido]],Controle_Pedidos[Número Pedido Cliente],Controle_Pedidos[Prazo Entrega])</f>
        <v>45862</v>
      </c>
      <c r="F1783" s="9" t="s">
        <v>19434</v>
      </c>
      <c r="G1783" s="9" t="s">
        <v>37</v>
      </c>
      <c r="H1783" s="52" t="s">
        <v>178</v>
      </c>
      <c r="I1783" s="54" t="s">
        <v>178</v>
      </c>
      <c r="J1783" s="144">
        <v>45849</v>
      </c>
      <c r="K1783" s="54" t="s">
        <v>198</v>
      </c>
      <c r="L1783" s="8" t="s">
        <v>124</v>
      </c>
      <c r="M1783" s="8" t="s">
        <v>37</v>
      </c>
      <c r="N1783" s="52" t="str">
        <f>IF(Follow[[#This Row],[DATAATUALIZAÇÃO]]&lt;=Follow[[#This Row],[Prev Entrega]],"Dentro do Prazo","Fora do Prazo")</f>
        <v>Dentro do Prazo</v>
      </c>
      <c r="O178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11/07/2025, referente ao pedido Nº Pedido 1887 Rastreio Pedido 1887, agradecemos a preferência e adoraríamos receber sua avaliação, tendo qualquer dúvida estamos à disposição.
Att
Tem tudo Shop</v>
      </c>
    </row>
    <row r="1784" spans="1:15">
      <c r="A1784" s="52" t="str">
        <f>_xlfn.XLOOKUP(Follow[[#This Row],[CODRASTREIO]],Controle_Pedidos[Cód Rastreamento],Controle_Pedidos[Número Pedido Cliente])</f>
        <v>Pedido 1888</v>
      </c>
      <c r="B1784" s="2" t="s">
        <v>19213</v>
      </c>
      <c r="C1784" s="2" t="str">
        <f>Follow[[#This Row],[CODRASTREIO]]&amp;" B"</f>
        <v>CódRastreio1771 B</v>
      </c>
      <c r="D1784" s="52" t="str">
        <f>_xlfn.XLOOKUP(Follow[[#This Row],[Id Pedido]],Controle_Pedidos[Número Pedido Cliente],Controle_Pedidos[Loja])</f>
        <v>BV</v>
      </c>
      <c r="E1784" s="9">
        <f>_xlfn.XLOOKUP(Follow[[#This Row],[Id Pedido]],Controle_Pedidos[Número Pedido Cliente],Controle_Pedidos[Prazo Entrega])</f>
        <v>45864</v>
      </c>
      <c r="F1784" s="9" t="s">
        <v>19434</v>
      </c>
      <c r="G1784" s="9" t="s">
        <v>37</v>
      </c>
      <c r="H1784" s="52" t="s">
        <v>178</v>
      </c>
      <c r="I1784" s="54" t="s">
        <v>178</v>
      </c>
      <c r="J1784" s="144">
        <v>45852</v>
      </c>
      <c r="K1784" s="54" t="s">
        <v>198</v>
      </c>
      <c r="L1784" s="8" t="s">
        <v>124</v>
      </c>
      <c r="M1784" s="8" t="s">
        <v>37</v>
      </c>
      <c r="N1784" s="52" t="str">
        <f>IF(Follow[[#This Row],[DATAATUALIZAÇÃO]]&lt;=Follow[[#This Row],[Prev Entrega]],"Dentro do Prazo","Fora do Prazo")</f>
        <v>Dentro do Prazo</v>
      </c>
      <c r="O17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14/07/2025, referente ao pedido Nº Pedido 1888 Rastreio Pedido 1888, agradecemos a preferência e adoraríamos receber sua avaliação, tendo qualquer dúvida estamos à disposição.
Att
Tem tudo Shop</v>
      </c>
    </row>
    <row r="1785" spans="1:15">
      <c r="A1785" s="52" t="str">
        <f>_xlfn.XLOOKUP(Follow[[#This Row],[CODRASTREIO]],Controle_Pedidos[Cód Rastreamento],Controle_Pedidos[Número Pedido Cliente])</f>
        <v>Pedido 1889</v>
      </c>
      <c r="B1785" s="2" t="s">
        <v>19214</v>
      </c>
      <c r="C1785" s="2" t="str">
        <f>Follow[[#This Row],[CODRASTREIO]]&amp;" B"</f>
        <v>CódRastreio1772 B</v>
      </c>
      <c r="D1785" s="52" t="str">
        <f>_xlfn.XLOOKUP(Follow[[#This Row],[Id Pedido]],Controle_Pedidos[Número Pedido Cliente],Controle_Pedidos[Loja])</f>
        <v>BV</v>
      </c>
      <c r="E1785" s="9">
        <f>_xlfn.XLOOKUP(Follow[[#This Row],[Id Pedido]],Controle_Pedidos[Número Pedido Cliente],Controle_Pedidos[Prazo Entrega])</f>
        <v>45862</v>
      </c>
      <c r="F1785" s="9" t="s">
        <v>19434</v>
      </c>
      <c r="G1785" s="9" t="s">
        <v>37</v>
      </c>
      <c r="H1785" s="52" t="s">
        <v>178</v>
      </c>
      <c r="I1785" s="54" t="s">
        <v>178</v>
      </c>
      <c r="J1785" s="144">
        <v>45851</v>
      </c>
      <c r="K1785" s="54" t="s">
        <v>198</v>
      </c>
      <c r="L1785" s="8" t="s">
        <v>124</v>
      </c>
      <c r="M1785" s="8" t="s">
        <v>37</v>
      </c>
      <c r="N1785" s="52" t="str">
        <f>IF(Follow[[#This Row],[DATAATUALIZAÇÃO]]&lt;=Follow[[#This Row],[Prev Entrega]],"Dentro do Prazo","Fora do Prazo")</f>
        <v>Dentro do Prazo</v>
      </c>
      <c r="O178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13/07/2025, referente ao pedido Nº Pedido 1889 Rastreio Pedido 1889, agradecemos a preferência e adoraríamos receber sua avaliação, tendo qualquer dúvida estamos à disposição.
Att
Tem tudo Shop</v>
      </c>
    </row>
    <row r="1786" spans="1:15">
      <c r="A1786" s="52" t="str">
        <f>_xlfn.XLOOKUP(Follow[[#This Row],[CODRASTREIO]],Controle_Pedidos[Cód Rastreamento],Controle_Pedidos[Número Pedido Cliente])</f>
        <v>Pedido 1890</v>
      </c>
      <c r="B1786" s="2" t="s">
        <v>19215</v>
      </c>
      <c r="C1786" s="2" t="str">
        <f>Follow[[#This Row],[CODRASTREIO]]&amp;" B"</f>
        <v>CódRastreio1773 B</v>
      </c>
      <c r="D1786" s="52" t="str">
        <f>_xlfn.XLOOKUP(Follow[[#This Row],[Id Pedido]],Controle_Pedidos[Número Pedido Cliente],Controle_Pedidos[Loja])</f>
        <v>BV</v>
      </c>
      <c r="E1786" s="9">
        <f>_xlfn.XLOOKUP(Follow[[#This Row],[Id Pedido]],Controle_Pedidos[Número Pedido Cliente],Controle_Pedidos[Prazo Entrega])</f>
        <v>45862</v>
      </c>
      <c r="F1786" s="9" t="s">
        <v>19434</v>
      </c>
      <c r="G1786" s="9" t="s">
        <v>37</v>
      </c>
      <c r="H1786" s="52" t="s">
        <v>178</v>
      </c>
      <c r="I1786" s="54" t="s">
        <v>178</v>
      </c>
      <c r="J1786" s="144">
        <v>45856</v>
      </c>
      <c r="K1786" s="54" t="s">
        <v>198</v>
      </c>
      <c r="L1786" s="8" t="s">
        <v>124</v>
      </c>
      <c r="M1786" s="8" t="s">
        <v>37</v>
      </c>
      <c r="N1786" s="52" t="str">
        <f>IF(Follow[[#This Row],[DATAATUALIZAÇÃO]]&lt;=Follow[[#This Row],[Prev Entrega]],"Dentro do Prazo","Fora do Prazo")</f>
        <v>Dentro do Prazo</v>
      </c>
      <c r="O178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18/07/2025, referente ao pedido Nº Pedido 1890 Rastreio Pedido 1890, agradecemos a preferência e adoraríamos receber sua avaliação, tendo qualquer dúvida estamos à disposição.
Att
Tem tudo Shop</v>
      </c>
    </row>
    <row r="1787" spans="1:15">
      <c r="A1787" s="52" t="str">
        <f>_xlfn.XLOOKUP(Follow[[#This Row],[CODRASTREIO]],Controle_Pedidos[Cód Rastreamento],Controle_Pedidos[Número Pedido Cliente])</f>
        <v>Pedido 1891</v>
      </c>
      <c r="B1787" s="2" t="s">
        <v>19216</v>
      </c>
      <c r="C1787" s="2" t="str">
        <f>Follow[[#This Row],[CODRASTREIO]]&amp;" B"</f>
        <v>CódRastreio1774 B</v>
      </c>
      <c r="D1787" s="52" t="str">
        <f>_xlfn.XLOOKUP(Follow[[#This Row],[Id Pedido]],Controle_Pedidos[Número Pedido Cliente],Controle_Pedidos[Loja])</f>
        <v>BV</v>
      </c>
      <c r="E1787" s="9">
        <f>_xlfn.XLOOKUP(Follow[[#This Row],[Id Pedido]],Controle_Pedidos[Número Pedido Cliente],Controle_Pedidos[Prazo Entrega])</f>
        <v>45864</v>
      </c>
      <c r="F1787" s="9" t="s">
        <v>19434</v>
      </c>
      <c r="G1787" s="9" t="s">
        <v>37</v>
      </c>
      <c r="H1787" s="52" t="s">
        <v>178</v>
      </c>
      <c r="I1787" s="54" t="s">
        <v>178</v>
      </c>
      <c r="J1787" s="144">
        <v>45859</v>
      </c>
      <c r="K1787" s="54" t="s">
        <v>198</v>
      </c>
      <c r="L1787" s="8" t="s">
        <v>124</v>
      </c>
      <c r="M1787" s="8" t="s">
        <v>37</v>
      </c>
      <c r="N1787" s="52" t="str">
        <f>IF(Follow[[#This Row],[DATAATUALIZAÇÃO]]&lt;=Follow[[#This Row],[Prev Entrega]],"Dentro do Prazo","Fora do Prazo")</f>
        <v>Dentro do Prazo</v>
      </c>
      <c r="O178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21/07/2025, referente ao pedido Nº Pedido 1891 Rastreio Pedido 1891, agradecemos a preferência e adoraríamos receber sua avaliação, tendo qualquer dúvida estamos à disposição.
Att
Tem tudo Shop</v>
      </c>
    </row>
    <row r="1788" spans="1:15">
      <c r="A1788" s="52" t="str">
        <f>_xlfn.XLOOKUP(Follow[[#This Row],[CODRASTREIO]],Controle_Pedidos[Cód Rastreamento],Controle_Pedidos[Número Pedido Cliente])</f>
        <v>Pedido 1897</v>
      </c>
      <c r="B1788" s="2" t="s">
        <v>19222</v>
      </c>
      <c r="C1788" s="2" t="str">
        <f>Follow[[#This Row],[CODRASTREIO]]&amp;" B"</f>
        <v>CódRastreio1780 B</v>
      </c>
      <c r="D1788" s="52" t="str">
        <f>_xlfn.XLOOKUP(Follow[[#This Row],[Id Pedido]],Controle_Pedidos[Número Pedido Cliente],Controle_Pedidos[Loja])</f>
        <v>BV</v>
      </c>
      <c r="E1788" s="9">
        <f>_xlfn.XLOOKUP(Follow[[#This Row],[Id Pedido]],Controle_Pedidos[Número Pedido Cliente],Controle_Pedidos[Prazo Entrega])</f>
        <v>45863</v>
      </c>
      <c r="F1788" s="9" t="s">
        <v>19434</v>
      </c>
      <c r="G1788" s="9" t="s">
        <v>37</v>
      </c>
      <c r="H1788" s="52" t="s">
        <v>178</v>
      </c>
      <c r="I1788" s="54" t="s">
        <v>178</v>
      </c>
      <c r="J1788" s="144">
        <v>45851</v>
      </c>
      <c r="K1788" s="54" t="s">
        <v>198</v>
      </c>
      <c r="L1788" s="8" t="s">
        <v>124</v>
      </c>
      <c r="M1788" s="8" t="s">
        <v>37</v>
      </c>
      <c r="N1788" s="52" t="str">
        <f>IF(Follow[[#This Row],[DATAATUALIZAÇÃO]]&lt;=Follow[[#This Row],[Prev Entrega]],"Dentro do Prazo","Fora do Prazo")</f>
        <v>Dentro do Prazo</v>
      </c>
      <c r="O178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13/07/2025, referente ao pedido Nº Pedido 1897 Rastreio Pedido 1897, agradecemos a preferência e adoraríamos receber sua avaliação, tendo qualquer dúvida estamos à disposição.
Att
Tem tudo Shop</v>
      </c>
    </row>
    <row r="1789" spans="1:15">
      <c r="A1789" s="52" t="str">
        <f>_xlfn.XLOOKUP(Follow[[#This Row],[CODRASTREIO]],Controle_Pedidos[Cód Rastreamento],Controle_Pedidos[Número Pedido Cliente])</f>
        <v>Pedido 1892</v>
      </c>
      <c r="B1789" s="2" t="s">
        <v>19217</v>
      </c>
      <c r="C1789" s="2" t="str">
        <f>Follow[[#This Row],[CODRASTREIO]]&amp;" B"</f>
        <v>CódRastreio1775 B</v>
      </c>
      <c r="D1789" s="52" t="str">
        <f>_xlfn.XLOOKUP(Follow[[#This Row],[Id Pedido]],Controle_Pedidos[Número Pedido Cliente],Controle_Pedidos[Loja])</f>
        <v>BV</v>
      </c>
      <c r="E1789" s="9">
        <f>_xlfn.XLOOKUP(Follow[[#This Row],[Id Pedido]],Controle_Pedidos[Número Pedido Cliente],Controle_Pedidos[Prazo Entrega])</f>
        <v>45864</v>
      </c>
      <c r="F1789" s="9" t="s">
        <v>19434</v>
      </c>
      <c r="G1789" s="9" t="s">
        <v>37</v>
      </c>
      <c r="H1789" s="52" t="s">
        <v>178</v>
      </c>
      <c r="I1789" s="54" t="s">
        <v>178</v>
      </c>
      <c r="J1789" s="144">
        <v>45852</v>
      </c>
      <c r="K1789" s="54" t="s">
        <v>198</v>
      </c>
      <c r="L1789" s="8" t="s">
        <v>124</v>
      </c>
      <c r="M1789" s="8" t="s">
        <v>37</v>
      </c>
      <c r="N1789" s="52" t="str">
        <f>IF(Follow[[#This Row],[DATAATUALIZAÇÃO]]&lt;=Follow[[#This Row],[Prev Entrega]],"Dentro do Prazo","Fora do Prazo")</f>
        <v>Dentro do Prazo</v>
      </c>
      <c r="O178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14/07/2025, referente ao pedido Nº Pedido 1892 Rastreio Pedido 1892, agradecemos a preferência e adoraríamos receber sua avaliação, tendo qualquer dúvida estamos à disposição.
Att
Tem tudo Shop</v>
      </c>
    </row>
    <row r="1790" spans="1:15">
      <c r="A1790" s="52" t="str">
        <f>_xlfn.XLOOKUP(Follow[[#This Row],[CODRASTREIO]],Controle_Pedidos[Cód Rastreamento],Controle_Pedidos[Número Pedido Cliente])</f>
        <v>Pedido 1893</v>
      </c>
      <c r="B1790" s="2" t="s">
        <v>19218</v>
      </c>
      <c r="C1790" s="2" t="str">
        <f>Follow[[#This Row],[CODRASTREIO]]&amp;" B"</f>
        <v>CódRastreio1776 B</v>
      </c>
      <c r="D1790" s="52" t="str">
        <f>_xlfn.XLOOKUP(Follow[[#This Row],[Id Pedido]],Controle_Pedidos[Número Pedido Cliente],Controle_Pedidos[Loja])</f>
        <v>BV</v>
      </c>
      <c r="E1790" s="9">
        <f>_xlfn.XLOOKUP(Follow[[#This Row],[Id Pedido]],Controle_Pedidos[Número Pedido Cliente],Controle_Pedidos[Prazo Entrega])</f>
        <v>45864</v>
      </c>
      <c r="F1790" s="9" t="s">
        <v>19434</v>
      </c>
      <c r="G1790" s="9" t="s">
        <v>37</v>
      </c>
      <c r="H1790" s="52" t="s">
        <v>178</v>
      </c>
      <c r="I1790" s="54" t="s">
        <v>178</v>
      </c>
      <c r="J1790" s="144">
        <v>45859</v>
      </c>
      <c r="K1790" s="54" t="s">
        <v>198</v>
      </c>
      <c r="L1790" s="8" t="s">
        <v>124</v>
      </c>
      <c r="M1790" s="8" t="s">
        <v>37</v>
      </c>
      <c r="N1790" s="52" t="str">
        <f>IF(Follow[[#This Row],[DATAATUALIZAÇÃO]]&lt;=Follow[[#This Row],[Prev Entrega]],"Dentro do Prazo","Fora do Prazo")</f>
        <v>Dentro do Prazo</v>
      </c>
      <c r="O179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1893 Rastreio Pedido 1893, agradecemos a preferência e adoraríamos receber sua avaliação, tendo qualquer dúvida estamos à disposição.
Att
Tem tudo Shop</v>
      </c>
    </row>
    <row r="1791" spans="1:15">
      <c r="A1791" s="52" t="str">
        <f>_xlfn.XLOOKUP(Follow[[#This Row],[CODRASTREIO]],Controle_Pedidos[Cód Rastreamento],Controle_Pedidos[Número Pedido Cliente])</f>
        <v>Pedido 1894</v>
      </c>
      <c r="B1791" s="2" t="s">
        <v>19219</v>
      </c>
      <c r="C1791" s="2" t="str">
        <f>Follow[[#This Row],[CODRASTREIO]]&amp;" B"</f>
        <v>CódRastreio1777 B</v>
      </c>
      <c r="D1791" s="52" t="str">
        <f>_xlfn.XLOOKUP(Follow[[#This Row],[Id Pedido]],Controle_Pedidos[Número Pedido Cliente],Controle_Pedidos[Loja])</f>
        <v>BV</v>
      </c>
      <c r="E1791" s="9">
        <f>_xlfn.XLOOKUP(Follow[[#This Row],[Id Pedido]],Controle_Pedidos[Número Pedido Cliente],Controle_Pedidos[Prazo Entrega])</f>
        <v>45864</v>
      </c>
      <c r="F1791" s="9" t="s">
        <v>19434</v>
      </c>
      <c r="G1791" s="9" t="s">
        <v>37</v>
      </c>
      <c r="H1791" s="52" t="s">
        <v>178</v>
      </c>
      <c r="I1791" s="54" t="s">
        <v>178</v>
      </c>
      <c r="J1791" s="144">
        <v>45859</v>
      </c>
      <c r="K1791" s="54" t="s">
        <v>198</v>
      </c>
      <c r="L1791" s="8" t="s">
        <v>124</v>
      </c>
      <c r="M1791" s="8" t="s">
        <v>37</v>
      </c>
      <c r="N1791" s="52" t="str">
        <f>IF(Follow[[#This Row],[DATAATUALIZAÇÃO]]&lt;=Follow[[#This Row],[Prev Entrega]],"Dentro do Prazo","Fora do Prazo")</f>
        <v>Dentro do Prazo</v>
      </c>
      <c r="O179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1894 Rastreio Pedido 1894, agradecemos a preferência e adoraríamos receber sua avaliação, tendo qualquer dúvida estamos à disposição.
Att
Tem tudo Shop</v>
      </c>
    </row>
    <row r="1792" spans="1:15">
      <c r="A1792" s="52" t="str">
        <f>_xlfn.XLOOKUP(Follow[[#This Row],[CODRASTREIO]],Controle_Pedidos[Cód Rastreamento],Controle_Pedidos[Número Pedido Cliente])</f>
        <v>Pedido 1895</v>
      </c>
      <c r="B1792" s="2" t="s">
        <v>19220</v>
      </c>
      <c r="C1792" s="2" t="str">
        <f>Follow[[#This Row],[CODRASTREIO]]&amp;" B"</f>
        <v>CódRastreio1778 B</v>
      </c>
      <c r="D1792" s="52" t="str">
        <f>_xlfn.XLOOKUP(Follow[[#This Row],[Id Pedido]],Controle_Pedidos[Número Pedido Cliente],Controle_Pedidos[Loja])</f>
        <v>BV</v>
      </c>
      <c r="E1792" s="9">
        <f>_xlfn.XLOOKUP(Follow[[#This Row],[Id Pedido]],Controle_Pedidos[Número Pedido Cliente],Controle_Pedidos[Prazo Entrega])</f>
        <v>45867</v>
      </c>
      <c r="F1792" s="9" t="s">
        <v>19434</v>
      </c>
      <c r="G1792" s="9" t="s">
        <v>37</v>
      </c>
      <c r="H1792" s="52" t="s">
        <v>178</v>
      </c>
      <c r="I1792" s="54" t="s">
        <v>178</v>
      </c>
      <c r="J1792" s="144">
        <v>45860</v>
      </c>
      <c r="K1792" s="54" t="s">
        <v>198</v>
      </c>
      <c r="L1792" s="8" t="s">
        <v>124</v>
      </c>
      <c r="M1792" s="8" t="s">
        <v>37</v>
      </c>
      <c r="N1792" s="52" t="str">
        <f>IF(Follow[[#This Row],[DATAATUALIZAÇÃO]]&lt;=Follow[[#This Row],[Prev Entrega]],"Dentro do Prazo","Fora do Prazo")</f>
        <v>Dentro do Prazo</v>
      </c>
      <c r="O179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1895 Rastreio Pedido 1895, agradecemos a preferência e adoraríamos receber sua avaliação, tendo qualquer dúvida estamos à disposição.
Att
Tem tudo Shop</v>
      </c>
    </row>
    <row r="1793" spans="1:15">
      <c r="A1793" s="52" t="str">
        <f>_xlfn.XLOOKUP(Follow[[#This Row],[CODRASTREIO]],Controle_Pedidos[Cód Rastreamento],Controle_Pedidos[Número Pedido Cliente])</f>
        <v>Pedido 1896</v>
      </c>
      <c r="B1793" s="2" t="s">
        <v>19221</v>
      </c>
      <c r="C1793" s="2" t="str">
        <f>Follow[[#This Row],[CODRASTREIO]]&amp;" B"</f>
        <v>CódRastreio1779 B</v>
      </c>
      <c r="D1793" s="52" t="str">
        <f>_xlfn.XLOOKUP(Follow[[#This Row],[Id Pedido]],Controle_Pedidos[Número Pedido Cliente],Controle_Pedidos[Loja])</f>
        <v>BV</v>
      </c>
      <c r="E1793" s="9">
        <f>_xlfn.XLOOKUP(Follow[[#This Row],[Id Pedido]],Controle_Pedidos[Número Pedido Cliente],Controle_Pedidos[Prazo Entrega])</f>
        <v>45863</v>
      </c>
      <c r="F1793" s="9" t="s">
        <v>19434</v>
      </c>
      <c r="G1793" s="9" t="s">
        <v>37</v>
      </c>
      <c r="H1793" s="52" t="s">
        <v>178</v>
      </c>
      <c r="I1793" s="54" t="s">
        <v>178</v>
      </c>
      <c r="J1793" s="144">
        <v>45853</v>
      </c>
      <c r="K1793" s="161" t="s">
        <v>198</v>
      </c>
      <c r="L1793" s="8" t="s">
        <v>124</v>
      </c>
      <c r="M1793" s="8" t="s">
        <v>37</v>
      </c>
      <c r="N1793" s="52" t="str">
        <f>IF(Follow[[#This Row],[DATAATUALIZAÇÃO]]&lt;=Follow[[#This Row],[Prev Entrega]],"Dentro do Prazo","Fora do Prazo")</f>
        <v>Dentro do Prazo</v>
      </c>
      <c r="O179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15/07/2025, referente ao pedido Nº Pedido 1896 Rastreio Pedido 1896, agradecemos a preferência e adoraríamos receber sua avaliação, tendo qualquer dúvida estamos à disposição.
Att
Tem tudo Shop</v>
      </c>
    </row>
    <row r="1794" spans="1:15">
      <c r="A1794" s="52" t="str">
        <f>_xlfn.XLOOKUP(Follow[[#This Row],[CODRASTREIO]],Controle_Pedidos[Cód Rastreamento],Controle_Pedidos[Número Pedido Cliente])</f>
        <v>Pedido 1898</v>
      </c>
      <c r="B1794" s="2" t="s">
        <v>19223</v>
      </c>
      <c r="C1794" s="2" t="str">
        <f>Follow[[#This Row],[CODRASTREIO]]&amp;" B"</f>
        <v>CódRastreio1781 B</v>
      </c>
      <c r="D1794" s="52" t="str">
        <f>_xlfn.XLOOKUP(Follow[[#This Row],[Id Pedido]],Controle_Pedidos[Número Pedido Cliente],Controle_Pedidos[Loja])</f>
        <v>BV</v>
      </c>
      <c r="E1794" s="9">
        <f>_xlfn.XLOOKUP(Follow[[#This Row],[Id Pedido]],Controle_Pedidos[Número Pedido Cliente],Controle_Pedidos[Prazo Entrega])</f>
        <v>45863</v>
      </c>
      <c r="F1794" s="9" t="s">
        <v>19434</v>
      </c>
      <c r="G1794" s="9" t="s">
        <v>37</v>
      </c>
      <c r="H1794" s="52" t="s">
        <v>178</v>
      </c>
      <c r="I1794" s="54" t="s">
        <v>178</v>
      </c>
      <c r="J1794" s="144">
        <v>45859</v>
      </c>
      <c r="K1794" s="54" t="s">
        <v>198</v>
      </c>
      <c r="L1794" s="8" t="s">
        <v>124</v>
      </c>
      <c r="M1794" s="8" t="s">
        <v>37</v>
      </c>
      <c r="N1794" s="52" t="str">
        <f>IF(Follow[[#This Row],[DATAATUALIZAÇÃO]]&lt;=Follow[[#This Row],[Prev Entrega]],"Dentro do Prazo","Fora do Prazo")</f>
        <v>Dentro do Prazo</v>
      </c>
      <c r="O179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1898 Rastreio Pedido 1898, agradecemos a preferência e adoraríamos receber sua avaliação, tendo qualquer dúvida estamos à disposição.
Att
Tem tudo Shop</v>
      </c>
    </row>
    <row r="1795" spans="1:15">
      <c r="A1795" s="52" t="str">
        <f>_xlfn.XLOOKUP(Follow[[#This Row],[CODRASTREIO]],Controle_Pedidos[Cód Rastreamento],Controle_Pedidos[Número Pedido Cliente])</f>
        <v>Pedido 1899</v>
      </c>
      <c r="B1795" s="2" t="s">
        <v>19224</v>
      </c>
      <c r="C1795" s="2" t="str">
        <f>Follow[[#This Row],[CODRASTREIO]]&amp;" B"</f>
        <v>CódRastreio1782 B</v>
      </c>
      <c r="D1795" s="52" t="str">
        <f>_xlfn.XLOOKUP(Follow[[#This Row],[Id Pedido]],Controle_Pedidos[Número Pedido Cliente],Controle_Pedidos[Loja])</f>
        <v>BV</v>
      </c>
      <c r="E1795" s="9">
        <f>_xlfn.XLOOKUP(Follow[[#This Row],[Id Pedido]],Controle_Pedidos[Número Pedido Cliente],Controle_Pedidos[Prazo Entrega])</f>
        <v>45863</v>
      </c>
      <c r="F1795" s="9" t="s">
        <v>19434</v>
      </c>
      <c r="G1795" s="9" t="s">
        <v>37</v>
      </c>
      <c r="H1795" s="52" t="s">
        <v>178</v>
      </c>
      <c r="I1795" s="54" t="s">
        <v>178</v>
      </c>
      <c r="J1795" s="144">
        <v>45859</v>
      </c>
      <c r="K1795" s="54" t="s">
        <v>198</v>
      </c>
      <c r="L1795" s="8" t="s">
        <v>124</v>
      </c>
      <c r="M1795" s="8" t="s">
        <v>37</v>
      </c>
      <c r="N1795" s="52" t="str">
        <f>IF(Follow[[#This Row],[DATAATUALIZAÇÃO]]&lt;=Follow[[#This Row],[Prev Entrega]],"Dentro do Prazo","Fora do Prazo")</f>
        <v>Dentro do Prazo</v>
      </c>
      <c r="O179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1899 Rastreio Pedido 1899, agradecemos a preferência e adoraríamos receber sua avaliação, tendo qualquer dúvida estamos à disposição.
Att
Tem tudo Shop</v>
      </c>
    </row>
    <row r="1796" spans="1:15">
      <c r="A1796" s="52" t="str">
        <f>_xlfn.XLOOKUP(Follow[[#This Row],[CODRASTREIO]],Controle_Pedidos[Cód Rastreamento],Controle_Pedidos[Número Pedido Cliente])</f>
        <v>Pedido 1900</v>
      </c>
      <c r="B1796" s="2" t="s">
        <v>19225</v>
      </c>
      <c r="C1796" s="2" t="str">
        <f>Follow[[#This Row],[CODRASTREIO]]&amp;" B"</f>
        <v>CódRastreio1783 B</v>
      </c>
      <c r="D1796" s="52" t="str">
        <f>_xlfn.XLOOKUP(Follow[[#This Row],[Id Pedido]],Controle_Pedidos[Número Pedido Cliente],Controle_Pedidos[Loja])</f>
        <v>BV</v>
      </c>
      <c r="E1796" s="9">
        <f>_xlfn.XLOOKUP(Follow[[#This Row],[Id Pedido]],Controle_Pedidos[Número Pedido Cliente],Controle_Pedidos[Prazo Entrega])</f>
        <v>45863</v>
      </c>
      <c r="F1796" s="9" t="s">
        <v>19434</v>
      </c>
      <c r="G1796" s="9" t="s">
        <v>37</v>
      </c>
      <c r="H1796" s="52" t="s">
        <v>178</v>
      </c>
      <c r="I1796" s="54" t="s">
        <v>178</v>
      </c>
      <c r="J1796" s="144">
        <v>45859</v>
      </c>
      <c r="K1796" s="54" t="s">
        <v>198</v>
      </c>
      <c r="L1796" s="8" t="s">
        <v>124</v>
      </c>
      <c r="M1796" s="8" t="s">
        <v>37</v>
      </c>
      <c r="N1796" s="52" t="str">
        <f>IF(Follow[[#This Row],[DATAATUALIZAÇÃO]]&lt;=Follow[[#This Row],[Prev Entrega]],"Dentro do Prazo","Fora do Prazo")</f>
        <v>Dentro do Prazo</v>
      </c>
      <c r="O179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1900 Rastreio Pedido 1900, agradecemos a preferência e adoraríamos receber sua avaliação, tendo qualquer dúvida estamos à disposição.
Att
Tem tudo Shop</v>
      </c>
    </row>
    <row r="1797" spans="1:15">
      <c r="A1797" s="52" t="str">
        <f>_xlfn.XLOOKUP(Follow[[#This Row],[CODRASTREIO]],Controle_Pedidos[Cód Rastreamento],Controle_Pedidos[Número Pedido Cliente])</f>
        <v>Pedido 1901</v>
      </c>
      <c r="B1797" s="2" t="s">
        <v>19226</v>
      </c>
      <c r="C1797" s="2" t="str">
        <f>Follow[[#This Row],[CODRASTREIO]]&amp;" B"</f>
        <v>CódRastreio1784 B</v>
      </c>
      <c r="D1797" s="52" t="str">
        <f>_xlfn.XLOOKUP(Follow[[#This Row],[Id Pedido]],Controle_Pedidos[Número Pedido Cliente],Controle_Pedidos[Loja])</f>
        <v>BV</v>
      </c>
      <c r="E1797" s="9">
        <f>_xlfn.XLOOKUP(Follow[[#This Row],[Id Pedido]],Controle_Pedidos[Número Pedido Cliente],Controle_Pedidos[Prazo Entrega])</f>
        <v>45867</v>
      </c>
      <c r="F1797" s="9" t="s">
        <v>19434</v>
      </c>
      <c r="G1797" s="9" t="s">
        <v>37</v>
      </c>
      <c r="H1797" s="52" t="s">
        <v>178</v>
      </c>
      <c r="I1797" s="54" t="s">
        <v>178</v>
      </c>
      <c r="J1797" s="144">
        <v>45858</v>
      </c>
      <c r="K1797" s="54" t="s">
        <v>198</v>
      </c>
      <c r="L1797" s="8" t="s">
        <v>124</v>
      </c>
      <c r="M1797" s="8" t="s">
        <v>37</v>
      </c>
      <c r="N1797" s="52" t="str">
        <f>IF(Follow[[#This Row],[DATAATUALIZAÇÃO]]&lt;=Follow[[#This Row],[Prev Entrega]],"Dentro do Prazo","Fora do Prazo")</f>
        <v>Dentro do Prazo</v>
      </c>
      <c r="O1797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20/07/2025, referente ao pedido Nº Pedido 1901 Rastreio Pedido 1901, agradecemos a preferência e adoraríamos receber sua avaliação, tendo qualquer dúvida estamos à disposição.
Att
Tem tudo Shop</v>
      </c>
    </row>
    <row r="1798" spans="1:15">
      <c r="A1798" s="52" t="str">
        <f>_xlfn.XLOOKUP(Follow[[#This Row],[CODRASTREIO]],Controle_Pedidos[Cód Rastreamento],Controle_Pedidos[Número Pedido Cliente])</f>
        <v>Pedido 1902</v>
      </c>
      <c r="B1798" s="2" t="s">
        <v>19227</v>
      </c>
      <c r="C1798" s="2" t="str">
        <f>Follow[[#This Row],[CODRASTREIO]]&amp;" B"</f>
        <v>CódRastreio1785 B</v>
      </c>
      <c r="D1798" s="52" t="str">
        <f>_xlfn.XLOOKUP(Follow[[#This Row],[Id Pedido]],Controle_Pedidos[Número Pedido Cliente],Controle_Pedidos[Loja])</f>
        <v>BV</v>
      </c>
      <c r="E1798" s="9">
        <f>_xlfn.XLOOKUP(Follow[[#This Row],[Id Pedido]],Controle_Pedidos[Número Pedido Cliente],Controle_Pedidos[Prazo Entrega])</f>
        <v>45867</v>
      </c>
      <c r="F1798" s="9" t="s">
        <v>19434</v>
      </c>
      <c r="G1798" s="9" t="s">
        <v>37</v>
      </c>
      <c r="H1798" s="52" t="s">
        <v>178</v>
      </c>
      <c r="I1798" s="54" t="s">
        <v>178</v>
      </c>
      <c r="J1798" s="144">
        <v>45861</v>
      </c>
      <c r="K1798" s="54" t="s">
        <v>198</v>
      </c>
      <c r="L1798" s="8" t="s">
        <v>124</v>
      </c>
      <c r="M1798" s="8" t="s">
        <v>37</v>
      </c>
      <c r="N1798" s="52" t="str">
        <f>IF(Follow[[#This Row],[DATAATUALIZAÇÃO]]&lt;=Follow[[#This Row],[Prev Entrega]],"Dentro do Prazo","Fora do Prazo")</f>
        <v>Dentro do Prazo</v>
      </c>
      <c r="O179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1902 Rastreio Pedido 1902, agradecemos a preferência e adoraríamos receber sua avaliação, tendo qualquer dúvida estamos à disposição.
Att
Tem tudo Shop</v>
      </c>
    </row>
    <row r="1799" spans="1:15">
      <c r="A1799" s="52" t="str">
        <f>_xlfn.XLOOKUP(Follow[[#This Row],[CODRASTREIO]],Controle_Pedidos[Cód Rastreamento],Controle_Pedidos[Número Pedido Cliente])</f>
        <v>Pedido 1903</v>
      </c>
      <c r="B1799" s="2" t="s">
        <v>19228</v>
      </c>
      <c r="C1799" s="2" t="str">
        <f>Follow[[#This Row],[CODRASTREIO]]&amp;" B"</f>
        <v>CódRastreio1786 B</v>
      </c>
      <c r="D1799" s="52" t="str">
        <f>_xlfn.XLOOKUP(Follow[[#This Row],[Id Pedido]],Controle_Pedidos[Número Pedido Cliente],Controle_Pedidos[Loja])</f>
        <v>BV</v>
      </c>
      <c r="E1799" s="9">
        <f>_xlfn.XLOOKUP(Follow[[#This Row],[Id Pedido]],Controle_Pedidos[Número Pedido Cliente],Controle_Pedidos[Prazo Entrega])</f>
        <v>45867</v>
      </c>
      <c r="F1799" s="9" t="s">
        <v>19434</v>
      </c>
      <c r="G1799" s="9" t="s">
        <v>37</v>
      </c>
      <c r="H1799" s="52" t="s">
        <v>178</v>
      </c>
      <c r="I1799" s="54" t="s">
        <v>178</v>
      </c>
      <c r="J1799" s="144">
        <v>45859</v>
      </c>
      <c r="K1799" s="54" t="s">
        <v>198</v>
      </c>
      <c r="L1799" s="8" t="s">
        <v>124</v>
      </c>
      <c r="M1799" s="8" t="s">
        <v>37</v>
      </c>
      <c r="N1799" s="52" t="str">
        <f>IF(Follow[[#This Row],[DATAATUALIZAÇÃO]]&lt;=Follow[[#This Row],[Prev Entrega]],"Dentro do Prazo","Fora do Prazo")</f>
        <v>Dentro do Prazo</v>
      </c>
      <c r="O179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1903 Rastreio Pedido 1903, agradecemos a preferência e adoraríamos receber sua avaliação, tendo qualquer dúvida estamos à disposição.
Att
Tem tudo Shop</v>
      </c>
    </row>
    <row r="1800" spans="1:15">
      <c r="A1800" s="52" t="str">
        <f>_xlfn.XLOOKUP(Follow[[#This Row],[CODRASTREIO]],Controle_Pedidos[Cód Rastreamento],Controle_Pedidos[Número Pedido Cliente])</f>
        <v>Pedido 1905</v>
      </c>
      <c r="B1800" s="2" t="s">
        <v>19230</v>
      </c>
      <c r="C1800" s="2" t="str">
        <f>Follow[[#This Row],[CODRASTREIO]]&amp;" B"</f>
        <v>CódRastreio1788 B</v>
      </c>
      <c r="D1800" s="52" t="str">
        <f>_xlfn.XLOOKUP(Follow[[#This Row],[Id Pedido]],Controle_Pedidos[Número Pedido Cliente],Controle_Pedidos[Loja])</f>
        <v>BV</v>
      </c>
      <c r="E1800" s="9">
        <f>_xlfn.XLOOKUP(Follow[[#This Row],[Id Pedido]],Controle_Pedidos[Número Pedido Cliente],Controle_Pedidos[Prazo Entrega])</f>
        <v>45867</v>
      </c>
      <c r="F1800" s="9" t="s">
        <v>19434</v>
      </c>
      <c r="G1800" s="9" t="s">
        <v>37</v>
      </c>
      <c r="H1800" s="52" t="s">
        <v>178</v>
      </c>
      <c r="I1800" s="54" t="s">
        <v>178</v>
      </c>
      <c r="J1800" s="144">
        <v>45859</v>
      </c>
      <c r="K1800" s="54" t="s">
        <v>198</v>
      </c>
      <c r="L1800" s="8" t="s">
        <v>124</v>
      </c>
      <c r="M1800" s="8" t="s">
        <v>37</v>
      </c>
      <c r="N1800" s="52" t="str">
        <f>IF(Follow[[#This Row],[DATAATUALIZAÇÃO]]&lt;=Follow[[#This Row],[Prev Entrega]],"Dentro do Prazo","Fora do Prazo")</f>
        <v>Dentro do Prazo</v>
      </c>
      <c r="O180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1905 Rastreio Pedido 1905, agradecemos a preferência e adoraríamos receber sua avaliação, tendo qualquer dúvida estamos à disposição.
Att
Tem tudo Shop</v>
      </c>
    </row>
    <row r="1801" spans="1:15">
      <c r="A1801" s="52" t="str">
        <f>_xlfn.XLOOKUP(Follow[[#This Row],[CODRASTREIO]],Controle_Pedidos[Cód Rastreamento],Controle_Pedidos[Número Pedido Cliente])</f>
        <v>Pedido 1906</v>
      </c>
      <c r="B1801" s="2" t="s">
        <v>19231</v>
      </c>
      <c r="C1801" s="2" t="str">
        <f>Follow[[#This Row],[CODRASTREIO]]&amp;" B"</f>
        <v>CódRastreio1789 B</v>
      </c>
      <c r="D1801" s="52" t="str">
        <f>_xlfn.XLOOKUP(Follow[[#This Row],[Id Pedido]],Controle_Pedidos[Número Pedido Cliente],Controle_Pedidos[Loja])</f>
        <v>BV</v>
      </c>
      <c r="E1801" s="9">
        <f>_xlfn.XLOOKUP(Follow[[#This Row],[Id Pedido]],Controle_Pedidos[Número Pedido Cliente],Controle_Pedidos[Prazo Entrega])</f>
        <v>45863</v>
      </c>
      <c r="F1801" s="9" t="s">
        <v>19434</v>
      </c>
      <c r="G1801" s="9" t="s">
        <v>37</v>
      </c>
      <c r="H1801" s="52" t="s">
        <v>178</v>
      </c>
      <c r="I1801" s="54" t="s">
        <v>178</v>
      </c>
      <c r="J1801" s="144">
        <v>45859</v>
      </c>
      <c r="K1801" s="54" t="s">
        <v>198</v>
      </c>
      <c r="L1801" s="8" t="s">
        <v>124</v>
      </c>
      <c r="M1801" s="8" t="s">
        <v>37</v>
      </c>
      <c r="N1801" s="52" t="str">
        <f>IF(Follow[[#This Row],[DATAATUALIZAÇÃO]]&lt;=Follow[[#This Row],[Prev Entrega]],"Dentro do Prazo","Fora do Prazo")</f>
        <v>Dentro do Prazo</v>
      </c>
      <c r="O180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1906 Rastreio Pedido 1906, agradecemos a preferência e adoraríamos receber sua avaliação, tendo qualquer dúvida estamos à disposição.
Att
Tem tudo Shop</v>
      </c>
    </row>
    <row r="1802" spans="1:15">
      <c r="A1802" s="52" t="str">
        <f>_xlfn.XLOOKUP(Follow[[#This Row],[CODRASTREIO]],Controle_Pedidos[Cód Rastreamento],Controle_Pedidos[Número Pedido Cliente])</f>
        <v>Pedido 1907</v>
      </c>
      <c r="B1802" s="2" t="s">
        <v>19232</v>
      </c>
      <c r="C1802" s="2" t="str">
        <f>Follow[[#This Row],[CODRASTREIO]]&amp;" B"</f>
        <v>CódRastreio1790 B</v>
      </c>
      <c r="D1802" s="52" t="str">
        <f>_xlfn.XLOOKUP(Follow[[#This Row],[Id Pedido]],Controle_Pedidos[Número Pedido Cliente],Controle_Pedidos[Loja])</f>
        <v>BV</v>
      </c>
      <c r="E1802" s="9">
        <f>_xlfn.XLOOKUP(Follow[[#This Row],[Id Pedido]],Controle_Pedidos[Número Pedido Cliente],Controle_Pedidos[Prazo Entrega])</f>
        <v>45868</v>
      </c>
      <c r="F1802" s="9" t="s">
        <v>19434</v>
      </c>
      <c r="G1802" s="9" t="s">
        <v>37</v>
      </c>
      <c r="H1802" s="52" t="s">
        <v>178</v>
      </c>
      <c r="I1802" s="54" t="s">
        <v>178</v>
      </c>
      <c r="J1802" s="144">
        <v>45860</v>
      </c>
      <c r="K1802" s="54" t="s">
        <v>198</v>
      </c>
      <c r="L1802" s="8" t="s">
        <v>124</v>
      </c>
      <c r="M1802" s="8" t="s">
        <v>37</v>
      </c>
      <c r="N1802" s="52" t="str">
        <f>IF(Follow[[#This Row],[DATAATUALIZAÇÃO]]&lt;=Follow[[#This Row],[Prev Entrega]],"Dentro do Prazo","Fora do Prazo")</f>
        <v>Dentro do Prazo</v>
      </c>
      <c r="O180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1907 Rastreio Pedido 1907, agradecemos a preferência e adoraríamos receber sua avaliação, tendo qualquer dúvida estamos à disposição.
Att
Tem tudo Shop</v>
      </c>
    </row>
    <row r="1803" spans="1:15">
      <c r="A1803" s="52" t="str">
        <f>_xlfn.XLOOKUP(Follow[[#This Row],[CODRASTREIO]],Controle_Pedidos[Cód Rastreamento],Controle_Pedidos[Número Pedido Cliente])</f>
        <v>Pedido 1908</v>
      </c>
      <c r="B1803" s="2" t="s">
        <v>19233</v>
      </c>
      <c r="C1803" s="2" t="str">
        <f>Follow[[#This Row],[CODRASTREIO]]&amp;" B"</f>
        <v>CódRastreio1791 B</v>
      </c>
      <c r="D1803" s="52" t="str">
        <f>_xlfn.XLOOKUP(Follow[[#This Row],[Id Pedido]],Controle_Pedidos[Número Pedido Cliente],Controle_Pedidos[Loja])</f>
        <v>BV</v>
      </c>
      <c r="E1803" s="9">
        <f>_xlfn.XLOOKUP(Follow[[#This Row],[Id Pedido]],Controle_Pedidos[Número Pedido Cliente],Controle_Pedidos[Prazo Entrega])</f>
        <v>45874</v>
      </c>
      <c r="F1803" s="9" t="s">
        <v>19434</v>
      </c>
      <c r="G1803" s="9" t="s">
        <v>37</v>
      </c>
      <c r="H1803" s="52" t="s">
        <v>178</v>
      </c>
      <c r="I1803" s="54" t="s">
        <v>178</v>
      </c>
      <c r="J1803" s="144">
        <v>45861</v>
      </c>
      <c r="K1803" s="54" t="s">
        <v>198</v>
      </c>
      <c r="L1803" s="8" t="s">
        <v>124</v>
      </c>
      <c r="M1803" s="8" t="s">
        <v>37</v>
      </c>
      <c r="N1803" s="52" t="str">
        <f>IF(Follow[[#This Row],[DATAATUALIZAÇÃO]]&lt;=Follow[[#This Row],[Prev Entrega]],"Dentro do Prazo","Fora do Prazo")</f>
        <v>Dentro do Prazo</v>
      </c>
      <c r="O180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1908 Rastreio Pedido 1908, agradecemos a preferência e adoraríamos receber sua avaliação, tendo qualquer dúvida estamos à disposição.
Att
Tem tudo Shop</v>
      </c>
    </row>
    <row r="1804" spans="1:15">
      <c r="A1804" s="52" t="str">
        <f>_xlfn.XLOOKUP(Follow[[#This Row],[CODRASTREIO]],Controle_Pedidos[Cód Rastreamento],Controle_Pedidos[Número Pedido Cliente])</f>
        <v>Pedido 1911</v>
      </c>
      <c r="B1804" s="2" t="s">
        <v>19236</v>
      </c>
      <c r="C1804" s="2" t="str">
        <f>Follow[[#This Row],[CODRASTREIO]]&amp;" B"</f>
        <v>CódRastreio1794 B</v>
      </c>
      <c r="D1804" s="52" t="str">
        <f>_xlfn.XLOOKUP(Follow[[#This Row],[Id Pedido]],Controle_Pedidos[Número Pedido Cliente],Controle_Pedidos[Loja])</f>
        <v>BV</v>
      </c>
      <c r="E1804" s="9">
        <f>_xlfn.XLOOKUP(Follow[[#This Row],[Id Pedido]],Controle_Pedidos[Número Pedido Cliente],Controle_Pedidos[Prazo Entrega])</f>
        <v>45868</v>
      </c>
      <c r="F1804" s="9" t="s">
        <v>19434</v>
      </c>
      <c r="G1804" s="9" t="s">
        <v>37</v>
      </c>
      <c r="H1804" s="52" t="s">
        <v>178</v>
      </c>
      <c r="I1804" s="54" t="s">
        <v>178</v>
      </c>
      <c r="J1804" s="144">
        <v>45861</v>
      </c>
      <c r="K1804" s="54" t="s">
        <v>198</v>
      </c>
      <c r="L1804" s="8" t="s">
        <v>124</v>
      </c>
      <c r="M1804" s="8" t="s">
        <v>37</v>
      </c>
      <c r="N1804" s="52" t="str">
        <f>IF(Follow[[#This Row],[DATAATUALIZAÇÃO]]&lt;=Follow[[#This Row],[Prev Entrega]],"Dentro do Prazo","Fora do Prazo")</f>
        <v>Dentro do Prazo</v>
      </c>
      <c r="O180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1911 Rastreio Pedido 1911, agradecemos a preferência e adoraríamos receber sua avaliação, tendo qualquer dúvida estamos à disposição.
Att
Tem tudo Shop</v>
      </c>
    </row>
    <row r="1805" spans="1:15">
      <c r="A1805" s="52" t="str">
        <f>_xlfn.XLOOKUP(Follow[[#This Row],[CODRASTREIO]],Controle_Pedidos[Cód Rastreamento],Controle_Pedidos[Número Pedido Cliente])</f>
        <v>Pedido 1912</v>
      </c>
      <c r="B1805" s="2" t="s">
        <v>19237</v>
      </c>
      <c r="C1805" s="2" t="str">
        <f>Follow[[#This Row],[CODRASTREIO]]&amp;" B"</f>
        <v>CódRastreio1795 B</v>
      </c>
      <c r="D1805" s="52" t="str">
        <f>_xlfn.XLOOKUP(Follow[[#This Row],[Id Pedido]],Controle_Pedidos[Número Pedido Cliente],Controle_Pedidos[Loja])</f>
        <v>BV</v>
      </c>
      <c r="E1805" s="9">
        <f>_xlfn.XLOOKUP(Follow[[#This Row],[Id Pedido]],Controle_Pedidos[Número Pedido Cliente],Controle_Pedidos[Prazo Entrega])</f>
        <v>45868</v>
      </c>
      <c r="F1805" s="9" t="s">
        <v>19434</v>
      </c>
      <c r="G1805" s="9" t="s">
        <v>37</v>
      </c>
      <c r="H1805" s="52" t="s">
        <v>178</v>
      </c>
      <c r="I1805" s="54" t="s">
        <v>178</v>
      </c>
      <c r="J1805" s="144">
        <v>45854</v>
      </c>
      <c r="K1805" s="54" t="s">
        <v>198</v>
      </c>
      <c r="L1805" s="8" t="s">
        <v>124</v>
      </c>
      <c r="M1805" s="8" t="s">
        <v>37</v>
      </c>
      <c r="N1805" s="52" t="str">
        <f>IF(Follow[[#This Row],[DATAATUALIZAÇÃO]]&lt;=Follow[[#This Row],[Prev Entrega]],"Dentro do Prazo","Fora do Prazo")</f>
        <v>Dentro do Prazo</v>
      </c>
      <c r="O180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16/07/2025, referente ao pedido Nº Pedido 1912 Rastreio Pedido 1912, agradecemos a preferência e adoraríamos receber sua avaliação, tendo qualquer dúvida estamos à disposição.
Att
Tem tudo Shop</v>
      </c>
    </row>
    <row r="1806" spans="1:15">
      <c r="A1806" s="52" t="str">
        <f>_xlfn.XLOOKUP(Follow[[#This Row],[CODRASTREIO]],Controle_Pedidos[Cód Rastreamento],Controle_Pedidos[Número Pedido Cliente])</f>
        <v>Pedido 1913</v>
      </c>
      <c r="B1806" s="2" t="s">
        <v>19238</v>
      </c>
      <c r="C1806" s="2" t="str">
        <f>Follow[[#This Row],[CODRASTREIO]]&amp;" B"</f>
        <v>CódRastreio1796 B</v>
      </c>
      <c r="D1806" s="52" t="str">
        <f>_xlfn.XLOOKUP(Follow[[#This Row],[Id Pedido]],Controle_Pedidos[Número Pedido Cliente],Controle_Pedidos[Loja])</f>
        <v>BV</v>
      </c>
      <c r="E1806" s="9">
        <f>_xlfn.XLOOKUP(Follow[[#This Row],[Id Pedido]],Controle_Pedidos[Número Pedido Cliente],Controle_Pedidos[Prazo Entrega])</f>
        <v>45868</v>
      </c>
      <c r="F1806" s="9" t="s">
        <v>19434</v>
      </c>
      <c r="G1806" s="9" t="s">
        <v>37</v>
      </c>
      <c r="H1806" s="52" t="s">
        <v>178</v>
      </c>
      <c r="I1806" s="54" t="s">
        <v>178</v>
      </c>
      <c r="J1806" s="144">
        <v>45859</v>
      </c>
      <c r="K1806" s="54" t="s">
        <v>198</v>
      </c>
      <c r="L1806" s="8" t="s">
        <v>124</v>
      </c>
      <c r="M1806" s="8" t="s">
        <v>37</v>
      </c>
      <c r="N1806" s="52" t="str">
        <f>IF(Follow[[#This Row],[DATAATUALIZAÇÃO]]&lt;=Follow[[#This Row],[Prev Entrega]],"Dentro do Prazo","Fora do Prazo")</f>
        <v>Dentro do Prazo</v>
      </c>
      <c r="O180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1913 Rastreio Pedido 1913, agradecemos a preferência e adoraríamos receber sua avaliação, tendo qualquer dúvida estamos à disposição.
Att
Tem tudo Shop</v>
      </c>
    </row>
    <row r="1807" spans="1:15">
      <c r="A1807" s="52" t="str">
        <f>_xlfn.XLOOKUP(Follow[[#This Row],[CODRASTREIO]],Controle_Pedidos[Cód Rastreamento],Controle_Pedidos[Número Pedido Cliente])</f>
        <v>Pedido 1914</v>
      </c>
      <c r="B1807" s="2" t="s">
        <v>19239</v>
      </c>
      <c r="C1807" s="2" t="str">
        <f>Follow[[#This Row],[CODRASTREIO]]&amp;" B"</f>
        <v>CódRastreio1797 B</v>
      </c>
      <c r="D1807" s="52" t="str">
        <f>_xlfn.XLOOKUP(Follow[[#This Row],[Id Pedido]],Controle_Pedidos[Número Pedido Cliente],Controle_Pedidos[Loja])</f>
        <v>BV</v>
      </c>
      <c r="E1807" s="9">
        <f>_xlfn.XLOOKUP(Follow[[#This Row],[Id Pedido]],Controle_Pedidos[Número Pedido Cliente],Controle_Pedidos[Prazo Entrega])</f>
        <v>45868</v>
      </c>
      <c r="F1807" s="9" t="s">
        <v>19434</v>
      </c>
      <c r="G1807" s="9" t="s">
        <v>37</v>
      </c>
      <c r="H1807" s="52" t="s">
        <v>178</v>
      </c>
      <c r="I1807" s="54" t="s">
        <v>178</v>
      </c>
      <c r="J1807" s="144">
        <v>45859</v>
      </c>
      <c r="K1807" s="54" t="s">
        <v>198</v>
      </c>
      <c r="L1807" s="8" t="s">
        <v>124</v>
      </c>
      <c r="M1807" s="8" t="s">
        <v>37</v>
      </c>
      <c r="N1807" s="52" t="str">
        <f>IF(Follow[[#This Row],[DATAATUALIZAÇÃO]]&lt;=Follow[[#This Row],[Prev Entrega]],"Dentro do Prazo","Fora do Prazo")</f>
        <v>Dentro do Prazo</v>
      </c>
      <c r="O180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1914 Rastreio Pedido 1914, agradecemos a preferência e adoraríamos receber sua avaliação, tendo qualquer dúvida estamos à disposição.
Att
Tem tudo Shop</v>
      </c>
    </row>
    <row r="1808" spans="1:15">
      <c r="A1808" s="52" t="str">
        <f>_xlfn.XLOOKUP(Follow[[#This Row],[CODRASTREIO]],Controle_Pedidos[Cód Rastreamento],Controle_Pedidos[Número Pedido Cliente])</f>
        <v>Pedido 1904</v>
      </c>
      <c r="B1808" s="2" t="s">
        <v>19229</v>
      </c>
      <c r="C1808" s="2" t="str">
        <f>Follow[[#This Row],[CODRASTREIO]]&amp;" B"</f>
        <v>CódRastreio1787 B</v>
      </c>
      <c r="D1808" s="52" t="str">
        <f>_xlfn.XLOOKUP(Follow[[#This Row],[Id Pedido]],Controle_Pedidos[Número Pedido Cliente],Controle_Pedidos[Loja])</f>
        <v>BV</v>
      </c>
      <c r="E1808" s="9">
        <f>_xlfn.XLOOKUP(Follow[[#This Row],[Id Pedido]],Controle_Pedidos[Número Pedido Cliente],Controle_Pedidos[Prazo Entrega])</f>
        <v>45871</v>
      </c>
      <c r="F1808" s="9" t="s">
        <v>19434</v>
      </c>
      <c r="G1808" s="9" t="s">
        <v>37</v>
      </c>
      <c r="H1808" s="52" t="s">
        <v>178</v>
      </c>
      <c r="I1808" s="54" t="s">
        <v>178</v>
      </c>
      <c r="J1808" s="144">
        <v>45861</v>
      </c>
      <c r="K1808" s="54" t="s">
        <v>198</v>
      </c>
      <c r="L1808" s="8" t="s">
        <v>124</v>
      </c>
      <c r="M1808" s="8" t="s">
        <v>37</v>
      </c>
      <c r="N1808" s="52" t="str">
        <f>IF(Follow[[#This Row],[DATAATUALIZAÇÃO]]&lt;=Follow[[#This Row],[Prev Entrega]],"Dentro do Prazo","Fora do Prazo")</f>
        <v>Dentro do Prazo</v>
      </c>
      <c r="O180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23/07/2025, referente ao pedido Nº Pedido 1904 Rastreio Pedido 1904, agradecemos a preferência e adoraríamos receber sua avaliação, tendo qualquer dúvida estamos à disposição.
Att
Tem tudo Shop</v>
      </c>
    </row>
    <row r="1809" spans="1:15">
      <c r="A1809" s="52" t="str">
        <f>_xlfn.XLOOKUP(Follow[[#This Row],[CODRASTREIO]],Controle_Pedidos[Cód Rastreamento],Controle_Pedidos[Número Pedido Cliente])</f>
        <v>Pedido 1909</v>
      </c>
      <c r="B1809" s="2" t="s">
        <v>19234</v>
      </c>
      <c r="C1809" s="2" t="str">
        <f>Follow[[#This Row],[CODRASTREIO]]&amp;" B"</f>
        <v>CódRastreio1792 B</v>
      </c>
      <c r="D1809" s="52" t="str">
        <f>_xlfn.XLOOKUP(Follow[[#This Row],[Id Pedido]],Controle_Pedidos[Número Pedido Cliente],Controle_Pedidos[Loja])</f>
        <v>BV</v>
      </c>
      <c r="E1809" s="9">
        <f>_xlfn.XLOOKUP(Follow[[#This Row],[Id Pedido]],Controle_Pedidos[Número Pedido Cliente],Controle_Pedidos[Prazo Entrega])</f>
        <v>45874</v>
      </c>
      <c r="F1809" s="9" t="s">
        <v>19434</v>
      </c>
      <c r="G1809" s="9" t="s">
        <v>37</v>
      </c>
      <c r="H1809" s="52" t="s">
        <v>178</v>
      </c>
      <c r="I1809" s="54" t="s">
        <v>178</v>
      </c>
      <c r="J1809" s="144">
        <v>45862</v>
      </c>
      <c r="K1809" s="54" t="s">
        <v>198</v>
      </c>
      <c r="L1809" s="8" t="s">
        <v>124</v>
      </c>
      <c r="M1809" s="8" t="s">
        <v>37</v>
      </c>
      <c r="N1809" s="52" t="str">
        <f>IF(Follow[[#This Row],[DATAATUALIZAÇÃO]]&lt;=Follow[[#This Row],[Prev Entrega]],"Dentro do Prazo","Fora do Prazo")</f>
        <v>Dentro do Prazo</v>
      </c>
      <c r="O180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24/07/2025, referente ao pedido Nº Pedido 1909 Rastreio Pedido 1909, agradecemos a preferência e adoraríamos receber sua avaliação, tendo qualquer dúvida estamos à disposição.
Att
Tem tudo Shop</v>
      </c>
    </row>
    <row r="1810" spans="1:15">
      <c r="A1810" s="52" t="str">
        <f>_xlfn.XLOOKUP(Follow[[#This Row],[CODRASTREIO]],Controle_Pedidos[Cód Rastreamento],Controle_Pedidos[Número Pedido Cliente])</f>
        <v>Pedido 1910</v>
      </c>
      <c r="B1810" s="2" t="s">
        <v>19235</v>
      </c>
      <c r="C1810" s="2" t="str">
        <f>Follow[[#This Row],[CODRASTREIO]]&amp;" B"</f>
        <v>CódRastreio1793 B</v>
      </c>
      <c r="D1810" s="52" t="str">
        <f>_xlfn.XLOOKUP(Follow[[#This Row],[Id Pedido]],Controle_Pedidos[Número Pedido Cliente],Controle_Pedidos[Loja])</f>
        <v>BV</v>
      </c>
      <c r="E1810" s="9">
        <f>_xlfn.XLOOKUP(Follow[[#This Row],[Id Pedido]],Controle_Pedidos[Número Pedido Cliente],Controle_Pedidos[Prazo Entrega])</f>
        <v>45874</v>
      </c>
      <c r="F1810" s="9" t="s">
        <v>19434</v>
      </c>
      <c r="G1810" s="9">
        <v>888700167735223</v>
      </c>
      <c r="H1810" s="52" t="s">
        <v>178</v>
      </c>
      <c r="I1810" s="54" t="s">
        <v>178</v>
      </c>
      <c r="J1810" s="144">
        <v>45866</v>
      </c>
      <c r="K1810" s="54" t="s">
        <v>198</v>
      </c>
      <c r="L1810" s="8" t="s">
        <v>124</v>
      </c>
      <c r="M1810" s="8" t="s">
        <v>37</v>
      </c>
      <c r="N1810" s="52" t="str">
        <f>IF(Follow[[#This Row],[DATAATUALIZAÇÃO]]&lt;=Follow[[#This Row],[Prev Entrega]],"Dentro do Prazo","Fora do Prazo")</f>
        <v>Dentro do Prazo</v>
      </c>
      <c r="O181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28/07/2025, referente ao pedido Nº Pedido 1910 Rastreio 888700167735223, agradecemos a preferência e adoraríamos receber sua avaliação, tendo qualquer dúvida estamos à disposição.
Att
Tem tudo Shop</v>
      </c>
    </row>
    <row r="1811" spans="1:15">
      <c r="A1811" s="52" t="str">
        <f>_xlfn.XLOOKUP(Follow[[#This Row],[CODRASTREIO]],Controle_Pedidos[Cód Rastreamento],Controle_Pedidos[Número Pedido Cliente])</f>
        <v>Pedido 1915</v>
      </c>
      <c r="B1811" s="2" t="s">
        <v>19240</v>
      </c>
      <c r="C1811" s="2" t="str">
        <f>Follow[[#This Row],[CODRASTREIO]]&amp;" B"</f>
        <v>CódRastreio1798 B</v>
      </c>
      <c r="D1811" s="52" t="str">
        <f>_xlfn.XLOOKUP(Follow[[#This Row],[Id Pedido]],Controle_Pedidos[Número Pedido Cliente],Controle_Pedidos[Loja])</f>
        <v>BV</v>
      </c>
      <c r="E1811" s="9">
        <f>_xlfn.XLOOKUP(Follow[[#This Row],[Id Pedido]],Controle_Pedidos[Número Pedido Cliente],Controle_Pedidos[Prazo Entrega])</f>
        <v>45874</v>
      </c>
      <c r="F1811" s="9" t="s">
        <v>19434</v>
      </c>
      <c r="G1811" s="9" t="s">
        <v>37</v>
      </c>
      <c r="H1811" s="52" t="s">
        <v>178</v>
      </c>
      <c r="I1811" s="54" t="s">
        <v>178</v>
      </c>
      <c r="J1811" s="144">
        <v>45862</v>
      </c>
      <c r="K1811" s="54" t="s">
        <v>198</v>
      </c>
      <c r="L1811" s="8" t="s">
        <v>124</v>
      </c>
      <c r="M1811" s="8" t="s">
        <v>37</v>
      </c>
      <c r="N1811" s="52" t="str">
        <f>IF(Follow[[#This Row],[DATAATUALIZAÇÃO]]&lt;=Follow[[#This Row],[Prev Entrega]],"Dentro do Prazo","Fora do Prazo")</f>
        <v>Dentro do Prazo</v>
      </c>
      <c r="O181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24/07/2025, referente ao pedido Nº Pedido 1915 Rastreio Pedido 1915, agradecemos a preferência e adoraríamos receber sua avaliação, tendo qualquer dúvida estamos à disposição.
Att
Tem tudo Shop</v>
      </c>
    </row>
    <row r="1812" spans="1:15">
      <c r="A1812" s="52" t="str">
        <f>_xlfn.XLOOKUP(Follow[[#This Row],[CODRASTREIO]],Controle_Pedidos[Cód Rastreamento],Controle_Pedidos[Número Pedido Cliente])</f>
        <v>Pedido 1921</v>
      </c>
      <c r="B1812" s="2" t="s">
        <v>19246</v>
      </c>
      <c r="C1812" s="2" t="str">
        <f>Follow[[#This Row],[CODRASTREIO]]&amp;" B"</f>
        <v>CódRastreio1804 B</v>
      </c>
      <c r="D1812" s="52" t="str">
        <f>_xlfn.XLOOKUP(Follow[[#This Row],[Id Pedido]],Controle_Pedidos[Número Pedido Cliente],Controle_Pedidos[Loja])</f>
        <v>BV</v>
      </c>
      <c r="E1812" s="9">
        <f>_xlfn.XLOOKUP(Follow[[#This Row],[Id Pedido]],Controle_Pedidos[Número Pedido Cliente],Controle_Pedidos[Prazo Entrega])</f>
        <v>45875</v>
      </c>
      <c r="F1812" s="9" t="s">
        <v>19434</v>
      </c>
      <c r="G1812" s="9" t="s">
        <v>37</v>
      </c>
      <c r="H1812" s="52" t="s">
        <v>178</v>
      </c>
      <c r="I1812" s="54" t="s">
        <v>178</v>
      </c>
      <c r="J1812" s="144">
        <v>45861</v>
      </c>
      <c r="K1812" s="54" t="s">
        <v>198</v>
      </c>
      <c r="L1812" s="8" t="s">
        <v>124</v>
      </c>
      <c r="M1812" s="8" t="s">
        <v>37</v>
      </c>
      <c r="N1812" s="52" t="str">
        <f>IF(Follow[[#This Row],[DATAATUALIZAÇÃO]]&lt;=Follow[[#This Row],[Prev Entrega]],"Dentro do Prazo","Fora do Prazo")</f>
        <v>Dentro do Prazo</v>
      </c>
      <c r="O181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23/07/2025, referente ao pedido Nº Pedido 1921 Rastreio Pedido 1921, agradecemos a preferência e adoraríamos receber sua avaliação, tendo qualquer dúvida estamos à disposição.
Att
Tem tudo Shop</v>
      </c>
    </row>
    <row r="1813" spans="1:15">
      <c r="A1813" s="52" t="str">
        <f>_xlfn.XLOOKUP(Follow[[#This Row],[CODRASTREIO]],Controle_Pedidos[Cód Rastreamento],Controle_Pedidos[Número Pedido Cliente])</f>
        <v>Pedido 1926</v>
      </c>
      <c r="B1813" s="2" t="s">
        <v>19251</v>
      </c>
      <c r="C1813" s="2" t="str">
        <f>Follow[[#This Row],[CODRASTREIO]]&amp;" B"</f>
        <v>CódRastreio1809 B</v>
      </c>
      <c r="D1813" s="52" t="str">
        <f>_xlfn.XLOOKUP(Follow[[#This Row],[Id Pedido]],Controle_Pedidos[Número Pedido Cliente],Controle_Pedidos[Loja])</f>
        <v>BV</v>
      </c>
      <c r="E1813" s="9">
        <f>_xlfn.XLOOKUP(Follow[[#This Row],[Id Pedido]],Controle_Pedidos[Número Pedido Cliente],Controle_Pedidos[Prazo Entrega])</f>
        <v>45863</v>
      </c>
      <c r="F1813" s="9" t="s">
        <v>19433</v>
      </c>
      <c r="G1813" s="9" t="s">
        <v>794</v>
      </c>
      <c r="H1813" s="52" t="s">
        <v>179</v>
      </c>
      <c r="I1813" s="54" t="s">
        <v>178</v>
      </c>
      <c r="J1813" s="144">
        <v>45881</v>
      </c>
      <c r="K1813" s="54" t="s">
        <v>198</v>
      </c>
      <c r="L1813" s="8" t="s">
        <v>124</v>
      </c>
      <c r="M1813" s="8" t="s">
        <v>37</v>
      </c>
      <c r="N1813" s="52" t="str">
        <f>IF(Follow[[#This Row],[DATAATUALIZAÇÃO]]&lt;=Follow[[#This Row],[Prev Entrega]],"Dentro do Prazo","Fora do Prazo")</f>
        <v>Fora do Prazo</v>
      </c>
      <c r="O181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12/08/2025, referente ao pedido Nº Pedido 1926 Rastreio NM875238643BR, agradecemos a preferência e adoraríamos receber sua avaliação, tendo qualquer dúvida estamos à disposição.
Att
Tem tudo Shop</v>
      </c>
    </row>
    <row r="1814" spans="1:15">
      <c r="A1814" s="52" t="str">
        <f>_xlfn.XLOOKUP(Follow[[#This Row],[CODRASTREIO]],Controle_Pedidos[Cód Rastreamento],Controle_Pedidos[Número Pedido Cliente])</f>
        <v>Pedido 1951</v>
      </c>
      <c r="B1814" s="2" t="s">
        <v>19276</v>
      </c>
      <c r="C1814" s="2" t="str">
        <f>Follow[[#This Row],[CODRASTREIO]]&amp;" B"</f>
        <v>CódRastreio1834 B</v>
      </c>
      <c r="D1814" s="52" t="str">
        <f>_xlfn.XLOOKUP(Follow[[#This Row],[Id Pedido]],Controle_Pedidos[Número Pedido Cliente],Controle_Pedidos[Loja])</f>
        <v>BV</v>
      </c>
      <c r="E1814" s="9">
        <f>_xlfn.XLOOKUP(Follow[[#This Row],[Id Pedido]],Controle_Pedidos[Número Pedido Cliente],Controle_Pedidos[Prazo Entrega])</f>
        <v>45868</v>
      </c>
      <c r="F1814" s="9" t="s">
        <v>19434</v>
      </c>
      <c r="G1814" s="9" t="s">
        <v>37</v>
      </c>
      <c r="H1814" s="52" t="s">
        <v>178</v>
      </c>
      <c r="I1814" s="54" t="s">
        <v>178</v>
      </c>
      <c r="J1814" s="144">
        <v>45859</v>
      </c>
      <c r="K1814" s="54" t="s">
        <v>198</v>
      </c>
      <c r="L1814" s="8" t="s">
        <v>124</v>
      </c>
      <c r="M1814" s="8" t="s">
        <v>37</v>
      </c>
      <c r="N1814" s="52" t="str">
        <f>IF(Follow[[#This Row],[DATAATUALIZAÇÃO]]&lt;=Follow[[#This Row],[Prev Entrega]],"Dentro do Prazo","Fora do Prazo")</f>
        <v>Dentro do Prazo</v>
      </c>
      <c r="O181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21/07/2025, referente ao pedido Nº Pedido 1951 Rastreio Pedido 1951, agradecemos a preferência e adoraríamos receber sua avaliação, tendo qualquer dúvida estamos à disposição.
Att
Tem tudo Shop</v>
      </c>
    </row>
    <row r="1815" spans="1:15">
      <c r="A1815" s="52" t="str">
        <f>_xlfn.XLOOKUP(Follow[[#This Row],[CODRASTREIO]],Controle_Pedidos[Cód Rastreamento],Controle_Pedidos[Número Pedido Cliente])</f>
        <v>Pedido 1964</v>
      </c>
      <c r="B1815" s="2" t="s">
        <v>19289</v>
      </c>
      <c r="C1815" s="2" t="str">
        <f>Follow[[#This Row],[CODRASTREIO]]&amp;" B"</f>
        <v>CódRastreio1847 B</v>
      </c>
      <c r="D1815" s="52" t="str">
        <f>_xlfn.XLOOKUP(Follow[[#This Row],[Id Pedido]],Controle_Pedidos[Número Pedido Cliente],Controle_Pedidos[Loja])</f>
        <v>BV</v>
      </c>
      <c r="E1815" s="9">
        <f>_xlfn.XLOOKUP(Follow[[#This Row],[Id Pedido]],Controle_Pedidos[Número Pedido Cliente],Controle_Pedidos[Prazo Entrega])</f>
        <v>45877</v>
      </c>
      <c r="F1815" s="9" t="s">
        <v>19433</v>
      </c>
      <c r="G1815" s="9" t="s">
        <v>795</v>
      </c>
      <c r="H1815" s="52" t="s">
        <v>179</v>
      </c>
      <c r="I1815" s="54" t="s">
        <v>178</v>
      </c>
      <c r="J1815" s="144">
        <v>45870</v>
      </c>
      <c r="K1815" s="54" t="s">
        <v>198</v>
      </c>
      <c r="L1815" s="8" t="s">
        <v>124</v>
      </c>
      <c r="M1815" s="8" t="s">
        <v>37</v>
      </c>
      <c r="N1815" s="52" t="str">
        <f>IF(Follow[[#This Row],[DATAATUALIZAÇÃO]]&lt;=Follow[[#This Row],[Prev Entrega]],"Dentro do Prazo","Fora do Prazo")</f>
        <v>Dentro do Prazo</v>
      </c>
      <c r="O181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01/08/2025, referente ao pedido Nº Pedido 1964 Rastreio NM875253230BR, agradecemos a preferência e adoraríamos receber sua avaliação, tendo qualquer dúvida estamos à disposição.
Att
Tem tudo Shop</v>
      </c>
    </row>
    <row r="1816" spans="1:15">
      <c r="A1816" s="52" t="str">
        <f>_xlfn.XLOOKUP(Follow[[#This Row],[CODRASTREIO]],Controle_Pedidos[Cód Rastreamento],Controle_Pedidos[Número Pedido Cliente])</f>
        <v>Pedido 1916</v>
      </c>
      <c r="B1816" s="2" t="s">
        <v>19241</v>
      </c>
      <c r="C1816" s="2" t="str">
        <f>Follow[[#This Row],[CODRASTREIO]]&amp;" B"</f>
        <v>CódRastreio1799 B</v>
      </c>
      <c r="D1816" s="52" t="str">
        <f>_xlfn.XLOOKUP(Follow[[#This Row],[Id Pedido]],Controle_Pedidos[Número Pedido Cliente],Controle_Pedidos[Loja])</f>
        <v>BV</v>
      </c>
      <c r="E1816" s="9">
        <f>_xlfn.XLOOKUP(Follow[[#This Row],[Id Pedido]],Controle_Pedidos[Número Pedido Cliente],Controle_Pedidos[Prazo Entrega])</f>
        <v>45868</v>
      </c>
      <c r="F1816" s="9" t="s">
        <v>19433</v>
      </c>
      <c r="G1816" s="9" t="s">
        <v>796</v>
      </c>
      <c r="H1816" s="52" t="s">
        <v>179</v>
      </c>
      <c r="I1816" s="54" t="s">
        <v>178</v>
      </c>
      <c r="J1816" s="144">
        <v>45874</v>
      </c>
      <c r="K1816" s="54" t="s">
        <v>198</v>
      </c>
      <c r="L1816" s="8" t="s">
        <v>124</v>
      </c>
      <c r="M1816" s="8" t="s">
        <v>37</v>
      </c>
      <c r="N1816" s="52" t="str">
        <f>IF(Follow[[#This Row],[DATAATUALIZAÇÃO]]&lt;=Follow[[#This Row],[Prev Entrega]],"Dentro do Prazo","Fora do Prazo")</f>
        <v>Fora do Prazo</v>
      </c>
      <c r="O181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05/08/2025, referente ao pedido Nº Pedido 1916 Rastreio NM875161825BR, agradecemos a preferência e adoraríamos receber sua avaliação, tendo qualquer dúvida estamos à disposição.
Att
Tem tudo Shop</v>
      </c>
    </row>
    <row r="1817" spans="1:15">
      <c r="A1817" s="52" t="str">
        <f>_xlfn.XLOOKUP(Follow[[#This Row],[CODRASTREIO]],Controle_Pedidos[Cód Rastreamento],Controle_Pedidos[Número Pedido Cliente])</f>
        <v>Pedido 1917</v>
      </c>
      <c r="B1817" s="2" t="s">
        <v>19242</v>
      </c>
      <c r="C1817" s="2" t="str">
        <f>Follow[[#This Row],[CODRASTREIO]]&amp;" B"</f>
        <v>CódRastreio1800 B</v>
      </c>
      <c r="D1817" s="52" t="str">
        <f>_xlfn.XLOOKUP(Follow[[#This Row],[Id Pedido]],Controle_Pedidos[Número Pedido Cliente],Controle_Pedidos[Loja])</f>
        <v>BV</v>
      </c>
      <c r="E1817" s="9">
        <f>_xlfn.XLOOKUP(Follow[[#This Row],[Id Pedido]],Controle_Pedidos[Número Pedido Cliente],Controle_Pedidos[Prazo Entrega])</f>
        <v>45868</v>
      </c>
      <c r="F1817" s="9" t="s">
        <v>19434</v>
      </c>
      <c r="G1817" s="9" t="s">
        <v>37</v>
      </c>
      <c r="H1817" s="52" t="s">
        <v>178</v>
      </c>
      <c r="I1817" s="54" t="s">
        <v>178</v>
      </c>
      <c r="J1817" s="144">
        <v>45859</v>
      </c>
      <c r="K1817" s="54" t="s">
        <v>198</v>
      </c>
      <c r="L1817" s="8" t="s">
        <v>124</v>
      </c>
      <c r="M1817" s="8" t="s">
        <v>37</v>
      </c>
      <c r="N1817" s="52" t="str">
        <f>IF(Follow[[#This Row],[DATAATUALIZAÇÃO]]&lt;=Follow[[#This Row],[Prev Entrega]],"Dentro do Prazo","Fora do Prazo")</f>
        <v>Dentro do Prazo</v>
      </c>
      <c r="O181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1917 Rastreio Pedido 1917, agradecemos a preferência e adoraríamos receber sua avaliação, tendo qualquer dúvida estamos à disposição.
Att
Tem tudo Shop</v>
      </c>
    </row>
    <row r="1818" spans="1:15">
      <c r="A1818" s="52" t="str">
        <f>_xlfn.XLOOKUP(Follow[[#This Row],[CODRASTREIO]],Controle_Pedidos[Cód Rastreamento],Controle_Pedidos[Número Pedido Cliente])</f>
        <v>Pedido 1918</v>
      </c>
      <c r="B1818" s="2" t="s">
        <v>19243</v>
      </c>
      <c r="C1818" s="2" t="str">
        <f>Follow[[#This Row],[CODRASTREIO]]&amp;" B"</f>
        <v>CódRastreio1801 B</v>
      </c>
      <c r="D1818" s="52" t="str">
        <f>_xlfn.XLOOKUP(Follow[[#This Row],[Id Pedido]],Controle_Pedidos[Número Pedido Cliente],Controle_Pedidos[Loja])</f>
        <v>BV</v>
      </c>
      <c r="E1818" s="9">
        <f>_xlfn.XLOOKUP(Follow[[#This Row],[Id Pedido]],Controle_Pedidos[Número Pedido Cliente],Controle_Pedidos[Prazo Entrega])</f>
        <v>45868</v>
      </c>
      <c r="F1818" s="9" t="s">
        <v>19434</v>
      </c>
      <c r="G1818" s="9" t="s">
        <v>37</v>
      </c>
      <c r="H1818" s="52" t="s">
        <v>178</v>
      </c>
      <c r="I1818" s="54" t="s">
        <v>178</v>
      </c>
      <c r="J1818" s="144">
        <v>45861</v>
      </c>
      <c r="K1818" s="54" t="s">
        <v>198</v>
      </c>
      <c r="L1818" s="8" t="s">
        <v>124</v>
      </c>
      <c r="M1818" s="8" t="s">
        <v>37</v>
      </c>
      <c r="N1818" s="52" t="str">
        <f>IF(Follow[[#This Row],[DATAATUALIZAÇÃO]]&lt;=Follow[[#This Row],[Prev Entrega]],"Dentro do Prazo","Fora do Prazo")</f>
        <v>Dentro do Prazo</v>
      </c>
      <c r="O181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1918 Rastreio Pedido 1918, agradecemos a preferência e adoraríamos receber sua avaliação, tendo qualquer dúvida estamos à disposição.
Att
Tem tudo Shop</v>
      </c>
    </row>
    <row r="1819" spans="1:15">
      <c r="A1819" s="52" t="str">
        <f>_xlfn.XLOOKUP(Follow[[#This Row],[CODRASTREIO]],Controle_Pedidos[Cód Rastreamento],Controle_Pedidos[Número Pedido Cliente])</f>
        <v>Pedido 1919</v>
      </c>
      <c r="B1819" s="2" t="s">
        <v>19244</v>
      </c>
      <c r="C1819" s="2" t="str">
        <f>Follow[[#This Row],[CODRASTREIO]]&amp;" B"</f>
        <v>CódRastreio1802 B</v>
      </c>
      <c r="D1819" s="52" t="str">
        <f>_xlfn.XLOOKUP(Follow[[#This Row],[Id Pedido]],Controle_Pedidos[Número Pedido Cliente],Controle_Pedidos[Loja])</f>
        <v>BV</v>
      </c>
      <c r="E1819" s="9">
        <f>_xlfn.XLOOKUP(Follow[[#This Row],[Id Pedido]],Controle_Pedidos[Número Pedido Cliente],Controle_Pedidos[Prazo Entrega])</f>
        <v>45868</v>
      </c>
      <c r="F1819" s="9" t="s">
        <v>19434</v>
      </c>
      <c r="G1819" s="9" t="s">
        <v>37</v>
      </c>
      <c r="H1819" s="52" t="s">
        <v>178</v>
      </c>
      <c r="I1819" s="54" t="s">
        <v>178</v>
      </c>
      <c r="J1819" s="144">
        <v>45859</v>
      </c>
      <c r="K1819" s="54" t="s">
        <v>198</v>
      </c>
      <c r="L1819" s="8" t="s">
        <v>124</v>
      </c>
      <c r="M1819" s="8" t="s">
        <v>37</v>
      </c>
      <c r="N1819" s="52" t="str">
        <f>IF(Follow[[#This Row],[DATAATUALIZAÇÃO]]&lt;=Follow[[#This Row],[Prev Entrega]],"Dentro do Prazo","Fora do Prazo")</f>
        <v>Dentro do Prazo</v>
      </c>
      <c r="O181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1919 Rastreio Pedido 1919, agradecemos a preferência e adoraríamos receber sua avaliação, tendo qualquer dúvida estamos à disposição.
Att
Tem tudo Shop</v>
      </c>
    </row>
    <row r="1820" spans="1:15">
      <c r="A1820" s="52" t="str">
        <f>_xlfn.XLOOKUP(Follow[[#This Row],[CODRASTREIO]],Controle_Pedidos[Cód Rastreamento],Controle_Pedidos[Número Pedido Cliente])</f>
        <v>Pedido 1923</v>
      </c>
      <c r="B1820" s="2" t="s">
        <v>19248</v>
      </c>
      <c r="C1820" s="2" t="str">
        <f>Follow[[#This Row],[CODRASTREIO]]&amp;" B"</f>
        <v>CódRastreio1806 B</v>
      </c>
      <c r="D1820" s="52" t="str">
        <f>_xlfn.XLOOKUP(Follow[[#This Row],[Id Pedido]],Controle_Pedidos[Número Pedido Cliente],Controle_Pedidos[Loja])</f>
        <v>BV</v>
      </c>
      <c r="E1820" s="9">
        <f>_xlfn.XLOOKUP(Follow[[#This Row],[Id Pedido]],Controle_Pedidos[Número Pedido Cliente],Controle_Pedidos[Prazo Entrega])</f>
        <v>45869</v>
      </c>
      <c r="F1820" s="9" t="s">
        <v>19434</v>
      </c>
      <c r="G1820" s="9" t="s">
        <v>37</v>
      </c>
      <c r="H1820" s="52" t="s">
        <v>178</v>
      </c>
      <c r="I1820" s="54" t="s">
        <v>178</v>
      </c>
      <c r="J1820" s="144">
        <v>45859</v>
      </c>
      <c r="K1820" s="54" t="s">
        <v>198</v>
      </c>
      <c r="L1820" s="8" t="s">
        <v>124</v>
      </c>
      <c r="M1820" s="8" t="s">
        <v>37</v>
      </c>
      <c r="N1820" s="52" t="str">
        <f>IF(Follow[[#This Row],[DATAATUALIZAÇÃO]]&lt;=Follow[[#This Row],[Prev Entrega]],"Dentro do Prazo","Fora do Prazo")</f>
        <v>Dentro do Prazo</v>
      </c>
      <c r="O182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1923 Rastreio Pedido 1923, agradecemos a preferência e adoraríamos receber sua avaliação, tendo qualquer dúvida estamos à disposição.
Att
Tem tudo Shop</v>
      </c>
    </row>
    <row r="1821" spans="1:15">
      <c r="A1821" s="52" t="str">
        <f>_xlfn.XLOOKUP(Follow[[#This Row],[CODRASTREIO]],Controle_Pedidos[Cód Rastreamento],Controle_Pedidos[Número Pedido Cliente])</f>
        <v>Pedido 1925</v>
      </c>
      <c r="B1821" s="2" t="s">
        <v>19250</v>
      </c>
      <c r="C1821" s="2" t="str">
        <f>Follow[[#This Row],[CODRASTREIO]]&amp;" B"</f>
        <v>CódRastreio1808 B</v>
      </c>
      <c r="D1821" s="52" t="str">
        <f>_xlfn.XLOOKUP(Follow[[#This Row],[Id Pedido]],Controle_Pedidos[Número Pedido Cliente],Controle_Pedidos[Loja])</f>
        <v>BV</v>
      </c>
      <c r="E1821" s="9">
        <f>_xlfn.XLOOKUP(Follow[[#This Row],[Id Pedido]],Controle_Pedidos[Número Pedido Cliente],Controle_Pedidos[Prazo Entrega])</f>
        <v>45863</v>
      </c>
      <c r="F1821" s="9" t="s">
        <v>19434</v>
      </c>
      <c r="G1821" s="9" t="s">
        <v>37</v>
      </c>
      <c r="H1821" s="52" t="s">
        <v>178</v>
      </c>
      <c r="I1821" s="54" t="s">
        <v>178</v>
      </c>
      <c r="J1821" s="144">
        <v>45857</v>
      </c>
      <c r="K1821" s="54" t="s">
        <v>198</v>
      </c>
      <c r="L1821" s="8" t="s">
        <v>124</v>
      </c>
      <c r="M1821" s="8" t="s">
        <v>208</v>
      </c>
      <c r="N1821" s="52" t="str">
        <f>IF(Follow[[#This Row],[DATAATUALIZAÇÃO]]&lt;=Follow[[#This Row],[Prev Entrega]],"Dentro do Prazo","Fora do Prazo")</f>
        <v>Dentro do Prazo</v>
      </c>
      <c r="O182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19/07/2025, referente ao pedido Nº Pedido 1925 Rastreio Pedido 1925, agradecemos a preferência e adoraríamos receber sua avaliação, tendo qualquer dúvida estamos à disposição.
Att
Tem tudo Shop</v>
      </c>
    </row>
    <row r="1822" spans="1:15">
      <c r="A1822" s="52" t="str">
        <f>_xlfn.XLOOKUP(Follow[[#This Row],[CODRASTREIO]],Controle_Pedidos[Cód Rastreamento],Controle_Pedidos[Número Pedido Cliente])</f>
        <v>Pedido 1927</v>
      </c>
      <c r="B1822" s="2" t="s">
        <v>19252</v>
      </c>
      <c r="C1822" s="2" t="str">
        <f>Follow[[#This Row],[CODRASTREIO]]&amp;" B"</f>
        <v>CódRastreio1810 B</v>
      </c>
      <c r="D1822" s="52" t="str">
        <f>_xlfn.XLOOKUP(Follow[[#This Row],[Id Pedido]],Controle_Pedidos[Número Pedido Cliente],Controle_Pedidos[Loja])</f>
        <v>BV</v>
      </c>
      <c r="E1822" s="9">
        <f>_xlfn.XLOOKUP(Follow[[#This Row],[Id Pedido]],Controle_Pedidos[Número Pedido Cliente],Controle_Pedidos[Prazo Entrega])</f>
        <v>45863</v>
      </c>
      <c r="F1822" s="9" t="s">
        <v>19434</v>
      </c>
      <c r="G1822" s="9" t="s">
        <v>37</v>
      </c>
      <c r="H1822" s="52" t="s">
        <v>178</v>
      </c>
      <c r="I1822" s="54" t="s">
        <v>178</v>
      </c>
      <c r="J1822" s="144">
        <v>45857</v>
      </c>
      <c r="K1822" s="54" t="s">
        <v>198</v>
      </c>
      <c r="L1822" s="8" t="s">
        <v>124</v>
      </c>
      <c r="M1822" s="8" t="s">
        <v>37</v>
      </c>
      <c r="N1822" s="52" t="str">
        <f>IF(Follow[[#This Row],[DATAATUALIZAÇÃO]]&lt;=Follow[[#This Row],[Prev Entrega]],"Dentro do Prazo","Fora do Prazo")</f>
        <v>Dentro do Prazo</v>
      </c>
      <c r="O182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19/07/2025, referente ao pedido Nº Pedido 1927 Rastreio Pedido 1927, agradecemos a preferência e adoraríamos receber sua avaliação, tendo qualquer dúvida estamos à disposição.
Att
Tem tudo Shop</v>
      </c>
    </row>
    <row r="1823" spans="1:15">
      <c r="A1823" s="52" t="str">
        <f>_xlfn.XLOOKUP(Follow[[#This Row],[CODRASTREIO]],Controle_Pedidos[Cód Rastreamento],Controle_Pedidos[Número Pedido Cliente])</f>
        <v>Pedido 1928</v>
      </c>
      <c r="B1823" s="2" t="s">
        <v>19253</v>
      </c>
      <c r="C1823" s="2" t="str">
        <f>Follow[[#This Row],[CODRASTREIO]]&amp;" B"</f>
        <v>CódRastreio1811 B</v>
      </c>
      <c r="D1823" s="52" t="str">
        <f>_xlfn.XLOOKUP(Follow[[#This Row],[Id Pedido]],Controle_Pedidos[Número Pedido Cliente],Controle_Pedidos[Loja])</f>
        <v>BV</v>
      </c>
      <c r="E1823" s="9">
        <f>_xlfn.XLOOKUP(Follow[[#This Row],[Id Pedido]],Controle_Pedidos[Número Pedido Cliente],Controle_Pedidos[Prazo Entrega])</f>
        <v>45863</v>
      </c>
      <c r="F1823" s="9" t="s">
        <v>19434</v>
      </c>
      <c r="G1823" s="9" t="s">
        <v>37</v>
      </c>
      <c r="H1823" s="52" t="s">
        <v>178</v>
      </c>
      <c r="I1823" s="54" t="s">
        <v>178</v>
      </c>
      <c r="J1823" s="144">
        <v>45859</v>
      </c>
      <c r="K1823" s="54" t="s">
        <v>198</v>
      </c>
      <c r="L1823" s="8" t="s">
        <v>124</v>
      </c>
      <c r="M1823" s="8" t="s">
        <v>37</v>
      </c>
      <c r="N1823" s="52" t="str">
        <f>IF(Follow[[#This Row],[DATAATUALIZAÇÃO]]&lt;=Follow[[#This Row],[Prev Entrega]],"Dentro do Prazo","Fora do Prazo")</f>
        <v>Dentro do Prazo</v>
      </c>
      <c r="O182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1928 Rastreio Pedido 1928, agradecemos a preferência e adoraríamos receber sua avaliação, tendo qualquer dúvida estamos à disposição.
Att
Tem tudo Shop</v>
      </c>
    </row>
    <row r="1824" spans="1:15">
      <c r="A1824" s="52" t="str">
        <f>_xlfn.XLOOKUP(Follow[[#This Row],[CODRASTREIO]],Controle_Pedidos[Cód Rastreamento],Controle_Pedidos[Número Pedido Cliente])</f>
        <v>Pedido 1963</v>
      </c>
      <c r="B1824" s="2" t="s">
        <v>19288</v>
      </c>
      <c r="C1824" s="2" t="str">
        <f>Follow[[#This Row],[CODRASTREIO]]&amp;" B"</f>
        <v>CódRastreio1846 B</v>
      </c>
      <c r="D1824" s="52" t="str">
        <f>_xlfn.XLOOKUP(Follow[[#This Row],[Id Pedido]],Controle_Pedidos[Número Pedido Cliente],Controle_Pedidos[Loja])</f>
        <v>BV</v>
      </c>
      <c r="E1824" s="9">
        <f>_xlfn.XLOOKUP(Follow[[#This Row],[Id Pedido]],Controle_Pedidos[Número Pedido Cliente],Controle_Pedidos[Prazo Entrega])</f>
        <v>45871</v>
      </c>
      <c r="F1824" s="9" t="s">
        <v>19434</v>
      </c>
      <c r="G1824" s="9" t="s">
        <v>37</v>
      </c>
      <c r="H1824" s="52" t="s">
        <v>178</v>
      </c>
      <c r="I1824" s="54" t="s">
        <v>178</v>
      </c>
      <c r="J1824" s="144">
        <v>45860</v>
      </c>
      <c r="K1824" s="54" t="s">
        <v>198</v>
      </c>
      <c r="L1824" s="8" t="s">
        <v>124</v>
      </c>
      <c r="M1824" s="8" t="s">
        <v>37</v>
      </c>
      <c r="N1824" s="52" t="str">
        <f>IF(Follow[[#This Row],[DATAATUALIZAÇÃO]]&lt;=Follow[[#This Row],[Prev Entrega]],"Dentro do Prazo","Fora do Prazo")</f>
        <v>Dentro do Prazo</v>
      </c>
      <c r="O182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1963 Rastreio Pedido 1963, agradecemos a preferência e adoraríamos receber sua avaliação, tendo qualquer dúvida estamos à disposição.
Att
Tem tudo Shop</v>
      </c>
    </row>
    <row r="1825" spans="1:15">
      <c r="A1825" s="52" t="str">
        <f>_xlfn.XLOOKUP(Follow[[#This Row],[CODRASTREIO]],Controle_Pedidos[Cód Rastreamento],Controle_Pedidos[Número Pedido Cliente])</f>
        <v>Pedido 1972</v>
      </c>
      <c r="B1825" s="2" t="s">
        <v>19296</v>
      </c>
      <c r="C1825" s="2" t="str">
        <f>Follow[[#This Row],[CODRASTREIO]]&amp;" B"</f>
        <v>CódRastreio1854 B</v>
      </c>
      <c r="D1825" s="52" t="str">
        <f>_xlfn.XLOOKUP(Follow[[#This Row],[Id Pedido]],Controle_Pedidos[Número Pedido Cliente],Controle_Pedidos[Loja])</f>
        <v>BV</v>
      </c>
      <c r="E1825" s="9">
        <f>_xlfn.XLOOKUP(Follow[[#This Row],[Id Pedido]],Controle_Pedidos[Número Pedido Cliente],Controle_Pedidos[Prazo Entrega])</f>
        <v>45878</v>
      </c>
      <c r="F1825" s="9" t="s">
        <v>19434</v>
      </c>
      <c r="G1825" s="9" t="s">
        <v>37</v>
      </c>
      <c r="H1825" s="52" t="s">
        <v>178</v>
      </c>
      <c r="I1825" s="54" t="s">
        <v>178</v>
      </c>
      <c r="J1825" s="144">
        <v>45862</v>
      </c>
      <c r="K1825" s="54" t="s">
        <v>198</v>
      </c>
      <c r="L1825" s="8" t="s">
        <v>124</v>
      </c>
      <c r="M1825" s="8" t="s">
        <v>37</v>
      </c>
      <c r="N1825" s="52" t="str">
        <f>IF(Follow[[#This Row],[DATAATUALIZAÇÃO]]&lt;=Follow[[#This Row],[Prev Entrega]],"Dentro do Prazo","Fora do Prazo")</f>
        <v>Dentro do Prazo</v>
      </c>
      <c r="O182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24/07/2025, referente ao pedido Nº Pedido 1972 Rastreio Pedido 1972, agradecemos a preferência e adoraríamos receber sua avaliação, tendo qualquer dúvida estamos à disposição.
Att
Tem tudo Shop</v>
      </c>
    </row>
    <row r="1826" spans="1:15">
      <c r="A1826" s="52" t="str">
        <f>_xlfn.XLOOKUP(Follow[[#This Row],[CODRASTREIO]],Controle_Pedidos[Cód Rastreamento],Controle_Pedidos[Número Pedido Cliente])</f>
        <v>Pedido 1978</v>
      </c>
      <c r="B1826" s="2" t="s">
        <v>19302</v>
      </c>
      <c r="C1826" s="2" t="str">
        <f>Follow[[#This Row],[CODRASTREIO]]&amp;" B"</f>
        <v>CódRastreio1860 B</v>
      </c>
      <c r="D1826" s="52" t="str">
        <f>_xlfn.XLOOKUP(Follow[[#This Row],[Id Pedido]],Controle_Pedidos[Número Pedido Cliente],Controle_Pedidos[Loja])</f>
        <v>BV</v>
      </c>
      <c r="E1826" s="9">
        <f>_xlfn.XLOOKUP(Follow[[#This Row],[Id Pedido]],Controle_Pedidos[Número Pedido Cliente],Controle_Pedidos[Prazo Entrega])</f>
        <v>45870</v>
      </c>
      <c r="F1826" s="9" t="s">
        <v>19434</v>
      </c>
      <c r="G1826" s="9" t="s">
        <v>37</v>
      </c>
      <c r="H1826" s="52" t="s">
        <v>178</v>
      </c>
      <c r="I1826" s="54" t="s">
        <v>178</v>
      </c>
      <c r="J1826" s="144">
        <v>45859</v>
      </c>
      <c r="K1826" s="54" t="s">
        <v>198</v>
      </c>
      <c r="L1826" s="8" t="s">
        <v>124</v>
      </c>
      <c r="M1826" s="8" t="s">
        <v>37</v>
      </c>
      <c r="N1826" s="52" t="str">
        <f>IF(Follow[[#This Row],[DATAATUALIZAÇÃO]]&lt;=Follow[[#This Row],[Prev Entrega]],"Dentro do Prazo","Fora do Prazo")</f>
        <v>Dentro do Prazo</v>
      </c>
      <c r="O182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21/07/2025, referente ao pedido Nº Pedido 1978 Rastreio Pedido 1978, agradecemos a preferência e adoraríamos receber sua avaliação, tendo qualquer dúvida estamos à disposição.
Att
Tem tudo Shop</v>
      </c>
    </row>
    <row r="1827" spans="1:15">
      <c r="A1827" s="52" t="str">
        <f>_xlfn.XLOOKUP(Follow[[#This Row],[CODRASTREIO]],Controle_Pedidos[Cód Rastreamento],Controle_Pedidos[Número Pedido Cliente])</f>
        <v>Pedido 1994</v>
      </c>
      <c r="B1827" s="2" t="s">
        <v>19318</v>
      </c>
      <c r="C1827" s="2" t="str">
        <f>Follow[[#This Row],[CODRASTREIO]]&amp;" B"</f>
        <v>CódRastreio1876 B</v>
      </c>
      <c r="D1827" s="52" t="str">
        <f>_xlfn.XLOOKUP(Follow[[#This Row],[Id Pedido]],Controle_Pedidos[Número Pedido Cliente],Controle_Pedidos[Loja])</f>
        <v>BV</v>
      </c>
      <c r="E1827" s="9">
        <f>_xlfn.XLOOKUP(Follow[[#This Row],[Id Pedido]],Controle_Pedidos[Número Pedido Cliente],Controle_Pedidos[Prazo Entrega])</f>
        <v>45881</v>
      </c>
      <c r="F1827" s="9" t="s">
        <v>19434</v>
      </c>
      <c r="G1827" s="9" t="s">
        <v>37</v>
      </c>
      <c r="H1827" s="52" t="s">
        <v>178</v>
      </c>
      <c r="I1827" s="54" t="s">
        <v>178</v>
      </c>
      <c r="J1827" s="144">
        <v>45862</v>
      </c>
      <c r="K1827" s="54" t="s">
        <v>198</v>
      </c>
      <c r="L1827" s="8" t="s">
        <v>124</v>
      </c>
      <c r="M1827" s="8" t="s">
        <v>37</v>
      </c>
      <c r="N1827" s="52" t="str">
        <f>IF(Follow[[#This Row],[DATAATUALIZAÇÃO]]&lt;=Follow[[#This Row],[Prev Entrega]],"Dentro do Prazo","Fora do Prazo")</f>
        <v>Dentro do Prazo</v>
      </c>
      <c r="O182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24/07/2025, referente ao pedido Nº Pedido 1994 Rastreio Pedido 1994, agradecemos a preferência e adoraríamos receber sua avaliação, tendo qualquer dúvida estamos à disposição.
Att
Tem tudo Shop</v>
      </c>
    </row>
    <row r="1828" spans="1:15">
      <c r="A1828" s="52" t="str">
        <f>_xlfn.XLOOKUP(Follow[[#This Row],[CODRASTREIO]],Controle_Pedidos[Cód Rastreamento],Controle_Pedidos[Número Pedido Cliente])</f>
        <v>Pedido 2003</v>
      </c>
      <c r="B1828" s="2" t="s">
        <v>19327</v>
      </c>
      <c r="C1828" s="2" t="str">
        <f>Follow[[#This Row],[CODRASTREIO]]&amp;" B"</f>
        <v>CódRastreio1885 B</v>
      </c>
      <c r="D1828" s="52" t="str">
        <f>_xlfn.XLOOKUP(Follow[[#This Row],[Id Pedido]],Controle_Pedidos[Número Pedido Cliente],Controle_Pedidos[Loja])</f>
        <v>BV</v>
      </c>
      <c r="E1828" s="9">
        <f>_xlfn.XLOOKUP(Follow[[#This Row],[Id Pedido]],Controle_Pedidos[Número Pedido Cliente],Controle_Pedidos[Prazo Entrega])</f>
        <v>45869</v>
      </c>
      <c r="F1828" s="9" t="s">
        <v>19434</v>
      </c>
      <c r="G1828" s="9" t="s">
        <v>37</v>
      </c>
      <c r="H1828" s="52" t="s">
        <v>178</v>
      </c>
      <c r="I1828" s="54" t="s">
        <v>178</v>
      </c>
      <c r="J1828" s="144">
        <v>45857</v>
      </c>
      <c r="K1828" s="54" t="s">
        <v>198</v>
      </c>
      <c r="L1828" s="8" t="s">
        <v>124</v>
      </c>
      <c r="M1828" s="8" t="s">
        <v>37</v>
      </c>
      <c r="N1828" s="52" t="str">
        <f>IF(Follow[[#This Row],[DATAATUALIZAÇÃO]]&lt;=Follow[[#This Row],[Prev Entrega]],"Dentro do Prazo","Fora do Prazo")</f>
        <v>Dentro do Prazo</v>
      </c>
      <c r="O182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19/07/2025, referente ao pedido Nº Pedido 2003 Rastreio Pedido 2003, agradecemos a preferência e adoraríamos receber sua avaliação, tendo qualquer dúvida estamos à disposição.
Att
Tem tudo Shop</v>
      </c>
    </row>
    <row r="1829" spans="1:15">
      <c r="A1829" s="52" t="str">
        <f>_xlfn.XLOOKUP(Follow[[#This Row],[CODRASTREIO]],Controle_Pedidos[Cód Rastreamento],Controle_Pedidos[Número Pedido Cliente])</f>
        <v>Pedido 2006</v>
      </c>
      <c r="B1829" s="2" t="s">
        <v>19330</v>
      </c>
      <c r="C1829" s="2" t="str">
        <f>Follow[[#This Row],[CODRASTREIO]]&amp;" B"</f>
        <v>CódRastreio1888 B</v>
      </c>
      <c r="D1829" s="52" t="str">
        <f>_xlfn.XLOOKUP(Follow[[#This Row],[Id Pedido]],Controle_Pedidos[Número Pedido Cliente],Controle_Pedidos[Loja])</f>
        <v>BV</v>
      </c>
      <c r="E1829" s="9">
        <f>_xlfn.XLOOKUP(Follow[[#This Row],[Id Pedido]],Controle_Pedidos[Número Pedido Cliente],Controle_Pedidos[Prazo Entrega])</f>
        <v>45871</v>
      </c>
      <c r="F1829" s="9" t="s">
        <v>19434</v>
      </c>
      <c r="G1829" s="9" t="s">
        <v>37</v>
      </c>
      <c r="H1829" s="52" t="s">
        <v>178</v>
      </c>
      <c r="I1829" s="54" t="s">
        <v>178</v>
      </c>
      <c r="J1829" s="144">
        <v>45859</v>
      </c>
      <c r="K1829" s="54" t="s">
        <v>198</v>
      </c>
      <c r="L1829" s="8" t="s">
        <v>124</v>
      </c>
      <c r="M1829" s="8" t="s">
        <v>37</v>
      </c>
      <c r="N1829" s="52" t="str">
        <f>IF(Follow[[#This Row],[DATAATUALIZAÇÃO]]&lt;=Follow[[#This Row],[Prev Entrega]],"Dentro do Prazo","Fora do Prazo")</f>
        <v>Dentro do Prazo</v>
      </c>
      <c r="O182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21/07/2025, referente ao pedido Nº Pedido 2006 Rastreio Pedido 2006, agradecemos a preferência e adoraríamos receber sua avaliação, tendo qualquer dúvida estamos à disposição.
Att
Tem tudo Shop</v>
      </c>
    </row>
    <row r="1830" spans="1:15">
      <c r="A1830" s="52" t="str">
        <f>_xlfn.XLOOKUP(Follow[[#This Row],[CODRASTREIO]],Controle_Pedidos[Cód Rastreamento],Controle_Pedidos[Número Pedido Cliente])</f>
        <v>Pedido 2008</v>
      </c>
      <c r="B1830" s="2" t="s">
        <v>19332</v>
      </c>
      <c r="C1830" s="2" t="str">
        <f>Follow[[#This Row],[CODRASTREIO]]&amp;" B"</f>
        <v>CódRastreio1890 B</v>
      </c>
      <c r="D1830" s="52" t="str">
        <f>_xlfn.XLOOKUP(Follow[[#This Row],[Id Pedido]],Controle_Pedidos[Número Pedido Cliente],Controle_Pedidos[Loja])</f>
        <v>BV</v>
      </c>
      <c r="E1830" s="9">
        <f>_xlfn.XLOOKUP(Follow[[#This Row],[Id Pedido]],Controle_Pedidos[Número Pedido Cliente],Controle_Pedidos[Prazo Entrega])</f>
        <v>45869</v>
      </c>
      <c r="F1830" s="9" t="s">
        <v>19434</v>
      </c>
      <c r="G1830" s="9" t="s">
        <v>37</v>
      </c>
      <c r="H1830" s="52" t="s">
        <v>178</v>
      </c>
      <c r="I1830" s="54" t="s">
        <v>178</v>
      </c>
      <c r="J1830" s="144">
        <v>45857</v>
      </c>
      <c r="K1830" s="54" t="s">
        <v>198</v>
      </c>
      <c r="L1830" s="8" t="s">
        <v>124</v>
      </c>
      <c r="M1830" s="8" t="s">
        <v>37</v>
      </c>
      <c r="N1830" s="52" t="str">
        <f>IF(Follow[[#This Row],[DATAATUALIZAÇÃO]]&lt;=Follow[[#This Row],[Prev Entrega]],"Dentro do Prazo","Fora do Prazo")</f>
        <v>Dentro do Prazo</v>
      </c>
      <c r="O183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19/07/2025, referente ao pedido Nº Pedido 2008 Rastreio Pedido 2008, agradecemos a preferência e adoraríamos receber sua avaliação, tendo qualquer dúvida estamos à disposição.
Att
Tem tudo Shop</v>
      </c>
    </row>
    <row r="1831" spans="1:15">
      <c r="A1831" s="52" t="str">
        <f>_xlfn.XLOOKUP(Follow[[#This Row],[CODRASTREIO]],Controle_Pedidos[Cód Rastreamento],Controle_Pedidos[Número Pedido Cliente])</f>
        <v>Pedido 2010</v>
      </c>
      <c r="B1831" s="2" t="s">
        <v>19334</v>
      </c>
      <c r="C1831" s="2" t="str">
        <f>Follow[[#This Row],[CODRASTREIO]]&amp;" B"</f>
        <v>CódRastreio1892 B</v>
      </c>
      <c r="D1831" s="52" t="str">
        <f>_xlfn.XLOOKUP(Follow[[#This Row],[Id Pedido]],Controle_Pedidos[Número Pedido Cliente],Controle_Pedidos[Loja])</f>
        <v>BV</v>
      </c>
      <c r="E1831" s="9">
        <f>_xlfn.XLOOKUP(Follow[[#This Row],[Id Pedido]],Controle_Pedidos[Número Pedido Cliente],Controle_Pedidos[Prazo Entrega])</f>
        <v>45869</v>
      </c>
      <c r="F1831" s="9" t="s">
        <v>19434</v>
      </c>
      <c r="G1831" s="9" t="s">
        <v>37</v>
      </c>
      <c r="H1831" s="52" t="s">
        <v>178</v>
      </c>
      <c r="I1831" s="54" t="s">
        <v>178</v>
      </c>
      <c r="J1831" s="144">
        <v>45856</v>
      </c>
      <c r="K1831" s="54" t="s">
        <v>533</v>
      </c>
      <c r="L1831" s="8" t="s">
        <v>184</v>
      </c>
      <c r="M1831" s="8" t="s">
        <v>37</v>
      </c>
      <c r="N1831" s="52" t="str">
        <f>IF(Follow[[#This Row],[DATAATUALIZAÇÃO]]&lt;=Follow[[#This Row],[Prev Entrega]],"Dentro do Prazo","Fora do Prazo")</f>
        <v>Dentro do Prazo</v>
      </c>
      <c r="O183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18/07/2025, referente ao pedido Nº Pedido 2010 Rastreio Pedido 2010, agradecemos a preferência e adoraríamos receber sua avaliação, tendo qualquer dúvida estamos à disposição.
Att
Tem tudo Shop</v>
      </c>
    </row>
    <row r="1832" spans="1:15">
      <c r="A1832" s="52" t="str">
        <f>_xlfn.XLOOKUP(Follow[[#This Row],[CODRASTREIO]],Controle_Pedidos[Cód Rastreamento],Controle_Pedidos[Número Pedido Cliente])</f>
        <v>Pedido 1920</v>
      </c>
      <c r="B1832" s="2" t="s">
        <v>19245</v>
      </c>
      <c r="C1832" s="2" t="str">
        <f>Follow[[#This Row],[CODRASTREIO]]&amp;" B"</f>
        <v>CódRastreio1803 B</v>
      </c>
      <c r="D1832" s="52" t="str">
        <f>_xlfn.XLOOKUP(Follow[[#This Row],[Id Pedido]],Controle_Pedidos[Número Pedido Cliente],Controle_Pedidos[Loja])</f>
        <v>BV</v>
      </c>
      <c r="E1832" s="9">
        <f>_xlfn.XLOOKUP(Follow[[#This Row],[Id Pedido]],Controle_Pedidos[Número Pedido Cliente],Controle_Pedidos[Prazo Entrega])</f>
        <v>45862</v>
      </c>
      <c r="F1832" s="9" t="s">
        <v>19434</v>
      </c>
      <c r="G1832" s="9">
        <v>888700169033094</v>
      </c>
      <c r="H1832" s="52" t="s">
        <v>178</v>
      </c>
      <c r="I1832" s="54" t="s">
        <v>178</v>
      </c>
      <c r="J1832" s="144">
        <v>45864</v>
      </c>
      <c r="K1832" s="54" t="s">
        <v>198</v>
      </c>
      <c r="L1832" s="8" t="s">
        <v>124</v>
      </c>
      <c r="M1832" s="8" t="s">
        <v>37</v>
      </c>
      <c r="N1832" s="52" t="str">
        <f>IF(Follow[[#This Row],[DATAATUALIZAÇÃO]]&lt;=Follow[[#This Row],[Prev Entrega]],"Dentro do Prazo","Fora do Prazo")</f>
        <v>Fora do Prazo</v>
      </c>
      <c r="O183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26/07/2025, referente ao pedido Nº Pedido 1920 Rastreio 888700169033094, agradecemos a preferência e adoraríamos receber sua avaliação, tendo qualquer dúvida estamos à disposição.
Att
Tem tudo Shop</v>
      </c>
    </row>
    <row r="1833" spans="1:15">
      <c r="A1833" s="52" t="str">
        <f>_xlfn.XLOOKUP(Follow[[#This Row],[CODRASTREIO]],Controle_Pedidos[Cód Rastreamento],Controle_Pedidos[Número Pedido Cliente])</f>
        <v>Pedido 1969</v>
      </c>
      <c r="B1833" s="2" t="s">
        <v>19293</v>
      </c>
      <c r="C1833" s="2" t="str">
        <f>Follow[[#This Row],[CODRASTREIO]]&amp;" B"</f>
        <v>CódRastreio1851 B</v>
      </c>
      <c r="D1833" s="52" t="str">
        <f>_xlfn.XLOOKUP(Follow[[#This Row],[Id Pedido]],Controle_Pedidos[Número Pedido Cliente],Controle_Pedidos[Loja])</f>
        <v>BV</v>
      </c>
      <c r="E1833" s="9">
        <f>_xlfn.XLOOKUP(Follow[[#This Row],[Id Pedido]],Controle_Pedidos[Número Pedido Cliente],Controle_Pedidos[Prazo Entrega])</f>
        <v>45871</v>
      </c>
      <c r="F1833" s="9" t="s">
        <v>19434</v>
      </c>
      <c r="G1833" s="9" t="s">
        <v>37</v>
      </c>
      <c r="H1833" s="52" t="s">
        <v>178</v>
      </c>
      <c r="I1833" s="54" t="s">
        <v>178</v>
      </c>
      <c r="J1833" s="144">
        <v>45860</v>
      </c>
      <c r="K1833" s="54" t="s">
        <v>198</v>
      </c>
      <c r="L1833" s="8" t="s">
        <v>124</v>
      </c>
      <c r="M1833" s="8" t="s">
        <v>37</v>
      </c>
      <c r="N1833" s="52" t="str">
        <f>IF(Follow[[#This Row],[DATAATUALIZAÇÃO]]&lt;=Follow[[#This Row],[Prev Entrega]],"Dentro do Prazo","Fora do Prazo")</f>
        <v>Dentro do Prazo</v>
      </c>
      <c r="O183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1969 Rastreio Pedido 1969, agradecemos a preferência e adoraríamos receber sua avaliação, tendo qualquer dúvida estamos à disposição.
Att
Tem tudo Shop</v>
      </c>
    </row>
    <row r="1834" spans="1:15">
      <c r="A1834" s="52" t="str">
        <f>_xlfn.XLOOKUP(Follow[[#This Row],[CODRASTREIO]],Controle_Pedidos[Cód Rastreamento],Controle_Pedidos[Número Pedido Cliente])</f>
        <v>Pedido 1974</v>
      </c>
      <c r="B1834" s="2" t="s">
        <v>19298</v>
      </c>
      <c r="C1834" s="2" t="str">
        <f>Follow[[#This Row],[CODRASTREIO]]&amp;" B"</f>
        <v>CódRastreio1856 B</v>
      </c>
      <c r="D1834" s="52" t="str">
        <f>_xlfn.XLOOKUP(Follow[[#This Row],[Id Pedido]],Controle_Pedidos[Número Pedido Cliente],Controle_Pedidos[Loja])</f>
        <v>BV</v>
      </c>
      <c r="E1834" s="9">
        <f>_xlfn.XLOOKUP(Follow[[#This Row],[Id Pedido]],Controle_Pedidos[Número Pedido Cliente],Controle_Pedidos[Prazo Entrega])</f>
        <v>45868</v>
      </c>
      <c r="F1834" s="9" t="s">
        <v>19434</v>
      </c>
      <c r="G1834" s="9" t="s">
        <v>37</v>
      </c>
      <c r="H1834" s="52" t="s">
        <v>178</v>
      </c>
      <c r="I1834" s="54" t="s">
        <v>178</v>
      </c>
      <c r="J1834" s="144">
        <v>45859</v>
      </c>
      <c r="K1834" s="54" t="s">
        <v>198</v>
      </c>
      <c r="L1834" s="8" t="s">
        <v>124</v>
      </c>
      <c r="M1834" s="8" t="s">
        <v>37</v>
      </c>
      <c r="N1834" s="52" t="str">
        <f>IF(Follow[[#This Row],[DATAATUALIZAÇÃO]]&lt;=Follow[[#This Row],[Prev Entrega]],"Dentro do Prazo","Fora do Prazo")</f>
        <v>Dentro do Prazo</v>
      </c>
      <c r="O183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1974 Rastreio Pedido 1974, agradecemos a preferência e adoraríamos receber sua avaliação, tendo qualquer dúvida estamos à disposição.
Att
Tem tudo Shop</v>
      </c>
    </row>
    <row r="1835" spans="1:15">
      <c r="A1835" s="52" t="str">
        <f>_xlfn.XLOOKUP(Follow[[#This Row],[CODRASTREIO]],Controle_Pedidos[Cód Rastreamento],Controle_Pedidos[Número Pedido Cliente])</f>
        <v>Pedido 2002</v>
      </c>
      <c r="B1835" s="2" t="s">
        <v>19326</v>
      </c>
      <c r="C1835" s="2" t="str">
        <f>Follow[[#This Row],[CODRASTREIO]]&amp;" B"</f>
        <v>CódRastreio1884 B</v>
      </c>
      <c r="D1835" s="52" t="str">
        <f>_xlfn.XLOOKUP(Follow[[#This Row],[Id Pedido]],Controle_Pedidos[Número Pedido Cliente],Controle_Pedidos[Loja])</f>
        <v>BV</v>
      </c>
      <c r="E1835" s="9">
        <f>_xlfn.XLOOKUP(Follow[[#This Row],[Id Pedido]],Controle_Pedidos[Número Pedido Cliente],Controle_Pedidos[Prazo Entrega])</f>
        <v>45875</v>
      </c>
      <c r="F1835" s="9" t="s">
        <v>19434</v>
      </c>
      <c r="G1835" s="9" t="s">
        <v>37</v>
      </c>
      <c r="H1835" s="52" t="s">
        <v>178</v>
      </c>
      <c r="I1835" s="54" t="s">
        <v>178</v>
      </c>
      <c r="J1835" s="144">
        <v>45859</v>
      </c>
      <c r="K1835" s="54" t="s">
        <v>198</v>
      </c>
      <c r="L1835" s="8" t="s">
        <v>124</v>
      </c>
      <c r="M1835" s="8" t="s">
        <v>37</v>
      </c>
      <c r="N1835" s="52" t="str">
        <f>IF(Follow[[#This Row],[DATAATUALIZAÇÃO]]&lt;=Follow[[#This Row],[Prev Entrega]],"Dentro do Prazo","Fora do Prazo")</f>
        <v>Dentro do Prazo</v>
      </c>
      <c r="O183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2002 Rastreio Pedido 2002, agradecemos a preferência e adoraríamos receber sua avaliação, tendo qualquer dúvida estamos à disposição.
Att
Tem tudo Shop</v>
      </c>
    </row>
    <row r="1836" spans="1:15">
      <c r="A1836" s="52" t="str">
        <f>_xlfn.XLOOKUP(Follow[[#This Row],[CODRASTREIO]],Controle_Pedidos[Cód Rastreamento],Controle_Pedidos[Número Pedido Cliente])</f>
        <v>Pedido 1922</v>
      </c>
      <c r="B1836" s="2" t="s">
        <v>19247</v>
      </c>
      <c r="C1836" s="2" t="str">
        <f>Follow[[#This Row],[CODRASTREIO]]&amp;" B"</f>
        <v>CódRastreio1805 B</v>
      </c>
      <c r="D1836" s="52" t="str">
        <f>_xlfn.XLOOKUP(Follow[[#This Row],[Id Pedido]],Controle_Pedidos[Número Pedido Cliente],Controle_Pedidos[Loja])</f>
        <v>BV</v>
      </c>
      <c r="E1836" s="9">
        <f>_xlfn.XLOOKUP(Follow[[#This Row],[Id Pedido]],Controle_Pedidos[Número Pedido Cliente],Controle_Pedidos[Prazo Entrega])</f>
        <v>45869</v>
      </c>
      <c r="F1836" s="9" t="s">
        <v>19434</v>
      </c>
      <c r="G1836" s="9" t="s">
        <v>37</v>
      </c>
      <c r="H1836" s="52" t="s">
        <v>178</v>
      </c>
      <c r="I1836" s="54" t="s">
        <v>178</v>
      </c>
      <c r="J1836" s="144">
        <v>45859</v>
      </c>
      <c r="K1836" s="54" t="s">
        <v>198</v>
      </c>
      <c r="L1836" s="8" t="s">
        <v>124</v>
      </c>
      <c r="M1836" s="8" t="s">
        <v>37</v>
      </c>
      <c r="N1836" s="52" t="str">
        <f>IF(Follow[[#This Row],[DATAATUALIZAÇÃO]]&lt;=Follow[[#This Row],[Prev Entrega]],"Dentro do Prazo","Fora do Prazo")</f>
        <v>Dentro do Prazo</v>
      </c>
      <c r="O183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1922 Rastreio Pedido 1922, agradecemos a preferência e adoraríamos receber sua avaliação, tendo qualquer dúvida estamos à disposição.
Att
Tem tudo Shop</v>
      </c>
    </row>
    <row r="1837" spans="1:15">
      <c r="A1837" s="52" t="str">
        <f>_xlfn.XLOOKUP(Follow[[#This Row],[CODRASTREIO]],Controle_Pedidos[Cód Rastreamento],Controle_Pedidos[Número Pedido Cliente])</f>
        <v>Pedido 1924</v>
      </c>
      <c r="B1837" s="2" t="s">
        <v>19249</v>
      </c>
      <c r="C1837" s="2" t="str">
        <f>Follow[[#This Row],[CODRASTREIO]]&amp;" B"</f>
        <v>CódRastreio1807 B</v>
      </c>
      <c r="D1837" s="52" t="str">
        <f>_xlfn.XLOOKUP(Follow[[#This Row],[Id Pedido]],Controle_Pedidos[Número Pedido Cliente],Controle_Pedidos[Loja])</f>
        <v>BV</v>
      </c>
      <c r="E1837" s="9">
        <f>_xlfn.XLOOKUP(Follow[[#This Row],[Id Pedido]],Controle_Pedidos[Número Pedido Cliente],Controle_Pedidos[Prazo Entrega])</f>
        <v>45869</v>
      </c>
      <c r="F1837" s="9" t="s">
        <v>19434</v>
      </c>
      <c r="G1837" s="9" t="s">
        <v>37</v>
      </c>
      <c r="H1837" s="52" t="s">
        <v>178</v>
      </c>
      <c r="I1837" s="54" t="s">
        <v>178</v>
      </c>
      <c r="J1837" s="144">
        <v>45859</v>
      </c>
      <c r="K1837" s="54" t="s">
        <v>198</v>
      </c>
      <c r="L1837" s="8" t="s">
        <v>124</v>
      </c>
      <c r="M1837" s="8" t="s">
        <v>37</v>
      </c>
      <c r="N1837" s="52" t="str">
        <f>IF(Follow[[#This Row],[DATAATUALIZAÇÃO]]&lt;=Follow[[#This Row],[Prev Entrega]],"Dentro do Prazo","Fora do Prazo")</f>
        <v>Dentro do Prazo</v>
      </c>
      <c r="O183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1924 Rastreio Pedido 1924, agradecemos a preferência e adoraríamos receber sua avaliação, tendo qualquer dúvida estamos à disposição.
Att
Tem tudo Shop</v>
      </c>
    </row>
    <row r="1838" spans="1:15">
      <c r="A1838" s="52" t="str">
        <f>_xlfn.XLOOKUP(Follow[[#This Row],[CODRASTREIO]],Controle_Pedidos[Cód Rastreamento],Controle_Pedidos[Número Pedido Cliente])</f>
        <v>Pedido 1929</v>
      </c>
      <c r="B1838" s="2" t="s">
        <v>19254</v>
      </c>
      <c r="C1838" s="2" t="str">
        <f>Follow[[#This Row],[CODRASTREIO]]&amp;" B"</f>
        <v>CódRastreio1812 B</v>
      </c>
      <c r="D1838" s="52" t="str">
        <f>_xlfn.XLOOKUP(Follow[[#This Row],[Id Pedido]],Controle_Pedidos[Número Pedido Cliente],Controle_Pedidos[Loja])</f>
        <v>BV</v>
      </c>
      <c r="E1838" s="9">
        <f>_xlfn.XLOOKUP(Follow[[#This Row],[Id Pedido]],Controle_Pedidos[Número Pedido Cliente],Controle_Pedidos[Prazo Entrega])</f>
        <v>45864</v>
      </c>
      <c r="F1838" s="9" t="s">
        <v>19434</v>
      </c>
      <c r="G1838" s="9" t="s">
        <v>37</v>
      </c>
      <c r="H1838" s="52" t="s">
        <v>178</v>
      </c>
      <c r="I1838" s="54" t="s">
        <v>178</v>
      </c>
      <c r="J1838" s="144">
        <v>45859</v>
      </c>
      <c r="K1838" s="54" t="s">
        <v>198</v>
      </c>
      <c r="L1838" s="8" t="s">
        <v>124</v>
      </c>
      <c r="M1838" s="8" t="s">
        <v>37</v>
      </c>
      <c r="N1838" s="52" t="str">
        <f>IF(Follow[[#This Row],[DATAATUALIZAÇÃO]]&lt;=Follow[[#This Row],[Prev Entrega]],"Dentro do Prazo","Fora do Prazo")</f>
        <v>Dentro do Prazo</v>
      </c>
      <c r="O183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1929 Rastreio Pedido 1929, agradecemos a preferência e adoraríamos receber sua avaliação, tendo qualquer dúvida estamos à disposição.
Att
Tem tudo Shop</v>
      </c>
    </row>
    <row r="1839" spans="1:15">
      <c r="A1839" s="52" t="str">
        <f>_xlfn.XLOOKUP(Follow[[#This Row],[CODRASTREIO]],Controle_Pedidos[Cód Rastreamento],Controle_Pedidos[Número Pedido Cliente])</f>
        <v>Pedido 1930</v>
      </c>
      <c r="B1839" s="2" t="s">
        <v>19255</v>
      </c>
      <c r="C1839" s="2" t="str">
        <f>Follow[[#This Row],[CODRASTREIO]]&amp;" B"</f>
        <v>CódRastreio1813 B</v>
      </c>
      <c r="D1839" s="52" t="str">
        <f>_xlfn.XLOOKUP(Follow[[#This Row],[Id Pedido]],Controle_Pedidos[Número Pedido Cliente],Controle_Pedidos[Loja])</f>
        <v>BV</v>
      </c>
      <c r="E1839" s="9">
        <f>_xlfn.XLOOKUP(Follow[[#This Row],[Id Pedido]],Controle_Pedidos[Número Pedido Cliente],Controle_Pedidos[Prazo Entrega])</f>
        <v>45870</v>
      </c>
      <c r="F1839" s="9" t="s">
        <v>19434</v>
      </c>
      <c r="G1839" s="9" t="s">
        <v>37</v>
      </c>
      <c r="H1839" s="52" t="s">
        <v>178</v>
      </c>
      <c r="I1839" s="54" t="s">
        <v>178</v>
      </c>
      <c r="J1839" s="144">
        <v>45859</v>
      </c>
      <c r="K1839" s="54" t="s">
        <v>198</v>
      </c>
      <c r="L1839" s="8" t="s">
        <v>124</v>
      </c>
      <c r="M1839" s="8" t="s">
        <v>37</v>
      </c>
      <c r="N1839" s="52" t="str">
        <f>IF(Follow[[#This Row],[DATAATUALIZAÇÃO]]&lt;=Follow[[#This Row],[Prev Entrega]],"Dentro do Prazo","Fora do Prazo")</f>
        <v>Dentro do Prazo</v>
      </c>
      <c r="O183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1930 Rastreio Pedido 1930, agradecemos a preferência e adoraríamos receber sua avaliação, tendo qualquer dúvida estamos à disposição.
Att
Tem tudo Shop</v>
      </c>
    </row>
    <row r="1840" spans="1:15">
      <c r="A1840" s="52" t="str">
        <f>_xlfn.XLOOKUP(Follow[[#This Row],[CODRASTREIO]],Controle_Pedidos[Cód Rastreamento],Controle_Pedidos[Número Pedido Cliente])</f>
        <v>Pedido 1934</v>
      </c>
      <c r="B1840" s="2" t="s">
        <v>19259</v>
      </c>
      <c r="C1840" s="2" t="str">
        <f>Follow[[#This Row],[CODRASTREIO]]&amp;" B"</f>
        <v>CódRastreio1817 B</v>
      </c>
      <c r="D1840" s="52" t="str">
        <f>_xlfn.XLOOKUP(Follow[[#This Row],[Id Pedido]],Controle_Pedidos[Número Pedido Cliente],Controle_Pedidos[Loja])</f>
        <v>GO</v>
      </c>
      <c r="E1840" s="9">
        <f>_xlfn.XLOOKUP(Follow[[#This Row],[Id Pedido]],Controle_Pedidos[Número Pedido Cliente],Controle_Pedidos[Prazo Entrega])</f>
        <v>45875</v>
      </c>
      <c r="F1840" s="9" t="s">
        <v>19434</v>
      </c>
      <c r="G1840" s="9" t="s">
        <v>37</v>
      </c>
      <c r="H1840" s="52" t="s">
        <v>178</v>
      </c>
      <c r="I1840" s="54" t="s">
        <v>178</v>
      </c>
      <c r="J1840" s="144">
        <v>45866</v>
      </c>
      <c r="K1840" s="54" t="s">
        <v>198</v>
      </c>
      <c r="L1840" s="8" t="s">
        <v>124</v>
      </c>
      <c r="M1840" s="8" t="s">
        <v>37</v>
      </c>
      <c r="N1840" s="52" t="str">
        <f>IF(Follow[[#This Row],[DATAATUALIZAÇÃO]]&lt;=Follow[[#This Row],[Prev Entrega]],"Dentro do Prazo","Fora do Prazo")</f>
        <v>Dentro do Prazo</v>
      </c>
      <c r="O184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28/07/2025, referente ao pedido Nº Pedido 1934 Rastreio Pedido 1934, agradecemos a preferência e adoraríamos receber sua avaliação, tendo qualquer dúvida estamos à disposição.
Att
Sec Variedades</v>
      </c>
    </row>
    <row r="1841" spans="1:15">
      <c r="A1841" s="52" t="str">
        <f>_xlfn.XLOOKUP(Follow[[#This Row],[CODRASTREIO]],Controle_Pedidos[Cód Rastreamento],Controle_Pedidos[Número Pedido Cliente])</f>
        <v>Pedido 1947</v>
      </c>
      <c r="B1841" s="2" t="s">
        <v>19272</v>
      </c>
      <c r="C1841" s="2" t="str">
        <f>Follow[[#This Row],[CODRASTREIO]]&amp;" B"</f>
        <v>CódRastreio1830 B</v>
      </c>
      <c r="D1841" s="52" t="str">
        <f>_xlfn.XLOOKUP(Follow[[#This Row],[Id Pedido]],Controle_Pedidos[Número Pedido Cliente],Controle_Pedidos[Loja])</f>
        <v>BV</v>
      </c>
      <c r="E1841" s="9">
        <f>_xlfn.XLOOKUP(Follow[[#This Row],[Id Pedido]],Controle_Pedidos[Número Pedido Cliente],Controle_Pedidos[Prazo Entrega])</f>
        <v>45864</v>
      </c>
      <c r="F1841" s="9" t="s">
        <v>19434</v>
      </c>
      <c r="G1841" s="9" t="s">
        <v>37</v>
      </c>
      <c r="H1841" s="52" t="s">
        <v>178</v>
      </c>
      <c r="I1841" s="54" t="s">
        <v>178</v>
      </c>
      <c r="J1841" s="144">
        <v>45856</v>
      </c>
      <c r="K1841" s="54" t="s">
        <v>198</v>
      </c>
      <c r="L1841" s="8" t="s">
        <v>124</v>
      </c>
      <c r="M1841" s="8" t="s">
        <v>37</v>
      </c>
      <c r="N1841" s="52" t="str">
        <f>IF(Follow[[#This Row],[DATAATUALIZAÇÃO]]&lt;=Follow[[#This Row],[Prev Entrega]],"Dentro do Prazo","Fora do Prazo")</f>
        <v>Dentro do Prazo</v>
      </c>
      <c r="O184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18/07/2025, referente ao pedido Nº Pedido 1947 Rastreio Pedido 1947, agradecemos a preferência e adoraríamos receber sua avaliação, tendo qualquer dúvida estamos à disposição.
Att
Tem tudo Shop</v>
      </c>
    </row>
    <row r="1842" spans="1:15">
      <c r="A1842" s="52" t="str">
        <f>_xlfn.XLOOKUP(Follow[[#This Row],[CODRASTREIO]],Controle_Pedidos[Cód Rastreamento],Controle_Pedidos[Número Pedido Cliente])</f>
        <v>Pedido 1960</v>
      </c>
      <c r="B1842" s="2" t="s">
        <v>19285</v>
      </c>
      <c r="C1842" s="2" t="str">
        <f>Follow[[#This Row],[CODRASTREIO]]&amp;" B"</f>
        <v>CódRastreio1843 B</v>
      </c>
      <c r="D1842" s="52" t="str">
        <f>_xlfn.XLOOKUP(Follow[[#This Row],[Id Pedido]],Controle_Pedidos[Número Pedido Cliente],Controle_Pedidos[Loja])</f>
        <v>BV</v>
      </c>
      <c r="E1842" s="9">
        <f>_xlfn.XLOOKUP(Follow[[#This Row],[Id Pedido]],Controle_Pedidos[Número Pedido Cliente],Controle_Pedidos[Prazo Entrega])</f>
        <v>45869</v>
      </c>
      <c r="F1842" s="9" t="s">
        <v>19434</v>
      </c>
      <c r="G1842" s="9" t="s">
        <v>37</v>
      </c>
      <c r="H1842" s="52" t="s">
        <v>178</v>
      </c>
      <c r="I1842" s="54" t="s">
        <v>178</v>
      </c>
      <c r="J1842" s="144">
        <v>45859</v>
      </c>
      <c r="K1842" s="54" t="s">
        <v>198</v>
      </c>
      <c r="L1842" s="8" t="s">
        <v>124</v>
      </c>
      <c r="M1842" s="8" t="s">
        <v>37</v>
      </c>
      <c r="N1842" s="52" t="str">
        <f>IF(Follow[[#This Row],[DATAATUALIZAÇÃO]]&lt;=Follow[[#This Row],[Prev Entrega]],"Dentro do Prazo","Fora do Prazo")</f>
        <v>Dentro do Prazo</v>
      </c>
      <c r="O184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1960 Rastreio Pedido 1960, agradecemos a preferência e adoraríamos receber sua avaliação, tendo qualquer dúvida estamos à disposição.
Att
Tem tudo Shop</v>
      </c>
    </row>
    <row r="1843" spans="1:15">
      <c r="A1843" s="52" t="str">
        <f>_xlfn.XLOOKUP(Follow[[#This Row],[CODRASTREIO]],Controle_Pedidos[Cód Rastreamento],Controle_Pedidos[Número Pedido Cliente])</f>
        <v>Pedido 2005</v>
      </c>
      <c r="B1843" s="2" t="s">
        <v>19329</v>
      </c>
      <c r="C1843" s="2" t="str">
        <f>Follow[[#This Row],[CODRASTREIO]]&amp;" B"</f>
        <v>CódRastreio1887 B</v>
      </c>
      <c r="D1843" s="52" t="str">
        <f>_xlfn.XLOOKUP(Follow[[#This Row],[Id Pedido]],Controle_Pedidos[Número Pedido Cliente],Controle_Pedidos[Loja])</f>
        <v>BV</v>
      </c>
      <c r="E1843" s="9">
        <f>_xlfn.XLOOKUP(Follow[[#This Row],[Id Pedido]],Controle_Pedidos[Número Pedido Cliente],Controle_Pedidos[Prazo Entrega])</f>
        <v>45871</v>
      </c>
      <c r="F1843" s="9" t="s">
        <v>19434</v>
      </c>
      <c r="G1843" s="9" t="s">
        <v>37</v>
      </c>
      <c r="H1843" s="52" t="s">
        <v>178</v>
      </c>
      <c r="I1843" s="54" t="s">
        <v>178</v>
      </c>
      <c r="J1843" s="144">
        <v>45859</v>
      </c>
      <c r="K1843" s="54" t="s">
        <v>198</v>
      </c>
      <c r="L1843" s="8" t="s">
        <v>124</v>
      </c>
      <c r="M1843" s="8" t="s">
        <v>37</v>
      </c>
      <c r="N1843" s="52" t="str">
        <f>IF(Follow[[#This Row],[DATAATUALIZAÇÃO]]&lt;=Follow[[#This Row],[Prev Entrega]],"Dentro do Prazo","Fora do Prazo")</f>
        <v>Dentro do Prazo</v>
      </c>
      <c r="O184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21/07/2025, referente ao pedido Nº Pedido 2005 Rastreio Pedido 2005, agradecemos a preferência e adoraríamos receber sua avaliação, tendo qualquer dúvida estamos à disposição.
Att
Tem tudo Shop</v>
      </c>
    </row>
    <row r="1844" spans="1:15">
      <c r="A1844" s="52" t="str">
        <f>_xlfn.XLOOKUP(Follow[[#This Row],[CODRASTREIO]],Controle_Pedidos[Cód Rastreamento],Controle_Pedidos[Número Pedido Cliente])</f>
        <v>Pedido 2012</v>
      </c>
      <c r="B1844" s="2" t="s">
        <v>19336</v>
      </c>
      <c r="C1844" s="2" t="str">
        <f>Follow[[#This Row],[CODRASTREIO]]&amp;" B"</f>
        <v>CódRastreio1894 B</v>
      </c>
      <c r="D1844" s="52" t="str">
        <f>_xlfn.XLOOKUP(Follow[[#This Row],[Id Pedido]],Controle_Pedidos[Número Pedido Cliente],Controle_Pedidos[Loja])</f>
        <v>GO</v>
      </c>
      <c r="E1844" s="9">
        <f>_xlfn.XLOOKUP(Follow[[#This Row],[Id Pedido]],Controle_Pedidos[Número Pedido Cliente],Controle_Pedidos[Prazo Entrega])</f>
        <v>45874</v>
      </c>
      <c r="F1844" s="9" t="s">
        <v>19435</v>
      </c>
      <c r="G1844" s="9" t="s">
        <v>37</v>
      </c>
      <c r="H1844" s="52" t="s">
        <v>178</v>
      </c>
      <c r="I1844" s="54" t="s">
        <v>178</v>
      </c>
      <c r="J1844" s="144">
        <v>45868</v>
      </c>
      <c r="K1844" s="54" t="s">
        <v>198</v>
      </c>
      <c r="L1844" s="8" t="s">
        <v>124</v>
      </c>
      <c r="M1844" s="8" t="s">
        <v>37</v>
      </c>
      <c r="N1844" s="52" t="str">
        <f>IF(Follow[[#This Row],[DATAATUALIZAÇÃO]]&lt;=Follow[[#This Row],[Prev Entrega]],"Dentro do Prazo","Fora do Prazo")</f>
        <v>Dentro do Prazo</v>
      </c>
      <c r="O1844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30/07/2025, referente ao pedido Nº Pedido 2012 Rastreio Pedido 2012, agradecemos a preferência e adoraríamos receber sua avaliação, tendo qualquer dúvida estamos à disposição.
Att
Sec Variedades</v>
      </c>
    </row>
    <row r="1845" spans="1:15">
      <c r="A1845" s="52" t="str">
        <f>_xlfn.XLOOKUP(Follow[[#This Row],[CODRASTREIO]],Controle_Pedidos[Cód Rastreamento],Controle_Pedidos[Número Pedido Cliente])</f>
        <v>Pedido 2014</v>
      </c>
      <c r="B1845" s="2" t="s">
        <v>19338</v>
      </c>
      <c r="C1845" s="2" t="str">
        <f>Follow[[#This Row],[CODRASTREIO]]&amp;" B"</f>
        <v>CódRastreio1896 B</v>
      </c>
      <c r="D1845" s="52" t="str">
        <f>_xlfn.XLOOKUP(Follow[[#This Row],[Id Pedido]],Controle_Pedidos[Número Pedido Cliente],Controle_Pedidos[Loja])</f>
        <v>GO</v>
      </c>
      <c r="E1845" s="9">
        <f>_xlfn.XLOOKUP(Follow[[#This Row],[Id Pedido]],Controle_Pedidos[Número Pedido Cliente],Controle_Pedidos[Prazo Entrega])</f>
        <v>45881</v>
      </c>
      <c r="F1845" s="9" t="s">
        <v>19435</v>
      </c>
      <c r="G1845" s="9" t="s">
        <v>37</v>
      </c>
      <c r="H1845" s="52" t="s">
        <v>178</v>
      </c>
      <c r="I1845" s="54" t="s">
        <v>178</v>
      </c>
      <c r="J1845" s="144">
        <v>45861</v>
      </c>
      <c r="K1845" s="54" t="s">
        <v>198</v>
      </c>
      <c r="L1845" s="8" t="s">
        <v>124</v>
      </c>
      <c r="M1845" s="8" t="s">
        <v>37</v>
      </c>
      <c r="N1845" s="52" t="str">
        <f>IF(Follow[[#This Row],[DATAATUALIZAÇÃO]]&lt;=Follow[[#This Row],[Prev Entrega]],"Dentro do Prazo","Fora do Prazo")</f>
        <v>Dentro do Prazo</v>
      </c>
      <c r="O184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23/07/2025, referente ao pedido Nº Pedido 2014 Rastreio Pedido 2014, agradecemos a preferência e adoraríamos receber sua avaliação, tendo qualquer dúvida estamos à disposição.
Att
Sec Variedades</v>
      </c>
    </row>
    <row r="1846" spans="1:15">
      <c r="A1846" s="52" t="str">
        <f>_xlfn.XLOOKUP(Follow[[#This Row],[CODRASTREIO]],Controle_Pedidos[Cód Rastreamento],Controle_Pedidos[Número Pedido Cliente])</f>
        <v>Pedido 1931</v>
      </c>
      <c r="B1846" s="2" t="s">
        <v>19256</v>
      </c>
      <c r="C1846" s="2" t="str">
        <f>Follow[[#This Row],[CODRASTREIO]]&amp;" B"</f>
        <v>CódRastreio1814 B</v>
      </c>
      <c r="D1846" s="52" t="str">
        <f>_xlfn.XLOOKUP(Follow[[#This Row],[Id Pedido]],Controle_Pedidos[Número Pedido Cliente],Controle_Pedidos[Loja])</f>
        <v>BV</v>
      </c>
      <c r="E1846" s="9">
        <f>_xlfn.XLOOKUP(Follow[[#This Row],[Id Pedido]],Controle_Pedidos[Número Pedido Cliente],Controle_Pedidos[Prazo Entrega])</f>
        <v>45868</v>
      </c>
      <c r="F1846" s="9" t="s">
        <v>19434</v>
      </c>
      <c r="G1846" s="9" t="s">
        <v>37</v>
      </c>
      <c r="H1846" s="52" t="s">
        <v>178</v>
      </c>
      <c r="I1846" s="54" t="s">
        <v>178</v>
      </c>
      <c r="J1846" s="144">
        <v>45860</v>
      </c>
      <c r="K1846" s="54" t="s">
        <v>198</v>
      </c>
      <c r="L1846" s="8" t="s">
        <v>124</v>
      </c>
      <c r="M1846" s="8" t="s">
        <v>37</v>
      </c>
      <c r="N1846" s="52" t="str">
        <f>IF(Follow[[#This Row],[DATAATUALIZAÇÃO]]&lt;=Follow[[#This Row],[Prev Entrega]],"Dentro do Prazo","Fora do Prazo")</f>
        <v>Dentro do Prazo</v>
      </c>
      <c r="O184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1931 Rastreio Pedido 1931, agradecemos a preferência e adoraríamos receber sua avaliação, tendo qualquer dúvida estamos à disposição.
Att
Tem tudo Shop</v>
      </c>
    </row>
    <row r="1847" spans="1:15">
      <c r="A1847" s="52" t="str">
        <f>_xlfn.XLOOKUP(Follow[[#This Row],[CODRASTREIO]],Controle_Pedidos[Cód Rastreamento],Controle_Pedidos[Número Pedido Cliente])</f>
        <v>Pedido 1932</v>
      </c>
      <c r="B1847" s="2" t="s">
        <v>19257</v>
      </c>
      <c r="C1847" s="2" t="str">
        <f>Follow[[#This Row],[CODRASTREIO]]&amp;" B"</f>
        <v>CódRastreio1815 B</v>
      </c>
      <c r="D1847" s="52" t="str">
        <f>_xlfn.XLOOKUP(Follow[[#This Row],[Id Pedido]],Controle_Pedidos[Número Pedido Cliente],Controle_Pedidos[Loja])</f>
        <v>BV</v>
      </c>
      <c r="E1847" s="9">
        <f>_xlfn.XLOOKUP(Follow[[#This Row],[Id Pedido]],Controle_Pedidos[Número Pedido Cliente],Controle_Pedidos[Prazo Entrega])</f>
        <v>45864</v>
      </c>
      <c r="F1847" s="9" t="s">
        <v>19434</v>
      </c>
      <c r="G1847" s="9" t="s">
        <v>37</v>
      </c>
      <c r="H1847" s="52" t="s">
        <v>178</v>
      </c>
      <c r="I1847" s="54" t="s">
        <v>178</v>
      </c>
      <c r="J1847" s="144">
        <v>45859</v>
      </c>
      <c r="K1847" s="54" t="s">
        <v>198</v>
      </c>
      <c r="L1847" s="8" t="s">
        <v>124</v>
      </c>
      <c r="M1847" s="8" t="s">
        <v>37</v>
      </c>
      <c r="N1847" s="52" t="str">
        <f>IF(Follow[[#This Row],[DATAATUALIZAÇÃO]]&lt;=Follow[[#This Row],[Prev Entrega]],"Dentro do Prazo","Fora do Prazo")</f>
        <v>Dentro do Prazo</v>
      </c>
      <c r="O184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1932 Rastreio Pedido 1932, agradecemos a preferência e adoraríamos receber sua avaliação, tendo qualquer dúvida estamos à disposição.
Att
Tem tudo Shop</v>
      </c>
    </row>
    <row r="1848" spans="1:15">
      <c r="A1848" s="52" t="str">
        <f>_xlfn.XLOOKUP(Follow[[#This Row],[CODRASTREIO]],Controle_Pedidos[Cód Rastreamento],Controle_Pedidos[Número Pedido Cliente])</f>
        <v>Pedido 1933</v>
      </c>
      <c r="B1848" s="2" t="s">
        <v>19258</v>
      </c>
      <c r="C1848" s="2" t="str">
        <f>Follow[[#This Row],[CODRASTREIO]]&amp;" B"</f>
        <v>CódRastreio1816 B</v>
      </c>
      <c r="D1848" s="52" t="str">
        <f>_xlfn.XLOOKUP(Follow[[#This Row],[Id Pedido]],Controle_Pedidos[Número Pedido Cliente],Controle_Pedidos[Loja])</f>
        <v>BV</v>
      </c>
      <c r="E1848" s="9">
        <f>_xlfn.XLOOKUP(Follow[[#This Row],[Id Pedido]],Controle_Pedidos[Número Pedido Cliente],Controle_Pedidos[Prazo Entrega])</f>
        <v>45864</v>
      </c>
      <c r="F1848" s="9" t="s">
        <v>19434</v>
      </c>
      <c r="G1848" s="9" t="s">
        <v>37</v>
      </c>
      <c r="H1848" s="52" t="s">
        <v>178</v>
      </c>
      <c r="I1848" s="54" t="s">
        <v>178</v>
      </c>
      <c r="J1848" s="144">
        <v>45859</v>
      </c>
      <c r="K1848" s="54" t="s">
        <v>198</v>
      </c>
      <c r="L1848" s="8" t="s">
        <v>124</v>
      </c>
      <c r="M1848" s="8" t="s">
        <v>37</v>
      </c>
      <c r="N1848" s="52" t="str">
        <f>IF(Follow[[#This Row],[DATAATUALIZAÇÃO]]&lt;=Follow[[#This Row],[Prev Entrega]],"Dentro do Prazo","Fora do Prazo")</f>
        <v>Dentro do Prazo</v>
      </c>
      <c r="O184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1933 Rastreio Pedido 1933, agradecemos a preferência e adoraríamos receber sua avaliação, tendo qualquer dúvida estamos à disposição.
Att
Tem tudo Shop</v>
      </c>
    </row>
    <row r="1849" spans="1:15">
      <c r="A1849" s="52" t="str">
        <f>_xlfn.XLOOKUP(Follow[[#This Row],[CODRASTREIO]],Controle_Pedidos[Cód Rastreamento],Controle_Pedidos[Número Pedido Cliente])</f>
        <v>Pedido 1935</v>
      </c>
      <c r="B1849" s="2" t="s">
        <v>19260</v>
      </c>
      <c r="C1849" s="2" t="str">
        <f>Follow[[#This Row],[CODRASTREIO]]&amp;" B"</f>
        <v>CódRastreio1818 B</v>
      </c>
      <c r="D1849" s="52" t="str">
        <f>_xlfn.XLOOKUP(Follow[[#This Row],[Id Pedido]],Controle_Pedidos[Número Pedido Cliente],Controle_Pedidos[Loja])</f>
        <v>BV</v>
      </c>
      <c r="E1849" s="9">
        <f>_xlfn.XLOOKUP(Follow[[#This Row],[Id Pedido]],Controle_Pedidos[Número Pedido Cliente],Controle_Pedidos[Prazo Entrega])</f>
        <v>45864</v>
      </c>
      <c r="F1849" s="9" t="s">
        <v>19434</v>
      </c>
      <c r="G1849" s="9" t="s">
        <v>37</v>
      </c>
      <c r="H1849" s="52" t="s">
        <v>178</v>
      </c>
      <c r="I1849" s="54" t="s">
        <v>178</v>
      </c>
      <c r="J1849" s="144">
        <v>45859</v>
      </c>
      <c r="K1849" s="54" t="s">
        <v>198</v>
      </c>
      <c r="L1849" s="8" t="s">
        <v>124</v>
      </c>
      <c r="M1849" s="8" t="s">
        <v>37</v>
      </c>
      <c r="N1849" s="52" t="str">
        <f>IF(Follow[[#This Row],[DATAATUALIZAÇÃO]]&lt;=Follow[[#This Row],[Prev Entrega]],"Dentro do Prazo","Fora do Prazo")</f>
        <v>Dentro do Prazo</v>
      </c>
      <c r="O184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1935 Rastreio Pedido 1935, agradecemos a preferência e adoraríamos receber sua avaliação, tendo qualquer dúvida estamos à disposição.
Att
Tem tudo Shop</v>
      </c>
    </row>
    <row r="1850" spans="1:15">
      <c r="A1850" s="52" t="str">
        <f>_xlfn.XLOOKUP(Follow[[#This Row],[CODRASTREIO]],Controle_Pedidos[Cód Rastreamento],Controle_Pedidos[Número Pedido Cliente])</f>
        <v>Pedido 1936</v>
      </c>
      <c r="B1850" s="2" t="s">
        <v>19261</v>
      </c>
      <c r="C1850" s="2" t="str">
        <f>Follow[[#This Row],[CODRASTREIO]]&amp;" B"</f>
        <v>CódRastreio1819 B</v>
      </c>
      <c r="D1850" s="52" t="str">
        <f>_xlfn.XLOOKUP(Follow[[#This Row],[Id Pedido]],Controle_Pedidos[Número Pedido Cliente],Controle_Pedidos[Loja])</f>
        <v>BV</v>
      </c>
      <c r="E1850" s="9">
        <f>_xlfn.XLOOKUP(Follow[[#This Row],[Id Pedido]],Controle_Pedidos[Número Pedido Cliente],Controle_Pedidos[Prazo Entrega])</f>
        <v>45868</v>
      </c>
      <c r="F1850" s="9" t="s">
        <v>19434</v>
      </c>
      <c r="G1850" s="9" t="s">
        <v>37</v>
      </c>
      <c r="H1850" s="52" t="s">
        <v>178</v>
      </c>
      <c r="I1850" s="54" t="s">
        <v>178</v>
      </c>
      <c r="J1850" s="144">
        <v>45860</v>
      </c>
      <c r="K1850" s="54" t="s">
        <v>198</v>
      </c>
      <c r="L1850" s="8" t="s">
        <v>124</v>
      </c>
      <c r="M1850" s="8" t="s">
        <v>37</v>
      </c>
      <c r="N1850" s="52" t="str">
        <f>IF(Follow[[#This Row],[DATAATUALIZAÇÃO]]&lt;=Follow[[#This Row],[Prev Entrega]],"Dentro do Prazo","Fora do Prazo")</f>
        <v>Dentro do Prazo</v>
      </c>
      <c r="O185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1936 Rastreio Pedido 1936, agradecemos a preferência e adoraríamos receber sua avaliação, tendo qualquer dúvida estamos à disposição.
Att
Tem tudo Shop</v>
      </c>
    </row>
    <row r="1851" spans="1:15">
      <c r="A1851" s="52" t="str">
        <f>_xlfn.XLOOKUP(Follow[[#This Row],[CODRASTREIO]],Controle_Pedidos[Cód Rastreamento],Controle_Pedidos[Número Pedido Cliente])</f>
        <v>Pedido 1937</v>
      </c>
      <c r="B1851" s="2" t="s">
        <v>19262</v>
      </c>
      <c r="C1851" s="2" t="str">
        <f>Follow[[#This Row],[CODRASTREIO]]&amp;" B"</f>
        <v>CódRastreio1820 B</v>
      </c>
      <c r="D1851" s="52" t="str">
        <f>_xlfn.XLOOKUP(Follow[[#This Row],[Id Pedido]],Controle_Pedidos[Número Pedido Cliente],Controle_Pedidos[Loja])</f>
        <v>BV</v>
      </c>
      <c r="E1851" s="9">
        <f>_xlfn.XLOOKUP(Follow[[#This Row],[Id Pedido]],Controle_Pedidos[Número Pedido Cliente],Controle_Pedidos[Prazo Entrega])</f>
        <v>45870</v>
      </c>
      <c r="F1851" s="9" t="s">
        <v>19434</v>
      </c>
      <c r="G1851" s="9" t="s">
        <v>37</v>
      </c>
      <c r="H1851" s="52" t="s">
        <v>178</v>
      </c>
      <c r="I1851" s="54" t="s">
        <v>178</v>
      </c>
      <c r="J1851" s="144">
        <v>45860</v>
      </c>
      <c r="K1851" s="54" t="s">
        <v>198</v>
      </c>
      <c r="L1851" s="8" t="s">
        <v>124</v>
      </c>
      <c r="M1851" s="8" t="s">
        <v>37</v>
      </c>
      <c r="N1851" s="52" t="str">
        <f>IF(Follow[[#This Row],[DATAATUALIZAÇÃO]]&lt;=Follow[[#This Row],[Prev Entrega]],"Dentro do Prazo","Fora do Prazo")</f>
        <v>Dentro do Prazo</v>
      </c>
      <c r="O185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1937 Rastreio Pedido 1937, agradecemos a preferência e adoraríamos receber sua avaliação, tendo qualquer dúvida estamos à disposição.
Att
Tem tudo Shop</v>
      </c>
    </row>
    <row r="1852" spans="1:15">
      <c r="A1852" s="52" t="str">
        <f>_xlfn.XLOOKUP(Follow[[#This Row],[CODRASTREIO]],Controle_Pedidos[Cód Rastreamento],Controle_Pedidos[Número Pedido Cliente])</f>
        <v>Pedido 1938</v>
      </c>
      <c r="B1852" s="2" t="s">
        <v>19263</v>
      </c>
      <c r="C1852" s="2" t="str">
        <f>Follow[[#This Row],[CODRASTREIO]]&amp;" B"</f>
        <v>CódRastreio1821 B</v>
      </c>
      <c r="D1852" s="52" t="str">
        <f>_xlfn.XLOOKUP(Follow[[#This Row],[Id Pedido]],Controle_Pedidos[Número Pedido Cliente],Controle_Pedidos[Loja])</f>
        <v>BV</v>
      </c>
      <c r="E1852" s="9">
        <f>_xlfn.XLOOKUP(Follow[[#This Row],[Id Pedido]],Controle_Pedidos[Número Pedido Cliente],Controle_Pedidos[Prazo Entrega])</f>
        <v>45864</v>
      </c>
      <c r="F1852" s="9" t="s">
        <v>19434</v>
      </c>
      <c r="G1852" s="9" t="s">
        <v>37</v>
      </c>
      <c r="H1852" s="52" t="s">
        <v>178</v>
      </c>
      <c r="I1852" s="54" t="s">
        <v>178</v>
      </c>
      <c r="J1852" s="144">
        <v>45859</v>
      </c>
      <c r="K1852" s="54" t="s">
        <v>198</v>
      </c>
      <c r="L1852" s="8" t="s">
        <v>124</v>
      </c>
      <c r="M1852" s="8" t="s">
        <v>37</v>
      </c>
      <c r="N1852" s="52" t="str">
        <f>IF(Follow[[#This Row],[DATAATUALIZAÇÃO]]&lt;=Follow[[#This Row],[Prev Entrega]],"Dentro do Prazo","Fora do Prazo")</f>
        <v>Dentro do Prazo</v>
      </c>
      <c r="O185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1938 Rastreio Pedido 1938, agradecemos a preferência e adoraríamos receber sua avaliação, tendo qualquer dúvida estamos à disposição.
Att
Tem tudo Shop</v>
      </c>
    </row>
    <row r="1853" spans="1:15">
      <c r="A1853" s="52" t="str">
        <f>_xlfn.XLOOKUP(Follow[[#This Row],[CODRASTREIO]],Controle_Pedidos[Cód Rastreamento],Controle_Pedidos[Número Pedido Cliente])</f>
        <v>Pedido 1939</v>
      </c>
      <c r="B1853" s="2" t="s">
        <v>19264</v>
      </c>
      <c r="C1853" s="2" t="str">
        <f>Follow[[#This Row],[CODRASTREIO]]&amp;" B"</f>
        <v>CódRastreio1822 B</v>
      </c>
      <c r="D1853" s="52" t="str">
        <f>_xlfn.XLOOKUP(Follow[[#This Row],[Id Pedido]],Controle_Pedidos[Número Pedido Cliente],Controle_Pedidos[Loja])</f>
        <v>BV</v>
      </c>
      <c r="E1853" s="9">
        <f>_xlfn.XLOOKUP(Follow[[#This Row],[Id Pedido]],Controle_Pedidos[Número Pedido Cliente],Controle_Pedidos[Prazo Entrega])</f>
        <v>45864</v>
      </c>
      <c r="F1853" s="9" t="s">
        <v>19434</v>
      </c>
      <c r="G1853" s="9" t="s">
        <v>37</v>
      </c>
      <c r="H1853" s="52" t="s">
        <v>178</v>
      </c>
      <c r="I1853" s="54" t="s">
        <v>178</v>
      </c>
      <c r="J1853" s="144">
        <v>45859</v>
      </c>
      <c r="K1853" s="54" t="s">
        <v>198</v>
      </c>
      <c r="L1853" s="8" t="s">
        <v>124</v>
      </c>
      <c r="M1853" s="8" t="s">
        <v>37</v>
      </c>
      <c r="N1853" s="52" t="str">
        <f>IF(Follow[[#This Row],[DATAATUALIZAÇÃO]]&lt;=Follow[[#This Row],[Prev Entrega]],"Dentro do Prazo","Fora do Prazo")</f>
        <v>Dentro do Prazo</v>
      </c>
      <c r="O185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1939 Rastreio Pedido 1939, agradecemos a preferência e adoraríamos receber sua avaliação, tendo qualquer dúvida estamos à disposição.
Att
Tem tudo Shop</v>
      </c>
    </row>
    <row r="1854" spans="1:15">
      <c r="A1854" s="52" t="str">
        <f>_xlfn.XLOOKUP(Follow[[#This Row],[CODRASTREIO]],Controle_Pedidos[Cód Rastreamento],Controle_Pedidos[Número Pedido Cliente])</f>
        <v>Pedido 1940</v>
      </c>
      <c r="B1854" s="2" t="s">
        <v>19265</v>
      </c>
      <c r="C1854" s="2" t="str">
        <f>Follow[[#This Row],[CODRASTREIO]]&amp;" B"</f>
        <v>CódRastreio1823 B</v>
      </c>
      <c r="D1854" s="52" t="str">
        <f>_xlfn.XLOOKUP(Follow[[#This Row],[Id Pedido]],Controle_Pedidos[Número Pedido Cliente],Controle_Pedidos[Loja])</f>
        <v>BV</v>
      </c>
      <c r="E1854" s="9">
        <f>_xlfn.XLOOKUP(Follow[[#This Row],[Id Pedido]],Controle_Pedidos[Número Pedido Cliente],Controle_Pedidos[Prazo Entrega])</f>
        <v>45864</v>
      </c>
      <c r="F1854" s="9" t="s">
        <v>19434</v>
      </c>
      <c r="G1854" s="9" t="s">
        <v>37</v>
      </c>
      <c r="H1854" s="52" t="s">
        <v>178</v>
      </c>
      <c r="I1854" s="54" t="s">
        <v>178</v>
      </c>
      <c r="J1854" s="144">
        <v>45859</v>
      </c>
      <c r="K1854" s="54" t="s">
        <v>198</v>
      </c>
      <c r="L1854" s="8" t="s">
        <v>124</v>
      </c>
      <c r="M1854" s="8" t="s">
        <v>37</v>
      </c>
      <c r="N1854" s="52" t="str">
        <f>IF(Follow[[#This Row],[DATAATUALIZAÇÃO]]&lt;=Follow[[#This Row],[Prev Entrega]],"Dentro do Prazo","Fora do Prazo")</f>
        <v>Dentro do Prazo</v>
      </c>
      <c r="O185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1940 Rastreio Pedido 1940, agradecemos a preferência e adoraríamos receber sua avaliação, tendo qualquer dúvida estamos à disposição.
Att
Tem tudo Shop</v>
      </c>
    </row>
    <row r="1855" spans="1:15">
      <c r="A1855" s="52" t="str">
        <f>_xlfn.XLOOKUP(Follow[[#This Row],[CODRASTREIO]],Controle_Pedidos[Cód Rastreamento],Controle_Pedidos[Número Pedido Cliente])</f>
        <v>Pedido 1941</v>
      </c>
      <c r="B1855" s="2" t="s">
        <v>19266</v>
      </c>
      <c r="C1855" s="2" t="str">
        <f>Follow[[#This Row],[CODRASTREIO]]&amp;" B"</f>
        <v>CódRastreio1824 B</v>
      </c>
      <c r="D1855" s="52" t="str">
        <f>_xlfn.XLOOKUP(Follow[[#This Row],[Id Pedido]],Controle_Pedidos[Número Pedido Cliente],Controle_Pedidos[Loja])</f>
        <v>BV</v>
      </c>
      <c r="E1855" s="9">
        <f>_xlfn.XLOOKUP(Follow[[#This Row],[Id Pedido]],Controle_Pedidos[Número Pedido Cliente],Controle_Pedidos[Prazo Entrega])</f>
        <v>45864</v>
      </c>
      <c r="F1855" s="9" t="s">
        <v>19434</v>
      </c>
      <c r="G1855" s="9" t="s">
        <v>37</v>
      </c>
      <c r="H1855" s="52" t="s">
        <v>178</v>
      </c>
      <c r="I1855" s="54" t="s">
        <v>178</v>
      </c>
      <c r="J1855" s="144">
        <v>45858</v>
      </c>
      <c r="K1855" s="54" t="s">
        <v>198</v>
      </c>
      <c r="L1855" s="8" t="s">
        <v>124</v>
      </c>
      <c r="M1855" s="8" t="s">
        <v>37</v>
      </c>
      <c r="N1855" s="52" t="str">
        <f>IF(Follow[[#This Row],[DATAATUALIZAÇÃO]]&lt;=Follow[[#This Row],[Prev Entrega]],"Dentro do Prazo","Fora do Prazo")</f>
        <v>Dentro do Prazo</v>
      </c>
      <c r="O185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20/07/2025, referente ao pedido Nº Pedido 1941 Rastreio Pedido 1941, agradecemos a preferência e adoraríamos receber sua avaliação, tendo qualquer dúvida estamos à disposição.
Att
Tem tudo Shop</v>
      </c>
    </row>
    <row r="1856" spans="1:15">
      <c r="A1856" s="52" t="str">
        <f>_xlfn.XLOOKUP(Follow[[#This Row],[CODRASTREIO]],Controle_Pedidos[Cód Rastreamento],Controle_Pedidos[Número Pedido Cliente])</f>
        <v>Pedido 1942</v>
      </c>
      <c r="B1856" s="2" t="s">
        <v>19267</v>
      </c>
      <c r="C1856" s="2" t="str">
        <f>Follow[[#This Row],[CODRASTREIO]]&amp;" B"</f>
        <v>CódRastreio1825 B</v>
      </c>
      <c r="D1856" s="52" t="str">
        <f>_xlfn.XLOOKUP(Follow[[#This Row],[Id Pedido]],Controle_Pedidos[Número Pedido Cliente],Controle_Pedidos[Loja])</f>
        <v>BV</v>
      </c>
      <c r="E1856" s="9">
        <f>_xlfn.XLOOKUP(Follow[[#This Row],[Id Pedido]],Controle_Pedidos[Número Pedido Cliente],Controle_Pedidos[Prazo Entrega])</f>
        <v>45870</v>
      </c>
      <c r="F1856" s="9" t="s">
        <v>19434</v>
      </c>
      <c r="G1856" s="9" t="s">
        <v>37</v>
      </c>
      <c r="H1856" s="52" t="s">
        <v>178</v>
      </c>
      <c r="I1856" s="54" t="s">
        <v>178</v>
      </c>
      <c r="J1856" s="144">
        <v>45860</v>
      </c>
      <c r="K1856" s="54" t="s">
        <v>198</v>
      </c>
      <c r="L1856" s="8" t="s">
        <v>124</v>
      </c>
      <c r="M1856" s="8" t="s">
        <v>37</v>
      </c>
      <c r="N1856" s="52" t="str">
        <f>IF(Follow[[#This Row],[DATAATUALIZAÇÃO]]&lt;=Follow[[#This Row],[Prev Entrega]],"Dentro do Prazo","Fora do Prazo")</f>
        <v>Dentro do Prazo</v>
      </c>
      <c r="O185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1942 Rastreio Pedido 1942, agradecemos a preferência e adoraríamos receber sua avaliação, tendo qualquer dúvida estamos à disposição.
Att
Tem tudo Shop</v>
      </c>
    </row>
    <row r="1857" spans="1:15">
      <c r="A1857" s="52" t="str">
        <f>_xlfn.XLOOKUP(Follow[[#This Row],[CODRASTREIO]],Controle_Pedidos[Cód Rastreamento],Controle_Pedidos[Número Pedido Cliente])</f>
        <v>Pedido 1943</v>
      </c>
      <c r="B1857" s="2" t="s">
        <v>19268</v>
      </c>
      <c r="C1857" s="2" t="str">
        <f>Follow[[#This Row],[CODRASTREIO]]&amp;" B"</f>
        <v>CódRastreio1826 B</v>
      </c>
      <c r="D1857" s="52" t="str">
        <f>_xlfn.XLOOKUP(Follow[[#This Row],[Id Pedido]],Controle_Pedidos[Número Pedido Cliente],Controle_Pedidos[Loja])</f>
        <v>BV</v>
      </c>
      <c r="E1857" s="9">
        <f>_xlfn.XLOOKUP(Follow[[#This Row],[Id Pedido]],Controle_Pedidos[Número Pedido Cliente],Controle_Pedidos[Prazo Entrega])</f>
        <v>45868</v>
      </c>
      <c r="F1857" s="9" t="s">
        <v>19434</v>
      </c>
      <c r="G1857" s="9" t="s">
        <v>37</v>
      </c>
      <c r="H1857" s="52" t="s">
        <v>178</v>
      </c>
      <c r="I1857" s="54" t="s">
        <v>178</v>
      </c>
      <c r="J1857" s="144">
        <v>45860</v>
      </c>
      <c r="K1857" s="54" t="s">
        <v>198</v>
      </c>
      <c r="L1857" s="8" t="s">
        <v>124</v>
      </c>
      <c r="M1857" s="8" t="s">
        <v>37</v>
      </c>
      <c r="N1857" s="52" t="str">
        <f>IF(Follow[[#This Row],[DATAATUALIZAÇÃO]]&lt;=Follow[[#This Row],[Prev Entrega]],"Dentro do Prazo","Fora do Prazo")</f>
        <v>Dentro do Prazo</v>
      </c>
      <c r="O185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1943 Rastreio Pedido 1943, agradecemos a preferência e adoraríamos receber sua avaliação, tendo qualquer dúvida estamos à disposição.
Att
Tem tudo Shop</v>
      </c>
    </row>
    <row r="1858" spans="1:15">
      <c r="A1858" s="52" t="str">
        <f>_xlfn.XLOOKUP(Follow[[#This Row],[CODRASTREIO]],Controle_Pedidos[Cód Rastreamento],Controle_Pedidos[Número Pedido Cliente])</f>
        <v>Pedido 1944</v>
      </c>
      <c r="B1858" s="2" t="s">
        <v>19269</v>
      </c>
      <c r="C1858" s="2" t="str">
        <f>Follow[[#This Row],[CODRASTREIO]]&amp;" B"</f>
        <v>CódRastreio1827 B</v>
      </c>
      <c r="D1858" s="52" t="str">
        <f>_xlfn.XLOOKUP(Follow[[#This Row],[Id Pedido]],Controle_Pedidos[Número Pedido Cliente],Controle_Pedidos[Loja])</f>
        <v>BV</v>
      </c>
      <c r="E1858" s="9">
        <f>_xlfn.XLOOKUP(Follow[[#This Row],[Id Pedido]],Controle_Pedidos[Número Pedido Cliente],Controle_Pedidos[Prazo Entrega])</f>
        <v>45864</v>
      </c>
      <c r="F1858" s="9" t="s">
        <v>19434</v>
      </c>
      <c r="G1858" s="9" t="s">
        <v>37</v>
      </c>
      <c r="H1858" s="52" t="s">
        <v>178</v>
      </c>
      <c r="I1858" s="54" t="s">
        <v>178</v>
      </c>
      <c r="J1858" s="144">
        <v>45859</v>
      </c>
      <c r="K1858" s="54" t="s">
        <v>198</v>
      </c>
      <c r="L1858" s="8" t="s">
        <v>124</v>
      </c>
      <c r="M1858" s="8" t="s">
        <v>37</v>
      </c>
      <c r="N1858" s="52" t="str">
        <f>IF(Follow[[#This Row],[DATAATUALIZAÇÃO]]&lt;=Follow[[#This Row],[Prev Entrega]],"Dentro do Prazo","Fora do Prazo")</f>
        <v>Dentro do Prazo</v>
      </c>
      <c r="O185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1944 Rastreio Pedido 1944, agradecemos a preferência e adoraríamos receber sua avaliação, tendo qualquer dúvida estamos à disposição.
Att
Tem tudo Shop</v>
      </c>
    </row>
    <row r="1859" spans="1:15">
      <c r="A1859" s="52" t="str">
        <f>_xlfn.XLOOKUP(Follow[[#This Row],[CODRASTREIO]],Controle_Pedidos[Cód Rastreamento],Controle_Pedidos[Número Pedido Cliente])</f>
        <v>Pedido 1946</v>
      </c>
      <c r="B1859" s="2" t="s">
        <v>19271</v>
      </c>
      <c r="C1859" s="2" t="str">
        <f>Follow[[#This Row],[CODRASTREIO]]&amp;" B"</f>
        <v>CódRastreio1829 B</v>
      </c>
      <c r="D1859" s="52" t="str">
        <f>_xlfn.XLOOKUP(Follow[[#This Row],[Id Pedido]],Controle_Pedidos[Número Pedido Cliente],Controle_Pedidos[Loja])</f>
        <v>BV</v>
      </c>
      <c r="E1859" s="9">
        <f>_xlfn.XLOOKUP(Follow[[#This Row],[Id Pedido]],Controle_Pedidos[Número Pedido Cliente],Controle_Pedidos[Prazo Entrega])</f>
        <v>45870</v>
      </c>
      <c r="F1859" s="9" t="s">
        <v>19434</v>
      </c>
      <c r="G1859" s="9" t="s">
        <v>37</v>
      </c>
      <c r="H1859" s="52" t="s">
        <v>178</v>
      </c>
      <c r="I1859" s="54" t="s">
        <v>178</v>
      </c>
      <c r="J1859" s="144">
        <v>45860</v>
      </c>
      <c r="K1859" s="54" t="s">
        <v>198</v>
      </c>
      <c r="L1859" s="8" t="s">
        <v>124</v>
      </c>
      <c r="M1859" s="8" t="s">
        <v>37</v>
      </c>
      <c r="N1859" s="52" t="str">
        <f>IF(Follow[[#This Row],[DATAATUALIZAÇÃO]]&lt;=Follow[[#This Row],[Prev Entrega]],"Dentro do Prazo","Fora do Prazo")</f>
        <v>Dentro do Prazo</v>
      </c>
      <c r="O185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1946 Rastreio Pedido 1946, agradecemos a preferência e adoraríamos receber sua avaliação, tendo qualquer dúvida estamos à disposição.
Att
Tem tudo Shop</v>
      </c>
    </row>
    <row r="1860" spans="1:15">
      <c r="A1860" s="52" t="str">
        <f>_xlfn.XLOOKUP(Follow[[#This Row],[CODRASTREIO]],Controle_Pedidos[Cód Rastreamento],Controle_Pedidos[Número Pedido Cliente])</f>
        <v>Pedido 1945</v>
      </c>
      <c r="B1860" s="2" t="s">
        <v>19270</v>
      </c>
      <c r="C1860" s="2" t="str">
        <f>Follow[[#This Row],[CODRASTREIO]]&amp;" B"</f>
        <v>CódRastreio1828 B</v>
      </c>
      <c r="D1860" s="52" t="str">
        <f>_xlfn.XLOOKUP(Follow[[#This Row],[Id Pedido]],Controle_Pedidos[Número Pedido Cliente],Controle_Pedidos[Loja])</f>
        <v>BV</v>
      </c>
      <c r="E1860" s="9">
        <f>_xlfn.XLOOKUP(Follow[[#This Row],[Id Pedido]],Controle_Pedidos[Número Pedido Cliente],Controle_Pedidos[Prazo Entrega])</f>
        <v>45870</v>
      </c>
      <c r="F1860" s="9" t="s">
        <v>19434</v>
      </c>
      <c r="G1860" s="9" t="s">
        <v>37</v>
      </c>
      <c r="H1860" s="52" t="s">
        <v>178</v>
      </c>
      <c r="I1860" s="54" t="s">
        <v>178</v>
      </c>
      <c r="J1860" s="144">
        <v>45859</v>
      </c>
      <c r="K1860" s="54" t="s">
        <v>198</v>
      </c>
      <c r="L1860" s="8" t="s">
        <v>124</v>
      </c>
      <c r="M1860" s="8" t="s">
        <v>37</v>
      </c>
      <c r="N1860" s="52" t="str">
        <f>IF(Follow[[#This Row],[DATAATUALIZAÇÃO]]&lt;=Follow[[#This Row],[Prev Entrega]],"Dentro do Prazo","Fora do Prazo")</f>
        <v>Dentro do Prazo</v>
      </c>
      <c r="O186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1945 Rastreio Pedido 1945, agradecemos a preferência e adoraríamos receber sua avaliação, tendo qualquer dúvida estamos à disposição.
Att
Tem tudo Shop</v>
      </c>
    </row>
    <row r="1861" spans="1:15">
      <c r="A1861" s="52" t="str">
        <f>_xlfn.XLOOKUP(Follow[[#This Row],[CODRASTREIO]],Controle_Pedidos[Cód Rastreamento],Controle_Pedidos[Número Pedido Cliente])</f>
        <v>Pedido 1948</v>
      </c>
      <c r="B1861" s="2" t="s">
        <v>19273</v>
      </c>
      <c r="C1861" s="2" t="str">
        <f>Follow[[#This Row],[CODRASTREIO]]&amp;" B"</f>
        <v>CódRastreio1831 B</v>
      </c>
      <c r="D1861" s="52" t="str">
        <f>_xlfn.XLOOKUP(Follow[[#This Row],[Id Pedido]],Controle_Pedidos[Número Pedido Cliente],Controle_Pedidos[Loja])</f>
        <v>BV</v>
      </c>
      <c r="E1861" s="9">
        <f>_xlfn.XLOOKUP(Follow[[#This Row],[Id Pedido]],Controle_Pedidos[Número Pedido Cliente],Controle_Pedidos[Prazo Entrega])</f>
        <v>45868</v>
      </c>
      <c r="F1861" s="9" t="s">
        <v>19434</v>
      </c>
      <c r="G1861" s="9" t="s">
        <v>37</v>
      </c>
      <c r="H1861" s="52" t="s">
        <v>178</v>
      </c>
      <c r="I1861" s="54" t="s">
        <v>178</v>
      </c>
      <c r="J1861" s="144">
        <v>45860</v>
      </c>
      <c r="K1861" s="54" t="s">
        <v>198</v>
      </c>
      <c r="L1861" s="8" t="s">
        <v>124</v>
      </c>
      <c r="M1861" s="8" t="s">
        <v>37</v>
      </c>
      <c r="N1861" s="52" t="str">
        <f>IF(Follow[[#This Row],[DATAATUALIZAÇÃO]]&lt;=Follow[[#This Row],[Prev Entrega]],"Dentro do Prazo","Fora do Prazo")</f>
        <v>Dentro do Prazo</v>
      </c>
      <c r="O1861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1948 Rastreio Pedido 1948, agradecemos a preferência e adoraríamos receber sua avaliação, tendo qualquer dúvida estamos à disposição.
Att
Tem tudo Shop</v>
      </c>
    </row>
    <row r="1862" spans="1:15">
      <c r="A1862" s="52" t="str">
        <f>_xlfn.XLOOKUP(Follow[[#This Row],[CODRASTREIO]],Controle_Pedidos[Cód Rastreamento],Controle_Pedidos[Número Pedido Cliente])</f>
        <v>Pedido 1949</v>
      </c>
      <c r="B1862" s="2" t="s">
        <v>19274</v>
      </c>
      <c r="C1862" s="2" t="str">
        <f>Follow[[#This Row],[CODRASTREIO]]&amp;" B"</f>
        <v>CódRastreio1832 B</v>
      </c>
      <c r="D1862" s="52" t="str">
        <f>_xlfn.XLOOKUP(Follow[[#This Row],[Id Pedido]],Controle_Pedidos[Número Pedido Cliente],Controle_Pedidos[Loja])</f>
        <v>BV</v>
      </c>
      <c r="E1862" s="9">
        <f>_xlfn.XLOOKUP(Follow[[#This Row],[Id Pedido]],Controle_Pedidos[Número Pedido Cliente],Controle_Pedidos[Prazo Entrega])</f>
        <v>45864</v>
      </c>
      <c r="F1862" s="9" t="s">
        <v>19434</v>
      </c>
      <c r="G1862" s="9" t="s">
        <v>37</v>
      </c>
      <c r="H1862" s="52" t="s">
        <v>178</v>
      </c>
      <c r="I1862" s="54" t="s">
        <v>178</v>
      </c>
      <c r="J1862" s="144">
        <v>45859</v>
      </c>
      <c r="K1862" s="54" t="s">
        <v>198</v>
      </c>
      <c r="L1862" s="8" t="s">
        <v>124</v>
      </c>
      <c r="M1862" s="8" t="s">
        <v>37</v>
      </c>
      <c r="N1862" s="52" t="str">
        <f>IF(Follow[[#This Row],[DATAATUALIZAÇÃO]]&lt;=Follow[[#This Row],[Prev Entrega]],"Dentro do Prazo","Fora do Prazo")</f>
        <v>Dentro do Prazo</v>
      </c>
      <c r="O186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1949 Rastreio Pedido 1949, agradecemos a preferência e adoraríamos receber sua avaliação, tendo qualquer dúvida estamos à disposição.
Att
Tem tudo Shop</v>
      </c>
    </row>
    <row r="1863" spans="1:15">
      <c r="A1863" s="52" t="str">
        <f>_xlfn.XLOOKUP(Follow[[#This Row],[CODRASTREIO]],Controle_Pedidos[Cód Rastreamento],Controle_Pedidos[Número Pedido Cliente])</f>
        <v>Pedido 1950</v>
      </c>
      <c r="B1863" s="2" t="s">
        <v>19275</v>
      </c>
      <c r="C1863" s="2" t="str">
        <f>Follow[[#This Row],[CODRASTREIO]]&amp;" B"</f>
        <v>CódRastreio1833 B</v>
      </c>
      <c r="D1863" s="52" t="str">
        <f>_xlfn.XLOOKUP(Follow[[#This Row],[Id Pedido]],Controle_Pedidos[Número Pedido Cliente],Controle_Pedidos[Loja])</f>
        <v>BV</v>
      </c>
      <c r="E1863" s="9">
        <f>_xlfn.XLOOKUP(Follow[[#This Row],[Id Pedido]],Controle_Pedidos[Número Pedido Cliente],Controle_Pedidos[Prazo Entrega])</f>
        <v>45864</v>
      </c>
      <c r="F1863" s="9" t="s">
        <v>19434</v>
      </c>
      <c r="G1863" s="9" t="s">
        <v>37</v>
      </c>
      <c r="H1863" s="52" t="s">
        <v>178</v>
      </c>
      <c r="I1863" s="54" t="s">
        <v>178</v>
      </c>
      <c r="J1863" s="144">
        <v>45859</v>
      </c>
      <c r="K1863" s="54" t="s">
        <v>198</v>
      </c>
      <c r="L1863" s="8" t="s">
        <v>124</v>
      </c>
      <c r="M1863" s="8" t="s">
        <v>37</v>
      </c>
      <c r="N1863" s="52" t="str">
        <f>IF(Follow[[#This Row],[DATAATUALIZAÇÃO]]&lt;=Follow[[#This Row],[Prev Entrega]],"Dentro do Prazo","Fora do Prazo")</f>
        <v>Dentro do Prazo</v>
      </c>
      <c r="O186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1950 Rastreio Pedido 1950, agradecemos a preferência e adoraríamos receber sua avaliação, tendo qualquer dúvida estamos à disposição.
Att
Tem tudo Shop</v>
      </c>
    </row>
    <row r="1864" spans="1:15">
      <c r="A1864" s="52" t="str">
        <f>_xlfn.XLOOKUP(Follow[[#This Row],[CODRASTREIO]],Controle_Pedidos[Cód Rastreamento],Controle_Pedidos[Número Pedido Cliente])</f>
        <v>Pedido 1952</v>
      </c>
      <c r="B1864" s="2" t="s">
        <v>19277</v>
      </c>
      <c r="C1864" s="2" t="str">
        <f>Follow[[#This Row],[CODRASTREIO]]&amp;" B"</f>
        <v>CódRastreio1835 B</v>
      </c>
      <c r="D1864" s="52" t="str">
        <f>_xlfn.XLOOKUP(Follow[[#This Row],[Id Pedido]],Controle_Pedidos[Número Pedido Cliente],Controle_Pedidos[Loja])</f>
        <v>BV</v>
      </c>
      <c r="E1864" s="9">
        <f>_xlfn.XLOOKUP(Follow[[#This Row],[Id Pedido]],Controle_Pedidos[Número Pedido Cliente],Controle_Pedidos[Prazo Entrega])</f>
        <v>45867</v>
      </c>
      <c r="F1864" s="9" t="s">
        <v>19434</v>
      </c>
      <c r="G1864" s="9" t="s">
        <v>37</v>
      </c>
      <c r="H1864" s="52" t="s">
        <v>178</v>
      </c>
      <c r="I1864" s="54" t="s">
        <v>178</v>
      </c>
      <c r="J1864" s="144">
        <v>45859</v>
      </c>
      <c r="K1864" s="54" t="s">
        <v>198</v>
      </c>
      <c r="L1864" s="8" t="s">
        <v>124</v>
      </c>
      <c r="M1864" s="8" t="s">
        <v>37</v>
      </c>
      <c r="N1864" s="52" t="str">
        <f>IF(Follow[[#This Row],[DATAATUALIZAÇÃO]]&lt;=Follow[[#This Row],[Prev Entrega]],"Dentro do Prazo","Fora do Prazo")</f>
        <v>Dentro do Prazo</v>
      </c>
      <c r="O186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1952 Rastreio Pedido 1952, agradecemos a preferência e adoraríamos receber sua avaliação, tendo qualquer dúvida estamos à disposição.
Att
Tem tudo Shop</v>
      </c>
    </row>
    <row r="1865" spans="1:15">
      <c r="A1865" s="52" t="str">
        <f>_xlfn.XLOOKUP(Follow[[#This Row],[CODRASTREIO]],Controle_Pedidos[Cód Rastreamento],Controle_Pedidos[Número Pedido Cliente])</f>
        <v>Pedido 1953</v>
      </c>
      <c r="B1865" s="2" t="s">
        <v>19278</v>
      </c>
      <c r="C1865" s="2" t="str">
        <f>Follow[[#This Row],[CODRASTREIO]]&amp;" B"</f>
        <v>CódRastreio1836 B</v>
      </c>
      <c r="D1865" s="52" t="str">
        <f>_xlfn.XLOOKUP(Follow[[#This Row],[Id Pedido]],Controle_Pedidos[Número Pedido Cliente],Controle_Pedidos[Loja])</f>
        <v>BV</v>
      </c>
      <c r="E1865" s="9">
        <f>_xlfn.XLOOKUP(Follow[[#This Row],[Id Pedido]],Controle_Pedidos[Número Pedido Cliente],Controle_Pedidos[Prazo Entrega])</f>
        <v>45867</v>
      </c>
      <c r="F1865" s="9" t="s">
        <v>19434</v>
      </c>
      <c r="G1865" s="9" t="s">
        <v>37</v>
      </c>
      <c r="H1865" s="52" t="s">
        <v>178</v>
      </c>
      <c r="I1865" s="54" t="s">
        <v>178</v>
      </c>
      <c r="J1865" s="144">
        <v>45860</v>
      </c>
      <c r="K1865" s="54" t="s">
        <v>198</v>
      </c>
      <c r="L1865" s="8" t="s">
        <v>124</v>
      </c>
      <c r="M1865" s="8" t="s">
        <v>37</v>
      </c>
      <c r="N1865" s="52" t="str">
        <f>IF(Follow[[#This Row],[DATAATUALIZAÇÃO]]&lt;=Follow[[#This Row],[Prev Entrega]],"Dentro do Prazo","Fora do Prazo")</f>
        <v>Dentro do Prazo</v>
      </c>
      <c r="O186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1953 Rastreio Pedido 1953, agradecemos a preferência e adoraríamos receber sua avaliação, tendo qualquer dúvida estamos à disposição.
Att
Tem tudo Shop</v>
      </c>
    </row>
    <row r="1866" spans="1:15">
      <c r="A1866" s="52" t="str">
        <f>_xlfn.XLOOKUP(Follow[[#This Row],[CODRASTREIO]],Controle_Pedidos[Cód Rastreamento],Controle_Pedidos[Número Pedido Cliente])</f>
        <v>Pedido 1954</v>
      </c>
      <c r="B1866" s="2" t="s">
        <v>19279</v>
      </c>
      <c r="C1866" s="2" t="str">
        <f>Follow[[#This Row],[CODRASTREIO]]&amp;" B"</f>
        <v>CódRastreio1837 B</v>
      </c>
      <c r="D1866" s="52" t="str">
        <f>_xlfn.XLOOKUP(Follow[[#This Row],[Id Pedido]],Controle_Pedidos[Número Pedido Cliente],Controle_Pedidos[Loja])</f>
        <v>BV</v>
      </c>
      <c r="E1866" s="9">
        <f>_xlfn.XLOOKUP(Follow[[#This Row],[Id Pedido]],Controle_Pedidos[Número Pedido Cliente],Controle_Pedidos[Prazo Entrega])</f>
        <v>45867</v>
      </c>
      <c r="F1866" s="9" t="s">
        <v>19434</v>
      </c>
      <c r="G1866" s="9" t="s">
        <v>37</v>
      </c>
      <c r="H1866" s="52" t="s">
        <v>178</v>
      </c>
      <c r="I1866" s="54" t="s">
        <v>178</v>
      </c>
      <c r="J1866" s="144">
        <v>45859</v>
      </c>
      <c r="K1866" s="54" t="s">
        <v>198</v>
      </c>
      <c r="L1866" s="8" t="s">
        <v>124</v>
      </c>
      <c r="M1866" s="8" t="s">
        <v>37</v>
      </c>
      <c r="N1866" s="52" t="str">
        <f>IF(Follow[[#This Row],[DATAATUALIZAÇÃO]]&lt;=Follow[[#This Row],[Prev Entrega]],"Dentro do Prazo","Fora do Prazo")</f>
        <v>Dentro do Prazo</v>
      </c>
      <c r="O186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1954 Rastreio Pedido 1954, agradecemos a preferência e adoraríamos receber sua avaliação, tendo qualquer dúvida estamos à disposição.
Att
Tem tudo Shop</v>
      </c>
    </row>
    <row r="1867" spans="1:15">
      <c r="A1867" s="52" t="str">
        <f>_xlfn.XLOOKUP(Follow[[#This Row],[CODRASTREIO]],Controle_Pedidos[Cód Rastreamento],Controle_Pedidos[Número Pedido Cliente])</f>
        <v>Pedido 1955</v>
      </c>
      <c r="B1867" s="2" t="s">
        <v>19280</v>
      </c>
      <c r="C1867" s="2" t="str">
        <f>Follow[[#This Row],[CODRASTREIO]]&amp;" B"</f>
        <v>CódRastreio1838 B</v>
      </c>
      <c r="D1867" s="52" t="str">
        <f>_xlfn.XLOOKUP(Follow[[#This Row],[Id Pedido]],Controle_Pedidos[Número Pedido Cliente],Controle_Pedidos[Loja])</f>
        <v>BV</v>
      </c>
      <c r="E1867" s="9">
        <f>_xlfn.XLOOKUP(Follow[[#This Row],[Id Pedido]],Controle_Pedidos[Número Pedido Cliente],Controle_Pedidos[Prazo Entrega])</f>
        <v>45867</v>
      </c>
      <c r="F1867" s="9" t="s">
        <v>19434</v>
      </c>
      <c r="G1867" s="9" t="s">
        <v>37</v>
      </c>
      <c r="H1867" s="52" t="s">
        <v>178</v>
      </c>
      <c r="I1867" s="54" t="s">
        <v>178</v>
      </c>
      <c r="J1867" s="144">
        <v>45858</v>
      </c>
      <c r="K1867" s="54" t="s">
        <v>198</v>
      </c>
      <c r="L1867" s="8" t="s">
        <v>124</v>
      </c>
      <c r="M1867" s="8" t="s">
        <v>37</v>
      </c>
      <c r="N1867" s="52" t="str">
        <f>IF(Follow[[#This Row],[DATAATUALIZAÇÃO]]&lt;=Follow[[#This Row],[Prev Entrega]],"Dentro do Prazo","Fora do Prazo")</f>
        <v>Dentro do Prazo</v>
      </c>
      <c r="O186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20/07/2025, referente ao pedido Nº Pedido 1955 Rastreio Pedido 1955, agradecemos a preferência e adoraríamos receber sua avaliação, tendo qualquer dúvida estamos à disposição.
Att
Tem tudo Shop</v>
      </c>
    </row>
    <row r="1868" spans="1:15">
      <c r="A1868" s="52" t="str">
        <f>_xlfn.XLOOKUP(Follow[[#This Row],[CODRASTREIO]],Controle_Pedidos[Cód Rastreamento],Controle_Pedidos[Número Pedido Cliente])</f>
        <v>Pedido 1956</v>
      </c>
      <c r="B1868" s="2" t="s">
        <v>19281</v>
      </c>
      <c r="C1868" s="2" t="str">
        <f>Follow[[#This Row],[CODRASTREIO]]&amp;" B"</f>
        <v>CódRastreio1839 B</v>
      </c>
      <c r="D1868" s="52" t="str">
        <f>_xlfn.XLOOKUP(Follow[[#This Row],[Id Pedido]],Controle_Pedidos[Número Pedido Cliente],Controle_Pedidos[Loja])</f>
        <v>BV</v>
      </c>
      <c r="E1868" s="9">
        <f>_xlfn.XLOOKUP(Follow[[#This Row],[Id Pedido]],Controle_Pedidos[Número Pedido Cliente],Controle_Pedidos[Prazo Entrega])</f>
        <v>45867</v>
      </c>
      <c r="F1868" s="9" t="s">
        <v>19434</v>
      </c>
      <c r="G1868" s="9" t="s">
        <v>37</v>
      </c>
      <c r="H1868" s="52" t="s">
        <v>178</v>
      </c>
      <c r="I1868" s="54" t="s">
        <v>178</v>
      </c>
      <c r="J1868" s="144">
        <v>45859</v>
      </c>
      <c r="K1868" s="54" t="s">
        <v>198</v>
      </c>
      <c r="L1868" s="8" t="s">
        <v>124</v>
      </c>
      <c r="M1868" s="8" t="s">
        <v>37</v>
      </c>
      <c r="N1868" s="52" t="str">
        <f>IF(Follow[[#This Row],[DATAATUALIZAÇÃO]]&lt;=Follow[[#This Row],[Prev Entrega]],"Dentro do Prazo","Fora do Prazo")</f>
        <v>Dentro do Prazo</v>
      </c>
      <c r="O186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1956 Rastreio Pedido 1956, agradecemos a preferência e adoraríamos receber sua avaliação, tendo qualquer dúvida estamos à disposição.
Att
Tem tudo Shop</v>
      </c>
    </row>
    <row r="1869" spans="1:15">
      <c r="A1869" s="52" t="str">
        <f>_xlfn.XLOOKUP(Follow[[#This Row],[CODRASTREIO]],Controle_Pedidos[Cód Rastreamento],Controle_Pedidos[Número Pedido Cliente])</f>
        <v>Pedido 1957</v>
      </c>
      <c r="B1869" s="2" t="s">
        <v>19282</v>
      </c>
      <c r="C1869" s="2" t="str">
        <f>Follow[[#This Row],[CODRASTREIO]]&amp;" B"</f>
        <v>CódRastreio1840 B</v>
      </c>
      <c r="D1869" s="52" t="str">
        <f>_xlfn.XLOOKUP(Follow[[#This Row],[Id Pedido]],Controle_Pedidos[Número Pedido Cliente],Controle_Pedidos[Loja])</f>
        <v>BV</v>
      </c>
      <c r="E1869" s="9">
        <f>_xlfn.XLOOKUP(Follow[[#This Row],[Id Pedido]],Controle_Pedidos[Número Pedido Cliente],Controle_Pedidos[Prazo Entrega])</f>
        <v>45871</v>
      </c>
      <c r="F1869" s="9" t="s">
        <v>19434</v>
      </c>
      <c r="G1869" s="9" t="s">
        <v>37</v>
      </c>
      <c r="H1869" s="52" t="s">
        <v>178</v>
      </c>
      <c r="I1869" s="54" t="s">
        <v>178</v>
      </c>
      <c r="J1869" s="144">
        <v>45860</v>
      </c>
      <c r="K1869" s="54" t="s">
        <v>198</v>
      </c>
      <c r="L1869" s="8" t="s">
        <v>124</v>
      </c>
      <c r="M1869" s="8" t="s">
        <v>37</v>
      </c>
      <c r="N1869" s="52" t="str">
        <f>IF(Follow[[#This Row],[DATAATUALIZAÇÃO]]&lt;=Follow[[#This Row],[Prev Entrega]],"Dentro do Prazo","Fora do Prazo")</f>
        <v>Dentro do Prazo</v>
      </c>
      <c r="O186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1957 Rastreio Pedido 1957, agradecemos a preferência e adoraríamos receber sua avaliação, tendo qualquer dúvida estamos à disposição.
Att
Tem tudo Shop</v>
      </c>
    </row>
    <row r="1870" spans="1:15">
      <c r="A1870" s="52" t="str">
        <f>_xlfn.XLOOKUP(Follow[[#This Row],[CODRASTREIO]],Controle_Pedidos[Cód Rastreamento],Controle_Pedidos[Número Pedido Cliente])</f>
        <v>Pedido 1958</v>
      </c>
      <c r="B1870" s="2" t="s">
        <v>19283</v>
      </c>
      <c r="C1870" s="2" t="str">
        <f>Follow[[#This Row],[CODRASTREIO]]&amp;" B"</f>
        <v>CódRastreio1841 B</v>
      </c>
      <c r="D1870" s="52" t="str">
        <f>_xlfn.XLOOKUP(Follow[[#This Row],[Id Pedido]],Controle_Pedidos[Número Pedido Cliente],Controle_Pedidos[Loja])</f>
        <v>BV</v>
      </c>
      <c r="E1870" s="9">
        <f>_xlfn.XLOOKUP(Follow[[#This Row],[Id Pedido]],Controle_Pedidos[Número Pedido Cliente],Controle_Pedidos[Prazo Entrega])</f>
        <v>45877</v>
      </c>
      <c r="F1870" s="9" t="s">
        <v>19434</v>
      </c>
      <c r="G1870" s="9" t="s">
        <v>37</v>
      </c>
      <c r="H1870" s="52" t="s">
        <v>178</v>
      </c>
      <c r="I1870" s="54" t="s">
        <v>178</v>
      </c>
      <c r="J1870" s="144">
        <v>45862</v>
      </c>
      <c r="K1870" s="54" t="s">
        <v>198</v>
      </c>
      <c r="L1870" s="8" t="s">
        <v>124</v>
      </c>
      <c r="M1870" s="8" t="s">
        <v>37</v>
      </c>
      <c r="N1870" s="52" t="str">
        <f>IF(Follow[[#This Row],[DATAATUALIZAÇÃO]]&lt;=Follow[[#This Row],[Prev Entrega]],"Dentro do Prazo","Fora do Prazo")</f>
        <v>Dentro do Prazo</v>
      </c>
      <c r="O187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1958 Rastreio Pedido 1958, agradecemos a preferência e adoraríamos receber sua avaliação, tendo qualquer dúvida estamos à disposição.
Att
Tem tudo Shop</v>
      </c>
    </row>
    <row r="1871" spans="1:15">
      <c r="A1871" s="52" t="str">
        <f>_xlfn.XLOOKUP(Follow[[#This Row],[CODRASTREIO]],Controle_Pedidos[Cód Rastreamento],Controle_Pedidos[Número Pedido Cliente])</f>
        <v>Pedido 1959</v>
      </c>
      <c r="B1871" s="2" t="s">
        <v>19284</v>
      </c>
      <c r="C1871" s="2" t="str">
        <f>Follow[[#This Row],[CODRASTREIO]]&amp;" B"</f>
        <v>CódRastreio1842 B</v>
      </c>
      <c r="D1871" s="52" t="str">
        <f>_xlfn.XLOOKUP(Follow[[#This Row],[Id Pedido]],Controle_Pedidos[Número Pedido Cliente],Controle_Pedidos[Loja])</f>
        <v>BV</v>
      </c>
      <c r="E1871" s="9">
        <f>_xlfn.XLOOKUP(Follow[[#This Row],[Id Pedido]],Controle_Pedidos[Número Pedido Cliente],Controle_Pedidos[Prazo Entrega])</f>
        <v>45867</v>
      </c>
      <c r="F1871" s="9" t="s">
        <v>19434</v>
      </c>
      <c r="G1871" s="9" t="s">
        <v>37</v>
      </c>
      <c r="H1871" s="52" t="s">
        <v>178</v>
      </c>
      <c r="I1871" s="54" t="s">
        <v>178</v>
      </c>
      <c r="J1871" s="144">
        <v>45859</v>
      </c>
      <c r="K1871" s="54" t="s">
        <v>198</v>
      </c>
      <c r="L1871" s="8" t="s">
        <v>124</v>
      </c>
      <c r="M1871" s="8" t="s">
        <v>37</v>
      </c>
      <c r="N1871" s="52" t="str">
        <f>IF(Follow[[#This Row],[DATAATUALIZAÇÃO]]&lt;=Follow[[#This Row],[Prev Entrega]],"Dentro do Prazo","Fora do Prazo")</f>
        <v>Dentro do Prazo</v>
      </c>
      <c r="O187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1959 Rastreio Pedido 1959, agradecemos a preferência e adoraríamos receber sua avaliação, tendo qualquer dúvida estamos à disposição.
Att
Tem tudo Shop</v>
      </c>
    </row>
    <row r="1872" spans="1:15">
      <c r="A1872" s="52" t="str">
        <f>_xlfn.XLOOKUP(Follow[[#This Row],[CODRASTREIO]],Controle_Pedidos[Cód Rastreamento],Controle_Pedidos[Número Pedido Cliente])</f>
        <v>Pedido 1961</v>
      </c>
      <c r="B1872" s="2" t="s">
        <v>19286</v>
      </c>
      <c r="C1872" s="2" t="str">
        <f>Follow[[#This Row],[CODRASTREIO]]&amp;" B"</f>
        <v>CódRastreio1844 B</v>
      </c>
      <c r="D1872" s="52" t="str">
        <f>_xlfn.XLOOKUP(Follow[[#This Row],[Id Pedido]],Controle_Pedidos[Número Pedido Cliente],Controle_Pedidos[Loja])</f>
        <v>BV</v>
      </c>
      <c r="E1872" s="9">
        <f>_xlfn.XLOOKUP(Follow[[#This Row],[Id Pedido]],Controle_Pedidos[Número Pedido Cliente],Controle_Pedidos[Prazo Entrega])</f>
        <v>45867</v>
      </c>
      <c r="F1872" s="9" t="s">
        <v>19434</v>
      </c>
      <c r="G1872" s="9" t="s">
        <v>37</v>
      </c>
      <c r="H1872" s="52" t="s">
        <v>178</v>
      </c>
      <c r="I1872" s="54" t="s">
        <v>178</v>
      </c>
      <c r="J1872" s="144">
        <v>45860</v>
      </c>
      <c r="K1872" s="54" t="s">
        <v>198</v>
      </c>
      <c r="L1872" s="8" t="s">
        <v>124</v>
      </c>
      <c r="M1872" s="8" t="s">
        <v>37</v>
      </c>
      <c r="N1872" s="52" t="str">
        <f>IF(Follow[[#This Row],[DATAATUALIZAÇÃO]]&lt;=Follow[[#This Row],[Prev Entrega]],"Dentro do Prazo","Fora do Prazo")</f>
        <v>Dentro do Prazo</v>
      </c>
      <c r="O187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1961 Rastreio Pedido 1961, agradecemos a preferência e adoraríamos receber sua avaliação, tendo qualquer dúvida estamos à disposição.
Att
Tem tudo Shop</v>
      </c>
    </row>
    <row r="1873" spans="1:15">
      <c r="A1873" s="52" t="str">
        <f>_xlfn.XLOOKUP(Follow[[#This Row],[CODRASTREIO]],Controle_Pedidos[Cód Rastreamento],Controle_Pedidos[Número Pedido Cliente])</f>
        <v>Pedido 1962</v>
      </c>
      <c r="B1873" s="2" t="s">
        <v>19287</v>
      </c>
      <c r="C1873" s="2" t="str">
        <f>Follow[[#This Row],[CODRASTREIO]]&amp;" B"</f>
        <v>CódRastreio1845 B</v>
      </c>
      <c r="D1873" s="52" t="str">
        <f>_xlfn.XLOOKUP(Follow[[#This Row],[Id Pedido]],Controle_Pedidos[Número Pedido Cliente],Controle_Pedidos[Loja])</f>
        <v>BV</v>
      </c>
      <c r="E1873" s="9">
        <f>_xlfn.XLOOKUP(Follow[[#This Row],[Id Pedido]],Controle_Pedidos[Número Pedido Cliente],Controle_Pedidos[Prazo Entrega])</f>
        <v>45871</v>
      </c>
      <c r="F1873" s="9" t="s">
        <v>19434</v>
      </c>
      <c r="G1873" s="9" t="s">
        <v>37</v>
      </c>
      <c r="H1873" s="52" t="s">
        <v>178</v>
      </c>
      <c r="I1873" s="54" t="s">
        <v>178</v>
      </c>
      <c r="J1873" s="144">
        <v>45860</v>
      </c>
      <c r="K1873" s="54" t="s">
        <v>198</v>
      </c>
      <c r="L1873" s="8" t="s">
        <v>124</v>
      </c>
      <c r="M1873" s="8" t="s">
        <v>37</v>
      </c>
      <c r="N1873" s="52" t="str">
        <f>IF(Follow[[#This Row],[DATAATUALIZAÇÃO]]&lt;=Follow[[#This Row],[Prev Entrega]],"Dentro do Prazo","Fora do Prazo")</f>
        <v>Dentro do Prazo</v>
      </c>
      <c r="O187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1962 Rastreio Pedido 1962, agradecemos a preferência e adoraríamos receber sua avaliação, tendo qualquer dúvida estamos à disposição.
Att
Tem tudo Shop</v>
      </c>
    </row>
    <row r="1874" spans="1:15">
      <c r="A1874" s="52" t="str">
        <f>_xlfn.XLOOKUP(Follow[[#This Row],[CODRASTREIO]],Controle_Pedidos[Cód Rastreamento],Controle_Pedidos[Número Pedido Cliente])</f>
        <v>Pedido 1966</v>
      </c>
      <c r="B1874" s="2" t="s">
        <v>19290</v>
      </c>
      <c r="C1874" s="2" t="str">
        <f>Follow[[#This Row],[CODRASTREIO]]&amp;" B"</f>
        <v>CódRastreio1848 B</v>
      </c>
      <c r="D1874" s="52" t="str">
        <f>_xlfn.XLOOKUP(Follow[[#This Row],[Id Pedido]],Controle_Pedidos[Número Pedido Cliente],Controle_Pedidos[Loja])</f>
        <v>BV</v>
      </c>
      <c r="E1874" s="9">
        <f>_xlfn.XLOOKUP(Follow[[#This Row],[Id Pedido]],Controle_Pedidos[Número Pedido Cliente],Controle_Pedidos[Prazo Entrega])</f>
        <v>45867</v>
      </c>
      <c r="F1874" s="9" t="s">
        <v>19434</v>
      </c>
      <c r="G1874" s="9" t="s">
        <v>37</v>
      </c>
      <c r="H1874" s="52" t="s">
        <v>178</v>
      </c>
      <c r="I1874" s="54" t="s">
        <v>178</v>
      </c>
      <c r="J1874" s="144">
        <v>45859</v>
      </c>
      <c r="K1874" s="54" t="s">
        <v>198</v>
      </c>
      <c r="L1874" s="8" t="s">
        <v>124</v>
      </c>
      <c r="M1874" s="8" t="s">
        <v>37</v>
      </c>
      <c r="N1874" s="52" t="str">
        <f>IF(Follow[[#This Row],[DATAATUALIZAÇÃO]]&lt;=Follow[[#This Row],[Prev Entrega]],"Dentro do Prazo","Fora do Prazo")</f>
        <v>Dentro do Prazo</v>
      </c>
      <c r="O187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1966 Rastreio Pedido 1966, agradecemos a preferência e adoraríamos receber sua avaliação, tendo qualquer dúvida estamos à disposição.
Att
Tem tudo Shop</v>
      </c>
    </row>
    <row r="1875" spans="1:15">
      <c r="A1875" s="52" t="str">
        <f>_xlfn.XLOOKUP(Follow[[#This Row],[CODRASTREIO]],Controle_Pedidos[Cód Rastreamento],Controle_Pedidos[Número Pedido Cliente])</f>
        <v>Pedido 1967</v>
      </c>
      <c r="B1875" s="2" t="s">
        <v>19291</v>
      </c>
      <c r="C1875" s="2" t="str">
        <f>Follow[[#This Row],[CODRASTREIO]]&amp;" B"</f>
        <v>CódRastreio1849 B</v>
      </c>
      <c r="D1875" s="52" t="str">
        <f>_xlfn.XLOOKUP(Follow[[#This Row],[Id Pedido]],Controle_Pedidos[Número Pedido Cliente],Controle_Pedidos[Loja])</f>
        <v>BV</v>
      </c>
      <c r="E1875" s="9">
        <f>_xlfn.XLOOKUP(Follow[[#This Row],[Id Pedido]],Controle_Pedidos[Número Pedido Cliente],Controle_Pedidos[Prazo Entrega])</f>
        <v>45867</v>
      </c>
      <c r="F1875" s="9" t="s">
        <v>19434</v>
      </c>
      <c r="G1875" s="9" t="s">
        <v>37</v>
      </c>
      <c r="H1875" s="52" t="s">
        <v>178</v>
      </c>
      <c r="I1875" s="54" t="s">
        <v>178</v>
      </c>
      <c r="J1875" s="144">
        <v>45859</v>
      </c>
      <c r="K1875" s="54" t="s">
        <v>198</v>
      </c>
      <c r="L1875" s="8" t="s">
        <v>124</v>
      </c>
      <c r="M1875" s="8" t="s">
        <v>37</v>
      </c>
      <c r="N1875" s="52" t="str">
        <f>IF(Follow[[#This Row],[DATAATUALIZAÇÃO]]&lt;=Follow[[#This Row],[Prev Entrega]],"Dentro do Prazo","Fora do Prazo")</f>
        <v>Dentro do Prazo</v>
      </c>
      <c r="O187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1967 Rastreio Pedido 1967, agradecemos a preferência e adoraríamos receber sua avaliação, tendo qualquer dúvida estamos à disposição.
Att
Tem tudo Shop</v>
      </c>
    </row>
    <row r="1876" spans="1:15">
      <c r="A1876" s="52" t="str">
        <f>_xlfn.XLOOKUP(Follow[[#This Row],[CODRASTREIO]],Controle_Pedidos[Cód Rastreamento],Controle_Pedidos[Número Pedido Cliente])</f>
        <v>Pedido 1968</v>
      </c>
      <c r="B1876" s="2" t="s">
        <v>19292</v>
      </c>
      <c r="C1876" s="2" t="str">
        <f>Follow[[#This Row],[CODRASTREIO]]&amp;" B"</f>
        <v>CódRastreio1850 B</v>
      </c>
      <c r="D1876" s="52" t="str">
        <f>_xlfn.XLOOKUP(Follow[[#This Row],[Id Pedido]],Controle_Pedidos[Número Pedido Cliente],Controle_Pedidos[Loja])</f>
        <v>BV</v>
      </c>
      <c r="E1876" s="9">
        <f>_xlfn.XLOOKUP(Follow[[#This Row],[Id Pedido]],Controle_Pedidos[Número Pedido Cliente],Controle_Pedidos[Prazo Entrega])</f>
        <v>45867</v>
      </c>
      <c r="F1876" s="9" t="s">
        <v>19434</v>
      </c>
      <c r="G1876" s="9" t="s">
        <v>37</v>
      </c>
      <c r="H1876" s="52" t="s">
        <v>178</v>
      </c>
      <c r="I1876" s="54" t="s">
        <v>178</v>
      </c>
      <c r="J1876" s="144">
        <v>45859</v>
      </c>
      <c r="K1876" s="54" t="s">
        <v>198</v>
      </c>
      <c r="L1876" s="8" t="s">
        <v>124</v>
      </c>
      <c r="M1876" s="8" t="s">
        <v>37</v>
      </c>
      <c r="N1876" s="52" t="str">
        <f>IF(Follow[[#This Row],[DATAATUALIZAÇÃO]]&lt;=Follow[[#This Row],[Prev Entrega]],"Dentro do Prazo","Fora do Prazo")</f>
        <v>Dentro do Prazo</v>
      </c>
      <c r="O187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1968 Rastreio Pedido 1968, agradecemos a preferência e adoraríamos receber sua avaliação, tendo qualquer dúvida estamos à disposição.
Att
Tem tudo Shop</v>
      </c>
    </row>
    <row r="1877" spans="1:15">
      <c r="A1877" s="52" t="str">
        <f>_xlfn.XLOOKUP(Follow[[#This Row],[CODRASTREIO]],Controle_Pedidos[Cód Rastreamento],Controle_Pedidos[Número Pedido Cliente])</f>
        <v>Pedido 1970</v>
      </c>
      <c r="B1877" s="2" t="s">
        <v>19294</v>
      </c>
      <c r="C1877" s="2" t="str">
        <f>Follow[[#This Row],[CODRASTREIO]]&amp;" B"</f>
        <v>CódRastreio1852 B</v>
      </c>
      <c r="D1877" s="52" t="str">
        <f>_xlfn.XLOOKUP(Follow[[#This Row],[Id Pedido]],Controle_Pedidos[Número Pedido Cliente],Controle_Pedidos[Loja])</f>
        <v>BV</v>
      </c>
      <c r="E1877" s="9">
        <f>_xlfn.XLOOKUP(Follow[[#This Row],[Id Pedido]],Controle_Pedidos[Número Pedido Cliente],Controle_Pedidos[Prazo Entrega])</f>
        <v>45871</v>
      </c>
      <c r="F1877" s="9" t="s">
        <v>19434</v>
      </c>
      <c r="G1877" s="9" t="s">
        <v>37</v>
      </c>
      <c r="H1877" s="52" t="s">
        <v>178</v>
      </c>
      <c r="I1877" s="54" t="s">
        <v>178</v>
      </c>
      <c r="J1877" s="144">
        <v>45862</v>
      </c>
      <c r="K1877" s="54" t="s">
        <v>198</v>
      </c>
      <c r="L1877" s="8" t="s">
        <v>124</v>
      </c>
      <c r="M1877" s="8" t="s">
        <v>37</v>
      </c>
      <c r="N1877" s="52" t="str">
        <f>IF(Follow[[#This Row],[DATAATUALIZAÇÃO]]&lt;=Follow[[#This Row],[Prev Entrega]],"Dentro do Prazo","Fora do Prazo")</f>
        <v>Dentro do Prazo</v>
      </c>
      <c r="O187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1970 Rastreio Pedido 1970, agradecemos a preferência e adoraríamos receber sua avaliação, tendo qualquer dúvida estamos à disposição.
Att
Tem tudo Shop</v>
      </c>
    </row>
    <row r="1878" spans="1:15">
      <c r="A1878" s="52" t="str">
        <f>_xlfn.XLOOKUP(Follow[[#This Row],[CODRASTREIO]],Controle_Pedidos[Cód Rastreamento],Controle_Pedidos[Número Pedido Cliente])</f>
        <v>Pedido 1971</v>
      </c>
      <c r="B1878" s="2" t="s">
        <v>19295</v>
      </c>
      <c r="C1878" s="2" t="str">
        <f>Follow[[#This Row],[CODRASTREIO]]&amp;" B"</f>
        <v>CódRastreio1853 B</v>
      </c>
      <c r="D1878" s="52" t="str">
        <f>_xlfn.XLOOKUP(Follow[[#This Row],[Id Pedido]],Controle_Pedidos[Número Pedido Cliente],Controle_Pedidos[Loja])</f>
        <v>BV</v>
      </c>
      <c r="E1878" s="9">
        <f>_xlfn.XLOOKUP(Follow[[#This Row],[Id Pedido]],Controle_Pedidos[Número Pedido Cliente],Controle_Pedidos[Prazo Entrega])</f>
        <v>45891</v>
      </c>
      <c r="F1878" s="9" t="s">
        <v>19434</v>
      </c>
      <c r="G1878" s="9">
        <v>888700172777234</v>
      </c>
      <c r="H1878" s="52" t="s">
        <v>178</v>
      </c>
      <c r="I1878" s="54" t="s">
        <v>178</v>
      </c>
      <c r="J1878" s="144">
        <v>45866</v>
      </c>
      <c r="K1878" s="54" t="s">
        <v>198</v>
      </c>
      <c r="L1878" s="8" t="s">
        <v>124</v>
      </c>
      <c r="M1878" s="8" t="s">
        <v>37</v>
      </c>
      <c r="N1878" s="52" t="str">
        <f>IF(Follow[[#This Row],[DATAATUALIZAÇÃO]]&lt;=Follow[[#This Row],[Prev Entrega]],"Dentro do Prazo","Fora do Prazo")</f>
        <v>Dentro do Prazo</v>
      </c>
      <c r="O187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1971 Rastreio 888700172777234, agradecemos a preferência e adoraríamos receber sua avaliação, tendo qualquer dúvida estamos à disposição.
Att
Tem tudo Shop</v>
      </c>
    </row>
    <row r="1879" spans="1:15">
      <c r="A1879" s="52" t="str">
        <f>_xlfn.XLOOKUP(Follow[[#This Row],[CODRASTREIO]],Controle_Pedidos[Cód Rastreamento],Controle_Pedidos[Número Pedido Cliente])</f>
        <v>Pedido 1973</v>
      </c>
      <c r="B1879" s="2" t="s">
        <v>19297</v>
      </c>
      <c r="C1879" s="2" t="str">
        <f>Follow[[#This Row],[CODRASTREIO]]&amp;" B"</f>
        <v>CódRastreio1855 B</v>
      </c>
      <c r="D1879" s="52" t="str">
        <f>_xlfn.XLOOKUP(Follow[[#This Row],[Id Pedido]],Controle_Pedidos[Número Pedido Cliente],Controle_Pedidos[Loja])</f>
        <v>BV</v>
      </c>
      <c r="E1879" s="9">
        <f>_xlfn.XLOOKUP(Follow[[#This Row],[Id Pedido]],Controle_Pedidos[Número Pedido Cliente],Controle_Pedidos[Prazo Entrega])</f>
        <v>45874</v>
      </c>
      <c r="F1879" s="9" t="s">
        <v>19434</v>
      </c>
      <c r="G1879" s="9">
        <v>888700173577829</v>
      </c>
      <c r="H1879" s="52" t="s">
        <v>178</v>
      </c>
      <c r="I1879" s="54" t="s">
        <v>178</v>
      </c>
      <c r="J1879" s="144">
        <v>45863</v>
      </c>
      <c r="K1879" s="54" t="s">
        <v>198</v>
      </c>
      <c r="L1879" s="8" t="s">
        <v>124</v>
      </c>
      <c r="M1879" s="8" t="s">
        <v>37</v>
      </c>
      <c r="N1879" s="52" t="str">
        <f>IF(Follow[[#This Row],[DATAATUALIZAÇÃO]]&lt;=Follow[[#This Row],[Prev Entrega]],"Dentro do Prazo","Fora do Prazo")</f>
        <v>Dentro do Prazo</v>
      </c>
      <c r="O187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1973 Rastreio 888700173577829, agradecemos a preferência e adoraríamos receber sua avaliação, tendo qualquer dúvida estamos à disposição.
Att
Tem tudo Shop</v>
      </c>
    </row>
    <row r="1880" spans="1:15">
      <c r="A1880" s="52" t="str">
        <f>_xlfn.XLOOKUP(Follow[[#This Row],[CODRASTREIO]],Controle_Pedidos[Cód Rastreamento],Controle_Pedidos[Número Pedido Cliente])</f>
        <v>Pedido 1975</v>
      </c>
      <c r="B1880" s="2" t="s">
        <v>19299</v>
      </c>
      <c r="C1880" s="2" t="str">
        <f>Follow[[#This Row],[CODRASTREIO]]&amp;" B"</f>
        <v>CódRastreio1857 B</v>
      </c>
      <c r="D1880" s="52" t="str">
        <f>_xlfn.XLOOKUP(Follow[[#This Row],[Id Pedido]],Controle_Pedidos[Número Pedido Cliente],Controle_Pedidos[Loja])</f>
        <v>BV</v>
      </c>
      <c r="E1880" s="9">
        <f>_xlfn.XLOOKUP(Follow[[#This Row],[Id Pedido]],Controle_Pedidos[Número Pedido Cliente],Controle_Pedidos[Prazo Entrega])</f>
        <v>45874</v>
      </c>
      <c r="F1880" s="9" t="s">
        <v>19434</v>
      </c>
      <c r="G1880" s="9">
        <v>888700173736575</v>
      </c>
      <c r="H1880" s="52" t="s">
        <v>178</v>
      </c>
      <c r="I1880" s="54" t="s">
        <v>178</v>
      </c>
      <c r="J1880" s="144">
        <v>45868</v>
      </c>
      <c r="K1880" s="54" t="s">
        <v>198</v>
      </c>
      <c r="L1880" s="8" t="s">
        <v>124</v>
      </c>
      <c r="M1880" s="8" t="s">
        <v>37</v>
      </c>
      <c r="N1880" s="52" t="str">
        <f>IF(Follow[[#This Row],[DATAATUALIZAÇÃO]]&lt;=Follow[[#This Row],[Prev Entrega]],"Dentro do Prazo","Fora do Prazo")</f>
        <v>Dentro do Prazo</v>
      </c>
      <c r="O188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30/07/2025, referente ao pedido Nº Pedido 1975 Rastreio 888700173736575, agradecemos a preferência e adoraríamos receber sua avaliação, tendo qualquer dúvida estamos à disposição.
Att
Tem tudo Shop</v>
      </c>
    </row>
    <row r="1881" spans="1:15">
      <c r="A1881" s="52" t="str">
        <f>_xlfn.XLOOKUP(Follow[[#This Row],[CODRASTREIO]],Controle_Pedidos[Cód Rastreamento],Controle_Pedidos[Número Pedido Cliente])</f>
        <v>Pedido 1976</v>
      </c>
      <c r="B1881" s="2" t="s">
        <v>19300</v>
      </c>
      <c r="C1881" s="2" t="str">
        <f>Follow[[#This Row],[CODRASTREIO]]&amp;" B"</f>
        <v>CódRastreio1858 B</v>
      </c>
      <c r="D1881" s="52" t="str">
        <f>_xlfn.XLOOKUP(Follow[[#This Row],[Id Pedido]],Controle_Pedidos[Número Pedido Cliente],Controle_Pedidos[Loja])</f>
        <v>BV</v>
      </c>
      <c r="E1881" s="9">
        <f>_xlfn.XLOOKUP(Follow[[#This Row],[Id Pedido]],Controle_Pedidos[Número Pedido Cliente],Controle_Pedidos[Prazo Entrega])</f>
        <v>45870</v>
      </c>
      <c r="F1881" s="9" t="s">
        <v>19434</v>
      </c>
      <c r="G1881" s="9" t="s">
        <v>37</v>
      </c>
      <c r="H1881" s="52" t="s">
        <v>178</v>
      </c>
      <c r="I1881" s="54" t="s">
        <v>178</v>
      </c>
      <c r="J1881" s="144">
        <v>45862</v>
      </c>
      <c r="K1881" s="54" t="s">
        <v>198</v>
      </c>
      <c r="L1881" s="8" t="s">
        <v>124</v>
      </c>
      <c r="M1881" s="8" t="s">
        <v>37</v>
      </c>
      <c r="N1881" s="52" t="str">
        <f>IF(Follow[[#This Row],[DATAATUALIZAÇÃO]]&lt;=Follow[[#This Row],[Prev Entrega]],"Dentro do Prazo","Fora do Prazo")</f>
        <v>Dentro do Prazo</v>
      </c>
      <c r="O188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1976 Rastreio Pedido 1976, agradecemos a preferência e adoraríamos receber sua avaliação, tendo qualquer dúvida estamos à disposição.
Att
Tem tudo Shop</v>
      </c>
    </row>
    <row r="1882" spans="1:15">
      <c r="A1882" s="52" t="str">
        <f>_xlfn.XLOOKUP(Follow[[#This Row],[CODRASTREIO]],Controle_Pedidos[Cód Rastreamento],Controle_Pedidos[Número Pedido Cliente])</f>
        <v>Pedido 1977</v>
      </c>
      <c r="B1882" s="2" t="s">
        <v>19301</v>
      </c>
      <c r="C1882" s="2" t="str">
        <f>Follow[[#This Row],[CODRASTREIO]]&amp;" B"</f>
        <v>CódRastreio1859 B</v>
      </c>
      <c r="D1882" s="52" t="str">
        <f>_xlfn.XLOOKUP(Follow[[#This Row],[Id Pedido]],Controle_Pedidos[Número Pedido Cliente],Controle_Pedidos[Loja])</f>
        <v>BV</v>
      </c>
      <c r="E1882" s="9">
        <f>_xlfn.XLOOKUP(Follow[[#This Row],[Id Pedido]],Controle_Pedidos[Número Pedido Cliente],Controle_Pedidos[Prazo Entrega])</f>
        <v>45868</v>
      </c>
      <c r="F1882" s="9" t="s">
        <v>19434</v>
      </c>
      <c r="G1882" s="9" t="s">
        <v>37</v>
      </c>
      <c r="H1882" s="52" t="s">
        <v>178</v>
      </c>
      <c r="I1882" s="54" t="s">
        <v>178</v>
      </c>
      <c r="J1882" s="144">
        <v>45859</v>
      </c>
      <c r="K1882" s="54" t="s">
        <v>533</v>
      </c>
      <c r="L1882" s="8" t="s">
        <v>184</v>
      </c>
      <c r="M1882" s="8" t="s">
        <v>37</v>
      </c>
      <c r="N1882" s="52" t="str">
        <f>IF(Follow[[#This Row],[DATAATUALIZAÇÃO]]&lt;=Follow[[#This Row],[Prev Entrega]],"Dentro do Prazo","Fora do Prazo")</f>
        <v>Dentro do Prazo</v>
      </c>
      <c r="O18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21/07/2025, referente ao pedido Nº Pedido 1977 Rastreio Pedido 1977, agradecemos a preferência e adoraríamos receber sua avaliação, tendo qualquer dúvida estamos à disposição.
Att
Tem tudo Shop</v>
      </c>
    </row>
    <row r="1883" spans="1:15">
      <c r="A1883" s="52" t="str">
        <f>_xlfn.XLOOKUP(Follow[[#This Row],[CODRASTREIO]],Controle_Pedidos[Cód Rastreamento],Controle_Pedidos[Número Pedido Cliente])</f>
        <v>Pedido 1979</v>
      </c>
      <c r="B1883" s="2" t="s">
        <v>19303</v>
      </c>
      <c r="C1883" s="2" t="str">
        <f>Follow[[#This Row],[CODRASTREIO]]&amp;" B"</f>
        <v>CódRastreio1861 B</v>
      </c>
      <c r="D1883" s="52" t="str">
        <f>_xlfn.XLOOKUP(Follow[[#This Row],[Id Pedido]],Controle_Pedidos[Número Pedido Cliente],Controle_Pedidos[Loja])</f>
        <v>BV</v>
      </c>
      <c r="E1883" s="9">
        <f>_xlfn.XLOOKUP(Follow[[#This Row],[Id Pedido]],Controle_Pedidos[Número Pedido Cliente],Controle_Pedidos[Prazo Entrega])</f>
        <v>45878</v>
      </c>
      <c r="F1883" s="9" t="s">
        <v>19434</v>
      </c>
      <c r="G1883" s="9">
        <v>888700169710218</v>
      </c>
      <c r="H1883" s="52" t="s">
        <v>178</v>
      </c>
      <c r="I1883" s="54" t="s">
        <v>178</v>
      </c>
      <c r="J1883" s="144">
        <v>45864</v>
      </c>
      <c r="K1883" s="54" t="s">
        <v>198</v>
      </c>
      <c r="L1883" s="8" t="s">
        <v>124</v>
      </c>
      <c r="M1883" s="8" t="s">
        <v>37</v>
      </c>
      <c r="N1883" s="52" t="str">
        <f>IF(Follow[[#This Row],[DATAATUALIZAÇÃO]]&lt;=Follow[[#This Row],[Prev Entrega]],"Dentro do Prazo","Fora do Prazo")</f>
        <v>Dentro do Prazo</v>
      </c>
      <c r="O188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1979 Rastreio 888700169710218, agradecemos a preferência e adoraríamos receber sua avaliação, tendo qualquer dúvida estamos à disposição.
Att
Tem tudo Shop</v>
      </c>
    </row>
    <row r="1884" spans="1:15">
      <c r="A1884" s="52" t="str">
        <f>_xlfn.XLOOKUP(Follow[[#This Row],[CODRASTREIO]],Controle_Pedidos[Cód Rastreamento],Controle_Pedidos[Número Pedido Cliente])</f>
        <v>Pedido 1980</v>
      </c>
      <c r="B1884" s="2" t="s">
        <v>19304</v>
      </c>
      <c r="C1884" s="2" t="str">
        <f>Follow[[#This Row],[CODRASTREIO]]&amp;" B"</f>
        <v>CódRastreio1862 B</v>
      </c>
      <c r="D1884" s="52" t="str">
        <f>_xlfn.XLOOKUP(Follow[[#This Row],[Id Pedido]],Controle_Pedidos[Número Pedido Cliente],Controle_Pedidos[Loja])</f>
        <v>BV</v>
      </c>
      <c r="E1884" s="9">
        <f>_xlfn.XLOOKUP(Follow[[#This Row],[Id Pedido]],Controle_Pedidos[Número Pedido Cliente],Controle_Pedidos[Prazo Entrega])</f>
        <v>45868</v>
      </c>
      <c r="F1884" s="9" t="s">
        <v>19434</v>
      </c>
      <c r="G1884" s="9" t="s">
        <v>37</v>
      </c>
      <c r="H1884" s="52" t="s">
        <v>178</v>
      </c>
      <c r="I1884" s="54" t="s">
        <v>178</v>
      </c>
      <c r="J1884" s="144">
        <v>45861</v>
      </c>
      <c r="K1884" s="54" t="s">
        <v>198</v>
      </c>
      <c r="L1884" s="8" t="s">
        <v>124</v>
      </c>
      <c r="M1884" s="8" t="s">
        <v>37</v>
      </c>
      <c r="N1884" s="52" t="str">
        <f>IF(Follow[[#This Row],[DATAATUALIZAÇÃO]]&lt;=Follow[[#This Row],[Prev Entrega]],"Dentro do Prazo","Fora do Prazo")</f>
        <v>Dentro do Prazo</v>
      </c>
      <c r="O18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1980 Rastreio Pedido 1980, agradecemos a preferência e adoraríamos receber sua avaliação, tendo qualquer dúvida estamos à disposição.
Att
Tem tudo Shop</v>
      </c>
    </row>
    <row r="1885" spans="1:15">
      <c r="A1885" s="52" t="str">
        <f>_xlfn.XLOOKUP(Follow[[#This Row],[CODRASTREIO]],Controle_Pedidos[Cód Rastreamento],Controle_Pedidos[Número Pedido Cliente])</f>
        <v>Pedido 1981</v>
      </c>
      <c r="B1885" s="2" t="s">
        <v>19305</v>
      </c>
      <c r="C1885" s="2" t="str">
        <f>Follow[[#This Row],[CODRASTREIO]]&amp;" B"</f>
        <v>CódRastreio1863 B</v>
      </c>
      <c r="D1885" s="52" t="str">
        <f>_xlfn.XLOOKUP(Follow[[#This Row],[Id Pedido]],Controle_Pedidos[Número Pedido Cliente],Controle_Pedidos[Loja])</f>
        <v>BV</v>
      </c>
      <c r="E1885" s="9">
        <f>_xlfn.XLOOKUP(Follow[[#This Row],[Id Pedido]],Controle_Pedidos[Número Pedido Cliente],Controle_Pedidos[Prazo Entrega])</f>
        <v>45874</v>
      </c>
      <c r="F1885" s="9" t="s">
        <v>19434</v>
      </c>
      <c r="G1885" s="9" t="s">
        <v>37</v>
      </c>
      <c r="H1885" s="52" t="s">
        <v>178</v>
      </c>
      <c r="I1885" s="54" t="s">
        <v>178</v>
      </c>
      <c r="J1885" s="144">
        <v>45862</v>
      </c>
      <c r="K1885" s="54" t="s">
        <v>198</v>
      </c>
      <c r="L1885" s="8" t="s">
        <v>124</v>
      </c>
      <c r="M1885" s="8" t="s">
        <v>37</v>
      </c>
      <c r="N1885" s="52" t="str">
        <f>IF(Follow[[#This Row],[DATAATUALIZAÇÃO]]&lt;=Follow[[#This Row],[Prev Entrega]],"Dentro do Prazo","Fora do Prazo")</f>
        <v>Dentro do Prazo</v>
      </c>
      <c r="O188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1981 Rastreio Pedido 1981, agradecemos a preferência e adoraríamos receber sua avaliação, tendo qualquer dúvida estamos à disposição.
Att
Tem tudo Shop</v>
      </c>
    </row>
    <row r="1886" spans="1:15">
      <c r="A1886" s="52" t="str">
        <f>_xlfn.XLOOKUP(Follow[[#This Row],[CODRASTREIO]],Controle_Pedidos[Cód Rastreamento],Controle_Pedidos[Número Pedido Cliente])</f>
        <v>Pedido 1982</v>
      </c>
      <c r="B1886" s="2" t="s">
        <v>19306</v>
      </c>
      <c r="C1886" s="2" t="str">
        <f>Follow[[#This Row],[CODRASTREIO]]&amp;" B"</f>
        <v>CódRastreio1864 B</v>
      </c>
      <c r="D1886" s="52" t="str">
        <f>_xlfn.XLOOKUP(Follow[[#This Row],[Id Pedido]],Controle_Pedidos[Número Pedido Cliente],Controle_Pedidos[Loja])</f>
        <v>BV</v>
      </c>
      <c r="E1886" s="9">
        <f>_xlfn.XLOOKUP(Follow[[#This Row],[Id Pedido]],Controle_Pedidos[Número Pedido Cliente],Controle_Pedidos[Prazo Entrega])</f>
        <v>45874</v>
      </c>
      <c r="F1886" s="9" t="s">
        <v>19434</v>
      </c>
      <c r="G1886" s="9" t="s">
        <v>37</v>
      </c>
      <c r="H1886" s="52" t="s">
        <v>178</v>
      </c>
      <c r="I1886" s="54" t="s">
        <v>178</v>
      </c>
      <c r="J1886" s="144">
        <v>45862</v>
      </c>
      <c r="K1886" s="54" t="s">
        <v>198</v>
      </c>
      <c r="L1886" s="8" t="s">
        <v>124</v>
      </c>
      <c r="M1886" s="8" t="s">
        <v>37</v>
      </c>
      <c r="N1886" s="52" t="str">
        <f>IF(Follow[[#This Row],[DATAATUALIZAÇÃO]]&lt;=Follow[[#This Row],[Prev Entrega]],"Dentro do Prazo","Fora do Prazo")</f>
        <v>Dentro do Prazo</v>
      </c>
      <c r="O188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1982 Rastreio Pedido 1982, agradecemos a preferência e adoraríamos receber sua avaliação, tendo qualquer dúvida estamos à disposição.
Att
Tem tudo Shop</v>
      </c>
    </row>
    <row r="1887" spans="1:15">
      <c r="A1887" s="52" t="str">
        <f>_xlfn.XLOOKUP(Follow[[#This Row],[CODRASTREIO]],Controle_Pedidos[Cód Rastreamento],Controle_Pedidos[Número Pedido Cliente])</f>
        <v>Pedido 1983</v>
      </c>
      <c r="B1887" s="2" t="s">
        <v>19307</v>
      </c>
      <c r="C1887" s="2" t="str">
        <f>Follow[[#This Row],[CODRASTREIO]]&amp;" B"</f>
        <v>CódRastreio1865 B</v>
      </c>
      <c r="D1887" s="52" t="str">
        <f>_xlfn.XLOOKUP(Follow[[#This Row],[Id Pedido]],Controle_Pedidos[Número Pedido Cliente],Controle_Pedidos[Loja])</f>
        <v>BV</v>
      </c>
      <c r="E1887" s="9">
        <f>_xlfn.XLOOKUP(Follow[[#This Row],[Id Pedido]],Controle_Pedidos[Número Pedido Cliente],Controle_Pedidos[Prazo Entrega])</f>
        <v>45868</v>
      </c>
      <c r="F1887" s="9" t="s">
        <v>19434</v>
      </c>
      <c r="G1887" s="9" t="s">
        <v>37</v>
      </c>
      <c r="H1887" s="52" t="s">
        <v>178</v>
      </c>
      <c r="I1887" s="54" t="s">
        <v>178</v>
      </c>
      <c r="J1887" s="144">
        <v>45861</v>
      </c>
      <c r="K1887" s="54" t="s">
        <v>198</v>
      </c>
      <c r="L1887" s="8" t="s">
        <v>124</v>
      </c>
      <c r="M1887" s="8" t="s">
        <v>37</v>
      </c>
      <c r="N1887" s="52" t="str">
        <f>IF(Follow[[#This Row],[DATAATUALIZAÇÃO]]&lt;=Follow[[#This Row],[Prev Entrega]],"Dentro do Prazo","Fora do Prazo")</f>
        <v>Dentro do Prazo</v>
      </c>
      <c r="O188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1983 Rastreio Pedido 1983, agradecemos a preferência e adoraríamos receber sua avaliação, tendo qualquer dúvida estamos à disposição.
Att
Tem tudo Shop</v>
      </c>
    </row>
    <row r="1888" spans="1:15">
      <c r="A1888" s="52" t="str">
        <f>_xlfn.XLOOKUP(Follow[[#This Row],[CODRASTREIO]],Controle_Pedidos[Cód Rastreamento],Controle_Pedidos[Número Pedido Cliente])</f>
        <v>Pedido 1984</v>
      </c>
      <c r="B1888" s="2" t="s">
        <v>19308</v>
      </c>
      <c r="C1888" s="2" t="str">
        <f>Follow[[#This Row],[CODRASTREIO]]&amp;" B"</f>
        <v>CódRastreio1866 B</v>
      </c>
      <c r="D1888" s="52" t="str">
        <f>_xlfn.XLOOKUP(Follow[[#This Row],[Id Pedido]],Controle_Pedidos[Número Pedido Cliente],Controle_Pedidos[Loja])</f>
        <v>BV</v>
      </c>
      <c r="E1888" s="9">
        <f>_xlfn.XLOOKUP(Follow[[#This Row],[Id Pedido]],Controle_Pedidos[Número Pedido Cliente],Controle_Pedidos[Prazo Entrega])</f>
        <v>45874</v>
      </c>
      <c r="F1888" s="9" t="s">
        <v>19434</v>
      </c>
      <c r="G1888" s="9" t="s">
        <v>37</v>
      </c>
      <c r="H1888" s="52" t="s">
        <v>178</v>
      </c>
      <c r="I1888" s="54" t="s">
        <v>178</v>
      </c>
      <c r="J1888" s="144">
        <v>45862</v>
      </c>
      <c r="K1888" s="54" t="s">
        <v>198</v>
      </c>
      <c r="L1888" s="8" t="s">
        <v>124</v>
      </c>
      <c r="M1888" s="8" t="s">
        <v>37</v>
      </c>
      <c r="N1888" s="52" t="str">
        <f>IF(Follow[[#This Row],[DATAATUALIZAÇÃO]]&lt;=Follow[[#This Row],[Prev Entrega]],"Dentro do Prazo","Fora do Prazo")</f>
        <v>Dentro do Prazo</v>
      </c>
      <c r="O188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1984 Rastreio Pedido 1984, agradecemos a preferência e adoraríamos receber sua avaliação, tendo qualquer dúvida estamos à disposição.
Att
Tem tudo Shop</v>
      </c>
    </row>
    <row r="1889" spans="1:15">
      <c r="A1889" s="52" t="str">
        <f>_xlfn.XLOOKUP(Follow[[#This Row],[CODRASTREIO]],Controle_Pedidos[Cód Rastreamento],Controle_Pedidos[Número Pedido Cliente])</f>
        <v>Pedido 1985</v>
      </c>
      <c r="B1889" s="2" t="s">
        <v>19309</v>
      </c>
      <c r="C1889" s="2" t="str">
        <f>Follow[[#This Row],[CODRASTREIO]]&amp;" B"</f>
        <v>CódRastreio1867 B</v>
      </c>
      <c r="D1889" s="52" t="str">
        <f>_xlfn.XLOOKUP(Follow[[#This Row],[Id Pedido]],Controle_Pedidos[Número Pedido Cliente],Controle_Pedidos[Loja])</f>
        <v>BV</v>
      </c>
      <c r="E1889" s="9">
        <f>_xlfn.XLOOKUP(Follow[[#This Row],[Id Pedido]],Controle_Pedidos[Número Pedido Cliente],Controle_Pedidos[Prazo Entrega])</f>
        <v>45874</v>
      </c>
      <c r="F1889" s="9" t="s">
        <v>19434</v>
      </c>
      <c r="G1889" s="9">
        <v>888700171085044</v>
      </c>
      <c r="H1889" s="52" t="s">
        <v>178</v>
      </c>
      <c r="I1889" s="54" t="s">
        <v>178</v>
      </c>
      <c r="J1889" s="144">
        <v>45863</v>
      </c>
      <c r="K1889" s="54" t="s">
        <v>198</v>
      </c>
      <c r="L1889" s="8" t="s">
        <v>124</v>
      </c>
      <c r="M1889" s="8" t="s">
        <v>37</v>
      </c>
      <c r="N1889" s="52" t="str">
        <f>IF(Follow[[#This Row],[DATAATUALIZAÇÃO]]&lt;=Follow[[#This Row],[Prev Entrega]],"Dentro do Prazo","Fora do Prazo")</f>
        <v>Dentro do Prazo</v>
      </c>
      <c r="O188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1985 Rastreio 888700171085044, agradecemos a preferência e adoraríamos receber sua avaliação, tendo qualquer dúvida estamos à disposição.
Att
Tem tudo Shop</v>
      </c>
    </row>
    <row r="1890" spans="1:15">
      <c r="A1890" s="52" t="str">
        <f>_xlfn.XLOOKUP(Follow[[#This Row],[CODRASTREIO]],Controle_Pedidos[Cód Rastreamento],Controle_Pedidos[Número Pedido Cliente])</f>
        <v>Pedido 1986</v>
      </c>
      <c r="B1890" s="2" t="s">
        <v>19310</v>
      </c>
      <c r="C1890" s="2" t="str">
        <f>Follow[[#This Row],[CODRASTREIO]]&amp;" B"</f>
        <v>CódRastreio1868 B</v>
      </c>
      <c r="D1890" s="52" t="str">
        <f>_xlfn.XLOOKUP(Follow[[#This Row],[Id Pedido]],Controle_Pedidos[Número Pedido Cliente],Controle_Pedidos[Loja])</f>
        <v>BV</v>
      </c>
      <c r="E1890" s="9">
        <f>_xlfn.XLOOKUP(Follow[[#This Row],[Id Pedido]],Controle_Pedidos[Número Pedido Cliente],Controle_Pedidos[Prazo Entrega])</f>
        <v>45874</v>
      </c>
      <c r="F1890" s="9" t="s">
        <v>19434</v>
      </c>
      <c r="G1890" s="9" t="s">
        <v>37</v>
      </c>
      <c r="H1890" s="52" t="s">
        <v>178</v>
      </c>
      <c r="I1890" s="54" t="s">
        <v>178</v>
      </c>
      <c r="J1890" s="144">
        <v>45862</v>
      </c>
      <c r="K1890" s="54" t="s">
        <v>198</v>
      </c>
      <c r="L1890" s="8" t="s">
        <v>124</v>
      </c>
      <c r="M1890" s="8" t="s">
        <v>37</v>
      </c>
      <c r="N1890" s="52" t="str">
        <f>IF(Follow[[#This Row],[DATAATUALIZAÇÃO]]&lt;=Follow[[#This Row],[Prev Entrega]],"Dentro do Prazo","Fora do Prazo")</f>
        <v>Dentro do Prazo</v>
      </c>
      <c r="O189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1986 Rastreio Pedido 1986, agradecemos a preferência e adoraríamos receber sua avaliação, tendo qualquer dúvida estamos à disposição.
Att
Tem tudo Shop</v>
      </c>
    </row>
    <row r="1891" spans="1:15">
      <c r="A1891" s="52" t="str">
        <f>_xlfn.XLOOKUP(Follow[[#This Row],[CODRASTREIO]],Controle_Pedidos[Cód Rastreamento],Controle_Pedidos[Número Pedido Cliente])</f>
        <v>Pedido 1987</v>
      </c>
      <c r="B1891" s="2" t="s">
        <v>19311</v>
      </c>
      <c r="C1891" s="2" t="str">
        <f>Follow[[#This Row],[CODRASTREIO]]&amp;" B"</f>
        <v>CódRastreio1869 B</v>
      </c>
      <c r="D1891" s="52" t="str">
        <f>_xlfn.XLOOKUP(Follow[[#This Row],[Id Pedido]],Controle_Pedidos[Número Pedido Cliente],Controle_Pedidos[Loja])</f>
        <v>BV</v>
      </c>
      <c r="E1891" s="9">
        <f>_xlfn.XLOOKUP(Follow[[#This Row],[Id Pedido]],Controle_Pedidos[Número Pedido Cliente],Controle_Pedidos[Prazo Entrega])</f>
        <v>45870</v>
      </c>
      <c r="F1891" s="9" t="s">
        <v>19434</v>
      </c>
      <c r="G1891" s="9">
        <v>888700173130577</v>
      </c>
      <c r="H1891" s="52" t="s">
        <v>178</v>
      </c>
      <c r="I1891" s="54" t="s">
        <v>178</v>
      </c>
      <c r="J1891" s="144">
        <v>45863</v>
      </c>
      <c r="K1891" s="54" t="s">
        <v>198</v>
      </c>
      <c r="L1891" s="8" t="s">
        <v>124</v>
      </c>
      <c r="M1891" s="8" t="s">
        <v>37</v>
      </c>
      <c r="N1891" s="52" t="str">
        <f>IF(Follow[[#This Row],[DATAATUALIZAÇÃO]]&lt;=Follow[[#This Row],[Prev Entrega]],"Dentro do Prazo","Fora do Prazo")</f>
        <v>Dentro do Prazo</v>
      </c>
      <c r="O189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1987 Rastreio 888700173130577, agradecemos a preferência e adoraríamos receber sua avaliação, tendo qualquer dúvida estamos à disposição.
Att
Tem tudo Shop</v>
      </c>
    </row>
    <row r="1892" spans="1:15">
      <c r="A1892" s="52" t="str">
        <f>_xlfn.XLOOKUP(Follow[[#This Row],[CODRASTREIO]],Controle_Pedidos[Cód Rastreamento],Controle_Pedidos[Número Pedido Cliente])</f>
        <v>Pedido 1988</v>
      </c>
      <c r="B1892" s="2" t="s">
        <v>19312</v>
      </c>
      <c r="C1892" s="2" t="str">
        <f>Follow[[#This Row],[CODRASTREIO]]&amp;" B"</f>
        <v>CódRastreio1870 B</v>
      </c>
      <c r="D1892" s="52" t="str">
        <f>_xlfn.XLOOKUP(Follow[[#This Row],[Id Pedido]],Controle_Pedidos[Número Pedido Cliente],Controle_Pedidos[Loja])</f>
        <v>BV</v>
      </c>
      <c r="E1892" s="9">
        <f>_xlfn.XLOOKUP(Follow[[#This Row],[Id Pedido]],Controle_Pedidos[Número Pedido Cliente],Controle_Pedidos[Prazo Entrega])</f>
        <v>45868</v>
      </c>
      <c r="F1892" s="9" t="s">
        <v>19434</v>
      </c>
      <c r="G1892" s="9">
        <v>888700152892295</v>
      </c>
      <c r="H1892" s="52" t="s">
        <v>178</v>
      </c>
      <c r="I1892" s="54" t="s">
        <v>178</v>
      </c>
      <c r="J1892" s="144">
        <v>45866</v>
      </c>
      <c r="K1892" s="54" t="s">
        <v>198</v>
      </c>
      <c r="L1892" s="8" t="s">
        <v>124</v>
      </c>
      <c r="M1892" s="8" t="s">
        <v>37</v>
      </c>
      <c r="N1892" s="52" t="str">
        <f>IF(Follow[[#This Row],[DATAATUALIZAÇÃO]]&lt;=Follow[[#This Row],[Prev Entrega]],"Dentro do Prazo","Fora do Prazo")</f>
        <v>Dentro do Prazo</v>
      </c>
      <c r="O189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1988 Rastreio 888700152892295, agradecemos a preferência e adoraríamos receber sua avaliação, tendo qualquer dúvida estamos à disposição.
Att
Tem tudo Shop</v>
      </c>
    </row>
    <row r="1893" spans="1:15">
      <c r="A1893" s="52" t="str">
        <f>_xlfn.XLOOKUP(Follow[[#This Row],[CODRASTREIO]],Controle_Pedidos[Cód Rastreamento],Controle_Pedidos[Número Pedido Cliente])</f>
        <v>Pedido 1989</v>
      </c>
      <c r="B1893" s="2" t="s">
        <v>19313</v>
      </c>
      <c r="C1893" s="2" t="str">
        <f>Follow[[#This Row],[CODRASTREIO]]&amp;" B"</f>
        <v>CódRastreio1871 B</v>
      </c>
      <c r="D1893" s="52" t="str">
        <f>_xlfn.XLOOKUP(Follow[[#This Row],[Id Pedido]],Controle_Pedidos[Número Pedido Cliente],Controle_Pedidos[Loja])</f>
        <v>BV</v>
      </c>
      <c r="E1893" s="9">
        <f>_xlfn.XLOOKUP(Follow[[#This Row],[Id Pedido]],Controle_Pedidos[Número Pedido Cliente],Controle_Pedidos[Prazo Entrega])</f>
        <v>45874</v>
      </c>
      <c r="F1893" s="9" t="s">
        <v>19434</v>
      </c>
      <c r="G1893" s="9" t="s">
        <v>37</v>
      </c>
      <c r="H1893" s="52" t="s">
        <v>178</v>
      </c>
      <c r="I1893" s="54" t="s">
        <v>178</v>
      </c>
      <c r="J1893" s="144">
        <v>45862</v>
      </c>
      <c r="K1893" s="54" t="s">
        <v>198</v>
      </c>
      <c r="L1893" s="8" t="s">
        <v>124</v>
      </c>
      <c r="M1893" s="8" t="s">
        <v>37</v>
      </c>
      <c r="N1893" s="52" t="str">
        <f>IF(Follow[[#This Row],[DATAATUALIZAÇÃO]]&lt;=Follow[[#This Row],[Prev Entrega]],"Dentro do Prazo","Fora do Prazo")</f>
        <v>Dentro do Prazo</v>
      </c>
      <c r="O189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1989 Rastreio Pedido 1989, agradecemos a preferência e adoraríamos receber sua avaliação, tendo qualquer dúvida estamos à disposição.
Att
Tem tudo Shop</v>
      </c>
    </row>
    <row r="1894" spans="1:15">
      <c r="A1894" s="52" t="str">
        <f>_xlfn.XLOOKUP(Follow[[#This Row],[CODRASTREIO]],Controle_Pedidos[Cód Rastreamento],Controle_Pedidos[Número Pedido Cliente])</f>
        <v>Pedido 1990</v>
      </c>
      <c r="B1894" s="2" t="s">
        <v>19314</v>
      </c>
      <c r="C1894" s="2" t="str">
        <f>Follow[[#This Row],[CODRASTREIO]]&amp;" B"</f>
        <v>CódRastreio1872 B</v>
      </c>
      <c r="D1894" s="52" t="str">
        <f>_xlfn.XLOOKUP(Follow[[#This Row],[Id Pedido]],Controle_Pedidos[Número Pedido Cliente],Controle_Pedidos[Loja])</f>
        <v>BV</v>
      </c>
      <c r="E1894" s="9">
        <f>_xlfn.XLOOKUP(Follow[[#This Row],[Id Pedido]],Controle_Pedidos[Número Pedido Cliente],Controle_Pedidos[Prazo Entrega])</f>
        <v>45874</v>
      </c>
      <c r="F1894" s="9" t="s">
        <v>19434</v>
      </c>
      <c r="G1894" s="9">
        <v>888700165222085</v>
      </c>
      <c r="H1894" s="52" t="s">
        <v>178</v>
      </c>
      <c r="I1894" s="54" t="s">
        <v>178</v>
      </c>
      <c r="J1894" s="144">
        <v>45863</v>
      </c>
      <c r="K1894" s="54" t="s">
        <v>198</v>
      </c>
      <c r="L1894" s="8" t="s">
        <v>124</v>
      </c>
      <c r="M1894" s="8" t="s">
        <v>37</v>
      </c>
      <c r="N1894" s="52" t="str">
        <f>IF(Follow[[#This Row],[DATAATUALIZAÇÃO]]&lt;=Follow[[#This Row],[Prev Entrega]],"Dentro do Prazo","Fora do Prazo")</f>
        <v>Dentro do Prazo</v>
      </c>
      <c r="O189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1990 Rastreio 888700165222085, agradecemos a preferência e adoraríamos receber sua avaliação, tendo qualquer dúvida estamos à disposição.
Att
Tem tudo Shop</v>
      </c>
    </row>
    <row r="1895" spans="1:15">
      <c r="A1895" s="52" t="str">
        <f>_xlfn.XLOOKUP(Follow[[#This Row],[CODRASTREIO]],Controle_Pedidos[Cód Rastreamento],Controle_Pedidos[Número Pedido Cliente])</f>
        <v>Pedido 1991</v>
      </c>
      <c r="B1895" s="2" t="s">
        <v>19315</v>
      </c>
      <c r="C1895" s="2" t="str">
        <f>Follow[[#This Row],[CODRASTREIO]]&amp;" B"</f>
        <v>CódRastreio1873 B</v>
      </c>
      <c r="D1895" s="52" t="str">
        <f>_xlfn.XLOOKUP(Follow[[#This Row],[Id Pedido]],Controle_Pedidos[Número Pedido Cliente],Controle_Pedidos[Loja])</f>
        <v>BV</v>
      </c>
      <c r="E1895" s="9">
        <f>_xlfn.XLOOKUP(Follow[[#This Row],[Id Pedido]],Controle_Pedidos[Número Pedido Cliente],Controle_Pedidos[Prazo Entrega])</f>
        <v>45868</v>
      </c>
      <c r="F1895" s="9" t="s">
        <v>19434</v>
      </c>
      <c r="G1895" s="9" t="s">
        <v>37</v>
      </c>
      <c r="H1895" s="52" t="s">
        <v>178</v>
      </c>
      <c r="I1895" s="54" t="s">
        <v>178</v>
      </c>
      <c r="J1895" s="144">
        <v>45861</v>
      </c>
      <c r="K1895" s="54" t="s">
        <v>198</v>
      </c>
      <c r="L1895" s="8" t="s">
        <v>124</v>
      </c>
      <c r="M1895" s="8" t="s">
        <v>37</v>
      </c>
      <c r="N1895" s="52" t="str">
        <f>IF(Follow[[#This Row],[DATAATUALIZAÇÃO]]&lt;=Follow[[#This Row],[Prev Entrega]],"Dentro do Prazo","Fora do Prazo")</f>
        <v>Dentro do Prazo</v>
      </c>
      <c r="O189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1991 Rastreio Pedido 1991, agradecemos a preferência e adoraríamos receber sua avaliação, tendo qualquer dúvida estamos à disposição.
Att
Tem tudo Shop</v>
      </c>
    </row>
    <row r="1896" spans="1:15">
      <c r="A1896" s="52" t="str">
        <f>_xlfn.XLOOKUP(Follow[[#This Row],[CODRASTREIO]],Controle_Pedidos[Cód Rastreamento],Controle_Pedidos[Número Pedido Cliente])</f>
        <v>Pedido 1992</v>
      </c>
      <c r="B1896" s="2" t="s">
        <v>19316</v>
      </c>
      <c r="C1896" s="2" t="str">
        <f>Follow[[#This Row],[CODRASTREIO]]&amp;" B"</f>
        <v>CódRastreio1874 B</v>
      </c>
      <c r="D1896" s="52" t="str">
        <f>_xlfn.XLOOKUP(Follow[[#This Row],[Id Pedido]],Controle_Pedidos[Número Pedido Cliente],Controle_Pedidos[Loja])</f>
        <v>BV</v>
      </c>
      <c r="E1896" s="9">
        <f>_xlfn.XLOOKUP(Follow[[#This Row],[Id Pedido]],Controle_Pedidos[Número Pedido Cliente],Controle_Pedidos[Prazo Entrega])</f>
        <v>45868</v>
      </c>
      <c r="F1896" s="9" t="s">
        <v>19434</v>
      </c>
      <c r="G1896" s="9" t="s">
        <v>37</v>
      </c>
      <c r="H1896" s="52" t="s">
        <v>178</v>
      </c>
      <c r="I1896" s="54" t="s">
        <v>178</v>
      </c>
      <c r="J1896" s="144">
        <v>45860</v>
      </c>
      <c r="K1896" s="54" t="s">
        <v>198</v>
      </c>
      <c r="L1896" s="8" t="s">
        <v>124</v>
      </c>
      <c r="M1896" s="8" t="s">
        <v>37</v>
      </c>
      <c r="N1896" s="52" t="str">
        <f>IF(Follow[[#This Row],[DATAATUALIZAÇÃO]]&lt;=Follow[[#This Row],[Prev Entrega]],"Dentro do Prazo","Fora do Prazo")</f>
        <v>Dentro do Prazo</v>
      </c>
      <c r="O189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1992 Rastreio Pedido 1992, agradecemos a preferência e adoraríamos receber sua avaliação, tendo qualquer dúvida estamos à disposição.
Att
Tem tudo Shop</v>
      </c>
    </row>
    <row r="1897" spans="1:15">
      <c r="A1897" s="52" t="str">
        <f>_xlfn.XLOOKUP(Follow[[#This Row],[CODRASTREIO]],Controle_Pedidos[Cód Rastreamento],Controle_Pedidos[Número Pedido Cliente])</f>
        <v>Pedido 1993</v>
      </c>
      <c r="B1897" s="2" t="s">
        <v>19317</v>
      </c>
      <c r="C1897" s="2" t="str">
        <f>Follow[[#This Row],[CODRASTREIO]]&amp;" B"</f>
        <v>CódRastreio1875 B</v>
      </c>
      <c r="D1897" s="52" t="str">
        <f>_xlfn.XLOOKUP(Follow[[#This Row],[Id Pedido]],Controle_Pedidos[Número Pedido Cliente],Controle_Pedidos[Loja])</f>
        <v>BV</v>
      </c>
      <c r="E1897" s="9">
        <f>_xlfn.XLOOKUP(Follow[[#This Row],[Id Pedido]],Controle_Pedidos[Número Pedido Cliente],Controle_Pedidos[Prazo Entrega])</f>
        <v>45868</v>
      </c>
      <c r="F1897" s="9" t="s">
        <v>19434</v>
      </c>
      <c r="G1897" s="9" t="s">
        <v>37</v>
      </c>
      <c r="H1897" s="52" t="s">
        <v>178</v>
      </c>
      <c r="I1897" s="54" t="s">
        <v>178</v>
      </c>
      <c r="J1897" s="144">
        <v>45861</v>
      </c>
      <c r="K1897" s="54" t="s">
        <v>198</v>
      </c>
      <c r="L1897" s="8" t="s">
        <v>124</v>
      </c>
      <c r="M1897" s="8" t="s">
        <v>37</v>
      </c>
      <c r="N1897" s="52" t="str">
        <f>IF(Follow[[#This Row],[DATAATUALIZAÇÃO]]&lt;=Follow[[#This Row],[Prev Entrega]],"Dentro do Prazo","Fora do Prazo")</f>
        <v>Dentro do Prazo</v>
      </c>
      <c r="O189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23/07/2025, referente ao pedido Nº Pedido 1993 Rastreio Pedido 1993, agradecemos a preferência e adoraríamos receber sua avaliação, tendo qualquer dúvida estamos à disposição.
Att
Tem tudo Shop</v>
      </c>
    </row>
    <row r="1898" spans="1:15">
      <c r="A1898" s="52" t="str">
        <f>_xlfn.XLOOKUP(Follow[[#This Row],[CODRASTREIO]],Controle_Pedidos[Cód Rastreamento],Controle_Pedidos[Número Pedido Cliente])</f>
        <v>Pedido 2011</v>
      </c>
      <c r="B1898" s="2" t="s">
        <v>19335</v>
      </c>
      <c r="C1898" s="2" t="str">
        <f>Follow[[#This Row],[CODRASTREIO]]&amp;" B"</f>
        <v>CódRastreio1893 B</v>
      </c>
      <c r="D1898" s="52" t="str">
        <f>_xlfn.XLOOKUP(Follow[[#This Row],[Id Pedido]],Controle_Pedidos[Número Pedido Cliente],Controle_Pedidos[Loja])</f>
        <v>GO</v>
      </c>
      <c r="E1898" s="9">
        <f>_xlfn.XLOOKUP(Follow[[#This Row],[Id Pedido]],Controle_Pedidos[Número Pedido Cliente],Controle_Pedidos[Prazo Entrega])</f>
        <v>45868</v>
      </c>
      <c r="F1898" s="9" t="s">
        <v>19435</v>
      </c>
      <c r="G1898" s="9" t="s">
        <v>37</v>
      </c>
      <c r="H1898" s="52" t="s">
        <v>178</v>
      </c>
      <c r="I1898" s="54" t="s">
        <v>178</v>
      </c>
      <c r="J1898" s="144">
        <v>45859</v>
      </c>
      <c r="K1898" s="54" t="s">
        <v>198</v>
      </c>
      <c r="L1898" s="8" t="s">
        <v>124</v>
      </c>
      <c r="M1898" s="8" t="s">
        <v>37</v>
      </c>
      <c r="N1898" s="52" t="str">
        <f>IF(Follow[[#This Row],[DATAATUALIZAÇÃO]]&lt;=Follow[[#This Row],[Prev Entrega]],"Dentro do Prazo","Fora do Prazo")</f>
        <v>Dentro do Prazo</v>
      </c>
      <c r="O189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21/07/2025, referente ao pedido Nº Pedido 2011 Rastreio Pedido 2011, agradecemos a preferência e adoraríamos receber sua avaliação, tendo qualquer dúvida estamos à disposição.
Att
Sec Variedades</v>
      </c>
    </row>
    <row r="1899" spans="1:15">
      <c r="A1899" s="52" t="str">
        <f>_xlfn.XLOOKUP(Follow[[#This Row],[CODRASTREIO]],Controle_Pedidos[Cód Rastreamento],Controle_Pedidos[Número Pedido Cliente])</f>
        <v>Pedido 2013</v>
      </c>
      <c r="B1899" s="2" t="s">
        <v>19337</v>
      </c>
      <c r="C1899" s="2" t="str">
        <f>Follow[[#This Row],[CODRASTREIO]]&amp;" B"</f>
        <v>CódRastreio1895 B</v>
      </c>
      <c r="D1899" s="52" t="str">
        <f>_xlfn.XLOOKUP(Follow[[#This Row],[Id Pedido]],Controle_Pedidos[Número Pedido Cliente],Controle_Pedidos[Loja])</f>
        <v>GO</v>
      </c>
      <c r="E1899" s="9">
        <f>_xlfn.XLOOKUP(Follow[[#This Row],[Id Pedido]],Controle_Pedidos[Número Pedido Cliente],Controle_Pedidos[Prazo Entrega])</f>
        <v>45874</v>
      </c>
      <c r="F1899" s="9" t="s">
        <v>19434</v>
      </c>
      <c r="G1899" s="9">
        <v>888700168146820</v>
      </c>
      <c r="H1899" s="52" t="s">
        <v>178</v>
      </c>
      <c r="I1899" s="54" t="s">
        <v>178</v>
      </c>
      <c r="J1899" s="144">
        <v>45867</v>
      </c>
      <c r="K1899" s="54" t="s">
        <v>198</v>
      </c>
      <c r="L1899" s="8" t="s">
        <v>124</v>
      </c>
      <c r="M1899" s="8" t="s">
        <v>37</v>
      </c>
      <c r="N1899" s="52" t="str">
        <f>IF(Follow[[#This Row],[DATAATUALIZAÇÃO]]&lt;=Follow[[#This Row],[Prev Entrega]],"Dentro do Prazo","Fora do Prazo")</f>
        <v>Dentro do Prazo</v>
      </c>
      <c r="O189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29/07/2025, referente ao pedido Nº Pedido 2013 Rastreio 888700168146820, agradecemos a preferência e adoraríamos receber sua avaliação, tendo qualquer dúvida estamos à disposição.
Att
Sec Variedades</v>
      </c>
    </row>
    <row r="1900" spans="1:15">
      <c r="A1900" s="52" t="str">
        <f>_xlfn.XLOOKUP(Follow[[#This Row],[CODRASTREIO]],Controle_Pedidos[Cód Rastreamento],Controle_Pedidos[Número Pedido Cliente])</f>
        <v>Pedido 1995</v>
      </c>
      <c r="B1900" s="2" t="s">
        <v>19319</v>
      </c>
      <c r="C1900" s="2" t="str">
        <f>Follow[[#This Row],[CODRASTREIO]]&amp;" B"</f>
        <v>CódRastreio1877 B</v>
      </c>
      <c r="D1900" s="52" t="str">
        <f>_xlfn.XLOOKUP(Follow[[#This Row],[Id Pedido]],Controle_Pedidos[Número Pedido Cliente],Controle_Pedidos[Loja])</f>
        <v>BV</v>
      </c>
      <c r="E1900" s="9">
        <f>_xlfn.XLOOKUP(Follow[[#This Row],[Id Pedido]],Controle_Pedidos[Número Pedido Cliente],Controle_Pedidos[Prazo Entrega])</f>
        <v>45875</v>
      </c>
      <c r="F1900" s="9" t="s">
        <v>19434</v>
      </c>
      <c r="G1900" s="9">
        <v>888700173347727</v>
      </c>
      <c r="H1900" s="52" t="s">
        <v>178</v>
      </c>
      <c r="I1900" s="54" t="s">
        <v>178</v>
      </c>
      <c r="J1900" s="144">
        <v>45866</v>
      </c>
      <c r="K1900" s="54" t="s">
        <v>198</v>
      </c>
      <c r="L1900" s="8" t="s">
        <v>124</v>
      </c>
      <c r="M1900" s="8" t="s">
        <v>37</v>
      </c>
      <c r="N1900" s="52" t="str">
        <f>IF(Follow[[#This Row],[DATAATUALIZAÇÃO]]&lt;=Follow[[#This Row],[Prev Entrega]],"Dentro do Prazo","Fora do Prazo")</f>
        <v>Dentro do Prazo</v>
      </c>
      <c r="O190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1995 Rastreio 888700173347727, agradecemos a preferência e adoraríamos receber sua avaliação, tendo qualquer dúvida estamos à disposição.
Att
Tem tudo Shop</v>
      </c>
    </row>
    <row r="1901" spans="1:15">
      <c r="A1901" s="52" t="str">
        <f>_xlfn.XLOOKUP(Follow[[#This Row],[CODRASTREIO]],Controle_Pedidos[Cód Rastreamento],Controle_Pedidos[Número Pedido Cliente])</f>
        <v>Pedido 1996</v>
      </c>
      <c r="B1901" s="2" t="s">
        <v>19320</v>
      </c>
      <c r="C1901" s="2" t="str">
        <f>Follow[[#This Row],[CODRASTREIO]]&amp;" B"</f>
        <v>CódRastreio1878 B</v>
      </c>
      <c r="D1901" s="52" t="str">
        <f>_xlfn.XLOOKUP(Follow[[#This Row],[Id Pedido]],Controle_Pedidos[Número Pedido Cliente],Controle_Pedidos[Loja])</f>
        <v>BV</v>
      </c>
      <c r="E1901" s="9">
        <f>_xlfn.XLOOKUP(Follow[[#This Row],[Id Pedido]],Controle_Pedidos[Número Pedido Cliente],Controle_Pedidos[Prazo Entrega])</f>
        <v>45875</v>
      </c>
      <c r="F1901" s="9" t="s">
        <v>19434</v>
      </c>
      <c r="G1901" s="9">
        <v>888700171354677</v>
      </c>
      <c r="H1901" s="52" t="s">
        <v>178</v>
      </c>
      <c r="I1901" s="54" t="s">
        <v>178</v>
      </c>
      <c r="J1901" s="144">
        <v>45868</v>
      </c>
      <c r="K1901" s="54" t="s">
        <v>198</v>
      </c>
      <c r="L1901" s="8" t="s">
        <v>124</v>
      </c>
      <c r="M1901" s="8" t="s">
        <v>37</v>
      </c>
      <c r="N1901" s="52" t="str">
        <f>IF(Follow[[#This Row],[DATAATUALIZAÇÃO]]&lt;=Follow[[#This Row],[Prev Entrega]],"Dentro do Prazo","Fora do Prazo")</f>
        <v>Dentro do Prazo</v>
      </c>
      <c r="O190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30/07/2025, referente ao pedido Nº Pedido 1996 Rastreio 888700171354677, agradecemos a preferência e adoraríamos receber sua avaliação, tendo qualquer dúvida estamos à disposição.
Att
Tem tudo Shop</v>
      </c>
    </row>
    <row r="1902" spans="1:15">
      <c r="A1902" s="52" t="str">
        <f>_xlfn.XLOOKUP(Follow[[#This Row],[CODRASTREIO]],Controle_Pedidos[Cód Rastreamento],Controle_Pedidos[Número Pedido Cliente])</f>
        <v>Pedido 1997</v>
      </c>
      <c r="B1902" s="2" t="s">
        <v>19321</v>
      </c>
      <c r="C1902" s="2" t="str">
        <f>Follow[[#This Row],[CODRASTREIO]]&amp;" B"</f>
        <v>CódRastreio1879 B</v>
      </c>
      <c r="D1902" s="52" t="str">
        <f>_xlfn.XLOOKUP(Follow[[#This Row],[Id Pedido]],Controle_Pedidos[Número Pedido Cliente],Controle_Pedidos[Loja])</f>
        <v>BV</v>
      </c>
      <c r="E1902" s="9">
        <f>_xlfn.XLOOKUP(Follow[[#This Row],[Id Pedido]],Controle_Pedidos[Número Pedido Cliente],Controle_Pedidos[Prazo Entrega])</f>
        <v>45869</v>
      </c>
      <c r="F1902" s="9" t="s">
        <v>19434</v>
      </c>
      <c r="G1902" s="9">
        <v>888700174379922</v>
      </c>
      <c r="H1902" s="52" t="s">
        <v>178</v>
      </c>
      <c r="I1902" s="54" t="s">
        <v>178</v>
      </c>
      <c r="J1902" s="144">
        <v>45863</v>
      </c>
      <c r="K1902" s="54" t="s">
        <v>198</v>
      </c>
      <c r="L1902" s="8" t="s">
        <v>124</v>
      </c>
      <c r="M1902" s="8" t="s">
        <v>37</v>
      </c>
      <c r="N1902" s="52" t="str">
        <f>IF(Follow[[#This Row],[DATAATUALIZAÇÃO]]&lt;=Follow[[#This Row],[Prev Entrega]],"Dentro do Prazo","Fora do Prazo")</f>
        <v>Dentro do Prazo</v>
      </c>
      <c r="O190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1997 Rastreio 888700174379922, agradecemos a preferência e adoraríamos receber sua avaliação, tendo qualquer dúvida estamos à disposição.
Att
Tem tudo Shop</v>
      </c>
    </row>
    <row r="1903" spans="1:15">
      <c r="A1903" s="52" t="str">
        <f>_xlfn.XLOOKUP(Follow[[#This Row],[CODRASTREIO]],Controle_Pedidos[Cód Rastreamento],Controle_Pedidos[Número Pedido Cliente])</f>
        <v>Pedido 1998</v>
      </c>
      <c r="B1903" s="2" t="s">
        <v>19322</v>
      </c>
      <c r="C1903" s="2" t="str">
        <f>Follow[[#This Row],[CODRASTREIO]]&amp;" B"</f>
        <v>CódRastreio1880 B</v>
      </c>
      <c r="D1903" s="52" t="str">
        <f>_xlfn.XLOOKUP(Follow[[#This Row],[Id Pedido]],Controle_Pedidos[Número Pedido Cliente],Controle_Pedidos[Loja])</f>
        <v>BV</v>
      </c>
      <c r="E1903" s="9">
        <f>_xlfn.XLOOKUP(Follow[[#This Row],[Id Pedido]],Controle_Pedidos[Número Pedido Cliente],Controle_Pedidos[Prazo Entrega])</f>
        <v>45869</v>
      </c>
      <c r="F1903" s="9" t="s">
        <v>19434</v>
      </c>
      <c r="G1903" s="9">
        <v>888700174510579</v>
      </c>
      <c r="H1903" s="52" t="s">
        <v>178</v>
      </c>
      <c r="I1903" s="54" t="s">
        <v>178</v>
      </c>
      <c r="J1903" s="144">
        <v>45863</v>
      </c>
      <c r="K1903" s="54" t="s">
        <v>198</v>
      </c>
      <c r="L1903" s="8" t="s">
        <v>124</v>
      </c>
      <c r="M1903" s="8" t="s">
        <v>37</v>
      </c>
      <c r="N1903" s="52" t="str">
        <f>IF(Follow[[#This Row],[DATAATUALIZAÇÃO]]&lt;=Follow[[#This Row],[Prev Entrega]],"Dentro do Prazo","Fora do Prazo")</f>
        <v>Dentro do Prazo</v>
      </c>
      <c r="O190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1998 Rastreio 888700174510579, agradecemos a preferência e adoraríamos receber sua avaliação, tendo qualquer dúvida estamos à disposição.
Att
Tem tudo Shop</v>
      </c>
    </row>
    <row r="1904" spans="1:15">
      <c r="A1904" s="52" t="str">
        <f>_xlfn.XLOOKUP(Follow[[#This Row],[CODRASTREIO]],Controle_Pedidos[Cód Rastreamento],Controle_Pedidos[Número Pedido Cliente])</f>
        <v>Pedido 1999</v>
      </c>
      <c r="B1904" s="2" t="s">
        <v>19323</v>
      </c>
      <c r="C1904" s="2" t="str">
        <f>Follow[[#This Row],[CODRASTREIO]]&amp;" B"</f>
        <v>CódRastreio1881 B</v>
      </c>
      <c r="D1904" s="52" t="str">
        <f>_xlfn.XLOOKUP(Follow[[#This Row],[Id Pedido]],Controle_Pedidos[Número Pedido Cliente],Controle_Pedidos[Loja])</f>
        <v>BV</v>
      </c>
      <c r="E1904" s="9">
        <f>_xlfn.XLOOKUP(Follow[[#This Row],[Id Pedido]],Controle_Pedidos[Número Pedido Cliente],Controle_Pedidos[Prazo Entrega])</f>
        <v>45875</v>
      </c>
      <c r="F1904" s="9" t="s">
        <v>19434</v>
      </c>
      <c r="G1904" s="9">
        <v>888700174238119</v>
      </c>
      <c r="H1904" s="52" t="s">
        <v>178</v>
      </c>
      <c r="I1904" s="54" t="s">
        <v>178</v>
      </c>
      <c r="J1904" s="144">
        <v>45867</v>
      </c>
      <c r="K1904" s="54" t="s">
        <v>198</v>
      </c>
      <c r="L1904" s="8" t="s">
        <v>124</v>
      </c>
      <c r="M1904" s="8" t="s">
        <v>37</v>
      </c>
      <c r="N1904" s="52" t="str">
        <f>IF(Follow[[#This Row],[DATAATUALIZAÇÃO]]&lt;=Follow[[#This Row],[Prev Entrega]],"Dentro do Prazo","Fora do Prazo")</f>
        <v>Dentro do Prazo</v>
      </c>
      <c r="O190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1999 Rastreio 888700174238119, agradecemos a preferência e adoraríamos receber sua avaliação, tendo qualquer dúvida estamos à disposição.
Att
Tem tudo Shop</v>
      </c>
    </row>
    <row r="1905" spans="1:15">
      <c r="A1905" s="52" t="str">
        <f>_xlfn.XLOOKUP(Follow[[#This Row],[CODRASTREIO]],Controle_Pedidos[Cód Rastreamento],Controle_Pedidos[Número Pedido Cliente])</f>
        <v>Pedido 2000</v>
      </c>
      <c r="B1905" s="2" t="s">
        <v>19324</v>
      </c>
      <c r="C1905" s="2" t="str">
        <f>Follow[[#This Row],[CODRASTREIO]]&amp;" B"</f>
        <v>CódRastreio1882 B</v>
      </c>
      <c r="D1905" s="52" t="str">
        <f>_xlfn.XLOOKUP(Follow[[#This Row],[Id Pedido]],Controle_Pedidos[Número Pedido Cliente],Controle_Pedidos[Loja])</f>
        <v>BV</v>
      </c>
      <c r="E1905" s="9">
        <f>_xlfn.XLOOKUP(Follow[[#This Row],[Id Pedido]],Controle_Pedidos[Número Pedido Cliente],Controle_Pedidos[Prazo Entrega])</f>
        <v>45875</v>
      </c>
      <c r="F1905" s="9" t="s">
        <v>19434</v>
      </c>
      <c r="G1905" s="9">
        <v>888700164550498</v>
      </c>
      <c r="H1905" s="52" t="s">
        <v>178</v>
      </c>
      <c r="I1905" s="54" t="s">
        <v>178</v>
      </c>
      <c r="J1905" s="144">
        <v>45863</v>
      </c>
      <c r="K1905" s="54" t="s">
        <v>198</v>
      </c>
      <c r="L1905" s="8" t="s">
        <v>124</v>
      </c>
      <c r="M1905" s="8" t="s">
        <v>37</v>
      </c>
      <c r="N1905" s="52" t="str">
        <f>IF(Follow[[#This Row],[DATAATUALIZAÇÃO]]&lt;=Follow[[#This Row],[Prev Entrega]],"Dentro do Prazo","Fora do Prazo")</f>
        <v>Dentro do Prazo</v>
      </c>
      <c r="O190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2000 Rastreio 888700164550498, agradecemos a preferência e adoraríamos receber sua avaliação, tendo qualquer dúvida estamos à disposição.
Att
Tem tudo Shop</v>
      </c>
    </row>
    <row r="1906" spans="1:15">
      <c r="A1906" s="52" t="str">
        <f>_xlfn.XLOOKUP(Follow[[#This Row],[CODRASTREIO]],Controle_Pedidos[Cód Rastreamento],Controle_Pedidos[Número Pedido Cliente])</f>
        <v>Pedido 2001</v>
      </c>
      <c r="B1906" s="2" t="s">
        <v>19325</v>
      </c>
      <c r="C1906" s="2" t="str">
        <f>Follow[[#This Row],[CODRASTREIO]]&amp;" B"</f>
        <v>CódRastreio1883 B</v>
      </c>
      <c r="D1906" s="52" t="str">
        <f>_xlfn.XLOOKUP(Follow[[#This Row],[Id Pedido]],Controle_Pedidos[Número Pedido Cliente],Controle_Pedidos[Loja])</f>
        <v>BV</v>
      </c>
      <c r="E1906" s="9">
        <f>_xlfn.XLOOKUP(Follow[[#This Row],[Id Pedido]],Controle_Pedidos[Número Pedido Cliente],Controle_Pedidos[Prazo Entrega])</f>
        <v>45869</v>
      </c>
      <c r="F1906" s="9" t="s">
        <v>19434</v>
      </c>
      <c r="G1906" s="9">
        <v>888700174649683</v>
      </c>
      <c r="H1906" s="52" t="s">
        <v>178</v>
      </c>
      <c r="I1906" s="54" t="s">
        <v>178</v>
      </c>
      <c r="J1906" s="144">
        <v>45863</v>
      </c>
      <c r="K1906" s="54" t="s">
        <v>198</v>
      </c>
      <c r="L1906" s="8" t="s">
        <v>124</v>
      </c>
      <c r="M1906" s="8" t="s">
        <v>37</v>
      </c>
      <c r="N1906" s="52" t="str">
        <f>IF(Follow[[#This Row],[DATAATUALIZAÇÃO]]&lt;=Follow[[#This Row],[Prev Entrega]],"Dentro do Prazo","Fora do Prazo")</f>
        <v>Dentro do Prazo</v>
      </c>
      <c r="O190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2001 Rastreio 888700174649683, agradecemos a preferência e adoraríamos receber sua avaliação, tendo qualquer dúvida estamos à disposição.
Att
Tem tudo Shop</v>
      </c>
    </row>
    <row r="1907" spans="1:15">
      <c r="A1907" s="52" t="str">
        <f>_xlfn.XLOOKUP(Follow[[#This Row],[CODRASTREIO]],Controle_Pedidos[Cód Rastreamento],Controle_Pedidos[Número Pedido Cliente])</f>
        <v>Pedido 2004</v>
      </c>
      <c r="B1907" s="2" t="s">
        <v>19328</v>
      </c>
      <c r="C1907" s="2" t="str">
        <f>Follow[[#This Row],[CODRASTREIO]]&amp;" B"</f>
        <v>CódRastreio1886 B</v>
      </c>
      <c r="D1907" s="52" t="str">
        <f>_xlfn.XLOOKUP(Follow[[#This Row],[Id Pedido]],Controle_Pedidos[Número Pedido Cliente],Controle_Pedidos[Loja])</f>
        <v>BV</v>
      </c>
      <c r="E1907" s="9">
        <f>_xlfn.XLOOKUP(Follow[[#This Row],[Id Pedido]],Controle_Pedidos[Número Pedido Cliente],Controle_Pedidos[Prazo Entrega])</f>
        <v>45871</v>
      </c>
      <c r="F1907" s="9" t="s">
        <v>19434</v>
      </c>
      <c r="G1907" s="9">
        <v>888700174182115</v>
      </c>
      <c r="H1907" s="52" t="s">
        <v>178</v>
      </c>
      <c r="I1907" s="54" t="s">
        <v>178</v>
      </c>
      <c r="J1907" s="144">
        <v>45864</v>
      </c>
      <c r="K1907" s="54" t="s">
        <v>198</v>
      </c>
      <c r="L1907" s="8" t="s">
        <v>124</v>
      </c>
      <c r="M1907" s="8" t="s">
        <v>37</v>
      </c>
      <c r="N1907" s="52" t="str">
        <f>IF(Follow[[#This Row],[DATAATUALIZAÇÃO]]&lt;=Follow[[#This Row],[Prev Entrega]],"Dentro do Prazo","Fora do Prazo")</f>
        <v>Dentro do Prazo</v>
      </c>
      <c r="O190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2004 Rastreio 888700174182115, agradecemos a preferência e adoraríamos receber sua avaliação, tendo qualquer dúvida estamos à disposição.
Att
Tem tudo Shop</v>
      </c>
    </row>
    <row r="1908" spans="1:15">
      <c r="A1908" s="52" t="str">
        <f>_xlfn.XLOOKUP(Follow[[#This Row],[CODRASTREIO]],Controle_Pedidos[Cód Rastreamento],Controle_Pedidos[Número Pedido Cliente])</f>
        <v>Pedido 2007</v>
      </c>
      <c r="B1908" s="2" t="s">
        <v>19331</v>
      </c>
      <c r="C1908" s="2" t="str">
        <f>Follow[[#This Row],[CODRASTREIO]]&amp;" B"</f>
        <v>CódRastreio1889 B</v>
      </c>
      <c r="D1908" s="52" t="str">
        <f>_xlfn.XLOOKUP(Follow[[#This Row],[Id Pedido]],Controle_Pedidos[Número Pedido Cliente],Controle_Pedidos[Loja])</f>
        <v>BV</v>
      </c>
      <c r="E1908" s="9">
        <f>_xlfn.XLOOKUP(Follow[[#This Row],[Id Pedido]],Controle_Pedidos[Número Pedido Cliente],Controle_Pedidos[Prazo Entrega])</f>
        <v>45875</v>
      </c>
      <c r="F1908" s="9" t="s">
        <v>19434</v>
      </c>
      <c r="G1908" s="9">
        <v>888700171862316</v>
      </c>
      <c r="H1908" s="52" t="s">
        <v>178</v>
      </c>
      <c r="I1908" s="54" t="s">
        <v>178</v>
      </c>
      <c r="J1908" s="144">
        <v>45868</v>
      </c>
      <c r="K1908" s="54" t="s">
        <v>198</v>
      </c>
      <c r="L1908" s="8" t="s">
        <v>124</v>
      </c>
      <c r="M1908" s="8" t="s">
        <v>37</v>
      </c>
      <c r="N1908" s="52" t="str">
        <f>IF(Follow[[#This Row],[DATAATUALIZAÇÃO]]&lt;=Follow[[#This Row],[Prev Entrega]],"Dentro do Prazo","Fora do Prazo")</f>
        <v>Dentro do Prazo</v>
      </c>
      <c r="O190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30/07/2025, referente ao pedido Nº Pedido 2007 Rastreio 888700171862316, agradecemos a preferência e adoraríamos receber sua avaliação, tendo qualquer dúvida estamos à disposição.
Att
Tem tudo Shop</v>
      </c>
    </row>
    <row r="1909" spans="1:15">
      <c r="A1909" s="52" t="str">
        <f>_xlfn.XLOOKUP(Follow[[#This Row],[CODRASTREIO]],Controle_Pedidos[Cód Rastreamento],Controle_Pedidos[Número Pedido Cliente])</f>
        <v>Pedido 2009</v>
      </c>
      <c r="B1909" s="2" t="s">
        <v>19333</v>
      </c>
      <c r="C1909" s="2" t="str">
        <f>Follow[[#This Row],[CODRASTREIO]]&amp;" B"</f>
        <v>CódRastreio1891 B</v>
      </c>
      <c r="D1909" s="52" t="str">
        <f>_xlfn.XLOOKUP(Follow[[#This Row],[Id Pedido]],Controle_Pedidos[Número Pedido Cliente],Controle_Pedidos[Loja])</f>
        <v>BV</v>
      </c>
      <c r="E1909" s="9">
        <f>_xlfn.XLOOKUP(Follow[[#This Row],[Id Pedido]],Controle_Pedidos[Número Pedido Cliente],Controle_Pedidos[Prazo Entrega])</f>
        <v>45875</v>
      </c>
      <c r="F1909" s="9" t="s">
        <v>19434</v>
      </c>
      <c r="G1909" s="9">
        <v>888700164136485</v>
      </c>
      <c r="H1909" s="52" t="s">
        <v>178</v>
      </c>
      <c r="I1909" s="54" t="s">
        <v>178</v>
      </c>
      <c r="J1909" s="144">
        <v>45866</v>
      </c>
      <c r="K1909" s="54" t="s">
        <v>198</v>
      </c>
      <c r="L1909" s="8" t="s">
        <v>124</v>
      </c>
      <c r="M1909" s="8" t="s">
        <v>37</v>
      </c>
      <c r="N1909" s="52" t="str">
        <f>IF(Follow[[#This Row],[DATAATUALIZAÇÃO]]&lt;=Follow[[#This Row],[Prev Entrega]],"Dentro do Prazo","Fora do Prazo")</f>
        <v>Dentro do Prazo</v>
      </c>
      <c r="O1909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2009 Rastreio 888700164136485, agradecemos a preferência e adoraríamos receber sua avaliação, tendo qualquer dúvida estamos à disposição.
Att
Tem tudo Shop</v>
      </c>
    </row>
    <row r="1910" spans="1:15">
      <c r="A1910" s="52" t="str">
        <f>_xlfn.XLOOKUP(Follow[[#This Row],[CODRASTREIO]],Controle_Pedidos[Cód Rastreamento],Controle_Pedidos[Número Pedido Cliente])</f>
        <v>Pedido 2015</v>
      </c>
      <c r="B1910" s="2" t="s">
        <v>19339</v>
      </c>
      <c r="C1910" s="2" t="str">
        <f>Follow[[#This Row],[CODRASTREIO]]&amp;" B"</f>
        <v>CódRastreio1897 B</v>
      </c>
      <c r="D1910" s="52" t="str">
        <f>_xlfn.XLOOKUP(Follow[[#This Row],[Id Pedido]],Controle_Pedidos[Número Pedido Cliente],Controle_Pedidos[Loja])</f>
        <v>BV</v>
      </c>
      <c r="E1910" s="9">
        <f>_xlfn.XLOOKUP(Follow[[#This Row],[Id Pedido]],Controle_Pedidos[Número Pedido Cliente],Controle_Pedidos[Prazo Entrega])</f>
        <v>45875</v>
      </c>
      <c r="F1910" s="9" t="s">
        <v>19434</v>
      </c>
      <c r="G1910" s="9">
        <v>888700174131113</v>
      </c>
      <c r="H1910" s="52" t="s">
        <v>178</v>
      </c>
      <c r="I1910" s="54" t="s">
        <v>178</v>
      </c>
      <c r="J1910" s="144">
        <v>45864</v>
      </c>
      <c r="K1910" s="54" t="s">
        <v>198</v>
      </c>
      <c r="L1910" s="8" t="s">
        <v>124</v>
      </c>
      <c r="M1910" s="8" t="s">
        <v>37</v>
      </c>
      <c r="N1910" s="52" t="str">
        <f>IF(Follow[[#This Row],[DATAATUALIZAÇÃO]]&lt;=Follow[[#This Row],[Prev Entrega]],"Dentro do Prazo","Fora do Prazo")</f>
        <v>Dentro do Prazo</v>
      </c>
      <c r="O191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2015 Rastreio 888700174131113, agradecemos a preferência e adoraríamos receber sua avaliação, tendo qualquer dúvida estamos à disposição.
Att
Tem tudo Shop</v>
      </c>
    </row>
    <row r="1911" spans="1:15">
      <c r="A1911" s="52" t="str">
        <f>_xlfn.XLOOKUP(Follow[[#This Row],[CODRASTREIO]],Controle_Pedidos[Cód Rastreamento],Controle_Pedidos[Número Pedido Cliente])</f>
        <v>Pedido 2016</v>
      </c>
      <c r="B1911" s="2" t="s">
        <v>19340</v>
      </c>
      <c r="C1911" s="2" t="str">
        <f>Follow[[#This Row],[CODRASTREIO]]&amp;" B"</f>
        <v>CódRastreio1898 B</v>
      </c>
      <c r="D1911" s="52" t="str">
        <f>_xlfn.XLOOKUP(Follow[[#This Row],[Id Pedido]],Controle_Pedidos[Número Pedido Cliente],Controle_Pedidos[Loja])</f>
        <v>BV</v>
      </c>
      <c r="E1911" s="9">
        <f>_xlfn.XLOOKUP(Follow[[#This Row],[Id Pedido]],Controle_Pedidos[Número Pedido Cliente],Controle_Pedidos[Prazo Entrega])</f>
        <v>45871</v>
      </c>
      <c r="F1911" s="9" t="s">
        <v>19434</v>
      </c>
      <c r="G1911" s="9">
        <v>888700174680485</v>
      </c>
      <c r="H1911" s="52" t="s">
        <v>178</v>
      </c>
      <c r="I1911" s="54" t="s">
        <v>178</v>
      </c>
      <c r="J1911" s="144">
        <v>45864</v>
      </c>
      <c r="K1911" s="54" t="s">
        <v>198</v>
      </c>
      <c r="L1911" s="8" t="s">
        <v>124</v>
      </c>
      <c r="M1911" s="8" t="s">
        <v>37</v>
      </c>
      <c r="N1911" s="52" t="str">
        <f>IF(Follow[[#This Row],[DATAATUALIZAÇÃO]]&lt;=Follow[[#This Row],[Prev Entrega]],"Dentro do Prazo","Fora do Prazo")</f>
        <v>Dentro do Prazo</v>
      </c>
      <c r="O191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2016 Rastreio 888700174680485, agradecemos a preferência e adoraríamos receber sua avaliação, tendo qualquer dúvida estamos à disposição.
Att
Tem tudo Shop</v>
      </c>
    </row>
    <row r="1912" spans="1:15">
      <c r="A1912" s="52" t="str">
        <f>_xlfn.XLOOKUP(Follow[[#This Row],[CODRASTREIO]],Controle_Pedidos[Cód Rastreamento],Controle_Pedidos[Número Pedido Cliente])</f>
        <v>Pedido 2017</v>
      </c>
      <c r="B1912" s="2" t="s">
        <v>19341</v>
      </c>
      <c r="C1912" s="2" t="str">
        <f>Follow[[#This Row],[CODRASTREIO]]&amp;" B"</f>
        <v>CódRastreio1899 B</v>
      </c>
      <c r="D1912" s="52" t="str">
        <f>_xlfn.XLOOKUP(Follow[[#This Row],[Id Pedido]],Controle_Pedidos[Número Pedido Cliente],Controle_Pedidos[Loja])</f>
        <v>BV</v>
      </c>
      <c r="E1912" s="9">
        <f>_xlfn.XLOOKUP(Follow[[#This Row],[Id Pedido]],Controle_Pedidos[Número Pedido Cliente],Controle_Pedidos[Prazo Entrega])</f>
        <v>45869</v>
      </c>
      <c r="F1912" s="9" t="s">
        <v>19434</v>
      </c>
      <c r="G1912" s="9" t="s">
        <v>37</v>
      </c>
      <c r="H1912" s="52" t="s">
        <v>178</v>
      </c>
      <c r="I1912" s="54" t="s">
        <v>178</v>
      </c>
      <c r="J1912" s="144">
        <v>45860</v>
      </c>
      <c r="K1912" s="54" t="s">
        <v>533</v>
      </c>
      <c r="L1912" s="8" t="s">
        <v>184</v>
      </c>
      <c r="M1912" s="8" t="s">
        <v>37</v>
      </c>
      <c r="N1912" s="52" t="str">
        <f>IF(Follow[[#This Row],[DATAATUALIZAÇÃO]]&lt;=Follow[[#This Row],[Prev Entrega]],"Dentro do Prazo","Fora do Prazo")</f>
        <v>Dentro do Prazo</v>
      </c>
      <c r="O191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2017 Rastreio Pedido 2017, agradecemos a preferência e adoraríamos receber sua avaliação, tendo qualquer dúvida estamos à disposição.
Att
Tem tudo Shop</v>
      </c>
    </row>
    <row r="1913" spans="1:15">
      <c r="A1913" s="52" t="str">
        <f>_xlfn.XLOOKUP(Follow[[#This Row],[CODRASTREIO]],Controle_Pedidos[Cód Rastreamento],Controle_Pedidos[Número Pedido Cliente])</f>
        <v>Pedido 2018</v>
      </c>
      <c r="B1913" s="2" t="s">
        <v>19342</v>
      </c>
      <c r="C1913" s="2" t="str">
        <f>Follow[[#This Row],[CODRASTREIO]]&amp;" B"</f>
        <v>CódRastreio1900 B</v>
      </c>
      <c r="D1913" s="52" t="str">
        <f>_xlfn.XLOOKUP(Follow[[#This Row],[Id Pedido]],Controle_Pedidos[Número Pedido Cliente],Controle_Pedidos[Loja])</f>
        <v>BV</v>
      </c>
      <c r="E1913" s="9">
        <f>_xlfn.XLOOKUP(Follow[[#This Row],[Id Pedido]],Controle_Pedidos[Número Pedido Cliente],Controle_Pedidos[Prazo Entrega])</f>
        <v>45869</v>
      </c>
      <c r="F1913" s="9" t="s">
        <v>19434</v>
      </c>
      <c r="G1913" s="9">
        <v>888700158177676</v>
      </c>
      <c r="H1913" s="52" t="s">
        <v>178</v>
      </c>
      <c r="I1913" s="54" t="s">
        <v>178</v>
      </c>
      <c r="J1913" s="144">
        <v>45863</v>
      </c>
      <c r="K1913" s="54" t="s">
        <v>198</v>
      </c>
      <c r="L1913" s="8" t="s">
        <v>124</v>
      </c>
      <c r="M1913" s="8" t="s">
        <v>37</v>
      </c>
      <c r="N1913" s="52" t="str">
        <f>IF(Follow[[#This Row],[DATAATUALIZAÇÃO]]&lt;=Follow[[#This Row],[Prev Entrega]],"Dentro do Prazo","Fora do Prazo")</f>
        <v>Dentro do Prazo</v>
      </c>
      <c r="O191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2018 Rastreio 888700158177676, agradecemos a preferência e adoraríamos receber sua avaliação, tendo qualquer dúvida estamos à disposição.
Att
Tem tudo Shop</v>
      </c>
    </row>
    <row r="1914" spans="1:15">
      <c r="A1914" s="52" t="str">
        <f>_xlfn.XLOOKUP(Follow[[#This Row],[CODRASTREIO]],Controle_Pedidos[Cód Rastreamento],Controle_Pedidos[Número Pedido Cliente])</f>
        <v>Pedido 2019</v>
      </c>
      <c r="B1914" s="2" t="s">
        <v>19343</v>
      </c>
      <c r="C1914" s="2" t="str">
        <f>Follow[[#This Row],[CODRASTREIO]]&amp;" B"</f>
        <v>CódRastreio1901 B</v>
      </c>
      <c r="D1914" s="52" t="str">
        <f>_xlfn.XLOOKUP(Follow[[#This Row],[Id Pedido]],Controle_Pedidos[Número Pedido Cliente],Controle_Pedidos[Loja])</f>
        <v>BV</v>
      </c>
      <c r="E1914" s="9">
        <f>_xlfn.XLOOKUP(Follow[[#This Row],[Id Pedido]],Controle_Pedidos[Número Pedido Cliente],Controle_Pedidos[Prazo Entrega])</f>
        <v>45875</v>
      </c>
      <c r="F1914" s="9" t="s">
        <v>19434</v>
      </c>
      <c r="G1914" s="9">
        <v>888700173609803</v>
      </c>
      <c r="H1914" s="52" t="s">
        <v>178</v>
      </c>
      <c r="I1914" s="54" t="s">
        <v>178</v>
      </c>
      <c r="J1914" s="144">
        <v>45866</v>
      </c>
      <c r="K1914" s="54" t="s">
        <v>198</v>
      </c>
      <c r="L1914" s="8" t="s">
        <v>124</v>
      </c>
      <c r="M1914" s="8" t="s">
        <v>37</v>
      </c>
      <c r="N1914" s="52" t="str">
        <f>IF(Follow[[#This Row],[DATAATUALIZAÇÃO]]&lt;=Follow[[#This Row],[Prev Entrega]],"Dentro do Prazo","Fora do Prazo")</f>
        <v>Dentro do Prazo</v>
      </c>
      <c r="O191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28/07/2025, referente ao pedido Nº Pedido 2019 Rastreio 888700173609803, agradecemos a preferência e adoraríamos receber sua avaliação, tendo qualquer dúvida estamos à disposição.
Att
Tem tudo Shop</v>
      </c>
    </row>
    <row r="1915" spans="1:15">
      <c r="A1915" s="52" t="str">
        <f>_xlfn.XLOOKUP(Follow[[#This Row],[CODRASTREIO]],Controle_Pedidos[Cód Rastreamento],Controle_Pedidos[Número Pedido Cliente])</f>
        <v>Pedido 2020</v>
      </c>
      <c r="B1915" s="2" t="s">
        <v>19344</v>
      </c>
      <c r="C1915" s="2" t="str">
        <f>Follow[[#This Row],[CODRASTREIO]]&amp;" B"</f>
        <v>CódRastreio1902 B</v>
      </c>
      <c r="D1915" s="52" t="str">
        <f>_xlfn.XLOOKUP(Follow[[#This Row],[Id Pedido]],Controle_Pedidos[Número Pedido Cliente],Controle_Pedidos[Loja])</f>
        <v>BV</v>
      </c>
      <c r="E1915" s="9">
        <f>_xlfn.XLOOKUP(Follow[[#This Row],[Id Pedido]],Controle_Pedidos[Número Pedido Cliente],Controle_Pedidos[Prazo Entrega])</f>
        <v>45875</v>
      </c>
      <c r="F1915" s="9" t="s">
        <v>19434</v>
      </c>
      <c r="G1915" s="9">
        <v>888700174197830</v>
      </c>
      <c r="H1915" s="52" t="s">
        <v>178</v>
      </c>
      <c r="I1915" s="54" t="s">
        <v>178</v>
      </c>
      <c r="J1915" s="144">
        <v>45866</v>
      </c>
      <c r="K1915" s="54" t="s">
        <v>198</v>
      </c>
      <c r="L1915" s="8" t="s">
        <v>124</v>
      </c>
      <c r="M1915" s="8" t="s">
        <v>37</v>
      </c>
      <c r="N1915" s="52" t="str">
        <f>IF(Follow[[#This Row],[DATAATUALIZAÇÃO]]&lt;=Follow[[#This Row],[Prev Entrega]],"Dentro do Prazo","Fora do Prazo")</f>
        <v>Dentro do Prazo</v>
      </c>
      <c r="O191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2020 Rastreio 888700174197830, agradecemos a preferência e adoraríamos receber sua avaliação, tendo qualquer dúvida estamos à disposição.
Att
Tem tudo Shop</v>
      </c>
    </row>
    <row r="1916" spans="1:15">
      <c r="A1916" s="52" t="str">
        <f>_xlfn.XLOOKUP(Follow[[#This Row],[CODRASTREIO]],Controle_Pedidos[Cód Rastreamento],Controle_Pedidos[Número Pedido Cliente])</f>
        <v>Pedido 2021</v>
      </c>
      <c r="B1916" s="2" t="s">
        <v>19345</v>
      </c>
      <c r="C1916" s="2" t="str">
        <f>Follow[[#This Row],[CODRASTREIO]]&amp;" B"</f>
        <v>CódRastreio1903 B</v>
      </c>
      <c r="D1916" s="52" t="str">
        <f>_xlfn.XLOOKUP(Follow[[#This Row],[Id Pedido]],Controle_Pedidos[Número Pedido Cliente],Controle_Pedidos[Loja])</f>
        <v>BV</v>
      </c>
      <c r="E1916" s="9">
        <f>_xlfn.XLOOKUP(Follow[[#This Row],[Id Pedido]],Controle_Pedidos[Número Pedido Cliente],Controle_Pedidos[Prazo Entrega])</f>
        <v>45871</v>
      </c>
      <c r="F1916" s="9" t="s">
        <v>19434</v>
      </c>
      <c r="G1916" s="9">
        <v>888700161835295</v>
      </c>
      <c r="H1916" s="52" t="s">
        <v>178</v>
      </c>
      <c r="I1916" s="54" t="s">
        <v>178</v>
      </c>
      <c r="J1916" s="144">
        <v>45866</v>
      </c>
      <c r="K1916" s="54" t="s">
        <v>198</v>
      </c>
      <c r="L1916" s="8" t="s">
        <v>124</v>
      </c>
      <c r="M1916" s="8" t="s">
        <v>37</v>
      </c>
      <c r="N1916" s="52" t="str">
        <f>IF(Follow[[#This Row],[DATAATUALIZAÇÃO]]&lt;=Follow[[#This Row],[Prev Entrega]],"Dentro do Prazo","Fora do Prazo")</f>
        <v>Dentro do Prazo</v>
      </c>
      <c r="O191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28/07/2025, referente ao pedido Nº Pedido 2021 Rastreio 888700161835295, agradecemos a preferência e adoraríamos receber sua avaliação, tendo qualquer dúvida estamos à disposição.
Att
Tem tudo Shop</v>
      </c>
    </row>
    <row r="1917" spans="1:15">
      <c r="A1917" s="52" t="str">
        <f>_xlfn.XLOOKUP(Follow[[#This Row],[CODRASTREIO]],Controle_Pedidos[Cód Rastreamento],Controle_Pedidos[Número Pedido Cliente])</f>
        <v>Pedido 2022</v>
      </c>
      <c r="B1917" s="2" t="s">
        <v>19346</v>
      </c>
      <c r="C1917" s="2" t="str">
        <f>Follow[[#This Row],[CODRASTREIO]]&amp;" B"</f>
        <v>CódRastreio1904 B</v>
      </c>
      <c r="D1917" s="52" t="str">
        <f>_xlfn.XLOOKUP(Follow[[#This Row],[Id Pedido]],Controle_Pedidos[Número Pedido Cliente],Controle_Pedidos[Loja])</f>
        <v>BV</v>
      </c>
      <c r="E1917" s="9">
        <f>_xlfn.XLOOKUP(Follow[[#This Row],[Id Pedido]],Controle_Pedidos[Número Pedido Cliente],Controle_Pedidos[Prazo Entrega])</f>
        <v>45869</v>
      </c>
      <c r="F1917" s="9" t="s">
        <v>19434</v>
      </c>
      <c r="G1917" s="9">
        <v>888700174249394</v>
      </c>
      <c r="H1917" s="52" t="s">
        <v>178</v>
      </c>
      <c r="I1917" s="54" t="s">
        <v>178</v>
      </c>
      <c r="J1917" s="144">
        <v>45864</v>
      </c>
      <c r="K1917" s="54" t="s">
        <v>198</v>
      </c>
      <c r="L1917" s="8" t="s">
        <v>124</v>
      </c>
      <c r="M1917" s="8" t="s">
        <v>37</v>
      </c>
      <c r="N1917" s="52" t="str">
        <f>IF(Follow[[#This Row],[DATAATUALIZAÇÃO]]&lt;=Follow[[#This Row],[Prev Entrega]],"Dentro do Prazo","Fora do Prazo")</f>
        <v>Dentro do Prazo</v>
      </c>
      <c r="O191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2022 Rastreio 888700174249394, agradecemos a preferência e adoraríamos receber sua avaliação, tendo qualquer dúvida estamos à disposição.
Att
Tem tudo Shop</v>
      </c>
    </row>
    <row r="1918" spans="1:15">
      <c r="A1918" s="52" t="str">
        <f>_xlfn.XLOOKUP(Follow[[#This Row],[CODRASTREIO]],Controle_Pedidos[Cód Rastreamento],Controle_Pedidos[Número Pedido Cliente])</f>
        <v>Pedido 2023</v>
      </c>
      <c r="B1918" s="2" t="s">
        <v>19347</v>
      </c>
      <c r="C1918" s="2" t="str">
        <f>Follow[[#This Row],[CODRASTREIO]]&amp;" B"</f>
        <v>CódRastreio1905 B</v>
      </c>
      <c r="D1918" s="52" t="str">
        <f>_xlfn.XLOOKUP(Follow[[#This Row],[Id Pedido]],Controle_Pedidos[Número Pedido Cliente],Controle_Pedidos[Loja])</f>
        <v>BV</v>
      </c>
      <c r="E1918" s="9">
        <f>_xlfn.XLOOKUP(Follow[[#This Row],[Id Pedido]],Controle_Pedidos[Número Pedido Cliente],Controle_Pedidos[Prazo Entrega])</f>
        <v>45871</v>
      </c>
      <c r="F1918" s="9" t="s">
        <v>19434</v>
      </c>
      <c r="G1918" s="9">
        <v>888700173479968</v>
      </c>
      <c r="H1918" s="52" t="s">
        <v>178</v>
      </c>
      <c r="I1918" s="54" t="s">
        <v>178</v>
      </c>
      <c r="J1918" s="144">
        <v>45864</v>
      </c>
      <c r="K1918" s="54" t="s">
        <v>198</v>
      </c>
      <c r="L1918" s="8" t="s">
        <v>124</v>
      </c>
      <c r="M1918" s="8" t="s">
        <v>37</v>
      </c>
      <c r="N1918" s="52" t="str">
        <f>IF(Follow[[#This Row],[DATAATUALIZAÇÃO]]&lt;=Follow[[#This Row],[Prev Entrega]],"Dentro do Prazo","Fora do Prazo")</f>
        <v>Dentro do Prazo</v>
      </c>
      <c r="O191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2023 Rastreio 888700173479968, agradecemos a preferência e adoraríamos receber sua avaliação, tendo qualquer dúvida estamos à disposição.
Att
Tem tudo Shop</v>
      </c>
    </row>
    <row r="1919" spans="1:15">
      <c r="A1919" s="52" t="str">
        <f>_xlfn.XLOOKUP(Follow[[#This Row],[CODRASTREIO]],Controle_Pedidos[Cód Rastreamento],Controle_Pedidos[Número Pedido Cliente])</f>
        <v>Pedido 2024</v>
      </c>
      <c r="B1919" s="2" t="s">
        <v>19348</v>
      </c>
      <c r="C1919" s="2" t="str">
        <f>Follow[[#This Row],[CODRASTREIO]]&amp;" B"</f>
        <v>CódRastreio1906 B</v>
      </c>
      <c r="D1919" s="52" t="str">
        <f>_xlfn.XLOOKUP(Follow[[#This Row],[Id Pedido]],Controle_Pedidos[Número Pedido Cliente],Controle_Pedidos[Loja])</f>
        <v>BV</v>
      </c>
      <c r="E1919" s="9">
        <f>_xlfn.XLOOKUP(Follow[[#This Row],[Id Pedido]],Controle_Pedidos[Número Pedido Cliente],Controle_Pedidos[Prazo Entrega])</f>
        <v>45869</v>
      </c>
      <c r="F1919" s="9" t="s">
        <v>19434</v>
      </c>
      <c r="G1919" s="9">
        <v>888700173813865</v>
      </c>
      <c r="H1919" s="52" t="s">
        <v>178</v>
      </c>
      <c r="I1919" s="54" t="s">
        <v>178</v>
      </c>
      <c r="J1919" s="144">
        <v>45863</v>
      </c>
      <c r="K1919" s="54" t="s">
        <v>198</v>
      </c>
      <c r="L1919" s="8" t="s">
        <v>124</v>
      </c>
      <c r="M1919" s="8" t="s">
        <v>37</v>
      </c>
      <c r="N1919" s="52" t="str">
        <f>IF(Follow[[#This Row],[DATAATUALIZAÇÃO]]&lt;=Follow[[#This Row],[Prev Entrega]],"Dentro do Prazo","Fora do Prazo")</f>
        <v>Dentro do Prazo</v>
      </c>
      <c r="O191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2024 Rastreio 888700173813865, agradecemos a preferência e adoraríamos receber sua avaliação, tendo qualquer dúvida estamos à disposição.
Att
Tem tudo Shop</v>
      </c>
    </row>
    <row r="1920" spans="1:15">
      <c r="A1920" s="52" t="str">
        <f>_xlfn.XLOOKUP(Follow[[#This Row],[CODRASTREIO]],Controle_Pedidos[Cód Rastreamento],Controle_Pedidos[Número Pedido Cliente])</f>
        <v>Pedido 2025</v>
      </c>
      <c r="B1920" s="2" t="s">
        <v>19349</v>
      </c>
      <c r="C1920" s="2" t="str">
        <f>Follow[[#This Row],[CODRASTREIO]]&amp;" B"</f>
        <v>CódRastreio1907 B</v>
      </c>
      <c r="D1920" s="52" t="str">
        <f>_xlfn.XLOOKUP(Follow[[#This Row],[Id Pedido]],Controle_Pedidos[Número Pedido Cliente],Controle_Pedidos[Loja])</f>
        <v>BV</v>
      </c>
      <c r="E1920" s="9">
        <f>_xlfn.XLOOKUP(Follow[[#This Row],[Id Pedido]],Controle_Pedidos[Número Pedido Cliente],Controle_Pedidos[Prazo Entrega])</f>
        <v>45869</v>
      </c>
      <c r="F1920" s="9" t="s">
        <v>19434</v>
      </c>
      <c r="G1920" s="9" t="s">
        <v>37</v>
      </c>
      <c r="H1920" s="52" t="s">
        <v>178</v>
      </c>
      <c r="I1920" s="54" t="s">
        <v>178</v>
      </c>
      <c r="J1920" s="144">
        <v>45862</v>
      </c>
      <c r="K1920" s="54" t="s">
        <v>198</v>
      </c>
      <c r="L1920" s="8" t="s">
        <v>124</v>
      </c>
      <c r="M1920" s="8" t="s">
        <v>37</v>
      </c>
      <c r="N1920" s="52" t="str">
        <f>IF(Follow[[#This Row],[DATAATUALIZAÇÃO]]&lt;=Follow[[#This Row],[Prev Entrega]],"Dentro do Prazo","Fora do Prazo")</f>
        <v>Dentro do Prazo</v>
      </c>
      <c r="O192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24/07/2025, referente ao pedido Nº Pedido 2025 Rastreio Pedido 2025, agradecemos a preferência e adoraríamos receber sua avaliação, tendo qualquer dúvida estamos à disposição.
Att
Tem tudo Shop</v>
      </c>
    </row>
    <row r="1921" spans="1:15">
      <c r="A1921" s="52" t="str">
        <f>_xlfn.XLOOKUP(Follow[[#This Row],[CODRASTREIO]],Controle_Pedidos[Cód Rastreamento],Controle_Pedidos[Número Pedido Cliente])</f>
        <v>Pedido 2026</v>
      </c>
      <c r="B1921" s="2" t="s">
        <v>19350</v>
      </c>
      <c r="C1921" s="2" t="str">
        <f>Follow[[#This Row],[CODRASTREIO]]&amp;" B"</f>
        <v>CódRastreio1908 B</v>
      </c>
      <c r="D1921" s="52" t="str">
        <f>_xlfn.XLOOKUP(Follow[[#This Row],[Id Pedido]],Controle_Pedidos[Número Pedido Cliente],Controle_Pedidos[Loja])</f>
        <v>BV</v>
      </c>
      <c r="E1921" s="9">
        <f>_xlfn.XLOOKUP(Follow[[#This Row],[Id Pedido]],Controle_Pedidos[Número Pedido Cliente],Controle_Pedidos[Prazo Entrega])</f>
        <v>45871</v>
      </c>
      <c r="F1921" s="9" t="s">
        <v>19434</v>
      </c>
      <c r="G1921" s="9">
        <v>888700173211773</v>
      </c>
      <c r="H1921" s="52" t="s">
        <v>178</v>
      </c>
      <c r="I1921" s="54" t="s">
        <v>178</v>
      </c>
      <c r="J1921" s="144">
        <v>45864</v>
      </c>
      <c r="K1921" s="54" t="s">
        <v>198</v>
      </c>
      <c r="L1921" s="8" t="s">
        <v>124</v>
      </c>
      <c r="M1921" s="8" t="s">
        <v>37</v>
      </c>
      <c r="N1921" s="52" t="str">
        <f>IF(Follow[[#This Row],[DATAATUALIZAÇÃO]]&lt;=Follow[[#This Row],[Prev Entrega]],"Dentro do Prazo","Fora do Prazo")</f>
        <v>Dentro do Prazo</v>
      </c>
      <c r="O192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2026 Rastreio 888700173211773, agradecemos a preferência e adoraríamos receber sua avaliação, tendo qualquer dúvida estamos à disposição.
Att
Tem tudo Shop</v>
      </c>
    </row>
    <row r="1922" spans="1:15">
      <c r="A1922" s="52" t="str">
        <f>_xlfn.XLOOKUP(Follow[[#This Row],[CODRASTREIO]],Controle_Pedidos[Cód Rastreamento],Controle_Pedidos[Número Pedido Cliente])</f>
        <v>Pedido 2027</v>
      </c>
      <c r="B1922" s="2" t="s">
        <v>19351</v>
      </c>
      <c r="C1922" s="2" t="str">
        <f>Follow[[#This Row],[CODRASTREIO]]&amp;" B"</f>
        <v>CódRastreio1909 B</v>
      </c>
      <c r="D1922" s="52" t="str">
        <f>_xlfn.XLOOKUP(Follow[[#This Row],[Id Pedido]],Controle_Pedidos[Número Pedido Cliente],Controle_Pedidos[Loja])</f>
        <v>BV</v>
      </c>
      <c r="E1922" s="9">
        <f>_xlfn.XLOOKUP(Follow[[#This Row],[Id Pedido]],Controle_Pedidos[Número Pedido Cliente],Controle_Pedidos[Prazo Entrega])</f>
        <v>45869</v>
      </c>
      <c r="F1922" s="9" t="s">
        <v>19434</v>
      </c>
      <c r="G1922" s="9">
        <v>888700168501725</v>
      </c>
      <c r="H1922" s="52" t="s">
        <v>178</v>
      </c>
      <c r="I1922" s="54" t="s">
        <v>178</v>
      </c>
      <c r="J1922" s="144">
        <v>45863</v>
      </c>
      <c r="K1922" s="54" t="s">
        <v>198</v>
      </c>
      <c r="L1922" s="8" t="s">
        <v>124</v>
      </c>
      <c r="M1922" s="8" t="s">
        <v>37</v>
      </c>
      <c r="N1922" s="52" t="str">
        <f>IF(Follow[[#This Row],[DATAATUALIZAÇÃO]]&lt;=Follow[[#This Row],[Prev Entrega]],"Dentro do Prazo","Fora do Prazo")</f>
        <v>Dentro do Prazo</v>
      </c>
      <c r="O192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2027 Rastreio 888700168501725, agradecemos a preferência e adoraríamos receber sua avaliação, tendo qualquer dúvida estamos à disposição.
Att
Tem tudo Shop</v>
      </c>
    </row>
    <row r="1923" spans="1:15">
      <c r="A1923" s="52" t="str">
        <f>_xlfn.XLOOKUP(Follow[[#This Row],[CODRASTREIO]],Controle_Pedidos[Cód Rastreamento],Controle_Pedidos[Número Pedido Cliente])</f>
        <v>Pedido 2028</v>
      </c>
      <c r="B1923" s="2" t="s">
        <v>19352</v>
      </c>
      <c r="C1923" s="2" t="str">
        <f>Follow[[#This Row],[CODRASTREIO]]&amp;" B"</f>
        <v>CódRastreio1910 B</v>
      </c>
      <c r="D1923" s="52" t="str">
        <f>_xlfn.XLOOKUP(Follow[[#This Row],[Id Pedido]],Controle_Pedidos[Número Pedido Cliente],Controle_Pedidos[Loja])</f>
        <v>BV</v>
      </c>
      <c r="E1923" s="9">
        <f>_xlfn.XLOOKUP(Follow[[#This Row],[Id Pedido]],Controle_Pedidos[Número Pedido Cliente],Controle_Pedidos[Prazo Entrega])</f>
        <v>45869</v>
      </c>
      <c r="F1923" s="9" t="s">
        <v>19434</v>
      </c>
      <c r="G1923" s="9">
        <v>888700164213512</v>
      </c>
      <c r="H1923" s="52" t="s">
        <v>178</v>
      </c>
      <c r="I1923" s="54" t="s">
        <v>178</v>
      </c>
      <c r="J1923" s="144">
        <v>45863</v>
      </c>
      <c r="K1923" s="54" t="s">
        <v>198</v>
      </c>
      <c r="L1923" s="8" t="s">
        <v>124</v>
      </c>
      <c r="M1923" s="8" t="s">
        <v>37</v>
      </c>
      <c r="N1923" s="52" t="str">
        <f>IF(Follow[[#This Row],[DATAATUALIZAÇÃO]]&lt;=Follow[[#This Row],[Prev Entrega]],"Dentro do Prazo","Fora do Prazo")</f>
        <v>Dentro do Prazo</v>
      </c>
      <c r="O192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2028 Rastreio 888700164213512, agradecemos a preferência e adoraríamos receber sua avaliação, tendo qualquer dúvida estamos à disposição.
Att
Tem tudo Shop</v>
      </c>
    </row>
    <row r="1924" spans="1:15">
      <c r="A1924" s="52" t="str">
        <f>_xlfn.XLOOKUP(Follow[[#This Row],[CODRASTREIO]],Controle_Pedidos[Cód Rastreamento],Controle_Pedidos[Número Pedido Cliente])</f>
        <v>Pedido 2029</v>
      </c>
      <c r="B1924" s="2" t="s">
        <v>19353</v>
      </c>
      <c r="C1924" s="2" t="str">
        <f>Follow[[#This Row],[CODRASTREIO]]&amp;" B"</f>
        <v>CódRastreio1911 B</v>
      </c>
      <c r="D1924" s="52" t="str">
        <f>_xlfn.XLOOKUP(Follow[[#This Row],[Id Pedido]],Controle_Pedidos[Número Pedido Cliente],Controle_Pedidos[Loja])</f>
        <v>BV</v>
      </c>
      <c r="E1924" s="9">
        <f>_xlfn.XLOOKUP(Follow[[#This Row],[Id Pedido]],Controle_Pedidos[Número Pedido Cliente],Controle_Pedidos[Prazo Entrega])</f>
        <v>45875</v>
      </c>
      <c r="F1924" s="9" t="s">
        <v>19434</v>
      </c>
      <c r="G1924" s="9">
        <v>888700175003983</v>
      </c>
      <c r="H1924" s="52" t="s">
        <v>178</v>
      </c>
      <c r="I1924" s="54" t="s">
        <v>178</v>
      </c>
      <c r="J1924" s="144">
        <v>45864</v>
      </c>
      <c r="K1924" s="54" t="s">
        <v>198</v>
      </c>
      <c r="L1924" s="8" t="s">
        <v>124</v>
      </c>
      <c r="M1924" s="8" t="s">
        <v>37</v>
      </c>
      <c r="N1924" s="52" t="str">
        <f>IF(Follow[[#This Row],[DATAATUALIZAÇÃO]]&lt;=Follow[[#This Row],[Prev Entrega]],"Dentro do Prazo","Fora do Prazo")</f>
        <v>Dentro do Prazo</v>
      </c>
      <c r="O192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2029 Rastreio 888700175003983, agradecemos a preferência e adoraríamos receber sua avaliação, tendo qualquer dúvida estamos à disposição.
Att
Tem tudo Shop</v>
      </c>
    </row>
    <row r="1925" spans="1:15">
      <c r="A1925" s="52" t="str">
        <f>_xlfn.XLOOKUP(Follow[[#This Row],[CODRASTREIO]],Controle_Pedidos[Cód Rastreamento],Controle_Pedidos[Número Pedido Cliente])</f>
        <v>Pedido 2030</v>
      </c>
      <c r="B1925" s="2" t="s">
        <v>19354</v>
      </c>
      <c r="C1925" s="2" t="str">
        <f>Follow[[#This Row],[CODRASTREIO]]&amp;" B"</f>
        <v>CódRastreio1912 B</v>
      </c>
      <c r="D1925" s="52" t="str">
        <f>_xlfn.XLOOKUP(Follow[[#This Row],[Id Pedido]],Controle_Pedidos[Número Pedido Cliente],Controle_Pedidos[Loja])</f>
        <v>BV</v>
      </c>
      <c r="E1925" s="9">
        <f>_xlfn.XLOOKUP(Follow[[#This Row],[Id Pedido]],Controle_Pedidos[Número Pedido Cliente],Controle_Pedidos[Prazo Entrega])</f>
        <v>45869</v>
      </c>
      <c r="F1925" s="9" t="s">
        <v>19434</v>
      </c>
      <c r="G1925" s="9">
        <v>888700174651148</v>
      </c>
      <c r="H1925" s="52" t="s">
        <v>178</v>
      </c>
      <c r="I1925" s="54" t="s">
        <v>178</v>
      </c>
      <c r="J1925" s="144">
        <v>45864</v>
      </c>
      <c r="K1925" s="54" t="s">
        <v>198</v>
      </c>
      <c r="L1925" s="8" t="s">
        <v>124</v>
      </c>
      <c r="M1925" s="8" t="s">
        <v>37</v>
      </c>
      <c r="N1925" s="52" t="str">
        <f>IF(Follow[[#This Row],[DATAATUALIZAÇÃO]]&lt;=Follow[[#This Row],[Prev Entrega]],"Dentro do Prazo","Fora do Prazo")</f>
        <v>Dentro do Prazo</v>
      </c>
      <c r="O1925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2030 Rastreio 888700174651148, agradecemos a preferência e adoraríamos receber sua avaliação, tendo qualquer dúvida estamos à disposição.
Att
Tem tudo Shop</v>
      </c>
    </row>
    <row r="1926" spans="1:15">
      <c r="A1926" s="52" t="str">
        <f>_xlfn.XLOOKUP(Follow[[#This Row],[CODRASTREIO]],Controle_Pedidos[Cód Rastreamento],Controle_Pedidos[Número Pedido Cliente])</f>
        <v>Pedido 2031</v>
      </c>
      <c r="B1926" s="2" t="s">
        <v>19355</v>
      </c>
      <c r="C1926" s="2" t="str">
        <f>Follow[[#This Row],[CODRASTREIO]]&amp;" B"</f>
        <v>CódRastreio1913 B</v>
      </c>
      <c r="D1926" s="52" t="str">
        <f>_xlfn.XLOOKUP(Follow[[#This Row],[Id Pedido]],Controle_Pedidos[Número Pedido Cliente],Controle_Pedidos[Loja])</f>
        <v>BV</v>
      </c>
      <c r="E1926" s="9">
        <f>_xlfn.XLOOKUP(Follow[[#This Row],[Id Pedido]],Controle_Pedidos[Número Pedido Cliente],Controle_Pedidos[Prazo Entrega])</f>
        <v>45875</v>
      </c>
      <c r="F1926" s="9" t="s">
        <v>19434</v>
      </c>
      <c r="G1926" s="9">
        <v>888700174697355</v>
      </c>
      <c r="H1926" s="52" t="s">
        <v>178</v>
      </c>
      <c r="I1926" s="54" t="s">
        <v>178</v>
      </c>
      <c r="J1926" s="144">
        <v>45864</v>
      </c>
      <c r="K1926" s="54" t="s">
        <v>198</v>
      </c>
      <c r="L1926" s="8" t="s">
        <v>124</v>
      </c>
      <c r="M1926" s="8" t="s">
        <v>37</v>
      </c>
      <c r="N1926" s="52" t="str">
        <f>IF(Follow[[#This Row],[DATAATUALIZAÇÃO]]&lt;=Follow[[#This Row],[Prev Entrega]],"Dentro do Prazo","Fora do Prazo")</f>
        <v>Dentro do Prazo</v>
      </c>
      <c r="O1926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2031 Rastreio 888700174697355, agradecemos a preferência e adoraríamos receber sua avaliação, tendo qualquer dúvida estamos à disposição.
Att
Tem tudo Shop</v>
      </c>
    </row>
    <row r="1927" spans="1:15">
      <c r="A1927" s="52" t="str">
        <f>_xlfn.XLOOKUP(Follow[[#This Row],[CODRASTREIO]],Controle_Pedidos[Cód Rastreamento],Controle_Pedidos[Número Pedido Cliente])</f>
        <v>Pedido 2032</v>
      </c>
      <c r="B1927" s="2" t="s">
        <v>19356</v>
      </c>
      <c r="C1927" s="2" t="str">
        <f>Follow[[#This Row],[CODRASTREIO]]&amp;" B"</f>
        <v>CódRastreio1914 B</v>
      </c>
      <c r="D1927" s="52" t="str">
        <f>_xlfn.XLOOKUP(Follow[[#This Row],[Id Pedido]],Controle_Pedidos[Número Pedido Cliente],Controle_Pedidos[Loja])</f>
        <v>BV</v>
      </c>
      <c r="E1927" s="9">
        <f>_xlfn.XLOOKUP(Follow[[#This Row],[Id Pedido]],Controle_Pedidos[Número Pedido Cliente],Controle_Pedidos[Prazo Entrega])</f>
        <v>45875</v>
      </c>
      <c r="F1927" s="9" t="s">
        <v>19434</v>
      </c>
      <c r="G1927" s="9">
        <v>888700175258436</v>
      </c>
      <c r="H1927" s="52" t="s">
        <v>178</v>
      </c>
      <c r="I1927" s="54" t="s">
        <v>178</v>
      </c>
      <c r="J1927" s="144">
        <v>45864</v>
      </c>
      <c r="K1927" s="54" t="s">
        <v>198</v>
      </c>
      <c r="L1927" s="8" t="s">
        <v>124</v>
      </c>
      <c r="M1927" s="8" t="s">
        <v>37</v>
      </c>
      <c r="N1927" s="52" t="str">
        <f>IF(Follow[[#This Row],[DATAATUALIZAÇÃO]]&lt;=Follow[[#This Row],[Prev Entrega]],"Dentro do Prazo","Fora do Prazo")</f>
        <v>Dentro do Prazo</v>
      </c>
      <c r="O192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2032 Rastreio 888700175258436, agradecemos a preferência e adoraríamos receber sua avaliação, tendo qualquer dúvida estamos à disposição.
Att
Tem tudo Shop</v>
      </c>
    </row>
    <row r="1928" spans="1:15">
      <c r="A1928" s="52" t="str">
        <f>_xlfn.XLOOKUP(Follow[[#This Row],[CODRASTREIO]],Controle_Pedidos[Cód Rastreamento],Controle_Pedidos[Número Pedido Cliente])</f>
        <v>Pedido 2033</v>
      </c>
      <c r="B1928" s="2" t="s">
        <v>19357</v>
      </c>
      <c r="C1928" s="2" t="str">
        <f>Follow[[#This Row],[CODRASTREIO]]&amp;" B"</f>
        <v>CódRastreio1915 B</v>
      </c>
      <c r="D1928" s="52" t="str">
        <f>_xlfn.XLOOKUP(Follow[[#This Row],[Id Pedido]],Controle_Pedidos[Número Pedido Cliente],Controle_Pedidos[Loja])</f>
        <v>BV</v>
      </c>
      <c r="E1928" s="9">
        <f>_xlfn.XLOOKUP(Follow[[#This Row],[Id Pedido]],Controle_Pedidos[Número Pedido Cliente],Controle_Pedidos[Prazo Entrega])</f>
        <v>45869</v>
      </c>
      <c r="F1928" s="9" t="s">
        <v>19434</v>
      </c>
      <c r="G1928" s="9">
        <v>888700173301638</v>
      </c>
      <c r="H1928" s="52" t="s">
        <v>178</v>
      </c>
      <c r="I1928" s="54" t="s">
        <v>178</v>
      </c>
      <c r="J1928" s="144">
        <v>45863</v>
      </c>
      <c r="K1928" s="54" t="s">
        <v>198</v>
      </c>
      <c r="L1928" s="8" t="s">
        <v>124</v>
      </c>
      <c r="M1928" s="8" t="s">
        <v>37</v>
      </c>
      <c r="N1928" s="52" t="str">
        <f>IF(Follow[[#This Row],[DATAATUALIZAÇÃO]]&lt;=Follow[[#This Row],[Prev Entrega]],"Dentro do Prazo","Fora do Prazo")</f>
        <v>Dentro do Prazo</v>
      </c>
      <c r="O1928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2033 Rastreio 888700173301638, agradecemos a preferência e adoraríamos receber sua avaliação, tendo qualquer dúvida estamos à disposição.
Att
Tem tudo Shop</v>
      </c>
    </row>
    <row r="1929" spans="1:15">
      <c r="A1929" s="52" t="str">
        <f>_xlfn.XLOOKUP(Follow[[#This Row],[CODRASTREIO]],Controle_Pedidos[Cód Rastreamento],Controle_Pedidos[Número Pedido Cliente])</f>
        <v>Pedido 2034</v>
      </c>
      <c r="B1929" s="2" t="s">
        <v>19358</v>
      </c>
      <c r="C1929" s="2" t="str">
        <f>Follow[[#This Row],[CODRASTREIO]]&amp;" B"</f>
        <v>CódRastreio1916 B</v>
      </c>
      <c r="D1929" s="52" t="str">
        <f>_xlfn.XLOOKUP(Follow[[#This Row],[Id Pedido]],Controle_Pedidos[Número Pedido Cliente],Controle_Pedidos[Loja])</f>
        <v>BV</v>
      </c>
      <c r="E1929" s="9">
        <f>_xlfn.XLOOKUP(Follow[[#This Row],[Id Pedido]],Controle_Pedidos[Número Pedido Cliente],Controle_Pedidos[Prazo Entrega])</f>
        <v>45870</v>
      </c>
      <c r="F1929" s="9" t="s">
        <v>19434</v>
      </c>
      <c r="G1929" s="9" t="s">
        <v>37</v>
      </c>
      <c r="H1929" s="52" t="s">
        <v>178</v>
      </c>
      <c r="I1929" s="54" t="s">
        <v>178</v>
      </c>
      <c r="J1929" s="144">
        <v>45860</v>
      </c>
      <c r="K1929" s="54" t="s">
        <v>533</v>
      </c>
      <c r="L1929" s="8" t="s">
        <v>184</v>
      </c>
      <c r="M1929" s="8" t="s">
        <v>37</v>
      </c>
      <c r="N1929" s="52" t="str">
        <f>IF(Follow[[#This Row],[DATAATUALIZAÇÃO]]&lt;=Follow[[#This Row],[Prev Entrega]],"Dentro do Prazo","Fora do Prazo")</f>
        <v>Dentro do Prazo</v>
      </c>
      <c r="O192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22/07/2025, referente ao pedido Nº Pedido 2034 Rastreio Pedido 2034, agradecemos a preferência e adoraríamos receber sua avaliação, tendo qualquer dúvida estamos à disposição.
Att
Tem tudo Shop</v>
      </c>
    </row>
    <row r="1930" spans="1:15">
      <c r="A1930" s="52" t="str">
        <f>_xlfn.XLOOKUP(Follow[[#This Row],[CODRASTREIO]],Controle_Pedidos[Cód Rastreamento],Controle_Pedidos[Número Pedido Cliente])</f>
        <v>Pedido 2035</v>
      </c>
      <c r="B1930" s="2" t="s">
        <v>19359</v>
      </c>
      <c r="C1930" s="2" t="str">
        <f>Follow[[#This Row],[CODRASTREIO]]&amp;" B"</f>
        <v>CódRastreio1917 B</v>
      </c>
      <c r="D1930" s="52" t="str">
        <f>_xlfn.XLOOKUP(Follow[[#This Row],[Id Pedido]],Controle_Pedidos[Número Pedido Cliente],Controle_Pedidos[Loja])</f>
        <v>BV</v>
      </c>
      <c r="E1930" s="9">
        <f>_xlfn.XLOOKUP(Follow[[#This Row],[Id Pedido]],Controle_Pedidos[Número Pedido Cliente],Controle_Pedidos[Prazo Entrega])</f>
        <v>45870</v>
      </c>
      <c r="F1930" s="9" t="s">
        <v>19434</v>
      </c>
      <c r="G1930" s="9" t="s">
        <v>37</v>
      </c>
      <c r="H1930" s="52" t="s">
        <v>178</v>
      </c>
      <c r="I1930" s="54" t="s">
        <v>178</v>
      </c>
      <c r="J1930" s="144">
        <v>45862</v>
      </c>
      <c r="K1930" s="54" t="s">
        <v>198</v>
      </c>
      <c r="L1930" s="8" t="s">
        <v>124</v>
      </c>
      <c r="M1930" s="8" t="s">
        <v>37</v>
      </c>
      <c r="N1930" s="52" t="str">
        <f>IF(Follow[[#This Row],[DATAATUALIZAÇÃO]]&lt;=Follow[[#This Row],[Prev Entrega]],"Dentro do Prazo","Fora do Prazo")</f>
        <v>Dentro do Prazo</v>
      </c>
      <c r="O193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24/07/2025, referente ao pedido Nº Pedido 2035 Rastreio Pedido 2035, agradecemos a preferência e adoraríamos receber sua avaliação, tendo qualquer dúvida estamos à disposição.
Att
Tem tudo Shop</v>
      </c>
    </row>
    <row r="1931" spans="1:15">
      <c r="A1931" s="52" t="str">
        <f>_xlfn.XLOOKUP(Follow[[#This Row],[CODRASTREIO]],Controle_Pedidos[Cód Rastreamento],Controle_Pedidos[Número Pedido Cliente])</f>
        <v>Pedido 2036</v>
      </c>
      <c r="B1931" s="2" t="s">
        <v>19360</v>
      </c>
      <c r="C1931" s="2" t="str">
        <f>Follow[[#This Row],[CODRASTREIO]]&amp;" B"</f>
        <v>CódRastreio1918 B</v>
      </c>
      <c r="D1931" s="52" t="str">
        <f>_xlfn.XLOOKUP(Follow[[#This Row],[Id Pedido]],Controle_Pedidos[Número Pedido Cliente],Controle_Pedidos[Loja])</f>
        <v>BV</v>
      </c>
      <c r="E1931" s="9">
        <f>_xlfn.XLOOKUP(Follow[[#This Row],[Id Pedido]],Controle_Pedidos[Número Pedido Cliente],Controle_Pedidos[Prazo Entrega])</f>
        <v>45870</v>
      </c>
      <c r="F1931" s="9" t="s">
        <v>19434</v>
      </c>
      <c r="G1931" s="9">
        <v>888700175627265</v>
      </c>
      <c r="H1931" s="52" t="s">
        <v>178</v>
      </c>
      <c r="I1931" s="54" t="s">
        <v>178</v>
      </c>
      <c r="J1931" s="144">
        <v>45863</v>
      </c>
      <c r="K1931" s="54" t="s">
        <v>198</v>
      </c>
      <c r="L1931" s="8" t="s">
        <v>124</v>
      </c>
      <c r="M1931" s="8" t="s">
        <v>37</v>
      </c>
      <c r="N1931" s="52" t="str">
        <f>IF(Follow[[#This Row],[DATAATUALIZAÇÃO]]&lt;=Follow[[#This Row],[Prev Entrega]],"Dentro do Prazo","Fora do Prazo")</f>
        <v>Dentro do Prazo</v>
      </c>
      <c r="O193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2036 Rastreio 888700175627265, agradecemos a preferência e adoraríamos receber sua avaliação, tendo qualquer dúvida estamos à disposição.
Att
Tem tudo Shop</v>
      </c>
    </row>
    <row r="1932" spans="1:15">
      <c r="A1932" s="52" t="str">
        <f>_xlfn.XLOOKUP(Follow[[#This Row],[CODRASTREIO]],Controle_Pedidos[Cód Rastreamento],Controle_Pedidos[Número Pedido Cliente])</f>
        <v>Pedido 2037</v>
      </c>
      <c r="B1932" s="2" t="s">
        <v>19361</v>
      </c>
      <c r="C1932" s="2" t="str">
        <f>Follow[[#This Row],[CODRASTREIO]]&amp;" B"</f>
        <v>CódRastreio1919 B</v>
      </c>
      <c r="D1932" s="52" t="str">
        <f>_xlfn.XLOOKUP(Follow[[#This Row],[Id Pedido]],Controle_Pedidos[Número Pedido Cliente],Controle_Pedidos[Loja])</f>
        <v>BV</v>
      </c>
      <c r="E1932" s="9">
        <f>_xlfn.XLOOKUP(Follow[[#This Row],[Id Pedido]],Controle_Pedidos[Número Pedido Cliente],Controle_Pedidos[Prazo Entrega])</f>
        <v>45876</v>
      </c>
      <c r="F1932" s="9" t="s">
        <v>19434</v>
      </c>
      <c r="G1932" s="9">
        <v>888700175054620</v>
      </c>
      <c r="H1932" s="52" t="s">
        <v>178</v>
      </c>
      <c r="I1932" s="54" t="s">
        <v>178</v>
      </c>
      <c r="J1932" s="144">
        <v>45864</v>
      </c>
      <c r="K1932" s="54" t="s">
        <v>198</v>
      </c>
      <c r="L1932" s="8" t="s">
        <v>124</v>
      </c>
      <c r="M1932" s="8" t="s">
        <v>37</v>
      </c>
      <c r="N1932" s="52" t="str">
        <f>IF(Follow[[#This Row],[DATAATUALIZAÇÃO]]&lt;=Follow[[#This Row],[Prev Entrega]],"Dentro do Prazo","Fora do Prazo")</f>
        <v>Dentro do Prazo</v>
      </c>
      <c r="O193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2037 Rastreio 888700175054620, agradecemos a preferência e adoraríamos receber sua avaliação, tendo qualquer dúvida estamos à disposição.
Att
Tem tudo Shop</v>
      </c>
    </row>
    <row r="1933" spans="1:15">
      <c r="A1933" s="52" t="str">
        <f>_xlfn.XLOOKUP(Follow[[#This Row],[CODRASTREIO]],Controle_Pedidos[Cód Rastreamento],Controle_Pedidos[Número Pedido Cliente])</f>
        <v>Pedido 2038</v>
      </c>
      <c r="B1933" s="2" t="s">
        <v>19362</v>
      </c>
      <c r="C1933" s="2" t="str">
        <f>Follow[[#This Row],[CODRASTREIO]]&amp;" B"</f>
        <v>CódRastreio1920 B</v>
      </c>
      <c r="D1933" s="52" t="str">
        <f>_xlfn.XLOOKUP(Follow[[#This Row],[Id Pedido]],Controle_Pedidos[Número Pedido Cliente],Controle_Pedidos[Loja])</f>
        <v>BV</v>
      </c>
      <c r="E1933" s="9">
        <f>_xlfn.XLOOKUP(Follow[[#This Row],[Id Pedido]],Controle_Pedidos[Número Pedido Cliente],Controle_Pedidos[Prazo Entrega])</f>
        <v>45876</v>
      </c>
      <c r="F1933" s="9" t="s">
        <v>19434</v>
      </c>
      <c r="G1933" s="9">
        <v>888700173841300</v>
      </c>
      <c r="H1933" s="52" t="s">
        <v>178</v>
      </c>
      <c r="I1933" s="54" t="s">
        <v>178</v>
      </c>
      <c r="J1933" s="144">
        <v>45866</v>
      </c>
      <c r="K1933" s="54" t="s">
        <v>198</v>
      </c>
      <c r="L1933" s="8" t="s">
        <v>124</v>
      </c>
      <c r="M1933" s="8" t="s">
        <v>37</v>
      </c>
      <c r="N1933" s="52" t="str">
        <f>IF(Follow[[#This Row],[DATAATUALIZAÇÃO]]&lt;=Follow[[#This Row],[Prev Entrega]],"Dentro do Prazo","Fora do Prazo")</f>
        <v>Dentro do Prazo</v>
      </c>
      <c r="O193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2038 Rastreio 888700173841300, agradecemos a preferência e adoraríamos receber sua avaliação, tendo qualquer dúvida estamos à disposição.
Att
Tem tudo Shop</v>
      </c>
    </row>
    <row r="1934" spans="1:15">
      <c r="A1934" s="52" t="str">
        <f>_xlfn.XLOOKUP(Follow[[#This Row],[CODRASTREIO]],Controle_Pedidos[Cód Rastreamento],Controle_Pedidos[Número Pedido Cliente])</f>
        <v>Pedido 2039</v>
      </c>
      <c r="B1934" s="2" t="s">
        <v>19363</v>
      </c>
      <c r="C1934" s="2" t="str">
        <f>Follow[[#This Row],[CODRASTREIO]]&amp;" B"</f>
        <v>CódRastreio1921 B</v>
      </c>
      <c r="D1934" s="52" t="str">
        <f>_xlfn.XLOOKUP(Follow[[#This Row],[Id Pedido]],Controle_Pedidos[Número Pedido Cliente],Controle_Pedidos[Loja])</f>
        <v>BV</v>
      </c>
      <c r="E1934" s="9">
        <f>_xlfn.XLOOKUP(Follow[[#This Row],[Id Pedido]],Controle_Pedidos[Número Pedido Cliente],Controle_Pedidos[Prazo Entrega])</f>
        <v>45876</v>
      </c>
      <c r="F1934" s="9" t="s">
        <v>19434</v>
      </c>
      <c r="G1934" s="9">
        <v>888700171206441</v>
      </c>
      <c r="H1934" s="52" t="s">
        <v>178</v>
      </c>
      <c r="I1934" s="54" t="s">
        <v>178</v>
      </c>
      <c r="J1934" s="144">
        <v>45864</v>
      </c>
      <c r="K1934" s="54" t="s">
        <v>198</v>
      </c>
      <c r="L1934" s="8" t="s">
        <v>124</v>
      </c>
      <c r="M1934" s="8" t="s">
        <v>37</v>
      </c>
      <c r="N1934" s="52" t="str">
        <f>IF(Follow[[#This Row],[DATAATUALIZAÇÃO]]&lt;=Follow[[#This Row],[Prev Entrega]],"Dentro do Prazo","Fora do Prazo")</f>
        <v>Dentro do Prazo</v>
      </c>
      <c r="O193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26/07/2025, referente ao pedido Nº Pedido 2039 Rastreio 888700171206441, agradecemos a preferência e adoraríamos receber sua avaliação, tendo qualquer dúvida estamos à disposição.
Att
Tem tudo Shop</v>
      </c>
    </row>
    <row r="1935" spans="1:15">
      <c r="A1935" s="52" t="str">
        <f>_xlfn.XLOOKUP(Follow[[#This Row],[CODRASTREIO]],Controle_Pedidos[Cód Rastreamento],Controle_Pedidos[Número Pedido Cliente])</f>
        <v>Pedido 2040</v>
      </c>
      <c r="B1935" s="2" t="s">
        <v>19364</v>
      </c>
      <c r="C1935" s="2" t="str">
        <f>Follow[[#This Row],[CODRASTREIO]]&amp;" B"</f>
        <v>CódRastreio1922 B</v>
      </c>
      <c r="D1935" s="52" t="str">
        <f>_xlfn.XLOOKUP(Follow[[#This Row],[Id Pedido]],Controle_Pedidos[Número Pedido Cliente],Controle_Pedidos[Loja])</f>
        <v>GO</v>
      </c>
      <c r="E1935" s="9">
        <f>_xlfn.XLOOKUP(Follow[[#This Row],[Id Pedido]],Controle_Pedidos[Número Pedido Cliente],Controle_Pedidos[Prazo Entrega])</f>
        <v>45881</v>
      </c>
      <c r="F1935" s="9" t="s">
        <v>19434</v>
      </c>
      <c r="G1935" s="9">
        <v>888700174161442</v>
      </c>
      <c r="H1935" s="52" t="s">
        <v>178</v>
      </c>
      <c r="I1935" s="54" t="s">
        <v>178</v>
      </c>
      <c r="J1935" s="144">
        <v>45864</v>
      </c>
      <c r="K1935" s="54" t="s">
        <v>198</v>
      </c>
      <c r="L1935" s="8" t="s">
        <v>124</v>
      </c>
      <c r="M1935" s="8" t="s">
        <v>37</v>
      </c>
      <c r="N1935" s="52" t="str">
        <f>IF(Follow[[#This Row],[DATAATUALIZAÇÃO]]&lt;=Follow[[#This Row],[Prev Entrega]],"Dentro do Prazo","Fora do Prazo")</f>
        <v>Dentro do Prazo</v>
      </c>
      <c r="O193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26/07/2025, referente ao pedido Nº Pedido 2040 Rastreio 888700174161442, agradecemos a preferência e adoraríamos receber sua avaliação, tendo qualquer dúvida estamos à disposição.
Att
Sec Variedades</v>
      </c>
    </row>
    <row r="1936" spans="1:15">
      <c r="A1936" s="52" t="s">
        <v>15389</v>
      </c>
      <c r="B1936" s="2" t="s">
        <v>19452</v>
      </c>
      <c r="C1936" s="2" t="str">
        <f>Follow[[#This Row],[CODRASTREIO]]&amp;" B"</f>
        <v>CódRastreio1928 1 Envio B</v>
      </c>
      <c r="D1936" s="52" t="s">
        <v>108</v>
      </c>
      <c r="E1936" s="9">
        <v>45881</v>
      </c>
      <c r="F1936" s="9" t="s">
        <v>19434</v>
      </c>
      <c r="G1936" s="9">
        <v>888700174881832</v>
      </c>
      <c r="H1936" s="52" t="s">
        <v>178</v>
      </c>
      <c r="I1936" s="54" t="s">
        <v>178</v>
      </c>
      <c r="J1936" s="144">
        <v>45864</v>
      </c>
      <c r="K1936" s="54" t="s">
        <v>198</v>
      </c>
      <c r="L1936" s="8" t="s">
        <v>124</v>
      </c>
      <c r="M1936" s="8" t="s">
        <v>37</v>
      </c>
      <c r="N1936" s="52" t="str">
        <f>IF(Follow[[#This Row],[DATAATUALIZAÇÃO]]&lt;=Follow[[#This Row],[Prev Entrega]],"Dentro do Prazo","Fora do Prazo")</f>
        <v>Dentro do Prazo</v>
      </c>
      <c r="O193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26/07/2025, referente ao pedido Nº Pedido 2046 Rastreio 888700174881832, agradecemos a preferência e adoraríamos receber sua avaliação, tendo qualquer dúvida estamos à disposição.
Att
Sec Variedades</v>
      </c>
    </row>
    <row r="1937" spans="1:15">
      <c r="A1937" s="52" t="str">
        <f>_xlfn.XLOOKUP(Follow[[#This Row],[CODRASTREIO]],Controle_Pedidos[Cód Rastreamento],Controle_Pedidos[Número Pedido Cliente])</f>
        <v>Pedido 2046</v>
      </c>
      <c r="B1937" s="2" t="s">
        <v>19370</v>
      </c>
      <c r="C1937" s="2" t="str">
        <f>Follow[[#This Row],[CODRASTREIO]]&amp;" B"</f>
        <v>CódRastreio1928 B</v>
      </c>
      <c r="D1937" s="52" t="str">
        <f>_xlfn.XLOOKUP(Follow[[#This Row],[Id Pedido]],Controle_Pedidos[Número Pedido Cliente],Controle_Pedidos[Loja])</f>
        <v>GO</v>
      </c>
      <c r="E1937" s="9">
        <f>_xlfn.XLOOKUP(Follow[[#This Row],[Id Pedido]],Controle_Pedidos[Número Pedido Cliente],Controle_Pedidos[Prazo Entrega])</f>
        <v>45881</v>
      </c>
      <c r="F1937" s="9" t="s">
        <v>19434</v>
      </c>
      <c r="G1937" s="9">
        <v>888700174881832</v>
      </c>
      <c r="H1937" s="52" t="s">
        <v>178</v>
      </c>
      <c r="I1937" s="54" t="s">
        <v>178</v>
      </c>
      <c r="J1937" s="144">
        <v>45864</v>
      </c>
      <c r="K1937" s="54" t="s">
        <v>198</v>
      </c>
      <c r="L1937" s="8" t="s">
        <v>124</v>
      </c>
      <c r="M1937" s="8" t="s">
        <v>37</v>
      </c>
      <c r="N1937" s="52" t="str">
        <f>IF(Follow[[#This Row],[DATAATUALIZAÇÃO]]&lt;=Follow[[#This Row],[Prev Entrega]],"Dentro do Prazo","Fora do Prazo")</f>
        <v>Dentro do Prazo</v>
      </c>
      <c r="O193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26/07/2025, referente ao pedido Nº Pedido 2046 Rastreio 888700174881832, agradecemos a preferência e adoraríamos receber sua avaliação, tendo qualquer dúvida estamos à disposição.
Att
Sec Variedades</v>
      </c>
    </row>
    <row r="1938" spans="1:15">
      <c r="A1938" s="52" t="str">
        <f>_xlfn.XLOOKUP(Follow[[#This Row],[CODRASTREIO]],Controle_Pedidos[Cód Rastreamento],Controle_Pedidos[Número Pedido Cliente])</f>
        <v>Pedido 2048</v>
      </c>
      <c r="B1938" s="2" t="s">
        <v>19371</v>
      </c>
      <c r="C1938" s="2" t="str">
        <f>Follow[[#This Row],[CODRASTREIO]]&amp;" B"</f>
        <v>CódRastreio1929 B</v>
      </c>
      <c r="D1938" s="52" t="str">
        <f>_xlfn.XLOOKUP(Follow[[#This Row],[Id Pedido]],Controle_Pedidos[Número Pedido Cliente],Controle_Pedidos[Loja])</f>
        <v>GO</v>
      </c>
      <c r="E1938" s="9">
        <f>_xlfn.XLOOKUP(Follow[[#This Row],[Id Pedido]],Controle_Pedidos[Número Pedido Cliente],Controle_Pedidos[Prazo Entrega])</f>
        <v>45874</v>
      </c>
      <c r="F1938" s="9" t="s">
        <v>19434</v>
      </c>
      <c r="G1938" s="9">
        <v>888700172640586</v>
      </c>
      <c r="H1938" s="52" t="s">
        <v>178</v>
      </c>
      <c r="I1938" s="54" t="s">
        <v>178</v>
      </c>
      <c r="J1938" s="144">
        <v>45867</v>
      </c>
      <c r="K1938" s="54" t="s">
        <v>198</v>
      </c>
      <c r="L1938" s="8" t="s">
        <v>124</v>
      </c>
      <c r="M1938" s="8" t="s">
        <v>37</v>
      </c>
      <c r="N1938" s="52" t="str">
        <f>IF(Follow[[#This Row],[DATAATUALIZAÇÃO]]&lt;=Follow[[#This Row],[Prev Entrega]],"Dentro do Prazo","Fora do Prazo")</f>
        <v>Dentro do Prazo</v>
      </c>
      <c r="O193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2048 Rastreio 888700172640586, agradecemos a preferência e adoraríamos receber sua avaliação, tendo qualquer dúvida estamos à disposição.
Att
Sec Variedades</v>
      </c>
    </row>
    <row r="1939" spans="1:15">
      <c r="A1939" s="52" t="str">
        <f>_xlfn.XLOOKUP(Follow[[#This Row],[CODRASTREIO]],Controle_Pedidos[Cód Rastreamento],Controle_Pedidos[Número Pedido Cliente])</f>
        <v>Pedido 2049</v>
      </c>
      <c r="B1939" s="2" t="s">
        <v>19372</v>
      </c>
      <c r="C1939" s="2" t="str">
        <f>Follow[[#This Row],[CODRASTREIO]]&amp;" B"</f>
        <v>CódRastreio1930 B</v>
      </c>
      <c r="D1939" s="52" t="str">
        <f>_xlfn.XLOOKUP(Follow[[#This Row],[Id Pedido]],Controle_Pedidos[Número Pedido Cliente],Controle_Pedidos[Loja])</f>
        <v>GO</v>
      </c>
      <c r="E1939" s="9">
        <f>_xlfn.XLOOKUP(Follow[[#This Row],[Id Pedido]],Controle_Pedidos[Número Pedido Cliente],Controle_Pedidos[Prazo Entrega])</f>
        <v>45869</v>
      </c>
      <c r="F1939" s="9" t="s">
        <v>19434</v>
      </c>
      <c r="G1939" s="9">
        <v>888700172961534</v>
      </c>
      <c r="H1939" s="52" t="s">
        <v>178</v>
      </c>
      <c r="I1939" s="54" t="s">
        <v>178</v>
      </c>
      <c r="J1939" s="144">
        <v>45863</v>
      </c>
      <c r="K1939" s="54" t="s">
        <v>198</v>
      </c>
      <c r="L1939" s="8" t="s">
        <v>124</v>
      </c>
      <c r="M1939" s="8" t="s">
        <v>37</v>
      </c>
      <c r="N1939" s="52" t="str">
        <f>IF(Follow[[#This Row],[DATAATUALIZAÇÃO]]&lt;=Follow[[#This Row],[Prev Entrega]],"Dentro do Prazo","Fora do Prazo")</f>
        <v>Dentro do Prazo</v>
      </c>
      <c r="O193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25/07/2025, referente ao pedido Nº Pedido 2049 Rastreio 888700172961534, agradecemos a preferência e adoraríamos receber sua avaliação, tendo qualquer dúvida estamos à disposição.
Att
Sec Variedades</v>
      </c>
    </row>
    <row r="1940" spans="1:15">
      <c r="A1940" s="52" t="str">
        <f>_xlfn.XLOOKUP(Follow[[#This Row],[CODRASTREIO]],Controle_Pedidos[Cód Rastreamento],Controle_Pedidos[Número Pedido Cliente])</f>
        <v>Pedido 2041</v>
      </c>
      <c r="B1940" s="2" t="s">
        <v>19365</v>
      </c>
      <c r="C1940" s="2" t="str">
        <f>Follow[[#This Row],[CODRASTREIO]]&amp;" B"</f>
        <v>CódRastreio1923 B</v>
      </c>
      <c r="D1940" s="52" t="str">
        <f>_xlfn.XLOOKUP(Follow[[#This Row],[Id Pedido]],Controle_Pedidos[Número Pedido Cliente],Controle_Pedidos[Loja])</f>
        <v>BV</v>
      </c>
      <c r="E1940" s="9">
        <f>_xlfn.XLOOKUP(Follow[[#This Row],[Id Pedido]],Controle_Pedidos[Número Pedido Cliente],Controle_Pedidos[Prazo Entrega])</f>
        <v>45870</v>
      </c>
      <c r="F1940" s="9" t="s">
        <v>19434</v>
      </c>
      <c r="G1940" s="9">
        <v>888700170105097</v>
      </c>
      <c r="H1940" s="52" t="s">
        <v>178</v>
      </c>
      <c r="I1940" s="54" t="s">
        <v>178</v>
      </c>
      <c r="J1940" s="144">
        <v>45866</v>
      </c>
      <c r="K1940" s="54" t="s">
        <v>198</v>
      </c>
      <c r="L1940" s="8" t="s">
        <v>124</v>
      </c>
      <c r="M1940" s="8" t="s">
        <v>37</v>
      </c>
      <c r="N1940" s="52" t="str">
        <f>IF(Follow[[#This Row],[DATAATUALIZAÇÃO]]&lt;=Follow[[#This Row],[Prev Entrega]],"Dentro do Prazo","Fora do Prazo")</f>
        <v>Dentro do Prazo</v>
      </c>
      <c r="O1940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2041 Rastreio 888700170105097, agradecemos a preferência e adoraríamos receber sua avaliação, tendo qualquer dúvida estamos à disposição.
Att
Tem tudo Shop</v>
      </c>
    </row>
    <row r="1941" spans="1:15">
      <c r="A1941" s="52" t="str">
        <f>_xlfn.XLOOKUP(Follow[[#This Row],[CODRASTREIO]],Controle_Pedidos[Cód Rastreamento],Controle_Pedidos[Número Pedido Cliente])</f>
        <v>Pedido 2042</v>
      </c>
      <c r="B1941" s="2" t="s">
        <v>19366</v>
      </c>
      <c r="C1941" s="2" t="str">
        <f>Follow[[#This Row],[CODRASTREIO]]&amp;" B"</f>
        <v>CódRastreio1924 B</v>
      </c>
      <c r="D1941" s="52" t="str">
        <f>_xlfn.XLOOKUP(Follow[[#This Row],[Id Pedido]],Controle_Pedidos[Número Pedido Cliente],Controle_Pedidos[Loja])</f>
        <v>BV</v>
      </c>
      <c r="E1941" s="9">
        <f>_xlfn.XLOOKUP(Follow[[#This Row],[Id Pedido]],Controle_Pedidos[Número Pedido Cliente],Controle_Pedidos[Prazo Entrega])</f>
        <v>45871</v>
      </c>
      <c r="F1941" s="9" t="s">
        <v>19434</v>
      </c>
      <c r="G1941" s="9" t="s">
        <v>37</v>
      </c>
      <c r="H1941" s="52" t="s">
        <v>178</v>
      </c>
      <c r="I1941" s="54" t="s">
        <v>178</v>
      </c>
      <c r="J1941" s="144">
        <v>45866</v>
      </c>
      <c r="K1941" s="54">
        <v>0</v>
      </c>
      <c r="L1941" s="8" t="s">
        <v>184</v>
      </c>
      <c r="M1941" s="8" t="s">
        <v>37</v>
      </c>
      <c r="N1941" s="52" t="str">
        <f>IF(Follow[[#This Row],[DATAATUALIZAÇÃO]]&lt;=Follow[[#This Row],[Prev Entrega]],"Dentro do Prazo","Fora do Prazo")</f>
        <v>Dentro do Prazo</v>
      </c>
      <c r="O194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2042 Rastreio Pedido 2042, agradecemos a preferência e adoraríamos receber sua avaliação, tendo qualquer dúvida estamos à disposição.
Att
Tem tudo Shop</v>
      </c>
    </row>
    <row r="1942" spans="1:15">
      <c r="A1942" s="52" t="str">
        <f>_xlfn.XLOOKUP(Follow[[#This Row],[CODRASTREIO]],Controle_Pedidos[Cód Rastreamento],Controle_Pedidos[Número Pedido Cliente])</f>
        <v>Pedido 2043</v>
      </c>
      <c r="B1942" s="2" t="s">
        <v>19367</v>
      </c>
      <c r="C1942" s="2" t="str">
        <f>Follow[[#This Row],[CODRASTREIO]]&amp;" B"</f>
        <v>CódRastreio1925 B</v>
      </c>
      <c r="D1942" s="52" t="str">
        <f>_xlfn.XLOOKUP(Follow[[#This Row],[Id Pedido]],Controle_Pedidos[Número Pedido Cliente],Controle_Pedidos[Loja])</f>
        <v>BV</v>
      </c>
      <c r="E1942" s="9">
        <f>_xlfn.XLOOKUP(Follow[[#This Row],[Id Pedido]],Controle_Pedidos[Número Pedido Cliente],Controle_Pedidos[Prazo Entrega])</f>
        <v>45875</v>
      </c>
      <c r="F1942" s="9" t="s">
        <v>19434</v>
      </c>
      <c r="G1942" s="9">
        <v>888700174953034</v>
      </c>
      <c r="H1942" s="52" t="s">
        <v>178</v>
      </c>
      <c r="I1942" s="54" t="s">
        <v>178</v>
      </c>
      <c r="J1942" s="144">
        <v>45866</v>
      </c>
      <c r="K1942" s="54" t="s">
        <v>198</v>
      </c>
      <c r="L1942" s="8" t="s">
        <v>124</v>
      </c>
      <c r="M1942" s="8" t="s">
        <v>37</v>
      </c>
      <c r="N1942" s="52" t="str">
        <f>IF(Follow[[#This Row],[DATAATUALIZAÇÃO]]&lt;=Follow[[#This Row],[Prev Entrega]],"Dentro do Prazo","Fora do Prazo")</f>
        <v>Dentro do Prazo</v>
      </c>
      <c r="O194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2043 Rastreio 888700174953034, agradecemos a preferência e adoraríamos receber sua avaliação, tendo qualquer dúvida estamos à disposição.
Att
Tem tudo Shop</v>
      </c>
    </row>
    <row r="1943" spans="1:15">
      <c r="A1943" s="52" t="str">
        <f>_xlfn.XLOOKUP(Follow[[#This Row],[CODRASTREIO]],Controle_Pedidos[Cód Rastreamento],Controle_Pedidos[Número Pedido Cliente])</f>
        <v>Pedido 2044</v>
      </c>
      <c r="B1943" s="2" t="s">
        <v>19368</v>
      </c>
      <c r="C1943" s="2" t="str">
        <f>Follow[[#This Row],[CODRASTREIO]]&amp;" B"</f>
        <v>CódRastreio1926 B</v>
      </c>
      <c r="D1943" s="52" t="str">
        <f>_xlfn.XLOOKUP(Follow[[#This Row],[Id Pedido]],Controle_Pedidos[Número Pedido Cliente],Controle_Pedidos[Loja])</f>
        <v>BV</v>
      </c>
      <c r="E1943" s="9">
        <f>_xlfn.XLOOKUP(Follow[[#This Row],[Id Pedido]],Controle_Pedidos[Número Pedido Cliente],Controle_Pedidos[Prazo Entrega])</f>
        <v>45877</v>
      </c>
      <c r="F1943" s="9" t="s">
        <v>19434</v>
      </c>
      <c r="G1943" s="9">
        <v>888700174165925</v>
      </c>
      <c r="H1943" s="52" t="s">
        <v>178</v>
      </c>
      <c r="I1943" s="54" t="s">
        <v>178</v>
      </c>
      <c r="J1943" s="144">
        <v>45867</v>
      </c>
      <c r="K1943" s="54" t="s">
        <v>198</v>
      </c>
      <c r="L1943" s="8" t="s">
        <v>124</v>
      </c>
      <c r="M1943" s="8" t="s">
        <v>37</v>
      </c>
      <c r="N1943" s="52" t="str">
        <f>IF(Follow[[#This Row],[DATAATUALIZAÇÃO]]&lt;=Follow[[#This Row],[Prev Entrega]],"Dentro do Prazo","Fora do Prazo")</f>
        <v>Dentro do Prazo</v>
      </c>
      <c r="O194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2044 Rastreio 888700174165925, agradecemos a preferência e adoraríamos receber sua avaliação, tendo qualquer dúvida estamos à disposição.
Att
Tem tudo Shop</v>
      </c>
    </row>
    <row r="1944" spans="1:15">
      <c r="A1944" s="52" t="str">
        <f>_xlfn.XLOOKUP(Follow[[#This Row],[CODRASTREIO]],Controle_Pedidos[Cód Rastreamento],Controle_Pedidos[Número Pedido Cliente])</f>
        <v>Pedido 2045</v>
      </c>
      <c r="B1944" s="2" t="s">
        <v>19369</v>
      </c>
      <c r="C1944" s="2" t="str">
        <f>Follow[[#This Row],[CODRASTREIO]]&amp;" B"</f>
        <v>CódRastreio1927 B</v>
      </c>
      <c r="D1944" s="52" t="str">
        <f>_xlfn.XLOOKUP(Follow[[#This Row],[Id Pedido]],Controle_Pedidos[Número Pedido Cliente],Controle_Pedidos[Loja])</f>
        <v>BV</v>
      </c>
      <c r="E1944" s="9">
        <f>_xlfn.XLOOKUP(Follow[[#This Row],[Id Pedido]],Controle_Pedidos[Número Pedido Cliente],Controle_Pedidos[Prazo Entrega])</f>
        <v>45875</v>
      </c>
      <c r="F1944" s="9" t="s">
        <v>19434</v>
      </c>
      <c r="G1944" s="9">
        <v>888700170419191</v>
      </c>
      <c r="H1944" s="52" t="s">
        <v>178</v>
      </c>
      <c r="I1944" s="54" t="s">
        <v>178</v>
      </c>
      <c r="J1944" s="144">
        <v>45866</v>
      </c>
      <c r="K1944" s="54" t="s">
        <v>198</v>
      </c>
      <c r="L1944" s="8" t="s">
        <v>124</v>
      </c>
      <c r="M1944" s="8" t="s">
        <v>37</v>
      </c>
      <c r="N1944" s="52" t="str">
        <f>IF(Follow[[#This Row],[DATAATUALIZAÇÃO]]&lt;=Follow[[#This Row],[Prev Entrega]],"Dentro do Prazo","Fora do Prazo")</f>
        <v>Dentro do Prazo</v>
      </c>
      <c r="O194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2045 Rastreio 888700170419191, agradecemos a preferência e adoraríamos receber sua avaliação, tendo qualquer dúvida estamos à disposição.
Att
Tem tudo Shop</v>
      </c>
    </row>
    <row r="1945" spans="1:15">
      <c r="A1945" s="52" t="str">
        <f>_xlfn.XLOOKUP(Follow[[#This Row],[CODRASTREIO]],Controle_Pedidos[Cód Rastreamento],Controle_Pedidos[Número Pedido Cliente])</f>
        <v>Pedido 2050</v>
      </c>
      <c r="B1945" s="2" t="s">
        <v>19373</v>
      </c>
      <c r="C1945" s="2" t="str">
        <f>Follow[[#This Row],[CODRASTREIO]]&amp;" B"</f>
        <v>CódRastreio1931 B</v>
      </c>
      <c r="D1945" s="52" t="str">
        <f>_xlfn.XLOOKUP(Follow[[#This Row],[Id Pedido]],Controle_Pedidos[Número Pedido Cliente],Controle_Pedidos[Loja])</f>
        <v>GO</v>
      </c>
      <c r="E1945" s="9">
        <f>_xlfn.XLOOKUP(Follow[[#This Row],[Id Pedido]],Controle_Pedidos[Número Pedido Cliente],Controle_Pedidos[Prazo Entrega])</f>
        <v>45869</v>
      </c>
      <c r="F1945" s="9" t="s">
        <v>19434</v>
      </c>
      <c r="G1945" s="9">
        <v>888700175242105</v>
      </c>
      <c r="H1945" s="52" t="s">
        <v>178</v>
      </c>
      <c r="I1945" s="54" t="s">
        <v>178</v>
      </c>
      <c r="J1945" s="144">
        <v>45866</v>
      </c>
      <c r="K1945" s="54" t="s">
        <v>198</v>
      </c>
      <c r="L1945" s="8" t="s">
        <v>124</v>
      </c>
      <c r="M1945" s="8" t="s">
        <v>37</v>
      </c>
      <c r="N1945" s="52" t="str">
        <f>IF(Follow[[#This Row],[DATAATUALIZAÇÃO]]&lt;=Follow[[#This Row],[Prev Entrega]],"Dentro do Prazo","Fora do Prazo")</f>
        <v>Dentro do Prazo</v>
      </c>
      <c r="O194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2050 Rastreio 888700175242105, agradecemos a preferência e adoraríamos receber sua avaliação, tendo qualquer dúvida estamos à disposição.
Att
Sec Variedades</v>
      </c>
    </row>
    <row r="1946" spans="1:15">
      <c r="A1946" s="52" t="str">
        <f>_xlfn.XLOOKUP(Follow[[#This Row],[CODRASTREIO]],Controle_Pedidos[Cód Rastreamento],Controle_Pedidos[Número Pedido Cliente])</f>
        <v>Pedido 2051</v>
      </c>
      <c r="B1946" s="2" t="s">
        <v>19374</v>
      </c>
      <c r="C1946" s="2" t="str">
        <f>Follow[[#This Row],[CODRASTREIO]]&amp;" B"</f>
        <v>CódRastreio1932 B</v>
      </c>
      <c r="D1946" s="52" t="str">
        <f>_xlfn.XLOOKUP(Follow[[#This Row],[Id Pedido]],Controle_Pedidos[Número Pedido Cliente],Controle_Pedidos[Loja])</f>
        <v>GO</v>
      </c>
      <c r="E1946" s="9">
        <f>_xlfn.XLOOKUP(Follow[[#This Row],[Id Pedido]],Controle_Pedidos[Número Pedido Cliente],Controle_Pedidos[Prazo Entrega])</f>
        <v>45869</v>
      </c>
      <c r="F1946" s="9" t="s">
        <v>19434</v>
      </c>
      <c r="G1946" s="9">
        <v>888700175321459</v>
      </c>
      <c r="H1946" s="52" t="s">
        <v>178</v>
      </c>
      <c r="I1946" s="54" t="s">
        <v>178</v>
      </c>
      <c r="J1946" s="144">
        <v>45866</v>
      </c>
      <c r="K1946" s="54" t="s">
        <v>198</v>
      </c>
      <c r="L1946" s="8" t="s">
        <v>124</v>
      </c>
      <c r="M1946" s="8" t="s">
        <v>37</v>
      </c>
      <c r="N1946" s="52" t="str">
        <f>IF(Follow[[#This Row],[DATAATUALIZAÇÃO]]&lt;=Follow[[#This Row],[Prev Entrega]],"Dentro do Prazo","Fora do Prazo")</f>
        <v>Dentro do Prazo</v>
      </c>
      <c r="O194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2051 Rastreio 888700175321459, agradecemos a preferência e adoraríamos receber sua avaliação, tendo qualquer dúvida estamos à disposição.
Att
Sec Variedades</v>
      </c>
    </row>
    <row r="1947" spans="1:15">
      <c r="A1947" s="52" t="str">
        <f>_xlfn.XLOOKUP(Follow[[#This Row],[CODRASTREIO]],Controle_Pedidos[Cód Rastreamento],Controle_Pedidos[Número Pedido Cliente])</f>
        <v>Pedido 2052</v>
      </c>
      <c r="B1947" s="2" t="s">
        <v>19375</v>
      </c>
      <c r="C1947" s="2" t="str">
        <f>Follow[[#This Row],[CODRASTREIO]]&amp;" B"</f>
        <v>CódRastreio1933 B</v>
      </c>
      <c r="D1947" s="52" t="str">
        <f>_xlfn.XLOOKUP(Follow[[#This Row],[Id Pedido]],Controle_Pedidos[Número Pedido Cliente],Controle_Pedidos[Loja])</f>
        <v>GO</v>
      </c>
      <c r="E1947" s="9">
        <f>_xlfn.XLOOKUP(Follow[[#This Row],[Id Pedido]],Controle_Pedidos[Número Pedido Cliente],Controle_Pedidos[Prazo Entrega])</f>
        <v>45875</v>
      </c>
      <c r="F1947" s="9" t="s">
        <v>19434</v>
      </c>
      <c r="G1947" s="9">
        <v>888700175471912</v>
      </c>
      <c r="H1947" s="52" t="s">
        <v>178</v>
      </c>
      <c r="I1947" s="54" t="s">
        <v>178</v>
      </c>
      <c r="J1947" s="144">
        <v>45866</v>
      </c>
      <c r="K1947" s="54" t="s">
        <v>198</v>
      </c>
      <c r="L1947" s="8" t="s">
        <v>124</v>
      </c>
      <c r="M1947" s="8" t="s">
        <v>37</v>
      </c>
      <c r="N1947" s="52" t="str">
        <f>IF(Follow[[#This Row],[DATAATUALIZAÇÃO]]&lt;=Follow[[#This Row],[Prev Entrega]],"Dentro do Prazo","Fora do Prazo")</f>
        <v>Dentro do Prazo</v>
      </c>
      <c r="O194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2052 Rastreio 888700175471912, agradecemos a preferência e adoraríamos receber sua avaliação, tendo qualquer dúvida estamos à disposição.
Att
Sec Variedades</v>
      </c>
    </row>
    <row r="1948" spans="1:15">
      <c r="A1948" s="52" t="str">
        <f>_xlfn.XLOOKUP(Follow[[#This Row],[CODRASTREIO]],Controle_Pedidos[Cód Rastreamento],Controle_Pedidos[Número Pedido Cliente])</f>
        <v>Pedido 2053</v>
      </c>
      <c r="B1948" s="2" t="s">
        <v>19376</v>
      </c>
      <c r="C1948" s="2" t="str">
        <f>Follow[[#This Row],[CODRASTREIO]]&amp;" B"</f>
        <v>CódRastreio1934 B</v>
      </c>
      <c r="D1948" s="52" t="str">
        <f>_xlfn.XLOOKUP(Follow[[#This Row],[Id Pedido]],Controle_Pedidos[Número Pedido Cliente],Controle_Pedidos[Loja])</f>
        <v>GO</v>
      </c>
      <c r="E1948" s="9">
        <f>_xlfn.XLOOKUP(Follow[[#This Row],[Id Pedido]],Controle_Pedidos[Número Pedido Cliente],Controle_Pedidos[Prazo Entrega])</f>
        <v>45875</v>
      </c>
      <c r="F1948" s="9" t="s">
        <v>19434</v>
      </c>
      <c r="G1948" s="9">
        <v>888700161666467</v>
      </c>
      <c r="H1948" s="52" t="s">
        <v>178</v>
      </c>
      <c r="I1948" s="54" t="s">
        <v>178</v>
      </c>
      <c r="J1948" s="144">
        <v>45867</v>
      </c>
      <c r="K1948" s="54" t="s">
        <v>198</v>
      </c>
      <c r="L1948" s="8" t="s">
        <v>124</v>
      </c>
      <c r="M1948" s="8" t="s">
        <v>37</v>
      </c>
      <c r="N1948" s="52" t="str">
        <f>IF(Follow[[#This Row],[DATAATUALIZAÇÃO]]&lt;=Follow[[#This Row],[Prev Entrega]],"Dentro do Prazo","Fora do Prazo")</f>
        <v>Dentro do Prazo</v>
      </c>
      <c r="O194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2053 Rastreio 888700161666467, agradecemos a preferência e adoraríamos receber sua avaliação, tendo qualquer dúvida estamos à disposição.
Att
Sec Variedades</v>
      </c>
    </row>
    <row r="1949" spans="1:15">
      <c r="A1949" s="52" t="str">
        <f>_xlfn.XLOOKUP(Follow[[#This Row],[CODRASTREIO]],Controle_Pedidos[Cód Rastreamento],Controle_Pedidos[Número Pedido Cliente])</f>
        <v>Pedido 2054</v>
      </c>
      <c r="B1949" s="2" t="s">
        <v>19377</v>
      </c>
      <c r="C1949" s="2" t="str">
        <f>Follow[[#This Row],[CODRASTREIO]]&amp;" B"</f>
        <v>CódRastreio1935 B</v>
      </c>
      <c r="D1949" s="52" t="str">
        <f>_xlfn.XLOOKUP(Follow[[#This Row],[Id Pedido]],Controle_Pedidos[Número Pedido Cliente],Controle_Pedidos[Loja])</f>
        <v>GO</v>
      </c>
      <c r="E1949" s="9">
        <f>_xlfn.XLOOKUP(Follow[[#This Row],[Id Pedido]],Controle_Pedidos[Número Pedido Cliente],Controle_Pedidos[Prazo Entrega])</f>
        <v>45881</v>
      </c>
      <c r="F1949" s="9" t="s">
        <v>19434</v>
      </c>
      <c r="G1949" s="9">
        <v>888700175312208</v>
      </c>
      <c r="H1949" s="52" t="s">
        <v>178</v>
      </c>
      <c r="I1949" s="54" t="s">
        <v>178</v>
      </c>
      <c r="J1949" s="144">
        <v>45867</v>
      </c>
      <c r="K1949" s="54" t="s">
        <v>198</v>
      </c>
      <c r="L1949" s="8" t="s">
        <v>124</v>
      </c>
      <c r="M1949" s="8" t="s">
        <v>37</v>
      </c>
      <c r="N1949" s="52" t="str">
        <f>IF(Follow[[#This Row],[DATAATUALIZAÇÃO]]&lt;=Follow[[#This Row],[Prev Entrega]],"Dentro do Prazo","Fora do Prazo")</f>
        <v>Dentro do Prazo</v>
      </c>
      <c r="O194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2054 Rastreio 888700175312208, agradecemos a preferência e adoraríamos receber sua avaliação, tendo qualquer dúvida estamos à disposição.
Att
Sec Variedades</v>
      </c>
    </row>
    <row r="1950" spans="1:15">
      <c r="A1950" s="52" t="str">
        <f>_xlfn.XLOOKUP(Follow[[#This Row],[CODRASTREIO]],Controle_Pedidos[Cód Rastreamento],Controle_Pedidos[Número Pedido Cliente])</f>
        <v>Pedido 2055</v>
      </c>
      <c r="B1950" s="2" t="s">
        <v>19378</v>
      </c>
      <c r="C1950" s="2" t="str">
        <f>Follow[[#This Row],[CODRASTREIO]]&amp;" B"</f>
        <v>CódRastreio1936 B</v>
      </c>
      <c r="D1950" s="52" t="str">
        <f>_xlfn.XLOOKUP(Follow[[#This Row],[Id Pedido]],Controle_Pedidos[Número Pedido Cliente],Controle_Pedidos[Loja])</f>
        <v>GO</v>
      </c>
      <c r="E1950" s="9">
        <f>_xlfn.XLOOKUP(Follow[[#This Row],[Id Pedido]],Controle_Pedidos[Número Pedido Cliente],Controle_Pedidos[Prazo Entrega])</f>
        <v>45869</v>
      </c>
      <c r="F1950" s="9" t="s">
        <v>19434</v>
      </c>
      <c r="G1950" s="9">
        <v>888700175523720</v>
      </c>
      <c r="H1950" s="52" t="s">
        <v>178</v>
      </c>
      <c r="I1950" s="54" t="s">
        <v>178</v>
      </c>
      <c r="J1950" s="144">
        <v>45866</v>
      </c>
      <c r="K1950" s="54" t="s">
        <v>198</v>
      </c>
      <c r="L1950" s="8" t="s">
        <v>124</v>
      </c>
      <c r="M1950" s="8" t="s">
        <v>37</v>
      </c>
      <c r="N1950" s="52" t="str">
        <f>IF(Follow[[#This Row],[DATAATUALIZAÇÃO]]&lt;=Follow[[#This Row],[Prev Entrega]],"Dentro do Prazo","Fora do Prazo")</f>
        <v>Dentro do Prazo</v>
      </c>
      <c r="O195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2055 Rastreio 888700175523720, agradecemos a preferência e adoraríamos receber sua avaliação, tendo qualquer dúvida estamos à disposição.
Att
Sec Variedades</v>
      </c>
    </row>
    <row r="1951" spans="1:15">
      <c r="A1951" s="52" t="str">
        <f>_xlfn.XLOOKUP(Follow[[#This Row],[CODRASTREIO]],Controle_Pedidos[Cód Rastreamento],Controle_Pedidos[Número Pedido Cliente])</f>
        <v>Pedido 2056</v>
      </c>
      <c r="B1951" s="2" t="s">
        <v>19379</v>
      </c>
      <c r="C1951" s="2" t="str">
        <f>Follow[[#This Row],[CODRASTREIO]]&amp;" B"</f>
        <v>CódRastreio1937 B</v>
      </c>
      <c r="D1951" s="52" t="str">
        <f>_xlfn.XLOOKUP(Follow[[#This Row],[Id Pedido]],Controle_Pedidos[Número Pedido Cliente],Controle_Pedidos[Loja])</f>
        <v>GO</v>
      </c>
      <c r="E1951" s="9">
        <f>_xlfn.XLOOKUP(Follow[[#This Row],[Id Pedido]],Controle_Pedidos[Número Pedido Cliente],Controle_Pedidos[Prazo Entrega])</f>
        <v>45874</v>
      </c>
      <c r="F1951" s="9" t="s">
        <v>19434</v>
      </c>
      <c r="G1951" s="9">
        <v>888700175765134</v>
      </c>
      <c r="H1951" s="52" t="s">
        <v>178</v>
      </c>
      <c r="I1951" s="54" t="s">
        <v>178</v>
      </c>
      <c r="J1951" s="144">
        <v>45866</v>
      </c>
      <c r="K1951" s="54" t="s">
        <v>198</v>
      </c>
      <c r="L1951" s="8" t="s">
        <v>124</v>
      </c>
      <c r="M1951" s="8" t="s">
        <v>37</v>
      </c>
      <c r="N1951" s="52" t="str">
        <f>IF(Follow[[#This Row],[DATAATUALIZAÇÃO]]&lt;=Follow[[#This Row],[Prev Entrega]],"Dentro do Prazo","Fora do Prazo")</f>
        <v>Dentro do Prazo</v>
      </c>
      <c r="O195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2056 Rastreio 888700175765134, agradecemos a preferência e adoraríamos receber sua avaliação, tendo qualquer dúvida estamos à disposição.
Att
Sec Variedades</v>
      </c>
    </row>
    <row r="1952" spans="1:15">
      <c r="A1952" s="52" t="str">
        <f>_xlfn.XLOOKUP(Follow[[#This Row],[CODRASTREIO]],Controle_Pedidos[Cód Rastreamento],Controle_Pedidos[Número Pedido Cliente])</f>
        <v>Pedido 2057</v>
      </c>
      <c r="B1952" s="2" t="s">
        <v>19380</v>
      </c>
      <c r="C1952" s="2" t="str">
        <f>Follow[[#This Row],[CODRASTREIO]]&amp;" B"</f>
        <v>CódRastreio1938 B</v>
      </c>
      <c r="D1952" s="52" t="str">
        <f>_xlfn.XLOOKUP(Follow[[#This Row],[Id Pedido]],Controle_Pedidos[Número Pedido Cliente],Controle_Pedidos[Loja])</f>
        <v>GO</v>
      </c>
      <c r="E1952" s="9">
        <f>_xlfn.XLOOKUP(Follow[[#This Row],[Id Pedido]],Controle_Pedidos[Número Pedido Cliente],Controle_Pedidos[Prazo Entrega])</f>
        <v>45870</v>
      </c>
      <c r="F1952" s="9" t="s">
        <v>19434</v>
      </c>
      <c r="G1952" s="9">
        <v>888700171279352</v>
      </c>
      <c r="H1952" s="52" t="s">
        <v>178</v>
      </c>
      <c r="I1952" s="54" t="s">
        <v>178</v>
      </c>
      <c r="J1952" s="144">
        <v>45866</v>
      </c>
      <c r="K1952" s="54" t="s">
        <v>198</v>
      </c>
      <c r="L1952" s="8" t="s">
        <v>124</v>
      </c>
      <c r="M1952" s="8" t="s">
        <v>37</v>
      </c>
      <c r="N1952" s="52" t="str">
        <f>IF(Follow[[#This Row],[DATAATUALIZAÇÃO]]&lt;=Follow[[#This Row],[Prev Entrega]],"Dentro do Prazo","Fora do Prazo")</f>
        <v>Dentro do Prazo</v>
      </c>
      <c r="O1952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2057 Rastreio 888700171279352, agradecemos a preferência e adoraríamos receber sua avaliação, tendo qualquer dúvida estamos à disposição.
Att
Sec Variedades</v>
      </c>
    </row>
    <row r="1953" spans="1:15">
      <c r="A1953" s="52" t="str">
        <f>_xlfn.XLOOKUP(Follow[[#This Row],[CODRASTREIO]],Controle_Pedidos[Cód Rastreamento],Controle_Pedidos[Número Pedido Cliente])</f>
        <v>Pedido 2058</v>
      </c>
      <c r="B1953" s="2" t="s">
        <v>19381</v>
      </c>
      <c r="C1953" s="2" t="str">
        <f>Follow[[#This Row],[CODRASTREIO]]&amp;" B"</f>
        <v>CódRastreio1939 B</v>
      </c>
      <c r="D1953" s="52" t="str">
        <f>_xlfn.XLOOKUP(Follow[[#This Row],[Id Pedido]],Controle_Pedidos[Número Pedido Cliente],Controle_Pedidos[Loja])</f>
        <v>GO</v>
      </c>
      <c r="E1953" s="9">
        <f>_xlfn.XLOOKUP(Follow[[#This Row],[Id Pedido]],Controle_Pedidos[Número Pedido Cliente],Controle_Pedidos[Prazo Entrega])</f>
        <v>45876</v>
      </c>
      <c r="F1953" s="9" t="s">
        <v>19434</v>
      </c>
      <c r="G1953" s="9">
        <v>888700174039480</v>
      </c>
      <c r="H1953" s="52" t="s">
        <v>178</v>
      </c>
      <c r="I1953" s="54" t="s">
        <v>178</v>
      </c>
      <c r="J1953" s="144">
        <v>45869</v>
      </c>
      <c r="K1953" s="54" t="s">
        <v>198</v>
      </c>
      <c r="L1953" s="8" t="s">
        <v>124</v>
      </c>
      <c r="M1953" s="8" t="s">
        <v>37</v>
      </c>
      <c r="N1953" s="52" t="str">
        <f>IF(Follow[[#This Row],[DATAATUALIZAÇÃO]]&lt;=Follow[[#This Row],[Prev Entrega]],"Dentro do Prazo","Fora do Prazo")</f>
        <v>Dentro do Prazo</v>
      </c>
      <c r="O1953" s="57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31/07/2025, referente ao pedido Nº Pedido 2058 Rastreio 888700174039480, agradecemos a preferência e adoraríamos receber sua avaliação, tendo qualquer dúvida estamos à disposição.
Att
Sec Variedades</v>
      </c>
    </row>
    <row r="1954" spans="1:15">
      <c r="A1954" s="52" t="str">
        <f>_xlfn.XLOOKUP(Follow[[#This Row],[CODRASTREIO]],Controle_Pedidos[Cód Rastreamento],Controle_Pedidos[Número Pedido Cliente])</f>
        <v>Pedido 2059</v>
      </c>
      <c r="B1954" s="2" t="s">
        <v>19382</v>
      </c>
      <c r="C1954" s="2" t="str">
        <f>Follow[[#This Row],[CODRASTREIO]]&amp;" B"</f>
        <v>CódRastreio1940 B</v>
      </c>
      <c r="D1954" s="52" t="str">
        <f>_xlfn.XLOOKUP(Follow[[#This Row],[Id Pedido]],Controle_Pedidos[Número Pedido Cliente],Controle_Pedidos[Loja])</f>
        <v>GO</v>
      </c>
      <c r="E1954" s="9">
        <f>_xlfn.XLOOKUP(Follow[[#This Row],[Id Pedido]],Controle_Pedidos[Número Pedido Cliente],Controle_Pedidos[Prazo Entrega])</f>
        <v>45870</v>
      </c>
      <c r="F1954" s="9" t="s">
        <v>19434</v>
      </c>
      <c r="G1954" s="9">
        <v>888700173249185</v>
      </c>
      <c r="H1954" s="52" t="s">
        <v>178</v>
      </c>
      <c r="I1954" s="54" t="s">
        <v>178</v>
      </c>
      <c r="J1954" s="144">
        <v>45866</v>
      </c>
      <c r="K1954" s="54" t="s">
        <v>198</v>
      </c>
      <c r="L1954" s="8" t="s">
        <v>124</v>
      </c>
      <c r="M1954" s="8" t="s">
        <v>37</v>
      </c>
      <c r="N1954" s="52" t="str">
        <f>IF(Follow[[#This Row],[DATAATUALIZAÇÃO]]&lt;=Follow[[#This Row],[Prev Entrega]],"Dentro do Prazo","Fora do Prazo")</f>
        <v>Dentro do Prazo</v>
      </c>
      <c r="O195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2059 Rastreio 888700173249185, agradecemos a preferência e adoraríamos receber sua avaliação, tendo qualquer dúvida estamos à disposição.
Att
Sec Variedades</v>
      </c>
    </row>
    <row r="1955" spans="1:15">
      <c r="A1955" s="52" t="str">
        <f>_xlfn.XLOOKUP(Follow[[#This Row],[CODRASTREIO]],Controle_Pedidos[Cód Rastreamento],Controle_Pedidos[Número Pedido Cliente])</f>
        <v>Pedido 2060</v>
      </c>
      <c r="B1955" s="2" t="s">
        <v>19383</v>
      </c>
      <c r="C1955" s="2" t="str">
        <f>Follow[[#This Row],[CODRASTREIO]]&amp;" B"</f>
        <v>CódRastreio1941 B</v>
      </c>
      <c r="D1955" s="52" t="str">
        <f>_xlfn.XLOOKUP(Follow[[#This Row],[Id Pedido]],Controle_Pedidos[Número Pedido Cliente],Controle_Pedidos[Loja])</f>
        <v>GO</v>
      </c>
      <c r="E1955" s="9">
        <f>_xlfn.XLOOKUP(Follow[[#This Row],[Id Pedido]],Controle_Pedidos[Número Pedido Cliente],Controle_Pedidos[Prazo Entrega])</f>
        <v>45876</v>
      </c>
      <c r="F1955" s="9" t="s">
        <v>19434</v>
      </c>
      <c r="G1955" s="9">
        <v>888700175251723</v>
      </c>
      <c r="H1955" s="52" t="s">
        <v>178</v>
      </c>
      <c r="I1955" s="54" t="s">
        <v>178</v>
      </c>
      <c r="J1955" s="144">
        <v>45867</v>
      </c>
      <c r="K1955" s="54" t="s">
        <v>198</v>
      </c>
      <c r="L1955" s="8" t="s">
        <v>124</v>
      </c>
      <c r="M1955" s="8" t="s">
        <v>37</v>
      </c>
      <c r="N1955" s="52" t="str">
        <f>IF(Follow[[#This Row],[DATAATUALIZAÇÃO]]&lt;=Follow[[#This Row],[Prev Entrega]],"Dentro do Prazo","Fora do Prazo")</f>
        <v>Dentro do Prazo</v>
      </c>
      <c r="O195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2060 Rastreio 888700175251723, agradecemos a preferência e adoraríamos receber sua avaliação, tendo qualquer dúvida estamos à disposição.
Att
Sec Variedades</v>
      </c>
    </row>
    <row r="1956" spans="1:15">
      <c r="A1956" s="52" t="str">
        <f>_xlfn.XLOOKUP(Follow[[#This Row],[CODRASTREIO]],Controle_Pedidos[Cód Rastreamento],Controle_Pedidos[Número Pedido Cliente])</f>
        <v>Pedido 2061</v>
      </c>
      <c r="B1956" s="2" t="s">
        <v>19384</v>
      </c>
      <c r="C1956" s="2" t="str">
        <f>Follow[[#This Row],[CODRASTREIO]]&amp;" B"</f>
        <v>CódRastreio1942 B</v>
      </c>
      <c r="D1956" s="52" t="str">
        <f>_xlfn.XLOOKUP(Follow[[#This Row],[Id Pedido]],Controle_Pedidos[Número Pedido Cliente],Controle_Pedidos[Loja])</f>
        <v>GO</v>
      </c>
      <c r="E1956" s="9">
        <f>_xlfn.XLOOKUP(Follow[[#This Row],[Id Pedido]],Controle_Pedidos[Número Pedido Cliente],Controle_Pedidos[Prazo Entrega])</f>
        <v>45870</v>
      </c>
      <c r="F1956" s="9" t="s">
        <v>19434</v>
      </c>
      <c r="G1956" s="9">
        <v>888700161050755</v>
      </c>
      <c r="H1956" s="52" t="s">
        <v>178</v>
      </c>
      <c r="I1956" s="54" t="s">
        <v>178</v>
      </c>
      <c r="J1956" s="144">
        <v>45865</v>
      </c>
      <c r="K1956" s="54" t="s">
        <v>198</v>
      </c>
      <c r="L1956" s="8" t="s">
        <v>124</v>
      </c>
      <c r="M1956" s="8" t="s">
        <v>37</v>
      </c>
      <c r="N1956" s="52" t="str">
        <f>IF(Follow[[#This Row],[DATAATUALIZAÇÃO]]&lt;=Follow[[#This Row],[Prev Entrega]],"Dentro do Prazo","Fora do Prazo")</f>
        <v>Dentro do Prazo</v>
      </c>
      <c r="O195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27/07/2025, referente ao pedido Nº Pedido 2061 Rastreio 888700161050755, agradecemos a preferência e adoraríamos receber sua avaliação, tendo qualquer dúvida estamos à disposição.
Att
Sec Variedades</v>
      </c>
    </row>
    <row r="1957" spans="1:15">
      <c r="A1957" s="52" t="str">
        <f>_xlfn.XLOOKUP(Follow[[#This Row],[CODRASTREIO]],Controle_Pedidos[Cód Rastreamento],Controle_Pedidos[Número Pedido Cliente])</f>
        <v>Pedido 2062</v>
      </c>
      <c r="B1957" s="2" t="s">
        <v>19385</v>
      </c>
      <c r="C1957" s="2" t="str">
        <f>Follow[[#This Row],[CODRASTREIO]]&amp;" B"</f>
        <v>CódRastreio1943 B</v>
      </c>
      <c r="D1957" s="52" t="str">
        <f>_xlfn.XLOOKUP(Follow[[#This Row],[Id Pedido]],Controle_Pedidos[Número Pedido Cliente],Controle_Pedidos[Loja])</f>
        <v>GO</v>
      </c>
      <c r="E1957" s="9">
        <f>_xlfn.XLOOKUP(Follow[[#This Row],[Id Pedido]],Controle_Pedidos[Número Pedido Cliente],Controle_Pedidos[Prazo Entrega])</f>
        <v>45876</v>
      </c>
      <c r="F1957" s="9" t="s">
        <v>19434</v>
      </c>
      <c r="G1957" s="9">
        <v>888700169382165</v>
      </c>
      <c r="H1957" s="52" t="s">
        <v>178</v>
      </c>
      <c r="I1957" s="54" t="s">
        <v>178</v>
      </c>
      <c r="J1957" s="144">
        <v>45866</v>
      </c>
      <c r="K1957" s="54" t="s">
        <v>198</v>
      </c>
      <c r="L1957" s="8" t="s">
        <v>124</v>
      </c>
      <c r="M1957" s="8" t="s">
        <v>37</v>
      </c>
      <c r="N1957" s="52" t="str">
        <f>IF(Follow[[#This Row],[DATAATUALIZAÇÃO]]&lt;=Follow[[#This Row],[Prev Entrega]],"Dentro do Prazo","Fora do Prazo")</f>
        <v>Dentro do Prazo</v>
      </c>
      <c r="O195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2062 Rastreio 888700169382165, agradecemos a preferência e adoraríamos receber sua avaliação, tendo qualquer dúvida estamos à disposição.
Att
Sec Variedades</v>
      </c>
    </row>
    <row r="1958" spans="1:15">
      <c r="A1958" s="52" t="str">
        <f>_xlfn.XLOOKUP(Follow[[#This Row],[CODRASTREIO]],Controle_Pedidos[Cód Rastreamento],Controle_Pedidos[Número Pedido Cliente])</f>
        <v>Pedido 2063</v>
      </c>
      <c r="B1958" s="2" t="s">
        <v>19386</v>
      </c>
      <c r="C1958" s="2" t="str">
        <f>Follow[[#This Row],[CODRASTREIO]]&amp;" B"</f>
        <v>CódRastreio1944 B</v>
      </c>
      <c r="D1958" s="52" t="str">
        <f>_xlfn.XLOOKUP(Follow[[#This Row],[Id Pedido]],Controle_Pedidos[Número Pedido Cliente],Controle_Pedidos[Loja])</f>
        <v>GO</v>
      </c>
      <c r="E1958" s="9">
        <f>_xlfn.XLOOKUP(Follow[[#This Row],[Id Pedido]],Controle_Pedidos[Número Pedido Cliente],Controle_Pedidos[Prazo Entrega])</f>
        <v>45889</v>
      </c>
      <c r="F1958" s="9" t="s">
        <v>19434</v>
      </c>
      <c r="G1958" s="9">
        <v>888700157853550</v>
      </c>
      <c r="H1958" s="52" t="s">
        <v>178</v>
      </c>
      <c r="I1958" s="54" t="s">
        <v>178</v>
      </c>
      <c r="J1958" s="144">
        <v>45867</v>
      </c>
      <c r="K1958" s="54" t="s">
        <v>198</v>
      </c>
      <c r="L1958" s="8" t="s">
        <v>124</v>
      </c>
      <c r="M1958" s="8" t="s">
        <v>37</v>
      </c>
      <c r="N1958" s="52" t="str">
        <f>IF(Follow[[#This Row],[DATAATUALIZAÇÃO]]&lt;=Follow[[#This Row],[Prev Entrega]],"Dentro do Prazo","Fora do Prazo")</f>
        <v>Dentro do Prazo</v>
      </c>
      <c r="O195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2063 Rastreio 888700157853550, agradecemos a preferência e adoraríamos receber sua avaliação, tendo qualquer dúvida estamos à disposição.
Att
Sec Variedades</v>
      </c>
    </row>
    <row r="1959" spans="1:15">
      <c r="A1959" s="52" t="str">
        <f>_xlfn.XLOOKUP(Follow[[#This Row],[CODRASTREIO]],Controle_Pedidos[Cód Rastreamento],Controle_Pedidos[Número Pedido Cliente])</f>
        <v>Pedido 2064</v>
      </c>
      <c r="B1959" s="2" t="s">
        <v>19387</v>
      </c>
      <c r="C1959" s="2" t="str">
        <f>Follow[[#This Row],[CODRASTREIO]]&amp;" B"</f>
        <v>CódRastreio1945 B</v>
      </c>
      <c r="D1959" s="52" t="str">
        <f>_xlfn.XLOOKUP(Follow[[#This Row],[Id Pedido]],Controle_Pedidos[Número Pedido Cliente],Controle_Pedidos[Loja])</f>
        <v>GO</v>
      </c>
      <c r="E1959" s="9">
        <f>_xlfn.XLOOKUP(Follow[[#This Row],[Id Pedido]],Controle_Pedidos[Número Pedido Cliente],Controle_Pedidos[Prazo Entrega])</f>
        <v>45883</v>
      </c>
      <c r="F1959" s="9" t="s">
        <v>19434</v>
      </c>
      <c r="G1959" s="9">
        <v>888700175208858</v>
      </c>
      <c r="H1959" s="52" t="s">
        <v>178</v>
      </c>
      <c r="I1959" s="54" t="s">
        <v>178</v>
      </c>
      <c r="J1959" s="144">
        <v>45867</v>
      </c>
      <c r="K1959" s="54" t="s">
        <v>198</v>
      </c>
      <c r="L1959" s="8" t="s">
        <v>124</v>
      </c>
      <c r="M1959" s="8" t="s">
        <v>37</v>
      </c>
      <c r="N1959" s="52" t="str">
        <f>IF(Follow[[#This Row],[DATAATUALIZAÇÃO]]&lt;=Follow[[#This Row],[Prev Entrega]],"Dentro do Prazo","Fora do Prazo")</f>
        <v>Dentro do Prazo</v>
      </c>
      <c r="O195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29/07/2025, referente ao pedido Nº Pedido 2064 Rastreio 888700175208858, agradecemos a preferência e adoraríamos receber sua avaliação, tendo qualquer dúvida estamos à disposição.
Att
Sec Variedades</v>
      </c>
    </row>
    <row r="1960" spans="1:15">
      <c r="A1960" s="52" t="str">
        <f>_xlfn.XLOOKUP(Follow[[#This Row],[CODRASTREIO]],Controle_Pedidos[Cód Rastreamento],Controle_Pedidos[Número Pedido Cliente])</f>
        <v>Pedido 2065</v>
      </c>
      <c r="B1960" s="2" t="s">
        <v>19388</v>
      </c>
      <c r="C1960" s="2" t="str">
        <f>Follow[[#This Row],[CODRASTREIO]]&amp;" B"</f>
        <v>CódRastreio1946 B</v>
      </c>
      <c r="D1960" s="52" t="str">
        <f>_xlfn.XLOOKUP(Follow[[#This Row],[Id Pedido]],Controle_Pedidos[Número Pedido Cliente],Controle_Pedidos[Loja])</f>
        <v>GO</v>
      </c>
      <c r="E1960" s="9">
        <f>_xlfn.XLOOKUP(Follow[[#This Row],[Id Pedido]],Controle_Pedidos[Número Pedido Cliente],Controle_Pedidos[Prazo Entrega])</f>
        <v>45877</v>
      </c>
      <c r="F1960" s="9" t="s">
        <v>19434</v>
      </c>
      <c r="G1960" s="9">
        <v>888700175791750</v>
      </c>
      <c r="H1960" s="52" t="s">
        <v>178</v>
      </c>
      <c r="I1960" s="54" t="s">
        <v>178</v>
      </c>
      <c r="J1960" s="144">
        <v>45866</v>
      </c>
      <c r="K1960" s="54" t="s">
        <v>198</v>
      </c>
      <c r="L1960" s="8" t="s">
        <v>124</v>
      </c>
      <c r="M1960" s="8" t="s">
        <v>37</v>
      </c>
      <c r="N1960" s="52" t="str">
        <f>IF(Follow[[#This Row],[DATAATUALIZAÇÃO]]&lt;=Follow[[#This Row],[Prev Entrega]],"Dentro do Prazo","Fora do Prazo")</f>
        <v>Dentro do Prazo</v>
      </c>
      <c r="O196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28/07/2025, referente ao pedido Nº Pedido 2065 Rastreio 888700175791750, agradecemos a preferência e adoraríamos receber sua avaliação, tendo qualquer dúvida estamos à disposição.
Att
Sec Variedades</v>
      </c>
    </row>
    <row r="1961" spans="1:15">
      <c r="A1961" s="52" t="str">
        <f>_xlfn.XLOOKUP(Follow[[#This Row],[CODRASTREIO]],Controle_Pedidos[Cód Rastreamento],Controle_Pedidos[Número Pedido Cliente])</f>
        <v>Pedido 2067</v>
      </c>
      <c r="B1961" s="2" t="s">
        <v>19390</v>
      </c>
      <c r="C1961" s="2" t="str">
        <f>Follow[[#This Row],[CODRASTREIO]]&amp;" B"</f>
        <v>CódRastreio1948 B</v>
      </c>
      <c r="D1961" s="52" t="str">
        <f>_xlfn.XLOOKUP(Follow[[#This Row],[Id Pedido]],Controle_Pedidos[Número Pedido Cliente],Controle_Pedidos[Loja])</f>
        <v>GO</v>
      </c>
      <c r="E1961" s="9">
        <f>_xlfn.XLOOKUP(Follow[[#This Row],[Id Pedido]],Controle_Pedidos[Número Pedido Cliente],Controle_Pedidos[Prazo Entrega])</f>
        <v>45883</v>
      </c>
      <c r="F1961" s="9" t="s">
        <v>19434</v>
      </c>
      <c r="G1961" s="9">
        <v>888700173304721</v>
      </c>
      <c r="H1961" s="52" t="s">
        <v>178</v>
      </c>
      <c r="I1961" s="54" t="s">
        <v>178</v>
      </c>
      <c r="J1961" s="144">
        <v>45870</v>
      </c>
      <c r="K1961" s="54" t="s">
        <v>198</v>
      </c>
      <c r="L1961" s="8" t="s">
        <v>124</v>
      </c>
      <c r="M1961" s="8" t="s">
        <v>37</v>
      </c>
      <c r="N1961" s="52" t="str">
        <f>IF(Follow[[#This Row],[DATAATUALIZAÇÃO]]&lt;=Follow[[#This Row],[Prev Entrega]],"Dentro do Prazo","Fora do Prazo")</f>
        <v>Dentro do Prazo</v>
      </c>
      <c r="O196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Umidificador Preto foi entregue no dia 01/08/2025, referente ao pedido Nº Pedido 2067 Rastreio 888700173304721, agradecemos a preferência e adoraríamos receber sua avaliação, tendo qualquer dúvida estamos à disposição.
Att
Sec Variedades</v>
      </c>
    </row>
    <row r="1962" spans="1:15">
      <c r="A1962" s="52" t="str">
        <f>_xlfn.XLOOKUP(Follow[[#This Row],[CODRASTREIO]],Controle_Pedidos[Cód Rastreamento],Controle_Pedidos[Número Pedido Cliente])</f>
        <v>Pedido 2066</v>
      </c>
      <c r="B1962" s="2" t="s">
        <v>19389</v>
      </c>
      <c r="C1962" s="2" t="str">
        <f>Follow[[#This Row],[CODRASTREIO]]&amp;" B"</f>
        <v>CódRastreio1947 B</v>
      </c>
      <c r="D1962" s="52" t="str">
        <f>_xlfn.XLOOKUP(Follow[[#This Row],[Id Pedido]],Controle_Pedidos[Número Pedido Cliente],Controle_Pedidos[Loja])</f>
        <v>GO</v>
      </c>
      <c r="E1962" s="9">
        <f>_xlfn.XLOOKUP(Follow[[#This Row],[Id Pedido]],Controle_Pedidos[Número Pedido Cliente],Controle_Pedidos[Prazo Entrega])</f>
        <v>45877</v>
      </c>
      <c r="F1962" s="9" t="s">
        <v>19434</v>
      </c>
      <c r="G1962" s="9">
        <v>888700175290643</v>
      </c>
      <c r="H1962" s="52" t="s">
        <v>178</v>
      </c>
      <c r="I1962" s="54" t="s">
        <v>178</v>
      </c>
      <c r="J1962" s="144">
        <v>45870</v>
      </c>
      <c r="K1962" s="54" t="s">
        <v>198</v>
      </c>
      <c r="L1962" s="8" t="s">
        <v>124</v>
      </c>
      <c r="M1962" s="8" t="s">
        <v>37</v>
      </c>
      <c r="N1962" s="52" t="str">
        <f>IF(Follow[[#This Row],[DATAATUALIZAÇÃO]]&lt;=Follow[[#This Row],[Prev Entrega]],"Dentro do Prazo","Fora do Prazo")</f>
        <v>Dentro do Prazo</v>
      </c>
      <c r="O196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01/08/2025, referente ao pedido Nº Pedido 2066 Rastreio 888700175290643, agradecemos a preferência e adoraríamos receber sua avaliação, tendo qualquer dúvida estamos à disposição.
Att
Sec Variedades</v>
      </c>
    </row>
    <row r="1963" spans="1:15">
      <c r="A1963" s="52" t="str">
        <f>_xlfn.XLOOKUP(Follow[[#This Row],[CODRASTREIO]],Controle_Pedidos[Cód Rastreamento],Controle_Pedidos[Número Pedido Cliente])</f>
        <v>Pedido 2068</v>
      </c>
      <c r="B1963" s="2" t="s">
        <v>19391</v>
      </c>
      <c r="C1963" s="2" t="str">
        <f>Follow[[#This Row],[CODRASTREIO]]&amp;" B"</f>
        <v>CódRastreio1949 B</v>
      </c>
      <c r="D1963" s="52" t="str">
        <f>_xlfn.XLOOKUP(Follow[[#This Row],[Id Pedido]],Controle_Pedidos[Número Pedido Cliente],Controle_Pedidos[Loja])</f>
        <v>GO</v>
      </c>
      <c r="E1963" s="9">
        <f>_xlfn.XLOOKUP(Follow[[#This Row],[Id Pedido]],Controle_Pedidos[Número Pedido Cliente],Controle_Pedidos[Prazo Entrega])</f>
        <v>45881</v>
      </c>
      <c r="F1963" s="9" t="s">
        <v>19434</v>
      </c>
      <c r="G1963" s="9">
        <v>888700169102243</v>
      </c>
      <c r="H1963" s="52" t="s">
        <v>178</v>
      </c>
      <c r="I1963" s="54" t="s">
        <v>178</v>
      </c>
      <c r="J1963" s="144">
        <v>45870</v>
      </c>
      <c r="K1963" s="54" t="s">
        <v>198</v>
      </c>
      <c r="L1963" s="8" t="s">
        <v>124</v>
      </c>
      <c r="M1963" s="8" t="s">
        <v>37</v>
      </c>
      <c r="N1963" s="52" t="str">
        <f>IF(Follow[[#This Row],[DATAATUALIZAÇÃO]]&lt;=Follow[[#This Row],[Prev Entrega]],"Dentro do Prazo","Fora do Prazo")</f>
        <v>Dentro do Prazo</v>
      </c>
      <c r="O196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01/08/2025, referente ao pedido Nº Pedido 2068 Rastreio 888700169102243, agradecemos a preferência e adoraríamos receber sua avaliação, tendo qualquer dúvida estamos à disposição.
Att
Sec Variedades</v>
      </c>
    </row>
    <row r="1964" spans="1:15">
      <c r="A1964" s="52" t="str">
        <f>_xlfn.XLOOKUP(Follow[[#This Row],[CODRASTREIO]],Controle_Pedidos[Cód Rastreamento],Controle_Pedidos[Número Pedido Cliente])</f>
        <v>Pedido 2069</v>
      </c>
      <c r="B1964" s="2" t="s">
        <v>19392</v>
      </c>
      <c r="C1964" s="2" t="str">
        <f>Follow[[#This Row],[CODRASTREIO]]&amp;" B"</f>
        <v>CódRastreio1950 B</v>
      </c>
      <c r="D1964" s="52" t="str">
        <f>_xlfn.XLOOKUP(Follow[[#This Row],[Id Pedido]],Controle_Pedidos[Número Pedido Cliente],Controle_Pedidos[Loja])</f>
        <v>BV</v>
      </c>
      <c r="E1964" s="9">
        <f>_xlfn.XLOOKUP(Follow[[#This Row],[Id Pedido]],Controle_Pedidos[Número Pedido Cliente],Controle_Pedidos[Prazo Entrega])</f>
        <v>45885</v>
      </c>
      <c r="F1964" s="9" t="s">
        <v>19434</v>
      </c>
      <c r="G1964" s="9" t="s">
        <v>37</v>
      </c>
      <c r="H1964" s="52" t="s">
        <v>178</v>
      </c>
      <c r="I1964" s="52" t="s">
        <v>178</v>
      </c>
      <c r="J1964" s="144">
        <v>45883</v>
      </c>
      <c r="K1964" s="54" t="s">
        <v>533</v>
      </c>
      <c r="L1964" s="8" t="s">
        <v>184</v>
      </c>
      <c r="M1964" s="8" t="s">
        <v>37</v>
      </c>
      <c r="N1964" s="52" t="str">
        <f>IF(Follow[[#This Row],[DATAATUALIZAÇÃO]]&lt;=Follow[[#This Row],[Prev Entrega]],"Dentro do Prazo","Fora do Prazo")</f>
        <v>Dentro do Prazo</v>
      </c>
      <c r="O196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14/08/2025, referente ao pedido Nº Pedido 2069 Rastreio Pedido 2069, agradecemos a preferência e adoraríamos receber sua avaliação, tendo qualquer dúvida estamos à disposição.
Att
Tem tudo Shop</v>
      </c>
    </row>
    <row r="1965" spans="1:15">
      <c r="A1965" s="52" t="str">
        <f>_xlfn.XLOOKUP(Follow[[#This Row],[CODRASTREIO]],Controle_Pedidos[Cód Rastreamento],Controle_Pedidos[Número Pedido Cliente])</f>
        <v>Pedido 2070</v>
      </c>
      <c r="B1965" s="2" t="s">
        <v>19393</v>
      </c>
      <c r="C1965" s="2" t="str">
        <f>Follow[[#This Row],[CODRASTREIO]]&amp;" B"</f>
        <v>CódRastreio1951 B</v>
      </c>
      <c r="D1965" s="52" t="str">
        <f>_xlfn.XLOOKUP(Follow[[#This Row],[Id Pedido]],Controle_Pedidos[Número Pedido Cliente],Controle_Pedidos[Loja])</f>
        <v>BV</v>
      </c>
      <c r="E1965" s="9">
        <f>_xlfn.XLOOKUP(Follow[[#This Row],[Id Pedido]],Controle_Pedidos[Número Pedido Cliente],Controle_Pedidos[Prazo Entrega])</f>
        <v>45898</v>
      </c>
      <c r="F1965" s="9" t="s">
        <v>19433</v>
      </c>
      <c r="G1965" s="9" t="s">
        <v>797</v>
      </c>
      <c r="H1965" s="52" t="s">
        <v>179</v>
      </c>
      <c r="I1965" s="52" t="s">
        <v>178</v>
      </c>
      <c r="J1965" s="9">
        <v>45888</v>
      </c>
      <c r="K1965" s="54" t="s">
        <v>198</v>
      </c>
      <c r="L1965" s="8" t="s">
        <v>124</v>
      </c>
      <c r="M1965" s="8" t="s">
        <v>37</v>
      </c>
      <c r="N1965" s="52" t="str">
        <f>IF(Follow[[#This Row],[DATAATUALIZAÇÃO]]&lt;=Follow[[#This Row],[Prev Entrega]],"Dentro do Prazo","Fora do Prazo")</f>
        <v>Dentro do Prazo</v>
      </c>
      <c r="O196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19/08/2025, referente ao pedido Nº Pedido 2070 Rastreio CNBR00089769239, agradecemos a preferência e adoraríamos receber sua avaliação, tendo qualquer dúvida estamos à disposição.
Att
Tem tudo Shop</v>
      </c>
    </row>
    <row r="1966" spans="1:15">
      <c r="A1966" s="52" t="str">
        <f>_xlfn.XLOOKUP(Follow[[#This Row],[CODRASTREIO]],Controle_Pedidos[Cód Rastreamento],Controle_Pedidos[Número Pedido Cliente])</f>
        <v>Pedido 2071</v>
      </c>
      <c r="B1966" s="2" t="s">
        <v>19394</v>
      </c>
      <c r="C1966" s="2" t="str">
        <f>Follow[[#This Row],[CODRASTREIO]]&amp;" B"</f>
        <v>CódRastreio1952 B</v>
      </c>
      <c r="D1966" s="52" t="str">
        <f>_xlfn.XLOOKUP(Follow[[#This Row],[Id Pedido]],Controle_Pedidos[Número Pedido Cliente],Controle_Pedidos[Loja])</f>
        <v>GO</v>
      </c>
      <c r="E1966" s="9">
        <f>_xlfn.XLOOKUP(Follow[[#This Row],[Id Pedido]],Controle_Pedidos[Número Pedido Cliente],Controle_Pedidos[Prazo Entrega])</f>
        <v>45899</v>
      </c>
      <c r="F1966" s="9" t="s">
        <v>19434</v>
      </c>
      <c r="G1966" s="9">
        <v>888700180740992</v>
      </c>
      <c r="H1966" s="52" t="s">
        <v>178</v>
      </c>
      <c r="I1966" s="52" t="s">
        <v>178</v>
      </c>
      <c r="J1966" s="144">
        <v>45883</v>
      </c>
      <c r="K1966" s="54" t="s">
        <v>533</v>
      </c>
      <c r="L1966" s="8" t="s">
        <v>184</v>
      </c>
      <c r="M1966" s="8" t="s">
        <v>37</v>
      </c>
      <c r="N1966" s="52" t="str">
        <f>IF(Follow[[#This Row],[DATAATUALIZAÇÃO]]&lt;=Follow[[#This Row],[Prev Entrega]],"Dentro do Prazo","Fora do Prazo")</f>
        <v>Dentro do Prazo</v>
      </c>
      <c r="O196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14/08/2025, referente ao pedido Nº Pedido 2071 Rastreio 888700180740992, agradecemos a preferência e adoraríamos receber sua avaliação, tendo qualquer dúvida estamos à disposição.
Att
Sec Variedades</v>
      </c>
    </row>
    <row r="1967" spans="1:15">
      <c r="A1967" s="52" t="str">
        <f>_xlfn.XLOOKUP(Follow[[#This Row],[CODRASTREIO]],Controle_Pedidos[Cód Rastreamento],Controle_Pedidos[Número Pedido Cliente])</f>
        <v>Pedido 2072</v>
      </c>
      <c r="B1967" s="2" t="s">
        <v>19395</v>
      </c>
      <c r="C1967" s="2" t="str">
        <f>Follow[[#This Row],[CODRASTREIO]]&amp;" B"</f>
        <v>CódRastreio1953 B</v>
      </c>
      <c r="D1967" s="52" t="str">
        <f>_xlfn.XLOOKUP(Follow[[#This Row],[Id Pedido]],Controle_Pedidos[Número Pedido Cliente],Controle_Pedidos[Loja])</f>
        <v>GO</v>
      </c>
      <c r="E1967" s="9">
        <f>_xlfn.XLOOKUP(Follow[[#This Row],[Id Pedido]],Controle_Pedidos[Número Pedido Cliente],Controle_Pedidos[Prazo Entrega])</f>
        <v>45896</v>
      </c>
      <c r="F1967" s="9" t="s">
        <v>19434</v>
      </c>
      <c r="G1967" s="9" t="s">
        <v>37</v>
      </c>
      <c r="H1967" s="52" t="s">
        <v>178</v>
      </c>
      <c r="I1967" s="52" t="s">
        <v>178</v>
      </c>
      <c r="J1967" s="9">
        <v>45881</v>
      </c>
      <c r="K1967" s="54" t="s">
        <v>198</v>
      </c>
      <c r="L1967" s="8" t="s">
        <v>124</v>
      </c>
      <c r="M1967" s="8" t="s">
        <v>37</v>
      </c>
      <c r="N1967" s="52" t="str">
        <f>IF(Follow[[#This Row],[DATAATUALIZAÇÃO]]&lt;=Follow[[#This Row],[Prev Entrega]],"Dentro do Prazo","Fora do Prazo")</f>
        <v>Dentro do Prazo</v>
      </c>
      <c r="O196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12/08/2025, referente ao pedido Nº Pedido 2072 Rastreio Pedido 2072, agradecemos a preferência e adoraríamos receber sua avaliação, tendo qualquer dúvida estamos à disposição.
Att
Sec Variedades</v>
      </c>
    </row>
    <row r="1968" spans="1:15">
      <c r="A1968" s="52" t="str">
        <f>_xlfn.XLOOKUP(Follow[[#This Row],[CODRASTREIO]],Controle_Pedidos[Cód Rastreamento],Controle_Pedidos[Número Pedido Cliente])</f>
        <v>Pedido 2073</v>
      </c>
      <c r="B1968" s="2" t="s">
        <v>19396</v>
      </c>
      <c r="C1968" s="2" t="str">
        <f>Follow[[#This Row],[CODRASTREIO]]&amp;" B"</f>
        <v>CódRastreio1954 B</v>
      </c>
      <c r="D1968" s="52" t="str">
        <f>_xlfn.XLOOKUP(Follow[[#This Row],[Id Pedido]],Controle_Pedidos[Número Pedido Cliente],Controle_Pedidos[Loja])</f>
        <v>GO</v>
      </c>
      <c r="E1968" s="9">
        <f>_xlfn.XLOOKUP(Follow[[#This Row],[Id Pedido]],Controle_Pedidos[Número Pedido Cliente],Controle_Pedidos[Prazo Entrega])</f>
        <v>45903</v>
      </c>
      <c r="F1968" s="9" t="s">
        <v>19434</v>
      </c>
      <c r="G1968" s="9" t="s">
        <v>37</v>
      </c>
      <c r="H1968" s="52" t="s">
        <v>178</v>
      </c>
      <c r="I1968" s="52" t="s">
        <v>178</v>
      </c>
      <c r="J1968" s="9">
        <v>45889</v>
      </c>
      <c r="K1968" s="54" t="s">
        <v>198</v>
      </c>
      <c r="L1968" s="8" t="s">
        <v>124</v>
      </c>
      <c r="M1968" s="8" t="s">
        <v>37</v>
      </c>
      <c r="N1968" s="52" t="str">
        <f>IF(Follow[[#This Row],[DATAATUALIZAÇÃO]]&lt;=Follow[[#This Row],[Prev Entrega]],"Dentro do Prazo","Fora do Prazo")</f>
        <v>Dentro do Prazo</v>
      </c>
      <c r="O196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20/08/2025, referente ao pedido Nº Pedido 2073 Rastreio Pedido 2073, agradecemos a preferência e adoraríamos receber sua avaliação, tendo qualquer dúvida estamos à disposição.
Att
Sec Variedades</v>
      </c>
    </row>
    <row r="1969" spans="1:15">
      <c r="A1969" s="52" t="str">
        <f>_xlfn.XLOOKUP(Follow[[#This Row],[CODRASTREIO]],Controle_Pedidos[Cód Rastreamento],Controle_Pedidos[Número Pedido Cliente])</f>
        <v>Pedido 2075</v>
      </c>
      <c r="B1969" s="2" t="s">
        <v>19398</v>
      </c>
      <c r="C1969" s="2" t="str">
        <f>Follow[[#This Row],[CODRASTREIO]]&amp;" B"</f>
        <v>CódRastreio1956 B</v>
      </c>
      <c r="D1969" s="52" t="str">
        <f>_xlfn.XLOOKUP(Follow[[#This Row],[Id Pedido]],Controle_Pedidos[Número Pedido Cliente],Controle_Pedidos[Loja])</f>
        <v>BV</v>
      </c>
      <c r="E1969" s="9">
        <f>_xlfn.XLOOKUP(Follow[[#This Row],[Id Pedido]],Controle_Pedidos[Número Pedido Cliente],Controle_Pedidos[Prazo Entrega])</f>
        <v>45899</v>
      </c>
      <c r="F1969" s="9" t="s">
        <v>19433</v>
      </c>
      <c r="G1969" s="9" t="s">
        <v>798</v>
      </c>
      <c r="H1969" s="52" t="s">
        <v>179</v>
      </c>
      <c r="I1969" s="52" t="s">
        <v>178</v>
      </c>
      <c r="J1969" s="9">
        <v>45891</v>
      </c>
      <c r="K1969" s="54" t="s">
        <v>198</v>
      </c>
      <c r="L1969" s="8" t="s">
        <v>124</v>
      </c>
      <c r="M1969" s="8" t="s">
        <v>37</v>
      </c>
      <c r="N1969" s="52" t="str">
        <f>IF(Follow[[#This Row],[DATAATUALIZAÇÃO]]&lt;=Follow[[#This Row],[Prev Entrega]],"Dentro do Prazo","Fora do Prazo")</f>
        <v>Dentro do Prazo</v>
      </c>
      <c r="O196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Bolsa térmica foi entregue no dia 22/08/2025, referente ao pedido Nº Pedido 2075 Rastreio CNBR00092368385, agradecemos a preferência e adoraríamos receber sua avaliação, tendo qualquer dúvida estamos à disposição.
Att
Tem tudo Shop</v>
      </c>
    </row>
    <row r="1970" spans="1:15">
      <c r="A1970" s="52" t="str">
        <f>_xlfn.XLOOKUP(Follow[[#This Row],[CODRASTREIO]],Controle_Pedidos[Cód Rastreamento],Controle_Pedidos[Número Pedido Cliente])</f>
        <v>Pedido 2076</v>
      </c>
      <c r="B1970" s="2" t="s">
        <v>19399</v>
      </c>
      <c r="C1970" s="2" t="str">
        <f>Follow[[#This Row],[CODRASTREIO]]&amp;" B"</f>
        <v>CódRastreio1957 B</v>
      </c>
      <c r="D1970" s="52" t="str">
        <f>_xlfn.XLOOKUP(Follow[[#This Row],[Id Pedido]],Controle_Pedidos[Número Pedido Cliente],Controle_Pedidos[Loja])</f>
        <v>GO</v>
      </c>
      <c r="E1970" s="9">
        <f>_xlfn.XLOOKUP(Follow[[#This Row],[Id Pedido]],Controle_Pedidos[Número Pedido Cliente],Controle_Pedidos[Prazo Entrega])</f>
        <v>45899</v>
      </c>
      <c r="F1970" s="9" t="s">
        <v>19433</v>
      </c>
      <c r="G1970" s="9" t="s">
        <v>799</v>
      </c>
      <c r="H1970" s="52" t="s">
        <v>179</v>
      </c>
      <c r="I1970" s="52" t="s">
        <v>178</v>
      </c>
      <c r="J1970" s="9">
        <v>45891</v>
      </c>
      <c r="K1970" s="54" t="s">
        <v>198</v>
      </c>
      <c r="L1970" s="8" t="s">
        <v>124</v>
      </c>
      <c r="M1970" s="8" t="s">
        <v>37</v>
      </c>
      <c r="N1970" s="52" t="str">
        <f>IF(Follow[[#This Row],[DATAATUALIZAÇÃO]]&lt;=Follow[[#This Row],[Prev Entrega]],"Dentro do Prazo","Fora do Prazo")</f>
        <v>Dentro do Prazo</v>
      </c>
      <c r="O197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Luminária Rosa de mesa infantil foi entregue no dia 22/08/2025, referente ao pedido Nº Pedido 2076 Rastreio NM899146283BR, agradecemos a preferência e adoraríamos receber sua avaliação, tendo qualquer dúvida estamos à disposição.
Att
Sec Variedades</v>
      </c>
    </row>
    <row r="1971" spans="1:15">
      <c r="A1971" s="52" t="str">
        <f>_xlfn.XLOOKUP(Follow[[#This Row],[CODRASTREIO]],Controle_Pedidos[Cód Rastreamento],Controle_Pedidos[Número Pedido Cliente])</f>
        <v>Pedido 2074</v>
      </c>
      <c r="B1971" s="2" t="s">
        <v>19397</v>
      </c>
      <c r="C1971" s="2" t="str">
        <f>Follow[[#This Row],[CODRASTREIO]]&amp;" B"</f>
        <v>CódRastreio1955 B</v>
      </c>
      <c r="D1971" s="52" t="str">
        <f>_xlfn.XLOOKUP(Follow[[#This Row],[Id Pedido]],Controle_Pedidos[Número Pedido Cliente],Controle_Pedidos[Loja])</f>
        <v>BV</v>
      </c>
      <c r="E1971" s="9">
        <f>_xlfn.XLOOKUP(Follow[[#This Row],[Id Pedido]],Controle_Pedidos[Número Pedido Cliente],Controle_Pedidos[Prazo Entrega])</f>
        <v>45899</v>
      </c>
      <c r="F1971" s="9" t="s">
        <v>19433</v>
      </c>
      <c r="G1971" s="9" t="s">
        <v>800</v>
      </c>
      <c r="H1971" s="52" t="s">
        <v>179</v>
      </c>
      <c r="I1971" s="52" t="s">
        <v>178</v>
      </c>
      <c r="J1971" s="9">
        <v>45895</v>
      </c>
      <c r="K1971" s="54" t="s">
        <v>533</v>
      </c>
      <c r="L1971" s="8" t="s">
        <v>801</v>
      </c>
      <c r="M1971" s="8" t="s">
        <v>802</v>
      </c>
      <c r="N1971" s="52" t="str">
        <f>IF(Follow[[#This Row],[DATAATUALIZAÇÃO]]&lt;=Follow[[#This Row],[Prev Entrega]],"Dentro do Prazo","Fora do Prazo")</f>
        <v>Dentro do Prazo</v>
      </c>
      <c r="O197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Máquina de cortar cabelo dragão foi entregue no dia 26/08/2025, referente ao pedido Nº Pedido 2074 Rastreio NM898979215BR, agradecemos a preferência e adoraríamos receber sua avaliação, tendo qualquer dúvida estamos à disposição.
Att
Tem tudo Shop</v>
      </c>
    </row>
    <row r="1972" spans="1:15">
      <c r="A1972" s="52" t="str">
        <f>_xlfn.XLOOKUP(Follow[[#This Row],[CODRASTREIO]],Controle_Pedidos[Cód Rastreamento],Controle_Pedidos[Número Pedido Cliente])</f>
        <v>Pedido 2077</v>
      </c>
      <c r="B1972" s="2" t="s">
        <v>19400</v>
      </c>
      <c r="C1972" s="2" t="str">
        <f>Follow[[#This Row],[CODRASTREIO]]&amp;" B"</f>
        <v>CódRastreio1958 B</v>
      </c>
      <c r="D1972" s="52" t="str">
        <f>_xlfn.XLOOKUP(Follow[[#This Row],[Id Pedido]],Controle_Pedidos[Número Pedido Cliente],Controle_Pedidos[Loja])</f>
        <v>GO</v>
      </c>
      <c r="E1972" s="9">
        <f>_xlfn.XLOOKUP(Follow[[#This Row],[Id Pedido]],Controle_Pedidos[Número Pedido Cliente],Controle_Pedidos[Prazo Entrega])</f>
        <v>45909</v>
      </c>
      <c r="F1972" s="9" t="s">
        <v>19434</v>
      </c>
      <c r="G1972" s="9" t="s">
        <v>37</v>
      </c>
      <c r="H1972" s="52" t="s">
        <v>178</v>
      </c>
      <c r="I1972" s="52" t="s">
        <v>178</v>
      </c>
      <c r="J1972" s="9">
        <v>45891</v>
      </c>
      <c r="K1972" s="54" t="s">
        <v>198</v>
      </c>
      <c r="L1972" s="8" t="s">
        <v>124</v>
      </c>
      <c r="M1972" s="8" t="s">
        <v>37</v>
      </c>
      <c r="N1972" s="52" t="str">
        <f>IF(Follow[[#This Row],[DATAATUALIZAÇÃO]]&lt;=Follow[[#This Row],[Prev Entrega]],"Dentro do Prazo","Fora do Prazo")</f>
        <v>Dentro do Prazo</v>
      </c>
      <c r="O197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22/08/2025, referente ao pedido Nº Pedido 2077 Rastreio Pedido 2077, agradecemos a preferência e adoraríamos receber sua avaliação, tendo qualquer dúvida estamos à disposição.
Att
Sec Variedades</v>
      </c>
    </row>
    <row r="1973" spans="1:15">
      <c r="A1973" s="52" t="str">
        <f>_xlfn.XLOOKUP(Follow[[#This Row],[CODRASTREIO]],Controle_Pedidos[Cód Rastreamento],Controle_Pedidos[Número Pedido Cliente])</f>
        <v>Pedido 2078</v>
      </c>
      <c r="B1973" s="2" t="s">
        <v>19401</v>
      </c>
      <c r="C1973" s="2" t="str">
        <f>Follow[[#This Row],[CODRASTREIO]]&amp;" B"</f>
        <v>CódRastreio1959 B</v>
      </c>
      <c r="D1973" s="52" t="str">
        <f>_xlfn.XLOOKUP(Follow[[#This Row],[Id Pedido]],Controle_Pedidos[Número Pedido Cliente],Controle_Pedidos[Loja])</f>
        <v>GO</v>
      </c>
      <c r="E1973" s="9">
        <f>_xlfn.XLOOKUP(Follow[[#This Row],[Id Pedido]],Controle_Pedidos[Número Pedido Cliente],Controle_Pedidos[Prazo Entrega])</f>
        <v>45899</v>
      </c>
      <c r="F1973" s="9" t="s">
        <v>19434</v>
      </c>
      <c r="G1973" s="9" t="s">
        <v>37</v>
      </c>
      <c r="H1973" s="52" t="s">
        <v>178</v>
      </c>
      <c r="I1973" s="52" t="s">
        <v>178</v>
      </c>
      <c r="J1973" s="9">
        <v>45896</v>
      </c>
      <c r="K1973" s="8" t="s">
        <v>198</v>
      </c>
      <c r="L1973" s="8" t="s">
        <v>124</v>
      </c>
      <c r="M1973" s="8" t="s">
        <v>37</v>
      </c>
      <c r="N1973" s="52" t="str">
        <f>IF(Follow[[#This Row],[DATAATUALIZAÇÃO]]&lt;=Follow[[#This Row],[Prev Entrega]],"Dentro do Prazo","Fora do Prazo")</f>
        <v>Dentro do Prazo</v>
      </c>
      <c r="O197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27/08/2025, referente ao pedido Nº Pedido 2078 Rastreio Pedido 2078, agradecemos a preferência e adoraríamos receber sua avaliação, tendo qualquer dúvida estamos à disposição.
Att
Sec Variedades</v>
      </c>
    </row>
    <row r="1974" spans="1:15">
      <c r="A1974" s="52" t="str">
        <f>_xlfn.XLOOKUP(Follow[[#This Row],[CODRASTREIO]],Controle_Pedidos[Cód Rastreamento],Controle_Pedidos[Número Pedido Cliente])</f>
        <v>Pedido 2079</v>
      </c>
      <c r="B1974" s="2" t="s">
        <v>19402</v>
      </c>
      <c r="C1974" s="2" t="str">
        <f>Follow[[#This Row],[CODRASTREIO]]&amp;" B"</f>
        <v>CódRastreio1960 B</v>
      </c>
      <c r="D1974" s="52" t="str">
        <f>_xlfn.XLOOKUP(Follow[[#This Row],[Id Pedido]],Controle_Pedidos[Número Pedido Cliente],Controle_Pedidos[Loja])</f>
        <v>GO</v>
      </c>
      <c r="E1974" s="9">
        <f>_xlfn.XLOOKUP(Follow[[#This Row],[Id Pedido]],Controle_Pedidos[Número Pedido Cliente],Controle_Pedidos[Prazo Entrega])</f>
        <v>45912</v>
      </c>
      <c r="F1974" s="9" t="s">
        <v>19433</v>
      </c>
      <c r="G1974" s="9" t="s">
        <v>37</v>
      </c>
      <c r="H1974" s="52" t="s">
        <v>179</v>
      </c>
      <c r="I1974" s="52" t="s">
        <v>178</v>
      </c>
      <c r="J1974" s="9">
        <v>45895</v>
      </c>
      <c r="K1974" s="8" t="s">
        <v>533</v>
      </c>
      <c r="L1974" s="8" t="s">
        <v>181</v>
      </c>
      <c r="M1974" s="8" t="s">
        <v>37</v>
      </c>
      <c r="N1974" s="52" t="str">
        <f>IF(Follow[[#This Row],[DATAATUALIZAÇÃO]]&lt;=Follow[[#This Row],[Prev Entrega]],"Dentro do Prazo","Fora do Prazo")</f>
        <v>Dentro do Prazo</v>
      </c>
      <c r="O197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26/08/2025, referente ao pedido Nº Pedido 2079 Rastreio Pedido 2079, agradecemos a preferência e adoraríamos receber sua avaliação, tendo qualquer dúvida estamos à disposição.
Att
Sec Variedades</v>
      </c>
    </row>
    <row r="1975" spans="1:15">
      <c r="A1975" s="52" t="str">
        <f>_xlfn.XLOOKUP(Follow[[#This Row],[CODRASTREIO]],Controle_Pedidos[Cód Rastreamento],Controle_Pedidos[Número Pedido Cliente])</f>
        <v>Pedido 2080</v>
      </c>
      <c r="B1975" s="2" t="s">
        <v>19403</v>
      </c>
      <c r="C1975" s="2" t="str">
        <f>Follow[[#This Row],[CODRASTREIO]]&amp;" B"</f>
        <v>CódRastreio1961 B</v>
      </c>
      <c r="D1975" s="52" t="str">
        <f>_xlfn.XLOOKUP(Follow[[#This Row],[Id Pedido]],Controle_Pedidos[Número Pedido Cliente],Controle_Pedidos[Loja])</f>
        <v>GO</v>
      </c>
      <c r="E1975" s="9">
        <f>_xlfn.XLOOKUP(Follow[[#This Row],[Id Pedido]],Controle_Pedidos[Número Pedido Cliente],Controle_Pedidos[Prazo Entrega])</f>
        <v>45908</v>
      </c>
      <c r="F1975" s="9" t="s">
        <v>19434</v>
      </c>
      <c r="G1975" s="9" t="s">
        <v>37</v>
      </c>
      <c r="H1975" s="52" t="s">
        <v>178</v>
      </c>
      <c r="I1975" s="52" t="s">
        <v>178</v>
      </c>
      <c r="J1975" s="9">
        <v>45894</v>
      </c>
      <c r="K1975" s="8" t="s">
        <v>198</v>
      </c>
      <c r="L1975" s="8" t="s">
        <v>124</v>
      </c>
      <c r="M1975" s="8" t="s">
        <v>37</v>
      </c>
      <c r="N1975" s="52" t="str">
        <f>IF(Follow[[#This Row],[DATAATUALIZAÇÃO]]&lt;=Follow[[#This Row],[Prev Entrega]],"Dentro do Prazo","Fora do Prazo")</f>
        <v>Dentro do Prazo</v>
      </c>
      <c r="O197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25/08/2025, referente ao pedido Nº Pedido 2080 Rastreio Pedido 2080, agradecemos a preferência e adoraríamos receber sua avaliação, tendo qualquer dúvida estamos à disposição.
Att
Sec Variedades</v>
      </c>
    </row>
    <row r="1976" spans="1:15">
      <c r="A1976" s="52" t="str">
        <f>_xlfn.XLOOKUP(Follow[[#This Row],[CODRASTREIO]],Controle_Pedidos[Cód Rastreamento],Controle_Pedidos[Número Pedido Cliente])</f>
        <v>Pedido 2081</v>
      </c>
      <c r="B1976" s="2" t="s">
        <v>19404</v>
      </c>
      <c r="C1976" s="2" t="str">
        <f>Follow[[#This Row],[CODRASTREIO]]&amp;" B"</f>
        <v>CódRastreio1962 B</v>
      </c>
      <c r="D1976" s="52" t="str">
        <f>_xlfn.XLOOKUP(Follow[[#This Row],[Id Pedido]],Controle_Pedidos[Número Pedido Cliente],Controle_Pedidos[Loja])</f>
        <v>GO</v>
      </c>
      <c r="E1976" s="9">
        <f>_xlfn.XLOOKUP(Follow[[#This Row],[Id Pedido]],Controle_Pedidos[Número Pedido Cliente],Controle_Pedidos[Prazo Entrega])</f>
        <v>45925</v>
      </c>
      <c r="F1976" s="9" t="s">
        <v>19433</v>
      </c>
      <c r="G1976" s="9" t="s">
        <v>803</v>
      </c>
      <c r="H1976" s="52" t="s">
        <v>179</v>
      </c>
      <c r="I1976" s="52" t="s">
        <v>178</v>
      </c>
      <c r="J1976" s="144">
        <v>45896</v>
      </c>
      <c r="K1976" s="8" t="s">
        <v>585</v>
      </c>
      <c r="L1976" s="8" t="s">
        <v>181</v>
      </c>
      <c r="M1976" s="8" t="s">
        <v>37</v>
      </c>
      <c r="N1976" s="52" t="str">
        <f>IF(Follow[[#This Row],[DATAATUALIZAÇÃO]]&lt;=Follow[[#This Row],[Prev Entrega]],"Dentro do Prazo","Fora do Prazo")</f>
        <v>Dentro do Prazo</v>
      </c>
      <c r="O197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27/08/2025, referente ao pedido Nº Pedido 2081 Rastreio NM910104565BR, agradecemos a preferência e adoraríamos receber sua avaliação, tendo qualquer dúvida estamos à disposição.
Att
Sec Variedades</v>
      </c>
    </row>
    <row r="1977" spans="1:15">
      <c r="A1977" s="52" t="str">
        <f>_xlfn.XLOOKUP(Follow[[#This Row],[CODRASTREIO]],Controle_Pedidos[Cód Rastreamento],Controle_Pedidos[Número Pedido Cliente])</f>
        <v>Pedido 2082</v>
      </c>
      <c r="B1977" s="2" t="s">
        <v>19405</v>
      </c>
      <c r="C1977" s="2" t="str">
        <f>Follow[[#This Row],[CODRASTREIO]]&amp;" B"</f>
        <v>CódRastreio1963 B</v>
      </c>
      <c r="D1977" s="52" t="str">
        <f>_xlfn.XLOOKUP(Follow[[#This Row],[Id Pedido]],Controle_Pedidos[Número Pedido Cliente],Controle_Pedidos[Loja])</f>
        <v>GO</v>
      </c>
      <c r="E1977" s="9">
        <f>_xlfn.XLOOKUP(Follow[[#This Row],[Id Pedido]],Controle_Pedidos[Número Pedido Cliente],Controle_Pedidos[Prazo Entrega])</f>
        <v>45912</v>
      </c>
      <c r="F1977" s="9" t="s">
        <v>19433</v>
      </c>
      <c r="G1977" s="9" t="s">
        <v>804</v>
      </c>
      <c r="H1977" s="52" t="s">
        <v>179</v>
      </c>
      <c r="I1977" s="52" t="s">
        <v>178</v>
      </c>
      <c r="J1977" s="144">
        <v>45896</v>
      </c>
      <c r="K1977" s="8" t="s">
        <v>585</v>
      </c>
      <c r="L1977" s="8" t="s">
        <v>181</v>
      </c>
      <c r="M1977" s="8" t="s">
        <v>37</v>
      </c>
      <c r="N1977" s="52" t="str">
        <f>IF(Follow[[#This Row],[DATAATUALIZAÇÃO]]&lt;=Follow[[#This Row],[Prev Entrega]],"Dentro do Prazo","Fora do Prazo")</f>
        <v>Dentro do Prazo</v>
      </c>
      <c r="O197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27/08/2025, referente ao pedido Nº Pedido 2082 Rastreio NM910127779BR, agradecemos a preferência e adoraríamos receber sua avaliação, tendo qualquer dúvida estamos à disposição.
Att
Sec Variedades</v>
      </c>
    </row>
    <row r="1978" spans="1:15">
      <c r="A1978" s="52" t="str">
        <f>_xlfn.XLOOKUP(Follow[[#This Row],[CODRASTREIO]],Controle_Pedidos[Cód Rastreamento],Controle_Pedidos[Número Pedido Cliente])</f>
        <v>Pedido 2083</v>
      </c>
      <c r="B1978" s="2" t="s">
        <v>19406</v>
      </c>
      <c r="C1978" s="2" t="str">
        <f>Follow[[#This Row],[CODRASTREIO]]&amp;" B"</f>
        <v>CódRastreio1964 B</v>
      </c>
      <c r="D1978" s="52" t="str">
        <f>_xlfn.XLOOKUP(Follow[[#This Row],[Id Pedido]],Controle_Pedidos[Número Pedido Cliente],Controle_Pedidos[Loja])</f>
        <v>MEI</v>
      </c>
      <c r="E1978" s="9">
        <f>_xlfn.XLOOKUP(Follow[[#This Row],[Id Pedido]],Controle_Pedidos[Número Pedido Cliente],Controle_Pedidos[Prazo Entrega])</f>
        <v>45917</v>
      </c>
      <c r="F1978" s="9" t="s">
        <v>19433</v>
      </c>
      <c r="G1978" s="9" t="s">
        <v>805</v>
      </c>
      <c r="H1978" s="52" t="s">
        <v>179</v>
      </c>
      <c r="I1978" s="52" t="s">
        <v>178</v>
      </c>
      <c r="J1978" s="144">
        <v>45896</v>
      </c>
      <c r="K1978" s="8" t="s">
        <v>585</v>
      </c>
      <c r="L1978" s="8" t="s">
        <v>181</v>
      </c>
      <c r="M1978" s="8" t="s">
        <v>37</v>
      </c>
      <c r="N1978" s="52" t="str">
        <f>IF(Follow[[#This Row],[DATAATUALIZAÇÃO]]&lt;=Follow[[#This Row],[Prev Entrega]],"Dentro do Prazo","Fora do Prazo")</f>
        <v>Dentro do Prazo</v>
      </c>
      <c r="O197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27/08/2025, referente ao pedido Nº Pedido 2083 Rastreio NM910131359BR, agradecemos a preferência e adoraríamos receber sua avaliação, tendo qualquer dúvida estamos à disposição.
Att
NTA Variedades</v>
      </c>
    </row>
    <row r="1979" spans="1:15">
      <c r="A1979" s="52" t="str">
        <f>_xlfn.XLOOKUP(Follow[[#This Row],[CODRASTREIO]],Controle_Pedidos[Cód Rastreamento],Controle_Pedidos[Número Pedido Cliente])</f>
        <v>Pedido 2084</v>
      </c>
      <c r="B1979" s="2" t="s">
        <v>19407</v>
      </c>
      <c r="C1979" s="2" t="str">
        <f>Follow[[#This Row],[CODRASTREIO]]&amp;" B"</f>
        <v>CódRastreio1965 B</v>
      </c>
      <c r="D1979" s="52" t="str">
        <f>_xlfn.XLOOKUP(Follow[[#This Row],[Id Pedido]],Controle_Pedidos[Número Pedido Cliente],Controle_Pedidos[Loja])</f>
        <v>MEI</v>
      </c>
      <c r="E1979" s="9">
        <f>_xlfn.XLOOKUP(Follow[[#This Row],[Id Pedido]],Controle_Pedidos[Número Pedido Cliente],Controle_Pedidos[Prazo Entrega])</f>
        <v>45912</v>
      </c>
      <c r="F1979" s="9" t="s">
        <v>19433</v>
      </c>
      <c r="G1979" s="9" t="s">
        <v>806</v>
      </c>
      <c r="H1979" s="52" t="s">
        <v>179</v>
      </c>
      <c r="I1979" s="52" t="s">
        <v>178</v>
      </c>
      <c r="J1979" s="144">
        <v>45896</v>
      </c>
      <c r="K1979" s="8" t="s">
        <v>585</v>
      </c>
      <c r="L1979" s="8" t="s">
        <v>181</v>
      </c>
      <c r="M1979" s="8" t="s">
        <v>37</v>
      </c>
      <c r="N1979" s="52" t="str">
        <f>IF(Follow[[#This Row],[DATAATUALIZAÇÃO]]&lt;=Follow[[#This Row],[Prev Entrega]],"Dentro do Prazo","Fora do Prazo")</f>
        <v>Dentro do Prazo</v>
      </c>
      <c r="O1979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27/08/2025, referente ao pedido Nº Pedido 2084 Rastreio NM910151923BR, agradecemos a preferência e adoraríamos receber sua avaliação, tendo qualquer dúvida estamos à disposição.
Att
NTA Variedades</v>
      </c>
    </row>
    <row r="1980" spans="1:15">
      <c r="A1980" s="52" t="str">
        <f>_xlfn.XLOOKUP(Follow[[#This Row],[CODRASTREIO]],Controle_Pedidos[Cód Rastreamento],Controle_Pedidos[Número Pedido Cliente])</f>
        <v>Pedido 2085</v>
      </c>
      <c r="B1980" s="2" t="s">
        <v>19408</v>
      </c>
      <c r="C1980" s="2" t="str">
        <f>Follow[[#This Row],[CODRASTREIO]]&amp;" B"</f>
        <v>CódRastreio1966 B</v>
      </c>
      <c r="D1980" s="52" t="str">
        <f>_xlfn.XLOOKUP(Follow[[#This Row],[Id Pedido]],Controle_Pedidos[Número Pedido Cliente],Controle_Pedidos[Loja])</f>
        <v>MEI</v>
      </c>
      <c r="E1980" s="9">
        <f>_xlfn.XLOOKUP(Follow[[#This Row],[Id Pedido]],Controle_Pedidos[Número Pedido Cliente],Controle_Pedidos[Prazo Entrega])</f>
        <v>45912</v>
      </c>
      <c r="F1980" s="9" t="s">
        <v>19433</v>
      </c>
      <c r="G1980" s="9" t="s">
        <v>807</v>
      </c>
      <c r="H1980" s="52" t="s">
        <v>179</v>
      </c>
      <c r="I1980" s="52" t="s">
        <v>178</v>
      </c>
      <c r="J1980" s="144">
        <v>45896</v>
      </c>
      <c r="K1980" s="8" t="s">
        <v>585</v>
      </c>
      <c r="L1980" s="8" t="s">
        <v>181</v>
      </c>
      <c r="M1980" s="8" t="s">
        <v>37</v>
      </c>
      <c r="N1980" s="52" t="str">
        <f>IF(Follow[[#This Row],[DATAATUALIZAÇÃO]]&lt;=Follow[[#This Row],[Prev Entrega]],"Dentro do Prazo","Fora do Prazo")</f>
        <v>Dentro do Prazo</v>
      </c>
      <c r="O1980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27/08/2025, referente ao pedido Nº Pedido 2085 Rastreio NM910171494BR, agradecemos a preferência e adoraríamos receber sua avaliação, tendo qualquer dúvida estamos à disposição.
Att
NTA Variedades</v>
      </c>
    </row>
    <row r="1981" spans="1:15">
      <c r="A1981" s="52" t="str">
        <f>_xlfn.XLOOKUP(Follow[[#This Row],[CODRASTREIO]],Controle_Pedidos[Cód Rastreamento],Controle_Pedidos[Número Pedido Cliente])</f>
        <v>Pedido 2086</v>
      </c>
      <c r="B1981" s="2" t="s">
        <v>19409</v>
      </c>
      <c r="C1981" s="2" t="str">
        <f>Follow[[#This Row],[CODRASTREIO]]&amp;" B"</f>
        <v>CódRastreio1967 B</v>
      </c>
      <c r="D1981" s="52" t="str">
        <f>_xlfn.XLOOKUP(Follow[[#This Row],[Id Pedido]],Controle_Pedidos[Número Pedido Cliente],Controle_Pedidos[Loja])</f>
        <v>GO</v>
      </c>
      <c r="E1981" s="9">
        <f>_xlfn.XLOOKUP(Follow[[#This Row],[Id Pedido]],Controle_Pedidos[Número Pedido Cliente],Controle_Pedidos[Prazo Entrega])</f>
        <v>45912</v>
      </c>
      <c r="F1981" s="9" t="s">
        <v>19433</v>
      </c>
      <c r="G1981" s="9" t="s">
        <v>808</v>
      </c>
      <c r="H1981" s="52" t="s">
        <v>179</v>
      </c>
      <c r="I1981" s="52" t="s">
        <v>178</v>
      </c>
      <c r="J1981" s="144">
        <v>45896</v>
      </c>
      <c r="K1981" s="8" t="s">
        <v>809</v>
      </c>
      <c r="L1981" s="8" t="s">
        <v>181</v>
      </c>
      <c r="M1981" s="8" t="s">
        <v>37</v>
      </c>
      <c r="N1981" s="52" t="str">
        <f>IF(Follow[[#This Row],[DATAATUALIZAÇÃO]]&lt;=Follow[[#This Row],[Prev Entrega]],"Dentro do Prazo","Fora do Prazo")</f>
        <v>Dentro do Prazo</v>
      </c>
      <c r="O1981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27/08/2025, referente ao pedido Nº Pedido 2086 Rastreio NM911206950BR, agradecemos a preferência e adoraríamos receber sua avaliação, tendo qualquer dúvida estamos à disposição.
Att
Sec Variedades</v>
      </c>
    </row>
    <row r="1982" spans="1:15">
      <c r="A1982" s="52" t="str">
        <f>_xlfn.XLOOKUP(Follow[[#This Row],[CODRASTREIO]],Controle_Pedidos[Cód Rastreamento],Controle_Pedidos[Número Pedido Cliente])</f>
        <v>Pedido 2087</v>
      </c>
      <c r="B1982" s="2" t="s">
        <v>19410</v>
      </c>
      <c r="C1982" s="2" t="str">
        <f>Follow[[#This Row],[CODRASTREIO]]&amp;" B"</f>
        <v>CódRastreio1968 B</v>
      </c>
      <c r="D1982" s="52" t="str">
        <f>_xlfn.XLOOKUP(Follow[[#This Row],[Id Pedido]],Controle_Pedidos[Número Pedido Cliente],Controle_Pedidos[Loja])</f>
        <v>MEI</v>
      </c>
      <c r="E1982" s="9">
        <f>_xlfn.XLOOKUP(Follow[[#This Row],[Id Pedido]],Controle_Pedidos[Número Pedido Cliente],Controle_Pedidos[Prazo Entrega])</f>
        <v>45917</v>
      </c>
      <c r="F1982" s="9" t="s">
        <v>19433</v>
      </c>
      <c r="G1982" s="9" t="s">
        <v>37</v>
      </c>
      <c r="H1982" s="52" t="s">
        <v>179</v>
      </c>
      <c r="I1982" s="52" t="s">
        <v>178</v>
      </c>
      <c r="J1982" s="144">
        <v>45898</v>
      </c>
      <c r="K1982" s="54" t="s">
        <v>37</v>
      </c>
      <c r="L1982" s="8" t="s">
        <v>181</v>
      </c>
      <c r="M1982" s="8" t="s">
        <v>37</v>
      </c>
      <c r="N1982" s="52" t="str">
        <f>IF(Follow[[#This Row],[DATAATUALIZAÇÃO]]&lt;=Follow[[#This Row],[Prev Entrega]],"Dentro do Prazo","Fora do Prazo")</f>
        <v>Dentro do Prazo</v>
      </c>
      <c r="O1982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29/08/2025, referente ao pedido Nº Pedido 2087 Rastreio Pedido 2087, agradecemos a preferência e adoraríamos receber sua avaliação, tendo qualquer dúvida estamos à disposição.
Att
NTA Variedades</v>
      </c>
    </row>
    <row r="1983" spans="1:15">
      <c r="A1983" s="52" t="str">
        <f>_xlfn.XLOOKUP(Follow[[#This Row],[CODRASTREIO]],Controle_Pedidos[Cód Rastreamento],Controle_Pedidos[Número Pedido Cliente])</f>
        <v>Pedido 2088</v>
      </c>
      <c r="B1983" s="2" t="s">
        <v>19411</v>
      </c>
      <c r="C1983" s="2" t="str">
        <f>Follow[[#This Row],[CODRASTREIO]]&amp;" B"</f>
        <v>CódRastreio1969 B</v>
      </c>
      <c r="D1983" s="52" t="str">
        <f>_xlfn.XLOOKUP(Follow[[#This Row],[Id Pedido]],Controle_Pedidos[Número Pedido Cliente],Controle_Pedidos[Loja])</f>
        <v>MEI</v>
      </c>
      <c r="E1983" s="9">
        <f>_xlfn.XLOOKUP(Follow[[#This Row],[Id Pedido]],Controle_Pedidos[Número Pedido Cliente],Controle_Pedidos[Prazo Entrega])</f>
        <v>45917</v>
      </c>
      <c r="F1983" s="9" t="s">
        <v>19433</v>
      </c>
      <c r="G1983" s="9" t="s">
        <v>37</v>
      </c>
      <c r="H1983" s="52" t="s">
        <v>179</v>
      </c>
      <c r="I1983" s="52" t="s">
        <v>178</v>
      </c>
      <c r="J1983" s="144">
        <v>45902</v>
      </c>
      <c r="K1983" s="54" t="s">
        <v>37</v>
      </c>
      <c r="L1983" s="8" t="s">
        <v>181</v>
      </c>
      <c r="M1983" s="8" t="s">
        <v>37</v>
      </c>
      <c r="N1983" s="52" t="str">
        <f>IF(Follow[[#This Row],[DATAATUALIZAÇÃO]]&lt;=Follow[[#This Row],[Prev Entrega]],"Dentro do Prazo","Fora do Prazo")</f>
        <v>Dentro do Prazo</v>
      </c>
      <c r="O1983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02/09/2025, referente ao pedido Nº Pedido 2088 Rastreio Pedido 2088, agradecemos a preferência e adoraríamos receber sua avaliação, tendo qualquer dúvida estamos à disposição.
Att
NTA Variedades</v>
      </c>
    </row>
    <row r="1984" spans="1:15">
      <c r="A1984" s="52" t="str">
        <f>_xlfn.XLOOKUP(Follow[[#This Row],[CODRASTREIO]],Controle_Pedidos[Cód Rastreamento],Controle_Pedidos[Número Pedido Cliente])</f>
        <v>Pedido 2089</v>
      </c>
      <c r="B1984" s="2" t="s">
        <v>19412</v>
      </c>
      <c r="C1984" s="2" t="str">
        <f>Follow[[#This Row],[CODRASTREIO]]&amp;" B"</f>
        <v>CódRastreio1970 B</v>
      </c>
      <c r="D1984" s="52" t="str">
        <f>_xlfn.XLOOKUP(Follow[[#This Row],[Id Pedido]],Controle_Pedidos[Número Pedido Cliente],Controle_Pedidos[Loja])</f>
        <v>MEI</v>
      </c>
      <c r="E1984" s="9">
        <f>_xlfn.XLOOKUP(Follow[[#This Row],[Id Pedido]],Controle_Pedidos[Número Pedido Cliente],Controle_Pedidos[Prazo Entrega])</f>
        <v>45925</v>
      </c>
      <c r="F1984" s="9" t="s">
        <v>19433</v>
      </c>
      <c r="G1984" s="9" t="s">
        <v>37</v>
      </c>
      <c r="H1984" s="52" t="s">
        <v>179</v>
      </c>
      <c r="I1984" s="52" t="s">
        <v>178</v>
      </c>
      <c r="J1984" s="144">
        <v>45904</v>
      </c>
      <c r="K1984" s="54" t="s">
        <v>37</v>
      </c>
      <c r="L1984" s="8" t="s">
        <v>181</v>
      </c>
      <c r="M1984" s="8" t="s">
        <v>37</v>
      </c>
      <c r="N1984" s="52" t="str">
        <f>IF(Follow[[#This Row],[DATAATUALIZAÇÃO]]&lt;=Follow[[#This Row],[Prev Entrega]],"Dentro do Prazo","Fora do Prazo")</f>
        <v>Dentro do Prazo</v>
      </c>
      <c r="O1984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Ventilador Rosa foi entregue no dia 04/09/2025, referente ao pedido Nº Pedido 2089 Rastreio Pedido 2089, agradecemos a preferência e adoraríamos receber sua avaliação, tendo qualquer dúvida estamos à disposição.
Att
NTA Variedades</v>
      </c>
    </row>
    <row r="1985" spans="1:15">
      <c r="A1985" s="52" t="str">
        <f>_xlfn.XLOOKUP(Follow[[#This Row],[CODRASTREIO]],Controle_Pedidos[Cód Rastreamento],Controle_Pedidos[Número Pedido Cliente])</f>
        <v>Pedido 2090</v>
      </c>
      <c r="B1985" s="2" t="s">
        <v>19413</v>
      </c>
      <c r="C1985" s="2" t="str">
        <f>Follow[[#This Row],[CODRASTREIO]]&amp;" B"</f>
        <v>CódRastreio1971 B</v>
      </c>
      <c r="D1985" s="52" t="str">
        <f>_xlfn.XLOOKUP(Follow[[#This Row],[Id Pedido]],Controle_Pedidos[Número Pedido Cliente],Controle_Pedidos[Loja])</f>
        <v>MEI</v>
      </c>
      <c r="E1985" s="9">
        <f>_xlfn.XLOOKUP(Follow[[#This Row],[Id Pedido]],Controle_Pedidos[Número Pedido Cliente],Controle_Pedidos[Prazo Entrega])</f>
        <v>45923</v>
      </c>
      <c r="F1985" s="9" t="s">
        <v>19433</v>
      </c>
      <c r="G1985" s="9" t="s">
        <v>37</v>
      </c>
      <c r="H1985" s="52" t="s">
        <v>179</v>
      </c>
      <c r="I1985" s="52" t="s">
        <v>178</v>
      </c>
      <c r="J1985" s="144">
        <v>45904</v>
      </c>
      <c r="K1985" s="54" t="s">
        <v>37</v>
      </c>
      <c r="L1985" s="8" t="s">
        <v>181</v>
      </c>
      <c r="M1985" s="8" t="s">
        <v>37</v>
      </c>
      <c r="N1985" s="52" t="str">
        <f>IF(Follow[[#This Row],[DATAATUALIZAÇÃO]]&lt;=Follow[[#This Row],[Prev Entrega]],"Dentro do Prazo","Fora do Prazo")</f>
        <v>Dentro do Prazo</v>
      </c>
      <c r="O1985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Brinquedo Bola Giratória voadora foi entregue no dia 04/09/2025, referente ao pedido Nº Pedido 2090 Rastreio Pedido 2090, agradecemos a preferência e adoraríamos receber sua avaliação, tendo qualquer dúvida estamos à disposição.
Att
NTA Variedades</v>
      </c>
    </row>
    <row r="1986" spans="1:15">
      <c r="A1986" s="52" t="str">
        <f>_xlfn.XLOOKUP(Follow[[#This Row],[CODRASTREIO]],Controle_Pedidos[Cód Rastreamento],Controle_Pedidos[Número Pedido Cliente])</f>
        <v>Pedido 2091</v>
      </c>
      <c r="B1986" s="2" t="s">
        <v>19414</v>
      </c>
      <c r="C1986" s="2" t="str">
        <f>Follow[[#This Row],[CODRASTREIO]]&amp;" B"</f>
        <v>CódRastreio1972 B</v>
      </c>
      <c r="D1986" s="52" t="str">
        <f>_xlfn.XLOOKUP(Follow[[#This Row],[Id Pedido]],Controle_Pedidos[Número Pedido Cliente],Controle_Pedidos[Loja])</f>
        <v>GO</v>
      </c>
      <c r="E1986" s="9">
        <f>_xlfn.XLOOKUP(Follow[[#This Row],[Id Pedido]],Controle_Pedidos[Número Pedido Cliente],Controle_Pedidos[Prazo Entrega])</f>
        <v>45913</v>
      </c>
      <c r="F1986" s="9" t="s">
        <v>19434</v>
      </c>
      <c r="G1986" s="9" t="s">
        <v>37</v>
      </c>
      <c r="H1986" s="52" t="s">
        <v>178</v>
      </c>
      <c r="I1986" s="52" t="s">
        <v>178</v>
      </c>
      <c r="J1986" s="144">
        <v>45904</v>
      </c>
      <c r="K1986" s="54" t="s">
        <v>37</v>
      </c>
      <c r="L1986" s="8" t="s">
        <v>181</v>
      </c>
      <c r="M1986" s="8" t="s">
        <v>37</v>
      </c>
      <c r="N1986" s="52" t="str">
        <f>IF(Follow[[#This Row],[DATAATUALIZAÇÃO]]&lt;=Follow[[#This Row],[Prev Entrega]],"Dentro do Prazo","Fora do Prazo")</f>
        <v>Dentro do Prazo</v>
      </c>
      <c r="O1986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04/09/2025, referente ao pedido Nº Pedido 2091 Rastreio Pedido 2091, agradecemos a preferência e adoraríamos receber sua avaliação, tendo qualquer dúvida estamos à disposição.
Att
Sec Variedades</v>
      </c>
    </row>
    <row r="1987" spans="1:15">
      <c r="A1987" s="52" t="str">
        <f>_xlfn.XLOOKUP(Follow[[#This Row],[CODRASTREIO]],Controle_Pedidos[Cód Rastreamento],Controle_Pedidos[Número Pedido Cliente])</f>
        <v>Pedido 2092</v>
      </c>
      <c r="B1987" s="2" t="s">
        <v>19415</v>
      </c>
      <c r="C1987" s="2" t="str">
        <f>Follow[[#This Row],[CODRASTREIO]]&amp;" B"</f>
        <v>CódRastreio1973 B</v>
      </c>
      <c r="D1987" s="52" t="str">
        <f>_xlfn.XLOOKUP(Follow[[#This Row],[Id Pedido]],Controle_Pedidos[Número Pedido Cliente],Controle_Pedidos[Loja])</f>
        <v>GO</v>
      </c>
      <c r="E1987" s="9">
        <f>_xlfn.XLOOKUP(Follow[[#This Row],[Id Pedido]],Controle_Pedidos[Número Pedido Cliente],Controle_Pedidos[Prazo Entrega])</f>
        <v>45916</v>
      </c>
      <c r="F1987" s="9" t="s">
        <v>19434</v>
      </c>
      <c r="G1987" s="9" t="s">
        <v>37</v>
      </c>
      <c r="H1987" s="52" t="s">
        <v>178</v>
      </c>
      <c r="I1987" s="52" t="s">
        <v>178</v>
      </c>
      <c r="J1987" s="144">
        <v>45904</v>
      </c>
      <c r="K1987" s="54" t="s">
        <v>37</v>
      </c>
      <c r="L1987" s="8" t="s">
        <v>181</v>
      </c>
      <c r="M1987" s="8" t="s">
        <v>37</v>
      </c>
      <c r="N1987" s="52" t="str">
        <f>IF(Follow[[#This Row],[DATAATUALIZAÇÃO]]&lt;=Follow[[#This Row],[Prev Entrega]],"Dentro do Prazo","Fora do Prazo")</f>
        <v>Dentro do Prazo</v>
      </c>
      <c r="O1987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04/09/2025, referente ao pedido Nº Pedido 2092 Rastreio Pedido 2092, agradecemos a preferência e adoraríamos receber sua avaliação, tendo qualquer dúvida estamos à disposição.
Att
Sec Variedades</v>
      </c>
    </row>
    <row r="1988" spans="1:15">
      <c r="A1988" s="52" t="str">
        <f>_xlfn.XLOOKUP(Follow[[#This Row],[CODRASTREIO]],Controle_Pedidos[Cód Rastreamento],Controle_Pedidos[Número Pedido Cliente])</f>
        <v>Pedido 2093</v>
      </c>
      <c r="B1988" s="2" t="s">
        <v>19416</v>
      </c>
      <c r="C1988" s="2" t="str">
        <f>Follow[[#This Row],[CODRASTREIO]]&amp;" B"</f>
        <v>CódRastreio1974 B</v>
      </c>
      <c r="D1988" s="52" t="str">
        <f>_xlfn.XLOOKUP(Follow[[#This Row],[Id Pedido]],Controle_Pedidos[Número Pedido Cliente],Controle_Pedidos[Loja])</f>
        <v>GO</v>
      </c>
      <c r="E1988" s="9">
        <f>_xlfn.XLOOKUP(Follow[[#This Row],[Id Pedido]],Controle_Pedidos[Número Pedido Cliente],Controle_Pedidos[Prazo Entrega])</f>
        <v>45920</v>
      </c>
      <c r="F1988" s="9" t="s">
        <v>19434</v>
      </c>
      <c r="G1988" s="9" t="s">
        <v>37</v>
      </c>
      <c r="H1988" s="52" t="s">
        <v>178</v>
      </c>
      <c r="I1988" s="52" t="s">
        <v>178</v>
      </c>
      <c r="J1988" s="144">
        <v>45904</v>
      </c>
      <c r="K1988" s="54" t="s">
        <v>37</v>
      </c>
      <c r="L1988" s="8" t="s">
        <v>181</v>
      </c>
      <c r="M1988" s="8" t="s">
        <v>37</v>
      </c>
      <c r="N1988" s="52" t="str">
        <f>IF(Follow[[#This Row],[DATAATUALIZAÇÃO]]&lt;=Follow[[#This Row],[Prev Entrega]],"Dentro do Prazo","Fora do Prazo")</f>
        <v>Dentro do Prazo</v>
      </c>
      <c r="O1988" s="52" t="str">
        <f>_xlfn.CONCAT("Olá ",PROPER(LOWER(TRIM(LEFT(SUBSTITUTE(_xlfn.XLOOKUP(Follow[[#This Row],[Id Pedido]],Controle_Pedidos[Número Pedido Cliente],Controle_Pedidos[NOME])," ",REPT(" ",100)),100)))),", 
Identificamos que o Item ",_xlfn.XLOOKUP(Follow[[#This Row],[Id Pedido]],Controle_Pedidos[Número Pedido Cliente],Controle_Pedidos[Nome Produto])," foi entregue no dia ",TEXT(Follow[[#This Row],[DATAATUALIZAÇÃO]],"dd/mm/aaaa"),", referente ao pedido Nº ",Follow[[#This Row],[Id Pedido]]," Rastreio ",IF(Follow[[#This Row],[Novo Cód de Rastreio]]="-",Follow[[#This Row],[Id Pedido]],Follow[[#This Row],[Novo Cód de Rastreio]]),", agradecemos a preferência e adoraríamos receber sua avaliação, tendo qualquer dúvida estamos à disposição.",_xlfn.IFS(Follow[[#This Row],[Loja]]="bv","
Att
Tem tudo Shop",Follow[[#This Row],[Loja]]="mei","
Att
NTA Variedades",Follow[[#This Row],[Loja]]="go","
Att
Sec Variedades"))</f>
        <v>Olá Nome, 
Identificamos que o Item Mini Liquidificador foi entregue no dia 04/09/2025, referente ao pedido Nº Pedido 2093 Rastreio Pedido 2093, agradecemos a preferência e adoraríamos receber sua avaliação, tendo qualquer dúvida estamos à disposição.
Att
Sec Variedades</v>
      </c>
    </row>
  </sheetData>
  <phoneticPr fontId="18" type="noConversion"/>
  <conditionalFormatting sqref="A12:A1988">
    <cfRule type="duplicateValues" dxfId="13" priority="1505"/>
  </conditionalFormatting>
  <conditionalFormatting sqref="B1989:B1048576 E11:F11 B11:C11 A12:A1988">
    <cfRule type="duplicateValues" dxfId="12" priority="1486"/>
  </conditionalFormatting>
  <conditionalFormatting sqref="B12:C1988">
    <cfRule type="duplicateValues" dxfId="11" priority="1507"/>
  </conditionalFormatting>
  <pageMargins left="0.7" right="0.7" top="0.75" bottom="0.75" header="0.3" footer="0.3"/>
  <ignoredErrors>
    <ignoredError sqref="M15 M25 M34 M39 M45 M51 M61 M89 M621 M796:M802 M795 M768:M769 M13:M14 M20:M24 M27:M33 M35:M38 M40:M44 M46:M48 M55 M57 M74 M84 M92 M624 M17 M16 M18:M19 M49:M50 M58:M59 M62 M66 M64:M65 M69 M67 M73 M70:M72 M76 M78:M83 M85:M88 M90:M91 M53:M54 M26 M52 M60 M68 M132:M133 M263 M650 N650:N767 N263:N620 N132:N262 N68 N60 N52 N26 N53:N54 N90:N91 N85:N88 N78:N83 N76 N77 N70:N72 N73 N67 N69 N64:N65 N66 N62 N63 N58:N59 N49:N50 N18:N19 N16 N17 N622:N649 N92:N131 N84 N74 N57 N55 N46:N48 N40:N44 N35:N38 N27:N33 N20:N24 N13:N14 N768:N794 N795 N796:N812 N621 N89 N75 N61 N56 N51 N45 N39 N34 N25 N15 N12 N813:N842 M783:M794 M804:M805 M94 M97 M99 M101 M105 M107:M108 M114 M117:M119 M121:M122 M126 M130:M131 M135:M136 M139:M146 M149:M150 M154 M156 M160:M161 M163:M164 M166:M170 M172 M174 M182 M186:M187 M189 M191 M198 M202 M206 M210:M215 M219:M221 M223 M225 M228 M235:M238 M247:M248 M253:M255 M257:M258 M261:M262 M266 M272 M274:M276 M279 M282:M286 M288 M290 M292 M294 M296:M298 M302:M304 M306 M311 M314 M316 M318 M322:M325 M327 M330 M332 M337 M340 M342 M346 M350 M353 M355:M358 M366:M367 M370 M373 M376 M382 M386 M388 M395 M397:M400 M402 M406:M409 M412:M413 M415 M418 M424 M428:M429 M431:M432 M436:M437 M441:M442 M447:M450 M452:M453 M455:M456 M459:M460 M466 M470 M473 M481:M482 M486:M490 M498:M499 M501:M502 M504:M505 M510:M511 M514 M516:M518 M523:M524 M526:M528 M530 M532:M533 M535:M536 M539 M541 M543 M545:M547 M549:M553 M556:M557 M560 M564 M566:M567 M570:M572 M577 M579:M583 M585 M587:M588 M590 M596 M598:M599 M602 M606 M609 M612:M614 M617 M626:M627 M630 M633 M638 M640 M642 M644:M645 M647 M649 M653 M655:M658 M660 M662 M664:M666 M668 M672 M674 M676:M678 M680:M691 M693:M694 M696 M699 M703 M706:M707 M710 M712:M713 M716:M717 M720:M725 M727:M735 M771:M781 M807:M809 M812 E13 E14:E131 M737:M767 E255:E262 E424:E500 E502:E526 E528:E649 E1630:E1638 E1640:E1651 E1653:E1718 E1720:E1935 E1937:E1988 E132:E252 E650:E1628 E263:E421" calculatedColumn="1"/>
  </ignoredError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0764-658C-48EA-A906-3B118EFB0799}">
  <dimension ref="A1:F304"/>
  <sheetViews>
    <sheetView workbookViewId="0">
      <selection activeCell="B18" sqref="B18"/>
    </sheetView>
  </sheetViews>
  <sheetFormatPr defaultRowHeight="15"/>
  <cols>
    <col min="1" max="1" width="19.7109375" bestFit="1" customWidth="1"/>
    <col min="2" max="2" width="14.7109375" style="9" bestFit="1" customWidth="1"/>
    <col min="3" max="3" width="60.140625" style="9" bestFit="1" customWidth="1"/>
    <col min="4" max="4" width="20.5703125" bestFit="1" customWidth="1"/>
    <col min="5" max="5" width="29.140625" bestFit="1" customWidth="1"/>
  </cols>
  <sheetData>
    <row r="1" spans="1:6">
      <c r="A1" s="146" t="s">
        <v>1018</v>
      </c>
      <c r="B1" s="146" t="s">
        <v>1023</v>
      </c>
      <c r="C1" s="155" t="s">
        <v>30</v>
      </c>
      <c r="D1" s="155" t="s">
        <v>31</v>
      </c>
      <c r="E1" s="155" t="s">
        <v>35</v>
      </c>
      <c r="F1" s="155" t="s">
        <v>1016</v>
      </c>
    </row>
    <row r="2" spans="1:6">
      <c r="A2" s="8" t="s">
        <v>13344</v>
      </c>
      <c r="B2" s="8" t="s">
        <v>1022</v>
      </c>
      <c r="C2" s="4"/>
      <c r="D2" s="9"/>
      <c r="E2" s="9">
        <v>45604</v>
      </c>
      <c r="F2" s="36" t="s">
        <v>1021</v>
      </c>
    </row>
    <row r="3" spans="1:6">
      <c r="A3" s="8" t="s">
        <v>13345</v>
      </c>
      <c r="B3" s="8" t="s">
        <v>1022</v>
      </c>
      <c r="C3" s="4"/>
      <c r="D3" s="9"/>
      <c r="E3" s="9">
        <v>45604</v>
      </c>
      <c r="F3" s="36" t="s">
        <v>1021</v>
      </c>
    </row>
    <row r="4" spans="1:6">
      <c r="A4" s="8" t="s">
        <v>13346</v>
      </c>
      <c r="B4" s="8" t="s">
        <v>1022</v>
      </c>
      <c r="C4" s="4"/>
      <c r="D4" s="9"/>
      <c r="E4" s="9">
        <v>45599</v>
      </c>
      <c r="F4" s="36" t="s">
        <v>1021</v>
      </c>
    </row>
    <row r="5" spans="1:6">
      <c r="A5" s="8" t="s">
        <v>13347</v>
      </c>
      <c r="B5" s="8" t="s">
        <v>1022</v>
      </c>
      <c r="C5" s="4"/>
      <c r="D5" s="9"/>
      <c r="E5" s="9">
        <v>45599</v>
      </c>
      <c r="F5" s="36" t="s">
        <v>1021</v>
      </c>
    </row>
    <row r="6" spans="1:6">
      <c r="A6" s="8" t="s">
        <v>13348</v>
      </c>
      <c r="B6" s="8" t="s">
        <v>1022</v>
      </c>
      <c r="C6" s="4"/>
      <c r="D6" s="9"/>
      <c r="E6" s="9">
        <v>45597</v>
      </c>
      <c r="F6" s="36" t="s">
        <v>1021</v>
      </c>
    </row>
    <row r="7" spans="1:6">
      <c r="A7" s="8" t="s">
        <v>13349</v>
      </c>
      <c r="B7" s="8" t="s">
        <v>1022</v>
      </c>
      <c r="C7" s="4"/>
      <c r="D7" s="9"/>
      <c r="E7" s="9">
        <v>45597</v>
      </c>
      <c r="F7" s="36" t="s">
        <v>1021</v>
      </c>
    </row>
    <row r="8" spans="1:6">
      <c r="A8" s="8" t="s">
        <v>13350</v>
      </c>
      <c r="B8" s="8" t="s">
        <v>1022</v>
      </c>
      <c r="C8" s="4"/>
      <c r="D8" s="9"/>
      <c r="E8" s="9">
        <v>45591</v>
      </c>
      <c r="F8" s="36" t="s">
        <v>1021</v>
      </c>
    </row>
    <row r="9" spans="1:6">
      <c r="A9" s="8" t="s">
        <v>13351</v>
      </c>
      <c r="B9" s="8" t="s">
        <v>1022</v>
      </c>
      <c r="C9" s="4"/>
      <c r="D9" s="9"/>
      <c r="E9" s="9">
        <v>45591</v>
      </c>
      <c r="F9" s="36" t="s">
        <v>1021</v>
      </c>
    </row>
    <row r="10" spans="1:6">
      <c r="A10" s="8" t="s">
        <v>13352</v>
      </c>
      <c r="B10" s="8" t="s">
        <v>1022</v>
      </c>
      <c r="C10" s="4"/>
      <c r="D10" s="9"/>
      <c r="E10" s="9">
        <v>45589</v>
      </c>
      <c r="F10" s="36" t="s">
        <v>1021</v>
      </c>
    </row>
    <row r="11" spans="1:6">
      <c r="A11" s="8" t="s">
        <v>13365</v>
      </c>
      <c r="B11" s="8" t="s">
        <v>1025</v>
      </c>
      <c r="C11" s="4" t="s">
        <v>44</v>
      </c>
      <c r="D11" s="9" t="s">
        <v>19454</v>
      </c>
      <c r="E11" s="9"/>
      <c r="F11" s="36"/>
    </row>
    <row r="12" spans="1:6">
      <c r="A12" s="8" t="s">
        <v>13377</v>
      </c>
      <c r="B12" s="8" t="s">
        <v>1025</v>
      </c>
      <c r="C12" s="4" t="s">
        <v>44</v>
      </c>
      <c r="D12" s="9" t="s">
        <v>46</v>
      </c>
      <c r="E12" s="9"/>
      <c r="F12" s="36"/>
    </row>
    <row r="13" spans="1:6">
      <c r="A13" s="8" t="s">
        <v>13397</v>
      </c>
      <c r="B13" s="8" t="s">
        <v>1025</v>
      </c>
      <c r="C13" s="4" t="s">
        <v>44</v>
      </c>
      <c r="D13" s="9" t="s">
        <v>47</v>
      </c>
      <c r="E13" s="9"/>
      <c r="F13" s="36"/>
    </row>
    <row r="14" spans="1:6">
      <c r="A14" s="8" t="s">
        <v>13422</v>
      </c>
      <c r="B14" s="8" t="s">
        <v>1025</v>
      </c>
      <c r="C14" s="4" t="s">
        <v>44</v>
      </c>
      <c r="D14" s="9" t="s">
        <v>48</v>
      </c>
      <c r="E14" s="9"/>
      <c r="F14" s="36"/>
    </row>
    <row r="15" spans="1:6">
      <c r="A15" s="8" t="s">
        <v>13438</v>
      </c>
      <c r="B15" s="8" t="s">
        <v>1025</v>
      </c>
      <c r="C15" s="4" t="s">
        <v>44</v>
      </c>
      <c r="D15" s="9" t="s">
        <v>50</v>
      </c>
      <c r="E15" s="9"/>
      <c r="F15" s="36"/>
    </row>
    <row r="16" spans="1:6">
      <c r="A16" s="8" t="s">
        <v>13448</v>
      </c>
      <c r="B16" s="8" t="s">
        <v>1022</v>
      </c>
      <c r="C16" s="4" t="s">
        <v>44</v>
      </c>
      <c r="D16" s="9" t="s">
        <v>51</v>
      </c>
      <c r="E16" s="9">
        <v>45617</v>
      </c>
      <c r="F16" s="36" t="s">
        <v>52</v>
      </c>
    </row>
    <row r="17" spans="1:6">
      <c r="A17" s="8" t="s">
        <v>13451</v>
      </c>
      <c r="B17" s="8" t="s">
        <v>1025</v>
      </c>
      <c r="C17" s="4" t="s">
        <v>44</v>
      </c>
      <c r="D17" s="9" t="s">
        <v>53</v>
      </c>
      <c r="E17" s="9"/>
      <c r="F17" s="36"/>
    </row>
    <row r="18" spans="1:6">
      <c r="A18" s="8" t="s">
        <v>13465</v>
      </c>
      <c r="B18" s="8" t="s">
        <v>1025</v>
      </c>
      <c r="C18" s="4" t="s">
        <v>44</v>
      </c>
      <c r="D18" s="9" t="s">
        <v>50</v>
      </c>
      <c r="E18" s="9"/>
      <c r="F18" s="36"/>
    </row>
    <row r="19" spans="1:6">
      <c r="A19" s="8" t="s">
        <v>13471</v>
      </c>
      <c r="B19" s="8" t="s">
        <v>1025</v>
      </c>
      <c r="C19" s="4" t="s">
        <v>44</v>
      </c>
      <c r="D19" s="9" t="s">
        <v>56</v>
      </c>
      <c r="E19" s="9"/>
      <c r="F19" s="36"/>
    </row>
    <row r="20" spans="1:6">
      <c r="A20" s="8" t="s">
        <v>13474</v>
      </c>
      <c r="B20" s="8" t="s">
        <v>1022</v>
      </c>
      <c r="C20" s="4" t="s">
        <v>44</v>
      </c>
      <c r="D20" s="9" t="s">
        <v>57</v>
      </c>
      <c r="E20" s="9">
        <v>45625</v>
      </c>
      <c r="F20" s="36" t="s">
        <v>1021</v>
      </c>
    </row>
    <row r="21" spans="1:6">
      <c r="A21" s="8" t="s">
        <v>13476</v>
      </c>
      <c r="B21" s="8" t="s">
        <v>1022</v>
      </c>
      <c r="C21" s="4" t="s">
        <v>44</v>
      </c>
      <c r="D21" s="9" t="s">
        <v>58</v>
      </c>
      <c r="E21" s="9">
        <v>45613</v>
      </c>
      <c r="F21" s="36" t="s">
        <v>1021</v>
      </c>
    </row>
    <row r="22" spans="1:6">
      <c r="A22" s="8" t="s">
        <v>13477</v>
      </c>
      <c r="B22" s="8" t="s">
        <v>1022</v>
      </c>
      <c r="C22" s="4" t="s">
        <v>44</v>
      </c>
      <c r="D22" s="9" t="s">
        <v>48</v>
      </c>
      <c r="E22" s="9">
        <v>45621</v>
      </c>
      <c r="F22" s="36" t="s">
        <v>52</v>
      </c>
    </row>
    <row r="23" spans="1:6">
      <c r="A23" s="8" t="s">
        <v>13479</v>
      </c>
      <c r="B23" s="8" t="s">
        <v>1022</v>
      </c>
      <c r="C23" s="4" t="s">
        <v>44</v>
      </c>
      <c r="D23" s="9" t="s">
        <v>57</v>
      </c>
      <c r="E23" s="9">
        <v>45625</v>
      </c>
      <c r="F23" s="36" t="s">
        <v>1021</v>
      </c>
    </row>
    <row r="24" spans="1:6">
      <c r="A24" s="8" t="s">
        <v>13483</v>
      </c>
      <c r="B24" s="8" t="s">
        <v>1022</v>
      </c>
      <c r="C24" s="4" t="s">
        <v>44</v>
      </c>
      <c r="D24" s="9" t="s">
        <v>60</v>
      </c>
      <c r="E24" s="9">
        <v>45616</v>
      </c>
      <c r="F24" s="36" t="s">
        <v>1021</v>
      </c>
    </row>
    <row r="25" spans="1:6">
      <c r="A25" s="8" t="s">
        <v>13484</v>
      </c>
      <c r="B25" s="8" t="s">
        <v>1022</v>
      </c>
      <c r="C25" s="4"/>
      <c r="D25" s="9"/>
      <c r="E25" s="9">
        <v>45642</v>
      </c>
      <c r="F25" s="36" t="s">
        <v>52</v>
      </c>
    </row>
    <row r="26" spans="1:6">
      <c r="A26" s="8" t="s">
        <v>13496</v>
      </c>
      <c r="B26" s="8" t="s">
        <v>1022</v>
      </c>
      <c r="C26" s="4" t="s">
        <v>44</v>
      </c>
      <c r="D26" s="9" t="s">
        <v>63</v>
      </c>
      <c r="E26" s="9">
        <v>45618</v>
      </c>
      <c r="F26" s="36" t="s">
        <v>1021</v>
      </c>
    </row>
    <row r="27" spans="1:6">
      <c r="A27" s="8" t="s">
        <v>13522</v>
      </c>
      <c r="B27" s="8" t="s">
        <v>1022</v>
      </c>
      <c r="C27" s="4" t="s">
        <v>44</v>
      </c>
      <c r="D27" s="9" t="s">
        <v>64</v>
      </c>
      <c r="E27" s="9">
        <v>45609</v>
      </c>
      <c r="F27" s="36" t="s">
        <v>1021</v>
      </c>
    </row>
    <row r="28" spans="1:6">
      <c r="A28" s="8" t="s">
        <v>13527</v>
      </c>
      <c r="B28" s="8" t="s">
        <v>1022</v>
      </c>
      <c r="C28" s="4" t="s">
        <v>44</v>
      </c>
      <c r="D28" s="9" t="s">
        <v>57</v>
      </c>
      <c r="E28" s="9">
        <v>45635</v>
      </c>
      <c r="F28" s="36" t="s">
        <v>1021</v>
      </c>
    </row>
    <row r="29" spans="1:6">
      <c r="A29" s="8" t="s">
        <v>13528</v>
      </c>
      <c r="B29" s="8" t="s">
        <v>1025</v>
      </c>
      <c r="C29" s="4" t="s">
        <v>44</v>
      </c>
      <c r="D29" s="9" t="s">
        <v>65</v>
      </c>
      <c r="E29" s="9"/>
      <c r="F29" s="36"/>
    </row>
    <row r="30" spans="1:6">
      <c r="A30" s="8" t="s">
        <v>13534</v>
      </c>
      <c r="B30" s="8" t="s">
        <v>1025</v>
      </c>
      <c r="C30" s="4" t="s">
        <v>44</v>
      </c>
      <c r="D30" s="9" t="s">
        <v>66</v>
      </c>
      <c r="E30" s="9"/>
      <c r="F30" s="36"/>
    </row>
    <row r="31" spans="1:6">
      <c r="A31" s="8" t="s">
        <v>13574</v>
      </c>
      <c r="B31" s="8" t="s">
        <v>1025</v>
      </c>
      <c r="C31" s="4" t="s">
        <v>44</v>
      </c>
      <c r="D31" s="9" t="s">
        <v>46</v>
      </c>
      <c r="E31" s="9"/>
      <c r="F31" s="36"/>
    </row>
    <row r="32" spans="1:6">
      <c r="A32" s="8" t="s">
        <v>13604</v>
      </c>
      <c r="B32" s="8" t="s">
        <v>1022</v>
      </c>
      <c r="C32" s="4" t="s">
        <v>44</v>
      </c>
      <c r="D32" s="9" t="s">
        <v>69</v>
      </c>
      <c r="E32" s="9">
        <v>45622</v>
      </c>
      <c r="F32" s="36" t="s">
        <v>1021</v>
      </c>
    </row>
    <row r="33" spans="1:6">
      <c r="A33" s="8" t="s">
        <v>13617</v>
      </c>
      <c r="B33" s="8" t="s">
        <v>1022</v>
      </c>
      <c r="C33" s="4" t="s">
        <v>44</v>
      </c>
      <c r="D33" s="9" t="s">
        <v>70</v>
      </c>
      <c r="E33" s="9">
        <v>45622</v>
      </c>
      <c r="F33" s="36" t="s">
        <v>1021</v>
      </c>
    </row>
    <row r="34" spans="1:6">
      <c r="A34" s="8" t="s">
        <v>13637</v>
      </c>
      <c r="B34" s="8" t="s">
        <v>1022</v>
      </c>
      <c r="C34" s="4" t="s">
        <v>44</v>
      </c>
      <c r="D34" s="9" t="s">
        <v>71</v>
      </c>
      <c r="E34" s="9">
        <v>45645</v>
      </c>
      <c r="F34" s="36" t="s">
        <v>1021</v>
      </c>
    </row>
    <row r="35" spans="1:6">
      <c r="A35" s="8" t="s">
        <v>13640</v>
      </c>
      <c r="B35" s="8" t="s">
        <v>1022</v>
      </c>
      <c r="C35" s="4" t="s">
        <v>44</v>
      </c>
      <c r="D35" s="9" t="s">
        <v>60</v>
      </c>
      <c r="E35" s="9">
        <v>45635</v>
      </c>
      <c r="F35" s="36" t="s">
        <v>52</v>
      </c>
    </row>
    <row r="36" spans="1:6">
      <c r="A36" s="8" t="s">
        <v>13664</v>
      </c>
      <c r="B36" s="8" t="s">
        <v>1022</v>
      </c>
      <c r="C36" s="4" t="s">
        <v>44</v>
      </c>
      <c r="D36" s="9" t="s">
        <v>19461</v>
      </c>
      <c r="E36" s="9">
        <v>45645</v>
      </c>
      <c r="F36" s="36" t="s">
        <v>52</v>
      </c>
    </row>
    <row r="37" spans="1:6">
      <c r="A37" s="8" t="s">
        <v>13673</v>
      </c>
      <c r="B37" s="8" t="s">
        <v>1025</v>
      </c>
      <c r="C37" s="4" t="s">
        <v>44</v>
      </c>
      <c r="D37" s="9" t="s">
        <v>72</v>
      </c>
      <c r="E37" s="9"/>
      <c r="F37" s="36"/>
    </row>
    <row r="38" spans="1:6">
      <c r="A38" s="8" t="s">
        <v>13673</v>
      </c>
      <c r="B38" s="8" t="s">
        <v>1022</v>
      </c>
      <c r="C38" s="4" t="s">
        <v>44</v>
      </c>
      <c r="D38" s="9" t="s">
        <v>72</v>
      </c>
      <c r="E38" s="9">
        <v>45625</v>
      </c>
      <c r="F38" s="36" t="s">
        <v>52</v>
      </c>
    </row>
    <row r="39" spans="1:6">
      <c r="A39" s="8" t="s">
        <v>13686</v>
      </c>
      <c r="B39" s="8" t="s">
        <v>1022</v>
      </c>
      <c r="C39" s="4" t="s">
        <v>74</v>
      </c>
      <c r="D39" s="9" t="s">
        <v>19455</v>
      </c>
      <c r="E39" s="9">
        <v>45666</v>
      </c>
      <c r="F39" s="36" t="s">
        <v>52</v>
      </c>
    </row>
    <row r="40" spans="1:6">
      <c r="A40" s="8" t="s">
        <v>13691</v>
      </c>
      <c r="B40" s="8" t="s">
        <v>1022</v>
      </c>
      <c r="C40" s="4" t="s">
        <v>44</v>
      </c>
      <c r="D40" s="9" t="s">
        <v>19460</v>
      </c>
      <c r="E40" s="9">
        <v>45645</v>
      </c>
      <c r="F40" s="36" t="s">
        <v>52</v>
      </c>
    </row>
    <row r="41" spans="1:6">
      <c r="A41" s="8" t="s">
        <v>13693</v>
      </c>
      <c r="B41" s="8" t="s">
        <v>1022</v>
      </c>
      <c r="C41" s="4" t="s">
        <v>44</v>
      </c>
      <c r="D41" s="9" t="s">
        <v>19458</v>
      </c>
      <c r="E41" s="9">
        <v>45639</v>
      </c>
      <c r="F41" s="36" t="s">
        <v>52</v>
      </c>
    </row>
    <row r="42" spans="1:6">
      <c r="A42" s="8" t="s">
        <v>13702</v>
      </c>
      <c r="B42" s="8" t="s">
        <v>1022</v>
      </c>
      <c r="C42" s="4"/>
      <c r="D42" s="9"/>
      <c r="E42" s="9">
        <v>45610</v>
      </c>
      <c r="F42" s="36" t="s">
        <v>1021</v>
      </c>
    </row>
    <row r="43" spans="1:6">
      <c r="A43" s="8" t="s">
        <v>13703</v>
      </c>
      <c r="B43" s="8" t="s">
        <v>1022</v>
      </c>
      <c r="C43" s="4"/>
      <c r="D43" s="9"/>
      <c r="E43" s="9">
        <v>45610</v>
      </c>
      <c r="F43" s="36" t="s">
        <v>1021</v>
      </c>
    </row>
    <row r="44" spans="1:6">
      <c r="A44" s="8" t="s">
        <v>13704</v>
      </c>
      <c r="B44" s="8" t="s">
        <v>1022</v>
      </c>
      <c r="C44" s="4"/>
      <c r="D44" s="9"/>
      <c r="E44" s="9">
        <v>45610</v>
      </c>
      <c r="F44" s="36" t="s">
        <v>1021</v>
      </c>
    </row>
    <row r="45" spans="1:6">
      <c r="A45" s="8" t="s">
        <v>13705</v>
      </c>
      <c r="B45" s="8" t="s">
        <v>1022</v>
      </c>
      <c r="C45" s="4"/>
      <c r="D45" s="9"/>
      <c r="E45" s="9">
        <v>45613</v>
      </c>
      <c r="F45" s="36" t="s">
        <v>1021</v>
      </c>
    </row>
    <row r="46" spans="1:6">
      <c r="A46" s="8" t="s">
        <v>13706</v>
      </c>
      <c r="B46" s="8" t="s">
        <v>1022</v>
      </c>
      <c r="C46" s="4"/>
      <c r="D46" s="9" t="s">
        <v>77</v>
      </c>
      <c r="E46" s="9">
        <v>45679</v>
      </c>
      <c r="F46" s="36" t="s">
        <v>1021</v>
      </c>
    </row>
    <row r="47" spans="1:6">
      <c r="A47" s="8" t="s">
        <v>13707</v>
      </c>
      <c r="B47" s="8" t="s">
        <v>1022</v>
      </c>
      <c r="C47" s="4" t="s">
        <v>44</v>
      </c>
      <c r="D47" s="9" t="s">
        <v>78</v>
      </c>
      <c r="E47" s="9">
        <v>45635</v>
      </c>
      <c r="F47" s="36" t="s">
        <v>52</v>
      </c>
    </row>
    <row r="48" spans="1:6">
      <c r="A48" s="8" t="s">
        <v>13719</v>
      </c>
      <c r="B48" s="8" t="s">
        <v>1025</v>
      </c>
      <c r="C48" s="4" t="s">
        <v>44</v>
      </c>
      <c r="D48" s="9" t="s">
        <v>79</v>
      </c>
      <c r="E48" s="9"/>
      <c r="F48" s="36"/>
    </row>
    <row r="49" spans="1:6">
      <c r="A49" s="8" t="s">
        <v>13727</v>
      </c>
      <c r="B49" s="8" t="s">
        <v>1022</v>
      </c>
      <c r="C49" s="4" t="s">
        <v>44</v>
      </c>
      <c r="D49" s="9" t="s">
        <v>19457</v>
      </c>
      <c r="E49" s="9">
        <v>45624</v>
      </c>
      <c r="F49" s="36" t="s">
        <v>52</v>
      </c>
    </row>
    <row r="50" spans="1:6">
      <c r="A50" s="8" t="s">
        <v>13734</v>
      </c>
      <c r="B50" s="8" t="s">
        <v>1022</v>
      </c>
      <c r="C50" s="4" t="s">
        <v>44</v>
      </c>
      <c r="D50" s="9" t="s">
        <v>80</v>
      </c>
      <c r="E50" s="9">
        <v>45660</v>
      </c>
      <c r="F50" s="36" t="s">
        <v>1021</v>
      </c>
    </row>
    <row r="51" spans="1:6">
      <c r="A51" s="8" t="s">
        <v>13748</v>
      </c>
      <c r="B51" s="8" t="s">
        <v>1022</v>
      </c>
      <c r="C51" s="4"/>
      <c r="D51" s="9"/>
      <c r="E51" s="9">
        <v>45616</v>
      </c>
      <c r="F51" s="36" t="s">
        <v>1021</v>
      </c>
    </row>
    <row r="52" spans="1:6">
      <c r="A52" s="8" t="s">
        <v>13758</v>
      </c>
      <c r="B52" s="8" t="s">
        <v>1025</v>
      </c>
      <c r="C52" s="4" t="s">
        <v>44</v>
      </c>
      <c r="D52" s="9" t="s">
        <v>84</v>
      </c>
      <c r="E52" s="9"/>
      <c r="F52" s="36"/>
    </row>
    <row r="53" spans="1:6">
      <c r="A53" s="8" t="s">
        <v>13758</v>
      </c>
      <c r="B53" s="8" t="s">
        <v>1022</v>
      </c>
      <c r="C53" s="4" t="s">
        <v>44</v>
      </c>
      <c r="D53" s="9" t="s">
        <v>84</v>
      </c>
      <c r="E53" s="9">
        <v>45629</v>
      </c>
      <c r="F53" s="36" t="s">
        <v>1021</v>
      </c>
    </row>
    <row r="54" spans="1:6">
      <c r="A54" s="8" t="s">
        <v>13766</v>
      </c>
      <c r="B54" s="8" t="s">
        <v>1022</v>
      </c>
      <c r="C54" s="4"/>
      <c r="D54" s="9"/>
      <c r="E54" s="9">
        <v>45617</v>
      </c>
      <c r="F54" s="36" t="s">
        <v>1021</v>
      </c>
    </row>
    <row r="55" spans="1:6">
      <c r="A55" s="8" t="s">
        <v>13767</v>
      </c>
      <c r="B55" s="8" t="s">
        <v>1022</v>
      </c>
      <c r="C55" s="4"/>
      <c r="D55" s="9"/>
      <c r="E55" s="9">
        <v>45617</v>
      </c>
      <c r="F55" s="36" t="s">
        <v>1021</v>
      </c>
    </row>
    <row r="56" spans="1:6">
      <c r="A56" s="8" t="s">
        <v>13769</v>
      </c>
      <c r="B56" s="8" t="s">
        <v>1022</v>
      </c>
      <c r="C56" s="4"/>
      <c r="D56" s="9"/>
      <c r="E56" s="9">
        <v>45623</v>
      </c>
      <c r="F56" s="36" t="s">
        <v>1021</v>
      </c>
    </row>
    <row r="57" spans="1:6">
      <c r="A57" s="8" t="s">
        <v>13769</v>
      </c>
      <c r="B57" s="8" t="s">
        <v>1022</v>
      </c>
      <c r="C57" s="4"/>
      <c r="D57" s="9"/>
      <c r="E57" s="9">
        <v>45623</v>
      </c>
      <c r="F57" s="36" t="s">
        <v>1021</v>
      </c>
    </row>
    <row r="58" spans="1:6">
      <c r="A58" s="8" t="s">
        <v>13770</v>
      </c>
      <c r="B58" s="8" t="s">
        <v>1022</v>
      </c>
      <c r="C58" s="4"/>
      <c r="D58" s="9"/>
      <c r="E58" s="9">
        <v>45621</v>
      </c>
      <c r="F58" s="36" t="s">
        <v>1021</v>
      </c>
    </row>
    <row r="59" spans="1:6">
      <c r="A59" s="8" t="s">
        <v>13771</v>
      </c>
      <c r="B59" s="8" t="s">
        <v>1022</v>
      </c>
      <c r="C59" s="4"/>
      <c r="D59" s="9"/>
      <c r="E59" s="9">
        <v>45618</v>
      </c>
      <c r="F59" s="36" t="s">
        <v>1021</v>
      </c>
    </row>
    <row r="60" spans="1:6">
      <c r="A60" s="8" t="s">
        <v>13772</v>
      </c>
      <c r="B60" s="8" t="s">
        <v>1022</v>
      </c>
      <c r="C60" s="4"/>
      <c r="D60" s="9"/>
      <c r="E60" s="9">
        <v>45618</v>
      </c>
      <c r="F60" s="36" t="s">
        <v>1021</v>
      </c>
    </row>
    <row r="61" spans="1:6">
      <c r="A61" s="8" t="s">
        <v>13780</v>
      </c>
      <c r="B61" s="8" t="s">
        <v>1022</v>
      </c>
      <c r="C61" s="4"/>
      <c r="D61" s="9"/>
      <c r="E61" s="9">
        <v>45622</v>
      </c>
      <c r="F61" s="36" t="s">
        <v>52</v>
      </c>
    </row>
    <row r="62" spans="1:6">
      <c r="A62" s="8" t="s">
        <v>13786</v>
      </c>
      <c r="B62" s="8" t="s">
        <v>1025</v>
      </c>
      <c r="C62" s="4" t="s">
        <v>44</v>
      </c>
      <c r="D62" s="9"/>
      <c r="E62" s="9"/>
      <c r="F62" s="36"/>
    </row>
    <row r="63" spans="1:6">
      <c r="A63" s="8" t="s">
        <v>13786</v>
      </c>
      <c r="B63" s="8" t="s">
        <v>1025</v>
      </c>
      <c r="C63" s="4" t="s">
        <v>44</v>
      </c>
      <c r="D63" s="9"/>
      <c r="E63" s="9"/>
      <c r="F63" s="36"/>
    </row>
    <row r="64" spans="1:6">
      <c r="A64" s="8" t="s">
        <v>13794</v>
      </c>
      <c r="B64" s="8" t="s">
        <v>1022</v>
      </c>
      <c r="C64" s="4"/>
      <c r="D64" s="9"/>
      <c r="E64" s="9">
        <v>45625</v>
      </c>
      <c r="F64" s="36" t="s">
        <v>1021</v>
      </c>
    </row>
    <row r="65" spans="1:6">
      <c r="A65" s="8" t="s">
        <v>13795</v>
      </c>
      <c r="B65" s="8" t="s">
        <v>1025</v>
      </c>
      <c r="C65" s="4" t="s">
        <v>44</v>
      </c>
      <c r="D65" s="9" t="s">
        <v>86</v>
      </c>
      <c r="E65" s="9"/>
      <c r="F65" s="36"/>
    </row>
    <row r="66" spans="1:6">
      <c r="A66" s="8" t="s">
        <v>13810</v>
      </c>
      <c r="B66" s="8" t="s">
        <v>1022</v>
      </c>
      <c r="C66" s="4" t="s">
        <v>44</v>
      </c>
      <c r="D66" s="9" t="s">
        <v>60</v>
      </c>
      <c r="E66" s="9">
        <v>45658</v>
      </c>
      <c r="F66" s="36" t="s">
        <v>52</v>
      </c>
    </row>
    <row r="67" spans="1:6">
      <c r="A67" s="8" t="s">
        <v>13820</v>
      </c>
      <c r="B67" s="8" t="s">
        <v>1025</v>
      </c>
      <c r="C67" s="4" t="s">
        <v>44</v>
      </c>
      <c r="D67" s="9" t="s">
        <v>19459</v>
      </c>
      <c r="E67" s="9"/>
      <c r="F67" s="36"/>
    </row>
    <row r="68" spans="1:6">
      <c r="A68" s="8" t="s">
        <v>13827</v>
      </c>
      <c r="B68" s="8" t="s">
        <v>1022</v>
      </c>
      <c r="C68" s="4" t="s">
        <v>44</v>
      </c>
      <c r="D68" s="9"/>
      <c r="E68" s="9">
        <v>45641</v>
      </c>
      <c r="F68" s="36" t="s">
        <v>52</v>
      </c>
    </row>
    <row r="69" spans="1:6">
      <c r="A69" s="8" t="s">
        <v>13852</v>
      </c>
      <c r="B69" s="8" t="s">
        <v>1022</v>
      </c>
      <c r="C69" s="4"/>
      <c r="D69" s="9"/>
      <c r="E69" s="9">
        <v>45632</v>
      </c>
      <c r="F69" s="36" t="s">
        <v>52</v>
      </c>
    </row>
    <row r="70" spans="1:6">
      <c r="A70" s="8" t="s">
        <v>13853</v>
      </c>
      <c r="B70" s="8" t="s">
        <v>1022</v>
      </c>
      <c r="C70" s="4" t="s">
        <v>44</v>
      </c>
      <c r="D70" s="9" t="s">
        <v>87</v>
      </c>
      <c r="E70" s="9">
        <v>45663</v>
      </c>
      <c r="F70" s="36" t="s">
        <v>52</v>
      </c>
    </row>
    <row r="71" spans="1:6">
      <c r="A71" s="8" t="s">
        <v>13890</v>
      </c>
      <c r="B71" s="8" t="s">
        <v>1022</v>
      </c>
      <c r="C71" s="4" t="s">
        <v>44</v>
      </c>
      <c r="D71" s="9" t="s">
        <v>88</v>
      </c>
      <c r="E71" s="9">
        <v>45667</v>
      </c>
      <c r="F71" s="36" t="s">
        <v>52</v>
      </c>
    </row>
    <row r="72" spans="1:6">
      <c r="A72" s="8" t="s">
        <v>13898</v>
      </c>
      <c r="B72" s="8" t="s">
        <v>1022</v>
      </c>
      <c r="C72" s="4"/>
      <c r="D72" s="9"/>
      <c r="E72" s="9">
        <v>45681</v>
      </c>
      <c r="F72" s="36" t="s">
        <v>52</v>
      </c>
    </row>
    <row r="73" spans="1:6">
      <c r="A73" s="8" t="s">
        <v>13903</v>
      </c>
      <c r="B73" s="8" t="s">
        <v>1022</v>
      </c>
      <c r="C73" s="4" t="s">
        <v>74</v>
      </c>
      <c r="D73" s="9" t="s">
        <v>88</v>
      </c>
      <c r="E73" s="9">
        <v>45670</v>
      </c>
      <c r="F73" s="36" t="s">
        <v>52</v>
      </c>
    </row>
    <row r="74" spans="1:6">
      <c r="A74" s="8" t="s">
        <v>13913</v>
      </c>
      <c r="B74" s="8" t="s">
        <v>1025</v>
      </c>
      <c r="C74" s="4" t="s">
        <v>44</v>
      </c>
      <c r="D74" s="9" t="s">
        <v>90</v>
      </c>
      <c r="E74" s="9"/>
      <c r="F74" s="36"/>
    </row>
    <row r="75" spans="1:6">
      <c r="A75" s="8" t="s">
        <v>13915</v>
      </c>
      <c r="B75" s="8" t="s">
        <v>1025</v>
      </c>
      <c r="C75" s="4"/>
      <c r="D75" s="9" t="s">
        <v>19462</v>
      </c>
      <c r="E75" s="9"/>
      <c r="F75" s="36"/>
    </row>
    <row r="76" spans="1:6">
      <c r="A76" s="8" t="s">
        <v>13917</v>
      </c>
      <c r="B76" s="8" t="s">
        <v>1022</v>
      </c>
      <c r="C76" s="4" t="s">
        <v>44</v>
      </c>
      <c r="D76" s="9" t="s">
        <v>91</v>
      </c>
      <c r="E76" s="9">
        <v>45672</v>
      </c>
      <c r="F76" s="36" t="s">
        <v>1021</v>
      </c>
    </row>
    <row r="77" spans="1:6">
      <c r="A77" s="8" t="s">
        <v>13923</v>
      </c>
      <c r="B77" s="8" t="s">
        <v>1025</v>
      </c>
      <c r="C77" s="4"/>
      <c r="D77" s="9" t="s">
        <v>92</v>
      </c>
      <c r="E77" s="9"/>
      <c r="F77" s="36"/>
    </row>
    <row r="78" spans="1:6">
      <c r="A78" s="8" t="s">
        <v>13947</v>
      </c>
      <c r="B78" s="8" t="s">
        <v>1022</v>
      </c>
      <c r="C78" s="4"/>
      <c r="D78" s="9"/>
      <c r="E78" s="9">
        <v>45656</v>
      </c>
      <c r="F78" s="36" t="s">
        <v>1021</v>
      </c>
    </row>
    <row r="79" spans="1:6">
      <c r="A79" s="8" t="s">
        <v>13947</v>
      </c>
      <c r="B79" s="8" t="s">
        <v>1022</v>
      </c>
      <c r="C79" s="4"/>
      <c r="D79" s="9"/>
      <c r="E79" s="9">
        <v>45656</v>
      </c>
      <c r="F79" s="36" t="s">
        <v>1021</v>
      </c>
    </row>
    <row r="80" spans="1:6">
      <c r="A80" s="8" t="s">
        <v>13953</v>
      </c>
      <c r="B80" s="8" t="s">
        <v>1022</v>
      </c>
      <c r="C80" s="4"/>
      <c r="D80" s="9"/>
      <c r="E80" s="9">
        <v>45653</v>
      </c>
      <c r="F80" s="36" t="s">
        <v>1021</v>
      </c>
    </row>
    <row r="81" spans="1:6">
      <c r="A81" s="8" t="s">
        <v>13968</v>
      </c>
      <c r="B81" s="8" t="s">
        <v>1022</v>
      </c>
      <c r="C81" s="4"/>
      <c r="D81" s="9"/>
      <c r="E81" s="9">
        <v>45653</v>
      </c>
      <c r="F81" s="36" t="s">
        <v>1021</v>
      </c>
    </row>
    <row r="82" spans="1:6">
      <c r="A82" s="8" t="s">
        <v>13979</v>
      </c>
      <c r="B82" s="8" t="s">
        <v>1025</v>
      </c>
      <c r="C82" s="4" t="s">
        <v>44</v>
      </c>
      <c r="D82" s="9"/>
      <c r="E82" s="9"/>
      <c r="F82" s="36"/>
    </row>
    <row r="83" spans="1:6">
      <c r="A83" s="8" t="s">
        <v>13984</v>
      </c>
      <c r="B83" s="8" t="s">
        <v>1022</v>
      </c>
      <c r="C83" s="4"/>
      <c r="D83" s="9"/>
      <c r="E83" s="9">
        <v>45656</v>
      </c>
      <c r="F83" s="36" t="s">
        <v>1021</v>
      </c>
    </row>
    <row r="84" spans="1:6">
      <c r="A84" s="8" t="s">
        <v>13988</v>
      </c>
      <c r="B84" s="8" t="s">
        <v>1022</v>
      </c>
      <c r="C84" s="4" t="s">
        <v>44</v>
      </c>
      <c r="D84" s="9"/>
      <c r="E84" s="9">
        <v>45680</v>
      </c>
      <c r="F84" s="36" t="s">
        <v>52</v>
      </c>
    </row>
    <row r="85" spans="1:6">
      <c r="A85" s="8" t="s">
        <v>13997</v>
      </c>
      <c r="B85" s="8" t="s">
        <v>1022</v>
      </c>
      <c r="C85" s="4"/>
      <c r="D85" s="9"/>
      <c r="E85" s="9">
        <v>45659</v>
      </c>
      <c r="F85" s="36" t="s">
        <v>1021</v>
      </c>
    </row>
    <row r="86" spans="1:6">
      <c r="A86" s="8" t="s">
        <v>14000</v>
      </c>
      <c r="B86" s="8" t="s">
        <v>1025</v>
      </c>
      <c r="C86" s="4" t="s">
        <v>44</v>
      </c>
      <c r="D86" s="9" t="s">
        <v>1024</v>
      </c>
      <c r="E86" s="9"/>
      <c r="F86" s="36"/>
    </row>
    <row r="87" spans="1:6">
      <c r="A87" s="8" t="s">
        <v>14004</v>
      </c>
      <c r="B87" s="8" t="s">
        <v>1022</v>
      </c>
      <c r="C87" s="4" t="s">
        <v>74</v>
      </c>
      <c r="D87" s="9" t="s">
        <v>19464</v>
      </c>
      <c r="E87" s="9">
        <v>45670</v>
      </c>
      <c r="F87" s="36" t="s">
        <v>1021</v>
      </c>
    </row>
    <row r="88" spans="1:6">
      <c r="A88" s="8" t="s">
        <v>14032</v>
      </c>
      <c r="B88" s="8" t="s">
        <v>1025</v>
      </c>
      <c r="C88" s="4"/>
      <c r="D88" s="9" t="s">
        <v>19462</v>
      </c>
      <c r="E88" s="9"/>
      <c r="F88" s="36"/>
    </row>
    <row r="89" spans="1:6">
      <c r="A89" s="8" t="s">
        <v>14038</v>
      </c>
      <c r="B89" s="8" t="s">
        <v>1025</v>
      </c>
      <c r="C89" s="4" t="s">
        <v>44</v>
      </c>
      <c r="D89" s="9" t="s">
        <v>19456</v>
      </c>
      <c r="E89" s="9"/>
      <c r="F89" s="36"/>
    </row>
    <row r="90" spans="1:6">
      <c r="A90" s="8" t="s">
        <v>14042</v>
      </c>
      <c r="B90" s="8" t="s">
        <v>1022</v>
      </c>
      <c r="C90" s="4"/>
      <c r="D90" s="9"/>
      <c r="E90" s="9">
        <v>45663</v>
      </c>
      <c r="F90" s="36" t="s">
        <v>1021</v>
      </c>
    </row>
    <row r="91" spans="1:6">
      <c r="A91" s="8" t="s">
        <v>14047</v>
      </c>
      <c r="B91" s="8" t="s">
        <v>1025</v>
      </c>
      <c r="C91" s="4" t="s">
        <v>44</v>
      </c>
      <c r="D91" s="9" t="s">
        <v>95</v>
      </c>
      <c r="E91" s="9"/>
      <c r="F91" s="36"/>
    </row>
    <row r="92" spans="1:6">
      <c r="A92" s="8" t="s">
        <v>14050</v>
      </c>
      <c r="B92" s="8" t="s">
        <v>1025</v>
      </c>
      <c r="C92" s="4"/>
      <c r="D92" s="9" t="s">
        <v>96</v>
      </c>
      <c r="E92" s="9"/>
      <c r="F92" s="36"/>
    </row>
    <row r="93" spans="1:6">
      <c r="A93" s="8" t="s">
        <v>14061</v>
      </c>
      <c r="B93" s="8" t="s">
        <v>1025</v>
      </c>
      <c r="C93" s="4" t="s">
        <v>44</v>
      </c>
      <c r="D93" s="9" t="s">
        <v>97</v>
      </c>
      <c r="E93" s="9"/>
      <c r="F93" s="36"/>
    </row>
    <row r="94" spans="1:6">
      <c r="A94" s="8" t="s">
        <v>14067</v>
      </c>
      <c r="B94" s="8" t="s">
        <v>1022</v>
      </c>
      <c r="C94" s="4"/>
      <c r="D94" s="9"/>
      <c r="E94" s="9">
        <v>45665</v>
      </c>
      <c r="F94" s="36" t="s">
        <v>1021</v>
      </c>
    </row>
    <row r="95" spans="1:6">
      <c r="A95" s="8" t="s">
        <v>14069</v>
      </c>
      <c r="B95" s="8" t="s">
        <v>1022</v>
      </c>
      <c r="C95" s="4"/>
      <c r="D95" s="9"/>
      <c r="E95" s="9">
        <v>45667</v>
      </c>
      <c r="F95" s="36" t="s">
        <v>1021</v>
      </c>
    </row>
    <row r="96" spans="1:6">
      <c r="A96" s="8" t="s">
        <v>14081</v>
      </c>
      <c r="B96" s="8" t="s">
        <v>1025</v>
      </c>
      <c r="C96" s="4" t="s">
        <v>44</v>
      </c>
      <c r="D96" s="9" t="s">
        <v>99</v>
      </c>
      <c r="E96" s="9"/>
      <c r="F96" s="36"/>
    </row>
    <row r="97" spans="1:6">
      <c r="A97" s="8" t="s">
        <v>14093</v>
      </c>
      <c r="B97" s="8" t="s">
        <v>1022</v>
      </c>
      <c r="C97" s="4" t="s">
        <v>44</v>
      </c>
      <c r="D97" s="9" t="s">
        <v>19463</v>
      </c>
      <c r="E97" s="9">
        <v>45699</v>
      </c>
      <c r="F97" s="36" t="s">
        <v>52</v>
      </c>
    </row>
    <row r="98" spans="1:6">
      <c r="A98" s="8" t="s">
        <v>14096</v>
      </c>
      <c r="B98" s="8" t="s">
        <v>1022</v>
      </c>
      <c r="C98" s="4" t="s">
        <v>44</v>
      </c>
      <c r="D98" s="9" t="s">
        <v>100</v>
      </c>
      <c r="E98" s="9">
        <v>45700</v>
      </c>
      <c r="F98" s="36" t="s">
        <v>52</v>
      </c>
    </row>
    <row r="99" spans="1:6">
      <c r="A99" s="8" t="s">
        <v>14105</v>
      </c>
      <c r="B99" s="8" t="s">
        <v>1022</v>
      </c>
      <c r="C99" s="4"/>
      <c r="D99" s="9"/>
      <c r="E99" s="9">
        <v>45692</v>
      </c>
      <c r="F99" s="36" t="s">
        <v>52</v>
      </c>
    </row>
    <row r="100" spans="1:6">
      <c r="A100" s="8" t="s">
        <v>14106</v>
      </c>
      <c r="B100" s="8" t="s">
        <v>1027</v>
      </c>
      <c r="C100" s="4" t="s">
        <v>44</v>
      </c>
      <c r="D100" s="9" t="s">
        <v>100</v>
      </c>
      <c r="E100" s="9"/>
      <c r="F100" s="36" t="s">
        <v>52</v>
      </c>
    </row>
    <row r="101" spans="1:6">
      <c r="A101" s="8" t="s">
        <v>14110</v>
      </c>
      <c r="B101" s="8" t="s">
        <v>1022</v>
      </c>
      <c r="C101" s="4"/>
      <c r="D101" s="9"/>
      <c r="E101" s="9">
        <v>45693</v>
      </c>
      <c r="F101" s="36" t="s">
        <v>1021</v>
      </c>
    </row>
    <row r="102" spans="1:6">
      <c r="A102" s="8" t="s">
        <v>14114</v>
      </c>
      <c r="B102" s="8" t="s">
        <v>1025</v>
      </c>
      <c r="C102" s="4" t="s">
        <v>44</v>
      </c>
      <c r="D102" s="9" t="s">
        <v>101</v>
      </c>
      <c r="E102" s="9"/>
      <c r="F102" s="36"/>
    </row>
    <row r="103" spans="1:6">
      <c r="A103" s="8" t="s">
        <v>14144</v>
      </c>
      <c r="B103" s="8" t="s">
        <v>1025</v>
      </c>
      <c r="C103" s="4" t="s">
        <v>44</v>
      </c>
      <c r="D103" s="9" t="s">
        <v>102</v>
      </c>
      <c r="E103" s="46"/>
      <c r="F103" s="36"/>
    </row>
    <row r="104" spans="1:6">
      <c r="A104" s="8" t="s">
        <v>14148</v>
      </c>
      <c r="B104" s="8" t="s">
        <v>1022</v>
      </c>
      <c r="C104" s="4" t="s">
        <v>103</v>
      </c>
      <c r="D104" s="9" t="s">
        <v>104</v>
      </c>
      <c r="E104" s="46">
        <v>45723</v>
      </c>
      <c r="F104" s="36" t="s">
        <v>1021</v>
      </c>
    </row>
    <row r="105" spans="1:6">
      <c r="A105" s="8" t="s">
        <v>14155</v>
      </c>
      <c r="B105" s="8" t="s">
        <v>1022</v>
      </c>
      <c r="C105" s="4" t="s">
        <v>105</v>
      </c>
      <c r="D105" s="9" t="s">
        <v>100</v>
      </c>
      <c r="E105" s="46">
        <v>45709</v>
      </c>
      <c r="F105" s="36" t="s">
        <v>1021</v>
      </c>
    </row>
    <row r="106" spans="1:6">
      <c r="A106" s="8" t="s">
        <v>14156</v>
      </c>
      <c r="B106" s="8" t="s">
        <v>1027</v>
      </c>
      <c r="C106" s="4" t="s">
        <v>44</v>
      </c>
      <c r="D106" s="9" t="s">
        <v>102</v>
      </c>
      <c r="E106" s="46"/>
      <c r="F106" s="36" t="s">
        <v>52</v>
      </c>
    </row>
    <row r="107" spans="1:6">
      <c r="A107" s="8" t="s">
        <v>14159</v>
      </c>
      <c r="B107" s="8" t="s">
        <v>1022</v>
      </c>
      <c r="C107" s="4" t="s">
        <v>44</v>
      </c>
      <c r="D107" s="9" t="s">
        <v>106</v>
      </c>
      <c r="E107" s="46">
        <v>45697</v>
      </c>
      <c r="F107" s="36" t="s">
        <v>52</v>
      </c>
    </row>
    <row r="108" spans="1:6">
      <c r="A108" s="8" t="s">
        <v>14163</v>
      </c>
      <c r="B108" s="8" t="s">
        <v>1022</v>
      </c>
      <c r="C108" s="4" t="s">
        <v>105</v>
      </c>
      <c r="D108" s="9" t="s">
        <v>19465</v>
      </c>
      <c r="E108" s="46">
        <v>45729</v>
      </c>
      <c r="F108" s="36" t="s">
        <v>1021</v>
      </c>
    </row>
    <row r="109" spans="1:6">
      <c r="A109" s="8" t="s">
        <v>14164</v>
      </c>
      <c r="B109" s="8" t="s">
        <v>1022</v>
      </c>
      <c r="C109" s="4" t="s">
        <v>105</v>
      </c>
      <c r="D109" s="9" t="s">
        <v>100</v>
      </c>
      <c r="E109" s="46">
        <v>45716</v>
      </c>
      <c r="F109" s="36" t="s">
        <v>1021</v>
      </c>
    </row>
    <row r="110" spans="1:6">
      <c r="A110" s="8" t="s">
        <v>14177</v>
      </c>
      <c r="B110" s="8" t="s">
        <v>1022</v>
      </c>
      <c r="C110" s="4" t="s">
        <v>44</v>
      </c>
      <c r="D110" s="9" t="s">
        <v>19454</v>
      </c>
      <c r="E110" s="46">
        <v>45708</v>
      </c>
      <c r="F110" s="36" t="s">
        <v>52</v>
      </c>
    </row>
    <row r="111" spans="1:6">
      <c r="A111" s="8" t="s">
        <v>14183</v>
      </c>
      <c r="B111" s="8" t="s">
        <v>1022</v>
      </c>
      <c r="C111" s="4" t="s">
        <v>44</v>
      </c>
      <c r="D111" s="9" t="s">
        <v>107</v>
      </c>
      <c r="E111" s="46">
        <v>45706</v>
      </c>
      <c r="F111" s="36" t="s">
        <v>1021</v>
      </c>
    </row>
    <row r="112" spans="1:6">
      <c r="A112" s="8" t="s">
        <v>14185</v>
      </c>
      <c r="B112" s="8" t="s">
        <v>1025</v>
      </c>
      <c r="C112" s="4" t="s">
        <v>44</v>
      </c>
      <c r="D112" s="9" t="s">
        <v>101</v>
      </c>
      <c r="E112" s="46"/>
      <c r="F112" s="36"/>
    </row>
    <row r="113" spans="1:6">
      <c r="A113" s="8" t="s">
        <v>14198</v>
      </c>
      <c r="B113" s="8" t="s">
        <v>1022</v>
      </c>
      <c r="C113" s="4" t="s">
        <v>44</v>
      </c>
      <c r="D113" s="9" t="s">
        <v>104</v>
      </c>
      <c r="E113" s="46">
        <v>45716</v>
      </c>
      <c r="F113" s="36" t="s">
        <v>1021</v>
      </c>
    </row>
    <row r="114" spans="1:6">
      <c r="A114" s="8" t="s">
        <v>14235</v>
      </c>
      <c r="B114" s="8" t="s">
        <v>1022</v>
      </c>
      <c r="C114" s="4" t="s">
        <v>44</v>
      </c>
      <c r="D114" s="9" t="s">
        <v>112</v>
      </c>
      <c r="E114" s="46">
        <v>45716</v>
      </c>
      <c r="F114" s="36" t="s">
        <v>52</v>
      </c>
    </row>
    <row r="115" spans="1:6">
      <c r="A115" s="8" t="s">
        <v>14258</v>
      </c>
      <c r="B115" s="8" t="s">
        <v>1022</v>
      </c>
      <c r="C115" s="4" t="s">
        <v>44</v>
      </c>
      <c r="D115" s="9" t="s">
        <v>104</v>
      </c>
      <c r="E115" s="46">
        <v>45728</v>
      </c>
      <c r="F115" s="36" t="s">
        <v>1021</v>
      </c>
    </row>
    <row r="116" spans="1:6">
      <c r="A116" s="8" t="s">
        <v>14272</v>
      </c>
      <c r="B116" s="8" t="s">
        <v>1022</v>
      </c>
      <c r="C116" s="4" t="s">
        <v>44</v>
      </c>
      <c r="D116" s="9" t="s">
        <v>19462</v>
      </c>
      <c r="E116" s="46">
        <v>45722</v>
      </c>
      <c r="F116" s="36" t="s">
        <v>52</v>
      </c>
    </row>
    <row r="117" spans="1:6">
      <c r="A117" s="8" t="s">
        <v>14305</v>
      </c>
      <c r="B117" s="8" t="s">
        <v>1022</v>
      </c>
      <c r="C117" s="4" t="s">
        <v>44</v>
      </c>
      <c r="D117" s="9" t="s">
        <v>102</v>
      </c>
      <c r="E117" s="46">
        <v>45709</v>
      </c>
      <c r="F117" s="36" t="s">
        <v>52</v>
      </c>
    </row>
    <row r="118" spans="1:6">
      <c r="A118" s="8" t="s">
        <v>14308</v>
      </c>
      <c r="B118" s="8" t="s">
        <v>1025</v>
      </c>
      <c r="C118" s="4" t="s">
        <v>44</v>
      </c>
      <c r="D118" s="9" t="s">
        <v>102</v>
      </c>
      <c r="E118" s="46"/>
      <c r="F118" s="36"/>
    </row>
    <row r="119" spans="1:6">
      <c r="A119" s="8" t="s">
        <v>14324</v>
      </c>
      <c r="B119" s="8" t="s">
        <v>1022</v>
      </c>
      <c r="C119" s="4"/>
      <c r="D119" s="9"/>
      <c r="E119" s="46">
        <v>45737</v>
      </c>
      <c r="F119" s="36" t="s">
        <v>1021</v>
      </c>
    </row>
    <row r="120" spans="1:6">
      <c r="A120" s="8" t="s">
        <v>14345</v>
      </c>
      <c r="B120" s="8" t="s">
        <v>1022</v>
      </c>
      <c r="C120" s="4" t="s">
        <v>117</v>
      </c>
      <c r="D120" s="9" t="s">
        <v>19462</v>
      </c>
      <c r="E120" s="46">
        <v>45723</v>
      </c>
      <c r="F120" s="36" t="s">
        <v>52</v>
      </c>
    </row>
    <row r="121" spans="1:6">
      <c r="A121" s="8" t="s">
        <v>14355</v>
      </c>
      <c r="B121" s="8" t="s">
        <v>1022</v>
      </c>
      <c r="C121" s="4" t="s">
        <v>44</v>
      </c>
      <c r="D121" s="9" t="s">
        <v>19462</v>
      </c>
      <c r="E121" s="46">
        <v>45736</v>
      </c>
      <c r="F121" s="36" t="s">
        <v>52</v>
      </c>
    </row>
    <row r="122" spans="1:6">
      <c r="A122" s="8" t="s">
        <v>14365</v>
      </c>
      <c r="B122" s="8" t="s">
        <v>1022</v>
      </c>
      <c r="C122" s="4"/>
      <c r="D122" s="9"/>
      <c r="E122" s="46">
        <v>45734</v>
      </c>
      <c r="F122" s="36" t="s">
        <v>1021</v>
      </c>
    </row>
    <row r="123" spans="1:6">
      <c r="A123" s="8" t="s">
        <v>14367</v>
      </c>
      <c r="B123" s="8" t="s">
        <v>1022</v>
      </c>
      <c r="C123" s="4"/>
      <c r="D123" s="9"/>
      <c r="E123" s="46">
        <v>45742</v>
      </c>
      <c r="F123" s="36" t="s">
        <v>1021</v>
      </c>
    </row>
    <row r="124" spans="1:6">
      <c r="A124" s="8" t="s">
        <v>14379</v>
      </c>
      <c r="B124" s="8" t="s">
        <v>1022</v>
      </c>
      <c r="C124" s="4"/>
      <c r="D124" s="9"/>
      <c r="E124" s="46">
        <v>45747</v>
      </c>
      <c r="F124" s="36" t="s">
        <v>1021</v>
      </c>
    </row>
    <row r="125" spans="1:6">
      <c r="A125" s="8" t="s">
        <v>14401</v>
      </c>
      <c r="B125" s="8" t="s">
        <v>1025</v>
      </c>
      <c r="C125" s="4" t="s">
        <v>44</v>
      </c>
      <c r="D125" s="9" t="s">
        <v>104</v>
      </c>
      <c r="E125" s="46"/>
      <c r="F125" s="36"/>
    </row>
    <row r="126" spans="1:6">
      <c r="A126" s="8" t="s">
        <v>14403</v>
      </c>
      <c r="B126" s="8" t="s">
        <v>1022</v>
      </c>
      <c r="C126" s="4"/>
      <c r="D126" s="9" t="s">
        <v>19465</v>
      </c>
      <c r="E126" s="46">
        <v>45748</v>
      </c>
      <c r="F126" s="36" t="s">
        <v>1021</v>
      </c>
    </row>
    <row r="127" spans="1:6">
      <c r="A127" s="8" t="s">
        <v>14405</v>
      </c>
      <c r="B127" s="8" t="s">
        <v>1022</v>
      </c>
      <c r="C127" s="4"/>
      <c r="D127" s="9"/>
      <c r="E127" s="46">
        <v>45740</v>
      </c>
      <c r="F127" s="36" t="s">
        <v>1021</v>
      </c>
    </row>
    <row r="128" spans="1:6">
      <c r="A128" s="8" t="s">
        <v>14412</v>
      </c>
      <c r="B128" s="8" t="s">
        <v>1022</v>
      </c>
      <c r="C128" s="4"/>
      <c r="D128" s="9"/>
      <c r="E128" s="46">
        <v>45749</v>
      </c>
      <c r="F128" s="36" t="s">
        <v>1021</v>
      </c>
    </row>
    <row r="129" spans="1:6">
      <c r="A129" s="8" t="s">
        <v>14416</v>
      </c>
      <c r="B129" s="8" t="s">
        <v>1022</v>
      </c>
      <c r="C129" s="4"/>
      <c r="D129" s="9"/>
      <c r="E129" s="46">
        <v>45768</v>
      </c>
      <c r="F129" s="36" t="s">
        <v>1021</v>
      </c>
    </row>
    <row r="130" spans="1:6">
      <c r="A130" s="8" t="s">
        <v>14421</v>
      </c>
      <c r="B130" s="8" t="s">
        <v>1022</v>
      </c>
      <c r="C130" s="4"/>
      <c r="D130" s="9" t="s">
        <v>19465</v>
      </c>
      <c r="E130" s="46">
        <v>45740</v>
      </c>
      <c r="F130" s="36" t="s">
        <v>1021</v>
      </c>
    </row>
    <row r="131" spans="1:6">
      <c r="A131" s="8" t="s">
        <v>14436</v>
      </c>
      <c r="B131" s="8" t="s">
        <v>1022</v>
      </c>
      <c r="C131" s="4"/>
      <c r="D131" s="9"/>
      <c r="E131" s="46">
        <v>45762</v>
      </c>
      <c r="F131" s="36" t="s">
        <v>1021</v>
      </c>
    </row>
    <row r="132" spans="1:6">
      <c r="A132" s="8" t="s">
        <v>14441</v>
      </c>
      <c r="B132" s="8" t="s">
        <v>1022</v>
      </c>
      <c r="C132" s="4"/>
      <c r="D132" s="9"/>
      <c r="E132" s="46">
        <v>45751</v>
      </c>
      <c r="F132" s="36" t="s">
        <v>1021</v>
      </c>
    </row>
    <row r="133" spans="1:6">
      <c r="A133" s="8" t="s">
        <v>14442</v>
      </c>
      <c r="B133" s="8" t="s">
        <v>1022</v>
      </c>
      <c r="C133" s="4"/>
      <c r="D133" s="9"/>
      <c r="E133" s="46">
        <v>45754</v>
      </c>
      <c r="F133" s="36" t="s">
        <v>1021</v>
      </c>
    </row>
    <row r="134" spans="1:6">
      <c r="A134" s="8" t="s">
        <v>14448</v>
      </c>
      <c r="B134" s="8" t="s">
        <v>1022</v>
      </c>
      <c r="C134" s="4"/>
      <c r="D134" s="9"/>
      <c r="E134" s="46">
        <v>45726</v>
      </c>
      <c r="F134" s="36" t="s">
        <v>1021</v>
      </c>
    </row>
    <row r="135" spans="1:6">
      <c r="A135" s="8" t="s">
        <v>14450</v>
      </c>
      <c r="B135" s="8" t="s">
        <v>1022</v>
      </c>
      <c r="C135" s="4"/>
      <c r="D135" s="9"/>
      <c r="E135" s="46">
        <v>45747</v>
      </c>
      <c r="F135" s="36" t="s">
        <v>1021</v>
      </c>
    </row>
    <row r="136" spans="1:6">
      <c r="A136" s="8" t="s">
        <v>14453</v>
      </c>
      <c r="B136" s="8" t="s">
        <v>1027</v>
      </c>
      <c r="C136" s="4"/>
      <c r="D136" s="9"/>
      <c r="E136" s="46"/>
      <c r="F136" s="36" t="s">
        <v>52</v>
      </c>
    </row>
    <row r="137" spans="1:6">
      <c r="A137" s="8" t="s">
        <v>14471</v>
      </c>
      <c r="B137" s="8" t="s">
        <v>1022</v>
      </c>
      <c r="C137" s="4"/>
      <c r="D137" s="9"/>
      <c r="E137" s="46">
        <v>45738</v>
      </c>
      <c r="F137" s="36" t="s">
        <v>1021</v>
      </c>
    </row>
    <row r="138" spans="1:6">
      <c r="A138" s="8" t="s">
        <v>14482</v>
      </c>
      <c r="B138" s="8" t="s">
        <v>1022</v>
      </c>
      <c r="C138" s="4"/>
      <c r="D138" s="9"/>
      <c r="E138" s="46">
        <v>45728</v>
      </c>
      <c r="F138" s="36" t="s">
        <v>1021</v>
      </c>
    </row>
    <row r="139" spans="1:6">
      <c r="A139" s="8" t="s">
        <v>14498</v>
      </c>
      <c r="B139" s="8" t="s">
        <v>1022</v>
      </c>
      <c r="C139" s="4"/>
      <c r="D139" s="9" t="s">
        <v>19465</v>
      </c>
      <c r="E139" s="46">
        <v>45755</v>
      </c>
      <c r="F139" s="36" t="s">
        <v>1021</v>
      </c>
    </row>
    <row r="140" spans="1:6">
      <c r="A140" s="8" t="s">
        <v>14505</v>
      </c>
      <c r="B140" s="8" t="s">
        <v>1025</v>
      </c>
      <c r="C140" s="4" t="s">
        <v>44</v>
      </c>
      <c r="D140" s="9"/>
      <c r="E140" s="46"/>
      <c r="F140" s="36"/>
    </row>
    <row r="141" spans="1:6">
      <c r="A141" s="8" t="s">
        <v>14510</v>
      </c>
      <c r="B141" s="8" t="s">
        <v>1022</v>
      </c>
      <c r="C141" s="4"/>
      <c r="D141" s="9"/>
      <c r="E141" s="132">
        <v>45737</v>
      </c>
      <c r="F141" s="35" t="s">
        <v>1021</v>
      </c>
    </row>
    <row r="142" spans="1:6">
      <c r="A142" s="8" t="s">
        <v>14517</v>
      </c>
      <c r="B142" s="8" t="s">
        <v>1022</v>
      </c>
      <c r="C142" s="4"/>
      <c r="D142" s="9"/>
      <c r="E142" s="46">
        <v>45757</v>
      </c>
      <c r="F142" s="36" t="s">
        <v>1021</v>
      </c>
    </row>
    <row r="143" spans="1:6">
      <c r="A143" s="8" t="s">
        <v>14520</v>
      </c>
      <c r="B143" s="8" t="s">
        <v>1022</v>
      </c>
      <c r="C143" s="4"/>
      <c r="D143" s="9"/>
      <c r="E143" s="132">
        <v>45741</v>
      </c>
      <c r="F143" s="35" t="s">
        <v>1021</v>
      </c>
    </row>
    <row r="144" spans="1:6">
      <c r="A144" s="8" t="s">
        <v>14522</v>
      </c>
      <c r="B144" s="8" t="s">
        <v>1022</v>
      </c>
      <c r="C144" s="4"/>
      <c r="D144" s="9"/>
      <c r="E144" s="132">
        <v>45737</v>
      </c>
      <c r="F144" s="35" t="s">
        <v>1021</v>
      </c>
    </row>
    <row r="145" spans="1:6">
      <c r="A145" s="8" t="s">
        <v>14524</v>
      </c>
      <c r="B145" s="8" t="s">
        <v>1022</v>
      </c>
      <c r="C145" s="4"/>
      <c r="D145" s="9"/>
      <c r="E145" s="132">
        <v>45735</v>
      </c>
      <c r="F145" s="35" t="s">
        <v>1021</v>
      </c>
    </row>
    <row r="146" spans="1:6">
      <c r="A146" s="8" t="s">
        <v>14527</v>
      </c>
      <c r="B146" s="8" t="s">
        <v>1022</v>
      </c>
      <c r="C146" s="4"/>
      <c r="D146" s="9"/>
      <c r="E146" s="132">
        <v>45741</v>
      </c>
      <c r="F146" s="35" t="s">
        <v>1021</v>
      </c>
    </row>
    <row r="147" spans="1:6">
      <c r="A147" s="8" t="s">
        <v>14528</v>
      </c>
      <c r="B147" s="8" t="s">
        <v>1022</v>
      </c>
      <c r="C147" s="4"/>
      <c r="D147" s="9"/>
      <c r="E147" s="132">
        <v>45741</v>
      </c>
      <c r="F147" s="35" t="s">
        <v>1021</v>
      </c>
    </row>
    <row r="148" spans="1:6">
      <c r="A148" s="8" t="s">
        <v>14530</v>
      </c>
      <c r="B148" s="8" t="s">
        <v>1022</v>
      </c>
      <c r="C148" s="4"/>
      <c r="D148" s="9"/>
      <c r="E148" s="132">
        <v>45742</v>
      </c>
      <c r="F148" s="35" t="s">
        <v>1021</v>
      </c>
    </row>
    <row r="149" spans="1:6">
      <c r="A149" s="8" t="s">
        <v>14531</v>
      </c>
      <c r="B149" s="8" t="s">
        <v>1022</v>
      </c>
      <c r="C149" s="4"/>
      <c r="D149" s="9"/>
      <c r="E149" s="132">
        <v>45742</v>
      </c>
      <c r="F149" s="35" t="s">
        <v>1021</v>
      </c>
    </row>
    <row r="150" spans="1:6">
      <c r="A150" s="8" t="s">
        <v>14537</v>
      </c>
      <c r="B150" s="8" t="s">
        <v>1022</v>
      </c>
      <c r="C150" s="4"/>
      <c r="D150" s="9"/>
      <c r="E150" s="132">
        <v>45742</v>
      </c>
      <c r="F150" s="35" t="s">
        <v>1021</v>
      </c>
    </row>
    <row r="151" spans="1:6">
      <c r="A151" s="8" t="s">
        <v>14540</v>
      </c>
      <c r="B151" s="8" t="s">
        <v>1022</v>
      </c>
      <c r="C151" s="4"/>
      <c r="D151" s="9"/>
      <c r="E151" s="132">
        <v>45743</v>
      </c>
      <c r="F151" s="35" t="s">
        <v>1021</v>
      </c>
    </row>
    <row r="152" spans="1:6">
      <c r="A152" s="8" t="s">
        <v>14542</v>
      </c>
      <c r="B152" s="8" t="s">
        <v>1022</v>
      </c>
      <c r="C152" s="4"/>
      <c r="D152" s="9"/>
      <c r="E152" s="132">
        <v>45743</v>
      </c>
      <c r="F152" s="35" t="s">
        <v>1021</v>
      </c>
    </row>
    <row r="153" spans="1:6">
      <c r="A153" s="8" t="s">
        <v>14543</v>
      </c>
      <c r="B153" s="8" t="s">
        <v>1022</v>
      </c>
      <c r="C153" s="4"/>
      <c r="D153" s="9"/>
      <c r="E153" s="132">
        <v>45747</v>
      </c>
      <c r="F153" s="35" t="s">
        <v>1021</v>
      </c>
    </row>
    <row r="154" spans="1:6">
      <c r="A154" s="8" t="s">
        <v>14544</v>
      </c>
      <c r="B154" s="8" t="s">
        <v>1022</v>
      </c>
      <c r="C154" s="4"/>
      <c r="D154" s="9"/>
      <c r="E154" s="132">
        <v>45735</v>
      </c>
      <c r="F154" s="35" t="s">
        <v>1021</v>
      </c>
    </row>
    <row r="155" spans="1:6">
      <c r="A155" s="8" t="s">
        <v>14546</v>
      </c>
      <c r="B155" s="8" t="s">
        <v>1022</v>
      </c>
      <c r="C155" s="4"/>
      <c r="D155" s="9"/>
      <c r="E155" s="132">
        <v>45735</v>
      </c>
      <c r="F155" s="35" t="s">
        <v>1021</v>
      </c>
    </row>
    <row r="156" spans="1:6">
      <c r="A156" s="8" t="s">
        <v>14547</v>
      </c>
      <c r="B156" s="8" t="s">
        <v>1022</v>
      </c>
      <c r="C156" s="4"/>
      <c r="D156" s="9"/>
      <c r="E156" s="132">
        <v>45737</v>
      </c>
      <c r="F156" s="35" t="s">
        <v>1021</v>
      </c>
    </row>
    <row r="157" spans="1:6">
      <c r="A157" s="8" t="s">
        <v>14549</v>
      </c>
      <c r="B157" s="8" t="s">
        <v>1022</v>
      </c>
      <c r="C157" s="4"/>
      <c r="D157" s="9"/>
      <c r="E157" s="132">
        <v>45738</v>
      </c>
      <c r="F157" s="35" t="s">
        <v>1021</v>
      </c>
    </row>
    <row r="158" spans="1:6">
      <c r="A158" s="8" t="s">
        <v>14550</v>
      </c>
      <c r="B158" s="8" t="s">
        <v>1022</v>
      </c>
      <c r="C158" s="4"/>
      <c r="D158" s="9"/>
      <c r="E158" s="132">
        <v>45738</v>
      </c>
      <c r="F158" s="35" t="s">
        <v>1021</v>
      </c>
    </row>
    <row r="159" spans="1:6">
      <c r="A159" s="8" t="s">
        <v>14553</v>
      </c>
      <c r="B159" s="8" t="s">
        <v>1022</v>
      </c>
      <c r="C159" s="4"/>
      <c r="D159" s="9"/>
      <c r="E159" s="132">
        <v>45743</v>
      </c>
      <c r="F159" s="35" t="s">
        <v>1021</v>
      </c>
    </row>
    <row r="160" spans="1:6">
      <c r="A160" s="8" t="s">
        <v>14570</v>
      </c>
      <c r="B160" s="8" t="s">
        <v>1022</v>
      </c>
      <c r="C160" s="4"/>
      <c r="D160" s="9"/>
      <c r="E160" s="46">
        <v>45770</v>
      </c>
      <c r="F160" s="36" t="s">
        <v>1021</v>
      </c>
    </row>
    <row r="161" spans="1:6">
      <c r="A161" s="8" t="s">
        <v>14577</v>
      </c>
      <c r="B161" s="8" t="s">
        <v>1022</v>
      </c>
      <c r="C161" s="4"/>
      <c r="D161" s="9" t="s">
        <v>19465</v>
      </c>
      <c r="E161" s="132">
        <v>45765</v>
      </c>
      <c r="F161" s="35" t="s">
        <v>1021</v>
      </c>
    </row>
    <row r="162" spans="1:6">
      <c r="A162" s="8" t="s">
        <v>14579</v>
      </c>
      <c r="B162" s="8" t="s">
        <v>1022</v>
      </c>
      <c r="C162" s="4"/>
      <c r="D162" s="9"/>
      <c r="E162" s="132">
        <v>45744</v>
      </c>
      <c r="F162" s="35" t="s">
        <v>1021</v>
      </c>
    </row>
    <row r="163" spans="1:6">
      <c r="A163" s="8" t="s">
        <v>14580</v>
      </c>
      <c r="B163" s="8" t="s">
        <v>1022</v>
      </c>
      <c r="C163" s="4"/>
      <c r="D163" s="9"/>
      <c r="E163" s="132">
        <v>45749</v>
      </c>
      <c r="F163" s="35" t="s">
        <v>1021</v>
      </c>
    </row>
    <row r="164" spans="1:6">
      <c r="A164" s="8" t="s">
        <v>14581</v>
      </c>
      <c r="B164" s="8" t="s">
        <v>1022</v>
      </c>
      <c r="C164" s="4"/>
      <c r="D164" s="9"/>
      <c r="E164" s="132">
        <v>45750</v>
      </c>
      <c r="F164" s="35" t="s">
        <v>1021</v>
      </c>
    </row>
    <row r="165" spans="1:6">
      <c r="A165" s="8" t="s">
        <v>14582</v>
      </c>
      <c r="B165" s="8" t="s">
        <v>1022</v>
      </c>
      <c r="C165" s="4"/>
      <c r="D165" s="9"/>
      <c r="E165" s="132">
        <v>45750</v>
      </c>
      <c r="F165" s="35" t="s">
        <v>1021</v>
      </c>
    </row>
    <row r="166" spans="1:6">
      <c r="A166" s="8" t="s">
        <v>14584</v>
      </c>
      <c r="B166" s="8" t="s">
        <v>1022</v>
      </c>
      <c r="C166" s="4"/>
      <c r="D166" s="9"/>
      <c r="E166" s="46">
        <v>45783</v>
      </c>
      <c r="F166" s="36" t="s">
        <v>1021</v>
      </c>
    </row>
    <row r="167" spans="1:6">
      <c r="A167" s="8" t="s">
        <v>14587</v>
      </c>
      <c r="B167" s="8" t="s">
        <v>1022</v>
      </c>
      <c r="C167" s="4"/>
      <c r="D167" s="9"/>
      <c r="E167" s="132">
        <v>45750</v>
      </c>
      <c r="F167" s="35" t="s">
        <v>1021</v>
      </c>
    </row>
    <row r="168" spans="1:6">
      <c r="A168" s="8" t="s">
        <v>14590</v>
      </c>
      <c r="B168" s="8" t="s">
        <v>1022</v>
      </c>
      <c r="C168" s="4"/>
      <c r="D168" s="9"/>
      <c r="E168" s="46">
        <v>45749</v>
      </c>
      <c r="F168" s="36" t="s">
        <v>52</v>
      </c>
    </row>
    <row r="169" spans="1:6">
      <c r="A169" s="8" t="s">
        <v>14591</v>
      </c>
      <c r="B169" s="8" t="s">
        <v>1022</v>
      </c>
      <c r="C169" s="4"/>
      <c r="D169" s="9"/>
      <c r="E169" s="132">
        <v>45751</v>
      </c>
      <c r="F169" s="35" t="s">
        <v>1021</v>
      </c>
    </row>
    <row r="170" spans="1:6">
      <c r="A170" s="8" t="s">
        <v>14593</v>
      </c>
      <c r="B170" s="8" t="s">
        <v>1022</v>
      </c>
      <c r="C170" s="4"/>
      <c r="D170" s="9"/>
      <c r="E170" s="132">
        <v>45751</v>
      </c>
      <c r="F170" s="35" t="s">
        <v>1021</v>
      </c>
    </row>
    <row r="171" spans="1:6">
      <c r="A171" s="8" t="s">
        <v>14594</v>
      </c>
      <c r="B171" s="8" t="s">
        <v>1022</v>
      </c>
      <c r="C171" s="4"/>
      <c r="D171" s="9"/>
      <c r="E171" s="132">
        <v>45738</v>
      </c>
      <c r="F171" s="35" t="s">
        <v>1021</v>
      </c>
    </row>
    <row r="172" spans="1:6">
      <c r="A172" s="8" t="s">
        <v>14596</v>
      </c>
      <c r="B172" s="8" t="s">
        <v>1022</v>
      </c>
      <c r="C172" s="4"/>
      <c r="D172" s="9"/>
      <c r="E172" s="132">
        <v>45754</v>
      </c>
      <c r="F172" s="35" t="s">
        <v>1021</v>
      </c>
    </row>
    <row r="173" spans="1:6">
      <c r="A173" s="8" t="s">
        <v>14597</v>
      </c>
      <c r="B173" s="8" t="s">
        <v>1022</v>
      </c>
      <c r="C173" s="4"/>
      <c r="D173" s="9"/>
      <c r="E173" s="132">
        <v>45744</v>
      </c>
      <c r="F173" s="35" t="s">
        <v>1021</v>
      </c>
    </row>
    <row r="174" spans="1:6">
      <c r="A174" s="8" t="s">
        <v>14603</v>
      </c>
      <c r="B174" s="8" t="s">
        <v>1022</v>
      </c>
      <c r="C174" s="4"/>
      <c r="D174" s="9"/>
      <c r="E174" s="132">
        <v>45754</v>
      </c>
      <c r="F174" s="35" t="s">
        <v>1021</v>
      </c>
    </row>
    <row r="175" spans="1:6">
      <c r="A175" s="8" t="s">
        <v>14604</v>
      </c>
      <c r="B175" s="8" t="s">
        <v>1022</v>
      </c>
      <c r="C175" s="4"/>
      <c r="D175" s="9"/>
      <c r="E175" s="46">
        <v>45758</v>
      </c>
      <c r="F175" s="36" t="s">
        <v>1021</v>
      </c>
    </row>
    <row r="176" spans="1:6">
      <c r="A176" s="8" t="s">
        <v>14612</v>
      </c>
      <c r="B176" s="8" t="s">
        <v>1022</v>
      </c>
      <c r="C176" s="4"/>
      <c r="D176" s="9"/>
      <c r="E176" s="132">
        <v>45737</v>
      </c>
      <c r="F176" s="35" t="s">
        <v>1021</v>
      </c>
    </row>
    <row r="177" spans="1:6">
      <c r="A177" s="8" t="s">
        <v>14613</v>
      </c>
      <c r="B177" s="8" t="s">
        <v>1022</v>
      </c>
      <c r="C177" s="4"/>
      <c r="D177" s="9"/>
      <c r="E177" s="132">
        <v>45738</v>
      </c>
      <c r="F177" s="35" t="s">
        <v>1021</v>
      </c>
    </row>
    <row r="178" spans="1:6">
      <c r="A178" s="8" t="s">
        <v>14629</v>
      </c>
      <c r="B178" s="8" t="s">
        <v>1022</v>
      </c>
      <c r="C178" s="4"/>
      <c r="D178" s="9"/>
      <c r="E178" s="46">
        <v>45760</v>
      </c>
      <c r="F178" s="36" t="s">
        <v>1021</v>
      </c>
    </row>
    <row r="179" spans="1:6">
      <c r="A179" s="8" t="s">
        <v>14662</v>
      </c>
      <c r="B179" s="8" t="s">
        <v>1022</v>
      </c>
      <c r="C179" s="4"/>
      <c r="D179" s="9"/>
      <c r="E179" s="46">
        <v>45775</v>
      </c>
      <c r="F179" s="36" t="s">
        <v>1021</v>
      </c>
    </row>
    <row r="180" spans="1:6">
      <c r="A180" s="8" t="s">
        <v>14677</v>
      </c>
      <c r="B180" s="8" t="s">
        <v>1022</v>
      </c>
      <c r="C180" s="4" t="s">
        <v>136</v>
      </c>
      <c r="D180" s="9"/>
      <c r="E180" s="46">
        <v>45779</v>
      </c>
      <c r="F180" s="36" t="s">
        <v>1021</v>
      </c>
    </row>
    <row r="181" spans="1:6">
      <c r="A181" s="8" t="s">
        <v>14685</v>
      </c>
      <c r="B181" s="8" t="s">
        <v>1022</v>
      </c>
      <c r="C181" s="4"/>
      <c r="D181" s="9"/>
      <c r="E181" s="132">
        <v>45742</v>
      </c>
      <c r="F181" s="35" t="s">
        <v>1021</v>
      </c>
    </row>
    <row r="182" spans="1:6">
      <c r="A182" s="8" t="s">
        <v>14696</v>
      </c>
      <c r="B182" s="8" t="s">
        <v>1022</v>
      </c>
      <c r="C182" s="4"/>
      <c r="D182" s="9"/>
      <c r="E182" s="46">
        <v>45796</v>
      </c>
      <c r="F182" s="36" t="s">
        <v>1021</v>
      </c>
    </row>
    <row r="183" spans="1:6">
      <c r="A183" s="8" t="s">
        <v>14708</v>
      </c>
      <c r="B183" s="8" t="s">
        <v>1022</v>
      </c>
      <c r="C183" s="4"/>
      <c r="D183" s="9"/>
      <c r="E183" s="132">
        <v>45751</v>
      </c>
      <c r="F183" s="35" t="s">
        <v>1021</v>
      </c>
    </row>
    <row r="184" spans="1:6">
      <c r="A184" s="8" t="s">
        <v>14729</v>
      </c>
      <c r="B184" s="8" t="s">
        <v>1022</v>
      </c>
      <c r="C184" s="4"/>
      <c r="D184" s="9"/>
      <c r="E184" s="46">
        <v>45751</v>
      </c>
      <c r="F184" s="36" t="s">
        <v>1021</v>
      </c>
    </row>
    <row r="185" spans="1:6">
      <c r="A185" s="8" t="s">
        <v>14769</v>
      </c>
      <c r="B185" s="8" t="s">
        <v>1022</v>
      </c>
      <c r="C185" s="4"/>
      <c r="D185" s="9"/>
      <c r="E185" s="46">
        <v>45757</v>
      </c>
      <c r="F185" s="36" t="s">
        <v>1021</v>
      </c>
    </row>
    <row r="186" spans="1:6">
      <c r="A186" s="8" t="s">
        <v>14770</v>
      </c>
      <c r="B186" s="8" t="s">
        <v>1022</v>
      </c>
      <c r="C186" s="4" t="s">
        <v>44</v>
      </c>
      <c r="D186" s="9" t="s">
        <v>19465</v>
      </c>
      <c r="E186" s="46">
        <v>45779</v>
      </c>
      <c r="F186" s="36" t="s">
        <v>1021</v>
      </c>
    </row>
    <row r="187" spans="1:6">
      <c r="A187" s="8" t="s">
        <v>14772</v>
      </c>
      <c r="B187" s="8" t="s">
        <v>1025</v>
      </c>
      <c r="C187" s="4" t="s">
        <v>44</v>
      </c>
      <c r="D187" s="9"/>
      <c r="E187" s="46"/>
      <c r="F187" s="36"/>
    </row>
    <row r="188" spans="1:6">
      <c r="A188" s="8" t="s">
        <v>14781</v>
      </c>
      <c r="B188" s="8" t="s">
        <v>1022</v>
      </c>
      <c r="C188" s="4"/>
      <c r="D188" s="9"/>
      <c r="E188" s="46">
        <v>45791</v>
      </c>
      <c r="F188" s="36" t="s">
        <v>1021</v>
      </c>
    </row>
    <row r="189" spans="1:6">
      <c r="A189" s="8" t="s">
        <v>14792</v>
      </c>
      <c r="B189" s="8" t="s">
        <v>1022</v>
      </c>
      <c r="C189" s="4"/>
      <c r="D189" s="9"/>
      <c r="E189" s="46">
        <v>45793</v>
      </c>
      <c r="F189" s="36" t="s">
        <v>1021</v>
      </c>
    </row>
    <row r="190" spans="1:6">
      <c r="A190" s="8" t="s">
        <v>14798</v>
      </c>
      <c r="B190" s="8" t="s">
        <v>1022</v>
      </c>
      <c r="C190" s="4"/>
      <c r="D190" s="9"/>
      <c r="E190" s="46">
        <v>45759</v>
      </c>
      <c r="F190" s="36" t="s">
        <v>1021</v>
      </c>
    </row>
    <row r="191" spans="1:6">
      <c r="A191" s="8" t="s">
        <v>14800</v>
      </c>
      <c r="B191" s="8" t="s">
        <v>1022</v>
      </c>
      <c r="C191" s="4"/>
      <c r="D191" s="9"/>
      <c r="E191" s="46">
        <v>45759</v>
      </c>
      <c r="F191" s="36" t="s">
        <v>1021</v>
      </c>
    </row>
    <row r="192" spans="1:6">
      <c r="A192" s="8" t="s">
        <v>14824</v>
      </c>
      <c r="B192" s="8" t="s">
        <v>1022</v>
      </c>
      <c r="C192" s="4"/>
      <c r="D192" s="9" t="s">
        <v>19465</v>
      </c>
      <c r="E192" s="46">
        <v>45789</v>
      </c>
      <c r="F192" s="36" t="s">
        <v>1021</v>
      </c>
    </row>
    <row r="193" spans="1:6">
      <c r="A193" s="8" t="s">
        <v>14828</v>
      </c>
      <c r="B193" s="8" t="s">
        <v>1022</v>
      </c>
      <c r="C193" s="4"/>
      <c r="D193" s="9" t="s">
        <v>19465</v>
      </c>
      <c r="E193" s="46">
        <v>45803</v>
      </c>
      <c r="F193" s="36" t="s">
        <v>1021</v>
      </c>
    </row>
    <row r="194" spans="1:6">
      <c r="A194" s="8" t="s">
        <v>14834</v>
      </c>
      <c r="B194" s="8" t="s">
        <v>1022</v>
      </c>
      <c r="C194" s="4"/>
      <c r="D194" s="9"/>
      <c r="E194" s="132">
        <v>45764</v>
      </c>
      <c r="F194" s="35" t="s">
        <v>1021</v>
      </c>
    </row>
    <row r="195" spans="1:6">
      <c r="A195" s="8" t="s">
        <v>14836</v>
      </c>
      <c r="B195" s="8" t="s">
        <v>1022</v>
      </c>
      <c r="C195" s="4"/>
      <c r="D195" s="9"/>
      <c r="E195" s="46">
        <v>45790</v>
      </c>
      <c r="F195" s="36" t="s">
        <v>1021</v>
      </c>
    </row>
    <row r="196" spans="1:6">
      <c r="A196" s="8" t="s">
        <v>14838</v>
      </c>
      <c r="B196" s="8" t="s">
        <v>1022</v>
      </c>
      <c r="C196" s="4"/>
      <c r="D196" s="9"/>
      <c r="E196" s="132">
        <v>45764</v>
      </c>
      <c r="F196" s="35" t="s">
        <v>1021</v>
      </c>
    </row>
    <row r="197" spans="1:6">
      <c r="A197" s="8" t="s">
        <v>14844</v>
      </c>
      <c r="B197" s="8" t="s">
        <v>1022</v>
      </c>
      <c r="C197" s="4"/>
      <c r="D197" s="9"/>
      <c r="E197" s="46">
        <v>45785</v>
      </c>
      <c r="F197" s="36" t="s">
        <v>52</v>
      </c>
    </row>
    <row r="198" spans="1:6">
      <c r="A198" s="8" t="s">
        <v>14847</v>
      </c>
      <c r="B198" s="8" t="s">
        <v>1022</v>
      </c>
      <c r="C198" s="4"/>
      <c r="D198" s="9"/>
      <c r="E198" s="46">
        <v>45796</v>
      </c>
      <c r="F198" s="36" t="s">
        <v>1021</v>
      </c>
    </row>
    <row r="199" spans="1:6">
      <c r="A199" s="8" t="s">
        <v>14851</v>
      </c>
      <c r="B199" s="8" t="s">
        <v>1022</v>
      </c>
      <c r="C199" s="4"/>
      <c r="D199" s="9"/>
      <c r="E199" s="46">
        <v>45793</v>
      </c>
      <c r="F199" s="36" t="s">
        <v>1021</v>
      </c>
    </row>
    <row r="200" spans="1:6">
      <c r="A200" s="8" t="s">
        <v>14869</v>
      </c>
      <c r="B200" s="8" t="s">
        <v>1022</v>
      </c>
      <c r="C200" s="4"/>
      <c r="D200" s="9"/>
      <c r="E200" s="46">
        <v>45768</v>
      </c>
      <c r="F200" s="36" t="s">
        <v>1021</v>
      </c>
    </row>
    <row r="201" spans="1:6">
      <c r="A201" s="8" t="s">
        <v>14873</v>
      </c>
      <c r="B201" s="8" t="s">
        <v>1022</v>
      </c>
      <c r="C201" s="4"/>
      <c r="D201" s="9"/>
      <c r="E201" s="46">
        <v>45768</v>
      </c>
      <c r="F201" s="36" t="s">
        <v>1021</v>
      </c>
    </row>
    <row r="202" spans="1:6">
      <c r="A202" s="8" t="s">
        <v>14875</v>
      </c>
      <c r="B202" s="8" t="s">
        <v>1022</v>
      </c>
      <c r="C202" s="4"/>
      <c r="D202" s="9"/>
      <c r="E202" s="46">
        <v>45798</v>
      </c>
      <c r="F202" s="36" t="s">
        <v>1021</v>
      </c>
    </row>
    <row r="203" spans="1:6">
      <c r="A203" s="8" t="s">
        <v>14881</v>
      </c>
      <c r="B203" s="8" t="s">
        <v>1022</v>
      </c>
      <c r="C203" s="4"/>
      <c r="D203" s="9"/>
      <c r="E203" s="132">
        <v>45769</v>
      </c>
      <c r="F203" s="35" t="s">
        <v>1021</v>
      </c>
    </row>
    <row r="204" spans="1:6">
      <c r="A204" s="8" t="s">
        <v>14882</v>
      </c>
      <c r="B204" s="8" t="s">
        <v>1022</v>
      </c>
      <c r="C204" s="4"/>
      <c r="D204" s="9"/>
      <c r="E204" s="46">
        <v>45768</v>
      </c>
      <c r="F204" s="36" t="s">
        <v>1021</v>
      </c>
    </row>
    <row r="205" spans="1:6">
      <c r="A205" s="8" t="s">
        <v>14885</v>
      </c>
      <c r="B205" s="8" t="s">
        <v>1022</v>
      </c>
      <c r="C205" s="4"/>
      <c r="D205" s="9"/>
      <c r="E205" s="46">
        <v>45803</v>
      </c>
      <c r="F205" s="36" t="s">
        <v>1021</v>
      </c>
    </row>
    <row r="206" spans="1:6">
      <c r="A206" s="8" t="s">
        <v>14891</v>
      </c>
      <c r="B206" s="8" t="s">
        <v>1022</v>
      </c>
      <c r="C206" s="4"/>
      <c r="D206" s="9"/>
      <c r="E206" s="132">
        <v>45771</v>
      </c>
      <c r="F206" s="35" t="s">
        <v>1021</v>
      </c>
    </row>
    <row r="207" spans="1:6">
      <c r="A207" s="8" t="s">
        <v>14894</v>
      </c>
      <c r="B207" s="8" t="s">
        <v>1022</v>
      </c>
      <c r="C207" s="4"/>
      <c r="D207" s="9"/>
      <c r="E207" s="46">
        <v>45810</v>
      </c>
      <c r="F207" s="36" t="s">
        <v>1021</v>
      </c>
    </row>
    <row r="208" spans="1:6">
      <c r="A208" s="8" t="s">
        <v>14899</v>
      </c>
      <c r="B208" s="8" t="s">
        <v>1022</v>
      </c>
      <c r="C208" s="4"/>
      <c r="D208" s="9"/>
      <c r="E208" s="46">
        <v>45810</v>
      </c>
      <c r="F208" s="36" t="s">
        <v>1021</v>
      </c>
    </row>
    <row r="209" spans="1:6">
      <c r="A209" s="8" t="s">
        <v>14900</v>
      </c>
      <c r="B209" s="8" t="s">
        <v>1022</v>
      </c>
      <c r="C209" s="4"/>
      <c r="D209" s="9"/>
      <c r="E209" s="46">
        <v>45810</v>
      </c>
      <c r="F209" s="36" t="s">
        <v>1021</v>
      </c>
    </row>
    <row r="210" spans="1:6">
      <c r="A210" s="8" t="s">
        <v>14901</v>
      </c>
      <c r="B210" s="8" t="s">
        <v>1022</v>
      </c>
      <c r="C210" s="4"/>
      <c r="D210" s="9" t="s">
        <v>19465</v>
      </c>
      <c r="E210" s="46">
        <v>45800</v>
      </c>
      <c r="F210" s="36" t="s">
        <v>1021</v>
      </c>
    </row>
    <row r="211" spans="1:6">
      <c r="A211" s="8" t="s">
        <v>14909</v>
      </c>
      <c r="B211" s="8" t="s">
        <v>1022</v>
      </c>
      <c r="C211" s="4"/>
      <c r="D211" s="9" t="s">
        <v>19465</v>
      </c>
      <c r="E211" s="46">
        <v>45803</v>
      </c>
      <c r="F211" s="36" t="s">
        <v>1021</v>
      </c>
    </row>
    <row r="212" spans="1:6">
      <c r="A212" s="8" t="s">
        <v>14912</v>
      </c>
      <c r="B212" s="8" t="s">
        <v>1022</v>
      </c>
      <c r="C212" s="4"/>
      <c r="D212" s="9"/>
      <c r="E212" s="46">
        <v>45806</v>
      </c>
      <c r="F212" s="36" t="s">
        <v>1021</v>
      </c>
    </row>
    <row r="213" spans="1:6">
      <c r="A213" s="8" t="s">
        <v>14913</v>
      </c>
      <c r="B213" s="8" t="s">
        <v>1022</v>
      </c>
      <c r="C213" s="4"/>
      <c r="D213" s="9" t="s">
        <v>19465</v>
      </c>
      <c r="E213" s="46">
        <v>45795</v>
      </c>
      <c r="F213" s="36" t="s">
        <v>1021</v>
      </c>
    </row>
    <row r="214" spans="1:6">
      <c r="A214" s="8" t="s">
        <v>14918</v>
      </c>
      <c r="B214" s="8" t="s">
        <v>1022</v>
      </c>
      <c r="C214" s="4"/>
      <c r="D214" s="9"/>
      <c r="E214" s="46">
        <v>45792</v>
      </c>
      <c r="F214" s="36" t="s">
        <v>1021</v>
      </c>
    </row>
    <row r="215" spans="1:6">
      <c r="A215" s="8" t="s">
        <v>14919</v>
      </c>
      <c r="B215" s="8" t="s">
        <v>1022</v>
      </c>
      <c r="C215" s="4"/>
      <c r="D215" s="9" t="s">
        <v>19465</v>
      </c>
      <c r="E215" s="46">
        <v>45791</v>
      </c>
      <c r="F215" s="36" t="s">
        <v>1021</v>
      </c>
    </row>
    <row r="216" spans="1:6">
      <c r="A216" s="8" t="s">
        <v>14929</v>
      </c>
      <c r="B216" s="8" t="s">
        <v>1022</v>
      </c>
      <c r="C216" s="4"/>
      <c r="D216" s="9" t="s">
        <v>19465</v>
      </c>
      <c r="E216" s="46">
        <v>45815</v>
      </c>
      <c r="F216" s="36" t="s">
        <v>1021</v>
      </c>
    </row>
    <row r="217" spans="1:6">
      <c r="A217" s="8" t="s">
        <v>14930</v>
      </c>
      <c r="B217" s="8" t="s">
        <v>1022</v>
      </c>
      <c r="C217" s="4"/>
      <c r="D217" s="9"/>
      <c r="E217" s="46">
        <v>45782</v>
      </c>
      <c r="F217" s="36" t="s">
        <v>1021</v>
      </c>
    </row>
    <row r="218" spans="1:6">
      <c r="A218" s="8" t="s">
        <v>14931</v>
      </c>
      <c r="B218" s="8" t="s">
        <v>1022</v>
      </c>
      <c r="C218" s="4"/>
      <c r="D218" s="9" t="s">
        <v>19465</v>
      </c>
      <c r="E218" s="46">
        <v>45817</v>
      </c>
      <c r="F218" s="36" t="s">
        <v>1021</v>
      </c>
    </row>
    <row r="219" spans="1:6">
      <c r="A219" s="8" t="s">
        <v>14934</v>
      </c>
      <c r="B219" s="8" t="s">
        <v>1022</v>
      </c>
      <c r="C219" s="4"/>
      <c r="D219" s="9"/>
      <c r="E219" s="46">
        <v>45806</v>
      </c>
      <c r="F219" s="36" t="s">
        <v>1021</v>
      </c>
    </row>
    <row r="220" spans="1:6">
      <c r="A220" s="8" t="s">
        <v>14937</v>
      </c>
      <c r="B220" s="8" t="s">
        <v>1022</v>
      </c>
      <c r="C220" s="4"/>
      <c r="D220" s="9"/>
      <c r="E220" s="132">
        <v>45792</v>
      </c>
      <c r="F220" s="35" t="s">
        <v>1021</v>
      </c>
    </row>
    <row r="221" spans="1:6">
      <c r="A221" s="8" t="s">
        <v>14938</v>
      </c>
      <c r="B221" s="8" t="s">
        <v>1022</v>
      </c>
      <c r="C221" s="4"/>
      <c r="D221" s="9"/>
      <c r="E221" s="46">
        <v>45822</v>
      </c>
      <c r="F221" s="36" t="s">
        <v>1021</v>
      </c>
    </row>
    <row r="222" spans="1:6">
      <c r="A222" s="8" t="s">
        <v>14939</v>
      </c>
      <c r="B222" s="8" t="s">
        <v>1022</v>
      </c>
      <c r="C222" s="4"/>
      <c r="D222" s="9"/>
      <c r="E222" s="46">
        <v>45806</v>
      </c>
      <c r="F222" s="36" t="s">
        <v>1021</v>
      </c>
    </row>
    <row r="223" spans="1:6">
      <c r="A223" s="8" t="s">
        <v>14940</v>
      </c>
      <c r="B223" s="8" t="s">
        <v>1022</v>
      </c>
      <c r="C223" s="4"/>
      <c r="D223" s="9"/>
      <c r="E223" s="132">
        <v>45793</v>
      </c>
      <c r="F223" s="35" t="s">
        <v>1021</v>
      </c>
    </row>
    <row r="224" spans="1:6">
      <c r="A224" s="8" t="s">
        <v>14942</v>
      </c>
      <c r="B224" s="8" t="s">
        <v>1022</v>
      </c>
      <c r="C224" s="4"/>
      <c r="D224" s="9"/>
      <c r="E224" s="132">
        <v>45797</v>
      </c>
      <c r="F224" s="35" t="s">
        <v>1021</v>
      </c>
    </row>
    <row r="225" spans="1:6">
      <c r="A225" s="8" t="s">
        <v>14943</v>
      </c>
      <c r="B225" s="8" t="s">
        <v>1022</v>
      </c>
      <c r="C225" s="4"/>
      <c r="D225" s="9"/>
      <c r="E225" s="132">
        <v>45794</v>
      </c>
      <c r="F225" s="35" t="s">
        <v>1021</v>
      </c>
    </row>
    <row r="226" spans="1:6">
      <c r="A226" s="8" t="s">
        <v>14947</v>
      </c>
      <c r="B226" s="8" t="s">
        <v>1022</v>
      </c>
      <c r="C226" s="4"/>
      <c r="D226" s="9"/>
      <c r="E226" s="46">
        <v>45797</v>
      </c>
      <c r="F226" s="36" t="s">
        <v>1021</v>
      </c>
    </row>
    <row r="227" spans="1:6">
      <c r="A227" s="8" t="s">
        <v>14948</v>
      </c>
      <c r="B227" s="8" t="s">
        <v>1022</v>
      </c>
      <c r="C227" s="4"/>
      <c r="D227" s="9" t="s">
        <v>19465</v>
      </c>
      <c r="E227" s="46">
        <v>45817</v>
      </c>
      <c r="F227" s="36" t="s">
        <v>1021</v>
      </c>
    </row>
    <row r="228" spans="1:6">
      <c r="A228" s="8" t="s">
        <v>14951</v>
      </c>
      <c r="B228" s="8" t="s">
        <v>1022</v>
      </c>
      <c r="C228" s="4"/>
      <c r="D228" s="9"/>
      <c r="E228" s="46">
        <v>45797</v>
      </c>
      <c r="F228" s="36" t="s">
        <v>1021</v>
      </c>
    </row>
    <row r="229" spans="1:6">
      <c r="A229" s="8" t="s">
        <v>14952</v>
      </c>
      <c r="B229" s="8" t="s">
        <v>1022</v>
      </c>
      <c r="C229" s="4"/>
      <c r="D229" s="9" t="s">
        <v>19465</v>
      </c>
      <c r="E229" s="46">
        <v>45816</v>
      </c>
      <c r="F229" s="36" t="s">
        <v>1021</v>
      </c>
    </row>
    <row r="230" spans="1:6">
      <c r="A230" s="8" t="s">
        <v>14953</v>
      </c>
      <c r="B230" s="8" t="s">
        <v>1022</v>
      </c>
      <c r="C230" s="4"/>
      <c r="D230" s="9"/>
      <c r="E230" s="46">
        <v>45798</v>
      </c>
      <c r="F230" s="36" t="s">
        <v>1021</v>
      </c>
    </row>
    <row r="231" spans="1:6">
      <c r="A231" s="8" t="s">
        <v>14958</v>
      </c>
      <c r="B231" s="8" t="s">
        <v>1022</v>
      </c>
      <c r="C231" s="4"/>
      <c r="D231" s="9"/>
      <c r="E231" s="46">
        <v>45798</v>
      </c>
      <c r="F231" s="36" t="s">
        <v>1021</v>
      </c>
    </row>
    <row r="232" spans="1:6">
      <c r="A232" s="8" t="s">
        <v>14960</v>
      </c>
      <c r="B232" s="8" t="s">
        <v>1022</v>
      </c>
      <c r="C232" s="4"/>
      <c r="D232" s="9" t="s">
        <v>19465</v>
      </c>
      <c r="E232" s="46">
        <v>45816</v>
      </c>
      <c r="F232" s="36" t="s">
        <v>1021</v>
      </c>
    </row>
    <row r="233" spans="1:6">
      <c r="A233" s="8" t="s">
        <v>14961</v>
      </c>
      <c r="B233" s="8" t="s">
        <v>1022</v>
      </c>
      <c r="C233" s="4"/>
      <c r="D233" s="9"/>
      <c r="E233" s="46">
        <v>45783</v>
      </c>
      <c r="F233" s="36" t="s">
        <v>1021</v>
      </c>
    </row>
    <row r="234" spans="1:6">
      <c r="A234" s="8" t="s">
        <v>14962</v>
      </c>
      <c r="B234" s="8" t="s">
        <v>1022</v>
      </c>
      <c r="C234" s="4"/>
      <c r="D234" s="9" t="s">
        <v>19465</v>
      </c>
      <c r="E234" s="46">
        <v>45817</v>
      </c>
      <c r="F234" s="36" t="s">
        <v>1021</v>
      </c>
    </row>
    <row r="235" spans="1:6">
      <c r="A235" s="8" t="s">
        <v>14964</v>
      </c>
      <c r="B235" s="8" t="s">
        <v>1022</v>
      </c>
      <c r="C235" s="4"/>
      <c r="D235" s="9"/>
      <c r="E235" s="46">
        <v>45808</v>
      </c>
      <c r="F235" s="36" t="s">
        <v>1021</v>
      </c>
    </row>
    <row r="236" spans="1:6">
      <c r="A236" s="8" t="s">
        <v>14965</v>
      </c>
      <c r="B236" s="8" t="s">
        <v>1022</v>
      </c>
      <c r="C236" s="4"/>
      <c r="D236" s="9"/>
      <c r="E236" s="46">
        <v>45808</v>
      </c>
      <c r="F236" s="36" t="s">
        <v>1021</v>
      </c>
    </row>
    <row r="237" spans="1:6">
      <c r="A237" s="8" t="s">
        <v>14967</v>
      </c>
      <c r="B237" s="8" t="s">
        <v>1022</v>
      </c>
      <c r="C237" s="4"/>
      <c r="D237" s="9"/>
      <c r="E237" s="46">
        <v>45834</v>
      </c>
      <c r="F237" s="36" t="s">
        <v>1021</v>
      </c>
    </row>
    <row r="238" spans="1:6">
      <c r="A238" s="8" t="s">
        <v>14971</v>
      </c>
      <c r="B238" s="8" t="s">
        <v>1022</v>
      </c>
      <c r="C238" s="4"/>
      <c r="D238" s="9"/>
      <c r="E238" s="46">
        <v>45777</v>
      </c>
      <c r="F238" s="36" t="s">
        <v>1021</v>
      </c>
    </row>
    <row r="239" spans="1:6">
      <c r="A239" s="8" t="s">
        <v>14974</v>
      </c>
      <c r="B239" s="8" t="s">
        <v>1022</v>
      </c>
      <c r="C239" s="4"/>
      <c r="D239" s="9"/>
      <c r="E239" s="46">
        <v>45784</v>
      </c>
      <c r="F239" s="36" t="s">
        <v>1021</v>
      </c>
    </row>
    <row r="240" spans="1:6">
      <c r="A240" s="8" t="s">
        <v>14976</v>
      </c>
      <c r="B240" s="8" t="s">
        <v>1022</v>
      </c>
      <c r="C240" s="4"/>
      <c r="D240" s="9"/>
      <c r="E240" s="46">
        <v>45785</v>
      </c>
      <c r="F240" s="36" t="s">
        <v>1021</v>
      </c>
    </row>
    <row r="241" spans="1:6">
      <c r="A241" s="8" t="s">
        <v>14977</v>
      </c>
      <c r="B241" s="8" t="s">
        <v>1022</v>
      </c>
      <c r="C241" s="4"/>
      <c r="D241" s="9"/>
      <c r="E241" s="46">
        <v>45810</v>
      </c>
      <c r="F241" s="36" t="s">
        <v>1021</v>
      </c>
    </row>
    <row r="242" spans="1:6">
      <c r="A242" s="8" t="s">
        <v>14983</v>
      </c>
      <c r="B242" s="8" t="s">
        <v>1022</v>
      </c>
      <c r="C242" s="4"/>
      <c r="D242" s="9"/>
      <c r="E242" s="46">
        <v>45799</v>
      </c>
      <c r="F242" s="36" t="s">
        <v>1021</v>
      </c>
    </row>
    <row r="243" spans="1:6">
      <c r="A243" s="8" t="s">
        <v>14984</v>
      </c>
      <c r="B243" s="8" t="s">
        <v>1022</v>
      </c>
      <c r="C243" s="4"/>
      <c r="D243" s="9"/>
      <c r="E243" s="46">
        <v>45785</v>
      </c>
      <c r="F243" s="36" t="s">
        <v>1021</v>
      </c>
    </row>
    <row r="244" spans="1:6">
      <c r="A244" s="8" t="s">
        <v>14986</v>
      </c>
      <c r="B244" s="8" t="s">
        <v>1022</v>
      </c>
      <c r="C244" s="4"/>
      <c r="D244" s="9"/>
      <c r="E244" s="46">
        <v>45784</v>
      </c>
      <c r="F244" s="36" t="s">
        <v>1021</v>
      </c>
    </row>
    <row r="245" spans="1:6">
      <c r="A245" s="8" t="s">
        <v>14988</v>
      </c>
      <c r="B245" s="8" t="s">
        <v>1022</v>
      </c>
      <c r="C245" s="4"/>
      <c r="D245" s="9"/>
      <c r="E245" s="46">
        <v>45819</v>
      </c>
      <c r="F245" s="36" t="s">
        <v>1021</v>
      </c>
    </row>
    <row r="246" spans="1:6">
      <c r="A246" s="8" t="s">
        <v>15006</v>
      </c>
      <c r="B246" s="8" t="s">
        <v>1022</v>
      </c>
      <c r="C246" s="4"/>
      <c r="D246" s="9" t="s">
        <v>19465</v>
      </c>
      <c r="E246" s="46">
        <v>45817</v>
      </c>
      <c r="F246" s="36" t="s">
        <v>1021</v>
      </c>
    </row>
    <row r="247" spans="1:6">
      <c r="A247" s="8" t="s">
        <v>15010</v>
      </c>
      <c r="B247" s="8" t="s">
        <v>1022</v>
      </c>
      <c r="C247" s="4"/>
      <c r="D247" s="9"/>
      <c r="E247" s="46">
        <v>45832</v>
      </c>
      <c r="F247" s="36" t="s">
        <v>1021</v>
      </c>
    </row>
    <row r="248" spans="1:6">
      <c r="A248" s="8" t="s">
        <v>15017</v>
      </c>
      <c r="B248" s="8" t="s">
        <v>1022</v>
      </c>
      <c r="C248" s="4"/>
      <c r="D248" s="9"/>
      <c r="E248" s="46">
        <v>45818</v>
      </c>
      <c r="F248" s="36" t="s">
        <v>1021</v>
      </c>
    </row>
    <row r="249" spans="1:6">
      <c r="A249" s="8" t="s">
        <v>15020</v>
      </c>
      <c r="B249" s="8" t="s">
        <v>1022</v>
      </c>
      <c r="C249" s="4"/>
      <c r="D249" s="9" t="s">
        <v>19465</v>
      </c>
      <c r="E249" s="46">
        <v>45817</v>
      </c>
      <c r="F249" s="36" t="s">
        <v>1021</v>
      </c>
    </row>
    <row r="250" spans="1:6">
      <c r="A250" s="8" t="s">
        <v>15023</v>
      </c>
      <c r="B250" s="8" t="s">
        <v>1022</v>
      </c>
      <c r="C250" s="4"/>
      <c r="D250" s="9"/>
      <c r="E250" s="46">
        <v>45790</v>
      </c>
      <c r="F250" s="36" t="s">
        <v>1021</v>
      </c>
    </row>
    <row r="251" spans="1:6">
      <c r="A251" s="8" t="s">
        <v>15024</v>
      </c>
      <c r="B251" s="8" t="s">
        <v>1022</v>
      </c>
      <c r="C251" s="4"/>
      <c r="D251" s="9"/>
      <c r="E251" s="46">
        <v>45790</v>
      </c>
      <c r="F251" s="36" t="s">
        <v>1021</v>
      </c>
    </row>
    <row r="252" spans="1:6">
      <c r="A252" s="8" t="s">
        <v>15025</v>
      </c>
      <c r="B252" s="8" t="s">
        <v>1022</v>
      </c>
      <c r="C252" s="4"/>
      <c r="D252" s="9"/>
      <c r="E252" s="46">
        <v>45791</v>
      </c>
      <c r="F252" s="36" t="s">
        <v>1021</v>
      </c>
    </row>
    <row r="253" spans="1:6">
      <c r="A253" s="8" t="s">
        <v>15029</v>
      </c>
      <c r="B253" s="8" t="s">
        <v>1022</v>
      </c>
      <c r="C253" s="4"/>
      <c r="D253" s="9"/>
      <c r="E253" s="46">
        <v>45792</v>
      </c>
      <c r="F253" s="36" t="s">
        <v>1021</v>
      </c>
    </row>
    <row r="254" spans="1:6">
      <c r="A254" s="8" t="s">
        <v>15030</v>
      </c>
      <c r="B254" s="8" t="s">
        <v>1022</v>
      </c>
      <c r="C254" s="4"/>
      <c r="D254" s="9"/>
      <c r="E254" s="46">
        <v>45791</v>
      </c>
      <c r="F254" s="36" t="s">
        <v>1021</v>
      </c>
    </row>
    <row r="255" spans="1:6">
      <c r="A255" s="8" t="s">
        <v>15031</v>
      </c>
      <c r="B255" s="8" t="s">
        <v>1022</v>
      </c>
      <c r="C255" s="4"/>
      <c r="D255" s="9"/>
      <c r="E255" s="132">
        <v>45804</v>
      </c>
      <c r="F255" s="35" t="s">
        <v>1021</v>
      </c>
    </row>
    <row r="256" spans="1:6">
      <c r="A256" s="8" t="s">
        <v>15032</v>
      </c>
      <c r="B256" s="8" t="s">
        <v>1022</v>
      </c>
      <c r="C256" s="4"/>
      <c r="D256" s="9"/>
      <c r="E256" s="132">
        <v>45796</v>
      </c>
      <c r="F256" s="35" t="s">
        <v>1021</v>
      </c>
    </row>
    <row r="257" spans="1:6">
      <c r="A257" s="8" t="s">
        <v>15033</v>
      </c>
      <c r="B257" s="8" t="s">
        <v>1022</v>
      </c>
      <c r="C257" s="4"/>
      <c r="D257" s="9"/>
      <c r="E257" s="132">
        <v>45799</v>
      </c>
      <c r="F257" s="35" t="s">
        <v>1021</v>
      </c>
    </row>
    <row r="258" spans="1:6">
      <c r="A258" s="8" t="s">
        <v>15034</v>
      </c>
      <c r="B258" s="8" t="s">
        <v>1022</v>
      </c>
      <c r="C258" s="4"/>
      <c r="D258" s="9"/>
      <c r="E258" s="132">
        <v>45799</v>
      </c>
      <c r="F258" s="35" t="s">
        <v>1021</v>
      </c>
    </row>
    <row r="259" spans="1:6">
      <c r="A259" s="8" t="s">
        <v>15036</v>
      </c>
      <c r="B259" s="8" t="s">
        <v>1022</v>
      </c>
      <c r="C259" s="4"/>
      <c r="D259" s="9"/>
      <c r="E259" s="46">
        <v>45831</v>
      </c>
      <c r="F259" s="36" t="s">
        <v>1021</v>
      </c>
    </row>
    <row r="260" spans="1:6">
      <c r="A260" s="8" t="s">
        <v>15039</v>
      </c>
      <c r="B260" s="8" t="s">
        <v>1022</v>
      </c>
      <c r="C260" s="4"/>
      <c r="D260" s="9"/>
      <c r="E260" s="132">
        <v>45807</v>
      </c>
      <c r="F260" s="35" t="s">
        <v>1021</v>
      </c>
    </row>
    <row r="261" spans="1:6">
      <c r="A261" s="8" t="s">
        <v>15040</v>
      </c>
      <c r="B261" s="8" t="s">
        <v>1022</v>
      </c>
      <c r="C261" s="4"/>
      <c r="D261" s="9"/>
      <c r="E261" s="132">
        <v>45804</v>
      </c>
      <c r="F261" s="35" t="s">
        <v>1021</v>
      </c>
    </row>
    <row r="262" spans="1:6">
      <c r="A262" s="8" t="s">
        <v>15043</v>
      </c>
      <c r="B262" s="8" t="s">
        <v>1022</v>
      </c>
      <c r="C262" s="4"/>
      <c r="D262" s="9"/>
      <c r="E262" s="132">
        <v>45806</v>
      </c>
      <c r="F262" s="35" t="s">
        <v>1021</v>
      </c>
    </row>
    <row r="263" spans="1:6">
      <c r="A263" s="8" t="s">
        <v>15044</v>
      </c>
      <c r="B263" s="8" t="s">
        <v>1022</v>
      </c>
      <c r="C263" s="4"/>
      <c r="D263" s="9"/>
      <c r="E263" s="132">
        <v>45807</v>
      </c>
      <c r="F263" s="35" t="s">
        <v>1021</v>
      </c>
    </row>
    <row r="264" spans="1:6">
      <c r="A264" s="8" t="s">
        <v>15045</v>
      </c>
      <c r="B264" s="8" t="s">
        <v>1022</v>
      </c>
      <c r="C264" s="4"/>
      <c r="D264" s="9"/>
      <c r="E264" s="132">
        <v>45807</v>
      </c>
      <c r="F264" s="35" t="s">
        <v>1021</v>
      </c>
    </row>
    <row r="265" spans="1:6">
      <c r="A265" s="8" t="s">
        <v>15046</v>
      </c>
      <c r="B265" s="8" t="s">
        <v>1022</v>
      </c>
      <c r="C265" s="4"/>
      <c r="D265" s="9"/>
      <c r="E265" s="46">
        <v>45832</v>
      </c>
      <c r="F265" s="36" t="s">
        <v>1021</v>
      </c>
    </row>
    <row r="266" spans="1:6">
      <c r="A266" s="8" t="s">
        <v>15047</v>
      </c>
      <c r="B266" s="8" t="s">
        <v>1022</v>
      </c>
      <c r="C266" s="4"/>
      <c r="D266" s="9"/>
      <c r="E266" s="132">
        <v>45804</v>
      </c>
      <c r="F266" s="35" t="s">
        <v>1021</v>
      </c>
    </row>
    <row r="267" spans="1:6">
      <c r="A267" s="8" t="s">
        <v>15048</v>
      </c>
      <c r="B267" s="8" t="s">
        <v>1022</v>
      </c>
      <c r="C267" s="4"/>
      <c r="D267" s="9"/>
      <c r="E267" s="132">
        <v>45810</v>
      </c>
      <c r="F267" s="35" t="s">
        <v>1021</v>
      </c>
    </row>
    <row r="268" spans="1:6">
      <c r="A268" s="8" t="s">
        <v>15052</v>
      </c>
      <c r="B268" s="8" t="s">
        <v>1022</v>
      </c>
      <c r="C268" s="4"/>
      <c r="D268" s="9"/>
      <c r="E268" s="132">
        <v>45833</v>
      </c>
      <c r="F268" s="35" t="s">
        <v>1021</v>
      </c>
    </row>
    <row r="269" spans="1:6">
      <c r="A269" s="8" t="s">
        <v>15053</v>
      </c>
      <c r="B269" s="8" t="s">
        <v>1022</v>
      </c>
      <c r="C269" s="4"/>
      <c r="D269" s="9"/>
      <c r="E269" s="132">
        <v>45793</v>
      </c>
      <c r="F269" s="35" t="s">
        <v>1021</v>
      </c>
    </row>
    <row r="270" spans="1:6">
      <c r="A270" s="148" t="s">
        <v>15059</v>
      </c>
      <c r="B270" s="8" t="s">
        <v>1022</v>
      </c>
      <c r="C270" s="151"/>
      <c r="D270" s="149"/>
      <c r="E270" s="153">
        <v>45833</v>
      </c>
      <c r="F270" s="154" t="s">
        <v>1021</v>
      </c>
    </row>
    <row r="271" spans="1:6">
      <c r="A271" s="8" t="s">
        <v>15061</v>
      </c>
      <c r="B271" s="8" t="s">
        <v>1022</v>
      </c>
      <c r="C271" s="4"/>
      <c r="D271" s="9"/>
      <c r="E271" s="46">
        <v>45828</v>
      </c>
      <c r="F271" s="36" t="s">
        <v>1021</v>
      </c>
    </row>
    <row r="272" spans="1:6">
      <c r="A272" s="8" t="s">
        <v>15063</v>
      </c>
      <c r="B272" s="8" t="s">
        <v>1022</v>
      </c>
      <c r="C272" s="4"/>
      <c r="D272" s="9"/>
      <c r="E272" s="46">
        <v>45796</v>
      </c>
      <c r="F272" s="36" t="s">
        <v>1021</v>
      </c>
    </row>
    <row r="273" spans="1:6">
      <c r="A273" s="8" t="s">
        <v>15069</v>
      </c>
      <c r="B273" s="8" t="s">
        <v>1022</v>
      </c>
      <c r="C273" s="4"/>
      <c r="D273" s="9"/>
      <c r="E273" s="132">
        <v>45830</v>
      </c>
      <c r="F273" s="35" t="s">
        <v>1021</v>
      </c>
    </row>
    <row r="274" spans="1:6">
      <c r="A274" s="8" t="s">
        <v>15070</v>
      </c>
      <c r="B274" s="8" t="s">
        <v>1022</v>
      </c>
      <c r="C274" s="4"/>
      <c r="D274" s="9"/>
      <c r="E274" s="132">
        <v>45833</v>
      </c>
      <c r="F274" s="35" t="s">
        <v>1021</v>
      </c>
    </row>
    <row r="275" spans="1:6">
      <c r="A275" s="8" t="s">
        <v>15075</v>
      </c>
      <c r="B275" s="8" t="s">
        <v>1022</v>
      </c>
      <c r="C275" s="4"/>
      <c r="D275" s="9"/>
      <c r="E275" s="132">
        <v>45844</v>
      </c>
      <c r="F275" s="35" t="s">
        <v>1021</v>
      </c>
    </row>
    <row r="276" spans="1:6">
      <c r="A276" s="8" t="s">
        <v>15076</v>
      </c>
      <c r="B276" s="8" t="s">
        <v>1022</v>
      </c>
      <c r="C276" s="4"/>
      <c r="D276" s="9"/>
      <c r="E276" s="132">
        <v>45839</v>
      </c>
      <c r="F276" s="35" t="s">
        <v>1021</v>
      </c>
    </row>
    <row r="277" spans="1:6">
      <c r="A277" s="8" t="s">
        <v>15079</v>
      </c>
      <c r="B277" s="8" t="s">
        <v>1022</v>
      </c>
      <c r="C277" s="4"/>
      <c r="D277" s="9"/>
      <c r="E277" s="132">
        <v>45861</v>
      </c>
      <c r="F277" s="35" t="s">
        <v>1021</v>
      </c>
    </row>
    <row r="278" spans="1:6">
      <c r="A278" s="8" t="s">
        <v>15098</v>
      </c>
      <c r="B278" s="8" t="s">
        <v>1022</v>
      </c>
      <c r="C278" s="4"/>
      <c r="D278" s="9"/>
      <c r="E278" s="46">
        <v>45856</v>
      </c>
      <c r="F278" s="36" t="s">
        <v>1021</v>
      </c>
    </row>
    <row r="279" spans="1:6">
      <c r="A279" s="8" t="s">
        <v>15102</v>
      </c>
      <c r="B279" s="8" t="s">
        <v>1022</v>
      </c>
      <c r="C279" s="4"/>
      <c r="D279" s="9"/>
      <c r="E279" s="46">
        <v>45826</v>
      </c>
      <c r="F279" s="36" t="s">
        <v>1021</v>
      </c>
    </row>
    <row r="280" spans="1:6">
      <c r="A280" s="8" t="s">
        <v>15155</v>
      </c>
      <c r="B280" s="8" t="s">
        <v>1022</v>
      </c>
      <c r="C280" s="4"/>
      <c r="D280" s="9"/>
      <c r="E280" s="46">
        <v>45862</v>
      </c>
      <c r="F280" s="36" t="s">
        <v>1021</v>
      </c>
    </row>
    <row r="281" spans="1:6">
      <c r="A281" s="8" t="s">
        <v>15158</v>
      </c>
      <c r="B281" s="8" t="s">
        <v>1022</v>
      </c>
      <c r="C281" s="4"/>
      <c r="D281" s="9"/>
      <c r="E281" s="46">
        <v>45862</v>
      </c>
      <c r="F281" s="36" t="s">
        <v>1021</v>
      </c>
    </row>
    <row r="282" spans="1:6">
      <c r="A282" s="8" t="s">
        <v>15159</v>
      </c>
      <c r="B282" s="8" t="s">
        <v>1022</v>
      </c>
      <c r="C282" s="4"/>
      <c r="D282" s="9"/>
      <c r="E282" s="46">
        <v>45856</v>
      </c>
      <c r="F282" s="36" t="s">
        <v>1021</v>
      </c>
    </row>
    <row r="283" spans="1:6">
      <c r="A283" s="8" t="s">
        <v>15163</v>
      </c>
      <c r="B283" s="8" t="s">
        <v>1022</v>
      </c>
      <c r="C283" s="4"/>
      <c r="D283" s="9"/>
      <c r="E283" s="46">
        <v>45838</v>
      </c>
      <c r="F283" s="36" t="s">
        <v>1021</v>
      </c>
    </row>
    <row r="284" spans="1:6">
      <c r="A284" s="8" t="s">
        <v>15164</v>
      </c>
      <c r="B284" s="8" t="s">
        <v>1022</v>
      </c>
      <c r="C284" s="4"/>
      <c r="D284" s="9"/>
      <c r="E284" s="46">
        <v>45838</v>
      </c>
      <c r="F284" s="36" t="s">
        <v>1021</v>
      </c>
    </row>
    <row r="285" spans="1:6">
      <c r="A285" s="8" t="s">
        <v>15170</v>
      </c>
      <c r="B285" s="8" t="s">
        <v>1022</v>
      </c>
      <c r="C285" s="4"/>
      <c r="D285" s="9"/>
      <c r="E285" s="46">
        <v>45839</v>
      </c>
      <c r="F285" s="36" t="s">
        <v>1021</v>
      </c>
    </row>
    <row r="286" spans="1:6">
      <c r="A286" s="8" t="s">
        <v>15172</v>
      </c>
      <c r="B286" s="8" t="s">
        <v>1022</v>
      </c>
      <c r="C286" s="4"/>
      <c r="D286" s="9"/>
      <c r="E286" s="46">
        <v>45839</v>
      </c>
      <c r="F286" s="36" t="s">
        <v>1021</v>
      </c>
    </row>
    <row r="287" spans="1:6">
      <c r="A287" s="8" t="s">
        <v>15176</v>
      </c>
      <c r="B287" s="8" t="s">
        <v>1022</v>
      </c>
      <c r="C287" s="4"/>
      <c r="D287" s="9"/>
      <c r="E287" s="46">
        <v>45839</v>
      </c>
      <c r="F287" s="36" t="s">
        <v>1021</v>
      </c>
    </row>
    <row r="288" spans="1:6">
      <c r="A288" s="8" t="s">
        <v>15178</v>
      </c>
      <c r="B288" s="8" t="s">
        <v>1022</v>
      </c>
      <c r="C288" s="4"/>
      <c r="D288" s="9"/>
      <c r="E288" s="46">
        <v>45840</v>
      </c>
      <c r="F288" s="36" t="s">
        <v>1021</v>
      </c>
    </row>
    <row r="289" spans="1:6">
      <c r="A289" s="8" t="s">
        <v>15179</v>
      </c>
      <c r="B289" s="8" t="s">
        <v>1022</v>
      </c>
      <c r="C289" s="4"/>
      <c r="D289" s="9"/>
      <c r="E289" s="46">
        <v>45840</v>
      </c>
      <c r="F289" s="36" t="s">
        <v>1021</v>
      </c>
    </row>
    <row r="290" spans="1:6">
      <c r="A290" s="8" t="s">
        <v>15180</v>
      </c>
      <c r="B290" s="8" t="s">
        <v>1022</v>
      </c>
      <c r="C290" s="4"/>
      <c r="D290" s="9"/>
      <c r="E290" s="46">
        <v>45840</v>
      </c>
      <c r="F290" s="36" t="s">
        <v>1021</v>
      </c>
    </row>
    <row r="291" spans="1:6">
      <c r="A291" s="8" t="s">
        <v>15181</v>
      </c>
      <c r="B291" s="8" t="s">
        <v>1022</v>
      </c>
      <c r="C291" s="4"/>
      <c r="D291" s="9"/>
      <c r="E291" s="46">
        <v>45841</v>
      </c>
      <c r="F291" s="36" t="s">
        <v>1021</v>
      </c>
    </row>
    <row r="292" spans="1:6">
      <c r="A292" s="8" t="s">
        <v>15182</v>
      </c>
      <c r="B292" s="8" t="s">
        <v>1022</v>
      </c>
      <c r="C292" s="4"/>
      <c r="D292" s="9"/>
      <c r="E292" s="46">
        <v>45841</v>
      </c>
      <c r="F292" s="36" t="s">
        <v>1021</v>
      </c>
    </row>
    <row r="293" spans="1:6">
      <c r="A293" s="8" t="s">
        <v>15183</v>
      </c>
      <c r="B293" s="8" t="s">
        <v>1022</v>
      </c>
      <c r="C293" s="4"/>
      <c r="D293" s="9"/>
      <c r="E293" s="46">
        <v>45841</v>
      </c>
      <c r="F293" s="36" t="s">
        <v>1021</v>
      </c>
    </row>
    <row r="294" spans="1:6">
      <c r="A294" s="8" t="s">
        <v>15184</v>
      </c>
      <c r="B294" s="8" t="s">
        <v>1022</v>
      </c>
      <c r="C294" s="4"/>
      <c r="D294" s="9"/>
      <c r="E294" s="46">
        <v>45867</v>
      </c>
      <c r="F294" s="36" t="s">
        <v>1021</v>
      </c>
    </row>
    <row r="295" spans="1:6">
      <c r="A295" s="8" t="s">
        <v>15186</v>
      </c>
      <c r="B295" s="8" t="s">
        <v>1022</v>
      </c>
      <c r="C295" s="4"/>
      <c r="D295" s="9"/>
      <c r="E295" s="46">
        <v>45859</v>
      </c>
      <c r="F295" s="36" t="s">
        <v>1021</v>
      </c>
    </row>
    <row r="296" spans="1:6">
      <c r="A296" s="8" t="s">
        <v>15263</v>
      </c>
      <c r="B296" s="8" t="s">
        <v>1025</v>
      </c>
      <c r="C296" s="4" t="s">
        <v>44</v>
      </c>
      <c r="D296" s="9"/>
      <c r="E296" s="46"/>
      <c r="F296" s="36"/>
    </row>
    <row r="297" spans="1:6">
      <c r="A297" s="8" t="s">
        <v>15269</v>
      </c>
      <c r="B297" s="8" t="s">
        <v>1022</v>
      </c>
      <c r="C297" s="4"/>
      <c r="D297" s="9"/>
      <c r="E297" s="46">
        <v>45873</v>
      </c>
      <c r="F297" s="36" t="s">
        <v>1021</v>
      </c>
    </row>
    <row r="298" spans="1:6">
      <c r="A298" s="8" t="s">
        <v>15277</v>
      </c>
      <c r="B298" s="8" t="s">
        <v>1022</v>
      </c>
      <c r="C298" s="4"/>
      <c r="D298" s="9"/>
      <c r="E298" s="46">
        <v>45856</v>
      </c>
      <c r="F298" s="36" t="s">
        <v>1021</v>
      </c>
    </row>
    <row r="299" spans="1:6">
      <c r="A299" s="8" t="s">
        <v>15308</v>
      </c>
      <c r="B299" s="8" t="s">
        <v>1022</v>
      </c>
      <c r="C299" s="4"/>
      <c r="D299" s="9"/>
      <c r="E299" s="132">
        <v>45856</v>
      </c>
      <c r="F299" s="35" t="s">
        <v>1021</v>
      </c>
    </row>
    <row r="300" spans="1:6">
      <c r="A300" s="8" t="s">
        <v>15346</v>
      </c>
      <c r="B300" s="8" t="s">
        <v>1022</v>
      </c>
      <c r="C300" s="4"/>
      <c r="D300" s="9"/>
      <c r="E300" s="46">
        <v>45870</v>
      </c>
      <c r="F300" s="36" t="s">
        <v>1021</v>
      </c>
    </row>
    <row r="301" spans="1:6">
      <c r="A301" s="8" t="s">
        <v>15432</v>
      </c>
      <c r="B301" s="8" t="s">
        <v>1022</v>
      </c>
      <c r="C301" s="4"/>
      <c r="D301" s="9"/>
      <c r="E301" s="46">
        <v>45944</v>
      </c>
      <c r="F301" s="36" t="s">
        <v>1021</v>
      </c>
    </row>
    <row r="302" spans="1:6">
      <c r="A302" s="8" t="s">
        <v>15448</v>
      </c>
      <c r="B302" s="8" t="s">
        <v>1027</v>
      </c>
      <c r="C302" s="4"/>
      <c r="D302" s="9"/>
      <c r="E302" s="46"/>
      <c r="F302" s="36" t="s">
        <v>1021</v>
      </c>
    </row>
    <row r="303" spans="1:6">
      <c r="A303" s="8" t="s">
        <v>15449</v>
      </c>
      <c r="B303" s="8" t="s">
        <v>1022</v>
      </c>
      <c r="C303" s="4"/>
      <c r="D303" s="9"/>
      <c r="E303" s="46">
        <v>45930</v>
      </c>
      <c r="F303" s="36" t="s">
        <v>1021</v>
      </c>
    </row>
    <row r="304" spans="1:6">
      <c r="A304" s="8" t="s">
        <v>15451</v>
      </c>
      <c r="B304" s="8" t="s">
        <v>1022</v>
      </c>
      <c r="C304" s="4"/>
      <c r="D304" s="9"/>
      <c r="E304" s="46">
        <v>45969</v>
      </c>
      <c r="F304" s="36" t="s">
        <v>1021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9181-DC81-4DBA-99DB-0993A3CCEAAC}">
  <sheetPr>
    <tabColor theme="0" tint="-0.14999847407452621"/>
  </sheetPr>
  <dimension ref="A1:O66"/>
  <sheetViews>
    <sheetView zoomScale="85" zoomScaleNormal="85" workbookViewId="0">
      <pane ySplit="1" topLeftCell="A2" activePane="bottomLeft" state="frozen"/>
      <selection pane="bottomLeft" activeCell="K20" sqref="K20"/>
    </sheetView>
  </sheetViews>
  <sheetFormatPr defaultRowHeight="15"/>
  <cols>
    <col min="1" max="1" width="13.42578125" bestFit="1" customWidth="1"/>
    <col min="2" max="2" width="14.85546875" bestFit="1" customWidth="1"/>
    <col min="3" max="3" width="15" bestFit="1" customWidth="1"/>
    <col min="4" max="4" width="15.140625" bestFit="1" customWidth="1"/>
    <col min="5" max="5" width="9.28515625" bestFit="1" customWidth="1"/>
    <col min="6" max="6" width="33" bestFit="1" customWidth="1"/>
    <col min="7" max="7" width="21.140625" bestFit="1" customWidth="1"/>
    <col min="8" max="8" width="16.85546875" bestFit="1" customWidth="1"/>
    <col min="9" max="9" width="17" style="119" bestFit="1" customWidth="1"/>
    <col min="10" max="10" width="18" style="133" bestFit="1" customWidth="1"/>
    <col min="11" max="11" width="18.85546875" style="96" bestFit="1" customWidth="1"/>
    <col min="12" max="12" width="15" style="96" bestFit="1" customWidth="1"/>
    <col min="13" max="13" width="13.140625" style="94" bestFit="1" customWidth="1"/>
    <col min="14" max="14" width="18.85546875" style="95" bestFit="1" customWidth="1"/>
    <col min="15" max="15" width="20.42578125" style="94" bestFit="1" customWidth="1"/>
  </cols>
  <sheetData>
    <row r="1" spans="1:15">
      <c r="A1" s="100" t="s">
        <v>1030</v>
      </c>
      <c r="B1" s="100" t="s">
        <v>36</v>
      </c>
      <c r="C1" s="100" t="s">
        <v>108</v>
      </c>
      <c r="D1" s="100" t="s">
        <v>113</v>
      </c>
      <c r="E1" s="100" t="s">
        <v>3</v>
      </c>
      <c r="F1" s="100" t="s">
        <v>810</v>
      </c>
      <c r="G1" s="100" t="s">
        <v>1031</v>
      </c>
      <c r="H1" s="100" t="s">
        <v>1033</v>
      </c>
      <c r="I1" s="118" t="s">
        <v>1032</v>
      </c>
      <c r="J1" s="118" t="s">
        <v>16</v>
      </c>
      <c r="K1" s="98" t="s">
        <v>1034</v>
      </c>
      <c r="L1" s="99" t="s">
        <v>812</v>
      </c>
      <c r="M1" s="97" t="s">
        <v>813</v>
      </c>
      <c r="N1" s="98" t="s">
        <v>20</v>
      </c>
      <c r="O1" s="97" t="s">
        <v>814</v>
      </c>
    </row>
    <row r="2" spans="1:15">
      <c r="A2" t="s">
        <v>816</v>
      </c>
      <c r="B2" t="s">
        <v>39</v>
      </c>
      <c r="C2" t="s">
        <v>135</v>
      </c>
      <c r="D2" t="s">
        <v>115</v>
      </c>
      <c r="E2" t="s">
        <v>1029</v>
      </c>
      <c r="F2" t="s">
        <v>817</v>
      </c>
      <c r="G2" s="176">
        <v>36526</v>
      </c>
      <c r="H2" s="175">
        <v>0.13</v>
      </c>
      <c r="I2" s="145">
        <v>26.99</v>
      </c>
      <c r="J2" s="133">
        <v>14.99</v>
      </c>
      <c r="K2" s="96">
        <f t="shared" ref="K2:K46" si="0">I2*H2</f>
        <v>3.5086999999999997</v>
      </c>
      <c r="L2" s="96">
        <v>0</v>
      </c>
      <c r="M2" s="94">
        <f t="shared" ref="M2:M45" si="1">N2/I2</f>
        <v>0.31460911448684697</v>
      </c>
      <c r="N2" s="96">
        <f t="shared" ref="N2:N42" si="2">I2-SUM(J2:L2)</f>
        <v>8.491299999999999</v>
      </c>
      <c r="O2" s="96">
        <f t="shared" ref="O2:O42" si="3">N2/2</f>
        <v>4.2456499999999995</v>
      </c>
    </row>
    <row r="3" spans="1:15">
      <c r="A3" t="s">
        <v>818</v>
      </c>
      <c r="B3" t="s">
        <v>43</v>
      </c>
      <c r="C3" t="s">
        <v>819</v>
      </c>
      <c r="D3" t="s">
        <v>820</v>
      </c>
      <c r="E3" t="s">
        <v>1028</v>
      </c>
      <c r="F3" t="s">
        <v>821</v>
      </c>
      <c r="G3" s="176">
        <v>36526</v>
      </c>
      <c r="H3" s="175">
        <v>0.13</v>
      </c>
      <c r="I3" s="145">
        <v>32.99</v>
      </c>
      <c r="J3" s="133">
        <v>17.98</v>
      </c>
      <c r="K3" s="96">
        <f t="shared" si="0"/>
        <v>4.2887000000000004</v>
      </c>
      <c r="L3" s="96">
        <v>0</v>
      </c>
      <c r="M3" s="94">
        <f t="shared" si="1"/>
        <v>0.32498635950287963</v>
      </c>
      <c r="N3" s="96">
        <f t="shared" si="2"/>
        <v>10.721299999999999</v>
      </c>
      <c r="O3" s="96">
        <f t="shared" si="3"/>
        <v>5.3606499999999997</v>
      </c>
    </row>
    <row r="4" spans="1:15">
      <c r="A4" t="s">
        <v>822</v>
      </c>
      <c r="B4" t="s">
        <v>38</v>
      </c>
      <c r="C4" t="s">
        <v>823</v>
      </c>
      <c r="D4" t="s">
        <v>148</v>
      </c>
      <c r="E4" t="s">
        <v>1028</v>
      </c>
      <c r="F4" t="s">
        <v>824</v>
      </c>
      <c r="G4" s="176">
        <v>36526</v>
      </c>
      <c r="H4" s="175">
        <v>0.15</v>
      </c>
      <c r="I4" s="145">
        <v>24.99</v>
      </c>
      <c r="J4" s="133">
        <v>10</v>
      </c>
      <c r="K4" s="96">
        <f t="shared" si="0"/>
        <v>3.7484999999999995</v>
      </c>
      <c r="L4" s="96">
        <v>0</v>
      </c>
      <c r="M4" s="94">
        <f t="shared" si="1"/>
        <v>0.4498399359743897</v>
      </c>
      <c r="N4" s="96">
        <f t="shared" si="2"/>
        <v>11.241499999999998</v>
      </c>
      <c r="O4" s="96">
        <f t="shared" si="3"/>
        <v>5.6207499999999992</v>
      </c>
    </row>
    <row r="5" spans="1:15">
      <c r="A5" t="s">
        <v>825</v>
      </c>
      <c r="B5" t="s">
        <v>42</v>
      </c>
      <c r="C5" t="s">
        <v>109</v>
      </c>
      <c r="D5" t="s">
        <v>122</v>
      </c>
      <c r="E5" t="s">
        <v>1028</v>
      </c>
      <c r="F5" t="s">
        <v>826</v>
      </c>
      <c r="G5" s="176">
        <v>36526</v>
      </c>
      <c r="H5" s="175">
        <v>0.15</v>
      </c>
      <c r="I5" s="145">
        <v>24.99</v>
      </c>
      <c r="J5" s="133">
        <v>10</v>
      </c>
      <c r="K5" s="96">
        <f t="shared" si="0"/>
        <v>3.7484999999999995</v>
      </c>
      <c r="L5" s="96">
        <v>0</v>
      </c>
      <c r="M5" s="94">
        <f t="shared" si="1"/>
        <v>0.4498399359743897</v>
      </c>
      <c r="N5" s="96">
        <f t="shared" si="2"/>
        <v>11.241499999999998</v>
      </c>
      <c r="O5" s="96">
        <f t="shared" si="3"/>
        <v>5.6207499999999992</v>
      </c>
    </row>
    <row r="6" spans="1:15">
      <c r="A6" t="s">
        <v>827</v>
      </c>
      <c r="B6" t="s">
        <v>40</v>
      </c>
      <c r="C6" t="s">
        <v>828</v>
      </c>
      <c r="D6" t="s">
        <v>128</v>
      </c>
      <c r="E6" t="s">
        <v>1029</v>
      </c>
      <c r="F6" t="s">
        <v>829</v>
      </c>
      <c r="G6" s="176">
        <v>36526</v>
      </c>
      <c r="H6" s="175">
        <v>0.14000000000000001</v>
      </c>
      <c r="I6" s="145">
        <v>25.99</v>
      </c>
      <c r="J6" s="133">
        <v>12.33</v>
      </c>
      <c r="K6" s="96">
        <f t="shared" si="0"/>
        <v>3.6386000000000003</v>
      </c>
      <c r="L6" s="96">
        <v>0</v>
      </c>
      <c r="M6" s="94">
        <f t="shared" si="1"/>
        <v>0.38558676414005383</v>
      </c>
      <c r="N6" s="96">
        <f t="shared" si="2"/>
        <v>10.021399999999998</v>
      </c>
      <c r="O6" s="96">
        <f t="shared" si="3"/>
        <v>5.010699999999999</v>
      </c>
    </row>
    <row r="7" spans="1:15">
      <c r="A7" t="s">
        <v>830</v>
      </c>
      <c r="B7" s="52" t="s">
        <v>41</v>
      </c>
      <c r="C7" s="52" t="s">
        <v>150</v>
      </c>
      <c r="D7" s="52" t="s">
        <v>139</v>
      </c>
      <c r="E7" t="s">
        <v>1029</v>
      </c>
      <c r="F7" t="s">
        <v>831</v>
      </c>
      <c r="G7" s="176">
        <v>36526</v>
      </c>
      <c r="H7" s="175">
        <v>0.13</v>
      </c>
      <c r="I7" s="145">
        <v>50.99</v>
      </c>
      <c r="J7" s="133">
        <f>9.78+4.97</f>
        <v>14.75</v>
      </c>
      <c r="K7" s="96">
        <f t="shared" si="0"/>
        <v>6.6287000000000003</v>
      </c>
      <c r="L7" s="96">
        <v>0</v>
      </c>
      <c r="M7" s="94">
        <f t="shared" si="1"/>
        <v>0.58072759364581283</v>
      </c>
      <c r="N7" s="96">
        <f t="shared" si="2"/>
        <v>29.6113</v>
      </c>
      <c r="O7" s="96">
        <f t="shared" si="3"/>
        <v>14.80565</v>
      </c>
    </row>
    <row r="8" spans="1:15">
      <c r="A8" t="s">
        <v>832</v>
      </c>
      <c r="B8" s="52" t="s">
        <v>49</v>
      </c>
      <c r="C8" s="52" t="s">
        <v>37</v>
      </c>
      <c r="D8" s="52" t="s">
        <v>147</v>
      </c>
      <c r="E8" t="s">
        <v>1029</v>
      </c>
      <c r="F8" t="s">
        <v>833</v>
      </c>
      <c r="G8" s="176">
        <v>36526</v>
      </c>
      <c r="H8" s="175">
        <v>0.13</v>
      </c>
      <c r="I8" s="145">
        <v>36.99</v>
      </c>
      <c r="J8" s="133">
        <v>20.89</v>
      </c>
      <c r="K8" s="96">
        <f t="shared" si="0"/>
        <v>4.8087000000000009</v>
      </c>
      <c r="L8" s="96">
        <v>0</v>
      </c>
      <c r="M8" s="94">
        <f t="shared" si="1"/>
        <v>0.30525277101919435</v>
      </c>
      <c r="N8" s="96">
        <f t="shared" si="2"/>
        <v>11.2913</v>
      </c>
      <c r="O8" s="96">
        <f t="shared" si="3"/>
        <v>5.6456499999999998</v>
      </c>
    </row>
    <row r="9" spans="1:15">
      <c r="A9" t="s">
        <v>815</v>
      </c>
      <c r="B9" s="8" t="s">
        <v>54</v>
      </c>
      <c r="C9" s="8" t="s">
        <v>37</v>
      </c>
      <c r="D9" s="8" t="s">
        <v>37</v>
      </c>
      <c r="E9" t="s">
        <v>1029</v>
      </c>
      <c r="F9" t="s">
        <v>834</v>
      </c>
      <c r="G9" s="176">
        <v>36526</v>
      </c>
      <c r="H9" s="175">
        <v>0.13</v>
      </c>
      <c r="I9" s="145">
        <v>100</v>
      </c>
      <c r="J9" s="133">
        <v>10.039999999999999</v>
      </c>
      <c r="K9" s="96">
        <f t="shared" si="0"/>
        <v>13</v>
      </c>
      <c r="L9" s="96">
        <v>1</v>
      </c>
      <c r="M9" s="94">
        <f t="shared" si="1"/>
        <v>0.75960000000000005</v>
      </c>
      <c r="N9" s="96">
        <f t="shared" si="2"/>
        <v>75.960000000000008</v>
      </c>
      <c r="O9" s="96">
        <f t="shared" si="3"/>
        <v>37.980000000000004</v>
      </c>
    </row>
    <row r="10" spans="1:15">
      <c r="A10" t="s">
        <v>835</v>
      </c>
      <c r="B10" t="s">
        <v>55</v>
      </c>
      <c r="C10" t="s">
        <v>37</v>
      </c>
      <c r="D10" t="s">
        <v>143</v>
      </c>
      <c r="E10" t="s">
        <v>1029</v>
      </c>
      <c r="F10" t="s">
        <v>836</v>
      </c>
      <c r="G10" s="176">
        <v>36526</v>
      </c>
      <c r="H10" s="175">
        <v>0.13</v>
      </c>
      <c r="I10" s="145">
        <v>35.99</v>
      </c>
      <c r="J10" s="133">
        <v>20.99</v>
      </c>
      <c r="K10" s="96">
        <f t="shared" si="0"/>
        <v>4.6787000000000001</v>
      </c>
      <c r="L10" s="96">
        <v>0</v>
      </c>
      <c r="M10" s="94">
        <f t="shared" si="1"/>
        <v>0.28678243956654637</v>
      </c>
      <c r="N10" s="96">
        <f t="shared" si="2"/>
        <v>10.321300000000004</v>
      </c>
      <c r="O10" s="96">
        <f t="shared" si="3"/>
        <v>5.1606500000000022</v>
      </c>
    </row>
    <row r="11" spans="1:15">
      <c r="A11" t="s">
        <v>837</v>
      </c>
      <c r="B11" t="s">
        <v>59</v>
      </c>
      <c r="C11" t="s">
        <v>37</v>
      </c>
      <c r="D11" t="s">
        <v>838</v>
      </c>
      <c r="E11" t="s">
        <v>1028</v>
      </c>
      <c r="F11" t="s">
        <v>839</v>
      </c>
      <c r="G11" s="176">
        <v>36526</v>
      </c>
      <c r="H11" s="175">
        <v>0.15</v>
      </c>
      <c r="I11" s="145">
        <v>39.99</v>
      </c>
      <c r="J11" s="133">
        <v>18.55</v>
      </c>
      <c r="K11" s="96">
        <f t="shared" si="0"/>
        <v>5.9984999999999999</v>
      </c>
      <c r="L11" s="96">
        <v>0</v>
      </c>
      <c r="M11" s="94">
        <f t="shared" si="1"/>
        <v>0.38613403350837711</v>
      </c>
      <c r="N11" s="96">
        <f t="shared" si="2"/>
        <v>15.441500000000001</v>
      </c>
      <c r="O11" s="96">
        <f t="shared" si="3"/>
        <v>7.7207500000000007</v>
      </c>
    </row>
    <row r="12" spans="1:15">
      <c r="A12" t="s">
        <v>840</v>
      </c>
      <c r="B12" t="s">
        <v>841</v>
      </c>
      <c r="C12" t="s">
        <v>37</v>
      </c>
      <c r="D12" t="s">
        <v>842</v>
      </c>
      <c r="E12" t="s">
        <v>1028</v>
      </c>
      <c r="F12" t="s">
        <v>843</v>
      </c>
      <c r="G12" s="176">
        <v>36526</v>
      </c>
      <c r="H12" s="175">
        <v>0.15</v>
      </c>
      <c r="I12" s="145">
        <v>29.99</v>
      </c>
      <c r="J12" s="133">
        <f>6.99+3.22</f>
        <v>10.210000000000001</v>
      </c>
      <c r="K12" s="96">
        <f t="shared" si="0"/>
        <v>4.4984999999999999</v>
      </c>
      <c r="L12" s="96">
        <v>0</v>
      </c>
      <c r="M12" s="94">
        <f t="shared" si="1"/>
        <v>0.50955318439479824</v>
      </c>
      <c r="N12" s="96">
        <f t="shared" si="2"/>
        <v>15.281499999999998</v>
      </c>
      <c r="O12" s="96">
        <f t="shared" si="3"/>
        <v>7.6407499999999988</v>
      </c>
    </row>
    <row r="13" spans="1:15">
      <c r="A13" t="s">
        <v>844</v>
      </c>
      <c r="B13" t="s">
        <v>67</v>
      </c>
      <c r="C13" t="s">
        <v>149</v>
      </c>
      <c r="D13" t="s">
        <v>137</v>
      </c>
      <c r="E13" t="s">
        <v>1029</v>
      </c>
      <c r="F13" t="s">
        <v>845</v>
      </c>
      <c r="G13" s="176">
        <v>36526</v>
      </c>
      <c r="H13" s="175">
        <v>0.13</v>
      </c>
      <c r="I13" s="145">
        <v>48.5</v>
      </c>
      <c r="J13" s="133">
        <f>8.53+4.37</f>
        <v>12.899999999999999</v>
      </c>
      <c r="K13" s="96">
        <f t="shared" si="0"/>
        <v>6.3050000000000006</v>
      </c>
      <c r="L13" s="96">
        <v>0</v>
      </c>
      <c r="M13" s="94">
        <f t="shared" si="1"/>
        <v>0.60402061855670108</v>
      </c>
      <c r="N13" s="96">
        <f t="shared" si="2"/>
        <v>29.295000000000002</v>
      </c>
      <c r="O13" s="96">
        <f t="shared" si="3"/>
        <v>14.647500000000001</v>
      </c>
    </row>
    <row r="14" spans="1:15">
      <c r="A14" t="s">
        <v>815</v>
      </c>
      <c r="B14" t="s">
        <v>846</v>
      </c>
      <c r="C14" t="s">
        <v>37</v>
      </c>
      <c r="D14" t="s">
        <v>37</v>
      </c>
      <c r="E14" t="s">
        <v>1029</v>
      </c>
      <c r="F14" t="s">
        <v>847</v>
      </c>
      <c r="G14" s="176">
        <v>36526</v>
      </c>
      <c r="H14" s="175">
        <v>0.13</v>
      </c>
      <c r="I14" s="145">
        <v>200</v>
      </c>
      <c r="J14" s="133">
        <v>70</v>
      </c>
      <c r="K14" s="96">
        <f t="shared" si="0"/>
        <v>26</v>
      </c>
      <c r="L14" s="96">
        <v>1</v>
      </c>
      <c r="M14" s="94">
        <f t="shared" si="1"/>
        <v>0.51500000000000001</v>
      </c>
      <c r="N14" s="96">
        <f t="shared" si="2"/>
        <v>103</v>
      </c>
      <c r="O14" s="96">
        <f t="shared" si="3"/>
        <v>51.5</v>
      </c>
    </row>
    <row r="15" spans="1:15">
      <c r="A15" t="s">
        <v>815</v>
      </c>
      <c r="B15" t="s">
        <v>62</v>
      </c>
      <c r="C15" t="s">
        <v>37</v>
      </c>
      <c r="D15" t="s">
        <v>37</v>
      </c>
      <c r="E15" t="s">
        <v>1029</v>
      </c>
      <c r="F15" t="s">
        <v>848</v>
      </c>
      <c r="G15" s="176">
        <v>36526</v>
      </c>
      <c r="H15" s="175">
        <v>0.14000000000000001</v>
      </c>
      <c r="I15" s="145">
        <v>200</v>
      </c>
      <c r="J15" s="133">
        <f>6.99+3.2</f>
        <v>10.190000000000001</v>
      </c>
      <c r="K15" s="96">
        <f t="shared" si="0"/>
        <v>28.000000000000004</v>
      </c>
      <c r="L15" s="96">
        <v>1</v>
      </c>
      <c r="M15" s="94">
        <f t="shared" si="1"/>
        <v>0.80405000000000004</v>
      </c>
      <c r="N15" s="96">
        <f t="shared" si="2"/>
        <v>160.81</v>
      </c>
      <c r="O15" s="96">
        <f t="shared" si="3"/>
        <v>80.405000000000001</v>
      </c>
    </row>
    <row r="16" spans="1:15">
      <c r="A16" t="s">
        <v>37</v>
      </c>
      <c r="B16" t="s">
        <v>61</v>
      </c>
      <c r="C16" t="s">
        <v>111</v>
      </c>
      <c r="D16" t="s">
        <v>116</v>
      </c>
      <c r="E16" t="s">
        <v>1029</v>
      </c>
      <c r="F16" t="s">
        <v>849</v>
      </c>
      <c r="G16" s="176">
        <v>36526</v>
      </c>
      <c r="H16" s="175">
        <v>0.13</v>
      </c>
      <c r="I16" s="145">
        <v>55.99</v>
      </c>
      <c r="J16" s="133">
        <f>11.07+5.59</f>
        <v>16.66</v>
      </c>
      <c r="K16" s="96">
        <f t="shared" si="0"/>
        <v>7.2787000000000006</v>
      </c>
      <c r="L16" s="96">
        <v>0</v>
      </c>
      <c r="M16" s="94">
        <f t="shared" si="1"/>
        <v>0.57244686551169843</v>
      </c>
      <c r="N16" s="96">
        <f t="shared" si="2"/>
        <v>32.051299999999998</v>
      </c>
      <c r="O16" s="96">
        <f t="shared" si="3"/>
        <v>16.025649999999999</v>
      </c>
    </row>
    <row r="17" spans="1:15">
      <c r="A17" t="s">
        <v>850</v>
      </c>
      <c r="B17" s="2" t="s">
        <v>68</v>
      </c>
      <c r="C17" s="2" t="s">
        <v>37</v>
      </c>
      <c r="D17" s="2" t="s">
        <v>851</v>
      </c>
      <c r="E17" t="s">
        <v>1028</v>
      </c>
      <c r="F17" t="s">
        <v>852</v>
      </c>
      <c r="G17" s="176">
        <v>36526</v>
      </c>
      <c r="H17" s="175">
        <v>0.12</v>
      </c>
      <c r="I17" s="145">
        <v>19.89</v>
      </c>
      <c r="J17" s="133">
        <v>6.99</v>
      </c>
      <c r="K17" s="96">
        <f t="shared" si="0"/>
        <v>2.3868</v>
      </c>
      <c r="L17" s="96">
        <v>0</v>
      </c>
      <c r="M17" s="94">
        <f t="shared" si="1"/>
        <v>0.52856711915535448</v>
      </c>
      <c r="N17" s="96">
        <f t="shared" si="2"/>
        <v>10.513200000000001</v>
      </c>
      <c r="O17" s="96">
        <f t="shared" si="3"/>
        <v>5.2566000000000006</v>
      </c>
    </row>
    <row r="18" spans="1:15">
      <c r="A18" t="s">
        <v>815</v>
      </c>
      <c r="B18" t="s">
        <v>73</v>
      </c>
      <c r="C18" t="s">
        <v>37</v>
      </c>
      <c r="D18" t="s">
        <v>37</v>
      </c>
      <c r="E18" t="s">
        <v>1029</v>
      </c>
      <c r="F18" t="s">
        <v>853</v>
      </c>
      <c r="G18" s="176">
        <v>36526</v>
      </c>
      <c r="H18" s="175">
        <v>0.14000000000000001</v>
      </c>
      <c r="I18" s="145">
        <v>300</v>
      </c>
      <c r="J18" s="133">
        <v>7.3</v>
      </c>
      <c r="K18" s="96">
        <f t="shared" si="0"/>
        <v>42.000000000000007</v>
      </c>
      <c r="L18" s="96">
        <v>1</v>
      </c>
      <c r="M18" s="94">
        <f t="shared" si="1"/>
        <v>0.83233333333333326</v>
      </c>
      <c r="N18" s="96">
        <f t="shared" si="2"/>
        <v>249.7</v>
      </c>
      <c r="O18" s="96">
        <f t="shared" si="3"/>
        <v>124.85</v>
      </c>
    </row>
    <row r="19" spans="1:15">
      <c r="A19" t="s">
        <v>854</v>
      </c>
      <c r="B19" t="s">
        <v>81</v>
      </c>
      <c r="C19" t="s">
        <v>133</v>
      </c>
      <c r="D19" t="s">
        <v>138</v>
      </c>
      <c r="E19" t="s">
        <v>1029</v>
      </c>
      <c r="F19" t="s">
        <v>855</v>
      </c>
      <c r="G19" s="176">
        <v>36526</v>
      </c>
      <c r="H19" s="175">
        <v>0.13</v>
      </c>
      <c r="I19" s="145">
        <v>24.75</v>
      </c>
      <c r="J19" s="133">
        <f>8.53+4.37</f>
        <v>12.899999999999999</v>
      </c>
      <c r="K19" s="96">
        <f t="shared" si="0"/>
        <v>3.2175000000000002</v>
      </c>
      <c r="L19" s="96">
        <v>0</v>
      </c>
      <c r="M19" s="94">
        <f t="shared" si="1"/>
        <v>0.34878787878787881</v>
      </c>
      <c r="N19" s="96">
        <f t="shared" si="2"/>
        <v>8.6325000000000003</v>
      </c>
      <c r="O19" s="96">
        <f t="shared" si="3"/>
        <v>4.3162500000000001</v>
      </c>
    </row>
    <row r="20" spans="1:15">
      <c r="A20" t="s">
        <v>856</v>
      </c>
      <c r="B20" t="s">
        <v>118</v>
      </c>
      <c r="C20" t="s">
        <v>37</v>
      </c>
      <c r="D20" t="s">
        <v>857</v>
      </c>
      <c r="E20" t="s">
        <v>1029</v>
      </c>
      <c r="F20" t="s">
        <v>858</v>
      </c>
      <c r="G20" s="176">
        <v>36526</v>
      </c>
      <c r="H20" s="175">
        <v>0.13</v>
      </c>
      <c r="I20" s="145">
        <f>19+22.98</f>
        <v>41.980000000000004</v>
      </c>
      <c r="J20" s="133">
        <v>30.22</v>
      </c>
      <c r="K20" s="96">
        <f t="shared" si="0"/>
        <v>5.4574000000000007</v>
      </c>
      <c r="L20" s="96">
        <v>0</v>
      </c>
      <c r="M20" s="94">
        <f t="shared" si="1"/>
        <v>0.15013339685564567</v>
      </c>
      <c r="N20" s="96">
        <f t="shared" si="2"/>
        <v>6.3026000000000053</v>
      </c>
      <c r="O20" s="96">
        <f t="shared" si="3"/>
        <v>3.1513000000000027</v>
      </c>
    </row>
    <row r="21" spans="1:15">
      <c r="A21" t="s">
        <v>859</v>
      </c>
      <c r="B21" t="s">
        <v>75</v>
      </c>
      <c r="C21" t="s">
        <v>131</v>
      </c>
      <c r="D21" t="s">
        <v>141</v>
      </c>
      <c r="E21" t="s">
        <v>1029</v>
      </c>
      <c r="F21" t="s">
        <v>860</v>
      </c>
      <c r="G21" s="176">
        <v>36526</v>
      </c>
      <c r="H21" s="175">
        <v>0.14000000000000001</v>
      </c>
      <c r="I21" s="145">
        <v>58.99</v>
      </c>
      <c r="J21" s="133">
        <v>41.99</v>
      </c>
      <c r="K21" s="96">
        <f t="shared" si="0"/>
        <v>8.2586000000000013</v>
      </c>
      <c r="L21" s="96">
        <v>0</v>
      </c>
      <c r="M21" s="94">
        <f t="shared" si="1"/>
        <v>0.14818443804034578</v>
      </c>
      <c r="N21" s="96">
        <f t="shared" si="2"/>
        <v>8.7413999999999987</v>
      </c>
      <c r="O21" s="96">
        <f t="shared" si="3"/>
        <v>4.3706999999999994</v>
      </c>
    </row>
    <row r="22" spans="1:15">
      <c r="A22" t="s">
        <v>861</v>
      </c>
      <c r="B22" t="s">
        <v>76</v>
      </c>
      <c r="C22" t="s">
        <v>862</v>
      </c>
      <c r="D22" t="s">
        <v>140</v>
      </c>
      <c r="E22" t="s">
        <v>1029</v>
      </c>
      <c r="F22" t="s">
        <v>848</v>
      </c>
      <c r="G22" s="176">
        <v>36526</v>
      </c>
      <c r="H22" s="175">
        <v>0.13</v>
      </c>
      <c r="I22" s="145">
        <v>99.99</v>
      </c>
      <c r="J22" s="133">
        <f>42.23+21.2</f>
        <v>63.429999999999993</v>
      </c>
      <c r="K22" s="96">
        <f t="shared" si="0"/>
        <v>12.998699999999999</v>
      </c>
      <c r="L22" s="96">
        <v>0</v>
      </c>
      <c r="M22" s="94">
        <f t="shared" si="1"/>
        <v>0.23563656365636568</v>
      </c>
      <c r="N22" s="96">
        <f t="shared" si="2"/>
        <v>23.561300000000003</v>
      </c>
      <c r="O22" s="96">
        <f t="shared" si="3"/>
        <v>11.780650000000001</v>
      </c>
    </row>
    <row r="23" spans="1:15">
      <c r="A23" t="s">
        <v>863</v>
      </c>
      <c r="B23" t="s">
        <v>82</v>
      </c>
      <c r="C23" t="s">
        <v>864</v>
      </c>
      <c r="D23" t="s">
        <v>865</v>
      </c>
      <c r="E23" t="s">
        <v>1029</v>
      </c>
      <c r="F23" t="s">
        <v>866</v>
      </c>
      <c r="G23" s="176">
        <v>36526</v>
      </c>
      <c r="H23" s="175">
        <v>0.14000000000000001</v>
      </c>
      <c r="I23" s="145">
        <v>58.99</v>
      </c>
      <c r="J23" s="133">
        <v>41.99</v>
      </c>
      <c r="K23" s="96">
        <f t="shared" si="0"/>
        <v>8.2586000000000013</v>
      </c>
      <c r="L23" s="96">
        <v>0</v>
      </c>
      <c r="M23" s="94">
        <f t="shared" si="1"/>
        <v>0.14818443804034578</v>
      </c>
      <c r="N23" s="96">
        <f t="shared" si="2"/>
        <v>8.7413999999999987</v>
      </c>
      <c r="O23" s="96">
        <f t="shared" si="3"/>
        <v>4.3706999999999994</v>
      </c>
    </row>
    <row r="24" spans="1:15">
      <c r="A24" t="s">
        <v>867</v>
      </c>
      <c r="B24" t="s">
        <v>83</v>
      </c>
      <c r="C24" t="s">
        <v>37</v>
      </c>
      <c r="D24" t="s">
        <v>868</v>
      </c>
      <c r="E24" t="s">
        <v>1029</v>
      </c>
      <c r="F24" t="s">
        <v>869</v>
      </c>
      <c r="G24" s="176">
        <v>36526</v>
      </c>
      <c r="H24" s="175">
        <v>0.13</v>
      </c>
      <c r="I24" s="162">
        <v>27.99</v>
      </c>
      <c r="J24" s="133">
        <f>6.99+3.17</f>
        <v>10.16</v>
      </c>
      <c r="K24" s="96">
        <f t="shared" si="0"/>
        <v>3.6387</v>
      </c>
      <c r="L24" s="96">
        <v>0</v>
      </c>
      <c r="M24" s="94">
        <f t="shared" si="1"/>
        <v>0.50701321900678809</v>
      </c>
      <c r="N24" s="96">
        <f t="shared" si="2"/>
        <v>14.191299999999998</v>
      </c>
      <c r="O24" s="96">
        <f t="shared" si="3"/>
        <v>7.0956499999999991</v>
      </c>
    </row>
    <row r="25" spans="1:15">
      <c r="A25" t="s">
        <v>870</v>
      </c>
      <c r="B25" t="s">
        <v>98</v>
      </c>
      <c r="C25" t="s">
        <v>871</v>
      </c>
      <c r="D25" t="s">
        <v>146</v>
      </c>
      <c r="E25" t="s">
        <v>1028</v>
      </c>
      <c r="F25" t="s">
        <v>872</v>
      </c>
      <c r="G25" s="176">
        <v>36526</v>
      </c>
      <c r="H25" s="175">
        <v>0.15</v>
      </c>
      <c r="I25" s="145">
        <v>27.5</v>
      </c>
      <c r="J25" s="133">
        <v>14.99</v>
      </c>
      <c r="K25" s="96">
        <f t="shared" si="0"/>
        <v>4.125</v>
      </c>
      <c r="L25" s="96">
        <v>0</v>
      </c>
      <c r="M25" s="94">
        <f t="shared" si="1"/>
        <v>0.30490909090909085</v>
      </c>
      <c r="N25" s="96">
        <f t="shared" si="2"/>
        <v>8.384999999999998</v>
      </c>
      <c r="O25" s="96">
        <f t="shared" si="3"/>
        <v>4.192499999999999</v>
      </c>
    </row>
    <row r="26" spans="1:15">
      <c r="A26" t="s">
        <v>870</v>
      </c>
      <c r="B26" t="s">
        <v>37</v>
      </c>
      <c r="C26" t="s">
        <v>873</v>
      </c>
      <c r="D26" t="s">
        <v>37</v>
      </c>
      <c r="E26" t="s">
        <v>1029</v>
      </c>
      <c r="F26" t="s">
        <v>872</v>
      </c>
      <c r="G26" s="176">
        <v>36526</v>
      </c>
      <c r="H26" s="175">
        <v>0.15</v>
      </c>
      <c r="I26" s="145">
        <v>27.5</v>
      </c>
      <c r="J26" s="133">
        <v>14.99</v>
      </c>
      <c r="K26" s="96">
        <f t="shared" si="0"/>
        <v>4.125</v>
      </c>
      <c r="L26" s="96">
        <v>0</v>
      </c>
      <c r="M26" s="94">
        <f t="shared" si="1"/>
        <v>0.30490909090909085</v>
      </c>
      <c r="N26" s="96">
        <f t="shared" si="2"/>
        <v>8.384999999999998</v>
      </c>
      <c r="O26" s="96">
        <f t="shared" si="3"/>
        <v>4.192499999999999</v>
      </c>
    </row>
    <row r="27" spans="1:15">
      <c r="A27" t="s">
        <v>874</v>
      </c>
      <c r="B27" t="s">
        <v>93</v>
      </c>
      <c r="C27" t="s">
        <v>875</v>
      </c>
      <c r="D27" t="s">
        <v>144</v>
      </c>
      <c r="E27" t="s">
        <v>1028</v>
      </c>
      <c r="F27" t="s">
        <v>876</v>
      </c>
      <c r="G27" s="176">
        <v>36526</v>
      </c>
      <c r="H27" s="175">
        <v>0.15</v>
      </c>
      <c r="I27" s="145">
        <v>49.9</v>
      </c>
      <c r="J27" s="133">
        <f>14.55+7.4</f>
        <v>21.950000000000003</v>
      </c>
      <c r="K27" s="96">
        <f t="shared" si="0"/>
        <v>7.4849999999999994</v>
      </c>
      <c r="L27" s="96">
        <v>0</v>
      </c>
      <c r="M27" s="94">
        <f t="shared" si="1"/>
        <v>0.41012024048096185</v>
      </c>
      <c r="N27" s="96">
        <f t="shared" si="2"/>
        <v>20.464999999999996</v>
      </c>
      <c r="O27" s="96">
        <f t="shared" si="3"/>
        <v>10.232499999999998</v>
      </c>
    </row>
    <row r="28" spans="1:15">
      <c r="A28" t="s">
        <v>37</v>
      </c>
      <c r="B28" t="s">
        <v>37</v>
      </c>
      <c r="C28" t="s">
        <v>877</v>
      </c>
      <c r="D28" t="s">
        <v>37</v>
      </c>
      <c r="E28" t="s">
        <v>1028</v>
      </c>
      <c r="F28" t="s">
        <v>878</v>
      </c>
      <c r="G28" s="176">
        <v>36526</v>
      </c>
      <c r="H28" s="175">
        <v>0.15</v>
      </c>
      <c r="I28" s="145">
        <v>32.99</v>
      </c>
      <c r="J28" s="133">
        <v>13</v>
      </c>
      <c r="K28" s="96">
        <f t="shared" si="0"/>
        <v>4.9485000000000001</v>
      </c>
      <c r="L28" s="96">
        <v>0</v>
      </c>
      <c r="M28" s="94">
        <f t="shared" si="1"/>
        <v>0.45594119430130348</v>
      </c>
      <c r="N28" s="96">
        <f t="shared" si="2"/>
        <v>15.041500000000003</v>
      </c>
      <c r="O28" s="96">
        <f t="shared" si="3"/>
        <v>7.5207500000000014</v>
      </c>
    </row>
    <row r="29" spans="1:15">
      <c r="A29" t="s">
        <v>37</v>
      </c>
      <c r="B29" t="s">
        <v>37</v>
      </c>
      <c r="C29" t="s">
        <v>119</v>
      </c>
      <c r="D29" t="s">
        <v>37</v>
      </c>
      <c r="E29" t="s">
        <v>1028</v>
      </c>
      <c r="F29" t="s">
        <v>879</v>
      </c>
      <c r="G29" s="176">
        <v>36526</v>
      </c>
      <c r="H29" s="175">
        <v>0.15</v>
      </c>
      <c r="I29" s="145">
        <v>65.989999999999995</v>
      </c>
      <c r="J29" s="133">
        <f>21.69+10.92</f>
        <v>32.61</v>
      </c>
      <c r="K29" s="96">
        <f t="shared" si="0"/>
        <v>9.8984999999999985</v>
      </c>
      <c r="L29" s="96">
        <v>0</v>
      </c>
      <c r="M29" s="94">
        <f t="shared" si="1"/>
        <v>0.35583421730565234</v>
      </c>
      <c r="N29" s="96">
        <f t="shared" si="2"/>
        <v>23.481499999999997</v>
      </c>
      <c r="O29" s="96">
        <f t="shared" si="3"/>
        <v>11.740749999999998</v>
      </c>
    </row>
    <row r="30" spans="1:15">
      <c r="A30" t="s">
        <v>37</v>
      </c>
      <c r="B30" t="s">
        <v>37</v>
      </c>
      <c r="C30" t="s">
        <v>880</v>
      </c>
      <c r="D30" t="s">
        <v>37</v>
      </c>
      <c r="E30" t="s">
        <v>1028</v>
      </c>
      <c r="F30" t="s">
        <v>881</v>
      </c>
      <c r="G30" s="176">
        <v>36526</v>
      </c>
      <c r="H30" s="175">
        <v>0.15</v>
      </c>
      <c r="I30" s="145">
        <v>65.989999999999995</v>
      </c>
      <c r="J30" s="133">
        <f>22.69+11.4</f>
        <v>34.090000000000003</v>
      </c>
      <c r="K30" s="96">
        <f t="shared" si="0"/>
        <v>9.8984999999999985</v>
      </c>
      <c r="L30" s="96">
        <v>0</v>
      </c>
      <c r="M30" s="94">
        <f t="shared" si="1"/>
        <v>0.33340657675405355</v>
      </c>
      <c r="N30" s="96">
        <f t="shared" si="2"/>
        <v>22.001499999999993</v>
      </c>
      <c r="O30" s="96">
        <f t="shared" si="3"/>
        <v>11.000749999999996</v>
      </c>
    </row>
    <row r="31" spans="1:15">
      <c r="A31" t="s">
        <v>37</v>
      </c>
      <c r="B31" t="s">
        <v>37</v>
      </c>
      <c r="C31" t="s">
        <v>130</v>
      </c>
      <c r="D31" t="s">
        <v>37</v>
      </c>
      <c r="E31" t="s">
        <v>1029</v>
      </c>
      <c r="F31" t="s">
        <v>882</v>
      </c>
      <c r="G31" s="176">
        <v>36526</v>
      </c>
      <c r="H31" s="175">
        <v>0.15</v>
      </c>
      <c r="I31" s="145">
        <v>62.99</v>
      </c>
      <c r="J31" s="133">
        <f>18.02+9.1</f>
        <v>27.119999999999997</v>
      </c>
      <c r="K31" s="96">
        <f t="shared" si="0"/>
        <v>9.4484999999999992</v>
      </c>
      <c r="L31" s="96">
        <v>0</v>
      </c>
      <c r="M31" s="94">
        <f t="shared" si="1"/>
        <v>0.41945546912208287</v>
      </c>
      <c r="N31" s="96">
        <f t="shared" si="2"/>
        <v>26.421500000000002</v>
      </c>
      <c r="O31" s="96">
        <f t="shared" si="3"/>
        <v>13.210750000000001</v>
      </c>
    </row>
    <row r="32" spans="1:15">
      <c r="A32" t="s">
        <v>37</v>
      </c>
      <c r="B32" t="s">
        <v>37</v>
      </c>
      <c r="C32" t="s">
        <v>120</v>
      </c>
      <c r="D32" t="s">
        <v>37</v>
      </c>
      <c r="E32" t="s">
        <v>1029</v>
      </c>
      <c r="F32" t="s">
        <v>883</v>
      </c>
      <c r="G32" s="176">
        <v>36526</v>
      </c>
      <c r="H32" s="175">
        <v>0.15</v>
      </c>
      <c r="I32" s="145">
        <v>33.99</v>
      </c>
      <c r="J32" s="133">
        <f>6.99+3.58</f>
        <v>10.57</v>
      </c>
      <c r="K32" s="96">
        <f t="shared" si="0"/>
        <v>5.0985000000000005</v>
      </c>
      <c r="L32" s="96">
        <v>0</v>
      </c>
      <c r="M32" s="94">
        <f t="shared" si="1"/>
        <v>0.53902618417181525</v>
      </c>
      <c r="N32" s="96">
        <f t="shared" si="2"/>
        <v>18.3215</v>
      </c>
      <c r="O32" s="96">
        <f t="shared" si="3"/>
        <v>9.1607500000000002</v>
      </c>
    </row>
    <row r="33" spans="1:15">
      <c r="A33" t="s">
        <v>37</v>
      </c>
      <c r="B33" t="s">
        <v>37</v>
      </c>
      <c r="C33" t="s">
        <v>110</v>
      </c>
      <c r="D33" t="s">
        <v>37</v>
      </c>
      <c r="E33" t="s">
        <v>1029</v>
      </c>
      <c r="F33" t="s">
        <v>884</v>
      </c>
      <c r="G33" s="176">
        <v>36526</v>
      </c>
      <c r="H33" s="175">
        <v>0.15</v>
      </c>
      <c r="I33" s="145">
        <v>42.99</v>
      </c>
      <c r="J33" s="133">
        <v>26.99</v>
      </c>
      <c r="K33" s="96">
        <f t="shared" si="0"/>
        <v>6.4485000000000001</v>
      </c>
      <c r="L33" s="96">
        <v>0</v>
      </c>
      <c r="M33" s="94">
        <f t="shared" si="1"/>
        <v>0.22217957664573165</v>
      </c>
      <c r="N33" s="96">
        <f t="shared" si="2"/>
        <v>9.5515000000000043</v>
      </c>
      <c r="O33" s="96">
        <f t="shared" si="3"/>
        <v>4.7757500000000022</v>
      </c>
    </row>
    <row r="34" spans="1:15">
      <c r="A34" t="s">
        <v>37</v>
      </c>
      <c r="B34" t="s">
        <v>37</v>
      </c>
      <c r="C34" t="s">
        <v>37</v>
      </c>
      <c r="D34" t="s">
        <v>114</v>
      </c>
      <c r="E34" t="s">
        <v>1028</v>
      </c>
      <c r="F34" t="s">
        <v>885</v>
      </c>
      <c r="G34" s="176">
        <v>36526</v>
      </c>
      <c r="H34" s="175">
        <v>0.12</v>
      </c>
      <c r="I34" s="145">
        <v>60.99</v>
      </c>
      <c r="J34" s="133">
        <f>26.97+12.14</f>
        <v>39.11</v>
      </c>
      <c r="K34" s="96">
        <f t="shared" si="0"/>
        <v>7.3187999999999995</v>
      </c>
      <c r="L34" s="96">
        <v>0</v>
      </c>
      <c r="M34" s="94">
        <f t="shared" si="1"/>
        <v>0.23874733562879172</v>
      </c>
      <c r="N34" s="96">
        <f t="shared" si="2"/>
        <v>14.561200000000007</v>
      </c>
      <c r="O34" s="96">
        <f t="shared" si="3"/>
        <v>7.2806000000000033</v>
      </c>
    </row>
    <row r="35" spans="1:15">
      <c r="A35" t="s">
        <v>37</v>
      </c>
      <c r="B35" t="s">
        <v>37</v>
      </c>
      <c r="C35" t="s">
        <v>37</v>
      </c>
      <c r="D35" t="s">
        <v>886</v>
      </c>
      <c r="E35" t="s">
        <v>1028</v>
      </c>
      <c r="F35" t="s">
        <v>887</v>
      </c>
      <c r="G35" s="176">
        <v>36526</v>
      </c>
      <c r="H35" s="175">
        <v>0.11</v>
      </c>
      <c r="I35" s="145">
        <v>47.8</v>
      </c>
      <c r="J35" s="133">
        <f>12.75+5.74</f>
        <v>18.490000000000002</v>
      </c>
      <c r="K35" s="96">
        <f t="shared" si="0"/>
        <v>5.258</v>
      </c>
      <c r="L35" s="96">
        <v>0</v>
      </c>
      <c r="M35" s="94">
        <f t="shared" si="1"/>
        <v>0.50317991631799153</v>
      </c>
      <c r="N35" s="96">
        <f t="shared" si="2"/>
        <v>24.051999999999996</v>
      </c>
      <c r="O35" s="96">
        <f t="shared" si="3"/>
        <v>12.025999999999998</v>
      </c>
    </row>
    <row r="36" spans="1:15">
      <c r="A36" t="s">
        <v>888</v>
      </c>
      <c r="B36" t="s">
        <v>37</v>
      </c>
      <c r="C36" t="s">
        <v>158</v>
      </c>
      <c r="D36" t="s">
        <v>145</v>
      </c>
      <c r="E36" t="s">
        <v>1028</v>
      </c>
      <c r="F36" t="s">
        <v>889</v>
      </c>
      <c r="G36" s="176">
        <v>36526</v>
      </c>
      <c r="H36" s="175">
        <v>0.12</v>
      </c>
      <c r="I36" s="145">
        <v>49.99</v>
      </c>
      <c r="J36" s="133">
        <f>8.52+4.37</f>
        <v>12.89</v>
      </c>
      <c r="K36" s="96">
        <f t="shared" si="0"/>
        <v>5.9988000000000001</v>
      </c>
      <c r="L36" s="96">
        <v>0</v>
      </c>
      <c r="M36" s="94">
        <f t="shared" si="1"/>
        <v>0.6221484296859372</v>
      </c>
      <c r="N36" s="96">
        <f t="shared" si="2"/>
        <v>31.101200000000002</v>
      </c>
      <c r="O36" s="96">
        <f t="shared" si="3"/>
        <v>15.550600000000001</v>
      </c>
    </row>
    <row r="37" spans="1:15">
      <c r="A37" t="s">
        <v>890</v>
      </c>
      <c r="B37" t="s">
        <v>37</v>
      </c>
      <c r="C37" t="s">
        <v>157</v>
      </c>
      <c r="D37" t="s">
        <v>891</v>
      </c>
      <c r="E37" t="s">
        <v>1028</v>
      </c>
      <c r="F37" t="s">
        <v>892</v>
      </c>
      <c r="G37" s="176">
        <v>36526</v>
      </c>
      <c r="H37" s="175">
        <v>0.12</v>
      </c>
      <c r="I37" s="145">
        <v>49.99</v>
      </c>
      <c r="J37" s="133">
        <f>10.62+5.41</f>
        <v>16.03</v>
      </c>
      <c r="K37" s="96">
        <f t="shared" si="0"/>
        <v>5.9988000000000001</v>
      </c>
      <c r="L37" s="96">
        <v>0</v>
      </c>
      <c r="M37" s="94">
        <f t="shared" si="1"/>
        <v>0.55933586717343464</v>
      </c>
      <c r="N37" s="96">
        <f t="shared" si="2"/>
        <v>27.961200000000002</v>
      </c>
      <c r="O37" s="96">
        <f t="shared" si="3"/>
        <v>13.980600000000001</v>
      </c>
    </row>
    <row r="38" spans="1:15">
      <c r="A38" t="s">
        <v>893</v>
      </c>
      <c r="B38" t="s">
        <v>154</v>
      </c>
      <c r="C38" t="s">
        <v>155</v>
      </c>
      <c r="D38" t="s">
        <v>127</v>
      </c>
      <c r="E38" t="s">
        <v>1028</v>
      </c>
      <c r="F38" t="s">
        <v>894</v>
      </c>
      <c r="G38" s="176">
        <v>36526</v>
      </c>
      <c r="H38" s="175">
        <v>0.12</v>
      </c>
      <c r="I38" s="162">
        <v>49.99</v>
      </c>
      <c r="J38" s="133">
        <v>26.34</v>
      </c>
      <c r="K38" s="96">
        <f t="shared" si="0"/>
        <v>5.9988000000000001</v>
      </c>
      <c r="L38" s="96">
        <v>0</v>
      </c>
      <c r="M38" s="94">
        <f t="shared" si="1"/>
        <v>0.3530946189237848</v>
      </c>
      <c r="N38" s="96">
        <f t="shared" si="2"/>
        <v>17.651200000000003</v>
      </c>
      <c r="O38" s="96">
        <f t="shared" si="3"/>
        <v>8.8256000000000014</v>
      </c>
    </row>
    <row r="39" spans="1:15">
      <c r="A39" t="s">
        <v>895</v>
      </c>
      <c r="B39" t="s">
        <v>37</v>
      </c>
      <c r="C39" t="s">
        <v>37</v>
      </c>
      <c r="D39" t="s">
        <v>142</v>
      </c>
      <c r="E39" t="s">
        <v>1028</v>
      </c>
      <c r="F39" t="s">
        <v>896</v>
      </c>
      <c r="G39" s="176">
        <v>36526</v>
      </c>
      <c r="H39" s="175">
        <v>0.13</v>
      </c>
      <c r="I39" s="145">
        <v>96.9</v>
      </c>
      <c r="J39" s="133">
        <f>52.27+26.17</f>
        <v>78.44</v>
      </c>
      <c r="K39" s="96">
        <f t="shared" si="0"/>
        <v>12.597000000000001</v>
      </c>
      <c r="L39" s="96">
        <v>0</v>
      </c>
      <c r="M39" s="94">
        <f t="shared" si="1"/>
        <v>6.0505675954592358E-2</v>
      </c>
      <c r="N39" s="96">
        <f t="shared" si="2"/>
        <v>5.8629999999999995</v>
      </c>
      <c r="O39" s="96">
        <f t="shared" si="3"/>
        <v>2.9314999999999998</v>
      </c>
    </row>
    <row r="40" spans="1:15">
      <c r="A40" t="s">
        <v>897</v>
      </c>
      <c r="B40" t="s">
        <v>898</v>
      </c>
      <c r="C40" t="s">
        <v>899</v>
      </c>
      <c r="D40" t="s">
        <v>126</v>
      </c>
      <c r="E40" t="s">
        <v>1028</v>
      </c>
      <c r="F40" t="s">
        <v>900</v>
      </c>
      <c r="G40" s="176">
        <v>36526</v>
      </c>
      <c r="H40" s="175">
        <v>0.12</v>
      </c>
      <c r="I40" s="145">
        <v>25.99</v>
      </c>
      <c r="J40" s="133">
        <f>6.99+3.58</f>
        <v>10.57</v>
      </c>
      <c r="K40" s="96">
        <f t="shared" si="0"/>
        <v>3.1187999999999998</v>
      </c>
      <c r="L40" s="96">
        <v>0</v>
      </c>
      <c r="M40" s="94">
        <f t="shared" si="1"/>
        <v>0.47330511735282799</v>
      </c>
      <c r="N40" s="96">
        <f t="shared" si="2"/>
        <v>12.301199999999998</v>
      </c>
      <c r="O40" s="96">
        <f t="shared" si="3"/>
        <v>6.150599999999999</v>
      </c>
    </row>
    <row r="41" spans="1:15">
      <c r="A41" t="s">
        <v>901</v>
      </c>
      <c r="B41" t="s">
        <v>151</v>
      </c>
      <c r="C41" t="s">
        <v>37</v>
      </c>
      <c r="D41" t="s">
        <v>37</v>
      </c>
      <c r="E41" t="s">
        <v>1029</v>
      </c>
      <c r="F41" t="s">
        <v>902</v>
      </c>
      <c r="G41" s="176">
        <v>36526</v>
      </c>
      <c r="H41" s="175">
        <v>0.13</v>
      </c>
      <c r="I41" s="145">
        <v>25.68</v>
      </c>
      <c r="J41" s="133">
        <v>11</v>
      </c>
      <c r="K41" s="96">
        <f t="shared" si="0"/>
        <v>3.3384</v>
      </c>
      <c r="L41" s="96">
        <v>0</v>
      </c>
      <c r="M41" s="94">
        <f t="shared" si="1"/>
        <v>0.44165109034267913</v>
      </c>
      <c r="N41" s="96">
        <f t="shared" si="2"/>
        <v>11.3416</v>
      </c>
      <c r="O41" s="96">
        <f t="shared" si="3"/>
        <v>5.6707999999999998</v>
      </c>
    </row>
    <row r="42" spans="1:15">
      <c r="A42" t="s">
        <v>903</v>
      </c>
      <c r="B42" t="s">
        <v>904</v>
      </c>
      <c r="C42" t="s">
        <v>134</v>
      </c>
      <c r="D42" t="s">
        <v>125</v>
      </c>
      <c r="E42" t="s">
        <v>1028</v>
      </c>
      <c r="F42" t="s">
        <v>905</v>
      </c>
      <c r="G42" s="176">
        <v>36526</v>
      </c>
      <c r="H42" s="175">
        <v>0.11</v>
      </c>
      <c r="I42" s="145">
        <v>25.5</v>
      </c>
      <c r="J42" s="133">
        <f>6.99+3.58</f>
        <v>10.57</v>
      </c>
      <c r="K42" s="96">
        <f t="shared" si="0"/>
        <v>2.8050000000000002</v>
      </c>
      <c r="L42" s="96">
        <v>0</v>
      </c>
      <c r="M42" s="94">
        <f t="shared" si="1"/>
        <v>0.47549019607843135</v>
      </c>
      <c r="N42" s="96">
        <f t="shared" si="2"/>
        <v>12.125</v>
      </c>
      <c r="O42" s="96">
        <f t="shared" si="3"/>
        <v>6.0625</v>
      </c>
    </row>
    <row r="43" spans="1:15">
      <c r="A43" t="s">
        <v>901</v>
      </c>
      <c r="B43" t="s">
        <v>152</v>
      </c>
      <c r="C43" t="s">
        <v>132</v>
      </c>
      <c r="D43" t="s">
        <v>129</v>
      </c>
      <c r="E43" t="s">
        <v>1028</v>
      </c>
      <c r="F43" t="s">
        <v>902</v>
      </c>
      <c r="G43" s="176">
        <v>36526</v>
      </c>
      <c r="H43" s="175">
        <v>0.12</v>
      </c>
      <c r="I43" s="145">
        <v>25.99</v>
      </c>
      <c r="J43" s="133">
        <f>6.99+3.58</f>
        <v>10.57</v>
      </c>
      <c r="K43" s="96">
        <f t="shared" si="0"/>
        <v>3.1187999999999998</v>
      </c>
      <c r="L43" s="96">
        <v>0</v>
      </c>
      <c r="M43" s="94">
        <f t="shared" si="1"/>
        <v>0.47330511735282799</v>
      </c>
      <c r="N43" s="96">
        <f t="shared" ref="N43" si="4">I43-SUM(J43:L43)</f>
        <v>12.301199999999998</v>
      </c>
      <c r="O43" s="96">
        <f t="shared" ref="O43" si="5">N43/2</f>
        <v>6.150599999999999</v>
      </c>
    </row>
    <row r="44" spans="1:15">
      <c r="A44" t="s">
        <v>906</v>
      </c>
      <c r="B44" t="s">
        <v>153</v>
      </c>
      <c r="C44" t="s">
        <v>156</v>
      </c>
      <c r="D44" t="s">
        <v>907</v>
      </c>
      <c r="E44" t="s">
        <v>1029</v>
      </c>
      <c r="F44" t="s">
        <v>908</v>
      </c>
      <c r="G44" s="176">
        <v>36526</v>
      </c>
      <c r="H44" s="175">
        <v>0.15</v>
      </c>
      <c r="I44" s="145">
        <v>35.99</v>
      </c>
      <c r="J44" s="133">
        <f>14.49+7.28</f>
        <v>21.77</v>
      </c>
      <c r="K44" s="96">
        <f t="shared" si="0"/>
        <v>5.3985000000000003</v>
      </c>
      <c r="L44" s="96">
        <v>0</v>
      </c>
      <c r="M44" s="94">
        <f t="shared" si="1"/>
        <v>0.24510975270908586</v>
      </c>
      <c r="N44" s="96">
        <f t="shared" ref="N44" si="6">I44-SUM(J44:L44)</f>
        <v>8.8215000000000003</v>
      </c>
      <c r="O44" s="96">
        <f t="shared" ref="O44" si="7">N44/2</f>
        <v>4.4107500000000002</v>
      </c>
    </row>
    <row r="45" spans="1:15">
      <c r="A45" t="s">
        <v>909</v>
      </c>
      <c r="B45" t="s">
        <v>910</v>
      </c>
      <c r="C45" t="s">
        <v>911</v>
      </c>
      <c r="D45" t="s">
        <v>912</v>
      </c>
      <c r="E45" t="s">
        <v>1029</v>
      </c>
      <c r="F45" t="s">
        <v>913</v>
      </c>
      <c r="G45" s="176">
        <v>36526</v>
      </c>
      <c r="H45" s="175">
        <v>0.13</v>
      </c>
      <c r="I45" s="145">
        <v>43.5</v>
      </c>
      <c r="J45" s="133">
        <v>29</v>
      </c>
      <c r="K45" s="96">
        <f t="shared" si="0"/>
        <v>5.6550000000000002</v>
      </c>
      <c r="L45" s="96">
        <v>0</v>
      </c>
      <c r="M45" s="94">
        <f t="shared" si="1"/>
        <v>0.20333333333333331</v>
      </c>
      <c r="N45" s="96">
        <f t="shared" ref="N45" si="8">I45-SUM(J45:L45)</f>
        <v>8.8449999999999989</v>
      </c>
      <c r="O45" s="96">
        <f t="shared" ref="O45:O46" si="9">N45/2</f>
        <v>4.4224999999999994</v>
      </c>
    </row>
    <row r="46" spans="1:15">
      <c r="A46" t="s">
        <v>816</v>
      </c>
      <c r="B46" t="s">
        <v>39</v>
      </c>
      <c r="C46" t="s">
        <v>135</v>
      </c>
      <c r="D46" t="s">
        <v>115</v>
      </c>
      <c r="E46" t="s">
        <v>1029</v>
      </c>
      <c r="F46" t="s">
        <v>817</v>
      </c>
      <c r="G46" s="176">
        <v>45682</v>
      </c>
      <c r="H46" s="175">
        <v>0.14000000000000001</v>
      </c>
      <c r="I46" s="145">
        <v>26.99</v>
      </c>
      <c r="J46" s="133">
        <v>14.99</v>
      </c>
      <c r="K46" s="96">
        <f t="shared" si="0"/>
        <v>3.7786</v>
      </c>
      <c r="L46" s="96">
        <v>0</v>
      </c>
      <c r="M46" s="94">
        <f t="shared" ref="M46" si="10">N46/I46</f>
        <v>0.30460911448684697</v>
      </c>
      <c r="N46" s="96">
        <f t="shared" ref="N46" si="11">I46-SUM(J46:L46)</f>
        <v>8.2213999999999992</v>
      </c>
      <c r="O46" s="96">
        <f t="shared" si="9"/>
        <v>4.1106999999999996</v>
      </c>
    </row>
    <row r="47" spans="1:15">
      <c r="A47" t="s">
        <v>827</v>
      </c>
      <c r="B47" t="s">
        <v>40</v>
      </c>
      <c r="C47" t="s">
        <v>828</v>
      </c>
      <c r="D47" t="s">
        <v>128</v>
      </c>
      <c r="E47" t="s">
        <v>1028</v>
      </c>
      <c r="F47" t="s">
        <v>829</v>
      </c>
      <c r="G47" s="176">
        <v>45741</v>
      </c>
      <c r="H47" s="175">
        <v>0.12</v>
      </c>
      <c r="I47" s="145">
        <v>25.99</v>
      </c>
      <c r="J47" s="133">
        <v>12.33</v>
      </c>
      <c r="K47" s="96">
        <v>3.1187999999999998</v>
      </c>
      <c r="L47" s="96">
        <v>0</v>
      </c>
      <c r="M47" s="94">
        <v>0.40558676414005385</v>
      </c>
      <c r="N47" s="96">
        <v>10.541199999999998</v>
      </c>
      <c r="O47" s="96">
        <v>5.2705999999999991</v>
      </c>
    </row>
    <row r="48" spans="1:15">
      <c r="A48" t="s">
        <v>830</v>
      </c>
      <c r="B48" s="52" t="s">
        <v>41</v>
      </c>
      <c r="C48" s="52" t="s">
        <v>150</v>
      </c>
      <c r="D48" s="52" t="s">
        <v>139</v>
      </c>
      <c r="E48" t="s">
        <v>1028</v>
      </c>
      <c r="F48" t="s">
        <v>831</v>
      </c>
      <c r="G48" s="176">
        <v>45741</v>
      </c>
      <c r="H48" s="175">
        <v>0.12</v>
      </c>
      <c r="I48" s="145">
        <v>50.99</v>
      </c>
      <c r="J48" s="133">
        <v>14.75</v>
      </c>
      <c r="K48" s="96">
        <v>6.1188000000000002</v>
      </c>
      <c r="L48" s="96">
        <v>0</v>
      </c>
      <c r="M48" s="94">
        <v>0.59072759364581295</v>
      </c>
      <c r="N48" s="96">
        <v>30.121200000000002</v>
      </c>
      <c r="O48" s="96">
        <v>15.060600000000001</v>
      </c>
    </row>
    <row r="49" spans="1:15">
      <c r="A49" t="s">
        <v>832</v>
      </c>
      <c r="B49" s="52" t="s">
        <v>49</v>
      </c>
      <c r="C49" s="52" t="s">
        <v>37</v>
      </c>
      <c r="D49" s="52" t="s">
        <v>147</v>
      </c>
      <c r="E49" t="s">
        <v>1028</v>
      </c>
      <c r="F49" t="s">
        <v>833</v>
      </c>
      <c r="G49" s="176">
        <v>45741</v>
      </c>
      <c r="H49" s="175">
        <v>0.12</v>
      </c>
      <c r="I49" s="145">
        <v>36.99</v>
      </c>
      <c r="J49" s="133">
        <v>20.89</v>
      </c>
      <c r="K49" s="96">
        <v>4.4387999999999996</v>
      </c>
      <c r="L49" s="96">
        <v>0</v>
      </c>
      <c r="M49" s="94">
        <v>0.31525277101919441</v>
      </c>
      <c r="N49" s="96">
        <v>11.661200000000001</v>
      </c>
      <c r="O49" s="96">
        <v>5.8306000000000004</v>
      </c>
    </row>
    <row r="50" spans="1:15">
      <c r="A50" t="s">
        <v>835</v>
      </c>
      <c r="B50" t="s">
        <v>55</v>
      </c>
      <c r="C50" t="s">
        <v>37</v>
      </c>
      <c r="D50" t="s">
        <v>143</v>
      </c>
      <c r="E50" t="s">
        <v>1028</v>
      </c>
      <c r="F50" t="s">
        <v>836</v>
      </c>
      <c r="G50" s="176">
        <v>45741</v>
      </c>
      <c r="H50" s="175">
        <v>0.12</v>
      </c>
      <c r="I50" s="145">
        <v>35.99</v>
      </c>
      <c r="J50" s="133">
        <v>20.99</v>
      </c>
      <c r="K50" s="96">
        <v>4.3188000000000004</v>
      </c>
      <c r="L50" s="96">
        <v>0</v>
      </c>
      <c r="M50" s="94">
        <v>0.29678243956654637</v>
      </c>
      <c r="N50" s="96">
        <v>10.681200000000004</v>
      </c>
      <c r="O50" s="96">
        <v>5.340600000000002</v>
      </c>
    </row>
    <row r="51" spans="1:15">
      <c r="A51" t="s">
        <v>844</v>
      </c>
      <c r="B51" t="s">
        <v>67</v>
      </c>
      <c r="C51" t="s">
        <v>149</v>
      </c>
      <c r="D51" t="s">
        <v>137</v>
      </c>
      <c r="E51" t="s">
        <v>1028</v>
      </c>
      <c r="F51" t="s">
        <v>845</v>
      </c>
      <c r="G51" s="176">
        <v>45741</v>
      </c>
      <c r="H51" s="175">
        <v>0.12</v>
      </c>
      <c r="I51" s="145">
        <v>48.5</v>
      </c>
      <c r="J51" s="133">
        <v>12.899999999999999</v>
      </c>
      <c r="K51" s="96">
        <v>5.8199999999999994</v>
      </c>
      <c r="L51" s="96">
        <v>0</v>
      </c>
      <c r="M51" s="94">
        <v>0.61402061855670109</v>
      </c>
      <c r="N51" s="96">
        <v>29.78</v>
      </c>
      <c r="O51" s="96">
        <v>14.89</v>
      </c>
    </row>
    <row r="52" spans="1:15">
      <c r="A52" t="s">
        <v>37</v>
      </c>
      <c r="B52" t="s">
        <v>61</v>
      </c>
      <c r="C52" t="s">
        <v>111</v>
      </c>
      <c r="D52" t="s">
        <v>116</v>
      </c>
      <c r="E52" t="s">
        <v>1028</v>
      </c>
      <c r="F52" t="s">
        <v>849</v>
      </c>
      <c r="G52" s="176">
        <v>45741</v>
      </c>
      <c r="H52" s="175">
        <v>0.12</v>
      </c>
      <c r="I52" s="145">
        <v>55.99</v>
      </c>
      <c r="J52" s="133">
        <v>16.66</v>
      </c>
      <c r="K52" s="96">
        <v>6.7187999999999999</v>
      </c>
      <c r="L52" s="96">
        <v>0</v>
      </c>
      <c r="M52" s="94">
        <v>0.58244686551169855</v>
      </c>
      <c r="N52" s="96">
        <v>32.611200000000004</v>
      </c>
      <c r="O52" s="96">
        <v>16.305600000000002</v>
      </c>
    </row>
    <row r="53" spans="1:15">
      <c r="A53" t="s">
        <v>854</v>
      </c>
      <c r="B53" t="s">
        <v>81</v>
      </c>
      <c r="C53" t="s">
        <v>133</v>
      </c>
      <c r="D53" t="s">
        <v>138</v>
      </c>
      <c r="E53" t="s">
        <v>1028</v>
      </c>
      <c r="F53" t="s">
        <v>855</v>
      </c>
      <c r="G53" s="176">
        <v>45741</v>
      </c>
      <c r="H53" s="175">
        <v>0.12</v>
      </c>
      <c r="I53" s="145">
        <v>24.75</v>
      </c>
      <c r="J53" s="133">
        <v>12.899999999999999</v>
      </c>
      <c r="K53" s="96">
        <v>2.9699999999999998</v>
      </c>
      <c r="L53" s="96">
        <v>0</v>
      </c>
      <c r="M53" s="94">
        <v>0.35878787878787888</v>
      </c>
      <c r="N53" s="96">
        <v>8.8800000000000026</v>
      </c>
      <c r="O53" s="96">
        <v>4.4400000000000013</v>
      </c>
    </row>
    <row r="54" spans="1:15">
      <c r="A54" t="s">
        <v>856</v>
      </c>
      <c r="B54" t="s">
        <v>118</v>
      </c>
      <c r="C54" t="s">
        <v>37</v>
      </c>
      <c r="D54" t="s">
        <v>857</v>
      </c>
      <c r="E54" t="s">
        <v>1028</v>
      </c>
      <c r="F54" t="s">
        <v>858</v>
      </c>
      <c r="G54" s="176">
        <v>45741</v>
      </c>
      <c r="H54" s="175">
        <v>0.12</v>
      </c>
      <c r="I54" s="145">
        <v>41.980000000000004</v>
      </c>
      <c r="J54" s="133">
        <v>30.22</v>
      </c>
      <c r="K54" s="96">
        <v>5.0376000000000003</v>
      </c>
      <c r="L54" s="96">
        <v>0</v>
      </c>
      <c r="M54" s="94">
        <v>0.1601333968556457</v>
      </c>
      <c r="N54" s="96">
        <v>6.7224000000000075</v>
      </c>
      <c r="O54" s="96">
        <v>3.3612000000000037</v>
      </c>
    </row>
    <row r="55" spans="1:15">
      <c r="A55" t="s">
        <v>859</v>
      </c>
      <c r="B55" t="s">
        <v>75</v>
      </c>
      <c r="C55" t="s">
        <v>131</v>
      </c>
      <c r="D55" t="s">
        <v>141</v>
      </c>
      <c r="E55" t="s">
        <v>1028</v>
      </c>
      <c r="F55" t="s">
        <v>860</v>
      </c>
      <c r="G55" s="176">
        <v>45741</v>
      </c>
      <c r="H55" s="175">
        <v>0.11</v>
      </c>
      <c r="I55" s="145">
        <v>58.99</v>
      </c>
      <c r="J55" s="133">
        <v>41.99</v>
      </c>
      <c r="K55" s="96">
        <v>6.4889000000000001</v>
      </c>
      <c r="L55" s="96">
        <v>0</v>
      </c>
      <c r="M55" s="94">
        <v>0.17818443804034581</v>
      </c>
      <c r="N55" s="96">
        <v>10.511099999999999</v>
      </c>
      <c r="O55" s="96">
        <v>5.2555499999999995</v>
      </c>
    </row>
    <row r="56" spans="1:15">
      <c r="A56" t="s">
        <v>861</v>
      </c>
      <c r="B56" t="s">
        <v>76</v>
      </c>
      <c r="C56" t="s">
        <v>862</v>
      </c>
      <c r="D56" t="s">
        <v>140</v>
      </c>
      <c r="E56" t="s">
        <v>1028</v>
      </c>
      <c r="F56" t="s">
        <v>848</v>
      </c>
      <c r="G56" s="176">
        <v>45741</v>
      </c>
      <c r="H56" s="175">
        <v>0.12</v>
      </c>
      <c r="I56" s="145">
        <v>99.99</v>
      </c>
      <c r="J56" s="133">
        <v>63.429999999999993</v>
      </c>
      <c r="K56" s="96">
        <v>11.998799999999999</v>
      </c>
      <c r="L56" s="96">
        <v>0</v>
      </c>
      <c r="M56" s="94">
        <v>0.24563656365636563</v>
      </c>
      <c r="N56" s="96">
        <v>24.561199999999999</v>
      </c>
      <c r="O56" s="96">
        <v>12.2806</v>
      </c>
    </row>
    <row r="57" spans="1:15">
      <c r="A57" t="s">
        <v>863</v>
      </c>
      <c r="B57" t="s">
        <v>82</v>
      </c>
      <c r="C57" t="s">
        <v>864</v>
      </c>
      <c r="D57" t="s">
        <v>865</v>
      </c>
      <c r="E57" t="s">
        <v>1028</v>
      </c>
      <c r="F57" t="s">
        <v>866</v>
      </c>
      <c r="G57" s="176">
        <v>45741</v>
      </c>
      <c r="H57" s="175">
        <v>0.11</v>
      </c>
      <c r="I57" s="145">
        <v>58.99</v>
      </c>
      <c r="J57" s="133">
        <v>41.99</v>
      </c>
      <c r="K57" s="96">
        <v>6.4889000000000001</v>
      </c>
      <c r="L57" s="96">
        <v>0</v>
      </c>
      <c r="M57" s="94">
        <v>0.17818443804034581</v>
      </c>
      <c r="N57" s="96">
        <v>10.511099999999999</v>
      </c>
      <c r="O57" s="96">
        <v>5.2555499999999995</v>
      </c>
    </row>
    <row r="58" spans="1:15">
      <c r="A58" t="s">
        <v>867</v>
      </c>
      <c r="B58" t="s">
        <v>83</v>
      </c>
      <c r="C58" t="s">
        <v>37</v>
      </c>
      <c r="D58" t="s">
        <v>868</v>
      </c>
      <c r="E58" t="s">
        <v>1028</v>
      </c>
      <c r="F58" t="s">
        <v>869</v>
      </c>
      <c r="G58" s="176">
        <v>45741</v>
      </c>
      <c r="H58" s="175">
        <v>0.12</v>
      </c>
      <c r="I58" s="162">
        <v>27.99</v>
      </c>
      <c r="J58" s="133">
        <v>10.16</v>
      </c>
      <c r="K58" s="96">
        <v>3.3587999999999996</v>
      </c>
      <c r="L58" s="96">
        <v>0</v>
      </c>
      <c r="M58" s="94">
        <v>0.5170132190067882</v>
      </c>
      <c r="N58" s="96">
        <v>14.4712</v>
      </c>
      <c r="O58" s="96">
        <v>7.2355999999999998</v>
      </c>
    </row>
    <row r="59" spans="1:15">
      <c r="A59" t="s">
        <v>37</v>
      </c>
      <c r="B59" t="s">
        <v>37</v>
      </c>
      <c r="C59" t="s">
        <v>130</v>
      </c>
      <c r="D59" t="s">
        <v>37</v>
      </c>
      <c r="E59" t="s">
        <v>1028</v>
      </c>
      <c r="F59" t="s">
        <v>882</v>
      </c>
      <c r="G59" s="176">
        <v>45741</v>
      </c>
      <c r="H59" s="175">
        <v>0.12</v>
      </c>
      <c r="I59" s="145">
        <v>62.99</v>
      </c>
      <c r="J59" s="133">
        <v>27.119999999999997</v>
      </c>
      <c r="K59" s="96">
        <v>7.5587999999999997</v>
      </c>
      <c r="L59" s="96">
        <v>0</v>
      </c>
      <c r="M59" s="94">
        <v>0.44945546912208295</v>
      </c>
      <c r="N59" s="96">
        <v>28.311200000000007</v>
      </c>
      <c r="O59" s="96">
        <v>14.155600000000003</v>
      </c>
    </row>
    <row r="60" spans="1:15">
      <c r="A60" t="s">
        <v>37</v>
      </c>
      <c r="B60" t="s">
        <v>37</v>
      </c>
      <c r="C60" t="s">
        <v>120</v>
      </c>
      <c r="D60" t="s">
        <v>37</v>
      </c>
      <c r="E60" t="s">
        <v>1028</v>
      </c>
      <c r="F60" t="s">
        <v>883</v>
      </c>
      <c r="G60" s="176">
        <v>45741</v>
      </c>
      <c r="H60" s="175">
        <v>0.11</v>
      </c>
      <c r="I60" s="145">
        <v>33.99</v>
      </c>
      <c r="J60" s="133">
        <v>10.57</v>
      </c>
      <c r="K60" s="96">
        <v>3.7389000000000001</v>
      </c>
      <c r="L60" s="96">
        <v>0</v>
      </c>
      <c r="M60" s="94">
        <v>0.57902618417181517</v>
      </c>
      <c r="N60" s="96">
        <v>19.681100000000001</v>
      </c>
      <c r="O60" s="96">
        <v>9.8405500000000004</v>
      </c>
    </row>
    <row r="61" spans="1:15">
      <c r="A61" t="s">
        <v>37</v>
      </c>
      <c r="B61" t="s">
        <v>37</v>
      </c>
      <c r="C61" t="s">
        <v>110</v>
      </c>
      <c r="D61" t="s">
        <v>37</v>
      </c>
      <c r="E61" t="s">
        <v>1028</v>
      </c>
      <c r="F61" t="s">
        <v>884</v>
      </c>
      <c r="G61" s="176">
        <v>45741</v>
      </c>
      <c r="H61" s="175">
        <v>0.12</v>
      </c>
      <c r="I61" s="145">
        <v>42.99</v>
      </c>
      <c r="J61" s="133">
        <v>26.99</v>
      </c>
      <c r="K61" s="96">
        <v>5.1588000000000003</v>
      </c>
      <c r="L61" s="96">
        <v>0</v>
      </c>
      <c r="M61" s="94">
        <v>0.2521795766457316</v>
      </c>
      <c r="N61" s="96">
        <v>10.841200000000001</v>
      </c>
      <c r="O61" s="96">
        <v>5.4206000000000003</v>
      </c>
    </row>
    <row r="62" spans="1:15">
      <c r="A62" t="s">
        <v>901</v>
      </c>
      <c r="B62" t="s">
        <v>151</v>
      </c>
      <c r="C62" t="s">
        <v>37</v>
      </c>
      <c r="D62" t="s">
        <v>37</v>
      </c>
      <c r="E62" t="s">
        <v>1029</v>
      </c>
      <c r="F62" t="s">
        <v>902</v>
      </c>
      <c r="G62" s="176">
        <v>45741</v>
      </c>
      <c r="H62" s="175">
        <v>0.12</v>
      </c>
      <c r="I62" s="145">
        <v>25.68</v>
      </c>
      <c r="J62" s="133">
        <v>11</v>
      </c>
      <c r="K62" s="96">
        <v>3.0815999999999999</v>
      </c>
      <c r="L62" s="96">
        <v>0</v>
      </c>
      <c r="M62" s="94">
        <v>0.45165109034267914</v>
      </c>
      <c r="N62" s="96">
        <v>11.5984</v>
      </c>
      <c r="O62" s="96">
        <v>5.7991999999999999</v>
      </c>
    </row>
    <row r="63" spans="1:15">
      <c r="A63" t="s">
        <v>906</v>
      </c>
      <c r="B63" t="s">
        <v>153</v>
      </c>
      <c r="C63" t="s">
        <v>156</v>
      </c>
      <c r="D63" t="s">
        <v>907</v>
      </c>
      <c r="E63" t="s">
        <v>1028</v>
      </c>
      <c r="F63" t="s">
        <v>908</v>
      </c>
      <c r="G63" s="176">
        <v>45741</v>
      </c>
      <c r="H63" s="175">
        <v>0.12</v>
      </c>
      <c r="I63" s="145">
        <v>35.99</v>
      </c>
      <c r="J63" s="133">
        <v>21.77</v>
      </c>
      <c r="K63" s="96">
        <v>4.3188000000000004</v>
      </c>
      <c r="L63" s="96">
        <v>0</v>
      </c>
      <c r="M63" s="94">
        <v>0.27510975270908594</v>
      </c>
      <c r="N63" s="96">
        <v>9.9012000000000029</v>
      </c>
      <c r="O63" s="96">
        <v>4.9506000000000014</v>
      </c>
    </row>
    <row r="64" spans="1:15">
      <c r="A64" t="s">
        <v>909</v>
      </c>
      <c r="B64" t="s">
        <v>910</v>
      </c>
      <c r="C64" t="s">
        <v>911</v>
      </c>
      <c r="D64" t="s">
        <v>912</v>
      </c>
      <c r="E64" t="s">
        <v>1028</v>
      </c>
      <c r="F64" t="s">
        <v>913</v>
      </c>
      <c r="G64" s="176">
        <v>45741</v>
      </c>
      <c r="H64" s="175">
        <v>0.12</v>
      </c>
      <c r="I64" s="145">
        <v>43.5</v>
      </c>
      <c r="J64" s="133">
        <v>29</v>
      </c>
      <c r="K64" s="96">
        <v>5.22</v>
      </c>
      <c r="L64" s="96">
        <v>0</v>
      </c>
      <c r="M64" s="94">
        <v>0.21333333333333335</v>
      </c>
      <c r="N64" s="96">
        <v>9.2800000000000011</v>
      </c>
      <c r="O64" s="96">
        <v>4.6400000000000006</v>
      </c>
    </row>
    <row r="65" spans="1:15">
      <c r="A65" t="s">
        <v>816</v>
      </c>
      <c r="B65" t="s">
        <v>39</v>
      </c>
      <c r="C65" t="s">
        <v>135</v>
      </c>
      <c r="D65" t="s">
        <v>115</v>
      </c>
      <c r="E65" t="s">
        <v>1029</v>
      </c>
      <c r="F65" t="s">
        <v>817</v>
      </c>
      <c r="G65" s="176">
        <v>45741</v>
      </c>
      <c r="H65" s="175">
        <v>0.12</v>
      </c>
      <c r="I65" s="145">
        <v>26.99</v>
      </c>
      <c r="J65" s="133">
        <v>14.99</v>
      </c>
      <c r="K65" s="96">
        <v>3.2387999999999999</v>
      </c>
      <c r="L65" s="96">
        <v>0</v>
      </c>
      <c r="M65" s="94">
        <v>0.32460911448684693</v>
      </c>
      <c r="N65" s="96">
        <v>8.7611999999999988</v>
      </c>
      <c r="O65" s="96">
        <v>4.3805999999999994</v>
      </c>
    </row>
    <row r="66" spans="1:15">
      <c r="A66" t="s">
        <v>816</v>
      </c>
      <c r="B66" t="s">
        <v>39</v>
      </c>
      <c r="C66" t="s">
        <v>135</v>
      </c>
      <c r="D66" t="s">
        <v>115</v>
      </c>
      <c r="E66" t="s">
        <v>1028</v>
      </c>
      <c r="F66" t="s">
        <v>817</v>
      </c>
      <c r="G66" s="176">
        <v>45789</v>
      </c>
      <c r="H66" s="175">
        <v>0.16</v>
      </c>
      <c r="I66" s="145">
        <v>26.99</v>
      </c>
      <c r="J66" s="133">
        <v>14.99</v>
      </c>
      <c r="K66" s="96">
        <v>3.2387999999999999</v>
      </c>
      <c r="L66" s="96">
        <v>0</v>
      </c>
      <c r="M66" s="94">
        <v>0.32460911448684693</v>
      </c>
      <c r="N66" s="96">
        <v>8.7611999999999988</v>
      </c>
      <c r="O66" s="96">
        <v>4.3805999999999994</v>
      </c>
    </row>
  </sheetData>
  <conditionalFormatting sqref="B2:B66">
    <cfRule type="duplicateValues" dxfId="10" priority="1483"/>
  </conditionalFormatting>
  <conditionalFormatting sqref="E1:E1048576 J41">
    <cfRule type="cellIs" dxfId="9" priority="2" operator="equal">
      <formula>"Inativo"</formula>
    </cfRule>
    <cfRule type="cellIs" dxfId="8" priority="3" operator="equal">
      <formula>"Ativo"</formula>
    </cfRule>
  </conditionalFormatting>
  <conditionalFormatting sqref="M2:M66">
    <cfRule type="cellIs" dxfId="7" priority="7" operator="lessThan">
      <formula>0.5</formula>
    </cfRule>
    <cfRule type="cellIs" dxfId="6" priority="8" operator="greaterThanOrEqual">
      <formula>0.5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43D1-33C8-4BED-8AFB-4FDB53204CFD}">
  <dimension ref="A1:Q191"/>
  <sheetViews>
    <sheetView workbookViewId="0">
      <pane ySplit="5" topLeftCell="A171" activePane="bottomLeft" state="frozen"/>
      <selection activeCell="G1" sqref="G1"/>
      <selection pane="bottomLeft" activeCell="F175" sqref="F175"/>
    </sheetView>
  </sheetViews>
  <sheetFormatPr defaultColWidth="9.140625" defaultRowHeight="15"/>
  <cols>
    <col min="1" max="1" width="14.140625" style="71" bestFit="1" customWidth="1"/>
    <col min="2" max="2" width="4.7109375" style="71" bestFit="1" customWidth="1"/>
    <col min="3" max="3" width="15.42578125" style="71" bestFit="1" customWidth="1"/>
    <col min="4" max="4" width="15.42578125" style="72" bestFit="1" customWidth="1"/>
    <col min="5" max="5" width="3.85546875" style="71" bestFit="1" customWidth="1"/>
    <col min="6" max="6" width="19.28515625" style="72" bestFit="1" customWidth="1"/>
    <col min="7" max="7" width="11.5703125" style="72" bestFit="1" customWidth="1"/>
    <col min="8" max="8" width="14.5703125" style="71" bestFit="1" customWidth="1"/>
    <col min="9" max="9" width="14.140625" style="89" bestFit="1" customWidth="1"/>
    <col min="10" max="11" width="10.28515625" style="89" bestFit="1" customWidth="1"/>
    <col min="12" max="13" width="15.42578125" style="92" bestFit="1" customWidth="1"/>
    <col min="14" max="14" width="16.7109375" style="92" bestFit="1" customWidth="1"/>
    <col min="15" max="15" width="15.42578125" style="92" bestFit="1" customWidth="1"/>
    <col min="16" max="16" width="22.28515625" style="91" bestFit="1" customWidth="1"/>
    <col min="17" max="17" width="10.7109375" style="72" bestFit="1" customWidth="1"/>
    <col min="18" max="18" width="10.7109375" style="71" bestFit="1" customWidth="1"/>
    <col min="19" max="19" width="9.140625" style="71"/>
    <col min="20" max="20" width="13" style="71" customWidth="1"/>
    <col min="21" max="16384" width="9.140625" style="71"/>
  </cols>
  <sheetData>
    <row r="1" spans="1:17">
      <c r="A1" s="79" t="s">
        <v>161</v>
      </c>
      <c r="B1" s="79" t="s">
        <v>1</v>
      </c>
      <c r="C1" s="79" t="s">
        <v>985</v>
      </c>
      <c r="D1" s="90" t="s">
        <v>923</v>
      </c>
      <c r="E1" s="79" t="s">
        <v>1000</v>
      </c>
      <c r="F1" s="90" t="s">
        <v>1001</v>
      </c>
      <c r="G1" s="90" t="s">
        <v>3</v>
      </c>
      <c r="H1" s="72"/>
      <c r="I1" s="89" t="s">
        <v>161</v>
      </c>
      <c r="J1" s="101" t="s">
        <v>1</v>
      </c>
      <c r="K1" s="101" t="s">
        <v>2</v>
      </c>
      <c r="L1" s="92" t="s">
        <v>1002</v>
      </c>
      <c r="M1" s="92" t="s">
        <v>1003</v>
      </c>
      <c r="N1" s="92" t="s">
        <v>1004</v>
      </c>
      <c r="O1" s="92" t="s">
        <v>1005</v>
      </c>
      <c r="P1" s="92" t="s">
        <v>1006</v>
      </c>
      <c r="Q1" s="71"/>
    </row>
    <row r="2" spans="1:17">
      <c r="A2" s="89">
        <v>45585</v>
      </c>
      <c r="B2" s="89" t="s">
        <v>36</v>
      </c>
      <c r="C2" s="71" t="s">
        <v>94</v>
      </c>
      <c r="D2" s="72">
        <v>50</v>
      </c>
      <c r="F2" s="104" t="s">
        <v>37</v>
      </c>
      <c r="G2" s="89" t="s">
        <v>1007</v>
      </c>
      <c r="H2" s="72"/>
      <c r="I2" s="89" t="s">
        <v>1008</v>
      </c>
      <c r="J2" s="108">
        <v>45641</v>
      </c>
      <c r="K2" s="101"/>
      <c r="M2" s="93"/>
      <c r="O2" s="92">
        <v>594</v>
      </c>
      <c r="P2" s="15">
        <f>SUM(D2:D4)/ProxyDD[[#This Row],[Qtd Pedidos]]</f>
        <v>0.39877104377104378</v>
      </c>
      <c r="Q2" s="71"/>
    </row>
    <row r="3" spans="1:17">
      <c r="A3" s="89">
        <v>45599</v>
      </c>
      <c r="B3" s="89" t="s">
        <v>36</v>
      </c>
      <c r="C3" s="71" t="s">
        <v>1009</v>
      </c>
      <c r="D3" s="72">
        <v>155.19999999999999</v>
      </c>
      <c r="E3" s="71">
        <v>5</v>
      </c>
      <c r="F3" s="104">
        <f>ValorProxyTT[[#This Row],[Valor]]/ValorProxyTT[[#This Row],[GB]]</f>
        <v>31.04</v>
      </c>
      <c r="G3" s="89" t="s">
        <v>1007</v>
      </c>
      <c r="I3" s="89">
        <v>45642</v>
      </c>
      <c r="J3" s="101" t="s">
        <v>36</v>
      </c>
      <c r="K3" s="101" t="str">
        <f t="shared" ref="K3:K32" si="0">_xlfn.CONCAT(J3,I3)</f>
        <v>BV45642</v>
      </c>
      <c r="L3" s="93">
        <v>49.782131147540966</v>
      </c>
      <c r="M3" s="93">
        <f>50-L3</f>
        <v>0.2178688524590342</v>
      </c>
      <c r="N3" s="91">
        <f>M3*$F$5</f>
        <v>1.4426403934427408</v>
      </c>
      <c r="O3" s="92">
        <f ca="1">_xlfn.XLOOKUP(ProxyDD[[#This Row],[Chave]],SMS!B:B,SMS!J:J)</f>
        <v>11</v>
      </c>
      <c r="P3" s="15">
        <f ca="1">N3/O3</f>
        <v>0.1311491266766128</v>
      </c>
    </row>
    <row r="4" spans="1:17">
      <c r="A4" s="89">
        <v>45617</v>
      </c>
      <c r="B4" s="89" t="s">
        <v>36</v>
      </c>
      <c r="C4" s="71" t="s">
        <v>1010</v>
      </c>
      <c r="D4" s="72">
        <v>31.67</v>
      </c>
      <c r="E4" s="71">
        <v>5</v>
      </c>
      <c r="F4" s="72">
        <f>ValorProxyTT[[#This Row],[Valor]]/ValorProxyTT[[#This Row],[GB]]</f>
        <v>6.3340000000000005</v>
      </c>
      <c r="G4" s="89" t="s">
        <v>1007</v>
      </c>
      <c r="I4" s="89">
        <v>45643</v>
      </c>
      <c r="J4" s="101" t="s">
        <v>36</v>
      </c>
      <c r="K4" s="101" t="str">
        <f t="shared" si="0"/>
        <v>BV45643</v>
      </c>
      <c r="L4" s="93">
        <v>49.502131147540965</v>
      </c>
      <c r="M4" s="93">
        <f>L3-L4</f>
        <v>0.28000000000000114</v>
      </c>
      <c r="N4" s="91">
        <f>M4*$F$5</f>
        <v>1.8540480000000075</v>
      </c>
      <c r="O4" s="92">
        <f ca="1">_xlfn.XLOOKUP(ProxyDD[[#This Row],[Chave]],SMS!B:B,SMS!J:J)</f>
        <v>3</v>
      </c>
      <c r="P4" s="15">
        <f ca="1">N4/O4</f>
        <v>0.61801600000000245</v>
      </c>
    </row>
    <row r="5" spans="1:17">
      <c r="A5" s="89">
        <v>45642</v>
      </c>
      <c r="B5" s="89" t="s">
        <v>36</v>
      </c>
      <c r="C5" s="71" t="s">
        <v>1010</v>
      </c>
      <c r="D5" s="72">
        <v>331.08</v>
      </c>
      <c r="E5" s="71">
        <v>50</v>
      </c>
      <c r="F5" s="72">
        <f>ValorProxyTT[[#This Row],[Valor]]/ValorProxyTT[[#This Row],[GB]]</f>
        <v>6.6215999999999999</v>
      </c>
      <c r="G5" s="89" t="s">
        <v>1007</v>
      </c>
      <c r="I5" s="89">
        <v>45645</v>
      </c>
      <c r="J5" s="101" t="s">
        <v>36</v>
      </c>
      <c r="K5" s="101" t="str">
        <f t="shared" si="0"/>
        <v>BV45645</v>
      </c>
      <c r="L5" s="93">
        <v>49.433401639344247</v>
      </c>
      <c r="M5" s="93">
        <f t="shared" ref="M5:M31" si="1">L4-L5</f>
        <v>6.8729508196717859E-2</v>
      </c>
      <c r="N5" s="91">
        <f t="shared" ref="N5:N31" si="2">M5*$F$5</f>
        <v>0.45509931147538696</v>
      </c>
      <c r="O5" s="92">
        <f ca="1">_xlfn.XLOOKUP(ProxyDD[[#This Row],[Chave]],SMS!B:B,SMS!J:J)</f>
        <v>8</v>
      </c>
      <c r="P5" s="15">
        <f t="shared" ref="P5:P40" ca="1" si="3">N5/O5</f>
        <v>5.688741393442337E-2</v>
      </c>
    </row>
    <row r="6" spans="1:17">
      <c r="A6" s="89">
        <v>45672</v>
      </c>
      <c r="B6" s="89" t="s">
        <v>36</v>
      </c>
      <c r="C6" s="71" t="s">
        <v>1011</v>
      </c>
      <c r="D6" s="72">
        <v>21.78</v>
      </c>
      <c r="E6" s="71">
        <v>3.44</v>
      </c>
      <c r="F6" s="72">
        <f>ValorProxyTT[[#This Row],[Valor]]/ValorProxyTT[[#This Row],[GB]]</f>
        <v>6.3313953488372094</v>
      </c>
      <c r="G6" s="89"/>
      <c r="I6" s="89">
        <v>45647</v>
      </c>
      <c r="J6" s="101" t="s">
        <v>36</v>
      </c>
      <c r="K6" s="101" t="str">
        <f t="shared" si="0"/>
        <v>BV45647</v>
      </c>
      <c r="L6" s="93">
        <v>49.173401639344249</v>
      </c>
      <c r="M6" s="93">
        <f t="shared" si="1"/>
        <v>0.25999999999999801</v>
      </c>
      <c r="N6" s="91">
        <f t="shared" si="2"/>
        <v>1.7216159999999867</v>
      </c>
      <c r="O6" s="92">
        <f ca="1">_xlfn.XLOOKUP(ProxyDD[[#This Row],[Chave]],SMS!B:B,SMS!J:J)</f>
        <v>5</v>
      </c>
      <c r="P6" s="15">
        <f t="shared" ca="1" si="3"/>
        <v>0.34432319999999733</v>
      </c>
    </row>
    <row r="7" spans="1:17">
      <c r="I7" s="89">
        <v>45648</v>
      </c>
      <c r="J7" s="101" t="s">
        <v>36</v>
      </c>
      <c r="K7" s="101" t="str">
        <f t="shared" si="0"/>
        <v>BV45648</v>
      </c>
      <c r="L7" s="93">
        <v>49.058852459016379</v>
      </c>
      <c r="M7" s="93">
        <f t="shared" si="1"/>
        <v>0.1145491803278702</v>
      </c>
      <c r="N7" s="91">
        <f t="shared" si="2"/>
        <v>0.75849885245902537</v>
      </c>
      <c r="O7" s="92">
        <f ca="1">_xlfn.XLOOKUP(ProxyDD[[#This Row],[Chave]],SMS!B:B,SMS!J:J)</f>
        <v>8</v>
      </c>
      <c r="P7" s="15">
        <f t="shared" ca="1" si="3"/>
        <v>9.4812356557378172E-2</v>
      </c>
    </row>
    <row r="8" spans="1:17">
      <c r="I8" s="89">
        <v>45652</v>
      </c>
      <c r="J8" s="101" t="s">
        <v>36</v>
      </c>
      <c r="K8" s="101" t="str">
        <f t="shared" si="0"/>
        <v>BV45652</v>
      </c>
      <c r="L8" s="93">
        <v>48.875573770491791</v>
      </c>
      <c r="M8" s="93">
        <f t="shared" si="1"/>
        <v>0.18327868852458806</v>
      </c>
      <c r="N8" s="91">
        <f t="shared" si="2"/>
        <v>1.2135981639344122</v>
      </c>
      <c r="O8" s="92">
        <f ca="1">_xlfn.XLOOKUP(ProxyDD[[#This Row],[Chave]],SMS!B:B,SMS!J:J)</f>
        <v>21</v>
      </c>
      <c r="P8" s="15">
        <f t="shared" ca="1" si="3"/>
        <v>5.7790388758781536E-2</v>
      </c>
    </row>
    <row r="9" spans="1:17">
      <c r="I9" s="89">
        <v>45653</v>
      </c>
      <c r="J9" s="101" t="s">
        <v>36</v>
      </c>
      <c r="K9" s="101" t="str">
        <f t="shared" si="0"/>
        <v>BV45653</v>
      </c>
      <c r="L9" s="93">
        <v>48.394467213114744</v>
      </c>
      <c r="M9" s="93">
        <f t="shared" si="1"/>
        <v>0.48110655737704633</v>
      </c>
      <c r="N9" s="91">
        <f t="shared" si="2"/>
        <v>3.1856951803278499</v>
      </c>
      <c r="O9" s="92">
        <f ca="1">_xlfn.XLOOKUP(ProxyDD[[#This Row],[Chave]],SMS!B:B,SMS!J:J)</f>
        <v>8</v>
      </c>
      <c r="P9" s="15">
        <f t="shared" ca="1" si="3"/>
        <v>0.39821189754098124</v>
      </c>
    </row>
    <row r="10" spans="1:17">
      <c r="I10" s="89">
        <v>45656</v>
      </c>
      <c r="J10" s="101" t="s">
        <v>36</v>
      </c>
      <c r="K10" s="101" t="str">
        <f t="shared" si="0"/>
        <v>BV45656</v>
      </c>
      <c r="L10" s="93">
        <v>48.211188524590156</v>
      </c>
      <c r="M10" s="93">
        <f t="shared" si="1"/>
        <v>0.18327868852458806</v>
      </c>
      <c r="N10" s="91">
        <f t="shared" si="2"/>
        <v>1.2135981639344122</v>
      </c>
      <c r="O10" s="92">
        <f ca="1">_xlfn.XLOOKUP(ProxyDD[[#This Row],[Chave]],SMS!B:B,SMS!J:J)</f>
        <v>16</v>
      </c>
      <c r="P10" s="15">
        <f t="shared" ca="1" si="3"/>
        <v>7.5849885245900764E-2</v>
      </c>
    </row>
    <row r="11" spans="1:17">
      <c r="I11" s="89">
        <v>45659</v>
      </c>
      <c r="J11" s="101" t="s">
        <v>36</v>
      </c>
      <c r="K11" s="101" t="str">
        <f t="shared" si="0"/>
        <v>BV45659</v>
      </c>
      <c r="L11" s="93">
        <v>47.861188524590155</v>
      </c>
      <c r="M11" s="93">
        <f t="shared" si="1"/>
        <v>0.35000000000000142</v>
      </c>
      <c r="N11" s="91">
        <f t="shared" si="2"/>
        <v>2.3175600000000092</v>
      </c>
      <c r="O11" s="92">
        <f ca="1">_xlfn.XLOOKUP(ProxyDD[[#This Row],[Chave]],SMS!B:B,SMS!J:J)</f>
        <v>26</v>
      </c>
      <c r="P11" s="15">
        <f t="shared" ca="1" si="3"/>
        <v>8.9136923076923433E-2</v>
      </c>
    </row>
    <row r="12" spans="1:17">
      <c r="I12" s="89">
        <v>45660</v>
      </c>
      <c r="J12" s="101" t="s">
        <v>36</v>
      </c>
      <c r="K12" s="101" t="str">
        <f t="shared" si="0"/>
        <v>BV45660</v>
      </c>
      <c r="L12" s="93">
        <v>47.265532786885238</v>
      </c>
      <c r="M12" s="93">
        <f t="shared" si="1"/>
        <v>0.59565573770491653</v>
      </c>
      <c r="N12" s="91">
        <f t="shared" si="2"/>
        <v>3.9441940327868754</v>
      </c>
      <c r="O12" s="92">
        <f ca="1">_xlfn.XLOOKUP(ProxyDD[[#This Row],[Chave]],SMS!B:B,SMS!J:J)</f>
        <v>15</v>
      </c>
      <c r="P12" s="15">
        <f t="shared" ca="1" si="3"/>
        <v>0.26294626885245836</v>
      </c>
    </row>
    <row r="13" spans="1:17">
      <c r="I13" s="89">
        <v>45662</v>
      </c>
      <c r="J13" s="101" t="s">
        <v>36</v>
      </c>
      <c r="K13" s="101" t="str">
        <f t="shared" si="0"/>
        <v>BV45662</v>
      </c>
      <c r="L13" s="93">
        <v>46.921885245901635</v>
      </c>
      <c r="M13" s="93">
        <f t="shared" si="1"/>
        <v>0.34364754098360351</v>
      </c>
      <c r="N13" s="91">
        <f t="shared" si="2"/>
        <v>2.2754965573770289</v>
      </c>
      <c r="O13" s="92">
        <f ca="1">_xlfn.XLOOKUP(ProxyDD[[#This Row],[Chave]],SMS!B:B,SMS!J:J)</f>
        <v>19</v>
      </c>
      <c r="P13" s="15">
        <f t="shared" ca="1" si="3"/>
        <v>0.11976297670405416</v>
      </c>
    </row>
    <row r="14" spans="1:17">
      <c r="I14" s="89">
        <v>45663</v>
      </c>
      <c r="J14" s="101" t="s">
        <v>36</v>
      </c>
      <c r="K14" s="101" t="str">
        <f t="shared" si="0"/>
        <v>BV45663</v>
      </c>
      <c r="L14" s="93">
        <v>46.471885245901632</v>
      </c>
      <c r="M14" s="93">
        <f t="shared" si="1"/>
        <v>0.45000000000000284</v>
      </c>
      <c r="N14" s="91">
        <f t="shared" si="2"/>
        <v>2.9797200000000186</v>
      </c>
      <c r="O14" s="92">
        <f ca="1">_xlfn.XLOOKUP(ProxyDD[[#This Row],[Chave]],SMS!B:B,SMS!J:J)</f>
        <v>1</v>
      </c>
      <c r="P14" s="15">
        <f t="shared" ca="1" si="3"/>
        <v>2.9797200000000186</v>
      </c>
    </row>
    <row r="15" spans="1:17">
      <c r="I15" s="89">
        <v>45666</v>
      </c>
      <c r="J15" s="101" t="s">
        <v>36</v>
      </c>
      <c r="K15" s="101" t="str">
        <f t="shared" si="0"/>
        <v>BV45666</v>
      </c>
      <c r="L15" s="93">
        <v>46.426065573770487</v>
      </c>
      <c r="M15" s="93">
        <f t="shared" si="1"/>
        <v>4.5819672131145239E-2</v>
      </c>
      <c r="N15" s="91">
        <f t="shared" si="2"/>
        <v>0.30339954098359129</v>
      </c>
      <c r="O15" s="92">
        <f ca="1">_xlfn.XLOOKUP(ProxyDD[[#This Row],[Chave]],SMS!B:B,SMS!J:J)</f>
        <v>9</v>
      </c>
      <c r="P15" s="15">
        <f t="shared" ca="1" si="3"/>
        <v>3.371106010928792E-2</v>
      </c>
    </row>
    <row r="16" spans="1:17">
      <c r="I16" s="89">
        <v>45667</v>
      </c>
      <c r="J16" s="101" t="s">
        <v>36</v>
      </c>
      <c r="K16" s="101" t="str">
        <f t="shared" si="0"/>
        <v>BV45667</v>
      </c>
      <c r="L16" s="93">
        <v>46.196967213114746</v>
      </c>
      <c r="M16" s="93">
        <f t="shared" si="1"/>
        <v>0.22909836065574041</v>
      </c>
      <c r="N16" s="91">
        <f t="shared" si="2"/>
        <v>1.5169977049180507</v>
      </c>
      <c r="O16" s="92">
        <f ca="1">_xlfn.XLOOKUP(ProxyDD[[#This Row],[Chave]],SMS!B:B,SMS!J:J)</f>
        <v>23</v>
      </c>
      <c r="P16" s="15">
        <f t="shared" ca="1" si="3"/>
        <v>6.5956421952958727E-2</v>
      </c>
    </row>
    <row r="17" spans="9:16">
      <c r="I17" s="89">
        <v>45668</v>
      </c>
      <c r="J17" s="101" t="s">
        <v>36</v>
      </c>
      <c r="K17" s="101" t="str">
        <f t="shared" si="0"/>
        <v>BV45668</v>
      </c>
      <c r="L17" s="93">
        <v>45.647131147540975</v>
      </c>
      <c r="M17" s="93">
        <f t="shared" si="1"/>
        <v>0.54983606557377129</v>
      </c>
      <c r="N17" s="91">
        <f t="shared" si="2"/>
        <v>3.640794491803284</v>
      </c>
      <c r="O17" s="92">
        <f ca="1">_xlfn.XLOOKUP(ProxyDD[[#This Row],[Chave]],SMS!B:B,SMS!J:J)</f>
        <v>2</v>
      </c>
      <c r="P17" s="15">
        <f t="shared" ca="1" si="3"/>
        <v>1.820397245901642</v>
      </c>
    </row>
    <row r="18" spans="9:16">
      <c r="I18" s="89">
        <v>45669</v>
      </c>
      <c r="J18" s="101" t="s">
        <v>36</v>
      </c>
      <c r="K18" s="101" t="str">
        <f t="shared" si="0"/>
        <v>BV45669</v>
      </c>
      <c r="L18" s="93">
        <v>45.60131147540983</v>
      </c>
      <c r="M18" s="93">
        <f t="shared" si="1"/>
        <v>4.5819672131145239E-2</v>
      </c>
      <c r="N18" s="91">
        <f t="shared" si="2"/>
        <v>0.30339954098359129</v>
      </c>
      <c r="O18" s="92">
        <f ca="1">_xlfn.XLOOKUP(ProxyDD[[#This Row],[Chave]],SMS!B:B,SMS!J:J)</f>
        <v>7</v>
      </c>
      <c r="P18" s="15">
        <f t="shared" ca="1" si="3"/>
        <v>4.3342791569084473E-2</v>
      </c>
    </row>
    <row r="19" spans="9:16">
      <c r="I19" s="89">
        <v>45673</v>
      </c>
      <c r="J19" s="101" t="s">
        <v>36</v>
      </c>
      <c r="K19" s="101" t="str">
        <f t="shared" si="0"/>
        <v>BV45673</v>
      </c>
      <c r="L19" s="93">
        <v>45.440942622950814</v>
      </c>
      <c r="M19" s="93">
        <f t="shared" si="1"/>
        <v>0.16036885245901544</v>
      </c>
      <c r="N19" s="91">
        <f t="shared" si="2"/>
        <v>1.0618983934426167</v>
      </c>
      <c r="O19" s="92">
        <f ca="1">_xlfn.XLOOKUP(ProxyDD[[#This Row],[Chave]],SMS!B:B,SMS!J:J)</f>
        <v>12</v>
      </c>
      <c r="P19" s="15">
        <f t="shared" ca="1" si="3"/>
        <v>8.8491532786884722E-2</v>
      </c>
    </row>
    <row r="20" spans="9:16">
      <c r="I20" s="89">
        <v>45677</v>
      </c>
      <c r="J20" s="101" t="s">
        <v>36</v>
      </c>
      <c r="K20" s="101" t="str">
        <f t="shared" si="0"/>
        <v>BV45677</v>
      </c>
      <c r="L20" s="93">
        <v>45.166024590163929</v>
      </c>
      <c r="M20" s="93">
        <f t="shared" si="1"/>
        <v>0.27491803278688565</v>
      </c>
      <c r="N20" s="91">
        <f t="shared" si="2"/>
        <v>1.820397245901642</v>
      </c>
      <c r="O20" s="92">
        <f ca="1">_xlfn.XLOOKUP(ProxyDD[[#This Row],[Chave]],SMS!B:B,SMS!J:J)</f>
        <v>36</v>
      </c>
      <c r="P20" s="15">
        <f t="shared" ca="1" si="3"/>
        <v>5.0566590163934499E-2</v>
      </c>
    </row>
    <row r="21" spans="9:16">
      <c r="I21" s="89">
        <v>45678</v>
      </c>
      <c r="J21" s="101" t="s">
        <v>36</v>
      </c>
      <c r="K21" s="101" t="str">
        <f t="shared" si="0"/>
        <v>BV45678</v>
      </c>
      <c r="L21" s="93">
        <v>44.41</v>
      </c>
      <c r="M21" s="93">
        <f t="shared" si="1"/>
        <v>0.75602459016393198</v>
      </c>
      <c r="N21" s="91">
        <f t="shared" si="2"/>
        <v>5.0060924262294924</v>
      </c>
      <c r="O21" s="92">
        <f ca="1">_xlfn.XLOOKUP(ProxyDD[[#This Row],[Chave]],SMS!B:B,SMS!J:J)</f>
        <v>9</v>
      </c>
      <c r="P21" s="15">
        <f t="shared" ca="1" si="3"/>
        <v>0.55623249180327694</v>
      </c>
    </row>
    <row r="22" spans="9:16">
      <c r="I22" s="89">
        <v>45679</v>
      </c>
      <c r="J22" s="101" t="s">
        <v>36</v>
      </c>
      <c r="K22" s="101" t="str">
        <f t="shared" si="0"/>
        <v>BV45679</v>
      </c>
      <c r="L22" s="92">
        <v>44.26</v>
      </c>
      <c r="M22" s="93">
        <f t="shared" si="1"/>
        <v>0.14999999999999858</v>
      </c>
      <c r="N22" s="91">
        <f t="shared" si="2"/>
        <v>0.99323999999999057</v>
      </c>
      <c r="O22" s="92">
        <f ca="1">_xlfn.XLOOKUP(ProxyDD[[#This Row],[Chave]],SMS!B:B,SMS!J:J)</f>
        <v>5</v>
      </c>
      <c r="P22" s="15">
        <f t="shared" ca="1" si="3"/>
        <v>0.1986479999999981</v>
      </c>
    </row>
    <row r="23" spans="9:16">
      <c r="I23" s="89">
        <v>45680</v>
      </c>
      <c r="J23" s="101" t="s">
        <v>36</v>
      </c>
      <c r="K23" s="101" t="str">
        <f t="shared" si="0"/>
        <v>BV45680</v>
      </c>
      <c r="L23" s="92">
        <v>44.22</v>
      </c>
      <c r="M23" s="93">
        <f t="shared" si="1"/>
        <v>3.9999999999999147E-2</v>
      </c>
      <c r="N23" s="91">
        <f t="shared" si="2"/>
        <v>0.26486399999999433</v>
      </c>
      <c r="O23" s="92">
        <f ca="1">_xlfn.XLOOKUP(ProxyDD[[#This Row],[Chave]],SMS!B:B,SMS!J:J)</f>
        <v>4</v>
      </c>
      <c r="P23" s="15">
        <f t="shared" ca="1" si="3"/>
        <v>6.6215999999998582E-2</v>
      </c>
    </row>
    <row r="24" spans="9:16">
      <c r="I24" s="89">
        <v>45681</v>
      </c>
      <c r="J24" s="101" t="s">
        <v>36</v>
      </c>
      <c r="K24" s="101" t="str">
        <f t="shared" si="0"/>
        <v>BV45681</v>
      </c>
      <c r="L24" s="92">
        <v>44.17</v>
      </c>
      <c r="M24" s="93">
        <f t="shared" si="1"/>
        <v>4.9999999999997158E-2</v>
      </c>
      <c r="N24" s="91">
        <f t="shared" si="2"/>
        <v>0.33107999999998117</v>
      </c>
      <c r="O24" s="92">
        <f ca="1">_xlfn.XLOOKUP(ProxyDD[[#This Row],[Chave]],SMS!B:B,SMS!J:J)</f>
        <v>4</v>
      </c>
      <c r="P24" s="15">
        <f t="shared" ca="1" si="3"/>
        <v>8.2769999999995292E-2</v>
      </c>
    </row>
    <row r="25" spans="9:16">
      <c r="I25" s="89">
        <v>45684</v>
      </c>
      <c r="J25" s="101" t="s">
        <v>36</v>
      </c>
      <c r="K25" s="101" t="str">
        <f t="shared" si="0"/>
        <v>BV45684</v>
      </c>
      <c r="L25" s="92">
        <v>44.05</v>
      </c>
      <c r="M25" s="93">
        <f t="shared" si="1"/>
        <v>0.12000000000000455</v>
      </c>
      <c r="N25" s="91">
        <f t="shared" si="2"/>
        <v>0.79459200000003005</v>
      </c>
      <c r="O25" s="92">
        <f ca="1">_xlfn.XLOOKUP(ProxyDD[[#This Row],[Chave]],SMS!B:B,SMS!J:J)</f>
        <v>7</v>
      </c>
      <c r="P25" s="15">
        <f t="shared" ca="1" si="3"/>
        <v>0.11351314285714716</v>
      </c>
    </row>
    <row r="26" spans="9:16">
      <c r="I26" s="89">
        <v>45685</v>
      </c>
      <c r="J26" s="101" t="s">
        <v>36</v>
      </c>
      <c r="K26" s="101" t="str">
        <f t="shared" si="0"/>
        <v>BV45685</v>
      </c>
      <c r="L26" s="92">
        <v>44</v>
      </c>
      <c r="M26" s="93">
        <f t="shared" si="1"/>
        <v>4.9999999999997158E-2</v>
      </c>
      <c r="N26" s="91">
        <f t="shared" si="2"/>
        <v>0.33107999999998117</v>
      </c>
      <c r="O26" s="92">
        <f ca="1">_xlfn.XLOOKUP(ProxyDD[[#This Row],[Chave]],SMS!B:B,SMS!J:J)</f>
        <v>1</v>
      </c>
      <c r="P26" s="15">
        <f t="shared" ca="1" si="3"/>
        <v>0.33107999999998117</v>
      </c>
    </row>
    <row r="27" spans="9:16">
      <c r="I27" s="89">
        <v>45686</v>
      </c>
      <c r="J27" s="101" t="s">
        <v>36</v>
      </c>
      <c r="K27" s="101" t="str">
        <f t="shared" si="0"/>
        <v>BV45686</v>
      </c>
      <c r="L27" s="92">
        <v>43.97</v>
      </c>
      <c r="M27" s="93">
        <f t="shared" si="1"/>
        <v>3.0000000000001137E-2</v>
      </c>
      <c r="N27" s="91">
        <f t="shared" si="2"/>
        <v>0.19864800000000751</v>
      </c>
      <c r="O27" s="92">
        <f ca="1">_xlfn.XLOOKUP(ProxyDD[[#This Row],[Chave]],SMS!B:B,SMS!J:J)</f>
        <v>2</v>
      </c>
      <c r="P27" s="15">
        <f t="shared" ca="1" si="3"/>
        <v>9.9324000000003757E-2</v>
      </c>
    </row>
    <row r="28" spans="9:16">
      <c r="I28" s="89">
        <v>45688</v>
      </c>
      <c r="J28" s="101" t="s">
        <v>36</v>
      </c>
      <c r="K28" s="101" t="str">
        <f t="shared" si="0"/>
        <v>BV45688</v>
      </c>
      <c r="L28" s="92">
        <v>43.89</v>
      </c>
      <c r="M28" s="93">
        <f t="shared" si="1"/>
        <v>7.9999999999998295E-2</v>
      </c>
      <c r="N28" s="91">
        <f t="shared" si="2"/>
        <v>0.52972799999998865</v>
      </c>
      <c r="O28" s="92">
        <f ca="1">_xlfn.XLOOKUP(ProxyDD[[#This Row],[Chave]],SMS!B:B,SMS!J:J)</f>
        <v>3</v>
      </c>
      <c r="P28" s="15">
        <f t="shared" ca="1" si="3"/>
        <v>0.17657599999999621</v>
      </c>
    </row>
    <row r="29" spans="9:16">
      <c r="I29" s="89">
        <v>45691</v>
      </c>
      <c r="J29" s="101" t="s">
        <v>36</v>
      </c>
      <c r="K29" s="101" t="str">
        <f t="shared" si="0"/>
        <v>BV45691</v>
      </c>
      <c r="L29" s="92">
        <v>43.42</v>
      </c>
      <c r="M29" s="93">
        <f t="shared" si="1"/>
        <v>0.46999999999999886</v>
      </c>
      <c r="N29" s="91">
        <f t="shared" si="2"/>
        <v>3.1121519999999925</v>
      </c>
      <c r="O29" s="92">
        <f ca="1">_xlfn.XLOOKUP(ProxyDD[[#This Row],[Chave]],SMS!B:B,SMS!J:J)</f>
        <v>21</v>
      </c>
      <c r="P29" s="15">
        <f t="shared" ca="1" si="3"/>
        <v>0.14819771428571393</v>
      </c>
    </row>
    <row r="30" spans="9:16">
      <c r="I30" s="89">
        <v>45692</v>
      </c>
      <c r="J30" s="101" t="s">
        <v>36</v>
      </c>
      <c r="K30" s="101" t="str">
        <f t="shared" si="0"/>
        <v>BV45692</v>
      </c>
      <c r="L30" s="92">
        <v>43.15</v>
      </c>
      <c r="M30" s="93">
        <f t="shared" si="1"/>
        <v>0.27000000000000313</v>
      </c>
      <c r="N30" s="91">
        <f t="shared" si="2"/>
        <v>1.7878320000000207</v>
      </c>
      <c r="O30" s="92">
        <f ca="1">_xlfn.XLOOKUP(ProxyDD[[#This Row],[Chave]],SMS!B:B,SMS!J:J)</f>
        <v>8</v>
      </c>
      <c r="P30" s="15">
        <f t="shared" ca="1" si="3"/>
        <v>0.22347900000000259</v>
      </c>
    </row>
    <row r="31" spans="9:16">
      <c r="I31" s="89">
        <v>45693</v>
      </c>
      <c r="J31" s="101" t="s">
        <v>36</v>
      </c>
      <c r="K31" s="101" t="str">
        <f t="shared" si="0"/>
        <v>BV45693</v>
      </c>
      <c r="L31" s="92">
        <v>43.02</v>
      </c>
      <c r="M31" s="93">
        <f t="shared" si="1"/>
        <v>0.12999999999999545</v>
      </c>
      <c r="N31" s="91">
        <f t="shared" si="2"/>
        <v>0.86080799999996993</v>
      </c>
      <c r="O31" s="92">
        <f ca="1">_xlfn.XLOOKUP(ProxyDD[[#This Row],[Chave]],SMS!B:B,SMS!J:J)</f>
        <v>4</v>
      </c>
      <c r="P31" s="15">
        <f t="shared" ca="1" si="3"/>
        <v>0.21520199999999248</v>
      </c>
    </row>
    <row r="32" spans="9:16">
      <c r="I32" s="89">
        <v>45672</v>
      </c>
      <c r="J32" s="89" t="s">
        <v>108</v>
      </c>
      <c r="K32" s="89" t="str">
        <f t="shared" si="0"/>
        <v>GO45672</v>
      </c>
      <c r="L32" s="92">
        <v>3.42</v>
      </c>
      <c r="M32" s="92">
        <f>$E$6-ProxyDD[[#This Row],[GB atual]]</f>
        <v>2.0000000000000018E-2</v>
      </c>
      <c r="N32" s="91">
        <f>ProxyDD[[#This Row],[Gasto total]]*$F$6</f>
        <v>0.12662790697674431</v>
      </c>
      <c r="O32" s="92">
        <f ca="1">_xlfn.XLOOKUP(ProxyDD[[#This Row],[Chave]],SMS!B:B,SMS!J:J)</f>
        <v>1</v>
      </c>
      <c r="P32" s="15">
        <f t="shared" ca="1" si="3"/>
        <v>0.12662790697674431</v>
      </c>
    </row>
    <row r="33" spans="9:16">
      <c r="I33" s="89">
        <v>45678</v>
      </c>
      <c r="J33" s="89" t="s">
        <v>108</v>
      </c>
      <c r="K33" s="89" t="str">
        <f t="shared" ref="K33:K40" si="4">_xlfn.CONCAT(J33,I33)</f>
        <v>GO45678</v>
      </c>
      <c r="L33" s="92">
        <v>3.4049999999999998</v>
      </c>
      <c r="M33" s="92">
        <f>L32-ProxyDD[[#This Row],[GB atual]]</f>
        <v>1.5000000000000124E-2</v>
      </c>
      <c r="N33" s="91">
        <f>ProxyDD[[#This Row],[Gasto total]]*$F$6</f>
        <v>9.4970930232558926E-2</v>
      </c>
      <c r="O33" s="92">
        <f ca="1">_xlfn.XLOOKUP(ProxyDD[[#This Row],[Chave]],SMS!B:B,SMS!J:J)</f>
        <v>1</v>
      </c>
      <c r="P33" s="15">
        <f t="shared" ca="1" si="3"/>
        <v>9.4970930232558926E-2</v>
      </c>
    </row>
    <row r="34" spans="9:16">
      <c r="I34" s="89">
        <v>45681</v>
      </c>
      <c r="J34" s="89" t="s">
        <v>108</v>
      </c>
      <c r="K34" s="89" t="str">
        <f t="shared" si="4"/>
        <v>GO45681</v>
      </c>
      <c r="L34" s="92">
        <v>3.37</v>
      </c>
      <c r="M34" s="92">
        <f>L33-ProxyDD[[#This Row],[GB atual]]</f>
        <v>3.4999999999999698E-2</v>
      </c>
      <c r="N34" s="91">
        <f>ProxyDD[[#This Row],[Gasto total]]*$F$6</f>
        <v>0.22159883720930043</v>
      </c>
      <c r="O34" s="92">
        <f ca="1">_xlfn.XLOOKUP(ProxyDD[[#This Row],[Chave]],SMS!B:B,SMS!J:J)</f>
        <v>2</v>
      </c>
      <c r="P34" s="15">
        <f t="shared" ca="1" si="3"/>
        <v>0.11079941860465022</v>
      </c>
    </row>
    <row r="35" spans="9:16">
      <c r="I35" s="89">
        <v>45684</v>
      </c>
      <c r="J35" s="89" t="s">
        <v>108</v>
      </c>
      <c r="K35" s="89" t="str">
        <f t="shared" si="4"/>
        <v>GO45684</v>
      </c>
      <c r="L35" s="92">
        <v>3.2</v>
      </c>
      <c r="M35" s="92">
        <f>L34-ProxyDD[[#This Row],[GB atual]]</f>
        <v>0.16999999999999993</v>
      </c>
      <c r="N35" s="91">
        <f>ProxyDD[[#This Row],[Gasto total]]*$F$6</f>
        <v>1.0763372093023251</v>
      </c>
      <c r="O35" s="92">
        <f ca="1">_xlfn.XLOOKUP(ProxyDD[[#This Row],[Chave]],SMS!B:B,SMS!J:J)</f>
        <v>9</v>
      </c>
      <c r="P35" s="15">
        <f t="shared" ca="1" si="3"/>
        <v>0.1195930232558139</v>
      </c>
    </row>
    <row r="36" spans="9:16">
      <c r="I36" s="89">
        <v>45685</v>
      </c>
      <c r="J36" s="89" t="s">
        <v>108</v>
      </c>
      <c r="K36" s="89" t="str">
        <f t="shared" si="4"/>
        <v>GO45685</v>
      </c>
      <c r="L36" s="92">
        <v>3.17</v>
      </c>
      <c r="M36" s="92">
        <f>L35-ProxyDD[[#This Row],[GB atual]]</f>
        <v>3.0000000000000249E-2</v>
      </c>
      <c r="N36" s="91">
        <f>ProxyDD[[#This Row],[Gasto total]]*$F$6</f>
        <v>0.18994186046511785</v>
      </c>
      <c r="O36" s="92">
        <f ca="1">_xlfn.XLOOKUP(ProxyDD[[#This Row],[Chave]],SMS!B:B,SMS!J:J)</f>
        <v>3</v>
      </c>
      <c r="P36" s="15">
        <f t="shared" ca="1" si="3"/>
        <v>6.3313953488372612E-2</v>
      </c>
    </row>
    <row r="37" spans="9:16">
      <c r="I37" s="89">
        <v>45686</v>
      </c>
      <c r="J37" s="89" t="s">
        <v>108</v>
      </c>
      <c r="K37" s="89" t="str">
        <f t="shared" si="4"/>
        <v>GO45686</v>
      </c>
      <c r="L37" s="92">
        <v>3.14</v>
      </c>
      <c r="M37" s="92">
        <f>L36-ProxyDD[[#This Row],[GB atual]]</f>
        <v>2.9999999999999805E-2</v>
      </c>
      <c r="N37" s="91">
        <f>ProxyDD[[#This Row],[Gasto total]]*$F$6</f>
        <v>0.18994186046511505</v>
      </c>
      <c r="O37" s="92">
        <f ca="1">_xlfn.XLOOKUP(ProxyDD[[#This Row],[Chave]],SMS!B:B,SMS!J:J)</f>
        <v>1</v>
      </c>
      <c r="P37" s="15">
        <f t="shared" ca="1" si="3"/>
        <v>0.18994186046511505</v>
      </c>
    </row>
    <row r="38" spans="9:16">
      <c r="I38" s="89">
        <v>45688</v>
      </c>
      <c r="J38" s="89" t="s">
        <v>108</v>
      </c>
      <c r="K38" s="89" t="str">
        <f t="shared" si="4"/>
        <v>GO45688</v>
      </c>
      <c r="L38" s="92">
        <v>3.08</v>
      </c>
      <c r="M38" s="92">
        <f>L37-ProxyDD[[#This Row],[GB atual]]</f>
        <v>6.0000000000000053E-2</v>
      </c>
      <c r="N38" s="91">
        <f>ProxyDD[[#This Row],[Gasto total]]*$F$6</f>
        <v>0.37988372093023293</v>
      </c>
      <c r="O38" s="92">
        <f ca="1">_xlfn.XLOOKUP(ProxyDD[[#This Row],[Chave]],SMS!B:B,SMS!J:J)</f>
        <v>2</v>
      </c>
      <c r="P38" s="15">
        <f t="shared" ca="1" si="3"/>
        <v>0.18994186046511646</v>
      </c>
    </row>
    <row r="39" spans="9:16">
      <c r="I39" s="89">
        <v>45691</v>
      </c>
      <c r="J39" s="89" t="s">
        <v>108</v>
      </c>
      <c r="K39" s="89" t="str">
        <f t="shared" si="4"/>
        <v>GO45691</v>
      </c>
      <c r="L39" s="92">
        <v>3.04</v>
      </c>
      <c r="M39" s="92">
        <f>L38-ProxyDD[[#This Row],[GB atual]]</f>
        <v>4.0000000000000036E-2</v>
      </c>
      <c r="N39" s="91">
        <f>ProxyDD[[#This Row],[Gasto total]]*$F$6</f>
        <v>0.25325581395348862</v>
      </c>
      <c r="O39" s="92">
        <f ca="1">_xlfn.XLOOKUP(ProxyDD[[#This Row],[Chave]],SMS!B:B,SMS!J:J)</f>
        <v>3</v>
      </c>
      <c r="P39" s="15">
        <f t="shared" ca="1" si="3"/>
        <v>8.4418604651162868E-2</v>
      </c>
    </row>
    <row r="40" spans="9:16">
      <c r="I40" s="89">
        <v>45693</v>
      </c>
      <c r="J40" s="89" t="s">
        <v>108</v>
      </c>
      <c r="K40" s="89" t="str">
        <f t="shared" si="4"/>
        <v>GO45693</v>
      </c>
      <c r="L40" s="92">
        <v>2.99</v>
      </c>
      <c r="M40" s="92">
        <f>L39-ProxyDD[[#This Row],[GB atual]]</f>
        <v>4.9999999999999822E-2</v>
      </c>
      <c r="N40" s="91">
        <f>ProxyDD[[#This Row],[Gasto total]]*$F$6</f>
        <v>0.31656976744185933</v>
      </c>
      <c r="O40" s="92">
        <f ca="1">_xlfn.XLOOKUP(ProxyDD[[#This Row],[Chave]],SMS!B:B,SMS!J:J)</f>
        <v>2</v>
      </c>
      <c r="P40" s="15">
        <f t="shared" ca="1" si="3"/>
        <v>0.15828488372092966</v>
      </c>
    </row>
    <row r="41" spans="9:16">
      <c r="I41" s="89">
        <v>45694</v>
      </c>
      <c r="J41" s="101" t="s">
        <v>113</v>
      </c>
      <c r="K41" s="89" t="str">
        <f t="shared" ref="K41:K47" si="5">_xlfn.CONCAT(J41,I41)</f>
        <v>MEI45694</v>
      </c>
      <c r="L41" s="92">
        <v>42.75</v>
      </c>
      <c r="M41" s="92">
        <f>L31-ProxyDD[[#This Row],[GB atual]]</f>
        <v>0.27000000000000313</v>
      </c>
      <c r="N41" s="91">
        <f>ProxyDD[[#This Row],[Gasto total]]*$F$5</f>
        <v>1.7878320000000207</v>
      </c>
      <c r="O41" s="92">
        <f ca="1">_xlfn.XLOOKUP(ProxyDD[[#This Row],[Chave]],SMS!B:B,SMS!J:J)</f>
        <v>19</v>
      </c>
      <c r="P41" s="15">
        <f t="shared" ref="P41" ca="1" si="6">N41/O41</f>
        <v>9.4096421052632676E-2</v>
      </c>
    </row>
    <row r="42" spans="9:16">
      <c r="I42" s="89">
        <v>45695</v>
      </c>
      <c r="J42" s="101" t="s">
        <v>36</v>
      </c>
      <c r="K42" s="89" t="str">
        <f t="shared" si="5"/>
        <v>BV45695</v>
      </c>
      <c r="L42" s="92">
        <v>42.62</v>
      </c>
      <c r="M42" s="92">
        <f>L41-ProxyDD[[#This Row],[GB atual]]</f>
        <v>0.13000000000000256</v>
      </c>
      <c r="N42" s="91">
        <f>ProxyDD[[#This Row],[Gasto total]]*$F$5</f>
        <v>0.86080800000001689</v>
      </c>
      <c r="O42" s="92">
        <f ca="1">_xlfn.XLOOKUP(ProxyDD[[#This Row],[Chave]],SMS!B:B,SMS!J:J)</f>
        <v>6</v>
      </c>
      <c r="P42" s="15">
        <f t="shared" ref="P42" ca="1" si="7">N42/O42</f>
        <v>0.14346800000000282</v>
      </c>
    </row>
    <row r="43" spans="9:16">
      <c r="I43" s="89">
        <v>45695</v>
      </c>
      <c r="J43" s="101" t="s">
        <v>113</v>
      </c>
      <c r="K43" s="89" t="str">
        <f t="shared" si="5"/>
        <v>MEI45695</v>
      </c>
      <c r="L43" s="92">
        <v>42.58</v>
      </c>
      <c r="M43" s="92">
        <f>L42-ProxyDD[[#This Row],[GB atual]]</f>
        <v>3.9999999999999147E-2</v>
      </c>
      <c r="N43" s="91">
        <f>ProxyDD[[#This Row],[Gasto total]]*$F$5</f>
        <v>0.26486399999999433</v>
      </c>
      <c r="O43" s="92">
        <f ca="1">_xlfn.XLOOKUP(ProxyDD[[#This Row],[Chave]],SMS!B:B,SMS!J:J)</f>
        <v>2</v>
      </c>
      <c r="P43" s="15">
        <f t="shared" ref="P43" ca="1" si="8">N43/O43</f>
        <v>0.13243199999999716</v>
      </c>
    </row>
    <row r="44" spans="9:16">
      <c r="I44" s="89">
        <v>45697</v>
      </c>
      <c r="J44" s="101" t="s">
        <v>36</v>
      </c>
      <c r="K44" s="89" t="str">
        <f t="shared" si="5"/>
        <v>BV45697</v>
      </c>
      <c r="L44" s="92">
        <v>42.44</v>
      </c>
      <c r="M44" s="92">
        <f>L43-ProxyDD[[#This Row],[GB atual]]</f>
        <v>0.14000000000000057</v>
      </c>
      <c r="N44" s="91">
        <f>ProxyDD[[#This Row],[Gasto total]]*$F$5</f>
        <v>0.92702400000000373</v>
      </c>
      <c r="O44" s="92">
        <f ca="1">_xlfn.XLOOKUP(ProxyDD[[#This Row],[Chave]],SMS!B:B,SMS!J:J)</f>
        <v>7</v>
      </c>
      <c r="P44" s="15">
        <f t="shared" ref="P44:P45" ca="1" si="9">N44/O44</f>
        <v>0.13243200000000052</v>
      </c>
    </row>
    <row r="45" spans="9:16">
      <c r="I45" s="89">
        <v>45697</v>
      </c>
      <c r="J45" s="101" t="s">
        <v>108</v>
      </c>
      <c r="K45" s="89" t="str">
        <f t="shared" si="5"/>
        <v>GO45697</v>
      </c>
      <c r="L45" s="92">
        <v>2.64</v>
      </c>
      <c r="M45" s="92">
        <f>L40-ProxyDD[[#This Row],[GB atual]]</f>
        <v>0.35000000000000009</v>
      </c>
      <c r="N45" s="91">
        <f>ProxyDD[[#This Row],[Gasto total]]*$F$6</f>
        <v>2.2159883720930238</v>
      </c>
      <c r="O45" s="92">
        <f ca="1">_xlfn.XLOOKUP(ProxyDD[[#This Row],[Chave]],SMS!B:B,SMS!J:J)</f>
        <v>7</v>
      </c>
      <c r="P45" s="15">
        <f t="shared" ca="1" si="9"/>
        <v>0.31656976744186055</v>
      </c>
    </row>
    <row r="46" spans="9:16">
      <c r="I46" s="89">
        <v>45698</v>
      </c>
      <c r="J46" s="101" t="s">
        <v>36</v>
      </c>
      <c r="K46" s="89" t="str">
        <f t="shared" si="5"/>
        <v>BV45698</v>
      </c>
      <c r="L46" s="92">
        <v>42.3</v>
      </c>
      <c r="M46" s="92">
        <f>L44-ProxyDD[[#This Row],[GB atual]]</f>
        <v>0.14000000000000057</v>
      </c>
      <c r="N46" s="91">
        <f>ProxyDD[[#This Row],[Gasto total]]*$F$6</f>
        <v>0.88639534883721294</v>
      </c>
      <c r="O46" s="92">
        <f ca="1">_xlfn.XLOOKUP(ProxyDD[[#This Row],[Chave]],SMS!B:B,SMS!J:J)</f>
        <v>8</v>
      </c>
      <c r="P46" s="15">
        <f t="shared" ref="P46" ca="1" si="10">N46/O46</f>
        <v>0.11079941860465162</v>
      </c>
    </row>
    <row r="47" spans="9:16">
      <c r="I47" s="89">
        <v>45698</v>
      </c>
      <c r="J47" s="101" t="s">
        <v>108</v>
      </c>
      <c r="K47" s="89" t="str">
        <f t="shared" si="5"/>
        <v>GO45698</v>
      </c>
      <c r="L47" s="92">
        <v>2.5</v>
      </c>
      <c r="M47" s="92">
        <f>L45-ProxyDD[[#This Row],[GB atual]]</f>
        <v>0.14000000000000012</v>
      </c>
      <c r="N47" s="91">
        <f>ProxyDD[[#This Row],[Gasto total]]*$F$6</f>
        <v>0.88639534883721016</v>
      </c>
      <c r="O47" s="92">
        <f ca="1">_xlfn.XLOOKUP(ProxyDD[[#This Row],[Chave]],SMS!B:B,SMS!J:J)</f>
        <v>7</v>
      </c>
      <c r="P47" s="15">
        <f t="shared" ref="P47" ca="1" si="11">N47/O47</f>
        <v>0.12662790697674431</v>
      </c>
    </row>
    <row r="48" spans="9:16">
      <c r="I48" s="89">
        <v>45699</v>
      </c>
      <c r="J48" s="101" t="s">
        <v>108</v>
      </c>
      <c r="K48" s="89" t="str">
        <f t="shared" ref="K48:K53" si="12">_xlfn.CONCAT(J48,I48)</f>
        <v>GO45699</v>
      </c>
      <c r="L48" s="92">
        <v>2.44</v>
      </c>
      <c r="M48" s="92">
        <f>L47-ProxyDD[[#This Row],[GB atual]]</f>
        <v>6.0000000000000053E-2</v>
      </c>
      <c r="N48" s="91">
        <f>ProxyDD[[#This Row],[Gasto total]]*$F$6</f>
        <v>0.37988372093023293</v>
      </c>
      <c r="O48" s="92">
        <f ca="1">_xlfn.XLOOKUP(ProxyDD[[#This Row],[Chave]],SMS!B:B,SMS!J:J)</f>
        <v>1</v>
      </c>
      <c r="P48" s="15">
        <f t="shared" ref="P48" ca="1" si="13">N48/O48</f>
        <v>0.37988372093023293</v>
      </c>
    </row>
    <row r="49" spans="9:16">
      <c r="I49" s="89">
        <v>45699</v>
      </c>
      <c r="J49" s="101" t="s">
        <v>36</v>
      </c>
      <c r="K49" s="89" t="str">
        <f t="shared" si="12"/>
        <v>BV45699</v>
      </c>
      <c r="L49" s="92">
        <v>42.21</v>
      </c>
      <c r="M49" s="92">
        <f>L46-ProxyDD[[#This Row],[GB atual]]</f>
        <v>8.9999999999996305E-2</v>
      </c>
      <c r="N49" s="91">
        <f>ProxyDD[[#This Row],[Gasto total]]*$F$6</f>
        <v>0.56982558139532546</v>
      </c>
      <c r="O49" s="92">
        <f ca="1">_xlfn.XLOOKUP(ProxyDD[[#This Row],[Chave]],SMS!B:B,SMS!J:J)</f>
        <v>1</v>
      </c>
      <c r="P49" s="15">
        <f t="shared" ref="P49" ca="1" si="14">N49/O49</f>
        <v>0.56982558139532546</v>
      </c>
    </row>
    <row r="50" spans="9:16">
      <c r="I50" s="89">
        <v>45699</v>
      </c>
      <c r="J50" s="101" t="s">
        <v>113</v>
      </c>
      <c r="K50" s="89" t="str">
        <f t="shared" si="12"/>
        <v>MEI45699</v>
      </c>
      <c r="L50" s="92">
        <v>42.05</v>
      </c>
      <c r="M50" s="92">
        <f>L49-ProxyDD[[#This Row],[GB atual]]</f>
        <v>0.16000000000000369</v>
      </c>
      <c r="N50" s="91">
        <f>ProxyDD[[#This Row],[Gasto total]]*$F$6</f>
        <v>1.0130232558139769</v>
      </c>
      <c r="O50" s="92">
        <f ca="1">_xlfn.XLOOKUP(ProxyDD[[#This Row],[Chave]],SMS!B:B,SMS!J:J)</f>
        <v>8</v>
      </c>
      <c r="P50" s="15">
        <f t="shared" ref="P50:P51" ca="1" si="15">N50/O50</f>
        <v>0.12662790697674711</v>
      </c>
    </row>
    <row r="51" spans="9:16">
      <c r="I51" s="89">
        <v>45700</v>
      </c>
      <c r="J51" s="101" t="s">
        <v>36</v>
      </c>
      <c r="K51" s="89" t="str">
        <f t="shared" si="12"/>
        <v>BV45700</v>
      </c>
      <c r="L51" s="92">
        <v>41.94</v>
      </c>
      <c r="M51" s="92">
        <f>L50-ProxyDD[[#This Row],[GB atual]]</f>
        <v>0.10999999999999943</v>
      </c>
      <c r="N51" s="91">
        <f>ProxyDD[[#This Row],[Gasto total]]*$F$6</f>
        <v>0.69645348837208942</v>
      </c>
      <c r="O51" s="92">
        <f ca="1">_xlfn.XLOOKUP(ProxyDD[[#This Row],[Chave]],SMS!B:B,SMS!J:J)</f>
        <v>5</v>
      </c>
      <c r="P51" s="15">
        <f t="shared" ca="1" si="15"/>
        <v>0.13929069767441787</v>
      </c>
    </row>
    <row r="52" spans="9:16">
      <c r="I52" s="89">
        <v>45700</v>
      </c>
      <c r="J52" s="101" t="s">
        <v>113</v>
      </c>
      <c r="K52" s="89" t="str">
        <f t="shared" si="12"/>
        <v>MEI45700</v>
      </c>
      <c r="L52" s="92">
        <v>41.89</v>
      </c>
      <c r="M52" s="92">
        <f>L51-ProxyDD[[#This Row],[GB atual]]</f>
        <v>4.9999999999997158E-2</v>
      </c>
      <c r="N52" s="91">
        <f>ProxyDD[[#This Row],[Gasto total]]*$F$6</f>
        <v>0.31656976744184245</v>
      </c>
      <c r="O52" s="92">
        <f ca="1">_xlfn.XLOOKUP(ProxyDD[[#This Row],[Chave]],SMS!B:B,SMS!J:J)</f>
        <v>2</v>
      </c>
      <c r="P52" s="15">
        <f t="shared" ref="P52" ca="1" si="16">N52/O52</f>
        <v>0.15828488372092123</v>
      </c>
    </row>
    <row r="53" spans="9:16">
      <c r="I53" s="89">
        <v>45700</v>
      </c>
      <c r="J53" s="101" t="s">
        <v>108</v>
      </c>
      <c r="K53" s="89" t="str">
        <f t="shared" si="12"/>
        <v>GO45700</v>
      </c>
      <c r="L53" s="92">
        <v>2.4</v>
      </c>
      <c r="M53" s="92">
        <f>L48-ProxyDD[[#This Row],[GB atual]]</f>
        <v>4.0000000000000036E-2</v>
      </c>
      <c r="N53" s="91">
        <f>ProxyDD[[#This Row],[Gasto total]]*$F$6</f>
        <v>0.25325581395348862</v>
      </c>
      <c r="O53" s="92">
        <f ca="1">_xlfn.XLOOKUP(ProxyDD[[#This Row],[Chave]],SMS!B:B,SMS!J:J)</f>
        <v>1</v>
      </c>
      <c r="P53" s="15">
        <f t="shared" ref="P53" ca="1" si="17">N53/O53</f>
        <v>0.25325581395348862</v>
      </c>
    </row>
    <row r="54" spans="9:16">
      <c r="I54" s="89">
        <v>45701</v>
      </c>
      <c r="J54" s="101" t="s">
        <v>36</v>
      </c>
      <c r="K54" s="89" t="str">
        <f t="shared" ref="K54:K59" si="18">_xlfn.CONCAT(J54,I54)</f>
        <v>BV45701</v>
      </c>
      <c r="L54" s="92">
        <v>41.77</v>
      </c>
      <c r="M54" s="92">
        <f>L52-ProxyDD[[#This Row],[GB atual]]</f>
        <v>0.11999999999999744</v>
      </c>
      <c r="N54" s="91">
        <f>ProxyDD[[#This Row],[Gasto total]]*$F$6</f>
        <v>0.75976744186044898</v>
      </c>
      <c r="O54" s="92">
        <f ca="1">_xlfn.XLOOKUP(ProxyDD[[#This Row],[Chave]],SMS!B:B,SMS!J:J)</f>
        <v>4</v>
      </c>
      <c r="P54" s="15">
        <f t="shared" ref="P54" ca="1" si="19">N54/O54</f>
        <v>0.18994186046511224</v>
      </c>
    </row>
    <row r="55" spans="9:16">
      <c r="I55" s="89">
        <v>45701</v>
      </c>
      <c r="J55" s="101" t="s">
        <v>113</v>
      </c>
      <c r="K55" s="89" t="str">
        <f t="shared" si="18"/>
        <v>MEI45701</v>
      </c>
      <c r="L55" s="92">
        <v>41.74</v>
      </c>
      <c r="M55" s="92">
        <f>L54-ProxyDD[[#This Row],[GB atual]]</f>
        <v>3.0000000000001137E-2</v>
      </c>
      <c r="N55" s="91">
        <f>ProxyDD[[#This Row],[Gasto total]]*$F$6</f>
        <v>0.18994186046512349</v>
      </c>
      <c r="O55" s="92">
        <f ca="1">_xlfn.XLOOKUP(ProxyDD[[#This Row],[Chave]],SMS!B:B,SMS!J:J)</f>
        <v>4</v>
      </c>
      <c r="P55" s="15">
        <f t="shared" ref="P55" ca="1" si="20">N55/O55</f>
        <v>4.7485465116280871E-2</v>
      </c>
    </row>
    <row r="56" spans="9:16">
      <c r="I56" s="89">
        <v>45702</v>
      </c>
      <c r="J56" s="101" t="s">
        <v>36</v>
      </c>
      <c r="K56" s="89" t="str">
        <f t="shared" si="18"/>
        <v>BV45702</v>
      </c>
      <c r="L56" s="92">
        <v>41.7</v>
      </c>
      <c r="M56" s="92">
        <f>L55-ProxyDD[[#This Row],[GB atual]]</f>
        <v>3.9999999999999147E-2</v>
      </c>
      <c r="N56" s="91">
        <f>ProxyDD[[#This Row],[Gasto total]]*$F$6</f>
        <v>0.25325581395348296</v>
      </c>
      <c r="O56" s="92">
        <f ca="1">_xlfn.XLOOKUP(ProxyDD[[#This Row],[Chave]],SMS!B:B,SMS!J:J)</f>
        <v>2</v>
      </c>
      <c r="P56" s="15">
        <f t="shared" ref="P56" ca="1" si="21">N56/O56</f>
        <v>0.12662790697674148</v>
      </c>
    </row>
    <row r="57" spans="9:16">
      <c r="I57" s="89">
        <v>45702</v>
      </c>
      <c r="J57" s="101" t="s">
        <v>113</v>
      </c>
      <c r="K57" s="89" t="str">
        <f t="shared" si="18"/>
        <v>MEI45702</v>
      </c>
      <c r="L57" s="92">
        <v>41.65</v>
      </c>
      <c r="M57" s="92">
        <f>L56-ProxyDD[[#This Row],[GB atual]]</f>
        <v>5.0000000000004263E-2</v>
      </c>
      <c r="N57" s="91">
        <f>ProxyDD[[#This Row],[Gasto total]]*$F$6</f>
        <v>0.31656976744188747</v>
      </c>
      <c r="O57" s="92">
        <f ca="1">_xlfn.XLOOKUP(ProxyDD[[#This Row],[Chave]],SMS!B:B,SMS!J:J)</f>
        <v>3</v>
      </c>
      <c r="P57" s="15">
        <f t="shared" ref="P57" ca="1" si="22">N57/O57</f>
        <v>0.10552325581396249</v>
      </c>
    </row>
    <row r="58" spans="9:16">
      <c r="I58" s="89">
        <v>45705</v>
      </c>
      <c r="J58" s="101" t="s">
        <v>113</v>
      </c>
      <c r="K58" s="89" t="str">
        <f t="shared" si="18"/>
        <v>MEI45705</v>
      </c>
      <c r="L58" s="92">
        <v>41.46</v>
      </c>
      <c r="M58" s="92">
        <f>L57-ProxyDD[[#This Row],[GB atual]]</f>
        <v>0.18999999999999773</v>
      </c>
      <c r="N58" s="91">
        <f>ProxyDD[[#This Row],[Gasto total]]*$F$6</f>
        <v>1.2029651162790553</v>
      </c>
      <c r="O58" s="92">
        <f ca="1">_xlfn.XLOOKUP(ProxyDD[[#This Row],[Chave]],SMS!B:B,SMS!J:J)</f>
        <v>13</v>
      </c>
      <c r="P58" s="15">
        <f t="shared" ref="P58" ca="1" si="23">N58/O58</f>
        <v>9.2535778175311945E-2</v>
      </c>
    </row>
    <row r="59" spans="9:16">
      <c r="I59" s="89">
        <v>45705</v>
      </c>
      <c r="J59" s="101" t="s">
        <v>36</v>
      </c>
      <c r="K59" s="89" t="str">
        <f t="shared" si="18"/>
        <v>BV45705</v>
      </c>
      <c r="L59" s="92">
        <v>41.29</v>
      </c>
      <c r="M59" s="92">
        <f>L58-ProxyDD[[#This Row],[GB atual]]</f>
        <v>0.17000000000000171</v>
      </c>
      <c r="N59" s="91">
        <f>ProxyDD[[#This Row],[Gasto total]]*$F$6</f>
        <v>1.0763372093023365</v>
      </c>
      <c r="O59" s="92">
        <f ca="1">_xlfn.XLOOKUP(ProxyDD[[#This Row],[Chave]],SMS!B:B,SMS!J:J)</f>
        <v>11</v>
      </c>
      <c r="P59" s="15">
        <f t="shared" ref="P59" ca="1" si="24">N59/O59</f>
        <v>9.7848837209303319E-2</v>
      </c>
    </row>
    <row r="60" spans="9:16">
      <c r="I60" s="89">
        <v>45706</v>
      </c>
      <c r="J60" s="101" t="s">
        <v>113</v>
      </c>
      <c r="K60" s="89" t="str">
        <f t="shared" ref="K60:K68" si="25">_xlfn.CONCAT(J60,I60)</f>
        <v>MEI45706</v>
      </c>
      <c r="L60" s="92">
        <v>41.15</v>
      </c>
      <c r="M60" s="92">
        <f>L59-ProxyDD[[#This Row],[GB atual]]</f>
        <v>0.14000000000000057</v>
      </c>
      <c r="N60" s="91">
        <f>ProxyDD[[#This Row],[Gasto total]]*$F$6</f>
        <v>0.88639534883721294</v>
      </c>
      <c r="O60" s="92">
        <f ca="1">_xlfn.XLOOKUP(ProxyDD[[#This Row],[Chave]],SMS!B:B,SMS!J:J)</f>
        <v>6</v>
      </c>
      <c r="P60" s="15">
        <f t="shared" ref="P60" ca="1" si="26">N60/O60</f>
        <v>0.14773255813953548</v>
      </c>
    </row>
    <row r="61" spans="9:16">
      <c r="I61" s="89">
        <v>45706</v>
      </c>
      <c r="J61" s="101" t="s">
        <v>36</v>
      </c>
      <c r="K61" s="89" t="str">
        <f t="shared" si="25"/>
        <v>BV45706</v>
      </c>
      <c r="L61" s="92">
        <v>41.13</v>
      </c>
      <c r="M61" s="92">
        <f>L60-ProxyDD[[#This Row],[GB atual]]</f>
        <v>1.9999999999996021E-2</v>
      </c>
      <c r="N61" s="91">
        <f>ProxyDD[[#This Row],[Gasto total]]*$F$6</f>
        <v>0.126627906976719</v>
      </c>
      <c r="O61" s="92">
        <f ca="1">_xlfn.XLOOKUP(ProxyDD[[#This Row],[Chave]],SMS!B:B,SMS!J:J)</f>
        <v>1</v>
      </c>
      <c r="P61" s="15">
        <f t="shared" ref="P61" ca="1" si="27">N61/O61</f>
        <v>0.126627906976719</v>
      </c>
    </row>
    <row r="62" spans="9:16">
      <c r="I62" s="89">
        <v>45707</v>
      </c>
      <c r="J62" s="89" t="s">
        <v>36</v>
      </c>
      <c r="K62" s="89" t="str">
        <f t="shared" si="25"/>
        <v>BV45707</v>
      </c>
      <c r="L62" s="92">
        <v>41.04</v>
      </c>
      <c r="M62" s="92">
        <f>L61-ProxyDD[[#This Row],[GB atual]]</f>
        <v>9.0000000000003411E-2</v>
      </c>
      <c r="N62" s="91">
        <f>ProxyDD[[#This Row],[Gasto total]]*$F$6</f>
        <v>0.56982558139537043</v>
      </c>
      <c r="O62" s="92">
        <f ca="1">_xlfn.XLOOKUP(ProxyDD[[#This Row],[Chave]],SMS!B:B,SMS!J:J)</f>
        <v>2</v>
      </c>
      <c r="P62" s="15">
        <f t="shared" ref="P62" ca="1" si="28">N62/O62</f>
        <v>0.28491279069768521</v>
      </c>
    </row>
    <row r="63" spans="9:16">
      <c r="I63" s="89">
        <v>45707</v>
      </c>
      <c r="J63" s="89" t="s">
        <v>113</v>
      </c>
      <c r="K63" s="89" t="str">
        <f t="shared" si="25"/>
        <v>MEI45707</v>
      </c>
      <c r="L63" s="92">
        <v>40.93</v>
      </c>
      <c r="M63" s="92">
        <f>L62-ProxyDD[[#This Row],[GB atual]]</f>
        <v>0.10999999999999943</v>
      </c>
      <c r="N63" s="91">
        <f>ProxyDD[[#This Row],[Gasto total]]*$F$6</f>
        <v>0.69645348837208942</v>
      </c>
      <c r="O63" s="92">
        <f ca="1">_xlfn.XLOOKUP(ProxyDD[[#This Row],[Chave]],SMS!B:B,SMS!J:J)</f>
        <v>4</v>
      </c>
      <c r="P63" s="91">
        <f t="shared" ref="P63" ca="1" si="29">N63/O63</f>
        <v>0.17411337209302236</v>
      </c>
    </row>
    <row r="64" spans="9:16">
      <c r="I64" s="89">
        <v>45708</v>
      </c>
      <c r="J64" s="101" t="s">
        <v>36</v>
      </c>
      <c r="K64" s="89" t="str">
        <f t="shared" si="25"/>
        <v>BV45708</v>
      </c>
      <c r="L64" s="92">
        <v>40.799999999999997</v>
      </c>
      <c r="M64" s="92">
        <f>L63-ProxyDD[[#This Row],[GB atual]]</f>
        <v>0.13000000000000256</v>
      </c>
      <c r="N64" s="91">
        <f>ProxyDD[[#This Row],[Gasto total]]*$F$6</f>
        <v>0.82308139534885338</v>
      </c>
      <c r="O64" s="92">
        <f ca="1">_xlfn.XLOOKUP(ProxyDD[[#This Row],[Chave]],SMS!B:B,SMS!J:J)</f>
        <v>1</v>
      </c>
      <c r="P64" s="91">
        <f t="shared" ref="P64" ca="1" si="30">N64/O64</f>
        <v>0.82308139534885338</v>
      </c>
    </row>
    <row r="65" spans="9:16">
      <c r="I65" s="89">
        <v>45708</v>
      </c>
      <c r="J65" s="101" t="s">
        <v>113</v>
      </c>
      <c r="K65" s="89" t="str">
        <f t="shared" si="25"/>
        <v>MEI45708</v>
      </c>
      <c r="L65" s="92">
        <v>40.76</v>
      </c>
      <c r="M65" s="92">
        <f>L64-ProxyDD[[#This Row],[GB atual]]</f>
        <v>3.9999999999999147E-2</v>
      </c>
      <c r="N65" s="91">
        <f>ProxyDD[[#This Row],[Gasto total]]*$F$6</f>
        <v>0.25325581395348296</v>
      </c>
      <c r="O65" s="92">
        <f ca="1">_xlfn.XLOOKUP(ProxyDD[[#This Row],[Chave]],SMS!B:B,SMS!J:J)</f>
        <v>1</v>
      </c>
      <c r="P65" s="91">
        <f t="shared" ref="P65" ca="1" si="31">N65/O65</f>
        <v>0.25325581395348296</v>
      </c>
    </row>
    <row r="66" spans="9:16">
      <c r="I66" s="89">
        <v>45710</v>
      </c>
      <c r="J66" s="101" t="s">
        <v>113</v>
      </c>
      <c r="K66" s="89" t="str">
        <f t="shared" si="25"/>
        <v>MEI45710</v>
      </c>
      <c r="L66" s="92">
        <v>40.72</v>
      </c>
      <c r="M66" s="92">
        <f>L65-ProxyDD[[#This Row],[GB atual]]</f>
        <v>3.9999999999999147E-2</v>
      </c>
      <c r="N66" s="91">
        <f>ProxyDD[[#This Row],[Gasto total]]*$F$6</f>
        <v>0.25325581395348296</v>
      </c>
      <c r="O66" s="92">
        <f ca="1">_xlfn.XLOOKUP(ProxyDD[[#This Row],[Chave]],SMS!B:B,SMS!J:J)</f>
        <v>1</v>
      </c>
      <c r="P66" s="91">
        <f t="shared" ref="P66" ca="1" si="32">N66/O66</f>
        <v>0.25325581395348296</v>
      </c>
    </row>
    <row r="67" spans="9:16">
      <c r="I67" s="89">
        <v>45710</v>
      </c>
      <c r="J67" s="101" t="s">
        <v>108</v>
      </c>
      <c r="K67" s="89" t="str">
        <f t="shared" si="25"/>
        <v>GO45710</v>
      </c>
      <c r="L67" s="92">
        <v>2.37</v>
      </c>
      <c r="M67" s="92">
        <f>L53-ProxyDD[[#This Row],[GB atual]]</f>
        <v>2.9999999999999805E-2</v>
      </c>
      <c r="N67" s="91">
        <f>ProxyDD[[#This Row],[Gasto total]]*$F$6</f>
        <v>0.18994186046511505</v>
      </c>
      <c r="O67" s="92">
        <f ca="1">_xlfn.XLOOKUP(ProxyDD[[#This Row],[Chave]],SMS!B:B,SMS!J:J)</f>
        <v>1</v>
      </c>
      <c r="P67" s="91">
        <f t="shared" ref="P67:P68" ca="1" si="33">N67/O67</f>
        <v>0.18994186046511505</v>
      </c>
    </row>
    <row r="68" spans="9:16">
      <c r="I68" s="89">
        <v>45710</v>
      </c>
      <c r="J68" s="101" t="s">
        <v>36</v>
      </c>
      <c r="K68" s="89" t="str">
        <f t="shared" si="25"/>
        <v>BV45710</v>
      </c>
      <c r="L68" s="92">
        <v>40.659999999999997</v>
      </c>
      <c r="M68" s="92">
        <f>L66-ProxyDD[[#This Row],[GB atual]]</f>
        <v>6.0000000000002274E-2</v>
      </c>
      <c r="N68" s="91">
        <f>ProxyDD[[#This Row],[Gasto total]]*$F$6</f>
        <v>0.37988372093024697</v>
      </c>
      <c r="O68" s="92">
        <f ca="1">_xlfn.XLOOKUP(ProxyDD[[#This Row],[Chave]],SMS!B:B,SMS!J:J)</f>
        <v>6</v>
      </c>
      <c r="P68" s="91">
        <f t="shared" ca="1" si="33"/>
        <v>6.33139534883745E-2</v>
      </c>
    </row>
    <row r="69" spans="9:16">
      <c r="I69" s="89">
        <v>45712</v>
      </c>
      <c r="J69" s="101" t="s">
        <v>36</v>
      </c>
      <c r="K69" s="89" t="str">
        <f>_xlfn.CONCAT(J69,I69)</f>
        <v>BV45712</v>
      </c>
      <c r="L69" s="92">
        <v>40.479999999999997</v>
      </c>
      <c r="M69" s="92">
        <f>L68-ProxyDD[[#This Row],[GB atual]]</f>
        <v>0.17999999999999972</v>
      </c>
      <c r="N69" s="91">
        <f>ProxyDD[[#This Row],[Gasto total]]*$F$6</f>
        <v>1.139651162790696</v>
      </c>
      <c r="O69" s="92">
        <f ca="1">_xlfn.XLOOKUP(ProxyDD[[#This Row],[Chave]],SMS!B:B,SMS!J:J)</f>
        <v>7</v>
      </c>
      <c r="P69" s="91">
        <f t="shared" ref="P69" ca="1" si="34">N69/O69</f>
        <v>0.16280730897009943</v>
      </c>
    </row>
    <row r="70" spans="9:16">
      <c r="I70" s="89">
        <v>45712</v>
      </c>
      <c r="J70" s="101" t="s">
        <v>113</v>
      </c>
      <c r="K70" s="89" t="str">
        <f>_xlfn.CONCAT(J70,I70)</f>
        <v>MEI45712</v>
      </c>
      <c r="L70" s="92">
        <v>40.369999999999997</v>
      </c>
      <c r="M70" s="92">
        <f>L69-ProxyDD[[#This Row],[GB atual]]</f>
        <v>0.10999999999999943</v>
      </c>
      <c r="N70" s="91">
        <f>ProxyDD[[#This Row],[Gasto total]]*$F$6</f>
        <v>0.69645348837208942</v>
      </c>
      <c r="O70" s="92">
        <f ca="1">_xlfn.XLOOKUP(ProxyDD[[#This Row],[Chave]],SMS!B:B,SMS!J:J)</f>
        <v>7</v>
      </c>
      <c r="P70" s="91">
        <f t="shared" ref="P70:P71" ca="1" si="35">N70/O70</f>
        <v>9.9493355481727067E-2</v>
      </c>
    </row>
    <row r="71" spans="9:16">
      <c r="I71" s="89">
        <v>45714</v>
      </c>
      <c r="J71" s="101" t="s">
        <v>36</v>
      </c>
      <c r="K71" s="89" t="str">
        <f>_xlfn.CONCAT(J71,I71)</f>
        <v>BV45714</v>
      </c>
      <c r="L71" s="92">
        <v>40.28</v>
      </c>
      <c r="M71" s="92">
        <f>L70-ProxyDD[[#This Row],[GB atual]]</f>
        <v>8.9999999999996305E-2</v>
      </c>
      <c r="N71" s="91">
        <f>ProxyDD[[#This Row],[Gasto total]]*$F$6</f>
        <v>0.56982558139532546</v>
      </c>
      <c r="O71" s="92">
        <f ca="1">_xlfn.XLOOKUP(ProxyDD[[#This Row],[Chave]],SMS!B:B,SMS!J:J)</f>
        <v>4</v>
      </c>
      <c r="P71" s="91">
        <f t="shared" ca="1" si="35"/>
        <v>0.14245639534883137</v>
      </c>
    </row>
    <row r="72" spans="9:16">
      <c r="I72" s="89">
        <v>45714</v>
      </c>
      <c r="J72" s="101" t="s">
        <v>113</v>
      </c>
      <c r="K72" s="89" t="str">
        <f>_xlfn.CONCAT(J72,I72)</f>
        <v>MEI45714</v>
      </c>
      <c r="L72" s="92">
        <v>40.21</v>
      </c>
      <c r="M72" s="92">
        <f>L71-ProxyDD[[#This Row],[GB atual]]</f>
        <v>7.0000000000000284E-2</v>
      </c>
      <c r="N72" s="123">
        <f>ProxyDD[[#This Row],[Gasto total]]*$F$6</f>
        <v>0.44319767441860647</v>
      </c>
      <c r="O72" s="92">
        <f ca="1">_xlfn.XLOOKUP(ProxyDD[[#This Row],[Chave]],SMS!B:B,SMS!J:J)</f>
        <v>4</v>
      </c>
      <c r="P72" s="91">
        <f t="shared" ref="P72:P73" ca="1" si="36">N72/O72</f>
        <v>0.11079941860465162</v>
      </c>
    </row>
    <row r="73" spans="9:16">
      <c r="I73" s="89">
        <v>45715</v>
      </c>
      <c r="J73" s="101" t="s">
        <v>108</v>
      </c>
      <c r="K73" s="89" t="str">
        <f t="shared" ref="K73" si="37">_xlfn.CONCAT(J73,I73)</f>
        <v>GO45715</v>
      </c>
      <c r="L73" s="92">
        <v>2.33</v>
      </c>
      <c r="M73" s="92">
        <f>L67-ProxyDD[[#This Row],[GB atual]]</f>
        <v>4.0000000000000036E-2</v>
      </c>
      <c r="N73" s="91">
        <f>ProxyDD[[#This Row],[Gasto total]]*$F$6</f>
        <v>0.25325581395348862</v>
      </c>
      <c r="O73" s="92">
        <f ca="1">_xlfn.XLOOKUP(ProxyDD[[#This Row],[Chave]],SMS!B:B,SMS!J:J)</f>
        <v>1</v>
      </c>
      <c r="P73" s="91">
        <f t="shared" ca="1" si="36"/>
        <v>0.25325581395348862</v>
      </c>
    </row>
    <row r="74" spans="9:16">
      <c r="I74" s="89">
        <v>45715</v>
      </c>
      <c r="J74" s="101" t="s">
        <v>36</v>
      </c>
      <c r="K74" s="89" t="str">
        <f t="shared" ref="K74:K82" si="38">_xlfn.CONCAT(J74,I74)</f>
        <v>BV45715</v>
      </c>
      <c r="L74" s="92">
        <v>39.979999999999997</v>
      </c>
      <c r="M74" s="92">
        <f>L72-ProxyDD[[#This Row],[GB atual]]</f>
        <v>0.23000000000000398</v>
      </c>
      <c r="N74" s="123">
        <f>ProxyDD[[#This Row],[Gasto total]]*$F$6</f>
        <v>1.4562209302325833</v>
      </c>
      <c r="O74" s="92">
        <f ca="1">_xlfn.XLOOKUP(ProxyDD[[#This Row],[Chave]],SMS!B:B,SMS!J:J)</f>
        <v>5</v>
      </c>
      <c r="P74" s="91">
        <f t="shared" ref="P74" ca="1" si="39">N74/O74</f>
        <v>0.29124418604651664</v>
      </c>
    </row>
    <row r="75" spans="9:16">
      <c r="I75" s="89">
        <v>45716</v>
      </c>
      <c r="J75" s="101" t="s">
        <v>36</v>
      </c>
      <c r="K75" s="89" t="str">
        <f t="shared" si="38"/>
        <v>BV45716</v>
      </c>
      <c r="L75" s="92">
        <v>39.72</v>
      </c>
      <c r="M75" s="92">
        <f>L74-ProxyDD[[#This Row],[GB atual]]</f>
        <v>0.25999999999999801</v>
      </c>
      <c r="N75" s="123">
        <f>ProxyDD[[#This Row],[Gasto total]]*$F$6</f>
        <v>1.6461627906976619</v>
      </c>
      <c r="O75" s="92">
        <f ca="1">_xlfn.XLOOKUP(ProxyDD[[#This Row],[Chave]],SMS!B:B,SMS!J:J)</f>
        <v>10</v>
      </c>
      <c r="P75" s="91">
        <f t="shared" ref="P75" ca="1" si="40">N75/O75</f>
        <v>0.1646162790697662</v>
      </c>
    </row>
    <row r="76" spans="9:16">
      <c r="I76" s="89">
        <v>45718</v>
      </c>
      <c r="J76" s="101" t="s">
        <v>36</v>
      </c>
      <c r="K76" s="89" t="str">
        <f t="shared" si="38"/>
        <v>BV45718</v>
      </c>
      <c r="L76" s="92">
        <v>39.44</v>
      </c>
      <c r="M76" s="92">
        <f>L75-ProxyDD[[#This Row],[GB atual]]</f>
        <v>0.28000000000000114</v>
      </c>
      <c r="N76" s="123">
        <f>ProxyDD[[#This Row],[Gasto total]]*$F$6</f>
        <v>1.7727906976744259</v>
      </c>
      <c r="O76" s="92">
        <f ca="1">_xlfn.XLOOKUP(ProxyDD[[#This Row],[Chave]],SMS!B:B,SMS!J:J)</f>
        <v>8</v>
      </c>
      <c r="P76" s="91">
        <f t="shared" ref="P76" ca="1" si="41">N76/O76</f>
        <v>0.22159883720930323</v>
      </c>
    </row>
    <row r="77" spans="9:16">
      <c r="I77" s="89">
        <v>45718</v>
      </c>
      <c r="J77" s="101" t="s">
        <v>113</v>
      </c>
      <c r="K77" s="89" t="str">
        <f t="shared" si="38"/>
        <v>MEI45718</v>
      </c>
      <c r="L77" s="92">
        <v>39.31</v>
      </c>
      <c r="M77" s="92">
        <f>L76-ProxyDD[[#This Row],[GB atual]]</f>
        <v>0.12999999999999545</v>
      </c>
      <c r="N77" s="123">
        <f>ProxyDD[[#This Row],[Gasto total]]*$F$6</f>
        <v>0.82308139534880842</v>
      </c>
      <c r="O77" s="92">
        <f ca="1">_xlfn.XLOOKUP(ProxyDD[[#This Row],[Chave]],SMS!B:B,SMS!J:J)</f>
        <v>4</v>
      </c>
      <c r="P77" s="91">
        <f t="shared" ref="P77" ca="1" si="42">N77/O77</f>
        <v>0.20577034883720211</v>
      </c>
    </row>
    <row r="78" spans="9:16">
      <c r="I78" s="89">
        <v>45718</v>
      </c>
      <c r="J78" s="101" t="s">
        <v>108</v>
      </c>
      <c r="K78" s="89" t="str">
        <f t="shared" si="38"/>
        <v>GO45718</v>
      </c>
      <c r="L78" s="92">
        <v>2.31</v>
      </c>
      <c r="M78" s="92">
        <f>L73-ProxyDD[[#This Row],[GB atual]]</f>
        <v>2.0000000000000018E-2</v>
      </c>
      <c r="N78" s="123">
        <f>ProxyDD[[#This Row],[Gasto total]]*$F$6</f>
        <v>0.12662790697674431</v>
      </c>
      <c r="O78" s="92">
        <f ca="1">_xlfn.XLOOKUP(ProxyDD[[#This Row],[Chave]],SMS!B:B,SMS!J:J)</f>
        <v>1</v>
      </c>
      <c r="P78" s="91">
        <f t="shared" ref="P78:P79" ca="1" si="43">N78/O78</f>
        <v>0.12662790697674431</v>
      </c>
    </row>
    <row r="79" spans="9:16">
      <c r="I79" s="89">
        <v>45720</v>
      </c>
      <c r="J79" s="101" t="s">
        <v>36</v>
      </c>
      <c r="K79" s="89" t="str">
        <f t="shared" si="38"/>
        <v>BV45720</v>
      </c>
      <c r="L79" s="92">
        <v>39.090000000000003</v>
      </c>
      <c r="M79" s="92">
        <f>L77-ProxyDD[[#This Row],[GB atual]]</f>
        <v>0.21999999999999886</v>
      </c>
      <c r="N79" s="123">
        <f>ProxyDD[[#This Row],[Gasto total]]*$F$6</f>
        <v>1.3929069767441788</v>
      </c>
      <c r="O79" s="92">
        <f ca="1">_xlfn.XLOOKUP(ProxyDD[[#This Row],[Chave]],SMS!B:B,SMS!J:J)</f>
        <v>7</v>
      </c>
      <c r="P79" s="91">
        <f t="shared" ca="1" si="43"/>
        <v>0.19898671096345413</v>
      </c>
    </row>
    <row r="80" spans="9:16">
      <c r="I80" s="89">
        <v>45721</v>
      </c>
      <c r="J80" s="101" t="s">
        <v>36</v>
      </c>
      <c r="K80" s="89" t="str">
        <f t="shared" si="38"/>
        <v>BV45721</v>
      </c>
      <c r="L80" s="92">
        <v>38.92</v>
      </c>
      <c r="M80" s="92">
        <f>L79-ProxyDD[[#This Row],[GB atual]]</f>
        <v>0.17000000000000171</v>
      </c>
      <c r="N80" s="123">
        <f>ProxyDD[[#This Row],[Gasto total]]*$F$6</f>
        <v>1.0763372093023365</v>
      </c>
      <c r="O80" s="92">
        <f ca="1">_xlfn.XLOOKUP(ProxyDD[[#This Row],[Chave]],SMS!B:B,SMS!J:J)</f>
        <v>10</v>
      </c>
      <c r="P80" s="91">
        <f t="shared" ref="P80:P81" ca="1" si="44">N80/O80</f>
        <v>0.10763372093023364</v>
      </c>
    </row>
    <row r="81" spans="9:16">
      <c r="I81" s="89">
        <v>45721</v>
      </c>
      <c r="J81" s="101" t="s">
        <v>108</v>
      </c>
      <c r="K81" s="89" t="str">
        <f t="shared" si="38"/>
        <v>GO45721</v>
      </c>
      <c r="L81" s="92">
        <v>2.2799999999999998</v>
      </c>
      <c r="M81" s="92">
        <f>L78-ProxyDD[[#This Row],[GB atual]]</f>
        <v>3.0000000000000249E-2</v>
      </c>
      <c r="N81" s="123">
        <f>ProxyDD[[#This Row],[Gasto total]]*$F$6</f>
        <v>0.18994186046511785</v>
      </c>
      <c r="O81" s="92">
        <f ca="1">_xlfn.XLOOKUP(ProxyDD[[#This Row],[Chave]],SMS!B:B,SMS!J:J)</f>
        <v>1</v>
      </c>
      <c r="P81" s="91">
        <f t="shared" ca="1" si="44"/>
        <v>0.18994186046511785</v>
      </c>
    </row>
    <row r="82" spans="9:16">
      <c r="I82" s="89">
        <v>45721</v>
      </c>
      <c r="J82" s="101" t="s">
        <v>113</v>
      </c>
      <c r="K82" s="89" t="str">
        <f t="shared" si="38"/>
        <v>MEI45721</v>
      </c>
      <c r="L82" s="92">
        <v>38.85</v>
      </c>
      <c r="M82" s="92">
        <f>L80-ProxyDD[[#This Row],[GB atual]]</f>
        <v>7.0000000000000284E-2</v>
      </c>
      <c r="N82" s="123">
        <f>ProxyDD[[#This Row],[Gasto total]]*$F$6</f>
        <v>0.44319767441860647</v>
      </c>
      <c r="O82" s="92">
        <f ca="1">_xlfn.XLOOKUP(ProxyDD[[#This Row],[Chave]],SMS!B:B,SMS!J:J)</f>
        <v>3</v>
      </c>
      <c r="P82" s="91">
        <f t="shared" ref="P82" ca="1" si="45">N82/O82</f>
        <v>0.14773255813953548</v>
      </c>
    </row>
    <row r="83" spans="9:16">
      <c r="I83" s="89">
        <v>45722</v>
      </c>
      <c r="J83" s="101" t="s">
        <v>36</v>
      </c>
      <c r="K83" s="89" t="str">
        <f t="shared" ref="K83:K90" si="46">_xlfn.CONCAT(J83,I83)</f>
        <v>BV45722</v>
      </c>
      <c r="L83" s="92">
        <v>38.75</v>
      </c>
      <c r="M83" s="92">
        <f>L82-ProxyDD[[#This Row],[GB atual]]</f>
        <v>0.10000000000000142</v>
      </c>
      <c r="N83" s="123">
        <f>ProxyDD[[#This Row],[Gasto total]]*$F$6</f>
        <v>0.63313953488372998</v>
      </c>
      <c r="O83" s="92">
        <f ca="1">_xlfn.XLOOKUP(ProxyDD[[#This Row],[Chave]],SMS!B:B,SMS!J:J)</f>
        <v>4</v>
      </c>
      <c r="P83" s="91">
        <f t="shared" ref="P83" ca="1" si="47">N83/O83</f>
        <v>0.1582848837209325</v>
      </c>
    </row>
    <row r="84" spans="9:16">
      <c r="I84" s="89">
        <v>45722</v>
      </c>
      <c r="J84" s="101" t="s">
        <v>113</v>
      </c>
      <c r="K84" s="89" t="str">
        <f t="shared" si="46"/>
        <v>MEI45722</v>
      </c>
      <c r="L84" s="92">
        <v>38.68</v>
      </c>
      <c r="M84" s="92">
        <f>L83-ProxyDD[[#This Row],[GB atual]]</f>
        <v>7.0000000000000284E-2</v>
      </c>
      <c r="N84" s="123">
        <f>ProxyDD[[#This Row],[Gasto total]]*$F$6</f>
        <v>0.44319767441860647</v>
      </c>
      <c r="O84" s="92">
        <f ca="1">_xlfn.XLOOKUP(ProxyDD[[#This Row],[Chave]],SMS!B:B,SMS!J:J)</f>
        <v>3</v>
      </c>
      <c r="P84" s="91">
        <f t="shared" ref="P84" ca="1" si="48">N84/O84</f>
        <v>0.14773255813953548</v>
      </c>
    </row>
    <row r="85" spans="9:16">
      <c r="I85" s="89">
        <v>45722</v>
      </c>
      <c r="J85" s="101" t="s">
        <v>108</v>
      </c>
      <c r="K85" s="89" t="str">
        <f t="shared" si="46"/>
        <v>GO45722</v>
      </c>
      <c r="L85" s="92">
        <v>2.2599999999999998</v>
      </c>
      <c r="M85" s="92">
        <f>L81-ProxyDD[[#This Row],[GB atual]]</f>
        <v>2.0000000000000018E-2</v>
      </c>
      <c r="N85" s="123">
        <f>ProxyDD[[#This Row],[Gasto total]]*$F$6</f>
        <v>0.12662790697674431</v>
      </c>
      <c r="O85" s="92">
        <f ca="1">_xlfn.XLOOKUP(ProxyDD[[#This Row],[Chave]],SMS!B:B,SMS!J:J)</f>
        <v>1</v>
      </c>
      <c r="P85" s="91">
        <f t="shared" ref="P85" ca="1" si="49">N85/O85</f>
        <v>0.12662790697674431</v>
      </c>
    </row>
    <row r="86" spans="9:16">
      <c r="I86" s="89">
        <v>45723</v>
      </c>
      <c r="J86" s="101" t="s">
        <v>36</v>
      </c>
      <c r="K86" s="89" t="str">
        <f t="shared" si="46"/>
        <v>BV45723</v>
      </c>
      <c r="L86" s="92">
        <v>38.619999999999997</v>
      </c>
      <c r="M86" s="92">
        <f>L84-ProxyDD[[#This Row],[GB atual]]</f>
        <v>6.0000000000002274E-2</v>
      </c>
      <c r="N86" s="123">
        <f>ProxyDD[[#This Row],[Gasto total]]*$F$6</f>
        <v>0.37988372093024697</v>
      </c>
      <c r="O86" s="92">
        <f ca="1">_xlfn.XLOOKUP(ProxyDD[[#This Row],[Chave]],SMS!B:B,SMS!J:J)</f>
        <v>1</v>
      </c>
      <c r="P86" s="91">
        <f t="shared" ref="P86" ca="1" si="50">N86/O86</f>
        <v>0.37988372093024697</v>
      </c>
    </row>
    <row r="87" spans="9:16">
      <c r="I87" s="89">
        <v>45723</v>
      </c>
      <c r="J87" s="101" t="s">
        <v>113</v>
      </c>
      <c r="K87" s="89" t="str">
        <f t="shared" si="46"/>
        <v>MEI45723</v>
      </c>
      <c r="L87" s="92">
        <v>38.520000000000003</v>
      </c>
      <c r="M87" s="92">
        <f>L86-ProxyDD[[#This Row],[GB atual]]</f>
        <v>9.9999999999994316E-2</v>
      </c>
      <c r="N87" s="123">
        <f>ProxyDD[[#This Row],[Gasto total]]*$F$6</f>
        <v>0.63313953488368491</v>
      </c>
      <c r="O87" s="92">
        <f ca="1">_xlfn.XLOOKUP(ProxyDD[[#This Row],[Chave]],SMS!B:B,SMS!J:J)</f>
        <v>4</v>
      </c>
      <c r="P87" s="91">
        <f t="shared" ref="P87" ca="1" si="51">N87/O87</f>
        <v>0.15828488372092123</v>
      </c>
    </row>
    <row r="88" spans="9:16">
      <c r="I88" s="89">
        <v>45726</v>
      </c>
      <c r="J88" s="101" t="s">
        <v>36</v>
      </c>
      <c r="K88" s="89" t="str">
        <f t="shared" si="46"/>
        <v>BV45726</v>
      </c>
      <c r="L88" s="92">
        <v>38.369999999999997</v>
      </c>
      <c r="M88" s="92">
        <f>L87-ProxyDD[[#This Row],[GB atual]]</f>
        <v>0.15000000000000568</v>
      </c>
      <c r="N88" s="123">
        <f>ProxyDD[[#This Row],[Gasto total]]*$F$6</f>
        <v>0.94970930232561745</v>
      </c>
      <c r="O88" s="92">
        <f ca="1">_xlfn.XLOOKUP(ProxyDD[[#This Row],[Chave]],SMS!B:B,SMS!J:J)</f>
        <v>7</v>
      </c>
      <c r="P88" s="91">
        <f t="shared" ref="P88" ca="1" si="52">N88/O88</f>
        <v>0.1356727574750882</v>
      </c>
    </row>
    <row r="89" spans="9:16">
      <c r="I89" s="89">
        <v>45726</v>
      </c>
      <c r="J89" s="101" t="s">
        <v>113</v>
      </c>
      <c r="K89" s="89" t="str">
        <f t="shared" si="46"/>
        <v>MEI45726</v>
      </c>
      <c r="L89" s="92">
        <v>38.19</v>
      </c>
      <c r="M89" s="92">
        <f>L88-ProxyDD[[#This Row],[GB atual]]</f>
        <v>0.17999999999999972</v>
      </c>
      <c r="N89" s="123">
        <f>ProxyDD[[#This Row],[Gasto total]]*$F$6</f>
        <v>1.139651162790696</v>
      </c>
      <c r="O89" s="92">
        <f ca="1">_xlfn.XLOOKUP(ProxyDD[[#This Row],[Chave]],SMS!B:B,SMS!J:J)</f>
        <v>7</v>
      </c>
      <c r="P89" s="91">
        <f t="shared" ref="P89" ca="1" si="53">N89/O89</f>
        <v>0.16280730897009943</v>
      </c>
    </row>
    <row r="90" spans="9:16">
      <c r="I90" s="89">
        <v>45726</v>
      </c>
      <c r="J90" s="101" t="s">
        <v>108</v>
      </c>
      <c r="K90" s="89" t="str">
        <f t="shared" si="46"/>
        <v>GO45726</v>
      </c>
      <c r="L90" s="92">
        <v>2.23</v>
      </c>
      <c r="M90" s="92">
        <f>L85-ProxyDD[[#This Row],[GB atual]]</f>
        <v>2.9999999999999805E-2</v>
      </c>
      <c r="N90" s="123">
        <f>ProxyDD[[#This Row],[Gasto total]]*$F$6</f>
        <v>0.18994186046511505</v>
      </c>
      <c r="O90" s="92">
        <f ca="1">_xlfn.XLOOKUP(ProxyDD[[#This Row],[Chave]],SMS!B:B,SMS!J:J)</f>
        <v>1</v>
      </c>
      <c r="P90" s="91">
        <f t="shared" ref="P90" ca="1" si="54">N90/O90</f>
        <v>0.18994186046511505</v>
      </c>
    </row>
    <row r="91" spans="9:16">
      <c r="I91" s="89">
        <v>45727</v>
      </c>
      <c r="J91" s="101" t="s">
        <v>36</v>
      </c>
      <c r="K91" s="89" t="str">
        <f t="shared" ref="K91" si="55">_xlfn.CONCAT(J91,I91)</f>
        <v>BV45727</v>
      </c>
      <c r="L91" s="92">
        <v>38.049999999999997</v>
      </c>
      <c r="M91" s="92">
        <f>L89-ProxyDD[[#This Row],[GB atual]]</f>
        <v>0.14000000000000057</v>
      </c>
      <c r="N91" s="123">
        <f>ProxyDD[[#This Row],[Gasto total]]*$F$6</f>
        <v>0.88639534883721294</v>
      </c>
      <c r="O91" s="92">
        <f ca="1">_xlfn.XLOOKUP(ProxyDD[[#This Row],[Chave]],SMS!B:B,SMS!J:J)</f>
        <v>2</v>
      </c>
      <c r="P91" s="91">
        <f t="shared" ref="P91" ca="1" si="56">N91/O91</f>
        <v>0.44319767441860647</v>
      </c>
    </row>
    <row r="92" spans="9:16">
      <c r="I92" s="89">
        <v>45727</v>
      </c>
      <c r="J92" s="89" t="s">
        <v>113</v>
      </c>
      <c r="K92" s="89" t="str">
        <f t="shared" ref="K92:K98" si="57">_xlfn.CONCAT(J92,I92)</f>
        <v>MEI45727</v>
      </c>
      <c r="L92" s="127">
        <v>37.950000000000003</v>
      </c>
      <c r="M92" s="127">
        <f>L91-ProxyDD[[#This Row],[GB atual]]</f>
        <v>9.9999999999994316E-2</v>
      </c>
      <c r="N92" s="15">
        <f>ProxyDD[[#This Row],[Gasto total]]*$F$6</f>
        <v>0.63313953488368491</v>
      </c>
      <c r="O92" s="92">
        <f ca="1">_xlfn.XLOOKUP(ProxyDD[[#This Row],[Chave]],SMS!B:B,SMS!J:J)</f>
        <v>4</v>
      </c>
      <c r="P92" s="128">
        <f t="shared" ref="P92:P98" ca="1" si="58">N92/O92</f>
        <v>0.15828488372092123</v>
      </c>
    </row>
    <row r="93" spans="9:16">
      <c r="I93" s="89">
        <v>45728</v>
      </c>
      <c r="J93" s="101" t="s">
        <v>36</v>
      </c>
      <c r="K93" s="89" t="str">
        <f t="shared" si="57"/>
        <v>BV45728</v>
      </c>
      <c r="L93" s="127">
        <v>37.85</v>
      </c>
      <c r="M93" s="127">
        <f>L92-ProxyDD[[#This Row],[GB atual]]</f>
        <v>0.10000000000000142</v>
      </c>
      <c r="N93" s="15">
        <f>ProxyDD[[#This Row],[Gasto total]]*$F$6</f>
        <v>0.63313953488372998</v>
      </c>
      <c r="O93" s="92">
        <f ca="1">_xlfn.XLOOKUP(ProxyDD[[#This Row],[Chave]],SMS!B:B,SMS!J:J)</f>
        <v>1</v>
      </c>
      <c r="P93" s="128">
        <f t="shared" ca="1" si="58"/>
        <v>0.63313953488372998</v>
      </c>
    </row>
    <row r="94" spans="9:16">
      <c r="I94" s="89">
        <v>45728</v>
      </c>
      <c r="J94" s="101" t="s">
        <v>113</v>
      </c>
      <c r="K94" s="89" t="str">
        <f t="shared" si="57"/>
        <v>MEI45728</v>
      </c>
      <c r="L94" s="127">
        <v>37.700000000000003</v>
      </c>
      <c r="M94" s="127">
        <f>L93-ProxyDD[[#This Row],[GB atual]]</f>
        <v>0.14999999999999858</v>
      </c>
      <c r="N94" s="15">
        <f>ProxyDD[[#This Row],[Gasto total]]*$F$6</f>
        <v>0.94970930232557238</v>
      </c>
      <c r="O94" s="92">
        <f ca="1">_xlfn.XLOOKUP(ProxyDD[[#This Row],[Chave]],SMS!B:B,SMS!J:J)</f>
        <v>5</v>
      </c>
      <c r="P94" s="128">
        <f t="shared" ca="1" si="58"/>
        <v>0.18994186046511446</v>
      </c>
    </row>
    <row r="95" spans="9:16">
      <c r="I95" s="89">
        <v>45729</v>
      </c>
      <c r="J95" s="101" t="s">
        <v>36</v>
      </c>
      <c r="K95" s="89" t="str">
        <f t="shared" si="57"/>
        <v>BV45729</v>
      </c>
      <c r="L95" s="127">
        <v>37.47</v>
      </c>
      <c r="M95" s="127">
        <f>L94-ProxyDD[[#This Row],[GB atual]]</f>
        <v>0.23000000000000398</v>
      </c>
      <c r="N95" s="15">
        <f>ProxyDD[[#This Row],[Gasto total]]*$F$6</f>
        <v>1.4562209302325833</v>
      </c>
      <c r="O95" s="92">
        <f ca="1">_xlfn.XLOOKUP(ProxyDD[[#This Row],[Chave]],SMS!B:B,SMS!J:J)</f>
        <v>4</v>
      </c>
      <c r="P95" s="128">
        <f t="shared" ca="1" si="58"/>
        <v>0.36405523255814581</v>
      </c>
    </row>
    <row r="96" spans="9:16">
      <c r="I96" s="89">
        <v>45729</v>
      </c>
      <c r="J96" s="101" t="s">
        <v>113</v>
      </c>
      <c r="K96" s="89" t="str">
        <f t="shared" si="57"/>
        <v>MEI45729</v>
      </c>
      <c r="L96" s="127">
        <v>37.299999999999997</v>
      </c>
      <c r="M96" s="127">
        <f>L95-ProxyDD[[#This Row],[GB atual]]</f>
        <v>0.17000000000000171</v>
      </c>
      <c r="N96" s="15">
        <f>ProxyDD[[#This Row],[Gasto total]]*$F$6</f>
        <v>1.0763372093023365</v>
      </c>
      <c r="O96" s="92">
        <f ca="1">_xlfn.XLOOKUP(ProxyDD[[#This Row],[Chave]],SMS!B:B,SMS!J:J)</f>
        <v>6</v>
      </c>
      <c r="P96" s="128">
        <f t="shared" ca="1" si="58"/>
        <v>0.17938953488372275</v>
      </c>
    </row>
    <row r="97" spans="9:16">
      <c r="I97" s="89">
        <v>45730</v>
      </c>
      <c r="J97" s="101" t="s">
        <v>36</v>
      </c>
      <c r="K97" s="89" t="str">
        <f t="shared" si="57"/>
        <v>BV45730</v>
      </c>
      <c r="L97" s="127">
        <v>37.1</v>
      </c>
      <c r="M97" s="127">
        <f>L96-ProxyDD[[#This Row],[GB atual]]</f>
        <v>0.19999999999999574</v>
      </c>
      <c r="N97" s="15">
        <f>ProxyDD[[#This Row],[Gasto total]]*$F$6</f>
        <v>1.2662790697674149</v>
      </c>
      <c r="O97" s="92">
        <f ca="1">_xlfn.XLOOKUP(ProxyDD[[#This Row],[Chave]],SMS!B:B,SMS!J:J)</f>
        <v>6</v>
      </c>
      <c r="P97" s="128">
        <f t="shared" ca="1" si="58"/>
        <v>0.21104651162790247</v>
      </c>
    </row>
    <row r="98" spans="9:16">
      <c r="I98" s="89">
        <v>45730</v>
      </c>
      <c r="J98" s="101" t="s">
        <v>113</v>
      </c>
      <c r="K98" s="89" t="str">
        <f t="shared" si="57"/>
        <v>MEI45730</v>
      </c>
      <c r="L98" s="127">
        <v>36.869999999999997</v>
      </c>
      <c r="M98" s="127">
        <f>L97-ProxyDD[[#This Row],[GB atual]]</f>
        <v>0.23000000000000398</v>
      </c>
      <c r="N98" s="15">
        <f>ProxyDD[[#This Row],[Gasto total]]*$F$6</f>
        <v>1.4562209302325833</v>
      </c>
      <c r="O98" s="92">
        <f ca="1">_xlfn.XLOOKUP(ProxyDD[[#This Row],[Chave]],SMS!B:B,SMS!J:J)</f>
        <v>6</v>
      </c>
      <c r="P98" s="128">
        <f t="shared" ca="1" si="58"/>
        <v>0.24270348837209721</v>
      </c>
    </row>
    <row r="99" spans="9:16">
      <c r="I99" s="89">
        <v>45732</v>
      </c>
      <c r="J99" s="101" t="s">
        <v>36</v>
      </c>
      <c r="K99" s="89" t="str">
        <f t="shared" ref="K99:K105" si="59">_xlfn.CONCAT(J99,I99)</f>
        <v>BV45732</v>
      </c>
      <c r="L99" s="127">
        <v>36.270000000000003</v>
      </c>
      <c r="M99" s="127">
        <f>L98-ProxyDD[[#This Row],[GB atual]]</f>
        <v>0.59999999999999432</v>
      </c>
      <c r="N99" s="15">
        <f>ProxyDD[[#This Row],[Gasto total]]*$F$6</f>
        <v>3.7988372093022895</v>
      </c>
      <c r="O99" s="92">
        <f ca="1">_xlfn.XLOOKUP(ProxyDD[[#This Row],[Chave]],SMS!B:B,SMS!J:J)</f>
        <v>10</v>
      </c>
      <c r="P99" s="128">
        <f t="shared" ref="P99" ca="1" si="60">N99/O99</f>
        <v>0.37988372093022893</v>
      </c>
    </row>
    <row r="100" spans="9:16">
      <c r="I100" s="89">
        <v>45732</v>
      </c>
      <c r="J100" s="101" t="s">
        <v>108</v>
      </c>
      <c r="K100" s="89" t="str">
        <f t="shared" si="59"/>
        <v>GO45732</v>
      </c>
      <c r="L100" s="127">
        <v>2.21</v>
      </c>
      <c r="M100" s="127">
        <f>L90-ProxyDD[[#This Row],[GB atual]]</f>
        <v>2.0000000000000018E-2</v>
      </c>
      <c r="N100" s="15">
        <f>ProxyDD[[#This Row],[Gasto total]]*$F$6</f>
        <v>0.12662790697674431</v>
      </c>
      <c r="O100" s="92">
        <f ca="1">_xlfn.XLOOKUP(ProxyDD[[#This Row],[Chave]],SMS!B:B,SMS!J:J)</f>
        <v>1</v>
      </c>
      <c r="P100" s="128">
        <f t="shared" ref="P100:P101" ca="1" si="61">N100/O100</f>
        <v>0.12662790697674431</v>
      </c>
    </row>
    <row r="101" spans="9:16">
      <c r="I101" s="89">
        <v>45732</v>
      </c>
      <c r="J101" s="101" t="s">
        <v>113</v>
      </c>
      <c r="K101" s="89" t="str">
        <f t="shared" si="59"/>
        <v>MEI45732</v>
      </c>
      <c r="L101" s="127">
        <v>36.090000000000003</v>
      </c>
      <c r="M101" s="127">
        <f>L99-ProxyDD[[#This Row],[GB atual]]</f>
        <v>0.17999999999999972</v>
      </c>
      <c r="N101" s="15">
        <f>ProxyDD[[#This Row],[Gasto total]]*$F$6</f>
        <v>1.139651162790696</v>
      </c>
      <c r="O101" s="92">
        <f ca="1">_xlfn.XLOOKUP(ProxyDD[[#This Row],[Chave]],SMS!B:B,SMS!J:J)</f>
        <v>4</v>
      </c>
      <c r="P101" s="128">
        <f t="shared" ca="1" si="61"/>
        <v>0.284912790697674</v>
      </c>
    </row>
    <row r="102" spans="9:16">
      <c r="I102" s="89">
        <v>45733</v>
      </c>
      <c r="J102" s="101" t="s">
        <v>113</v>
      </c>
      <c r="K102" s="89" t="str">
        <f t="shared" si="59"/>
        <v>MEI45733</v>
      </c>
      <c r="L102" s="127">
        <v>35.049999999999997</v>
      </c>
      <c r="M102" s="127">
        <f>L101-ProxyDD[[#This Row],[GB atual]]</f>
        <v>1.0400000000000063</v>
      </c>
      <c r="N102" s="15">
        <f>ProxyDD[[#This Row],[Gasto total]]*$F$6</f>
        <v>6.5846511627907374</v>
      </c>
      <c r="O102" s="92">
        <f ca="1">_xlfn.XLOOKUP(ProxyDD[[#This Row],[Chave]],SMS!B:B,SMS!J:J)</f>
        <v>19</v>
      </c>
      <c r="P102" s="128">
        <f t="shared" ref="P102" ca="1" si="62">N102/O102</f>
        <v>0.34656058751530194</v>
      </c>
    </row>
    <row r="103" spans="9:16">
      <c r="I103" s="89">
        <v>45734</v>
      </c>
      <c r="J103" s="101" t="s">
        <v>36</v>
      </c>
      <c r="K103" s="89" t="str">
        <f t="shared" si="59"/>
        <v>BV45734</v>
      </c>
      <c r="L103" s="127">
        <v>33.979999999999997</v>
      </c>
      <c r="M103" s="127">
        <f>L102-ProxyDD[[#This Row],[GB atual]]</f>
        <v>1.0700000000000003</v>
      </c>
      <c r="N103" s="15">
        <f>ProxyDD[[#This Row],[Gasto total]]*$F$6</f>
        <v>6.7745930232558162</v>
      </c>
      <c r="O103" s="92">
        <f ca="1">_xlfn.XLOOKUP(ProxyDD[[#This Row],[Chave]],SMS!B:B,SMS!J:J)</f>
        <v>9</v>
      </c>
      <c r="P103" s="128">
        <f t="shared" ref="P103:P105" ca="1" si="63">N103/O103</f>
        <v>0.7527325581395351</v>
      </c>
    </row>
    <row r="104" spans="9:16">
      <c r="I104" s="89">
        <v>45734</v>
      </c>
      <c r="J104" s="101" t="s">
        <v>113</v>
      </c>
      <c r="K104" s="89" t="str">
        <f t="shared" si="59"/>
        <v>MEI45734</v>
      </c>
      <c r="L104" s="127">
        <v>33.67</v>
      </c>
      <c r="M104" s="127">
        <f>L103-ProxyDD[[#This Row],[GB atual]]</f>
        <v>0.30999999999999517</v>
      </c>
      <c r="N104" s="15">
        <f>ProxyDD[[#This Row],[Gasto total]]*$F$6</f>
        <v>1.9627325581395043</v>
      </c>
      <c r="O104" s="92">
        <f ca="1">_xlfn.XLOOKUP(ProxyDD[[#This Row],[Chave]],SMS!B:B,SMS!J:J)</f>
        <v>8</v>
      </c>
      <c r="P104" s="128">
        <f t="shared" ca="1" si="63"/>
        <v>0.24534156976743804</v>
      </c>
    </row>
    <row r="105" spans="9:16">
      <c r="I105" s="89">
        <v>45734</v>
      </c>
      <c r="J105" s="101" t="s">
        <v>108</v>
      </c>
      <c r="K105" s="89" t="str">
        <f t="shared" si="59"/>
        <v>GO45734</v>
      </c>
      <c r="L105" s="127">
        <v>2.0699999999999998</v>
      </c>
      <c r="M105" s="127">
        <f>L100-ProxyDD[[#This Row],[GB atual]]</f>
        <v>0.14000000000000012</v>
      </c>
      <c r="N105" s="15">
        <f>ProxyDD[[#This Row],[Gasto total]]*$F$6</f>
        <v>0.88639534883721016</v>
      </c>
      <c r="O105" s="92">
        <f ca="1">_xlfn.XLOOKUP(ProxyDD[[#This Row],[Chave]],SMS!B:B,SMS!J:J)</f>
        <v>6</v>
      </c>
      <c r="P105" s="128">
        <f t="shared" ca="1" si="63"/>
        <v>0.14773255813953504</v>
      </c>
    </row>
    <row r="106" spans="9:16">
      <c r="I106" s="89">
        <v>45735</v>
      </c>
      <c r="J106" s="101" t="s">
        <v>36</v>
      </c>
      <c r="K106" s="89" t="str">
        <f t="shared" ref="K106:K111" si="64">_xlfn.CONCAT(J106,I106)</f>
        <v>BV45735</v>
      </c>
      <c r="L106" s="127">
        <v>33.130000000000003</v>
      </c>
      <c r="M106" s="127">
        <f>L104-ProxyDD[[#This Row],[GB atual]]</f>
        <v>0.53999999999999915</v>
      </c>
      <c r="N106" s="15">
        <f>ProxyDD[[#This Row],[Gasto total]]*$F$6</f>
        <v>3.4189534883720878</v>
      </c>
      <c r="O106" s="92">
        <f ca="1">_xlfn.XLOOKUP(ProxyDD[[#This Row],[Chave]],SMS!B:B,SMS!J:J)</f>
        <v>2</v>
      </c>
      <c r="P106" s="128">
        <f t="shared" ref="P106:P107" ca="1" si="65">N106/O106</f>
        <v>1.7094767441860439</v>
      </c>
    </row>
    <row r="107" spans="9:16">
      <c r="I107" s="89">
        <v>45735</v>
      </c>
      <c r="J107" s="101" t="s">
        <v>113</v>
      </c>
      <c r="K107" s="89" t="str">
        <f t="shared" si="64"/>
        <v>MEI45735</v>
      </c>
      <c r="L107" s="127">
        <v>33.1</v>
      </c>
      <c r="M107" s="127">
        <f>L106-ProxyDD[[#This Row],[GB atual]]</f>
        <v>3.0000000000001137E-2</v>
      </c>
      <c r="N107" s="15">
        <f>ProxyDD[[#This Row],[Gasto total]]*$F$6</f>
        <v>0.18994186046512349</v>
      </c>
      <c r="O107" s="92">
        <f ca="1">_xlfn.XLOOKUP(ProxyDD[[#This Row],[Chave]],SMS!B:B,SMS!J:J)</f>
        <v>1</v>
      </c>
      <c r="P107" s="128">
        <f t="shared" ca="1" si="65"/>
        <v>0.18994186046512349</v>
      </c>
    </row>
    <row r="108" spans="9:16">
      <c r="I108" s="89">
        <v>45736</v>
      </c>
      <c r="J108" s="101" t="s">
        <v>36</v>
      </c>
      <c r="K108" s="89" t="str">
        <f t="shared" si="64"/>
        <v>BV45736</v>
      </c>
      <c r="L108" s="127">
        <v>32.51</v>
      </c>
      <c r="M108" s="127">
        <f>L107-ProxyDD[[#This Row],[GB atual]]</f>
        <v>0.59000000000000341</v>
      </c>
      <c r="N108" s="15">
        <f>ProxyDD[[#This Row],[Gasto total]]*$F$6</f>
        <v>3.735523255813975</v>
      </c>
      <c r="O108" s="92">
        <f ca="1">_xlfn.XLOOKUP(ProxyDD[[#This Row],[Chave]],SMS!B:B,SMS!J:J)</f>
        <v>18</v>
      </c>
      <c r="P108" s="128">
        <f t="shared" ref="P108" ca="1" si="66">N108/O108</f>
        <v>0.20752906976744306</v>
      </c>
    </row>
    <row r="109" spans="9:16">
      <c r="I109" s="89">
        <v>45736</v>
      </c>
      <c r="J109" s="101" t="s">
        <v>113</v>
      </c>
      <c r="K109" s="89" t="str">
        <f t="shared" si="64"/>
        <v>MEI45736</v>
      </c>
      <c r="L109" s="127">
        <v>32.4</v>
      </c>
      <c r="M109" s="127">
        <f>L108-ProxyDD[[#This Row],[GB atual]]</f>
        <v>0.10999999999999943</v>
      </c>
      <c r="N109" s="15">
        <f>ProxyDD[[#This Row],[Gasto total]]*$F$6</f>
        <v>0.69645348837208942</v>
      </c>
      <c r="O109" s="92">
        <f ca="1">_xlfn.XLOOKUP(ProxyDD[[#This Row],[Chave]],SMS!B:B,SMS!J:J)</f>
        <v>3</v>
      </c>
      <c r="P109" s="128">
        <f t="shared" ref="P109" ca="1" si="67">N109/O109</f>
        <v>0.23215116279069647</v>
      </c>
    </row>
    <row r="110" spans="9:16">
      <c r="I110" s="89">
        <v>45737</v>
      </c>
      <c r="J110" s="101" t="s">
        <v>113</v>
      </c>
      <c r="K110" s="89" t="str">
        <f t="shared" si="64"/>
        <v>MEI45737</v>
      </c>
      <c r="L110" s="127">
        <v>31.7</v>
      </c>
      <c r="M110" s="127">
        <f>L109-ProxyDD[[#This Row],[GB atual]]</f>
        <v>0.69999999999999929</v>
      </c>
      <c r="N110" s="15">
        <f>ProxyDD[[#This Row],[Gasto total]]*$F$6</f>
        <v>4.4319767441860423</v>
      </c>
      <c r="O110" s="92">
        <f ca="1">_xlfn.XLOOKUP(ProxyDD[[#This Row],[Chave]],SMS!B:B,SMS!J:J)</f>
        <v>27</v>
      </c>
      <c r="P110" s="128">
        <f t="shared" ref="P110" ca="1" si="68">N110/O110</f>
        <v>0.16414728682170526</v>
      </c>
    </row>
    <row r="111" spans="9:16">
      <c r="I111" s="89">
        <v>45738</v>
      </c>
      <c r="J111" s="101" t="s">
        <v>108</v>
      </c>
      <c r="K111" s="89" t="str">
        <f t="shared" si="64"/>
        <v>GO45738</v>
      </c>
      <c r="L111" s="127">
        <v>31.24</v>
      </c>
      <c r="M111" s="127">
        <f>L110-ProxyDD[[#This Row],[GB atual]]</f>
        <v>0.46000000000000085</v>
      </c>
      <c r="N111" s="15">
        <f>ProxyDD[[#This Row],[Gasto total]]*$F$6</f>
        <v>2.9124418604651217</v>
      </c>
      <c r="O111" s="92">
        <f ca="1">_xlfn.XLOOKUP(ProxyDD[[#This Row],[Chave]],SMS!B:B,SMS!J:J)</f>
        <v>18</v>
      </c>
      <c r="P111" s="128">
        <f t="shared" ref="P111" ca="1" si="69">N111/O111</f>
        <v>0.16180232558139565</v>
      </c>
    </row>
    <row r="112" spans="9:16">
      <c r="I112" s="89">
        <v>45740</v>
      </c>
      <c r="J112" s="101" t="s">
        <v>108</v>
      </c>
      <c r="K112" s="89" t="str">
        <f t="shared" ref="K112" si="70">_xlfn.CONCAT(J112,I112)</f>
        <v>GO45740</v>
      </c>
      <c r="L112" s="127">
        <v>1.92</v>
      </c>
      <c r="M112" s="127">
        <f>L105-ProxyDD[[#This Row],[GB atual]]</f>
        <v>0.14999999999999991</v>
      </c>
      <c r="N112" s="15">
        <f>ProxyDD[[#This Row],[Gasto total]]*$F$6</f>
        <v>0.94970930232558082</v>
      </c>
      <c r="O112" s="92">
        <f ca="1">_xlfn.XLOOKUP(ProxyDD[[#This Row],[Chave]],SMS!B:B,SMS!J:J)</f>
        <v>6</v>
      </c>
      <c r="P112" s="128">
        <f t="shared" ref="P112" ca="1" si="71">N112/O112</f>
        <v>0.15828488372093014</v>
      </c>
    </row>
    <row r="113" spans="9:16">
      <c r="I113" s="89">
        <v>45740</v>
      </c>
      <c r="J113" s="101" t="s">
        <v>113</v>
      </c>
      <c r="K113" s="89" t="str">
        <f t="shared" ref="K113:K118" si="72">_xlfn.CONCAT(J113,I113)</f>
        <v>MEI45740</v>
      </c>
      <c r="L113" s="127">
        <v>30.9</v>
      </c>
      <c r="M113" s="127">
        <f>L111-ProxyDD[[#This Row],[GB atual]]</f>
        <v>0.33999999999999986</v>
      </c>
      <c r="N113" s="15">
        <f>ProxyDD[[#This Row],[Gasto total]]*$F$6</f>
        <v>2.1526744186046503</v>
      </c>
      <c r="O113" s="92">
        <f ca="1">_xlfn.XLOOKUP(ProxyDD[[#This Row],[Chave]],SMS!B:B,SMS!J:J)</f>
        <v>9</v>
      </c>
      <c r="P113" s="128">
        <f t="shared" ref="P113" ca="1" si="73">N113/O113</f>
        <v>0.23918604651162781</v>
      </c>
    </row>
    <row r="114" spans="9:16">
      <c r="I114" s="89">
        <v>45741</v>
      </c>
      <c r="J114" s="101" t="s">
        <v>113</v>
      </c>
      <c r="K114" s="89" t="str">
        <f t="shared" si="72"/>
        <v>MEI45741</v>
      </c>
      <c r="L114" s="127">
        <v>30.69</v>
      </c>
      <c r="M114" s="127">
        <f>L113-ProxyDD[[#This Row],[GB atual]]</f>
        <v>0.2099999999999973</v>
      </c>
      <c r="N114" s="15">
        <f>ProxyDD[[#This Row],[Gasto total]]*$F$6</f>
        <v>1.3295930232557969</v>
      </c>
      <c r="O114" s="92">
        <f ca="1">_xlfn.XLOOKUP(ProxyDD[[#This Row],[Chave]],SMS!B:B,SMS!J:J)</f>
        <v>4</v>
      </c>
      <c r="P114" s="128">
        <f t="shared" ref="P114" ca="1" si="74">N114/O114</f>
        <v>0.33239825581394922</v>
      </c>
    </row>
    <row r="115" spans="9:16">
      <c r="I115" s="89">
        <v>45742</v>
      </c>
      <c r="J115" s="101" t="s">
        <v>113</v>
      </c>
      <c r="K115" s="89" t="str">
        <f t="shared" si="72"/>
        <v>MEI45742</v>
      </c>
      <c r="L115" s="127">
        <v>30.62</v>
      </c>
      <c r="M115" s="127">
        <f>L114-ProxyDD[[#This Row],[GB atual]]</f>
        <v>7.0000000000000284E-2</v>
      </c>
      <c r="N115" s="15">
        <f>ProxyDD[[#This Row],[Gasto total]]*$F$6</f>
        <v>0.44319767441860647</v>
      </c>
      <c r="O115" s="92">
        <f ca="1">_xlfn.XLOOKUP(ProxyDD[[#This Row],[Chave]],SMS!B:B,SMS!J:J)</f>
        <v>1</v>
      </c>
      <c r="P115" s="128">
        <f t="shared" ref="P115" ca="1" si="75">N115/O115</f>
        <v>0.44319767441860647</v>
      </c>
    </row>
    <row r="116" spans="9:16">
      <c r="I116" s="89">
        <v>45743</v>
      </c>
      <c r="J116" s="101" t="s">
        <v>113</v>
      </c>
      <c r="K116" s="89" t="str">
        <f t="shared" si="72"/>
        <v>MEI45743</v>
      </c>
      <c r="L116" s="127">
        <v>30.47</v>
      </c>
      <c r="M116" s="127">
        <f>L115-ProxyDD[[#This Row],[GB atual]]</f>
        <v>0.15000000000000213</v>
      </c>
      <c r="N116" s="15">
        <f>ProxyDD[[#This Row],[Gasto total]]*$F$6</f>
        <v>0.94970930232559492</v>
      </c>
      <c r="O116" s="92">
        <f ca="1">_xlfn.XLOOKUP(ProxyDD[[#This Row],[Chave]],SMS!B:B,SMS!J:J)</f>
        <v>6</v>
      </c>
      <c r="P116" s="128">
        <f t="shared" ref="P116" ca="1" si="76">N116/O116</f>
        <v>0.1582848837209325</v>
      </c>
    </row>
    <row r="117" spans="9:16">
      <c r="I117" s="89">
        <v>45744</v>
      </c>
      <c r="J117" s="101" t="s">
        <v>113</v>
      </c>
      <c r="K117" s="89" t="str">
        <f t="shared" si="72"/>
        <v>MEI45744</v>
      </c>
      <c r="L117" s="127">
        <v>30.31</v>
      </c>
      <c r="M117" s="127">
        <f>L116-ProxyDD[[#This Row],[GB atual]]</f>
        <v>0.16000000000000014</v>
      </c>
      <c r="N117" s="15">
        <f>ProxyDD[[#This Row],[Gasto total]]*$F$6</f>
        <v>1.0130232558139545</v>
      </c>
      <c r="O117" s="92">
        <f ca="1">_xlfn.XLOOKUP(ProxyDD[[#This Row],[Chave]],SMS!B:B,SMS!J:J)</f>
        <v>1</v>
      </c>
      <c r="P117" s="128">
        <f t="shared" ref="P117" ca="1" si="77">N117/O117</f>
        <v>1.0130232558139545</v>
      </c>
    </row>
    <row r="118" spans="9:16">
      <c r="I118" s="89">
        <v>45746</v>
      </c>
      <c r="J118" s="101" t="s">
        <v>113</v>
      </c>
      <c r="K118" s="89" t="str">
        <f t="shared" si="72"/>
        <v>MEI45746</v>
      </c>
      <c r="L118" s="127">
        <v>30.23</v>
      </c>
      <c r="M118" s="127">
        <f>L117-ProxyDD[[#This Row],[GB atual]]</f>
        <v>7.9999999999998295E-2</v>
      </c>
      <c r="N118" s="15">
        <f>ProxyDD[[#This Row],[Gasto total]]*$F$6</f>
        <v>0.50651162790696591</v>
      </c>
      <c r="O118" s="92">
        <f ca="1">_xlfn.XLOOKUP(ProxyDD[[#This Row],[Chave]],SMS!B:B,SMS!J:J)</f>
        <v>1</v>
      </c>
      <c r="P118" s="128">
        <f t="shared" ref="P118" ca="1" si="78">N118/O118</f>
        <v>0.50651162790696591</v>
      </c>
    </row>
    <row r="119" spans="9:16">
      <c r="I119" s="89">
        <v>45747</v>
      </c>
      <c r="J119" s="101" t="s">
        <v>113</v>
      </c>
      <c r="K119" s="89" t="str">
        <f t="shared" ref="K119" si="79">_xlfn.CONCAT(J119,I119)</f>
        <v>MEI45747</v>
      </c>
      <c r="L119" s="127">
        <v>29.71</v>
      </c>
      <c r="M119" s="127">
        <f>L118-ProxyDD[[#This Row],[GB atual]]</f>
        <v>0.51999999999999957</v>
      </c>
      <c r="N119" s="15">
        <f>ProxyDD[[#This Row],[Gasto total]]*$F$6</f>
        <v>3.292325581395346</v>
      </c>
      <c r="O119" s="92">
        <f ca="1">_xlfn.XLOOKUP(ProxyDD[[#This Row],[Chave]],SMS!B:B,SMS!J:J)</f>
        <v>12</v>
      </c>
      <c r="P119" s="128">
        <f t="shared" ref="P119" ca="1" si="80">N119/O119</f>
        <v>0.27436046511627882</v>
      </c>
    </row>
    <row r="120" spans="9:16">
      <c r="I120" s="89">
        <v>45749</v>
      </c>
      <c r="J120" s="89" t="s">
        <v>113</v>
      </c>
      <c r="K120" s="89" t="str">
        <f t="shared" ref="K120:K125" si="81">_xlfn.CONCAT(J120,I120)</f>
        <v>MEI45749</v>
      </c>
      <c r="L120" s="127">
        <v>29.52</v>
      </c>
      <c r="M120" s="127">
        <f>L119-ProxyDD[[#This Row],[GB atual]]</f>
        <v>0.19000000000000128</v>
      </c>
      <c r="N120" s="15">
        <f>ProxyDD[[#This Row],[Gasto total]]*$F$6</f>
        <v>1.202965116279078</v>
      </c>
      <c r="O120" s="92">
        <f ca="1">_xlfn.XLOOKUP(ProxyDD[[#This Row],[Chave]],SMS!B:B,SMS!J:J)</f>
        <v>5</v>
      </c>
      <c r="P120" s="128">
        <f t="shared" ref="P120:P125" ca="1" si="82">N120/O120</f>
        <v>0.24059302325581561</v>
      </c>
    </row>
    <row r="121" spans="9:16">
      <c r="I121" s="89">
        <v>45749</v>
      </c>
      <c r="J121" s="89" t="s">
        <v>108</v>
      </c>
      <c r="K121" s="89" t="str">
        <f t="shared" si="81"/>
        <v>GO45749</v>
      </c>
      <c r="L121" s="127">
        <v>29.43</v>
      </c>
      <c r="M121" s="127">
        <f>L120-ProxyDD[[#This Row],[GB atual]]</f>
        <v>8.9999999999999858E-2</v>
      </c>
      <c r="N121" s="15">
        <f>ProxyDD[[#This Row],[Gasto total]]*$F$6</f>
        <v>0.569825581395348</v>
      </c>
      <c r="O121" s="92">
        <f ca="1">_xlfn.XLOOKUP(ProxyDD[[#This Row],[Chave]],SMS!B:B,SMS!J:J)</f>
        <v>2</v>
      </c>
      <c r="P121" s="128">
        <f t="shared" ca="1" si="82"/>
        <v>0.284912790697674</v>
      </c>
    </row>
    <row r="122" spans="9:16">
      <c r="I122" s="89">
        <v>45750</v>
      </c>
      <c r="J122" s="89" t="s">
        <v>113</v>
      </c>
      <c r="K122" s="89" t="str">
        <f t="shared" si="81"/>
        <v>MEI45750</v>
      </c>
      <c r="L122" s="127">
        <v>29.1</v>
      </c>
      <c r="M122" s="127">
        <f>L121-ProxyDD[[#This Row],[GB atual]]</f>
        <v>0.32999999999999829</v>
      </c>
      <c r="N122" s="15">
        <f>ProxyDD[[#This Row],[Gasto total]]*$F$6</f>
        <v>2.0893604651162683</v>
      </c>
      <c r="O122" s="92">
        <f ca="1">_xlfn.XLOOKUP(ProxyDD[[#This Row],[Chave]],SMS!B:B,SMS!J:J)</f>
        <v>11</v>
      </c>
      <c r="P122" s="128">
        <f t="shared" ca="1" si="82"/>
        <v>0.1899418604651153</v>
      </c>
    </row>
    <row r="123" spans="9:16">
      <c r="I123" s="89">
        <v>45751</v>
      </c>
      <c r="J123" s="89" t="s">
        <v>113</v>
      </c>
      <c r="K123" s="89" t="str">
        <f t="shared" si="81"/>
        <v>MEI45751</v>
      </c>
      <c r="L123" s="127">
        <v>28.75</v>
      </c>
      <c r="M123" s="127">
        <f>L122-ProxyDD[[#This Row],[GB atual]]</f>
        <v>0.35000000000000142</v>
      </c>
      <c r="N123" s="15">
        <f>ProxyDD[[#This Row],[Gasto total]]*$F$6</f>
        <v>2.2159883720930322</v>
      </c>
      <c r="O123" s="92">
        <f ca="1">_xlfn.XLOOKUP(ProxyDD[[#This Row],[Chave]],SMS!B:B,SMS!J:J)</f>
        <v>8</v>
      </c>
      <c r="P123" s="128">
        <f t="shared" ca="1" si="82"/>
        <v>0.27699854651162903</v>
      </c>
    </row>
    <row r="124" spans="9:16">
      <c r="I124" s="89">
        <v>45754</v>
      </c>
      <c r="J124" s="89" t="s">
        <v>113</v>
      </c>
      <c r="K124" s="89" t="str">
        <f t="shared" si="81"/>
        <v>MEI45754</v>
      </c>
      <c r="L124" s="127">
        <v>28.17</v>
      </c>
      <c r="M124" s="127">
        <f>L123-ProxyDD[[#This Row],[GB atual]]</f>
        <v>0.57999999999999829</v>
      </c>
      <c r="N124" s="15">
        <f>ProxyDD[[#This Row],[Gasto total]]*$F$6</f>
        <v>3.6722093023255709</v>
      </c>
      <c r="O124" s="92">
        <f ca="1">_xlfn.XLOOKUP(ProxyDD[[#This Row],[Chave]],SMS!B:B,SMS!J:J)</f>
        <v>13</v>
      </c>
      <c r="P124" s="128">
        <f t="shared" ca="1" si="82"/>
        <v>0.28247763864042852</v>
      </c>
    </row>
    <row r="125" spans="9:16">
      <c r="I125" s="89">
        <v>45754</v>
      </c>
      <c r="J125" s="89" t="s">
        <v>108</v>
      </c>
      <c r="K125" s="89" t="str">
        <f t="shared" si="81"/>
        <v>GO45754</v>
      </c>
      <c r="L125" s="127">
        <v>28.13</v>
      </c>
      <c r="M125" s="127">
        <f>L124-ProxyDD[[#This Row],[GB atual]]</f>
        <v>4.00000000000027E-2</v>
      </c>
      <c r="N125" s="15">
        <f>ProxyDD[[#This Row],[Gasto total]]*$F$6</f>
        <v>0.25325581395350549</v>
      </c>
      <c r="O125" s="92">
        <f ca="1">_xlfn.XLOOKUP(ProxyDD[[#This Row],[Chave]],SMS!B:B,SMS!J:J)</f>
        <v>1</v>
      </c>
      <c r="P125" s="128">
        <f t="shared" ca="1" si="82"/>
        <v>0.25325581395350549</v>
      </c>
    </row>
    <row r="126" spans="9:16">
      <c r="I126" s="89">
        <v>45755</v>
      </c>
      <c r="J126" s="89" t="s">
        <v>113</v>
      </c>
      <c r="K126" s="89" t="str">
        <f t="shared" ref="K126" si="83">_xlfn.CONCAT(J126,I126)</f>
        <v>MEI45755</v>
      </c>
      <c r="L126" s="127">
        <v>27.22</v>
      </c>
      <c r="M126" s="127">
        <f>L125-ProxyDD[[#This Row],[GB atual]]</f>
        <v>0.91000000000000014</v>
      </c>
      <c r="N126" s="15">
        <f>ProxyDD[[#This Row],[Gasto total]]*$F$6</f>
        <v>5.7615697674418618</v>
      </c>
      <c r="O126" s="92">
        <f ca="1">_xlfn.XLOOKUP(ProxyDD[[#This Row],[Chave]],SMS!B:B,SMS!J:J)</f>
        <v>13</v>
      </c>
      <c r="P126" s="128">
        <f t="shared" ref="P126" ca="1" si="84">N126/O126</f>
        <v>0.44319767441860475</v>
      </c>
    </row>
    <row r="127" spans="9:16">
      <c r="I127" s="89">
        <v>45756</v>
      </c>
      <c r="J127" s="101" t="s">
        <v>113</v>
      </c>
      <c r="K127" s="89" t="str">
        <f>_xlfn.CONCAT(J127,I127)</f>
        <v>MEI45756</v>
      </c>
      <c r="L127" s="127">
        <v>26.75</v>
      </c>
      <c r="M127" s="127">
        <f>L126-ProxyDD[[#This Row],[GB atual]]</f>
        <v>0.46999999999999886</v>
      </c>
      <c r="N127" s="15">
        <f>ProxyDD[[#This Row],[Gasto total]]*$F$6</f>
        <v>2.9757558139534814</v>
      </c>
      <c r="O127" s="92">
        <f ca="1">_xlfn.XLOOKUP(ProxyDD[[#This Row],[Chave]],SMS!B:B,SMS!J:J)</f>
        <v>16</v>
      </c>
      <c r="P127" s="128">
        <f t="shared" ref="P127" ca="1" si="85">N127/O127</f>
        <v>0.18598473837209259</v>
      </c>
    </row>
    <row r="128" spans="9:16">
      <c r="I128" s="89">
        <v>45757</v>
      </c>
      <c r="J128" s="89" t="s">
        <v>113</v>
      </c>
      <c r="K128" s="89" t="str">
        <f>_xlfn.CONCAT(J128,I128)</f>
        <v>MEI45757</v>
      </c>
      <c r="L128" s="127">
        <v>26.65</v>
      </c>
      <c r="M128" s="127">
        <f>L127-ProxyDD[[#This Row],[GB atual]]</f>
        <v>0.10000000000000142</v>
      </c>
      <c r="N128" s="15">
        <f>ProxyDD[[#This Row],[Gasto total]]*$F$6</f>
        <v>0.63313953488372998</v>
      </c>
      <c r="O128" s="92">
        <f ca="1">_xlfn.XLOOKUP(ProxyDD[[#This Row],[Chave]],SMS!B:B,SMS!J:J)</f>
        <v>4</v>
      </c>
      <c r="P128" s="128">
        <f t="shared" ref="P128:P131" ca="1" si="86">N128/O128</f>
        <v>0.1582848837209325</v>
      </c>
    </row>
    <row r="129" spans="9:16">
      <c r="I129" s="89">
        <v>45758</v>
      </c>
      <c r="J129" s="89" t="s">
        <v>113</v>
      </c>
      <c r="K129" s="89" t="str">
        <f t="shared" ref="K129:K131" si="87">_xlfn.CONCAT(J129,I129)</f>
        <v>MEI45758</v>
      </c>
      <c r="L129" s="127">
        <v>26.48</v>
      </c>
      <c r="M129" s="127">
        <f>L128-ProxyDD[[#This Row],[GB atual]]</f>
        <v>0.16999999999999815</v>
      </c>
      <c r="N129" s="15">
        <f>ProxyDD[[#This Row],[Gasto total]]*$F$6</f>
        <v>1.0763372093023138</v>
      </c>
      <c r="O129" s="92">
        <f ca="1">_xlfn.XLOOKUP(ProxyDD[[#This Row],[Chave]],SMS!B:B,SMS!J:J)</f>
        <v>17</v>
      </c>
      <c r="P129" s="128">
        <f t="shared" ca="1" si="86"/>
        <v>6.3313953488371405E-2</v>
      </c>
    </row>
    <row r="130" spans="9:16">
      <c r="I130" s="89">
        <v>45758</v>
      </c>
      <c r="J130" s="89" t="s">
        <v>108</v>
      </c>
      <c r="K130" s="89" t="str">
        <f t="shared" si="87"/>
        <v>GO45758</v>
      </c>
      <c r="L130" s="127">
        <v>26.45</v>
      </c>
      <c r="M130" s="127">
        <f>L129-ProxyDD[[#This Row],[GB atual]]</f>
        <v>3.0000000000001137E-2</v>
      </c>
      <c r="N130" s="15">
        <f>ProxyDD[[#This Row],[Gasto total]]*$F$6</f>
        <v>0.18994186046512349</v>
      </c>
      <c r="O130" s="92">
        <f ca="1">_xlfn.XLOOKUP(ProxyDD[[#This Row],[Chave]],SMS!B:B,SMS!J:J)</f>
        <v>1</v>
      </c>
      <c r="P130" s="128">
        <f t="shared" ca="1" si="86"/>
        <v>0.18994186046512349</v>
      </c>
    </row>
    <row r="131" spans="9:16">
      <c r="I131" s="89">
        <v>45758</v>
      </c>
      <c r="J131" s="89" t="s">
        <v>36</v>
      </c>
      <c r="K131" s="89" t="str">
        <f t="shared" si="87"/>
        <v>BV45758</v>
      </c>
      <c r="L131" s="127">
        <v>26.35</v>
      </c>
      <c r="M131" s="127">
        <f>L130-ProxyDD[[#This Row],[GB atual]]</f>
        <v>9.9999999999997868E-2</v>
      </c>
      <c r="N131" s="15">
        <f>ProxyDD[[#This Row],[Gasto total]]*$F$6</f>
        <v>0.63313953488370744</v>
      </c>
      <c r="O131" s="92">
        <f ca="1">_xlfn.XLOOKUP(ProxyDD[[#This Row],[Chave]],SMS!B:B,SMS!J:J)</f>
        <v>2</v>
      </c>
      <c r="P131" s="128">
        <f t="shared" ca="1" si="86"/>
        <v>0.31656976744185372</v>
      </c>
    </row>
    <row r="132" spans="9:16">
      <c r="I132" s="89">
        <v>45759</v>
      </c>
      <c r="J132" s="89" t="s">
        <v>108</v>
      </c>
      <c r="K132" s="89" t="str">
        <f t="shared" ref="K132:K135" si="88">_xlfn.CONCAT(J132,I132)</f>
        <v>GO45759</v>
      </c>
      <c r="L132" s="127">
        <v>26.3</v>
      </c>
      <c r="M132" s="127">
        <f>L131-ProxyDD[[#This Row],[GB atual]]</f>
        <v>5.0000000000000711E-2</v>
      </c>
      <c r="N132" s="15">
        <f>ProxyDD[[#This Row],[Gasto total]]*$F$6</f>
        <v>0.31656976744186499</v>
      </c>
      <c r="O132" s="92">
        <f ca="1">_xlfn.XLOOKUP(ProxyDD[[#This Row],[Chave]],SMS!B:B,SMS!J:J)</f>
        <v>2</v>
      </c>
      <c r="P132" s="128">
        <f t="shared" ref="P132:P135" ca="1" si="89">N132/O132</f>
        <v>0.1582848837209325</v>
      </c>
    </row>
    <row r="133" spans="9:16">
      <c r="I133" s="89">
        <v>45759</v>
      </c>
      <c r="J133" s="89" t="s">
        <v>113</v>
      </c>
      <c r="K133" s="89" t="str">
        <f t="shared" si="88"/>
        <v>MEI45759</v>
      </c>
      <c r="L133" s="127">
        <v>25.66</v>
      </c>
      <c r="M133" s="127">
        <f>L132-ProxyDD[[#This Row],[GB atual]]</f>
        <v>0.64000000000000057</v>
      </c>
      <c r="N133" s="15">
        <f>ProxyDD[[#This Row],[Gasto total]]*$F$6</f>
        <v>4.0520930232558179</v>
      </c>
      <c r="O133" s="92">
        <f ca="1">_xlfn.XLOOKUP(ProxyDD[[#This Row],[Chave]],SMS!B:B,SMS!J:J)</f>
        <v>14</v>
      </c>
      <c r="P133" s="128">
        <f t="shared" ca="1" si="89"/>
        <v>0.28943521594684413</v>
      </c>
    </row>
    <row r="134" spans="9:16">
      <c r="I134" s="89">
        <v>45760</v>
      </c>
      <c r="J134" s="89" t="s">
        <v>113</v>
      </c>
      <c r="K134" s="89" t="str">
        <f t="shared" si="88"/>
        <v>MEI45760</v>
      </c>
      <c r="L134" s="127">
        <v>25.16</v>
      </c>
      <c r="M134" s="127">
        <f>L133-ProxyDD[[#This Row],[GB atual]]</f>
        <v>0.5</v>
      </c>
      <c r="N134" s="15">
        <f>ProxyDD[[#This Row],[Gasto total]]*$F$6</f>
        <v>3.1656976744186047</v>
      </c>
      <c r="O134" s="92">
        <f ca="1">_xlfn.XLOOKUP(ProxyDD[[#This Row],[Chave]],SMS!B:B,SMS!J:J)</f>
        <v>15</v>
      </c>
      <c r="P134" s="128">
        <f t="shared" ca="1" si="89"/>
        <v>0.21104651162790697</v>
      </c>
    </row>
    <row r="135" spans="9:16">
      <c r="I135" s="89">
        <v>45760</v>
      </c>
      <c r="J135" s="89" t="s">
        <v>108</v>
      </c>
      <c r="K135" s="89" t="str">
        <f t="shared" si="88"/>
        <v>GO45760</v>
      </c>
      <c r="L135" s="127">
        <v>25.1</v>
      </c>
      <c r="M135" s="127">
        <f>L134-ProxyDD[[#This Row],[GB atual]]</f>
        <v>5.9999999999998721E-2</v>
      </c>
      <c r="N135" s="15">
        <f>ProxyDD[[#This Row],[Gasto total]]*$F$6</f>
        <v>0.37988372093022449</v>
      </c>
      <c r="O135" s="92">
        <f ca="1">_xlfn.XLOOKUP(ProxyDD[[#This Row],[Chave]],SMS!B:B,SMS!J:J)</f>
        <v>2</v>
      </c>
      <c r="P135" s="128">
        <f t="shared" ca="1" si="89"/>
        <v>0.18994186046511224</v>
      </c>
    </row>
    <row r="136" spans="9:16">
      <c r="I136" s="89">
        <v>45761</v>
      </c>
      <c r="J136" s="89" t="s">
        <v>113</v>
      </c>
      <c r="K136" s="89" t="str">
        <f t="shared" ref="K136:K139" si="90">_xlfn.CONCAT(J136,I136)</f>
        <v>MEI45761</v>
      </c>
      <c r="L136" s="127">
        <v>24.75</v>
      </c>
      <c r="M136" s="127">
        <f>L135-ProxyDD[[#This Row],[GB atual]]</f>
        <v>0.35000000000000142</v>
      </c>
      <c r="N136" s="15">
        <f>ProxyDD[[#This Row],[Gasto total]]*$F$6</f>
        <v>2.2159883720930322</v>
      </c>
      <c r="O136" s="92">
        <f ca="1">_xlfn.XLOOKUP(ProxyDD[[#This Row],[Chave]],SMS!B:B,SMS!J:J)</f>
        <v>7</v>
      </c>
      <c r="P136" s="128">
        <f t="shared" ref="P136:P139" ca="1" si="91">N136/O136</f>
        <v>0.31656976744186177</v>
      </c>
    </row>
    <row r="137" spans="9:16">
      <c r="I137" s="89">
        <v>45761</v>
      </c>
      <c r="J137" s="89" t="s">
        <v>108</v>
      </c>
      <c r="K137" s="89" t="str">
        <f t="shared" si="90"/>
        <v>GO45761</v>
      </c>
      <c r="L137" s="127">
        <v>24.59</v>
      </c>
      <c r="M137" s="127">
        <f>L136-ProxyDD[[#This Row],[GB atual]]</f>
        <v>0.16000000000000014</v>
      </c>
      <c r="N137" s="15">
        <f>ProxyDD[[#This Row],[Gasto total]]*$F$6</f>
        <v>1.0130232558139545</v>
      </c>
      <c r="O137" s="92">
        <f ca="1">_xlfn.XLOOKUP(ProxyDD[[#This Row],[Chave]],SMS!B:B,SMS!J:J)</f>
        <v>4</v>
      </c>
      <c r="P137" s="128">
        <f t="shared" ca="1" si="91"/>
        <v>0.25325581395348862</v>
      </c>
    </row>
    <row r="138" spans="9:16">
      <c r="I138" s="89">
        <v>45762</v>
      </c>
      <c r="J138" s="89" t="s">
        <v>113</v>
      </c>
      <c r="K138" s="89" t="str">
        <f t="shared" si="90"/>
        <v>MEI45762</v>
      </c>
      <c r="L138" s="127">
        <v>24.25</v>
      </c>
      <c r="M138" s="127">
        <f>L137-ProxyDD[[#This Row],[GB atual]]</f>
        <v>0.33999999999999986</v>
      </c>
      <c r="N138" s="15">
        <f>ProxyDD[[#This Row],[Gasto total]]*$F$6</f>
        <v>2.1526744186046503</v>
      </c>
      <c r="O138" s="92">
        <f ca="1">_xlfn.XLOOKUP(ProxyDD[[#This Row],[Chave]],SMS!B:B,SMS!J:J)</f>
        <v>6</v>
      </c>
      <c r="P138" s="128">
        <f t="shared" ca="1" si="91"/>
        <v>0.35877906976744173</v>
      </c>
    </row>
    <row r="139" spans="9:16">
      <c r="I139" s="89">
        <v>45763</v>
      </c>
      <c r="J139" s="89" t="s">
        <v>113</v>
      </c>
      <c r="K139" s="89" t="str">
        <f t="shared" si="90"/>
        <v>MEI45763</v>
      </c>
      <c r="L139" s="127">
        <v>23.81</v>
      </c>
      <c r="M139" s="127">
        <f>L138-ProxyDD[[#This Row],[GB atual]]</f>
        <v>0.44000000000000128</v>
      </c>
      <c r="N139" s="15">
        <f>ProxyDD[[#This Row],[Gasto total]]*$F$6</f>
        <v>2.7858139534883803</v>
      </c>
      <c r="O139" s="92">
        <f ca="1">_xlfn.XLOOKUP(ProxyDD[[#This Row],[Chave]],SMS!B:B,SMS!J:J)</f>
        <v>10</v>
      </c>
      <c r="P139" s="128">
        <f t="shared" ca="1" si="91"/>
        <v>0.27858139534883802</v>
      </c>
    </row>
    <row r="140" spans="9:16">
      <c r="I140" s="89">
        <v>45768</v>
      </c>
      <c r="J140" s="89" t="s">
        <v>113</v>
      </c>
      <c r="K140" s="89" t="str">
        <f t="shared" ref="K140:K142" si="92">_xlfn.CONCAT(J140,I140)</f>
        <v>MEI45768</v>
      </c>
      <c r="L140" s="127">
        <v>23.55</v>
      </c>
      <c r="M140" s="127">
        <f>L139-ProxyDD[[#This Row],[GB atual]]</f>
        <v>0.25999999999999801</v>
      </c>
      <c r="N140" s="15">
        <f>ProxyDD[[#This Row],[Gasto total]]*$F$6</f>
        <v>1.6461627906976619</v>
      </c>
      <c r="O140" s="92">
        <f ca="1">_xlfn.XLOOKUP(ProxyDD[[#This Row],[Chave]],SMS!B:B,SMS!J:J)</f>
        <v>3</v>
      </c>
      <c r="P140" s="128">
        <f t="shared" ref="P140:P142" ca="1" si="93">N140/O140</f>
        <v>0.54872093023255397</v>
      </c>
    </row>
    <row r="141" spans="9:16">
      <c r="I141" s="89">
        <v>45768</v>
      </c>
      <c r="J141" s="89" t="s">
        <v>36</v>
      </c>
      <c r="K141" s="89" t="str">
        <f t="shared" si="92"/>
        <v>BV45768</v>
      </c>
      <c r="L141" s="127">
        <v>23.65</v>
      </c>
      <c r="M141" s="127">
        <f>L140-ProxyDD[[#This Row],[GB atual]]</f>
        <v>-9.9999999999997868E-2</v>
      </c>
      <c r="N141" s="15">
        <f>ProxyDD[[#This Row],[Gasto total]]*$F$6</f>
        <v>-0.63313953488370744</v>
      </c>
      <c r="O141" s="92">
        <f ca="1">_xlfn.XLOOKUP(ProxyDD[[#This Row],[Chave]],SMS!B:B,SMS!J:J)</f>
        <v>2</v>
      </c>
      <c r="P141" s="128">
        <f t="shared" ca="1" si="93"/>
        <v>-0.31656976744185372</v>
      </c>
    </row>
    <row r="142" spans="9:16">
      <c r="I142" s="89">
        <v>45768</v>
      </c>
      <c r="J142" s="89" t="s">
        <v>108</v>
      </c>
      <c r="K142" s="89" t="str">
        <f t="shared" si="92"/>
        <v>GO45768</v>
      </c>
      <c r="L142" s="127">
        <v>23.42</v>
      </c>
      <c r="M142" s="127">
        <f>L141-ProxyDD[[#This Row],[GB atual]]</f>
        <v>0.22999999999999687</v>
      </c>
      <c r="N142" s="15">
        <f>ProxyDD[[#This Row],[Gasto total]]*$F$6</f>
        <v>1.4562209302325384</v>
      </c>
      <c r="O142" s="92">
        <f ca="1">_xlfn.XLOOKUP(ProxyDD[[#This Row],[Chave]],SMS!B:B,SMS!J:J)</f>
        <v>6</v>
      </c>
      <c r="P142" s="128">
        <f t="shared" ca="1" si="93"/>
        <v>0.24270348837208974</v>
      </c>
    </row>
    <row r="143" spans="9:16">
      <c r="I143" s="89">
        <v>45769</v>
      </c>
      <c r="J143" s="89" t="s">
        <v>113</v>
      </c>
      <c r="K143" s="89" t="str">
        <f t="shared" ref="K143:K145" si="94">_xlfn.CONCAT(J143,I143)</f>
        <v>MEI45769</v>
      </c>
      <c r="L143" s="127">
        <v>23.29</v>
      </c>
      <c r="M143" s="127">
        <f>L142-ProxyDD[[#This Row],[GB atual]]</f>
        <v>0.13000000000000256</v>
      </c>
      <c r="N143" s="15">
        <f>ProxyDD[[#This Row],[Gasto total]]*$F$6</f>
        <v>0.82308139534885338</v>
      </c>
      <c r="O143" s="92">
        <f ca="1">_xlfn.XLOOKUP(ProxyDD[[#This Row],[Chave]],SMS!B:B,SMS!J:J)</f>
        <v>6</v>
      </c>
      <c r="P143" s="128">
        <f t="shared" ref="P143:P145" ca="1" si="95">N143/O143</f>
        <v>0.13718023255814224</v>
      </c>
    </row>
    <row r="144" spans="9:16">
      <c r="I144" s="89">
        <v>45769</v>
      </c>
      <c r="J144" s="89" t="s">
        <v>36</v>
      </c>
      <c r="K144" s="89" t="str">
        <f t="shared" si="94"/>
        <v>BV45769</v>
      </c>
      <c r="L144" s="127">
        <v>23.25</v>
      </c>
      <c r="M144" s="127">
        <f>L143-ProxyDD[[#This Row],[GB atual]]</f>
        <v>3.9999999999999147E-2</v>
      </c>
      <c r="N144" s="15">
        <f>ProxyDD[[#This Row],[Gasto total]]*$F$6</f>
        <v>0.25325581395348296</v>
      </c>
      <c r="O144" s="92">
        <f ca="1">_xlfn.XLOOKUP(ProxyDD[[#This Row],[Chave]],SMS!B:B,SMS!J:J)</f>
        <v>1</v>
      </c>
      <c r="P144" s="128">
        <f t="shared" ca="1" si="95"/>
        <v>0.25325581395348296</v>
      </c>
    </row>
    <row r="145" spans="9:16">
      <c r="I145" s="89">
        <v>45769</v>
      </c>
      <c r="J145" s="89" t="s">
        <v>108</v>
      </c>
      <c r="K145" s="89" t="str">
        <f t="shared" si="94"/>
        <v>GO45769</v>
      </c>
      <c r="L145" s="127">
        <v>23.21</v>
      </c>
      <c r="M145" s="127">
        <f>L144-ProxyDD[[#This Row],[GB atual]]</f>
        <v>3.9999999999999147E-2</v>
      </c>
      <c r="N145" s="15">
        <f>ProxyDD[[#This Row],[Gasto total]]*$F$6</f>
        <v>0.25325581395348296</v>
      </c>
      <c r="O145" s="92">
        <f ca="1">_xlfn.XLOOKUP(ProxyDD[[#This Row],[Chave]],SMS!B:B,SMS!J:J)</f>
        <v>1</v>
      </c>
      <c r="P145" s="128">
        <f t="shared" ca="1" si="95"/>
        <v>0.25325581395348296</v>
      </c>
    </row>
    <row r="146" spans="9:16">
      <c r="I146" s="89">
        <v>45770</v>
      </c>
      <c r="J146" s="89" t="s">
        <v>108</v>
      </c>
      <c r="K146" s="89" t="str">
        <f>_xlfn.CONCAT(J146,I146)</f>
        <v>GO45770</v>
      </c>
      <c r="L146" s="127">
        <v>23.18</v>
      </c>
      <c r="M146" s="127">
        <f>L145-ProxyDD[[#This Row],[GB atual]]</f>
        <v>3.0000000000001137E-2</v>
      </c>
      <c r="N146" s="15">
        <f>ProxyDD[[#This Row],[Gasto total]]*$F$6</f>
        <v>0.18994186046512349</v>
      </c>
      <c r="O146" s="92">
        <f ca="1">_xlfn.XLOOKUP(ProxyDD[[#This Row],[Chave]],SMS!B:B,SMS!J:J)</f>
        <v>1</v>
      </c>
      <c r="P146" s="128">
        <f t="shared" ref="P146" ca="1" si="96">N146/O146</f>
        <v>0.18994186046512349</v>
      </c>
    </row>
    <row r="147" spans="9:16">
      <c r="I147" s="89">
        <v>45770</v>
      </c>
      <c r="J147" s="101" t="s">
        <v>113</v>
      </c>
      <c r="K147" s="89" t="str">
        <f>_xlfn.CONCAT(J147,I147)</f>
        <v>MEI45770</v>
      </c>
      <c r="L147" s="127">
        <v>22.8</v>
      </c>
      <c r="M147" s="127">
        <f>L146-ProxyDD[[#This Row],[GB atual]]</f>
        <v>0.37999999999999901</v>
      </c>
      <c r="N147" s="15">
        <f>ProxyDD[[#This Row],[Gasto total]]*$F$6</f>
        <v>2.4059302325581333</v>
      </c>
      <c r="O147" s="92">
        <f ca="1">_xlfn.XLOOKUP(ProxyDD[[#This Row],[Chave]],SMS!B:B,SMS!J:J)</f>
        <v>14</v>
      </c>
      <c r="P147" s="128">
        <f t="shared" ref="P147" ca="1" si="97">N147/O147</f>
        <v>0.1718521594684381</v>
      </c>
    </row>
    <row r="148" spans="9:16">
      <c r="I148" s="89">
        <v>45771</v>
      </c>
      <c r="J148" s="101" t="s">
        <v>113</v>
      </c>
      <c r="K148" s="89" t="str">
        <f>_xlfn.CONCAT(J148,I148)</f>
        <v>MEI45771</v>
      </c>
      <c r="L148" s="127">
        <v>22.57</v>
      </c>
      <c r="M148" s="127">
        <f>L147-ProxyDD[[#This Row],[GB atual]]</f>
        <v>0.23000000000000043</v>
      </c>
      <c r="N148" s="15">
        <f>ProxyDD[[#This Row],[Gasto total]]*$F$6</f>
        <v>1.4562209302325608</v>
      </c>
      <c r="O148" s="92">
        <f ca="1">_xlfn.XLOOKUP(ProxyDD[[#This Row],[Chave]],SMS!B:B,SMS!J:J)</f>
        <v>7</v>
      </c>
      <c r="P148" s="128">
        <f t="shared" ref="P148" ca="1" si="98">N148/O148</f>
        <v>0.20803156146179441</v>
      </c>
    </row>
    <row r="149" spans="9:16">
      <c r="I149" s="89">
        <v>45772</v>
      </c>
      <c r="J149" s="101" t="s">
        <v>113</v>
      </c>
      <c r="K149" s="89" t="str">
        <f>_xlfn.CONCAT(J149,I149)</f>
        <v>MEI45772</v>
      </c>
      <c r="L149" s="127">
        <v>22.46</v>
      </c>
      <c r="M149" s="127">
        <f>L148-ProxyDD[[#This Row],[GB atual]]</f>
        <v>0.10999999999999943</v>
      </c>
      <c r="N149" s="15">
        <f>ProxyDD[[#This Row],[Gasto total]]*$F$6</f>
        <v>0.69645348837208942</v>
      </c>
      <c r="O149" s="92">
        <f ca="1">_xlfn.XLOOKUP(ProxyDD[[#This Row],[Chave]],SMS!B:B,SMS!J:J)</f>
        <v>4</v>
      </c>
      <c r="P149" s="128">
        <f t="shared" ref="P149" ca="1" si="99">N149/O149</f>
        <v>0.17411337209302236</v>
      </c>
    </row>
    <row r="150" spans="9:16">
      <c r="I150" s="89">
        <v>45775</v>
      </c>
      <c r="J150" s="89" t="s">
        <v>108</v>
      </c>
      <c r="K150" s="89" t="str">
        <f t="shared" ref="K150:K151" si="100">_xlfn.CONCAT(J150,I150)</f>
        <v>GO45775</v>
      </c>
      <c r="L150" s="127">
        <v>22.43</v>
      </c>
      <c r="M150" s="127">
        <f>L149-ProxyDD[[#This Row],[GB atual]]</f>
        <v>3.0000000000001137E-2</v>
      </c>
      <c r="N150" s="15">
        <f>ProxyDD[[#This Row],[Gasto total]]*$F$6</f>
        <v>0.18994186046512349</v>
      </c>
      <c r="O150" s="92">
        <f ca="1">_xlfn.XLOOKUP(ProxyDD[[#This Row],[Chave]],SMS!B:B,SMS!J:J)</f>
        <v>1</v>
      </c>
      <c r="P150" s="128">
        <f t="shared" ref="P150:P151" ca="1" si="101">N150/O150</f>
        <v>0.18994186046512349</v>
      </c>
    </row>
    <row r="151" spans="9:16">
      <c r="I151" s="89">
        <v>45775</v>
      </c>
      <c r="J151" s="89" t="s">
        <v>113</v>
      </c>
      <c r="K151" s="89" t="str">
        <f t="shared" si="100"/>
        <v>MEI45775</v>
      </c>
      <c r="L151" s="127">
        <v>21.76</v>
      </c>
      <c r="M151" s="127">
        <f>L150-ProxyDD[[#This Row],[GB atual]]</f>
        <v>0.66999999999999815</v>
      </c>
      <c r="N151" s="15">
        <f>ProxyDD[[#This Row],[Gasto total]]*$F$6</f>
        <v>4.242034883720919</v>
      </c>
      <c r="O151" s="92">
        <f ca="1">_xlfn.XLOOKUP(ProxyDD[[#This Row],[Chave]],SMS!B:B,SMS!J:J)</f>
        <v>14</v>
      </c>
      <c r="P151" s="128">
        <f t="shared" ca="1" si="101"/>
        <v>0.30300249169435134</v>
      </c>
    </row>
    <row r="152" spans="9:16">
      <c r="I152" s="89">
        <v>45776</v>
      </c>
      <c r="J152" s="101" t="s">
        <v>113</v>
      </c>
      <c r="K152" s="89" t="str">
        <f>_xlfn.CONCAT(J152,I152)</f>
        <v>MEI45776</v>
      </c>
      <c r="L152" s="127">
        <v>21.44</v>
      </c>
      <c r="M152" s="127">
        <f>L151-ProxyDD[[#This Row],[GB atual]]</f>
        <v>0.32000000000000028</v>
      </c>
      <c r="N152" s="15">
        <f>ProxyDD[[#This Row],[Gasto total]]*$F$6</f>
        <v>2.0260465116279089</v>
      </c>
      <c r="O152" s="92">
        <f ca="1">_xlfn.XLOOKUP(ProxyDD[[#This Row],[Chave]],SMS!B:B,SMS!J:J)</f>
        <v>9</v>
      </c>
      <c r="P152" s="128">
        <f t="shared" ref="P152" ca="1" si="102">N152/O152</f>
        <v>0.22511627906976767</v>
      </c>
    </row>
    <row r="153" spans="9:16">
      <c r="I153" s="89">
        <v>45777</v>
      </c>
      <c r="J153" s="101" t="s">
        <v>113</v>
      </c>
      <c r="K153" s="89" t="str">
        <f>_xlfn.CONCAT(J153,I153)</f>
        <v>MEI45777</v>
      </c>
      <c r="L153" s="127">
        <v>21.1</v>
      </c>
      <c r="M153" s="127">
        <f>L152-ProxyDD[[#This Row],[GB atual]]</f>
        <v>0.33999999999999986</v>
      </c>
      <c r="N153" s="15">
        <f>ProxyDD[[#This Row],[Gasto total]]*$F$6</f>
        <v>2.1526744186046503</v>
      </c>
      <c r="O153" s="92">
        <f ca="1">_xlfn.XLOOKUP(ProxyDD[[#This Row],[Chave]],SMS!B:B,SMS!J:J)</f>
        <v>10</v>
      </c>
      <c r="P153" s="128">
        <f t="shared" ref="P153" ca="1" si="103">N153/O153</f>
        <v>0.21526744186046504</v>
      </c>
    </row>
    <row r="154" spans="9:16">
      <c r="I154" s="89">
        <v>45779</v>
      </c>
      <c r="J154" s="89" t="s">
        <v>113</v>
      </c>
      <c r="K154" s="89" t="str">
        <f t="shared" ref="K154:K155" si="104">_xlfn.CONCAT(J154,I154)</f>
        <v>MEI45779</v>
      </c>
      <c r="L154" s="127">
        <v>20.82</v>
      </c>
      <c r="M154" s="127">
        <f>L153-ProxyDD[[#This Row],[GB atual]]</f>
        <v>0.28000000000000114</v>
      </c>
      <c r="N154" s="15">
        <f>ProxyDD[[#This Row],[Gasto total]]*$F$6</f>
        <v>1.7727906976744259</v>
      </c>
      <c r="O154" s="92">
        <f ca="1">_xlfn.XLOOKUP(ProxyDD[[#This Row],[Chave]],SMS!B:B,SMS!J:J)</f>
        <v>14</v>
      </c>
      <c r="P154" s="128">
        <f t="shared" ref="P154" ca="1" si="105">N154/O154</f>
        <v>0.1266279069767447</v>
      </c>
    </row>
    <row r="155" spans="9:16">
      <c r="I155" s="89">
        <v>45779</v>
      </c>
      <c r="J155" s="89" t="s">
        <v>108</v>
      </c>
      <c r="K155" s="89" t="str">
        <f t="shared" si="104"/>
        <v>GO45779</v>
      </c>
      <c r="L155" s="127">
        <v>20.8</v>
      </c>
      <c r="M155" s="127">
        <f>L154-ProxyDD[[#This Row],[GB atual]]</f>
        <v>1.9999999999999574E-2</v>
      </c>
      <c r="N155" s="15">
        <f>ProxyDD[[#This Row],[Gasto total]]*$F$6</f>
        <v>0.12662790697674148</v>
      </c>
      <c r="O155" s="92">
        <f ca="1">_xlfn.XLOOKUP(ProxyDD[[#This Row],[Chave]],SMS!B:B,SMS!J:J)</f>
        <v>1</v>
      </c>
      <c r="P155" s="128">
        <f ca="1">IFERROR(N155/O155,0)</f>
        <v>0.12662790697674148</v>
      </c>
    </row>
    <row r="156" spans="9:16">
      <c r="I156" s="89">
        <v>45782</v>
      </c>
      <c r="J156" s="101" t="s">
        <v>113</v>
      </c>
      <c r="K156" s="89" t="str">
        <f>_xlfn.CONCAT(J156,I156)</f>
        <v>MEI45782</v>
      </c>
      <c r="L156" s="127">
        <v>20.43</v>
      </c>
      <c r="M156" s="127">
        <f>L155-ProxyDD[[#This Row],[GB atual]]</f>
        <v>0.37000000000000099</v>
      </c>
      <c r="N156" s="15">
        <f>ProxyDD[[#This Row],[Gasto total]]*$F$6</f>
        <v>2.342616279069774</v>
      </c>
      <c r="O156" s="92">
        <f ca="1">_xlfn.XLOOKUP(ProxyDD[[#This Row],[Chave]],SMS!B:B,SMS!J:J)</f>
        <v>11</v>
      </c>
      <c r="P156" s="128">
        <f ca="1">IFERROR(N156/O156,0)</f>
        <v>0.21296511627907036</v>
      </c>
    </row>
    <row r="157" spans="9:16">
      <c r="I157" s="89">
        <v>45783</v>
      </c>
      <c r="J157" s="89" t="s">
        <v>113</v>
      </c>
      <c r="K157" s="89" t="str">
        <f t="shared" ref="K157:K158" si="106">_xlfn.CONCAT(J157,I157)</f>
        <v>MEI45783</v>
      </c>
      <c r="L157" s="127">
        <f>20.43-0.177</f>
        <v>20.253</v>
      </c>
      <c r="M157" s="127">
        <f>L156-ProxyDD[[#This Row],[GB atual]]</f>
        <v>0.1769999999999996</v>
      </c>
      <c r="N157" s="15">
        <f>ProxyDD[[#This Row],[Gasto total]]*$F$6</f>
        <v>1.1206569767441836</v>
      </c>
      <c r="O157" s="92">
        <f ca="1">_xlfn.XLOOKUP(ProxyDD[[#This Row],[Chave]],SMS!B:B,SMS!J:J)</f>
        <v>7</v>
      </c>
      <c r="P157" s="128">
        <f ca="1">IFERROR(N157/O157,0)</f>
        <v>0.16009385382059765</v>
      </c>
    </row>
    <row r="158" spans="9:16">
      <c r="I158" s="89">
        <v>45784</v>
      </c>
      <c r="J158" s="89" t="s">
        <v>113</v>
      </c>
      <c r="K158" s="89" t="str">
        <f t="shared" si="106"/>
        <v>MEI45784</v>
      </c>
      <c r="L158" s="127">
        <v>19.95</v>
      </c>
      <c r="M158" s="127">
        <f>L157-ProxyDD[[#This Row],[GB atual]]</f>
        <v>0.30300000000000082</v>
      </c>
      <c r="N158" s="15">
        <f>ProxyDD[[#This Row],[Gasto total]]*$F$6</f>
        <v>1.9184127906976798</v>
      </c>
      <c r="O158" s="92">
        <f ca="1">_xlfn.XLOOKUP(ProxyDD[[#This Row],[Chave]],SMS!B:B,SMS!J:J)</f>
        <v>12</v>
      </c>
      <c r="P158" s="128">
        <f ca="1">IFERROR(N158/O158,0)</f>
        <v>0.15986773255813999</v>
      </c>
    </row>
    <row r="159" spans="9:16">
      <c r="I159" s="89">
        <v>45785</v>
      </c>
      <c r="J159" s="89" t="s">
        <v>113</v>
      </c>
      <c r="K159" s="89" t="str">
        <f>_xlfn.CONCAT(J159,I159)</f>
        <v>MEI45785</v>
      </c>
      <c r="L159" s="127">
        <v>19.64</v>
      </c>
      <c r="M159" s="127">
        <f>L158-ProxyDD[[#This Row],[GB atual]]</f>
        <v>0.30999999999999872</v>
      </c>
      <c r="N159" s="15">
        <f>ProxyDD[[#This Row],[Gasto total]]*$F$6</f>
        <v>1.9627325581395267</v>
      </c>
      <c r="O159" s="92">
        <f ca="1">_xlfn.XLOOKUP(ProxyDD[[#This Row],[Chave]],SMS!B:B,SMS!J:J)</f>
        <v>9</v>
      </c>
      <c r="P159" s="128">
        <f ca="1">IFERROR(N159/O159,0)</f>
        <v>0.2180813953488363</v>
      </c>
    </row>
    <row r="160" spans="9:16">
      <c r="I160" s="89">
        <v>45789</v>
      </c>
      <c r="J160" s="89" t="s">
        <v>113</v>
      </c>
      <c r="K160" s="89" t="str">
        <f t="shared" ref="K160:K161" si="107">_xlfn.CONCAT(J160,I160)</f>
        <v>MEI45789</v>
      </c>
      <c r="L160" s="127">
        <v>19.45</v>
      </c>
      <c r="M160" s="127">
        <f>L159-ProxyDD[[#This Row],[GB atual]]</f>
        <v>0.19000000000000128</v>
      </c>
      <c r="N160" s="15">
        <f>ProxyDD[[#This Row],[Gasto total]]*$F$6</f>
        <v>1.202965116279078</v>
      </c>
      <c r="O160" s="92">
        <f ca="1">_xlfn.XLOOKUP(ProxyDD[[#This Row],[Chave]],SMS!B:B,SMS!J:J)</f>
        <v>1</v>
      </c>
      <c r="P160" s="128">
        <f t="shared" ref="P160:P161" ca="1" si="108">IFERROR(N160/O160,0)</f>
        <v>1.202965116279078</v>
      </c>
    </row>
    <row r="161" spans="9:16">
      <c r="I161" s="89">
        <v>45790</v>
      </c>
      <c r="J161" s="89" t="s">
        <v>113</v>
      </c>
      <c r="K161" s="89" t="str">
        <f t="shared" si="107"/>
        <v>MEI45790</v>
      </c>
      <c r="L161" s="127">
        <v>19.260000000000002</v>
      </c>
      <c r="M161" s="127">
        <f>L160-ProxyDD[[#This Row],[GB atual]]</f>
        <v>0.18999999999999773</v>
      </c>
      <c r="N161" s="15">
        <f>ProxyDD[[#This Row],[Gasto total]]*$F$6</f>
        <v>1.2029651162790553</v>
      </c>
      <c r="O161" s="92">
        <f ca="1">_xlfn.XLOOKUP(ProxyDD[[#This Row],[Chave]],SMS!B:B,SMS!J:J)</f>
        <v>2</v>
      </c>
      <c r="P161" s="128">
        <f t="shared" ca="1" si="108"/>
        <v>0.60148255813952767</v>
      </c>
    </row>
    <row r="162" spans="9:16">
      <c r="I162" s="89">
        <v>45791</v>
      </c>
      <c r="J162" s="89" t="s">
        <v>113</v>
      </c>
      <c r="K162" s="89" t="str">
        <f t="shared" ref="K162:K163" si="109">_xlfn.CONCAT(J162,I162)</f>
        <v>MEI45791</v>
      </c>
      <c r="L162" s="127">
        <v>19.033000000000001</v>
      </c>
      <c r="M162" s="127">
        <f>L161-ProxyDD[[#This Row],[GB atual]]</f>
        <v>0.22700000000000031</v>
      </c>
      <c r="N162" s="15">
        <f>ProxyDD[[#This Row],[Gasto total]]*$F$6</f>
        <v>1.4372267441860485</v>
      </c>
      <c r="O162" s="92">
        <f ca="1">_xlfn.XLOOKUP(ProxyDD[[#This Row],[Chave]],SMS!B:B,SMS!J:J)</f>
        <v>4</v>
      </c>
      <c r="P162" s="128">
        <f t="shared" ref="P162:P163" ca="1" si="110">IFERROR(N162/O162,0)</f>
        <v>0.35930668604651211</v>
      </c>
    </row>
    <row r="163" spans="9:16">
      <c r="I163" s="89">
        <v>45791</v>
      </c>
      <c r="J163" s="89" t="s">
        <v>108</v>
      </c>
      <c r="K163" s="89" t="str">
        <f t="shared" si="109"/>
        <v>GO45791</v>
      </c>
      <c r="L163" s="127">
        <v>19.033000000000001</v>
      </c>
      <c r="M163" s="127">
        <f>L162-ProxyDD[[#This Row],[GB atual]]</f>
        <v>0</v>
      </c>
      <c r="N163" s="15">
        <f>ProxyDD[[#This Row],[Gasto total]]*$F$6</f>
        <v>0</v>
      </c>
      <c r="O163" s="92">
        <f ca="1">_xlfn.XLOOKUP(ProxyDD[[#This Row],[Chave]],SMS!B:B,SMS!J:J)</f>
        <v>0</v>
      </c>
      <c r="P163" s="128">
        <f t="shared" ca="1" si="110"/>
        <v>0</v>
      </c>
    </row>
    <row r="164" spans="9:16">
      <c r="I164" s="89">
        <v>45792</v>
      </c>
      <c r="J164" s="101" t="s">
        <v>113</v>
      </c>
      <c r="K164" s="89" t="str">
        <f>_xlfn.CONCAT(J164,I164)</f>
        <v>MEI45792</v>
      </c>
      <c r="L164" s="127">
        <v>1.89</v>
      </c>
      <c r="M164" s="127">
        <f>L112-ProxyDD[[#This Row],[GB atual]]</f>
        <v>3.0000000000000027E-2</v>
      </c>
      <c r="N164" s="15">
        <f>ProxyDD[[#This Row],[Gasto total]]*$F$6</f>
        <v>0.18994186046511646</v>
      </c>
      <c r="O164" s="92">
        <f ca="1">_xlfn.XLOOKUP(ProxyDD[[#This Row],[Chave]],SMS!B:B,SMS!J:J)</f>
        <v>1</v>
      </c>
      <c r="P164" s="128">
        <f t="shared" ref="P164" ca="1" si="111">IFERROR(N164/O164,0)</f>
        <v>0.18994186046511646</v>
      </c>
    </row>
    <row r="165" spans="9:16">
      <c r="I165" s="89">
        <v>45793</v>
      </c>
      <c r="J165" s="89" t="s">
        <v>113</v>
      </c>
      <c r="K165" s="89" t="str">
        <f t="shared" ref="K165:K166" si="112">_xlfn.CONCAT(J165,I165)</f>
        <v>MEI45793</v>
      </c>
      <c r="L165" s="127">
        <v>1.85</v>
      </c>
      <c r="M165" s="127">
        <f>L164-ProxyDD[[#This Row],[GB atual]]</f>
        <v>3.9999999999999813E-2</v>
      </c>
      <c r="N165" s="15">
        <f>ProxyDD[[#This Row],[Gasto total]]*$F$6</f>
        <v>0.25325581395348717</v>
      </c>
      <c r="O165" s="92">
        <f ca="1">_xlfn.XLOOKUP(ProxyDD[[#This Row],[Chave]],SMS!B:B,SMS!J:J)</f>
        <v>2</v>
      </c>
      <c r="P165" s="128">
        <f t="shared" ref="P165:P166" ca="1" si="113">IFERROR(N165/O165,0)</f>
        <v>0.12662790697674359</v>
      </c>
    </row>
    <row r="166" spans="9:16">
      <c r="I166" s="89">
        <v>45794</v>
      </c>
      <c r="J166" s="89" t="s">
        <v>113</v>
      </c>
      <c r="K166" s="89" t="str">
        <f t="shared" si="112"/>
        <v>MEI45794</v>
      </c>
      <c r="L166" s="127">
        <v>1.83</v>
      </c>
      <c r="M166" s="127">
        <f>L165-ProxyDD[[#This Row],[GB atual]]</f>
        <v>2.0000000000000018E-2</v>
      </c>
      <c r="N166" s="15">
        <f>ProxyDD[[#This Row],[Gasto total]]*$F$6</f>
        <v>0.12662790697674431</v>
      </c>
      <c r="O166" s="92">
        <f ca="1">_xlfn.XLOOKUP(ProxyDD[[#This Row],[Chave]],SMS!B:B,SMS!J:J)</f>
        <v>1</v>
      </c>
      <c r="P166" s="128">
        <f t="shared" ca="1" si="113"/>
        <v>0.12662790697674431</v>
      </c>
    </row>
    <row r="167" spans="9:16">
      <c r="I167" s="89">
        <v>45796</v>
      </c>
      <c r="J167" s="89" t="s">
        <v>113</v>
      </c>
      <c r="K167" s="89" t="str">
        <f t="shared" ref="K167:K172" si="114">_xlfn.CONCAT(J167,I167)</f>
        <v>MEI45796</v>
      </c>
      <c r="L167" s="127">
        <v>1.8</v>
      </c>
      <c r="M167" s="127">
        <f>L166-ProxyDD[[#This Row],[GB atual]]</f>
        <v>3.0000000000000027E-2</v>
      </c>
      <c r="N167" s="15">
        <f>ProxyDD[[#This Row],[Gasto total]]*$F$6</f>
        <v>0.18994186046511646</v>
      </c>
      <c r="O167" s="92">
        <f ca="1">_xlfn.XLOOKUP(ProxyDD[[#This Row],[Chave]],SMS!B:B,SMS!J:J)</f>
        <v>2</v>
      </c>
      <c r="P167" s="128">
        <f t="shared" ref="P167" ca="1" si="115">IFERROR(N167/O167,0)</f>
        <v>9.4970930232558232E-2</v>
      </c>
    </row>
    <row r="168" spans="9:16">
      <c r="I168" s="89">
        <v>45797</v>
      </c>
      <c r="J168" s="89" t="s">
        <v>113</v>
      </c>
      <c r="K168" s="89" t="str">
        <f t="shared" si="114"/>
        <v>MEI45797</v>
      </c>
      <c r="L168" s="127">
        <v>1.65</v>
      </c>
      <c r="M168" s="127">
        <f>L167-ProxyDD[[#This Row],[GB atual]]</f>
        <v>0.15000000000000013</v>
      </c>
      <c r="N168" s="15">
        <f>ProxyDD[[#This Row],[Gasto total]]*$F$6</f>
        <v>0.94970930232558226</v>
      </c>
      <c r="O168" s="92">
        <f ca="1">_xlfn.XLOOKUP(ProxyDD[[#This Row],[Chave]],SMS!B:B,SMS!J:J)</f>
        <v>2</v>
      </c>
      <c r="P168" s="128">
        <f t="shared" ref="P168" ca="1" si="116">IFERROR(N168/O168,0)</f>
        <v>0.47485465116279113</v>
      </c>
    </row>
    <row r="169" spans="9:16">
      <c r="I169" s="89">
        <v>45798</v>
      </c>
      <c r="J169" s="89" t="s">
        <v>113</v>
      </c>
      <c r="K169" s="89" t="str">
        <f t="shared" si="114"/>
        <v>MEI45798</v>
      </c>
      <c r="L169" s="127">
        <v>19.033000000000001</v>
      </c>
      <c r="M169" s="127">
        <f>L163-ProxyDD[[#This Row],[GB atual]]</f>
        <v>0</v>
      </c>
      <c r="N169" s="15">
        <f>ProxyDD[[#This Row],[Gasto total]]*$F$6</f>
        <v>0</v>
      </c>
      <c r="O169" s="92">
        <f ca="1">_xlfn.XLOOKUP(ProxyDD[[#This Row],[Chave]],SMS!B:B,SMS!J:J)</f>
        <v>0</v>
      </c>
      <c r="P169" s="128">
        <f t="shared" ref="P169" ca="1" si="117">IFERROR(N169/O169,0)</f>
        <v>0</v>
      </c>
    </row>
    <row r="170" spans="9:16">
      <c r="I170" s="89">
        <v>45803</v>
      </c>
      <c r="J170" s="89" t="s">
        <v>113</v>
      </c>
      <c r="K170" s="89" t="str">
        <f t="shared" si="114"/>
        <v>MEI45803</v>
      </c>
      <c r="L170" s="127">
        <v>18.484999999999999</v>
      </c>
      <c r="M170" s="127">
        <f>L169-ProxyDD[[#This Row],[GB atual]]</f>
        <v>0.54800000000000182</v>
      </c>
      <c r="N170" s="15">
        <f>ProxyDD[[#This Row],[Gasto total]]*$F$6</f>
        <v>3.4696046511628023</v>
      </c>
      <c r="O170" s="92">
        <f ca="1">_xlfn.XLOOKUP(ProxyDD[[#This Row],[Chave]],SMS!B:B,SMS!J:J)</f>
        <v>8</v>
      </c>
      <c r="P170" s="128">
        <f t="shared" ref="P170" ca="1" si="118">IFERROR(N170/O170,0)</f>
        <v>0.43370058139535028</v>
      </c>
    </row>
    <row r="171" spans="9:16">
      <c r="I171" s="89">
        <v>45806</v>
      </c>
      <c r="J171" s="89" t="s">
        <v>113</v>
      </c>
      <c r="K171" s="89" t="str">
        <f t="shared" si="114"/>
        <v>MEI45806</v>
      </c>
      <c r="L171" s="127">
        <v>18.073999999999998</v>
      </c>
      <c r="M171" s="127">
        <f>L170-ProxyDD[[#This Row],[GB atual]]</f>
        <v>0.41100000000000136</v>
      </c>
      <c r="N171" s="15">
        <f>ProxyDD[[#This Row],[Gasto total]]*$F$6</f>
        <v>2.6022034883721017</v>
      </c>
      <c r="O171" s="92">
        <f ca="1">_xlfn.XLOOKUP(ProxyDD[[#This Row],[Chave]],SMS!B:B,SMS!J:J)</f>
        <v>6</v>
      </c>
      <c r="P171" s="128">
        <f t="shared" ref="P171" ca="1" si="119">IFERROR(N171/O171,0)</f>
        <v>0.43370058139535028</v>
      </c>
    </row>
    <row r="172" spans="9:16">
      <c r="I172" s="89">
        <v>45806</v>
      </c>
      <c r="J172" s="101" t="s">
        <v>108</v>
      </c>
      <c r="K172" s="89" t="str">
        <f t="shared" si="114"/>
        <v>GO45806</v>
      </c>
      <c r="L172" s="127">
        <v>17.868499999999997</v>
      </c>
      <c r="M172" s="127">
        <f>L171-ProxyDD[[#This Row],[GB atual]]</f>
        <v>0.20550000000000068</v>
      </c>
      <c r="N172" s="15">
        <f>ProxyDD[[#This Row],[Gasto total]]*$F$6</f>
        <v>1.3011017441860508</v>
      </c>
      <c r="O172" s="92">
        <f ca="1">_xlfn.XLOOKUP(ProxyDD[[#This Row],[Chave]],SMS!B:B,SMS!J:J)</f>
        <v>3</v>
      </c>
      <c r="P172" s="128">
        <f t="shared" ref="P172" ca="1" si="120">IFERROR(N172/O172,0)</f>
        <v>0.43370058139535028</v>
      </c>
    </row>
    <row r="173" spans="9:16">
      <c r="I173" s="89">
        <v>45807</v>
      </c>
      <c r="J173" s="101" t="s">
        <v>113</v>
      </c>
      <c r="K173" s="89" t="str">
        <f>_xlfn.CONCAT(J173,I173)</f>
        <v>MEI45807</v>
      </c>
      <c r="L173" s="127">
        <v>17.525999999999996</v>
      </c>
      <c r="M173" s="127">
        <f>L172-ProxyDD[[#This Row],[GB atual]]</f>
        <v>0.34250000000000114</v>
      </c>
      <c r="N173" s="15">
        <f>ProxyDD[[#This Row],[Gasto total]]*$F$6</f>
        <v>2.1685029069767516</v>
      </c>
      <c r="O173" s="92">
        <f ca="1">_xlfn.XLOOKUP(ProxyDD[[#This Row],[Chave]],SMS!B:B,SMS!J:J)</f>
        <v>5</v>
      </c>
      <c r="P173" s="128">
        <f t="shared" ref="P173" ca="1" si="121">IFERROR(N173/O173,0)</f>
        <v>0.43370058139535034</v>
      </c>
    </row>
    <row r="174" spans="9:16">
      <c r="I174" s="89">
        <v>45810</v>
      </c>
      <c r="J174" s="101" t="s">
        <v>108</v>
      </c>
      <c r="K174" s="89" t="str">
        <f>_xlfn.CONCAT(J174,I174)</f>
        <v>GO45810</v>
      </c>
      <c r="L174" s="127">
        <v>17.457499999999996</v>
      </c>
      <c r="M174" s="127">
        <f>L173-ProxyDD[[#This Row],[GB atual]]</f>
        <v>6.8500000000000227E-2</v>
      </c>
      <c r="N174" s="15">
        <f>ProxyDD[[#This Row],[Gasto total]]*$F$6</f>
        <v>0.43370058139535028</v>
      </c>
      <c r="O174" s="92">
        <f ca="1">_xlfn.XLOOKUP(ProxyDD[[#This Row],[Chave]],SMS!B:B,SMS!J:J)</f>
        <v>1</v>
      </c>
      <c r="P174" s="128">
        <f t="shared" ref="P174" ca="1" si="122">IFERROR(N174/O174,0)</f>
        <v>0.43370058139535028</v>
      </c>
    </row>
    <row r="175" spans="9:16">
      <c r="I175" s="89">
        <v>45811</v>
      </c>
      <c r="J175" s="89" t="s">
        <v>36</v>
      </c>
      <c r="K175" s="89" t="str">
        <f t="shared" ref="K175:K183" si="123">_xlfn.CONCAT(J175,I175)</f>
        <v>BV45811</v>
      </c>
      <c r="L175" s="127">
        <v>17.320499999999996</v>
      </c>
      <c r="M175" s="127">
        <f>L174-ProxyDD[[#This Row],[GB atual]]</f>
        <v>0.13700000000000045</v>
      </c>
      <c r="N175" s="15">
        <f>ProxyDD[[#This Row],[Gasto total]]*$F$6</f>
        <v>0.86740116279070056</v>
      </c>
      <c r="O175" s="92">
        <f ca="1">_xlfn.XLOOKUP(ProxyDD[[#This Row],[Chave]],SMS!B:B,SMS!J:J)</f>
        <v>2</v>
      </c>
      <c r="P175" s="128">
        <f t="shared" ref="P175:P183" ca="1" si="124">IFERROR(N175/O175,0)</f>
        <v>0.43370058139535028</v>
      </c>
    </row>
    <row r="176" spans="9:16">
      <c r="I176" s="89">
        <v>45812</v>
      </c>
      <c r="J176" s="89" t="s">
        <v>36</v>
      </c>
      <c r="K176" s="89" t="str">
        <f t="shared" si="123"/>
        <v>BV45812</v>
      </c>
      <c r="L176" s="127">
        <v>17.251999999999995</v>
      </c>
      <c r="M176" s="127">
        <f>L175-ProxyDD[[#This Row],[GB atual]]</f>
        <v>6.8500000000000227E-2</v>
      </c>
      <c r="N176" s="15">
        <f>ProxyDD[[#This Row],[Gasto total]]*$F$6</f>
        <v>0.43370058139535028</v>
      </c>
      <c r="O176" s="92">
        <f ca="1">_xlfn.XLOOKUP(ProxyDD[[#This Row],[Chave]],SMS!B:B,SMS!J:J)</f>
        <v>1</v>
      </c>
      <c r="P176" s="128">
        <f t="shared" ca="1" si="124"/>
        <v>0.43370058139535028</v>
      </c>
    </row>
    <row r="177" spans="9:16">
      <c r="I177" s="89">
        <v>45813</v>
      </c>
      <c r="J177" s="89" t="s">
        <v>108</v>
      </c>
      <c r="K177" s="89" t="str">
        <f t="shared" si="123"/>
        <v>GO45813</v>
      </c>
      <c r="L177" s="127">
        <v>17.183499999999995</v>
      </c>
      <c r="M177" s="127">
        <f>L176-ProxyDD[[#This Row],[GB atual]]</f>
        <v>6.8500000000000227E-2</v>
      </c>
      <c r="N177" s="15">
        <f>ProxyDD[[#This Row],[Gasto total]]*$F$6</f>
        <v>0.43370058139535028</v>
      </c>
      <c r="O177" s="92">
        <f ca="1">_xlfn.XLOOKUP(ProxyDD[[#This Row],[Chave]],SMS!B:B,SMS!J:J)</f>
        <v>1</v>
      </c>
      <c r="P177" s="128">
        <f t="shared" ca="1" si="124"/>
        <v>0.43370058139535028</v>
      </c>
    </row>
    <row r="178" spans="9:16">
      <c r="I178" s="89">
        <v>45813</v>
      </c>
      <c r="J178" s="89" t="s">
        <v>36</v>
      </c>
      <c r="K178" s="89" t="str">
        <f t="shared" si="123"/>
        <v>BV45813</v>
      </c>
      <c r="L178" s="127">
        <v>17.046499999999995</v>
      </c>
      <c r="M178" s="127">
        <f>L177-ProxyDD[[#This Row],[GB atual]]</f>
        <v>0.13700000000000045</v>
      </c>
      <c r="N178" s="15">
        <f>ProxyDD[[#This Row],[Gasto total]]*$F$6</f>
        <v>0.86740116279070056</v>
      </c>
      <c r="O178" s="92">
        <f ca="1">_xlfn.XLOOKUP(ProxyDD[[#This Row],[Chave]],SMS!B:B,SMS!J:J)</f>
        <v>2</v>
      </c>
      <c r="P178" s="128">
        <f t="shared" ca="1" si="124"/>
        <v>0.43370058139535028</v>
      </c>
    </row>
    <row r="179" spans="9:16">
      <c r="I179" s="89">
        <v>45817</v>
      </c>
      <c r="J179" s="89" t="s">
        <v>36</v>
      </c>
      <c r="K179" s="89" t="str">
        <f t="shared" si="123"/>
        <v>BV45817</v>
      </c>
      <c r="L179" s="127">
        <v>16.840999999999994</v>
      </c>
      <c r="M179" s="127">
        <f>L178-ProxyDD[[#This Row],[GB atual]]</f>
        <v>0.20550000000000068</v>
      </c>
      <c r="N179" s="15">
        <f>ProxyDD[[#This Row],[Gasto total]]*$F$6</f>
        <v>1.3011017441860508</v>
      </c>
      <c r="O179" s="92">
        <f ca="1">_xlfn.XLOOKUP(ProxyDD[[#This Row],[Chave]],SMS!B:B,SMS!J:J)</f>
        <v>3</v>
      </c>
      <c r="P179" s="128">
        <f t="shared" ca="1" si="124"/>
        <v>0.43370058139535028</v>
      </c>
    </row>
    <row r="180" spans="9:16">
      <c r="I180" s="89">
        <v>45818</v>
      </c>
      <c r="J180" s="89" t="s">
        <v>36</v>
      </c>
      <c r="K180" s="89" t="str">
        <f t="shared" si="123"/>
        <v>BV45818</v>
      </c>
      <c r="L180" s="127">
        <v>16.772499999999994</v>
      </c>
      <c r="M180" s="127">
        <f>L179-ProxyDD[[#This Row],[GB atual]]</f>
        <v>6.8500000000000227E-2</v>
      </c>
      <c r="N180" s="15">
        <f>ProxyDD[[#This Row],[Gasto total]]*$F$6</f>
        <v>0.43370058139535028</v>
      </c>
      <c r="O180" s="92">
        <f ca="1">_xlfn.XLOOKUP(ProxyDD[[#This Row],[Chave]],SMS!B:B,SMS!J:J)</f>
        <v>1</v>
      </c>
      <c r="P180" s="128">
        <f t="shared" ca="1" si="124"/>
        <v>0.43370058139535028</v>
      </c>
    </row>
    <row r="181" spans="9:16">
      <c r="I181" s="89">
        <v>45819</v>
      </c>
      <c r="J181" s="89" t="s">
        <v>36</v>
      </c>
      <c r="K181" s="89" t="str">
        <f t="shared" si="123"/>
        <v>BV45819</v>
      </c>
      <c r="L181" s="127">
        <v>16.498499999999993</v>
      </c>
      <c r="M181" s="127">
        <f>L180-ProxyDD[[#This Row],[GB atual]]</f>
        <v>0.27400000000000091</v>
      </c>
      <c r="N181" s="15">
        <f>ProxyDD[[#This Row],[Gasto total]]*$F$6</f>
        <v>1.7348023255814011</v>
      </c>
      <c r="O181" s="92">
        <f ca="1">_xlfn.XLOOKUP(ProxyDD[[#This Row],[Chave]],SMS!B:B,SMS!J:J)</f>
        <v>4</v>
      </c>
      <c r="P181" s="128">
        <f t="shared" ca="1" si="124"/>
        <v>0.43370058139535028</v>
      </c>
    </row>
    <row r="182" spans="9:16">
      <c r="I182" s="89">
        <v>45821</v>
      </c>
      <c r="J182" s="89" t="s">
        <v>36</v>
      </c>
      <c r="K182" s="89" t="str">
        <f t="shared" si="123"/>
        <v>BV45821</v>
      </c>
      <c r="L182" s="127">
        <v>16.429999999999993</v>
      </c>
      <c r="M182" s="127">
        <f>L181-ProxyDD[[#This Row],[GB atual]]</f>
        <v>6.8500000000000227E-2</v>
      </c>
      <c r="N182" s="15">
        <f>ProxyDD[[#This Row],[Gasto total]]*$F$6</f>
        <v>0.43370058139535028</v>
      </c>
      <c r="O182" s="92">
        <f ca="1">_xlfn.XLOOKUP(ProxyDD[[#This Row],[Chave]],SMS!B:B,SMS!J:J)</f>
        <v>1</v>
      </c>
      <c r="P182" s="128">
        <f t="shared" ca="1" si="124"/>
        <v>0.43370058139535028</v>
      </c>
    </row>
    <row r="183" spans="9:16">
      <c r="I183" s="89">
        <v>45824</v>
      </c>
      <c r="J183" s="89" t="s">
        <v>36</v>
      </c>
      <c r="K183" s="89" t="str">
        <f t="shared" si="123"/>
        <v>BV45824</v>
      </c>
      <c r="L183" s="127">
        <v>16.350000000000001</v>
      </c>
      <c r="M183" s="127">
        <f>L182-ProxyDD[[#This Row],[GB atual]]</f>
        <v>7.9999999999991189E-2</v>
      </c>
      <c r="N183" s="15">
        <f>ProxyDD[[#This Row],[Gasto total]]*$F$6</f>
        <v>0.50651162790692095</v>
      </c>
      <c r="O183" s="92">
        <f>_xlfn.XLOOKUP(ProxyDD[[#This Row],[Chave]],SMS!B:B,SMS!J:J)</f>
        <v>1</v>
      </c>
      <c r="P183" s="128">
        <f t="shared" si="124"/>
        <v>0.50651162790692095</v>
      </c>
    </row>
    <row r="184" spans="9:16">
      <c r="I184" s="89">
        <v>45826</v>
      </c>
      <c r="J184" s="89" t="s">
        <v>36</v>
      </c>
      <c r="K184" s="89" t="str">
        <f t="shared" ref="K184:K190" si="125">_xlfn.CONCAT(J184,I184)</f>
        <v>BV45826</v>
      </c>
      <c r="L184" s="127">
        <v>15.66</v>
      </c>
      <c r="M184" s="127">
        <f>L183-ProxyDD[[#This Row],[GB atual]]</f>
        <v>0.69000000000000128</v>
      </c>
      <c r="N184" s="15">
        <f>ProxyDD[[#This Row],[Gasto total]]*$F$6</f>
        <v>4.3686627906976829</v>
      </c>
      <c r="O184" s="92">
        <f ca="1">_xlfn.XLOOKUP(ProxyDD[[#This Row],[Chave]],SMS!B:B,SMS!J:J)</f>
        <v>9</v>
      </c>
      <c r="P184" s="128">
        <f t="shared" ref="P184:P190" ca="1" si="126">IFERROR(N184/O184,0)</f>
        <v>0.48540697674418698</v>
      </c>
    </row>
    <row r="185" spans="9:16">
      <c r="I185" s="89">
        <v>45828</v>
      </c>
      <c r="J185" s="89" t="s">
        <v>36</v>
      </c>
      <c r="K185" s="89" t="str">
        <f t="shared" si="125"/>
        <v>BV45828</v>
      </c>
      <c r="L185" s="127">
        <v>15.2</v>
      </c>
      <c r="M185" s="127">
        <f>L184-ProxyDD[[#This Row],[GB atual]]</f>
        <v>0.46000000000000085</v>
      </c>
      <c r="N185" s="15">
        <f>ProxyDD[[#This Row],[Gasto total]]*$F$6</f>
        <v>2.9124418604651217</v>
      </c>
      <c r="O185" s="92">
        <f ca="1">_xlfn.XLOOKUP(ProxyDD[[#This Row],[Chave]],SMS!B:B,SMS!J:J)</f>
        <v>6</v>
      </c>
      <c r="P185" s="128">
        <f t="shared" ca="1" si="126"/>
        <v>0.48540697674418692</v>
      </c>
    </row>
    <row r="186" spans="9:16">
      <c r="I186" s="89">
        <v>45831</v>
      </c>
      <c r="J186" s="89" t="s">
        <v>36</v>
      </c>
      <c r="K186" s="89" t="str">
        <f t="shared" si="125"/>
        <v>BV45831</v>
      </c>
      <c r="L186" s="127">
        <v>14.43</v>
      </c>
      <c r="M186" s="127">
        <f>L185-ProxyDD[[#This Row],[GB atual]]</f>
        <v>0.76999999999999957</v>
      </c>
      <c r="N186" s="15">
        <f>ProxyDD[[#This Row],[Gasto total]]*$F$6</f>
        <v>4.8751744186046482</v>
      </c>
      <c r="O186" s="92">
        <f ca="1">_xlfn.XLOOKUP(ProxyDD[[#This Row],[Chave]],SMS!B:B,SMS!J:J)</f>
        <v>10</v>
      </c>
      <c r="P186" s="128">
        <f t="shared" ca="1" si="126"/>
        <v>0.48751744186046481</v>
      </c>
    </row>
    <row r="187" spans="9:16">
      <c r="I187" s="89">
        <v>45832</v>
      </c>
      <c r="J187" s="89" t="s">
        <v>36</v>
      </c>
      <c r="K187" s="89" t="str">
        <f t="shared" si="125"/>
        <v>BV45832</v>
      </c>
      <c r="L187" s="127">
        <v>13.89</v>
      </c>
      <c r="M187" s="127">
        <f>L186-ProxyDD[[#This Row],[GB atual]]</f>
        <v>0.53999999999999915</v>
      </c>
      <c r="N187" s="15">
        <f>ProxyDD[[#This Row],[Gasto total]]*$F$6</f>
        <v>3.4189534883720878</v>
      </c>
      <c r="O187" s="92">
        <f ca="1">_xlfn.XLOOKUP(ProxyDD[[#This Row],[Chave]],SMS!B:B,SMS!J:J)</f>
        <v>7</v>
      </c>
      <c r="P187" s="128">
        <f t="shared" ca="1" si="126"/>
        <v>0.48842192691029823</v>
      </c>
    </row>
    <row r="188" spans="9:16">
      <c r="I188" s="89">
        <v>45833</v>
      </c>
      <c r="J188" s="89" t="s">
        <v>36</v>
      </c>
      <c r="K188" s="89" t="str">
        <f t="shared" si="125"/>
        <v>BV45833</v>
      </c>
      <c r="L188" s="127">
        <v>13.43</v>
      </c>
      <c r="M188" s="127">
        <f>L187-ProxyDD[[#This Row],[GB atual]]</f>
        <v>0.46000000000000085</v>
      </c>
      <c r="N188" s="15">
        <f>ProxyDD[[#This Row],[Gasto total]]*$F$6</f>
        <v>2.9124418604651217</v>
      </c>
      <c r="O188" s="92">
        <f ca="1">_xlfn.XLOOKUP(ProxyDD[[#This Row],[Chave]],SMS!B:B,SMS!J:J)</f>
        <v>6</v>
      </c>
      <c r="P188" s="128">
        <f t="shared" ca="1" si="126"/>
        <v>0.48540697674418692</v>
      </c>
    </row>
    <row r="189" spans="9:16">
      <c r="I189" s="89">
        <v>45834</v>
      </c>
      <c r="J189" s="89" t="s">
        <v>36</v>
      </c>
      <c r="K189" s="89" t="str">
        <f t="shared" si="125"/>
        <v>BV45834</v>
      </c>
      <c r="L189" s="127">
        <v>12.74</v>
      </c>
      <c r="M189" s="127">
        <f>L188-ProxyDD[[#This Row],[GB atual]]</f>
        <v>0.6899999999999995</v>
      </c>
      <c r="N189" s="15">
        <f>ProxyDD[[#This Row],[Gasto total]]*$F$6</f>
        <v>4.3686627906976714</v>
      </c>
      <c r="O189" s="92">
        <f ca="1">_xlfn.XLOOKUP(ProxyDD[[#This Row],[Chave]],SMS!B:B,SMS!J:J)</f>
        <v>9</v>
      </c>
      <c r="P189" s="128">
        <f t="shared" ca="1" si="126"/>
        <v>0.4854069767441857</v>
      </c>
    </row>
    <row r="190" spans="9:16">
      <c r="I190" s="89">
        <v>45835</v>
      </c>
      <c r="J190" s="89" t="s">
        <v>36</v>
      </c>
      <c r="K190" s="89" t="str">
        <f t="shared" si="125"/>
        <v>BV45835</v>
      </c>
      <c r="L190" s="127">
        <v>11.89</v>
      </c>
      <c r="M190" s="127">
        <f>L189-ProxyDD[[#This Row],[GB atual]]</f>
        <v>0.84999999999999964</v>
      </c>
      <c r="N190" s="15">
        <f>ProxyDD[[#This Row],[Gasto total]]*$F$6</f>
        <v>5.3816860465116259</v>
      </c>
      <c r="O190" s="92">
        <f ca="1">_xlfn.XLOOKUP(ProxyDD[[#This Row],[Chave]],SMS!B:B,SMS!J:J)</f>
        <v>11</v>
      </c>
      <c r="P190" s="128">
        <f t="shared" ca="1" si="126"/>
        <v>0.48924418604651143</v>
      </c>
    </row>
    <row r="191" spans="9:16">
      <c r="I191" s="89">
        <v>45839</v>
      </c>
      <c r="J191" s="89" t="s">
        <v>36</v>
      </c>
      <c r="K191" s="89" t="str">
        <f>_xlfn.CONCAT(J191,I191)</f>
        <v>BV45839</v>
      </c>
      <c r="L191" s="127">
        <v>11.83</v>
      </c>
      <c r="M191" s="127">
        <f>L190-ProxyDD[[#This Row],[GB atual]]</f>
        <v>6.0000000000000497E-2</v>
      </c>
      <c r="N191" s="15">
        <f>ProxyDD[[#This Row],[Gasto total]]*$F$6</f>
        <v>0.3798837209302357</v>
      </c>
      <c r="O191" s="92">
        <f ca="1">_xlfn.XLOOKUP(ProxyDD[[#This Row],[Chave]],SMS!B:B,SMS!J:J)</f>
        <v>6</v>
      </c>
      <c r="P191" s="128">
        <f t="shared" ref="P191" ca="1" si="127">IFERROR(N191/O191,0)</f>
        <v>6.3313953488372612E-2</v>
      </c>
    </row>
  </sheetData>
  <pageMargins left="0.7" right="0.7" top="0.75" bottom="0.75" header="0.3" footer="0.3"/>
  <ignoredErrors>
    <ignoredError sqref="F2" calculatedColumn="1"/>
    <ignoredError sqref="P2" formulaRange="1"/>
  </ignoredErrors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EE8A-B88E-4D00-9B3A-611ACB9AD72F}">
  <dimension ref="A1:S238"/>
  <sheetViews>
    <sheetView zoomScale="85" zoomScaleNormal="85" workbookViewId="0">
      <pane ySplit="1" topLeftCell="A156" activePane="bottomLeft" state="frozen"/>
      <selection pane="bottomLeft" activeCell="K185" sqref="K185"/>
    </sheetView>
  </sheetViews>
  <sheetFormatPr defaultColWidth="9.140625" defaultRowHeight="15"/>
  <cols>
    <col min="1" max="1" width="14.140625" style="71" bestFit="1" customWidth="1"/>
    <col min="2" max="2" width="9" style="71" customWidth="1"/>
    <col min="3" max="3" width="7" style="71" bestFit="1" customWidth="1"/>
    <col min="4" max="4" width="12.5703125" style="71" bestFit="1" customWidth="1"/>
    <col min="5" max="5" width="14.140625" style="72" bestFit="1" customWidth="1"/>
    <col min="6" max="6" width="15.28515625" style="72" bestFit="1" customWidth="1"/>
    <col min="7" max="7" width="12.85546875" style="72" bestFit="1" customWidth="1"/>
    <col min="8" max="9" width="14.140625" style="72" bestFit="1" customWidth="1"/>
    <col min="10" max="10" width="12.5703125" style="72" bestFit="1" customWidth="1"/>
    <col min="11" max="11" width="23" style="72" bestFit="1" customWidth="1"/>
    <col min="12" max="12" width="20.28515625" style="72" bestFit="1" customWidth="1"/>
    <col min="13" max="13" width="9.5703125" style="71" bestFit="1" customWidth="1"/>
    <col min="14" max="14" width="9.140625" style="71"/>
    <col min="15" max="15" width="17.85546875" style="71" bestFit="1" customWidth="1"/>
    <col min="16" max="16" width="14.5703125" style="71" customWidth="1"/>
    <col min="17" max="17" width="10.7109375" style="72" bestFit="1" customWidth="1"/>
    <col min="18" max="18" width="11.85546875" style="72" bestFit="1" customWidth="1"/>
    <col min="19" max="19" width="16.85546875" style="72" bestFit="1" customWidth="1"/>
    <col min="20" max="20" width="10.7109375" style="71" bestFit="1" customWidth="1"/>
    <col min="21" max="16384" width="9.140625" style="71"/>
  </cols>
  <sheetData>
    <row r="1" spans="1:19">
      <c r="A1" s="79" t="s">
        <v>161</v>
      </c>
      <c r="B1" s="79" t="s">
        <v>2</v>
      </c>
      <c r="C1" s="79" t="s">
        <v>1</v>
      </c>
      <c r="D1" s="79" t="s">
        <v>985</v>
      </c>
      <c r="E1" s="90" t="s">
        <v>986</v>
      </c>
      <c r="F1" s="90" t="s">
        <v>987</v>
      </c>
      <c r="G1" s="90" t="s">
        <v>988</v>
      </c>
      <c r="H1" s="90" t="s">
        <v>989</v>
      </c>
      <c r="I1" s="90" t="s">
        <v>990</v>
      </c>
      <c r="J1" s="79" t="s">
        <v>991</v>
      </c>
      <c r="K1" s="79" t="s">
        <v>992</v>
      </c>
      <c r="L1" s="90" t="s">
        <v>993</v>
      </c>
      <c r="M1" s="90" t="s">
        <v>188</v>
      </c>
      <c r="O1" s="72"/>
      <c r="P1" s="72"/>
      <c r="R1" s="71"/>
      <c r="S1" s="71"/>
    </row>
    <row r="2" spans="1:19" hidden="1">
      <c r="A2" s="89">
        <v>45585</v>
      </c>
      <c r="B2" s="101" t="str">
        <f>_xlfn.CONCAT(Serviços[[#This Row],[Loja]],Serviços[[#This Row],[Data]])</f>
        <v>BV45585</v>
      </c>
      <c r="C2" s="101" t="s">
        <v>36</v>
      </c>
      <c r="D2" s="71" t="s">
        <v>994</v>
      </c>
      <c r="E2" s="72">
        <v>27.1</v>
      </c>
      <c r="F2" s="72">
        <v>0</v>
      </c>
      <c r="G2" s="72">
        <v>0</v>
      </c>
      <c r="H2" s="72">
        <v>26.5</v>
      </c>
      <c r="I2" s="72">
        <f>SUM(Serviços[[#This Row],[Valor Inicial]:[Bonus]])-Serviços[[#This Row],[Saldo]]</f>
        <v>0.60000000000000142</v>
      </c>
      <c r="J2" s="71">
        <f ca="1">COUNTIFS('Banco de Dados'!$F$2:$F$2123,"&lt;&gt;-",'Banco de Dados'!$B$2:$B$2123,Serviços[[#This Row],[Chave]])</f>
        <v>1</v>
      </c>
      <c r="K2" s="72">
        <f ca="1">IFERROR(ROUND(Serviços[[#This Row],[Gasto]]/Serviços[[#This Row],[Pedidos]],2),0)</f>
        <v>0.6</v>
      </c>
      <c r="M2" s="72"/>
      <c r="O2" s="72"/>
      <c r="P2" s="72"/>
      <c r="R2" s="71"/>
      <c r="S2" s="71"/>
    </row>
    <row r="3" spans="1:19" hidden="1">
      <c r="A3" s="89">
        <v>45586</v>
      </c>
      <c r="B3" s="101" t="str">
        <f>_xlfn.CONCAT(Serviços[[#This Row],[Loja]],Serviços[[#This Row],[Data]])</f>
        <v>BV45586</v>
      </c>
      <c r="C3" s="101" t="s">
        <v>36</v>
      </c>
      <c r="D3" s="71" t="s">
        <v>995</v>
      </c>
      <c r="E3" s="72">
        <v>22.5</v>
      </c>
      <c r="F3" s="72">
        <v>0</v>
      </c>
      <c r="G3" s="72">
        <v>0</v>
      </c>
      <c r="H3" s="72">
        <v>18</v>
      </c>
      <c r="I3" s="72">
        <f>SUM(Serviços[[#This Row],[Valor Inicial]:[Bonus]])-Serviços[[#This Row],[Saldo]]</f>
        <v>4.5</v>
      </c>
      <c r="J3" s="71">
        <f ca="1">COUNTIFS('Banco de Dados'!$F$2:$F$2123,"&lt;&gt;-",'Banco de Dados'!$B$2:$B$2123,Serviços[[#This Row],[Chave]])</f>
        <v>8</v>
      </c>
      <c r="K3" s="72">
        <f ca="1">IFERROR(ROUND(Serviços[[#This Row],[Gasto]]/Serviços[[#This Row],[Pedidos]],2),0)</f>
        <v>0.56000000000000005</v>
      </c>
      <c r="M3" s="72"/>
      <c r="O3" s="72"/>
      <c r="P3" s="72"/>
      <c r="R3" s="71"/>
      <c r="S3" s="71"/>
    </row>
    <row r="4" spans="1:19" hidden="1">
      <c r="A4" s="89">
        <v>45587</v>
      </c>
      <c r="B4" s="101" t="str">
        <f>_xlfn.CONCAT(Serviços[[#This Row],[Loja]],Serviços[[#This Row],[Data]])</f>
        <v>BV45587</v>
      </c>
      <c r="C4" s="101" t="s">
        <v>36</v>
      </c>
      <c r="D4" s="71" t="s">
        <v>995</v>
      </c>
      <c r="E4" s="72">
        <v>0.85</v>
      </c>
      <c r="F4" s="72">
        <v>10</v>
      </c>
      <c r="G4" s="72">
        <v>0</v>
      </c>
      <c r="H4" s="72">
        <v>4.4000000000000004</v>
      </c>
      <c r="I4" s="72">
        <f>SUM(Serviços[[#This Row],[Valor Inicial]:[Bonus]])-Serviços[[#This Row],[Saldo]]</f>
        <v>6.4499999999999993</v>
      </c>
      <c r="J4" s="71">
        <f ca="1">COUNTIFS('Banco de Dados'!$F$2:$F$2123,"&lt;&gt;-",'Banco de Dados'!$B$2:$B$2123,Serviços[[#This Row],[Chave]])</f>
        <v>15</v>
      </c>
      <c r="K4" s="72">
        <f ca="1">IFERROR(ROUND(Serviços[[#This Row],[Gasto]]/Serviços[[#This Row],[Pedidos]],2),0)</f>
        <v>0.43</v>
      </c>
      <c r="M4" s="72"/>
      <c r="O4" s="72"/>
      <c r="P4" s="72"/>
      <c r="R4" s="71"/>
      <c r="S4" s="71"/>
    </row>
    <row r="5" spans="1:19" hidden="1">
      <c r="A5" s="89">
        <v>45588</v>
      </c>
      <c r="B5" s="101" t="str">
        <f>_xlfn.CONCAT(Serviços[[#This Row],[Loja]],Serviços[[#This Row],[Data]])</f>
        <v>BV45588</v>
      </c>
      <c r="C5" s="101" t="s">
        <v>36</v>
      </c>
      <c r="D5" s="71" t="s">
        <v>995</v>
      </c>
      <c r="E5" s="72">
        <v>4.1500000000000004</v>
      </c>
      <c r="F5" s="72">
        <v>10</v>
      </c>
      <c r="G5" s="72">
        <v>0</v>
      </c>
      <c r="H5" s="72">
        <v>3.2</v>
      </c>
      <c r="I5" s="72">
        <f>SUM(Serviços[[#This Row],[Valor Inicial]:[Bonus]])-Serviços[[#This Row],[Saldo]]</f>
        <v>10.95</v>
      </c>
      <c r="J5" s="71">
        <f ca="1">COUNTIFS('Banco de Dados'!$F$2:$F$2123,"&lt;&gt;-",'Banco de Dados'!$B$2:$B$2123,Serviços[[#This Row],[Chave]])</f>
        <v>19</v>
      </c>
      <c r="K5" s="72">
        <f ca="1">IFERROR(ROUND(Serviços[[#This Row],[Gasto]]/Serviços[[#This Row],[Pedidos]],2),0)</f>
        <v>0.57999999999999996</v>
      </c>
      <c r="M5" s="72"/>
      <c r="O5" s="72"/>
      <c r="P5" s="72"/>
      <c r="R5" s="71"/>
      <c r="S5" s="71"/>
    </row>
    <row r="6" spans="1:19" hidden="1">
      <c r="A6" s="89">
        <v>45589</v>
      </c>
      <c r="B6" s="101" t="str">
        <f>_xlfn.CONCAT(Serviços[[#This Row],[Loja]],Serviços[[#This Row],[Data]])</f>
        <v>BV45589</v>
      </c>
      <c r="C6" s="101" t="s">
        <v>36</v>
      </c>
      <c r="D6" s="71" t="s">
        <v>995</v>
      </c>
      <c r="E6" s="72">
        <v>3.2</v>
      </c>
      <c r="F6" s="72">
        <v>10</v>
      </c>
      <c r="G6" s="72">
        <v>0</v>
      </c>
      <c r="H6" s="72">
        <v>4.4000000000000004</v>
      </c>
      <c r="I6" s="72">
        <f>SUM(Serviços[[#This Row],[Valor Inicial]:[Bonus]])-Serviços[[#This Row],[Saldo]]</f>
        <v>8.7999999999999989</v>
      </c>
      <c r="J6" s="71">
        <f ca="1">COUNTIFS('Banco de Dados'!$F$2:$F$2123,"&lt;&gt;-",'Banco de Dados'!$B$2:$B$2123,Serviços[[#This Row],[Chave]])</f>
        <v>17</v>
      </c>
      <c r="K6" s="72">
        <f ca="1">IFERROR(ROUND(Serviços[[#This Row],[Gasto]]/Serviços[[#This Row],[Pedidos]],2),0)</f>
        <v>0.52</v>
      </c>
      <c r="M6" s="72"/>
      <c r="O6" s="72"/>
      <c r="P6" s="72"/>
      <c r="R6" s="71"/>
      <c r="S6" s="71"/>
    </row>
    <row r="7" spans="1:19" hidden="1">
      <c r="A7" s="89">
        <v>45590</v>
      </c>
      <c r="B7" s="101" t="str">
        <f>_xlfn.CONCAT(Serviços[[#This Row],[Loja]],Serviços[[#This Row],[Data]])</f>
        <v>BV45590</v>
      </c>
      <c r="C7" s="101" t="s">
        <v>36</v>
      </c>
      <c r="D7" s="71" t="s">
        <v>995</v>
      </c>
      <c r="E7" s="72">
        <v>15.15</v>
      </c>
      <c r="F7" s="72">
        <v>10</v>
      </c>
      <c r="G7" s="72">
        <v>0</v>
      </c>
      <c r="H7" s="72">
        <v>17.399999999999999</v>
      </c>
      <c r="I7" s="72">
        <f>SUM(Serviços[[#This Row],[Valor Inicial]:[Bonus]])-Serviços[[#This Row],[Saldo]]</f>
        <v>7.75</v>
      </c>
      <c r="J7" s="71">
        <f ca="1">COUNTIFS('Banco de Dados'!$F$2:$F$2123,"&lt;&gt;-",'Banco de Dados'!$B$2:$B$2123,Serviços[[#This Row],[Chave]])</f>
        <v>14</v>
      </c>
      <c r="K7" s="72">
        <f ca="1">IFERROR(ROUND(Serviços[[#This Row],[Gasto]]/Serviços[[#This Row],[Pedidos]],2),0)</f>
        <v>0.55000000000000004</v>
      </c>
      <c r="M7" s="72"/>
      <c r="O7" s="72"/>
      <c r="P7" s="72"/>
      <c r="R7" s="71"/>
      <c r="S7" s="71"/>
    </row>
    <row r="8" spans="1:19" hidden="1">
      <c r="A8" s="89">
        <v>45591</v>
      </c>
      <c r="B8" s="101" t="str">
        <f>_xlfn.CONCAT(Serviços[[#This Row],[Loja]],Serviços[[#This Row],[Data]])</f>
        <v>BV45591</v>
      </c>
      <c r="C8" s="101" t="s">
        <v>36</v>
      </c>
      <c r="D8" s="71" t="s">
        <v>995</v>
      </c>
      <c r="E8" s="72">
        <f>14.55-10</f>
        <v>4.5500000000000007</v>
      </c>
      <c r="F8" s="72">
        <v>10</v>
      </c>
      <c r="G8" s="72">
        <v>0</v>
      </c>
      <c r="H8" s="72">
        <v>9.15</v>
      </c>
      <c r="I8" s="72">
        <f>SUM(Serviços[[#This Row],[Valor Inicial]:[Bonus]])-Serviços[[#This Row],[Saldo]]</f>
        <v>5.4</v>
      </c>
      <c r="J8" s="71">
        <f ca="1">COUNTIFS('Banco de Dados'!$F$2:$F$2123,"&lt;&gt;-",'Banco de Dados'!$B$2:$B$2123,Serviços[[#This Row],[Chave]])</f>
        <v>22</v>
      </c>
      <c r="K8" s="72">
        <f ca="1">IFERROR(ROUND(Serviços[[#This Row],[Gasto]]/Serviços[[#This Row],[Pedidos]],2),0)</f>
        <v>0.25</v>
      </c>
      <c r="M8" s="72"/>
      <c r="O8" s="72"/>
      <c r="P8" s="72"/>
      <c r="R8" s="71"/>
      <c r="S8" s="71"/>
    </row>
    <row r="9" spans="1:19" hidden="1">
      <c r="A9" s="89">
        <v>45592</v>
      </c>
      <c r="B9" s="101" t="str">
        <f>_xlfn.CONCAT(Serviços[[#This Row],[Loja]],Serviços[[#This Row],[Data]])</f>
        <v>BV45592</v>
      </c>
      <c r="C9" s="101" t="s">
        <v>36</v>
      </c>
      <c r="D9" s="71" t="s">
        <v>995</v>
      </c>
      <c r="E9" s="72">
        <f>H8</f>
        <v>9.15</v>
      </c>
      <c r="F9" s="72">
        <v>0</v>
      </c>
      <c r="G9" s="72">
        <v>0</v>
      </c>
      <c r="H9" s="72">
        <v>3.45</v>
      </c>
      <c r="I9" s="72">
        <f>SUM(Serviços[[#This Row],[Valor Inicial]:[Bonus]])-Serviços[[#This Row],[Saldo]]</f>
        <v>5.7</v>
      </c>
      <c r="J9" s="71">
        <f ca="1">COUNTIFS('Banco de Dados'!$F$2:$F$2123,"&lt;&gt;-",'Banco de Dados'!$B$2:$B$2123,Serviços[[#This Row],[Chave]])</f>
        <v>18</v>
      </c>
      <c r="K9" s="72">
        <f ca="1">IFERROR(ROUND(Serviços[[#This Row],[Gasto]]/Serviços[[#This Row],[Pedidos]],2),0)</f>
        <v>0.32</v>
      </c>
      <c r="M9" s="72"/>
      <c r="O9" s="72"/>
      <c r="P9" s="72"/>
      <c r="R9" s="71"/>
      <c r="S9" s="71"/>
    </row>
    <row r="10" spans="1:19" hidden="1">
      <c r="A10" s="89">
        <v>45593</v>
      </c>
      <c r="B10" s="101" t="str">
        <f>_xlfn.CONCAT(Serviços[[#This Row],[Loja]],Serviços[[#This Row],[Data]])</f>
        <v>BV45593</v>
      </c>
      <c r="C10" s="101" t="s">
        <v>36</v>
      </c>
      <c r="D10" s="71" t="s">
        <v>994</v>
      </c>
      <c r="E10" s="72">
        <v>13.45</v>
      </c>
      <c r="F10" s="72">
        <v>10</v>
      </c>
      <c r="G10" s="72">
        <v>0</v>
      </c>
      <c r="H10" s="72">
        <v>16.62</v>
      </c>
      <c r="I10" s="72">
        <f>SUM(Serviços[[#This Row],[Valor Inicial]:[Bonus]])-Serviços[[#This Row],[Saldo]]</f>
        <v>6.8299999999999983</v>
      </c>
      <c r="J10" s="71">
        <f ca="1">COUNTIFS('Banco de Dados'!$F$2:$F$2123,"&lt;&gt;-",'Banco de Dados'!$B$2:$B$2123,Serviços[[#This Row],[Chave]])</f>
        <v>20</v>
      </c>
      <c r="K10" s="72">
        <f ca="1">IFERROR(ROUND(Serviços[[#This Row],[Gasto]]/Serviços[[#This Row],[Pedidos]],2),0)</f>
        <v>0.34</v>
      </c>
      <c r="M10" s="72"/>
      <c r="O10" s="72"/>
      <c r="P10" s="72"/>
      <c r="R10" s="71"/>
      <c r="S10" s="71"/>
    </row>
    <row r="11" spans="1:19" hidden="1">
      <c r="A11" s="89">
        <v>45594</v>
      </c>
      <c r="B11" s="101" t="str">
        <f>_xlfn.CONCAT(Serviços[[#This Row],[Loja]],Serviços[[#This Row],[Data]])</f>
        <v>BV45594</v>
      </c>
      <c r="C11" s="101" t="s">
        <v>36</v>
      </c>
      <c r="D11" s="71" t="s">
        <v>994</v>
      </c>
      <c r="E11" s="72">
        <v>16.619999999999997</v>
      </c>
      <c r="F11" s="72">
        <v>0</v>
      </c>
      <c r="G11" s="72">
        <v>0</v>
      </c>
      <c r="H11" s="72">
        <v>9.24</v>
      </c>
      <c r="I11" s="72">
        <f>SUM(Serviços[[#This Row],[Valor Inicial]:[Bonus]])-Serviços[[#This Row],[Saldo]]</f>
        <v>7.3799999999999972</v>
      </c>
      <c r="J11" s="71">
        <f ca="1">COUNTIFS('Banco de Dados'!$F$2:$F$2123,"&lt;&gt;-",'Banco de Dados'!$B$2:$B$2123,Serviços[[#This Row],[Chave]])</f>
        <v>19</v>
      </c>
      <c r="K11" s="72">
        <f ca="1">IFERROR(ROUND(Serviços[[#This Row],[Gasto]]/Serviços[[#This Row],[Pedidos]],2),0)</f>
        <v>0.39</v>
      </c>
      <c r="M11" s="72"/>
      <c r="P11" s="72"/>
      <c r="S11" s="71"/>
    </row>
    <row r="12" spans="1:19" hidden="1">
      <c r="A12" s="89">
        <v>45595</v>
      </c>
      <c r="B12" s="101" t="str">
        <f>_xlfn.CONCAT(Serviços[[#This Row],[Loja]],Serviços[[#This Row],[Data]])</f>
        <v>BV45595</v>
      </c>
      <c r="C12" s="101" t="s">
        <v>36</v>
      </c>
      <c r="D12" s="71" t="s">
        <v>994</v>
      </c>
      <c r="E12" s="72">
        <v>9.24</v>
      </c>
      <c r="F12" s="72">
        <v>0</v>
      </c>
      <c r="G12" s="72">
        <v>0</v>
      </c>
      <c r="H12" s="72">
        <v>0.91</v>
      </c>
      <c r="I12" s="72">
        <f>SUM(Serviços[[#This Row],[Valor Inicial]:[Bonus]])-Serviços[[#This Row],[Saldo]]</f>
        <v>8.33</v>
      </c>
      <c r="J12" s="71">
        <f ca="1">COUNTIFS('Banco de Dados'!$F$2:$F$2123,"&lt;&gt;-",'Banco de Dados'!$B$2:$B$2123,Serviços[[#This Row],[Chave]])</f>
        <v>24</v>
      </c>
      <c r="K12" s="72">
        <f ca="1">IFERROR(ROUND(Serviços[[#This Row],[Gasto]]/Serviços[[#This Row],[Pedidos]],2),0)</f>
        <v>0.35</v>
      </c>
      <c r="M12" s="72"/>
      <c r="P12" s="72"/>
      <c r="S12" s="71"/>
    </row>
    <row r="13" spans="1:19" hidden="1">
      <c r="A13" s="89">
        <v>45596</v>
      </c>
      <c r="B13" s="101" t="str">
        <f>_xlfn.CONCAT(Serviços[[#This Row],[Loja]],Serviços[[#This Row],[Data]])</f>
        <v>BV45596</v>
      </c>
      <c r="C13" s="101" t="s">
        <v>36</v>
      </c>
      <c r="D13" s="71" t="s">
        <v>995</v>
      </c>
      <c r="E13" s="72">
        <v>0.15</v>
      </c>
      <c r="F13" s="72">
        <v>10</v>
      </c>
      <c r="G13" s="72">
        <v>0</v>
      </c>
      <c r="H13" s="72">
        <v>5.85</v>
      </c>
      <c r="I13" s="72">
        <f>SUM(Serviços[[#This Row],[Valor Inicial]:[Bonus]])-Serviços[[#This Row],[Saldo]]</f>
        <v>4.3000000000000007</v>
      </c>
      <c r="J13" s="71">
        <f ca="1">COUNTIFS('Banco de Dados'!$F$2:$F$2123,"&lt;&gt;-",'Banco de Dados'!$B$2:$B$2123,Serviços[[#This Row],[Chave]])</f>
        <v>12</v>
      </c>
      <c r="K13" s="72">
        <f ca="1">IFERROR(ROUND(Serviços[[#This Row],[Gasto]]/Serviços[[#This Row],[Pedidos]],2),0)</f>
        <v>0.36</v>
      </c>
      <c r="M13" s="72"/>
      <c r="P13" s="72"/>
      <c r="S13" s="71"/>
    </row>
    <row r="14" spans="1:19" hidden="1">
      <c r="A14" s="89">
        <v>45597</v>
      </c>
      <c r="B14" s="101" t="str">
        <f>_xlfn.CONCAT(Serviços[[#This Row],[Loja]],Serviços[[#This Row],[Data]])</f>
        <v>BV45597</v>
      </c>
      <c r="C14" s="101" t="s">
        <v>36</v>
      </c>
      <c r="D14" s="71" t="s">
        <v>995</v>
      </c>
      <c r="E14" s="72">
        <v>7.75</v>
      </c>
      <c r="F14" s="72">
        <v>10</v>
      </c>
      <c r="G14" s="72">
        <v>0</v>
      </c>
      <c r="H14" s="72">
        <v>11.8</v>
      </c>
      <c r="I14" s="72">
        <f>SUM(Serviços[[#This Row],[Valor Inicial]:[Bonus]])-Serviços[[#This Row],[Saldo]]</f>
        <v>5.9499999999999993</v>
      </c>
      <c r="J14" s="71">
        <f ca="1">COUNTIFS('Banco de Dados'!$F$2:$F$2123,"&lt;&gt;-",'Banco de Dados'!$B$2:$B$2123,Serviços[[#This Row],[Chave]])</f>
        <v>14</v>
      </c>
      <c r="K14" s="72">
        <f ca="1">IFERROR(ROUND(Serviços[[#This Row],[Gasto]]/Serviços[[#This Row],[Pedidos]],2),0)</f>
        <v>0.43</v>
      </c>
      <c r="M14" s="72"/>
      <c r="P14" s="72"/>
      <c r="S14" s="71"/>
    </row>
    <row r="15" spans="1:19" hidden="1">
      <c r="A15" s="89">
        <v>45598</v>
      </c>
      <c r="B15" s="101" t="str">
        <f>_xlfn.CONCAT(Serviços[[#This Row],[Loja]],Serviços[[#This Row],[Data]])</f>
        <v>BV45598</v>
      </c>
      <c r="C15" s="101" t="s">
        <v>36</v>
      </c>
      <c r="D15" s="71" t="s">
        <v>994</v>
      </c>
      <c r="E15" s="72">
        <v>10.66</v>
      </c>
      <c r="F15" s="72">
        <v>10</v>
      </c>
      <c r="G15" s="72">
        <v>0</v>
      </c>
      <c r="H15" s="72">
        <v>14.58</v>
      </c>
      <c r="I15" s="72">
        <f>SUM(Serviços[[#This Row],[Valor Inicial]:[Bonus]])-Serviços[[#This Row],[Saldo]]</f>
        <v>6.08</v>
      </c>
      <c r="J15" s="71">
        <f ca="1">COUNTIFS('Banco de Dados'!$F$2:$F$2123,"&lt;&gt;-",'Banco de Dados'!$B$2:$B$2123,Serviços[[#This Row],[Chave]])</f>
        <v>17</v>
      </c>
      <c r="K15" s="72">
        <f ca="1">IFERROR(ROUND(Serviços[[#This Row],[Gasto]]/Serviços[[#This Row],[Pedidos]],2),0)</f>
        <v>0.36</v>
      </c>
      <c r="M15" s="72"/>
      <c r="P15" s="72"/>
      <c r="S15" s="71"/>
    </row>
    <row r="16" spans="1:19" hidden="1">
      <c r="A16" s="89">
        <v>45599</v>
      </c>
      <c r="B16" s="101" t="str">
        <f>_xlfn.CONCAT(Serviços[[#This Row],[Loja]],Serviços[[#This Row],[Data]])</f>
        <v>BV45599</v>
      </c>
      <c r="C16" s="101" t="s">
        <v>36</v>
      </c>
      <c r="D16" s="71" t="s">
        <v>994</v>
      </c>
      <c r="E16" s="72">
        <v>14.58</v>
      </c>
      <c r="F16" s="72">
        <v>0</v>
      </c>
      <c r="G16" s="72">
        <v>0</v>
      </c>
      <c r="H16" s="72">
        <v>7.66</v>
      </c>
      <c r="I16" s="72">
        <f>SUM(Serviços[[#This Row],[Valor Inicial]:[Bonus]])-Serviços[[#This Row],[Saldo]]</f>
        <v>6.92</v>
      </c>
      <c r="J16" s="71">
        <f ca="1">COUNTIFS('Banco de Dados'!$F$2:$F$2123,"&lt;&gt;-",'Banco de Dados'!$B$2:$B$2123,Serviços[[#This Row],[Chave]])</f>
        <v>16</v>
      </c>
      <c r="K16" s="72">
        <f ca="1">IFERROR(ROUND(Serviços[[#This Row],[Gasto]]/Serviços[[#This Row],[Pedidos]],2),0)</f>
        <v>0.43</v>
      </c>
      <c r="M16" s="72"/>
      <c r="P16" s="72"/>
      <c r="S16" s="71"/>
    </row>
    <row r="17" spans="1:19" hidden="1">
      <c r="A17" s="89">
        <v>45600</v>
      </c>
      <c r="B17" s="101" t="str">
        <f>_xlfn.CONCAT(Serviços[[#This Row],[Loja]],Serviços[[#This Row],[Data]])</f>
        <v>BV45600</v>
      </c>
      <c r="C17" s="101" t="s">
        <v>36</v>
      </c>
      <c r="D17" s="71" t="s">
        <v>996</v>
      </c>
      <c r="E17" s="72">
        <v>6.91</v>
      </c>
      <c r="F17" s="72">
        <v>0</v>
      </c>
      <c r="G17" s="72">
        <v>0</v>
      </c>
      <c r="H17" s="72">
        <v>0.38</v>
      </c>
      <c r="I17" s="72">
        <f>SUM(Serviços[[#This Row],[Valor Inicial]:[Bonus]])-Serviços[[#This Row],[Saldo]]</f>
        <v>6.53</v>
      </c>
      <c r="J17" s="71">
        <f ca="1">COUNTIFS('Banco de Dados'!$F$2:$F$2123,"&lt;&gt;-",'Banco de Dados'!$B$2:$B$2123,Serviços[[#This Row],[Chave]])</f>
        <v>17</v>
      </c>
      <c r="K17" s="72">
        <f ca="1">IFERROR(ROUND(Serviços[[#This Row],[Gasto]]/Serviços[[#This Row],[Pedidos]],2),0)</f>
        <v>0.38</v>
      </c>
      <c r="M17" s="72"/>
      <c r="P17" s="72"/>
      <c r="S17" s="71"/>
    </row>
    <row r="18" spans="1:19" hidden="1">
      <c r="A18" s="89">
        <v>45601</v>
      </c>
      <c r="B18" s="101" t="str">
        <f>_xlfn.CONCAT(Serviços[[#This Row],[Loja]],Serviços[[#This Row],[Data]])</f>
        <v>BV45601</v>
      </c>
      <c r="C18" s="101" t="s">
        <v>36</v>
      </c>
      <c r="D18" s="71" t="s">
        <v>994</v>
      </c>
      <c r="E18" s="72">
        <v>1.1299999999999999</v>
      </c>
      <c r="F18" s="72">
        <v>20</v>
      </c>
      <c r="G18" s="72">
        <v>0</v>
      </c>
      <c r="H18" s="72">
        <v>17.149999999999999</v>
      </c>
      <c r="I18" s="72">
        <f>SUM(Serviços[[#This Row],[Valor Inicial]:[Bonus]])-Serviços[[#This Row],[Saldo]]</f>
        <v>3.9800000000000004</v>
      </c>
      <c r="J18" s="71">
        <f ca="1">COUNTIFS('Banco de Dados'!$F$2:$F$2123,"&lt;&gt;-",'Banco de Dados'!$B$2:$B$2123,Serviços[[#This Row],[Chave]])</f>
        <v>9</v>
      </c>
      <c r="K18" s="72">
        <f ca="1">IFERROR(ROUND(Serviços[[#This Row],[Gasto]]/Serviços[[#This Row],[Pedidos]],2),0)</f>
        <v>0.44</v>
      </c>
      <c r="M18" s="72"/>
      <c r="P18" s="72"/>
      <c r="S18" s="71"/>
    </row>
    <row r="19" spans="1:19" hidden="1">
      <c r="A19" s="89">
        <v>45602</v>
      </c>
      <c r="B19" s="101" t="str">
        <f>_xlfn.CONCAT(Serviços[[#This Row],[Loja]],Serviços[[#This Row],[Data]])</f>
        <v>BV45602</v>
      </c>
      <c r="C19" s="101" t="s">
        <v>36</v>
      </c>
      <c r="D19" s="71" t="s">
        <v>995</v>
      </c>
      <c r="E19" s="72">
        <v>7.85</v>
      </c>
      <c r="F19" s="72">
        <v>0</v>
      </c>
      <c r="G19" s="72">
        <v>0</v>
      </c>
      <c r="H19" s="72">
        <v>2.25</v>
      </c>
      <c r="I19" s="72">
        <f>SUM(Serviços[[#This Row],[Valor Inicial]:[Bonus]])-Serviços[[#This Row],[Saldo]]</f>
        <v>5.6</v>
      </c>
      <c r="J19" s="71">
        <f ca="1">COUNTIFS('Banco de Dados'!$F$2:$F$2123,"&lt;&gt;-",'Banco de Dados'!$B$2:$B$2123,Serviços[[#This Row],[Chave]])</f>
        <v>18</v>
      </c>
      <c r="K19" s="72">
        <f ca="1">IFERROR(ROUND(Serviços[[#This Row],[Gasto]]/Serviços[[#This Row],[Pedidos]],2),0)</f>
        <v>0.31</v>
      </c>
      <c r="M19" s="72"/>
      <c r="P19" s="72"/>
      <c r="S19" s="71"/>
    </row>
    <row r="20" spans="1:19" hidden="1">
      <c r="A20" s="89">
        <v>45603</v>
      </c>
      <c r="B20" s="101" t="str">
        <f>_xlfn.CONCAT(Serviços[[#This Row],[Loja]],Serviços[[#This Row],[Data]])</f>
        <v>BV45603</v>
      </c>
      <c r="C20" s="101" t="s">
        <v>36</v>
      </c>
      <c r="D20" s="71" t="s">
        <v>994</v>
      </c>
      <c r="E20" s="72">
        <v>11.55</v>
      </c>
      <c r="F20" s="72">
        <v>10</v>
      </c>
      <c r="G20" s="72">
        <v>0</v>
      </c>
      <c r="H20" s="72">
        <v>18.14</v>
      </c>
      <c r="I20" s="72">
        <f>SUM(Serviços[[#This Row],[Valor Inicial]:[Bonus]])-Serviços[[#This Row],[Saldo]]</f>
        <v>3.41</v>
      </c>
      <c r="J20" s="71">
        <f ca="1">COUNTIFS('Banco de Dados'!$F$2:$F$2123,"&lt;&gt;-",'Banco de Dados'!$B$2:$B$2123,Serviços[[#This Row],[Chave]])</f>
        <v>15</v>
      </c>
      <c r="K20" s="72">
        <f ca="1">IFERROR(ROUND(Serviços[[#This Row],[Gasto]]/Serviços[[#This Row],[Pedidos]],2),0)</f>
        <v>0.23</v>
      </c>
      <c r="M20" s="72"/>
      <c r="P20" s="72"/>
      <c r="S20" s="71"/>
    </row>
    <row r="21" spans="1:19" hidden="1">
      <c r="A21" s="89">
        <v>45604</v>
      </c>
      <c r="B21" s="101" t="str">
        <f>_xlfn.CONCAT(Serviços[[#This Row],[Loja]],Serviços[[#This Row],[Data]])</f>
        <v>BV45604</v>
      </c>
      <c r="C21" s="101" t="s">
        <v>36</v>
      </c>
      <c r="D21" s="71" t="s">
        <v>995</v>
      </c>
      <c r="E21" s="72">
        <v>9.65</v>
      </c>
      <c r="F21" s="72">
        <v>0</v>
      </c>
      <c r="G21" s="72">
        <v>0</v>
      </c>
      <c r="H21" s="72">
        <v>3.25</v>
      </c>
      <c r="I21" s="72">
        <f>SUM(Serviços[[#This Row],[Valor Inicial]:[Bonus]])-Serviços[[#This Row],[Saldo]]</f>
        <v>6.4</v>
      </c>
      <c r="J21" s="71">
        <f ca="1">COUNTIFS('Banco de Dados'!$F$2:$F$2123,"&lt;&gt;-",'Banco de Dados'!$B$2:$B$2123,Serviços[[#This Row],[Chave]])</f>
        <v>24</v>
      </c>
      <c r="K21" s="72">
        <f ca="1">IFERROR(ROUND(Serviços[[#This Row],[Gasto]]/Serviços[[#This Row],[Pedidos]],2),0)</f>
        <v>0.27</v>
      </c>
      <c r="M21" s="72"/>
      <c r="P21" s="72"/>
      <c r="S21" s="71"/>
    </row>
    <row r="22" spans="1:19" hidden="1">
      <c r="A22" s="89">
        <v>45605</v>
      </c>
      <c r="B22" s="101" t="str">
        <f>_xlfn.CONCAT(Serviços[[#This Row],[Loja]],Serviços[[#This Row],[Data]])</f>
        <v>BV45605</v>
      </c>
      <c r="C22" s="101" t="s">
        <v>36</v>
      </c>
      <c r="D22" s="71" t="s">
        <v>995</v>
      </c>
      <c r="E22" s="72">
        <v>3.25</v>
      </c>
      <c r="F22" s="72">
        <v>0</v>
      </c>
      <c r="G22" s="72">
        <v>0</v>
      </c>
      <c r="H22" s="72">
        <v>2.0499999999999998</v>
      </c>
      <c r="I22" s="72">
        <f>SUM(Serviços[[#This Row],[Valor Inicial]:[Bonus]])-Serviços[[#This Row],[Saldo]]</f>
        <v>1.2000000000000002</v>
      </c>
      <c r="J22" s="71">
        <f ca="1">COUNTIFS('Banco de Dados'!$F$2:$F$2123,"&lt;&gt;-",'Banco de Dados'!$B$2:$B$2123,Serviços[[#This Row],[Chave]])</f>
        <v>6</v>
      </c>
      <c r="K22" s="72">
        <f ca="1">IFERROR(ROUND(Serviços[[#This Row],[Gasto]]/Serviços[[#This Row],[Pedidos]],2),0)</f>
        <v>0.2</v>
      </c>
      <c r="M22" s="72"/>
      <c r="P22" s="72"/>
      <c r="S22" s="71"/>
    </row>
    <row r="23" spans="1:19" hidden="1">
      <c r="A23" s="89">
        <v>45607</v>
      </c>
      <c r="B23" s="101" t="str">
        <f>_xlfn.CONCAT(Serviços[[#This Row],[Loja]],Serviços[[#This Row],[Data]])</f>
        <v>BV45607</v>
      </c>
      <c r="C23" s="101" t="s">
        <v>36</v>
      </c>
      <c r="D23" s="71" t="s">
        <v>995</v>
      </c>
      <c r="E23" s="72">
        <v>2.0499999999999998</v>
      </c>
      <c r="F23" s="72">
        <v>0</v>
      </c>
      <c r="G23" s="72">
        <v>0</v>
      </c>
      <c r="H23" s="72">
        <v>0.25</v>
      </c>
      <c r="I23" s="72">
        <f>SUM(Serviços[[#This Row],[Valor Inicial]:[Bonus]])-Serviços[[#This Row],[Saldo]]</f>
        <v>1.7999999999999998</v>
      </c>
      <c r="J23" s="71">
        <f ca="1">COUNTIFS('Banco de Dados'!$F$2:$F$2123,"&lt;&gt;-",'Banco de Dados'!$B$2:$B$2123,Serviços[[#This Row],[Chave]])</f>
        <v>8</v>
      </c>
      <c r="K23" s="72">
        <f ca="1">IFERROR(ROUND(Serviços[[#This Row],[Gasto]]/Serviços[[#This Row],[Pedidos]],2),0)</f>
        <v>0.23</v>
      </c>
      <c r="M23" s="72"/>
      <c r="P23" s="72"/>
      <c r="S23" s="71"/>
    </row>
    <row r="24" spans="1:19" hidden="1">
      <c r="A24" s="89">
        <v>45608</v>
      </c>
      <c r="B24" s="101" t="str">
        <f>_xlfn.CONCAT(Serviços[[#This Row],[Loja]],Serviços[[#This Row],[Data]])</f>
        <v>BV45608</v>
      </c>
      <c r="C24" s="101" t="s">
        <v>36</v>
      </c>
      <c r="D24" s="71" t="s">
        <v>994</v>
      </c>
      <c r="E24" s="72">
        <v>8.74</v>
      </c>
      <c r="F24" s="72">
        <v>10</v>
      </c>
      <c r="G24" s="72">
        <v>0</v>
      </c>
      <c r="H24" s="72">
        <v>15.49</v>
      </c>
      <c r="I24" s="72">
        <f>SUM(Serviços[[#This Row],[Valor Inicial]:[Bonus]])-Serviços[[#This Row],[Saldo]]</f>
        <v>3.2500000000000018</v>
      </c>
      <c r="J24" s="71">
        <f ca="1">COUNTIFS('Banco de Dados'!$F$2:$F$2123,"&lt;&gt;-",'Banco de Dados'!$B$2:$B$2123,Serviços[[#This Row],[Chave]])</f>
        <v>16</v>
      </c>
      <c r="K24" s="72">
        <f ca="1">IFERROR(ROUND(Serviços[[#This Row],[Gasto]]/Serviços[[#This Row],[Pedidos]],2),0)</f>
        <v>0.2</v>
      </c>
      <c r="M24" s="72"/>
      <c r="P24" s="72"/>
      <c r="S24" s="71"/>
    </row>
    <row r="25" spans="1:19" hidden="1">
      <c r="A25" s="89">
        <v>45609</v>
      </c>
      <c r="B25" s="101" t="str">
        <f>_xlfn.CONCAT(Serviços[[#This Row],[Loja]],Serviços[[#This Row],[Data]])</f>
        <v>BV45609</v>
      </c>
      <c r="C25" s="101" t="s">
        <v>36</v>
      </c>
      <c r="D25" s="71" t="s">
        <v>994</v>
      </c>
      <c r="E25" s="72">
        <v>15.49</v>
      </c>
      <c r="F25" s="72">
        <v>0</v>
      </c>
      <c r="G25" s="72">
        <v>0</v>
      </c>
      <c r="H25" s="72">
        <v>12.53</v>
      </c>
      <c r="I25" s="72">
        <f>SUM(Serviços[[#This Row],[Valor Inicial]:[Bonus]])-Serviços[[#This Row],[Saldo]]</f>
        <v>2.9600000000000009</v>
      </c>
      <c r="J25" s="71">
        <f ca="1">COUNTIFS('Banco de Dados'!$F$2:$F$2123,"&lt;&gt;-",'Banco de Dados'!$B$2:$B$2123,Serviços[[#This Row],[Chave]])</f>
        <v>9</v>
      </c>
      <c r="K25" s="72">
        <f ca="1">IFERROR(ROUND(Serviços[[#This Row],[Gasto]]/Serviços[[#This Row],[Pedidos]],2),0)</f>
        <v>0.33</v>
      </c>
      <c r="M25" s="72"/>
      <c r="P25" s="72"/>
      <c r="S25" s="71"/>
    </row>
    <row r="26" spans="1:19" hidden="1">
      <c r="A26" s="89">
        <v>45610</v>
      </c>
      <c r="B26" s="101" t="str">
        <f>_xlfn.CONCAT(Serviços[[#This Row],[Loja]],Serviços[[#This Row],[Data]])</f>
        <v>BV45610</v>
      </c>
      <c r="C26" s="101" t="s">
        <v>36</v>
      </c>
      <c r="D26" s="71" t="s">
        <v>995</v>
      </c>
      <c r="E26" s="72">
        <v>6.85</v>
      </c>
      <c r="F26" s="72">
        <v>0</v>
      </c>
      <c r="G26" s="72">
        <v>0</v>
      </c>
      <c r="H26" s="72">
        <v>4.8499999999999996</v>
      </c>
      <c r="I26" s="72">
        <f>SUM(Serviços[[#This Row],[Valor Inicial]:[Bonus]])-Serviços[[#This Row],[Saldo]]</f>
        <v>2</v>
      </c>
      <c r="J26" s="71">
        <f ca="1">COUNTIFS('Banco de Dados'!$F$2:$F$2123,"&lt;&gt;-",'Banco de Dados'!$B$2:$B$2123,Serviços[[#This Row],[Chave]])</f>
        <v>8</v>
      </c>
      <c r="K26" s="72">
        <f ca="1">IFERROR(ROUND(Serviços[[#This Row],[Gasto]]/Serviços[[#This Row],[Pedidos]],2),0)</f>
        <v>0.25</v>
      </c>
      <c r="M26" s="72"/>
      <c r="P26" s="72"/>
      <c r="S26" s="71"/>
    </row>
    <row r="27" spans="1:19" hidden="1">
      <c r="A27" s="89">
        <v>45613</v>
      </c>
      <c r="B27" s="101" t="str">
        <f>_xlfn.CONCAT(Serviços[[#This Row],[Loja]],Serviços[[#This Row],[Data]])</f>
        <v>BV45613</v>
      </c>
      <c r="C27" s="101" t="s">
        <v>36</v>
      </c>
      <c r="D27" s="71" t="s">
        <v>995</v>
      </c>
      <c r="E27" s="72">
        <v>4.8499999999999996</v>
      </c>
      <c r="F27" s="72">
        <v>0</v>
      </c>
      <c r="G27" s="72">
        <v>0</v>
      </c>
      <c r="H27" s="72">
        <v>4.45</v>
      </c>
      <c r="I27" s="72">
        <f>SUM(Serviços[[#This Row],[Valor Inicial]:[Bonus]])-Serviços[[#This Row],[Saldo]]</f>
        <v>0.39999999999999947</v>
      </c>
      <c r="J27" s="71">
        <f ca="1">COUNTIFS('Banco de Dados'!$F$2:$F$2123,"&lt;&gt;-",'Banco de Dados'!$B$2:$B$2123,Serviços[[#This Row],[Chave]])</f>
        <v>1</v>
      </c>
      <c r="K27" s="72">
        <f ca="1">IFERROR(ROUND(Serviços[[#This Row],[Gasto]]/Serviços[[#This Row],[Pedidos]],2),0)</f>
        <v>0.4</v>
      </c>
      <c r="M27" s="72"/>
      <c r="P27" s="72"/>
      <c r="S27" s="71"/>
    </row>
    <row r="28" spans="1:19" hidden="1">
      <c r="A28" s="89">
        <v>45614</v>
      </c>
      <c r="B28" s="101" t="str">
        <f>_xlfn.CONCAT(Serviços[[#This Row],[Loja]],Serviços[[#This Row],[Data]])</f>
        <v>BV45614</v>
      </c>
      <c r="C28" s="101" t="s">
        <v>36</v>
      </c>
      <c r="D28" s="71" t="s">
        <v>995</v>
      </c>
      <c r="E28" s="72">
        <v>4.45</v>
      </c>
      <c r="F28" s="72">
        <v>0</v>
      </c>
      <c r="G28" s="72">
        <v>0</v>
      </c>
      <c r="H28" s="72">
        <v>2.4</v>
      </c>
      <c r="I28" s="72">
        <f>SUM(Serviços[[#This Row],[Valor Inicial]:[Bonus]])-Serviços[[#This Row],[Saldo]]</f>
        <v>2.0500000000000003</v>
      </c>
      <c r="J28" s="71">
        <f ca="1">COUNTIFS('Banco de Dados'!$F$2:$F$2123,"&lt;&gt;-",'Banco de Dados'!$B$2:$B$2123,Serviços[[#This Row],[Chave]])</f>
        <v>12</v>
      </c>
      <c r="K28" s="72">
        <f ca="1">IFERROR(ROUND(Serviços[[#This Row],[Gasto]]/Serviços[[#This Row],[Pedidos]],2),0)</f>
        <v>0.17</v>
      </c>
      <c r="M28" s="72"/>
      <c r="P28" s="72"/>
      <c r="S28" s="71"/>
    </row>
    <row r="29" spans="1:19" hidden="1">
      <c r="A29" s="89">
        <v>45615</v>
      </c>
      <c r="B29" s="101" t="str">
        <f>_xlfn.CONCAT(Serviços[[#This Row],[Loja]],Serviços[[#This Row],[Data]])</f>
        <v>BV45615</v>
      </c>
      <c r="C29" s="101" t="s">
        <v>36</v>
      </c>
      <c r="D29" s="71" t="s">
        <v>994</v>
      </c>
      <c r="E29" s="72">
        <v>8.08</v>
      </c>
      <c r="F29" s="72">
        <v>0</v>
      </c>
      <c r="G29" s="72">
        <v>0</v>
      </c>
      <c r="H29" s="72">
        <v>5.14</v>
      </c>
      <c r="I29" s="72">
        <f>SUM(Serviços[[#This Row],[Valor Inicial]:[Bonus]])-Serviços[[#This Row],[Saldo]]</f>
        <v>2.9400000000000004</v>
      </c>
      <c r="J29" s="71">
        <f ca="1">COUNTIFS('Banco de Dados'!$F$2:$F$2123,"&lt;&gt;-",'Banco de Dados'!$B$2:$B$2123,Serviços[[#This Row],[Chave]])</f>
        <v>14</v>
      </c>
      <c r="K29" s="72">
        <f ca="1">IFERROR(ROUND(Serviços[[#This Row],[Gasto]]/Serviços[[#This Row],[Pedidos]],2),0)</f>
        <v>0.21</v>
      </c>
      <c r="M29" s="72"/>
      <c r="P29" s="72"/>
      <c r="S29" s="71"/>
    </row>
    <row r="30" spans="1:19" hidden="1">
      <c r="A30" s="89">
        <v>45616</v>
      </c>
      <c r="B30" s="101" t="str">
        <f>_xlfn.CONCAT(Serviços[[#This Row],[Loja]],Serviços[[#This Row],[Data]])</f>
        <v>BV45616</v>
      </c>
      <c r="C30" s="101" t="s">
        <v>36</v>
      </c>
      <c r="D30" s="71" t="s">
        <v>994</v>
      </c>
      <c r="E30" s="72">
        <v>5.14</v>
      </c>
      <c r="F30" s="72">
        <v>10</v>
      </c>
      <c r="G30" s="72">
        <v>0</v>
      </c>
      <c r="H30" s="72">
        <v>12.03</v>
      </c>
      <c r="I30" s="72">
        <f>SUM(Serviços[[#This Row],[Valor Inicial]:[Bonus]])-Serviços[[#This Row],[Saldo]]</f>
        <v>3.1100000000000012</v>
      </c>
      <c r="J30" s="71">
        <f ca="1">COUNTIFS('Banco de Dados'!$F$2:$F$2123,"&lt;&gt;-",'Banco de Dados'!$B$2:$B$2123,Serviços[[#This Row],[Chave]])</f>
        <v>10</v>
      </c>
      <c r="K30" s="72">
        <f ca="1">IFERROR(ROUND(Serviços[[#This Row],[Gasto]]/Serviços[[#This Row],[Pedidos]],2),0)</f>
        <v>0.31</v>
      </c>
      <c r="M30" s="72"/>
      <c r="P30" s="72"/>
      <c r="S30" s="71"/>
    </row>
    <row r="31" spans="1:19" hidden="1">
      <c r="A31" s="89">
        <v>45617</v>
      </c>
      <c r="B31" s="101" t="str">
        <f>_xlfn.CONCAT(Serviços[[#This Row],[Loja]],Serviços[[#This Row],[Data]])</f>
        <v>BV45617</v>
      </c>
      <c r="C31" s="101" t="s">
        <v>36</v>
      </c>
      <c r="D31" s="71" t="s">
        <v>994</v>
      </c>
      <c r="E31" s="72">
        <v>12.03</v>
      </c>
      <c r="F31" s="72">
        <v>0</v>
      </c>
      <c r="G31" s="72">
        <v>0</v>
      </c>
      <c r="H31" s="72">
        <v>9.9600000000000009</v>
      </c>
      <c r="I31" s="72">
        <f>SUM(Serviços[[#This Row],[Valor Inicial]:[Bonus]])-Serviços[[#This Row],[Saldo]]</f>
        <v>2.0699999999999985</v>
      </c>
      <c r="J31" s="71">
        <f ca="1">COUNTIFS('Banco de Dados'!$F$2:$F$2123,"&lt;&gt;-",'Banco de Dados'!$B$2:$B$2123,Serviços[[#This Row],[Chave]])</f>
        <v>10</v>
      </c>
      <c r="K31" s="72">
        <f ca="1">IFERROR(ROUND(Serviços[[#This Row],[Gasto]]/Serviços[[#This Row],[Pedidos]],2),0)</f>
        <v>0.21</v>
      </c>
      <c r="M31" s="72"/>
      <c r="P31" s="72"/>
      <c r="S31" s="71"/>
    </row>
    <row r="32" spans="1:19" hidden="1">
      <c r="A32" s="89">
        <v>45618</v>
      </c>
      <c r="B32" s="101" t="str">
        <f>_xlfn.CONCAT(Serviços[[#This Row],[Loja]],Serviços[[#This Row],[Data]])</f>
        <v>BV45618</v>
      </c>
      <c r="C32" s="101" t="s">
        <v>36</v>
      </c>
      <c r="D32" s="71" t="s">
        <v>995</v>
      </c>
      <c r="E32" s="72">
        <v>8.6</v>
      </c>
      <c r="F32" s="72">
        <v>0</v>
      </c>
      <c r="G32" s="72">
        <v>0</v>
      </c>
      <c r="H32" s="72">
        <v>7.8</v>
      </c>
      <c r="I32" s="72">
        <f>SUM(Serviços[[#This Row],[Valor Inicial]:[Bonus]])-Serviços[[#This Row],[Saldo]]</f>
        <v>0.79999999999999982</v>
      </c>
      <c r="J32" s="71">
        <f ca="1">COUNTIFS('Banco de Dados'!$F$2:$F$2123,"&lt;&gt;-",'Banco de Dados'!$B$2:$B$2123,Serviços[[#This Row],[Chave]])</f>
        <v>2</v>
      </c>
      <c r="K32" s="72">
        <f ca="1">IFERROR(ROUND(Serviços[[#This Row],[Gasto]]/Serviços[[#This Row],[Pedidos]],2),0)</f>
        <v>0.4</v>
      </c>
      <c r="M32" s="72"/>
      <c r="P32" s="72"/>
      <c r="S32" s="71"/>
    </row>
    <row r="33" spans="1:19" hidden="1">
      <c r="A33" s="89">
        <v>45621</v>
      </c>
      <c r="B33" s="101" t="str">
        <f>_xlfn.CONCAT(Serviços[[#This Row],[Loja]],Serviços[[#This Row],[Data]])</f>
        <v>BV45621</v>
      </c>
      <c r="C33" s="101" t="s">
        <v>36</v>
      </c>
      <c r="D33" s="71" t="s">
        <v>995</v>
      </c>
      <c r="E33" s="72">
        <v>7.8</v>
      </c>
      <c r="F33" s="72">
        <v>0</v>
      </c>
      <c r="G33" s="72">
        <v>0</v>
      </c>
      <c r="H33" s="72">
        <v>5.9</v>
      </c>
      <c r="I33" s="72">
        <f>SUM(Serviços[[#This Row],[Valor Inicial]:[Bonus]])-Serviços[[#This Row],[Saldo]]</f>
        <v>1.8999999999999995</v>
      </c>
      <c r="J33" s="71">
        <f ca="1">COUNTIFS('Banco de Dados'!$F$2:$F$2123,"&lt;&gt;-",'Banco de Dados'!$B$2:$B$2123,Serviços[[#This Row],[Chave]])</f>
        <v>5</v>
      </c>
      <c r="K33" s="72">
        <f ca="1">IFERROR(ROUND(Serviços[[#This Row],[Gasto]]/Serviços[[#This Row],[Pedidos]],2),0)</f>
        <v>0.38</v>
      </c>
      <c r="M33" s="72"/>
      <c r="P33" s="72"/>
      <c r="S33" s="71"/>
    </row>
    <row r="34" spans="1:19" hidden="1">
      <c r="A34" s="89">
        <v>45622</v>
      </c>
      <c r="B34" s="101" t="str">
        <f>_xlfn.CONCAT(Serviços[[#This Row],[Loja]],Serviços[[#This Row],[Data]])</f>
        <v>BV45622</v>
      </c>
      <c r="C34" s="101" t="s">
        <v>36</v>
      </c>
      <c r="D34" s="71" t="s">
        <v>995</v>
      </c>
      <c r="E34" s="72">
        <v>5.9</v>
      </c>
      <c r="F34" s="72">
        <v>0</v>
      </c>
      <c r="G34" s="72">
        <v>0</v>
      </c>
      <c r="H34" s="72">
        <v>0.65</v>
      </c>
      <c r="I34" s="72">
        <f>SUM(Serviços[[#This Row],[Valor Inicial]:[Bonus]])-Serviços[[#This Row],[Saldo]]</f>
        <v>5.25</v>
      </c>
      <c r="J34" s="71">
        <f ca="1">COUNTIFS('Banco de Dados'!$F$2:$F$2123,"&lt;&gt;-",'Banco de Dados'!$B$2:$B$2123,Serviços[[#This Row],[Chave]])</f>
        <v>15</v>
      </c>
      <c r="K34" s="72">
        <f ca="1">IFERROR(ROUND(Serviços[[#This Row],[Gasto]]/Serviços[[#This Row],[Pedidos]],2),0)</f>
        <v>0.35</v>
      </c>
      <c r="M34" s="72"/>
      <c r="P34" s="72"/>
      <c r="S34" s="71"/>
    </row>
    <row r="35" spans="1:19" hidden="1">
      <c r="A35" s="89">
        <v>45623</v>
      </c>
      <c r="B35" s="101" t="str">
        <f>_xlfn.CONCAT(Serviços[[#This Row],[Loja]],Serviços[[#This Row],[Data]])</f>
        <v>BV45623</v>
      </c>
      <c r="C35" s="101" t="s">
        <v>36</v>
      </c>
      <c r="D35" s="71" t="s">
        <v>994</v>
      </c>
      <c r="E35" s="72">
        <v>2.0099999999999998</v>
      </c>
      <c r="F35" s="72">
        <v>0</v>
      </c>
      <c r="G35" s="72">
        <v>0</v>
      </c>
      <c r="H35" s="72">
        <v>0.31</v>
      </c>
      <c r="I35" s="72">
        <f>SUM(Serviços[[#This Row],[Valor Inicial]:[Bonus]])-Serviços[[#This Row],[Saldo]]</f>
        <v>1.6999999999999997</v>
      </c>
      <c r="J35" s="71">
        <f ca="1">COUNTIFS('Banco de Dados'!$F$2:$F$2123,"&lt;&gt;-",'Banco de Dados'!$B$2:$B$2123,Serviços[[#This Row],[Chave]])</f>
        <v>5</v>
      </c>
      <c r="K35" s="72">
        <f ca="1">IFERROR(ROUND(Serviços[[#This Row],[Gasto]]/Serviços[[#This Row],[Pedidos]],2),0)</f>
        <v>0.34</v>
      </c>
      <c r="M35" s="72"/>
      <c r="P35" s="72"/>
      <c r="S35" s="71"/>
    </row>
    <row r="36" spans="1:19" hidden="1">
      <c r="A36" s="89">
        <v>45624</v>
      </c>
      <c r="B36" s="101" t="str">
        <f>_xlfn.CONCAT(Serviços[[#This Row],[Loja]],Serviços[[#This Row],[Data]])</f>
        <v>BV45624</v>
      </c>
      <c r="C36" s="101" t="s">
        <v>36</v>
      </c>
      <c r="D36" s="71" t="s">
        <v>995</v>
      </c>
      <c r="E36" s="72">
        <v>0.25</v>
      </c>
      <c r="F36" s="72">
        <v>10</v>
      </c>
      <c r="G36" s="72">
        <v>0</v>
      </c>
      <c r="H36" s="72">
        <v>8.85</v>
      </c>
      <c r="I36" s="72">
        <f>SUM(Serviços[[#This Row],[Valor Inicial]:[Bonus]])-Serviços[[#This Row],[Saldo]]</f>
        <v>1.4000000000000004</v>
      </c>
      <c r="J36" s="71">
        <f ca="1">COUNTIFS('Banco de Dados'!$F$2:$F$2123,"&lt;&gt;-",'Banco de Dados'!$B$2:$B$2123,Serviços[[#This Row],[Chave]])</f>
        <v>10</v>
      </c>
      <c r="K36" s="72">
        <f ca="1">IFERROR(ROUND(Serviços[[#This Row],[Gasto]]/Serviços[[#This Row],[Pedidos]],2),0)</f>
        <v>0.14000000000000001</v>
      </c>
      <c r="M36" s="72"/>
      <c r="P36" s="72"/>
      <c r="S36" s="71"/>
    </row>
    <row r="37" spans="1:19" hidden="1">
      <c r="A37" s="89">
        <v>45625</v>
      </c>
      <c r="B37" s="101" t="str">
        <f>_xlfn.CONCAT(Serviços[[#This Row],[Loja]],Serviços[[#This Row],[Data]])</f>
        <v>BV45625</v>
      </c>
      <c r="C37" s="101" t="s">
        <v>36</v>
      </c>
      <c r="D37" s="71" t="s">
        <v>995</v>
      </c>
      <c r="E37" s="72">
        <v>8.85</v>
      </c>
      <c r="F37" s="72">
        <v>0</v>
      </c>
      <c r="G37" s="72">
        <v>0</v>
      </c>
      <c r="H37" s="72">
        <v>6.45</v>
      </c>
      <c r="I37" s="72">
        <f>SUM(Serviços[[#This Row],[Valor Inicial]:[Bonus]])-Serviços[[#This Row],[Saldo]]</f>
        <v>2.3999999999999995</v>
      </c>
      <c r="J37" s="71">
        <f ca="1">COUNTIFS('Banco de Dados'!$F$2:$F$2123,"&lt;&gt;-",'Banco de Dados'!$B$2:$B$2123,Serviços[[#This Row],[Chave]])</f>
        <v>10</v>
      </c>
      <c r="K37" s="72">
        <f ca="1">IFERROR(ROUND(Serviços[[#This Row],[Gasto]]/Serviços[[#This Row],[Pedidos]],2),0)</f>
        <v>0.24</v>
      </c>
      <c r="M37" s="72"/>
      <c r="P37" s="72"/>
      <c r="S37" s="71"/>
    </row>
    <row r="38" spans="1:19" hidden="1">
      <c r="A38" s="89">
        <v>45628</v>
      </c>
      <c r="B38" s="101" t="str">
        <f>_xlfn.CONCAT(Serviços[[#This Row],[Loja]],Serviços[[#This Row],[Data]])</f>
        <v>BV45628</v>
      </c>
      <c r="C38" s="101" t="s">
        <v>36</v>
      </c>
      <c r="D38" s="71" t="s">
        <v>995</v>
      </c>
      <c r="E38" s="72">
        <v>6.45</v>
      </c>
      <c r="F38" s="72">
        <v>0</v>
      </c>
      <c r="G38" s="72">
        <v>0</v>
      </c>
      <c r="H38" s="72">
        <v>2.65</v>
      </c>
      <c r="I38" s="72">
        <f>SUM(Serviços[[#This Row],[Valor Inicial]:[Bonus]])-Serviços[[#This Row],[Saldo]]</f>
        <v>3.8000000000000003</v>
      </c>
      <c r="J38" s="71">
        <f ca="1">COUNTIFS('Banco de Dados'!$F$2:$F$2123,"&lt;&gt;-",'Banco de Dados'!$B$2:$B$2123,Serviços[[#This Row],[Chave]])</f>
        <v>18</v>
      </c>
      <c r="K38" s="72">
        <f ca="1">IFERROR(ROUND(Serviços[[#This Row],[Gasto]]/Serviços[[#This Row],[Pedidos]],2),0)</f>
        <v>0.21</v>
      </c>
      <c r="M38" s="72"/>
      <c r="P38" s="72"/>
      <c r="S38" s="71"/>
    </row>
    <row r="39" spans="1:19" hidden="1">
      <c r="A39" s="89">
        <v>45629</v>
      </c>
      <c r="B39" s="101" t="str">
        <f>_xlfn.CONCAT(Serviços[[#This Row],[Loja]],Serviços[[#This Row],[Data]])</f>
        <v>BV45629</v>
      </c>
      <c r="C39" s="101" t="s">
        <v>36</v>
      </c>
      <c r="D39" s="71" t="s">
        <v>995</v>
      </c>
      <c r="E39" s="72">
        <v>2.65</v>
      </c>
      <c r="F39" s="72">
        <v>0</v>
      </c>
      <c r="G39" s="72">
        <v>0</v>
      </c>
      <c r="H39" s="72">
        <v>0.45</v>
      </c>
      <c r="I39" s="72">
        <f>SUM(Serviços[[#This Row],[Valor Inicial]:[Bonus]])-Serviços[[#This Row],[Saldo]]</f>
        <v>2.1999999999999997</v>
      </c>
      <c r="J39" s="71">
        <f ca="1">COUNTIFS('Banco de Dados'!$F$2:$F$2123,"&lt;&gt;-",'Banco de Dados'!$B$2:$B$2123,Serviços[[#This Row],[Chave]])</f>
        <v>10</v>
      </c>
      <c r="K39" s="72">
        <f ca="1">IFERROR(ROUND(Serviços[[#This Row],[Gasto]]/Serviços[[#This Row],[Pedidos]],2),0)</f>
        <v>0.22</v>
      </c>
      <c r="M39" s="72"/>
      <c r="P39" s="72"/>
      <c r="S39" s="71"/>
    </row>
    <row r="40" spans="1:19" hidden="1">
      <c r="A40" s="89">
        <v>45630</v>
      </c>
      <c r="B40" s="101" t="str">
        <f>_xlfn.CONCAT(Serviços[[#This Row],[Loja]],Serviços[[#This Row],[Data]])</f>
        <v>BV45630</v>
      </c>
      <c r="C40" s="101" t="s">
        <v>36</v>
      </c>
      <c r="D40" s="71" t="s">
        <v>995</v>
      </c>
      <c r="E40" s="72">
        <v>0.45</v>
      </c>
      <c r="F40" s="72">
        <v>10</v>
      </c>
      <c r="G40" s="72">
        <v>0</v>
      </c>
      <c r="H40" s="72">
        <v>9.85</v>
      </c>
      <c r="I40" s="72">
        <f>SUM(Serviços[[#This Row],[Valor Inicial]:[Bonus]])-Serviços[[#This Row],[Saldo]]</f>
        <v>0.59999999999999964</v>
      </c>
      <c r="J40" s="71">
        <f ca="1">COUNTIFS('Banco de Dados'!$F$2:$F$2123,"&lt;&gt;-",'Banco de Dados'!$B$2:$B$2123,Serviços[[#This Row],[Chave]])</f>
        <v>8</v>
      </c>
      <c r="K40" s="72">
        <f ca="1">IFERROR(ROUND(Serviços[[#This Row],[Gasto]]/Serviços[[#This Row],[Pedidos]],2),0)</f>
        <v>0.08</v>
      </c>
      <c r="M40" s="72"/>
      <c r="P40" s="72"/>
      <c r="S40" s="71"/>
    </row>
    <row r="41" spans="1:19" hidden="1">
      <c r="A41" s="89">
        <v>45632</v>
      </c>
      <c r="B41" s="101" t="str">
        <f>_xlfn.CONCAT(Serviços[[#This Row],[Loja]],Serviços[[#This Row],[Data]])</f>
        <v>BV45632</v>
      </c>
      <c r="C41" s="101" t="s">
        <v>36</v>
      </c>
      <c r="D41" s="71" t="s">
        <v>995</v>
      </c>
      <c r="E41" s="72">
        <v>9.65</v>
      </c>
      <c r="F41" s="72">
        <v>0</v>
      </c>
      <c r="G41" s="72">
        <v>0</v>
      </c>
      <c r="H41" s="72">
        <v>7.25</v>
      </c>
      <c r="I41" s="72">
        <f>SUM(Serviços[[#This Row],[Valor Inicial]:[Bonus]])-Serviços[[#This Row],[Saldo]]</f>
        <v>2.4000000000000004</v>
      </c>
      <c r="J41" s="71">
        <f ca="1">COUNTIFS('Banco de Dados'!$F$2:$F$2123,"&lt;&gt;-",'Banco de Dados'!$B$2:$B$2123,Serviços[[#This Row],[Chave]])</f>
        <v>11</v>
      </c>
      <c r="K41" s="72">
        <f ca="1">IFERROR(ROUND(Serviços[[#This Row],[Gasto]]/Serviços[[#This Row],[Pedidos]],2),0)</f>
        <v>0.22</v>
      </c>
      <c r="M41" s="72"/>
      <c r="P41" s="72"/>
      <c r="S41" s="71"/>
    </row>
    <row r="42" spans="1:19" hidden="1">
      <c r="A42" s="89">
        <v>45635</v>
      </c>
      <c r="B42" s="101" t="str">
        <f>_xlfn.CONCAT(Serviços[[#This Row],[Loja]],Serviços[[#This Row],[Data]])</f>
        <v>BV45635</v>
      </c>
      <c r="C42" s="101" t="s">
        <v>36</v>
      </c>
      <c r="D42" s="71" t="s">
        <v>995</v>
      </c>
      <c r="E42" s="72">
        <v>7.25</v>
      </c>
      <c r="F42" s="72">
        <v>0</v>
      </c>
      <c r="G42" s="72">
        <v>0</v>
      </c>
      <c r="H42" s="72">
        <v>6.05</v>
      </c>
      <c r="I42" s="72">
        <f>SUM(Serviços[[#This Row],[Valor Inicial]:[Bonus]])-Serviços[[#This Row],[Saldo]]</f>
        <v>1.2000000000000002</v>
      </c>
      <c r="J42" s="71">
        <f ca="1">COUNTIFS('Banco de Dados'!$F$2:$F$2123,"&lt;&gt;-",'Banco de Dados'!$B$2:$B$2123,Serviços[[#This Row],[Chave]])</f>
        <v>6</v>
      </c>
      <c r="K42" s="72">
        <f ca="1">IFERROR(ROUND(Serviços[[#This Row],[Gasto]]/Serviços[[#This Row],[Pedidos]],2),0)</f>
        <v>0.2</v>
      </c>
      <c r="M42" s="72"/>
      <c r="P42" s="72"/>
      <c r="S42" s="71"/>
    </row>
    <row r="43" spans="1:19" hidden="1">
      <c r="A43" s="89">
        <v>45636</v>
      </c>
      <c r="B43" s="101" t="str">
        <f>_xlfn.CONCAT(Serviços[[#This Row],[Loja]],Serviços[[#This Row],[Data]])</f>
        <v>BV45636</v>
      </c>
      <c r="C43" s="101" t="s">
        <v>36</v>
      </c>
      <c r="D43" s="71" t="s">
        <v>995</v>
      </c>
      <c r="E43" s="72">
        <v>6.05</v>
      </c>
      <c r="F43" s="72">
        <v>0</v>
      </c>
      <c r="G43" s="72">
        <v>0</v>
      </c>
      <c r="H43" s="72">
        <v>5.45</v>
      </c>
      <c r="I43" s="72">
        <f>SUM(Serviços[[#This Row],[Valor Inicial]:[Bonus]])-Serviços[[#This Row],[Saldo]]</f>
        <v>0.59999999999999964</v>
      </c>
      <c r="J43" s="71">
        <f ca="1">COUNTIFS('Banco de Dados'!$F$2:$F$2123,"&lt;&gt;-",'Banco de Dados'!$B$2:$B$2123,Serviços[[#This Row],[Chave]])</f>
        <v>3</v>
      </c>
      <c r="K43" s="72">
        <f ca="1">IFERROR(ROUND(Serviços[[#This Row],[Gasto]]/Serviços[[#This Row],[Pedidos]],2),0)</f>
        <v>0.2</v>
      </c>
      <c r="M43" s="72"/>
      <c r="P43" s="72"/>
      <c r="S43" s="71"/>
    </row>
    <row r="44" spans="1:19" hidden="1">
      <c r="A44" s="89">
        <v>45637</v>
      </c>
      <c r="B44" s="101" t="str">
        <f>_xlfn.CONCAT(Serviços[[#This Row],[Loja]],Serviços[[#This Row],[Data]])</f>
        <v>BV45637</v>
      </c>
      <c r="C44" s="101" t="s">
        <v>36</v>
      </c>
      <c r="D44" s="71" t="s">
        <v>996</v>
      </c>
      <c r="E44" s="72">
        <v>0.06</v>
      </c>
      <c r="F44" s="72">
        <v>10</v>
      </c>
      <c r="G44" s="72">
        <v>0</v>
      </c>
      <c r="H44" s="72">
        <v>7.26</v>
      </c>
      <c r="I44" s="72">
        <f>SUM(Serviços[[#This Row],[Valor Inicial]:[Bonus]])-Serviços[[#This Row],[Saldo]]</f>
        <v>2.8000000000000007</v>
      </c>
      <c r="J44" s="71">
        <f ca="1">COUNTIFS('Banco de Dados'!$F$2:$F$2123,"&lt;&gt;-",'Banco de Dados'!$B$2:$B$2123,Serviços[[#This Row],[Chave]])</f>
        <v>9</v>
      </c>
      <c r="K44" s="72">
        <f ca="1">IFERROR(ROUND(Serviços[[#This Row],[Gasto]]/Serviços[[#This Row],[Pedidos]],2),0)</f>
        <v>0.31</v>
      </c>
      <c r="M44" s="72"/>
      <c r="P44" s="72"/>
      <c r="S44" s="71"/>
    </row>
    <row r="45" spans="1:19" hidden="1">
      <c r="A45" s="89">
        <v>45638</v>
      </c>
      <c r="B45" s="101" t="str">
        <f>_xlfn.CONCAT(Serviços[[#This Row],[Loja]],Serviços[[#This Row],[Data]])</f>
        <v>BV45638</v>
      </c>
      <c r="C45" s="101" t="s">
        <v>36</v>
      </c>
      <c r="D45" s="71" t="s">
        <v>995</v>
      </c>
      <c r="E45" s="72">
        <v>5.45</v>
      </c>
      <c r="F45" s="72">
        <v>0</v>
      </c>
      <c r="G45" s="72">
        <v>0</v>
      </c>
      <c r="H45" s="72">
        <v>3.05</v>
      </c>
      <c r="I45" s="72">
        <f>SUM(Serviços[[#This Row],[Valor Inicial]:[Bonus]])-Serviços[[#This Row],[Saldo]]</f>
        <v>2.4000000000000004</v>
      </c>
      <c r="J45" s="71">
        <f ca="1">COUNTIFS('Banco de Dados'!$F$2:$F$2123,"&lt;&gt;-",'Banco de Dados'!$B$2:$B$2123,Serviços[[#This Row],[Chave]])</f>
        <v>12</v>
      </c>
      <c r="K45" s="72">
        <f ca="1">IFERROR(ROUND(Serviços[[#This Row],[Gasto]]/Serviços[[#This Row],[Pedidos]],2),0)</f>
        <v>0.2</v>
      </c>
      <c r="M45" s="72"/>
      <c r="P45" s="72"/>
      <c r="S45" s="71"/>
    </row>
    <row r="46" spans="1:19" hidden="1">
      <c r="A46" s="89">
        <v>45639</v>
      </c>
      <c r="B46" s="101" t="str">
        <f>_xlfn.CONCAT(Serviços[[#This Row],[Loja]],Serviços[[#This Row],[Data]])</f>
        <v>BV45639</v>
      </c>
      <c r="C46" s="101" t="s">
        <v>36</v>
      </c>
      <c r="D46" s="71" t="s">
        <v>995</v>
      </c>
      <c r="E46" s="72">
        <v>3.05</v>
      </c>
      <c r="F46" s="72">
        <v>0</v>
      </c>
      <c r="G46" s="72">
        <v>0</v>
      </c>
      <c r="H46" s="72">
        <v>0.05</v>
      </c>
      <c r="I46" s="72">
        <f>SUM(Serviços[[#This Row],[Valor Inicial]:[Bonus]])-Serviços[[#This Row],[Saldo]]</f>
        <v>3</v>
      </c>
      <c r="J46" s="71">
        <f ca="1">COUNTIFS('Banco de Dados'!$F$2:$F$2123,"&lt;&gt;-",'Banco de Dados'!$B$2:$B$2123,Serviços[[#This Row],[Chave]])</f>
        <v>15</v>
      </c>
      <c r="K46" s="72">
        <f ca="1">IFERROR(ROUND(Serviços[[#This Row],[Gasto]]/Serviços[[#This Row],[Pedidos]],2),0)</f>
        <v>0.2</v>
      </c>
      <c r="M46" s="72"/>
      <c r="P46" s="72"/>
      <c r="S46" s="71"/>
    </row>
    <row r="47" spans="1:19" hidden="1">
      <c r="A47" s="89">
        <v>45641</v>
      </c>
      <c r="B47" s="101" t="str">
        <f>_xlfn.CONCAT(Serviços[[#This Row],[Loja]],Serviços[[#This Row],[Data]])</f>
        <v>BV45641</v>
      </c>
      <c r="C47" s="101" t="s">
        <v>36</v>
      </c>
      <c r="D47" s="71" t="s">
        <v>996</v>
      </c>
      <c r="E47" s="72">
        <v>7.26</v>
      </c>
      <c r="F47" s="72">
        <v>0</v>
      </c>
      <c r="G47" s="72">
        <v>0</v>
      </c>
      <c r="H47" s="72">
        <v>4.46</v>
      </c>
      <c r="I47" s="72">
        <f>SUM(Serviços[[#This Row],[Valor Inicial]:[Bonus]])-Serviços[[#This Row],[Saldo]]</f>
        <v>2.8</v>
      </c>
      <c r="J47" s="71">
        <f ca="1">COUNTIFS('Banco de Dados'!$F$2:$F$2123,"&lt;&gt;-",'Banco de Dados'!$B$2:$B$2123,Serviços[[#This Row],[Chave]])</f>
        <v>9</v>
      </c>
      <c r="K47" s="72">
        <f ca="1">IFERROR(ROUND(Serviços[[#This Row],[Gasto]]/Serviços[[#This Row],[Pedidos]],2),0)</f>
        <v>0.31</v>
      </c>
      <c r="M47" s="72"/>
      <c r="P47" s="72"/>
      <c r="S47" s="71"/>
    </row>
    <row r="48" spans="1:19" hidden="1">
      <c r="A48" s="89">
        <v>45642</v>
      </c>
      <c r="B48" s="101" t="str">
        <f>_xlfn.CONCAT(Serviços[[#This Row],[Loja]],Serviços[[#This Row],[Data]])</f>
        <v>BV45642</v>
      </c>
      <c r="C48" s="101" t="s">
        <v>36</v>
      </c>
      <c r="D48" s="71" t="s">
        <v>995</v>
      </c>
      <c r="E48" s="72">
        <v>0.05</v>
      </c>
      <c r="F48" s="72">
        <v>10</v>
      </c>
      <c r="G48" s="72">
        <v>0</v>
      </c>
      <c r="H48" s="72">
        <v>8.4499999999999993</v>
      </c>
      <c r="I48" s="72">
        <f>SUM(Serviços[[#This Row],[Valor Inicial]:[Bonus]])-Serviços[[#This Row],[Saldo]]</f>
        <v>1.6000000000000014</v>
      </c>
      <c r="J48" s="71">
        <f ca="1">COUNTIFS('Banco de Dados'!$F$2:$F$2123,"&lt;&gt;-",'Banco de Dados'!$B$2:$B$2123,Serviços[[#This Row],[Chave]])</f>
        <v>11</v>
      </c>
      <c r="K48" s="72">
        <f ca="1">IFERROR(ROUND(Serviços[[#This Row],[Gasto]]/Serviços[[#This Row],[Pedidos]],2),0)</f>
        <v>0.15</v>
      </c>
      <c r="M48" s="72"/>
      <c r="P48" s="72"/>
      <c r="S48" s="71"/>
    </row>
    <row r="49" spans="1:19" hidden="1">
      <c r="A49" s="89">
        <v>45643</v>
      </c>
      <c r="B49" s="101" t="str">
        <f>_xlfn.CONCAT(Serviços[[#This Row],[Loja]],Serviços[[#This Row],[Data]])</f>
        <v>BV45643</v>
      </c>
      <c r="C49" s="101" t="s">
        <v>36</v>
      </c>
      <c r="D49" s="71" t="s">
        <v>995</v>
      </c>
      <c r="E49" s="72">
        <v>8.4499999999999993</v>
      </c>
      <c r="F49" s="72">
        <v>0</v>
      </c>
      <c r="G49" s="72">
        <v>0</v>
      </c>
      <c r="H49" s="72">
        <v>7.85</v>
      </c>
      <c r="I49" s="72">
        <f>SUM(Serviços[[#This Row],[Valor Inicial]:[Bonus]])-Serviços[[#This Row],[Saldo]]</f>
        <v>0.59999999999999964</v>
      </c>
      <c r="J49" s="71">
        <f ca="1">COUNTIFS('Banco de Dados'!$F$2:$F$2123,"&lt;&gt;-",'Banco de Dados'!$B$2:$B$2123,Serviços[[#This Row],[Chave]])</f>
        <v>3</v>
      </c>
      <c r="K49" s="72">
        <f ca="1">IFERROR(ROUND(Serviços[[#This Row],[Gasto]]/Serviços[[#This Row],[Pedidos]],2),0)</f>
        <v>0.2</v>
      </c>
      <c r="M49" s="72"/>
      <c r="P49" s="72"/>
      <c r="S49" s="71"/>
    </row>
    <row r="50" spans="1:19" hidden="1">
      <c r="A50" s="89">
        <v>45645</v>
      </c>
      <c r="B50" s="101" t="str">
        <f>_xlfn.CONCAT(Serviços[[#This Row],[Loja]],Serviços[[#This Row],[Data]])</f>
        <v>BV45645</v>
      </c>
      <c r="C50" s="101" t="s">
        <v>36</v>
      </c>
      <c r="D50" s="71" t="s">
        <v>994</v>
      </c>
      <c r="E50" s="72">
        <v>12.31</v>
      </c>
      <c r="F50" s="72">
        <v>0</v>
      </c>
      <c r="G50" s="72">
        <v>0</v>
      </c>
      <c r="H50" s="72">
        <v>9.58</v>
      </c>
      <c r="I50" s="72">
        <f>SUM(Serviços[[#This Row],[Valor Inicial]:[Bonus]])-Serviços[[#This Row],[Saldo]]</f>
        <v>2.7300000000000004</v>
      </c>
      <c r="J50" s="71">
        <f ca="1">COUNTIFS('Banco de Dados'!$F$2:$F$2123,"&lt;&gt;-",'Banco de Dados'!$B$2:$B$2123,Serviços[[#This Row],[Chave]])</f>
        <v>8</v>
      </c>
      <c r="K50" s="72">
        <f ca="1">IFERROR(ROUND(Serviços[[#This Row],[Gasto]]/Serviços[[#This Row],[Pedidos]],2),0)</f>
        <v>0.34</v>
      </c>
      <c r="M50" s="72"/>
      <c r="P50" s="72"/>
      <c r="S50" s="71"/>
    </row>
    <row r="51" spans="1:19" hidden="1">
      <c r="A51" s="89">
        <v>45647</v>
      </c>
      <c r="B51" s="101" t="str">
        <f>_xlfn.CONCAT(Serviços[[#This Row],[Loja]],Serviços[[#This Row],[Data]])</f>
        <v>BV45647</v>
      </c>
      <c r="C51" s="101" t="s">
        <v>36</v>
      </c>
      <c r="D51" s="71" t="s">
        <v>995</v>
      </c>
      <c r="E51" s="72">
        <v>6.65</v>
      </c>
      <c r="F51" s="72">
        <v>0</v>
      </c>
      <c r="G51" s="72">
        <v>0</v>
      </c>
      <c r="H51" s="72">
        <v>5.45</v>
      </c>
      <c r="I51" s="72">
        <f>SUM(Serviços[[#This Row],[Valor Inicial]:[Bonus]])-Serviços[[#This Row],[Saldo]]</f>
        <v>1.2000000000000002</v>
      </c>
      <c r="J51" s="71">
        <f ca="1">COUNTIFS('Banco de Dados'!$F$2:$F$2123,"&lt;&gt;-",'Banco de Dados'!$B$2:$B$2123,Serviços[[#This Row],[Chave]])</f>
        <v>5</v>
      </c>
      <c r="K51" s="72">
        <f ca="1">IFERROR(ROUND(Serviços[[#This Row],[Gasto]]/Serviços[[#This Row],[Pedidos]],2),0)</f>
        <v>0.24</v>
      </c>
      <c r="M51" s="72"/>
      <c r="P51" s="72"/>
      <c r="S51" s="71"/>
    </row>
    <row r="52" spans="1:19" hidden="1">
      <c r="A52" s="89">
        <v>45648</v>
      </c>
      <c r="B52" s="101" t="str">
        <f>_xlfn.CONCAT(Serviços[[#This Row],[Loja]],Serviços[[#This Row],[Data]])</f>
        <v>BV45648</v>
      </c>
      <c r="C52" s="101" t="s">
        <v>36</v>
      </c>
      <c r="D52" s="71" t="s">
        <v>995</v>
      </c>
      <c r="E52" s="72">
        <v>5.45</v>
      </c>
      <c r="F52" s="72">
        <v>0</v>
      </c>
      <c r="G52" s="72">
        <v>0</v>
      </c>
      <c r="H52" s="72">
        <v>3.05</v>
      </c>
      <c r="I52" s="72">
        <f>SUM(Serviços[[#This Row],[Valor Inicial]:[Bonus]])-Serviços[[#This Row],[Saldo]]</f>
        <v>2.4000000000000004</v>
      </c>
      <c r="J52" s="71">
        <f ca="1">COUNTIFS('Banco de Dados'!$F$2:$F$2123,"&lt;&gt;-",'Banco de Dados'!$B$2:$B$2123,Serviços[[#This Row],[Chave]])</f>
        <v>8</v>
      </c>
      <c r="K52" s="72">
        <f ca="1">IFERROR(ROUND(Serviços[[#This Row],[Gasto]]/Serviços[[#This Row],[Pedidos]],2),0)</f>
        <v>0.3</v>
      </c>
      <c r="M52" s="72"/>
      <c r="P52" s="72"/>
      <c r="S52" s="71"/>
    </row>
    <row r="53" spans="1:19" hidden="1">
      <c r="A53" s="89">
        <v>45652</v>
      </c>
      <c r="B53" s="101" t="str">
        <f>_xlfn.CONCAT(Serviços[[#This Row],[Loja]],Serviços[[#This Row],[Data]])</f>
        <v>BV45652</v>
      </c>
      <c r="C53" s="101" t="s">
        <v>36</v>
      </c>
      <c r="D53" s="71" t="s">
        <v>995</v>
      </c>
      <c r="E53" s="72">
        <v>3.05</v>
      </c>
      <c r="F53" s="72">
        <v>10</v>
      </c>
      <c r="G53" s="72">
        <v>0</v>
      </c>
      <c r="H53" s="72">
        <v>9.4499999999999993</v>
      </c>
      <c r="I53" s="72">
        <f>SUM(Serviços[[#This Row],[Valor Inicial]:[Bonus]])-Serviços[[#This Row],[Saldo]]</f>
        <v>3.6000000000000014</v>
      </c>
      <c r="J53" s="71">
        <f ca="1">COUNTIFS('Banco de Dados'!$F$2:$F$2123,"&lt;&gt;-",'Banco de Dados'!$B$2:$B$2123,Serviços[[#This Row],[Chave]])</f>
        <v>21</v>
      </c>
      <c r="K53" s="72">
        <f ca="1">IFERROR(ROUND(Serviços[[#This Row],[Gasto]]/Serviços[[#This Row],[Pedidos]],2),0)</f>
        <v>0.17</v>
      </c>
      <c r="M53" s="72"/>
      <c r="P53" s="72"/>
      <c r="S53" s="71"/>
    </row>
    <row r="54" spans="1:19" hidden="1">
      <c r="A54" s="89">
        <v>45653</v>
      </c>
      <c r="B54" s="101" t="str">
        <f>_xlfn.CONCAT(Serviços[[#This Row],[Loja]],Serviços[[#This Row],[Data]])</f>
        <v>BV45653</v>
      </c>
      <c r="C54" s="101" t="s">
        <v>36</v>
      </c>
      <c r="D54" s="71" t="s">
        <v>995</v>
      </c>
      <c r="E54" s="72">
        <v>9.4499999999999993</v>
      </c>
      <c r="F54" s="72">
        <v>0</v>
      </c>
      <c r="G54" s="72">
        <v>0</v>
      </c>
      <c r="H54" s="72">
        <v>7.45</v>
      </c>
      <c r="I54" s="72">
        <f>SUM(Serviços[[#This Row],[Valor Inicial]:[Bonus]])-Serviços[[#This Row],[Saldo]]</f>
        <v>1.9999999999999991</v>
      </c>
      <c r="J54" s="71">
        <f ca="1">COUNTIFS('Banco de Dados'!$F$2:$F$2123,"&lt;&gt;-",'Banco de Dados'!$B$2:$B$2123,Serviços[[#This Row],[Chave]])</f>
        <v>8</v>
      </c>
      <c r="K54" s="72">
        <f ca="1">IFERROR(ROUND(Serviços[[#This Row],[Gasto]]/Serviços[[#This Row],[Pedidos]],2),0)</f>
        <v>0.25</v>
      </c>
      <c r="M54" s="72"/>
      <c r="P54" s="72"/>
      <c r="S54" s="71"/>
    </row>
    <row r="55" spans="1:19" hidden="1">
      <c r="A55" s="89">
        <v>45656</v>
      </c>
      <c r="B55" s="101" t="str">
        <f>_xlfn.CONCAT(Serviços[[#This Row],[Loja]],Serviços[[#This Row],[Data]])</f>
        <v>BV45656</v>
      </c>
      <c r="C55" s="101" t="s">
        <v>36</v>
      </c>
      <c r="D55" s="71" t="s">
        <v>995</v>
      </c>
      <c r="E55" s="72">
        <v>7.45</v>
      </c>
      <c r="F55" s="72">
        <v>0</v>
      </c>
      <c r="G55" s="72">
        <v>0</v>
      </c>
      <c r="H55" s="72">
        <v>3.65</v>
      </c>
      <c r="I55" s="72">
        <f>SUM(Serviços[[#This Row],[Valor Inicial]:[Bonus]])-Serviços[[#This Row],[Saldo]]</f>
        <v>3.8000000000000003</v>
      </c>
      <c r="J55" s="71">
        <f ca="1">COUNTIFS('Banco de Dados'!$F$2:$F$2123,"&lt;&gt;-",'Banco de Dados'!$B$2:$B$2123,Serviços[[#This Row],[Chave]])</f>
        <v>16</v>
      </c>
      <c r="K55" s="72">
        <f ca="1">IFERROR(ROUND(Serviços[[#This Row],[Gasto]]/Serviços[[#This Row],[Pedidos]],2),0)</f>
        <v>0.24</v>
      </c>
      <c r="M55" s="72"/>
      <c r="P55" s="72"/>
      <c r="S55" s="71"/>
    </row>
    <row r="56" spans="1:19">
      <c r="A56" s="89">
        <v>45659</v>
      </c>
      <c r="B56" s="101" t="str">
        <f>_xlfn.CONCAT(Serviços[[#This Row],[Loja]],Serviços[[#This Row],[Data]])</f>
        <v>BV45659</v>
      </c>
      <c r="C56" s="101" t="s">
        <v>36</v>
      </c>
      <c r="D56" s="71" t="s">
        <v>995</v>
      </c>
      <c r="E56" s="72">
        <v>3.65</v>
      </c>
      <c r="F56" s="72">
        <v>10</v>
      </c>
      <c r="G56" s="72">
        <v>0</v>
      </c>
      <c r="H56" s="72">
        <v>9.4499999999999993</v>
      </c>
      <c r="I56" s="72">
        <f>SUM(Serviços[[#This Row],[Valor Inicial]:[Bonus]])-Serviços[[#This Row],[Saldo]]</f>
        <v>4.2000000000000011</v>
      </c>
      <c r="J56" s="71">
        <f ca="1">COUNTIFS('Banco de Dados'!$F$2:$F$2123,"&lt;&gt;-",'Banco de Dados'!$B$2:$B$2123,Serviços[[#This Row],[Chave]])</f>
        <v>26</v>
      </c>
      <c r="K56" s="72">
        <f ca="1">IFERROR(ROUND(Serviços[[#This Row],[Gasto]]/Serviços[[#This Row],[Pedidos]],2),0)</f>
        <v>0.16</v>
      </c>
      <c r="M56" s="72"/>
      <c r="P56" s="72"/>
      <c r="S56" s="71"/>
    </row>
    <row r="57" spans="1:19">
      <c r="A57" s="89">
        <v>45660</v>
      </c>
      <c r="B57" s="101" t="str">
        <f>_xlfn.CONCAT(Serviços[[#This Row],[Loja]],Serviços[[#This Row],[Data]])</f>
        <v>BV45660</v>
      </c>
      <c r="C57" s="101" t="s">
        <v>36</v>
      </c>
      <c r="D57" s="71" t="s">
        <v>995</v>
      </c>
      <c r="E57" s="72">
        <v>9.4499999999999993</v>
      </c>
      <c r="F57" s="72">
        <v>0</v>
      </c>
      <c r="G57" s="72">
        <v>0</v>
      </c>
      <c r="H57" s="72">
        <v>6.05</v>
      </c>
      <c r="I57" s="72">
        <f>SUM(Serviços[[#This Row],[Valor Inicial]:[Bonus]])-Serviços[[#This Row],[Saldo]]</f>
        <v>3.3999999999999995</v>
      </c>
      <c r="J57" s="71">
        <f ca="1">COUNTIFS('Banco de Dados'!$F$2:$F$2123,"&lt;&gt;-",'Banco de Dados'!$B$2:$B$2123,Serviços[[#This Row],[Chave]])</f>
        <v>15</v>
      </c>
      <c r="K57" s="72">
        <f ca="1">IFERROR(ROUND(Serviços[[#This Row],[Gasto]]/Serviços[[#This Row],[Pedidos]],2),0)</f>
        <v>0.23</v>
      </c>
      <c r="M57" s="72"/>
      <c r="P57" s="72"/>
      <c r="S57" s="71"/>
    </row>
    <row r="58" spans="1:19">
      <c r="A58" s="89">
        <v>45662</v>
      </c>
      <c r="B58" s="101" t="str">
        <f>_xlfn.CONCAT(Serviços[[#This Row],[Loja]],Serviços[[#This Row],[Data]])</f>
        <v>BV45662</v>
      </c>
      <c r="C58" s="101" t="s">
        <v>36</v>
      </c>
      <c r="D58" s="71" t="s">
        <v>995</v>
      </c>
      <c r="E58" s="72">
        <v>6.05</v>
      </c>
      <c r="F58" s="72">
        <v>0</v>
      </c>
      <c r="G58" s="72">
        <v>0</v>
      </c>
      <c r="H58" s="72">
        <v>1.85</v>
      </c>
      <c r="I58" s="72">
        <f>SUM(Serviços[[#This Row],[Valor Inicial]:[Bonus]])-Serviços[[#This Row],[Saldo]]</f>
        <v>4.1999999999999993</v>
      </c>
      <c r="J58" s="71">
        <f ca="1">COUNTIFS('Banco de Dados'!$F$2:$F$2123,"&lt;&gt;-",'Banco de Dados'!$B$2:$B$2123,Serviços[[#This Row],[Chave]])</f>
        <v>19</v>
      </c>
      <c r="K58" s="72">
        <f ca="1">IFERROR(ROUND(Serviços[[#This Row],[Gasto]]/Serviços[[#This Row],[Pedidos]],2),0)</f>
        <v>0.22</v>
      </c>
      <c r="M58" s="72"/>
      <c r="P58" s="72"/>
      <c r="S58" s="71"/>
    </row>
    <row r="59" spans="1:19">
      <c r="A59" s="89">
        <v>45663</v>
      </c>
      <c r="B59" s="101" t="str">
        <f>_xlfn.CONCAT(Serviços[[#This Row],[Loja]],Serviços[[#This Row],[Data]])</f>
        <v>BV45663</v>
      </c>
      <c r="C59" s="101" t="s">
        <v>36</v>
      </c>
      <c r="D59" s="71" t="s">
        <v>995</v>
      </c>
      <c r="E59" s="72">
        <v>1.85</v>
      </c>
      <c r="F59" s="72">
        <v>0</v>
      </c>
      <c r="G59" s="72">
        <v>0</v>
      </c>
      <c r="H59" s="72">
        <v>1.6500000000000001</v>
      </c>
      <c r="I59" s="72">
        <f>SUM(Serviços[[#This Row],[Valor Inicial]:[Bonus]])-Serviços[[#This Row],[Saldo]]</f>
        <v>0.19999999999999996</v>
      </c>
      <c r="J59" s="71">
        <f ca="1">COUNTIFS('Banco de Dados'!$F$2:$F$2123,"&lt;&gt;-",'Banco de Dados'!$B$2:$B$2123,Serviços[[#This Row],[Chave]])</f>
        <v>1</v>
      </c>
      <c r="K59" s="72">
        <f ca="1">IFERROR(ROUND(Serviços[[#This Row],[Gasto]]/Serviços[[#This Row],[Pedidos]],2),0)</f>
        <v>0.2</v>
      </c>
      <c r="M59" s="72"/>
      <c r="P59" s="72"/>
      <c r="S59" s="71"/>
    </row>
    <row r="60" spans="1:19">
      <c r="A60" s="89">
        <v>45666</v>
      </c>
      <c r="B60" s="101" t="str">
        <f>_xlfn.CONCAT(Serviços[[#This Row],[Loja]],Serviços[[#This Row],[Data]])</f>
        <v>BV45666</v>
      </c>
      <c r="C60" s="101" t="s">
        <v>36</v>
      </c>
      <c r="D60" s="71" t="s">
        <v>994</v>
      </c>
      <c r="E60" s="72">
        <v>4.58</v>
      </c>
      <c r="F60" s="72">
        <v>10</v>
      </c>
      <c r="G60" s="72">
        <v>0</v>
      </c>
      <c r="H60" s="72">
        <f>8.45+0.2</f>
        <v>8.6499999999999986</v>
      </c>
      <c r="I60" s="72">
        <f>SUM(Serviços[[#This Row],[Valor Inicial]:[Bonus]])-Serviços[[#This Row],[Saldo]]</f>
        <v>5.9300000000000015</v>
      </c>
      <c r="J60" s="71">
        <f ca="1">COUNTIFS('Banco de Dados'!$F$2:$F$2123,"&lt;&gt;-",'Banco de Dados'!$B$2:$B$2123,Serviços[[#This Row],[Chave]])</f>
        <v>9</v>
      </c>
      <c r="K60" s="72">
        <f ca="1">IFERROR(ROUND(Serviços[[#This Row],[Gasto]]/Serviços[[#This Row],[Pedidos]],2),0)</f>
        <v>0.66</v>
      </c>
      <c r="M60" s="72"/>
      <c r="P60" s="72"/>
      <c r="S60" s="71"/>
    </row>
    <row r="61" spans="1:19">
      <c r="A61" s="89">
        <v>45667</v>
      </c>
      <c r="B61" s="101" t="str">
        <f>_xlfn.CONCAT(Serviços[[#This Row],[Loja]],Serviços[[#This Row],[Data]])</f>
        <v>BV45667</v>
      </c>
      <c r="C61" s="101" t="s">
        <v>36</v>
      </c>
      <c r="D61" s="71" t="s">
        <v>995</v>
      </c>
      <c r="E61" s="72">
        <v>12.7</v>
      </c>
      <c r="F61" s="72">
        <v>0</v>
      </c>
      <c r="G61" s="72">
        <v>0</v>
      </c>
      <c r="H61" s="72">
        <v>7.9</v>
      </c>
      <c r="I61" s="72">
        <f>SUM(Serviços[[#This Row],[Valor Inicial]:[Bonus]])-Serviços[[#This Row],[Saldo]]</f>
        <v>4.7999999999999989</v>
      </c>
      <c r="J61" s="71">
        <f ca="1">COUNTIFS('Banco de Dados'!$F$2:$F$2123,"&lt;&gt;-",'Banco de Dados'!$B$2:$B$2123,Serviços[[#This Row],[Chave]])</f>
        <v>23</v>
      </c>
      <c r="K61" s="72">
        <f ca="1">IFERROR(ROUND(Serviços[[#This Row],[Gasto]]/Serviços[[#This Row],[Pedidos]],2),0)</f>
        <v>0.21</v>
      </c>
      <c r="M61" s="72"/>
      <c r="P61" s="72"/>
      <c r="S61" s="71"/>
    </row>
    <row r="62" spans="1:19">
      <c r="A62" s="89">
        <v>45668</v>
      </c>
      <c r="B62" s="101" t="str">
        <f>_xlfn.CONCAT(Serviços[[#This Row],[Loja]],Serviços[[#This Row],[Data]])</f>
        <v>BV45668</v>
      </c>
      <c r="C62" s="101" t="s">
        <v>36</v>
      </c>
      <c r="D62" s="71" t="s">
        <v>995</v>
      </c>
      <c r="E62" s="72">
        <v>3.85</v>
      </c>
      <c r="F62" s="72">
        <v>0</v>
      </c>
      <c r="G62" s="72">
        <v>0</v>
      </c>
      <c r="H62" s="72">
        <v>3.05</v>
      </c>
      <c r="I62" s="72">
        <f>SUM(Serviços[[#This Row],[Valor Inicial]:[Bonus]])-Serviços[[#This Row],[Saldo]]</f>
        <v>0.80000000000000027</v>
      </c>
      <c r="J62" s="71">
        <f ca="1">COUNTIFS('Banco de Dados'!$F$2:$F$2123,"&lt;&gt;-",'Banco de Dados'!$B$2:$B$2123,Serviços[[#This Row],[Chave]])</f>
        <v>2</v>
      </c>
      <c r="K62" s="72">
        <f ca="1">IFERROR(ROUND(Serviços[[#This Row],[Gasto]]/Serviços[[#This Row],[Pedidos]],2),0)</f>
        <v>0.4</v>
      </c>
      <c r="M62" s="72"/>
      <c r="P62" s="72"/>
      <c r="S62" s="71"/>
    </row>
    <row r="63" spans="1:19">
      <c r="A63" s="89">
        <v>45669</v>
      </c>
      <c r="B63" s="101" t="str">
        <f>_xlfn.CONCAT(Serviços[[#This Row],[Loja]],Serviços[[#This Row],[Data]])</f>
        <v>BV45669</v>
      </c>
      <c r="C63" s="101" t="s">
        <v>36</v>
      </c>
      <c r="D63" s="71" t="s">
        <v>995</v>
      </c>
      <c r="E63" s="72">
        <v>3.05</v>
      </c>
      <c r="F63" s="72">
        <v>0</v>
      </c>
      <c r="G63" s="72">
        <v>0</v>
      </c>
      <c r="H63" s="72">
        <v>1.25</v>
      </c>
      <c r="I63" s="72">
        <f>SUM(Serviços[[#This Row],[Valor Inicial]:[Bonus]])-Serviços[[#This Row],[Saldo]]</f>
        <v>1.7999999999999998</v>
      </c>
      <c r="J63" s="71">
        <f ca="1">COUNTIFS('Banco de Dados'!$F$2:$F$2123,"&lt;&gt;-",'Banco de Dados'!$B$2:$B$2123,Serviços[[#This Row],[Chave]])</f>
        <v>7</v>
      </c>
      <c r="K63" s="72">
        <f ca="1">IFERROR(ROUND(Serviços[[#This Row],[Gasto]]/Serviços[[#This Row],[Pedidos]],2),0)</f>
        <v>0.26</v>
      </c>
      <c r="M63" s="72"/>
      <c r="P63" s="72"/>
      <c r="S63" s="71"/>
    </row>
    <row r="64" spans="1:19">
      <c r="A64" s="89">
        <v>45673</v>
      </c>
      <c r="B64" s="101" t="str">
        <f>_xlfn.CONCAT(Serviços[[#This Row],[Loja]],Serviços[[#This Row],[Data]])</f>
        <v>BV45673</v>
      </c>
      <c r="C64" s="101" t="s">
        <v>36</v>
      </c>
      <c r="D64" s="71" t="s">
        <v>995</v>
      </c>
      <c r="E64" s="72">
        <v>1.25</v>
      </c>
      <c r="F64" s="72">
        <v>10</v>
      </c>
      <c r="G64" s="72">
        <v>0</v>
      </c>
      <c r="H64" s="72">
        <v>9.25</v>
      </c>
      <c r="I64" s="72">
        <f>SUM(Serviços[[#This Row],[Valor Inicial]:[Bonus]])-Serviços[[#This Row],[Saldo]]</f>
        <v>2</v>
      </c>
      <c r="J64" s="71">
        <f ca="1">COUNTIFS('Banco de Dados'!$F$2:$F$2123,"&lt;&gt;-",'Banco de Dados'!$B$2:$B$2123,Serviços[[#This Row],[Chave]])</f>
        <v>12</v>
      </c>
      <c r="K64" s="72">
        <f ca="1">IFERROR(ROUND(Serviços[[#This Row],[Gasto]]/Serviços[[#This Row],[Pedidos]],2),0)</f>
        <v>0.17</v>
      </c>
      <c r="M64" s="72"/>
      <c r="P64" s="72"/>
      <c r="S64" s="71"/>
    </row>
    <row r="65" spans="1:19">
      <c r="A65" s="89">
        <v>45677</v>
      </c>
      <c r="B65" s="101" t="str">
        <f>_xlfn.CONCAT(Serviços[[#This Row],[Loja]],Serviços[[#This Row],[Data]])</f>
        <v>BV45677</v>
      </c>
      <c r="C65" s="101" t="s">
        <v>36</v>
      </c>
      <c r="D65" s="71" t="s">
        <v>995</v>
      </c>
      <c r="E65" s="72">
        <v>9.25</v>
      </c>
      <c r="F65" s="72">
        <v>0</v>
      </c>
      <c r="G65" s="72">
        <v>0</v>
      </c>
      <c r="H65" s="72">
        <v>2.4500000000000002</v>
      </c>
      <c r="I65" s="72">
        <f>SUM(Serviços[[#This Row],[Valor Inicial]:[Bonus]])-Serviços[[#This Row],[Saldo]]</f>
        <v>6.8</v>
      </c>
      <c r="J65" s="71">
        <f ca="1">COUNTIFS('Banco de Dados'!$F$2:$F$2123,"&lt;&gt;-",'Banco de Dados'!$B$2:$B$2123,Serviços[[#This Row],[Chave]])</f>
        <v>36</v>
      </c>
      <c r="K65" s="72">
        <f ca="1">IFERROR(ROUND(Serviços[[#This Row],[Gasto]]/Serviços[[#This Row],[Pedidos]],2),0)</f>
        <v>0.19</v>
      </c>
      <c r="M65" s="72"/>
      <c r="P65" s="72"/>
      <c r="S65" s="71"/>
    </row>
    <row r="66" spans="1:19">
      <c r="A66" s="89">
        <v>45678</v>
      </c>
      <c r="B66" s="101" t="str">
        <f>_xlfn.CONCAT(Serviços[[#This Row],[Loja]],Serviços[[#This Row],[Data]])</f>
        <v>BV45678</v>
      </c>
      <c r="C66" s="101" t="s">
        <v>36</v>
      </c>
      <c r="D66" s="71" t="s">
        <v>995</v>
      </c>
      <c r="E66" s="72">
        <v>2.4500000000000002</v>
      </c>
      <c r="F66" s="72">
        <v>0</v>
      </c>
      <c r="G66" s="72">
        <v>0</v>
      </c>
      <c r="H66" s="72">
        <v>0.45</v>
      </c>
      <c r="I66" s="72">
        <f>SUM(Serviços[[#This Row],[Valor Inicial]:[Bonus]])-Serviços[[#This Row],[Saldo]]</f>
        <v>2</v>
      </c>
      <c r="J66" s="71">
        <f ca="1">COUNTIFS('Banco de Dados'!$F$2:$F$2123,"&lt;&gt;-",'Banco de Dados'!$B$2:$B$2123,Serviços[[#This Row],[Chave]])</f>
        <v>9</v>
      </c>
      <c r="K66" s="72">
        <f ca="1">IFERROR(ROUND(Serviços[[#This Row],[Gasto]]/Serviços[[#This Row],[Pedidos]],2),0)</f>
        <v>0.22</v>
      </c>
      <c r="M66" s="72"/>
      <c r="P66" s="72"/>
      <c r="S66" s="71"/>
    </row>
    <row r="67" spans="1:19">
      <c r="A67" s="89">
        <v>45679</v>
      </c>
      <c r="B67" s="101" t="str">
        <f>_xlfn.CONCAT(Serviços[[#This Row],[Loja]],Serviços[[#This Row],[Data]])</f>
        <v>BV45679</v>
      </c>
      <c r="C67" s="101" t="s">
        <v>36</v>
      </c>
      <c r="D67" s="71" t="s">
        <v>995</v>
      </c>
      <c r="E67" s="72">
        <v>0.45</v>
      </c>
      <c r="F67" s="72">
        <v>10</v>
      </c>
      <c r="G67" s="72">
        <v>1</v>
      </c>
      <c r="H67" s="72">
        <v>10.45</v>
      </c>
      <c r="I67" s="72">
        <f>SUM(Serviços[[#This Row],[Valor Inicial]:[Bonus]])-Serviços[[#This Row],[Saldo]]</f>
        <v>1</v>
      </c>
      <c r="J67" s="71">
        <f ca="1">COUNTIFS('Banco de Dados'!$F$2:$F$2123,"&lt;&gt;-",'Banco de Dados'!$B$2:$B$2123,Serviços[[#This Row],[Chave]])</f>
        <v>5</v>
      </c>
      <c r="K67" s="72">
        <f ca="1">IFERROR(ROUND(Serviços[[#This Row],[Gasto]]/Serviços[[#This Row],[Pedidos]],2),0)</f>
        <v>0.2</v>
      </c>
      <c r="M67" s="72"/>
      <c r="P67" s="72"/>
      <c r="S67" s="71"/>
    </row>
    <row r="68" spans="1:19">
      <c r="A68" s="89">
        <v>45680</v>
      </c>
      <c r="B68" s="101" t="str">
        <f>_xlfn.CONCAT(Serviços[[#This Row],[Loja]],Serviços[[#This Row],[Data]])</f>
        <v>BV45680</v>
      </c>
      <c r="C68" s="101" t="s">
        <v>36</v>
      </c>
      <c r="D68" s="71" t="s">
        <v>995</v>
      </c>
      <c r="E68" s="72">
        <v>10.45</v>
      </c>
      <c r="F68" s="72">
        <v>0</v>
      </c>
      <c r="G68" s="72">
        <v>0</v>
      </c>
      <c r="H68" s="72">
        <v>9.25</v>
      </c>
      <c r="I68" s="72">
        <f>SUM(Serviços[[#This Row],[Valor Inicial]:[Bonus]])-Serviços[[#This Row],[Saldo]]</f>
        <v>1.1999999999999993</v>
      </c>
      <c r="J68" s="71">
        <f ca="1">COUNTIFS('Banco de Dados'!$F$2:$F$2123,"&lt;&gt;-",'Banco de Dados'!$B$2:$B$2123,Serviços[[#This Row],[Chave]])</f>
        <v>4</v>
      </c>
      <c r="K68" s="72">
        <f ca="1">IFERROR(ROUND(Serviços[[#This Row],[Gasto]]/Serviços[[#This Row],[Pedidos]],2),0)</f>
        <v>0.3</v>
      </c>
      <c r="M68" s="72"/>
    </row>
    <row r="69" spans="1:19">
      <c r="A69" s="89">
        <v>45681</v>
      </c>
      <c r="B69" s="101" t="str">
        <f>_xlfn.CONCAT(Serviços[[#This Row],[Loja]],Serviços[[#This Row],[Data]])</f>
        <v>BV45681</v>
      </c>
      <c r="C69" s="101" t="s">
        <v>36</v>
      </c>
      <c r="D69" s="71" t="s">
        <v>995</v>
      </c>
      <c r="E69" s="72">
        <v>9.25</v>
      </c>
      <c r="F69" s="72">
        <v>0</v>
      </c>
      <c r="G69" s="72">
        <v>0</v>
      </c>
      <c r="H69" s="72">
        <v>8.35</v>
      </c>
      <c r="I69" s="72">
        <f>SUM(Serviços[[#This Row],[Valor Inicial]:[Bonus]])-Serviços[[#This Row],[Saldo]]</f>
        <v>0.90000000000000036</v>
      </c>
      <c r="J69" s="71">
        <f ca="1">COUNTIFS('Banco de Dados'!$F$2:$F$2123,"&lt;&gt;-",'Banco de Dados'!$B$2:$B$2123,Serviços[[#This Row],[Chave]])</f>
        <v>4</v>
      </c>
      <c r="K69" s="72">
        <f ca="1">IFERROR(ROUND(Serviços[[#This Row],[Gasto]]/Serviços[[#This Row],[Pedidos]],2),0)</f>
        <v>0.23</v>
      </c>
      <c r="M69" s="72"/>
    </row>
    <row r="70" spans="1:19">
      <c r="A70" s="89">
        <v>45684</v>
      </c>
      <c r="B70" s="101" t="str">
        <f>_xlfn.CONCAT(Serviços[[#This Row],[Loja]],Serviços[[#This Row],[Data]])</f>
        <v>BV45684</v>
      </c>
      <c r="C70" s="101" t="s">
        <v>36</v>
      </c>
      <c r="D70" s="71" t="s">
        <v>995</v>
      </c>
      <c r="E70" s="72">
        <v>8.35</v>
      </c>
      <c r="F70" s="72">
        <v>0</v>
      </c>
      <c r="G70" s="72">
        <v>0</v>
      </c>
      <c r="H70" s="72">
        <v>6.95</v>
      </c>
      <c r="I70" s="72">
        <f>SUM(Serviços[[#This Row],[Valor Inicial]:[Bonus]])-Serviços[[#This Row],[Saldo]]</f>
        <v>1.3999999999999995</v>
      </c>
      <c r="J70" s="71">
        <f ca="1">COUNTIFS('Banco de Dados'!$F$2:$F$2123,"&lt;&gt;-",'Banco de Dados'!$B$2:$B$2123,Serviços[[#This Row],[Chave]])</f>
        <v>7</v>
      </c>
      <c r="K70" s="72">
        <f ca="1">IFERROR(ROUND(Serviços[[#This Row],[Gasto]]/Serviços[[#This Row],[Pedidos]],2),0)</f>
        <v>0.2</v>
      </c>
      <c r="M70" s="72"/>
    </row>
    <row r="71" spans="1:19">
      <c r="A71" s="89">
        <v>45685</v>
      </c>
      <c r="B71" s="101" t="str">
        <f>_xlfn.CONCAT(Serviços[[#This Row],[Loja]],Serviços[[#This Row],[Data]])</f>
        <v>BV45685</v>
      </c>
      <c r="C71" s="101" t="s">
        <v>36</v>
      </c>
      <c r="D71" s="71" t="s">
        <v>995</v>
      </c>
      <c r="E71" s="72">
        <v>6.95</v>
      </c>
      <c r="F71" s="72">
        <v>0</v>
      </c>
      <c r="G71" s="72">
        <v>0</v>
      </c>
      <c r="H71" s="72">
        <v>6.75</v>
      </c>
      <c r="I71" s="72">
        <f>SUM(Serviços[[#This Row],[Valor Inicial]:[Bonus]])-Serviços[[#This Row],[Saldo]]</f>
        <v>0.20000000000000018</v>
      </c>
      <c r="J71" s="71">
        <f ca="1">COUNTIFS('Banco de Dados'!$F$2:$F$2123,"&lt;&gt;-",'Banco de Dados'!$B$2:$B$2123,Serviços[[#This Row],[Chave]])</f>
        <v>1</v>
      </c>
      <c r="K71" s="72">
        <f ca="1">IFERROR(ROUND(Serviços[[#This Row],[Gasto]]/Serviços[[#This Row],[Pedidos]],2),0)</f>
        <v>0.2</v>
      </c>
      <c r="M71" s="72"/>
    </row>
    <row r="72" spans="1:19">
      <c r="A72" s="89">
        <v>45686</v>
      </c>
      <c r="B72" s="101" t="str">
        <f>_xlfn.CONCAT(Serviços[[#This Row],[Loja]],Serviços[[#This Row],[Data]])</f>
        <v>BV45686</v>
      </c>
      <c r="C72" s="101" t="s">
        <v>36</v>
      </c>
      <c r="D72" s="71" t="s">
        <v>995</v>
      </c>
      <c r="E72" s="72">
        <v>6.75</v>
      </c>
      <c r="F72" s="72">
        <v>0</v>
      </c>
      <c r="G72" s="72">
        <v>0</v>
      </c>
      <c r="H72" s="72">
        <v>6.35</v>
      </c>
      <c r="I72" s="72">
        <f>SUM(Serviços[[#This Row],[Valor Inicial]:[Bonus]])-Serviços[[#This Row],[Saldo]]</f>
        <v>0.40000000000000036</v>
      </c>
      <c r="J72" s="71">
        <f ca="1">COUNTIFS('Banco de Dados'!$F$2:$F$2123,"&lt;&gt;-",'Banco de Dados'!$B$2:$B$2123,Serviços[[#This Row],[Chave]])</f>
        <v>2</v>
      </c>
      <c r="K72" s="72">
        <f ca="1">IFERROR(ROUND(Serviços[[#This Row],[Gasto]]/Serviços[[#This Row],[Pedidos]],2),0)</f>
        <v>0.2</v>
      </c>
      <c r="M72" s="72"/>
    </row>
    <row r="73" spans="1:19">
      <c r="A73" s="89">
        <v>45688</v>
      </c>
      <c r="B73" s="101" t="str">
        <f>_xlfn.CONCAT(Serviços[[#This Row],[Loja]],Serviços[[#This Row],[Data]])</f>
        <v>BV45688</v>
      </c>
      <c r="C73" s="101" t="s">
        <v>36</v>
      </c>
      <c r="D73" s="71" t="s">
        <v>995</v>
      </c>
      <c r="E73" s="72">
        <v>6.35</v>
      </c>
      <c r="F73" s="72">
        <v>0</v>
      </c>
      <c r="G73" s="72">
        <v>0</v>
      </c>
      <c r="H73" s="72">
        <v>5.55</v>
      </c>
      <c r="I73" s="72">
        <f>SUM(Serviços[[#This Row],[Valor Inicial]:[Bonus]])-Serviços[[#This Row],[Saldo]]</f>
        <v>0.79999999999999982</v>
      </c>
      <c r="J73" s="71">
        <f ca="1">COUNTIFS('Banco de Dados'!$F$2:$F$2123,"&lt;&gt;-",'Banco de Dados'!$B$2:$B$2123,Serviços[[#This Row],[Chave]])</f>
        <v>3</v>
      </c>
      <c r="K73" s="72">
        <f ca="1">IFERROR(ROUND(Serviços[[#This Row],[Gasto]]/Serviços[[#This Row],[Pedidos]],2),0)</f>
        <v>0.27</v>
      </c>
      <c r="M73" s="72"/>
    </row>
    <row r="74" spans="1:19">
      <c r="A74" s="89">
        <v>45691</v>
      </c>
      <c r="B74" s="101" t="str">
        <f>_xlfn.CONCAT(Serviços[[#This Row],[Loja]],Serviços[[#This Row],[Data]])</f>
        <v>BV45691</v>
      </c>
      <c r="C74" s="101" t="s">
        <v>36</v>
      </c>
      <c r="D74" s="71" t="s">
        <v>995</v>
      </c>
      <c r="E74" s="72">
        <v>5.55</v>
      </c>
      <c r="F74" s="72">
        <v>0</v>
      </c>
      <c r="G74" s="72">
        <v>0</v>
      </c>
      <c r="H74" s="72">
        <v>1.9</v>
      </c>
      <c r="I74" s="72">
        <f>SUM(Serviços[[#This Row],[Valor Inicial]:[Bonus]])-Serviços[[#This Row],[Saldo]]</f>
        <v>3.65</v>
      </c>
      <c r="J74" s="71">
        <f ca="1">COUNTIFS('Banco de Dados'!$F$2:$F$2123,"&lt;&gt;-",'Banco de Dados'!$B$2:$B$2123,Serviços[[#This Row],[Chave]])</f>
        <v>21</v>
      </c>
      <c r="K74" s="72">
        <f ca="1">IFERROR(ROUND(Serviços[[#This Row],[Gasto]]/Serviços[[#This Row],[Pedidos]],2),0)</f>
        <v>0.17</v>
      </c>
      <c r="M74" s="72"/>
    </row>
    <row r="75" spans="1:19">
      <c r="A75" s="89">
        <v>45692</v>
      </c>
      <c r="B75" s="101" t="str">
        <f>_xlfn.CONCAT(Serviços[[#This Row],[Loja]],Serviços[[#This Row],[Data]])</f>
        <v>BV45692</v>
      </c>
      <c r="C75" s="101" t="s">
        <v>36</v>
      </c>
      <c r="D75" s="71" t="s">
        <v>995</v>
      </c>
      <c r="E75" s="72">
        <v>1.9</v>
      </c>
      <c r="F75" s="72">
        <v>0</v>
      </c>
      <c r="G75" s="72">
        <v>0</v>
      </c>
      <c r="H75" s="72">
        <v>0.4</v>
      </c>
      <c r="I75" s="72">
        <f>SUM(Serviços[[#This Row],[Valor Inicial]:[Bonus]])-Serviços[[#This Row],[Saldo]]</f>
        <v>1.5</v>
      </c>
      <c r="J75" s="71">
        <f ca="1">COUNTIFS('Banco de Dados'!$F$2:$F$2123,"&lt;&gt;-",'Banco de Dados'!$B$2:$B$2123,Serviços[[#This Row],[Chave]])</f>
        <v>8</v>
      </c>
      <c r="K75" s="72">
        <f ca="1">IFERROR(ROUND(Serviços[[#This Row],[Gasto]]/Serviços[[#This Row],[Pedidos]],2),0)</f>
        <v>0.19</v>
      </c>
      <c r="M75" s="72"/>
    </row>
    <row r="76" spans="1:19">
      <c r="A76" s="89">
        <v>45693</v>
      </c>
      <c r="B76" s="101" t="str">
        <f>_xlfn.CONCAT(Serviços[[#This Row],[Loja]],Serviços[[#This Row],[Data]])</f>
        <v>BV45693</v>
      </c>
      <c r="C76" s="101" t="s">
        <v>36</v>
      </c>
      <c r="D76" s="71" t="s">
        <v>995</v>
      </c>
      <c r="E76" s="72">
        <v>0.4</v>
      </c>
      <c r="F76" s="72">
        <v>10</v>
      </c>
      <c r="G76" s="72">
        <v>1</v>
      </c>
      <c r="H76" s="72">
        <v>10.45</v>
      </c>
      <c r="I76" s="72">
        <f>SUM(Serviços[[#This Row],[Valor Inicial]:[Bonus]])-Serviços[[#This Row],[Saldo]]</f>
        <v>0.95000000000000107</v>
      </c>
      <c r="J76" s="71">
        <f ca="1">COUNTIFS('Banco de Dados'!$F$2:$F$2123,"&lt;&gt;-",'Banco de Dados'!$B$2:$B$2123,Serviços[[#This Row],[Chave]])</f>
        <v>4</v>
      </c>
      <c r="K76" s="72">
        <f ca="1">IFERROR(ROUND(Serviços[[#This Row],[Gasto]]/Serviços[[#This Row],[Pedidos]],2),0)</f>
        <v>0.24</v>
      </c>
      <c r="M76" s="72"/>
    </row>
    <row r="77" spans="1:19">
      <c r="A77" s="89">
        <v>45672</v>
      </c>
      <c r="B77" s="101" t="str">
        <f>_xlfn.CONCAT(Serviços[[#This Row],[Loja]],Serviços[[#This Row],[Data]])</f>
        <v>GO45672</v>
      </c>
      <c r="C77" s="101" t="s">
        <v>108</v>
      </c>
      <c r="D77" s="71" t="s">
        <v>995</v>
      </c>
      <c r="E77" s="72">
        <v>0</v>
      </c>
      <c r="F77" s="72">
        <v>10</v>
      </c>
      <c r="G77" s="72">
        <v>1</v>
      </c>
      <c r="H77" s="72">
        <v>10.8</v>
      </c>
      <c r="I77" s="72">
        <f>SUM(Serviços[[#This Row],[Valor Inicial]:[Bonus]])-Serviços[[#This Row],[Saldo]]</f>
        <v>0.19999999999999929</v>
      </c>
      <c r="J77" s="71">
        <f ca="1">COUNTIFS('Banco de Dados'!$F$2:$F$2123,"&lt;&gt;-",'Banco de Dados'!$B$2:$B$2123,Serviços[[#This Row],[Chave]])</f>
        <v>1</v>
      </c>
      <c r="K77" s="72">
        <f ca="1">IFERROR(ROUND(Serviços[[#This Row],[Gasto]]/Serviços[[#This Row],[Pedidos]],2),0)</f>
        <v>0.2</v>
      </c>
      <c r="M77" s="72"/>
    </row>
    <row r="78" spans="1:19">
      <c r="A78" s="89">
        <v>45678</v>
      </c>
      <c r="B78" s="101" t="str">
        <f>_xlfn.CONCAT(Serviços[[#This Row],[Loja]],Serviços[[#This Row],[Data]])</f>
        <v>GO45678</v>
      </c>
      <c r="C78" s="101" t="s">
        <v>108</v>
      </c>
      <c r="D78" s="71" t="s">
        <v>995</v>
      </c>
      <c r="E78" s="72">
        <v>10.8</v>
      </c>
      <c r="F78" s="72">
        <v>0</v>
      </c>
      <c r="G78" s="72">
        <v>0</v>
      </c>
      <c r="H78" s="72">
        <v>10.6</v>
      </c>
      <c r="I78" s="72">
        <f>SUM(Serviços[[#This Row],[Valor Inicial]:[Bonus]])-Serviços[[#This Row],[Saldo]]</f>
        <v>0.20000000000000107</v>
      </c>
      <c r="J78" s="71">
        <f ca="1">COUNTIFS('Banco de Dados'!$F$2:$F$2123,"&lt;&gt;-",'Banco de Dados'!$B$2:$B$2123,Serviços[[#This Row],[Chave]])</f>
        <v>1</v>
      </c>
      <c r="K78" s="72">
        <f ca="1">IFERROR(ROUND(Serviços[[#This Row],[Gasto]]/Serviços[[#This Row],[Pedidos]],2),0)</f>
        <v>0.2</v>
      </c>
      <c r="M78" s="72"/>
    </row>
    <row r="79" spans="1:19">
      <c r="A79" s="89">
        <v>45681</v>
      </c>
      <c r="B79" s="101" t="str">
        <f>_xlfn.CONCAT(Serviços[[#This Row],[Loja]],Serviços[[#This Row],[Data]])</f>
        <v>GO45681</v>
      </c>
      <c r="C79" s="101" t="s">
        <v>108</v>
      </c>
      <c r="D79" s="71" t="s">
        <v>995</v>
      </c>
      <c r="E79" s="72">
        <v>10.6</v>
      </c>
      <c r="F79" s="72">
        <v>0</v>
      </c>
      <c r="G79" s="72">
        <v>0</v>
      </c>
      <c r="H79" s="72">
        <v>10.3</v>
      </c>
      <c r="I79" s="72">
        <f>SUM(Serviços[[#This Row],[Valor Inicial]:[Bonus]])-Serviços[[#This Row],[Saldo]]</f>
        <v>0.29999999999999893</v>
      </c>
      <c r="J79" s="71">
        <f ca="1">COUNTIFS('Banco de Dados'!$F$2:$F$2123,"&lt;&gt;-",'Banco de Dados'!$B$2:$B$2123,Serviços[[#This Row],[Chave]])</f>
        <v>2</v>
      </c>
      <c r="K79" s="72">
        <f ca="1">IFERROR(ROUND(Serviços[[#This Row],[Gasto]]/Serviços[[#This Row],[Pedidos]],2),0)</f>
        <v>0.15</v>
      </c>
      <c r="M79" s="72"/>
    </row>
    <row r="80" spans="1:19">
      <c r="A80" s="89">
        <v>45684</v>
      </c>
      <c r="B80" s="101" t="str">
        <f>_xlfn.CONCAT(Serviços[[#This Row],[Loja]],Serviços[[#This Row],[Data]])</f>
        <v>GO45684</v>
      </c>
      <c r="C80" s="101" t="s">
        <v>108</v>
      </c>
      <c r="D80" s="71" t="s">
        <v>995</v>
      </c>
      <c r="E80" s="72">
        <v>10.3</v>
      </c>
      <c r="F80" s="72">
        <v>0</v>
      </c>
      <c r="G80" s="72">
        <v>0</v>
      </c>
      <c r="H80" s="72">
        <v>8.5</v>
      </c>
      <c r="I80" s="72">
        <f>SUM(Serviços[[#This Row],[Valor Inicial]:[Bonus]])-Serviços[[#This Row],[Saldo]]</f>
        <v>1.8000000000000007</v>
      </c>
      <c r="J80" s="71">
        <f ca="1">COUNTIFS('Banco de Dados'!$F$2:$F$2123,"&lt;&gt;-",'Banco de Dados'!$B$2:$B$2123,Serviços[[#This Row],[Chave]])</f>
        <v>9</v>
      </c>
      <c r="K80" s="72">
        <f ca="1">IFERROR(ROUND(Serviços[[#This Row],[Gasto]]/Serviços[[#This Row],[Pedidos]],2),0)</f>
        <v>0.2</v>
      </c>
      <c r="M80" s="72"/>
    </row>
    <row r="81" spans="1:13">
      <c r="A81" s="89">
        <v>45685</v>
      </c>
      <c r="B81" s="101" t="str">
        <f>_xlfn.CONCAT(Serviços[[#This Row],[Loja]],Serviços[[#This Row],[Data]])</f>
        <v>GO45685</v>
      </c>
      <c r="C81" s="101" t="s">
        <v>108</v>
      </c>
      <c r="D81" s="71" t="s">
        <v>995</v>
      </c>
      <c r="E81" s="72">
        <v>8.5</v>
      </c>
      <c r="F81" s="72">
        <v>0</v>
      </c>
      <c r="G81" s="72">
        <v>0</v>
      </c>
      <c r="H81" s="72">
        <v>7.9</v>
      </c>
      <c r="I81" s="72">
        <f>SUM(Serviços[[#This Row],[Valor Inicial]:[Bonus]])-Serviços[[#This Row],[Saldo]]</f>
        <v>0.59999999999999964</v>
      </c>
      <c r="J81" s="71">
        <f ca="1">COUNTIFS('Banco de Dados'!$F$2:$F$2123,"&lt;&gt;-",'Banco de Dados'!$B$2:$B$2123,Serviços[[#This Row],[Chave]])</f>
        <v>3</v>
      </c>
      <c r="K81" s="72">
        <f ca="1">IFERROR(ROUND(Serviços[[#This Row],[Gasto]]/Serviços[[#This Row],[Pedidos]],2),0)</f>
        <v>0.2</v>
      </c>
      <c r="M81" s="72"/>
    </row>
    <row r="82" spans="1:13">
      <c r="A82" s="89">
        <v>45686</v>
      </c>
      <c r="B82" s="101" t="str">
        <f>_xlfn.CONCAT(Serviços[[#This Row],[Loja]],Serviços[[#This Row],[Data]])</f>
        <v>GO45686</v>
      </c>
      <c r="C82" s="101" t="s">
        <v>108</v>
      </c>
      <c r="D82" s="71" t="s">
        <v>995</v>
      </c>
      <c r="E82" s="72">
        <v>7.9</v>
      </c>
      <c r="F82" s="72">
        <v>0</v>
      </c>
      <c r="G82" s="72">
        <v>0</v>
      </c>
      <c r="H82" s="72">
        <v>7.7</v>
      </c>
      <c r="I82" s="72">
        <f>SUM(Serviços[[#This Row],[Valor Inicial]:[Bonus]])-Serviços[[#This Row],[Saldo]]</f>
        <v>0.20000000000000018</v>
      </c>
      <c r="J82" s="71">
        <f ca="1">COUNTIFS('Banco de Dados'!$F$2:$F$2123,"&lt;&gt;-",'Banco de Dados'!$B$2:$B$2123,Serviços[[#This Row],[Chave]])</f>
        <v>1</v>
      </c>
      <c r="K82" s="72">
        <f ca="1">IFERROR(ROUND(Serviços[[#This Row],[Gasto]]/Serviços[[#This Row],[Pedidos]],2),0)</f>
        <v>0.2</v>
      </c>
      <c r="M82" s="72"/>
    </row>
    <row r="83" spans="1:13">
      <c r="A83" s="89">
        <v>45688</v>
      </c>
      <c r="B83" s="101" t="str">
        <f>_xlfn.CONCAT(Serviços[[#This Row],[Loja]],Serviços[[#This Row],[Data]])</f>
        <v>GO45688</v>
      </c>
      <c r="C83" s="101" t="s">
        <v>108</v>
      </c>
      <c r="D83" s="71" t="s">
        <v>995</v>
      </c>
      <c r="E83" s="72">
        <v>7.7</v>
      </c>
      <c r="F83" s="72">
        <v>0</v>
      </c>
      <c r="G83" s="72">
        <v>0</v>
      </c>
      <c r="H83" s="72">
        <v>7.1</v>
      </c>
      <c r="I83" s="72">
        <f>SUM(Serviços[[#This Row],[Valor Inicial]:[Bonus]])-Serviços[[#This Row],[Saldo]]</f>
        <v>0.60000000000000053</v>
      </c>
      <c r="J83" s="71">
        <f ca="1">COUNTIFS('Banco de Dados'!$F$2:$F$2123,"&lt;&gt;-",'Banco de Dados'!$B$2:$B$2123,Serviços[[#This Row],[Chave]])</f>
        <v>2</v>
      </c>
      <c r="K83" s="72">
        <f ca="1">IFERROR(ROUND(Serviços[[#This Row],[Gasto]]/Serviços[[#This Row],[Pedidos]],2),0)</f>
        <v>0.3</v>
      </c>
      <c r="M83" s="72"/>
    </row>
    <row r="84" spans="1:13">
      <c r="A84" s="89">
        <v>45691</v>
      </c>
      <c r="B84" s="101" t="str">
        <f>_xlfn.CONCAT(Serviços[[#This Row],[Loja]],Serviços[[#This Row],[Data]])</f>
        <v>GO45691</v>
      </c>
      <c r="C84" s="101" t="s">
        <v>108</v>
      </c>
      <c r="D84" s="71" t="s">
        <v>995</v>
      </c>
      <c r="E84" s="72">
        <v>7.1</v>
      </c>
      <c r="F84" s="72">
        <v>0</v>
      </c>
      <c r="G84" s="72">
        <v>0</v>
      </c>
      <c r="H84" s="72">
        <v>6.55</v>
      </c>
      <c r="I84" s="72">
        <f>SUM(Serviços[[#This Row],[Valor Inicial]:[Bonus]])-Serviços[[#This Row],[Saldo]]</f>
        <v>0.54999999999999982</v>
      </c>
      <c r="J84" s="71">
        <f ca="1">COUNTIFS('Banco de Dados'!$F$2:$F$2123,"&lt;&gt;-",'Banco de Dados'!$B$2:$B$2123,Serviços[[#This Row],[Chave]])</f>
        <v>3</v>
      </c>
      <c r="K84" s="72">
        <f ca="1">IFERROR(ROUND(Serviços[[#This Row],[Gasto]]/Serviços[[#This Row],[Pedidos]],2),0)</f>
        <v>0.18</v>
      </c>
      <c r="M84" s="72"/>
    </row>
    <row r="85" spans="1:13">
      <c r="A85" s="89">
        <v>45693</v>
      </c>
      <c r="B85" s="101" t="str">
        <f>_xlfn.CONCAT(Serviços[[#This Row],[Loja]],Serviços[[#This Row],[Data]])</f>
        <v>GO45693</v>
      </c>
      <c r="C85" s="101" t="s">
        <v>108</v>
      </c>
      <c r="D85" s="71" t="s">
        <v>995</v>
      </c>
      <c r="E85" s="72">
        <v>6.55</v>
      </c>
      <c r="F85" s="72">
        <v>0</v>
      </c>
      <c r="G85" s="72">
        <v>0</v>
      </c>
      <c r="H85" s="72">
        <v>6.05</v>
      </c>
      <c r="I85" s="72">
        <f>SUM(Serviços[[#This Row],[Valor Inicial]:[Bonus]])-Serviços[[#This Row],[Saldo]]</f>
        <v>0.5</v>
      </c>
      <c r="J85" s="71">
        <f ca="1">COUNTIFS('Banco de Dados'!$F$2:$F$2123,"&lt;&gt;-",'Banco de Dados'!$B$2:$B$2123,Serviços[[#This Row],[Chave]])</f>
        <v>2</v>
      </c>
      <c r="K85" s="72">
        <f ca="1">IFERROR(ROUND(Serviços[[#This Row],[Gasto]]/Serviços[[#This Row],[Pedidos]],2),0)</f>
        <v>0.25</v>
      </c>
      <c r="M85" s="72"/>
    </row>
    <row r="86" spans="1:13">
      <c r="A86" s="89">
        <v>45694</v>
      </c>
      <c r="B86" s="101" t="str">
        <f>_xlfn.CONCAT(Serviços[[#This Row],[Loja]],Serviços[[#This Row],[Data]])</f>
        <v>MEI45694</v>
      </c>
      <c r="C86" s="101" t="s">
        <v>113</v>
      </c>
      <c r="D86" s="108" t="s">
        <v>995</v>
      </c>
      <c r="E86" s="72">
        <v>10.45</v>
      </c>
      <c r="F86" s="72">
        <v>0</v>
      </c>
      <c r="G86" s="72">
        <v>0</v>
      </c>
      <c r="H86" s="72">
        <v>6.65</v>
      </c>
      <c r="I86" s="72">
        <f>SUM(Serviços[[#This Row],[Valor Inicial]:[Bonus]])-Serviços[[#This Row],[Saldo]]</f>
        <v>3.7999999999999989</v>
      </c>
      <c r="J86" s="71">
        <f ca="1">COUNTIFS('Banco de Dados'!$F$2:$F$2123,"&lt;&gt;-",'Banco de Dados'!$B$2:$B$2123,Serviços[[#This Row],[Chave]])</f>
        <v>19</v>
      </c>
      <c r="K86" s="72">
        <f ca="1">IFERROR(ROUND(Serviços[[#This Row],[Gasto]]/Serviços[[#This Row],[Pedidos]],2),0)</f>
        <v>0.2</v>
      </c>
      <c r="M86" s="72"/>
    </row>
    <row r="87" spans="1:13">
      <c r="A87" s="89">
        <v>45695</v>
      </c>
      <c r="B87" s="101" t="str">
        <f>_xlfn.CONCAT(Serviços[[#This Row],[Loja]],Serviços[[#This Row],[Data]])</f>
        <v>BV45695</v>
      </c>
      <c r="C87" s="101" t="s">
        <v>36</v>
      </c>
      <c r="D87" s="108" t="s">
        <v>995</v>
      </c>
      <c r="E87" s="72">
        <v>6.65</v>
      </c>
      <c r="F87" s="72">
        <v>0</v>
      </c>
      <c r="G87" s="72">
        <v>0</v>
      </c>
      <c r="H87" s="72">
        <v>5.45</v>
      </c>
      <c r="I87" s="72">
        <f>SUM(Serviços[[#This Row],[Valor Inicial]:[Bonus]])-Serviços[[#This Row],[Saldo]]</f>
        <v>1.2000000000000002</v>
      </c>
      <c r="J87" s="71">
        <f ca="1">COUNTIFS('Banco de Dados'!$F$2:$F$2123,"&lt;&gt;-",'Banco de Dados'!$B$2:$B$2123,Serviços[[#This Row],[Chave]])</f>
        <v>6</v>
      </c>
      <c r="K87" s="72">
        <f ca="1">IFERROR(ROUND(Serviços[[#This Row],[Gasto]]/Serviços[[#This Row],[Pedidos]],2),0)</f>
        <v>0.2</v>
      </c>
      <c r="M87" s="72"/>
    </row>
    <row r="88" spans="1:13">
      <c r="A88" s="89">
        <v>45695</v>
      </c>
      <c r="B88" s="101" t="str">
        <f>_xlfn.CONCAT(Serviços[[#This Row],[Loja]],Serviços[[#This Row],[Data]])</f>
        <v>MEI45695</v>
      </c>
      <c r="C88" s="101" t="s">
        <v>113</v>
      </c>
      <c r="D88" s="108" t="s">
        <v>995</v>
      </c>
      <c r="E88" s="72">
        <v>5.45</v>
      </c>
      <c r="F88" s="72">
        <v>0</v>
      </c>
      <c r="G88" s="72">
        <v>0</v>
      </c>
      <c r="H88" s="72">
        <v>5.05</v>
      </c>
      <c r="I88" s="72">
        <f>SUM(Serviços[[#This Row],[Valor Inicial]:[Bonus]])-Serviços[[#This Row],[Saldo]]</f>
        <v>0.40000000000000036</v>
      </c>
      <c r="J88" s="71">
        <f ca="1">COUNTIFS('Banco de Dados'!$F$2:$F$2123,"&lt;&gt;-",'Banco de Dados'!$B$2:$B$2123,Serviços[[#This Row],[Chave]])</f>
        <v>2</v>
      </c>
      <c r="K88" s="72">
        <f ca="1">IFERROR(ROUND(Serviços[[#This Row],[Gasto]]/Serviços[[#This Row],[Pedidos]],2),0)</f>
        <v>0.2</v>
      </c>
      <c r="M88" s="72"/>
    </row>
    <row r="89" spans="1:13">
      <c r="A89" s="89">
        <v>45697</v>
      </c>
      <c r="B89" s="101" t="str">
        <f>_xlfn.CONCAT(Serviços[[#This Row],[Loja]],Serviços[[#This Row],[Data]])</f>
        <v>BV45697</v>
      </c>
      <c r="C89" s="101" t="s">
        <v>36</v>
      </c>
      <c r="D89" s="108" t="s">
        <v>995</v>
      </c>
      <c r="E89" s="72">
        <v>5.05</v>
      </c>
      <c r="F89" s="72">
        <v>0</v>
      </c>
      <c r="G89" s="72">
        <v>0</v>
      </c>
      <c r="H89" s="72">
        <v>3.25</v>
      </c>
      <c r="I89" s="72">
        <f>SUM(Serviços[[#This Row],[Valor Inicial]:[Bonus]])-Serviços[[#This Row],[Saldo]]</f>
        <v>1.7999999999999998</v>
      </c>
      <c r="J89" s="71">
        <f ca="1">COUNTIFS('Banco de Dados'!$F$2:$F$2123,"&lt;&gt;-",'Banco de Dados'!$B$2:$B$2123,Serviços[[#This Row],[Chave]])</f>
        <v>7</v>
      </c>
      <c r="K89" s="72">
        <f ca="1">IFERROR(ROUND(Serviços[[#This Row],[Gasto]]/Serviços[[#This Row],[Pedidos]],2),0)</f>
        <v>0.26</v>
      </c>
      <c r="M89" s="72"/>
    </row>
    <row r="90" spans="1:13">
      <c r="A90" s="89">
        <v>45697</v>
      </c>
      <c r="B90" s="101" t="str">
        <f>_xlfn.CONCAT(Serviços[[#This Row],[Loja]],Serviços[[#This Row],[Data]])</f>
        <v>GO45697</v>
      </c>
      <c r="C90" s="101" t="s">
        <v>108</v>
      </c>
      <c r="D90" s="108" t="s">
        <v>995</v>
      </c>
      <c r="E90" s="72">
        <v>6.05</v>
      </c>
      <c r="F90" s="72">
        <v>0</v>
      </c>
      <c r="G90" s="72">
        <v>0</v>
      </c>
      <c r="H90" s="72">
        <v>4.6500000000000004</v>
      </c>
      <c r="I90" s="72">
        <f>SUM(Serviços[[#This Row],[Valor Inicial]:[Bonus]])-Serviços[[#This Row],[Saldo]]</f>
        <v>1.3999999999999995</v>
      </c>
      <c r="J90" s="71">
        <f ca="1">COUNTIFS('Banco de Dados'!$F$2:$F$2123,"&lt;&gt;-",'Banco de Dados'!$B$2:$B$2123,Serviços[[#This Row],[Chave]])</f>
        <v>7</v>
      </c>
      <c r="K90" s="72">
        <f ca="1">IFERROR(ROUND(Serviços[[#This Row],[Gasto]]/Serviços[[#This Row],[Pedidos]],2),0)</f>
        <v>0.2</v>
      </c>
      <c r="M90" s="72"/>
    </row>
    <row r="91" spans="1:13">
      <c r="A91" s="89">
        <v>45698</v>
      </c>
      <c r="B91" s="101" t="str">
        <f>_xlfn.CONCAT(Serviços[[#This Row],[Loja]],Serviços[[#This Row],[Data]])</f>
        <v>BV45698</v>
      </c>
      <c r="C91" s="101" t="s">
        <v>36</v>
      </c>
      <c r="D91" s="108" t="s">
        <v>995</v>
      </c>
      <c r="E91" s="72">
        <v>3.25</v>
      </c>
      <c r="F91" s="72">
        <v>0</v>
      </c>
      <c r="G91" s="72">
        <v>0</v>
      </c>
      <c r="H91" s="72">
        <v>1.85</v>
      </c>
      <c r="I91" s="72">
        <f>SUM(Serviços[[#This Row],[Valor Inicial]:[Bonus]])-Serviços[[#This Row],[Saldo]]</f>
        <v>1.4</v>
      </c>
      <c r="J91" s="71">
        <f ca="1">COUNTIFS('Banco de Dados'!$F$2:$F$2123,"&lt;&gt;-",'Banco de Dados'!$B$2:$B$2123,Serviços[[#This Row],[Chave]])</f>
        <v>8</v>
      </c>
      <c r="K91" s="72">
        <f ca="1">IFERROR(ROUND(Serviços[[#This Row],[Gasto]]/Serviços[[#This Row],[Pedidos]],2),0)</f>
        <v>0.18</v>
      </c>
      <c r="M91" s="72"/>
    </row>
    <row r="92" spans="1:13">
      <c r="A92" s="89">
        <v>45698</v>
      </c>
      <c r="B92" s="101" t="str">
        <f>_xlfn.CONCAT(Serviços[[#This Row],[Loja]],Serviços[[#This Row],[Data]])</f>
        <v>GO45698</v>
      </c>
      <c r="C92" s="101" t="s">
        <v>108</v>
      </c>
      <c r="D92" s="108" t="s">
        <v>995</v>
      </c>
      <c r="E92" s="72">
        <v>4.6500000000000004</v>
      </c>
      <c r="F92" s="72">
        <v>0</v>
      </c>
      <c r="G92" s="72">
        <v>0</v>
      </c>
      <c r="H92" s="72">
        <v>3.05</v>
      </c>
      <c r="I92" s="72">
        <f>SUM(Serviços[[#This Row],[Valor Inicial]:[Bonus]])-Serviços[[#This Row],[Saldo]]</f>
        <v>1.6000000000000005</v>
      </c>
      <c r="J92" s="71">
        <f ca="1">COUNTIFS('Banco de Dados'!$F$2:$F$2123,"&lt;&gt;-",'Banco de Dados'!$B$2:$B$2123,Serviços[[#This Row],[Chave]])</f>
        <v>7</v>
      </c>
      <c r="K92" s="72">
        <f ca="1">IFERROR(ROUND(Serviços[[#This Row],[Gasto]]/Serviços[[#This Row],[Pedidos]],2),0)</f>
        <v>0.23</v>
      </c>
      <c r="M92" s="72"/>
    </row>
    <row r="93" spans="1:13">
      <c r="A93" s="89">
        <v>45699</v>
      </c>
      <c r="B93" s="101" t="str">
        <f>_xlfn.CONCAT(Serviços[[#This Row],[Loja]],Serviços[[#This Row],[Data]])</f>
        <v>GO45699</v>
      </c>
      <c r="C93" s="101" t="s">
        <v>108</v>
      </c>
      <c r="D93" s="108" t="s">
        <v>995</v>
      </c>
      <c r="E93" s="72">
        <v>3.05</v>
      </c>
      <c r="F93" s="72">
        <v>0</v>
      </c>
      <c r="G93" s="72">
        <v>0</v>
      </c>
      <c r="H93" s="72">
        <v>2.4500000000000002</v>
      </c>
      <c r="I93" s="72">
        <f>SUM(Serviços[[#This Row],[Valor Inicial]:[Bonus]])-Serviços[[#This Row],[Saldo]]</f>
        <v>0.59999999999999964</v>
      </c>
      <c r="J93" s="71">
        <f ca="1">COUNTIFS('Banco de Dados'!$F$2:$F$2123,"&lt;&gt;-",'Banco de Dados'!$B$2:$B$2123,Serviços[[#This Row],[Chave]])</f>
        <v>1</v>
      </c>
      <c r="K93" s="72">
        <f ca="1">IFERROR(ROUND(Serviços[[#This Row],[Gasto]]/Serviços[[#This Row],[Pedidos]],2),0)</f>
        <v>0.6</v>
      </c>
      <c r="M93" s="72"/>
    </row>
    <row r="94" spans="1:13">
      <c r="A94" s="89">
        <v>45699</v>
      </c>
      <c r="B94" s="101" t="str">
        <f>_xlfn.CONCAT(Serviços[[#This Row],[Loja]],Serviços[[#This Row],[Data]])</f>
        <v>BV45699</v>
      </c>
      <c r="C94" s="101" t="s">
        <v>36</v>
      </c>
      <c r="D94" s="108" t="s">
        <v>995</v>
      </c>
      <c r="E94" s="72">
        <v>1.85</v>
      </c>
      <c r="F94" s="72">
        <v>0</v>
      </c>
      <c r="G94" s="72">
        <v>0</v>
      </c>
      <c r="H94" s="72">
        <v>1.65</v>
      </c>
      <c r="I94" s="72">
        <f>SUM(Serviços[[#This Row],[Valor Inicial]:[Bonus]])-Serviços[[#This Row],[Saldo]]</f>
        <v>0.20000000000000018</v>
      </c>
      <c r="J94" s="71">
        <f ca="1">COUNTIFS('Banco de Dados'!$F$2:$F$2123,"&lt;&gt;-",'Banco de Dados'!$B$2:$B$2123,Serviços[[#This Row],[Chave]])</f>
        <v>1</v>
      </c>
      <c r="K94" s="72">
        <f ca="1">IFERROR(ROUND(Serviços[[#This Row],[Gasto]]/Serviços[[#This Row],[Pedidos]],2),0)</f>
        <v>0.2</v>
      </c>
      <c r="M94" s="72"/>
    </row>
    <row r="95" spans="1:13">
      <c r="A95" s="89">
        <v>45699</v>
      </c>
      <c r="B95" s="101" t="str">
        <f>_xlfn.CONCAT(Serviços[[#This Row],[Loja]],Serviços[[#This Row],[Data]])</f>
        <v>MEI45699</v>
      </c>
      <c r="C95" s="101" t="s">
        <v>113</v>
      </c>
      <c r="D95" s="108" t="s">
        <v>995</v>
      </c>
      <c r="E95" s="72">
        <v>1.65</v>
      </c>
      <c r="F95" s="72">
        <v>10</v>
      </c>
      <c r="G95" s="72">
        <v>1</v>
      </c>
      <c r="H95" s="72">
        <v>10.25</v>
      </c>
      <c r="I95" s="72">
        <f>SUM(Serviços[[#This Row],[Valor Inicial]:[Bonus]])-Serviços[[#This Row],[Saldo]]</f>
        <v>2.4000000000000004</v>
      </c>
      <c r="J95" s="71">
        <f ca="1">COUNTIFS('Banco de Dados'!$F$2:$F$2123,"&lt;&gt;-",'Banco de Dados'!$B$2:$B$2123,Serviços[[#This Row],[Chave]])</f>
        <v>8</v>
      </c>
      <c r="K95" s="72">
        <f ca="1">IFERROR(ROUND(Serviços[[#This Row],[Gasto]]/Serviços[[#This Row],[Pedidos]],2),0)</f>
        <v>0.3</v>
      </c>
      <c r="M95" s="72"/>
    </row>
    <row r="96" spans="1:13">
      <c r="A96" s="89">
        <v>45700</v>
      </c>
      <c r="B96" s="101" t="str">
        <f>_xlfn.CONCAT(Serviços[[#This Row],[Loja]],Serviços[[#This Row],[Data]])</f>
        <v>BV45700</v>
      </c>
      <c r="C96" s="101" t="s">
        <v>36</v>
      </c>
      <c r="D96" s="108" t="s">
        <v>995</v>
      </c>
      <c r="E96" s="72">
        <v>10.25</v>
      </c>
      <c r="F96" s="72">
        <v>0</v>
      </c>
      <c r="G96" s="72">
        <v>0</v>
      </c>
      <c r="H96" s="72">
        <v>8.9600000000000009</v>
      </c>
      <c r="I96" s="72">
        <f>SUM(Serviços[[#This Row],[Valor Inicial]:[Bonus]])-Serviços[[#This Row],[Saldo]]</f>
        <v>1.2899999999999991</v>
      </c>
      <c r="J96" s="71">
        <f ca="1">COUNTIFS('Banco de Dados'!$F$2:$F$2123,"&lt;&gt;-",'Banco de Dados'!$B$2:$B$2123,Serviços[[#This Row],[Chave]])</f>
        <v>5</v>
      </c>
      <c r="K96" s="72">
        <f ca="1">IFERROR(ROUND(Serviços[[#This Row],[Gasto]]/Serviços[[#This Row],[Pedidos]],2),0)</f>
        <v>0.26</v>
      </c>
      <c r="M96" s="72"/>
    </row>
    <row r="97" spans="1:13">
      <c r="A97" s="89">
        <v>45700</v>
      </c>
      <c r="B97" s="101" t="str">
        <f>_xlfn.CONCAT(Serviços[[#This Row],[Loja]],Serviços[[#This Row],[Data]])</f>
        <v>MEI45700</v>
      </c>
      <c r="C97" s="101" t="s">
        <v>113</v>
      </c>
      <c r="D97" s="108" t="s">
        <v>995</v>
      </c>
      <c r="E97" s="72">
        <f>H96</f>
        <v>8.9600000000000009</v>
      </c>
      <c r="F97" s="72">
        <v>0</v>
      </c>
      <c r="G97" s="72">
        <v>0</v>
      </c>
      <c r="H97" s="72">
        <v>8.4499999999999993</v>
      </c>
      <c r="I97" s="72">
        <f>SUM(Serviços[[#This Row],[Valor Inicial]:[Bonus]])-Serviços[[#This Row],[Saldo]]</f>
        <v>0.51000000000000156</v>
      </c>
      <c r="J97" s="71">
        <f ca="1">COUNTIFS('Banco de Dados'!$F$2:$F$2123,"&lt;&gt;-",'Banco de Dados'!$B$2:$B$2123,Serviços[[#This Row],[Chave]])</f>
        <v>2</v>
      </c>
      <c r="K97" s="72">
        <f ca="1">IFERROR(ROUND(Serviços[[#This Row],[Gasto]]/Serviços[[#This Row],[Pedidos]],2),0)</f>
        <v>0.26</v>
      </c>
      <c r="M97" s="72"/>
    </row>
    <row r="98" spans="1:13">
      <c r="A98" s="89">
        <v>45700</v>
      </c>
      <c r="B98" s="101" t="str">
        <f>_xlfn.CONCAT(Serviços[[#This Row],[Loja]],Serviços[[#This Row],[Data]])</f>
        <v>GO45700</v>
      </c>
      <c r="C98" s="101" t="s">
        <v>108</v>
      </c>
      <c r="D98" s="108" t="s">
        <v>995</v>
      </c>
      <c r="E98" s="72">
        <v>2.4500000000000002</v>
      </c>
      <c r="F98" s="72">
        <v>0</v>
      </c>
      <c r="G98" s="72">
        <v>0</v>
      </c>
      <c r="H98" s="72">
        <v>2.25</v>
      </c>
      <c r="I98" s="72">
        <f>SUM(Serviços[[#This Row],[Valor Inicial]:[Bonus]])-Serviços[[#This Row],[Saldo]]</f>
        <v>0.20000000000000018</v>
      </c>
      <c r="J98" s="71">
        <f ca="1">COUNTIFS('Banco de Dados'!$F$2:$F$2123,"&lt;&gt;-",'Banco de Dados'!$B$2:$B$2123,Serviços[[#This Row],[Chave]])</f>
        <v>1</v>
      </c>
      <c r="K98" s="72">
        <f ca="1">IFERROR(ROUND(Serviços[[#This Row],[Gasto]]/Serviços[[#This Row],[Pedidos]],2),0)</f>
        <v>0.2</v>
      </c>
      <c r="M98" s="72"/>
    </row>
    <row r="99" spans="1:13">
      <c r="A99" s="89">
        <v>45701</v>
      </c>
      <c r="B99" s="101" t="str">
        <f>_xlfn.CONCAT(Serviços[[#This Row],[Loja]],Serviços[[#This Row],[Data]])</f>
        <v>BV45701</v>
      </c>
      <c r="C99" s="101" t="s">
        <v>36</v>
      </c>
      <c r="D99" s="108" t="s">
        <v>995</v>
      </c>
      <c r="E99" s="72">
        <v>8.4499999999999993</v>
      </c>
      <c r="F99" s="72">
        <v>0</v>
      </c>
      <c r="G99" s="72">
        <v>0</v>
      </c>
      <c r="H99" s="72">
        <v>7.45</v>
      </c>
      <c r="I99" s="72">
        <f>SUM(Serviços[[#This Row],[Valor Inicial]:[Bonus]])-Serviços[[#This Row],[Saldo]]</f>
        <v>0.99999999999999911</v>
      </c>
      <c r="J99" s="71">
        <f ca="1">COUNTIFS('Banco de Dados'!$F$2:$F$2123,"&lt;&gt;-",'Banco de Dados'!$B$2:$B$2123,Serviços[[#This Row],[Chave]])</f>
        <v>4</v>
      </c>
      <c r="K99" s="72">
        <f ca="1">IFERROR(ROUND(Serviços[[#This Row],[Gasto]]/Serviços[[#This Row],[Pedidos]],2),0)</f>
        <v>0.25</v>
      </c>
      <c r="M99" s="72"/>
    </row>
    <row r="100" spans="1:13">
      <c r="A100" s="89">
        <v>45701</v>
      </c>
      <c r="B100" s="101" t="str">
        <f>_xlfn.CONCAT(Serviços[[#This Row],[Loja]],Serviços[[#This Row],[Data]])</f>
        <v>MEI45701</v>
      </c>
      <c r="C100" s="101" t="s">
        <v>113</v>
      </c>
      <c r="D100" s="108" t="s">
        <v>995</v>
      </c>
      <c r="E100" s="72">
        <v>7.45</v>
      </c>
      <c r="F100" s="72">
        <v>0</v>
      </c>
      <c r="G100" s="72">
        <v>0</v>
      </c>
      <c r="H100" s="72">
        <v>6.85</v>
      </c>
      <c r="I100" s="72">
        <f>SUM(Serviços[[#This Row],[Valor Inicial]:[Bonus]])-Serviços[[#This Row],[Saldo]]</f>
        <v>0.60000000000000053</v>
      </c>
      <c r="J100" s="71">
        <f ca="1">COUNTIFS('Banco de Dados'!$F$2:$F$2123,"&lt;&gt;-",'Banco de Dados'!$B$2:$B$2123,Serviços[[#This Row],[Chave]])</f>
        <v>4</v>
      </c>
      <c r="K100" s="72">
        <f ca="1">IFERROR(ROUND(Serviços[[#This Row],[Gasto]]/Serviços[[#This Row],[Pedidos]],2),0)</f>
        <v>0.15</v>
      </c>
      <c r="M100" s="72"/>
    </row>
    <row r="101" spans="1:13">
      <c r="A101" s="89">
        <v>45702</v>
      </c>
      <c r="B101" s="101" t="str">
        <f>_xlfn.CONCAT(Serviços[[#This Row],[Loja]],Serviços[[#This Row],[Data]])</f>
        <v>BV45702</v>
      </c>
      <c r="C101" s="101" t="s">
        <v>36</v>
      </c>
      <c r="D101" s="108" t="s">
        <v>995</v>
      </c>
      <c r="E101" s="72">
        <v>6.85</v>
      </c>
      <c r="F101" s="72">
        <v>0</v>
      </c>
      <c r="G101" s="72">
        <v>0</v>
      </c>
      <c r="H101" s="72">
        <v>6.45</v>
      </c>
      <c r="I101" s="72">
        <f>SUM(Serviços[[#This Row],[Valor Inicial]:[Bonus]])-Serviços[[#This Row],[Saldo]]</f>
        <v>0.39999999999999947</v>
      </c>
      <c r="J101" s="71">
        <f ca="1">COUNTIFS('Banco de Dados'!$F$2:$F$2123,"&lt;&gt;-",'Banco de Dados'!$B$2:$B$2123,Serviços[[#This Row],[Chave]])</f>
        <v>2</v>
      </c>
      <c r="K101" s="72">
        <f ca="1">IFERROR(ROUND(Serviços[[#This Row],[Gasto]]/Serviços[[#This Row],[Pedidos]],2),0)</f>
        <v>0.2</v>
      </c>
      <c r="M101" s="72"/>
    </row>
    <row r="102" spans="1:13">
      <c r="A102" s="89">
        <v>45702</v>
      </c>
      <c r="B102" s="101" t="str">
        <f>_xlfn.CONCAT(Serviços[[#This Row],[Loja]],Serviços[[#This Row],[Data]])</f>
        <v>MEI45702</v>
      </c>
      <c r="C102" s="101" t="s">
        <v>113</v>
      </c>
      <c r="D102" s="108" t="s">
        <v>995</v>
      </c>
      <c r="E102" s="72">
        <f t="shared" ref="E102:E108" si="0">H101</f>
        <v>6.45</v>
      </c>
      <c r="F102" s="72">
        <v>0</v>
      </c>
      <c r="G102" s="72">
        <v>0</v>
      </c>
      <c r="H102" s="72">
        <v>5.85</v>
      </c>
      <c r="I102" s="72">
        <f>SUM(Serviços[[#This Row],[Valor Inicial]:[Bonus]])-Serviços[[#This Row],[Saldo]]</f>
        <v>0.60000000000000053</v>
      </c>
      <c r="J102" s="71">
        <f ca="1">COUNTIFS('Banco de Dados'!$F$2:$F$2123,"&lt;&gt;-",'Banco de Dados'!$B$2:$B$2123,Serviços[[#This Row],[Chave]])</f>
        <v>3</v>
      </c>
      <c r="K102" s="72">
        <f ca="1">IFERROR(ROUND(Serviços[[#This Row],[Gasto]]/Serviços[[#This Row],[Pedidos]],2),0)</f>
        <v>0.2</v>
      </c>
      <c r="M102" s="72"/>
    </row>
    <row r="103" spans="1:13">
      <c r="A103" s="89">
        <v>45705</v>
      </c>
      <c r="B103" s="101" t="str">
        <f>_xlfn.CONCAT(Serviços[[#This Row],[Loja]],Serviços[[#This Row],[Data]])</f>
        <v>MEI45705</v>
      </c>
      <c r="C103" s="101" t="s">
        <v>113</v>
      </c>
      <c r="D103" s="108" t="s">
        <v>995</v>
      </c>
      <c r="E103" s="72">
        <f t="shared" si="0"/>
        <v>5.85</v>
      </c>
      <c r="F103" s="72">
        <v>0</v>
      </c>
      <c r="G103" s="72">
        <v>0</v>
      </c>
      <c r="H103" s="72">
        <v>3.25</v>
      </c>
      <c r="I103" s="72">
        <f>SUM(Serviços[[#This Row],[Valor Inicial]:[Bonus]])-Serviços[[#This Row],[Saldo]]</f>
        <v>2.5999999999999996</v>
      </c>
      <c r="J103" s="71">
        <f ca="1">COUNTIFS('Banco de Dados'!$F$2:$F$2123,"&lt;&gt;-",'Banco de Dados'!$B$2:$B$2123,Serviços[[#This Row],[Chave]])</f>
        <v>13</v>
      </c>
      <c r="K103" s="72">
        <f ca="1">IFERROR(ROUND(Serviços[[#This Row],[Gasto]]/Serviços[[#This Row],[Pedidos]],2),0)</f>
        <v>0.2</v>
      </c>
      <c r="M103" s="72"/>
    </row>
    <row r="104" spans="1:13">
      <c r="A104" s="89">
        <v>45705</v>
      </c>
      <c r="B104" s="101" t="str">
        <f>_xlfn.CONCAT(Serviços[[#This Row],[Loja]],Serviços[[#This Row],[Data]])</f>
        <v>BV45705</v>
      </c>
      <c r="C104" s="101" t="s">
        <v>36</v>
      </c>
      <c r="D104" s="108" t="s">
        <v>995</v>
      </c>
      <c r="E104" s="72">
        <f t="shared" si="0"/>
        <v>3.25</v>
      </c>
      <c r="F104" s="72">
        <v>0</v>
      </c>
      <c r="G104" s="72">
        <v>0</v>
      </c>
      <c r="H104" s="72">
        <v>0.65</v>
      </c>
      <c r="I104" s="72">
        <f>SUM(Serviços[[#This Row],[Valor Inicial]:[Bonus]])-Serviços[[#This Row],[Saldo]]</f>
        <v>2.6</v>
      </c>
      <c r="J104" s="71">
        <f ca="1">COUNTIFS('Banco de Dados'!$F$2:$F$2123,"&lt;&gt;-",'Banco de Dados'!$B$2:$B$2123,Serviços[[#This Row],[Chave]])</f>
        <v>11</v>
      </c>
      <c r="K104" s="72">
        <f ca="1">IFERROR(ROUND(Serviços[[#This Row],[Gasto]]/Serviços[[#This Row],[Pedidos]],2),0)</f>
        <v>0.24</v>
      </c>
      <c r="M104" s="72"/>
    </row>
    <row r="105" spans="1:13">
      <c r="A105" s="89">
        <v>45706</v>
      </c>
      <c r="B105" s="101" t="str">
        <f>_xlfn.CONCAT(Serviços[[#This Row],[Loja]],Serviços[[#This Row],[Data]])</f>
        <v>BV45706</v>
      </c>
      <c r="C105" s="101" t="s">
        <v>36</v>
      </c>
      <c r="D105" s="108" t="s">
        <v>995</v>
      </c>
      <c r="E105" s="72">
        <f t="shared" si="0"/>
        <v>0.65</v>
      </c>
      <c r="F105" s="72">
        <v>10</v>
      </c>
      <c r="G105" s="72">
        <v>1</v>
      </c>
      <c r="H105" s="72">
        <v>11.45</v>
      </c>
      <c r="I105" s="72">
        <f>SUM(Serviços[[#This Row],[Valor Inicial]:[Bonus]])-Serviços[[#This Row],[Saldo]]</f>
        <v>0.20000000000000107</v>
      </c>
      <c r="J105" s="71">
        <f ca="1">COUNTIFS('Banco de Dados'!$F$2:$F$2123,"&lt;&gt;-",'Banco de Dados'!$B$2:$B$2123,Serviços[[#This Row],[Chave]])</f>
        <v>1</v>
      </c>
      <c r="K105" s="72">
        <f ca="1">IFERROR(ROUND(Serviços[[#This Row],[Gasto]]/Serviços[[#This Row],[Pedidos]],2),0)</f>
        <v>0.2</v>
      </c>
      <c r="M105" s="72"/>
    </row>
    <row r="106" spans="1:13">
      <c r="A106" s="89">
        <v>45706</v>
      </c>
      <c r="B106" s="101" t="str">
        <f>_xlfn.CONCAT(Serviços[[#This Row],[Loja]],Serviços[[#This Row],[Data]])</f>
        <v>MEI45706</v>
      </c>
      <c r="C106" s="101" t="s">
        <v>113</v>
      </c>
      <c r="D106" s="108" t="s">
        <v>995</v>
      </c>
      <c r="E106" s="72">
        <f t="shared" si="0"/>
        <v>11.45</v>
      </c>
      <c r="F106" s="72">
        <v>0</v>
      </c>
      <c r="G106" s="72">
        <v>0</v>
      </c>
      <c r="H106" s="72">
        <v>10.25</v>
      </c>
      <c r="I106" s="72">
        <f>SUM(Serviços[[#This Row],[Valor Inicial]:[Bonus]])-Serviços[[#This Row],[Saldo]]</f>
        <v>1.1999999999999993</v>
      </c>
      <c r="J106" s="71">
        <f ca="1">COUNTIFS('Banco de Dados'!$F$2:$F$2123,"&lt;&gt;-",'Banco de Dados'!$B$2:$B$2123,Serviços[[#This Row],[Chave]])</f>
        <v>6</v>
      </c>
      <c r="K106" s="72">
        <f ca="1">IFERROR(ROUND(Serviços[[#This Row],[Gasto]]/Serviços[[#This Row],[Pedidos]],2),0)</f>
        <v>0.2</v>
      </c>
      <c r="M106" s="72"/>
    </row>
    <row r="107" spans="1:13">
      <c r="A107" s="89">
        <v>45707</v>
      </c>
      <c r="B107" s="101" t="str">
        <f>_xlfn.CONCAT(Serviços[[#This Row],[Loja]],Serviços[[#This Row],[Data]])</f>
        <v>BV45707</v>
      </c>
      <c r="C107" s="101" t="s">
        <v>36</v>
      </c>
      <c r="D107" s="108" t="s">
        <v>995</v>
      </c>
      <c r="E107" s="72">
        <f t="shared" si="0"/>
        <v>10.25</v>
      </c>
      <c r="F107" s="72">
        <v>0</v>
      </c>
      <c r="G107" s="72">
        <v>0</v>
      </c>
      <c r="H107" s="72">
        <v>9.85</v>
      </c>
      <c r="I107" s="72">
        <f>SUM(Serviços[[#This Row],[Valor Inicial]:[Bonus]])-Serviços[[#This Row],[Saldo]]</f>
        <v>0.40000000000000036</v>
      </c>
      <c r="J107" s="71">
        <f ca="1">COUNTIFS('Banco de Dados'!$F$2:$F$2123,"&lt;&gt;-",'Banco de Dados'!$B$2:$B$2123,Serviços[[#This Row],[Chave]])</f>
        <v>2</v>
      </c>
      <c r="K107" s="72">
        <f ca="1">IFERROR(ROUND(Serviços[[#This Row],[Gasto]]/Serviços[[#This Row],[Pedidos]],2),0)</f>
        <v>0.2</v>
      </c>
      <c r="M107" s="72"/>
    </row>
    <row r="108" spans="1:13">
      <c r="A108" s="89">
        <v>45707</v>
      </c>
      <c r="B108" s="101" t="str">
        <f>_xlfn.CONCAT(Serviços[[#This Row],[Loja]],Serviços[[#This Row],[Data]])</f>
        <v>MEI45707</v>
      </c>
      <c r="C108" s="89" t="s">
        <v>113</v>
      </c>
      <c r="D108" s="108" t="s">
        <v>995</v>
      </c>
      <c r="E108" s="72">
        <f t="shared" si="0"/>
        <v>9.85</v>
      </c>
      <c r="F108" s="72">
        <v>0</v>
      </c>
      <c r="G108" s="72">
        <v>0</v>
      </c>
      <c r="H108" s="72">
        <v>8.85</v>
      </c>
      <c r="I108" s="72">
        <f>SUM(Serviços[[#This Row],[Valor Inicial]:[Bonus]])-Serviços[[#This Row],[Saldo]]</f>
        <v>1</v>
      </c>
      <c r="J108" s="71">
        <f ca="1">COUNTIFS('Banco de Dados'!$F$2:$F$2123,"&lt;&gt;-",'Banco de Dados'!$B$2:$B$2123,Serviços[[#This Row],[Chave]])</f>
        <v>4</v>
      </c>
      <c r="K108" s="72">
        <f ca="1">IFERROR(ROUND(Serviços[[#This Row],[Gasto]]/Serviços[[#This Row],[Pedidos]],2),0)</f>
        <v>0.25</v>
      </c>
      <c r="M108" s="72"/>
    </row>
    <row r="109" spans="1:13">
      <c r="A109" s="89">
        <v>45708</v>
      </c>
      <c r="B109" s="101" t="str">
        <f>_xlfn.CONCAT(Serviços[[#This Row],[Loja]],Serviços[[#This Row],[Data]])</f>
        <v>BV45708</v>
      </c>
      <c r="C109" s="101" t="s">
        <v>36</v>
      </c>
      <c r="D109" s="108" t="s">
        <v>995</v>
      </c>
      <c r="E109" s="72">
        <f t="shared" ref="E109" si="1">H108</f>
        <v>8.85</v>
      </c>
      <c r="F109" s="72">
        <v>0</v>
      </c>
      <c r="G109" s="72">
        <v>0</v>
      </c>
      <c r="H109" s="72">
        <v>8.4499999999999993</v>
      </c>
      <c r="I109" s="72">
        <f>SUM(Serviços[[#This Row],[Valor Inicial]:[Bonus]])-Serviços[[#This Row],[Saldo]]</f>
        <v>0.40000000000000036</v>
      </c>
      <c r="J109" s="71">
        <f ca="1">COUNTIFS('Banco de Dados'!$F$2:$F$2123,"&lt;&gt;-",'Banco de Dados'!$B$2:$B$2123,Serviços[[#This Row],[Chave]])</f>
        <v>1</v>
      </c>
      <c r="K109" s="72">
        <f ca="1">IFERROR(ROUND(Serviços[[#This Row],[Gasto]]/Serviços[[#This Row],[Pedidos]],2),0)</f>
        <v>0.4</v>
      </c>
      <c r="M109" s="72"/>
    </row>
    <row r="110" spans="1:13">
      <c r="A110" s="89">
        <v>45708</v>
      </c>
      <c r="B110" s="101" t="str">
        <f>_xlfn.CONCAT(Serviços[[#This Row],[Loja]],Serviços[[#This Row],[Data]])</f>
        <v>MEI45708</v>
      </c>
      <c r="C110" s="101" t="s">
        <v>113</v>
      </c>
      <c r="D110" s="108" t="s">
        <v>995</v>
      </c>
      <c r="E110" s="72">
        <f t="shared" ref="E110" si="2">H109</f>
        <v>8.4499999999999993</v>
      </c>
      <c r="F110" s="72">
        <v>0</v>
      </c>
      <c r="G110" s="72">
        <v>0</v>
      </c>
      <c r="H110" s="72">
        <v>8.25</v>
      </c>
      <c r="I110" s="72">
        <f>SUM(Serviços[[#This Row],[Valor Inicial]:[Bonus]])-Serviços[[#This Row],[Saldo]]</f>
        <v>0.19999999999999929</v>
      </c>
      <c r="J110" s="71">
        <f ca="1">COUNTIFS('Banco de Dados'!$F$2:$F$2123,"&lt;&gt;-",'Banco de Dados'!$B$2:$B$2123,Serviços[[#This Row],[Chave]])</f>
        <v>1</v>
      </c>
      <c r="K110" s="72">
        <f ca="1">IFERROR(ROUND(Serviços[[#This Row],[Gasto]]/Serviços[[#This Row],[Pedidos]],2),0)</f>
        <v>0.2</v>
      </c>
      <c r="M110" s="72"/>
    </row>
    <row r="111" spans="1:13">
      <c r="A111" s="89">
        <v>45710</v>
      </c>
      <c r="B111" s="101" t="str">
        <f>_xlfn.CONCAT(Serviços[[#This Row],[Loja]],Serviços[[#This Row],[Data]])</f>
        <v>MEI45710</v>
      </c>
      <c r="C111" s="101" t="s">
        <v>113</v>
      </c>
      <c r="D111" s="108" t="s">
        <v>995</v>
      </c>
      <c r="E111" s="72">
        <f t="shared" ref="E111" si="3">H110</f>
        <v>8.25</v>
      </c>
      <c r="F111" s="72">
        <v>0</v>
      </c>
      <c r="G111" s="72">
        <v>0</v>
      </c>
      <c r="H111" s="72">
        <v>8.0500000000000007</v>
      </c>
      <c r="I111" s="72">
        <f>SUM(Serviços[[#This Row],[Valor Inicial]:[Bonus]])-Serviços[[#This Row],[Saldo]]</f>
        <v>0.19999999999999929</v>
      </c>
      <c r="J111" s="71">
        <f ca="1">COUNTIFS('Banco de Dados'!$F$2:$F$2123,"&lt;&gt;-",'Banco de Dados'!$B$2:$B$2123,Serviços[[#This Row],[Chave]])</f>
        <v>1</v>
      </c>
      <c r="K111" s="72">
        <f ca="1">IFERROR(ROUND(Serviços[[#This Row],[Gasto]]/Serviços[[#This Row],[Pedidos]],2),0)</f>
        <v>0.2</v>
      </c>
      <c r="M111" s="72"/>
    </row>
    <row r="112" spans="1:13">
      <c r="A112" s="89">
        <v>45710</v>
      </c>
      <c r="B112" s="101" t="str">
        <f>_xlfn.CONCAT(Serviços[[#This Row],[Loja]],Serviços[[#This Row],[Data]])</f>
        <v>GO45710</v>
      </c>
      <c r="C112" s="101" t="s">
        <v>108</v>
      </c>
      <c r="D112" s="108" t="s">
        <v>995</v>
      </c>
      <c r="E112" s="72">
        <f>H98</f>
        <v>2.25</v>
      </c>
      <c r="F112" s="72">
        <v>0</v>
      </c>
      <c r="G112" s="72">
        <v>0</v>
      </c>
      <c r="H112" s="72">
        <v>2.0499999999999998</v>
      </c>
      <c r="I112" s="72">
        <f>SUM(Serviços[[#This Row],[Valor Inicial]:[Bonus]])-Serviços[[#This Row],[Saldo]]</f>
        <v>0.20000000000000018</v>
      </c>
      <c r="J112" s="71">
        <f ca="1">COUNTIFS('Banco de Dados'!$F$2:$F$2123,"&lt;&gt;-",'Banco de Dados'!$B$2:$B$2123,Serviços[[#This Row],[Chave]])</f>
        <v>1</v>
      </c>
      <c r="K112" s="72">
        <f ca="1">IFERROR(ROUND(Serviços[[#This Row],[Gasto]]/Serviços[[#This Row],[Pedidos]],2),0)</f>
        <v>0.2</v>
      </c>
      <c r="M112" s="72"/>
    </row>
    <row r="113" spans="1:13">
      <c r="A113" s="89">
        <v>45710</v>
      </c>
      <c r="B113" s="101" t="str">
        <f>_xlfn.CONCAT(Serviços[[#This Row],[Loja]],Serviços[[#This Row],[Data]])</f>
        <v>BV45710</v>
      </c>
      <c r="C113" s="101" t="s">
        <v>36</v>
      </c>
      <c r="D113" s="108" t="s">
        <v>995</v>
      </c>
      <c r="E113" s="72">
        <f>H111</f>
        <v>8.0500000000000007</v>
      </c>
      <c r="F113" s="72">
        <v>0</v>
      </c>
      <c r="G113" s="72">
        <v>0</v>
      </c>
      <c r="H113" s="72">
        <v>6.85</v>
      </c>
      <c r="I113" s="72">
        <f>SUM(Serviços[[#This Row],[Valor Inicial]:[Bonus]])-Serviços[[#This Row],[Saldo]]</f>
        <v>1.2000000000000011</v>
      </c>
      <c r="J113" s="71">
        <f ca="1">COUNTIFS('Banco de Dados'!$F$2:$F$2123,"&lt;&gt;-",'Banco de Dados'!$B$2:$B$2123,Serviços[[#This Row],[Chave]])</f>
        <v>6</v>
      </c>
      <c r="K113" s="72">
        <f ca="1">IFERROR(ROUND(Serviços[[#This Row],[Gasto]]/Serviços[[#This Row],[Pedidos]],2),0)</f>
        <v>0.2</v>
      </c>
      <c r="M113" s="72"/>
    </row>
    <row r="114" spans="1:13">
      <c r="A114" s="89">
        <v>45712</v>
      </c>
      <c r="B114" s="101" t="str">
        <f>_xlfn.CONCAT(Serviços[[#This Row],[Loja]],Serviços[[#This Row],[Data]])</f>
        <v>BV45712</v>
      </c>
      <c r="C114" s="101" t="s">
        <v>36</v>
      </c>
      <c r="D114" s="108" t="s">
        <v>995</v>
      </c>
      <c r="E114" s="72">
        <f>H113</f>
        <v>6.85</v>
      </c>
      <c r="F114" s="72">
        <v>0</v>
      </c>
      <c r="G114" s="72">
        <v>0</v>
      </c>
      <c r="H114" s="72">
        <v>5.25</v>
      </c>
      <c r="I114" s="72">
        <f>SUM(Serviços[[#This Row],[Valor Inicial]:[Bonus]])-Serviços[[#This Row],[Saldo]]</f>
        <v>1.5999999999999996</v>
      </c>
      <c r="J114" s="71">
        <f ca="1">COUNTIFS('Banco de Dados'!$F$2:$F$2123,"&lt;&gt;-",'Banco de Dados'!$B$2:$B$2123,Serviços[[#This Row],[Chave]])</f>
        <v>7</v>
      </c>
      <c r="K114" s="72">
        <f ca="1">IFERROR(ROUND(Serviços[[#This Row],[Gasto]]/Serviços[[#This Row],[Pedidos]],2),0)</f>
        <v>0.23</v>
      </c>
      <c r="M114" s="72"/>
    </row>
    <row r="115" spans="1:13">
      <c r="A115" s="89">
        <v>45712</v>
      </c>
      <c r="B115" s="101" t="str">
        <f>_xlfn.CONCAT(Serviços[[#This Row],[Loja]],Serviços[[#This Row],[Data]])</f>
        <v>MEI45712</v>
      </c>
      <c r="C115" s="101" t="s">
        <v>113</v>
      </c>
      <c r="D115" s="108" t="s">
        <v>995</v>
      </c>
      <c r="E115" s="72">
        <f>H114</f>
        <v>5.25</v>
      </c>
      <c r="F115" s="72">
        <v>0</v>
      </c>
      <c r="G115" s="72">
        <v>0</v>
      </c>
      <c r="H115" s="72">
        <v>3.85</v>
      </c>
      <c r="I115" s="72">
        <f>SUM(Serviços[[#This Row],[Valor Inicial]:[Bonus]])-Serviços[[#This Row],[Saldo]]</f>
        <v>1.4</v>
      </c>
      <c r="J115" s="71">
        <f ca="1">COUNTIFS('Banco de Dados'!$F$2:$F$2123,"&lt;&gt;-",'Banco de Dados'!$B$2:$B$2123,Serviços[[#This Row],[Chave]])</f>
        <v>7</v>
      </c>
      <c r="K115" s="72">
        <f ca="1">IFERROR(ROUND(Serviços[[#This Row],[Gasto]]/Serviços[[#This Row],[Pedidos]],2),0)</f>
        <v>0.2</v>
      </c>
      <c r="M115" s="72"/>
    </row>
    <row r="116" spans="1:13">
      <c r="A116" s="89">
        <v>45714</v>
      </c>
      <c r="B116" s="101" t="str">
        <f>_xlfn.CONCAT(Serviços[[#This Row],[Loja]],Serviços[[#This Row],[Data]])</f>
        <v>BV45714</v>
      </c>
      <c r="C116" s="101" t="s">
        <v>36</v>
      </c>
      <c r="D116" s="108" t="s">
        <v>995</v>
      </c>
      <c r="E116" s="72">
        <f>H115</f>
        <v>3.85</v>
      </c>
      <c r="F116" s="72">
        <v>0</v>
      </c>
      <c r="G116" s="72">
        <v>0</v>
      </c>
      <c r="H116" s="72">
        <v>2.85</v>
      </c>
      <c r="I116" s="72">
        <f>SUM(Serviços[[#This Row],[Valor Inicial]:[Bonus]])-Serviços[[#This Row],[Saldo]]</f>
        <v>1</v>
      </c>
      <c r="J116" s="71">
        <f ca="1">COUNTIFS('Banco de Dados'!$F$2:$F$2123,"&lt;&gt;-",'Banco de Dados'!$B$2:$B$2123,Serviços[[#This Row],[Chave]])</f>
        <v>4</v>
      </c>
      <c r="K116" s="72">
        <f ca="1">IFERROR(ROUND(Serviços[[#This Row],[Gasto]]/Serviços[[#This Row],[Pedidos]],2),0)</f>
        <v>0.25</v>
      </c>
      <c r="M116" s="72"/>
    </row>
    <row r="117" spans="1:13">
      <c r="A117" s="89">
        <v>45714</v>
      </c>
      <c r="B117" s="101" t="str">
        <f>_xlfn.CONCAT(Serviços[[#This Row],[Loja]],Serviços[[#This Row],[Data]])</f>
        <v>MEI45714</v>
      </c>
      <c r="C117" s="101" t="s">
        <v>113</v>
      </c>
      <c r="D117" s="108" t="s">
        <v>995</v>
      </c>
      <c r="E117" s="72">
        <f>H116</f>
        <v>2.85</v>
      </c>
      <c r="F117" s="72">
        <v>0</v>
      </c>
      <c r="G117" s="72">
        <v>0</v>
      </c>
      <c r="H117" s="72">
        <v>1.85</v>
      </c>
      <c r="I117" s="72">
        <f>SUM(Serviços[[#This Row],[Valor Inicial]:[Bonus]])-Serviços[[#This Row],[Saldo]]</f>
        <v>1</v>
      </c>
      <c r="J117" s="71">
        <f ca="1">COUNTIFS('Banco de Dados'!$F$2:$F$2123,"&lt;&gt;-",'Banco de Dados'!$B$2:$B$2123,Serviços[[#This Row],[Chave]])</f>
        <v>4</v>
      </c>
      <c r="K117" s="72">
        <f ca="1">IFERROR(ROUND(Serviços[[#This Row],[Gasto]]/Serviços[[#This Row],[Pedidos]],2),0)</f>
        <v>0.25</v>
      </c>
      <c r="M117" s="72"/>
    </row>
    <row r="118" spans="1:13">
      <c r="A118" s="89">
        <v>45715</v>
      </c>
      <c r="B118" s="101" t="str">
        <f>_xlfn.CONCAT(Serviços[[#This Row],[Loja]],Serviços[[#This Row],[Data]])</f>
        <v>GO45715</v>
      </c>
      <c r="C118" s="89" t="s">
        <v>108</v>
      </c>
      <c r="D118" s="108" t="s">
        <v>995</v>
      </c>
      <c r="E118" s="72">
        <f>H112</f>
        <v>2.0499999999999998</v>
      </c>
      <c r="F118" s="72">
        <v>0</v>
      </c>
      <c r="G118" s="72">
        <v>0</v>
      </c>
      <c r="H118" s="72">
        <v>1.85</v>
      </c>
      <c r="I118" s="72">
        <f>SUM(Serviços[[#This Row],[Valor Inicial]:[Bonus]])-Serviços[[#This Row],[Saldo]]</f>
        <v>0.19999999999999973</v>
      </c>
      <c r="J118" s="71">
        <f ca="1">COUNTIFS('Banco de Dados'!$F$2:$F$2123,"&lt;&gt;-",'Banco de Dados'!$B$2:$B$2123,Serviços[[#This Row],[Chave]])</f>
        <v>1</v>
      </c>
      <c r="K118" s="72">
        <f ca="1">IFERROR(ROUND(Serviços[[#This Row],[Gasto]]/Serviços[[#This Row],[Pedidos]],2),0)</f>
        <v>0.2</v>
      </c>
      <c r="M118" s="72"/>
    </row>
    <row r="119" spans="1:13">
      <c r="A119" s="89">
        <v>45715</v>
      </c>
      <c r="B119" s="101" t="str">
        <f>_xlfn.CONCAT(Serviços[[#This Row],[Loja]],Serviços[[#This Row],[Data]])</f>
        <v>BV45715</v>
      </c>
      <c r="C119" s="101" t="s">
        <v>36</v>
      </c>
      <c r="D119" s="108" t="s">
        <v>995</v>
      </c>
      <c r="E119" s="72">
        <f>H117</f>
        <v>1.85</v>
      </c>
      <c r="F119" s="72">
        <v>0</v>
      </c>
      <c r="G119" s="72">
        <v>0</v>
      </c>
      <c r="H119" s="72">
        <v>0.3</v>
      </c>
      <c r="I119" s="72">
        <f>SUM(Serviços[[#This Row],[Valor Inicial]:[Bonus]])-Serviços[[#This Row],[Saldo]]</f>
        <v>1.55</v>
      </c>
      <c r="J119" s="71">
        <f ca="1">COUNTIFS('Banco de Dados'!$F$2:$F$2123,"&lt;&gt;-",'Banco de Dados'!$B$2:$B$2123,Serviços[[#This Row],[Chave]])</f>
        <v>5</v>
      </c>
      <c r="K119" s="72">
        <f ca="1">IFERROR(ROUND(Serviços[[#This Row],[Gasto]]/Serviços[[#This Row],[Pedidos]],2),0)</f>
        <v>0.31</v>
      </c>
      <c r="M119" s="72"/>
    </row>
    <row r="120" spans="1:13">
      <c r="A120" s="89">
        <v>45716</v>
      </c>
      <c r="B120" s="101" t="str">
        <f>_xlfn.CONCAT(Serviços[[#This Row],[Loja]],Serviços[[#This Row],[Data]])</f>
        <v>BV45716</v>
      </c>
      <c r="C120" s="101" t="s">
        <v>36</v>
      </c>
      <c r="D120" s="108" t="s">
        <v>995</v>
      </c>
      <c r="E120" s="72">
        <f>H119</f>
        <v>0.3</v>
      </c>
      <c r="F120" s="72">
        <v>10</v>
      </c>
      <c r="G120" s="72">
        <v>1</v>
      </c>
      <c r="H120" s="72">
        <v>9.3000000000000007</v>
      </c>
      <c r="I120" s="72">
        <f>SUM(Serviços[[#This Row],[Valor Inicial]:[Bonus]])-Serviços[[#This Row],[Saldo]]</f>
        <v>2</v>
      </c>
      <c r="J120" s="71">
        <f ca="1">COUNTIFS('Banco de Dados'!$F$2:$F$2123,"&lt;&gt;-",'Banco de Dados'!$B$2:$B$2123,Serviços[[#This Row],[Chave]])</f>
        <v>10</v>
      </c>
      <c r="K120" s="72">
        <f ca="1">IFERROR(ROUND(Serviços[[#This Row],[Gasto]]/Serviços[[#This Row],[Pedidos]],2),0)</f>
        <v>0.2</v>
      </c>
      <c r="M120" s="72"/>
    </row>
    <row r="121" spans="1:13">
      <c r="A121" s="89">
        <v>45718</v>
      </c>
      <c r="B121" s="101" t="str">
        <f>_xlfn.CONCAT(Serviços[[#This Row],[Loja]],Serviços[[#This Row],[Data]])</f>
        <v>BV45718</v>
      </c>
      <c r="C121" s="101" t="s">
        <v>36</v>
      </c>
      <c r="D121" s="108" t="s">
        <v>995</v>
      </c>
      <c r="E121" s="72">
        <f>H120</f>
        <v>9.3000000000000007</v>
      </c>
      <c r="F121" s="72">
        <v>0</v>
      </c>
      <c r="G121" s="72">
        <v>0</v>
      </c>
      <c r="H121" s="72">
        <v>7.1</v>
      </c>
      <c r="I121" s="72">
        <f>SUM(Serviços[[#This Row],[Valor Inicial]:[Bonus]])-Serviços[[#This Row],[Saldo]]</f>
        <v>2.2000000000000011</v>
      </c>
      <c r="J121" s="71">
        <f ca="1">COUNTIFS('Banco de Dados'!$F$2:$F$2123,"&lt;&gt;-",'Banco de Dados'!$B$2:$B$2123,Serviços[[#This Row],[Chave]])</f>
        <v>8</v>
      </c>
      <c r="K121" s="72">
        <f ca="1">IFERROR(ROUND(Serviços[[#This Row],[Gasto]]/Serviços[[#This Row],[Pedidos]],2),0)</f>
        <v>0.28000000000000003</v>
      </c>
      <c r="M121" s="72"/>
    </row>
    <row r="122" spans="1:13">
      <c r="A122" s="89">
        <v>45718</v>
      </c>
      <c r="B122" s="101" t="str">
        <f>_xlfn.CONCAT(Serviços[[#This Row],[Loja]],Serviços[[#This Row],[Data]])</f>
        <v>MEI45718</v>
      </c>
      <c r="C122" s="101" t="s">
        <v>113</v>
      </c>
      <c r="D122" s="108" t="s">
        <v>995</v>
      </c>
      <c r="E122" s="72">
        <f>H121</f>
        <v>7.1</v>
      </c>
      <c r="F122" s="72">
        <v>0</v>
      </c>
      <c r="G122" s="72">
        <v>0</v>
      </c>
      <c r="H122" s="72">
        <v>6.3</v>
      </c>
      <c r="I122" s="72">
        <f>SUM(Serviços[[#This Row],[Valor Inicial]:[Bonus]])-Serviços[[#This Row],[Saldo]]</f>
        <v>0.79999999999999982</v>
      </c>
      <c r="J122" s="71">
        <f ca="1">COUNTIFS('Banco de Dados'!$F$2:$F$2123,"&lt;&gt;-",'Banco de Dados'!$B$2:$B$2123,Serviços[[#This Row],[Chave]])</f>
        <v>4</v>
      </c>
      <c r="K122" s="72">
        <f ca="1">IFERROR(ROUND(Serviços[[#This Row],[Gasto]]/Serviços[[#This Row],[Pedidos]],2),0)</f>
        <v>0.2</v>
      </c>
      <c r="M122" s="72"/>
    </row>
    <row r="123" spans="1:13">
      <c r="A123" s="89">
        <v>45718</v>
      </c>
      <c r="B123" s="101" t="str">
        <f>_xlfn.CONCAT(Serviços[[#This Row],[Loja]],Serviços[[#This Row],[Data]])</f>
        <v>GO45718</v>
      </c>
      <c r="C123" s="101" t="s">
        <v>108</v>
      </c>
      <c r="D123" s="108" t="s">
        <v>995</v>
      </c>
      <c r="E123" s="72">
        <f>H118</f>
        <v>1.85</v>
      </c>
      <c r="F123" s="72">
        <v>0</v>
      </c>
      <c r="G123" s="72">
        <v>0</v>
      </c>
      <c r="H123" s="72">
        <v>1.65</v>
      </c>
      <c r="I123" s="72">
        <f>SUM(Serviços[[#This Row],[Valor Inicial]:[Bonus]])-Serviços[[#This Row],[Saldo]]</f>
        <v>0.20000000000000018</v>
      </c>
      <c r="J123" s="71">
        <f ca="1">COUNTIFS('Banco de Dados'!$F$2:$F$2123,"&lt;&gt;-",'Banco de Dados'!$B$2:$B$2123,Serviços[[#This Row],[Chave]])</f>
        <v>1</v>
      </c>
      <c r="K123" s="72">
        <f ca="1">IFERROR(ROUND(Serviços[[#This Row],[Gasto]]/Serviços[[#This Row],[Pedidos]],2),0)</f>
        <v>0.2</v>
      </c>
      <c r="M123" s="72"/>
    </row>
    <row r="124" spans="1:13">
      <c r="A124" s="89">
        <v>45720</v>
      </c>
      <c r="B124" s="101" t="str">
        <f>_xlfn.CONCAT(Serviços[[#This Row],[Loja]],Serviços[[#This Row],[Data]])</f>
        <v>BV45720</v>
      </c>
      <c r="C124" s="101" t="s">
        <v>36</v>
      </c>
      <c r="D124" s="108" t="s">
        <v>995</v>
      </c>
      <c r="E124" s="72">
        <f>H122</f>
        <v>6.3</v>
      </c>
      <c r="F124" s="72">
        <v>0</v>
      </c>
      <c r="G124" s="72">
        <v>0</v>
      </c>
      <c r="H124" s="72">
        <v>4.55</v>
      </c>
      <c r="I124" s="72">
        <f>SUM(Serviços[[#This Row],[Valor Inicial]:[Bonus]])-Serviços[[#This Row],[Saldo]]</f>
        <v>1.75</v>
      </c>
      <c r="J124" s="71">
        <f ca="1">COUNTIFS('Banco de Dados'!$F$2:$F$2123,"&lt;&gt;-",'Banco de Dados'!$B$2:$B$2123,Serviços[[#This Row],[Chave]])</f>
        <v>7</v>
      </c>
      <c r="K124" s="72">
        <f ca="1">IFERROR(ROUND(Serviços[[#This Row],[Gasto]]/Serviços[[#This Row],[Pedidos]],2),0)</f>
        <v>0.25</v>
      </c>
      <c r="M124" s="72"/>
    </row>
    <row r="125" spans="1:13">
      <c r="A125" s="89">
        <v>45721</v>
      </c>
      <c r="B125" s="101" t="str">
        <f>_xlfn.CONCAT(Serviços[[#This Row],[Loja]],Serviços[[#This Row],[Data]])</f>
        <v>BV45721</v>
      </c>
      <c r="C125" s="101" t="s">
        <v>36</v>
      </c>
      <c r="D125" s="108" t="s">
        <v>995</v>
      </c>
      <c r="E125" s="72">
        <f>H124</f>
        <v>4.55</v>
      </c>
      <c r="F125" s="72">
        <v>0</v>
      </c>
      <c r="G125" s="72">
        <v>0</v>
      </c>
      <c r="H125" s="72">
        <v>2.6</v>
      </c>
      <c r="I125" s="72">
        <f>SUM(Serviços[[#This Row],[Valor Inicial]:[Bonus]])-Serviços[[#This Row],[Saldo]]</f>
        <v>1.9499999999999997</v>
      </c>
      <c r="J125" s="71">
        <f ca="1">COUNTIFS('Banco de Dados'!$F$2:$F$2123,"&lt;&gt;-",'Banco de Dados'!$B$2:$B$2123,Serviços[[#This Row],[Chave]])</f>
        <v>10</v>
      </c>
      <c r="K125" s="72">
        <f ca="1">IFERROR(ROUND(Serviços[[#This Row],[Gasto]]/Serviços[[#This Row],[Pedidos]],2),0)</f>
        <v>0.2</v>
      </c>
      <c r="M125" s="72"/>
    </row>
    <row r="126" spans="1:13">
      <c r="A126" s="89">
        <v>45721</v>
      </c>
      <c r="B126" s="101" t="str">
        <f>_xlfn.CONCAT(Serviços[[#This Row],[Loja]],Serviços[[#This Row],[Data]])</f>
        <v>GO45721</v>
      </c>
      <c r="C126" s="101" t="s">
        <v>108</v>
      </c>
      <c r="D126" s="108" t="s">
        <v>995</v>
      </c>
      <c r="E126" s="72">
        <f>H123</f>
        <v>1.65</v>
      </c>
      <c r="F126" s="72">
        <v>0</v>
      </c>
      <c r="G126" s="72">
        <v>0</v>
      </c>
      <c r="H126" s="72">
        <v>1.5</v>
      </c>
      <c r="I126" s="72">
        <f>SUM(Serviços[[#This Row],[Valor Inicial]:[Bonus]])-Serviços[[#This Row],[Saldo]]</f>
        <v>0.14999999999999991</v>
      </c>
      <c r="J126" s="71">
        <f ca="1">COUNTIFS('Banco de Dados'!$F$2:$F$2123,"&lt;&gt;-",'Banco de Dados'!$B$2:$B$2123,Serviços[[#This Row],[Chave]])</f>
        <v>1</v>
      </c>
      <c r="K126" s="72">
        <f ca="1">IFERROR(ROUND(Serviços[[#This Row],[Gasto]]/Serviços[[#This Row],[Pedidos]],2),0)</f>
        <v>0.15</v>
      </c>
      <c r="M126" s="72"/>
    </row>
    <row r="127" spans="1:13">
      <c r="A127" s="89">
        <v>45721</v>
      </c>
      <c r="B127" s="101" t="str">
        <f>_xlfn.CONCAT(Serviços[[#This Row],[Loja]],Serviços[[#This Row],[Data]])</f>
        <v>MEI45721</v>
      </c>
      <c r="C127" s="101" t="s">
        <v>113</v>
      </c>
      <c r="D127" s="108" t="s">
        <v>995</v>
      </c>
      <c r="E127" s="72">
        <f>H125</f>
        <v>2.6</v>
      </c>
      <c r="F127" s="72">
        <v>0</v>
      </c>
      <c r="G127" s="72">
        <v>0</v>
      </c>
      <c r="H127" s="72">
        <v>2.15</v>
      </c>
      <c r="I127" s="72">
        <f>SUM(Serviços[[#This Row],[Valor Inicial]:[Bonus]])-Serviços[[#This Row],[Saldo]]</f>
        <v>0.45000000000000018</v>
      </c>
      <c r="J127" s="71">
        <f ca="1">COUNTIFS('Banco de Dados'!$F$2:$F$2123,"&lt;&gt;-",'Banco de Dados'!$B$2:$B$2123,Serviços[[#This Row],[Chave]])</f>
        <v>3</v>
      </c>
      <c r="K127" s="72">
        <f ca="1">IFERROR(ROUND(Serviços[[#This Row],[Gasto]]/Serviços[[#This Row],[Pedidos]],2),0)</f>
        <v>0.15</v>
      </c>
      <c r="M127" s="72"/>
    </row>
    <row r="128" spans="1:13">
      <c r="A128" s="89">
        <v>45722</v>
      </c>
      <c r="B128" s="101" t="str">
        <f>_xlfn.CONCAT(Serviços[[#This Row],[Loja]],Serviços[[#This Row],[Data]])</f>
        <v>BV45722</v>
      </c>
      <c r="C128" s="101" t="s">
        <v>36</v>
      </c>
      <c r="D128" s="108" t="s">
        <v>995</v>
      </c>
      <c r="E128" s="72">
        <f>H127</f>
        <v>2.15</v>
      </c>
      <c r="F128" s="72">
        <v>0</v>
      </c>
      <c r="G128" s="72">
        <v>0</v>
      </c>
      <c r="H128" s="72">
        <v>1.4</v>
      </c>
      <c r="I128" s="72">
        <f>SUM(Serviços[[#This Row],[Valor Inicial]:[Bonus]])-Serviços[[#This Row],[Saldo]]</f>
        <v>0.75</v>
      </c>
      <c r="J128" s="71">
        <f ca="1">COUNTIFS('Banco de Dados'!$F$2:$F$2123,"&lt;&gt;-",'Banco de Dados'!$B$2:$B$2123,Serviços[[#This Row],[Chave]])</f>
        <v>4</v>
      </c>
      <c r="K128" s="72">
        <f ca="1">IFERROR(ROUND(Serviços[[#This Row],[Gasto]]/Serviços[[#This Row],[Pedidos]],2),0)</f>
        <v>0.19</v>
      </c>
      <c r="M128" s="72"/>
    </row>
    <row r="129" spans="1:13">
      <c r="A129" s="89">
        <v>45722</v>
      </c>
      <c r="B129" s="101" t="str">
        <f>_xlfn.CONCAT(Serviços[[#This Row],[Loja]],Serviços[[#This Row],[Data]])</f>
        <v>MEI45722</v>
      </c>
      <c r="C129" s="101" t="s">
        <v>113</v>
      </c>
      <c r="D129" s="108" t="s">
        <v>995</v>
      </c>
      <c r="E129" s="72">
        <f>H128</f>
        <v>1.4</v>
      </c>
      <c r="F129" s="72">
        <v>0</v>
      </c>
      <c r="G129" s="72">
        <v>0</v>
      </c>
      <c r="H129" s="72">
        <v>0.8</v>
      </c>
      <c r="I129" s="72">
        <f>SUM(Serviços[[#This Row],[Valor Inicial]:[Bonus]])-Serviços[[#This Row],[Saldo]]</f>
        <v>0.59999999999999987</v>
      </c>
      <c r="J129" s="71">
        <f ca="1">COUNTIFS('Banco de Dados'!$F$2:$F$2123,"&lt;&gt;-",'Banco de Dados'!$B$2:$B$2123,Serviços[[#This Row],[Chave]])</f>
        <v>3</v>
      </c>
      <c r="K129" s="72">
        <f ca="1">IFERROR(ROUND(Serviços[[#This Row],[Gasto]]/Serviços[[#This Row],[Pedidos]],2),0)</f>
        <v>0.2</v>
      </c>
      <c r="M129" s="72"/>
    </row>
    <row r="130" spans="1:13">
      <c r="A130" s="89">
        <v>45722</v>
      </c>
      <c r="B130" s="101" t="str">
        <f>_xlfn.CONCAT(Serviços[[#This Row],[Loja]],Serviços[[#This Row],[Data]])</f>
        <v>GO45722</v>
      </c>
      <c r="C130" s="101" t="s">
        <v>108</v>
      </c>
      <c r="D130" s="108" t="s">
        <v>995</v>
      </c>
      <c r="E130" s="72">
        <f>H126</f>
        <v>1.5</v>
      </c>
      <c r="F130" s="72">
        <v>0</v>
      </c>
      <c r="G130" s="72">
        <v>0</v>
      </c>
      <c r="H130" s="72">
        <v>1.3</v>
      </c>
      <c r="I130" s="72">
        <f>SUM(Serviços[[#This Row],[Valor Inicial]:[Bonus]])-Serviços[[#This Row],[Saldo]]</f>
        <v>0.19999999999999996</v>
      </c>
      <c r="J130" s="71">
        <f ca="1">COUNTIFS('Banco de Dados'!$F$2:$F$2123,"&lt;&gt;-",'Banco de Dados'!$B$2:$B$2123,Serviços[[#This Row],[Chave]])</f>
        <v>1</v>
      </c>
      <c r="K130" s="72">
        <f ca="1">IFERROR(ROUND(Serviços[[#This Row],[Gasto]]/Serviços[[#This Row],[Pedidos]],2),0)</f>
        <v>0.2</v>
      </c>
      <c r="M130" s="72"/>
    </row>
    <row r="131" spans="1:13">
      <c r="A131" s="89">
        <v>45723</v>
      </c>
      <c r="B131" s="101" t="str">
        <f>_xlfn.CONCAT(Serviços[[#This Row],[Loja]],Serviços[[#This Row],[Data]])</f>
        <v>BV45723</v>
      </c>
      <c r="C131" s="101" t="s">
        <v>36</v>
      </c>
      <c r="D131" s="108" t="s">
        <v>995</v>
      </c>
      <c r="E131" s="72">
        <f>H130</f>
        <v>1.3</v>
      </c>
      <c r="F131" s="72">
        <v>0</v>
      </c>
      <c r="G131" s="72">
        <v>0</v>
      </c>
      <c r="H131" s="72">
        <v>0.9</v>
      </c>
      <c r="I131" s="72">
        <f>SUM(Serviços[[#This Row],[Valor Inicial]:[Bonus]])-Serviços[[#This Row],[Saldo]]</f>
        <v>0.4</v>
      </c>
      <c r="J131" s="71">
        <f ca="1">COUNTIFS('Banco de Dados'!$F$2:$F$2123,"&lt;&gt;-",'Banco de Dados'!$B$2:$B$2123,Serviços[[#This Row],[Chave]])</f>
        <v>1</v>
      </c>
      <c r="K131" s="72">
        <f ca="1">IFERROR(ROUND(Serviços[[#This Row],[Gasto]]/Serviços[[#This Row],[Pedidos]],2),0)</f>
        <v>0.4</v>
      </c>
      <c r="L131" s="104" t="s">
        <v>997</v>
      </c>
      <c r="M131" s="72"/>
    </row>
    <row r="132" spans="1:13">
      <c r="A132" s="89">
        <v>45723</v>
      </c>
      <c r="B132" s="101" t="str">
        <f>_xlfn.CONCAT(Serviços[[#This Row],[Loja]],Serviços[[#This Row],[Data]])</f>
        <v>MEI45723</v>
      </c>
      <c r="C132" s="101" t="s">
        <v>113</v>
      </c>
      <c r="D132" s="108" t="s">
        <v>995</v>
      </c>
      <c r="E132" s="72">
        <f>H131</f>
        <v>0.9</v>
      </c>
      <c r="F132" s="72">
        <v>0</v>
      </c>
      <c r="G132" s="72">
        <v>0</v>
      </c>
      <c r="H132" s="72">
        <v>0.1</v>
      </c>
      <c r="I132" s="72">
        <f>SUM(Serviços[[#This Row],[Valor Inicial]:[Bonus]])-Serviços[[#This Row],[Saldo]]</f>
        <v>0.8</v>
      </c>
      <c r="J132" s="71">
        <f ca="1">COUNTIFS('Banco de Dados'!$F$2:$F$2123,"&lt;&gt;-",'Banco de Dados'!$B$2:$B$2123,Serviços[[#This Row],[Chave]])</f>
        <v>4</v>
      </c>
      <c r="K132" s="72">
        <f ca="1">IFERROR(ROUND(Serviços[[#This Row],[Gasto]]/Serviços[[#This Row],[Pedidos]],2),0)</f>
        <v>0.2</v>
      </c>
      <c r="L132" s="104" t="s">
        <v>998</v>
      </c>
      <c r="M132" s="72">
        <f ca="1">K131+K132-K135</f>
        <v>0.40000000000000008</v>
      </c>
    </row>
    <row r="133" spans="1:13">
      <c r="A133" s="89">
        <v>45726</v>
      </c>
      <c r="B133" s="101" t="str">
        <f>_xlfn.CONCAT(Serviços[[#This Row],[Loja]],Serviços[[#This Row],[Data]])</f>
        <v>BV45726</v>
      </c>
      <c r="C133" s="101" t="s">
        <v>36</v>
      </c>
      <c r="D133" s="108" t="s">
        <v>995</v>
      </c>
      <c r="E133" s="72">
        <f>H129</f>
        <v>0.8</v>
      </c>
      <c r="F133" s="72">
        <v>10</v>
      </c>
      <c r="G133" s="72">
        <v>1</v>
      </c>
      <c r="H133" s="72">
        <v>10.4</v>
      </c>
      <c r="I133" s="72">
        <f>SUM(Serviços[[#This Row],[Valor Inicial]:[Bonus]])-Serviços[[#This Row],[Saldo]]</f>
        <v>1.4000000000000004</v>
      </c>
      <c r="J133" s="71">
        <f ca="1">COUNTIFS('Banco de Dados'!$F$2:$F$2123,"&lt;&gt;-",'Banco de Dados'!$B$2:$B$2123,Serviços[[#This Row],[Chave]])</f>
        <v>7</v>
      </c>
      <c r="K133" s="72">
        <f ca="1">IFERROR(ROUND(Serviços[[#This Row],[Gasto]]/Serviços[[#This Row],[Pedidos]],2),0)</f>
        <v>0.2</v>
      </c>
      <c r="L133" s="104"/>
      <c r="M133" s="72"/>
    </row>
    <row r="134" spans="1:13">
      <c r="A134" s="89">
        <v>45726</v>
      </c>
      <c r="B134" s="101" t="str">
        <f>_xlfn.CONCAT(Serviços[[#This Row],[Loja]],Serviços[[#This Row],[Data]])</f>
        <v>MEI45726</v>
      </c>
      <c r="C134" s="101" t="s">
        <v>113</v>
      </c>
      <c r="D134" s="108" t="s">
        <v>995</v>
      </c>
      <c r="E134" s="72">
        <f t="shared" ref="E134:E139" si="4">H133</f>
        <v>10.4</v>
      </c>
      <c r="F134" s="72">
        <v>0</v>
      </c>
      <c r="G134" s="72">
        <v>0</v>
      </c>
      <c r="H134" s="72">
        <v>8.8000000000000007</v>
      </c>
      <c r="I134" s="72">
        <f>SUM(Serviços[[#This Row],[Valor Inicial]:[Bonus]])-Serviços[[#This Row],[Saldo]]</f>
        <v>1.5999999999999996</v>
      </c>
      <c r="J134" s="71">
        <f ca="1">COUNTIFS('Banco de Dados'!$F$2:$F$2123,"&lt;&gt;-",'Banco de Dados'!$B$2:$B$2123,Serviços[[#This Row],[Chave]])</f>
        <v>7</v>
      </c>
      <c r="K134" s="72">
        <f ca="1">IFERROR(ROUND(Serviços[[#This Row],[Gasto]]/Serviços[[#This Row],[Pedidos]],2),0)</f>
        <v>0.23</v>
      </c>
      <c r="M134" s="72"/>
    </row>
    <row r="135" spans="1:13">
      <c r="A135" s="89">
        <v>45726</v>
      </c>
      <c r="B135" s="101" t="str">
        <f>_xlfn.CONCAT(Serviços[[#This Row],[Loja]],Serviços[[#This Row],[Data]])</f>
        <v>GO45726</v>
      </c>
      <c r="C135" s="101" t="s">
        <v>108</v>
      </c>
      <c r="D135" s="108" t="s">
        <v>995</v>
      </c>
      <c r="E135" s="72">
        <f t="shared" si="4"/>
        <v>8.8000000000000007</v>
      </c>
      <c r="F135" s="72">
        <v>0</v>
      </c>
      <c r="G135" s="72">
        <v>0</v>
      </c>
      <c r="H135" s="72">
        <v>8.6</v>
      </c>
      <c r="I135" s="72">
        <f>SUM(Serviços[[#This Row],[Valor Inicial]:[Bonus]])-Serviços[[#This Row],[Saldo]]</f>
        <v>0.20000000000000107</v>
      </c>
      <c r="J135" s="71">
        <f ca="1">COUNTIFS('Banco de Dados'!$F$2:$F$2123,"&lt;&gt;-",'Banco de Dados'!$B$2:$B$2123,Serviços[[#This Row],[Chave]])</f>
        <v>1</v>
      </c>
      <c r="K135" s="72">
        <f ca="1">IFERROR(ROUND(Serviços[[#This Row],[Gasto]]/Serviços[[#This Row],[Pedidos]],2),0)</f>
        <v>0.2</v>
      </c>
      <c r="M135" s="72"/>
    </row>
    <row r="136" spans="1:13">
      <c r="A136" s="89">
        <v>45727</v>
      </c>
      <c r="B136" s="101" t="str">
        <f>_xlfn.CONCAT(Serviços[[#This Row],[Loja]],Serviços[[#This Row],[Data]])</f>
        <v>BV45727</v>
      </c>
      <c r="C136" s="101" t="s">
        <v>36</v>
      </c>
      <c r="D136" s="108" t="s">
        <v>995</v>
      </c>
      <c r="E136" s="72">
        <f t="shared" si="4"/>
        <v>8.6</v>
      </c>
      <c r="F136" s="72">
        <v>0</v>
      </c>
      <c r="G136" s="72">
        <v>0</v>
      </c>
      <c r="H136" s="72">
        <v>7.4</v>
      </c>
      <c r="I136" s="72">
        <f>SUM(Serviços[[#This Row],[Valor Inicial]:[Bonus]])-Serviços[[#This Row],[Saldo]]</f>
        <v>1.1999999999999993</v>
      </c>
      <c r="J136" s="71">
        <f ca="1">COUNTIFS('Banco de Dados'!$F$2:$F$2123,"&lt;&gt;-",'Banco de Dados'!$B$2:$B$2123,Serviços[[#This Row],[Chave]])</f>
        <v>2</v>
      </c>
      <c r="K136" s="72">
        <f ca="1">IFERROR(ROUND(Serviços[[#This Row],[Gasto]]/Serviços[[#This Row],[Pedidos]],2),0)</f>
        <v>0.6</v>
      </c>
      <c r="M136" s="72"/>
    </row>
    <row r="137" spans="1:13">
      <c r="A137" s="101">
        <v>45727</v>
      </c>
      <c r="B137" s="101" t="str">
        <f>_xlfn.CONCAT(Serviços[[#This Row],[Loja]],Serviços[[#This Row],[Data]])</f>
        <v>MEI45727</v>
      </c>
      <c r="C137" s="89" t="s">
        <v>113</v>
      </c>
      <c r="D137" s="108" t="s">
        <v>995</v>
      </c>
      <c r="E137" s="72">
        <f t="shared" si="4"/>
        <v>7.4</v>
      </c>
      <c r="F137" s="72">
        <v>0</v>
      </c>
      <c r="G137" s="72">
        <v>0</v>
      </c>
      <c r="H137" s="72">
        <v>6.6</v>
      </c>
      <c r="I137" s="104">
        <f>SUM(Serviços[[#This Row],[Valor Inicial]:[Bonus]])-Serviços[[#This Row],[Saldo]]</f>
        <v>0.80000000000000071</v>
      </c>
      <c r="J137" s="108">
        <f ca="1">COUNTIFS('Banco de Dados'!$F$2:$F$2123,"&lt;&gt;-",'Banco de Dados'!$B$2:$B$2123,Serviços[[#This Row],[Chave]])</f>
        <v>4</v>
      </c>
      <c r="K137" s="72">
        <f ca="1">IFERROR(ROUND(Serviços[[#This Row],[Gasto]]/Serviços[[#This Row],[Pedidos]],2),0)</f>
        <v>0.2</v>
      </c>
      <c r="M137" s="72"/>
    </row>
    <row r="138" spans="1:13">
      <c r="A138" s="89">
        <v>45728</v>
      </c>
      <c r="B138" s="101" t="str">
        <f>_xlfn.CONCAT(Serviços[[#This Row],[Loja]],Serviços[[#This Row],[Data]])</f>
        <v>BV45728</v>
      </c>
      <c r="C138" s="101" t="s">
        <v>36</v>
      </c>
      <c r="D138" s="108" t="s">
        <v>995</v>
      </c>
      <c r="E138" s="72">
        <f t="shared" si="4"/>
        <v>6.6</v>
      </c>
      <c r="F138" s="72">
        <v>0</v>
      </c>
      <c r="G138" s="72">
        <v>0</v>
      </c>
      <c r="H138" s="72">
        <v>5.8</v>
      </c>
      <c r="I138" s="104">
        <f>SUM(Serviços[[#This Row],[Valor Inicial]:[Bonus]])-Serviços[[#This Row],[Saldo]]</f>
        <v>0.79999999999999982</v>
      </c>
      <c r="J138" s="108">
        <f ca="1">COUNTIFS('Banco de Dados'!$F$2:$F$2123,"&lt;&gt;-",'Banco de Dados'!$B$2:$B$2123,Serviços[[#This Row],[Chave]])</f>
        <v>1</v>
      </c>
      <c r="K138" s="72">
        <f ca="1">IFERROR(ROUND(Serviços[[#This Row],[Gasto]]/Serviços[[#This Row],[Pedidos]],2),0)</f>
        <v>0.8</v>
      </c>
      <c r="M138" s="72"/>
    </row>
    <row r="139" spans="1:13">
      <c r="A139" s="89">
        <v>45728</v>
      </c>
      <c r="B139" s="101" t="str">
        <f>_xlfn.CONCAT(Serviços[[#This Row],[Loja]],Serviços[[#This Row],[Data]])</f>
        <v>MEI45728</v>
      </c>
      <c r="C139" s="101" t="s">
        <v>113</v>
      </c>
      <c r="D139" s="108" t="s">
        <v>995</v>
      </c>
      <c r="E139" s="72">
        <f t="shared" si="4"/>
        <v>5.8</v>
      </c>
      <c r="F139" s="72">
        <v>0</v>
      </c>
      <c r="G139" s="72">
        <v>0</v>
      </c>
      <c r="H139" s="72">
        <v>4.8</v>
      </c>
      <c r="I139" s="104">
        <f>SUM(Serviços[[#This Row],[Valor Inicial]:[Bonus]])-Serviços[[#This Row],[Saldo]]</f>
        <v>1</v>
      </c>
      <c r="J139" s="108">
        <f ca="1">COUNTIFS('Banco de Dados'!$F$2:$F$2123,"&lt;&gt;-",'Banco de Dados'!$B$2:$B$2123,Serviços[[#This Row],[Chave]])</f>
        <v>5</v>
      </c>
      <c r="K139" s="72">
        <f ca="1">IFERROR(ROUND(Serviços[[#This Row],[Gasto]]/Serviços[[#This Row],[Pedidos]],2),0)</f>
        <v>0.2</v>
      </c>
      <c r="M139" s="72"/>
    </row>
    <row r="140" spans="1:13">
      <c r="A140" s="89">
        <v>45729</v>
      </c>
      <c r="B140" s="101" t="str">
        <f>_xlfn.CONCAT(Serviços[[#This Row],[Loja]],Serviços[[#This Row],[Data]])</f>
        <v>BV45729</v>
      </c>
      <c r="C140" s="101" t="s">
        <v>36</v>
      </c>
      <c r="D140" s="108" t="s">
        <v>995</v>
      </c>
      <c r="E140" s="72">
        <f t="shared" ref="E140" si="5">H139</f>
        <v>4.8</v>
      </c>
      <c r="F140" s="72">
        <v>0</v>
      </c>
      <c r="G140" s="72">
        <v>0</v>
      </c>
      <c r="H140" s="72">
        <v>3.2</v>
      </c>
      <c r="I140" s="104">
        <f>SUM(Serviços[[#This Row],[Valor Inicial]:[Bonus]])-Serviços[[#This Row],[Saldo]]</f>
        <v>1.5999999999999996</v>
      </c>
      <c r="J140" s="108">
        <f ca="1">COUNTIFS('Banco de Dados'!$F$2:$F$2123,"&lt;&gt;-",'Banco de Dados'!$B$2:$B$2123,Serviços[[#This Row],[Chave]])</f>
        <v>4</v>
      </c>
      <c r="K140" s="72">
        <f ca="1">IFERROR(ROUND(Serviços[[#This Row],[Gasto]]/Serviços[[#This Row],[Pedidos]],2),0)</f>
        <v>0.4</v>
      </c>
      <c r="M140" s="72"/>
    </row>
    <row r="141" spans="1:13">
      <c r="A141" s="89">
        <v>45729</v>
      </c>
      <c r="B141" s="101" t="str">
        <f>_xlfn.CONCAT(Serviços[[#This Row],[Loja]],Serviços[[#This Row],[Data]])</f>
        <v>MEI45729</v>
      </c>
      <c r="C141" s="101" t="s">
        <v>113</v>
      </c>
      <c r="D141" s="108" t="s">
        <v>995</v>
      </c>
      <c r="E141" s="72">
        <f t="shared" ref="E141" si="6">H140</f>
        <v>3.2</v>
      </c>
      <c r="F141" s="72">
        <v>0</v>
      </c>
      <c r="G141" s="72">
        <v>0</v>
      </c>
      <c r="H141" s="72">
        <v>1.8</v>
      </c>
      <c r="I141" s="104">
        <f>SUM(Serviços[[#This Row],[Valor Inicial]:[Bonus]])-Serviços[[#This Row],[Saldo]]</f>
        <v>1.4000000000000001</v>
      </c>
      <c r="J141" s="108">
        <f ca="1">COUNTIFS('Banco de Dados'!$F$2:$F$2123,"&lt;&gt;-",'Banco de Dados'!$B$2:$B$2123,Serviços[[#This Row],[Chave]])</f>
        <v>6</v>
      </c>
      <c r="K141" s="72">
        <f ca="1">IFERROR(ROUND(Serviços[[#This Row],[Gasto]]/Serviços[[#This Row],[Pedidos]],2),0)</f>
        <v>0.23</v>
      </c>
      <c r="M141" s="72"/>
    </row>
    <row r="142" spans="1:13">
      <c r="A142" s="89">
        <v>45730</v>
      </c>
      <c r="B142" s="101" t="str">
        <f>_xlfn.CONCAT(Serviços[[#This Row],[Loja]],Serviços[[#This Row],[Data]])</f>
        <v>BV45730</v>
      </c>
      <c r="C142" s="89" t="s">
        <v>36</v>
      </c>
      <c r="D142" s="108" t="s">
        <v>995</v>
      </c>
      <c r="E142" s="72">
        <f t="shared" ref="E142" si="7">H141</f>
        <v>1.8</v>
      </c>
      <c r="F142" s="72">
        <v>10</v>
      </c>
      <c r="G142" s="72">
        <v>1</v>
      </c>
      <c r="H142" s="72">
        <v>11.4</v>
      </c>
      <c r="I142" s="104">
        <f>SUM(Serviços[[#This Row],[Valor Inicial]:[Bonus]])-Serviços[[#This Row],[Saldo]]</f>
        <v>1.4000000000000004</v>
      </c>
      <c r="J142" s="108">
        <f ca="1">COUNTIFS('Banco de Dados'!$F$2:$F$2123,"&lt;&gt;-",'Banco de Dados'!$B$2:$B$2123,Serviços[[#This Row],[Chave]])</f>
        <v>6</v>
      </c>
      <c r="K142" s="72">
        <f ca="1">IFERROR(ROUND(Serviços[[#This Row],[Gasto]]/Serviços[[#This Row],[Pedidos]],2),0)</f>
        <v>0.23</v>
      </c>
      <c r="M142" s="72"/>
    </row>
    <row r="143" spans="1:13">
      <c r="A143" s="89">
        <v>45730</v>
      </c>
      <c r="B143" s="101" t="str">
        <f>_xlfn.CONCAT(Serviços[[#This Row],[Loja]],Serviços[[#This Row],[Data]])</f>
        <v>MEI45730</v>
      </c>
      <c r="C143" s="101" t="s">
        <v>113</v>
      </c>
      <c r="D143" s="108" t="s">
        <v>995</v>
      </c>
      <c r="E143" s="72">
        <f t="shared" ref="E143" si="8">H142</f>
        <v>11.4</v>
      </c>
      <c r="F143" s="72">
        <v>0</v>
      </c>
      <c r="G143" s="72">
        <v>0</v>
      </c>
      <c r="H143" s="72">
        <v>9.4</v>
      </c>
      <c r="I143" s="104">
        <f>SUM(Serviços[[#This Row],[Valor Inicial]:[Bonus]])-Serviços[[#This Row],[Saldo]]</f>
        <v>2</v>
      </c>
      <c r="J143" s="108">
        <f ca="1">COUNTIFS('Banco de Dados'!$F$2:$F$2123,"&lt;&gt;-",'Banco de Dados'!$B$2:$B$2123,Serviços[[#This Row],[Chave]])</f>
        <v>6</v>
      </c>
      <c r="K143" s="72">
        <f ca="1">IFERROR(ROUND(Serviços[[#This Row],[Gasto]]/Serviços[[#This Row],[Pedidos]],2),0)</f>
        <v>0.33</v>
      </c>
      <c r="M143" s="72"/>
    </row>
    <row r="144" spans="1:13">
      <c r="A144" s="89">
        <v>45732</v>
      </c>
      <c r="B144" s="101" t="str">
        <f>_xlfn.CONCAT(Serviços[[#This Row],[Loja]],Serviços[[#This Row],[Data]])</f>
        <v>BV45732</v>
      </c>
      <c r="C144" s="101" t="s">
        <v>36</v>
      </c>
      <c r="D144" s="108" t="s">
        <v>994</v>
      </c>
      <c r="E144" s="72">
        <f>H143+0.02</f>
        <v>9.42</v>
      </c>
      <c r="F144" s="72">
        <v>10</v>
      </c>
      <c r="G144" s="72">
        <v>0</v>
      </c>
      <c r="H144" s="72">
        <f>0.05+11.21</f>
        <v>11.260000000000002</v>
      </c>
      <c r="I144" s="104">
        <f>SUM(Serviços[[#This Row],[Valor Inicial]:[Bonus]])-Serviços[[#This Row],[Saldo]]</f>
        <v>8.16</v>
      </c>
      <c r="J144" s="108">
        <f ca="1">COUNTIFS('Banco de Dados'!$F$2:$F$2123,"&lt;&gt;-",'Banco de Dados'!$B$2:$B$2123,Serviços[[#This Row],[Chave]])</f>
        <v>10</v>
      </c>
      <c r="K144" s="72">
        <f ca="1">IFERROR(ROUND(Serviços[[#This Row],[Gasto]]/Serviços[[#This Row],[Pedidos]],2),0)</f>
        <v>0.82</v>
      </c>
      <c r="M144" s="72"/>
    </row>
    <row r="145" spans="1:13">
      <c r="A145" s="89">
        <v>45732</v>
      </c>
      <c r="B145" s="101" t="str">
        <f>_xlfn.CONCAT(Serviços[[#This Row],[Loja]],Serviços[[#This Row],[Data]])</f>
        <v>GO45732</v>
      </c>
      <c r="C145" s="101" t="s">
        <v>108</v>
      </c>
      <c r="D145" s="108" t="s">
        <v>996</v>
      </c>
      <c r="E145" s="72">
        <f>H144</f>
        <v>11.260000000000002</v>
      </c>
      <c r="F145" s="72">
        <v>0</v>
      </c>
      <c r="G145" s="72">
        <v>0</v>
      </c>
      <c r="H145" s="72">
        <f>10.92+0.05</f>
        <v>10.97</v>
      </c>
      <c r="I145" s="104">
        <f>SUM(Serviços[[#This Row],[Valor Inicial]:[Bonus]])-Serviços[[#This Row],[Saldo]]</f>
        <v>0.29000000000000092</v>
      </c>
      <c r="J145" s="108">
        <f ca="1">COUNTIFS('Banco de Dados'!$F$2:$F$2123,"&lt;&gt;-",'Banco de Dados'!$B$2:$B$2123,Serviços[[#This Row],[Chave]])</f>
        <v>1</v>
      </c>
      <c r="K145" s="72">
        <f ca="1">IFERROR(ROUND(Serviços[[#This Row],[Gasto]]/Serviços[[#This Row],[Pedidos]],2),0)</f>
        <v>0.28999999999999998</v>
      </c>
      <c r="L145" s="104" t="s">
        <v>940</v>
      </c>
      <c r="M145" s="72"/>
    </row>
    <row r="146" spans="1:13">
      <c r="A146" s="89">
        <v>45732</v>
      </c>
      <c r="B146" s="101" t="str">
        <f>_xlfn.CONCAT(Serviços[[#This Row],[Loja]],Serviços[[#This Row],[Data]])</f>
        <v>MEI45732</v>
      </c>
      <c r="C146" s="101" t="s">
        <v>113</v>
      </c>
      <c r="D146" s="108" t="s">
        <v>996</v>
      </c>
      <c r="E146" s="72">
        <f t="shared" ref="E146:E150" si="9">H145</f>
        <v>10.97</v>
      </c>
      <c r="F146" s="72">
        <v>0</v>
      </c>
      <c r="G146" s="72">
        <v>0</v>
      </c>
      <c r="H146" s="72">
        <f>0.05+8.02</f>
        <v>8.07</v>
      </c>
      <c r="I146" s="104">
        <f>SUM(Serviços[[#This Row],[Valor Inicial]:[Bonus]])-Serviços[[#This Row],[Saldo]]</f>
        <v>2.9000000000000004</v>
      </c>
      <c r="J146" s="108">
        <f ca="1">COUNTIFS('Banco de Dados'!$F$2:$F$2123,"&lt;&gt;-",'Banco de Dados'!$B$2:$B$2123,Serviços[[#This Row],[Chave]])</f>
        <v>4</v>
      </c>
      <c r="K146" s="72">
        <f ca="1">IFERROR(ROUND(Serviços[[#This Row],[Gasto]]/Serviços[[#This Row],[Pedidos]],2),0)</f>
        <v>0.73</v>
      </c>
      <c r="M146" s="72"/>
    </row>
    <row r="147" spans="1:13">
      <c r="A147" s="89">
        <v>45733</v>
      </c>
      <c r="B147" s="101" t="str">
        <f>_xlfn.CONCAT(Serviços[[#This Row],[Loja]],Serviços[[#This Row],[Data]])</f>
        <v>MEI45733</v>
      </c>
      <c r="C147" s="101" t="s">
        <v>113</v>
      </c>
      <c r="D147" s="108" t="s">
        <v>996</v>
      </c>
      <c r="E147" s="72">
        <f>H146</f>
        <v>8.07</v>
      </c>
      <c r="F147" s="72">
        <v>10</v>
      </c>
      <c r="G147" s="72">
        <v>1</v>
      </c>
      <c r="H147" s="72">
        <f>4.39+5.95</f>
        <v>10.34</v>
      </c>
      <c r="I147" s="104">
        <f>SUM(Serviços[[#This Row],[Valor Inicial]:[Bonus]])-Serviços[[#This Row],[Saldo]]</f>
        <v>8.73</v>
      </c>
      <c r="J147" s="108">
        <f ca="1">COUNTIFS('Banco de Dados'!$F$2:$F$2123,"&lt;&gt;-",'Banco de Dados'!$B$2:$B$2123,Serviços[[#This Row],[Chave]])</f>
        <v>19</v>
      </c>
      <c r="K147" s="72">
        <f ca="1">IFERROR(ROUND(Serviços[[#This Row],[Gasto]]/Serviços[[#This Row],[Pedidos]],2),0)</f>
        <v>0.46</v>
      </c>
      <c r="M147" s="72"/>
    </row>
    <row r="148" spans="1:13">
      <c r="A148" s="89">
        <v>45734</v>
      </c>
      <c r="B148" s="101" t="str">
        <f>_xlfn.CONCAT(Serviços[[#This Row],[Loja]],Serviços[[#This Row],[Data]])</f>
        <v>BV45734</v>
      </c>
      <c r="C148" s="101" t="s">
        <v>36</v>
      </c>
      <c r="D148" s="108" t="s">
        <v>994</v>
      </c>
      <c r="E148" s="72">
        <f>H147</f>
        <v>10.34</v>
      </c>
      <c r="F148" s="72">
        <v>4.8</v>
      </c>
      <c r="G148" s="72">
        <v>0</v>
      </c>
      <c r="H148" s="72">
        <v>4.8</v>
      </c>
      <c r="I148" s="72">
        <f>SUM(Serviços[[#This Row],[Valor Inicial]:[Bonus]])-Serviços[[#This Row],[Saldo]]</f>
        <v>10.34</v>
      </c>
      <c r="J148" s="71">
        <f ca="1">COUNTIFS('Banco de Dados'!$F$2:$F$2123,"&lt;&gt;-",'Banco de Dados'!$B$2:$B$2123,Serviços[[#This Row],[Chave]])</f>
        <v>9</v>
      </c>
      <c r="K148" s="72">
        <f ca="1">IFERROR(ROUND(Serviços[[#This Row],[Gasto]]/Serviços[[#This Row],[Pedidos]],2),0)</f>
        <v>1.1499999999999999</v>
      </c>
      <c r="M148" s="72"/>
    </row>
    <row r="149" spans="1:13">
      <c r="A149" s="89">
        <v>45734</v>
      </c>
      <c r="B149" s="101" t="str">
        <f>_xlfn.CONCAT(Serviços[[#This Row],[Loja]],Serviços[[#This Row],[Data]])</f>
        <v>MEI45734</v>
      </c>
      <c r="C149" s="101" t="s">
        <v>113</v>
      </c>
      <c r="D149" s="108" t="s">
        <v>994</v>
      </c>
      <c r="E149" s="72">
        <f t="shared" si="9"/>
        <v>4.8</v>
      </c>
      <c r="F149" s="72">
        <v>6.5</v>
      </c>
      <c r="G149" s="72">
        <v>0</v>
      </c>
      <c r="H149" s="72">
        <f>4.15+3.83</f>
        <v>7.98</v>
      </c>
      <c r="I149" s="72">
        <f>SUM(Serviços[[#This Row],[Valor Inicial]:[Bonus]])-Serviços[[#This Row],[Saldo]]</f>
        <v>3.3200000000000003</v>
      </c>
      <c r="J149" s="71">
        <f ca="1">COUNTIFS('Banco de Dados'!$F$2:$F$2123,"&lt;&gt;-",'Banco de Dados'!$B$2:$B$2123,Serviços[[#This Row],[Chave]])</f>
        <v>8</v>
      </c>
      <c r="K149" s="72">
        <f ca="1">IFERROR(ROUND(Serviços[[#This Row],[Gasto]]/Serviços[[#This Row],[Pedidos]],2),0)</f>
        <v>0.42</v>
      </c>
      <c r="M149" s="72"/>
    </row>
    <row r="150" spans="1:13">
      <c r="A150" s="89">
        <v>45734</v>
      </c>
      <c r="B150" s="101" t="str">
        <f>_xlfn.CONCAT(Serviços[[#This Row],[Loja]],Serviços[[#This Row],[Data]])</f>
        <v>GO45734</v>
      </c>
      <c r="C150" s="101" t="s">
        <v>108</v>
      </c>
      <c r="D150" s="108" t="s">
        <v>994</v>
      </c>
      <c r="E150" s="72">
        <f t="shared" si="9"/>
        <v>7.98</v>
      </c>
      <c r="F150" s="72">
        <v>0</v>
      </c>
      <c r="G150" s="72">
        <v>0</v>
      </c>
      <c r="H150" s="72">
        <f>2.95+3.83</f>
        <v>6.78</v>
      </c>
      <c r="I150" s="72">
        <f>SUM(Serviços[[#This Row],[Valor Inicial]:[Bonus]])-Serviços[[#This Row],[Saldo]]</f>
        <v>1.2000000000000002</v>
      </c>
      <c r="J150" s="71">
        <f ca="1">COUNTIFS('Banco de Dados'!$F$2:$F$2123,"&lt;&gt;-",'Banco de Dados'!$B$2:$B$2123,Serviços[[#This Row],[Chave]])</f>
        <v>6</v>
      </c>
      <c r="K150" s="72">
        <f ca="1">IFERROR(ROUND(Serviços[[#This Row],[Gasto]]/Serviços[[#This Row],[Pedidos]],2),0)</f>
        <v>0.2</v>
      </c>
      <c r="L150" s="104" t="s">
        <v>940</v>
      </c>
      <c r="M150" s="72"/>
    </row>
    <row r="151" spans="1:13">
      <c r="A151" s="89">
        <v>45735</v>
      </c>
      <c r="B151" s="101" t="str">
        <f>_xlfn.CONCAT(Serviços[[#This Row],[Loja]],Serviços[[#This Row],[Data]])</f>
        <v>BV45735</v>
      </c>
      <c r="C151" s="101" t="s">
        <v>36</v>
      </c>
      <c r="D151" s="108" t="s">
        <v>994</v>
      </c>
      <c r="E151" s="72">
        <v>7.7</v>
      </c>
      <c r="F151" s="72">
        <v>10</v>
      </c>
      <c r="G151" s="72">
        <v>1</v>
      </c>
      <c r="H151" s="72">
        <v>13.26</v>
      </c>
      <c r="I151" s="72">
        <f>SUM(Serviços[[#This Row],[Valor Inicial]:[Bonus]])-Serviços[[#This Row],[Saldo]]</f>
        <v>5.4399999999999995</v>
      </c>
      <c r="J151" s="71">
        <f ca="1">COUNTIFS('Banco de Dados'!$F$2:$F$2123,"&lt;&gt;-",'Banco de Dados'!$B$2:$B$2123,Serviços[[#This Row],[Chave]])</f>
        <v>2</v>
      </c>
      <c r="K151" s="72">
        <f ca="1">IFERROR(ROUND(Serviços[[#This Row],[Gasto]]/Serviços[[#This Row],[Pedidos]],2),0)</f>
        <v>2.72</v>
      </c>
      <c r="M151" s="72"/>
    </row>
    <row r="152" spans="1:13">
      <c r="A152" s="89">
        <v>45735</v>
      </c>
      <c r="B152" s="101" t="str">
        <f>_xlfn.CONCAT(Serviços[[#This Row],[Loja]],Serviços[[#This Row],[Data]])</f>
        <v>MEI45735</v>
      </c>
      <c r="C152" s="101" t="s">
        <v>113</v>
      </c>
      <c r="D152" s="108" t="s">
        <v>994</v>
      </c>
      <c r="E152" s="72">
        <f>H151</f>
        <v>13.26</v>
      </c>
      <c r="F152" s="72">
        <v>0</v>
      </c>
      <c r="G152" s="72">
        <v>0</v>
      </c>
      <c r="H152" s="72">
        <f>8.88+4.18</f>
        <v>13.06</v>
      </c>
      <c r="I152" s="72">
        <f>SUM(Serviços[[#This Row],[Valor Inicial]:[Bonus]])-Serviços[[#This Row],[Saldo]]</f>
        <v>0.19999999999999929</v>
      </c>
      <c r="J152" s="71">
        <f ca="1">COUNTIFS('Banco de Dados'!$F$2:$F$2123,"&lt;&gt;-",'Banco de Dados'!$B$2:$B$2123,Serviços[[#This Row],[Chave]])</f>
        <v>1</v>
      </c>
      <c r="K152" s="72">
        <f ca="1">IFERROR(ROUND(Serviços[[#This Row],[Gasto]]/Serviços[[#This Row],[Pedidos]],2),0)</f>
        <v>0.2</v>
      </c>
      <c r="M152" s="72"/>
    </row>
    <row r="153" spans="1:13">
      <c r="A153" s="89">
        <v>45736</v>
      </c>
      <c r="B153" s="101" t="str">
        <f>_xlfn.CONCAT(Serviços[[#This Row],[Loja]],Serviços[[#This Row],[Data]])</f>
        <v>BV45736</v>
      </c>
      <c r="C153" s="101" t="s">
        <v>36</v>
      </c>
      <c r="D153" s="108" t="s">
        <v>994</v>
      </c>
      <c r="E153" s="72">
        <f>H152</f>
        <v>13.06</v>
      </c>
      <c r="F153" s="72">
        <v>0</v>
      </c>
      <c r="G153" s="72">
        <v>0</v>
      </c>
      <c r="H153" s="72">
        <f>3.25+3.83</f>
        <v>7.08</v>
      </c>
      <c r="I153" s="72">
        <f>SUM(Serviços[[#This Row],[Valor Inicial]:[Bonus]])-Serviços[[#This Row],[Saldo]]</f>
        <v>5.98</v>
      </c>
      <c r="J153" s="71">
        <f ca="1">COUNTIFS('Banco de Dados'!$F$2:$F$2123,"&lt;&gt;-",'Banco de Dados'!$B$2:$B$2123,Serviços[[#This Row],[Chave]])</f>
        <v>18</v>
      </c>
      <c r="K153" s="72">
        <f ca="1">IFERROR(ROUND(Serviços[[#This Row],[Gasto]]/Serviços[[#This Row],[Pedidos]],2),0)</f>
        <v>0.33</v>
      </c>
      <c r="M153" s="72"/>
    </row>
    <row r="154" spans="1:13">
      <c r="A154" s="89">
        <v>45736</v>
      </c>
      <c r="B154" s="101" t="str">
        <f>_xlfn.CONCAT(Serviços[[#This Row],[Loja]],Serviços[[#This Row],[Data]])</f>
        <v>MEI45736</v>
      </c>
      <c r="C154" s="89" t="s">
        <v>113</v>
      </c>
      <c r="D154" s="108" t="s">
        <v>994</v>
      </c>
      <c r="E154" s="72">
        <f>H153</f>
        <v>7.08</v>
      </c>
      <c r="F154" s="72">
        <v>0</v>
      </c>
      <c r="G154" s="72">
        <v>0</v>
      </c>
      <c r="H154" s="72">
        <f>1.85+3.83</f>
        <v>5.68</v>
      </c>
      <c r="I154" s="72">
        <f>SUM(Serviços[[#This Row],[Valor Inicial]:[Bonus]])-Serviços[[#This Row],[Saldo]]</f>
        <v>1.4000000000000004</v>
      </c>
      <c r="J154" s="71">
        <f ca="1">COUNTIFS('Banco de Dados'!$F$2:$F$2123,"&lt;&gt;-",'Banco de Dados'!$B$2:$B$2123,Serviços[[#This Row],[Chave]])</f>
        <v>3</v>
      </c>
      <c r="K154" s="72">
        <f ca="1">IFERROR(ROUND(Serviços[[#This Row],[Gasto]]/Serviços[[#This Row],[Pedidos]],2),0)</f>
        <v>0.47</v>
      </c>
      <c r="M154" s="72"/>
    </row>
    <row r="155" spans="1:13">
      <c r="A155" s="89">
        <v>45737</v>
      </c>
      <c r="B155" s="101" t="str">
        <f>_xlfn.CONCAT(Serviços[[#This Row],[Loja]],Serviços[[#This Row],[Data]])</f>
        <v>MEI45737</v>
      </c>
      <c r="C155" s="101" t="s">
        <v>113</v>
      </c>
      <c r="D155" s="71" t="s">
        <v>995</v>
      </c>
      <c r="E155" s="72">
        <v>1.85</v>
      </c>
      <c r="F155" s="72">
        <v>10</v>
      </c>
      <c r="G155" s="72">
        <v>1</v>
      </c>
      <c r="H155" s="72">
        <v>7.45</v>
      </c>
      <c r="I155" s="72">
        <f>SUM(Serviços[[#This Row],[Valor Inicial]:[Bonus]])-Serviços[[#This Row],[Saldo]]</f>
        <v>5.3999999999999995</v>
      </c>
      <c r="J155" s="71">
        <f ca="1">COUNTIFS('Banco de Dados'!$F$2:$F$2123,"&lt;&gt;-",'Banco de Dados'!$B$2:$B$2123,Serviços[[#This Row],[Chave]])</f>
        <v>27</v>
      </c>
      <c r="K155" s="72">
        <f ca="1">IFERROR(ROUND(Serviços[[#This Row],[Gasto]]/Serviços[[#This Row],[Pedidos]],2),0)</f>
        <v>0.2</v>
      </c>
      <c r="M155" s="72"/>
    </row>
    <row r="156" spans="1:13">
      <c r="A156" s="89">
        <v>45738</v>
      </c>
      <c r="B156" s="101" t="str">
        <f>_xlfn.CONCAT(Serviços[[#This Row],[Loja]],Serviços[[#This Row],[Data]])</f>
        <v>GO45738</v>
      </c>
      <c r="C156" s="101" t="s">
        <v>108</v>
      </c>
      <c r="D156" s="71" t="s">
        <v>995</v>
      </c>
      <c r="E156" s="72">
        <f t="shared" ref="E156:E161" si="10">H155</f>
        <v>7.45</v>
      </c>
      <c r="F156" s="72">
        <v>0</v>
      </c>
      <c r="G156" s="72">
        <v>0</v>
      </c>
      <c r="H156" s="72">
        <v>2.65</v>
      </c>
      <c r="I156" s="72">
        <f>SUM(Serviços[[#This Row],[Valor Inicial]:[Bonus]])-Serviços[[#This Row],[Saldo]]</f>
        <v>4.8000000000000007</v>
      </c>
      <c r="J156" s="71">
        <f ca="1">COUNTIFS('Banco de Dados'!$F$2:$F$2123,"&lt;&gt;-",'Banco de Dados'!$B$2:$B$2123,Serviços[[#This Row],[Chave]])</f>
        <v>18</v>
      </c>
      <c r="K156" s="72">
        <f ca="1">IFERROR(ROUND(Serviços[[#This Row],[Gasto]]/Serviços[[#This Row],[Pedidos]],2),0)</f>
        <v>0.27</v>
      </c>
      <c r="L156" s="104" t="s">
        <v>940</v>
      </c>
      <c r="M156" s="72"/>
    </row>
    <row r="157" spans="1:13">
      <c r="A157" s="89">
        <v>45740</v>
      </c>
      <c r="B157" s="101" t="str">
        <f>_xlfn.CONCAT(Serviços[[#This Row],[Loja]],Serviços[[#This Row],[Data]])</f>
        <v>GO45740</v>
      </c>
      <c r="C157" s="101" t="s">
        <v>108</v>
      </c>
      <c r="D157" s="71" t="s">
        <v>995</v>
      </c>
      <c r="E157" s="72">
        <f t="shared" si="10"/>
        <v>2.65</v>
      </c>
      <c r="F157" s="72">
        <v>0</v>
      </c>
      <c r="G157" s="72">
        <v>0</v>
      </c>
      <c r="H157" s="72">
        <v>1.45</v>
      </c>
      <c r="I157" s="72">
        <f>SUM(Serviços[[#This Row],[Valor Inicial]:[Bonus]])-Serviços[[#This Row],[Saldo]]</f>
        <v>1.2</v>
      </c>
      <c r="J157" s="71">
        <f ca="1">COUNTIFS('Banco de Dados'!$F$2:$F$2123,"&lt;&gt;-",'Banco de Dados'!$B$2:$B$2123,Serviços[[#This Row],[Chave]])</f>
        <v>6</v>
      </c>
      <c r="K157" s="72">
        <f ca="1">IFERROR(ROUND(Serviços[[#This Row],[Gasto]]/Serviços[[#This Row],[Pedidos]],2),0)</f>
        <v>0.2</v>
      </c>
      <c r="L157" s="104" t="s">
        <v>940</v>
      </c>
      <c r="M157" s="72"/>
    </row>
    <row r="158" spans="1:13">
      <c r="A158" s="89">
        <v>45740</v>
      </c>
      <c r="B158" s="101" t="str">
        <f>_xlfn.CONCAT(Serviços[[#This Row],[Loja]],Serviços[[#This Row],[Data]])</f>
        <v>MEI45740</v>
      </c>
      <c r="C158" s="101" t="s">
        <v>113</v>
      </c>
      <c r="D158" s="71" t="s">
        <v>995</v>
      </c>
      <c r="E158" s="72">
        <f t="shared" si="10"/>
        <v>1.45</v>
      </c>
      <c r="F158" s="72">
        <v>10</v>
      </c>
      <c r="G158" s="72">
        <v>1</v>
      </c>
      <c r="H158" s="72">
        <v>10.25</v>
      </c>
      <c r="I158" s="72">
        <f>SUM(Serviços[[#This Row],[Valor Inicial]:[Bonus]])-Serviços[[#This Row],[Saldo]]</f>
        <v>2.1999999999999993</v>
      </c>
      <c r="J158" s="71">
        <f ca="1">COUNTIFS('Banco de Dados'!$F$2:$F$2123,"&lt;&gt;-",'Banco de Dados'!$B$2:$B$2123,Serviços[[#This Row],[Chave]])</f>
        <v>9</v>
      </c>
      <c r="K158" s="72">
        <f ca="1">IFERROR(ROUND(Serviços[[#This Row],[Gasto]]/Serviços[[#This Row],[Pedidos]],2),0)</f>
        <v>0.24</v>
      </c>
      <c r="M158" s="72"/>
    </row>
    <row r="159" spans="1:13">
      <c r="A159" s="89">
        <v>45741</v>
      </c>
      <c r="B159" s="101" t="str">
        <f>_xlfn.CONCAT(Serviços[[#This Row],[Loja]],Serviços[[#This Row],[Data]])</f>
        <v>MEI45741</v>
      </c>
      <c r="C159" s="101" t="s">
        <v>113</v>
      </c>
      <c r="D159" s="71" t="s">
        <v>995</v>
      </c>
      <c r="E159" s="72">
        <f t="shared" si="10"/>
        <v>10.25</v>
      </c>
      <c r="F159" s="72">
        <v>0</v>
      </c>
      <c r="G159" s="72">
        <v>0</v>
      </c>
      <c r="H159" s="72">
        <v>9.25</v>
      </c>
      <c r="I159" s="72">
        <f>SUM(Serviços[[#This Row],[Valor Inicial]:[Bonus]])-Serviços[[#This Row],[Saldo]]</f>
        <v>1</v>
      </c>
      <c r="J159" s="71">
        <f ca="1">COUNTIFS('Banco de Dados'!$F$2:$F$2123,"&lt;&gt;-",'Banco de Dados'!$B$2:$B$2123,Serviços[[#This Row],[Chave]])</f>
        <v>4</v>
      </c>
      <c r="K159" s="72">
        <f ca="1">IFERROR(ROUND(Serviços[[#This Row],[Gasto]]/Serviços[[#This Row],[Pedidos]],2),0)</f>
        <v>0.25</v>
      </c>
      <c r="M159" s="72"/>
    </row>
    <row r="160" spans="1:13">
      <c r="A160" s="89">
        <v>45742</v>
      </c>
      <c r="B160" s="101" t="str">
        <f>_xlfn.CONCAT(Serviços[[#This Row],[Loja]],Serviços[[#This Row],[Data]])</f>
        <v>MEI45742</v>
      </c>
      <c r="C160" s="101" t="s">
        <v>113</v>
      </c>
      <c r="D160" s="71" t="s">
        <v>995</v>
      </c>
      <c r="E160" s="72">
        <f t="shared" si="10"/>
        <v>9.25</v>
      </c>
      <c r="F160" s="72">
        <v>0</v>
      </c>
      <c r="G160" s="72">
        <v>0</v>
      </c>
      <c r="H160" s="72">
        <v>8.65</v>
      </c>
      <c r="I160" s="72">
        <f>SUM(Serviços[[#This Row],[Valor Inicial]:[Bonus]])-Serviços[[#This Row],[Saldo]]</f>
        <v>0.59999999999999964</v>
      </c>
      <c r="J160" s="71">
        <f ca="1">COUNTIFS('Banco de Dados'!$F$2:$F$2123,"&lt;&gt;-",'Banco de Dados'!$B$2:$B$2123,Serviços[[#This Row],[Chave]])</f>
        <v>1</v>
      </c>
      <c r="K160" s="72">
        <f ca="1">IFERROR(ROUND(Serviços[[#This Row],[Gasto]]/Serviços[[#This Row],[Pedidos]],2),0)</f>
        <v>0.6</v>
      </c>
      <c r="M160" s="72"/>
    </row>
    <row r="161" spans="1:13">
      <c r="A161" s="89">
        <v>45743</v>
      </c>
      <c r="B161" s="101" t="str">
        <f>_xlfn.CONCAT(Serviços[[#This Row],[Loja]],Serviços[[#This Row],[Data]])</f>
        <v>MEI45743</v>
      </c>
      <c r="C161" s="101" t="s">
        <v>113</v>
      </c>
      <c r="D161" s="71" t="s">
        <v>995</v>
      </c>
      <c r="E161" s="72">
        <f t="shared" si="10"/>
        <v>8.65</v>
      </c>
      <c r="F161" s="72">
        <v>0</v>
      </c>
      <c r="G161" s="72">
        <v>0</v>
      </c>
      <c r="H161" s="72">
        <v>7.45</v>
      </c>
      <c r="I161" s="72">
        <f>SUM(Serviços[[#This Row],[Valor Inicial]:[Bonus]])-Serviços[[#This Row],[Saldo]]</f>
        <v>1.2000000000000002</v>
      </c>
      <c r="J161" s="71">
        <f ca="1">COUNTIFS('Banco de Dados'!$F$2:$F$2123,"&lt;&gt;-",'Banco de Dados'!$B$2:$B$2123,Serviços[[#This Row],[Chave]])</f>
        <v>6</v>
      </c>
      <c r="K161" s="72">
        <f ca="1">IFERROR(ROUND(Serviços[[#This Row],[Gasto]]/Serviços[[#This Row],[Pedidos]],2),0)</f>
        <v>0.2</v>
      </c>
      <c r="M161" s="72"/>
    </row>
    <row r="162" spans="1:13">
      <c r="A162" s="89">
        <v>45744</v>
      </c>
      <c r="B162" s="101" t="str">
        <f>_xlfn.CONCAT(Serviços[[#This Row],[Loja]],Serviços[[#This Row],[Data]])</f>
        <v>MEI45744</v>
      </c>
      <c r="C162" s="101" t="s">
        <v>113</v>
      </c>
      <c r="D162" s="71" t="s">
        <v>995</v>
      </c>
      <c r="E162" s="72">
        <f t="shared" ref="E162" si="11">H161</f>
        <v>7.45</v>
      </c>
      <c r="F162" s="72">
        <v>0</v>
      </c>
      <c r="G162" s="72">
        <v>0</v>
      </c>
      <c r="H162" s="72">
        <v>7.25</v>
      </c>
      <c r="I162" s="72">
        <f>SUM(Serviços[[#This Row],[Valor Inicial]:[Bonus]])-Serviços[[#This Row],[Saldo]]</f>
        <v>0.20000000000000018</v>
      </c>
      <c r="J162" s="71">
        <f ca="1">COUNTIFS('Banco de Dados'!$F$2:$F$2123,"&lt;&gt;-",'Banco de Dados'!$B$2:$B$2123,Serviços[[#This Row],[Chave]])</f>
        <v>1</v>
      </c>
      <c r="K162" s="72">
        <f ca="1">IFERROR(ROUND(Serviços[[#This Row],[Gasto]]/Serviços[[#This Row],[Pedidos]],2),0)</f>
        <v>0.2</v>
      </c>
      <c r="M162" s="72"/>
    </row>
    <row r="163" spans="1:13">
      <c r="A163" s="89">
        <v>45746</v>
      </c>
      <c r="B163" s="101" t="str">
        <f>_xlfn.CONCAT(Serviços[[#This Row],[Loja]],Serviços[[#This Row],[Data]])</f>
        <v>MEI45746</v>
      </c>
      <c r="C163" s="101" t="s">
        <v>113</v>
      </c>
      <c r="D163" s="71" t="s">
        <v>995</v>
      </c>
      <c r="E163" s="72">
        <f t="shared" ref="E163" si="12">H162</f>
        <v>7.25</v>
      </c>
      <c r="F163" s="72">
        <v>0</v>
      </c>
      <c r="G163" s="72">
        <v>0</v>
      </c>
      <c r="H163" s="72">
        <v>6.9</v>
      </c>
      <c r="I163" s="72">
        <f>SUM(Serviços[[#This Row],[Valor Inicial]:[Bonus]])-Serviços[[#This Row],[Saldo]]</f>
        <v>0.34999999999999964</v>
      </c>
      <c r="J163" s="71">
        <f ca="1">COUNTIFS('Banco de Dados'!$F$2:$F$2123,"&lt;&gt;-",'Banco de Dados'!$B$2:$B$2123,Serviços[[#This Row],[Chave]])</f>
        <v>1</v>
      </c>
      <c r="K163" s="72">
        <f ca="1">IFERROR(ROUND(Serviços[[#This Row],[Gasto]]/Serviços[[#This Row],[Pedidos]],2),0)</f>
        <v>0.35</v>
      </c>
      <c r="M163" s="72"/>
    </row>
    <row r="164" spans="1:13">
      <c r="A164" s="89">
        <v>45747</v>
      </c>
      <c r="B164" s="101" t="str">
        <f>_xlfn.CONCAT(Serviços[[#This Row],[Loja]],Serviços[[#This Row],[Data]])</f>
        <v>MEI45747</v>
      </c>
      <c r="C164" s="101" t="s">
        <v>113</v>
      </c>
      <c r="D164" s="71" t="s">
        <v>995</v>
      </c>
      <c r="E164" s="72">
        <f t="shared" ref="E164" si="13">H163</f>
        <v>6.9</v>
      </c>
      <c r="F164" s="72">
        <v>0</v>
      </c>
      <c r="G164" s="72">
        <v>0</v>
      </c>
      <c r="H164" s="72">
        <v>3.65</v>
      </c>
      <c r="I164" s="72">
        <f>SUM(Serviços[[#This Row],[Valor Inicial]:[Bonus]])-Serviços[[#This Row],[Saldo]]</f>
        <v>3.2500000000000004</v>
      </c>
      <c r="J164" s="71">
        <f ca="1">COUNTIFS('Banco de Dados'!$F$2:$F$2123,"&lt;&gt;-",'Banco de Dados'!$B$2:$B$2123,Serviços[[#This Row],[Chave]])</f>
        <v>12</v>
      </c>
      <c r="K164" s="72">
        <f ca="1">IFERROR(ROUND(Serviços[[#This Row],[Gasto]]/Serviços[[#This Row],[Pedidos]],2),0)</f>
        <v>0.27</v>
      </c>
      <c r="M164" s="72"/>
    </row>
    <row r="165" spans="1:13">
      <c r="A165" s="89">
        <v>45749</v>
      </c>
      <c r="B165" s="101" t="str">
        <f>_xlfn.CONCAT(Serviços[[#This Row],[Loja]],Serviços[[#This Row],[Data]])</f>
        <v>MEI45749</v>
      </c>
      <c r="C165" s="101" t="s">
        <v>113</v>
      </c>
      <c r="D165" s="71" t="s">
        <v>995</v>
      </c>
      <c r="E165" s="72">
        <f t="shared" ref="E165" si="14">H164</f>
        <v>3.65</v>
      </c>
      <c r="F165" s="72">
        <v>0</v>
      </c>
      <c r="G165" s="72">
        <v>0</v>
      </c>
      <c r="H165" s="72">
        <v>2.65</v>
      </c>
      <c r="I165" s="72">
        <f>SUM(Serviços[[#This Row],[Valor Inicial]:[Bonus]])-Serviços[[#This Row],[Saldo]]</f>
        <v>1</v>
      </c>
      <c r="J165" s="71">
        <f ca="1">COUNTIFS('Banco de Dados'!$F$2:$F$2123,"&lt;&gt;-",'Banco de Dados'!$B$2:$B$2123,Serviços[[#This Row],[Chave]])</f>
        <v>5</v>
      </c>
      <c r="K165" s="72">
        <f ca="1">IFERROR(ROUND(Serviços[[#This Row],[Gasto]]/Serviços[[#This Row],[Pedidos]],2),0)</f>
        <v>0.2</v>
      </c>
      <c r="M165" s="72">
        <f ca="1">J168*0.2</f>
        <v>1.6</v>
      </c>
    </row>
    <row r="166" spans="1:13">
      <c r="A166" s="89">
        <v>45749</v>
      </c>
      <c r="B166" s="101" t="str">
        <f>_xlfn.CONCAT(Serviços[[#This Row],[Loja]],Serviços[[#This Row],[Data]])</f>
        <v>GO45749</v>
      </c>
      <c r="C166" s="101" t="s">
        <v>108</v>
      </c>
      <c r="D166" s="71" t="s">
        <v>995</v>
      </c>
      <c r="E166" s="72">
        <f t="shared" ref="E166" si="15">H165</f>
        <v>2.65</v>
      </c>
      <c r="F166" s="72">
        <v>0</v>
      </c>
      <c r="G166" s="72">
        <v>0</v>
      </c>
      <c r="H166" s="72">
        <v>2.25</v>
      </c>
      <c r="I166" s="72">
        <f>SUM(Serviços[[#This Row],[Valor Inicial]:[Bonus]])-Serviços[[#This Row],[Saldo]]</f>
        <v>0.39999999999999991</v>
      </c>
      <c r="J166" s="71">
        <f ca="1">COUNTIFS('Banco de Dados'!$F$2:$F$2123,"&lt;&gt;-",'Banco de Dados'!$B$2:$B$2123,Serviços[[#This Row],[Chave]])</f>
        <v>2</v>
      </c>
      <c r="K166" s="72">
        <f ca="1">IFERROR(ROUND(Serviços[[#This Row],[Gasto]]/Serviços[[#This Row],[Pedidos]],2),0)</f>
        <v>0.2</v>
      </c>
      <c r="M166" s="72">
        <f ca="1">E168-M165</f>
        <v>8.85</v>
      </c>
    </row>
    <row r="167" spans="1:13">
      <c r="A167" s="89">
        <v>45750</v>
      </c>
      <c r="B167" s="101" t="str">
        <f>_xlfn.CONCAT(Serviços[[#This Row],[Loja]],Serviços[[#This Row],[Data]])</f>
        <v>MEI45750</v>
      </c>
      <c r="C167" s="101" t="s">
        <v>113</v>
      </c>
      <c r="D167" s="71" t="s">
        <v>995</v>
      </c>
      <c r="E167" s="72">
        <f>H166</f>
        <v>2.25</v>
      </c>
      <c r="F167" s="72">
        <v>10</v>
      </c>
      <c r="G167" s="72">
        <v>1</v>
      </c>
      <c r="H167" s="72">
        <v>10.45</v>
      </c>
      <c r="I167" s="72">
        <f>SUM(Serviços[[#This Row],[Valor Inicial]:[Bonus]])-Serviços[[#This Row],[Saldo]]</f>
        <v>2.8000000000000007</v>
      </c>
      <c r="J167" s="71">
        <f ca="1">COUNTIFS('Banco de Dados'!$F$2:$F$2123,"&lt;&gt;-",'Banco de Dados'!$B$2:$B$2123,Serviços[[#This Row],[Chave]])</f>
        <v>11</v>
      </c>
      <c r="K167" s="72">
        <f ca="1">IFERROR(ROUND(Serviços[[#This Row],[Gasto]]/Serviços[[#This Row],[Pedidos]],2),0)</f>
        <v>0.25</v>
      </c>
      <c r="M167" s="72"/>
    </row>
    <row r="168" spans="1:13">
      <c r="A168" s="89">
        <v>45751</v>
      </c>
      <c r="B168" s="101" t="str">
        <f>_xlfn.CONCAT(Serviços[[#This Row],[Loja]],Serviços[[#This Row],[Data]])</f>
        <v>MEI45751</v>
      </c>
      <c r="C168" s="101" t="s">
        <v>113</v>
      </c>
      <c r="D168" s="71" t="s">
        <v>995</v>
      </c>
      <c r="E168" s="72">
        <f t="shared" ref="E168" si="16">H167</f>
        <v>10.45</v>
      </c>
      <c r="F168" s="72">
        <v>0</v>
      </c>
      <c r="G168" s="72">
        <v>0</v>
      </c>
      <c r="H168" s="72">
        <v>8.5500000000000007</v>
      </c>
      <c r="I168" s="72">
        <f>SUM(Serviços[[#This Row],[Valor Inicial]:[Bonus]])-Serviços[[#This Row],[Saldo]]</f>
        <v>1.8999999999999986</v>
      </c>
      <c r="J168" s="71">
        <f ca="1">COUNTIFS('Banco de Dados'!$F$2:$F$2123,"&lt;&gt;-",'Banco de Dados'!$B$2:$B$2123,Serviços[[#This Row],[Chave]])</f>
        <v>8</v>
      </c>
      <c r="K168" s="72">
        <f ca="1">IFERROR(ROUND(Serviços[[#This Row],[Gasto]]/Serviços[[#This Row],[Pedidos]],2),0)</f>
        <v>0.24</v>
      </c>
      <c r="M168" s="72"/>
    </row>
    <row r="169" spans="1:13">
      <c r="A169" s="89">
        <v>45754</v>
      </c>
      <c r="B169" s="101" t="str">
        <f>_xlfn.CONCAT(Serviços[[#This Row],[Loja]],Serviços[[#This Row],[Data]])</f>
        <v>MEI45754</v>
      </c>
      <c r="C169" s="101" t="s">
        <v>113</v>
      </c>
      <c r="D169" s="71" t="s">
        <v>995</v>
      </c>
      <c r="E169" s="72">
        <f t="shared" ref="E169:E176" si="17">H168</f>
        <v>8.5500000000000007</v>
      </c>
      <c r="F169" s="72">
        <v>0</v>
      </c>
      <c r="G169" s="72">
        <v>0</v>
      </c>
      <c r="H169" s="72">
        <v>5.4</v>
      </c>
      <c r="I169" s="72">
        <f>SUM(Serviços[[#This Row],[Valor Inicial]:[Bonus]])-Serviços[[#This Row],[Saldo]]</f>
        <v>3.1500000000000004</v>
      </c>
      <c r="J169" s="71">
        <f ca="1">COUNTIFS('Banco de Dados'!$F$2:$F$2123,"&lt;&gt;-",'Banco de Dados'!$B$2:$B$2123,Serviços[[#This Row],[Chave]])</f>
        <v>13</v>
      </c>
      <c r="K169" s="72">
        <f ca="1">IFERROR(ROUND(Serviços[[#This Row],[Gasto]]/Serviços[[#This Row],[Pedidos]],2),0)</f>
        <v>0.24</v>
      </c>
      <c r="M169" s="72"/>
    </row>
    <row r="170" spans="1:13">
      <c r="A170" s="89">
        <v>45754</v>
      </c>
      <c r="B170" s="101" t="str">
        <f>_xlfn.CONCAT(Serviços[[#This Row],[Loja]],Serviços[[#This Row],[Data]])</f>
        <v>GO45754</v>
      </c>
      <c r="C170" s="101" t="s">
        <v>108</v>
      </c>
      <c r="D170" s="71" t="s">
        <v>995</v>
      </c>
      <c r="E170" s="72">
        <f t="shared" si="17"/>
        <v>5.4</v>
      </c>
      <c r="F170" s="72">
        <v>0</v>
      </c>
      <c r="G170" s="72">
        <v>0</v>
      </c>
      <c r="H170" s="72">
        <v>5.2</v>
      </c>
      <c r="I170" s="72">
        <f>SUM(Serviços[[#This Row],[Valor Inicial]:[Bonus]])-Serviços[[#This Row],[Saldo]]</f>
        <v>0.20000000000000018</v>
      </c>
      <c r="J170" s="71">
        <f ca="1">COUNTIFS('Banco de Dados'!$F$2:$F$2123,"&lt;&gt;-",'Banco de Dados'!$B$2:$B$2123,Serviços[[#This Row],[Chave]])</f>
        <v>1</v>
      </c>
      <c r="K170" s="72">
        <f ca="1">IFERROR(ROUND(Serviços[[#This Row],[Gasto]]/Serviços[[#This Row],[Pedidos]],2),0)</f>
        <v>0.2</v>
      </c>
      <c r="M170" s="72"/>
    </row>
    <row r="171" spans="1:13">
      <c r="A171" s="89">
        <v>45755</v>
      </c>
      <c r="B171" s="101" t="str">
        <f>_xlfn.CONCAT(Serviços[[#This Row],[Loja]],Serviços[[#This Row],[Data]])</f>
        <v>MEI45755</v>
      </c>
      <c r="C171" s="101" t="s">
        <v>113</v>
      </c>
      <c r="D171" s="71" t="s">
        <v>995</v>
      </c>
      <c r="E171" s="72">
        <f t="shared" si="17"/>
        <v>5.2</v>
      </c>
      <c r="F171" s="72">
        <v>0</v>
      </c>
      <c r="G171" s="72">
        <v>0</v>
      </c>
      <c r="H171" s="72">
        <v>1.9</v>
      </c>
      <c r="I171" s="72">
        <f>SUM(Serviços[[#This Row],[Valor Inicial]:[Bonus]])-Serviços[[#This Row],[Saldo]]</f>
        <v>3.3000000000000003</v>
      </c>
      <c r="J171" s="71">
        <f ca="1">COUNTIFS('Banco de Dados'!$F$2:$F$2123,"&lt;&gt;-",'Banco de Dados'!$B$2:$B$2123,Serviços[[#This Row],[Chave]])</f>
        <v>13</v>
      </c>
      <c r="K171" s="72">
        <f ca="1">IFERROR(ROUND(Serviços[[#This Row],[Gasto]]/Serviços[[#This Row],[Pedidos]],2),0)</f>
        <v>0.25</v>
      </c>
      <c r="M171" s="72"/>
    </row>
    <row r="172" spans="1:13">
      <c r="A172" s="89">
        <v>45756</v>
      </c>
      <c r="B172" s="101" t="str">
        <f>_xlfn.CONCAT(Serviços[[#This Row],[Loja]],Serviços[[#This Row],[Data]])</f>
        <v>MEI45756</v>
      </c>
      <c r="C172" s="89" t="s">
        <v>113</v>
      </c>
      <c r="D172" s="71" t="s">
        <v>995</v>
      </c>
      <c r="E172" s="72">
        <f t="shared" si="17"/>
        <v>1.9</v>
      </c>
      <c r="F172" s="72">
        <v>10</v>
      </c>
      <c r="G172" s="72">
        <v>1</v>
      </c>
      <c r="H172" s="72">
        <v>9.75</v>
      </c>
      <c r="I172" s="72">
        <f>SUM(Serviços[[#This Row],[Valor Inicial]:[Bonus]])-Serviços[[#This Row],[Saldo]]</f>
        <v>3.1500000000000004</v>
      </c>
      <c r="J172" s="71">
        <f ca="1">COUNTIFS('Banco de Dados'!$F$2:$F$2123,"&lt;&gt;-",'Banco de Dados'!$B$2:$B$2123,Serviços[[#This Row],[Chave]])</f>
        <v>16</v>
      </c>
      <c r="K172" s="72">
        <f ca="1">IFERROR(ROUND(Serviços[[#This Row],[Gasto]]/Serviços[[#This Row],[Pedidos]],2),0)</f>
        <v>0.2</v>
      </c>
      <c r="M172" s="72"/>
    </row>
    <row r="173" spans="1:13">
      <c r="A173" s="89">
        <v>45757</v>
      </c>
      <c r="B173" s="101" t="str">
        <f>_xlfn.CONCAT(Serviços[[#This Row],[Loja]],Serviços[[#This Row],[Data]])</f>
        <v>MEI45757</v>
      </c>
      <c r="C173" s="101" t="s">
        <v>113</v>
      </c>
      <c r="D173" s="71" t="s">
        <v>995</v>
      </c>
      <c r="E173" s="72">
        <f t="shared" si="17"/>
        <v>9.75</v>
      </c>
      <c r="F173" s="72">
        <v>0</v>
      </c>
      <c r="G173" s="72">
        <v>0</v>
      </c>
      <c r="H173" s="72">
        <v>8.9499999999999993</v>
      </c>
      <c r="I173" s="72">
        <f>SUM(Serviços[[#This Row],[Valor Inicial]:[Bonus]])-Serviços[[#This Row],[Saldo]]</f>
        <v>0.80000000000000071</v>
      </c>
      <c r="J173" s="71">
        <f ca="1">COUNTIFS('Banco de Dados'!$F$2:$F$2123,"&lt;&gt;-",'Banco de Dados'!$B$2:$B$2123,Serviços[[#This Row],[Chave]])</f>
        <v>4</v>
      </c>
      <c r="K173" s="72">
        <f ca="1">IFERROR(ROUND(Serviços[[#This Row],[Gasto]]/Serviços[[#This Row],[Pedidos]],2),0)</f>
        <v>0.2</v>
      </c>
      <c r="M173" s="72"/>
    </row>
    <row r="174" spans="1:13">
      <c r="A174" s="89">
        <v>45758</v>
      </c>
      <c r="B174" s="101" t="str">
        <f>_xlfn.CONCAT(Serviços[[#This Row],[Loja]],Serviços[[#This Row],[Data]])</f>
        <v>MEI45758</v>
      </c>
      <c r="C174" s="89" t="s">
        <v>113</v>
      </c>
      <c r="D174" s="71" t="s">
        <v>995</v>
      </c>
      <c r="E174" s="72">
        <f t="shared" si="17"/>
        <v>8.9499999999999993</v>
      </c>
      <c r="F174" s="72">
        <v>0</v>
      </c>
      <c r="G174" s="72">
        <v>0</v>
      </c>
      <c r="H174" s="72">
        <v>3.95</v>
      </c>
      <c r="I174" s="72">
        <f>SUM(Serviços[[#This Row],[Valor Inicial]:[Bonus]])-Serviços[[#This Row],[Saldo]]</f>
        <v>4.9999999999999991</v>
      </c>
      <c r="J174" s="71">
        <f ca="1">COUNTIFS('Banco de Dados'!$F$2:$F$2123,"&lt;&gt;-",'Banco de Dados'!$B$2:$B$2123,Serviços[[#This Row],[Chave]])</f>
        <v>17</v>
      </c>
      <c r="K174" s="72">
        <f ca="1">IFERROR(ROUND(Serviços[[#This Row],[Gasto]]/Serviços[[#This Row],[Pedidos]],2),0)</f>
        <v>0.28999999999999998</v>
      </c>
      <c r="M174" s="72"/>
    </row>
    <row r="175" spans="1:13">
      <c r="A175" s="89">
        <v>45758</v>
      </c>
      <c r="B175" s="101" t="str">
        <f>_xlfn.CONCAT(Serviços[[#This Row],[Loja]],Serviços[[#This Row],[Data]])</f>
        <v>GO45758</v>
      </c>
      <c r="C175" s="101" t="s">
        <v>108</v>
      </c>
      <c r="D175" s="71" t="s">
        <v>995</v>
      </c>
      <c r="E175" s="72">
        <f t="shared" si="17"/>
        <v>3.95</v>
      </c>
      <c r="F175" s="72">
        <v>0</v>
      </c>
      <c r="G175" s="72">
        <v>0</v>
      </c>
      <c r="H175" s="72">
        <v>3.75</v>
      </c>
      <c r="I175" s="72">
        <f>SUM(Serviços[[#This Row],[Valor Inicial]:[Bonus]])-Serviços[[#This Row],[Saldo]]</f>
        <v>0.20000000000000018</v>
      </c>
      <c r="J175" s="71">
        <f ca="1">COUNTIFS('Banco de Dados'!$F$2:$F$2123,"&lt;&gt;-",'Banco de Dados'!$B$2:$B$2123,Serviços[[#This Row],[Chave]])</f>
        <v>1</v>
      </c>
      <c r="K175" s="72">
        <f ca="1">IFERROR(ROUND(Serviços[[#This Row],[Gasto]]/Serviços[[#This Row],[Pedidos]],2),0)</f>
        <v>0.2</v>
      </c>
      <c r="M175" s="72"/>
    </row>
    <row r="176" spans="1:13">
      <c r="A176" s="89">
        <v>45758</v>
      </c>
      <c r="B176" s="101" t="str">
        <f>_xlfn.CONCAT(Serviços[[#This Row],[Loja]],Serviços[[#This Row],[Data]])</f>
        <v>BV45758</v>
      </c>
      <c r="C176" s="101" t="s">
        <v>36</v>
      </c>
      <c r="D176" s="71" t="s">
        <v>995</v>
      </c>
      <c r="E176" s="72">
        <f t="shared" si="17"/>
        <v>3.75</v>
      </c>
      <c r="F176" s="72">
        <v>0</v>
      </c>
      <c r="G176" s="72">
        <v>0</v>
      </c>
      <c r="H176" s="72">
        <v>3.35</v>
      </c>
      <c r="I176" s="72">
        <f>SUM(Serviços[[#This Row],[Valor Inicial]:[Bonus]])-Serviços[[#This Row],[Saldo]]</f>
        <v>0.39999999999999991</v>
      </c>
      <c r="J176" s="71">
        <f ca="1">COUNTIFS('Banco de Dados'!$F$2:$F$2123,"&lt;&gt;-",'Banco de Dados'!$B$2:$B$2123,Serviços[[#This Row],[Chave]])</f>
        <v>2</v>
      </c>
      <c r="K176" s="72">
        <f ca="1">IFERROR(ROUND(Serviços[[#This Row],[Gasto]]/Serviços[[#This Row],[Pedidos]],2),0)</f>
        <v>0.2</v>
      </c>
      <c r="M176" s="72"/>
    </row>
    <row r="177" spans="1:15">
      <c r="A177" s="89">
        <v>45759</v>
      </c>
      <c r="B177" s="101" t="str">
        <f>_xlfn.CONCAT(Serviços[[#This Row],[Loja]],Serviços[[#This Row],[Data]])</f>
        <v>GO45759</v>
      </c>
      <c r="C177" s="101" t="s">
        <v>108</v>
      </c>
      <c r="D177" s="71" t="s">
        <v>995</v>
      </c>
      <c r="E177" s="72">
        <f t="shared" ref="E177" si="18">H176</f>
        <v>3.35</v>
      </c>
      <c r="F177" s="72">
        <v>10</v>
      </c>
      <c r="G177" s="72">
        <v>1</v>
      </c>
      <c r="H177" s="72">
        <v>13.85</v>
      </c>
      <c r="I177" s="72">
        <f>SUM(Serviços[[#This Row],[Valor Inicial]:[Bonus]])-Serviços[[#This Row],[Saldo]]</f>
        <v>0.5</v>
      </c>
      <c r="J177" s="71">
        <f ca="1">COUNTIFS('Banco de Dados'!$F$2:$F$2123,"&lt;&gt;-",'Banco de Dados'!$B$2:$B$2123,Serviços[[#This Row],[Chave]])</f>
        <v>2</v>
      </c>
      <c r="K177" s="72">
        <f ca="1">IFERROR(ROUND(Serviços[[#This Row],[Gasto]]/Serviços[[#This Row],[Pedidos]],2),0)</f>
        <v>0.25</v>
      </c>
      <c r="M177" s="72"/>
    </row>
    <row r="178" spans="1:15">
      <c r="A178" s="89">
        <v>45759</v>
      </c>
      <c r="B178" s="101" t="str">
        <f>_xlfn.CONCAT(Serviços[[#This Row],[Loja]],Serviços[[#This Row],[Data]])</f>
        <v>MEI45759</v>
      </c>
      <c r="C178" s="101" t="s">
        <v>113</v>
      </c>
      <c r="D178" s="71" t="s">
        <v>995</v>
      </c>
      <c r="E178" s="72">
        <f t="shared" ref="E178:E179" si="19">H177</f>
        <v>13.85</v>
      </c>
      <c r="F178" s="72">
        <v>0</v>
      </c>
      <c r="G178" s="72">
        <v>0</v>
      </c>
      <c r="H178" s="72">
        <v>11.78</v>
      </c>
      <c r="I178" s="72">
        <f>SUM(Serviços[[#This Row],[Valor Inicial]:[Bonus]])-Serviços[[#This Row],[Saldo]]</f>
        <v>2.0700000000000003</v>
      </c>
      <c r="J178" s="71">
        <f ca="1">COUNTIFS('Banco de Dados'!$F$2:$F$2123,"&lt;&gt;-",'Banco de Dados'!$B$2:$B$2123,Serviços[[#This Row],[Chave]])</f>
        <v>14</v>
      </c>
      <c r="K178" s="72">
        <f ca="1">IFERROR(ROUND(Serviços[[#This Row],[Gasto]]/Serviços[[#This Row],[Pedidos]],2),0)</f>
        <v>0.15</v>
      </c>
      <c r="M178" s="72"/>
    </row>
    <row r="179" spans="1:15">
      <c r="A179" s="89">
        <v>45760</v>
      </c>
      <c r="B179" s="101" t="str">
        <f>_xlfn.CONCAT(Serviços[[#This Row],[Loja]],Serviços[[#This Row],[Data]])</f>
        <v>MEI45760</v>
      </c>
      <c r="C179" s="101" t="s">
        <v>113</v>
      </c>
      <c r="D179" s="71" t="s">
        <v>995</v>
      </c>
      <c r="E179" s="72">
        <f t="shared" si="19"/>
        <v>11.78</v>
      </c>
      <c r="F179" s="72">
        <v>0</v>
      </c>
      <c r="G179" s="72">
        <v>0</v>
      </c>
      <c r="H179" s="72">
        <v>8.0299999999999994</v>
      </c>
      <c r="I179" s="72">
        <f>SUM(Serviços[[#This Row],[Valor Inicial]:[Bonus]])-Serviços[[#This Row],[Saldo]]</f>
        <v>3.75</v>
      </c>
      <c r="J179" s="71">
        <f ca="1">COUNTIFS('Banco de Dados'!$F$2:$F$2123,"&lt;&gt;-",'Banco de Dados'!$B$2:$B$2123,Serviços[[#This Row],[Chave]])</f>
        <v>15</v>
      </c>
      <c r="K179" s="72">
        <f ca="1">IFERROR(ROUND(Serviços[[#This Row],[Gasto]]/Serviços[[#This Row],[Pedidos]],2),0)</f>
        <v>0.25</v>
      </c>
      <c r="M179" s="72"/>
      <c r="O179" s="72"/>
    </row>
    <row r="180" spans="1:15">
      <c r="A180" s="89">
        <v>45760</v>
      </c>
      <c r="B180" s="101" t="str">
        <f>_xlfn.CONCAT(Serviços[[#This Row],[Loja]],Serviços[[#This Row],[Data]])</f>
        <v>GO45760</v>
      </c>
      <c r="C180" s="101" t="s">
        <v>108</v>
      </c>
      <c r="D180" s="71" t="s">
        <v>995</v>
      </c>
      <c r="E180" s="72">
        <f t="shared" ref="E180:E187" si="20">H179</f>
        <v>8.0299999999999994</v>
      </c>
      <c r="F180" s="72">
        <v>0</v>
      </c>
      <c r="G180" s="72">
        <v>0</v>
      </c>
      <c r="H180" s="72">
        <f>0.26+7.35</f>
        <v>7.6099999999999994</v>
      </c>
      <c r="I180" s="72">
        <f>SUM(Serviços[[#This Row],[Valor Inicial]:[Bonus]])-Serviços[[#This Row],[Saldo]]</f>
        <v>0.41999999999999993</v>
      </c>
      <c r="J180" s="71">
        <f ca="1">COUNTIFS('Banco de Dados'!$F$2:$F$2123,"&lt;&gt;-",'Banco de Dados'!$B$2:$B$2123,Serviços[[#This Row],[Chave]])</f>
        <v>2</v>
      </c>
      <c r="K180" s="72">
        <f ca="1">IFERROR(ROUND(Serviços[[#This Row],[Gasto]]/Serviços[[#This Row],[Pedidos]],2),0)</f>
        <v>0.21</v>
      </c>
      <c r="M180" s="72"/>
    </row>
    <row r="181" spans="1:15">
      <c r="A181" s="89">
        <v>45761</v>
      </c>
      <c r="B181" s="101" t="str">
        <f>_xlfn.CONCAT(Serviços[[#This Row],[Loja]],Serviços[[#This Row],[Data]])</f>
        <v>MEI45761</v>
      </c>
      <c r="C181" s="101" t="s">
        <v>113</v>
      </c>
      <c r="D181" s="71" t="s">
        <v>995</v>
      </c>
      <c r="E181" s="72">
        <f t="shared" si="20"/>
        <v>7.6099999999999994</v>
      </c>
      <c r="F181" s="72">
        <v>0</v>
      </c>
      <c r="G181" s="72">
        <v>0</v>
      </c>
      <c r="H181" s="72">
        <v>4.6100000000000003</v>
      </c>
      <c r="I181" s="72">
        <f>SUM(Serviços[[#This Row],[Valor Inicial]:[Bonus]])-Serviços[[#This Row],[Saldo]]</f>
        <v>2.9999999999999991</v>
      </c>
      <c r="J181" s="71">
        <f ca="1">COUNTIFS('Banco de Dados'!$F$2:$F$2123,"&lt;&gt;-",'Banco de Dados'!$B$2:$B$2123,Serviços[[#This Row],[Chave]])</f>
        <v>7</v>
      </c>
      <c r="K181" s="72">
        <f ca="1">IFERROR(ROUND(Serviços[[#This Row],[Gasto]]/Serviços[[#This Row],[Pedidos]],2),0)</f>
        <v>0.43</v>
      </c>
      <c r="M181" s="72"/>
      <c r="O181" s="72"/>
    </row>
    <row r="182" spans="1:15">
      <c r="A182" s="89">
        <v>45761</v>
      </c>
      <c r="B182" s="101" t="str">
        <f>_xlfn.CONCAT(Serviços[[#This Row],[Loja]],Serviços[[#This Row],[Data]])</f>
        <v>GO45761</v>
      </c>
      <c r="C182" s="101" t="s">
        <v>108</v>
      </c>
      <c r="D182" s="71" t="s">
        <v>995</v>
      </c>
      <c r="E182" s="72">
        <f t="shared" si="20"/>
        <v>4.6100000000000003</v>
      </c>
      <c r="F182" s="72">
        <v>0</v>
      </c>
      <c r="G182" s="72">
        <v>0</v>
      </c>
      <c r="H182" s="72">
        <v>3.1</v>
      </c>
      <c r="I182" s="72">
        <f>SUM(Serviços[[#This Row],[Valor Inicial]:[Bonus]])-Serviços[[#This Row],[Saldo]]</f>
        <v>1.5100000000000002</v>
      </c>
      <c r="J182" s="71">
        <f ca="1">COUNTIFS('Banco de Dados'!$F$2:$F$2123,"&lt;&gt;-",'Banco de Dados'!$B$2:$B$2123,Serviços[[#This Row],[Chave]])</f>
        <v>4</v>
      </c>
      <c r="K182" s="72">
        <f ca="1">IFERROR(ROUND(Serviços[[#This Row],[Gasto]]/Serviços[[#This Row],[Pedidos]],2),0)</f>
        <v>0.38</v>
      </c>
      <c r="M182" s="72"/>
    </row>
    <row r="183" spans="1:15">
      <c r="A183" s="89">
        <v>45762</v>
      </c>
      <c r="B183" s="101" t="str">
        <f>_xlfn.CONCAT(Serviços[[#This Row],[Loja]],Serviços[[#This Row],[Data]])</f>
        <v>MEI45762</v>
      </c>
      <c r="C183" s="101" t="s">
        <v>113</v>
      </c>
      <c r="D183" s="71" t="s">
        <v>995</v>
      </c>
      <c r="E183" s="72">
        <f t="shared" si="20"/>
        <v>3.1</v>
      </c>
      <c r="F183" s="72">
        <v>0</v>
      </c>
      <c r="G183" s="72">
        <v>0</v>
      </c>
      <c r="H183" s="72">
        <v>1.91</v>
      </c>
      <c r="I183" s="72">
        <f>SUM(Serviços[[#This Row],[Valor Inicial]:[Bonus]])-Serviços[[#This Row],[Saldo]]</f>
        <v>1.1900000000000002</v>
      </c>
      <c r="J183" s="71">
        <f ca="1">COUNTIFS('Banco de Dados'!$F$2:$F$2123,"&lt;&gt;-",'Banco de Dados'!$B$2:$B$2123,Serviços[[#This Row],[Chave]])</f>
        <v>6</v>
      </c>
      <c r="K183" s="72">
        <f ca="1">IFERROR(ROUND(Serviços[[#This Row],[Gasto]]/Serviços[[#This Row],[Pedidos]],2),0)</f>
        <v>0.2</v>
      </c>
      <c r="M183" s="72"/>
    </row>
    <row r="184" spans="1:15">
      <c r="A184" s="89">
        <v>45763</v>
      </c>
      <c r="B184" s="101" t="str">
        <f>_xlfn.CONCAT(Serviços[[#This Row],[Loja]],Serviços[[#This Row],[Data]])</f>
        <v>MEI45763</v>
      </c>
      <c r="C184" s="101" t="s">
        <v>113</v>
      </c>
      <c r="D184" s="71" t="s">
        <v>995</v>
      </c>
      <c r="E184" s="72">
        <f t="shared" si="20"/>
        <v>1.91</v>
      </c>
      <c r="F184" s="72">
        <v>10</v>
      </c>
      <c r="G184" s="72">
        <v>1</v>
      </c>
      <c r="H184" s="72">
        <f>10.4+0.05</f>
        <v>10.450000000000001</v>
      </c>
      <c r="I184" s="72">
        <f>SUM(Serviços[[#This Row],[Valor Inicial]:[Bonus]])-Serviços[[#This Row],[Saldo]]</f>
        <v>2.4599999999999991</v>
      </c>
      <c r="J184" s="71">
        <f ca="1">COUNTIFS('Banco de Dados'!$F$2:$F$2123,"&lt;&gt;-",'Banco de Dados'!$B$2:$B$2123,Serviços[[#This Row],[Chave]])</f>
        <v>10</v>
      </c>
      <c r="K184" s="72">
        <f ca="1">IFERROR(ROUND(Serviços[[#This Row],[Gasto]]/Serviços[[#This Row],[Pedidos]],2),0)</f>
        <v>0.25</v>
      </c>
      <c r="M184" s="72"/>
    </row>
    <row r="185" spans="1:15">
      <c r="A185" s="89">
        <v>45768</v>
      </c>
      <c r="B185" s="101" t="str">
        <f>_xlfn.CONCAT(Serviços[[#This Row],[Loja]],Serviços[[#This Row],[Data]])</f>
        <v>MEI45768</v>
      </c>
      <c r="C185" s="101" t="s">
        <v>113</v>
      </c>
      <c r="D185" s="71" t="s">
        <v>995</v>
      </c>
      <c r="E185" s="72">
        <f t="shared" si="20"/>
        <v>10.450000000000001</v>
      </c>
      <c r="F185" s="72">
        <v>0</v>
      </c>
      <c r="G185" s="72">
        <v>0</v>
      </c>
      <c r="H185" s="72">
        <v>6.95</v>
      </c>
      <c r="I185" s="72">
        <f>SUM(Serviços[[#This Row],[Valor Inicial]:[Bonus]])-Serviços[[#This Row],[Saldo]]</f>
        <v>3.5000000000000009</v>
      </c>
      <c r="J185" s="71">
        <f ca="1">COUNTIFS('Banco de Dados'!$F$2:$F$2123,"&lt;&gt;-",'Banco de Dados'!$B$2:$B$2123,Serviços[[#This Row],[Chave]])</f>
        <v>3</v>
      </c>
      <c r="K185" s="72">
        <f ca="1">IFERROR(ROUND(Serviços[[#This Row],[Gasto]]/Serviços[[#This Row],[Pedidos]],2),0)</f>
        <v>1.17</v>
      </c>
      <c r="M185" s="72"/>
    </row>
    <row r="186" spans="1:15">
      <c r="A186" s="89">
        <v>45768</v>
      </c>
      <c r="B186" s="101" t="str">
        <f>_xlfn.CONCAT(Serviços[[#This Row],[Loja]],Serviços[[#This Row],[Data]])</f>
        <v>BV45768</v>
      </c>
      <c r="C186" s="101" t="s">
        <v>36</v>
      </c>
      <c r="D186" s="71" t="s">
        <v>995</v>
      </c>
      <c r="E186" s="72">
        <f t="shared" si="20"/>
        <v>6.95</v>
      </c>
      <c r="F186" s="72">
        <v>0</v>
      </c>
      <c r="G186" s="72">
        <v>0</v>
      </c>
      <c r="H186" s="72">
        <v>6.45</v>
      </c>
      <c r="I186" s="72">
        <f>SUM(Serviços[[#This Row],[Valor Inicial]:[Bonus]])-Serviços[[#This Row],[Saldo]]</f>
        <v>0.5</v>
      </c>
      <c r="J186" s="71">
        <f ca="1">COUNTIFS('Banco de Dados'!$F$2:$F$2123,"&lt;&gt;-",'Banco de Dados'!$B$2:$B$2123,Serviços[[#This Row],[Chave]])</f>
        <v>2</v>
      </c>
      <c r="K186" s="72">
        <f ca="1">IFERROR(ROUND(Serviços[[#This Row],[Gasto]]/Serviços[[#This Row],[Pedidos]],2),0)</f>
        <v>0.25</v>
      </c>
      <c r="M186" s="72"/>
    </row>
    <row r="187" spans="1:15">
      <c r="A187" s="89">
        <v>45768</v>
      </c>
      <c r="B187" s="101" t="str">
        <f>_xlfn.CONCAT(Serviços[[#This Row],[Loja]],Serviços[[#This Row],[Data]])</f>
        <v>GO45768</v>
      </c>
      <c r="C187" s="101" t="s">
        <v>108</v>
      </c>
      <c r="D187" s="71" t="s">
        <v>995</v>
      </c>
      <c r="E187" s="72">
        <f t="shared" si="20"/>
        <v>6.45</v>
      </c>
      <c r="F187" s="72">
        <v>0</v>
      </c>
      <c r="G187" s="72">
        <v>0</v>
      </c>
      <c r="H187" s="72">
        <v>4.95</v>
      </c>
      <c r="I187" s="72">
        <f>SUM(Serviços[[#This Row],[Valor Inicial]:[Bonus]])-Serviços[[#This Row],[Saldo]]</f>
        <v>1.5</v>
      </c>
      <c r="J187" s="71">
        <f ca="1">COUNTIFS('Banco de Dados'!$F$2:$F$2123,"&lt;&gt;-",'Banco de Dados'!$B$2:$B$2123,Serviços[[#This Row],[Chave]])</f>
        <v>6</v>
      </c>
      <c r="K187" s="72">
        <f ca="1">IFERROR(ROUND(Serviços[[#This Row],[Gasto]]/Serviços[[#This Row],[Pedidos]],2),0)</f>
        <v>0.25</v>
      </c>
      <c r="M187" s="72"/>
    </row>
    <row r="188" spans="1:15">
      <c r="A188" s="89">
        <v>45769</v>
      </c>
      <c r="B188" s="101" t="str">
        <f>_xlfn.CONCAT(Serviços[[#This Row],[Loja]],Serviços[[#This Row],[Data]])</f>
        <v>MEI45769</v>
      </c>
      <c r="C188" s="101" t="s">
        <v>113</v>
      </c>
      <c r="D188" s="71" t="s">
        <v>995</v>
      </c>
      <c r="E188" s="72">
        <f t="shared" ref="E188:E190" si="21">H187</f>
        <v>4.95</v>
      </c>
      <c r="F188" s="72">
        <v>0</v>
      </c>
      <c r="G188" s="72">
        <v>0</v>
      </c>
      <c r="H188" s="72">
        <v>3.85</v>
      </c>
      <c r="I188" s="72">
        <f>SUM(Serviços[[#This Row],[Valor Inicial]:[Bonus]])-Serviços[[#This Row],[Saldo]]</f>
        <v>1.1000000000000001</v>
      </c>
      <c r="J188" s="71">
        <f ca="1">COUNTIFS('Banco de Dados'!$F$2:$F$2123,"&lt;&gt;-",'Banco de Dados'!$B$2:$B$2123,Serviços[[#This Row],[Chave]])</f>
        <v>6</v>
      </c>
      <c r="K188" s="72">
        <f ca="1">IFERROR(ROUND(Serviços[[#This Row],[Gasto]]/Serviços[[#This Row],[Pedidos]],2),0)</f>
        <v>0.18</v>
      </c>
      <c r="M188" s="72"/>
    </row>
    <row r="189" spans="1:15">
      <c r="A189" s="89">
        <v>45769</v>
      </c>
      <c r="B189" s="101" t="str">
        <f>_xlfn.CONCAT(Serviços[[#This Row],[Loja]],Serviços[[#This Row],[Data]])</f>
        <v>BV45769</v>
      </c>
      <c r="C189" s="101" t="s">
        <v>36</v>
      </c>
      <c r="D189" s="71" t="s">
        <v>995</v>
      </c>
      <c r="E189" s="72">
        <f t="shared" si="21"/>
        <v>3.85</v>
      </c>
      <c r="F189" s="72">
        <v>0</v>
      </c>
      <c r="G189" s="72">
        <v>0</v>
      </c>
      <c r="H189" s="72">
        <v>3.6</v>
      </c>
      <c r="I189" s="72">
        <f>SUM(Serviços[[#This Row],[Valor Inicial]:[Bonus]])-Serviços[[#This Row],[Saldo]]</f>
        <v>0.25</v>
      </c>
      <c r="J189" s="71">
        <f ca="1">COUNTIFS('Banco de Dados'!$F$2:$F$2123,"&lt;&gt;-",'Banco de Dados'!$B$2:$B$2123,Serviços[[#This Row],[Chave]])</f>
        <v>1</v>
      </c>
      <c r="K189" s="72">
        <f ca="1">IFERROR(ROUND(Serviços[[#This Row],[Gasto]]/Serviços[[#This Row],[Pedidos]],2),0)</f>
        <v>0.25</v>
      </c>
      <c r="M189" s="72"/>
    </row>
    <row r="190" spans="1:15">
      <c r="A190" s="89">
        <v>45769</v>
      </c>
      <c r="B190" s="101" t="str">
        <f>_xlfn.CONCAT(Serviços[[#This Row],[Loja]],Serviços[[#This Row],[Data]])</f>
        <v>GO45769</v>
      </c>
      <c r="C190" s="101" t="s">
        <v>108</v>
      </c>
      <c r="D190" s="71" t="s">
        <v>995</v>
      </c>
      <c r="E190" s="72">
        <f t="shared" si="21"/>
        <v>3.6</v>
      </c>
      <c r="F190" s="72">
        <v>0</v>
      </c>
      <c r="G190" s="72">
        <v>0</v>
      </c>
      <c r="H190" s="72">
        <v>3.1</v>
      </c>
      <c r="I190" s="72">
        <f>SUM(Serviços[[#This Row],[Valor Inicial]:[Bonus]])-Serviços[[#This Row],[Saldo]]</f>
        <v>0.5</v>
      </c>
      <c r="J190" s="71">
        <f ca="1">COUNTIFS('Banco de Dados'!$F$2:$F$2123,"&lt;&gt;-",'Banco de Dados'!$B$2:$B$2123,Serviços[[#This Row],[Chave]])</f>
        <v>1</v>
      </c>
      <c r="K190" s="72">
        <f ca="1">IFERROR(ROUND(Serviços[[#This Row],[Gasto]]/Serviços[[#This Row],[Pedidos]],2),0)</f>
        <v>0.5</v>
      </c>
      <c r="M190" s="72"/>
    </row>
    <row r="191" spans="1:15">
      <c r="A191" s="89">
        <v>45770</v>
      </c>
      <c r="B191" s="101" t="str">
        <f>_xlfn.CONCAT(Serviços[[#This Row],[Loja]],Serviços[[#This Row],[Data]])</f>
        <v>GO45770</v>
      </c>
      <c r="C191" s="101" t="s">
        <v>108</v>
      </c>
      <c r="D191" s="71" t="s">
        <v>995</v>
      </c>
      <c r="E191" s="72">
        <f t="shared" ref="E191" si="22">H190</f>
        <v>3.1</v>
      </c>
      <c r="F191" s="72">
        <v>0</v>
      </c>
      <c r="G191" s="72">
        <v>0</v>
      </c>
      <c r="H191" s="72">
        <v>3</v>
      </c>
      <c r="I191" s="72">
        <f>SUM(Serviços[[#This Row],[Valor Inicial]:[Bonus]])-Serviços[[#This Row],[Saldo]]</f>
        <v>0.10000000000000009</v>
      </c>
      <c r="J191" s="71">
        <f ca="1">COUNTIFS('Banco de Dados'!$F$2:$F$2123,"&lt;&gt;-",'Banco de Dados'!$B$2:$B$2123,Serviços[[#This Row],[Chave]])</f>
        <v>1</v>
      </c>
      <c r="K191" s="72">
        <f ca="1">IFERROR(ROUND(Serviços[[#This Row],[Gasto]]/Serviços[[#This Row],[Pedidos]],2),0)</f>
        <v>0.1</v>
      </c>
      <c r="M191" s="72"/>
    </row>
    <row r="192" spans="1:15">
      <c r="A192" s="89">
        <v>45770</v>
      </c>
      <c r="B192" s="101" t="str">
        <f>_xlfn.CONCAT(Serviços[[#This Row],[Loja]],Serviços[[#This Row],[Data]])</f>
        <v>MEI45770</v>
      </c>
      <c r="C192" s="101" t="s">
        <v>113</v>
      </c>
      <c r="D192" s="108" t="s">
        <v>995</v>
      </c>
      <c r="E192" s="72">
        <f t="shared" ref="E192" si="23">H191</f>
        <v>3</v>
      </c>
      <c r="F192" s="72">
        <v>0</v>
      </c>
      <c r="G192" s="72">
        <v>0</v>
      </c>
      <c r="H192" s="72">
        <v>1.3</v>
      </c>
      <c r="I192" s="72">
        <f>SUM(Serviços[[#This Row],[Valor Inicial]:[Bonus]])-Serviços[[#This Row],[Saldo]]</f>
        <v>1.7</v>
      </c>
      <c r="J192" s="71">
        <f ca="1">COUNTIFS('Banco de Dados'!$F$2:$F$2123,"&lt;&gt;-",'Banco de Dados'!$B$2:$B$2123,Serviços[[#This Row],[Chave]])</f>
        <v>14</v>
      </c>
      <c r="K192" s="72">
        <f ca="1">IFERROR(ROUND(Serviços[[#This Row],[Gasto]]/Serviços[[#This Row],[Pedidos]],2),0)</f>
        <v>0.12</v>
      </c>
      <c r="M192" s="72"/>
    </row>
    <row r="193" spans="1:19">
      <c r="A193" s="101">
        <v>45771</v>
      </c>
      <c r="B193" s="101" t="str">
        <f>_xlfn.CONCAT(Serviços[[#This Row],[Loja]],Serviços[[#This Row],[Data]])</f>
        <v>MEI45771</v>
      </c>
      <c r="C193" s="101" t="s">
        <v>113</v>
      </c>
      <c r="D193" s="108" t="s">
        <v>995</v>
      </c>
      <c r="E193" s="72">
        <f t="shared" ref="E193" si="24">H192</f>
        <v>1.3</v>
      </c>
      <c r="F193" s="72">
        <v>10</v>
      </c>
      <c r="G193" s="72">
        <v>1</v>
      </c>
      <c r="H193" s="72">
        <v>10.25</v>
      </c>
      <c r="I193" s="72">
        <f>SUM(Serviços[[#This Row],[Valor Inicial]:[Bonus]])-Serviços[[#This Row],[Saldo]]</f>
        <v>2.0500000000000007</v>
      </c>
      <c r="J193" s="71">
        <f ca="1">COUNTIFS('Banco de Dados'!$F$2:$F$2123,"&lt;&gt;-",'Banco de Dados'!$B$2:$B$2123,Serviços[[#This Row],[Chave]])</f>
        <v>7</v>
      </c>
      <c r="K193" s="72">
        <f ca="1">IFERROR(ROUND(Serviços[[#This Row],[Gasto]]/Serviços[[#This Row],[Pedidos]],2),0)</f>
        <v>0.28999999999999998</v>
      </c>
      <c r="M193" s="72"/>
    </row>
    <row r="194" spans="1:19">
      <c r="A194" s="89">
        <v>45772</v>
      </c>
      <c r="B194" s="101" t="str">
        <f>_xlfn.CONCAT(Serviços[[#This Row],[Loja]],Serviços[[#This Row],[Data]])</f>
        <v>MEI45772</v>
      </c>
      <c r="C194" s="101" t="s">
        <v>113</v>
      </c>
      <c r="D194" s="108" t="s">
        <v>995</v>
      </c>
      <c r="E194" s="72">
        <f t="shared" ref="E194" si="25">H193</f>
        <v>10.25</v>
      </c>
      <c r="F194" s="72">
        <v>0</v>
      </c>
      <c r="G194" s="72">
        <v>0</v>
      </c>
      <c r="H194" s="72">
        <v>9.85</v>
      </c>
      <c r="I194" s="72">
        <f>SUM(Serviços[[#This Row],[Valor Inicial]:[Bonus]])-Serviços[[#This Row],[Saldo]]</f>
        <v>0.40000000000000036</v>
      </c>
      <c r="J194" s="71">
        <f ca="1">COUNTIFS('Banco de Dados'!$F$2:$F$2123,"&lt;&gt;-",'Banco de Dados'!$B$2:$B$2123,Serviços[[#This Row],[Chave]])</f>
        <v>4</v>
      </c>
      <c r="K194" s="72">
        <f ca="1">IFERROR(ROUND(Serviços[[#This Row],[Gasto]]/Serviços[[#This Row],[Pedidos]],2),0)</f>
        <v>0.1</v>
      </c>
      <c r="M194" s="72"/>
    </row>
    <row r="195" spans="1:19">
      <c r="A195" s="89">
        <v>45775</v>
      </c>
      <c r="B195" s="101" t="str">
        <f>_xlfn.CONCAT(Serviços[[#This Row],[Loja]],Serviços[[#This Row],[Data]])</f>
        <v>GO45775</v>
      </c>
      <c r="C195" s="101" t="s">
        <v>108</v>
      </c>
      <c r="D195" s="108" t="s">
        <v>995</v>
      </c>
      <c r="E195" s="72">
        <f t="shared" ref="E195:E196" si="26">H194</f>
        <v>9.85</v>
      </c>
      <c r="F195" s="72">
        <v>0</v>
      </c>
      <c r="G195" s="72">
        <v>0</v>
      </c>
      <c r="H195" s="72">
        <v>9.75</v>
      </c>
      <c r="I195" s="72">
        <f>SUM(Serviços[[#This Row],[Valor Inicial]:[Bonus]])-Serviços[[#This Row],[Saldo]]</f>
        <v>9.9999999999999645E-2</v>
      </c>
      <c r="J195" s="71">
        <f ca="1">COUNTIFS('Banco de Dados'!$F$2:$F$2123,"&lt;&gt;-",'Banco de Dados'!$B$2:$B$2123,Serviços[[#This Row],[Chave]])</f>
        <v>1</v>
      </c>
      <c r="K195" s="72">
        <f ca="1">IFERROR(ROUND(Serviços[[#This Row],[Gasto]]/Serviços[[#This Row],[Pedidos]],2),0)</f>
        <v>0.1</v>
      </c>
      <c r="M195" s="72"/>
    </row>
    <row r="196" spans="1:19">
      <c r="A196" s="89">
        <v>45775</v>
      </c>
      <c r="B196" s="101" t="str">
        <f>_xlfn.CONCAT(Serviços[[#This Row],[Loja]],Serviços[[#This Row],[Data]])</f>
        <v>MEI45775</v>
      </c>
      <c r="C196" s="101" t="s">
        <v>113</v>
      </c>
      <c r="D196" s="108" t="s">
        <v>995</v>
      </c>
      <c r="E196" s="72">
        <f t="shared" si="26"/>
        <v>9.75</v>
      </c>
      <c r="F196" s="72">
        <v>0</v>
      </c>
      <c r="G196" s="72">
        <v>0</v>
      </c>
      <c r="H196" s="72">
        <v>7.25</v>
      </c>
      <c r="I196" s="72">
        <f>SUM(Serviços[[#This Row],[Valor Inicial]:[Bonus]])-Serviços[[#This Row],[Saldo]]</f>
        <v>2.5</v>
      </c>
      <c r="J196" s="71">
        <f ca="1">COUNTIFS('Banco de Dados'!$F$2:$F$2123,"&lt;&gt;-",'Banco de Dados'!$B$2:$B$2123,Serviços[[#This Row],[Chave]])</f>
        <v>14</v>
      </c>
      <c r="K196" s="72">
        <f ca="1">IFERROR(ROUND(Serviços[[#This Row],[Gasto]]/Serviços[[#This Row],[Pedidos]],2),0)</f>
        <v>0.18</v>
      </c>
      <c r="M196" s="72"/>
    </row>
    <row r="197" spans="1:19">
      <c r="A197" s="89">
        <v>45776</v>
      </c>
      <c r="B197" s="101" t="str">
        <f>_xlfn.CONCAT(Serviços[[#This Row],[Loja]],Serviços[[#This Row],[Data]])</f>
        <v>MEI45776</v>
      </c>
      <c r="C197" s="101" t="s">
        <v>113</v>
      </c>
      <c r="D197" s="108" t="s">
        <v>995</v>
      </c>
      <c r="E197" s="72">
        <f t="shared" ref="E197" si="27">H196</f>
        <v>7.25</v>
      </c>
      <c r="F197" s="72">
        <v>0</v>
      </c>
      <c r="G197" s="72">
        <v>0</v>
      </c>
      <c r="H197" s="72">
        <v>5.95</v>
      </c>
      <c r="I197" s="72">
        <f>SUM(Serviços[[#This Row],[Valor Inicial]:[Bonus]])-Serviços[[#This Row],[Saldo]]</f>
        <v>1.2999999999999998</v>
      </c>
      <c r="J197" s="71">
        <f ca="1">COUNTIFS('Banco de Dados'!$F$2:$F$2123,"&lt;&gt;-",'Banco de Dados'!$B$2:$B$2123,Serviços[[#This Row],[Chave]])</f>
        <v>9</v>
      </c>
      <c r="K197" s="72">
        <f ca="1">IFERROR(ROUND(Serviços[[#This Row],[Gasto]]/Serviços[[#This Row],[Pedidos]],2),0)</f>
        <v>0.14000000000000001</v>
      </c>
      <c r="M197" s="72"/>
    </row>
    <row r="198" spans="1:19">
      <c r="A198" s="89">
        <v>45777</v>
      </c>
      <c r="B198" s="101" t="str">
        <f>_xlfn.CONCAT(Serviços[[#This Row],[Loja]],Serviços[[#This Row],[Data]])</f>
        <v>MEI45777</v>
      </c>
      <c r="C198" s="101" t="s">
        <v>113</v>
      </c>
      <c r="D198" s="108" t="s">
        <v>995</v>
      </c>
      <c r="E198" s="72">
        <f t="shared" ref="E198" si="28">H197</f>
        <v>5.95</v>
      </c>
      <c r="F198" s="72">
        <v>0</v>
      </c>
      <c r="G198" s="72">
        <v>0</v>
      </c>
      <c r="H198" s="72">
        <v>4.75</v>
      </c>
      <c r="I198" s="72">
        <f>SUM(Serviços[[#This Row],[Valor Inicial]:[Bonus]])-Serviços[[#This Row],[Saldo]]</f>
        <v>1.2000000000000002</v>
      </c>
      <c r="J198" s="71">
        <f ca="1">COUNTIFS('Banco de Dados'!$F$2:$F$2123,"&lt;&gt;-",'Banco de Dados'!$B$2:$B$2123,Serviços[[#This Row],[Chave]])</f>
        <v>10</v>
      </c>
      <c r="K198" s="72">
        <f ca="1">IFERROR(ROUND(Serviços[[#This Row],[Gasto]]/Serviços[[#This Row],[Pedidos]],2),0)</f>
        <v>0.12</v>
      </c>
      <c r="M198" s="72"/>
    </row>
    <row r="199" spans="1:19">
      <c r="A199" s="89">
        <v>45779</v>
      </c>
      <c r="B199" s="101" t="str">
        <f>_xlfn.CONCAT(Serviços[[#This Row],[Loja]],Serviços[[#This Row],[Data]])</f>
        <v>MEI45779</v>
      </c>
      <c r="C199" s="101" t="s">
        <v>113</v>
      </c>
      <c r="D199" s="108" t="s">
        <v>995</v>
      </c>
      <c r="E199" s="72">
        <f t="shared" ref="E199" si="29">H198</f>
        <v>4.75</v>
      </c>
      <c r="F199" s="72">
        <v>0</v>
      </c>
      <c r="G199" s="72">
        <v>0</v>
      </c>
      <c r="H199" s="72">
        <v>3.25</v>
      </c>
      <c r="I199" s="72">
        <f>SUM(Serviços[[#This Row],[Valor Inicial]:[Bonus]])-Serviços[[#This Row],[Saldo]]</f>
        <v>1.5</v>
      </c>
      <c r="J199" s="71">
        <f ca="1">COUNTIFS('Banco de Dados'!$F$2:$F$2123,"&lt;&gt;-",'Banco de Dados'!$B$2:$B$2123,Serviços[[#This Row],[Chave]])</f>
        <v>14</v>
      </c>
      <c r="K199" s="72">
        <f ca="1">IFERROR(ROUND(Serviços[[#This Row],[Gasto]]/Serviços[[#This Row],[Pedidos]],2),0)</f>
        <v>0.11</v>
      </c>
      <c r="M199" s="72"/>
      <c r="S199" s="71"/>
    </row>
    <row r="200" spans="1:19">
      <c r="A200" s="89">
        <v>45779</v>
      </c>
      <c r="B200" s="101" t="str">
        <f>_xlfn.CONCAT(Serviços[[#This Row],[Loja]],Serviços[[#This Row],[Data]])</f>
        <v>GO45779</v>
      </c>
      <c r="C200" s="101" t="s">
        <v>108</v>
      </c>
      <c r="D200" s="108" t="s">
        <v>995</v>
      </c>
      <c r="E200" s="72">
        <f t="shared" ref="E200" si="30">H199</f>
        <v>3.25</v>
      </c>
      <c r="F200" s="72">
        <v>0</v>
      </c>
      <c r="G200" s="72">
        <v>0</v>
      </c>
      <c r="H200" s="72">
        <v>3.15</v>
      </c>
      <c r="I200" s="72">
        <f>SUM(Serviços[[#This Row],[Valor Inicial]:[Bonus]])-Serviços[[#This Row],[Saldo]]</f>
        <v>0.10000000000000009</v>
      </c>
      <c r="J200" s="71">
        <f ca="1">COUNTIFS('Banco de Dados'!$F$2:$F$2123,"&lt;&gt;-",'Banco de Dados'!$B$2:$B$2123,Serviços[[#This Row],[Chave]])</f>
        <v>1</v>
      </c>
      <c r="K200" s="72">
        <f ca="1">IFERROR(ROUND(Serviços[[#This Row],[Gasto]]/Serviços[[#This Row],[Pedidos]],2),0)</f>
        <v>0.1</v>
      </c>
      <c r="M200" s="72"/>
    </row>
    <row r="201" spans="1:19">
      <c r="A201" s="89">
        <v>45782</v>
      </c>
      <c r="B201" s="101" t="str">
        <f>_xlfn.CONCAT(Serviços[[#This Row],[Loja]],Serviços[[#This Row],[Data]])</f>
        <v>MEI45782</v>
      </c>
      <c r="C201" s="101" t="s">
        <v>113</v>
      </c>
      <c r="D201" s="108" t="s">
        <v>995</v>
      </c>
      <c r="E201" s="72">
        <f t="shared" ref="E201" si="31">H200</f>
        <v>3.15</v>
      </c>
      <c r="F201" s="72">
        <v>0</v>
      </c>
      <c r="G201" s="72">
        <v>0</v>
      </c>
      <c r="H201" s="72">
        <v>0.65</v>
      </c>
      <c r="I201" s="72">
        <f>SUM(Serviços[[#This Row],[Valor Inicial]:[Bonus]])-Serviços[[#This Row],[Saldo]]</f>
        <v>2.5</v>
      </c>
      <c r="J201" s="71">
        <f ca="1">COUNTIFS('Banco de Dados'!$F$2:$F$2123,"&lt;&gt;-",'Banco de Dados'!$B$2:$B$2123,Serviços[[#This Row],[Chave]])</f>
        <v>11</v>
      </c>
      <c r="K201" s="72">
        <f ca="1">IFERROR(ROUND(Serviços[[#This Row],[Gasto]]/Serviços[[#This Row],[Pedidos]],2),0)</f>
        <v>0.23</v>
      </c>
      <c r="M201" s="72"/>
    </row>
    <row r="202" spans="1:19">
      <c r="A202" s="89">
        <v>45783</v>
      </c>
      <c r="B202" s="101" t="str">
        <f>_xlfn.CONCAT(Serviços[[#This Row],[Loja]],Serviços[[#This Row],[Data]])</f>
        <v>MEI45783</v>
      </c>
      <c r="C202" s="101" t="s">
        <v>113</v>
      </c>
      <c r="D202" s="108" t="s">
        <v>995</v>
      </c>
      <c r="E202" s="72">
        <f t="shared" ref="E202" si="32">H201</f>
        <v>0.65</v>
      </c>
      <c r="F202" s="72">
        <v>10</v>
      </c>
      <c r="G202" s="72">
        <v>1</v>
      </c>
      <c r="H202" s="72">
        <v>10.791578947368421</v>
      </c>
      <c r="I202" s="72">
        <f>SUM(Serviços[[#This Row],[Valor Inicial]:[Bonus]])-Serviços[[#This Row],[Saldo]]</f>
        <v>0.85842105263157897</v>
      </c>
      <c r="J202" s="71">
        <f ca="1">COUNTIFS('Banco de Dados'!$F$2:$F$2123,"&lt;&gt;-",'Banco de Dados'!$B$2:$B$2123,Serviços[[#This Row],[Chave]])</f>
        <v>7</v>
      </c>
      <c r="K202" s="72">
        <f ca="1">IFERROR(ROUND(Serviços[[#This Row],[Gasto]]/Serviços[[#This Row],[Pedidos]],2),0)</f>
        <v>0.12</v>
      </c>
      <c r="M202" s="72"/>
    </row>
    <row r="203" spans="1:19">
      <c r="A203" s="89">
        <v>45784</v>
      </c>
      <c r="B203" s="101" t="str">
        <f>_xlfn.CONCAT(Serviços[[#This Row],[Loja]],Serviços[[#This Row],[Data]])</f>
        <v>MEI45784</v>
      </c>
      <c r="C203" s="101" t="s">
        <v>113</v>
      </c>
      <c r="D203" s="108" t="s">
        <v>995</v>
      </c>
      <c r="E203" s="72">
        <f t="shared" ref="E203" si="33">H202</f>
        <v>10.791578947368421</v>
      </c>
      <c r="F203" s="72">
        <v>0</v>
      </c>
      <c r="G203" s="72">
        <v>0</v>
      </c>
      <c r="H203" s="72">
        <v>9.32</v>
      </c>
      <c r="I203" s="72">
        <f>SUM(Serviços[[#This Row],[Valor Inicial]:[Bonus]])-Serviços[[#This Row],[Saldo]]</f>
        <v>1.4715789473684211</v>
      </c>
      <c r="J203" s="71">
        <f ca="1">COUNTIFS('Banco de Dados'!$F$2:$F$2123,"&lt;&gt;-",'Banco de Dados'!$B$2:$B$2123,Serviços[[#This Row],[Chave]])</f>
        <v>12</v>
      </c>
      <c r="K203" s="72">
        <f ca="1">IFERROR(ROUND(Serviços[[#This Row],[Gasto]]/Serviços[[#This Row],[Pedidos]],2),0)</f>
        <v>0.12</v>
      </c>
      <c r="M203" s="72"/>
    </row>
    <row r="204" spans="1:19">
      <c r="A204" s="89">
        <v>45785</v>
      </c>
      <c r="B204" s="101" t="str">
        <f>_xlfn.CONCAT(Serviços[[#This Row],[Loja]],Serviços[[#This Row],[Data]])</f>
        <v>MEI45785</v>
      </c>
      <c r="C204" s="101" t="s">
        <v>113</v>
      </c>
      <c r="D204" s="108" t="s">
        <v>995</v>
      </c>
      <c r="E204" s="72">
        <f t="shared" ref="E204" si="34">H203</f>
        <v>9.32</v>
      </c>
      <c r="F204" s="72">
        <v>0</v>
      </c>
      <c r="G204" s="72">
        <v>0</v>
      </c>
      <c r="H204" s="72">
        <v>8.0500000000000007</v>
      </c>
      <c r="I204" s="72">
        <f>SUM(Serviços[[#This Row],[Valor Inicial]:[Bonus]])-Serviços[[#This Row],[Saldo]]</f>
        <v>1.2699999999999996</v>
      </c>
      <c r="J204" s="71">
        <f ca="1">COUNTIFS('Banco de Dados'!$F$2:$F$2123,"&lt;&gt;-",'Banco de Dados'!$B$2:$B$2123,Serviços[[#This Row],[Chave]])</f>
        <v>9</v>
      </c>
      <c r="K204" s="72">
        <f ca="1">IFERROR(ROUND(Serviços[[#This Row],[Gasto]]/Serviços[[#This Row],[Pedidos]],2),0)</f>
        <v>0.14000000000000001</v>
      </c>
      <c r="M204" s="72"/>
    </row>
    <row r="205" spans="1:19">
      <c r="A205" s="89">
        <v>45789</v>
      </c>
      <c r="B205" s="101" t="str">
        <f>_xlfn.CONCAT(Serviços[[#This Row],[Loja]],Serviços[[#This Row],[Data]])</f>
        <v>MEI45789</v>
      </c>
      <c r="C205" s="101" t="s">
        <v>113</v>
      </c>
      <c r="D205" s="108" t="s">
        <v>995</v>
      </c>
      <c r="E205" s="72">
        <f t="shared" ref="E205:E206" si="35">H204</f>
        <v>8.0500000000000007</v>
      </c>
      <c r="F205" s="72">
        <v>0</v>
      </c>
      <c r="G205" s="72">
        <v>0</v>
      </c>
      <c r="H205" s="72">
        <v>6.85</v>
      </c>
      <c r="I205" s="72">
        <f>SUM(Serviços[[#This Row],[Valor Inicial]:[Bonus]])-Serviços[[#This Row],[Saldo]]</f>
        <v>1.2000000000000011</v>
      </c>
      <c r="J205" s="71">
        <f ca="1">COUNTIFS('Banco de Dados'!$F$2:$F$2123,"&lt;&gt;-",'Banco de Dados'!$B$2:$B$2123,Serviços[[#This Row],[Chave]])</f>
        <v>1</v>
      </c>
      <c r="K205" s="72">
        <f ca="1">IFERROR(ROUND(Serviços[[#This Row],[Gasto]]/Serviços[[#This Row],[Pedidos]],2),0)</f>
        <v>1.2</v>
      </c>
      <c r="M205" s="72"/>
    </row>
    <row r="206" spans="1:19">
      <c r="A206" s="89">
        <v>45790</v>
      </c>
      <c r="B206" s="101" t="str">
        <f>_xlfn.CONCAT(Serviços[[#This Row],[Loja]],Serviços[[#This Row],[Data]])</f>
        <v>MEI45790</v>
      </c>
      <c r="C206" s="101" t="s">
        <v>113</v>
      </c>
      <c r="D206" s="108" t="s">
        <v>995</v>
      </c>
      <c r="E206" s="72">
        <f t="shared" si="35"/>
        <v>6.85</v>
      </c>
      <c r="F206" s="72">
        <v>0</v>
      </c>
      <c r="G206" s="72">
        <v>0</v>
      </c>
      <c r="H206" s="72">
        <v>5.95</v>
      </c>
      <c r="I206" s="72">
        <f>SUM(Serviços[[#This Row],[Valor Inicial]:[Bonus]])-Serviços[[#This Row],[Saldo]]</f>
        <v>0.89999999999999947</v>
      </c>
      <c r="J206" s="71">
        <f ca="1">COUNTIFS('Banco de Dados'!$F$2:$F$2123,"&lt;&gt;-",'Banco de Dados'!$B$2:$B$2123,Serviços[[#This Row],[Chave]])</f>
        <v>2</v>
      </c>
      <c r="K206" s="72">
        <f ca="1">IFERROR(ROUND(Serviços[[#This Row],[Gasto]]/Serviços[[#This Row],[Pedidos]],2),0)</f>
        <v>0.45</v>
      </c>
      <c r="M206" s="72"/>
    </row>
    <row r="207" spans="1:19">
      <c r="A207" s="89">
        <v>45791</v>
      </c>
      <c r="B207" s="101" t="str">
        <f>_xlfn.CONCAT(Serviços[[#This Row],[Loja]],Serviços[[#This Row],[Data]])</f>
        <v>MEI45791</v>
      </c>
      <c r="C207" s="101" t="s">
        <v>113</v>
      </c>
      <c r="D207" s="108" t="s">
        <v>995</v>
      </c>
      <c r="E207" s="72">
        <f t="shared" ref="E207:E208" si="36">H206</f>
        <v>5.95</v>
      </c>
      <c r="F207" s="72">
        <v>0</v>
      </c>
      <c r="G207" s="72">
        <v>0</v>
      </c>
      <c r="H207" s="72">
        <v>3.4</v>
      </c>
      <c r="I207" s="72">
        <f>SUM(Serviços[[#This Row],[Valor Inicial]:[Bonus]])-Serviços[[#This Row],[Saldo]]</f>
        <v>2.5500000000000003</v>
      </c>
      <c r="J207" s="71">
        <f ca="1">COUNTIFS('Banco de Dados'!$F$2:$F$2123,"&lt;&gt;-",'Banco de Dados'!$B$2:$B$2123,Serviços[[#This Row],[Chave]])</f>
        <v>4</v>
      </c>
      <c r="K207" s="72">
        <f ca="1">IFERROR(ROUND(Serviços[[#This Row],[Gasto]]/Serviços[[#This Row],[Pedidos]],2),0)</f>
        <v>0.64</v>
      </c>
      <c r="M207" s="72"/>
    </row>
    <row r="208" spans="1:19">
      <c r="A208" s="89">
        <v>45791</v>
      </c>
      <c r="B208" s="101" t="str">
        <f>_xlfn.CONCAT(Serviços[[#This Row],[Loja]],Serviços[[#This Row],[Data]])</f>
        <v>GO45791</v>
      </c>
      <c r="C208" s="101" t="s">
        <v>108</v>
      </c>
      <c r="D208" s="108" t="s">
        <v>995</v>
      </c>
      <c r="E208" s="72">
        <f t="shared" si="36"/>
        <v>3.4</v>
      </c>
      <c r="F208" s="72">
        <v>0</v>
      </c>
      <c r="G208" s="72">
        <v>0</v>
      </c>
      <c r="H208" s="72">
        <v>3.4</v>
      </c>
      <c r="I208" s="72">
        <f>SUM(Serviços[[#This Row],[Valor Inicial]:[Bonus]])-Serviços[[#This Row],[Saldo]]</f>
        <v>0</v>
      </c>
      <c r="J208" s="71">
        <f ca="1">COUNTIFS('Banco de Dados'!$F$2:$F$2123,"&lt;&gt;-",'Banco de Dados'!$B$2:$B$2123,Serviços[[#This Row],[Chave]])</f>
        <v>0</v>
      </c>
      <c r="K208" s="72">
        <f ca="1">IFERROR(ROUND(Serviços[[#This Row],[Gasto]]/Serviços[[#This Row],[Pedidos]],2),0)</f>
        <v>0</v>
      </c>
      <c r="M208" s="72"/>
    </row>
    <row r="209" spans="1:13">
      <c r="A209" s="89">
        <v>45792</v>
      </c>
      <c r="B209" s="101" t="str">
        <f>_xlfn.CONCAT(Serviços[[#This Row],[Loja]],Serviços[[#This Row],[Data]])</f>
        <v>MEI45792</v>
      </c>
      <c r="C209" s="101" t="s">
        <v>113</v>
      </c>
      <c r="D209" s="108" t="s">
        <v>995</v>
      </c>
      <c r="E209" s="72">
        <f t="shared" ref="E209" si="37">H208</f>
        <v>3.4</v>
      </c>
      <c r="F209" s="72">
        <v>10</v>
      </c>
      <c r="G209" s="72">
        <v>1</v>
      </c>
      <c r="H209" s="72">
        <v>10.3</v>
      </c>
      <c r="I209" s="72">
        <f>SUM(Serviços[[#This Row],[Valor Inicial]:[Bonus]])-Serviços[[#This Row],[Saldo]]</f>
        <v>4.0999999999999996</v>
      </c>
      <c r="J209" s="71">
        <f ca="1">COUNTIFS('Banco de Dados'!$F$2:$F$2123,"&lt;&gt;-",'Banco de Dados'!$B$2:$B$2123,Serviços[[#This Row],[Chave]])</f>
        <v>1</v>
      </c>
      <c r="K209" s="72">
        <f ca="1">IFERROR(ROUND(Serviços[[#This Row],[Gasto]]/Serviços[[#This Row],[Pedidos]],2),0)</f>
        <v>4.0999999999999996</v>
      </c>
      <c r="M209" s="72">
        <f ca="1">SUMIF(Serviços[Pedidos],0,Serviços[Gasto])</f>
        <v>0</v>
      </c>
    </row>
    <row r="210" spans="1:13">
      <c r="A210" s="89">
        <v>45793</v>
      </c>
      <c r="B210" s="101" t="str">
        <f>_xlfn.CONCAT(Serviços[[#This Row],[Loja]],Serviços[[#This Row],[Data]])</f>
        <v>MEI45793</v>
      </c>
      <c r="C210" s="101" t="s">
        <v>113</v>
      </c>
      <c r="D210" s="108" t="s">
        <v>995</v>
      </c>
      <c r="E210" s="72">
        <f t="shared" ref="E210:E211" si="38">H209</f>
        <v>10.3</v>
      </c>
      <c r="F210" s="72">
        <v>0</v>
      </c>
      <c r="G210" s="72">
        <v>0</v>
      </c>
      <c r="H210" s="72">
        <v>9.9</v>
      </c>
      <c r="I210" s="72">
        <f>SUM(Serviços[[#This Row],[Valor Inicial]:[Bonus]])-Serviços[[#This Row],[Saldo]]</f>
        <v>0.40000000000000036</v>
      </c>
      <c r="J210" s="71">
        <f ca="1">COUNTIFS('Banco de Dados'!$F$2:$F$2123,"&lt;&gt;-",'Banco de Dados'!$B$2:$B$2123,Serviços[[#This Row],[Chave]])</f>
        <v>2</v>
      </c>
      <c r="K210" s="72">
        <f ca="1">IFERROR(ROUND(Serviços[[#This Row],[Gasto]]/Serviços[[#This Row],[Pedidos]],2),0)</f>
        <v>0.2</v>
      </c>
      <c r="M210" s="72"/>
    </row>
    <row r="211" spans="1:13">
      <c r="A211" s="89">
        <v>45794</v>
      </c>
      <c r="B211" s="101" t="str">
        <f>_xlfn.CONCAT(Serviços[[#This Row],[Loja]],Serviços[[#This Row],[Data]])</f>
        <v>MEI45794</v>
      </c>
      <c r="C211" s="101" t="s">
        <v>113</v>
      </c>
      <c r="D211" s="108" t="s">
        <v>995</v>
      </c>
      <c r="E211" s="72">
        <f t="shared" si="38"/>
        <v>9.9</v>
      </c>
      <c r="F211" s="72">
        <v>0</v>
      </c>
      <c r="G211" s="72">
        <v>0</v>
      </c>
      <c r="H211" s="72">
        <v>9.6</v>
      </c>
      <c r="I211" s="72">
        <f>SUM(Serviços[[#This Row],[Valor Inicial]:[Bonus]])-Serviços[[#This Row],[Saldo]]</f>
        <v>0.30000000000000071</v>
      </c>
      <c r="J211" s="71">
        <f ca="1">COUNTIFS('Banco de Dados'!$F$2:$F$2123,"&lt;&gt;-",'Banco de Dados'!$B$2:$B$2123,Serviços[[#This Row],[Chave]])</f>
        <v>1</v>
      </c>
      <c r="K211" s="72">
        <f ca="1">IFERROR(ROUND(Serviços[[#This Row],[Gasto]]/Serviços[[#This Row],[Pedidos]],2),0)</f>
        <v>0.3</v>
      </c>
      <c r="M211" s="72"/>
    </row>
    <row r="212" spans="1:13">
      <c r="A212" s="89">
        <v>45796</v>
      </c>
      <c r="B212" s="101" t="str">
        <f>_xlfn.CONCAT(Serviços[[#This Row],[Loja]],Serviços[[#This Row],[Data]])</f>
        <v>MEI45796</v>
      </c>
      <c r="C212" s="101" t="s">
        <v>113</v>
      </c>
      <c r="D212" s="108" t="s">
        <v>995</v>
      </c>
      <c r="E212" s="72">
        <f t="shared" ref="E212" si="39">H211</f>
        <v>9.6</v>
      </c>
      <c r="F212" s="72">
        <v>0</v>
      </c>
      <c r="G212" s="72">
        <v>0</v>
      </c>
      <c r="H212" s="72">
        <v>8.1</v>
      </c>
      <c r="I212" s="72">
        <f>SUM(Serviços[[#This Row],[Valor Inicial]:[Bonus]])-Serviços[[#This Row],[Saldo]]</f>
        <v>1.5</v>
      </c>
      <c r="J212" s="71">
        <f ca="1">COUNTIFS('Banco de Dados'!$F$2:$F$2123,"&lt;&gt;-",'Banco de Dados'!$B$2:$B$2123,Serviços[[#This Row],[Chave]])</f>
        <v>2</v>
      </c>
      <c r="K212" s="72">
        <f ca="1">IFERROR(ROUND(Serviços[[#This Row],[Gasto]]/Serviços[[#This Row],[Pedidos]],2),0)</f>
        <v>0.75</v>
      </c>
      <c r="M212" s="72"/>
    </row>
    <row r="213" spans="1:13">
      <c r="A213" s="89">
        <v>45797</v>
      </c>
      <c r="B213" s="101" t="str">
        <f>_xlfn.CONCAT(Serviços[[#This Row],[Loja]],Serviços[[#This Row],[Data]])</f>
        <v>MEI45797</v>
      </c>
      <c r="C213" s="101" t="s">
        <v>113</v>
      </c>
      <c r="D213" s="108" t="s">
        <v>995</v>
      </c>
      <c r="E213" s="72">
        <f t="shared" ref="E213" si="40">H212</f>
        <v>8.1</v>
      </c>
      <c r="F213" s="72">
        <v>0</v>
      </c>
      <c r="G213" s="72">
        <v>0</v>
      </c>
      <c r="H213" s="72">
        <f>7.32-1.02</f>
        <v>6.3000000000000007</v>
      </c>
      <c r="I213" s="72">
        <f>SUM(Serviços[[#This Row],[Valor Inicial]:[Bonus]])-Serviços[[#This Row],[Saldo]]</f>
        <v>1.7999999999999989</v>
      </c>
      <c r="J213" s="71">
        <f ca="1">COUNTIFS('Banco de Dados'!$F$2:$F$2123,"&lt;&gt;-",'Banco de Dados'!$B$2:$B$2123,Serviços[[#This Row],[Chave]])</f>
        <v>2</v>
      </c>
      <c r="K213" s="72">
        <f ca="1">IFERROR(ROUND(Serviços[[#This Row],[Gasto]]/Serviços[[#This Row],[Pedidos]],2),0)</f>
        <v>0.9</v>
      </c>
      <c r="M213" s="72"/>
    </row>
    <row r="214" spans="1:13">
      <c r="A214" s="89">
        <v>45798</v>
      </c>
      <c r="B214" s="101" t="str">
        <f>_xlfn.CONCAT(Serviços[[#This Row],[Loja]],Serviços[[#This Row],[Data]])</f>
        <v>MEI45798</v>
      </c>
      <c r="C214" s="101" t="s">
        <v>113</v>
      </c>
      <c r="D214" s="108" t="s">
        <v>995</v>
      </c>
      <c r="E214" s="72">
        <f t="shared" ref="E214" si="41">H213</f>
        <v>6.3000000000000007</v>
      </c>
      <c r="F214" s="72">
        <v>0</v>
      </c>
      <c r="G214" s="72">
        <v>0</v>
      </c>
      <c r="H214" s="72">
        <v>6.3</v>
      </c>
      <c r="I214" s="72">
        <f>SUM(Serviços[[#This Row],[Valor Inicial]:[Bonus]])-Serviços[[#This Row],[Saldo]]</f>
        <v>0</v>
      </c>
      <c r="J214" s="71">
        <f ca="1">COUNTIFS('Banco de Dados'!$F$2:$F$2123,"&lt;&gt;-",'Banco de Dados'!$B$2:$B$2123,Serviços[[#This Row],[Chave]])</f>
        <v>0</v>
      </c>
      <c r="K214" s="72">
        <f ca="1">IFERROR(ROUND(Serviços[[#This Row],[Gasto]]/Serviços[[#This Row],[Pedidos]],2),0)</f>
        <v>0</v>
      </c>
      <c r="M214" s="72"/>
    </row>
    <row r="215" spans="1:13">
      <c r="A215" s="89">
        <v>45803</v>
      </c>
      <c r="B215" s="101" t="str">
        <f>_xlfn.CONCAT(Serviços[[#This Row],[Loja]],Serviços[[#This Row],[Data]])</f>
        <v>MEI45803</v>
      </c>
      <c r="C215" s="101" t="s">
        <v>113</v>
      </c>
      <c r="D215" s="108" t="s">
        <v>995</v>
      </c>
      <c r="E215" s="72">
        <f t="shared" ref="E215" si="42">H214</f>
        <v>6.3</v>
      </c>
      <c r="F215" s="72">
        <v>0</v>
      </c>
      <c r="G215" s="72">
        <v>0</v>
      </c>
      <c r="H215" s="72">
        <v>6.3</v>
      </c>
      <c r="I215" s="72">
        <f>SUM(Serviços[[#This Row],[Valor Inicial]:[Bonus]])-Serviços[[#This Row],[Saldo]]</f>
        <v>0</v>
      </c>
      <c r="J215" s="71">
        <f ca="1">COUNTIFS('Banco de Dados'!$F$2:$F$2123,"&lt;&gt;-",'Banco de Dados'!$B$2:$B$2123,Serviços[[#This Row],[Chave]])</f>
        <v>8</v>
      </c>
      <c r="K215" s="72">
        <f ca="1">IFERROR(ROUND(Serviços[[#This Row],[Gasto]]/Serviços[[#This Row],[Pedidos]],2),0)</f>
        <v>0</v>
      </c>
      <c r="M215" s="72"/>
    </row>
    <row r="216" spans="1:13">
      <c r="A216" s="89">
        <v>45806</v>
      </c>
      <c r="B216" s="101" t="str">
        <f>_xlfn.CONCAT(Serviços[[#This Row],[Loja]],Serviços[[#This Row],[Data]])</f>
        <v>MEI45806</v>
      </c>
      <c r="C216" s="101" t="s">
        <v>113</v>
      </c>
      <c r="D216" s="108" t="s">
        <v>995</v>
      </c>
      <c r="E216" s="72">
        <f t="shared" ref="E216" si="43">H215</f>
        <v>6.3</v>
      </c>
      <c r="F216" s="72">
        <v>0</v>
      </c>
      <c r="G216" s="72">
        <v>0</v>
      </c>
      <c r="H216" s="72">
        <v>6.3</v>
      </c>
      <c r="I216" s="72">
        <f>SUM(Serviços[[#This Row],[Valor Inicial]:[Bonus]])-Serviços[[#This Row],[Saldo]]</f>
        <v>0</v>
      </c>
      <c r="J216" s="71">
        <f ca="1">COUNTIFS('Banco de Dados'!$F$2:$F$2123,"&lt;&gt;-",'Banco de Dados'!$B$2:$B$2123,Serviços[[#This Row],[Chave]])</f>
        <v>6</v>
      </c>
      <c r="K216" s="72">
        <f ca="1">IFERROR(ROUND(Serviços[[#This Row],[Gasto]]/Serviços[[#This Row],[Pedidos]],2),0)</f>
        <v>0</v>
      </c>
      <c r="M216" s="72"/>
    </row>
    <row r="217" spans="1:13">
      <c r="A217" s="89">
        <v>45806</v>
      </c>
      <c r="B217" s="101" t="str">
        <f>_xlfn.CONCAT(Serviços[[#This Row],[Loja]],Serviços[[#This Row],[Data]])</f>
        <v>GO45806</v>
      </c>
      <c r="C217" s="101" t="s">
        <v>108</v>
      </c>
      <c r="D217" s="108" t="s">
        <v>995</v>
      </c>
      <c r="E217" s="72">
        <f t="shared" ref="E217" si="44">H216</f>
        <v>6.3</v>
      </c>
      <c r="F217" s="72">
        <v>0</v>
      </c>
      <c r="G217" s="72">
        <v>0</v>
      </c>
      <c r="H217" s="72">
        <v>6.3</v>
      </c>
      <c r="I217" s="72">
        <f>SUM(Serviços[[#This Row],[Valor Inicial]:[Bonus]])-Serviços[[#This Row],[Saldo]]</f>
        <v>0</v>
      </c>
      <c r="J217" s="71">
        <f ca="1">COUNTIFS('Banco de Dados'!$F$2:$F$2123,"&lt;&gt;-",'Banco de Dados'!$B$2:$B$2123,Serviços[[#This Row],[Chave]])</f>
        <v>3</v>
      </c>
      <c r="K217" s="72">
        <f ca="1">IFERROR(ROUND(Serviços[[#This Row],[Gasto]]/Serviços[[#This Row],[Pedidos]],2),0)</f>
        <v>0</v>
      </c>
      <c r="M217" s="72"/>
    </row>
    <row r="218" spans="1:13">
      <c r="A218" s="89">
        <v>45807</v>
      </c>
      <c r="B218" s="101" t="str">
        <f>_xlfn.CONCAT(Serviços[[#This Row],[Loja]],Serviços[[#This Row],[Data]])</f>
        <v>MEI45807</v>
      </c>
      <c r="C218" s="101" t="s">
        <v>113</v>
      </c>
      <c r="D218" s="108" t="s">
        <v>995</v>
      </c>
      <c r="E218" s="72">
        <f t="shared" ref="E218" si="45">H217</f>
        <v>6.3</v>
      </c>
      <c r="F218" s="72">
        <v>0</v>
      </c>
      <c r="G218" s="72">
        <v>0</v>
      </c>
      <c r="H218" s="72">
        <v>6.3</v>
      </c>
      <c r="I218" s="72">
        <f>SUM(Serviços[[#This Row],[Valor Inicial]:[Bonus]])-Serviços[[#This Row],[Saldo]]</f>
        <v>0</v>
      </c>
      <c r="J218" s="71">
        <f ca="1">COUNTIFS('Banco de Dados'!$F$2:$F$2123,"&lt;&gt;-",'Banco de Dados'!$B$2:$B$2123,Serviços[[#This Row],[Chave]])</f>
        <v>5</v>
      </c>
      <c r="K218" s="72">
        <f ca="1">IFERROR(ROUND(Serviços[[#This Row],[Gasto]]/Serviços[[#This Row],[Pedidos]],2),0)</f>
        <v>0</v>
      </c>
      <c r="M218" s="72"/>
    </row>
    <row r="219" spans="1:13">
      <c r="A219" s="89">
        <v>45810</v>
      </c>
      <c r="B219" s="101" t="str">
        <f>_xlfn.CONCAT(Serviços[[#This Row],[Loja]],Serviços[[#This Row],[Data]])</f>
        <v>GO45810</v>
      </c>
      <c r="C219" s="101" t="s">
        <v>108</v>
      </c>
      <c r="D219" s="108" t="s">
        <v>995</v>
      </c>
      <c r="E219" s="72">
        <f t="shared" ref="E219" si="46">H218</f>
        <v>6.3</v>
      </c>
      <c r="F219" s="72">
        <v>0</v>
      </c>
      <c r="G219" s="72">
        <v>0</v>
      </c>
      <c r="H219" s="72">
        <v>6.3</v>
      </c>
      <c r="I219" s="72">
        <f>SUM(Serviços[[#This Row],[Valor Inicial]:[Bonus]])-Serviços[[#This Row],[Saldo]]</f>
        <v>0</v>
      </c>
      <c r="J219" s="71">
        <f ca="1">COUNTIFS('Banco de Dados'!$F$2:$F$2123,"&lt;&gt;-",'Banco de Dados'!$B$2:$B$2123,Serviços[[#This Row],[Chave]])</f>
        <v>1</v>
      </c>
      <c r="K219" s="72">
        <f ca="1">IFERROR(ROUND(Serviços[[#This Row],[Gasto]]/Serviços[[#This Row],[Pedidos]],2),0)</f>
        <v>0</v>
      </c>
      <c r="M219" s="72"/>
    </row>
    <row r="220" spans="1:13">
      <c r="A220" s="89">
        <v>45811</v>
      </c>
      <c r="B220" s="101" t="str">
        <f>_xlfn.CONCAT(Serviços[[#This Row],[Loja]],Serviços[[#This Row],[Data]])</f>
        <v>BV45811</v>
      </c>
      <c r="C220" s="101" t="s">
        <v>36</v>
      </c>
      <c r="D220" s="108" t="s">
        <v>995</v>
      </c>
      <c r="E220" s="72">
        <f t="shared" ref="E220:E221" si="47">H219</f>
        <v>6.3</v>
      </c>
      <c r="F220" s="72">
        <v>0</v>
      </c>
      <c r="G220" s="72">
        <v>0</v>
      </c>
      <c r="H220" s="72">
        <v>6.3</v>
      </c>
      <c r="I220" s="72">
        <f>SUM(Serviços[[#This Row],[Valor Inicial]:[Bonus]])-Serviços[[#This Row],[Saldo]]</f>
        <v>0</v>
      </c>
      <c r="J220" s="71">
        <f ca="1">COUNTIFS('Banco de Dados'!$F$2:$F$2123,"&lt;&gt;-",'Banco de Dados'!$B$2:$B$2123,Serviços[[#This Row],[Chave]])</f>
        <v>2</v>
      </c>
      <c r="K220" s="72">
        <f ca="1">IFERROR(ROUND(Serviços[[#This Row],[Gasto]]/Serviços[[#This Row],[Pedidos]],2),0)</f>
        <v>0</v>
      </c>
      <c r="M220" s="72"/>
    </row>
    <row r="221" spans="1:13">
      <c r="A221" s="89">
        <v>45812</v>
      </c>
      <c r="B221" s="101" t="str">
        <f>_xlfn.CONCAT(Serviços[[#This Row],[Loja]],Serviços[[#This Row],[Data]])</f>
        <v>BV45812</v>
      </c>
      <c r="C221" s="101" t="s">
        <v>36</v>
      </c>
      <c r="D221" s="108" t="s">
        <v>995</v>
      </c>
      <c r="E221" s="72">
        <f t="shared" si="47"/>
        <v>6.3</v>
      </c>
      <c r="F221" s="72">
        <v>0</v>
      </c>
      <c r="G221" s="72">
        <v>0</v>
      </c>
      <c r="H221" s="72">
        <v>6.3</v>
      </c>
      <c r="I221" s="72">
        <f>SUM(Serviços[[#This Row],[Valor Inicial]:[Bonus]])-Serviços[[#This Row],[Saldo]]</f>
        <v>0</v>
      </c>
      <c r="J221" s="71">
        <f ca="1">COUNTIFS('Banco de Dados'!$F$2:$F$2123,"&lt;&gt;-",'Banco de Dados'!$B$2:$B$2123,Serviços[[#This Row],[Chave]])</f>
        <v>1</v>
      </c>
      <c r="K221" s="72">
        <f ca="1">IFERROR(ROUND(Serviços[[#This Row],[Gasto]]/Serviços[[#This Row],[Pedidos]],2),0)</f>
        <v>0</v>
      </c>
      <c r="M221" s="72"/>
    </row>
    <row r="222" spans="1:13">
      <c r="A222" s="89">
        <v>45813</v>
      </c>
      <c r="B222" s="101" t="str">
        <f>_xlfn.CONCAT(Serviços[[#This Row],[Loja]],Serviços[[#This Row],[Data]])</f>
        <v>GO45813</v>
      </c>
      <c r="C222" s="101" t="s">
        <v>108</v>
      </c>
      <c r="D222" s="108" t="s">
        <v>995</v>
      </c>
      <c r="E222" s="72">
        <f t="shared" ref="E222" si="48">H219</f>
        <v>6.3</v>
      </c>
      <c r="F222" s="72">
        <v>0</v>
      </c>
      <c r="G222" s="72">
        <v>0</v>
      </c>
      <c r="H222" s="72">
        <v>6.3</v>
      </c>
      <c r="I222" s="72">
        <f>SUM(Serviços[[#This Row],[Valor Inicial]:[Bonus]])-Serviços[[#This Row],[Saldo]]</f>
        <v>0</v>
      </c>
      <c r="J222" s="71">
        <f ca="1">COUNTIFS('Banco de Dados'!$F$2:$F$2123,"&lt;&gt;-",'Banco de Dados'!$B$2:$B$2123,Serviços[[#This Row],[Chave]])</f>
        <v>1</v>
      </c>
      <c r="K222" s="72">
        <f ca="1">IFERROR(ROUND(Serviços[[#This Row],[Gasto]]/Serviços[[#This Row],[Pedidos]],2),0)</f>
        <v>0</v>
      </c>
      <c r="M222" s="72"/>
    </row>
    <row r="223" spans="1:13">
      <c r="A223" s="89">
        <v>45813</v>
      </c>
      <c r="B223" s="101" t="str">
        <f>_xlfn.CONCAT(Serviços[[#This Row],[Loja]],Serviços[[#This Row],[Data]])</f>
        <v>BV45813</v>
      </c>
      <c r="C223" s="101" t="s">
        <v>36</v>
      </c>
      <c r="D223" s="108" t="s">
        <v>995</v>
      </c>
      <c r="E223" s="72">
        <f t="shared" ref="E223" si="49">H222</f>
        <v>6.3</v>
      </c>
      <c r="F223" s="72">
        <v>0</v>
      </c>
      <c r="G223" s="72">
        <v>0</v>
      </c>
      <c r="H223" s="72">
        <v>6.15</v>
      </c>
      <c r="I223" s="72">
        <f>SUM(Serviços[[#This Row],[Valor Inicial]:[Bonus]])-Serviços[[#This Row],[Saldo]]</f>
        <v>0.14999999999999947</v>
      </c>
      <c r="J223" s="71">
        <f ca="1">COUNTIFS('Banco de Dados'!$F$2:$F$2123,"&lt;&gt;-",'Banco de Dados'!$B$2:$B$2123,Serviços[[#This Row],[Chave]])</f>
        <v>2</v>
      </c>
      <c r="K223" s="72">
        <f ca="1">IFERROR(ROUND(Serviços[[#This Row],[Gasto]]/Serviços[[#This Row],[Pedidos]],2),0)</f>
        <v>7.0000000000000007E-2</v>
      </c>
      <c r="M223" s="72"/>
    </row>
    <row r="224" spans="1:13">
      <c r="A224" s="89">
        <v>45817</v>
      </c>
      <c r="B224" s="101" t="str">
        <f>_xlfn.CONCAT(Serviços[[#This Row],[Loja]],Serviços[[#This Row],[Data]])</f>
        <v>BV45817</v>
      </c>
      <c r="C224" s="101" t="s">
        <v>36</v>
      </c>
      <c r="D224" s="71" t="s">
        <v>999</v>
      </c>
      <c r="E224" s="72">
        <f>0.4*5</f>
        <v>2</v>
      </c>
      <c r="F224" s="72">
        <v>8</v>
      </c>
      <c r="G224" s="72">
        <v>0</v>
      </c>
      <c r="H224" s="72" t="e">
        <f>SUM(Serviços[[#This Row],[Valor Inicial]:[Bonus]])-Serviços[[#This Row],[Gasto]]</f>
        <v>#REF!</v>
      </c>
      <c r="I224" s="72" t="e">
        <f>COUNTIF(#REF!,Serviços[[#This Row],[Data]])*0.4</f>
        <v>#REF!</v>
      </c>
      <c r="J224" s="71">
        <f ca="1">COUNTIFS('Banco de Dados'!$F$2:$F$2123,"&lt;&gt;-",'Banco de Dados'!$B$2:$B$2123,Serviços[[#This Row],[Chave]])</f>
        <v>3</v>
      </c>
      <c r="K224" s="72">
        <f ca="1">IFERROR(ROUND(Serviços[[#This Row],[Gasto]]/Serviços[[#This Row],[Pedidos]],2),0)</f>
        <v>0</v>
      </c>
      <c r="M224" s="72"/>
    </row>
    <row r="225" spans="1:13">
      <c r="A225" s="89">
        <v>45818</v>
      </c>
      <c r="B225" s="101" t="str">
        <f>_xlfn.CONCAT(Serviços[[#This Row],[Loja]],Serviços[[#This Row],[Data]])</f>
        <v>BV45818</v>
      </c>
      <c r="C225" s="101" t="s">
        <v>36</v>
      </c>
      <c r="D225" s="71" t="s">
        <v>999</v>
      </c>
      <c r="E225" s="72" t="e">
        <f>H224</f>
        <v>#REF!</v>
      </c>
      <c r="F225" s="72">
        <v>0</v>
      </c>
      <c r="G225" s="72">
        <v>0</v>
      </c>
      <c r="H225" s="72" t="e">
        <f>SUM(Serviços[[#This Row],[Valor Inicial]:[Bonus]])-Serviços[[#This Row],[Gasto]]</f>
        <v>#REF!</v>
      </c>
      <c r="I225" s="72" t="e">
        <f>COUNTIF(#REF!,Serviços[[#This Row],[Data]])*0.4</f>
        <v>#REF!</v>
      </c>
      <c r="J225" s="71">
        <f ca="1">COUNTIFS('Banco de Dados'!$F$2:$F$2123,"&lt;&gt;-",'Banco de Dados'!$B$2:$B$2123,Serviços[[#This Row],[Chave]])</f>
        <v>1</v>
      </c>
      <c r="K225" s="72">
        <f ca="1">IFERROR(ROUND(Serviços[[#This Row],[Gasto]]/Serviços[[#This Row],[Pedidos]],2),0)</f>
        <v>0</v>
      </c>
      <c r="M225" s="72"/>
    </row>
    <row r="226" spans="1:13">
      <c r="A226" s="89">
        <v>45819</v>
      </c>
      <c r="B226" s="101" t="str">
        <f>_xlfn.CONCAT(Serviços[[#This Row],[Loja]],Serviços[[#This Row],[Data]])</f>
        <v>BV45819</v>
      </c>
      <c r="C226" s="101" t="s">
        <v>36</v>
      </c>
      <c r="D226" s="71" t="s">
        <v>999</v>
      </c>
      <c r="E226" s="72" t="e">
        <f>H225</f>
        <v>#REF!</v>
      </c>
      <c r="F226" s="72">
        <v>0</v>
      </c>
      <c r="G226" s="72">
        <v>0</v>
      </c>
      <c r="H226" s="72" t="e">
        <f>SUM(Serviços[[#This Row],[Valor Inicial]:[Bonus]])-Serviços[[#This Row],[Gasto]]</f>
        <v>#REF!</v>
      </c>
      <c r="I226" s="72" t="e">
        <f>COUNTIF(#REF!,Serviços[[#This Row],[Data]])*0.4</f>
        <v>#REF!</v>
      </c>
      <c r="J226" s="71">
        <f ca="1">COUNTIFS('Banco de Dados'!$F$2:$F$2123,"&lt;&gt;-",'Banco de Dados'!$B$2:$B$2123,Serviços[[#This Row],[Chave]])</f>
        <v>4</v>
      </c>
      <c r="K226" s="72">
        <f ca="1">IFERROR(ROUND(Serviços[[#This Row],[Gasto]]/Serviços[[#This Row],[Pedidos]],2),0)</f>
        <v>0</v>
      </c>
      <c r="M226" s="72"/>
    </row>
    <row r="227" spans="1:13">
      <c r="A227" s="89">
        <v>45821</v>
      </c>
      <c r="B227" s="101" t="str">
        <f>_xlfn.CONCAT(Serviços[[#This Row],[Loja]],Serviços[[#This Row],[Data]])</f>
        <v>BV45821</v>
      </c>
      <c r="C227" s="89" t="s">
        <v>36</v>
      </c>
      <c r="D227" s="71" t="s">
        <v>999</v>
      </c>
      <c r="E227" s="72" t="e">
        <f>H226</f>
        <v>#REF!</v>
      </c>
      <c r="F227" s="72">
        <v>0</v>
      </c>
      <c r="G227" s="72">
        <v>0</v>
      </c>
      <c r="H227" s="72" t="e">
        <f>SUM(Serviços[[#This Row],[Valor Inicial]:[Bonus]])-Serviços[[#This Row],[Gasto]]</f>
        <v>#REF!</v>
      </c>
      <c r="I227" s="72" t="e">
        <f>COUNTIF(#REF!,Serviços[[#This Row],[Data]])*0.4</f>
        <v>#REF!</v>
      </c>
      <c r="J227" s="71">
        <f ca="1">COUNTIFS('Banco de Dados'!$F$2:$F$2123,"&lt;&gt;-",'Banco de Dados'!$B$2:$B$2123,Serviços[[#This Row],[Chave]])</f>
        <v>1</v>
      </c>
      <c r="K227" s="72">
        <f ca="1">IFERROR(ROUND(Serviços[[#This Row],[Gasto]]/Serviços[[#This Row],[Pedidos]],2),0)</f>
        <v>0</v>
      </c>
      <c r="M227" s="72"/>
    </row>
    <row r="228" spans="1:13">
      <c r="A228" s="89">
        <v>45824</v>
      </c>
      <c r="B228" s="101" t="str">
        <f>_xlfn.CONCAT(Serviços[[#This Row],[Loja]],Serviços[[#This Row],[Data]])</f>
        <v>BV45824</v>
      </c>
      <c r="C228" s="89" t="s">
        <v>36</v>
      </c>
      <c r="D228" s="71" t="s">
        <v>995</v>
      </c>
      <c r="E228" s="72">
        <f>H223</f>
        <v>6.15</v>
      </c>
      <c r="F228" s="72">
        <v>0</v>
      </c>
      <c r="G228" s="72">
        <v>0</v>
      </c>
      <c r="H228" s="72">
        <v>5.85</v>
      </c>
      <c r="I228" s="72">
        <f>SUM(Serviços[[#This Row],[Valor Inicial]:[Bonus]])-Serviços[[#This Row],[Saldo]]</f>
        <v>0.30000000000000071</v>
      </c>
      <c r="J228" s="71">
        <v>1</v>
      </c>
      <c r="K228" s="72">
        <f>IFERROR(ROUND(Serviços[[#This Row],[Gasto]]/Serviços[[#This Row],[Pedidos]],2),0)</f>
        <v>0.3</v>
      </c>
      <c r="M228" s="72"/>
    </row>
    <row r="229" spans="1:13">
      <c r="A229" s="89">
        <v>45824</v>
      </c>
      <c r="B229" s="101" t="str">
        <f>_xlfn.CONCAT(Serviços[[#This Row],[Loja]],Serviços[[#This Row],[Data]])</f>
        <v>BV45824</v>
      </c>
      <c r="C229" s="89" t="s">
        <v>36</v>
      </c>
      <c r="D229" s="71" t="s">
        <v>999</v>
      </c>
      <c r="E229" s="72" t="e">
        <f>H227</f>
        <v>#REF!</v>
      </c>
      <c r="F229" s="72">
        <v>0</v>
      </c>
      <c r="G229" s="72">
        <v>0</v>
      </c>
      <c r="H229" s="72" t="e">
        <f>SUM(Serviços[[#This Row],[Valor Inicial]:[Bonus]])-Serviços[[#This Row],[Gasto]]</f>
        <v>#REF!</v>
      </c>
      <c r="I229" s="72" t="e">
        <f>COUNTIF(#REF!,Serviços[[#This Row],[Data]])*0.4</f>
        <v>#REF!</v>
      </c>
      <c r="J229" s="71">
        <v>1</v>
      </c>
      <c r="K229" s="72">
        <f>IFERROR(ROUND(Serviços[[#This Row],[Gasto]]/Serviços[[#This Row],[Pedidos]],2),0)</f>
        <v>0</v>
      </c>
      <c r="M229" s="72"/>
    </row>
    <row r="230" spans="1:13">
      <c r="A230" s="89">
        <v>45824</v>
      </c>
      <c r="B230" s="101" t="str">
        <f>_xlfn.CONCAT(Serviços[[#This Row],[Loja]],Serviços[[#This Row],[Data]])</f>
        <v>GO45824</v>
      </c>
      <c r="C230" s="89" t="s">
        <v>108</v>
      </c>
      <c r="D230" s="71" t="s">
        <v>999</v>
      </c>
      <c r="E230" s="72" t="e">
        <f>H229</f>
        <v>#REF!</v>
      </c>
      <c r="F230" s="72">
        <v>0</v>
      </c>
      <c r="G230" s="72">
        <v>0</v>
      </c>
      <c r="H230" s="72">
        <v>3.6</v>
      </c>
      <c r="I230" s="72">
        <v>0</v>
      </c>
      <c r="J230" s="71">
        <f ca="1">COUNTIFS('Banco de Dados'!$F$2:$F$2123,"&lt;&gt;-",'Banco de Dados'!$B$2:$B$2123,Serviços[[#This Row],[Chave]])</f>
        <v>2</v>
      </c>
      <c r="K230" s="72">
        <f ca="1">IFERROR(ROUND(Serviços[[#This Row],[Gasto]]/Serviços[[#This Row],[Pedidos]],2),0)</f>
        <v>0</v>
      </c>
      <c r="M230" s="72"/>
    </row>
    <row r="231" spans="1:13">
      <c r="A231" s="89">
        <v>45826</v>
      </c>
      <c r="B231" s="101" t="str">
        <f>_xlfn.CONCAT(Serviços[[#This Row],[Loja]],Serviços[[#This Row],[Data]])</f>
        <v>BV45826</v>
      </c>
      <c r="C231" s="89" t="s">
        <v>36</v>
      </c>
      <c r="D231" s="71" t="s">
        <v>17</v>
      </c>
      <c r="E231" s="72">
        <v>5.85</v>
      </c>
      <c r="F231" s="72">
        <v>10</v>
      </c>
      <c r="G231" s="72">
        <v>0</v>
      </c>
      <c r="H231" s="72">
        <f>1.7+9.76</f>
        <v>11.459999999999999</v>
      </c>
      <c r="I231" s="72">
        <f>SUM(Serviços[[#This Row],[Valor Inicial]:[Bonus]])-Serviços[[#This Row],[Saldo]]</f>
        <v>4.3900000000000006</v>
      </c>
      <c r="J231" s="71">
        <f ca="1">COUNTIFS('Banco de Dados'!$F$2:$F$2123,"&lt;&gt;-",'Banco de Dados'!$B$2:$B$2123,Serviços[[#This Row],[Chave]])</f>
        <v>9</v>
      </c>
      <c r="K231" s="72">
        <f ca="1">IFERROR(ROUND(Serviços[[#This Row],[Gasto]]/Serviços[[#This Row],[Pedidos]],2),0)</f>
        <v>0.49</v>
      </c>
      <c r="M231" s="72"/>
    </row>
    <row r="232" spans="1:13">
      <c r="A232" s="89">
        <v>45828</v>
      </c>
      <c r="B232" s="101" t="str">
        <f>_xlfn.CONCAT(Serviços[[#This Row],[Loja]],Serviços[[#This Row],[Data]])</f>
        <v>BV45828</v>
      </c>
      <c r="C232" s="89" t="s">
        <v>36</v>
      </c>
      <c r="D232" s="71" t="s">
        <v>17</v>
      </c>
      <c r="E232" s="72">
        <v>11.46</v>
      </c>
      <c r="F232" s="72">
        <v>0</v>
      </c>
      <c r="G232" s="72">
        <v>0</v>
      </c>
      <c r="H232" s="72">
        <f>1.7+9.76</f>
        <v>11.459999999999999</v>
      </c>
      <c r="I232" s="72">
        <f>SUM(Serviços[[#This Row],[Valor Inicial]:[Bonus]])-Serviços[[#This Row],[Saldo]]</f>
        <v>0</v>
      </c>
      <c r="J232" s="71">
        <f ca="1">COUNTIFS('Banco de Dados'!$F$2:$F$2123,"&lt;&gt;-",'Banco de Dados'!$B$2:$B$2123,Serviços[[#This Row],[Chave]])</f>
        <v>6</v>
      </c>
      <c r="K232" s="72">
        <f ca="1">IFERROR(ROUND(Serviços[[#This Row],[Gasto]]/Serviços[[#This Row],[Pedidos]],2),0)</f>
        <v>0</v>
      </c>
      <c r="M232" s="72"/>
    </row>
    <row r="233" spans="1:13">
      <c r="A233" s="89">
        <v>45831</v>
      </c>
      <c r="B233" s="101" t="str">
        <f>_xlfn.CONCAT(Serviços[[#This Row],[Loja]],Serviços[[#This Row],[Data]])</f>
        <v>BV45831</v>
      </c>
      <c r="C233" s="89" t="s">
        <v>36</v>
      </c>
      <c r="D233" s="71" t="s">
        <v>17</v>
      </c>
      <c r="E233" s="72">
        <v>11.46</v>
      </c>
      <c r="F233" s="72">
        <v>0</v>
      </c>
      <c r="G233" s="72">
        <v>0</v>
      </c>
      <c r="H233" s="72">
        <f t="shared" ref="H233:H238" si="50">1.7+9.76</f>
        <v>11.459999999999999</v>
      </c>
      <c r="I233" s="72">
        <f>SUM(Serviços[[#This Row],[Valor Inicial]:[Bonus]])-Serviços[[#This Row],[Saldo]]</f>
        <v>0</v>
      </c>
      <c r="J233" s="71">
        <f ca="1">COUNTIFS('Banco de Dados'!$F$2:$F$2123,"&lt;&gt;-",'Banco de Dados'!$B$2:$B$2123,Serviços[[#This Row],[Chave]])</f>
        <v>10</v>
      </c>
      <c r="K233" s="72">
        <f ca="1">IFERROR(ROUND(Serviços[[#This Row],[Gasto]]/Serviços[[#This Row],[Pedidos]],2),0)</f>
        <v>0</v>
      </c>
      <c r="M233" s="72"/>
    </row>
    <row r="234" spans="1:13">
      <c r="A234" s="89">
        <v>45832</v>
      </c>
      <c r="B234" s="101" t="str">
        <f>_xlfn.CONCAT(Serviços[[#This Row],[Loja]],Serviços[[#This Row],[Data]])</f>
        <v>BV45832</v>
      </c>
      <c r="C234" s="89" t="s">
        <v>36</v>
      </c>
      <c r="D234" s="71" t="s">
        <v>17</v>
      </c>
      <c r="E234" s="72">
        <v>11.46</v>
      </c>
      <c r="F234" s="72">
        <v>0</v>
      </c>
      <c r="G234" s="72">
        <v>0</v>
      </c>
      <c r="H234" s="72">
        <f t="shared" si="50"/>
        <v>11.459999999999999</v>
      </c>
      <c r="I234" s="72">
        <f>SUM(Serviços[[#This Row],[Valor Inicial]:[Bonus]])-Serviços[[#This Row],[Saldo]]</f>
        <v>0</v>
      </c>
      <c r="J234" s="71">
        <f ca="1">COUNTIFS('Banco de Dados'!$F$2:$F$2123,"&lt;&gt;-",'Banco de Dados'!$B$2:$B$2123,Serviços[[#This Row],[Chave]])</f>
        <v>7</v>
      </c>
      <c r="K234" s="72">
        <f ca="1">IFERROR(ROUND(Serviços[[#This Row],[Gasto]]/Serviços[[#This Row],[Pedidos]],2),0)</f>
        <v>0</v>
      </c>
      <c r="M234" s="72"/>
    </row>
    <row r="235" spans="1:13">
      <c r="A235" s="89">
        <v>45833</v>
      </c>
      <c r="B235" s="101" t="str">
        <f>_xlfn.CONCAT(Serviços[[#This Row],[Loja]],Serviços[[#This Row],[Data]])</f>
        <v>BV45833</v>
      </c>
      <c r="C235" s="89" t="s">
        <v>36</v>
      </c>
      <c r="D235" s="71" t="s">
        <v>17</v>
      </c>
      <c r="E235" s="72">
        <v>11.46</v>
      </c>
      <c r="F235" s="72">
        <v>0</v>
      </c>
      <c r="G235" s="72">
        <v>0</v>
      </c>
      <c r="H235" s="72">
        <f t="shared" si="50"/>
        <v>11.459999999999999</v>
      </c>
      <c r="I235" s="72">
        <f>SUM(Serviços[[#This Row],[Valor Inicial]:[Bonus]])-Serviços[[#This Row],[Saldo]]</f>
        <v>0</v>
      </c>
      <c r="J235" s="71">
        <f ca="1">COUNTIFS('Banco de Dados'!$F$2:$F$2123,"&lt;&gt;-",'Banco de Dados'!$B$2:$B$2123,Serviços[[#This Row],[Chave]])</f>
        <v>6</v>
      </c>
      <c r="K235" s="72">
        <f ca="1">IFERROR(ROUND(Serviços[[#This Row],[Gasto]]/Serviços[[#This Row],[Pedidos]],2),0)</f>
        <v>0</v>
      </c>
      <c r="M235" s="72"/>
    </row>
    <row r="236" spans="1:13">
      <c r="A236" s="89">
        <v>45834</v>
      </c>
      <c r="B236" s="101" t="str">
        <f>_xlfn.CONCAT(Serviços[[#This Row],[Loja]],Serviços[[#This Row],[Data]])</f>
        <v>BV45834</v>
      </c>
      <c r="C236" s="89" t="s">
        <v>36</v>
      </c>
      <c r="D236" s="71" t="s">
        <v>17</v>
      </c>
      <c r="E236" s="72">
        <v>11.46</v>
      </c>
      <c r="F236" s="72">
        <v>0</v>
      </c>
      <c r="G236" s="72">
        <v>0</v>
      </c>
      <c r="H236" s="72">
        <f t="shared" si="50"/>
        <v>11.459999999999999</v>
      </c>
      <c r="I236" s="72">
        <f>SUM(Serviços[[#This Row],[Valor Inicial]:[Bonus]])-Serviços[[#This Row],[Saldo]]</f>
        <v>0</v>
      </c>
      <c r="J236" s="71">
        <f ca="1">COUNTIFS('Banco de Dados'!$F$2:$F$2123,"&lt;&gt;-",'Banco de Dados'!$B$2:$B$2123,Serviços[[#This Row],[Chave]])</f>
        <v>9</v>
      </c>
      <c r="K236" s="72">
        <f ca="1">IFERROR(ROUND(Serviços[[#This Row],[Gasto]]/Serviços[[#This Row],[Pedidos]],2),0)</f>
        <v>0</v>
      </c>
      <c r="M236" s="72"/>
    </row>
    <row r="237" spans="1:13">
      <c r="A237" s="89">
        <v>45835</v>
      </c>
      <c r="B237" s="101" t="str">
        <f>_xlfn.CONCAT(Serviços[[#This Row],[Loja]],Serviços[[#This Row],[Data]])</f>
        <v>BV45835</v>
      </c>
      <c r="C237" s="89" t="s">
        <v>36</v>
      </c>
      <c r="D237" s="71" t="s">
        <v>17</v>
      </c>
      <c r="E237" s="72">
        <v>11.46</v>
      </c>
      <c r="F237" s="72">
        <v>0</v>
      </c>
      <c r="G237" s="72">
        <v>0</v>
      </c>
      <c r="H237" s="72">
        <f t="shared" si="50"/>
        <v>11.459999999999999</v>
      </c>
      <c r="I237" s="72">
        <f>SUM(Serviços[[#This Row],[Valor Inicial]:[Bonus]])-Serviços[[#This Row],[Saldo]]</f>
        <v>0</v>
      </c>
      <c r="J237" s="71">
        <f ca="1">COUNTIFS('Banco de Dados'!$F$2:$F$2123,"&lt;&gt;-",'Banco de Dados'!$B$2:$B$2123,Serviços[[#This Row],[Chave]])</f>
        <v>11</v>
      </c>
      <c r="K237" s="72">
        <f ca="1">IFERROR(ROUND(Serviços[[#This Row],[Gasto]]/Serviços[[#This Row],[Pedidos]],2),0)</f>
        <v>0</v>
      </c>
      <c r="M237" s="72"/>
    </row>
    <row r="238" spans="1:13">
      <c r="A238" s="89">
        <v>45839</v>
      </c>
      <c r="B238" s="101" t="str">
        <f>_xlfn.CONCAT(Serviços[[#This Row],[Loja]],Serviços[[#This Row],[Data]])</f>
        <v>BV45839</v>
      </c>
      <c r="C238" s="89" t="s">
        <v>36</v>
      </c>
      <c r="D238" s="71" t="s">
        <v>17</v>
      </c>
      <c r="E238" s="72">
        <v>11.46</v>
      </c>
      <c r="F238" s="72">
        <v>0</v>
      </c>
      <c r="G238" s="72">
        <v>0</v>
      </c>
      <c r="H238" s="72">
        <f t="shared" si="50"/>
        <v>11.459999999999999</v>
      </c>
      <c r="I238" s="72">
        <f>SUM(Serviços[[#This Row],[Valor Inicial]:[Bonus]])-Serviços[[#This Row],[Saldo]]</f>
        <v>0</v>
      </c>
      <c r="J238" s="71">
        <f ca="1">COUNTIFS('Banco de Dados'!$F$2:$F$2123,"&lt;&gt;-",'Banco de Dados'!$B$2:$B$2123,Serviços[[#This Row],[Chave]])</f>
        <v>6</v>
      </c>
      <c r="K238" s="72">
        <f ca="1">IFERROR(ROUND(Serviços[[#This Row],[Gasto]]/Serviços[[#This Row],[Pedidos]],2),0)</f>
        <v>0</v>
      </c>
      <c r="M238" s="72"/>
    </row>
  </sheetData>
  <conditionalFormatting sqref="A2:A76">
    <cfRule type="duplicateValues" dxfId="5" priority="2"/>
  </conditionalFormatting>
  <conditionalFormatting sqref="B2:B238">
    <cfRule type="duplicateValues" dxfId="4" priority="1482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rgb="FFFFFF00"/>
  </sheetPr>
  <dimension ref="A1:AY4243"/>
  <sheetViews>
    <sheetView showGridLines="0" zoomScale="85" zoomScaleNormal="85"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defaultColWidth="9.140625" defaultRowHeight="15"/>
  <cols>
    <col min="1" max="1" width="10" style="8" customWidth="1"/>
    <col min="2" max="2" width="11.7109375" style="8" bestFit="1" customWidth="1"/>
    <col min="3" max="3" width="20" style="8" bestFit="1" customWidth="1"/>
    <col min="4" max="4" width="16.5703125" style="1" bestFit="1" customWidth="1"/>
    <col min="5" max="5" width="17.5703125" bestFit="1" customWidth="1"/>
    <col min="6" max="6" width="115" style="9" bestFit="1" customWidth="1"/>
    <col min="7" max="7" width="22.7109375" style="9" bestFit="1" customWidth="1"/>
    <col min="8" max="8" width="9.5703125" style="8" bestFit="1" customWidth="1"/>
    <col min="9" max="9" width="16.42578125" style="8" bestFit="1" customWidth="1"/>
    <col min="10" max="10" width="47.85546875" style="5" bestFit="1" customWidth="1"/>
    <col min="11" max="11" width="18.28515625" style="10" bestFit="1" customWidth="1"/>
    <col min="12" max="12" width="10.5703125" style="14" bestFit="1" customWidth="1"/>
    <col min="13" max="13" width="64.7109375" style="14" bestFit="1" customWidth="1"/>
    <col min="14" max="14" width="57" style="14" bestFit="1" customWidth="1"/>
    <col min="15" max="15" width="57" style="14" customWidth="1"/>
    <col min="16" max="16" width="15.140625" bestFit="1" customWidth="1"/>
    <col min="17" max="17" width="18" style="171" bestFit="1" customWidth="1"/>
    <col min="18" max="18" width="18.85546875" style="2" bestFit="1" customWidth="1"/>
    <col min="19" max="19" width="16.42578125" style="2" bestFit="1" customWidth="1" collapsed="1"/>
    <col min="20" max="20" width="18.85546875" style="13" bestFit="1" customWidth="1"/>
    <col min="21" max="21" width="21.28515625" style="8" bestFit="1" customWidth="1"/>
    <col min="22" max="22" width="19.42578125" bestFit="1" customWidth="1"/>
    <col min="23" max="23" width="11.42578125" style="8" bestFit="1" customWidth="1"/>
    <col min="24" max="24" width="13.5703125" style="8" bestFit="1" customWidth="1"/>
    <col min="25" max="25" width="12.28515625" style="8" bestFit="1" customWidth="1"/>
    <col min="26" max="26" width="18.85546875" style="8" bestFit="1" customWidth="1"/>
    <col min="27" max="27" width="17" style="8" bestFit="1" customWidth="1"/>
    <col min="28" max="28" width="13.7109375" style="8" bestFit="1" customWidth="1"/>
    <col min="29" max="29" width="24.7109375" style="11" bestFit="1" customWidth="1"/>
    <col min="30" max="30" width="21.42578125" bestFit="1" customWidth="1"/>
    <col min="31" max="31" width="18.5703125" bestFit="1" customWidth="1"/>
    <col min="32" max="32" width="21.28515625" style="11" bestFit="1" customWidth="1"/>
    <col min="33" max="33" width="21.42578125" bestFit="1" customWidth="1"/>
    <col min="34" max="34" width="10" bestFit="1" customWidth="1"/>
    <col min="35" max="35" width="18.85546875" bestFit="1" customWidth="1"/>
    <col min="36" max="36" width="17.28515625" style="9" bestFit="1" customWidth="1"/>
    <col min="37" max="37" width="20.5703125" bestFit="1" customWidth="1"/>
    <col min="38" max="38" width="29.140625" bestFit="1" customWidth="1"/>
    <col min="39" max="39" width="28.140625" style="11" bestFit="1" customWidth="1"/>
    <col min="40" max="40" width="25.42578125" style="11" bestFit="1" customWidth="1"/>
    <col min="41" max="41" width="10.28515625" style="5" bestFit="1" customWidth="1"/>
    <col min="42" max="42" width="20.140625" style="12" bestFit="1" customWidth="1"/>
    <col min="43" max="43" width="22.140625" style="12" bestFit="1" customWidth="1"/>
    <col min="46" max="50" width="14.7109375" style="8" customWidth="1"/>
    <col min="52" max="53" width="14.7109375" style="8" customWidth="1"/>
    <col min="54" max="54" width="14.7109375" style="8" bestFit="1" customWidth="1"/>
    <col min="55" max="55" width="16" style="8" bestFit="1" customWidth="1"/>
    <col min="56" max="56" width="18.7109375" style="8" bestFit="1" customWidth="1"/>
    <col min="57" max="16384" width="9.140625" style="8"/>
  </cols>
  <sheetData>
    <row r="1" spans="1:51">
      <c r="A1" s="172" t="s">
        <v>1</v>
      </c>
      <c r="B1" s="172" t="s">
        <v>2</v>
      </c>
      <c r="C1" s="172" t="s">
        <v>1018</v>
      </c>
      <c r="D1" s="172" t="s">
        <v>4</v>
      </c>
      <c r="E1" s="173" t="s">
        <v>5</v>
      </c>
      <c r="F1" s="174" t="s">
        <v>1017</v>
      </c>
      <c r="G1" s="173" t="s">
        <v>1020</v>
      </c>
      <c r="H1" s="173" t="s">
        <v>7</v>
      </c>
      <c r="I1" s="173" t="s">
        <v>1019</v>
      </c>
      <c r="J1" s="173" t="s">
        <v>9</v>
      </c>
      <c r="K1" s="172" t="s">
        <v>10</v>
      </c>
      <c r="L1" s="173" t="s">
        <v>11</v>
      </c>
      <c r="M1" s="173" t="s">
        <v>12</v>
      </c>
      <c r="N1" s="173" t="s">
        <v>13</v>
      </c>
      <c r="O1" s="173" t="s">
        <v>1038</v>
      </c>
      <c r="P1" s="172" t="s">
        <v>14</v>
      </c>
      <c r="Q1" s="173" t="s">
        <v>15</v>
      </c>
      <c r="R1" s="173" t="s">
        <v>1026</v>
      </c>
      <c r="S1" s="6" t="s">
        <v>1036</v>
      </c>
      <c r="T1" s="170" t="s">
        <v>1037</v>
      </c>
      <c r="U1" s="6" t="s">
        <v>1035</v>
      </c>
      <c r="V1" s="6" t="s">
        <v>16</v>
      </c>
      <c r="W1" s="198" t="s">
        <v>17</v>
      </c>
      <c r="X1" s="198" t="s">
        <v>18</v>
      </c>
      <c r="Y1" s="6" t="s">
        <v>19</v>
      </c>
      <c r="Z1" s="6" t="s">
        <v>20</v>
      </c>
      <c r="AA1" s="7" t="s">
        <v>21</v>
      </c>
      <c r="AB1" s="155" t="s">
        <v>22</v>
      </c>
      <c r="AC1" s="199" t="s">
        <v>23</v>
      </c>
      <c r="AD1" s="199" t="s">
        <v>25</v>
      </c>
      <c r="AE1" s="199" t="s">
        <v>1013</v>
      </c>
      <c r="AF1" s="199" t="s">
        <v>24</v>
      </c>
      <c r="AG1" s="155" t="s">
        <v>26</v>
      </c>
      <c r="AH1" s="155" t="s">
        <v>27</v>
      </c>
      <c r="AI1" s="155" t="s">
        <v>28</v>
      </c>
      <c r="AJ1" s="199" t="s">
        <v>29</v>
      </c>
      <c r="AK1" s="155" t="s">
        <v>35</v>
      </c>
      <c r="AL1" s="155" t="s">
        <v>1016</v>
      </c>
      <c r="AM1" s="199" t="s">
        <v>32</v>
      </c>
      <c r="AN1" s="199" t="s">
        <v>1015</v>
      </c>
      <c r="AO1" s="199" t="s">
        <v>1014</v>
      </c>
      <c r="AP1" s="200" t="s">
        <v>33</v>
      </c>
      <c r="AQ1" s="200" t="s">
        <v>34</v>
      </c>
      <c r="AR1" s="8"/>
      <c r="AS1" s="8"/>
      <c r="AY1" s="8"/>
    </row>
    <row r="2" spans="1:51">
      <c r="A2" s="5" t="str" cm="1">
        <f t="array" ref="A2:A2123">Controle_Pedidos[Loja]</f>
        <v>BV</v>
      </c>
      <c r="B2" s="5" t="str" cm="1">
        <f t="array" aca="1" ref="B2:B2123" ca="1">Loja&amp;DataCompra</f>
        <v>BV-</v>
      </c>
      <c r="C2" s="8" t="str" cm="1">
        <f t="array" ref="C2:C2123">Controle_Pedidos[Número Pedido Cliente]</f>
        <v>Pedido 1</v>
      </c>
      <c r="D2" s="9" cm="1">
        <f t="array" ref="D2:D2123">Controle_Pedidos[Data Pedido]</f>
        <v>45627</v>
      </c>
      <c r="E2" s="9" t="str" cm="1">
        <f t="array" ref="E2:E2123">Controle_Pedidos[Data Compra]</f>
        <v>-</v>
      </c>
      <c r="F2" s="8" t="str" cm="1">
        <f t="array" ref="F2:F2123">Controle_Pedidos[Pedido Fornecedor]</f>
        <v>-</v>
      </c>
      <c r="G2" s="2" t="str" cm="1">
        <f t="array" ref="G2:G2123">Controle_Pedidos[Cód Rastreamento]</f>
        <v>-</v>
      </c>
      <c r="H2" s="5" cm="1">
        <f t="array" ref="H2:H2123">Controle_Pedidos[Qtd]</f>
        <v>1</v>
      </c>
      <c r="I2" s="2" t="str" cm="1">
        <f t="array" ref="I2:I2123">Controle_Pedidos[CPF]</f>
        <v>CPF 1</v>
      </c>
      <c r="J2" s="8" t="str" cm="1">
        <f t="array" ref="J2:J2123">Controle_Pedidos[NOME]</f>
        <v>Nome 1</v>
      </c>
      <c r="K2" s="8" t="str" cm="1">
        <f t="array" ref="K2:K2123">Controle_Pedidos[Telefone]</f>
        <v>Tel 1</v>
      </c>
      <c r="L2" s="8" t="str" cm="1">
        <f t="array" ref="L2:L2123">Controle_Pedidos[Cep]</f>
        <v>Cep 1</v>
      </c>
      <c r="M2" s="8" t="str" cm="1">
        <f t="array" ref="M2:M2123">Controle_Pedidos[Rua]</f>
        <v>Rua 1</v>
      </c>
      <c r="N2" s="8" t="str" cm="1">
        <f t="array" ref="N2:N2123">Controle_Pedidos[Complemento]</f>
        <v>Comp 1</v>
      </c>
      <c r="O2" s="8" t="str" cm="1">
        <f t="array" ref="O2:O2123">Controle_Pedidos[Nome Produto]</f>
        <v>Suporte de Celular Branco</v>
      </c>
      <c r="P2" s="19" t="str" cm="1">
        <f t="array" ref="P2:P2123">Controle_Pedidos[SKU]</f>
        <v>16-4EDB-WMZF</v>
      </c>
      <c r="Q2" s="177" cm="1">
        <f t="array" ref="Q2:Q2123">Controle_Pedidos[Prazo Entrega]</f>
        <v>45639</v>
      </c>
      <c r="R2" s="109" cm="1">
        <f t="array" ref="R2:R2123">Controle_Pedidos[Valor Pedido]</f>
        <v>14.8</v>
      </c>
      <c r="S2" s="11" cm="1">
        <f t="array" aca="1" ref="S2:S2123" ca="1">IF(DataReembolso&lt;&gt;"-",0,ValorPedido)</f>
        <v>0</v>
      </c>
      <c r="T2" s="28" cm="1">
        <f t="array" aca="1" ref="T2:T2123" ca="1">_xlfn.MAP(Sku, DataPedido, Loja,ValorBruto, _xlfn.LAMBDA(_xlpm.s,_xlpm.d,_xlpm.l,_xlpm.v,                                                                                                                                                                                                                                                       _xlpm.v*
_xlfn.XLOOKUP(1, (_xlpm.s = INDIRECT("SKU_Taxas[" &amp; _xlpm.l &amp; "]")) * (_xlpm.d &gt;= SKU_Taxas[Data Inicío Vigência]), SKU_Taxas[% E-commerce], 0, -1, -1)
))</f>
        <v>0</v>
      </c>
      <c r="U2" s="11" cm="1">
        <f t="array" aca="1" ref="U2:U2123" ca="1">ROUND(ValorBruto-TaxaE,2)</f>
        <v>0</v>
      </c>
      <c r="V2" s="11" cm="1">
        <f t="array" ref="V2:V2123">Controle_Pedidos[Valor Compra]</f>
        <v>0</v>
      </c>
      <c r="W2" s="11" cm="1">
        <f t="array" aca="1" ref="W2:W2123" ca="1">IFERROR(IF(DataReembolso&lt;&gt;"-",0,_xlfn.XLOOKUP(Chave,Serviços[Chave],Serviços[Valor p/ pedido])),0)</f>
        <v>0</v>
      </c>
      <c r="X2" s="11" cm="1">
        <f t="array" aca="1" ref="X2:X2123" ca="1">IF(Controle_Pedidos[Pedido Fornecedor]="-",0,IFERROR(_xlfn.XLOOKUP('Banco de Dados'!$B2,ProxyDD[Chave],ProxyDD[Valor por pedido]),PROXY!$P$2))</f>
        <v>0</v>
      </c>
      <c r="Y2" s="11" cm="1">
        <f t="array" ref="Y2:Y2123">Controle_Pedidos[Frete]</f>
        <v>0</v>
      </c>
      <c r="Z2" s="11" cm="1">
        <f t="array" aca="1" ref="Z2:Z2123" ca="1">_xlfn.MAP(ELiquido,Controle_Pedidos[Valor Compra],SMS,Proxy,Controle_Pedidos[Frete], _xlfn.LAMBDA(_xlpm.e,_xlpm.v,_xlpm.s,_xlpm.p,_xlpm.f,_xlpm.e-(_xlpm.v+_xlpm.s+_xlpm.p+_xlpm.f)))</f>
        <v>0</v>
      </c>
      <c r="AA2" s="11" cm="1">
        <f t="array" aca="1" ref="AA2:AA2123" ca="1">IF(Loja="go",ValorLiquido,ValorLiquido/2)</f>
        <v>0</v>
      </c>
      <c r="AB2" s="4" cm="1">
        <f t="array" aca="1" ref="AB2:AB2123" ca="1">IFERROR(PrazoEntrega+7,"-")</f>
        <v>45646</v>
      </c>
      <c r="AC2" s="4">
        <v>45646</v>
      </c>
      <c r="AD2" s="9">
        <v>45651</v>
      </c>
      <c r="AE2" s="9">
        <v>45659</v>
      </c>
      <c r="AF2" s="4" t="str">
        <f ca="1">_xlfn.CONCAT(PROPER(TEXT(AB2,"aaaa"))," ",PROPER(TEXT(AB2,"mm")))</f>
        <v>2024 12</v>
      </c>
      <c r="AG2" s="8" t="str" cm="1">
        <f t="array" ref="AG2">IFERROR(_xlfn.IFS('Banco de Dados'!#REF!="AG. COMPRA","Em processamento",'Banco de Dados'!#REF!="AG. RASTREIO","Em processamento",'Banco de Dados'!$AE2&lt;&gt;"-","Faturado",'Banco de Dados'!$AD2&lt;&gt;"-","Aguardando Pix",'Banco de Dados'!$AC2&lt;&gt;"-","Pendente"),"Aguardando Liberação")</f>
        <v>Aguardando Liberação</v>
      </c>
      <c r="AH2" s="5" t="str">
        <f ca="1">IF('Banco de Dados'!$F2="-",_xlfn.CONCAT(PROPER(TEXT(AK2,"aaaa"))," ",PROPER(TEXT(AK2,"mm"))),_xlfn.CONCAT(PROPER(TEXT(E2,"aaaa"))," ",PROPER(TEXT(E2,"mm"))))</f>
        <v>2024 11</v>
      </c>
      <c r="AI2" s="9" t="str">
        <f ca="1">IF('Banco de Dados'!$AK2&lt;&gt;"-","REEMBOLSO",IFERROR(_xlfn.XLOOKUP(G2,Follow[CODRASTREIO],Follow[STATUS]),"-"))</f>
        <v>REEMBOLSO</v>
      </c>
      <c r="AJ2" s="9" t="str">
        <f ca="1">IF('Banco de Dados'!$AI2="ENTREGUE",_xlfn.XLOOKUP('Banco de Dados'!$G2,Follow[CODRASTREIO],Follow[DATAATUALIZAÇÃO]),"-")</f>
        <v>-</v>
      </c>
      <c r="AK2" s="9" cm="1">
        <f t="array" aca="1" ref="AK2:AK2123" ca="1">IFERROR(_xlfn.LET(
_xlpm.NumeroPedido_rng,PedidosClientes,
_xlfn.MAP(_xlpm.NumeroPedido_rng,_xlfn.LAMBDA(_xlpm.Ped,
IF(_xlfn.XLOOKUP(_xlpm.Ped,Ocorrencias_Pedidos[Pedido Cliente],Ocorrencias_Pedidos[Tipo Ocorrência])="Reembolso",_xlfn.XLOOKUP(_xlpm.Ped,Ocorrencias_Pedidos[Pedido Cliente],Ocorrencias_Pedidos[Data Reembolso]),"-")
))),"-")</f>
        <v>45604</v>
      </c>
      <c r="AL2" s="35" t="str" cm="1">
        <f t="array" ref="AL2:AL304">IF(Ocorrencias_Pedidos[Fornecedor Reembolsou?]="","-",Ocorrencias_Pedidos[Fornecedor Reembolsou?])</f>
        <v>NÃO</v>
      </c>
      <c r="AM2" s="109" cm="1">
        <f t="array" aca="1" ref="AM2" ca="1">IF('Banco de Dados'!$AK2&lt;&gt;"-",_xlfn.IFS('Banco de Dados'!$A2="bv",IF('Banco de Dados'!$E2&lt;45641,ROUND(SUM('Banco de Dados'!$R2*_xlfn.XLOOKUP('Banco de Dados'!$P2,Sku!B:B,Sku!#REF!)*20%),2),ROUND(SUM('Banco de Dados'!$R2*_xlfn.XLOOKUP('Banco de Dados'!$P2,Sku!B:B,Sku!H:H)*20%),2)),'Banco de Dados'!$A2="GO",ROUND(_xlfn.XLOOKUP('Banco de Dados'!$P2,Sku!C:C,Sku!H:H),2),'Banco de Dados'!$A2="MEI",ROUND(_xlfn.XLOOKUP('Banco de Dados'!$P2,Sku!D:D,Sku!H:H),2)),0)</f>
        <v>0.44</v>
      </c>
      <c r="AN2" s="109">
        <f ca="1">IF('Banco de Dados'!$AK2&lt;&gt;"-",IF('Banco de Dados'!$F2&lt;&gt;"-",_xlfn.XLOOKUP(IFERROR(IFERROR(IFERROR(VALUE(SUBSTITUTE(MID(_xlfn.TEXTAFTER('Banco de Dados'!$F2,"Data do Pedido:
",1),1,10),"-","/")),VALUE(SUBSTITUTE(MID(_xlfn.TEXTAFTER('Banco de Dados'!$F2,"Order date:
",1),1,10),"-","/"))),VALUE(SUBSTITUTE(MID(_xlfn.TEXTAFTER('Banco de Dados'!$F2,"Fecha de pedido:
",1),1,10),"-","/"))),"-"),SMS!A:A,SMS!K:K),0),0)</f>
        <v>0</v>
      </c>
      <c r="AO2" s="109">
        <f ca="1">IF('Banco de Dados'!$AK2&lt;&gt;"-",IF('Banco de Dados'!$F2&lt;&gt;"-",IFERROR(_xlfn.XLOOKUP(_xlfn.CONCAT('Banco de Dados'!$A2,IFERROR(IFERROR(VALUE(SUBSTITUTE(MID(_xlfn.TEXTAFTER('Banco de Dados'!$F2,"Data do Pedido:
",1),1,10),"-","/")),VALUE(SUBSTITUTE(MID(_xlfn.TEXTAFTER('Banco de Dados'!$F2,"Order date:
",1),1,10),"-","/"))),0)),ProxyDD[Chave],ProxyDD[Valor por pedido]),PROXY!$P$2),0),0)</f>
        <v>0</v>
      </c>
      <c r="AP2" s="28">
        <f ca="1">IF('Banco de Dados'!$AK2&lt;&gt;"-",IF('Banco de Dados'!$AL2="NÃO",IFERROR(VALUE(SUBSTITUTE(_xlfn.TEXTAFTER('Banco de Dados'!$F2,"BRL ",1),".",",")),0),0),0)</f>
        <v>0</v>
      </c>
      <c r="AQ2" s="28">
        <f ca="1">SUM('Banco de Dados'!$AM2:$AP2)</f>
        <v>0.44</v>
      </c>
      <c r="AR2" s="8"/>
      <c r="AS2" s="8"/>
      <c r="AY2" s="8"/>
    </row>
    <row r="3" spans="1:51">
      <c r="A3" s="5" t="str">
        <v>BV</v>
      </c>
      <c r="B3" s="5" t="str">
        <f ca="1"/>
        <v>BV-</v>
      </c>
      <c r="C3" s="8" t="str">
        <v>Pedido 2</v>
      </c>
      <c r="D3" s="9">
        <v>45627</v>
      </c>
      <c r="E3" s="9" t="str">
        <v>-</v>
      </c>
      <c r="F3" s="8" t="str">
        <v>-</v>
      </c>
      <c r="G3" s="2" t="str">
        <v>-</v>
      </c>
      <c r="H3" s="5">
        <v>1</v>
      </c>
      <c r="I3" s="2" t="str">
        <v>CPF 2</v>
      </c>
      <c r="J3" s="8" t="str">
        <v>Nome 2</v>
      </c>
      <c r="K3" s="8" t="str">
        <v>Tel 2</v>
      </c>
      <c r="L3" s="8" t="str">
        <v>Cep 2</v>
      </c>
      <c r="M3" s="8" t="str">
        <v>Rua 2</v>
      </c>
      <c r="N3" s="8" t="str">
        <v>Comp 2</v>
      </c>
      <c r="O3" s="8" t="str">
        <v>Suporte de Celular Branco</v>
      </c>
      <c r="P3" s="8" t="str">
        <v>16-4EDB-WMZF</v>
      </c>
      <c r="Q3" s="4">
        <v>45638</v>
      </c>
      <c r="R3" s="109">
        <v>14.8</v>
      </c>
      <c r="S3" s="11">
        <f ca="1"/>
        <v>0</v>
      </c>
      <c r="T3" s="28">
        <f ca="1"/>
        <v>0</v>
      </c>
      <c r="U3" s="11">
        <f ca="1"/>
        <v>0</v>
      </c>
      <c r="V3" s="11">
        <v>0</v>
      </c>
      <c r="W3" s="11">
        <f ca="1"/>
        <v>0</v>
      </c>
      <c r="X3" s="11">
        <f ca="1"/>
        <v>0</v>
      </c>
      <c r="Y3" s="11">
        <v>0</v>
      </c>
      <c r="Z3" s="11">
        <f ca="1"/>
        <v>0</v>
      </c>
      <c r="AA3" s="11">
        <f ca="1"/>
        <v>0</v>
      </c>
      <c r="AB3" s="4">
        <f ca="1"/>
        <v>45645</v>
      </c>
      <c r="AC3" s="4">
        <v>45645</v>
      </c>
      <c r="AD3" s="9">
        <v>45651</v>
      </c>
      <c r="AE3" s="9">
        <v>45659</v>
      </c>
      <c r="AF3" s="4" t="str">
        <f t="shared" ref="AF3:AF65" ca="1" si="0">_xlfn.CONCAT(PROPER(TEXT(AB3,"aaaa"))," ",PROPER(TEXT(AB3,"mm")))</f>
        <v>2024 12</v>
      </c>
      <c r="AG3" s="8" t="str" cm="1">
        <f t="array" ref="AG3">IFERROR(_xlfn.IFS('Banco de Dados'!#REF!="AG. COMPRA","Em processamento",'Banco de Dados'!#REF!="AG. RASTREIO","Em processamento",'Banco de Dados'!$AE3&lt;&gt;"-","Faturado",'Banco de Dados'!$AD3&lt;&gt;"-","Aguardando Pix",'Banco de Dados'!$AC3&lt;&gt;"-","Pendente"),"Aguardando Liberação")</f>
        <v>Aguardando Liberação</v>
      </c>
      <c r="AH3" s="5" t="str">
        <f ca="1">IF('Banco de Dados'!$F3="-",_xlfn.CONCAT(PROPER(TEXT(AK3,"aaaa"))," ",PROPER(TEXT(AK3,"mm"))),_xlfn.CONCAT(PROPER(TEXT(E3,"aaaa"))," ",PROPER(TEXT(E3,"mm"))))</f>
        <v>2024 11</v>
      </c>
      <c r="AI3" s="9" t="str">
        <f ca="1">IF('Banco de Dados'!$AK3&lt;&gt;"-","REEMBOLSO",IFERROR(_xlfn.XLOOKUP(G3,Follow[CODRASTREIO],Follow[STATUS]),"-"))</f>
        <v>REEMBOLSO</v>
      </c>
      <c r="AJ3" s="9" t="str">
        <f ca="1">IF('Banco de Dados'!$AI3="ENTREGUE",_xlfn.XLOOKUP('Banco de Dados'!$G3,Follow[CODRASTREIO],Follow[DATAATUALIZAÇÃO]),"-")</f>
        <v>-</v>
      </c>
      <c r="AK3" s="9">
        <f ca="1"/>
        <v>45604</v>
      </c>
      <c r="AL3" s="35" t="str">
        <v>NÃO</v>
      </c>
      <c r="AM3" s="109" cm="1">
        <f t="array" aca="1" ref="AM3" ca="1">IF('Banco de Dados'!$AK3&lt;&gt;"-",_xlfn.IFS('Banco de Dados'!$A3="bv",IF('Banco de Dados'!$E3&lt;45641,ROUND(SUM('Banco de Dados'!$R3*_xlfn.XLOOKUP('Banco de Dados'!$P3,Sku!B:B,Sku!#REF!)*20%),2),ROUND(SUM('Banco de Dados'!$R3*_xlfn.XLOOKUP('Banco de Dados'!$P3,Sku!B:B,Sku!H:H)*20%),2)),'Banco de Dados'!$A3="GO",ROUND(_xlfn.XLOOKUP('Banco de Dados'!$P3,Sku!C:C,Sku!H:H),2),'Banco de Dados'!$A3="MEI",ROUND(_xlfn.XLOOKUP('Banco de Dados'!$P3,Sku!D:D,Sku!H:H),2)),0)</f>
        <v>0.44</v>
      </c>
      <c r="AN3" s="109">
        <f ca="1">IF('Banco de Dados'!$AK3&lt;&gt;"-",IF('Banco de Dados'!$F3&lt;&gt;"-",_xlfn.XLOOKUP(IFERROR(IFERROR(IFERROR(VALUE(SUBSTITUTE(MID(_xlfn.TEXTAFTER('Banco de Dados'!$F3,"Data do Pedido:
",1),1,10),"-","/")),VALUE(SUBSTITUTE(MID(_xlfn.TEXTAFTER('Banco de Dados'!$F3,"Order date:
",1),1,10),"-","/"))),VALUE(SUBSTITUTE(MID(_xlfn.TEXTAFTER('Banco de Dados'!$F3,"Fecha de pedido:
",1),1,10),"-","/"))),"-"),SMS!A:A,SMS!K:K),0),0)</f>
        <v>0</v>
      </c>
      <c r="AO3" s="109">
        <f ca="1">IF('Banco de Dados'!$AK3&lt;&gt;"-",IF('Banco de Dados'!$F3&lt;&gt;"-",IFERROR(_xlfn.XLOOKUP(_xlfn.CONCAT('Banco de Dados'!$A3,IFERROR(IFERROR(VALUE(SUBSTITUTE(MID(_xlfn.TEXTAFTER('Banco de Dados'!$F3,"Data do Pedido:
",1),1,10),"-","/")),VALUE(SUBSTITUTE(MID(_xlfn.TEXTAFTER('Banco de Dados'!$F3,"Order date:
",1),1,10),"-","/"))),0)),ProxyDD[Chave],ProxyDD[Valor por pedido]),PROXY!$P$2),0),0)</f>
        <v>0</v>
      </c>
      <c r="AP3" s="28">
        <f ca="1">IF('Banco de Dados'!$AK3&lt;&gt;"-",IF('Banco de Dados'!$AL3="NÃO",IFERROR(VALUE(SUBSTITUTE(_xlfn.TEXTAFTER('Banco de Dados'!$F3,"BRL ",1),".",",")),0),0),0)</f>
        <v>0</v>
      </c>
      <c r="AQ3" s="28">
        <f ca="1">SUM('Banco de Dados'!$AM3:$AP3)</f>
        <v>0.44</v>
      </c>
      <c r="AR3" s="8"/>
      <c r="AS3" s="8"/>
      <c r="AY3" s="8"/>
    </row>
    <row r="4" spans="1:51">
      <c r="A4" s="5" t="str">
        <v>BV</v>
      </c>
      <c r="B4" s="5" t="str">
        <f ca="1"/>
        <v>BV-</v>
      </c>
      <c r="C4" s="8" t="str">
        <v>Pedido 3</v>
      </c>
      <c r="D4" s="9">
        <v>45627</v>
      </c>
      <c r="E4" s="9" t="str">
        <v>-</v>
      </c>
      <c r="F4" s="8" t="str">
        <v>-</v>
      </c>
      <c r="G4" s="2" t="str">
        <v>-</v>
      </c>
      <c r="H4" s="5">
        <v>1</v>
      </c>
      <c r="I4" s="2" t="str">
        <v>CPF 3</v>
      </c>
      <c r="J4" s="8" t="str">
        <v>Nome 3</v>
      </c>
      <c r="K4" s="8" t="str">
        <v>Tel 3</v>
      </c>
      <c r="L4" s="8" t="str">
        <v>Cep 3</v>
      </c>
      <c r="M4" s="8" t="str">
        <v>Rua 3</v>
      </c>
      <c r="N4" s="8" t="str">
        <v>Comp 3</v>
      </c>
      <c r="O4" s="8" t="str">
        <v>Mini Liquidificador</v>
      </c>
      <c r="P4" s="8" t="str">
        <v>CK-YL6M-P5Y6</v>
      </c>
      <c r="Q4" s="4">
        <v>45622</v>
      </c>
      <c r="R4" s="109">
        <v>30.99</v>
      </c>
      <c r="S4" s="11">
        <f ca="1"/>
        <v>0</v>
      </c>
      <c r="T4" s="28">
        <f ca="1"/>
        <v>0</v>
      </c>
      <c r="U4" s="11">
        <f ca="1"/>
        <v>0</v>
      </c>
      <c r="V4" s="11">
        <v>0</v>
      </c>
      <c r="W4" s="11">
        <f ca="1"/>
        <v>0</v>
      </c>
      <c r="X4" s="11">
        <f ca="1"/>
        <v>0</v>
      </c>
      <c r="Y4" s="11">
        <v>0</v>
      </c>
      <c r="Z4" s="11">
        <f ca="1"/>
        <v>0</v>
      </c>
      <c r="AA4" s="11">
        <f ca="1"/>
        <v>0</v>
      </c>
      <c r="AB4" s="4">
        <f ca="1"/>
        <v>45629</v>
      </c>
      <c r="AC4" s="4">
        <v>45629</v>
      </c>
      <c r="AD4" s="9">
        <v>45637</v>
      </c>
      <c r="AE4" s="9">
        <v>45642</v>
      </c>
      <c r="AF4" s="4" t="str">
        <f t="shared" ca="1" si="0"/>
        <v>2024 12</v>
      </c>
      <c r="AG4" s="8" t="str" cm="1">
        <f t="array" ref="AG4">IFERROR(_xlfn.IFS('Banco de Dados'!#REF!="AG. COMPRA","Em processamento",'Banco de Dados'!#REF!="AG. RASTREIO","Em processamento",'Banco de Dados'!$AE4&lt;&gt;"-","Faturado",'Banco de Dados'!$AD4&lt;&gt;"-","Aguardando Pix",'Banco de Dados'!$AC4&lt;&gt;"-","Pendente"),"Aguardando Liberação")</f>
        <v>Aguardando Liberação</v>
      </c>
      <c r="AH4" s="5" t="str">
        <f ca="1">IF('Banco de Dados'!$F4="-",_xlfn.CONCAT(PROPER(TEXT(AK4,"aaaa"))," ",PROPER(TEXT(AK4,"mm"))),_xlfn.CONCAT(PROPER(TEXT(E4,"aaaa"))," ",PROPER(TEXT(E4,"mm"))))</f>
        <v>2024 11</v>
      </c>
      <c r="AI4" s="9" t="str">
        <f ca="1">IF('Banco de Dados'!$AK4&lt;&gt;"-","REEMBOLSO",IFERROR(_xlfn.XLOOKUP(G4,Follow[CODRASTREIO],Follow[STATUS]),"-"))</f>
        <v>REEMBOLSO</v>
      </c>
      <c r="AJ4" s="9" t="str">
        <f ca="1">IF('Banco de Dados'!$AI4="ENTREGUE",_xlfn.XLOOKUP('Banco de Dados'!$G4,Follow[CODRASTREIO],Follow[DATAATUALIZAÇÃO]),"-")</f>
        <v>-</v>
      </c>
      <c r="AK4" s="9">
        <f ca="1"/>
        <v>45599</v>
      </c>
      <c r="AL4" s="35" t="str">
        <v>NÃO</v>
      </c>
      <c r="AM4" s="109">
        <v>0.81</v>
      </c>
      <c r="AN4" s="109">
        <f ca="1">IF('Banco de Dados'!$AK4&lt;&gt;"-",IF('Banco de Dados'!$F4&lt;&gt;"-",_xlfn.XLOOKUP(IFERROR(IFERROR(IFERROR(VALUE(SUBSTITUTE(MID(_xlfn.TEXTAFTER('Banco de Dados'!$F4,"Data do Pedido:
",1),1,10),"-","/")),VALUE(SUBSTITUTE(MID(_xlfn.TEXTAFTER('Banco de Dados'!$F4,"Order date:
",1),1,10),"-","/"))),VALUE(SUBSTITUTE(MID(_xlfn.TEXTAFTER('Banco de Dados'!$F4,"Fecha de pedido:
",1),1,10),"-","/"))),"-"),SMS!A:A,SMS!K:K),0),0)</f>
        <v>0</v>
      </c>
      <c r="AO4" s="109">
        <f ca="1">IF('Banco de Dados'!$AK4&lt;&gt;"-",IF('Banco de Dados'!$F4&lt;&gt;"-",IFERROR(_xlfn.XLOOKUP(_xlfn.CONCAT('Banco de Dados'!$A4,IFERROR(IFERROR(VALUE(SUBSTITUTE(MID(_xlfn.TEXTAFTER('Banco de Dados'!$F4,"Data do Pedido:
",1),1,10),"-","/")),VALUE(SUBSTITUTE(MID(_xlfn.TEXTAFTER('Banco de Dados'!$F4,"Order date:
",1),1,10),"-","/"))),0)),ProxyDD[Chave],ProxyDD[Valor por pedido]),PROXY!$P$2),0),0)</f>
        <v>0</v>
      </c>
      <c r="AP4" s="28">
        <f ca="1">IF('Banco de Dados'!$AK4&lt;&gt;"-",IF('Banco de Dados'!$AL4="NÃO",IFERROR(VALUE(SUBSTITUTE(_xlfn.TEXTAFTER('Banco de Dados'!$F4,"BRL ",1),".",",")),0),0),0)</f>
        <v>0</v>
      </c>
      <c r="AQ4" s="28">
        <f ca="1">SUM('Banco de Dados'!$AM4:$AP4)</f>
        <v>0.81</v>
      </c>
      <c r="AR4" s="8"/>
      <c r="AS4" s="8"/>
      <c r="AY4" s="8"/>
    </row>
    <row r="5" spans="1:51">
      <c r="A5" s="5" t="str">
        <v>BV</v>
      </c>
      <c r="B5" s="5" t="str">
        <f ca="1"/>
        <v>BV-</v>
      </c>
      <c r="C5" s="8" t="str">
        <v>Pedido 4</v>
      </c>
      <c r="D5" s="9">
        <v>45627</v>
      </c>
      <c r="E5" s="9" t="str">
        <v>-</v>
      </c>
      <c r="F5" s="8" t="str">
        <v>-</v>
      </c>
      <c r="G5" s="2" t="str">
        <v>-</v>
      </c>
      <c r="H5" s="5">
        <v>1</v>
      </c>
      <c r="I5" s="2" t="str">
        <v>CPF 4</v>
      </c>
      <c r="J5" s="8" t="str">
        <v>Nome 4</v>
      </c>
      <c r="K5" s="8" t="str">
        <v>Tel 4</v>
      </c>
      <c r="L5" s="8" t="str">
        <v>Cep 4</v>
      </c>
      <c r="M5" s="8" t="str">
        <v>Rua 4</v>
      </c>
      <c r="N5" s="8" t="str">
        <v>Comp 4</v>
      </c>
      <c r="O5" s="8" t="str">
        <v>Bomba d'agua</v>
      </c>
      <c r="P5" s="8" t="str">
        <v>DJ-RO5O-43GF</v>
      </c>
      <c r="Q5" s="4">
        <v>45626</v>
      </c>
      <c r="R5" s="109">
        <v>16.5</v>
      </c>
      <c r="S5" s="11">
        <f ca="1"/>
        <v>0</v>
      </c>
      <c r="T5" s="28">
        <f ca="1"/>
        <v>0</v>
      </c>
      <c r="U5" s="11">
        <f ca="1"/>
        <v>0</v>
      </c>
      <c r="V5" s="11">
        <v>0</v>
      </c>
      <c r="W5" s="11">
        <f ca="1"/>
        <v>0</v>
      </c>
      <c r="X5" s="11">
        <f ca="1"/>
        <v>0</v>
      </c>
      <c r="Y5" s="11">
        <v>0</v>
      </c>
      <c r="Z5" s="11">
        <f ca="1"/>
        <v>0</v>
      </c>
      <c r="AA5" s="11">
        <f ca="1"/>
        <v>0</v>
      </c>
      <c r="AB5" s="4">
        <f ca="1"/>
        <v>45633</v>
      </c>
      <c r="AC5" s="4">
        <v>45633</v>
      </c>
      <c r="AD5" s="9">
        <v>45637</v>
      </c>
      <c r="AE5" s="9">
        <v>45642</v>
      </c>
      <c r="AF5" s="4" t="str">
        <f t="shared" ca="1" si="0"/>
        <v>2024 12</v>
      </c>
      <c r="AG5" s="8" t="str" cm="1">
        <f t="array" ref="AG5">IFERROR(_xlfn.IFS('Banco de Dados'!#REF!="AG. COMPRA","Em processamento",'Banco de Dados'!#REF!="AG. RASTREIO","Em processamento",'Banco de Dados'!$AE5&lt;&gt;"-","Faturado",'Banco de Dados'!$AD5&lt;&gt;"-","Aguardando Pix",'Banco de Dados'!$AC5&lt;&gt;"-","Pendente"),"Aguardando Liberação")</f>
        <v>Aguardando Liberação</v>
      </c>
      <c r="AH5" s="5" t="str">
        <f ca="1">IF('Banco de Dados'!$F5="-",_xlfn.CONCAT(PROPER(TEXT(AK5,"aaaa"))," ",PROPER(TEXT(AK5,"mm"))),_xlfn.CONCAT(PROPER(TEXT(E5,"aaaa"))," ",PROPER(TEXT(E5,"mm"))))</f>
        <v>2024 11</v>
      </c>
      <c r="AI5" s="9" t="str">
        <f ca="1">IF('Banco de Dados'!$AK5&lt;&gt;"-","REEMBOLSO",IFERROR(_xlfn.XLOOKUP(G5,Follow[CODRASTREIO],Follow[STATUS]),"-"))</f>
        <v>REEMBOLSO</v>
      </c>
      <c r="AJ5" s="9" t="str">
        <f ca="1">IF('Banco de Dados'!$AI5="ENTREGUE",_xlfn.XLOOKUP('Banco de Dados'!$G5,Follow[CODRASTREIO],Follow[DATAATUALIZAÇÃO]),"-")</f>
        <v>-</v>
      </c>
      <c r="AK5" s="9">
        <f ca="1"/>
        <v>45599</v>
      </c>
      <c r="AL5" s="35" t="str">
        <v>NÃO</v>
      </c>
      <c r="AM5" s="109">
        <v>0.46</v>
      </c>
      <c r="AN5" s="109">
        <f ca="1">IF('Banco de Dados'!$AK5&lt;&gt;"-",IF('Banco de Dados'!$F5&lt;&gt;"-",_xlfn.XLOOKUP(IFERROR(IFERROR(IFERROR(VALUE(SUBSTITUTE(MID(_xlfn.TEXTAFTER('Banco de Dados'!$F5,"Data do Pedido:
",1),1,10),"-","/")),VALUE(SUBSTITUTE(MID(_xlfn.TEXTAFTER('Banco de Dados'!$F5,"Order date:
",1),1,10),"-","/"))),VALUE(SUBSTITUTE(MID(_xlfn.TEXTAFTER('Banco de Dados'!$F5,"Fecha de pedido:
",1),1,10),"-","/"))),"-"),SMS!A:A,SMS!K:K),0),0)</f>
        <v>0</v>
      </c>
      <c r="AO5" s="109">
        <f ca="1">IF('Banco de Dados'!$AK5&lt;&gt;"-",IF('Banco de Dados'!$F5&lt;&gt;"-",IFERROR(_xlfn.XLOOKUP(_xlfn.CONCAT('Banco de Dados'!$A5,IFERROR(IFERROR(VALUE(SUBSTITUTE(MID(_xlfn.TEXTAFTER('Banco de Dados'!$F5,"Data do Pedido:
",1),1,10),"-","/")),VALUE(SUBSTITUTE(MID(_xlfn.TEXTAFTER('Banco de Dados'!$F5,"Order date:
",1),1,10),"-","/"))),0)),ProxyDD[Chave],ProxyDD[Valor por pedido]),PROXY!$P$2),0),0)</f>
        <v>0</v>
      </c>
      <c r="AP5" s="28">
        <f ca="1">IF('Banco de Dados'!$AK5&lt;&gt;"-",IF('Banco de Dados'!$AL5="NÃO",IFERROR(VALUE(SUBSTITUTE(_xlfn.TEXTAFTER('Banco de Dados'!$F5,"BRL ",1),".",",")),0),0),0)</f>
        <v>0</v>
      </c>
      <c r="AQ5" s="28">
        <f ca="1">SUM('Banco de Dados'!$AM5:$AP5)</f>
        <v>0.46</v>
      </c>
      <c r="AR5" s="8"/>
      <c r="AS5" s="8"/>
      <c r="AY5" s="8"/>
    </row>
    <row r="6" spans="1:51">
      <c r="A6" s="5" t="str">
        <v>BV</v>
      </c>
      <c r="B6" s="5" t="str">
        <f ca="1"/>
        <v>BV-</v>
      </c>
      <c r="C6" s="8" t="str">
        <v>Pedido 5</v>
      </c>
      <c r="D6" s="9">
        <v>45627</v>
      </c>
      <c r="E6" s="9" t="str">
        <v>-</v>
      </c>
      <c r="F6" s="8" t="str">
        <v>-</v>
      </c>
      <c r="G6" s="2" t="str">
        <v>-</v>
      </c>
      <c r="H6" s="5">
        <v>1</v>
      </c>
      <c r="I6" s="2" t="str">
        <v>CPF 5</v>
      </c>
      <c r="J6" s="8" t="str">
        <v>Nome 5</v>
      </c>
      <c r="K6" s="8" t="str">
        <v>Tel 5</v>
      </c>
      <c r="L6" s="8" t="str">
        <v>Cep 5</v>
      </c>
      <c r="M6" s="8" t="str">
        <v>Rua 5</v>
      </c>
      <c r="N6" s="8" t="str">
        <v>Comp 5</v>
      </c>
      <c r="O6" s="8" t="str">
        <v>Bomba d'agua</v>
      </c>
      <c r="P6" s="8" t="str">
        <v>DJ-RO5O-43GF</v>
      </c>
      <c r="Q6" s="4">
        <v>45605</v>
      </c>
      <c r="R6" s="109">
        <v>16.989999999999998</v>
      </c>
      <c r="S6" s="11">
        <f ca="1"/>
        <v>0</v>
      </c>
      <c r="T6" s="28">
        <f ca="1"/>
        <v>0</v>
      </c>
      <c r="U6" s="11">
        <f ca="1"/>
        <v>0</v>
      </c>
      <c r="V6" s="11">
        <v>0</v>
      </c>
      <c r="W6" s="11">
        <f ca="1"/>
        <v>0</v>
      </c>
      <c r="X6" s="11">
        <f ca="1"/>
        <v>0</v>
      </c>
      <c r="Y6" s="11">
        <v>0</v>
      </c>
      <c r="Z6" s="11">
        <f ca="1"/>
        <v>0</v>
      </c>
      <c r="AA6" s="11">
        <f ca="1"/>
        <v>0</v>
      </c>
      <c r="AB6" s="4">
        <f ca="1"/>
        <v>45612</v>
      </c>
      <c r="AC6" s="4">
        <v>45612</v>
      </c>
      <c r="AD6" s="9">
        <v>45617</v>
      </c>
      <c r="AE6" s="9">
        <v>45618</v>
      </c>
      <c r="AF6" s="4" t="str">
        <f t="shared" ca="1" si="0"/>
        <v>2024 11</v>
      </c>
      <c r="AG6" s="8" t="str" cm="1">
        <f t="array" ref="AG6">IFERROR(_xlfn.IFS('Banco de Dados'!#REF!="AG. COMPRA","Em processamento",'Banco de Dados'!#REF!="AG. RASTREIO","Em processamento",'Banco de Dados'!$AE6&lt;&gt;"-","Faturado",'Banco de Dados'!$AD6&lt;&gt;"-","Aguardando Pix",'Banco de Dados'!$AC6&lt;&gt;"-","Pendente"),"Aguardando Liberação")</f>
        <v>Aguardando Liberação</v>
      </c>
      <c r="AH6" s="5" t="str">
        <f ca="1">IF('Banco de Dados'!$F6="-",_xlfn.CONCAT(PROPER(TEXT(AK6,"aaaa"))," ",PROPER(TEXT(AK6,"mm"))),_xlfn.CONCAT(PROPER(TEXT(E6,"aaaa"))," ",PROPER(TEXT(E6,"mm"))))</f>
        <v>2024 11</v>
      </c>
      <c r="AI6" s="9" t="str">
        <f ca="1">IF('Banco de Dados'!$AK6&lt;&gt;"-","REEMBOLSO",IFERROR(_xlfn.XLOOKUP(G6,Follow[CODRASTREIO],Follow[STATUS]),"-"))</f>
        <v>REEMBOLSO</v>
      </c>
      <c r="AJ6" s="9" t="str">
        <f ca="1">IF('Banco de Dados'!$AI6="ENTREGUE",_xlfn.XLOOKUP('Banco de Dados'!$G6,Follow[CODRASTREIO],Follow[DATAATUALIZAÇÃO]),"-")</f>
        <v>-</v>
      </c>
      <c r="AK6" s="9">
        <f ca="1"/>
        <v>45597</v>
      </c>
      <c r="AL6" s="35" t="str">
        <v>NÃO</v>
      </c>
      <c r="AM6" s="109">
        <v>0.48</v>
      </c>
      <c r="AN6" s="109">
        <f ca="1">IF('Banco de Dados'!$AK6&lt;&gt;"-",IF('Banco de Dados'!$F6&lt;&gt;"-",_xlfn.XLOOKUP(IFERROR(IFERROR(IFERROR(VALUE(SUBSTITUTE(MID(_xlfn.TEXTAFTER('Banco de Dados'!$F6,"Data do Pedido:
",1),1,10),"-","/")),VALUE(SUBSTITUTE(MID(_xlfn.TEXTAFTER('Banco de Dados'!$F6,"Order date:
",1),1,10),"-","/"))),VALUE(SUBSTITUTE(MID(_xlfn.TEXTAFTER('Banco de Dados'!$F6,"Fecha de pedido:
",1),1,10),"-","/"))),"-"),SMS!A:A,SMS!K:K),0),0)</f>
        <v>0</v>
      </c>
      <c r="AO6" s="109">
        <f ca="1">IF('Banco de Dados'!$AK6&lt;&gt;"-",IF('Banco de Dados'!$F6&lt;&gt;"-",IFERROR(_xlfn.XLOOKUP(_xlfn.CONCAT('Banco de Dados'!$A6,IFERROR(IFERROR(VALUE(SUBSTITUTE(MID(_xlfn.TEXTAFTER('Banco de Dados'!$F6,"Data do Pedido:
",1),1,10),"-","/")),VALUE(SUBSTITUTE(MID(_xlfn.TEXTAFTER('Banco de Dados'!$F6,"Order date:
",1),1,10),"-","/"))),0)),ProxyDD[Chave],ProxyDD[Valor por pedido]),PROXY!$P$2),0),0)</f>
        <v>0</v>
      </c>
      <c r="AP6" s="28">
        <f ca="1">IF('Banco de Dados'!$AK6&lt;&gt;"-",IF('Banco de Dados'!$AL6="NÃO",IFERROR(VALUE(SUBSTITUTE(_xlfn.TEXTAFTER('Banco de Dados'!$F6,"BRL ",1),".",",")),0),0),0)</f>
        <v>0</v>
      </c>
      <c r="AQ6" s="28">
        <f ca="1">SUM('Banco de Dados'!$AM6:$AP6)</f>
        <v>0.48</v>
      </c>
      <c r="AR6" s="8"/>
      <c r="AS6" s="8"/>
      <c r="AY6" s="8"/>
    </row>
    <row r="7" spans="1:51">
      <c r="A7" s="5" t="str">
        <v>BV</v>
      </c>
      <c r="B7" s="5" t="str">
        <f ca="1"/>
        <v>BV-</v>
      </c>
      <c r="C7" s="8" t="str">
        <v>Pedido 6</v>
      </c>
      <c r="D7" s="9">
        <v>45627</v>
      </c>
      <c r="E7" s="9" t="str">
        <v>-</v>
      </c>
      <c r="F7" s="8" t="str">
        <v>-</v>
      </c>
      <c r="G7" s="2" t="str">
        <v>-</v>
      </c>
      <c r="H7" s="5">
        <v>1</v>
      </c>
      <c r="I7" s="2" t="str">
        <v>CPF 6</v>
      </c>
      <c r="J7" s="8" t="str">
        <v>Nome 6</v>
      </c>
      <c r="K7" s="8" t="str">
        <v>Tel 6</v>
      </c>
      <c r="L7" s="8" t="str">
        <v>Cep 6</v>
      </c>
      <c r="M7" s="8" t="str">
        <v>Rua 6</v>
      </c>
      <c r="N7" s="8" t="str">
        <v>Comp 6</v>
      </c>
      <c r="O7" s="8" t="str">
        <v>Mini Liquidificador</v>
      </c>
      <c r="P7" s="8" t="str">
        <v>CK-YL6M-P5Y6</v>
      </c>
      <c r="Q7" s="4">
        <v>45610</v>
      </c>
      <c r="R7" s="109">
        <v>31.99</v>
      </c>
      <c r="S7" s="11">
        <f ca="1"/>
        <v>0</v>
      </c>
      <c r="T7" s="28">
        <f ca="1"/>
        <v>0</v>
      </c>
      <c r="U7" s="11">
        <f ca="1"/>
        <v>0</v>
      </c>
      <c r="V7" s="11">
        <v>0</v>
      </c>
      <c r="W7" s="11">
        <f ca="1"/>
        <v>0</v>
      </c>
      <c r="X7" s="11">
        <f ca="1"/>
        <v>0</v>
      </c>
      <c r="Y7" s="11">
        <v>0</v>
      </c>
      <c r="Z7" s="11">
        <f ca="1"/>
        <v>0</v>
      </c>
      <c r="AA7" s="11">
        <f ca="1"/>
        <v>0</v>
      </c>
      <c r="AB7" s="4">
        <f ca="1"/>
        <v>45617</v>
      </c>
      <c r="AC7" s="4">
        <v>45617</v>
      </c>
      <c r="AD7" s="9">
        <v>45617</v>
      </c>
      <c r="AE7" s="9">
        <v>45618</v>
      </c>
      <c r="AF7" s="4" t="str">
        <f t="shared" ca="1" si="0"/>
        <v>2024 11</v>
      </c>
      <c r="AG7" s="8" t="str" cm="1">
        <f t="array" ref="AG7">IFERROR(_xlfn.IFS('Banco de Dados'!#REF!="AG. COMPRA","Em processamento",'Banco de Dados'!#REF!="AG. RASTREIO","Em processamento",'Banco de Dados'!$AE7&lt;&gt;"-","Faturado",'Banco de Dados'!$AD7&lt;&gt;"-","Aguardando Pix",'Banco de Dados'!$AC7&lt;&gt;"-","Pendente"),"Aguardando Liberação")</f>
        <v>Aguardando Liberação</v>
      </c>
      <c r="AH7" s="5" t="str">
        <f ca="1">IF('Banco de Dados'!$F7="-",_xlfn.CONCAT(PROPER(TEXT(AK7,"aaaa"))," ",PROPER(TEXT(AK7,"mm"))),_xlfn.CONCAT(PROPER(TEXT(E7,"aaaa"))," ",PROPER(TEXT(E7,"mm"))))</f>
        <v>2024 11</v>
      </c>
      <c r="AI7" s="9" t="str">
        <f ca="1">IF('Banco de Dados'!$AK7&lt;&gt;"-","REEMBOLSO",IFERROR(_xlfn.XLOOKUP(G7,Follow[CODRASTREIO],Follow[STATUS]),"-"))</f>
        <v>REEMBOLSO</v>
      </c>
      <c r="AJ7" s="9" t="str">
        <f ca="1">IF('Banco de Dados'!$AI7="ENTREGUE",_xlfn.XLOOKUP('Banco de Dados'!$G7,Follow[CODRASTREIO],Follow[DATAATUALIZAÇÃO]),"-")</f>
        <v>-</v>
      </c>
      <c r="AK7" s="9">
        <f ca="1"/>
        <v>45597</v>
      </c>
      <c r="AL7" s="35" t="str">
        <v>NÃO</v>
      </c>
      <c r="AM7" s="109">
        <v>0.83</v>
      </c>
      <c r="AN7" s="109">
        <f ca="1">IF('Banco de Dados'!$AK7&lt;&gt;"-",IF('Banco de Dados'!$F7&lt;&gt;"-",_xlfn.XLOOKUP(IFERROR(IFERROR(IFERROR(VALUE(SUBSTITUTE(MID(_xlfn.TEXTAFTER('Banco de Dados'!$F7,"Data do Pedido:
",1),1,10),"-","/")),VALUE(SUBSTITUTE(MID(_xlfn.TEXTAFTER('Banco de Dados'!$F7,"Order date:
",1),1,10),"-","/"))),VALUE(SUBSTITUTE(MID(_xlfn.TEXTAFTER('Banco de Dados'!$F7,"Fecha de pedido:
",1),1,10),"-","/"))),"-"),SMS!A:A,SMS!K:K),0),0)</f>
        <v>0</v>
      </c>
      <c r="AO7" s="109">
        <f ca="1">IF('Banco de Dados'!$AK7&lt;&gt;"-",IF('Banco de Dados'!$F7&lt;&gt;"-",IFERROR(_xlfn.XLOOKUP(_xlfn.CONCAT('Banco de Dados'!$A7,IFERROR(IFERROR(VALUE(SUBSTITUTE(MID(_xlfn.TEXTAFTER('Banco de Dados'!$F7,"Data do Pedido:
",1),1,10),"-","/")),VALUE(SUBSTITUTE(MID(_xlfn.TEXTAFTER('Banco de Dados'!$F7,"Order date:
",1),1,10),"-","/"))),0)),ProxyDD[Chave],ProxyDD[Valor por pedido]),PROXY!$P$2),0),0)</f>
        <v>0</v>
      </c>
      <c r="AP7" s="28">
        <f ca="1">IF('Banco de Dados'!$AK7&lt;&gt;"-",IF('Banco de Dados'!$AL7="NÃO",IFERROR(VALUE(SUBSTITUTE(_xlfn.TEXTAFTER('Banco de Dados'!$F7,"BRL ",1),".",",")),0),0),0)</f>
        <v>0</v>
      </c>
      <c r="AQ7" s="28">
        <f ca="1">SUM('Banco de Dados'!$AM7:$AP7)</f>
        <v>0.83</v>
      </c>
      <c r="AR7" s="8"/>
      <c r="AS7" s="8"/>
      <c r="AY7" s="8"/>
    </row>
    <row r="8" spans="1:51">
      <c r="A8" s="5" t="str">
        <v>BV</v>
      </c>
      <c r="B8" s="5" t="str">
        <f ca="1"/>
        <v>BV-</v>
      </c>
      <c r="C8" s="8" t="str">
        <v>Pedido 7</v>
      </c>
      <c r="D8" s="9">
        <v>45627</v>
      </c>
      <c r="E8" s="9" t="str">
        <v>-</v>
      </c>
      <c r="F8" s="8" t="str">
        <v>-</v>
      </c>
      <c r="G8" s="2" t="str">
        <v>-</v>
      </c>
      <c r="H8" s="5">
        <v>1</v>
      </c>
      <c r="I8" s="2" t="str">
        <v>CPF 7</v>
      </c>
      <c r="J8" s="8" t="str">
        <v>Nome 7</v>
      </c>
      <c r="K8" s="8" t="str">
        <v>Tel 7</v>
      </c>
      <c r="L8" s="8" t="str">
        <v>Cep 7</v>
      </c>
      <c r="M8" s="8" t="str">
        <v>Rua 7</v>
      </c>
      <c r="N8" s="8" t="str">
        <v>Comp 7</v>
      </c>
      <c r="O8" s="8" t="str">
        <v>Ventilador Rosa</v>
      </c>
      <c r="P8" s="8" t="str">
        <v>IF-G2ZQ-79FO</v>
      </c>
      <c r="Q8" s="4">
        <v>45610</v>
      </c>
      <c r="R8" s="109">
        <v>59.99</v>
      </c>
      <c r="S8" s="11">
        <f ca="1"/>
        <v>0</v>
      </c>
      <c r="T8" s="28">
        <f ca="1"/>
        <v>0</v>
      </c>
      <c r="U8" s="11">
        <f ca="1"/>
        <v>0</v>
      </c>
      <c r="V8" s="11">
        <v>0</v>
      </c>
      <c r="W8" s="11">
        <f ca="1"/>
        <v>0</v>
      </c>
      <c r="X8" s="11">
        <f ca="1"/>
        <v>0</v>
      </c>
      <c r="Y8" s="11">
        <v>0</v>
      </c>
      <c r="Z8" s="11">
        <f ca="1"/>
        <v>0</v>
      </c>
      <c r="AA8" s="11">
        <f ca="1"/>
        <v>0</v>
      </c>
      <c r="AB8" s="4">
        <f ca="1"/>
        <v>45617</v>
      </c>
      <c r="AC8" s="4">
        <v>45617</v>
      </c>
      <c r="AD8" s="9">
        <v>45617</v>
      </c>
      <c r="AE8" s="9">
        <v>45618</v>
      </c>
      <c r="AF8" s="4" t="str">
        <f t="shared" ca="1" si="0"/>
        <v>2024 11</v>
      </c>
      <c r="AG8" s="8" t="str" cm="1">
        <f t="array" ref="AG8">IFERROR(_xlfn.IFS('Banco de Dados'!#REF!="AG. COMPRA","Em processamento",'Banco de Dados'!#REF!="AG. RASTREIO","Em processamento",'Banco de Dados'!$AE8&lt;&gt;"-","Faturado",'Banco de Dados'!$AD8&lt;&gt;"-","Aguardando Pix",'Banco de Dados'!$AC8&lt;&gt;"-","Pendente"),"Aguardando Liberação")</f>
        <v>Aguardando Liberação</v>
      </c>
      <c r="AH8" s="5" t="str">
        <f ca="1">IF('Banco de Dados'!$F8="-",_xlfn.CONCAT(PROPER(TEXT(AK8,"aaaa"))," ",PROPER(TEXT(AK8,"mm"))),_xlfn.CONCAT(PROPER(TEXT(E8,"aaaa"))," ",PROPER(TEXT(E8,"mm"))))</f>
        <v>2024 10</v>
      </c>
      <c r="AI8" s="9" t="str">
        <f ca="1">IF('Banco de Dados'!$AK8&lt;&gt;"-","REEMBOLSO",IFERROR(_xlfn.XLOOKUP(G8,Follow[CODRASTREIO],Follow[STATUS]),"-"))</f>
        <v>REEMBOLSO</v>
      </c>
      <c r="AJ8" s="9" t="str">
        <f ca="1">IF('Banco de Dados'!$AI8="ENTREGUE",_xlfn.XLOOKUP('Banco de Dados'!$G8,Follow[CODRASTREIO],Follow[DATAATUALIZAÇÃO]),"-")</f>
        <v>-</v>
      </c>
      <c r="AK8" s="9">
        <f ca="1"/>
        <v>45591</v>
      </c>
      <c r="AL8" s="35" t="str">
        <v>NÃO</v>
      </c>
      <c r="AM8" s="109">
        <v>1.56</v>
      </c>
      <c r="AN8" s="109">
        <f ca="1">IF('Banco de Dados'!$AK8&lt;&gt;"-",IF('Banco de Dados'!$F8&lt;&gt;"-",_xlfn.XLOOKUP(IFERROR(IFERROR(IFERROR(VALUE(SUBSTITUTE(MID(_xlfn.TEXTAFTER('Banco de Dados'!$F8,"Data do Pedido:
",1),1,10),"-","/")),VALUE(SUBSTITUTE(MID(_xlfn.TEXTAFTER('Banco de Dados'!$F8,"Order date:
",1),1,10),"-","/"))),VALUE(SUBSTITUTE(MID(_xlfn.TEXTAFTER('Banco de Dados'!$F8,"Fecha de pedido:
",1),1,10),"-","/"))),"-"),SMS!A:A,SMS!K:K),0),0)</f>
        <v>0</v>
      </c>
      <c r="AO8" s="109">
        <f ca="1">IF('Banco de Dados'!$AK8&lt;&gt;"-",IF('Banco de Dados'!$F8&lt;&gt;"-",IFERROR(_xlfn.XLOOKUP(_xlfn.CONCAT('Banco de Dados'!$A8,IFERROR(IFERROR(VALUE(SUBSTITUTE(MID(_xlfn.TEXTAFTER('Banco de Dados'!$F8,"Data do Pedido:
",1),1,10),"-","/")),VALUE(SUBSTITUTE(MID(_xlfn.TEXTAFTER('Banco de Dados'!$F8,"Order date:
",1),1,10),"-","/"))),0)),ProxyDD[Chave],ProxyDD[Valor por pedido]),PROXY!$P$2),0),0)</f>
        <v>0</v>
      </c>
      <c r="AP8" s="28">
        <f ca="1">IF('Banco de Dados'!$AK8&lt;&gt;"-",IF('Banco de Dados'!$AL8="NÃO",IFERROR(VALUE(SUBSTITUTE(_xlfn.TEXTAFTER('Banco de Dados'!$F8,"BRL ",1),".",",")),0),0),0)</f>
        <v>0</v>
      </c>
      <c r="AQ8" s="28">
        <f ca="1">SUM('Banco de Dados'!$AM8:$AP8)</f>
        <v>1.56</v>
      </c>
      <c r="AR8" s="8"/>
      <c r="AS8" s="8"/>
      <c r="AY8" s="8"/>
    </row>
    <row r="9" spans="1:51">
      <c r="A9" s="5" t="str">
        <v>BV</v>
      </c>
      <c r="B9" s="5" t="str">
        <f ca="1"/>
        <v>BV-</v>
      </c>
      <c r="C9" s="8" t="str">
        <v>Pedido 8</v>
      </c>
      <c r="D9" s="9">
        <v>45627</v>
      </c>
      <c r="E9" s="9" t="str">
        <v>-</v>
      </c>
      <c r="F9" s="8" t="str">
        <v>-</v>
      </c>
      <c r="G9" s="2" t="str">
        <v>-</v>
      </c>
      <c r="H9" s="5">
        <v>1</v>
      </c>
      <c r="I9" s="2" t="str">
        <v>CPF 8</v>
      </c>
      <c r="J9" s="8" t="str">
        <v>Nome 8</v>
      </c>
      <c r="K9" s="8" t="str">
        <v>Tel 8</v>
      </c>
      <c r="L9" s="8" t="str">
        <v>Cep 8</v>
      </c>
      <c r="M9" s="8" t="str">
        <v>Rua 8</v>
      </c>
      <c r="N9" s="8" t="str">
        <v>Comp 8</v>
      </c>
      <c r="O9" s="8" t="str">
        <v>Mini Liquidificador</v>
      </c>
      <c r="P9" s="8" t="str">
        <v>CK-YL6M-P5Y6</v>
      </c>
      <c r="Q9" s="4">
        <v>45602</v>
      </c>
      <c r="R9" s="109">
        <v>26.99</v>
      </c>
      <c r="S9" s="11">
        <f ca="1"/>
        <v>0</v>
      </c>
      <c r="T9" s="28">
        <f ca="1"/>
        <v>0</v>
      </c>
      <c r="U9" s="11">
        <f ca="1"/>
        <v>0</v>
      </c>
      <c r="V9" s="11">
        <v>0</v>
      </c>
      <c r="W9" s="11">
        <f ca="1"/>
        <v>0</v>
      </c>
      <c r="X9" s="11">
        <f ca="1"/>
        <v>0</v>
      </c>
      <c r="Y9" s="11">
        <v>0</v>
      </c>
      <c r="Z9" s="11">
        <f ca="1"/>
        <v>0</v>
      </c>
      <c r="AA9" s="11">
        <f ca="1"/>
        <v>0</v>
      </c>
      <c r="AB9" s="4">
        <f ca="1"/>
        <v>45609</v>
      </c>
      <c r="AC9" s="4">
        <v>45609</v>
      </c>
      <c r="AD9" s="9">
        <v>45609</v>
      </c>
      <c r="AE9" s="9">
        <v>45618</v>
      </c>
      <c r="AF9" s="4" t="str">
        <f t="shared" ca="1" si="0"/>
        <v>2024 11</v>
      </c>
      <c r="AG9" s="8" t="str" cm="1">
        <f t="array" ref="AG9">IFERROR(_xlfn.IFS('Banco de Dados'!#REF!="AG. COMPRA","Em processamento",'Banco de Dados'!#REF!="AG. RASTREIO","Em processamento",'Banco de Dados'!$AE9&lt;&gt;"-","Faturado",'Banco de Dados'!$AD9&lt;&gt;"-","Aguardando Pix",'Banco de Dados'!$AC9&lt;&gt;"-","Pendente"),"Aguardando Liberação")</f>
        <v>Aguardando Liberação</v>
      </c>
      <c r="AH9" s="5" t="str">
        <f ca="1">IF('Banco de Dados'!$F9="-",_xlfn.CONCAT(PROPER(TEXT(AK9,"aaaa"))," ",PROPER(TEXT(AK9,"mm"))),_xlfn.CONCAT(PROPER(TEXT(E9,"aaaa"))," ",PROPER(TEXT(E9,"mm"))))</f>
        <v>2024 10</v>
      </c>
      <c r="AI9" s="9" t="str">
        <f ca="1">IF('Banco de Dados'!$AK9&lt;&gt;"-","REEMBOLSO",IFERROR(_xlfn.XLOOKUP(G9,Follow[CODRASTREIO],Follow[STATUS]),"-"))</f>
        <v>REEMBOLSO</v>
      </c>
      <c r="AJ9" s="9" t="str">
        <f ca="1">IF('Banco de Dados'!$AI9="ENTREGUE",_xlfn.XLOOKUP('Banco de Dados'!$G9,Follow[CODRASTREIO],Follow[DATAATUALIZAÇÃO]),"-")</f>
        <v>-</v>
      </c>
      <c r="AK9" s="9">
        <f ca="1"/>
        <v>45591</v>
      </c>
      <c r="AL9" s="35" t="str">
        <v>NÃO</v>
      </c>
      <c r="AM9" s="109">
        <v>0.7</v>
      </c>
      <c r="AN9" s="109">
        <f ca="1">IF('Banco de Dados'!$AK9&lt;&gt;"-",IF('Banco de Dados'!$F9&lt;&gt;"-",_xlfn.XLOOKUP(IFERROR(IFERROR(IFERROR(VALUE(SUBSTITUTE(MID(_xlfn.TEXTAFTER('Banco de Dados'!$F9,"Data do Pedido:
",1),1,10),"-","/")),VALUE(SUBSTITUTE(MID(_xlfn.TEXTAFTER('Banco de Dados'!$F9,"Order date:
",1),1,10),"-","/"))),VALUE(SUBSTITUTE(MID(_xlfn.TEXTAFTER('Banco de Dados'!$F9,"Fecha de pedido:
",1),1,10),"-","/"))),"-"),SMS!A:A,SMS!K:K),0),0)</f>
        <v>0</v>
      </c>
      <c r="AO9" s="109">
        <f ca="1">IF('Banco de Dados'!$AK9&lt;&gt;"-",IF('Banco de Dados'!$F9&lt;&gt;"-",IFERROR(_xlfn.XLOOKUP(_xlfn.CONCAT('Banco de Dados'!$A9,IFERROR(IFERROR(VALUE(SUBSTITUTE(MID(_xlfn.TEXTAFTER('Banco de Dados'!$F9,"Data do Pedido:
",1),1,10),"-","/")),VALUE(SUBSTITUTE(MID(_xlfn.TEXTAFTER('Banco de Dados'!$F9,"Order date:
",1),1,10),"-","/"))),0)),ProxyDD[Chave],ProxyDD[Valor por pedido]),PROXY!$P$2),0),0)</f>
        <v>0</v>
      </c>
      <c r="AP9" s="28">
        <f ca="1">IF('Banco de Dados'!$AK9&lt;&gt;"-",IF('Banco de Dados'!$AL9="NÃO",IFERROR(VALUE(SUBSTITUTE(_xlfn.TEXTAFTER('Banco de Dados'!$F9,"BRL ",1),".",",")),0),0),0)</f>
        <v>0</v>
      </c>
      <c r="AQ9" s="28">
        <f ca="1">SUM('Banco de Dados'!$AM9:$AP9)</f>
        <v>0.7</v>
      </c>
      <c r="AR9" s="8"/>
      <c r="AS9" s="8"/>
      <c r="AY9" s="8"/>
    </row>
    <row r="10" spans="1:51">
      <c r="A10" s="5" t="str">
        <v>BV</v>
      </c>
      <c r="B10" s="5" t="str">
        <f ca="1"/>
        <v>BV-</v>
      </c>
      <c r="C10" s="8" t="str">
        <v>Pedido 9</v>
      </c>
      <c r="D10" s="9">
        <v>45627</v>
      </c>
      <c r="E10" s="9" t="str">
        <v>-</v>
      </c>
      <c r="F10" s="8" t="str">
        <v>-</v>
      </c>
      <c r="G10" s="2" t="str">
        <v>-</v>
      </c>
      <c r="H10" s="5">
        <v>1</v>
      </c>
      <c r="I10" s="2" t="str">
        <v>CPF 9</v>
      </c>
      <c r="J10" s="8" t="str">
        <v>Nome 9</v>
      </c>
      <c r="K10" s="8" t="str">
        <v>Tel 9</v>
      </c>
      <c r="L10" s="8" t="str">
        <v>Cep 9</v>
      </c>
      <c r="M10" s="8" t="str">
        <v>Rua 9</v>
      </c>
      <c r="N10" s="8" t="str">
        <v>Comp 9</v>
      </c>
      <c r="O10" s="8" t="str">
        <v>Suporte de Celular Branco</v>
      </c>
      <c r="P10" s="8" t="str">
        <v>16-4EDB-WMZF</v>
      </c>
      <c r="Q10" s="4">
        <v>45611</v>
      </c>
      <c r="R10" s="109">
        <v>14.99</v>
      </c>
      <c r="S10" s="11">
        <f ca="1"/>
        <v>0</v>
      </c>
      <c r="T10" s="28">
        <f ca="1"/>
        <v>0</v>
      </c>
      <c r="U10" s="11">
        <f ca="1"/>
        <v>0</v>
      </c>
      <c r="V10" s="11">
        <v>0</v>
      </c>
      <c r="W10" s="11">
        <f ca="1"/>
        <v>0</v>
      </c>
      <c r="X10" s="11">
        <f ca="1"/>
        <v>0</v>
      </c>
      <c r="Y10" s="11">
        <v>0</v>
      </c>
      <c r="Z10" s="11">
        <f ca="1"/>
        <v>0</v>
      </c>
      <c r="AA10" s="11">
        <f ca="1"/>
        <v>0</v>
      </c>
      <c r="AB10" s="4">
        <f ca="1"/>
        <v>45618</v>
      </c>
      <c r="AC10" s="4">
        <v>45618</v>
      </c>
      <c r="AD10" s="9">
        <v>45618</v>
      </c>
      <c r="AE10" s="9">
        <v>45625</v>
      </c>
      <c r="AF10" s="4" t="str">
        <f t="shared" ca="1" si="0"/>
        <v>2024 11</v>
      </c>
      <c r="AG10" s="8" t="str" cm="1">
        <f t="array" ref="AG10">IFERROR(_xlfn.IFS('Banco de Dados'!#REF!="AG. COMPRA","Em processamento",'Banco de Dados'!#REF!="AG. RASTREIO","Em processamento",'Banco de Dados'!$AE10&lt;&gt;"-","Faturado",'Banco de Dados'!$AD10&lt;&gt;"-","Aguardando Pix",'Banco de Dados'!$AC10&lt;&gt;"-","Pendente"),"Aguardando Liberação")</f>
        <v>Aguardando Liberação</v>
      </c>
      <c r="AH10" s="5" t="str">
        <f ca="1">IF('Banco de Dados'!$F10="-",_xlfn.CONCAT(PROPER(TEXT(AK10,"aaaa"))," ",PROPER(TEXT(AK10,"mm"))),_xlfn.CONCAT(PROPER(TEXT(E10,"aaaa"))," ",PROPER(TEXT(E10,"mm"))))</f>
        <v>2024 10</v>
      </c>
      <c r="AI10" s="9" t="str">
        <f ca="1">IF('Banco de Dados'!$AK10&lt;&gt;"-","REEMBOLSO",IFERROR(_xlfn.XLOOKUP(G10,Follow[CODRASTREIO],Follow[STATUS]),"-"))</f>
        <v>REEMBOLSO</v>
      </c>
      <c r="AJ10" s="9" t="str">
        <f ca="1">IF('Banco de Dados'!$AI10="ENTREGUE",_xlfn.XLOOKUP('Banco de Dados'!$G10,Follow[CODRASTREIO],Follow[DATAATUALIZAÇÃO]),"-")</f>
        <v>-</v>
      </c>
      <c r="AK10" s="9">
        <f ca="1"/>
        <v>45589</v>
      </c>
      <c r="AL10" s="35" t="str">
        <v>NÃO</v>
      </c>
      <c r="AM10" s="109" cm="1">
        <f t="array" aca="1" ref="AM10" ca="1">IF('Banco de Dados'!$AK10&lt;&gt;"-",_xlfn.IFS('Banco de Dados'!$A10="bv",IF('Banco de Dados'!$E10&lt;45641,ROUND(SUM('Banco de Dados'!$R10*_xlfn.XLOOKUP('Banco de Dados'!$P10,Sku!B:B,Sku!#REF!)*20%),2),ROUND(SUM('Banco de Dados'!$R10*_xlfn.XLOOKUP('Banco de Dados'!$P10,Sku!B:B,Sku!H:H)*20%),2)),'Banco de Dados'!$A10="GO",ROUND(_xlfn.XLOOKUP('Banco de Dados'!$P10,Sku!C:C,Sku!H:H),2),'Banco de Dados'!$A10="MEI",ROUND(_xlfn.XLOOKUP('Banco de Dados'!$P10,Sku!D:D,Sku!H:H),2)),0)</f>
        <v>0.45</v>
      </c>
      <c r="AN10" s="109">
        <f ca="1">IF('Banco de Dados'!$AK10&lt;&gt;"-",IF('Banco de Dados'!$F10&lt;&gt;"-",_xlfn.XLOOKUP(IFERROR(IFERROR(IFERROR(VALUE(SUBSTITUTE(MID(_xlfn.TEXTAFTER('Banco de Dados'!$F10,"Data do Pedido:
",1),1,10),"-","/")),VALUE(SUBSTITUTE(MID(_xlfn.TEXTAFTER('Banco de Dados'!$F10,"Order date:
",1),1,10),"-","/"))),VALUE(SUBSTITUTE(MID(_xlfn.TEXTAFTER('Banco de Dados'!$F10,"Fecha de pedido:
",1),1,10),"-","/"))),"-"),SMS!A:A,SMS!K:K),0),0)</f>
        <v>0</v>
      </c>
      <c r="AO10" s="109">
        <f ca="1">IF('Banco de Dados'!$AK10&lt;&gt;"-",IF('Banco de Dados'!$F10&lt;&gt;"-",IFERROR(_xlfn.XLOOKUP(_xlfn.CONCAT('Banco de Dados'!$A10,IFERROR(IFERROR(VALUE(SUBSTITUTE(MID(_xlfn.TEXTAFTER('Banco de Dados'!$F10,"Data do Pedido:
",1),1,10),"-","/")),VALUE(SUBSTITUTE(MID(_xlfn.TEXTAFTER('Banco de Dados'!$F10,"Order date:
",1),1,10),"-","/"))),0)),ProxyDD[Chave],ProxyDD[Valor por pedido]),PROXY!$P$2),0),0)</f>
        <v>0</v>
      </c>
      <c r="AP10" s="28">
        <f ca="1">IF('Banco de Dados'!$AK10&lt;&gt;"-",IF('Banco de Dados'!$AL10="NÃO",IFERROR(VALUE(SUBSTITUTE(_xlfn.TEXTAFTER('Banco de Dados'!$F10,"BRL ",1),".",",")),0),0),0)</f>
        <v>0</v>
      </c>
      <c r="AQ10" s="28">
        <f ca="1">SUM('Banco de Dados'!$AM10:$AP10)</f>
        <v>0.45</v>
      </c>
      <c r="AR10" s="8"/>
      <c r="AS10" s="8"/>
      <c r="AY10" s="8"/>
    </row>
    <row r="11" spans="1:51">
      <c r="A11" s="5" t="str">
        <v>BV</v>
      </c>
      <c r="B11" s="5" t="str">
        <f ca="1"/>
        <v>BV45585</v>
      </c>
      <c r="C11" s="8" t="str">
        <v>Pedido 10</v>
      </c>
      <c r="D11" s="9">
        <v>45585</v>
      </c>
      <c r="E11" s="9">
        <v>45585</v>
      </c>
      <c r="F11" s="8" t="str">
        <v>PedidoF1</v>
      </c>
      <c r="G11" s="2" t="str">
        <v>CódRastreio1</v>
      </c>
      <c r="H11" s="5">
        <v>1</v>
      </c>
      <c r="I11" s="2" t="str">
        <v>CPF 10</v>
      </c>
      <c r="J11" s="8" t="str">
        <v>Nome 10</v>
      </c>
      <c r="K11" s="8" t="str">
        <v>Tel 10</v>
      </c>
      <c r="L11" s="8" t="str">
        <v>Cep 10</v>
      </c>
      <c r="M11" s="8" t="str">
        <v>Rua 10</v>
      </c>
      <c r="N11" s="8" t="str">
        <v>Comp 10</v>
      </c>
      <c r="O11" s="8" t="str">
        <v>Suporte de Celular Branco</v>
      </c>
      <c r="P11" s="8" t="str">
        <v>16-4EDB-WMZF</v>
      </c>
      <c r="Q11" s="4">
        <v>45601</v>
      </c>
      <c r="R11" s="109">
        <v>14.99</v>
      </c>
      <c r="S11" s="11">
        <f ca="1"/>
        <v>14.99</v>
      </c>
      <c r="T11" s="28">
        <f ca="1"/>
        <v>2.2484999999999999</v>
      </c>
      <c r="U11" s="11">
        <f ca="1"/>
        <v>12.74</v>
      </c>
      <c r="V11" s="11">
        <v>4.99</v>
      </c>
      <c r="W11" s="11">
        <f ca="1"/>
        <v>0.6</v>
      </c>
      <c r="X11" s="11">
        <f ca="1"/>
        <v>0.39877104377104378</v>
      </c>
      <c r="Y11" s="11">
        <v>0</v>
      </c>
      <c r="Z11" s="11">
        <f ca="1"/>
        <v>6.7512289562289567</v>
      </c>
      <c r="AA11" s="11">
        <f ca="1"/>
        <v>3.3756144781144783</v>
      </c>
      <c r="AB11" s="4">
        <f ca="1"/>
        <v>45608</v>
      </c>
      <c r="AC11" s="4">
        <v>45608</v>
      </c>
      <c r="AD11" s="9">
        <v>45609</v>
      </c>
      <c r="AE11" s="9">
        <v>45618</v>
      </c>
      <c r="AF11" s="4" t="str">
        <f t="shared" ca="1" si="0"/>
        <v>2024 11</v>
      </c>
      <c r="AG11" s="8" t="str" cm="1">
        <f t="array" ref="AG11">IFERROR(_xlfn.IFS('Banco de Dados'!#REF!="AG. COMPRA","Em processamento",'Banco de Dados'!#REF!="AG. RASTREIO","Em processamento",'Banco de Dados'!$AE11&lt;&gt;"-","Faturado",'Banco de Dados'!$AD11&lt;&gt;"-","Aguardando Pix",'Banco de Dados'!$AC11&lt;&gt;"-","Pendente"),"Aguardando Liberação")</f>
        <v>Aguardando Liberação</v>
      </c>
      <c r="AH11" s="5" t="str">
        <f>IF('Banco de Dados'!$F11="-",_xlfn.CONCAT(PROPER(TEXT(AK11,"aaaa"))," ",PROPER(TEXT(AK11,"mm"))),_xlfn.CONCAT(PROPER(TEXT(E11,"aaaa"))," ",PROPER(TEXT(E11,"mm"))))</f>
        <v>2024 10</v>
      </c>
      <c r="AI11" s="9" t="str">
        <f ca="1">IF('Banco de Dados'!$AK11&lt;&gt;"-","REEMBOLSO",IFERROR(_xlfn.XLOOKUP(G11,Follow[CODRASTREIO],Follow[STATUS]),"-"))</f>
        <v>ENTREGUE</v>
      </c>
      <c r="AJ11" s="9">
        <f ca="1">IF('Banco de Dados'!$AI11="ENTREGUE",_xlfn.XLOOKUP('Banco de Dados'!$G11,Follow[CODRASTREIO],Follow[DATAATUALIZAÇÃO]),"-")</f>
        <v>45594</v>
      </c>
      <c r="AK11" s="9" t="str">
        <f ca="1"/>
        <v>-</v>
      </c>
      <c r="AL11" s="35" t="str">
        <v>-</v>
      </c>
      <c r="AM11" s="109" cm="1">
        <f t="array" aca="1" ref="AM11" ca="1">IF('Banco de Dados'!$AK11&lt;&gt;"-",_xlfn.IFS('Banco de Dados'!$A11="bv",IF('Banco de Dados'!$E11&lt;45641,ROUND(SUM('Banco de Dados'!$R11*_xlfn.XLOOKUP('Banco de Dados'!$P11,Sku!B:B,Sku!#REF!)*20%),2),ROUND(SUM('Banco de Dados'!$R11*_xlfn.XLOOKUP('Banco de Dados'!$P11,Sku!B:B,Sku!H:H)*20%),2)),'Banco de Dados'!$A11="GO",ROUND(_xlfn.XLOOKUP('Banco de Dados'!$P11,Sku!C:C,Sku!H:H),2),'Banco de Dados'!$A11="MEI",ROUND(_xlfn.XLOOKUP('Banco de Dados'!$P11,Sku!D:D,Sku!H:H),2)),0)</f>
        <v>0</v>
      </c>
      <c r="AN11" s="109">
        <f ca="1">IF('Banco de Dados'!$AK11&lt;&gt;"-",IF('Banco de Dados'!$F11&lt;&gt;"-",_xlfn.XLOOKUP(IFERROR(IFERROR(IFERROR(VALUE(SUBSTITUTE(MID(_xlfn.TEXTAFTER('Banco de Dados'!$F11,"Data do Pedido:
",1),1,10),"-","/")),VALUE(SUBSTITUTE(MID(_xlfn.TEXTAFTER('Banco de Dados'!$F11,"Order date:
",1),1,10),"-","/"))),VALUE(SUBSTITUTE(MID(_xlfn.TEXTAFTER('Banco de Dados'!$F11,"Fecha de pedido:
",1),1,10),"-","/"))),"-"),SMS!A:A,SMS!K:K),0),0)</f>
        <v>0</v>
      </c>
      <c r="AO11" s="109">
        <f ca="1">IF('Banco de Dados'!$AK11&lt;&gt;"-",IF('Banco de Dados'!$F11&lt;&gt;"-",IFERROR(_xlfn.XLOOKUP(_xlfn.CONCAT('Banco de Dados'!$A11,IFERROR(IFERROR(VALUE(SUBSTITUTE(MID(_xlfn.TEXTAFTER('Banco de Dados'!$F11,"Data do Pedido:
",1),1,10),"-","/")),VALUE(SUBSTITUTE(MID(_xlfn.TEXTAFTER('Banco de Dados'!$F11,"Order date:
",1),1,10),"-","/"))),0)),ProxyDD[Chave],ProxyDD[Valor por pedido]),PROXY!$P$2),0),0)</f>
        <v>0</v>
      </c>
      <c r="AP11" s="28">
        <f ca="1">IF('Banco de Dados'!$AK11&lt;&gt;"-",IF('Banco de Dados'!$AL11="NÃO",IFERROR(VALUE(SUBSTITUTE(_xlfn.TEXTAFTER('Banco de Dados'!$F11,"BRL ",1),".",",")),0),0),0)</f>
        <v>0</v>
      </c>
      <c r="AQ11" s="28">
        <f ca="1">SUM('Banco de Dados'!$AM11:$AP11)</f>
        <v>0</v>
      </c>
      <c r="AR11" s="8"/>
      <c r="AS11" s="8"/>
      <c r="AY11" s="8"/>
    </row>
    <row r="12" spans="1:51">
      <c r="A12" s="5" t="str">
        <v>BV</v>
      </c>
      <c r="B12" s="5" t="str">
        <f ca="1"/>
        <v>BV45586</v>
      </c>
      <c r="C12" s="8" t="str">
        <v>Pedido 11</v>
      </c>
      <c r="D12" s="9">
        <v>45586</v>
      </c>
      <c r="E12" s="9">
        <v>45586</v>
      </c>
      <c r="F12" s="8" t="str">
        <v>PedidoF2</v>
      </c>
      <c r="G12" s="2" t="str">
        <v>CódRastreio2</v>
      </c>
      <c r="H12" s="5">
        <v>1</v>
      </c>
      <c r="I12" s="2" t="str">
        <v>CPF 11</v>
      </c>
      <c r="J12" s="8" t="str">
        <v>Nome 11</v>
      </c>
      <c r="K12" s="8" t="str">
        <v>Tel 11</v>
      </c>
      <c r="L12" s="8" t="str">
        <v>Cep 11</v>
      </c>
      <c r="M12" s="8" t="str">
        <v>Rua 11</v>
      </c>
      <c r="N12" s="8" t="str">
        <v>Comp 11</v>
      </c>
      <c r="O12" s="8" t="str">
        <v>Suporte de Celular Preto</v>
      </c>
      <c r="P12" s="8" t="str">
        <v>9G-BN48-QAPH</v>
      </c>
      <c r="Q12" s="4">
        <v>45598</v>
      </c>
      <c r="R12" s="109">
        <v>14.99</v>
      </c>
      <c r="S12" s="11">
        <f ca="1"/>
        <v>14.99</v>
      </c>
      <c r="T12" s="28">
        <f ca="1"/>
        <v>2.2484999999999999</v>
      </c>
      <c r="U12" s="11">
        <f ca="1"/>
        <v>12.74</v>
      </c>
      <c r="V12" s="11">
        <v>4.99</v>
      </c>
      <c r="W12" s="11">
        <f ca="1"/>
        <v>0.56000000000000005</v>
      </c>
      <c r="X12" s="11">
        <f ca="1"/>
        <v>0.39877104377104378</v>
      </c>
      <c r="Y12" s="11">
        <v>0</v>
      </c>
      <c r="Z12" s="11">
        <f ca="1"/>
        <v>6.7912289562289558</v>
      </c>
      <c r="AA12" s="11">
        <f ca="1"/>
        <v>3.3956144781144779</v>
      </c>
      <c r="AB12" s="4">
        <f ca="1"/>
        <v>45605</v>
      </c>
      <c r="AC12" s="4">
        <v>45605</v>
      </c>
      <c r="AD12" s="9">
        <v>45609</v>
      </c>
      <c r="AE12" s="9">
        <v>45618</v>
      </c>
      <c r="AF12" s="4" t="str">
        <f t="shared" ca="1" si="0"/>
        <v>2024 11</v>
      </c>
      <c r="AG12" s="8" t="str" cm="1">
        <f t="array" ref="AG12">IFERROR(_xlfn.IFS('Banco de Dados'!#REF!="AG. COMPRA","Em processamento",'Banco de Dados'!#REF!="AG. RASTREIO","Em processamento",'Banco de Dados'!$AE12&lt;&gt;"-","Faturado",'Banco de Dados'!$AD12&lt;&gt;"-","Aguardando Pix",'Banco de Dados'!$AC12&lt;&gt;"-","Pendente"),"Aguardando Liberação")</f>
        <v>Aguardando Liberação</v>
      </c>
      <c r="AH12" s="5" t="str">
        <f>IF('Banco de Dados'!$F12="-",_xlfn.CONCAT(PROPER(TEXT(AK12,"aaaa"))," ",PROPER(TEXT(AK12,"mm"))),_xlfn.CONCAT(PROPER(TEXT(E12,"aaaa"))," ",PROPER(TEXT(E12,"mm"))))</f>
        <v>2024 10</v>
      </c>
      <c r="AI12" s="9" t="str">
        <f ca="1">IF('Banco de Dados'!$AK12&lt;&gt;"-","REEMBOLSO",IFERROR(_xlfn.XLOOKUP(G12,Follow[CODRASTREIO],Follow[STATUS]),"-"))</f>
        <v>ENTREGUE</v>
      </c>
      <c r="AJ12" s="9">
        <f ca="1">IF('Banco de Dados'!$AI12="ENTREGUE",_xlfn.XLOOKUP('Banco de Dados'!$G12,Follow[CODRASTREIO],Follow[DATAATUALIZAÇÃO]),"-")</f>
        <v>45589</v>
      </c>
      <c r="AK12" s="9" t="str">
        <f ca="1"/>
        <v>-</v>
      </c>
      <c r="AL12" s="35" t="str">
        <v>-</v>
      </c>
      <c r="AM12" s="109" cm="1">
        <f t="array" aca="1" ref="AM12" ca="1">IF('Banco de Dados'!$AK12&lt;&gt;"-",_xlfn.IFS('Banco de Dados'!$A12="bv",IF('Banco de Dados'!$E12&lt;45641,ROUND(SUM('Banco de Dados'!$R12*_xlfn.XLOOKUP('Banco de Dados'!$P12,Sku!B:B,Sku!#REF!)*20%),2),ROUND(SUM('Banco de Dados'!$R12*_xlfn.XLOOKUP('Banco de Dados'!$P12,Sku!B:B,Sku!H:H)*20%),2)),'Banco de Dados'!$A12="GO",ROUND(_xlfn.XLOOKUP('Banco de Dados'!$P12,Sku!C:C,Sku!H:H),2),'Banco de Dados'!$A12="MEI",ROUND(_xlfn.XLOOKUP('Banco de Dados'!$P12,Sku!D:D,Sku!H:H),2)),0)</f>
        <v>0</v>
      </c>
      <c r="AN12" s="109">
        <f ca="1">IF('Banco de Dados'!$AK12&lt;&gt;"-",IF('Banco de Dados'!$F12&lt;&gt;"-",_xlfn.XLOOKUP(IFERROR(IFERROR(IFERROR(VALUE(SUBSTITUTE(MID(_xlfn.TEXTAFTER('Banco de Dados'!$F12,"Data do Pedido:
",1),1,10),"-","/")),VALUE(SUBSTITUTE(MID(_xlfn.TEXTAFTER('Banco de Dados'!$F12,"Order date:
",1),1,10),"-","/"))),VALUE(SUBSTITUTE(MID(_xlfn.TEXTAFTER('Banco de Dados'!$F12,"Fecha de pedido:
",1),1,10),"-","/"))),"-"),SMS!A:A,SMS!K:K),0),0)</f>
        <v>0</v>
      </c>
      <c r="AO12" s="109">
        <f ca="1">IF('Banco de Dados'!$AK12&lt;&gt;"-",IF('Banco de Dados'!$F12&lt;&gt;"-",IFERROR(_xlfn.XLOOKUP(_xlfn.CONCAT('Banco de Dados'!$A12,IFERROR(IFERROR(VALUE(SUBSTITUTE(MID(_xlfn.TEXTAFTER('Banco de Dados'!$F12,"Data do Pedido:
",1),1,10),"-","/")),VALUE(SUBSTITUTE(MID(_xlfn.TEXTAFTER('Banco de Dados'!$F12,"Order date:
",1),1,10),"-","/"))),0)),ProxyDD[Chave],ProxyDD[Valor por pedido]),PROXY!$P$2),0),0)</f>
        <v>0</v>
      </c>
      <c r="AP12" s="28">
        <f ca="1">IF('Banco de Dados'!$AK12&lt;&gt;"-",IF('Banco de Dados'!$AL12="NÃO",IFERROR(VALUE(SUBSTITUTE(_xlfn.TEXTAFTER('Banco de Dados'!$F12,"BRL ",1),".",",")),0),0),0)</f>
        <v>0</v>
      </c>
      <c r="AQ12" s="28">
        <f ca="1">SUM('Banco de Dados'!$AM12:$AP12)</f>
        <v>0</v>
      </c>
      <c r="AR12" s="8"/>
      <c r="AS12" s="8"/>
      <c r="AY12" s="8"/>
    </row>
    <row r="13" spans="1:51">
      <c r="A13" s="5" t="str">
        <v>BV</v>
      </c>
      <c r="B13" s="5" t="str">
        <f ca="1"/>
        <v>BV45586</v>
      </c>
      <c r="C13" s="8" t="str">
        <v>Pedido 12</v>
      </c>
      <c r="D13" s="9">
        <v>45586</v>
      </c>
      <c r="E13" s="9">
        <v>45586</v>
      </c>
      <c r="F13" s="8" t="str">
        <v>PedidoF3</v>
      </c>
      <c r="G13" s="2" t="str">
        <v>CódRastreio3</v>
      </c>
      <c r="H13" s="5">
        <v>1</v>
      </c>
      <c r="I13" s="3" t="str">
        <v>CPF 12</v>
      </c>
      <c r="J13" s="8" t="str">
        <v>Nome 12</v>
      </c>
      <c r="K13" s="8" t="str">
        <v>Tel 12</v>
      </c>
      <c r="L13" s="8" t="str">
        <v>Cep 12</v>
      </c>
      <c r="M13" s="8" t="str">
        <v>Rua 12</v>
      </c>
      <c r="N13" s="8" t="str">
        <v>Comp 12</v>
      </c>
      <c r="O13" s="8" t="str">
        <v>Suporte de Celular Branco</v>
      </c>
      <c r="P13" s="8" t="str">
        <v>16-4EDB-WMZF</v>
      </c>
      <c r="Q13" s="4">
        <v>45604</v>
      </c>
      <c r="R13" s="109">
        <v>14.99</v>
      </c>
      <c r="S13" s="11">
        <f ca="1"/>
        <v>14.99</v>
      </c>
      <c r="T13" s="28">
        <f ca="1"/>
        <v>2.2484999999999999</v>
      </c>
      <c r="U13" s="11">
        <f ca="1"/>
        <v>12.74</v>
      </c>
      <c r="V13" s="11">
        <v>4.99</v>
      </c>
      <c r="W13" s="11">
        <f ca="1"/>
        <v>0.56000000000000005</v>
      </c>
      <c r="X13" s="11">
        <f ca="1"/>
        <v>0.39877104377104378</v>
      </c>
      <c r="Y13" s="11">
        <v>0</v>
      </c>
      <c r="Z13" s="11">
        <f ca="1"/>
        <v>6.7912289562289558</v>
      </c>
      <c r="AA13" s="11">
        <f ca="1"/>
        <v>3.3956144781144779</v>
      </c>
      <c r="AB13" s="4">
        <f ca="1"/>
        <v>45611</v>
      </c>
      <c r="AC13" s="4">
        <v>45611</v>
      </c>
      <c r="AD13" s="9">
        <v>45617</v>
      </c>
      <c r="AE13" s="9">
        <v>45618</v>
      </c>
      <c r="AF13" s="4" t="str">
        <f t="shared" ca="1" si="0"/>
        <v>2024 11</v>
      </c>
      <c r="AG13" s="8" t="str" cm="1">
        <f t="array" ref="AG13">IFERROR(_xlfn.IFS('Banco de Dados'!#REF!="AG. COMPRA","Em processamento",'Banco de Dados'!#REF!="AG. RASTREIO","Em processamento",'Banco de Dados'!$AE13&lt;&gt;"-","Faturado",'Banco de Dados'!$AD13&lt;&gt;"-","Aguardando Pix",'Banco de Dados'!$AC13&lt;&gt;"-","Pendente"),"Aguardando Liberação")</f>
        <v>Aguardando Liberação</v>
      </c>
      <c r="AH13" s="5" t="str">
        <f>IF('Banco de Dados'!$F13="-",_xlfn.CONCAT(PROPER(TEXT(AK13,"aaaa"))," ",PROPER(TEXT(AK13,"mm"))),_xlfn.CONCAT(PROPER(TEXT(E13,"aaaa"))," ",PROPER(TEXT(E13,"mm"))))</f>
        <v>2024 10</v>
      </c>
      <c r="AI13" s="9" t="str">
        <f ca="1">IF('Banco de Dados'!$AK13&lt;&gt;"-","REEMBOLSO",IFERROR(_xlfn.XLOOKUP(G13,Follow[CODRASTREIO],Follow[STATUS]),"-"))</f>
        <v>ENTREGUE</v>
      </c>
      <c r="AJ13" s="9">
        <f ca="1">IF('Banco de Dados'!$AI13="ENTREGUE",_xlfn.XLOOKUP('Banco de Dados'!$G13,Follow[CODRASTREIO],Follow[DATAATUALIZAÇÃO]),"-")</f>
        <v>45593</v>
      </c>
      <c r="AK13" s="9" t="str">
        <f ca="1"/>
        <v>-</v>
      </c>
      <c r="AL13" s="35" t="str">
        <v>-</v>
      </c>
      <c r="AM13" s="109" cm="1">
        <f t="array" aca="1" ref="AM13" ca="1">IF('Banco de Dados'!$AK13&lt;&gt;"-",_xlfn.IFS('Banco de Dados'!$A13="bv",IF('Banco de Dados'!$E13&lt;45641,ROUND(SUM('Banco de Dados'!$R13*_xlfn.XLOOKUP('Banco de Dados'!$P13,Sku!B:B,Sku!#REF!)*20%),2),ROUND(SUM('Banco de Dados'!$R13*_xlfn.XLOOKUP('Banco de Dados'!$P13,Sku!B:B,Sku!H:H)*20%),2)),'Banco de Dados'!$A13="GO",ROUND(_xlfn.XLOOKUP('Banco de Dados'!$P13,Sku!C:C,Sku!H:H),2),'Banco de Dados'!$A13="MEI",ROUND(_xlfn.XLOOKUP('Banco de Dados'!$P13,Sku!D:D,Sku!H:H),2)),0)</f>
        <v>0</v>
      </c>
      <c r="AN13" s="109">
        <f ca="1">IF('Banco de Dados'!$AK13&lt;&gt;"-",IF('Banco de Dados'!$F13&lt;&gt;"-",_xlfn.XLOOKUP(IFERROR(IFERROR(IFERROR(VALUE(SUBSTITUTE(MID(_xlfn.TEXTAFTER('Banco de Dados'!$F13,"Data do Pedido:
",1),1,10),"-","/")),VALUE(SUBSTITUTE(MID(_xlfn.TEXTAFTER('Banco de Dados'!$F13,"Order date:
",1),1,10),"-","/"))),VALUE(SUBSTITUTE(MID(_xlfn.TEXTAFTER('Banco de Dados'!$F13,"Fecha de pedido:
",1),1,10),"-","/"))),"-"),SMS!A:A,SMS!K:K),0),0)</f>
        <v>0</v>
      </c>
      <c r="AO13" s="109">
        <f ca="1">IF('Banco de Dados'!$AK13&lt;&gt;"-",IF('Banco de Dados'!$F13&lt;&gt;"-",IFERROR(_xlfn.XLOOKUP(_xlfn.CONCAT('Banco de Dados'!$A13,IFERROR(IFERROR(VALUE(SUBSTITUTE(MID(_xlfn.TEXTAFTER('Banco de Dados'!$F13,"Data do Pedido:
",1),1,10),"-","/")),VALUE(SUBSTITUTE(MID(_xlfn.TEXTAFTER('Banco de Dados'!$F13,"Order date:
",1),1,10),"-","/"))),0)),ProxyDD[Chave],ProxyDD[Valor por pedido]),PROXY!$P$2),0),0)</f>
        <v>0</v>
      </c>
      <c r="AP13" s="28">
        <f ca="1">IF('Banco de Dados'!$AK13&lt;&gt;"-",IF('Banco de Dados'!$AL13="NÃO",IFERROR(VALUE(SUBSTITUTE(_xlfn.TEXTAFTER('Banco de Dados'!$F13,"BRL ",1),".",",")),0),0),0)</f>
        <v>0</v>
      </c>
      <c r="AQ13" s="28">
        <f ca="1">SUM('Banco de Dados'!$AM13:$AP13)</f>
        <v>0</v>
      </c>
      <c r="AR13" s="8"/>
      <c r="AS13" s="8"/>
      <c r="AY13" s="8"/>
    </row>
    <row r="14" spans="1:51">
      <c r="A14" s="5" t="str">
        <v>BV</v>
      </c>
      <c r="B14" s="5" t="str">
        <f ca="1"/>
        <v>BV45586</v>
      </c>
      <c r="C14" s="8" t="str">
        <v>Pedido 13</v>
      </c>
      <c r="D14" s="9">
        <v>45586</v>
      </c>
      <c r="E14" s="9">
        <v>45586</v>
      </c>
      <c r="F14" s="8" t="str">
        <v>PedidoF4</v>
      </c>
      <c r="G14" s="2" t="str">
        <v>CódRastreio4</v>
      </c>
      <c r="H14" s="5">
        <v>1</v>
      </c>
      <c r="I14" s="2" t="str">
        <v>CPF 13</v>
      </c>
      <c r="J14" s="8" t="str">
        <v>Nome 13</v>
      </c>
      <c r="K14" s="8" t="str">
        <v>Tel 13</v>
      </c>
      <c r="L14" s="8" t="str">
        <v>Cep 13</v>
      </c>
      <c r="M14" s="8" t="str">
        <v>Rua 13</v>
      </c>
      <c r="N14" s="8" t="str">
        <v>Comp 13</v>
      </c>
      <c r="O14" s="8" t="str">
        <v>Suporte de Celular Preto</v>
      </c>
      <c r="P14" s="8" t="str">
        <v>9G-BN48-QAPH</v>
      </c>
      <c r="Q14" s="4">
        <v>45598</v>
      </c>
      <c r="R14" s="109">
        <v>14.99</v>
      </c>
      <c r="S14" s="11">
        <f ca="1"/>
        <v>14.99</v>
      </c>
      <c r="T14" s="28">
        <f ca="1"/>
        <v>2.2484999999999999</v>
      </c>
      <c r="U14" s="11">
        <f ca="1"/>
        <v>12.74</v>
      </c>
      <c r="V14" s="11">
        <v>4.99</v>
      </c>
      <c r="W14" s="11">
        <f ca="1"/>
        <v>0.56000000000000005</v>
      </c>
      <c r="X14" s="11">
        <f ca="1"/>
        <v>0.39877104377104378</v>
      </c>
      <c r="Y14" s="11">
        <v>0</v>
      </c>
      <c r="Z14" s="11">
        <f ca="1"/>
        <v>6.7912289562289558</v>
      </c>
      <c r="AA14" s="11">
        <f ca="1"/>
        <v>3.3956144781144779</v>
      </c>
      <c r="AB14" s="4">
        <f ca="1"/>
        <v>45605</v>
      </c>
      <c r="AC14" s="4">
        <v>45605</v>
      </c>
      <c r="AD14" s="9">
        <v>45626</v>
      </c>
      <c r="AE14" s="9">
        <v>45618</v>
      </c>
      <c r="AF14" s="4" t="str">
        <f t="shared" ca="1" si="0"/>
        <v>2024 11</v>
      </c>
      <c r="AG14" s="8" t="str" cm="1">
        <f t="array" ref="AG14">IFERROR(_xlfn.IFS('Banco de Dados'!#REF!="AG. COMPRA","Em processamento",'Banco de Dados'!#REF!="AG. RASTREIO","Em processamento",'Banco de Dados'!$AE14&lt;&gt;"-","Faturado",'Banco de Dados'!$AD14&lt;&gt;"-","Aguardando Pix",'Banco de Dados'!$AC14&lt;&gt;"-","Pendente"),"Aguardando Liberação")</f>
        <v>Aguardando Liberação</v>
      </c>
      <c r="AH14" s="5" t="str">
        <f>IF('Banco de Dados'!$F14="-",_xlfn.CONCAT(PROPER(TEXT(AK14,"aaaa"))," ",PROPER(TEXT(AK14,"mm"))),_xlfn.CONCAT(PROPER(TEXT(E14,"aaaa"))," ",PROPER(TEXT(E14,"mm"))))</f>
        <v>2024 10</v>
      </c>
      <c r="AI14" s="9" t="str">
        <f ca="1">IF('Banco de Dados'!$AK14&lt;&gt;"-","REEMBOLSO",IFERROR(_xlfn.XLOOKUP(G14,Follow[CODRASTREIO],Follow[STATUS]),"-"))</f>
        <v>ENTREGUE</v>
      </c>
      <c r="AJ14" s="9">
        <f ca="1">IF('Banco de Dados'!$AI14="ENTREGUE",_xlfn.XLOOKUP('Banco de Dados'!$G14,Follow[CODRASTREIO],Follow[DATAATUALIZAÇÃO]),"-")</f>
        <v>45590</v>
      </c>
      <c r="AK14" s="9" t="str">
        <f ca="1"/>
        <v>-</v>
      </c>
      <c r="AL14" s="35" t="str">
        <v>-</v>
      </c>
      <c r="AM14" s="109" cm="1">
        <f t="array" aca="1" ref="AM14" ca="1">IF('Banco de Dados'!$AK14&lt;&gt;"-",_xlfn.IFS('Banco de Dados'!$A14="bv",IF('Banco de Dados'!$E14&lt;45641,ROUND(SUM('Banco de Dados'!$R14*_xlfn.XLOOKUP('Banco de Dados'!$P14,Sku!B:B,Sku!#REF!)*20%),2),ROUND(SUM('Banco de Dados'!$R14*_xlfn.XLOOKUP('Banco de Dados'!$P14,Sku!B:B,Sku!H:H)*20%),2)),'Banco de Dados'!$A14="GO",ROUND(_xlfn.XLOOKUP('Banco de Dados'!$P14,Sku!C:C,Sku!H:H),2),'Banco de Dados'!$A14="MEI",ROUND(_xlfn.XLOOKUP('Banco de Dados'!$P14,Sku!D:D,Sku!H:H),2)),0)</f>
        <v>0</v>
      </c>
      <c r="AN14" s="109">
        <f ca="1">IF('Banco de Dados'!$AK14&lt;&gt;"-",IF('Banco de Dados'!$F14&lt;&gt;"-",_xlfn.XLOOKUP(IFERROR(IFERROR(IFERROR(VALUE(SUBSTITUTE(MID(_xlfn.TEXTAFTER('Banco de Dados'!$F14,"Data do Pedido:
",1),1,10),"-","/")),VALUE(SUBSTITUTE(MID(_xlfn.TEXTAFTER('Banco de Dados'!$F14,"Order date:
",1),1,10),"-","/"))),VALUE(SUBSTITUTE(MID(_xlfn.TEXTAFTER('Banco de Dados'!$F14,"Fecha de pedido:
",1),1,10),"-","/"))),"-"),SMS!A:A,SMS!K:K),0),0)</f>
        <v>0</v>
      </c>
      <c r="AO14" s="109">
        <f ca="1">IF('Banco de Dados'!$AK14&lt;&gt;"-",IF('Banco de Dados'!$F14&lt;&gt;"-",IFERROR(_xlfn.XLOOKUP(_xlfn.CONCAT('Banco de Dados'!$A14,IFERROR(IFERROR(VALUE(SUBSTITUTE(MID(_xlfn.TEXTAFTER('Banco de Dados'!$F14,"Data do Pedido:
",1),1,10),"-","/")),VALUE(SUBSTITUTE(MID(_xlfn.TEXTAFTER('Banco de Dados'!$F14,"Order date:
",1),1,10),"-","/"))),0)),ProxyDD[Chave],ProxyDD[Valor por pedido]),PROXY!$P$2),0),0)</f>
        <v>0</v>
      </c>
      <c r="AP14" s="28">
        <f ca="1">IF('Banco de Dados'!$AK14&lt;&gt;"-",IF('Banco de Dados'!$AL14="NÃO",IFERROR(VALUE(SUBSTITUTE(_xlfn.TEXTAFTER('Banco de Dados'!$F14,"BRL ",1),".",",")),0),0),0)</f>
        <v>0</v>
      </c>
      <c r="AQ14" s="28">
        <f ca="1">SUM('Banco de Dados'!$AM14:$AP14)</f>
        <v>0</v>
      </c>
      <c r="AR14" s="8"/>
      <c r="AS14" s="8"/>
      <c r="AY14" s="8"/>
    </row>
    <row r="15" spans="1:51">
      <c r="A15" s="5" t="str">
        <v>BV</v>
      </c>
      <c r="B15" s="5" t="str">
        <f ca="1"/>
        <v>BV45586</v>
      </c>
      <c r="C15" s="8" t="str">
        <v>Pedido 14</v>
      </c>
      <c r="D15" s="9">
        <v>45586</v>
      </c>
      <c r="E15" s="9">
        <v>45586</v>
      </c>
      <c r="F15" s="8" t="str">
        <v>PedidoF5</v>
      </c>
      <c r="G15" s="2" t="str">
        <v>CódRastreio5</v>
      </c>
      <c r="H15" s="5">
        <v>1</v>
      </c>
      <c r="I15" s="3" t="str">
        <v>CPF 14</v>
      </c>
      <c r="J15" s="8" t="str">
        <v>Nome 14</v>
      </c>
      <c r="K15" s="8" t="str">
        <v>Tel 14</v>
      </c>
      <c r="L15" s="8" t="str">
        <v>Cep 14</v>
      </c>
      <c r="M15" s="8" t="str">
        <v>Rua 14</v>
      </c>
      <c r="N15" s="8" t="str">
        <v>Comp 14</v>
      </c>
      <c r="O15" s="8" t="str">
        <v>Suporte de Celular Preto</v>
      </c>
      <c r="P15" s="8" t="str">
        <v>9G-BN48-QAPH</v>
      </c>
      <c r="Q15" s="4">
        <v>45610</v>
      </c>
      <c r="R15" s="109">
        <v>14.99</v>
      </c>
      <c r="S15" s="11">
        <f ca="1"/>
        <v>14.99</v>
      </c>
      <c r="T15" s="28">
        <f ca="1"/>
        <v>2.2484999999999999</v>
      </c>
      <c r="U15" s="11">
        <f ca="1"/>
        <v>12.74</v>
      </c>
      <c r="V15" s="11">
        <v>4.99</v>
      </c>
      <c r="W15" s="11">
        <f ca="1"/>
        <v>0.56000000000000005</v>
      </c>
      <c r="X15" s="11">
        <f ca="1"/>
        <v>0.39877104377104378</v>
      </c>
      <c r="Y15" s="11">
        <v>0</v>
      </c>
      <c r="Z15" s="11">
        <f ca="1"/>
        <v>6.7912289562289558</v>
      </c>
      <c r="AA15" s="11">
        <f ca="1"/>
        <v>3.3956144781144779</v>
      </c>
      <c r="AB15" s="4">
        <f ca="1"/>
        <v>45617</v>
      </c>
      <c r="AC15" s="4">
        <v>45617</v>
      </c>
      <c r="AD15" s="9">
        <v>45617</v>
      </c>
      <c r="AE15" s="9">
        <v>45618</v>
      </c>
      <c r="AF15" s="4" t="str">
        <f t="shared" ca="1" si="0"/>
        <v>2024 11</v>
      </c>
      <c r="AG15" s="8" t="str" cm="1">
        <f t="array" ref="AG15">IFERROR(_xlfn.IFS('Banco de Dados'!#REF!="AG. COMPRA","Em processamento",'Banco de Dados'!#REF!="AG. RASTREIO","Em processamento",'Banco de Dados'!$AE15&lt;&gt;"-","Faturado",'Banco de Dados'!$AD15&lt;&gt;"-","Aguardando Pix",'Banco de Dados'!$AC15&lt;&gt;"-","Pendente"),"Aguardando Liberação")</f>
        <v>Aguardando Liberação</v>
      </c>
      <c r="AH15" s="5" t="str">
        <f>IF('Banco de Dados'!$F15="-",_xlfn.CONCAT(PROPER(TEXT(AK15,"aaaa"))," ",PROPER(TEXT(AK15,"mm"))),_xlfn.CONCAT(PROPER(TEXT(E15,"aaaa"))," ",PROPER(TEXT(E15,"mm"))))</f>
        <v>2024 10</v>
      </c>
      <c r="AI15" s="9" t="str">
        <f ca="1">IF('Banco de Dados'!$AK15&lt;&gt;"-","REEMBOLSO",IFERROR(_xlfn.XLOOKUP(G15,Follow[CODRASTREIO],Follow[STATUS]),"-"))</f>
        <v>ENTREGUE</v>
      </c>
      <c r="AJ15" s="9">
        <f ca="1">IF('Banco de Dados'!$AI15="ENTREGUE",_xlfn.XLOOKUP('Banco de Dados'!$G15,Follow[CODRASTREIO],Follow[DATAATUALIZAÇÃO]),"-")</f>
        <v>45624</v>
      </c>
      <c r="AK15" s="9" t="str">
        <f ca="1"/>
        <v>-</v>
      </c>
      <c r="AL15" s="35" t="str">
        <v>-</v>
      </c>
      <c r="AM15" s="109" cm="1">
        <f t="array" aca="1" ref="AM15" ca="1">IF('Banco de Dados'!$AK15&lt;&gt;"-",_xlfn.IFS('Banco de Dados'!$A15="bv",IF('Banco de Dados'!$E15&lt;45641,ROUND(SUM('Banco de Dados'!$R15*_xlfn.XLOOKUP('Banco de Dados'!$P15,Sku!B:B,Sku!#REF!)*20%),2),ROUND(SUM('Banco de Dados'!$R15*_xlfn.XLOOKUP('Banco de Dados'!$P15,Sku!B:B,Sku!H:H)*20%),2)),'Banco de Dados'!$A15="GO",ROUND(_xlfn.XLOOKUP('Banco de Dados'!$P15,Sku!C:C,Sku!H:H),2),'Banco de Dados'!$A15="MEI",ROUND(_xlfn.XLOOKUP('Banco de Dados'!$P15,Sku!D:D,Sku!H:H),2)),0)</f>
        <v>0</v>
      </c>
      <c r="AN15" s="109">
        <f ca="1">IF('Banco de Dados'!$AK15&lt;&gt;"-",IF('Banco de Dados'!$F15&lt;&gt;"-",_xlfn.XLOOKUP(IFERROR(IFERROR(IFERROR(VALUE(SUBSTITUTE(MID(_xlfn.TEXTAFTER('Banco de Dados'!$F15,"Data do Pedido:
",1),1,10),"-","/")),VALUE(SUBSTITUTE(MID(_xlfn.TEXTAFTER('Banco de Dados'!$F15,"Order date:
",1),1,10),"-","/"))),VALUE(SUBSTITUTE(MID(_xlfn.TEXTAFTER('Banco de Dados'!$F15,"Fecha de pedido:
",1),1,10),"-","/"))),"-"),SMS!A:A,SMS!K:K),0),0)</f>
        <v>0</v>
      </c>
      <c r="AO15" s="109">
        <f ca="1">IF('Banco de Dados'!$AK15&lt;&gt;"-",IF('Banco de Dados'!$F15&lt;&gt;"-",IFERROR(_xlfn.XLOOKUP(_xlfn.CONCAT('Banco de Dados'!$A15,IFERROR(IFERROR(VALUE(SUBSTITUTE(MID(_xlfn.TEXTAFTER('Banco de Dados'!$F15,"Data do Pedido:
",1),1,10),"-","/")),VALUE(SUBSTITUTE(MID(_xlfn.TEXTAFTER('Banco de Dados'!$F15,"Order date:
",1),1,10),"-","/"))),0)),ProxyDD[Chave],ProxyDD[Valor por pedido]),PROXY!$P$2),0),0)</f>
        <v>0</v>
      </c>
      <c r="AP15" s="28">
        <f ca="1">IF('Banco de Dados'!$AK15&lt;&gt;"-",IF('Banco de Dados'!$AL15="NÃO",IFERROR(VALUE(SUBSTITUTE(_xlfn.TEXTAFTER('Banco de Dados'!$F15,"BRL ",1),".",",")),0),0),0)</f>
        <v>0</v>
      </c>
      <c r="AQ15" s="28">
        <f ca="1">SUM('Banco de Dados'!$AM15:$AP15)</f>
        <v>0</v>
      </c>
      <c r="AR15" s="8"/>
      <c r="AS15" s="8"/>
      <c r="AY15" s="8"/>
    </row>
    <row r="16" spans="1:51">
      <c r="A16" s="5" t="str">
        <v>BV</v>
      </c>
      <c r="B16" s="5" t="str">
        <f ca="1"/>
        <v>BV45586</v>
      </c>
      <c r="C16" s="8" t="str">
        <v>Pedido 15</v>
      </c>
      <c r="D16" s="9">
        <v>45586</v>
      </c>
      <c r="E16" s="9">
        <v>45586</v>
      </c>
      <c r="F16" s="8" t="str">
        <v>PedidoF6</v>
      </c>
      <c r="G16" s="2" t="str">
        <v>CódRastreio6</v>
      </c>
      <c r="H16" s="5">
        <v>1</v>
      </c>
      <c r="I16" s="2" t="str">
        <v>CPF 15</v>
      </c>
      <c r="J16" s="8" t="str">
        <v>Nome 15</v>
      </c>
      <c r="K16" s="8" t="str">
        <v>Tel 15</v>
      </c>
      <c r="L16" s="8" t="str">
        <v>Cep 15</v>
      </c>
      <c r="M16" s="8" t="str">
        <v>Rua 15</v>
      </c>
      <c r="N16" s="8" t="str">
        <v>Comp 15</v>
      </c>
      <c r="O16" s="8" t="str">
        <v>Bomba d'agua</v>
      </c>
      <c r="P16" s="8" t="str">
        <v>DJ-RO5O-43GF</v>
      </c>
      <c r="Q16" s="4">
        <v>45610</v>
      </c>
      <c r="R16" s="109">
        <v>17.329999999999998</v>
      </c>
      <c r="S16" s="11">
        <f ca="1"/>
        <v>17.329999999999998</v>
      </c>
      <c r="T16" s="28">
        <f ca="1"/>
        <v>2.4262000000000001</v>
      </c>
      <c r="U16" s="11">
        <f ca="1"/>
        <v>14.9</v>
      </c>
      <c r="V16" s="11">
        <v>6.46</v>
      </c>
      <c r="W16" s="11">
        <f ca="1"/>
        <v>0.56000000000000005</v>
      </c>
      <c r="X16" s="11">
        <f ca="1"/>
        <v>0.39877104377104378</v>
      </c>
      <c r="Y16" s="11">
        <v>0</v>
      </c>
      <c r="Z16" s="11">
        <f ca="1"/>
        <v>7.4812289562289571</v>
      </c>
      <c r="AA16" s="11">
        <f ca="1"/>
        <v>3.7406144781144786</v>
      </c>
      <c r="AB16" s="4">
        <f ca="1"/>
        <v>45617</v>
      </c>
      <c r="AC16" s="4">
        <v>45617</v>
      </c>
      <c r="AD16" s="9">
        <v>45617</v>
      </c>
      <c r="AE16" s="9">
        <v>45618</v>
      </c>
      <c r="AF16" s="4" t="str">
        <f t="shared" ca="1" si="0"/>
        <v>2024 11</v>
      </c>
      <c r="AG16" s="8" t="str" cm="1">
        <f t="array" ref="AG16">IFERROR(_xlfn.IFS('Banco de Dados'!#REF!="AG. COMPRA","Em processamento",'Banco de Dados'!#REF!="AG. RASTREIO","Em processamento",'Banco de Dados'!$AE16&lt;&gt;"-","Faturado",'Banco de Dados'!$AD16&lt;&gt;"-","Aguardando Pix",'Banco de Dados'!$AC16&lt;&gt;"-","Pendente"),"Aguardando Liberação")</f>
        <v>Aguardando Liberação</v>
      </c>
      <c r="AH16" s="5" t="str">
        <f>IF('Banco de Dados'!$F16="-",_xlfn.CONCAT(PROPER(TEXT(AK16,"aaaa"))," ",PROPER(TEXT(AK16,"mm"))),_xlfn.CONCAT(PROPER(TEXT(E16,"aaaa"))," ",PROPER(TEXT(E16,"mm"))))</f>
        <v>2024 10</v>
      </c>
      <c r="AI16" s="9" t="str">
        <f ca="1">IF('Banco de Dados'!$AK16&lt;&gt;"-","REEMBOLSO",IFERROR(_xlfn.XLOOKUP(G16,Follow[CODRASTREIO],Follow[STATUS]),"-"))</f>
        <v>ENTREGUE</v>
      </c>
      <c r="AJ16" s="9">
        <f ca="1">IF('Banco de Dados'!$AI16="ENTREGUE",_xlfn.XLOOKUP('Banco de Dados'!$G16,Follow[CODRASTREIO],Follow[DATAATUALIZAÇÃO]),"-")</f>
        <v>45596</v>
      </c>
      <c r="AK16" s="9" t="str">
        <f ca="1"/>
        <v>-</v>
      </c>
      <c r="AL16" s="35" t="str">
        <v>SIM</v>
      </c>
      <c r="AM16" s="109" cm="1">
        <f t="array" aca="1" ref="AM16" ca="1">IF('Banco de Dados'!$AK16&lt;&gt;"-",_xlfn.IFS('Banco de Dados'!$A16="bv",IF('Banco de Dados'!$E16&lt;45641,ROUND(SUM('Banco de Dados'!$R16*_xlfn.XLOOKUP('Banco de Dados'!$P16,Sku!B:B,Sku!#REF!)*20%),2),ROUND(SUM('Banco de Dados'!$R16*_xlfn.XLOOKUP('Banco de Dados'!$P16,Sku!B:B,Sku!H:H)*20%),2)),'Banco de Dados'!$A16="GO",ROUND(_xlfn.XLOOKUP('Banco de Dados'!$P16,Sku!C:C,Sku!H:H),2),'Banco de Dados'!$A16="MEI",ROUND(_xlfn.XLOOKUP('Banco de Dados'!$P16,Sku!D:D,Sku!H:H),2)),0)</f>
        <v>0</v>
      </c>
      <c r="AN16" s="109">
        <f ca="1">IF('Banco de Dados'!$AK16&lt;&gt;"-",IF('Banco de Dados'!$F16&lt;&gt;"-",_xlfn.XLOOKUP(IFERROR(IFERROR(IFERROR(VALUE(SUBSTITUTE(MID(_xlfn.TEXTAFTER('Banco de Dados'!$F16,"Data do Pedido:
",1),1,10),"-","/")),VALUE(SUBSTITUTE(MID(_xlfn.TEXTAFTER('Banco de Dados'!$F16,"Order date:
",1),1,10),"-","/"))),VALUE(SUBSTITUTE(MID(_xlfn.TEXTAFTER('Banco de Dados'!$F16,"Fecha de pedido:
",1),1,10),"-","/"))),"-"),SMS!A:A,SMS!K:K),0),0)</f>
        <v>0</v>
      </c>
      <c r="AO16" s="109">
        <f ca="1">IF('Banco de Dados'!$AK16&lt;&gt;"-",IF('Banco de Dados'!$F16&lt;&gt;"-",IFERROR(_xlfn.XLOOKUP(_xlfn.CONCAT('Banco de Dados'!$A16,IFERROR(IFERROR(VALUE(SUBSTITUTE(MID(_xlfn.TEXTAFTER('Banco de Dados'!$F16,"Data do Pedido:
",1),1,10),"-","/")),VALUE(SUBSTITUTE(MID(_xlfn.TEXTAFTER('Banco de Dados'!$F16,"Order date:
",1),1,10),"-","/"))),0)),ProxyDD[Chave],ProxyDD[Valor por pedido]),PROXY!$P$2),0),0)</f>
        <v>0</v>
      </c>
      <c r="AP16" s="28">
        <f ca="1">IF('Banco de Dados'!$AK16&lt;&gt;"-",IF('Banco de Dados'!$AL16="NÃO",IFERROR(VALUE(SUBSTITUTE(_xlfn.TEXTAFTER('Banco de Dados'!$F16,"BRL ",1),".",",")),0),0),0)</f>
        <v>0</v>
      </c>
      <c r="AQ16" s="28">
        <f ca="1">SUM('Banco de Dados'!$AM16:$AP16)</f>
        <v>0</v>
      </c>
      <c r="AR16" s="8"/>
      <c r="AS16" s="8"/>
      <c r="AY16" s="8"/>
    </row>
    <row r="17" spans="1:51">
      <c r="A17" s="5" t="str">
        <v>BV</v>
      </c>
      <c r="B17" s="5" t="str">
        <f ca="1"/>
        <v>BV45586</v>
      </c>
      <c r="C17" s="8" t="str">
        <v>Pedido 16</v>
      </c>
      <c r="D17" s="9">
        <v>45586</v>
      </c>
      <c r="E17" s="9">
        <v>45586</v>
      </c>
      <c r="F17" s="8" t="str">
        <v>PedidoF7</v>
      </c>
      <c r="G17" s="2" t="str">
        <v>CódRastreio7</v>
      </c>
      <c r="H17" s="5">
        <v>1</v>
      </c>
      <c r="I17" s="3" t="str">
        <v>CPF 16</v>
      </c>
      <c r="J17" s="8" t="str">
        <v>Nome 16</v>
      </c>
      <c r="K17" s="8" t="str">
        <v>Tel 16</v>
      </c>
      <c r="L17" s="8" t="str">
        <v>Cep 16</v>
      </c>
      <c r="M17" s="8" t="str">
        <v>Rua 16</v>
      </c>
      <c r="N17" s="8" t="str">
        <v>Comp 16</v>
      </c>
      <c r="O17" s="8" t="str">
        <v>Bomba d'agua</v>
      </c>
      <c r="P17" s="8" t="str">
        <v>DJ-RO5O-43GF</v>
      </c>
      <c r="Q17" s="4">
        <v>45610</v>
      </c>
      <c r="R17" s="109">
        <v>17.329999999999998</v>
      </c>
      <c r="S17" s="11">
        <f ca="1"/>
        <v>17.329999999999998</v>
      </c>
      <c r="T17" s="28">
        <f ca="1"/>
        <v>2.4262000000000001</v>
      </c>
      <c r="U17" s="11">
        <f ca="1"/>
        <v>14.9</v>
      </c>
      <c r="V17" s="11">
        <v>6.46</v>
      </c>
      <c r="W17" s="11">
        <f ca="1"/>
        <v>0.56000000000000005</v>
      </c>
      <c r="X17" s="11">
        <f ca="1"/>
        <v>0.39877104377104378</v>
      </c>
      <c r="Y17" s="11">
        <v>0</v>
      </c>
      <c r="Z17" s="11">
        <f ca="1"/>
        <v>7.4812289562289571</v>
      </c>
      <c r="AA17" s="11">
        <f ca="1"/>
        <v>3.7406144781144786</v>
      </c>
      <c r="AB17" s="4">
        <f ca="1"/>
        <v>45617</v>
      </c>
      <c r="AC17" s="4">
        <v>45617</v>
      </c>
      <c r="AD17" s="9">
        <v>45617</v>
      </c>
      <c r="AE17" s="9">
        <v>45618</v>
      </c>
      <c r="AF17" s="4" t="str">
        <f t="shared" ca="1" si="0"/>
        <v>2024 11</v>
      </c>
      <c r="AG17" s="8" t="str" cm="1">
        <f t="array" ref="AG17">IFERROR(_xlfn.IFS('Banco de Dados'!#REF!="AG. COMPRA","Em processamento",'Banco de Dados'!#REF!="AG. RASTREIO","Em processamento",'Banco de Dados'!$AE17&lt;&gt;"-","Faturado",'Banco de Dados'!$AD17&lt;&gt;"-","Aguardando Pix",'Banco de Dados'!$AC17&lt;&gt;"-","Pendente"),"Aguardando Liberação")</f>
        <v>Aguardando Liberação</v>
      </c>
      <c r="AH17" s="5" t="str">
        <f>IF('Banco de Dados'!$F17="-",_xlfn.CONCAT(PROPER(TEXT(AK17,"aaaa"))," ",PROPER(TEXT(AK17,"mm"))),_xlfn.CONCAT(PROPER(TEXT(E17,"aaaa"))," ",PROPER(TEXT(E17,"mm"))))</f>
        <v>2024 10</v>
      </c>
      <c r="AI17" s="9" t="str">
        <f ca="1">IF('Banco de Dados'!$AK17&lt;&gt;"-","REEMBOLSO",IFERROR(_xlfn.XLOOKUP(G17,Follow[CODRASTREIO],Follow[STATUS]),"-"))</f>
        <v>ENTREGUE</v>
      </c>
      <c r="AJ17" s="9">
        <f ca="1">IF('Banco de Dados'!$AI17="ENTREGUE",_xlfn.XLOOKUP('Banco de Dados'!$G17,Follow[CODRASTREIO],Follow[DATAATUALIZAÇÃO]),"-")</f>
        <v>45594</v>
      </c>
      <c r="AK17" s="9" t="str">
        <f ca="1"/>
        <v>-</v>
      </c>
      <c r="AL17" s="35" t="str">
        <v>-</v>
      </c>
      <c r="AM17" s="109" cm="1">
        <f t="array" aca="1" ref="AM17" ca="1">IF('Banco de Dados'!$AK17&lt;&gt;"-",_xlfn.IFS('Banco de Dados'!$A17="bv",IF('Banco de Dados'!$E17&lt;45641,ROUND(SUM('Banco de Dados'!$R17*_xlfn.XLOOKUP('Banco de Dados'!$P17,Sku!B:B,Sku!#REF!)*20%),2),ROUND(SUM('Banco de Dados'!$R17*_xlfn.XLOOKUP('Banco de Dados'!$P17,Sku!B:B,Sku!H:H)*20%),2)),'Banco de Dados'!$A17="GO",ROUND(_xlfn.XLOOKUP('Banco de Dados'!$P17,Sku!C:C,Sku!H:H),2),'Banco de Dados'!$A17="MEI",ROUND(_xlfn.XLOOKUP('Banco de Dados'!$P17,Sku!D:D,Sku!H:H),2)),0)</f>
        <v>0</v>
      </c>
      <c r="AN17" s="109">
        <f ca="1">IF('Banco de Dados'!$AK17&lt;&gt;"-",IF('Banco de Dados'!$F17&lt;&gt;"-",_xlfn.XLOOKUP(IFERROR(IFERROR(IFERROR(VALUE(SUBSTITUTE(MID(_xlfn.TEXTAFTER('Banco de Dados'!$F17,"Data do Pedido:
",1),1,10),"-","/")),VALUE(SUBSTITUTE(MID(_xlfn.TEXTAFTER('Banco de Dados'!$F17,"Order date:
",1),1,10),"-","/"))),VALUE(SUBSTITUTE(MID(_xlfn.TEXTAFTER('Banco de Dados'!$F17,"Fecha de pedido:
",1),1,10),"-","/"))),"-"),SMS!A:A,SMS!K:K),0),0)</f>
        <v>0</v>
      </c>
      <c r="AO17" s="109">
        <f ca="1">IF('Banco de Dados'!$AK17&lt;&gt;"-",IF('Banco de Dados'!$F17&lt;&gt;"-",IFERROR(_xlfn.XLOOKUP(_xlfn.CONCAT('Banco de Dados'!$A17,IFERROR(IFERROR(VALUE(SUBSTITUTE(MID(_xlfn.TEXTAFTER('Banco de Dados'!$F17,"Data do Pedido:
",1),1,10),"-","/")),VALUE(SUBSTITUTE(MID(_xlfn.TEXTAFTER('Banco de Dados'!$F17,"Order date:
",1),1,10),"-","/"))),0)),ProxyDD[Chave],ProxyDD[Valor por pedido]),PROXY!$P$2),0),0)</f>
        <v>0</v>
      </c>
      <c r="AP17" s="28">
        <f ca="1">IF('Banco de Dados'!$AK17&lt;&gt;"-",IF('Banco de Dados'!$AL17="NÃO",IFERROR(VALUE(SUBSTITUTE(_xlfn.TEXTAFTER('Banco de Dados'!$F17,"BRL ",1),".",",")),0),0),0)</f>
        <v>0</v>
      </c>
      <c r="AQ17" s="28">
        <f ca="1">SUM('Banco de Dados'!$AM17:$AP17)</f>
        <v>0</v>
      </c>
      <c r="AR17" s="8"/>
      <c r="AS17" s="8"/>
      <c r="AY17" s="8"/>
    </row>
    <row r="18" spans="1:51">
      <c r="A18" s="5" t="str">
        <v>BV</v>
      </c>
      <c r="B18" s="5" t="str">
        <f ca="1"/>
        <v>BV45586</v>
      </c>
      <c r="C18" s="8" t="str">
        <v>Pedido 17</v>
      </c>
      <c r="D18" s="9">
        <v>45586</v>
      </c>
      <c r="E18" s="9">
        <v>45586</v>
      </c>
      <c r="F18" s="8" t="str">
        <v>PedidoF8</v>
      </c>
      <c r="G18" s="2" t="str">
        <v>CódRastreio8</v>
      </c>
      <c r="H18" s="5">
        <v>1</v>
      </c>
      <c r="I18" s="3" t="str">
        <v>CPF 17</v>
      </c>
      <c r="J18" s="8" t="str">
        <v>Nome 17</v>
      </c>
      <c r="K18" s="8" t="str">
        <v>Tel 17</v>
      </c>
      <c r="L18" s="8" t="str">
        <v>Cep 17</v>
      </c>
      <c r="M18" s="8" t="str">
        <v>Rua 17</v>
      </c>
      <c r="N18" s="8" t="str">
        <v>Comp 17</v>
      </c>
      <c r="O18" s="8" t="str">
        <v>Bomba d'agua</v>
      </c>
      <c r="P18" s="8" t="str">
        <v>DJ-RO5O-43GF</v>
      </c>
      <c r="Q18" s="4">
        <v>45604</v>
      </c>
      <c r="R18" s="109">
        <v>17.329999999999998</v>
      </c>
      <c r="S18" s="11">
        <f ca="1"/>
        <v>17.329999999999998</v>
      </c>
      <c r="T18" s="28">
        <f ca="1"/>
        <v>2.4262000000000001</v>
      </c>
      <c r="U18" s="11">
        <f ca="1"/>
        <v>14.9</v>
      </c>
      <c r="V18" s="11">
        <v>6.46</v>
      </c>
      <c r="W18" s="11">
        <f ca="1"/>
        <v>0.56000000000000005</v>
      </c>
      <c r="X18" s="11">
        <f ca="1"/>
        <v>0.39877104377104378</v>
      </c>
      <c r="Y18" s="11">
        <v>0</v>
      </c>
      <c r="Z18" s="11">
        <f ca="1"/>
        <v>7.4812289562289571</v>
      </c>
      <c r="AA18" s="11">
        <f ca="1"/>
        <v>3.7406144781144786</v>
      </c>
      <c r="AB18" s="4">
        <f ca="1"/>
        <v>45611</v>
      </c>
      <c r="AC18" s="4">
        <v>45611</v>
      </c>
      <c r="AD18" s="9">
        <v>45617</v>
      </c>
      <c r="AE18" s="9">
        <v>45618</v>
      </c>
      <c r="AF18" s="4" t="str">
        <f t="shared" ca="1" si="0"/>
        <v>2024 11</v>
      </c>
      <c r="AG18" s="8" t="str" cm="1">
        <f t="array" ref="AG18">IFERROR(_xlfn.IFS('Banco de Dados'!#REF!="AG. COMPRA","Em processamento",'Banco de Dados'!#REF!="AG. RASTREIO","Em processamento",'Banco de Dados'!$AE18&lt;&gt;"-","Faturado",'Banco de Dados'!$AD18&lt;&gt;"-","Aguardando Pix",'Banco de Dados'!$AC18&lt;&gt;"-","Pendente"),"Aguardando Liberação")</f>
        <v>Aguardando Liberação</v>
      </c>
      <c r="AH18" s="5" t="str">
        <f>IF('Banco de Dados'!$F18="-",_xlfn.CONCAT(PROPER(TEXT(AK18,"aaaa"))," ",PROPER(TEXT(AK18,"mm"))),_xlfn.CONCAT(PROPER(TEXT(E18,"aaaa"))," ",PROPER(TEXT(E18,"mm"))))</f>
        <v>2024 10</v>
      </c>
      <c r="AI18" s="9" t="str">
        <f ca="1">IF('Banco de Dados'!$AK18&lt;&gt;"-","REEMBOLSO",IFERROR(_xlfn.XLOOKUP(G18,Follow[CODRASTREIO],Follow[STATUS]),"-"))</f>
        <v>ENTREGUE</v>
      </c>
      <c r="AJ18" s="9">
        <f ca="1">IF('Banco de Dados'!$AI18="ENTREGUE",_xlfn.XLOOKUP('Banco de Dados'!$G18,Follow[CODRASTREIO],Follow[DATAATUALIZAÇÃO]),"-")</f>
        <v>45593</v>
      </c>
      <c r="AK18" s="9" t="str">
        <f ca="1"/>
        <v>-</v>
      </c>
      <c r="AL18" s="35" t="str">
        <v>-</v>
      </c>
      <c r="AM18" s="109" cm="1">
        <f t="array" aca="1" ref="AM18" ca="1">IF('Banco de Dados'!$AK18&lt;&gt;"-",_xlfn.IFS('Banco de Dados'!$A18="bv",IF('Banco de Dados'!$E18&lt;45641,ROUND(SUM('Banco de Dados'!$R18*_xlfn.XLOOKUP('Banco de Dados'!$P18,Sku!B:B,Sku!#REF!)*20%),2),ROUND(SUM('Banco de Dados'!$R18*_xlfn.XLOOKUP('Banco de Dados'!$P18,Sku!B:B,Sku!H:H)*20%),2)),'Banco de Dados'!$A18="GO",ROUND(_xlfn.XLOOKUP('Banco de Dados'!$P18,Sku!C:C,Sku!H:H),2),'Banco de Dados'!$A18="MEI",ROUND(_xlfn.XLOOKUP('Banco de Dados'!$P18,Sku!D:D,Sku!H:H),2)),0)</f>
        <v>0</v>
      </c>
      <c r="AN18" s="109">
        <f ca="1">IF('Banco de Dados'!$AK18&lt;&gt;"-",IF('Banco de Dados'!$F18&lt;&gt;"-",_xlfn.XLOOKUP(IFERROR(IFERROR(IFERROR(VALUE(SUBSTITUTE(MID(_xlfn.TEXTAFTER('Banco de Dados'!$F18,"Data do Pedido:
",1),1,10),"-","/")),VALUE(SUBSTITUTE(MID(_xlfn.TEXTAFTER('Banco de Dados'!$F18,"Order date:
",1),1,10),"-","/"))),VALUE(SUBSTITUTE(MID(_xlfn.TEXTAFTER('Banco de Dados'!$F18,"Fecha de pedido:
",1),1,10),"-","/"))),"-"),SMS!A:A,SMS!K:K),0),0)</f>
        <v>0</v>
      </c>
      <c r="AO18" s="109">
        <f ca="1">IF('Banco de Dados'!$AK18&lt;&gt;"-",IF('Banco de Dados'!$F18&lt;&gt;"-",IFERROR(_xlfn.XLOOKUP(_xlfn.CONCAT('Banco de Dados'!$A18,IFERROR(IFERROR(VALUE(SUBSTITUTE(MID(_xlfn.TEXTAFTER('Banco de Dados'!$F18,"Data do Pedido:
",1),1,10),"-","/")),VALUE(SUBSTITUTE(MID(_xlfn.TEXTAFTER('Banco de Dados'!$F18,"Order date:
",1),1,10),"-","/"))),0)),ProxyDD[Chave],ProxyDD[Valor por pedido]),PROXY!$P$2),0),0)</f>
        <v>0</v>
      </c>
      <c r="AP18" s="28">
        <f ca="1">IF('Banco de Dados'!$AK18&lt;&gt;"-",IF('Banco de Dados'!$AL18="NÃO",IFERROR(VALUE(SUBSTITUTE(_xlfn.TEXTAFTER('Banco de Dados'!$F18,"BRL ",1),".",",")),0),0),0)</f>
        <v>0</v>
      </c>
      <c r="AQ18" s="28">
        <f ca="1">SUM('Banco de Dados'!$AM18:$AP18)</f>
        <v>0</v>
      </c>
      <c r="AR18" s="8"/>
      <c r="AS18" s="8"/>
      <c r="AY18" s="8"/>
    </row>
    <row r="19" spans="1:51">
      <c r="A19" s="5" t="str">
        <v>BV</v>
      </c>
      <c r="B19" s="5" t="str">
        <f ca="1"/>
        <v>BV45586</v>
      </c>
      <c r="C19" s="8" t="str">
        <v>Pedido 18</v>
      </c>
      <c r="D19" s="9">
        <v>45586</v>
      </c>
      <c r="E19" s="9">
        <v>45586</v>
      </c>
      <c r="F19" s="8" t="str">
        <v>PedidoF9</v>
      </c>
      <c r="G19" s="2" t="str">
        <v>CódRastreio9</v>
      </c>
      <c r="H19" s="5">
        <v>1</v>
      </c>
      <c r="I19" s="3" t="str">
        <v>CPF 18</v>
      </c>
      <c r="J19" s="8" t="str">
        <v>Nome 18</v>
      </c>
      <c r="K19" s="8" t="str">
        <v>Tel 18</v>
      </c>
      <c r="L19" s="8" t="str">
        <v>Cep 18</v>
      </c>
      <c r="M19" s="8" t="str">
        <v>Rua 18</v>
      </c>
      <c r="N19" s="8" t="str">
        <v>Comp 18</v>
      </c>
      <c r="O19" s="8" t="str">
        <v>Suporte de Celular Branco</v>
      </c>
      <c r="P19" s="8" t="str">
        <v>16-4EDB-WMZF</v>
      </c>
      <c r="Q19" s="4">
        <v>45610</v>
      </c>
      <c r="R19" s="109">
        <v>14.99</v>
      </c>
      <c r="S19" s="11">
        <f ca="1"/>
        <v>14.99</v>
      </c>
      <c r="T19" s="28">
        <f ca="1"/>
        <v>2.2484999999999999</v>
      </c>
      <c r="U19" s="11">
        <f ca="1"/>
        <v>12.74</v>
      </c>
      <c r="V19" s="11">
        <v>4.99</v>
      </c>
      <c r="W19" s="11">
        <f ca="1"/>
        <v>0.56000000000000005</v>
      </c>
      <c r="X19" s="11">
        <f ca="1"/>
        <v>0.39877104377104378</v>
      </c>
      <c r="Y19" s="11">
        <v>0</v>
      </c>
      <c r="Z19" s="11">
        <f ca="1"/>
        <v>6.7912289562289558</v>
      </c>
      <c r="AA19" s="11">
        <f ca="1"/>
        <v>3.3956144781144779</v>
      </c>
      <c r="AB19" s="4">
        <f ca="1"/>
        <v>45617</v>
      </c>
      <c r="AC19" s="4">
        <v>45617</v>
      </c>
      <c r="AD19" s="9">
        <v>45617</v>
      </c>
      <c r="AE19" s="9">
        <v>45618</v>
      </c>
      <c r="AF19" s="4" t="str">
        <f t="shared" ca="1" si="0"/>
        <v>2024 11</v>
      </c>
      <c r="AG19" s="8" t="str" cm="1">
        <f t="array" ref="AG19">IFERROR(_xlfn.IFS('Banco de Dados'!#REF!="AG. COMPRA","Em processamento",'Banco de Dados'!#REF!="AG. RASTREIO","Em processamento",'Banco de Dados'!$AE19&lt;&gt;"-","Faturado",'Banco de Dados'!$AD19&lt;&gt;"-","Aguardando Pix",'Banco de Dados'!$AC19&lt;&gt;"-","Pendente"),"Aguardando Liberação")</f>
        <v>Aguardando Liberação</v>
      </c>
      <c r="AH19" s="5" t="str">
        <f>IF('Banco de Dados'!$F19="-",_xlfn.CONCAT(PROPER(TEXT(AK19,"aaaa"))," ",PROPER(TEXT(AK19,"mm"))),_xlfn.CONCAT(PROPER(TEXT(E19,"aaaa"))," ",PROPER(TEXT(E19,"mm"))))</f>
        <v>2024 10</v>
      </c>
      <c r="AI19" s="9" t="str">
        <f ca="1">IF('Banco de Dados'!$AK19&lt;&gt;"-","REEMBOLSO",IFERROR(_xlfn.XLOOKUP(G19,Follow[CODRASTREIO],Follow[STATUS]),"-"))</f>
        <v>ENTREGUE</v>
      </c>
      <c r="AJ19" s="9">
        <f ca="1">IF('Banco de Dados'!$AI19="ENTREGUE",_xlfn.XLOOKUP('Banco de Dados'!$G19,Follow[CODRASTREIO],Follow[DATAATUALIZAÇÃO]),"-")</f>
        <v>45595</v>
      </c>
      <c r="AK19" s="9" t="str">
        <f ca="1"/>
        <v>-</v>
      </c>
      <c r="AL19" s="35" t="str">
        <v>-</v>
      </c>
      <c r="AM19" s="109" cm="1">
        <f t="array" aca="1" ref="AM19" ca="1">IF('Banco de Dados'!$AK19&lt;&gt;"-",_xlfn.IFS('Banco de Dados'!$A19="bv",IF('Banco de Dados'!$E19&lt;45641,ROUND(SUM('Banco de Dados'!$R19*_xlfn.XLOOKUP('Banco de Dados'!$P19,Sku!B:B,Sku!#REF!)*20%),2),ROUND(SUM('Banco de Dados'!$R19*_xlfn.XLOOKUP('Banco de Dados'!$P19,Sku!B:B,Sku!H:H)*20%),2)),'Banco de Dados'!$A19="GO",ROUND(_xlfn.XLOOKUP('Banco de Dados'!$P19,Sku!C:C,Sku!H:H),2),'Banco de Dados'!$A19="MEI",ROUND(_xlfn.XLOOKUP('Banco de Dados'!$P19,Sku!D:D,Sku!H:H),2)),0)</f>
        <v>0</v>
      </c>
      <c r="AN19" s="109">
        <f ca="1">IF('Banco de Dados'!$AK19&lt;&gt;"-",IF('Banco de Dados'!$F19&lt;&gt;"-",_xlfn.XLOOKUP(IFERROR(IFERROR(IFERROR(VALUE(SUBSTITUTE(MID(_xlfn.TEXTAFTER('Banco de Dados'!$F19,"Data do Pedido:
",1),1,10),"-","/")),VALUE(SUBSTITUTE(MID(_xlfn.TEXTAFTER('Banco de Dados'!$F19,"Order date:
",1),1,10),"-","/"))),VALUE(SUBSTITUTE(MID(_xlfn.TEXTAFTER('Banco de Dados'!$F19,"Fecha de pedido:
",1),1,10),"-","/"))),"-"),SMS!A:A,SMS!K:K),0),0)</f>
        <v>0</v>
      </c>
      <c r="AO19" s="109">
        <f ca="1">IF('Banco de Dados'!$AK19&lt;&gt;"-",IF('Banco de Dados'!$F19&lt;&gt;"-",IFERROR(_xlfn.XLOOKUP(_xlfn.CONCAT('Banco de Dados'!$A19,IFERROR(IFERROR(VALUE(SUBSTITUTE(MID(_xlfn.TEXTAFTER('Banco de Dados'!$F19,"Data do Pedido:
",1),1,10),"-","/")),VALUE(SUBSTITUTE(MID(_xlfn.TEXTAFTER('Banco de Dados'!$F19,"Order date:
",1),1,10),"-","/"))),0)),ProxyDD[Chave],ProxyDD[Valor por pedido]),PROXY!$P$2),0),0)</f>
        <v>0</v>
      </c>
      <c r="AP19" s="28">
        <f ca="1">IF('Banco de Dados'!$AK19&lt;&gt;"-",IF('Banco de Dados'!$AL19="NÃO",IFERROR(VALUE(SUBSTITUTE(_xlfn.TEXTAFTER('Banco de Dados'!$F19,"BRL ",1),".",",")),0),0),0)</f>
        <v>0</v>
      </c>
      <c r="AQ19" s="28">
        <f ca="1">SUM('Banco de Dados'!$AM19:$AP19)</f>
        <v>0</v>
      </c>
      <c r="AR19" s="8"/>
      <c r="AS19" s="8"/>
      <c r="AY19" s="8"/>
    </row>
    <row r="20" spans="1:51">
      <c r="A20" s="5" t="str">
        <v>BV</v>
      </c>
      <c r="B20" s="5" t="str">
        <f ca="1"/>
        <v>BV45587</v>
      </c>
      <c r="C20" s="8" t="str">
        <v>Pedido 19</v>
      </c>
      <c r="D20" s="9">
        <v>45587</v>
      </c>
      <c r="E20" s="9">
        <v>45587</v>
      </c>
      <c r="F20" s="8" t="str">
        <v>PedidoF10</v>
      </c>
      <c r="G20" s="2" t="str">
        <v>CódRastreio10</v>
      </c>
      <c r="H20" s="5">
        <v>1</v>
      </c>
      <c r="I20" s="3" t="str">
        <v>CPF 19</v>
      </c>
      <c r="J20" s="8" t="str">
        <v>Nome 19</v>
      </c>
      <c r="K20" s="8" t="str">
        <v>Tel 19</v>
      </c>
      <c r="L20" s="8" t="str">
        <v>Cep 19</v>
      </c>
      <c r="M20" s="8" t="str">
        <v>Rua 19</v>
      </c>
      <c r="N20" s="8" t="str">
        <v>Comp 19</v>
      </c>
      <c r="O20" s="8" t="str">
        <v>Bomba d'agua</v>
      </c>
      <c r="P20" s="8" t="str">
        <v>DJ-RO5O-43GF</v>
      </c>
      <c r="Q20" s="4">
        <v>45605</v>
      </c>
      <c r="R20" s="109">
        <v>17.329999999999998</v>
      </c>
      <c r="S20" s="11">
        <f ca="1"/>
        <v>17.329999999999998</v>
      </c>
      <c r="T20" s="28">
        <f ca="1"/>
        <v>2.4262000000000001</v>
      </c>
      <c r="U20" s="11">
        <f ca="1"/>
        <v>14.9</v>
      </c>
      <c r="V20" s="11">
        <v>6.46</v>
      </c>
      <c r="W20" s="11">
        <f ca="1"/>
        <v>0.43</v>
      </c>
      <c r="X20" s="11">
        <f ca="1"/>
        <v>0.39877104377104378</v>
      </c>
      <c r="Y20" s="11">
        <v>0</v>
      </c>
      <c r="Z20" s="11">
        <f ca="1"/>
        <v>7.611228956228957</v>
      </c>
      <c r="AA20" s="11">
        <f ca="1"/>
        <v>3.8056144781144785</v>
      </c>
      <c r="AB20" s="4">
        <f ca="1"/>
        <v>45612</v>
      </c>
      <c r="AC20" s="4">
        <v>45612</v>
      </c>
      <c r="AD20" s="9">
        <v>45617</v>
      </c>
      <c r="AE20" s="9">
        <v>45618</v>
      </c>
      <c r="AF20" s="4" t="str">
        <f t="shared" ca="1" si="0"/>
        <v>2024 11</v>
      </c>
      <c r="AG20" s="8" t="str" cm="1">
        <f t="array" ref="AG20">IFERROR(_xlfn.IFS('Banco de Dados'!#REF!="AG. COMPRA","Em processamento",'Banco de Dados'!#REF!="AG. RASTREIO","Em processamento",'Banco de Dados'!$AE20&lt;&gt;"-","Faturado",'Banco de Dados'!$AD20&lt;&gt;"-","Aguardando Pix",'Banco de Dados'!$AC20&lt;&gt;"-","Pendente"),"Aguardando Liberação")</f>
        <v>Aguardando Liberação</v>
      </c>
      <c r="AH20" s="5" t="str">
        <f>IF('Banco de Dados'!$F20="-",_xlfn.CONCAT(PROPER(TEXT(AK20,"aaaa"))," ",PROPER(TEXT(AK20,"mm"))),_xlfn.CONCAT(PROPER(TEXT(E20,"aaaa"))," ",PROPER(TEXT(E20,"mm"))))</f>
        <v>2024 10</v>
      </c>
      <c r="AI20" s="9" t="str">
        <f ca="1">IF('Banco de Dados'!$AK20&lt;&gt;"-","REEMBOLSO",IFERROR(_xlfn.XLOOKUP(G20,Follow[CODRASTREIO],Follow[STATUS]),"-"))</f>
        <v>ENTREGUE</v>
      </c>
      <c r="AJ20" s="9">
        <f ca="1">IF('Banco de Dados'!$AI20="ENTREGUE",_xlfn.XLOOKUP('Banco de Dados'!$G20,Follow[CODRASTREIO],Follow[DATAATUALIZAÇÃO]),"-")</f>
        <v>45590</v>
      </c>
      <c r="AK20" s="9" t="str">
        <f ca="1"/>
        <v>-</v>
      </c>
      <c r="AL20" s="35" t="str">
        <v>NÃO</v>
      </c>
      <c r="AM20" s="109" cm="1">
        <f t="array" aca="1" ref="AM20" ca="1">IF('Banco de Dados'!$AK20&lt;&gt;"-",_xlfn.IFS('Banco de Dados'!$A20="bv",IF('Banco de Dados'!$E20&lt;45641,ROUND(SUM('Banco de Dados'!$R20*_xlfn.XLOOKUP('Banco de Dados'!$P20,Sku!B:B,Sku!#REF!)*20%),2),ROUND(SUM('Banco de Dados'!$R20*_xlfn.XLOOKUP('Banco de Dados'!$P20,Sku!B:B,Sku!H:H)*20%),2)),'Banco de Dados'!$A20="GO",ROUND(_xlfn.XLOOKUP('Banco de Dados'!$P20,Sku!C:C,Sku!H:H),2),'Banco de Dados'!$A20="MEI",ROUND(_xlfn.XLOOKUP('Banco de Dados'!$P20,Sku!D:D,Sku!H:H),2)),0)</f>
        <v>0</v>
      </c>
      <c r="AN20" s="109">
        <f ca="1">IF('Banco de Dados'!$AK20&lt;&gt;"-",IF('Banco de Dados'!$F20&lt;&gt;"-",_xlfn.XLOOKUP(IFERROR(IFERROR(IFERROR(VALUE(SUBSTITUTE(MID(_xlfn.TEXTAFTER('Banco de Dados'!$F20,"Data do Pedido:
",1),1,10),"-","/")),VALUE(SUBSTITUTE(MID(_xlfn.TEXTAFTER('Banco de Dados'!$F20,"Order date:
",1),1,10),"-","/"))),VALUE(SUBSTITUTE(MID(_xlfn.TEXTAFTER('Banco de Dados'!$F20,"Fecha de pedido:
",1),1,10),"-","/"))),"-"),SMS!A:A,SMS!K:K),0),0)</f>
        <v>0</v>
      </c>
      <c r="AO20" s="109">
        <f ca="1">IF('Banco de Dados'!$AK20&lt;&gt;"-",IF('Banco de Dados'!$F20&lt;&gt;"-",IFERROR(_xlfn.XLOOKUP(_xlfn.CONCAT('Banco de Dados'!$A20,IFERROR(IFERROR(VALUE(SUBSTITUTE(MID(_xlfn.TEXTAFTER('Banco de Dados'!$F20,"Data do Pedido:
",1),1,10),"-","/")),VALUE(SUBSTITUTE(MID(_xlfn.TEXTAFTER('Banco de Dados'!$F20,"Order date:
",1),1,10),"-","/"))),0)),ProxyDD[Chave],ProxyDD[Valor por pedido]),PROXY!$P$2),0),0)</f>
        <v>0</v>
      </c>
      <c r="AP20" s="28">
        <f ca="1">IF('Banco de Dados'!$AK20&lt;&gt;"-",IF('Banco de Dados'!$AL20="NÃO",IFERROR(VALUE(SUBSTITUTE(_xlfn.TEXTAFTER('Banco de Dados'!$F20,"BRL ",1),".",",")),0),0),0)</f>
        <v>0</v>
      </c>
      <c r="AQ20" s="28">
        <f ca="1">SUM('Banco de Dados'!$AM20:$AP20)</f>
        <v>0</v>
      </c>
      <c r="AR20" s="8"/>
      <c r="AS20" s="8"/>
      <c r="AY20" s="8"/>
    </row>
    <row r="21" spans="1:51">
      <c r="A21" s="5" t="str">
        <v>BV</v>
      </c>
      <c r="B21" s="5" t="str">
        <f ca="1"/>
        <v>BV45587</v>
      </c>
      <c r="C21" s="8" t="str">
        <v>Pedido 20</v>
      </c>
      <c r="D21" s="9">
        <v>45587</v>
      </c>
      <c r="E21" s="9">
        <v>45587</v>
      </c>
      <c r="F21" s="8" t="str">
        <v>PedidoF11</v>
      </c>
      <c r="G21" s="2" t="str">
        <v>CódRastreio11</v>
      </c>
      <c r="H21" s="5">
        <v>1</v>
      </c>
      <c r="I21" s="2" t="str">
        <v>CPF 20</v>
      </c>
      <c r="J21" s="8" t="str">
        <v>Nome 20</v>
      </c>
      <c r="K21" s="8" t="str">
        <v>Tel 20</v>
      </c>
      <c r="L21" s="8" t="str">
        <v>Cep 20</v>
      </c>
      <c r="M21" s="8" t="str">
        <v>Rua 20</v>
      </c>
      <c r="N21" s="8" t="str">
        <v>Comp 20</v>
      </c>
      <c r="O21" s="8" t="str">
        <v>Balança</v>
      </c>
      <c r="P21" s="8" t="str">
        <v>P4-K63S-8KOM</v>
      </c>
      <c r="Q21" s="4">
        <v>45605</v>
      </c>
      <c r="R21" s="109">
        <v>17.989999999999998</v>
      </c>
      <c r="S21" s="11">
        <f ca="1"/>
        <v>17.989999999999998</v>
      </c>
      <c r="T21" s="28">
        <f ca="1"/>
        <v>2.3386999999999998</v>
      </c>
      <c r="U21" s="11">
        <f ca="1"/>
        <v>15.65</v>
      </c>
      <c r="V21" s="11">
        <v>7.99</v>
      </c>
      <c r="W21" s="11">
        <f ca="1"/>
        <v>0.43</v>
      </c>
      <c r="X21" s="11">
        <f ca="1"/>
        <v>0.39877104377104378</v>
      </c>
      <c r="Y21" s="11">
        <v>0</v>
      </c>
      <c r="Z21" s="11">
        <f ca="1"/>
        <v>6.8312289562289568</v>
      </c>
      <c r="AA21" s="11">
        <f ca="1"/>
        <v>3.4156144781144784</v>
      </c>
      <c r="AB21" s="4">
        <f ca="1"/>
        <v>45612</v>
      </c>
      <c r="AC21" s="4">
        <v>45612</v>
      </c>
      <c r="AD21" s="9">
        <v>45617</v>
      </c>
      <c r="AE21" s="9">
        <v>45618</v>
      </c>
      <c r="AF21" s="4" t="str">
        <f t="shared" ca="1" si="0"/>
        <v>2024 11</v>
      </c>
      <c r="AG21" s="8" t="str" cm="1">
        <f t="array" ref="AG21">IFERROR(_xlfn.IFS('Banco de Dados'!#REF!="AG. COMPRA","Em processamento",'Banco de Dados'!#REF!="AG. RASTREIO","Em processamento",'Banco de Dados'!$AE21&lt;&gt;"-","Faturado",'Banco de Dados'!$AD21&lt;&gt;"-","Aguardando Pix",'Banco de Dados'!$AC21&lt;&gt;"-","Pendente"),"Aguardando Liberação")</f>
        <v>Aguardando Liberação</v>
      </c>
      <c r="AH21" s="5" t="str">
        <f>IF('Banco de Dados'!$F21="-",_xlfn.CONCAT(PROPER(TEXT(AK21,"aaaa"))," ",PROPER(TEXT(AK21,"mm"))),_xlfn.CONCAT(PROPER(TEXT(E21,"aaaa"))," ",PROPER(TEXT(E21,"mm"))))</f>
        <v>2024 10</v>
      </c>
      <c r="AI21" s="9" t="str">
        <f ca="1">IF('Banco de Dados'!$AK21&lt;&gt;"-","REEMBOLSO",IFERROR(_xlfn.XLOOKUP(G21,Follow[CODRASTREIO],Follow[STATUS]),"-"))</f>
        <v>ENTREGUE</v>
      </c>
      <c r="AJ21" s="9">
        <f ca="1">IF('Banco de Dados'!$AI21="ENTREGUE",_xlfn.XLOOKUP('Banco de Dados'!$G21,Follow[CODRASTREIO],Follow[DATAATUALIZAÇÃO]),"-")</f>
        <v>45600</v>
      </c>
      <c r="AK21" s="9" t="str">
        <f ca="1"/>
        <v>-</v>
      </c>
      <c r="AL21" s="35" t="str">
        <v>NÃO</v>
      </c>
      <c r="AM21" s="109" cm="1">
        <f t="array" aca="1" ref="AM21" ca="1">IF('Banco de Dados'!$AK21&lt;&gt;"-",_xlfn.IFS('Banco de Dados'!$A21="bv",IF('Banco de Dados'!$E21&lt;45641,ROUND(SUM('Banco de Dados'!$R21*_xlfn.XLOOKUP('Banco de Dados'!$P21,Sku!B:B,Sku!#REF!)*20%),2),ROUND(SUM('Banco de Dados'!$R21*_xlfn.XLOOKUP('Banco de Dados'!$P21,Sku!B:B,Sku!H:H)*20%),2)),'Banco de Dados'!$A21="GO",ROUND(_xlfn.XLOOKUP('Banco de Dados'!$P21,Sku!C:C,Sku!H:H),2),'Banco de Dados'!$A21="MEI",ROUND(_xlfn.XLOOKUP('Banco de Dados'!$P21,Sku!D:D,Sku!H:H),2)),0)</f>
        <v>0</v>
      </c>
      <c r="AN21" s="109">
        <f ca="1">IF('Banco de Dados'!$AK21&lt;&gt;"-",IF('Banco de Dados'!$F21&lt;&gt;"-",_xlfn.XLOOKUP(IFERROR(IFERROR(IFERROR(VALUE(SUBSTITUTE(MID(_xlfn.TEXTAFTER('Banco de Dados'!$F21,"Data do Pedido:
",1),1,10),"-","/")),VALUE(SUBSTITUTE(MID(_xlfn.TEXTAFTER('Banco de Dados'!$F21,"Order date:
",1),1,10),"-","/"))),VALUE(SUBSTITUTE(MID(_xlfn.TEXTAFTER('Banco de Dados'!$F21,"Fecha de pedido:
",1),1,10),"-","/"))),"-"),SMS!A:A,SMS!K:K),0),0)</f>
        <v>0</v>
      </c>
      <c r="AO21" s="109">
        <f ca="1">IF('Banco de Dados'!$AK21&lt;&gt;"-",IF('Banco de Dados'!$F21&lt;&gt;"-",IFERROR(_xlfn.XLOOKUP(_xlfn.CONCAT('Banco de Dados'!$A21,IFERROR(IFERROR(VALUE(SUBSTITUTE(MID(_xlfn.TEXTAFTER('Banco de Dados'!$F21,"Data do Pedido:
",1),1,10),"-","/")),VALUE(SUBSTITUTE(MID(_xlfn.TEXTAFTER('Banco de Dados'!$F21,"Order date:
",1),1,10),"-","/"))),0)),ProxyDD[Chave],ProxyDD[Valor por pedido]),PROXY!$P$2),0),0)</f>
        <v>0</v>
      </c>
      <c r="AP21" s="28">
        <f ca="1">IF('Banco de Dados'!$AK21&lt;&gt;"-",IF('Banco de Dados'!$AL21="NÃO",IFERROR(VALUE(SUBSTITUTE(_xlfn.TEXTAFTER('Banco de Dados'!$F21,"BRL ",1),".",",")),0),0),0)</f>
        <v>0</v>
      </c>
      <c r="AQ21" s="28">
        <f ca="1">SUM('Banco de Dados'!$AM21:$AP21)</f>
        <v>0</v>
      </c>
      <c r="AR21" s="8"/>
      <c r="AS21" s="8"/>
      <c r="AY21" s="8"/>
    </row>
    <row r="22" spans="1:51">
      <c r="A22" s="5" t="str">
        <v>BV</v>
      </c>
      <c r="B22" s="5" t="str">
        <f ca="1"/>
        <v>BV45587</v>
      </c>
      <c r="C22" s="8" t="str">
        <v>Pedido 21</v>
      </c>
      <c r="D22" s="9">
        <v>45587</v>
      </c>
      <c r="E22" s="9">
        <v>45587</v>
      </c>
      <c r="F22" s="8" t="str">
        <v>PedidoF12</v>
      </c>
      <c r="G22" s="2" t="str">
        <v>CódRastreio12</v>
      </c>
      <c r="H22" s="5">
        <v>1</v>
      </c>
      <c r="I22" s="2" t="str">
        <v>CPF 21</v>
      </c>
      <c r="J22" s="8" t="str">
        <v>Nome 21</v>
      </c>
      <c r="K22" s="8" t="str">
        <v>Tel 21</v>
      </c>
      <c r="L22" s="8" t="str">
        <v>Cep 21</v>
      </c>
      <c r="M22" s="8" t="str">
        <v>Rua 21</v>
      </c>
      <c r="N22" s="8" t="str">
        <v>Comp 21</v>
      </c>
      <c r="O22" s="8" t="str">
        <v>Suporte de Celular Preto</v>
      </c>
      <c r="P22" s="8" t="str">
        <v>9G-BN48-QAPH</v>
      </c>
      <c r="Q22" s="4">
        <v>45605</v>
      </c>
      <c r="R22" s="109">
        <v>14.99</v>
      </c>
      <c r="S22" s="11">
        <f ca="1"/>
        <v>14.99</v>
      </c>
      <c r="T22" s="28">
        <f ca="1"/>
        <v>2.2484999999999999</v>
      </c>
      <c r="U22" s="11">
        <f ca="1"/>
        <v>12.74</v>
      </c>
      <c r="V22" s="11">
        <v>4.99</v>
      </c>
      <c r="W22" s="11">
        <f ca="1"/>
        <v>0.43</v>
      </c>
      <c r="X22" s="11">
        <f ca="1"/>
        <v>0.39877104377104378</v>
      </c>
      <c r="Y22" s="11">
        <v>0</v>
      </c>
      <c r="Z22" s="11">
        <f ca="1"/>
        <v>6.9212289562289566</v>
      </c>
      <c r="AA22" s="11">
        <f ca="1"/>
        <v>3.4606144781144783</v>
      </c>
      <c r="AB22" s="4">
        <f ca="1"/>
        <v>45612</v>
      </c>
      <c r="AC22" s="4">
        <v>45612</v>
      </c>
      <c r="AD22" s="9">
        <v>45617</v>
      </c>
      <c r="AE22" s="9">
        <v>45618</v>
      </c>
      <c r="AF22" s="4" t="str">
        <f t="shared" ca="1" si="0"/>
        <v>2024 11</v>
      </c>
      <c r="AG22" s="8" t="str" cm="1">
        <f t="array" ref="AG22">IFERROR(_xlfn.IFS('Banco de Dados'!#REF!="AG. COMPRA","Em processamento",'Banco de Dados'!#REF!="AG. RASTREIO","Em processamento",'Banco de Dados'!$AE22&lt;&gt;"-","Faturado",'Banco de Dados'!$AD22&lt;&gt;"-","Aguardando Pix",'Banco de Dados'!$AC22&lt;&gt;"-","Pendente"),"Aguardando Liberação")</f>
        <v>Aguardando Liberação</v>
      </c>
      <c r="AH22" s="5" t="str">
        <f>IF('Banco de Dados'!$F22="-",_xlfn.CONCAT(PROPER(TEXT(AK22,"aaaa"))," ",PROPER(TEXT(AK22,"mm"))),_xlfn.CONCAT(PROPER(TEXT(E22,"aaaa"))," ",PROPER(TEXT(E22,"mm"))))</f>
        <v>2024 10</v>
      </c>
      <c r="AI22" s="9" t="str">
        <f ca="1">IF('Banco de Dados'!$AK22&lt;&gt;"-","REEMBOLSO",IFERROR(_xlfn.XLOOKUP(G22,Follow[CODRASTREIO],Follow[STATUS]),"-"))</f>
        <v>ENTREGUE</v>
      </c>
      <c r="AJ22" s="9">
        <f ca="1">IF('Banco de Dados'!$AI22="ENTREGUE",_xlfn.XLOOKUP('Banco de Dados'!$G22,Follow[CODRASTREIO],Follow[DATAATUALIZAÇÃO]),"-")</f>
        <v>45590</v>
      </c>
      <c r="AK22" s="9" t="str">
        <f ca="1"/>
        <v>-</v>
      </c>
      <c r="AL22" s="35" t="str">
        <v>SIM</v>
      </c>
      <c r="AM22" s="109" cm="1">
        <f t="array" aca="1" ref="AM22" ca="1">IF('Banco de Dados'!$AK22&lt;&gt;"-",_xlfn.IFS('Banco de Dados'!$A22="bv",IF('Banco de Dados'!$E22&lt;45641,ROUND(SUM('Banco de Dados'!$R22*_xlfn.XLOOKUP('Banco de Dados'!$P22,Sku!B:B,Sku!#REF!)*20%),2),ROUND(SUM('Banco de Dados'!$R22*_xlfn.XLOOKUP('Banco de Dados'!$P22,Sku!B:B,Sku!H:H)*20%),2)),'Banco de Dados'!$A22="GO",ROUND(_xlfn.XLOOKUP('Banco de Dados'!$P22,Sku!C:C,Sku!H:H),2),'Banco de Dados'!$A22="MEI",ROUND(_xlfn.XLOOKUP('Banco de Dados'!$P22,Sku!D:D,Sku!H:H),2)),0)</f>
        <v>0</v>
      </c>
      <c r="AN22" s="109">
        <f ca="1">IF('Banco de Dados'!$AK22&lt;&gt;"-",IF('Banco de Dados'!$F22&lt;&gt;"-",_xlfn.XLOOKUP(IFERROR(IFERROR(IFERROR(VALUE(SUBSTITUTE(MID(_xlfn.TEXTAFTER('Banco de Dados'!$F22,"Data do Pedido:
",1),1,10),"-","/")),VALUE(SUBSTITUTE(MID(_xlfn.TEXTAFTER('Banco de Dados'!$F22,"Order date:
",1),1,10),"-","/"))),VALUE(SUBSTITUTE(MID(_xlfn.TEXTAFTER('Banco de Dados'!$F22,"Fecha de pedido:
",1),1,10),"-","/"))),"-"),SMS!A:A,SMS!K:K),0),0)</f>
        <v>0</v>
      </c>
      <c r="AO22" s="109">
        <f ca="1">IF('Banco de Dados'!$AK22&lt;&gt;"-",IF('Banco de Dados'!$F22&lt;&gt;"-",IFERROR(_xlfn.XLOOKUP(_xlfn.CONCAT('Banco de Dados'!$A22,IFERROR(IFERROR(VALUE(SUBSTITUTE(MID(_xlfn.TEXTAFTER('Banco de Dados'!$F22,"Data do Pedido:
",1),1,10),"-","/")),VALUE(SUBSTITUTE(MID(_xlfn.TEXTAFTER('Banco de Dados'!$F22,"Order date:
",1),1,10),"-","/"))),0)),ProxyDD[Chave],ProxyDD[Valor por pedido]),PROXY!$P$2),0),0)</f>
        <v>0</v>
      </c>
      <c r="AP22" s="28">
        <f ca="1">IF('Banco de Dados'!$AK22&lt;&gt;"-",IF('Banco de Dados'!$AL22="NÃO",IFERROR(VALUE(SUBSTITUTE(_xlfn.TEXTAFTER('Banco de Dados'!$F22,"BRL ",1),".",",")),0),0),0)</f>
        <v>0</v>
      </c>
      <c r="AQ22" s="28">
        <f ca="1">SUM('Banco de Dados'!$AM22:$AP22)</f>
        <v>0</v>
      </c>
      <c r="AR22" s="8"/>
      <c r="AS22" s="8"/>
      <c r="AY22" s="8"/>
    </row>
    <row r="23" spans="1:51">
      <c r="A23" s="5" t="str">
        <v>BV</v>
      </c>
      <c r="B23" s="5" t="str">
        <f ca="1"/>
        <v>BV45587</v>
      </c>
      <c r="C23" s="8" t="str">
        <v>Pedido 22</v>
      </c>
      <c r="D23" s="9">
        <v>45587</v>
      </c>
      <c r="E23" s="9">
        <v>45587</v>
      </c>
      <c r="F23" s="8" t="str">
        <v>PedidoF13</v>
      </c>
      <c r="G23" s="2" t="str">
        <v>CódRastreio13</v>
      </c>
      <c r="H23" s="5">
        <v>1</v>
      </c>
      <c r="I23" s="2" t="str">
        <v>CPF 22</v>
      </c>
      <c r="J23" s="8" t="str">
        <v>Nome 22</v>
      </c>
      <c r="K23" s="8" t="str">
        <v>Tel 22</v>
      </c>
      <c r="L23" s="8" t="str">
        <v>Cep 22</v>
      </c>
      <c r="M23" s="8" t="str">
        <v>Rua 22</v>
      </c>
      <c r="N23" s="8" t="str">
        <v>Comp 22</v>
      </c>
      <c r="O23" s="8" t="str">
        <v>Balança</v>
      </c>
      <c r="P23" s="8" t="str">
        <v>P4-K63S-8KOM</v>
      </c>
      <c r="Q23" s="4">
        <v>45605</v>
      </c>
      <c r="R23" s="109">
        <v>17.989999999999998</v>
      </c>
      <c r="S23" s="11">
        <f ca="1"/>
        <v>17.989999999999998</v>
      </c>
      <c r="T23" s="28">
        <f ca="1"/>
        <v>2.3386999999999998</v>
      </c>
      <c r="U23" s="11">
        <f ca="1"/>
        <v>15.65</v>
      </c>
      <c r="V23" s="11">
        <v>7.99</v>
      </c>
      <c r="W23" s="11">
        <f ca="1"/>
        <v>0.43</v>
      </c>
      <c r="X23" s="11">
        <f ca="1"/>
        <v>0.39877104377104378</v>
      </c>
      <c r="Y23" s="11">
        <v>0</v>
      </c>
      <c r="Z23" s="11">
        <f ca="1"/>
        <v>6.8312289562289568</v>
      </c>
      <c r="AA23" s="11">
        <f ca="1"/>
        <v>3.4156144781144784</v>
      </c>
      <c r="AB23" s="4">
        <f ca="1"/>
        <v>45612</v>
      </c>
      <c r="AC23" s="4">
        <v>45612</v>
      </c>
      <c r="AD23" s="9">
        <v>45617</v>
      </c>
      <c r="AE23" s="9">
        <v>45618</v>
      </c>
      <c r="AF23" s="4" t="str">
        <f t="shared" ca="1" si="0"/>
        <v>2024 11</v>
      </c>
      <c r="AG23" s="8" t="str" cm="1">
        <f t="array" ref="AG23">IFERROR(_xlfn.IFS('Banco de Dados'!#REF!="AG. COMPRA","Em processamento",'Banco de Dados'!#REF!="AG. RASTREIO","Em processamento",'Banco de Dados'!$AE23&lt;&gt;"-","Faturado",'Banco de Dados'!$AD23&lt;&gt;"-","Aguardando Pix",'Banco de Dados'!$AC23&lt;&gt;"-","Pendente"),"Aguardando Liberação")</f>
        <v>Aguardando Liberação</v>
      </c>
      <c r="AH23" s="5" t="str">
        <f>IF('Banco de Dados'!$F23="-",_xlfn.CONCAT(PROPER(TEXT(AK23,"aaaa"))," ",PROPER(TEXT(AK23,"mm"))),_xlfn.CONCAT(PROPER(TEXT(E23,"aaaa"))," ",PROPER(TEXT(E23,"mm"))))</f>
        <v>2024 10</v>
      </c>
      <c r="AI23" s="9" t="str">
        <f ca="1">IF('Banco de Dados'!$AK23&lt;&gt;"-","REEMBOLSO",IFERROR(_xlfn.XLOOKUP(G23,Follow[CODRASTREIO],Follow[STATUS]),"-"))</f>
        <v>ENTREGUE</v>
      </c>
      <c r="AJ23" s="9">
        <f ca="1">IF('Banco de Dados'!$AI23="ENTREGUE",_xlfn.XLOOKUP('Banco de Dados'!$G23,Follow[CODRASTREIO],Follow[DATAATUALIZAÇÃO]),"-")</f>
        <v>45591</v>
      </c>
      <c r="AK23" s="9" t="str">
        <f ca="1"/>
        <v>-</v>
      </c>
      <c r="AL23" s="35" t="str">
        <v>NÃO</v>
      </c>
      <c r="AM23" s="109" cm="1">
        <f t="array" aca="1" ref="AM23" ca="1">IF('Banco de Dados'!$AK23&lt;&gt;"-",_xlfn.IFS('Banco de Dados'!$A23="bv",IF('Banco de Dados'!$E23&lt;45641,ROUND(SUM('Banco de Dados'!$R23*_xlfn.XLOOKUP('Banco de Dados'!$P23,Sku!B:B,Sku!#REF!)*20%),2),ROUND(SUM('Banco de Dados'!$R23*_xlfn.XLOOKUP('Banco de Dados'!$P23,Sku!B:B,Sku!H:H)*20%),2)),'Banco de Dados'!$A23="GO",ROUND(_xlfn.XLOOKUP('Banco de Dados'!$P23,Sku!C:C,Sku!H:H),2),'Banco de Dados'!$A23="MEI",ROUND(_xlfn.XLOOKUP('Banco de Dados'!$P23,Sku!D:D,Sku!H:H),2)),0)</f>
        <v>0</v>
      </c>
      <c r="AN23" s="109">
        <f ca="1">IF('Banco de Dados'!$AK23&lt;&gt;"-",IF('Banco de Dados'!$F23&lt;&gt;"-",_xlfn.XLOOKUP(IFERROR(IFERROR(IFERROR(VALUE(SUBSTITUTE(MID(_xlfn.TEXTAFTER('Banco de Dados'!$F23,"Data do Pedido:
",1),1,10),"-","/")),VALUE(SUBSTITUTE(MID(_xlfn.TEXTAFTER('Banco de Dados'!$F23,"Order date:
",1),1,10),"-","/"))),VALUE(SUBSTITUTE(MID(_xlfn.TEXTAFTER('Banco de Dados'!$F23,"Fecha de pedido:
",1),1,10),"-","/"))),"-"),SMS!A:A,SMS!K:K),0),0)</f>
        <v>0</v>
      </c>
      <c r="AO23" s="109">
        <f ca="1">IF('Banco de Dados'!$AK23&lt;&gt;"-",IF('Banco de Dados'!$F23&lt;&gt;"-",IFERROR(_xlfn.XLOOKUP(_xlfn.CONCAT('Banco de Dados'!$A23,IFERROR(IFERROR(VALUE(SUBSTITUTE(MID(_xlfn.TEXTAFTER('Banco de Dados'!$F23,"Data do Pedido:
",1),1,10),"-","/")),VALUE(SUBSTITUTE(MID(_xlfn.TEXTAFTER('Banco de Dados'!$F23,"Order date:
",1),1,10),"-","/"))),0)),ProxyDD[Chave],ProxyDD[Valor por pedido]),PROXY!$P$2),0),0)</f>
        <v>0</v>
      </c>
      <c r="AP23" s="28">
        <f ca="1">IF('Banco de Dados'!$AK23&lt;&gt;"-",IF('Banco de Dados'!$AL23="NÃO",IFERROR(VALUE(SUBSTITUTE(_xlfn.TEXTAFTER('Banco de Dados'!$F23,"BRL ",1),".",",")),0),0),0)</f>
        <v>0</v>
      </c>
      <c r="AQ23" s="28">
        <f ca="1">SUM('Banco de Dados'!$AM23:$AP23)</f>
        <v>0</v>
      </c>
      <c r="AR23" s="8"/>
      <c r="AS23" s="8"/>
      <c r="AY23" s="8"/>
    </row>
    <row r="24" spans="1:51">
      <c r="A24" s="5" t="str">
        <v>BV</v>
      </c>
      <c r="B24" s="5" t="str">
        <f ca="1"/>
        <v>BV45588</v>
      </c>
      <c r="C24" s="1" t="str">
        <v>Pedido 23</v>
      </c>
      <c r="D24" s="9">
        <v>45588</v>
      </c>
      <c r="E24" s="9">
        <v>45588</v>
      </c>
      <c r="F24" s="8" t="str">
        <v>PedidoF14</v>
      </c>
      <c r="G24" s="2" t="str">
        <v>CódRastreio14</v>
      </c>
      <c r="H24" s="5">
        <v>1</v>
      </c>
      <c r="I24" s="178" t="str">
        <v>CPF 23</v>
      </c>
      <c r="J24" s="8" t="str">
        <v>Nome 23</v>
      </c>
      <c r="K24" s="8" t="str">
        <v>Tel 23</v>
      </c>
      <c r="L24" s="8" t="str">
        <v>Cep 23</v>
      </c>
      <c r="M24" s="8" t="str">
        <v>Rua 23</v>
      </c>
      <c r="N24" s="8" t="str">
        <v>Comp 23</v>
      </c>
      <c r="O24" s="8" t="str">
        <v>Bomba d'agua</v>
      </c>
      <c r="P24" s="8" t="str">
        <v>DJ-RO5O-43GF</v>
      </c>
      <c r="Q24" s="4">
        <v>45608</v>
      </c>
      <c r="R24" s="109">
        <v>17.329999999999998</v>
      </c>
      <c r="S24" s="11">
        <f ca="1"/>
        <v>17.329999999999998</v>
      </c>
      <c r="T24" s="28">
        <f ca="1"/>
        <v>2.4262000000000001</v>
      </c>
      <c r="U24" s="11">
        <f ca="1"/>
        <v>14.9</v>
      </c>
      <c r="V24" s="11">
        <v>4.99</v>
      </c>
      <c r="W24" s="11">
        <f ca="1"/>
        <v>0.57999999999999996</v>
      </c>
      <c r="X24" s="11">
        <f ca="1"/>
        <v>0.39877104377104378</v>
      </c>
      <c r="Y24" s="11">
        <v>0</v>
      </c>
      <c r="Z24" s="11">
        <f ca="1"/>
        <v>8.9312289562289564</v>
      </c>
      <c r="AA24" s="11">
        <f ca="1"/>
        <v>4.4656144781144782</v>
      </c>
      <c r="AB24" s="4">
        <f ca="1"/>
        <v>45615</v>
      </c>
      <c r="AC24" s="4">
        <v>45615</v>
      </c>
      <c r="AD24" s="9">
        <v>45617</v>
      </c>
      <c r="AE24" s="9">
        <v>45618</v>
      </c>
      <c r="AF24" s="4" t="str">
        <f t="shared" ca="1" si="0"/>
        <v>2024 11</v>
      </c>
      <c r="AG24" s="8" t="str" cm="1">
        <f t="array" ref="AG24">IFERROR(_xlfn.IFS('Banco de Dados'!#REF!="AG. COMPRA","Em processamento",'Banco de Dados'!#REF!="AG. RASTREIO","Em processamento",'Banco de Dados'!$AE24&lt;&gt;"-","Faturado",'Banco de Dados'!$AD24&lt;&gt;"-","Aguardando Pix",'Banco de Dados'!$AC24&lt;&gt;"-","Pendente"),"Aguardando Liberação")</f>
        <v>Aguardando Liberação</v>
      </c>
      <c r="AH24" s="5" t="str">
        <f>IF('Banco de Dados'!$F24="-",_xlfn.CONCAT(PROPER(TEXT(AK24,"aaaa"))," ",PROPER(TEXT(AK24,"mm"))),_xlfn.CONCAT(PROPER(TEXT(E24,"aaaa"))," ",PROPER(TEXT(E24,"mm"))))</f>
        <v>2024 10</v>
      </c>
      <c r="AI24" s="9" t="str">
        <f ca="1">IF('Banco de Dados'!$AK24&lt;&gt;"-","REEMBOLSO",IFERROR(_xlfn.XLOOKUP(G24,Follow[CODRASTREIO],Follow[STATUS]),"-"))</f>
        <v>ENTREGUE</v>
      </c>
      <c r="AJ24" s="9">
        <f ca="1">IF('Banco de Dados'!$AI24="ENTREGUE",_xlfn.XLOOKUP('Banco de Dados'!$G24,Follow[CODRASTREIO],Follow[DATAATUALIZAÇÃO]),"-")</f>
        <v>45594</v>
      </c>
      <c r="AK24" s="9" t="str">
        <f ca="1"/>
        <v>-</v>
      </c>
      <c r="AL24" s="35" t="str">
        <v>NÃO</v>
      </c>
      <c r="AM24" s="109" cm="1">
        <f t="array" aca="1" ref="AM24" ca="1">IF('Banco de Dados'!$AK24&lt;&gt;"-",_xlfn.IFS('Banco de Dados'!$A24="bv",IF('Banco de Dados'!$E24&lt;45641,ROUND(SUM('Banco de Dados'!$R24*_xlfn.XLOOKUP('Banco de Dados'!$P24,Sku!B:B,Sku!#REF!)*20%),2),ROUND(SUM('Banco de Dados'!$R24*_xlfn.XLOOKUP('Banco de Dados'!$P24,Sku!B:B,Sku!H:H)*20%),2)),'Banco de Dados'!$A24="GO",ROUND(_xlfn.XLOOKUP('Banco de Dados'!$P24,Sku!C:C,Sku!H:H),2),'Banco de Dados'!$A24="MEI",ROUND(_xlfn.XLOOKUP('Banco de Dados'!$P24,Sku!D:D,Sku!H:H),2)),0)</f>
        <v>0</v>
      </c>
      <c r="AN24" s="109">
        <f ca="1">IF('Banco de Dados'!$AK24&lt;&gt;"-",IF('Banco de Dados'!$F24&lt;&gt;"-",_xlfn.XLOOKUP(IFERROR(IFERROR(IFERROR(VALUE(SUBSTITUTE(MID(_xlfn.TEXTAFTER('Banco de Dados'!$F24,"Data do Pedido:
",1),1,10),"-","/")),VALUE(SUBSTITUTE(MID(_xlfn.TEXTAFTER('Banco de Dados'!$F24,"Order date:
",1),1,10),"-","/"))),VALUE(SUBSTITUTE(MID(_xlfn.TEXTAFTER('Banco de Dados'!$F24,"Fecha de pedido:
",1),1,10),"-","/"))),"-"),SMS!A:A,SMS!K:K),0),0)</f>
        <v>0</v>
      </c>
      <c r="AO24" s="109">
        <f ca="1">IF('Banco de Dados'!$AK24&lt;&gt;"-",IF('Banco de Dados'!$F24&lt;&gt;"-",IFERROR(_xlfn.XLOOKUP(_xlfn.CONCAT('Banco de Dados'!$A24,IFERROR(IFERROR(VALUE(SUBSTITUTE(MID(_xlfn.TEXTAFTER('Banco de Dados'!$F24,"Data do Pedido:
",1),1,10),"-","/")),VALUE(SUBSTITUTE(MID(_xlfn.TEXTAFTER('Banco de Dados'!$F24,"Order date:
",1),1,10),"-","/"))),0)),ProxyDD[Chave],ProxyDD[Valor por pedido]),PROXY!$P$2),0),0)</f>
        <v>0</v>
      </c>
      <c r="AP24" s="28">
        <f ca="1">IF('Banco de Dados'!$AK24&lt;&gt;"-",IF('Banco de Dados'!$AL24="NÃO",IFERROR(VALUE(SUBSTITUTE(_xlfn.TEXTAFTER('Banco de Dados'!$F24,"BRL ",1),".",",")),0),0),0)</f>
        <v>0</v>
      </c>
      <c r="AQ24" s="28">
        <f ca="1">SUM('Banco de Dados'!$AM24:$AP24)</f>
        <v>0</v>
      </c>
      <c r="AR24" s="8"/>
      <c r="AS24" s="8"/>
      <c r="AY24" s="8"/>
    </row>
    <row r="25" spans="1:51">
      <c r="A25" s="5" t="str">
        <v>BV</v>
      </c>
      <c r="B25" s="5" t="str">
        <f ca="1"/>
        <v>BV45587</v>
      </c>
      <c r="C25" s="1" t="str">
        <v>Pedido 24</v>
      </c>
      <c r="D25" s="9">
        <v>45587</v>
      </c>
      <c r="E25" s="9">
        <v>45587</v>
      </c>
      <c r="F25" s="8" t="str">
        <v>PedidoF15</v>
      </c>
      <c r="G25" s="2" t="str">
        <v>CódRastreio15</v>
      </c>
      <c r="H25" s="5">
        <v>1</v>
      </c>
      <c r="I25" s="178" t="str">
        <v>CPF 9</v>
      </c>
      <c r="J25" s="8" t="str">
        <v>Nome 9</v>
      </c>
      <c r="K25" s="8" t="str">
        <v>Tel 9</v>
      </c>
      <c r="L25" s="8" t="str">
        <v>Cep 9</v>
      </c>
      <c r="M25" s="8" t="str">
        <v>Rua 9</v>
      </c>
      <c r="N25" s="8" t="str">
        <v>Comp 9</v>
      </c>
      <c r="O25" s="8" t="str">
        <v>Suporte de Celular Branco</v>
      </c>
      <c r="P25" s="8" t="str">
        <v>16-4EDB-WMZF</v>
      </c>
      <c r="Q25" s="4">
        <v>45611</v>
      </c>
      <c r="R25" s="109">
        <v>14.99</v>
      </c>
      <c r="S25" s="11">
        <f ca="1"/>
        <v>14.99</v>
      </c>
      <c r="T25" s="28">
        <f ca="1"/>
        <v>2.2484999999999999</v>
      </c>
      <c r="U25" s="11">
        <f ca="1"/>
        <v>12.74</v>
      </c>
      <c r="V25" s="11">
        <v>4.99</v>
      </c>
      <c r="W25" s="11">
        <f ca="1"/>
        <v>0.43</v>
      </c>
      <c r="X25" s="11">
        <f ca="1"/>
        <v>0.39877104377104378</v>
      </c>
      <c r="Y25" s="11">
        <v>0</v>
      </c>
      <c r="Z25" s="11">
        <f ca="1"/>
        <v>6.9212289562289566</v>
      </c>
      <c r="AA25" s="11">
        <f ca="1"/>
        <v>3.4606144781144783</v>
      </c>
      <c r="AB25" s="4">
        <f ca="1"/>
        <v>45618</v>
      </c>
      <c r="AC25" s="4">
        <v>45618</v>
      </c>
      <c r="AD25" s="9">
        <v>45618</v>
      </c>
      <c r="AE25" s="9">
        <v>45625</v>
      </c>
      <c r="AF25" s="4" t="str">
        <f t="shared" ca="1" si="0"/>
        <v>2024 11</v>
      </c>
      <c r="AG25" s="8" t="str" cm="1">
        <f t="array" ref="AG25">IFERROR(_xlfn.IFS('Banco de Dados'!#REF!="AG. COMPRA","Em processamento",'Banco de Dados'!#REF!="AG. RASTREIO","Em processamento",'Banco de Dados'!$AE25&lt;&gt;"-","Faturado",'Banco de Dados'!$AD25&lt;&gt;"-","Aguardando Pix",'Banco de Dados'!$AC25&lt;&gt;"-","Pendente"),"Aguardando Liberação")</f>
        <v>Aguardando Liberação</v>
      </c>
      <c r="AH25" s="5" t="str">
        <f>IF('Banco de Dados'!$F25="-",_xlfn.CONCAT(PROPER(TEXT(AK25,"aaaa"))," ",PROPER(TEXT(AK25,"mm"))),_xlfn.CONCAT(PROPER(TEXT(E25,"aaaa"))," ",PROPER(TEXT(E25,"mm"))))</f>
        <v>2024 10</v>
      </c>
      <c r="AI25" s="9" t="str">
        <f ca="1">IF('Banco de Dados'!$AK25&lt;&gt;"-","REEMBOLSO",IFERROR(_xlfn.XLOOKUP(G25,Follow[CODRASTREIO],Follow[STATUS]),"-"))</f>
        <v>ENTREGUE</v>
      </c>
      <c r="AJ25" s="9">
        <f ca="1">IF('Banco de Dados'!$AI25="ENTREGUE",_xlfn.XLOOKUP('Banco de Dados'!$G25,Follow[CODRASTREIO],Follow[DATAATUALIZAÇÃO]),"-")</f>
        <v>45594</v>
      </c>
      <c r="AK25" s="9" t="str">
        <f ca="1"/>
        <v>-</v>
      </c>
      <c r="AL25" s="35" t="str">
        <v>SIM</v>
      </c>
      <c r="AM25" s="109" cm="1">
        <f t="array" aca="1" ref="AM25" ca="1">IF('Banco de Dados'!$AK25&lt;&gt;"-",_xlfn.IFS('Banco de Dados'!$A25="bv",IF('Banco de Dados'!$E25&lt;45641,ROUND(SUM('Banco de Dados'!$R25*_xlfn.XLOOKUP('Banco de Dados'!$P25,Sku!B:B,Sku!#REF!)*20%),2),ROUND(SUM('Banco de Dados'!$R25*_xlfn.XLOOKUP('Banco de Dados'!$P25,Sku!B:B,Sku!H:H)*20%),2)),'Banco de Dados'!$A25="GO",ROUND(_xlfn.XLOOKUP('Banco de Dados'!$P25,Sku!C:C,Sku!H:H),2),'Banco de Dados'!$A25="MEI",ROUND(_xlfn.XLOOKUP('Banco de Dados'!$P25,Sku!D:D,Sku!H:H),2)),0)</f>
        <v>0</v>
      </c>
      <c r="AN25" s="109">
        <f ca="1">IF('Banco de Dados'!$AK25&lt;&gt;"-",IF('Banco de Dados'!$F25&lt;&gt;"-",_xlfn.XLOOKUP(IFERROR(IFERROR(IFERROR(VALUE(SUBSTITUTE(MID(_xlfn.TEXTAFTER('Banco de Dados'!$F25,"Data do Pedido:
",1),1,10),"-","/")),VALUE(SUBSTITUTE(MID(_xlfn.TEXTAFTER('Banco de Dados'!$F25,"Order date:
",1),1,10),"-","/"))),VALUE(SUBSTITUTE(MID(_xlfn.TEXTAFTER('Banco de Dados'!$F25,"Fecha de pedido:
",1),1,10),"-","/"))),"-"),SMS!A:A,SMS!K:K),0),0)</f>
        <v>0</v>
      </c>
      <c r="AO25" s="109">
        <f ca="1">IF('Banco de Dados'!$AK25&lt;&gt;"-",IF('Banco de Dados'!$F25&lt;&gt;"-",IFERROR(_xlfn.XLOOKUP(_xlfn.CONCAT('Banco de Dados'!$A25,IFERROR(IFERROR(VALUE(SUBSTITUTE(MID(_xlfn.TEXTAFTER('Banco de Dados'!$F25,"Data do Pedido:
",1),1,10),"-","/")),VALUE(SUBSTITUTE(MID(_xlfn.TEXTAFTER('Banco de Dados'!$F25,"Order date:
",1),1,10),"-","/"))),0)),ProxyDD[Chave],ProxyDD[Valor por pedido]),PROXY!$P$2),0),0)</f>
        <v>0</v>
      </c>
      <c r="AP25" s="28">
        <f ca="1">IF('Banco de Dados'!$AK25&lt;&gt;"-",IF('Banco de Dados'!$AL25="NÃO",IFERROR(VALUE(SUBSTITUTE(_xlfn.TEXTAFTER('Banco de Dados'!$F25,"BRL ",1),".",",")),0),0),0)</f>
        <v>0</v>
      </c>
      <c r="AQ25" s="28">
        <f ca="1">SUM('Banco de Dados'!$AM25:$AP25)</f>
        <v>0</v>
      </c>
      <c r="AR25" s="8"/>
      <c r="AS25" s="8"/>
      <c r="AY25" s="8"/>
    </row>
    <row r="26" spans="1:51">
      <c r="A26" s="5" t="str">
        <v>BV</v>
      </c>
      <c r="B26" s="5" t="str">
        <f ca="1"/>
        <v>BV45587</v>
      </c>
      <c r="C26" s="1" t="str">
        <v>Pedido 25</v>
      </c>
      <c r="D26" s="9">
        <v>45587</v>
      </c>
      <c r="E26" s="9">
        <v>45587</v>
      </c>
      <c r="F26" s="8" t="str">
        <v>PedidoF16</v>
      </c>
      <c r="G26" s="2" t="str">
        <v>CódRastreio16</v>
      </c>
      <c r="H26" s="5">
        <v>1</v>
      </c>
      <c r="I26" s="178" t="str">
        <v>CPF 9</v>
      </c>
      <c r="J26" s="179" t="str">
        <v>Nome 9</v>
      </c>
      <c r="K26" s="179" t="str">
        <v>Tel 9</v>
      </c>
      <c r="L26" s="179" t="str">
        <v>Cep 9</v>
      </c>
      <c r="M26" s="179" t="str">
        <v>Rua 9</v>
      </c>
      <c r="N26" s="179" t="str">
        <v>Comp 9</v>
      </c>
      <c r="O26" s="179" t="str">
        <v>Suporte de Celular Branco</v>
      </c>
      <c r="P26" s="8" t="str">
        <v>16-4EDB-WMZF</v>
      </c>
      <c r="Q26" s="4">
        <v>45611</v>
      </c>
      <c r="R26" s="109">
        <v>14.99</v>
      </c>
      <c r="S26" s="11">
        <f ca="1"/>
        <v>14.99</v>
      </c>
      <c r="T26" s="28">
        <f ca="1"/>
        <v>2.2484999999999999</v>
      </c>
      <c r="U26" s="11">
        <f ca="1"/>
        <v>12.74</v>
      </c>
      <c r="V26" s="11">
        <v>4.99</v>
      </c>
      <c r="W26" s="11">
        <f ca="1"/>
        <v>0.43</v>
      </c>
      <c r="X26" s="11">
        <f ca="1"/>
        <v>0.39877104377104378</v>
      </c>
      <c r="Y26" s="11">
        <v>0</v>
      </c>
      <c r="Z26" s="11">
        <f ca="1"/>
        <v>6.9212289562289566</v>
      </c>
      <c r="AA26" s="11">
        <f ca="1"/>
        <v>3.4606144781144783</v>
      </c>
      <c r="AB26" s="4">
        <f ca="1"/>
        <v>45618</v>
      </c>
      <c r="AC26" s="4">
        <v>45618</v>
      </c>
      <c r="AD26" s="9">
        <v>45618</v>
      </c>
      <c r="AE26" s="9">
        <v>45625</v>
      </c>
      <c r="AF26" s="4" t="str">
        <f t="shared" ca="1" si="0"/>
        <v>2024 11</v>
      </c>
      <c r="AG26" s="8" t="str" cm="1">
        <f t="array" ref="AG26">IFERROR(_xlfn.IFS('Banco de Dados'!#REF!="AG. COMPRA","Em processamento",'Banco de Dados'!#REF!="AG. RASTREIO","Em processamento",'Banco de Dados'!$AE26&lt;&gt;"-","Faturado",'Banco de Dados'!$AD26&lt;&gt;"-","Aguardando Pix",'Banco de Dados'!$AC26&lt;&gt;"-","Pendente"),"Aguardando Liberação")</f>
        <v>Aguardando Liberação</v>
      </c>
      <c r="AH26" s="5" t="str">
        <f>IF('Banco de Dados'!$F26="-",_xlfn.CONCAT(PROPER(TEXT(AK26,"aaaa"))," ",PROPER(TEXT(AK26,"mm"))),_xlfn.CONCAT(PROPER(TEXT(E26,"aaaa"))," ",PROPER(TEXT(E26,"mm"))))</f>
        <v>2024 10</v>
      </c>
      <c r="AI26" s="9" t="str">
        <f ca="1">IF('Banco de Dados'!$AK26&lt;&gt;"-","REEMBOLSO",IFERROR(_xlfn.XLOOKUP(G26,Follow[CODRASTREIO],Follow[STATUS]),"-"))</f>
        <v>ENTREGUE</v>
      </c>
      <c r="AJ26" s="9">
        <f ca="1">IF('Banco de Dados'!$AI26="ENTREGUE",_xlfn.XLOOKUP('Banco de Dados'!$G26,Follow[CODRASTREIO],Follow[DATAATUALIZAÇÃO]),"-")</f>
        <v>45594</v>
      </c>
      <c r="AK26" s="9" t="str">
        <f ca="1"/>
        <v>-</v>
      </c>
      <c r="AL26" s="35" t="str">
        <v>NÃO</v>
      </c>
      <c r="AM26" s="109" cm="1">
        <f t="array" aca="1" ref="AM26" ca="1">IF('Banco de Dados'!$AK26&lt;&gt;"-",_xlfn.IFS('Banco de Dados'!$A26="bv",IF('Banco de Dados'!$E26&lt;45641,ROUND(SUM('Banco de Dados'!$R26*_xlfn.XLOOKUP('Banco de Dados'!$P26,Sku!B:B,Sku!#REF!)*20%),2),ROUND(SUM('Banco de Dados'!$R26*_xlfn.XLOOKUP('Banco de Dados'!$P26,Sku!B:B,Sku!H:H)*20%),2)),'Banco de Dados'!$A26="GO",ROUND(_xlfn.XLOOKUP('Banco de Dados'!$P26,Sku!C:C,Sku!H:H),2),'Banco de Dados'!$A26="MEI",ROUND(_xlfn.XLOOKUP('Banco de Dados'!$P26,Sku!D:D,Sku!H:H),2)),0)</f>
        <v>0</v>
      </c>
      <c r="AN26" s="109">
        <f ca="1">IF('Banco de Dados'!$AK26&lt;&gt;"-",IF('Banco de Dados'!$F26&lt;&gt;"-",_xlfn.XLOOKUP(IFERROR(IFERROR(IFERROR(VALUE(SUBSTITUTE(MID(_xlfn.TEXTAFTER('Banco de Dados'!$F26,"Data do Pedido:
",1),1,10),"-","/")),VALUE(SUBSTITUTE(MID(_xlfn.TEXTAFTER('Banco de Dados'!$F26,"Order date:
",1),1,10),"-","/"))),VALUE(SUBSTITUTE(MID(_xlfn.TEXTAFTER('Banco de Dados'!$F26,"Fecha de pedido:
",1),1,10),"-","/"))),"-"),SMS!A:A,SMS!K:K),0),0)</f>
        <v>0</v>
      </c>
      <c r="AO26" s="109">
        <f ca="1">IF('Banco de Dados'!$AK26&lt;&gt;"-",IF('Banco de Dados'!$F26&lt;&gt;"-",IFERROR(_xlfn.XLOOKUP(_xlfn.CONCAT('Banco de Dados'!$A26,IFERROR(IFERROR(VALUE(SUBSTITUTE(MID(_xlfn.TEXTAFTER('Banco de Dados'!$F26,"Data do Pedido:
",1),1,10),"-","/")),VALUE(SUBSTITUTE(MID(_xlfn.TEXTAFTER('Banco de Dados'!$F26,"Order date:
",1),1,10),"-","/"))),0)),ProxyDD[Chave],ProxyDD[Valor por pedido]),PROXY!$P$2),0),0)</f>
        <v>0</v>
      </c>
      <c r="AP26" s="28">
        <f ca="1">IF('Banco de Dados'!$AK26&lt;&gt;"-",IF('Banco de Dados'!$AL26="NÃO",IFERROR(VALUE(SUBSTITUTE(_xlfn.TEXTAFTER('Banco de Dados'!$F26,"BRL ",1),".",",")),0),0),0)</f>
        <v>0</v>
      </c>
      <c r="AQ26" s="28">
        <f ca="1">SUM('Banco de Dados'!$AM26:$AP26)</f>
        <v>0</v>
      </c>
      <c r="AR26" s="8"/>
      <c r="AS26" s="8"/>
      <c r="AY26" s="8"/>
    </row>
    <row r="27" spans="1:51">
      <c r="A27" s="5" t="str">
        <v>BV</v>
      </c>
      <c r="B27" s="5" t="str">
        <f ca="1"/>
        <v>BV45587</v>
      </c>
      <c r="C27" s="8" t="str">
        <v>Pedido 26</v>
      </c>
      <c r="D27" s="9">
        <v>45587</v>
      </c>
      <c r="E27" s="9">
        <v>45587</v>
      </c>
      <c r="F27" s="8" t="str">
        <v>PedidoF17</v>
      </c>
      <c r="G27" s="2" t="str">
        <v>CódRastreio17</v>
      </c>
      <c r="H27" s="5">
        <v>1</v>
      </c>
      <c r="I27" s="178" t="str">
        <v>CPF 24</v>
      </c>
      <c r="J27" s="8" t="str">
        <v>Nome 24</v>
      </c>
      <c r="K27" s="8" t="str">
        <v>Tel 24</v>
      </c>
      <c r="L27" s="8" t="str">
        <v>Cep 24</v>
      </c>
      <c r="M27" s="8" t="str">
        <v>Rua 24</v>
      </c>
      <c r="N27" s="8" t="str">
        <v>Comp 24</v>
      </c>
      <c r="O27" s="8" t="str">
        <v>Balança</v>
      </c>
      <c r="P27" s="8" t="str">
        <v>P4-K63S-8KOM</v>
      </c>
      <c r="Q27" s="4">
        <v>45605</v>
      </c>
      <c r="R27" s="109">
        <v>17.989999999999998</v>
      </c>
      <c r="S27" s="11">
        <f ca="1"/>
        <v>17.989999999999998</v>
      </c>
      <c r="T27" s="28">
        <f ca="1"/>
        <v>2.3386999999999998</v>
      </c>
      <c r="U27" s="11">
        <f ca="1"/>
        <v>15.65</v>
      </c>
      <c r="V27" s="11">
        <v>7.99</v>
      </c>
      <c r="W27" s="11">
        <f ca="1"/>
        <v>0.43</v>
      </c>
      <c r="X27" s="11">
        <f ca="1"/>
        <v>0.39877104377104378</v>
      </c>
      <c r="Y27" s="11">
        <v>0</v>
      </c>
      <c r="Z27" s="11">
        <f ca="1"/>
        <v>6.8312289562289568</v>
      </c>
      <c r="AA27" s="11">
        <f ca="1"/>
        <v>3.4156144781144784</v>
      </c>
      <c r="AB27" s="4">
        <f ca="1"/>
        <v>45612</v>
      </c>
      <c r="AC27" s="4">
        <v>45612</v>
      </c>
      <c r="AD27" s="9">
        <v>45617</v>
      </c>
      <c r="AE27" s="9">
        <v>45618</v>
      </c>
      <c r="AF27" s="4" t="str">
        <f t="shared" ca="1" si="0"/>
        <v>2024 11</v>
      </c>
      <c r="AG27" s="8" t="str" cm="1">
        <f t="array" ref="AG27">IFERROR(_xlfn.IFS('Banco de Dados'!#REF!="AG. COMPRA","Em processamento",'Banco de Dados'!#REF!="AG. RASTREIO","Em processamento",'Banco de Dados'!$AE27&lt;&gt;"-","Faturado",'Banco de Dados'!$AD27&lt;&gt;"-","Aguardando Pix",'Banco de Dados'!$AC27&lt;&gt;"-","Pendente"),"Aguardando Liberação")</f>
        <v>Aguardando Liberação</v>
      </c>
      <c r="AH27" s="5" t="str">
        <f>IF('Banco de Dados'!$F27="-",_xlfn.CONCAT(PROPER(TEXT(AK27,"aaaa"))," ",PROPER(TEXT(AK27,"mm"))),_xlfn.CONCAT(PROPER(TEXT(E27,"aaaa"))," ",PROPER(TEXT(E27,"mm"))))</f>
        <v>2024 10</v>
      </c>
      <c r="AI27" s="9" t="str">
        <f ca="1">IF('Banco de Dados'!$AK27&lt;&gt;"-","REEMBOLSO",IFERROR(_xlfn.XLOOKUP(G27,Follow[CODRASTREIO],Follow[STATUS]),"-"))</f>
        <v>ENTREGUE</v>
      </c>
      <c r="AJ27" s="9">
        <f ca="1">IF('Banco de Dados'!$AI27="ENTREGUE",_xlfn.XLOOKUP('Banco de Dados'!$G27,Follow[CODRASTREIO],Follow[DATAATUALIZAÇÃO]),"-")</f>
        <v>45593</v>
      </c>
      <c r="AK27" s="9" t="str">
        <f ca="1"/>
        <v>-</v>
      </c>
      <c r="AL27" s="35" t="str">
        <v>NÃO</v>
      </c>
      <c r="AM27" s="109" cm="1">
        <f t="array" aca="1" ref="AM27" ca="1">IF('Banco de Dados'!$AK27&lt;&gt;"-",_xlfn.IFS('Banco de Dados'!$A27="bv",IF('Banco de Dados'!$E27&lt;45641,ROUND(SUM('Banco de Dados'!$R27*_xlfn.XLOOKUP('Banco de Dados'!$P27,Sku!B:B,Sku!#REF!)*20%),2),ROUND(SUM('Banco de Dados'!$R27*_xlfn.XLOOKUP('Banco de Dados'!$P27,Sku!B:B,Sku!H:H)*20%),2)),'Banco de Dados'!$A27="GO",ROUND(_xlfn.XLOOKUP('Banco de Dados'!$P27,Sku!C:C,Sku!H:H),2),'Banco de Dados'!$A27="MEI",ROUND(_xlfn.XLOOKUP('Banco de Dados'!$P27,Sku!D:D,Sku!H:H),2)),0)</f>
        <v>0</v>
      </c>
      <c r="AN27" s="109">
        <f ca="1">IF('Banco de Dados'!$AK27&lt;&gt;"-",IF('Banco de Dados'!$F27&lt;&gt;"-",_xlfn.XLOOKUP(IFERROR(IFERROR(IFERROR(VALUE(SUBSTITUTE(MID(_xlfn.TEXTAFTER('Banco de Dados'!$F27,"Data do Pedido:
",1),1,10),"-","/")),VALUE(SUBSTITUTE(MID(_xlfn.TEXTAFTER('Banco de Dados'!$F27,"Order date:
",1),1,10),"-","/"))),VALUE(SUBSTITUTE(MID(_xlfn.TEXTAFTER('Banco de Dados'!$F27,"Fecha de pedido:
",1),1,10),"-","/"))),"-"),SMS!A:A,SMS!K:K),0),0)</f>
        <v>0</v>
      </c>
      <c r="AO27" s="109">
        <f ca="1">IF('Banco de Dados'!$AK27&lt;&gt;"-",IF('Banco de Dados'!$F27&lt;&gt;"-",IFERROR(_xlfn.XLOOKUP(_xlfn.CONCAT('Banco de Dados'!$A27,IFERROR(IFERROR(VALUE(SUBSTITUTE(MID(_xlfn.TEXTAFTER('Banco de Dados'!$F27,"Data do Pedido:
",1),1,10),"-","/")),VALUE(SUBSTITUTE(MID(_xlfn.TEXTAFTER('Banco de Dados'!$F27,"Order date:
",1),1,10),"-","/"))),0)),ProxyDD[Chave],ProxyDD[Valor por pedido]),PROXY!$P$2),0),0)</f>
        <v>0</v>
      </c>
      <c r="AP27" s="28">
        <f ca="1">IF('Banco de Dados'!$AK27&lt;&gt;"-",IF('Banco de Dados'!$AL27="NÃO",IFERROR(VALUE(SUBSTITUTE(_xlfn.TEXTAFTER('Banco de Dados'!$F27,"BRL ",1),".",",")),0),0),0)</f>
        <v>0</v>
      </c>
      <c r="AQ27" s="28">
        <f ca="1">SUM('Banco de Dados'!$AM27:$AP27)</f>
        <v>0</v>
      </c>
      <c r="AR27" s="8"/>
      <c r="AS27" s="8"/>
      <c r="AY27" s="8"/>
    </row>
    <row r="28" spans="1:51">
      <c r="A28" s="5" t="str">
        <v>BV</v>
      </c>
      <c r="B28" s="5" t="str">
        <f ca="1"/>
        <v>BV45587</v>
      </c>
      <c r="C28" s="8" t="str">
        <v>Pedido 27</v>
      </c>
      <c r="D28" s="9">
        <v>45587</v>
      </c>
      <c r="E28" s="9">
        <v>45587</v>
      </c>
      <c r="F28" s="8" t="str">
        <v>PedidoF18</v>
      </c>
      <c r="G28" s="2" t="str">
        <v>CódRastreio18</v>
      </c>
      <c r="H28" s="5">
        <v>1</v>
      </c>
      <c r="I28" s="178" t="str">
        <v>CPF 25</v>
      </c>
      <c r="J28" s="8" t="str">
        <v>Nome 25</v>
      </c>
      <c r="K28" s="8" t="str">
        <v>Tel 25</v>
      </c>
      <c r="L28" s="8" t="str">
        <v>Cep 25</v>
      </c>
      <c r="M28" s="8" t="str">
        <v>Rua 25</v>
      </c>
      <c r="N28" s="8" t="str">
        <v>Comp 25</v>
      </c>
      <c r="O28" s="8" t="str">
        <v>Bomba d'agua</v>
      </c>
      <c r="P28" s="8" t="str">
        <v>DJ-RO5O-43GF</v>
      </c>
      <c r="Q28" s="4">
        <v>45605</v>
      </c>
      <c r="R28" s="109">
        <v>17.329999999999998</v>
      </c>
      <c r="S28" s="11">
        <f ca="1"/>
        <v>17.329999999999998</v>
      </c>
      <c r="T28" s="28">
        <f ca="1"/>
        <v>2.4262000000000001</v>
      </c>
      <c r="U28" s="11">
        <f ca="1"/>
        <v>14.9</v>
      </c>
      <c r="V28" s="11">
        <v>6.46</v>
      </c>
      <c r="W28" s="11">
        <f ca="1"/>
        <v>0.43</v>
      </c>
      <c r="X28" s="11">
        <f ca="1"/>
        <v>0.39877104377104378</v>
      </c>
      <c r="Y28" s="11">
        <v>0</v>
      </c>
      <c r="Z28" s="11">
        <f ca="1"/>
        <v>7.611228956228957</v>
      </c>
      <c r="AA28" s="11">
        <f ca="1"/>
        <v>3.8056144781144785</v>
      </c>
      <c r="AB28" s="4">
        <f ca="1"/>
        <v>45612</v>
      </c>
      <c r="AC28" s="4">
        <v>45612</v>
      </c>
      <c r="AD28" s="9">
        <v>45617</v>
      </c>
      <c r="AE28" s="9">
        <v>45618</v>
      </c>
      <c r="AF28" s="4" t="str">
        <f t="shared" ca="1" si="0"/>
        <v>2024 11</v>
      </c>
      <c r="AG28" s="8" t="str" cm="1">
        <f t="array" ref="AG28">IFERROR(_xlfn.IFS('Banco de Dados'!#REF!="AG. COMPRA","Em processamento",'Banco de Dados'!#REF!="AG. RASTREIO","Em processamento",'Banco de Dados'!$AE28&lt;&gt;"-","Faturado",'Banco de Dados'!$AD28&lt;&gt;"-","Aguardando Pix",'Banco de Dados'!$AC28&lt;&gt;"-","Pendente"),"Aguardando Liberação")</f>
        <v>Aguardando Liberação</v>
      </c>
      <c r="AH28" s="5" t="str">
        <f>IF('Banco de Dados'!$F28="-",_xlfn.CONCAT(PROPER(TEXT(AK28,"aaaa"))," ",PROPER(TEXT(AK28,"mm"))),_xlfn.CONCAT(PROPER(TEXT(E28,"aaaa"))," ",PROPER(TEXT(E28,"mm"))))</f>
        <v>2024 10</v>
      </c>
      <c r="AI28" s="9" t="str">
        <f ca="1">IF('Banco de Dados'!$AK28&lt;&gt;"-","REEMBOLSO",IFERROR(_xlfn.XLOOKUP(G28,Follow[CODRASTREIO],Follow[STATUS]),"-"))</f>
        <v>ENTREGUE</v>
      </c>
      <c r="AJ28" s="9">
        <f ca="1">IF('Banco de Dados'!$AI28="ENTREGUE",_xlfn.XLOOKUP('Banco de Dados'!$G28,Follow[CODRASTREIO],Follow[DATAATUALIZAÇÃO]),"-")</f>
        <v>45591</v>
      </c>
      <c r="AK28" s="9" t="str">
        <f ca="1"/>
        <v>-</v>
      </c>
      <c r="AL28" s="35" t="str">
        <v>NÃO</v>
      </c>
      <c r="AM28" s="109" cm="1">
        <f t="array" aca="1" ref="AM28" ca="1">IF('Banco de Dados'!$AK28&lt;&gt;"-",_xlfn.IFS('Banco de Dados'!$A28="bv",IF('Banco de Dados'!$E28&lt;45641,ROUND(SUM('Banco de Dados'!$R28*_xlfn.XLOOKUP('Banco de Dados'!$P28,Sku!B:B,Sku!#REF!)*20%),2),ROUND(SUM('Banco de Dados'!$R28*_xlfn.XLOOKUP('Banco de Dados'!$P28,Sku!B:B,Sku!H:H)*20%),2)),'Banco de Dados'!$A28="GO",ROUND(_xlfn.XLOOKUP('Banco de Dados'!$P28,Sku!C:C,Sku!H:H),2),'Banco de Dados'!$A28="MEI",ROUND(_xlfn.XLOOKUP('Banco de Dados'!$P28,Sku!D:D,Sku!H:H),2)),0)</f>
        <v>0</v>
      </c>
      <c r="AN28" s="109">
        <f ca="1">IF('Banco de Dados'!$AK28&lt;&gt;"-",IF('Banco de Dados'!$F28&lt;&gt;"-",_xlfn.XLOOKUP(IFERROR(IFERROR(IFERROR(VALUE(SUBSTITUTE(MID(_xlfn.TEXTAFTER('Banco de Dados'!$F28,"Data do Pedido:
",1),1,10),"-","/")),VALUE(SUBSTITUTE(MID(_xlfn.TEXTAFTER('Banco de Dados'!$F28,"Order date:
",1),1,10),"-","/"))),VALUE(SUBSTITUTE(MID(_xlfn.TEXTAFTER('Banco de Dados'!$F28,"Fecha de pedido:
",1),1,10),"-","/"))),"-"),SMS!A:A,SMS!K:K),0),0)</f>
        <v>0</v>
      </c>
      <c r="AO28" s="109">
        <f ca="1">IF('Banco de Dados'!$AK28&lt;&gt;"-",IF('Banco de Dados'!$F28&lt;&gt;"-",IFERROR(_xlfn.XLOOKUP(_xlfn.CONCAT('Banco de Dados'!$A28,IFERROR(IFERROR(VALUE(SUBSTITUTE(MID(_xlfn.TEXTAFTER('Banco de Dados'!$F28,"Data do Pedido:
",1),1,10),"-","/")),VALUE(SUBSTITUTE(MID(_xlfn.TEXTAFTER('Banco de Dados'!$F28,"Order date:
",1),1,10),"-","/"))),0)),ProxyDD[Chave],ProxyDD[Valor por pedido]),PROXY!$P$2),0),0)</f>
        <v>0</v>
      </c>
      <c r="AP28" s="28">
        <f ca="1">IF('Banco de Dados'!$AK28&lt;&gt;"-",IF('Banco de Dados'!$AL28="NÃO",IFERROR(VALUE(SUBSTITUTE(_xlfn.TEXTAFTER('Banco de Dados'!$F28,"BRL ",1),".",",")),0),0),0)</f>
        <v>0</v>
      </c>
      <c r="AQ28" s="28">
        <f ca="1">SUM('Banco de Dados'!$AM28:$AP28)</f>
        <v>0</v>
      </c>
      <c r="AR28" s="8"/>
      <c r="AS28" s="8"/>
      <c r="AY28" s="8"/>
    </row>
    <row r="29" spans="1:51">
      <c r="A29" s="5" t="str">
        <v>BV</v>
      </c>
      <c r="B29" s="5" t="str">
        <f ca="1"/>
        <v>BV45587</v>
      </c>
      <c r="C29" s="8" t="str">
        <v>Pedido 28</v>
      </c>
      <c r="D29" s="9">
        <v>45587</v>
      </c>
      <c r="E29" s="9">
        <v>45587</v>
      </c>
      <c r="F29" s="8" t="str">
        <v>PedidoF19</v>
      </c>
      <c r="G29" s="2" t="str">
        <v>CódRastreio19</v>
      </c>
      <c r="H29" s="5">
        <v>1</v>
      </c>
      <c r="I29" s="178" t="str">
        <v>CPF 26</v>
      </c>
      <c r="J29" s="8" t="str">
        <v>Nome 26</v>
      </c>
      <c r="K29" s="8" t="str">
        <v>Tel 26</v>
      </c>
      <c r="L29" s="8" t="str">
        <v>Cep 26</v>
      </c>
      <c r="M29" s="8" t="str">
        <v>Rua 26</v>
      </c>
      <c r="N29" s="8" t="str">
        <v>Comp 26</v>
      </c>
      <c r="O29" s="8" t="str">
        <v>Balança</v>
      </c>
      <c r="P29" s="8" t="str">
        <v>P4-K63S-8KOM</v>
      </c>
      <c r="Q29" s="4">
        <v>45601</v>
      </c>
      <c r="R29" s="109">
        <v>17.989999999999998</v>
      </c>
      <c r="S29" s="11">
        <f ca="1"/>
        <v>17.989999999999998</v>
      </c>
      <c r="T29" s="28">
        <f ca="1"/>
        <v>2.3386999999999998</v>
      </c>
      <c r="U29" s="11">
        <f ca="1"/>
        <v>15.65</v>
      </c>
      <c r="V29" s="11">
        <v>7.99</v>
      </c>
      <c r="W29" s="11">
        <f ca="1"/>
        <v>0.43</v>
      </c>
      <c r="X29" s="11">
        <f ca="1"/>
        <v>0.39877104377104378</v>
      </c>
      <c r="Y29" s="11">
        <v>0</v>
      </c>
      <c r="Z29" s="11">
        <f ca="1"/>
        <v>6.8312289562289568</v>
      </c>
      <c r="AA29" s="11">
        <f ca="1"/>
        <v>3.4156144781144784</v>
      </c>
      <c r="AB29" s="4">
        <f ca="1"/>
        <v>45608</v>
      </c>
      <c r="AC29" s="4">
        <v>45608</v>
      </c>
      <c r="AD29" s="9">
        <v>45609</v>
      </c>
      <c r="AE29" s="9">
        <v>45618</v>
      </c>
      <c r="AF29" s="4" t="str">
        <f t="shared" ca="1" si="0"/>
        <v>2024 11</v>
      </c>
      <c r="AG29" s="8" t="str" cm="1">
        <f t="array" ref="AG29">IFERROR(_xlfn.IFS('Banco de Dados'!#REF!="AG. COMPRA","Em processamento",'Banco de Dados'!#REF!="AG. RASTREIO","Em processamento",'Banco de Dados'!$AE29&lt;&gt;"-","Faturado",'Banco de Dados'!$AD29&lt;&gt;"-","Aguardando Pix",'Banco de Dados'!$AC29&lt;&gt;"-","Pendente"),"Aguardando Liberação")</f>
        <v>Aguardando Liberação</v>
      </c>
      <c r="AH29" s="5" t="str">
        <f>IF('Banco de Dados'!$F29="-",_xlfn.CONCAT(PROPER(TEXT(AK29,"aaaa"))," ",PROPER(TEXT(AK29,"mm"))),_xlfn.CONCAT(PROPER(TEXT(E29,"aaaa"))," ",PROPER(TEXT(E29,"mm"))))</f>
        <v>2024 10</v>
      </c>
      <c r="AI29" s="9" t="str">
        <f ca="1">IF('Banco de Dados'!$AK29&lt;&gt;"-","REEMBOLSO",IFERROR(_xlfn.XLOOKUP(G29,Follow[CODRASTREIO],Follow[STATUS]),"-"))</f>
        <v>ENTREGUE</v>
      </c>
      <c r="AJ29" s="9">
        <f ca="1">IF('Banco de Dados'!$AI29="ENTREGUE",_xlfn.XLOOKUP('Banco de Dados'!$G29,Follow[CODRASTREIO],Follow[DATAATUALIZAÇÃO]),"-")</f>
        <v>45590</v>
      </c>
      <c r="AK29" s="9" t="str">
        <f ca="1"/>
        <v>-</v>
      </c>
      <c r="AL29" s="35" t="str">
        <v>-</v>
      </c>
      <c r="AM29" s="109" cm="1">
        <f t="array" aca="1" ref="AM29" ca="1">IF('Banco de Dados'!$AK29&lt;&gt;"-",_xlfn.IFS('Banco de Dados'!$A29="bv",IF('Banco de Dados'!$E29&lt;45641,ROUND(SUM('Banco de Dados'!$R29*_xlfn.XLOOKUP('Banco de Dados'!$P29,Sku!B:B,Sku!#REF!)*20%),2),ROUND(SUM('Banco de Dados'!$R29*_xlfn.XLOOKUP('Banco de Dados'!$P29,Sku!B:B,Sku!H:H)*20%),2)),'Banco de Dados'!$A29="GO",ROUND(_xlfn.XLOOKUP('Banco de Dados'!$P29,Sku!C:C,Sku!H:H),2),'Banco de Dados'!$A29="MEI",ROUND(_xlfn.XLOOKUP('Banco de Dados'!$P29,Sku!D:D,Sku!H:H),2)),0)</f>
        <v>0</v>
      </c>
      <c r="AN29" s="109">
        <f ca="1">IF('Banco de Dados'!$AK29&lt;&gt;"-",IF('Banco de Dados'!$F29&lt;&gt;"-",_xlfn.XLOOKUP(IFERROR(IFERROR(IFERROR(VALUE(SUBSTITUTE(MID(_xlfn.TEXTAFTER('Banco de Dados'!$F29,"Data do Pedido:
",1),1,10),"-","/")),VALUE(SUBSTITUTE(MID(_xlfn.TEXTAFTER('Banco de Dados'!$F29,"Order date:
",1),1,10),"-","/"))),VALUE(SUBSTITUTE(MID(_xlfn.TEXTAFTER('Banco de Dados'!$F29,"Fecha de pedido:
",1),1,10),"-","/"))),"-"),SMS!A:A,SMS!K:K),0),0)</f>
        <v>0</v>
      </c>
      <c r="AO29" s="109">
        <f ca="1">IF('Banco de Dados'!$AK29&lt;&gt;"-",IF('Banco de Dados'!$F29&lt;&gt;"-",IFERROR(_xlfn.XLOOKUP(_xlfn.CONCAT('Banco de Dados'!$A29,IFERROR(IFERROR(VALUE(SUBSTITUTE(MID(_xlfn.TEXTAFTER('Banco de Dados'!$F29,"Data do Pedido:
",1),1,10),"-","/")),VALUE(SUBSTITUTE(MID(_xlfn.TEXTAFTER('Banco de Dados'!$F29,"Order date:
",1),1,10),"-","/"))),0)),ProxyDD[Chave],ProxyDD[Valor por pedido]),PROXY!$P$2),0),0)</f>
        <v>0</v>
      </c>
      <c r="AP29" s="28">
        <f ca="1">IF('Banco de Dados'!$AK29&lt;&gt;"-",IF('Banco de Dados'!$AL29="NÃO",IFERROR(VALUE(SUBSTITUTE(_xlfn.TEXTAFTER('Banco de Dados'!$F29,"BRL ",1),".",",")),0),0),0)</f>
        <v>0</v>
      </c>
      <c r="AQ29" s="28">
        <f ca="1">SUM('Banco de Dados'!$AM29:$AP29)</f>
        <v>0</v>
      </c>
      <c r="AR29" s="8"/>
      <c r="AS29" s="8"/>
      <c r="AY29" s="8"/>
    </row>
    <row r="30" spans="1:51">
      <c r="A30" s="5" t="str">
        <v>BV</v>
      </c>
      <c r="B30" s="5" t="str">
        <f ca="1"/>
        <v>BV45587</v>
      </c>
      <c r="C30" s="8" t="str">
        <v>Pedido 29</v>
      </c>
      <c r="D30" s="9">
        <v>45587</v>
      </c>
      <c r="E30" s="9">
        <v>45587</v>
      </c>
      <c r="F30" s="8" t="str">
        <v>PedidoF20</v>
      </c>
      <c r="G30" s="2" t="str">
        <v>CódRastreio20</v>
      </c>
      <c r="H30" s="5">
        <v>1</v>
      </c>
      <c r="I30" s="2" t="str">
        <v>CPF 27</v>
      </c>
      <c r="J30" s="8" t="str">
        <v>Nome 27</v>
      </c>
      <c r="K30" s="8" t="str">
        <v>Tel 27</v>
      </c>
      <c r="L30" s="8" t="str">
        <v>Cep 27</v>
      </c>
      <c r="M30" s="8" t="str">
        <v>Rua 27</v>
      </c>
      <c r="N30" s="8" t="str">
        <v>Comp 27</v>
      </c>
      <c r="O30" s="8" t="str">
        <v>Balança</v>
      </c>
      <c r="P30" s="8" t="str">
        <v>P4-K63S-8KOM</v>
      </c>
      <c r="Q30" s="4">
        <v>45605</v>
      </c>
      <c r="R30" s="109">
        <v>17.989999999999998</v>
      </c>
      <c r="S30" s="11">
        <f ca="1"/>
        <v>17.989999999999998</v>
      </c>
      <c r="T30" s="28">
        <f ca="1"/>
        <v>2.3386999999999998</v>
      </c>
      <c r="U30" s="11">
        <f ca="1"/>
        <v>15.65</v>
      </c>
      <c r="V30" s="11">
        <v>7.99</v>
      </c>
      <c r="W30" s="11">
        <f ca="1"/>
        <v>0.43</v>
      </c>
      <c r="X30" s="11">
        <f ca="1"/>
        <v>0.39877104377104378</v>
      </c>
      <c r="Y30" s="11">
        <v>0</v>
      </c>
      <c r="Z30" s="11">
        <f ca="1"/>
        <v>6.8312289562289568</v>
      </c>
      <c r="AA30" s="11">
        <f ca="1"/>
        <v>3.4156144781144784</v>
      </c>
      <c r="AB30" s="4">
        <f ca="1"/>
        <v>45612</v>
      </c>
      <c r="AC30" s="4">
        <v>45612</v>
      </c>
      <c r="AD30" s="9">
        <v>45617</v>
      </c>
      <c r="AE30" s="9">
        <v>45618</v>
      </c>
      <c r="AF30" s="4" t="str">
        <f t="shared" ca="1" si="0"/>
        <v>2024 11</v>
      </c>
      <c r="AG30" s="8" t="str" cm="1">
        <f t="array" ref="AG30">IFERROR(_xlfn.IFS('Banco de Dados'!#REF!="AG. COMPRA","Em processamento",'Banco de Dados'!#REF!="AG. RASTREIO","Em processamento",'Banco de Dados'!$AE30&lt;&gt;"-","Faturado",'Banco de Dados'!$AD30&lt;&gt;"-","Aguardando Pix",'Banco de Dados'!$AC30&lt;&gt;"-","Pendente"),"Aguardando Liberação")</f>
        <v>Aguardando Liberação</v>
      </c>
      <c r="AH30" s="5" t="str">
        <f>IF('Banco de Dados'!$F30="-",_xlfn.CONCAT(PROPER(TEXT(AK30,"aaaa"))," ",PROPER(TEXT(AK30,"mm"))),_xlfn.CONCAT(PROPER(TEXT(E30,"aaaa"))," ",PROPER(TEXT(E30,"mm"))))</f>
        <v>2024 10</v>
      </c>
      <c r="AI30" s="9" t="str">
        <f ca="1">IF('Banco de Dados'!$AK30&lt;&gt;"-","REEMBOLSO",IFERROR(_xlfn.XLOOKUP(G30,Follow[CODRASTREIO],Follow[STATUS]),"-"))</f>
        <v>ENTREGUE</v>
      </c>
      <c r="AJ30" s="9">
        <f ca="1">IF('Banco de Dados'!$AI30="ENTREGUE",_xlfn.XLOOKUP('Banco de Dados'!$G30,Follow[CODRASTREIO],Follow[DATAATUALIZAÇÃO]),"-")</f>
        <v>45594</v>
      </c>
      <c r="AK30" s="9" t="str">
        <f ca="1"/>
        <v>-</v>
      </c>
      <c r="AL30" s="35" t="str">
        <v>-</v>
      </c>
      <c r="AM30" s="109" cm="1">
        <f t="array" aca="1" ref="AM30" ca="1">IF('Banco de Dados'!$AK30&lt;&gt;"-",_xlfn.IFS('Banco de Dados'!$A30="bv",IF('Banco de Dados'!$E30&lt;45641,ROUND(SUM('Banco de Dados'!$R30*_xlfn.XLOOKUP('Banco de Dados'!$P30,Sku!B:B,Sku!#REF!)*20%),2),ROUND(SUM('Banco de Dados'!$R30*_xlfn.XLOOKUP('Banco de Dados'!$P30,Sku!B:B,Sku!H:H)*20%),2)),'Banco de Dados'!$A30="GO",ROUND(_xlfn.XLOOKUP('Banco de Dados'!$P30,Sku!C:C,Sku!H:H),2),'Banco de Dados'!$A30="MEI",ROUND(_xlfn.XLOOKUP('Banco de Dados'!$P30,Sku!D:D,Sku!H:H),2)),0)</f>
        <v>0</v>
      </c>
      <c r="AN30" s="109">
        <f ca="1">IF('Banco de Dados'!$AK30&lt;&gt;"-",IF('Banco de Dados'!$F30&lt;&gt;"-",_xlfn.XLOOKUP(IFERROR(IFERROR(IFERROR(VALUE(SUBSTITUTE(MID(_xlfn.TEXTAFTER('Banco de Dados'!$F30,"Data do Pedido:
",1),1,10),"-","/")),VALUE(SUBSTITUTE(MID(_xlfn.TEXTAFTER('Banco de Dados'!$F30,"Order date:
",1),1,10),"-","/"))),VALUE(SUBSTITUTE(MID(_xlfn.TEXTAFTER('Banco de Dados'!$F30,"Fecha de pedido:
",1),1,10),"-","/"))),"-"),SMS!A:A,SMS!K:K),0),0)</f>
        <v>0</v>
      </c>
      <c r="AO30" s="109">
        <f ca="1">IF('Banco de Dados'!$AK30&lt;&gt;"-",IF('Banco de Dados'!$F30&lt;&gt;"-",IFERROR(_xlfn.XLOOKUP(_xlfn.CONCAT('Banco de Dados'!$A30,IFERROR(IFERROR(VALUE(SUBSTITUTE(MID(_xlfn.TEXTAFTER('Banco de Dados'!$F30,"Data do Pedido:
",1),1,10),"-","/")),VALUE(SUBSTITUTE(MID(_xlfn.TEXTAFTER('Banco de Dados'!$F30,"Order date:
",1),1,10),"-","/"))),0)),ProxyDD[Chave],ProxyDD[Valor por pedido]),PROXY!$P$2),0),0)</f>
        <v>0</v>
      </c>
      <c r="AP30" s="28">
        <f ca="1">IF('Banco de Dados'!$AK30&lt;&gt;"-",IF('Banco de Dados'!$AL30="NÃO",IFERROR(VALUE(SUBSTITUTE(_xlfn.TEXTAFTER('Banco de Dados'!$F30,"BRL ",1),".",",")),0),0),0)</f>
        <v>0</v>
      </c>
      <c r="AQ30" s="28">
        <f ca="1">SUM('Banco de Dados'!$AM30:$AP30)</f>
        <v>0</v>
      </c>
      <c r="AR30" s="8"/>
      <c r="AS30" s="8"/>
      <c r="AY30" s="8"/>
    </row>
    <row r="31" spans="1:51">
      <c r="A31" s="5" t="str">
        <v>BV</v>
      </c>
      <c r="B31" s="5" t="str">
        <f ca="1"/>
        <v>BV45587</v>
      </c>
      <c r="C31" s="8" t="str">
        <v>Pedido 30</v>
      </c>
      <c r="D31" s="9">
        <v>45587</v>
      </c>
      <c r="E31" s="9">
        <v>45587</v>
      </c>
      <c r="F31" s="8" t="str">
        <v>PedidoF21</v>
      </c>
      <c r="G31" s="2" t="str">
        <v>CódRastreio21</v>
      </c>
      <c r="H31" s="5">
        <v>1</v>
      </c>
      <c r="I31" s="2" t="str">
        <v>CPF 28</v>
      </c>
      <c r="J31" s="8" t="str">
        <v>Nome 28</v>
      </c>
      <c r="K31" s="8" t="str">
        <v>Tel 28</v>
      </c>
      <c r="L31" s="8" t="str">
        <v>Cep 28</v>
      </c>
      <c r="M31" s="8" t="str">
        <v>Rua 28</v>
      </c>
      <c r="N31" s="8" t="str">
        <v>Comp 28</v>
      </c>
      <c r="O31" s="8" t="str">
        <v>Suporte de Celular Branco</v>
      </c>
      <c r="P31" s="8" t="str">
        <v>16-4EDB-WMZF</v>
      </c>
      <c r="Q31" s="4">
        <v>45603</v>
      </c>
      <c r="R31" s="109">
        <v>14.99</v>
      </c>
      <c r="S31" s="11">
        <f ca="1"/>
        <v>14.99</v>
      </c>
      <c r="T31" s="28">
        <f ca="1"/>
        <v>2.2484999999999999</v>
      </c>
      <c r="U31" s="11">
        <f ca="1"/>
        <v>12.74</v>
      </c>
      <c r="V31" s="11">
        <v>4.99</v>
      </c>
      <c r="W31" s="11">
        <f ca="1"/>
        <v>0.43</v>
      </c>
      <c r="X31" s="11">
        <f ca="1"/>
        <v>0.39877104377104378</v>
      </c>
      <c r="Y31" s="11">
        <v>0</v>
      </c>
      <c r="Z31" s="11">
        <f ca="1"/>
        <v>6.9212289562289566</v>
      </c>
      <c r="AA31" s="11">
        <f ca="1"/>
        <v>3.4606144781144783</v>
      </c>
      <c r="AB31" s="4">
        <f ca="1"/>
        <v>45610</v>
      </c>
      <c r="AC31" s="4">
        <v>45610</v>
      </c>
      <c r="AD31" s="9">
        <v>45617</v>
      </c>
      <c r="AE31" s="9">
        <v>45618</v>
      </c>
      <c r="AF31" s="4" t="str">
        <f t="shared" ca="1" si="0"/>
        <v>2024 11</v>
      </c>
      <c r="AG31" s="8" t="str" cm="1">
        <f t="array" ref="AG31">IFERROR(_xlfn.IFS('Banco de Dados'!#REF!="AG. COMPRA","Em processamento",'Banco de Dados'!#REF!="AG. RASTREIO","Em processamento",'Banco de Dados'!$AE31&lt;&gt;"-","Faturado",'Banco de Dados'!$AD31&lt;&gt;"-","Aguardando Pix",'Banco de Dados'!$AC31&lt;&gt;"-","Pendente"),"Aguardando Liberação")</f>
        <v>Aguardando Liberação</v>
      </c>
      <c r="AH31" s="5" t="str">
        <f>IF('Banco de Dados'!$F31="-",_xlfn.CONCAT(PROPER(TEXT(AK31,"aaaa"))," ",PROPER(TEXT(AK31,"mm"))),_xlfn.CONCAT(PROPER(TEXT(E31,"aaaa"))," ",PROPER(TEXT(E31,"mm"))))</f>
        <v>2024 10</v>
      </c>
      <c r="AI31" s="9" t="str">
        <f ca="1">IF('Banco de Dados'!$AK31&lt;&gt;"-","REEMBOLSO",IFERROR(_xlfn.XLOOKUP(G31,Follow[CODRASTREIO],Follow[STATUS]),"-"))</f>
        <v>ENTREGUE</v>
      </c>
      <c r="AJ31" s="9">
        <f ca="1">IF('Banco de Dados'!$AI31="ENTREGUE",_xlfn.XLOOKUP('Banco de Dados'!$G31,Follow[CODRASTREIO],Follow[DATAATUALIZAÇÃO]),"-")</f>
        <v>45593</v>
      </c>
      <c r="AK31" s="9" t="str">
        <f ca="1"/>
        <v>-</v>
      </c>
      <c r="AL31" s="35" t="str">
        <v>-</v>
      </c>
      <c r="AM31" s="109" cm="1">
        <f t="array" aca="1" ref="AM31" ca="1">IF('Banco de Dados'!$AK31&lt;&gt;"-",_xlfn.IFS('Banco de Dados'!$A31="bv",IF('Banco de Dados'!$E31&lt;45641,ROUND(SUM('Banco de Dados'!$R31*_xlfn.XLOOKUP('Banco de Dados'!$P31,Sku!B:B,Sku!#REF!)*20%),2),ROUND(SUM('Banco de Dados'!$R31*_xlfn.XLOOKUP('Banco de Dados'!$P31,Sku!B:B,Sku!H:H)*20%),2)),'Banco de Dados'!$A31="GO",ROUND(_xlfn.XLOOKUP('Banco de Dados'!$P31,Sku!C:C,Sku!H:H),2),'Banco de Dados'!$A31="MEI",ROUND(_xlfn.XLOOKUP('Banco de Dados'!$P31,Sku!D:D,Sku!H:H),2)),0)</f>
        <v>0</v>
      </c>
      <c r="AN31" s="109">
        <f ca="1">IF('Banco de Dados'!$AK31&lt;&gt;"-",IF('Banco de Dados'!$F31&lt;&gt;"-",_xlfn.XLOOKUP(IFERROR(IFERROR(IFERROR(VALUE(SUBSTITUTE(MID(_xlfn.TEXTAFTER('Banco de Dados'!$F31,"Data do Pedido:
",1),1,10),"-","/")),VALUE(SUBSTITUTE(MID(_xlfn.TEXTAFTER('Banco de Dados'!$F31,"Order date:
",1),1,10),"-","/"))),VALUE(SUBSTITUTE(MID(_xlfn.TEXTAFTER('Banco de Dados'!$F31,"Fecha de pedido:
",1),1,10),"-","/"))),"-"),SMS!A:A,SMS!K:K),0),0)</f>
        <v>0</v>
      </c>
      <c r="AO31" s="109">
        <f ca="1">IF('Banco de Dados'!$AK31&lt;&gt;"-",IF('Banco de Dados'!$F31&lt;&gt;"-",IFERROR(_xlfn.XLOOKUP(_xlfn.CONCAT('Banco de Dados'!$A31,IFERROR(IFERROR(VALUE(SUBSTITUTE(MID(_xlfn.TEXTAFTER('Banco de Dados'!$F31,"Data do Pedido:
",1),1,10),"-","/")),VALUE(SUBSTITUTE(MID(_xlfn.TEXTAFTER('Banco de Dados'!$F31,"Order date:
",1),1,10),"-","/"))),0)),ProxyDD[Chave],ProxyDD[Valor por pedido]),PROXY!$P$2),0),0)</f>
        <v>0</v>
      </c>
      <c r="AP31" s="28">
        <f ca="1">IF('Banco de Dados'!$AK31&lt;&gt;"-",IF('Banco de Dados'!$AL31="NÃO",IFERROR(VALUE(SUBSTITUTE(_xlfn.TEXTAFTER('Banco de Dados'!$F31,"BRL ",1),".",",")),0),0),0)</f>
        <v>0</v>
      </c>
      <c r="AQ31" s="28">
        <f ca="1">SUM('Banco de Dados'!$AM31:$AP31)</f>
        <v>0</v>
      </c>
      <c r="AR31" s="8"/>
      <c r="AS31" s="8"/>
      <c r="AY31" s="8"/>
    </row>
    <row r="32" spans="1:51">
      <c r="A32" s="5" t="str">
        <v>BV</v>
      </c>
      <c r="B32" s="5" t="str">
        <f ca="1"/>
        <v>BV45587</v>
      </c>
      <c r="C32" s="8" t="str">
        <v>Pedido 31</v>
      </c>
      <c r="D32" s="9">
        <v>45587</v>
      </c>
      <c r="E32" s="9">
        <v>45587</v>
      </c>
      <c r="F32" s="8" t="str">
        <v>PedidoF22</v>
      </c>
      <c r="G32" s="2" t="str">
        <v>CódRastreio22</v>
      </c>
      <c r="H32" s="5">
        <v>1</v>
      </c>
      <c r="I32" s="2" t="str">
        <v>CPF 29</v>
      </c>
      <c r="J32" s="8" t="str">
        <v>Nome 29</v>
      </c>
      <c r="K32" s="8" t="str">
        <v>Tel 29</v>
      </c>
      <c r="L32" s="8" t="str">
        <v>Cep 29</v>
      </c>
      <c r="M32" s="8" t="str">
        <v>Rua 29</v>
      </c>
      <c r="N32" s="8" t="str">
        <v>Comp 29</v>
      </c>
      <c r="O32" s="8" t="str">
        <v>Balança</v>
      </c>
      <c r="P32" s="8" t="str">
        <v>P4-K63S-8KOM</v>
      </c>
      <c r="Q32" s="4">
        <v>45601</v>
      </c>
      <c r="R32" s="109">
        <v>17.989999999999998</v>
      </c>
      <c r="S32" s="11">
        <f ca="1"/>
        <v>17.989999999999998</v>
      </c>
      <c r="T32" s="28">
        <f ca="1"/>
        <v>2.3386999999999998</v>
      </c>
      <c r="U32" s="11">
        <f ca="1"/>
        <v>15.65</v>
      </c>
      <c r="V32" s="11">
        <v>7.99</v>
      </c>
      <c r="W32" s="11">
        <f ca="1"/>
        <v>0.43</v>
      </c>
      <c r="X32" s="11">
        <f ca="1"/>
        <v>0.39877104377104378</v>
      </c>
      <c r="Y32" s="11">
        <v>0</v>
      </c>
      <c r="Z32" s="11">
        <f ca="1"/>
        <v>6.8312289562289568</v>
      </c>
      <c r="AA32" s="11">
        <f ca="1"/>
        <v>3.4156144781144784</v>
      </c>
      <c r="AB32" s="4">
        <f ca="1"/>
        <v>45608</v>
      </c>
      <c r="AC32" s="4">
        <v>45608</v>
      </c>
      <c r="AD32" s="9">
        <v>45609</v>
      </c>
      <c r="AE32" s="9">
        <v>45618</v>
      </c>
      <c r="AF32" s="4" t="str">
        <f t="shared" ca="1" si="0"/>
        <v>2024 11</v>
      </c>
      <c r="AG32" s="8" t="str" cm="1">
        <f t="array" ref="AG32">IFERROR(_xlfn.IFS('Banco de Dados'!#REF!="AG. COMPRA","Em processamento",'Banco de Dados'!#REF!="AG. RASTREIO","Em processamento",'Banco de Dados'!$AE32&lt;&gt;"-","Faturado",'Banco de Dados'!$AD32&lt;&gt;"-","Aguardando Pix",'Banco de Dados'!$AC32&lt;&gt;"-","Pendente"),"Aguardando Liberação")</f>
        <v>Aguardando Liberação</v>
      </c>
      <c r="AH32" s="5" t="str">
        <f>IF('Banco de Dados'!$F32="-",_xlfn.CONCAT(PROPER(TEXT(AK32,"aaaa"))," ",PROPER(TEXT(AK32,"mm"))),_xlfn.CONCAT(PROPER(TEXT(E32,"aaaa"))," ",PROPER(TEXT(E32,"mm"))))</f>
        <v>2024 10</v>
      </c>
      <c r="AI32" s="9" t="str">
        <f ca="1">IF('Banco de Dados'!$AK32&lt;&gt;"-","REEMBOLSO",IFERROR(_xlfn.XLOOKUP(G32,Follow[CODRASTREIO],Follow[STATUS]),"-"))</f>
        <v>ENTREGUE</v>
      </c>
      <c r="AJ32" s="9">
        <f ca="1">IF('Banco de Dados'!$AI32="ENTREGUE",_xlfn.XLOOKUP('Banco de Dados'!$G32,Follow[CODRASTREIO],Follow[DATAATUALIZAÇÃO]),"-")</f>
        <v>45591</v>
      </c>
      <c r="AK32" s="9" t="str">
        <f ca="1"/>
        <v>-</v>
      </c>
      <c r="AL32" s="35" t="str">
        <v>NÃO</v>
      </c>
      <c r="AM32" s="109" cm="1">
        <f t="array" aca="1" ref="AM32" ca="1">IF('Banco de Dados'!$AK32&lt;&gt;"-",_xlfn.IFS('Banco de Dados'!$A32="bv",IF('Banco de Dados'!$E32&lt;45641,ROUND(SUM('Banco de Dados'!$R32*_xlfn.XLOOKUP('Banco de Dados'!$P32,Sku!B:B,Sku!#REF!)*20%),2),ROUND(SUM('Banco de Dados'!$R32*_xlfn.XLOOKUP('Banco de Dados'!$P32,Sku!B:B,Sku!H:H)*20%),2)),'Banco de Dados'!$A32="GO",ROUND(_xlfn.XLOOKUP('Banco de Dados'!$P32,Sku!C:C,Sku!H:H),2),'Banco de Dados'!$A32="MEI",ROUND(_xlfn.XLOOKUP('Banco de Dados'!$P32,Sku!D:D,Sku!H:H),2)),0)</f>
        <v>0</v>
      </c>
      <c r="AN32" s="109">
        <f ca="1">IF('Banco de Dados'!$AK32&lt;&gt;"-",IF('Banco de Dados'!$F32&lt;&gt;"-",_xlfn.XLOOKUP(IFERROR(IFERROR(IFERROR(VALUE(SUBSTITUTE(MID(_xlfn.TEXTAFTER('Banco de Dados'!$F32,"Data do Pedido:
",1),1,10),"-","/")),VALUE(SUBSTITUTE(MID(_xlfn.TEXTAFTER('Banco de Dados'!$F32,"Order date:
",1),1,10),"-","/"))),VALUE(SUBSTITUTE(MID(_xlfn.TEXTAFTER('Banco de Dados'!$F32,"Fecha de pedido:
",1),1,10),"-","/"))),"-"),SMS!A:A,SMS!K:K),0),0)</f>
        <v>0</v>
      </c>
      <c r="AO32" s="109">
        <f ca="1">IF('Banco de Dados'!$AK32&lt;&gt;"-",IF('Banco de Dados'!$F32&lt;&gt;"-",IFERROR(_xlfn.XLOOKUP(_xlfn.CONCAT('Banco de Dados'!$A32,IFERROR(IFERROR(VALUE(SUBSTITUTE(MID(_xlfn.TEXTAFTER('Banco de Dados'!$F32,"Data do Pedido:
",1),1,10),"-","/")),VALUE(SUBSTITUTE(MID(_xlfn.TEXTAFTER('Banco de Dados'!$F32,"Order date:
",1),1,10),"-","/"))),0)),ProxyDD[Chave],ProxyDD[Valor por pedido]),PROXY!$P$2),0),0)</f>
        <v>0</v>
      </c>
      <c r="AP32" s="28">
        <f ca="1">IF('Banco de Dados'!$AK32&lt;&gt;"-",IF('Banco de Dados'!$AL32="NÃO",IFERROR(VALUE(SUBSTITUTE(_xlfn.TEXTAFTER('Banco de Dados'!$F32,"BRL ",1),".",",")),0),0),0)</f>
        <v>0</v>
      </c>
      <c r="AQ32" s="28">
        <f ca="1">SUM('Banco de Dados'!$AM32:$AP32)</f>
        <v>0</v>
      </c>
      <c r="AR32" s="8"/>
      <c r="AS32" s="8"/>
      <c r="AY32" s="8"/>
    </row>
    <row r="33" spans="1:51">
      <c r="A33" s="5" t="str">
        <v>BV</v>
      </c>
      <c r="B33" s="5" t="str">
        <f ca="1"/>
        <v>BV45587</v>
      </c>
      <c r="C33" s="8" t="str">
        <v>Pedido 32</v>
      </c>
      <c r="D33" s="9">
        <v>45587</v>
      </c>
      <c r="E33" s="9">
        <v>45587</v>
      </c>
      <c r="F33" s="8" t="str">
        <v>PedidoF23</v>
      </c>
      <c r="G33" s="2" t="str">
        <v>CódRastreio23</v>
      </c>
      <c r="H33" s="5">
        <v>1</v>
      </c>
      <c r="I33" s="2" t="str">
        <v>CPF 30</v>
      </c>
      <c r="J33" s="8" t="str">
        <v>Nome 30</v>
      </c>
      <c r="K33" s="8" t="str">
        <v>Tel 30</v>
      </c>
      <c r="L33" s="8" t="str">
        <v>Cep 30</v>
      </c>
      <c r="M33" s="8" t="str">
        <v>Rua 30</v>
      </c>
      <c r="N33" s="8" t="str">
        <v>Comp 30</v>
      </c>
      <c r="O33" s="8" t="str">
        <v>Bomba d'agua</v>
      </c>
      <c r="P33" s="8" t="str">
        <v>DJ-RO5O-43GF</v>
      </c>
      <c r="Q33" s="4">
        <v>45601</v>
      </c>
      <c r="R33" s="109">
        <v>19.329999999999998</v>
      </c>
      <c r="S33" s="11">
        <f ca="1"/>
        <v>19.329999999999998</v>
      </c>
      <c r="T33" s="28">
        <f ca="1"/>
        <v>2.7061999999999999</v>
      </c>
      <c r="U33" s="11">
        <f ca="1"/>
        <v>16.62</v>
      </c>
      <c r="V33" s="11">
        <v>6.46</v>
      </c>
      <c r="W33" s="11">
        <f ca="1"/>
        <v>0.43</v>
      </c>
      <c r="X33" s="11">
        <f ca="1"/>
        <v>0.39877104377104378</v>
      </c>
      <c r="Y33" s="11">
        <v>0</v>
      </c>
      <c r="Z33" s="11">
        <f ca="1"/>
        <v>9.3312289562289585</v>
      </c>
      <c r="AA33" s="11">
        <f ca="1"/>
        <v>4.6656144781144793</v>
      </c>
      <c r="AB33" s="4">
        <f ca="1"/>
        <v>45608</v>
      </c>
      <c r="AC33" s="4">
        <v>45608</v>
      </c>
      <c r="AD33" s="9">
        <v>45609</v>
      </c>
      <c r="AE33" s="9">
        <v>45618</v>
      </c>
      <c r="AF33" s="4" t="str">
        <f t="shared" ca="1" si="0"/>
        <v>2024 11</v>
      </c>
      <c r="AG33" s="8" t="str" cm="1">
        <f t="array" ref="AG33">IFERROR(_xlfn.IFS('Banco de Dados'!#REF!="AG. COMPRA","Em processamento",'Banco de Dados'!#REF!="AG. RASTREIO","Em processamento",'Banco de Dados'!$AE33&lt;&gt;"-","Faturado",'Banco de Dados'!$AD33&lt;&gt;"-","Aguardando Pix",'Banco de Dados'!$AC33&lt;&gt;"-","Pendente"),"Aguardando Liberação")</f>
        <v>Aguardando Liberação</v>
      </c>
      <c r="AH33" s="5" t="str">
        <f>IF('Banco de Dados'!$F33="-",_xlfn.CONCAT(PROPER(TEXT(AK33,"aaaa"))," ",PROPER(TEXT(AK33,"mm"))),_xlfn.CONCAT(PROPER(TEXT(E33,"aaaa"))," ",PROPER(TEXT(E33,"mm"))))</f>
        <v>2024 10</v>
      </c>
      <c r="AI33" s="9" t="str">
        <f ca="1">IF('Banco de Dados'!$AK33&lt;&gt;"-","REEMBOLSO",IFERROR(_xlfn.XLOOKUP(G33,Follow[CODRASTREIO],Follow[STATUS]),"-"))</f>
        <v>ENTREGUE</v>
      </c>
      <c r="AJ33" s="9">
        <f ca="1">IF('Banco de Dados'!$AI33="ENTREGUE",_xlfn.XLOOKUP('Banco de Dados'!$G33,Follow[CODRASTREIO],Follow[DATAATUALIZAÇÃO]),"-")</f>
        <v>45590</v>
      </c>
      <c r="AK33" s="9" t="str">
        <f ca="1"/>
        <v>-</v>
      </c>
      <c r="AL33" s="35" t="str">
        <v>NÃO</v>
      </c>
      <c r="AM33" s="109" cm="1">
        <f t="array" aca="1" ref="AM33" ca="1">IF('Banco de Dados'!$AK33&lt;&gt;"-",_xlfn.IFS('Banco de Dados'!$A33="bv",IF('Banco de Dados'!$E33&lt;45641,ROUND(SUM('Banco de Dados'!$R33*_xlfn.XLOOKUP('Banco de Dados'!$P33,Sku!B:B,Sku!#REF!)*20%),2),ROUND(SUM('Banco de Dados'!$R33*_xlfn.XLOOKUP('Banco de Dados'!$P33,Sku!B:B,Sku!H:H)*20%),2)),'Banco de Dados'!$A33="GO",ROUND(_xlfn.XLOOKUP('Banco de Dados'!$P33,Sku!C:C,Sku!H:H),2),'Banco de Dados'!$A33="MEI",ROUND(_xlfn.XLOOKUP('Banco de Dados'!$P33,Sku!D:D,Sku!H:H),2)),0)</f>
        <v>0</v>
      </c>
      <c r="AN33" s="109">
        <f ca="1">IF('Banco de Dados'!$AK33&lt;&gt;"-",IF('Banco de Dados'!$F33&lt;&gt;"-",_xlfn.XLOOKUP(IFERROR(IFERROR(IFERROR(VALUE(SUBSTITUTE(MID(_xlfn.TEXTAFTER('Banco de Dados'!$F33,"Data do Pedido:
",1),1,10),"-","/")),VALUE(SUBSTITUTE(MID(_xlfn.TEXTAFTER('Banco de Dados'!$F33,"Order date:
",1),1,10),"-","/"))),VALUE(SUBSTITUTE(MID(_xlfn.TEXTAFTER('Banco de Dados'!$F33,"Fecha de pedido:
",1),1,10),"-","/"))),"-"),SMS!A:A,SMS!K:K),0),0)</f>
        <v>0</v>
      </c>
      <c r="AO33" s="109">
        <f ca="1">IF('Banco de Dados'!$AK33&lt;&gt;"-",IF('Banco de Dados'!$F33&lt;&gt;"-",IFERROR(_xlfn.XLOOKUP(_xlfn.CONCAT('Banco de Dados'!$A33,IFERROR(IFERROR(VALUE(SUBSTITUTE(MID(_xlfn.TEXTAFTER('Banco de Dados'!$F33,"Data do Pedido:
",1),1,10),"-","/")),VALUE(SUBSTITUTE(MID(_xlfn.TEXTAFTER('Banco de Dados'!$F33,"Order date:
",1),1,10),"-","/"))),0)),ProxyDD[Chave],ProxyDD[Valor por pedido]),PROXY!$P$2),0),0)</f>
        <v>0</v>
      </c>
      <c r="AP33" s="28">
        <f ca="1">IF('Banco de Dados'!$AK33&lt;&gt;"-",IF('Banco de Dados'!$AL33="NÃO",IFERROR(VALUE(SUBSTITUTE(_xlfn.TEXTAFTER('Banco de Dados'!$F33,"BRL ",1),".",",")),0),0),0)</f>
        <v>0</v>
      </c>
      <c r="AQ33" s="28">
        <f ca="1">SUM('Banco de Dados'!$AM33:$AP33)</f>
        <v>0</v>
      </c>
      <c r="AR33" s="8"/>
      <c r="AS33" s="8"/>
      <c r="AY33" s="8"/>
    </row>
    <row r="34" spans="1:51">
      <c r="A34" s="5" t="str">
        <v>BV</v>
      </c>
      <c r="B34" s="5" t="str">
        <f ca="1"/>
        <v>BV45587</v>
      </c>
      <c r="C34" s="8" t="str">
        <v>Pedido 33</v>
      </c>
      <c r="D34" s="9">
        <v>45587</v>
      </c>
      <c r="E34" s="9">
        <v>45587</v>
      </c>
      <c r="F34" s="8" t="str">
        <v>PedidoF24</v>
      </c>
      <c r="G34" s="2" t="str">
        <v>CódRastreio24</v>
      </c>
      <c r="H34" s="5">
        <v>1</v>
      </c>
      <c r="I34" s="2" t="str">
        <v>CPF 31</v>
      </c>
      <c r="J34" s="8" t="str">
        <v>Nome 31</v>
      </c>
      <c r="K34" s="8" t="str">
        <v>Tel 31</v>
      </c>
      <c r="L34" s="8" t="str">
        <v>Cep 31</v>
      </c>
      <c r="M34" s="8" t="str">
        <v>Rua 31</v>
      </c>
      <c r="N34" s="8" t="str">
        <v>Comp 31</v>
      </c>
      <c r="O34" s="8" t="str">
        <v>Suporte de Celular Branco</v>
      </c>
      <c r="P34" s="8" t="str">
        <v>16-4EDB-WMZF</v>
      </c>
      <c r="Q34" s="4">
        <v>45611</v>
      </c>
      <c r="R34" s="109">
        <v>14.99</v>
      </c>
      <c r="S34" s="11">
        <f ca="1"/>
        <v>14.99</v>
      </c>
      <c r="T34" s="28">
        <f ca="1"/>
        <v>2.2484999999999999</v>
      </c>
      <c r="U34" s="11">
        <f ca="1"/>
        <v>12.74</v>
      </c>
      <c r="V34" s="11">
        <v>4.99</v>
      </c>
      <c r="W34" s="11">
        <f ca="1"/>
        <v>0.43</v>
      </c>
      <c r="X34" s="11">
        <f ca="1"/>
        <v>0.39877104377104378</v>
      </c>
      <c r="Y34" s="11">
        <v>0</v>
      </c>
      <c r="Z34" s="11">
        <f ca="1"/>
        <v>6.9212289562289566</v>
      </c>
      <c r="AA34" s="11">
        <f ca="1"/>
        <v>3.4606144781144783</v>
      </c>
      <c r="AB34" s="4">
        <f ca="1"/>
        <v>45618</v>
      </c>
      <c r="AC34" s="4">
        <v>45618</v>
      </c>
      <c r="AD34" s="9">
        <v>45618</v>
      </c>
      <c r="AE34" s="9">
        <v>45625</v>
      </c>
      <c r="AF34" s="4" t="str">
        <f t="shared" ca="1" si="0"/>
        <v>2024 11</v>
      </c>
      <c r="AG34" s="8" t="str" cm="1">
        <f t="array" ref="AG34">IFERROR(_xlfn.IFS('Banco de Dados'!#REF!="AG. COMPRA","Em processamento",'Banco de Dados'!#REF!="AG. RASTREIO","Em processamento",'Banco de Dados'!$AE34&lt;&gt;"-","Faturado",'Banco de Dados'!$AD34&lt;&gt;"-","Aguardando Pix",'Banco de Dados'!$AC34&lt;&gt;"-","Pendente"),"Aguardando Liberação")</f>
        <v>Aguardando Liberação</v>
      </c>
      <c r="AH34" s="5" t="str">
        <f>IF('Banco de Dados'!$F34="-",_xlfn.CONCAT(PROPER(TEXT(AK34,"aaaa"))," ",PROPER(TEXT(AK34,"mm"))),_xlfn.CONCAT(PROPER(TEXT(E34,"aaaa"))," ",PROPER(TEXT(E34,"mm"))))</f>
        <v>2024 10</v>
      </c>
      <c r="AI34" s="9" t="str">
        <f ca="1">IF('Banco de Dados'!$AK34&lt;&gt;"-","REEMBOLSO",IFERROR(_xlfn.XLOOKUP(G34,Follow[CODRASTREIO],Follow[STATUS]),"-"))</f>
        <v>ENTREGUE</v>
      </c>
      <c r="AJ34" s="9">
        <f ca="1">IF('Banco de Dados'!$AI34="ENTREGUE",_xlfn.XLOOKUP('Banco de Dados'!$G34,Follow[CODRASTREIO],Follow[DATAATUALIZAÇÃO]),"-")</f>
        <v>45595</v>
      </c>
      <c r="AK34" s="9" t="str">
        <f ca="1"/>
        <v>-</v>
      </c>
      <c r="AL34" s="35" t="str">
        <v>NÃO</v>
      </c>
      <c r="AM34" s="109" cm="1">
        <f t="array" aca="1" ref="AM34" ca="1">IF('Banco de Dados'!$AK34&lt;&gt;"-",_xlfn.IFS('Banco de Dados'!$A34="bv",IF('Banco de Dados'!$E34&lt;45641,ROUND(SUM('Banco de Dados'!$R34*_xlfn.XLOOKUP('Banco de Dados'!$P34,Sku!B:B,Sku!#REF!)*20%),2),ROUND(SUM('Banco de Dados'!$R34*_xlfn.XLOOKUP('Banco de Dados'!$P34,Sku!B:B,Sku!H:H)*20%),2)),'Banco de Dados'!$A34="GO",ROUND(_xlfn.XLOOKUP('Banco de Dados'!$P34,Sku!C:C,Sku!H:H),2),'Banco de Dados'!$A34="MEI",ROUND(_xlfn.XLOOKUP('Banco de Dados'!$P34,Sku!D:D,Sku!H:H),2)),0)</f>
        <v>0</v>
      </c>
      <c r="AN34" s="109">
        <f ca="1">IF('Banco de Dados'!$AK34&lt;&gt;"-",IF('Banco de Dados'!$F34&lt;&gt;"-",_xlfn.XLOOKUP(IFERROR(IFERROR(IFERROR(VALUE(SUBSTITUTE(MID(_xlfn.TEXTAFTER('Banco de Dados'!$F34,"Data do Pedido:
",1),1,10),"-","/")),VALUE(SUBSTITUTE(MID(_xlfn.TEXTAFTER('Banco de Dados'!$F34,"Order date:
",1),1,10),"-","/"))),VALUE(SUBSTITUTE(MID(_xlfn.TEXTAFTER('Banco de Dados'!$F34,"Fecha de pedido:
",1),1,10),"-","/"))),"-"),SMS!A:A,SMS!K:K),0),0)</f>
        <v>0</v>
      </c>
      <c r="AO34" s="109">
        <f ca="1">IF('Banco de Dados'!$AK34&lt;&gt;"-",IF('Banco de Dados'!$F34&lt;&gt;"-",IFERROR(_xlfn.XLOOKUP(_xlfn.CONCAT('Banco de Dados'!$A34,IFERROR(IFERROR(VALUE(SUBSTITUTE(MID(_xlfn.TEXTAFTER('Banco de Dados'!$F34,"Data do Pedido:
",1),1,10),"-","/")),VALUE(SUBSTITUTE(MID(_xlfn.TEXTAFTER('Banco de Dados'!$F34,"Order date:
",1),1,10),"-","/"))),0)),ProxyDD[Chave],ProxyDD[Valor por pedido]),PROXY!$P$2),0),0)</f>
        <v>0</v>
      </c>
      <c r="AP34" s="28">
        <f ca="1">IF('Banco de Dados'!$AK34&lt;&gt;"-",IF('Banco de Dados'!$AL34="NÃO",IFERROR(VALUE(SUBSTITUTE(_xlfn.TEXTAFTER('Banco de Dados'!$F34,"BRL ",1),".",",")),0),0),0)</f>
        <v>0</v>
      </c>
      <c r="AQ34" s="28">
        <f ca="1">SUM('Banco de Dados'!$AM34:$AP34)</f>
        <v>0</v>
      </c>
      <c r="AR34" s="8"/>
      <c r="AS34" s="8"/>
      <c r="AY34" s="8"/>
    </row>
    <row r="35" spans="1:51">
      <c r="A35" s="5" t="str">
        <v>BV</v>
      </c>
      <c r="B35" s="5" t="str">
        <f ca="1"/>
        <v>BV45587</v>
      </c>
      <c r="C35" s="8" t="str">
        <v>Pedido 34</v>
      </c>
      <c r="D35" s="9">
        <v>45587</v>
      </c>
      <c r="E35" s="9">
        <v>45587</v>
      </c>
      <c r="F35" s="8" t="str">
        <v>PedidoF25</v>
      </c>
      <c r="G35" s="2" t="str">
        <v>CódRastreio25</v>
      </c>
      <c r="H35" s="5">
        <v>1</v>
      </c>
      <c r="I35" s="2" t="str">
        <v>CPF 32</v>
      </c>
      <c r="J35" s="8" t="str">
        <v>Nome 32</v>
      </c>
      <c r="K35" s="8" t="str">
        <v>Tel 32</v>
      </c>
      <c r="L35" s="8" t="str">
        <v>Cep 32</v>
      </c>
      <c r="M35" s="8" t="str">
        <v>Rua 32</v>
      </c>
      <c r="N35" s="8" t="str">
        <v>Comp 32</v>
      </c>
      <c r="O35" s="8" t="str">
        <v>Bomba d'agua</v>
      </c>
      <c r="P35" s="8" t="str">
        <v>DJ-RO5O-43GF</v>
      </c>
      <c r="Q35" s="4">
        <v>45605</v>
      </c>
      <c r="R35" s="109">
        <v>17.329999999999998</v>
      </c>
      <c r="S35" s="11">
        <f ca="1"/>
        <v>17.329999999999998</v>
      </c>
      <c r="T35" s="28">
        <f ca="1"/>
        <v>2.4262000000000001</v>
      </c>
      <c r="U35" s="11">
        <f ca="1"/>
        <v>14.9</v>
      </c>
      <c r="V35" s="11">
        <v>6.46</v>
      </c>
      <c r="W35" s="11">
        <f ca="1"/>
        <v>0.43</v>
      </c>
      <c r="X35" s="11">
        <f ca="1"/>
        <v>0.39877104377104378</v>
      </c>
      <c r="Y35" s="11">
        <v>0</v>
      </c>
      <c r="Z35" s="11">
        <f ca="1"/>
        <v>7.611228956228957</v>
      </c>
      <c r="AA35" s="11">
        <f ca="1"/>
        <v>3.8056144781144785</v>
      </c>
      <c r="AB35" s="4">
        <f ca="1"/>
        <v>45612</v>
      </c>
      <c r="AC35" s="4">
        <v>45612</v>
      </c>
      <c r="AD35" s="9">
        <v>45617</v>
      </c>
      <c r="AE35" s="9">
        <v>45618</v>
      </c>
      <c r="AF35" s="4" t="str">
        <f t="shared" ca="1" si="0"/>
        <v>2024 11</v>
      </c>
      <c r="AG35" s="8" t="str" cm="1">
        <f t="array" ref="AG35">IFERROR(_xlfn.IFS('Banco de Dados'!#REF!="AG. COMPRA","Em processamento",'Banco de Dados'!#REF!="AG. RASTREIO","Em processamento",'Banco de Dados'!$AE35&lt;&gt;"-","Faturado",'Banco de Dados'!$AD35&lt;&gt;"-","Aguardando Pix",'Banco de Dados'!$AC35&lt;&gt;"-","Pendente"),"Aguardando Liberação")</f>
        <v>Aguardando Liberação</v>
      </c>
      <c r="AH35" s="5" t="str">
        <f>IF('Banco de Dados'!$F35="-",_xlfn.CONCAT(PROPER(TEXT(AK35,"aaaa"))," ",PROPER(TEXT(AK35,"mm"))),_xlfn.CONCAT(PROPER(TEXT(E35,"aaaa"))," ",PROPER(TEXT(E35,"mm"))))</f>
        <v>2024 10</v>
      </c>
      <c r="AI35" s="9" t="str">
        <f ca="1">IF('Banco de Dados'!$AK35&lt;&gt;"-","REEMBOLSO",IFERROR(_xlfn.XLOOKUP(G35,Follow[CODRASTREIO],Follow[STATUS]),"-"))</f>
        <v>ENTREGUE</v>
      </c>
      <c r="AJ35" s="9">
        <f ca="1">IF('Banco de Dados'!$AI35="ENTREGUE",_xlfn.XLOOKUP('Banco de Dados'!$G35,Follow[CODRASTREIO],Follow[DATAATUALIZAÇÃO]),"-")</f>
        <v>45593</v>
      </c>
      <c r="AK35" s="9" t="str">
        <f ca="1"/>
        <v>-</v>
      </c>
      <c r="AL35" s="35" t="str">
        <v>SIM</v>
      </c>
      <c r="AM35" s="109" cm="1">
        <f t="array" aca="1" ref="AM35" ca="1">IF('Banco de Dados'!$AK35&lt;&gt;"-",_xlfn.IFS('Banco de Dados'!$A35="bv",IF('Banco de Dados'!$E35&lt;45641,ROUND(SUM('Banco de Dados'!$R35*_xlfn.XLOOKUP('Banco de Dados'!$P35,Sku!B:B,Sku!#REF!)*20%),2),ROUND(SUM('Banco de Dados'!$R35*_xlfn.XLOOKUP('Banco de Dados'!$P35,Sku!B:B,Sku!H:H)*20%),2)),'Banco de Dados'!$A35="GO",ROUND(_xlfn.XLOOKUP('Banco de Dados'!$P35,Sku!C:C,Sku!H:H),2),'Banco de Dados'!$A35="MEI",ROUND(_xlfn.XLOOKUP('Banco de Dados'!$P35,Sku!D:D,Sku!H:H),2)),0)</f>
        <v>0</v>
      </c>
      <c r="AN35" s="109">
        <f ca="1">IF('Banco de Dados'!$AK35&lt;&gt;"-",IF('Banco de Dados'!$F35&lt;&gt;"-",_xlfn.XLOOKUP(IFERROR(IFERROR(IFERROR(VALUE(SUBSTITUTE(MID(_xlfn.TEXTAFTER('Banco de Dados'!$F35,"Data do Pedido:
",1),1,10),"-","/")),VALUE(SUBSTITUTE(MID(_xlfn.TEXTAFTER('Banco de Dados'!$F35,"Order date:
",1),1,10),"-","/"))),VALUE(SUBSTITUTE(MID(_xlfn.TEXTAFTER('Banco de Dados'!$F35,"Fecha de pedido:
",1),1,10),"-","/"))),"-"),SMS!A:A,SMS!K:K),0),0)</f>
        <v>0</v>
      </c>
      <c r="AO35" s="109">
        <f ca="1">IF('Banco de Dados'!$AK35&lt;&gt;"-",IF('Banco de Dados'!$F35&lt;&gt;"-",IFERROR(_xlfn.XLOOKUP(_xlfn.CONCAT('Banco de Dados'!$A35,IFERROR(IFERROR(VALUE(SUBSTITUTE(MID(_xlfn.TEXTAFTER('Banco de Dados'!$F35,"Data do Pedido:
",1),1,10),"-","/")),VALUE(SUBSTITUTE(MID(_xlfn.TEXTAFTER('Banco de Dados'!$F35,"Order date:
",1),1,10),"-","/"))),0)),ProxyDD[Chave],ProxyDD[Valor por pedido]),PROXY!$P$2),0),0)</f>
        <v>0</v>
      </c>
      <c r="AP35" s="28">
        <f ca="1">IF('Banco de Dados'!$AK35&lt;&gt;"-",IF('Banco de Dados'!$AL35="NÃO",IFERROR(VALUE(SUBSTITUTE(_xlfn.TEXTAFTER('Banco de Dados'!$F35,"BRL ",1),".",",")),0),0),0)</f>
        <v>0</v>
      </c>
      <c r="AQ35" s="28">
        <f ca="1">SUM('Banco de Dados'!$AM35:$AP35)</f>
        <v>0</v>
      </c>
      <c r="AR35" s="8"/>
      <c r="AS35" s="8"/>
      <c r="AY35" s="8"/>
    </row>
    <row r="36" spans="1:51">
      <c r="A36" s="5" t="str">
        <v>BV</v>
      </c>
      <c r="B36" s="5" t="str">
        <f ca="1"/>
        <v>BV45588</v>
      </c>
      <c r="C36" s="8" t="str">
        <v>Pedido 35</v>
      </c>
      <c r="D36" s="9">
        <v>45588</v>
      </c>
      <c r="E36" s="9">
        <v>45588</v>
      </c>
      <c r="F36" s="8" t="str">
        <v>PedidoF26</v>
      </c>
      <c r="G36" s="2" t="str">
        <v>CódRastreio26</v>
      </c>
      <c r="H36" s="5">
        <v>1</v>
      </c>
      <c r="I36" s="2" t="str">
        <v>CPF 33</v>
      </c>
      <c r="J36" s="8" t="str">
        <v>Nome 33</v>
      </c>
      <c r="K36" s="8" t="str">
        <v>Tel 33</v>
      </c>
      <c r="L36" s="8" t="str">
        <v>Cep 33</v>
      </c>
      <c r="M36" s="8" t="str">
        <v>Rua 33</v>
      </c>
      <c r="N36" s="8" t="str">
        <v>Comp 33</v>
      </c>
      <c r="O36" s="8" t="str">
        <v>Balança</v>
      </c>
      <c r="P36" s="8" t="str">
        <v>P4-K63S-8KOM</v>
      </c>
      <c r="Q36" s="4">
        <v>45605</v>
      </c>
      <c r="R36" s="109">
        <v>17.989999999999998</v>
      </c>
      <c r="S36" s="11">
        <f ca="1"/>
        <v>17.989999999999998</v>
      </c>
      <c r="T36" s="28">
        <f ca="1"/>
        <v>2.3386999999999998</v>
      </c>
      <c r="U36" s="11">
        <f ca="1"/>
        <v>15.65</v>
      </c>
      <c r="V36" s="11">
        <v>7.99</v>
      </c>
      <c r="W36" s="11">
        <f ca="1"/>
        <v>0.57999999999999996</v>
      </c>
      <c r="X36" s="11">
        <f ca="1"/>
        <v>0.39877104377104378</v>
      </c>
      <c r="Y36" s="11">
        <v>0</v>
      </c>
      <c r="Z36" s="11">
        <f ca="1"/>
        <v>6.6812289562289564</v>
      </c>
      <c r="AA36" s="11">
        <f ca="1"/>
        <v>3.3406144781144782</v>
      </c>
      <c r="AB36" s="4">
        <f ca="1"/>
        <v>45612</v>
      </c>
      <c r="AC36" s="4">
        <v>45612</v>
      </c>
      <c r="AD36" s="9">
        <v>45617</v>
      </c>
      <c r="AE36" s="9">
        <v>45618</v>
      </c>
      <c r="AF36" s="4" t="str">
        <f t="shared" ca="1" si="0"/>
        <v>2024 11</v>
      </c>
      <c r="AG36" s="8" t="str" cm="1">
        <f t="array" ref="AG36">IFERROR(_xlfn.IFS('Banco de Dados'!#REF!="AG. COMPRA","Em processamento",'Banco de Dados'!#REF!="AG. RASTREIO","Em processamento",'Banco de Dados'!$AE36&lt;&gt;"-","Faturado",'Banco de Dados'!$AD36&lt;&gt;"-","Aguardando Pix",'Banco de Dados'!$AC36&lt;&gt;"-","Pendente"),"Aguardando Liberação")</f>
        <v>Aguardando Liberação</v>
      </c>
      <c r="AH36" s="5" t="str">
        <f>IF('Banco de Dados'!$F36="-",_xlfn.CONCAT(PROPER(TEXT(AK36,"aaaa"))," ",PROPER(TEXT(AK36,"mm"))),_xlfn.CONCAT(PROPER(TEXT(E36,"aaaa"))," ",PROPER(TEXT(E36,"mm"))))</f>
        <v>2024 10</v>
      </c>
      <c r="AI36" s="9" t="str">
        <f ca="1">IF('Banco de Dados'!$AK36&lt;&gt;"-","REEMBOLSO",IFERROR(_xlfn.XLOOKUP(G36,Follow[CODRASTREIO],Follow[STATUS]),"-"))</f>
        <v>ENTREGUE</v>
      </c>
      <c r="AJ36" s="9">
        <f ca="1">IF('Banco de Dados'!$AI36="ENTREGUE",_xlfn.XLOOKUP('Banco de Dados'!$G36,Follow[CODRASTREIO],Follow[DATAATUALIZAÇÃO]),"-")</f>
        <v>45590</v>
      </c>
      <c r="AK36" s="9" t="str">
        <f ca="1"/>
        <v>-</v>
      </c>
      <c r="AL36" s="35" t="str">
        <v>SIM</v>
      </c>
      <c r="AM36" s="109" cm="1">
        <f t="array" aca="1" ref="AM36" ca="1">IF('Banco de Dados'!$AK36&lt;&gt;"-",_xlfn.IFS('Banco de Dados'!$A36="bv",IF('Banco de Dados'!$E36&lt;45641,ROUND(SUM('Banco de Dados'!$R36*_xlfn.XLOOKUP('Banco de Dados'!$P36,Sku!B:B,Sku!#REF!)*20%),2),ROUND(SUM('Banco de Dados'!$R36*_xlfn.XLOOKUP('Banco de Dados'!$P36,Sku!B:B,Sku!H:H)*20%),2)),'Banco de Dados'!$A36="GO",ROUND(_xlfn.XLOOKUP('Banco de Dados'!$P36,Sku!C:C,Sku!H:H),2),'Banco de Dados'!$A36="MEI",ROUND(_xlfn.XLOOKUP('Banco de Dados'!$P36,Sku!D:D,Sku!H:H),2)),0)</f>
        <v>0</v>
      </c>
      <c r="AN36" s="109">
        <f ca="1">IF('Banco de Dados'!$AK36&lt;&gt;"-",IF('Banco de Dados'!$F36&lt;&gt;"-",_xlfn.XLOOKUP(IFERROR(IFERROR(IFERROR(VALUE(SUBSTITUTE(MID(_xlfn.TEXTAFTER('Banco de Dados'!$F36,"Data do Pedido:
",1),1,10),"-","/")),VALUE(SUBSTITUTE(MID(_xlfn.TEXTAFTER('Banco de Dados'!$F36,"Order date:
",1),1,10),"-","/"))),VALUE(SUBSTITUTE(MID(_xlfn.TEXTAFTER('Banco de Dados'!$F36,"Fecha de pedido:
",1),1,10),"-","/"))),"-"),SMS!A:A,SMS!K:K),0),0)</f>
        <v>0</v>
      </c>
      <c r="AO36" s="109">
        <f ca="1">IF('Banco de Dados'!$AK36&lt;&gt;"-",IF('Banco de Dados'!$F36&lt;&gt;"-",IFERROR(_xlfn.XLOOKUP(_xlfn.CONCAT('Banco de Dados'!$A36,IFERROR(IFERROR(VALUE(SUBSTITUTE(MID(_xlfn.TEXTAFTER('Banco de Dados'!$F36,"Data do Pedido:
",1),1,10),"-","/")),VALUE(SUBSTITUTE(MID(_xlfn.TEXTAFTER('Banco de Dados'!$F36,"Order date:
",1),1,10),"-","/"))),0)),ProxyDD[Chave],ProxyDD[Valor por pedido]),PROXY!$P$2),0),0)</f>
        <v>0</v>
      </c>
      <c r="AP36" s="28">
        <f ca="1">IF('Banco de Dados'!$AK36&lt;&gt;"-",IF('Banco de Dados'!$AL36="NÃO",IFERROR(VALUE(SUBSTITUTE(_xlfn.TEXTAFTER('Banco de Dados'!$F36,"BRL ",1),".",",")),0),0),0)</f>
        <v>0</v>
      </c>
      <c r="AQ36" s="28">
        <f ca="1">SUM('Banco de Dados'!$AM36:$AP36)</f>
        <v>0</v>
      </c>
      <c r="AR36" s="8"/>
      <c r="AS36" s="8"/>
      <c r="AY36" s="8"/>
    </row>
    <row r="37" spans="1:51">
      <c r="A37" s="5" t="str">
        <v>BV</v>
      </c>
      <c r="B37" s="5" t="str">
        <f ca="1"/>
        <v>BV45588</v>
      </c>
      <c r="C37" s="8" t="str">
        <v>Pedido 36</v>
      </c>
      <c r="D37" s="9">
        <v>45588</v>
      </c>
      <c r="E37" s="9">
        <v>45588</v>
      </c>
      <c r="F37" s="8" t="str">
        <v>PedidoF27</v>
      </c>
      <c r="G37" s="2" t="str">
        <v>CódRastreio27</v>
      </c>
      <c r="H37" s="5">
        <v>1</v>
      </c>
      <c r="I37" s="2" t="str">
        <v>CPF 34</v>
      </c>
      <c r="J37" s="8" t="str">
        <v>Nome 34</v>
      </c>
      <c r="K37" s="8" t="str">
        <v>Tel 34</v>
      </c>
      <c r="L37" s="8" t="str">
        <v>Cep 34</v>
      </c>
      <c r="M37" s="8" t="str">
        <v>Rua 34</v>
      </c>
      <c r="N37" s="8" t="str">
        <v>Comp 34</v>
      </c>
      <c r="O37" s="8" t="str">
        <v>Balança</v>
      </c>
      <c r="P37" s="8" t="str">
        <v>P4-K63S-8KOM</v>
      </c>
      <c r="Q37" s="4">
        <v>45602</v>
      </c>
      <c r="R37" s="109">
        <v>17.3</v>
      </c>
      <c r="S37" s="11">
        <f ca="1"/>
        <v>17.3</v>
      </c>
      <c r="T37" s="28">
        <f ca="1"/>
        <v>2.2490000000000001</v>
      </c>
      <c r="U37" s="11">
        <f ca="1"/>
        <v>15.05</v>
      </c>
      <c r="V37" s="11">
        <v>7.99</v>
      </c>
      <c r="W37" s="11">
        <f ca="1"/>
        <v>0.57999999999999996</v>
      </c>
      <c r="X37" s="11">
        <f ca="1"/>
        <v>0.39877104377104378</v>
      </c>
      <c r="Y37" s="11">
        <v>0</v>
      </c>
      <c r="Z37" s="11">
        <f ca="1"/>
        <v>6.0812289562289568</v>
      </c>
      <c r="AA37" s="11">
        <f ca="1"/>
        <v>3.0406144781144784</v>
      </c>
      <c r="AB37" s="4">
        <f ca="1"/>
        <v>45609</v>
      </c>
      <c r="AC37" s="4">
        <v>45609</v>
      </c>
      <c r="AD37" s="9">
        <v>45609</v>
      </c>
      <c r="AE37" s="9">
        <v>45618</v>
      </c>
      <c r="AF37" s="4" t="str">
        <f t="shared" ca="1" si="0"/>
        <v>2024 11</v>
      </c>
      <c r="AG37" s="8" t="str" cm="1">
        <f t="array" ref="AG37">IFERROR(_xlfn.IFS('Banco de Dados'!#REF!="AG. COMPRA","Em processamento",'Banco de Dados'!#REF!="AG. RASTREIO","Em processamento",'Banco de Dados'!$AE37&lt;&gt;"-","Faturado",'Banco de Dados'!$AD37&lt;&gt;"-","Aguardando Pix",'Banco de Dados'!$AC37&lt;&gt;"-","Pendente"),"Aguardando Liberação")</f>
        <v>Aguardando Liberação</v>
      </c>
      <c r="AH37" s="5" t="str">
        <f>IF('Banco de Dados'!$F37="-",_xlfn.CONCAT(PROPER(TEXT(AK37,"aaaa"))," ",PROPER(TEXT(AK37,"mm"))),_xlfn.CONCAT(PROPER(TEXT(E37,"aaaa"))," ",PROPER(TEXT(E37,"mm"))))</f>
        <v>2024 10</v>
      </c>
      <c r="AI37" s="9" t="str">
        <f ca="1">IF('Banco de Dados'!$AK37&lt;&gt;"-","REEMBOLSO",IFERROR(_xlfn.XLOOKUP(G37,Follow[CODRASTREIO],Follow[STATUS]),"-"))</f>
        <v>ENTREGUE</v>
      </c>
      <c r="AJ37" s="9">
        <f ca="1">IF('Banco de Dados'!$AI37="ENTREGUE",_xlfn.XLOOKUP('Banco de Dados'!$G37,Follow[CODRASTREIO],Follow[DATAATUALIZAÇÃO]),"-")</f>
        <v>45590</v>
      </c>
      <c r="AK37" s="9" t="str">
        <f ca="1"/>
        <v>-</v>
      </c>
      <c r="AL37" s="35" t="str">
        <v>-</v>
      </c>
      <c r="AM37" s="109" cm="1">
        <f t="array" aca="1" ref="AM37" ca="1">IF('Banco de Dados'!$AK37&lt;&gt;"-",_xlfn.IFS('Banco de Dados'!$A37="bv",IF('Banco de Dados'!$E37&lt;45641,ROUND(SUM('Banco de Dados'!$R37*_xlfn.XLOOKUP('Banco de Dados'!$P37,Sku!B:B,Sku!#REF!)*20%),2),ROUND(SUM('Banco de Dados'!$R37*_xlfn.XLOOKUP('Banco de Dados'!$P37,Sku!B:B,Sku!H:H)*20%),2)),'Banco de Dados'!$A37="GO",ROUND(_xlfn.XLOOKUP('Banco de Dados'!$P37,Sku!C:C,Sku!H:H),2),'Banco de Dados'!$A37="MEI",ROUND(_xlfn.XLOOKUP('Banco de Dados'!$P37,Sku!D:D,Sku!H:H),2)),0)</f>
        <v>0</v>
      </c>
      <c r="AN37" s="109">
        <f ca="1">IF('Banco de Dados'!$AK37&lt;&gt;"-",IF('Banco de Dados'!$F37&lt;&gt;"-",_xlfn.XLOOKUP(IFERROR(IFERROR(IFERROR(VALUE(SUBSTITUTE(MID(_xlfn.TEXTAFTER('Banco de Dados'!$F37,"Data do Pedido:
",1),1,10),"-","/")),VALUE(SUBSTITUTE(MID(_xlfn.TEXTAFTER('Banco de Dados'!$F37,"Order date:
",1),1,10),"-","/"))),VALUE(SUBSTITUTE(MID(_xlfn.TEXTAFTER('Banco de Dados'!$F37,"Fecha de pedido:
",1),1,10),"-","/"))),"-"),SMS!A:A,SMS!K:K),0),0)</f>
        <v>0</v>
      </c>
      <c r="AO37" s="109">
        <f ca="1">IF('Banco de Dados'!$AK37&lt;&gt;"-",IF('Banco de Dados'!$F37&lt;&gt;"-",IFERROR(_xlfn.XLOOKUP(_xlfn.CONCAT('Banco de Dados'!$A37,IFERROR(IFERROR(VALUE(SUBSTITUTE(MID(_xlfn.TEXTAFTER('Banco de Dados'!$F37,"Data do Pedido:
",1),1,10),"-","/")),VALUE(SUBSTITUTE(MID(_xlfn.TEXTAFTER('Banco de Dados'!$F37,"Order date:
",1),1,10),"-","/"))),0)),ProxyDD[Chave],ProxyDD[Valor por pedido]),PROXY!$P$2),0),0)</f>
        <v>0</v>
      </c>
      <c r="AP37" s="28">
        <f ca="1">IF('Banco de Dados'!$AK37&lt;&gt;"-",IF('Banco de Dados'!$AL37="NÃO",IFERROR(VALUE(SUBSTITUTE(_xlfn.TEXTAFTER('Banco de Dados'!$F37,"BRL ",1),".",",")),0),0),0)</f>
        <v>0</v>
      </c>
      <c r="AQ37" s="28">
        <f ca="1">SUM('Banco de Dados'!$AM37:$AP37)</f>
        <v>0</v>
      </c>
      <c r="AR37" s="8"/>
      <c r="AS37" s="8"/>
      <c r="AY37" s="8"/>
    </row>
    <row r="38" spans="1:51">
      <c r="A38" s="5" t="str">
        <v>BV</v>
      </c>
      <c r="B38" s="5" t="str">
        <f ca="1"/>
        <v>BV45588</v>
      </c>
      <c r="C38" s="8" t="str">
        <v>Pedido 37</v>
      </c>
      <c r="D38" s="9">
        <v>45588</v>
      </c>
      <c r="E38" s="9">
        <v>45588</v>
      </c>
      <c r="F38" s="8" t="str">
        <v>PedidoF28</v>
      </c>
      <c r="G38" s="2" t="str">
        <v>CódRastreio28</v>
      </c>
      <c r="H38" s="5">
        <v>1</v>
      </c>
      <c r="I38" s="2" t="str">
        <v>CPF 35</v>
      </c>
      <c r="J38" s="8" t="str">
        <v>Nome 35</v>
      </c>
      <c r="K38" s="8" t="str">
        <v>Tel 35</v>
      </c>
      <c r="L38" s="8" t="str">
        <v>Cep 35</v>
      </c>
      <c r="M38" s="8" t="str">
        <v>Rua 35</v>
      </c>
      <c r="N38" s="8" t="str">
        <v>Comp 35</v>
      </c>
      <c r="O38" s="8" t="str">
        <v>Balança</v>
      </c>
      <c r="P38" s="8" t="str">
        <v>P4-K63S-8KOM</v>
      </c>
      <c r="Q38" s="4">
        <v>45605</v>
      </c>
      <c r="R38" s="109">
        <v>17.3</v>
      </c>
      <c r="S38" s="11">
        <f ca="1"/>
        <v>17.3</v>
      </c>
      <c r="T38" s="28">
        <f ca="1"/>
        <v>2.2490000000000001</v>
      </c>
      <c r="U38" s="11">
        <f ca="1"/>
        <v>15.05</v>
      </c>
      <c r="V38" s="11">
        <v>7.99</v>
      </c>
      <c r="W38" s="11">
        <f ca="1"/>
        <v>0.57999999999999996</v>
      </c>
      <c r="X38" s="11">
        <f ca="1"/>
        <v>0.39877104377104378</v>
      </c>
      <c r="Y38" s="11">
        <v>0</v>
      </c>
      <c r="Z38" s="11">
        <f ca="1"/>
        <v>6.0812289562289568</v>
      </c>
      <c r="AA38" s="11">
        <f ca="1"/>
        <v>3.0406144781144784</v>
      </c>
      <c r="AB38" s="4">
        <f ca="1"/>
        <v>45612</v>
      </c>
      <c r="AC38" s="4">
        <v>45612</v>
      </c>
      <c r="AD38" s="9">
        <v>45617</v>
      </c>
      <c r="AE38" s="9">
        <v>45618</v>
      </c>
      <c r="AF38" s="4" t="str">
        <f t="shared" ca="1" si="0"/>
        <v>2024 11</v>
      </c>
      <c r="AG38" s="8" t="str" cm="1">
        <f t="array" ref="AG38">IFERROR(_xlfn.IFS('Banco de Dados'!#REF!="AG. COMPRA","Em processamento",'Banco de Dados'!#REF!="AG. RASTREIO","Em processamento",'Banco de Dados'!$AE38&lt;&gt;"-","Faturado",'Banco de Dados'!$AD38&lt;&gt;"-","Aguardando Pix",'Banco de Dados'!$AC38&lt;&gt;"-","Pendente"),"Aguardando Liberação")</f>
        <v>Aguardando Liberação</v>
      </c>
      <c r="AH38" s="5" t="str">
        <f>IF('Banco de Dados'!$F38="-",_xlfn.CONCAT(PROPER(TEXT(AK38,"aaaa"))," ",PROPER(TEXT(AK38,"mm"))),_xlfn.CONCAT(PROPER(TEXT(E38,"aaaa"))," ",PROPER(TEXT(E38,"mm"))))</f>
        <v>2024 10</v>
      </c>
      <c r="AI38" s="9" t="str">
        <f ca="1">IF('Banco de Dados'!$AK38&lt;&gt;"-","REEMBOLSO",IFERROR(_xlfn.XLOOKUP(G38,Follow[CODRASTREIO],Follow[STATUS]),"-"))</f>
        <v>ENTREGUE</v>
      </c>
      <c r="AJ38" s="9">
        <f ca="1">IF('Banco de Dados'!$AI38="ENTREGUE",_xlfn.XLOOKUP('Banco de Dados'!$G38,Follow[CODRASTREIO],Follow[DATAATUALIZAÇÃO]),"-")</f>
        <v>45594</v>
      </c>
      <c r="AK38" s="9" t="str">
        <f ca="1"/>
        <v>-</v>
      </c>
      <c r="AL38" s="35" t="str">
        <v>SIM</v>
      </c>
      <c r="AM38" s="109" cm="1">
        <f t="array" aca="1" ref="AM38" ca="1">IF('Banco de Dados'!$AK38&lt;&gt;"-",_xlfn.IFS('Banco de Dados'!$A38="bv",IF('Banco de Dados'!$E38&lt;45641,ROUND(SUM('Banco de Dados'!$R38*_xlfn.XLOOKUP('Banco de Dados'!$P38,Sku!B:B,Sku!#REF!)*20%),2),ROUND(SUM('Banco de Dados'!$R38*_xlfn.XLOOKUP('Banco de Dados'!$P38,Sku!B:B,Sku!H:H)*20%),2)),'Banco de Dados'!$A38="GO",ROUND(_xlfn.XLOOKUP('Banco de Dados'!$P38,Sku!C:C,Sku!H:H),2),'Banco de Dados'!$A38="MEI",ROUND(_xlfn.XLOOKUP('Banco de Dados'!$P38,Sku!D:D,Sku!H:H),2)),0)</f>
        <v>0</v>
      </c>
      <c r="AN38" s="109">
        <f ca="1">IF('Banco de Dados'!$AK38&lt;&gt;"-",IF('Banco de Dados'!$F38&lt;&gt;"-",_xlfn.XLOOKUP(IFERROR(IFERROR(IFERROR(VALUE(SUBSTITUTE(MID(_xlfn.TEXTAFTER('Banco de Dados'!$F38,"Data do Pedido:
",1),1,10),"-","/")),VALUE(SUBSTITUTE(MID(_xlfn.TEXTAFTER('Banco de Dados'!$F38,"Order date:
",1),1,10),"-","/"))),VALUE(SUBSTITUTE(MID(_xlfn.TEXTAFTER('Banco de Dados'!$F38,"Fecha de pedido:
",1),1,10),"-","/"))),"-"),SMS!A:A,SMS!K:K),0),0)</f>
        <v>0</v>
      </c>
      <c r="AO38" s="109">
        <f ca="1">IF('Banco de Dados'!$AK38&lt;&gt;"-",IF('Banco de Dados'!$F38&lt;&gt;"-",IFERROR(_xlfn.XLOOKUP(_xlfn.CONCAT('Banco de Dados'!$A38,IFERROR(IFERROR(VALUE(SUBSTITUTE(MID(_xlfn.TEXTAFTER('Banco de Dados'!$F38,"Data do Pedido:
",1),1,10),"-","/")),VALUE(SUBSTITUTE(MID(_xlfn.TEXTAFTER('Banco de Dados'!$F38,"Order date:
",1),1,10),"-","/"))),0)),ProxyDD[Chave],ProxyDD[Valor por pedido]),PROXY!$P$2),0),0)</f>
        <v>0</v>
      </c>
      <c r="AP38" s="28">
        <f ca="1">IF('Banco de Dados'!$AK38&lt;&gt;"-",IF('Banco de Dados'!$AL38="NÃO",IFERROR(VALUE(SUBSTITUTE(_xlfn.TEXTAFTER('Banco de Dados'!$F38,"BRL ",1),".",",")),0),0),0)</f>
        <v>0</v>
      </c>
      <c r="AQ38" s="28">
        <f ca="1">SUM('Banco de Dados'!$AM38:$AP38)</f>
        <v>0</v>
      </c>
      <c r="AR38" s="8"/>
      <c r="AS38" s="8"/>
      <c r="AY38" s="8"/>
    </row>
    <row r="39" spans="1:51">
      <c r="A39" s="5" t="str">
        <v>BV</v>
      </c>
      <c r="B39" s="5" t="str">
        <f ca="1"/>
        <v>BV45588</v>
      </c>
      <c r="C39" s="8" t="str">
        <v>Pedido 38</v>
      </c>
      <c r="D39" s="9">
        <v>45588</v>
      </c>
      <c r="E39" s="9">
        <v>45588</v>
      </c>
      <c r="F39" s="8" t="str">
        <v>PedidoF29</v>
      </c>
      <c r="G39" s="2" t="str">
        <v>CódRastreio29</v>
      </c>
      <c r="H39" s="5">
        <v>1</v>
      </c>
      <c r="I39" s="2" t="str">
        <v>CPF 36</v>
      </c>
      <c r="J39" s="8" t="str">
        <v>Nome 36</v>
      </c>
      <c r="K39" s="8" t="str">
        <v>Tel 36</v>
      </c>
      <c r="L39" s="8" t="str">
        <v>Cep 36</v>
      </c>
      <c r="M39" s="8" t="str">
        <v>Rua 36</v>
      </c>
      <c r="N39" s="8" t="str">
        <v>Comp 36</v>
      </c>
      <c r="O39" s="8" t="str">
        <v>Suporte de Celular Branco</v>
      </c>
      <c r="P39" s="8" t="str">
        <v>16-4EDB-WMZF</v>
      </c>
      <c r="Q39" s="4">
        <v>45608</v>
      </c>
      <c r="R39" s="109">
        <v>15.99</v>
      </c>
      <c r="S39" s="11">
        <f ca="1"/>
        <v>15.99</v>
      </c>
      <c r="T39" s="28">
        <f ca="1"/>
        <v>2.3984999999999999</v>
      </c>
      <c r="U39" s="11">
        <f ca="1"/>
        <v>13.59</v>
      </c>
      <c r="V39" s="11">
        <v>4.99</v>
      </c>
      <c r="W39" s="11">
        <f ca="1"/>
        <v>0.57999999999999996</v>
      </c>
      <c r="X39" s="11">
        <f ca="1"/>
        <v>0.39877104377104378</v>
      </c>
      <c r="Y39" s="11">
        <v>0</v>
      </c>
      <c r="Z39" s="11">
        <f ca="1"/>
        <v>7.6212289562289559</v>
      </c>
      <c r="AA39" s="11">
        <f ca="1"/>
        <v>3.810614478114478</v>
      </c>
      <c r="AB39" s="4">
        <f ca="1"/>
        <v>45615</v>
      </c>
      <c r="AC39" s="4">
        <v>45615</v>
      </c>
      <c r="AD39" s="9">
        <v>45617</v>
      </c>
      <c r="AE39" s="9">
        <v>45618</v>
      </c>
      <c r="AF39" s="4" t="str">
        <f t="shared" ca="1" si="0"/>
        <v>2024 11</v>
      </c>
      <c r="AG39" s="8" t="str" cm="1">
        <f t="array" ref="AG39">IFERROR(_xlfn.IFS('Banco de Dados'!#REF!="AG. COMPRA","Em processamento",'Banco de Dados'!#REF!="AG. RASTREIO","Em processamento",'Banco de Dados'!$AE39&lt;&gt;"-","Faturado",'Banco de Dados'!$AD39&lt;&gt;"-","Aguardando Pix",'Banco de Dados'!$AC39&lt;&gt;"-","Pendente"),"Aguardando Liberação")</f>
        <v>Aguardando Liberação</v>
      </c>
      <c r="AH39" s="5" t="str">
        <f>IF('Banco de Dados'!$F39="-",_xlfn.CONCAT(PROPER(TEXT(AK39,"aaaa"))," ",PROPER(TEXT(AK39,"mm"))),_xlfn.CONCAT(PROPER(TEXT(E39,"aaaa"))," ",PROPER(TEXT(E39,"mm"))))</f>
        <v>2024 10</v>
      </c>
      <c r="AI39" s="9" t="str">
        <f ca="1">IF('Banco de Dados'!$AK39&lt;&gt;"-","REEMBOLSO",IFERROR(_xlfn.XLOOKUP(G39,Follow[CODRASTREIO],Follow[STATUS]),"-"))</f>
        <v>ENTREGUE</v>
      </c>
      <c r="AJ39" s="9">
        <f ca="1">IF('Banco de Dados'!$AI39="ENTREGUE",_xlfn.XLOOKUP('Banco de Dados'!$G39,Follow[CODRASTREIO],Follow[DATAATUALIZAÇÃO]),"-")</f>
        <v>45596</v>
      </c>
      <c r="AK39" s="9" t="str">
        <f ca="1"/>
        <v>-</v>
      </c>
      <c r="AL39" s="35" t="str">
        <v>SIM</v>
      </c>
      <c r="AM39" s="109" cm="1">
        <f t="array" aca="1" ref="AM39" ca="1">IF('Banco de Dados'!$AK39&lt;&gt;"-",_xlfn.IFS('Banco de Dados'!$A39="bv",IF('Banco de Dados'!$E39&lt;45641,ROUND(SUM('Banco de Dados'!$R39*_xlfn.XLOOKUP('Banco de Dados'!$P39,Sku!B:B,Sku!#REF!)*20%),2),ROUND(SUM('Banco de Dados'!$R39*_xlfn.XLOOKUP('Banco de Dados'!$P39,Sku!B:B,Sku!H:H)*20%),2)),'Banco de Dados'!$A39="GO",ROUND(_xlfn.XLOOKUP('Banco de Dados'!$P39,Sku!C:C,Sku!H:H),2),'Banco de Dados'!$A39="MEI",ROUND(_xlfn.XLOOKUP('Banco de Dados'!$P39,Sku!D:D,Sku!H:H),2)),0)</f>
        <v>0</v>
      </c>
      <c r="AN39" s="109">
        <f ca="1">IF('Banco de Dados'!$AK39&lt;&gt;"-",IF('Banco de Dados'!$F39&lt;&gt;"-",_xlfn.XLOOKUP(IFERROR(IFERROR(IFERROR(VALUE(SUBSTITUTE(MID(_xlfn.TEXTAFTER('Banco de Dados'!$F39,"Data do Pedido:
",1),1,10),"-","/")),VALUE(SUBSTITUTE(MID(_xlfn.TEXTAFTER('Banco de Dados'!$F39,"Order date:
",1),1,10),"-","/"))),VALUE(SUBSTITUTE(MID(_xlfn.TEXTAFTER('Banco de Dados'!$F39,"Fecha de pedido:
",1),1,10),"-","/"))),"-"),SMS!A:A,SMS!K:K),0),0)</f>
        <v>0</v>
      </c>
      <c r="AO39" s="109">
        <f ca="1">IF('Banco de Dados'!$AK39&lt;&gt;"-",IF('Banco de Dados'!$F39&lt;&gt;"-",IFERROR(_xlfn.XLOOKUP(_xlfn.CONCAT('Banco de Dados'!$A39,IFERROR(IFERROR(VALUE(SUBSTITUTE(MID(_xlfn.TEXTAFTER('Banco de Dados'!$F39,"Data do Pedido:
",1),1,10),"-","/")),VALUE(SUBSTITUTE(MID(_xlfn.TEXTAFTER('Banco de Dados'!$F39,"Order date:
",1),1,10),"-","/"))),0)),ProxyDD[Chave],ProxyDD[Valor por pedido]),PROXY!$P$2),0),0)</f>
        <v>0</v>
      </c>
      <c r="AP39" s="28">
        <f ca="1">IF('Banco de Dados'!$AK39&lt;&gt;"-",IF('Banco de Dados'!$AL39="NÃO",IFERROR(VALUE(SUBSTITUTE(_xlfn.TEXTAFTER('Banco de Dados'!$F39,"BRL ",1),".",",")),0),0),0)</f>
        <v>0</v>
      </c>
      <c r="AQ39" s="28">
        <f ca="1">SUM('Banco de Dados'!$AM39:$AP39)</f>
        <v>0</v>
      </c>
      <c r="AR39" s="8"/>
      <c r="AS39" s="8"/>
      <c r="AY39" s="8"/>
    </row>
    <row r="40" spans="1:51">
      <c r="A40" s="5" t="str">
        <v>BV</v>
      </c>
      <c r="B40" s="5" t="str">
        <f ca="1"/>
        <v>BV45588</v>
      </c>
      <c r="C40" s="8" t="str">
        <v>Pedido 39</v>
      </c>
      <c r="D40" s="9">
        <v>45588</v>
      </c>
      <c r="E40" s="9">
        <v>45588</v>
      </c>
      <c r="F40" s="8" t="str">
        <v>PedidoF30</v>
      </c>
      <c r="G40" s="3" t="str">
        <v>CódRastreio30</v>
      </c>
      <c r="H40" s="5">
        <v>1</v>
      </c>
      <c r="I40" s="2" t="str">
        <v>CPF 37</v>
      </c>
      <c r="J40" s="8" t="str">
        <v>Nome 37</v>
      </c>
      <c r="K40" s="8" t="str">
        <v>Tel 37</v>
      </c>
      <c r="L40" s="8" t="str">
        <v>Cep 37</v>
      </c>
      <c r="M40" s="8" t="str">
        <v>Rua 37</v>
      </c>
      <c r="N40" s="8" t="str">
        <v>Comp 37</v>
      </c>
      <c r="O40" s="8" t="str">
        <v>Balança</v>
      </c>
      <c r="P40" s="8" t="str">
        <v>P4-K63S-8KOM</v>
      </c>
      <c r="Q40" s="4">
        <v>45604</v>
      </c>
      <c r="R40" s="109">
        <v>17.989999999999998</v>
      </c>
      <c r="S40" s="11">
        <f ca="1"/>
        <v>17.989999999999998</v>
      </c>
      <c r="T40" s="28">
        <f ca="1"/>
        <v>2.3386999999999998</v>
      </c>
      <c r="U40" s="11">
        <f ca="1"/>
        <v>15.65</v>
      </c>
      <c r="V40" s="11">
        <v>8.74</v>
      </c>
      <c r="W40" s="11">
        <f ca="1"/>
        <v>0.57999999999999996</v>
      </c>
      <c r="X40" s="11">
        <f ca="1"/>
        <v>0.39877104377104378</v>
      </c>
      <c r="Y40" s="11">
        <v>0</v>
      </c>
      <c r="Z40" s="11">
        <f ca="1"/>
        <v>5.9312289562289564</v>
      </c>
      <c r="AA40" s="11">
        <f ca="1"/>
        <v>2.9656144781144782</v>
      </c>
      <c r="AB40" s="4">
        <f ca="1"/>
        <v>45611</v>
      </c>
      <c r="AC40" s="4">
        <v>45611</v>
      </c>
      <c r="AD40" s="9">
        <v>45617</v>
      </c>
      <c r="AE40" s="9">
        <v>45618</v>
      </c>
      <c r="AF40" s="4" t="str">
        <f t="shared" ca="1" si="0"/>
        <v>2024 11</v>
      </c>
      <c r="AG40" s="8" t="str" cm="1">
        <f t="array" ref="AG40">IFERROR(_xlfn.IFS('Banco de Dados'!#REF!="AG. COMPRA","Em processamento",'Banco de Dados'!#REF!="AG. RASTREIO","Em processamento",'Banco de Dados'!$AE40&lt;&gt;"-","Faturado",'Banco de Dados'!$AD40&lt;&gt;"-","Aguardando Pix",'Banco de Dados'!$AC40&lt;&gt;"-","Pendente"),"Aguardando Liberação")</f>
        <v>Aguardando Liberação</v>
      </c>
      <c r="AH40" s="5" t="str">
        <f>IF('Banco de Dados'!$F40="-",_xlfn.CONCAT(PROPER(TEXT(AK40,"aaaa"))," ",PROPER(TEXT(AK40,"mm"))),_xlfn.CONCAT(PROPER(TEXT(E40,"aaaa"))," ",PROPER(TEXT(E40,"mm"))))</f>
        <v>2024 10</v>
      </c>
      <c r="AI40" s="9" t="str">
        <f ca="1">IF('Banco de Dados'!$AK40&lt;&gt;"-","REEMBOLSO",IFERROR(_xlfn.XLOOKUP(G40,Follow[CODRASTREIO],Follow[STATUS]),"-"))</f>
        <v>ENTREGUE</v>
      </c>
      <c r="AJ40" s="9">
        <f ca="1">IF('Banco de Dados'!$AI40="ENTREGUE",_xlfn.XLOOKUP('Banco de Dados'!$G40,Follow[CODRASTREIO],Follow[DATAATUALIZAÇÃO]),"-")</f>
        <v>45594</v>
      </c>
      <c r="AK40" s="9" t="str">
        <f ca="1"/>
        <v>-</v>
      </c>
      <c r="AL40" s="35" t="str">
        <v>SIM</v>
      </c>
      <c r="AM40" s="109" cm="1">
        <f t="array" aca="1" ref="AM40" ca="1">IF('Banco de Dados'!$AK40&lt;&gt;"-",_xlfn.IFS('Banco de Dados'!$A40="bv",IF('Banco de Dados'!$E40&lt;45641,ROUND(SUM('Banco de Dados'!$R40*_xlfn.XLOOKUP('Banco de Dados'!$P40,Sku!B:B,Sku!#REF!)*20%),2),ROUND(SUM('Banco de Dados'!$R40*_xlfn.XLOOKUP('Banco de Dados'!$P40,Sku!B:B,Sku!H:H)*20%),2)),'Banco de Dados'!$A40="GO",ROUND(_xlfn.XLOOKUP('Banco de Dados'!$P40,Sku!C:C,Sku!H:H),2),'Banco de Dados'!$A40="MEI",ROUND(_xlfn.XLOOKUP('Banco de Dados'!$P40,Sku!D:D,Sku!H:H),2)),0)</f>
        <v>0</v>
      </c>
      <c r="AN40" s="109">
        <f ca="1">IF('Banco de Dados'!$AK40&lt;&gt;"-",IF('Banco de Dados'!$F40&lt;&gt;"-",_xlfn.XLOOKUP(IFERROR(IFERROR(IFERROR(VALUE(SUBSTITUTE(MID(_xlfn.TEXTAFTER('Banco de Dados'!$F40,"Data do Pedido:
",1),1,10),"-","/")),VALUE(SUBSTITUTE(MID(_xlfn.TEXTAFTER('Banco de Dados'!$F40,"Order date:
",1),1,10),"-","/"))),VALUE(SUBSTITUTE(MID(_xlfn.TEXTAFTER('Banco de Dados'!$F40,"Fecha de pedido:
",1),1,10),"-","/"))),"-"),SMS!A:A,SMS!K:K),0),0)</f>
        <v>0</v>
      </c>
      <c r="AO40" s="109">
        <f ca="1">IF('Banco de Dados'!$AK40&lt;&gt;"-",IF('Banco de Dados'!$F40&lt;&gt;"-",IFERROR(_xlfn.XLOOKUP(_xlfn.CONCAT('Banco de Dados'!$A40,IFERROR(IFERROR(VALUE(SUBSTITUTE(MID(_xlfn.TEXTAFTER('Banco de Dados'!$F40,"Data do Pedido:
",1),1,10),"-","/")),VALUE(SUBSTITUTE(MID(_xlfn.TEXTAFTER('Banco de Dados'!$F40,"Order date:
",1),1,10),"-","/"))),0)),ProxyDD[Chave],ProxyDD[Valor por pedido]),PROXY!$P$2),0),0)</f>
        <v>0</v>
      </c>
      <c r="AP40" s="28">
        <f ca="1">IF('Banco de Dados'!$AK40&lt;&gt;"-",IF('Banco de Dados'!$AL40="NÃO",IFERROR(VALUE(SUBSTITUTE(_xlfn.TEXTAFTER('Banco de Dados'!$F40,"BRL ",1),".",",")),0),0),0)</f>
        <v>0</v>
      </c>
      <c r="AQ40" s="28">
        <f ca="1">SUM('Banco de Dados'!$AM40:$AP40)</f>
        <v>0</v>
      </c>
      <c r="AR40" s="8"/>
      <c r="AS40" s="8"/>
      <c r="AY40" s="8"/>
    </row>
    <row r="41" spans="1:51">
      <c r="A41" s="5" t="str">
        <v>BV</v>
      </c>
      <c r="B41" s="5" t="str">
        <f ca="1"/>
        <v>BV45588</v>
      </c>
      <c r="C41" s="8" t="str">
        <v>Pedido 40</v>
      </c>
      <c r="D41" s="9">
        <v>45588</v>
      </c>
      <c r="E41" s="9">
        <v>45588</v>
      </c>
      <c r="F41" s="8" t="str">
        <v>PedidoF31</v>
      </c>
      <c r="G41" s="3" t="str">
        <v>CódRastreio31</v>
      </c>
      <c r="H41" s="5">
        <v>1</v>
      </c>
      <c r="I41" s="2" t="str">
        <v>CPF 38</v>
      </c>
      <c r="J41" s="8" t="str">
        <v>Nome 38</v>
      </c>
      <c r="K41" s="8" t="str">
        <v>Tel 38</v>
      </c>
      <c r="L41" s="8" t="str">
        <v>Cep 38</v>
      </c>
      <c r="M41" s="8" t="str">
        <v>Rua 38</v>
      </c>
      <c r="N41" s="8" t="str">
        <v>Comp 38</v>
      </c>
      <c r="O41" s="8" t="str">
        <v>Balança</v>
      </c>
      <c r="P41" s="8" t="str">
        <v>P4-K63S-8KOM</v>
      </c>
      <c r="Q41" s="4">
        <v>45608</v>
      </c>
      <c r="R41" s="109">
        <v>17.989999999999998</v>
      </c>
      <c r="S41" s="11">
        <f ca="1"/>
        <v>17.989999999999998</v>
      </c>
      <c r="T41" s="28">
        <f ca="1"/>
        <v>2.3386999999999998</v>
      </c>
      <c r="U41" s="11">
        <f ca="1"/>
        <v>15.65</v>
      </c>
      <c r="V41" s="11">
        <v>8.74</v>
      </c>
      <c r="W41" s="11">
        <f ca="1"/>
        <v>0.57999999999999996</v>
      </c>
      <c r="X41" s="11">
        <f ca="1"/>
        <v>0.39877104377104378</v>
      </c>
      <c r="Y41" s="11">
        <v>0</v>
      </c>
      <c r="Z41" s="11">
        <f ca="1"/>
        <v>5.9312289562289564</v>
      </c>
      <c r="AA41" s="11">
        <f ca="1"/>
        <v>2.9656144781144782</v>
      </c>
      <c r="AB41" s="4">
        <f ca="1"/>
        <v>45615</v>
      </c>
      <c r="AC41" s="4">
        <v>45615</v>
      </c>
      <c r="AD41" s="9">
        <v>45617</v>
      </c>
      <c r="AE41" s="9">
        <v>45618</v>
      </c>
      <c r="AF41" s="4" t="str">
        <f t="shared" ca="1" si="0"/>
        <v>2024 11</v>
      </c>
      <c r="AG41" s="8" t="str" cm="1">
        <f t="array" ref="AG41">IFERROR(_xlfn.IFS('Banco de Dados'!#REF!="AG. COMPRA","Em processamento",'Banco de Dados'!#REF!="AG. RASTREIO","Em processamento",'Banco de Dados'!$AE41&lt;&gt;"-","Faturado",'Banco de Dados'!$AD41&lt;&gt;"-","Aguardando Pix",'Banco de Dados'!$AC41&lt;&gt;"-","Pendente"),"Aguardando Liberação")</f>
        <v>Aguardando Liberação</v>
      </c>
      <c r="AH41" s="5" t="str">
        <f>IF('Banco de Dados'!$F41="-",_xlfn.CONCAT(PROPER(TEXT(AK41,"aaaa"))," ",PROPER(TEXT(AK41,"mm"))),_xlfn.CONCAT(PROPER(TEXT(E41,"aaaa"))," ",PROPER(TEXT(E41,"mm"))))</f>
        <v>2024 10</v>
      </c>
      <c r="AI41" s="9" t="str">
        <f ca="1">IF('Banco de Dados'!$AK41&lt;&gt;"-","REEMBOLSO",IFERROR(_xlfn.XLOOKUP(G41,Follow[CODRASTREIO],Follow[STATUS]),"-"))</f>
        <v>ENTREGUE</v>
      </c>
      <c r="AJ41" s="9">
        <f ca="1">IF('Banco de Dados'!$AI41="ENTREGUE",_xlfn.XLOOKUP('Banco de Dados'!$G41,Follow[CODRASTREIO],Follow[DATAATUALIZAÇÃO]),"-")</f>
        <v>45593</v>
      </c>
      <c r="AK41" s="9" t="str">
        <f ca="1"/>
        <v>-</v>
      </c>
      <c r="AL41" s="35" t="str">
        <v>SIM</v>
      </c>
      <c r="AM41" s="109" cm="1">
        <f t="array" aca="1" ref="AM41" ca="1">IF('Banco de Dados'!$AK41&lt;&gt;"-",_xlfn.IFS('Banco de Dados'!$A41="bv",IF('Banco de Dados'!$E41&lt;45641,ROUND(SUM('Banco de Dados'!$R41*_xlfn.XLOOKUP('Banco de Dados'!$P41,Sku!B:B,Sku!#REF!)*20%),2),ROUND(SUM('Banco de Dados'!$R41*_xlfn.XLOOKUP('Banco de Dados'!$P41,Sku!B:B,Sku!H:H)*20%),2)),'Banco de Dados'!$A41="GO",ROUND(_xlfn.XLOOKUP('Banco de Dados'!$P41,Sku!C:C,Sku!H:H),2),'Banco de Dados'!$A41="MEI",ROUND(_xlfn.XLOOKUP('Banco de Dados'!$P41,Sku!D:D,Sku!H:H),2)),0)</f>
        <v>0</v>
      </c>
      <c r="AN41" s="109">
        <f ca="1">IF('Banco de Dados'!$AK41&lt;&gt;"-",IF('Banco de Dados'!$F41&lt;&gt;"-",_xlfn.XLOOKUP(IFERROR(IFERROR(IFERROR(VALUE(SUBSTITUTE(MID(_xlfn.TEXTAFTER('Banco de Dados'!$F41,"Data do Pedido:
",1),1,10),"-","/")),VALUE(SUBSTITUTE(MID(_xlfn.TEXTAFTER('Banco de Dados'!$F41,"Order date:
",1),1,10),"-","/"))),VALUE(SUBSTITUTE(MID(_xlfn.TEXTAFTER('Banco de Dados'!$F41,"Fecha de pedido:
",1),1,10),"-","/"))),"-"),SMS!A:A,SMS!K:K),0),0)</f>
        <v>0</v>
      </c>
      <c r="AO41" s="109">
        <f ca="1">IF('Banco de Dados'!$AK41&lt;&gt;"-",IF('Banco de Dados'!$F41&lt;&gt;"-",IFERROR(_xlfn.XLOOKUP(_xlfn.CONCAT('Banco de Dados'!$A41,IFERROR(IFERROR(VALUE(SUBSTITUTE(MID(_xlfn.TEXTAFTER('Banco de Dados'!$F41,"Data do Pedido:
",1),1,10),"-","/")),VALUE(SUBSTITUTE(MID(_xlfn.TEXTAFTER('Banco de Dados'!$F41,"Order date:
",1),1,10),"-","/"))),0)),ProxyDD[Chave],ProxyDD[Valor por pedido]),PROXY!$P$2),0),0)</f>
        <v>0</v>
      </c>
      <c r="AP41" s="28">
        <f ca="1">IF('Banco de Dados'!$AK41&lt;&gt;"-",IF('Banco de Dados'!$AL41="NÃO",IFERROR(VALUE(SUBSTITUTE(_xlfn.TEXTAFTER('Banco de Dados'!$F41,"BRL ",1),".",",")),0),0),0)</f>
        <v>0</v>
      </c>
      <c r="AQ41" s="28">
        <f ca="1">SUM('Banco de Dados'!$AM41:$AP41)</f>
        <v>0</v>
      </c>
      <c r="AR41" s="8"/>
      <c r="AS41" s="8"/>
      <c r="AY41" s="8"/>
    </row>
    <row r="42" spans="1:51">
      <c r="A42" s="5" t="str">
        <v>BV</v>
      </c>
      <c r="B42" s="5" t="str">
        <f ca="1"/>
        <v>BV45589</v>
      </c>
      <c r="C42" s="8" t="str">
        <v>Pedido 41</v>
      </c>
      <c r="D42" s="9">
        <v>45589</v>
      </c>
      <c r="E42" s="9">
        <v>45589</v>
      </c>
      <c r="F42" s="9" t="str">
        <v>PedidoF32</v>
      </c>
      <c r="G42" s="2" t="str">
        <v>CódRastreio32</v>
      </c>
      <c r="H42" s="5">
        <v>1</v>
      </c>
      <c r="I42" s="2" t="str">
        <v>CPF 39</v>
      </c>
      <c r="J42" s="9" t="str">
        <v>Nome 39</v>
      </c>
      <c r="K42" s="8" t="str">
        <v>Tel 39</v>
      </c>
      <c r="L42" s="8" t="str">
        <v>Cep 39</v>
      </c>
      <c r="M42" s="8" t="str">
        <v>Rua 39</v>
      </c>
      <c r="N42" s="8" t="str">
        <v>Comp 39</v>
      </c>
      <c r="O42" s="8" t="str">
        <v>Balança</v>
      </c>
      <c r="P42" s="8" t="str">
        <v>P4-K63S-8KOM</v>
      </c>
      <c r="Q42" s="4">
        <v>45604</v>
      </c>
      <c r="R42" s="109">
        <v>17.989999999999998</v>
      </c>
      <c r="S42" s="11">
        <f ca="1"/>
        <v>17.989999999999998</v>
      </c>
      <c r="T42" s="28">
        <f ca="1"/>
        <v>2.3386999999999998</v>
      </c>
      <c r="U42" s="11">
        <f ca="1"/>
        <v>15.65</v>
      </c>
      <c r="V42" s="11">
        <v>8.74</v>
      </c>
      <c r="W42" s="11">
        <f ca="1"/>
        <v>0.52</v>
      </c>
      <c r="X42" s="11">
        <f ca="1"/>
        <v>0.39877104377104378</v>
      </c>
      <c r="Y42" s="11">
        <v>0</v>
      </c>
      <c r="Z42" s="11">
        <f ca="1"/>
        <v>5.9912289562289569</v>
      </c>
      <c r="AA42" s="11">
        <f ca="1"/>
        <v>2.9956144781144785</v>
      </c>
      <c r="AB42" s="4">
        <f ca="1"/>
        <v>45611</v>
      </c>
      <c r="AC42" s="4">
        <v>45611</v>
      </c>
      <c r="AD42" s="9">
        <v>45617</v>
      </c>
      <c r="AE42" s="9">
        <v>45618</v>
      </c>
      <c r="AF42" s="4" t="str">
        <f t="shared" ca="1" si="0"/>
        <v>2024 11</v>
      </c>
      <c r="AG42" s="8" t="str" cm="1">
        <f t="array" ref="AG42">IFERROR(_xlfn.IFS('Banco de Dados'!#REF!="AG. COMPRA","Em processamento",'Banco de Dados'!#REF!="AG. RASTREIO","Em processamento",'Banco de Dados'!$AE42&lt;&gt;"-","Faturado",'Banco de Dados'!$AD42&lt;&gt;"-","Aguardando Pix",'Banco de Dados'!$AC42&lt;&gt;"-","Pendente"),"Aguardando Liberação")</f>
        <v>Aguardando Liberação</v>
      </c>
      <c r="AH42" s="5" t="str">
        <f>IF('Banco de Dados'!$F42="-",_xlfn.CONCAT(PROPER(TEXT(AK42,"aaaa"))," ",PROPER(TEXT(AK42,"mm"))),_xlfn.CONCAT(PROPER(TEXT(E42,"aaaa"))," ",PROPER(TEXT(E42,"mm"))))</f>
        <v>2024 10</v>
      </c>
      <c r="AI42" s="9" t="str">
        <f ca="1">IF('Banco de Dados'!$AK42&lt;&gt;"-","REEMBOLSO",IFERROR(_xlfn.XLOOKUP(G42,Follow[CODRASTREIO],Follow[STATUS]),"-"))</f>
        <v>ENTREGUE</v>
      </c>
      <c r="AJ42" s="9">
        <f ca="1">IF('Banco de Dados'!$AI42="ENTREGUE",_xlfn.XLOOKUP('Banco de Dados'!$G42,Follow[CODRASTREIO],Follow[DATAATUALIZAÇÃO]),"-")</f>
        <v>45594</v>
      </c>
      <c r="AK42" s="9" t="str">
        <f ca="1"/>
        <v>-</v>
      </c>
      <c r="AL42" s="35" t="str">
        <v>NÃO</v>
      </c>
      <c r="AM42" s="109" cm="1">
        <f t="array" aca="1" ref="AM42" ca="1">IF('Banco de Dados'!$AK42&lt;&gt;"-",_xlfn.IFS('Banco de Dados'!$A42="bv",IF('Banco de Dados'!$E42&lt;45641,ROUND(SUM('Banco de Dados'!$R42*_xlfn.XLOOKUP('Banco de Dados'!$P42,Sku!B:B,Sku!#REF!)*20%),2),ROUND(SUM('Banco de Dados'!$R42*_xlfn.XLOOKUP('Banco de Dados'!$P42,Sku!B:B,Sku!H:H)*20%),2)),'Banco de Dados'!$A42="GO",ROUND(_xlfn.XLOOKUP('Banco de Dados'!$P42,Sku!C:C,Sku!H:H),2),'Banco de Dados'!$A42="MEI",ROUND(_xlfn.XLOOKUP('Banco de Dados'!$P42,Sku!D:D,Sku!H:H),2)),0)</f>
        <v>0</v>
      </c>
      <c r="AN42" s="109">
        <f ca="1">IF('Banco de Dados'!$AK42&lt;&gt;"-",IF('Banco de Dados'!$F42&lt;&gt;"-",_xlfn.XLOOKUP(IFERROR(IFERROR(IFERROR(VALUE(SUBSTITUTE(MID(_xlfn.TEXTAFTER('Banco de Dados'!$F42,"Data do Pedido:
",1),1,10),"-","/")),VALUE(SUBSTITUTE(MID(_xlfn.TEXTAFTER('Banco de Dados'!$F42,"Order date:
",1),1,10),"-","/"))),VALUE(SUBSTITUTE(MID(_xlfn.TEXTAFTER('Banco de Dados'!$F42,"Fecha de pedido:
",1),1,10),"-","/"))),"-"),SMS!A:A,SMS!K:K),0),0)</f>
        <v>0</v>
      </c>
      <c r="AO42" s="109">
        <f ca="1">IF('Banco de Dados'!$AK42&lt;&gt;"-",IF('Banco de Dados'!$F42&lt;&gt;"-",IFERROR(_xlfn.XLOOKUP(_xlfn.CONCAT('Banco de Dados'!$A42,IFERROR(IFERROR(VALUE(SUBSTITUTE(MID(_xlfn.TEXTAFTER('Banco de Dados'!$F42,"Data do Pedido:
",1),1,10),"-","/")),VALUE(SUBSTITUTE(MID(_xlfn.TEXTAFTER('Banco de Dados'!$F42,"Order date:
",1),1,10),"-","/"))),0)),ProxyDD[Chave],ProxyDD[Valor por pedido]),PROXY!$P$2),0),0)</f>
        <v>0</v>
      </c>
      <c r="AP42" s="28">
        <f ca="1">IF('Banco de Dados'!$AK42&lt;&gt;"-",IF('Banco de Dados'!$AL42="NÃO",IFERROR(VALUE(SUBSTITUTE(_xlfn.TEXTAFTER('Banco de Dados'!$F42,"BRL ",1),".",",")),0),0),0)</f>
        <v>0</v>
      </c>
      <c r="AQ42" s="28">
        <f ca="1">SUM('Banco de Dados'!$AM42:$AP42)</f>
        <v>0</v>
      </c>
      <c r="AR42" s="8"/>
      <c r="AS42" s="8"/>
      <c r="AY42" s="8"/>
    </row>
    <row r="43" spans="1:51">
      <c r="A43" s="5" t="str">
        <v>BV</v>
      </c>
      <c r="B43" s="5" t="str">
        <f ca="1"/>
        <v>BV45588</v>
      </c>
      <c r="C43" s="8" t="str">
        <v>Pedido 42</v>
      </c>
      <c r="D43" s="9">
        <v>45588</v>
      </c>
      <c r="E43" s="9">
        <v>45588</v>
      </c>
      <c r="F43" s="9" t="str">
        <v>PedidoF33</v>
      </c>
      <c r="G43" s="2" t="str">
        <v>CódRastreio33</v>
      </c>
      <c r="H43" s="5">
        <v>1</v>
      </c>
      <c r="I43" s="2" t="str">
        <v>CPF 40</v>
      </c>
      <c r="J43" s="9" t="str">
        <v>Nome 40</v>
      </c>
      <c r="K43" s="8" t="str">
        <v>Tel 40</v>
      </c>
      <c r="L43" s="8" t="str">
        <v>Cep 40</v>
      </c>
      <c r="M43" s="8" t="str">
        <v>Rua 40</v>
      </c>
      <c r="N43" s="8" t="str">
        <v>Comp 40</v>
      </c>
      <c r="O43" s="8" t="str">
        <v>Suporte de Celular Branco</v>
      </c>
      <c r="P43" s="8" t="str">
        <v>16-4EDB-WMZF</v>
      </c>
      <c r="Q43" s="4">
        <v>45615</v>
      </c>
      <c r="R43" s="109">
        <v>15.99</v>
      </c>
      <c r="S43" s="11">
        <f ca="1"/>
        <v>15.99</v>
      </c>
      <c r="T43" s="28">
        <f ca="1"/>
        <v>2.3984999999999999</v>
      </c>
      <c r="U43" s="11">
        <f ca="1"/>
        <v>13.59</v>
      </c>
      <c r="V43" s="11">
        <v>4.99</v>
      </c>
      <c r="W43" s="11">
        <f ca="1"/>
        <v>0.57999999999999996</v>
      </c>
      <c r="X43" s="11">
        <f ca="1"/>
        <v>0.39877104377104378</v>
      </c>
      <c r="Y43" s="11">
        <v>0</v>
      </c>
      <c r="Z43" s="11">
        <f ca="1"/>
        <v>7.6212289562289559</v>
      </c>
      <c r="AA43" s="11">
        <f ca="1"/>
        <v>3.810614478114478</v>
      </c>
      <c r="AB43" s="4">
        <f ca="1"/>
        <v>45622</v>
      </c>
      <c r="AC43" s="4">
        <v>45622</v>
      </c>
      <c r="AD43" s="9">
        <v>45625</v>
      </c>
      <c r="AE43" s="9">
        <v>45625</v>
      </c>
      <c r="AF43" s="4" t="str">
        <f t="shared" ca="1" si="0"/>
        <v>2024 11</v>
      </c>
      <c r="AG43" s="8" t="str" cm="1">
        <f t="array" ref="AG43">IFERROR(_xlfn.IFS('Banco de Dados'!#REF!="AG. COMPRA","Em processamento",'Banco de Dados'!#REF!="AG. RASTREIO","Em processamento",'Banco de Dados'!$AE43&lt;&gt;"-","Faturado",'Banco de Dados'!$AD43&lt;&gt;"-","Aguardando Pix",'Banco de Dados'!$AC43&lt;&gt;"-","Pendente"),"Aguardando Liberação")</f>
        <v>Aguardando Liberação</v>
      </c>
      <c r="AH43" s="5" t="str">
        <f>IF('Banco de Dados'!$F43="-",_xlfn.CONCAT(PROPER(TEXT(AK43,"aaaa"))," ",PROPER(TEXT(AK43,"mm"))),_xlfn.CONCAT(PROPER(TEXT(E43,"aaaa"))," ",PROPER(TEXT(E43,"mm"))))</f>
        <v>2024 10</v>
      </c>
      <c r="AI43" s="9" t="str">
        <f ca="1">IF('Banco de Dados'!$AK43&lt;&gt;"-","REEMBOLSO",IFERROR(_xlfn.XLOOKUP(G43,Follow[CODRASTREIO],Follow[STATUS]),"-"))</f>
        <v>ENTREGUE</v>
      </c>
      <c r="AJ43" s="9">
        <f ca="1">IF('Banco de Dados'!$AI43="ENTREGUE",_xlfn.XLOOKUP('Banco de Dados'!$G43,Follow[CODRASTREIO],Follow[DATAATUALIZAÇÃO]),"-")</f>
        <v>45594</v>
      </c>
      <c r="AK43" s="9" t="str">
        <f ca="1"/>
        <v>-</v>
      </c>
      <c r="AL43" s="35" t="str">
        <v>NÃO</v>
      </c>
      <c r="AM43" s="109" cm="1">
        <f t="array" aca="1" ref="AM43" ca="1">IF('Banco de Dados'!$AK43&lt;&gt;"-",_xlfn.IFS('Banco de Dados'!$A43="bv",IF('Banco de Dados'!$E43&lt;45641,ROUND(SUM('Banco de Dados'!$R43*_xlfn.XLOOKUP('Banco de Dados'!$P43,Sku!B:B,Sku!#REF!)*20%),2),ROUND(SUM('Banco de Dados'!$R43*_xlfn.XLOOKUP('Banco de Dados'!$P43,Sku!B:B,Sku!H:H)*20%),2)),'Banco de Dados'!$A43="GO",ROUND(_xlfn.XLOOKUP('Banco de Dados'!$P43,Sku!C:C,Sku!H:H),2),'Banco de Dados'!$A43="MEI",ROUND(_xlfn.XLOOKUP('Banco de Dados'!$P43,Sku!D:D,Sku!H:H),2)),0)</f>
        <v>0</v>
      </c>
      <c r="AN43" s="109">
        <f ca="1">IF('Banco de Dados'!$AK43&lt;&gt;"-",IF('Banco de Dados'!$F43&lt;&gt;"-",_xlfn.XLOOKUP(IFERROR(IFERROR(IFERROR(VALUE(SUBSTITUTE(MID(_xlfn.TEXTAFTER('Banco de Dados'!$F43,"Data do Pedido:
",1),1,10),"-","/")),VALUE(SUBSTITUTE(MID(_xlfn.TEXTAFTER('Banco de Dados'!$F43,"Order date:
",1),1,10),"-","/"))),VALUE(SUBSTITUTE(MID(_xlfn.TEXTAFTER('Banco de Dados'!$F43,"Fecha de pedido:
",1),1,10),"-","/"))),"-"),SMS!A:A,SMS!K:K),0),0)</f>
        <v>0</v>
      </c>
      <c r="AO43" s="109">
        <f ca="1">IF('Banco de Dados'!$AK43&lt;&gt;"-",IF('Banco de Dados'!$F43&lt;&gt;"-",IFERROR(_xlfn.XLOOKUP(_xlfn.CONCAT('Banco de Dados'!$A43,IFERROR(IFERROR(VALUE(SUBSTITUTE(MID(_xlfn.TEXTAFTER('Banco de Dados'!$F43,"Data do Pedido:
",1),1,10),"-","/")),VALUE(SUBSTITUTE(MID(_xlfn.TEXTAFTER('Banco de Dados'!$F43,"Order date:
",1),1,10),"-","/"))),0)),ProxyDD[Chave],ProxyDD[Valor por pedido]),PROXY!$P$2),0),0)</f>
        <v>0</v>
      </c>
      <c r="AP43" s="28">
        <f ca="1">IF('Banco de Dados'!$AK43&lt;&gt;"-",IF('Banco de Dados'!$AL43="NÃO",IFERROR(VALUE(SUBSTITUTE(_xlfn.TEXTAFTER('Banco de Dados'!$F43,"BRL ",1),".",",")),0),0),0)</f>
        <v>0</v>
      </c>
      <c r="AQ43" s="28">
        <f ca="1">SUM('Banco de Dados'!$AM43:$AP43)</f>
        <v>0</v>
      </c>
      <c r="AR43" s="8"/>
      <c r="AS43" s="8"/>
      <c r="AY43" s="8"/>
    </row>
    <row r="44" spans="1:51">
      <c r="A44" s="5" t="str">
        <v>BV</v>
      </c>
      <c r="B44" s="5" t="str">
        <f ca="1"/>
        <v>BV45589</v>
      </c>
      <c r="C44" s="8" t="str">
        <v>Pedido 43</v>
      </c>
      <c r="D44" s="9">
        <v>45589</v>
      </c>
      <c r="E44" s="9">
        <v>45589</v>
      </c>
      <c r="F44" s="9" t="str">
        <v>PedidoF34</v>
      </c>
      <c r="G44" s="2" t="str">
        <v>CódRastreio34</v>
      </c>
      <c r="H44" s="5">
        <v>1</v>
      </c>
      <c r="I44" s="2" t="str">
        <v>CPF 41</v>
      </c>
      <c r="J44" s="8" t="str">
        <v>Nome 41</v>
      </c>
      <c r="K44" s="8" t="str">
        <v>Tel 41</v>
      </c>
      <c r="L44" s="8" t="str">
        <v>Cep 41</v>
      </c>
      <c r="M44" s="8" t="str">
        <v>Rua 41</v>
      </c>
      <c r="N44" s="8" t="str">
        <v>Comp 41</v>
      </c>
      <c r="O44" s="8" t="str">
        <v>Balança</v>
      </c>
      <c r="P44" s="8" t="str">
        <v>P4-K63S-8KOM</v>
      </c>
      <c r="Q44" s="4">
        <v>45602</v>
      </c>
      <c r="R44" s="109">
        <v>17.989999999999998</v>
      </c>
      <c r="S44" s="11">
        <f ca="1"/>
        <v>17.989999999999998</v>
      </c>
      <c r="T44" s="28">
        <f ca="1"/>
        <v>2.3386999999999998</v>
      </c>
      <c r="U44" s="11">
        <f ca="1"/>
        <v>15.65</v>
      </c>
      <c r="V44" s="11">
        <v>8.74</v>
      </c>
      <c r="W44" s="11">
        <f ca="1"/>
        <v>0.52</v>
      </c>
      <c r="X44" s="11">
        <f ca="1"/>
        <v>0.39877104377104378</v>
      </c>
      <c r="Y44" s="11">
        <v>0</v>
      </c>
      <c r="Z44" s="11">
        <f ca="1"/>
        <v>5.9912289562289569</v>
      </c>
      <c r="AA44" s="11">
        <f ca="1"/>
        <v>2.9956144781144785</v>
      </c>
      <c r="AB44" s="4">
        <f ca="1"/>
        <v>45609</v>
      </c>
      <c r="AC44" s="4">
        <v>45609</v>
      </c>
      <c r="AD44" s="9">
        <v>45609</v>
      </c>
      <c r="AE44" s="9">
        <v>45618</v>
      </c>
      <c r="AF44" s="4" t="str">
        <f t="shared" ca="1" si="0"/>
        <v>2024 11</v>
      </c>
      <c r="AG44" s="8" t="str" cm="1">
        <f t="array" ref="AG44">IFERROR(_xlfn.IFS('Banco de Dados'!#REF!="AG. COMPRA","Em processamento",'Banco de Dados'!#REF!="AG. RASTREIO","Em processamento",'Banco de Dados'!$AE44&lt;&gt;"-","Faturado",'Banco de Dados'!$AD44&lt;&gt;"-","Aguardando Pix",'Banco de Dados'!$AC44&lt;&gt;"-","Pendente"),"Aguardando Liberação")</f>
        <v>Aguardando Liberação</v>
      </c>
      <c r="AH44" s="5" t="str">
        <f>IF('Banco de Dados'!$F44="-",_xlfn.CONCAT(PROPER(TEXT(AK44,"aaaa"))," ",PROPER(TEXT(AK44,"mm"))),_xlfn.CONCAT(PROPER(TEXT(E44,"aaaa"))," ",PROPER(TEXT(E44,"mm"))))</f>
        <v>2024 10</v>
      </c>
      <c r="AI44" s="9" t="str">
        <f ca="1">IF('Banco de Dados'!$AK44&lt;&gt;"-","REEMBOLSO",IFERROR(_xlfn.XLOOKUP(G44,Follow[CODRASTREIO],Follow[STATUS]),"-"))</f>
        <v>ENTREGUE</v>
      </c>
      <c r="AJ44" s="9">
        <f ca="1">IF('Banco de Dados'!$AI44="ENTREGUE",_xlfn.XLOOKUP('Banco de Dados'!$G44,Follow[CODRASTREIO],Follow[DATAATUALIZAÇÃO]),"-")</f>
        <v>45594</v>
      </c>
      <c r="AK44" s="9" t="str">
        <f ca="1"/>
        <v>-</v>
      </c>
      <c r="AL44" s="35" t="str">
        <v>NÃO</v>
      </c>
      <c r="AM44" s="109" cm="1">
        <f t="array" aca="1" ref="AM44" ca="1">IF('Banco de Dados'!$AK44&lt;&gt;"-",_xlfn.IFS('Banco de Dados'!$A44="bv",IF('Banco de Dados'!$E44&lt;45641,ROUND(SUM('Banco de Dados'!$R44*_xlfn.XLOOKUP('Banco de Dados'!$P44,Sku!B:B,Sku!#REF!)*20%),2),ROUND(SUM('Banco de Dados'!$R44*_xlfn.XLOOKUP('Banco de Dados'!$P44,Sku!B:B,Sku!H:H)*20%),2)),'Banco de Dados'!$A44="GO",ROUND(_xlfn.XLOOKUP('Banco de Dados'!$P44,Sku!C:C,Sku!H:H),2),'Banco de Dados'!$A44="MEI",ROUND(_xlfn.XLOOKUP('Banco de Dados'!$P44,Sku!D:D,Sku!H:H),2)),0)</f>
        <v>0</v>
      </c>
      <c r="AN44" s="109">
        <f ca="1">IF('Banco de Dados'!$AK44&lt;&gt;"-",IF('Banco de Dados'!$F44&lt;&gt;"-",_xlfn.XLOOKUP(IFERROR(IFERROR(IFERROR(VALUE(SUBSTITUTE(MID(_xlfn.TEXTAFTER('Banco de Dados'!$F44,"Data do Pedido:
",1),1,10),"-","/")),VALUE(SUBSTITUTE(MID(_xlfn.TEXTAFTER('Banco de Dados'!$F44,"Order date:
",1),1,10),"-","/"))),VALUE(SUBSTITUTE(MID(_xlfn.TEXTAFTER('Banco de Dados'!$F44,"Fecha de pedido:
",1),1,10),"-","/"))),"-"),SMS!A:A,SMS!K:K),0),0)</f>
        <v>0</v>
      </c>
      <c r="AO44" s="109">
        <f ca="1">IF('Banco de Dados'!$AK44&lt;&gt;"-",IF('Banco de Dados'!$F44&lt;&gt;"-",IFERROR(_xlfn.XLOOKUP(_xlfn.CONCAT('Banco de Dados'!$A44,IFERROR(IFERROR(VALUE(SUBSTITUTE(MID(_xlfn.TEXTAFTER('Banco de Dados'!$F44,"Data do Pedido:
",1),1,10),"-","/")),VALUE(SUBSTITUTE(MID(_xlfn.TEXTAFTER('Banco de Dados'!$F44,"Order date:
",1),1,10),"-","/"))),0)),ProxyDD[Chave],ProxyDD[Valor por pedido]),PROXY!$P$2),0),0)</f>
        <v>0</v>
      </c>
      <c r="AP44" s="28">
        <f ca="1">IF('Banco de Dados'!$AK44&lt;&gt;"-",IF('Banco de Dados'!$AL44="NÃO",IFERROR(VALUE(SUBSTITUTE(_xlfn.TEXTAFTER('Banco de Dados'!$F44,"BRL ",1),".",",")),0),0),0)</f>
        <v>0</v>
      </c>
      <c r="AQ44" s="28">
        <f ca="1">SUM('Banco de Dados'!$AM44:$AP44)</f>
        <v>0</v>
      </c>
      <c r="AR44" s="8"/>
      <c r="AS44" s="8"/>
      <c r="AY44" s="8"/>
    </row>
    <row r="45" spans="1:51">
      <c r="A45" s="5" t="str">
        <v>BV</v>
      </c>
      <c r="B45" s="5" t="str">
        <f ca="1"/>
        <v>BV45588</v>
      </c>
      <c r="C45" s="8" t="str">
        <v>Pedido 44</v>
      </c>
      <c r="D45" s="9">
        <v>45588</v>
      </c>
      <c r="E45" s="9">
        <v>45588</v>
      </c>
      <c r="F45" s="9" t="str">
        <v>PedidoF35</v>
      </c>
      <c r="G45" s="2" t="str">
        <v>CódRastreio35</v>
      </c>
      <c r="H45" s="5">
        <v>1</v>
      </c>
      <c r="I45" s="2" t="str">
        <v>CPF 42</v>
      </c>
      <c r="J45" s="9" t="str">
        <v>Nome 42</v>
      </c>
      <c r="K45" s="8" t="str">
        <v>Tel 42</v>
      </c>
      <c r="L45" s="8" t="str">
        <v>Cep 42</v>
      </c>
      <c r="M45" s="8" t="str">
        <v>Rua 42</v>
      </c>
      <c r="N45" s="8" t="str">
        <v>Comp 42</v>
      </c>
      <c r="O45" s="8" t="str">
        <v>Suporte de Celular Preto</v>
      </c>
      <c r="P45" s="8" t="str">
        <v>9G-BN48-QAPH</v>
      </c>
      <c r="Q45" s="4">
        <v>45608</v>
      </c>
      <c r="R45" s="109">
        <v>15.99</v>
      </c>
      <c r="S45" s="11">
        <f ca="1"/>
        <v>15.99</v>
      </c>
      <c r="T45" s="28">
        <f ca="1"/>
        <v>2.3984999999999999</v>
      </c>
      <c r="U45" s="11">
        <f ca="1"/>
        <v>13.59</v>
      </c>
      <c r="V45" s="11">
        <v>4.99</v>
      </c>
      <c r="W45" s="11">
        <f ca="1"/>
        <v>0.57999999999999996</v>
      </c>
      <c r="X45" s="11">
        <f ca="1"/>
        <v>0.39877104377104378</v>
      </c>
      <c r="Y45" s="11">
        <v>0</v>
      </c>
      <c r="Z45" s="11">
        <f ca="1"/>
        <v>7.6212289562289559</v>
      </c>
      <c r="AA45" s="11">
        <f ca="1"/>
        <v>3.810614478114478</v>
      </c>
      <c r="AB45" s="4">
        <f ca="1"/>
        <v>45615</v>
      </c>
      <c r="AC45" s="4">
        <v>45615</v>
      </c>
      <c r="AD45" s="9">
        <v>45617</v>
      </c>
      <c r="AE45" s="9">
        <v>45618</v>
      </c>
      <c r="AF45" s="4" t="str">
        <f t="shared" ca="1" si="0"/>
        <v>2024 11</v>
      </c>
      <c r="AG45" s="8" t="str" cm="1">
        <f t="array" ref="AG45">IFERROR(_xlfn.IFS('Banco de Dados'!#REF!="AG. COMPRA","Em processamento",'Banco de Dados'!#REF!="AG. RASTREIO","Em processamento",'Banco de Dados'!$AE45&lt;&gt;"-","Faturado",'Banco de Dados'!$AD45&lt;&gt;"-","Aguardando Pix",'Banco de Dados'!$AC45&lt;&gt;"-","Pendente"),"Aguardando Liberação")</f>
        <v>Aguardando Liberação</v>
      </c>
      <c r="AH45" s="5" t="str">
        <f>IF('Banco de Dados'!$F45="-",_xlfn.CONCAT(PROPER(TEXT(AK45,"aaaa"))," ",PROPER(TEXT(AK45,"mm"))),_xlfn.CONCAT(PROPER(TEXT(E45,"aaaa"))," ",PROPER(TEXT(E45,"mm"))))</f>
        <v>2024 10</v>
      </c>
      <c r="AI45" s="9" t="str">
        <f ca="1">IF('Banco de Dados'!$AK45&lt;&gt;"-","REEMBOLSO",IFERROR(_xlfn.XLOOKUP(G45,Follow[CODRASTREIO],Follow[STATUS]),"-"))</f>
        <v>ENTREGUE</v>
      </c>
      <c r="AJ45" s="9">
        <f ca="1">IF('Banco de Dados'!$AI45="ENTREGUE",_xlfn.XLOOKUP('Banco de Dados'!$G45,Follow[CODRASTREIO],Follow[DATAATUALIZAÇÃO]),"-")</f>
        <v>45593</v>
      </c>
      <c r="AK45" s="9" t="str">
        <f ca="1"/>
        <v>-</v>
      </c>
      <c r="AL45" s="35" t="str">
        <v>NÃO</v>
      </c>
      <c r="AM45" s="109" cm="1">
        <f t="array" aca="1" ref="AM45" ca="1">IF('Banco de Dados'!$AK45&lt;&gt;"-",_xlfn.IFS('Banco de Dados'!$A45="bv",IF('Banco de Dados'!$E45&lt;45641,ROUND(SUM('Banco de Dados'!$R45*_xlfn.XLOOKUP('Banco de Dados'!$P45,Sku!B:B,Sku!#REF!)*20%),2),ROUND(SUM('Banco de Dados'!$R45*_xlfn.XLOOKUP('Banco de Dados'!$P45,Sku!B:B,Sku!H:H)*20%),2)),'Banco de Dados'!$A45="GO",ROUND(_xlfn.XLOOKUP('Banco de Dados'!$P45,Sku!C:C,Sku!H:H),2),'Banco de Dados'!$A45="MEI",ROUND(_xlfn.XLOOKUP('Banco de Dados'!$P45,Sku!D:D,Sku!H:H),2)),0)</f>
        <v>0</v>
      </c>
      <c r="AN45" s="109">
        <f ca="1">IF('Banco de Dados'!$AK45&lt;&gt;"-",IF('Banco de Dados'!$F45&lt;&gt;"-",_xlfn.XLOOKUP(IFERROR(IFERROR(IFERROR(VALUE(SUBSTITUTE(MID(_xlfn.TEXTAFTER('Banco de Dados'!$F45,"Data do Pedido:
",1),1,10),"-","/")),VALUE(SUBSTITUTE(MID(_xlfn.TEXTAFTER('Banco de Dados'!$F45,"Order date:
",1),1,10),"-","/"))),VALUE(SUBSTITUTE(MID(_xlfn.TEXTAFTER('Banco de Dados'!$F45,"Fecha de pedido:
",1),1,10),"-","/"))),"-"),SMS!A:A,SMS!K:K),0),0)</f>
        <v>0</v>
      </c>
      <c r="AO45" s="109">
        <f ca="1">IF('Banco de Dados'!$AK45&lt;&gt;"-",IF('Banco de Dados'!$F45&lt;&gt;"-",IFERROR(_xlfn.XLOOKUP(_xlfn.CONCAT('Banco de Dados'!$A45,IFERROR(IFERROR(VALUE(SUBSTITUTE(MID(_xlfn.TEXTAFTER('Banco de Dados'!$F45,"Data do Pedido:
",1),1,10),"-","/")),VALUE(SUBSTITUTE(MID(_xlfn.TEXTAFTER('Banco de Dados'!$F45,"Order date:
",1),1,10),"-","/"))),0)),ProxyDD[Chave],ProxyDD[Valor por pedido]),PROXY!$P$2),0),0)</f>
        <v>0</v>
      </c>
      <c r="AP45" s="28">
        <f ca="1">IF('Banco de Dados'!$AK45&lt;&gt;"-",IF('Banco de Dados'!$AL45="NÃO",IFERROR(VALUE(SUBSTITUTE(_xlfn.TEXTAFTER('Banco de Dados'!$F45,"BRL ",1),".",",")),0),0),0)</f>
        <v>0</v>
      </c>
      <c r="AQ45" s="28">
        <f ca="1">SUM('Banco de Dados'!$AM45:$AP45)</f>
        <v>0</v>
      </c>
      <c r="AR45" s="8"/>
      <c r="AS45" s="8"/>
      <c r="AY45" s="8"/>
    </row>
    <row r="46" spans="1:51">
      <c r="A46" s="5" t="str">
        <v>BV</v>
      </c>
      <c r="B46" s="5" t="str">
        <f ca="1"/>
        <v>BV45588</v>
      </c>
      <c r="C46" s="8" t="str">
        <v>Pedido 45</v>
      </c>
      <c r="D46" s="9">
        <v>45588</v>
      </c>
      <c r="E46" s="9">
        <v>45588</v>
      </c>
      <c r="F46" s="9" t="str">
        <v>PedidoF36</v>
      </c>
      <c r="G46" s="2" t="str">
        <v>CódRastreio36</v>
      </c>
      <c r="H46" s="5">
        <v>1</v>
      </c>
      <c r="I46" s="2" t="str">
        <v>CPF 43</v>
      </c>
      <c r="J46" s="9" t="str">
        <v>Nome 43</v>
      </c>
      <c r="K46" s="8" t="str">
        <v>Tel 43</v>
      </c>
      <c r="L46" s="8" t="str">
        <v>Cep 43</v>
      </c>
      <c r="M46" s="8" t="str">
        <v>Rua 43</v>
      </c>
      <c r="N46" s="8" t="str">
        <v>Comp 43</v>
      </c>
      <c r="O46" s="8" t="str">
        <v>Suporte de Celular Branco</v>
      </c>
      <c r="P46" s="8" t="str">
        <v>16-4EDB-WMZF</v>
      </c>
      <c r="Q46" s="4">
        <v>45608</v>
      </c>
      <c r="R46" s="109">
        <v>15.99</v>
      </c>
      <c r="S46" s="11">
        <f ca="1"/>
        <v>15.99</v>
      </c>
      <c r="T46" s="28">
        <f ca="1"/>
        <v>2.3984999999999999</v>
      </c>
      <c r="U46" s="11">
        <f ca="1"/>
        <v>13.59</v>
      </c>
      <c r="V46" s="11">
        <v>4.99</v>
      </c>
      <c r="W46" s="11">
        <f ca="1"/>
        <v>0.57999999999999996</v>
      </c>
      <c r="X46" s="11">
        <f ca="1"/>
        <v>0.39877104377104378</v>
      </c>
      <c r="Y46" s="11">
        <v>0</v>
      </c>
      <c r="Z46" s="11">
        <f ca="1"/>
        <v>7.6212289562289559</v>
      </c>
      <c r="AA46" s="11">
        <f ca="1"/>
        <v>3.810614478114478</v>
      </c>
      <c r="AB46" s="4">
        <f ca="1"/>
        <v>45615</v>
      </c>
      <c r="AC46" s="4">
        <v>45615</v>
      </c>
      <c r="AD46" s="9">
        <v>45617</v>
      </c>
      <c r="AE46" s="9">
        <v>45618</v>
      </c>
      <c r="AF46" s="4" t="str">
        <f t="shared" ca="1" si="0"/>
        <v>2024 11</v>
      </c>
      <c r="AG46" s="8" t="str" cm="1">
        <f t="array" ref="AG46">IFERROR(_xlfn.IFS('Banco de Dados'!#REF!="AG. COMPRA","Em processamento",'Banco de Dados'!#REF!="AG. RASTREIO","Em processamento",'Banco de Dados'!$AE46&lt;&gt;"-","Faturado",'Banco de Dados'!$AD46&lt;&gt;"-","Aguardando Pix",'Banco de Dados'!$AC46&lt;&gt;"-","Pendente"),"Aguardando Liberação")</f>
        <v>Aguardando Liberação</v>
      </c>
      <c r="AH46" s="5" t="str">
        <f>IF('Banco de Dados'!$F46="-",_xlfn.CONCAT(PROPER(TEXT(AK46,"aaaa"))," ",PROPER(TEXT(AK46,"mm"))),_xlfn.CONCAT(PROPER(TEXT(E46,"aaaa"))," ",PROPER(TEXT(E46,"mm"))))</f>
        <v>2024 10</v>
      </c>
      <c r="AI46" s="9" t="str">
        <f ca="1">IF('Banco de Dados'!$AK46&lt;&gt;"-","REEMBOLSO",IFERROR(_xlfn.XLOOKUP(G46,Follow[CODRASTREIO],Follow[STATUS]),"-"))</f>
        <v>ENTREGUE</v>
      </c>
      <c r="AJ46" s="9">
        <f ca="1">IF('Banco de Dados'!$AI46="ENTREGUE",_xlfn.XLOOKUP('Banco de Dados'!$G46,Follow[CODRASTREIO],Follow[DATAATUALIZAÇÃO]),"-")</f>
        <v>45593</v>
      </c>
      <c r="AK46" s="9" t="str">
        <f ca="1"/>
        <v>-</v>
      </c>
      <c r="AL46" s="35" t="str">
        <v>NÃO</v>
      </c>
      <c r="AM46" s="109" cm="1">
        <f t="array" aca="1" ref="AM46" ca="1">IF('Banco de Dados'!$AK46&lt;&gt;"-",_xlfn.IFS('Banco de Dados'!$A46="bv",IF('Banco de Dados'!$E46&lt;45641,ROUND(SUM('Banco de Dados'!$R46*_xlfn.XLOOKUP('Banco de Dados'!$P46,Sku!B:B,Sku!#REF!)*20%),2),ROUND(SUM('Banco de Dados'!$R46*_xlfn.XLOOKUP('Banco de Dados'!$P46,Sku!B:B,Sku!H:H)*20%),2)),'Banco de Dados'!$A46="GO",ROUND(_xlfn.XLOOKUP('Banco de Dados'!$P46,Sku!C:C,Sku!H:H),2),'Banco de Dados'!$A46="MEI",ROUND(_xlfn.XLOOKUP('Banco de Dados'!$P46,Sku!D:D,Sku!H:H),2)),0)</f>
        <v>0</v>
      </c>
      <c r="AN46" s="109">
        <f ca="1">IF('Banco de Dados'!$AK46&lt;&gt;"-",IF('Banco de Dados'!$F46&lt;&gt;"-",_xlfn.XLOOKUP(IFERROR(IFERROR(IFERROR(VALUE(SUBSTITUTE(MID(_xlfn.TEXTAFTER('Banco de Dados'!$F46,"Data do Pedido:
",1),1,10),"-","/")),VALUE(SUBSTITUTE(MID(_xlfn.TEXTAFTER('Banco de Dados'!$F46,"Order date:
",1),1,10),"-","/"))),VALUE(SUBSTITUTE(MID(_xlfn.TEXTAFTER('Banco de Dados'!$F46,"Fecha de pedido:
",1),1,10),"-","/"))),"-"),SMS!A:A,SMS!K:K),0),0)</f>
        <v>0</v>
      </c>
      <c r="AO46" s="109">
        <f ca="1">IF('Banco de Dados'!$AK46&lt;&gt;"-",IF('Banco de Dados'!$F46&lt;&gt;"-",IFERROR(_xlfn.XLOOKUP(_xlfn.CONCAT('Banco de Dados'!$A46,IFERROR(IFERROR(VALUE(SUBSTITUTE(MID(_xlfn.TEXTAFTER('Banco de Dados'!$F46,"Data do Pedido:
",1),1,10),"-","/")),VALUE(SUBSTITUTE(MID(_xlfn.TEXTAFTER('Banco de Dados'!$F46,"Order date:
",1),1,10),"-","/"))),0)),ProxyDD[Chave],ProxyDD[Valor por pedido]),PROXY!$P$2),0),0)</f>
        <v>0</v>
      </c>
      <c r="AP46" s="28">
        <f ca="1">IF('Banco de Dados'!$AK46&lt;&gt;"-",IF('Banco de Dados'!$AL46="NÃO",IFERROR(VALUE(SUBSTITUTE(_xlfn.TEXTAFTER('Banco de Dados'!$F46,"BRL ",1),".",",")),0),0),0)</f>
        <v>0</v>
      </c>
      <c r="AQ46" s="28">
        <f ca="1">SUM('Banco de Dados'!$AM46:$AP46)</f>
        <v>0</v>
      </c>
      <c r="AR46" s="8"/>
      <c r="AS46" s="8"/>
      <c r="AY46" s="8"/>
    </row>
    <row r="47" spans="1:51">
      <c r="A47" s="5" t="str">
        <v>BV</v>
      </c>
      <c r="B47" s="5" t="str">
        <f ca="1"/>
        <v>BV45588</v>
      </c>
      <c r="C47" s="8" t="str">
        <v>Pedido 46</v>
      </c>
      <c r="D47" s="9">
        <v>45588</v>
      </c>
      <c r="E47" s="9">
        <v>45588</v>
      </c>
      <c r="F47" s="9" t="str">
        <v>PedidoF37</v>
      </c>
      <c r="G47" s="2" t="str">
        <v>CódRastreio37</v>
      </c>
      <c r="H47" s="5">
        <v>1</v>
      </c>
      <c r="I47" s="2" t="str">
        <v>CPF 44</v>
      </c>
      <c r="J47" s="9" t="str">
        <v>Nome 44</v>
      </c>
      <c r="K47" s="8" t="str">
        <v>Tel 44</v>
      </c>
      <c r="L47" s="8" t="str">
        <v>Cep 44</v>
      </c>
      <c r="M47" s="8" t="str">
        <v>Rua 44</v>
      </c>
      <c r="N47" s="8" t="str">
        <v>Comp 44</v>
      </c>
      <c r="O47" s="8" t="str">
        <v>Balança</v>
      </c>
      <c r="P47" s="8" t="str">
        <v>P4-K63S-8KOM</v>
      </c>
      <c r="Q47" s="4">
        <v>45608</v>
      </c>
      <c r="R47" s="109">
        <v>17.989999999999998</v>
      </c>
      <c r="S47" s="11">
        <f ca="1"/>
        <v>17.989999999999998</v>
      </c>
      <c r="T47" s="28">
        <f ca="1"/>
        <v>2.3386999999999998</v>
      </c>
      <c r="U47" s="11">
        <f ca="1"/>
        <v>15.65</v>
      </c>
      <c r="V47" s="11">
        <v>8.74</v>
      </c>
      <c r="W47" s="11">
        <f ca="1"/>
        <v>0.57999999999999996</v>
      </c>
      <c r="X47" s="11">
        <f ca="1"/>
        <v>0.39877104377104378</v>
      </c>
      <c r="Y47" s="11">
        <v>0</v>
      </c>
      <c r="Z47" s="11">
        <f ca="1"/>
        <v>5.9312289562289564</v>
      </c>
      <c r="AA47" s="11">
        <f ca="1"/>
        <v>2.9656144781144782</v>
      </c>
      <c r="AB47" s="4">
        <f ca="1"/>
        <v>45615</v>
      </c>
      <c r="AC47" s="4">
        <v>45615</v>
      </c>
      <c r="AD47" s="9">
        <v>45617</v>
      </c>
      <c r="AE47" s="9">
        <v>45618</v>
      </c>
      <c r="AF47" s="4" t="str">
        <f t="shared" ca="1" si="0"/>
        <v>2024 11</v>
      </c>
      <c r="AG47" s="8" t="str" cm="1">
        <f t="array" ref="AG47">IFERROR(_xlfn.IFS('Banco de Dados'!#REF!="AG. COMPRA","Em processamento",'Banco de Dados'!#REF!="AG. RASTREIO","Em processamento",'Banco de Dados'!$AE47&lt;&gt;"-","Faturado",'Banco de Dados'!$AD47&lt;&gt;"-","Aguardando Pix",'Banco de Dados'!$AC47&lt;&gt;"-","Pendente"),"Aguardando Liberação")</f>
        <v>Aguardando Liberação</v>
      </c>
      <c r="AH47" s="5" t="str">
        <f>IF('Banco de Dados'!$F47="-",_xlfn.CONCAT(PROPER(TEXT(AK47,"aaaa"))," ",PROPER(TEXT(AK47,"mm"))),_xlfn.CONCAT(PROPER(TEXT(E47,"aaaa"))," ",PROPER(TEXT(E47,"mm"))))</f>
        <v>2024 10</v>
      </c>
      <c r="AI47" s="9" t="str">
        <f ca="1">IF('Banco de Dados'!$AK47&lt;&gt;"-","REEMBOLSO",IFERROR(_xlfn.XLOOKUP(G47,Follow[CODRASTREIO],Follow[STATUS]),"-"))</f>
        <v>ENTREGUE</v>
      </c>
      <c r="AJ47" s="9">
        <f ca="1">IF('Banco de Dados'!$AI47="ENTREGUE",_xlfn.XLOOKUP('Banco de Dados'!$G47,Follow[CODRASTREIO],Follow[DATAATUALIZAÇÃO]),"-")</f>
        <v>45593</v>
      </c>
      <c r="AK47" s="9" t="str">
        <f ca="1"/>
        <v>-</v>
      </c>
      <c r="AL47" s="35" t="str">
        <v>SIM</v>
      </c>
      <c r="AM47" s="109" cm="1">
        <f t="array" aca="1" ref="AM47" ca="1">IF('Banco de Dados'!$AK47&lt;&gt;"-",_xlfn.IFS('Banco de Dados'!$A47="bv",IF('Banco de Dados'!$E47&lt;45641,ROUND(SUM('Banco de Dados'!$R47*_xlfn.XLOOKUP('Banco de Dados'!$P47,Sku!B:B,Sku!#REF!)*20%),2),ROUND(SUM('Banco de Dados'!$R47*_xlfn.XLOOKUP('Banco de Dados'!$P47,Sku!B:B,Sku!H:H)*20%),2)),'Banco de Dados'!$A47="GO",ROUND(_xlfn.XLOOKUP('Banco de Dados'!$P47,Sku!C:C,Sku!H:H),2),'Banco de Dados'!$A47="MEI",ROUND(_xlfn.XLOOKUP('Banco de Dados'!$P47,Sku!D:D,Sku!H:H),2)),0)</f>
        <v>0</v>
      </c>
      <c r="AN47" s="109">
        <f ca="1">IF('Banco de Dados'!$AK47&lt;&gt;"-",IF('Banco de Dados'!$F47&lt;&gt;"-",_xlfn.XLOOKUP(IFERROR(IFERROR(IFERROR(VALUE(SUBSTITUTE(MID(_xlfn.TEXTAFTER('Banco de Dados'!$F47,"Data do Pedido:
",1),1,10),"-","/")),VALUE(SUBSTITUTE(MID(_xlfn.TEXTAFTER('Banco de Dados'!$F47,"Order date:
",1),1,10),"-","/"))),VALUE(SUBSTITUTE(MID(_xlfn.TEXTAFTER('Banco de Dados'!$F47,"Fecha de pedido:
",1),1,10),"-","/"))),"-"),SMS!A:A,SMS!K:K),0),0)</f>
        <v>0</v>
      </c>
      <c r="AO47" s="109">
        <f ca="1">IF('Banco de Dados'!$AK47&lt;&gt;"-",IF('Banco de Dados'!$F47&lt;&gt;"-",IFERROR(_xlfn.XLOOKUP(_xlfn.CONCAT('Banco de Dados'!$A47,IFERROR(IFERROR(VALUE(SUBSTITUTE(MID(_xlfn.TEXTAFTER('Banco de Dados'!$F47,"Data do Pedido:
",1),1,10),"-","/")),VALUE(SUBSTITUTE(MID(_xlfn.TEXTAFTER('Banco de Dados'!$F47,"Order date:
",1),1,10),"-","/"))),0)),ProxyDD[Chave],ProxyDD[Valor por pedido]),PROXY!$P$2),0),0)</f>
        <v>0</v>
      </c>
      <c r="AP47" s="28">
        <f ca="1">IF('Banco de Dados'!$AK47&lt;&gt;"-",IF('Banco de Dados'!$AL47="NÃO",IFERROR(VALUE(SUBSTITUTE(_xlfn.TEXTAFTER('Banco de Dados'!$F47,"BRL ",1),".",",")),0),0),0)</f>
        <v>0</v>
      </c>
      <c r="AQ47" s="28">
        <f ca="1">SUM('Banco de Dados'!$AM47:$AP47)</f>
        <v>0</v>
      </c>
      <c r="AR47" s="8"/>
      <c r="AS47" s="8"/>
      <c r="AY47" s="8"/>
    </row>
    <row r="48" spans="1:51">
      <c r="A48" s="5" t="str">
        <v>BV</v>
      </c>
      <c r="B48" s="5" t="str">
        <f ca="1"/>
        <v>BV45589</v>
      </c>
      <c r="C48" s="8" t="str">
        <v>Pedido 47</v>
      </c>
      <c r="D48" s="9">
        <v>45589</v>
      </c>
      <c r="E48" s="9">
        <v>45589</v>
      </c>
      <c r="F48" s="9" t="str">
        <v>PedidoF38</v>
      </c>
      <c r="G48" s="2" t="str">
        <v>CódRastreio38</v>
      </c>
      <c r="H48" s="5">
        <v>1</v>
      </c>
      <c r="I48" s="2" t="str">
        <v>CPF 45</v>
      </c>
      <c r="J48" s="8" t="str">
        <v>Nome 45</v>
      </c>
      <c r="K48" s="8" t="str">
        <v>Tel 45</v>
      </c>
      <c r="L48" s="8" t="str">
        <v>Cep 45</v>
      </c>
      <c r="M48" s="8" t="str">
        <v>Rua 45</v>
      </c>
      <c r="N48" s="8" t="str">
        <v>Comp 45</v>
      </c>
      <c r="O48" s="8" t="str">
        <v>Balança</v>
      </c>
      <c r="P48" s="8" t="str">
        <v>P4-K63S-8KOM</v>
      </c>
      <c r="Q48" s="4">
        <v>45602</v>
      </c>
      <c r="R48" s="109">
        <v>17.989999999999998</v>
      </c>
      <c r="S48" s="11">
        <f ca="1"/>
        <v>17.989999999999998</v>
      </c>
      <c r="T48" s="28">
        <f ca="1"/>
        <v>2.3386999999999998</v>
      </c>
      <c r="U48" s="11">
        <f ca="1"/>
        <v>15.65</v>
      </c>
      <c r="V48" s="11">
        <v>8.74</v>
      </c>
      <c r="W48" s="11">
        <f ca="1"/>
        <v>0.52</v>
      </c>
      <c r="X48" s="11">
        <f ca="1"/>
        <v>0.39877104377104378</v>
      </c>
      <c r="Y48" s="11">
        <v>0</v>
      </c>
      <c r="Z48" s="11">
        <f ca="1"/>
        <v>5.9912289562289569</v>
      </c>
      <c r="AA48" s="11">
        <f ca="1"/>
        <v>2.9956144781144785</v>
      </c>
      <c r="AB48" s="4">
        <f ca="1"/>
        <v>45609</v>
      </c>
      <c r="AC48" s="4">
        <v>45609</v>
      </c>
      <c r="AD48" s="9">
        <v>45609</v>
      </c>
      <c r="AE48" s="9">
        <v>45618</v>
      </c>
      <c r="AF48" s="4" t="str">
        <f t="shared" ca="1" si="0"/>
        <v>2024 11</v>
      </c>
      <c r="AG48" s="8" t="str" cm="1">
        <f t="array" ref="AG48">IFERROR(_xlfn.IFS('Banco de Dados'!#REF!="AG. COMPRA","Em processamento",'Banco de Dados'!#REF!="AG. RASTREIO","Em processamento",'Banco de Dados'!$AE48&lt;&gt;"-","Faturado",'Banco de Dados'!$AD48&lt;&gt;"-","Aguardando Pix",'Banco de Dados'!$AC48&lt;&gt;"-","Pendente"),"Aguardando Liberação")</f>
        <v>Aguardando Liberação</v>
      </c>
      <c r="AH48" s="5" t="str">
        <f>IF('Banco de Dados'!$F48="-",_xlfn.CONCAT(PROPER(TEXT(AK48,"aaaa"))," ",PROPER(TEXT(AK48,"mm"))),_xlfn.CONCAT(PROPER(TEXT(E48,"aaaa"))," ",PROPER(TEXT(E48,"mm"))))</f>
        <v>2024 10</v>
      </c>
      <c r="AI48" s="9" t="str">
        <f ca="1">IF('Banco de Dados'!$AK48&lt;&gt;"-","REEMBOLSO",IFERROR(_xlfn.XLOOKUP(G48,Follow[CODRASTREIO],Follow[STATUS]),"-"))</f>
        <v>ENTREGUE</v>
      </c>
      <c r="AJ48" s="9">
        <f ca="1">IF('Banco de Dados'!$AI48="ENTREGUE",_xlfn.XLOOKUP('Banco de Dados'!$G48,Follow[CODRASTREIO],Follow[DATAATUALIZAÇÃO]),"-")</f>
        <v>45593</v>
      </c>
      <c r="AK48" s="9" t="str">
        <f ca="1"/>
        <v>-</v>
      </c>
      <c r="AL48" s="35" t="str">
        <v>-</v>
      </c>
      <c r="AM48" s="109" cm="1">
        <f t="array" aca="1" ref="AM48" ca="1">IF('Banco de Dados'!$AK48&lt;&gt;"-",_xlfn.IFS('Banco de Dados'!$A48="bv",IF('Banco de Dados'!$E48&lt;45641,ROUND(SUM('Banco de Dados'!$R48*_xlfn.XLOOKUP('Banco de Dados'!$P48,Sku!B:B,Sku!#REF!)*20%),2),ROUND(SUM('Banco de Dados'!$R48*_xlfn.XLOOKUP('Banco de Dados'!$P48,Sku!B:B,Sku!H:H)*20%),2)),'Banco de Dados'!$A48="GO",ROUND(_xlfn.XLOOKUP('Banco de Dados'!$P48,Sku!C:C,Sku!H:H),2),'Banco de Dados'!$A48="MEI",ROUND(_xlfn.XLOOKUP('Banco de Dados'!$P48,Sku!D:D,Sku!H:H),2)),0)</f>
        <v>0</v>
      </c>
      <c r="AN48" s="109">
        <f ca="1">IF('Banco de Dados'!$AK48&lt;&gt;"-",IF('Banco de Dados'!$F48&lt;&gt;"-",_xlfn.XLOOKUP(IFERROR(IFERROR(IFERROR(VALUE(SUBSTITUTE(MID(_xlfn.TEXTAFTER('Banco de Dados'!$F48,"Data do Pedido:
",1),1,10),"-","/")),VALUE(SUBSTITUTE(MID(_xlfn.TEXTAFTER('Banco de Dados'!$F48,"Order date:
",1),1,10),"-","/"))),VALUE(SUBSTITUTE(MID(_xlfn.TEXTAFTER('Banco de Dados'!$F48,"Fecha de pedido:
",1),1,10),"-","/"))),"-"),SMS!A:A,SMS!K:K),0),0)</f>
        <v>0</v>
      </c>
      <c r="AO48" s="109">
        <f ca="1">IF('Banco de Dados'!$AK48&lt;&gt;"-",IF('Banco de Dados'!$F48&lt;&gt;"-",IFERROR(_xlfn.XLOOKUP(_xlfn.CONCAT('Banco de Dados'!$A48,IFERROR(IFERROR(VALUE(SUBSTITUTE(MID(_xlfn.TEXTAFTER('Banco de Dados'!$F48,"Data do Pedido:
",1),1,10),"-","/")),VALUE(SUBSTITUTE(MID(_xlfn.TEXTAFTER('Banco de Dados'!$F48,"Order date:
",1),1,10),"-","/"))),0)),ProxyDD[Chave],ProxyDD[Valor por pedido]),PROXY!$P$2),0),0)</f>
        <v>0</v>
      </c>
      <c r="AP48" s="28">
        <f ca="1">IF('Banco de Dados'!$AK48&lt;&gt;"-",IF('Banco de Dados'!$AL48="NÃO",IFERROR(VALUE(SUBSTITUTE(_xlfn.TEXTAFTER('Banco de Dados'!$F48,"BRL ",1),".",",")),0),0),0)</f>
        <v>0</v>
      </c>
      <c r="AQ48" s="28">
        <f ca="1">SUM('Banco de Dados'!$AM48:$AP48)</f>
        <v>0</v>
      </c>
      <c r="AR48" s="8"/>
      <c r="AS48" s="8"/>
      <c r="AY48" s="8"/>
    </row>
    <row r="49" spans="1:51">
      <c r="A49" s="5" t="str">
        <v>BV</v>
      </c>
      <c r="B49" s="5" t="str">
        <f ca="1"/>
        <v>BV45588</v>
      </c>
      <c r="C49" s="8" t="str">
        <v>Pedido 48</v>
      </c>
      <c r="D49" s="9">
        <v>45588</v>
      </c>
      <c r="E49" s="9">
        <v>45588</v>
      </c>
      <c r="F49" s="9" t="str">
        <v>PedidoF39</v>
      </c>
      <c r="G49" s="2" t="str">
        <v>CódRastreio39</v>
      </c>
      <c r="H49" s="5">
        <v>1</v>
      </c>
      <c r="I49" s="2" t="str">
        <v>CPF 46</v>
      </c>
      <c r="J49" s="9" t="str">
        <v>Nome 46</v>
      </c>
      <c r="K49" s="8" t="str">
        <v>Tel 46</v>
      </c>
      <c r="L49" s="8" t="str">
        <v>Cep 46</v>
      </c>
      <c r="M49" s="8" t="str">
        <v>Rua 46</v>
      </c>
      <c r="N49" s="8" t="str">
        <v>Comp 46</v>
      </c>
      <c r="O49" s="8" t="str">
        <v>Balança</v>
      </c>
      <c r="P49" s="8" t="str">
        <v>P4-K63S-8KOM</v>
      </c>
      <c r="Q49" s="4">
        <v>45608</v>
      </c>
      <c r="R49" s="109">
        <v>17.989999999999998</v>
      </c>
      <c r="S49" s="11">
        <f ca="1"/>
        <v>17.989999999999998</v>
      </c>
      <c r="T49" s="28">
        <f ca="1"/>
        <v>2.3386999999999998</v>
      </c>
      <c r="U49" s="11">
        <f ca="1"/>
        <v>15.65</v>
      </c>
      <c r="V49" s="11">
        <v>8.74</v>
      </c>
      <c r="W49" s="11">
        <f ca="1"/>
        <v>0.57999999999999996</v>
      </c>
      <c r="X49" s="11">
        <f ca="1"/>
        <v>0.39877104377104378</v>
      </c>
      <c r="Y49" s="11">
        <v>0</v>
      </c>
      <c r="Z49" s="11">
        <f ca="1"/>
        <v>5.9312289562289564</v>
      </c>
      <c r="AA49" s="11">
        <f ca="1"/>
        <v>2.9656144781144782</v>
      </c>
      <c r="AB49" s="4">
        <f ca="1"/>
        <v>45615</v>
      </c>
      <c r="AC49" s="4">
        <v>45615</v>
      </c>
      <c r="AD49" s="9">
        <v>45617</v>
      </c>
      <c r="AE49" s="9">
        <v>45618</v>
      </c>
      <c r="AF49" s="4" t="str">
        <f t="shared" ca="1" si="0"/>
        <v>2024 11</v>
      </c>
      <c r="AG49" s="8" t="str" cm="1">
        <f t="array" ref="AG49">IFERROR(_xlfn.IFS('Banco de Dados'!#REF!="AG. COMPRA","Em processamento",'Banco de Dados'!#REF!="AG. RASTREIO","Em processamento",'Banco de Dados'!$AE49&lt;&gt;"-","Faturado",'Banco de Dados'!$AD49&lt;&gt;"-","Aguardando Pix",'Banco de Dados'!$AC49&lt;&gt;"-","Pendente"),"Aguardando Liberação")</f>
        <v>Aguardando Liberação</v>
      </c>
      <c r="AH49" s="5" t="str">
        <f>IF('Banco de Dados'!$F49="-",_xlfn.CONCAT(PROPER(TEXT(AK49,"aaaa"))," ",PROPER(TEXT(AK49,"mm"))),_xlfn.CONCAT(PROPER(TEXT(E49,"aaaa"))," ",PROPER(TEXT(E49,"mm"))))</f>
        <v>2024 10</v>
      </c>
      <c r="AI49" s="9" t="str">
        <f ca="1">IF('Banco de Dados'!$AK49&lt;&gt;"-","REEMBOLSO",IFERROR(_xlfn.XLOOKUP(G49,Follow[CODRASTREIO],Follow[STATUS]),"-"))</f>
        <v>ENTREGUE</v>
      </c>
      <c r="AJ49" s="9">
        <f ca="1">IF('Banco de Dados'!$AI49="ENTREGUE",_xlfn.XLOOKUP('Banco de Dados'!$G49,Follow[CODRASTREIO],Follow[DATAATUALIZAÇÃO]),"-")</f>
        <v>45595</v>
      </c>
      <c r="AK49" s="9" t="str">
        <f ca="1"/>
        <v>-</v>
      </c>
      <c r="AL49" s="35" t="str">
        <v>SIM</v>
      </c>
      <c r="AM49" s="109" cm="1">
        <f t="array" aca="1" ref="AM49" ca="1">IF('Banco de Dados'!$AK49&lt;&gt;"-",_xlfn.IFS('Banco de Dados'!$A49="bv",IF('Banco de Dados'!$E49&lt;45641,ROUND(SUM('Banco de Dados'!$R49*_xlfn.XLOOKUP('Banco de Dados'!$P49,Sku!B:B,Sku!#REF!)*20%),2),ROUND(SUM('Banco de Dados'!$R49*_xlfn.XLOOKUP('Banco de Dados'!$P49,Sku!B:B,Sku!H:H)*20%),2)),'Banco de Dados'!$A49="GO",ROUND(_xlfn.XLOOKUP('Banco de Dados'!$P49,Sku!C:C,Sku!H:H),2),'Banco de Dados'!$A49="MEI",ROUND(_xlfn.XLOOKUP('Banco de Dados'!$P49,Sku!D:D,Sku!H:H),2)),0)</f>
        <v>0</v>
      </c>
      <c r="AN49" s="109">
        <f ca="1">IF('Banco de Dados'!$AK49&lt;&gt;"-",IF('Banco de Dados'!$F49&lt;&gt;"-",_xlfn.XLOOKUP(IFERROR(IFERROR(IFERROR(VALUE(SUBSTITUTE(MID(_xlfn.TEXTAFTER('Banco de Dados'!$F49,"Data do Pedido:
",1),1,10),"-","/")),VALUE(SUBSTITUTE(MID(_xlfn.TEXTAFTER('Banco de Dados'!$F49,"Order date:
",1),1,10),"-","/"))),VALUE(SUBSTITUTE(MID(_xlfn.TEXTAFTER('Banco de Dados'!$F49,"Fecha de pedido:
",1),1,10),"-","/"))),"-"),SMS!A:A,SMS!K:K),0),0)</f>
        <v>0</v>
      </c>
      <c r="AO49" s="109">
        <f ca="1">IF('Banco de Dados'!$AK49&lt;&gt;"-",IF('Banco de Dados'!$F49&lt;&gt;"-",IFERROR(_xlfn.XLOOKUP(_xlfn.CONCAT('Banco de Dados'!$A49,IFERROR(IFERROR(VALUE(SUBSTITUTE(MID(_xlfn.TEXTAFTER('Banco de Dados'!$F49,"Data do Pedido:
",1),1,10),"-","/")),VALUE(SUBSTITUTE(MID(_xlfn.TEXTAFTER('Banco de Dados'!$F49,"Order date:
",1),1,10),"-","/"))),0)),ProxyDD[Chave],ProxyDD[Valor por pedido]),PROXY!$P$2),0),0)</f>
        <v>0</v>
      </c>
      <c r="AP49" s="28">
        <f ca="1">IF('Banco de Dados'!$AK49&lt;&gt;"-",IF('Banco de Dados'!$AL49="NÃO",IFERROR(VALUE(SUBSTITUTE(_xlfn.TEXTAFTER('Banco de Dados'!$F49,"BRL ",1),".",",")),0),0),0)</f>
        <v>0</v>
      </c>
      <c r="AQ49" s="28">
        <f ca="1">SUM('Banco de Dados'!$AM49:$AP49)</f>
        <v>0</v>
      </c>
      <c r="AR49" s="8"/>
      <c r="AS49" s="8"/>
      <c r="AY49" s="8"/>
    </row>
    <row r="50" spans="1:51">
      <c r="A50" s="5" t="str">
        <v>BV</v>
      </c>
      <c r="B50" s="5" t="str">
        <f ca="1"/>
        <v>BV45588</v>
      </c>
      <c r="C50" s="8" t="str">
        <v>Pedido 49</v>
      </c>
      <c r="D50" s="9">
        <v>45588</v>
      </c>
      <c r="E50" s="9">
        <v>45588</v>
      </c>
      <c r="F50" s="9" t="str">
        <v>PedidoF40</v>
      </c>
      <c r="G50" s="2" t="str">
        <v>CódRastreio40</v>
      </c>
      <c r="H50" s="5">
        <v>1</v>
      </c>
      <c r="I50" s="2" t="str">
        <v>CPF 47</v>
      </c>
      <c r="J50" s="9" t="str">
        <v>Nome 47</v>
      </c>
      <c r="K50" s="8" t="str">
        <v>Tel 47</v>
      </c>
      <c r="L50" s="8" t="str">
        <v>Cep 47</v>
      </c>
      <c r="M50" s="8" t="str">
        <v>Rua 47</v>
      </c>
      <c r="N50" s="8" t="str">
        <v>Comp 47</v>
      </c>
      <c r="O50" s="8" t="str">
        <v>Balança</v>
      </c>
      <c r="P50" s="8" t="str">
        <v>P4-K63S-8KOM</v>
      </c>
      <c r="Q50" s="4">
        <v>45615</v>
      </c>
      <c r="R50" s="109">
        <v>17.989999999999998</v>
      </c>
      <c r="S50" s="11">
        <f ca="1"/>
        <v>17.989999999999998</v>
      </c>
      <c r="T50" s="28">
        <f ca="1"/>
        <v>2.3386999999999998</v>
      </c>
      <c r="U50" s="11">
        <f ca="1"/>
        <v>15.65</v>
      </c>
      <c r="V50" s="11">
        <v>8.74</v>
      </c>
      <c r="W50" s="11">
        <f ca="1"/>
        <v>0.57999999999999996</v>
      </c>
      <c r="X50" s="11">
        <f ca="1"/>
        <v>0.39877104377104378</v>
      </c>
      <c r="Y50" s="11">
        <v>0</v>
      </c>
      <c r="Z50" s="11">
        <f ca="1"/>
        <v>5.9312289562289564</v>
      </c>
      <c r="AA50" s="11">
        <f ca="1"/>
        <v>2.9656144781144782</v>
      </c>
      <c r="AB50" s="4">
        <f ca="1"/>
        <v>45622</v>
      </c>
      <c r="AC50" s="4">
        <v>45622</v>
      </c>
      <c r="AD50" s="9">
        <v>45625</v>
      </c>
      <c r="AE50" s="9">
        <v>45625</v>
      </c>
      <c r="AF50" s="4" t="str">
        <f t="shared" ca="1" si="0"/>
        <v>2024 11</v>
      </c>
      <c r="AG50" s="8" t="str" cm="1">
        <f t="array" ref="AG50">IFERROR(_xlfn.IFS('Banco de Dados'!#REF!="AG. COMPRA","Em processamento",'Banco de Dados'!#REF!="AG. RASTREIO","Em processamento",'Banco de Dados'!$AE50&lt;&gt;"-","Faturado",'Banco de Dados'!$AD50&lt;&gt;"-","Aguardando Pix",'Banco de Dados'!$AC50&lt;&gt;"-","Pendente"),"Aguardando Liberação")</f>
        <v>Aguardando Liberação</v>
      </c>
      <c r="AH50" s="5" t="str">
        <f>IF('Banco de Dados'!$F50="-",_xlfn.CONCAT(PROPER(TEXT(AK50,"aaaa"))," ",PROPER(TEXT(AK50,"mm"))),_xlfn.CONCAT(PROPER(TEXT(E50,"aaaa"))," ",PROPER(TEXT(E50,"mm"))))</f>
        <v>2024 10</v>
      </c>
      <c r="AI50" s="9" t="str">
        <f ca="1">IF('Banco de Dados'!$AK50&lt;&gt;"-","REEMBOLSO",IFERROR(_xlfn.XLOOKUP(G50,Follow[CODRASTREIO],Follow[STATUS]),"-"))</f>
        <v>ENTREGUE</v>
      </c>
      <c r="AJ50" s="9">
        <f ca="1">IF('Banco de Dados'!$AI50="ENTREGUE",_xlfn.XLOOKUP('Banco de Dados'!$G50,Follow[CODRASTREIO],Follow[DATAATUALIZAÇÃO]),"-")</f>
        <v>45596</v>
      </c>
      <c r="AK50" s="9" t="str">
        <f ca="1"/>
        <v>-</v>
      </c>
      <c r="AL50" s="35" t="str">
        <v>NÃO</v>
      </c>
      <c r="AM50" s="109" cm="1">
        <f t="array" aca="1" ref="AM50" ca="1">IF('Banco de Dados'!$AK50&lt;&gt;"-",_xlfn.IFS('Banco de Dados'!$A50="bv",IF('Banco de Dados'!$E50&lt;45641,ROUND(SUM('Banco de Dados'!$R50*_xlfn.XLOOKUP('Banco de Dados'!$P50,Sku!B:B,Sku!#REF!)*20%),2),ROUND(SUM('Banco de Dados'!$R50*_xlfn.XLOOKUP('Banco de Dados'!$P50,Sku!B:B,Sku!H:H)*20%),2)),'Banco de Dados'!$A50="GO",ROUND(_xlfn.XLOOKUP('Banco de Dados'!$P50,Sku!C:C,Sku!H:H),2),'Banco de Dados'!$A50="MEI",ROUND(_xlfn.XLOOKUP('Banco de Dados'!$P50,Sku!D:D,Sku!H:H),2)),0)</f>
        <v>0</v>
      </c>
      <c r="AN50" s="109">
        <f ca="1">IF('Banco de Dados'!$AK50&lt;&gt;"-",IF('Banco de Dados'!$F50&lt;&gt;"-",_xlfn.XLOOKUP(IFERROR(IFERROR(IFERROR(VALUE(SUBSTITUTE(MID(_xlfn.TEXTAFTER('Banco de Dados'!$F50,"Data do Pedido:
",1),1,10),"-","/")),VALUE(SUBSTITUTE(MID(_xlfn.TEXTAFTER('Banco de Dados'!$F50,"Order date:
",1),1,10),"-","/"))),VALUE(SUBSTITUTE(MID(_xlfn.TEXTAFTER('Banco de Dados'!$F50,"Fecha de pedido:
",1),1,10),"-","/"))),"-"),SMS!A:A,SMS!K:K),0),0)</f>
        <v>0</v>
      </c>
      <c r="AO50" s="109">
        <f ca="1">IF('Banco de Dados'!$AK50&lt;&gt;"-",IF('Banco de Dados'!$F50&lt;&gt;"-",IFERROR(_xlfn.XLOOKUP(_xlfn.CONCAT('Banco de Dados'!$A50,IFERROR(IFERROR(VALUE(SUBSTITUTE(MID(_xlfn.TEXTAFTER('Banco de Dados'!$F50,"Data do Pedido:
",1),1,10),"-","/")),VALUE(SUBSTITUTE(MID(_xlfn.TEXTAFTER('Banco de Dados'!$F50,"Order date:
",1),1,10),"-","/"))),0)),ProxyDD[Chave],ProxyDD[Valor por pedido]),PROXY!$P$2),0),0)</f>
        <v>0</v>
      </c>
      <c r="AP50" s="28">
        <f ca="1">IF('Banco de Dados'!$AK50&lt;&gt;"-",IF('Banco de Dados'!$AL50="NÃO",IFERROR(VALUE(SUBSTITUTE(_xlfn.TEXTAFTER('Banco de Dados'!$F50,"BRL ",1),".",",")),0),0),0)</f>
        <v>0</v>
      </c>
      <c r="AQ50" s="28">
        <f ca="1">SUM('Banco de Dados'!$AM50:$AP50)</f>
        <v>0</v>
      </c>
      <c r="AR50" s="8"/>
      <c r="AS50" s="8"/>
      <c r="AY50" s="8"/>
    </row>
    <row r="51" spans="1:51">
      <c r="A51" s="5" t="str">
        <v>BV</v>
      </c>
      <c r="B51" s="5" t="str">
        <f ca="1"/>
        <v>BV45588</v>
      </c>
      <c r="C51" s="8" t="str">
        <v>Pedido 50</v>
      </c>
      <c r="D51" s="9">
        <v>45588</v>
      </c>
      <c r="E51" s="9">
        <v>45588</v>
      </c>
      <c r="F51" s="9" t="str">
        <v>PedidoF41</v>
      </c>
      <c r="G51" s="2" t="str">
        <v>CódRastreio41</v>
      </c>
      <c r="H51" s="5">
        <v>1</v>
      </c>
      <c r="I51" s="2" t="str">
        <v>CPF 48</v>
      </c>
      <c r="J51" s="9" t="str">
        <v>Nome 48</v>
      </c>
      <c r="K51" s="8" t="str">
        <v>Tel 48</v>
      </c>
      <c r="L51" s="8" t="str">
        <v>Cep 48</v>
      </c>
      <c r="M51" s="8" t="str">
        <v>Rua 48</v>
      </c>
      <c r="N51" s="8" t="str">
        <v>Comp 48</v>
      </c>
      <c r="O51" s="8" t="str">
        <v>Balança</v>
      </c>
      <c r="P51" s="8" t="str">
        <v>P4-K63S-8KOM</v>
      </c>
      <c r="Q51" s="4">
        <v>45608</v>
      </c>
      <c r="R51" s="109">
        <v>17.989999999999998</v>
      </c>
      <c r="S51" s="11">
        <f ca="1"/>
        <v>17.989999999999998</v>
      </c>
      <c r="T51" s="28">
        <f ca="1"/>
        <v>2.3386999999999998</v>
      </c>
      <c r="U51" s="11">
        <f ca="1"/>
        <v>15.65</v>
      </c>
      <c r="V51" s="11">
        <v>8.74</v>
      </c>
      <c r="W51" s="11">
        <f ca="1"/>
        <v>0.57999999999999996</v>
      </c>
      <c r="X51" s="11">
        <f ca="1"/>
        <v>0.39877104377104378</v>
      </c>
      <c r="Y51" s="11">
        <v>0</v>
      </c>
      <c r="Z51" s="11">
        <f ca="1"/>
        <v>5.9312289562289564</v>
      </c>
      <c r="AA51" s="11">
        <f ca="1"/>
        <v>2.9656144781144782</v>
      </c>
      <c r="AB51" s="4">
        <f ca="1"/>
        <v>45615</v>
      </c>
      <c r="AC51" s="4">
        <v>45615</v>
      </c>
      <c r="AD51" s="9">
        <v>45617</v>
      </c>
      <c r="AE51" s="9">
        <v>45618</v>
      </c>
      <c r="AF51" s="4" t="str">
        <f t="shared" ca="1" si="0"/>
        <v>2024 11</v>
      </c>
      <c r="AG51" s="8" t="str" cm="1">
        <f t="array" ref="AG51">IFERROR(_xlfn.IFS('Banco de Dados'!#REF!="AG. COMPRA","Em processamento",'Banco de Dados'!#REF!="AG. RASTREIO","Em processamento",'Banco de Dados'!$AE51&lt;&gt;"-","Faturado",'Banco de Dados'!$AD51&lt;&gt;"-","Aguardando Pix",'Banco de Dados'!$AC51&lt;&gt;"-","Pendente"),"Aguardando Liberação")</f>
        <v>Aguardando Liberação</v>
      </c>
      <c r="AH51" s="5" t="str">
        <f>IF('Banco de Dados'!$F51="-",_xlfn.CONCAT(PROPER(TEXT(AK51,"aaaa"))," ",PROPER(TEXT(AK51,"mm"))),_xlfn.CONCAT(PROPER(TEXT(E51,"aaaa"))," ",PROPER(TEXT(E51,"mm"))))</f>
        <v>2024 10</v>
      </c>
      <c r="AI51" s="9" t="str">
        <f ca="1">IF('Banco de Dados'!$AK51&lt;&gt;"-","REEMBOLSO",IFERROR(_xlfn.XLOOKUP(G51,Follow[CODRASTREIO],Follow[STATUS]),"-"))</f>
        <v>ENTREGUE</v>
      </c>
      <c r="AJ51" s="9">
        <f ca="1">IF('Banco de Dados'!$AI51="ENTREGUE",_xlfn.XLOOKUP('Banco de Dados'!$G51,Follow[CODRASTREIO],Follow[DATAATUALIZAÇÃO]),"-")</f>
        <v>45593</v>
      </c>
      <c r="AK51" s="9" t="str">
        <f ca="1"/>
        <v>-</v>
      </c>
      <c r="AL51" s="35" t="str">
        <v>NÃO</v>
      </c>
      <c r="AM51" s="109" cm="1">
        <f t="array" aca="1" ref="AM51" ca="1">IF('Banco de Dados'!$AK51&lt;&gt;"-",_xlfn.IFS('Banco de Dados'!$A51="bv",IF('Banco de Dados'!$E51&lt;45641,ROUND(SUM('Banco de Dados'!$R51*_xlfn.XLOOKUP('Banco de Dados'!$P51,Sku!B:B,Sku!#REF!)*20%),2),ROUND(SUM('Banco de Dados'!$R51*_xlfn.XLOOKUP('Banco de Dados'!$P51,Sku!B:B,Sku!H:H)*20%),2)),'Banco de Dados'!$A51="GO",ROUND(_xlfn.XLOOKUP('Banco de Dados'!$P51,Sku!C:C,Sku!H:H),2),'Banco de Dados'!$A51="MEI",ROUND(_xlfn.XLOOKUP('Banco de Dados'!$P51,Sku!D:D,Sku!H:H),2)),0)</f>
        <v>0</v>
      </c>
      <c r="AN51" s="109">
        <f ca="1">IF('Banco de Dados'!$AK51&lt;&gt;"-",IF('Banco de Dados'!$F51&lt;&gt;"-",_xlfn.XLOOKUP(IFERROR(IFERROR(IFERROR(VALUE(SUBSTITUTE(MID(_xlfn.TEXTAFTER('Banco de Dados'!$F51,"Data do Pedido:
",1),1,10),"-","/")),VALUE(SUBSTITUTE(MID(_xlfn.TEXTAFTER('Banco de Dados'!$F51,"Order date:
",1),1,10),"-","/"))),VALUE(SUBSTITUTE(MID(_xlfn.TEXTAFTER('Banco de Dados'!$F51,"Fecha de pedido:
",1),1,10),"-","/"))),"-"),SMS!A:A,SMS!K:K),0),0)</f>
        <v>0</v>
      </c>
      <c r="AO51" s="109">
        <f ca="1">IF('Banco de Dados'!$AK51&lt;&gt;"-",IF('Banco de Dados'!$F51&lt;&gt;"-",IFERROR(_xlfn.XLOOKUP(_xlfn.CONCAT('Banco de Dados'!$A51,IFERROR(IFERROR(VALUE(SUBSTITUTE(MID(_xlfn.TEXTAFTER('Banco de Dados'!$F51,"Data do Pedido:
",1),1,10),"-","/")),VALUE(SUBSTITUTE(MID(_xlfn.TEXTAFTER('Banco de Dados'!$F51,"Order date:
",1),1,10),"-","/"))),0)),ProxyDD[Chave],ProxyDD[Valor por pedido]),PROXY!$P$2),0),0)</f>
        <v>0</v>
      </c>
      <c r="AP51" s="28">
        <f ca="1">IF('Banco de Dados'!$AK51&lt;&gt;"-",IF('Banco de Dados'!$AL51="NÃO",IFERROR(VALUE(SUBSTITUTE(_xlfn.TEXTAFTER('Banco de Dados'!$F51,"BRL ",1),".",",")),0),0),0)</f>
        <v>0</v>
      </c>
      <c r="AQ51" s="28">
        <f ca="1">SUM('Banco de Dados'!$AM51:$AP51)</f>
        <v>0</v>
      </c>
      <c r="AR51" s="8"/>
      <c r="AS51" s="8"/>
      <c r="AY51" s="8"/>
    </row>
    <row r="52" spans="1:51">
      <c r="A52" s="5" t="str">
        <v>BV</v>
      </c>
      <c r="B52" s="5" t="str">
        <f ca="1"/>
        <v>BV45589</v>
      </c>
      <c r="C52" s="8" t="str">
        <v>Pedido 51</v>
      </c>
      <c r="D52" s="9">
        <v>45589</v>
      </c>
      <c r="E52" s="9">
        <v>45589</v>
      </c>
      <c r="F52" s="9" t="str">
        <v>PedidoF42</v>
      </c>
      <c r="G52" s="2" t="str">
        <v>CódRastreio42</v>
      </c>
      <c r="H52" s="5">
        <v>1</v>
      </c>
      <c r="I52" s="2" t="str">
        <v>CPF 49</v>
      </c>
      <c r="J52" s="8" t="str">
        <v>Nome 49</v>
      </c>
      <c r="K52" s="8" t="str">
        <v>Tel 49</v>
      </c>
      <c r="L52" s="8" t="str">
        <v>Cep 49</v>
      </c>
      <c r="M52" s="8" t="str">
        <v>Rua 49</v>
      </c>
      <c r="N52" s="8" t="str">
        <v>Comp 49</v>
      </c>
      <c r="O52" s="8" t="str">
        <v>Balança</v>
      </c>
      <c r="P52" s="8" t="str">
        <v>P4-K63S-8KOM</v>
      </c>
      <c r="Q52" s="4">
        <v>45615</v>
      </c>
      <c r="R52" s="109">
        <v>17.989999999999998</v>
      </c>
      <c r="S52" s="11">
        <f ca="1"/>
        <v>17.989999999999998</v>
      </c>
      <c r="T52" s="28">
        <f ca="1"/>
        <v>2.3386999999999998</v>
      </c>
      <c r="U52" s="11">
        <f ca="1"/>
        <v>15.65</v>
      </c>
      <c r="V52" s="11">
        <v>8.74</v>
      </c>
      <c r="W52" s="11">
        <f ca="1"/>
        <v>0.52</v>
      </c>
      <c r="X52" s="11">
        <f ca="1"/>
        <v>0.39877104377104378</v>
      </c>
      <c r="Y52" s="11">
        <v>0</v>
      </c>
      <c r="Z52" s="11">
        <f ca="1"/>
        <v>5.9912289562289569</v>
      </c>
      <c r="AA52" s="11">
        <f ca="1"/>
        <v>2.9956144781144785</v>
      </c>
      <c r="AB52" s="4">
        <f ca="1"/>
        <v>45622</v>
      </c>
      <c r="AC52" s="4">
        <v>45622</v>
      </c>
      <c r="AD52" s="9">
        <v>45625</v>
      </c>
      <c r="AE52" s="9">
        <v>45625</v>
      </c>
      <c r="AF52" s="4" t="str">
        <f t="shared" ca="1" si="0"/>
        <v>2024 11</v>
      </c>
      <c r="AG52" s="8" t="str" cm="1">
        <f t="array" ref="AG52">IFERROR(_xlfn.IFS('Banco de Dados'!#REF!="AG. COMPRA","Em processamento",'Banco de Dados'!#REF!="AG. RASTREIO","Em processamento",'Banco de Dados'!$AE52&lt;&gt;"-","Faturado",'Banco de Dados'!$AD52&lt;&gt;"-","Aguardando Pix",'Banco de Dados'!$AC52&lt;&gt;"-","Pendente"),"Aguardando Liberação")</f>
        <v>Aguardando Liberação</v>
      </c>
      <c r="AH52" s="5" t="str">
        <f>IF('Banco de Dados'!$F52="-",_xlfn.CONCAT(PROPER(TEXT(AK52,"aaaa"))," ",PROPER(TEXT(AK52,"mm"))),_xlfn.CONCAT(PROPER(TEXT(E52,"aaaa"))," ",PROPER(TEXT(E52,"mm"))))</f>
        <v>2024 10</v>
      </c>
      <c r="AI52" s="9" t="str">
        <f ca="1">IF('Banco de Dados'!$AK52&lt;&gt;"-","REEMBOLSO",IFERROR(_xlfn.XLOOKUP(G52,Follow[CODRASTREIO],Follow[STATUS]),"-"))</f>
        <v>ENTREGUE</v>
      </c>
      <c r="AJ52" s="9">
        <f ca="1">IF('Banco de Dados'!$AI52="ENTREGUE",_xlfn.XLOOKUP('Banco de Dados'!$G52,Follow[CODRASTREIO],Follow[DATAATUALIZAÇÃO]),"-")</f>
        <v>45599</v>
      </c>
      <c r="AK52" s="9" t="str">
        <f ca="1"/>
        <v>-</v>
      </c>
      <c r="AL52" s="35" t="str">
        <v>-</v>
      </c>
      <c r="AM52" s="109" cm="1">
        <f t="array" aca="1" ref="AM52" ca="1">IF('Banco de Dados'!$AK52&lt;&gt;"-",_xlfn.IFS('Banco de Dados'!$A52="bv",IF('Banco de Dados'!$E52&lt;45641,ROUND(SUM('Banco de Dados'!$R52*_xlfn.XLOOKUP('Banco de Dados'!$P52,Sku!B:B,Sku!#REF!)*20%),2),ROUND(SUM('Banco de Dados'!$R52*_xlfn.XLOOKUP('Banco de Dados'!$P52,Sku!B:B,Sku!H:H)*20%),2)),'Banco de Dados'!$A52="GO",ROUND(_xlfn.XLOOKUP('Banco de Dados'!$P52,Sku!C:C,Sku!H:H),2),'Banco de Dados'!$A52="MEI",ROUND(_xlfn.XLOOKUP('Banco de Dados'!$P52,Sku!D:D,Sku!H:H),2)),0)</f>
        <v>0</v>
      </c>
      <c r="AN52" s="109">
        <f ca="1">IF('Banco de Dados'!$AK52&lt;&gt;"-",IF('Banco de Dados'!$F52&lt;&gt;"-",_xlfn.XLOOKUP(IFERROR(IFERROR(IFERROR(VALUE(SUBSTITUTE(MID(_xlfn.TEXTAFTER('Banco de Dados'!$F52,"Data do Pedido:
",1),1,10),"-","/")),VALUE(SUBSTITUTE(MID(_xlfn.TEXTAFTER('Banco de Dados'!$F52,"Order date:
",1),1,10),"-","/"))),VALUE(SUBSTITUTE(MID(_xlfn.TEXTAFTER('Banco de Dados'!$F52,"Fecha de pedido:
",1),1,10),"-","/"))),"-"),SMS!A:A,SMS!K:K),0),0)</f>
        <v>0</v>
      </c>
      <c r="AO52" s="109">
        <f ca="1">IF('Banco de Dados'!$AK52&lt;&gt;"-",IF('Banco de Dados'!$F52&lt;&gt;"-",IFERROR(_xlfn.XLOOKUP(_xlfn.CONCAT('Banco de Dados'!$A52,IFERROR(IFERROR(VALUE(SUBSTITUTE(MID(_xlfn.TEXTAFTER('Banco de Dados'!$F52,"Data do Pedido:
",1),1,10),"-","/")),VALUE(SUBSTITUTE(MID(_xlfn.TEXTAFTER('Banco de Dados'!$F52,"Order date:
",1),1,10),"-","/"))),0)),ProxyDD[Chave],ProxyDD[Valor por pedido]),PROXY!$P$2),0),0)</f>
        <v>0</v>
      </c>
      <c r="AP52" s="28">
        <f ca="1">IF('Banco de Dados'!$AK52&lt;&gt;"-",IF('Banco de Dados'!$AL52="NÃO",IFERROR(VALUE(SUBSTITUTE(_xlfn.TEXTAFTER('Banco de Dados'!$F52,"BRL ",1),".",",")),0),0),0)</f>
        <v>0</v>
      </c>
      <c r="AQ52" s="28">
        <f ca="1">SUM('Banco de Dados'!$AM52:$AP52)</f>
        <v>0</v>
      </c>
      <c r="AR52" s="8"/>
      <c r="AS52" s="8"/>
      <c r="AY52" s="8"/>
    </row>
    <row r="53" spans="1:51">
      <c r="A53" s="5" t="str">
        <v>BV</v>
      </c>
      <c r="B53" s="5" t="str">
        <f ca="1"/>
        <v>BV45588</v>
      </c>
      <c r="C53" s="8" t="str">
        <v>Pedido 52</v>
      </c>
      <c r="D53" s="9">
        <v>45588</v>
      </c>
      <c r="E53" s="9">
        <v>45588</v>
      </c>
      <c r="F53" s="9" t="str">
        <v>PedidoF43</v>
      </c>
      <c r="G53" s="2" t="str">
        <v>CódRastreio43</v>
      </c>
      <c r="H53" s="5">
        <v>1</v>
      </c>
      <c r="I53" s="2" t="str">
        <v>CPF 50</v>
      </c>
      <c r="J53" s="9" t="str">
        <v>Nome 50</v>
      </c>
      <c r="K53" s="8" t="str">
        <v>Tel 50</v>
      </c>
      <c r="L53" s="8" t="str">
        <v>Cep 50</v>
      </c>
      <c r="M53" s="8" t="str">
        <v>Rua 50</v>
      </c>
      <c r="N53" s="8" t="str">
        <v>Comp 50</v>
      </c>
      <c r="O53" s="8" t="str">
        <v>Balança</v>
      </c>
      <c r="P53" s="8" t="str">
        <v>P4-K63S-8KOM</v>
      </c>
      <c r="Q53" s="4">
        <v>45615</v>
      </c>
      <c r="R53" s="109">
        <v>17.989999999999998</v>
      </c>
      <c r="S53" s="11">
        <f ca="1"/>
        <v>17.989999999999998</v>
      </c>
      <c r="T53" s="28">
        <f ca="1"/>
        <v>2.3386999999999998</v>
      </c>
      <c r="U53" s="11">
        <f ca="1"/>
        <v>15.65</v>
      </c>
      <c r="V53" s="11">
        <v>8.74</v>
      </c>
      <c r="W53" s="11">
        <f ca="1"/>
        <v>0.57999999999999996</v>
      </c>
      <c r="X53" s="11">
        <f ca="1"/>
        <v>0.39877104377104378</v>
      </c>
      <c r="Y53" s="11">
        <v>0</v>
      </c>
      <c r="Z53" s="11">
        <f ca="1"/>
        <v>5.9312289562289564</v>
      </c>
      <c r="AA53" s="11">
        <f ca="1"/>
        <v>2.9656144781144782</v>
      </c>
      <c r="AB53" s="4">
        <f ca="1"/>
        <v>45622</v>
      </c>
      <c r="AC53" s="4">
        <v>45622</v>
      </c>
      <c r="AD53" s="9">
        <v>45625</v>
      </c>
      <c r="AE53" s="9">
        <v>45625</v>
      </c>
      <c r="AF53" s="4" t="str">
        <f t="shared" ca="1" si="0"/>
        <v>2024 11</v>
      </c>
      <c r="AG53" s="8" t="str" cm="1">
        <f t="array" ref="AG53">IFERROR(_xlfn.IFS('Banco de Dados'!#REF!="AG. COMPRA","Em processamento",'Banco de Dados'!#REF!="AG. RASTREIO","Em processamento",'Banco de Dados'!$AE53&lt;&gt;"-","Faturado",'Banco de Dados'!$AD53&lt;&gt;"-","Aguardando Pix",'Banco de Dados'!$AC53&lt;&gt;"-","Pendente"),"Aguardando Liberação")</f>
        <v>Aguardando Liberação</v>
      </c>
      <c r="AH53" s="5" t="str">
        <f>IF('Banco de Dados'!$F53="-",_xlfn.CONCAT(PROPER(TEXT(AK53,"aaaa"))," ",PROPER(TEXT(AK53,"mm"))),_xlfn.CONCAT(PROPER(TEXT(E53,"aaaa"))," ",PROPER(TEXT(E53,"mm"))))</f>
        <v>2024 10</v>
      </c>
      <c r="AI53" s="9" t="str">
        <f ca="1">IF('Banco de Dados'!$AK53&lt;&gt;"-","REEMBOLSO",IFERROR(_xlfn.XLOOKUP(G53,Follow[CODRASTREIO],Follow[STATUS]),"-"))</f>
        <v>ENTREGUE</v>
      </c>
      <c r="AJ53" s="9">
        <f ca="1">IF('Banco de Dados'!$AI53="ENTREGUE",_xlfn.XLOOKUP('Banco de Dados'!$G53,Follow[CODRASTREIO],Follow[DATAATUALIZAÇÃO]),"-")</f>
        <v>45594</v>
      </c>
      <c r="AK53" s="9" t="str">
        <f ca="1"/>
        <v>-</v>
      </c>
      <c r="AL53" s="35" t="str">
        <v>NÃO</v>
      </c>
      <c r="AM53" s="109" cm="1">
        <f t="array" aca="1" ref="AM53" ca="1">IF('Banco de Dados'!$AK53&lt;&gt;"-",_xlfn.IFS('Banco de Dados'!$A53="bv",IF('Banco de Dados'!$E53&lt;45641,ROUND(SUM('Banco de Dados'!$R53*_xlfn.XLOOKUP('Banco de Dados'!$P53,Sku!B:B,Sku!#REF!)*20%),2),ROUND(SUM('Banco de Dados'!$R53*_xlfn.XLOOKUP('Banco de Dados'!$P53,Sku!B:B,Sku!H:H)*20%),2)),'Banco de Dados'!$A53="GO",ROUND(_xlfn.XLOOKUP('Banco de Dados'!$P53,Sku!C:C,Sku!H:H),2),'Banco de Dados'!$A53="MEI",ROUND(_xlfn.XLOOKUP('Banco de Dados'!$P53,Sku!D:D,Sku!H:H),2)),0)</f>
        <v>0</v>
      </c>
      <c r="AN53" s="109">
        <f ca="1">IF('Banco de Dados'!$AK53&lt;&gt;"-",IF('Banco de Dados'!$F53&lt;&gt;"-",_xlfn.XLOOKUP(IFERROR(IFERROR(IFERROR(VALUE(SUBSTITUTE(MID(_xlfn.TEXTAFTER('Banco de Dados'!$F53,"Data do Pedido:
",1),1,10),"-","/")),VALUE(SUBSTITUTE(MID(_xlfn.TEXTAFTER('Banco de Dados'!$F53,"Order date:
",1),1,10),"-","/"))),VALUE(SUBSTITUTE(MID(_xlfn.TEXTAFTER('Banco de Dados'!$F53,"Fecha de pedido:
",1),1,10),"-","/"))),"-"),SMS!A:A,SMS!K:K),0),0)</f>
        <v>0</v>
      </c>
      <c r="AO53" s="109">
        <f ca="1">IF('Banco de Dados'!$AK53&lt;&gt;"-",IF('Banco de Dados'!$F53&lt;&gt;"-",IFERROR(_xlfn.XLOOKUP(_xlfn.CONCAT('Banco de Dados'!$A53,IFERROR(IFERROR(VALUE(SUBSTITUTE(MID(_xlfn.TEXTAFTER('Banco de Dados'!$F53,"Data do Pedido:
",1),1,10),"-","/")),VALUE(SUBSTITUTE(MID(_xlfn.TEXTAFTER('Banco de Dados'!$F53,"Order date:
",1),1,10),"-","/"))),0)),ProxyDD[Chave],ProxyDD[Valor por pedido]),PROXY!$P$2),0),0)</f>
        <v>0</v>
      </c>
      <c r="AP53" s="28">
        <f ca="1">IF('Banco de Dados'!$AK53&lt;&gt;"-",IF('Banco de Dados'!$AL53="NÃO",IFERROR(VALUE(SUBSTITUTE(_xlfn.TEXTAFTER('Banco de Dados'!$F53,"BRL ",1),".",",")),0),0),0)</f>
        <v>0</v>
      </c>
      <c r="AQ53" s="28">
        <f ca="1">SUM('Banco de Dados'!$AM53:$AP53)</f>
        <v>0</v>
      </c>
      <c r="AR53" s="8"/>
      <c r="AS53" s="8"/>
      <c r="AY53" s="8"/>
    </row>
    <row r="54" spans="1:51">
      <c r="A54" s="5" t="str">
        <v>BV</v>
      </c>
      <c r="B54" s="5" t="str">
        <f ca="1"/>
        <v>BV45588</v>
      </c>
      <c r="C54" s="8" t="str">
        <v>Pedido 53</v>
      </c>
      <c r="D54" s="9">
        <v>45588</v>
      </c>
      <c r="E54" s="9">
        <v>45588</v>
      </c>
      <c r="F54" s="9" t="str">
        <v>PedidoF44</v>
      </c>
      <c r="G54" s="2" t="str">
        <v>CódRastreio44</v>
      </c>
      <c r="H54" s="5">
        <v>1</v>
      </c>
      <c r="I54" s="2" t="str">
        <v>CPF 51</v>
      </c>
      <c r="J54" s="9" t="str">
        <v>Nome 51</v>
      </c>
      <c r="K54" s="8" t="str">
        <v>Tel 51</v>
      </c>
      <c r="L54" s="8" t="str">
        <v>Cep 51</v>
      </c>
      <c r="M54" s="8" t="str">
        <v>Rua 51</v>
      </c>
      <c r="N54" s="8" t="str">
        <v>Comp 51</v>
      </c>
      <c r="O54" s="8" t="str">
        <v>Bomba d'agua</v>
      </c>
      <c r="P54" s="8" t="str">
        <v>DJ-RO5O-43GF</v>
      </c>
      <c r="Q54" s="4">
        <v>45615</v>
      </c>
      <c r="R54" s="109">
        <v>18.2</v>
      </c>
      <c r="S54" s="11">
        <f ca="1"/>
        <v>18.2</v>
      </c>
      <c r="T54" s="28">
        <f ca="1"/>
        <v>2.548</v>
      </c>
      <c r="U54" s="11">
        <f ca="1"/>
        <v>15.65</v>
      </c>
      <c r="V54" s="11">
        <v>4.99</v>
      </c>
      <c r="W54" s="11">
        <f ca="1"/>
        <v>0.57999999999999996</v>
      </c>
      <c r="X54" s="11">
        <f ca="1"/>
        <v>0.39877104377104378</v>
      </c>
      <c r="Y54" s="11">
        <v>0</v>
      </c>
      <c r="Z54" s="11">
        <f ca="1"/>
        <v>9.6812289562289564</v>
      </c>
      <c r="AA54" s="11">
        <f ca="1"/>
        <v>4.8406144781144782</v>
      </c>
      <c r="AB54" s="4">
        <f ca="1"/>
        <v>45622</v>
      </c>
      <c r="AC54" s="4">
        <v>45622</v>
      </c>
      <c r="AD54" s="9">
        <v>45625</v>
      </c>
      <c r="AE54" s="9">
        <v>45625</v>
      </c>
      <c r="AF54" s="4" t="str">
        <f t="shared" ca="1" si="0"/>
        <v>2024 11</v>
      </c>
      <c r="AG54" s="8" t="str" cm="1">
        <f t="array" ref="AG54">IFERROR(_xlfn.IFS('Banco de Dados'!#REF!="AG. COMPRA","Em processamento",'Banco de Dados'!#REF!="AG. RASTREIO","Em processamento",'Banco de Dados'!$AE54&lt;&gt;"-","Faturado",'Banco de Dados'!$AD54&lt;&gt;"-","Aguardando Pix",'Banco de Dados'!$AC54&lt;&gt;"-","Pendente"),"Aguardando Liberação")</f>
        <v>Aguardando Liberação</v>
      </c>
      <c r="AH54" s="5" t="str">
        <f>IF('Banco de Dados'!$F54="-",_xlfn.CONCAT(PROPER(TEXT(AK54,"aaaa"))," ",PROPER(TEXT(AK54,"mm"))),_xlfn.CONCAT(PROPER(TEXT(E54,"aaaa"))," ",PROPER(TEXT(E54,"mm"))))</f>
        <v>2024 10</v>
      </c>
      <c r="AI54" s="9" t="str">
        <f ca="1">IF('Banco de Dados'!$AK54&lt;&gt;"-","REEMBOLSO",IFERROR(_xlfn.XLOOKUP(G54,Follow[CODRASTREIO],Follow[STATUS]),"-"))</f>
        <v>ENTREGUE</v>
      </c>
      <c r="AJ54" s="9">
        <f ca="1">IF('Banco de Dados'!$AI54="ENTREGUE",_xlfn.XLOOKUP('Banco de Dados'!$G54,Follow[CODRASTREIO],Follow[DATAATUALIZAÇÃO]),"-")</f>
        <v>45601</v>
      </c>
      <c r="AK54" s="9" t="str">
        <f ca="1"/>
        <v>-</v>
      </c>
      <c r="AL54" s="35" t="str">
        <v>NÃO</v>
      </c>
      <c r="AM54" s="109" cm="1">
        <f t="array" aca="1" ref="AM54" ca="1">IF('Banco de Dados'!$AK54&lt;&gt;"-",_xlfn.IFS('Banco de Dados'!$A54="bv",IF('Banco de Dados'!$E54&lt;45641,ROUND(SUM('Banco de Dados'!$R54*_xlfn.XLOOKUP('Banco de Dados'!$P54,Sku!B:B,Sku!#REF!)*20%),2),ROUND(SUM('Banco de Dados'!$R54*_xlfn.XLOOKUP('Banco de Dados'!$P54,Sku!B:B,Sku!H:H)*20%),2)),'Banco de Dados'!$A54="GO",ROUND(_xlfn.XLOOKUP('Banco de Dados'!$P54,Sku!C:C,Sku!H:H),2),'Banco de Dados'!$A54="MEI",ROUND(_xlfn.XLOOKUP('Banco de Dados'!$P54,Sku!D:D,Sku!H:H),2)),0)</f>
        <v>0</v>
      </c>
      <c r="AN54" s="109">
        <f ca="1">IF('Banco de Dados'!$AK54&lt;&gt;"-",IF('Banco de Dados'!$F54&lt;&gt;"-",_xlfn.XLOOKUP(IFERROR(IFERROR(IFERROR(VALUE(SUBSTITUTE(MID(_xlfn.TEXTAFTER('Banco de Dados'!$F54,"Data do Pedido:
",1),1,10),"-","/")),VALUE(SUBSTITUTE(MID(_xlfn.TEXTAFTER('Banco de Dados'!$F54,"Order date:
",1),1,10),"-","/"))),VALUE(SUBSTITUTE(MID(_xlfn.TEXTAFTER('Banco de Dados'!$F54,"Fecha de pedido:
",1),1,10),"-","/"))),"-"),SMS!A:A,SMS!K:K),0),0)</f>
        <v>0</v>
      </c>
      <c r="AO54" s="109">
        <f ca="1">IF('Banco de Dados'!$AK54&lt;&gt;"-",IF('Banco de Dados'!$F54&lt;&gt;"-",IFERROR(_xlfn.XLOOKUP(_xlfn.CONCAT('Banco de Dados'!$A54,IFERROR(IFERROR(VALUE(SUBSTITUTE(MID(_xlfn.TEXTAFTER('Banco de Dados'!$F54,"Data do Pedido:
",1),1,10),"-","/")),VALUE(SUBSTITUTE(MID(_xlfn.TEXTAFTER('Banco de Dados'!$F54,"Order date:
",1),1,10),"-","/"))),0)),ProxyDD[Chave],ProxyDD[Valor por pedido]),PROXY!$P$2),0),0)</f>
        <v>0</v>
      </c>
      <c r="AP54" s="28">
        <f ca="1">IF('Banco de Dados'!$AK54&lt;&gt;"-",IF('Banco de Dados'!$AL54="NÃO",IFERROR(VALUE(SUBSTITUTE(_xlfn.TEXTAFTER('Banco de Dados'!$F54,"BRL ",1),".",",")),0),0),0)</f>
        <v>0</v>
      </c>
      <c r="AQ54" s="28">
        <f ca="1">SUM('Banco de Dados'!$AM54:$AP54)</f>
        <v>0</v>
      </c>
      <c r="AR54" s="8"/>
      <c r="AS54" s="8"/>
      <c r="AY54" s="8"/>
    </row>
    <row r="55" spans="1:51">
      <c r="A55" s="5" t="str">
        <v>BV</v>
      </c>
      <c r="B55" s="5" t="str">
        <f ca="1"/>
        <v>BV45617</v>
      </c>
      <c r="C55" s="8" t="str">
        <v>Pedido 54</v>
      </c>
      <c r="D55" s="9">
        <v>45617</v>
      </c>
      <c r="E55" s="9">
        <v>45617</v>
      </c>
      <c r="F55" s="9" t="str">
        <v>PedidoF45</v>
      </c>
      <c r="G55" s="2" t="str">
        <v>CódRastreio45</v>
      </c>
      <c r="H55" s="5">
        <v>1</v>
      </c>
      <c r="I55" s="3" t="str">
        <v>CPF 52</v>
      </c>
      <c r="J55" s="9" t="str">
        <v>Nome 52</v>
      </c>
      <c r="K55" s="8" t="str">
        <v>Tel 52</v>
      </c>
      <c r="L55" s="8" t="str">
        <v>Cep 52</v>
      </c>
      <c r="M55" s="8" t="str">
        <v>Rua 52</v>
      </c>
      <c r="N55" s="8" t="str">
        <v>Comp 52</v>
      </c>
      <c r="O55" s="8" t="str">
        <v>Mini Liquidificador</v>
      </c>
      <c r="P55" s="8" t="str">
        <v>CK-YL6M-P5Y6</v>
      </c>
      <c r="Q55" s="4">
        <v>45627</v>
      </c>
      <c r="R55" s="109">
        <v>24.99</v>
      </c>
      <c r="S55" s="11">
        <f ca="1"/>
        <v>24.99</v>
      </c>
      <c r="T55" s="28">
        <f ca="1"/>
        <v>3.2486999999999999</v>
      </c>
      <c r="U55" s="11">
        <f ca="1"/>
        <v>21.74</v>
      </c>
      <c r="V55" s="11">
        <v>14.99</v>
      </c>
      <c r="W55" s="11">
        <f ca="1"/>
        <v>0.21</v>
      </c>
      <c r="X55" s="11">
        <f ca="1"/>
        <v>0.39877104377104378</v>
      </c>
      <c r="Y55" s="11">
        <v>0</v>
      </c>
      <c r="Z55" s="11">
        <f ca="1"/>
        <v>6.1412289562289537</v>
      </c>
      <c r="AA55" s="11">
        <f ca="1"/>
        <v>3.0706144781144769</v>
      </c>
      <c r="AB55" s="4">
        <f ca="1"/>
        <v>45634</v>
      </c>
      <c r="AC55" s="4">
        <v>45615</v>
      </c>
      <c r="AD55" s="9">
        <v>45617</v>
      </c>
      <c r="AE55" s="9">
        <v>45618</v>
      </c>
      <c r="AF55" s="4" t="str">
        <f t="shared" ca="1" si="0"/>
        <v>2024 12</v>
      </c>
      <c r="AG55" s="8" t="str" cm="1">
        <f t="array" ref="AG55">IFERROR(_xlfn.IFS('Banco de Dados'!#REF!="AG. COMPRA","Em processamento",'Banco de Dados'!#REF!="AG. RASTREIO","Em processamento",'Banco de Dados'!$AE55&lt;&gt;"-","Faturado",'Banco de Dados'!$AD55&lt;&gt;"-","Aguardando Pix",'Banco de Dados'!$AC55&lt;&gt;"-","Pendente"),"Aguardando Liberação")</f>
        <v>Aguardando Liberação</v>
      </c>
      <c r="AH55" s="5" t="str">
        <f>IF('Banco de Dados'!$F55="-",_xlfn.CONCAT(PROPER(TEXT(AK55,"aaaa"))," ",PROPER(TEXT(AK55,"mm"))),_xlfn.CONCAT(PROPER(TEXT(E55,"aaaa"))," ",PROPER(TEXT(E55,"mm"))))</f>
        <v>2024 11</v>
      </c>
      <c r="AI55" s="9" t="str">
        <f ca="1">IF('Banco de Dados'!$AK55&lt;&gt;"-","REEMBOLSO",IFERROR(_xlfn.XLOOKUP(G55,Follow[CODRASTREIO],Follow[STATUS]),"-"))</f>
        <v>ENTREGUE</v>
      </c>
      <c r="AJ55" s="9">
        <f ca="1">IF('Banco de Dados'!$AI55="ENTREGUE",_xlfn.XLOOKUP('Banco de Dados'!$G55,Follow[CODRASTREIO],Follow[DATAATUALIZAÇÃO]),"-")</f>
        <v>45632.830983796295</v>
      </c>
      <c r="AK55" s="9" t="str">
        <f ca="1"/>
        <v>-</v>
      </c>
      <c r="AL55" s="35" t="str">
        <v>NÃO</v>
      </c>
      <c r="AM55" s="109" cm="1">
        <f t="array" aca="1" ref="AM55" ca="1">IF('Banco de Dados'!$AK55&lt;&gt;"-",_xlfn.IFS('Banco de Dados'!$A55="bv",IF('Banco de Dados'!$E55&lt;45641,ROUND(SUM('Banco de Dados'!$R55*_xlfn.XLOOKUP('Banco de Dados'!$P55,Sku!B:B,Sku!#REF!)*20%),2),ROUND(SUM('Banco de Dados'!$R55*_xlfn.XLOOKUP('Banco de Dados'!$P55,Sku!B:B,Sku!H:H)*20%),2)),'Banco de Dados'!$A55="GO",ROUND(_xlfn.XLOOKUP('Banco de Dados'!$P55,Sku!C:C,Sku!H:H),2),'Banco de Dados'!$A55="MEI",ROUND(_xlfn.XLOOKUP('Banco de Dados'!$P55,Sku!D:D,Sku!H:H),2)),0)</f>
        <v>0</v>
      </c>
      <c r="AN55" s="109">
        <f ca="1">IF('Banco de Dados'!$AK55&lt;&gt;"-",IF('Banco de Dados'!$F55&lt;&gt;"-",_xlfn.XLOOKUP(IFERROR(IFERROR(IFERROR(VALUE(SUBSTITUTE(MID(_xlfn.TEXTAFTER('Banco de Dados'!$F55,"Data do Pedido:
",1),1,10),"-","/")),VALUE(SUBSTITUTE(MID(_xlfn.TEXTAFTER('Banco de Dados'!$F55,"Order date:
",1),1,10),"-","/"))),VALUE(SUBSTITUTE(MID(_xlfn.TEXTAFTER('Banco de Dados'!$F55,"Fecha de pedido:
",1),1,10),"-","/"))),"-"),SMS!A:A,SMS!K:K),0),0)</f>
        <v>0</v>
      </c>
      <c r="AO55" s="109">
        <f ca="1">IF('Banco de Dados'!$AK55&lt;&gt;"-",IF('Banco de Dados'!$F55&lt;&gt;"-",IFERROR(_xlfn.XLOOKUP(_xlfn.CONCAT('Banco de Dados'!$A55,IFERROR(IFERROR(VALUE(SUBSTITUTE(MID(_xlfn.TEXTAFTER('Banco de Dados'!$F55,"Data do Pedido:
",1),1,10),"-","/")),VALUE(SUBSTITUTE(MID(_xlfn.TEXTAFTER('Banco de Dados'!$F55,"Order date:
",1),1,10),"-","/"))),0)),ProxyDD[Chave],ProxyDD[Valor por pedido]),PROXY!$P$2),0),0)</f>
        <v>0</v>
      </c>
      <c r="AP55" s="28">
        <f ca="1">IF('Banco de Dados'!$AK55&lt;&gt;"-",IF('Banco de Dados'!$AL55="NÃO",IFERROR(VALUE(SUBSTITUTE(_xlfn.TEXTAFTER('Banco de Dados'!$F55,"BRL ",1),".",",")),0),0),0)</f>
        <v>0</v>
      </c>
      <c r="AQ55" s="28">
        <f ca="1">SUM('Banco de Dados'!$AM55:$AP55)</f>
        <v>0</v>
      </c>
      <c r="AR55" s="8"/>
      <c r="AS55" s="8"/>
      <c r="AY55" s="8"/>
    </row>
    <row r="56" spans="1:51">
      <c r="A56" s="5" t="str">
        <v>BV</v>
      </c>
      <c r="B56" s="5" t="str">
        <f ca="1"/>
        <v>BV45589</v>
      </c>
      <c r="C56" s="8" t="str">
        <v>Pedido 55</v>
      </c>
      <c r="D56" s="9">
        <v>45589</v>
      </c>
      <c r="E56" s="9">
        <v>45589</v>
      </c>
      <c r="F56" s="9" t="str">
        <v>PedidoF46</v>
      </c>
      <c r="G56" s="2" t="str">
        <v>CódRastreio46</v>
      </c>
      <c r="H56" s="5">
        <v>1</v>
      </c>
      <c r="I56" s="2" t="str">
        <v>CPF 53</v>
      </c>
      <c r="J56" s="8" t="str">
        <v>Nome 53</v>
      </c>
      <c r="K56" s="8" t="str">
        <v>Tel 53</v>
      </c>
      <c r="L56" s="8" t="str">
        <v>Cep 53</v>
      </c>
      <c r="M56" s="8" t="str">
        <v>Rua 53</v>
      </c>
      <c r="N56" s="8" t="str">
        <v>Comp 53</v>
      </c>
      <c r="O56" s="8" t="str">
        <v>Balança</v>
      </c>
      <c r="P56" s="8" t="str">
        <v>P4-K63S-8KOM</v>
      </c>
      <c r="Q56" s="4">
        <v>45608</v>
      </c>
      <c r="R56" s="109">
        <v>17.989999999999998</v>
      </c>
      <c r="S56" s="11">
        <f ca="1"/>
        <v>17.989999999999998</v>
      </c>
      <c r="T56" s="28">
        <f ca="1"/>
        <v>2.3386999999999998</v>
      </c>
      <c r="U56" s="11">
        <f ca="1"/>
        <v>15.65</v>
      </c>
      <c r="V56" s="11">
        <v>8.74</v>
      </c>
      <c r="W56" s="11">
        <f ca="1"/>
        <v>0.52</v>
      </c>
      <c r="X56" s="11">
        <f ca="1"/>
        <v>0.39877104377104378</v>
      </c>
      <c r="Y56" s="11">
        <v>0</v>
      </c>
      <c r="Z56" s="11">
        <f ca="1"/>
        <v>5.9912289562289569</v>
      </c>
      <c r="AA56" s="11">
        <f ca="1"/>
        <v>2.9956144781144785</v>
      </c>
      <c r="AB56" s="4">
        <f ca="1"/>
        <v>45615</v>
      </c>
      <c r="AC56" s="4">
        <v>45615</v>
      </c>
      <c r="AD56" s="9">
        <v>45617</v>
      </c>
      <c r="AE56" s="9">
        <v>45618</v>
      </c>
      <c r="AF56" s="4" t="str">
        <f t="shared" ca="1" si="0"/>
        <v>2024 11</v>
      </c>
      <c r="AG56" s="8" t="str" cm="1">
        <f t="array" ref="AG56">IFERROR(_xlfn.IFS('Banco de Dados'!#REF!="AG. COMPRA","Em processamento",'Banco de Dados'!#REF!="AG. RASTREIO","Em processamento",'Banco de Dados'!$AE56&lt;&gt;"-","Faturado",'Banco de Dados'!$AD56&lt;&gt;"-","Aguardando Pix",'Banco de Dados'!$AC56&lt;&gt;"-","Pendente"),"Aguardando Liberação")</f>
        <v>Aguardando Liberação</v>
      </c>
      <c r="AH56" s="5" t="str">
        <f>IF('Banco de Dados'!$F56="-",_xlfn.CONCAT(PROPER(TEXT(AK56,"aaaa"))," ",PROPER(TEXT(AK56,"mm"))),_xlfn.CONCAT(PROPER(TEXT(E56,"aaaa"))," ",PROPER(TEXT(E56,"mm"))))</f>
        <v>2024 10</v>
      </c>
      <c r="AI56" s="9" t="str">
        <f ca="1">IF('Banco de Dados'!$AK56&lt;&gt;"-","REEMBOLSO",IFERROR(_xlfn.XLOOKUP(G56,Follow[CODRASTREIO],Follow[STATUS]),"-"))</f>
        <v>ENTREGUE</v>
      </c>
      <c r="AJ56" s="9">
        <f ca="1">IF('Banco de Dados'!$AI56="ENTREGUE",_xlfn.XLOOKUP('Banco de Dados'!$G56,Follow[CODRASTREIO],Follow[DATAATUALIZAÇÃO]),"-")</f>
        <v>45596</v>
      </c>
      <c r="AK56" s="9" t="str">
        <f ca="1"/>
        <v>-</v>
      </c>
      <c r="AL56" s="35" t="str">
        <v>NÃO</v>
      </c>
      <c r="AM56" s="109" cm="1">
        <f t="array" aca="1" ref="AM56" ca="1">IF('Banco de Dados'!$AK56&lt;&gt;"-",_xlfn.IFS('Banco de Dados'!$A56="bv",IF('Banco de Dados'!$E56&lt;45641,ROUND(SUM('Banco de Dados'!$R56*_xlfn.XLOOKUP('Banco de Dados'!$P56,Sku!B:B,Sku!#REF!)*20%),2),ROUND(SUM('Banco de Dados'!$R56*_xlfn.XLOOKUP('Banco de Dados'!$P56,Sku!B:B,Sku!H:H)*20%),2)),'Banco de Dados'!$A56="GO",ROUND(_xlfn.XLOOKUP('Banco de Dados'!$P56,Sku!C:C,Sku!H:H),2),'Banco de Dados'!$A56="MEI",ROUND(_xlfn.XLOOKUP('Banco de Dados'!$P56,Sku!D:D,Sku!H:H),2)),0)</f>
        <v>0</v>
      </c>
      <c r="AN56" s="109">
        <f ca="1">IF('Banco de Dados'!$AK56&lt;&gt;"-",IF('Banco de Dados'!$F56&lt;&gt;"-",_xlfn.XLOOKUP(IFERROR(IFERROR(IFERROR(VALUE(SUBSTITUTE(MID(_xlfn.TEXTAFTER('Banco de Dados'!$F56,"Data do Pedido:
",1),1,10),"-","/")),VALUE(SUBSTITUTE(MID(_xlfn.TEXTAFTER('Banco de Dados'!$F56,"Order date:
",1),1,10),"-","/"))),VALUE(SUBSTITUTE(MID(_xlfn.TEXTAFTER('Banco de Dados'!$F56,"Fecha de pedido:
",1),1,10),"-","/"))),"-"),SMS!A:A,SMS!K:K),0),0)</f>
        <v>0</v>
      </c>
      <c r="AO56" s="109">
        <f ca="1">IF('Banco de Dados'!$AK56&lt;&gt;"-",IF('Banco de Dados'!$F56&lt;&gt;"-",IFERROR(_xlfn.XLOOKUP(_xlfn.CONCAT('Banco de Dados'!$A56,IFERROR(IFERROR(VALUE(SUBSTITUTE(MID(_xlfn.TEXTAFTER('Banco de Dados'!$F56,"Data do Pedido:
",1),1,10),"-","/")),VALUE(SUBSTITUTE(MID(_xlfn.TEXTAFTER('Banco de Dados'!$F56,"Order date:
",1),1,10),"-","/"))),0)),ProxyDD[Chave],ProxyDD[Valor por pedido]),PROXY!$P$2),0),0)</f>
        <v>0</v>
      </c>
      <c r="AP56" s="28">
        <f ca="1">IF('Banco de Dados'!$AK56&lt;&gt;"-",IF('Banco de Dados'!$AL56="NÃO",IFERROR(VALUE(SUBSTITUTE(_xlfn.TEXTAFTER('Banco de Dados'!$F56,"BRL ",1),".",",")),0),0),0)</f>
        <v>0</v>
      </c>
      <c r="AQ56" s="28">
        <f ca="1">SUM('Banco de Dados'!$AM56:$AP56)</f>
        <v>0</v>
      </c>
      <c r="AR56" s="8"/>
      <c r="AS56" s="8"/>
      <c r="AY56" s="8"/>
    </row>
    <row r="57" spans="1:51">
      <c r="A57" s="5" t="str">
        <v>BV</v>
      </c>
      <c r="B57" s="5" t="str">
        <f ca="1"/>
        <v>BV45588</v>
      </c>
      <c r="C57" s="8" t="str">
        <v>Pedido 56</v>
      </c>
      <c r="D57" s="9">
        <v>45588</v>
      </c>
      <c r="E57" s="9">
        <v>45588</v>
      </c>
      <c r="F57" s="9" t="str">
        <v>PedidoF47</v>
      </c>
      <c r="G57" s="2" t="str">
        <v>CódRastreio47</v>
      </c>
      <c r="H57" s="5">
        <v>1</v>
      </c>
      <c r="I57" s="3" t="str">
        <v>CPF 54</v>
      </c>
      <c r="J57" s="9" t="str">
        <v>Nome 54</v>
      </c>
      <c r="K57" s="8" t="str">
        <v>Tel 54</v>
      </c>
      <c r="L57" s="8" t="str">
        <v>Cep 54</v>
      </c>
      <c r="M57" s="8" t="str">
        <v>Rua 54</v>
      </c>
      <c r="N57" s="8" t="str">
        <v>Comp 54</v>
      </c>
      <c r="O57" s="8" t="str">
        <v>Mini Liquidificador</v>
      </c>
      <c r="P57" s="8" t="str">
        <v>CK-YL6M-P5Y6</v>
      </c>
      <c r="Q57" s="4">
        <v>45602</v>
      </c>
      <c r="R57" s="109">
        <v>24.99</v>
      </c>
      <c r="S57" s="11">
        <f ca="1"/>
        <v>24.99</v>
      </c>
      <c r="T57" s="28">
        <f ca="1"/>
        <v>3.2486999999999999</v>
      </c>
      <c r="U57" s="11">
        <f ca="1"/>
        <v>21.74</v>
      </c>
      <c r="V57" s="11">
        <v>9.99</v>
      </c>
      <c r="W57" s="11">
        <f ca="1"/>
        <v>0.57999999999999996</v>
      </c>
      <c r="X57" s="11">
        <f ca="1"/>
        <v>0.39877104377104378</v>
      </c>
      <c r="Y57" s="11">
        <v>0</v>
      </c>
      <c r="Z57" s="11">
        <f ca="1"/>
        <v>10.771228956228954</v>
      </c>
      <c r="AA57" s="11">
        <f ca="1"/>
        <v>5.3856144781144772</v>
      </c>
      <c r="AB57" s="4">
        <f ca="1"/>
        <v>45609</v>
      </c>
      <c r="AC57" s="4">
        <v>45609</v>
      </c>
      <c r="AD57" s="9">
        <v>45609</v>
      </c>
      <c r="AE57" s="9">
        <v>45618</v>
      </c>
      <c r="AF57" s="4" t="str">
        <f t="shared" ca="1" si="0"/>
        <v>2024 11</v>
      </c>
      <c r="AG57" s="8" t="str" cm="1">
        <f t="array" ref="AG57">IFERROR(_xlfn.IFS('Banco de Dados'!#REF!="AG. COMPRA","Em processamento",'Banco de Dados'!#REF!="AG. RASTREIO","Em processamento",'Banco de Dados'!$AE57&lt;&gt;"-","Faturado",'Banco de Dados'!$AD57&lt;&gt;"-","Aguardando Pix",'Banco de Dados'!$AC57&lt;&gt;"-","Pendente"),"Aguardando Liberação")</f>
        <v>Aguardando Liberação</v>
      </c>
      <c r="AH57" s="5" t="str">
        <f>IF('Banco de Dados'!$F57="-",_xlfn.CONCAT(PROPER(TEXT(AK57,"aaaa"))," ",PROPER(TEXT(AK57,"mm"))),_xlfn.CONCAT(PROPER(TEXT(E57,"aaaa"))," ",PROPER(TEXT(E57,"mm"))))</f>
        <v>2024 10</v>
      </c>
      <c r="AI57" s="9" t="str">
        <f ca="1">IF('Banco de Dados'!$AK57&lt;&gt;"-","REEMBOLSO",IFERROR(_xlfn.XLOOKUP(G57,Follow[CODRASTREIO],Follow[STATUS]),"-"))</f>
        <v>ENTREGUE</v>
      </c>
      <c r="AJ57" s="9">
        <f ca="1">IF('Banco de Dados'!$AI57="ENTREGUE",_xlfn.XLOOKUP('Banco de Dados'!$G57,Follow[CODRASTREIO],Follow[DATAATUALIZAÇÃO]),"-")</f>
        <v>45602</v>
      </c>
      <c r="AK57" s="9" t="str">
        <f ca="1"/>
        <v>-</v>
      </c>
      <c r="AL57" s="35" t="str">
        <v>NÃO</v>
      </c>
      <c r="AM57" s="109" cm="1">
        <f t="array" aca="1" ref="AM57" ca="1">IF('Banco de Dados'!$AK57&lt;&gt;"-",_xlfn.IFS('Banco de Dados'!$A57="bv",IF('Banco de Dados'!$E57&lt;45641,ROUND(SUM('Banco de Dados'!$R57*_xlfn.XLOOKUP('Banco de Dados'!$P57,Sku!B:B,Sku!#REF!)*20%),2),ROUND(SUM('Banco de Dados'!$R57*_xlfn.XLOOKUP('Banco de Dados'!$P57,Sku!B:B,Sku!H:H)*20%),2)),'Banco de Dados'!$A57="GO",ROUND(_xlfn.XLOOKUP('Banco de Dados'!$P57,Sku!C:C,Sku!H:H),2),'Banco de Dados'!$A57="MEI",ROUND(_xlfn.XLOOKUP('Banco de Dados'!$P57,Sku!D:D,Sku!H:H),2)),0)</f>
        <v>0</v>
      </c>
      <c r="AN57" s="109">
        <f ca="1">IF('Banco de Dados'!$AK57&lt;&gt;"-",IF('Banco de Dados'!$F57&lt;&gt;"-",_xlfn.XLOOKUP(IFERROR(IFERROR(IFERROR(VALUE(SUBSTITUTE(MID(_xlfn.TEXTAFTER('Banco de Dados'!$F57,"Data do Pedido:
",1),1,10),"-","/")),VALUE(SUBSTITUTE(MID(_xlfn.TEXTAFTER('Banco de Dados'!$F57,"Order date:
",1),1,10),"-","/"))),VALUE(SUBSTITUTE(MID(_xlfn.TEXTAFTER('Banco de Dados'!$F57,"Fecha de pedido:
",1),1,10),"-","/"))),"-"),SMS!A:A,SMS!K:K),0),0)</f>
        <v>0</v>
      </c>
      <c r="AO57" s="109">
        <f ca="1">IF('Banco de Dados'!$AK57&lt;&gt;"-",IF('Banco de Dados'!$F57&lt;&gt;"-",IFERROR(_xlfn.XLOOKUP(_xlfn.CONCAT('Banco de Dados'!$A57,IFERROR(IFERROR(VALUE(SUBSTITUTE(MID(_xlfn.TEXTAFTER('Banco de Dados'!$F57,"Data do Pedido:
",1),1,10),"-","/")),VALUE(SUBSTITUTE(MID(_xlfn.TEXTAFTER('Banco de Dados'!$F57,"Order date:
",1),1,10),"-","/"))),0)),ProxyDD[Chave],ProxyDD[Valor por pedido]),PROXY!$P$2),0),0)</f>
        <v>0</v>
      </c>
      <c r="AP57" s="28">
        <f ca="1">IF('Banco de Dados'!$AK57&lt;&gt;"-",IF('Banco de Dados'!$AL57="NÃO",IFERROR(VALUE(SUBSTITUTE(_xlfn.TEXTAFTER('Banco de Dados'!$F57,"BRL ",1),".",",")),0),0),0)</f>
        <v>0</v>
      </c>
      <c r="AQ57" s="28">
        <f ca="1">SUM('Banco de Dados'!$AM57:$AP57)</f>
        <v>0</v>
      </c>
      <c r="AR57" s="8"/>
      <c r="AS57" s="8"/>
      <c r="AY57" s="8"/>
    </row>
    <row r="58" spans="1:51">
      <c r="A58" s="5" t="str">
        <v>BV</v>
      </c>
      <c r="B58" s="5" t="str">
        <f ca="1"/>
        <v>BV45588</v>
      </c>
      <c r="C58" s="8" t="str">
        <v>Pedido 57</v>
      </c>
      <c r="D58" s="9">
        <v>45588</v>
      </c>
      <c r="E58" s="9">
        <v>45588</v>
      </c>
      <c r="F58" s="9" t="str">
        <v>PedidoF48</v>
      </c>
      <c r="G58" s="2" t="str">
        <v>CódRastreio48</v>
      </c>
      <c r="H58" s="5">
        <v>1</v>
      </c>
      <c r="I58" s="2" t="str">
        <v>CPF 55</v>
      </c>
      <c r="J58" s="9" t="str">
        <v>Nome 55</v>
      </c>
      <c r="K58" s="8" t="str">
        <v>Tel 55</v>
      </c>
      <c r="L58" s="8" t="str">
        <v>Cep 55</v>
      </c>
      <c r="M58" s="8" t="str">
        <v>Rua 55</v>
      </c>
      <c r="N58" s="8" t="str">
        <v>Comp 55</v>
      </c>
      <c r="O58" s="8" t="str">
        <v>Mini Liquidificador</v>
      </c>
      <c r="P58" s="8" t="str">
        <v>CK-YL6M-P5Y6</v>
      </c>
      <c r="Q58" s="4">
        <v>45602</v>
      </c>
      <c r="R58" s="109">
        <v>26.99</v>
      </c>
      <c r="S58" s="11">
        <f ca="1"/>
        <v>26.99</v>
      </c>
      <c r="T58" s="28">
        <f ca="1"/>
        <v>3.5086999999999997</v>
      </c>
      <c r="U58" s="11">
        <f ca="1"/>
        <v>23.48</v>
      </c>
      <c r="V58" s="11">
        <v>9.99</v>
      </c>
      <c r="W58" s="11">
        <f ca="1"/>
        <v>0.57999999999999996</v>
      </c>
      <c r="X58" s="11">
        <f ca="1"/>
        <v>0.39877104377104378</v>
      </c>
      <c r="Y58" s="11">
        <v>0</v>
      </c>
      <c r="Z58" s="11">
        <f ca="1"/>
        <v>12.511228956228956</v>
      </c>
      <c r="AA58" s="11">
        <f ca="1"/>
        <v>6.2556144781144782</v>
      </c>
      <c r="AB58" s="4">
        <f ca="1"/>
        <v>45609</v>
      </c>
      <c r="AC58" s="4">
        <v>45609</v>
      </c>
      <c r="AD58" s="9">
        <v>45609</v>
      </c>
      <c r="AE58" s="9">
        <v>45618</v>
      </c>
      <c r="AF58" s="4" t="str">
        <f t="shared" ca="1" si="0"/>
        <v>2024 11</v>
      </c>
      <c r="AG58" s="8" t="str" cm="1">
        <f t="array" ref="AG58">IFERROR(_xlfn.IFS('Banco de Dados'!#REF!="AG. COMPRA","Em processamento",'Banco de Dados'!#REF!="AG. RASTREIO","Em processamento",'Banco de Dados'!$AE58&lt;&gt;"-","Faturado",'Banco de Dados'!$AD58&lt;&gt;"-","Aguardando Pix",'Banco de Dados'!$AC58&lt;&gt;"-","Pendente"),"Aguardando Liberação")</f>
        <v>Aguardando Liberação</v>
      </c>
      <c r="AH58" s="5" t="str">
        <f>IF('Banco de Dados'!$F58="-",_xlfn.CONCAT(PROPER(TEXT(AK58,"aaaa"))," ",PROPER(TEXT(AK58,"mm"))),_xlfn.CONCAT(PROPER(TEXT(E58,"aaaa"))," ",PROPER(TEXT(E58,"mm"))))</f>
        <v>2024 10</v>
      </c>
      <c r="AI58" s="9" t="str">
        <f ca="1">IF('Banco de Dados'!$AK58&lt;&gt;"-","REEMBOLSO",IFERROR(_xlfn.XLOOKUP(G58,Follow[CODRASTREIO],Follow[STATUS]),"-"))</f>
        <v>ENTREGUE</v>
      </c>
      <c r="AJ58" s="9">
        <f ca="1">IF('Banco de Dados'!$AI58="ENTREGUE",_xlfn.XLOOKUP('Banco de Dados'!$G58,Follow[CODRASTREIO],Follow[DATAATUALIZAÇÃO]),"-")</f>
        <v>45594</v>
      </c>
      <c r="AK58" s="9" t="str">
        <f ca="1"/>
        <v>-</v>
      </c>
      <c r="AL58" s="35" t="str">
        <v>NÃO</v>
      </c>
      <c r="AM58" s="109" cm="1">
        <f t="array" aca="1" ref="AM58" ca="1">IF('Banco de Dados'!$AK58&lt;&gt;"-",_xlfn.IFS('Banco de Dados'!$A58="bv",IF('Banco de Dados'!$E58&lt;45641,ROUND(SUM('Banco de Dados'!$R58*_xlfn.XLOOKUP('Banco de Dados'!$P58,Sku!B:B,Sku!#REF!)*20%),2),ROUND(SUM('Banco de Dados'!$R58*_xlfn.XLOOKUP('Banco de Dados'!$P58,Sku!B:B,Sku!H:H)*20%),2)),'Banco de Dados'!$A58="GO",ROUND(_xlfn.XLOOKUP('Banco de Dados'!$P58,Sku!C:C,Sku!H:H),2),'Banco de Dados'!$A58="MEI",ROUND(_xlfn.XLOOKUP('Banco de Dados'!$P58,Sku!D:D,Sku!H:H),2)),0)</f>
        <v>0</v>
      </c>
      <c r="AN58" s="109">
        <f ca="1">IF('Banco de Dados'!$AK58&lt;&gt;"-",IF('Banco de Dados'!$F58&lt;&gt;"-",_xlfn.XLOOKUP(IFERROR(IFERROR(IFERROR(VALUE(SUBSTITUTE(MID(_xlfn.TEXTAFTER('Banco de Dados'!$F58,"Data do Pedido:
",1),1,10),"-","/")),VALUE(SUBSTITUTE(MID(_xlfn.TEXTAFTER('Banco de Dados'!$F58,"Order date:
",1),1,10),"-","/"))),VALUE(SUBSTITUTE(MID(_xlfn.TEXTAFTER('Banco de Dados'!$F58,"Fecha de pedido:
",1),1,10),"-","/"))),"-"),SMS!A:A,SMS!K:K),0),0)</f>
        <v>0</v>
      </c>
      <c r="AO58" s="109">
        <f ca="1">IF('Banco de Dados'!$AK58&lt;&gt;"-",IF('Banco de Dados'!$F58&lt;&gt;"-",IFERROR(_xlfn.XLOOKUP(_xlfn.CONCAT('Banco de Dados'!$A58,IFERROR(IFERROR(VALUE(SUBSTITUTE(MID(_xlfn.TEXTAFTER('Banco de Dados'!$F58,"Data do Pedido:
",1),1,10),"-","/")),VALUE(SUBSTITUTE(MID(_xlfn.TEXTAFTER('Banco de Dados'!$F58,"Order date:
",1),1,10),"-","/"))),0)),ProxyDD[Chave],ProxyDD[Valor por pedido]),PROXY!$P$2),0),0)</f>
        <v>0</v>
      </c>
      <c r="AP58" s="28">
        <f ca="1">IF('Banco de Dados'!$AK58&lt;&gt;"-",IF('Banco de Dados'!$AL58="NÃO",IFERROR(VALUE(SUBSTITUTE(_xlfn.TEXTAFTER('Banco de Dados'!$F58,"BRL ",1),".",",")),0),0),0)</f>
        <v>0</v>
      </c>
      <c r="AQ58" s="28">
        <f ca="1">SUM('Banco de Dados'!$AM58:$AP58)</f>
        <v>0</v>
      </c>
      <c r="AR58" s="8"/>
      <c r="AS58" s="8"/>
      <c r="AY58" s="8"/>
    </row>
    <row r="59" spans="1:51">
      <c r="A59" s="5" t="str">
        <v>BV</v>
      </c>
      <c r="B59" s="5" t="str">
        <f ca="1"/>
        <v>BV45589</v>
      </c>
      <c r="C59" s="8" t="str">
        <v>Pedido 58</v>
      </c>
      <c r="D59" s="9">
        <v>45589</v>
      </c>
      <c r="E59" s="9">
        <v>45589</v>
      </c>
      <c r="F59" s="9" t="str">
        <v>PedidoF49</v>
      </c>
      <c r="G59" s="2" t="str">
        <v>CódRastreio49</v>
      </c>
      <c r="H59" s="5">
        <v>1</v>
      </c>
      <c r="I59" s="2" t="str">
        <v>CPF 56</v>
      </c>
      <c r="J59" s="8" t="str">
        <v>Nome 56</v>
      </c>
      <c r="K59" s="8" t="str">
        <v>Tel 56</v>
      </c>
      <c r="L59" s="8" t="str">
        <v>Cep 56</v>
      </c>
      <c r="M59" s="8" t="str">
        <v>Rua 56</v>
      </c>
      <c r="N59" s="8" t="str">
        <v>Comp 56</v>
      </c>
      <c r="O59" s="8" t="str">
        <v>Balança</v>
      </c>
      <c r="P59" s="8" t="str">
        <v>P4-K63S-8KOM</v>
      </c>
      <c r="Q59" s="4">
        <v>45602</v>
      </c>
      <c r="R59" s="109">
        <v>19.989999999999998</v>
      </c>
      <c r="S59" s="11">
        <f ca="1"/>
        <v>19.989999999999998</v>
      </c>
      <c r="T59" s="28">
        <f ca="1"/>
        <v>2.5987</v>
      </c>
      <c r="U59" s="11">
        <f ca="1"/>
        <v>17.39</v>
      </c>
      <c r="V59" s="11">
        <v>8.74</v>
      </c>
      <c r="W59" s="11">
        <f ca="1"/>
        <v>0.52</v>
      </c>
      <c r="X59" s="11">
        <f ca="1"/>
        <v>0.39877104377104378</v>
      </c>
      <c r="Y59" s="11">
        <v>0</v>
      </c>
      <c r="Z59" s="11">
        <f ca="1"/>
        <v>7.7312289562289571</v>
      </c>
      <c r="AA59" s="11">
        <f ca="1"/>
        <v>3.8656144781144786</v>
      </c>
      <c r="AB59" s="4">
        <f ca="1"/>
        <v>45609</v>
      </c>
      <c r="AC59" s="4">
        <v>45609</v>
      </c>
      <c r="AD59" s="9">
        <v>45609</v>
      </c>
      <c r="AE59" s="9">
        <v>45618</v>
      </c>
      <c r="AF59" s="4" t="str">
        <f t="shared" ca="1" si="0"/>
        <v>2024 11</v>
      </c>
      <c r="AG59" s="8" t="str" cm="1">
        <f t="array" ref="AG59">IFERROR(_xlfn.IFS('Banco de Dados'!#REF!="AG. COMPRA","Em processamento",'Banco de Dados'!#REF!="AG. RASTREIO","Em processamento",'Banco de Dados'!$AE59&lt;&gt;"-","Faturado",'Banco de Dados'!$AD59&lt;&gt;"-","Aguardando Pix",'Banco de Dados'!$AC59&lt;&gt;"-","Pendente"),"Aguardando Liberação")</f>
        <v>Aguardando Liberação</v>
      </c>
      <c r="AH59" s="5" t="str">
        <f>IF('Banco de Dados'!$F59="-",_xlfn.CONCAT(PROPER(TEXT(AK59,"aaaa"))," ",PROPER(TEXT(AK59,"mm"))),_xlfn.CONCAT(PROPER(TEXT(E59,"aaaa"))," ",PROPER(TEXT(E59,"mm"))))</f>
        <v>2024 10</v>
      </c>
      <c r="AI59" s="9" t="str">
        <f ca="1">IF('Banco de Dados'!$AK59&lt;&gt;"-","REEMBOLSO",IFERROR(_xlfn.XLOOKUP(G59,Follow[CODRASTREIO],Follow[STATUS]),"-"))</f>
        <v>ENTREGUE</v>
      </c>
      <c r="AJ59" s="9">
        <f ca="1">IF('Banco de Dados'!$AI59="ENTREGUE",_xlfn.XLOOKUP('Banco de Dados'!$G59,Follow[CODRASTREIO],Follow[DATAATUALIZAÇÃO]),"-")</f>
        <v>45595</v>
      </c>
      <c r="AK59" s="9" t="str">
        <f ca="1"/>
        <v>-</v>
      </c>
      <c r="AL59" s="35" t="str">
        <v>NÃO</v>
      </c>
      <c r="AM59" s="109" cm="1">
        <f t="array" aca="1" ref="AM59" ca="1">IF('Banco de Dados'!$AK59&lt;&gt;"-",_xlfn.IFS('Banco de Dados'!$A59="bv",IF('Banco de Dados'!$E59&lt;45641,ROUND(SUM('Banco de Dados'!$R59*_xlfn.XLOOKUP('Banco de Dados'!$P59,Sku!B:B,Sku!#REF!)*20%),2),ROUND(SUM('Banco de Dados'!$R59*_xlfn.XLOOKUP('Banco de Dados'!$P59,Sku!B:B,Sku!H:H)*20%),2)),'Banco de Dados'!$A59="GO",ROUND(_xlfn.XLOOKUP('Banco de Dados'!$P59,Sku!C:C,Sku!H:H),2),'Banco de Dados'!$A59="MEI",ROUND(_xlfn.XLOOKUP('Banco de Dados'!$P59,Sku!D:D,Sku!H:H),2)),0)</f>
        <v>0</v>
      </c>
      <c r="AN59" s="109">
        <f ca="1">IF('Banco de Dados'!$AK59&lt;&gt;"-",IF('Banco de Dados'!$F59&lt;&gt;"-",_xlfn.XLOOKUP(IFERROR(IFERROR(IFERROR(VALUE(SUBSTITUTE(MID(_xlfn.TEXTAFTER('Banco de Dados'!$F59,"Data do Pedido:
",1),1,10),"-","/")),VALUE(SUBSTITUTE(MID(_xlfn.TEXTAFTER('Banco de Dados'!$F59,"Order date:
",1),1,10),"-","/"))),VALUE(SUBSTITUTE(MID(_xlfn.TEXTAFTER('Banco de Dados'!$F59,"Fecha de pedido:
",1),1,10),"-","/"))),"-"),SMS!A:A,SMS!K:K),0),0)</f>
        <v>0</v>
      </c>
      <c r="AO59" s="109">
        <f ca="1">IF('Banco de Dados'!$AK59&lt;&gt;"-",IF('Banco de Dados'!$F59&lt;&gt;"-",IFERROR(_xlfn.XLOOKUP(_xlfn.CONCAT('Banco de Dados'!$A59,IFERROR(IFERROR(VALUE(SUBSTITUTE(MID(_xlfn.TEXTAFTER('Banco de Dados'!$F59,"Data do Pedido:
",1),1,10),"-","/")),VALUE(SUBSTITUTE(MID(_xlfn.TEXTAFTER('Banco de Dados'!$F59,"Order date:
",1),1,10),"-","/"))),0)),ProxyDD[Chave],ProxyDD[Valor por pedido]),PROXY!$P$2),0),0)</f>
        <v>0</v>
      </c>
      <c r="AP59" s="28">
        <f ca="1">IF('Banco de Dados'!$AK59&lt;&gt;"-",IF('Banco de Dados'!$AL59="NÃO",IFERROR(VALUE(SUBSTITUTE(_xlfn.TEXTAFTER('Banco de Dados'!$F59,"BRL ",1),".",",")),0),0),0)</f>
        <v>0</v>
      </c>
      <c r="AQ59" s="28">
        <f ca="1">SUM('Banco de Dados'!$AM59:$AP59)</f>
        <v>0</v>
      </c>
      <c r="AR59" s="8"/>
      <c r="AS59" s="8"/>
      <c r="AY59" s="8"/>
    </row>
    <row r="60" spans="1:51">
      <c r="A60" s="5" t="str">
        <v>BV</v>
      </c>
      <c r="B60" s="5" t="str">
        <f ca="1"/>
        <v>BV45588</v>
      </c>
      <c r="C60" s="8" t="str">
        <v>Pedido 59</v>
      </c>
      <c r="D60" s="9">
        <v>45588</v>
      </c>
      <c r="E60" s="9">
        <v>45588</v>
      </c>
      <c r="F60" s="9" t="str">
        <v>PedidoF50</v>
      </c>
      <c r="G60" s="2" t="str">
        <v>CódRastreio50</v>
      </c>
      <c r="H60" s="5">
        <v>1</v>
      </c>
      <c r="I60" s="3" t="str">
        <v>CPF 57</v>
      </c>
      <c r="J60" s="9" t="str">
        <v>Nome 57</v>
      </c>
      <c r="K60" s="8" t="str">
        <v>Tel 57</v>
      </c>
      <c r="L60" s="8" t="str">
        <v>Cep 57</v>
      </c>
      <c r="M60" s="8" t="str">
        <v>Rua 57</v>
      </c>
      <c r="N60" s="8" t="str">
        <v>Comp 57</v>
      </c>
      <c r="O60" s="8" t="str">
        <v>Mini Liquidificador</v>
      </c>
      <c r="P60" s="8" t="str">
        <v>CK-YL6M-P5Y6</v>
      </c>
      <c r="Q60" s="4">
        <v>45604</v>
      </c>
      <c r="R60" s="109">
        <v>26.99</v>
      </c>
      <c r="S60" s="11">
        <f ca="1"/>
        <v>26.99</v>
      </c>
      <c r="T60" s="28">
        <f ca="1"/>
        <v>3.5086999999999997</v>
      </c>
      <c r="U60" s="11">
        <f ca="1"/>
        <v>23.48</v>
      </c>
      <c r="V60" s="11">
        <v>9.99</v>
      </c>
      <c r="W60" s="11">
        <f ca="1"/>
        <v>0.57999999999999996</v>
      </c>
      <c r="X60" s="11">
        <f ca="1"/>
        <v>0.39877104377104378</v>
      </c>
      <c r="Y60" s="11">
        <v>0</v>
      </c>
      <c r="Z60" s="11">
        <f ca="1"/>
        <v>12.511228956228956</v>
      </c>
      <c r="AA60" s="11">
        <f ca="1"/>
        <v>6.2556144781144782</v>
      </c>
      <c r="AB60" s="4">
        <f ca="1"/>
        <v>45611</v>
      </c>
      <c r="AC60" s="4">
        <v>45611</v>
      </c>
      <c r="AD60" s="9">
        <v>45617</v>
      </c>
      <c r="AE60" s="9">
        <v>45618</v>
      </c>
      <c r="AF60" s="4" t="str">
        <f t="shared" ca="1" si="0"/>
        <v>2024 11</v>
      </c>
      <c r="AG60" s="8" t="str" cm="1">
        <f t="array" ref="AG60">IFERROR(_xlfn.IFS('Banco de Dados'!#REF!="AG. COMPRA","Em processamento",'Banco de Dados'!#REF!="AG. RASTREIO","Em processamento",'Banco de Dados'!$AE60&lt;&gt;"-","Faturado",'Banco de Dados'!$AD60&lt;&gt;"-","Aguardando Pix",'Banco de Dados'!$AC60&lt;&gt;"-","Pendente"),"Aguardando Liberação")</f>
        <v>Aguardando Liberação</v>
      </c>
      <c r="AH60" s="5" t="str">
        <f>IF('Banco de Dados'!$F60="-",_xlfn.CONCAT(PROPER(TEXT(AK60,"aaaa"))," ",PROPER(TEXT(AK60,"mm"))),_xlfn.CONCAT(PROPER(TEXT(E60,"aaaa"))," ",PROPER(TEXT(E60,"mm"))))</f>
        <v>2024 10</v>
      </c>
      <c r="AI60" s="9" t="str">
        <f ca="1">IF('Banco de Dados'!$AK60&lt;&gt;"-","REEMBOLSO",IFERROR(_xlfn.XLOOKUP(G60,Follow[CODRASTREIO],Follow[STATUS]),"-"))</f>
        <v>ENTREGUE</v>
      </c>
      <c r="AJ60" s="9">
        <f ca="1">IF('Banco de Dados'!$AI60="ENTREGUE",_xlfn.XLOOKUP('Banco de Dados'!$G60,Follow[CODRASTREIO],Follow[DATAATUALIZAÇÃO]),"-")</f>
        <v>45595</v>
      </c>
      <c r="AK60" s="9" t="str">
        <f ca="1"/>
        <v>-</v>
      </c>
      <c r="AL60" s="35" t="str">
        <v>NÃO</v>
      </c>
      <c r="AM60" s="109" cm="1">
        <f t="array" aca="1" ref="AM60" ca="1">IF('Banco de Dados'!$AK60&lt;&gt;"-",_xlfn.IFS('Banco de Dados'!$A60="bv",IF('Banco de Dados'!$E60&lt;45641,ROUND(SUM('Banco de Dados'!$R60*_xlfn.XLOOKUP('Banco de Dados'!$P60,Sku!B:B,Sku!#REF!)*20%),2),ROUND(SUM('Banco de Dados'!$R60*_xlfn.XLOOKUP('Banco de Dados'!$P60,Sku!B:B,Sku!H:H)*20%),2)),'Banco de Dados'!$A60="GO",ROUND(_xlfn.XLOOKUP('Banco de Dados'!$P60,Sku!C:C,Sku!H:H),2),'Banco de Dados'!$A60="MEI",ROUND(_xlfn.XLOOKUP('Banco de Dados'!$P60,Sku!D:D,Sku!H:H),2)),0)</f>
        <v>0</v>
      </c>
      <c r="AN60" s="109">
        <f ca="1">IF('Banco de Dados'!$AK60&lt;&gt;"-",IF('Banco de Dados'!$F60&lt;&gt;"-",_xlfn.XLOOKUP(IFERROR(IFERROR(IFERROR(VALUE(SUBSTITUTE(MID(_xlfn.TEXTAFTER('Banco de Dados'!$F60,"Data do Pedido:
",1),1,10),"-","/")),VALUE(SUBSTITUTE(MID(_xlfn.TEXTAFTER('Banco de Dados'!$F60,"Order date:
",1),1,10),"-","/"))),VALUE(SUBSTITUTE(MID(_xlfn.TEXTAFTER('Banco de Dados'!$F60,"Fecha de pedido:
",1),1,10),"-","/"))),"-"),SMS!A:A,SMS!K:K),0),0)</f>
        <v>0</v>
      </c>
      <c r="AO60" s="109">
        <f ca="1">IF('Banco de Dados'!$AK60&lt;&gt;"-",IF('Banco de Dados'!$F60&lt;&gt;"-",IFERROR(_xlfn.XLOOKUP(_xlfn.CONCAT('Banco de Dados'!$A60,IFERROR(IFERROR(VALUE(SUBSTITUTE(MID(_xlfn.TEXTAFTER('Banco de Dados'!$F60,"Data do Pedido:
",1),1,10),"-","/")),VALUE(SUBSTITUTE(MID(_xlfn.TEXTAFTER('Banco de Dados'!$F60,"Order date:
",1),1,10),"-","/"))),0)),ProxyDD[Chave],ProxyDD[Valor por pedido]),PROXY!$P$2),0),0)</f>
        <v>0</v>
      </c>
      <c r="AP60" s="28">
        <f ca="1">IF('Banco de Dados'!$AK60&lt;&gt;"-",IF('Banco de Dados'!$AL60="NÃO",IFERROR(VALUE(SUBSTITUTE(_xlfn.TEXTAFTER('Banco de Dados'!$F60,"BRL ",1),".",",")),0),0),0)</f>
        <v>0</v>
      </c>
      <c r="AQ60" s="28">
        <f ca="1">SUM('Banco de Dados'!$AM60:$AP60)</f>
        <v>0</v>
      </c>
      <c r="AR60" s="8"/>
      <c r="AS60" s="8"/>
      <c r="AY60" s="8"/>
    </row>
    <row r="61" spans="1:51">
      <c r="A61" s="5" t="str">
        <v>BV</v>
      </c>
      <c r="B61" s="5" t="str">
        <f ca="1"/>
        <v>BV45589</v>
      </c>
      <c r="C61" s="8" t="str">
        <v>Pedido 60</v>
      </c>
      <c r="D61" s="9">
        <v>45589</v>
      </c>
      <c r="E61" s="9">
        <v>45589</v>
      </c>
      <c r="F61" s="9" t="str">
        <v>PedidoF51</v>
      </c>
      <c r="G61" s="2" t="str">
        <v>CódRastreio51</v>
      </c>
      <c r="H61" s="5">
        <v>1</v>
      </c>
      <c r="I61" s="3" t="str">
        <v>CPF 58</v>
      </c>
      <c r="J61" s="8" t="str">
        <v>Nome 58</v>
      </c>
      <c r="K61" s="8" t="str">
        <v>Tel 58</v>
      </c>
      <c r="L61" s="8" t="str">
        <v>Cep 58</v>
      </c>
      <c r="M61" s="8" t="str">
        <v>Rua 58</v>
      </c>
      <c r="N61" s="8" t="str">
        <v>Comp 58</v>
      </c>
      <c r="O61" s="8" t="str">
        <v>Suporte de Celular Preto</v>
      </c>
      <c r="P61" s="8" t="str">
        <v>9G-BN48-QAPH</v>
      </c>
      <c r="Q61" s="4">
        <v>45609</v>
      </c>
      <c r="R61" s="109">
        <v>15.99</v>
      </c>
      <c r="S61" s="11">
        <f ca="1"/>
        <v>15.99</v>
      </c>
      <c r="T61" s="28">
        <f ca="1"/>
        <v>2.3984999999999999</v>
      </c>
      <c r="U61" s="11">
        <f ca="1"/>
        <v>13.59</v>
      </c>
      <c r="V61" s="11">
        <v>4.99</v>
      </c>
      <c r="W61" s="11">
        <f ca="1"/>
        <v>0.52</v>
      </c>
      <c r="X61" s="11">
        <f ca="1"/>
        <v>0.39877104377104378</v>
      </c>
      <c r="Y61" s="11">
        <v>0</v>
      </c>
      <c r="Z61" s="11">
        <f ca="1"/>
        <v>7.6812289562289564</v>
      </c>
      <c r="AA61" s="11">
        <f ca="1"/>
        <v>3.8406144781144782</v>
      </c>
      <c r="AB61" s="4">
        <f ca="1"/>
        <v>45616</v>
      </c>
      <c r="AC61" s="4">
        <v>45616</v>
      </c>
      <c r="AD61" s="9">
        <v>45617</v>
      </c>
      <c r="AE61" s="9">
        <v>45618</v>
      </c>
      <c r="AF61" s="4" t="str">
        <f t="shared" ca="1" si="0"/>
        <v>2024 11</v>
      </c>
      <c r="AG61" s="8" t="str" cm="1">
        <f t="array" ref="AG61">IFERROR(_xlfn.IFS('Banco de Dados'!#REF!="AG. COMPRA","Em processamento",'Banco de Dados'!#REF!="AG. RASTREIO","Em processamento",'Banco de Dados'!$AE61&lt;&gt;"-","Faturado",'Banco de Dados'!$AD61&lt;&gt;"-","Aguardando Pix",'Banco de Dados'!$AC61&lt;&gt;"-","Pendente"),"Aguardando Liberação")</f>
        <v>Aguardando Liberação</v>
      </c>
      <c r="AH61" s="5" t="str">
        <f>IF('Banco de Dados'!$F61="-",_xlfn.CONCAT(PROPER(TEXT(AK61,"aaaa"))," ",PROPER(TEXT(AK61,"mm"))),_xlfn.CONCAT(PROPER(TEXT(E61,"aaaa"))," ",PROPER(TEXT(E61,"mm"))))</f>
        <v>2024 10</v>
      </c>
      <c r="AI61" s="9" t="str">
        <f ca="1">IF('Banco de Dados'!$AK61&lt;&gt;"-","REEMBOLSO",IFERROR(_xlfn.XLOOKUP(G61,Follow[CODRASTREIO],Follow[STATUS]),"-"))</f>
        <v>ENTREGUE</v>
      </c>
      <c r="AJ61" s="9">
        <f ca="1">IF('Banco de Dados'!$AI61="ENTREGUE",_xlfn.XLOOKUP('Banco de Dados'!$G61,Follow[CODRASTREIO],Follow[DATAATUALIZAÇÃO]),"-")</f>
        <v>45594</v>
      </c>
      <c r="AK61" s="9" t="str">
        <f ca="1"/>
        <v>-</v>
      </c>
      <c r="AL61" s="35" t="str">
        <v>SIM</v>
      </c>
      <c r="AM61" s="109" cm="1">
        <f t="array" aca="1" ref="AM61" ca="1">IF('Banco de Dados'!$AK61&lt;&gt;"-",_xlfn.IFS('Banco de Dados'!$A61="bv",IF('Banco de Dados'!$E61&lt;45641,ROUND(SUM('Banco de Dados'!$R61*_xlfn.XLOOKUP('Banco de Dados'!$P61,Sku!B:B,Sku!#REF!)*20%),2),ROUND(SUM('Banco de Dados'!$R61*_xlfn.XLOOKUP('Banco de Dados'!$P61,Sku!B:B,Sku!H:H)*20%),2)),'Banco de Dados'!$A61="GO",ROUND(_xlfn.XLOOKUP('Banco de Dados'!$P61,Sku!C:C,Sku!H:H),2),'Banco de Dados'!$A61="MEI",ROUND(_xlfn.XLOOKUP('Banco de Dados'!$P61,Sku!D:D,Sku!H:H),2)),0)</f>
        <v>0</v>
      </c>
      <c r="AN61" s="109">
        <f ca="1">IF('Banco de Dados'!$AK61&lt;&gt;"-",IF('Banco de Dados'!$F61&lt;&gt;"-",_xlfn.XLOOKUP(IFERROR(IFERROR(IFERROR(VALUE(SUBSTITUTE(MID(_xlfn.TEXTAFTER('Banco de Dados'!$F61,"Data do Pedido:
",1),1,10),"-","/")),VALUE(SUBSTITUTE(MID(_xlfn.TEXTAFTER('Banco de Dados'!$F61,"Order date:
",1),1,10),"-","/"))),VALUE(SUBSTITUTE(MID(_xlfn.TEXTAFTER('Banco de Dados'!$F61,"Fecha de pedido:
",1),1,10),"-","/"))),"-"),SMS!A:A,SMS!K:K),0),0)</f>
        <v>0</v>
      </c>
      <c r="AO61" s="109">
        <f ca="1">IF('Banco de Dados'!$AK61&lt;&gt;"-",IF('Banco de Dados'!$F61&lt;&gt;"-",IFERROR(_xlfn.XLOOKUP(_xlfn.CONCAT('Banco de Dados'!$A61,IFERROR(IFERROR(VALUE(SUBSTITUTE(MID(_xlfn.TEXTAFTER('Banco de Dados'!$F61,"Data do Pedido:
",1),1,10),"-","/")),VALUE(SUBSTITUTE(MID(_xlfn.TEXTAFTER('Banco de Dados'!$F61,"Order date:
",1),1,10),"-","/"))),0)),ProxyDD[Chave],ProxyDD[Valor por pedido]),PROXY!$P$2),0),0)</f>
        <v>0</v>
      </c>
      <c r="AP61" s="28">
        <f ca="1">IF('Banco de Dados'!$AK61&lt;&gt;"-",IF('Banco de Dados'!$AL61="NÃO",IFERROR(VALUE(SUBSTITUTE(_xlfn.TEXTAFTER('Banco de Dados'!$F61,"BRL ",1),".",",")),0),0),0)</f>
        <v>0</v>
      </c>
      <c r="AQ61" s="28">
        <f ca="1">SUM('Banco de Dados'!$AM61:$AP61)</f>
        <v>0</v>
      </c>
      <c r="AR61" s="8"/>
      <c r="AS61" s="8"/>
      <c r="AY61" s="8"/>
    </row>
    <row r="62" spans="1:51">
      <c r="A62" s="5" t="str">
        <v>BV</v>
      </c>
      <c r="B62" s="5" t="str">
        <f ca="1"/>
        <v>BV45589</v>
      </c>
      <c r="C62" s="8" t="str">
        <v>Pedido 61</v>
      </c>
      <c r="D62" s="9">
        <v>45589</v>
      </c>
      <c r="E62" s="9">
        <v>45589</v>
      </c>
      <c r="F62" s="9" t="str">
        <v>PedidoF52</v>
      </c>
      <c r="G62" s="2" t="str">
        <v>CódRastreio52</v>
      </c>
      <c r="H62" s="5">
        <v>1</v>
      </c>
      <c r="I62" s="2" t="str">
        <v>CPF 59</v>
      </c>
      <c r="J62" s="8" t="str">
        <v>Nome 59</v>
      </c>
      <c r="K62" s="8" t="str">
        <v>Tel 59</v>
      </c>
      <c r="L62" s="8" t="str">
        <v>Cep 59</v>
      </c>
      <c r="M62" s="8" t="str">
        <v>Rua 59</v>
      </c>
      <c r="N62" s="8" t="str">
        <v>Comp 59</v>
      </c>
      <c r="O62" s="8" t="str">
        <v>Mini Liquidificador</v>
      </c>
      <c r="P62" s="8" t="str">
        <v>CK-YL6M-P5Y6</v>
      </c>
      <c r="Q62" s="4">
        <v>45615</v>
      </c>
      <c r="R62" s="109">
        <v>30</v>
      </c>
      <c r="S62" s="11">
        <f ca="1"/>
        <v>30</v>
      </c>
      <c r="T62" s="28">
        <f ca="1"/>
        <v>3.9000000000000004</v>
      </c>
      <c r="U62" s="11">
        <f ca="1"/>
        <v>26.1</v>
      </c>
      <c r="V62" s="11">
        <v>9.99</v>
      </c>
      <c r="W62" s="11">
        <f ca="1"/>
        <v>0.52</v>
      </c>
      <c r="X62" s="11">
        <f ca="1"/>
        <v>0.39877104377104378</v>
      </c>
      <c r="Y62" s="11">
        <v>0</v>
      </c>
      <c r="Z62" s="11">
        <f ca="1"/>
        <v>15.191228956228958</v>
      </c>
      <c r="AA62" s="11">
        <f ca="1"/>
        <v>7.595614478114479</v>
      </c>
      <c r="AB62" s="4">
        <f ca="1"/>
        <v>45622</v>
      </c>
      <c r="AC62" s="4">
        <v>45622</v>
      </c>
      <c r="AD62" s="9">
        <v>45625</v>
      </c>
      <c r="AE62" s="9">
        <v>45625</v>
      </c>
      <c r="AF62" s="4" t="str">
        <f t="shared" ca="1" si="0"/>
        <v>2024 11</v>
      </c>
      <c r="AG62" s="8" t="str" cm="1">
        <f t="array" ref="AG62">IFERROR(_xlfn.IFS('Banco de Dados'!#REF!="AG. COMPRA","Em processamento",'Banco de Dados'!#REF!="AG. RASTREIO","Em processamento",'Banco de Dados'!$AE62&lt;&gt;"-","Faturado",'Banco de Dados'!$AD62&lt;&gt;"-","Aguardando Pix",'Banco de Dados'!$AC62&lt;&gt;"-","Pendente"),"Aguardando Liberação")</f>
        <v>Aguardando Liberação</v>
      </c>
      <c r="AH62" s="5" t="str">
        <f>IF('Banco de Dados'!$F62="-",_xlfn.CONCAT(PROPER(TEXT(AK62,"aaaa"))," ",PROPER(TEXT(AK62,"mm"))),_xlfn.CONCAT(PROPER(TEXT(E62,"aaaa"))," ",PROPER(TEXT(E62,"mm"))))</f>
        <v>2024 10</v>
      </c>
      <c r="AI62" s="9" t="str">
        <f ca="1">IF('Banco de Dados'!$AK62&lt;&gt;"-","REEMBOLSO",IFERROR(_xlfn.XLOOKUP(G62,Follow[CODRASTREIO],Follow[STATUS]),"-"))</f>
        <v>ENTREGUE</v>
      </c>
      <c r="AJ62" s="9">
        <f ca="1">IF('Banco de Dados'!$AI62="ENTREGUE",_xlfn.XLOOKUP('Banco de Dados'!$G62,Follow[CODRASTREIO],Follow[DATAATUALIZAÇÃO]),"-")</f>
        <v>45597</v>
      </c>
      <c r="AK62" s="9" t="str">
        <f ca="1"/>
        <v>-</v>
      </c>
      <c r="AL62" s="35" t="str">
        <v>-</v>
      </c>
      <c r="AM62" s="109" cm="1">
        <f t="array" aca="1" ref="AM62" ca="1">IF('Banco de Dados'!$AK62&lt;&gt;"-",_xlfn.IFS('Banco de Dados'!$A62="bv",IF('Banco de Dados'!$E62&lt;45641,ROUND(SUM('Banco de Dados'!$R62*_xlfn.XLOOKUP('Banco de Dados'!$P62,Sku!B:B,Sku!#REF!)*20%),2),ROUND(SUM('Banco de Dados'!$R62*_xlfn.XLOOKUP('Banco de Dados'!$P62,Sku!B:B,Sku!H:H)*20%),2)),'Banco de Dados'!$A62="GO",ROUND(_xlfn.XLOOKUP('Banco de Dados'!$P62,Sku!C:C,Sku!H:H),2),'Banco de Dados'!$A62="MEI",ROUND(_xlfn.XLOOKUP('Banco de Dados'!$P62,Sku!D:D,Sku!H:H),2)),0)</f>
        <v>0</v>
      </c>
      <c r="AN62" s="109">
        <f ca="1">IF('Banco de Dados'!$AK62&lt;&gt;"-",IF('Banco de Dados'!$F62&lt;&gt;"-",_xlfn.XLOOKUP(IFERROR(IFERROR(IFERROR(VALUE(SUBSTITUTE(MID(_xlfn.TEXTAFTER('Banco de Dados'!$F62,"Data do Pedido:
",1),1,10),"-","/")),VALUE(SUBSTITUTE(MID(_xlfn.TEXTAFTER('Banco de Dados'!$F62,"Order date:
",1),1,10),"-","/"))),VALUE(SUBSTITUTE(MID(_xlfn.TEXTAFTER('Banco de Dados'!$F62,"Fecha de pedido:
",1),1,10),"-","/"))),"-"),SMS!A:A,SMS!K:K),0),0)</f>
        <v>0</v>
      </c>
      <c r="AO62" s="109">
        <f ca="1">IF('Banco de Dados'!$AK62&lt;&gt;"-",IF('Banco de Dados'!$F62&lt;&gt;"-",IFERROR(_xlfn.XLOOKUP(_xlfn.CONCAT('Banco de Dados'!$A62,IFERROR(IFERROR(VALUE(SUBSTITUTE(MID(_xlfn.TEXTAFTER('Banco de Dados'!$F62,"Data do Pedido:
",1),1,10),"-","/")),VALUE(SUBSTITUTE(MID(_xlfn.TEXTAFTER('Banco de Dados'!$F62,"Order date:
",1),1,10),"-","/"))),0)),ProxyDD[Chave],ProxyDD[Valor por pedido]),PROXY!$P$2),0),0)</f>
        <v>0</v>
      </c>
      <c r="AP62" s="28">
        <f ca="1">IF('Banco de Dados'!$AK62&lt;&gt;"-",IF('Banco de Dados'!$AL62="NÃO",IFERROR(VALUE(SUBSTITUTE(_xlfn.TEXTAFTER('Banco de Dados'!$F62,"BRL ",1),".",",")),0),0),0)</f>
        <v>0</v>
      </c>
      <c r="AQ62" s="28">
        <f ca="1">SUM('Banco de Dados'!$AM62:$AP62)</f>
        <v>0</v>
      </c>
      <c r="AR62" s="8"/>
      <c r="AS62" s="8"/>
      <c r="AY62" s="8"/>
    </row>
    <row r="63" spans="1:51">
      <c r="A63" s="5" t="str">
        <v>BV</v>
      </c>
      <c r="B63" s="5" t="str">
        <f ca="1"/>
        <v>BV45589</v>
      </c>
      <c r="C63" s="8" t="str">
        <v>Pedido 62</v>
      </c>
      <c r="D63" s="9">
        <v>45589</v>
      </c>
      <c r="E63" s="9">
        <v>45589</v>
      </c>
      <c r="F63" s="9" t="str">
        <v>PedidoF53</v>
      </c>
      <c r="G63" s="2" t="str">
        <v>CódRastreio53</v>
      </c>
      <c r="H63" s="5">
        <v>1</v>
      </c>
      <c r="I63" s="3" t="str">
        <v>CPF 60</v>
      </c>
      <c r="J63" s="8" t="str">
        <v>Nome 60</v>
      </c>
      <c r="K63" s="8" t="str">
        <v>Tel 60</v>
      </c>
      <c r="L63" s="8" t="str">
        <v>Cep 60</v>
      </c>
      <c r="M63" s="8" t="str">
        <v>Rua 60</v>
      </c>
      <c r="N63" s="8" t="str">
        <v>Comp 60</v>
      </c>
      <c r="O63" s="8" t="str">
        <v>Ventilador Rosa</v>
      </c>
      <c r="P63" s="8" t="str">
        <v>IF-G2ZQ-79FO</v>
      </c>
      <c r="Q63" s="4">
        <v>45616</v>
      </c>
      <c r="R63" s="109">
        <v>50.2</v>
      </c>
      <c r="S63" s="11">
        <f ca="1"/>
        <v>50.2</v>
      </c>
      <c r="T63" s="28">
        <f ca="1"/>
        <v>6.5260000000000007</v>
      </c>
      <c r="U63" s="11">
        <f ca="1"/>
        <v>43.67</v>
      </c>
      <c r="V63" s="11">
        <v>10.34</v>
      </c>
      <c r="W63" s="11">
        <f ca="1"/>
        <v>0.52</v>
      </c>
      <c r="X63" s="11">
        <f ca="1"/>
        <v>0.39877104377104378</v>
      </c>
      <c r="Y63" s="11">
        <v>0</v>
      </c>
      <c r="Z63" s="11">
        <f ca="1"/>
        <v>32.41122895622896</v>
      </c>
      <c r="AA63" s="11">
        <f ca="1"/>
        <v>16.20561447811448</v>
      </c>
      <c r="AB63" s="4">
        <f ca="1"/>
        <v>45623</v>
      </c>
      <c r="AC63" s="4">
        <v>45623</v>
      </c>
      <c r="AD63" s="9">
        <v>45625</v>
      </c>
      <c r="AE63" s="9">
        <v>45625</v>
      </c>
      <c r="AF63" s="4" t="str">
        <f t="shared" ca="1" si="0"/>
        <v>2024 11</v>
      </c>
      <c r="AG63" s="8" t="str" cm="1">
        <f t="array" ref="AG63">IFERROR(_xlfn.IFS('Banco de Dados'!#REF!="AG. COMPRA","Em processamento",'Banco de Dados'!#REF!="AG. RASTREIO","Em processamento",'Banco de Dados'!$AE63&lt;&gt;"-","Faturado",'Banco de Dados'!$AD63&lt;&gt;"-","Aguardando Pix",'Banco de Dados'!$AC63&lt;&gt;"-","Pendente"),"Aguardando Liberação")</f>
        <v>Aguardando Liberação</v>
      </c>
      <c r="AH63" s="5" t="str">
        <f>IF('Banco de Dados'!$F63="-",_xlfn.CONCAT(PROPER(TEXT(AK63,"aaaa"))," ",PROPER(TEXT(AK63,"mm"))),_xlfn.CONCAT(PROPER(TEXT(E63,"aaaa"))," ",PROPER(TEXT(E63,"mm"))))</f>
        <v>2024 10</v>
      </c>
      <c r="AI63" s="9" t="str">
        <f ca="1">IF('Banco de Dados'!$AK63&lt;&gt;"-","REEMBOLSO",IFERROR(_xlfn.XLOOKUP(G63,Follow[CODRASTREIO],Follow[STATUS]),"-"))</f>
        <v>ENTREGUE</v>
      </c>
      <c r="AJ63" s="9">
        <f ca="1">IF('Banco de Dados'!$AI63="ENTREGUE",_xlfn.XLOOKUP('Banco de Dados'!$G63,Follow[CODRASTREIO],Follow[DATAATUALIZAÇÃO]),"-")</f>
        <v>45602</v>
      </c>
      <c r="AK63" s="9" t="str">
        <f ca="1"/>
        <v>-</v>
      </c>
      <c r="AL63" s="35" t="str">
        <v>-</v>
      </c>
      <c r="AM63" s="109" cm="1">
        <f t="array" aca="1" ref="AM63" ca="1">IF('Banco de Dados'!$AK63&lt;&gt;"-",_xlfn.IFS('Banco de Dados'!$A63="bv",IF('Banco de Dados'!$E63&lt;45641,ROUND(SUM('Banco de Dados'!$R63*_xlfn.XLOOKUP('Banco de Dados'!$P63,Sku!B:B,Sku!#REF!)*20%),2),ROUND(SUM('Banco de Dados'!$R63*_xlfn.XLOOKUP('Banco de Dados'!$P63,Sku!B:B,Sku!H:H)*20%),2)),'Banco de Dados'!$A63="GO",ROUND(_xlfn.XLOOKUP('Banco de Dados'!$P63,Sku!C:C,Sku!H:H),2),'Banco de Dados'!$A63="MEI",ROUND(_xlfn.XLOOKUP('Banco de Dados'!$P63,Sku!D:D,Sku!H:H),2)),0)</f>
        <v>0</v>
      </c>
      <c r="AN63" s="109">
        <f ca="1">IF('Banco de Dados'!$AK63&lt;&gt;"-",IF('Banco de Dados'!$F63&lt;&gt;"-",_xlfn.XLOOKUP(IFERROR(IFERROR(IFERROR(VALUE(SUBSTITUTE(MID(_xlfn.TEXTAFTER('Banco de Dados'!$F63,"Data do Pedido:
",1),1,10),"-","/")),VALUE(SUBSTITUTE(MID(_xlfn.TEXTAFTER('Banco de Dados'!$F63,"Order date:
",1),1,10),"-","/"))),VALUE(SUBSTITUTE(MID(_xlfn.TEXTAFTER('Banco de Dados'!$F63,"Fecha de pedido:
",1),1,10),"-","/"))),"-"),SMS!A:A,SMS!K:K),0),0)</f>
        <v>0</v>
      </c>
      <c r="AO63" s="109">
        <f ca="1">IF('Banco de Dados'!$AK63&lt;&gt;"-",IF('Banco de Dados'!$F63&lt;&gt;"-",IFERROR(_xlfn.XLOOKUP(_xlfn.CONCAT('Banco de Dados'!$A63,IFERROR(IFERROR(VALUE(SUBSTITUTE(MID(_xlfn.TEXTAFTER('Banco de Dados'!$F63,"Data do Pedido:
",1),1,10),"-","/")),VALUE(SUBSTITUTE(MID(_xlfn.TEXTAFTER('Banco de Dados'!$F63,"Order date:
",1),1,10),"-","/"))),0)),ProxyDD[Chave],ProxyDD[Valor por pedido]),PROXY!$P$2),0),0)</f>
        <v>0</v>
      </c>
      <c r="AP63" s="28">
        <f ca="1">IF('Banco de Dados'!$AK63&lt;&gt;"-",IF('Banco de Dados'!$AL63="NÃO",IFERROR(VALUE(SUBSTITUTE(_xlfn.TEXTAFTER('Banco de Dados'!$F63,"BRL ",1),".",",")),0),0),0)</f>
        <v>0</v>
      </c>
      <c r="AQ63" s="28">
        <f ca="1">SUM('Banco de Dados'!$AM63:$AP63)</f>
        <v>0</v>
      </c>
      <c r="AR63" s="8"/>
      <c r="AS63" s="8"/>
      <c r="AY63" s="8"/>
    </row>
    <row r="64" spans="1:51">
      <c r="A64" s="5" t="str">
        <v>BV</v>
      </c>
      <c r="B64" s="5" t="str">
        <f ca="1"/>
        <v>BV45589</v>
      </c>
      <c r="C64" s="8" t="str">
        <v>Pedido 63</v>
      </c>
      <c r="D64" s="9">
        <v>45589</v>
      </c>
      <c r="E64" s="9">
        <v>45589</v>
      </c>
      <c r="F64" s="9" t="str">
        <v>PedidoF54</v>
      </c>
      <c r="G64" s="2" t="str">
        <v>CódRastreio54</v>
      </c>
      <c r="H64" s="5">
        <v>1</v>
      </c>
      <c r="I64" s="2" t="str">
        <v>CPF 61</v>
      </c>
      <c r="J64" s="8" t="str">
        <v>Nome 61</v>
      </c>
      <c r="K64" s="8" t="str">
        <v>Tel 61</v>
      </c>
      <c r="L64" s="8" t="str">
        <v>Cep 61</v>
      </c>
      <c r="M64" s="8" t="str">
        <v>Rua 61</v>
      </c>
      <c r="N64" s="8" t="str">
        <v>Comp 61</v>
      </c>
      <c r="O64" s="8" t="str">
        <v>Suporte de Celular Branco</v>
      </c>
      <c r="P64" s="8" t="str">
        <v>16-4EDB-WMZF</v>
      </c>
      <c r="Q64" s="4">
        <v>45609</v>
      </c>
      <c r="R64" s="109">
        <v>15.99</v>
      </c>
      <c r="S64" s="11">
        <f ca="1"/>
        <v>15.99</v>
      </c>
      <c r="T64" s="28">
        <f ca="1"/>
        <v>2.3984999999999999</v>
      </c>
      <c r="U64" s="11">
        <f ca="1"/>
        <v>13.59</v>
      </c>
      <c r="V64" s="11">
        <v>4.99</v>
      </c>
      <c r="W64" s="11">
        <f ca="1"/>
        <v>0.52</v>
      </c>
      <c r="X64" s="11">
        <f ca="1"/>
        <v>0.39877104377104378</v>
      </c>
      <c r="Y64" s="11">
        <v>0</v>
      </c>
      <c r="Z64" s="11">
        <f ca="1"/>
        <v>7.6812289562289564</v>
      </c>
      <c r="AA64" s="11">
        <f ca="1"/>
        <v>3.8406144781144782</v>
      </c>
      <c r="AB64" s="4">
        <f ca="1"/>
        <v>45616</v>
      </c>
      <c r="AC64" s="4">
        <v>45616</v>
      </c>
      <c r="AD64" s="9">
        <v>45617</v>
      </c>
      <c r="AE64" s="9">
        <v>45618</v>
      </c>
      <c r="AF64" s="4" t="str">
        <f t="shared" ca="1" si="0"/>
        <v>2024 11</v>
      </c>
      <c r="AG64" s="8" t="str" cm="1">
        <f t="array" ref="AG64">IFERROR(_xlfn.IFS('Banco de Dados'!#REF!="AG. COMPRA","Em processamento",'Banco de Dados'!#REF!="AG. RASTREIO","Em processamento",'Banco de Dados'!$AE64&lt;&gt;"-","Faturado",'Banco de Dados'!$AD64&lt;&gt;"-","Aguardando Pix",'Banco de Dados'!$AC64&lt;&gt;"-","Pendente"),"Aguardando Liberação")</f>
        <v>Aguardando Liberação</v>
      </c>
      <c r="AH64" s="5" t="str">
        <f>IF('Banco de Dados'!$F64="-",_xlfn.CONCAT(PROPER(TEXT(AK64,"aaaa"))," ",PROPER(TEXT(AK64,"mm"))),_xlfn.CONCAT(PROPER(TEXT(E64,"aaaa"))," ",PROPER(TEXT(E64,"mm"))))</f>
        <v>2024 10</v>
      </c>
      <c r="AI64" s="9" t="str">
        <f ca="1">IF('Banco de Dados'!$AK64&lt;&gt;"-","REEMBOLSO",IFERROR(_xlfn.XLOOKUP(G64,Follow[CODRASTREIO],Follow[STATUS]),"-"))</f>
        <v>ENTREGUE</v>
      </c>
      <c r="AJ64" s="9">
        <f ca="1">IF('Banco de Dados'!$AI64="ENTREGUE",_xlfn.XLOOKUP('Banco de Dados'!$G64,Follow[CODRASTREIO],Follow[DATAATUALIZAÇÃO]),"-")</f>
        <v>45596</v>
      </c>
      <c r="AK64" s="9" t="str">
        <f ca="1"/>
        <v>-</v>
      </c>
      <c r="AL64" s="35" t="str">
        <v>NÃO</v>
      </c>
      <c r="AM64" s="109" cm="1">
        <f t="array" aca="1" ref="AM64" ca="1">IF('Banco de Dados'!$AK64&lt;&gt;"-",_xlfn.IFS('Banco de Dados'!$A64="bv",IF('Banco de Dados'!$E64&lt;45641,ROUND(SUM('Banco de Dados'!$R64*_xlfn.XLOOKUP('Banco de Dados'!$P64,Sku!B:B,Sku!#REF!)*20%),2),ROUND(SUM('Banco de Dados'!$R64*_xlfn.XLOOKUP('Banco de Dados'!$P64,Sku!B:B,Sku!H:H)*20%),2)),'Banco de Dados'!$A64="GO",ROUND(_xlfn.XLOOKUP('Banco de Dados'!$P64,Sku!C:C,Sku!H:H),2),'Banco de Dados'!$A64="MEI",ROUND(_xlfn.XLOOKUP('Banco de Dados'!$P64,Sku!D:D,Sku!H:H),2)),0)</f>
        <v>0</v>
      </c>
      <c r="AN64" s="109">
        <f ca="1">IF('Banco de Dados'!$AK64&lt;&gt;"-",IF('Banco de Dados'!$F64&lt;&gt;"-",_xlfn.XLOOKUP(IFERROR(IFERROR(IFERROR(VALUE(SUBSTITUTE(MID(_xlfn.TEXTAFTER('Banco de Dados'!$F64,"Data do Pedido:
",1),1,10),"-","/")),VALUE(SUBSTITUTE(MID(_xlfn.TEXTAFTER('Banco de Dados'!$F64,"Order date:
",1),1,10),"-","/"))),VALUE(SUBSTITUTE(MID(_xlfn.TEXTAFTER('Banco de Dados'!$F64,"Fecha de pedido:
",1),1,10),"-","/"))),"-"),SMS!A:A,SMS!K:K),0),0)</f>
        <v>0</v>
      </c>
      <c r="AO64" s="109">
        <f ca="1">IF('Banco de Dados'!$AK64&lt;&gt;"-",IF('Banco de Dados'!$F64&lt;&gt;"-",IFERROR(_xlfn.XLOOKUP(_xlfn.CONCAT('Banco de Dados'!$A64,IFERROR(IFERROR(VALUE(SUBSTITUTE(MID(_xlfn.TEXTAFTER('Banco de Dados'!$F64,"Data do Pedido:
",1),1,10),"-","/")),VALUE(SUBSTITUTE(MID(_xlfn.TEXTAFTER('Banco de Dados'!$F64,"Order date:
",1),1,10),"-","/"))),0)),ProxyDD[Chave],ProxyDD[Valor por pedido]),PROXY!$P$2),0),0)</f>
        <v>0</v>
      </c>
      <c r="AP64" s="28">
        <f ca="1">IF('Banco de Dados'!$AK64&lt;&gt;"-",IF('Banco de Dados'!$AL64="NÃO",IFERROR(VALUE(SUBSTITUTE(_xlfn.TEXTAFTER('Banco de Dados'!$F64,"BRL ",1),".",",")),0),0),0)</f>
        <v>0</v>
      </c>
      <c r="AQ64" s="28">
        <f ca="1">SUM('Banco de Dados'!$AM64:$AP64)</f>
        <v>0</v>
      </c>
      <c r="AR64" s="8"/>
      <c r="AS64" s="8"/>
      <c r="AY64" s="8"/>
    </row>
    <row r="65" spans="1:51">
      <c r="A65" s="5" t="str">
        <v>BV</v>
      </c>
      <c r="B65" s="5" t="str">
        <f ca="1"/>
        <v>BV45589</v>
      </c>
      <c r="C65" s="8" t="str">
        <v>Pedido 64</v>
      </c>
      <c r="D65" s="9">
        <v>45589</v>
      </c>
      <c r="E65" s="9">
        <v>45589</v>
      </c>
      <c r="F65" s="9" t="str">
        <v>PedidoF55</v>
      </c>
      <c r="G65" s="2" t="str">
        <v>CódRastreio55</v>
      </c>
      <c r="H65" s="5">
        <v>1</v>
      </c>
      <c r="I65" s="3" t="str">
        <v>CPF 62</v>
      </c>
      <c r="J65" s="8" t="str">
        <v>Nome 62</v>
      </c>
      <c r="K65" s="8" t="str">
        <v>Tel 62</v>
      </c>
      <c r="L65" s="8" t="str">
        <v>Cep 62</v>
      </c>
      <c r="M65" s="8" t="str">
        <v>Rua 62</v>
      </c>
      <c r="N65" s="8" t="str">
        <v>Comp 62</v>
      </c>
      <c r="O65" s="8" t="str">
        <v>Suporte de Celular Branco</v>
      </c>
      <c r="P65" s="8" t="str">
        <v>16-4EDB-WMZF</v>
      </c>
      <c r="Q65" s="4">
        <v>45616</v>
      </c>
      <c r="R65" s="109">
        <v>15.99</v>
      </c>
      <c r="S65" s="11">
        <f ca="1"/>
        <v>15.99</v>
      </c>
      <c r="T65" s="28">
        <f ca="1"/>
        <v>2.3984999999999999</v>
      </c>
      <c r="U65" s="11">
        <f ca="1"/>
        <v>13.59</v>
      </c>
      <c r="V65" s="11">
        <v>4.99</v>
      </c>
      <c r="W65" s="11">
        <f ca="1"/>
        <v>0.52</v>
      </c>
      <c r="X65" s="11">
        <f ca="1"/>
        <v>0.39877104377104378</v>
      </c>
      <c r="Y65" s="11">
        <v>0</v>
      </c>
      <c r="Z65" s="11">
        <f ca="1"/>
        <v>7.6812289562289564</v>
      </c>
      <c r="AA65" s="11">
        <f ca="1"/>
        <v>3.8406144781144782</v>
      </c>
      <c r="AB65" s="4">
        <f ca="1"/>
        <v>45623</v>
      </c>
      <c r="AC65" s="4">
        <v>45623</v>
      </c>
      <c r="AD65" s="9">
        <v>45625</v>
      </c>
      <c r="AE65" s="9">
        <v>45625</v>
      </c>
      <c r="AF65" s="4" t="str">
        <f t="shared" ca="1" si="0"/>
        <v>2024 11</v>
      </c>
      <c r="AG65" s="8" t="str" cm="1">
        <f t="array" ref="AG65">IFERROR(_xlfn.IFS('Banco de Dados'!#REF!="AG. COMPRA","Em processamento",'Banco de Dados'!#REF!="AG. RASTREIO","Em processamento",'Banco de Dados'!$AE65&lt;&gt;"-","Faturado",'Banco de Dados'!$AD65&lt;&gt;"-","Aguardando Pix",'Banco de Dados'!$AC65&lt;&gt;"-","Pendente"),"Aguardando Liberação")</f>
        <v>Aguardando Liberação</v>
      </c>
      <c r="AH65" s="5" t="str">
        <f>IF('Banco de Dados'!$F65="-",_xlfn.CONCAT(PROPER(TEXT(AK65,"aaaa"))," ",PROPER(TEXT(AK65,"mm"))),_xlfn.CONCAT(PROPER(TEXT(E65,"aaaa"))," ",PROPER(TEXT(E65,"mm"))))</f>
        <v>2024 10</v>
      </c>
      <c r="AI65" s="9" t="str">
        <f ca="1">IF('Banco de Dados'!$AK65&lt;&gt;"-","REEMBOLSO",IFERROR(_xlfn.XLOOKUP(G65,Follow[CODRASTREIO],Follow[STATUS]),"-"))</f>
        <v>ENTREGUE</v>
      </c>
      <c r="AJ65" s="9">
        <f ca="1">IF('Banco de Dados'!$AI65="ENTREGUE",_xlfn.XLOOKUP('Banco de Dados'!$G65,Follow[CODRASTREIO],Follow[DATAATUALIZAÇÃO]),"-")</f>
        <v>45601</v>
      </c>
      <c r="AK65" s="9" t="str">
        <f ca="1"/>
        <v>-</v>
      </c>
      <c r="AL65" s="35" t="str">
        <v>-</v>
      </c>
      <c r="AM65" s="109" cm="1">
        <f t="array" aca="1" ref="AM65" ca="1">IF('Banco de Dados'!$AK65&lt;&gt;"-",_xlfn.IFS('Banco de Dados'!$A65="bv",IF('Banco de Dados'!$E65&lt;45641,ROUND(SUM('Banco de Dados'!$R65*_xlfn.XLOOKUP('Banco de Dados'!$P65,Sku!B:B,Sku!#REF!)*20%),2),ROUND(SUM('Banco de Dados'!$R65*_xlfn.XLOOKUP('Banco de Dados'!$P65,Sku!B:B,Sku!H:H)*20%),2)),'Banco de Dados'!$A65="GO",ROUND(_xlfn.XLOOKUP('Banco de Dados'!$P65,Sku!C:C,Sku!H:H),2),'Banco de Dados'!$A65="MEI",ROUND(_xlfn.XLOOKUP('Banco de Dados'!$P65,Sku!D:D,Sku!H:H),2)),0)</f>
        <v>0</v>
      </c>
      <c r="AN65" s="109">
        <f ca="1">IF('Banco de Dados'!$AK65&lt;&gt;"-",IF('Banco de Dados'!$F65&lt;&gt;"-",_xlfn.XLOOKUP(IFERROR(IFERROR(IFERROR(VALUE(SUBSTITUTE(MID(_xlfn.TEXTAFTER('Banco de Dados'!$F65,"Data do Pedido:
",1),1,10),"-","/")),VALUE(SUBSTITUTE(MID(_xlfn.TEXTAFTER('Banco de Dados'!$F65,"Order date:
",1),1,10),"-","/"))),VALUE(SUBSTITUTE(MID(_xlfn.TEXTAFTER('Banco de Dados'!$F65,"Fecha de pedido:
",1),1,10),"-","/"))),"-"),SMS!A:A,SMS!K:K),0),0)</f>
        <v>0</v>
      </c>
      <c r="AO65" s="109">
        <f ca="1">IF('Banco de Dados'!$AK65&lt;&gt;"-",IF('Banco de Dados'!$F65&lt;&gt;"-",IFERROR(_xlfn.XLOOKUP(_xlfn.CONCAT('Banco de Dados'!$A65,IFERROR(IFERROR(VALUE(SUBSTITUTE(MID(_xlfn.TEXTAFTER('Banco de Dados'!$F65,"Data do Pedido:
",1),1,10),"-","/")),VALUE(SUBSTITUTE(MID(_xlfn.TEXTAFTER('Banco de Dados'!$F65,"Order date:
",1),1,10),"-","/"))),0)),ProxyDD[Chave],ProxyDD[Valor por pedido]),PROXY!$P$2),0),0)</f>
        <v>0</v>
      </c>
      <c r="AP65" s="28">
        <f ca="1">IF('Banco de Dados'!$AK65&lt;&gt;"-",IF('Banco de Dados'!$AL65="NÃO",IFERROR(VALUE(SUBSTITUTE(_xlfn.TEXTAFTER('Banco de Dados'!$F65,"BRL ",1),".",",")),0),0),0)</f>
        <v>0</v>
      </c>
      <c r="AQ65" s="28">
        <f ca="1">SUM('Banco de Dados'!$AM65:$AP65)</f>
        <v>0</v>
      </c>
      <c r="AR65" s="8"/>
      <c r="AS65" s="8"/>
      <c r="AY65" s="8"/>
    </row>
    <row r="66" spans="1:51">
      <c r="A66" s="5" t="str">
        <v>BV</v>
      </c>
      <c r="B66" s="5" t="str">
        <f ca="1"/>
        <v>BV45589</v>
      </c>
      <c r="C66" s="8" t="str">
        <v>Pedido 65</v>
      </c>
      <c r="D66" s="9">
        <v>45589</v>
      </c>
      <c r="E66" s="9">
        <v>45589</v>
      </c>
      <c r="F66" s="9" t="str">
        <v>PedidoF56</v>
      </c>
      <c r="G66" s="2" t="str">
        <v>CódRastreio56</v>
      </c>
      <c r="H66" s="5">
        <v>1</v>
      </c>
      <c r="I66" s="3" t="str">
        <v>CPF 63</v>
      </c>
      <c r="J66" s="8" t="str">
        <v>Nome 63</v>
      </c>
      <c r="K66" s="8" t="str">
        <v>Tel 63</v>
      </c>
      <c r="L66" s="8" t="str">
        <v>Cep 63</v>
      </c>
      <c r="M66" s="8" t="str">
        <v>Rua 63</v>
      </c>
      <c r="N66" s="8" t="str">
        <v>Comp 63</v>
      </c>
      <c r="O66" s="8" t="str">
        <v>Suporte de Celular Branco</v>
      </c>
      <c r="P66" s="8" t="str">
        <v>16-4EDB-WMZF</v>
      </c>
      <c r="Q66" s="4">
        <v>45616</v>
      </c>
      <c r="R66" s="109">
        <v>15.99</v>
      </c>
      <c r="S66" s="11">
        <f ca="1"/>
        <v>15.99</v>
      </c>
      <c r="T66" s="28">
        <f ca="1"/>
        <v>2.3984999999999999</v>
      </c>
      <c r="U66" s="11">
        <f ca="1"/>
        <v>13.59</v>
      </c>
      <c r="V66" s="11">
        <v>4.99</v>
      </c>
      <c r="W66" s="11">
        <f ca="1"/>
        <v>0.52</v>
      </c>
      <c r="X66" s="11">
        <f ca="1"/>
        <v>0.39877104377104378</v>
      </c>
      <c r="Y66" s="11">
        <v>0</v>
      </c>
      <c r="Z66" s="11">
        <f ca="1"/>
        <v>7.6812289562289564</v>
      </c>
      <c r="AA66" s="11">
        <f ca="1"/>
        <v>3.8406144781144782</v>
      </c>
      <c r="AB66" s="4">
        <f ca="1"/>
        <v>45623</v>
      </c>
      <c r="AC66" s="4">
        <v>45623</v>
      </c>
      <c r="AD66" s="9">
        <v>45625</v>
      </c>
      <c r="AE66" s="9">
        <v>45625</v>
      </c>
      <c r="AF66" s="4" t="str">
        <f t="shared" ref="AF66:AF129" ca="1" si="1">_xlfn.CONCAT(PROPER(TEXT(AB66,"aaaa"))," ",PROPER(TEXT(AB66,"mm")))</f>
        <v>2024 11</v>
      </c>
      <c r="AG66" s="8" t="str" cm="1">
        <f t="array" ref="AG66">IFERROR(_xlfn.IFS('Banco de Dados'!#REF!="AG. COMPRA","Em processamento",'Banco de Dados'!#REF!="AG. RASTREIO","Em processamento",'Banco de Dados'!$AE66&lt;&gt;"-","Faturado",'Banco de Dados'!$AD66&lt;&gt;"-","Aguardando Pix",'Banco de Dados'!$AC66&lt;&gt;"-","Pendente"),"Aguardando Liberação")</f>
        <v>Aguardando Liberação</v>
      </c>
      <c r="AH66" s="5" t="str">
        <f>IF('Banco de Dados'!$F66="-",_xlfn.CONCAT(PROPER(TEXT(AK66,"aaaa"))," ",PROPER(TEXT(AK66,"mm"))),_xlfn.CONCAT(PROPER(TEXT(E66,"aaaa"))," ",PROPER(TEXT(E66,"mm"))))</f>
        <v>2024 10</v>
      </c>
      <c r="AI66" s="9" t="str">
        <f ca="1">IF('Banco de Dados'!$AK66&lt;&gt;"-","REEMBOLSO",IFERROR(_xlfn.XLOOKUP(G66,Follow[CODRASTREIO],Follow[STATUS]),"-"))</f>
        <v>ENTREGUE</v>
      </c>
      <c r="AJ66" s="9">
        <f ca="1">IF('Banco de Dados'!$AI66="ENTREGUE",_xlfn.XLOOKUP('Banco de Dados'!$G66,Follow[CODRASTREIO],Follow[DATAATUALIZAÇÃO]),"-")</f>
        <v>45604</v>
      </c>
      <c r="AK66" s="9" t="str">
        <f ca="1"/>
        <v>-</v>
      </c>
      <c r="AL66" s="35" t="str">
        <v>SIM</v>
      </c>
      <c r="AM66" s="109" cm="1">
        <f t="array" aca="1" ref="AM66" ca="1">IF('Banco de Dados'!$AK66&lt;&gt;"-",_xlfn.IFS('Banco de Dados'!$A66="bv",IF('Banco de Dados'!$E66&lt;45641,ROUND(SUM('Banco de Dados'!$R66*_xlfn.XLOOKUP('Banco de Dados'!$P66,Sku!B:B,Sku!#REF!)*20%),2),ROUND(SUM('Banco de Dados'!$R66*_xlfn.XLOOKUP('Banco de Dados'!$P66,Sku!B:B,Sku!H:H)*20%),2)),'Banco de Dados'!$A66="GO",ROUND(_xlfn.XLOOKUP('Banco de Dados'!$P66,Sku!C:C,Sku!H:H),2),'Banco de Dados'!$A66="MEI",ROUND(_xlfn.XLOOKUP('Banco de Dados'!$P66,Sku!D:D,Sku!H:H),2)),0)</f>
        <v>0</v>
      </c>
      <c r="AN66" s="109">
        <f ca="1">IF('Banco de Dados'!$AK66&lt;&gt;"-",IF('Banco de Dados'!$F66&lt;&gt;"-",_xlfn.XLOOKUP(IFERROR(IFERROR(IFERROR(VALUE(SUBSTITUTE(MID(_xlfn.TEXTAFTER('Banco de Dados'!$F66,"Data do Pedido:
",1),1,10),"-","/")),VALUE(SUBSTITUTE(MID(_xlfn.TEXTAFTER('Banco de Dados'!$F66,"Order date:
",1),1,10),"-","/"))),VALUE(SUBSTITUTE(MID(_xlfn.TEXTAFTER('Banco de Dados'!$F66,"Fecha de pedido:
",1),1,10),"-","/"))),"-"),SMS!A:A,SMS!K:K),0),0)</f>
        <v>0</v>
      </c>
      <c r="AO66" s="109">
        <f ca="1">IF('Banco de Dados'!$AK66&lt;&gt;"-",IF('Banco de Dados'!$F66&lt;&gt;"-",IFERROR(_xlfn.XLOOKUP(_xlfn.CONCAT('Banco de Dados'!$A66,IFERROR(IFERROR(VALUE(SUBSTITUTE(MID(_xlfn.TEXTAFTER('Banco de Dados'!$F66,"Data do Pedido:
",1),1,10),"-","/")),VALUE(SUBSTITUTE(MID(_xlfn.TEXTAFTER('Banco de Dados'!$F66,"Order date:
",1),1,10),"-","/"))),0)),ProxyDD[Chave],ProxyDD[Valor por pedido]),PROXY!$P$2),0),0)</f>
        <v>0</v>
      </c>
      <c r="AP66" s="28">
        <f ca="1">IF('Banco de Dados'!$AK66&lt;&gt;"-",IF('Banco de Dados'!$AL66="NÃO",IFERROR(VALUE(SUBSTITUTE(_xlfn.TEXTAFTER('Banco de Dados'!$F66,"BRL ",1),".",",")),0),0),0)</f>
        <v>0</v>
      </c>
      <c r="AQ66" s="28">
        <f ca="1">SUM('Banco de Dados'!$AM66:$AP66)</f>
        <v>0</v>
      </c>
      <c r="AR66" s="8"/>
      <c r="AS66" s="8"/>
      <c r="AY66" s="8"/>
    </row>
    <row r="67" spans="1:51">
      <c r="A67" s="5" t="str">
        <v>BV</v>
      </c>
      <c r="B67" s="5" t="str">
        <f ca="1"/>
        <v>BV45589</v>
      </c>
      <c r="C67" s="8" t="str">
        <v>Pedido 66</v>
      </c>
      <c r="D67" s="9">
        <v>45589</v>
      </c>
      <c r="E67" s="9">
        <v>45589</v>
      </c>
      <c r="F67" s="9" t="str">
        <v>PedidoF57</v>
      </c>
      <c r="G67" s="2" t="str">
        <v>CódRastreio57</v>
      </c>
      <c r="H67" s="5">
        <v>1</v>
      </c>
      <c r="I67" s="2" t="str">
        <v>CPF 64</v>
      </c>
      <c r="J67" s="8" t="str">
        <v>Nome 64</v>
      </c>
      <c r="K67" s="8" t="str">
        <v>Tel 64</v>
      </c>
      <c r="L67" s="8" t="str">
        <v>Cep 64</v>
      </c>
      <c r="M67" s="8" t="str">
        <v>Rua 64</v>
      </c>
      <c r="N67" s="8" t="str">
        <v>Comp 64</v>
      </c>
      <c r="O67" s="8" t="str">
        <v>Suporte de Celular Branco</v>
      </c>
      <c r="P67" s="8" t="str">
        <v>16-4EDB-WMZF</v>
      </c>
      <c r="Q67" s="4">
        <v>45603</v>
      </c>
      <c r="R67" s="109">
        <v>15.99</v>
      </c>
      <c r="S67" s="11">
        <f ca="1"/>
        <v>15.99</v>
      </c>
      <c r="T67" s="28">
        <f ca="1"/>
        <v>2.3984999999999999</v>
      </c>
      <c r="U67" s="11">
        <f ca="1"/>
        <v>13.59</v>
      </c>
      <c r="V67" s="11">
        <v>4.99</v>
      </c>
      <c r="W67" s="11">
        <f ca="1"/>
        <v>0.52</v>
      </c>
      <c r="X67" s="11">
        <f ca="1"/>
        <v>0.39877104377104378</v>
      </c>
      <c r="Y67" s="11">
        <v>0</v>
      </c>
      <c r="Z67" s="11">
        <f ca="1"/>
        <v>7.6812289562289564</v>
      </c>
      <c r="AA67" s="11">
        <f ca="1"/>
        <v>3.8406144781144782</v>
      </c>
      <c r="AB67" s="4">
        <f ca="1"/>
        <v>45610</v>
      </c>
      <c r="AC67" s="4">
        <v>45610</v>
      </c>
      <c r="AD67" s="9">
        <v>45617</v>
      </c>
      <c r="AE67" s="9">
        <v>45618</v>
      </c>
      <c r="AF67" s="4" t="str">
        <f t="shared" ca="1" si="1"/>
        <v>2024 11</v>
      </c>
      <c r="AG67" s="8" t="str" cm="1">
        <f t="array" ref="AG67">IFERROR(_xlfn.IFS('Banco de Dados'!#REF!="AG. COMPRA","Em processamento",'Banco de Dados'!#REF!="AG. RASTREIO","Em processamento",'Banco de Dados'!$AE67&lt;&gt;"-","Faturado",'Banco de Dados'!$AD67&lt;&gt;"-","Aguardando Pix",'Banco de Dados'!$AC67&lt;&gt;"-","Pendente"),"Aguardando Liberação")</f>
        <v>Aguardando Liberação</v>
      </c>
      <c r="AH67" s="5" t="str">
        <f>IF('Banco de Dados'!$F67="-",_xlfn.CONCAT(PROPER(TEXT(AK67,"aaaa"))," ",PROPER(TEXT(AK67,"mm"))),_xlfn.CONCAT(PROPER(TEXT(E67,"aaaa"))," ",PROPER(TEXT(E67,"mm"))))</f>
        <v>2024 10</v>
      </c>
      <c r="AI67" s="9" t="str">
        <f ca="1">IF('Banco de Dados'!$AK67&lt;&gt;"-","REEMBOLSO",IFERROR(_xlfn.XLOOKUP(G67,Follow[CODRASTREIO],Follow[STATUS]),"-"))</f>
        <v>ENTREGUE</v>
      </c>
      <c r="AJ67" s="9">
        <f ca="1">IF('Banco de Dados'!$AI67="ENTREGUE",_xlfn.XLOOKUP('Banco de Dados'!$G67,Follow[CODRASTREIO],Follow[DATAATUALIZAÇÃO]),"-")</f>
        <v>45594</v>
      </c>
      <c r="AK67" s="9" t="str">
        <f ca="1"/>
        <v>-</v>
      </c>
      <c r="AL67" s="35" t="str">
        <v>-</v>
      </c>
      <c r="AM67" s="109" cm="1">
        <f t="array" aca="1" ref="AM67" ca="1">IF('Banco de Dados'!$AK67&lt;&gt;"-",_xlfn.IFS('Banco de Dados'!$A67="bv",IF('Banco de Dados'!$E67&lt;45641,ROUND(SUM('Banco de Dados'!$R67*_xlfn.XLOOKUP('Banco de Dados'!$P67,Sku!B:B,Sku!#REF!)*20%),2),ROUND(SUM('Banco de Dados'!$R67*_xlfn.XLOOKUP('Banco de Dados'!$P67,Sku!B:B,Sku!H:H)*20%),2)),'Banco de Dados'!$A67="GO",ROUND(_xlfn.XLOOKUP('Banco de Dados'!$P67,Sku!C:C,Sku!H:H),2),'Banco de Dados'!$A67="MEI",ROUND(_xlfn.XLOOKUP('Banco de Dados'!$P67,Sku!D:D,Sku!H:H),2)),0)</f>
        <v>0</v>
      </c>
      <c r="AN67" s="109">
        <f ca="1">IF('Banco de Dados'!$AK67&lt;&gt;"-",IF('Banco de Dados'!$F67&lt;&gt;"-",_xlfn.XLOOKUP(IFERROR(IFERROR(IFERROR(VALUE(SUBSTITUTE(MID(_xlfn.TEXTAFTER('Banco de Dados'!$F67,"Data do Pedido:
",1),1,10),"-","/")),VALUE(SUBSTITUTE(MID(_xlfn.TEXTAFTER('Banco de Dados'!$F67,"Order date:
",1),1,10),"-","/"))),VALUE(SUBSTITUTE(MID(_xlfn.TEXTAFTER('Banco de Dados'!$F67,"Fecha de pedido:
",1),1,10),"-","/"))),"-"),SMS!A:A,SMS!K:K),0),0)</f>
        <v>0</v>
      </c>
      <c r="AO67" s="109">
        <f ca="1">IF('Banco de Dados'!$AK67&lt;&gt;"-",IF('Banco de Dados'!$F67&lt;&gt;"-",IFERROR(_xlfn.XLOOKUP(_xlfn.CONCAT('Banco de Dados'!$A67,IFERROR(IFERROR(VALUE(SUBSTITUTE(MID(_xlfn.TEXTAFTER('Banco de Dados'!$F67,"Data do Pedido:
",1),1,10),"-","/")),VALUE(SUBSTITUTE(MID(_xlfn.TEXTAFTER('Banco de Dados'!$F67,"Order date:
",1),1,10),"-","/"))),0)),ProxyDD[Chave],ProxyDD[Valor por pedido]),PROXY!$P$2),0),0)</f>
        <v>0</v>
      </c>
      <c r="AP67" s="28">
        <f ca="1">IF('Banco de Dados'!$AK67&lt;&gt;"-",IF('Banco de Dados'!$AL67="NÃO",IFERROR(VALUE(SUBSTITUTE(_xlfn.TEXTAFTER('Banco de Dados'!$F67,"BRL ",1),".",",")),0),0),0)</f>
        <v>0</v>
      </c>
      <c r="AQ67" s="28">
        <f ca="1">SUM('Banco de Dados'!$AM67:$AP67)</f>
        <v>0</v>
      </c>
      <c r="AR67" s="8"/>
      <c r="AS67" s="8"/>
      <c r="AY67" s="8"/>
    </row>
    <row r="68" spans="1:51">
      <c r="A68" s="5" t="str">
        <v>BV</v>
      </c>
      <c r="B68" s="5" t="str">
        <f ca="1"/>
        <v>BV45589</v>
      </c>
      <c r="C68" s="8" t="str">
        <v>Pedido 67</v>
      </c>
      <c r="D68" s="9">
        <v>45589</v>
      </c>
      <c r="E68" s="9">
        <v>45589</v>
      </c>
      <c r="F68" s="9" t="str">
        <v>PedidoF58</v>
      </c>
      <c r="G68" s="2" t="str">
        <v>CódRastreio58</v>
      </c>
      <c r="H68" s="5">
        <v>1</v>
      </c>
      <c r="I68" s="3" t="str">
        <v>CPF 65</v>
      </c>
      <c r="J68" s="8" t="str">
        <v>Nome 65</v>
      </c>
      <c r="K68" s="8" t="str">
        <v>Tel 65</v>
      </c>
      <c r="L68" s="8" t="str">
        <v>Cep 65</v>
      </c>
      <c r="M68" s="8" t="str">
        <v>Rua 65</v>
      </c>
      <c r="N68" s="8" t="str">
        <v>Comp 65</v>
      </c>
      <c r="O68" s="8" t="str">
        <v>Suporte de Celular Branco</v>
      </c>
      <c r="P68" s="8" t="str">
        <v>16-4EDB-WMZF</v>
      </c>
      <c r="Q68" s="4">
        <v>45609</v>
      </c>
      <c r="R68" s="109">
        <v>15.99</v>
      </c>
      <c r="S68" s="11">
        <f ca="1"/>
        <v>15.99</v>
      </c>
      <c r="T68" s="28">
        <f ca="1"/>
        <v>2.3984999999999999</v>
      </c>
      <c r="U68" s="11">
        <f ca="1"/>
        <v>13.59</v>
      </c>
      <c r="V68" s="11">
        <v>4.99</v>
      </c>
      <c r="W68" s="11">
        <f ca="1"/>
        <v>0.52</v>
      </c>
      <c r="X68" s="11">
        <f ca="1"/>
        <v>0.39877104377104378</v>
      </c>
      <c r="Y68" s="11">
        <v>0</v>
      </c>
      <c r="Z68" s="11">
        <f ca="1"/>
        <v>7.6812289562289564</v>
      </c>
      <c r="AA68" s="11">
        <f ca="1"/>
        <v>3.8406144781144782</v>
      </c>
      <c r="AB68" s="4">
        <f ca="1"/>
        <v>45616</v>
      </c>
      <c r="AC68" s="4">
        <v>45616</v>
      </c>
      <c r="AD68" s="9">
        <v>45617</v>
      </c>
      <c r="AE68" s="9">
        <v>45618</v>
      </c>
      <c r="AF68" s="4" t="str">
        <f t="shared" ca="1" si="1"/>
        <v>2024 11</v>
      </c>
      <c r="AG68" s="8" t="str" cm="1">
        <f t="array" ref="AG68">IFERROR(_xlfn.IFS('Banco de Dados'!#REF!="AG. COMPRA","Em processamento",'Banco de Dados'!#REF!="AG. RASTREIO","Em processamento",'Banco de Dados'!$AE68&lt;&gt;"-","Faturado",'Banco de Dados'!$AD68&lt;&gt;"-","Aguardando Pix",'Banco de Dados'!$AC68&lt;&gt;"-","Pendente"),"Aguardando Liberação")</f>
        <v>Aguardando Liberação</v>
      </c>
      <c r="AH68" s="5" t="str">
        <f>IF('Banco de Dados'!$F68="-",_xlfn.CONCAT(PROPER(TEXT(AK68,"aaaa"))," ",PROPER(TEXT(AK68,"mm"))),_xlfn.CONCAT(PROPER(TEXT(E68,"aaaa"))," ",PROPER(TEXT(E68,"mm"))))</f>
        <v>2024 10</v>
      </c>
      <c r="AI68" s="9" t="str">
        <f ca="1">IF('Banco de Dados'!$AK68&lt;&gt;"-","REEMBOLSO",IFERROR(_xlfn.XLOOKUP(G68,Follow[CODRASTREIO],Follow[STATUS]),"-"))</f>
        <v>ENTREGUE</v>
      </c>
      <c r="AJ68" s="9">
        <f ca="1">IF('Banco de Dados'!$AI68="ENTREGUE",_xlfn.XLOOKUP('Banco de Dados'!$G68,Follow[CODRASTREIO],Follow[DATAATUALIZAÇÃO]),"-")</f>
        <v>45596</v>
      </c>
      <c r="AK68" s="9" t="str">
        <f ca="1"/>
        <v>-</v>
      </c>
      <c r="AL68" s="35" t="str">
        <v>SIM</v>
      </c>
      <c r="AM68" s="109" cm="1">
        <f t="array" aca="1" ref="AM68" ca="1">IF('Banco de Dados'!$AK68&lt;&gt;"-",_xlfn.IFS('Banco de Dados'!$A68="bv",IF('Banco de Dados'!$E68&lt;45641,ROUND(SUM('Banco de Dados'!$R68*_xlfn.XLOOKUP('Banco de Dados'!$P68,Sku!B:B,Sku!#REF!)*20%),2),ROUND(SUM('Banco de Dados'!$R68*_xlfn.XLOOKUP('Banco de Dados'!$P68,Sku!B:B,Sku!H:H)*20%),2)),'Banco de Dados'!$A68="GO",ROUND(_xlfn.XLOOKUP('Banco de Dados'!$P68,Sku!C:C,Sku!H:H),2),'Banco de Dados'!$A68="MEI",ROUND(_xlfn.XLOOKUP('Banco de Dados'!$P68,Sku!D:D,Sku!H:H),2)),0)</f>
        <v>0</v>
      </c>
      <c r="AN68" s="109">
        <f ca="1">IF('Banco de Dados'!$AK68&lt;&gt;"-",IF('Banco de Dados'!$F68&lt;&gt;"-",_xlfn.XLOOKUP(IFERROR(IFERROR(IFERROR(VALUE(SUBSTITUTE(MID(_xlfn.TEXTAFTER('Banco de Dados'!$F68,"Data do Pedido:
",1),1,10),"-","/")),VALUE(SUBSTITUTE(MID(_xlfn.TEXTAFTER('Banco de Dados'!$F68,"Order date:
",1),1,10),"-","/"))),VALUE(SUBSTITUTE(MID(_xlfn.TEXTAFTER('Banco de Dados'!$F68,"Fecha de pedido:
",1),1,10),"-","/"))),"-"),SMS!A:A,SMS!K:K),0),0)</f>
        <v>0</v>
      </c>
      <c r="AO68" s="109">
        <f ca="1">IF('Banco de Dados'!$AK68&lt;&gt;"-",IF('Banco de Dados'!$F68&lt;&gt;"-",IFERROR(_xlfn.XLOOKUP(_xlfn.CONCAT('Banco de Dados'!$A68,IFERROR(IFERROR(VALUE(SUBSTITUTE(MID(_xlfn.TEXTAFTER('Banco de Dados'!$F68,"Data do Pedido:
",1),1,10),"-","/")),VALUE(SUBSTITUTE(MID(_xlfn.TEXTAFTER('Banco de Dados'!$F68,"Order date:
",1),1,10),"-","/"))),0)),ProxyDD[Chave],ProxyDD[Valor por pedido]),PROXY!$P$2),0),0)</f>
        <v>0</v>
      </c>
      <c r="AP68" s="28">
        <f ca="1">IF('Banco de Dados'!$AK68&lt;&gt;"-",IF('Banco de Dados'!$AL68="NÃO",IFERROR(VALUE(SUBSTITUTE(_xlfn.TEXTAFTER('Banco de Dados'!$F68,"BRL ",1),".",",")),0),0),0)</f>
        <v>0</v>
      </c>
      <c r="AQ68" s="28">
        <f ca="1">SUM('Banco de Dados'!$AM68:$AP68)</f>
        <v>0</v>
      </c>
      <c r="AR68" s="8"/>
      <c r="AS68" s="8"/>
      <c r="AY68" s="8"/>
    </row>
    <row r="69" spans="1:51">
      <c r="A69" s="5" t="str">
        <v>BV</v>
      </c>
      <c r="B69" s="5" t="str">
        <f ca="1"/>
        <v>BV45589</v>
      </c>
      <c r="C69" s="8" t="str">
        <v>Pedido 68</v>
      </c>
      <c r="D69" s="9">
        <v>45589</v>
      </c>
      <c r="E69" s="9">
        <v>45589</v>
      </c>
      <c r="F69" s="9" t="str">
        <v>PedidoF59</v>
      </c>
      <c r="G69" s="2" t="str">
        <v>CódRastreio59</v>
      </c>
      <c r="H69" s="5">
        <v>1</v>
      </c>
      <c r="I69" s="2" t="str">
        <v>CPF 66</v>
      </c>
      <c r="J69" s="8" t="str">
        <v>Nome 66</v>
      </c>
      <c r="K69" s="8" t="str">
        <v>Tel 66</v>
      </c>
      <c r="L69" s="8" t="str">
        <v>Cep 66</v>
      </c>
      <c r="M69" s="8" t="str">
        <v>Rua 66</v>
      </c>
      <c r="N69" s="8" t="str">
        <v>Comp 66</v>
      </c>
      <c r="O69" s="8" t="str">
        <v>Suporte de Celular Branco</v>
      </c>
      <c r="P69" s="8" t="str">
        <v>16-4EDB-WMZF</v>
      </c>
      <c r="Q69" s="4">
        <v>45603</v>
      </c>
      <c r="R69" s="109">
        <v>15.99</v>
      </c>
      <c r="S69" s="11">
        <f ca="1"/>
        <v>15.99</v>
      </c>
      <c r="T69" s="28">
        <f ca="1"/>
        <v>2.3984999999999999</v>
      </c>
      <c r="U69" s="11">
        <f ca="1"/>
        <v>13.59</v>
      </c>
      <c r="V69" s="11">
        <v>4.99</v>
      </c>
      <c r="W69" s="11">
        <f ca="1"/>
        <v>0.52</v>
      </c>
      <c r="X69" s="11">
        <f ca="1"/>
        <v>0.39877104377104378</v>
      </c>
      <c r="Y69" s="11">
        <v>0</v>
      </c>
      <c r="Z69" s="11">
        <f ca="1"/>
        <v>7.6812289562289564</v>
      </c>
      <c r="AA69" s="11">
        <f ca="1"/>
        <v>3.8406144781144782</v>
      </c>
      <c r="AB69" s="4">
        <f ca="1"/>
        <v>45610</v>
      </c>
      <c r="AC69" s="4">
        <v>45610</v>
      </c>
      <c r="AD69" s="9">
        <v>45617</v>
      </c>
      <c r="AE69" s="9">
        <v>45618</v>
      </c>
      <c r="AF69" s="4" t="str">
        <f t="shared" ca="1" si="1"/>
        <v>2024 11</v>
      </c>
      <c r="AG69" s="8" t="str" cm="1">
        <f t="array" ref="AG69">IFERROR(_xlfn.IFS('Banco de Dados'!#REF!="AG. COMPRA","Em processamento",'Banco de Dados'!#REF!="AG. RASTREIO","Em processamento",'Banco de Dados'!$AE69&lt;&gt;"-","Faturado",'Banco de Dados'!$AD69&lt;&gt;"-","Aguardando Pix",'Banco de Dados'!$AC69&lt;&gt;"-","Pendente"),"Aguardando Liberação")</f>
        <v>Aguardando Liberação</v>
      </c>
      <c r="AH69" s="5" t="str">
        <f>IF('Banco de Dados'!$F69="-",_xlfn.CONCAT(PROPER(TEXT(AK69,"aaaa"))," ",PROPER(TEXT(AK69,"mm"))),_xlfn.CONCAT(PROPER(TEXT(E69,"aaaa"))," ",PROPER(TEXT(E69,"mm"))))</f>
        <v>2024 10</v>
      </c>
      <c r="AI69" s="9" t="str">
        <f ca="1">IF('Banco de Dados'!$AK69&lt;&gt;"-","REEMBOLSO",IFERROR(_xlfn.XLOOKUP(G69,Follow[CODRASTREIO],Follow[STATUS]),"-"))</f>
        <v>ENTREGUE</v>
      </c>
      <c r="AJ69" s="9">
        <f ca="1">IF('Banco de Dados'!$AI69="ENTREGUE",_xlfn.XLOOKUP('Banco de Dados'!$G69,Follow[CODRASTREIO],Follow[DATAATUALIZAÇÃO]),"-")</f>
        <v>45595</v>
      </c>
      <c r="AK69" s="9" t="str">
        <f ca="1"/>
        <v>-</v>
      </c>
      <c r="AL69" s="35" t="str">
        <v>SIM</v>
      </c>
      <c r="AM69" s="109" cm="1">
        <f t="array" aca="1" ref="AM69" ca="1">IF('Banco de Dados'!$AK69&lt;&gt;"-",_xlfn.IFS('Banco de Dados'!$A69="bv",IF('Banco de Dados'!$E69&lt;45641,ROUND(SUM('Banco de Dados'!$R69*_xlfn.XLOOKUP('Banco de Dados'!$P69,Sku!B:B,Sku!#REF!)*20%),2),ROUND(SUM('Banco de Dados'!$R69*_xlfn.XLOOKUP('Banco de Dados'!$P69,Sku!B:B,Sku!H:H)*20%),2)),'Banco de Dados'!$A69="GO",ROUND(_xlfn.XLOOKUP('Banco de Dados'!$P69,Sku!C:C,Sku!H:H),2),'Banco de Dados'!$A69="MEI",ROUND(_xlfn.XLOOKUP('Banco de Dados'!$P69,Sku!D:D,Sku!H:H),2)),0)</f>
        <v>0</v>
      </c>
      <c r="AN69" s="109">
        <f ca="1">IF('Banco de Dados'!$AK69&lt;&gt;"-",IF('Banco de Dados'!$F69&lt;&gt;"-",_xlfn.XLOOKUP(IFERROR(IFERROR(IFERROR(VALUE(SUBSTITUTE(MID(_xlfn.TEXTAFTER('Banco de Dados'!$F69,"Data do Pedido:
",1),1,10),"-","/")),VALUE(SUBSTITUTE(MID(_xlfn.TEXTAFTER('Banco de Dados'!$F69,"Order date:
",1),1,10),"-","/"))),VALUE(SUBSTITUTE(MID(_xlfn.TEXTAFTER('Banco de Dados'!$F69,"Fecha de pedido:
",1),1,10),"-","/"))),"-"),SMS!A:A,SMS!K:K),0),0)</f>
        <v>0</v>
      </c>
      <c r="AO69" s="109">
        <f ca="1">IF('Banco de Dados'!$AK69&lt;&gt;"-",IF('Banco de Dados'!$F69&lt;&gt;"-",IFERROR(_xlfn.XLOOKUP(_xlfn.CONCAT('Banco de Dados'!$A69,IFERROR(IFERROR(VALUE(SUBSTITUTE(MID(_xlfn.TEXTAFTER('Banco de Dados'!$F69,"Data do Pedido:
",1),1,10),"-","/")),VALUE(SUBSTITUTE(MID(_xlfn.TEXTAFTER('Banco de Dados'!$F69,"Order date:
",1),1,10),"-","/"))),0)),ProxyDD[Chave],ProxyDD[Valor por pedido]),PROXY!$P$2),0),0)</f>
        <v>0</v>
      </c>
      <c r="AP69" s="28">
        <f ca="1">IF('Banco de Dados'!$AK69&lt;&gt;"-",IF('Banco de Dados'!$AL69="NÃO",IFERROR(VALUE(SUBSTITUTE(_xlfn.TEXTAFTER('Banco de Dados'!$F69,"BRL ",1),".",",")),0),0),0)</f>
        <v>0</v>
      </c>
      <c r="AQ69" s="28">
        <f ca="1">SUM('Banco de Dados'!$AM69:$AP69)</f>
        <v>0</v>
      </c>
      <c r="AR69" s="8"/>
      <c r="AS69" s="8"/>
      <c r="AY69" s="8"/>
    </row>
    <row r="70" spans="1:51">
      <c r="A70" s="5" t="str">
        <v>BV</v>
      </c>
      <c r="B70" s="5" t="str">
        <f ca="1"/>
        <v>BV45590</v>
      </c>
      <c r="C70" s="8" t="str">
        <v>Pedido 69</v>
      </c>
      <c r="D70" s="9">
        <v>45590</v>
      </c>
      <c r="E70" s="9">
        <v>45590</v>
      </c>
      <c r="F70" s="9" t="str">
        <v>PedidoF60</v>
      </c>
      <c r="G70" s="9" t="str">
        <v>CódRastreio60</v>
      </c>
      <c r="H70" s="5">
        <v>1</v>
      </c>
      <c r="I70" s="3" t="str">
        <v>CPF 67</v>
      </c>
      <c r="J70" s="8" t="str">
        <v>Nome 67</v>
      </c>
      <c r="K70" s="8" t="str">
        <v>Tel 67</v>
      </c>
      <c r="L70" s="8" t="str">
        <v>Cep 67</v>
      </c>
      <c r="M70" s="8" t="str">
        <v>Rua 67</v>
      </c>
      <c r="N70" s="8" t="str">
        <v>Comp 67</v>
      </c>
      <c r="O70" s="8" t="str">
        <v>Suporte de Celular Branco</v>
      </c>
      <c r="P70" s="8" t="str">
        <v>16-4EDB-WMZF</v>
      </c>
      <c r="Q70" s="4">
        <v>45605</v>
      </c>
      <c r="R70" s="109">
        <v>15.99</v>
      </c>
      <c r="S70" s="11">
        <f ca="1"/>
        <v>15.99</v>
      </c>
      <c r="T70" s="28">
        <f ca="1"/>
        <v>2.3984999999999999</v>
      </c>
      <c r="U70" s="11">
        <f ca="1"/>
        <v>13.59</v>
      </c>
      <c r="V70" s="11">
        <v>4.99</v>
      </c>
      <c r="W70" s="11">
        <f ca="1"/>
        <v>0.55000000000000004</v>
      </c>
      <c r="X70" s="11">
        <f ca="1"/>
        <v>0.39877104377104378</v>
      </c>
      <c r="Y70" s="11">
        <v>0</v>
      </c>
      <c r="Z70" s="11">
        <f ca="1"/>
        <v>7.6512289562289562</v>
      </c>
      <c r="AA70" s="11">
        <f ca="1"/>
        <v>3.8256144781144781</v>
      </c>
      <c r="AB70" s="4">
        <f ca="1"/>
        <v>45612</v>
      </c>
      <c r="AC70" s="4">
        <v>45612</v>
      </c>
      <c r="AD70" s="9">
        <v>45617</v>
      </c>
      <c r="AE70" s="9">
        <v>45618</v>
      </c>
      <c r="AF70" s="4" t="str">
        <f t="shared" ca="1" si="1"/>
        <v>2024 11</v>
      </c>
      <c r="AG70" s="8" t="str" cm="1">
        <f t="array" ref="AG70">IFERROR(_xlfn.IFS('Banco de Dados'!#REF!="AG. COMPRA","Em processamento",'Banco de Dados'!#REF!="AG. RASTREIO","Em processamento",'Banco de Dados'!$AE70&lt;&gt;"-","Faturado",'Banco de Dados'!$AD70&lt;&gt;"-","Aguardando Pix",'Banco de Dados'!$AC70&lt;&gt;"-","Pendente"),"Aguardando Liberação")</f>
        <v>Aguardando Liberação</v>
      </c>
      <c r="AH70" s="5" t="str">
        <f>IF('Banco de Dados'!$F70="-",_xlfn.CONCAT(PROPER(TEXT(AK70,"aaaa"))," ",PROPER(TEXT(AK70,"mm"))),_xlfn.CONCAT(PROPER(TEXT(E70,"aaaa"))," ",PROPER(TEXT(E70,"mm"))))</f>
        <v>2024 10</v>
      </c>
      <c r="AI70" s="9" t="str">
        <f ca="1">IF('Banco de Dados'!$AK70&lt;&gt;"-","REEMBOLSO",IFERROR(_xlfn.XLOOKUP(G70,Follow[CODRASTREIO],Follow[STATUS]),"-"))</f>
        <v>ENTREGUE</v>
      </c>
      <c r="AJ70" s="9">
        <f ca="1">IF('Banco de Dados'!$AI70="ENTREGUE",_xlfn.XLOOKUP('Banco de Dados'!$G70,Follow[CODRASTREIO],Follow[DATAATUALIZAÇÃO]),"-")</f>
        <v>45595</v>
      </c>
      <c r="AK70" s="9" t="str">
        <f ca="1"/>
        <v>-</v>
      </c>
      <c r="AL70" s="35" t="str">
        <v>SIM</v>
      </c>
      <c r="AM70" s="109" cm="1">
        <f t="array" aca="1" ref="AM70" ca="1">IF('Banco de Dados'!$AK70&lt;&gt;"-",_xlfn.IFS('Banco de Dados'!$A70="bv",IF('Banco de Dados'!$E70&lt;45641,ROUND(SUM('Banco de Dados'!$R70*_xlfn.XLOOKUP('Banco de Dados'!$P70,Sku!B:B,Sku!#REF!)*20%),2),ROUND(SUM('Banco de Dados'!$R70*_xlfn.XLOOKUP('Banco de Dados'!$P70,Sku!B:B,Sku!H:H)*20%),2)),'Banco de Dados'!$A70="GO",ROUND(_xlfn.XLOOKUP('Banco de Dados'!$P70,Sku!C:C,Sku!H:H),2),'Banco de Dados'!$A70="MEI",ROUND(_xlfn.XLOOKUP('Banco de Dados'!$P70,Sku!D:D,Sku!H:H),2)),0)</f>
        <v>0</v>
      </c>
      <c r="AN70" s="109">
        <f ca="1">IF('Banco de Dados'!$AK70&lt;&gt;"-",IF('Banco de Dados'!$F70&lt;&gt;"-",_xlfn.XLOOKUP(IFERROR(IFERROR(IFERROR(VALUE(SUBSTITUTE(MID(_xlfn.TEXTAFTER('Banco de Dados'!$F70,"Data do Pedido:
",1),1,10),"-","/")),VALUE(SUBSTITUTE(MID(_xlfn.TEXTAFTER('Banco de Dados'!$F70,"Order date:
",1),1,10),"-","/"))),VALUE(SUBSTITUTE(MID(_xlfn.TEXTAFTER('Banco de Dados'!$F70,"Fecha de pedido:
",1),1,10),"-","/"))),"-"),SMS!A:A,SMS!K:K),0),0)</f>
        <v>0</v>
      </c>
      <c r="AO70" s="109">
        <f ca="1">IF('Banco de Dados'!$AK70&lt;&gt;"-",IF('Banco de Dados'!$F70&lt;&gt;"-",IFERROR(_xlfn.XLOOKUP(_xlfn.CONCAT('Banco de Dados'!$A70,IFERROR(IFERROR(VALUE(SUBSTITUTE(MID(_xlfn.TEXTAFTER('Banco de Dados'!$F70,"Data do Pedido:
",1),1,10),"-","/")),VALUE(SUBSTITUTE(MID(_xlfn.TEXTAFTER('Banco de Dados'!$F70,"Order date:
",1),1,10),"-","/"))),0)),ProxyDD[Chave],ProxyDD[Valor por pedido]),PROXY!$P$2),0),0)</f>
        <v>0</v>
      </c>
      <c r="AP70" s="28">
        <f ca="1">IF('Banco de Dados'!$AK70&lt;&gt;"-",IF('Banco de Dados'!$AL70="NÃO",IFERROR(VALUE(SUBSTITUTE(_xlfn.TEXTAFTER('Banco de Dados'!$F70,"BRL ",1),".",",")),0),0),0)</f>
        <v>0</v>
      </c>
      <c r="AQ70" s="28">
        <f ca="1">SUM('Banco de Dados'!$AM70:$AP70)</f>
        <v>0</v>
      </c>
      <c r="AR70" s="8"/>
      <c r="AS70" s="8"/>
      <c r="AY70" s="8"/>
    </row>
    <row r="71" spans="1:51">
      <c r="A71" s="5" t="str">
        <v>BV</v>
      </c>
      <c r="B71" s="5" t="str">
        <f ca="1"/>
        <v>BV45589</v>
      </c>
      <c r="C71" s="8" t="str">
        <v>Pedido 70</v>
      </c>
      <c r="D71" s="9">
        <v>45589</v>
      </c>
      <c r="E71" s="9">
        <v>45589</v>
      </c>
      <c r="F71" s="8" t="str">
        <v>PedidoF61</v>
      </c>
      <c r="G71" s="2" t="str">
        <v>CódRastreio61</v>
      </c>
      <c r="H71" s="5">
        <v>1</v>
      </c>
      <c r="I71" s="3" t="str">
        <v>CPF 68</v>
      </c>
      <c r="J71" s="8" t="str">
        <v>Nome 68</v>
      </c>
      <c r="K71" s="8" t="str">
        <v>Tel 68</v>
      </c>
      <c r="L71" s="8" t="str">
        <v>Cep 68</v>
      </c>
      <c r="M71" s="8" t="str">
        <v>Rua 68</v>
      </c>
      <c r="N71" s="8" t="str">
        <v>Comp 68</v>
      </c>
      <c r="O71" s="8" t="str">
        <v>Suporte de Celular Branco</v>
      </c>
      <c r="P71" s="8" t="str">
        <v>16-4EDB-WMZF</v>
      </c>
      <c r="Q71" s="4">
        <v>45603</v>
      </c>
      <c r="R71" s="109">
        <v>15.99</v>
      </c>
      <c r="S71" s="11">
        <f ca="1"/>
        <v>15.99</v>
      </c>
      <c r="T71" s="28">
        <f ca="1"/>
        <v>2.3984999999999999</v>
      </c>
      <c r="U71" s="11">
        <f ca="1"/>
        <v>13.59</v>
      </c>
      <c r="V71" s="11">
        <v>4.99</v>
      </c>
      <c r="W71" s="11">
        <f ca="1"/>
        <v>0.52</v>
      </c>
      <c r="X71" s="11">
        <f ca="1"/>
        <v>0.39877104377104378</v>
      </c>
      <c r="Y71" s="11">
        <v>0</v>
      </c>
      <c r="Z71" s="11">
        <f ca="1"/>
        <v>7.6812289562289564</v>
      </c>
      <c r="AA71" s="11">
        <f ca="1"/>
        <v>3.8406144781144782</v>
      </c>
      <c r="AB71" s="4">
        <f ca="1"/>
        <v>45610</v>
      </c>
      <c r="AC71" s="4">
        <v>45610</v>
      </c>
      <c r="AD71" s="9">
        <v>45617</v>
      </c>
      <c r="AE71" s="9">
        <v>45618</v>
      </c>
      <c r="AF71" s="4" t="str">
        <f t="shared" ca="1" si="1"/>
        <v>2024 11</v>
      </c>
      <c r="AG71" s="8" t="str" cm="1">
        <f t="array" ref="AG71">IFERROR(_xlfn.IFS('Banco de Dados'!#REF!="AG. COMPRA","Em processamento",'Banco de Dados'!#REF!="AG. RASTREIO","Em processamento",'Banco de Dados'!$AE71&lt;&gt;"-","Faturado",'Banco de Dados'!$AD71&lt;&gt;"-","Aguardando Pix",'Banco de Dados'!$AC71&lt;&gt;"-","Pendente"),"Aguardando Liberação")</f>
        <v>Aguardando Liberação</v>
      </c>
      <c r="AH71" s="5" t="str">
        <f>IF('Banco de Dados'!$F71="-",_xlfn.CONCAT(PROPER(TEXT(AK71,"aaaa"))," ",PROPER(TEXT(AK71,"mm"))),_xlfn.CONCAT(PROPER(TEXT(E71,"aaaa"))," ",PROPER(TEXT(E71,"mm"))))</f>
        <v>2024 10</v>
      </c>
      <c r="AI71" s="9" t="str">
        <f ca="1">IF('Banco de Dados'!$AK71&lt;&gt;"-","REEMBOLSO",IFERROR(_xlfn.XLOOKUP(G71,Follow[CODRASTREIO],Follow[STATUS]),"-"))</f>
        <v>ENTREGUE</v>
      </c>
      <c r="AJ71" s="9">
        <f ca="1">IF('Banco de Dados'!$AI71="ENTREGUE",_xlfn.XLOOKUP('Banco de Dados'!$G71,Follow[CODRASTREIO],Follow[DATAATUALIZAÇÃO]),"-")</f>
        <v>45594</v>
      </c>
      <c r="AK71" s="9" t="str">
        <f ca="1"/>
        <v>-</v>
      </c>
      <c r="AL71" s="35" t="str">
        <v>SIM</v>
      </c>
      <c r="AM71" s="109" cm="1">
        <f t="array" aca="1" ref="AM71" ca="1">IF('Banco de Dados'!$AK71&lt;&gt;"-",_xlfn.IFS('Banco de Dados'!$A71="bv",IF('Banco de Dados'!$E71&lt;45641,ROUND(SUM('Banco de Dados'!$R71*_xlfn.XLOOKUP('Banco de Dados'!$P71,Sku!B:B,Sku!#REF!)*20%),2),ROUND(SUM('Banco de Dados'!$R71*_xlfn.XLOOKUP('Banco de Dados'!$P71,Sku!B:B,Sku!H:H)*20%),2)),'Banco de Dados'!$A71="GO",ROUND(_xlfn.XLOOKUP('Banco de Dados'!$P71,Sku!C:C,Sku!H:H),2),'Banco de Dados'!$A71="MEI",ROUND(_xlfn.XLOOKUP('Banco de Dados'!$P71,Sku!D:D,Sku!H:H),2)),0)</f>
        <v>0</v>
      </c>
      <c r="AN71" s="109">
        <f ca="1">IF('Banco de Dados'!$AK71&lt;&gt;"-",IF('Banco de Dados'!$F71&lt;&gt;"-",_xlfn.XLOOKUP(IFERROR(IFERROR(IFERROR(VALUE(SUBSTITUTE(MID(_xlfn.TEXTAFTER('Banco de Dados'!$F71,"Data do Pedido:
",1),1,10),"-","/")),VALUE(SUBSTITUTE(MID(_xlfn.TEXTAFTER('Banco de Dados'!$F71,"Order date:
",1),1,10),"-","/"))),VALUE(SUBSTITUTE(MID(_xlfn.TEXTAFTER('Banco de Dados'!$F71,"Fecha de pedido:
",1),1,10),"-","/"))),"-"),SMS!A:A,SMS!K:K),0),0)</f>
        <v>0</v>
      </c>
      <c r="AO71" s="109">
        <f ca="1">IF('Banco de Dados'!$AK71&lt;&gt;"-",IF('Banco de Dados'!$F71&lt;&gt;"-",IFERROR(_xlfn.XLOOKUP(_xlfn.CONCAT('Banco de Dados'!$A71,IFERROR(IFERROR(VALUE(SUBSTITUTE(MID(_xlfn.TEXTAFTER('Banco de Dados'!$F71,"Data do Pedido:
",1),1,10),"-","/")),VALUE(SUBSTITUTE(MID(_xlfn.TEXTAFTER('Banco de Dados'!$F71,"Order date:
",1),1,10),"-","/"))),0)),ProxyDD[Chave],ProxyDD[Valor por pedido]),PROXY!$P$2),0),0)</f>
        <v>0</v>
      </c>
      <c r="AP71" s="28">
        <f ca="1">IF('Banco de Dados'!$AK71&lt;&gt;"-",IF('Banco de Dados'!$AL71="NÃO",IFERROR(VALUE(SUBSTITUTE(_xlfn.TEXTAFTER('Banco de Dados'!$F71,"BRL ",1),".",",")),0),0),0)</f>
        <v>0</v>
      </c>
      <c r="AQ71" s="28">
        <f ca="1">SUM('Banco de Dados'!$AM71:$AP71)</f>
        <v>0</v>
      </c>
      <c r="AR71" s="8"/>
      <c r="AS71" s="8"/>
      <c r="AY71" s="8"/>
    </row>
    <row r="72" spans="1:51">
      <c r="A72" s="5" t="str">
        <v>BV</v>
      </c>
      <c r="B72" s="5" t="str">
        <f ca="1"/>
        <v>BV45589</v>
      </c>
      <c r="C72" s="8" t="str">
        <v>Pedido 71</v>
      </c>
      <c r="D72" s="9">
        <v>45589</v>
      </c>
      <c r="E72" s="9">
        <v>45589</v>
      </c>
      <c r="F72" s="8" t="str">
        <v>PedidoF62</v>
      </c>
      <c r="G72" s="2" t="str">
        <v>CódRastreio62</v>
      </c>
      <c r="H72" s="5">
        <v>1</v>
      </c>
      <c r="I72" s="3" t="str">
        <v>CPF 69</v>
      </c>
      <c r="J72" s="8" t="str">
        <v>Nome 69</v>
      </c>
      <c r="K72" s="8" t="str">
        <v>Tel 69</v>
      </c>
      <c r="L72" s="8" t="str">
        <v>Cep 69</v>
      </c>
      <c r="M72" s="8" t="str">
        <v>Rua 69</v>
      </c>
      <c r="N72" s="8" t="str">
        <v>Comp 69</v>
      </c>
      <c r="O72" s="8" t="str">
        <v>Suporte de Celular Branco</v>
      </c>
      <c r="P72" s="8" t="str">
        <v>16-4EDB-WMZF</v>
      </c>
      <c r="Q72" s="4">
        <v>45616</v>
      </c>
      <c r="R72" s="109">
        <v>14.99</v>
      </c>
      <c r="S72" s="11">
        <f ca="1"/>
        <v>14.99</v>
      </c>
      <c r="T72" s="28">
        <f ca="1"/>
        <v>2.2484999999999999</v>
      </c>
      <c r="U72" s="11">
        <f ca="1"/>
        <v>12.74</v>
      </c>
      <c r="V72" s="11">
        <v>4.99</v>
      </c>
      <c r="W72" s="11">
        <f ca="1"/>
        <v>0.52</v>
      </c>
      <c r="X72" s="11">
        <f ca="1"/>
        <v>0.39877104377104378</v>
      </c>
      <c r="Y72" s="11">
        <v>0</v>
      </c>
      <c r="Z72" s="11">
        <f ca="1"/>
        <v>6.8312289562289568</v>
      </c>
      <c r="AA72" s="11">
        <f ca="1"/>
        <v>3.4156144781144784</v>
      </c>
      <c r="AB72" s="4">
        <f ca="1"/>
        <v>45623</v>
      </c>
      <c r="AC72" s="4">
        <v>45623</v>
      </c>
      <c r="AD72" s="9">
        <v>45625</v>
      </c>
      <c r="AE72" s="9">
        <v>45625</v>
      </c>
      <c r="AF72" s="4" t="str">
        <f t="shared" ca="1" si="1"/>
        <v>2024 11</v>
      </c>
      <c r="AG72" s="8" t="str" cm="1">
        <f t="array" ref="AG72">IFERROR(_xlfn.IFS('Banco de Dados'!#REF!="AG. COMPRA","Em processamento",'Banco de Dados'!#REF!="AG. RASTREIO","Em processamento",'Banco de Dados'!$AE72&lt;&gt;"-","Faturado",'Banco de Dados'!$AD72&lt;&gt;"-","Aguardando Pix",'Banco de Dados'!$AC72&lt;&gt;"-","Pendente"),"Aguardando Liberação")</f>
        <v>Aguardando Liberação</v>
      </c>
      <c r="AH72" s="5" t="str">
        <f>IF('Banco de Dados'!$F72="-",_xlfn.CONCAT(PROPER(TEXT(AK72,"aaaa"))," ",PROPER(TEXT(AK72,"mm"))),_xlfn.CONCAT(PROPER(TEXT(E72,"aaaa"))," ",PROPER(TEXT(E72,"mm"))))</f>
        <v>2024 10</v>
      </c>
      <c r="AI72" s="9" t="str">
        <f ca="1">IF('Banco de Dados'!$AK72&lt;&gt;"-","REEMBOLSO",IFERROR(_xlfn.XLOOKUP(G72,Follow[CODRASTREIO],Follow[STATUS]),"-"))</f>
        <v>ENTREGUE</v>
      </c>
      <c r="AJ72" s="9">
        <f ca="1">IF('Banco de Dados'!$AI72="ENTREGUE",_xlfn.XLOOKUP('Banco de Dados'!$G72,Follow[CODRASTREIO],Follow[DATAATUALIZAÇÃO]),"-")</f>
        <v>45597</v>
      </c>
      <c r="AK72" s="9" t="str">
        <f ca="1"/>
        <v>-</v>
      </c>
      <c r="AL72" s="35" t="str">
        <v>SIM</v>
      </c>
      <c r="AM72" s="109" cm="1">
        <f t="array" aca="1" ref="AM72" ca="1">IF('Banco de Dados'!$AK72&lt;&gt;"-",_xlfn.IFS('Banco de Dados'!$A72="bv",IF('Banco de Dados'!$E72&lt;45641,ROUND(SUM('Banco de Dados'!$R72*_xlfn.XLOOKUP('Banco de Dados'!$P72,Sku!B:B,Sku!#REF!)*20%),2),ROUND(SUM('Banco de Dados'!$R72*_xlfn.XLOOKUP('Banco de Dados'!$P72,Sku!B:B,Sku!H:H)*20%),2)),'Banco de Dados'!$A72="GO",ROUND(_xlfn.XLOOKUP('Banco de Dados'!$P72,Sku!C:C,Sku!H:H),2),'Banco de Dados'!$A72="MEI",ROUND(_xlfn.XLOOKUP('Banco de Dados'!$P72,Sku!D:D,Sku!H:H),2)),0)</f>
        <v>0</v>
      </c>
      <c r="AN72" s="109">
        <f ca="1">IF('Banco de Dados'!$AK72&lt;&gt;"-",IF('Banco de Dados'!$F72&lt;&gt;"-",_xlfn.XLOOKUP(IFERROR(IFERROR(IFERROR(VALUE(SUBSTITUTE(MID(_xlfn.TEXTAFTER('Banco de Dados'!$F72,"Data do Pedido:
",1),1,10),"-","/")),VALUE(SUBSTITUTE(MID(_xlfn.TEXTAFTER('Banco de Dados'!$F72,"Order date:
",1),1,10),"-","/"))),VALUE(SUBSTITUTE(MID(_xlfn.TEXTAFTER('Banco de Dados'!$F72,"Fecha de pedido:
",1),1,10),"-","/"))),"-"),SMS!A:A,SMS!K:K),0),0)</f>
        <v>0</v>
      </c>
      <c r="AO72" s="109">
        <f ca="1">IF('Banco de Dados'!$AK72&lt;&gt;"-",IF('Banco de Dados'!$F72&lt;&gt;"-",IFERROR(_xlfn.XLOOKUP(_xlfn.CONCAT('Banco de Dados'!$A72,IFERROR(IFERROR(VALUE(SUBSTITUTE(MID(_xlfn.TEXTAFTER('Banco de Dados'!$F72,"Data do Pedido:
",1),1,10),"-","/")),VALUE(SUBSTITUTE(MID(_xlfn.TEXTAFTER('Banco de Dados'!$F72,"Order date:
",1),1,10),"-","/"))),0)),ProxyDD[Chave],ProxyDD[Valor por pedido]),PROXY!$P$2),0),0)</f>
        <v>0</v>
      </c>
      <c r="AP72" s="28">
        <f ca="1">IF('Banco de Dados'!$AK72&lt;&gt;"-",IF('Banco de Dados'!$AL72="NÃO",IFERROR(VALUE(SUBSTITUTE(_xlfn.TEXTAFTER('Banco de Dados'!$F72,"BRL ",1),".",",")),0),0),0)</f>
        <v>0</v>
      </c>
      <c r="AQ72" s="28">
        <f ca="1">SUM('Banco de Dados'!$AM72:$AP72)</f>
        <v>0</v>
      </c>
      <c r="AR72" s="8"/>
      <c r="AS72" s="8"/>
      <c r="AY72" s="8"/>
    </row>
    <row r="73" spans="1:51">
      <c r="A73" s="5" t="str">
        <v>BV</v>
      </c>
      <c r="B73" s="5" t="str">
        <f ca="1"/>
        <v>BV45590</v>
      </c>
      <c r="C73" s="8" t="str">
        <v>Pedido 72</v>
      </c>
      <c r="D73" s="9">
        <v>45590</v>
      </c>
      <c r="E73" s="9">
        <v>45590</v>
      </c>
      <c r="F73" s="8" t="str">
        <v>PedidoF63</v>
      </c>
      <c r="G73" s="2" t="str">
        <v>CódRastreio63</v>
      </c>
      <c r="H73" s="5">
        <v>1</v>
      </c>
      <c r="I73" s="2" t="str">
        <v>CPF 70</v>
      </c>
      <c r="J73" s="8" t="str">
        <v>Nome 70</v>
      </c>
      <c r="K73" s="8" t="str">
        <v>Tel 70</v>
      </c>
      <c r="L73" s="8" t="str">
        <v>Cep 70</v>
      </c>
      <c r="M73" s="8" t="str">
        <v>Rua 70</v>
      </c>
      <c r="N73" s="8" t="str">
        <v>Comp 70</v>
      </c>
      <c r="O73" s="8" t="str">
        <v>Mini Liquidificador</v>
      </c>
      <c r="P73" s="8" t="str">
        <v>CK-YL6M-P5Y6</v>
      </c>
      <c r="Q73" s="4">
        <v>45610</v>
      </c>
      <c r="R73" s="109">
        <v>29.99</v>
      </c>
      <c r="S73" s="11">
        <f ca="1"/>
        <v>29.99</v>
      </c>
      <c r="T73" s="28">
        <f ca="1"/>
        <v>3.8986999999999998</v>
      </c>
      <c r="U73" s="11">
        <f ca="1"/>
        <v>26.09</v>
      </c>
      <c r="V73" s="11">
        <v>9.99</v>
      </c>
      <c r="W73" s="11">
        <f ca="1"/>
        <v>0.55000000000000004</v>
      </c>
      <c r="X73" s="11">
        <f ca="1"/>
        <v>0.39877104377104378</v>
      </c>
      <c r="Y73" s="11">
        <v>0</v>
      </c>
      <c r="Z73" s="11">
        <f ca="1"/>
        <v>15.151228956228955</v>
      </c>
      <c r="AA73" s="11">
        <f ca="1"/>
        <v>7.5756144781144776</v>
      </c>
      <c r="AB73" s="4">
        <f ca="1"/>
        <v>45617</v>
      </c>
      <c r="AC73" s="4">
        <v>45617</v>
      </c>
      <c r="AD73" s="9">
        <v>45617</v>
      </c>
      <c r="AE73" s="9">
        <v>45618</v>
      </c>
      <c r="AF73" s="4" t="str">
        <f t="shared" ca="1" si="1"/>
        <v>2024 11</v>
      </c>
      <c r="AG73" s="8" t="str" cm="1">
        <f t="array" ref="AG73">IFERROR(_xlfn.IFS('Banco de Dados'!#REF!="AG. COMPRA","Em processamento",'Banco de Dados'!#REF!="AG. RASTREIO","Em processamento",'Banco de Dados'!$AE73&lt;&gt;"-","Faturado",'Banco de Dados'!$AD73&lt;&gt;"-","Aguardando Pix",'Banco de Dados'!$AC73&lt;&gt;"-","Pendente"),"Aguardando Liberação")</f>
        <v>Aguardando Liberação</v>
      </c>
      <c r="AH73" s="5" t="str">
        <f>IF('Banco de Dados'!$F73="-",_xlfn.CONCAT(PROPER(TEXT(AK73,"aaaa"))," ",PROPER(TEXT(AK73,"mm"))),_xlfn.CONCAT(PROPER(TEXT(E73,"aaaa"))," ",PROPER(TEXT(E73,"mm"))))</f>
        <v>2024 10</v>
      </c>
      <c r="AI73" s="9" t="str">
        <f ca="1">IF('Banco de Dados'!$AK73&lt;&gt;"-","REEMBOLSO",IFERROR(_xlfn.XLOOKUP(G73,Follow[CODRASTREIO],Follow[STATUS]),"-"))</f>
        <v>ENTREGUE</v>
      </c>
      <c r="AJ73" s="9">
        <f ca="1">IF('Banco de Dados'!$AI73="ENTREGUE",_xlfn.XLOOKUP('Banco de Dados'!$G73,Follow[CODRASTREIO],Follow[DATAATUALIZAÇÃO]),"-")</f>
        <v>45608</v>
      </c>
      <c r="AK73" s="9" t="str">
        <f ca="1"/>
        <v>-</v>
      </c>
      <c r="AL73" s="35" t="str">
        <v>SIM</v>
      </c>
      <c r="AM73" s="109" cm="1">
        <f t="array" aca="1" ref="AM73" ca="1">IF('Banco de Dados'!$AK73&lt;&gt;"-",_xlfn.IFS('Banco de Dados'!$A73="bv",IF('Banco de Dados'!$E73&lt;45641,ROUND(SUM('Banco de Dados'!$R73*_xlfn.XLOOKUP('Banco de Dados'!$P73,Sku!B:B,Sku!#REF!)*20%),2),ROUND(SUM('Banco de Dados'!$R73*_xlfn.XLOOKUP('Banco de Dados'!$P73,Sku!B:B,Sku!H:H)*20%),2)),'Banco de Dados'!$A73="GO",ROUND(_xlfn.XLOOKUP('Banco de Dados'!$P73,Sku!C:C,Sku!H:H),2),'Banco de Dados'!$A73="MEI",ROUND(_xlfn.XLOOKUP('Banco de Dados'!$P73,Sku!D:D,Sku!H:H),2)),0)</f>
        <v>0</v>
      </c>
      <c r="AN73" s="109">
        <f ca="1">IF('Banco de Dados'!$AK73&lt;&gt;"-",IF('Banco de Dados'!$F73&lt;&gt;"-",_xlfn.XLOOKUP(IFERROR(IFERROR(IFERROR(VALUE(SUBSTITUTE(MID(_xlfn.TEXTAFTER('Banco de Dados'!$F73,"Data do Pedido:
",1),1,10),"-","/")),VALUE(SUBSTITUTE(MID(_xlfn.TEXTAFTER('Banco de Dados'!$F73,"Order date:
",1),1,10),"-","/"))),VALUE(SUBSTITUTE(MID(_xlfn.TEXTAFTER('Banco de Dados'!$F73,"Fecha de pedido:
",1),1,10),"-","/"))),"-"),SMS!A:A,SMS!K:K),0),0)</f>
        <v>0</v>
      </c>
      <c r="AO73" s="109">
        <f ca="1">IF('Banco de Dados'!$AK73&lt;&gt;"-",IF('Banco de Dados'!$F73&lt;&gt;"-",IFERROR(_xlfn.XLOOKUP(_xlfn.CONCAT('Banco de Dados'!$A73,IFERROR(IFERROR(VALUE(SUBSTITUTE(MID(_xlfn.TEXTAFTER('Banco de Dados'!$F73,"Data do Pedido:
",1),1,10),"-","/")),VALUE(SUBSTITUTE(MID(_xlfn.TEXTAFTER('Banco de Dados'!$F73,"Order date:
",1),1,10),"-","/"))),0)),ProxyDD[Chave],ProxyDD[Valor por pedido]),PROXY!$P$2),0),0)</f>
        <v>0</v>
      </c>
      <c r="AP73" s="28">
        <f ca="1">IF('Banco de Dados'!$AK73&lt;&gt;"-",IF('Banco de Dados'!$AL73="NÃO",IFERROR(VALUE(SUBSTITUTE(_xlfn.TEXTAFTER('Banco de Dados'!$F73,"BRL ",1),".",",")),0),0),0)</f>
        <v>0</v>
      </c>
      <c r="AQ73" s="28">
        <f ca="1">SUM('Banco de Dados'!$AM73:$AP73)</f>
        <v>0</v>
      </c>
      <c r="AR73" s="8"/>
      <c r="AS73" s="8"/>
      <c r="AY73" s="8"/>
    </row>
    <row r="74" spans="1:51">
      <c r="A74" s="5" t="str">
        <v>BV</v>
      </c>
      <c r="B74" s="5" t="str">
        <f ca="1"/>
        <v>BV45590</v>
      </c>
      <c r="C74" s="8" t="str">
        <v>Pedido 73</v>
      </c>
      <c r="D74" s="9">
        <v>45590</v>
      </c>
      <c r="E74" s="9">
        <v>45590</v>
      </c>
      <c r="F74" s="8" t="str">
        <v>PedidoF64</v>
      </c>
      <c r="G74" s="2" t="str">
        <v>CódRastreio64</v>
      </c>
      <c r="H74" s="5">
        <v>1</v>
      </c>
      <c r="I74" s="2" t="str">
        <v>CPF 71</v>
      </c>
      <c r="J74" s="8" t="str">
        <v>Nome 71</v>
      </c>
      <c r="K74" s="8" t="str">
        <v>Tel 71</v>
      </c>
      <c r="L74" s="8" t="str">
        <v>Cep 71</v>
      </c>
      <c r="M74" s="8" t="str">
        <v>Rua 71</v>
      </c>
      <c r="N74" s="8" t="str">
        <v>Comp 71</v>
      </c>
      <c r="O74" s="8" t="str">
        <v>Bomba d'agua</v>
      </c>
      <c r="P74" s="8" t="str">
        <v>DJ-RO5O-43GF</v>
      </c>
      <c r="Q74" s="4">
        <v>45616</v>
      </c>
      <c r="R74" s="109">
        <v>18.2</v>
      </c>
      <c r="S74" s="11">
        <f ca="1"/>
        <v>18.2</v>
      </c>
      <c r="T74" s="28">
        <f ca="1"/>
        <v>2.548</v>
      </c>
      <c r="U74" s="11">
        <f ca="1"/>
        <v>15.65</v>
      </c>
      <c r="V74" s="11">
        <v>4.99</v>
      </c>
      <c r="W74" s="11">
        <f ca="1"/>
        <v>0.55000000000000004</v>
      </c>
      <c r="X74" s="11">
        <f ca="1"/>
        <v>0.39877104377104378</v>
      </c>
      <c r="Y74" s="11">
        <v>0</v>
      </c>
      <c r="Z74" s="11">
        <f ca="1"/>
        <v>9.7112289562289575</v>
      </c>
      <c r="AA74" s="11">
        <f ca="1"/>
        <v>4.8556144781144788</v>
      </c>
      <c r="AB74" s="4">
        <f ca="1"/>
        <v>45623</v>
      </c>
      <c r="AC74" s="4">
        <v>45623</v>
      </c>
      <c r="AD74" s="9">
        <v>45625</v>
      </c>
      <c r="AE74" s="9">
        <v>45625</v>
      </c>
      <c r="AF74" s="4" t="str">
        <f t="shared" ca="1" si="1"/>
        <v>2024 11</v>
      </c>
      <c r="AG74" s="8" t="str" cm="1">
        <f t="array" ref="AG74">IFERROR(_xlfn.IFS('Banco de Dados'!#REF!="AG. COMPRA","Em processamento",'Banco de Dados'!#REF!="AG. RASTREIO","Em processamento",'Banco de Dados'!$AE74&lt;&gt;"-","Faturado",'Banco de Dados'!$AD74&lt;&gt;"-","Aguardando Pix",'Banco de Dados'!$AC74&lt;&gt;"-","Pendente"),"Aguardando Liberação")</f>
        <v>Aguardando Liberação</v>
      </c>
      <c r="AH74" s="5" t="str">
        <f>IF('Banco de Dados'!$F74="-",_xlfn.CONCAT(PROPER(TEXT(AK74,"aaaa"))," ",PROPER(TEXT(AK74,"mm"))),_xlfn.CONCAT(PROPER(TEXT(E74,"aaaa"))," ",PROPER(TEXT(E74,"mm"))))</f>
        <v>2024 10</v>
      </c>
      <c r="AI74" s="9" t="str">
        <f ca="1">IF('Banco de Dados'!$AK74&lt;&gt;"-","REEMBOLSO",IFERROR(_xlfn.XLOOKUP(G74,Follow[CODRASTREIO],Follow[STATUS]),"-"))</f>
        <v>ENTREGUE</v>
      </c>
      <c r="AJ74" s="9">
        <f ca="1">IF('Banco de Dados'!$AI74="ENTREGUE",_xlfn.XLOOKUP('Banco de Dados'!$G74,Follow[CODRASTREIO],Follow[DATAATUALIZAÇÃO]),"-")</f>
        <v>45600</v>
      </c>
      <c r="AK74" s="9" t="str">
        <f ca="1"/>
        <v>-</v>
      </c>
      <c r="AL74" s="35" t="str">
        <v>-</v>
      </c>
      <c r="AM74" s="109" cm="1">
        <f t="array" aca="1" ref="AM74" ca="1">IF('Banco de Dados'!$AK74&lt;&gt;"-",_xlfn.IFS('Banco de Dados'!$A74="bv",IF('Banco de Dados'!$E74&lt;45641,ROUND(SUM('Banco de Dados'!$R74*_xlfn.XLOOKUP('Banco de Dados'!$P74,Sku!B:B,Sku!#REF!)*20%),2),ROUND(SUM('Banco de Dados'!$R74*_xlfn.XLOOKUP('Banco de Dados'!$P74,Sku!B:B,Sku!H:H)*20%),2)),'Banco de Dados'!$A74="GO",ROUND(_xlfn.XLOOKUP('Banco de Dados'!$P74,Sku!C:C,Sku!H:H),2),'Banco de Dados'!$A74="MEI",ROUND(_xlfn.XLOOKUP('Banco de Dados'!$P74,Sku!D:D,Sku!H:H),2)),0)</f>
        <v>0</v>
      </c>
      <c r="AN74" s="109">
        <f ca="1">IF('Banco de Dados'!$AK74&lt;&gt;"-",IF('Banco de Dados'!$F74&lt;&gt;"-",_xlfn.XLOOKUP(IFERROR(IFERROR(IFERROR(VALUE(SUBSTITUTE(MID(_xlfn.TEXTAFTER('Banco de Dados'!$F74,"Data do Pedido:
",1),1,10),"-","/")),VALUE(SUBSTITUTE(MID(_xlfn.TEXTAFTER('Banco de Dados'!$F74,"Order date:
",1),1,10),"-","/"))),VALUE(SUBSTITUTE(MID(_xlfn.TEXTAFTER('Banco de Dados'!$F74,"Fecha de pedido:
",1),1,10),"-","/"))),"-"),SMS!A:A,SMS!K:K),0),0)</f>
        <v>0</v>
      </c>
      <c r="AO74" s="109">
        <f ca="1">IF('Banco de Dados'!$AK74&lt;&gt;"-",IF('Banco de Dados'!$F74&lt;&gt;"-",IFERROR(_xlfn.XLOOKUP(_xlfn.CONCAT('Banco de Dados'!$A74,IFERROR(IFERROR(VALUE(SUBSTITUTE(MID(_xlfn.TEXTAFTER('Banco de Dados'!$F74,"Data do Pedido:
",1),1,10),"-","/")),VALUE(SUBSTITUTE(MID(_xlfn.TEXTAFTER('Banco de Dados'!$F74,"Order date:
",1),1,10),"-","/"))),0)),ProxyDD[Chave],ProxyDD[Valor por pedido]),PROXY!$P$2),0),0)</f>
        <v>0</v>
      </c>
      <c r="AP74" s="28">
        <f ca="1">IF('Banco de Dados'!$AK74&lt;&gt;"-",IF('Banco de Dados'!$AL74="NÃO",IFERROR(VALUE(SUBSTITUTE(_xlfn.TEXTAFTER('Banco de Dados'!$F74,"BRL ",1),".",",")),0),0),0)</f>
        <v>0</v>
      </c>
      <c r="AQ74" s="28">
        <f ca="1">SUM('Banco de Dados'!$AM74:$AP74)</f>
        <v>0</v>
      </c>
      <c r="AR74" s="8"/>
      <c r="AS74" s="8"/>
      <c r="AY74" s="8"/>
    </row>
    <row r="75" spans="1:51">
      <c r="A75" s="5" t="str">
        <v>BV</v>
      </c>
      <c r="B75" s="5" t="str">
        <f ca="1"/>
        <v>BV45590</v>
      </c>
      <c r="C75" s="8" t="str">
        <v>Pedido 74</v>
      </c>
      <c r="D75" s="9">
        <v>45590</v>
      </c>
      <c r="E75" s="9">
        <v>45590</v>
      </c>
      <c r="F75" s="8" t="str">
        <v>PedidoF65</v>
      </c>
      <c r="G75" s="2" t="str">
        <v>CódRastreio65</v>
      </c>
      <c r="H75" s="5">
        <v>1</v>
      </c>
      <c r="I75" s="2" t="str">
        <v>CPF 72</v>
      </c>
      <c r="J75" s="8" t="str">
        <v>Nome 72</v>
      </c>
      <c r="K75" s="8" t="str">
        <v>Tel 72</v>
      </c>
      <c r="L75" s="8" t="str">
        <v>Cep 72</v>
      </c>
      <c r="M75" s="8" t="str">
        <v>Rua 72</v>
      </c>
      <c r="N75" s="8" t="str">
        <v>Comp 72</v>
      </c>
      <c r="O75" s="8" t="str">
        <v>Ventilador Rosa</v>
      </c>
      <c r="P75" s="8" t="str">
        <v>IF-G2ZQ-79FO</v>
      </c>
      <c r="Q75" s="4">
        <v>45624</v>
      </c>
      <c r="R75" s="109">
        <v>59.99</v>
      </c>
      <c r="S75" s="11">
        <f ca="1"/>
        <v>59.99</v>
      </c>
      <c r="T75" s="28">
        <f ca="1"/>
        <v>7.7987000000000002</v>
      </c>
      <c r="U75" s="11">
        <f ca="1"/>
        <v>52.19</v>
      </c>
      <c r="V75" s="11">
        <v>7.26</v>
      </c>
      <c r="W75" s="11">
        <f ca="1"/>
        <v>0.55000000000000004</v>
      </c>
      <c r="X75" s="11">
        <f ca="1"/>
        <v>0.39877104377104378</v>
      </c>
      <c r="Y75" s="11">
        <v>0</v>
      </c>
      <c r="Z75" s="11">
        <f ca="1"/>
        <v>43.981228956228954</v>
      </c>
      <c r="AA75" s="11">
        <f ca="1"/>
        <v>21.990614478114477</v>
      </c>
      <c r="AB75" s="4">
        <f ca="1"/>
        <v>45631</v>
      </c>
      <c r="AC75" s="4">
        <v>45631</v>
      </c>
      <c r="AD75" s="9">
        <v>45637</v>
      </c>
      <c r="AE75" s="9">
        <v>45642</v>
      </c>
      <c r="AF75" s="4" t="str">
        <f t="shared" ca="1" si="1"/>
        <v>2024 12</v>
      </c>
      <c r="AG75" s="8" t="str" cm="1">
        <f t="array" ref="AG75">IFERROR(_xlfn.IFS('Banco de Dados'!#REF!="AG. COMPRA","Em processamento",'Banco de Dados'!#REF!="AG. RASTREIO","Em processamento",'Banco de Dados'!$AE75&lt;&gt;"-","Faturado",'Banco de Dados'!$AD75&lt;&gt;"-","Aguardando Pix",'Banco de Dados'!$AC75&lt;&gt;"-","Pendente"),"Aguardando Liberação")</f>
        <v>Aguardando Liberação</v>
      </c>
      <c r="AH75" s="5" t="str">
        <f>IF('Banco de Dados'!$F75="-",_xlfn.CONCAT(PROPER(TEXT(AK75,"aaaa"))," ",PROPER(TEXT(AK75,"mm"))),_xlfn.CONCAT(PROPER(TEXT(E75,"aaaa"))," ",PROPER(TEXT(E75,"mm"))))</f>
        <v>2024 10</v>
      </c>
      <c r="AI75" s="9" t="str">
        <f ca="1">IF('Banco de Dados'!$AK75&lt;&gt;"-","REEMBOLSO",IFERROR(_xlfn.XLOOKUP(G75,Follow[CODRASTREIO],Follow[STATUS]),"-"))</f>
        <v>ENTREGUE</v>
      </c>
      <c r="AJ75" s="9">
        <f ca="1">IF('Banco de Dados'!$AI75="ENTREGUE",_xlfn.XLOOKUP('Banco de Dados'!$G75,Follow[CODRASTREIO],Follow[DATAATUALIZAÇÃO]),"-")</f>
        <v>45623</v>
      </c>
      <c r="AK75" s="9" t="str">
        <f ca="1"/>
        <v>-</v>
      </c>
      <c r="AL75" s="35" t="str">
        <v>-</v>
      </c>
      <c r="AM75" s="109" cm="1">
        <f t="array" aca="1" ref="AM75" ca="1">IF('Banco de Dados'!$AK75&lt;&gt;"-",_xlfn.IFS('Banco de Dados'!$A75="bv",IF('Banco de Dados'!$E75&lt;45641,ROUND(SUM('Banco de Dados'!$R75*_xlfn.XLOOKUP('Banco de Dados'!$P75,Sku!B:B,Sku!#REF!)*20%),2),ROUND(SUM('Banco de Dados'!$R75*_xlfn.XLOOKUP('Banco de Dados'!$P75,Sku!B:B,Sku!H:H)*20%),2)),'Banco de Dados'!$A75="GO",ROUND(_xlfn.XLOOKUP('Banco de Dados'!$P75,Sku!C:C,Sku!H:H),2),'Banco de Dados'!$A75="MEI",ROUND(_xlfn.XLOOKUP('Banco de Dados'!$P75,Sku!D:D,Sku!H:H),2)),0)</f>
        <v>0</v>
      </c>
      <c r="AN75" s="109">
        <f ca="1">IF('Banco de Dados'!$AK75&lt;&gt;"-",IF('Banco de Dados'!$F75&lt;&gt;"-",_xlfn.XLOOKUP(IFERROR(IFERROR(IFERROR(VALUE(SUBSTITUTE(MID(_xlfn.TEXTAFTER('Banco de Dados'!$F75,"Data do Pedido:
",1),1,10),"-","/")),VALUE(SUBSTITUTE(MID(_xlfn.TEXTAFTER('Banco de Dados'!$F75,"Order date:
",1),1,10),"-","/"))),VALUE(SUBSTITUTE(MID(_xlfn.TEXTAFTER('Banco de Dados'!$F75,"Fecha de pedido:
",1),1,10),"-","/"))),"-"),SMS!A:A,SMS!K:K),0),0)</f>
        <v>0</v>
      </c>
      <c r="AO75" s="109">
        <f ca="1">IF('Banco de Dados'!$AK75&lt;&gt;"-",IF('Banco de Dados'!$F75&lt;&gt;"-",IFERROR(_xlfn.XLOOKUP(_xlfn.CONCAT('Banco de Dados'!$A75,IFERROR(IFERROR(VALUE(SUBSTITUTE(MID(_xlfn.TEXTAFTER('Banco de Dados'!$F75,"Data do Pedido:
",1),1,10),"-","/")),VALUE(SUBSTITUTE(MID(_xlfn.TEXTAFTER('Banco de Dados'!$F75,"Order date:
",1),1,10),"-","/"))),0)),ProxyDD[Chave],ProxyDD[Valor por pedido]),PROXY!$P$2),0),0)</f>
        <v>0</v>
      </c>
      <c r="AP75" s="28">
        <f ca="1">IF('Banco de Dados'!$AK75&lt;&gt;"-",IF('Banco de Dados'!$AL75="NÃO",IFERROR(VALUE(SUBSTITUTE(_xlfn.TEXTAFTER('Banco de Dados'!$F75,"BRL ",1),".",",")),0),0),0)</f>
        <v>0</v>
      </c>
      <c r="AQ75" s="28">
        <f ca="1">SUM('Banco de Dados'!$AM75:$AP75)</f>
        <v>0</v>
      </c>
      <c r="AR75" s="8"/>
      <c r="AS75" s="8"/>
      <c r="AY75" s="8"/>
    </row>
    <row r="76" spans="1:51">
      <c r="A76" s="5" t="str">
        <v>BV</v>
      </c>
      <c r="B76" s="5" t="str">
        <f ca="1"/>
        <v>BV45590</v>
      </c>
      <c r="C76" s="8" t="str">
        <v>Pedido 75</v>
      </c>
      <c r="D76" s="9">
        <v>45590</v>
      </c>
      <c r="E76" s="9">
        <v>45590</v>
      </c>
      <c r="F76" s="8" t="str">
        <v>PedidoF66</v>
      </c>
      <c r="G76" s="2" t="str">
        <v>CódRastreio66</v>
      </c>
      <c r="H76" s="5">
        <v>1</v>
      </c>
      <c r="I76" s="2" t="str">
        <v>CPF 73</v>
      </c>
      <c r="J76" s="8" t="str">
        <v>Nome 73</v>
      </c>
      <c r="K76" s="8" t="str">
        <v>Tel 73</v>
      </c>
      <c r="L76" s="8" t="str">
        <v>Cep 73</v>
      </c>
      <c r="M76" s="8" t="str">
        <v>Rua 73</v>
      </c>
      <c r="N76" s="8" t="str">
        <v>Comp 73</v>
      </c>
      <c r="O76" s="8" t="str">
        <v>Suporte de Celular Preto</v>
      </c>
      <c r="P76" s="8" t="str">
        <v>9G-BN48-QAPH</v>
      </c>
      <c r="Q76" s="4">
        <v>45604</v>
      </c>
      <c r="R76" s="109">
        <v>15.99</v>
      </c>
      <c r="S76" s="11">
        <f ca="1"/>
        <v>15.99</v>
      </c>
      <c r="T76" s="28">
        <f ca="1"/>
        <v>2.3984999999999999</v>
      </c>
      <c r="U76" s="11">
        <f ca="1"/>
        <v>13.59</v>
      </c>
      <c r="V76" s="11">
        <v>4.99</v>
      </c>
      <c r="W76" s="11">
        <f ca="1"/>
        <v>0.55000000000000004</v>
      </c>
      <c r="X76" s="11">
        <f ca="1"/>
        <v>0.39877104377104378</v>
      </c>
      <c r="Y76" s="11">
        <v>0</v>
      </c>
      <c r="Z76" s="11">
        <f ca="1"/>
        <v>7.6512289562289562</v>
      </c>
      <c r="AA76" s="11">
        <f ca="1"/>
        <v>3.8256144781144781</v>
      </c>
      <c r="AB76" s="4">
        <f ca="1"/>
        <v>45611</v>
      </c>
      <c r="AC76" s="4">
        <v>45611</v>
      </c>
      <c r="AD76" s="9">
        <v>45617</v>
      </c>
      <c r="AE76" s="9">
        <v>45618</v>
      </c>
      <c r="AF76" s="4" t="str">
        <f t="shared" ca="1" si="1"/>
        <v>2024 11</v>
      </c>
      <c r="AG76" s="8" t="str" cm="1">
        <f t="array" ref="AG76">IFERROR(_xlfn.IFS('Banco de Dados'!#REF!="AG. COMPRA","Em processamento",'Banco de Dados'!#REF!="AG. RASTREIO","Em processamento",'Banco de Dados'!$AE76&lt;&gt;"-","Faturado",'Banco de Dados'!$AD76&lt;&gt;"-","Aguardando Pix",'Banco de Dados'!$AC76&lt;&gt;"-","Pendente"),"Aguardando Liberação")</f>
        <v>Aguardando Liberação</v>
      </c>
      <c r="AH76" s="5" t="str">
        <f>IF('Banco de Dados'!$F76="-",_xlfn.CONCAT(PROPER(TEXT(AK76,"aaaa"))," ",PROPER(TEXT(AK76,"mm"))),_xlfn.CONCAT(PROPER(TEXT(E76,"aaaa"))," ",PROPER(TEXT(E76,"mm"))))</f>
        <v>2024 10</v>
      </c>
      <c r="AI76" s="9" t="str">
        <f ca="1">IF('Banco de Dados'!$AK76&lt;&gt;"-","REEMBOLSO",IFERROR(_xlfn.XLOOKUP(G76,Follow[CODRASTREIO],Follow[STATUS]),"-"))</f>
        <v>ENTREGUE</v>
      </c>
      <c r="AJ76" s="9">
        <f ca="1">IF('Banco de Dados'!$AI76="ENTREGUE",_xlfn.XLOOKUP('Banco de Dados'!$G76,Follow[CODRASTREIO],Follow[DATAATUALIZAÇÃO]),"-")</f>
        <v>45594</v>
      </c>
      <c r="AK76" s="9" t="str">
        <f ca="1"/>
        <v>-</v>
      </c>
      <c r="AL76" s="35" t="str">
        <v>NÃO</v>
      </c>
      <c r="AM76" s="109" cm="1">
        <f t="array" aca="1" ref="AM76" ca="1">IF('Banco de Dados'!$AK76&lt;&gt;"-",_xlfn.IFS('Banco de Dados'!$A76="bv",IF('Banco de Dados'!$E76&lt;45641,ROUND(SUM('Banco de Dados'!$R76*_xlfn.XLOOKUP('Banco de Dados'!$P76,Sku!B:B,Sku!#REF!)*20%),2),ROUND(SUM('Banco de Dados'!$R76*_xlfn.XLOOKUP('Banco de Dados'!$P76,Sku!B:B,Sku!H:H)*20%),2)),'Banco de Dados'!$A76="GO",ROUND(_xlfn.XLOOKUP('Banco de Dados'!$P76,Sku!C:C,Sku!H:H),2),'Banco de Dados'!$A76="MEI",ROUND(_xlfn.XLOOKUP('Banco de Dados'!$P76,Sku!D:D,Sku!H:H),2)),0)</f>
        <v>0</v>
      </c>
      <c r="AN76" s="109">
        <f ca="1">IF('Banco de Dados'!$AK76&lt;&gt;"-",IF('Banco de Dados'!$F76&lt;&gt;"-",_xlfn.XLOOKUP(IFERROR(IFERROR(IFERROR(VALUE(SUBSTITUTE(MID(_xlfn.TEXTAFTER('Banco de Dados'!$F76,"Data do Pedido:
",1),1,10),"-","/")),VALUE(SUBSTITUTE(MID(_xlfn.TEXTAFTER('Banco de Dados'!$F76,"Order date:
",1),1,10),"-","/"))),VALUE(SUBSTITUTE(MID(_xlfn.TEXTAFTER('Banco de Dados'!$F76,"Fecha de pedido:
",1),1,10),"-","/"))),"-"),SMS!A:A,SMS!K:K),0),0)</f>
        <v>0</v>
      </c>
      <c r="AO76" s="109">
        <f ca="1">IF('Banco de Dados'!$AK76&lt;&gt;"-",IF('Banco de Dados'!$F76&lt;&gt;"-",IFERROR(_xlfn.XLOOKUP(_xlfn.CONCAT('Banco de Dados'!$A76,IFERROR(IFERROR(VALUE(SUBSTITUTE(MID(_xlfn.TEXTAFTER('Banco de Dados'!$F76,"Data do Pedido:
",1),1,10),"-","/")),VALUE(SUBSTITUTE(MID(_xlfn.TEXTAFTER('Banco de Dados'!$F76,"Order date:
",1),1,10),"-","/"))),0)),ProxyDD[Chave],ProxyDD[Valor por pedido]),PROXY!$P$2),0),0)</f>
        <v>0</v>
      </c>
      <c r="AP76" s="28">
        <f ca="1">IF('Banco de Dados'!$AK76&lt;&gt;"-",IF('Banco de Dados'!$AL76="NÃO",IFERROR(VALUE(SUBSTITUTE(_xlfn.TEXTAFTER('Banco de Dados'!$F76,"BRL ",1),".",",")),0),0),0)</f>
        <v>0</v>
      </c>
      <c r="AQ76" s="28">
        <f ca="1">SUM('Banco de Dados'!$AM76:$AP76)</f>
        <v>0</v>
      </c>
      <c r="AR76" s="8"/>
      <c r="AS76" s="8"/>
      <c r="AY76" s="8"/>
    </row>
    <row r="77" spans="1:51">
      <c r="A77" s="5" t="str">
        <v>BV</v>
      </c>
      <c r="B77" s="5" t="str">
        <f ca="1"/>
        <v>BV45590</v>
      </c>
      <c r="C77" s="8" t="str">
        <v>Pedido 76</v>
      </c>
      <c r="D77" s="9">
        <v>45590</v>
      </c>
      <c r="E77" s="9">
        <v>45590</v>
      </c>
      <c r="F77" s="8" t="str">
        <v>PedidoF67</v>
      </c>
      <c r="G77" s="2" t="str">
        <v>CódRastreio67</v>
      </c>
      <c r="H77" s="5">
        <v>1</v>
      </c>
      <c r="I77" s="2" t="str">
        <v>CPF 74</v>
      </c>
      <c r="J77" s="8" t="str">
        <v>Nome 74</v>
      </c>
      <c r="K77" s="8" t="str">
        <v>Tel 74</v>
      </c>
      <c r="L77" s="8" t="str">
        <v>Cep 74</v>
      </c>
      <c r="M77" s="8" t="str">
        <v>Rua 74</v>
      </c>
      <c r="N77" s="8" t="str">
        <v>Comp 74</v>
      </c>
      <c r="O77" s="8" t="str">
        <v>Suporte de Celular Branco</v>
      </c>
      <c r="P77" s="8" t="str">
        <v>16-4EDB-WMZF</v>
      </c>
      <c r="Q77" s="4">
        <v>45617</v>
      </c>
      <c r="R77" s="109">
        <v>15.99</v>
      </c>
      <c r="S77" s="11">
        <f ca="1"/>
        <v>15.99</v>
      </c>
      <c r="T77" s="28">
        <f ca="1"/>
        <v>2.3984999999999999</v>
      </c>
      <c r="U77" s="11">
        <f ca="1"/>
        <v>13.59</v>
      </c>
      <c r="V77" s="11">
        <v>4.99</v>
      </c>
      <c r="W77" s="11">
        <f ca="1"/>
        <v>0.55000000000000004</v>
      </c>
      <c r="X77" s="11">
        <f ca="1"/>
        <v>0.39877104377104378</v>
      </c>
      <c r="Y77" s="11">
        <v>0</v>
      </c>
      <c r="Z77" s="11">
        <f ca="1"/>
        <v>7.6512289562289562</v>
      </c>
      <c r="AA77" s="11">
        <f ca="1"/>
        <v>3.8256144781144781</v>
      </c>
      <c r="AB77" s="4">
        <f ca="1"/>
        <v>45624</v>
      </c>
      <c r="AC77" s="4">
        <v>45624</v>
      </c>
      <c r="AD77" s="9">
        <v>45625</v>
      </c>
      <c r="AE77" s="9">
        <v>45625</v>
      </c>
      <c r="AF77" s="4" t="str">
        <f t="shared" ca="1" si="1"/>
        <v>2024 11</v>
      </c>
      <c r="AG77" s="8" t="str" cm="1">
        <f t="array" ref="AG77">IFERROR(_xlfn.IFS('Banco de Dados'!#REF!="AG. COMPRA","Em processamento",'Banco de Dados'!#REF!="AG. RASTREIO","Em processamento",'Banco de Dados'!$AE77&lt;&gt;"-","Faturado",'Banco de Dados'!$AD77&lt;&gt;"-","Aguardando Pix",'Banco de Dados'!$AC77&lt;&gt;"-","Pendente"),"Aguardando Liberação")</f>
        <v>Aguardando Liberação</v>
      </c>
      <c r="AH77" s="5" t="str">
        <f>IF('Banco de Dados'!$F77="-",_xlfn.CONCAT(PROPER(TEXT(AK77,"aaaa"))," ",PROPER(TEXT(AK77,"mm"))),_xlfn.CONCAT(PROPER(TEXT(E77,"aaaa"))," ",PROPER(TEXT(E77,"mm"))))</f>
        <v>2024 10</v>
      </c>
      <c r="AI77" s="9" t="str">
        <f ca="1">IF('Banco de Dados'!$AK77&lt;&gt;"-","REEMBOLSO",IFERROR(_xlfn.XLOOKUP(G77,Follow[CODRASTREIO],Follow[STATUS]),"-"))</f>
        <v>ENTREGUE</v>
      </c>
      <c r="AJ77" s="9">
        <f ca="1">IF('Banco de Dados'!$AI77="ENTREGUE",_xlfn.XLOOKUP('Banco de Dados'!$G77,Follow[CODRASTREIO],Follow[DATAATUALIZAÇÃO]),"-")</f>
        <v>45599</v>
      </c>
      <c r="AK77" s="9" t="str">
        <f ca="1"/>
        <v>-</v>
      </c>
      <c r="AL77" s="35" t="str">
        <v>-</v>
      </c>
      <c r="AM77" s="109" cm="1">
        <f t="array" aca="1" ref="AM77" ca="1">IF('Banco de Dados'!$AK77&lt;&gt;"-",_xlfn.IFS('Banco de Dados'!$A77="bv",IF('Banco de Dados'!$E77&lt;45641,ROUND(SUM('Banco de Dados'!$R77*_xlfn.XLOOKUP('Banco de Dados'!$P77,Sku!B:B,Sku!#REF!)*20%),2),ROUND(SUM('Banco de Dados'!$R77*_xlfn.XLOOKUP('Banco de Dados'!$P77,Sku!B:B,Sku!H:H)*20%),2)),'Banco de Dados'!$A77="GO",ROUND(_xlfn.XLOOKUP('Banco de Dados'!$P77,Sku!C:C,Sku!H:H),2),'Banco de Dados'!$A77="MEI",ROUND(_xlfn.XLOOKUP('Banco de Dados'!$P77,Sku!D:D,Sku!H:H),2)),0)</f>
        <v>0</v>
      </c>
      <c r="AN77" s="109">
        <f ca="1">IF('Banco de Dados'!$AK77&lt;&gt;"-",IF('Banco de Dados'!$F77&lt;&gt;"-",_xlfn.XLOOKUP(IFERROR(IFERROR(IFERROR(VALUE(SUBSTITUTE(MID(_xlfn.TEXTAFTER('Banco de Dados'!$F77,"Data do Pedido:
",1),1,10),"-","/")),VALUE(SUBSTITUTE(MID(_xlfn.TEXTAFTER('Banco de Dados'!$F77,"Order date:
",1),1,10),"-","/"))),VALUE(SUBSTITUTE(MID(_xlfn.TEXTAFTER('Banco de Dados'!$F77,"Fecha de pedido:
",1),1,10),"-","/"))),"-"),SMS!A:A,SMS!K:K),0),0)</f>
        <v>0</v>
      </c>
      <c r="AO77" s="109">
        <f ca="1">IF('Banco de Dados'!$AK77&lt;&gt;"-",IF('Banco de Dados'!$F77&lt;&gt;"-",IFERROR(_xlfn.XLOOKUP(_xlfn.CONCAT('Banco de Dados'!$A77,IFERROR(IFERROR(VALUE(SUBSTITUTE(MID(_xlfn.TEXTAFTER('Banco de Dados'!$F77,"Data do Pedido:
",1),1,10),"-","/")),VALUE(SUBSTITUTE(MID(_xlfn.TEXTAFTER('Banco de Dados'!$F77,"Order date:
",1),1,10),"-","/"))),0)),ProxyDD[Chave],ProxyDD[Valor por pedido]),PROXY!$P$2),0),0)</f>
        <v>0</v>
      </c>
      <c r="AP77" s="28">
        <f ca="1">IF('Banco de Dados'!$AK77&lt;&gt;"-",IF('Banco de Dados'!$AL77="NÃO",IFERROR(VALUE(SUBSTITUTE(_xlfn.TEXTAFTER('Banco de Dados'!$F77,"BRL ",1),".",",")),0),0),0)</f>
        <v>0</v>
      </c>
      <c r="AQ77" s="28">
        <f ca="1">SUM('Banco de Dados'!$AM77:$AP77)</f>
        <v>0</v>
      </c>
      <c r="AR77" s="8"/>
      <c r="AS77" s="8"/>
      <c r="AY77" s="8"/>
    </row>
    <row r="78" spans="1:51">
      <c r="A78" s="5" t="str">
        <v>BV</v>
      </c>
      <c r="B78" s="5" t="str">
        <f ca="1"/>
        <v>BV45590</v>
      </c>
      <c r="C78" s="8" t="str">
        <v>Pedido 77</v>
      </c>
      <c r="D78" s="9">
        <v>45590</v>
      </c>
      <c r="E78" s="9">
        <v>45590</v>
      </c>
      <c r="F78" s="8" t="str">
        <v>PedidoF68</v>
      </c>
      <c r="G78" s="2" t="str">
        <v>CódRastreio68</v>
      </c>
      <c r="H78" s="5">
        <v>1</v>
      </c>
      <c r="I78" s="3" t="str">
        <v>CPF 75</v>
      </c>
      <c r="J78" s="8" t="str">
        <v>Nome 75</v>
      </c>
      <c r="K78" s="8" t="str">
        <v>Tel 75</v>
      </c>
      <c r="L78" s="8" t="str">
        <v>Cep 75</v>
      </c>
      <c r="M78" s="8" t="str">
        <v>Rua 75</v>
      </c>
      <c r="N78" s="8" t="str">
        <v>Comp 75</v>
      </c>
      <c r="O78" s="8" t="str">
        <v>Suporte de Celular Branco</v>
      </c>
      <c r="P78" s="8" t="str">
        <v>16-4EDB-WMZF</v>
      </c>
      <c r="Q78" s="4">
        <v>45610</v>
      </c>
      <c r="R78" s="109">
        <v>15.99</v>
      </c>
      <c r="S78" s="11">
        <f ca="1"/>
        <v>15.99</v>
      </c>
      <c r="T78" s="28">
        <f ca="1"/>
        <v>2.3984999999999999</v>
      </c>
      <c r="U78" s="11">
        <f ca="1"/>
        <v>13.59</v>
      </c>
      <c r="V78" s="11">
        <v>4.99</v>
      </c>
      <c r="W78" s="11">
        <f ca="1"/>
        <v>0.55000000000000004</v>
      </c>
      <c r="X78" s="11">
        <f ca="1"/>
        <v>0.39877104377104378</v>
      </c>
      <c r="Y78" s="11">
        <v>0</v>
      </c>
      <c r="Z78" s="11">
        <f ca="1"/>
        <v>7.6512289562289562</v>
      </c>
      <c r="AA78" s="11">
        <f ca="1"/>
        <v>3.8256144781144781</v>
      </c>
      <c r="AB78" s="4">
        <f ca="1"/>
        <v>45617</v>
      </c>
      <c r="AC78" s="4">
        <v>45617</v>
      </c>
      <c r="AD78" s="9">
        <v>45617</v>
      </c>
      <c r="AE78" s="9">
        <v>45618</v>
      </c>
      <c r="AF78" s="4" t="str">
        <f t="shared" ca="1" si="1"/>
        <v>2024 11</v>
      </c>
      <c r="AG78" s="8" t="str" cm="1">
        <f t="array" ref="AG78">IFERROR(_xlfn.IFS('Banco de Dados'!#REF!="AG. COMPRA","Em processamento",'Banco de Dados'!#REF!="AG. RASTREIO","Em processamento",'Banco de Dados'!$AE78&lt;&gt;"-","Faturado",'Banco de Dados'!$AD78&lt;&gt;"-","Aguardando Pix",'Banco de Dados'!$AC78&lt;&gt;"-","Pendente"),"Aguardando Liberação")</f>
        <v>Aguardando Liberação</v>
      </c>
      <c r="AH78" s="5" t="str">
        <f>IF('Banco de Dados'!$F78="-",_xlfn.CONCAT(PROPER(TEXT(AK78,"aaaa"))," ",PROPER(TEXT(AK78,"mm"))),_xlfn.CONCAT(PROPER(TEXT(E78,"aaaa"))," ",PROPER(TEXT(E78,"mm"))))</f>
        <v>2024 10</v>
      </c>
      <c r="AI78" s="9" t="str">
        <f ca="1">IF('Banco de Dados'!$AK78&lt;&gt;"-","REEMBOLSO",IFERROR(_xlfn.XLOOKUP(G78,Follow[CODRASTREIO],Follow[STATUS]),"-"))</f>
        <v>ENTREGUE</v>
      </c>
      <c r="AJ78" s="9">
        <f ca="1">IF('Banco de Dados'!$AI78="ENTREGUE",_xlfn.XLOOKUP('Banco de Dados'!$G78,Follow[CODRASTREIO],Follow[DATAATUALIZAÇÃO]),"-")</f>
        <v>45597</v>
      </c>
      <c r="AK78" s="9" t="str">
        <f ca="1"/>
        <v>-</v>
      </c>
      <c r="AL78" s="35" t="str">
        <v>NÃO</v>
      </c>
      <c r="AM78" s="109" cm="1">
        <f t="array" aca="1" ref="AM78" ca="1">IF('Banco de Dados'!$AK78&lt;&gt;"-",_xlfn.IFS('Banco de Dados'!$A78="bv",IF('Banco de Dados'!$E78&lt;45641,ROUND(SUM('Banco de Dados'!$R78*_xlfn.XLOOKUP('Banco de Dados'!$P78,Sku!B:B,Sku!#REF!)*20%),2),ROUND(SUM('Banco de Dados'!$R78*_xlfn.XLOOKUP('Banco de Dados'!$P78,Sku!B:B,Sku!H:H)*20%),2)),'Banco de Dados'!$A78="GO",ROUND(_xlfn.XLOOKUP('Banco de Dados'!$P78,Sku!C:C,Sku!H:H),2),'Banco de Dados'!$A78="MEI",ROUND(_xlfn.XLOOKUP('Banco de Dados'!$P78,Sku!D:D,Sku!H:H),2)),0)</f>
        <v>0</v>
      </c>
      <c r="AN78" s="109">
        <f ca="1">IF('Banco de Dados'!$AK78&lt;&gt;"-",IF('Banco de Dados'!$F78&lt;&gt;"-",_xlfn.XLOOKUP(IFERROR(IFERROR(IFERROR(VALUE(SUBSTITUTE(MID(_xlfn.TEXTAFTER('Banco de Dados'!$F78,"Data do Pedido:
",1),1,10),"-","/")),VALUE(SUBSTITUTE(MID(_xlfn.TEXTAFTER('Banco de Dados'!$F78,"Order date:
",1),1,10),"-","/"))),VALUE(SUBSTITUTE(MID(_xlfn.TEXTAFTER('Banco de Dados'!$F78,"Fecha de pedido:
",1),1,10),"-","/"))),"-"),SMS!A:A,SMS!K:K),0),0)</f>
        <v>0</v>
      </c>
      <c r="AO78" s="109">
        <f ca="1">IF('Banco de Dados'!$AK78&lt;&gt;"-",IF('Banco de Dados'!$F78&lt;&gt;"-",IFERROR(_xlfn.XLOOKUP(_xlfn.CONCAT('Banco de Dados'!$A78,IFERROR(IFERROR(VALUE(SUBSTITUTE(MID(_xlfn.TEXTAFTER('Banco de Dados'!$F78,"Data do Pedido:
",1),1,10),"-","/")),VALUE(SUBSTITUTE(MID(_xlfn.TEXTAFTER('Banco de Dados'!$F78,"Order date:
",1),1,10),"-","/"))),0)),ProxyDD[Chave],ProxyDD[Valor por pedido]),PROXY!$P$2),0),0)</f>
        <v>0</v>
      </c>
      <c r="AP78" s="28">
        <f ca="1">IF('Banco de Dados'!$AK78&lt;&gt;"-",IF('Banco de Dados'!$AL78="NÃO",IFERROR(VALUE(SUBSTITUTE(_xlfn.TEXTAFTER('Banco de Dados'!$F78,"BRL ",1),".",",")),0),0),0)</f>
        <v>0</v>
      </c>
      <c r="AQ78" s="28">
        <f ca="1">SUM('Banco de Dados'!$AM78:$AP78)</f>
        <v>0</v>
      </c>
      <c r="AR78" s="8"/>
      <c r="AS78" s="8"/>
      <c r="AY78" s="8"/>
    </row>
    <row r="79" spans="1:51">
      <c r="A79" s="5" t="str">
        <v>BV</v>
      </c>
      <c r="B79" s="5" t="str">
        <f ca="1"/>
        <v>BV45590</v>
      </c>
      <c r="C79" s="8" t="str">
        <v>Pedido 78</v>
      </c>
      <c r="D79" s="9">
        <v>45590</v>
      </c>
      <c r="E79" s="9">
        <v>45590</v>
      </c>
      <c r="F79" s="8" t="str">
        <v>PedidoF69</v>
      </c>
      <c r="G79" s="2" t="str">
        <v>CódRastreio69</v>
      </c>
      <c r="H79" s="5">
        <v>1</v>
      </c>
      <c r="I79" s="2" t="str">
        <v>CPF 76</v>
      </c>
      <c r="J79" s="2" t="str">
        <v>Nome 76</v>
      </c>
      <c r="K79" s="8" t="str">
        <v>Tel 76</v>
      </c>
      <c r="L79" s="2" t="str">
        <v>Cep 76</v>
      </c>
      <c r="M79" s="2" t="str">
        <v>Rua 76</v>
      </c>
      <c r="N79" s="2" t="str">
        <v>Comp 76</v>
      </c>
      <c r="O79" s="2" t="str">
        <v>Bomba d'agua</v>
      </c>
      <c r="P79" s="8" t="str">
        <v>DJ-RO5O-43GF</v>
      </c>
      <c r="Q79" s="4">
        <v>45617</v>
      </c>
      <c r="R79" s="109">
        <v>18.2</v>
      </c>
      <c r="S79" s="11">
        <f ca="1"/>
        <v>18.2</v>
      </c>
      <c r="T79" s="28">
        <f ca="1"/>
        <v>2.548</v>
      </c>
      <c r="U79" s="11">
        <f ca="1"/>
        <v>15.65</v>
      </c>
      <c r="V79" s="11">
        <v>4.99</v>
      </c>
      <c r="W79" s="11">
        <f ca="1"/>
        <v>0.55000000000000004</v>
      </c>
      <c r="X79" s="11">
        <f ca="1"/>
        <v>0.39877104377104378</v>
      </c>
      <c r="Y79" s="11">
        <v>0</v>
      </c>
      <c r="Z79" s="11">
        <f ca="1"/>
        <v>9.7112289562289575</v>
      </c>
      <c r="AA79" s="11">
        <f ca="1"/>
        <v>4.8556144781144788</v>
      </c>
      <c r="AB79" s="4">
        <f ca="1"/>
        <v>45624</v>
      </c>
      <c r="AC79" s="4">
        <v>45624</v>
      </c>
      <c r="AD79" s="9">
        <v>45625</v>
      </c>
      <c r="AE79" s="9">
        <v>45625</v>
      </c>
      <c r="AF79" s="4" t="str">
        <f t="shared" ca="1" si="1"/>
        <v>2024 11</v>
      </c>
      <c r="AG79" s="8" t="str" cm="1">
        <f t="array" ref="AG79">IFERROR(_xlfn.IFS('Banco de Dados'!#REF!="AG. COMPRA","Em processamento",'Banco de Dados'!#REF!="AG. RASTREIO","Em processamento",'Banco de Dados'!$AE79&lt;&gt;"-","Faturado",'Banco de Dados'!$AD79&lt;&gt;"-","Aguardando Pix",'Banco de Dados'!$AC79&lt;&gt;"-","Pendente"),"Aguardando Liberação")</f>
        <v>Aguardando Liberação</v>
      </c>
      <c r="AH79" s="5" t="str">
        <f>IF('Banco de Dados'!$F79="-",_xlfn.CONCAT(PROPER(TEXT(AK79,"aaaa"))," ",PROPER(TEXT(AK79,"mm"))),_xlfn.CONCAT(PROPER(TEXT(E79,"aaaa"))," ",PROPER(TEXT(E79,"mm"))))</f>
        <v>2024 10</v>
      </c>
      <c r="AI79" s="9" t="str">
        <f ca="1">IF('Banco de Dados'!$AK79&lt;&gt;"-","REEMBOLSO",IFERROR(_xlfn.XLOOKUP(G79,Follow[CODRASTREIO],Follow[STATUS]),"-"))</f>
        <v>ENTREGUE</v>
      </c>
      <c r="AJ79" s="9">
        <f ca="1">IF('Banco de Dados'!$AI79="ENTREGUE",_xlfn.XLOOKUP('Banco de Dados'!$G79,Follow[CODRASTREIO],Follow[DATAATUALIZAÇÃO]),"-")</f>
        <v>45597</v>
      </c>
      <c r="AK79" s="9" t="str">
        <f ca="1"/>
        <v>-</v>
      </c>
      <c r="AL79" s="35" t="str">
        <v>NÃO</v>
      </c>
      <c r="AM79" s="109" cm="1">
        <f t="array" aca="1" ref="AM79" ca="1">IF('Banco de Dados'!$AK79&lt;&gt;"-",_xlfn.IFS('Banco de Dados'!$A79="bv",IF('Banco de Dados'!$E79&lt;45641,ROUND(SUM('Banco de Dados'!$R79*_xlfn.XLOOKUP('Banco de Dados'!$P79,Sku!B:B,Sku!#REF!)*20%),2),ROUND(SUM('Banco de Dados'!$R79*_xlfn.XLOOKUP('Banco de Dados'!$P79,Sku!B:B,Sku!H:H)*20%),2)),'Banco de Dados'!$A79="GO",ROUND(_xlfn.XLOOKUP('Banco de Dados'!$P79,Sku!C:C,Sku!H:H),2),'Banco de Dados'!$A79="MEI",ROUND(_xlfn.XLOOKUP('Banco de Dados'!$P79,Sku!D:D,Sku!H:H),2)),0)</f>
        <v>0</v>
      </c>
      <c r="AN79" s="109">
        <f ca="1">IF('Banco de Dados'!$AK79&lt;&gt;"-",IF('Banco de Dados'!$F79&lt;&gt;"-",_xlfn.XLOOKUP(IFERROR(IFERROR(IFERROR(VALUE(SUBSTITUTE(MID(_xlfn.TEXTAFTER('Banco de Dados'!$F79,"Data do Pedido:
",1),1,10),"-","/")),VALUE(SUBSTITUTE(MID(_xlfn.TEXTAFTER('Banco de Dados'!$F79,"Order date:
",1),1,10),"-","/"))),VALUE(SUBSTITUTE(MID(_xlfn.TEXTAFTER('Banco de Dados'!$F79,"Fecha de pedido:
",1),1,10),"-","/"))),"-"),SMS!A:A,SMS!K:K),0),0)</f>
        <v>0</v>
      </c>
      <c r="AO79" s="109">
        <f ca="1">IF('Banco de Dados'!$AK79&lt;&gt;"-",IF('Banco de Dados'!$F79&lt;&gt;"-",IFERROR(_xlfn.XLOOKUP(_xlfn.CONCAT('Banco de Dados'!$A79,IFERROR(IFERROR(VALUE(SUBSTITUTE(MID(_xlfn.TEXTAFTER('Banco de Dados'!$F79,"Data do Pedido:
",1),1,10),"-","/")),VALUE(SUBSTITUTE(MID(_xlfn.TEXTAFTER('Banco de Dados'!$F79,"Order date:
",1),1,10),"-","/"))),0)),ProxyDD[Chave],ProxyDD[Valor por pedido]),PROXY!$P$2),0),0)</f>
        <v>0</v>
      </c>
      <c r="AP79" s="28">
        <f ca="1">IF('Banco de Dados'!$AK79&lt;&gt;"-",IF('Banco de Dados'!$AL79="NÃO",IFERROR(VALUE(SUBSTITUTE(_xlfn.TEXTAFTER('Banco de Dados'!$F79,"BRL ",1),".",",")),0),0),0)</f>
        <v>0</v>
      </c>
      <c r="AQ79" s="28">
        <f ca="1">SUM('Banco de Dados'!$AM79:$AP79)</f>
        <v>0</v>
      </c>
      <c r="AR79" s="8"/>
      <c r="AS79" s="8"/>
      <c r="AY79" s="8"/>
    </row>
    <row r="80" spans="1:51">
      <c r="A80" s="5" t="str">
        <v>BV</v>
      </c>
      <c r="B80" s="5" t="str">
        <f ca="1"/>
        <v>BV45614</v>
      </c>
      <c r="C80" s="8" t="str">
        <v>Pedido 79</v>
      </c>
      <c r="D80" s="9">
        <v>45614</v>
      </c>
      <c r="E80" s="9">
        <v>45614</v>
      </c>
      <c r="F80" s="8" t="str">
        <v>PedidoF70</v>
      </c>
      <c r="G80" s="2" t="str">
        <v>CódRastreio70</v>
      </c>
      <c r="H80" s="5">
        <v>1</v>
      </c>
      <c r="I80" s="2" t="str">
        <v>CPF 77</v>
      </c>
      <c r="J80" s="2" t="str">
        <v>Nome 77</v>
      </c>
      <c r="K80" s="8" t="str">
        <v>Tel 77</v>
      </c>
      <c r="L80" s="2" t="str">
        <v>Cep 77</v>
      </c>
      <c r="M80" s="2" t="str">
        <v>Rua 77</v>
      </c>
      <c r="N80" s="2" t="str">
        <v>Comp 77</v>
      </c>
      <c r="O80" s="2" t="str">
        <v>Bomba d'agua</v>
      </c>
      <c r="P80" s="8" t="str">
        <v>DJ-RO5O-43GF</v>
      </c>
      <c r="Q80" s="4">
        <v>45610</v>
      </c>
      <c r="R80" s="109">
        <v>18.2</v>
      </c>
      <c r="S80" s="11">
        <f ca="1"/>
        <v>18.2</v>
      </c>
      <c r="T80" s="28">
        <f ca="1"/>
        <v>2.548</v>
      </c>
      <c r="U80" s="11">
        <f ca="1"/>
        <v>15.65</v>
      </c>
      <c r="V80" s="11">
        <v>6.99</v>
      </c>
      <c r="W80" s="11">
        <f ca="1"/>
        <v>0.17</v>
      </c>
      <c r="X80" s="11">
        <f ca="1"/>
        <v>0.39877104377104378</v>
      </c>
      <c r="Y80" s="11">
        <v>0</v>
      </c>
      <c r="Z80" s="11">
        <f ca="1"/>
        <v>8.0912289562289565</v>
      </c>
      <c r="AA80" s="11">
        <f ca="1"/>
        <v>4.0456144781144783</v>
      </c>
      <c r="AB80" s="4">
        <f ca="1"/>
        <v>45617</v>
      </c>
      <c r="AC80" s="4">
        <v>45617</v>
      </c>
      <c r="AD80" s="9">
        <v>45617</v>
      </c>
      <c r="AE80" s="9">
        <v>45618</v>
      </c>
      <c r="AF80" s="4" t="str">
        <f t="shared" ca="1" si="1"/>
        <v>2024 11</v>
      </c>
      <c r="AG80" s="8" t="str" cm="1">
        <f t="array" ref="AG80">IFERROR(_xlfn.IFS('Banco de Dados'!#REF!="AG. COMPRA","Em processamento",'Banco de Dados'!#REF!="AG. RASTREIO","Em processamento",'Banco de Dados'!$AE80&lt;&gt;"-","Faturado",'Banco de Dados'!$AD80&lt;&gt;"-","Aguardando Pix",'Banco de Dados'!$AC80&lt;&gt;"-","Pendente"),"Aguardando Liberação")</f>
        <v>Aguardando Liberação</v>
      </c>
      <c r="AH80" s="5" t="str">
        <f>IF('Banco de Dados'!$F80="-",_xlfn.CONCAT(PROPER(TEXT(AK80,"aaaa"))," ",PROPER(TEXT(AK80,"mm"))),_xlfn.CONCAT(PROPER(TEXT(E80,"aaaa"))," ",PROPER(TEXT(E80,"mm"))))</f>
        <v>2024 11</v>
      </c>
      <c r="AI80" s="9" t="str">
        <f ca="1">IF('Banco de Dados'!$AK80&lt;&gt;"-","REEMBOLSO",IFERROR(_xlfn.XLOOKUP(G80,Follow[CODRASTREIO],Follow[STATUS]),"-"))</f>
        <v>ENTREGUE</v>
      </c>
      <c r="AJ80" s="9">
        <f ca="1">IF('Banco de Dados'!$AI80="ENTREGUE",_xlfn.XLOOKUP('Banco de Dados'!$G80,Follow[CODRASTREIO],Follow[DATAATUALIZAÇÃO]),"-")</f>
        <v>45624</v>
      </c>
      <c r="AK80" s="9" t="str">
        <f ca="1"/>
        <v>-</v>
      </c>
      <c r="AL80" s="35" t="str">
        <v>NÃO</v>
      </c>
      <c r="AM80" s="109" cm="1">
        <f t="array" aca="1" ref="AM80" ca="1">IF('Banco de Dados'!$AK80&lt;&gt;"-",_xlfn.IFS('Banco de Dados'!$A80="bv",IF('Banco de Dados'!$E80&lt;45641,ROUND(SUM('Banco de Dados'!$R80*_xlfn.XLOOKUP('Banco de Dados'!$P80,Sku!B:B,Sku!#REF!)*20%),2),ROUND(SUM('Banco de Dados'!$R80*_xlfn.XLOOKUP('Banco de Dados'!$P80,Sku!B:B,Sku!H:H)*20%),2)),'Banco de Dados'!$A80="GO",ROUND(_xlfn.XLOOKUP('Banco de Dados'!$P80,Sku!C:C,Sku!H:H),2),'Banco de Dados'!$A80="MEI",ROUND(_xlfn.XLOOKUP('Banco de Dados'!$P80,Sku!D:D,Sku!H:H),2)),0)</f>
        <v>0</v>
      </c>
      <c r="AN80" s="109">
        <f ca="1">IF('Banco de Dados'!$AK80&lt;&gt;"-",IF('Banco de Dados'!$F80&lt;&gt;"-",_xlfn.XLOOKUP(IFERROR(IFERROR(IFERROR(VALUE(SUBSTITUTE(MID(_xlfn.TEXTAFTER('Banco de Dados'!$F80,"Data do Pedido:
",1),1,10),"-","/")),VALUE(SUBSTITUTE(MID(_xlfn.TEXTAFTER('Banco de Dados'!$F80,"Order date:
",1),1,10),"-","/"))),VALUE(SUBSTITUTE(MID(_xlfn.TEXTAFTER('Banco de Dados'!$F80,"Fecha de pedido:
",1),1,10),"-","/"))),"-"),SMS!A:A,SMS!K:K),0),0)</f>
        <v>0</v>
      </c>
      <c r="AO80" s="109">
        <f ca="1">IF('Banco de Dados'!$AK80&lt;&gt;"-",IF('Banco de Dados'!$F80&lt;&gt;"-",IFERROR(_xlfn.XLOOKUP(_xlfn.CONCAT('Banco de Dados'!$A80,IFERROR(IFERROR(VALUE(SUBSTITUTE(MID(_xlfn.TEXTAFTER('Banco de Dados'!$F80,"Data do Pedido:
",1),1,10),"-","/")),VALUE(SUBSTITUTE(MID(_xlfn.TEXTAFTER('Banco de Dados'!$F80,"Order date:
",1),1,10),"-","/"))),0)),ProxyDD[Chave],ProxyDD[Valor por pedido]),PROXY!$P$2),0),0)</f>
        <v>0</v>
      </c>
      <c r="AP80" s="28">
        <f ca="1">IF('Banco de Dados'!$AK80&lt;&gt;"-",IF('Banco de Dados'!$AL80="NÃO",IFERROR(VALUE(SUBSTITUTE(_xlfn.TEXTAFTER('Banco de Dados'!$F80,"BRL ",1),".",",")),0),0),0)</f>
        <v>0</v>
      </c>
      <c r="AQ80" s="28">
        <f ca="1">SUM('Banco de Dados'!$AM80:$AP80)</f>
        <v>0</v>
      </c>
      <c r="AR80" s="8"/>
      <c r="AS80" s="8"/>
      <c r="AY80" s="8"/>
    </row>
    <row r="81" spans="1:51">
      <c r="A81" s="5" t="str">
        <v>BV</v>
      </c>
      <c r="B81" s="5" t="str">
        <f ca="1"/>
        <v>BV45590</v>
      </c>
      <c r="C81" s="8" t="str">
        <v>Pedido 80</v>
      </c>
      <c r="D81" s="9">
        <v>45590</v>
      </c>
      <c r="E81" s="9">
        <v>45590</v>
      </c>
      <c r="F81" s="8" t="str">
        <v>PedidoF71</v>
      </c>
      <c r="G81" s="2" t="str">
        <v>CódRastreio71</v>
      </c>
      <c r="H81" s="5">
        <v>1</v>
      </c>
      <c r="I81" s="2" t="str">
        <v>CPF 78</v>
      </c>
      <c r="J81" s="2" t="str">
        <v>Nome 78</v>
      </c>
      <c r="K81" s="8" t="str">
        <v>Tel 78</v>
      </c>
      <c r="L81" s="2" t="str">
        <v>Cep 78</v>
      </c>
      <c r="M81" s="2" t="str">
        <v>Rua 78</v>
      </c>
      <c r="N81" s="2" t="str">
        <v>Comp 78</v>
      </c>
      <c r="O81" s="2" t="str">
        <v>Suporte de Celular Preto</v>
      </c>
      <c r="P81" s="8" t="str">
        <v>9G-BN48-QAPH</v>
      </c>
      <c r="Q81" s="4">
        <v>45604</v>
      </c>
      <c r="R81" s="109">
        <v>15.99</v>
      </c>
      <c r="S81" s="11">
        <f ca="1"/>
        <v>15.99</v>
      </c>
      <c r="T81" s="28">
        <f ca="1"/>
        <v>2.3984999999999999</v>
      </c>
      <c r="U81" s="11">
        <f ca="1"/>
        <v>13.59</v>
      </c>
      <c r="V81" s="11">
        <v>4.99</v>
      </c>
      <c r="W81" s="11">
        <f ca="1"/>
        <v>0.55000000000000004</v>
      </c>
      <c r="X81" s="11">
        <f ca="1"/>
        <v>0.39877104377104378</v>
      </c>
      <c r="Y81" s="11">
        <v>0</v>
      </c>
      <c r="Z81" s="11">
        <f ca="1"/>
        <v>7.6512289562289562</v>
      </c>
      <c r="AA81" s="11">
        <f ca="1"/>
        <v>3.8256144781144781</v>
      </c>
      <c r="AB81" s="4">
        <f ca="1"/>
        <v>45611</v>
      </c>
      <c r="AC81" s="4">
        <v>45611</v>
      </c>
      <c r="AD81" s="9">
        <v>45617</v>
      </c>
      <c r="AE81" s="9">
        <v>45618</v>
      </c>
      <c r="AF81" s="4" t="str">
        <f t="shared" ca="1" si="1"/>
        <v>2024 11</v>
      </c>
      <c r="AG81" s="8" t="str" cm="1">
        <f t="array" ref="AG81">IFERROR(_xlfn.IFS('Banco de Dados'!#REF!="AG. COMPRA","Em processamento",'Banco de Dados'!#REF!="AG. RASTREIO","Em processamento",'Banco de Dados'!$AE81&lt;&gt;"-","Faturado",'Banco de Dados'!$AD81&lt;&gt;"-","Aguardando Pix",'Banco de Dados'!$AC81&lt;&gt;"-","Pendente"),"Aguardando Liberação")</f>
        <v>Aguardando Liberação</v>
      </c>
      <c r="AH81" s="5" t="str">
        <f>IF('Banco de Dados'!$F81="-",_xlfn.CONCAT(PROPER(TEXT(AK81,"aaaa"))," ",PROPER(TEXT(AK81,"mm"))),_xlfn.CONCAT(PROPER(TEXT(E81,"aaaa"))," ",PROPER(TEXT(E81,"mm"))))</f>
        <v>2024 10</v>
      </c>
      <c r="AI81" s="9" t="str">
        <f ca="1">IF('Banco de Dados'!$AK81&lt;&gt;"-","REEMBOLSO",IFERROR(_xlfn.XLOOKUP(G81,Follow[CODRASTREIO],Follow[STATUS]),"-"))</f>
        <v>ENTREGUE</v>
      </c>
      <c r="AJ81" s="9">
        <f ca="1">IF('Banco de Dados'!$AI81="ENTREGUE",_xlfn.XLOOKUP('Banco de Dados'!$G81,Follow[CODRASTREIO],Follow[DATAATUALIZAÇÃO]),"-")</f>
        <v>45594</v>
      </c>
      <c r="AK81" s="9" t="str">
        <f ca="1"/>
        <v>-</v>
      </c>
      <c r="AL81" s="35" t="str">
        <v>NÃO</v>
      </c>
      <c r="AM81" s="109" cm="1">
        <f t="array" aca="1" ref="AM81" ca="1">IF('Banco de Dados'!$AK81&lt;&gt;"-",_xlfn.IFS('Banco de Dados'!$A81="bv",IF('Banco de Dados'!$E81&lt;45641,ROUND(SUM('Banco de Dados'!$R81*_xlfn.XLOOKUP('Banco de Dados'!$P81,Sku!B:B,Sku!#REF!)*20%),2),ROUND(SUM('Banco de Dados'!$R81*_xlfn.XLOOKUP('Banco de Dados'!$P81,Sku!B:B,Sku!H:H)*20%),2)),'Banco de Dados'!$A81="GO",ROUND(_xlfn.XLOOKUP('Banco de Dados'!$P81,Sku!C:C,Sku!H:H),2),'Banco de Dados'!$A81="MEI",ROUND(_xlfn.XLOOKUP('Banco de Dados'!$P81,Sku!D:D,Sku!H:H),2)),0)</f>
        <v>0</v>
      </c>
      <c r="AN81" s="109">
        <f ca="1">IF('Banco de Dados'!$AK81&lt;&gt;"-",IF('Banco de Dados'!$F81&lt;&gt;"-",_xlfn.XLOOKUP(IFERROR(IFERROR(IFERROR(VALUE(SUBSTITUTE(MID(_xlfn.TEXTAFTER('Banco de Dados'!$F81,"Data do Pedido:
",1),1,10),"-","/")),VALUE(SUBSTITUTE(MID(_xlfn.TEXTAFTER('Banco de Dados'!$F81,"Order date:
",1),1,10),"-","/"))),VALUE(SUBSTITUTE(MID(_xlfn.TEXTAFTER('Banco de Dados'!$F81,"Fecha de pedido:
",1),1,10),"-","/"))),"-"),SMS!A:A,SMS!K:K),0),0)</f>
        <v>0</v>
      </c>
      <c r="AO81" s="109">
        <f ca="1">IF('Banco de Dados'!$AK81&lt;&gt;"-",IF('Banco de Dados'!$F81&lt;&gt;"-",IFERROR(_xlfn.XLOOKUP(_xlfn.CONCAT('Banco de Dados'!$A81,IFERROR(IFERROR(VALUE(SUBSTITUTE(MID(_xlfn.TEXTAFTER('Banco de Dados'!$F81,"Data do Pedido:
",1),1,10),"-","/")),VALUE(SUBSTITUTE(MID(_xlfn.TEXTAFTER('Banco de Dados'!$F81,"Order date:
",1),1,10),"-","/"))),0)),ProxyDD[Chave],ProxyDD[Valor por pedido]),PROXY!$P$2),0),0)</f>
        <v>0</v>
      </c>
      <c r="AP81" s="28">
        <f ca="1">IF('Banco de Dados'!$AK81&lt;&gt;"-",IF('Banco de Dados'!$AL81="NÃO",IFERROR(VALUE(SUBSTITUTE(_xlfn.TEXTAFTER('Banco de Dados'!$F81,"BRL ",1),".",",")),0),0),0)</f>
        <v>0</v>
      </c>
      <c r="AQ81" s="28">
        <f ca="1">SUM('Banco de Dados'!$AM81:$AP81)</f>
        <v>0</v>
      </c>
      <c r="AR81" s="8"/>
      <c r="AS81" s="8"/>
      <c r="AY81" s="8"/>
    </row>
    <row r="82" spans="1:51">
      <c r="A82" s="5" t="str">
        <v>BV</v>
      </c>
      <c r="B82" s="5" t="str">
        <f ca="1"/>
        <v>BV45590</v>
      </c>
      <c r="C82" s="8" t="str">
        <v>Pedido 81</v>
      </c>
      <c r="D82" s="9">
        <v>45590</v>
      </c>
      <c r="E82" s="9">
        <v>45590</v>
      </c>
      <c r="F82" s="8" t="str">
        <v>PedidoF72</v>
      </c>
      <c r="G82" s="2" t="str">
        <v>CódRastreio72</v>
      </c>
      <c r="H82" s="5">
        <v>1</v>
      </c>
      <c r="I82" s="3" t="str">
        <v>CPF 79</v>
      </c>
      <c r="J82" s="2" t="str">
        <v>Nome 79</v>
      </c>
      <c r="K82" s="8" t="str">
        <v>Tel 79</v>
      </c>
      <c r="L82" s="2" t="str">
        <v>Cep 79</v>
      </c>
      <c r="M82" s="2" t="str">
        <v>Rua 79</v>
      </c>
      <c r="N82" s="2" t="str">
        <v>Comp 79</v>
      </c>
      <c r="O82" s="2" t="str">
        <v>Copo Termico</v>
      </c>
      <c r="P82" s="8" t="str">
        <v>KN-TBQL-K2MM</v>
      </c>
      <c r="Q82" s="4">
        <v>45617</v>
      </c>
      <c r="R82" s="109">
        <v>22.99</v>
      </c>
      <c r="S82" s="11">
        <f ca="1"/>
        <v>22.99</v>
      </c>
      <c r="T82" s="28">
        <f ca="1"/>
        <v>2.9886999999999997</v>
      </c>
      <c r="U82" s="11">
        <f ca="1"/>
        <v>20</v>
      </c>
      <c r="V82" s="11">
        <v>6.32</v>
      </c>
      <c r="W82" s="11">
        <f ca="1"/>
        <v>0.55000000000000004</v>
      </c>
      <c r="X82" s="11">
        <f ca="1"/>
        <v>0.39877104377104378</v>
      </c>
      <c r="Y82" s="11">
        <v>0</v>
      </c>
      <c r="Z82" s="11">
        <f ca="1"/>
        <v>12.731228956228957</v>
      </c>
      <c r="AA82" s="11">
        <f ca="1"/>
        <v>6.3656144781144786</v>
      </c>
      <c r="AB82" s="4">
        <f ca="1"/>
        <v>45624</v>
      </c>
      <c r="AC82" s="4">
        <v>45624</v>
      </c>
      <c r="AD82" s="9">
        <v>45625</v>
      </c>
      <c r="AE82" s="9">
        <v>45625</v>
      </c>
      <c r="AF82" s="4" t="str">
        <f t="shared" ca="1" si="1"/>
        <v>2024 11</v>
      </c>
      <c r="AG82" s="8" t="str" cm="1">
        <f t="array" ref="AG82">IFERROR(_xlfn.IFS('Banco de Dados'!#REF!="AG. COMPRA","Em processamento",'Banco de Dados'!#REF!="AG. RASTREIO","Em processamento",'Banco de Dados'!$AE82&lt;&gt;"-","Faturado",'Banco de Dados'!$AD82&lt;&gt;"-","Aguardando Pix",'Banco de Dados'!$AC82&lt;&gt;"-","Pendente"),"Aguardando Liberação")</f>
        <v>Aguardando Liberação</v>
      </c>
      <c r="AH82" s="5" t="str">
        <f>IF('Banco de Dados'!$F82="-",_xlfn.CONCAT(PROPER(TEXT(AK82,"aaaa"))," ",PROPER(TEXT(AK82,"mm"))),_xlfn.CONCAT(PROPER(TEXT(E82,"aaaa"))," ",PROPER(TEXT(E82,"mm"))))</f>
        <v>2024 10</v>
      </c>
      <c r="AI82" s="9" t="str">
        <f ca="1">IF('Banco de Dados'!$AK82&lt;&gt;"-","REEMBOLSO",IFERROR(_xlfn.XLOOKUP(G82,Follow[CODRASTREIO],Follow[STATUS]),"-"))</f>
        <v>ENTREGUE</v>
      </c>
      <c r="AJ82" s="9">
        <f ca="1">IF('Banco de Dados'!$AI82="ENTREGUE",_xlfn.XLOOKUP('Banco de Dados'!$G82,Follow[CODRASTREIO],Follow[DATAATUALIZAÇÃO]),"-")</f>
        <v>45600</v>
      </c>
      <c r="AK82" s="9" t="str">
        <f ca="1"/>
        <v>-</v>
      </c>
      <c r="AL82" s="35" t="str">
        <v>-</v>
      </c>
      <c r="AM82" s="109" cm="1">
        <f t="array" aca="1" ref="AM82" ca="1">IF('Banco de Dados'!$AK82&lt;&gt;"-",_xlfn.IFS('Banco de Dados'!$A82="bv",IF('Banco de Dados'!$E82&lt;45641,ROUND(SUM('Banco de Dados'!$R82*_xlfn.XLOOKUP('Banco de Dados'!$P82,Sku!B:B,Sku!#REF!)*20%),2),ROUND(SUM('Banco de Dados'!$R82*_xlfn.XLOOKUP('Banco de Dados'!$P82,Sku!B:B,Sku!H:H)*20%),2)),'Banco de Dados'!$A82="GO",ROUND(_xlfn.XLOOKUP('Banco de Dados'!$P82,Sku!C:C,Sku!H:H),2),'Banco de Dados'!$A82="MEI",ROUND(_xlfn.XLOOKUP('Banco de Dados'!$P82,Sku!D:D,Sku!H:H),2)),0)</f>
        <v>0</v>
      </c>
      <c r="AN82" s="109">
        <f ca="1">IF('Banco de Dados'!$AK82&lt;&gt;"-",IF('Banco de Dados'!$F82&lt;&gt;"-",_xlfn.XLOOKUP(IFERROR(IFERROR(IFERROR(VALUE(SUBSTITUTE(MID(_xlfn.TEXTAFTER('Banco de Dados'!$F82,"Data do Pedido:
",1),1,10),"-","/")),VALUE(SUBSTITUTE(MID(_xlfn.TEXTAFTER('Banco de Dados'!$F82,"Order date:
",1),1,10),"-","/"))),VALUE(SUBSTITUTE(MID(_xlfn.TEXTAFTER('Banco de Dados'!$F82,"Fecha de pedido:
",1),1,10),"-","/"))),"-"),SMS!A:A,SMS!K:K),0),0)</f>
        <v>0</v>
      </c>
      <c r="AO82" s="109">
        <f ca="1">IF('Banco de Dados'!$AK82&lt;&gt;"-",IF('Banco de Dados'!$F82&lt;&gt;"-",IFERROR(_xlfn.XLOOKUP(_xlfn.CONCAT('Banco de Dados'!$A82,IFERROR(IFERROR(VALUE(SUBSTITUTE(MID(_xlfn.TEXTAFTER('Banco de Dados'!$F82,"Data do Pedido:
",1),1,10),"-","/")),VALUE(SUBSTITUTE(MID(_xlfn.TEXTAFTER('Banco de Dados'!$F82,"Order date:
",1),1,10),"-","/"))),0)),ProxyDD[Chave],ProxyDD[Valor por pedido]),PROXY!$P$2),0),0)</f>
        <v>0</v>
      </c>
      <c r="AP82" s="28">
        <f ca="1">IF('Banco de Dados'!$AK82&lt;&gt;"-",IF('Banco de Dados'!$AL82="NÃO",IFERROR(VALUE(SUBSTITUTE(_xlfn.TEXTAFTER('Banco de Dados'!$F82,"BRL ",1),".",",")),0),0),0)</f>
        <v>0</v>
      </c>
      <c r="AQ82" s="28">
        <f ca="1">SUM('Banco de Dados'!$AM82:$AP82)</f>
        <v>0</v>
      </c>
      <c r="AR82" s="8"/>
      <c r="AS82" s="8"/>
      <c r="AY82" s="8"/>
    </row>
    <row r="83" spans="1:51">
      <c r="A83" s="5" t="str">
        <v>BV</v>
      </c>
      <c r="B83" s="5" t="str">
        <f ca="1"/>
        <v>BV45591</v>
      </c>
      <c r="C83" s="8" t="str">
        <v>Pedido 81</v>
      </c>
      <c r="D83" s="9">
        <v>45591</v>
      </c>
      <c r="E83" s="9">
        <v>45591</v>
      </c>
      <c r="F83" s="8" t="str">
        <v>PedidoF73</v>
      </c>
      <c r="G83" s="2" t="str">
        <v>CódRastreio73</v>
      </c>
      <c r="H83" s="5">
        <v>1</v>
      </c>
      <c r="I83" s="3" t="str">
        <v>CPF 79</v>
      </c>
      <c r="J83" s="2" t="str">
        <v>Nome 79</v>
      </c>
      <c r="K83" s="8" t="str">
        <v>Tel 79</v>
      </c>
      <c r="L83" s="2" t="str">
        <v>Cep 79</v>
      </c>
      <c r="M83" s="2" t="str">
        <v>Rua 79</v>
      </c>
      <c r="N83" s="2" t="str">
        <v>Comp 79</v>
      </c>
      <c r="O83" s="2" t="str">
        <v>Suporte de Celular Preto</v>
      </c>
      <c r="P83" s="8" t="str">
        <v>9G-BN48-QAPH</v>
      </c>
      <c r="Q83" s="4">
        <v>45617</v>
      </c>
      <c r="R83" s="109">
        <v>15.99</v>
      </c>
      <c r="S83" s="11">
        <f ca="1"/>
        <v>15.99</v>
      </c>
      <c r="T83" s="28">
        <f ca="1"/>
        <v>2.3984999999999999</v>
      </c>
      <c r="U83" s="11">
        <f ca="1"/>
        <v>13.59</v>
      </c>
      <c r="V83" s="11">
        <v>4.99</v>
      </c>
      <c r="W83" s="11">
        <f ca="1"/>
        <v>0.25</v>
      </c>
      <c r="X83" s="11">
        <f ca="1"/>
        <v>0.39877104377104378</v>
      </c>
      <c r="Y83" s="11">
        <v>0</v>
      </c>
      <c r="Z83" s="11">
        <f ca="1"/>
        <v>7.951228956228956</v>
      </c>
      <c r="AA83" s="11">
        <f ca="1"/>
        <v>3.975614478114478</v>
      </c>
      <c r="AB83" s="4">
        <f ca="1"/>
        <v>45624</v>
      </c>
      <c r="AC83" s="4">
        <v>45624</v>
      </c>
      <c r="AD83" s="9">
        <v>45625</v>
      </c>
      <c r="AE83" s="9">
        <v>45625</v>
      </c>
      <c r="AF83" s="4" t="str">
        <f t="shared" ca="1" si="1"/>
        <v>2024 11</v>
      </c>
      <c r="AG83" s="8" t="str" cm="1">
        <f t="array" ref="AG83">IFERROR(_xlfn.IFS('Banco de Dados'!#REF!="AG. COMPRA","Em processamento",'Banco de Dados'!#REF!="AG. RASTREIO","Em processamento",'Banco de Dados'!$AE83&lt;&gt;"-","Faturado",'Banco de Dados'!$AD83&lt;&gt;"-","Aguardando Pix",'Banco de Dados'!$AC83&lt;&gt;"-","Pendente"),"Aguardando Liberação")</f>
        <v>Aguardando Liberação</v>
      </c>
      <c r="AH83" s="5" t="str">
        <f>IF('Banco de Dados'!$F83="-",_xlfn.CONCAT(PROPER(TEXT(AK83,"aaaa"))," ",PROPER(TEXT(AK83,"mm"))),_xlfn.CONCAT(PROPER(TEXT(E83,"aaaa"))," ",PROPER(TEXT(E83,"mm"))))</f>
        <v>2024 10</v>
      </c>
      <c r="AI83" s="9" t="str">
        <f ca="1">IF('Banco de Dados'!$AK83&lt;&gt;"-","REEMBOLSO",IFERROR(_xlfn.XLOOKUP(G83,Follow[CODRASTREIO],Follow[STATUS]),"-"))</f>
        <v>-</v>
      </c>
      <c r="AJ83" s="9" t="str">
        <f ca="1">IF('Banco de Dados'!$AI83="ENTREGUE",_xlfn.XLOOKUP('Banco de Dados'!$G83,Follow[CODRASTREIO],Follow[DATAATUALIZAÇÃO]),"-")</f>
        <v>-</v>
      </c>
      <c r="AK83" s="9" t="str">
        <f ca="1"/>
        <v>-</v>
      </c>
      <c r="AL83" s="35" t="str">
        <v>NÃO</v>
      </c>
      <c r="AM83" s="109" cm="1">
        <f t="array" aca="1" ref="AM83" ca="1">IF('Banco de Dados'!$AK83&lt;&gt;"-",_xlfn.IFS('Banco de Dados'!$A83="bv",IF('Banco de Dados'!$E83&lt;45641,ROUND(SUM('Banco de Dados'!$R83*_xlfn.XLOOKUP('Banco de Dados'!$P83,Sku!B:B,Sku!#REF!)*20%),2),ROUND(SUM('Banco de Dados'!$R83*_xlfn.XLOOKUP('Banco de Dados'!$P83,Sku!B:B,Sku!H:H)*20%),2)),'Banco de Dados'!$A83="GO",ROUND(_xlfn.XLOOKUP('Banco de Dados'!$P83,Sku!C:C,Sku!H:H),2),'Banco de Dados'!$A83="MEI",ROUND(_xlfn.XLOOKUP('Banco de Dados'!$P83,Sku!D:D,Sku!H:H),2)),0)</f>
        <v>0</v>
      </c>
      <c r="AN83" s="109">
        <f ca="1">IF('Banco de Dados'!$AK83&lt;&gt;"-",IF('Banco de Dados'!$F83&lt;&gt;"-",_xlfn.XLOOKUP(IFERROR(IFERROR(IFERROR(VALUE(SUBSTITUTE(MID(_xlfn.TEXTAFTER('Banco de Dados'!$F83,"Data do Pedido:
",1),1,10),"-","/")),VALUE(SUBSTITUTE(MID(_xlfn.TEXTAFTER('Banco de Dados'!$F83,"Order date:
",1),1,10),"-","/"))),VALUE(SUBSTITUTE(MID(_xlfn.TEXTAFTER('Banco de Dados'!$F83,"Fecha de pedido:
",1),1,10),"-","/"))),"-"),SMS!A:A,SMS!K:K),0),0)</f>
        <v>0</v>
      </c>
      <c r="AO83" s="109">
        <f ca="1">IF('Banco de Dados'!$AK83&lt;&gt;"-",IF('Banco de Dados'!$F83&lt;&gt;"-",IFERROR(_xlfn.XLOOKUP(_xlfn.CONCAT('Banco de Dados'!$A83,IFERROR(IFERROR(VALUE(SUBSTITUTE(MID(_xlfn.TEXTAFTER('Banco de Dados'!$F83,"Data do Pedido:
",1),1,10),"-","/")),VALUE(SUBSTITUTE(MID(_xlfn.TEXTAFTER('Banco de Dados'!$F83,"Order date:
",1),1,10),"-","/"))),0)),ProxyDD[Chave],ProxyDD[Valor por pedido]),PROXY!$P$2),0),0)</f>
        <v>0</v>
      </c>
      <c r="AP83" s="28">
        <f ca="1">IF('Banco de Dados'!$AK83&lt;&gt;"-",IF('Banco de Dados'!$AL83="NÃO",IFERROR(VALUE(SUBSTITUTE(_xlfn.TEXTAFTER('Banco de Dados'!$F83,"BRL ",1),".",",")),0),0),0)</f>
        <v>0</v>
      </c>
      <c r="AQ83" s="28">
        <f ca="1">SUM('Banco de Dados'!$AM83:$AP83)</f>
        <v>0</v>
      </c>
      <c r="AR83" s="8"/>
      <c r="AS83" s="8"/>
      <c r="AY83" s="8"/>
    </row>
    <row r="84" spans="1:51">
      <c r="A84" s="5" t="str">
        <v>BV</v>
      </c>
      <c r="B84" s="5" t="str">
        <f ca="1"/>
        <v>BV45591</v>
      </c>
      <c r="C84" s="8" t="str">
        <v>Pedido 81</v>
      </c>
      <c r="D84" s="9">
        <v>45591</v>
      </c>
      <c r="E84" s="9">
        <v>45591</v>
      </c>
      <c r="F84" s="8" t="str">
        <v>PedidoF74</v>
      </c>
      <c r="G84" s="2" t="str">
        <v>CódRastreio74</v>
      </c>
      <c r="H84" s="5">
        <v>1</v>
      </c>
      <c r="I84" s="3" t="str">
        <v>CPF 79</v>
      </c>
      <c r="J84" s="2" t="str">
        <v>Nome 79</v>
      </c>
      <c r="K84" s="8" t="str">
        <v>Tel 79</v>
      </c>
      <c r="L84" s="2" t="str">
        <v>Cep 79</v>
      </c>
      <c r="M84" s="2" t="str">
        <v>Rua 79</v>
      </c>
      <c r="N84" s="2" t="str">
        <v>Comp 79</v>
      </c>
      <c r="O84" s="2" t="str">
        <v>Suporte de Celular Branco</v>
      </c>
      <c r="P84" s="8" t="str">
        <v>16-4EDB-WMZF</v>
      </c>
      <c r="Q84" s="4">
        <v>45617</v>
      </c>
      <c r="R84" s="109">
        <v>15.99</v>
      </c>
      <c r="S84" s="11">
        <f ca="1"/>
        <v>15.99</v>
      </c>
      <c r="T84" s="28">
        <f ca="1"/>
        <v>2.3984999999999999</v>
      </c>
      <c r="U84" s="11">
        <f ca="1"/>
        <v>13.59</v>
      </c>
      <c r="V84" s="11">
        <v>4.99</v>
      </c>
      <c r="W84" s="11">
        <f ca="1"/>
        <v>0.25</v>
      </c>
      <c r="X84" s="11">
        <f ca="1"/>
        <v>0.39877104377104378</v>
      </c>
      <c r="Y84" s="11">
        <v>0</v>
      </c>
      <c r="Z84" s="11">
        <f ca="1"/>
        <v>7.951228956228956</v>
      </c>
      <c r="AA84" s="11">
        <f ca="1"/>
        <v>3.975614478114478</v>
      </c>
      <c r="AB84" s="4">
        <f ca="1"/>
        <v>45624</v>
      </c>
      <c r="AC84" s="4">
        <v>45624</v>
      </c>
      <c r="AD84" s="9">
        <v>45625</v>
      </c>
      <c r="AE84" s="9">
        <v>45625</v>
      </c>
      <c r="AF84" s="4" t="str">
        <f t="shared" ca="1" si="1"/>
        <v>2024 11</v>
      </c>
      <c r="AG84" s="8" t="str" cm="1">
        <f t="array" ref="AG84">IFERROR(_xlfn.IFS('Banco de Dados'!#REF!="AG. COMPRA","Em processamento",'Banco de Dados'!#REF!="AG. RASTREIO","Em processamento",'Banco de Dados'!$AE84&lt;&gt;"-","Faturado",'Banco de Dados'!$AD84&lt;&gt;"-","Aguardando Pix",'Banco de Dados'!$AC84&lt;&gt;"-","Pendente"),"Aguardando Liberação")</f>
        <v>Aguardando Liberação</v>
      </c>
      <c r="AH84" s="5" t="str">
        <f>IF('Banco de Dados'!$F84="-",_xlfn.CONCAT(PROPER(TEXT(AK84,"aaaa"))," ",PROPER(TEXT(AK84,"mm"))),_xlfn.CONCAT(PROPER(TEXT(E84,"aaaa"))," ",PROPER(TEXT(E84,"mm"))))</f>
        <v>2024 10</v>
      </c>
      <c r="AI84" s="9" t="str">
        <f ca="1">IF('Banco de Dados'!$AK84&lt;&gt;"-","REEMBOLSO",IFERROR(_xlfn.XLOOKUP(G84,Follow[CODRASTREIO],Follow[STATUS]),"-"))</f>
        <v>-</v>
      </c>
      <c r="AJ84" s="9" t="str">
        <f ca="1">IF('Banco de Dados'!$AI84="ENTREGUE",_xlfn.XLOOKUP('Banco de Dados'!$G84,Follow[CODRASTREIO],Follow[DATAATUALIZAÇÃO]),"-")</f>
        <v>-</v>
      </c>
      <c r="AK84" s="9" t="str">
        <f ca="1"/>
        <v>-</v>
      </c>
      <c r="AL84" s="35" t="str">
        <v>SIM</v>
      </c>
      <c r="AM84" s="109" cm="1">
        <f t="array" aca="1" ref="AM84" ca="1">IF('Banco de Dados'!$AK84&lt;&gt;"-",_xlfn.IFS('Banco de Dados'!$A84="bv",IF('Banco de Dados'!$E84&lt;45641,ROUND(SUM('Banco de Dados'!$R84*_xlfn.XLOOKUP('Banco de Dados'!$P84,Sku!B:B,Sku!#REF!)*20%),2),ROUND(SUM('Banco de Dados'!$R84*_xlfn.XLOOKUP('Banco de Dados'!$P84,Sku!B:B,Sku!H:H)*20%),2)),'Banco de Dados'!$A84="GO",ROUND(_xlfn.XLOOKUP('Banco de Dados'!$P84,Sku!C:C,Sku!H:H),2),'Banco de Dados'!$A84="MEI",ROUND(_xlfn.XLOOKUP('Banco de Dados'!$P84,Sku!D:D,Sku!H:H),2)),0)</f>
        <v>0</v>
      </c>
      <c r="AN84" s="109">
        <f ca="1">IF('Banco de Dados'!$AK84&lt;&gt;"-",IF('Banco de Dados'!$F84&lt;&gt;"-",_xlfn.XLOOKUP(IFERROR(IFERROR(IFERROR(VALUE(SUBSTITUTE(MID(_xlfn.TEXTAFTER('Banco de Dados'!$F84,"Data do Pedido:
",1),1,10),"-","/")),VALUE(SUBSTITUTE(MID(_xlfn.TEXTAFTER('Banco de Dados'!$F84,"Order date:
",1),1,10),"-","/"))),VALUE(SUBSTITUTE(MID(_xlfn.TEXTAFTER('Banco de Dados'!$F84,"Fecha de pedido:
",1),1,10),"-","/"))),"-"),SMS!A:A,SMS!K:K),0),0)</f>
        <v>0</v>
      </c>
      <c r="AO84" s="109">
        <f ca="1">IF('Banco de Dados'!$AK84&lt;&gt;"-",IF('Banco de Dados'!$F84&lt;&gt;"-",IFERROR(_xlfn.XLOOKUP(_xlfn.CONCAT('Banco de Dados'!$A84,IFERROR(IFERROR(VALUE(SUBSTITUTE(MID(_xlfn.TEXTAFTER('Banco de Dados'!$F84,"Data do Pedido:
",1),1,10),"-","/")),VALUE(SUBSTITUTE(MID(_xlfn.TEXTAFTER('Banco de Dados'!$F84,"Order date:
",1),1,10),"-","/"))),0)),ProxyDD[Chave],ProxyDD[Valor por pedido]),PROXY!$P$2),0),0)</f>
        <v>0</v>
      </c>
      <c r="AP84" s="28">
        <f ca="1">IF('Banco de Dados'!$AK84&lt;&gt;"-",IF('Banco de Dados'!$AL84="NÃO",IFERROR(VALUE(SUBSTITUTE(_xlfn.TEXTAFTER('Banco de Dados'!$F84,"BRL ",1),".",",")),0),0),0)</f>
        <v>0</v>
      </c>
      <c r="AQ84" s="28">
        <f ca="1">SUM('Banco de Dados'!$AM84:$AP84)</f>
        <v>0</v>
      </c>
      <c r="AR84" s="8"/>
      <c r="AS84" s="8"/>
      <c r="AY84" s="8"/>
    </row>
    <row r="85" spans="1:51">
      <c r="A85" s="5" t="str">
        <v>BV</v>
      </c>
      <c r="B85" s="5" t="str">
        <f ca="1"/>
        <v>BV45590</v>
      </c>
      <c r="C85" s="8" t="str">
        <v>Pedido 82</v>
      </c>
      <c r="D85" s="9">
        <v>45590</v>
      </c>
      <c r="E85" s="9">
        <v>45590</v>
      </c>
      <c r="F85" s="8" t="str">
        <v>PedidoF75</v>
      </c>
      <c r="G85" s="2" t="str">
        <v>CódRastreio75</v>
      </c>
      <c r="H85" s="5">
        <v>1</v>
      </c>
      <c r="I85" s="3" t="str">
        <v>CPF 80</v>
      </c>
      <c r="J85" s="2" t="str">
        <v>Nome 80</v>
      </c>
      <c r="K85" s="8" t="str">
        <v>Tel 80</v>
      </c>
      <c r="L85" s="2" t="str">
        <v>Cep 80</v>
      </c>
      <c r="M85" s="2" t="str">
        <v>Rua 80</v>
      </c>
      <c r="N85" s="2" t="str">
        <v>Comp 80</v>
      </c>
      <c r="O85" s="2" t="str">
        <v>Bomba d'agua</v>
      </c>
      <c r="P85" s="8" t="str">
        <v>DJ-RO5O-43GF</v>
      </c>
      <c r="Q85" s="4">
        <v>45617</v>
      </c>
      <c r="R85" s="109">
        <v>18.2</v>
      </c>
      <c r="S85" s="11">
        <f ca="1"/>
        <v>18.2</v>
      </c>
      <c r="T85" s="28">
        <f ca="1"/>
        <v>2.548</v>
      </c>
      <c r="U85" s="11">
        <f ca="1"/>
        <v>15.65</v>
      </c>
      <c r="V85" s="11">
        <v>4.99</v>
      </c>
      <c r="W85" s="11">
        <f ca="1"/>
        <v>0.55000000000000004</v>
      </c>
      <c r="X85" s="11">
        <f ca="1"/>
        <v>0.39877104377104378</v>
      </c>
      <c r="Y85" s="11">
        <v>0</v>
      </c>
      <c r="Z85" s="11">
        <f ca="1"/>
        <v>9.7112289562289575</v>
      </c>
      <c r="AA85" s="11">
        <f ca="1"/>
        <v>4.8556144781144788</v>
      </c>
      <c r="AB85" s="4">
        <f ca="1"/>
        <v>45624</v>
      </c>
      <c r="AC85" s="4">
        <v>45624</v>
      </c>
      <c r="AD85" s="9">
        <v>45625</v>
      </c>
      <c r="AE85" s="9">
        <v>45625</v>
      </c>
      <c r="AF85" s="4" t="str">
        <f t="shared" ca="1" si="1"/>
        <v>2024 11</v>
      </c>
      <c r="AG85" s="8" t="str" cm="1">
        <f t="array" ref="AG85">IFERROR(_xlfn.IFS('Banco de Dados'!#REF!="AG. COMPRA","Em processamento",'Banco de Dados'!#REF!="AG. RASTREIO","Em processamento",'Banco de Dados'!$AE85&lt;&gt;"-","Faturado",'Banco de Dados'!$AD85&lt;&gt;"-","Aguardando Pix",'Banco de Dados'!$AC85&lt;&gt;"-","Pendente"),"Aguardando Liberação")</f>
        <v>Aguardando Liberação</v>
      </c>
      <c r="AH85" s="5" t="str">
        <f>IF('Banco de Dados'!$F85="-",_xlfn.CONCAT(PROPER(TEXT(AK85,"aaaa"))," ",PROPER(TEXT(AK85,"mm"))),_xlfn.CONCAT(PROPER(TEXT(E85,"aaaa"))," ",PROPER(TEXT(E85,"mm"))))</f>
        <v>2024 10</v>
      </c>
      <c r="AI85" s="9" t="str">
        <f ca="1">IF('Banco de Dados'!$AK85&lt;&gt;"-","REEMBOLSO",IFERROR(_xlfn.XLOOKUP(G85,Follow[CODRASTREIO],Follow[STATUS]),"-"))</f>
        <v>ENTREGUE</v>
      </c>
      <c r="AJ85" s="9">
        <f ca="1">IF('Banco de Dados'!$AI85="ENTREGUE",_xlfn.XLOOKUP('Banco de Dados'!$G85,Follow[CODRASTREIO],Follow[DATAATUALIZAÇÃO]),"-")</f>
        <v>45600</v>
      </c>
      <c r="AK85" s="9" t="str">
        <f ca="1"/>
        <v>-</v>
      </c>
      <c r="AL85" s="35" t="str">
        <v>NÃO</v>
      </c>
      <c r="AM85" s="109" cm="1">
        <f t="array" aca="1" ref="AM85" ca="1">IF('Banco de Dados'!$AK85&lt;&gt;"-",_xlfn.IFS('Banco de Dados'!$A85="bv",IF('Banco de Dados'!$E85&lt;45641,ROUND(SUM('Banco de Dados'!$R85*_xlfn.XLOOKUP('Banco de Dados'!$P85,Sku!B:B,Sku!#REF!)*20%),2),ROUND(SUM('Banco de Dados'!$R85*_xlfn.XLOOKUP('Banco de Dados'!$P85,Sku!B:B,Sku!H:H)*20%),2)),'Banco de Dados'!$A85="GO",ROUND(_xlfn.XLOOKUP('Banco de Dados'!$P85,Sku!C:C,Sku!H:H),2),'Banco de Dados'!$A85="MEI",ROUND(_xlfn.XLOOKUP('Banco de Dados'!$P85,Sku!D:D,Sku!H:H),2)),0)</f>
        <v>0</v>
      </c>
      <c r="AN85" s="109">
        <f ca="1">IF('Banco de Dados'!$AK85&lt;&gt;"-",IF('Banco de Dados'!$F85&lt;&gt;"-",_xlfn.XLOOKUP(IFERROR(IFERROR(IFERROR(VALUE(SUBSTITUTE(MID(_xlfn.TEXTAFTER('Banco de Dados'!$F85,"Data do Pedido:
",1),1,10),"-","/")),VALUE(SUBSTITUTE(MID(_xlfn.TEXTAFTER('Banco de Dados'!$F85,"Order date:
",1),1,10),"-","/"))),VALUE(SUBSTITUTE(MID(_xlfn.TEXTAFTER('Banco de Dados'!$F85,"Fecha de pedido:
",1),1,10),"-","/"))),"-"),SMS!A:A,SMS!K:K),0),0)</f>
        <v>0</v>
      </c>
      <c r="AO85" s="109">
        <f ca="1">IF('Banco de Dados'!$AK85&lt;&gt;"-",IF('Banco de Dados'!$F85&lt;&gt;"-",IFERROR(_xlfn.XLOOKUP(_xlfn.CONCAT('Banco de Dados'!$A85,IFERROR(IFERROR(VALUE(SUBSTITUTE(MID(_xlfn.TEXTAFTER('Banco de Dados'!$F85,"Data do Pedido:
",1),1,10),"-","/")),VALUE(SUBSTITUTE(MID(_xlfn.TEXTAFTER('Banco de Dados'!$F85,"Order date:
",1),1,10),"-","/"))),0)),ProxyDD[Chave],ProxyDD[Valor por pedido]),PROXY!$P$2),0),0)</f>
        <v>0</v>
      </c>
      <c r="AP85" s="28">
        <f ca="1">IF('Banco de Dados'!$AK85&lt;&gt;"-",IF('Banco de Dados'!$AL85="NÃO",IFERROR(VALUE(SUBSTITUTE(_xlfn.TEXTAFTER('Banco de Dados'!$F85,"BRL ",1),".",",")),0),0),0)</f>
        <v>0</v>
      </c>
      <c r="AQ85" s="28">
        <f ca="1">SUM('Banco de Dados'!$AM85:$AP85)</f>
        <v>0</v>
      </c>
      <c r="AR85" s="8"/>
      <c r="AS85" s="8"/>
      <c r="AY85" s="8"/>
    </row>
    <row r="86" spans="1:51">
      <c r="A86" s="5" t="str">
        <v>BV</v>
      </c>
      <c r="B86" s="5" t="str">
        <f ca="1"/>
        <v>BV45590</v>
      </c>
      <c r="C86" s="8" t="str">
        <v>Pedido 83</v>
      </c>
      <c r="D86" s="9">
        <v>45590</v>
      </c>
      <c r="E86" s="9">
        <v>45590</v>
      </c>
      <c r="F86" s="8" t="str">
        <v>PedidoF76</v>
      </c>
      <c r="G86" s="2" t="str">
        <v>CódRastreio76</v>
      </c>
      <c r="H86" s="5">
        <v>1</v>
      </c>
      <c r="I86" s="3" t="str">
        <v>CPF 81</v>
      </c>
      <c r="J86" s="180" t="str">
        <v>Nome 81</v>
      </c>
      <c r="K86" s="180" t="str">
        <v>Tel 81</v>
      </c>
      <c r="L86" s="180" t="str">
        <v>Cep 81</v>
      </c>
      <c r="M86" s="180" t="str">
        <v>Rua 81</v>
      </c>
      <c r="N86" s="180" t="str">
        <v>Comp 81</v>
      </c>
      <c r="O86" s="180" t="str">
        <v>Suporte de Celular Branco</v>
      </c>
      <c r="P86" s="8" t="str">
        <v>16-4EDB-WMZF</v>
      </c>
      <c r="Q86" s="4">
        <v>45617</v>
      </c>
      <c r="R86" s="109">
        <v>15.99</v>
      </c>
      <c r="S86" s="11">
        <f ca="1"/>
        <v>15.99</v>
      </c>
      <c r="T86" s="28">
        <f ca="1"/>
        <v>2.3984999999999999</v>
      </c>
      <c r="U86" s="11">
        <f ca="1"/>
        <v>13.59</v>
      </c>
      <c r="V86" s="11">
        <v>4.99</v>
      </c>
      <c r="W86" s="11">
        <f ca="1"/>
        <v>0.55000000000000004</v>
      </c>
      <c r="X86" s="11">
        <f ca="1"/>
        <v>0.39877104377104378</v>
      </c>
      <c r="Y86" s="11">
        <v>0</v>
      </c>
      <c r="Z86" s="11">
        <f ca="1"/>
        <v>7.6512289562289562</v>
      </c>
      <c r="AA86" s="11">
        <f ca="1"/>
        <v>3.8256144781144781</v>
      </c>
      <c r="AB86" s="4">
        <f ca="1"/>
        <v>45624</v>
      </c>
      <c r="AC86" s="4">
        <v>45624</v>
      </c>
      <c r="AD86" s="9">
        <v>45625</v>
      </c>
      <c r="AE86" s="9">
        <v>45625</v>
      </c>
      <c r="AF86" s="4" t="str">
        <f t="shared" ca="1" si="1"/>
        <v>2024 11</v>
      </c>
      <c r="AG86" s="8" t="str" cm="1">
        <f t="array" ref="AG86">IFERROR(_xlfn.IFS('Banco de Dados'!#REF!="AG. COMPRA","Em processamento",'Banco de Dados'!#REF!="AG. RASTREIO","Em processamento",'Banco de Dados'!$AE86&lt;&gt;"-","Faturado",'Banco de Dados'!$AD86&lt;&gt;"-","Aguardando Pix",'Banco de Dados'!$AC86&lt;&gt;"-","Pendente"),"Aguardando Liberação")</f>
        <v>Aguardando Liberação</v>
      </c>
      <c r="AH86" s="5" t="str">
        <f>IF('Banco de Dados'!$F86="-",_xlfn.CONCAT(PROPER(TEXT(AK86,"aaaa"))," ",PROPER(TEXT(AK86,"mm"))),_xlfn.CONCAT(PROPER(TEXT(E86,"aaaa"))," ",PROPER(TEXT(E86,"mm"))))</f>
        <v>2024 10</v>
      </c>
      <c r="AI86" s="9" t="str">
        <f ca="1">IF('Banco de Dados'!$AK86&lt;&gt;"-","REEMBOLSO",IFERROR(_xlfn.XLOOKUP(G86,Follow[CODRASTREIO],Follow[STATUS]),"-"))</f>
        <v>ENTREGUE</v>
      </c>
      <c r="AJ86" s="9">
        <f ca="1">IF('Banco de Dados'!$AI86="ENTREGUE",_xlfn.XLOOKUP('Banco de Dados'!$G86,Follow[CODRASTREIO],Follow[DATAATUALIZAÇÃO]),"-")</f>
        <v>45603</v>
      </c>
      <c r="AK86" s="9" t="str">
        <f ca="1"/>
        <v>-</v>
      </c>
      <c r="AL86" s="35" t="str">
        <v>-</v>
      </c>
      <c r="AM86" s="109" cm="1">
        <f t="array" aca="1" ref="AM86" ca="1">IF('Banco de Dados'!$AK86&lt;&gt;"-",_xlfn.IFS('Banco de Dados'!$A86="bv",IF('Banco de Dados'!$E86&lt;45641,ROUND(SUM('Banco de Dados'!$R86*_xlfn.XLOOKUP('Banco de Dados'!$P86,Sku!B:B,Sku!#REF!)*20%),2),ROUND(SUM('Banco de Dados'!$R86*_xlfn.XLOOKUP('Banco de Dados'!$P86,Sku!B:B,Sku!H:H)*20%),2)),'Banco de Dados'!$A86="GO",ROUND(_xlfn.XLOOKUP('Banco de Dados'!$P86,Sku!C:C,Sku!H:H),2),'Banco de Dados'!$A86="MEI",ROUND(_xlfn.XLOOKUP('Banco de Dados'!$P86,Sku!D:D,Sku!H:H),2)),0)</f>
        <v>0</v>
      </c>
      <c r="AN86" s="109">
        <f ca="1">IF('Banco de Dados'!$AK86&lt;&gt;"-",IF('Banco de Dados'!$F86&lt;&gt;"-",_xlfn.XLOOKUP(IFERROR(IFERROR(IFERROR(VALUE(SUBSTITUTE(MID(_xlfn.TEXTAFTER('Banco de Dados'!$F86,"Data do Pedido:
",1),1,10),"-","/")),VALUE(SUBSTITUTE(MID(_xlfn.TEXTAFTER('Banco de Dados'!$F86,"Order date:
",1),1,10),"-","/"))),VALUE(SUBSTITUTE(MID(_xlfn.TEXTAFTER('Banco de Dados'!$F86,"Fecha de pedido:
",1),1,10),"-","/"))),"-"),SMS!A:A,SMS!K:K),0),0)</f>
        <v>0</v>
      </c>
      <c r="AO86" s="109">
        <f ca="1">IF('Banco de Dados'!$AK86&lt;&gt;"-",IF('Banco de Dados'!$F86&lt;&gt;"-",IFERROR(_xlfn.XLOOKUP(_xlfn.CONCAT('Banco de Dados'!$A86,IFERROR(IFERROR(VALUE(SUBSTITUTE(MID(_xlfn.TEXTAFTER('Banco de Dados'!$F86,"Data do Pedido:
",1),1,10),"-","/")),VALUE(SUBSTITUTE(MID(_xlfn.TEXTAFTER('Banco de Dados'!$F86,"Order date:
",1),1,10),"-","/"))),0)),ProxyDD[Chave],ProxyDD[Valor por pedido]),PROXY!$P$2),0),0)</f>
        <v>0</v>
      </c>
      <c r="AP86" s="28">
        <f ca="1">IF('Banco de Dados'!$AK86&lt;&gt;"-",IF('Banco de Dados'!$AL86="NÃO",IFERROR(VALUE(SUBSTITUTE(_xlfn.TEXTAFTER('Banco de Dados'!$F86,"BRL ",1),".",",")),0),0),0)</f>
        <v>0</v>
      </c>
      <c r="AQ86" s="28">
        <f ca="1">SUM('Banco de Dados'!$AM86:$AP86)</f>
        <v>0</v>
      </c>
      <c r="AR86" s="8"/>
      <c r="AS86" s="8"/>
      <c r="AY86" s="8"/>
    </row>
    <row r="87" spans="1:51">
      <c r="A87" s="5" t="str">
        <v>BV</v>
      </c>
      <c r="B87" s="5" t="str">
        <f ca="1"/>
        <v>BV45590</v>
      </c>
      <c r="C87" s="8" t="str">
        <v>Pedido 84</v>
      </c>
      <c r="D87" s="9">
        <v>45590</v>
      </c>
      <c r="E87" s="9">
        <v>45590</v>
      </c>
      <c r="F87" s="8" t="str">
        <v>PedidoF77</v>
      </c>
      <c r="G87" s="2" t="str">
        <v>CódRastreio77</v>
      </c>
      <c r="H87" s="5">
        <v>1</v>
      </c>
      <c r="I87" s="2" t="str">
        <v>CPF 82</v>
      </c>
      <c r="J87" s="2" t="str">
        <v>Nome 82</v>
      </c>
      <c r="K87" s="8" t="str">
        <v>Tel 82</v>
      </c>
      <c r="L87" s="2" t="str">
        <v>Cep 82</v>
      </c>
      <c r="M87" s="2" t="str">
        <v>Rua 82</v>
      </c>
      <c r="N87" s="2" t="str">
        <v>Comp 82</v>
      </c>
      <c r="O87" s="2" t="str">
        <v>Mini Liquidificador</v>
      </c>
      <c r="P87" s="8" t="str">
        <v>CK-YL6M-P5Y6</v>
      </c>
      <c r="Q87" s="4">
        <v>45617</v>
      </c>
      <c r="R87" s="109">
        <v>38.99</v>
      </c>
      <c r="S87" s="11">
        <f ca="1"/>
        <v>38.99</v>
      </c>
      <c r="T87" s="28">
        <f ca="1"/>
        <v>5.0687000000000006</v>
      </c>
      <c r="U87" s="11">
        <f ca="1"/>
        <v>33.92</v>
      </c>
      <c r="V87" s="11">
        <v>9.99</v>
      </c>
      <c r="W87" s="11">
        <f ca="1"/>
        <v>0.55000000000000004</v>
      </c>
      <c r="X87" s="11">
        <f ca="1"/>
        <v>0.39877104377104378</v>
      </c>
      <c r="Y87" s="11">
        <v>0</v>
      </c>
      <c r="Z87" s="11">
        <f ca="1"/>
        <v>22.981228956228957</v>
      </c>
      <c r="AA87" s="11">
        <f ca="1"/>
        <v>11.490614478114479</v>
      </c>
      <c r="AB87" s="4">
        <f ca="1"/>
        <v>45624</v>
      </c>
      <c r="AC87" s="4">
        <v>45624</v>
      </c>
      <c r="AD87" s="9">
        <v>45625</v>
      </c>
      <c r="AE87" s="9">
        <v>45625</v>
      </c>
      <c r="AF87" s="4" t="str">
        <f t="shared" ca="1" si="1"/>
        <v>2024 11</v>
      </c>
      <c r="AG87" s="8" t="str" cm="1">
        <f t="array" ref="AG87">IFERROR(_xlfn.IFS('Banco de Dados'!#REF!="AG. COMPRA","Em processamento",'Banco de Dados'!#REF!="AG. RASTREIO","Em processamento",'Banco de Dados'!$AE87&lt;&gt;"-","Faturado",'Banco de Dados'!$AD87&lt;&gt;"-","Aguardando Pix",'Banco de Dados'!$AC87&lt;&gt;"-","Pendente"),"Aguardando Liberação")</f>
        <v>Aguardando Liberação</v>
      </c>
      <c r="AH87" s="5" t="str">
        <f>IF('Banco de Dados'!$F87="-",_xlfn.CONCAT(PROPER(TEXT(AK87,"aaaa"))," ",PROPER(TEXT(AK87,"mm"))),_xlfn.CONCAT(PROPER(TEXT(E87,"aaaa"))," ",PROPER(TEXT(E87,"mm"))))</f>
        <v>2024 10</v>
      </c>
      <c r="AI87" s="9" t="str">
        <f ca="1">IF('Banco de Dados'!$AK87&lt;&gt;"-","REEMBOLSO",IFERROR(_xlfn.XLOOKUP(G87,Follow[CODRASTREIO],Follow[STATUS]),"-"))</f>
        <v>ENTREGUE</v>
      </c>
      <c r="AJ87" s="9">
        <f ca="1">IF('Banco de Dados'!$AI87="ENTREGUE",_xlfn.XLOOKUP('Banco de Dados'!$G87,Follow[CODRASTREIO],Follow[DATAATUALIZAÇÃO]),"-")</f>
        <v>45604</v>
      </c>
      <c r="AK87" s="9" t="str">
        <f ca="1"/>
        <v>-</v>
      </c>
      <c r="AL87" s="35" t="str">
        <v>NÃO</v>
      </c>
      <c r="AM87" s="109" cm="1">
        <f t="array" aca="1" ref="AM87" ca="1">IF('Banco de Dados'!$AK87&lt;&gt;"-",_xlfn.IFS('Banco de Dados'!$A87="bv",IF('Banco de Dados'!$E87&lt;45641,ROUND(SUM('Banco de Dados'!$R87*_xlfn.XLOOKUP('Banco de Dados'!$P87,Sku!B:B,Sku!#REF!)*20%),2),ROUND(SUM('Banco de Dados'!$R87*_xlfn.XLOOKUP('Banco de Dados'!$P87,Sku!B:B,Sku!H:H)*20%),2)),'Banco de Dados'!$A87="GO",ROUND(_xlfn.XLOOKUP('Banco de Dados'!$P87,Sku!C:C,Sku!H:H),2),'Banco de Dados'!$A87="MEI",ROUND(_xlfn.XLOOKUP('Banco de Dados'!$P87,Sku!D:D,Sku!H:H),2)),0)</f>
        <v>0</v>
      </c>
      <c r="AN87" s="109">
        <f ca="1">IF('Banco de Dados'!$AK87&lt;&gt;"-",IF('Banco de Dados'!$F87&lt;&gt;"-",_xlfn.XLOOKUP(IFERROR(IFERROR(IFERROR(VALUE(SUBSTITUTE(MID(_xlfn.TEXTAFTER('Banco de Dados'!$F87,"Data do Pedido:
",1),1,10),"-","/")),VALUE(SUBSTITUTE(MID(_xlfn.TEXTAFTER('Banco de Dados'!$F87,"Order date:
",1),1,10),"-","/"))),VALUE(SUBSTITUTE(MID(_xlfn.TEXTAFTER('Banco de Dados'!$F87,"Fecha de pedido:
",1),1,10),"-","/"))),"-"),SMS!A:A,SMS!K:K),0),0)</f>
        <v>0</v>
      </c>
      <c r="AO87" s="109">
        <f ca="1">IF('Banco de Dados'!$AK87&lt;&gt;"-",IF('Banco de Dados'!$F87&lt;&gt;"-",IFERROR(_xlfn.XLOOKUP(_xlfn.CONCAT('Banco de Dados'!$A87,IFERROR(IFERROR(VALUE(SUBSTITUTE(MID(_xlfn.TEXTAFTER('Banco de Dados'!$F87,"Data do Pedido:
",1),1,10),"-","/")),VALUE(SUBSTITUTE(MID(_xlfn.TEXTAFTER('Banco de Dados'!$F87,"Order date:
",1),1,10),"-","/"))),0)),ProxyDD[Chave],ProxyDD[Valor por pedido]),PROXY!$P$2),0),0)</f>
        <v>0</v>
      </c>
      <c r="AP87" s="28">
        <f ca="1">IF('Banco de Dados'!$AK87&lt;&gt;"-",IF('Banco de Dados'!$AL87="NÃO",IFERROR(VALUE(SUBSTITUTE(_xlfn.TEXTAFTER('Banco de Dados'!$F87,"BRL ",1),".",",")),0),0),0)</f>
        <v>0</v>
      </c>
      <c r="AQ87" s="28">
        <f ca="1">SUM('Banco de Dados'!$AM87:$AP87)</f>
        <v>0</v>
      </c>
      <c r="AR87" s="8"/>
      <c r="AS87" s="8"/>
      <c r="AY87" s="8"/>
    </row>
    <row r="88" spans="1:51">
      <c r="A88" s="5" t="str">
        <v>BV</v>
      </c>
      <c r="B88" s="5" t="str">
        <f ca="1"/>
        <v>BV45590</v>
      </c>
      <c r="C88" s="8" t="str">
        <v>Pedido 85</v>
      </c>
      <c r="D88" s="9">
        <v>45590</v>
      </c>
      <c r="E88" s="9">
        <v>45590</v>
      </c>
      <c r="F88" s="8" t="str">
        <v>PedidoF78</v>
      </c>
      <c r="G88" s="2" t="str">
        <v>CódRastreio78</v>
      </c>
      <c r="H88" s="5">
        <v>1</v>
      </c>
      <c r="I88" s="2" t="str">
        <v>CPF 83</v>
      </c>
      <c r="J88" s="2" t="str">
        <v>Nome 83</v>
      </c>
      <c r="K88" s="8" t="str">
        <v>Tel 83</v>
      </c>
      <c r="L88" s="2" t="str">
        <v>Cep 83</v>
      </c>
      <c r="M88" s="2" t="str">
        <v>Rua 83</v>
      </c>
      <c r="N88" s="2" t="str">
        <v>Comp 83</v>
      </c>
      <c r="O88" s="2" t="str">
        <v>Suporte de Celular Branco</v>
      </c>
      <c r="P88" s="8" t="str">
        <v>16-4EDB-WMZF</v>
      </c>
      <c r="Q88" s="4">
        <v>45610</v>
      </c>
      <c r="R88" s="109">
        <v>25.99</v>
      </c>
      <c r="S88" s="11">
        <f ca="1"/>
        <v>25.99</v>
      </c>
      <c r="T88" s="28">
        <f ca="1"/>
        <v>3.8984999999999994</v>
      </c>
      <c r="U88" s="11">
        <f ca="1"/>
        <v>22.09</v>
      </c>
      <c r="V88" s="11">
        <v>4.99</v>
      </c>
      <c r="W88" s="11">
        <f ca="1"/>
        <v>0.55000000000000004</v>
      </c>
      <c r="X88" s="11">
        <f ca="1"/>
        <v>0.39877104377104378</v>
      </c>
      <c r="Y88" s="11">
        <v>0</v>
      </c>
      <c r="Z88" s="11">
        <f ca="1"/>
        <v>16.151228956228955</v>
      </c>
      <c r="AA88" s="11">
        <f ca="1"/>
        <v>8.0756144781144776</v>
      </c>
      <c r="AB88" s="4">
        <f ca="1"/>
        <v>45617</v>
      </c>
      <c r="AC88" s="4">
        <v>45617</v>
      </c>
      <c r="AD88" s="9">
        <v>45617</v>
      </c>
      <c r="AE88" s="9">
        <v>45618</v>
      </c>
      <c r="AF88" s="4" t="str">
        <f t="shared" ca="1" si="1"/>
        <v>2024 11</v>
      </c>
      <c r="AG88" s="8" t="str" cm="1">
        <f t="array" ref="AG88">IFERROR(_xlfn.IFS('Banco de Dados'!#REF!="AG. COMPRA","Em processamento",'Banco de Dados'!#REF!="AG. RASTREIO","Em processamento",'Banco de Dados'!$AE88&lt;&gt;"-","Faturado",'Banco de Dados'!$AD88&lt;&gt;"-","Aguardando Pix",'Banco de Dados'!$AC88&lt;&gt;"-","Pendente"),"Aguardando Liberação")</f>
        <v>Aguardando Liberação</v>
      </c>
      <c r="AH88" s="5" t="str">
        <f>IF('Banco de Dados'!$F88="-",_xlfn.CONCAT(PROPER(TEXT(AK88,"aaaa"))," ",PROPER(TEXT(AK88,"mm"))),_xlfn.CONCAT(PROPER(TEXT(E88,"aaaa"))," ",PROPER(TEXT(E88,"mm"))))</f>
        <v>2024 10</v>
      </c>
      <c r="AI88" s="9" t="str">
        <f ca="1">IF('Banco de Dados'!$AK88&lt;&gt;"-","REEMBOLSO",IFERROR(_xlfn.XLOOKUP(G88,Follow[CODRASTREIO],Follow[STATUS]),"-"))</f>
        <v>ENTREGUE</v>
      </c>
      <c r="AJ88" s="9">
        <f ca="1">IF('Banco de Dados'!$AI88="ENTREGUE",_xlfn.XLOOKUP('Banco de Dados'!$G88,Follow[CODRASTREIO],Follow[DATAATUALIZAÇÃO]),"-")</f>
        <v>45596</v>
      </c>
      <c r="AK88" s="9" t="str">
        <f ca="1"/>
        <v>-</v>
      </c>
      <c r="AL88" s="35" t="str">
        <v>-</v>
      </c>
      <c r="AM88" s="109" cm="1">
        <f t="array" aca="1" ref="AM88" ca="1">IF('Banco de Dados'!$AK88&lt;&gt;"-",_xlfn.IFS('Banco de Dados'!$A88="bv",IF('Banco de Dados'!$E88&lt;45641,ROUND(SUM('Banco de Dados'!$R88*_xlfn.XLOOKUP('Banco de Dados'!$P88,Sku!B:B,Sku!#REF!)*20%),2),ROUND(SUM('Banco de Dados'!$R88*_xlfn.XLOOKUP('Banco de Dados'!$P88,Sku!B:B,Sku!H:H)*20%),2)),'Banco de Dados'!$A88="GO",ROUND(_xlfn.XLOOKUP('Banco de Dados'!$P88,Sku!C:C,Sku!H:H),2),'Banco de Dados'!$A88="MEI",ROUND(_xlfn.XLOOKUP('Banco de Dados'!$P88,Sku!D:D,Sku!H:H),2)),0)</f>
        <v>0</v>
      </c>
      <c r="AN88" s="109">
        <f ca="1">IF('Banco de Dados'!$AK88&lt;&gt;"-",IF('Banco de Dados'!$F88&lt;&gt;"-",_xlfn.XLOOKUP(IFERROR(IFERROR(IFERROR(VALUE(SUBSTITUTE(MID(_xlfn.TEXTAFTER('Banco de Dados'!$F88,"Data do Pedido:
",1),1,10),"-","/")),VALUE(SUBSTITUTE(MID(_xlfn.TEXTAFTER('Banco de Dados'!$F88,"Order date:
",1),1,10),"-","/"))),VALUE(SUBSTITUTE(MID(_xlfn.TEXTAFTER('Banco de Dados'!$F88,"Fecha de pedido:
",1),1,10),"-","/"))),"-"),SMS!A:A,SMS!K:K),0),0)</f>
        <v>0</v>
      </c>
      <c r="AO88" s="109">
        <f ca="1">IF('Banco de Dados'!$AK88&lt;&gt;"-",IF('Banco de Dados'!$F88&lt;&gt;"-",IFERROR(_xlfn.XLOOKUP(_xlfn.CONCAT('Banco de Dados'!$A88,IFERROR(IFERROR(VALUE(SUBSTITUTE(MID(_xlfn.TEXTAFTER('Banco de Dados'!$F88,"Data do Pedido:
",1),1,10),"-","/")),VALUE(SUBSTITUTE(MID(_xlfn.TEXTAFTER('Banco de Dados'!$F88,"Order date:
",1),1,10),"-","/"))),0)),ProxyDD[Chave],ProxyDD[Valor por pedido]),PROXY!$P$2),0),0)</f>
        <v>0</v>
      </c>
      <c r="AP88" s="28">
        <f ca="1">IF('Banco de Dados'!$AK88&lt;&gt;"-",IF('Banco de Dados'!$AL88="NÃO",IFERROR(VALUE(SUBSTITUTE(_xlfn.TEXTAFTER('Banco de Dados'!$F88,"BRL ",1),".",",")),0),0),0)</f>
        <v>0</v>
      </c>
      <c r="AQ88" s="28">
        <f ca="1">SUM('Banco de Dados'!$AM88:$AP88)</f>
        <v>0</v>
      </c>
      <c r="AR88" s="8"/>
      <c r="AS88" s="8"/>
      <c r="AY88" s="8"/>
    </row>
    <row r="89" spans="1:51">
      <c r="A89" s="5" t="str">
        <v>BV</v>
      </c>
      <c r="B89" s="5" t="str">
        <f ca="1"/>
        <v>BV45591</v>
      </c>
      <c r="C89" s="8" t="str">
        <v>Pedido 86</v>
      </c>
      <c r="D89" s="9">
        <v>45591</v>
      </c>
      <c r="E89" s="9">
        <v>45591</v>
      </c>
      <c r="F89" s="8" t="str">
        <v>PedidoF79</v>
      </c>
      <c r="G89" s="2" t="str">
        <v>CódRastreio79</v>
      </c>
      <c r="H89" s="5">
        <v>1</v>
      </c>
      <c r="I89" s="2" t="str">
        <v>CPF 84</v>
      </c>
      <c r="J89" s="2" t="str">
        <v>Nome 84</v>
      </c>
      <c r="K89" s="8" t="str">
        <v>Tel 84</v>
      </c>
      <c r="L89" s="2" t="str">
        <v>Cep 84</v>
      </c>
      <c r="M89" s="2" t="str">
        <v>Rua 84</v>
      </c>
      <c r="N89" s="2" t="str">
        <v>Comp 84</v>
      </c>
      <c r="O89" s="2" t="str">
        <v>Ventilador Rosa</v>
      </c>
      <c r="P89" s="8" t="str">
        <v>IF-G2ZQ-79FO</v>
      </c>
      <c r="Q89" s="4">
        <v>45610</v>
      </c>
      <c r="R89" s="109">
        <v>59.99</v>
      </c>
      <c r="S89" s="11">
        <f ca="1"/>
        <v>59.99</v>
      </c>
      <c r="T89" s="28">
        <f ca="1"/>
        <v>7.7987000000000002</v>
      </c>
      <c r="U89" s="11">
        <f ca="1"/>
        <v>52.19</v>
      </c>
      <c r="V89" s="11">
        <v>7.25</v>
      </c>
      <c r="W89" s="11">
        <f ca="1"/>
        <v>0.25</v>
      </c>
      <c r="X89" s="11">
        <f ca="1"/>
        <v>0.39877104377104378</v>
      </c>
      <c r="Y89" s="11">
        <v>0</v>
      </c>
      <c r="Z89" s="11">
        <f ca="1"/>
        <v>44.291228956228956</v>
      </c>
      <c r="AA89" s="11">
        <f ca="1"/>
        <v>22.145614478114478</v>
      </c>
      <c r="AB89" s="4">
        <f ca="1"/>
        <v>45617</v>
      </c>
      <c r="AC89" s="4">
        <v>45617</v>
      </c>
      <c r="AD89" s="9">
        <v>45617</v>
      </c>
      <c r="AE89" s="9">
        <v>45618</v>
      </c>
      <c r="AF89" s="4" t="str">
        <f t="shared" ca="1" si="1"/>
        <v>2024 11</v>
      </c>
      <c r="AG89" s="8" t="str" cm="1">
        <f t="array" ref="AG89">IFERROR(_xlfn.IFS('Banco de Dados'!#REF!="AG. COMPRA","Em processamento",'Banco de Dados'!#REF!="AG. RASTREIO","Em processamento",'Banco de Dados'!$AE89&lt;&gt;"-","Faturado",'Banco de Dados'!$AD89&lt;&gt;"-","Aguardando Pix",'Banco de Dados'!$AC89&lt;&gt;"-","Pendente"),"Aguardando Liberação")</f>
        <v>Aguardando Liberação</v>
      </c>
      <c r="AH89" s="5" t="str">
        <f>IF('Banco de Dados'!$F89="-",_xlfn.CONCAT(PROPER(TEXT(AK89,"aaaa"))," ",PROPER(TEXT(AK89,"mm"))),_xlfn.CONCAT(PROPER(TEXT(E89,"aaaa"))," ",PROPER(TEXT(E89,"mm"))))</f>
        <v>2024 10</v>
      </c>
      <c r="AI89" s="9" t="str">
        <f ca="1">IF('Banco de Dados'!$AK89&lt;&gt;"-","REEMBOLSO",IFERROR(_xlfn.XLOOKUP(G89,Follow[CODRASTREIO],Follow[STATUS]),"-"))</f>
        <v>ENTREGUE</v>
      </c>
      <c r="AJ89" s="9">
        <f ca="1">IF('Banco de Dados'!$AI89="ENTREGUE",_xlfn.XLOOKUP('Banco de Dados'!$G89,Follow[CODRASTREIO],Follow[DATAATUALIZAÇÃO]),"-")</f>
        <v>45601</v>
      </c>
      <c r="AK89" s="9" t="str">
        <f ca="1"/>
        <v>-</v>
      </c>
      <c r="AL89" s="35" t="str">
        <v>-</v>
      </c>
      <c r="AM89" s="109" cm="1">
        <f t="array" aca="1" ref="AM89" ca="1">IF('Banco de Dados'!$AK89&lt;&gt;"-",_xlfn.IFS('Banco de Dados'!$A89="bv",IF('Banco de Dados'!$E89&lt;45641,ROUND(SUM('Banco de Dados'!$R89*_xlfn.XLOOKUP('Banco de Dados'!$P89,Sku!B:B,Sku!#REF!)*20%),2),ROUND(SUM('Banco de Dados'!$R89*_xlfn.XLOOKUP('Banco de Dados'!$P89,Sku!B:B,Sku!H:H)*20%),2)),'Banco de Dados'!$A89="GO",ROUND(_xlfn.XLOOKUP('Banco de Dados'!$P89,Sku!C:C,Sku!H:H),2),'Banco de Dados'!$A89="MEI",ROUND(_xlfn.XLOOKUP('Banco de Dados'!$P89,Sku!D:D,Sku!H:H),2)),0)</f>
        <v>0</v>
      </c>
      <c r="AN89" s="109">
        <f ca="1">IF('Banco de Dados'!$AK89&lt;&gt;"-",IF('Banco de Dados'!$F89&lt;&gt;"-",_xlfn.XLOOKUP(IFERROR(IFERROR(IFERROR(VALUE(SUBSTITUTE(MID(_xlfn.TEXTAFTER('Banco de Dados'!$F89,"Data do Pedido:
",1),1,10),"-","/")),VALUE(SUBSTITUTE(MID(_xlfn.TEXTAFTER('Banco de Dados'!$F89,"Order date:
",1),1,10),"-","/"))),VALUE(SUBSTITUTE(MID(_xlfn.TEXTAFTER('Banco de Dados'!$F89,"Fecha de pedido:
",1),1,10),"-","/"))),"-"),SMS!A:A,SMS!K:K),0),0)</f>
        <v>0</v>
      </c>
      <c r="AO89" s="109">
        <f ca="1">IF('Banco de Dados'!$AK89&lt;&gt;"-",IF('Banco de Dados'!$F89&lt;&gt;"-",IFERROR(_xlfn.XLOOKUP(_xlfn.CONCAT('Banco de Dados'!$A89,IFERROR(IFERROR(VALUE(SUBSTITUTE(MID(_xlfn.TEXTAFTER('Banco de Dados'!$F89,"Data do Pedido:
",1),1,10),"-","/")),VALUE(SUBSTITUTE(MID(_xlfn.TEXTAFTER('Banco de Dados'!$F89,"Order date:
",1),1,10),"-","/"))),0)),ProxyDD[Chave],ProxyDD[Valor por pedido]),PROXY!$P$2),0),0)</f>
        <v>0</v>
      </c>
      <c r="AP89" s="28">
        <f ca="1">IF('Banco de Dados'!$AK89&lt;&gt;"-",IF('Banco de Dados'!$AL89="NÃO",IFERROR(VALUE(SUBSTITUTE(_xlfn.TEXTAFTER('Banco de Dados'!$F89,"BRL ",1),".",",")),0),0),0)</f>
        <v>0</v>
      </c>
      <c r="AQ89" s="28">
        <f ca="1">SUM('Banco de Dados'!$AM89:$AP89)</f>
        <v>0</v>
      </c>
      <c r="AR89" s="8"/>
      <c r="AS89" s="8"/>
      <c r="AY89" s="8"/>
    </row>
    <row r="90" spans="1:51">
      <c r="A90" s="5" t="str">
        <v>BV</v>
      </c>
      <c r="B90" s="5" t="str">
        <f ca="1"/>
        <v>BV45591</v>
      </c>
      <c r="C90" s="8" t="str">
        <v>Pedido 87</v>
      </c>
      <c r="D90" s="9">
        <v>45591</v>
      </c>
      <c r="E90" s="9">
        <v>45591</v>
      </c>
      <c r="F90" s="8" t="str">
        <v>PedidoF80</v>
      </c>
      <c r="G90" s="2" t="str">
        <v>CódRastreio80</v>
      </c>
      <c r="H90" s="5">
        <v>1</v>
      </c>
      <c r="I90" s="2" t="str">
        <v>CPF 85</v>
      </c>
      <c r="J90" s="2" t="str">
        <v>Nome 85</v>
      </c>
      <c r="K90" s="8" t="str">
        <v>Tel 85</v>
      </c>
      <c r="L90" s="2" t="str">
        <v>Cep 85</v>
      </c>
      <c r="M90" s="2" t="str">
        <v>Rua 85</v>
      </c>
      <c r="N90" s="2" t="str">
        <v>Comp 85</v>
      </c>
      <c r="O90" s="2" t="str">
        <v>Suporte de Celular Branco</v>
      </c>
      <c r="P90" s="8" t="str">
        <v>16-4EDB-WMZF</v>
      </c>
      <c r="Q90" s="4">
        <v>45604</v>
      </c>
      <c r="R90" s="109">
        <v>15.99</v>
      </c>
      <c r="S90" s="11">
        <f ca="1"/>
        <v>15.99</v>
      </c>
      <c r="T90" s="28">
        <f ca="1"/>
        <v>2.3984999999999999</v>
      </c>
      <c r="U90" s="11">
        <f ca="1"/>
        <v>13.59</v>
      </c>
      <c r="V90" s="11">
        <v>4.99</v>
      </c>
      <c r="W90" s="11">
        <f ca="1"/>
        <v>0.25</v>
      </c>
      <c r="X90" s="11">
        <f ca="1"/>
        <v>0.39877104377104378</v>
      </c>
      <c r="Y90" s="11">
        <v>0</v>
      </c>
      <c r="Z90" s="11">
        <f ca="1"/>
        <v>7.951228956228956</v>
      </c>
      <c r="AA90" s="11">
        <f ca="1"/>
        <v>3.975614478114478</v>
      </c>
      <c r="AB90" s="4">
        <f ca="1"/>
        <v>45611</v>
      </c>
      <c r="AC90" s="4">
        <v>45611</v>
      </c>
      <c r="AD90" s="9">
        <v>45617</v>
      </c>
      <c r="AE90" s="9">
        <v>45618</v>
      </c>
      <c r="AF90" s="4" t="str">
        <f t="shared" ca="1" si="1"/>
        <v>2024 11</v>
      </c>
      <c r="AG90" s="8" t="str" cm="1">
        <f t="array" ref="AG90">IFERROR(_xlfn.IFS('Banco de Dados'!#REF!="AG. COMPRA","Em processamento",'Banco de Dados'!#REF!="AG. RASTREIO","Em processamento",'Banco de Dados'!$AE90&lt;&gt;"-","Faturado",'Banco de Dados'!$AD90&lt;&gt;"-","Aguardando Pix",'Banco de Dados'!$AC90&lt;&gt;"-","Pendente"),"Aguardando Liberação")</f>
        <v>Aguardando Liberação</v>
      </c>
      <c r="AH90" s="5" t="str">
        <f>IF('Banco de Dados'!$F90="-",_xlfn.CONCAT(PROPER(TEXT(AK90,"aaaa"))," ",PROPER(TEXT(AK90,"mm"))),_xlfn.CONCAT(PROPER(TEXT(E90,"aaaa"))," ",PROPER(TEXT(E90,"mm"))))</f>
        <v>2024 10</v>
      </c>
      <c r="AI90" s="9" t="str">
        <f ca="1">IF('Banco de Dados'!$AK90&lt;&gt;"-","REEMBOLSO",IFERROR(_xlfn.XLOOKUP(G90,Follow[CODRASTREIO],Follow[STATUS]),"-"))</f>
        <v>ENTREGUE</v>
      </c>
      <c r="AJ90" s="9">
        <f ca="1">IF('Banco de Dados'!$AI90="ENTREGUE",_xlfn.XLOOKUP('Banco de Dados'!$G90,Follow[CODRASTREIO],Follow[DATAATUALIZAÇÃO]),"-")</f>
        <v>45597</v>
      </c>
      <c r="AK90" s="9" t="str">
        <f ca="1"/>
        <v>-</v>
      </c>
      <c r="AL90" s="35" t="str">
        <v>NÃO</v>
      </c>
      <c r="AM90" s="109" cm="1">
        <f t="array" aca="1" ref="AM90" ca="1">IF('Banco de Dados'!$AK90&lt;&gt;"-",_xlfn.IFS('Banco de Dados'!$A90="bv",IF('Banco de Dados'!$E90&lt;45641,ROUND(SUM('Banco de Dados'!$R90*_xlfn.XLOOKUP('Banco de Dados'!$P90,Sku!B:B,Sku!#REF!)*20%),2),ROUND(SUM('Banco de Dados'!$R90*_xlfn.XLOOKUP('Banco de Dados'!$P90,Sku!B:B,Sku!H:H)*20%),2)),'Banco de Dados'!$A90="GO",ROUND(_xlfn.XLOOKUP('Banco de Dados'!$P90,Sku!C:C,Sku!H:H),2),'Banco de Dados'!$A90="MEI",ROUND(_xlfn.XLOOKUP('Banco de Dados'!$P90,Sku!D:D,Sku!H:H),2)),0)</f>
        <v>0</v>
      </c>
      <c r="AN90" s="109">
        <f ca="1">IF('Banco de Dados'!$AK90&lt;&gt;"-",IF('Banco de Dados'!$F90&lt;&gt;"-",_xlfn.XLOOKUP(IFERROR(IFERROR(IFERROR(VALUE(SUBSTITUTE(MID(_xlfn.TEXTAFTER('Banco de Dados'!$F90,"Data do Pedido:
",1),1,10),"-","/")),VALUE(SUBSTITUTE(MID(_xlfn.TEXTAFTER('Banco de Dados'!$F90,"Order date:
",1),1,10),"-","/"))),VALUE(SUBSTITUTE(MID(_xlfn.TEXTAFTER('Banco de Dados'!$F90,"Fecha de pedido:
",1),1,10),"-","/"))),"-"),SMS!A:A,SMS!K:K),0),0)</f>
        <v>0</v>
      </c>
      <c r="AO90" s="109">
        <f ca="1">IF('Banco de Dados'!$AK90&lt;&gt;"-",IF('Banco de Dados'!$F90&lt;&gt;"-",IFERROR(_xlfn.XLOOKUP(_xlfn.CONCAT('Banco de Dados'!$A90,IFERROR(IFERROR(VALUE(SUBSTITUTE(MID(_xlfn.TEXTAFTER('Banco de Dados'!$F90,"Data do Pedido:
",1),1,10),"-","/")),VALUE(SUBSTITUTE(MID(_xlfn.TEXTAFTER('Banco de Dados'!$F90,"Order date:
",1),1,10),"-","/"))),0)),ProxyDD[Chave],ProxyDD[Valor por pedido]),PROXY!$P$2),0),0)</f>
        <v>0</v>
      </c>
      <c r="AP90" s="28">
        <f ca="1">IF('Banco de Dados'!$AK90&lt;&gt;"-",IF('Banco de Dados'!$AL90="NÃO",IFERROR(VALUE(SUBSTITUTE(_xlfn.TEXTAFTER('Banco de Dados'!$F90,"BRL ",1),".",",")),0),0),0)</f>
        <v>0</v>
      </c>
      <c r="AQ90" s="28">
        <f ca="1">SUM('Banco de Dados'!$AM90:$AP90)</f>
        <v>0</v>
      </c>
      <c r="AR90" s="8"/>
      <c r="AS90" s="8"/>
      <c r="AY90" s="8"/>
    </row>
    <row r="91" spans="1:51">
      <c r="A91" s="5" t="str">
        <v>BV</v>
      </c>
      <c r="B91" s="5" t="str">
        <f ca="1"/>
        <v>BV45591</v>
      </c>
      <c r="C91" s="8" t="str">
        <v>Pedido 88</v>
      </c>
      <c r="D91" s="9">
        <v>45591</v>
      </c>
      <c r="E91" s="9">
        <v>45591</v>
      </c>
      <c r="F91" s="8" t="str">
        <v>PedidoF81</v>
      </c>
      <c r="G91" s="2" t="str">
        <v>CódRastreio81</v>
      </c>
      <c r="H91" s="5">
        <v>1</v>
      </c>
      <c r="I91" s="2" t="str">
        <v>CPF 86</v>
      </c>
      <c r="J91" s="2" t="str">
        <v>Nome 86</v>
      </c>
      <c r="K91" s="8" t="str">
        <v>Tel 86</v>
      </c>
      <c r="L91" s="2" t="str">
        <v>Cep 86</v>
      </c>
      <c r="M91" s="2" t="str">
        <v>Rua 86</v>
      </c>
      <c r="N91" s="2" t="str">
        <v>Comp 86</v>
      </c>
      <c r="O91" s="2" t="str">
        <v>Suporte de Celular Branco</v>
      </c>
      <c r="P91" s="8" t="str">
        <v>16-4EDB-WMZF</v>
      </c>
      <c r="Q91" s="4">
        <v>45608</v>
      </c>
      <c r="R91" s="109">
        <v>15.99</v>
      </c>
      <c r="S91" s="11">
        <f ca="1"/>
        <v>15.99</v>
      </c>
      <c r="T91" s="28">
        <f ca="1"/>
        <v>2.3984999999999999</v>
      </c>
      <c r="U91" s="11">
        <f ca="1"/>
        <v>13.59</v>
      </c>
      <c r="V91" s="11">
        <v>4.99</v>
      </c>
      <c r="W91" s="11">
        <f ca="1"/>
        <v>0.25</v>
      </c>
      <c r="X91" s="11">
        <f ca="1"/>
        <v>0.39877104377104378</v>
      </c>
      <c r="Y91" s="11">
        <v>0</v>
      </c>
      <c r="Z91" s="11">
        <f ca="1"/>
        <v>7.951228956228956</v>
      </c>
      <c r="AA91" s="11">
        <f ca="1"/>
        <v>3.975614478114478</v>
      </c>
      <c r="AB91" s="4">
        <f ca="1"/>
        <v>45615</v>
      </c>
      <c r="AC91" s="4">
        <v>45615</v>
      </c>
      <c r="AD91" s="9">
        <v>45617</v>
      </c>
      <c r="AE91" s="9">
        <v>45618</v>
      </c>
      <c r="AF91" s="4" t="str">
        <f t="shared" ca="1" si="1"/>
        <v>2024 11</v>
      </c>
      <c r="AG91" s="8" t="str" cm="1">
        <f t="array" ref="AG91">IFERROR(_xlfn.IFS('Banco de Dados'!#REF!="AG. COMPRA","Em processamento",'Banco de Dados'!#REF!="AG. RASTREIO","Em processamento",'Banco de Dados'!$AE91&lt;&gt;"-","Faturado",'Banco de Dados'!$AD91&lt;&gt;"-","Aguardando Pix",'Banco de Dados'!$AC91&lt;&gt;"-","Pendente"),"Aguardando Liberação")</f>
        <v>Aguardando Liberação</v>
      </c>
      <c r="AH91" s="5" t="str">
        <f>IF('Banco de Dados'!$F91="-",_xlfn.CONCAT(PROPER(TEXT(AK91,"aaaa"))," ",PROPER(TEXT(AK91,"mm"))),_xlfn.CONCAT(PROPER(TEXT(E91,"aaaa"))," ",PROPER(TEXT(E91,"mm"))))</f>
        <v>2024 10</v>
      </c>
      <c r="AI91" s="9" t="str">
        <f ca="1">IF('Banco de Dados'!$AK91&lt;&gt;"-","REEMBOLSO",IFERROR(_xlfn.XLOOKUP(G91,Follow[CODRASTREIO],Follow[STATUS]),"-"))</f>
        <v>ENTREGUE</v>
      </c>
      <c r="AJ91" s="9">
        <f ca="1">IF('Banco de Dados'!$AI91="ENTREGUE",_xlfn.XLOOKUP('Banco de Dados'!$G91,Follow[CODRASTREIO],Follow[DATAATUALIZAÇÃO]),"-")</f>
        <v>45595</v>
      </c>
      <c r="AK91" s="9" t="str">
        <f ca="1"/>
        <v>-</v>
      </c>
      <c r="AL91" s="35" t="str">
        <v>-</v>
      </c>
      <c r="AM91" s="109" cm="1">
        <f t="array" aca="1" ref="AM91" ca="1">IF('Banco de Dados'!$AK91&lt;&gt;"-",_xlfn.IFS('Banco de Dados'!$A91="bv",IF('Banco de Dados'!$E91&lt;45641,ROUND(SUM('Banco de Dados'!$R91*_xlfn.XLOOKUP('Banco de Dados'!$P91,Sku!B:B,Sku!#REF!)*20%),2),ROUND(SUM('Banco de Dados'!$R91*_xlfn.XLOOKUP('Banco de Dados'!$P91,Sku!B:B,Sku!H:H)*20%),2)),'Banco de Dados'!$A91="GO",ROUND(_xlfn.XLOOKUP('Banco de Dados'!$P91,Sku!C:C,Sku!H:H),2),'Banco de Dados'!$A91="MEI",ROUND(_xlfn.XLOOKUP('Banco de Dados'!$P91,Sku!D:D,Sku!H:H),2)),0)</f>
        <v>0</v>
      </c>
      <c r="AN91" s="109">
        <f ca="1">IF('Banco de Dados'!$AK91&lt;&gt;"-",IF('Banco de Dados'!$F91&lt;&gt;"-",_xlfn.XLOOKUP(IFERROR(IFERROR(IFERROR(VALUE(SUBSTITUTE(MID(_xlfn.TEXTAFTER('Banco de Dados'!$F91,"Data do Pedido:
",1),1,10),"-","/")),VALUE(SUBSTITUTE(MID(_xlfn.TEXTAFTER('Banco de Dados'!$F91,"Order date:
",1),1,10),"-","/"))),VALUE(SUBSTITUTE(MID(_xlfn.TEXTAFTER('Banco de Dados'!$F91,"Fecha de pedido:
",1),1,10),"-","/"))),"-"),SMS!A:A,SMS!K:K),0),0)</f>
        <v>0</v>
      </c>
      <c r="AO91" s="109">
        <f ca="1">IF('Banco de Dados'!$AK91&lt;&gt;"-",IF('Banco de Dados'!$F91&lt;&gt;"-",IFERROR(_xlfn.XLOOKUP(_xlfn.CONCAT('Banco de Dados'!$A91,IFERROR(IFERROR(VALUE(SUBSTITUTE(MID(_xlfn.TEXTAFTER('Banco de Dados'!$F91,"Data do Pedido:
",1),1,10),"-","/")),VALUE(SUBSTITUTE(MID(_xlfn.TEXTAFTER('Banco de Dados'!$F91,"Order date:
",1),1,10),"-","/"))),0)),ProxyDD[Chave],ProxyDD[Valor por pedido]),PROXY!$P$2),0),0)</f>
        <v>0</v>
      </c>
      <c r="AP91" s="28">
        <f ca="1">IF('Banco de Dados'!$AK91&lt;&gt;"-",IF('Banco de Dados'!$AL91="NÃO",IFERROR(VALUE(SUBSTITUTE(_xlfn.TEXTAFTER('Banco de Dados'!$F91,"BRL ",1),".",",")),0),0),0)</f>
        <v>0</v>
      </c>
      <c r="AQ91" s="28">
        <f ca="1">SUM('Banco de Dados'!$AM91:$AP91)</f>
        <v>0</v>
      </c>
      <c r="AR91" s="8"/>
      <c r="AS91" s="8"/>
      <c r="AY91" s="8"/>
    </row>
    <row r="92" spans="1:51">
      <c r="A92" s="5" t="str">
        <v>BV</v>
      </c>
      <c r="B92" s="5" t="str">
        <f ca="1"/>
        <v>BV45591</v>
      </c>
      <c r="C92" s="8" t="str">
        <v>Pedido 89</v>
      </c>
      <c r="D92" s="9">
        <v>45591</v>
      </c>
      <c r="E92" s="9">
        <v>45591</v>
      </c>
      <c r="F92" s="8" t="str">
        <v>PedidoF82</v>
      </c>
      <c r="G92" s="2" t="str">
        <v>CódRastreio82</v>
      </c>
      <c r="H92" s="5">
        <v>1</v>
      </c>
      <c r="I92" s="2" t="str">
        <v>CPF 87</v>
      </c>
      <c r="J92" s="2" t="str">
        <v>Nome 87</v>
      </c>
      <c r="K92" s="8" t="str">
        <v>Tel 87</v>
      </c>
      <c r="L92" s="2" t="str">
        <v>Cep 87</v>
      </c>
      <c r="M92" s="2" t="str">
        <v>Rua 87</v>
      </c>
      <c r="N92" s="2" t="str">
        <v>Comp 87</v>
      </c>
      <c r="O92" s="2" t="str">
        <v>Suporte de Celular Branco</v>
      </c>
      <c r="P92" s="8" t="str">
        <v>16-4EDB-WMZF</v>
      </c>
      <c r="Q92" s="4">
        <v>45610</v>
      </c>
      <c r="R92" s="109">
        <v>15.99</v>
      </c>
      <c r="S92" s="11">
        <f ca="1"/>
        <v>15.99</v>
      </c>
      <c r="T92" s="28">
        <f ca="1"/>
        <v>2.3984999999999999</v>
      </c>
      <c r="U92" s="11">
        <f ca="1"/>
        <v>13.59</v>
      </c>
      <c r="V92" s="11">
        <v>4.99</v>
      </c>
      <c r="W92" s="11">
        <f ca="1"/>
        <v>0.25</v>
      </c>
      <c r="X92" s="11">
        <f ca="1"/>
        <v>0.39877104377104378</v>
      </c>
      <c r="Y92" s="11">
        <v>0</v>
      </c>
      <c r="Z92" s="11">
        <f ca="1"/>
        <v>7.951228956228956</v>
      </c>
      <c r="AA92" s="11">
        <f ca="1"/>
        <v>3.975614478114478</v>
      </c>
      <c r="AB92" s="4">
        <f ca="1"/>
        <v>45617</v>
      </c>
      <c r="AC92" s="4">
        <v>45617</v>
      </c>
      <c r="AD92" s="9">
        <v>45617</v>
      </c>
      <c r="AE92" s="9">
        <v>45618</v>
      </c>
      <c r="AF92" s="4" t="str">
        <f t="shared" ca="1" si="1"/>
        <v>2024 11</v>
      </c>
      <c r="AG92" s="8" t="str" cm="1">
        <f t="array" ref="AG92">IFERROR(_xlfn.IFS('Banco de Dados'!#REF!="AG. COMPRA","Em processamento",'Banco de Dados'!#REF!="AG. RASTREIO","Em processamento",'Banco de Dados'!$AE92&lt;&gt;"-","Faturado",'Banco de Dados'!$AD92&lt;&gt;"-","Aguardando Pix",'Banco de Dados'!$AC92&lt;&gt;"-","Pendente"),"Aguardando Liberação")</f>
        <v>Aguardando Liberação</v>
      </c>
      <c r="AH92" s="5" t="str">
        <f>IF('Banco de Dados'!$F92="-",_xlfn.CONCAT(PROPER(TEXT(AK92,"aaaa"))," ",PROPER(TEXT(AK92,"mm"))),_xlfn.CONCAT(PROPER(TEXT(E92,"aaaa"))," ",PROPER(TEXT(E92,"mm"))))</f>
        <v>2024 10</v>
      </c>
      <c r="AI92" s="9" t="str">
        <f ca="1">IF('Banco de Dados'!$AK92&lt;&gt;"-","REEMBOLSO",IFERROR(_xlfn.XLOOKUP(G92,Follow[CODRASTREIO],Follow[STATUS]),"-"))</f>
        <v>ENTREGUE</v>
      </c>
      <c r="AJ92" s="9">
        <f ca="1">IF('Banco de Dados'!$AI92="ENTREGUE",_xlfn.XLOOKUP('Banco de Dados'!$G92,Follow[CODRASTREIO],Follow[DATAATUALIZAÇÃO]),"-")</f>
        <v>45596</v>
      </c>
      <c r="AK92" s="9" t="str">
        <f ca="1"/>
        <v>-</v>
      </c>
      <c r="AL92" s="35" t="str">
        <v>-</v>
      </c>
      <c r="AM92" s="109" cm="1">
        <f t="array" aca="1" ref="AM92" ca="1">IF('Banco de Dados'!$AK92&lt;&gt;"-",_xlfn.IFS('Banco de Dados'!$A92="bv",IF('Banco de Dados'!$E92&lt;45641,ROUND(SUM('Banco de Dados'!$R92*_xlfn.XLOOKUP('Banco de Dados'!$P92,Sku!B:B,Sku!#REF!)*20%),2),ROUND(SUM('Banco de Dados'!$R92*_xlfn.XLOOKUP('Banco de Dados'!$P92,Sku!B:B,Sku!H:H)*20%),2)),'Banco de Dados'!$A92="GO",ROUND(_xlfn.XLOOKUP('Banco de Dados'!$P92,Sku!C:C,Sku!H:H),2),'Banco de Dados'!$A92="MEI",ROUND(_xlfn.XLOOKUP('Banco de Dados'!$P92,Sku!D:D,Sku!H:H),2)),0)</f>
        <v>0</v>
      </c>
      <c r="AN92" s="109">
        <f ca="1">IF('Banco de Dados'!$AK92&lt;&gt;"-",IF('Banco de Dados'!$F92&lt;&gt;"-",_xlfn.XLOOKUP(IFERROR(IFERROR(IFERROR(VALUE(SUBSTITUTE(MID(_xlfn.TEXTAFTER('Banco de Dados'!$F92,"Data do Pedido:
",1),1,10),"-","/")),VALUE(SUBSTITUTE(MID(_xlfn.TEXTAFTER('Banco de Dados'!$F92,"Order date:
",1),1,10),"-","/"))),VALUE(SUBSTITUTE(MID(_xlfn.TEXTAFTER('Banco de Dados'!$F92,"Fecha de pedido:
",1),1,10),"-","/"))),"-"),SMS!A:A,SMS!K:K),0),0)</f>
        <v>0</v>
      </c>
      <c r="AO92" s="109">
        <f ca="1">IF('Banco de Dados'!$AK92&lt;&gt;"-",IF('Banco de Dados'!$F92&lt;&gt;"-",IFERROR(_xlfn.XLOOKUP(_xlfn.CONCAT('Banco de Dados'!$A92,IFERROR(IFERROR(VALUE(SUBSTITUTE(MID(_xlfn.TEXTAFTER('Banco de Dados'!$F92,"Data do Pedido:
",1),1,10),"-","/")),VALUE(SUBSTITUTE(MID(_xlfn.TEXTAFTER('Banco de Dados'!$F92,"Order date:
",1),1,10),"-","/"))),0)),ProxyDD[Chave],ProxyDD[Valor por pedido]),PROXY!$P$2),0),0)</f>
        <v>0</v>
      </c>
      <c r="AP92" s="28">
        <f ca="1">IF('Banco de Dados'!$AK92&lt;&gt;"-",IF('Banco de Dados'!$AL92="NÃO",IFERROR(VALUE(SUBSTITUTE(_xlfn.TEXTAFTER('Banco de Dados'!$F92,"BRL ",1),".",",")),0),0),0)</f>
        <v>0</v>
      </c>
      <c r="AQ92" s="28">
        <f ca="1">SUM('Banco de Dados'!$AM92:$AP92)</f>
        <v>0</v>
      </c>
      <c r="AR92" s="8"/>
      <c r="AS92" s="8"/>
      <c r="AY92" s="8"/>
    </row>
    <row r="93" spans="1:51">
      <c r="A93" s="5" t="str">
        <v>BV</v>
      </c>
      <c r="B93" s="5" t="str">
        <f ca="1"/>
        <v>BV45591</v>
      </c>
      <c r="C93" s="8" t="str">
        <v>Pedido 90</v>
      </c>
      <c r="D93" s="9">
        <v>45591</v>
      </c>
      <c r="E93" s="9">
        <v>45591</v>
      </c>
      <c r="F93" s="8" t="str">
        <v>PedidoF83</v>
      </c>
      <c r="G93" s="2" t="str">
        <v>CódRastreio83</v>
      </c>
      <c r="H93" s="5">
        <v>1</v>
      </c>
      <c r="I93" s="2" t="str">
        <v>CPF 88</v>
      </c>
      <c r="J93" s="2" t="str">
        <v>Nome 88</v>
      </c>
      <c r="K93" s="8" t="str">
        <v>Tel 88</v>
      </c>
      <c r="L93" s="2" t="str">
        <v>Cep 88</v>
      </c>
      <c r="M93" s="2" t="str">
        <v>Rua 88</v>
      </c>
      <c r="N93" s="2" t="str">
        <v>Comp 88</v>
      </c>
      <c r="O93" s="2" t="str">
        <v>Bomba d'agua</v>
      </c>
      <c r="P93" s="8" t="str">
        <v>DJ-RO5O-43GF</v>
      </c>
      <c r="Q93" s="4">
        <v>45610</v>
      </c>
      <c r="R93" s="109">
        <v>18.3</v>
      </c>
      <c r="S93" s="11">
        <f ca="1"/>
        <v>18.3</v>
      </c>
      <c r="T93" s="28">
        <f ca="1"/>
        <v>2.5620000000000003</v>
      </c>
      <c r="U93" s="11">
        <f ca="1"/>
        <v>15.74</v>
      </c>
      <c r="V93" s="11">
        <v>4.99</v>
      </c>
      <c r="W93" s="11">
        <f ca="1"/>
        <v>0.25</v>
      </c>
      <c r="X93" s="11">
        <f ca="1"/>
        <v>0.39877104377104378</v>
      </c>
      <c r="Y93" s="11">
        <v>0</v>
      </c>
      <c r="Z93" s="11">
        <f ca="1"/>
        <v>10.101228956228956</v>
      </c>
      <c r="AA93" s="11">
        <f ca="1"/>
        <v>5.0506144781144782</v>
      </c>
      <c r="AB93" s="4">
        <f ca="1"/>
        <v>45617</v>
      </c>
      <c r="AC93" s="4">
        <v>45617</v>
      </c>
      <c r="AD93" s="9">
        <v>45617</v>
      </c>
      <c r="AE93" s="9">
        <v>45618</v>
      </c>
      <c r="AF93" s="4" t="str">
        <f t="shared" ca="1" si="1"/>
        <v>2024 11</v>
      </c>
      <c r="AG93" s="8" t="str" cm="1">
        <f t="array" ref="AG93">IFERROR(_xlfn.IFS('Banco de Dados'!#REF!="AG. COMPRA","Em processamento",'Banco de Dados'!#REF!="AG. RASTREIO","Em processamento",'Banco de Dados'!$AE93&lt;&gt;"-","Faturado",'Banco de Dados'!$AD93&lt;&gt;"-","Aguardando Pix",'Banco de Dados'!$AC93&lt;&gt;"-","Pendente"),"Aguardando Liberação")</f>
        <v>Aguardando Liberação</v>
      </c>
      <c r="AH93" s="5" t="str">
        <f>IF('Banco de Dados'!$F93="-",_xlfn.CONCAT(PROPER(TEXT(AK93,"aaaa"))," ",PROPER(TEXT(AK93,"mm"))),_xlfn.CONCAT(PROPER(TEXT(E93,"aaaa"))," ",PROPER(TEXT(E93,"mm"))))</f>
        <v>2024 10</v>
      </c>
      <c r="AI93" s="9" t="str">
        <f ca="1">IF('Banco de Dados'!$AK93&lt;&gt;"-","REEMBOLSO",IFERROR(_xlfn.XLOOKUP(G93,Follow[CODRASTREIO],Follow[STATUS]),"-"))</f>
        <v>ENTREGUE</v>
      </c>
      <c r="AJ93" s="9">
        <f ca="1">IF('Banco de Dados'!$AI93="ENTREGUE",_xlfn.XLOOKUP('Banco de Dados'!$G93,Follow[CODRASTREIO],Follow[DATAATUALIZAÇÃO]),"-")</f>
        <v>45596</v>
      </c>
      <c r="AK93" s="9" t="str">
        <f ca="1"/>
        <v>-</v>
      </c>
      <c r="AL93" s="35" t="str">
        <v>-</v>
      </c>
      <c r="AM93" s="109" cm="1">
        <f t="array" aca="1" ref="AM93" ca="1">IF('Banco de Dados'!$AK93&lt;&gt;"-",_xlfn.IFS('Banco de Dados'!$A93="bv",IF('Banco de Dados'!$E93&lt;45641,ROUND(SUM('Banco de Dados'!$R93*_xlfn.XLOOKUP('Banco de Dados'!$P93,Sku!B:B,Sku!#REF!)*20%),2),ROUND(SUM('Banco de Dados'!$R93*_xlfn.XLOOKUP('Banco de Dados'!$P93,Sku!B:B,Sku!H:H)*20%),2)),'Banco de Dados'!$A93="GO",ROUND(_xlfn.XLOOKUP('Banco de Dados'!$P93,Sku!C:C,Sku!H:H),2),'Banco de Dados'!$A93="MEI",ROUND(_xlfn.XLOOKUP('Banco de Dados'!$P93,Sku!D:D,Sku!H:H),2)),0)</f>
        <v>0</v>
      </c>
      <c r="AN93" s="109">
        <f ca="1">IF('Banco de Dados'!$AK93&lt;&gt;"-",IF('Banco de Dados'!$F93&lt;&gt;"-",_xlfn.XLOOKUP(IFERROR(IFERROR(IFERROR(VALUE(SUBSTITUTE(MID(_xlfn.TEXTAFTER('Banco de Dados'!$F93,"Data do Pedido:
",1),1,10),"-","/")),VALUE(SUBSTITUTE(MID(_xlfn.TEXTAFTER('Banco de Dados'!$F93,"Order date:
",1),1,10),"-","/"))),VALUE(SUBSTITUTE(MID(_xlfn.TEXTAFTER('Banco de Dados'!$F93,"Fecha de pedido:
",1),1,10),"-","/"))),"-"),SMS!A:A,SMS!K:K),0),0)</f>
        <v>0</v>
      </c>
      <c r="AO93" s="109">
        <f ca="1">IF('Banco de Dados'!$AK93&lt;&gt;"-",IF('Banco de Dados'!$F93&lt;&gt;"-",IFERROR(_xlfn.XLOOKUP(_xlfn.CONCAT('Banco de Dados'!$A93,IFERROR(IFERROR(VALUE(SUBSTITUTE(MID(_xlfn.TEXTAFTER('Banco de Dados'!$F93,"Data do Pedido:
",1),1,10),"-","/")),VALUE(SUBSTITUTE(MID(_xlfn.TEXTAFTER('Banco de Dados'!$F93,"Order date:
",1),1,10),"-","/"))),0)),ProxyDD[Chave],ProxyDD[Valor por pedido]),PROXY!$P$2),0),0)</f>
        <v>0</v>
      </c>
      <c r="AP93" s="28">
        <f ca="1">IF('Banco de Dados'!$AK93&lt;&gt;"-",IF('Banco de Dados'!$AL93="NÃO",IFERROR(VALUE(SUBSTITUTE(_xlfn.TEXTAFTER('Banco de Dados'!$F93,"BRL ",1),".",",")),0),0),0)</f>
        <v>0</v>
      </c>
      <c r="AQ93" s="28">
        <f ca="1">SUM('Banco de Dados'!$AM93:$AP93)</f>
        <v>0</v>
      </c>
      <c r="AR93" s="8"/>
      <c r="AS93" s="8"/>
      <c r="AY93" s="8"/>
    </row>
    <row r="94" spans="1:51">
      <c r="A94" s="5" t="str">
        <v>BV</v>
      </c>
      <c r="B94" s="5" t="str">
        <f ca="1"/>
        <v>BV45591</v>
      </c>
      <c r="C94" s="8" t="str">
        <v>Pedido 91</v>
      </c>
      <c r="D94" s="9">
        <v>45591</v>
      </c>
      <c r="E94" s="9">
        <v>45591</v>
      </c>
      <c r="F94" s="8" t="str">
        <v>PedidoF84</v>
      </c>
      <c r="G94" s="2" t="str">
        <v>CódRastreio84</v>
      </c>
      <c r="H94" s="5">
        <v>1</v>
      </c>
      <c r="I94" s="2" t="str">
        <v>CPF 89</v>
      </c>
      <c r="J94" s="2" t="str">
        <v>Nome 89</v>
      </c>
      <c r="K94" s="8" t="str">
        <v>Tel 89</v>
      </c>
      <c r="L94" s="2" t="str">
        <v>Cep 89</v>
      </c>
      <c r="M94" s="2" t="str">
        <v>Rua 89</v>
      </c>
      <c r="N94" s="2" t="str">
        <v>Comp 89</v>
      </c>
      <c r="O94" s="2" t="str">
        <v>Suporte de Celular Branco</v>
      </c>
      <c r="P94" s="8" t="str">
        <v>16-4EDB-WMZF</v>
      </c>
      <c r="Q94" s="4">
        <v>45617</v>
      </c>
      <c r="R94" s="109">
        <v>15.99</v>
      </c>
      <c r="S94" s="11">
        <f ca="1"/>
        <v>15.99</v>
      </c>
      <c r="T94" s="28">
        <f ca="1"/>
        <v>2.3984999999999999</v>
      </c>
      <c r="U94" s="11">
        <f ca="1"/>
        <v>13.59</v>
      </c>
      <c r="V94" s="11">
        <v>4.99</v>
      </c>
      <c r="W94" s="11">
        <f ca="1"/>
        <v>0.25</v>
      </c>
      <c r="X94" s="11">
        <f ca="1"/>
        <v>0.39877104377104378</v>
      </c>
      <c r="Y94" s="11">
        <v>0</v>
      </c>
      <c r="Z94" s="11">
        <f ca="1"/>
        <v>7.951228956228956</v>
      </c>
      <c r="AA94" s="11">
        <f ca="1"/>
        <v>3.975614478114478</v>
      </c>
      <c r="AB94" s="4">
        <f ca="1"/>
        <v>45624</v>
      </c>
      <c r="AC94" s="4">
        <v>45624</v>
      </c>
      <c r="AD94" s="9">
        <v>45625</v>
      </c>
      <c r="AE94" s="9">
        <v>45625</v>
      </c>
      <c r="AF94" s="4" t="str">
        <f t="shared" ca="1" si="1"/>
        <v>2024 11</v>
      </c>
      <c r="AG94" s="8" t="str" cm="1">
        <f t="array" ref="AG94">IFERROR(_xlfn.IFS('Banco de Dados'!#REF!="AG. COMPRA","Em processamento",'Banco de Dados'!#REF!="AG. RASTREIO","Em processamento",'Banco de Dados'!$AE94&lt;&gt;"-","Faturado",'Banco de Dados'!$AD94&lt;&gt;"-","Aguardando Pix",'Banco de Dados'!$AC94&lt;&gt;"-","Pendente"),"Aguardando Liberação")</f>
        <v>Aguardando Liberação</v>
      </c>
      <c r="AH94" s="5" t="str">
        <f>IF('Banco de Dados'!$F94="-",_xlfn.CONCAT(PROPER(TEXT(AK94,"aaaa"))," ",PROPER(TEXT(AK94,"mm"))),_xlfn.CONCAT(PROPER(TEXT(E94,"aaaa"))," ",PROPER(TEXT(E94,"mm"))))</f>
        <v>2024 10</v>
      </c>
      <c r="AI94" s="9" t="str">
        <f ca="1">IF('Banco de Dados'!$AK94&lt;&gt;"-","REEMBOLSO",IFERROR(_xlfn.XLOOKUP(G94,Follow[CODRASTREIO],Follow[STATUS]),"-"))</f>
        <v>ENTREGUE</v>
      </c>
      <c r="AJ94" s="9">
        <f ca="1">IF('Banco de Dados'!$AI94="ENTREGUE",_xlfn.XLOOKUP('Banco de Dados'!$G94,Follow[CODRASTREIO],Follow[DATAATUALIZAÇÃO]),"-")</f>
        <v>45601</v>
      </c>
      <c r="AK94" s="9" t="str">
        <f ca="1"/>
        <v>-</v>
      </c>
      <c r="AL94" s="35" t="str">
        <v>NÃO</v>
      </c>
      <c r="AM94" s="109" cm="1">
        <f t="array" aca="1" ref="AM94" ca="1">IF('Banco de Dados'!$AK94&lt;&gt;"-",_xlfn.IFS('Banco de Dados'!$A94="bv",IF('Banco de Dados'!$E94&lt;45641,ROUND(SUM('Banco de Dados'!$R94*_xlfn.XLOOKUP('Banco de Dados'!$P94,Sku!B:B,Sku!#REF!)*20%),2),ROUND(SUM('Banco de Dados'!$R94*_xlfn.XLOOKUP('Banco de Dados'!$P94,Sku!B:B,Sku!H:H)*20%),2)),'Banco de Dados'!$A94="GO",ROUND(_xlfn.XLOOKUP('Banco de Dados'!$P94,Sku!C:C,Sku!H:H),2),'Banco de Dados'!$A94="MEI",ROUND(_xlfn.XLOOKUP('Banco de Dados'!$P94,Sku!D:D,Sku!H:H),2)),0)</f>
        <v>0</v>
      </c>
      <c r="AN94" s="109">
        <f ca="1">IF('Banco de Dados'!$AK94&lt;&gt;"-",IF('Banco de Dados'!$F94&lt;&gt;"-",_xlfn.XLOOKUP(IFERROR(IFERROR(IFERROR(VALUE(SUBSTITUTE(MID(_xlfn.TEXTAFTER('Banco de Dados'!$F94,"Data do Pedido:
",1),1,10),"-","/")),VALUE(SUBSTITUTE(MID(_xlfn.TEXTAFTER('Banco de Dados'!$F94,"Order date:
",1),1,10),"-","/"))),VALUE(SUBSTITUTE(MID(_xlfn.TEXTAFTER('Banco de Dados'!$F94,"Fecha de pedido:
",1),1,10),"-","/"))),"-"),SMS!A:A,SMS!K:K),0),0)</f>
        <v>0</v>
      </c>
      <c r="AO94" s="109">
        <f ca="1">IF('Banco de Dados'!$AK94&lt;&gt;"-",IF('Banco de Dados'!$F94&lt;&gt;"-",IFERROR(_xlfn.XLOOKUP(_xlfn.CONCAT('Banco de Dados'!$A94,IFERROR(IFERROR(VALUE(SUBSTITUTE(MID(_xlfn.TEXTAFTER('Banco de Dados'!$F94,"Data do Pedido:
",1),1,10),"-","/")),VALUE(SUBSTITUTE(MID(_xlfn.TEXTAFTER('Banco de Dados'!$F94,"Order date:
",1),1,10),"-","/"))),0)),ProxyDD[Chave],ProxyDD[Valor por pedido]),PROXY!$P$2),0),0)</f>
        <v>0</v>
      </c>
      <c r="AP94" s="28">
        <f ca="1">IF('Banco de Dados'!$AK94&lt;&gt;"-",IF('Banco de Dados'!$AL94="NÃO",IFERROR(VALUE(SUBSTITUTE(_xlfn.TEXTAFTER('Banco de Dados'!$F94,"BRL ",1),".",",")),0),0),0)</f>
        <v>0</v>
      </c>
      <c r="AQ94" s="28">
        <f ca="1">SUM('Banco de Dados'!$AM94:$AP94)</f>
        <v>0</v>
      </c>
      <c r="AR94" s="8"/>
      <c r="AS94" s="8"/>
      <c r="AY94" s="8"/>
    </row>
    <row r="95" spans="1:51">
      <c r="A95" s="5" t="str">
        <v>BV</v>
      </c>
      <c r="B95" s="5" t="str">
        <f ca="1"/>
        <v>BV45591</v>
      </c>
      <c r="C95" s="8" t="str">
        <v>Pedido 92</v>
      </c>
      <c r="D95" s="9">
        <v>45591</v>
      </c>
      <c r="E95" s="9">
        <v>45591</v>
      </c>
      <c r="F95" s="8" t="str">
        <v>PedidoF85</v>
      </c>
      <c r="G95" s="2" t="str">
        <v>CódRastreio85</v>
      </c>
      <c r="H95" s="5">
        <v>1</v>
      </c>
      <c r="I95" s="2" t="str">
        <v>CPF 90</v>
      </c>
      <c r="J95" s="2" t="str">
        <v>Nome 90</v>
      </c>
      <c r="K95" s="8" t="str">
        <v>Tel 90</v>
      </c>
      <c r="L95" s="2" t="str">
        <v>Cep 90</v>
      </c>
      <c r="M95" s="2" t="str">
        <v>Rua 90</v>
      </c>
      <c r="N95" s="2" t="str">
        <v>Comp 90</v>
      </c>
      <c r="O95" s="2" t="str">
        <v>Bomba d'agua</v>
      </c>
      <c r="P95" s="8" t="str">
        <v>DJ-RO5O-43GF</v>
      </c>
      <c r="Q95" s="4">
        <v>45617</v>
      </c>
      <c r="R95" s="109">
        <v>18.3</v>
      </c>
      <c r="S95" s="11">
        <f ca="1"/>
        <v>18.3</v>
      </c>
      <c r="T95" s="28">
        <f ca="1"/>
        <v>2.5620000000000003</v>
      </c>
      <c r="U95" s="11">
        <f ca="1"/>
        <v>15.74</v>
      </c>
      <c r="V95" s="11">
        <v>4.99</v>
      </c>
      <c r="W95" s="11">
        <f ca="1"/>
        <v>0.25</v>
      </c>
      <c r="X95" s="11">
        <f ca="1"/>
        <v>0.39877104377104378</v>
      </c>
      <c r="Y95" s="11">
        <v>0</v>
      </c>
      <c r="Z95" s="11">
        <f ca="1"/>
        <v>10.101228956228956</v>
      </c>
      <c r="AA95" s="11">
        <f ca="1"/>
        <v>5.0506144781144782</v>
      </c>
      <c r="AB95" s="4">
        <f ca="1"/>
        <v>45624</v>
      </c>
      <c r="AC95" s="4">
        <v>45624</v>
      </c>
      <c r="AD95" s="9">
        <v>45625</v>
      </c>
      <c r="AE95" s="9">
        <v>45625</v>
      </c>
      <c r="AF95" s="4" t="str">
        <f t="shared" ca="1" si="1"/>
        <v>2024 11</v>
      </c>
      <c r="AG95" s="8" t="str" cm="1">
        <f t="array" ref="AG95">IFERROR(_xlfn.IFS('Banco de Dados'!#REF!="AG. COMPRA","Em processamento",'Banco de Dados'!#REF!="AG. RASTREIO","Em processamento",'Banco de Dados'!$AE95&lt;&gt;"-","Faturado",'Banco de Dados'!$AD95&lt;&gt;"-","Aguardando Pix",'Banco de Dados'!$AC95&lt;&gt;"-","Pendente"),"Aguardando Liberação")</f>
        <v>Aguardando Liberação</v>
      </c>
      <c r="AH95" s="5" t="str">
        <f>IF('Banco de Dados'!$F95="-",_xlfn.CONCAT(PROPER(TEXT(AK95,"aaaa"))," ",PROPER(TEXT(AK95,"mm"))),_xlfn.CONCAT(PROPER(TEXT(E95,"aaaa"))," ",PROPER(TEXT(E95,"mm"))))</f>
        <v>2024 10</v>
      </c>
      <c r="AI95" s="9" t="str">
        <f ca="1">IF('Banco de Dados'!$AK95&lt;&gt;"-","REEMBOLSO",IFERROR(_xlfn.XLOOKUP(G95,Follow[CODRASTREIO],Follow[STATUS]),"-"))</f>
        <v>ENTREGUE</v>
      </c>
      <c r="AJ95" s="9">
        <f ca="1">IF('Banco de Dados'!$AI95="ENTREGUE",_xlfn.XLOOKUP('Banco de Dados'!$G95,Follow[CODRASTREIO],Follow[DATAATUALIZAÇÃO]),"-")</f>
        <v>45598</v>
      </c>
      <c r="AK95" s="9" t="str">
        <f ca="1"/>
        <v>-</v>
      </c>
      <c r="AL95" s="35" t="str">
        <v>NÃO</v>
      </c>
      <c r="AM95" s="109" cm="1">
        <f t="array" aca="1" ref="AM95" ca="1">IF('Banco de Dados'!$AK95&lt;&gt;"-",_xlfn.IFS('Banco de Dados'!$A95="bv",IF('Banco de Dados'!$E95&lt;45641,ROUND(SUM('Banco de Dados'!$R95*_xlfn.XLOOKUP('Banco de Dados'!$P95,Sku!B:B,Sku!#REF!)*20%),2),ROUND(SUM('Banco de Dados'!$R95*_xlfn.XLOOKUP('Banco de Dados'!$P95,Sku!B:B,Sku!H:H)*20%),2)),'Banco de Dados'!$A95="GO",ROUND(_xlfn.XLOOKUP('Banco de Dados'!$P95,Sku!C:C,Sku!H:H),2),'Banco de Dados'!$A95="MEI",ROUND(_xlfn.XLOOKUP('Banco de Dados'!$P95,Sku!D:D,Sku!H:H),2)),0)</f>
        <v>0</v>
      </c>
      <c r="AN95" s="109">
        <f ca="1">IF('Banco de Dados'!$AK95&lt;&gt;"-",IF('Banco de Dados'!$F95&lt;&gt;"-",_xlfn.XLOOKUP(IFERROR(IFERROR(IFERROR(VALUE(SUBSTITUTE(MID(_xlfn.TEXTAFTER('Banco de Dados'!$F95,"Data do Pedido:
",1),1,10),"-","/")),VALUE(SUBSTITUTE(MID(_xlfn.TEXTAFTER('Banco de Dados'!$F95,"Order date:
",1),1,10),"-","/"))),VALUE(SUBSTITUTE(MID(_xlfn.TEXTAFTER('Banco de Dados'!$F95,"Fecha de pedido:
",1),1,10),"-","/"))),"-"),SMS!A:A,SMS!K:K),0),0)</f>
        <v>0</v>
      </c>
      <c r="AO95" s="109">
        <f ca="1">IF('Banco de Dados'!$AK95&lt;&gt;"-",IF('Banco de Dados'!$F95&lt;&gt;"-",IFERROR(_xlfn.XLOOKUP(_xlfn.CONCAT('Banco de Dados'!$A95,IFERROR(IFERROR(VALUE(SUBSTITUTE(MID(_xlfn.TEXTAFTER('Banco de Dados'!$F95,"Data do Pedido:
",1),1,10),"-","/")),VALUE(SUBSTITUTE(MID(_xlfn.TEXTAFTER('Banco de Dados'!$F95,"Order date:
",1),1,10),"-","/"))),0)),ProxyDD[Chave],ProxyDD[Valor por pedido]),PROXY!$P$2),0),0)</f>
        <v>0</v>
      </c>
      <c r="AP95" s="28">
        <f ca="1">IF('Banco de Dados'!$AK95&lt;&gt;"-",IF('Banco de Dados'!$AL95="NÃO",IFERROR(VALUE(SUBSTITUTE(_xlfn.TEXTAFTER('Banco de Dados'!$F95,"BRL ",1),".",",")),0),0),0)</f>
        <v>0</v>
      </c>
      <c r="AQ95" s="28">
        <f ca="1">SUM('Banco de Dados'!$AM95:$AP95)</f>
        <v>0</v>
      </c>
      <c r="AR95" s="8"/>
      <c r="AS95" s="8"/>
      <c r="AY95" s="8"/>
    </row>
    <row r="96" spans="1:51">
      <c r="A96" s="5" t="str">
        <v>BV</v>
      </c>
      <c r="B96" s="5" t="str">
        <f ca="1"/>
        <v>BV45591</v>
      </c>
      <c r="C96" s="8" t="str">
        <v>Pedido 93</v>
      </c>
      <c r="D96" s="9">
        <v>45591</v>
      </c>
      <c r="E96" s="9">
        <v>45591</v>
      </c>
      <c r="F96" s="8" t="str">
        <v>PedidoF86</v>
      </c>
      <c r="G96" s="2" t="str">
        <v>CódRastreio86</v>
      </c>
      <c r="H96" s="5">
        <v>1</v>
      </c>
      <c r="I96" s="2" t="str">
        <v>CPF 91</v>
      </c>
      <c r="J96" s="2" t="str">
        <v>Nome 91</v>
      </c>
      <c r="K96" s="8" t="str">
        <v>Tel 91</v>
      </c>
      <c r="L96" s="2" t="str">
        <v>Cep 91</v>
      </c>
      <c r="M96" s="2" t="str">
        <v>Rua 91</v>
      </c>
      <c r="N96" s="2" t="str">
        <v>Comp 91</v>
      </c>
      <c r="O96" s="2" t="str">
        <v>Bomba d'agua</v>
      </c>
      <c r="P96" s="8" t="str">
        <v>DJ-RO5O-43GF</v>
      </c>
      <c r="Q96" s="4">
        <v>45617</v>
      </c>
      <c r="R96" s="109">
        <v>18.3</v>
      </c>
      <c r="S96" s="11">
        <f ca="1"/>
        <v>18.3</v>
      </c>
      <c r="T96" s="28">
        <f ca="1"/>
        <v>2.5620000000000003</v>
      </c>
      <c r="U96" s="11">
        <f ca="1"/>
        <v>15.74</v>
      </c>
      <c r="V96" s="11">
        <v>4.99</v>
      </c>
      <c r="W96" s="11">
        <f ca="1"/>
        <v>0.25</v>
      </c>
      <c r="X96" s="11">
        <f ca="1"/>
        <v>0.39877104377104378</v>
      </c>
      <c r="Y96" s="11">
        <v>0</v>
      </c>
      <c r="Z96" s="11">
        <f ca="1"/>
        <v>10.101228956228956</v>
      </c>
      <c r="AA96" s="11">
        <f ca="1"/>
        <v>5.0506144781144782</v>
      </c>
      <c r="AB96" s="4">
        <f ca="1"/>
        <v>45624</v>
      </c>
      <c r="AC96" s="4">
        <v>45624</v>
      </c>
      <c r="AD96" s="9">
        <v>45625</v>
      </c>
      <c r="AE96" s="9">
        <v>45625</v>
      </c>
      <c r="AF96" s="4" t="str">
        <f t="shared" ca="1" si="1"/>
        <v>2024 11</v>
      </c>
      <c r="AG96" s="8" t="str" cm="1">
        <f t="array" ref="AG96">IFERROR(_xlfn.IFS('Banco de Dados'!#REF!="AG. COMPRA","Em processamento",'Banco de Dados'!#REF!="AG. RASTREIO","Em processamento",'Banco de Dados'!$AE96&lt;&gt;"-","Faturado",'Banco de Dados'!$AD96&lt;&gt;"-","Aguardando Pix",'Banco de Dados'!$AC96&lt;&gt;"-","Pendente"),"Aguardando Liberação")</f>
        <v>Aguardando Liberação</v>
      </c>
      <c r="AH96" s="5" t="str">
        <f>IF('Banco de Dados'!$F96="-",_xlfn.CONCAT(PROPER(TEXT(AK96,"aaaa"))," ",PROPER(TEXT(AK96,"mm"))),_xlfn.CONCAT(PROPER(TEXT(E96,"aaaa"))," ",PROPER(TEXT(E96,"mm"))))</f>
        <v>2024 10</v>
      </c>
      <c r="AI96" s="9" t="str">
        <f ca="1">IF('Banco de Dados'!$AK96&lt;&gt;"-","REEMBOLSO",IFERROR(_xlfn.XLOOKUP(G96,Follow[CODRASTREIO],Follow[STATUS]),"-"))</f>
        <v>ENTREGUE</v>
      </c>
      <c r="AJ96" s="9">
        <f ca="1">IF('Banco de Dados'!$AI96="ENTREGUE",_xlfn.XLOOKUP('Banco de Dados'!$G96,Follow[CODRASTREIO],Follow[DATAATUALIZAÇÃO]),"-")</f>
        <v>45597</v>
      </c>
      <c r="AK96" s="9" t="str">
        <f ca="1"/>
        <v>-</v>
      </c>
      <c r="AL96" s="35" t="str">
        <v>-</v>
      </c>
      <c r="AM96" s="109" cm="1">
        <f t="array" aca="1" ref="AM96" ca="1">IF('Banco de Dados'!$AK96&lt;&gt;"-",_xlfn.IFS('Banco de Dados'!$A96="bv",IF('Banco de Dados'!$E96&lt;45641,ROUND(SUM('Banco de Dados'!$R96*_xlfn.XLOOKUP('Banco de Dados'!$P96,Sku!B:B,Sku!#REF!)*20%),2),ROUND(SUM('Banco de Dados'!$R96*_xlfn.XLOOKUP('Banco de Dados'!$P96,Sku!B:B,Sku!H:H)*20%),2)),'Banco de Dados'!$A96="GO",ROUND(_xlfn.XLOOKUP('Banco de Dados'!$P96,Sku!C:C,Sku!H:H),2),'Banco de Dados'!$A96="MEI",ROUND(_xlfn.XLOOKUP('Banco de Dados'!$P96,Sku!D:D,Sku!H:H),2)),0)</f>
        <v>0</v>
      </c>
      <c r="AN96" s="109">
        <f ca="1">IF('Banco de Dados'!$AK96&lt;&gt;"-",IF('Banco de Dados'!$F96&lt;&gt;"-",_xlfn.XLOOKUP(IFERROR(IFERROR(IFERROR(VALUE(SUBSTITUTE(MID(_xlfn.TEXTAFTER('Banco de Dados'!$F96,"Data do Pedido:
",1),1,10),"-","/")),VALUE(SUBSTITUTE(MID(_xlfn.TEXTAFTER('Banco de Dados'!$F96,"Order date:
",1),1,10),"-","/"))),VALUE(SUBSTITUTE(MID(_xlfn.TEXTAFTER('Banco de Dados'!$F96,"Fecha de pedido:
",1),1,10),"-","/"))),"-"),SMS!A:A,SMS!K:K),0),0)</f>
        <v>0</v>
      </c>
      <c r="AO96" s="109">
        <f ca="1">IF('Banco de Dados'!$AK96&lt;&gt;"-",IF('Banco de Dados'!$F96&lt;&gt;"-",IFERROR(_xlfn.XLOOKUP(_xlfn.CONCAT('Banco de Dados'!$A96,IFERROR(IFERROR(VALUE(SUBSTITUTE(MID(_xlfn.TEXTAFTER('Banco de Dados'!$F96,"Data do Pedido:
",1),1,10),"-","/")),VALUE(SUBSTITUTE(MID(_xlfn.TEXTAFTER('Banco de Dados'!$F96,"Order date:
",1),1,10),"-","/"))),0)),ProxyDD[Chave],ProxyDD[Valor por pedido]),PROXY!$P$2),0),0)</f>
        <v>0</v>
      </c>
      <c r="AP96" s="28">
        <f ca="1">IF('Banco de Dados'!$AK96&lt;&gt;"-",IF('Banco de Dados'!$AL96="NÃO",IFERROR(VALUE(SUBSTITUTE(_xlfn.TEXTAFTER('Banco de Dados'!$F96,"BRL ",1),".",",")),0),0),0)</f>
        <v>0</v>
      </c>
      <c r="AQ96" s="28">
        <f ca="1">SUM('Banco de Dados'!$AM96:$AP96)</f>
        <v>0</v>
      </c>
      <c r="AR96" s="8"/>
      <c r="AS96" s="8"/>
      <c r="AY96" s="8"/>
    </row>
    <row r="97" spans="1:51">
      <c r="A97" s="5" t="str">
        <v>BV</v>
      </c>
      <c r="B97" s="5" t="str">
        <f ca="1"/>
        <v>BV45591</v>
      </c>
      <c r="C97" s="8" t="str">
        <v>Pedido 94</v>
      </c>
      <c r="D97" s="9">
        <v>45591</v>
      </c>
      <c r="E97" s="9">
        <v>45591</v>
      </c>
      <c r="F97" s="8" t="str">
        <v>PedidoF87</v>
      </c>
      <c r="G97" s="2" t="str">
        <v>CódRastreio87</v>
      </c>
      <c r="H97" s="5">
        <v>1</v>
      </c>
      <c r="I97" s="2" t="str">
        <v>CPF 92</v>
      </c>
      <c r="J97" s="2" t="str">
        <v>Nome 92</v>
      </c>
      <c r="K97" s="8" t="str">
        <v>Tel 92</v>
      </c>
      <c r="L97" s="2" t="str">
        <v>Cep 92</v>
      </c>
      <c r="M97" s="2" t="str">
        <v>Rua 92</v>
      </c>
      <c r="N97" s="2" t="str">
        <v>Comp 92</v>
      </c>
      <c r="O97" s="2" t="str">
        <v>Bomba d'agua</v>
      </c>
      <c r="P97" s="8" t="str">
        <v>DJ-RO5O-43GF</v>
      </c>
      <c r="Q97" s="4">
        <v>45617</v>
      </c>
      <c r="R97" s="109">
        <v>18.3</v>
      </c>
      <c r="S97" s="11">
        <f ca="1"/>
        <v>18.3</v>
      </c>
      <c r="T97" s="28">
        <f ca="1"/>
        <v>2.5620000000000003</v>
      </c>
      <c r="U97" s="11">
        <f ca="1"/>
        <v>15.74</v>
      </c>
      <c r="V97" s="11">
        <v>4.99</v>
      </c>
      <c r="W97" s="11">
        <f ca="1"/>
        <v>0.25</v>
      </c>
      <c r="X97" s="11">
        <f ca="1"/>
        <v>0.39877104377104378</v>
      </c>
      <c r="Y97" s="11">
        <v>0</v>
      </c>
      <c r="Z97" s="11">
        <f ca="1"/>
        <v>10.101228956228956</v>
      </c>
      <c r="AA97" s="11">
        <f ca="1"/>
        <v>5.0506144781144782</v>
      </c>
      <c r="AB97" s="4">
        <f ca="1"/>
        <v>45624</v>
      </c>
      <c r="AC97" s="4">
        <v>45624</v>
      </c>
      <c r="AD97" s="9">
        <v>45625</v>
      </c>
      <c r="AE97" s="9">
        <v>45625</v>
      </c>
      <c r="AF97" s="4" t="str">
        <f t="shared" ca="1" si="1"/>
        <v>2024 11</v>
      </c>
      <c r="AG97" s="8" t="str" cm="1">
        <f t="array" ref="AG97">IFERROR(_xlfn.IFS('Banco de Dados'!#REF!="AG. COMPRA","Em processamento",'Banco de Dados'!#REF!="AG. RASTREIO","Em processamento",'Banco de Dados'!$AE97&lt;&gt;"-","Faturado",'Banco de Dados'!$AD97&lt;&gt;"-","Aguardando Pix",'Banco de Dados'!$AC97&lt;&gt;"-","Pendente"),"Aguardando Liberação")</f>
        <v>Aguardando Liberação</v>
      </c>
      <c r="AH97" s="5" t="str">
        <f>IF('Banco de Dados'!$F97="-",_xlfn.CONCAT(PROPER(TEXT(AK97,"aaaa"))," ",PROPER(TEXT(AK97,"mm"))),_xlfn.CONCAT(PROPER(TEXT(E97,"aaaa"))," ",PROPER(TEXT(E97,"mm"))))</f>
        <v>2024 10</v>
      </c>
      <c r="AI97" s="9" t="str">
        <f ca="1">IF('Banco de Dados'!$AK97&lt;&gt;"-","REEMBOLSO",IFERROR(_xlfn.XLOOKUP(G97,Follow[CODRASTREIO],Follow[STATUS]),"-"))</f>
        <v>ENTREGUE</v>
      </c>
      <c r="AJ97" s="9">
        <f ca="1">IF('Banco de Dados'!$AI97="ENTREGUE",_xlfn.XLOOKUP('Banco de Dados'!$G97,Follow[CODRASTREIO],Follow[DATAATUALIZAÇÃO]),"-")</f>
        <v>45601</v>
      </c>
      <c r="AK97" s="9" t="str">
        <f ca="1"/>
        <v>-</v>
      </c>
      <c r="AL97" s="35" t="str">
        <v>SIM</v>
      </c>
      <c r="AM97" s="109" cm="1">
        <f t="array" aca="1" ref="AM97" ca="1">IF('Banco de Dados'!$AK97&lt;&gt;"-",_xlfn.IFS('Banco de Dados'!$A97="bv",IF('Banco de Dados'!$E97&lt;45641,ROUND(SUM('Banco de Dados'!$R97*_xlfn.XLOOKUP('Banco de Dados'!$P97,Sku!B:B,Sku!#REF!)*20%),2),ROUND(SUM('Banco de Dados'!$R97*_xlfn.XLOOKUP('Banco de Dados'!$P97,Sku!B:B,Sku!H:H)*20%),2)),'Banco de Dados'!$A97="GO",ROUND(_xlfn.XLOOKUP('Banco de Dados'!$P97,Sku!C:C,Sku!H:H),2),'Banco de Dados'!$A97="MEI",ROUND(_xlfn.XLOOKUP('Banco de Dados'!$P97,Sku!D:D,Sku!H:H),2)),0)</f>
        <v>0</v>
      </c>
      <c r="AN97" s="109">
        <f ca="1">IF('Banco de Dados'!$AK97&lt;&gt;"-",IF('Banco de Dados'!$F97&lt;&gt;"-",_xlfn.XLOOKUP(IFERROR(IFERROR(IFERROR(VALUE(SUBSTITUTE(MID(_xlfn.TEXTAFTER('Banco de Dados'!$F97,"Data do Pedido:
",1),1,10),"-","/")),VALUE(SUBSTITUTE(MID(_xlfn.TEXTAFTER('Banco de Dados'!$F97,"Order date:
",1),1,10),"-","/"))),VALUE(SUBSTITUTE(MID(_xlfn.TEXTAFTER('Banco de Dados'!$F97,"Fecha de pedido:
",1),1,10),"-","/"))),"-"),SMS!A:A,SMS!K:K),0),0)</f>
        <v>0</v>
      </c>
      <c r="AO97" s="109">
        <f ca="1">IF('Banco de Dados'!$AK97&lt;&gt;"-",IF('Banco de Dados'!$F97&lt;&gt;"-",IFERROR(_xlfn.XLOOKUP(_xlfn.CONCAT('Banco de Dados'!$A97,IFERROR(IFERROR(VALUE(SUBSTITUTE(MID(_xlfn.TEXTAFTER('Banco de Dados'!$F97,"Data do Pedido:
",1),1,10),"-","/")),VALUE(SUBSTITUTE(MID(_xlfn.TEXTAFTER('Banco de Dados'!$F97,"Order date:
",1),1,10),"-","/"))),0)),ProxyDD[Chave],ProxyDD[Valor por pedido]),PROXY!$P$2),0),0)</f>
        <v>0</v>
      </c>
      <c r="AP97" s="28">
        <f ca="1">IF('Banco de Dados'!$AK97&lt;&gt;"-",IF('Banco de Dados'!$AL97="NÃO",IFERROR(VALUE(SUBSTITUTE(_xlfn.TEXTAFTER('Banco de Dados'!$F97,"BRL ",1),".",",")),0),0),0)</f>
        <v>0</v>
      </c>
      <c r="AQ97" s="28">
        <f ca="1">SUM('Banco de Dados'!$AM97:$AP97)</f>
        <v>0</v>
      </c>
      <c r="AR97" s="8"/>
      <c r="AS97" s="8"/>
      <c r="AY97" s="8"/>
    </row>
    <row r="98" spans="1:51">
      <c r="A98" s="5" t="str">
        <v>BV</v>
      </c>
      <c r="B98" s="5" t="str">
        <f ca="1"/>
        <v>BV45591</v>
      </c>
      <c r="C98" s="8" t="str">
        <v>Pedido 95</v>
      </c>
      <c r="D98" s="9">
        <v>45591</v>
      </c>
      <c r="E98" s="9">
        <v>45591</v>
      </c>
      <c r="F98" s="8" t="str">
        <v>PedidoF88</v>
      </c>
      <c r="G98" s="2" t="str">
        <v>CódRastreio88</v>
      </c>
      <c r="H98" s="5">
        <v>1</v>
      </c>
      <c r="I98" s="3" t="str">
        <v>CPF 93</v>
      </c>
      <c r="J98" s="2" t="str">
        <v>Nome 93</v>
      </c>
      <c r="K98" s="8" t="str">
        <v>Tel 93</v>
      </c>
      <c r="L98" s="2" t="str">
        <v>Cep 93</v>
      </c>
      <c r="M98" s="2" t="str">
        <v>Rua 93</v>
      </c>
      <c r="N98" s="2" t="str">
        <v>Comp 93</v>
      </c>
      <c r="O98" s="2" t="str">
        <v>Suporte de Celular Branco</v>
      </c>
      <c r="P98" s="8" t="str">
        <v>16-4EDB-WMZF</v>
      </c>
      <c r="Q98" s="4">
        <v>45610</v>
      </c>
      <c r="R98" s="109">
        <v>15.99</v>
      </c>
      <c r="S98" s="11">
        <f ca="1"/>
        <v>15.99</v>
      </c>
      <c r="T98" s="28">
        <f ca="1"/>
        <v>2.3984999999999999</v>
      </c>
      <c r="U98" s="11">
        <f ca="1"/>
        <v>13.59</v>
      </c>
      <c r="V98" s="11">
        <v>4.99</v>
      </c>
      <c r="W98" s="11">
        <f ca="1"/>
        <v>0.25</v>
      </c>
      <c r="X98" s="11">
        <f ca="1"/>
        <v>0.39877104377104378</v>
      </c>
      <c r="Y98" s="11">
        <v>0</v>
      </c>
      <c r="Z98" s="11">
        <f ca="1"/>
        <v>7.951228956228956</v>
      </c>
      <c r="AA98" s="11">
        <f ca="1"/>
        <v>3.975614478114478</v>
      </c>
      <c r="AB98" s="4">
        <f ca="1"/>
        <v>45617</v>
      </c>
      <c r="AC98" s="4">
        <v>45617</v>
      </c>
      <c r="AD98" s="9">
        <v>45617</v>
      </c>
      <c r="AE98" s="9">
        <v>45618</v>
      </c>
      <c r="AF98" s="4" t="str">
        <f t="shared" ca="1" si="1"/>
        <v>2024 11</v>
      </c>
      <c r="AG98" s="8" t="str" cm="1">
        <f t="array" ref="AG98">IFERROR(_xlfn.IFS('Banco de Dados'!#REF!="AG. COMPRA","Em processamento",'Banco de Dados'!#REF!="AG. RASTREIO","Em processamento",'Banco de Dados'!$AE98&lt;&gt;"-","Faturado",'Banco de Dados'!$AD98&lt;&gt;"-","Aguardando Pix",'Banco de Dados'!$AC98&lt;&gt;"-","Pendente"),"Aguardando Liberação")</f>
        <v>Aguardando Liberação</v>
      </c>
      <c r="AH98" s="5" t="str">
        <f>IF('Banco de Dados'!$F98="-",_xlfn.CONCAT(PROPER(TEXT(AK98,"aaaa"))," ",PROPER(TEXT(AK98,"mm"))),_xlfn.CONCAT(PROPER(TEXT(E98,"aaaa"))," ",PROPER(TEXT(E98,"mm"))))</f>
        <v>2024 10</v>
      </c>
      <c r="AI98" s="9" t="str">
        <f ca="1">IF('Banco de Dados'!$AK98&lt;&gt;"-","REEMBOLSO",IFERROR(_xlfn.XLOOKUP(G98,Follow[CODRASTREIO],Follow[STATUS]),"-"))</f>
        <v>ENTREGUE</v>
      </c>
      <c r="AJ98" s="9">
        <f ca="1">IF('Banco de Dados'!$AI98="ENTREGUE",_xlfn.XLOOKUP('Banco de Dados'!$G98,Follow[CODRASTREIO],Follow[DATAATUALIZAÇÃO]),"-")</f>
        <v>45595</v>
      </c>
      <c r="AK98" s="9" t="str">
        <f ca="1"/>
        <v>-</v>
      </c>
      <c r="AL98" s="35" t="str">
        <v>SIM</v>
      </c>
      <c r="AM98" s="109" cm="1">
        <f t="array" aca="1" ref="AM98" ca="1">IF('Banco de Dados'!$AK98&lt;&gt;"-",_xlfn.IFS('Banco de Dados'!$A98="bv",IF('Banco de Dados'!$E98&lt;45641,ROUND(SUM('Banco de Dados'!$R98*_xlfn.XLOOKUP('Banco de Dados'!$P98,Sku!B:B,Sku!#REF!)*20%),2),ROUND(SUM('Banco de Dados'!$R98*_xlfn.XLOOKUP('Banco de Dados'!$P98,Sku!B:B,Sku!H:H)*20%),2)),'Banco de Dados'!$A98="GO",ROUND(_xlfn.XLOOKUP('Banco de Dados'!$P98,Sku!C:C,Sku!H:H),2),'Banco de Dados'!$A98="MEI",ROUND(_xlfn.XLOOKUP('Banco de Dados'!$P98,Sku!D:D,Sku!H:H),2)),0)</f>
        <v>0</v>
      </c>
      <c r="AN98" s="109">
        <f ca="1">IF('Banco de Dados'!$AK98&lt;&gt;"-",IF('Banco de Dados'!$F98&lt;&gt;"-",_xlfn.XLOOKUP(IFERROR(IFERROR(IFERROR(VALUE(SUBSTITUTE(MID(_xlfn.TEXTAFTER('Banco de Dados'!$F98,"Data do Pedido:
",1),1,10),"-","/")),VALUE(SUBSTITUTE(MID(_xlfn.TEXTAFTER('Banco de Dados'!$F98,"Order date:
",1),1,10),"-","/"))),VALUE(SUBSTITUTE(MID(_xlfn.TEXTAFTER('Banco de Dados'!$F98,"Fecha de pedido:
",1),1,10),"-","/"))),"-"),SMS!A:A,SMS!K:K),0),0)</f>
        <v>0</v>
      </c>
      <c r="AO98" s="109">
        <f ca="1">IF('Banco de Dados'!$AK98&lt;&gt;"-",IF('Banco de Dados'!$F98&lt;&gt;"-",IFERROR(_xlfn.XLOOKUP(_xlfn.CONCAT('Banco de Dados'!$A98,IFERROR(IFERROR(VALUE(SUBSTITUTE(MID(_xlfn.TEXTAFTER('Banco de Dados'!$F98,"Data do Pedido:
",1),1,10),"-","/")),VALUE(SUBSTITUTE(MID(_xlfn.TEXTAFTER('Banco de Dados'!$F98,"Order date:
",1),1,10),"-","/"))),0)),ProxyDD[Chave],ProxyDD[Valor por pedido]),PROXY!$P$2),0),0)</f>
        <v>0</v>
      </c>
      <c r="AP98" s="28">
        <f ca="1">IF('Banco de Dados'!$AK98&lt;&gt;"-",IF('Banco de Dados'!$AL98="NÃO",IFERROR(VALUE(SUBSTITUTE(_xlfn.TEXTAFTER('Banco de Dados'!$F98,"BRL ",1),".",",")),0),0),0)</f>
        <v>0</v>
      </c>
      <c r="AQ98" s="28">
        <f ca="1">SUM('Banco de Dados'!$AM98:$AP98)</f>
        <v>0</v>
      </c>
      <c r="AR98" s="8"/>
      <c r="AS98" s="8"/>
      <c r="AY98" s="8"/>
    </row>
    <row r="99" spans="1:51">
      <c r="A99" s="5" t="str">
        <v>BV</v>
      </c>
      <c r="B99" s="5" t="str">
        <f ca="1"/>
        <v>BV45591</v>
      </c>
      <c r="C99" s="8" t="str">
        <v>Pedido 96</v>
      </c>
      <c r="D99" s="9">
        <v>45591</v>
      </c>
      <c r="E99" s="9">
        <v>45591</v>
      </c>
      <c r="F99" s="8" t="str">
        <v>PedidoF89</v>
      </c>
      <c r="G99" s="2" t="str">
        <v>CódRastreio89</v>
      </c>
      <c r="H99" s="5">
        <v>1</v>
      </c>
      <c r="I99" s="2" t="str">
        <v>CPF 74</v>
      </c>
      <c r="J99" s="2" t="str">
        <v>Nome 74</v>
      </c>
      <c r="K99" s="8" t="str">
        <v>Tel 74</v>
      </c>
      <c r="L99" s="2" t="str">
        <v>Cep 74</v>
      </c>
      <c r="M99" s="2" t="str">
        <v>Rua 74</v>
      </c>
      <c r="N99" s="2" t="str">
        <v>Comp 74</v>
      </c>
      <c r="O99" s="2" t="str">
        <v>Suporte de Celular Branco</v>
      </c>
      <c r="P99" s="8" t="str">
        <v>16-4EDB-WMZF</v>
      </c>
      <c r="Q99" s="4">
        <v>45617</v>
      </c>
      <c r="R99" s="109">
        <v>15.99</v>
      </c>
      <c r="S99" s="11">
        <f ca="1"/>
        <v>15.99</v>
      </c>
      <c r="T99" s="28">
        <f ca="1"/>
        <v>2.3984999999999999</v>
      </c>
      <c r="U99" s="11">
        <f ca="1"/>
        <v>13.59</v>
      </c>
      <c r="V99" s="11">
        <v>4.99</v>
      </c>
      <c r="W99" s="11">
        <f ca="1"/>
        <v>0.25</v>
      </c>
      <c r="X99" s="11">
        <f ca="1"/>
        <v>0.39877104377104378</v>
      </c>
      <c r="Y99" s="11">
        <v>0</v>
      </c>
      <c r="Z99" s="11">
        <f ca="1"/>
        <v>7.951228956228956</v>
      </c>
      <c r="AA99" s="11">
        <f ca="1"/>
        <v>3.975614478114478</v>
      </c>
      <c r="AB99" s="4">
        <f ca="1"/>
        <v>45624</v>
      </c>
      <c r="AC99" s="4">
        <v>45624</v>
      </c>
      <c r="AD99" s="9">
        <v>45625</v>
      </c>
      <c r="AE99" s="9">
        <v>45625</v>
      </c>
      <c r="AF99" s="4" t="str">
        <f t="shared" ca="1" si="1"/>
        <v>2024 11</v>
      </c>
      <c r="AG99" s="8" t="str" cm="1">
        <f t="array" ref="AG99">IFERROR(_xlfn.IFS('Banco de Dados'!#REF!="AG. COMPRA","Em processamento",'Banco de Dados'!#REF!="AG. RASTREIO","Em processamento",'Banco de Dados'!$AE99&lt;&gt;"-","Faturado",'Banco de Dados'!$AD99&lt;&gt;"-","Aguardando Pix",'Banco de Dados'!$AC99&lt;&gt;"-","Pendente"),"Aguardando Liberação")</f>
        <v>Aguardando Liberação</v>
      </c>
      <c r="AH99" s="5" t="str">
        <f>IF('Banco de Dados'!$F99="-",_xlfn.CONCAT(PROPER(TEXT(AK99,"aaaa"))," ",PROPER(TEXT(AK99,"mm"))),_xlfn.CONCAT(PROPER(TEXT(E99,"aaaa"))," ",PROPER(TEXT(E99,"mm"))))</f>
        <v>2024 10</v>
      </c>
      <c r="AI99" s="9" t="str">
        <f ca="1">IF('Banco de Dados'!$AK99&lt;&gt;"-","REEMBOLSO",IFERROR(_xlfn.XLOOKUP(G99,Follow[CODRASTREIO],Follow[STATUS]),"-"))</f>
        <v>ENTREGUE</v>
      </c>
      <c r="AJ99" s="9">
        <f ca="1">IF('Banco de Dados'!$AI99="ENTREGUE",_xlfn.XLOOKUP('Banco de Dados'!$G99,Follow[CODRASTREIO],Follow[DATAATUALIZAÇÃO]),"-")</f>
        <v>45601</v>
      </c>
      <c r="AK99" s="9" t="str">
        <f ca="1"/>
        <v>-</v>
      </c>
      <c r="AL99" s="35" t="str">
        <v>SIM</v>
      </c>
      <c r="AM99" s="109" cm="1">
        <f t="array" aca="1" ref="AM99" ca="1">IF('Banco de Dados'!$AK99&lt;&gt;"-",_xlfn.IFS('Banco de Dados'!$A99="bv",IF('Banco de Dados'!$E99&lt;45641,ROUND(SUM('Banco de Dados'!$R99*_xlfn.XLOOKUP('Banco de Dados'!$P99,Sku!B:B,Sku!#REF!)*20%),2),ROUND(SUM('Banco de Dados'!$R99*_xlfn.XLOOKUP('Banco de Dados'!$P99,Sku!B:B,Sku!H:H)*20%),2)),'Banco de Dados'!$A99="GO",ROUND(_xlfn.XLOOKUP('Banco de Dados'!$P99,Sku!C:C,Sku!H:H),2),'Banco de Dados'!$A99="MEI",ROUND(_xlfn.XLOOKUP('Banco de Dados'!$P99,Sku!D:D,Sku!H:H),2)),0)</f>
        <v>0</v>
      </c>
      <c r="AN99" s="109">
        <f ca="1">IF('Banco de Dados'!$AK99&lt;&gt;"-",IF('Banco de Dados'!$F99&lt;&gt;"-",_xlfn.XLOOKUP(IFERROR(IFERROR(IFERROR(VALUE(SUBSTITUTE(MID(_xlfn.TEXTAFTER('Banco de Dados'!$F99,"Data do Pedido:
",1),1,10),"-","/")),VALUE(SUBSTITUTE(MID(_xlfn.TEXTAFTER('Banco de Dados'!$F99,"Order date:
",1),1,10),"-","/"))),VALUE(SUBSTITUTE(MID(_xlfn.TEXTAFTER('Banco de Dados'!$F99,"Fecha de pedido:
",1),1,10),"-","/"))),"-"),SMS!A:A,SMS!K:K),0),0)</f>
        <v>0</v>
      </c>
      <c r="AO99" s="109">
        <f ca="1">IF('Banco de Dados'!$AK99&lt;&gt;"-",IF('Banco de Dados'!$F99&lt;&gt;"-",IFERROR(_xlfn.XLOOKUP(_xlfn.CONCAT('Banco de Dados'!$A99,IFERROR(IFERROR(VALUE(SUBSTITUTE(MID(_xlfn.TEXTAFTER('Banco de Dados'!$F99,"Data do Pedido:
",1),1,10),"-","/")),VALUE(SUBSTITUTE(MID(_xlfn.TEXTAFTER('Banco de Dados'!$F99,"Order date:
",1),1,10),"-","/"))),0)),ProxyDD[Chave],ProxyDD[Valor por pedido]),PROXY!$P$2),0),0)</f>
        <v>0</v>
      </c>
      <c r="AP99" s="28">
        <f ca="1">IF('Banco de Dados'!$AK99&lt;&gt;"-",IF('Banco de Dados'!$AL99="NÃO",IFERROR(VALUE(SUBSTITUTE(_xlfn.TEXTAFTER('Banco de Dados'!$F99,"BRL ",1),".",",")),0),0),0)</f>
        <v>0</v>
      </c>
      <c r="AQ99" s="28">
        <f ca="1">SUM('Banco de Dados'!$AM99:$AP99)</f>
        <v>0</v>
      </c>
      <c r="AR99" s="8"/>
      <c r="AS99" s="8"/>
      <c r="AY99" s="8"/>
    </row>
    <row r="100" spans="1:51">
      <c r="A100" s="5" t="str">
        <v>BV</v>
      </c>
      <c r="B100" s="5" t="str">
        <f ca="1"/>
        <v>BV45591</v>
      </c>
      <c r="C100" s="8" t="str">
        <v>Pedido 97</v>
      </c>
      <c r="D100" s="9">
        <v>45591</v>
      </c>
      <c r="E100" s="9">
        <v>45591</v>
      </c>
      <c r="F100" s="8" t="str">
        <v>PedidoF90</v>
      </c>
      <c r="G100" s="2" t="str">
        <v>CódRastreio90</v>
      </c>
      <c r="H100" s="5">
        <v>1</v>
      </c>
      <c r="I100" s="3" t="str">
        <v>CPF 94</v>
      </c>
      <c r="J100" s="2" t="str">
        <v>Nome 94</v>
      </c>
      <c r="K100" s="8" t="str">
        <v>Tel 94</v>
      </c>
      <c r="L100" s="2" t="str">
        <v>Cep 94</v>
      </c>
      <c r="M100" s="2" t="str">
        <v>Rua 94</v>
      </c>
      <c r="N100" s="2" t="str">
        <v>Comp 94</v>
      </c>
      <c r="O100" s="2" t="str">
        <v>Suporte de Celular Branco</v>
      </c>
      <c r="P100" s="8" t="str">
        <v>16-4EDB-WMZF</v>
      </c>
      <c r="Q100" s="4">
        <v>45617</v>
      </c>
      <c r="R100" s="109">
        <v>15.99</v>
      </c>
      <c r="S100" s="11">
        <f ca="1"/>
        <v>15.99</v>
      </c>
      <c r="T100" s="28">
        <f ca="1"/>
        <v>2.3984999999999999</v>
      </c>
      <c r="U100" s="11">
        <f ca="1"/>
        <v>13.59</v>
      </c>
      <c r="V100" s="11">
        <v>4.99</v>
      </c>
      <c r="W100" s="11">
        <f ca="1"/>
        <v>0.25</v>
      </c>
      <c r="X100" s="11">
        <f ca="1"/>
        <v>0.39877104377104378</v>
      </c>
      <c r="Y100" s="11">
        <v>0</v>
      </c>
      <c r="Z100" s="11">
        <f ca="1"/>
        <v>7.951228956228956</v>
      </c>
      <c r="AA100" s="11">
        <f ca="1"/>
        <v>3.975614478114478</v>
      </c>
      <c r="AB100" s="4">
        <f ca="1"/>
        <v>45624</v>
      </c>
      <c r="AC100" s="4">
        <v>45624</v>
      </c>
      <c r="AD100" s="9">
        <v>45625</v>
      </c>
      <c r="AE100" s="9">
        <v>45625</v>
      </c>
      <c r="AF100" s="4" t="str">
        <f t="shared" ca="1" si="1"/>
        <v>2024 11</v>
      </c>
      <c r="AG100" s="8" t="str" cm="1">
        <f t="array" ref="AG100">IFERROR(_xlfn.IFS('Banco de Dados'!#REF!="AG. COMPRA","Em processamento",'Banco de Dados'!#REF!="AG. RASTREIO","Em processamento",'Banco de Dados'!$AE100&lt;&gt;"-","Faturado",'Banco de Dados'!$AD100&lt;&gt;"-","Aguardando Pix",'Banco de Dados'!$AC100&lt;&gt;"-","Pendente"),"Aguardando Liberação")</f>
        <v>Aguardando Liberação</v>
      </c>
      <c r="AH100" s="5" t="str">
        <f>IF('Banco de Dados'!$F100="-",_xlfn.CONCAT(PROPER(TEXT(AK100,"aaaa"))," ",PROPER(TEXT(AK100,"mm"))),_xlfn.CONCAT(PROPER(TEXT(E100,"aaaa"))," ",PROPER(TEXT(E100,"mm"))))</f>
        <v>2024 10</v>
      </c>
      <c r="AI100" s="9" t="str">
        <f ca="1">IF('Banco de Dados'!$AK100&lt;&gt;"-","REEMBOLSO",IFERROR(_xlfn.XLOOKUP(G100,Follow[CODRASTREIO],Follow[STATUS]),"-"))</f>
        <v>ENTREGUE</v>
      </c>
      <c r="AJ100" s="9">
        <f ca="1">IF('Banco de Dados'!$AI100="ENTREGUE",_xlfn.XLOOKUP('Banco de Dados'!$G100,Follow[CODRASTREIO],Follow[DATAATUALIZAÇÃO]),"-")</f>
        <v>45598</v>
      </c>
      <c r="AK100" s="9" t="str">
        <f ca="1"/>
        <v>-</v>
      </c>
      <c r="AL100" s="35" t="str">
        <v>SIM</v>
      </c>
      <c r="AM100" s="109" cm="1">
        <f t="array" aca="1" ref="AM100" ca="1">IF('Banco de Dados'!$AK100&lt;&gt;"-",_xlfn.IFS('Banco de Dados'!$A100="bv",IF('Banco de Dados'!$E100&lt;45641,ROUND(SUM('Banco de Dados'!$R100*_xlfn.XLOOKUP('Banco de Dados'!$P100,Sku!B:B,Sku!#REF!)*20%),2),ROUND(SUM('Banco de Dados'!$R100*_xlfn.XLOOKUP('Banco de Dados'!$P100,Sku!B:B,Sku!H:H)*20%),2)),'Banco de Dados'!$A100="GO",ROUND(_xlfn.XLOOKUP('Banco de Dados'!$P100,Sku!C:C,Sku!H:H),2),'Banco de Dados'!$A100="MEI",ROUND(_xlfn.XLOOKUP('Banco de Dados'!$P100,Sku!D:D,Sku!H:H),2)),0)</f>
        <v>0</v>
      </c>
      <c r="AN100" s="109">
        <f ca="1">IF('Banco de Dados'!$AK100&lt;&gt;"-",IF('Banco de Dados'!$F100&lt;&gt;"-",_xlfn.XLOOKUP(IFERROR(IFERROR(IFERROR(VALUE(SUBSTITUTE(MID(_xlfn.TEXTAFTER('Banco de Dados'!$F100,"Data do Pedido:
",1),1,10),"-","/")),VALUE(SUBSTITUTE(MID(_xlfn.TEXTAFTER('Banco de Dados'!$F100,"Order date:
",1),1,10),"-","/"))),VALUE(SUBSTITUTE(MID(_xlfn.TEXTAFTER('Banco de Dados'!$F100,"Fecha de pedido:
",1),1,10),"-","/"))),"-"),SMS!A:A,SMS!K:K),0),0)</f>
        <v>0</v>
      </c>
      <c r="AO100" s="109">
        <f ca="1">IF('Banco de Dados'!$AK100&lt;&gt;"-",IF('Banco de Dados'!$F100&lt;&gt;"-",IFERROR(_xlfn.XLOOKUP(_xlfn.CONCAT('Banco de Dados'!$A100,IFERROR(IFERROR(VALUE(SUBSTITUTE(MID(_xlfn.TEXTAFTER('Banco de Dados'!$F100,"Data do Pedido:
",1),1,10),"-","/")),VALUE(SUBSTITUTE(MID(_xlfn.TEXTAFTER('Banco de Dados'!$F100,"Order date:
",1),1,10),"-","/"))),0)),ProxyDD[Chave],ProxyDD[Valor por pedido]),PROXY!$P$2),0),0)</f>
        <v>0</v>
      </c>
      <c r="AP100" s="28">
        <f ca="1">IF('Banco de Dados'!$AK100&lt;&gt;"-",IF('Banco de Dados'!$AL100="NÃO",IFERROR(VALUE(SUBSTITUTE(_xlfn.TEXTAFTER('Banco de Dados'!$F100,"BRL ",1),".",",")),0),0),0)</f>
        <v>0</v>
      </c>
      <c r="AQ100" s="28">
        <f ca="1">SUM('Banco de Dados'!$AM100:$AP100)</f>
        <v>0</v>
      </c>
      <c r="AR100" s="8"/>
      <c r="AS100" s="8"/>
      <c r="AY100" s="8"/>
    </row>
    <row r="101" spans="1:51">
      <c r="A101" s="5" t="str">
        <v>BV</v>
      </c>
      <c r="B101" s="5" t="str">
        <f ca="1"/>
        <v>BV45591</v>
      </c>
      <c r="C101" s="8" t="str">
        <v>Pedido 98</v>
      </c>
      <c r="D101" s="9">
        <v>45591</v>
      </c>
      <c r="E101" s="9">
        <v>45591</v>
      </c>
      <c r="F101" s="8" t="str">
        <v>PedidoF91</v>
      </c>
      <c r="G101" s="2" t="str">
        <v>CódRastreio91</v>
      </c>
      <c r="H101" s="5">
        <v>1</v>
      </c>
      <c r="I101" s="2" t="str">
        <v>CPF 95</v>
      </c>
      <c r="J101" s="2" t="str">
        <v>Nome 95</v>
      </c>
      <c r="K101" s="8" t="str">
        <v>Tel 95</v>
      </c>
      <c r="L101" s="2" t="str">
        <v>Cep 95</v>
      </c>
      <c r="M101" s="2" t="str">
        <v>Rua 95</v>
      </c>
      <c r="N101" s="2" t="str">
        <v>Comp 95</v>
      </c>
      <c r="O101" s="2" t="str">
        <v>Mini Liquidificador</v>
      </c>
      <c r="P101" s="8" t="str">
        <v>CK-YL6M-P5Y6</v>
      </c>
      <c r="Q101" s="4">
        <v>45610</v>
      </c>
      <c r="R101" s="109">
        <v>33.99</v>
      </c>
      <c r="S101" s="11">
        <f ca="1"/>
        <v>33.99</v>
      </c>
      <c r="T101" s="28">
        <f ca="1"/>
        <v>4.4187000000000003</v>
      </c>
      <c r="U101" s="11">
        <f ca="1"/>
        <v>29.57</v>
      </c>
      <c r="V101" s="11">
        <v>9.99</v>
      </c>
      <c r="W101" s="11">
        <f ca="1"/>
        <v>0.25</v>
      </c>
      <c r="X101" s="11">
        <f ca="1"/>
        <v>0.39877104377104378</v>
      </c>
      <c r="Y101" s="11">
        <v>0</v>
      </c>
      <c r="Z101" s="11">
        <f ca="1"/>
        <v>18.931228956228956</v>
      </c>
      <c r="AA101" s="11">
        <f ca="1"/>
        <v>9.4656144781144782</v>
      </c>
      <c r="AB101" s="4">
        <f ca="1"/>
        <v>45617</v>
      </c>
      <c r="AC101" s="4">
        <v>45617</v>
      </c>
      <c r="AD101" s="9">
        <v>45617</v>
      </c>
      <c r="AE101" s="9">
        <v>45618</v>
      </c>
      <c r="AF101" s="4" t="str">
        <f t="shared" ca="1" si="1"/>
        <v>2024 11</v>
      </c>
      <c r="AG101" s="8" t="str" cm="1">
        <f t="array" ref="AG101">IFERROR(_xlfn.IFS('Banco de Dados'!#REF!="AG. COMPRA","Em processamento",'Banco de Dados'!#REF!="AG. RASTREIO","Em processamento",'Banco de Dados'!$AE101&lt;&gt;"-","Faturado",'Banco de Dados'!$AD101&lt;&gt;"-","Aguardando Pix",'Banco de Dados'!$AC101&lt;&gt;"-","Pendente"),"Aguardando Liberação")</f>
        <v>Aguardando Liberação</v>
      </c>
      <c r="AH101" s="5" t="str">
        <f>IF('Banco de Dados'!$F101="-",_xlfn.CONCAT(PROPER(TEXT(AK101,"aaaa"))," ",PROPER(TEXT(AK101,"mm"))),_xlfn.CONCAT(PROPER(TEXT(E101,"aaaa"))," ",PROPER(TEXT(E101,"mm"))))</f>
        <v>2024 10</v>
      </c>
      <c r="AI101" s="9" t="str">
        <f ca="1">IF('Banco de Dados'!$AK101&lt;&gt;"-","REEMBOLSO",IFERROR(_xlfn.XLOOKUP(G101,Follow[CODRASTREIO],Follow[STATUS]),"-"))</f>
        <v>ENTREGUE</v>
      </c>
      <c r="AJ101" s="9">
        <f ca="1">IF('Banco de Dados'!$AI101="ENTREGUE",_xlfn.XLOOKUP('Banco de Dados'!$G101,Follow[CODRASTREIO],Follow[DATAATUALIZAÇÃO]),"-")</f>
        <v>45600</v>
      </c>
      <c r="AK101" s="9" t="str">
        <f ca="1"/>
        <v>-</v>
      </c>
      <c r="AL101" s="35" t="str">
        <v>NÃO</v>
      </c>
      <c r="AM101" s="109" cm="1">
        <f t="array" aca="1" ref="AM101" ca="1">IF('Banco de Dados'!$AK101&lt;&gt;"-",_xlfn.IFS('Banco de Dados'!$A101="bv",IF('Banco de Dados'!$E101&lt;45641,ROUND(SUM('Banco de Dados'!$R101*_xlfn.XLOOKUP('Banco de Dados'!$P101,Sku!B:B,Sku!#REF!)*20%),2),ROUND(SUM('Banco de Dados'!$R101*_xlfn.XLOOKUP('Banco de Dados'!$P101,Sku!B:B,Sku!H:H)*20%),2)),'Banco de Dados'!$A101="GO",ROUND(_xlfn.XLOOKUP('Banco de Dados'!$P101,Sku!C:C,Sku!H:H),2),'Banco de Dados'!$A101="MEI",ROUND(_xlfn.XLOOKUP('Banco de Dados'!$P101,Sku!D:D,Sku!H:H),2)),0)</f>
        <v>0</v>
      </c>
      <c r="AN101" s="109">
        <f ca="1">IF('Banco de Dados'!$AK101&lt;&gt;"-",IF('Banco de Dados'!$F101&lt;&gt;"-",_xlfn.XLOOKUP(IFERROR(IFERROR(IFERROR(VALUE(SUBSTITUTE(MID(_xlfn.TEXTAFTER('Banco de Dados'!$F101,"Data do Pedido:
",1),1,10),"-","/")),VALUE(SUBSTITUTE(MID(_xlfn.TEXTAFTER('Banco de Dados'!$F101,"Order date:
",1),1,10),"-","/"))),VALUE(SUBSTITUTE(MID(_xlfn.TEXTAFTER('Banco de Dados'!$F101,"Fecha de pedido:
",1),1,10),"-","/"))),"-"),SMS!A:A,SMS!K:K),0),0)</f>
        <v>0</v>
      </c>
      <c r="AO101" s="109">
        <f ca="1">IF('Banco de Dados'!$AK101&lt;&gt;"-",IF('Banco de Dados'!$F101&lt;&gt;"-",IFERROR(_xlfn.XLOOKUP(_xlfn.CONCAT('Banco de Dados'!$A101,IFERROR(IFERROR(VALUE(SUBSTITUTE(MID(_xlfn.TEXTAFTER('Banco de Dados'!$F101,"Data do Pedido:
",1),1,10),"-","/")),VALUE(SUBSTITUTE(MID(_xlfn.TEXTAFTER('Banco de Dados'!$F101,"Order date:
",1),1,10),"-","/"))),0)),ProxyDD[Chave],ProxyDD[Valor por pedido]),PROXY!$P$2),0),0)</f>
        <v>0</v>
      </c>
      <c r="AP101" s="28">
        <f ca="1">IF('Banco de Dados'!$AK101&lt;&gt;"-",IF('Banco de Dados'!$AL101="NÃO",IFERROR(VALUE(SUBSTITUTE(_xlfn.TEXTAFTER('Banco de Dados'!$F101,"BRL ",1),".",",")),0),0),0)</f>
        <v>0</v>
      </c>
      <c r="AQ101" s="28">
        <f ca="1">SUM('Banco de Dados'!$AM101:$AP101)</f>
        <v>0</v>
      </c>
      <c r="AR101" s="8"/>
      <c r="AS101" s="8"/>
      <c r="AY101" s="8"/>
    </row>
    <row r="102" spans="1:51">
      <c r="A102" s="5" t="str">
        <v>BV</v>
      </c>
      <c r="B102" s="5" t="str">
        <f ca="1"/>
        <v>BV45591</v>
      </c>
      <c r="C102" s="8" t="str">
        <v>Pedido 99</v>
      </c>
      <c r="D102" s="9">
        <v>45591</v>
      </c>
      <c r="E102" s="9">
        <v>45591</v>
      </c>
      <c r="F102" s="8" t="str">
        <v>PedidoF92</v>
      </c>
      <c r="G102" s="2" t="str">
        <v>CódRastreio92</v>
      </c>
      <c r="H102" s="5">
        <v>1</v>
      </c>
      <c r="I102" s="3" t="str">
        <v>CPF 96</v>
      </c>
      <c r="J102" s="2" t="str">
        <v>Nome 96</v>
      </c>
      <c r="K102" s="8" t="str">
        <v>Tel 96</v>
      </c>
      <c r="L102" s="2" t="str">
        <v>Cep 96</v>
      </c>
      <c r="M102" s="2" t="str">
        <v>Rua 96</v>
      </c>
      <c r="N102" s="2" t="str">
        <v>Comp 96</v>
      </c>
      <c r="O102" s="2" t="str">
        <v>Mini Liquidificador</v>
      </c>
      <c r="P102" s="8" t="str">
        <v>CK-YL6M-P5Y6</v>
      </c>
      <c r="Q102" s="4">
        <v>45608</v>
      </c>
      <c r="R102" s="109">
        <v>23.99</v>
      </c>
      <c r="S102" s="11">
        <f ca="1"/>
        <v>23.99</v>
      </c>
      <c r="T102" s="28">
        <f ca="1"/>
        <v>3.1187</v>
      </c>
      <c r="U102" s="11">
        <f ca="1"/>
        <v>20.87</v>
      </c>
      <c r="V102" s="11">
        <v>9.99</v>
      </c>
      <c r="W102" s="11">
        <f ca="1"/>
        <v>0.25</v>
      </c>
      <c r="X102" s="11">
        <f ca="1"/>
        <v>0.39877104377104378</v>
      </c>
      <c r="Y102" s="11">
        <v>0</v>
      </c>
      <c r="Z102" s="11">
        <f ca="1"/>
        <v>10.231228956228957</v>
      </c>
      <c r="AA102" s="11">
        <f ca="1"/>
        <v>5.1156144781144786</v>
      </c>
      <c r="AB102" s="4">
        <f ca="1"/>
        <v>45615</v>
      </c>
      <c r="AC102" s="4">
        <v>45615</v>
      </c>
      <c r="AD102" s="9">
        <v>45617</v>
      </c>
      <c r="AE102" s="9">
        <v>45618</v>
      </c>
      <c r="AF102" s="4" t="str">
        <f t="shared" ca="1" si="1"/>
        <v>2024 11</v>
      </c>
      <c r="AG102" s="8" t="str" cm="1">
        <f t="array" ref="AG102">IFERROR(_xlfn.IFS('Banco de Dados'!#REF!="AG. COMPRA","Em processamento",'Banco de Dados'!#REF!="AG. RASTREIO","Em processamento",'Banco de Dados'!$AE102&lt;&gt;"-","Faturado",'Banco de Dados'!$AD102&lt;&gt;"-","Aguardando Pix",'Banco de Dados'!$AC102&lt;&gt;"-","Pendente"),"Aguardando Liberação")</f>
        <v>Aguardando Liberação</v>
      </c>
      <c r="AH102" s="5" t="str">
        <f>IF('Banco de Dados'!$F102="-",_xlfn.CONCAT(PROPER(TEXT(AK102,"aaaa"))," ",PROPER(TEXT(AK102,"mm"))),_xlfn.CONCAT(PROPER(TEXT(E102,"aaaa"))," ",PROPER(TEXT(E102,"mm"))))</f>
        <v>2024 10</v>
      </c>
      <c r="AI102" s="9" t="str">
        <f ca="1">IF('Banco de Dados'!$AK102&lt;&gt;"-","REEMBOLSO",IFERROR(_xlfn.XLOOKUP(G102,Follow[CODRASTREIO],Follow[STATUS]),"-"))</f>
        <v>ENTREGUE</v>
      </c>
      <c r="AJ102" s="9">
        <f ca="1">IF('Banco de Dados'!$AI102="ENTREGUE",_xlfn.XLOOKUP('Banco de Dados'!$G102,Follow[CODRASTREIO],Follow[DATAATUALIZAÇÃO]),"-")</f>
        <v>45595</v>
      </c>
      <c r="AK102" s="9" t="str">
        <f ca="1"/>
        <v>-</v>
      </c>
      <c r="AL102" s="35" t="str">
        <v>-</v>
      </c>
      <c r="AM102" s="109" cm="1">
        <f t="array" aca="1" ref="AM102" ca="1">IF('Banco de Dados'!$AK102&lt;&gt;"-",_xlfn.IFS('Banco de Dados'!$A102="bv",IF('Banco de Dados'!$E102&lt;45641,ROUND(SUM('Banco de Dados'!$R102*_xlfn.XLOOKUP('Banco de Dados'!$P102,Sku!B:B,Sku!#REF!)*20%),2),ROUND(SUM('Banco de Dados'!$R102*_xlfn.XLOOKUP('Banco de Dados'!$P102,Sku!B:B,Sku!H:H)*20%),2)),'Banco de Dados'!$A102="GO",ROUND(_xlfn.XLOOKUP('Banco de Dados'!$P102,Sku!C:C,Sku!H:H),2),'Banco de Dados'!$A102="MEI",ROUND(_xlfn.XLOOKUP('Banco de Dados'!$P102,Sku!D:D,Sku!H:H),2)),0)</f>
        <v>0</v>
      </c>
      <c r="AN102" s="109">
        <f ca="1">IF('Banco de Dados'!$AK102&lt;&gt;"-",IF('Banco de Dados'!$F102&lt;&gt;"-",_xlfn.XLOOKUP(IFERROR(IFERROR(IFERROR(VALUE(SUBSTITUTE(MID(_xlfn.TEXTAFTER('Banco de Dados'!$F102,"Data do Pedido:
",1),1,10),"-","/")),VALUE(SUBSTITUTE(MID(_xlfn.TEXTAFTER('Banco de Dados'!$F102,"Order date:
",1),1,10),"-","/"))),VALUE(SUBSTITUTE(MID(_xlfn.TEXTAFTER('Banco de Dados'!$F102,"Fecha de pedido:
",1),1,10),"-","/"))),"-"),SMS!A:A,SMS!K:K),0),0)</f>
        <v>0</v>
      </c>
      <c r="AO102" s="109">
        <f ca="1">IF('Banco de Dados'!$AK102&lt;&gt;"-",IF('Banco de Dados'!$F102&lt;&gt;"-",IFERROR(_xlfn.XLOOKUP(_xlfn.CONCAT('Banco de Dados'!$A102,IFERROR(IFERROR(VALUE(SUBSTITUTE(MID(_xlfn.TEXTAFTER('Banco de Dados'!$F102,"Data do Pedido:
",1),1,10),"-","/")),VALUE(SUBSTITUTE(MID(_xlfn.TEXTAFTER('Banco de Dados'!$F102,"Order date:
",1),1,10),"-","/"))),0)),ProxyDD[Chave],ProxyDD[Valor por pedido]),PROXY!$P$2),0),0)</f>
        <v>0</v>
      </c>
      <c r="AP102" s="28">
        <f ca="1">IF('Banco de Dados'!$AK102&lt;&gt;"-",IF('Banco de Dados'!$AL102="NÃO",IFERROR(VALUE(SUBSTITUTE(_xlfn.TEXTAFTER('Banco de Dados'!$F102,"BRL ",1),".",",")),0),0),0)</f>
        <v>0</v>
      </c>
      <c r="AQ102" s="28">
        <f ca="1">SUM('Banco de Dados'!$AM102:$AP102)</f>
        <v>0</v>
      </c>
      <c r="AR102" s="8"/>
      <c r="AS102" s="8"/>
      <c r="AY102" s="8"/>
    </row>
    <row r="103" spans="1:51">
      <c r="A103" s="5" t="str">
        <v>BV</v>
      </c>
      <c r="B103" s="5" t="str">
        <f ca="1"/>
        <v>BV45591</v>
      </c>
      <c r="C103" s="8" t="str">
        <v>Pedido 100</v>
      </c>
      <c r="D103" s="9">
        <v>45591</v>
      </c>
      <c r="E103" s="9">
        <v>45591</v>
      </c>
      <c r="F103" s="8" t="str">
        <v>PedidoF93</v>
      </c>
      <c r="G103" s="2" t="str">
        <v>CódRastreio93</v>
      </c>
      <c r="H103" s="5">
        <v>1</v>
      </c>
      <c r="I103" s="3" t="str">
        <v>CPF 97</v>
      </c>
      <c r="J103" s="2" t="str">
        <v>Nome 97</v>
      </c>
      <c r="K103" s="8" t="str">
        <v>Tel 97</v>
      </c>
      <c r="L103" s="2" t="str">
        <v>Cep 97</v>
      </c>
      <c r="M103" s="2" t="str">
        <v>Rua 97</v>
      </c>
      <c r="N103" s="2" t="str">
        <v>Comp 97</v>
      </c>
      <c r="O103" s="2" t="str">
        <v>Suporte de Celular Preto</v>
      </c>
      <c r="P103" s="8" t="str">
        <v>9G-BN48-QAPH</v>
      </c>
      <c r="Q103" s="4">
        <v>45610</v>
      </c>
      <c r="R103" s="109">
        <v>15.2</v>
      </c>
      <c r="S103" s="11">
        <f ca="1"/>
        <v>15.2</v>
      </c>
      <c r="T103" s="28">
        <f ca="1"/>
        <v>2.2799999999999998</v>
      </c>
      <c r="U103" s="11">
        <f ca="1"/>
        <v>12.92</v>
      </c>
      <c r="V103" s="11">
        <v>4.99</v>
      </c>
      <c r="W103" s="11">
        <f ca="1"/>
        <v>0.25</v>
      </c>
      <c r="X103" s="11">
        <f ca="1"/>
        <v>0.39877104377104378</v>
      </c>
      <c r="Y103" s="11">
        <v>0</v>
      </c>
      <c r="Z103" s="11">
        <f ca="1"/>
        <v>7.2812289562289561</v>
      </c>
      <c r="AA103" s="11">
        <f ca="1"/>
        <v>3.640614478114478</v>
      </c>
      <c r="AB103" s="4">
        <f ca="1"/>
        <v>45617</v>
      </c>
      <c r="AC103" s="4">
        <v>45617</v>
      </c>
      <c r="AD103" s="9">
        <v>45617</v>
      </c>
      <c r="AE103" s="9">
        <v>45618</v>
      </c>
      <c r="AF103" s="4" t="str">
        <f t="shared" ca="1" si="1"/>
        <v>2024 11</v>
      </c>
      <c r="AG103" s="8" t="str" cm="1">
        <f t="array" ref="AG103">IFERROR(_xlfn.IFS('Banco de Dados'!#REF!="AG. COMPRA","Em processamento",'Banco de Dados'!#REF!="AG. RASTREIO","Em processamento",'Banco de Dados'!$AE103&lt;&gt;"-","Faturado",'Banco de Dados'!$AD103&lt;&gt;"-","Aguardando Pix",'Banco de Dados'!$AC103&lt;&gt;"-","Pendente"),"Aguardando Liberação")</f>
        <v>Aguardando Liberação</v>
      </c>
      <c r="AH103" s="5" t="str">
        <f>IF('Banco de Dados'!$F103="-",_xlfn.CONCAT(PROPER(TEXT(AK103,"aaaa"))," ",PROPER(TEXT(AK103,"mm"))),_xlfn.CONCAT(PROPER(TEXT(E103,"aaaa"))," ",PROPER(TEXT(E103,"mm"))))</f>
        <v>2024 10</v>
      </c>
      <c r="AI103" s="9" t="str">
        <f ca="1">IF('Banco de Dados'!$AK103&lt;&gt;"-","REEMBOLSO",IFERROR(_xlfn.XLOOKUP(G103,Follow[CODRASTREIO],Follow[STATUS]),"-"))</f>
        <v>ENTREGUE</v>
      </c>
      <c r="AJ103" s="9">
        <f ca="1">IF('Banco de Dados'!$AI103="ENTREGUE",_xlfn.XLOOKUP('Banco de Dados'!$G103,Follow[CODRASTREIO],Follow[DATAATUALIZAÇÃO]),"-")</f>
        <v>45596</v>
      </c>
      <c r="AK103" s="9" t="str">
        <f ca="1"/>
        <v>-</v>
      </c>
      <c r="AL103" s="35" t="str">
        <v>-</v>
      </c>
      <c r="AM103" s="109" cm="1">
        <f t="array" aca="1" ref="AM103" ca="1">IF('Banco de Dados'!$AK103&lt;&gt;"-",_xlfn.IFS('Banco de Dados'!$A103="bv",IF('Banco de Dados'!$E103&lt;45641,ROUND(SUM('Banco de Dados'!$R103*_xlfn.XLOOKUP('Banco de Dados'!$P103,Sku!B:B,Sku!#REF!)*20%),2),ROUND(SUM('Banco de Dados'!$R103*_xlfn.XLOOKUP('Banco de Dados'!$P103,Sku!B:B,Sku!H:H)*20%),2)),'Banco de Dados'!$A103="GO",ROUND(_xlfn.XLOOKUP('Banco de Dados'!$P103,Sku!C:C,Sku!H:H),2),'Banco de Dados'!$A103="MEI",ROUND(_xlfn.XLOOKUP('Banco de Dados'!$P103,Sku!D:D,Sku!H:H),2)),0)</f>
        <v>0</v>
      </c>
      <c r="AN103" s="109">
        <f ca="1">IF('Banco de Dados'!$AK103&lt;&gt;"-",IF('Banco de Dados'!$F103&lt;&gt;"-",_xlfn.XLOOKUP(IFERROR(IFERROR(IFERROR(VALUE(SUBSTITUTE(MID(_xlfn.TEXTAFTER('Banco de Dados'!$F103,"Data do Pedido:
",1),1,10),"-","/")),VALUE(SUBSTITUTE(MID(_xlfn.TEXTAFTER('Banco de Dados'!$F103,"Order date:
",1),1,10),"-","/"))),VALUE(SUBSTITUTE(MID(_xlfn.TEXTAFTER('Banco de Dados'!$F103,"Fecha de pedido:
",1),1,10),"-","/"))),"-"),SMS!A:A,SMS!K:K),0),0)</f>
        <v>0</v>
      </c>
      <c r="AO103" s="109">
        <f ca="1">IF('Banco de Dados'!$AK103&lt;&gt;"-",IF('Banco de Dados'!$F103&lt;&gt;"-",IFERROR(_xlfn.XLOOKUP(_xlfn.CONCAT('Banco de Dados'!$A103,IFERROR(IFERROR(VALUE(SUBSTITUTE(MID(_xlfn.TEXTAFTER('Banco de Dados'!$F103,"Data do Pedido:
",1),1,10),"-","/")),VALUE(SUBSTITUTE(MID(_xlfn.TEXTAFTER('Banco de Dados'!$F103,"Order date:
",1),1,10),"-","/"))),0)),ProxyDD[Chave],ProxyDD[Valor por pedido]),PROXY!$P$2),0),0)</f>
        <v>0</v>
      </c>
      <c r="AP103" s="28">
        <f ca="1">IF('Banco de Dados'!$AK103&lt;&gt;"-",IF('Banco de Dados'!$AL103="NÃO",IFERROR(VALUE(SUBSTITUTE(_xlfn.TEXTAFTER('Banco de Dados'!$F103,"BRL ",1),".",",")),0),0),0)</f>
        <v>0</v>
      </c>
      <c r="AQ103" s="28">
        <f ca="1">SUM('Banco de Dados'!$AM103:$AP103)</f>
        <v>0</v>
      </c>
      <c r="AR103" s="8"/>
      <c r="AS103" s="8"/>
      <c r="AY103" s="8"/>
    </row>
    <row r="104" spans="1:51">
      <c r="A104" s="5" t="str">
        <v>BV</v>
      </c>
      <c r="B104" s="5" t="str">
        <f ca="1"/>
        <v>BV45591</v>
      </c>
      <c r="C104" s="8" t="str">
        <v>Pedido 101</v>
      </c>
      <c r="D104" s="9">
        <v>45591</v>
      </c>
      <c r="E104" s="9">
        <v>45591</v>
      </c>
      <c r="F104" s="8" t="str">
        <v>PedidoF94</v>
      </c>
      <c r="G104" s="2" t="str">
        <v>CódRastreio94</v>
      </c>
      <c r="H104" s="5">
        <v>1</v>
      </c>
      <c r="I104" s="3" t="str">
        <v>CPF 98</v>
      </c>
      <c r="J104" s="2" t="str">
        <v>Nome 98</v>
      </c>
      <c r="K104" s="8" t="str">
        <v>Tel 98</v>
      </c>
      <c r="L104" s="2" t="str">
        <v>Cep 98</v>
      </c>
      <c r="M104" s="2" t="str">
        <v>Rua 98</v>
      </c>
      <c r="N104" s="2" t="str">
        <v>Comp 98</v>
      </c>
      <c r="O104" s="2" t="str">
        <v>Suporte de Celular Preto</v>
      </c>
      <c r="P104" s="8" t="str">
        <v>9G-BN48-QAPH</v>
      </c>
      <c r="Q104" s="4">
        <v>45617</v>
      </c>
      <c r="R104" s="109">
        <v>15.2</v>
      </c>
      <c r="S104" s="11">
        <f ca="1"/>
        <v>15.2</v>
      </c>
      <c r="T104" s="28">
        <f ca="1"/>
        <v>2.2799999999999998</v>
      </c>
      <c r="U104" s="11">
        <f ca="1"/>
        <v>12.92</v>
      </c>
      <c r="V104" s="11">
        <v>4.99</v>
      </c>
      <c r="W104" s="11">
        <f ca="1"/>
        <v>0.25</v>
      </c>
      <c r="X104" s="11">
        <f ca="1"/>
        <v>0.39877104377104378</v>
      </c>
      <c r="Y104" s="11">
        <v>0</v>
      </c>
      <c r="Z104" s="11">
        <f ca="1"/>
        <v>7.2812289562289561</v>
      </c>
      <c r="AA104" s="11">
        <f ca="1"/>
        <v>3.640614478114478</v>
      </c>
      <c r="AB104" s="4">
        <f ca="1"/>
        <v>45624</v>
      </c>
      <c r="AC104" s="4">
        <v>45624</v>
      </c>
      <c r="AD104" s="9">
        <v>45625</v>
      </c>
      <c r="AE104" s="9">
        <v>45625</v>
      </c>
      <c r="AF104" s="4" t="str">
        <f t="shared" ca="1" si="1"/>
        <v>2024 11</v>
      </c>
      <c r="AG104" s="8" t="str" cm="1">
        <f t="array" ref="AG104">IFERROR(_xlfn.IFS('Banco de Dados'!#REF!="AG. COMPRA","Em processamento",'Banco de Dados'!#REF!="AG. RASTREIO","Em processamento",'Banco de Dados'!$AE104&lt;&gt;"-","Faturado",'Banco de Dados'!$AD104&lt;&gt;"-","Aguardando Pix",'Banco de Dados'!$AC104&lt;&gt;"-","Pendente"),"Aguardando Liberação")</f>
        <v>Aguardando Liberação</v>
      </c>
      <c r="AH104" s="5" t="str">
        <f>IF('Banco de Dados'!$F104="-",_xlfn.CONCAT(PROPER(TEXT(AK104,"aaaa"))," ",PROPER(TEXT(AK104,"mm"))),_xlfn.CONCAT(PROPER(TEXT(E104,"aaaa"))," ",PROPER(TEXT(E104,"mm"))))</f>
        <v>2024 10</v>
      </c>
      <c r="AI104" s="9" t="str">
        <f ca="1">IF('Banco de Dados'!$AK104&lt;&gt;"-","REEMBOLSO",IFERROR(_xlfn.XLOOKUP(G104,Follow[CODRASTREIO],Follow[STATUS]),"-"))</f>
        <v>ENTREGUE</v>
      </c>
      <c r="AJ104" s="9">
        <f ca="1">IF('Banco de Dados'!$AI104="ENTREGUE",_xlfn.XLOOKUP('Banco de Dados'!$G104,Follow[CODRASTREIO],Follow[DATAATUALIZAÇÃO]),"-")</f>
        <v>45598</v>
      </c>
      <c r="AK104" s="9" t="str">
        <f ca="1"/>
        <v>-</v>
      </c>
      <c r="AL104" s="35" t="str">
        <v>NÃO</v>
      </c>
      <c r="AM104" s="109" cm="1">
        <f t="array" aca="1" ref="AM104" ca="1">IF('Banco de Dados'!$AK104&lt;&gt;"-",_xlfn.IFS('Banco de Dados'!$A104="bv",IF('Banco de Dados'!$E104&lt;45641,ROUND(SUM('Banco de Dados'!$R104*_xlfn.XLOOKUP('Banco de Dados'!$P104,Sku!B:B,Sku!#REF!)*20%),2),ROUND(SUM('Banco de Dados'!$R104*_xlfn.XLOOKUP('Banco de Dados'!$P104,Sku!B:B,Sku!H:H)*20%),2)),'Banco de Dados'!$A104="GO",ROUND(_xlfn.XLOOKUP('Banco de Dados'!$P104,Sku!C:C,Sku!H:H),2),'Banco de Dados'!$A104="MEI",ROUND(_xlfn.XLOOKUP('Banco de Dados'!$P104,Sku!D:D,Sku!H:H),2)),0)</f>
        <v>0</v>
      </c>
      <c r="AN104" s="109">
        <f ca="1">IF('Banco de Dados'!$AK104&lt;&gt;"-",IF('Banco de Dados'!$F104&lt;&gt;"-",_xlfn.XLOOKUP(IFERROR(IFERROR(IFERROR(VALUE(SUBSTITUTE(MID(_xlfn.TEXTAFTER('Banco de Dados'!$F104,"Data do Pedido:
",1),1,10),"-","/")),VALUE(SUBSTITUTE(MID(_xlfn.TEXTAFTER('Banco de Dados'!$F104,"Order date:
",1),1,10),"-","/"))),VALUE(SUBSTITUTE(MID(_xlfn.TEXTAFTER('Banco de Dados'!$F104,"Fecha de pedido:
",1),1,10),"-","/"))),"-"),SMS!A:A,SMS!K:K),0),0)</f>
        <v>0</v>
      </c>
      <c r="AO104" s="109">
        <f ca="1">IF('Banco de Dados'!$AK104&lt;&gt;"-",IF('Banco de Dados'!$F104&lt;&gt;"-",IFERROR(_xlfn.XLOOKUP(_xlfn.CONCAT('Banco de Dados'!$A104,IFERROR(IFERROR(VALUE(SUBSTITUTE(MID(_xlfn.TEXTAFTER('Banco de Dados'!$F104,"Data do Pedido:
",1),1,10),"-","/")),VALUE(SUBSTITUTE(MID(_xlfn.TEXTAFTER('Banco de Dados'!$F104,"Order date:
",1),1,10),"-","/"))),0)),ProxyDD[Chave],ProxyDD[Valor por pedido]),PROXY!$P$2),0),0)</f>
        <v>0</v>
      </c>
      <c r="AP104" s="28">
        <f ca="1">IF('Banco de Dados'!$AK104&lt;&gt;"-",IF('Banco de Dados'!$AL104="NÃO",IFERROR(VALUE(SUBSTITUTE(_xlfn.TEXTAFTER('Banco de Dados'!$F104,"BRL ",1),".",",")),0),0),0)</f>
        <v>0</v>
      </c>
      <c r="AQ104" s="28">
        <f ca="1">SUM('Banco de Dados'!$AM104:$AP104)</f>
        <v>0</v>
      </c>
      <c r="AR104" s="8"/>
      <c r="AS104" s="8"/>
      <c r="AY104" s="8"/>
    </row>
    <row r="105" spans="1:51">
      <c r="A105" s="5" t="str">
        <v>BV</v>
      </c>
      <c r="B105" s="5" t="str">
        <f ca="1"/>
        <v>BV45591</v>
      </c>
      <c r="C105" s="8" t="str">
        <v>Pedido 102</v>
      </c>
      <c r="D105" s="9">
        <v>45591</v>
      </c>
      <c r="E105" s="9">
        <v>45591</v>
      </c>
      <c r="F105" s="8" t="str">
        <v>PedidoF95</v>
      </c>
      <c r="G105" s="2" t="str">
        <v>CódRastreio95</v>
      </c>
      <c r="H105" s="5">
        <v>1</v>
      </c>
      <c r="I105" s="3" t="str">
        <v>CPF 99</v>
      </c>
      <c r="J105" s="2" t="str">
        <v>Nome 99</v>
      </c>
      <c r="K105" s="8" t="str">
        <v>Tel 99</v>
      </c>
      <c r="L105" s="2" t="str">
        <v>Cep 99</v>
      </c>
      <c r="M105" s="2" t="str">
        <v>Rua 99</v>
      </c>
      <c r="N105" s="2" t="str">
        <v>Comp 99</v>
      </c>
      <c r="O105" s="2" t="str">
        <v>Balança</v>
      </c>
      <c r="P105" s="8" t="str">
        <v>P4-K63S-8KOM</v>
      </c>
      <c r="Q105" s="4">
        <v>45610</v>
      </c>
      <c r="R105" s="109">
        <v>15.98</v>
      </c>
      <c r="S105" s="11">
        <f ca="1"/>
        <v>15.98</v>
      </c>
      <c r="T105" s="28">
        <f ca="1"/>
        <v>2.0773999999999999</v>
      </c>
      <c r="U105" s="11">
        <f ca="1"/>
        <v>13.9</v>
      </c>
      <c r="V105" s="11">
        <v>8.74</v>
      </c>
      <c r="W105" s="11">
        <f ca="1"/>
        <v>0.25</v>
      </c>
      <c r="X105" s="11">
        <f ca="1"/>
        <v>0.39877104377104378</v>
      </c>
      <c r="Y105" s="11">
        <v>0</v>
      </c>
      <c r="Z105" s="11">
        <f ca="1"/>
        <v>4.5112289562289565</v>
      </c>
      <c r="AA105" s="11">
        <f ca="1"/>
        <v>2.2556144781144782</v>
      </c>
      <c r="AB105" s="4">
        <f ca="1"/>
        <v>45617</v>
      </c>
      <c r="AC105" s="4">
        <v>45617</v>
      </c>
      <c r="AD105" s="9">
        <v>45617</v>
      </c>
      <c r="AE105" s="9">
        <v>45618</v>
      </c>
      <c r="AF105" s="4" t="str">
        <f t="shared" ca="1" si="1"/>
        <v>2024 11</v>
      </c>
      <c r="AG105" s="8" t="str" cm="1">
        <f t="array" ref="AG105">IFERROR(_xlfn.IFS('Banco de Dados'!#REF!="AG. COMPRA","Em processamento",'Banco de Dados'!#REF!="AG. RASTREIO","Em processamento",'Banco de Dados'!$AE105&lt;&gt;"-","Faturado",'Banco de Dados'!$AD105&lt;&gt;"-","Aguardando Pix",'Banco de Dados'!$AC105&lt;&gt;"-","Pendente"),"Aguardando Liberação")</f>
        <v>Aguardando Liberação</v>
      </c>
      <c r="AH105" s="5" t="str">
        <f>IF('Banco de Dados'!$F105="-",_xlfn.CONCAT(PROPER(TEXT(AK105,"aaaa"))," ",PROPER(TEXT(AK105,"mm"))),_xlfn.CONCAT(PROPER(TEXT(E105,"aaaa"))," ",PROPER(TEXT(E105,"mm"))))</f>
        <v>2024 10</v>
      </c>
      <c r="AI105" s="9" t="str">
        <f ca="1">IF('Banco de Dados'!$AK105&lt;&gt;"-","REEMBOLSO",IFERROR(_xlfn.XLOOKUP(G105,Follow[CODRASTREIO],Follow[STATUS]),"-"))</f>
        <v>ENTREGUE</v>
      </c>
      <c r="AJ105" s="9">
        <f ca="1">IF('Banco de Dados'!$AI105="ENTREGUE",_xlfn.XLOOKUP('Banco de Dados'!$G105,Follow[CODRASTREIO],Follow[DATAATUALIZAÇÃO]),"-")</f>
        <v>45596</v>
      </c>
      <c r="AK105" s="9" t="str">
        <f ca="1"/>
        <v>-</v>
      </c>
      <c r="AL105" s="35" t="str">
        <v>NÃO</v>
      </c>
      <c r="AM105" s="109" cm="1">
        <f t="array" aca="1" ref="AM105" ca="1">IF('Banco de Dados'!$AK105&lt;&gt;"-",_xlfn.IFS('Banco de Dados'!$A105="bv",IF('Banco de Dados'!$E105&lt;45641,ROUND(SUM('Banco de Dados'!$R105*_xlfn.XLOOKUP('Banco de Dados'!$P105,Sku!B:B,Sku!#REF!)*20%),2),ROUND(SUM('Banco de Dados'!$R105*_xlfn.XLOOKUP('Banco de Dados'!$P105,Sku!B:B,Sku!H:H)*20%),2)),'Banco de Dados'!$A105="GO",ROUND(_xlfn.XLOOKUP('Banco de Dados'!$P105,Sku!C:C,Sku!H:H),2),'Banco de Dados'!$A105="MEI",ROUND(_xlfn.XLOOKUP('Banco de Dados'!$P105,Sku!D:D,Sku!H:H),2)),0)</f>
        <v>0</v>
      </c>
      <c r="AN105" s="109">
        <f ca="1">IF('Banco de Dados'!$AK105&lt;&gt;"-",IF('Banco de Dados'!$F105&lt;&gt;"-",_xlfn.XLOOKUP(IFERROR(IFERROR(IFERROR(VALUE(SUBSTITUTE(MID(_xlfn.TEXTAFTER('Banco de Dados'!$F105,"Data do Pedido:
",1),1,10),"-","/")),VALUE(SUBSTITUTE(MID(_xlfn.TEXTAFTER('Banco de Dados'!$F105,"Order date:
",1),1,10),"-","/"))),VALUE(SUBSTITUTE(MID(_xlfn.TEXTAFTER('Banco de Dados'!$F105,"Fecha de pedido:
",1),1,10),"-","/"))),"-"),SMS!A:A,SMS!K:K),0),0)</f>
        <v>0</v>
      </c>
      <c r="AO105" s="109">
        <f ca="1">IF('Banco de Dados'!$AK105&lt;&gt;"-",IF('Banco de Dados'!$F105&lt;&gt;"-",IFERROR(_xlfn.XLOOKUP(_xlfn.CONCAT('Banco de Dados'!$A105,IFERROR(IFERROR(VALUE(SUBSTITUTE(MID(_xlfn.TEXTAFTER('Banco de Dados'!$F105,"Data do Pedido:
",1),1,10),"-","/")),VALUE(SUBSTITUTE(MID(_xlfn.TEXTAFTER('Banco de Dados'!$F105,"Order date:
",1),1,10),"-","/"))),0)),ProxyDD[Chave],ProxyDD[Valor por pedido]),PROXY!$P$2),0),0)</f>
        <v>0</v>
      </c>
      <c r="AP105" s="28">
        <f ca="1">IF('Banco de Dados'!$AK105&lt;&gt;"-",IF('Banco de Dados'!$AL105="NÃO",IFERROR(VALUE(SUBSTITUTE(_xlfn.TEXTAFTER('Banco de Dados'!$F105,"BRL ",1),".",",")),0),0),0)</f>
        <v>0</v>
      </c>
      <c r="AQ105" s="28">
        <f ca="1">SUM('Banco de Dados'!$AM105:$AP105)</f>
        <v>0</v>
      </c>
      <c r="AR105" s="8"/>
      <c r="AS105" s="8"/>
      <c r="AY105" s="8"/>
    </row>
    <row r="106" spans="1:51">
      <c r="A106" s="5" t="str">
        <v>BV</v>
      </c>
      <c r="B106" s="5" t="str">
        <f ca="1"/>
        <v>BV45591</v>
      </c>
      <c r="C106" s="8" t="str">
        <v>Pedido 103</v>
      </c>
      <c r="D106" s="9">
        <v>45591</v>
      </c>
      <c r="E106" s="9">
        <v>45591</v>
      </c>
      <c r="F106" s="8" t="str">
        <v>PedidoF96</v>
      </c>
      <c r="G106" s="2" t="str">
        <v>CódRastreio96</v>
      </c>
      <c r="H106" s="5">
        <v>1</v>
      </c>
      <c r="I106" s="3" t="str">
        <v>CPF 100</v>
      </c>
      <c r="J106" s="2" t="str">
        <v>Nome 100</v>
      </c>
      <c r="K106" s="8" t="str">
        <v>Tel 100</v>
      </c>
      <c r="L106" s="2" t="str">
        <v>Cep 100</v>
      </c>
      <c r="M106" s="2" t="str">
        <v>Rua 100</v>
      </c>
      <c r="N106" s="2" t="str">
        <v>Comp 100</v>
      </c>
      <c r="O106" s="2" t="str">
        <v>Bomba d'agua</v>
      </c>
      <c r="P106" s="8" t="str">
        <v>DJ-RO5O-43GF</v>
      </c>
      <c r="Q106" s="4">
        <v>45617</v>
      </c>
      <c r="R106" s="109">
        <v>18.3</v>
      </c>
      <c r="S106" s="11">
        <f ca="1"/>
        <v>18.3</v>
      </c>
      <c r="T106" s="28">
        <f ca="1"/>
        <v>2.5620000000000003</v>
      </c>
      <c r="U106" s="11">
        <f ca="1"/>
        <v>15.74</v>
      </c>
      <c r="V106" s="11">
        <v>4.99</v>
      </c>
      <c r="W106" s="11">
        <f ca="1"/>
        <v>0.25</v>
      </c>
      <c r="X106" s="11">
        <f ca="1"/>
        <v>0.39877104377104378</v>
      </c>
      <c r="Y106" s="11">
        <v>0</v>
      </c>
      <c r="Z106" s="11">
        <f ca="1"/>
        <v>10.101228956228956</v>
      </c>
      <c r="AA106" s="11">
        <f ca="1"/>
        <v>5.0506144781144782</v>
      </c>
      <c r="AB106" s="4">
        <f ca="1"/>
        <v>45624</v>
      </c>
      <c r="AC106" s="4">
        <v>45624</v>
      </c>
      <c r="AD106" s="9">
        <v>45625</v>
      </c>
      <c r="AE106" s="9">
        <v>45625</v>
      </c>
      <c r="AF106" s="4" t="str">
        <f t="shared" ca="1" si="1"/>
        <v>2024 11</v>
      </c>
      <c r="AG106" s="8" t="str" cm="1">
        <f t="array" ref="AG106">IFERROR(_xlfn.IFS('Banco de Dados'!#REF!="AG. COMPRA","Em processamento",'Banco de Dados'!#REF!="AG. RASTREIO","Em processamento",'Banco de Dados'!$AE106&lt;&gt;"-","Faturado",'Banco de Dados'!$AD106&lt;&gt;"-","Aguardando Pix",'Banco de Dados'!$AC106&lt;&gt;"-","Pendente"),"Aguardando Liberação")</f>
        <v>Aguardando Liberação</v>
      </c>
      <c r="AH106" s="5" t="str">
        <f>IF('Banco de Dados'!$F106="-",_xlfn.CONCAT(PROPER(TEXT(AK106,"aaaa"))," ",PROPER(TEXT(AK106,"mm"))),_xlfn.CONCAT(PROPER(TEXT(E106,"aaaa"))," ",PROPER(TEXT(E106,"mm"))))</f>
        <v>2024 10</v>
      </c>
      <c r="AI106" s="9" t="str">
        <f ca="1">IF('Banco de Dados'!$AK106&lt;&gt;"-","REEMBOLSO",IFERROR(_xlfn.XLOOKUP(G106,Follow[CODRASTREIO],Follow[STATUS]),"-"))</f>
        <v>ENTREGUE</v>
      </c>
      <c r="AJ106" s="9">
        <f ca="1">IF('Banco de Dados'!$AI106="ENTREGUE",_xlfn.XLOOKUP('Banco de Dados'!$G106,Follow[CODRASTREIO],Follow[DATAATUALIZAÇÃO]),"-")</f>
        <v>45604</v>
      </c>
      <c r="AK106" s="9" t="str">
        <f ca="1"/>
        <v>-</v>
      </c>
      <c r="AL106" s="35" t="str">
        <v>SIM</v>
      </c>
      <c r="AM106" s="109" cm="1">
        <f t="array" aca="1" ref="AM106" ca="1">IF('Banco de Dados'!$AK106&lt;&gt;"-",_xlfn.IFS('Banco de Dados'!$A106="bv",IF('Banco de Dados'!$E106&lt;45641,ROUND(SUM('Banco de Dados'!$R106*_xlfn.XLOOKUP('Banco de Dados'!$P106,Sku!B:B,Sku!#REF!)*20%),2),ROUND(SUM('Banco de Dados'!$R106*_xlfn.XLOOKUP('Banco de Dados'!$P106,Sku!B:B,Sku!H:H)*20%),2)),'Banco de Dados'!$A106="GO",ROUND(_xlfn.XLOOKUP('Banco de Dados'!$P106,Sku!C:C,Sku!H:H),2),'Banco de Dados'!$A106="MEI",ROUND(_xlfn.XLOOKUP('Banco de Dados'!$P106,Sku!D:D,Sku!H:H),2)),0)</f>
        <v>0</v>
      </c>
      <c r="AN106" s="109">
        <f ca="1">IF('Banco de Dados'!$AK106&lt;&gt;"-",IF('Banco de Dados'!$F106&lt;&gt;"-",_xlfn.XLOOKUP(IFERROR(IFERROR(IFERROR(VALUE(SUBSTITUTE(MID(_xlfn.TEXTAFTER('Banco de Dados'!$F106,"Data do Pedido:
",1),1,10),"-","/")),VALUE(SUBSTITUTE(MID(_xlfn.TEXTAFTER('Banco de Dados'!$F106,"Order date:
",1),1,10),"-","/"))),VALUE(SUBSTITUTE(MID(_xlfn.TEXTAFTER('Banco de Dados'!$F106,"Fecha de pedido:
",1),1,10),"-","/"))),"-"),SMS!A:A,SMS!K:K),0),0)</f>
        <v>0</v>
      </c>
      <c r="AO106" s="109">
        <f ca="1">IF('Banco de Dados'!$AK106&lt;&gt;"-",IF('Banco de Dados'!$F106&lt;&gt;"-",IFERROR(_xlfn.XLOOKUP(_xlfn.CONCAT('Banco de Dados'!$A106,IFERROR(IFERROR(VALUE(SUBSTITUTE(MID(_xlfn.TEXTAFTER('Banco de Dados'!$F106,"Data do Pedido:
",1),1,10),"-","/")),VALUE(SUBSTITUTE(MID(_xlfn.TEXTAFTER('Banco de Dados'!$F106,"Order date:
",1),1,10),"-","/"))),0)),ProxyDD[Chave],ProxyDD[Valor por pedido]),PROXY!$P$2),0),0)</f>
        <v>0</v>
      </c>
      <c r="AP106" s="28">
        <f ca="1">IF('Banco de Dados'!$AK106&lt;&gt;"-",IF('Banco de Dados'!$AL106="NÃO",IFERROR(VALUE(SUBSTITUTE(_xlfn.TEXTAFTER('Banco de Dados'!$F106,"BRL ",1),".",",")),0),0),0)</f>
        <v>0</v>
      </c>
      <c r="AQ106" s="28">
        <f ca="1">SUM('Banco de Dados'!$AM106:$AP106)</f>
        <v>0</v>
      </c>
      <c r="AR106" s="8"/>
      <c r="AS106" s="8"/>
      <c r="AY106" s="8"/>
    </row>
    <row r="107" spans="1:51">
      <c r="A107" s="5" t="str">
        <v>BV</v>
      </c>
      <c r="B107" s="5" t="str">
        <f ca="1"/>
        <v>BV45591</v>
      </c>
      <c r="C107" s="8" t="str">
        <v>Pedido 104</v>
      </c>
      <c r="D107" s="9">
        <v>45591</v>
      </c>
      <c r="E107" s="9">
        <v>45591</v>
      </c>
      <c r="F107" s="8" t="str">
        <v>PedidoF97</v>
      </c>
      <c r="G107" s="2" t="str">
        <v>CódRastreio97</v>
      </c>
      <c r="H107" s="5">
        <v>1</v>
      </c>
      <c r="I107" s="3" t="str">
        <v>CPF 101</v>
      </c>
      <c r="J107" s="2" t="str">
        <v>Nome 101</v>
      </c>
      <c r="K107" s="8" t="str">
        <v>Tel 101</v>
      </c>
      <c r="L107" s="2" t="str">
        <v>Cep 101</v>
      </c>
      <c r="M107" s="2" t="str">
        <v>Rua 101</v>
      </c>
      <c r="N107" s="2" t="str">
        <v>Comp 101</v>
      </c>
      <c r="O107" s="2" t="str">
        <v>Ventilador Rosa</v>
      </c>
      <c r="P107" s="8" t="str">
        <v>IF-G2ZQ-79FO</v>
      </c>
      <c r="Q107" s="4">
        <v>45624</v>
      </c>
      <c r="R107" s="109">
        <v>59.99</v>
      </c>
      <c r="S107" s="11">
        <f ca="1"/>
        <v>59.99</v>
      </c>
      <c r="T107" s="28">
        <f ca="1"/>
        <v>7.7987000000000002</v>
      </c>
      <c r="U107" s="11">
        <f ca="1"/>
        <v>52.19</v>
      </c>
      <c r="V107" s="11">
        <v>7.25</v>
      </c>
      <c r="W107" s="11">
        <f ca="1"/>
        <v>0.25</v>
      </c>
      <c r="X107" s="11">
        <f ca="1"/>
        <v>0.39877104377104378</v>
      </c>
      <c r="Y107" s="11">
        <v>0</v>
      </c>
      <c r="Z107" s="11">
        <f ca="1"/>
        <v>44.291228956228956</v>
      </c>
      <c r="AA107" s="11">
        <f ca="1"/>
        <v>22.145614478114478</v>
      </c>
      <c r="AB107" s="4">
        <f ca="1"/>
        <v>45631</v>
      </c>
      <c r="AC107" s="4">
        <v>45631</v>
      </c>
      <c r="AD107" s="9">
        <v>45637</v>
      </c>
      <c r="AE107" s="9">
        <v>45642</v>
      </c>
      <c r="AF107" s="4" t="str">
        <f t="shared" ca="1" si="1"/>
        <v>2024 12</v>
      </c>
      <c r="AG107" s="8" t="str" cm="1">
        <f t="array" ref="AG107">IFERROR(_xlfn.IFS('Banco de Dados'!#REF!="AG. COMPRA","Em processamento",'Banco de Dados'!#REF!="AG. RASTREIO","Em processamento",'Banco de Dados'!$AE107&lt;&gt;"-","Faturado",'Banco de Dados'!$AD107&lt;&gt;"-","Aguardando Pix",'Banco de Dados'!$AC107&lt;&gt;"-","Pendente"),"Aguardando Liberação")</f>
        <v>Aguardando Liberação</v>
      </c>
      <c r="AH107" s="5" t="str">
        <f>IF('Banco de Dados'!$F107="-",_xlfn.CONCAT(PROPER(TEXT(AK107,"aaaa"))," ",PROPER(TEXT(AK107,"mm"))),_xlfn.CONCAT(PROPER(TEXT(E107,"aaaa"))," ",PROPER(TEXT(E107,"mm"))))</f>
        <v>2024 10</v>
      </c>
      <c r="AI107" s="9" t="str">
        <f ca="1">IF('Banco de Dados'!$AK107&lt;&gt;"-","REEMBOLSO",IFERROR(_xlfn.XLOOKUP(G107,Follow[CODRASTREIO],Follow[STATUS]),"-"))</f>
        <v>ENTREGUE</v>
      </c>
      <c r="AJ107" s="9">
        <f ca="1">IF('Banco de Dados'!$AI107="ENTREGUE",_xlfn.XLOOKUP('Banco de Dados'!$G107,Follow[CODRASTREIO],Follow[DATAATUALIZAÇÃO]),"-")</f>
        <v>45610</v>
      </c>
      <c r="AK107" s="9" t="str">
        <f ca="1"/>
        <v>-</v>
      </c>
      <c r="AL107" s="35" t="str">
        <v>SIM</v>
      </c>
      <c r="AM107" s="109" cm="1">
        <f t="array" aca="1" ref="AM107" ca="1">IF('Banco de Dados'!$AK107&lt;&gt;"-",_xlfn.IFS('Banco de Dados'!$A107="bv",IF('Banco de Dados'!$E107&lt;45641,ROUND(SUM('Banco de Dados'!$R107*_xlfn.XLOOKUP('Banco de Dados'!$P107,Sku!B:B,Sku!#REF!)*20%),2),ROUND(SUM('Banco de Dados'!$R107*_xlfn.XLOOKUP('Banco de Dados'!$P107,Sku!B:B,Sku!H:H)*20%),2)),'Banco de Dados'!$A107="GO",ROUND(_xlfn.XLOOKUP('Banco de Dados'!$P107,Sku!C:C,Sku!H:H),2),'Banco de Dados'!$A107="MEI",ROUND(_xlfn.XLOOKUP('Banco de Dados'!$P107,Sku!D:D,Sku!H:H),2)),0)</f>
        <v>0</v>
      </c>
      <c r="AN107" s="109">
        <f ca="1">IF('Banco de Dados'!$AK107&lt;&gt;"-",IF('Banco de Dados'!$F107&lt;&gt;"-",_xlfn.XLOOKUP(IFERROR(IFERROR(IFERROR(VALUE(SUBSTITUTE(MID(_xlfn.TEXTAFTER('Banco de Dados'!$F107,"Data do Pedido:
",1),1,10),"-","/")),VALUE(SUBSTITUTE(MID(_xlfn.TEXTAFTER('Banco de Dados'!$F107,"Order date:
",1),1,10),"-","/"))),VALUE(SUBSTITUTE(MID(_xlfn.TEXTAFTER('Banco de Dados'!$F107,"Fecha de pedido:
",1),1,10),"-","/"))),"-"),SMS!A:A,SMS!K:K),0),0)</f>
        <v>0</v>
      </c>
      <c r="AO107" s="109">
        <f ca="1">IF('Banco de Dados'!$AK107&lt;&gt;"-",IF('Banco de Dados'!$F107&lt;&gt;"-",IFERROR(_xlfn.XLOOKUP(_xlfn.CONCAT('Banco de Dados'!$A107,IFERROR(IFERROR(VALUE(SUBSTITUTE(MID(_xlfn.TEXTAFTER('Banco de Dados'!$F107,"Data do Pedido:
",1),1,10),"-","/")),VALUE(SUBSTITUTE(MID(_xlfn.TEXTAFTER('Banco de Dados'!$F107,"Order date:
",1),1,10),"-","/"))),0)),ProxyDD[Chave],ProxyDD[Valor por pedido]),PROXY!$P$2),0),0)</f>
        <v>0</v>
      </c>
      <c r="AP107" s="28">
        <f ca="1">IF('Banco de Dados'!$AK107&lt;&gt;"-",IF('Banco de Dados'!$AL107="NÃO",IFERROR(VALUE(SUBSTITUTE(_xlfn.TEXTAFTER('Banco de Dados'!$F107,"BRL ",1),".",",")),0),0),0)</f>
        <v>0</v>
      </c>
      <c r="AQ107" s="28">
        <f ca="1">SUM('Banco de Dados'!$AM107:$AP107)</f>
        <v>0</v>
      </c>
      <c r="AR107" s="8"/>
      <c r="AS107" s="8"/>
      <c r="AY107" s="8"/>
    </row>
    <row r="108" spans="1:51">
      <c r="A108" s="5" t="str">
        <v>BV</v>
      </c>
      <c r="B108" s="5" t="str">
        <f ca="1"/>
        <v>BV45591</v>
      </c>
      <c r="C108" s="8" t="str">
        <v>Pedido 105</v>
      </c>
      <c r="D108" s="9">
        <v>45591</v>
      </c>
      <c r="E108" s="9">
        <v>45591</v>
      </c>
      <c r="F108" s="8" t="str">
        <v>PedidoF98</v>
      </c>
      <c r="G108" s="2" t="str">
        <v>CódRastreio98</v>
      </c>
      <c r="H108" s="5">
        <v>1</v>
      </c>
      <c r="I108" s="3" t="str">
        <v>CPF 102</v>
      </c>
      <c r="J108" s="2" t="str">
        <v>Nome 102</v>
      </c>
      <c r="K108" s="8" t="str">
        <v>Tel 102</v>
      </c>
      <c r="L108" s="2" t="str">
        <v>Cep 102</v>
      </c>
      <c r="M108" s="2" t="str">
        <v>Rua 102</v>
      </c>
      <c r="N108" s="2" t="str">
        <v>Comp 102</v>
      </c>
      <c r="O108" s="2" t="str">
        <v>Suporte de Celular Branco</v>
      </c>
      <c r="P108" s="8" t="str">
        <v>16-4EDB-WMZF</v>
      </c>
      <c r="Q108" s="4">
        <v>45610</v>
      </c>
      <c r="R108" s="109">
        <v>30</v>
      </c>
      <c r="S108" s="11">
        <f ca="1"/>
        <v>0</v>
      </c>
      <c r="T108" s="28">
        <f ca="1"/>
        <v>0</v>
      </c>
      <c r="U108" s="11">
        <f ca="1"/>
        <v>0</v>
      </c>
      <c r="V108" s="11">
        <v>0</v>
      </c>
      <c r="W108" s="11">
        <f ca="1"/>
        <v>0</v>
      </c>
      <c r="X108" s="11">
        <f ca="1"/>
        <v>0.39877104377104378</v>
      </c>
      <c r="Y108" s="11">
        <v>0</v>
      </c>
      <c r="Z108" s="11">
        <f ca="1"/>
        <v>-0.39877104377104378</v>
      </c>
      <c r="AA108" s="11">
        <f ca="1"/>
        <v>-0.19938552188552189</v>
      </c>
      <c r="AB108" s="4">
        <f ca="1"/>
        <v>45617</v>
      </c>
      <c r="AC108" s="4">
        <v>45618</v>
      </c>
      <c r="AD108" s="9">
        <v>45617</v>
      </c>
      <c r="AE108" s="9">
        <v>45618</v>
      </c>
      <c r="AF108" s="4" t="str">
        <f t="shared" ca="1" si="1"/>
        <v>2024 11</v>
      </c>
      <c r="AG108" s="8" t="str" cm="1">
        <f t="array" ref="AG108">IFERROR(_xlfn.IFS('Banco de Dados'!#REF!="AG. COMPRA","Em processamento",'Banco de Dados'!#REF!="AG. RASTREIO","Em processamento",'Banco de Dados'!$AE108&lt;&gt;"-","Faturado",'Banco de Dados'!$AD108&lt;&gt;"-","Aguardando Pix",'Banco de Dados'!$AC108&lt;&gt;"-","Pendente"),"Aguardando Liberação")</f>
        <v>Aguardando Liberação</v>
      </c>
      <c r="AH108" s="5" t="str">
        <f>IF('Banco de Dados'!$F108="-",_xlfn.CONCAT(PROPER(TEXT(AK108,"aaaa"))," ",PROPER(TEXT(AK108,"mm"))),_xlfn.CONCAT(PROPER(TEXT(E108,"aaaa"))," ",PROPER(TEXT(E108,"mm"))))</f>
        <v>2024 10</v>
      </c>
      <c r="AI108" s="9" t="str">
        <f ca="1">IF('Banco de Dados'!$AK108&lt;&gt;"-","REEMBOLSO",IFERROR(_xlfn.XLOOKUP(G108,Follow[CODRASTREIO],Follow[STATUS]),"-"))</f>
        <v>REEMBOLSO</v>
      </c>
      <c r="AJ108" s="9" t="str">
        <f ca="1">IF('Banco de Dados'!$AI108="ENTREGUE",_xlfn.XLOOKUP('Banco de Dados'!$G108,Follow[CODRASTREIO],Follow[DATAATUALIZAÇÃO]),"-")</f>
        <v>-</v>
      </c>
      <c r="AK108" s="9">
        <f ca="1"/>
        <v>45617</v>
      </c>
      <c r="AL108" s="35" t="str">
        <v>NÃO</v>
      </c>
      <c r="AM108" s="109" t="e" cm="1">
        <f t="array" aca="1" ref="AM108" ca="1">IF('Banco de Dados'!$AK108&lt;&gt;"-",_xlfn.IFS('Banco de Dados'!$A108="bv",IF('Banco de Dados'!$E108&lt;45641,ROUND(SUM('Banco de Dados'!$R108*_xlfn.XLOOKUP('Banco de Dados'!$P108,Sku!B:B,Sku!#REF!)*20%),2),ROUND(SUM('Banco de Dados'!$R108*_xlfn.XLOOKUP('Banco de Dados'!$P108,Sku!B:B,Sku!H:H)*20%),2)),'Banco de Dados'!$A108="GO",ROUND(_xlfn.XLOOKUP('Banco de Dados'!$P108,Sku!C:C,Sku!H:H),2),'Banco de Dados'!$A108="MEI",ROUND(_xlfn.XLOOKUP('Banco de Dados'!$P108,Sku!D:D,Sku!H:H),2)),0)</f>
        <v>#REF!</v>
      </c>
      <c r="AN108" s="109" t="e">
        <f ca="1">IF('Banco de Dados'!$AK108&lt;&gt;"-",IF('Banco de Dados'!$F108&lt;&gt;"-",_xlfn.XLOOKUP(IFERROR(IFERROR(IFERROR(VALUE(SUBSTITUTE(MID(_xlfn.TEXTAFTER('Banco de Dados'!$F108,"Data do Pedido:
",1),1,10),"-","/")),VALUE(SUBSTITUTE(MID(_xlfn.TEXTAFTER('Banco de Dados'!$F108,"Order date:
",1),1,10),"-","/"))),VALUE(SUBSTITUTE(MID(_xlfn.TEXTAFTER('Banco de Dados'!$F108,"Fecha de pedido:
",1),1,10),"-","/"))),"-"),SMS!A:A,SMS!K:K),0),0)</f>
        <v>#N/A</v>
      </c>
      <c r="AO108" s="109">
        <f ca="1">IF('Banco de Dados'!$AK108&lt;&gt;"-",IF('Banco de Dados'!$F108&lt;&gt;"-",IFERROR(_xlfn.XLOOKUP(_xlfn.CONCAT('Banco de Dados'!$A108,IFERROR(IFERROR(VALUE(SUBSTITUTE(MID(_xlfn.TEXTAFTER('Banco de Dados'!$F108,"Data do Pedido:
",1),1,10),"-","/")),VALUE(SUBSTITUTE(MID(_xlfn.TEXTAFTER('Banco de Dados'!$F108,"Order date:
",1),1,10),"-","/"))),0)),ProxyDD[Chave],ProxyDD[Valor por pedido]),PROXY!$P$2),0),0)</f>
        <v>0.39877104377104378</v>
      </c>
      <c r="AP108" s="28">
        <f ca="1">IF('Banco de Dados'!$AK108&lt;&gt;"-",IF('Banco de Dados'!$AL108="NÃO",IFERROR(VALUE(SUBSTITUTE(_xlfn.TEXTAFTER('Banco de Dados'!$F108,"BRL ",1),".",",")),0),0),0)</f>
        <v>0</v>
      </c>
      <c r="AQ108" s="28" t="e">
        <f ca="1">SUM('Banco de Dados'!$AM108:$AP108)</f>
        <v>#REF!</v>
      </c>
      <c r="AR108" s="8"/>
      <c r="AS108" s="8"/>
      <c r="AY108" s="8"/>
    </row>
    <row r="109" spans="1:51">
      <c r="A109" s="5" t="str">
        <v>BV</v>
      </c>
      <c r="B109" s="5" t="str">
        <f ca="1"/>
        <v>BV45592</v>
      </c>
      <c r="C109" s="8" t="str">
        <v>Pedido 106</v>
      </c>
      <c r="D109" s="9">
        <v>45592</v>
      </c>
      <c r="E109" s="9">
        <v>45592</v>
      </c>
      <c r="F109" s="8" t="str">
        <v>PedidoF99</v>
      </c>
      <c r="G109" s="2" t="str">
        <v>CódRastreio99</v>
      </c>
      <c r="H109" s="5">
        <v>1</v>
      </c>
      <c r="I109" s="2" t="str">
        <v>CPF 103</v>
      </c>
      <c r="J109" s="2" t="str">
        <v>Nome 103</v>
      </c>
      <c r="K109" s="8" t="str">
        <v>Tel 103</v>
      </c>
      <c r="L109" s="2" t="str">
        <v>Cep 103</v>
      </c>
      <c r="M109" s="2" t="str">
        <v>Rua 103</v>
      </c>
      <c r="N109" s="2" t="str">
        <v>Comp 103</v>
      </c>
      <c r="O109" s="2" t="str">
        <v>Suporte de Celular Branco</v>
      </c>
      <c r="P109" s="8" t="str">
        <v>16-4EDB-WMZF</v>
      </c>
      <c r="Q109" s="4">
        <v>45610</v>
      </c>
      <c r="R109" s="109">
        <v>15.99</v>
      </c>
      <c r="S109" s="11">
        <f ca="1"/>
        <v>15.99</v>
      </c>
      <c r="T109" s="28">
        <f ca="1"/>
        <v>2.3984999999999999</v>
      </c>
      <c r="U109" s="11">
        <f ca="1"/>
        <v>13.59</v>
      </c>
      <c r="V109" s="11">
        <v>4.99</v>
      </c>
      <c r="W109" s="11">
        <f ca="1"/>
        <v>0.32</v>
      </c>
      <c r="X109" s="11">
        <f ca="1"/>
        <v>0.39877104377104378</v>
      </c>
      <c r="Y109" s="11">
        <v>0</v>
      </c>
      <c r="Z109" s="11">
        <f ca="1"/>
        <v>7.8812289562289557</v>
      </c>
      <c r="AA109" s="11">
        <f ca="1"/>
        <v>3.9406144781144778</v>
      </c>
      <c r="AB109" s="4">
        <f ca="1"/>
        <v>45617</v>
      </c>
      <c r="AC109" s="4">
        <v>45617</v>
      </c>
      <c r="AD109" s="9">
        <v>45617</v>
      </c>
      <c r="AE109" s="9">
        <v>45618</v>
      </c>
      <c r="AF109" s="4" t="str">
        <f t="shared" ca="1" si="1"/>
        <v>2024 11</v>
      </c>
      <c r="AG109" s="8" t="str" cm="1">
        <f t="array" ref="AG109">IFERROR(_xlfn.IFS('Banco de Dados'!#REF!="AG. COMPRA","Em processamento",'Banco de Dados'!#REF!="AG. RASTREIO","Em processamento",'Banco de Dados'!$AE109&lt;&gt;"-","Faturado",'Banco de Dados'!$AD109&lt;&gt;"-","Aguardando Pix",'Banco de Dados'!$AC109&lt;&gt;"-","Pendente"),"Aguardando Liberação")</f>
        <v>Aguardando Liberação</v>
      </c>
      <c r="AH109" s="5" t="str">
        <f>IF('Banco de Dados'!$F109="-",_xlfn.CONCAT(PROPER(TEXT(AK109,"aaaa"))," ",PROPER(TEXT(AK109,"mm"))),_xlfn.CONCAT(PROPER(TEXT(E109,"aaaa"))," ",PROPER(TEXT(E109,"mm"))))</f>
        <v>2024 10</v>
      </c>
      <c r="AI109" s="9" t="str">
        <f ca="1">IF('Banco de Dados'!$AK109&lt;&gt;"-","REEMBOLSO",IFERROR(_xlfn.XLOOKUP(G109,Follow[CODRASTREIO],Follow[STATUS]),"-"))</f>
        <v>ENTREGUE</v>
      </c>
      <c r="AJ109" s="9">
        <f ca="1">IF('Banco de Dados'!$AI109="ENTREGUE",_xlfn.XLOOKUP('Banco de Dados'!$G109,Follow[CODRASTREIO],Follow[DATAATUALIZAÇÃO]),"-")</f>
        <v>45596</v>
      </c>
      <c r="AK109" s="9" t="str">
        <f ca="1"/>
        <v>-</v>
      </c>
      <c r="AL109" s="35" t="str">
        <v>NÃO</v>
      </c>
      <c r="AM109" s="109" cm="1">
        <f t="array" aca="1" ref="AM109" ca="1">IF('Banco de Dados'!$AK109&lt;&gt;"-",_xlfn.IFS('Banco de Dados'!$A109="bv",IF('Banco de Dados'!$E109&lt;45641,ROUND(SUM('Banco de Dados'!$R109*_xlfn.XLOOKUP('Banco de Dados'!$P109,Sku!B:B,Sku!#REF!)*20%),2),ROUND(SUM('Banco de Dados'!$R109*_xlfn.XLOOKUP('Banco de Dados'!$P109,Sku!B:B,Sku!H:H)*20%),2)),'Banco de Dados'!$A109="GO",ROUND(_xlfn.XLOOKUP('Banco de Dados'!$P109,Sku!C:C,Sku!H:H),2),'Banco de Dados'!$A109="MEI",ROUND(_xlfn.XLOOKUP('Banco de Dados'!$P109,Sku!D:D,Sku!H:H),2)),0)</f>
        <v>0</v>
      </c>
      <c r="AN109" s="109">
        <f ca="1">IF('Banco de Dados'!$AK109&lt;&gt;"-",IF('Banco de Dados'!$F109&lt;&gt;"-",_xlfn.XLOOKUP(IFERROR(IFERROR(IFERROR(VALUE(SUBSTITUTE(MID(_xlfn.TEXTAFTER('Banco de Dados'!$F109,"Data do Pedido:
",1),1,10),"-","/")),VALUE(SUBSTITUTE(MID(_xlfn.TEXTAFTER('Banco de Dados'!$F109,"Order date:
",1),1,10),"-","/"))),VALUE(SUBSTITUTE(MID(_xlfn.TEXTAFTER('Banco de Dados'!$F109,"Fecha de pedido:
",1),1,10),"-","/"))),"-"),SMS!A:A,SMS!K:K),0),0)</f>
        <v>0</v>
      </c>
      <c r="AO109" s="109">
        <f ca="1">IF('Banco de Dados'!$AK109&lt;&gt;"-",IF('Banco de Dados'!$F109&lt;&gt;"-",IFERROR(_xlfn.XLOOKUP(_xlfn.CONCAT('Banco de Dados'!$A109,IFERROR(IFERROR(VALUE(SUBSTITUTE(MID(_xlfn.TEXTAFTER('Banco de Dados'!$F109,"Data do Pedido:
",1),1,10),"-","/")),VALUE(SUBSTITUTE(MID(_xlfn.TEXTAFTER('Banco de Dados'!$F109,"Order date:
",1),1,10),"-","/"))),0)),ProxyDD[Chave],ProxyDD[Valor por pedido]),PROXY!$P$2),0),0)</f>
        <v>0</v>
      </c>
      <c r="AP109" s="28">
        <f ca="1">IF('Banco de Dados'!$AK109&lt;&gt;"-",IF('Banco de Dados'!$AL109="NÃO",IFERROR(VALUE(SUBSTITUTE(_xlfn.TEXTAFTER('Banco de Dados'!$F109,"BRL ",1),".",",")),0),0),0)</f>
        <v>0</v>
      </c>
      <c r="AQ109" s="28">
        <f ca="1">SUM('Banco de Dados'!$AM109:$AP109)</f>
        <v>0</v>
      </c>
      <c r="AR109" s="8"/>
      <c r="AS109" s="8"/>
      <c r="AY109" s="8"/>
    </row>
    <row r="110" spans="1:51">
      <c r="A110" s="5" t="str">
        <v>BV</v>
      </c>
      <c r="B110" s="5" t="str">
        <f ca="1"/>
        <v>BV45592</v>
      </c>
      <c r="C110" s="8" t="str">
        <v>Pedido 107</v>
      </c>
      <c r="D110" s="9">
        <v>45592</v>
      </c>
      <c r="E110" s="9">
        <v>45592</v>
      </c>
      <c r="F110" s="8" t="str">
        <v>PedidoF100</v>
      </c>
      <c r="G110" s="2" t="str">
        <v>CódRastreio100</v>
      </c>
      <c r="H110" s="5">
        <v>1</v>
      </c>
      <c r="I110" s="3" t="str">
        <v>CPF 104</v>
      </c>
      <c r="J110" s="2" t="str">
        <v>Nome 104</v>
      </c>
      <c r="K110" s="8" t="str">
        <v>Tel 104</v>
      </c>
      <c r="L110" s="2" t="str">
        <v>Cep 104</v>
      </c>
      <c r="M110" s="2" t="str">
        <v>Rua 104</v>
      </c>
      <c r="N110" s="2" t="str">
        <v>Comp 104</v>
      </c>
      <c r="O110" s="2" t="str">
        <v>Suporte de Celular Branco</v>
      </c>
      <c r="P110" s="8" t="str">
        <v>16-4EDB-WMZF</v>
      </c>
      <c r="Q110" s="4">
        <v>45610</v>
      </c>
      <c r="R110" s="109">
        <v>15.99</v>
      </c>
      <c r="S110" s="11">
        <f ca="1"/>
        <v>15.99</v>
      </c>
      <c r="T110" s="28">
        <f ca="1"/>
        <v>2.3984999999999999</v>
      </c>
      <c r="U110" s="11">
        <f ca="1"/>
        <v>13.59</v>
      </c>
      <c r="V110" s="11">
        <v>4.99</v>
      </c>
      <c r="W110" s="11">
        <f ca="1"/>
        <v>0.32</v>
      </c>
      <c r="X110" s="11">
        <f ca="1"/>
        <v>0.39877104377104378</v>
      </c>
      <c r="Y110" s="11">
        <v>0</v>
      </c>
      <c r="Z110" s="11">
        <f ca="1"/>
        <v>7.8812289562289557</v>
      </c>
      <c r="AA110" s="11">
        <f ca="1"/>
        <v>3.9406144781144778</v>
      </c>
      <c r="AB110" s="4">
        <f ca="1"/>
        <v>45617</v>
      </c>
      <c r="AC110" s="4">
        <v>45617</v>
      </c>
      <c r="AD110" s="9">
        <v>45617</v>
      </c>
      <c r="AE110" s="9">
        <v>45618</v>
      </c>
      <c r="AF110" s="4" t="str">
        <f t="shared" ca="1" si="1"/>
        <v>2024 11</v>
      </c>
      <c r="AG110" s="8" t="str" cm="1">
        <f t="array" ref="AG110">IFERROR(_xlfn.IFS('Banco de Dados'!#REF!="AG. COMPRA","Em processamento",'Banco de Dados'!#REF!="AG. RASTREIO","Em processamento",'Banco de Dados'!$AE110&lt;&gt;"-","Faturado",'Banco de Dados'!$AD110&lt;&gt;"-","Aguardando Pix",'Banco de Dados'!$AC110&lt;&gt;"-","Pendente"),"Aguardando Liberação")</f>
        <v>Aguardando Liberação</v>
      </c>
      <c r="AH110" s="5" t="str">
        <f>IF('Banco de Dados'!$F110="-",_xlfn.CONCAT(PROPER(TEXT(AK110,"aaaa"))," ",PROPER(TEXT(AK110,"mm"))),_xlfn.CONCAT(PROPER(TEXT(E110,"aaaa"))," ",PROPER(TEXT(E110,"mm"))))</f>
        <v>2024 10</v>
      </c>
      <c r="AI110" s="9" t="str">
        <f ca="1">IF('Banco de Dados'!$AK110&lt;&gt;"-","REEMBOLSO",IFERROR(_xlfn.XLOOKUP(G110,Follow[CODRASTREIO],Follow[STATUS]),"-"))</f>
        <v>ENTREGUE</v>
      </c>
      <c r="AJ110" s="9">
        <f ca="1">IF('Banco de Dados'!$AI110="ENTREGUE",_xlfn.XLOOKUP('Banco de Dados'!$G110,Follow[CODRASTREIO],Follow[DATAATUALIZAÇÃO]),"-")</f>
        <v>45600</v>
      </c>
      <c r="AK110" s="9" t="str">
        <f ca="1"/>
        <v>-</v>
      </c>
      <c r="AL110" s="35" t="str">
        <v>SIM</v>
      </c>
      <c r="AM110" s="109" cm="1">
        <f t="array" aca="1" ref="AM110" ca="1">IF('Banco de Dados'!$AK110&lt;&gt;"-",_xlfn.IFS('Banco de Dados'!$A110="bv",IF('Banco de Dados'!$E110&lt;45641,ROUND(SUM('Banco de Dados'!$R110*_xlfn.XLOOKUP('Banco de Dados'!$P110,Sku!B:B,Sku!#REF!)*20%),2),ROUND(SUM('Banco de Dados'!$R110*_xlfn.XLOOKUP('Banco de Dados'!$P110,Sku!B:B,Sku!H:H)*20%),2)),'Banco de Dados'!$A110="GO",ROUND(_xlfn.XLOOKUP('Banco de Dados'!$P110,Sku!C:C,Sku!H:H),2),'Banco de Dados'!$A110="MEI",ROUND(_xlfn.XLOOKUP('Banco de Dados'!$P110,Sku!D:D,Sku!H:H),2)),0)</f>
        <v>0</v>
      </c>
      <c r="AN110" s="109">
        <f ca="1">IF('Banco de Dados'!$AK110&lt;&gt;"-",IF('Banco de Dados'!$F110&lt;&gt;"-",_xlfn.XLOOKUP(IFERROR(IFERROR(IFERROR(VALUE(SUBSTITUTE(MID(_xlfn.TEXTAFTER('Banco de Dados'!$F110,"Data do Pedido:
",1),1,10),"-","/")),VALUE(SUBSTITUTE(MID(_xlfn.TEXTAFTER('Banco de Dados'!$F110,"Order date:
",1),1,10),"-","/"))),VALUE(SUBSTITUTE(MID(_xlfn.TEXTAFTER('Banco de Dados'!$F110,"Fecha de pedido:
",1),1,10),"-","/"))),"-"),SMS!A:A,SMS!K:K),0),0)</f>
        <v>0</v>
      </c>
      <c r="AO110" s="109">
        <f ca="1">IF('Banco de Dados'!$AK110&lt;&gt;"-",IF('Banco de Dados'!$F110&lt;&gt;"-",IFERROR(_xlfn.XLOOKUP(_xlfn.CONCAT('Banco de Dados'!$A110,IFERROR(IFERROR(VALUE(SUBSTITUTE(MID(_xlfn.TEXTAFTER('Banco de Dados'!$F110,"Data do Pedido:
",1),1,10),"-","/")),VALUE(SUBSTITUTE(MID(_xlfn.TEXTAFTER('Banco de Dados'!$F110,"Order date:
",1),1,10),"-","/"))),0)),ProxyDD[Chave],ProxyDD[Valor por pedido]),PROXY!$P$2),0),0)</f>
        <v>0</v>
      </c>
      <c r="AP110" s="28">
        <f ca="1">IF('Banco de Dados'!$AK110&lt;&gt;"-",IF('Banco de Dados'!$AL110="NÃO",IFERROR(VALUE(SUBSTITUTE(_xlfn.TEXTAFTER('Banco de Dados'!$F110,"BRL ",1),".",",")),0),0),0)</f>
        <v>0</v>
      </c>
      <c r="AQ110" s="28">
        <f ca="1">SUM('Banco de Dados'!$AM110:$AP110)</f>
        <v>0</v>
      </c>
      <c r="AR110" s="8"/>
      <c r="AS110" s="8"/>
      <c r="AY110" s="8"/>
    </row>
    <row r="111" spans="1:51">
      <c r="A111" s="5" t="str">
        <v>BV</v>
      </c>
      <c r="B111" s="5" t="str">
        <f ca="1"/>
        <v>BV45592</v>
      </c>
      <c r="C111" s="8" t="str">
        <v>Pedido 108</v>
      </c>
      <c r="D111" s="9">
        <v>45592</v>
      </c>
      <c r="E111" s="9">
        <v>45592</v>
      </c>
      <c r="F111" s="8" t="str">
        <v>PedidoF101</v>
      </c>
      <c r="G111" s="2" t="str">
        <v>CódRastreio101</v>
      </c>
      <c r="H111" s="5">
        <v>1</v>
      </c>
      <c r="I111" s="3" t="str">
        <v>CPF 105</v>
      </c>
      <c r="J111" s="2" t="str">
        <v>Nome 105</v>
      </c>
      <c r="K111" s="8" t="str">
        <v>Tel 105</v>
      </c>
      <c r="L111" s="2" t="str">
        <v>Cep 105</v>
      </c>
      <c r="M111" s="2" t="str">
        <v>Rua 105</v>
      </c>
      <c r="N111" s="2" t="str">
        <v>Comp 105</v>
      </c>
      <c r="O111" s="2" t="str">
        <v>Bomba d'agua</v>
      </c>
      <c r="P111" s="8" t="str">
        <v>DJ-RO5O-43GF</v>
      </c>
      <c r="Q111" s="4">
        <v>45617</v>
      </c>
      <c r="R111" s="109">
        <v>18.2</v>
      </c>
      <c r="S111" s="11">
        <f ca="1"/>
        <v>18.2</v>
      </c>
      <c r="T111" s="28">
        <f ca="1"/>
        <v>2.548</v>
      </c>
      <c r="U111" s="11">
        <f ca="1"/>
        <v>15.65</v>
      </c>
      <c r="V111" s="11">
        <v>4.99</v>
      </c>
      <c r="W111" s="11">
        <f ca="1"/>
        <v>0.32</v>
      </c>
      <c r="X111" s="11">
        <f ca="1"/>
        <v>0.39877104377104378</v>
      </c>
      <c r="Y111" s="11">
        <v>0</v>
      </c>
      <c r="Z111" s="11">
        <f ca="1"/>
        <v>9.9412289562289562</v>
      </c>
      <c r="AA111" s="11">
        <f ca="1"/>
        <v>4.9706144781144781</v>
      </c>
      <c r="AB111" s="4">
        <f ca="1"/>
        <v>45624</v>
      </c>
      <c r="AC111" s="4">
        <v>45624</v>
      </c>
      <c r="AD111" s="9">
        <v>45625</v>
      </c>
      <c r="AE111" s="9">
        <v>45625</v>
      </c>
      <c r="AF111" s="4" t="str">
        <f t="shared" ca="1" si="1"/>
        <v>2024 11</v>
      </c>
      <c r="AG111" s="8" t="str" cm="1">
        <f t="array" ref="AG111">IFERROR(_xlfn.IFS('Banco de Dados'!#REF!="AG. COMPRA","Em processamento",'Banco de Dados'!#REF!="AG. RASTREIO","Em processamento",'Banco de Dados'!$AE111&lt;&gt;"-","Faturado",'Banco de Dados'!$AD111&lt;&gt;"-","Aguardando Pix",'Banco de Dados'!$AC111&lt;&gt;"-","Pendente"),"Aguardando Liberação")</f>
        <v>Aguardando Liberação</v>
      </c>
      <c r="AH111" s="5" t="str">
        <f>IF('Banco de Dados'!$F111="-",_xlfn.CONCAT(PROPER(TEXT(AK111,"aaaa"))," ",PROPER(TEXT(AK111,"mm"))),_xlfn.CONCAT(PROPER(TEXT(E111,"aaaa"))," ",PROPER(TEXT(E111,"mm"))))</f>
        <v>2024 10</v>
      </c>
      <c r="AI111" s="9" t="str">
        <f ca="1">IF('Banco de Dados'!$AK111&lt;&gt;"-","REEMBOLSO",IFERROR(_xlfn.XLOOKUP(G111,Follow[CODRASTREIO],Follow[STATUS]),"-"))</f>
        <v>ENTREGUE</v>
      </c>
      <c r="AJ111" s="9">
        <f ca="1">IF('Banco de Dados'!$AI111="ENTREGUE",_xlfn.XLOOKUP('Banco de Dados'!$G111,Follow[CODRASTREIO],Follow[DATAATUALIZAÇÃO]),"-")</f>
        <v>45603</v>
      </c>
      <c r="AK111" s="9" t="str">
        <f ca="1"/>
        <v>-</v>
      </c>
      <c r="AL111" s="35" t="str">
        <v>NÃO</v>
      </c>
      <c r="AM111" s="109" cm="1">
        <f t="array" aca="1" ref="AM111" ca="1">IF('Banco de Dados'!$AK111&lt;&gt;"-",_xlfn.IFS('Banco de Dados'!$A111="bv",IF('Banco de Dados'!$E111&lt;45641,ROUND(SUM('Banco de Dados'!$R111*_xlfn.XLOOKUP('Banco de Dados'!$P111,Sku!B:B,Sku!#REF!)*20%),2),ROUND(SUM('Banco de Dados'!$R111*_xlfn.XLOOKUP('Banco de Dados'!$P111,Sku!B:B,Sku!H:H)*20%),2)),'Banco de Dados'!$A111="GO",ROUND(_xlfn.XLOOKUP('Banco de Dados'!$P111,Sku!C:C,Sku!H:H),2),'Banco de Dados'!$A111="MEI",ROUND(_xlfn.XLOOKUP('Banco de Dados'!$P111,Sku!D:D,Sku!H:H),2)),0)</f>
        <v>0</v>
      </c>
      <c r="AN111" s="109">
        <f ca="1">IF('Banco de Dados'!$AK111&lt;&gt;"-",IF('Banco de Dados'!$F111&lt;&gt;"-",_xlfn.XLOOKUP(IFERROR(IFERROR(IFERROR(VALUE(SUBSTITUTE(MID(_xlfn.TEXTAFTER('Banco de Dados'!$F111,"Data do Pedido:
",1),1,10),"-","/")),VALUE(SUBSTITUTE(MID(_xlfn.TEXTAFTER('Banco de Dados'!$F111,"Order date:
",1),1,10),"-","/"))),VALUE(SUBSTITUTE(MID(_xlfn.TEXTAFTER('Banco de Dados'!$F111,"Fecha de pedido:
",1),1,10),"-","/"))),"-"),SMS!A:A,SMS!K:K),0),0)</f>
        <v>0</v>
      </c>
      <c r="AO111" s="109">
        <f ca="1">IF('Banco de Dados'!$AK111&lt;&gt;"-",IF('Banco de Dados'!$F111&lt;&gt;"-",IFERROR(_xlfn.XLOOKUP(_xlfn.CONCAT('Banco de Dados'!$A111,IFERROR(IFERROR(VALUE(SUBSTITUTE(MID(_xlfn.TEXTAFTER('Banco de Dados'!$F111,"Data do Pedido:
",1),1,10),"-","/")),VALUE(SUBSTITUTE(MID(_xlfn.TEXTAFTER('Banco de Dados'!$F111,"Order date:
",1),1,10),"-","/"))),0)),ProxyDD[Chave],ProxyDD[Valor por pedido]),PROXY!$P$2),0),0)</f>
        <v>0</v>
      </c>
      <c r="AP111" s="28">
        <f ca="1">IF('Banco de Dados'!$AK111&lt;&gt;"-",IF('Banco de Dados'!$AL111="NÃO",IFERROR(VALUE(SUBSTITUTE(_xlfn.TEXTAFTER('Banco de Dados'!$F111,"BRL ",1),".",",")),0),0),0)</f>
        <v>0</v>
      </c>
      <c r="AQ111" s="28">
        <f ca="1">SUM('Banco de Dados'!$AM111:$AP111)</f>
        <v>0</v>
      </c>
      <c r="AR111" s="8"/>
      <c r="AS111" s="8"/>
      <c r="AY111" s="8"/>
    </row>
    <row r="112" spans="1:51">
      <c r="A112" s="5" t="str">
        <v>BV</v>
      </c>
      <c r="B112" s="5" t="str">
        <f ca="1"/>
        <v>BV45592</v>
      </c>
      <c r="C112" s="8" t="str">
        <v>Pedido 109</v>
      </c>
      <c r="D112" s="9">
        <v>45592</v>
      </c>
      <c r="E112" s="9">
        <v>45592</v>
      </c>
      <c r="F112" s="8" t="str">
        <v>PedidoF102</v>
      </c>
      <c r="G112" s="2" t="str">
        <v>CódRastreio102</v>
      </c>
      <c r="H112" s="5">
        <v>1</v>
      </c>
      <c r="I112" s="2" t="str">
        <v>CPF 106</v>
      </c>
      <c r="J112" s="2" t="str">
        <v>Nome 106</v>
      </c>
      <c r="K112" s="8" t="str">
        <v>Tel 106</v>
      </c>
      <c r="L112" s="2" t="str">
        <v>Cep 106</v>
      </c>
      <c r="M112" s="2" t="str">
        <v>Rua 106</v>
      </c>
      <c r="N112" s="2" t="str">
        <v>Comp 106</v>
      </c>
      <c r="O112" s="2" t="str">
        <v>Bomba d'agua</v>
      </c>
      <c r="P112" s="8" t="str">
        <v>DJ-RO5O-43GF</v>
      </c>
      <c r="Q112" s="4">
        <v>45617</v>
      </c>
      <c r="R112" s="109">
        <v>18.2</v>
      </c>
      <c r="S112" s="11">
        <f ca="1"/>
        <v>18.2</v>
      </c>
      <c r="T112" s="28">
        <f ca="1"/>
        <v>2.548</v>
      </c>
      <c r="U112" s="11">
        <f ca="1"/>
        <v>15.65</v>
      </c>
      <c r="V112" s="11">
        <v>4.99</v>
      </c>
      <c r="W112" s="11">
        <f ca="1"/>
        <v>0.32</v>
      </c>
      <c r="X112" s="11">
        <f ca="1"/>
        <v>0.39877104377104378</v>
      </c>
      <c r="Y112" s="11">
        <v>0</v>
      </c>
      <c r="Z112" s="11">
        <f ca="1"/>
        <v>9.9412289562289562</v>
      </c>
      <c r="AA112" s="11">
        <f ca="1"/>
        <v>4.9706144781144781</v>
      </c>
      <c r="AB112" s="4">
        <f ca="1"/>
        <v>45624</v>
      </c>
      <c r="AC112" s="4">
        <v>45624</v>
      </c>
      <c r="AD112" s="9">
        <v>45625</v>
      </c>
      <c r="AE112" s="9">
        <v>45625</v>
      </c>
      <c r="AF112" s="4" t="str">
        <f t="shared" ca="1" si="1"/>
        <v>2024 11</v>
      </c>
      <c r="AG112" s="8" t="str" cm="1">
        <f t="array" ref="AG112">IFERROR(_xlfn.IFS('Banco de Dados'!#REF!="AG. COMPRA","Em processamento",'Banco de Dados'!#REF!="AG. RASTREIO","Em processamento",'Banco de Dados'!$AE112&lt;&gt;"-","Faturado",'Banco de Dados'!$AD112&lt;&gt;"-","Aguardando Pix",'Banco de Dados'!$AC112&lt;&gt;"-","Pendente"),"Aguardando Liberação")</f>
        <v>Aguardando Liberação</v>
      </c>
      <c r="AH112" s="5" t="str">
        <f>IF('Banco de Dados'!$F112="-",_xlfn.CONCAT(PROPER(TEXT(AK112,"aaaa"))," ",PROPER(TEXT(AK112,"mm"))),_xlfn.CONCAT(PROPER(TEXT(E112,"aaaa"))," ",PROPER(TEXT(E112,"mm"))))</f>
        <v>2024 10</v>
      </c>
      <c r="AI112" s="9" t="str">
        <f ca="1">IF('Banco de Dados'!$AK112&lt;&gt;"-","REEMBOLSO",IFERROR(_xlfn.XLOOKUP(G112,Follow[CODRASTREIO],Follow[STATUS]),"-"))</f>
        <v>ENTREGUE</v>
      </c>
      <c r="AJ112" s="9">
        <f ca="1">IF('Banco de Dados'!$AI112="ENTREGUE",_xlfn.XLOOKUP('Banco de Dados'!$G112,Follow[CODRASTREIO],Follow[DATAATUALIZAÇÃO]),"-")</f>
        <v>45600</v>
      </c>
      <c r="AK112" s="9" t="str">
        <f ca="1"/>
        <v>-</v>
      </c>
      <c r="AL112" s="35" t="str">
        <v>-</v>
      </c>
      <c r="AM112" s="109" cm="1">
        <f t="array" aca="1" ref="AM112" ca="1">IF('Banco de Dados'!$AK112&lt;&gt;"-",_xlfn.IFS('Banco de Dados'!$A112="bv",IF('Banco de Dados'!$E112&lt;45641,ROUND(SUM('Banco de Dados'!$R112*_xlfn.XLOOKUP('Banco de Dados'!$P112,Sku!B:B,Sku!#REF!)*20%),2),ROUND(SUM('Banco de Dados'!$R112*_xlfn.XLOOKUP('Banco de Dados'!$P112,Sku!B:B,Sku!H:H)*20%),2)),'Banco de Dados'!$A112="GO",ROUND(_xlfn.XLOOKUP('Banco de Dados'!$P112,Sku!C:C,Sku!H:H),2),'Banco de Dados'!$A112="MEI",ROUND(_xlfn.XLOOKUP('Banco de Dados'!$P112,Sku!D:D,Sku!H:H),2)),0)</f>
        <v>0</v>
      </c>
      <c r="AN112" s="109">
        <f ca="1">IF('Banco de Dados'!$AK112&lt;&gt;"-",IF('Banco de Dados'!$F112&lt;&gt;"-",_xlfn.XLOOKUP(IFERROR(IFERROR(IFERROR(VALUE(SUBSTITUTE(MID(_xlfn.TEXTAFTER('Banco de Dados'!$F112,"Data do Pedido:
",1),1,10),"-","/")),VALUE(SUBSTITUTE(MID(_xlfn.TEXTAFTER('Banco de Dados'!$F112,"Order date:
",1),1,10),"-","/"))),VALUE(SUBSTITUTE(MID(_xlfn.TEXTAFTER('Banco de Dados'!$F112,"Fecha de pedido:
",1),1,10),"-","/"))),"-"),SMS!A:A,SMS!K:K),0),0)</f>
        <v>0</v>
      </c>
      <c r="AO112" s="109">
        <f ca="1">IF('Banco de Dados'!$AK112&lt;&gt;"-",IF('Banco de Dados'!$F112&lt;&gt;"-",IFERROR(_xlfn.XLOOKUP(_xlfn.CONCAT('Banco de Dados'!$A112,IFERROR(IFERROR(VALUE(SUBSTITUTE(MID(_xlfn.TEXTAFTER('Banco de Dados'!$F112,"Data do Pedido:
",1),1,10),"-","/")),VALUE(SUBSTITUTE(MID(_xlfn.TEXTAFTER('Banco de Dados'!$F112,"Order date:
",1),1,10),"-","/"))),0)),ProxyDD[Chave],ProxyDD[Valor por pedido]),PROXY!$P$2),0),0)</f>
        <v>0</v>
      </c>
      <c r="AP112" s="28">
        <f ca="1">IF('Banco de Dados'!$AK112&lt;&gt;"-",IF('Banco de Dados'!$AL112="NÃO",IFERROR(VALUE(SUBSTITUTE(_xlfn.TEXTAFTER('Banco de Dados'!$F112,"BRL ",1),".",",")),0),0),0)</f>
        <v>0</v>
      </c>
      <c r="AQ112" s="28">
        <f ca="1">SUM('Banco de Dados'!$AM112:$AP112)</f>
        <v>0</v>
      </c>
      <c r="AR112" s="8"/>
      <c r="AS112" s="8"/>
      <c r="AY112" s="8"/>
    </row>
    <row r="113" spans="1:51">
      <c r="A113" s="5" t="str">
        <v>BV</v>
      </c>
      <c r="B113" s="5" t="str">
        <f ca="1"/>
        <v>BV45592</v>
      </c>
      <c r="C113" s="8" t="str">
        <v>Pedido 110</v>
      </c>
      <c r="D113" s="9">
        <v>45592</v>
      </c>
      <c r="E113" s="9">
        <v>45592</v>
      </c>
      <c r="F113" s="8" t="str">
        <v>PedidoF103</v>
      </c>
      <c r="G113" s="2" t="str">
        <v>CódRastreio103</v>
      </c>
      <c r="H113" s="5">
        <v>1</v>
      </c>
      <c r="I113" s="2" t="str">
        <v>CPF 107</v>
      </c>
      <c r="J113" s="2" t="str">
        <v>Nome 107</v>
      </c>
      <c r="K113" s="8" t="str">
        <v>Tel 107</v>
      </c>
      <c r="L113" s="2" t="str">
        <v>Cep 107</v>
      </c>
      <c r="M113" s="2" t="str">
        <v>Rua 107</v>
      </c>
      <c r="N113" s="2" t="str">
        <v>Comp 107</v>
      </c>
      <c r="O113" s="2" t="str">
        <v>Bomba d'agua</v>
      </c>
      <c r="P113" s="8" t="str">
        <v>DJ-RO5O-43GF</v>
      </c>
      <c r="Q113" s="4">
        <v>45610</v>
      </c>
      <c r="R113" s="109">
        <v>18.2</v>
      </c>
      <c r="S113" s="11">
        <f ca="1"/>
        <v>18.2</v>
      </c>
      <c r="T113" s="28">
        <f ca="1"/>
        <v>2.548</v>
      </c>
      <c r="U113" s="11">
        <f ca="1"/>
        <v>15.65</v>
      </c>
      <c r="V113" s="11">
        <v>4.99</v>
      </c>
      <c r="W113" s="11">
        <f ca="1"/>
        <v>0.32</v>
      </c>
      <c r="X113" s="11">
        <f ca="1"/>
        <v>0.39877104377104378</v>
      </c>
      <c r="Y113" s="11">
        <v>0</v>
      </c>
      <c r="Z113" s="11">
        <f ca="1"/>
        <v>9.9412289562289562</v>
      </c>
      <c r="AA113" s="11">
        <f ca="1"/>
        <v>4.9706144781144781</v>
      </c>
      <c r="AB113" s="4">
        <f ca="1"/>
        <v>45617</v>
      </c>
      <c r="AC113" s="4">
        <v>45617</v>
      </c>
      <c r="AD113" s="9">
        <v>45617</v>
      </c>
      <c r="AE113" s="9">
        <v>45618</v>
      </c>
      <c r="AF113" s="4" t="str">
        <f t="shared" ca="1" si="1"/>
        <v>2024 11</v>
      </c>
      <c r="AG113" s="8" t="str" cm="1">
        <f t="array" ref="AG113">IFERROR(_xlfn.IFS('Banco de Dados'!#REF!="AG. COMPRA","Em processamento",'Banco de Dados'!#REF!="AG. RASTREIO","Em processamento",'Banco de Dados'!$AE113&lt;&gt;"-","Faturado",'Banco de Dados'!$AD113&lt;&gt;"-","Aguardando Pix",'Banco de Dados'!$AC113&lt;&gt;"-","Pendente"),"Aguardando Liberação")</f>
        <v>Aguardando Liberação</v>
      </c>
      <c r="AH113" s="5" t="str">
        <f>IF('Banco de Dados'!$F113="-",_xlfn.CONCAT(PROPER(TEXT(AK113,"aaaa"))," ",PROPER(TEXT(AK113,"mm"))),_xlfn.CONCAT(PROPER(TEXT(E113,"aaaa"))," ",PROPER(TEXT(E113,"mm"))))</f>
        <v>2024 10</v>
      </c>
      <c r="AI113" s="9" t="str">
        <f ca="1">IF('Banco de Dados'!$AK113&lt;&gt;"-","REEMBOLSO",IFERROR(_xlfn.XLOOKUP(G113,Follow[CODRASTREIO],Follow[STATUS]),"-"))</f>
        <v>ENTREGUE</v>
      </c>
      <c r="AJ113" s="9">
        <f ca="1">IF('Banco de Dados'!$AI113="ENTREGUE",_xlfn.XLOOKUP('Banco de Dados'!$G113,Follow[CODRASTREIO],Follow[DATAATUALIZAÇÃO]),"-")</f>
        <v>45596</v>
      </c>
      <c r="AK113" s="9" t="str">
        <f ca="1"/>
        <v>-</v>
      </c>
      <c r="AL113" s="35" t="str">
        <v>NÃO</v>
      </c>
      <c r="AM113" s="109" cm="1">
        <f t="array" aca="1" ref="AM113" ca="1">IF('Banco de Dados'!$AK113&lt;&gt;"-",_xlfn.IFS('Banco de Dados'!$A113="bv",IF('Banco de Dados'!$E113&lt;45641,ROUND(SUM('Banco de Dados'!$R113*_xlfn.XLOOKUP('Banco de Dados'!$P113,Sku!B:B,Sku!#REF!)*20%),2),ROUND(SUM('Banco de Dados'!$R113*_xlfn.XLOOKUP('Banco de Dados'!$P113,Sku!B:B,Sku!H:H)*20%),2)),'Banco de Dados'!$A113="GO",ROUND(_xlfn.XLOOKUP('Banco de Dados'!$P113,Sku!C:C,Sku!H:H),2),'Banco de Dados'!$A113="MEI",ROUND(_xlfn.XLOOKUP('Banco de Dados'!$P113,Sku!D:D,Sku!H:H),2)),0)</f>
        <v>0</v>
      </c>
      <c r="AN113" s="109">
        <f ca="1">IF('Banco de Dados'!$AK113&lt;&gt;"-",IF('Banco de Dados'!$F113&lt;&gt;"-",_xlfn.XLOOKUP(IFERROR(IFERROR(IFERROR(VALUE(SUBSTITUTE(MID(_xlfn.TEXTAFTER('Banco de Dados'!$F113,"Data do Pedido:
",1),1,10),"-","/")),VALUE(SUBSTITUTE(MID(_xlfn.TEXTAFTER('Banco de Dados'!$F113,"Order date:
",1),1,10),"-","/"))),VALUE(SUBSTITUTE(MID(_xlfn.TEXTAFTER('Banco de Dados'!$F113,"Fecha de pedido:
",1),1,10),"-","/"))),"-"),SMS!A:A,SMS!K:K),0),0)</f>
        <v>0</v>
      </c>
      <c r="AO113" s="109">
        <f ca="1">IF('Banco de Dados'!$AK113&lt;&gt;"-",IF('Banco de Dados'!$F113&lt;&gt;"-",IFERROR(_xlfn.XLOOKUP(_xlfn.CONCAT('Banco de Dados'!$A113,IFERROR(IFERROR(VALUE(SUBSTITUTE(MID(_xlfn.TEXTAFTER('Banco de Dados'!$F113,"Data do Pedido:
",1),1,10),"-","/")),VALUE(SUBSTITUTE(MID(_xlfn.TEXTAFTER('Banco de Dados'!$F113,"Order date:
",1),1,10),"-","/"))),0)),ProxyDD[Chave],ProxyDD[Valor por pedido]),PROXY!$P$2),0),0)</f>
        <v>0</v>
      </c>
      <c r="AP113" s="28">
        <f ca="1">IF('Banco de Dados'!$AK113&lt;&gt;"-",IF('Banco de Dados'!$AL113="NÃO",IFERROR(VALUE(SUBSTITUTE(_xlfn.TEXTAFTER('Banco de Dados'!$F113,"BRL ",1),".",",")),0),0),0)</f>
        <v>0</v>
      </c>
      <c r="AQ113" s="28">
        <f ca="1">SUM('Banco de Dados'!$AM113:$AP113)</f>
        <v>0</v>
      </c>
      <c r="AR113" s="8"/>
      <c r="AS113" s="8"/>
      <c r="AY113" s="8"/>
    </row>
    <row r="114" spans="1:51">
      <c r="A114" s="5" t="str">
        <v>BV</v>
      </c>
      <c r="B114" s="5" t="str">
        <f ca="1"/>
        <v>BV45592</v>
      </c>
      <c r="C114" s="8" t="str">
        <v>Pedido 111</v>
      </c>
      <c r="D114" s="9">
        <v>45592</v>
      </c>
      <c r="E114" s="9">
        <v>45592</v>
      </c>
      <c r="F114" s="8" t="str">
        <v>PedidoF104</v>
      </c>
      <c r="G114" s="2" t="str">
        <v>CódRastreio104</v>
      </c>
      <c r="H114" s="5">
        <v>1</v>
      </c>
      <c r="I114" s="2" t="str">
        <v>CPF 108</v>
      </c>
      <c r="J114" s="2" t="str">
        <v>Nome 108</v>
      </c>
      <c r="K114" s="8" t="str">
        <v>Tel 108</v>
      </c>
      <c r="L114" s="2" t="str">
        <v>Cep 108</v>
      </c>
      <c r="M114" s="2" t="str">
        <v>Rua 108</v>
      </c>
      <c r="N114" s="2" t="str">
        <v>Comp 108</v>
      </c>
      <c r="O114" s="2" t="str">
        <v>Suporte de Celular Branco</v>
      </c>
      <c r="P114" s="8" t="str">
        <v>16-4EDB-WMZF</v>
      </c>
      <c r="Q114" s="4">
        <v>45608</v>
      </c>
      <c r="R114" s="109">
        <v>15.99</v>
      </c>
      <c r="S114" s="11">
        <f ca="1"/>
        <v>15.99</v>
      </c>
      <c r="T114" s="28">
        <f ca="1"/>
        <v>2.3984999999999999</v>
      </c>
      <c r="U114" s="11">
        <f ca="1"/>
        <v>13.59</v>
      </c>
      <c r="V114" s="11">
        <v>4.99</v>
      </c>
      <c r="W114" s="11">
        <f ca="1"/>
        <v>0.32</v>
      </c>
      <c r="X114" s="11">
        <f ca="1"/>
        <v>0.39877104377104378</v>
      </c>
      <c r="Y114" s="11">
        <v>0</v>
      </c>
      <c r="Z114" s="11">
        <f ca="1"/>
        <v>7.8812289562289557</v>
      </c>
      <c r="AA114" s="11">
        <f ca="1"/>
        <v>3.9406144781144778</v>
      </c>
      <c r="AB114" s="4">
        <f ca="1"/>
        <v>45615</v>
      </c>
      <c r="AC114" s="4">
        <v>45615</v>
      </c>
      <c r="AD114" s="9">
        <v>45617</v>
      </c>
      <c r="AE114" s="9">
        <v>45618</v>
      </c>
      <c r="AF114" s="4" t="str">
        <f t="shared" ca="1" si="1"/>
        <v>2024 11</v>
      </c>
      <c r="AG114" s="8" t="str" cm="1">
        <f t="array" ref="AG114">IFERROR(_xlfn.IFS('Banco de Dados'!#REF!="AG. COMPRA","Em processamento",'Banco de Dados'!#REF!="AG. RASTREIO","Em processamento",'Banco de Dados'!$AE114&lt;&gt;"-","Faturado",'Banco de Dados'!$AD114&lt;&gt;"-","Aguardando Pix",'Banco de Dados'!$AC114&lt;&gt;"-","Pendente"),"Aguardando Liberação")</f>
        <v>Aguardando Liberação</v>
      </c>
      <c r="AH114" s="5" t="str">
        <f>IF('Banco de Dados'!$F114="-",_xlfn.CONCAT(PROPER(TEXT(AK114,"aaaa"))," ",PROPER(TEXT(AK114,"mm"))),_xlfn.CONCAT(PROPER(TEXT(E114,"aaaa"))," ",PROPER(TEXT(E114,"mm"))))</f>
        <v>2024 10</v>
      </c>
      <c r="AI114" s="9" t="str">
        <f ca="1">IF('Banco de Dados'!$AK114&lt;&gt;"-","REEMBOLSO",IFERROR(_xlfn.XLOOKUP(G114,Follow[CODRASTREIO],Follow[STATUS]),"-"))</f>
        <v>ENTREGUE</v>
      </c>
      <c r="AJ114" s="9">
        <f ca="1">IF('Banco de Dados'!$AI114="ENTREGUE",_xlfn.XLOOKUP('Banco de Dados'!$G114,Follow[CODRASTREIO],Follow[DATAATUALIZAÇÃO]),"-")</f>
        <v>45595</v>
      </c>
      <c r="AK114" s="9" t="str">
        <f ca="1"/>
        <v>-</v>
      </c>
      <c r="AL114" s="35" t="str">
        <v>SIM</v>
      </c>
      <c r="AM114" s="109" cm="1">
        <f t="array" aca="1" ref="AM114" ca="1">IF('Banco de Dados'!$AK114&lt;&gt;"-",_xlfn.IFS('Banco de Dados'!$A114="bv",IF('Banco de Dados'!$E114&lt;45641,ROUND(SUM('Banco de Dados'!$R114*_xlfn.XLOOKUP('Banco de Dados'!$P114,Sku!B:B,Sku!#REF!)*20%),2),ROUND(SUM('Banco de Dados'!$R114*_xlfn.XLOOKUP('Banco de Dados'!$P114,Sku!B:B,Sku!H:H)*20%),2)),'Banco de Dados'!$A114="GO",ROUND(_xlfn.XLOOKUP('Banco de Dados'!$P114,Sku!C:C,Sku!H:H),2),'Banco de Dados'!$A114="MEI",ROUND(_xlfn.XLOOKUP('Banco de Dados'!$P114,Sku!D:D,Sku!H:H),2)),0)</f>
        <v>0</v>
      </c>
      <c r="AN114" s="109">
        <f ca="1">IF('Banco de Dados'!$AK114&lt;&gt;"-",IF('Banco de Dados'!$F114&lt;&gt;"-",_xlfn.XLOOKUP(IFERROR(IFERROR(IFERROR(VALUE(SUBSTITUTE(MID(_xlfn.TEXTAFTER('Banco de Dados'!$F114,"Data do Pedido:
",1),1,10),"-","/")),VALUE(SUBSTITUTE(MID(_xlfn.TEXTAFTER('Banco de Dados'!$F114,"Order date:
",1),1,10),"-","/"))),VALUE(SUBSTITUTE(MID(_xlfn.TEXTAFTER('Banco de Dados'!$F114,"Fecha de pedido:
",1),1,10),"-","/"))),"-"),SMS!A:A,SMS!K:K),0),0)</f>
        <v>0</v>
      </c>
      <c r="AO114" s="109">
        <f ca="1">IF('Banco de Dados'!$AK114&lt;&gt;"-",IF('Banco de Dados'!$F114&lt;&gt;"-",IFERROR(_xlfn.XLOOKUP(_xlfn.CONCAT('Banco de Dados'!$A114,IFERROR(IFERROR(VALUE(SUBSTITUTE(MID(_xlfn.TEXTAFTER('Banco de Dados'!$F114,"Data do Pedido:
",1),1,10),"-","/")),VALUE(SUBSTITUTE(MID(_xlfn.TEXTAFTER('Banco de Dados'!$F114,"Order date:
",1),1,10),"-","/"))),0)),ProxyDD[Chave],ProxyDD[Valor por pedido]),PROXY!$P$2),0),0)</f>
        <v>0</v>
      </c>
      <c r="AP114" s="28">
        <f ca="1">IF('Banco de Dados'!$AK114&lt;&gt;"-",IF('Banco de Dados'!$AL114="NÃO",IFERROR(VALUE(SUBSTITUTE(_xlfn.TEXTAFTER('Banco de Dados'!$F114,"BRL ",1),".",",")),0),0),0)</f>
        <v>0</v>
      </c>
      <c r="AQ114" s="28">
        <f ca="1">SUM('Banco de Dados'!$AM114:$AP114)</f>
        <v>0</v>
      </c>
      <c r="AR114" s="8"/>
      <c r="AS114" s="8"/>
      <c r="AY114" s="8"/>
    </row>
    <row r="115" spans="1:51">
      <c r="A115" s="5" t="str">
        <v>BV</v>
      </c>
      <c r="B115" s="5" t="str">
        <f ca="1"/>
        <v>BV45592</v>
      </c>
      <c r="C115" s="8" t="str">
        <v>Pedido 112</v>
      </c>
      <c r="D115" s="9">
        <v>45592</v>
      </c>
      <c r="E115" s="9">
        <v>45592</v>
      </c>
      <c r="F115" s="8" t="str">
        <v>PedidoF105</v>
      </c>
      <c r="G115" s="2" t="str">
        <v>CódRastreio105</v>
      </c>
      <c r="H115" s="5">
        <v>1</v>
      </c>
      <c r="I115" s="3" t="str">
        <v>CPF 109</v>
      </c>
      <c r="J115" s="2" t="str">
        <v>Nome 109</v>
      </c>
      <c r="K115" s="8" t="str">
        <v>Tel 109</v>
      </c>
      <c r="L115" s="2" t="str">
        <v>Cep 109</v>
      </c>
      <c r="M115" s="2" t="str">
        <v>Rua 109</v>
      </c>
      <c r="N115" s="2" t="str">
        <v>Comp 109</v>
      </c>
      <c r="O115" s="2" t="str">
        <v>Suporte de Celular Branco</v>
      </c>
      <c r="P115" s="8" t="str">
        <v>16-4EDB-WMZF</v>
      </c>
      <c r="Q115" s="4">
        <v>45610</v>
      </c>
      <c r="R115" s="109">
        <v>15.99</v>
      </c>
      <c r="S115" s="11">
        <f ca="1"/>
        <v>15.99</v>
      </c>
      <c r="T115" s="28">
        <f ca="1"/>
        <v>2.3984999999999999</v>
      </c>
      <c r="U115" s="11">
        <f ca="1"/>
        <v>13.59</v>
      </c>
      <c r="V115" s="11">
        <v>4.99</v>
      </c>
      <c r="W115" s="11">
        <f ca="1"/>
        <v>0.32</v>
      </c>
      <c r="X115" s="11">
        <f ca="1"/>
        <v>0.39877104377104378</v>
      </c>
      <c r="Y115" s="11">
        <v>0</v>
      </c>
      <c r="Z115" s="11">
        <f ca="1"/>
        <v>7.8812289562289557</v>
      </c>
      <c r="AA115" s="11">
        <f ca="1"/>
        <v>3.9406144781144778</v>
      </c>
      <c r="AB115" s="4">
        <f ca="1"/>
        <v>45617</v>
      </c>
      <c r="AC115" s="4">
        <v>45617</v>
      </c>
      <c r="AD115" s="9">
        <v>45617</v>
      </c>
      <c r="AE115" s="9">
        <v>45618</v>
      </c>
      <c r="AF115" s="4" t="str">
        <f t="shared" ca="1" si="1"/>
        <v>2024 11</v>
      </c>
      <c r="AG115" s="8" t="str" cm="1">
        <f t="array" ref="AG115">IFERROR(_xlfn.IFS('Banco de Dados'!#REF!="AG. COMPRA","Em processamento",'Banco de Dados'!#REF!="AG. RASTREIO","Em processamento",'Banco de Dados'!$AE115&lt;&gt;"-","Faturado",'Banco de Dados'!$AD115&lt;&gt;"-","Aguardando Pix",'Banco de Dados'!$AC115&lt;&gt;"-","Pendente"),"Aguardando Liberação")</f>
        <v>Aguardando Liberação</v>
      </c>
      <c r="AH115" s="5" t="str">
        <f>IF('Banco de Dados'!$F115="-",_xlfn.CONCAT(PROPER(TEXT(AK115,"aaaa"))," ",PROPER(TEXT(AK115,"mm"))),_xlfn.CONCAT(PROPER(TEXT(E115,"aaaa"))," ",PROPER(TEXT(E115,"mm"))))</f>
        <v>2024 10</v>
      </c>
      <c r="AI115" s="9" t="str">
        <f ca="1">IF('Banco de Dados'!$AK115&lt;&gt;"-","REEMBOLSO",IFERROR(_xlfn.XLOOKUP(G115,Follow[CODRASTREIO],Follow[STATUS]),"-"))</f>
        <v>ENTREGUE</v>
      </c>
      <c r="AJ115" s="9">
        <f ca="1">IF('Banco de Dados'!$AI115="ENTREGUE",_xlfn.XLOOKUP('Banco de Dados'!$G115,Follow[CODRASTREIO],Follow[DATAATUALIZAÇÃO]),"-")</f>
        <v>45595</v>
      </c>
      <c r="AK115" s="9" t="str">
        <f ca="1"/>
        <v>-</v>
      </c>
      <c r="AL115" s="35" t="str">
        <v>NÃO</v>
      </c>
      <c r="AM115" s="109" cm="1">
        <f t="array" aca="1" ref="AM115" ca="1">IF('Banco de Dados'!$AK115&lt;&gt;"-",_xlfn.IFS('Banco de Dados'!$A115="bv",IF('Banco de Dados'!$E115&lt;45641,ROUND(SUM('Banco de Dados'!$R115*_xlfn.XLOOKUP('Banco de Dados'!$P115,Sku!B:B,Sku!#REF!)*20%),2),ROUND(SUM('Banco de Dados'!$R115*_xlfn.XLOOKUP('Banco de Dados'!$P115,Sku!B:B,Sku!H:H)*20%),2)),'Banco de Dados'!$A115="GO",ROUND(_xlfn.XLOOKUP('Banco de Dados'!$P115,Sku!C:C,Sku!H:H),2),'Banco de Dados'!$A115="MEI",ROUND(_xlfn.XLOOKUP('Banco de Dados'!$P115,Sku!D:D,Sku!H:H),2)),0)</f>
        <v>0</v>
      </c>
      <c r="AN115" s="109">
        <f ca="1">IF('Banco de Dados'!$AK115&lt;&gt;"-",IF('Banco de Dados'!$F115&lt;&gt;"-",_xlfn.XLOOKUP(IFERROR(IFERROR(IFERROR(VALUE(SUBSTITUTE(MID(_xlfn.TEXTAFTER('Banco de Dados'!$F115,"Data do Pedido:
",1),1,10),"-","/")),VALUE(SUBSTITUTE(MID(_xlfn.TEXTAFTER('Banco de Dados'!$F115,"Order date:
",1),1,10),"-","/"))),VALUE(SUBSTITUTE(MID(_xlfn.TEXTAFTER('Banco de Dados'!$F115,"Fecha de pedido:
",1),1,10),"-","/"))),"-"),SMS!A:A,SMS!K:K),0),0)</f>
        <v>0</v>
      </c>
      <c r="AO115" s="109">
        <f ca="1">IF('Banco de Dados'!$AK115&lt;&gt;"-",IF('Banco de Dados'!$F115&lt;&gt;"-",IFERROR(_xlfn.XLOOKUP(_xlfn.CONCAT('Banco de Dados'!$A115,IFERROR(IFERROR(VALUE(SUBSTITUTE(MID(_xlfn.TEXTAFTER('Banco de Dados'!$F115,"Data do Pedido:
",1),1,10),"-","/")),VALUE(SUBSTITUTE(MID(_xlfn.TEXTAFTER('Banco de Dados'!$F115,"Order date:
",1),1,10),"-","/"))),0)),ProxyDD[Chave],ProxyDD[Valor por pedido]),PROXY!$P$2),0),0)</f>
        <v>0</v>
      </c>
      <c r="AP115" s="28">
        <f ca="1">IF('Banco de Dados'!$AK115&lt;&gt;"-",IF('Banco de Dados'!$AL115="NÃO",IFERROR(VALUE(SUBSTITUTE(_xlfn.TEXTAFTER('Banco de Dados'!$F115,"BRL ",1),".",",")),0),0),0)</f>
        <v>0</v>
      </c>
      <c r="AQ115" s="28">
        <f ca="1">SUM('Banco de Dados'!$AM115:$AP115)</f>
        <v>0</v>
      </c>
      <c r="AR115" s="8"/>
      <c r="AS115" s="8"/>
      <c r="AY115" s="8"/>
    </row>
    <row r="116" spans="1:51">
      <c r="A116" s="5" t="str">
        <v>BV</v>
      </c>
      <c r="B116" s="5" t="str">
        <f ca="1"/>
        <v>BV45592</v>
      </c>
      <c r="C116" s="8" t="str">
        <v>Pedido 113</v>
      </c>
      <c r="D116" s="9">
        <v>45592</v>
      </c>
      <c r="E116" s="9">
        <v>45592</v>
      </c>
      <c r="F116" s="8" t="str">
        <v>PedidoF106</v>
      </c>
      <c r="G116" s="2" t="str">
        <v>CódRastreio106</v>
      </c>
      <c r="H116" s="5">
        <v>1</v>
      </c>
      <c r="I116" s="2" t="str">
        <v>CPF 110</v>
      </c>
      <c r="J116" s="2" t="str">
        <v>Nome 110</v>
      </c>
      <c r="K116" s="8" t="str">
        <v>Tel 110</v>
      </c>
      <c r="L116" s="2" t="str">
        <v>Cep 110</v>
      </c>
      <c r="M116" s="2" t="str">
        <v>Rua 110</v>
      </c>
      <c r="N116" s="2" t="str">
        <v>Comp 110</v>
      </c>
      <c r="O116" s="2" t="str">
        <v>Mini Liquidificador</v>
      </c>
      <c r="P116" s="8" t="str">
        <v>CK-YL6M-P5Y6</v>
      </c>
      <c r="Q116" s="4">
        <v>45617</v>
      </c>
      <c r="R116" s="109">
        <v>23.2</v>
      </c>
      <c r="S116" s="11">
        <f ca="1"/>
        <v>23.2</v>
      </c>
      <c r="T116" s="28">
        <f ca="1"/>
        <v>3.016</v>
      </c>
      <c r="U116" s="11">
        <f ca="1"/>
        <v>20.18</v>
      </c>
      <c r="V116" s="11">
        <v>9.99</v>
      </c>
      <c r="W116" s="11">
        <f ca="1"/>
        <v>0.32</v>
      </c>
      <c r="X116" s="11">
        <f ca="1"/>
        <v>0.39877104377104378</v>
      </c>
      <c r="Y116" s="11">
        <v>0</v>
      </c>
      <c r="Z116" s="11">
        <f ca="1"/>
        <v>9.4712289562289556</v>
      </c>
      <c r="AA116" s="11">
        <f ca="1"/>
        <v>4.7356144781144778</v>
      </c>
      <c r="AB116" s="4">
        <f ca="1"/>
        <v>45624</v>
      </c>
      <c r="AC116" s="4">
        <v>45624</v>
      </c>
      <c r="AD116" s="9">
        <v>45625</v>
      </c>
      <c r="AE116" s="9">
        <v>45625</v>
      </c>
      <c r="AF116" s="4" t="str">
        <f t="shared" ca="1" si="1"/>
        <v>2024 11</v>
      </c>
      <c r="AG116" s="8" t="str" cm="1">
        <f t="array" ref="AG116">IFERROR(_xlfn.IFS('Banco de Dados'!#REF!="AG. COMPRA","Em processamento",'Banco de Dados'!#REF!="AG. RASTREIO","Em processamento",'Banco de Dados'!$AE116&lt;&gt;"-","Faturado",'Banco de Dados'!$AD116&lt;&gt;"-","Aguardando Pix",'Banco de Dados'!$AC116&lt;&gt;"-","Pendente"),"Aguardando Liberação")</f>
        <v>Aguardando Liberação</v>
      </c>
      <c r="AH116" s="5" t="str">
        <f>IF('Banco de Dados'!$F116="-",_xlfn.CONCAT(PROPER(TEXT(AK116,"aaaa"))," ",PROPER(TEXT(AK116,"mm"))),_xlfn.CONCAT(PROPER(TEXT(E116,"aaaa"))," ",PROPER(TEXT(E116,"mm"))))</f>
        <v>2024 10</v>
      </c>
      <c r="AI116" s="9" t="str">
        <f ca="1">IF('Banco de Dados'!$AK116&lt;&gt;"-","REEMBOLSO",IFERROR(_xlfn.XLOOKUP(G116,Follow[CODRASTREIO],Follow[STATUS]),"-"))</f>
        <v>ENTREGUE</v>
      </c>
      <c r="AJ116" s="9">
        <f ca="1">IF('Banco de Dados'!$AI116="ENTREGUE",_xlfn.XLOOKUP('Banco de Dados'!$G116,Follow[CODRASTREIO],Follow[DATAATUALIZAÇÃO]),"-")</f>
        <v>45601</v>
      </c>
      <c r="AK116" s="9" t="str">
        <f ca="1"/>
        <v>-</v>
      </c>
      <c r="AL116" s="35" t="str">
        <v>SIM</v>
      </c>
      <c r="AM116" s="109" cm="1">
        <f t="array" aca="1" ref="AM116" ca="1">IF('Banco de Dados'!$AK116&lt;&gt;"-",_xlfn.IFS('Banco de Dados'!$A116="bv",IF('Banco de Dados'!$E116&lt;45641,ROUND(SUM('Banco de Dados'!$R116*_xlfn.XLOOKUP('Banco de Dados'!$P116,Sku!B:B,Sku!#REF!)*20%),2),ROUND(SUM('Banco de Dados'!$R116*_xlfn.XLOOKUP('Banco de Dados'!$P116,Sku!B:B,Sku!H:H)*20%),2)),'Banco de Dados'!$A116="GO",ROUND(_xlfn.XLOOKUP('Banco de Dados'!$P116,Sku!C:C,Sku!H:H),2),'Banco de Dados'!$A116="MEI",ROUND(_xlfn.XLOOKUP('Banco de Dados'!$P116,Sku!D:D,Sku!H:H),2)),0)</f>
        <v>0</v>
      </c>
      <c r="AN116" s="109">
        <f ca="1">IF('Banco de Dados'!$AK116&lt;&gt;"-",IF('Banco de Dados'!$F116&lt;&gt;"-",_xlfn.XLOOKUP(IFERROR(IFERROR(IFERROR(VALUE(SUBSTITUTE(MID(_xlfn.TEXTAFTER('Banco de Dados'!$F116,"Data do Pedido:
",1),1,10),"-","/")),VALUE(SUBSTITUTE(MID(_xlfn.TEXTAFTER('Banco de Dados'!$F116,"Order date:
",1),1,10),"-","/"))),VALUE(SUBSTITUTE(MID(_xlfn.TEXTAFTER('Banco de Dados'!$F116,"Fecha de pedido:
",1),1,10),"-","/"))),"-"),SMS!A:A,SMS!K:K),0),0)</f>
        <v>0</v>
      </c>
      <c r="AO116" s="109">
        <f ca="1">IF('Banco de Dados'!$AK116&lt;&gt;"-",IF('Banco de Dados'!$F116&lt;&gt;"-",IFERROR(_xlfn.XLOOKUP(_xlfn.CONCAT('Banco de Dados'!$A116,IFERROR(IFERROR(VALUE(SUBSTITUTE(MID(_xlfn.TEXTAFTER('Banco de Dados'!$F116,"Data do Pedido:
",1),1,10),"-","/")),VALUE(SUBSTITUTE(MID(_xlfn.TEXTAFTER('Banco de Dados'!$F116,"Order date:
",1),1,10),"-","/"))),0)),ProxyDD[Chave],ProxyDD[Valor por pedido]),PROXY!$P$2),0),0)</f>
        <v>0</v>
      </c>
      <c r="AP116" s="28">
        <f ca="1">IF('Banco de Dados'!$AK116&lt;&gt;"-",IF('Banco de Dados'!$AL116="NÃO",IFERROR(VALUE(SUBSTITUTE(_xlfn.TEXTAFTER('Banco de Dados'!$F116,"BRL ",1),".",",")),0),0),0)</f>
        <v>0</v>
      </c>
      <c r="AQ116" s="28">
        <f ca="1">SUM('Banco de Dados'!$AM116:$AP116)</f>
        <v>0</v>
      </c>
      <c r="AR116" s="8"/>
      <c r="AS116" s="8"/>
      <c r="AY116" s="8"/>
    </row>
    <row r="117" spans="1:51">
      <c r="A117" s="5" t="str">
        <v>BV</v>
      </c>
      <c r="B117" s="5" t="str">
        <f ca="1"/>
        <v>BV45592</v>
      </c>
      <c r="C117" s="8" t="str">
        <v>Pedido 114</v>
      </c>
      <c r="D117" s="9">
        <v>45592</v>
      </c>
      <c r="E117" s="9">
        <v>45592</v>
      </c>
      <c r="F117" s="8" t="str">
        <v>PedidoF107</v>
      </c>
      <c r="G117" s="2" t="str">
        <v>CódRastreio107</v>
      </c>
      <c r="H117" s="5">
        <v>1</v>
      </c>
      <c r="I117" s="3" t="str">
        <v>CPF 111</v>
      </c>
      <c r="J117" s="2" t="str">
        <v>Nome 111</v>
      </c>
      <c r="K117" s="8" t="str">
        <v>Tel 111</v>
      </c>
      <c r="L117" s="2" t="str">
        <v>Cep 111</v>
      </c>
      <c r="M117" s="2" t="str">
        <v>Rua 111</v>
      </c>
      <c r="N117" s="2" t="str">
        <v>Comp 111</v>
      </c>
      <c r="O117" s="2" t="str">
        <v>Mini Liquidificador</v>
      </c>
      <c r="P117" s="8" t="str">
        <v>CK-YL6M-P5Y6</v>
      </c>
      <c r="Q117" s="4">
        <v>45617</v>
      </c>
      <c r="R117" s="109">
        <v>23.2</v>
      </c>
      <c r="S117" s="11">
        <f ca="1"/>
        <v>23.2</v>
      </c>
      <c r="T117" s="28">
        <f ca="1"/>
        <v>3.016</v>
      </c>
      <c r="U117" s="11">
        <f ca="1"/>
        <v>20.18</v>
      </c>
      <c r="V117" s="11">
        <v>9.99</v>
      </c>
      <c r="W117" s="11">
        <f ca="1"/>
        <v>0.32</v>
      </c>
      <c r="X117" s="11">
        <f ca="1"/>
        <v>0.39877104377104378</v>
      </c>
      <c r="Y117" s="11">
        <v>0</v>
      </c>
      <c r="Z117" s="11">
        <f ca="1"/>
        <v>9.4712289562289556</v>
      </c>
      <c r="AA117" s="11">
        <f ca="1"/>
        <v>4.7356144781144778</v>
      </c>
      <c r="AB117" s="4">
        <f ca="1"/>
        <v>45624</v>
      </c>
      <c r="AC117" s="4">
        <v>45624</v>
      </c>
      <c r="AD117" s="9">
        <v>45625</v>
      </c>
      <c r="AE117" s="9">
        <v>45625</v>
      </c>
      <c r="AF117" s="4" t="str">
        <f t="shared" ca="1" si="1"/>
        <v>2024 11</v>
      </c>
      <c r="AG117" s="8" t="str" cm="1">
        <f t="array" ref="AG117">IFERROR(_xlfn.IFS('Banco de Dados'!#REF!="AG. COMPRA","Em processamento",'Banco de Dados'!#REF!="AG. RASTREIO","Em processamento",'Banco de Dados'!$AE117&lt;&gt;"-","Faturado",'Banco de Dados'!$AD117&lt;&gt;"-","Aguardando Pix",'Banco de Dados'!$AC117&lt;&gt;"-","Pendente"),"Aguardando Liberação")</f>
        <v>Aguardando Liberação</v>
      </c>
      <c r="AH117" s="5" t="str">
        <f>IF('Banco de Dados'!$F117="-",_xlfn.CONCAT(PROPER(TEXT(AK117,"aaaa"))," ",PROPER(TEXT(AK117,"mm"))),_xlfn.CONCAT(PROPER(TEXT(E117,"aaaa"))," ",PROPER(TEXT(E117,"mm"))))</f>
        <v>2024 10</v>
      </c>
      <c r="AI117" s="9" t="str">
        <f ca="1">IF('Banco de Dados'!$AK117&lt;&gt;"-","REEMBOLSO",IFERROR(_xlfn.XLOOKUP(G117,Follow[CODRASTREIO],Follow[STATUS]),"-"))</f>
        <v>ENTREGUE</v>
      </c>
      <c r="AJ117" s="9">
        <f ca="1">IF('Banco de Dados'!$AI117="ENTREGUE",_xlfn.XLOOKUP('Banco de Dados'!$G117,Follow[CODRASTREIO],Follow[DATAATUALIZAÇÃO]),"-")</f>
        <v>45605</v>
      </c>
      <c r="AK117" s="9" t="str">
        <f ca="1"/>
        <v>-</v>
      </c>
      <c r="AL117" s="35" t="str">
        <v>SIM</v>
      </c>
      <c r="AM117" s="109" cm="1">
        <f t="array" aca="1" ref="AM117" ca="1">IF('Banco de Dados'!$AK117&lt;&gt;"-",_xlfn.IFS('Banco de Dados'!$A117="bv",IF('Banco de Dados'!$E117&lt;45641,ROUND(SUM('Banco de Dados'!$R117*_xlfn.XLOOKUP('Banco de Dados'!$P117,Sku!B:B,Sku!#REF!)*20%),2),ROUND(SUM('Banco de Dados'!$R117*_xlfn.XLOOKUP('Banco de Dados'!$P117,Sku!B:B,Sku!H:H)*20%),2)),'Banco de Dados'!$A117="GO",ROUND(_xlfn.XLOOKUP('Banco de Dados'!$P117,Sku!C:C,Sku!H:H),2),'Banco de Dados'!$A117="MEI",ROUND(_xlfn.XLOOKUP('Banco de Dados'!$P117,Sku!D:D,Sku!H:H),2)),0)</f>
        <v>0</v>
      </c>
      <c r="AN117" s="109">
        <f ca="1">IF('Banco de Dados'!$AK117&lt;&gt;"-",IF('Banco de Dados'!$F117&lt;&gt;"-",_xlfn.XLOOKUP(IFERROR(IFERROR(IFERROR(VALUE(SUBSTITUTE(MID(_xlfn.TEXTAFTER('Banco de Dados'!$F117,"Data do Pedido:
",1),1,10),"-","/")),VALUE(SUBSTITUTE(MID(_xlfn.TEXTAFTER('Banco de Dados'!$F117,"Order date:
",1),1,10),"-","/"))),VALUE(SUBSTITUTE(MID(_xlfn.TEXTAFTER('Banco de Dados'!$F117,"Fecha de pedido:
",1),1,10),"-","/"))),"-"),SMS!A:A,SMS!K:K),0),0)</f>
        <v>0</v>
      </c>
      <c r="AO117" s="109">
        <f ca="1">IF('Banco de Dados'!$AK117&lt;&gt;"-",IF('Banco de Dados'!$F117&lt;&gt;"-",IFERROR(_xlfn.XLOOKUP(_xlfn.CONCAT('Banco de Dados'!$A117,IFERROR(IFERROR(VALUE(SUBSTITUTE(MID(_xlfn.TEXTAFTER('Banco de Dados'!$F117,"Data do Pedido:
",1),1,10),"-","/")),VALUE(SUBSTITUTE(MID(_xlfn.TEXTAFTER('Banco de Dados'!$F117,"Order date:
",1),1,10),"-","/"))),0)),ProxyDD[Chave],ProxyDD[Valor por pedido]),PROXY!$P$2),0),0)</f>
        <v>0</v>
      </c>
      <c r="AP117" s="28">
        <f ca="1">IF('Banco de Dados'!$AK117&lt;&gt;"-",IF('Banco de Dados'!$AL117="NÃO",IFERROR(VALUE(SUBSTITUTE(_xlfn.TEXTAFTER('Banco de Dados'!$F117,"BRL ",1),".",",")),0),0),0)</f>
        <v>0</v>
      </c>
      <c r="AQ117" s="28">
        <f ca="1">SUM('Banco de Dados'!$AM117:$AP117)</f>
        <v>0</v>
      </c>
      <c r="AR117" s="8"/>
      <c r="AS117" s="8"/>
      <c r="AY117" s="8"/>
    </row>
    <row r="118" spans="1:51">
      <c r="A118" s="5" t="str">
        <v>BV</v>
      </c>
      <c r="B118" s="5" t="str">
        <f ca="1"/>
        <v>BV45592</v>
      </c>
      <c r="C118" s="8" t="str">
        <v>Pedido 115</v>
      </c>
      <c r="D118" s="9">
        <v>45592</v>
      </c>
      <c r="E118" s="9">
        <v>45592</v>
      </c>
      <c r="F118" s="8" t="str">
        <v>PedidoF108</v>
      </c>
      <c r="G118" s="2" t="str">
        <v>CódRastreio108</v>
      </c>
      <c r="H118" s="5">
        <v>1</v>
      </c>
      <c r="I118" s="3" t="str">
        <v>CPF 112</v>
      </c>
      <c r="J118" s="2" t="str">
        <v>Nome 112</v>
      </c>
      <c r="K118" s="8" t="str">
        <v>Tel 112</v>
      </c>
      <c r="L118" s="2" t="str">
        <v>Cep 112</v>
      </c>
      <c r="M118" s="2" t="str">
        <v>Rua 112</v>
      </c>
      <c r="N118" s="2" t="str">
        <v>Comp 112</v>
      </c>
      <c r="O118" s="2" t="str">
        <v>Suporte de Celular Branco</v>
      </c>
      <c r="P118" s="8" t="str">
        <v>16-4EDB-WMZF</v>
      </c>
      <c r="Q118" s="4">
        <v>45610</v>
      </c>
      <c r="R118" s="109">
        <v>15.99</v>
      </c>
      <c r="S118" s="11">
        <f ca="1"/>
        <v>15.99</v>
      </c>
      <c r="T118" s="28">
        <f ca="1"/>
        <v>2.3984999999999999</v>
      </c>
      <c r="U118" s="11">
        <f ca="1"/>
        <v>13.59</v>
      </c>
      <c r="V118" s="11">
        <v>4.99</v>
      </c>
      <c r="W118" s="11">
        <f ca="1"/>
        <v>0.32</v>
      </c>
      <c r="X118" s="11">
        <f ca="1"/>
        <v>0.39877104377104378</v>
      </c>
      <c r="Y118" s="11">
        <v>0</v>
      </c>
      <c r="Z118" s="11">
        <f ca="1"/>
        <v>7.8812289562289557</v>
      </c>
      <c r="AA118" s="11">
        <f ca="1"/>
        <v>3.9406144781144778</v>
      </c>
      <c r="AB118" s="4">
        <f ca="1"/>
        <v>45617</v>
      </c>
      <c r="AC118" s="4">
        <v>45617</v>
      </c>
      <c r="AD118" s="9">
        <v>45617</v>
      </c>
      <c r="AE118" s="9">
        <v>45618</v>
      </c>
      <c r="AF118" s="4" t="str">
        <f t="shared" ca="1" si="1"/>
        <v>2024 11</v>
      </c>
      <c r="AG118" s="8" t="str" cm="1">
        <f t="array" ref="AG118">IFERROR(_xlfn.IFS('Banco de Dados'!#REF!="AG. COMPRA","Em processamento",'Banco de Dados'!#REF!="AG. RASTREIO","Em processamento",'Banco de Dados'!$AE118&lt;&gt;"-","Faturado",'Banco de Dados'!$AD118&lt;&gt;"-","Aguardando Pix",'Banco de Dados'!$AC118&lt;&gt;"-","Pendente"),"Aguardando Liberação")</f>
        <v>Aguardando Liberação</v>
      </c>
      <c r="AH118" s="5" t="str">
        <f>IF('Banco de Dados'!$F118="-",_xlfn.CONCAT(PROPER(TEXT(AK118,"aaaa"))," ",PROPER(TEXT(AK118,"mm"))),_xlfn.CONCAT(PROPER(TEXT(E118,"aaaa"))," ",PROPER(TEXT(E118,"mm"))))</f>
        <v>2024 10</v>
      </c>
      <c r="AI118" s="9" t="str">
        <f ca="1">IF('Banco de Dados'!$AK118&lt;&gt;"-","REEMBOLSO",IFERROR(_xlfn.XLOOKUP(G118,Follow[CODRASTREIO],Follow[STATUS]),"-"))</f>
        <v>ENTREGUE</v>
      </c>
      <c r="AJ118" s="9">
        <f ca="1">IF('Banco de Dados'!$AI118="ENTREGUE",_xlfn.XLOOKUP('Banco de Dados'!$G118,Follow[CODRASTREIO],Follow[DATAATUALIZAÇÃO]),"-")</f>
        <v>45608</v>
      </c>
      <c r="AK118" s="9" t="str">
        <f ca="1"/>
        <v>-</v>
      </c>
      <c r="AL118" s="35" t="str">
        <v>-</v>
      </c>
      <c r="AM118" s="109" cm="1">
        <f t="array" aca="1" ref="AM118" ca="1">IF('Banco de Dados'!$AK118&lt;&gt;"-",_xlfn.IFS('Banco de Dados'!$A118="bv",IF('Banco de Dados'!$E118&lt;45641,ROUND(SUM('Banco de Dados'!$R118*_xlfn.XLOOKUP('Banco de Dados'!$P118,Sku!B:B,Sku!#REF!)*20%),2),ROUND(SUM('Banco de Dados'!$R118*_xlfn.XLOOKUP('Banco de Dados'!$P118,Sku!B:B,Sku!H:H)*20%),2)),'Banco de Dados'!$A118="GO",ROUND(_xlfn.XLOOKUP('Banco de Dados'!$P118,Sku!C:C,Sku!H:H),2),'Banco de Dados'!$A118="MEI",ROUND(_xlfn.XLOOKUP('Banco de Dados'!$P118,Sku!D:D,Sku!H:H),2)),0)</f>
        <v>0</v>
      </c>
      <c r="AN118" s="109">
        <f ca="1">IF('Banco de Dados'!$AK118&lt;&gt;"-",IF('Banco de Dados'!$F118&lt;&gt;"-",_xlfn.XLOOKUP(IFERROR(IFERROR(IFERROR(VALUE(SUBSTITUTE(MID(_xlfn.TEXTAFTER('Banco de Dados'!$F118,"Data do Pedido:
",1),1,10),"-","/")),VALUE(SUBSTITUTE(MID(_xlfn.TEXTAFTER('Banco de Dados'!$F118,"Order date:
",1),1,10),"-","/"))),VALUE(SUBSTITUTE(MID(_xlfn.TEXTAFTER('Banco de Dados'!$F118,"Fecha de pedido:
",1),1,10),"-","/"))),"-"),SMS!A:A,SMS!K:K),0),0)</f>
        <v>0</v>
      </c>
      <c r="AO118" s="109">
        <f ca="1">IF('Banco de Dados'!$AK118&lt;&gt;"-",IF('Banco de Dados'!$F118&lt;&gt;"-",IFERROR(_xlfn.XLOOKUP(_xlfn.CONCAT('Banco de Dados'!$A118,IFERROR(IFERROR(VALUE(SUBSTITUTE(MID(_xlfn.TEXTAFTER('Banco de Dados'!$F118,"Data do Pedido:
",1),1,10),"-","/")),VALUE(SUBSTITUTE(MID(_xlfn.TEXTAFTER('Banco de Dados'!$F118,"Order date:
",1),1,10),"-","/"))),0)),ProxyDD[Chave],ProxyDD[Valor por pedido]),PROXY!$P$2),0),0)</f>
        <v>0</v>
      </c>
      <c r="AP118" s="28">
        <f ca="1">IF('Banco de Dados'!$AK118&lt;&gt;"-",IF('Banco de Dados'!$AL118="NÃO",IFERROR(VALUE(SUBSTITUTE(_xlfn.TEXTAFTER('Banco de Dados'!$F118,"BRL ",1),".",",")),0),0),0)</f>
        <v>0</v>
      </c>
      <c r="AQ118" s="28">
        <f ca="1">SUM('Banco de Dados'!$AM118:$AP118)</f>
        <v>0</v>
      </c>
      <c r="AR118" s="8"/>
      <c r="AS118" s="8"/>
      <c r="AY118" s="8"/>
    </row>
    <row r="119" spans="1:51">
      <c r="A119" s="5" t="str">
        <v>BV</v>
      </c>
      <c r="B119" s="5" t="str">
        <f ca="1"/>
        <v>BV45592</v>
      </c>
      <c r="C119" s="8" t="str">
        <v>Pedido 116</v>
      </c>
      <c r="D119" s="9">
        <v>45592</v>
      </c>
      <c r="E119" s="9">
        <v>45592</v>
      </c>
      <c r="F119" s="8" t="str">
        <v>PedidoF109</v>
      </c>
      <c r="G119" s="2" t="str">
        <v>CódRastreio109</v>
      </c>
      <c r="H119" s="5">
        <v>1</v>
      </c>
      <c r="I119" s="3" t="str">
        <v>CPF 113</v>
      </c>
      <c r="J119" s="2" t="str">
        <v>Nome 113</v>
      </c>
      <c r="K119" s="8" t="str">
        <v>Tel 113</v>
      </c>
      <c r="L119" s="2" t="str">
        <v>Cep 113</v>
      </c>
      <c r="M119" s="2" t="str">
        <v>Rua 113</v>
      </c>
      <c r="N119" s="2" t="str">
        <v>Comp 113</v>
      </c>
      <c r="O119" s="2" t="str">
        <v>Bomba d'agua</v>
      </c>
      <c r="P119" s="8" t="str">
        <v>DJ-RO5O-43GF</v>
      </c>
      <c r="Q119" s="4">
        <v>45617</v>
      </c>
      <c r="R119" s="109">
        <v>18.2</v>
      </c>
      <c r="S119" s="11">
        <f ca="1"/>
        <v>18.2</v>
      </c>
      <c r="T119" s="28">
        <f ca="1"/>
        <v>2.548</v>
      </c>
      <c r="U119" s="11">
        <f ca="1"/>
        <v>15.65</v>
      </c>
      <c r="V119" s="11">
        <v>4.99</v>
      </c>
      <c r="W119" s="11">
        <f ca="1"/>
        <v>0.32</v>
      </c>
      <c r="X119" s="11">
        <f ca="1"/>
        <v>0.39877104377104378</v>
      </c>
      <c r="Y119" s="11">
        <v>0</v>
      </c>
      <c r="Z119" s="11">
        <f ca="1"/>
        <v>9.9412289562289562</v>
      </c>
      <c r="AA119" s="11">
        <f ca="1"/>
        <v>4.9706144781144781</v>
      </c>
      <c r="AB119" s="4">
        <f ca="1"/>
        <v>45624</v>
      </c>
      <c r="AC119" s="4">
        <v>45624</v>
      </c>
      <c r="AD119" s="9">
        <v>45625</v>
      </c>
      <c r="AE119" s="9">
        <v>45625</v>
      </c>
      <c r="AF119" s="4" t="str">
        <f t="shared" ca="1" si="1"/>
        <v>2024 11</v>
      </c>
      <c r="AG119" s="8" t="str" cm="1">
        <f t="array" ref="AG119">IFERROR(_xlfn.IFS('Banco de Dados'!#REF!="AG. COMPRA","Em processamento",'Banco de Dados'!#REF!="AG. RASTREIO","Em processamento",'Banco de Dados'!$AE119&lt;&gt;"-","Faturado",'Banco de Dados'!$AD119&lt;&gt;"-","Aguardando Pix",'Banco de Dados'!$AC119&lt;&gt;"-","Pendente"),"Aguardando Liberação")</f>
        <v>Aguardando Liberação</v>
      </c>
      <c r="AH119" s="5" t="str">
        <f>IF('Banco de Dados'!$F119="-",_xlfn.CONCAT(PROPER(TEXT(AK119,"aaaa"))," ",PROPER(TEXT(AK119,"mm"))),_xlfn.CONCAT(PROPER(TEXT(E119,"aaaa"))," ",PROPER(TEXT(E119,"mm"))))</f>
        <v>2024 10</v>
      </c>
      <c r="AI119" s="9" t="str">
        <f ca="1">IF('Banco de Dados'!$AK119&lt;&gt;"-","REEMBOLSO",IFERROR(_xlfn.XLOOKUP(G119,Follow[CODRASTREIO],Follow[STATUS]),"-"))</f>
        <v>ENTREGUE</v>
      </c>
      <c r="AJ119" s="9">
        <f ca="1">IF('Banco de Dados'!$AI119="ENTREGUE",_xlfn.XLOOKUP('Banco de Dados'!$G119,Follow[CODRASTREIO],Follow[DATAATUALIZAÇÃO]),"-")</f>
        <v>45597</v>
      </c>
      <c r="AK119" s="9" t="str">
        <f ca="1"/>
        <v>-</v>
      </c>
      <c r="AL119" s="35" t="str">
        <v>NÃO</v>
      </c>
      <c r="AM119" s="109" cm="1">
        <f t="array" aca="1" ref="AM119" ca="1">IF('Banco de Dados'!$AK119&lt;&gt;"-",_xlfn.IFS('Banco de Dados'!$A119="bv",IF('Banco de Dados'!$E119&lt;45641,ROUND(SUM('Banco de Dados'!$R119*_xlfn.XLOOKUP('Banco de Dados'!$P119,Sku!B:B,Sku!#REF!)*20%),2),ROUND(SUM('Banco de Dados'!$R119*_xlfn.XLOOKUP('Banco de Dados'!$P119,Sku!B:B,Sku!H:H)*20%),2)),'Banco de Dados'!$A119="GO",ROUND(_xlfn.XLOOKUP('Banco de Dados'!$P119,Sku!C:C,Sku!H:H),2),'Banco de Dados'!$A119="MEI",ROUND(_xlfn.XLOOKUP('Banco de Dados'!$P119,Sku!D:D,Sku!H:H),2)),0)</f>
        <v>0</v>
      </c>
      <c r="AN119" s="109">
        <f ca="1">IF('Banco de Dados'!$AK119&lt;&gt;"-",IF('Banco de Dados'!$F119&lt;&gt;"-",_xlfn.XLOOKUP(IFERROR(IFERROR(IFERROR(VALUE(SUBSTITUTE(MID(_xlfn.TEXTAFTER('Banco de Dados'!$F119,"Data do Pedido:
",1),1,10),"-","/")),VALUE(SUBSTITUTE(MID(_xlfn.TEXTAFTER('Banco de Dados'!$F119,"Order date:
",1),1,10),"-","/"))),VALUE(SUBSTITUTE(MID(_xlfn.TEXTAFTER('Banco de Dados'!$F119,"Fecha de pedido:
",1),1,10),"-","/"))),"-"),SMS!A:A,SMS!K:K),0),0)</f>
        <v>0</v>
      </c>
      <c r="AO119" s="109">
        <f ca="1">IF('Banco de Dados'!$AK119&lt;&gt;"-",IF('Banco de Dados'!$F119&lt;&gt;"-",IFERROR(_xlfn.XLOOKUP(_xlfn.CONCAT('Banco de Dados'!$A119,IFERROR(IFERROR(VALUE(SUBSTITUTE(MID(_xlfn.TEXTAFTER('Banco de Dados'!$F119,"Data do Pedido:
",1),1,10),"-","/")),VALUE(SUBSTITUTE(MID(_xlfn.TEXTAFTER('Banco de Dados'!$F119,"Order date:
",1),1,10),"-","/"))),0)),ProxyDD[Chave],ProxyDD[Valor por pedido]),PROXY!$P$2),0),0)</f>
        <v>0</v>
      </c>
      <c r="AP119" s="28">
        <f ca="1">IF('Banco de Dados'!$AK119&lt;&gt;"-",IF('Banco de Dados'!$AL119="NÃO",IFERROR(VALUE(SUBSTITUTE(_xlfn.TEXTAFTER('Banco de Dados'!$F119,"BRL ",1),".",",")),0),0),0)</f>
        <v>0</v>
      </c>
      <c r="AQ119" s="28">
        <f ca="1">SUM('Banco de Dados'!$AM119:$AP119)</f>
        <v>0</v>
      </c>
      <c r="AR119" s="8"/>
      <c r="AS119" s="8"/>
      <c r="AY119" s="8"/>
    </row>
    <row r="120" spans="1:51">
      <c r="A120" s="5" t="str">
        <v>BV</v>
      </c>
      <c r="B120" s="5" t="str">
        <f ca="1"/>
        <v>BV45592</v>
      </c>
      <c r="C120" s="8" t="str">
        <v>Pedido 117</v>
      </c>
      <c r="D120" s="9">
        <v>45592</v>
      </c>
      <c r="E120" s="9">
        <v>45592</v>
      </c>
      <c r="F120" s="8" t="str">
        <v>PedidoF110</v>
      </c>
      <c r="G120" s="2" t="str">
        <v>CódRastreio110</v>
      </c>
      <c r="H120" s="5">
        <v>1</v>
      </c>
      <c r="I120" s="2" t="str">
        <v>CPF 114</v>
      </c>
      <c r="J120" s="2" t="str">
        <v>Nome 114</v>
      </c>
      <c r="K120" s="8" t="str">
        <v>Tel 114</v>
      </c>
      <c r="L120" s="2" t="str">
        <v>Cep 114</v>
      </c>
      <c r="M120" s="2" t="str">
        <v>Rua 114</v>
      </c>
      <c r="N120" s="2" t="str">
        <v>Comp 114</v>
      </c>
      <c r="O120" s="2" t="str">
        <v>Suporte de Celular Branco</v>
      </c>
      <c r="P120" s="8" t="str">
        <v>16-4EDB-WMZF</v>
      </c>
      <c r="Q120" s="4">
        <v>45604</v>
      </c>
      <c r="R120" s="109">
        <v>15.99</v>
      </c>
      <c r="S120" s="11">
        <f ca="1"/>
        <v>15.99</v>
      </c>
      <c r="T120" s="28">
        <f ca="1"/>
        <v>2.3984999999999999</v>
      </c>
      <c r="U120" s="11">
        <f ca="1"/>
        <v>13.59</v>
      </c>
      <c r="V120" s="11">
        <v>4.99</v>
      </c>
      <c r="W120" s="11">
        <f ca="1"/>
        <v>0.32</v>
      </c>
      <c r="X120" s="11">
        <f ca="1"/>
        <v>0.39877104377104378</v>
      </c>
      <c r="Y120" s="11">
        <v>0</v>
      </c>
      <c r="Z120" s="11">
        <f ca="1"/>
        <v>7.8812289562289557</v>
      </c>
      <c r="AA120" s="11">
        <f ca="1"/>
        <v>3.9406144781144778</v>
      </c>
      <c r="AB120" s="4">
        <f ca="1"/>
        <v>45611</v>
      </c>
      <c r="AC120" s="4">
        <v>45611</v>
      </c>
      <c r="AD120" s="9">
        <v>45617</v>
      </c>
      <c r="AE120" s="9">
        <v>45618</v>
      </c>
      <c r="AF120" s="4" t="str">
        <f t="shared" ca="1" si="1"/>
        <v>2024 11</v>
      </c>
      <c r="AG120" s="8" t="str" cm="1">
        <f t="array" ref="AG120">IFERROR(_xlfn.IFS('Banco de Dados'!#REF!="AG. COMPRA","Em processamento",'Banco de Dados'!#REF!="AG. RASTREIO","Em processamento",'Banco de Dados'!$AE120&lt;&gt;"-","Faturado",'Banco de Dados'!$AD120&lt;&gt;"-","Aguardando Pix",'Banco de Dados'!$AC120&lt;&gt;"-","Pendente"),"Aguardando Liberação")</f>
        <v>Aguardando Liberação</v>
      </c>
      <c r="AH120" s="5" t="str">
        <f>IF('Banco de Dados'!$F120="-",_xlfn.CONCAT(PROPER(TEXT(AK120,"aaaa"))," ",PROPER(TEXT(AK120,"mm"))),_xlfn.CONCAT(PROPER(TEXT(E120,"aaaa"))," ",PROPER(TEXT(E120,"mm"))))</f>
        <v>2024 10</v>
      </c>
      <c r="AI120" s="9" t="str">
        <f ca="1">IF('Banco de Dados'!$AK120&lt;&gt;"-","REEMBOLSO",IFERROR(_xlfn.XLOOKUP(G120,Follow[CODRASTREIO],Follow[STATUS]),"-"))</f>
        <v>ENTREGUE</v>
      </c>
      <c r="AJ120" s="9">
        <f ca="1">IF('Banco de Dados'!$AI120="ENTREGUE",_xlfn.XLOOKUP('Banco de Dados'!$G120,Follow[CODRASTREIO],Follow[DATAATUALIZAÇÃO]),"-")</f>
        <v>45596</v>
      </c>
      <c r="AK120" s="9" t="str">
        <f ca="1"/>
        <v>-</v>
      </c>
      <c r="AL120" s="35" t="str">
        <v>SIM</v>
      </c>
      <c r="AM120" s="109" cm="1">
        <f t="array" aca="1" ref="AM120" ca="1">IF('Banco de Dados'!$AK120&lt;&gt;"-",_xlfn.IFS('Banco de Dados'!$A120="bv",IF('Banco de Dados'!$E120&lt;45641,ROUND(SUM('Banco de Dados'!$R120*_xlfn.XLOOKUP('Banco de Dados'!$P120,Sku!B:B,Sku!#REF!)*20%),2),ROUND(SUM('Banco de Dados'!$R120*_xlfn.XLOOKUP('Banco de Dados'!$P120,Sku!B:B,Sku!H:H)*20%),2)),'Banco de Dados'!$A120="GO",ROUND(_xlfn.XLOOKUP('Banco de Dados'!$P120,Sku!C:C,Sku!H:H),2),'Banco de Dados'!$A120="MEI",ROUND(_xlfn.XLOOKUP('Banco de Dados'!$P120,Sku!D:D,Sku!H:H),2)),0)</f>
        <v>0</v>
      </c>
      <c r="AN120" s="109">
        <f ca="1">IF('Banco de Dados'!$AK120&lt;&gt;"-",IF('Banco de Dados'!$F120&lt;&gt;"-",_xlfn.XLOOKUP(IFERROR(IFERROR(IFERROR(VALUE(SUBSTITUTE(MID(_xlfn.TEXTAFTER('Banco de Dados'!$F120,"Data do Pedido:
",1),1,10),"-","/")),VALUE(SUBSTITUTE(MID(_xlfn.TEXTAFTER('Banco de Dados'!$F120,"Order date:
",1),1,10),"-","/"))),VALUE(SUBSTITUTE(MID(_xlfn.TEXTAFTER('Banco de Dados'!$F120,"Fecha de pedido:
",1),1,10),"-","/"))),"-"),SMS!A:A,SMS!K:K),0),0)</f>
        <v>0</v>
      </c>
      <c r="AO120" s="109">
        <f ca="1">IF('Banco de Dados'!$AK120&lt;&gt;"-",IF('Banco de Dados'!$F120&lt;&gt;"-",IFERROR(_xlfn.XLOOKUP(_xlfn.CONCAT('Banco de Dados'!$A120,IFERROR(IFERROR(VALUE(SUBSTITUTE(MID(_xlfn.TEXTAFTER('Banco de Dados'!$F120,"Data do Pedido:
",1),1,10),"-","/")),VALUE(SUBSTITUTE(MID(_xlfn.TEXTAFTER('Banco de Dados'!$F120,"Order date:
",1),1,10),"-","/"))),0)),ProxyDD[Chave],ProxyDD[Valor por pedido]),PROXY!$P$2),0),0)</f>
        <v>0</v>
      </c>
      <c r="AP120" s="28">
        <f ca="1">IF('Banco de Dados'!$AK120&lt;&gt;"-",IF('Banco de Dados'!$AL120="NÃO",IFERROR(VALUE(SUBSTITUTE(_xlfn.TEXTAFTER('Banco de Dados'!$F120,"BRL ",1),".",",")),0),0),0)</f>
        <v>0</v>
      </c>
      <c r="AQ120" s="28">
        <f ca="1">SUM('Banco de Dados'!$AM120:$AP120)</f>
        <v>0</v>
      </c>
      <c r="AR120" s="8"/>
      <c r="AS120" s="8"/>
      <c r="AY120" s="8"/>
    </row>
    <row r="121" spans="1:51">
      <c r="A121" s="5" t="str">
        <v>BV</v>
      </c>
      <c r="B121" s="5" t="str">
        <f ca="1"/>
        <v>BV45592</v>
      </c>
      <c r="C121" s="8" t="str">
        <v>Pedido 118</v>
      </c>
      <c r="D121" s="9">
        <v>45592</v>
      </c>
      <c r="E121" s="9">
        <v>45592</v>
      </c>
      <c r="F121" s="8" t="str">
        <v>PedidoF111</v>
      </c>
      <c r="G121" s="2" t="str">
        <v>CódRastreio111</v>
      </c>
      <c r="H121" s="5">
        <v>1</v>
      </c>
      <c r="I121" s="3" t="str">
        <v>CPF 115</v>
      </c>
      <c r="J121" s="2" t="str">
        <v>Nome 115</v>
      </c>
      <c r="K121" s="8" t="str">
        <v>Tel 115</v>
      </c>
      <c r="L121" s="2" t="str">
        <v>Cep 115</v>
      </c>
      <c r="M121" s="2" t="str">
        <v>Rua 115</v>
      </c>
      <c r="N121" s="2" t="str">
        <v>Comp 115</v>
      </c>
      <c r="O121" s="2" t="str">
        <v>Suporte de Celular Branco</v>
      </c>
      <c r="P121" s="8" t="str">
        <v>16-4EDB-WMZF</v>
      </c>
      <c r="Q121" s="4">
        <v>45610</v>
      </c>
      <c r="R121" s="109">
        <v>15.99</v>
      </c>
      <c r="S121" s="11">
        <f ca="1"/>
        <v>15.99</v>
      </c>
      <c r="T121" s="28">
        <f ca="1"/>
        <v>2.3984999999999999</v>
      </c>
      <c r="U121" s="11">
        <f ca="1"/>
        <v>13.59</v>
      </c>
      <c r="V121" s="11">
        <v>4.99</v>
      </c>
      <c r="W121" s="11">
        <f ca="1"/>
        <v>0.32</v>
      </c>
      <c r="X121" s="11">
        <f ca="1"/>
        <v>0.39877104377104378</v>
      </c>
      <c r="Y121" s="11">
        <v>0</v>
      </c>
      <c r="Z121" s="11">
        <f ca="1"/>
        <v>7.8812289562289557</v>
      </c>
      <c r="AA121" s="11">
        <f ca="1"/>
        <v>3.9406144781144778</v>
      </c>
      <c r="AB121" s="4">
        <f ca="1"/>
        <v>45617</v>
      </c>
      <c r="AC121" s="4">
        <v>45617</v>
      </c>
      <c r="AD121" s="9">
        <v>45617</v>
      </c>
      <c r="AE121" s="9">
        <v>45618</v>
      </c>
      <c r="AF121" s="4" t="str">
        <f t="shared" ca="1" si="1"/>
        <v>2024 11</v>
      </c>
      <c r="AG121" s="8" t="str" cm="1">
        <f t="array" ref="AG121">IFERROR(_xlfn.IFS('Banco de Dados'!#REF!="AG. COMPRA","Em processamento",'Banco de Dados'!#REF!="AG. RASTREIO","Em processamento",'Banco de Dados'!$AE121&lt;&gt;"-","Faturado",'Banco de Dados'!$AD121&lt;&gt;"-","Aguardando Pix",'Banco de Dados'!$AC121&lt;&gt;"-","Pendente"),"Aguardando Liberação")</f>
        <v>Aguardando Liberação</v>
      </c>
      <c r="AH121" s="5" t="str">
        <f>IF('Banco de Dados'!$F121="-",_xlfn.CONCAT(PROPER(TEXT(AK121,"aaaa"))," ",PROPER(TEXT(AK121,"mm"))),_xlfn.CONCAT(PROPER(TEXT(E121,"aaaa"))," ",PROPER(TEXT(E121,"mm"))))</f>
        <v>2024 10</v>
      </c>
      <c r="AI121" s="9" t="str">
        <f ca="1">IF('Banco de Dados'!$AK121&lt;&gt;"-","REEMBOLSO",IFERROR(_xlfn.XLOOKUP(G121,Follow[CODRASTREIO],Follow[STATUS]),"-"))</f>
        <v>ENTREGUE</v>
      </c>
      <c r="AJ121" s="9">
        <f ca="1">IF('Banco de Dados'!$AI121="ENTREGUE",_xlfn.XLOOKUP('Banco de Dados'!$G121,Follow[CODRASTREIO],Follow[DATAATUALIZAÇÃO]),"-")</f>
        <v>45596</v>
      </c>
      <c r="AK121" s="9" t="str">
        <f ca="1"/>
        <v>-</v>
      </c>
      <c r="AL121" s="35" t="str">
        <v>SIM</v>
      </c>
      <c r="AM121" s="109" cm="1">
        <f t="array" aca="1" ref="AM121" ca="1">IF('Banco de Dados'!$AK121&lt;&gt;"-",_xlfn.IFS('Banco de Dados'!$A121="bv",IF('Banco de Dados'!$E121&lt;45641,ROUND(SUM('Banco de Dados'!$R121*_xlfn.XLOOKUP('Banco de Dados'!$P121,Sku!B:B,Sku!#REF!)*20%),2),ROUND(SUM('Banco de Dados'!$R121*_xlfn.XLOOKUP('Banco de Dados'!$P121,Sku!B:B,Sku!H:H)*20%),2)),'Banco de Dados'!$A121="GO",ROUND(_xlfn.XLOOKUP('Banco de Dados'!$P121,Sku!C:C,Sku!H:H),2),'Banco de Dados'!$A121="MEI",ROUND(_xlfn.XLOOKUP('Banco de Dados'!$P121,Sku!D:D,Sku!H:H),2)),0)</f>
        <v>0</v>
      </c>
      <c r="AN121" s="109">
        <f ca="1">IF('Banco de Dados'!$AK121&lt;&gt;"-",IF('Banco de Dados'!$F121&lt;&gt;"-",_xlfn.XLOOKUP(IFERROR(IFERROR(IFERROR(VALUE(SUBSTITUTE(MID(_xlfn.TEXTAFTER('Banco de Dados'!$F121,"Data do Pedido:
",1),1,10),"-","/")),VALUE(SUBSTITUTE(MID(_xlfn.TEXTAFTER('Banco de Dados'!$F121,"Order date:
",1),1,10),"-","/"))),VALUE(SUBSTITUTE(MID(_xlfn.TEXTAFTER('Banco de Dados'!$F121,"Fecha de pedido:
",1),1,10),"-","/"))),"-"),SMS!A:A,SMS!K:K),0),0)</f>
        <v>0</v>
      </c>
      <c r="AO121" s="109">
        <f ca="1">IF('Banco de Dados'!$AK121&lt;&gt;"-",IF('Banco de Dados'!$F121&lt;&gt;"-",IFERROR(_xlfn.XLOOKUP(_xlfn.CONCAT('Banco de Dados'!$A121,IFERROR(IFERROR(VALUE(SUBSTITUTE(MID(_xlfn.TEXTAFTER('Banco de Dados'!$F121,"Data do Pedido:
",1),1,10),"-","/")),VALUE(SUBSTITUTE(MID(_xlfn.TEXTAFTER('Banco de Dados'!$F121,"Order date:
",1),1,10),"-","/"))),0)),ProxyDD[Chave],ProxyDD[Valor por pedido]),PROXY!$P$2),0),0)</f>
        <v>0</v>
      </c>
      <c r="AP121" s="28">
        <f ca="1">IF('Banco de Dados'!$AK121&lt;&gt;"-",IF('Banco de Dados'!$AL121="NÃO",IFERROR(VALUE(SUBSTITUTE(_xlfn.TEXTAFTER('Banco de Dados'!$F121,"BRL ",1),".",",")),0),0),0)</f>
        <v>0</v>
      </c>
      <c r="AQ121" s="28">
        <f ca="1">SUM('Banco de Dados'!$AM121:$AP121)</f>
        <v>0</v>
      </c>
      <c r="AR121" s="8"/>
      <c r="AS121" s="8"/>
      <c r="AY121" s="8"/>
    </row>
    <row r="122" spans="1:51">
      <c r="A122" s="5" t="str">
        <v>BV</v>
      </c>
      <c r="B122" s="5" t="str">
        <f ca="1"/>
        <v>BV45592</v>
      </c>
      <c r="C122" s="8" t="str">
        <v>Pedido 119</v>
      </c>
      <c r="D122" s="9">
        <v>45592</v>
      </c>
      <c r="E122" s="9">
        <v>45592</v>
      </c>
      <c r="F122" s="8" t="str">
        <v>PedidoF112</v>
      </c>
      <c r="G122" s="2" t="str">
        <v>CódRastreio112</v>
      </c>
      <c r="H122" s="5">
        <v>1</v>
      </c>
      <c r="I122" s="2" t="str">
        <v>CPF 116</v>
      </c>
      <c r="J122" s="2" t="str">
        <v>Nome 116</v>
      </c>
      <c r="K122" s="8" t="str">
        <v>Tel 116</v>
      </c>
      <c r="L122" s="2" t="str">
        <v>Cep 116</v>
      </c>
      <c r="M122" s="2" t="str">
        <v>Rua 116</v>
      </c>
      <c r="N122" s="2" t="str">
        <v>Comp 116</v>
      </c>
      <c r="O122" s="2" t="str">
        <v>Multi Processador 5 Laminas</v>
      </c>
      <c r="P122" s="8" t="str">
        <v>T9-P952-TL6A</v>
      </c>
      <c r="Q122" s="4">
        <v>45604</v>
      </c>
      <c r="R122" s="109">
        <v>26.2</v>
      </c>
      <c r="S122" s="11">
        <f ca="1"/>
        <v>26.2</v>
      </c>
      <c r="T122" s="28">
        <f ca="1"/>
        <v>3.4060000000000001</v>
      </c>
      <c r="U122" s="11">
        <f ca="1"/>
        <v>22.79</v>
      </c>
      <c r="V122" s="11">
        <v>9.59</v>
      </c>
      <c r="W122" s="11">
        <f ca="1"/>
        <v>0.32</v>
      </c>
      <c r="X122" s="11">
        <f ca="1"/>
        <v>0.39877104377104378</v>
      </c>
      <c r="Y122" s="11">
        <v>0</v>
      </c>
      <c r="Z122" s="11">
        <f ca="1"/>
        <v>12.481228956228955</v>
      </c>
      <c r="AA122" s="11">
        <f ca="1"/>
        <v>6.2406144781144777</v>
      </c>
      <c r="AB122" s="4">
        <f ca="1"/>
        <v>45611</v>
      </c>
      <c r="AC122" s="4">
        <v>45611</v>
      </c>
      <c r="AD122" s="9">
        <v>45617</v>
      </c>
      <c r="AE122" s="9">
        <v>45618</v>
      </c>
      <c r="AF122" s="4" t="str">
        <f t="shared" ca="1" si="1"/>
        <v>2024 11</v>
      </c>
      <c r="AG122" s="8" t="str" cm="1">
        <f t="array" ref="AG122">IFERROR(_xlfn.IFS('Banco de Dados'!#REF!="AG. COMPRA","Em processamento",'Banco de Dados'!#REF!="AG. RASTREIO","Em processamento",'Banco de Dados'!$AE122&lt;&gt;"-","Faturado",'Banco de Dados'!$AD122&lt;&gt;"-","Aguardando Pix",'Banco de Dados'!$AC122&lt;&gt;"-","Pendente"),"Aguardando Liberação")</f>
        <v>Aguardando Liberação</v>
      </c>
      <c r="AH122" s="5" t="str">
        <f>IF('Banco de Dados'!$F122="-",_xlfn.CONCAT(PROPER(TEXT(AK122,"aaaa"))," ",PROPER(TEXT(AK122,"mm"))),_xlfn.CONCAT(PROPER(TEXT(E122,"aaaa"))," ",PROPER(TEXT(E122,"mm"))))</f>
        <v>2024 10</v>
      </c>
      <c r="AI122" s="9" t="str">
        <f ca="1">IF('Banco de Dados'!$AK122&lt;&gt;"-","REEMBOLSO",IFERROR(_xlfn.XLOOKUP(G122,Follow[CODRASTREIO],Follow[STATUS]),"-"))</f>
        <v>ENTREGUE</v>
      </c>
      <c r="AJ122" s="9">
        <f ca="1">IF('Banco de Dados'!$AI122="ENTREGUE",_xlfn.XLOOKUP('Banco de Dados'!$G122,Follow[CODRASTREIO],Follow[DATAATUALIZAÇÃO]),"-")</f>
        <v>45595</v>
      </c>
      <c r="AK122" s="9" t="str">
        <f ca="1"/>
        <v>-</v>
      </c>
      <c r="AL122" s="35" t="str">
        <v>NÃO</v>
      </c>
      <c r="AM122" s="109" cm="1">
        <f t="array" aca="1" ref="AM122" ca="1">IF('Banco de Dados'!$AK122&lt;&gt;"-",_xlfn.IFS('Banco de Dados'!$A122="bv",IF('Banco de Dados'!$E122&lt;45641,ROUND(SUM('Banco de Dados'!$R122*_xlfn.XLOOKUP('Banco de Dados'!$P122,Sku!B:B,Sku!#REF!)*20%),2),ROUND(SUM('Banco de Dados'!$R122*_xlfn.XLOOKUP('Banco de Dados'!$P122,Sku!B:B,Sku!H:H)*20%),2)),'Banco de Dados'!$A122="GO",ROUND(_xlfn.XLOOKUP('Banco de Dados'!$P122,Sku!C:C,Sku!H:H),2),'Banco de Dados'!$A122="MEI",ROUND(_xlfn.XLOOKUP('Banco de Dados'!$P122,Sku!D:D,Sku!H:H),2)),0)</f>
        <v>0</v>
      </c>
      <c r="AN122" s="109">
        <f ca="1">IF('Banco de Dados'!$AK122&lt;&gt;"-",IF('Banco de Dados'!$F122&lt;&gt;"-",_xlfn.XLOOKUP(IFERROR(IFERROR(IFERROR(VALUE(SUBSTITUTE(MID(_xlfn.TEXTAFTER('Banco de Dados'!$F122,"Data do Pedido:
",1),1,10),"-","/")),VALUE(SUBSTITUTE(MID(_xlfn.TEXTAFTER('Banco de Dados'!$F122,"Order date:
",1),1,10),"-","/"))),VALUE(SUBSTITUTE(MID(_xlfn.TEXTAFTER('Banco de Dados'!$F122,"Fecha de pedido:
",1),1,10),"-","/"))),"-"),SMS!A:A,SMS!K:K),0),0)</f>
        <v>0</v>
      </c>
      <c r="AO122" s="109">
        <f ca="1">IF('Banco de Dados'!$AK122&lt;&gt;"-",IF('Banco de Dados'!$F122&lt;&gt;"-",IFERROR(_xlfn.XLOOKUP(_xlfn.CONCAT('Banco de Dados'!$A122,IFERROR(IFERROR(VALUE(SUBSTITUTE(MID(_xlfn.TEXTAFTER('Banco de Dados'!$F122,"Data do Pedido:
",1),1,10),"-","/")),VALUE(SUBSTITUTE(MID(_xlfn.TEXTAFTER('Banco de Dados'!$F122,"Order date:
",1),1,10),"-","/"))),0)),ProxyDD[Chave],ProxyDD[Valor por pedido]),PROXY!$P$2),0),0)</f>
        <v>0</v>
      </c>
      <c r="AP122" s="28">
        <f ca="1">IF('Banco de Dados'!$AK122&lt;&gt;"-",IF('Banco de Dados'!$AL122="NÃO",IFERROR(VALUE(SUBSTITUTE(_xlfn.TEXTAFTER('Banco de Dados'!$F122,"BRL ",1),".",",")),0),0),0)</f>
        <v>0</v>
      </c>
      <c r="AQ122" s="28">
        <f ca="1">SUM('Banco de Dados'!$AM122:$AP122)</f>
        <v>0</v>
      </c>
      <c r="AR122" s="8"/>
      <c r="AS122" s="8"/>
      <c r="AY122" s="8"/>
    </row>
    <row r="123" spans="1:51">
      <c r="A123" s="5" t="str">
        <v>BV</v>
      </c>
      <c r="B123" s="5" t="str">
        <f ca="1"/>
        <v>BV45592</v>
      </c>
      <c r="C123" s="8" t="str">
        <v>Pedido 120</v>
      </c>
      <c r="D123" s="9">
        <v>45592</v>
      </c>
      <c r="E123" s="9">
        <v>45592</v>
      </c>
      <c r="F123" s="8" t="str">
        <v>PedidoF113</v>
      </c>
      <c r="G123" s="2" t="str">
        <v>CódRastreio113</v>
      </c>
      <c r="H123" s="5">
        <v>1</v>
      </c>
      <c r="I123" s="2" t="str">
        <v>CPF 117</v>
      </c>
      <c r="J123" s="2" t="str">
        <v>Nome 117</v>
      </c>
      <c r="K123" s="8" t="str">
        <v>Tel 117</v>
      </c>
      <c r="L123" s="2" t="str">
        <v>Cep 117</v>
      </c>
      <c r="M123" s="2" t="str">
        <v>Rua 117</v>
      </c>
      <c r="N123" s="2" t="str">
        <v>Comp 117</v>
      </c>
      <c r="O123" s="2" t="str">
        <v>Mini Liquidificador</v>
      </c>
      <c r="P123" s="8" t="str">
        <v>CK-YL6M-P5Y6</v>
      </c>
      <c r="Q123" s="4">
        <v>45604</v>
      </c>
      <c r="R123" s="109">
        <v>23.2</v>
      </c>
      <c r="S123" s="11">
        <f ca="1"/>
        <v>23.2</v>
      </c>
      <c r="T123" s="28">
        <f ca="1"/>
        <v>3.016</v>
      </c>
      <c r="U123" s="11">
        <f ca="1"/>
        <v>20.18</v>
      </c>
      <c r="V123" s="11">
        <v>9.99</v>
      </c>
      <c r="W123" s="11">
        <f ca="1"/>
        <v>0.32</v>
      </c>
      <c r="X123" s="11">
        <f ca="1"/>
        <v>0.39877104377104378</v>
      </c>
      <c r="Y123" s="11">
        <v>0</v>
      </c>
      <c r="Z123" s="11">
        <f ca="1"/>
        <v>9.4712289562289556</v>
      </c>
      <c r="AA123" s="11">
        <f ca="1"/>
        <v>4.7356144781144778</v>
      </c>
      <c r="AB123" s="4">
        <f ca="1"/>
        <v>45611</v>
      </c>
      <c r="AC123" s="4">
        <v>45611</v>
      </c>
      <c r="AD123" s="9">
        <v>45617</v>
      </c>
      <c r="AE123" s="9">
        <v>45618</v>
      </c>
      <c r="AF123" s="4" t="str">
        <f t="shared" ca="1" si="1"/>
        <v>2024 11</v>
      </c>
      <c r="AG123" s="8" t="str" cm="1">
        <f t="array" ref="AG123">IFERROR(_xlfn.IFS('Banco de Dados'!#REF!="AG. COMPRA","Em processamento",'Banco de Dados'!#REF!="AG. RASTREIO","Em processamento",'Banco de Dados'!$AE123&lt;&gt;"-","Faturado",'Banco de Dados'!$AD123&lt;&gt;"-","Aguardando Pix",'Banco de Dados'!$AC123&lt;&gt;"-","Pendente"),"Aguardando Liberação")</f>
        <v>Aguardando Liberação</v>
      </c>
      <c r="AH123" s="5" t="str">
        <f>IF('Banco de Dados'!$F123="-",_xlfn.CONCAT(PROPER(TEXT(AK123,"aaaa"))," ",PROPER(TEXT(AK123,"mm"))),_xlfn.CONCAT(PROPER(TEXT(E123,"aaaa"))," ",PROPER(TEXT(E123,"mm"))))</f>
        <v>2024 10</v>
      </c>
      <c r="AI123" s="9" t="str">
        <f ca="1">IF('Banco de Dados'!$AK123&lt;&gt;"-","REEMBOLSO",IFERROR(_xlfn.XLOOKUP(G123,Follow[CODRASTREIO],Follow[STATUS]),"-"))</f>
        <v>ENTREGUE</v>
      </c>
      <c r="AJ123" s="9">
        <f ca="1">IF('Banco de Dados'!$AI123="ENTREGUE",_xlfn.XLOOKUP('Banco de Dados'!$G123,Follow[CODRASTREIO],Follow[DATAATUALIZAÇÃO]),"-")</f>
        <v>45594</v>
      </c>
      <c r="AK123" s="9" t="str">
        <f ca="1"/>
        <v>-</v>
      </c>
      <c r="AL123" s="35" t="str">
        <v>NÃO</v>
      </c>
      <c r="AM123" s="109" cm="1">
        <f t="array" aca="1" ref="AM123" ca="1">IF('Banco de Dados'!$AK123&lt;&gt;"-",_xlfn.IFS('Banco de Dados'!$A123="bv",IF('Banco de Dados'!$E123&lt;45641,ROUND(SUM('Banco de Dados'!$R123*_xlfn.XLOOKUP('Banco de Dados'!$P123,Sku!B:B,Sku!#REF!)*20%),2),ROUND(SUM('Banco de Dados'!$R123*_xlfn.XLOOKUP('Banco de Dados'!$P123,Sku!B:B,Sku!H:H)*20%),2)),'Banco de Dados'!$A123="GO",ROUND(_xlfn.XLOOKUP('Banco de Dados'!$P123,Sku!C:C,Sku!H:H),2),'Banco de Dados'!$A123="MEI",ROUND(_xlfn.XLOOKUP('Banco de Dados'!$P123,Sku!D:D,Sku!H:H),2)),0)</f>
        <v>0</v>
      </c>
      <c r="AN123" s="109">
        <f ca="1">IF('Banco de Dados'!$AK123&lt;&gt;"-",IF('Banco de Dados'!$F123&lt;&gt;"-",_xlfn.XLOOKUP(IFERROR(IFERROR(IFERROR(VALUE(SUBSTITUTE(MID(_xlfn.TEXTAFTER('Banco de Dados'!$F123,"Data do Pedido:
",1),1,10),"-","/")),VALUE(SUBSTITUTE(MID(_xlfn.TEXTAFTER('Banco de Dados'!$F123,"Order date:
",1),1,10),"-","/"))),VALUE(SUBSTITUTE(MID(_xlfn.TEXTAFTER('Banco de Dados'!$F123,"Fecha de pedido:
",1),1,10),"-","/"))),"-"),SMS!A:A,SMS!K:K),0),0)</f>
        <v>0</v>
      </c>
      <c r="AO123" s="109">
        <f ca="1">IF('Banco de Dados'!$AK123&lt;&gt;"-",IF('Banco de Dados'!$F123&lt;&gt;"-",IFERROR(_xlfn.XLOOKUP(_xlfn.CONCAT('Banco de Dados'!$A123,IFERROR(IFERROR(VALUE(SUBSTITUTE(MID(_xlfn.TEXTAFTER('Banco de Dados'!$F123,"Data do Pedido:
",1),1,10),"-","/")),VALUE(SUBSTITUTE(MID(_xlfn.TEXTAFTER('Banco de Dados'!$F123,"Order date:
",1),1,10),"-","/"))),0)),ProxyDD[Chave],ProxyDD[Valor por pedido]),PROXY!$P$2),0),0)</f>
        <v>0</v>
      </c>
      <c r="AP123" s="28">
        <f ca="1">IF('Banco de Dados'!$AK123&lt;&gt;"-",IF('Banco de Dados'!$AL123="NÃO",IFERROR(VALUE(SUBSTITUTE(_xlfn.TEXTAFTER('Banco de Dados'!$F123,"BRL ",1),".",",")),0),0),0)</f>
        <v>0</v>
      </c>
      <c r="AQ123" s="28">
        <f ca="1">SUM('Banco de Dados'!$AM123:$AP123)</f>
        <v>0</v>
      </c>
      <c r="AR123" s="8"/>
      <c r="AS123" s="8"/>
      <c r="AY123" s="8"/>
    </row>
    <row r="124" spans="1:51">
      <c r="A124" s="5" t="str">
        <v>BV</v>
      </c>
      <c r="B124" s="5" t="str">
        <f ca="1"/>
        <v>BV45592</v>
      </c>
      <c r="C124" s="8" t="str">
        <v>Pedido 121</v>
      </c>
      <c r="D124" s="9">
        <v>45592</v>
      </c>
      <c r="E124" s="9">
        <v>45592</v>
      </c>
      <c r="F124" s="8" t="str">
        <v>PedidoF114</v>
      </c>
      <c r="G124" s="2" t="str">
        <v>CódRastreio114</v>
      </c>
      <c r="H124" s="5">
        <v>1</v>
      </c>
      <c r="I124" s="3" t="str">
        <v>CPF 118</v>
      </c>
      <c r="J124" s="2" t="str">
        <v>Nome 118</v>
      </c>
      <c r="K124" s="8" t="str">
        <v>Tel 118</v>
      </c>
      <c r="L124" s="2" t="str">
        <v>Cep 118</v>
      </c>
      <c r="M124" s="2" t="str">
        <v>Rua 118</v>
      </c>
      <c r="N124" s="2" t="str">
        <v>Comp 118</v>
      </c>
      <c r="O124" s="2" t="str">
        <v>Ventilador Rosa</v>
      </c>
      <c r="P124" s="8" t="str">
        <v>IF-G2ZQ-79FO</v>
      </c>
      <c r="Q124" s="4">
        <v>45610</v>
      </c>
      <c r="R124" s="109">
        <v>64.989999999999995</v>
      </c>
      <c r="S124" s="11">
        <f ca="1"/>
        <v>64.989999999999995</v>
      </c>
      <c r="T124" s="28">
        <f ca="1"/>
        <v>8.4486999999999988</v>
      </c>
      <c r="U124" s="11">
        <f ca="1"/>
        <v>56.54</v>
      </c>
      <c r="V124" s="11">
        <v>7.25</v>
      </c>
      <c r="W124" s="11">
        <f ca="1"/>
        <v>0.32</v>
      </c>
      <c r="X124" s="11">
        <f ca="1"/>
        <v>0.39877104377104378</v>
      </c>
      <c r="Y124" s="11">
        <v>0</v>
      </c>
      <c r="Z124" s="11">
        <f ca="1"/>
        <v>48.571228956228957</v>
      </c>
      <c r="AA124" s="11">
        <f ca="1"/>
        <v>24.285614478114478</v>
      </c>
      <c r="AB124" s="4">
        <f ca="1"/>
        <v>45617</v>
      </c>
      <c r="AC124" s="4">
        <v>45617</v>
      </c>
      <c r="AD124" s="9">
        <v>45617</v>
      </c>
      <c r="AE124" s="9">
        <v>45618</v>
      </c>
      <c r="AF124" s="4" t="str">
        <f t="shared" ca="1" si="1"/>
        <v>2024 11</v>
      </c>
      <c r="AG124" s="8" t="str" cm="1">
        <f t="array" ref="AG124">IFERROR(_xlfn.IFS('Banco de Dados'!#REF!="AG. COMPRA","Em processamento",'Banco de Dados'!#REF!="AG. RASTREIO","Em processamento",'Banco de Dados'!$AE124&lt;&gt;"-","Faturado",'Banco de Dados'!$AD124&lt;&gt;"-","Aguardando Pix",'Banco de Dados'!$AC124&lt;&gt;"-","Pendente"),"Aguardando Liberação")</f>
        <v>Aguardando Liberação</v>
      </c>
      <c r="AH124" s="5" t="str">
        <f>IF('Banco de Dados'!$F124="-",_xlfn.CONCAT(PROPER(TEXT(AK124,"aaaa"))," ",PROPER(TEXT(AK124,"mm"))),_xlfn.CONCAT(PROPER(TEXT(E124,"aaaa"))," ",PROPER(TEXT(E124,"mm"))))</f>
        <v>2024 10</v>
      </c>
      <c r="AI124" s="9" t="str">
        <f ca="1">IF('Banco de Dados'!$AK124&lt;&gt;"-","REEMBOLSO",IFERROR(_xlfn.XLOOKUP(G124,Follow[CODRASTREIO],Follow[STATUS]),"-"))</f>
        <v>ENTREGUE</v>
      </c>
      <c r="AJ124" s="9">
        <f ca="1">IF('Banco de Dados'!$AI124="ENTREGUE",_xlfn.XLOOKUP('Banco de Dados'!$G124,Follow[CODRASTREIO],Follow[DATAATUALIZAÇÃO]),"-")</f>
        <v>45603</v>
      </c>
      <c r="AK124" s="9" t="str">
        <f ca="1"/>
        <v>-</v>
      </c>
      <c r="AL124" s="35" t="str">
        <v>NÃO</v>
      </c>
      <c r="AM124" s="109" cm="1">
        <f t="array" aca="1" ref="AM124" ca="1">IF('Banco de Dados'!$AK124&lt;&gt;"-",_xlfn.IFS('Banco de Dados'!$A124="bv",IF('Banco de Dados'!$E124&lt;45641,ROUND(SUM('Banco de Dados'!$R124*_xlfn.XLOOKUP('Banco de Dados'!$P124,Sku!B:B,Sku!#REF!)*20%),2),ROUND(SUM('Banco de Dados'!$R124*_xlfn.XLOOKUP('Banco de Dados'!$P124,Sku!B:B,Sku!H:H)*20%),2)),'Banco de Dados'!$A124="GO",ROUND(_xlfn.XLOOKUP('Banco de Dados'!$P124,Sku!C:C,Sku!H:H),2),'Banco de Dados'!$A124="MEI",ROUND(_xlfn.XLOOKUP('Banco de Dados'!$P124,Sku!D:D,Sku!H:H),2)),0)</f>
        <v>0</v>
      </c>
      <c r="AN124" s="109">
        <f ca="1">IF('Banco de Dados'!$AK124&lt;&gt;"-",IF('Banco de Dados'!$F124&lt;&gt;"-",_xlfn.XLOOKUP(IFERROR(IFERROR(IFERROR(VALUE(SUBSTITUTE(MID(_xlfn.TEXTAFTER('Banco de Dados'!$F124,"Data do Pedido:
",1),1,10),"-","/")),VALUE(SUBSTITUTE(MID(_xlfn.TEXTAFTER('Banco de Dados'!$F124,"Order date:
",1),1,10),"-","/"))),VALUE(SUBSTITUTE(MID(_xlfn.TEXTAFTER('Banco de Dados'!$F124,"Fecha de pedido:
",1),1,10),"-","/"))),"-"),SMS!A:A,SMS!K:K),0),0)</f>
        <v>0</v>
      </c>
      <c r="AO124" s="109">
        <f ca="1">IF('Banco de Dados'!$AK124&lt;&gt;"-",IF('Banco de Dados'!$F124&lt;&gt;"-",IFERROR(_xlfn.XLOOKUP(_xlfn.CONCAT('Banco de Dados'!$A124,IFERROR(IFERROR(VALUE(SUBSTITUTE(MID(_xlfn.TEXTAFTER('Banco de Dados'!$F124,"Data do Pedido:
",1),1,10),"-","/")),VALUE(SUBSTITUTE(MID(_xlfn.TEXTAFTER('Banco de Dados'!$F124,"Order date:
",1),1,10),"-","/"))),0)),ProxyDD[Chave],ProxyDD[Valor por pedido]),PROXY!$P$2),0),0)</f>
        <v>0</v>
      </c>
      <c r="AP124" s="28">
        <f ca="1">IF('Banco de Dados'!$AK124&lt;&gt;"-",IF('Banco de Dados'!$AL124="NÃO",IFERROR(VALUE(SUBSTITUTE(_xlfn.TEXTAFTER('Banco de Dados'!$F124,"BRL ",1),".",",")),0),0),0)</f>
        <v>0</v>
      </c>
      <c r="AQ124" s="28">
        <f ca="1">SUM('Banco de Dados'!$AM124:$AP124)</f>
        <v>0</v>
      </c>
      <c r="AR124" s="8"/>
      <c r="AS124" s="8"/>
      <c r="AY124" s="8"/>
    </row>
    <row r="125" spans="1:51">
      <c r="A125" s="5" t="str">
        <v>BV</v>
      </c>
      <c r="B125" s="5" t="str">
        <f ca="1"/>
        <v>BV45592</v>
      </c>
      <c r="C125" s="8" t="str">
        <v>Pedido 122</v>
      </c>
      <c r="D125" s="9">
        <v>45592</v>
      </c>
      <c r="E125" s="9">
        <v>45592</v>
      </c>
      <c r="F125" s="8" t="str">
        <v>PedidoF115</v>
      </c>
      <c r="G125" s="2" t="str">
        <v>CódRastreio115</v>
      </c>
      <c r="H125" s="5">
        <v>1</v>
      </c>
      <c r="I125" s="2" t="str">
        <v>CPF 119</v>
      </c>
      <c r="J125" s="2" t="str">
        <v>Nome 119</v>
      </c>
      <c r="K125" s="8" t="str">
        <v>Tel 119</v>
      </c>
      <c r="L125" s="2" t="str">
        <v>Cep 119</v>
      </c>
      <c r="M125" s="2" t="str">
        <v>Rua 119</v>
      </c>
      <c r="N125" s="2" t="str">
        <v>Comp 119</v>
      </c>
      <c r="O125" s="2" t="str">
        <v>Bomba d'agua</v>
      </c>
      <c r="P125" s="8" t="str">
        <v>DJ-RO5O-43GF</v>
      </c>
      <c r="Q125" s="4">
        <v>45617</v>
      </c>
      <c r="R125" s="109">
        <v>18.2</v>
      </c>
      <c r="S125" s="11">
        <f ca="1"/>
        <v>18.2</v>
      </c>
      <c r="T125" s="28">
        <f ca="1"/>
        <v>2.548</v>
      </c>
      <c r="U125" s="11">
        <f ca="1"/>
        <v>15.65</v>
      </c>
      <c r="V125" s="11">
        <v>4.99</v>
      </c>
      <c r="W125" s="11">
        <f ca="1"/>
        <v>0.32</v>
      </c>
      <c r="X125" s="11">
        <f ca="1"/>
        <v>0.39877104377104378</v>
      </c>
      <c r="Y125" s="11">
        <v>0</v>
      </c>
      <c r="Z125" s="11">
        <f ca="1"/>
        <v>9.9412289562289562</v>
      </c>
      <c r="AA125" s="11">
        <f ca="1"/>
        <v>4.9706144781144781</v>
      </c>
      <c r="AB125" s="4">
        <f ca="1"/>
        <v>45624</v>
      </c>
      <c r="AC125" s="4">
        <v>45624</v>
      </c>
      <c r="AD125" s="9">
        <v>45625</v>
      </c>
      <c r="AE125" s="9">
        <v>45625</v>
      </c>
      <c r="AF125" s="4" t="str">
        <f t="shared" ca="1" si="1"/>
        <v>2024 11</v>
      </c>
      <c r="AG125" s="8" t="str" cm="1">
        <f t="array" ref="AG125">IFERROR(_xlfn.IFS('Banco de Dados'!#REF!="AG. COMPRA","Em processamento",'Banco de Dados'!#REF!="AG. RASTREIO","Em processamento",'Banco de Dados'!$AE125&lt;&gt;"-","Faturado",'Banco de Dados'!$AD125&lt;&gt;"-","Aguardando Pix",'Banco de Dados'!$AC125&lt;&gt;"-","Pendente"),"Aguardando Liberação")</f>
        <v>Aguardando Liberação</v>
      </c>
      <c r="AH125" s="5" t="str">
        <f>IF('Banco de Dados'!$F125="-",_xlfn.CONCAT(PROPER(TEXT(AK125,"aaaa"))," ",PROPER(TEXT(AK125,"mm"))),_xlfn.CONCAT(PROPER(TEXT(E125,"aaaa"))," ",PROPER(TEXT(E125,"mm"))))</f>
        <v>2024 10</v>
      </c>
      <c r="AI125" s="9" t="str">
        <f ca="1">IF('Banco de Dados'!$AK125&lt;&gt;"-","REEMBOLSO",IFERROR(_xlfn.XLOOKUP(G125,Follow[CODRASTREIO],Follow[STATUS]),"-"))</f>
        <v>ENTREGUE</v>
      </c>
      <c r="AJ125" s="9">
        <f ca="1">IF('Banco de Dados'!$AI125="ENTREGUE",_xlfn.XLOOKUP('Banco de Dados'!$G125,Follow[CODRASTREIO],Follow[DATAATUALIZAÇÃO]),"-")</f>
        <v>45602</v>
      </c>
      <c r="AK125" s="9" t="str">
        <f ca="1"/>
        <v>-</v>
      </c>
      <c r="AL125" s="35" t="str">
        <v>-</v>
      </c>
      <c r="AM125" s="109" cm="1">
        <f t="array" aca="1" ref="AM125" ca="1">IF('Banco de Dados'!$AK125&lt;&gt;"-",_xlfn.IFS('Banco de Dados'!$A125="bv",IF('Banco de Dados'!$E125&lt;45641,ROUND(SUM('Banco de Dados'!$R125*_xlfn.XLOOKUP('Banco de Dados'!$P125,Sku!B:B,Sku!#REF!)*20%),2),ROUND(SUM('Banco de Dados'!$R125*_xlfn.XLOOKUP('Banco de Dados'!$P125,Sku!B:B,Sku!H:H)*20%),2)),'Banco de Dados'!$A125="GO",ROUND(_xlfn.XLOOKUP('Banco de Dados'!$P125,Sku!C:C,Sku!H:H),2),'Banco de Dados'!$A125="MEI",ROUND(_xlfn.XLOOKUP('Banco de Dados'!$P125,Sku!D:D,Sku!H:H),2)),0)</f>
        <v>0</v>
      </c>
      <c r="AN125" s="109">
        <f ca="1">IF('Banco de Dados'!$AK125&lt;&gt;"-",IF('Banco de Dados'!$F125&lt;&gt;"-",_xlfn.XLOOKUP(IFERROR(IFERROR(IFERROR(VALUE(SUBSTITUTE(MID(_xlfn.TEXTAFTER('Banco de Dados'!$F125,"Data do Pedido:
",1),1,10),"-","/")),VALUE(SUBSTITUTE(MID(_xlfn.TEXTAFTER('Banco de Dados'!$F125,"Order date:
",1),1,10),"-","/"))),VALUE(SUBSTITUTE(MID(_xlfn.TEXTAFTER('Banco de Dados'!$F125,"Fecha de pedido:
",1),1,10),"-","/"))),"-"),SMS!A:A,SMS!K:K),0),0)</f>
        <v>0</v>
      </c>
      <c r="AO125" s="109">
        <f ca="1">IF('Banco de Dados'!$AK125&lt;&gt;"-",IF('Banco de Dados'!$F125&lt;&gt;"-",IFERROR(_xlfn.XLOOKUP(_xlfn.CONCAT('Banco de Dados'!$A125,IFERROR(IFERROR(VALUE(SUBSTITUTE(MID(_xlfn.TEXTAFTER('Banco de Dados'!$F125,"Data do Pedido:
",1),1,10),"-","/")),VALUE(SUBSTITUTE(MID(_xlfn.TEXTAFTER('Banco de Dados'!$F125,"Order date:
",1),1,10),"-","/"))),0)),ProxyDD[Chave],ProxyDD[Valor por pedido]),PROXY!$P$2),0),0)</f>
        <v>0</v>
      </c>
      <c r="AP125" s="28">
        <f ca="1">IF('Banco de Dados'!$AK125&lt;&gt;"-",IF('Banco de Dados'!$AL125="NÃO",IFERROR(VALUE(SUBSTITUTE(_xlfn.TEXTAFTER('Banco de Dados'!$F125,"BRL ",1),".",",")),0),0),0)</f>
        <v>0</v>
      </c>
      <c r="AQ125" s="28">
        <f ca="1">SUM('Banco de Dados'!$AM125:$AP125)</f>
        <v>0</v>
      </c>
      <c r="AR125" s="8"/>
      <c r="AS125" s="8"/>
      <c r="AY125" s="8"/>
    </row>
    <row r="126" spans="1:51">
      <c r="A126" s="5" t="str">
        <v>BV</v>
      </c>
      <c r="B126" s="5" t="str">
        <f ca="1"/>
        <v>BV45592</v>
      </c>
      <c r="C126" s="8" t="str">
        <v>Pedido 123</v>
      </c>
      <c r="D126" s="9">
        <v>45592</v>
      </c>
      <c r="E126" s="9">
        <v>45592</v>
      </c>
      <c r="F126" s="8" t="str">
        <v>PedidoF116</v>
      </c>
      <c r="G126" s="2" t="str">
        <v>CódRastreio116</v>
      </c>
      <c r="H126" s="5">
        <v>1</v>
      </c>
      <c r="I126" s="3" t="str">
        <v>CPF 120</v>
      </c>
      <c r="J126" s="2" t="str">
        <v>Nome 120</v>
      </c>
      <c r="K126" s="8" t="str">
        <v>Tel 120</v>
      </c>
      <c r="L126" s="2" t="str">
        <v>Cep 120</v>
      </c>
      <c r="M126" s="2" t="str">
        <v>Rua 120</v>
      </c>
      <c r="N126" s="2" t="str">
        <v>Comp 120</v>
      </c>
      <c r="O126" s="2" t="str">
        <v>Ventilador Rosa</v>
      </c>
      <c r="P126" s="8" t="str">
        <v>IF-G2ZQ-79FO</v>
      </c>
      <c r="Q126" s="4">
        <v>45624</v>
      </c>
      <c r="R126" s="109">
        <v>64.989999999999995</v>
      </c>
      <c r="S126" s="11">
        <f ca="1"/>
        <v>64.989999999999995</v>
      </c>
      <c r="T126" s="28">
        <f ca="1"/>
        <v>8.4486999999999988</v>
      </c>
      <c r="U126" s="11">
        <f ca="1"/>
        <v>56.54</v>
      </c>
      <c r="V126" s="11">
        <v>7.25</v>
      </c>
      <c r="W126" s="11">
        <f ca="1"/>
        <v>0.32</v>
      </c>
      <c r="X126" s="11">
        <f ca="1"/>
        <v>0.39877104377104378</v>
      </c>
      <c r="Y126" s="11">
        <v>0</v>
      </c>
      <c r="Z126" s="11">
        <f ca="1"/>
        <v>48.571228956228957</v>
      </c>
      <c r="AA126" s="11">
        <f ca="1"/>
        <v>24.285614478114478</v>
      </c>
      <c r="AB126" s="4">
        <f ca="1"/>
        <v>45631</v>
      </c>
      <c r="AC126" s="4">
        <v>45631</v>
      </c>
      <c r="AD126" s="9">
        <v>45637</v>
      </c>
      <c r="AE126" s="9">
        <v>45642</v>
      </c>
      <c r="AF126" s="4" t="str">
        <f t="shared" ca="1" si="1"/>
        <v>2024 12</v>
      </c>
      <c r="AG126" s="8" t="str" cm="1">
        <f t="array" ref="AG126">IFERROR(_xlfn.IFS('Banco de Dados'!#REF!="AG. COMPRA","Em processamento",'Banco de Dados'!#REF!="AG. RASTREIO","Em processamento",'Banco de Dados'!$AE126&lt;&gt;"-","Faturado",'Banco de Dados'!$AD126&lt;&gt;"-","Aguardando Pix",'Banco de Dados'!$AC126&lt;&gt;"-","Pendente"),"Aguardando Liberação")</f>
        <v>Aguardando Liberação</v>
      </c>
      <c r="AH126" s="5" t="str">
        <f>IF('Banco de Dados'!$F126="-",_xlfn.CONCAT(PROPER(TEXT(AK126,"aaaa"))," ",PROPER(TEXT(AK126,"mm"))),_xlfn.CONCAT(PROPER(TEXT(E126,"aaaa"))," ",PROPER(TEXT(E126,"mm"))))</f>
        <v>2024 10</v>
      </c>
      <c r="AI126" s="9" t="str">
        <f ca="1">IF('Banco de Dados'!$AK126&lt;&gt;"-","REEMBOLSO",IFERROR(_xlfn.XLOOKUP(G126,Follow[CODRASTREIO],Follow[STATUS]),"-"))</f>
        <v>ENTREGUE</v>
      </c>
      <c r="AJ126" s="9">
        <f ca="1">IF('Banco de Dados'!$AI126="ENTREGUE",_xlfn.XLOOKUP('Banco de Dados'!$G126,Follow[CODRASTREIO],Follow[DATAATUALIZAÇÃO]),"-")</f>
        <v>45607</v>
      </c>
      <c r="AK126" s="9" t="str">
        <f ca="1"/>
        <v>-</v>
      </c>
      <c r="AL126" s="35" t="str">
        <v>NÃO</v>
      </c>
      <c r="AM126" s="109" cm="1">
        <f t="array" aca="1" ref="AM126" ca="1">IF('Banco de Dados'!$AK126&lt;&gt;"-",_xlfn.IFS('Banco de Dados'!$A126="bv",IF('Banco de Dados'!$E126&lt;45641,ROUND(SUM('Banco de Dados'!$R126*_xlfn.XLOOKUP('Banco de Dados'!$P126,Sku!B:B,Sku!#REF!)*20%),2),ROUND(SUM('Banco de Dados'!$R126*_xlfn.XLOOKUP('Banco de Dados'!$P126,Sku!B:B,Sku!H:H)*20%),2)),'Banco de Dados'!$A126="GO",ROUND(_xlfn.XLOOKUP('Banco de Dados'!$P126,Sku!C:C,Sku!H:H),2),'Banco de Dados'!$A126="MEI",ROUND(_xlfn.XLOOKUP('Banco de Dados'!$P126,Sku!D:D,Sku!H:H),2)),0)</f>
        <v>0</v>
      </c>
      <c r="AN126" s="109">
        <f ca="1">IF('Banco de Dados'!$AK126&lt;&gt;"-",IF('Banco de Dados'!$F126&lt;&gt;"-",_xlfn.XLOOKUP(IFERROR(IFERROR(IFERROR(VALUE(SUBSTITUTE(MID(_xlfn.TEXTAFTER('Banco de Dados'!$F126,"Data do Pedido:
",1),1,10),"-","/")),VALUE(SUBSTITUTE(MID(_xlfn.TEXTAFTER('Banco de Dados'!$F126,"Order date:
",1),1,10),"-","/"))),VALUE(SUBSTITUTE(MID(_xlfn.TEXTAFTER('Banco de Dados'!$F126,"Fecha de pedido:
",1),1,10),"-","/"))),"-"),SMS!A:A,SMS!K:K),0),0)</f>
        <v>0</v>
      </c>
      <c r="AO126" s="109">
        <f ca="1">IF('Banco de Dados'!$AK126&lt;&gt;"-",IF('Banco de Dados'!$F126&lt;&gt;"-",IFERROR(_xlfn.XLOOKUP(_xlfn.CONCAT('Banco de Dados'!$A126,IFERROR(IFERROR(VALUE(SUBSTITUTE(MID(_xlfn.TEXTAFTER('Banco de Dados'!$F126,"Data do Pedido:
",1),1,10),"-","/")),VALUE(SUBSTITUTE(MID(_xlfn.TEXTAFTER('Banco de Dados'!$F126,"Order date:
",1),1,10),"-","/"))),0)),ProxyDD[Chave],ProxyDD[Valor por pedido]),PROXY!$P$2),0),0)</f>
        <v>0</v>
      </c>
      <c r="AP126" s="28">
        <f ca="1">IF('Banco de Dados'!$AK126&lt;&gt;"-",IF('Banco de Dados'!$AL126="NÃO",IFERROR(VALUE(SUBSTITUTE(_xlfn.TEXTAFTER('Banco de Dados'!$F126,"BRL ",1),".",",")),0),0),0)</f>
        <v>0</v>
      </c>
      <c r="AQ126" s="28">
        <f ca="1">SUM('Banco de Dados'!$AM126:$AP126)</f>
        <v>0</v>
      </c>
      <c r="AR126" s="8"/>
      <c r="AS126" s="8"/>
      <c r="AY126" s="8"/>
    </row>
    <row r="127" spans="1:51">
      <c r="A127" s="5" t="str">
        <v>BV</v>
      </c>
      <c r="B127" s="5" t="str">
        <f ca="1"/>
        <v>BV45593</v>
      </c>
      <c r="C127" s="8" t="str">
        <v>Pedido 124</v>
      </c>
      <c r="D127" s="9">
        <v>45593</v>
      </c>
      <c r="E127" s="9">
        <v>45593</v>
      </c>
      <c r="F127" s="8" t="str">
        <v>PedidoF117</v>
      </c>
      <c r="G127" s="2" t="str">
        <v>CódRastreio117</v>
      </c>
      <c r="H127" s="5">
        <v>1</v>
      </c>
      <c r="I127" s="3" t="str">
        <v>CPF 121</v>
      </c>
      <c r="J127" s="2" t="str">
        <v>Nome 121</v>
      </c>
      <c r="K127" s="8" t="str">
        <v>Tel 121</v>
      </c>
      <c r="L127" s="2" t="str">
        <v>Cep 121</v>
      </c>
      <c r="M127" s="2" t="str">
        <v>Rua 121</v>
      </c>
      <c r="N127" s="2" t="str">
        <v>Comp 121</v>
      </c>
      <c r="O127" s="2" t="str">
        <v>Suporte de Celular Branco</v>
      </c>
      <c r="P127" s="8" t="str">
        <v>16-4EDB-WMZF</v>
      </c>
      <c r="Q127" s="4">
        <v>45618</v>
      </c>
      <c r="R127" s="109">
        <v>16.989999999999998</v>
      </c>
      <c r="S127" s="11">
        <f ca="1"/>
        <v>16.989999999999998</v>
      </c>
      <c r="T127" s="28">
        <f ca="1"/>
        <v>2.5484999999999998</v>
      </c>
      <c r="U127" s="11">
        <f ca="1"/>
        <v>14.44</v>
      </c>
      <c r="V127" s="11">
        <v>4.99</v>
      </c>
      <c r="W127" s="11">
        <f ca="1"/>
        <v>0.34</v>
      </c>
      <c r="X127" s="11">
        <f ca="1"/>
        <v>0.39877104377104378</v>
      </c>
      <c r="Y127" s="11">
        <v>0</v>
      </c>
      <c r="Z127" s="11">
        <f ca="1"/>
        <v>8.7112289562289558</v>
      </c>
      <c r="AA127" s="11">
        <f ca="1"/>
        <v>4.3556144781144779</v>
      </c>
      <c r="AB127" s="4">
        <f ca="1"/>
        <v>45625</v>
      </c>
      <c r="AC127" s="4">
        <v>45625</v>
      </c>
      <c r="AD127" s="9">
        <v>45625</v>
      </c>
      <c r="AE127" s="9">
        <v>45625</v>
      </c>
      <c r="AF127" s="4" t="str">
        <f t="shared" ca="1" si="1"/>
        <v>2024 11</v>
      </c>
      <c r="AG127" s="8" t="str" cm="1">
        <f t="array" ref="AG127">IFERROR(_xlfn.IFS('Banco de Dados'!#REF!="AG. COMPRA","Em processamento",'Banco de Dados'!#REF!="AG. RASTREIO","Em processamento",'Banco de Dados'!$AE127&lt;&gt;"-","Faturado",'Banco de Dados'!$AD127&lt;&gt;"-","Aguardando Pix",'Banco de Dados'!$AC127&lt;&gt;"-","Pendente"),"Aguardando Liberação")</f>
        <v>Aguardando Liberação</v>
      </c>
      <c r="AH127" s="5" t="str">
        <f>IF('Banco de Dados'!$F127="-",_xlfn.CONCAT(PROPER(TEXT(AK127,"aaaa"))," ",PROPER(TEXT(AK127,"mm"))),_xlfn.CONCAT(PROPER(TEXT(E127,"aaaa"))," ",PROPER(TEXT(E127,"mm"))))</f>
        <v>2024 10</v>
      </c>
      <c r="AI127" s="9" t="str">
        <f ca="1">IF('Banco de Dados'!$AK127&lt;&gt;"-","REEMBOLSO",IFERROR(_xlfn.XLOOKUP(G127,Follow[CODRASTREIO],Follow[STATUS]),"-"))</f>
        <v>ENTREGUE</v>
      </c>
      <c r="AJ127" s="9">
        <f ca="1">IF('Banco de Dados'!$AI127="ENTREGUE",_xlfn.XLOOKUP('Banco de Dados'!$G127,Follow[CODRASTREIO],Follow[DATAATUALIZAÇÃO]),"-")</f>
        <v>45601</v>
      </c>
      <c r="AK127" s="9" t="str">
        <f ca="1"/>
        <v>-</v>
      </c>
      <c r="AL127" s="35" t="str">
        <v>NÃO</v>
      </c>
      <c r="AM127" s="109" cm="1">
        <f t="array" aca="1" ref="AM127" ca="1">IF('Banco de Dados'!$AK127&lt;&gt;"-",_xlfn.IFS('Banco de Dados'!$A127="bv",IF('Banco de Dados'!$E127&lt;45641,ROUND(SUM('Banco de Dados'!$R127*_xlfn.XLOOKUP('Banco de Dados'!$P127,Sku!B:B,Sku!#REF!)*20%),2),ROUND(SUM('Banco de Dados'!$R127*_xlfn.XLOOKUP('Banco de Dados'!$P127,Sku!B:B,Sku!H:H)*20%),2)),'Banco de Dados'!$A127="GO",ROUND(_xlfn.XLOOKUP('Banco de Dados'!$P127,Sku!C:C,Sku!H:H),2),'Banco de Dados'!$A127="MEI",ROUND(_xlfn.XLOOKUP('Banco de Dados'!$P127,Sku!D:D,Sku!H:H),2)),0)</f>
        <v>0</v>
      </c>
      <c r="AN127" s="109">
        <f ca="1">IF('Banco de Dados'!$AK127&lt;&gt;"-",IF('Banco de Dados'!$F127&lt;&gt;"-",_xlfn.XLOOKUP(IFERROR(IFERROR(IFERROR(VALUE(SUBSTITUTE(MID(_xlfn.TEXTAFTER('Banco de Dados'!$F127,"Data do Pedido:
",1),1,10),"-","/")),VALUE(SUBSTITUTE(MID(_xlfn.TEXTAFTER('Banco de Dados'!$F127,"Order date:
",1),1,10),"-","/"))),VALUE(SUBSTITUTE(MID(_xlfn.TEXTAFTER('Banco de Dados'!$F127,"Fecha de pedido:
",1),1,10),"-","/"))),"-"),SMS!A:A,SMS!K:K),0),0)</f>
        <v>0</v>
      </c>
      <c r="AO127" s="109">
        <f ca="1">IF('Banco de Dados'!$AK127&lt;&gt;"-",IF('Banco de Dados'!$F127&lt;&gt;"-",IFERROR(_xlfn.XLOOKUP(_xlfn.CONCAT('Banco de Dados'!$A127,IFERROR(IFERROR(VALUE(SUBSTITUTE(MID(_xlfn.TEXTAFTER('Banco de Dados'!$F127,"Data do Pedido:
",1),1,10),"-","/")),VALUE(SUBSTITUTE(MID(_xlfn.TEXTAFTER('Banco de Dados'!$F127,"Order date:
",1),1,10),"-","/"))),0)),ProxyDD[Chave],ProxyDD[Valor por pedido]),PROXY!$P$2),0),0)</f>
        <v>0</v>
      </c>
      <c r="AP127" s="28">
        <f ca="1">IF('Banco de Dados'!$AK127&lt;&gt;"-",IF('Banco de Dados'!$AL127="NÃO",IFERROR(VALUE(SUBSTITUTE(_xlfn.TEXTAFTER('Banco de Dados'!$F127,"BRL ",1),".",",")),0),0),0)</f>
        <v>0</v>
      </c>
      <c r="AQ127" s="28">
        <f ca="1">SUM('Banco de Dados'!$AM127:$AP127)</f>
        <v>0</v>
      </c>
      <c r="AR127" s="8"/>
      <c r="AS127" s="8"/>
      <c r="AY127" s="8"/>
    </row>
    <row r="128" spans="1:51">
      <c r="A128" s="5" t="str">
        <v>BV</v>
      </c>
      <c r="B128" s="5" t="str">
        <f ca="1"/>
        <v>BV45593</v>
      </c>
      <c r="C128" s="8" t="str">
        <v>Pedido 125</v>
      </c>
      <c r="D128" s="9">
        <v>45593</v>
      </c>
      <c r="E128" s="9">
        <v>45593</v>
      </c>
      <c r="F128" s="8" t="str">
        <v>PedidoF118</v>
      </c>
      <c r="G128" s="2" t="str">
        <v>CódRastreio118</v>
      </c>
      <c r="H128" s="5">
        <v>1</v>
      </c>
      <c r="I128" s="3" t="str">
        <v>CPF 122</v>
      </c>
      <c r="J128" s="2" t="str">
        <v>Nome 122</v>
      </c>
      <c r="K128" s="8" t="str">
        <v>Tel 122</v>
      </c>
      <c r="L128" s="2" t="str">
        <v>Cep 122</v>
      </c>
      <c r="M128" s="2" t="str">
        <v>Rua 122</v>
      </c>
      <c r="N128" s="2" t="str">
        <v>Comp 122</v>
      </c>
      <c r="O128" s="2" t="str">
        <v>Bomba d'agua</v>
      </c>
      <c r="P128" s="8" t="str">
        <v>DJ-RO5O-43GF</v>
      </c>
      <c r="Q128" s="4">
        <v>45611</v>
      </c>
      <c r="R128" s="109">
        <v>18.2</v>
      </c>
      <c r="S128" s="11">
        <f ca="1"/>
        <v>18.2</v>
      </c>
      <c r="T128" s="28">
        <f ca="1"/>
        <v>2.548</v>
      </c>
      <c r="U128" s="11">
        <f ca="1"/>
        <v>15.65</v>
      </c>
      <c r="V128" s="11">
        <v>4.99</v>
      </c>
      <c r="W128" s="11">
        <f ca="1"/>
        <v>0.34</v>
      </c>
      <c r="X128" s="11">
        <f ca="1"/>
        <v>0.39877104377104378</v>
      </c>
      <c r="Y128" s="11">
        <v>0</v>
      </c>
      <c r="Z128" s="11">
        <f ca="1"/>
        <v>9.9212289562289566</v>
      </c>
      <c r="AA128" s="11">
        <f ca="1"/>
        <v>4.9606144781144783</v>
      </c>
      <c r="AB128" s="4">
        <f ca="1"/>
        <v>45618</v>
      </c>
      <c r="AC128" s="4">
        <v>45618</v>
      </c>
      <c r="AD128" s="9">
        <v>45618</v>
      </c>
      <c r="AE128" s="9">
        <v>45625</v>
      </c>
      <c r="AF128" s="4" t="str">
        <f t="shared" ca="1" si="1"/>
        <v>2024 11</v>
      </c>
      <c r="AG128" s="8" t="str" cm="1">
        <f t="array" ref="AG128">IFERROR(_xlfn.IFS('Banco de Dados'!#REF!="AG. COMPRA","Em processamento",'Banco de Dados'!#REF!="AG. RASTREIO","Em processamento",'Banco de Dados'!$AE128&lt;&gt;"-","Faturado",'Banco de Dados'!$AD128&lt;&gt;"-","Aguardando Pix",'Banco de Dados'!$AC128&lt;&gt;"-","Pendente"),"Aguardando Liberação")</f>
        <v>Aguardando Liberação</v>
      </c>
      <c r="AH128" s="5" t="str">
        <f>IF('Banco de Dados'!$F128="-",_xlfn.CONCAT(PROPER(TEXT(AK128,"aaaa"))," ",PROPER(TEXT(AK128,"mm"))),_xlfn.CONCAT(PROPER(TEXT(E128,"aaaa"))," ",PROPER(TEXT(E128,"mm"))))</f>
        <v>2024 10</v>
      </c>
      <c r="AI128" s="9" t="str">
        <f ca="1">IF('Banco de Dados'!$AK128&lt;&gt;"-","REEMBOLSO",IFERROR(_xlfn.XLOOKUP(G128,Follow[CODRASTREIO],Follow[STATUS]),"-"))</f>
        <v>ENTREGUE</v>
      </c>
      <c r="AJ128" s="9">
        <f ca="1">IF('Banco de Dados'!$AI128="ENTREGUE",_xlfn.XLOOKUP('Banco de Dados'!$G128,Follow[CODRASTREIO],Follow[DATAATUALIZAÇÃO]),"-")</f>
        <v>45595</v>
      </c>
      <c r="AK128" s="9" t="str">
        <f ca="1"/>
        <v>-</v>
      </c>
      <c r="AL128" s="35" t="str">
        <v>NÃO</v>
      </c>
      <c r="AM128" s="109" cm="1">
        <f t="array" aca="1" ref="AM128" ca="1">IF('Banco de Dados'!$AK128&lt;&gt;"-",_xlfn.IFS('Banco de Dados'!$A128="bv",IF('Banco de Dados'!$E128&lt;45641,ROUND(SUM('Banco de Dados'!$R128*_xlfn.XLOOKUP('Banco de Dados'!$P128,Sku!B:B,Sku!#REF!)*20%),2),ROUND(SUM('Banco de Dados'!$R128*_xlfn.XLOOKUP('Banco de Dados'!$P128,Sku!B:B,Sku!H:H)*20%),2)),'Banco de Dados'!$A128="GO",ROUND(_xlfn.XLOOKUP('Banco de Dados'!$P128,Sku!C:C,Sku!H:H),2),'Banco de Dados'!$A128="MEI",ROUND(_xlfn.XLOOKUP('Banco de Dados'!$P128,Sku!D:D,Sku!H:H),2)),0)</f>
        <v>0</v>
      </c>
      <c r="AN128" s="109">
        <f ca="1">IF('Banco de Dados'!$AK128&lt;&gt;"-",IF('Banco de Dados'!$F128&lt;&gt;"-",_xlfn.XLOOKUP(IFERROR(IFERROR(IFERROR(VALUE(SUBSTITUTE(MID(_xlfn.TEXTAFTER('Banco de Dados'!$F128,"Data do Pedido:
",1),1,10),"-","/")),VALUE(SUBSTITUTE(MID(_xlfn.TEXTAFTER('Banco de Dados'!$F128,"Order date:
",1),1,10),"-","/"))),VALUE(SUBSTITUTE(MID(_xlfn.TEXTAFTER('Banco de Dados'!$F128,"Fecha de pedido:
",1),1,10),"-","/"))),"-"),SMS!A:A,SMS!K:K),0),0)</f>
        <v>0</v>
      </c>
      <c r="AO128" s="109">
        <f ca="1">IF('Banco de Dados'!$AK128&lt;&gt;"-",IF('Banco de Dados'!$F128&lt;&gt;"-",IFERROR(_xlfn.XLOOKUP(_xlfn.CONCAT('Banco de Dados'!$A128,IFERROR(IFERROR(VALUE(SUBSTITUTE(MID(_xlfn.TEXTAFTER('Banco de Dados'!$F128,"Data do Pedido:
",1),1,10),"-","/")),VALUE(SUBSTITUTE(MID(_xlfn.TEXTAFTER('Banco de Dados'!$F128,"Order date:
",1),1,10),"-","/"))),0)),ProxyDD[Chave],ProxyDD[Valor por pedido]),PROXY!$P$2),0),0)</f>
        <v>0</v>
      </c>
      <c r="AP128" s="28">
        <f ca="1">IF('Banco de Dados'!$AK128&lt;&gt;"-",IF('Banco de Dados'!$AL128="NÃO",IFERROR(VALUE(SUBSTITUTE(_xlfn.TEXTAFTER('Banco de Dados'!$F128,"BRL ",1),".",",")),0),0),0)</f>
        <v>0</v>
      </c>
      <c r="AQ128" s="28">
        <f ca="1">SUM('Banco de Dados'!$AM128:$AP128)</f>
        <v>0</v>
      </c>
      <c r="AR128" s="8"/>
      <c r="AS128" s="8"/>
      <c r="AY128" s="8"/>
    </row>
    <row r="129" spans="1:51">
      <c r="A129" s="5" t="str">
        <v>BV</v>
      </c>
      <c r="B129" s="5" t="str">
        <f ca="1"/>
        <v>BV45593</v>
      </c>
      <c r="C129" s="8" t="str">
        <v>Pedido 126</v>
      </c>
      <c r="D129" s="9">
        <v>45593</v>
      </c>
      <c r="E129" s="9">
        <v>45593</v>
      </c>
      <c r="F129" s="8" t="str">
        <v>PedidoF119</v>
      </c>
      <c r="G129" s="2" t="str">
        <v>CódRastreio119</v>
      </c>
      <c r="H129" s="5">
        <v>1</v>
      </c>
      <c r="I129" s="3" t="str">
        <v>CPF 123</v>
      </c>
      <c r="J129" s="2" t="str">
        <v>Nome 123</v>
      </c>
      <c r="K129" s="8" t="str">
        <v>Tel 123</v>
      </c>
      <c r="L129" s="2" t="str">
        <v>Cep 123</v>
      </c>
      <c r="M129" s="2" t="str">
        <v>Rua 123</v>
      </c>
      <c r="N129" s="2" t="str">
        <v>Comp 123</v>
      </c>
      <c r="O129" s="2" t="str">
        <v>Suporte de Celular Branco</v>
      </c>
      <c r="P129" s="8" t="str">
        <v>16-4EDB-WMZF</v>
      </c>
      <c r="Q129" s="4">
        <v>45605</v>
      </c>
      <c r="R129" s="109">
        <v>16.989999999999998</v>
      </c>
      <c r="S129" s="11">
        <f ca="1"/>
        <v>16.989999999999998</v>
      </c>
      <c r="T129" s="28">
        <f ca="1"/>
        <v>2.5484999999999998</v>
      </c>
      <c r="U129" s="11">
        <f ca="1"/>
        <v>14.44</v>
      </c>
      <c r="V129" s="11">
        <v>4.99</v>
      </c>
      <c r="W129" s="11">
        <f ca="1"/>
        <v>0.34</v>
      </c>
      <c r="X129" s="11">
        <f ca="1"/>
        <v>0.39877104377104378</v>
      </c>
      <c r="Y129" s="11">
        <v>0</v>
      </c>
      <c r="Z129" s="11">
        <f ca="1"/>
        <v>8.7112289562289558</v>
      </c>
      <c r="AA129" s="11">
        <f ca="1"/>
        <v>4.3556144781144779</v>
      </c>
      <c r="AB129" s="4">
        <f ca="1"/>
        <v>45612</v>
      </c>
      <c r="AC129" s="4">
        <v>45612</v>
      </c>
      <c r="AD129" s="9">
        <v>45617</v>
      </c>
      <c r="AE129" s="9">
        <v>45618</v>
      </c>
      <c r="AF129" s="4" t="str">
        <f t="shared" ca="1" si="1"/>
        <v>2024 11</v>
      </c>
      <c r="AG129" s="8" t="str" cm="1">
        <f t="array" ref="AG129">IFERROR(_xlfn.IFS('Banco de Dados'!#REF!="AG. COMPRA","Em processamento",'Banco de Dados'!#REF!="AG. RASTREIO","Em processamento",'Banco de Dados'!$AE129&lt;&gt;"-","Faturado",'Banco de Dados'!$AD129&lt;&gt;"-","Aguardando Pix",'Banco de Dados'!$AC129&lt;&gt;"-","Pendente"),"Aguardando Liberação")</f>
        <v>Aguardando Liberação</v>
      </c>
      <c r="AH129" s="5" t="str">
        <f>IF('Banco de Dados'!$F129="-",_xlfn.CONCAT(PROPER(TEXT(AK129,"aaaa"))," ",PROPER(TEXT(AK129,"mm"))),_xlfn.CONCAT(PROPER(TEXT(E129,"aaaa"))," ",PROPER(TEXT(E129,"mm"))))</f>
        <v>2024 10</v>
      </c>
      <c r="AI129" s="9" t="str">
        <f ca="1">IF('Banco de Dados'!$AK129&lt;&gt;"-","REEMBOLSO",IFERROR(_xlfn.XLOOKUP(G129,Follow[CODRASTREIO],Follow[STATUS]),"-"))</f>
        <v>ENTREGUE</v>
      </c>
      <c r="AJ129" s="9">
        <f ca="1">IF('Banco de Dados'!$AI129="ENTREGUE",_xlfn.XLOOKUP('Banco de Dados'!$G129,Follow[CODRASTREIO],Follow[DATAATUALIZAÇÃO]),"-")</f>
        <v>45594</v>
      </c>
      <c r="AK129" s="9" t="str">
        <f ca="1"/>
        <v>-</v>
      </c>
      <c r="AL129" s="35" t="str">
        <v>NÃO</v>
      </c>
      <c r="AM129" s="109" cm="1">
        <f t="array" aca="1" ref="AM129" ca="1">IF('Banco de Dados'!$AK129&lt;&gt;"-",_xlfn.IFS('Banco de Dados'!$A129="bv",IF('Banco de Dados'!$E129&lt;45641,ROUND(SUM('Banco de Dados'!$R129*_xlfn.XLOOKUP('Banco de Dados'!$P129,Sku!B:B,Sku!#REF!)*20%),2),ROUND(SUM('Banco de Dados'!$R129*_xlfn.XLOOKUP('Banco de Dados'!$P129,Sku!B:B,Sku!H:H)*20%),2)),'Banco de Dados'!$A129="GO",ROUND(_xlfn.XLOOKUP('Banco de Dados'!$P129,Sku!C:C,Sku!H:H),2),'Banco de Dados'!$A129="MEI",ROUND(_xlfn.XLOOKUP('Banco de Dados'!$P129,Sku!D:D,Sku!H:H),2)),0)</f>
        <v>0</v>
      </c>
      <c r="AN129" s="109">
        <f ca="1">IF('Banco de Dados'!$AK129&lt;&gt;"-",IF('Banco de Dados'!$F129&lt;&gt;"-",_xlfn.XLOOKUP(IFERROR(IFERROR(IFERROR(VALUE(SUBSTITUTE(MID(_xlfn.TEXTAFTER('Banco de Dados'!$F129,"Data do Pedido:
",1),1,10),"-","/")),VALUE(SUBSTITUTE(MID(_xlfn.TEXTAFTER('Banco de Dados'!$F129,"Order date:
",1),1,10),"-","/"))),VALUE(SUBSTITUTE(MID(_xlfn.TEXTAFTER('Banco de Dados'!$F129,"Fecha de pedido:
",1),1,10),"-","/"))),"-"),SMS!A:A,SMS!K:K),0),0)</f>
        <v>0</v>
      </c>
      <c r="AO129" s="109">
        <f ca="1">IF('Banco de Dados'!$AK129&lt;&gt;"-",IF('Banco de Dados'!$F129&lt;&gt;"-",IFERROR(_xlfn.XLOOKUP(_xlfn.CONCAT('Banco de Dados'!$A129,IFERROR(IFERROR(VALUE(SUBSTITUTE(MID(_xlfn.TEXTAFTER('Banco de Dados'!$F129,"Data do Pedido:
",1),1,10),"-","/")),VALUE(SUBSTITUTE(MID(_xlfn.TEXTAFTER('Banco de Dados'!$F129,"Order date:
",1),1,10),"-","/"))),0)),ProxyDD[Chave],ProxyDD[Valor por pedido]),PROXY!$P$2),0),0)</f>
        <v>0</v>
      </c>
      <c r="AP129" s="28">
        <f ca="1">IF('Banco de Dados'!$AK129&lt;&gt;"-",IF('Banco de Dados'!$AL129="NÃO",IFERROR(VALUE(SUBSTITUTE(_xlfn.TEXTAFTER('Banco de Dados'!$F129,"BRL ",1),".",",")),0),0),0)</f>
        <v>0</v>
      </c>
      <c r="AQ129" s="28">
        <f ca="1">SUM('Banco de Dados'!$AM129:$AP129)</f>
        <v>0</v>
      </c>
      <c r="AR129" s="8"/>
      <c r="AS129" s="8"/>
      <c r="AY129" s="8"/>
    </row>
    <row r="130" spans="1:51">
      <c r="A130" s="5" t="str">
        <v>BV</v>
      </c>
      <c r="B130" s="5" t="str">
        <f ca="1"/>
        <v>BV45593</v>
      </c>
      <c r="C130" s="8" t="str">
        <v>Pedido 127</v>
      </c>
      <c r="D130" s="9">
        <v>45593</v>
      </c>
      <c r="E130" s="9">
        <v>45593</v>
      </c>
      <c r="F130" s="8" t="str">
        <v>PedidoF120</v>
      </c>
      <c r="G130" s="2" t="str">
        <v>CódRastreio120</v>
      </c>
      <c r="H130" s="5">
        <v>1</v>
      </c>
      <c r="I130" s="2" t="str">
        <v>CPF 124</v>
      </c>
      <c r="J130" s="2" t="str">
        <v>Nome 124</v>
      </c>
      <c r="K130" s="8" t="str">
        <v>Tel 124</v>
      </c>
      <c r="L130" s="2" t="str">
        <v>Cep 124</v>
      </c>
      <c r="M130" s="2" t="str">
        <v>Rua 124</v>
      </c>
      <c r="N130" s="2" t="str">
        <v>Comp 124</v>
      </c>
      <c r="O130" s="2" t="str">
        <v>Garrafa Termica</v>
      </c>
      <c r="P130" s="8" t="str">
        <v>FM-QQ8Y-RZT4</v>
      </c>
      <c r="Q130" s="4">
        <v>45605</v>
      </c>
      <c r="R130" s="109">
        <v>21.3</v>
      </c>
      <c r="S130" s="11">
        <f ca="1"/>
        <v>21.3</v>
      </c>
      <c r="T130" s="28">
        <f ca="1"/>
        <v>2.7690000000000001</v>
      </c>
      <c r="U130" s="11">
        <f ca="1"/>
        <v>18.53</v>
      </c>
      <c r="V130" s="11">
        <v>6.97</v>
      </c>
      <c r="W130" s="11">
        <f ca="1"/>
        <v>0.34</v>
      </c>
      <c r="X130" s="11">
        <f ca="1"/>
        <v>0.39877104377104378</v>
      </c>
      <c r="Y130" s="11">
        <v>0</v>
      </c>
      <c r="Z130" s="11">
        <f ca="1"/>
        <v>10.821228956228957</v>
      </c>
      <c r="AA130" s="11">
        <f ca="1"/>
        <v>5.4106144781144785</v>
      </c>
      <c r="AB130" s="4">
        <f ca="1"/>
        <v>45612</v>
      </c>
      <c r="AC130" s="4">
        <v>45612</v>
      </c>
      <c r="AD130" s="9">
        <v>45617</v>
      </c>
      <c r="AE130" s="9">
        <v>45618</v>
      </c>
      <c r="AF130" s="4" t="str">
        <f t="shared" ref="AF130:AF193" ca="1" si="2">_xlfn.CONCAT(PROPER(TEXT(AB130,"aaaa"))," ",PROPER(TEXT(AB130,"mm")))</f>
        <v>2024 11</v>
      </c>
      <c r="AG130" s="8" t="str" cm="1">
        <f t="array" ref="AG130">IFERROR(_xlfn.IFS('Banco de Dados'!#REF!="AG. COMPRA","Em processamento",'Banco de Dados'!#REF!="AG. RASTREIO","Em processamento",'Banco de Dados'!$AE130&lt;&gt;"-","Faturado",'Banco de Dados'!$AD130&lt;&gt;"-","Aguardando Pix",'Banco de Dados'!$AC130&lt;&gt;"-","Pendente"),"Aguardando Liberação")</f>
        <v>Aguardando Liberação</v>
      </c>
      <c r="AH130" s="5" t="str">
        <f>IF('Banco de Dados'!$F130="-",_xlfn.CONCAT(PROPER(TEXT(AK130,"aaaa"))," ",PROPER(TEXT(AK130,"mm"))),_xlfn.CONCAT(PROPER(TEXT(E130,"aaaa"))," ",PROPER(TEXT(E130,"mm"))))</f>
        <v>2024 10</v>
      </c>
      <c r="AI130" s="9" t="str">
        <f ca="1">IF('Banco de Dados'!$AK130&lt;&gt;"-","REEMBOLSO",IFERROR(_xlfn.XLOOKUP(G130,Follow[CODRASTREIO],Follow[STATUS]),"-"))</f>
        <v>ENTREGUE</v>
      </c>
      <c r="AJ130" s="9">
        <f ca="1">IF('Banco de Dados'!$AI130="ENTREGUE",_xlfn.XLOOKUP('Banco de Dados'!$G130,Follow[CODRASTREIO],Follow[DATAATUALIZAÇÃO]),"-")</f>
        <v>45596</v>
      </c>
      <c r="AK130" s="9" t="str">
        <f ca="1"/>
        <v>-</v>
      </c>
      <c r="AL130" s="35" t="str">
        <v>NÃO</v>
      </c>
      <c r="AM130" s="109" cm="1">
        <f t="array" aca="1" ref="AM130" ca="1">IF('Banco de Dados'!$AK130&lt;&gt;"-",_xlfn.IFS('Banco de Dados'!$A130="bv",IF('Banco de Dados'!$E130&lt;45641,ROUND(SUM('Banco de Dados'!$R130*_xlfn.XLOOKUP('Banco de Dados'!$P130,Sku!B:B,Sku!#REF!)*20%),2),ROUND(SUM('Banco de Dados'!$R130*_xlfn.XLOOKUP('Banco de Dados'!$P130,Sku!B:B,Sku!H:H)*20%),2)),'Banco de Dados'!$A130="GO",ROUND(_xlfn.XLOOKUP('Banco de Dados'!$P130,Sku!C:C,Sku!H:H),2),'Banco de Dados'!$A130="MEI",ROUND(_xlfn.XLOOKUP('Banco de Dados'!$P130,Sku!D:D,Sku!H:H),2)),0)</f>
        <v>0</v>
      </c>
      <c r="AN130" s="109">
        <f ca="1">IF('Banco de Dados'!$AK130&lt;&gt;"-",IF('Banco de Dados'!$F130&lt;&gt;"-",_xlfn.XLOOKUP(IFERROR(IFERROR(IFERROR(VALUE(SUBSTITUTE(MID(_xlfn.TEXTAFTER('Banco de Dados'!$F130,"Data do Pedido:
",1),1,10),"-","/")),VALUE(SUBSTITUTE(MID(_xlfn.TEXTAFTER('Banco de Dados'!$F130,"Order date:
",1),1,10),"-","/"))),VALUE(SUBSTITUTE(MID(_xlfn.TEXTAFTER('Banco de Dados'!$F130,"Fecha de pedido:
",1),1,10),"-","/"))),"-"),SMS!A:A,SMS!K:K),0),0)</f>
        <v>0</v>
      </c>
      <c r="AO130" s="109">
        <f ca="1">IF('Banco de Dados'!$AK130&lt;&gt;"-",IF('Banco de Dados'!$F130&lt;&gt;"-",IFERROR(_xlfn.XLOOKUP(_xlfn.CONCAT('Banco de Dados'!$A130,IFERROR(IFERROR(VALUE(SUBSTITUTE(MID(_xlfn.TEXTAFTER('Banco de Dados'!$F130,"Data do Pedido:
",1),1,10),"-","/")),VALUE(SUBSTITUTE(MID(_xlfn.TEXTAFTER('Banco de Dados'!$F130,"Order date:
",1),1,10),"-","/"))),0)),ProxyDD[Chave],ProxyDD[Valor por pedido]),PROXY!$P$2),0),0)</f>
        <v>0</v>
      </c>
      <c r="AP130" s="28">
        <f ca="1">IF('Banco de Dados'!$AK130&lt;&gt;"-",IF('Banco de Dados'!$AL130="NÃO",IFERROR(VALUE(SUBSTITUTE(_xlfn.TEXTAFTER('Banco de Dados'!$F130,"BRL ",1),".",",")),0),0),0)</f>
        <v>0</v>
      </c>
      <c r="AQ130" s="28">
        <f ca="1">SUM('Banco de Dados'!$AM130:$AP130)</f>
        <v>0</v>
      </c>
      <c r="AR130" s="8"/>
      <c r="AS130" s="8"/>
      <c r="AY130" s="8"/>
    </row>
    <row r="131" spans="1:51">
      <c r="A131" s="5" t="str">
        <v>BV</v>
      </c>
      <c r="B131" s="5" t="str">
        <f ca="1"/>
        <v>BV45593</v>
      </c>
      <c r="C131" s="8" t="str">
        <v>Pedido 128</v>
      </c>
      <c r="D131" s="9">
        <v>45593</v>
      </c>
      <c r="E131" s="9">
        <v>45593</v>
      </c>
      <c r="F131" s="8" t="str">
        <v>PedidoF121</v>
      </c>
      <c r="G131" s="2" t="str">
        <v>CódRastreio121</v>
      </c>
      <c r="H131" s="5">
        <v>1</v>
      </c>
      <c r="I131" s="2" t="str">
        <v>CPF 125</v>
      </c>
      <c r="J131" s="2" t="str">
        <v>Nome 125</v>
      </c>
      <c r="K131" s="8" t="str">
        <v>Tel 125</v>
      </c>
      <c r="L131" s="2" t="str">
        <v>Cep 125</v>
      </c>
      <c r="M131" s="2" t="str">
        <v>Rua 125</v>
      </c>
      <c r="N131" s="2" t="str">
        <v>Comp 125</v>
      </c>
      <c r="O131" s="2" t="str">
        <v>Bomba d'agua</v>
      </c>
      <c r="P131" s="8" t="str">
        <v>DJ-RO5O-43GF</v>
      </c>
      <c r="Q131" s="4">
        <v>45605</v>
      </c>
      <c r="R131" s="109">
        <v>18.2</v>
      </c>
      <c r="S131" s="11">
        <f ca="1"/>
        <v>18.2</v>
      </c>
      <c r="T131" s="28">
        <f ca="1"/>
        <v>2.548</v>
      </c>
      <c r="U131" s="11">
        <f ca="1"/>
        <v>15.65</v>
      </c>
      <c r="V131" s="11">
        <v>4.99</v>
      </c>
      <c r="W131" s="11">
        <f ca="1"/>
        <v>0.34</v>
      </c>
      <c r="X131" s="11">
        <f ca="1"/>
        <v>0.39877104377104378</v>
      </c>
      <c r="Y131" s="11">
        <v>0</v>
      </c>
      <c r="Z131" s="11">
        <f ca="1"/>
        <v>9.9212289562289566</v>
      </c>
      <c r="AA131" s="11">
        <f ca="1"/>
        <v>4.9606144781144783</v>
      </c>
      <c r="AB131" s="4">
        <f ca="1"/>
        <v>45612</v>
      </c>
      <c r="AC131" s="4">
        <v>45612</v>
      </c>
      <c r="AD131" s="9">
        <v>45617</v>
      </c>
      <c r="AE131" s="9">
        <v>45618</v>
      </c>
      <c r="AF131" s="4" t="str">
        <f t="shared" ca="1" si="2"/>
        <v>2024 11</v>
      </c>
      <c r="AG131" s="8" t="str" cm="1">
        <f t="array" ref="AG131">IFERROR(_xlfn.IFS('Banco de Dados'!#REF!="AG. COMPRA","Em processamento",'Banco de Dados'!#REF!="AG. RASTREIO","Em processamento",'Banco de Dados'!$AE131&lt;&gt;"-","Faturado",'Banco de Dados'!$AD131&lt;&gt;"-","Aguardando Pix",'Banco de Dados'!$AC131&lt;&gt;"-","Pendente"),"Aguardando Liberação")</f>
        <v>Aguardando Liberação</v>
      </c>
      <c r="AH131" s="5" t="str">
        <f>IF('Banco de Dados'!$F131="-",_xlfn.CONCAT(PROPER(TEXT(AK131,"aaaa"))," ",PROPER(TEXT(AK131,"mm"))),_xlfn.CONCAT(PROPER(TEXT(E131,"aaaa"))," ",PROPER(TEXT(E131,"mm"))))</f>
        <v>2024 10</v>
      </c>
      <c r="AI131" s="9" t="str">
        <f ca="1">IF('Banco de Dados'!$AK131&lt;&gt;"-","REEMBOLSO",IFERROR(_xlfn.XLOOKUP(G131,Follow[CODRASTREIO],Follow[STATUS]),"-"))</f>
        <v>ENTREGUE</v>
      </c>
      <c r="AJ131" s="9">
        <f ca="1">IF('Banco de Dados'!$AI131="ENTREGUE",_xlfn.XLOOKUP('Banco de Dados'!$G131,Follow[CODRASTREIO],Follow[DATAATUALIZAÇÃO]),"-")</f>
        <v>45594</v>
      </c>
      <c r="AK131" s="9" t="str">
        <f ca="1"/>
        <v>-</v>
      </c>
      <c r="AL131" s="35" t="str">
        <v>NÃO</v>
      </c>
      <c r="AM131" s="109" cm="1">
        <f t="array" aca="1" ref="AM131" ca="1">IF('Banco de Dados'!$AK131&lt;&gt;"-",_xlfn.IFS('Banco de Dados'!$A131="bv",IF('Banco de Dados'!$E131&lt;45641,ROUND(SUM('Banco de Dados'!$R131*_xlfn.XLOOKUP('Banco de Dados'!$P131,Sku!B:B,Sku!#REF!)*20%),2),ROUND(SUM('Banco de Dados'!$R131*_xlfn.XLOOKUP('Banco de Dados'!$P131,Sku!B:B,Sku!H:H)*20%),2)),'Banco de Dados'!$A131="GO",ROUND(_xlfn.XLOOKUP('Banco de Dados'!$P131,Sku!C:C,Sku!H:H),2),'Banco de Dados'!$A131="MEI",ROUND(_xlfn.XLOOKUP('Banco de Dados'!$P131,Sku!D:D,Sku!H:H),2)),0)</f>
        <v>0</v>
      </c>
      <c r="AN131" s="109">
        <f ca="1">IF('Banco de Dados'!$AK131&lt;&gt;"-",IF('Banco de Dados'!$F131&lt;&gt;"-",_xlfn.XLOOKUP(IFERROR(IFERROR(IFERROR(VALUE(SUBSTITUTE(MID(_xlfn.TEXTAFTER('Banco de Dados'!$F131,"Data do Pedido:
",1),1,10),"-","/")),VALUE(SUBSTITUTE(MID(_xlfn.TEXTAFTER('Banco de Dados'!$F131,"Order date:
",1),1,10),"-","/"))),VALUE(SUBSTITUTE(MID(_xlfn.TEXTAFTER('Banco de Dados'!$F131,"Fecha de pedido:
",1),1,10),"-","/"))),"-"),SMS!A:A,SMS!K:K),0),0)</f>
        <v>0</v>
      </c>
      <c r="AO131" s="109">
        <f ca="1">IF('Banco de Dados'!$AK131&lt;&gt;"-",IF('Banco de Dados'!$F131&lt;&gt;"-",IFERROR(_xlfn.XLOOKUP(_xlfn.CONCAT('Banco de Dados'!$A131,IFERROR(IFERROR(VALUE(SUBSTITUTE(MID(_xlfn.TEXTAFTER('Banco de Dados'!$F131,"Data do Pedido:
",1),1,10),"-","/")),VALUE(SUBSTITUTE(MID(_xlfn.TEXTAFTER('Banco de Dados'!$F131,"Order date:
",1),1,10),"-","/"))),0)),ProxyDD[Chave],ProxyDD[Valor por pedido]),PROXY!$P$2),0),0)</f>
        <v>0</v>
      </c>
      <c r="AP131" s="28">
        <f ca="1">IF('Banco de Dados'!$AK131&lt;&gt;"-",IF('Banco de Dados'!$AL131="NÃO",IFERROR(VALUE(SUBSTITUTE(_xlfn.TEXTAFTER('Banco de Dados'!$F131,"BRL ",1),".",",")),0),0),0)</f>
        <v>0</v>
      </c>
      <c r="AQ131" s="28">
        <f ca="1">SUM('Banco de Dados'!$AM131:$AP131)</f>
        <v>0</v>
      </c>
      <c r="AR131" s="8"/>
      <c r="AS131" s="8"/>
      <c r="AY131" s="8"/>
    </row>
    <row r="132" spans="1:51">
      <c r="A132" s="5" t="str">
        <v>BV</v>
      </c>
      <c r="B132" s="5" t="str">
        <f ca="1"/>
        <v>BV45593</v>
      </c>
      <c r="C132" s="8" t="str">
        <v>Pedido 129</v>
      </c>
      <c r="D132" s="9">
        <v>45593</v>
      </c>
      <c r="E132" s="9">
        <v>45593</v>
      </c>
      <c r="F132" s="8" t="str">
        <v>PedidoF122</v>
      </c>
      <c r="G132" s="2" t="str">
        <v>CódRastreio122</v>
      </c>
      <c r="H132" s="5">
        <v>1</v>
      </c>
      <c r="I132" s="2" t="str">
        <v>CPF 126</v>
      </c>
      <c r="J132" s="2" t="str">
        <v>Nome 126</v>
      </c>
      <c r="K132" s="8" t="str">
        <v>Tel 126</v>
      </c>
      <c r="L132" s="2" t="str">
        <v>Cep 126</v>
      </c>
      <c r="M132" s="2" t="str">
        <v>Rua 126</v>
      </c>
      <c r="N132" s="2" t="str">
        <v>Comp 126</v>
      </c>
      <c r="O132" s="2" t="str">
        <v>Mini Liquidificador</v>
      </c>
      <c r="P132" s="8" t="str">
        <v>CK-YL6M-P5Y6</v>
      </c>
      <c r="Q132" s="4">
        <v>45605</v>
      </c>
      <c r="R132" s="109">
        <v>23.2</v>
      </c>
      <c r="S132" s="11">
        <f ca="1"/>
        <v>23.2</v>
      </c>
      <c r="T132" s="28">
        <f ca="1"/>
        <v>3.016</v>
      </c>
      <c r="U132" s="11">
        <f ca="1"/>
        <v>20.18</v>
      </c>
      <c r="V132" s="11">
        <v>9.99</v>
      </c>
      <c r="W132" s="11">
        <f ca="1"/>
        <v>0.34</v>
      </c>
      <c r="X132" s="11">
        <f ca="1"/>
        <v>0.39877104377104378</v>
      </c>
      <c r="Y132" s="11">
        <v>0</v>
      </c>
      <c r="Z132" s="11">
        <f ca="1"/>
        <v>9.451228956228956</v>
      </c>
      <c r="AA132" s="11">
        <f ca="1"/>
        <v>4.725614478114478</v>
      </c>
      <c r="AB132" s="4">
        <f ca="1"/>
        <v>45612</v>
      </c>
      <c r="AC132" s="4">
        <v>45612</v>
      </c>
      <c r="AD132" s="9">
        <v>45617</v>
      </c>
      <c r="AE132" s="9">
        <v>45618</v>
      </c>
      <c r="AF132" s="4" t="str">
        <f t="shared" ca="1" si="2"/>
        <v>2024 11</v>
      </c>
      <c r="AG132" s="8" t="str" cm="1">
        <f t="array" ref="AG132">IFERROR(_xlfn.IFS('Banco de Dados'!#REF!="AG. COMPRA","Em processamento",'Banco de Dados'!#REF!="AG. RASTREIO","Em processamento",'Banco de Dados'!$AE132&lt;&gt;"-","Faturado",'Banco de Dados'!$AD132&lt;&gt;"-","Aguardando Pix",'Banco de Dados'!$AC132&lt;&gt;"-","Pendente"),"Aguardando Liberação")</f>
        <v>Aguardando Liberação</v>
      </c>
      <c r="AH132" s="5" t="str">
        <f>IF('Banco de Dados'!$F132="-",_xlfn.CONCAT(PROPER(TEXT(AK132,"aaaa"))," ",PROPER(TEXT(AK132,"mm"))),_xlfn.CONCAT(PROPER(TEXT(E132,"aaaa"))," ",PROPER(TEXT(E132,"mm"))))</f>
        <v>2024 10</v>
      </c>
      <c r="AI132" s="9" t="str">
        <f ca="1">IF('Banco de Dados'!$AK132&lt;&gt;"-","REEMBOLSO",IFERROR(_xlfn.XLOOKUP(G132,Follow[CODRASTREIO],Follow[STATUS]),"-"))</f>
        <v>ENTREGUE</v>
      </c>
      <c r="AJ132" s="9">
        <f ca="1">IF('Banco de Dados'!$AI132="ENTREGUE",_xlfn.XLOOKUP('Banco de Dados'!$G132,Follow[CODRASTREIO],Follow[DATAATUALIZAÇÃO]),"-")</f>
        <v>45596</v>
      </c>
      <c r="AK132" s="9" t="str">
        <f ca="1"/>
        <v>-</v>
      </c>
      <c r="AL132" s="35" t="str">
        <v>NÃO</v>
      </c>
      <c r="AM132" s="109" cm="1">
        <f t="array" aca="1" ref="AM132" ca="1">IF('Banco de Dados'!$AK132&lt;&gt;"-",_xlfn.IFS('Banco de Dados'!$A132="bv",IF('Banco de Dados'!$E132&lt;45641,ROUND(SUM('Banco de Dados'!$R132*_xlfn.XLOOKUP('Banco de Dados'!$P132,Sku!B:B,Sku!#REF!)*20%),2),ROUND(SUM('Banco de Dados'!$R132*_xlfn.XLOOKUP('Banco de Dados'!$P132,Sku!B:B,Sku!H:H)*20%),2)),'Banco de Dados'!$A132="GO",ROUND(_xlfn.XLOOKUP('Banco de Dados'!$P132,Sku!C:C,Sku!H:H),2),'Banco de Dados'!$A132="MEI",ROUND(_xlfn.XLOOKUP('Banco de Dados'!$P132,Sku!D:D,Sku!H:H),2)),0)</f>
        <v>0</v>
      </c>
      <c r="AN132" s="109">
        <f ca="1">IF('Banco de Dados'!$AK132&lt;&gt;"-",IF('Banco de Dados'!$F132&lt;&gt;"-",_xlfn.XLOOKUP(IFERROR(IFERROR(IFERROR(VALUE(SUBSTITUTE(MID(_xlfn.TEXTAFTER('Banco de Dados'!$F132,"Data do Pedido:
",1),1,10),"-","/")),VALUE(SUBSTITUTE(MID(_xlfn.TEXTAFTER('Banco de Dados'!$F132,"Order date:
",1),1,10),"-","/"))),VALUE(SUBSTITUTE(MID(_xlfn.TEXTAFTER('Banco de Dados'!$F132,"Fecha de pedido:
",1),1,10),"-","/"))),"-"),SMS!A:A,SMS!K:K),0),0)</f>
        <v>0</v>
      </c>
      <c r="AO132" s="109">
        <f ca="1">IF('Banco de Dados'!$AK132&lt;&gt;"-",IF('Banco de Dados'!$F132&lt;&gt;"-",IFERROR(_xlfn.XLOOKUP(_xlfn.CONCAT('Banco de Dados'!$A132,IFERROR(IFERROR(VALUE(SUBSTITUTE(MID(_xlfn.TEXTAFTER('Banco de Dados'!$F132,"Data do Pedido:
",1),1,10),"-","/")),VALUE(SUBSTITUTE(MID(_xlfn.TEXTAFTER('Banco de Dados'!$F132,"Order date:
",1),1,10),"-","/"))),0)),ProxyDD[Chave],ProxyDD[Valor por pedido]),PROXY!$P$2),0),0)</f>
        <v>0</v>
      </c>
      <c r="AP132" s="28">
        <f ca="1">IF('Banco de Dados'!$AK132&lt;&gt;"-",IF('Banco de Dados'!$AL132="NÃO",IFERROR(VALUE(SUBSTITUTE(_xlfn.TEXTAFTER('Banco de Dados'!$F132,"BRL ",1),".",",")),0),0),0)</f>
        <v>0</v>
      </c>
      <c r="AQ132" s="28">
        <f ca="1">SUM('Banco de Dados'!$AM132:$AP132)</f>
        <v>0</v>
      </c>
      <c r="AR132" s="8"/>
      <c r="AS132" s="8"/>
      <c r="AY132" s="8"/>
    </row>
    <row r="133" spans="1:51">
      <c r="A133" s="5" t="str">
        <v>BV</v>
      </c>
      <c r="B133" s="5" t="str">
        <f ca="1"/>
        <v>BV45593</v>
      </c>
      <c r="C133" s="8" t="str">
        <v>Pedido 130</v>
      </c>
      <c r="D133" s="9">
        <v>45593</v>
      </c>
      <c r="E133" s="9">
        <v>45593</v>
      </c>
      <c r="F133" s="8" t="str">
        <v>PedidoF123</v>
      </c>
      <c r="G133" s="2" t="str">
        <v>CódRastreio123</v>
      </c>
      <c r="H133" s="5">
        <v>1</v>
      </c>
      <c r="I133" s="2" t="str">
        <v>CPF 127</v>
      </c>
      <c r="J133" s="2" t="str">
        <v>Nome 127</v>
      </c>
      <c r="K133" s="8" t="str">
        <v>Tel 127</v>
      </c>
      <c r="L133" s="2" t="str">
        <v>Cep 127</v>
      </c>
      <c r="M133" s="2" t="str">
        <v>Rua 127</v>
      </c>
      <c r="N133" s="2" t="str">
        <v>Comp 127</v>
      </c>
      <c r="O133" s="2" t="str">
        <v>Suporte de Celular Branco</v>
      </c>
      <c r="P133" s="8" t="str">
        <v>16-4EDB-WMZF</v>
      </c>
      <c r="Q133" s="4">
        <v>45611</v>
      </c>
      <c r="R133" s="109">
        <v>15.99</v>
      </c>
      <c r="S133" s="11">
        <f ca="1"/>
        <v>15.99</v>
      </c>
      <c r="T133" s="28">
        <f ca="1"/>
        <v>2.3984999999999999</v>
      </c>
      <c r="U133" s="11">
        <f ca="1"/>
        <v>13.59</v>
      </c>
      <c r="V133" s="11">
        <v>4.99</v>
      </c>
      <c r="W133" s="11">
        <f ca="1"/>
        <v>0.34</v>
      </c>
      <c r="X133" s="11">
        <f ca="1"/>
        <v>0.39877104377104378</v>
      </c>
      <c r="Y133" s="11">
        <v>0</v>
      </c>
      <c r="Z133" s="11">
        <f ca="1"/>
        <v>7.8612289562289561</v>
      </c>
      <c r="AA133" s="11">
        <f ca="1"/>
        <v>3.9306144781144781</v>
      </c>
      <c r="AB133" s="4">
        <f ca="1"/>
        <v>45618</v>
      </c>
      <c r="AC133" s="4">
        <v>45618</v>
      </c>
      <c r="AD133" s="9">
        <v>45618</v>
      </c>
      <c r="AE133" s="9">
        <v>45625</v>
      </c>
      <c r="AF133" s="4" t="str">
        <f t="shared" ca="1" si="2"/>
        <v>2024 11</v>
      </c>
      <c r="AG133" s="8" t="str" cm="1">
        <f t="array" ref="AG133">IFERROR(_xlfn.IFS('Banco de Dados'!#REF!="AG. COMPRA","Em processamento",'Banco de Dados'!#REF!="AG. RASTREIO","Em processamento",'Banco de Dados'!$AE133&lt;&gt;"-","Faturado",'Banco de Dados'!$AD133&lt;&gt;"-","Aguardando Pix",'Banco de Dados'!$AC133&lt;&gt;"-","Pendente"),"Aguardando Liberação")</f>
        <v>Aguardando Liberação</v>
      </c>
      <c r="AH133" s="5" t="str">
        <f>IF('Banco de Dados'!$F133="-",_xlfn.CONCAT(PROPER(TEXT(AK133,"aaaa"))," ",PROPER(TEXT(AK133,"mm"))),_xlfn.CONCAT(PROPER(TEXT(E133,"aaaa"))," ",PROPER(TEXT(E133,"mm"))))</f>
        <v>2024 10</v>
      </c>
      <c r="AI133" s="9" t="str">
        <f ca="1">IF('Banco de Dados'!$AK133&lt;&gt;"-","REEMBOLSO",IFERROR(_xlfn.XLOOKUP(G133,Follow[CODRASTREIO],Follow[STATUS]),"-"))</f>
        <v>ENTREGUE</v>
      </c>
      <c r="AJ133" s="9">
        <f ca="1">IF('Banco de Dados'!$AI133="ENTREGUE",_xlfn.XLOOKUP('Banco de Dados'!$G133,Follow[CODRASTREIO],Follow[DATAATUALIZAÇÃO]),"-")</f>
        <v>45596</v>
      </c>
      <c r="AK133" s="9" t="str">
        <f ca="1"/>
        <v>-</v>
      </c>
      <c r="AL133" s="35" t="str">
        <v>NÃO</v>
      </c>
      <c r="AM133" s="109" cm="1">
        <f t="array" aca="1" ref="AM133" ca="1">IF('Banco de Dados'!$AK133&lt;&gt;"-",_xlfn.IFS('Banco de Dados'!$A133="bv",IF('Banco de Dados'!$E133&lt;45641,ROUND(SUM('Banco de Dados'!$R133*_xlfn.XLOOKUP('Banco de Dados'!$P133,Sku!B:B,Sku!#REF!)*20%),2),ROUND(SUM('Banco de Dados'!$R133*_xlfn.XLOOKUP('Banco de Dados'!$P133,Sku!B:B,Sku!H:H)*20%),2)),'Banco de Dados'!$A133="GO",ROUND(_xlfn.XLOOKUP('Banco de Dados'!$P133,Sku!C:C,Sku!H:H),2),'Banco de Dados'!$A133="MEI",ROUND(_xlfn.XLOOKUP('Banco de Dados'!$P133,Sku!D:D,Sku!H:H),2)),0)</f>
        <v>0</v>
      </c>
      <c r="AN133" s="109">
        <f ca="1">IF('Banco de Dados'!$AK133&lt;&gt;"-",IF('Banco de Dados'!$F133&lt;&gt;"-",_xlfn.XLOOKUP(IFERROR(IFERROR(IFERROR(VALUE(SUBSTITUTE(MID(_xlfn.TEXTAFTER('Banco de Dados'!$F133,"Data do Pedido:
",1),1,10),"-","/")),VALUE(SUBSTITUTE(MID(_xlfn.TEXTAFTER('Banco de Dados'!$F133,"Order date:
",1),1,10),"-","/"))),VALUE(SUBSTITUTE(MID(_xlfn.TEXTAFTER('Banco de Dados'!$F133,"Fecha de pedido:
",1),1,10),"-","/"))),"-"),SMS!A:A,SMS!K:K),0),0)</f>
        <v>0</v>
      </c>
      <c r="AO133" s="109">
        <f ca="1">IF('Banco de Dados'!$AK133&lt;&gt;"-",IF('Banco de Dados'!$F133&lt;&gt;"-",IFERROR(_xlfn.XLOOKUP(_xlfn.CONCAT('Banco de Dados'!$A133,IFERROR(IFERROR(VALUE(SUBSTITUTE(MID(_xlfn.TEXTAFTER('Banco de Dados'!$F133,"Data do Pedido:
",1),1,10),"-","/")),VALUE(SUBSTITUTE(MID(_xlfn.TEXTAFTER('Banco de Dados'!$F133,"Order date:
",1),1,10),"-","/"))),0)),ProxyDD[Chave],ProxyDD[Valor por pedido]),PROXY!$P$2),0),0)</f>
        <v>0</v>
      </c>
      <c r="AP133" s="28">
        <f ca="1">IF('Banco de Dados'!$AK133&lt;&gt;"-",IF('Banco de Dados'!$AL133="NÃO",IFERROR(VALUE(SUBSTITUTE(_xlfn.TEXTAFTER('Banco de Dados'!$F133,"BRL ",1),".",",")),0),0),0)</f>
        <v>0</v>
      </c>
      <c r="AQ133" s="28">
        <f ca="1">SUM('Banco de Dados'!$AM133:$AP133)</f>
        <v>0</v>
      </c>
      <c r="AR133" s="8"/>
      <c r="AS133" s="8"/>
      <c r="AY133" s="8"/>
    </row>
    <row r="134" spans="1:51">
      <c r="A134" s="5" t="str">
        <v>BV</v>
      </c>
      <c r="B134" s="5" t="str">
        <f ca="1"/>
        <v>BV45593</v>
      </c>
      <c r="C134" s="8" t="str">
        <v>Pedido 131</v>
      </c>
      <c r="D134" s="9">
        <v>45593</v>
      </c>
      <c r="E134" s="9">
        <v>45593</v>
      </c>
      <c r="F134" s="8" t="str">
        <v>PedidoF124</v>
      </c>
      <c r="G134" s="2" t="str">
        <v>CódRastreio124</v>
      </c>
      <c r="H134" s="5">
        <v>1</v>
      </c>
      <c r="I134" s="2" t="str">
        <v>CPF 128</v>
      </c>
      <c r="J134" s="2" t="str">
        <v>Nome 128</v>
      </c>
      <c r="K134" s="8" t="str">
        <v>Tel 128</v>
      </c>
      <c r="L134" s="2" t="str">
        <v>Cep 128</v>
      </c>
      <c r="M134" s="2" t="str">
        <v>Rua 128</v>
      </c>
      <c r="N134" s="2" t="str">
        <v>Comp 128</v>
      </c>
      <c r="O134" s="2" t="str">
        <v>Bomba d'agua</v>
      </c>
      <c r="P134" s="8" t="str">
        <v>DJ-RO5O-43GF</v>
      </c>
      <c r="Q134" s="4">
        <v>45618</v>
      </c>
      <c r="R134" s="109">
        <v>18.2</v>
      </c>
      <c r="S134" s="11">
        <f ca="1"/>
        <v>0</v>
      </c>
      <c r="T134" s="28">
        <f ca="1"/>
        <v>0</v>
      </c>
      <c r="U134" s="11">
        <f ca="1"/>
        <v>0</v>
      </c>
      <c r="V134" s="11">
        <v>0</v>
      </c>
      <c r="W134" s="11">
        <f ca="1"/>
        <v>0</v>
      </c>
      <c r="X134" s="11">
        <f ca="1"/>
        <v>0.39877104377104378</v>
      </c>
      <c r="Y134" s="11">
        <v>0</v>
      </c>
      <c r="Z134" s="11">
        <f ca="1"/>
        <v>-0.39877104377104378</v>
      </c>
      <c r="AA134" s="11">
        <f ca="1"/>
        <v>-0.19938552188552189</v>
      </c>
      <c r="AB134" s="4">
        <f ca="1"/>
        <v>45625</v>
      </c>
      <c r="AC134" s="4">
        <v>45626</v>
      </c>
      <c r="AD134" s="9">
        <v>45625</v>
      </c>
      <c r="AE134" s="9">
        <v>45625</v>
      </c>
      <c r="AF134" s="4" t="str">
        <f t="shared" ca="1" si="2"/>
        <v>2024 11</v>
      </c>
      <c r="AG134" s="8" t="str" cm="1">
        <f t="array" ref="AG134">IFERROR(_xlfn.IFS('Banco de Dados'!#REF!="AG. COMPRA","Em processamento",'Banco de Dados'!#REF!="AG. RASTREIO","Em processamento",'Banco de Dados'!$AE134&lt;&gt;"-","Faturado",'Banco de Dados'!$AD134&lt;&gt;"-","Aguardando Pix",'Banco de Dados'!$AC134&lt;&gt;"-","Pendente"),"Aguardando Liberação")</f>
        <v>Aguardando Liberação</v>
      </c>
      <c r="AH134" s="5" t="str">
        <f>IF('Banco de Dados'!$F134="-",_xlfn.CONCAT(PROPER(TEXT(AK134,"aaaa"))," ",PROPER(TEXT(AK134,"mm"))),_xlfn.CONCAT(PROPER(TEXT(E134,"aaaa"))," ",PROPER(TEXT(E134,"mm"))))</f>
        <v>2024 10</v>
      </c>
      <c r="AI134" s="9" t="str">
        <f ca="1">IF('Banco de Dados'!$AK134&lt;&gt;"-","REEMBOLSO",IFERROR(_xlfn.XLOOKUP(G134,Follow[CODRASTREIO],Follow[STATUS]),"-"))</f>
        <v>REEMBOLSO</v>
      </c>
      <c r="AJ134" s="9" t="str">
        <f ca="1">IF('Banco de Dados'!$AI134="ENTREGUE",_xlfn.XLOOKUP('Banco de Dados'!$G134,Follow[CODRASTREIO],Follow[DATAATUALIZAÇÃO]),"-")</f>
        <v>-</v>
      </c>
      <c r="AK134" s="9">
        <f ca="1"/>
        <v>45625</v>
      </c>
      <c r="AL134" s="35" t="str">
        <v>NÃO</v>
      </c>
      <c r="AM134" s="109" t="e" cm="1">
        <f t="array" aca="1" ref="AM134" ca="1">IF('Banco de Dados'!$AK134&lt;&gt;"-",_xlfn.IFS('Banco de Dados'!$A134="bv",IF('Banco de Dados'!$E134&lt;45641,ROUND(SUM('Banco de Dados'!$R134*_xlfn.XLOOKUP('Banco de Dados'!$P134,Sku!B:B,Sku!#REF!)*20%),2),ROUND(SUM('Banco de Dados'!$R134*_xlfn.XLOOKUP('Banco de Dados'!$P134,Sku!B:B,Sku!H:H)*20%),2)),'Banco de Dados'!$A134="GO",ROUND(_xlfn.XLOOKUP('Banco de Dados'!$P134,Sku!C:C,Sku!H:H),2),'Banco de Dados'!$A134="MEI",ROUND(_xlfn.XLOOKUP('Banco de Dados'!$P134,Sku!D:D,Sku!H:H),2)),0)</f>
        <v>#REF!</v>
      </c>
      <c r="AN134" s="109" t="e">
        <f ca="1">IF('Banco de Dados'!$AK134&lt;&gt;"-",IF('Banco de Dados'!$F134&lt;&gt;"-",_xlfn.XLOOKUP(IFERROR(IFERROR(IFERROR(VALUE(SUBSTITUTE(MID(_xlfn.TEXTAFTER('Banco de Dados'!$F134,"Data do Pedido:
",1),1,10),"-","/")),VALUE(SUBSTITUTE(MID(_xlfn.TEXTAFTER('Banco de Dados'!$F134,"Order date:
",1),1,10),"-","/"))),VALUE(SUBSTITUTE(MID(_xlfn.TEXTAFTER('Banco de Dados'!$F134,"Fecha de pedido:
",1),1,10),"-","/"))),"-"),SMS!A:A,SMS!K:K),0),0)</f>
        <v>#N/A</v>
      </c>
      <c r="AO134" s="109">
        <f ca="1">IF('Banco de Dados'!$AK134&lt;&gt;"-",IF('Banco de Dados'!$F134&lt;&gt;"-",IFERROR(_xlfn.XLOOKUP(_xlfn.CONCAT('Banco de Dados'!$A134,IFERROR(IFERROR(VALUE(SUBSTITUTE(MID(_xlfn.TEXTAFTER('Banco de Dados'!$F134,"Data do Pedido:
",1),1,10),"-","/")),VALUE(SUBSTITUTE(MID(_xlfn.TEXTAFTER('Banco de Dados'!$F134,"Order date:
",1),1,10),"-","/"))),0)),ProxyDD[Chave],ProxyDD[Valor por pedido]),PROXY!$P$2),0),0)</f>
        <v>0.39877104377104378</v>
      </c>
      <c r="AP134" s="28">
        <f ca="1">IF('Banco de Dados'!$AK134&lt;&gt;"-",IF('Banco de Dados'!$AL134="NÃO",IFERROR(VALUE(SUBSTITUTE(_xlfn.TEXTAFTER('Banco de Dados'!$F134,"BRL ",1),".",",")),0),0),0)</f>
        <v>0</v>
      </c>
      <c r="AQ134" s="28" t="e">
        <f ca="1">SUM('Banco de Dados'!$AM134:$AP134)</f>
        <v>#REF!</v>
      </c>
      <c r="AR134" s="8"/>
      <c r="AS134" s="8"/>
      <c r="AY134" s="8"/>
    </row>
    <row r="135" spans="1:51">
      <c r="A135" s="5" t="str">
        <v>BV</v>
      </c>
      <c r="B135" s="5" t="str">
        <f ca="1"/>
        <v>BV45595</v>
      </c>
      <c r="C135" s="8" t="str">
        <v>Pedido 132</v>
      </c>
      <c r="D135" s="9">
        <v>45595</v>
      </c>
      <c r="E135" s="9">
        <v>45595</v>
      </c>
      <c r="F135" s="8" t="str">
        <v>PedidoF125</v>
      </c>
      <c r="G135" s="2" t="str">
        <v>CódRastreio125</v>
      </c>
      <c r="H135" s="5">
        <v>1</v>
      </c>
      <c r="I135" s="3" t="str">
        <v>CPF 129</v>
      </c>
      <c r="J135" s="2" t="str">
        <v>Nome 129</v>
      </c>
      <c r="K135" s="8" t="str">
        <v>Tel 129</v>
      </c>
      <c r="L135" s="2" t="str">
        <v>Cep 129</v>
      </c>
      <c r="M135" s="2" t="str">
        <v>Rua 129</v>
      </c>
      <c r="N135" s="2" t="str">
        <v>Comp 129</v>
      </c>
      <c r="O135" s="2" t="str">
        <v>Bomba d'agua</v>
      </c>
      <c r="P135" s="8" t="str">
        <v>DJ-RO5O-43GF</v>
      </c>
      <c r="Q135" s="4">
        <v>45623</v>
      </c>
      <c r="R135" s="109">
        <v>18.2</v>
      </c>
      <c r="S135" s="11">
        <f ca="1"/>
        <v>18.2</v>
      </c>
      <c r="T135" s="28">
        <f ca="1"/>
        <v>2.548</v>
      </c>
      <c r="U135" s="11">
        <f ca="1"/>
        <v>15.65</v>
      </c>
      <c r="V135" s="11">
        <v>4.99</v>
      </c>
      <c r="W135" s="11">
        <f ca="1"/>
        <v>0.35</v>
      </c>
      <c r="X135" s="11">
        <f ca="1"/>
        <v>0.39877104377104378</v>
      </c>
      <c r="Y135" s="11">
        <v>0</v>
      </c>
      <c r="Z135" s="11">
        <f ca="1"/>
        <v>9.9112289562289568</v>
      </c>
      <c r="AA135" s="11">
        <f ca="1"/>
        <v>4.9556144781144784</v>
      </c>
      <c r="AB135" s="4">
        <f ca="1"/>
        <v>45630</v>
      </c>
      <c r="AC135" s="4">
        <v>45630</v>
      </c>
      <c r="AD135" s="9">
        <v>45637</v>
      </c>
      <c r="AE135" s="9">
        <v>45642</v>
      </c>
      <c r="AF135" s="4" t="str">
        <f t="shared" ca="1" si="2"/>
        <v>2024 12</v>
      </c>
      <c r="AG135" s="8" t="str" cm="1">
        <f t="array" ref="AG135">IFERROR(_xlfn.IFS('Banco de Dados'!#REF!="AG. COMPRA","Em processamento",'Banco de Dados'!#REF!="AG. RASTREIO","Em processamento",'Banco de Dados'!$AE135&lt;&gt;"-","Faturado",'Banco de Dados'!$AD135&lt;&gt;"-","Aguardando Pix",'Banco de Dados'!$AC135&lt;&gt;"-","Pendente"),"Aguardando Liberação")</f>
        <v>Aguardando Liberação</v>
      </c>
      <c r="AH135" s="5" t="str">
        <f>IF('Banco de Dados'!$F135="-",_xlfn.CONCAT(PROPER(TEXT(AK135,"aaaa"))," ",PROPER(TEXT(AK135,"mm"))),_xlfn.CONCAT(PROPER(TEXT(E135,"aaaa"))," ",PROPER(TEXT(E135,"mm"))))</f>
        <v>2024 10</v>
      </c>
      <c r="AI135" s="9" t="str">
        <f ca="1">IF('Banco de Dados'!$AK135&lt;&gt;"-","REEMBOLSO",IFERROR(_xlfn.XLOOKUP(G135,Follow[CODRASTREIO],Follow[STATUS]),"-"))</f>
        <v>ENTREGUE</v>
      </c>
      <c r="AJ135" s="9">
        <f ca="1">IF('Banco de Dados'!$AI135="ENTREGUE",_xlfn.XLOOKUP('Banco de Dados'!$G135,Follow[CODRASTREIO],Follow[DATAATUALIZAÇÃO]),"-")</f>
        <v>45602</v>
      </c>
      <c r="AK135" s="9" t="str">
        <f ca="1"/>
        <v>-</v>
      </c>
      <c r="AL135" s="35" t="str">
        <v>NÃO</v>
      </c>
      <c r="AM135" s="109" cm="1">
        <f t="array" aca="1" ref="AM135" ca="1">IF('Banco de Dados'!$AK135&lt;&gt;"-",_xlfn.IFS('Banco de Dados'!$A135="bv",IF('Banco de Dados'!$E135&lt;45641,ROUND(SUM('Banco de Dados'!$R135*_xlfn.XLOOKUP('Banco de Dados'!$P135,Sku!B:B,Sku!#REF!)*20%),2),ROUND(SUM('Banco de Dados'!$R135*_xlfn.XLOOKUP('Banco de Dados'!$P135,Sku!B:B,Sku!H:H)*20%),2)),'Banco de Dados'!$A135="GO",ROUND(_xlfn.XLOOKUP('Banco de Dados'!$P135,Sku!C:C,Sku!H:H),2),'Banco de Dados'!$A135="MEI",ROUND(_xlfn.XLOOKUP('Banco de Dados'!$P135,Sku!D:D,Sku!H:H),2)),0)</f>
        <v>0</v>
      </c>
      <c r="AN135" s="109">
        <f ca="1">IF('Banco de Dados'!$AK135&lt;&gt;"-",IF('Banco de Dados'!$F135&lt;&gt;"-",_xlfn.XLOOKUP(IFERROR(IFERROR(IFERROR(VALUE(SUBSTITUTE(MID(_xlfn.TEXTAFTER('Banco de Dados'!$F135,"Data do Pedido:
",1),1,10),"-","/")),VALUE(SUBSTITUTE(MID(_xlfn.TEXTAFTER('Banco de Dados'!$F135,"Order date:
",1),1,10),"-","/"))),VALUE(SUBSTITUTE(MID(_xlfn.TEXTAFTER('Banco de Dados'!$F135,"Fecha de pedido:
",1),1,10),"-","/"))),"-"),SMS!A:A,SMS!K:K),0),0)</f>
        <v>0</v>
      </c>
      <c r="AO135" s="109">
        <f ca="1">IF('Banco de Dados'!$AK135&lt;&gt;"-",IF('Banco de Dados'!$F135&lt;&gt;"-",IFERROR(_xlfn.XLOOKUP(_xlfn.CONCAT('Banco de Dados'!$A135,IFERROR(IFERROR(VALUE(SUBSTITUTE(MID(_xlfn.TEXTAFTER('Banco de Dados'!$F135,"Data do Pedido:
",1),1,10),"-","/")),VALUE(SUBSTITUTE(MID(_xlfn.TEXTAFTER('Banco de Dados'!$F135,"Order date:
",1),1,10),"-","/"))),0)),ProxyDD[Chave],ProxyDD[Valor por pedido]),PROXY!$P$2),0),0)</f>
        <v>0</v>
      </c>
      <c r="AP135" s="28">
        <f ca="1">IF('Banco de Dados'!$AK135&lt;&gt;"-",IF('Banco de Dados'!$AL135="NÃO",IFERROR(VALUE(SUBSTITUTE(_xlfn.TEXTAFTER('Banco de Dados'!$F135,"BRL ",1),".",",")),0),0),0)</f>
        <v>0</v>
      </c>
      <c r="AQ135" s="28">
        <f ca="1">SUM('Banco de Dados'!$AM135:$AP135)</f>
        <v>0</v>
      </c>
      <c r="AR135" s="8"/>
      <c r="AS135" s="8"/>
      <c r="AY135" s="8"/>
    </row>
    <row r="136" spans="1:51">
      <c r="A136" s="5" t="str">
        <v>BV</v>
      </c>
      <c r="B136" s="5" t="str">
        <f ca="1"/>
        <v>BV45593</v>
      </c>
      <c r="C136" s="8" t="str">
        <v>Pedido 133</v>
      </c>
      <c r="D136" s="9">
        <v>45593</v>
      </c>
      <c r="E136" s="9">
        <v>45593</v>
      </c>
      <c r="F136" s="8" t="str">
        <v>PedidoF126</v>
      </c>
      <c r="G136" s="2" t="str">
        <v>CódRastreio126</v>
      </c>
      <c r="H136" s="5">
        <v>1</v>
      </c>
      <c r="I136" s="2" t="str">
        <v>CPF 130</v>
      </c>
      <c r="J136" s="2" t="str">
        <v>Nome 130</v>
      </c>
      <c r="K136" s="8" t="str">
        <v>Tel 130</v>
      </c>
      <c r="L136" s="2" t="str">
        <v>Cep 130</v>
      </c>
      <c r="M136" s="2" t="str">
        <v>Rua 130</v>
      </c>
      <c r="N136" s="2" t="str">
        <v>Comp 130</v>
      </c>
      <c r="O136" s="2" t="str">
        <v>Bomba d'agua</v>
      </c>
      <c r="P136" s="8" t="str">
        <v>DJ-RO5O-43GF</v>
      </c>
      <c r="Q136" s="4">
        <v>45605</v>
      </c>
      <c r="R136" s="109">
        <v>18.2</v>
      </c>
      <c r="S136" s="11">
        <f ca="1"/>
        <v>0</v>
      </c>
      <c r="T136" s="28">
        <f ca="1"/>
        <v>0</v>
      </c>
      <c r="U136" s="11">
        <f ca="1"/>
        <v>0</v>
      </c>
      <c r="V136" s="11">
        <v>0</v>
      </c>
      <c r="W136" s="11">
        <f ca="1"/>
        <v>0</v>
      </c>
      <c r="X136" s="11">
        <f ca="1"/>
        <v>0.39877104377104378</v>
      </c>
      <c r="Y136" s="11">
        <v>0</v>
      </c>
      <c r="Z136" s="11">
        <f ca="1"/>
        <v>-0.39877104377104378</v>
      </c>
      <c r="AA136" s="11">
        <f ca="1"/>
        <v>-0.19938552188552189</v>
      </c>
      <c r="AB136" s="4">
        <f ca="1"/>
        <v>45612</v>
      </c>
      <c r="AC136" s="4">
        <v>45613</v>
      </c>
      <c r="AD136" s="9">
        <v>45617</v>
      </c>
      <c r="AE136" s="9">
        <v>45618</v>
      </c>
      <c r="AF136" s="4" t="str">
        <f t="shared" ca="1" si="2"/>
        <v>2024 11</v>
      </c>
      <c r="AG136" s="8" t="str" cm="1">
        <f t="array" ref="AG136">IFERROR(_xlfn.IFS('Banco de Dados'!#REF!="AG. COMPRA","Em processamento",'Banco de Dados'!#REF!="AG. RASTREIO","Em processamento",'Banco de Dados'!$AE136&lt;&gt;"-","Faturado",'Banco de Dados'!$AD136&lt;&gt;"-","Aguardando Pix",'Banco de Dados'!$AC136&lt;&gt;"-","Pendente"),"Aguardando Liberação")</f>
        <v>Aguardando Liberação</v>
      </c>
      <c r="AH136" s="5" t="str">
        <f>IF('Banco de Dados'!$F136="-",_xlfn.CONCAT(PROPER(TEXT(AK136,"aaaa"))," ",PROPER(TEXT(AK136,"mm"))),_xlfn.CONCAT(PROPER(TEXT(E136,"aaaa"))," ",PROPER(TEXT(E136,"mm"))))</f>
        <v>2024 10</v>
      </c>
      <c r="AI136" s="9" t="str">
        <f ca="1">IF('Banco de Dados'!$AK136&lt;&gt;"-","REEMBOLSO",IFERROR(_xlfn.XLOOKUP(G136,Follow[CODRASTREIO],Follow[STATUS]),"-"))</f>
        <v>REEMBOLSO</v>
      </c>
      <c r="AJ136" s="9" t="str">
        <f ca="1">IF('Banco de Dados'!$AI136="ENTREGUE",_xlfn.XLOOKUP('Banco de Dados'!$G136,Follow[CODRASTREIO],Follow[DATAATUALIZAÇÃO]),"-")</f>
        <v>-</v>
      </c>
      <c r="AK136" s="9">
        <f ca="1"/>
        <v>45613</v>
      </c>
      <c r="AL136" s="35" t="str">
        <v>SIM</v>
      </c>
      <c r="AM136" s="109" t="e" cm="1">
        <f t="array" aca="1" ref="AM136" ca="1">IF('Banco de Dados'!$AK136&lt;&gt;"-",_xlfn.IFS('Banco de Dados'!$A136="bv",IF('Banco de Dados'!$E136&lt;45641,ROUND(SUM('Banco de Dados'!$R136*_xlfn.XLOOKUP('Banco de Dados'!$P136,Sku!B:B,Sku!#REF!)*20%),2),ROUND(SUM('Banco de Dados'!$R136*_xlfn.XLOOKUP('Banco de Dados'!$P136,Sku!B:B,Sku!H:H)*20%),2)),'Banco de Dados'!$A136="GO",ROUND(_xlfn.XLOOKUP('Banco de Dados'!$P136,Sku!C:C,Sku!H:H),2),'Banco de Dados'!$A136="MEI",ROUND(_xlfn.XLOOKUP('Banco de Dados'!$P136,Sku!D:D,Sku!H:H),2)),0)</f>
        <v>#REF!</v>
      </c>
      <c r="AN136" s="109" t="e">
        <f ca="1">IF('Banco de Dados'!$AK136&lt;&gt;"-",IF('Banco de Dados'!$F136&lt;&gt;"-",_xlfn.XLOOKUP(IFERROR(IFERROR(IFERROR(VALUE(SUBSTITUTE(MID(_xlfn.TEXTAFTER('Banco de Dados'!$F136,"Data do Pedido:
",1),1,10),"-","/")),VALUE(SUBSTITUTE(MID(_xlfn.TEXTAFTER('Banco de Dados'!$F136,"Order date:
",1),1,10),"-","/"))),VALUE(SUBSTITUTE(MID(_xlfn.TEXTAFTER('Banco de Dados'!$F136,"Fecha de pedido:
",1),1,10),"-","/"))),"-"),SMS!A:A,SMS!K:K),0),0)</f>
        <v>#N/A</v>
      </c>
      <c r="AO136" s="109">
        <f ca="1">IF('Banco de Dados'!$AK136&lt;&gt;"-",IF('Banco de Dados'!$F136&lt;&gt;"-",IFERROR(_xlfn.XLOOKUP(_xlfn.CONCAT('Banco de Dados'!$A136,IFERROR(IFERROR(VALUE(SUBSTITUTE(MID(_xlfn.TEXTAFTER('Banco de Dados'!$F136,"Data do Pedido:
",1),1,10),"-","/")),VALUE(SUBSTITUTE(MID(_xlfn.TEXTAFTER('Banco de Dados'!$F136,"Order date:
",1),1,10),"-","/"))),0)),ProxyDD[Chave],ProxyDD[Valor por pedido]),PROXY!$P$2),0),0)</f>
        <v>0.39877104377104378</v>
      </c>
      <c r="AP136" s="28">
        <f ca="1">IF('Banco de Dados'!$AK136&lt;&gt;"-",IF('Banco de Dados'!$AL136="NÃO",IFERROR(VALUE(SUBSTITUTE(_xlfn.TEXTAFTER('Banco de Dados'!$F136,"BRL ",1),".",",")),0),0),0)</f>
        <v>0</v>
      </c>
      <c r="AQ136" s="28" t="e">
        <f ca="1">SUM('Banco de Dados'!$AM136:$AP136)</f>
        <v>#REF!</v>
      </c>
      <c r="AR136" s="8"/>
      <c r="AS136" s="8"/>
      <c r="AY136" s="8"/>
    </row>
    <row r="137" spans="1:51">
      <c r="A137" s="5" t="str">
        <v>BV</v>
      </c>
      <c r="B137" s="5" t="str">
        <f ca="1"/>
        <v>BV45603</v>
      </c>
      <c r="C137" s="8" t="str">
        <v>Pedido 134</v>
      </c>
      <c r="D137" s="9">
        <v>45603</v>
      </c>
      <c r="E137" s="9">
        <v>45603</v>
      </c>
      <c r="F137" s="8" t="str">
        <v>PedidoF127</v>
      </c>
      <c r="G137" s="2" t="str">
        <v>CódRastreio127</v>
      </c>
      <c r="H137" s="5">
        <v>1</v>
      </c>
      <c r="I137" s="3" t="str">
        <v>CPF 131</v>
      </c>
      <c r="J137" s="2" t="str">
        <v>Nome 131</v>
      </c>
      <c r="K137" s="8" t="str">
        <v>Tel 131</v>
      </c>
      <c r="L137" s="2" t="str">
        <v>Cep 131</v>
      </c>
      <c r="M137" s="2" t="str">
        <v>Rua 131</v>
      </c>
      <c r="N137" s="2" t="str">
        <v>Comp 131</v>
      </c>
      <c r="O137" s="2" t="str">
        <v>Mini Liquidificador</v>
      </c>
      <c r="P137" s="8" t="str">
        <v>CK-YL6M-P5Y6</v>
      </c>
      <c r="Q137" s="4">
        <v>45605</v>
      </c>
      <c r="R137" s="109">
        <v>23.2</v>
      </c>
      <c r="S137" s="11">
        <f ca="1"/>
        <v>0</v>
      </c>
      <c r="T137" s="28">
        <f ca="1"/>
        <v>0</v>
      </c>
      <c r="U137" s="11">
        <f ca="1"/>
        <v>0</v>
      </c>
      <c r="V137" s="11">
        <v>0</v>
      </c>
      <c r="W137" s="11">
        <f ca="1"/>
        <v>0</v>
      </c>
      <c r="X137" s="11">
        <f ca="1"/>
        <v>0.39877104377104378</v>
      </c>
      <c r="Y137" s="11">
        <v>0</v>
      </c>
      <c r="Z137" s="11">
        <f ca="1"/>
        <v>-0.39877104377104378</v>
      </c>
      <c r="AA137" s="11">
        <f ca="1"/>
        <v>-0.19938552188552189</v>
      </c>
      <c r="AB137" s="4">
        <f ca="1"/>
        <v>45612</v>
      </c>
      <c r="AC137" s="4">
        <v>45621</v>
      </c>
      <c r="AD137" s="9">
        <v>45617</v>
      </c>
      <c r="AE137" s="9">
        <v>45618</v>
      </c>
      <c r="AF137" s="4" t="str">
        <f t="shared" ca="1" si="2"/>
        <v>2024 11</v>
      </c>
      <c r="AG137" s="8" t="str" cm="1">
        <f t="array" ref="AG137">IFERROR(_xlfn.IFS('Banco de Dados'!#REF!="AG. COMPRA","Em processamento",'Banco de Dados'!#REF!="AG. RASTREIO","Em processamento",'Banco de Dados'!$AE137&lt;&gt;"-","Faturado",'Banco de Dados'!$AD137&lt;&gt;"-","Aguardando Pix",'Banco de Dados'!$AC137&lt;&gt;"-","Pendente"),"Aguardando Liberação")</f>
        <v>Aguardando Liberação</v>
      </c>
      <c r="AH137" s="5" t="str">
        <f>IF('Banco de Dados'!$F137="-",_xlfn.CONCAT(PROPER(TEXT(AK137,"aaaa"))," ",PROPER(TEXT(AK137,"mm"))),_xlfn.CONCAT(PROPER(TEXT(E137,"aaaa"))," ",PROPER(TEXT(E137,"mm"))))</f>
        <v>2024 11</v>
      </c>
      <c r="AI137" s="9" t="str">
        <f ca="1">IF('Banco de Dados'!$AK137&lt;&gt;"-","REEMBOLSO",IFERROR(_xlfn.XLOOKUP(G137,Follow[CODRASTREIO],Follow[STATUS]),"-"))</f>
        <v>REEMBOLSO</v>
      </c>
      <c r="AJ137" s="9" t="str">
        <f ca="1">IF('Banco de Dados'!$AI137="ENTREGUE",_xlfn.XLOOKUP('Banco de Dados'!$G137,Follow[CODRASTREIO],Follow[DATAATUALIZAÇÃO]),"-")</f>
        <v>-</v>
      </c>
      <c r="AK137" s="9">
        <f ca="1"/>
        <v>45621</v>
      </c>
      <c r="AL137" s="35" t="str">
        <v>NÃO</v>
      </c>
      <c r="AM137" s="109" t="e" cm="1">
        <f t="array" aca="1" ref="AM137" ca="1">IF('Banco de Dados'!$AK137&lt;&gt;"-",_xlfn.IFS('Banco de Dados'!$A137="bv",IF('Banco de Dados'!$E137&lt;45641,ROUND(SUM('Banco de Dados'!$R137*_xlfn.XLOOKUP('Banco de Dados'!$P137,Sku!B:B,Sku!#REF!)*20%),2),ROUND(SUM('Banco de Dados'!$R137*_xlfn.XLOOKUP('Banco de Dados'!$P137,Sku!B:B,Sku!H:H)*20%),2)),'Banco de Dados'!$A137="GO",ROUND(_xlfn.XLOOKUP('Banco de Dados'!$P137,Sku!C:C,Sku!H:H),2),'Banco de Dados'!$A137="MEI",ROUND(_xlfn.XLOOKUP('Banco de Dados'!$P137,Sku!D:D,Sku!H:H),2)),0)</f>
        <v>#REF!</v>
      </c>
      <c r="AN137" s="109" t="e">
        <f ca="1">IF('Banco de Dados'!$AK137&lt;&gt;"-",IF('Banco de Dados'!$F137&lt;&gt;"-",_xlfn.XLOOKUP(IFERROR(IFERROR(IFERROR(VALUE(SUBSTITUTE(MID(_xlfn.TEXTAFTER('Banco de Dados'!$F137,"Data do Pedido:
",1),1,10),"-","/")),VALUE(SUBSTITUTE(MID(_xlfn.TEXTAFTER('Banco de Dados'!$F137,"Order date:
",1),1,10),"-","/"))),VALUE(SUBSTITUTE(MID(_xlfn.TEXTAFTER('Banco de Dados'!$F137,"Fecha de pedido:
",1),1,10),"-","/"))),"-"),SMS!A:A,SMS!K:K),0),0)</f>
        <v>#N/A</v>
      </c>
      <c r="AO137" s="109">
        <f ca="1">IF('Banco de Dados'!$AK137&lt;&gt;"-",IF('Banco de Dados'!$F137&lt;&gt;"-",IFERROR(_xlfn.XLOOKUP(_xlfn.CONCAT('Banco de Dados'!$A137,IFERROR(IFERROR(VALUE(SUBSTITUTE(MID(_xlfn.TEXTAFTER('Banco de Dados'!$F137,"Data do Pedido:
",1),1,10),"-","/")),VALUE(SUBSTITUTE(MID(_xlfn.TEXTAFTER('Banco de Dados'!$F137,"Order date:
",1),1,10),"-","/"))),0)),ProxyDD[Chave],ProxyDD[Valor por pedido]),PROXY!$P$2),0),0)</f>
        <v>0.39877104377104378</v>
      </c>
      <c r="AP137" s="28">
        <f ca="1">IF('Banco de Dados'!$AK137&lt;&gt;"-",IF('Banco de Dados'!$AL137="NÃO",IFERROR(VALUE(SUBSTITUTE(_xlfn.TEXTAFTER('Banco de Dados'!$F137,"BRL ",1),".",",")),0),0),0)</f>
        <v>0</v>
      </c>
      <c r="AQ137" s="28" t="e">
        <f ca="1">SUM('Banco de Dados'!$AM137:$AP137)</f>
        <v>#REF!</v>
      </c>
      <c r="AR137" s="8"/>
      <c r="AS137" s="8"/>
      <c r="AY137" s="8"/>
    </row>
    <row r="138" spans="1:51">
      <c r="A138" s="5" t="str">
        <v>BV</v>
      </c>
      <c r="B138" s="5" t="str">
        <f ca="1"/>
        <v>BV45593</v>
      </c>
      <c r="C138" s="8" t="str">
        <v>Pedido 135</v>
      </c>
      <c r="D138" s="9">
        <v>45593</v>
      </c>
      <c r="E138" s="9">
        <v>45593</v>
      </c>
      <c r="F138" s="8" t="str">
        <v>PedidoF128</v>
      </c>
      <c r="G138" s="2" t="str">
        <v>CódRastreio128</v>
      </c>
      <c r="H138" s="5">
        <v>1</v>
      </c>
      <c r="I138" s="2" t="str">
        <v>CPF 132</v>
      </c>
      <c r="J138" s="2" t="str">
        <v>Nome 132</v>
      </c>
      <c r="K138" s="8" t="str">
        <v>Tel 132</v>
      </c>
      <c r="L138" s="2" t="str">
        <v>Cep 132</v>
      </c>
      <c r="M138" s="2" t="str">
        <v>Rua 132</v>
      </c>
      <c r="N138" s="2" t="str">
        <v>Comp 132</v>
      </c>
      <c r="O138" s="2" t="str">
        <v>Suporte de Celular com Regulagem</v>
      </c>
      <c r="P138" s="8" t="str">
        <v>1H-DC27-8GP7</v>
      </c>
      <c r="Q138" s="4">
        <v>45605</v>
      </c>
      <c r="R138" s="109">
        <v>16.989999999999998</v>
      </c>
      <c r="S138" s="11">
        <f ca="1"/>
        <v>16.989999999999998</v>
      </c>
      <c r="T138" s="28">
        <f ca="1"/>
        <v>2.5484999999999998</v>
      </c>
      <c r="U138" s="11">
        <f ca="1"/>
        <v>14.44</v>
      </c>
      <c r="V138" s="11">
        <v>4.99</v>
      </c>
      <c r="W138" s="11">
        <f ca="1"/>
        <v>0.34</v>
      </c>
      <c r="X138" s="11">
        <f ca="1"/>
        <v>0.39877104377104378</v>
      </c>
      <c r="Y138" s="11">
        <v>0</v>
      </c>
      <c r="Z138" s="11">
        <f ca="1"/>
        <v>8.7112289562289558</v>
      </c>
      <c r="AA138" s="11">
        <f ca="1"/>
        <v>4.3556144781144779</v>
      </c>
      <c r="AB138" s="4">
        <f ca="1"/>
        <v>45612</v>
      </c>
      <c r="AC138" s="4">
        <v>45612</v>
      </c>
      <c r="AD138" s="9">
        <v>45617</v>
      </c>
      <c r="AE138" s="9">
        <v>45618</v>
      </c>
      <c r="AF138" s="4" t="str">
        <f t="shared" ca="1" si="2"/>
        <v>2024 11</v>
      </c>
      <c r="AG138" s="8" t="str" cm="1">
        <f t="array" ref="AG138">IFERROR(_xlfn.IFS('Banco de Dados'!#REF!="AG. COMPRA","Em processamento",'Banco de Dados'!#REF!="AG. RASTREIO","Em processamento",'Banco de Dados'!$AE138&lt;&gt;"-","Faturado",'Banco de Dados'!$AD138&lt;&gt;"-","Aguardando Pix",'Banco de Dados'!$AC138&lt;&gt;"-","Pendente"),"Aguardando Liberação")</f>
        <v>Aguardando Liberação</v>
      </c>
      <c r="AH138" s="5" t="str">
        <f>IF('Banco de Dados'!$F138="-",_xlfn.CONCAT(PROPER(TEXT(AK138,"aaaa"))," ",PROPER(TEXT(AK138,"mm"))),_xlfn.CONCAT(PROPER(TEXT(E138,"aaaa"))," ",PROPER(TEXT(E138,"mm"))))</f>
        <v>2024 10</v>
      </c>
      <c r="AI138" s="9" t="str">
        <f ca="1">IF('Banco de Dados'!$AK138&lt;&gt;"-","REEMBOLSO",IFERROR(_xlfn.XLOOKUP(G138,Follow[CODRASTREIO],Follow[STATUS]),"-"))</f>
        <v>ENTREGUE</v>
      </c>
      <c r="AJ138" s="9">
        <f ca="1">IF('Banco de Dados'!$AI138="ENTREGUE",_xlfn.XLOOKUP('Banco de Dados'!$G138,Follow[CODRASTREIO],Follow[DATAATUALIZAÇÃO]),"-")</f>
        <v>45595</v>
      </c>
      <c r="AK138" s="9" t="str">
        <f ca="1"/>
        <v>-</v>
      </c>
      <c r="AL138" s="35" t="str">
        <v>NÃO</v>
      </c>
      <c r="AM138" s="109" cm="1">
        <f t="array" aca="1" ref="AM138" ca="1">IF('Banco de Dados'!$AK138&lt;&gt;"-",_xlfn.IFS('Banco de Dados'!$A138="bv",IF('Banco de Dados'!$E138&lt;45641,ROUND(SUM('Banco de Dados'!$R138*_xlfn.XLOOKUP('Banco de Dados'!$P138,Sku!B:B,Sku!#REF!)*20%),2),ROUND(SUM('Banco de Dados'!$R138*_xlfn.XLOOKUP('Banco de Dados'!$P138,Sku!B:B,Sku!H:H)*20%),2)),'Banco de Dados'!$A138="GO",ROUND(_xlfn.XLOOKUP('Banco de Dados'!$P138,Sku!C:C,Sku!H:H),2),'Banco de Dados'!$A138="MEI",ROUND(_xlfn.XLOOKUP('Banco de Dados'!$P138,Sku!D:D,Sku!H:H),2)),0)</f>
        <v>0</v>
      </c>
      <c r="AN138" s="109">
        <f ca="1">IF('Banco de Dados'!$AK138&lt;&gt;"-",IF('Banco de Dados'!$F138&lt;&gt;"-",_xlfn.XLOOKUP(IFERROR(IFERROR(IFERROR(VALUE(SUBSTITUTE(MID(_xlfn.TEXTAFTER('Banco de Dados'!$F138,"Data do Pedido:
",1),1,10),"-","/")),VALUE(SUBSTITUTE(MID(_xlfn.TEXTAFTER('Banco de Dados'!$F138,"Order date:
",1),1,10),"-","/"))),VALUE(SUBSTITUTE(MID(_xlfn.TEXTAFTER('Banco de Dados'!$F138,"Fecha de pedido:
",1),1,10),"-","/"))),"-"),SMS!A:A,SMS!K:K),0),0)</f>
        <v>0</v>
      </c>
      <c r="AO138" s="109">
        <f ca="1">IF('Banco de Dados'!$AK138&lt;&gt;"-",IF('Banco de Dados'!$F138&lt;&gt;"-",IFERROR(_xlfn.XLOOKUP(_xlfn.CONCAT('Banco de Dados'!$A138,IFERROR(IFERROR(VALUE(SUBSTITUTE(MID(_xlfn.TEXTAFTER('Banco de Dados'!$F138,"Data do Pedido:
",1),1,10),"-","/")),VALUE(SUBSTITUTE(MID(_xlfn.TEXTAFTER('Banco de Dados'!$F138,"Order date:
",1),1,10),"-","/"))),0)),ProxyDD[Chave],ProxyDD[Valor por pedido]),PROXY!$P$2),0),0)</f>
        <v>0</v>
      </c>
      <c r="AP138" s="28">
        <f ca="1">IF('Banco de Dados'!$AK138&lt;&gt;"-",IF('Banco de Dados'!$AL138="NÃO",IFERROR(VALUE(SUBSTITUTE(_xlfn.TEXTAFTER('Banco de Dados'!$F138,"BRL ",1),".",",")),0),0),0)</f>
        <v>0</v>
      </c>
      <c r="AQ138" s="28">
        <f ca="1">SUM('Banco de Dados'!$AM138:$AP138)</f>
        <v>0</v>
      </c>
      <c r="AR138" s="8"/>
      <c r="AS138" s="8"/>
      <c r="AY138" s="8"/>
    </row>
    <row r="139" spans="1:51">
      <c r="A139" s="5" t="str">
        <v>BV</v>
      </c>
      <c r="B139" s="5" t="str">
        <f ca="1"/>
        <v>BV45593</v>
      </c>
      <c r="C139" s="8" t="str">
        <v>Pedido 136</v>
      </c>
      <c r="D139" s="9">
        <v>45593</v>
      </c>
      <c r="E139" s="9">
        <v>45593</v>
      </c>
      <c r="F139" s="8" t="str">
        <v>PedidoF129</v>
      </c>
      <c r="G139" s="2" t="str">
        <v>CódRastreio129</v>
      </c>
      <c r="H139" s="5">
        <v>1</v>
      </c>
      <c r="I139" s="2" t="str">
        <v>CPF 133</v>
      </c>
      <c r="J139" s="2" t="str">
        <v>Nome 133</v>
      </c>
      <c r="K139" s="8" t="str">
        <v>Tel 133</v>
      </c>
      <c r="L139" s="2" t="str">
        <v>Cep 133</v>
      </c>
      <c r="M139" s="2" t="str">
        <v>Rua 133</v>
      </c>
      <c r="N139" s="2" t="str">
        <v>Comp 133</v>
      </c>
      <c r="O139" s="2" t="str">
        <v>Bomba d'agua</v>
      </c>
      <c r="P139" s="8" t="str">
        <v>DJ-RO5O-43GF</v>
      </c>
      <c r="Q139" s="4">
        <v>45618</v>
      </c>
      <c r="R139" s="109">
        <v>18.2</v>
      </c>
      <c r="S139" s="11">
        <f ca="1"/>
        <v>0</v>
      </c>
      <c r="T139" s="28">
        <f ca="1"/>
        <v>0</v>
      </c>
      <c r="U139" s="11">
        <f ca="1"/>
        <v>0</v>
      </c>
      <c r="V139" s="11">
        <v>0</v>
      </c>
      <c r="W139" s="11">
        <f ca="1"/>
        <v>0</v>
      </c>
      <c r="X139" s="11">
        <f ca="1"/>
        <v>0.39877104377104378</v>
      </c>
      <c r="Y139" s="11">
        <v>0</v>
      </c>
      <c r="Z139" s="11">
        <f ca="1"/>
        <v>-0.39877104377104378</v>
      </c>
      <c r="AA139" s="11">
        <f ca="1"/>
        <v>-0.19938552188552189</v>
      </c>
      <c r="AB139" s="4">
        <f ca="1"/>
        <v>45625</v>
      </c>
      <c r="AC139" s="4">
        <v>45625</v>
      </c>
      <c r="AD139" s="9">
        <v>45625</v>
      </c>
      <c r="AE139" s="9">
        <v>45625</v>
      </c>
      <c r="AF139" s="4" t="str">
        <f t="shared" ca="1" si="2"/>
        <v>2024 11</v>
      </c>
      <c r="AG139" s="8" t="str" cm="1">
        <f t="array" ref="AG139">IFERROR(_xlfn.IFS('Banco de Dados'!#REF!="AG. COMPRA","Em processamento",'Banco de Dados'!#REF!="AG. RASTREIO","Em processamento",'Banco de Dados'!$AE139&lt;&gt;"-","Faturado",'Banco de Dados'!$AD139&lt;&gt;"-","Aguardando Pix",'Banco de Dados'!$AC139&lt;&gt;"-","Pendente"),"Aguardando Liberação")</f>
        <v>Aguardando Liberação</v>
      </c>
      <c r="AH139" s="5" t="str">
        <f>IF('Banco de Dados'!$F139="-",_xlfn.CONCAT(PROPER(TEXT(AK139,"aaaa"))," ",PROPER(TEXT(AK139,"mm"))),_xlfn.CONCAT(PROPER(TEXT(E139,"aaaa"))," ",PROPER(TEXT(E139,"mm"))))</f>
        <v>2024 10</v>
      </c>
      <c r="AI139" s="9" t="str">
        <f ca="1">IF('Banco de Dados'!$AK139&lt;&gt;"-","REEMBOLSO",IFERROR(_xlfn.XLOOKUP(G139,Follow[CODRASTREIO],Follow[STATUS]),"-"))</f>
        <v>REEMBOLSO</v>
      </c>
      <c r="AJ139" s="9" t="str">
        <f ca="1">IF('Banco de Dados'!$AI139="ENTREGUE",_xlfn.XLOOKUP('Banco de Dados'!$G139,Follow[CODRASTREIO],Follow[DATAATUALIZAÇÃO]),"-")</f>
        <v>-</v>
      </c>
      <c r="AK139" s="9">
        <f ca="1"/>
        <v>45625</v>
      </c>
      <c r="AL139" s="35" t="str">
        <v>NÃO</v>
      </c>
      <c r="AM139" s="109" t="e" cm="1">
        <f t="array" aca="1" ref="AM139" ca="1">IF('Banco de Dados'!$AK139&lt;&gt;"-",_xlfn.IFS('Banco de Dados'!$A139="bv",IF('Banco de Dados'!$E139&lt;45641,ROUND(SUM('Banco de Dados'!$R139*_xlfn.XLOOKUP('Banco de Dados'!$P139,Sku!B:B,Sku!#REF!)*20%),2),ROUND(SUM('Banco de Dados'!$R139*_xlfn.XLOOKUP('Banco de Dados'!$P139,Sku!B:B,Sku!H:H)*20%),2)),'Banco de Dados'!$A139="GO",ROUND(_xlfn.XLOOKUP('Banco de Dados'!$P139,Sku!C:C,Sku!H:H),2),'Banco de Dados'!$A139="MEI",ROUND(_xlfn.XLOOKUP('Banco de Dados'!$P139,Sku!D:D,Sku!H:H),2)),0)</f>
        <v>#REF!</v>
      </c>
      <c r="AN139" s="109" t="e">
        <f ca="1">IF('Banco de Dados'!$AK139&lt;&gt;"-",IF('Banco de Dados'!$F139&lt;&gt;"-",_xlfn.XLOOKUP(IFERROR(IFERROR(IFERROR(VALUE(SUBSTITUTE(MID(_xlfn.TEXTAFTER('Banco de Dados'!$F139,"Data do Pedido:
",1),1,10),"-","/")),VALUE(SUBSTITUTE(MID(_xlfn.TEXTAFTER('Banco de Dados'!$F139,"Order date:
",1),1,10),"-","/"))),VALUE(SUBSTITUTE(MID(_xlfn.TEXTAFTER('Banco de Dados'!$F139,"Fecha de pedido:
",1),1,10),"-","/"))),"-"),SMS!A:A,SMS!K:K),0),0)</f>
        <v>#N/A</v>
      </c>
      <c r="AO139" s="109">
        <f ca="1">IF('Banco de Dados'!$AK139&lt;&gt;"-",IF('Banco de Dados'!$F139&lt;&gt;"-",IFERROR(_xlfn.XLOOKUP(_xlfn.CONCAT('Banco de Dados'!$A139,IFERROR(IFERROR(VALUE(SUBSTITUTE(MID(_xlfn.TEXTAFTER('Banco de Dados'!$F139,"Data do Pedido:
",1),1,10),"-","/")),VALUE(SUBSTITUTE(MID(_xlfn.TEXTAFTER('Banco de Dados'!$F139,"Order date:
",1),1,10),"-","/"))),0)),ProxyDD[Chave],ProxyDD[Valor por pedido]),PROXY!$P$2),0),0)</f>
        <v>0.39877104377104378</v>
      </c>
      <c r="AP139" s="28">
        <f ca="1">IF('Banco de Dados'!$AK139&lt;&gt;"-",IF('Banco de Dados'!$AL139="NÃO",IFERROR(VALUE(SUBSTITUTE(_xlfn.TEXTAFTER('Banco de Dados'!$F139,"BRL ",1),".",",")),0),0),0)</f>
        <v>0</v>
      </c>
      <c r="AQ139" s="28" t="e">
        <f ca="1">SUM('Banco de Dados'!$AM139:$AP139)</f>
        <v>#REF!</v>
      </c>
      <c r="AR139" s="8"/>
      <c r="AS139" s="8"/>
      <c r="AY139" s="8"/>
    </row>
    <row r="140" spans="1:51">
      <c r="A140" s="5" t="str">
        <v>BV</v>
      </c>
      <c r="B140" s="5" t="str">
        <f ca="1"/>
        <v>BV45593</v>
      </c>
      <c r="C140" s="8" t="str">
        <v>Pedido 137</v>
      </c>
      <c r="D140" s="9">
        <v>45593</v>
      </c>
      <c r="E140" s="9">
        <v>45593</v>
      </c>
      <c r="F140" s="8" t="str">
        <v>PedidoF130</v>
      </c>
      <c r="G140" s="2" t="str">
        <v>CódRastreio130</v>
      </c>
      <c r="H140" s="5">
        <v>1</v>
      </c>
      <c r="I140" s="3" t="str">
        <v>CPF 134</v>
      </c>
      <c r="J140" s="2" t="str">
        <v>Nome 134</v>
      </c>
      <c r="K140" s="8" t="str">
        <v>Tel 134</v>
      </c>
      <c r="L140" s="2" t="str">
        <v>Cep 134</v>
      </c>
      <c r="M140" s="2" t="str">
        <v>Rua 134</v>
      </c>
      <c r="N140" s="2" t="str">
        <v>Comp 134</v>
      </c>
      <c r="O140" s="2" t="str">
        <v>Suporte de Celular Branco</v>
      </c>
      <c r="P140" s="8" t="str">
        <v>16-4EDB-WMZF</v>
      </c>
      <c r="Q140" s="4">
        <v>45618</v>
      </c>
      <c r="R140" s="109">
        <v>15.99</v>
      </c>
      <c r="S140" s="11">
        <f ca="1"/>
        <v>15.99</v>
      </c>
      <c r="T140" s="28">
        <f ca="1"/>
        <v>2.3984999999999999</v>
      </c>
      <c r="U140" s="11">
        <f ca="1"/>
        <v>13.59</v>
      </c>
      <c r="V140" s="11">
        <v>4.99</v>
      </c>
      <c r="W140" s="11">
        <f ca="1"/>
        <v>0.34</v>
      </c>
      <c r="X140" s="11">
        <f ca="1"/>
        <v>0.39877104377104378</v>
      </c>
      <c r="Y140" s="11">
        <v>0</v>
      </c>
      <c r="Z140" s="11">
        <f ca="1"/>
        <v>7.8612289562289561</v>
      </c>
      <c r="AA140" s="11">
        <f ca="1"/>
        <v>3.9306144781144781</v>
      </c>
      <c r="AB140" s="4">
        <f ca="1"/>
        <v>45625</v>
      </c>
      <c r="AC140" s="4">
        <v>45625</v>
      </c>
      <c r="AD140" s="9">
        <v>45625</v>
      </c>
      <c r="AE140" s="9">
        <v>45625</v>
      </c>
      <c r="AF140" s="4" t="str">
        <f t="shared" ca="1" si="2"/>
        <v>2024 11</v>
      </c>
      <c r="AG140" s="8" t="str" cm="1">
        <f t="array" ref="AG140">IFERROR(_xlfn.IFS('Banco de Dados'!#REF!="AG. COMPRA","Em processamento",'Banco de Dados'!#REF!="AG. RASTREIO","Em processamento",'Banco de Dados'!$AE140&lt;&gt;"-","Faturado",'Banco de Dados'!$AD140&lt;&gt;"-","Aguardando Pix",'Banco de Dados'!$AC140&lt;&gt;"-","Pendente"),"Aguardando Liberação")</f>
        <v>Aguardando Liberação</v>
      </c>
      <c r="AH140" s="5" t="str">
        <f>IF('Banco de Dados'!$F140="-",_xlfn.CONCAT(PROPER(TEXT(AK140,"aaaa"))," ",PROPER(TEXT(AK140,"mm"))),_xlfn.CONCAT(PROPER(TEXT(E140,"aaaa"))," ",PROPER(TEXT(E140,"mm"))))</f>
        <v>2024 10</v>
      </c>
      <c r="AI140" s="9" t="str">
        <f ca="1">IF('Banco de Dados'!$AK140&lt;&gt;"-","REEMBOLSO",IFERROR(_xlfn.XLOOKUP(G140,Follow[CODRASTREIO],Follow[STATUS]),"-"))</f>
        <v>ENTREGUE</v>
      </c>
      <c r="AJ140" s="9">
        <f ca="1">IF('Banco de Dados'!$AI140="ENTREGUE",_xlfn.XLOOKUP('Banco de Dados'!$G140,Follow[CODRASTREIO],Follow[DATAATUALIZAÇÃO]),"-")</f>
        <v>45601</v>
      </c>
      <c r="AK140" s="9" t="str">
        <f ca="1"/>
        <v>-</v>
      </c>
      <c r="AL140" s="35" t="str">
        <v>-</v>
      </c>
      <c r="AM140" s="109" cm="1">
        <f t="array" aca="1" ref="AM140" ca="1">IF('Banco de Dados'!$AK140&lt;&gt;"-",_xlfn.IFS('Banco de Dados'!$A140="bv",IF('Banco de Dados'!$E140&lt;45641,ROUND(SUM('Banco de Dados'!$R140*_xlfn.XLOOKUP('Banco de Dados'!$P140,Sku!B:B,Sku!#REF!)*20%),2),ROUND(SUM('Banco de Dados'!$R140*_xlfn.XLOOKUP('Banco de Dados'!$P140,Sku!B:B,Sku!H:H)*20%),2)),'Banco de Dados'!$A140="GO",ROUND(_xlfn.XLOOKUP('Banco de Dados'!$P140,Sku!C:C,Sku!H:H),2),'Banco de Dados'!$A140="MEI",ROUND(_xlfn.XLOOKUP('Banco de Dados'!$P140,Sku!D:D,Sku!H:H),2)),0)</f>
        <v>0</v>
      </c>
      <c r="AN140" s="109">
        <f ca="1">IF('Banco de Dados'!$AK140&lt;&gt;"-",IF('Banco de Dados'!$F140&lt;&gt;"-",_xlfn.XLOOKUP(IFERROR(IFERROR(IFERROR(VALUE(SUBSTITUTE(MID(_xlfn.TEXTAFTER('Banco de Dados'!$F140,"Data do Pedido:
",1),1,10),"-","/")),VALUE(SUBSTITUTE(MID(_xlfn.TEXTAFTER('Banco de Dados'!$F140,"Order date:
",1),1,10),"-","/"))),VALUE(SUBSTITUTE(MID(_xlfn.TEXTAFTER('Banco de Dados'!$F140,"Fecha de pedido:
",1),1,10),"-","/"))),"-"),SMS!A:A,SMS!K:K),0),0)</f>
        <v>0</v>
      </c>
      <c r="AO140" s="109">
        <f ca="1">IF('Banco de Dados'!$AK140&lt;&gt;"-",IF('Banco de Dados'!$F140&lt;&gt;"-",IFERROR(_xlfn.XLOOKUP(_xlfn.CONCAT('Banco de Dados'!$A140,IFERROR(IFERROR(VALUE(SUBSTITUTE(MID(_xlfn.TEXTAFTER('Banco de Dados'!$F140,"Data do Pedido:
",1),1,10),"-","/")),VALUE(SUBSTITUTE(MID(_xlfn.TEXTAFTER('Banco de Dados'!$F140,"Order date:
",1),1,10),"-","/"))),0)),ProxyDD[Chave],ProxyDD[Valor por pedido]),PROXY!$P$2),0),0)</f>
        <v>0</v>
      </c>
      <c r="AP140" s="28">
        <f ca="1">IF('Banco de Dados'!$AK140&lt;&gt;"-",IF('Banco de Dados'!$AL140="NÃO",IFERROR(VALUE(SUBSTITUTE(_xlfn.TEXTAFTER('Banco de Dados'!$F140,"BRL ",1),".",",")),0),0),0)</f>
        <v>0</v>
      </c>
      <c r="AQ140" s="28">
        <f ca="1">SUM('Banco de Dados'!$AM140:$AP140)</f>
        <v>0</v>
      </c>
      <c r="AR140" s="8"/>
      <c r="AS140" s="8"/>
      <c r="AY140" s="8"/>
    </row>
    <row r="141" spans="1:51">
      <c r="A141" s="5" t="str">
        <v>BV</v>
      </c>
      <c r="B141" s="5" t="str">
        <f ca="1"/>
        <v>BV45593</v>
      </c>
      <c r="C141" s="8" t="str">
        <v>Pedido 138</v>
      </c>
      <c r="D141" s="9">
        <v>45593</v>
      </c>
      <c r="E141" s="9">
        <v>45593</v>
      </c>
      <c r="F141" s="8" t="str">
        <v>PedidoF131</v>
      </c>
      <c r="G141" s="2" t="str">
        <v>CódRastreio131</v>
      </c>
      <c r="H141" s="5">
        <v>1</v>
      </c>
      <c r="I141" s="3" t="str">
        <v>CPF 135</v>
      </c>
      <c r="J141" s="2" t="str">
        <v>Nome 135</v>
      </c>
      <c r="K141" s="8" t="str">
        <v>Tel 135</v>
      </c>
      <c r="L141" s="2" t="str">
        <v>Cep 135</v>
      </c>
      <c r="M141" s="2" t="str">
        <v>Rua 135</v>
      </c>
      <c r="N141" s="2" t="str">
        <v>Comp 135</v>
      </c>
      <c r="O141" s="2" t="str">
        <v>Suporte de Celular Branco</v>
      </c>
      <c r="P141" s="8" t="str">
        <v>16-4EDB-WMZF</v>
      </c>
      <c r="Q141" s="4">
        <v>45611</v>
      </c>
      <c r="R141" s="109">
        <v>15.99</v>
      </c>
      <c r="S141" s="11">
        <f ca="1"/>
        <v>15.99</v>
      </c>
      <c r="T141" s="28">
        <f ca="1"/>
        <v>2.3984999999999999</v>
      </c>
      <c r="U141" s="11">
        <f ca="1"/>
        <v>13.59</v>
      </c>
      <c r="V141" s="11">
        <v>4.99</v>
      </c>
      <c r="W141" s="11">
        <f ca="1"/>
        <v>0.34</v>
      </c>
      <c r="X141" s="11">
        <f ca="1"/>
        <v>0.39877104377104378</v>
      </c>
      <c r="Y141" s="11">
        <v>0</v>
      </c>
      <c r="Z141" s="11">
        <f ca="1"/>
        <v>7.8612289562289561</v>
      </c>
      <c r="AA141" s="11">
        <f ca="1"/>
        <v>3.9306144781144781</v>
      </c>
      <c r="AB141" s="4">
        <f ca="1"/>
        <v>45618</v>
      </c>
      <c r="AC141" s="4">
        <v>45618</v>
      </c>
      <c r="AD141" s="9">
        <v>45618</v>
      </c>
      <c r="AE141" s="9">
        <v>45625</v>
      </c>
      <c r="AF141" s="4" t="str">
        <f t="shared" ca="1" si="2"/>
        <v>2024 11</v>
      </c>
      <c r="AG141" s="8" t="str" cm="1">
        <f t="array" ref="AG141">IFERROR(_xlfn.IFS('Banco de Dados'!#REF!="AG. COMPRA","Em processamento",'Banco de Dados'!#REF!="AG. RASTREIO","Em processamento",'Banco de Dados'!$AE141&lt;&gt;"-","Faturado",'Banco de Dados'!$AD141&lt;&gt;"-","Aguardando Pix",'Banco de Dados'!$AC141&lt;&gt;"-","Pendente"),"Aguardando Liberação")</f>
        <v>Aguardando Liberação</v>
      </c>
      <c r="AH141" s="5" t="str">
        <f>IF('Banco de Dados'!$F141="-",_xlfn.CONCAT(PROPER(TEXT(AK141,"aaaa"))," ",PROPER(TEXT(AK141,"mm"))),_xlfn.CONCAT(PROPER(TEXT(E141,"aaaa"))," ",PROPER(TEXT(E141,"mm"))))</f>
        <v>2024 10</v>
      </c>
      <c r="AI141" s="9" t="str">
        <f ca="1">IF('Banco de Dados'!$AK141&lt;&gt;"-","REEMBOLSO",IFERROR(_xlfn.XLOOKUP(G141,Follow[CODRASTREIO],Follow[STATUS]),"-"))</f>
        <v>ENTREGUE</v>
      </c>
      <c r="AJ141" s="9">
        <f ca="1">IF('Banco de Dados'!$AI141="ENTREGUE",_xlfn.XLOOKUP('Banco de Dados'!$G141,Follow[CODRASTREIO],Follow[DATAATUALIZAÇÃO]),"-")</f>
        <v>45600</v>
      </c>
      <c r="AK141" s="9" t="str">
        <f ca="1"/>
        <v>-</v>
      </c>
      <c r="AL141" s="35" t="str">
        <v>NÃO</v>
      </c>
      <c r="AM141" s="109" cm="1">
        <f t="array" aca="1" ref="AM141" ca="1">IF('Banco de Dados'!$AK141&lt;&gt;"-",_xlfn.IFS('Banco de Dados'!$A141="bv",IF('Banco de Dados'!$E141&lt;45641,ROUND(SUM('Banco de Dados'!$R141*_xlfn.XLOOKUP('Banco de Dados'!$P141,Sku!B:B,Sku!#REF!)*20%),2),ROUND(SUM('Banco de Dados'!$R141*_xlfn.XLOOKUP('Banco de Dados'!$P141,Sku!B:B,Sku!H:H)*20%),2)),'Banco de Dados'!$A141="GO",ROUND(_xlfn.XLOOKUP('Banco de Dados'!$P141,Sku!C:C,Sku!H:H),2),'Banco de Dados'!$A141="MEI",ROUND(_xlfn.XLOOKUP('Banco de Dados'!$P141,Sku!D:D,Sku!H:H),2)),0)</f>
        <v>0</v>
      </c>
      <c r="AN141" s="109">
        <f ca="1">IF('Banco de Dados'!$AK141&lt;&gt;"-",IF('Banco de Dados'!$F141&lt;&gt;"-",_xlfn.XLOOKUP(IFERROR(IFERROR(IFERROR(VALUE(SUBSTITUTE(MID(_xlfn.TEXTAFTER('Banco de Dados'!$F141,"Data do Pedido:
",1),1,10),"-","/")),VALUE(SUBSTITUTE(MID(_xlfn.TEXTAFTER('Banco de Dados'!$F141,"Order date:
",1),1,10),"-","/"))),VALUE(SUBSTITUTE(MID(_xlfn.TEXTAFTER('Banco de Dados'!$F141,"Fecha de pedido:
",1),1,10),"-","/"))),"-"),SMS!A:A,SMS!K:K),0),0)</f>
        <v>0</v>
      </c>
      <c r="AO141" s="109">
        <f ca="1">IF('Banco de Dados'!$AK141&lt;&gt;"-",IF('Banco de Dados'!$F141&lt;&gt;"-",IFERROR(_xlfn.XLOOKUP(_xlfn.CONCAT('Banco de Dados'!$A141,IFERROR(IFERROR(VALUE(SUBSTITUTE(MID(_xlfn.TEXTAFTER('Banco de Dados'!$F141,"Data do Pedido:
",1),1,10),"-","/")),VALUE(SUBSTITUTE(MID(_xlfn.TEXTAFTER('Banco de Dados'!$F141,"Order date:
",1),1,10),"-","/"))),0)),ProxyDD[Chave],ProxyDD[Valor por pedido]),PROXY!$P$2),0),0)</f>
        <v>0</v>
      </c>
      <c r="AP141" s="28">
        <f ca="1">IF('Banco de Dados'!$AK141&lt;&gt;"-",IF('Banco de Dados'!$AL141="NÃO",IFERROR(VALUE(SUBSTITUTE(_xlfn.TEXTAFTER('Banco de Dados'!$F141,"BRL ",1),".",",")),0),0),0)</f>
        <v>0</v>
      </c>
      <c r="AQ141" s="28">
        <f ca="1">SUM('Banco de Dados'!$AM141:$AP141)</f>
        <v>0</v>
      </c>
      <c r="AR141" s="8"/>
      <c r="AS141" s="8"/>
      <c r="AY141" s="8"/>
    </row>
    <row r="142" spans="1:51">
      <c r="A142" s="5" t="str">
        <v>BV</v>
      </c>
      <c r="B142" s="5" t="str">
        <f ca="1"/>
        <v>BV45593</v>
      </c>
      <c r="C142" s="8" t="str">
        <v>Pedido 139</v>
      </c>
      <c r="D142" s="9">
        <v>45593</v>
      </c>
      <c r="E142" s="9">
        <v>45593</v>
      </c>
      <c r="F142" s="8" t="str">
        <v>PedidoF132</v>
      </c>
      <c r="G142" s="2" t="str">
        <v>CódRastreio132</v>
      </c>
      <c r="H142" s="5">
        <v>1</v>
      </c>
      <c r="I142" s="2" t="str">
        <v>CPF 136</v>
      </c>
      <c r="J142" s="2" t="str">
        <v>Nome 136</v>
      </c>
      <c r="K142" s="8" t="str">
        <v>Tel 136</v>
      </c>
      <c r="L142" s="2" t="str">
        <v>Cep 136</v>
      </c>
      <c r="M142" s="2" t="str">
        <v>Rua 136</v>
      </c>
      <c r="N142" s="2" t="str">
        <v>Comp 136</v>
      </c>
      <c r="O142" s="2" t="str">
        <v>Suporte de Celular Branco</v>
      </c>
      <c r="P142" s="8" t="str">
        <v>16-4EDB-WMZF</v>
      </c>
      <c r="Q142" s="4">
        <v>45609</v>
      </c>
      <c r="R142" s="109">
        <v>40</v>
      </c>
      <c r="S142" s="11">
        <f ca="1"/>
        <v>40</v>
      </c>
      <c r="T142" s="28">
        <f ca="1"/>
        <v>6</v>
      </c>
      <c r="U142" s="11">
        <f ca="1"/>
        <v>34</v>
      </c>
      <c r="V142" s="11">
        <v>4.99</v>
      </c>
      <c r="W142" s="11">
        <f ca="1"/>
        <v>0.34</v>
      </c>
      <c r="X142" s="11">
        <f ca="1"/>
        <v>0.39877104377104378</v>
      </c>
      <c r="Y142" s="11">
        <v>0</v>
      </c>
      <c r="Z142" s="11">
        <f ca="1"/>
        <v>28.271228956228956</v>
      </c>
      <c r="AA142" s="11">
        <f ca="1"/>
        <v>14.135614478114478</v>
      </c>
      <c r="AB142" s="4">
        <f ca="1"/>
        <v>45616</v>
      </c>
      <c r="AC142" s="4">
        <v>45616</v>
      </c>
      <c r="AD142" s="9">
        <v>45617</v>
      </c>
      <c r="AE142" s="9">
        <v>45618</v>
      </c>
      <c r="AF142" s="4" t="str">
        <f t="shared" ca="1" si="2"/>
        <v>2024 11</v>
      </c>
      <c r="AG142" s="8" t="str" cm="1">
        <f t="array" ref="AG142">IFERROR(_xlfn.IFS('Banco de Dados'!#REF!="AG. COMPRA","Em processamento",'Banco de Dados'!#REF!="AG. RASTREIO","Em processamento",'Banco de Dados'!$AE142&lt;&gt;"-","Faturado",'Banco de Dados'!$AD142&lt;&gt;"-","Aguardando Pix",'Banco de Dados'!$AC142&lt;&gt;"-","Pendente"),"Aguardando Liberação")</f>
        <v>Aguardando Liberação</v>
      </c>
      <c r="AH142" s="5" t="str">
        <f>IF('Banco de Dados'!$F142="-",_xlfn.CONCAT(PROPER(TEXT(AK142,"aaaa"))," ",PROPER(TEXT(AK142,"mm"))),_xlfn.CONCAT(PROPER(TEXT(E142,"aaaa"))," ",PROPER(TEXT(E142,"mm"))))</f>
        <v>2024 10</v>
      </c>
      <c r="AI142" s="9" t="str">
        <f ca="1">IF('Banco de Dados'!$AK142&lt;&gt;"-","REEMBOLSO",IFERROR(_xlfn.XLOOKUP(G142,Follow[CODRASTREIO],Follow[STATUS]),"-"))</f>
        <v>ENTREGUE</v>
      </c>
      <c r="AJ142" s="9">
        <f ca="1">IF('Banco de Dados'!$AI142="ENTREGUE",_xlfn.XLOOKUP('Banco de Dados'!$G142,Follow[CODRASTREIO],Follow[DATAATUALIZAÇÃO]),"-")</f>
        <v>45596</v>
      </c>
      <c r="AK142" s="9" t="str">
        <f ca="1"/>
        <v>-</v>
      </c>
      <c r="AL142" s="35" t="str">
        <v>NÃO</v>
      </c>
      <c r="AM142" s="109" cm="1">
        <f t="array" aca="1" ref="AM142" ca="1">IF('Banco de Dados'!$AK142&lt;&gt;"-",_xlfn.IFS('Banco de Dados'!$A142="bv",IF('Banco de Dados'!$E142&lt;45641,ROUND(SUM('Banco de Dados'!$R142*_xlfn.XLOOKUP('Banco de Dados'!$P142,Sku!B:B,Sku!#REF!)*20%),2),ROUND(SUM('Banco de Dados'!$R142*_xlfn.XLOOKUP('Banco de Dados'!$P142,Sku!B:B,Sku!H:H)*20%),2)),'Banco de Dados'!$A142="GO",ROUND(_xlfn.XLOOKUP('Banco de Dados'!$P142,Sku!C:C,Sku!H:H),2),'Banco de Dados'!$A142="MEI",ROUND(_xlfn.XLOOKUP('Banco de Dados'!$P142,Sku!D:D,Sku!H:H),2)),0)</f>
        <v>0</v>
      </c>
      <c r="AN142" s="109">
        <f ca="1">IF('Banco de Dados'!$AK142&lt;&gt;"-",IF('Banco de Dados'!$F142&lt;&gt;"-",_xlfn.XLOOKUP(IFERROR(IFERROR(IFERROR(VALUE(SUBSTITUTE(MID(_xlfn.TEXTAFTER('Banco de Dados'!$F142,"Data do Pedido:
",1),1,10),"-","/")),VALUE(SUBSTITUTE(MID(_xlfn.TEXTAFTER('Banco de Dados'!$F142,"Order date:
",1),1,10),"-","/"))),VALUE(SUBSTITUTE(MID(_xlfn.TEXTAFTER('Banco de Dados'!$F142,"Fecha de pedido:
",1),1,10),"-","/"))),"-"),SMS!A:A,SMS!K:K),0),0)</f>
        <v>0</v>
      </c>
      <c r="AO142" s="109">
        <f ca="1">IF('Banco de Dados'!$AK142&lt;&gt;"-",IF('Banco de Dados'!$F142&lt;&gt;"-",IFERROR(_xlfn.XLOOKUP(_xlfn.CONCAT('Banco de Dados'!$A142,IFERROR(IFERROR(VALUE(SUBSTITUTE(MID(_xlfn.TEXTAFTER('Banco de Dados'!$F142,"Data do Pedido:
",1),1,10),"-","/")),VALUE(SUBSTITUTE(MID(_xlfn.TEXTAFTER('Banco de Dados'!$F142,"Order date:
",1),1,10),"-","/"))),0)),ProxyDD[Chave],ProxyDD[Valor por pedido]),PROXY!$P$2),0),0)</f>
        <v>0</v>
      </c>
      <c r="AP142" s="28">
        <f ca="1">IF('Banco de Dados'!$AK142&lt;&gt;"-",IF('Banco de Dados'!$AL142="NÃO",IFERROR(VALUE(SUBSTITUTE(_xlfn.TEXTAFTER('Banco de Dados'!$F142,"BRL ",1),".",",")),0),0),0)</f>
        <v>0</v>
      </c>
      <c r="AQ142" s="28">
        <f ca="1">SUM('Banco de Dados'!$AM142:$AP142)</f>
        <v>0</v>
      </c>
      <c r="AR142" s="8"/>
      <c r="AS142" s="8"/>
      <c r="AY142" s="8"/>
    </row>
    <row r="143" spans="1:51">
      <c r="A143" s="5" t="str">
        <v>BV</v>
      </c>
      <c r="B143" s="5" t="str">
        <f ca="1"/>
        <v>BV45593</v>
      </c>
      <c r="C143" s="8" t="str">
        <v>Pedido 140</v>
      </c>
      <c r="D143" s="9">
        <v>45593</v>
      </c>
      <c r="E143" s="9">
        <v>45593</v>
      </c>
      <c r="F143" s="8" t="str">
        <v>PedidoF133</v>
      </c>
      <c r="G143" s="2" t="str">
        <v>CódRastreio133</v>
      </c>
      <c r="H143" s="5">
        <v>1</v>
      </c>
      <c r="I143" s="2" t="str">
        <v>CPF 137</v>
      </c>
      <c r="J143" s="2" t="str">
        <v>Nome 137</v>
      </c>
      <c r="K143" s="8" t="str">
        <v>Tel 137</v>
      </c>
      <c r="L143" s="2" t="str">
        <v>Cep 137</v>
      </c>
      <c r="M143" s="2" t="str">
        <v>Rua 137</v>
      </c>
      <c r="N143" s="2" t="str">
        <v>Comp 137</v>
      </c>
      <c r="O143" s="2" t="str">
        <v>Bomba d'agua</v>
      </c>
      <c r="P143" s="8" t="str">
        <v>DJ-RO5O-43GF</v>
      </c>
      <c r="Q143" s="4">
        <v>45611</v>
      </c>
      <c r="R143" s="109">
        <v>18.2</v>
      </c>
      <c r="S143" s="11">
        <f ca="1"/>
        <v>0</v>
      </c>
      <c r="T143" s="28">
        <f ca="1"/>
        <v>0</v>
      </c>
      <c r="U143" s="11">
        <f ca="1"/>
        <v>0</v>
      </c>
      <c r="V143" s="11">
        <v>0</v>
      </c>
      <c r="W143" s="11">
        <f ca="1"/>
        <v>0</v>
      </c>
      <c r="X143" s="11">
        <f ca="1"/>
        <v>0.39877104377104378</v>
      </c>
      <c r="Y143" s="11">
        <v>0</v>
      </c>
      <c r="Z143" s="11">
        <f ca="1"/>
        <v>-0.39877104377104378</v>
      </c>
      <c r="AA143" s="11">
        <f ca="1"/>
        <v>-0.19938552188552189</v>
      </c>
      <c r="AB143" s="4">
        <f ca="1"/>
        <v>45618</v>
      </c>
      <c r="AC143" s="4">
        <v>45618</v>
      </c>
      <c r="AD143" s="9">
        <v>45618</v>
      </c>
      <c r="AE143" s="9">
        <v>45625</v>
      </c>
      <c r="AF143" s="4" t="str">
        <f t="shared" ca="1" si="2"/>
        <v>2024 11</v>
      </c>
      <c r="AG143" s="8" t="str" cm="1">
        <f t="array" ref="AG143">IFERROR(_xlfn.IFS('Banco de Dados'!#REF!="AG. COMPRA","Em processamento",'Banco de Dados'!#REF!="AG. RASTREIO","Em processamento",'Banco de Dados'!$AE143&lt;&gt;"-","Faturado",'Banco de Dados'!$AD143&lt;&gt;"-","Aguardando Pix",'Banco de Dados'!$AC143&lt;&gt;"-","Pendente"),"Aguardando Liberação")</f>
        <v>Aguardando Liberação</v>
      </c>
      <c r="AH143" s="5" t="str">
        <f>IF('Banco de Dados'!$F143="-",_xlfn.CONCAT(PROPER(TEXT(AK143,"aaaa"))," ",PROPER(TEXT(AK143,"mm"))),_xlfn.CONCAT(PROPER(TEXT(E143,"aaaa"))," ",PROPER(TEXT(E143,"mm"))))</f>
        <v>2024 10</v>
      </c>
      <c r="AI143" s="9" t="str">
        <f ca="1">IF('Banco de Dados'!$AK143&lt;&gt;"-","REEMBOLSO",IFERROR(_xlfn.XLOOKUP(G143,Follow[CODRASTREIO],Follow[STATUS]),"-"))</f>
        <v>REEMBOLSO</v>
      </c>
      <c r="AJ143" s="9" t="str">
        <f ca="1">IF('Banco de Dados'!$AI143="ENTREGUE",_xlfn.XLOOKUP('Banco de Dados'!$G143,Follow[CODRASTREIO],Follow[DATAATUALIZAÇÃO]),"-")</f>
        <v>-</v>
      </c>
      <c r="AK143" s="9">
        <f ca="1"/>
        <v>45616</v>
      </c>
      <c r="AL143" s="35" t="str">
        <v>NÃO</v>
      </c>
      <c r="AM143" s="109" t="e" cm="1">
        <f t="array" aca="1" ref="AM143" ca="1">IF('Banco de Dados'!$AK143&lt;&gt;"-",_xlfn.IFS('Banco de Dados'!$A143="bv",IF('Banco de Dados'!$E143&lt;45641,ROUND(SUM('Banco de Dados'!$R143*_xlfn.XLOOKUP('Banco de Dados'!$P143,Sku!B:B,Sku!#REF!)*20%),2),ROUND(SUM('Banco de Dados'!$R143*_xlfn.XLOOKUP('Banco de Dados'!$P143,Sku!B:B,Sku!H:H)*20%),2)),'Banco de Dados'!$A143="GO",ROUND(_xlfn.XLOOKUP('Banco de Dados'!$P143,Sku!C:C,Sku!H:H),2),'Banco de Dados'!$A143="MEI",ROUND(_xlfn.XLOOKUP('Banco de Dados'!$P143,Sku!D:D,Sku!H:H),2)),0)</f>
        <v>#REF!</v>
      </c>
      <c r="AN143" s="109" t="e">
        <f ca="1">IF('Banco de Dados'!$AK143&lt;&gt;"-",IF('Banco de Dados'!$F143&lt;&gt;"-",_xlfn.XLOOKUP(IFERROR(IFERROR(IFERROR(VALUE(SUBSTITUTE(MID(_xlfn.TEXTAFTER('Banco de Dados'!$F143,"Data do Pedido:
",1),1,10),"-","/")),VALUE(SUBSTITUTE(MID(_xlfn.TEXTAFTER('Banco de Dados'!$F143,"Order date:
",1),1,10),"-","/"))),VALUE(SUBSTITUTE(MID(_xlfn.TEXTAFTER('Banco de Dados'!$F143,"Fecha de pedido:
",1),1,10),"-","/"))),"-"),SMS!A:A,SMS!K:K),0),0)</f>
        <v>#N/A</v>
      </c>
      <c r="AO143" s="109">
        <f ca="1">IF('Banco de Dados'!$AK143&lt;&gt;"-",IF('Banco de Dados'!$F143&lt;&gt;"-",IFERROR(_xlfn.XLOOKUP(_xlfn.CONCAT('Banco de Dados'!$A143,IFERROR(IFERROR(VALUE(SUBSTITUTE(MID(_xlfn.TEXTAFTER('Banco de Dados'!$F143,"Data do Pedido:
",1),1,10),"-","/")),VALUE(SUBSTITUTE(MID(_xlfn.TEXTAFTER('Banco de Dados'!$F143,"Order date:
",1),1,10),"-","/"))),0)),ProxyDD[Chave],ProxyDD[Valor por pedido]),PROXY!$P$2),0),0)</f>
        <v>0.39877104377104378</v>
      </c>
      <c r="AP143" s="28">
        <f ca="1">IF('Banco de Dados'!$AK143&lt;&gt;"-",IF('Banco de Dados'!$AL143="NÃO",IFERROR(VALUE(SUBSTITUTE(_xlfn.TEXTAFTER('Banco de Dados'!$F143,"BRL ",1),".",",")),0),0),0)</f>
        <v>0</v>
      </c>
      <c r="AQ143" s="28" t="e">
        <f ca="1">SUM('Banco de Dados'!$AM143:$AP143)</f>
        <v>#REF!</v>
      </c>
      <c r="AR143" s="8"/>
      <c r="AS143" s="8"/>
      <c r="AY143" s="8"/>
    </row>
    <row r="144" spans="1:51">
      <c r="A144" s="5" t="str">
        <v>BV</v>
      </c>
      <c r="B144" s="5" t="str">
        <f ca="1"/>
        <v>BV45593</v>
      </c>
      <c r="C144" s="8" t="str">
        <v>Pedido 141</v>
      </c>
      <c r="D144" s="9">
        <v>45593</v>
      </c>
      <c r="E144" s="9">
        <v>45593</v>
      </c>
      <c r="F144" s="8" t="str">
        <v>PedidoF134</v>
      </c>
      <c r="G144" s="2" t="str">
        <v>CódRastreio134</v>
      </c>
      <c r="H144" s="5">
        <v>1</v>
      </c>
      <c r="I144" s="2" t="str">
        <v>CPF 138</v>
      </c>
      <c r="J144" s="2" t="str">
        <v>Nome 138</v>
      </c>
      <c r="K144" s="8" t="str">
        <v>Tel 138</v>
      </c>
      <c r="L144" s="2" t="str">
        <v>Cep 138</v>
      </c>
      <c r="M144" s="2" t="str">
        <v>Rua 138</v>
      </c>
      <c r="N144" s="2" t="str">
        <v>Comp 138</v>
      </c>
      <c r="O144" s="2" t="str">
        <v>Bomba d'agua</v>
      </c>
      <c r="P144" s="8" t="str">
        <v>DJ-RO5O-43GF</v>
      </c>
      <c r="Q144" s="4">
        <v>45605</v>
      </c>
      <c r="R144" s="109">
        <v>18.2</v>
      </c>
      <c r="S144" s="11">
        <f ca="1"/>
        <v>0</v>
      </c>
      <c r="T144" s="28">
        <f ca="1"/>
        <v>0</v>
      </c>
      <c r="U144" s="11">
        <f ca="1"/>
        <v>0</v>
      </c>
      <c r="V144" s="11">
        <v>0</v>
      </c>
      <c r="W144" s="11">
        <f ca="1"/>
        <v>0</v>
      </c>
      <c r="X144" s="11">
        <f ca="1"/>
        <v>0.39877104377104378</v>
      </c>
      <c r="Y144" s="11">
        <v>0</v>
      </c>
      <c r="Z144" s="11">
        <f ca="1"/>
        <v>-0.39877104377104378</v>
      </c>
      <c r="AA144" s="11">
        <f ca="1"/>
        <v>-0.19938552188552189</v>
      </c>
      <c r="AB144" s="4">
        <f ca="1"/>
        <v>45612</v>
      </c>
      <c r="AC144" s="4">
        <v>45643</v>
      </c>
      <c r="AD144" s="9">
        <v>45617</v>
      </c>
      <c r="AE144" s="9">
        <v>45618</v>
      </c>
      <c r="AF144" s="4" t="str">
        <f t="shared" ca="1" si="2"/>
        <v>2024 11</v>
      </c>
      <c r="AG144" s="8" t="str" cm="1">
        <f t="array" ref="AG144">IFERROR(_xlfn.IFS('Banco de Dados'!#REF!="AG. COMPRA","Em processamento",'Banco de Dados'!#REF!="AG. RASTREIO","Em processamento",'Banco de Dados'!$AE144&lt;&gt;"-","Faturado",'Banco de Dados'!$AD144&lt;&gt;"-","Aguardando Pix",'Banco de Dados'!$AC144&lt;&gt;"-","Pendente"),"Aguardando Liberação")</f>
        <v>Aguardando Liberação</v>
      </c>
      <c r="AH144" s="5" t="str">
        <f>IF('Banco de Dados'!$F144="-",_xlfn.CONCAT(PROPER(TEXT(AK144,"aaaa"))," ",PROPER(TEXT(AK144,"mm"))),_xlfn.CONCAT(PROPER(TEXT(E144,"aaaa"))," ",PROPER(TEXT(E144,"mm"))))</f>
        <v>2024 10</v>
      </c>
      <c r="AI144" s="9" t="str">
        <f ca="1">IF('Banco de Dados'!$AK144&lt;&gt;"-","REEMBOLSO",IFERROR(_xlfn.XLOOKUP(G144,Follow[CODRASTREIO],Follow[STATUS]),"-"))</f>
        <v>REEMBOLSO</v>
      </c>
      <c r="AJ144" s="9" t="str">
        <f ca="1">IF('Banco de Dados'!$AI144="ENTREGUE",_xlfn.XLOOKUP('Banco de Dados'!$G144,Follow[CODRASTREIO],Follow[DATAATUALIZAÇÃO]),"-")</f>
        <v>-</v>
      </c>
      <c r="AK144" s="9">
        <f ca="1"/>
        <v>45642</v>
      </c>
      <c r="AL144" s="35" t="str">
        <v>NÃO</v>
      </c>
      <c r="AM144" s="109" t="e" cm="1">
        <f t="array" aca="1" ref="AM144" ca="1">IF('Banco de Dados'!$AK144&lt;&gt;"-",_xlfn.IFS('Banco de Dados'!$A144="bv",IF('Banco de Dados'!$E144&lt;45641,ROUND(SUM('Banco de Dados'!$R144*_xlfn.XLOOKUP('Banco de Dados'!$P144,Sku!B:B,Sku!#REF!)*20%),2),ROUND(SUM('Banco de Dados'!$R144*_xlfn.XLOOKUP('Banco de Dados'!$P144,Sku!B:B,Sku!H:H)*20%),2)),'Banco de Dados'!$A144="GO",ROUND(_xlfn.XLOOKUP('Banco de Dados'!$P144,Sku!C:C,Sku!H:H),2),'Banco de Dados'!$A144="MEI",ROUND(_xlfn.XLOOKUP('Banco de Dados'!$P144,Sku!D:D,Sku!H:H),2)),0)</f>
        <v>#REF!</v>
      </c>
      <c r="AN144" s="109" t="e">
        <f ca="1">IF('Banco de Dados'!$AK144&lt;&gt;"-",IF('Banco de Dados'!$F144&lt;&gt;"-",_xlfn.XLOOKUP(IFERROR(IFERROR(IFERROR(VALUE(SUBSTITUTE(MID(_xlfn.TEXTAFTER('Banco de Dados'!$F144,"Data do Pedido:
",1),1,10),"-","/")),VALUE(SUBSTITUTE(MID(_xlfn.TEXTAFTER('Banco de Dados'!$F144,"Order date:
",1),1,10),"-","/"))),VALUE(SUBSTITUTE(MID(_xlfn.TEXTAFTER('Banco de Dados'!$F144,"Fecha de pedido:
",1),1,10),"-","/"))),"-"),SMS!A:A,SMS!K:K),0),0)</f>
        <v>#N/A</v>
      </c>
      <c r="AO144" s="109">
        <f ca="1">IF('Banco de Dados'!$AK144&lt;&gt;"-",IF('Banco de Dados'!$F144&lt;&gt;"-",IFERROR(_xlfn.XLOOKUP(_xlfn.CONCAT('Banco de Dados'!$A144,IFERROR(IFERROR(VALUE(SUBSTITUTE(MID(_xlfn.TEXTAFTER('Banco de Dados'!$F144,"Data do Pedido:
",1),1,10),"-","/")),VALUE(SUBSTITUTE(MID(_xlfn.TEXTAFTER('Banco de Dados'!$F144,"Order date:
",1),1,10),"-","/"))),0)),ProxyDD[Chave],ProxyDD[Valor por pedido]),PROXY!$P$2),0),0)</f>
        <v>0.39877104377104378</v>
      </c>
      <c r="AP144" s="28">
        <f ca="1">IF('Banco de Dados'!$AK144&lt;&gt;"-",IF('Banco de Dados'!$AL144="NÃO",IFERROR(VALUE(SUBSTITUTE(_xlfn.TEXTAFTER('Banco de Dados'!$F144,"BRL ",1),".",",")),0),0),0)</f>
        <v>0</v>
      </c>
      <c r="AQ144" s="28" t="e">
        <f ca="1">SUM('Banco de Dados'!$AM144:$AP144)</f>
        <v>#REF!</v>
      </c>
      <c r="AR144" s="8"/>
      <c r="AS144" s="8"/>
      <c r="AY144" s="8"/>
    </row>
    <row r="145" spans="1:51">
      <c r="A145" s="5" t="str">
        <v>BV</v>
      </c>
      <c r="B145" s="5" t="str">
        <f ca="1"/>
        <v>BV45593</v>
      </c>
      <c r="C145" s="8" t="str">
        <v>Pedido 142</v>
      </c>
      <c r="D145" s="9">
        <v>45593</v>
      </c>
      <c r="E145" s="9">
        <v>45593</v>
      </c>
      <c r="F145" s="8" t="str">
        <v>PedidoF135</v>
      </c>
      <c r="G145" s="2" t="str">
        <v>CódRastreio135</v>
      </c>
      <c r="H145" s="5">
        <v>1</v>
      </c>
      <c r="I145" s="3" t="str">
        <v>CPF 139</v>
      </c>
      <c r="J145" s="2" t="str">
        <v>Nome 139</v>
      </c>
      <c r="K145" s="8" t="str">
        <v>Tel 139</v>
      </c>
      <c r="L145" s="2" t="str">
        <v>Cep 139</v>
      </c>
      <c r="M145" s="2" t="str">
        <v>Rua 139</v>
      </c>
      <c r="N145" s="2" t="str">
        <v>Comp 139</v>
      </c>
      <c r="O145" s="2" t="str">
        <v>Ventilador Preto</v>
      </c>
      <c r="P145" s="8" t="str">
        <v>MU-J80P-95WF</v>
      </c>
      <c r="Q145" s="4">
        <v>45618</v>
      </c>
      <c r="R145" s="109">
        <v>59.99</v>
      </c>
      <c r="S145" s="11">
        <f ca="1"/>
        <v>59.99</v>
      </c>
      <c r="T145" s="28">
        <f ca="1"/>
        <v>7.7987000000000002</v>
      </c>
      <c r="U145" s="11">
        <f ca="1"/>
        <v>52.19</v>
      </c>
      <c r="V145" s="11">
        <v>7.26</v>
      </c>
      <c r="W145" s="11">
        <f ca="1"/>
        <v>0.34</v>
      </c>
      <c r="X145" s="11">
        <f ca="1"/>
        <v>0.39877104377104378</v>
      </c>
      <c r="Y145" s="11">
        <v>0</v>
      </c>
      <c r="Z145" s="11">
        <f ca="1"/>
        <v>44.191228956228954</v>
      </c>
      <c r="AA145" s="11">
        <f ca="1"/>
        <v>22.095614478114477</v>
      </c>
      <c r="AB145" s="4">
        <f ca="1"/>
        <v>45625</v>
      </c>
      <c r="AC145" s="4">
        <v>45625</v>
      </c>
      <c r="AD145" s="9">
        <v>45625</v>
      </c>
      <c r="AE145" s="9">
        <v>45625</v>
      </c>
      <c r="AF145" s="4" t="str">
        <f t="shared" ca="1" si="2"/>
        <v>2024 11</v>
      </c>
      <c r="AG145" s="8" t="str" cm="1">
        <f t="array" ref="AG145">IFERROR(_xlfn.IFS('Banco de Dados'!#REF!="AG. COMPRA","Em processamento",'Banco de Dados'!#REF!="AG. RASTREIO","Em processamento",'Banco de Dados'!$AE145&lt;&gt;"-","Faturado",'Banco de Dados'!$AD145&lt;&gt;"-","Aguardando Pix",'Banco de Dados'!$AC145&lt;&gt;"-","Pendente"),"Aguardando Liberação")</f>
        <v>Aguardando Liberação</v>
      </c>
      <c r="AH145" s="5" t="str">
        <f>IF('Banco de Dados'!$F145="-",_xlfn.CONCAT(PROPER(TEXT(AK145,"aaaa"))," ",PROPER(TEXT(AK145,"mm"))),_xlfn.CONCAT(PROPER(TEXT(E145,"aaaa"))," ",PROPER(TEXT(E145,"mm"))))</f>
        <v>2024 10</v>
      </c>
      <c r="AI145" s="9" t="str">
        <f ca="1">IF('Banco de Dados'!$AK145&lt;&gt;"-","REEMBOLSO",IFERROR(_xlfn.XLOOKUP(G145,Follow[CODRASTREIO],Follow[STATUS]),"-"))</f>
        <v>ENTREGUE</v>
      </c>
      <c r="AJ145" s="9">
        <f ca="1">IF('Banco de Dados'!$AI145="ENTREGUE",_xlfn.XLOOKUP('Banco de Dados'!$G145,Follow[CODRASTREIO],Follow[DATAATUALIZAÇÃO]),"-")</f>
        <v>45609</v>
      </c>
      <c r="AK145" s="9" t="str">
        <f ca="1"/>
        <v>-</v>
      </c>
      <c r="AL145" s="35" t="str">
        <v>NÃO</v>
      </c>
      <c r="AM145" s="109" cm="1">
        <f t="array" aca="1" ref="AM145" ca="1">IF('Banco de Dados'!$AK145&lt;&gt;"-",_xlfn.IFS('Banco de Dados'!$A145="bv",IF('Banco de Dados'!$E145&lt;45641,ROUND(SUM('Banco de Dados'!$R145*_xlfn.XLOOKUP('Banco de Dados'!$P145,Sku!B:B,Sku!#REF!)*20%),2),ROUND(SUM('Banco de Dados'!$R145*_xlfn.XLOOKUP('Banco de Dados'!$P145,Sku!B:B,Sku!H:H)*20%),2)),'Banco de Dados'!$A145="GO",ROUND(_xlfn.XLOOKUP('Banco de Dados'!$P145,Sku!C:C,Sku!H:H),2),'Banco de Dados'!$A145="MEI",ROUND(_xlfn.XLOOKUP('Banco de Dados'!$P145,Sku!D:D,Sku!H:H),2)),0)</f>
        <v>0</v>
      </c>
      <c r="AN145" s="109">
        <f ca="1">IF('Banco de Dados'!$AK145&lt;&gt;"-",IF('Banco de Dados'!$F145&lt;&gt;"-",_xlfn.XLOOKUP(IFERROR(IFERROR(IFERROR(VALUE(SUBSTITUTE(MID(_xlfn.TEXTAFTER('Banco de Dados'!$F145,"Data do Pedido:
",1),1,10),"-","/")),VALUE(SUBSTITUTE(MID(_xlfn.TEXTAFTER('Banco de Dados'!$F145,"Order date:
",1),1,10),"-","/"))),VALUE(SUBSTITUTE(MID(_xlfn.TEXTAFTER('Banco de Dados'!$F145,"Fecha de pedido:
",1),1,10),"-","/"))),"-"),SMS!A:A,SMS!K:K),0),0)</f>
        <v>0</v>
      </c>
      <c r="AO145" s="109">
        <f ca="1">IF('Banco de Dados'!$AK145&lt;&gt;"-",IF('Banco de Dados'!$F145&lt;&gt;"-",IFERROR(_xlfn.XLOOKUP(_xlfn.CONCAT('Banco de Dados'!$A145,IFERROR(IFERROR(VALUE(SUBSTITUTE(MID(_xlfn.TEXTAFTER('Banco de Dados'!$F145,"Data do Pedido:
",1),1,10),"-","/")),VALUE(SUBSTITUTE(MID(_xlfn.TEXTAFTER('Banco de Dados'!$F145,"Order date:
",1),1,10),"-","/"))),0)),ProxyDD[Chave],ProxyDD[Valor por pedido]),PROXY!$P$2),0),0)</f>
        <v>0</v>
      </c>
      <c r="AP145" s="28">
        <f ca="1">IF('Banco de Dados'!$AK145&lt;&gt;"-",IF('Banco de Dados'!$AL145="NÃO",IFERROR(VALUE(SUBSTITUTE(_xlfn.TEXTAFTER('Banco de Dados'!$F145,"BRL ",1),".",",")),0),0),0)</f>
        <v>0</v>
      </c>
      <c r="AQ145" s="28">
        <f ca="1">SUM('Banco de Dados'!$AM145:$AP145)</f>
        <v>0</v>
      </c>
      <c r="AR145" s="8"/>
      <c r="AS145" s="8"/>
      <c r="AY145" s="8"/>
    </row>
    <row r="146" spans="1:51">
      <c r="A146" s="5" t="str">
        <v>BV</v>
      </c>
      <c r="B146" s="5" t="str">
        <f ca="1"/>
        <v>BV45593</v>
      </c>
      <c r="C146" s="8" t="str">
        <v>Pedido 143</v>
      </c>
      <c r="D146" s="9">
        <v>45593</v>
      </c>
      <c r="E146" s="9">
        <v>45593</v>
      </c>
      <c r="F146" s="8" t="str">
        <v>PedidoF136</v>
      </c>
      <c r="G146" s="2" t="str">
        <v>CódRastreio136</v>
      </c>
      <c r="H146" s="5">
        <v>1</v>
      </c>
      <c r="I146" s="2" t="str">
        <v>CPF 140</v>
      </c>
      <c r="J146" s="2" t="str">
        <v>Nome 140</v>
      </c>
      <c r="K146" s="8" t="str">
        <v>Tel 140</v>
      </c>
      <c r="L146" s="2" t="str">
        <v>Cep 140</v>
      </c>
      <c r="M146" s="2" t="str">
        <v>Rua 140</v>
      </c>
      <c r="N146" s="2" t="str">
        <v>Comp 140</v>
      </c>
      <c r="O146" s="2" t="str">
        <v>Balança</v>
      </c>
      <c r="P146" s="8" t="str">
        <v>P4-K63S-8KOM</v>
      </c>
      <c r="Q146" s="4">
        <v>45605</v>
      </c>
      <c r="R146" s="109">
        <v>17.989999999999998</v>
      </c>
      <c r="S146" s="11">
        <f ca="1"/>
        <v>17.989999999999998</v>
      </c>
      <c r="T146" s="28">
        <f ca="1"/>
        <v>2.3386999999999998</v>
      </c>
      <c r="U146" s="11">
        <f ca="1"/>
        <v>15.65</v>
      </c>
      <c r="V146" s="11">
        <v>8.74</v>
      </c>
      <c r="W146" s="11">
        <f ca="1"/>
        <v>0.34</v>
      </c>
      <c r="X146" s="11">
        <f ca="1"/>
        <v>0.39877104377104378</v>
      </c>
      <c r="Y146" s="11">
        <v>0</v>
      </c>
      <c r="Z146" s="11">
        <f ca="1"/>
        <v>6.1712289562289566</v>
      </c>
      <c r="AA146" s="11">
        <f ca="1"/>
        <v>3.0856144781144783</v>
      </c>
      <c r="AB146" s="4">
        <f ca="1"/>
        <v>45612</v>
      </c>
      <c r="AC146" s="4">
        <v>45612</v>
      </c>
      <c r="AD146" s="9">
        <v>45617</v>
      </c>
      <c r="AE146" s="9">
        <v>45618</v>
      </c>
      <c r="AF146" s="4" t="str">
        <f t="shared" ca="1" si="2"/>
        <v>2024 11</v>
      </c>
      <c r="AG146" s="8" t="str" cm="1">
        <f t="array" ref="AG146">IFERROR(_xlfn.IFS('Banco de Dados'!#REF!="AG. COMPRA","Em processamento",'Banco de Dados'!#REF!="AG. RASTREIO","Em processamento",'Banco de Dados'!$AE146&lt;&gt;"-","Faturado",'Banco de Dados'!$AD146&lt;&gt;"-","Aguardando Pix",'Banco de Dados'!$AC146&lt;&gt;"-","Pendente"),"Aguardando Liberação")</f>
        <v>Aguardando Liberação</v>
      </c>
      <c r="AH146" s="5" t="str">
        <f>IF('Banco de Dados'!$F146="-",_xlfn.CONCAT(PROPER(TEXT(AK146,"aaaa"))," ",PROPER(TEXT(AK146,"mm"))),_xlfn.CONCAT(PROPER(TEXT(E146,"aaaa"))," ",PROPER(TEXT(E146,"mm"))))</f>
        <v>2024 10</v>
      </c>
      <c r="AI146" s="9" t="str">
        <f ca="1">IF('Banco de Dados'!$AK146&lt;&gt;"-","REEMBOLSO",IFERROR(_xlfn.XLOOKUP(G146,Follow[CODRASTREIO],Follow[STATUS]),"-"))</f>
        <v>ENTREGUE</v>
      </c>
      <c r="AJ146" s="9">
        <f ca="1">IF('Banco de Dados'!$AI146="ENTREGUE",_xlfn.XLOOKUP('Banco de Dados'!$G146,Follow[CODRASTREIO],Follow[DATAATUALIZAÇÃO]),"-")</f>
        <v>45597</v>
      </c>
      <c r="AK146" s="9" t="str">
        <f ca="1"/>
        <v>-</v>
      </c>
      <c r="AL146" s="35" t="str">
        <v>NÃO</v>
      </c>
      <c r="AM146" s="109" cm="1">
        <f t="array" aca="1" ref="AM146" ca="1">IF('Banco de Dados'!$AK146&lt;&gt;"-",_xlfn.IFS('Banco de Dados'!$A146="bv",IF('Banco de Dados'!$E146&lt;45641,ROUND(SUM('Banco de Dados'!$R146*_xlfn.XLOOKUP('Banco de Dados'!$P146,Sku!B:B,Sku!#REF!)*20%),2),ROUND(SUM('Banco de Dados'!$R146*_xlfn.XLOOKUP('Banco de Dados'!$P146,Sku!B:B,Sku!H:H)*20%),2)),'Banco de Dados'!$A146="GO",ROUND(_xlfn.XLOOKUP('Banco de Dados'!$P146,Sku!C:C,Sku!H:H),2),'Banco de Dados'!$A146="MEI",ROUND(_xlfn.XLOOKUP('Banco de Dados'!$P146,Sku!D:D,Sku!H:H),2)),0)</f>
        <v>0</v>
      </c>
      <c r="AN146" s="109">
        <f ca="1">IF('Banco de Dados'!$AK146&lt;&gt;"-",IF('Banco de Dados'!$F146&lt;&gt;"-",_xlfn.XLOOKUP(IFERROR(IFERROR(IFERROR(VALUE(SUBSTITUTE(MID(_xlfn.TEXTAFTER('Banco de Dados'!$F146,"Data do Pedido:
",1),1,10),"-","/")),VALUE(SUBSTITUTE(MID(_xlfn.TEXTAFTER('Banco de Dados'!$F146,"Order date:
",1),1,10),"-","/"))),VALUE(SUBSTITUTE(MID(_xlfn.TEXTAFTER('Banco de Dados'!$F146,"Fecha de pedido:
",1),1,10),"-","/"))),"-"),SMS!A:A,SMS!K:K),0),0)</f>
        <v>0</v>
      </c>
      <c r="AO146" s="109">
        <f ca="1">IF('Banco de Dados'!$AK146&lt;&gt;"-",IF('Banco de Dados'!$F146&lt;&gt;"-",IFERROR(_xlfn.XLOOKUP(_xlfn.CONCAT('Banco de Dados'!$A146,IFERROR(IFERROR(VALUE(SUBSTITUTE(MID(_xlfn.TEXTAFTER('Banco de Dados'!$F146,"Data do Pedido:
",1),1,10),"-","/")),VALUE(SUBSTITUTE(MID(_xlfn.TEXTAFTER('Banco de Dados'!$F146,"Order date:
",1),1,10),"-","/"))),0)),ProxyDD[Chave],ProxyDD[Valor por pedido]),PROXY!$P$2),0),0)</f>
        <v>0</v>
      </c>
      <c r="AP146" s="28">
        <f ca="1">IF('Banco de Dados'!$AK146&lt;&gt;"-",IF('Banco de Dados'!$AL146="NÃO",IFERROR(VALUE(SUBSTITUTE(_xlfn.TEXTAFTER('Banco de Dados'!$F146,"BRL ",1),".",",")),0),0),0)</f>
        <v>0</v>
      </c>
      <c r="AQ146" s="28">
        <f ca="1">SUM('Banco de Dados'!$AM146:$AP146)</f>
        <v>0</v>
      </c>
      <c r="AR146" s="8"/>
      <c r="AS146" s="8"/>
      <c r="AY146" s="8"/>
    </row>
    <row r="147" spans="1:51">
      <c r="A147" s="5" t="str">
        <v>BV</v>
      </c>
      <c r="B147" s="5" t="str">
        <f ca="1"/>
        <v>BV45593</v>
      </c>
      <c r="C147" s="8" t="str">
        <v>Pedido 144</v>
      </c>
      <c r="D147" s="9">
        <v>45593</v>
      </c>
      <c r="E147" s="9">
        <v>45593</v>
      </c>
      <c r="F147" s="8" t="str">
        <v>PedidoF137</v>
      </c>
      <c r="G147" s="2" t="str">
        <v>CódRastreio137</v>
      </c>
      <c r="H147" s="5">
        <v>1</v>
      </c>
      <c r="I147" s="2" t="str">
        <v>CPF 141</v>
      </c>
      <c r="J147" s="2" t="str">
        <v>Nome 141</v>
      </c>
      <c r="K147" s="8" t="str">
        <v>Tel 141</v>
      </c>
      <c r="L147" s="2" t="str">
        <v>Cep 141</v>
      </c>
      <c r="M147" s="2" t="str">
        <v>Rua 141</v>
      </c>
      <c r="N147" s="2" t="str">
        <v>Comp 141</v>
      </c>
      <c r="O147" s="2" t="str">
        <v>Mini Liquidificador</v>
      </c>
      <c r="P147" s="8" t="str">
        <v>CK-YL6M-P5Y6</v>
      </c>
      <c r="Q147" s="4">
        <v>45605</v>
      </c>
      <c r="R147" s="109">
        <v>23.2</v>
      </c>
      <c r="S147" s="11">
        <f ca="1"/>
        <v>23.2</v>
      </c>
      <c r="T147" s="28">
        <f ca="1"/>
        <v>3.016</v>
      </c>
      <c r="U147" s="11">
        <f ca="1"/>
        <v>20.18</v>
      </c>
      <c r="V147" s="11">
        <v>9.99</v>
      </c>
      <c r="W147" s="11">
        <f ca="1"/>
        <v>0.34</v>
      </c>
      <c r="X147" s="11">
        <f ca="1"/>
        <v>0.39877104377104378</v>
      </c>
      <c r="Y147" s="11">
        <v>0</v>
      </c>
      <c r="Z147" s="11">
        <f ca="1"/>
        <v>9.451228956228956</v>
      </c>
      <c r="AA147" s="11">
        <f ca="1"/>
        <v>4.725614478114478</v>
      </c>
      <c r="AB147" s="4">
        <f ca="1"/>
        <v>45612</v>
      </c>
      <c r="AC147" s="4">
        <v>45612</v>
      </c>
      <c r="AD147" s="9">
        <v>45617</v>
      </c>
      <c r="AE147" s="9">
        <v>45618</v>
      </c>
      <c r="AF147" s="4" t="str">
        <f t="shared" ca="1" si="2"/>
        <v>2024 11</v>
      </c>
      <c r="AG147" s="8" t="str" cm="1">
        <f t="array" ref="AG147">IFERROR(_xlfn.IFS('Banco de Dados'!#REF!="AG. COMPRA","Em processamento",'Banco de Dados'!#REF!="AG. RASTREIO","Em processamento",'Banco de Dados'!$AE147&lt;&gt;"-","Faturado",'Banco de Dados'!$AD147&lt;&gt;"-","Aguardando Pix",'Banco de Dados'!$AC147&lt;&gt;"-","Pendente"),"Aguardando Liberação")</f>
        <v>Aguardando Liberação</v>
      </c>
      <c r="AH147" s="5" t="str">
        <f>IF('Banco de Dados'!$F147="-",_xlfn.CONCAT(PROPER(TEXT(AK147,"aaaa"))," ",PROPER(TEXT(AK147,"mm"))),_xlfn.CONCAT(PROPER(TEXT(E147,"aaaa"))," ",PROPER(TEXT(E147,"mm"))))</f>
        <v>2024 10</v>
      </c>
      <c r="AI147" s="9" t="str">
        <f ca="1">IF('Banco de Dados'!$AK147&lt;&gt;"-","REEMBOLSO",IFERROR(_xlfn.XLOOKUP(G147,Follow[CODRASTREIO],Follow[STATUS]),"-"))</f>
        <v>ENTREGUE</v>
      </c>
      <c r="AJ147" s="9">
        <f ca="1">IF('Banco de Dados'!$AI147="ENTREGUE",_xlfn.XLOOKUP('Banco de Dados'!$G147,Follow[CODRASTREIO],Follow[DATAATUALIZAÇÃO]),"-")</f>
        <v>45596</v>
      </c>
      <c r="AK147" s="9" t="str">
        <f ca="1"/>
        <v>-</v>
      </c>
      <c r="AL147" s="35" t="str">
        <v>NÃO</v>
      </c>
      <c r="AM147" s="109" cm="1">
        <f t="array" aca="1" ref="AM147" ca="1">IF('Banco de Dados'!$AK147&lt;&gt;"-",_xlfn.IFS('Banco de Dados'!$A147="bv",IF('Banco de Dados'!$E147&lt;45641,ROUND(SUM('Banco de Dados'!$R147*_xlfn.XLOOKUP('Banco de Dados'!$P147,Sku!B:B,Sku!#REF!)*20%),2),ROUND(SUM('Banco de Dados'!$R147*_xlfn.XLOOKUP('Banco de Dados'!$P147,Sku!B:B,Sku!H:H)*20%),2)),'Banco de Dados'!$A147="GO",ROUND(_xlfn.XLOOKUP('Banco de Dados'!$P147,Sku!C:C,Sku!H:H),2),'Banco de Dados'!$A147="MEI",ROUND(_xlfn.XLOOKUP('Banco de Dados'!$P147,Sku!D:D,Sku!H:H),2)),0)</f>
        <v>0</v>
      </c>
      <c r="AN147" s="109">
        <f ca="1">IF('Banco de Dados'!$AK147&lt;&gt;"-",IF('Banco de Dados'!$F147&lt;&gt;"-",_xlfn.XLOOKUP(IFERROR(IFERROR(IFERROR(VALUE(SUBSTITUTE(MID(_xlfn.TEXTAFTER('Banco de Dados'!$F147,"Data do Pedido:
",1),1,10),"-","/")),VALUE(SUBSTITUTE(MID(_xlfn.TEXTAFTER('Banco de Dados'!$F147,"Order date:
",1),1,10),"-","/"))),VALUE(SUBSTITUTE(MID(_xlfn.TEXTAFTER('Banco de Dados'!$F147,"Fecha de pedido:
",1),1,10),"-","/"))),"-"),SMS!A:A,SMS!K:K),0),0)</f>
        <v>0</v>
      </c>
      <c r="AO147" s="109">
        <f ca="1">IF('Banco de Dados'!$AK147&lt;&gt;"-",IF('Banco de Dados'!$F147&lt;&gt;"-",IFERROR(_xlfn.XLOOKUP(_xlfn.CONCAT('Banco de Dados'!$A147,IFERROR(IFERROR(VALUE(SUBSTITUTE(MID(_xlfn.TEXTAFTER('Banco de Dados'!$F147,"Data do Pedido:
",1),1,10),"-","/")),VALUE(SUBSTITUTE(MID(_xlfn.TEXTAFTER('Banco de Dados'!$F147,"Order date:
",1),1,10),"-","/"))),0)),ProxyDD[Chave],ProxyDD[Valor por pedido]),PROXY!$P$2),0),0)</f>
        <v>0</v>
      </c>
      <c r="AP147" s="28">
        <f ca="1">IF('Banco de Dados'!$AK147&lt;&gt;"-",IF('Banco de Dados'!$AL147="NÃO",IFERROR(VALUE(SUBSTITUTE(_xlfn.TEXTAFTER('Banco de Dados'!$F147,"BRL ",1),".",",")),0),0),0)</f>
        <v>0</v>
      </c>
      <c r="AQ147" s="28">
        <f ca="1">SUM('Banco de Dados'!$AM147:$AP147)</f>
        <v>0</v>
      </c>
      <c r="AR147" s="8"/>
      <c r="AS147" s="8"/>
      <c r="AY147" s="8"/>
    </row>
    <row r="148" spans="1:51">
      <c r="A148" s="5" t="str">
        <v>BV</v>
      </c>
      <c r="B148" s="5" t="str">
        <f ca="1"/>
        <v>BV45593</v>
      </c>
      <c r="C148" s="8" t="str">
        <v>Pedido 145</v>
      </c>
      <c r="D148" s="9">
        <v>45593</v>
      </c>
      <c r="E148" s="9">
        <v>45593</v>
      </c>
      <c r="F148" s="8" t="str">
        <v>PedidoF138</v>
      </c>
      <c r="G148" s="2" t="str">
        <v>CódRastreio138</v>
      </c>
      <c r="H148" s="5">
        <v>1</v>
      </c>
      <c r="I148" s="2" t="str">
        <v>CPF 142</v>
      </c>
      <c r="J148" s="2" t="str">
        <v>Nome 142</v>
      </c>
      <c r="K148" s="8" t="str">
        <v>Tel 142</v>
      </c>
      <c r="L148" s="2" t="str">
        <v>Cep 142</v>
      </c>
      <c r="M148" s="2" t="str">
        <v>Rua 142</v>
      </c>
      <c r="N148" s="2" t="str">
        <v>Comp 142</v>
      </c>
      <c r="O148" s="2" t="str">
        <v>Mini Liquidificador</v>
      </c>
      <c r="P148" s="8" t="str">
        <v>CK-YL6M-P5Y6</v>
      </c>
      <c r="Q148" s="4">
        <v>45605</v>
      </c>
      <c r="R148" s="109">
        <v>23.2</v>
      </c>
      <c r="S148" s="11">
        <f ca="1"/>
        <v>23.2</v>
      </c>
      <c r="T148" s="28">
        <f ca="1"/>
        <v>3.016</v>
      </c>
      <c r="U148" s="11">
        <f ca="1"/>
        <v>20.18</v>
      </c>
      <c r="V148" s="11">
        <v>9.99</v>
      </c>
      <c r="W148" s="11">
        <f ca="1"/>
        <v>0.34</v>
      </c>
      <c r="X148" s="11">
        <f ca="1"/>
        <v>0.39877104377104378</v>
      </c>
      <c r="Y148" s="11">
        <v>0</v>
      </c>
      <c r="Z148" s="11">
        <f ca="1"/>
        <v>9.451228956228956</v>
      </c>
      <c r="AA148" s="11">
        <f ca="1"/>
        <v>4.725614478114478</v>
      </c>
      <c r="AB148" s="4">
        <f ca="1"/>
        <v>45612</v>
      </c>
      <c r="AC148" s="4">
        <v>45612</v>
      </c>
      <c r="AD148" s="9">
        <v>45617</v>
      </c>
      <c r="AE148" s="9">
        <v>45618</v>
      </c>
      <c r="AF148" s="4" t="str">
        <f t="shared" ca="1" si="2"/>
        <v>2024 11</v>
      </c>
      <c r="AG148" s="8" t="str" cm="1">
        <f t="array" ref="AG148">IFERROR(_xlfn.IFS('Banco de Dados'!#REF!="AG. COMPRA","Em processamento",'Banco de Dados'!#REF!="AG. RASTREIO","Em processamento",'Banco de Dados'!$AE148&lt;&gt;"-","Faturado",'Banco de Dados'!$AD148&lt;&gt;"-","Aguardando Pix",'Banco de Dados'!$AC148&lt;&gt;"-","Pendente"),"Aguardando Liberação")</f>
        <v>Aguardando Liberação</v>
      </c>
      <c r="AH148" s="5" t="str">
        <f>IF('Banco de Dados'!$F148="-",_xlfn.CONCAT(PROPER(TEXT(AK148,"aaaa"))," ",PROPER(TEXT(AK148,"mm"))),_xlfn.CONCAT(PROPER(TEXT(E148,"aaaa"))," ",PROPER(TEXT(E148,"mm"))))</f>
        <v>2024 10</v>
      </c>
      <c r="AI148" s="9" t="str">
        <f ca="1">IF('Banco de Dados'!$AK148&lt;&gt;"-","REEMBOLSO",IFERROR(_xlfn.XLOOKUP(G148,Follow[CODRASTREIO],Follow[STATUS]),"-"))</f>
        <v>ENTREGUE</v>
      </c>
      <c r="AJ148" s="9">
        <f ca="1">IF('Banco de Dados'!$AI148="ENTREGUE",_xlfn.XLOOKUP('Banco de Dados'!$G148,Follow[CODRASTREIO],Follow[DATAATUALIZAÇÃO]),"-")</f>
        <v>45596</v>
      </c>
      <c r="AK148" s="9" t="str">
        <f ca="1"/>
        <v>-</v>
      </c>
      <c r="AL148" s="35" t="str">
        <v>NÃO</v>
      </c>
      <c r="AM148" s="109" cm="1">
        <f t="array" aca="1" ref="AM148" ca="1">IF('Banco de Dados'!$AK148&lt;&gt;"-",_xlfn.IFS('Banco de Dados'!$A148="bv",IF('Banco de Dados'!$E148&lt;45641,ROUND(SUM('Banco de Dados'!$R148*_xlfn.XLOOKUP('Banco de Dados'!$P148,Sku!B:B,Sku!#REF!)*20%),2),ROUND(SUM('Banco de Dados'!$R148*_xlfn.XLOOKUP('Banco de Dados'!$P148,Sku!B:B,Sku!H:H)*20%),2)),'Banco de Dados'!$A148="GO",ROUND(_xlfn.XLOOKUP('Banco de Dados'!$P148,Sku!C:C,Sku!H:H),2),'Banco de Dados'!$A148="MEI",ROUND(_xlfn.XLOOKUP('Banco de Dados'!$P148,Sku!D:D,Sku!H:H),2)),0)</f>
        <v>0</v>
      </c>
      <c r="AN148" s="109">
        <f ca="1">IF('Banco de Dados'!$AK148&lt;&gt;"-",IF('Banco de Dados'!$F148&lt;&gt;"-",_xlfn.XLOOKUP(IFERROR(IFERROR(IFERROR(VALUE(SUBSTITUTE(MID(_xlfn.TEXTAFTER('Banco de Dados'!$F148,"Data do Pedido:
",1),1,10),"-","/")),VALUE(SUBSTITUTE(MID(_xlfn.TEXTAFTER('Banco de Dados'!$F148,"Order date:
",1),1,10),"-","/"))),VALUE(SUBSTITUTE(MID(_xlfn.TEXTAFTER('Banco de Dados'!$F148,"Fecha de pedido:
",1),1,10),"-","/"))),"-"),SMS!A:A,SMS!K:K),0),0)</f>
        <v>0</v>
      </c>
      <c r="AO148" s="109">
        <f ca="1">IF('Banco de Dados'!$AK148&lt;&gt;"-",IF('Banco de Dados'!$F148&lt;&gt;"-",IFERROR(_xlfn.XLOOKUP(_xlfn.CONCAT('Banco de Dados'!$A148,IFERROR(IFERROR(VALUE(SUBSTITUTE(MID(_xlfn.TEXTAFTER('Banco de Dados'!$F148,"Data do Pedido:
",1),1,10),"-","/")),VALUE(SUBSTITUTE(MID(_xlfn.TEXTAFTER('Banco de Dados'!$F148,"Order date:
",1),1,10),"-","/"))),0)),ProxyDD[Chave],ProxyDD[Valor por pedido]),PROXY!$P$2),0),0)</f>
        <v>0</v>
      </c>
      <c r="AP148" s="28">
        <f ca="1">IF('Banco de Dados'!$AK148&lt;&gt;"-",IF('Banco de Dados'!$AL148="NÃO",IFERROR(VALUE(SUBSTITUTE(_xlfn.TEXTAFTER('Banco de Dados'!$F148,"BRL ",1),".",",")),0),0),0)</f>
        <v>0</v>
      </c>
      <c r="AQ148" s="28">
        <f ca="1">SUM('Banco de Dados'!$AM148:$AP148)</f>
        <v>0</v>
      </c>
      <c r="AR148" s="8"/>
      <c r="AS148" s="8"/>
      <c r="AY148" s="8"/>
    </row>
    <row r="149" spans="1:51">
      <c r="A149" s="5" t="str">
        <v>BV</v>
      </c>
      <c r="B149" s="5" t="str">
        <f ca="1"/>
        <v>BV45594</v>
      </c>
      <c r="C149" s="8" t="str">
        <v>Pedido 146</v>
      </c>
      <c r="D149" s="9">
        <v>45594</v>
      </c>
      <c r="E149" s="9">
        <v>45594</v>
      </c>
      <c r="F149" s="8" t="str">
        <v>PedidoF139</v>
      </c>
      <c r="G149" s="2" t="str">
        <v>CódRastreio139</v>
      </c>
      <c r="H149" s="5">
        <v>1</v>
      </c>
      <c r="I149" s="2" t="str">
        <v>CPF 143</v>
      </c>
      <c r="J149" s="2" t="str">
        <v>Nome 143</v>
      </c>
      <c r="K149" s="8" t="str">
        <v>Tel 143</v>
      </c>
      <c r="L149" s="2" t="str">
        <v>Cep 143</v>
      </c>
      <c r="M149" s="2" t="str">
        <v>Rua 143</v>
      </c>
      <c r="N149" s="2" t="str">
        <v>Comp 143</v>
      </c>
      <c r="O149" s="2" t="str">
        <v>Bomba d'agua</v>
      </c>
      <c r="P149" s="8" t="str">
        <v>DJ-RO5O-43GF</v>
      </c>
      <c r="Q149" s="4">
        <v>45615</v>
      </c>
      <c r="R149" s="109">
        <v>18.2</v>
      </c>
      <c r="S149" s="11">
        <f ca="1"/>
        <v>18.2</v>
      </c>
      <c r="T149" s="28">
        <f ca="1"/>
        <v>2.548</v>
      </c>
      <c r="U149" s="11">
        <f ca="1"/>
        <v>15.65</v>
      </c>
      <c r="V149" s="11">
        <v>4.99</v>
      </c>
      <c r="W149" s="11">
        <f ca="1"/>
        <v>0.39</v>
      </c>
      <c r="X149" s="11">
        <f ca="1"/>
        <v>0.39877104377104378</v>
      </c>
      <c r="Y149" s="11">
        <v>0</v>
      </c>
      <c r="Z149" s="11">
        <f ca="1"/>
        <v>9.8712289562289577</v>
      </c>
      <c r="AA149" s="11">
        <f ca="1"/>
        <v>4.9356144781144788</v>
      </c>
      <c r="AB149" s="4">
        <f ca="1"/>
        <v>45622</v>
      </c>
      <c r="AC149" s="4">
        <v>45622</v>
      </c>
      <c r="AD149" s="9">
        <v>45625</v>
      </c>
      <c r="AE149" s="9">
        <v>45625</v>
      </c>
      <c r="AF149" s="4" t="str">
        <f t="shared" ca="1" si="2"/>
        <v>2024 11</v>
      </c>
      <c r="AG149" s="8" t="str" cm="1">
        <f t="array" ref="AG149">IFERROR(_xlfn.IFS('Banco de Dados'!#REF!="AG. COMPRA","Em processamento",'Banco de Dados'!#REF!="AG. RASTREIO","Em processamento",'Banco de Dados'!$AE149&lt;&gt;"-","Faturado",'Banco de Dados'!$AD149&lt;&gt;"-","Aguardando Pix",'Banco de Dados'!$AC149&lt;&gt;"-","Pendente"),"Aguardando Liberação")</f>
        <v>Aguardando Liberação</v>
      </c>
      <c r="AH149" s="5" t="str">
        <f>IF('Banco de Dados'!$F149="-",_xlfn.CONCAT(PROPER(TEXT(AK149,"aaaa"))," ",PROPER(TEXT(AK149,"mm"))),_xlfn.CONCAT(PROPER(TEXT(E149,"aaaa"))," ",PROPER(TEXT(E149,"mm"))))</f>
        <v>2024 10</v>
      </c>
      <c r="AI149" s="9" t="str">
        <f ca="1">IF('Banco de Dados'!$AK149&lt;&gt;"-","REEMBOLSO",IFERROR(_xlfn.XLOOKUP(G149,Follow[CODRASTREIO],Follow[STATUS]),"-"))</f>
        <v>ENTREGUE</v>
      </c>
      <c r="AJ149" s="9">
        <f ca="1">IF('Banco de Dados'!$AI149="ENTREGUE",_xlfn.XLOOKUP('Banco de Dados'!$G149,Follow[CODRASTREIO],Follow[DATAATUALIZAÇÃO]),"-")</f>
        <v>45600</v>
      </c>
      <c r="AK149" s="9" t="str">
        <f ca="1"/>
        <v>-</v>
      </c>
      <c r="AL149" s="35" t="str">
        <v>NÃO</v>
      </c>
      <c r="AM149" s="109" cm="1">
        <f t="array" aca="1" ref="AM149" ca="1">IF('Banco de Dados'!$AK149&lt;&gt;"-",_xlfn.IFS('Banco de Dados'!$A149="bv",IF('Banco de Dados'!$E149&lt;45641,ROUND(SUM('Banco de Dados'!$R149*_xlfn.XLOOKUP('Banco de Dados'!$P149,Sku!B:B,Sku!#REF!)*20%),2),ROUND(SUM('Banco de Dados'!$R149*_xlfn.XLOOKUP('Banco de Dados'!$P149,Sku!B:B,Sku!H:H)*20%),2)),'Banco de Dados'!$A149="GO",ROUND(_xlfn.XLOOKUP('Banco de Dados'!$P149,Sku!C:C,Sku!H:H),2),'Banco de Dados'!$A149="MEI",ROUND(_xlfn.XLOOKUP('Banco de Dados'!$P149,Sku!D:D,Sku!H:H),2)),0)</f>
        <v>0</v>
      </c>
      <c r="AN149" s="109">
        <f ca="1">IF('Banco de Dados'!$AK149&lt;&gt;"-",IF('Banco de Dados'!$F149&lt;&gt;"-",_xlfn.XLOOKUP(IFERROR(IFERROR(IFERROR(VALUE(SUBSTITUTE(MID(_xlfn.TEXTAFTER('Banco de Dados'!$F149,"Data do Pedido:
",1),1,10),"-","/")),VALUE(SUBSTITUTE(MID(_xlfn.TEXTAFTER('Banco de Dados'!$F149,"Order date:
",1),1,10),"-","/"))),VALUE(SUBSTITUTE(MID(_xlfn.TEXTAFTER('Banco de Dados'!$F149,"Fecha de pedido:
",1),1,10),"-","/"))),"-"),SMS!A:A,SMS!K:K),0),0)</f>
        <v>0</v>
      </c>
      <c r="AO149" s="109">
        <f ca="1">IF('Banco de Dados'!$AK149&lt;&gt;"-",IF('Banco de Dados'!$F149&lt;&gt;"-",IFERROR(_xlfn.XLOOKUP(_xlfn.CONCAT('Banco de Dados'!$A149,IFERROR(IFERROR(VALUE(SUBSTITUTE(MID(_xlfn.TEXTAFTER('Banco de Dados'!$F149,"Data do Pedido:
",1),1,10),"-","/")),VALUE(SUBSTITUTE(MID(_xlfn.TEXTAFTER('Banco de Dados'!$F149,"Order date:
",1),1,10),"-","/"))),0)),ProxyDD[Chave],ProxyDD[Valor por pedido]),PROXY!$P$2),0),0)</f>
        <v>0</v>
      </c>
      <c r="AP149" s="28">
        <f ca="1">IF('Banco de Dados'!$AK149&lt;&gt;"-",IF('Banco de Dados'!$AL149="NÃO",IFERROR(VALUE(SUBSTITUTE(_xlfn.TEXTAFTER('Banco de Dados'!$F149,"BRL ",1),".",",")),0),0),0)</f>
        <v>0</v>
      </c>
      <c r="AQ149" s="28">
        <f ca="1">SUM('Banco de Dados'!$AM149:$AP149)</f>
        <v>0</v>
      </c>
      <c r="AR149" s="8"/>
      <c r="AS149" s="8"/>
      <c r="AY149" s="8"/>
    </row>
    <row r="150" spans="1:51">
      <c r="A150" s="5" t="str">
        <v>BV</v>
      </c>
      <c r="B150" s="5" t="str">
        <f ca="1"/>
        <v>BV45595</v>
      </c>
      <c r="C150" s="8" t="str">
        <v>Pedido 147</v>
      </c>
      <c r="D150" s="9">
        <v>45595</v>
      </c>
      <c r="E150" s="9">
        <v>45595</v>
      </c>
      <c r="F150" s="8" t="str">
        <v>PedidoF140</v>
      </c>
      <c r="G150" s="2" t="str">
        <v>CódRastreio140</v>
      </c>
      <c r="H150" s="5">
        <v>1</v>
      </c>
      <c r="I150" s="3" t="str">
        <v>CPF 144</v>
      </c>
      <c r="J150" s="2" t="str">
        <v>Nome 144</v>
      </c>
      <c r="K150" s="8" t="str">
        <v>Tel 144</v>
      </c>
      <c r="L150" s="2" t="str">
        <v>Cep 144</v>
      </c>
      <c r="M150" s="2" t="str">
        <v>Rua 144</v>
      </c>
      <c r="N150" s="2" t="str">
        <v>Comp 144</v>
      </c>
      <c r="O150" s="2" t="str">
        <v>Balança</v>
      </c>
      <c r="P150" s="8" t="str">
        <v>P4-K63S-8KOM</v>
      </c>
      <c r="Q150" s="4">
        <v>45610</v>
      </c>
      <c r="R150" s="109">
        <v>17.7</v>
      </c>
      <c r="S150" s="11">
        <f ca="1"/>
        <v>17.7</v>
      </c>
      <c r="T150" s="28">
        <f ca="1"/>
        <v>2.3010000000000002</v>
      </c>
      <c r="U150" s="11">
        <f ca="1"/>
        <v>15.4</v>
      </c>
      <c r="V150" s="11">
        <v>9.73</v>
      </c>
      <c r="W150" s="11">
        <f ca="1"/>
        <v>0.35</v>
      </c>
      <c r="X150" s="11">
        <f ca="1"/>
        <v>0.39877104377104378</v>
      </c>
      <c r="Y150" s="11">
        <v>0</v>
      </c>
      <c r="Z150" s="11">
        <f ca="1"/>
        <v>4.9212289562289566</v>
      </c>
      <c r="AA150" s="11">
        <f ca="1"/>
        <v>2.4606144781144783</v>
      </c>
      <c r="AB150" s="4">
        <f ca="1"/>
        <v>45617</v>
      </c>
      <c r="AC150" s="4">
        <v>45617</v>
      </c>
      <c r="AD150" s="9">
        <v>45617</v>
      </c>
      <c r="AE150" s="9">
        <v>45618</v>
      </c>
      <c r="AF150" s="4" t="str">
        <f t="shared" ca="1" si="2"/>
        <v>2024 11</v>
      </c>
      <c r="AG150" s="8" t="str" cm="1">
        <f t="array" ref="AG150">IFERROR(_xlfn.IFS('Banco de Dados'!#REF!="AG. COMPRA","Em processamento",'Banco de Dados'!#REF!="AG. RASTREIO","Em processamento",'Banco de Dados'!$AE150&lt;&gt;"-","Faturado",'Banco de Dados'!$AD150&lt;&gt;"-","Aguardando Pix",'Banco de Dados'!$AC150&lt;&gt;"-","Pendente"),"Aguardando Liberação")</f>
        <v>Aguardando Liberação</v>
      </c>
      <c r="AH150" s="5" t="str">
        <f>IF('Banco de Dados'!$F150="-",_xlfn.CONCAT(PROPER(TEXT(AK150,"aaaa"))," ",PROPER(TEXT(AK150,"mm"))),_xlfn.CONCAT(PROPER(TEXT(E150,"aaaa"))," ",PROPER(TEXT(E150,"mm"))))</f>
        <v>2024 10</v>
      </c>
      <c r="AI150" s="9" t="str">
        <f ca="1">IF('Banco de Dados'!$AK150&lt;&gt;"-","REEMBOLSO",IFERROR(_xlfn.XLOOKUP(G150,Follow[CODRASTREIO],Follow[STATUS]),"-"))</f>
        <v>ENTREGUE</v>
      </c>
      <c r="AJ150" s="9">
        <f ca="1">IF('Banco de Dados'!$AI150="ENTREGUE",_xlfn.XLOOKUP('Banco de Dados'!$G150,Follow[CODRASTREIO],Follow[DATAATUALIZAÇÃO]),"-")</f>
        <v>45600</v>
      </c>
      <c r="AK150" s="9" t="str">
        <f ca="1"/>
        <v>-</v>
      </c>
      <c r="AL150" s="35" t="str">
        <v>NÃO</v>
      </c>
      <c r="AM150" s="109" cm="1">
        <f t="array" aca="1" ref="AM150" ca="1">IF('Banco de Dados'!$AK150&lt;&gt;"-",_xlfn.IFS('Banco de Dados'!$A150="bv",IF('Banco de Dados'!$E150&lt;45641,ROUND(SUM('Banco de Dados'!$R150*_xlfn.XLOOKUP('Banco de Dados'!$P150,Sku!B:B,Sku!#REF!)*20%),2),ROUND(SUM('Banco de Dados'!$R150*_xlfn.XLOOKUP('Banco de Dados'!$P150,Sku!B:B,Sku!H:H)*20%),2)),'Banco de Dados'!$A150="GO",ROUND(_xlfn.XLOOKUP('Banco de Dados'!$P150,Sku!C:C,Sku!H:H),2),'Banco de Dados'!$A150="MEI",ROUND(_xlfn.XLOOKUP('Banco de Dados'!$P150,Sku!D:D,Sku!H:H),2)),0)</f>
        <v>0</v>
      </c>
      <c r="AN150" s="109">
        <f ca="1">IF('Banco de Dados'!$AK150&lt;&gt;"-",IF('Banco de Dados'!$F150&lt;&gt;"-",_xlfn.XLOOKUP(IFERROR(IFERROR(IFERROR(VALUE(SUBSTITUTE(MID(_xlfn.TEXTAFTER('Banco de Dados'!$F150,"Data do Pedido:
",1),1,10),"-","/")),VALUE(SUBSTITUTE(MID(_xlfn.TEXTAFTER('Banco de Dados'!$F150,"Order date:
",1),1,10),"-","/"))),VALUE(SUBSTITUTE(MID(_xlfn.TEXTAFTER('Banco de Dados'!$F150,"Fecha de pedido:
",1),1,10),"-","/"))),"-"),SMS!A:A,SMS!K:K),0),0)</f>
        <v>0</v>
      </c>
      <c r="AO150" s="109">
        <f ca="1">IF('Banco de Dados'!$AK150&lt;&gt;"-",IF('Banco de Dados'!$F150&lt;&gt;"-",IFERROR(_xlfn.XLOOKUP(_xlfn.CONCAT('Banco de Dados'!$A150,IFERROR(IFERROR(VALUE(SUBSTITUTE(MID(_xlfn.TEXTAFTER('Banco de Dados'!$F150,"Data do Pedido:
",1),1,10),"-","/")),VALUE(SUBSTITUTE(MID(_xlfn.TEXTAFTER('Banco de Dados'!$F150,"Order date:
",1),1,10),"-","/"))),0)),ProxyDD[Chave],ProxyDD[Valor por pedido]),PROXY!$P$2),0),0)</f>
        <v>0</v>
      </c>
      <c r="AP150" s="28">
        <f ca="1">IF('Banco de Dados'!$AK150&lt;&gt;"-",IF('Banco de Dados'!$AL150="NÃO",IFERROR(VALUE(SUBSTITUTE(_xlfn.TEXTAFTER('Banco de Dados'!$F150,"BRL ",1),".",",")),0),0),0)</f>
        <v>0</v>
      </c>
      <c r="AQ150" s="28">
        <f ca="1">SUM('Banco de Dados'!$AM150:$AP150)</f>
        <v>0</v>
      </c>
      <c r="AR150" s="8"/>
      <c r="AS150" s="8"/>
      <c r="AY150" s="8"/>
    </row>
    <row r="151" spans="1:51">
      <c r="A151" s="5" t="str">
        <v>BV</v>
      </c>
      <c r="B151" s="5" t="str">
        <f ca="1"/>
        <v>BV45594</v>
      </c>
      <c r="C151" s="8" t="str">
        <v>Pedido 148</v>
      </c>
      <c r="D151" s="9">
        <v>45594</v>
      </c>
      <c r="E151" s="9">
        <v>45594</v>
      </c>
      <c r="F151" s="8" t="str">
        <v>PedidoF141</v>
      </c>
      <c r="G151" s="2" t="str">
        <v>CódRastreio141</v>
      </c>
      <c r="H151" s="5">
        <v>1</v>
      </c>
      <c r="I151" s="2" t="str">
        <v>CPF 145</v>
      </c>
      <c r="J151" s="2" t="str">
        <v>Nome 145</v>
      </c>
      <c r="K151" s="8" t="str">
        <v>Tel 145</v>
      </c>
      <c r="L151" s="2" t="str">
        <v>Cep 145</v>
      </c>
      <c r="M151" s="2" t="str">
        <v>Rua 145</v>
      </c>
      <c r="N151" s="2" t="str">
        <v>Comp 145</v>
      </c>
      <c r="O151" s="2" t="str">
        <v>Balança</v>
      </c>
      <c r="P151" s="8" t="str">
        <v>P4-K63S-8KOM</v>
      </c>
      <c r="Q151" s="4">
        <v>45608</v>
      </c>
      <c r="R151" s="109">
        <v>17.7</v>
      </c>
      <c r="S151" s="11">
        <f ca="1"/>
        <v>17.7</v>
      </c>
      <c r="T151" s="28">
        <f ca="1"/>
        <v>2.3010000000000002</v>
      </c>
      <c r="U151" s="11">
        <f ca="1"/>
        <v>15.4</v>
      </c>
      <c r="V151" s="11">
        <v>9</v>
      </c>
      <c r="W151" s="11">
        <f ca="1"/>
        <v>0.39</v>
      </c>
      <c r="X151" s="11">
        <f ca="1"/>
        <v>0.39877104377104378</v>
      </c>
      <c r="Y151" s="11">
        <v>0</v>
      </c>
      <c r="Z151" s="11">
        <f ca="1"/>
        <v>5.6112289562289561</v>
      </c>
      <c r="AA151" s="11">
        <f ca="1"/>
        <v>2.8056144781144781</v>
      </c>
      <c r="AB151" s="4">
        <f ca="1"/>
        <v>45615</v>
      </c>
      <c r="AC151" s="4">
        <v>45615</v>
      </c>
      <c r="AD151" s="9">
        <v>45617</v>
      </c>
      <c r="AE151" s="9">
        <v>45618</v>
      </c>
      <c r="AF151" s="4" t="str">
        <f t="shared" ca="1" si="2"/>
        <v>2024 11</v>
      </c>
      <c r="AG151" s="8" t="str" cm="1">
        <f t="array" ref="AG151">IFERROR(_xlfn.IFS('Banco de Dados'!#REF!="AG. COMPRA","Em processamento",'Banco de Dados'!#REF!="AG. RASTREIO","Em processamento",'Banco de Dados'!$AE151&lt;&gt;"-","Faturado",'Banco de Dados'!$AD151&lt;&gt;"-","Aguardando Pix",'Banco de Dados'!$AC151&lt;&gt;"-","Pendente"),"Aguardando Liberação")</f>
        <v>Aguardando Liberação</v>
      </c>
      <c r="AH151" s="5" t="str">
        <f>IF('Banco de Dados'!$F151="-",_xlfn.CONCAT(PROPER(TEXT(AK151,"aaaa"))," ",PROPER(TEXT(AK151,"mm"))),_xlfn.CONCAT(PROPER(TEXT(E151,"aaaa"))," ",PROPER(TEXT(E151,"mm"))))</f>
        <v>2024 10</v>
      </c>
      <c r="AI151" s="9" t="str">
        <f ca="1">IF('Banco de Dados'!$AK151&lt;&gt;"-","REEMBOLSO",IFERROR(_xlfn.XLOOKUP(G151,Follow[CODRASTREIO],Follow[STATUS]),"-"))</f>
        <v>ENTREGUE</v>
      </c>
      <c r="AJ151" s="9">
        <f ca="1">IF('Banco de Dados'!$AI151="ENTREGUE",_xlfn.XLOOKUP('Banco de Dados'!$G151,Follow[CODRASTREIO],Follow[DATAATUALIZAÇÃO]),"-")</f>
        <v>45596</v>
      </c>
      <c r="AK151" s="9" t="str">
        <f ca="1"/>
        <v>-</v>
      </c>
      <c r="AL151" s="35" t="str">
        <v>NÃO</v>
      </c>
      <c r="AM151" s="109" cm="1">
        <f t="array" aca="1" ref="AM151" ca="1">IF('Banco de Dados'!$AK151&lt;&gt;"-",_xlfn.IFS('Banco de Dados'!$A151="bv",IF('Banco de Dados'!$E151&lt;45641,ROUND(SUM('Banco de Dados'!$R151*_xlfn.XLOOKUP('Banco de Dados'!$P151,Sku!B:B,Sku!#REF!)*20%),2),ROUND(SUM('Banco de Dados'!$R151*_xlfn.XLOOKUP('Banco de Dados'!$P151,Sku!B:B,Sku!H:H)*20%),2)),'Banco de Dados'!$A151="GO",ROUND(_xlfn.XLOOKUP('Banco de Dados'!$P151,Sku!C:C,Sku!H:H),2),'Banco de Dados'!$A151="MEI",ROUND(_xlfn.XLOOKUP('Banco de Dados'!$P151,Sku!D:D,Sku!H:H),2)),0)</f>
        <v>0</v>
      </c>
      <c r="AN151" s="109">
        <f ca="1">IF('Banco de Dados'!$AK151&lt;&gt;"-",IF('Banco de Dados'!$F151&lt;&gt;"-",_xlfn.XLOOKUP(IFERROR(IFERROR(IFERROR(VALUE(SUBSTITUTE(MID(_xlfn.TEXTAFTER('Banco de Dados'!$F151,"Data do Pedido:
",1),1,10),"-","/")),VALUE(SUBSTITUTE(MID(_xlfn.TEXTAFTER('Banco de Dados'!$F151,"Order date:
",1),1,10),"-","/"))),VALUE(SUBSTITUTE(MID(_xlfn.TEXTAFTER('Banco de Dados'!$F151,"Fecha de pedido:
",1),1,10),"-","/"))),"-"),SMS!A:A,SMS!K:K),0),0)</f>
        <v>0</v>
      </c>
      <c r="AO151" s="109">
        <f ca="1">IF('Banco de Dados'!$AK151&lt;&gt;"-",IF('Banco de Dados'!$F151&lt;&gt;"-",IFERROR(_xlfn.XLOOKUP(_xlfn.CONCAT('Banco de Dados'!$A151,IFERROR(IFERROR(VALUE(SUBSTITUTE(MID(_xlfn.TEXTAFTER('Banco de Dados'!$F151,"Data do Pedido:
",1),1,10),"-","/")),VALUE(SUBSTITUTE(MID(_xlfn.TEXTAFTER('Banco de Dados'!$F151,"Order date:
",1),1,10),"-","/"))),0)),ProxyDD[Chave],ProxyDD[Valor por pedido]),PROXY!$P$2),0),0)</f>
        <v>0</v>
      </c>
      <c r="AP151" s="28">
        <f ca="1">IF('Banco de Dados'!$AK151&lt;&gt;"-",IF('Banco de Dados'!$AL151="NÃO",IFERROR(VALUE(SUBSTITUTE(_xlfn.TEXTAFTER('Banco de Dados'!$F151,"BRL ",1),".",",")),0),0),0)</f>
        <v>0</v>
      </c>
      <c r="AQ151" s="28">
        <f ca="1">SUM('Banco de Dados'!$AM151:$AP151)</f>
        <v>0</v>
      </c>
      <c r="AR151" s="8"/>
      <c r="AS151" s="8"/>
      <c r="AY151" s="8"/>
    </row>
    <row r="152" spans="1:51">
      <c r="A152" s="5" t="str">
        <v>BV</v>
      </c>
      <c r="B152" s="5" t="str">
        <f ca="1"/>
        <v>BV45594</v>
      </c>
      <c r="C152" s="8" t="str">
        <v>Pedido 149</v>
      </c>
      <c r="D152" s="9">
        <v>45594</v>
      </c>
      <c r="E152" s="9">
        <v>45594</v>
      </c>
      <c r="F152" s="8" t="str">
        <v>PedidoF142</v>
      </c>
      <c r="G152" s="2" t="str">
        <v>CódRastreio142</v>
      </c>
      <c r="H152" s="5">
        <v>1</v>
      </c>
      <c r="I152" s="2" t="str">
        <v>CPF 146</v>
      </c>
      <c r="J152" s="2" t="str">
        <v>Nome 146</v>
      </c>
      <c r="K152" s="8" t="str">
        <v>Tel 146</v>
      </c>
      <c r="L152" s="2" t="str">
        <v>Cep 146</v>
      </c>
      <c r="M152" s="2" t="str">
        <v>Rua 146</v>
      </c>
      <c r="N152" s="2" t="str">
        <v>Comp 146</v>
      </c>
      <c r="O152" s="2" t="str">
        <v>Balança</v>
      </c>
      <c r="P152" s="8" t="str">
        <v>P4-K63S-8KOM</v>
      </c>
      <c r="Q152" s="4">
        <v>45608</v>
      </c>
      <c r="R152" s="109">
        <v>17.7</v>
      </c>
      <c r="S152" s="11">
        <f ca="1"/>
        <v>17.7</v>
      </c>
      <c r="T152" s="28">
        <f ca="1"/>
        <v>2.3010000000000002</v>
      </c>
      <c r="U152" s="11">
        <f ca="1"/>
        <v>15.4</v>
      </c>
      <c r="V152" s="11">
        <v>9</v>
      </c>
      <c r="W152" s="11">
        <f ca="1"/>
        <v>0.39</v>
      </c>
      <c r="X152" s="11">
        <f ca="1"/>
        <v>0.39877104377104378</v>
      </c>
      <c r="Y152" s="11">
        <v>0</v>
      </c>
      <c r="Z152" s="11">
        <f ca="1"/>
        <v>5.6112289562289561</v>
      </c>
      <c r="AA152" s="11">
        <f ca="1"/>
        <v>2.8056144781144781</v>
      </c>
      <c r="AB152" s="4">
        <f ca="1"/>
        <v>45615</v>
      </c>
      <c r="AC152" s="4">
        <v>45615</v>
      </c>
      <c r="AD152" s="9">
        <v>45617</v>
      </c>
      <c r="AE152" s="9">
        <v>45618</v>
      </c>
      <c r="AF152" s="4" t="str">
        <f t="shared" ca="1" si="2"/>
        <v>2024 11</v>
      </c>
      <c r="AG152" s="8" t="str" cm="1">
        <f t="array" ref="AG152">IFERROR(_xlfn.IFS('Banco de Dados'!#REF!="AG. COMPRA","Em processamento",'Banco de Dados'!#REF!="AG. RASTREIO","Em processamento",'Banco de Dados'!$AE152&lt;&gt;"-","Faturado",'Banco de Dados'!$AD152&lt;&gt;"-","Aguardando Pix",'Banco de Dados'!$AC152&lt;&gt;"-","Pendente"),"Aguardando Liberação")</f>
        <v>Aguardando Liberação</v>
      </c>
      <c r="AH152" s="5" t="str">
        <f>IF('Banco de Dados'!$F152="-",_xlfn.CONCAT(PROPER(TEXT(AK152,"aaaa"))," ",PROPER(TEXT(AK152,"mm"))),_xlfn.CONCAT(PROPER(TEXT(E152,"aaaa"))," ",PROPER(TEXT(E152,"mm"))))</f>
        <v>2024 10</v>
      </c>
      <c r="AI152" s="9" t="str">
        <f ca="1">IF('Banco de Dados'!$AK152&lt;&gt;"-","REEMBOLSO",IFERROR(_xlfn.XLOOKUP(G152,Follow[CODRASTREIO],Follow[STATUS]),"-"))</f>
        <v>ENTREGUE</v>
      </c>
      <c r="AJ152" s="9">
        <f ca="1">IF('Banco de Dados'!$AI152="ENTREGUE",_xlfn.XLOOKUP('Banco de Dados'!$G152,Follow[CODRASTREIO],Follow[DATAATUALIZAÇÃO]),"-")</f>
        <v>45596</v>
      </c>
      <c r="AK152" s="9" t="str">
        <f ca="1"/>
        <v>-</v>
      </c>
      <c r="AL152" s="35" t="str">
        <v>NÃO</v>
      </c>
      <c r="AM152" s="109" cm="1">
        <f t="array" aca="1" ref="AM152" ca="1">IF('Banco de Dados'!$AK152&lt;&gt;"-",_xlfn.IFS('Banco de Dados'!$A152="bv",IF('Banco de Dados'!$E152&lt;45641,ROUND(SUM('Banco de Dados'!$R152*_xlfn.XLOOKUP('Banco de Dados'!$P152,Sku!B:B,Sku!#REF!)*20%),2),ROUND(SUM('Banco de Dados'!$R152*_xlfn.XLOOKUP('Banco de Dados'!$P152,Sku!B:B,Sku!H:H)*20%),2)),'Banco de Dados'!$A152="GO",ROUND(_xlfn.XLOOKUP('Banco de Dados'!$P152,Sku!C:C,Sku!H:H),2),'Banco de Dados'!$A152="MEI",ROUND(_xlfn.XLOOKUP('Banco de Dados'!$P152,Sku!D:D,Sku!H:H),2)),0)</f>
        <v>0</v>
      </c>
      <c r="AN152" s="109">
        <f ca="1">IF('Banco de Dados'!$AK152&lt;&gt;"-",IF('Banco de Dados'!$F152&lt;&gt;"-",_xlfn.XLOOKUP(IFERROR(IFERROR(IFERROR(VALUE(SUBSTITUTE(MID(_xlfn.TEXTAFTER('Banco de Dados'!$F152,"Data do Pedido:
",1),1,10),"-","/")),VALUE(SUBSTITUTE(MID(_xlfn.TEXTAFTER('Banco de Dados'!$F152,"Order date:
",1),1,10),"-","/"))),VALUE(SUBSTITUTE(MID(_xlfn.TEXTAFTER('Banco de Dados'!$F152,"Fecha de pedido:
",1),1,10),"-","/"))),"-"),SMS!A:A,SMS!K:K),0),0)</f>
        <v>0</v>
      </c>
      <c r="AO152" s="109">
        <f ca="1">IF('Banco de Dados'!$AK152&lt;&gt;"-",IF('Banco de Dados'!$F152&lt;&gt;"-",IFERROR(_xlfn.XLOOKUP(_xlfn.CONCAT('Banco de Dados'!$A152,IFERROR(IFERROR(VALUE(SUBSTITUTE(MID(_xlfn.TEXTAFTER('Banco de Dados'!$F152,"Data do Pedido:
",1),1,10),"-","/")),VALUE(SUBSTITUTE(MID(_xlfn.TEXTAFTER('Banco de Dados'!$F152,"Order date:
",1),1,10),"-","/"))),0)),ProxyDD[Chave],ProxyDD[Valor por pedido]),PROXY!$P$2),0),0)</f>
        <v>0</v>
      </c>
      <c r="AP152" s="28">
        <f ca="1">IF('Banco de Dados'!$AK152&lt;&gt;"-",IF('Banco de Dados'!$AL152="NÃO",IFERROR(VALUE(SUBSTITUTE(_xlfn.TEXTAFTER('Banco de Dados'!$F152,"BRL ",1),".",",")),0),0),0)</f>
        <v>0</v>
      </c>
      <c r="AQ152" s="28">
        <f ca="1">SUM('Banco de Dados'!$AM152:$AP152)</f>
        <v>0</v>
      </c>
      <c r="AR152" s="8"/>
      <c r="AS152" s="8"/>
      <c r="AY152" s="8"/>
    </row>
    <row r="153" spans="1:51">
      <c r="A153" s="5" t="str">
        <v>BV</v>
      </c>
      <c r="B153" s="5" t="str">
        <f ca="1"/>
        <v>BV45594</v>
      </c>
      <c r="C153" s="8" t="str">
        <v>Pedido 150</v>
      </c>
      <c r="D153" s="9">
        <v>45594</v>
      </c>
      <c r="E153" s="9">
        <v>45594</v>
      </c>
      <c r="F153" s="8" t="str">
        <v>PedidoF143</v>
      </c>
      <c r="G153" s="2" t="str">
        <v>CódRastreio143</v>
      </c>
      <c r="H153" s="5">
        <v>1</v>
      </c>
      <c r="I153" s="3" t="str">
        <v>CPF 147</v>
      </c>
      <c r="J153" s="2" t="str">
        <v>Nome 147</v>
      </c>
      <c r="K153" s="8" t="str">
        <v>Tel 147</v>
      </c>
      <c r="L153" s="2" t="str">
        <v>Cep 147</v>
      </c>
      <c r="M153" s="2" t="str">
        <v>Rua 147</v>
      </c>
      <c r="N153" s="2" t="str">
        <v>Comp 147</v>
      </c>
      <c r="O153" s="2" t="str">
        <v>Suporte de Celular Preto</v>
      </c>
      <c r="P153" s="8" t="str">
        <v>9G-BN48-QAPH</v>
      </c>
      <c r="Q153" s="4">
        <v>45619</v>
      </c>
      <c r="R153" s="109">
        <v>15.99</v>
      </c>
      <c r="S153" s="11">
        <f ca="1"/>
        <v>15.99</v>
      </c>
      <c r="T153" s="28">
        <f ca="1"/>
        <v>2.3984999999999999</v>
      </c>
      <c r="U153" s="11">
        <f ca="1"/>
        <v>13.59</v>
      </c>
      <c r="V153" s="11">
        <v>4.99</v>
      </c>
      <c r="W153" s="11">
        <f ca="1"/>
        <v>0.39</v>
      </c>
      <c r="X153" s="11">
        <f ca="1"/>
        <v>0.39877104377104378</v>
      </c>
      <c r="Y153" s="11">
        <v>0</v>
      </c>
      <c r="Z153" s="11">
        <f ca="1"/>
        <v>7.8112289562289563</v>
      </c>
      <c r="AA153" s="11">
        <f ca="1"/>
        <v>3.9056144781144781</v>
      </c>
      <c r="AB153" s="4">
        <f ca="1"/>
        <v>45626</v>
      </c>
      <c r="AC153" s="4">
        <v>45626</v>
      </c>
      <c r="AD153" s="9">
        <v>45637</v>
      </c>
      <c r="AE153" s="9">
        <v>45642</v>
      </c>
      <c r="AF153" s="4" t="str">
        <f t="shared" ca="1" si="2"/>
        <v>2024 11</v>
      </c>
      <c r="AG153" s="8" t="str" cm="1">
        <f t="array" ref="AG153">IFERROR(_xlfn.IFS('Banco de Dados'!#REF!="AG. COMPRA","Em processamento",'Banco de Dados'!#REF!="AG. RASTREIO","Em processamento",'Banco de Dados'!$AE153&lt;&gt;"-","Faturado",'Banco de Dados'!$AD153&lt;&gt;"-","Aguardando Pix",'Banco de Dados'!$AC153&lt;&gt;"-","Pendente"),"Aguardando Liberação")</f>
        <v>Aguardando Liberação</v>
      </c>
      <c r="AH153" s="5" t="str">
        <f>IF('Banco de Dados'!$F153="-",_xlfn.CONCAT(PROPER(TEXT(AK153,"aaaa"))," ",PROPER(TEXT(AK153,"mm"))),_xlfn.CONCAT(PROPER(TEXT(E153,"aaaa"))," ",PROPER(TEXT(E153,"mm"))))</f>
        <v>2024 10</v>
      </c>
      <c r="AI153" s="9" t="str">
        <f ca="1">IF('Banco de Dados'!$AK153&lt;&gt;"-","REEMBOLSO",IFERROR(_xlfn.XLOOKUP(G153,Follow[CODRASTREIO],Follow[STATUS]),"-"))</f>
        <v>ENTREGUE</v>
      </c>
      <c r="AJ153" s="9">
        <f ca="1">IF('Banco de Dados'!$AI153="ENTREGUE",_xlfn.XLOOKUP('Banco de Dados'!$G153,Follow[CODRASTREIO],Follow[DATAATUALIZAÇÃO]),"-")</f>
        <v>45603</v>
      </c>
      <c r="AK153" s="9" t="str">
        <f ca="1"/>
        <v>-</v>
      </c>
      <c r="AL153" s="35" t="str">
        <v>NÃO</v>
      </c>
      <c r="AM153" s="109" cm="1">
        <f t="array" aca="1" ref="AM153" ca="1">IF('Banco de Dados'!$AK153&lt;&gt;"-",_xlfn.IFS('Banco de Dados'!$A153="bv",IF('Banco de Dados'!$E153&lt;45641,ROUND(SUM('Banco de Dados'!$R153*_xlfn.XLOOKUP('Banco de Dados'!$P153,Sku!B:B,Sku!#REF!)*20%),2),ROUND(SUM('Banco de Dados'!$R153*_xlfn.XLOOKUP('Banco de Dados'!$P153,Sku!B:B,Sku!H:H)*20%),2)),'Banco de Dados'!$A153="GO",ROUND(_xlfn.XLOOKUP('Banco de Dados'!$P153,Sku!C:C,Sku!H:H),2),'Banco de Dados'!$A153="MEI",ROUND(_xlfn.XLOOKUP('Banco de Dados'!$P153,Sku!D:D,Sku!H:H),2)),0)</f>
        <v>0</v>
      </c>
      <c r="AN153" s="109">
        <f ca="1">IF('Banco de Dados'!$AK153&lt;&gt;"-",IF('Banco de Dados'!$F153&lt;&gt;"-",_xlfn.XLOOKUP(IFERROR(IFERROR(IFERROR(VALUE(SUBSTITUTE(MID(_xlfn.TEXTAFTER('Banco de Dados'!$F153,"Data do Pedido:
",1),1,10),"-","/")),VALUE(SUBSTITUTE(MID(_xlfn.TEXTAFTER('Banco de Dados'!$F153,"Order date:
",1),1,10),"-","/"))),VALUE(SUBSTITUTE(MID(_xlfn.TEXTAFTER('Banco de Dados'!$F153,"Fecha de pedido:
",1),1,10),"-","/"))),"-"),SMS!A:A,SMS!K:K),0),0)</f>
        <v>0</v>
      </c>
      <c r="AO153" s="109">
        <f ca="1">IF('Banco de Dados'!$AK153&lt;&gt;"-",IF('Banco de Dados'!$F153&lt;&gt;"-",IFERROR(_xlfn.XLOOKUP(_xlfn.CONCAT('Banco de Dados'!$A153,IFERROR(IFERROR(VALUE(SUBSTITUTE(MID(_xlfn.TEXTAFTER('Banco de Dados'!$F153,"Data do Pedido:
",1),1,10),"-","/")),VALUE(SUBSTITUTE(MID(_xlfn.TEXTAFTER('Banco de Dados'!$F153,"Order date:
",1),1,10),"-","/"))),0)),ProxyDD[Chave],ProxyDD[Valor por pedido]),PROXY!$P$2),0),0)</f>
        <v>0</v>
      </c>
      <c r="AP153" s="28">
        <f ca="1">IF('Banco de Dados'!$AK153&lt;&gt;"-",IF('Banco de Dados'!$AL153="NÃO",IFERROR(VALUE(SUBSTITUTE(_xlfn.TEXTAFTER('Banco de Dados'!$F153,"BRL ",1),".",",")),0),0),0)</f>
        <v>0</v>
      </c>
      <c r="AQ153" s="28">
        <f ca="1">SUM('Banco de Dados'!$AM153:$AP153)</f>
        <v>0</v>
      </c>
      <c r="AR153" s="8"/>
      <c r="AS153" s="8"/>
      <c r="AY153" s="8"/>
    </row>
    <row r="154" spans="1:51">
      <c r="A154" s="5" t="str">
        <v>BV</v>
      </c>
      <c r="B154" s="5" t="str">
        <f ca="1"/>
        <v>BV45594</v>
      </c>
      <c r="C154" s="8" t="str">
        <v>Pedido 151</v>
      </c>
      <c r="D154" s="9">
        <v>45594</v>
      </c>
      <c r="E154" s="9">
        <v>45594</v>
      </c>
      <c r="F154" s="8" t="str">
        <v>PedidoF144</v>
      </c>
      <c r="G154" s="2" t="str">
        <v>CódRastreio144</v>
      </c>
      <c r="H154" s="5">
        <v>1</v>
      </c>
      <c r="I154" s="3" t="str">
        <v>CPF 148</v>
      </c>
      <c r="J154" s="2" t="str">
        <v>Nome 148</v>
      </c>
      <c r="K154" s="8" t="str">
        <v>Tel 148</v>
      </c>
      <c r="L154" s="2" t="str">
        <v>Cep 148</v>
      </c>
      <c r="M154" s="2" t="str">
        <v>Rua 148</v>
      </c>
      <c r="N154" s="2" t="str">
        <v>Comp 148</v>
      </c>
      <c r="O154" s="2" t="str">
        <v>Bomba d'agua</v>
      </c>
      <c r="P154" s="8" t="str">
        <v>DJ-RO5O-43GF</v>
      </c>
      <c r="Q154" s="4">
        <v>45619</v>
      </c>
      <c r="R154" s="109">
        <v>18.2</v>
      </c>
      <c r="S154" s="11">
        <f ca="1"/>
        <v>18.2</v>
      </c>
      <c r="T154" s="28">
        <f ca="1"/>
        <v>2.548</v>
      </c>
      <c r="U154" s="11">
        <f ca="1"/>
        <v>15.65</v>
      </c>
      <c r="V154" s="11">
        <v>4.99</v>
      </c>
      <c r="W154" s="11">
        <f ca="1"/>
        <v>0.39</v>
      </c>
      <c r="X154" s="11">
        <f ca="1"/>
        <v>0.39877104377104378</v>
      </c>
      <c r="Y154" s="11">
        <v>0</v>
      </c>
      <c r="Z154" s="11">
        <f ca="1"/>
        <v>9.8712289562289577</v>
      </c>
      <c r="AA154" s="11">
        <f ca="1"/>
        <v>4.9356144781144788</v>
      </c>
      <c r="AB154" s="4">
        <f ca="1"/>
        <v>45626</v>
      </c>
      <c r="AC154" s="4">
        <v>45626</v>
      </c>
      <c r="AD154" s="9">
        <v>45637</v>
      </c>
      <c r="AE154" s="9">
        <v>45642</v>
      </c>
      <c r="AF154" s="4" t="str">
        <f t="shared" ca="1" si="2"/>
        <v>2024 11</v>
      </c>
      <c r="AG154" s="8" t="str" cm="1">
        <f t="array" ref="AG154">IFERROR(_xlfn.IFS('Banco de Dados'!#REF!="AG. COMPRA","Em processamento",'Banco de Dados'!#REF!="AG. RASTREIO","Em processamento",'Banco de Dados'!$AE154&lt;&gt;"-","Faturado",'Banco de Dados'!$AD154&lt;&gt;"-","Aguardando Pix",'Banco de Dados'!$AC154&lt;&gt;"-","Pendente"),"Aguardando Liberação")</f>
        <v>Aguardando Liberação</v>
      </c>
      <c r="AH154" s="5" t="str">
        <f>IF('Banco de Dados'!$F154="-",_xlfn.CONCAT(PROPER(TEXT(AK154,"aaaa"))," ",PROPER(TEXT(AK154,"mm"))),_xlfn.CONCAT(PROPER(TEXT(E154,"aaaa"))," ",PROPER(TEXT(E154,"mm"))))</f>
        <v>2024 10</v>
      </c>
      <c r="AI154" s="9" t="str">
        <f ca="1">IF('Banco de Dados'!$AK154&lt;&gt;"-","REEMBOLSO",IFERROR(_xlfn.XLOOKUP(G154,Follow[CODRASTREIO],Follow[STATUS]),"-"))</f>
        <v>ENTREGUE</v>
      </c>
      <c r="AJ154" s="9">
        <f ca="1">IF('Banco de Dados'!$AI154="ENTREGUE",_xlfn.XLOOKUP('Banco de Dados'!$G154,Follow[CODRASTREIO],Follow[DATAATUALIZAÇÃO]),"-")</f>
        <v>45602</v>
      </c>
      <c r="AK154" s="9" t="str">
        <f ca="1"/>
        <v>-</v>
      </c>
      <c r="AL154" s="35" t="str">
        <v>NÃO</v>
      </c>
      <c r="AM154" s="109" cm="1">
        <f t="array" aca="1" ref="AM154" ca="1">IF('Banco de Dados'!$AK154&lt;&gt;"-",_xlfn.IFS('Banco de Dados'!$A154="bv",IF('Banco de Dados'!$E154&lt;45641,ROUND(SUM('Banco de Dados'!$R154*_xlfn.XLOOKUP('Banco de Dados'!$P154,Sku!B:B,Sku!#REF!)*20%),2),ROUND(SUM('Banco de Dados'!$R154*_xlfn.XLOOKUP('Banco de Dados'!$P154,Sku!B:B,Sku!H:H)*20%),2)),'Banco de Dados'!$A154="GO",ROUND(_xlfn.XLOOKUP('Banco de Dados'!$P154,Sku!C:C,Sku!H:H),2),'Banco de Dados'!$A154="MEI",ROUND(_xlfn.XLOOKUP('Banco de Dados'!$P154,Sku!D:D,Sku!H:H),2)),0)</f>
        <v>0</v>
      </c>
      <c r="AN154" s="109">
        <f ca="1">IF('Banco de Dados'!$AK154&lt;&gt;"-",IF('Banco de Dados'!$F154&lt;&gt;"-",_xlfn.XLOOKUP(IFERROR(IFERROR(IFERROR(VALUE(SUBSTITUTE(MID(_xlfn.TEXTAFTER('Banco de Dados'!$F154,"Data do Pedido:
",1),1,10),"-","/")),VALUE(SUBSTITUTE(MID(_xlfn.TEXTAFTER('Banco de Dados'!$F154,"Order date:
",1),1,10),"-","/"))),VALUE(SUBSTITUTE(MID(_xlfn.TEXTAFTER('Banco de Dados'!$F154,"Fecha de pedido:
",1),1,10),"-","/"))),"-"),SMS!A:A,SMS!K:K),0),0)</f>
        <v>0</v>
      </c>
      <c r="AO154" s="109">
        <f ca="1">IF('Banco de Dados'!$AK154&lt;&gt;"-",IF('Banco de Dados'!$F154&lt;&gt;"-",IFERROR(_xlfn.XLOOKUP(_xlfn.CONCAT('Banco de Dados'!$A154,IFERROR(IFERROR(VALUE(SUBSTITUTE(MID(_xlfn.TEXTAFTER('Banco de Dados'!$F154,"Data do Pedido:
",1),1,10),"-","/")),VALUE(SUBSTITUTE(MID(_xlfn.TEXTAFTER('Banco de Dados'!$F154,"Order date:
",1),1,10),"-","/"))),0)),ProxyDD[Chave],ProxyDD[Valor por pedido]),PROXY!$P$2),0),0)</f>
        <v>0</v>
      </c>
      <c r="AP154" s="28">
        <f ca="1">IF('Banco de Dados'!$AK154&lt;&gt;"-",IF('Banco de Dados'!$AL154="NÃO",IFERROR(VALUE(SUBSTITUTE(_xlfn.TEXTAFTER('Banco de Dados'!$F154,"BRL ",1),".",",")),0),0),0)</f>
        <v>0</v>
      </c>
      <c r="AQ154" s="28">
        <f ca="1">SUM('Banco de Dados'!$AM154:$AP154)</f>
        <v>0</v>
      </c>
      <c r="AR154" s="8"/>
      <c r="AS154" s="8"/>
      <c r="AY154" s="8"/>
    </row>
    <row r="155" spans="1:51">
      <c r="A155" s="5" t="str">
        <v>BV</v>
      </c>
      <c r="B155" s="5" t="str">
        <f ca="1"/>
        <v>BV45594</v>
      </c>
      <c r="C155" s="8" t="str">
        <v>Pedido 152</v>
      </c>
      <c r="D155" s="9">
        <v>45594</v>
      </c>
      <c r="E155" s="9">
        <v>45594</v>
      </c>
      <c r="F155" s="8" t="str">
        <v>PedidoF145</v>
      </c>
      <c r="G155" s="2" t="str">
        <v>CódRastreio145</v>
      </c>
      <c r="H155" s="5">
        <v>1</v>
      </c>
      <c r="I155" s="2" t="str">
        <v>CPF 149</v>
      </c>
      <c r="J155" s="2" t="str">
        <v>Nome 149</v>
      </c>
      <c r="K155" s="8" t="str">
        <v>Tel 149</v>
      </c>
      <c r="L155" s="2" t="str">
        <v>Cep 149</v>
      </c>
      <c r="M155" s="2" t="str">
        <v>Rua 149</v>
      </c>
      <c r="N155" s="2" t="str">
        <v>Comp 149</v>
      </c>
      <c r="O155" s="2" t="str">
        <v>Balança</v>
      </c>
      <c r="P155" s="8" t="str">
        <v>P4-K63S-8KOM</v>
      </c>
      <c r="Q155" s="4">
        <v>45608</v>
      </c>
      <c r="R155" s="109">
        <v>17.7</v>
      </c>
      <c r="S155" s="11">
        <f ca="1"/>
        <v>17.7</v>
      </c>
      <c r="T155" s="28">
        <f ca="1"/>
        <v>2.3010000000000002</v>
      </c>
      <c r="U155" s="11">
        <f ca="1"/>
        <v>15.4</v>
      </c>
      <c r="V155" s="11">
        <v>9</v>
      </c>
      <c r="W155" s="11">
        <f ca="1"/>
        <v>0.39</v>
      </c>
      <c r="X155" s="11">
        <f ca="1"/>
        <v>0.39877104377104378</v>
      </c>
      <c r="Y155" s="11">
        <v>0</v>
      </c>
      <c r="Z155" s="11">
        <f ca="1"/>
        <v>5.6112289562289561</v>
      </c>
      <c r="AA155" s="11">
        <f ca="1"/>
        <v>2.8056144781144781</v>
      </c>
      <c r="AB155" s="4">
        <f ca="1"/>
        <v>45615</v>
      </c>
      <c r="AC155" s="4">
        <v>45615</v>
      </c>
      <c r="AD155" s="9">
        <v>45617</v>
      </c>
      <c r="AE155" s="9">
        <v>45618</v>
      </c>
      <c r="AF155" s="4" t="str">
        <f t="shared" ca="1" si="2"/>
        <v>2024 11</v>
      </c>
      <c r="AG155" s="8" t="str" cm="1">
        <f t="array" ref="AG155">IFERROR(_xlfn.IFS('Banco de Dados'!#REF!="AG. COMPRA","Em processamento",'Banco de Dados'!#REF!="AG. RASTREIO","Em processamento",'Banco de Dados'!$AE155&lt;&gt;"-","Faturado",'Banco de Dados'!$AD155&lt;&gt;"-","Aguardando Pix",'Banco de Dados'!$AC155&lt;&gt;"-","Pendente"),"Aguardando Liberação")</f>
        <v>Aguardando Liberação</v>
      </c>
      <c r="AH155" s="5" t="str">
        <f>IF('Banco de Dados'!$F155="-",_xlfn.CONCAT(PROPER(TEXT(AK155,"aaaa"))," ",PROPER(TEXT(AK155,"mm"))),_xlfn.CONCAT(PROPER(TEXT(E155,"aaaa"))," ",PROPER(TEXT(E155,"mm"))))</f>
        <v>2024 10</v>
      </c>
      <c r="AI155" s="9" t="str">
        <f ca="1">IF('Banco de Dados'!$AK155&lt;&gt;"-","REEMBOLSO",IFERROR(_xlfn.XLOOKUP(G155,Follow[CODRASTREIO],Follow[STATUS]),"-"))</f>
        <v>ENTREGUE</v>
      </c>
      <c r="AJ155" s="9">
        <f ca="1">IF('Banco de Dados'!$AI155="ENTREGUE",_xlfn.XLOOKUP('Banco de Dados'!$G155,Follow[CODRASTREIO],Follow[DATAATUALIZAÇÃO]),"-")</f>
        <v>45597</v>
      </c>
      <c r="AK155" s="9" t="str">
        <f ca="1"/>
        <v>-</v>
      </c>
      <c r="AL155" s="35" t="str">
        <v>NÃO</v>
      </c>
      <c r="AM155" s="109" cm="1">
        <f t="array" aca="1" ref="AM155" ca="1">IF('Banco de Dados'!$AK155&lt;&gt;"-",_xlfn.IFS('Banco de Dados'!$A155="bv",IF('Banco de Dados'!$E155&lt;45641,ROUND(SUM('Banco de Dados'!$R155*_xlfn.XLOOKUP('Banco de Dados'!$P155,Sku!B:B,Sku!#REF!)*20%),2),ROUND(SUM('Banco de Dados'!$R155*_xlfn.XLOOKUP('Banco de Dados'!$P155,Sku!B:B,Sku!H:H)*20%),2)),'Banco de Dados'!$A155="GO",ROUND(_xlfn.XLOOKUP('Banco de Dados'!$P155,Sku!C:C,Sku!H:H),2),'Banco de Dados'!$A155="MEI",ROUND(_xlfn.XLOOKUP('Banco de Dados'!$P155,Sku!D:D,Sku!H:H),2)),0)</f>
        <v>0</v>
      </c>
      <c r="AN155" s="109">
        <f ca="1">IF('Banco de Dados'!$AK155&lt;&gt;"-",IF('Banco de Dados'!$F155&lt;&gt;"-",_xlfn.XLOOKUP(IFERROR(IFERROR(IFERROR(VALUE(SUBSTITUTE(MID(_xlfn.TEXTAFTER('Banco de Dados'!$F155,"Data do Pedido:
",1),1,10),"-","/")),VALUE(SUBSTITUTE(MID(_xlfn.TEXTAFTER('Banco de Dados'!$F155,"Order date:
",1),1,10),"-","/"))),VALUE(SUBSTITUTE(MID(_xlfn.TEXTAFTER('Banco de Dados'!$F155,"Fecha de pedido:
",1),1,10),"-","/"))),"-"),SMS!A:A,SMS!K:K),0),0)</f>
        <v>0</v>
      </c>
      <c r="AO155" s="109">
        <f ca="1">IF('Banco de Dados'!$AK155&lt;&gt;"-",IF('Banco de Dados'!$F155&lt;&gt;"-",IFERROR(_xlfn.XLOOKUP(_xlfn.CONCAT('Banco de Dados'!$A155,IFERROR(IFERROR(VALUE(SUBSTITUTE(MID(_xlfn.TEXTAFTER('Banco de Dados'!$F155,"Data do Pedido:
",1),1,10),"-","/")),VALUE(SUBSTITUTE(MID(_xlfn.TEXTAFTER('Banco de Dados'!$F155,"Order date:
",1),1,10),"-","/"))),0)),ProxyDD[Chave],ProxyDD[Valor por pedido]),PROXY!$P$2),0),0)</f>
        <v>0</v>
      </c>
      <c r="AP155" s="28">
        <f ca="1">IF('Banco de Dados'!$AK155&lt;&gt;"-",IF('Banco de Dados'!$AL155="NÃO",IFERROR(VALUE(SUBSTITUTE(_xlfn.TEXTAFTER('Banco de Dados'!$F155,"BRL ",1),".",",")),0),0),0)</f>
        <v>0</v>
      </c>
      <c r="AQ155" s="28">
        <f ca="1">SUM('Banco de Dados'!$AM155:$AP155)</f>
        <v>0</v>
      </c>
      <c r="AR155" s="8"/>
      <c r="AS155" s="8"/>
      <c r="AY155" s="8"/>
    </row>
    <row r="156" spans="1:51">
      <c r="A156" s="5" t="str">
        <v>BV</v>
      </c>
      <c r="B156" s="5" t="str">
        <f ca="1"/>
        <v>BV45594</v>
      </c>
      <c r="C156" s="8" t="str">
        <v>Pedido 153</v>
      </c>
      <c r="D156" s="9">
        <v>45594</v>
      </c>
      <c r="E156" s="9">
        <v>45594</v>
      </c>
      <c r="F156" s="8" t="str">
        <v>PedidoF146</v>
      </c>
      <c r="G156" s="2" t="str">
        <v>CódRastreio146</v>
      </c>
      <c r="H156" s="5">
        <v>1</v>
      </c>
      <c r="I156" s="2" t="str">
        <v>CPF 150</v>
      </c>
      <c r="J156" s="2" t="str">
        <v>Nome 150</v>
      </c>
      <c r="K156" s="8" t="str">
        <v>Tel 150</v>
      </c>
      <c r="L156" s="2" t="str">
        <v>Cep 150</v>
      </c>
      <c r="M156" s="2" t="str">
        <v>Rua 150</v>
      </c>
      <c r="N156" s="2" t="str">
        <v>Comp 150</v>
      </c>
      <c r="O156" s="2" t="str">
        <v>Ventilador de teto</v>
      </c>
      <c r="P156" s="8" t="str">
        <v>ZO-J9IL-EN6L</v>
      </c>
      <c r="Q156" s="4">
        <v>45615</v>
      </c>
      <c r="R156" s="109">
        <v>59.99</v>
      </c>
      <c r="S156" s="11">
        <f ca="1"/>
        <v>0</v>
      </c>
      <c r="T156" s="28">
        <f ca="1"/>
        <v>0</v>
      </c>
      <c r="U156" s="11">
        <f ca="1"/>
        <v>0</v>
      </c>
      <c r="V156" s="11">
        <v>0</v>
      </c>
      <c r="W156" s="11">
        <f ca="1"/>
        <v>0</v>
      </c>
      <c r="X156" s="11">
        <f ca="1"/>
        <v>0.39877104377104378</v>
      </c>
      <c r="Y156" s="11">
        <v>0</v>
      </c>
      <c r="Z156" s="11">
        <f ca="1"/>
        <v>-0.39877104377104378</v>
      </c>
      <c r="AA156" s="11">
        <f ca="1"/>
        <v>-0.19938552188552189</v>
      </c>
      <c r="AB156" s="4">
        <f ca="1"/>
        <v>45622</v>
      </c>
      <c r="AC156" s="4">
        <v>45622</v>
      </c>
      <c r="AD156" s="9">
        <v>45625</v>
      </c>
      <c r="AE156" s="9">
        <v>45625</v>
      </c>
      <c r="AF156" s="4" t="str">
        <f t="shared" ca="1" si="2"/>
        <v>2024 11</v>
      </c>
      <c r="AG156" s="8" t="str" cm="1">
        <f t="array" ref="AG156">IFERROR(_xlfn.IFS('Banco de Dados'!#REF!="AG. COMPRA","Em processamento",'Banco de Dados'!#REF!="AG. RASTREIO","Em processamento",'Banco de Dados'!$AE156&lt;&gt;"-","Faturado",'Banco de Dados'!$AD156&lt;&gt;"-","Aguardando Pix",'Banco de Dados'!$AC156&lt;&gt;"-","Pendente"),"Aguardando Liberação")</f>
        <v>Aguardando Liberação</v>
      </c>
      <c r="AH156" s="5" t="str">
        <f>IF('Banco de Dados'!$F156="-",_xlfn.CONCAT(PROPER(TEXT(AK156,"aaaa"))," ",PROPER(TEXT(AK156,"mm"))),_xlfn.CONCAT(PROPER(TEXT(E156,"aaaa"))," ",PROPER(TEXT(E156,"mm"))))</f>
        <v>2024 10</v>
      </c>
      <c r="AI156" s="9" t="str">
        <f ca="1">IF('Banco de Dados'!$AK156&lt;&gt;"-","REEMBOLSO",IFERROR(_xlfn.XLOOKUP(G156,Follow[CODRASTREIO],Follow[STATUS]),"-"))</f>
        <v>REEMBOLSO</v>
      </c>
      <c r="AJ156" s="9" t="str">
        <f ca="1">IF('Banco de Dados'!$AI156="ENTREGUE",_xlfn.XLOOKUP('Banco de Dados'!$G156,Follow[CODRASTREIO],Follow[DATAATUALIZAÇÃO]),"-")</f>
        <v>-</v>
      </c>
      <c r="AK156" s="9">
        <f ca="1"/>
        <v>45618</v>
      </c>
      <c r="AL156" s="35" t="str">
        <v>NÃO</v>
      </c>
      <c r="AM156" s="109" t="e" cm="1">
        <f t="array" aca="1" ref="AM156" ca="1">IF('Banco de Dados'!$AK156&lt;&gt;"-",_xlfn.IFS('Banco de Dados'!$A156="bv",IF('Banco de Dados'!$E156&lt;45641,ROUND(SUM('Banco de Dados'!$R156*_xlfn.XLOOKUP('Banco de Dados'!$P156,Sku!B:B,Sku!#REF!)*20%),2),ROUND(SUM('Banco de Dados'!$R156*_xlfn.XLOOKUP('Banco de Dados'!$P156,Sku!B:B,Sku!H:H)*20%),2)),'Banco de Dados'!$A156="GO",ROUND(_xlfn.XLOOKUP('Banco de Dados'!$P156,Sku!C:C,Sku!H:H),2),'Banco de Dados'!$A156="MEI",ROUND(_xlfn.XLOOKUP('Banco de Dados'!$P156,Sku!D:D,Sku!H:H),2)),0)</f>
        <v>#REF!</v>
      </c>
      <c r="AN156" s="109" t="e">
        <f ca="1">IF('Banco de Dados'!$AK156&lt;&gt;"-",IF('Banco de Dados'!$F156&lt;&gt;"-",_xlfn.XLOOKUP(IFERROR(IFERROR(IFERROR(VALUE(SUBSTITUTE(MID(_xlfn.TEXTAFTER('Banco de Dados'!$F156,"Data do Pedido:
",1),1,10),"-","/")),VALUE(SUBSTITUTE(MID(_xlfn.TEXTAFTER('Banco de Dados'!$F156,"Order date:
",1),1,10),"-","/"))),VALUE(SUBSTITUTE(MID(_xlfn.TEXTAFTER('Banco de Dados'!$F156,"Fecha de pedido:
",1),1,10),"-","/"))),"-"),SMS!A:A,SMS!K:K),0),0)</f>
        <v>#N/A</v>
      </c>
      <c r="AO156" s="109">
        <f ca="1">IF('Banco de Dados'!$AK156&lt;&gt;"-",IF('Banco de Dados'!$F156&lt;&gt;"-",IFERROR(_xlfn.XLOOKUP(_xlfn.CONCAT('Banco de Dados'!$A156,IFERROR(IFERROR(VALUE(SUBSTITUTE(MID(_xlfn.TEXTAFTER('Banco de Dados'!$F156,"Data do Pedido:
",1),1,10),"-","/")),VALUE(SUBSTITUTE(MID(_xlfn.TEXTAFTER('Banco de Dados'!$F156,"Order date:
",1),1,10),"-","/"))),0)),ProxyDD[Chave],ProxyDD[Valor por pedido]),PROXY!$P$2),0),0)</f>
        <v>0.39877104377104378</v>
      </c>
      <c r="AP156" s="28">
        <v>0.22</v>
      </c>
      <c r="AQ156" s="28" t="e">
        <f ca="1">SUM('Banco de Dados'!$AM156:$AP156)</f>
        <v>#REF!</v>
      </c>
      <c r="AR156" s="8"/>
      <c r="AS156" s="8"/>
      <c r="AY156" s="8"/>
    </row>
    <row r="157" spans="1:51">
      <c r="A157" s="5" t="str">
        <v>BV</v>
      </c>
      <c r="B157" s="5" t="str">
        <f ca="1"/>
        <v>BV45594</v>
      </c>
      <c r="C157" s="8" t="str">
        <v>Pedido 154</v>
      </c>
      <c r="D157" s="9">
        <v>45594</v>
      </c>
      <c r="E157" s="9">
        <v>45594</v>
      </c>
      <c r="F157" s="8" t="str">
        <v>PedidoF147</v>
      </c>
      <c r="G157" s="2" t="str">
        <v>CódRastreio147</v>
      </c>
      <c r="H157" s="5">
        <v>1</v>
      </c>
      <c r="I157" s="2" t="str">
        <v>CPF 151</v>
      </c>
      <c r="J157" s="2" t="str">
        <v>Nome 151</v>
      </c>
      <c r="K157" s="8" t="str">
        <v>Tel 151</v>
      </c>
      <c r="L157" s="2" t="str">
        <v>Cep 151</v>
      </c>
      <c r="M157" s="2" t="str">
        <v>Rua 151</v>
      </c>
      <c r="N157" s="2" t="str">
        <v>Comp 151</v>
      </c>
      <c r="O157" s="2" t="str">
        <v>Balança</v>
      </c>
      <c r="P157" s="8" t="str">
        <v>P4-K63S-8KOM</v>
      </c>
      <c r="Q157" s="4">
        <v>45619</v>
      </c>
      <c r="R157" s="109">
        <v>17.7</v>
      </c>
      <c r="S157" s="11">
        <f ca="1"/>
        <v>17.7</v>
      </c>
      <c r="T157" s="28">
        <f ca="1"/>
        <v>2.3010000000000002</v>
      </c>
      <c r="U157" s="11">
        <f ca="1"/>
        <v>15.4</v>
      </c>
      <c r="V157" s="11">
        <v>9</v>
      </c>
      <c r="W157" s="11">
        <f ca="1"/>
        <v>0.39</v>
      </c>
      <c r="X157" s="11">
        <f ca="1"/>
        <v>0.39877104377104378</v>
      </c>
      <c r="Y157" s="11">
        <v>0</v>
      </c>
      <c r="Z157" s="11">
        <f ca="1"/>
        <v>5.6112289562289561</v>
      </c>
      <c r="AA157" s="11">
        <f ca="1"/>
        <v>2.8056144781144781</v>
      </c>
      <c r="AB157" s="4">
        <f ca="1"/>
        <v>45626</v>
      </c>
      <c r="AC157" s="4">
        <v>45626</v>
      </c>
      <c r="AD157" s="9">
        <v>45637</v>
      </c>
      <c r="AE157" s="9">
        <v>45642</v>
      </c>
      <c r="AF157" s="4" t="str">
        <f t="shared" ca="1" si="2"/>
        <v>2024 11</v>
      </c>
      <c r="AG157" s="8" t="str" cm="1">
        <f t="array" ref="AG157">IFERROR(_xlfn.IFS('Banco de Dados'!#REF!="AG. COMPRA","Em processamento",'Banco de Dados'!#REF!="AG. RASTREIO","Em processamento",'Banco de Dados'!$AE157&lt;&gt;"-","Faturado",'Banco de Dados'!$AD157&lt;&gt;"-","Aguardando Pix",'Banco de Dados'!$AC157&lt;&gt;"-","Pendente"),"Aguardando Liberação")</f>
        <v>Aguardando Liberação</v>
      </c>
      <c r="AH157" s="5" t="str">
        <f>IF('Banco de Dados'!$F157="-",_xlfn.CONCAT(PROPER(TEXT(AK157,"aaaa"))," ",PROPER(TEXT(AK157,"mm"))),_xlfn.CONCAT(PROPER(TEXT(E157,"aaaa"))," ",PROPER(TEXT(E157,"mm"))))</f>
        <v>2024 10</v>
      </c>
      <c r="AI157" s="9" t="str">
        <f ca="1">IF('Banco de Dados'!$AK157&lt;&gt;"-","REEMBOLSO",IFERROR(_xlfn.XLOOKUP(G157,Follow[CODRASTREIO],Follow[STATUS]),"-"))</f>
        <v>ENTREGUE</v>
      </c>
      <c r="AJ157" s="9">
        <f ca="1">IF('Banco de Dados'!$AI157="ENTREGUE",_xlfn.XLOOKUP('Banco de Dados'!$G157,Follow[CODRASTREIO],Follow[DATAATUALIZAÇÃO]),"-")</f>
        <v>45607</v>
      </c>
      <c r="AK157" s="9" t="str">
        <f ca="1"/>
        <v>-</v>
      </c>
      <c r="AL157" s="35" t="str">
        <v>NÃO</v>
      </c>
      <c r="AM157" s="109" cm="1">
        <f t="array" aca="1" ref="AM157" ca="1">IF('Banco de Dados'!$AK157&lt;&gt;"-",_xlfn.IFS('Banco de Dados'!$A157="bv",IF('Banco de Dados'!$E157&lt;45641,ROUND(SUM('Banco de Dados'!$R157*_xlfn.XLOOKUP('Banco de Dados'!$P157,Sku!B:B,Sku!#REF!)*20%),2),ROUND(SUM('Banco de Dados'!$R157*_xlfn.XLOOKUP('Banco de Dados'!$P157,Sku!B:B,Sku!H:H)*20%),2)),'Banco de Dados'!$A157="GO",ROUND(_xlfn.XLOOKUP('Banco de Dados'!$P157,Sku!C:C,Sku!H:H),2),'Banco de Dados'!$A157="MEI",ROUND(_xlfn.XLOOKUP('Banco de Dados'!$P157,Sku!D:D,Sku!H:H),2)),0)</f>
        <v>0</v>
      </c>
      <c r="AN157" s="109">
        <f ca="1">IF('Banco de Dados'!$AK157&lt;&gt;"-",IF('Banco de Dados'!$F157&lt;&gt;"-",_xlfn.XLOOKUP(IFERROR(IFERROR(IFERROR(VALUE(SUBSTITUTE(MID(_xlfn.TEXTAFTER('Banco de Dados'!$F157,"Data do Pedido:
",1),1,10),"-","/")),VALUE(SUBSTITUTE(MID(_xlfn.TEXTAFTER('Banco de Dados'!$F157,"Order date:
",1),1,10),"-","/"))),VALUE(SUBSTITUTE(MID(_xlfn.TEXTAFTER('Banco de Dados'!$F157,"Fecha de pedido:
",1),1,10),"-","/"))),"-"),SMS!A:A,SMS!K:K),0),0)</f>
        <v>0</v>
      </c>
      <c r="AO157" s="109">
        <f ca="1">IF('Banco de Dados'!$AK157&lt;&gt;"-",IF('Banco de Dados'!$F157&lt;&gt;"-",IFERROR(_xlfn.XLOOKUP(_xlfn.CONCAT('Banco de Dados'!$A157,IFERROR(IFERROR(VALUE(SUBSTITUTE(MID(_xlfn.TEXTAFTER('Banco de Dados'!$F157,"Data do Pedido:
",1),1,10),"-","/")),VALUE(SUBSTITUTE(MID(_xlfn.TEXTAFTER('Banco de Dados'!$F157,"Order date:
",1),1,10),"-","/"))),0)),ProxyDD[Chave],ProxyDD[Valor por pedido]),PROXY!$P$2),0),0)</f>
        <v>0</v>
      </c>
      <c r="AP157" s="28">
        <f ca="1">IF('Banco de Dados'!$AK157&lt;&gt;"-",IF('Banco de Dados'!$AL157="NÃO",IFERROR(VALUE(SUBSTITUTE(_xlfn.TEXTAFTER('Banco de Dados'!$F157,"BRL ",1),".",",")),0),0),0)</f>
        <v>0</v>
      </c>
      <c r="AQ157" s="28">
        <f ca="1">SUM('Banco de Dados'!$AM157:$AP157)</f>
        <v>0</v>
      </c>
      <c r="AR157" s="8"/>
      <c r="AS157" s="8"/>
      <c r="AY157" s="8"/>
    </row>
    <row r="158" spans="1:51">
      <c r="A158" s="5" t="str">
        <v>BV</v>
      </c>
      <c r="B158" s="5" t="str">
        <f ca="1"/>
        <v>BV45594</v>
      </c>
      <c r="C158" s="8" t="str">
        <v>Pedido 155</v>
      </c>
      <c r="D158" s="9">
        <v>45594</v>
      </c>
      <c r="E158" s="9">
        <v>45594</v>
      </c>
      <c r="F158" s="8" t="str">
        <v>PedidoF148</v>
      </c>
      <c r="G158" s="2" t="str">
        <v>CódRastreio148</v>
      </c>
      <c r="H158" s="5">
        <v>1</v>
      </c>
      <c r="I158" s="2" t="str">
        <v>CPF 152</v>
      </c>
      <c r="J158" s="2" t="str">
        <v>Nome 152</v>
      </c>
      <c r="K158" s="8" t="str">
        <v>Tel 152</v>
      </c>
      <c r="L158" s="2" t="str">
        <v>Cep 152</v>
      </c>
      <c r="M158" s="2" t="str">
        <v>Rua 152</v>
      </c>
      <c r="N158" s="2" t="str">
        <v>Comp 152</v>
      </c>
      <c r="O158" s="2" t="str">
        <v>Suporte de Celular Branco</v>
      </c>
      <c r="P158" s="8" t="str">
        <v>16-4EDB-WMZF</v>
      </c>
      <c r="Q158" s="4">
        <v>45619</v>
      </c>
      <c r="R158" s="109">
        <v>15.99</v>
      </c>
      <c r="S158" s="11">
        <f ca="1"/>
        <v>15.99</v>
      </c>
      <c r="T158" s="28">
        <f ca="1"/>
        <v>2.3984999999999999</v>
      </c>
      <c r="U158" s="11">
        <f ca="1"/>
        <v>13.59</v>
      </c>
      <c r="V158" s="11">
        <v>4.99</v>
      </c>
      <c r="W158" s="11">
        <f ca="1"/>
        <v>0.39</v>
      </c>
      <c r="X158" s="11">
        <f ca="1"/>
        <v>0.39877104377104378</v>
      </c>
      <c r="Y158" s="11">
        <v>0</v>
      </c>
      <c r="Z158" s="11">
        <f ca="1"/>
        <v>7.8112289562289563</v>
      </c>
      <c r="AA158" s="11">
        <f ca="1"/>
        <v>3.9056144781144781</v>
      </c>
      <c r="AB158" s="4">
        <f ca="1"/>
        <v>45626</v>
      </c>
      <c r="AC158" s="4">
        <v>45626</v>
      </c>
      <c r="AD158" s="9">
        <v>45637</v>
      </c>
      <c r="AE158" s="9">
        <v>45642</v>
      </c>
      <c r="AF158" s="4" t="str">
        <f t="shared" ca="1" si="2"/>
        <v>2024 11</v>
      </c>
      <c r="AG158" s="8" t="str" cm="1">
        <f t="array" ref="AG158">IFERROR(_xlfn.IFS('Banco de Dados'!#REF!="AG. COMPRA","Em processamento",'Banco de Dados'!#REF!="AG. RASTREIO","Em processamento",'Banco de Dados'!$AE158&lt;&gt;"-","Faturado",'Banco de Dados'!$AD158&lt;&gt;"-","Aguardando Pix",'Banco de Dados'!$AC158&lt;&gt;"-","Pendente"),"Aguardando Liberação")</f>
        <v>Aguardando Liberação</v>
      </c>
      <c r="AH158" s="5" t="str">
        <f>IF('Banco de Dados'!$F158="-",_xlfn.CONCAT(PROPER(TEXT(AK158,"aaaa"))," ",PROPER(TEXT(AK158,"mm"))),_xlfn.CONCAT(PROPER(TEXT(E158,"aaaa"))," ",PROPER(TEXT(E158,"mm"))))</f>
        <v>2024 10</v>
      </c>
      <c r="AI158" s="9" t="str">
        <f ca="1">IF('Banco de Dados'!$AK158&lt;&gt;"-","REEMBOLSO",IFERROR(_xlfn.XLOOKUP(G158,Follow[CODRASTREIO],Follow[STATUS]),"-"))</f>
        <v>ENTREGUE</v>
      </c>
      <c r="AJ158" s="9">
        <f ca="1">IF('Banco de Dados'!$AI158="ENTREGUE",_xlfn.XLOOKUP('Banco de Dados'!$G158,Follow[CODRASTREIO],Follow[DATAATUALIZAÇÃO]),"-")</f>
        <v>45601</v>
      </c>
      <c r="AK158" s="9" t="str">
        <f ca="1"/>
        <v>-</v>
      </c>
      <c r="AL158" s="35" t="str">
        <v>NÃO</v>
      </c>
      <c r="AM158" s="109" cm="1">
        <f t="array" aca="1" ref="AM158" ca="1">IF('Banco de Dados'!$AK158&lt;&gt;"-",_xlfn.IFS('Banco de Dados'!$A158="bv",IF('Banco de Dados'!$E158&lt;45641,ROUND(SUM('Banco de Dados'!$R158*_xlfn.XLOOKUP('Banco de Dados'!$P158,Sku!B:B,Sku!#REF!)*20%),2),ROUND(SUM('Banco de Dados'!$R158*_xlfn.XLOOKUP('Banco de Dados'!$P158,Sku!B:B,Sku!H:H)*20%),2)),'Banco de Dados'!$A158="GO",ROUND(_xlfn.XLOOKUP('Banco de Dados'!$P158,Sku!C:C,Sku!H:H),2),'Banco de Dados'!$A158="MEI",ROUND(_xlfn.XLOOKUP('Banco de Dados'!$P158,Sku!D:D,Sku!H:H),2)),0)</f>
        <v>0</v>
      </c>
      <c r="AN158" s="109">
        <f ca="1">IF('Banco de Dados'!$AK158&lt;&gt;"-",IF('Banco de Dados'!$F158&lt;&gt;"-",_xlfn.XLOOKUP(IFERROR(IFERROR(IFERROR(VALUE(SUBSTITUTE(MID(_xlfn.TEXTAFTER('Banco de Dados'!$F158,"Data do Pedido:
",1),1,10),"-","/")),VALUE(SUBSTITUTE(MID(_xlfn.TEXTAFTER('Banco de Dados'!$F158,"Order date:
",1),1,10),"-","/"))),VALUE(SUBSTITUTE(MID(_xlfn.TEXTAFTER('Banco de Dados'!$F158,"Fecha de pedido:
",1),1,10),"-","/"))),"-"),SMS!A:A,SMS!K:K),0),0)</f>
        <v>0</v>
      </c>
      <c r="AO158" s="109">
        <f ca="1">IF('Banco de Dados'!$AK158&lt;&gt;"-",IF('Banco de Dados'!$F158&lt;&gt;"-",IFERROR(_xlfn.XLOOKUP(_xlfn.CONCAT('Banco de Dados'!$A158,IFERROR(IFERROR(VALUE(SUBSTITUTE(MID(_xlfn.TEXTAFTER('Banco de Dados'!$F158,"Data do Pedido:
",1),1,10),"-","/")),VALUE(SUBSTITUTE(MID(_xlfn.TEXTAFTER('Banco de Dados'!$F158,"Order date:
",1),1,10),"-","/"))),0)),ProxyDD[Chave],ProxyDD[Valor por pedido]),PROXY!$P$2),0),0)</f>
        <v>0</v>
      </c>
      <c r="AP158" s="28">
        <f ca="1">IF('Banco de Dados'!$AK158&lt;&gt;"-",IF('Banco de Dados'!$AL158="NÃO",IFERROR(VALUE(SUBSTITUTE(_xlfn.TEXTAFTER('Banco de Dados'!$F158,"BRL ",1),".",",")),0),0),0)</f>
        <v>0</v>
      </c>
      <c r="AQ158" s="28">
        <f ca="1">SUM('Banco de Dados'!$AM158:$AP158)</f>
        <v>0</v>
      </c>
      <c r="AR158" s="8"/>
      <c r="AS158" s="8"/>
      <c r="AY158" s="8"/>
    </row>
    <row r="159" spans="1:51">
      <c r="A159" s="5" t="str">
        <v>BV</v>
      </c>
      <c r="B159" s="5" t="str">
        <f ca="1"/>
        <v>BV45594</v>
      </c>
      <c r="C159" s="8" t="str">
        <v>Pedido 156</v>
      </c>
      <c r="D159" s="9">
        <v>45594</v>
      </c>
      <c r="E159" s="9">
        <v>45594</v>
      </c>
      <c r="F159" s="8" t="str">
        <v>PedidoF149</v>
      </c>
      <c r="G159" s="2" t="str">
        <v>CódRastreio149</v>
      </c>
      <c r="H159" s="5">
        <v>1</v>
      </c>
      <c r="I159" s="2" t="str">
        <v>CPF 153</v>
      </c>
      <c r="J159" s="2" t="str">
        <v>Nome 153</v>
      </c>
      <c r="K159" s="8" t="str">
        <v>Tel 153</v>
      </c>
      <c r="L159" s="2" t="str">
        <v>Cep 153</v>
      </c>
      <c r="M159" s="2" t="str">
        <v>Rua 153</v>
      </c>
      <c r="N159" s="2" t="str">
        <v>Comp 153</v>
      </c>
      <c r="O159" s="2" t="str">
        <v>Suporte de Celular Branco</v>
      </c>
      <c r="P159" s="8" t="str">
        <v>16-4EDB-WMZF</v>
      </c>
      <c r="Q159" s="4">
        <v>45615</v>
      </c>
      <c r="R159" s="109">
        <v>15.99</v>
      </c>
      <c r="S159" s="11">
        <f ca="1"/>
        <v>15.99</v>
      </c>
      <c r="T159" s="28">
        <f ca="1"/>
        <v>2.3984999999999999</v>
      </c>
      <c r="U159" s="11">
        <f ca="1"/>
        <v>13.59</v>
      </c>
      <c r="V159" s="11">
        <v>4.99</v>
      </c>
      <c r="W159" s="11">
        <f ca="1"/>
        <v>0.39</v>
      </c>
      <c r="X159" s="11">
        <f ca="1"/>
        <v>0.39877104377104378</v>
      </c>
      <c r="Y159" s="11">
        <v>0</v>
      </c>
      <c r="Z159" s="11">
        <f ca="1"/>
        <v>7.8112289562289563</v>
      </c>
      <c r="AA159" s="11">
        <f ca="1"/>
        <v>3.9056144781144781</v>
      </c>
      <c r="AB159" s="4">
        <f ca="1"/>
        <v>45622</v>
      </c>
      <c r="AC159" s="4">
        <v>45622</v>
      </c>
      <c r="AD159" s="9">
        <v>45625</v>
      </c>
      <c r="AE159" s="9">
        <v>45625</v>
      </c>
      <c r="AF159" s="4" t="str">
        <f t="shared" ca="1" si="2"/>
        <v>2024 11</v>
      </c>
      <c r="AG159" s="8" t="str" cm="1">
        <f t="array" ref="AG159">IFERROR(_xlfn.IFS('Banco de Dados'!#REF!="AG. COMPRA","Em processamento",'Banco de Dados'!#REF!="AG. RASTREIO","Em processamento",'Banco de Dados'!$AE159&lt;&gt;"-","Faturado",'Banco de Dados'!$AD159&lt;&gt;"-","Aguardando Pix",'Banco de Dados'!$AC159&lt;&gt;"-","Pendente"),"Aguardando Liberação")</f>
        <v>Aguardando Liberação</v>
      </c>
      <c r="AH159" s="5" t="str">
        <f>IF('Banco de Dados'!$F159="-",_xlfn.CONCAT(PROPER(TEXT(AK159,"aaaa"))," ",PROPER(TEXT(AK159,"mm"))),_xlfn.CONCAT(PROPER(TEXT(E159,"aaaa"))," ",PROPER(TEXT(E159,"mm"))))</f>
        <v>2024 10</v>
      </c>
      <c r="AI159" s="9" t="str">
        <f ca="1">IF('Banco de Dados'!$AK159&lt;&gt;"-","REEMBOLSO",IFERROR(_xlfn.XLOOKUP(G159,Follow[CODRASTREIO],Follow[STATUS]),"-"))</f>
        <v>ENTREGUE</v>
      </c>
      <c r="AJ159" s="9">
        <f ca="1">IF('Banco de Dados'!$AI159="ENTREGUE",_xlfn.XLOOKUP('Banco de Dados'!$G159,Follow[CODRASTREIO],Follow[DATAATUALIZAÇÃO]),"-")</f>
        <v>45600</v>
      </c>
      <c r="AK159" s="9" t="str">
        <f ca="1"/>
        <v>-</v>
      </c>
      <c r="AL159" s="35" t="str">
        <v>NÃO</v>
      </c>
      <c r="AM159" s="109" cm="1">
        <f t="array" aca="1" ref="AM159" ca="1">IF('Banco de Dados'!$AK159&lt;&gt;"-",_xlfn.IFS('Banco de Dados'!$A159="bv",IF('Banco de Dados'!$E159&lt;45641,ROUND(SUM('Banco de Dados'!$R159*_xlfn.XLOOKUP('Banco de Dados'!$P159,Sku!B:B,Sku!#REF!)*20%),2),ROUND(SUM('Banco de Dados'!$R159*_xlfn.XLOOKUP('Banco de Dados'!$P159,Sku!B:B,Sku!H:H)*20%),2)),'Banco de Dados'!$A159="GO",ROUND(_xlfn.XLOOKUP('Banco de Dados'!$P159,Sku!C:C,Sku!H:H),2),'Banco de Dados'!$A159="MEI",ROUND(_xlfn.XLOOKUP('Banco de Dados'!$P159,Sku!D:D,Sku!H:H),2)),0)</f>
        <v>0</v>
      </c>
      <c r="AN159" s="109">
        <f ca="1">IF('Banco de Dados'!$AK159&lt;&gt;"-",IF('Banco de Dados'!$F159&lt;&gt;"-",_xlfn.XLOOKUP(IFERROR(IFERROR(IFERROR(VALUE(SUBSTITUTE(MID(_xlfn.TEXTAFTER('Banco de Dados'!$F159,"Data do Pedido:
",1),1,10),"-","/")),VALUE(SUBSTITUTE(MID(_xlfn.TEXTAFTER('Banco de Dados'!$F159,"Order date:
",1),1,10),"-","/"))),VALUE(SUBSTITUTE(MID(_xlfn.TEXTAFTER('Banco de Dados'!$F159,"Fecha de pedido:
",1),1,10),"-","/"))),"-"),SMS!A:A,SMS!K:K),0),0)</f>
        <v>0</v>
      </c>
      <c r="AO159" s="109">
        <f ca="1">IF('Banco de Dados'!$AK159&lt;&gt;"-",IF('Banco de Dados'!$F159&lt;&gt;"-",IFERROR(_xlfn.XLOOKUP(_xlfn.CONCAT('Banco de Dados'!$A159,IFERROR(IFERROR(VALUE(SUBSTITUTE(MID(_xlfn.TEXTAFTER('Banco de Dados'!$F159,"Data do Pedido:
",1),1,10),"-","/")),VALUE(SUBSTITUTE(MID(_xlfn.TEXTAFTER('Banco de Dados'!$F159,"Order date:
",1),1,10),"-","/"))),0)),ProxyDD[Chave],ProxyDD[Valor por pedido]),PROXY!$P$2),0),0)</f>
        <v>0</v>
      </c>
      <c r="AP159" s="28">
        <f ca="1">IF('Banco de Dados'!$AK159&lt;&gt;"-",IF('Banco de Dados'!$AL159="NÃO",IFERROR(VALUE(SUBSTITUTE(_xlfn.TEXTAFTER('Banco de Dados'!$F159,"BRL ",1),".",",")),0),0),0)</f>
        <v>0</v>
      </c>
      <c r="AQ159" s="28">
        <f ca="1">SUM('Banco de Dados'!$AM159:$AP159)</f>
        <v>0</v>
      </c>
      <c r="AR159" s="8"/>
      <c r="AS159" s="8"/>
      <c r="AY159" s="8"/>
    </row>
    <row r="160" spans="1:51">
      <c r="A160" s="5" t="str">
        <v>BV</v>
      </c>
      <c r="B160" s="5" t="str">
        <f ca="1"/>
        <v>BV45594</v>
      </c>
      <c r="C160" s="8" t="str">
        <v>Pedido 157</v>
      </c>
      <c r="D160" s="9">
        <v>45594</v>
      </c>
      <c r="E160" s="9">
        <v>45594</v>
      </c>
      <c r="F160" s="8" t="str">
        <v>PedidoF150</v>
      </c>
      <c r="G160" s="2" t="str">
        <v>CódRastreio150</v>
      </c>
      <c r="H160" s="5">
        <v>1</v>
      </c>
      <c r="I160" s="2" t="str">
        <v>CPF 154</v>
      </c>
      <c r="J160" s="2" t="str">
        <v>Nome 154</v>
      </c>
      <c r="K160" s="8" t="str">
        <v>Tel 154</v>
      </c>
      <c r="L160" s="2" t="str">
        <v>Cep 154</v>
      </c>
      <c r="M160" s="2" t="str">
        <v>Rua 154</v>
      </c>
      <c r="N160" s="2" t="str">
        <v>Comp 154</v>
      </c>
      <c r="O160" s="2" t="str">
        <v>Ventilador Rosa</v>
      </c>
      <c r="P160" s="8" t="str">
        <v>IF-G2ZQ-79FO</v>
      </c>
      <c r="Q160" s="4">
        <v>45626</v>
      </c>
      <c r="R160" s="109">
        <v>59.99</v>
      </c>
      <c r="S160" s="11">
        <f ca="1"/>
        <v>59.99</v>
      </c>
      <c r="T160" s="28">
        <f ca="1"/>
        <v>7.7987000000000002</v>
      </c>
      <c r="U160" s="11">
        <f ca="1"/>
        <v>52.19</v>
      </c>
      <c r="V160" s="11">
        <v>7.26</v>
      </c>
      <c r="W160" s="11">
        <f ca="1"/>
        <v>0.39</v>
      </c>
      <c r="X160" s="11">
        <f ca="1"/>
        <v>0.39877104377104378</v>
      </c>
      <c r="Y160" s="11">
        <v>0</v>
      </c>
      <c r="Z160" s="11">
        <f ca="1"/>
        <v>44.141228956228957</v>
      </c>
      <c r="AA160" s="11">
        <f ca="1"/>
        <v>22.070614478114479</v>
      </c>
      <c r="AB160" s="4">
        <f ca="1"/>
        <v>45633</v>
      </c>
      <c r="AC160" s="4">
        <v>45633</v>
      </c>
      <c r="AD160" s="9">
        <v>45637</v>
      </c>
      <c r="AE160" s="9">
        <v>45642</v>
      </c>
      <c r="AF160" s="4" t="str">
        <f t="shared" ca="1" si="2"/>
        <v>2024 12</v>
      </c>
      <c r="AG160" s="8" t="str" cm="1">
        <f t="array" ref="AG160">IFERROR(_xlfn.IFS('Banco de Dados'!#REF!="AG. COMPRA","Em processamento",'Banco de Dados'!#REF!="AG. RASTREIO","Em processamento",'Banco de Dados'!$AE160&lt;&gt;"-","Faturado",'Banco de Dados'!$AD160&lt;&gt;"-","Aguardando Pix",'Banco de Dados'!$AC160&lt;&gt;"-","Pendente"),"Aguardando Liberação")</f>
        <v>Aguardando Liberação</v>
      </c>
      <c r="AH160" s="5" t="str">
        <f>IF('Banco de Dados'!$F160="-",_xlfn.CONCAT(PROPER(TEXT(AK160,"aaaa"))," ",PROPER(TEXT(AK160,"mm"))),_xlfn.CONCAT(PROPER(TEXT(E160,"aaaa"))," ",PROPER(TEXT(E160,"mm"))))</f>
        <v>2024 10</v>
      </c>
      <c r="AI160" s="9" t="str">
        <f ca="1">IF('Banco de Dados'!$AK160&lt;&gt;"-","REEMBOLSO",IFERROR(_xlfn.XLOOKUP(G160,Follow[CODRASTREIO],Follow[STATUS]),"-"))</f>
        <v>ENTREGUE</v>
      </c>
      <c r="AJ160" s="9">
        <f ca="1">IF('Banco de Dados'!$AI160="ENTREGUE",_xlfn.XLOOKUP('Banco de Dados'!$G160,Follow[CODRASTREIO],Follow[DATAATUALIZAÇÃO]),"-")</f>
        <v>45629</v>
      </c>
      <c r="AK160" s="9" t="str">
        <f ca="1"/>
        <v>-</v>
      </c>
      <c r="AL160" s="35" t="str">
        <v>NÃO</v>
      </c>
      <c r="AM160" s="109" cm="1">
        <f t="array" aca="1" ref="AM160" ca="1">IF('Banco de Dados'!$AK160&lt;&gt;"-",_xlfn.IFS('Banco de Dados'!$A160="bv",IF('Banco de Dados'!$E160&lt;45641,ROUND(SUM('Banco de Dados'!$R160*_xlfn.XLOOKUP('Banco de Dados'!$P160,Sku!B:B,Sku!#REF!)*20%),2),ROUND(SUM('Banco de Dados'!$R160*_xlfn.XLOOKUP('Banco de Dados'!$P160,Sku!B:B,Sku!H:H)*20%),2)),'Banco de Dados'!$A160="GO",ROUND(_xlfn.XLOOKUP('Banco de Dados'!$P160,Sku!C:C,Sku!H:H),2),'Banco de Dados'!$A160="MEI",ROUND(_xlfn.XLOOKUP('Banco de Dados'!$P160,Sku!D:D,Sku!H:H),2)),0)</f>
        <v>0</v>
      </c>
      <c r="AN160" s="109">
        <f ca="1">IF('Banco de Dados'!$AK160&lt;&gt;"-",IF('Banco de Dados'!$F160&lt;&gt;"-",_xlfn.XLOOKUP(IFERROR(IFERROR(IFERROR(VALUE(SUBSTITUTE(MID(_xlfn.TEXTAFTER('Banco de Dados'!$F160,"Data do Pedido:
",1),1,10),"-","/")),VALUE(SUBSTITUTE(MID(_xlfn.TEXTAFTER('Banco de Dados'!$F160,"Order date:
",1),1,10),"-","/"))),VALUE(SUBSTITUTE(MID(_xlfn.TEXTAFTER('Banco de Dados'!$F160,"Fecha de pedido:
",1),1,10),"-","/"))),"-"),SMS!A:A,SMS!K:K),0),0)</f>
        <v>0</v>
      </c>
      <c r="AO160" s="109">
        <f ca="1">IF('Banco de Dados'!$AK160&lt;&gt;"-",IF('Banco de Dados'!$F160&lt;&gt;"-",IFERROR(_xlfn.XLOOKUP(_xlfn.CONCAT('Banco de Dados'!$A160,IFERROR(IFERROR(VALUE(SUBSTITUTE(MID(_xlfn.TEXTAFTER('Banco de Dados'!$F160,"Data do Pedido:
",1),1,10),"-","/")),VALUE(SUBSTITUTE(MID(_xlfn.TEXTAFTER('Banco de Dados'!$F160,"Order date:
",1),1,10),"-","/"))),0)),ProxyDD[Chave],ProxyDD[Valor por pedido]),PROXY!$P$2),0),0)</f>
        <v>0</v>
      </c>
      <c r="AP160" s="28">
        <f ca="1">IF('Banco de Dados'!$AK160&lt;&gt;"-",IF('Banco de Dados'!$AL160="NÃO",IFERROR(VALUE(SUBSTITUTE(_xlfn.TEXTAFTER('Banco de Dados'!$F160,"BRL ",1),".",",")),0),0),0)</f>
        <v>0</v>
      </c>
      <c r="AQ160" s="28">
        <f ca="1">SUM('Banco de Dados'!$AM160:$AP160)</f>
        <v>0</v>
      </c>
      <c r="AR160" s="8"/>
      <c r="AS160" s="8"/>
      <c r="AY160" s="8"/>
    </row>
    <row r="161" spans="1:51">
      <c r="A161" s="5" t="str">
        <v>BV</v>
      </c>
      <c r="B161" s="5" t="str">
        <f ca="1"/>
        <v>BV45594</v>
      </c>
      <c r="C161" s="8" t="str">
        <v>Pedido 158</v>
      </c>
      <c r="D161" s="9">
        <v>45594</v>
      </c>
      <c r="E161" s="9">
        <v>45594</v>
      </c>
      <c r="F161" s="8" t="str">
        <v>PedidoF151</v>
      </c>
      <c r="G161" s="2" t="str">
        <v>CódRastreio151</v>
      </c>
      <c r="H161" s="5">
        <v>1</v>
      </c>
      <c r="I161" s="2" t="str">
        <v>CPF 155</v>
      </c>
      <c r="J161" s="2" t="str">
        <v>Nome 155</v>
      </c>
      <c r="K161" s="8" t="str">
        <v>Tel 155</v>
      </c>
      <c r="L161" s="2" t="str">
        <v>Cep 155</v>
      </c>
      <c r="M161" s="2" t="str">
        <v>Rua 155</v>
      </c>
      <c r="N161" s="2" t="str">
        <v>Comp 155</v>
      </c>
      <c r="O161" s="2" t="str">
        <v>Suporte de Celular Preto</v>
      </c>
      <c r="P161" s="8" t="str">
        <v>9G-BN48-QAPH</v>
      </c>
      <c r="Q161" s="4">
        <v>45619</v>
      </c>
      <c r="R161" s="109">
        <v>15.99</v>
      </c>
      <c r="S161" s="11">
        <f ca="1"/>
        <v>15.99</v>
      </c>
      <c r="T161" s="28">
        <f ca="1"/>
        <v>2.3984999999999999</v>
      </c>
      <c r="U161" s="11">
        <f ca="1"/>
        <v>13.59</v>
      </c>
      <c r="V161" s="11">
        <v>4.99</v>
      </c>
      <c r="W161" s="11">
        <f ca="1"/>
        <v>0.39</v>
      </c>
      <c r="X161" s="11">
        <f ca="1"/>
        <v>0.39877104377104378</v>
      </c>
      <c r="Y161" s="11">
        <v>0</v>
      </c>
      <c r="Z161" s="11">
        <f ca="1"/>
        <v>7.8112289562289563</v>
      </c>
      <c r="AA161" s="11">
        <f ca="1"/>
        <v>3.9056144781144781</v>
      </c>
      <c r="AB161" s="4">
        <f ca="1"/>
        <v>45626</v>
      </c>
      <c r="AC161" s="4">
        <v>45626</v>
      </c>
      <c r="AD161" s="9">
        <v>45637</v>
      </c>
      <c r="AE161" s="9">
        <v>45642</v>
      </c>
      <c r="AF161" s="4" t="str">
        <f t="shared" ca="1" si="2"/>
        <v>2024 11</v>
      </c>
      <c r="AG161" s="8" t="str" cm="1">
        <f t="array" ref="AG161">IFERROR(_xlfn.IFS('Banco de Dados'!#REF!="AG. COMPRA","Em processamento",'Banco de Dados'!#REF!="AG. RASTREIO","Em processamento",'Banco de Dados'!$AE161&lt;&gt;"-","Faturado",'Banco de Dados'!$AD161&lt;&gt;"-","Aguardando Pix",'Banco de Dados'!$AC161&lt;&gt;"-","Pendente"),"Aguardando Liberação")</f>
        <v>Aguardando Liberação</v>
      </c>
      <c r="AH161" s="5" t="str">
        <f>IF('Banco de Dados'!$F161="-",_xlfn.CONCAT(PROPER(TEXT(AK161,"aaaa"))," ",PROPER(TEXT(AK161,"mm"))),_xlfn.CONCAT(PROPER(TEXT(E161,"aaaa"))," ",PROPER(TEXT(E161,"mm"))))</f>
        <v>2024 10</v>
      </c>
      <c r="AI161" s="9" t="str">
        <f ca="1">IF('Banco de Dados'!$AK161&lt;&gt;"-","REEMBOLSO",IFERROR(_xlfn.XLOOKUP(G161,Follow[CODRASTREIO],Follow[STATUS]),"-"))</f>
        <v>ENTREGUE</v>
      </c>
      <c r="AJ161" s="9">
        <f ca="1">IF('Banco de Dados'!$AI161="ENTREGUE",_xlfn.XLOOKUP('Banco de Dados'!$G161,Follow[CODRASTREIO],Follow[DATAATUALIZAÇÃO]),"-")</f>
        <v>45604</v>
      </c>
      <c r="AK161" s="9" t="str">
        <f ca="1"/>
        <v>-</v>
      </c>
      <c r="AL161" s="35" t="str">
        <v>NÃO</v>
      </c>
      <c r="AM161" s="109" cm="1">
        <f t="array" aca="1" ref="AM161" ca="1">IF('Banco de Dados'!$AK161&lt;&gt;"-",_xlfn.IFS('Banco de Dados'!$A161="bv",IF('Banco de Dados'!$E161&lt;45641,ROUND(SUM('Banco de Dados'!$R161*_xlfn.XLOOKUP('Banco de Dados'!$P161,Sku!B:B,Sku!#REF!)*20%),2),ROUND(SUM('Banco de Dados'!$R161*_xlfn.XLOOKUP('Banco de Dados'!$P161,Sku!B:B,Sku!H:H)*20%),2)),'Banco de Dados'!$A161="GO",ROUND(_xlfn.XLOOKUP('Banco de Dados'!$P161,Sku!C:C,Sku!H:H),2),'Banco de Dados'!$A161="MEI",ROUND(_xlfn.XLOOKUP('Banco de Dados'!$P161,Sku!D:D,Sku!H:H),2)),0)</f>
        <v>0</v>
      </c>
      <c r="AN161" s="109">
        <f ca="1">IF('Banco de Dados'!$AK161&lt;&gt;"-",IF('Banco de Dados'!$F161&lt;&gt;"-",_xlfn.XLOOKUP(IFERROR(IFERROR(IFERROR(VALUE(SUBSTITUTE(MID(_xlfn.TEXTAFTER('Banco de Dados'!$F161,"Data do Pedido:
",1),1,10),"-","/")),VALUE(SUBSTITUTE(MID(_xlfn.TEXTAFTER('Banco de Dados'!$F161,"Order date:
",1),1,10),"-","/"))),VALUE(SUBSTITUTE(MID(_xlfn.TEXTAFTER('Banco de Dados'!$F161,"Fecha de pedido:
",1),1,10),"-","/"))),"-"),SMS!A:A,SMS!K:K),0),0)</f>
        <v>0</v>
      </c>
      <c r="AO161" s="109">
        <f ca="1">IF('Banco de Dados'!$AK161&lt;&gt;"-",IF('Banco de Dados'!$F161&lt;&gt;"-",IFERROR(_xlfn.XLOOKUP(_xlfn.CONCAT('Banco de Dados'!$A161,IFERROR(IFERROR(VALUE(SUBSTITUTE(MID(_xlfn.TEXTAFTER('Banco de Dados'!$F161,"Data do Pedido:
",1),1,10),"-","/")),VALUE(SUBSTITUTE(MID(_xlfn.TEXTAFTER('Banco de Dados'!$F161,"Order date:
",1),1,10),"-","/"))),0)),ProxyDD[Chave],ProxyDD[Valor por pedido]),PROXY!$P$2),0),0)</f>
        <v>0</v>
      </c>
      <c r="AP161" s="28">
        <f ca="1">IF('Banco de Dados'!$AK161&lt;&gt;"-",IF('Banco de Dados'!$AL161="NÃO",IFERROR(VALUE(SUBSTITUTE(_xlfn.TEXTAFTER('Banco de Dados'!$F161,"BRL ",1),".",",")),0),0),0)</f>
        <v>0</v>
      </c>
      <c r="AQ161" s="28">
        <f ca="1">SUM('Banco de Dados'!$AM161:$AP161)</f>
        <v>0</v>
      </c>
      <c r="AR161" s="8"/>
      <c r="AS161" s="8"/>
      <c r="AY161" s="8"/>
    </row>
    <row r="162" spans="1:51">
      <c r="A162" s="5" t="str">
        <v>BV</v>
      </c>
      <c r="B162" s="5" t="str">
        <f ca="1"/>
        <v>BV45595</v>
      </c>
      <c r="C162" s="8" t="str">
        <v>Pedido 159</v>
      </c>
      <c r="D162" s="9">
        <v>45595</v>
      </c>
      <c r="E162" s="9">
        <v>45595</v>
      </c>
      <c r="F162" s="8" t="str">
        <v>PedidoF152</v>
      </c>
      <c r="G162" s="2" t="str">
        <v>CódRastreio152</v>
      </c>
      <c r="H162" s="5">
        <v>1</v>
      </c>
      <c r="I162" s="2" t="str">
        <v>CPF 156</v>
      </c>
      <c r="J162" s="2" t="str">
        <v>Nome 156</v>
      </c>
      <c r="K162" s="8" t="str">
        <v>Tel 156</v>
      </c>
      <c r="L162" s="2" t="str">
        <v>Cep 156</v>
      </c>
      <c r="M162" s="2" t="str">
        <v>Rua 156</v>
      </c>
      <c r="N162" s="2" t="str">
        <v>Comp 156</v>
      </c>
      <c r="O162" s="2" t="str">
        <v>Balança</v>
      </c>
      <c r="P162" s="8" t="str">
        <v>P4-K63S-8KOM</v>
      </c>
      <c r="Q162" s="4">
        <v>45610</v>
      </c>
      <c r="R162" s="109">
        <v>17.7</v>
      </c>
      <c r="S162" s="11">
        <f ca="1"/>
        <v>17.7</v>
      </c>
      <c r="T162" s="28">
        <f ca="1"/>
        <v>2.3010000000000002</v>
      </c>
      <c r="U162" s="11">
        <f ca="1"/>
        <v>15.4</v>
      </c>
      <c r="V162" s="11">
        <v>9.73</v>
      </c>
      <c r="W162" s="11">
        <f ca="1"/>
        <v>0.35</v>
      </c>
      <c r="X162" s="11">
        <f ca="1"/>
        <v>0.39877104377104378</v>
      </c>
      <c r="Y162" s="11">
        <v>0</v>
      </c>
      <c r="Z162" s="11">
        <f ca="1"/>
        <v>4.9212289562289566</v>
      </c>
      <c r="AA162" s="11">
        <f ca="1"/>
        <v>2.4606144781144783</v>
      </c>
      <c r="AB162" s="4">
        <f ca="1"/>
        <v>45617</v>
      </c>
      <c r="AC162" s="4">
        <v>45617</v>
      </c>
      <c r="AD162" s="9">
        <v>45617</v>
      </c>
      <c r="AE162" s="9">
        <v>45618</v>
      </c>
      <c r="AF162" s="4" t="str">
        <f t="shared" ca="1" si="2"/>
        <v>2024 11</v>
      </c>
      <c r="AG162" s="8" t="str" cm="1">
        <f t="array" ref="AG162">IFERROR(_xlfn.IFS('Banco de Dados'!#REF!="AG. COMPRA","Em processamento",'Banco de Dados'!#REF!="AG. RASTREIO","Em processamento",'Banco de Dados'!$AE162&lt;&gt;"-","Faturado",'Banco de Dados'!$AD162&lt;&gt;"-","Aguardando Pix",'Banco de Dados'!$AC162&lt;&gt;"-","Pendente"),"Aguardando Liberação")</f>
        <v>Aguardando Liberação</v>
      </c>
      <c r="AH162" s="5" t="str">
        <f>IF('Banco de Dados'!$F162="-",_xlfn.CONCAT(PROPER(TEXT(AK162,"aaaa"))," ",PROPER(TEXT(AK162,"mm"))),_xlfn.CONCAT(PROPER(TEXT(E162,"aaaa"))," ",PROPER(TEXT(E162,"mm"))))</f>
        <v>2024 10</v>
      </c>
      <c r="AI162" s="9" t="str">
        <f ca="1">IF('Banco de Dados'!$AK162&lt;&gt;"-","REEMBOLSO",IFERROR(_xlfn.XLOOKUP(G162,Follow[CODRASTREIO],Follow[STATUS]),"-"))</f>
        <v>ENTREGUE</v>
      </c>
      <c r="AJ162" s="9">
        <f ca="1">IF('Banco de Dados'!$AI162="ENTREGUE",_xlfn.XLOOKUP('Banco de Dados'!$G162,Follow[CODRASTREIO],Follow[DATAATUALIZAÇÃO]),"-")</f>
        <v>45598</v>
      </c>
      <c r="AK162" s="9" t="str">
        <f ca="1"/>
        <v>-</v>
      </c>
      <c r="AL162" s="35" t="str">
        <v>NÃO</v>
      </c>
      <c r="AM162" s="109" cm="1">
        <f t="array" aca="1" ref="AM162" ca="1">IF('Banco de Dados'!$AK162&lt;&gt;"-",_xlfn.IFS('Banco de Dados'!$A162="bv",IF('Banco de Dados'!$E162&lt;45641,ROUND(SUM('Banco de Dados'!$R162*_xlfn.XLOOKUP('Banco de Dados'!$P162,Sku!B:B,Sku!#REF!)*20%),2),ROUND(SUM('Banco de Dados'!$R162*_xlfn.XLOOKUP('Banco de Dados'!$P162,Sku!B:B,Sku!H:H)*20%),2)),'Banco de Dados'!$A162="GO",ROUND(_xlfn.XLOOKUP('Banco de Dados'!$P162,Sku!C:C,Sku!H:H),2),'Banco de Dados'!$A162="MEI",ROUND(_xlfn.XLOOKUP('Banco de Dados'!$P162,Sku!D:D,Sku!H:H),2)),0)</f>
        <v>0</v>
      </c>
      <c r="AN162" s="109">
        <f ca="1">IF('Banco de Dados'!$AK162&lt;&gt;"-",IF('Banco de Dados'!$F162&lt;&gt;"-",_xlfn.XLOOKUP(IFERROR(IFERROR(IFERROR(VALUE(SUBSTITUTE(MID(_xlfn.TEXTAFTER('Banco de Dados'!$F162,"Data do Pedido:
",1),1,10),"-","/")),VALUE(SUBSTITUTE(MID(_xlfn.TEXTAFTER('Banco de Dados'!$F162,"Order date:
",1),1,10),"-","/"))),VALUE(SUBSTITUTE(MID(_xlfn.TEXTAFTER('Banco de Dados'!$F162,"Fecha de pedido:
",1),1,10),"-","/"))),"-"),SMS!A:A,SMS!K:K),0),0)</f>
        <v>0</v>
      </c>
      <c r="AO162" s="109">
        <f ca="1">IF('Banco de Dados'!$AK162&lt;&gt;"-",IF('Banco de Dados'!$F162&lt;&gt;"-",IFERROR(_xlfn.XLOOKUP(_xlfn.CONCAT('Banco de Dados'!$A162,IFERROR(IFERROR(VALUE(SUBSTITUTE(MID(_xlfn.TEXTAFTER('Banco de Dados'!$F162,"Data do Pedido:
",1),1,10),"-","/")),VALUE(SUBSTITUTE(MID(_xlfn.TEXTAFTER('Banco de Dados'!$F162,"Order date:
",1),1,10),"-","/"))),0)),ProxyDD[Chave],ProxyDD[Valor por pedido]),PROXY!$P$2),0),0)</f>
        <v>0</v>
      </c>
      <c r="AP162" s="28">
        <f ca="1">IF('Banco de Dados'!$AK162&lt;&gt;"-",IF('Banco de Dados'!$AL162="NÃO",IFERROR(VALUE(SUBSTITUTE(_xlfn.TEXTAFTER('Banco de Dados'!$F162,"BRL ",1),".",",")),0),0),0)</f>
        <v>0</v>
      </c>
      <c r="AQ162" s="28">
        <f ca="1">SUM('Banco de Dados'!$AM162:$AP162)</f>
        <v>0</v>
      </c>
      <c r="AR162" s="8"/>
      <c r="AS162" s="8"/>
      <c r="AY162" s="8"/>
    </row>
    <row r="163" spans="1:51">
      <c r="A163" s="5" t="str">
        <v>BV</v>
      </c>
      <c r="B163" s="5" t="str">
        <f ca="1"/>
        <v>BV45594</v>
      </c>
      <c r="C163" s="8" t="str">
        <v>Pedido 160</v>
      </c>
      <c r="D163" s="9">
        <v>45594</v>
      </c>
      <c r="E163" s="9">
        <v>45594</v>
      </c>
      <c r="F163" s="8" t="str">
        <v>PedidoF153</v>
      </c>
      <c r="G163" s="2" t="str">
        <v>CódRastreio153</v>
      </c>
      <c r="H163" s="5">
        <v>1</v>
      </c>
      <c r="I163" s="2" t="str">
        <v>CPF 157</v>
      </c>
      <c r="J163" s="2" t="str">
        <v>Nome 157</v>
      </c>
      <c r="K163" s="8" t="str">
        <v>Tel 157</v>
      </c>
      <c r="L163" s="2" t="str">
        <v>Cep 157</v>
      </c>
      <c r="M163" s="2" t="str">
        <v>Rua 157</v>
      </c>
      <c r="N163" s="2" t="str">
        <v>Comp 157</v>
      </c>
      <c r="O163" s="2" t="str">
        <v>Suporte de Celular Branco</v>
      </c>
      <c r="P163" s="8" t="str">
        <v>16-4EDB-WMZF</v>
      </c>
      <c r="Q163" s="4">
        <v>45610</v>
      </c>
      <c r="R163" s="109">
        <v>15.99</v>
      </c>
      <c r="S163" s="11">
        <f ca="1"/>
        <v>15.99</v>
      </c>
      <c r="T163" s="28">
        <f ca="1"/>
        <v>2.3984999999999999</v>
      </c>
      <c r="U163" s="11">
        <f ca="1"/>
        <v>13.59</v>
      </c>
      <c r="V163" s="11">
        <v>4.99</v>
      </c>
      <c r="W163" s="11">
        <f ca="1"/>
        <v>0.39</v>
      </c>
      <c r="X163" s="11">
        <f ca="1"/>
        <v>0.39877104377104378</v>
      </c>
      <c r="Y163" s="11">
        <v>0</v>
      </c>
      <c r="Z163" s="11">
        <f ca="1"/>
        <v>7.8112289562289563</v>
      </c>
      <c r="AA163" s="11">
        <f ca="1"/>
        <v>3.9056144781144781</v>
      </c>
      <c r="AB163" s="4">
        <f ca="1"/>
        <v>45617</v>
      </c>
      <c r="AC163" s="4">
        <v>45617</v>
      </c>
      <c r="AD163" s="9">
        <v>45617</v>
      </c>
      <c r="AE163" s="9">
        <v>45618</v>
      </c>
      <c r="AF163" s="4" t="str">
        <f t="shared" ca="1" si="2"/>
        <v>2024 11</v>
      </c>
      <c r="AG163" s="8" t="str" cm="1">
        <f t="array" ref="AG163">IFERROR(_xlfn.IFS('Banco de Dados'!#REF!="AG. COMPRA","Em processamento",'Banco de Dados'!#REF!="AG. RASTREIO","Em processamento",'Banco de Dados'!$AE163&lt;&gt;"-","Faturado",'Banco de Dados'!$AD163&lt;&gt;"-","Aguardando Pix",'Banco de Dados'!$AC163&lt;&gt;"-","Pendente"),"Aguardando Liberação")</f>
        <v>Aguardando Liberação</v>
      </c>
      <c r="AH163" s="5" t="str">
        <f>IF('Banco de Dados'!$F163="-",_xlfn.CONCAT(PROPER(TEXT(AK163,"aaaa"))," ",PROPER(TEXT(AK163,"mm"))),_xlfn.CONCAT(PROPER(TEXT(E163,"aaaa"))," ",PROPER(TEXT(E163,"mm"))))</f>
        <v>2024 10</v>
      </c>
      <c r="AI163" s="9" t="str">
        <f ca="1">IF('Banco de Dados'!$AK163&lt;&gt;"-","REEMBOLSO",IFERROR(_xlfn.XLOOKUP(G163,Follow[CODRASTREIO],Follow[STATUS]),"-"))</f>
        <v>ENTREGUE</v>
      </c>
      <c r="AJ163" s="9">
        <f ca="1">IF('Banco de Dados'!$AI163="ENTREGUE",_xlfn.XLOOKUP('Banco de Dados'!$G163,Follow[CODRASTREIO],Follow[DATAATUALIZAÇÃO]),"-")</f>
        <v>45597</v>
      </c>
      <c r="AK163" s="9" t="str">
        <f ca="1"/>
        <v>-</v>
      </c>
      <c r="AL163" s="35" t="str">
        <v>NÃO</v>
      </c>
      <c r="AM163" s="109" cm="1">
        <f t="array" aca="1" ref="AM163" ca="1">IF('Banco de Dados'!$AK163&lt;&gt;"-",_xlfn.IFS('Banco de Dados'!$A163="bv",IF('Banco de Dados'!$E163&lt;45641,ROUND(SUM('Banco de Dados'!$R163*_xlfn.XLOOKUP('Banco de Dados'!$P163,Sku!B:B,Sku!#REF!)*20%),2),ROUND(SUM('Banco de Dados'!$R163*_xlfn.XLOOKUP('Banco de Dados'!$P163,Sku!B:B,Sku!H:H)*20%),2)),'Banco de Dados'!$A163="GO",ROUND(_xlfn.XLOOKUP('Banco de Dados'!$P163,Sku!C:C,Sku!H:H),2),'Banco de Dados'!$A163="MEI",ROUND(_xlfn.XLOOKUP('Banco de Dados'!$P163,Sku!D:D,Sku!H:H),2)),0)</f>
        <v>0</v>
      </c>
      <c r="AN163" s="109">
        <f ca="1">IF('Banco de Dados'!$AK163&lt;&gt;"-",IF('Banco de Dados'!$F163&lt;&gt;"-",_xlfn.XLOOKUP(IFERROR(IFERROR(IFERROR(VALUE(SUBSTITUTE(MID(_xlfn.TEXTAFTER('Banco de Dados'!$F163,"Data do Pedido:
",1),1,10),"-","/")),VALUE(SUBSTITUTE(MID(_xlfn.TEXTAFTER('Banco de Dados'!$F163,"Order date:
",1),1,10),"-","/"))),VALUE(SUBSTITUTE(MID(_xlfn.TEXTAFTER('Banco de Dados'!$F163,"Fecha de pedido:
",1),1,10),"-","/"))),"-"),SMS!A:A,SMS!K:K),0),0)</f>
        <v>0</v>
      </c>
      <c r="AO163" s="109">
        <f ca="1">IF('Banco de Dados'!$AK163&lt;&gt;"-",IF('Banco de Dados'!$F163&lt;&gt;"-",IFERROR(_xlfn.XLOOKUP(_xlfn.CONCAT('Banco de Dados'!$A163,IFERROR(IFERROR(VALUE(SUBSTITUTE(MID(_xlfn.TEXTAFTER('Banco de Dados'!$F163,"Data do Pedido:
",1),1,10),"-","/")),VALUE(SUBSTITUTE(MID(_xlfn.TEXTAFTER('Banco de Dados'!$F163,"Order date:
",1),1,10),"-","/"))),0)),ProxyDD[Chave],ProxyDD[Valor por pedido]),PROXY!$P$2),0),0)</f>
        <v>0</v>
      </c>
      <c r="AP163" s="28">
        <f ca="1">IF('Banco de Dados'!$AK163&lt;&gt;"-",IF('Banco de Dados'!$AL163="NÃO",IFERROR(VALUE(SUBSTITUTE(_xlfn.TEXTAFTER('Banco de Dados'!$F163,"BRL ",1),".",",")),0),0),0)</f>
        <v>0</v>
      </c>
      <c r="AQ163" s="28">
        <f ca="1">SUM('Banco de Dados'!$AM163:$AP163)</f>
        <v>0</v>
      </c>
      <c r="AR163" s="8"/>
      <c r="AS163" s="8"/>
      <c r="AY163" s="8"/>
    </row>
    <row r="164" spans="1:51">
      <c r="A164" s="5" t="str">
        <v>BV</v>
      </c>
      <c r="B164" s="5" t="str">
        <f ca="1"/>
        <v>BV45594</v>
      </c>
      <c r="C164" s="8" t="str">
        <v>Pedido 161</v>
      </c>
      <c r="D164" s="9">
        <v>45594</v>
      </c>
      <c r="E164" s="9">
        <v>45594</v>
      </c>
      <c r="F164" s="8" t="str">
        <v>PedidoF154</v>
      </c>
      <c r="G164" s="2" t="str">
        <v>CódRastreio154</v>
      </c>
      <c r="H164" s="5">
        <v>1</v>
      </c>
      <c r="I164" s="3" t="str">
        <v>CPF 158</v>
      </c>
      <c r="J164" s="2" t="str">
        <v>Nome 158</v>
      </c>
      <c r="K164" s="8" t="str">
        <v>Tel 158</v>
      </c>
      <c r="L164" s="2" t="str">
        <v>Cep 158</v>
      </c>
      <c r="M164" s="2" t="str">
        <v>Rua 158</v>
      </c>
      <c r="N164" s="2" t="str">
        <v>Comp 158</v>
      </c>
      <c r="O164" s="2" t="str">
        <v>Bomba d'agua</v>
      </c>
      <c r="P164" s="8" t="str">
        <v>DJ-RO5O-43GF</v>
      </c>
      <c r="Q164" s="4">
        <v>45619</v>
      </c>
      <c r="R164" s="109">
        <v>18.2</v>
      </c>
      <c r="S164" s="11">
        <f ca="1"/>
        <v>18.2</v>
      </c>
      <c r="T164" s="28">
        <f ca="1"/>
        <v>2.548</v>
      </c>
      <c r="U164" s="11">
        <f ca="1"/>
        <v>15.65</v>
      </c>
      <c r="V164" s="11">
        <v>4.99</v>
      </c>
      <c r="W164" s="11">
        <f ca="1"/>
        <v>0.39</v>
      </c>
      <c r="X164" s="11">
        <f ca="1"/>
        <v>0.39877104377104378</v>
      </c>
      <c r="Y164" s="11">
        <v>0</v>
      </c>
      <c r="Z164" s="11">
        <f ca="1"/>
        <v>9.8712289562289577</v>
      </c>
      <c r="AA164" s="11">
        <f ca="1"/>
        <v>4.9356144781144788</v>
      </c>
      <c r="AB164" s="4">
        <f ca="1"/>
        <v>45626</v>
      </c>
      <c r="AC164" s="4">
        <v>45626</v>
      </c>
      <c r="AD164" s="9">
        <v>45637</v>
      </c>
      <c r="AE164" s="9">
        <v>45642</v>
      </c>
      <c r="AF164" s="4" t="str">
        <f t="shared" ca="1" si="2"/>
        <v>2024 11</v>
      </c>
      <c r="AG164" s="8" t="str" cm="1">
        <f t="array" ref="AG164">IFERROR(_xlfn.IFS('Banco de Dados'!#REF!="AG. COMPRA","Em processamento",'Banco de Dados'!#REF!="AG. RASTREIO","Em processamento",'Banco de Dados'!$AE164&lt;&gt;"-","Faturado",'Banco de Dados'!$AD164&lt;&gt;"-","Aguardando Pix",'Banco de Dados'!$AC164&lt;&gt;"-","Pendente"),"Aguardando Liberação")</f>
        <v>Aguardando Liberação</v>
      </c>
      <c r="AH164" s="5" t="str">
        <f>IF('Banco de Dados'!$F164="-",_xlfn.CONCAT(PROPER(TEXT(AK164,"aaaa"))," ",PROPER(TEXT(AK164,"mm"))),_xlfn.CONCAT(PROPER(TEXT(E164,"aaaa"))," ",PROPER(TEXT(E164,"mm"))))</f>
        <v>2024 10</v>
      </c>
      <c r="AI164" s="9" t="str">
        <f ca="1">IF('Banco de Dados'!$AK164&lt;&gt;"-","REEMBOLSO",IFERROR(_xlfn.XLOOKUP(G164,Follow[CODRASTREIO],Follow[STATUS]),"-"))</f>
        <v>ENTREGUE</v>
      </c>
      <c r="AJ164" s="9">
        <f ca="1">IF('Banco de Dados'!$AI164="ENTREGUE",_xlfn.XLOOKUP('Banco de Dados'!$G164,Follow[CODRASTREIO],Follow[DATAATUALIZAÇÃO]),"-")</f>
        <v>45604</v>
      </c>
      <c r="AK164" s="9" t="str">
        <f ca="1"/>
        <v>-</v>
      </c>
      <c r="AL164" s="35" t="str">
        <v>NÃO</v>
      </c>
      <c r="AM164" s="109" cm="1">
        <f t="array" aca="1" ref="AM164" ca="1">IF('Banco de Dados'!$AK164&lt;&gt;"-",_xlfn.IFS('Banco de Dados'!$A164="bv",IF('Banco de Dados'!$E164&lt;45641,ROUND(SUM('Banco de Dados'!$R164*_xlfn.XLOOKUP('Banco de Dados'!$P164,Sku!B:B,Sku!#REF!)*20%),2),ROUND(SUM('Banco de Dados'!$R164*_xlfn.XLOOKUP('Banco de Dados'!$P164,Sku!B:B,Sku!H:H)*20%),2)),'Banco de Dados'!$A164="GO",ROUND(_xlfn.XLOOKUP('Banco de Dados'!$P164,Sku!C:C,Sku!H:H),2),'Banco de Dados'!$A164="MEI",ROUND(_xlfn.XLOOKUP('Banco de Dados'!$P164,Sku!D:D,Sku!H:H),2)),0)</f>
        <v>0</v>
      </c>
      <c r="AN164" s="109">
        <f ca="1">IF('Banco de Dados'!$AK164&lt;&gt;"-",IF('Banco de Dados'!$F164&lt;&gt;"-",_xlfn.XLOOKUP(IFERROR(IFERROR(IFERROR(VALUE(SUBSTITUTE(MID(_xlfn.TEXTAFTER('Banco de Dados'!$F164,"Data do Pedido:
",1),1,10),"-","/")),VALUE(SUBSTITUTE(MID(_xlfn.TEXTAFTER('Banco de Dados'!$F164,"Order date:
",1),1,10),"-","/"))),VALUE(SUBSTITUTE(MID(_xlfn.TEXTAFTER('Banco de Dados'!$F164,"Fecha de pedido:
",1),1,10),"-","/"))),"-"),SMS!A:A,SMS!K:K),0),0)</f>
        <v>0</v>
      </c>
      <c r="AO164" s="109">
        <f ca="1">IF('Banco de Dados'!$AK164&lt;&gt;"-",IF('Banco de Dados'!$F164&lt;&gt;"-",IFERROR(_xlfn.XLOOKUP(_xlfn.CONCAT('Banco de Dados'!$A164,IFERROR(IFERROR(VALUE(SUBSTITUTE(MID(_xlfn.TEXTAFTER('Banco de Dados'!$F164,"Data do Pedido:
",1),1,10),"-","/")),VALUE(SUBSTITUTE(MID(_xlfn.TEXTAFTER('Banco de Dados'!$F164,"Order date:
",1),1,10),"-","/"))),0)),ProxyDD[Chave],ProxyDD[Valor por pedido]),PROXY!$P$2),0),0)</f>
        <v>0</v>
      </c>
      <c r="AP164" s="28">
        <f ca="1">IF('Banco de Dados'!$AK164&lt;&gt;"-",IF('Banco de Dados'!$AL164="NÃO",IFERROR(VALUE(SUBSTITUTE(_xlfn.TEXTAFTER('Banco de Dados'!$F164,"BRL ",1),".",",")),0),0),0)</f>
        <v>0</v>
      </c>
      <c r="AQ164" s="28">
        <f ca="1">SUM('Banco de Dados'!$AM164:$AP164)</f>
        <v>0</v>
      </c>
      <c r="AR164" s="8"/>
      <c r="AS164" s="8"/>
      <c r="AY164" s="8"/>
    </row>
    <row r="165" spans="1:51">
      <c r="A165" s="5" t="str">
        <v>BV</v>
      </c>
      <c r="B165" s="5" t="str">
        <f ca="1"/>
        <v>BV45594</v>
      </c>
      <c r="C165" s="8" t="str">
        <v>Pedido 162</v>
      </c>
      <c r="D165" s="9">
        <v>45594</v>
      </c>
      <c r="E165" s="9">
        <v>45594</v>
      </c>
      <c r="F165" s="8" t="str">
        <v>PedidoF155</v>
      </c>
      <c r="G165" s="2" t="str">
        <v>CódRastreio155</v>
      </c>
      <c r="H165" s="5">
        <v>1</v>
      </c>
      <c r="I165" s="3" t="str">
        <v>CPF 159</v>
      </c>
      <c r="J165" s="2" t="str">
        <v>Nome 159</v>
      </c>
      <c r="K165" s="8" t="str">
        <v>Tel 159</v>
      </c>
      <c r="L165" s="2" t="str">
        <v>Cep 159</v>
      </c>
      <c r="M165" s="2" t="str">
        <v>Rua 159</v>
      </c>
      <c r="N165" s="2" t="str">
        <v>Comp 159</v>
      </c>
      <c r="O165" s="2" t="str">
        <v>Suporte de Celular Preto</v>
      </c>
      <c r="P165" s="8" t="str">
        <v>9G-BN48-QAPH</v>
      </c>
      <c r="Q165" s="4">
        <v>45619</v>
      </c>
      <c r="R165" s="109">
        <v>15.99</v>
      </c>
      <c r="S165" s="11">
        <f ca="1"/>
        <v>15.99</v>
      </c>
      <c r="T165" s="28">
        <f ca="1"/>
        <v>2.3984999999999999</v>
      </c>
      <c r="U165" s="11">
        <f ca="1"/>
        <v>13.59</v>
      </c>
      <c r="V165" s="11">
        <v>4.99</v>
      </c>
      <c r="W165" s="11">
        <f ca="1"/>
        <v>0.39</v>
      </c>
      <c r="X165" s="11">
        <f ca="1"/>
        <v>0.39877104377104378</v>
      </c>
      <c r="Y165" s="11">
        <v>0</v>
      </c>
      <c r="Z165" s="11">
        <f ca="1"/>
        <v>7.8112289562289563</v>
      </c>
      <c r="AA165" s="11">
        <f ca="1"/>
        <v>3.9056144781144781</v>
      </c>
      <c r="AB165" s="4">
        <f ca="1"/>
        <v>45626</v>
      </c>
      <c r="AC165" s="4">
        <v>45626</v>
      </c>
      <c r="AD165" s="9">
        <v>45637</v>
      </c>
      <c r="AE165" s="9">
        <v>45642</v>
      </c>
      <c r="AF165" s="4" t="str">
        <f t="shared" ca="1" si="2"/>
        <v>2024 11</v>
      </c>
      <c r="AG165" s="8" t="str" cm="1">
        <f t="array" ref="AG165">IFERROR(_xlfn.IFS('Banco de Dados'!#REF!="AG. COMPRA","Em processamento",'Banco de Dados'!#REF!="AG. RASTREIO","Em processamento",'Banco de Dados'!$AE165&lt;&gt;"-","Faturado",'Banco de Dados'!$AD165&lt;&gt;"-","Aguardando Pix",'Banco de Dados'!$AC165&lt;&gt;"-","Pendente"),"Aguardando Liberação")</f>
        <v>Aguardando Liberação</v>
      </c>
      <c r="AH165" s="5" t="str">
        <f>IF('Banco de Dados'!$F165="-",_xlfn.CONCAT(PROPER(TEXT(AK165,"aaaa"))," ",PROPER(TEXT(AK165,"mm"))),_xlfn.CONCAT(PROPER(TEXT(E165,"aaaa"))," ",PROPER(TEXT(E165,"mm"))))</f>
        <v>2024 10</v>
      </c>
      <c r="AI165" s="9" t="str">
        <f ca="1">IF('Banco de Dados'!$AK165&lt;&gt;"-","REEMBOLSO",IFERROR(_xlfn.XLOOKUP(G165,Follow[CODRASTREIO],Follow[STATUS]),"-"))</f>
        <v>ENTREGUE</v>
      </c>
      <c r="AJ165" s="9">
        <f ca="1">IF('Banco de Dados'!$AI165="ENTREGUE",_xlfn.XLOOKUP('Banco de Dados'!$G165,Follow[CODRASTREIO],Follow[DATAATUALIZAÇÃO]),"-")</f>
        <v>45610</v>
      </c>
      <c r="AK165" s="9" t="str">
        <f ca="1"/>
        <v>-</v>
      </c>
      <c r="AL165" s="35" t="str">
        <v>NÃO</v>
      </c>
      <c r="AM165" s="109" cm="1">
        <f t="array" aca="1" ref="AM165" ca="1">IF('Banco de Dados'!$AK165&lt;&gt;"-",_xlfn.IFS('Banco de Dados'!$A165="bv",IF('Banco de Dados'!$E165&lt;45641,ROUND(SUM('Banco de Dados'!$R165*_xlfn.XLOOKUP('Banco de Dados'!$P165,Sku!B:B,Sku!#REF!)*20%),2),ROUND(SUM('Banco de Dados'!$R165*_xlfn.XLOOKUP('Banco de Dados'!$P165,Sku!B:B,Sku!H:H)*20%),2)),'Banco de Dados'!$A165="GO",ROUND(_xlfn.XLOOKUP('Banco de Dados'!$P165,Sku!C:C,Sku!H:H),2),'Banco de Dados'!$A165="MEI",ROUND(_xlfn.XLOOKUP('Banco de Dados'!$P165,Sku!D:D,Sku!H:H),2)),0)</f>
        <v>0</v>
      </c>
      <c r="AN165" s="109">
        <f ca="1">IF('Banco de Dados'!$AK165&lt;&gt;"-",IF('Banco de Dados'!$F165&lt;&gt;"-",_xlfn.XLOOKUP(IFERROR(IFERROR(IFERROR(VALUE(SUBSTITUTE(MID(_xlfn.TEXTAFTER('Banco de Dados'!$F165,"Data do Pedido:
",1),1,10),"-","/")),VALUE(SUBSTITUTE(MID(_xlfn.TEXTAFTER('Banco de Dados'!$F165,"Order date:
",1),1,10),"-","/"))),VALUE(SUBSTITUTE(MID(_xlfn.TEXTAFTER('Banco de Dados'!$F165,"Fecha de pedido:
",1),1,10),"-","/"))),"-"),SMS!A:A,SMS!K:K),0),0)</f>
        <v>0</v>
      </c>
      <c r="AO165" s="109">
        <f ca="1">IF('Banco de Dados'!$AK165&lt;&gt;"-",IF('Banco de Dados'!$F165&lt;&gt;"-",IFERROR(_xlfn.XLOOKUP(_xlfn.CONCAT('Banco de Dados'!$A165,IFERROR(IFERROR(VALUE(SUBSTITUTE(MID(_xlfn.TEXTAFTER('Banco de Dados'!$F165,"Data do Pedido:
",1),1,10),"-","/")),VALUE(SUBSTITUTE(MID(_xlfn.TEXTAFTER('Banco de Dados'!$F165,"Order date:
",1),1,10),"-","/"))),0)),ProxyDD[Chave],ProxyDD[Valor por pedido]),PROXY!$P$2),0),0)</f>
        <v>0</v>
      </c>
      <c r="AP165" s="28">
        <f ca="1">IF('Banco de Dados'!$AK165&lt;&gt;"-",IF('Banco de Dados'!$AL165="NÃO",IFERROR(VALUE(SUBSTITUTE(_xlfn.TEXTAFTER('Banco de Dados'!$F165,"BRL ",1),".",",")),0),0),0)</f>
        <v>0</v>
      </c>
      <c r="AQ165" s="28">
        <f ca="1">SUM('Banco de Dados'!$AM165:$AP165)</f>
        <v>0</v>
      </c>
      <c r="AR165" s="8"/>
      <c r="AS165" s="8"/>
      <c r="AY165" s="8"/>
    </row>
    <row r="166" spans="1:51">
      <c r="A166" s="5" t="str">
        <v>BV</v>
      </c>
      <c r="B166" s="5" t="str">
        <f ca="1"/>
        <v>BV45594</v>
      </c>
      <c r="C166" s="8" t="str">
        <v>Pedido 163</v>
      </c>
      <c r="D166" s="9">
        <v>45594</v>
      </c>
      <c r="E166" s="9">
        <v>45594</v>
      </c>
      <c r="F166" s="8" t="str">
        <v>PedidoF156</v>
      </c>
      <c r="G166" s="2" t="str">
        <v>CódRastreio156</v>
      </c>
      <c r="H166" s="5">
        <v>1</v>
      </c>
      <c r="I166" s="2" t="str">
        <v>CPF 160</v>
      </c>
      <c r="J166" s="2" t="str">
        <v>Nome 160</v>
      </c>
      <c r="K166" s="8" t="str">
        <v>Tel 160</v>
      </c>
      <c r="L166" s="2" t="str">
        <v>Cep 160</v>
      </c>
      <c r="M166" s="2" t="str">
        <v>Rua 160</v>
      </c>
      <c r="N166" s="2" t="str">
        <v>Comp 160</v>
      </c>
      <c r="O166" s="2" t="str">
        <v>Balança</v>
      </c>
      <c r="P166" s="8" t="str">
        <v>P4-K63S-8KOM</v>
      </c>
      <c r="Q166" s="4">
        <v>45608</v>
      </c>
      <c r="R166" s="109">
        <v>17.7</v>
      </c>
      <c r="S166" s="11">
        <f ca="1"/>
        <v>17.7</v>
      </c>
      <c r="T166" s="28">
        <f ca="1"/>
        <v>2.3010000000000002</v>
      </c>
      <c r="U166" s="11">
        <f ca="1"/>
        <v>15.4</v>
      </c>
      <c r="V166" s="11">
        <v>9</v>
      </c>
      <c r="W166" s="11">
        <f ca="1"/>
        <v>0.39</v>
      </c>
      <c r="X166" s="11">
        <f ca="1"/>
        <v>0.39877104377104378</v>
      </c>
      <c r="Y166" s="11">
        <v>0</v>
      </c>
      <c r="Z166" s="11">
        <f ca="1"/>
        <v>5.6112289562289561</v>
      </c>
      <c r="AA166" s="11">
        <f ca="1"/>
        <v>2.8056144781144781</v>
      </c>
      <c r="AB166" s="4">
        <f ca="1"/>
        <v>45615</v>
      </c>
      <c r="AC166" s="4">
        <v>45615</v>
      </c>
      <c r="AD166" s="9">
        <v>45617</v>
      </c>
      <c r="AE166" s="9">
        <v>45618</v>
      </c>
      <c r="AF166" s="4" t="str">
        <f t="shared" ca="1" si="2"/>
        <v>2024 11</v>
      </c>
      <c r="AG166" s="8" t="str" cm="1">
        <f t="array" ref="AG166">IFERROR(_xlfn.IFS('Banco de Dados'!#REF!="AG. COMPRA","Em processamento",'Banco de Dados'!#REF!="AG. RASTREIO","Em processamento",'Banco de Dados'!$AE166&lt;&gt;"-","Faturado",'Banco de Dados'!$AD166&lt;&gt;"-","Aguardando Pix",'Banco de Dados'!$AC166&lt;&gt;"-","Pendente"),"Aguardando Liberação")</f>
        <v>Aguardando Liberação</v>
      </c>
      <c r="AH166" s="5" t="str">
        <f>IF('Banco de Dados'!$F166="-",_xlfn.CONCAT(PROPER(TEXT(AK166,"aaaa"))," ",PROPER(TEXT(AK166,"mm"))),_xlfn.CONCAT(PROPER(TEXT(E166,"aaaa"))," ",PROPER(TEXT(E166,"mm"))))</f>
        <v>2024 10</v>
      </c>
      <c r="AI166" s="9" t="str">
        <f ca="1">IF('Banco de Dados'!$AK166&lt;&gt;"-","REEMBOLSO",IFERROR(_xlfn.XLOOKUP(G166,Follow[CODRASTREIO],Follow[STATUS]),"-"))</f>
        <v>ENTREGUE</v>
      </c>
      <c r="AJ166" s="9">
        <f ca="1">IF('Banco de Dados'!$AI166="ENTREGUE",_xlfn.XLOOKUP('Banco de Dados'!$G166,Follow[CODRASTREIO],Follow[DATAATUALIZAÇÃO]),"-")</f>
        <v>45600</v>
      </c>
      <c r="AK166" s="9" t="str">
        <f ca="1"/>
        <v>-</v>
      </c>
      <c r="AL166" s="35" t="str">
        <v>NÃO</v>
      </c>
      <c r="AM166" s="109" cm="1">
        <f t="array" aca="1" ref="AM166" ca="1">IF('Banco de Dados'!$AK166&lt;&gt;"-",_xlfn.IFS('Banco de Dados'!$A166="bv",IF('Banco de Dados'!$E166&lt;45641,ROUND(SUM('Banco de Dados'!$R166*_xlfn.XLOOKUP('Banco de Dados'!$P166,Sku!B:B,Sku!#REF!)*20%),2),ROUND(SUM('Banco de Dados'!$R166*_xlfn.XLOOKUP('Banco de Dados'!$P166,Sku!B:B,Sku!H:H)*20%),2)),'Banco de Dados'!$A166="GO",ROUND(_xlfn.XLOOKUP('Banco de Dados'!$P166,Sku!C:C,Sku!H:H),2),'Banco de Dados'!$A166="MEI",ROUND(_xlfn.XLOOKUP('Banco de Dados'!$P166,Sku!D:D,Sku!H:H),2)),0)</f>
        <v>0</v>
      </c>
      <c r="AN166" s="109">
        <f ca="1">IF('Banco de Dados'!$AK166&lt;&gt;"-",IF('Banco de Dados'!$F166&lt;&gt;"-",_xlfn.XLOOKUP(IFERROR(IFERROR(IFERROR(VALUE(SUBSTITUTE(MID(_xlfn.TEXTAFTER('Banco de Dados'!$F166,"Data do Pedido:
",1),1,10),"-","/")),VALUE(SUBSTITUTE(MID(_xlfn.TEXTAFTER('Banco de Dados'!$F166,"Order date:
",1),1,10),"-","/"))),VALUE(SUBSTITUTE(MID(_xlfn.TEXTAFTER('Banco de Dados'!$F166,"Fecha de pedido:
",1),1,10),"-","/"))),"-"),SMS!A:A,SMS!K:K),0),0)</f>
        <v>0</v>
      </c>
      <c r="AO166" s="109">
        <f ca="1">IF('Banco de Dados'!$AK166&lt;&gt;"-",IF('Banco de Dados'!$F166&lt;&gt;"-",IFERROR(_xlfn.XLOOKUP(_xlfn.CONCAT('Banco de Dados'!$A166,IFERROR(IFERROR(VALUE(SUBSTITUTE(MID(_xlfn.TEXTAFTER('Banco de Dados'!$F166,"Data do Pedido:
",1),1,10),"-","/")),VALUE(SUBSTITUTE(MID(_xlfn.TEXTAFTER('Banco de Dados'!$F166,"Order date:
",1),1,10),"-","/"))),0)),ProxyDD[Chave],ProxyDD[Valor por pedido]),PROXY!$P$2),0),0)</f>
        <v>0</v>
      </c>
      <c r="AP166" s="28">
        <f ca="1">IF('Banco de Dados'!$AK166&lt;&gt;"-",IF('Banco de Dados'!$AL166="NÃO",IFERROR(VALUE(SUBSTITUTE(_xlfn.TEXTAFTER('Banco de Dados'!$F166,"BRL ",1),".",",")),0),0),0)</f>
        <v>0</v>
      </c>
      <c r="AQ166" s="28">
        <f ca="1">SUM('Banco de Dados'!$AM166:$AP166)</f>
        <v>0</v>
      </c>
      <c r="AR166" s="8"/>
      <c r="AS166" s="8"/>
      <c r="AY166" s="8"/>
    </row>
    <row r="167" spans="1:51">
      <c r="A167" s="5" t="str">
        <v>BV</v>
      </c>
      <c r="B167" s="5" t="str">
        <f ca="1"/>
        <v>BV45594</v>
      </c>
      <c r="C167" s="8" t="str">
        <v>Pedido 164</v>
      </c>
      <c r="D167" s="9">
        <v>45594</v>
      </c>
      <c r="E167" s="9">
        <v>45594</v>
      </c>
      <c r="F167" s="8" t="str">
        <v>PedidoF157</v>
      </c>
      <c r="G167" s="2" t="str">
        <v>CódRastreio157</v>
      </c>
      <c r="H167" s="5">
        <v>1</v>
      </c>
      <c r="I167" s="181" t="str">
        <v>CPF 161</v>
      </c>
      <c r="J167" s="2" t="str">
        <v>Nome 161</v>
      </c>
      <c r="K167" s="8" t="str">
        <v>Tel 161</v>
      </c>
      <c r="L167" s="2" t="str">
        <v>Cep 161</v>
      </c>
      <c r="M167" s="2" t="str">
        <v>Rua 161</v>
      </c>
      <c r="N167" s="2" t="str">
        <v>Comp 161</v>
      </c>
      <c r="O167" s="2" t="str">
        <v>Suporte de Celular Branco</v>
      </c>
      <c r="P167" s="8" t="str">
        <v>16-4EDB-WMZF</v>
      </c>
      <c r="Q167" s="4">
        <v>45615</v>
      </c>
      <c r="R167" s="109">
        <v>15.99</v>
      </c>
      <c r="S167" s="11">
        <f ca="1"/>
        <v>15.99</v>
      </c>
      <c r="T167" s="28">
        <f ca="1"/>
        <v>2.3984999999999999</v>
      </c>
      <c r="U167" s="11">
        <f ca="1"/>
        <v>13.59</v>
      </c>
      <c r="V167" s="11">
        <v>4.99</v>
      </c>
      <c r="W167" s="11">
        <f ca="1"/>
        <v>0.39</v>
      </c>
      <c r="X167" s="11">
        <f ca="1"/>
        <v>0.39877104377104378</v>
      </c>
      <c r="Y167" s="11">
        <v>0</v>
      </c>
      <c r="Z167" s="11">
        <f ca="1"/>
        <v>7.8112289562289563</v>
      </c>
      <c r="AA167" s="11">
        <f ca="1"/>
        <v>3.9056144781144781</v>
      </c>
      <c r="AB167" s="4">
        <f ca="1"/>
        <v>45622</v>
      </c>
      <c r="AC167" s="4">
        <v>45622</v>
      </c>
      <c r="AD167" s="9">
        <v>45625</v>
      </c>
      <c r="AE167" s="9">
        <v>45625</v>
      </c>
      <c r="AF167" s="4" t="str">
        <f t="shared" ca="1" si="2"/>
        <v>2024 11</v>
      </c>
      <c r="AG167" s="8" t="str" cm="1">
        <f t="array" ref="AG167">IFERROR(_xlfn.IFS('Banco de Dados'!#REF!="AG. COMPRA","Em processamento",'Banco de Dados'!#REF!="AG. RASTREIO","Em processamento",'Banco de Dados'!$AE167&lt;&gt;"-","Faturado",'Banco de Dados'!$AD167&lt;&gt;"-","Aguardando Pix",'Banco de Dados'!$AC167&lt;&gt;"-","Pendente"),"Aguardando Liberação")</f>
        <v>Aguardando Liberação</v>
      </c>
      <c r="AH167" s="5" t="str">
        <f>IF('Banco de Dados'!$F167="-",_xlfn.CONCAT(PROPER(TEXT(AK167,"aaaa"))," ",PROPER(TEXT(AK167,"mm"))),_xlfn.CONCAT(PROPER(TEXT(E167,"aaaa"))," ",PROPER(TEXT(E167,"mm"))))</f>
        <v>2024 10</v>
      </c>
      <c r="AI167" s="9" t="str">
        <f ca="1">IF('Banco de Dados'!$AK167&lt;&gt;"-","REEMBOLSO",IFERROR(_xlfn.XLOOKUP(G167,Follow[CODRASTREIO],Follow[STATUS]),"-"))</f>
        <v>ENTREGUE</v>
      </c>
      <c r="AJ167" s="9">
        <f ca="1">IF('Banco de Dados'!$AI167="ENTREGUE",_xlfn.XLOOKUP('Banco de Dados'!$G167,Follow[CODRASTREIO],Follow[DATAATUALIZAÇÃO]),"-")</f>
        <v>45600</v>
      </c>
      <c r="AK167" s="9" t="str">
        <f ca="1"/>
        <v>-</v>
      </c>
      <c r="AL167" s="35" t="str">
        <v>NÃO</v>
      </c>
      <c r="AM167" s="109" cm="1">
        <f t="array" aca="1" ref="AM167" ca="1">IF('Banco de Dados'!$AK167&lt;&gt;"-",_xlfn.IFS('Banco de Dados'!$A167="bv",IF('Banco de Dados'!$E167&lt;45641,ROUND(SUM('Banco de Dados'!$R167*_xlfn.XLOOKUP('Banco de Dados'!$P167,Sku!B:B,Sku!#REF!)*20%),2),ROUND(SUM('Banco de Dados'!$R167*_xlfn.XLOOKUP('Banco de Dados'!$P167,Sku!B:B,Sku!H:H)*20%),2)),'Banco de Dados'!$A167="GO",ROUND(_xlfn.XLOOKUP('Banco de Dados'!$P167,Sku!C:C,Sku!H:H),2),'Banco de Dados'!$A167="MEI",ROUND(_xlfn.XLOOKUP('Banco de Dados'!$P167,Sku!D:D,Sku!H:H),2)),0)</f>
        <v>0</v>
      </c>
      <c r="AN167" s="109">
        <f ca="1">IF('Banco de Dados'!$AK167&lt;&gt;"-",IF('Banco de Dados'!$F167&lt;&gt;"-",_xlfn.XLOOKUP(IFERROR(IFERROR(IFERROR(VALUE(SUBSTITUTE(MID(_xlfn.TEXTAFTER('Banco de Dados'!$F167,"Data do Pedido:
",1),1,10),"-","/")),VALUE(SUBSTITUTE(MID(_xlfn.TEXTAFTER('Banco de Dados'!$F167,"Order date:
",1),1,10),"-","/"))),VALUE(SUBSTITUTE(MID(_xlfn.TEXTAFTER('Banco de Dados'!$F167,"Fecha de pedido:
",1),1,10),"-","/"))),"-"),SMS!A:A,SMS!K:K),0),0)</f>
        <v>0</v>
      </c>
      <c r="AO167" s="109">
        <f ca="1">IF('Banco de Dados'!$AK167&lt;&gt;"-",IF('Banco de Dados'!$F167&lt;&gt;"-",IFERROR(_xlfn.XLOOKUP(_xlfn.CONCAT('Banco de Dados'!$A167,IFERROR(IFERROR(VALUE(SUBSTITUTE(MID(_xlfn.TEXTAFTER('Banco de Dados'!$F167,"Data do Pedido:
",1),1,10),"-","/")),VALUE(SUBSTITUTE(MID(_xlfn.TEXTAFTER('Banco de Dados'!$F167,"Order date:
",1),1,10),"-","/"))),0)),ProxyDD[Chave],ProxyDD[Valor por pedido]),PROXY!$P$2),0),0)</f>
        <v>0</v>
      </c>
      <c r="AP167" s="28">
        <f ca="1">IF('Banco de Dados'!$AK167&lt;&gt;"-",IF('Banco de Dados'!$AL167="NÃO",IFERROR(VALUE(SUBSTITUTE(_xlfn.TEXTAFTER('Banco de Dados'!$F167,"BRL ",1),".",",")),0),0),0)</f>
        <v>0</v>
      </c>
      <c r="AQ167" s="28">
        <f ca="1">SUM('Banco de Dados'!$AM167:$AP167)</f>
        <v>0</v>
      </c>
      <c r="AR167" s="8"/>
      <c r="AS167" s="8"/>
      <c r="AY167" s="8"/>
    </row>
    <row r="168" spans="1:51">
      <c r="A168" s="5" t="str">
        <v>BV</v>
      </c>
      <c r="B168" s="5" t="str">
        <f ca="1"/>
        <v>BV45594</v>
      </c>
      <c r="C168" s="8" t="str">
        <v>Pedido 165</v>
      </c>
      <c r="D168" s="9">
        <v>45594</v>
      </c>
      <c r="E168" s="9">
        <v>45594</v>
      </c>
      <c r="F168" s="8" t="str">
        <v>PedidoF158</v>
      </c>
      <c r="G168" s="2" t="str">
        <v>CódRastreio158</v>
      </c>
      <c r="H168" s="5">
        <v>1</v>
      </c>
      <c r="I168" s="181" t="str">
        <v>CPF 162</v>
      </c>
      <c r="J168" s="2" t="str">
        <v>Nome 162</v>
      </c>
      <c r="K168" s="8" t="str">
        <v>Tel 162</v>
      </c>
      <c r="L168" s="2" t="str">
        <v>Cep 162</v>
      </c>
      <c r="M168" s="2" t="str">
        <v>Rua 162</v>
      </c>
      <c r="N168" s="2" t="str">
        <v>Comp 162</v>
      </c>
      <c r="O168" s="2" t="str">
        <v>Ventilador de teto</v>
      </c>
      <c r="P168" s="8" t="str">
        <v>ZO-J9IL-EN6L</v>
      </c>
      <c r="Q168" s="4">
        <v>45622</v>
      </c>
      <c r="R168" s="109">
        <v>59.4</v>
      </c>
      <c r="S168" s="11">
        <f ca="1"/>
        <v>59.4</v>
      </c>
      <c r="T168" s="28">
        <f ca="1"/>
        <v>8.3160000000000007</v>
      </c>
      <c r="U168" s="11">
        <f ca="1"/>
        <v>51.08</v>
      </c>
      <c r="V168" s="11">
        <v>7.26</v>
      </c>
      <c r="W168" s="11">
        <f ca="1"/>
        <v>0.39</v>
      </c>
      <c r="X168" s="11">
        <f ca="1"/>
        <v>0.39877104377104378</v>
      </c>
      <c r="Y168" s="11">
        <v>0</v>
      </c>
      <c r="Z168" s="11">
        <f ca="1"/>
        <v>43.031228956228958</v>
      </c>
      <c r="AA168" s="11">
        <f ca="1"/>
        <v>21.515614478114479</v>
      </c>
      <c r="AB168" s="4">
        <f ca="1"/>
        <v>45629</v>
      </c>
      <c r="AC168" s="4">
        <v>45629</v>
      </c>
      <c r="AD168" s="9">
        <v>45637</v>
      </c>
      <c r="AE168" s="9">
        <v>45642</v>
      </c>
      <c r="AF168" s="4" t="str">
        <f t="shared" ca="1" si="2"/>
        <v>2024 12</v>
      </c>
      <c r="AG168" s="8" t="str" cm="1">
        <f t="array" ref="AG168">IFERROR(_xlfn.IFS('Banco de Dados'!#REF!="AG. COMPRA","Em processamento",'Banco de Dados'!#REF!="AG. RASTREIO","Em processamento",'Banco de Dados'!$AE168&lt;&gt;"-","Faturado",'Banco de Dados'!$AD168&lt;&gt;"-","Aguardando Pix",'Banco de Dados'!$AC168&lt;&gt;"-","Pendente"),"Aguardando Liberação")</f>
        <v>Aguardando Liberação</v>
      </c>
      <c r="AH168" s="5" t="str">
        <f>IF('Banco de Dados'!$F168="-",_xlfn.CONCAT(PROPER(TEXT(AK168,"aaaa"))," ",PROPER(TEXT(AK168,"mm"))),_xlfn.CONCAT(PROPER(TEXT(E168,"aaaa"))," ",PROPER(TEXT(E168,"mm"))))</f>
        <v>2024 10</v>
      </c>
      <c r="AI168" s="9" t="str">
        <f ca="1">IF('Banco de Dados'!$AK168&lt;&gt;"-","REEMBOLSO",IFERROR(_xlfn.XLOOKUP(G168,Follow[CODRASTREIO],Follow[STATUS]),"-"))</f>
        <v>ENTREGUE</v>
      </c>
      <c r="AJ168" s="9">
        <f ca="1">IF('Banco de Dados'!$AI168="ENTREGUE",_xlfn.XLOOKUP('Banco de Dados'!$G168,Follow[CODRASTREIO],Follow[DATAATUALIZAÇÃO]),"-")</f>
        <v>45607</v>
      </c>
      <c r="AK168" s="9" t="str">
        <f ca="1"/>
        <v>-</v>
      </c>
      <c r="AL168" s="35" t="str">
        <v>SIM</v>
      </c>
      <c r="AM168" s="109" cm="1">
        <f t="array" aca="1" ref="AM168" ca="1">IF('Banco de Dados'!$AK168&lt;&gt;"-",_xlfn.IFS('Banco de Dados'!$A168="bv",IF('Banco de Dados'!$E168&lt;45641,ROUND(SUM('Banco de Dados'!$R168*_xlfn.XLOOKUP('Banco de Dados'!$P168,Sku!B:B,Sku!#REF!)*20%),2),ROUND(SUM('Banco de Dados'!$R168*_xlfn.XLOOKUP('Banco de Dados'!$P168,Sku!B:B,Sku!H:H)*20%),2)),'Banco de Dados'!$A168="GO",ROUND(_xlfn.XLOOKUP('Banco de Dados'!$P168,Sku!C:C,Sku!H:H),2),'Banco de Dados'!$A168="MEI",ROUND(_xlfn.XLOOKUP('Banco de Dados'!$P168,Sku!D:D,Sku!H:H),2)),0)</f>
        <v>0</v>
      </c>
      <c r="AN168" s="109">
        <f ca="1">IF('Banco de Dados'!$AK168&lt;&gt;"-",IF('Banco de Dados'!$F168&lt;&gt;"-",_xlfn.XLOOKUP(IFERROR(IFERROR(IFERROR(VALUE(SUBSTITUTE(MID(_xlfn.TEXTAFTER('Banco de Dados'!$F168,"Data do Pedido:
",1),1,10),"-","/")),VALUE(SUBSTITUTE(MID(_xlfn.TEXTAFTER('Banco de Dados'!$F168,"Order date:
",1),1,10),"-","/"))),VALUE(SUBSTITUTE(MID(_xlfn.TEXTAFTER('Banco de Dados'!$F168,"Fecha de pedido:
",1),1,10),"-","/"))),"-"),SMS!A:A,SMS!K:K),0),0)</f>
        <v>0</v>
      </c>
      <c r="AO168" s="109">
        <f ca="1">IF('Banco de Dados'!$AK168&lt;&gt;"-",IF('Banco de Dados'!$F168&lt;&gt;"-",IFERROR(_xlfn.XLOOKUP(_xlfn.CONCAT('Banco de Dados'!$A168,IFERROR(IFERROR(VALUE(SUBSTITUTE(MID(_xlfn.TEXTAFTER('Banco de Dados'!$F168,"Data do Pedido:
",1),1,10),"-","/")),VALUE(SUBSTITUTE(MID(_xlfn.TEXTAFTER('Banco de Dados'!$F168,"Order date:
",1),1,10),"-","/"))),0)),ProxyDD[Chave],ProxyDD[Valor por pedido]),PROXY!$P$2),0),0)</f>
        <v>0</v>
      </c>
      <c r="AP168" s="28">
        <f ca="1">IF('Banco de Dados'!$AK168&lt;&gt;"-",IF('Banco de Dados'!$AL168="NÃO",IFERROR(VALUE(SUBSTITUTE(_xlfn.TEXTAFTER('Banco de Dados'!$F168,"BRL ",1),".",",")),0),0),0)</f>
        <v>0</v>
      </c>
      <c r="AQ168" s="28">
        <f ca="1">SUM('Banco de Dados'!$AM168:$AP168)</f>
        <v>0</v>
      </c>
      <c r="AR168" s="8"/>
      <c r="AS168" s="8"/>
      <c r="AY168" s="8"/>
    </row>
    <row r="169" spans="1:51">
      <c r="A169" s="5" t="str">
        <v>BV</v>
      </c>
      <c r="B169" s="5" t="str">
        <f ca="1"/>
        <v>BV45594</v>
      </c>
      <c r="C169" s="8" t="str">
        <v>Pedido 166</v>
      </c>
      <c r="D169" s="9">
        <v>45594</v>
      </c>
      <c r="E169" s="9">
        <v>45594</v>
      </c>
      <c r="F169" s="8" t="str">
        <v>PedidoF159</v>
      </c>
      <c r="G169" s="2" t="str">
        <v>CódRastreio159</v>
      </c>
      <c r="H169" s="5">
        <v>1</v>
      </c>
      <c r="I169" s="181" t="str">
        <v>CPF 163</v>
      </c>
      <c r="J169" s="2" t="str">
        <v>Nome 163</v>
      </c>
      <c r="K169" s="8" t="str">
        <v>Tel 163</v>
      </c>
      <c r="L169" s="2" t="str">
        <v>Cep 163</v>
      </c>
      <c r="M169" s="2" t="str">
        <v>Rua 163</v>
      </c>
      <c r="N169" s="2" t="str">
        <v>Comp 163</v>
      </c>
      <c r="O169" s="2" t="str">
        <v>Ventilador de teto</v>
      </c>
      <c r="P169" s="8" t="str">
        <v>ZO-J9IL-EN6L</v>
      </c>
      <c r="Q169" s="4">
        <v>45622</v>
      </c>
      <c r="R169" s="109">
        <v>59.4</v>
      </c>
      <c r="S169" s="11">
        <f ca="1"/>
        <v>59.4</v>
      </c>
      <c r="T169" s="28">
        <f ca="1"/>
        <v>8.3160000000000007</v>
      </c>
      <c r="U169" s="11">
        <f ca="1"/>
        <v>51.08</v>
      </c>
      <c r="V169" s="11">
        <v>7.26</v>
      </c>
      <c r="W169" s="11">
        <f ca="1"/>
        <v>0.39</v>
      </c>
      <c r="X169" s="11">
        <f ca="1"/>
        <v>0.39877104377104378</v>
      </c>
      <c r="Y169" s="11">
        <v>0</v>
      </c>
      <c r="Z169" s="11">
        <f ca="1"/>
        <v>43.031228956228958</v>
      </c>
      <c r="AA169" s="11">
        <f ca="1"/>
        <v>21.515614478114479</v>
      </c>
      <c r="AB169" s="4">
        <f ca="1"/>
        <v>45629</v>
      </c>
      <c r="AC169" s="4">
        <v>45629</v>
      </c>
      <c r="AD169" s="9">
        <v>45637</v>
      </c>
      <c r="AE169" s="9">
        <v>45642</v>
      </c>
      <c r="AF169" s="4" t="str">
        <f t="shared" ca="1" si="2"/>
        <v>2024 12</v>
      </c>
      <c r="AG169" s="8" t="str" cm="1">
        <f t="array" ref="AG169">IFERROR(_xlfn.IFS('Banco de Dados'!#REF!="AG. COMPRA","Em processamento",'Banco de Dados'!#REF!="AG. RASTREIO","Em processamento",'Banco de Dados'!$AE169&lt;&gt;"-","Faturado",'Banco de Dados'!$AD169&lt;&gt;"-","Aguardando Pix",'Banco de Dados'!$AC169&lt;&gt;"-","Pendente"),"Aguardando Liberação")</f>
        <v>Aguardando Liberação</v>
      </c>
      <c r="AH169" s="5" t="str">
        <f>IF('Banco de Dados'!$F169="-",_xlfn.CONCAT(PROPER(TEXT(AK169,"aaaa"))," ",PROPER(TEXT(AK169,"mm"))),_xlfn.CONCAT(PROPER(TEXT(E169,"aaaa"))," ",PROPER(TEXT(E169,"mm"))))</f>
        <v>2024 10</v>
      </c>
      <c r="AI169" s="9" t="str">
        <f ca="1">IF('Banco de Dados'!$AK169&lt;&gt;"-","REEMBOLSO",IFERROR(_xlfn.XLOOKUP(G169,Follow[CODRASTREIO],Follow[STATUS]),"-"))</f>
        <v>ENTREGUE</v>
      </c>
      <c r="AJ169" s="9">
        <f ca="1">IF('Banco de Dados'!$AI169="ENTREGUE",_xlfn.XLOOKUP('Banco de Dados'!$G169,Follow[CODRASTREIO],Follow[DATAATUALIZAÇÃO]),"-")</f>
        <v>45610</v>
      </c>
      <c r="AK169" s="9" t="str">
        <f ca="1"/>
        <v>-</v>
      </c>
      <c r="AL169" s="35" t="str">
        <v>NÃO</v>
      </c>
      <c r="AM169" s="109" cm="1">
        <f t="array" aca="1" ref="AM169" ca="1">IF('Banco de Dados'!$AK169&lt;&gt;"-",_xlfn.IFS('Banco de Dados'!$A169="bv",IF('Banco de Dados'!$E169&lt;45641,ROUND(SUM('Banco de Dados'!$R169*_xlfn.XLOOKUP('Banco de Dados'!$P169,Sku!B:B,Sku!#REF!)*20%),2),ROUND(SUM('Banco de Dados'!$R169*_xlfn.XLOOKUP('Banco de Dados'!$P169,Sku!B:B,Sku!H:H)*20%),2)),'Banco de Dados'!$A169="GO",ROUND(_xlfn.XLOOKUP('Banco de Dados'!$P169,Sku!C:C,Sku!H:H),2),'Banco de Dados'!$A169="MEI",ROUND(_xlfn.XLOOKUP('Banco de Dados'!$P169,Sku!D:D,Sku!H:H),2)),0)</f>
        <v>0</v>
      </c>
      <c r="AN169" s="109">
        <f ca="1">IF('Banco de Dados'!$AK169&lt;&gt;"-",IF('Banco de Dados'!$F169&lt;&gt;"-",_xlfn.XLOOKUP(IFERROR(IFERROR(IFERROR(VALUE(SUBSTITUTE(MID(_xlfn.TEXTAFTER('Banco de Dados'!$F169,"Data do Pedido:
",1),1,10),"-","/")),VALUE(SUBSTITUTE(MID(_xlfn.TEXTAFTER('Banco de Dados'!$F169,"Order date:
",1),1,10),"-","/"))),VALUE(SUBSTITUTE(MID(_xlfn.TEXTAFTER('Banco de Dados'!$F169,"Fecha de pedido:
",1),1,10),"-","/"))),"-"),SMS!A:A,SMS!K:K),0),0)</f>
        <v>0</v>
      </c>
      <c r="AO169" s="109">
        <f ca="1">IF('Banco de Dados'!$AK169&lt;&gt;"-",IF('Banco de Dados'!$F169&lt;&gt;"-",IFERROR(_xlfn.XLOOKUP(_xlfn.CONCAT('Banco de Dados'!$A169,IFERROR(IFERROR(VALUE(SUBSTITUTE(MID(_xlfn.TEXTAFTER('Banco de Dados'!$F169,"Data do Pedido:
",1),1,10),"-","/")),VALUE(SUBSTITUTE(MID(_xlfn.TEXTAFTER('Banco de Dados'!$F169,"Order date:
",1),1,10),"-","/"))),0)),ProxyDD[Chave],ProxyDD[Valor por pedido]),PROXY!$P$2),0),0)</f>
        <v>0</v>
      </c>
      <c r="AP169" s="28">
        <f ca="1">IF('Banco de Dados'!$AK169&lt;&gt;"-",IF('Banco de Dados'!$AL169="NÃO",IFERROR(VALUE(SUBSTITUTE(_xlfn.TEXTAFTER('Banco de Dados'!$F169,"BRL ",1),".",",")),0),0),0)</f>
        <v>0</v>
      </c>
      <c r="AQ169" s="28">
        <f ca="1">SUM('Banco de Dados'!$AM169:$AP169)</f>
        <v>0</v>
      </c>
      <c r="AR169" s="8"/>
      <c r="AS169" s="8"/>
      <c r="AY169" s="8"/>
    </row>
    <row r="170" spans="1:51">
      <c r="A170" s="5" t="str">
        <v>BV</v>
      </c>
      <c r="B170" s="5" t="str">
        <f ca="1"/>
        <v>BV45595</v>
      </c>
      <c r="C170" s="8" t="str">
        <v>Pedido 167</v>
      </c>
      <c r="D170" s="9">
        <v>45595</v>
      </c>
      <c r="E170" s="9">
        <v>45595</v>
      </c>
      <c r="F170" s="8" t="str">
        <v>PedidoF160</v>
      </c>
      <c r="G170" s="2" t="str">
        <v>CódRastreio160</v>
      </c>
      <c r="H170" s="5">
        <v>1</v>
      </c>
      <c r="I170" s="182" t="str">
        <v>CPF 164</v>
      </c>
      <c r="J170" s="2" t="str">
        <v>Nome 164</v>
      </c>
      <c r="K170" s="8" t="str">
        <v>Tel 164</v>
      </c>
      <c r="L170" s="2" t="str">
        <v>Cep 164</v>
      </c>
      <c r="M170" s="2" t="str">
        <v>Rua 164</v>
      </c>
      <c r="N170" s="2" t="str">
        <v>Comp 164</v>
      </c>
      <c r="O170" s="2" t="str">
        <v>Bomba d'agua</v>
      </c>
      <c r="P170" s="8" t="str">
        <v>DJ-RO5O-43GF</v>
      </c>
      <c r="Q170" s="4">
        <v>45608</v>
      </c>
      <c r="R170" s="109">
        <v>18.2</v>
      </c>
      <c r="S170" s="11">
        <f ca="1"/>
        <v>18.2</v>
      </c>
      <c r="T170" s="28">
        <f ca="1"/>
        <v>2.548</v>
      </c>
      <c r="U170" s="11">
        <f ca="1"/>
        <v>15.65</v>
      </c>
      <c r="V170" s="11">
        <v>4.99</v>
      </c>
      <c r="W170" s="11">
        <f ca="1"/>
        <v>0.35</v>
      </c>
      <c r="X170" s="11">
        <f ca="1"/>
        <v>0.39877104377104378</v>
      </c>
      <c r="Y170" s="11">
        <v>0</v>
      </c>
      <c r="Z170" s="11">
        <f ca="1"/>
        <v>9.9112289562289568</v>
      </c>
      <c r="AA170" s="11">
        <f ca="1"/>
        <v>4.9556144781144784</v>
      </c>
      <c r="AB170" s="4">
        <f ca="1"/>
        <v>45615</v>
      </c>
      <c r="AC170" s="4">
        <v>45615</v>
      </c>
      <c r="AD170" s="9">
        <v>45617</v>
      </c>
      <c r="AE170" s="9">
        <v>45618</v>
      </c>
      <c r="AF170" s="4" t="str">
        <f t="shared" ca="1" si="2"/>
        <v>2024 11</v>
      </c>
      <c r="AG170" s="8" t="str" cm="1">
        <f t="array" ref="AG170">IFERROR(_xlfn.IFS('Banco de Dados'!#REF!="AG. COMPRA","Em processamento",'Banco de Dados'!#REF!="AG. RASTREIO","Em processamento",'Banco de Dados'!$AE170&lt;&gt;"-","Faturado",'Banco de Dados'!$AD170&lt;&gt;"-","Aguardando Pix",'Banco de Dados'!$AC170&lt;&gt;"-","Pendente"),"Aguardando Liberação")</f>
        <v>Aguardando Liberação</v>
      </c>
      <c r="AH170" s="5" t="str">
        <f>IF('Banco de Dados'!$F170="-",_xlfn.CONCAT(PROPER(TEXT(AK170,"aaaa"))," ",PROPER(TEXT(AK170,"mm"))),_xlfn.CONCAT(PROPER(TEXT(E170,"aaaa"))," ",PROPER(TEXT(E170,"mm"))))</f>
        <v>2024 10</v>
      </c>
      <c r="AI170" s="9" t="str">
        <f ca="1">IF('Banco de Dados'!$AK170&lt;&gt;"-","REEMBOLSO",IFERROR(_xlfn.XLOOKUP(G170,Follow[CODRASTREIO],Follow[STATUS]),"-"))</f>
        <v>ENTREGUE</v>
      </c>
      <c r="AJ170" s="9">
        <f ca="1">IF('Banco de Dados'!$AI170="ENTREGUE",_xlfn.XLOOKUP('Banco de Dados'!$G170,Follow[CODRASTREIO],Follow[DATAATUALIZAÇÃO]),"-")</f>
        <v>45600</v>
      </c>
      <c r="AK170" s="9" t="str">
        <f ca="1"/>
        <v>-</v>
      </c>
      <c r="AL170" s="35" t="str">
        <v>NÃO</v>
      </c>
      <c r="AM170" s="109" cm="1">
        <f t="array" aca="1" ref="AM170" ca="1">IF('Banco de Dados'!$AK170&lt;&gt;"-",_xlfn.IFS('Banco de Dados'!$A170="bv",IF('Banco de Dados'!$E170&lt;45641,ROUND(SUM('Banco de Dados'!$R170*_xlfn.XLOOKUP('Banco de Dados'!$P170,Sku!B:B,Sku!#REF!)*20%),2),ROUND(SUM('Banco de Dados'!$R170*_xlfn.XLOOKUP('Banco de Dados'!$P170,Sku!B:B,Sku!H:H)*20%),2)),'Banco de Dados'!$A170="GO",ROUND(_xlfn.XLOOKUP('Banco de Dados'!$P170,Sku!C:C,Sku!H:H),2),'Banco de Dados'!$A170="MEI",ROUND(_xlfn.XLOOKUP('Banco de Dados'!$P170,Sku!D:D,Sku!H:H),2)),0)</f>
        <v>0</v>
      </c>
      <c r="AN170" s="109">
        <f ca="1">IF('Banco de Dados'!$AK170&lt;&gt;"-",IF('Banco de Dados'!$F170&lt;&gt;"-",_xlfn.XLOOKUP(IFERROR(IFERROR(IFERROR(VALUE(SUBSTITUTE(MID(_xlfn.TEXTAFTER('Banco de Dados'!$F170,"Data do Pedido:
",1),1,10),"-","/")),VALUE(SUBSTITUTE(MID(_xlfn.TEXTAFTER('Banco de Dados'!$F170,"Order date:
",1),1,10),"-","/"))),VALUE(SUBSTITUTE(MID(_xlfn.TEXTAFTER('Banco de Dados'!$F170,"Fecha de pedido:
",1),1,10),"-","/"))),"-"),SMS!A:A,SMS!K:K),0),0)</f>
        <v>0</v>
      </c>
      <c r="AO170" s="109">
        <f ca="1">IF('Banco de Dados'!$AK170&lt;&gt;"-",IF('Banco de Dados'!$F170&lt;&gt;"-",IFERROR(_xlfn.XLOOKUP(_xlfn.CONCAT('Banco de Dados'!$A170,IFERROR(IFERROR(VALUE(SUBSTITUTE(MID(_xlfn.TEXTAFTER('Banco de Dados'!$F170,"Data do Pedido:
",1),1,10),"-","/")),VALUE(SUBSTITUTE(MID(_xlfn.TEXTAFTER('Banco de Dados'!$F170,"Order date:
",1),1,10),"-","/"))),0)),ProxyDD[Chave],ProxyDD[Valor por pedido]),PROXY!$P$2),0),0)</f>
        <v>0</v>
      </c>
      <c r="AP170" s="28">
        <f ca="1">IF('Banco de Dados'!$AK170&lt;&gt;"-",IF('Banco de Dados'!$AL170="NÃO",IFERROR(VALUE(SUBSTITUTE(_xlfn.TEXTAFTER('Banco de Dados'!$F170,"BRL ",1),".",",")),0),0),0)</f>
        <v>0</v>
      </c>
      <c r="AQ170" s="28">
        <f ca="1">SUM('Banco de Dados'!$AM170:$AP170)</f>
        <v>0</v>
      </c>
      <c r="AR170" s="8"/>
      <c r="AS170" s="8"/>
      <c r="AY170" s="8"/>
    </row>
    <row r="171" spans="1:51">
      <c r="A171" s="5" t="str">
        <v>BV</v>
      </c>
      <c r="B171" s="5" t="str">
        <f ca="1"/>
        <v>BV45595</v>
      </c>
      <c r="C171" s="8" t="str">
        <v>Pedido 168</v>
      </c>
      <c r="D171" s="9">
        <v>45595</v>
      </c>
      <c r="E171" s="9">
        <v>45595</v>
      </c>
      <c r="F171" s="8" t="str">
        <v>PedidoF161</v>
      </c>
      <c r="G171" s="2" t="str">
        <v>CódRastreio161</v>
      </c>
      <c r="H171" s="5">
        <v>1</v>
      </c>
      <c r="I171" s="182" t="str">
        <v>CPF 165</v>
      </c>
      <c r="J171" s="2" t="str">
        <v>Nome 165</v>
      </c>
      <c r="K171" s="8" t="str">
        <v>Tel 165</v>
      </c>
      <c r="L171" s="2" t="str">
        <v>Cep 165</v>
      </c>
      <c r="M171" s="2" t="str">
        <v>Rua 165</v>
      </c>
      <c r="N171" s="2" t="str">
        <v>Comp 165</v>
      </c>
      <c r="O171" s="2" t="str">
        <v>Bomba d'agua</v>
      </c>
      <c r="P171" s="8" t="str">
        <v>DJ-RO5O-43GF</v>
      </c>
      <c r="Q171" s="4">
        <v>45610</v>
      </c>
      <c r="R171" s="109">
        <v>18.2</v>
      </c>
      <c r="S171" s="11">
        <f ca="1"/>
        <v>18.2</v>
      </c>
      <c r="T171" s="28">
        <f ca="1"/>
        <v>2.548</v>
      </c>
      <c r="U171" s="11">
        <f ca="1"/>
        <v>15.65</v>
      </c>
      <c r="V171" s="11">
        <v>4.99</v>
      </c>
      <c r="W171" s="11">
        <f ca="1"/>
        <v>0.35</v>
      </c>
      <c r="X171" s="11">
        <f ca="1"/>
        <v>0.39877104377104378</v>
      </c>
      <c r="Y171" s="11">
        <v>0</v>
      </c>
      <c r="Z171" s="11">
        <f ca="1"/>
        <v>9.9112289562289568</v>
      </c>
      <c r="AA171" s="11">
        <f ca="1"/>
        <v>4.9556144781144784</v>
      </c>
      <c r="AB171" s="4">
        <f ca="1"/>
        <v>45617</v>
      </c>
      <c r="AC171" s="4">
        <v>45617</v>
      </c>
      <c r="AD171" s="9">
        <v>45617</v>
      </c>
      <c r="AE171" s="9">
        <v>45618</v>
      </c>
      <c r="AF171" s="4" t="str">
        <f t="shared" ca="1" si="2"/>
        <v>2024 11</v>
      </c>
      <c r="AG171" s="8" t="str" cm="1">
        <f t="array" ref="AG171">IFERROR(_xlfn.IFS('Banco de Dados'!#REF!="AG. COMPRA","Em processamento",'Banco de Dados'!#REF!="AG. RASTREIO","Em processamento",'Banco de Dados'!$AE171&lt;&gt;"-","Faturado",'Banco de Dados'!$AD171&lt;&gt;"-","Aguardando Pix",'Banco de Dados'!$AC171&lt;&gt;"-","Pendente"),"Aguardando Liberação")</f>
        <v>Aguardando Liberação</v>
      </c>
      <c r="AH171" s="5" t="str">
        <f>IF('Banco de Dados'!$F171="-",_xlfn.CONCAT(PROPER(TEXT(AK171,"aaaa"))," ",PROPER(TEXT(AK171,"mm"))),_xlfn.CONCAT(PROPER(TEXT(E171,"aaaa"))," ",PROPER(TEXT(E171,"mm"))))</f>
        <v>2024 10</v>
      </c>
      <c r="AI171" s="9" t="str">
        <f ca="1">IF('Banco de Dados'!$AK171&lt;&gt;"-","REEMBOLSO",IFERROR(_xlfn.XLOOKUP(G171,Follow[CODRASTREIO],Follow[STATUS]),"-"))</f>
        <v>ENTREGUE</v>
      </c>
      <c r="AJ171" s="9">
        <f ca="1">IF('Banco de Dados'!$AI171="ENTREGUE",_xlfn.XLOOKUP('Banco de Dados'!$G171,Follow[CODRASTREIO],Follow[DATAATUALIZAÇÃO]),"-")</f>
        <v>45603</v>
      </c>
      <c r="AK171" s="9" t="str">
        <f ca="1"/>
        <v>-</v>
      </c>
      <c r="AL171" s="35" t="str">
        <v>NÃO</v>
      </c>
      <c r="AM171" s="109" cm="1">
        <f t="array" aca="1" ref="AM171" ca="1">IF('Banco de Dados'!$AK171&lt;&gt;"-",_xlfn.IFS('Banco de Dados'!$A171="bv",IF('Banco de Dados'!$E171&lt;45641,ROUND(SUM('Banco de Dados'!$R171*_xlfn.XLOOKUP('Banco de Dados'!$P171,Sku!B:B,Sku!#REF!)*20%),2),ROUND(SUM('Banco de Dados'!$R171*_xlfn.XLOOKUP('Banco de Dados'!$P171,Sku!B:B,Sku!H:H)*20%),2)),'Banco de Dados'!$A171="GO",ROUND(_xlfn.XLOOKUP('Banco de Dados'!$P171,Sku!C:C,Sku!H:H),2),'Banco de Dados'!$A171="MEI",ROUND(_xlfn.XLOOKUP('Banco de Dados'!$P171,Sku!D:D,Sku!H:H),2)),0)</f>
        <v>0</v>
      </c>
      <c r="AN171" s="109">
        <f ca="1">IF('Banco de Dados'!$AK171&lt;&gt;"-",IF('Banco de Dados'!$F171&lt;&gt;"-",_xlfn.XLOOKUP(IFERROR(IFERROR(IFERROR(VALUE(SUBSTITUTE(MID(_xlfn.TEXTAFTER('Banco de Dados'!$F171,"Data do Pedido:
",1),1,10),"-","/")),VALUE(SUBSTITUTE(MID(_xlfn.TEXTAFTER('Banco de Dados'!$F171,"Order date:
",1),1,10),"-","/"))),VALUE(SUBSTITUTE(MID(_xlfn.TEXTAFTER('Banco de Dados'!$F171,"Fecha de pedido:
",1),1,10),"-","/"))),"-"),SMS!A:A,SMS!K:K),0),0)</f>
        <v>0</v>
      </c>
      <c r="AO171" s="109">
        <f ca="1">IF('Banco de Dados'!$AK171&lt;&gt;"-",IF('Banco de Dados'!$F171&lt;&gt;"-",IFERROR(_xlfn.XLOOKUP(_xlfn.CONCAT('Banco de Dados'!$A171,IFERROR(IFERROR(VALUE(SUBSTITUTE(MID(_xlfn.TEXTAFTER('Banco de Dados'!$F171,"Data do Pedido:
",1),1,10),"-","/")),VALUE(SUBSTITUTE(MID(_xlfn.TEXTAFTER('Banco de Dados'!$F171,"Order date:
",1),1,10),"-","/"))),0)),ProxyDD[Chave],ProxyDD[Valor por pedido]),PROXY!$P$2),0),0)</f>
        <v>0</v>
      </c>
      <c r="AP171" s="28">
        <f ca="1">IF('Banco de Dados'!$AK171&lt;&gt;"-",IF('Banco de Dados'!$AL171="NÃO",IFERROR(VALUE(SUBSTITUTE(_xlfn.TEXTAFTER('Banco de Dados'!$F171,"BRL ",1),".",",")),0),0),0)</f>
        <v>0</v>
      </c>
      <c r="AQ171" s="28">
        <f ca="1">SUM('Banco de Dados'!$AM171:$AP171)</f>
        <v>0</v>
      </c>
      <c r="AR171" s="8"/>
      <c r="AS171" s="8"/>
      <c r="AY171" s="8"/>
    </row>
    <row r="172" spans="1:51">
      <c r="A172" s="5" t="str">
        <v>BV</v>
      </c>
      <c r="B172" s="5" t="str">
        <f ca="1"/>
        <v>BV45595</v>
      </c>
      <c r="C172" s="8" t="str">
        <v>Pedido 169</v>
      </c>
      <c r="D172" s="9">
        <v>45595</v>
      </c>
      <c r="E172" s="9">
        <v>45595</v>
      </c>
      <c r="F172" s="8" t="str">
        <v>PedidoF162</v>
      </c>
      <c r="G172" s="2" t="str">
        <v>CódRastreio162</v>
      </c>
      <c r="H172" s="5">
        <v>1</v>
      </c>
      <c r="I172" s="182" t="str">
        <v>CPF 166</v>
      </c>
      <c r="J172" s="2" t="str">
        <v>Nome 166</v>
      </c>
      <c r="K172" s="8" t="str">
        <v>Tel 166</v>
      </c>
      <c r="L172" s="2" t="str">
        <v>Cep 166</v>
      </c>
      <c r="M172" s="2" t="str">
        <v>Rua 166</v>
      </c>
      <c r="N172" s="2" t="str">
        <v>Comp 166</v>
      </c>
      <c r="O172" s="2" t="str">
        <v>Suporte de Celular Branco</v>
      </c>
      <c r="P172" s="8" t="str">
        <v>16-4EDB-WMZF</v>
      </c>
      <c r="Q172" s="4">
        <v>45610</v>
      </c>
      <c r="R172" s="109">
        <v>15.99</v>
      </c>
      <c r="S172" s="11">
        <f ca="1"/>
        <v>15.99</v>
      </c>
      <c r="T172" s="28">
        <f ca="1"/>
        <v>2.3984999999999999</v>
      </c>
      <c r="U172" s="11">
        <f ca="1"/>
        <v>13.59</v>
      </c>
      <c r="V172" s="11">
        <v>4.99</v>
      </c>
      <c r="W172" s="11">
        <f ca="1"/>
        <v>0.35</v>
      </c>
      <c r="X172" s="11">
        <f ca="1"/>
        <v>0.39877104377104378</v>
      </c>
      <c r="Y172" s="11">
        <v>0</v>
      </c>
      <c r="Z172" s="11">
        <f ca="1"/>
        <v>7.8512289562289563</v>
      </c>
      <c r="AA172" s="11">
        <f ca="1"/>
        <v>3.9256144781144782</v>
      </c>
      <c r="AB172" s="4">
        <f ca="1"/>
        <v>45617</v>
      </c>
      <c r="AC172" s="4">
        <v>45617</v>
      </c>
      <c r="AD172" s="9">
        <v>45617</v>
      </c>
      <c r="AE172" s="9">
        <v>45618</v>
      </c>
      <c r="AF172" s="4" t="str">
        <f t="shared" ca="1" si="2"/>
        <v>2024 11</v>
      </c>
      <c r="AG172" s="8" t="str" cm="1">
        <f t="array" ref="AG172">IFERROR(_xlfn.IFS('Banco de Dados'!#REF!="AG. COMPRA","Em processamento",'Banco de Dados'!#REF!="AG. RASTREIO","Em processamento",'Banco de Dados'!$AE172&lt;&gt;"-","Faturado",'Banco de Dados'!$AD172&lt;&gt;"-","Aguardando Pix",'Banco de Dados'!$AC172&lt;&gt;"-","Pendente"),"Aguardando Liberação")</f>
        <v>Aguardando Liberação</v>
      </c>
      <c r="AH172" s="5" t="str">
        <f>IF('Banco de Dados'!$F172="-",_xlfn.CONCAT(PROPER(TEXT(AK172,"aaaa"))," ",PROPER(TEXT(AK172,"mm"))),_xlfn.CONCAT(PROPER(TEXT(E172,"aaaa"))," ",PROPER(TEXT(E172,"mm"))))</f>
        <v>2024 10</v>
      </c>
      <c r="AI172" s="9" t="str">
        <f ca="1">IF('Banco de Dados'!$AK172&lt;&gt;"-","REEMBOLSO",IFERROR(_xlfn.XLOOKUP(G172,Follow[CODRASTREIO],Follow[STATUS]),"-"))</f>
        <v>ENTREGUE</v>
      </c>
      <c r="AJ172" s="9">
        <f ca="1">IF('Banco de Dados'!$AI172="ENTREGUE",_xlfn.XLOOKUP('Banco de Dados'!$G172,Follow[CODRASTREIO],Follow[DATAATUALIZAÇÃO]),"-")</f>
        <v>45598</v>
      </c>
      <c r="AK172" s="9" t="str">
        <f ca="1"/>
        <v>-</v>
      </c>
      <c r="AL172" s="35" t="str">
        <v>NÃO</v>
      </c>
      <c r="AM172" s="109" cm="1">
        <f t="array" aca="1" ref="AM172" ca="1">IF('Banco de Dados'!$AK172&lt;&gt;"-",_xlfn.IFS('Banco de Dados'!$A172="bv",IF('Banco de Dados'!$E172&lt;45641,ROUND(SUM('Banco de Dados'!$R172*_xlfn.XLOOKUP('Banco de Dados'!$P172,Sku!B:B,Sku!#REF!)*20%),2),ROUND(SUM('Banco de Dados'!$R172*_xlfn.XLOOKUP('Banco de Dados'!$P172,Sku!B:B,Sku!H:H)*20%),2)),'Banco de Dados'!$A172="GO",ROUND(_xlfn.XLOOKUP('Banco de Dados'!$P172,Sku!C:C,Sku!H:H),2),'Banco de Dados'!$A172="MEI",ROUND(_xlfn.XLOOKUP('Banco de Dados'!$P172,Sku!D:D,Sku!H:H),2)),0)</f>
        <v>0</v>
      </c>
      <c r="AN172" s="109">
        <f ca="1">IF('Banco de Dados'!$AK172&lt;&gt;"-",IF('Banco de Dados'!$F172&lt;&gt;"-",_xlfn.XLOOKUP(IFERROR(IFERROR(IFERROR(VALUE(SUBSTITUTE(MID(_xlfn.TEXTAFTER('Banco de Dados'!$F172,"Data do Pedido:
",1),1,10),"-","/")),VALUE(SUBSTITUTE(MID(_xlfn.TEXTAFTER('Banco de Dados'!$F172,"Order date:
",1),1,10),"-","/"))),VALUE(SUBSTITUTE(MID(_xlfn.TEXTAFTER('Banco de Dados'!$F172,"Fecha de pedido:
",1),1,10),"-","/"))),"-"),SMS!A:A,SMS!K:K),0),0)</f>
        <v>0</v>
      </c>
      <c r="AO172" s="109">
        <f ca="1">IF('Banco de Dados'!$AK172&lt;&gt;"-",IF('Banco de Dados'!$F172&lt;&gt;"-",IFERROR(_xlfn.XLOOKUP(_xlfn.CONCAT('Banco de Dados'!$A172,IFERROR(IFERROR(VALUE(SUBSTITUTE(MID(_xlfn.TEXTAFTER('Banco de Dados'!$F172,"Data do Pedido:
",1),1,10),"-","/")),VALUE(SUBSTITUTE(MID(_xlfn.TEXTAFTER('Banco de Dados'!$F172,"Order date:
",1),1,10),"-","/"))),0)),ProxyDD[Chave],ProxyDD[Valor por pedido]),PROXY!$P$2),0),0)</f>
        <v>0</v>
      </c>
      <c r="AP172" s="28">
        <f ca="1">IF('Banco de Dados'!$AK172&lt;&gt;"-",IF('Banco de Dados'!$AL172="NÃO",IFERROR(VALUE(SUBSTITUTE(_xlfn.TEXTAFTER('Banco de Dados'!$F172,"BRL ",1),".",",")),0),0),0)</f>
        <v>0</v>
      </c>
      <c r="AQ172" s="28">
        <f ca="1">SUM('Banco de Dados'!$AM172:$AP172)</f>
        <v>0</v>
      </c>
      <c r="AR172" s="8"/>
      <c r="AS172" s="8"/>
      <c r="AY172" s="8"/>
    </row>
    <row r="173" spans="1:51">
      <c r="A173" s="5" t="str">
        <v>BV</v>
      </c>
      <c r="B173" s="5" t="str">
        <f ca="1"/>
        <v>BV45595</v>
      </c>
      <c r="C173" s="8" t="str">
        <v>Pedido 170</v>
      </c>
      <c r="D173" s="9">
        <v>45595</v>
      </c>
      <c r="E173" s="9">
        <v>45595</v>
      </c>
      <c r="F173" s="8" t="str">
        <v>PedidoF163</v>
      </c>
      <c r="G173" s="2" t="str">
        <v>CódRastreio163</v>
      </c>
      <c r="H173" s="5">
        <v>1</v>
      </c>
      <c r="I173" s="182" t="str">
        <v>CPF 167</v>
      </c>
      <c r="J173" s="2" t="str">
        <v>Nome 167</v>
      </c>
      <c r="K173" s="8" t="str">
        <v>Tel 167</v>
      </c>
      <c r="L173" s="2" t="str">
        <v>Cep 167</v>
      </c>
      <c r="M173" s="2" t="str">
        <v>Rua 167</v>
      </c>
      <c r="N173" s="2" t="str">
        <v>Comp 167</v>
      </c>
      <c r="O173" s="2" t="str">
        <v>Suporte de Celular Branco</v>
      </c>
      <c r="P173" s="8" t="str">
        <v>16-4EDB-WMZF</v>
      </c>
      <c r="Q173" s="4">
        <v>45610</v>
      </c>
      <c r="R173" s="109">
        <v>15.99</v>
      </c>
      <c r="S173" s="11">
        <f ca="1"/>
        <v>15.99</v>
      </c>
      <c r="T173" s="28">
        <f ca="1"/>
        <v>2.3984999999999999</v>
      </c>
      <c r="U173" s="11">
        <f ca="1"/>
        <v>13.59</v>
      </c>
      <c r="V173" s="11">
        <v>4.99</v>
      </c>
      <c r="W173" s="11">
        <f ca="1"/>
        <v>0.35</v>
      </c>
      <c r="X173" s="11">
        <f ca="1"/>
        <v>0.39877104377104378</v>
      </c>
      <c r="Y173" s="11">
        <v>0</v>
      </c>
      <c r="Z173" s="11">
        <f ca="1"/>
        <v>7.8512289562289563</v>
      </c>
      <c r="AA173" s="11">
        <f ca="1"/>
        <v>3.9256144781144782</v>
      </c>
      <c r="AB173" s="4">
        <f ca="1"/>
        <v>45617</v>
      </c>
      <c r="AC173" s="4">
        <v>45617</v>
      </c>
      <c r="AD173" s="9">
        <v>45617</v>
      </c>
      <c r="AE173" s="9">
        <v>45618</v>
      </c>
      <c r="AF173" s="4" t="str">
        <f t="shared" ca="1" si="2"/>
        <v>2024 11</v>
      </c>
      <c r="AG173" s="8" t="str" cm="1">
        <f t="array" ref="AG173">IFERROR(_xlfn.IFS('Banco de Dados'!#REF!="AG. COMPRA","Em processamento",'Banco de Dados'!#REF!="AG. RASTREIO","Em processamento",'Banco de Dados'!$AE173&lt;&gt;"-","Faturado",'Banco de Dados'!$AD173&lt;&gt;"-","Aguardando Pix",'Banco de Dados'!$AC173&lt;&gt;"-","Pendente"),"Aguardando Liberação")</f>
        <v>Aguardando Liberação</v>
      </c>
      <c r="AH173" s="5" t="str">
        <f>IF('Banco de Dados'!$F173="-",_xlfn.CONCAT(PROPER(TEXT(AK173,"aaaa"))," ",PROPER(TEXT(AK173,"mm"))),_xlfn.CONCAT(PROPER(TEXT(E173,"aaaa"))," ",PROPER(TEXT(E173,"mm"))))</f>
        <v>2024 10</v>
      </c>
      <c r="AI173" s="9" t="str">
        <f ca="1">IF('Banco de Dados'!$AK173&lt;&gt;"-","REEMBOLSO",IFERROR(_xlfn.XLOOKUP(G173,Follow[CODRASTREIO],Follow[STATUS]),"-"))</f>
        <v>ENTREGUE</v>
      </c>
      <c r="AJ173" s="9">
        <f ca="1">IF('Banco de Dados'!$AI173="ENTREGUE",_xlfn.XLOOKUP('Banco de Dados'!$G173,Follow[CODRASTREIO],Follow[DATAATUALIZAÇÃO]),"-")</f>
        <v>45600</v>
      </c>
      <c r="AK173" s="9" t="str">
        <f ca="1"/>
        <v>-</v>
      </c>
      <c r="AL173" s="35" t="str">
        <v>NÃO</v>
      </c>
      <c r="AM173" s="109" cm="1">
        <f t="array" aca="1" ref="AM173" ca="1">IF('Banco de Dados'!$AK173&lt;&gt;"-",_xlfn.IFS('Banco de Dados'!$A173="bv",IF('Banco de Dados'!$E173&lt;45641,ROUND(SUM('Banco de Dados'!$R173*_xlfn.XLOOKUP('Banco de Dados'!$P173,Sku!B:B,Sku!#REF!)*20%),2),ROUND(SUM('Banco de Dados'!$R173*_xlfn.XLOOKUP('Banco de Dados'!$P173,Sku!B:B,Sku!H:H)*20%),2)),'Banco de Dados'!$A173="GO",ROUND(_xlfn.XLOOKUP('Banco de Dados'!$P173,Sku!C:C,Sku!H:H),2),'Banco de Dados'!$A173="MEI",ROUND(_xlfn.XLOOKUP('Banco de Dados'!$P173,Sku!D:D,Sku!H:H),2)),0)</f>
        <v>0</v>
      </c>
      <c r="AN173" s="109">
        <f ca="1">IF('Banco de Dados'!$AK173&lt;&gt;"-",IF('Banco de Dados'!$F173&lt;&gt;"-",_xlfn.XLOOKUP(IFERROR(IFERROR(IFERROR(VALUE(SUBSTITUTE(MID(_xlfn.TEXTAFTER('Banco de Dados'!$F173,"Data do Pedido:
",1),1,10),"-","/")),VALUE(SUBSTITUTE(MID(_xlfn.TEXTAFTER('Banco de Dados'!$F173,"Order date:
",1),1,10),"-","/"))),VALUE(SUBSTITUTE(MID(_xlfn.TEXTAFTER('Banco de Dados'!$F173,"Fecha de pedido:
",1),1,10),"-","/"))),"-"),SMS!A:A,SMS!K:K),0),0)</f>
        <v>0</v>
      </c>
      <c r="AO173" s="109">
        <f ca="1">IF('Banco de Dados'!$AK173&lt;&gt;"-",IF('Banco de Dados'!$F173&lt;&gt;"-",IFERROR(_xlfn.XLOOKUP(_xlfn.CONCAT('Banco de Dados'!$A173,IFERROR(IFERROR(VALUE(SUBSTITUTE(MID(_xlfn.TEXTAFTER('Banco de Dados'!$F173,"Data do Pedido:
",1),1,10),"-","/")),VALUE(SUBSTITUTE(MID(_xlfn.TEXTAFTER('Banco de Dados'!$F173,"Order date:
",1),1,10),"-","/"))),0)),ProxyDD[Chave],ProxyDD[Valor por pedido]),PROXY!$P$2),0),0)</f>
        <v>0</v>
      </c>
      <c r="AP173" s="28">
        <f ca="1">IF('Banco de Dados'!$AK173&lt;&gt;"-",IF('Banco de Dados'!$AL173="NÃO",IFERROR(VALUE(SUBSTITUTE(_xlfn.TEXTAFTER('Banco de Dados'!$F173,"BRL ",1),".",",")),0),0),0)</f>
        <v>0</v>
      </c>
      <c r="AQ173" s="28">
        <f ca="1">SUM('Banco de Dados'!$AM173:$AP173)</f>
        <v>0</v>
      </c>
      <c r="AR173" s="8"/>
      <c r="AS173" s="8"/>
      <c r="AY173" s="8"/>
    </row>
    <row r="174" spans="1:51">
      <c r="A174" s="5" t="str">
        <v>BV</v>
      </c>
      <c r="B174" s="5" t="str">
        <f ca="1"/>
        <v>BV45595</v>
      </c>
      <c r="C174" s="8" t="str">
        <v>Pedido 171</v>
      </c>
      <c r="D174" s="9">
        <v>45595</v>
      </c>
      <c r="E174" s="9">
        <v>45595</v>
      </c>
      <c r="F174" s="8" t="str">
        <v>PedidoF164</v>
      </c>
      <c r="G174" s="2" t="str">
        <v>CódRastreio164</v>
      </c>
      <c r="H174" s="5">
        <v>1</v>
      </c>
      <c r="I174" s="182" t="str">
        <v>CPF 168</v>
      </c>
      <c r="J174" s="2" t="str">
        <v>Nome 168</v>
      </c>
      <c r="K174" s="8" t="str">
        <v>Tel 168</v>
      </c>
      <c r="L174" s="2" t="str">
        <v>Cep 168</v>
      </c>
      <c r="M174" s="2" t="str">
        <v>Rua 168</v>
      </c>
      <c r="N174" s="2" t="str">
        <v>Comp 168</v>
      </c>
      <c r="O174" s="2" t="str">
        <v>Bomba d'agua</v>
      </c>
      <c r="P174" s="8" t="str">
        <v>DJ-RO5O-43GF</v>
      </c>
      <c r="Q174" s="4">
        <v>45610</v>
      </c>
      <c r="R174" s="109">
        <v>18.2</v>
      </c>
      <c r="S174" s="11">
        <f ca="1"/>
        <v>18.2</v>
      </c>
      <c r="T174" s="28">
        <f ca="1"/>
        <v>2.548</v>
      </c>
      <c r="U174" s="11">
        <f ca="1"/>
        <v>15.65</v>
      </c>
      <c r="V174" s="11">
        <v>4.99</v>
      </c>
      <c r="W174" s="11">
        <f ca="1"/>
        <v>0.35</v>
      </c>
      <c r="X174" s="11">
        <f ca="1"/>
        <v>0.39877104377104378</v>
      </c>
      <c r="Y174" s="11">
        <v>0</v>
      </c>
      <c r="Z174" s="11">
        <f ca="1"/>
        <v>9.9112289562289568</v>
      </c>
      <c r="AA174" s="11">
        <f ca="1"/>
        <v>4.9556144781144784</v>
      </c>
      <c r="AB174" s="4">
        <f ca="1"/>
        <v>45617</v>
      </c>
      <c r="AC174" s="4">
        <v>45617</v>
      </c>
      <c r="AD174" s="9">
        <v>45617</v>
      </c>
      <c r="AE174" s="9">
        <v>45618</v>
      </c>
      <c r="AF174" s="4" t="str">
        <f t="shared" ca="1" si="2"/>
        <v>2024 11</v>
      </c>
      <c r="AG174" s="8" t="str" cm="1">
        <f t="array" ref="AG174">IFERROR(_xlfn.IFS('Banco de Dados'!#REF!="AG. COMPRA","Em processamento",'Banco de Dados'!#REF!="AG. RASTREIO","Em processamento",'Banco de Dados'!$AE174&lt;&gt;"-","Faturado",'Banco de Dados'!$AD174&lt;&gt;"-","Aguardando Pix",'Banco de Dados'!$AC174&lt;&gt;"-","Pendente"),"Aguardando Liberação")</f>
        <v>Aguardando Liberação</v>
      </c>
      <c r="AH174" s="5" t="str">
        <f>IF('Banco de Dados'!$F174="-",_xlfn.CONCAT(PROPER(TEXT(AK174,"aaaa"))," ",PROPER(TEXT(AK174,"mm"))),_xlfn.CONCAT(PROPER(TEXT(E174,"aaaa"))," ",PROPER(TEXT(E174,"mm"))))</f>
        <v>2024 10</v>
      </c>
      <c r="AI174" s="9" t="str">
        <f ca="1">IF('Banco de Dados'!$AK174&lt;&gt;"-","REEMBOLSO",IFERROR(_xlfn.XLOOKUP(G174,Follow[CODRASTREIO],Follow[STATUS]),"-"))</f>
        <v>ENTREGUE</v>
      </c>
      <c r="AJ174" s="9">
        <f ca="1">IF('Banco de Dados'!$AI174="ENTREGUE",_xlfn.XLOOKUP('Banco de Dados'!$G174,Follow[CODRASTREIO],Follow[DATAATUALIZAÇÃO]),"-")</f>
        <v>45601</v>
      </c>
      <c r="AK174" s="9" t="str">
        <f ca="1"/>
        <v>-</v>
      </c>
      <c r="AL174" s="35" t="str">
        <v>NÃO</v>
      </c>
      <c r="AM174" s="109" cm="1">
        <f t="array" aca="1" ref="AM174" ca="1">IF('Banco de Dados'!$AK174&lt;&gt;"-",_xlfn.IFS('Banco de Dados'!$A174="bv",IF('Banco de Dados'!$E174&lt;45641,ROUND(SUM('Banco de Dados'!$R174*_xlfn.XLOOKUP('Banco de Dados'!$P174,Sku!B:B,Sku!#REF!)*20%),2),ROUND(SUM('Banco de Dados'!$R174*_xlfn.XLOOKUP('Banco de Dados'!$P174,Sku!B:B,Sku!H:H)*20%),2)),'Banco de Dados'!$A174="GO",ROUND(_xlfn.XLOOKUP('Banco de Dados'!$P174,Sku!C:C,Sku!H:H),2),'Banco de Dados'!$A174="MEI",ROUND(_xlfn.XLOOKUP('Banco de Dados'!$P174,Sku!D:D,Sku!H:H),2)),0)</f>
        <v>0</v>
      </c>
      <c r="AN174" s="109">
        <f ca="1">IF('Banco de Dados'!$AK174&lt;&gt;"-",IF('Banco de Dados'!$F174&lt;&gt;"-",_xlfn.XLOOKUP(IFERROR(IFERROR(IFERROR(VALUE(SUBSTITUTE(MID(_xlfn.TEXTAFTER('Banco de Dados'!$F174,"Data do Pedido:
",1),1,10),"-","/")),VALUE(SUBSTITUTE(MID(_xlfn.TEXTAFTER('Banco de Dados'!$F174,"Order date:
",1),1,10),"-","/"))),VALUE(SUBSTITUTE(MID(_xlfn.TEXTAFTER('Banco de Dados'!$F174,"Fecha de pedido:
",1),1,10),"-","/"))),"-"),SMS!A:A,SMS!K:K),0),0)</f>
        <v>0</v>
      </c>
      <c r="AO174" s="109">
        <f ca="1">IF('Banco de Dados'!$AK174&lt;&gt;"-",IF('Banco de Dados'!$F174&lt;&gt;"-",IFERROR(_xlfn.XLOOKUP(_xlfn.CONCAT('Banco de Dados'!$A174,IFERROR(IFERROR(VALUE(SUBSTITUTE(MID(_xlfn.TEXTAFTER('Banco de Dados'!$F174,"Data do Pedido:
",1),1,10),"-","/")),VALUE(SUBSTITUTE(MID(_xlfn.TEXTAFTER('Banco de Dados'!$F174,"Order date:
",1),1,10),"-","/"))),0)),ProxyDD[Chave],ProxyDD[Valor por pedido]),PROXY!$P$2),0),0)</f>
        <v>0</v>
      </c>
      <c r="AP174" s="28">
        <f ca="1">IF('Banco de Dados'!$AK174&lt;&gt;"-",IF('Banco de Dados'!$AL174="NÃO",IFERROR(VALUE(SUBSTITUTE(_xlfn.TEXTAFTER('Banco de Dados'!$F174,"BRL ",1),".",",")),0),0),0)</f>
        <v>0</v>
      </c>
      <c r="AQ174" s="28">
        <f ca="1">SUM('Banco de Dados'!$AM174:$AP174)</f>
        <v>0</v>
      </c>
      <c r="AR174" s="8"/>
      <c r="AS174" s="8"/>
      <c r="AY174" s="8"/>
    </row>
    <row r="175" spans="1:51">
      <c r="A175" s="5" t="str">
        <v>BV</v>
      </c>
      <c r="B175" s="5" t="str">
        <f ca="1"/>
        <v>BV45595</v>
      </c>
      <c r="C175" s="8" t="str">
        <v>Pedido 172</v>
      </c>
      <c r="D175" s="9">
        <v>45595</v>
      </c>
      <c r="E175" s="9">
        <v>45595</v>
      </c>
      <c r="F175" s="8" t="str">
        <v>PedidoF165</v>
      </c>
      <c r="G175" s="2" t="str">
        <v>CódRastreio165</v>
      </c>
      <c r="H175" s="5">
        <v>1</v>
      </c>
      <c r="I175" s="182" t="str">
        <v>CPF 169</v>
      </c>
      <c r="J175" s="2" t="str">
        <v>Nome 169</v>
      </c>
      <c r="K175" s="8" t="str">
        <v>Tel 169</v>
      </c>
      <c r="L175" s="2" t="str">
        <v>Cep 169</v>
      </c>
      <c r="M175" s="2" t="str">
        <v>Rua 169</v>
      </c>
      <c r="N175" s="2" t="str">
        <v>Comp 169</v>
      </c>
      <c r="O175" s="2" t="str">
        <v>Bomba d'agua</v>
      </c>
      <c r="P175" s="8" t="str">
        <v>DJ-RO5O-43GF</v>
      </c>
      <c r="Q175" s="4">
        <v>45604</v>
      </c>
      <c r="R175" s="109">
        <v>18.2</v>
      </c>
      <c r="S175" s="11">
        <f ca="1"/>
        <v>18.2</v>
      </c>
      <c r="T175" s="28">
        <f ca="1"/>
        <v>2.548</v>
      </c>
      <c r="U175" s="11">
        <f ca="1"/>
        <v>15.65</v>
      </c>
      <c r="V175" s="11">
        <v>4.99</v>
      </c>
      <c r="W175" s="11">
        <f ca="1"/>
        <v>0.35</v>
      </c>
      <c r="X175" s="11">
        <f ca="1"/>
        <v>0.39877104377104378</v>
      </c>
      <c r="Y175" s="11">
        <v>0</v>
      </c>
      <c r="Z175" s="11">
        <f ca="1"/>
        <v>9.9112289562289568</v>
      </c>
      <c r="AA175" s="11">
        <f ca="1"/>
        <v>4.9556144781144784</v>
      </c>
      <c r="AB175" s="4">
        <f ca="1"/>
        <v>45611</v>
      </c>
      <c r="AC175" s="4">
        <v>45611</v>
      </c>
      <c r="AD175" s="9">
        <v>45617</v>
      </c>
      <c r="AE175" s="9">
        <v>45618</v>
      </c>
      <c r="AF175" s="4" t="str">
        <f t="shared" ca="1" si="2"/>
        <v>2024 11</v>
      </c>
      <c r="AG175" s="8" t="str" cm="1">
        <f t="array" ref="AG175">IFERROR(_xlfn.IFS('Banco de Dados'!#REF!="AG. COMPRA","Em processamento",'Banco de Dados'!#REF!="AG. RASTREIO","Em processamento",'Banco de Dados'!$AE175&lt;&gt;"-","Faturado",'Banco de Dados'!$AD175&lt;&gt;"-","Aguardando Pix",'Banco de Dados'!$AC175&lt;&gt;"-","Pendente"),"Aguardando Liberação")</f>
        <v>Aguardando Liberação</v>
      </c>
      <c r="AH175" s="5" t="str">
        <f>IF('Banco de Dados'!$F175="-",_xlfn.CONCAT(PROPER(TEXT(AK175,"aaaa"))," ",PROPER(TEXT(AK175,"mm"))),_xlfn.CONCAT(PROPER(TEXT(E175,"aaaa"))," ",PROPER(TEXT(E175,"mm"))))</f>
        <v>2024 10</v>
      </c>
      <c r="AI175" s="9" t="str">
        <f ca="1">IF('Banco de Dados'!$AK175&lt;&gt;"-","REEMBOLSO",IFERROR(_xlfn.XLOOKUP(G175,Follow[CODRASTREIO],Follow[STATUS]),"-"))</f>
        <v>ENTREGUE</v>
      </c>
      <c r="AJ175" s="9">
        <f ca="1">IF('Banco de Dados'!$AI175="ENTREGUE",_xlfn.XLOOKUP('Banco de Dados'!$G175,Follow[CODRASTREIO],Follow[DATAATUALIZAÇÃO]),"-")</f>
        <v>45601</v>
      </c>
      <c r="AK175" s="9" t="str">
        <f ca="1"/>
        <v>-</v>
      </c>
      <c r="AL175" s="35" t="str">
        <v>NÃO</v>
      </c>
      <c r="AM175" s="109" cm="1">
        <f t="array" aca="1" ref="AM175" ca="1">IF('Banco de Dados'!$AK175&lt;&gt;"-",_xlfn.IFS('Banco de Dados'!$A175="bv",IF('Banco de Dados'!$E175&lt;45641,ROUND(SUM('Banco de Dados'!$R175*_xlfn.XLOOKUP('Banco de Dados'!$P175,Sku!B:B,Sku!#REF!)*20%),2),ROUND(SUM('Banco de Dados'!$R175*_xlfn.XLOOKUP('Banco de Dados'!$P175,Sku!B:B,Sku!H:H)*20%),2)),'Banco de Dados'!$A175="GO",ROUND(_xlfn.XLOOKUP('Banco de Dados'!$P175,Sku!C:C,Sku!H:H),2),'Banco de Dados'!$A175="MEI",ROUND(_xlfn.XLOOKUP('Banco de Dados'!$P175,Sku!D:D,Sku!H:H),2)),0)</f>
        <v>0</v>
      </c>
      <c r="AN175" s="109">
        <f ca="1">IF('Banco de Dados'!$AK175&lt;&gt;"-",IF('Banco de Dados'!$F175&lt;&gt;"-",_xlfn.XLOOKUP(IFERROR(IFERROR(IFERROR(VALUE(SUBSTITUTE(MID(_xlfn.TEXTAFTER('Banco de Dados'!$F175,"Data do Pedido:
",1),1,10),"-","/")),VALUE(SUBSTITUTE(MID(_xlfn.TEXTAFTER('Banco de Dados'!$F175,"Order date:
",1),1,10),"-","/"))),VALUE(SUBSTITUTE(MID(_xlfn.TEXTAFTER('Banco de Dados'!$F175,"Fecha de pedido:
",1),1,10),"-","/"))),"-"),SMS!A:A,SMS!K:K),0),0)</f>
        <v>0</v>
      </c>
      <c r="AO175" s="109">
        <f ca="1">IF('Banco de Dados'!$AK175&lt;&gt;"-",IF('Banco de Dados'!$F175&lt;&gt;"-",IFERROR(_xlfn.XLOOKUP(_xlfn.CONCAT('Banco de Dados'!$A175,IFERROR(IFERROR(VALUE(SUBSTITUTE(MID(_xlfn.TEXTAFTER('Banco de Dados'!$F175,"Data do Pedido:
",1),1,10),"-","/")),VALUE(SUBSTITUTE(MID(_xlfn.TEXTAFTER('Banco de Dados'!$F175,"Order date:
",1),1,10),"-","/"))),0)),ProxyDD[Chave],ProxyDD[Valor por pedido]),PROXY!$P$2),0),0)</f>
        <v>0</v>
      </c>
      <c r="AP175" s="28">
        <f ca="1">IF('Banco de Dados'!$AK175&lt;&gt;"-",IF('Banco de Dados'!$AL175="NÃO",IFERROR(VALUE(SUBSTITUTE(_xlfn.TEXTAFTER('Banco de Dados'!$F175,"BRL ",1),".",",")),0),0),0)</f>
        <v>0</v>
      </c>
      <c r="AQ175" s="28">
        <f ca="1">SUM('Banco de Dados'!$AM175:$AP175)</f>
        <v>0</v>
      </c>
      <c r="AR175" s="8"/>
      <c r="AS175" s="8"/>
      <c r="AY175" s="8"/>
    </row>
    <row r="176" spans="1:51">
      <c r="A176" s="5" t="str">
        <v>BV</v>
      </c>
      <c r="B176" s="5" t="str">
        <f ca="1"/>
        <v>BV45595</v>
      </c>
      <c r="C176" s="8" t="str">
        <v>Pedido 173</v>
      </c>
      <c r="D176" s="9">
        <v>45595</v>
      </c>
      <c r="E176" s="9">
        <v>45595</v>
      </c>
      <c r="F176" s="8" t="str">
        <v>PedidoF166</v>
      </c>
      <c r="G176" s="2" t="str">
        <v>CódRastreio166</v>
      </c>
      <c r="H176" s="5">
        <v>1</v>
      </c>
      <c r="I176" s="182" t="str">
        <v>CPF 170</v>
      </c>
      <c r="J176" s="2" t="str">
        <v>Nome 170</v>
      </c>
      <c r="K176" s="8" t="str">
        <v>Tel 170</v>
      </c>
      <c r="L176" s="2" t="str">
        <v>Cep 170</v>
      </c>
      <c r="M176" s="2" t="str">
        <v>Rua 170</v>
      </c>
      <c r="N176" s="2" t="str">
        <v>Comp 170</v>
      </c>
      <c r="O176" s="2" t="str">
        <v>Suporte de Celular Branco</v>
      </c>
      <c r="P176" s="8" t="str">
        <v>16-4EDB-WMZF</v>
      </c>
      <c r="Q176" s="4">
        <v>45604</v>
      </c>
      <c r="R176" s="109">
        <v>15.99</v>
      </c>
      <c r="S176" s="11">
        <f ca="1"/>
        <v>15.99</v>
      </c>
      <c r="T176" s="28">
        <f ca="1"/>
        <v>2.3984999999999999</v>
      </c>
      <c r="U176" s="11">
        <f ca="1"/>
        <v>13.59</v>
      </c>
      <c r="V176" s="11">
        <v>4.99</v>
      </c>
      <c r="W176" s="11">
        <f ca="1"/>
        <v>0.35</v>
      </c>
      <c r="X176" s="11">
        <f ca="1"/>
        <v>0.39877104377104378</v>
      </c>
      <c r="Y176" s="11">
        <v>0</v>
      </c>
      <c r="Z176" s="11">
        <f ca="1"/>
        <v>7.8512289562289563</v>
      </c>
      <c r="AA176" s="11">
        <f ca="1"/>
        <v>3.9256144781144782</v>
      </c>
      <c r="AB176" s="4">
        <f ca="1"/>
        <v>45611</v>
      </c>
      <c r="AC176" s="4">
        <v>45611</v>
      </c>
      <c r="AD176" s="9">
        <v>45617</v>
      </c>
      <c r="AE176" s="9">
        <v>45618</v>
      </c>
      <c r="AF176" s="4" t="str">
        <f t="shared" ca="1" si="2"/>
        <v>2024 11</v>
      </c>
      <c r="AG176" s="8" t="str" cm="1">
        <f t="array" ref="AG176">IFERROR(_xlfn.IFS('Banco de Dados'!#REF!="AG. COMPRA","Em processamento",'Banco de Dados'!#REF!="AG. RASTREIO","Em processamento",'Banco de Dados'!$AE176&lt;&gt;"-","Faturado",'Banco de Dados'!$AD176&lt;&gt;"-","Aguardando Pix",'Banco de Dados'!$AC176&lt;&gt;"-","Pendente"),"Aguardando Liberação")</f>
        <v>Aguardando Liberação</v>
      </c>
      <c r="AH176" s="5" t="str">
        <f>IF('Banco de Dados'!$F176="-",_xlfn.CONCAT(PROPER(TEXT(AK176,"aaaa"))," ",PROPER(TEXT(AK176,"mm"))),_xlfn.CONCAT(PROPER(TEXT(E176,"aaaa"))," ",PROPER(TEXT(E176,"mm"))))</f>
        <v>2024 10</v>
      </c>
      <c r="AI176" s="9" t="str">
        <f ca="1">IF('Banco de Dados'!$AK176&lt;&gt;"-","REEMBOLSO",IFERROR(_xlfn.XLOOKUP(G176,Follow[CODRASTREIO],Follow[STATUS]),"-"))</f>
        <v>ENTREGUE</v>
      </c>
      <c r="AJ176" s="9">
        <f ca="1">IF('Banco de Dados'!$AI176="ENTREGUE",_xlfn.XLOOKUP('Banco de Dados'!$G176,Follow[CODRASTREIO],Follow[DATAATUALIZAÇÃO]),"-")</f>
        <v>45600</v>
      </c>
      <c r="AK176" s="9" t="str">
        <f ca="1"/>
        <v>-</v>
      </c>
      <c r="AL176" s="35" t="str">
        <v>NÃO</v>
      </c>
      <c r="AM176" s="109" cm="1">
        <f t="array" aca="1" ref="AM176" ca="1">IF('Banco de Dados'!$AK176&lt;&gt;"-",_xlfn.IFS('Banco de Dados'!$A176="bv",IF('Banco de Dados'!$E176&lt;45641,ROUND(SUM('Banco de Dados'!$R176*_xlfn.XLOOKUP('Banco de Dados'!$P176,Sku!B:B,Sku!#REF!)*20%),2),ROUND(SUM('Banco de Dados'!$R176*_xlfn.XLOOKUP('Banco de Dados'!$P176,Sku!B:B,Sku!H:H)*20%),2)),'Banco de Dados'!$A176="GO",ROUND(_xlfn.XLOOKUP('Banco de Dados'!$P176,Sku!C:C,Sku!H:H),2),'Banco de Dados'!$A176="MEI",ROUND(_xlfn.XLOOKUP('Banco de Dados'!$P176,Sku!D:D,Sku!H:H),2)),0)</f>
        <v>0</v>
      </c>
      <c r="AN176" s="109">
        <f ca="1">IF('Banco de Dados'!$AK176&lt;&gt;"-",IF('Banco de Dados'!$F176&lt;&gt;"-",_xlfn.XLOOKUP(IFERROR(IFERROR(IFERROR(VALUE(SUBSTITUTE(MID(_xlfn.TEXTAFTER('Banco de Dados'!$F176,"Data do Pedido:
",1),1,10),"-","/")),VALUE(SUBSTITUTE(MID(_xlfn.TEXTAFTER('Banco de Dados'!$F176,"Order date:
",1),1,10),"-","/"))),VALUE(SUBSTITUTE(MID(_xlfn.TEXTAFTER('Banco de Dados'!$F176,"Fecha de pedido:
",1),1,10),"-","/"))),"-"),SMS!A:A,SMS!K:K),0),0)</f>
        <v>0</v>
      </c>
      <c r="AO176" s="109">
        <f ca="1">IF('Banco de Dados'!$AK176&lt;&gt;"-",IF('Banco de Dados'!$F176&lt;&gt;"-",IFERROR(_xlfn.XLOOKUP(_xlfn.CONCAT('Banco de Dados'!$A176,IFERROR(IFERROR(VALUE(SUBSTITUTE(MID(_xlfn.TEXTAFTER('Banco de Dados'!$F176,"Data do Pedido:
",1),1,10),"-","/")),VALUE(SUBSTITUTE(MID(_xlfn.TEXTAFTER('Banco de Dados'!$F176,"Order date:
",1),1,10),"-","/"))),0)),ProxyDD[Chave],ProxyDD[Valor por pedido]),PROXY!$P$2),0),0)</f>
        <v>0</v>
      </c>
      <c r="AP176" s="28">
        <f ca="1">IF('Banco de Dados'!$AK176&lt;&gt;"-",IF('Banco de Dados'!$AL176="NÃO",IFERROR(VALUE(SUBSTITUTE(_xlfn.TEXTAFTER('Banco de Dados'!$F176,"BRL ",1),".",",")),0),0),0)</f>
        <v>0</v>
      </c>
      <c r="AQ176" s="28">
        <f ca="1">SUM('Banco de Dados'!$AM176:$AP176)</f>
        <v>0</v>
      </c>
      <c r="AR176" s="8"/>
      <c r="AS176" s="8"/>
      <c r="AY176" s="8"/>
    </row>
    <row r="177" spans="1:51">
      <c r="A177" s="5" t="str">
        <v>BV</v>
      </c>
      <c r="B177" s="5" t="str">
        <f ca="1"/>
        <v>BV45595</v>
      </c>
      <c r="C177" s="8" t="str">
        <v>Pedido 174</v>
      </c>
      <c r="D177" s="9">
        <v>45595</v>
      </c>
      <c r="E177" s="9">
        <v>45595</v>
      </c>
      <c r="F177" s="8" t="str">
        <v>PedidoF167</v>
      </c>
      <c r="G177" s="2" t="str">
        <v>CódRastreio167</v>
      </c>
      <c r="H177" s="5">
        <v>1</v>
      </c>
      <c r="I177" s="182" t="str">
        <v>CPF 171</v>
      </c>
      <c r="J177" s="2" t="str">
        <v>Nome 171</v>
      </c>
      <c r="K177" s="8" t="str">
        <v>Tel 171</v>
      </c>
      <c r="L177" s="2" t="str">
        <v>Cep 171</v>
      </c>
      <c r="M177" s="2" t="str">
        <v>Rua 171</v>
      </c>
      <c r="N177" s="2" t="str">
        <v>Comp 171</v>
      </c>
      <c r="O177" s="2" t="str">
        <v>Suporte de Celular Branco</v>
      </c>
      <c r="P177" s="8" t="str">
        <v>16-4EDB-WMZF</v>
      </c>
      <c r="Q177" s="4">
        <v>45608</v>
      </c>
      <c r="R177" s="109">
        <v>15.99</v>
      </c>
      <c r="S177" s="11">
        <f ca="1"/>
        <v>15.99</v>
      </c>
      <c r="T177" s="28">
        <f ca="1"/>
        <v>2.3984999999999999</v>
      </c>
      <c r="U177" s="11">
        <f ca="1"/>
        <v>13.59</v>
      </c>
      <c r="V177" s="11">
        <v>4.99</v>
      </c>
      <c r="W177" s="11">
        <f ca="1"/>
        <v>0.35</v>
      </c>
      <c r="X177" s="11">
        <f ca="1"/>
        <v>0.39877104377104378</v>
      </c>
      <c r="Y177" s="11">
        <v>0</v>
      </c>
      <c r="Z177" s="11">
        <f ca="1"/>
        <v>7.8512289562289563</v>
      </c>
      <c r="AA177" s="11">
        <f ca="1"/>
        <v>3.9256144781144782</v>
      </c>
      <c r="AB177" s="4">
        <f ca="1"/>
        <v>45615</v>
      </c>
      <c r="AC177" s="4">
        <v>45615</v>
      </c>
      <c r="AD177" s="9">
        <v>45617</v>
      </c>
      <c r="AE177" s="9">
        <v>45618</v>
      </c>
      <c r="AF177" s="4" t="str">
        <f t="shared" ca="1" si="2"/>
        <v>2024 11</v>
      </c>
      <c r="AG177" s="8" t="str" cm="1">
        <f t="array" ref="AG177">IFERROR(_xlfn.IFS('Banco de Dados'!#REF!="AG. COMPRA","Em processamento",'Banco de Dados'!#REF!="AG. RASTREIO","Em processamento",'Banco de Dados'!$AE177&lt;&gt;"-","Faturado",'Banco de Dados'!$AD177&lt;&gt;"-","Aguardando Pix",'Banco de Dados'!$AC177&lt;&gt;"-","Pendente"),"Aguardando Liberação")</f>
        <v>Aguardando Liberação</v>
      </c>
      <c r="AH177" s="5" t="str">
        <f>IF('Banco de Dados'!$F177="-",_xlfn.CONCAT(PROPER(TEXT(AK177,"aaaa"))," ",PROPER(TEXT(AK177,"mm"))),_xlfn.CONCAT(PROPER(TEXT(E177,"aaaa"))," ",PROPER(TEXT(E177,"mm"))))</f>
        <v>2024 10</v>
      </c>
      <c r="AI177" s="9" t="str">
        <f ca="1">IF('Banco de Dados'!$AK177&lt;&gt;"-","REEMBOLSO",IFERROR(_xlfn.XLOOKUP(G177,Follow[CODRASTREIO],Follow[STATUS]),"-"))</f>
        <v>ENTREGUE</v>
      </c>
      <c r="AJ177" s="9">
        <f ca="1">IF('Banco de Dados'!$AI177="ENTREGUE",_xlfn.XLOOKUP('Banco de Dados'!$G177,Follow[CODRASTREIO],Follow[DATAATUALIZAÇÃO]),"-")</f>
        <v>45600</v>
      </c>
      <c r="AK177" s="9" t="str">
        <f ca="1"/>
        <v>-</v>
      </c>
      <c r="AL177" s="35" t="str">
        <v>NÃO</v>
      </c>
      <c r="AM177" s="109" cm="1">
        <f t="array" aca="1" ref="AM177" ca="1">IF('Banco de Dados'!$AK177&lt;&gt;"-",_xlfn.IFS('Banco de Dados'!$A177="bv",IF('Banco de Dados'!$E177&lt;45641,ROUND(SUM('Banco de Dados'!$R177*_xlfn.XLOOKUP('Banco de Dados'!$P177,Sku!B:B,Sku!#REF!)*20%),2),ROUND(SUM('Banco de Dados'!$R177*_xlfn.XLOOKUP('Banco de Dados'!$P177,Sku!B:B,Sku!H:H)*20%),2)),'Banco de Dados'!$A177="GO",ROUND(_xlfn.XLOOKUP('Banco de Dados'!$P177,Sku!C:C,Sku!H:H),2),'Banco de Dados'!$A177="MEI",ROUND(_xlfn.XLOOKUP('Banco de Dados'!$P177,Sku!D:D,Sku!H:H),2)),0)</f>
        <v>0</v>
      </c>
      <c r="AN177" s="109">
        <f ca="1">IF('Banco de Dados'!$AK177&lt;&gt;"-",IF('Banco de Dados'!$F177&lt;&gt;"-",_xlfn.XLOOKUP(IFERROR(IFERROR(IFERROR(VALUE(SUBSTITUTE(MID(_xlfn.TEXTAFTER('Banco de Dados'!$F177,"Data do Pedido:
",1),1,10),"-","/")),VALUE(SUBSTITUTE(MID(_xlfn.TEXTAFTER('Banco de Dados'!$F177,"Order date:
",1),1,10),"-","/"))),VALUE(SUBSTITUTE(MID(_xlfn.TEXTAFTER('Banco de Dados'!$F177,"Fecha de pedido:
",1),1,10),"-","/"))),"-"),SMS!A:A,SMS!K:K),0),0)</f>
        <v>0</v>
      </c>
      <c r="AO177" s="109">
        <f ca="1">IF('Banco de Dados'!$AK177&lt;&gt;"-",IF('Banco de Dados'!$F177&lt;&gt;"-",IFERROR(_xlfn.XLOOKUP(_xlfn.CONCAT('Banco de Dados'!$A177,IFERROR(IFERROR(VALUE(SUBSTITUTE(MID(_xlfn.TEXTAFTER('Banco de Dados'!$F177,"Data do Pedido:
",1),1,10),"-","/")),VALUE(SUBSTITUTE(MID(_xlfn.TEXTAFTER('Banco de Dados'!$F177,"Order date:
",1),1,10),"-","/"))),0)),ProxyDD[Chave],ProxyDD[Valor por pedido]),PROXY!$P$2),0),0)</f>
        <v>0</v>
      </c>
      <c r="AP177" s="28">
        <f ca="1">IF('Banco de Dados'!$AK177&lt;&gt;"-",IF('Banco de Dados'!$AL177="NÃO",IFERROR(VALUE(SUBSTITUTE(_xlfn.TEXTAFTER('Banco de Dados'!$F177,"BRL ",1),".",",")),0),0),0)</f>
        <v>0</v>
      </c>
      <c r="AQ177" s="28">
        <f ca="1">SUM('Banco de Dados'!$AM177:$AP177)</f>
        <v>0</v>
      </c>
      <c r="AR177" s="8"/>
      <c r="AS177" s="8"/>
      <c r="AY177" s="8"/>
    </row>
    <row r="178" spans="1:51">
      <c r="A178" s="5" t="str">
        <v>BV</v>
      </c>
      <c r="B178" s="5" t="str">
        <f ca="1"/>
        <v>BV45595</v>
      </c>
      <c r="C178" s="8" t="str">
        <v>Pedido 175</v>
      </c>
      <c r="D178" s="9">
        <v>45595</v>
      </c>
      <c r="E178" s="9">
        <v>45595</v>
      </c>
      <c r="F178" s="8" t="str">
        <v>PedidoF168</v>
      </c>
      <c r="G178" s="2" t="str">
        <v>CódRastreio168</v>
      </c>
      <c r="H178" s="5">
        <v>1</v>
      </c>
      <c r="I178" s="182" t="str">
        <v>CPF 172</v>
      </c>
      <c r="J178" s="2" t="str">
        <v>Nome 172</v>
      </c>
      <c r="K178" s="8" t="str">
        <v>Tel 172</v>
      </c>
      <c r="L178" s="2" t="str">
        <v>Cep 172</v>
      </c>
      <c r="M178" s="2" t="str">
        <v>Rua 172</v>
      </c>
      <c r="N178" s="2" t="str">
        <v>Comp 172</v>
      </c>
      <c r="O178" s="2" t="str">
        <v>Bomba d'agua</v>
      </c>
      <c r="P178" s="8" t="str">
        <v>DJ-RO5O-43GF</v>
      </c>
      <c r="Q178" s="4">
        <v>45610</v>
      </c>
      <c r="R178" s="109">
        <v>18.2</v>
      </c>
      <c r="S178" s="11">
        <f ca="1"/>
        <v>18.2</v>
      </c>
      <c r="T178" s="28">
        <f ca="1"/>
        <v>2.548</v>
      </c>
      <c r="U178" s="11">
        <f ca="1"/>
        <v>15.65</v>
      </c>
      <c r="V178" s="11">
        <v>4.99</v>
      </c>
      <c r="W178" s="11">
        <f ca="1"/>
        <v>0.35</v>
      </c>
      <c r="X178" s="11">
        <f ca="1"/>
        <v>0.39877104377104378</v>
      </c>
      <c r="Y178" s="11">
        <v>0</v>
      </c>
      <c r="Z178" s="11">
        <f ca="1"/>
        <v>9.9112289562289568</v>
      </c>
      <c r="AA178" s="11">
        <f ca="1"/>
        <v>4.9556144781144784</v>
      </c>
      <c r="AB178" s="4">
        <f ca="1"/>
        <v>45617</v>
      </c>
      <c r="AC178" s="4">
        <v>45617</v>
      </c>
      <c r="AD178" s="9">
        <v>45617</v>
      </c>
      <c r="AE178" s="9">
        <v>45618</v>
      </c>
      <c r="AF178" s="4" t="str">
        <f t="shared" ca="1" si="2"/>
        <v>2024 11</v>
      </c>
      <c r="AG178" s="8" t="str" cm="1">
        <f t="array" ref="AG178">IFERROR(_xlfn.IFS('Banco de Dados'!#REF!="AG. COMPRA","Em processamento",'Banco de Dados'!#REF!="AG. RASTREIO","Em processamento",'Banco de Dados'!$AE178&lt;&gt;"-","Faturado",'Banco de Dados'!$AD178&lt;&gt;"-","Aguardando Pix",'Banco de Dados'!$AC178&lt;&gt;"-","Pendente"),"Aguardando Liberação")</f>
        <v>Aguardando Liberação</v>
      </c>
      <c r="AH178" s="5" t="str">
        <f>IF('Banco de Dados'!$F178="-",_xlfn.CONCAT(PROPER(TEXT(AK178,"aaaa"))," ",PROPER(TEXT(AK178,"mm"))),_xlfn.CONCAT(PROPER(TEXT(E178,"aaaa"))," ",PROPER(TEXT(E178,"mm"))))</f>
        <v>2024 10</v>
      </c>
      <c r="AI178" s="9" t="str">
        <f ca="1">IF('Banco de Dados'!$AK178&lt;&gt;"-","REEMBOLSO",IFERROR(_xlfn.XLOOKUP(G178,Follow[CODRASTREIO],Follow[STATUS]),"-"))</f>
        <v>ENTREGUE</v>
      </c>
      <c r="AJ178" s="9">
        <f ca="1">IF('Banco de Dados'!$AI178="ENTREGUE",_xlfn.XLOOKUP('Banco de Dados'!$G178,Follow[CODRASTREIO],Follow[DATAATUALIZAÇÃO]),"-")</f>
        <v>45600</v>
      </c>
      <c r="AK178" s="9" t="str">
        <f ca="1"/>
        <v>-</v>
      </c>
      <c r="AL178" s="35" t="str">
        <v>NÃO</v>
      </c>
      <c r="AM178" s="109" cm="1">
        <f t="array" aca="1" ref="AM178" ca="1">IF('Banco de Dados'!$AK178&lt;&gt;"-",_xlfn.IFS('Banco de Dados'!$A178="bv",IF('Banco de Dados'!$E178&lt;45641,ROUND(SUM('Banco de Dados'!$R178*_xlfn.XLOOKUP('Banco de Dados'!$P178,Sku!B:B,Sku!#REF!)*20%),2),ROUND(SUM('Banco de Dados'!$R178*_xlfn.XLOOKUP('Banco de Dados'!$P178,Sku!B:B,Sku!H:H)*20%),2)),'Banco de Dados'!$A178="GO",ROUND(_xlfn.XLOOKUP('Banco de Dados'!$P178,Sku!C:C,Sku!H:H),2),'Banco de Dados'!$A178="MEI",ROUND(_xlfn.XLOOKUP('Banco de Dados'!$P178,Sku!D:D,Sku!H:H),2)),0)</f>
        <v>0</v>
      </c>
      <c r="AN178" s="109">
        <f ca="1">IF('Banco de Dados'!$AK178&lt;&gt;"-",IF('Banco de Dados'!$F178&lt;&gt;"-",_xlfn.XLOOKUP(IFERROR(IFERROR(IFERROR(VALUE(SUBSTITUTE(MID(_xlfn.TEXTAFTER('Banco de Dados'!$F178,"Data do Pedido:
",1),1,10),"-","/")),VALUE(SUBSTITUTE(MID(_xlfn.TEXTAFTER('Banco de Dados'!$F178,"Order date:
",1),1,10),"-","/"))),VALUE(SUBSTITUTE(MID(_xlfn.TEXTAFTER('Banco de Dados'!$F178,"Fecha de pedido:
",1),1,10),"-","/"))),"-"),SMS!A:A,SMS!K:K),0),0)</f>
        <v>0</v>
      </c>
      <c r="AO178" s="109">
        <f ca="1">IF('Banco de Dados'!$AK178&lt;&gt;"-",IF('Banco de Dados'!$F178&lt;&gt;"-",IFERROR(_xlfn.XLOOKUP(_xlfn.CONCAT('Banco de Dados'!$A178,IFERROR(IFERROR(VALUE(SUBSTITUTE(MID(_xlfn.TEXTAFTER('Banco de Dados'!$F178,"Data do Pedido:
",1),1,10),"-","/")),VALUE(SUBSTITUTE(MID(_xlfn.TEXTAFTER('Banco de Dados'!$F178,"Order date:
",1),1,10),"-","/"))),0)),ProxyDD[Chave],ProxyDD[Valor por pedido]),PROXY!$P$2),0),0)</f>
        <v>0</v>
      </c>
      <c r="AP178" s="28">
        <f ca="1">IF('Banco de Dados'!$AK178&lt;&gt;"-",IF('Banco de Dados'!$AL178="NÃO",IFERROR(VALUE(SUBSTITUTE(_xlfn.TEXTAFTER('Banco de Dados'!$F178,"BRL ",1),".",",")),0),0),0)</f>
        <v>0</v>
      </c>
      <c r="AQ178" s="28">
        <f ca="1">SUM('Banco de Dados'!$AM178:$AP178)</f>
        <v>0</v>
      </c>
      <c r="AR178" s="8"/>
      <c r="AS178" s="8"/>
      <c r="AY178" s="8"/>
    </row>
    <row r="179" spans="1:51">
      <c r="A179" s="5" t="str">
        <v>BV</v>
      </c>
      <c r="B179" s="5" t="str">
        <f ca="1"/>
        <v>BV45595</v>
      </c>
      <c r="C179" s="8" t="str">
        <v>Pedido 176</v>
      </c>
      <c r="D179" s="9">
        <v>45595</v>
      </c>
      <c r="E179" s="9">
        <v>45595</v>
      </c>
      <c r="F179" s="8" t="str">
        <v>PedidoF169</v>
      </c>
      <c r="G179" s="2" t="str">
        <v>CódRastreio169</v>
      </c>
      <c r="H179" s="5">
        <v>1</v>
      </c>
      <c r="I179" s="182" t="str">
        <v>CPF 173</v>
      </c>
      <c r="J179" s="2" t="str">
        <v>Nome 173</v>
      </c>
      <c r="K179" s="8" t="str">
        <v>Tel 173</v>
      </c>
      <c r="L179" s="2" t="str">
        <v>Cep 173</v>
      </c>
      <c r="M179" s="2" t="str">
        <v>Rua 173</v>
      </c>
      <c r="N179" s="2" t="str">
        <v>Comp 173</v>
      </c>
      <c r="O179" s="2" t="str">
        <v>Suporte de Celular Branco</v>
      </c>
      <c r="P179" s="8" t="str">
        <v>16-4EDB-WMZF</v>
      </c>
      <c r="Q179" s="4">
        <v>45610</v>
      </c>
      <c r="R179" s="109">
        <v>15.99</v>
      </c>
      <c r="S179" s="11">
        <f ca="1"/>
        <v>15.99</v>
      </c>
      <c r="T179" s="28">
        <f ca="1"/>
        <v>2.3984999999999999</v>
      </c>
      <c r="U179" s="11">
        <f ca="1"/>
        <v>13.59</v>
      </c>
      <c r="V179" s="11">
        <v>4.99</v>
      </c>
      <c r="W179" s="11">
        <f ca="1"/>
        <v>0.35</v>
      </c>
      <c r="X179" s="11">
        <f ca="1"/>
        <v>0.39877104377104378</v>
      </c>
      <c r="Y179" s="11">
        <v>0</v>
      </c>
      <c r="Z179" s="11">
        <f ca="1"/>
        <v>7.8512289562289563</v>
      </c>
      <c r="AA179" s="11">
        <f ca="1"/>
        <v>3.9256144781144782</v>
      </c>
      <c r="AB179" s="4">
        <f ca="1"/>
        <v>45617</v>
      </c>
      <c r="AC179" s="4">
        <v>45617</v>
      </c>
      <c r="AD179" s="9">
        <v>45617</v>
      </c>
      <c r="AE179" s="9">
        <v>45618</v>
      </c>
      <c r="AF179" s="4" t="str">
        <f t="shared" ca="1" si="2"/>
        <v>2024 11</v>
      </c>
      <c r="AG179" s="8" t="str" cm="1">
        <f t="array" ref="AG179">IFERROR(_xlfn.IFS('Banco de Dados'!#REF!="AG. COMPRA","Em processamento",'Banco de Dados'!#REF!="AG. RASTREIO","Em processamento",'Banco de Dados'!$AE179&lt;&gt;"-","Faturado",'Banco de Dados'!$AD179&lt;&gt;"-","Aguardando Pix",'Banco de Dados'!$AC179&lt;&gt;"-","Pendente"),"Aguardando Liberação")</f>
        <v>Aguardando Liberação</v>
      </c>
      <c r="AH179" s="5" t="str">
        <f>IF('Banco de Dados'!$F179="-",_xlfn.CONCAT(PROPER(TEXT(AK179,"aaaa"))," ",PROPER(TEXT(AK179,"mm"))),_xlfn.CONCAT(PROPER(TEXT(E179,"aaaa"))," ",PROPER(TEXT(E179,"mm"))))</f>
        <v>2024 10</v>
      </c>
      <c r="AI179" s="9" t="str">
        <f ca="1">IF('Banco de Dados'!$AK179&lt;&gt;"-","REEMBOLSO",IFERROR(_xlfn.XLOOKUP(G179,Follow[CODRASTREIO],Follow[STATUS]),"-"))</f>
        <v>ENTREGUE</v>
      </c>
      <c r="AJ179" s="9">
        <f ca="1">IF('Banco de Dados'!$AI179="ENTREGUE",_xlfn.XLOOKUP('Banco de Dados'!$G179,Follow[CODRASTREIO],Follow[DATAATUALIZAÇÃO]),"-")</f>
        <v>45601</v>
      </c>
      <c r="AK179" s="9" t="str">
        <f ca="1"/>
        <v>-</v>
      </c>
      <c r="AL179" s="35" t="str">
        <v>NÃO</v>
      </c>
      <c r="AM179" s="109" cm="1">
        <f t="array" aca="1" ref="AM179" ca="1">IF('Banco de Dados'!$AK179&lt;&gt;"-",_xlfn.IFS('Banco de Dados'!$A179="bv",IF('Banco de Dados'!$E179&lt;45641,ROUND(SUM('Banco de Dados'!$R179*_xlfn.XLOOKUP('Banco de Dados'!$P179,Sku!B:B,Sku!#REF!)*20%),2),ROUND(SUM('Banco de Dados'!$R179*_xlfn.XLOOKUP('Banco de Dados'!$P179,Sku!B:B,Sku!H:H)*20%),2)),'Banco de Dados'!$A179="GO",ROUND(_xlfn.XLOOKUP('Banco de Dados'!$P179,Sku!C:C,Sku!H:H),2),'Banco de Dados'!$A179="MEI",ROUND(_xlfn.XLOOKUP('Banco de Dados'!$P179,Sku!D:D,Sku!H:H),2)),0)</f>
        <v>0</v>
      </c>
      <c r="AN179" s="109">
        <f ca="1">IF('Banco de Dados'!$AK179&lt;&gt;"-",IF('Banco de Dados'!$F179&lt;&gt;"-",_xlfn.XLOOKUP(IFERROR(IFERROR(IFERROR(VALUE(SUBSTITUTE(MID(_xlfn.TEXTAFTER('Banco de Dados'!$F179,"Data do Pedido:
",1),1,10),"-","/")),VALUE(SUBSTITUTE(MID(_xlfn.TEXTAFTER('Banco de Dados'!$F179,"Order date:
",1),1,10),"-","/"))),VALUE(SUBSTITUTE(MID(_xlfn.TEXTAFTER('Banco de Dados'!$F179,"Fecha de pedido:
",1),1,10),"-","/"))),"-"),SMS!A:A,SMS!K:K),0),0)</f>
        <v>0</v>
      </c>
      <c r="AO179" s="109">
        <f ca="1">IF('Banco de Dados'!$AK179&lt;&gt;"-",IF('Banco de Dados'!$F179&lt;&gt;"-",IFERROR(_xlfn.XLOOKUP(_xlfn.CONCAT('Banco de Dados'!$A179,IFERROR(IFERROR(VALUE(SUBSTITUTE(MID(_xlfn.TEXTAFTER('Banco de Dados'!$F179,"Data do Pedido:
",1),1,10),"-","/")),VALUE(SUBSTITUTE(MID(_xlfn.TEXTAFTER('Banco de Dados'!$F179,"Order date:
",1),1,10),"-","/"))),0)),ProxyDD[Chave],ProxyDD[Valor por pedido]),PROXY!$P$2),0),0)</f>
        <v>0</v>
      </c>
      <c r="AP179" s="28">
        <f ca="1">IF('Banco de Dados'!$AK179&lt;&gt;"-",IF('Banco de Dados'!$AL179="NÃO",IFERROR(VALUE(SUBSTITUTE(_xlfn.TEXTAFTER('Banco de Dados'!$F179,"BRL ",1),".",",")),0),0),0)</f>
        <v>0</v>
      </c>
      <c r="AQ179" s="28">
        <f ca="1">SUM('Banco de Dados'!$AM179:$AP179)</f>
        <v>0</v>
      </c>
      <c r="AR179" s="8"/>
      <c r="AS179" s="8"/>
      <c r="AY179" s="8"/>
    </row>
    <row r="180" spans="1:51">
      <c r="A180" s="5" t="str">
        <v>BV</v>
      </c>
      <c r="B180" s="5" t="str">
        <f ca="1"/>
        <v>BV45595</v>
      </c>
      <c r="C180" s="8" t="str">
        <v>Pedido 177</v>
      </c>
      <c r="D180" s="9">
        <v>45595</v>
      </c>
      <c r="E180" s="9">
        <v>45595</v>
      </c>
      <c r="F180" s="8" t="str">
        <v>PedidoF170</v>
      </c>
      <c r="G180" s="2" t="str">
        <v>CódRastreio170</v>
      </c>
      <c r="H180" s="5">
        <v>1</v>
      </c>
      <c r="I180" s="182" t="str">
        <v>CPF 174</v>
      </c>
      <c r="J180" s="2" t="str">
        <v>Nome 174</v>
      </c>
      <c r="K180" s="8" t="str">
        <v>Tel 174</v>
      </c>
      <c r="L180" s="2" t="str">
        <v>Cep 174</v>
      </c>
      <c r="M180" s="2" t="str">
        <v>Rua 174</v>
      </c>
      <c r="N180" s="2" t="str">
        <v>Comp 174</v>
      </c>
      <c r="O180" s="2" t="str">
        <v>Suporte de Celular Branco</v>
      </c>
      <c r="P180" s="8" t="str">
        <v>16-4EDB-WMZF</v>
      </c>
      <c r="Q180" s="4">
        <v>45618</v>
      </c>
      <c r="R180" s="109">
        <v>15.99</v>
      </c>
      <c r="S180" s="11">
        <f ca="1"/>
        <v>15.99</v>
      </c>
      <c r="T180" s="28">
        <f ca="1"/>
        <v>2.3984999999999999</v>
      </c>
      <c r="U180" s="11">
        <f ca="1"/>
        <v>13.59</v>
      </c>
      <c r="V180" s="11">
        <v>4.99</v>
      </c>
      <c r="W180" s="11">
        <f ca="1"/>
        <v>0.35</v>
      </c>
      <c r="X180" s="11">
        <f ca="1"/>
        <v>0.39877104377104378</v>
      </c>
      <c r="Y180" s="11">
        <v>0</v>
      </c>
      <c r="Z180" s="11">
        <f ca="1"/>
        <v>7.8512289562289563</v>
      </c>
      <c r="AA180" s="11">
        <f ca="1"/>
        <v>3.9256144781144782</v>
      </c>
      <c r="AB180" s="4">
        <f ca="1"/>
        <v>45625</v>
      </c>
      <c r="AC180" s="4">
        <v>45625</v>
      </c>
      <c r="AD180" s="9">
        <v>45625</v>
      </c>
      <c r="AE180" s="9">
        <v>45625</v>
      </c>
      <c r="AF180" s="4" t="str">
        <f t="shared" ca="1" si="2"/>
        <v>2024 11</v>
      </c>
      <c r="AG180" s="8" t="str" cm="1">
        <f t="array" ref="AG180">IFERROR(_xlfn.IFS('Banco de Dados'!#REF!="AG. COMPRA","Em processamento",'Banco de Dados'!#REF!="AG. RASTREIO","Em processamento",'Banco de Dados'!$AE180&lt;&gt;"-","Faturado",'Banco de Dados'!$AD180&lt;&gt;"-","Aguardando Pix",'Banco de Dados'!$AC180&lt;&gt;"-","Pendente"),"Aguardando Liberação")</f>
        <v>Aguardando Liberação</v>
      </c>
      <c r="AH180" s="5" t="str">
        <f>IF('Banco de Dados'!$F180="-",_xlfn.CONCAT(PROPER(TEXT(AK180,"aaaa"))," ",PROPER(TEXT(AK180,"mm"))),_xlfn.CONCAT(PROPER(TEXT(E180,"aaaa"))," ",PROPER(TEXT(E180,"mm"))))</f>
        <v>2024 10</v>
      </c>
      <c r="AI180" s="9" t="str">
        <f ca="1">IF('Banco de Dados'!$AK180&lt;&gt;"-","REEMBOLSO",IFERROR(_xlfn.XLOOKUP(G180,Follow[CODRASTREIO],Follow[STATUS]),"-"))</f>
        <v>ENTREGUE</v>
      </c>
      <c r="AJ180" s="9">
        <f ca="1">IF('Banco de Dados'!$AI180="ENTREGUE",_xlfn.XLOOKUP('Banco de Dados'!$G180,Follow[CODRASTREIO],Follow[DATAATUALIZAÇÃO]),"-")</f>
        <v>45602</v>
      </c>
      <c r="AK180" s="9" t="str">
        <f ca="1"/>
        <v>-</v>
      </c>
      <c r="AL180" s="35" t="str">
        <v>NÃO</v>
      </c>
      <c r="AM180" s="109" cm="1">
        <f t="array" aca="1" ref="AM180" ca="1">IF('Banco de Dados'!$AK180&lt;&gt;"-",_xlfn.IFS('Banco de Dados'!$A180="bv",IF('Banco de Dados'!$E180&lt;45641,ROUND(SUM('Banco de Dados'!$R180*_xlfn.XLOOKUP('Banco de Dados'!$P180,Sku!B:B,Sku!#REF!)*20%),2),ROUND(SUM('Banco de Dados'!$R180*_xlfn.XLOOKUP('Banco de Dados'!$P180,Sku!B:B,Sku!H:H)*20%),2)),'Banco de Dados'!$A180="GO",ROUND(_xlfn.XLOOKUP('Banco de Dados'!$P180,Sku!C:C,Sku!H:H),2),'Banco de Dados'!$A180="MEI",ROUND(_xlfn.XLOOKUP('Banco de Dados'!$P180,Sku!D:D,Sku!H:H),2)),0)</f>
        <v>0</v>
      </c>
      <c r="AN180" s="109">
        <f ca="1">IF('Banco de Dados'!$AK180&lt;&gt;"-",IF('Banco de Dados'!$F180&lt;&gt;"-",_xlfn.XLOOKUP(IFERROR(IFERROR(IFERROR(VALUE(SUBSTITUTE(MID(_xlfn.TEXTAFTER('Banco de Dados'!$F180,"Data do Pedido:
",1),1,10),"-","/")),VALUE(SUBSTITUTE(MID(_xlfn.TEXTAFTER('Banco de Dados'!$F180,"Order date:
",1),1,10),"-","/"))),VALUE(SUBSTITUTE(MID(_xlfn.TEXTAFTER('Banco de Dados'!$F180,"Fecha de pedido:
",1),1,10),"-","/"))),"-"),SMS!A:A,SMS!K:K),0),0)</f>
        <v>0</v>
      </c>
      <c r="AO180" s="109">
        <f ca="1">IF('Banco de Dados'!$AK180&lt;&gt;"-",IF('Banco de Dados'!$F180&lt;&gt;"-",IFERROR(_xlfn.XLOOKUP(_xlfn.CONCAT('Banco de Dados'!$A180,IFERROR(IFERROR(VALUE(SUBSTITUTE(MID(_xlfn.TEXTAFTER('Banco de Dados'!$F180,"Data do Pedido:
",1),1,10),"-","/")),VALUE(SUBSTITUTE(MID(_xlfn.TEXTAFTER('Banco de Dados'!$F180,"Order date:
",1),1,10),"-","/"))),0)),ProxyDD[Chave],ProxyDD[Valor por pedido]),PROXY!$P$2),0),0)</f>
        <v>0</v>
      </c>
      <c r="AP180" s="28">
        <f ca="1">IF('Banco de Dados'!$AK180&lt;&gt;"-",IF('Banco de Dados'!$AL180="NÃO",IFERROR(VALUE(SUBSTITUTE(_xlfn.TEXTAFTER('Banco de Dados'!$F180,"BRL ",1),".",",")),0),0),0)</f>
        <v>0</v>
      </c>
      <c r="AQ180" s="28">
        <f ca="1">SUM('Banco de Dados'!$AM180:$AP180)</f>
        <v>0</v>
      </c>
      <c r="AR180" s="8"/>
      <c r="AS180" s="8"/>
      <c r="AY180" s="8"/>
    </row>
    <row r="181" spans="1:51">
      <c r="A181" s="5" t="str">
        <v>BV</v>
      </c>
      <c r="B181" s="5" t="str">
        <f ca="1"/>
        <v>BV45595</v>
      </c>
      <c r="C181" s="8" t="str">
        <v>Pedido 178</v>
      </c>
      <c r="D181" s="9">
        <v>45595</v>
      </c>
      <c r="E181" s="9">
        <v>45595</v>
      </c>
      <c r="F181" s="8" t="str">
        <v>PedidoF171</v>
      </c>
      <c r="G181" s="2" t="str">
        <v>CódRastreio171</v>
      </c>
      <c r="H181" s="5">
        <v>1</v>
      </c>
      <c r="I181" s="182" t="str">
        <v>CPF 175</v>
      </c>
      <c r="J181" s="2" t="str">
        <v>Nome 175</v>
      </c>
      <c r="K181" s="8" t="str">
        <v>Tel 175</v>
      </c>
      <c r="L181" s="2" t="str">
        <v>Cep 175</v>
      </c>
      <c r="M181" s="2" t="str">
        <v>Rua 175</v>
      </c>
      <c r="N181" s="2" t="str">
        <v>Comp 175</v>
      </c>
      <c r="O181" s="2" t="str">
        <v>Ventilador Preto</v>
      </c>
      <c r="P181" s="8" t="str">
        <v>MU-J80P-95WF</v>
      </c>
      <c r="Q181" s="4">
        <v>45610</v>
      </c>
      <c r="R181" s="109">
        <v>59.99</v>
      </c>
      <c r="S181" s="11">
        <f ca="1"/>
        <v>59.99</v>
      </c>
      <c r="T181" s="28">
        <f ca="1"/>
        <v>7.7987000000000002</v>
      </c>
      <c r="U181" s="11">
        <f ca="1"/>
        <v>52.19</v>
      </c>
      <c r="V181" s="11">
        <v>7.3</v>
      </c>
      <c r="W181" s="11">
        <f ca="1"/>
        <v>0.35</v>
      </c>
      <c r="X181" s="11">
        <f ca="1"/>
        <v>0.39877104377104378</v>
      </c>
      <c r="Y181" s="11">
        <v>0</v>
      </c>
      <c r="Z181" s="11">
        <f ca="1"/>
        <v>44.141228956228957</v>
      </c>
      <c r="AA181" s="11">
        <f ca="1"/>
        <v>22.070614478114479</v>
      </c>
      <c r="AB181" s="4">
        <f ca="1"/>
        <v>45617</v>
      </c>
      <c r="AC181" s="4">
        <v>45617</v>
      </c>
      <c r="AD181" s="9">
        <v>45617</v>
      </c>
      <c r="AE181" s="9">
        <v>45618</v>
      </c>
      <c r="AF181" s="4" t="str">
        <f t="shared" ca="1" si="2"/>
        <v>2024 11</v>
      </c>
      <c r="AG181" s="8" t="str" cm="1">
        <f t="array" ref="AG181">IFERROR(_xlfn.IFS('Banco de Dados'!#REF!="AG. COMPRA","Em processamento",'Banco de Dados'!#REF!="AG. RASTREIO","Em processamento",'Banco de Dados'!$AE181&lt;&gt;"-","Faturado",'Banco de Dados'!$AD181&lt;&gt;"-","Aguardando Pix",'Banco de Dados'!$AC181&lt;&gt;"-","Pendente"),"Aguardando Liberação")</f>
        <v>Aguardando Liberação</v>
      </c>
      <c r="AH181" s="5" t="str">
        <f>IF('Banco de Dados'!$F181="-",_xlfn.CONCAT(PROPER(TEXT(AK181,"aaaa"))," ",PROPER(TEXT(AK181,"mm"))),_xlfn.CONCAT(PROPER(TEXT(E181,"aaaa"))," ",PROPER(TEXT(E181,"mm"))))</f>
        <v>2024 10</v>
      </c>
      <c r="AI181" s="9" t="str">
        <f ca="1">IF('Banco de Dados'!$AK181&lt;&gt;"-","REEMBOLSO",IFERROR(_xlfn.XLOOKUP(G181,Follow[CODRASTREIO],Follow[STATUS]),"-"))</f>
        <v>ENTREGUE</v>
      </c>
      <c r="AJ181" s="9">
        <f ca="1">IF('Banco de Dados'!$AI181="ENTREGUE",_xlfn.XLOOKUP('Banco de Dados'!$G181,Follow[CODRASTREIO],Follow[DATAATUALIZAÇÃO]),"-")</f>
        <v>45602</v>
      </c>
      <c r="AK181" s="9" t="str">
        <f ca="1"/>
        <v>-</v>
      </c>
      <c r="AL181" s="35" t="str">
        <v>NÃO</v>
      </c>
      <c r="AM181" s="109" cm="1">
        <f t="array" aca="1" ref="AM181" ca="1">IF('Banco de Dados'!$AK181&lt;&gt;"-",_xlfn.IFS('Banco de Dados'!$A181="bv",IF('Banco de Dados'!$E181&lt;45641,ROUND(SUM('Banco de Dados'!$R181*_xlfn.XLOOKUP('Banco de Dados'!$P181,Sku!B:B,Sku!#REF!)*20%),2),ROUND(SUM('Banco de Dados'!$R181*_xlfn.XLOOKUP('Banco de Dados'!$P181,Sku!B:B,Sku!H:H)*20%),2)),'Banco de Dados'!$A181="GO",ROUND(_xlfn.XLOOKUP('Banco de Dados'!$P181,Sku!C:C,Sku!H:H),2),'Banco de Dados'!$A181="MEI",ROUND(_xlfn.XLOOKUP('Banco de Dados'!$P181,Sku!D:D,Sku!H:H),2)),0)</f>
        <v>0</v>
      </c>
      <c r="AN181" s="109">
        <f ca="1">IF('Banco de Dados'!$AK181&lt;&gt;"-",IF('Banco de Dados'!$F181&lt;&gt;"-",_xlfn.XLOOKUP(IFERROR(IFERROR(IFERROR(VALUE(SUBSTITUTE(MID(_xlfn.TEXTAFTER('Banco de Dados'!$F181,"Data do Pedido:
",1),1,10),"-","/")),VALUE(SUBSTITUTE(MID(_xlfn.TEXTAFTER('Banco de Dados'!$F181,"Order date:
",1),1,10),"-","/"))),VALUE(SUBSTITUTE(MID(_xlfn.TEXTAFTER('Banco de Dados'!$F181,"Fecha de pedido:
",1),1,10),"-","/"))),"-"),SMS!A:A,SMS!K:K),0),0)</f>
        <v>0</v>
      </c>
      <c r="AO181" s="109">
        <f ca="1">IF('Banco de Dados'!$AK181&lt;&gt;"-",IF('Banco de Dados'!$F181&lt;&gt;"-",IFERROR(_xlfn.XLOOKUP(_xlfn.CONCAT('Banco de Dados'!$A181,IFERROR(IFERROR(VALUE(SUBSTITUTE(MID(_xlfn.TEXTAFTER('Banco de Dados'!$F181,"Data do Pedido:
",1),1,10),"-","/")),VALUE(SUBSTITUTE(MID(_xlfn.TEXTAFTER('Banco de Dados'!$F181,"Order date:
",1),1,10),"-","/"))),0)),ProxyDD[Chave],ProxyDD[Valor por pedido]),PROXY!$P$2),0),0)</f>
        <v>0</v>
      </c>
      <c r="AP181" s="28">
        <f ca="1">IF('Banco de Dados'!$AK181&lt;&gt;"-",IF('Banco de Dados'!$AL181="NÃO",IFERROR(VALUE(SUBSTITUTE(_xlfn.TEXTAFTER('Banco de Dados'!$F181,"BRL ",1),".",",")),0),0),0)</f>
        <v>0</v>
      </c>
      <c r="AQ181" s="28">
        <f ca="1">SUM('Banco de Dados'!$AM181:$AP181)</f>
        <v>0</v>
      </c>
      <c r="AR181" s="8"/>
      <c r="AS181" s="8"/>
      <c r="AY181" s="8"/>
    </row>
    <row r="182" spans="1:51">
      <c r="A182" s="5" t="str">
        <v>BV</v>
      </c>
      <c r="B182" s="5" t="str">
        <f ca="1"/>
        <v>BV45595</v>
      </c>
      <c r="C182" s="8" t="str">
        <v>Pedido 179</v>
      </c>
      <c r="D182" s="9">
        <v>45595</v>
      </c>
      <c r="E182" s="9">
        <v>45595</v>
      </c>
      <c r="F182" s="8" t="str">
        <v>PedidoF172</v>
      </c>
      <c r="G182" s="2" t="str">
        <v>CódRastreio172</v>
      </c>
      <c r="H182" s="5">
        <v>1</v>
      </c>
      <c r="I182" s="182" t="str">
        <v>CPF 176</v>
      </c>
      <c r="J182" s="2" t="str">
        <v>Nome 176</v>
      </c>
      <c r="K182" s="8" t="str">
        <v>Tel 176</v>
      </c>
      <c r="L182" s="2" t="str">
        <v>Cep 176</v>
      </c>
      <c r="M182" s="2" t="str">
        <v>Rua 176</v>
      </c>
      <c r="N182" s="2" t="str">
        <v>Comp 176</v>
      </c>
      <c r="O182" s="2" t="str">
        <v>Ventilador de teto</v>
      </c>
      <c r="P182" s="8" t="str">
        <v>ZO-J9IL-EN6L</v>
      </c>
      <c r="Q182" s="4">
        <v>45610</v>
      </c>
      <c r="R182" s="109">
        <v>58.99</v>
      </c>
      <c r="S182" s="11">
        <f ca="1"/>
        <v>0</v>
      </c>
      <c r="T182" s="28">
        <f ca="1"/>
        <v>0</v>
      </c>
      <c r="U182" s="11">
        <f ca="1"/>
        <v>0</v>
      </c>
      <c r="V182" s="11">
        <v>0</v>
      </c>
      <c r="W182" s="11">
        <f ca="1"/>
        <v>0</v>
      </c>
      <c r="X182" s="11">
        <f ca="1"/>
        <v>0.39877104377104378</v>
      </c>
      <c r="Y182" s="11">
        <v>0</v>
      </c>
      <c r="Z182" s="11">
        <f ca="1"/>
        <v>-0.39877104377104378</v>
      </c>
      <c r="AA182" s="11">
        <f ca="1"/>
        <v>-0.19938552188552189</v>
      </c>
      <c r="AB182" s="4">
        <f ca="1"/>
        <v>45617</v>
      </c>
      <c r="AC182" s="4">
        <v>45617</v>
      </c>
      <c r="AD182" s="9">
        <v>45617</v>
      </c>
      <c r="AE182" s="9">
        <v>45618</v>
      </c>
      <c r="AF182" s="4" t="str">
        <f t="shared" ca="1" si="2"/>
        <v>2024 11</v>
      </c>
      <c r="AG182" s="8" t="str" cm="1">
        <f t="array" ref="AG182">IFERROR(_xlfn.IFS('Banco de Dados'!#REF!="AG. COMPRA","Em processamento",'Banco de Dados'!#REF!="AG. RASTREIO","Em processamento",'Banco de Dados'!$AE182&lt;&gt;"-","Faturado",'Banco de Dados'!$AD182&lt;&gt;"-","Aguardando Pix",'Banco de Dados'!$AC182&lt;&gt;"-","Pendente"),"Aguardando Liberação")</f>
        <v>Aguardando Liberação</v>
      </c>
      <c r="AH182" s="5" t="str">
        <f>IF('Banco de Dados'!$F182="-",_xlfn.CONCAT(PROPER(TEXT(AK182,"aaaa"))," ",PROPER(TEXT(AK182,"mm"))),_xlfn.CONCAT(PROPER(TEXT(E182,"aaaa"))," ",PROPER(TEXT(E182,"mm"))))</f>
        <v>2024 10</v>
      </c>
      <c r="AI182" s="9" t="str">
        <f ca="1">IF('Banco de Dados'!$AK182&lt;&gt;"-","REEMBOLSO",IFERROR(_xlfn.XLOOKUP(G182,Follow[CODRASTREIO],Follow[STATUS]),"-"))</f>
        <v>REEMBOLSO</v>
      </c>
      <c r="AJ182" s="9" t="str">
        <f ca="1">IF('Banco de Dados'!$AI182="ENTREGUE",_xlfn.XLOOKUP('Banco de Dados'!$G182,Follow[CODRASTREIO],Follow[DATAATUALIZAÇÃO]),"-")</f>
        <v>-</v>
      </c>
      <c r="AK182" s="9">
        <f ca="1"/>
        <v>45609</v>
      </c>
      <c r="AL182" s="35" t="str">
        <v>NÃO</v>
      </c>
      <c r="AM182" s="109" t="e" cm="1">
        <f t="array" aca="1" ref="AM182" ca="1">IF('Banco de Dados'!$AK182&lt;&gt;"-",_xlfn.IFS('Banco de Dados'!$A182="bv",IF('Banco de Dados'!$E182&lt;45641,ROUND(SUM('Banco de Dados'!$R182*_xlfn.XLOOKUP('Banco de Dados'!$P182,Sku!B:B,Sku!#REF!)*20%),2),ROUND(SUM('Banco de Dados'!$R182*_xlfn.XLOOKUP('Banco de Dados'!$P182,Sku!B:B,Sku!H:H)*20%),2)),'Banco de Dados'!$A182="GO",ROUND(_xlfn.XLOOKUP('Banco de Dados'!$P182,Sku!C:C,Sku!H:H),2),'Banco de Dados'!$A182="MEI",ROUND(_xlfn.XLOOKUP('Banco de Dados'!$P182,Sku!D:D,Sku!H:H),2)),0)</f>
        <v>#REF!</v>
      </c>
      <c r="AN182" s="109" t="e">
        <f ca="1">IF('Banco de Dados'!$AK182&lt;&gt;"-",IF('Banco de Dados'!$F182&lt;&gt;"-",_xlfn.XLOOKUP(IFERROR(IFERROR(IFERROR(VALUE(SUBSTITUTE(MID(_xlfn.TEXTAFTER('Banco de Dados'!$F182,"Data do Pedido:
",1),1,10),"-","/")),VALUE(SUBSTITUTE(MID(_xlfn.TEXTAFTER('Banco de Dados'!$F182,"Order date:
",1),1,10),"-","/"))),VALUE(SUBSTITUTE(MID(_xlfn.TEXTAFTER('Banco de Dados'!$F182,"Fecha de pedido:
",1),1,10),"-","/"))),"-"),SMS!A:A,SMS!K:K),0),0)</f>
        <v>#N/A</v>
      </c>
      <c r="AO182" s="109">
        <f ca="1">IF('Banco de Dados'!$AK182&lt;&gt;"-",IF('Banco de Dados'!$F182&lt;&gt;"-",IFERROR(_xlfn.XLOOKUP(_xlfn.CONCAT('Banco de Dados'!$A182,IFERROR(IFERROR(VALUE(SUBSTITUTE(MID(_xlfn.TEXTAFTER('Banco de Dados'!$F182,"Data do Pedido:
",1),1,10),"-","/")),VALUE(SUBSTITUTE(MID(_xlfn.TEXTAFTER('Banco de Dados'!$F182,"Order date:
",1),1,10),"-","/"))),0)),ProxyDD[Chave],ProxyDD[Valor por pedido]),PROXY!$P$2),0),0)</f>
        <v>0.39877104377104378</v>
      </c>
      <c r="AP182" s="28">
        <f ca="1">IF('Banco de Dados'!$AK182&lt;&gt;"-",IF('Banco de Dados'!$AL182="NÃO",IFERROR(VALUE(SUBSTITUTE(_xlfn.TEXTAFTER('Banco de Dados'!$F182,"BRL ",1),".",",")),0),0),0)</f>
        <v>0</v>
      </c>
      <c r="AQ182" s="28" t="e">
        <f ca="1">SUM('Banco de Dados'!$AM182:$AP182)</f>
        <v>#REF!</v>
      </c>
      <c r="AR182" s="8"/>
      <c r="AS182" s="8"/>
      <c r="AY182" s="8"/>
    </row>
    <row r="183" spans="1:51">
      <c r="A183" s="5" t="str">
        <v>BV</v>
      </c>
      <c r="B183" s="5" t="str">
        <f ca="1"/>
        <v>BV45595</v>
      </c>
      <c r="C183" s="8" t="str">
        <v>Pedido 180</v>
      </c>
      <c r="D183" s="9">
        <v>45595</v>
      </c>
      <c r="E183" s="9">
        <v>45595</v>
      </c>
      <c r="F183" s="8" t="str">
        <v>PedidoF173</v>
      </c>
      <c r="G183" s="2" t="str">
        <v>CódRastreio173</v>
      </c>
      <c r="H183" s="5">
        <v>1</v>
      </c>
      <c r="I183" s="182" t="str">
        <v>CPF 177</v>
      </c>
      <c r="J183" s="2" t="str">
        <v>Nome 177</v>
      </c>
      <c r="K183" s="8" t="str">
        <v>Tel 177</v>
      </c>
      <c r="L183" s="2" t="str">
        <v>Cep 177</v>
      </c>
      <c r="M183" s="2" t="str">
        <v>Rua 177</v>
      </c>
      <c r="N183" s="2" t="str">
        <v>Comp 177</v>
      </c>
      <c r="O183" s="2" t="str">
        <v>Suporte de Celular Branco</v>
      </c>
      <c r="P183" s="8" t="str">
        <v>16-4EDB-WMZF</v>
      </c>
      <c r="Q183" s="4">
        <v>45610</v>
      </c>
      <c r="R183" s="109">
        <v>15.99</v>
      </c>
      <c r="S183" s="11">
        <f ca="1"/>
        <v>15.99</v>
      </c>
      <c r="T183" s="28">
        <f ca="1"/>
        <v>2.3984999999999999</v>
      </c>
      <c r="U183" s="11">
        <f ca="1"/>
        <v>13.59</v>
      </c>
      <c r="V183" s="11">
        <v>4.99</v>
      </c>
      <c r="W183" s="11">
        <f ca="1"/>
        <v>0.35</v>
      </c>
      <c r="X183" s="11">
        <f ca="1"/>
        <v>0.39877104377104378</v>
      </c>
      <c r="Y183" s="11">
        <v>0</v>
      </c>
      <c r="Z183" s="11">
        <f ca="1"/>
        <v>7.8512289562289563</v>
      </c>
      <c r="AA183" s="11">
        <f ca="1"/>
        <v>3.9256144781144782</v>
      </c>
      <c r="AB183" s="4">
        <f ca="1"/>
        <v>45617</v>
      </c>
      <c r="AC183" s="4">
        <v>45617</v>
      </c>
      <c r="AD183" s="9">
        <v>45617</v>
      </c>
      <c r="AE183" s="9">
        <v>45618</v>
      </c>
      <c r="AF183" s="4" t="str">
        <f t="shared" ca="1" si="2"/>
        <v>2024 11</v>
      </c>
      <c r="AG183" s="8" t="str" cm="1">
        <f t="array" ref="AG183">IFERROR(_xlfn.IFS('Banco de Dados'!#REF!="AG. COMPRA","Em processamento",'Banco de Dados'!#REF!="AG. RASTREIO","Em processamento",'Banco de Dados'!$AE183&lt;&gt;"-","Faturado",'Banco de Dados'!$AD183&lt;&gt;"-","Aguardando Pix",'Banco de Dados'!$AC183&lt;&gt;"-","Pendente"),"Aguardando Liberação")</f>
        <v>Aguardando Liberação</v>
      </c>
      <c r="AH183" s="5" t="str">
        <f>IF('Banco de Dados'!$F183="-",_xlfn.CONCAT(PROPER(TEXT(AK183,"aaaa"))," ",PROPER(TEXT(AK183,"mm"))),_xlfn.CONCAT(PROPER(TEXT(E183,"aaaa"))," ",PROPER(TEXT(E183,"mm"))))</f>
        <v>2024 10</v>
      </c>
      <c r="AI183" s="9" t="str">
        <f ca="1">IF('Banco de Dados'!$AK183&lt;&gt;"-","REEMBOLSO",IFERROR(_xlfn.XLOOKUP(G183,Follow[CODRASTREIO],Follow[STATUS]),"-"))</f>
        <v>ENTREGUE</v>
      </c>
      <c r="AJ183" s="9">
        <f ca="1">IF('Banco de Dados'!$AI183="ENTREGUE",_xlfn.XLOOKUP('Banco de Dados'!$G183,Follow[CODRASTREIO],Follow[DATAATUALIZAÇÃO]),"-")</f>
        <v>45601</v>
      </c>
      <c r="AK183" s="9" t="str">
        <f ca="1"/>
        <v>-</v>
      </c>
      <c r="AL183" s="35" t="str">
        <v>NÃO</v>
      </c>
      <c r="AM183" s="109" cm="1">
        <f t="array" aca="1" ref="AM183" ca="1">IF('Banco de Dados'!$AK183&lt;&gt;"-",_xlfn.IFS('Banco de Dados'!$A183="bv",IF('Banco de Dados'!$E183&lt;45641,ROUND(SUM('Banco de Dados'!$R183*_xlfn.XLOOKUP('Banco de Dados'!$P183,Sku!B:B,Sku!#REF!)*20%),2),ROUND(SUM('Banco de Dados'!$R183*_xlfn.XLOOKUP('Banco de Dados'!$P183,Sku!B:B,Sku!H:H)*20%),2)),'Banco de Dados'!$A183="GO",ROUND(_xlfn.XLOOKUP('Banco de Dados'!$P183,Sku!C:C,Sku!H:H),2),'Banco de Dados'!$A183="MEI",ROUND(_xlfn.XLOOKUP('Banco de Dados'!$P183,Sku!D:D,Sku!H:H),2)),0)</f>
        <v>0</v>
      </c>
      <c r="AN183" s="109">
        <f ca="1">IF('Banco de Dados'!$AK183&lt;&gt;"-",IF('Banco de Dados'!$F183&lt;&gt;"-",_xlfn.XLOOKUP(IFERROR(IFERROR(IFERROR(VALUE(SUBSTITUTE(MID(_xlfn.TEXTAFTER('Banco de Dados'!$F183,"Data do Pedido:
",1),1,10),"-","/")),VALUE(SUBSTITUTE(MID(_xlfn.TEXTAFTER('Banco de Dados'!$F183,"Order date:
",1),1,10),"-","/"))),VALUE(SUBSTITUTE(MID(_xlfn.TEXTAFTER('Banco de Dados'!$F183,"Fecha de pedido:
",1),1,10),"-","/"))),"-"),SMS!A:A,SMS!K:K),0),0)</f>
        <v>0</v>
      </c>
      <c r="AO183" s="109">
        <f ca="1">IF('Banco de Dados'!$AK183&lt;&gt;"-",IF('Banco de Dados'!$F183&lt;&gt;"-",IFERROR(_xlfn.XLOOKUP(_xlfn.CONCAT('Banco de Dados'!$A183,IFERROR(IFERROR(VALUE(SUBSTITUTE(MID(_xlfn.TEXTAFTER('Banco de Dados'!$F183,"Data do Pedido:
",1),1,10),"-","/")),VALUE(SUBSTITUTE(MID(_xlfn.TEXTAFTER('Banco de Dados'!$F183,"Order date:
",1),1,10),"-","/"))),0)),ProxyDD[Chave],ProxyDD[Valor por pedido]),PROXY!$P$2),0),0)</f>
        <v>0</v>
      </c>
      <c r="AP183" s="28">
        <f ca="1">IF('Banco de Dados'!$AK183&lt;&gt;"-",IF('Banco de Dados'!$AL183="NÃO",IFERROR(VALUE(SUBSTITUTE(_xlfn.TEXTAFTER('Banco de Dados'!$F183,"BRL ",1),".",",")),0),0),0)</f>
        <v>0</v>
      </c>
      <c r="AQ183" s="28">
        <f ca="1">SUM('Banco de Dados'!$AM183:$AP183)</f>
        <v>0</v>
      </c>
      <c r="AR183" s="8"/>
      <c r="AS183" s="8"/>
      <c r="AY183" s="8"/>
    </row>
    <row r="184" spans="1:51">
      <c r="A184" s="5" t="str">
        <v>BV</v>
      </c>
      <c r="B184" s="5" t="str">
        <f ca="1"/>
        <v>BV45595</v>
      </c>
      <c r="C184" s="8" t="str">
        <v>Pedido 181</v>
      </c>
      <c r="D184" s="9">
        <v>45595</v>
      </c>
      <c r="E184" s="9">
        <v>45595</v>
      </c>
      <c r="F184" s="8" t="str">
        <v>PedidoF174</v>
      </c>
      <c r="G184" s="2" t="str">
        <v>CódRastreio174</v>
      </c>
      <c r="H184" s="5">
        <v>1</v>
      </c>
      <c r="I184" s="182" t="str">
        <v>CPF 178</v>
      </c>
      <c r="J184" s="2" t="str">
        <v>Nome 178</v>
      </c>
      <c r="K184" s="8" t="str">
        <v>Tel 178</v>
      </c>
      <c r="L184" s="2" t="str">
        <v>Cep 178</v>
      </c>
      <c r="M184" s="2" t="str">
        <v>Rua 178</v>
      </c>
      <c r="N184" s="2" t="str">
        <v>Comp 178</v>
      </c>
      <c r="O184" s="2" t="str">
        <v>Suporte de Celular Branco</v>
      </c>
      <c r="P184" s="8" t="str">
        <v>16-4EDB-WMZF</v>
      </c>
      <c r="Q184" s="4">
        <v>45610</v>
      </c>
      <c r="R184" s="109">
        <v>40</v>
      </c>
      <c r="S184" s="11">
        <f ca="1"/>
        <v>40</v>
      </c>
      <c r="T184" s="28">
        <f ca="1"/>
        <v>6</v>
      </c>
      <c r="U184" s="11">
        <f ca="1"/>
        <v>34</v>
      </c>
      <c r="V184" s="11">
        <v>4.99</v>
      </c>
      <c r="W184" s="11">
        <f ca="1"/>
        <v>0.35</v>
      </c>
      <c r="X184" s="11">
        <f ca="1"/>
        <v>0.39877104377104378</v>
      </c>
      <c r="Y184" s="11">
        <v>0</v>
      </c>
      <c r="Z184" s="11">
        <f ca="1"/>
        <v>28.261228956228955</v>
      </c>
      <c r="AA184" s="11">
        <f ca="1"/>
        <v>14.130614478114477</v>
      </c>
      <c r="AB184" s="4">
        <f ca="1"/>
        <v>45617</v>
      </c>
      <c r="AC184" s="4">
        <v>45617</v>
      </c>
      <c r="AD184" s="9">
        <v>45617</v>
      </c>
      <c r="AE184" s="9">
        <v>45618</v>
      </c>
      <c r="AF184" s="4" t="str">
        <f t="shared" ca="1" si="2"/>
        <v>2024 11</v>
      </c>
      <c r="AG184" s="8" t="str" cm="1">
        <f t="array" ref="AG184">IFERROR(_xlfn.IFS('Banco de Dados'!#REF!="AG. COMPRA","Em processamento",'Banco de Dados'!#REF!="AG. RASTREIO","Em processamento",'Banco de Dados'!$AE184&lt;&gt;"-","Faturado",'Banco de Dados'!$AD184&lt;&gt;"-","Aguardando Pix",'Banco de Dados'!$AC184&lt;&gt;"-","Pendente"),"Aguardando Liberação")</f>
        <v>Aguardando Liberação</v>
      </c>
      <c r="AH184" s="5" t="str">
        <f>IF('Banco de Dados'!$F184="-",_xlfn.CONCAT(PROPER(TEXT(AK184,"aaaa"))," ",PROPER(TEXT(AK184,"mm"))),_xlfn.CONCAT(PROPER(TEXT(E184,"aaaa"))," ",PROPER(TEXT(E184,"mm"))))</f>
        <v>2024 10</v>
      </c>
      <c r="AI184" s="9" t="str">
        <f ca="1">IF('Banco de Dados'!$AK184&lt;&gt;"-","REEMBOLSO",IFERROR(_xlfn.XLOOKUP(G184,Follow[CODRASTREIO],Follow[STATUS]),"-"))</f>
        <v>ENTREGUE</v>
      </c>
      <c r="AJ184" s="9">
        <f ca="1">IF('Banco de Dados'!$AI184="ENTREGUE",_xlfn.XLOOKUP('Banco de Dados'!$G184,Follow[CODRASTREIO],Follow[DATAATUALIZAÇÃO]),"-")</f>
        <v>45600</v>
      </c>
      <c r="AK184" s="9" t="str">
        <f ca="1"/>
        <v>-</v>
      </c>
      <c r="AL184" s="35" t="str">
        <v>NÃO</v>
      </c>
      <c r="AM184" s="109" cm="1">
        <f t="array" aca="1" ref="AM184" ca="1">IF('Banco de Dados'!$AK184&lt;&gt;"-",_xlfn.IFS('Banco de Dados'!$A184="bv",IF('Banco de Dados'!$E184&lt;45641,ROUND(SUM('Banco de Dados'!$R184*_xlfn.XLOOKUP('Banco de Dados'!$P184,Sku!B:B,Sku!#REF!)*20%),2),ROUND(SUM('Banco de Dados'!$R184*_xlfn.XLOOKUP('Banco de Dados'!$P184,Sku!B:B,Sku!H:H)*20%),2)),'Banco de Dados'!$A184="GO",ROUND(_xlfn.XLOOKUP('Banco de Dados'!$P184,Sku!C:C,Sku!H:H),2),'Banco de Dados'!$A184="MEI",ROUND(_xlfn.XLOOKUP('Banco de Dados'!$P184,Sku!D:D,Sku!H:H),2)),0)</f>
        <v>0</v>
      </c>
      <c r="AN184" s="109">
        <f ca="1">IF('Banco de Dados'!$AK184&lt;&gt;"-",IF('Banco de Dados'!$F184&lt;&gt;"-",_xlfn.XLOOKUP(IFERROR(IFERROR(IFERROR(VALUE(SUBSTITUTE(MID(_xlfn.TEXTAFTER('Banco de Dados'!$F184,"Data do Pedido:
",1),1,10),"-","/")),VALUE(SUBSTITUTE(MID(_xlfn.TEXTAFTER('Banco de Dados'!$F184,"Order date:
",1),1,10),"-","/"))),VALUE(SUBSTITUTE(MID(_xlfn.TEXTAFTER('Banco de Dados'!$F184,"Fecha de pedido:
",1),1,10),"-","/"))),"-"),SMS!A:A,SMS!K:K),0),0)</f>
        <v>0</v>
      </c>
      <c r="AO184" s="109">
        <f ca="1">IF('Banco de Dados'!$AK184&lt;&gt;"-",IF('Banco de Dados'!$F184&lt;&gt;"-",IFERROR(_xlfn.XLOOKUP(_xlfn.CONCAT('Banco de Dados'!$A184,IFERROR(IFERROR(VALUE(SUBSTITUTE(MID(_xlfn.TEXTAFTER('Banco de Dados'!$F184,"Data do Pedido:
",1),1,10),"-","/")),VALUE(SUBSTITUTE(MID(_xlfn.TEXTAFTER('Banco de Dados'!$F184,"Order date:
",1),1,10),"-","/"))),0)),ProxyDD[Chave],ProxyDD[Valor por pedido]),PROXY!$P$2),0),0)</f>
        <v>0</v>
      </c>
      <c r="AP184" s="28">
        <f ca="1">IF('Banco de Dados'!$AK184&lt;&gt;"-",IF('Banco de Dados'!$AL184="NÃO",IFERROR(VALUE(SUBSTITUTE(_xlfn.TEXTAFTER('Banco de Dados'!$F184,"BRL ",1),".",",")),0),0),0)</f>
        <v>0</v>
      </c>
      <c r="AQ184" s="28">
        <f ca="1">SUM('Banco de Dados'!$AM184:$AP184)</f>
        <v>0</v>
      </c>
      <c r="AR184" s="8"/>
      <c r="AS184" s="8"/>
      <c r="AY184" s="8"/>
    </row>
    <row r="185" spans="1:51">
      <c r="A185" s="5" t="str">
        <v>BV</v>
      </c>
      <c r="B185" s="5" t="str">
        <f ca="1"/>
        <v>BV45595</v>
      </c>
      <c r="C185" s="8" t="str">
        <v>Pedido 182</v>
      </c>
      <c r="D185" s="9">
        <v>45595</v>
      </c>
      <c r="E185" s="9">
        <v>45595</v>
      </c>
      <c r="F185" s="8" t="str">
        <v>PedidoF175</v>
      </c>
      <c r="G185" s="2" t="str">
        <v>CódRastreio175</v>
      </c>
      <c r="H185" s="5">
        <v>1</v>
      </c>
      <c r="I185" s="182" t="str">
        <v>CPF 179</v>
      </c>
      <c r="J185" s="2" t="str">
        <v>Nome 179</v>
      </c>
      <c r="K185" s="8" t="str">
        <v>Tel 179</v>
      </c>
      <c r="L185" s="2" t="str">
        <v>Cep 179</v>
      </c>
      <c r="M185" s="2" t="str">
        <v>Rua 179</v>
      </c>
      <c r="N185" s="2" t="str">
        <v>Comp 179</v>
      </c>
      <c r="O185" s="2" t="str">
        <v>Bomba d'agua</v>
      </c>
      <c r="P185" s="8" t="str">
        <v>DJ-RO5O-43GF</v>
      </c>
      <c r="Q185" s="4">
        <v>45610</v>
      </c>
      <c r="R185" s="109">
        <v>40</v>
      </c>
      <c r="S185" s="11">
        <f ca="1"/>
        <v>40</v>
      </c>
      <c r="T185" s="28">
        <f ca="1"/>
        <v>5.6000000000000005</v>
      </c>
      <c r="U185" s="11">
        <f ca="1"/>
        <v>34.4</v>
      </c>
      <c r="V185" s="11">
        <v>4.99</v>
      </c>
      <c r="W185" s="11">
        <f ca="1"/>
        <v>0.35</v>
      </c>
      <c r="X185" s="11">
        <f ca="1"/>
        <v>0.39877104377104378</v>
      </c>
      <c r="Y185" s="11">
        <v>0</v>
      </c>
      <c r="Z185" s="11">
        <f ca="1"/>
        <v>28.661228956228953</v>
      </c>
      <c r="AA185" s="11">
        <f ca="1"/>
        <v>14.330614478114477</v>
      </c>
      <c r="AB185" s="4">
        <f ca="1"/>
        <v>45617</v>
      </c>
      <c r="AC185" s="4">
        <v>45617</v>
      </c>
      <c r="AD185" s="9">
        <v>45617</v>
      </c>
      <c r="AE185" s="9">
        <v>45618</v>
      </c>
      <c r="AF185" s="4" t="str">
        <f t="shared" ca="1" si="2"/>
        <v>2024 11</v>
      </c>
      <c r="AG185" s="8" t="str" cm="1">
        <f t="array" ref="AG185">IFERROR(_xlfn.IFS('Banco de Dados'!#REF!="AG. COMPRA","Em processamento",'Banco de Dados'!#REF!="AG. RASTREIO","Em processamento",'Banco de Dados'!$AE185&lt;&gt;"-","Faturado",'Banco de Dados'!$AD185&lt;&gt;"-","Aguardando Pix",'Banco de Dados'!$AC185&lt;&gt;"-","Pendente"),"Aguardando Liberação")</f>
        <v>Aguardando Liberação</v>
      </c>
      <c r="AH185" s="5" t="str">
        <f>IF('Banco de Dados'!$F185="-",_xlfn.CONCAT(PROPER(TEXT(AK185,"aaaa"))," ",PROPER(TEXT(AK185,"mm"))),_xlfn.CONCAT(PROPER(TEXT(E185,"aaaa"))," ",PROPER(TEXT(E185,"mm"))))</f>
        <v>2024 10</v>
      </c>
      <c r="AI185" s="9" t="str">
        <f ca="1">IF('Banco de Dados'!$AK185&lt;&gt;"-","REEMBOLSO",IFERROR(_xlfn.XLOOKUP(G185,Follow[CODRASTREIO],Follow[STATUS]),"-"))</f>
        <v>ENTREGUE</v>
      </c>
      <c r="AJ185" s="9">
        <f ca="1">IF('Banco de Dados'!$AI185="ENTREGUE",_xlfn.XLOOKUP('Banco de Dados'!$G185,Follow[CODRASTREIO],Follow[DATAATUALIZAÇÃO]),"-")</f>
        <v>45600</v>
      </c>
      <c r="AK185" s="9" t="str">
        <f ca="1"/>
        <v>-</v>
      </c>
      <c r="AL185" s="35" t="str">
        <v>NÃO</v>
      </c>
      <c r="AM185" s="109" cm="1">
        <f t="array" aca="1" ref="AM185" ca="1">IF('Banco de Dados'!$AK185&lt;&gt;"-",_xlfn.IFS('Banco de Dados'!$A185="bv",IF('Banco de Dados'!$E185&lt;45641,ROUND(SUM('Banco de Dados'!$R185*_xlfn.XLOOKUP('Banco de Dados'!$P185,Sku!B:B,Sku!#REF!)*20%),2),ROUND(SUM('Banco de Dados'!$R185*_xlfn.XLOOKUP('Banco de Dados'!$P185,Sku!B:B,Sku!H:H)*20%),2)),'Banco de Dados'!$A185="GO",ROUND(_xlfn.XLOOKUP('Banco de Dados'!$P185,Sku!C:C,Sku!H:H),2),'Banco de Dados'!$A185="MEI",ROUND(_xlfn.XLOOKUP('Banco de Dados'!$P185,Sku!D:D,Sku!H:H),2)),0)</f>
        <v>0</v>
      </c>
      <c r="AN185" s="109">
        <f ca="1">IF('Banco de Dados'!$AK185&lt;&gt;"-",IF('Banco de Dados'!$F185&lt;&gt;"-",_xlfn.XLOOKUP(IFERROR(IFERROR(IFERROR(VALUE(SUBSTITUTE(MID(_xlfn.TEXTAFTER('Banco de Dados'!$F185,"Data do Pedido:
",1),1,10),"-","/")),VALUE(SUBSTITUTE(MID(_xlfn.TEXTAFTER('Banco de Dados'!$F185,"Order date:
",1),1,10),"-","/"))),VALUE(SUBSTITUTE(MID(_xlfn.TEXTAFTER('Banco de Dados'!$F185,"Fecha de pedido:
",1),1,10),"-","/"))),"-"),SMS!A:A,SMS!K:K),0),0)</f>
        <v>0</v>
      </c>
      <c r="AO185" s="109">
        <f ca="1">IF('Banco de Dados'!$AK185&lt;&gt;"-",IF('Banco de Dados'!$F185&lt;&gt;"-",IFERROR(_xlfn.XLOOKUP(_xlfn.CONCAT('Banco de Dados'!$A185,IFERROR(IFERROR(VALUE(SUBSTITUTE(MID(_xlfn.TEXTAFTER('Banco de Dados'!$F185,"Data do Pedido:
",1),1,10),"-","/")),VALUE(SUBSTITUTE(MID(_xlfn.TEXTAFTER('Banco de Dados'!$F185,"Order date:
",1),1,10),"-","/"))),0)),ProxyDD[Chave],ProxyDD[Valor por pedido]),PROXY!$P$2),0),0)</f>
        <v>0</v>
      </c>
      <c r="AP185" s="28">
        <f ca="1">IF('Banco de Dados'!$AK185&lt;&gt;"-",IF('Banco de Dados'!$AL185="NÃO",IFERROR(VALUE(SUBSTITUTE(_xlfn.TEXTAFTER('Banco de Dados'!$F185,"BRL ",1),".",",")),0),0),0)</f>
        <v>0</v>
      </c>
      <c r="AQ185" s="28">
        <f ca="1">SUM('Banco de Dados'!$AM185:$AP185)</f>
        <v>0</v>
      </c>
      <c r="AR185" s="8"/>
      <c r="AS185" s="8"/>
      <c r="AY185" s="8"/>
    </row>
    <row r="186" spans="1:51">
      <c r="A186" s="5" t="str">
        <v>BV</v>
      </c>
      <c r="B186" s="5" t="str">
        <f ca="1"/>
        <v>BV45595</v>
      </c>
      <c r="C186" s="8" t="str">
        <v>Pedido 183</v>
      </c>
      <c r="D186" s="9">
        <v>45595</v>
      </c>
      <c r="E186" s="9">
        <v>45595</v>
      </c>
      <c r="F186" s="8" t="str">
        <v>PedidoF176</v>
      </c>
      <c r="G186" s="2" t="str">
        <v>CódRastreio176</v>
      </c>
      <c r="H186" s="5">
        <v>1</v>
      </c>
      <c r="I186" s="182" t="str">
        <v>CPF 180</v>
      </c>
      <c r="J186" s="2" t="str">
        <v>Nome 180</v>
      </c>
      <c r="K186" s="8" t="str">
        <v>Tel 180</v>
      </c>
      <c r="L186" s="2" t="str">
        <v>Cep 180</v>
      </c>
      <c r="M186" s="2" t="str">
        <v>Rua 180</v>
      </c>
      <c r="N186" s="2" t="str">
        <v>Comp 180</v>
      </c>
      <c r="O186" s="2" t="str">
        <v>Ventilador Preto</v>
      </c>
      <c r="P186" s="8" t="str">
        <v>MU-J80P-95WF</v>
      </c>
      <c r="Q186" s="4">
        <v>45618</v>
      </c>
      <c r="R186" s="109">
        <v>59.99</v>
      </c>
      <c r="S186" s="11">
        <f ca="1"/>
        <v>59.99</v>
      </c>
      <c r="T186" s="28">
        <f ca="1"/>
        <v>7.7987000000000002</v>
      </c>
      <c r="U186" s="11">
        <f ca="1"/>
        <v>52.19</v>
      </c>
      <c r="V186" s="11">
        <v>7.3</v>
      </c>
      <c r="W186" s="11">
        <f ca="1"/>
        <v>0.35</v>
      </c>
      <c r="X186" s="11">
        <f ca="1"/>
        <v>0.39877104377104378</v>
      </c>
      <c r="Y186" s="11">
        <v>0</v>
      </c>
      <c r="Z186" s="11">
        <f ca="1"/>
        <v>44.141228956228957</v>
      </c>
      <c r="AA186" s="11">
        <f ca="1"/>
        <v>22.070614478114479</v>
      </c>
      <c r="AB186" s="4">
        <f ca="1"/>
        <v>45625</v>
      </c>
      <c r="AC186" s="4">
        <v>45625</v>
      </c>
      <c r="AD186" s="9">
        <v>45625</v>
      </c>
      <c r="AE186" s="9">
        <v>45625</v>
      </c>
      <c r="AF186" s="4" t="str">
        <f t="shared" ca="1" si="2"/>
        <v>2024 11</v>
      </c>
      <c r="AG186" s="8" t="str" cm="1">
        <f t="array" ref="AG186">IFERROR(_xlfn.IFS('Banco de Dados'!#REF!="AG. COMPRA","Em processamento",'Banco de Dados'!#REF!="AG. RASTREIO","Em processamento",'Banco de Dados'!$AE186&lt;&gt;"-","Faturado",'Banco de Dados'!$AD186&lt;&gt;"-","Aguardando Pix",'Banco de Dados'!$AC186&lt;&gt;"-","Pendente"),"Aguardando Liberação")</f>
        <v>Aguardando Liberação</v>
      </c>
      <c r="AH186" s="5" t="str">
        <f>IF('Banco de Dados'!$F186="-",_xlfn.CONCAT(PROPER(TEXT(AK186,"aaaa"))," ",PROPER(TEXT(AK186,"mm"))),_xlfn.CONCAT(PROPER(TEXT(E186,"aaaa"))," ",PROPER(TEXT(E186,"mm"))))</f>
        <v>2024 10</v>
      </c>
      <c r="AI186" s="9" t="str">
        <f ca="1">IF('Banco de Dados'!$AK186&lt;&gt;"-","REEMBOLSO",IFERROR(_xlfn.XLOOKUP(G186,Follow[CODRASTREIO],Follow[STATUS]),"-"))</f>
        <v>ENTREGUE</v>
      </c>
      <c r="AJ186" s="9">
        <f ca="1">IF('Banco de Dados'!$AI186="ENTREGUE",_xlfn.XLOOKUP('Banco de Dados'!$G186,Follow[CODRASTREIO],Follow[DATAATUALIZAÇÃO]),"-")</f>
        <v>45608</v>
      </c>
      <c r="AK186" s="9" t="str">
        <f ca="1"/>
        <v>-</v>
      </c>
      <c r="AL186" s="35" t="str">
        <v>NÃO</v>
      </c>
      <c r="AM186" s="109" cm="1">
        <f t="array" aca="1" ref="AM186" ca="1">IF('Banco de Dados'!$AK186&lt;&gt;"-",_xlfn.IFS('Banco de Dados'!$A186="bv",IF('Banco de Dados'!$E186&lt;45641,ROUND(SUM('Banco de Dados'!$R186*_xlfn.XLOOKUP('Banco de Dados'!$P186,Sku!B:B,Sku!#REF!)*20%),2),ROUND(SUM('Banco de Dados'!$R186*_xlfn.XLOOKUP('Banco de Dados'!$P186,Sku!B:B,Sku!H:H)*20%),2)),'Banco de Dados'!$A186="GO",ROUND(_xlfn.XLOOKUP('Banco de Dados'!$P186,Sku!C:C,Sku!H:H),2),'Banco de Dados'!$A186="MEI",ROUND(_xlfn.XLOOKUP('Banco de Dados'!$P186,Sku!D:D,Sku!H:H),2)),0)</f>
        <v>0</v>
      </c>
      <c r="AN186" s="109">
        <f ca="1">IF('Banco de Dados'!$AK186&lt;&gt;"-",IF('Banco de Dados'!$F186&lt;&gt;"-",_xlfn.XLOOKUP(IFERROR(IFERROR(IFERROR(VALUE(SUBSTITUTE(MID(_xlfn.TEXTAFTER('Banco de Dados'!$F186,"Data do Pedido:
",1),1,10),"-","/")),VALUE(SUBSTITUTE(MID(_xlfn.TEXTAFTER('Banco de Dados'!$F186,"Order date:
",1),1,10),"-","/"))),VALUE(SUBSTITUTE(MID(_xlfn.TEXTAFTER('Banco de Dados'!$F186,"Fecha de pedido:
",1),1,10),"-","/"))),"-"),SMS!A:A,SMS!K:K),0),0)</f>
        <v>0</v>
      </c>
      <c r="AO186" s="109">
        <f ca="1">IF('Banco de Dados'!$AK186&lt;&gt;"-",IF('Banco de Dados'!$F186&lt;&gt;"-",IFERROR(_xlfn.XLOOKUP(_xlfn.CONCAT('Banco de Dados'!$A186,IFERROR(IFERROR(VALUE(SUBSTITUTE(MID(_xlfn.TEXTAFTER('Banco de Dados'!$F186,"Data do Pedido:
",1),1,10),"-","/")),VALUE(SUBSTITUTE(MID(_xlfn.TEXTAFTER('Banco de Dados'!$F186,"Order date:
",1),1,10),"-","/"))),0)),ProxyDD[Chave],ProxyDD[Valor por pedido]),PROXY!$P$2),0),0)</f>
        <v>0</v>
      </c>
      <c r="AP186" s="28">
        <f ca="1">IF('Banco de Dados'!$AK186&lt;&gt;"-",IF('Banco de Dados'!$AL186="NÃO",IFERROR(VALUE(SUBSTITUTE(_xlfn.TEXTAFTER('Banco de Dados'!$F186,"BRL ",1),".",",")),0),0),0)</f>
        <v>0</v>
      </c>
      <c r="AQ186" s="28">
        <f ca="1">SUM('Banco de Dados'!$AM186:$AP186)</f>
        <v>0</v>
      </c>
      <c r="AR186" s="8"/>
      <c r="AS186" s="8"/>
      <c r="AY186" s="8"/>
    </row>
    <row r="187" spans="1:51">
      <c r="A187" s="5" t="str">
        <v>BV</v>
      </c>
      <c r="B187" s="5" t="str">
        <f ca="1"/>
        <v>BV45595</v>
      </c>
      <c r="C187" s="8" t="str">
        <v>Pedido 184</v>
      </c>
      <c r="D187" s="9">
        <v>45595</v>
      </c>
      <c r="E187" s="9">
        <v>45595</v>
      </c>
      <c r="F187" s="8" t="str">
        <v>PedidoF177</v>
      </c>
      <c r="G187" s="2" t="str">
        <v>CódRastreio177</v>
      </c>
      <c r="H187" s="5">
        <v>1</v>
      </c>
      <c r="I187" s="182" t="str">
        <v>CPF 181</v>
      </c>
      <c r="J187" s="2" t="str">
        <v>Nome 181</v>
      </c>
      <c r="K187" s="8" t="str">
        <v>Tel 181</v>
      </c>
      <c r="L187" s="2" t="str">
        <v>Cep 181</v>
      </c>
      <c r="M187" s="2" t="str">
        <v>Rua 181</v>
      </c>
      <c r="N187" s="2" t="str">
        <v>Comp 181</v>
      </c>
      <c r="O187" s="2" t="str">
        <v>Mini Liquidificador</v>
      </c>
      <c r="P187" s="8" t="str">
        <v>CK-YL6M-P5Y6</v>
      </c>
      <c r="Q187" s="4">
        <v>45618</v>
      </c>
      <c r="R187" s="109">
        <v>31.99</v>
      </c>
      <c r="S187" s="11">
        <f ca="1"/>
        <v>0</v>
      </c>
      <c r="T187" s="28">
        <f ca="1"/>
        <v>0</v>
      </c>
      <c r="U187" s="11">
        <f ca="1"/>
        <v>0</v>
      </c>
      <c r="V187" s="11">
        <v>0</v>
      </c>
      <c r="W187" s="11">
        <f ca="1"/>
        <v>0</v>
      </c>
      <c r="X187" s="11">
        <f ca="1"/>
        <v>0.39877104377104378</v>
      </c>
      <c r="Y187" s="11">
        <v>0</v>
      </c>
      <c r="Z187" s="11">
        <f ca="1"/>
        <v>-0.39877104377104378</v>
      </c>
      <c r="AA187" s="11">
        <f ca="1"/>
        <v>-0.19938552188552189</v>
      </c>
      <c r="AB187" s="4">
        <f ca="1"/>
        <v>45625</v>
      </c>
      <c r="AC187" s="4">
        <v>45635</v>
      </c>
      <c r="AD187" s="9">
        <v>45625</v>
      </c>
      <c r="AE187" s="9">
        <v>45625</v>
      </c>
      <c r="AF187" s="4" t="str">
        <f t="shared" ca="1" si="2"/>
        <v>2024 11</v>
      </c>
      <c r="AG187" s="8" t="str" cm="1">
        <f t="array" ref="AG187">IFERROR(_xlfn.IFS('Banco de Dados'!#REF!="AG. COMPRA","Em processamento",'Banco de Dados'!#REF!="AG. RASTREIO","Em processamento",'Banco de Dados'!$AE187&lt;&gt;"-","Faturado",'Banco de Dados'!$AD187&lt;&gt;"-","Aguardando Pix",'Banco de Dados'!$AC187&lt;&gt;"-","Pendente"),"Aguardando Liberação")</f>
        <v>Aguardando Liberação</v>
      </c>
      <c r="AH187" s="5" t="str">
        <f>IF('Banco de Dados'!$F187="-",_xlfn.CONCAT(PROPER(TEXT(AK187,"aaaa"))," ",PROPER(TEXT(AK187,"mm"))),_xlfn.CONCAT(PROPER(TEXT(E187,"aaaa"))," ",PROPER(TEXT(E187,"mm"))))</f>
        <v>2024 10</v>
      </c>
      <c r="AI187" s="9" t="str">
        <f ca="1">IF('Banco de Dados'!$AK187&lt;&gt;"-","REEMBOLSO",IFERROR(_xlfn.XLOOKUP(G187,Follow[CODRASTREIO],Follow[STATUS]),"-"))</f>
        <v>REEMBOLSO</v>
      </c>
      <c r="AJ187" s="9" t="str">
        <f ca="1">IF('Banco de Dados'!$AI187="ENTREGUE",_xlfn.XLOOKUP('Banco de Dados'!$G187,Follow[CODRASTREIO],Follow[DATAATUALIZAÇÃO]),"-")</f>
        <v>-</v>
      </c>
      <c r="AK187" s="9">
        <f ca="1"/>
        <v>45635</v>
      </c>
      <c r="AL187" s="35" t="str">
        <v>-</v>
      </c>
      <c r="AM187" s="109" t="e" cm="1">
        <f t="array" aca="1" ref="AM187" ca="1">IF('Banco de Dados'!$AK187&lt;&gt;"-",_xlfn.IFS('Banco de Dados'!$A187="bv",IF('Banco de Dados'!$E187&lt;45641,ROUND(SUM('Banco de Dados'!$R187*_xlfn.XLOOKUP('Banco de Dados'!$P187,Sku!B:B,Sku!#REF!)*20%),2),ROUND(SUM('Banco de Dados'!$R187*_xlfn.XLOOKUP('Banco de Dados'!$P187,Sku!B:B,Sku!H:H)*20%),2)),'Banco de Dados'!$A187="GO",ROUND(_xlfn.XLOOKUP('Banco de Dados'!$P187,Sku!C:C,Sku!H:H),2),'Banco de Dados'!$A187="MEI",ROUND(_xlfn.XLOOKUP('Banco de Dados'!$P187,Sku!D:D,Sku!H:H),2)),0)</f>
        <v>#REF!</v>
      </c>
      <c r="AN187" s="109" t="e">
        <f ca="1">IF('Banco de Dados'!$AK187&lt;&gt;"-",IF('Banco de Dados'!$F187&lt;&gt;"-",_xlfn.XLOOKUP(IFERROR(IFERROR(IFERROR(VALUE(SUBSTITUTE(MID(_xlfn.TEXTAFTER('Banco de Dados'!$F187,"Data do Pedido:
",1),1,10),"-","/")),VALUE(SUBSTITUTE(MID(_xlfn.TEXTAFTER('Banco de Dados'!$F187,"Order date:
",1),1,10),"-","/"))),VALUE(SUBSTITUTE(MID(_xlfn.TEXTAFTER('Banco de Dados'!$F187,"Fecha de pedido:
",1),1,10),"-","/"))),"-"),SMS!A:A,SMS!K:K),0),0)</f>
        <v>#N/A</v>
      </c>
      <c r="AO187" s="109">
        <f ca="1">IF('Banco de Dados'!$AK187&lt;&gt;"-",IF('Banco de Dados'!$F187&lt;&gt;"-",IFERROR(_xlfn.XLOOKUP(_xlfn.CONCAT('Banco de Dados'!$A187,IFERROR(IFERROR(VALUE(SUBSTITUTE(MID(_xlfn.TEXTAFTER('Banco de Dados'!$F187,"Data do Pedido:
",1),1,10),"-","/")),VALUE(SUBSTITUTE(MID(_xlfn.TEXTAFTER('Banco de Dados'!$F187,"Order date:
",1),1,10),"-","/"))),0)),ProxyDD[Chave],ProxyDD[Valor por pedido]),PROXY!$P$2),0),0)</f>
        <v>0.39877104377104378</v>
      </c>
      <c r="AP187" s="28">
        <f ca="1">IF('Banco de Dados'!$AK187&lt;&gt;"-",IF('Banco de Dados'!$AL187="NÃO",IFERROR(VALUE(SUBSTITUTE(_xlfn.TEXTAFTER('Banco de Dados'!$F187,"BRL ",1),".",",")),0),0),0)</f>
        <v>0</v>
      </c>
      <c r="AQ187" s="28" t="e">
        <f ca="1">SUM('Banco de Dados'!$AM187:$AP187)</f>
        <v>#REF!</v>
      </c>
      <c r="AR187" s="8"/>
      <c r="AS187" s="8"/>
      <c r="AY187" s="8"/>
    </row>
    <row r="188" spans="1:51">
      <c r="A188" s="5" t="str">
        <v>BV</v>
      </c>
      <c r="B188" s="5" t="str">
        <f ca="1"/>
        <v>BV45595</v>
      </c>
      <c r="C188" s="8" t="str">
        <v>Pedido 185</v>
      </c>
      <c r="D188" s="9">
        <v>45595</v>
      </c>
      <c r="E188" s="9">
        <v>45595</v>
      </c>
      <c r="F188" s="8" t="str">
        <v>PedidoF178</v>
      </c>
      <c r="G188" s="2" t="str">
        <v>CódRastreio178</v>
      </c>
      <c r="H188" s="5">
        <v>1</v>
      </c>
      <c r="I188" s="182" t="str">
        <v>CPF 182</v>
      </c>
      <c r="J188" s="2" t="str">
        <v>Nome 182</v>
      </c>
      <c r="K188" s="8" t="str">
        <v>Tel 182</v>
      </c>
      <c r="L188" s="2" t="str">
        <v>Cep 182</v>
      </c>
      <c r="M188" s="2" t="str">
        <v>Rua 182</v>
      </c>
      <c r="N188" s="2" t="str">
        <v>Comp 182</v>
      </c>
      <c r="O188" s="2" t="str">
        <v>Bomba d'agua</v>
      </c>
      <c r="P188" s="8" t="str">
        <v>DJ-RO5O-43GF</v>
      </c>
      <c r="Q188" s="4">
        <v>45604</v>
      </c>
      <c r="R188" s="109">
        <v>17.989999999999998</v>
      </c>
      <c r="S188" s="11">
        <f ca="1"/>
        <v>17.989999999999998</v>
      </c>
      <c r="T188" s="28">
        <f ca="1"/>
        <v>2.5186000000000002</v>
      </c>
      <c r="U188" s="11">
        <f ca="1"/>
        <v>15.47</v>
      </c>
      <c r="V188" s="11">
        <v>4.99</v>
      </c>
      <c r="W188" s="11">
        <f ca="1"/>
        <v>0.35</v>
      </c>
      <c r="X188" s="11">
        <f ca="1"/>
        <v>0.39877104377104378</v>
      </c>
      <c r="Y188" s="11">
        <v>0</v>
      </c>
      <c r="Z188" s="11">
        <f ca="1"/>
        <v>9.7312289562289571</v>
      </c>
      <c r="AA188" s="11">
        <f ca="1"/>
        <v>4.8656144781144786</v>
      </c>
      <c r="AB188" s="4">
        <f ca="1"/>
        <v>45611</v>
      </c>
      <c r="AC188" s="4">
        <v>45611</v>
      </c>
      <c r="AD188" s="9">
        <v>45617</v>
      </c>
      <c r="AE188" s="9">
        <v>45618</v>
      </c>
      <c r="AF188" s="4" t="str">
        <f t="shared" ca="1" si="2"/>
        <v>2024 11</v>
      </c>
      <c r="AG188" s="8" t="str" cm="1">
        <f t="array" ref="AG188">IFERROR(_xlfn.IFS('Banco de Dados'!#REF!="AG. COMPRA","Em processamento",'Banco de Dados'!#REF!="AG. RASTREIO","Em processamento",'Banco de Dados'!$AE188&lt;&gt;"-","Faturado",'Banco de Dados'!$AD188&lt;&gt;"-","Aguardando Pix",'Banco de Dados'!$AC188&lt;&gt;"-","Pendente"),"Aguardando Liberação")</f>
        <v>Aguardando Liberação</v>
      </c>
      <c r="AH188" s="5" t="str">
        <f>IF('Banco de Dados'!$F188="-",_xlfn.CONCAT(PROPER(TEXT(AK188,"aaaa"))," ",PROPER(TEXT(AK188,"mm"))),_xlfn.CONCAT(PROPER(TEXT(E188,"aaaa"))," ",PROPER(TEXT(E188,"mm"))))</f>
        <v>2024 10</v>
      </c>
      <c r="AI188" s="9" t="str">
        <f ca="1">IF('Banco de Dados'!$AK188&lt;&gt;"-","REEMBOLSO",IFERROR(_xlfn.XLOOKUP(G188,Follow[CODRASTREIO],Follow[STATUS]),"-"))</f>
        <v>ENTREGUE</v>
      </c>
      <c r="AJ188" s="9">
        <f ca="1">IF('Banco de Dados'!$AI188="ENTREGUE",_xlfn.XLOOKUP('Banco de Dados'!$G188,Follow[CODRASTREIO],Follow[DATAATUALIZAÇÃO]),"-")</f>
        <v>45599</v>
      </c>
      <c r="AK188" s="9" t="str">
        <f ca="1"/>
        <v>-</v>
      </c>
      <c r="AL188" s="35" t="str">
        <v>NÃO</v>
      </c>
      <c r="AM188" s="109" cm="1">
        <f t="array" aca="1" ref="AM188" ca="1">IF('Banco de Dados'!$AK188&lt;&gt;"-",_xlfn.IFS('Banco de Dados'!$A188="bv",IF('Banco de Dados'!$E188&lt;45641,ROUND(SUM('Banco de Dados'!$R188*_xlfn.XLOOKUP('Banco de Dados'!$P188,Sku!B:B,Sku!#REF!)*20%),2),ROUND(SUM('Banco de Dados'!$R188*_xlfn.XLOOKUP('Banco de Dados'!$P188,Sku!B:B,Sku!H:H)*20%),2)),'Banco de Dados'!$A188="GO",ROUND(_xlfn.XLOOKUP('Banco de Dados'!$P188,Sku!C:C,Sku!H:H),2),'Banco de Dados'!$A188="MEI",ROUND(_xlfn.XLOOKUP('Banco de Dados'!$P188,Sku!D:D,Sku!H:H),2)),0)</f>
        <v>0</v>
      </c>
      <c r="AN188" s="109">
        <f ca="1">IF('Banco de Dados'!$AK188&lt;&gt;"-",IF('Banco de Dados'!$F188&lt;&gt;"-",_xlfn.XLOOKUP(IFERROR(IFERROR(IFERROR(VALUE(SUBSTITUTE(MID(_xlfn.TEXTAFTER('Banco de Dados'!$F188,"Data do Pedido:
",1),1,10),"-","/")),VALUE(SUBSTITUTE(MID(_xlfn.TEXTAFTER('Banco de Dados'!$F188,"Order date:
",1),1,10),"-","/"))),VALUE(SUBSTITUTE(MID(_xlfn.TEXTAFTER('Banco de Dados'!$F188,"Fecha de pedido:
",1),1,10),"-","/"))),"-"),SMS!A:A,SMS!K:K),0),0)</f>
        <v>0</v>
      </c>
      <c r="AO188" s="109">
        <f ca="1">IF('Banco de Dados'!$AK188&lt;&gt;"-",IF('Banco de Dados'!$F188&lt;&gt;"-",IFERROR(_xlfn.XLOOKUP(_xlfn.CONCAT('Banco de Dados'!$A188,IFERROR(IFERROR(VALUE(SUBSTITUTE(MID(_xlfn.TEXTAFTER('Banco de Dados'!$F188,"Data do Pedido:
",1),1,10),"-","/")),VALUE(SUBSTITUTE(MID(_xlfn.TEXTAFTER('Banco de Dados'!$F188,"Order date:
",1),1,10),"-","/"))),0)),ProxyDD[Chave],ProxyDD[Valor por pedido]),PROXY!$P$2),0),0)</f>
        <v>0</v>
      </c>
      <c r="AP188" s="28">
        <f ca="1">IF('Banco de Dados'!$AK188&lt;&gt;"-",IF('Banco de Dados'!$AL188="NÃO",IFERROR(VALUE(SUBSTITUTE(_xlfn.TEXTAFTER('Banco de Dados'!$F188,"BRL ",1),".",",")),0),0),0)</f>
        <v>0</v>
      </c>
      <c r="AQ188" s="28">
        <f ca="1">SUM('Banco de Dados'!$AM188:$AP188)</f>
        <v>0</v>
      </c>
      <c r="AR188" s="8"/>
      <c r="AS188" s="8"/>
      <c r="AY188" s="8"/>
    </row>
    <row r="189" spans="1:51">
      <c r="A189" s="5" t="str">
        <v>BV</v>
      </c>
      <c r="B189" s="5" t="str">
        <f ca="1"/>
        <v>BV45595</v>
      </c>
      <c r="C189" s="8" t="str">
        <v>Pedido 186</v>
      </c>
      <c r="D189" s="9">
        <v>45595</v>
      </c>
      <c r="E189" s="9">
        <v>45595</v>
      </c>
      <c r="F189" s="8" t="str">
        <v>PedidoF179</v>
      </c>
      <c r="G189" s="2" t="str">
        <v>CódRastreio179</v>
      </c>
      <c r="H189" s="5">
        <v>1</v>
      </c>
      <c r="I189" s="182" t="str">
        <v>CPF 183</v>
      </c>
      <c r="J189" s="2" t="str">
        <v>Nome 183</v>
      </c>
      <c r="K189" s="8" t="str">
        <v>Tel 183</v>
      </c>
      <c r="L189" s="2" t="str">
        <v>Cep 183</v>
      </c>
      <c r="M189" s="2" t="str">
        <v>Rua 183</v>
      </c>
      <c r="N189" s="2" t="str">
        <v>Comp 183</v>
      </c>
      <c r="O189" s="2" t="str">
        <v>Bomba d'agua</v>
      </c>
      <c r="P189" s="8" t="str">
        <v>DJ-RO5O-43GF</v>
      </c>
      <c r="Q189" s="4">
        <v>45604</v>
      </c>
      <c r="R189" s="109">
        <v>17.989999999999998</v>
      </c>
      <c r="S189" s="11">
        <f ca="1"/>
        <v>17.989999999999998</v>
      </c>
      <c r="T189" s="28">
        <f ca="1"/>
        <v>2.5186000000000002</v>
      </c>
      <c r="U189" s="11">
        <f ca="1"/>
        <v>15.47</v>
      </c>
      <c r="V189" s="11">
        <v>4.99</v>
      </c>
      <c r="W189" s="11">
        <f ca="1"/>
        <v>0.35</v>
      </c>
      <c r="X189" s="11">
        <f ca="1"/>
        <v>0.39877104377104378</v>
      </c>
      <c r="Y189" s="11">
        <v>0</v>
      </c>
      <c r="Z189" s="11">
        <f ca="1"/>
        <v>9.7312289562289571</v>
      </c>
      <c r="AA189" s="11">
        <f ca="1"/>
        <v>4.8656144781144786</v>
      </c>
      <c r="AB189" s="4">
        <f ca="1"/>
        <v>45611</v>
      </c>
      <c r="AC189" s="4">
        <v>45611</v>
      </c>
      <c r="AD189" s="9">
        <v>45617</v>
      </c>
      <c r="AE189" s="9">
        <v>45618</v>
      </c>
      <c r="AF189" s="4" t="str">
        <f t="shared" ca="1" si="2"/>
        <v>2024 11</v>
      </c>
      <c r="AG189" s="8" t="str" cm="1">
        <f t="array" ref="AG189">IFERROR(_xlfn.IFS('Banco de Dados'!#REF!="AG. COMPRA","Em processamento",'Banco de Dados'!#REF!="AG. RASTREIO","Em processamento",'Banco de Dados'!$AE189&lt;&gt;"-","Faturado",'Banco de Dados'!$AD189&lt;&gt;"-","Aguardando Pix",'Banco de Dados'!$AC189&lt;&gt;"-","Pendente"),"Aguardando Liberação")</f>
        <v>Aguardando Liberação</v>
      </c>
      <c r="AH189" s="5" t="str">
        <f>IF('Banco de Dados'!$F189="-",_xlfn.CONCAT(PROPER(TEXT(AK189,"aaaa"))," ",PROPER(TEXT(AK189,"mm"))),_xlfn.CONCAT(PROPER(TEXT(E189,"aaaa"))," ",PROPER(TEXT(E189,"mm"))))</f>
        <v>2024 10</v>
      </c>
      <c r="AI189" s="9" t="str">
        <f ca="1">IF('Banco de Dados'!$AK189&lt;&gt;"-","REEMBOLSO",IFERROR(_xlfn.XLOOKUP(G189,Follow[CODRASTREIO],Follow[STATUS]),"-"))</f>
        <v>ENTREGUE</v>
      </c>
      <c r="AJ189" s="9">
        <f ca="1">IF('Banco de Dados'!$AI189="ENTREGUE",_xlfn.XLOOKUP('Banco de Dados'!$G189,Follow[CODRASTREIO],Follow[DATAATUALIZAÇÃO]),"-")</f>
        <v>45598</v>
      </c>
      <c r="AK189" s="9" t="str">
        <f ca="1"/>
        <v>-</v>
      </c>
      <c r="AL189" s="35" t="str">
        <v>NÃO</v>
      </c>
      <c r="AM189" s="109" cm="1">
        <f t="array" aca="1" ref="AM189" ca="1">IF('Banco de Dados'!$AK189&lt;&gt;"-",_xlfn.IFS('Banco de Dados'!$A189="bv",IF('Banco de Dados'!$E189&lt;45641,ROUND(SUM('Banco de Dados'!$R189*_xlfn.XLOOKUP('Banco de Dados'!$P189,Sku!B:B,Sku!#REF!)*20%),2),ROUND(SUM('Banco de Dados'!$R189*_xlfn.XLOOKUP('Banco de Dados'!$P189,Sku!B:B,Sku!H:H)*20%),2)),'Banco de Dados'!$A189="GO",ROUND(_xlfn.XLOOKUP('Banco de Dados'!$P189,Sku!C:C,Sku!H:H),2),'Banco de Dados'!$A189="MEI",ROUND(_xlfn.XLOOKUP('Banco de Dados'!$P189,Sku!D:D,Sku!H:H),2)),0)</f>
        <v>0</v>
      </c>
      <c r="AN189" s="109">
        <f ca="1">IF('Banco de Dados'!$AK189&lt;&gt;"-",IF('Banco de Dados'!$F189&lt;&gt;"-",_xlfn.XLOOKUP(IFERROR(IFERROR(IFERROR(VALUE(SUBSTITUTE(MID(_xlfn.TEXTAFTER('Banco de Dados'!$F189,"Data do Pedido:
",1),1,10),"-","/")),VALUE(SUBSTITUTE(MID(_xlfn.TEXTAFTER('Banco de Dados'!$F189,"Order date:
",1),1,10),"-","/"))),VALUE(SUBSTITUTE(MID(_xlfn.TEXTAFTER('Banco de Dados'!$F189,"Fecha de pedido:
",1),1,10),"-","/"))),"-"),SMS!A:A,SMS!K:K),0),0)</f>
        <v>0</v>
      </c>
      <c r="AO189" s="109">
        <f ca="1">IF('Banco de Dados'!$AK189&lt;&gt;"-",IF('Banco de Dados'!$F189&lt;&gt;"-",IFERROR(_xlfn.XLOOKUP(_xlfn.CONCAT('Banco de Dados'!$A189,IFERROR(IFERROR(VALUE(SUBSTITUTE(MID(_xlfn.TEXTAFTER('Banco de Dados'!$F189,"Data do Pedido:
",1),1,10),"-","/")),VALUE(SUBSTITUTE(MID(_xlfn.TEXTAFTER('Banco de Dados'!$F189,"Order date:
",1),1,10),"-","/"))),0)),ProxyDD[Chave],ProxyDD[Valor por pedido]),PROXY!$P$2),0),0)</f>
        <v>0</v>
      </c>
      <c r="AP189" s="28">
        <f ca="1">IF('Banco de Dados'!$AK189&lt;&gt;"-",IF('Banco de Dados'!$AL189="NÃO",IFERROR(VALUE(SUBSTITUTE(_xlfn.TEXTAFTER('Banco de Dados'!$F189,"BRL ",1),".",",")),0),0),0)</f>
        <v>0</v>
      </c>
      <c r="AQ189" s="28">
        <f ca="1">SUM('Banco de Dados'!$AM189:$AP189)</f>
        <v>0</v>
      </c>
      <c r="AR189" s="8"/>
      <c r="AS189" s="8"/>
      <c r="AY189" s="8"/>
    </row>
    <row r="190" spans="1:51">
      <c r="A190" s="5" t="str">
        <v>BV</v>
      </c>
      <c r="B190" s="5" t="str">
        <f ca="1"/>
        <v>BV45595</v>
      </c>
      <c r="C190" s="8" t="str">
        <v>Pedido 187</v>
      </c>
      <c r="D190" s="9">
        <v>45595</v>
      </c>
      <c r="E190" s="9">
        <v>45595</v>
      </c>
      <c r="F190" s="8" t="str">
        <v>PedidoF180</v>
      </c>
      <c r="G190" s="2" t="str">
        <v>CódRastreio180</v>
      </c>
      <c r="H190" s="5">
        <v>1</v>
      </c>
      <c r="I190" s="182" t="str">
        <v>CPF 184</v>
      </c>
      <c r="J190" s="2" t="str">
        <v>Nome 184</v>
      </c>
      <c r="K190" s="8" t="str">
        <v>Tel 184</v>
      </c>
      <c r="L190" s="2" t="str">
        <v>Cep 184</v>
      </c>
      <c r="M190" s="2" t="str">
        <v>Rua 184</v>
      </c>
      <c r="N190" s="2" t="str">
        <v>Comp 184</v>
      </c>
      <c r="O190" s="2" t="str">
        <v>Ventilador Preto</v>
      </c>
      <c r="P190" s="8" t="str">
        <v>MU-J80P-95WF</v>
      </c>
      <c r="Q190" s="4">
        <v>45618</v>
      </c>
      <c r="R190" s="109">
        <v>59.99</v>
      </c>
      <c r="S190" s="11">
        <f ca="1"/>
        <v>59.99</v>
      </c>
      <c r="T190" s="28">
        <f ca="1"/>
        <v>7.7987000000000002</v>
      </c>
      <c r="U190" s="11">
        <f ca="1"/>
        <v>52.19</v>
      </c>
      <c r="V190" s="11">
        <v>7.3</v>
      </c>
      <c r="W190" s="11">
        <f ca="1"/>
        <v>0.35</v>
      </c>
      <c r="X190" s="11">
        <f ca="1"/>
        <v>0.39877104377104378</v>
      </c>
      <c r="Y190" s="11">
        <v>0</v>
      </c>
      <c r="Z190" s="11">
        <f ca="1"/>
        <v>44.141228956228957</v>
      </c>
      <c r="AA190" s="11">
        <f ca="1"/>
        <v>22.070614478114479</v>
      </c>
      <c r="AB190" s="4">
        <f ca="1"/>
        <v>45625</v>
      </c>
      <c r="AC190" s="4">
        <v>45625</v>
      </c>
      <c r="AD190" s="9">
        <v>45625</v>
      </c>
      <c r="AE190" s="9">
        <v>45625</v>
      </c>
      <c r="AF190" s="4" t="str">
        <f t="shared" ca="1" si="2"/>
        <v>2024 11</v>
      </c>
      <c r="AG190" s="8" t="str" cm="1">
        <f t="array" ref="AG190">IFERROR(_xlfn.IFS('Banco de Dados'!#REF!="AG. COMPRA","Em processamento",'Banco de Dados'!#REF!="AG. RASTREIO","Em processamento",'Banco de Dados'!$AE190&lt;&gt;"-","Faturado",'Banco de Dados'!$AD190&lt;&gt;"-","Aguardando Pix",'Banco de Dados'!$AC190&lt;&gt;"-","Pendente"),"Aguardando Liberação")</f>
        <v>Aguardando Liberação</v>
      </c>
      <c r="AH190" s="5" t="str">
        <f>IF('Banco de Dados'!$F190="-",_xlfn.CONCAT(PROPER(TEXT(AK190,"aaaa"))," ",PROPER(TEXT(AK190,"mm"))),_xlfn.CONCAT(PROPER(TEXT(E190,"aaaa"))," ",PROPER(TEXT(E190,"mm"))))</f>
        <v>2024 10</v>
      </c>
      <c r="AI190" s="9" t="str">
        <f ca="1">IF('Banco de Dados'!$AK190&lt;&gt;"-","REEMBOLSO",IFERROR(_xlfn.XLOOKUP(G190,Follow[CODRASTREIO],Follow[STATUS]),"-"))</f>
        <v>ENTREGUE</v>
      </c>
      <c r="AJ190" s="9">
        <f ca="1">IF('Banco de Dados'!$AI190="ENTREGUE",_xlfn.XLOOKUP('Banco de Dados'!$G190,Follow[CODRASTREIO],Follow[DATAATUALIZAÇÃO]),"-")</f>
        <v>45607</v>
      </c>
      <c r="AK190" s="9" t="str">
        <f ca="1"/>
        <v>-</v>
      </c>
      <c r="AL190" s="35" t="str">
        <v>NÃO</v>
      </c>
      <c r="AM190" s="109" cm="1">
        <f t="array" aca="1" ref="AM190" ca="1">IF('Banco de Dados'!$AK190&lt;&gt;"-",_xlfn.IFS('Banco de Dados'!$A190="bv",IF('Banco de Dados'!$E190&lt;45641,ROUND(SUM('Banco de Dados'!$R190*_xlfn.XLOOKUP('Banco de Dados'!$P190,Sku!B:B,Sku!#REF!)*20%),2),ROUND(SUM('Banco de Dados'!$R190*_xlfn.XLOOKUP('Banco de Dados'!$P190,Sku!B:B,Sku!H:H)*20%),2)),'Banco de Dados'!$A190="GO",ROUND(_xlfn.XLOOKUP('Banco de Dados'!$P190,Sku!C:C,Sku!H:H),2),'Banco de Dados'!$A190="MEI",ROUND(_xlfn.XLOOKUP('Banco de Dados'!$P190,Sku!D:D,Sku!H:H),2)),0)</f>
        <v>0</v>
      </c>
      <c r="AN190" s="109">
        <f ca="1">IF('Banco de Dados'!$AK190&lt;&gt;"-",IF('Banco de Dados'!$F190&lt;&gt;"-",_xlfn.XLOOKUP(IFERROR(IFERROR(IFERROR(VALUE(SUBSTITUTE(MID(_xlfn.TEXTAFTER('Banco de Dados'!$F190,"Data do Pedido:
",1),1,10),"-","/")),VALUE(SUBSTITUTE(MID(_xlfn.TEXTAFTER('Banco de Dados'!$F190,"Order date:
",1),1,10),"-","/"))),VALUE(SUBSTITUTE(MID(_xlfn.TEXTAFTER('Banco de Dados'!$F190,"Fecha de pedido:
",1),1,10),"-","/"))),"-"),SMS!A:A,SMS!K:K),0),0)</f>
        <v>0</v>
      </c>
      <c r="AO190" s="109">
        <f ca="1">IF('Banco de Dados'!$AK190&lt;&gt;"-",IF('Banco de Dados'!$F190&lt;&gt;"-",IFERROR(_xlfn.XLOOKUP(_xlfn.CONCAT('Banco de Dados'!$A190,IFERROR(IFERROR(VALUE(SUBSTITUTE(MID(_xlfn.TEXTAFTER('Banco de Dados'!$F190,"Data do Pedido:
",1),1,10),"-","/")),VALUE(SUBSTITUTE(MID(_xlfn.TEXTAFTER('Banco de Dados'!$F190,"Order date:
",1),1,10),"-","/"))),0)),ProxyDD[Chave],ProxyDD[Valor por pedido]),PROXY!$P$2),0),0)</f>
        <v>0</v>
      </c>
      <c r="AP190" s="28">
        <f ca="1">IF('Banco de Dados'!$AK190&lt;&gt;"-",IF('Banco de Dados'!$AL190="NÃO",IFERROR(VALUE(SUBSTITUTE(_xlfn.TEXTAFTER('Banco de Dados'!$F190,"BRL ",1),".",",")),0),0),0)</f>
        <v>0</v>
      </c>
      <c r="AQ190" s="28">
        <f ca="1">SUM('Banco de Dados'!$AM190:$AP190)</f>
        <v>0</v>
      </c>
      <c r="AR190" s="8"/>
      <c r="AS190" s="8"/>
      <c r="AY190" s="8"/>
    </row>
    <row r="191" spans="1:51">
      <c r="A191" s="5" t="str">
        <v>BV</v>
      </c>
      <c r="B191" s="5" t="str">
        <f ca="1"/>
        <v>BV45596</v>
      </c>
      <c r="C191" s="8" t="str">
        <v>Pedido 188</v>
      </c>
      <c r="D191" s="9">
        <v>45596</v>
      </c>
      <c r="E191" s="9">
        <v>45596</v>
      </c>
      <c r="F191" s="8" t="str">
        <v>PedidoF181</v>
      </c>
      <c r="G191" s="2" t="str">
        <v>CódRastreio181</v>
      </c>
      <c r="H191" s="5">
        <v>1</v>
      </c>
      <c r="I191" s="182" t="str">
        <v>CPF 185</v>
      </c>
      <c r="J191" s="2" t="str">
        <v>Nome 185</v>
      </c>
      <c r="K191" s="8" t="str">
        <v>Tel 185</v>
      </c>
      <c r="L191" s="2" t="str">
        <v>Cep 185</v>
      </c>
      <c r="M191" s="2" t="str">
        <v>Rua 185</v>
      </c>
      <c r="N191" s="2" t="str">
        <v>Comp 185</v>
      </c>
      <c r="O191" s="2" t="str">
        <v>Ventilador Preto</v>
      </c>
      <c r="P191" s="8" t="str">
        <v>MU-J80P-95WF</v>
      </c>
      <c r="Q191" s="4">
        <v>45611</v>
      </c>
      <c r="R191" s="109">
        <v>59.99</v>
      </c>
      <c r="S191" s="11">
        <f ca="1"/>
        <v>59.99</v>
      </c>
      <c r="T191" s="28">
        <f ca="1"/>
        <v>7.7987000000000002</v>
      </c>
      <c r="U191" s="11">
        <f ca="1"/>
        <v>52.19</v>
      </c>
      <c r="V191" s="11">
        <v>9.11</v>
      </c>
      <c r="W191" s="11">
        <f ca="1"/>
        <v>0.36</v>
      </c>
      <c r="X191" s="11">
        <f ca="1"/>
        <v>0.39877104377104378</v>
      </c>
      <c r="Y191" s="11">
        <v>0</v>
      </c>
      <c r="Z191" s="11">
        <f ca="1"/>
        <v>42.321228956228957</v>
      </c>
      <c r="AA191" s="11">
        <f ca="1"/>
        <v>21.160614478114478</v>
      </c>
      <c r="AB191" s="4">
        <f ca="1"/>
        <v>45618</v>
      </c>
      <c r="AC191" s="4">
        <v>45618</v>
      </c>
      <c r="AD191" s="9">
        <v>45618</v>
      </c>
      <c r="AE191" s="9">
        <v>45625</v>
      </c>
      <c r="AF191" s="4" t="str">
        <f t="shared" ca="1" si="2"/>
        <v>2024 11</v>
      </c>
      <c r="AG191" s="8" t="str" cm="1">
        <f t="array" ref="AG191">IFERROR(_xlfn.IFS('Banco de Dados'!#REF!="AG. COMPRA","Em processamento",'Banco de Dados'!#REF!="AG. RASTREIO","Em processamento",'Banco de Dados'!$AE191&lt;&gt;"-","Faturado",'Banco de Dados'!$AD191&lt;&gt;"-","Aguardando Pix",'Banco de Dados'!$AC191&lt;&gt;"-","Pendente"),"Aguardando Liberação")</f>
        <v>Aguardando Liberação</v>
      </c>
      <c r="AH191" s="5" t="str">
        <f>IF('Banco de Dados'!$F191="-",_xlfn.CONCAT(PROPER(TEXT(AK191,"aaaa"))," ",PROPER(TEXT(AK191,"mm"))),_xlfn.CONCAT(PROPER(TEXT(E191,"aaaa"))," ",PROPER(TEXT(E191,"mm"))))</f>
        <v>2024 10</v>
      </c>
      <c r="AI191" s="9" t="str">
        <f ca="1">IF('Banco de Dados'!$AK191&lt;&gt;"-","REEMBOLSO",IFERROR(_xlfn.XLOOKUP(G191,Follow[CODRASTREIO],Follow[STATUS]),"-"))</f>
        <v>ENTREGUE</v>
      </c>
      <c r="AJ191" s="9">
        <f ca="1">IF('Banco de Dados'!$AI191="ENTREGUE",_xlfn.XLOOKUP('Banco de Dados'!$G191,Follow[CODRASTREIO],Follow[DATAATUALIZAÇÃO]),"-")</f>
        <v>45607</v>
      </c>
      <c r="AK191" s="9" t="str">
        <f ca="1"/>
        <v>-</v>
      </c>
      <c r="AL191" s="35" t="str">
        <v>NÃO</v>
      </c>
      <c r="AM191" s="109" cm="1">
        <f t="array" aca="1" ref="AM191" ca="1">IF('Banco de Dados'!$AK191&lt;&gt;"-",_xlfn.IFS('Banco de Dados'!$A191="bv",IF('Banco de Dados'!$E191&lt;45641,ROUND(SUM('Banco de Dados'!$R191*_xlfn.XLOOKUP('Banco de Dados'!$P191,Sku!B:B,Sku!#REF!)*20%),2),ROUND(SUM('Banco de Dados'!$R191*_xlfn.XLOOKUP('Banco de Dados'!$P191,Sku!B:B,Sku!H:H)*20%),2)),'Banco de Dados'!$A191="GO",ROUND(_xlfn.XLOOKUP('Banco de Dados'!$P191,Sku!C:C,Sku!H:H),2),'Banco de Dados'!$A191="MEI",ROUND(_xlfn.XLOOKUP('Banco de Dados'!$P191,Sku!D:D,Sku!H:H),2)),0)</f>
        <v>0</v>
      </c>
      <c r="AN191" s="109">
        <f ca="1">IF('Banco de Dados'!$AK191&lt;&gt;"-",IF('Banco de Dados'!$F191&lt;&gt;"-",_xlfn.XLOOKUP(IFERROR(IFERROR(IFERROR(VALUE(SUBSTITUTE(MID(_xlfn.TEXTAFTER('Banco de Dados'!$F191,"Data do Pedido:
",1),1,10),"-","/")),VALUE(SUBSTITUTE(MID(_xlfn.TEXTAFTER('Banco de Dados'!$F191,"Order date:
",1),1,10),"-","/"))),VALUE(SUBSTITUTE(MID(_xlfn.TEXTAFTER('Banco de Dados'!$F191,"Fecha de pedido:
",1),1,10),"-","/"))),"-"),SMS!A:A,SMS!K:K),0),0)</f>
        <v>0</v>
      </c>
      <c r="AO191" s="109">
        <f ca="1">IF('Banco de Dados'!$AK191&lt;&gt;"-",IF('Banco de Dados'!$F191&lt;&gt;"-",IFERROR(_xlfn.XLOOKUP(_xlfn.CONCAT('Banco de Dados'!$A191,IFERROR(IFERROR(VALUE(SUBSTITUTE(MID(_xlfn.TEXTAFTER('Banco de Dados'!$F191,"Data do Pedido:
",1),1,10),"-","/")),VALUE(SUBSTITUTE(MID(_xlfn.TEXTAFTER('Banco de Dados'!$F191,"Order date:
",1),1,10),"-","/"))),0)),ProxyDD[Chave],ProxyDD[Valor por pedido]),PROXY!$P$2),0),0)</f>
        <v>0</v>
      </c>
      <c r="AP191" s="28">
        <f ca="1">IF('Banco de Dados'!$AK191&lt;&gt;"-",IF('Banco de Dados'!$AL191="NÃO",IFERROR(VALUE(SUBSTITUTE(_xlfn.TEXTAFTER('Banco de Dados'!$F191,"BRL ",1),".",",")),0),0),0)</f>
        <v>0</v>
      </c>
      <c r="AQ191" s="28">
        <f ca="1">SUM('Banco de Dados'!$AM191:$AP191)</f>
        <v>0</v>
      </c>
      <c r="AR191" s="8"/>
      <c r="AS191" s="8"/>
      <c r="AY191" s="8"/>
    </row>
    <row r="192" spans="1:51">
      <c r="A192" s="5" t="str">
        <v>BV</v>
      </c>
      <c r="B192" s="5" t="str">
        <f ca="1"/>
        <v>BV45596</v>
      </c>
      <c r="C192" s="8" t="str">
        <v>Pedido 189</v>
      </c>
      <c r="D192" s="9">
        <v>45596</v>
      </c>
      <c r="E192" s="9">
        <v>45596</v>
      </c>
      <c r="F192" s="8" t="str">
        <v>PedidoF182</v>
      </c>
      <c r="G192" s="2" t="str">
        <v>CódRastreio182</v>
      </c>
      <c r="H192" s="5">
        <v>1</v>
      </c>
      <c r="I192" s="182" t="str">
        <v>CPF 186</v>
      </c>
      <c r="J192" s="2" t="str">
        <v>Nome 186</v>
      </c>
      <c r="K192" s="8" t="str">
        <v>Tel 186</v>
      </c>
      <c r="L192" s="2" t="str">
        <v>Cep 186</v>
      </c>
      <c r="M192" s="2" t="str">
        <v>Rua 186</v>
      </c>
      <c r="N192" s="2" t="str">
        <v>Comp 186</v>
      </c>
      <c r="O192" s="2" t="str">
        <v>Suporte de Celular Preto</v>
      </c>
      <c r="P192" s="8" t="str">
        <v>9G-BN48-QAPH</v>
      </c>
      <c r="Q192" s="4">
        <v>45605</v>
      </c>
      <c r="R192" s="109">
        <v>18.989999999999998</v>
      </c>
      <c r="S192" s="11">
        <f ca="1"/>
        <v>18.989999999999998</v>
      </c>
      <c r="T192" s="28">
        <f ca="1"/>
        <v>2.8484999999999996</v>
      </c>
      <c r="U192" s="11">
        <f ca="1"/>
        <v>16.14</v>
      </c>
      <c r="V192" s="11">
        <v>4.99</v>
      </c>
      <c r="W192" s="11">
        <f ca="1"/>
        <v>0.36</v>
      </c>
      <c r="X192" s="11">
        <f ca="1"/>
        <v>0.39877104377104378</v>
      </c>
      <c r="Y192" s="11">
        <v>0</v>
      </c>
      <c r="Z192" s="11">
        <f ca="1"/>
        <v>10.391228956228957</v>
      </c>
      <c r="AA192" s="11">
        <f ca="1"/>
        <v>5.1956144781144786</v>
      </c>
      <c r="AB192" s="4">
        <f ca="1"/>
        <v>45612</v>
      </c>
      <c r="AC192" s="4">
        <v>45612</v>
      </c>
      <c r="AD192" s="9">
        <v>45617</v>
      </c>
      <c r="AE192" s="9">
        <v>45618</v>
      </c>
      <c r="AF192" s="4" t="str">
        <f t="shared" ca="1" si="2"/>
        <v>2024 11</v>
      </c>
      <c r="AG192" s="8" t="str" cm="1">
        <f t="array" ref="AG192">IFERROR(_xlfn.IFS('Banco de Dados'!#REF!="AG. COMPRA","Em processamento",'Banco de Dados'!#REF!="AG. RASTREIO","Em processamento",'Banco de Dados'!$AE192&lt;&gt;"-","Faturado",'Banco de Dados'!$AD192&lt;&gt;"-","Aguardando Pix",'Banco de Dados'!$AC192&lt;&gt;"-","Pendente"),"Aguardando Liberação")</f>
        <v>Aguardando Liberação</v>
      </c>
      <c r="AH192" s="5" t="str">
        <f>IF('Banco de Dados'!$F192="-",_xlfn.CONCAT(PROPER(TEXT(AK192,"aaaa"))," ",PROPER(TEXT(AK192,"mm"))),_xlfn.CONCAT(PROPER(TEXT(E192,"aaaa"))," ",PROPER(TEXT(E192,"mm"))))</f>
        <v>2024 10</v>
      </c>
      <c r="AI192" s="9" t="str">
        <f ca="1">IF('Banco de Dados'!$AK192&lt;&gt;"-","REEMBOLSO",IFERROR(_xlfn.XLOOKUP(G192,Follow[CODRASTREIO],Follow[STATUS]),"-"))</f>
        <v>ENTREGUE</v>
      </c>
      <c r="AJ192" s="9">
        <f ca="1">IF('Banco de Dados'!$AI192="ENTREGUE",_xlfn.XLOOKUP('Banco de Dados'!$G192,Follow[CODRASTREIO],Follow[DATAATUALIZAÇÃO]),"-")</f>
        <v>45600</v>
      </c>
      <c r="AK192" s="9" t="str">
        <f ca="1"/>
        <v>-</v>
      </c>
      <c r="AL192" s="35" t="str">
        <v>NÃO</v>
      </c>
      <c r="AM192" s="109" cm="1">
        <f t="array" aca="1" ref="AM192" ca="1">IF('Banco de Dados'!$AK192&lt;&gt;"-",_xlfn.IFS('Banco de Dados'!$A192="bv",IF('Banco de Dados'!$E192&lt;45641,ROUND(SUM('Banco de Dados'!$R192*_xlfn.XLOOKUP('Banco de Dados'!$P192,Sku!B:B,Sku!#REF!)*20%),2),ROUND(SUM('Banco de Dados'!$R192*_xlfn.XLOOKUP('Banco de Dados'!$P192,Sku!B:B,Sku!H:H)*20%),2)),'Banco de Dados'!$A192="GO",ROUND(_xlfn.XLOOKUP('Banco de Dados'!$P192,Sku!C:C,Sku!H:H),2),'Banco de Dados'!$A192="MEI",ROUND(_xlfn.XLOOKUP('Banco de Dados'!$P192,Sku!D:D,Sku!H:H),2)),0)</f>
        <v>0</v>
      </c>
      <c r="AN192" s="109">
        <f ca="1">IF('Banco de Dados'!$AK192&lt;&gt;"-",IF('Banco de Dados'!$F192&lt;&gt;"-",_xlfn.XLOOKUP(IFERROR(IFERROR(IFERROR(VALUE(SUBSTITUTE(MID(_xlfn.TEXTAFTER('Banco de Dados'!$F192,"Data do Pedido:
",1),1,10),"-","/")),VALUE(SUBSTITUTE(MID(_xlfn.TEXTAFTER('Banco de Dados'!$F192,"Order date:
",1),1,10),"-","/"))),VALUE(SUBSTITUTE(MID(_xlfn.TEXTAFTER('Banco de Dados'!$F192,"Fecha de pedido:
",1),1,10),"-","/"))),"-"),SMS!A:A,SMS!K:K),0),0)</f>
        <v>0</v>
      </c>
      <c r="AO192" s="109">
        <f ca="1">IF('Banco de Dados'!$AK192&lt;&gt;"-",IF('Banco de Dados'!$F192&lt;&gt;"-",IFERROR(_xlfn.XLOOKUP(_xlfn.CONCAT('Banco de Dados'!$A192,IFERROR(IFERROR(VALUE(SUBSTITUTE(MID(_xlfn.TEXTAFTER('Banco de Dados'!$F192,"Data do Pedido:
",1),1,10),"-","/")),VALUE(SUBSTITUTE(MID(_xlfn.TEXTAFTER('Banco de Dados'!$F192,"Order date:
",1),1,10),"-","/"))),0)),ProxyDD[Chave],ProxyDD[Valor por pedido]),PROXY!$P$2),0),0)</f>
        <v>0</v>
      </c>
      <c r="AP192" s="28">
        <f ca="1">IF('Banco de Dados'!$AK192&lt;&gt;"-",IF('Banco de Dados'!$AL192="NÃO",IFERROR(VALUE(SUBSTITUTE(_xlfn.TEXTAFTER('Banco de Dados'!$F192,"BRL ",1),".",",")),0),0),0)</f>
        <v>0</v>
      </c>
      <c r="AQ192" s="28">
        <f ca="1">SUM('Banco de Dados'!$AM192:$AP192)</f>
        <v>0</v>
      </c>
      <c r="AR192" s="8"/>
      <c r="AS192" s="8"/>
      <c r="AY192" s="8"/>
    </row>
    <row r="193" spans="1:51">
      <c r="A193" s="5" t="str">
        <v>BV</v>
      </c>
      <c r="B193" s="5" t="str">
        <f ca="1"/>
        <v>BV45596</v>
      </c>
      <c r="C193" s="8" t="str">
        <v>Pedido 190</v>
      </c>
      <c r="D193" s="9">
        <v>45596</v>
      </c>
      <c r="E193" s="9">
        <v>45596</v>
      </c>
      <c r="F193" s="8" t="str">
        <v>PedidoF183</v>
      </c>
      <c r="G193" s="2" t="str">
        <v>CódRastreio183</v>
      </c>
      <c r="H193" s="5">
        <v>1</v>
      </c>
      <c r="I193" s="182" t="str">
        <v>CPF 187</v>
      </c>
      <c r="J193" s="2" t="str">
        <v>Nome 187</v>
      </c>
      <c r="K193" s="8" t="str">
        <v>Tel 187</v>
      </c>
      <c r="L193" s="2" t="str">
        <v>Cep 187</v>
      </c>
      <c r="M193" s="2" t="str">
        <v>Rua 187</v>
      </c>
      <c r="N193" s="2" t="str">
        <v>Comp 187</v>
      </c>
      <c r="O193" s="2" t="str">
        <v>Bomba d'agua</v>
      </c>
      <c r="P193" s="8" t="str">
        <v>DJ-RO5O-43GF</v>
      </c>
      <c r="Q193" s="4">
        <v>45611</v>
      </c>
      <c r="R193" s="109">
        <v>16.989999999999998</v>
      </c>
      <c r="S193" s="11">
        <f ca="1"/>
        <v>16.989999999999998</v>
      </c>
      <c r="T193" s="28">
        <f ca="1"/>
        <v>2.3786</v>
      </c>
      <c r="U193" s="11">
        <f ca="1"/>
        <v>14.61</v>
      </c>
      <c r="V193" s="11">
        <v>4.99</v>
      </c>
      <c r="W193" s="11">
        <f ca="1"/>
        <v>0.36</v>
      </c>
      <c r="X193" s="11">
        <f ca="1"/>
        <v>0.39877104377104378</v>
      </c>
      <c r="Y193" s="11">
        <v>0</v>
      </c>
      <c r="Z193" s="11">
        <f ca="1"/>
        <v>8.8612289562289561</v>
      </c>
      <c r="AA193" s="11">
        <f ca="1"/>
        <v>4.4306144781144781</v>
      </c>
      <c r="AB193" s="4">
        <f ca="1"/>
        <v>45618</v>
      </c>
      <c r="AC193" s="4">
        <v>45618</v>
      </c>
      <c r="AD193" s="9">
        <v>45618</v>
      </c>
      <c r="AE193" s="9">
        <v>45625</v>
      </c>
      <c r="AF193" s="4" t="str">
        <f t="shared" ca="1" si="2"/>
        <v>2024 11</v>
      </c>
      <c r="AG193" s="8" t="str" cm="1">
        <f t="array" ref="AG193">IFERROR(_xlfn.IFS('Banco de Dados'!#REF!="AG. COMPRA","Em processamento",'Banco de Dados'!#REF!="AG. RASTREIO","Em processamento",'Banco de Dados'!$AE193&lt;&gt;"-","Faturado",'Banco de Dados'!$AD193&lt;&gt;"-","Aguardando Pix",'Banco de Dados'!$AC193&lt;&gt;"-","Pendente"),"Aguardando Liberação")</f>
        <v>Aguardando Liberação</v>
      </c>
      <c r="AH193" s="5" t="str">
        <f>IF('Banco de Dados'!$F193="-",_xlfn.CONCAT(PROPER(TEXT(AK193,"aaaa"))," ",PROPER(TEXT(AK193,"mm"))),_xlfn.CONCAT(PROPER(TEXT(E193,"aaaa"))," ",PROPER(TEXT(E193,"mm"))))</f>
        <v>2024 10</v>
      </c>
      <c r="AI193" s="9" t="str">
        <f ca="1">IF('Banco de Dados'!$AK193&lt;&gt;"-","REEMBOLSO",IFERROR(_xlfn.XLOOKUP(G193,Follow[CODRASTREIO],Follow[STATUS]),"-"))</f>
        <v>ENTREGUE</v>
      </c>
      <c r="AJ193" s="9">
        <f ca="1">IF('Banco de Dados'!$AI193="ENTREGUE",_xlfn.XLOOKUP('Banco de Dados'!$G193,Follow[CODRASTREIO],Follow[DATAATUALIZAÇÃO]),"-")</f>
        <v>45604</v>
      </c>
      <c r="AK193" s="9" t="str">
        <f ca="1"/>
        <v>-</v>
      </c>
      <c r="AL193" s="35" t="str">
        <v>NÃO</v>
      </c>
      <c r="AM193" s="109" cm="1">
        <f t="array" aca="1" ref="AM193" ca="1">IF('Banco de Dados'!$AK193&lt;&gt;"-",_xlfn.IFS('Banco de Dados'!$A193="bv",IF('Banco de Dados'!$E193&lt;45641,ROUND(SUM('Banco de Dados'!$R193*_xlfn.XLOOKUP('Banco de Dados'!$P193,Sku!B:B,Sku!#REF!)*20%),2),ROUND(SUM('Banco de Dados'!$R193*_xlfn.XLOOKUP('Banco de Dados'!$P193,Sku!B:B,Sku!H:H)*20%),2)),'Banco de Dados'!$A193="GO",ROUND(_xlfn.XLOOKUP('Banco de Dados'!$P193,Sku!C:C,Sku!H:H),2),'Banco de Dados'!$A193="MEI",ROUND(_xlfn.XLOOKUP('Banco de Dados'!$P193,Sku!D:D,Sku!H:H),2)),0)</f>
        <v>0</v>
      </c>
      <c r="AN193" s="109">
        <f ca="1">IF('Banco de Dados'!$AK193&lt;&gt;"-",IF('Banco de Dados'!$F193&lt;&gt;"-",_xlfn.XLOOKUP(IFERROR(IFERROR(IFERROR(VALUE(SUBSTITUTE(MID(_xlfn.TEXTAFTER('Banco de Dados'!$F193,"Data do Pedido:
",1),1,10),"-","/")),VALUE(SUBSTITUTE(MID(_xlfn.TEXTAFTER('Banco de Dados'!$F193,"Order date:
",1),1,10),"-","/"))),VALUE(SUBSTITUTE(MID(_xlfn.TEXTAFTER('Banco de Dados'!$F193,"Fecha de pedido:
",1),1,10),"-","/"))),"-"),SMS!A:A,SMS!K:K),0),0)</f>
        <v>0</v>
      </c>
      <c r="AO193" s="109">
        <f ca="1">IF('Banco de Dados'!$AK193&lt;&gt;"-",IF('Banco de Dados'!$F193&lt;&gt;"-",IFERROR(_xlfn.XLOOKUP(_xlfn.CONCAT('Banco de Dados'!$A193,IFERROR(IFERROR(VALUE(SUBSTITUTE(MID(_xlfn.TEXTAFTER('Banco de Dados'!$F193,"Data do Pedido:
",1),1,10),"-","/")),VALUE(SUBSTITUTE(MID(_xlfn.TEXTAFTER('Banco de Dados'!$F193,"Order date:
",1),1,10),"-","/"))),0)),ProxyDD[Chave],ProxyDD[Valor por pedido]),PROXY!$P$2),0),0)</f>
        <v>0</v>
      </c>
      <c r="AP193" s="28">
        <f ca="1">IF('Banco de Dados'!$AK193&lt;&gt;"-",IF('Banco de Dados'!$AL193="NÃO",IFERROR(VALUE(SUBSTITUTE(_xlfn.TEXTAFTER('Banco de Dados'!$F193,"BRL ",1),".",",")),0),0),0)</f>
        <v>0</v>
      </c>
      <c r="AQ193" s="28">
        <f ca="1">SUM('Banco de Dados'!$AM193:$AP193)</f>
        <v>0</v>
      </c>
      <c r="AR193" s="8"/>
      <c r="AS193" s="8"/>
      <c r="AY193" s="8"/>
    </row>
    <row r="194" spans="1:51">
      <c r="A194" s="5" t="str">
        <v>BV</v>
      </c>
      <c r="B194" s="5" t="str">
        <f ca="1"/>
        <v>BV45596</v>
      </c>
      <c r="C194" s="8" t="str">
        <v>Pedido 191</v>
      </c>
      <c r="D194" s="9">
        <v>45596</v>
      </c>
      <c r="E194" s="9">
        <v>45596</v>
      </c>
      <c r="F194" s="8" t="str">
        <v>PedidoF184</v>
      </c>
      <c r="G194" s="2" t="str">
        <v>CódRastreio184</v>
      </c>
      <c r="H194" s="5">
        <v>1</v>
      </c>
      <c r="I194" s="182" t="str">
        <v>CPF 188</v>
      </c>
      <c r="J194" s="2" t="str">
        <v>Nome 188</v>
      </c>
      <c r="K194" s="8" t="str">
        <v>Tel 188</v>
      </c>
      <c r="L194" s="2" t="str">
        <v>Cep 188</v>
      </c>
      <c r="M194" s="2" t="str">
        <v>Rua 188</v>
      </c>
      <c r="N194" s="2" t="str">
        <v>Comp 188</v>
      </c>
      <c r="O194" s="2" t="str">
        <v>Multi Processador 5 Laminas</v>
      </c>
      <c r="P194" s="8" t="str">
        <v>T9-P952-TL6A</v>
      </c>
      <c r="Q194" s="4">
        <v>45605</v>
      </c>
      <c r="R194" s="109">
        <v>23.99</v>
      </c>
      <c r="S194" s="11">
        <f ca="1"/>
        <v>23.99</v>
      </c>
      <c r="T194" s="28">
        <f ca="1"/>
        <v>3.1187</v>
      </c>
      <c r="U194" s="11">
        <f ca="1"/>
        <v>20.87</v>
      </c>
      <c r="V194" s="11">
        <v>9.59</v>
      </c>
      <c r="W194" s="11">
        <f ca="1"/>
        <v>0.36</v>
      </c>
      <c r="X194" s="11">
        <f ca="1"/>
        <v>0.39877104377104378</v>
      </c>
      <c r="Y194" s="11">
        <v>0</v>
      </c>
      <c r="Z194" s="11">
        <f ca="1"/>
        <v>10.521228956228958</v>
      </c>
      <c r="AA194" s="11">
        <f ca="1"/>
        <v>5.260614478114479</v>
      </c>
      <c r="AB194" s="4">
        <f ca="1"/>
        <v>45612</v>
      </c>
      <c r="AC194" s="4">
        <v>45612</v>
      </c>
      <c r="AD194" s="9">
        <v>45617</v>
      </c>
      <c r="AE194" s="9">
        <v>45618</v>
      </c>
      <c r="AF194" s="4" t="str">
        <f t="shared" ref="AF194:AF257" ca="1" si="3">_xlfn.CONCAT(PROPER(TEXT(AB194,"aaaa"))," ",PROPER(TEXT(AB194,"mm")))</f>
        <v>2024 11</v>
      </c>
      <c r="AG194" s="8" t="str" cm="1">
        <f t="array" ref="AG194">IFERROR(_xlfn.IFS('Banco de Dados'!#REF!="AG. COMPRA","Em processamento",'Banco de Dados'!#REF!="AG. RASTREIO","Em processamento",'Banco de Dados'!$AE194&lt;&gt;"-","Faturado",'Banco de Dados'!$AD194&lt;&gt;"-","Aguardando Pix",'Banco de Dados'!$AC194&lt;&gt;"-","Pendente"),"Aguardando Liberação")</f>
        <v>Aguardando Liberação</v>
      </c>
      <c r="AH194" s="5" t="str">
        <f>IF('Banco de Dados'!$F194="-",_xlfn.CONCAT(PROPER(TEXT(AK194,"aaaa"))," ",PROPER(TEXT(AK194,"mm"))),_xlfn.CONCAT(PROPER(TEXT(E194,"aaaa"))," ",PROPER(TEXT(E194,"mm"))))</f>
        <v>2024 10</v>
      </c>
      <c r="AI194" s="9" t="str">
        <f ca="1">IF('Banco de Dados'!$AK194&lt;&gt;"-","REEMBOLSO",IFERROR(_xlfn.XLOOKUP(G194,Follow[CODRASTREIO],Follow[STATUS]),"-"))</f>
        <v>ENTREGUE</v>
      </c>
      <c r="AJ194" s="9">
        <f ca="1">IF('Banco de Dados'!$AI194="ENTREGUE",_xlfn.XLOOKUP('Banco de Dados'!$G194,Follow[CODRASTREIO],Follow[DATAATUALIZAÇÃO]),"-")</f>
        <v>45601</v>
      </c>
      <c r="AK194" s="9" t="str">
        <f ca="1"/>
        <v>-</v>
      </c>
      <c r="AL194" s="35" t="str">
        <v>NÃO</v>
      </c>
      <c r="AM194" s="109" cm="1">
        <f t="array" aca="1" ref="AM194" ca="1">IF('Banco de Dados'!$AK194&lt;&gt;"-",_xlfn.IFS('Banco de Dados'!$A194="bv",IF('Banco de Dados'!$E194&lt;45641,ROUND(SUM('Banco de Dados'!$R194*_xlfn.XLOOKUP('Banco de Dados'!$P194,Sku!B:B,Sku!#REF!)*20%),2),ROUND(SUM('Banco de Dados'!$R194*_xlfn.XLOOKUP('Banco de Dados'!$P194,Sku!B:B,Sku!H:H)*20%),2)),'Banco de Dados'!$A194="GO",ROUND(_xlfn.XLOOKUP('Banco de Dados'!$P194,Sku!C:C,Sku!H:H),2),'Banco de Dados'!$A194="MEI",ROUND(_xlfn.XLOOKUP('Banco de Dados'!$P194,Sku!D:D,Sku!H:H),2)),0)</f>
        <v>0</v>
      </c>
      <c r="AN194" s="109">
        <f ca="1">IF('Banco de Dados'!$AK194&lt;&gt;"-",IF('Banco de Dados'!$F194&lt;&gt;"-",_xlfn.XLOOKUP(IFERROR(IFERROR(IFERROR(VALUE(SUBSTITUTE(MID(_xlfn.TEXTAFTER('Banco de Dados'!$F194,"Data do Pedido:
",1),1,10),"-","/")),VALUE(SUBSTITUTE(MID(_xlfn.TEXTAFTER('Banco de Dados'!$F194,"Order date:
",1),1,10),"-","/"))),VALUE(SUBSTITUTE(MID(_xlfn.TEXTAFTER('Banco de Dados'!$F194,"Fecha de pedido:
",1),1,10),"-","/"))),"-"),SMS!A:A,SMS!K:K),0),0)</f>
        <v>0</v>
      </c>
      <c r="AO194" s="109">
        <f ca="1">IF('Banco de Dados'!$AK194&lt;&gt;"-",IF('Banco de Dados'!$F194&lt;&gt;"-",IFERROR(_xlfn.XLOOKUP(_xlfn.CONCAT('Banco de Dados'!$A194,IFERROR(IFERROR(VALUE(SUBSTITUTE(MID(_xlfn.TEXTAFTER('Banco de Dados'!$F194,"Data do Pedido:
",1),1,10),"-","/")),VALUE(SUBSTITUTE(MID(_xlfn.TEXTAFTER('Banco de Dados'!$F194,"Order date:
",1),1,10),"-","/"))),0)),ProxyDD[Chave],ProxyDD[Valor por pedido]),PROXY!$P$2),0),0)</f>
        <v>0</v>
      </c>
      <c r="AP194" s="28">
        <f ca="1">IF('Banco de Dados'!$AK194&lt;&gt;"-",IF('Banco de Dados'!$AL194="NÃO",IFERROR(VALUE(SUBSTITUTE(_xlfn.TEXTAFTER('Banco de Dados'!$F194,"BRL ",1),".",",")),0),0),0)</f>
        <v>0</v>
      </c>
      <c r="AQ194" s="28">
        <f ca="1">SUM('Banco de Dados'!$AM194:$AP194)</f>
        <v>0</v>
      </c>
      <c r="AR194" s="8"/>
      <c r="AS194" s="8"/>
      <c r="AY194" s="8"/>
    </row>
    <row r="195" spans="1:51">
      <c r="A195" s="5" t="str">
        <v>BV</v>
      </c>
      <c r="B195" s="5" t="str">
        <f ca="1"/>
        <v>BV45596</v>
      </c>
      <c r="C195" s="8" t="str">
        <v>Pedido 192</v>
      </c>
      <c r="D195" s="9">
        <v>45596</v>
      </c>
      <c r="E195" s="9">
        <v>45596</v>
      </c>
      <c r="F195" s="8" t="str">
        <v>PedidoF185</v>
      </c>
      <c r="G195" s="2" t="str">
        <v>CódRastreio185</v>
      </c>
      <c r="H195" s="5">
        <v>1</v>
      </c>
      <c r="I195" s="182" t="str">
        <v>CPF 189</v>
      </c>
      <c r="J195" s="2" t="str">
        <v>Nome 189</v>
      </c>
      <c r="K195" s="8" t="str">
        <v>Tel 189</v>
      </c>
      <c r="L195" s="2" t="str">
        <v>Cep 189</v>
      </c>
      <c r="M195" s="2" t="str">
        <v>Rua 189</v>
      </c>
      <c r="N195" s="2" t="str">
        <v>Comp 189</v>
      </c>
      <c r="O195" s="2" t="str">
        <v>Bomba d'agua</v>
      </c>
      <c r="P195" s="8" t="str">
        <v>DJ-RO5O-43GF</v>
      </c>
      <c r="Q195" s="4">
        <v>45611</v>
      </c>
      <c r="R195" s="109">
        <v>16.989999999999998</v>
      </c>
      <c r="S195" s="11">
        <f ca="1"/>
        <v>16.989999999999998</v>
      </c>
      <c r="T195" s="28">
        <f ca="1"/>
        <v>2.3786</v>
      </c>
      <c r="U195" s="11">
        <f ca="1"/>
        <v>14.61</v>
      </c>
      <c r="V195" s="11">
        <v>4.99</v>
      </c>
      <c r="W195" s="11">
        <f ca="1"/>
        <v>0.36</v>
      </c>
      <c r="X195" s="11">
        <f ca="1"/>
        <v>0.39877104377104378</v>
      </c>
      <c r="Y195" s="11">
        <v>0</v>
      </c>
      <c r="Z195" s="11">
        <f ca="1"/>
        <v>8.8612289562289561</v>
      </c>
      <c r="AA195" s="11">
        <f ca="1"/>
        <v>4.4306144781144781</v>
      </c>
      <c r="AB195" s="4">
        <f ca="1"/>
        <v>45618</v>
      </c>
      <c r="AC195" s="4">
        <v>45618</v>
      </c>
      <c r="AD195" s="9">
        <v>45618</v>
      </c>
      <c r="AE195" s="9">
        <v>45625</v>
      </c>
      <c r="AF195" s="4" t="str">
        <f t="shared" ca="1" si="3"/>
        <v>2024 11</v>
      </c>
      <c r="AG195" s="8" t="str" cm="1">
        <f t="array" ref="AG195">IFERROR(_xlfn.IFS('Banco de Dados'!#REF!="AG. COMPRA","Em processamento",'Banco de Dados'!#REF!="AG. RASTREIO","Em processamento",'Banco de Dados'!$AE195&lt;&gt;"-","Faturado",'Banco de Dados'!$AD195&lt;&gt;"-","Aguardando Pix",'Banco de Dados'!$AC195&lt;&gt;"-","Pendente"),"Aguardando Liberação")</f>
        <v>Aguardando Liberação</v>
      </c>
      <c r="AH195" s="5" t="str">
        <f>IF('Banco de Dados'!$F195="-",_xlfn.CONCAT(PROPER(TEXT(AK195,"aaaa"))," ",PROPER(TEXT(AK195,"mm"))),_xlfn.CONCAT(PROPER(TEXT(E195,"aaaa"))," ",PROPER(TEXT(E195,"mm"))))</f>
        <v>2024 10</v>
      </c>
      <c r="AI195" s="9" t="str">
        <f ca="1">IF('Banco de Dados'!$AK195&lt;&gt;"-","REEMBOLSO",IFERROR(_xlfn.XLOOKUP(G195,Follow[CODRASTREIO],Follow[STATUS]),"-"))</f>
        <v>ENTREGUE</v>
      </c>
      <c r="AJ195" s="9">
        <f ca="1">IF('Banco de Dados'!$AI195="ENTREGUE",_xlfn.XLOOKUP('Banco de Dados'!$G195,Follow[CODRASTREIO],Follow[DATAATUALIZAÇÃO]),"-")</f>
        <v>45607</v>
      </c>
      <c r="AK195" s="9" t="str">
        <f ca="1"/>
        <v>-</v>
      </c>
      <c r="AL195" s="35" t="str">
        <v>NÃO</v>
      </c>
      <c r="AM195" s="109" cm="1">
        <f t="array" aca="1" ref="AM195" ca="1">IF('Banco de Dados'!$AK195&lt;&gt;"-",_xlfn.IFS('Banco de Dados'!$A195="bv",IF('Banco de Dados'!$E195&lt;45641,ROUND(SUM('Banco de Dados'!$R195*_xlfn.XLOOKUP('Banco de Dados'!$P195,Sku!B:B,Sku!#REF!)*20%),2),ROUND(SUM('Banco de Dados'!$R195*_xlfn.XLOOKUP('Banco de Dados'!$P195,Sku!B:B,Sku!H:H)*20%),2)),'Banco de Dados'!$A195="GO",ROUND(_xlfn.XLOOKUP('Banco de Dados'!$P195,Sku!C:C,Sku!H:H),2),'Banco de Dados'!$A195="MEI",ROUND(_xlfn.XLOOKUP('Banco de Dados'!$P195,Sku!D:D,Sku!H:H),2)),0)</f>
        <v>0</v>
      </c>
      <c r="AN195" s="109">
        <f ca="1">IF('Banco de Dados'!$AK195&lt;&gt;"-",IF('Banco de Dados'!$F195&lt;&gt;"-",_xlfn.XLOOKUP(IFERROR(IFERROR(IFERROR(VALUE(SUBSTITUTE(MID(_xlfn.TEXTAFTER('Banco de Dados'!$F195,"Data do Pedido:
",1),1,10),"-","/")),VALUE(SUBSTITUTE(MID(_xlfn.TEXTAFTER('Banco de Dados'!$F195,"Order date:
",1),1,10),"-","/"))),VALUE(SUBSTITUTE(MID(_xlfn.TEXTAFTER('Banco de Dados'!$F195,"Fecha de pedido:
",1),1,10),"-","/"))),"-"),SMS!A:A,SMS!K:K),0),0)</f>
        <v>0</v>
      </c>
      <c r="AO195" s="109">
        <f ca="1">IF('Banco de Dados'!$AK195&lt;&gt;"-",IF('Banco de Dados'!$F195&lt;&gt;"-",IFERROR(_xlfn.XLOOKUP(_xlfn.CONCAT('Banco de Dados'!$A195,IFERROR(IFERROR(VALUE(SUBSTITUTE(MID(_xlfn.TEXTAFTER('Banco de Dados'!$F195,"Data do Pedido:
",1),1,10),"-","/")),VALUE(SUBSTITUTE(MID(_xlfn.TEXTAFTER('Banco de Dados'!$F195,"Order date:
",1),1,10),"-","/"))),0)),ProxyDD[Chave],ProxyDD[Valor por pedido]),PROXY!$P$2),0),0)</f>
        <v>0</v>
      </c>
      <c r="AP195" s="28">
        <f ca="1">IF('Banco de Dados'!$AK195&lt;&gt;"-",IF('Banco de Dados'!$AL195="NÃO",IFERROR(VALUE(SUBSTITUTE(_xlfn.TEXTAFTER('Banco de Dados'!$F195,"BRL ",1),".",",")),0),0),0)</f>
        <v>0</v>
      </c>
      <c r="AQ195" s="28">
        <f ca="1">SUM('Banco de Dados'!$AM195:$AP195)</f>
        <v>0</v>
      </c>
      <c r="AR195" s="8"/>
      <c r="AS195" s="8"/>
      <c r="AY195" s="8"/>
    </row>
    <row r="196" spans="1:51">
      <c r="A196" s="5" t="str">
        <v>BV</v>
      </c>
      <c r="B196" s="5" t="str">
        <f ca="1"/>
        <v>BV45596</v>
      </c>
      <c r="C196" s="8" t="str">
        <v>Pedido 193</v>
      </c>
      <c r="D196" s="9">
        <v>45596</v>
      </c>
      <c r="E196" s="9">
        <v>45596</v>
      </c>
      <c r="F196" s="8" t="str">
        <v>PedidoF186</v>
      </c>
      <c r="G196" s="2" t="str">
        <v>CódRastreio186</v>
      </c>
      <c r="H196" s="5">
        <v>1</v>
      </c>
      <c r="I196" s="182" t="str">
        <v>CPF 190</v>
      </c>
      <c r="J196" s="2" t="str">
        <v>Nome 190</v>
      </c>
      <c r="K196" s="8" t="str">
        <v>Tel 190</v>
      </c>
      <c r="L196" s="2" t="str">
        <v>Cep 190</v>
      </c>
      <c r="M196" s="2" t="str">
        <v>Rua 190</v>
      </c>
      <c r="N196" s="2" t="str">
        <v>Comp 190</v>
      </c>
      <c r="O196" s="2" t="str">
        <v>Bomba d'agua</v>
      </c>
      <c r="P196" s="8" t="str">
        <v>DJ-RO5O-43GF</v>
      </c>
      <c r="Q196" s="4">
        <v>45605</v>
      </c>
      <c r="R196" s="109">
        <v>16.989999999999998</v>
      </c>
      <c r="S196" s="11">
        <f ca="1"/>
        <v>16.989999999999998</v>
      </c>
      <c r="T196" s="28">
        <f ca="1"/>
        <v>2.3786</v>
      </c>
      <c r="U196" s="11">
        <f ca="1"/>
        <v>14.61</v>
      </c>
      <c r="V196" s="11">
        <v>4.99</v>
      </c>
      <c r="W196" s="11">
        <f ca="1"/>
        <v>0.36</v>
      </c>
      <c r="X196" s="11">
        <f ca="1"/>
        <v>0.39877104377104378</v>
      </c>
      <c r="Y196" s="11">
        <v>0</v>
      </c>
      <c r="Z196" s="11">
        <f ca="1"/>
        <v>8.8612289562289561</v>
      </c>
      <c r="AA196" s="11">
        <f ca="1"/>
        <v>4.4306144781144781</v>
      </c>
      <c r="AB196" s="4">
        <f ca="1"/>
        <v>45612</v>
      </c>
      <c r="AC196" s="4">
        <v>45612</v>
      </c>
      <c r="AD196" s="9">
        <v>45617</v>
      </c>
      <c r="AE196" s="9">
        <v>45618</v>
      </c>
      <c r="AF196" s="4" t="str">
        <f t="shared" ca="1" si="3"/>
        <v>2024 11</v>
      </c>
      <c r="AG196" s="8" t="str" cm="1">
        <f t="array" ref="AG196">IFERROR(_xlfn.IFS('Banco de Dados'!#REF!="AG. COMPRA","Em processamento",'Banco de Dados'!#REF!="AG. RASTREIO","Em processamento",'Banco de Dados'!$AE196&lt;&gt;"-","Faturado",'Banco de Dados'!$AD196&lt;&gt;"-","Aguardando Pix",'Banco de Dados'!$AC196&lt;&gt;"-","Pendente"),"Aguardando Liberação")</f>
        <v>Aguardando Liberação</v>
      </c>
      <c r="AH196" s="5" t="str">
        <f>IF('Banco de Dados'!$F196="-",_xlfn.CONCAT(PROPER(TEXT(AK196,"aaaa"))," ",PROPER(TEXT(AK196,"mm"))),_xlfn.CONCAT(PROPER(TEXT(E196,"aaaa"))," ",PROPER(TEXT(E196,"mm"))))</f>
        <v>2024 10</v>
      </c>
      <c r="AI196" s="9" t="str">
        <f ca="1">IF('Banco de Dados'!$AK196&lt;&gt;"-","REEMBOLSO",IFERROR(_xlfn.XLOOKUP(G196,Follow[CODRASTREIO],Follow[STATUS]),"-"))</f>
        <v>ENTREGUE</v>
      </c>
      <c r="AJ196" s="9">
        <f ca="1">IF('Banco de Dados'!$AI196="ENTREGUE",_xlfn.XLOOKUP('Banco de Dados'!$G196,Follow[CODRASTREIO],Follow[DATAATUALIZAÇÃO]),"-")</f>
        <v>45601</v>
      </c>
      <c r="AK196" s="9" t="str">
        <f ca="1"/>
        <v>-</v>
      </c>
      <c r="AL196" s="35" t="str">
        <v>NÃO</v>
      </c>
      <c r="AM196" s="109" cm="1">
        <f t="array" aca="1" ref="AM196" ca="1">IF('Banco de Dados'!$AK196&lt;&gt;"-",_xlfn.IFS('Banco de Dados'!$A196="bv",IF('Banco de Dados'!$E196&lt;45641,ROUND(SUM('Banco de Dados'!$R196*_xlfn.XLOOKUP('Banco de Dados'!$P196,Sku!B:B,Sku!#REF!)*20%),2),ROUND(SUM('Banco de Dados'!$R196*_xlfn.XLOOKUP('Banco de Dados'!$P196,Sku!B:B,Sku!H:H)*20%),2)),'Banco de Dados'!$A196="GO",ROUND(_xlfn.XLOOKUP('Banco de Dados'!$P196,Sku!C:C,Sku!H:H),2),'Banco de Dados'!$A196="MEI",ROUND(_xlfn.XLOOKUP('Banco de Dados'!$P196,Sku!D:D,Sku!H:H),2)),0)</f>
        <v>0</v>
      </c>
      <c r="AN196" s="109">
        <f ca="1">IF('Banco de Dados'!$AK196&lt;&gt;"-",IF('Banco de Dados'!$F196&lt;&gt;"-",_xlfn.XLOOKUP(IFERROR(IFERROR(IFERROR(VALUE(SUBSTITUTE(MID(_xlfn.TEXTAFTER('Banco de Dados'!$F196,"Data do Pedido:
",1),1,10),"-","/")),VALUE(SUBSTITUTE(MID(_xlfn.TEXTAFTER('Banco de Dados'!$F196,"Order date:
",1),1,10),"-","/"))),VALUE(SUBSTITUTE(MID(_xlfn.TEXTAFTER('Banco de Dados'!$F196,"Fecha de pedido:
",1),1,10),"-","/"))),"-"),SMS!A:A,SMS!K:K),0),0)</f>
        <v>0</v>
      </c>
      <c r="AO196" s="109">
        <f ca="1">IF('Banco de Dados'!$AK196&lt;&gt;"-",IF('Banco de Dados'!$F196&lt;&gt;"-",IFERROR(_xlfn.XLOOKUP(_xlfn.CONCAT('Banco de Dados'!$A196,IFERROR(IFERROR(VALUE(SUBSTITUTE(MID(_xlfn.TEXTAFTER('Banco de Dados'!$F196,"Data do Pedido:
",1),1,10),"-","/")),VALUE(SUBSTITUTE(MID(_xlfn.TEXTAFTER('Banco de Dados'!$F196,"Order date:
",1),1,10),"-","/"))),0)),ProxyDD[Chave],ProxyDD[Valor por pedido]),PROXY!$P$2),0),0)</f>
        <v>0</v>
      </c>
      <c r="AP196" s="28">
        <f ca="1">IF('Banco de Dados'!$AK196&lt;&gt;"-",IF('Banco de Dados'!$AL196="NÃO",IFERROR(VALUE(SUBSTITUTE(_xlfn.TEXTAFTER('Banco de Dados'!$F196,"BRL ",1),".",",")),0),0),0)</f>
        <v>0</v>
      </c>
      <c r="AQ196" s="28">
        <f ca="1">SUM('Banco de Dados'!$AM196:$AP196)</f>
        <v>0</v>
      </c>
      <c r="AR196" s="8"/>
      <c r="AS196" s="8"/>
      <c r="AY196" s="8"/>
    </row>
    <row r="197" spans="1:51">
      <c r="A197" s="5" t="str">
        <v>BV</v>
      </c>
      <c r="B197" s="5" t="str">
        <f ca="1"/>
        <v>BV45596</v>
      </c>
      <c r="C197" s="8" t="str">
        <v>Pedido 194</v>
      </c>
      <c r="D197" s="9">
        <v>45596</v>
      </c>
      <c r="E197" s="9">
        <v>45596</v>
      </c>
      <c r="F197" s="8" t="str">
        <v>PedidoF187</v>
      </c>
      <c r="G197" s="2" t="str">
        <v>CódRastreio187</v>
      </c>
      <c r="H197" s="5">
        <v>1</v>
      </c>
      <c r="I197" s="182" t="str">
        <v>CPF 191</v>
      </c>
      <c r="J197" s="2" t="str">
        <v>Nome 191</v>
      </c>
      <c r="K197" s="8" t="str">
        <v>Tel 191</v>
      </c>
      <c r="L197" s="2" t="str">
        <v>Cep 191</v>
      </c>
      <c r="M197" s="2" t="str">
        <v>Rua 191</v>
      </c>
      <c r="N197" s="2" t="str">
        <v>Comp 191</v>
      </c>
      <c r="O197" s="2" t="str">
        <v>Ventilador Preto</v>
      </c>
      <c r="P197" s="8" t="str">
        <v>MU-J80P-95WF</v>
      </c>
      <c r="Q197" s="4">
        <v>45626</v>
      </c>
      <c r="R197" s="109">
        <v>59.99</v>
      </c>
      <c r="S197" s="11">
        <f ca="1"/>
        <v>59.99</v>
      </c>
      <c r="T197" s="28">
        <f ca="1"/>
        <v>7.7987000000000002</v>
      </c>
      <c r="U197" s="11">
        <f ca="1"/>
        <v>52.19</v>
      </c>
      <c r="V197" s="11">
        <v>9.11</v>
      </c>
      <c r="W197" s="11">
        <f ca="1"/>
        <v>0.36</v>
      </c>
      <c r="X197" s="11">
        <f ca="1"/>
        <v>0.39877104377104378</v>
      </c>
      <c r="Y197" s="11">
        <v>0</v>
      </c>
      <c r="Z197" s="11">
        <f ca="1"/>
        <v>42.321228956228957</v>
      </c>
      <c r="AA197" s="11">
        <f ca="1"/>
        <v>21.160614478114478</v>
      </c>
      <c r="AB197" s="4">
        <f ca="1"/>
        <v>45633</v>
      </c>
      <c r="AC197" s="4">
        <v>45633</v>
      </c>
      <c r="AD197" s="9">
        <v>45637</v>
      </c>
      <c r="AE197" s="9">
        <v>45642</v>
      </c>
      <c r="AF197" s="4" t="str">
        <f t="shared" ca="1" si="3"/>
        <v>2024 12</v>
      </c>
      <c r="AG197" s="8" t="str" cm="1">
        <f t="array" ref="AG197">IFERROR(_xlfn.IFS('Banco de Dados'!#REF!="AG. COMPRA","Em processamento",'Banco de Dados'!#REF!="AG. RASTREIO","Em processamento",'Banco de Dados'!$AE197&lt;&gt;"-","Faturado",'Banco de Dados'!$AD197&lt;&gt;"-","Aguardando Pix",'Banco de Dados'!$AC197&lt;&gt;"-","Pendente"),"Aguardando Liberação")</f>
        <v>Aguardando Liberação</v>
      </c>
      <c r="AH197" s="5" t="str">
        <f>IF('Banco de Dados'!$F197="-",_xlfn.CONCAT(PROPER(TEXT(AK197,"aaaa"))," ",PROPER(TEXT(AK197,"mm"))),_xlfn.CONCAT(PROPER(TEXT(E197,"aaaa"))," ",PROPER(TEXT(E197,"mm"))))</f>
        <v>2024 10</v>
      </c>
      <c r="AI197" s="9" t="str">
        <f ca="1">IF('Banco de Dados'!$AK197&lt;&gt;"-","REEMBOLSO",IFERROR(_xlfn.XLOOKUP(G197,Follow[CODRASTREIO],Follow[STATUS]),"-"))</f>
        <v>ENTREGUE</v>
      </c>
      <c r="AJ197" s="9">
        <f ca="1">IF('Banco de Dados'!$AI197="ENTREGUE",_xlfn.XLOOKUP('Banco de Dados'!$G197,Follow[CODRASTREIO],Follow[DATAATUALIZAÇÃO]),"-")</f>
        <v>45628</v>
      </c>
      <c r="AK197" s="9" t="str">
        <f ca="1"/>
        <v>-</v>
      </c>
      <c r="AL197" s="35" t="str">
        <v>SIM</v>
      </c>
      <c r="AM197" s="109" cm="1">
        <f t="array" aca="1" ref="AM197" ca="1">IF('Banco de Dados'!$AK197&lt;&gt;"-",_xlfn.IFS('Banco de Dados'!$A197="bv",IF('Banco de Dados'!$E197&lt;45641,ROUND(SUM('Banco de Dados'!$R197*_xlfn.XLOOKUP('Banco de Dados'!$P197,Sku!B:B,Sku!#REF!)*20%),2),ROUND(SUM('Banco de Dados'!$R197*_xlfn.XLOOKUP('Banco de Dados'!$P197,Sku!B:B,Sku!H:H)*20%),2)),'Banco de Dados'!$A197="GO",ROUND(_xlfn.XLOOKUP('Banco de Dados'!$P197,Sku!C:C,Sku!H:H),2),'Banco de Dados'!$A197="MEI",ROUND(_xlfn.XLOOKUP('Banco de Dados'!$P197,Sku!D:D,Sku!H:H),2)),0)</f>
        <v>0</v>
      </c>
      <c r="AN197" s="109">
        <f ca="1">IF('Banco de Dados'!$AK197&lt;&gt;"-",IF('Banco de Dados'!$F197&lt;&gt;"-",_xlfn.XLOOKUP(IFERROR(IFERROR(IFERROR(VALUE(SUBSTITUTE(MID(_xlfn.TEXTAFTER('Banco de Dados'!$F197,"Data do Pedido:
",1),1,10),"-","/")),VALUE(SUBSTITUTE(MID(_xlfn.TEXTAFTER('Banco de Dados'!$F197,"Order date:
",1),1,10),"-","/"))),VALUE(SUBSTITUTE(MID(_xlfn.TEXTAFTER('Banco de Dados'!$F197,"Fecha de pedido:
",1),1,10),"-","/"))),"-"),SMS!A:A,SMS!K:K),0),0)</f>
        <v>0</v>
      </c>
      <c r="AO197" s="109">
        <f ca="1">IF('Banco de Dados'!$AK197&lt;&gt;"-",IF('Banco de Dados'!$F197&lt;&gt;"-",IFERROR(_xlfn.XLOOKUP(_xlfn.CONCAT('Banco de Dados'!$A197,IFERROR(IFERROR(VALUE(SUBSTITUTE(MID(_xlfn.TEXTAFTER('Banco de Dados'!$F197,"Data do Pedido:
",1),1,10),"-","/")),VALUE(SUBSTITUTE(MID(_xlfn.TEXTAFTER('Banco de Dados'!$F197,"Order date:
",1),1,10),"-","/"))),0)),ProxyDD[Chave],ProxyDD[Valor por pedido]),PROXY!$P$2),0),0)</f>
        <v>0</v>
      </c>
      <c r="AP197" s="28">
        <f ca="1">IF('Banco de Dados'!$AK197&lt;&gt;"-",IF('Banco de Dados'!$AL197="NÃO",IFERROR(VALUE(SUBSTITUTE(_xlfn.TEXTAFTER('Banco de Dados'!$F197,"BRL ",1),".",",")),0),0),0)</f>
        <v>0</v>
      </c>
      <c r="AQ197" s="28">
        <f ca="1">SUM('Banco de Dados'!$AM197:$AP197)</f>
        <v>0</v>
      </c>
      <c r="AR197" s="8"/>
      <c r="AS197" s="8"/>
      <c r="AY197" s="8"/>
    </row>
    <row r="198" spans="1:51">
      <c r="A198" s="5" t="str">
        <v>BV</v>
      </c>
      <c r="B198" s="5" t="str">
        <f ca="1"/>
        <v>BV45596</v>
      </c>
      <c r="C198" s="8" t="str">
        <v>Pedido 195</v>
      </c>
      <c r="D198" s="9">
        <v>45596</v>
      </c>
      <c r="E198" s="9">
        <v>45596</v>
      </c>
      <c r="F198" s="8" t="str">
        <v>PedidoF188</v>
      </c>
      <c r="G198" s="2" t="str">
        <v>CódRastreio188</v>
      </c>
      <c r="H198" s="5">
        <v>1</v>
      </c>
      <c r="I198" s="182" t="str">
        <v>CPF 192</v>
      </c>
      <c r="J198" s="2" t="str">
        <v>Nome 192</v>
      </c>
      <c r="K198" s="8" t="str">
        <v>Tel 192</v>
      </c>
      <c r="L198" s="2" t="str">
        <v>Cep 192</v>
      </c>
      <c r="M198" s="2" t="str">
        <v>Rua 192</v>
      </c>
      <c r="N198" s="2" t="str">
        <v>Comp 192</v>
      </c>
      <c r="O198" s="2" t="str">
        <v>Bomba d'agua</v>
      </c>
      <c r="P198" s="8" t="str">
        <v>DJ-RO5O-43GF</v>
      </c>
      <c r="Q198" s="4">
        <v>45605</v>
      </c>
      <c r="R198" s="109">
        <v>16.989999999999998</v>
      </c>
      <c r="S198" s="11">
        <f ca="1"/>
        <v>16.989999999999998</v>
      </c>
      <c r="T198" s="28">
        <f ca="1"/>
        <v>2.3786</v>
      </c>
      <c r="U198" s="11">
        <f ca="1"/>
        <v>14.61</v>
      </c>
      <c r="V198" s="11">
        <v>4.99</v>
      </c>
      <c r="W198" s="11">
        <f ca="1"/>
        <v>0.36</v>
      </c>
      <c r="X198" s="11">
        <f ca="1"/>
        <v>0.39877104377104378</v>
      </c>
      <c r="Y198" s="11">
        <v>0</v>
      </c>
      <c r="Z198" s="11">
        <f ca="1"/>
        <v>8.8612289562289561</v>
      </c>
      <c r="AA198" s="11">
        <f ca="1"/>
        <v>4.4306144781144781</v>
      </c>
      <c r="AB198" s="4">
        <f ca="1"/>
        <v>45612</v>
      </c>
      <c r="AC198" s="4">
        <v>45612</v>
      </c>
      <c r="AD198" s="9">
        <v>45617</v>
      </c>
      <c r="AE198" s="9">
        <v>45618</v>
      </c>
      <c r="AF198" s="4" t="str">
        <f t="shared" ca="1" si="3"/>
        <v>2024 11</v>
      </c>
      <c r="AG198" s="8" t="str" cm="1">
        <f t="array" ref="AG198">IFERROR(_xlfn.IFS('Banco de Dados'!#REF!="AG. COMPRA","Em processamento",'Banco de Dados'!#REF!="AG. RASTREIO","Em processamento",'Banco de Dados'!$AE198&lt;&gt;"-","Faturado",'Banco de Dados'!$AD198&lt;&gt;"-","Aguardando Pix",'Banco de Dados'!$AC198&lt;&gt;"-","Pendente"),"Aguardando Liberação")</f>
        <v>Aguardando Liberação</v>
      </c>
      <c r="AH198" s="5" t="str">
        <f>IF('Banco de Dados'!$F198="-",_xlfn.CONCAT(PROPER(TEXT(AK198,"aaaa"))," ",PROPER(TEXT(AK198,"mm"))),_xlfn.CONCAT(PROPER(TEXT(E198,"aaaa"))," ",PROPER(TEXT(E198,"mm"))))</f>
        <v>2024 10</v>
      </c>
      <c r="AI198" s="9" t="str">
        <f ca="1">IF('Banco de Dados'!$AK198&lt;&gt;"-","REEMBOLSO",IFERROR(_xlfn.XLOOKUP(G198,Follow[CODRASTREIO],Follow[STATUS]),"-"))</f>
        <v>ENTREGUE</v>
      </c>
      <c r="AJ198" s="9">
        <f ca="1">IF('Banco de Dados'!$AI198="ENTREGUE",_xlfn.XLOOKUP('Banco de Dados'!$G198,Follow[CODRASTREIO],Follow[DATAATUALIZAÇÃO]),"-")</f>
        <v>45601</v>
      </c>
      <c r="AK198" s="9" t="str">
        <f ca="1"/>
        <v>-</v>
      </c>
      <c r="AL198" s="35" t="str">
        <v>NÃO</v>
      </c>
      <c r="AM198" s="109" cm="1">
        <f t="array" aca="1" ref="AM198" ca="1">IF('Banco de Dados'!$AK198&lt;&gt;"-",_xlfn.IFS('Banco de Dados'!$A198="bv",IF('Banco de Dados'!$E198&lt;45641,ROUND(SUM('Banco de Dados'!$R198*_xlfn.XLOOKUP('Banco de Dados'!$P198,Sku!B:B,Sku!#REF!)*20%),2),ROUND(SUM('Banco de Dados'!$R198*_xlfn.XLOOKUP('Banco de Dados'!$P198,Sku!B:B,Sku!H:H)*20%),2)),'Banco de Dados'!$A198="GO",ROUND(_xlfn.XLOOKUP('Banco de Dados'!$P198,Sku!C:C,Sku!H:H),2),'Banco de Dados'!$A198="MEI",ROUND(_xlfn.XLOOKUP('Banco de Dados'!$P198,Sku!D:D,Sku!H:H),2)),0)</f>
        <v>0</v>
      </c>
      <c r="AN198" s="109">
        <f ca="1">IF('Banco de Dados'!$AK198&lt;&gt;"-",IF('Banco de Dados'!$F198&lt;&gt;"-",_xlfn.XLOOKUP(IFERROR(IFERROR(IFERROR(VALUE(SUBSTITUTE(MID(_xlfn.TEXTAFTER('Banco de Dados'!$F198,"Data do Pedido:
",1),1,10),"-","/")),VALUE(SUBSTITUTE(MID(_xlfn.TEXTAFTER('Banco de Dados'!$F198,"Order date:
",1),1,10),"-","/"))),VALUE(SUBSTITUTE(MID(_xlfn.TEXTAFTER('Banco de Dados'!$F198,"Fecha de pedido:
",1),1,10),"-","/"))),"-"),SMS!A:A,SMS!K:K),0),0)</f>
        <v>0</v>
      </c>
      <c r="AO198" s="109">
        <f ca="1">IF('Banco de Dados'!$AK198&lt;&gt;"-",IF('Banco de Dados'!$F198&lt;&gt;"-",IFERROR(_xlfn.XLOOKUP(_xlfn.CONCAT('Banco de Dados'!$A198,IFERROR(IFERROR(VALUE(SUBSTITUTE(MID(_xlfn.TEXTAFTER('Banco de Dados'!$F198,"Data do Pedido:
",1),1,10),"-","/")),VALUE(SUBSTITUTE(MID(_xlfn.TEXTAFTER('Banco de Dados'!$F198,"Order date:
",1),1,10),"-","/"))),0)),ProxyDD[Chave],ProxyDD[Valor por pedido]),PROXY!$P$2),0),0)</f>
        <v>0</v>
      </c>
      <c r="AP198" s="28">
        <f ca="1">IF('Banco de Dados'!$AK198&lt;&gt;"-",IF('Banco de Dados'!$AL198="NÃO",IFERROR(VALUE(SUBSTITUTE(_xlfn.TEXTAFTER('Banco de Dados'!$F198,"BRL ",1),".",",")),0),0),0)</f>
        <v>0</v>
      </c>
      <c r="AQ198" s="28">
        <f ca="1">SUM('Banco de Dados'!$AM198:$AP198)</f>
        <v>0</v>
      </c>
      <c r="AR198" s="8"/>
      <c r="AS198" s="8"/>
      <c r="AY198" s="8"/>
    </row>
    <row r="199" spans="1:51">
      <c r="A199" s="5" t="str">
        <v>BV</v>
      </c>
      <c r="B199" s="5" t="str">
        <f ca="1"/>
        <v>BV45596</v>
      </c>
      <c r="C199" s="8" t="str">
        <v>Pedido 196</v>
      </c>
      <c r="D199" s="9">
        <v>45596</v>
      </c>
      <c r="E199" s="9">
        <v>45596</v>
      </c>
      <c r="F199" s="8" t="str">
        <v>PedidoF189</v>
      </c>
      <c r="G199" s="2" t="str">
        <v>CódRastreio189</v>
      </c>
      <c r="H199" s="5">
        <v>1</v>
      </c>
      <c r="I199" s="182" t="str">
        <v>CPF 193</v>
      </c>
      <c r="J199" s="2" t="str">
        <v>Nome 193</v>
      </c>
      <c r="K199" s="8" t="str">
        <v>Tel 193</v>
      </c>
      <c r="L199" s="2" t="str">
        <v>Cep 193</v>
      </c>
      <c r="M199" s="2" t="str">
        <v>Rua 193</v>
      </c>
      <c r="N199" s="2" t="str">
        <v>Comp 193</v>
      </c>
      <c r="O199" s="2" t="str">
        <v>Ventilador de teto</v>
      </c>
      <c r="P199" s="8" t="str">
        <v>ZO-J9IL-EN6L</v>
      </c>
      <c r="Q199" s="4">
        <v>45611</v>
      </c>
      <c r="R199" s="109">
        <v>58.9</v>
      </c>
      <c r="S199" s="11">
        <f ca="1"/>
        <v>58.9</v>
      </c>
      <c r="T199" s="28">
        <f ca="1"/>
        <v>8.2460000000000004</v>
      </c>
      <c r="U199" s="11">
        <f ca="1"/>
        <v>50.65</v>
      </c>
      <c r="V199" s="11">
        <v>7.29</v>
      </c>
      <c r="W199" s="11">
        <f ca="1"/>
        <v>0.36</v>
      </c>
      <c r="X199" s="11">
        <f ca="1"/>
        <v>0.39877104377104378</v>
      </c>
      <c r="Y199" s="11">
        <v>0</v>
      </c>
      <c r="Z199" s="11">
        <f ca="1"/>
        <v>42.601228956228951</v>
      </c>
      <c r="AA199" s="11">
        <f ca="1"/>
        <v>21.300614478114476</v>
      </c>
      <c r="AB199" s="4">
        <f ca="1"/>
        <v>45618</v>
      </c>
      <c r="AC199" s="4">
        <v>45618</v>
      </c>
      <c r="AD199" s="9">
        <v>45618</v>
      </c>
      <c r="AE199" s="9">
        <v>45625</v>
      </c>
      <c r="AF199" s="4" t="str">
        <f t="shared" ca="1" si="3"/>
        <v>2024 11</v>
      </c>
      <c r="AG199" s="8" t="str" cm="1">
        <f t="array" ref="AG199">IFERROR(_xlfn.IFS('Banco de Dados'!#REF!="AG. COMPRA","Em processamento",'Banco de Dados'!#REF!="AG. RASTREIO","Em processamento",'Banco de Dados'!$AE199&lt;&gt;"-","Faturado",'Banco de Dados'!$AD199&lt;&gt;"-","Aguardando Pix",'Banco de Dados'!$AC199&lt;&gt;"-","Pendente"),"Aguardando Liberação")</f>
        <v>Aguardando Liberação</v>
      </c>
      <c r="AH199" s="5" t="str">
        <f>IF('Banco de Dados'!$F199="-",_xlfn.CONCAT(PROPER(TEXT(AK199,"aaaa"))," ",PROPER(TEXT(AK199,"mm"))),_xlfn.CONCAT(PROPER(TEXT(E199,"aaaa"))," ",PROPER(TEXT(E199,"mm"))))</f>
        <v>2024 10</v>
      </c>
      <c r="AI199" s="9" t="str">
        <f ca="1">IF('Banco de Dados'!$AK199&lt;&gt;"-","REEMBOLSO",IFERROR(_xlfn.XLOOKUP(G199,Follow[CODRASTREIO],Follow[STATUS]),"-"))</f>
        <v>ENTREGUE</v>
      </c>
      <c r="AJ199" s="9">
        <f ca="1">IF('Banco de Dados'!$AI199="ENTREGUE",_xlfn.XLOOKUP('Banco de Dados'!$G199,Follow[CODRASTREIO],Follow[DATAATUALIZAÇÃO]),"-")</f>
        <v>45611</v>
      </c>
      <c r="AK199" s="9" t="str">
        <f ca="1"/>
        <v>-</v>
      </c>
      <c r="AL199" s="35" t="str">
        <v>NÃO</v>
      </c>
      <c r="AM199" s="109" cm="1">
        <f t="array" aca="1" ref="AM199" ca="1">IF('Banco de Dados'!$AK199&lt;&gt;"-",_xlfn.IFS('Banco de Dados'!$A199="bv",IF('Banco de Dados'!$E199&lt;45641,ROUND(SUM('Banco de Dados'!$R199*_xlfn.XLOOKUP('Banco de Dados'!$P199,Sku!B:B,Sku!#REF!)*20%),2),ROUND(SUM('Banco de Dados'!$R199*_xlfn.XLOOKUP('Banco de Dados'!$P199,Sku!B:B,Sku!H:H)*20%),2)),'Banco de Dados'!$A199="GO",ROUND(_xlfn.XLOOKUP('Banco de Dados'!$P199,Sku!C:C,Sku!H:H),2),'Banco de Dados'!$A199="MEI",ROUND(_xlfn.XLOOKUP('Banco de Dados'!$P199,Sku!D:D,Sku!H:H),2)),0)</f>
        <v>0</v>
      </c>
      <c r="AN199" s="109">
        <f ca="1">IF('Banco de Dados'!$AK199&lt;&gt;"-",IF('Banco de Dados'!$F199&lt;&gt;"-",_xlfn.XLOOKUP(IFERROR(IFERROR(IFERROR(VALUE(SUBSTITUTE(MID(_xlfn.TEXTAFTER('Banco de Dados'!$F199,"Data do Pedido:
",1),1,10),"-","/")),VALUE(SUBSTITUTE(MID(_xlfn.TEXTAFTER('Banco de Dados'!$F199,"Order date:
",1),1,10),"-","/"))),VALUE(SUBSTITUTE(MID(_xlfn.TEXTAFTER('Banco de Dados'!$F199,"Fecha de pedido:
",1),1,10),"-","/"))),"-"),SMS!A:A,SMS!K:K),0),0)</f>
        <v>0</v>
      </c>
      <c r="AO199" s="109">
        <f ca="1">IF('Banco de Dados'!$AK199&lt;&gt;"-",IF('Banco de Dados'!$F199&lt;&gt;"-",IFERROR(_xlfn.XLOOKUP(_xlfn.CONCAT('Banco de Dados'!$A199,IFERROR(IFERROR(VALUE(SUBSTITUTE(MID(_xlfn.TEXTAFTER('Banco de Dados'!$F199,"Data do Pedido:
",1),1,10),"-","/")),VALUE(SUBSTITUTE(MID(_xlfn.TEXTAFTER('Banco de Dados'!$F199,"Order date:
",1),1,10),"-","/"))),0)),ProxyDD[Chave],ProxyDD[Valor por pedido]),PROXY!$P$2),0),0)</f>
        <v>0</v>
      </c>
      <c r="AP199" s="28">
        <f ca="1">IF('Banco de Dados'!$AK199&lt;&gt;"-",IF('Banco de Dados'!$AL199="NÃO",IFERROR(VALUE(SUBSTITUTE(_xlfn.TEXTAFTER('Banco de Dados'!$F199,"BRL ",1),".",",")),0),0),0)</f>
        <v>0</v>
      </c>
      <c r="AQ199" s="28">
        <f ca="1">SUM('Banco de Dados'!$AM199:$AP199)</f>
        <v>0</v>
      </c>
      <c r="AR199" s="8"/>
      <c r="AS199" s="8"/>
      <c r="AY199" s="8"/>
    </row>
    <row r="200" spans="1:51">
      <c r="A200" s="5" t="str">
        <v>BV</v>
      </c>
      <c r="B200" s="5" t="str">
        <f ca="1"/>
        <v>BV45596</v>
      </c>
      <c r="C200" s="8" t="str">
        <v>Pedido 197</v>
      </c>
      <c r="D200" s="9">
        <v>45596</v>
      </c>
      <c r="E200" s="9">
        <v>45596</v>
      </c>
      <c r="F200" s="8" t="str">
        <v>PedidoF190</v>
      </c>
      <c r="G200" s="2" t="str">
        <v>CódRastreio190</v>
      </c>
      <c r="H200" s="5">
        <v>1</v>
      </c>
      <c r="I200" s="182" t="str">
        <v>CPF 194</v>
      </c>
      <c r="J200" s="2" t="str">
        <v>Nome 194</v>
      </c>
      <c r="K200" s="8" t="str">
        <v>Tel 194</v>
      </c>
      <c r="L200" s="2" t="str">
        <v>Cep 194</v>
      </c>
      <c r="M200" s="2" t="str">
        <v>Rua 194</v>
      </c>
      <c r="N200" s="2" t="str">
        <v>Comp 194</v>
      </c>
      <c r="O200" s="2" t="str">
        <v>Bomba d'agua</v>
      </c>
      <c r="P200" s="8" t="str">
        <v>DJ-RO5O-43GF</v>
      </c>
      <c r="Q200" s="4">
        <v>45611</v>
      </c>
      <c r="R200" s="109">
        <v>16.989999999999998</v>
      </c>
      <c r="S200" s="11">
        <f ca="1"/>
        <v>16.989999999999998</v>
      </c>
      <c r="T200" s="28">
        <f ca="1"/>
        <v>2.3786</v>
      </c>
      <c r="U200" s="11">
        <f ca="1"/>
        <v>14.61</v>
      </c>
      <c r="V200" s="11">
        <v>4.99</v>
      </c>
      <c r="W200" s="11">
        <f ca="1"/>
        <v>0.36</v>
      </c>
      <c r="X200" s="11">
        <f ca="1"/>
        <v>0.39877104377104378</v>
      </c>
      <c r="Y200" s="11">
        <v>0</v>
      </c>
      <c r="Z200" s="11">
        <f ca="1"/>
        <v>8.8612289562289561</v>
      </c>
      <c r="AA200" s="11">
        <f ca="1"/>
        <v>4.4306144781144781</v>
      </c>
      <c r="AB200" s="4">
        <f ca="1"/>
        <v>45618</v>
      </c>
      <c r="AC200" s="4">
        <v>45618</v>
      </c>
      <c r="AD200" s="9">
        <v>45618</v>
      </c>
      <c r="AE200" s="9">
        <v>45625</v>
      </c>
      <c r="AF200" s="4" t="str">
        <f t="shared" ca="1" si="3"/>
        <v>2024 11</v>
      </c>
      <c r="AG200" s="8" t="str" cm="1">
        <f t="array" ref="AG200">IFERROR(_xlfn.IFS('Banco de Dados'!#REF!="AG. COMPRA","Em processamento",'Banco de Dados'!#REF!="AG. RASTREIO","Em processamento",'Banco de Dados'!$AE200&lt;&gt;"-","Faturado",'Banco de Dados'!$AD200&lt;&gt;"-","Aguardando Pix",'Banco de Dados'!$AC200&lt;&gt;"-","Pendente"),"Aguardando Liberação")</f>
        <v>Aguardando Liberação</v>
      </c>
      <c r="AH200" s="5" t="str">
        <f>IF('Banco de Dados'!$F200="-",_xlfn.CONCAT(PROPER(TEXT(AK200,"aaaa"))," ",PROPER(TEXT(AK200,"mm"))),_xlfn.CONCAT(PROPER(TEXT(E200,"aaaa"))," ",PROPER(TEXT(E200,"mm"))))</f>
        <v>2024 10</v>
      </c>
      <c r="AI200" s="9" t="str">
        <f ca="1">IF('Banco de Dados'!$AK200&lt;&gt;"-","REEMBOLSO",IFERROR(_xlfn.XLOOKUP(G200,Follow[CODRASTREIO],Follow[STATUS]),"-"))</f>
        <v>ENTREGUE</v>
      </c>
      <c r="AJ200" s="9">
        <f ca="1">IF('Banco de Dados'!$AI200="ENTREGUE",_xlfn.XLOOKUP('Banco de Dados'!$G200,Follow[CODRASTREIO],Follow[DATAATUALIZAÇÃO]),"-")</f>
        <v>45603</v>
      </c>
      <c r="AK200" s="9" t="str">
        <f ca="1"/>
        <v>-</v>
      </c>
      <c r="AL200" s="35" t="str">
        <v>NÃO</v>
      </c>
      <c r="AM200" s="109" cm="1">
        <f t="array" aca="1" ref="AM200" ca="1">IF('Banco de Dados'!$AK200&lt;&gt;"-",_xlfn.IFS('Banco de Dados'!$A200="bv",IF('Banco de Dados'!$E200&lt;45641,ROUND(SUM('Banco de Dados'!$R200*_xlfn.XLOOKUP('Banco de Dados'!$P200,Sku!B:B,Sku!#REF!)*20%),2),ROUND(SUM('Banco de Dados'!$R200*_xlfn.XLOOKUP('Banco de Dados'!$P200,Sku!B:B,Sku!H:H)*20%),2)),'Banco de Dados'!$A200="GO",ROUND(_xlfn.XLOOKUP('Banco de Dados'!$P200,Sku!C:C,Sku!H:H),2),'Banco de Dados'!$A200="MEI",ROUND(_xlfn.XLOOKUP('Banco de Dados'!$P200,Sku!D:D,Sku!H:H),2)),0)</f>
        <v>0</v>
      </c>
      <c r="AN200" s="109">
        <f ca="1">IF('Banco de Dados'!$AK200&lt;&gt;"-",IF('Banco de Dados'!$F200&lt;&gt;"-",_xlfn.XLOOKUP(IFERROR(IFERROR(IFERROR(VALUE(SUBSTITUTE(MID(_xlfn.TEXTAFTER('Banco de Dados'!$F200,"Data do Pedido:
",1),1,10),"-","/")),VALUE(SUBSTITUTE(MID(_xlfn.TEXTAFTER('Banco de Dados'!$F200,"Order date:
",1),1,10),"-","/"))),VALUE(SUBSTITUTE(MID(_xlfn.TEXTAFTER('Banco de Dados'!$F200,"Fecha de pedido:
",1),1,10),"-","/"))),"-"),SMS!A:A,SMS!K:K),0),0)</f>
        <v>0</v>
      </c>
      <c r="AO200" s="109">
        <f ca="1">IF('Banco de Dados'!$AK200&lt;&gt;"-",IF('Banco de Dados'!$F200&lt;&gt;"-",IFERROR(_xlfn.XLOOKUP(_xlfn.CONCAT('Banco de Dados'!$A200,IFERROR(IFERROR(VALUE(SUBSTITUTE(MID(_xlfn.TEXTAFTER('Banco de Dados'!$F200,"Data do Pedido:
",1),1,10),"-","/")),VALUE(SUBSTITUTE(MID(_xlfn.TEXTAFTER('Banco de Dados'!$F200,"Order date:
",1),1,10),"-","/"))),0)),ProxyDD[Chave],ProxyDD[Valor por pedido]),PROXY!$P$2),0),0)</f>
        <v>0</v>
      </c>
      <c r="AP200" s="28">
        <f ca="1">IF('Banco de Dados'!$AK200&lt;&gt;"-",IF('Banco de Dados'!$AL200="NÃO",IFERROR(VALUE(SUBSTITUTE(_xlfn.TEXTAFTER('Banco de Dados'!$F200,"BRL ",1),".",",")),0),0),0)</f>
        <v>0</v>
      </c>
      <c r="AQ200" s="28">
        <f ca="1">SUM('Banco de Dados'!$AM200:$AP200)</f>
        <v>0</v>
      </c>
      <c r="AR200" s="8"/>
      <c r="AS200" s="8"/>
      <c r="AY200" s="8"/>
    </row>
    <row r="201" spans="1:51">
      <c r="A201" s="5" t="str">
        <v>BV</v>
      </c>
      <c r="B201" s="5" t="str">
        <f ca="1"/>
        <v>BV45596</v>
      </c>
      <c r="C201" s="8" t="str">
        <v>Pedido 198</v>
      </c>
      <c r="D201" s="9">
        <v>45596</v>
      </c>
      <c r="E201" s="9">
        <v>45596</v>
      </c>
      <c r="F201" s="8" t="str">
        <v>PedidoF191</v>
      </c>
      <c r="G201" s="2" t="str">
        <v>CódRastreio191</v>
      </c>
      <c r="H201" s="5">
        <v>1</v>
      </c>
      <c r="I201" s="182" t="str">
        <v>CPF 195</v>
      </c>
      <c r="J201" s="2" t="str">
        <v>Nome 195</v>
      </c>
      <c r="K201" s="8" t="str">
        <v>Tel 195</v>
      </c>
      <c r="L201" s="2" t="str">
        <v>Cep 195</v>
      </c>
      <c r="M201" s="2" t="str">
        <v>Rua 195</v>
      </c>
      <c r="N201" s="2" t="str">
        <v>Comp 195</v>
      </c>
      <c r="O201" s="2" t="str">
        <v>Mini Liquidificador</v>
      </c>
      <c r="P201" s="8" t="str">
        <v>CK-YL6M-P5Y6</v>
      </c>
      <c r="Q201" s="4">
        <v>45611</v>
      </c>
      <c r="R201" s="109">
        <v>31.99</v>
      </c>
      <c r="S201" s="11">
        <f ca="1"/>
        <v>31.99</v>
      </c>
      <c r="T201" s="28">
        <f ca="1"/>
        <v>4.1586999999999996</v>
      </c>
      <c r="U201" s="11">
        <f ca="1"/>
        <v>27.83</v>
      </c>
      <c r="V201" s="11">
        <v>9.99</v>
      </c>
      <c r="W201" s="11">
        <f ca="1"/>
        <v>0.36</v>
      </c>
      <c r="X201" s="11">
        <f ca="1"/>
        <v>0.39877104377104378</v>
      </c>
      <c r="Y201" s="11">
        <v>0</v>
      </c>
      <c r="Z201" s="11">
        <f ca="1"/>
        <v>17.081228956228955</v>
      </c>
      <c r="AA201" s="11">
        <f ca="1"/>
        <v>8.5406144781144775</v>
      </c>
      <c r="AB201" s="4">
        <f ca="1"/>
        <v>45618</v>
      </c>
      <c r="AC201" s="4">
        <v>45618</v>
      </c>
      <c r="AD201" s="9">
        <v>45618</v>
      </c>
      <c r="AE201" s="9">
        <v>45625</v>
      </c>
      <c r="AF201" s="4" t="str">
        <f t="shared" ca="1" si="3"/>
        <v>2024 11</v>
      </c>
      <c r="AG201" s="8" t="str" cm="1">
        <f t="array" ref="AG201">IFERROR(_xlfn.IFS('Banco de Dados'!#REF!="AG. COMPRA","Em processamento",'Banco de Dados'!#REF!="AG. RASTREIO","Em processamento",'Banco de Dados'!$AE201&lt;&gt;"-","Faturado",'Banco de Dados'!$AD201&lt;&gt;"-","Aguardando Pix",'Banco de Dados'!$AC201&lt;&gt;"-","Pendente"),"Aguardando Liberação")</f>
        <v>Aguardando Liberação</v>
      </c>
      <c r="AH201" s="5" t="str">
        <f>IF('Banco de Dados'!$F201="-",_xlfn.CONCAT(PROPER(TEXT(AK201,"aaaa"))," ",PROPER(TEXT(AK201,"mm"))),_xlfn.CONCAT(PROPER(TEXT(E201,"aaaa"))," ",PROPER(TEXT(E201,"mm"))))</f>
        <v>2024 10</v>
      </c>
      <c r="AI201" s="9" t="str">
        <f ca="1">IF('Banco de Dados'!$AK201&lt;&gt;"-","REEMBOLSO",IFERROR(_xlfn.XLOOKUP(G201,Follow[CODRASTREIO],Follow[STATUS]),"-"))</f>
        <v>ENTREGUE</v>
      </c>
      <c r="AJ201" s="9">
        <f ca="1">IF('Banco de Dados'!$AI201="ENTREGUE",_xlfn.XLOOKUP('Banco de Dados'!$G201,Follow[CODRASTREIO],Follow[DATAATUALIZAÇÃO]),"-")</f>
        <v>45607</v>
      </c>
      <c r="AK201" s="9" t="str">
        <f ca="1"/>
        <v>-</v>
      </c>
      <c r="AL201" s="35" t="str">
        <v>NÃO</v>
      </c>
      <c r="AM201" s="109" cm="1">
        <f t="array" aca="1" ref="AM201" ca="1">IF('Banco de Dados'!$AK201&lt;&gt;"-",_xlfn.IFS('Banco de Dados'!$A201="bv",IF('Banco de Dados'!$E201&lt;45641,ROUND(SUM('Banco de Dados'!$R201*_xlfn.XLOOKUP('Banco de Dados'!$P201,Sku!B:B,Sku!#REF!)*20%),2),ROUND(SUM('Banco de Dados'!$R201*_xlfn.XLOOKUP('Banco de Dados'!$P201,Sku!B:B,Sku!H:H)*20%),2)),'Banco de Dados'!$A201="GO",ROUND(_xlfn.XLOOKUP('Banco de Dados'!$P201,Sku!C:C,Sku!H:H),2),'Banco de Dados'!$A201="MEI",ROUND(_xlfn.XLOOKUP('Banco de Dados'!$P201,Sku!D:D,Sku!H:H),2)),0)</f>
        <v>0</v>
      </c>
      <c r="AN201" s="109">
        <f ca="1">IF('Banco de Dados'!$AK201&lt;&gt;"-",IF('Banco de Dados'!$F201&lt;&gt;"-",_xlfn.XLOOKUP(IFERROR(IFERROR(IFERROR(VALUE(SUBSTITUTE(MID(_xlfn.TEXTAFTER('Banco de Dados'!$F201,"Data do Pedido:
",1),1,10),"-","/")),VALUE(SUBSTITUTE(MID(_xlfn.TEXTAFTER('Banco de Dados'!$F201,"Order date:
",1),1,10),"-","/"))),VALUE(SUBSTITUTE(MID(_xlfn.TEXTAFTER('Banco de Dados'!$F201,"Fecha de pedido:
",1),1,10),"-","/"))),"-"),SMS!A:A,SMS!K:K),0),0)</f>
        <v>0</v>
      </c>
      <c r="AO201" s="109">
        <f ca="1">IF('Banco de Dados'!$AK201&lt;&gt;"-",IF('Banco de Dados'!$F201&lt;&gt;"-",IFERROR(_xlfn.XLOOKUP(_xlfn.CONCAT('Banco de Dados'!$A201,IFERROR(IFERROR(VALUE(SUBSTITUTE(MID(_xlfn.TEXTAFTER('Banco de Dados'!$F201,"Data do Pedido:
",1),1,10),"-","/")),VALUE(SUBSTITUTE(MID(_xlfn.TEXTAFTER('Banco de Dados'!$F201,"Order date:
",1),1,10),"-","/"))),0)),ProxyDD[Chave],ProxyDD[Valor por pedido]),PROXY!$P$2),0),0)</f>
        <v>0</v>
      </c>
      <c r="AP201" s="28">
        <f ca="1">IF('Banco de Dados'!$AK201&lt;&gt;"-",IF('Banco de Dados'!$AL201="NÃO",IFERROR(VALUE(SUBSTITUTE(_xlfn.TEXTAFTER('Banco de Dados'!$F201,"BRL ",1),".",",")),0),0),0)</f>
        <v>0</v>
      </c>
      <c r="AQ201" s="28">
        <f ca="1">SUM('Banco de Dados'!$AM201:$AP201)</f>
        <v>0</v>
      </c>
      <c r="AR201" s="8"/>
      <c r="AS201" s="8"/>
      <c r="AY201" s="8"/>
    </row>
    <row r="202" spans="1:51">
      <c r="A202" s="5" t="str">
        <v>BV</v>
      </c>
      <c r="B202" s="5" t="str">
        <f ca="1"/>
        <v>BV45596</v>
      </c>
      <c r="C202" s="8" t="str">
        <v>Pedido 199</v>
      </c>
      <c r="D202" s="9">
        <v>45596</v>
      </c>
      <c r="E202" s="9">
        <v>45596</v>
      </c>
      <c r="F202" s="8" t="str">
        <v>PedidoF192</v>
      </c>
      <c r="G202" s="2" t="str">
        <v>CódRastreio192</v>
      </c>
      <c r="H202" s="5">
        <v>1</v>
      </c>
      <c r="I202" s="182" t="str">
        <v>CPF 196</v>
      </c>
      <c r="J202" s="2" t="str">
        <v>Nome 196</v>
      </c>
      <c r="K202" s="8" t="str">
        <v>Tel 196</v>
      </c>
      <c r="L202" s="2" t="str">
        <v>Cep 196</v>
      </c>
      <c r="M202" s="2" t="str">
        <v>Rua 196</v>
      </c>
      <c r="N202" s="2" t="str">
        <v>Comp 196</v>
      </c>
      <c r="O202" s="2" t="str">
        <v>Ventilador de teto</v>
      </c>
      <c r="P202" s="8" t="str">
        <v>ZO-J9IL-EN6L</v>
      </c>
      <c r="Q202" s="4">
        <v>45611</v>
      </c>
      <c r="R202" s="109">
        <v>58.9</v>
      </c>
      <c r="S202" s="11">
        <f ca="1"/>
        <v>58.9</v>
      </c>
      <c r="T202" s="28">
        <f ca="1"/>
        <v>8.2460000000000004</v>
      </c>
      <c r="U202" s="11">
        <f ca="1"/>
        <v>50.65</v>
      </c>
      <c r="V202" s="11">
        <v>7.29</v>
      </c>
      <c r="W202" s="11">
        <f ca="1"/>
        <v>0.36</v>
      </c>
      <c r="X202" s="11">
        <f ca="1"/>
        <v>0.39877104377104378</v>
      </c>
      <c r="Y202" s="11">
        <v>0</v>
      </c>
      <c r="Z202" s="11">
        <f ca="1"/>
        <v>42.601228956228951</v>
      </c>
      <c r="AA202" s="11">
        <f ca="1"/>
        <v>21.300614478114476</v>
      </c>
      <c r="AB202" s="4">
        <f ca="1"/>
        <v>45618</v>
      </c>
      <c r="AC202" s="4">
        <v>45618</v>
      </c>
      <c r="AD202" s="9">
        <v>45618</v>
      </c>
      <c r="AE202" s="9">
        <v>45625</v>
      </c>
      <c r="AF202" s="4" t="str">
        <f t="shared" ca="1" si="3"/>
        <v>2024 11</v>
      </c>
      <c r="AG202" s="8" t="str" cm="1">
        <f t="array" ref="AG202">IFERROR(_xlfn.IFS('Banco de Dados'!#REF!="AG. COMPRA","Em processamento",'Banco de Dados'!#REF!="AG. RASTREIO","Em processamento",'Banco de Dados'!$AE202&lt;&gt;"-","Faturado",'Banco de Dados'!$AD202&lt;&gt;"-","Aguardando Pix",'Banco de Dados'!$AC202&lt;&gt;"-","Pendente"),"Aguardando Liberação")</f>
        <v>Aguardando Liberação</v>
      </c>
      <c r="AH202" s="5" t="str">
        <f>IF('Banco de Dados'!$F202="-",_xlfn.CONCAT(PROPER(TEXT(AK202,"aaaa"))," ",PROPER(TEXT(AK202,"mm"))),_xlfn.CONCAT(PROPER(TEXT(E202,"aaaa"))," ",PROPER(TEXT(E202,"mm"))))</f>
        <v>2024 10</v>
      </c>
      <c r="AI202" s="9" t="str">
        <f ca="1">IF('Banco de Dados'!$AK202&lt;&gt;"-","REEMBOLSO",IFERROR(_xlfn.XLOOKUP(G202,Follow[CODRASTREIO],Follow[STATUS]),"-"))</f>
        <v>ENTREGUE</v>
      </c>
      <c r="AJ202" s="9">
        <f ca="1">IF('Banco de Dados'!$AI202="ENTREGUE",_xlfn.XLOOKUP('Banco de Dados'!$G202,Follow[CODRASTREIO],Follow[DATAATUALIZAÇÃO]),"-")</f>
        <v>45611</v>
      </c>
      <c r="AK202" s="9" t="str">
        <f ca="1"/>
        <v>-</v>
      </c>
      <c r="AL202" s="35" t="str">
        <v>NÃO</v>
      </c>
      <c r="AM202" s="109" cm="1">
        <f t="array" aca="1" ref="AM202" ca="1">IF('Banco de Dados'!$AK202&lt;&gt;"-",_xlfn.IFS('Banco de Dados'!$A202="bv",IF('Banco de Dados'!$E202&lt;45641,ROUND(SUM('Banco de Dados'!$R202*_xlfn.XLOOKUP('Banco de Dados'!$P202,Sku!B:B,Sku!#REF!)*20%),2),ROUND(SUM('Banco de Dados'!$R202*_xlfn.XLOOKUP('Banco de Dados'!$P202,Sku!B:B,Sku!H:H)*20%),2)),'Banco de Dados'!$A202="GO",ROUND(_xlfn.XLOOKUP('Banco de Dados'!$P202,Sku!C:C,Sku!H:H),2),'Banco de Dados'!$A202="MEI",ROUND(_xlfn.XLOOKUP('Banco de Dados'!$P202,Sku!D:D,Sku!H:H),2)),0)</f>
        <v>0</v>
      </c>
      <c r="AN202" s="109">
        <f ca="1">IF('Banco de Dados'!$AK202&lt;&gt;"-",IF('Banco de Dados'!$F202&lt;&gt;"-",_xlfn.XLOOKUP(IFERROR(IFERROR(IFERROR(VALUE(SUBSTITUTE(MID(_xlfn.TEXTAFTER('Banco de Dados'!$F202,"Data do Pedido:
",1),1,10),"-","/")),VALUE(SUBSTITUTE(MID(_xlfn.TEXTAFTER('Banco de Dados'!$F202,"Order date:
",1),1,10),"-","/"))),VALUE(SUBSTITUTE(MID(_xlfn.TEXTAFTER('Banco de Dados'!$F202,"Fecha de pedido:
",1),1,10),"-","/"))),"-"),SMS!A:A,SMS!K:K),0),0)</f>
        <v>0</v>
      </c>
      <c r="AO202" s="109">
        <f ca="1">IF('Banco de Dados'!$AK202&lt;&gt;"-",IF('Banco de Dados'!$F202&lt;&gt;"-",IFERROR(_xlfn.XLOOKUP(_xlfn.CONCAT('Banco de Dados'!$A202,IFERROR(IFERROR(VALUE(SUBSTITUTE(MID(_xlfn.TEXTAFTER('Banco de Dados'!$F202,"Data do Pedido:
",1),1,10),"-","/")),VALUE(SUBSTITUTE(MID(_xlfn.TEXTAFTER('Banco de Dados'!$F202,"Order date:
",1),1,10),"-","/"))),0)),ProxyDD[Chave],ProxyDD[Valor por pedido]),PROXY!$P$2),0),0)</f>
        <v>0</v>
      </c>
      <c r="AP202" s="28">
        <f ca="1">IF('Banco de Dados'!$AK202&lt;&gt;"-",IF('Banco de Dados'!$AL202="NÃO",IFERROR(VALUE(SUBSTITUTE(_xlfn.TEXTAFTER('Banco de Dados'!$F202,"BRL ",1),".",",")),0),0),0)</f>
        <v>0</v>
      </c>
      <c r="AQ202" s="28">
        <f ca="1">SUM('Banco de Dados'!$AM202:$AP202)</f>
        <v>0</v>
      </c>
      <c r="AR202" s="8"/>
      <c r="AS202" s="8"/>
      <c r="AY202" s="8"/>
    </row>
    <row r="203" spans="1:51">
      <c r="A203" s="5" t="str">
        <v>BV</v>
      </c>
      <c r="B203" s="5" t="str">
        <f ca="1"/>
        <v>BV45597</v>
      </c>
      <c r="C203" s="8" t="str">
        <v>Pedido 200</v>
      </c>
      <c r="D203" s="9">
        <v>45597</v>
      </c>
      <c r="E203" s="9">
        <v>45597</v>
      </c>
      <c r="F203" s="8" t="str">
        <v>PedidoF193</v>
      </c>
      <c r="G203" s="2" t="str">
        <v>CódRastreio193</v>
      </c>
      <c r="H203" s="5">
        <v>1</v>
      </c>
      <c r="I203" s="182" t="str">
        <v>CPF 197</v>
      </c>
      <c r="J203" s="2" t="str">
        <v>Nome 197</v>
      </c>
      <c r="K203" s="8" t="str">
        <v>Tel 197</v>
      </c>
      <c r="L203" s="2" t="str">
        <v>Cep 197</v>
      </c>
      <c r="M203" s="2" t="str">
        <v>Rua 197</v>
      </c>
      <c r="N203" s="2" t="str">
        <v>Comp 197</v>
      </c>
      <c r="O203" s="2" t="str">
        <v>Bomba d'agua</v>
      </c>
      <c r="P203" s="8" t="str">
        <v>DJ-RO5O-43GF</v>
      </c>
      <c r="Q203" s="4">
        <v>45618</v>
      </c>
      <c r="R203" s="109">
        <v>16.5</v>
      </c>
      <c r="S203" s="11">
        <f ca="1"/>
        <v>16.5</v>
      </c>
      <c r="T203" s="28">
        <f ca="1"/>
        <v>2.31</v>
      </c>
      <c r="U203" s="11">
        <f ca="1"/>
        <v>14.19</v>
      </c>
      <c r="V203" s="11">
        <v>6.57</v>
      </c>
      <c r="W203" s="11">
        <f ca="1"/>
        <v>0.43</v>
      </c>
      <c r="X203" s="11">
        <f ca="1"/>
        <v>0.39877104377104378</v>
      </c>
      <c r="Y203" s="11">
        <v>0</v>
      </c>
      <c r="Z203" s="11">
        <f ca="1"/>
        <v>6.7912289562289558</v>
      </c>
      <c r="AA203" s="11">
        <f ca="1"/>
        <v>3.3956144781144779</v>
      </c>
      <c r="AB203" s="4">
        <f ca="1"/>
        <v>45625</v>
      </c>
      <c r="AC203" s="4">
        <v>45625</v>
      </c>
      <c r="AD203" s="9">
        <v>45625</v>
      </c>
      <c r="AE203" s="9">
        <v>45625</v>
      </c>
      <c r="AF203" s="4" t="str">
        <f t="shared" ca="1" si="3"/>
        <v>2024 11</v>
      </c>
      <c r="AG203" s="8" t="str" cm="1">
        <f t="array" ref="AG203">IFERROR(_xlfn.IFS('Banco de Dados'!#REF!="AG. COMPRA","Em processamento",'Banco de Dados'!#REF!="AG. RASTREIO","Em processamento",'Banco de Dados'!$AE203&lt;&gt;"-","Faturado",'Banco de Dados'!$AD203&lt;&gt;"-","Aguardando Pix",'Banco de Dados'!$AC203&lt;&gt;"-","Pendente"),"Aguardando Liberação")</f>
        <v>Aguardando Liberação</v>
      </c>
      <c r="AH203" s="5" t="str">
        <f>IF('Banco de Dados'!$F203="-",_xlfn.CONCAT(PROPER(TEXT(AK203,"aaaa"))," ",PROPER(TEXT(AK203,"mm"))),_xlfn.CONCAT(PROPER(TEXT(E203,"aaaa"))," ",PROPER(TEXT(E203,"mm"))))</f>
        <v>2024 11</v>
      </c>
      <c r="AI203" s="9" t="str">
        <f ca="1">IF('Banco de Dados'!$AK203&lt;&gt;"-","REEMBOLSO",IFERROR(_xlfn.XLOOKUP(G203,Follow[CODRASTREIO],Follow[STATUS]),"-"))</f>
        <v>ENTREGUE</v>
      </c>
      <c r="AJ203" s="9">
        <f ca="1">IF('Banco de Dados'!$AI203="ENTREGUE",_xlfn.XLOOKUP('Banco de Dados'!$G203,Follow[CODRASTREIO],Follow[DATAATUALIZAÇÃO]),"-")</f>
        <v>45602</v>
      </c>
      <c r="AK203" s="9" t="str">
        <f ca="1"/>
        <v>-</v>
      </c>
      <c r="AL203" s="35" t="str">
        <v>NÃO</v>
      </c>
      <c r="AM203" s="109" cm="1">
        <f t="array" aca="1" ref="AM203" ca="1">IF('Banco de Dados'!$AK203&lt;&gt;"-",_xlfn.IFS('Banco de Dados'!$A203="bv",IF('Banco de Dados'!$E203&lt;45641,ROUND(SUM('Banco de Dados'!$R203*_xlfn.XLOOKUP('Banco de Dados'!$P203,Sku!B:B,Sku!#REF!)*20%),2),ROUND(SUM('Banco de Dados'!$R203*_xlfn.XLOOKUP('Banco de Dados'!$P203,Sku!B:B,Sku!H:H)*20%),2)),'Banco de Dados'!$A203="GO",ROUND(_xlfn.XLOOKUP('Banco de Dados'!$P203,Sku!C:C,Sku!H:H),2),'Banco de Dados'!$A203="MEI",ROUND(_xlfn.XLOOKUP('Banco de Dados'!$P203,Sku!D:D,Sku!H:H),2)),0)</f>
        <v>0</v>
      </c>
      <c r="AN203" s="109">
        <f ca="1">IF('Banco de Dados'!$AK203&lt;&gt;"-",IF('Banco de Dados'!$F203&lt;&gt;"-",_xlfn.XLOOKUP(IFERROR(IFERROR(IFERROR(VALUE(SUBSTITUTE(MID(_xlfn.TEXTAFTER('Banco de Dados'!$F203,"Data do Pedido:
",1),1,10),"-","/")),VALUE(SUBSTITUTE(MID(_xlfn.TEXTAFTER('Banco de Dados'!$F203,"Order date:
",1),1,10),"-","/"))),VALUE(SUBSTITUTE(MID(_xlfn.TEXTAFTER('Banco de Dados'!$F203,"Fecha de pedido:
",1),1,10),"-","/"))),"-"),SMS!A:A,SMS!K:K),0),0)</f>
        <v>0</v>
      </c>
      <c r="AO203" s="109">
        <f ca="1">IF('Banco de Dados'!$AK203&lt;&gt;"-",IF('Banco de Dados'!$F203&lt;&gt;"-",IFERROR(_xlfn.XLOOKUP(_xlfn.CONCAT('Banco de Dados'!$A203,IFERROR(IFERROR(VALUE(SUBSTITUTE(MID(_xlfn.TEXTAFTER('Banco de Dados'!$F203,"Data do Pedido:
",1),1,10),"-","/")),VALUE(SUBSTITUTE(MID(_xlfn.TEXTAFTER('Banco de Dados'!$F203,"Order date:
",1),1,10),"-","/"))),0)),ProxyDD[Chave],ProxyDD[Valor por pedido]),PROXY!$P$2),0),0)</f>
        <v>0</v>
      </c>
      <c r="AP203" s="28">
        <f ca="1">IF('Banco de Dados'!$AK203&lt;&gt;"-",IF('Banco de Dados'!$AL203="NÃO",IFERROR(VALUE(SUBSTITUTE(_xlfn.TEXTAFTER('Banco de Dados'!$F203,"BRL ",1),".",",")),0),0),0)</f>
        <v>0</v>
      </c>
      <c r="AQ203" s="28">
        <f ca="1">SUM('Banco de Dados'!$AM203:$AP203)</f>
        <v>0</v>
      </c>
      <c r="AR203" s="8"/>
      <c r="AS203" s="8"/>
      <c r="AY203" s="8"/>
    </row>
    <row r="204" spans="1:51">
      <c r="A204" s="5" t="str">
        <v>BV</v>
      </c>
      <c r="B204" s="5" t="str">
        <f ca="1"/>
        <v>BV45597</v>
      </c>
      <c r="C204" s="8" t="str">
        <v>Pedido 201</v>
      </c>
      <c r="D204" s="9">
        <v>45597</v>
      </c>
      <c r="E204" s="9">
        <v>45597</v>
      </c>
      <c r="F204" s="8" t="str">
        <v>PedidoF194</v>
      </c>
      <c r="G204" s="2" t="str">
        <v>CódRastreio194</v>
      </c>
      <c r="H204" s="5">
        <v>1</v>
      </c>
      <c r="I204" s="182" t="str">
        <v>CPF 198</v>
      </c>
      <c r="J204" s="2" t="str">
        <v>Nome 198</v>
      </c>
      <c r="K204" s="8" t="str">
        <v>Tel 198</v>
      </c>
      <c r="L204" s="2" t="str">
        <v>Cep 198</v>
      </c>
      <c r="M204" s="2" t="str">
        <v>Rua 198</v>
      </c>
      <c r="N204" s="2" t="str">
        <v>Comp 198</v>
      </c>
      <c r="O204" s="2" t="str">
        <v>Bomba d'agua</v>
      </c>
      <c r="P204" s="8" t="str">
        <v>DJ-RO5O-43GF</v>
      </c>
      <c r="Q204" s="4">
        <v>45615</v>
      </c>
      <c r="R204" s="109">
        <v>16.5</v>
      </c>
      <c r="S204" s="11">
        <f ca="1"/>
        <v>16.5</v>
      </c>
      <c r="T204" s="28">
        <f ca="1"/>
        <v>2.31</v>
      </c>
      <c r="U204" s="11">
        <f ca="1"/>
        <v>14.19</v>
      </c>
      <c r="V204" s="11">
        <v>5.91</v>
      </c>
      <c r="W204" s="11">
        <f ca="1"/>
        <v>0.43</v>
      </c>
      <c r="X204" s="11">
        <f ca="1"/>
        <v>0.39877104377104378</v>
      </c>
      <c r="Y204" s="11">
        <v>0</v>
      </c>
      <c r="Z204" s="11">
        <f ca="1"/>
        <v>7.451228956228956</v>
      </c>
      <c r="AA204" s="11">
        <f ca="1"/>
        <v>3.725614478114478</v>
      </c>
      <c r="AB204" s="4">
        <f ca="1"/>
        <v>45622</v>
      </c>
      <c r="AC204" s="4">
        <v>45622</v>
      </c>
      <c r="AD204" s="9">
        <v>45625</v>
      </c>
      <c r="AE204" s="9">
        <v>45625</v>
      </c>
      <c r="AF204" s="4" t="str">
        <f t="shared" ca="1" si="3"/>
        <v>2024 11</v>
      </c>
      <c r="AG204" s="8" t="str" cm="1">
        <f t="array" ref="AG204">IFERROR(_xlfn.IFS('Banco de Dados'!#REF!="AG. COMPRA","Em processamento",'Banco de Dados'!#REF!="AG. RASTREIO","Em processamento",'Banco de Dados'!$AE204&lt;&gt;"-","Faturado",'Banco de Dados'!$AD204&lt;&gt;"-","Aguardando Pix",'Banco de Dados'!$AC204&lt;&gt;"-","Pendente"),"Aguardando Liberação")</f>
        <v>Aguardando Liberação</v>
      </c>
      <c r="AH204" s="5" t="str">
        <f>IF('Banco de Dados'!$F204="-",_xlfn.CONCAT(PROPER(TEXT(AK204,"aaaa"))," ",PROPER(TEXT(AK204,"mm"))),_xlfn.CONCAT(PROPER(TEXT(E204,"aaaa"))," ",PROPER(TEXT(E204,"mm"))))</f>
        <v>2024 11</v>
      </c>
      <c r="AI204" s="9" t="str">
        <f ca="1">IF('Banco de Dados'!$AK204&lt;&gt;"-","REEMBOLSO",IFERROR(_xlfn.XLOOKUP(G204,Follow[CODRASTREIO],Follow[STATUS]),"-"))</f>
        <v>ENTREGUE</v>
      </c>
      <c r="AJ204" s="9">
        <f ca="1">IF('Banco de Dados'!$AI204="ENTREGUE",_xlfn.XLOOKUP('Banco de Dados'!$G204,Follow[CODRASTREIO],Follow[DATAATUALIZAÇÃO]),"-")</f>
        <v>45602</v>
      </c>
      <c r="AK204" s="9" t="str">
        <f ca="1"/>
        <v>-</v>
      </c>
      <c r="AL204" s="35" t="str">
        <v>NÃO</v>
      </c>
      <c r="AM204" s="109" cm="1">
        <f t="array" aca="1" ref="AM204" ca="1">IF('Banco de Dados'!$AK204&lt;&gt;"-",_xlfn.IFS('Banco de Dados'!$A204="bv",IF('Banco de Dados'!$E204&lt;45641,ROUND(SUM('Banco de Dados'!$R204*_xlfn.XLOOKUP('Banco de Dados'!$P204,Sku!B:B,Sku!#REF!)*20%),2),ROUND(SUM('Banco de Dados'!$R204*_xlfn.XLOOKUP('Banco de Dados'!$P204,Sku!B:B,Sku!H:H)*20%),2)),'Banco de Dados'!$A204="GO",ROUND(_xlfn.XLOOKUP('Banco de Dados'!$P204,Sku!C:C,Sku!H:H),2),'Banco de Dados'!$A204="MEI",ROUND(_xlfn.XLOOKUP('Banco de Dados'!$P204,Sku!D:D,Sku!H:H),2)),0)</f>
        <v>0</v>
      </c>
      <c r="AN204" s="109">
        <f ca="1">IF('Banco de Dados'!$AK204&lt;&gt;"-",IF('Banco de Dados'!$F204&lt;&gt;"-",_xlfn.XLOOKUP(IFERROR(IFERROR(IFERROR(VALUE(SUBSTITUTE(MID(_xlfn.TEXTAFTER('Banco de Dados'!$F204,"Data do Pedido:
",1),1,10),"-","/")),VALUE(SUBSTITUTE(MID(_xlfn.TEXTAFTER('Banco de Dados'!$F204,"Order date:
",1),1,10),"-","/"))),VALUE(SUBSTITUTE(MID(_xlfn.TEXTAFTER('Banco de Dados'!$F204,"Fecha de pedido:
",1),1,10),"-","/"))),"-"),SMS!A:A,SMS!K:K),0),0)</f>
        <v>0</v>
      </c>
      <c r="AO204" s="109">
        <f ca="1">IF('Banco de Dados'!$AK204&lt;&gt;"-",IF('Banco de Dados'!$F204&lt;&gt;"-",IFERROR(_xlfn.XLOOKUP(_xlfn.CONCAT('Banco de Dados'!$A204,IFERROR(IFERROR(VALUE(SUBSTITUTE(MID(_xlfn.TEXTAFTER('Banco de Dados'!$F204,"Data do Pedido:
",1),1,10),"-","/")),VALUE(SUBSTITUTE(MID(_xlfn.TEXTAFTER('Banco de Dados'!$F204,"Order date:
",1),1,10),"-","/"))),0)),ProxyDD[Chave],ProxyDD[Valor por pedido]),PROXY!$P$2),0),0)</f>
        <v>0</v>
      </c>
      <c r="AP204" s="28">
        <f ca="1">IF('Banco de Dados'!$AK204&lt;&gt;"-",IF('Banco de Dados'!$AL204="NÃO",IFERROR(VALUE(SUBSTITUTE(_xlfn.TEXTAFTER('Banco de Dados'!$F204,"BRL ",1),".",",")),0),0),0)</f>
        <v>0</v>
      </c>
      <c r="AQ204" s="28">
        <f ca="1">SUM('Banco de Dados'!$AM204:$AP204)</f>
        <v>0</v>
      </c>
      <c r="AR204" s="8"/>
      <c r="AS204" s="8"/>
      <c r="AY204" s="8"/>
    </row>
    <row r="205" spans="1:51">
      <c r="A205" s="5" t="str">
        <v>BV</v>
      </c>
      <c r="B205" s="5" t="str">
        <f ca="1"/>
        <v>BV45597</v>
      </c>
      <c r="C205" s="8" t="str">
        <v>Pedido 202</v>
      </c>
      <c r="D205" s="9">
        <v>45597</v>
      </c>
      <c r="E205" s="9">
        <v>45597</v>
      </c>
      <c r="F205" s="8" t="str">
        <v>PedidoF195</v>
      </c>
      <c r="G205" s="2" t="str">
        <v>CódRastreio195</v>
      </c>
      <c r="H205" s="5">
        <v>1</v>
      </c>
      <c r="I205" s="182" t="str">
        <v>CPF 199</v>
      </c>
      <c r="J205" s="2" t="str">
        <v>Nome 199</v>
      </c>
      <c r="K205" s="8" t="str">
        <v>Tel 199</v>
      </c>
      <c r="L205" s="2" t="str">
        <v>Cep 199</v>
      </c>
      <c r="M205" s="2" t="str">
        <v>Rua 199</v>
      </c>
      <c r="N205" s="2" t="str">
        <v>Comp 199</v>
      </c>
      <c r="O205" s="2" t="str">
        <v>Bomba d'agua</v>
      </c>
      <c r="P205" s="8" t="str">
        <v>DJ-RO5O-43GF</v>
      </c>
      <c r="Q205" s="4">
        <v>45615</v>
      </c>
      <c r="R205" s="109">
        <v>16.5</v>
      </c>
      <c r="S205" s="11">
        <f ca="1"/>
        <v>16.5</v>
      </c>
      <c r="T205" s="28">
        <f ca="1"/>
        <v>2.31</v>
      </c>
      <c r="U205" s="11">
        <f ca="1"/>
        <v>14.19</v>
      </c>
      <c r="V205" s="11">
        <v>5.91</v>
      </c>
      <c r="W205" s="11">
        <f ca="1"/>
        <v>0.43</v>
      </c>
      <c r="X205" s="11">
        <f ca="1"/>
        <v>0.39877104377104378</v>
      </c>
      <c r="Y205" s="11">
        <v>0</v>
      </c>
      <c r="Z205" s="11">
        <f ca="1"/>
        <v>7.451228956228956</v>
      </c>
      <c r="AA205" s="11">
        <f ca="1"/>
        <v>3.725614478114478</v>
      </c>
      <c r="AB205" s="4">
        <f ca="1"/>
        <v>45622</v>
      </c>
      <c r="AC205" s="4">
        <v>45622</v>
      </c>
      <c r="AD205" s="9">
        <v>45625</v>
      </c>
      <c r="AE205" s="9">
        <v>45625</v>
      </c>
      <c r="AF205" s="4" t="str">
        <f t="shared" ca="1" si="3"/>
        <v>2024 11</v>
      </c>
      <c r="AG205" s="8" t="str" cm="1">
        <f t="array" ref="AG205">IFERROR(_xlfn.IFS('Banco de Dados'!#REF!="AG. COMPRA","Em processamento",'Banco de Dados'!#REF!="AG. RASTREIO","Em processamento",'Banco de Dados'!$AE205&lt;&gt;"-","Faturado",'Banco de Dados'!$AD205&lt;&gt;"-","Aguardando Pix",'Banco de Dados'!$AC205&lt;&gt;"-","Pendente"),"Aguardando Liberação")</f>
        <v>Aguardando Liberação</v>
      </c>
      <c r="AH205" s="5" t="str">
        <f>IF('Banco de Dados'!$F205="-",_xlfn.CONCAT(PROPER(TEXT(AK205,"aaaa"))," ",PROPER(TEXT(AK205,"mm"))),_xlfn.CONCAT(PROPER(TEXT(E205,"aaaa"))," ",PROPER(TEXT(E205,"mm"))))</f>
        <v>2024 11</v>
      </c>
      <c r="AI205" s="9" t="str">
        <f ca="1">IF('Banco de Dados'!$AK205&lt;&gt;"-","REEMBOLSO",IFERROR(_xlfn.XLOOKUP(G205,Follow[CODRASTREIO],Follow[STATUS]),"-"))</f>
        <v>ENTREGUE</v>
      </c>
      <c r="AJ205" s="9">
        <f ca="1">IF('Banco de Dados'!$AI205="ENTREGUE",_xlfn.XLOOKUP('Banco de Dados'!$G205,Follow[CODRASTREIO],Follow[DATAATUALIZAÇÃO]),"-")</f>
        <v>45601</v>
      </c>
      <c r="AK205" s="9" t="str">
        <f ca="1"/>
        <v>-</v>
      </c>
      <c r="AL205" s="35" t="str">
        <v>NÃO</v>
      </c>
      <c r="AM205" s="109" cm="1">
        <f t="array" aca="1" ref="AM205" ca="1">IF('Banco de Dados'!$AK205&lt;&gt;"-",_xlfn.IFS('Banco de Dados'!$A205="bv",IF('Banco de Dados'!$E205&lt;45641,ROUND(SUM('Banco de Dados'!$R205*_xlfn.XLOOKUP('Banco de Dados'!$P205,Sku!B:B,Sku!#REF!)*20%),2),ROUND(SUM('Banco de Dados'!$R205*_xlfn.XLOOKUP('Banco de Dados'!$P205,Sku!B:B,Sku!H:H)*20%),2)),'Banco de Dados'!$A205="GO",ROUND(_xlfn.XLOOKUP('Banco de Dados'!$P205,Sku!C:C,Sku!H:H),2),'Banco de Dados'!$A205="MEI",ROUND(_xlfn.XLOOKUP('Banco de Dados'!$P205,Sku!D:D,Sku!H:H),2)),0)</f>
        <v>0</v>
      </c>
      <c r="AN205" s="109">
        <f ca="1">IF('Banco de Dados'!$AK205&lt;&gt;"-",IF('Banco de Dados'!$F205&lt;&gt;"-",_xlfn.XLOOKUP(IFERROR(IFERROR(IFERROR(VALUE(SUBSTITUTE(MID(_xlfn.TEXTAFTER('Banco de Dados'!$F205,"Data do Pedido:
",1),1,10),"-","/")),VALUE(SUBSTITUTE(MID(_xlfn.TEXTAFTER('Banco de Dados'!$F205,"Order date:
",1),1,10),"-","/"))),VALUE(SUBSTITUTE(MID(_xlfn.TEXTAFTER('Banco de Dados'!$F205,"Fecha de pedido:
",1),1,10),"-","/"))),"-"),SMS!A:A,SMS!K:K),0),0)</f>
        <v>0</v>
      </c>
      <c r="AO205" s="109">
        <f ca="1">IF('Banco de Dados'!$AK205&lt;&gt;"-",IF('Banco de Dados'!$F205&lt;&gt;"-",IFERROR(_xlfn.XLOOKUP(_xlfn.CONCAT('Banco de Dados'!$A205,IFERROR(IFERROR(VALUE(SUBSTITUTE(MID(_xlfn.TEXTAFTER('Banco de Dados'!$F205,"Data do Pedido:
",1),1,10),"-","/")),VALUE(SUBSTITUTE(MID(_xlfn.TEXTAFTER('Banco de Dados'!$F205,"Order date:
",1),1,10),"-","/"))),0)),ProxyDD[Chave],ProxyDD[Valor por pedido]),PROXY!$P$2),0),0)</f>
        <v>0</v>
      </c>
      <c r="AP205" s="28">
        <f ca="1">IF('Banco de Dados'!$AK205&lt;&gt;"-",IF('Banco de Dados'!$AL205="NÃO",IFERROR(VALUE(SUBSTITUTE(_xlfn.TEXTAFTER('Banco de Dados'!$F205,"BRL ",1),".",",")),0),0),0)</f>
        <v>0</v>
      </c>
      <c r="AQ205" s="28">
        <f ca="1">SUM('Banco de Dados'!$AM205:$AP205)</f>
        <v>0</v>
      </c>
      <c r="AR205" s="8"/>
      <c r="AS205" s="8"/>
      <c r="AY205" s="8"/>
    </row>
    <row r="206" spans="1:51">
      <c r="A206" s="5" t="str">
        <v>BV</v>
      </c>
      <c r="B206" s="5" t="str">
        <f ca="1"/>
        <v>BV45597</v>
      </c>
      <c r="C206" s="8" t="str">
        <v>Pedido 203</v>
      </c>
      <c r="D206" s="9">
        <v>45597</v>
      </c>
      <c r="E206" s="9">
        <v>45597</v>
      </c>
      <c r="F206" s="8" t="str">
        <v>PedidoF196</v>
      </c>
      <c r="G206" s="2" t="str">
        <v>CódRastreio196</v>
      </c>
      <c r="H206" s="5">
        <v>1</v>
      </c>
      <c r="I206" s="182" t="str">
        <v>CPF 200</v>
      </c>
      <c r="J206" s="2" t="str">
        <v>Nome 200</v>
      </c>
      <c r="K206" s="8" t="str">
        <v>Tel 200</v>
      </c>
      <c r="L206" s="2" t="str">
        <v>Cep 200</v>
      </c>
      <c r="M206" s="2" t="str">
        <v>Rua 200</v>
      </c>
      <c r="N206" s="2" t="str">
        <v>Comp 200</v>
      </c>
      <c r="O206" s="2" t="str">
        <v>Bomba d'agua</v>
      </c>
      <c r="P206" s="8" t="str">
        <v>DJ-RO5O-43GF</v>
      </c>
      <c r="Q206" s="4">
        <v>45622</v>
      </c>
      <c r="R206" s="109">
        <v>16.5</v>
      </c>
      <c r="S206" s="11">
        <f ca="1"/>
        <v>16.5</v>
      </c>
      <c r="T206" s="28">
        <f ca="1"/>
        <v>2.31</v>
      </c>
      <c r="U206" s="11">
        <f ca="1"/>
        <v>14.19</v>
      </c>
      <c r="V206" s="11">
        <v>5.91</v>
      </c>
      <c r="W206" s="11">
        <f ca="1"/>
        <v>0.43</v>
      </c>
      <c r="X206" s="11">
        <f ca="1"/>
        <v>0.39877104377104378</v>
      </c>
      <c r="Y206" s="11">
        <v>0</v>
      </c>
      <c r="Z206" s="11">
        <f ca="1"/>
        <v>7.451228956228956</v>
      </c>
      <c r="AA206" s="11">
        <f ca="1"/>
        <v>3.725614478114478</v>
      </c>
      <c r="AB206" s="4">
        <f ca="1"/>
        <v>45629</v>
      </c>
      <c r="AC206" s="4">
        <v>45629</v>
      </c>
      <c r="AD206" s="9">
        <v>45637</v>
      </c>
      <c r="AE206" s="9">
        <v>45642</v>
      </c>
      <c r="AF206" s="4" t="str">
        <f t="shared" ca="1" si="3"/>
        <v>2024 12</v>
      </c>
      <c r="AG206" s="8" t="str" cm="1">
        <f t="array" ref="AG206">IFERROR(_xlfn.IFS('Banco de Dados'!#REF!="AG. COMPRA","Em processamento",'Banco de Dados'!#REF!="AG. RASTREIO","Em processamento",'Banco de Dados'!$AE206&lt;&gt;"-","Faturado",'Banco de Dados'!$AD206&lt;&gt;"-","Aguardando Pix",'Banco de Dados'!$AC206&lt;&gt;"-","Pendente"),"Aguardando Liberação")</f>
        <v>Aguardando Liberação</v>
      </c>
      <c r="AH206" s="5" t="str">
        <f>IF('Banco de Dados'!$F206="-",_xlfn.CONCAT(PROPER(TEXT(AK206,"aaaa"))," ",PROPER(TEXT(AK206,"mm"))),_xlfn.CONCAT(PROPER(TEXT(E206,"aaaa"))," ",PROPER(TEXT(E206,"mm"))))</f>
        <v>2024 11</v>
      </c>
      <c r="AI206" s="9" t="str">
        <f ca="1">IF('Banco de Dados'!$AK206&lt;&gt;"-","REEMBOLSO",IFERROR(_xlfn.XLOOKUP(G206,Follow[CODRASTREIO],Follow[STATUS]),"-"))</f>
        <v>ENTREGUE</v>
      </c>
      <c r="AJ206" s="9">
        <f ca="1">IF('Banco de Dados'!$AI206="ENTREGUE",_xlfn.XLOOKUP('Banco de Dados'!$G206,Follow[CODRASTREIO],Follow[DATAATUALIZAÇÃO]),"-")</f>
        <v>45604</v>
      </c>
      <c r="AK206" s="9" t="str">
        <f ca="1"/>
        <v>-</v>
      </c>
      <c r="AL206" s="35" t="str">
        <v>NÃO</v>
      </c>
      <c r="AM206" s="109" cm="1">
        <f t="array" aca="1" ref="AM206" ca="1">IF('Banco de Dados'!$AK206&lt;&gt;"-",_xlfn.IFS('Banco de Dados'!$A206="bv",IF('Banco de Dados'!$E206&lt;45641,ROUND(SUM('Banco de Dados'!$R206*_xlfn.XLOOKUP('Banco de Dados'!$P206,Sku!B:B,Sku!#REF!)*20%),2),ROUND(SUM('Banco de Dados'!$R206*_xlfn.XLOOKUP('Banco de Dados'!$P206,Sku!B:B,Sku!H:H)*20%),2)),'Banco de Dados'!$A206="GO",ROUND(_xlfn.XLOOKUP('Banco de Dados'!$P206,Sku!C:C,Sku!H:H),2),'Banco de Dados'!$A206="MEI",ROUND(_xlfn.XLOOKUP('Banco de Dados'!$P206,Sku!D:D,Sku!H:H),2)),0)</f>
        <v>0</v>
      </c>
      <c r="AN206" s="109">
        <f ca="1">IF('Banco de Dados'!$AK206&lt;&gt;"-",IF('Banco de Dados'!$F206&lt;&gt;"-",_xlfn.XLOOKUP(IFERROR(IFERROR(IFERROR(VALUE(SUBSTITUTE(MID(_xlfn.TEXTAFTER('Banco de Dados'!$F206,"Data do Pedido:
",1),1,10),"-","/")),VALUE(SUBSTITUTE(MID(_xlfn.TEXTAFTER('Banco de Dados'!$F206,"Order date:
",1),1,10),"-","/"))),VALUE(SUBSTITUTE(MID(_xlfn.TEXTAFTER('Banco de Dados'!$F206,"Fecha de pedido:
",1),1,10),"-","/"))),"-"),SMS!A:A,SMS!K:K),0),0)</f>
        <v>0</v>
      </c>
      <c r="AO206" s="109">
        <f ca="1">IF('Banco de Dados'!$AK206&lt;&gt;"-",IF('Banco de Dados'!$F206&lt;&gt;"-",IFERROR(_xlfn.XLOOKUP(_xlfn.CONCAT('Banco de Dados'!$A206,IFERROR(IFERROR(VALUE(SUBSTITUTE(MID(_xlfn.TEXTAFTER('Banco de Dados'!$F206,"Data do Pedido:
",1),1,10),"-","/")),VALUE(SUBSTITUTE(MID(_xlfn.TEXTAFTER('Banco de Dados'!$F206,"Order date:
",1),1,10),"-","/"))),0)),ProxyDD[Chave],ProxyDD[Valor por pedido]),PROXY!$P$2),0),0)</f>
        <v>0</v>
      </c>
      <c r="AP206" s="28">
        <f ca="1">IF('Banco de Dados'!$AK206&lt;&gt;"-",IF('Banco de Dados'!$AL206="NÃO",IFERROR(VALUE(SUBSTITUTE(_xlfn.TEXTAFTER('Banco de Dados'!$F206,"BRL ",1),".",",")),0),0),0)</f>
        <v>0</v>
      </c>
      <c r="AQ206" s="28">
        <f ca="1">SUM('Banco de Dados'!$AM206:$AP206)</f>
        <v>0</v>
      </c>
      <c r="AR206" s="8"/>
      <c r="AS206" s="8"/>
      <c r="AY206" s="8"/>
    </row>
    <row r="207" spans="1:51">
      <c r="A207" s="5" t="str">
        <v>BV</v>
      </c>
      <c r="B207" s="5" t="str">
        <f ca="1"/>
        <v>BV45597</v>
      </c>
      <c r="C207" s="8" t="str">
        <v>Pedido 204</v>
      </c>
      <c r="D207" s="9">
        <v>45597</v>
      </c>
      <c r="E207" s="9">
        <v>45597</v>
      </c>
      <c r="F207" s="8" t="str">
        <v>PedidoF197</v>
      </c>
      <c r="G207" s="2" t="str">
        <v>CódRastreio197</v>
      </c>
      <c r="H207" s="5">
        <v>1</v>
      </c>
      <c r="I207" s="182" t="str">
        <v>CPF 201</v>
      </c>
      <c r="J207" s="2" t="str">
        <v>Nome 201</v>
      </c>
      <c r="K207" s="8" t="str">
        <v>Tel 201</v>
      </c>
      <c r="L207" s="2" t="str">
        <v>Cep 201</v>
      </c>
      <c r="M207" s="2" t="str">
        <v>Rua 201</v>
      </c>
      <c r="N207" s="2" t="str">
        <v>Comp 201</v>
      </c>
      <c r="O207" s="2" t="str">
        <v>Bomba d'agua</v>
      </c>
      <c r="P207" s="8" t="str">
        <v>DJ-RO5O-43GF</v>
      </c>
      <c r="Q207" s="4">
        <v>45615</v>
      </c>
      <c r="R207" s="109">
        <v>16.5</v>
      </c>
      <c r="S207" s="11">
        <f ca="1"/>
        <v>16.5</v>
      </c>
      <c r="T207" s="28">
        <f ca="1"/>
        <v>2.31</v>
      </c>
      <c r="U207" s="11">
        <f ca="1"/>
        <v>14.19</v>
      </c>
      <c r="V207" s="11">
        <v>5.91</v>
      </c>
      <c r="W207" s="11">
        <f ca="1"/>
        <v>0.43</v>
      </c>
      <c r="X207" s="11">
        <f ca="1"/>
        <v>0.39877104377104378</v>
      </c>
      <c r="Y207" s="11">
        <v>0</v>
      </c>
      <c r="Z207" s="11">
        <f ca="1"/>
        <v>7.451228956228956</v>
      </c>
      <c r="AA207" s="11">
        <f ca="1"/>
        <v>3.725614478114478</v>
      </c>
      <c r="AB207" s="4">
        <f ca="1"/>
        <v>45622</v>
      </c>
      <c r="AC207" s="4">
        <v>45622</v>
      </c>
      <c r="AD207" s="9">
        <v>45625</v>
      </c>
      <c r="AE207" s="9">
        <v>45625</v>
      </c>
      <c r="AF207" s="4" t="str">
        <f t="shared" ca="1" si="3"/>
        <v>2024 11</v>
      </c>
      <c r="AG207" s="8" t="str" cm="1">
        <f t="array" ref="AG207">IFERROR(_xlfn.IFS('Banco de Dados'!#REF!="AG. COMPRA","Em processamento",'Banco de Dados'!#REF!="AG. RASTREIO","Em processamento",'Banco de Dados'!$AE207&lt;&gt;"-","Faturado",'Banco de Dados'!$AD207&lt;&gt;"-","Aguardando Pix",'Banco de Dados'!$AC207&lt;&gt;"-","Pendente"),"Aguardando Liberação")</f>
        <v>Aguardando Liberação</v>
      </c>
      <c r="AH207" s="5" t="str">
        <f>IF('Banco de Dados'!$F207="-",_xlfn.CONCAT(PROPER(TEXT(AK207,"aaaa"))," ",PROPER(TEXT(AK207,"mm"))),_xlfn.CONCAT(PROPER(TEXT(E207,"aaaa"))," ",PROPER(TEXT(E207,"mm"))))</f>
        <v>2024 11</v>
      </c>
      <c r="AI207" s="9" t="str">
        <f ca="1">IF('Banco de Dados'!$AK207&lt;&gt;"-","REEMBOLSO",IFERROR(_xlfn.XLOOKUP(G207,Follow[CODRASTREIO],Follow[STATUS]),"-"))</f>
        <v>ENTREGUE</v>
      </c>
      <c r="AJ207" s="9">
        <f ca="1">IF('Banco de Dados'!$AI207="ENTREGUE",_xlfn.XLOOKUP('Banco de Dados'!$G207,Follow[CODRASTREIO],Follow[DATAATUALIZAÇÃO]),"-")</f>
        <v>45601</v>
      </c>
      <c r="AK207" s="9" t="str">
        <f ca="1"/>
        <v>-</v>
      </c>
      <c r="AL207" s="35" t="str">
        <v>NÃO</v>
      </c>
      <c r="AM207" s="109" cm="1">
        <f t="array" aca="1" ref="AM207" ca="1">IF('Banco de Dados'!$AK207&lt;&gt;"-",_xlfn.IFS('Banco de Dados'!$A207="bv",IF('Banco de Dados'!$E207&lt;45641,ROUND(SUM('Banco de Dados'!$R207*_xlfn.XLOOKUP('Banco de Dados'!$P207,Sku!B:B,Sku!#REF!)*20%),2),ROUND(SUM('Banco de Dados'!$R207*_xlfn.XLOOKUP('Banco de Dados'!$P207,Sku!B:B,Sku!H:H)*20%),2)),'Banco de Dados'!$A207="GO",ROUND(_xlfn.XLOOKUP('Banco de Dados'!$P207,Sku!C:C,Sku!H:H),2),'Banco de Dados'!$A207="MEI",ROUND(_xlfn.XLOOKUP('Banco de Dados'!$P207,Sku!D:D,Sku!H:H),2)),0)</f>
        <v>0</v>
      </c>
      <c r="AN207" s="109">
        <f ca="1">IF('Banco de Dados'!$AK207&lt;&gt;"-",IF('Banco de Dados'!$F207&lt;&gt;"-",_xlfn.XLOOKUP(IFERROR(IFERROR(IFERROR(VALUE(SUBSTITUTE(MID(_xlfn.TEXTAFTER('Banco de Dados'!$F207,"Data do Pedido:
",1),1,10),"-","/")),VALUE(SUBSTITUTE(MID(_xlfn.TEXTAFTER('Banco de Dados'!$F207,"Order date:
",1),1,10),"-","/"))),VALUE(SUBSTITUTE(MID(_xlfn.TEXTAFTER('Banco de Dados'!$F207,"Fecha de pedido:
",1),1,10),"-","/"))),"-"),SMS!A:A,SMS!K:K),0),0)</f>
        <v>0</v>
      </c>
      <c r="AO207" s="109">
        <f ca="1">IF('Banco de Dados'!$AK207&lt;&gt;"-",IF('Banco de Dados'!$F207&lt;&gt;"-",IFERROR(_xlfn.XLOOKUP(_xlfn.CONCAT('Banco de Dados'!$A207,IFERROR(IFERROR(VALUE(SUBSTITUTE(MID(_xlfn.TEXTAFTER('Banco de Dados'!$F207,"Data do Pedido:
",1),1,10),"-","/")),VALUE(SUBSTITUTE(MID(_xlfn.TEXTAFTER('Banco de Dados'!$F207,"Order date:
",1),1,10),"-","/"))),0)),ProxyDD[Chave],ProxyDD[Valor por pedido]),PROXY!$P$2),0),0)</f>
        <v>0</v>
      </c>
      <c r="AP207" s="28">
        <f ca="1">IF('Banco de Dados'!$AK207&lt;&gt;"-",IF('Banco de Dados'!$AL207="NÃO",IFERROR(VALUE(SUBSTITUTE(_xlfn.TEXTAFTER('Banco de Dados'!$F207,"BRL ",1),".",",")),0),0),0)</f>
        <v>0</v>
      </c>
      <c r="AQ207" s="28">
        <f ca="1">SUM('Banco de Dados'!$AM207:$AP207)</f>
        <v>0</v>
      </c>
      <c r="AR207" s="8"/>
      <c r="AS207" s="8"/>
      <c r="AY207" s="8"/>
    </row>
    <row r="208" spans="1:51">
      <c r="A208" s="5" t="str">
        <v>BV</v>
      </c>
      <c r="B208" s="5" t="str">
        <f ca="1"/>
        <v>BV45597</v>
      </c>
      <c r="C208" s="8" t="str">
        <v>Pedido 205</v>
      </c>
      <c r="D208" s="9">
        <v>45597</v>
      </c>
      <c r="E208" s="9">
        <v>45597</v>
      </c>
      <c r="F208" s="8" t="str">
        <v>PedidoF198</v>
      </c>
      <c r="G208" s="2" t="str">
        <v>CódRastreio198</v>
      </c>
      <c r="H208" s="5">
        <v>1</v>
      </c>
      <c r="I208" s="182" t="str">
        <v>CPF 202</v>
      </c>
      <c r="J208" s="2" t="str">
        <v>Nome 202</v>
      </c>
      <c r="K208" s="8" t="str">
        <v>Tel 202</v>
      </c>
      <c r="L208" s="2" t="str">
        <v>Cep 202</v>
      </c>
      <c r="M208" s="2" t="str">
        <v>Rua 202</v>
      </c>
      <c r="N208" s="2" t="str">
        <v>Comp 202</v>
      </c>
      <c r="O208" s="2" t="str">
        <v>Mini Liquidificador</v>
      </c>
      <c r="P208" s="8" t="str">
        <v>CK-YL6M-P5Y6</v>
      </c>
      <c r="Q208" s="4">
        <v>45626</v>
      </c>
      <c r="R208" s="109">
        <v>31.5</v>
      </c>
      <c r="S208" s="11">
        <f ca="1"/>
        <v>31.5</v>
      </c>
      <c r="T208" s="28">
        <f ca="1"/>
        <v>4.0949999999999998</v>
      </c>
      <c r="U208" s="11">
        <f ca="1"/>
        <v>27.41</v>
      </c>
      <c r="V208" s="11">
        <v>11.99</v>
      </c>
      <c r="W208" s="11">
        <f ca="1"/>
        <v>0.43</v>
      </c>
      <c r="X208" s="11">
        <f ca="1"/>
        <v>0.39877104377104378</v>
      </c>
      <c r="Y208" s="11">
        <v>0</v>
      </c>
      <c r="Z208" s="11">
        <f ca="1"/>
        <v>14.591228956228957</v>
      </c>
      <c r="AA208" s="11">
        <f ca="1"/>
        <v>7.2956144781144783</v>
      </c>
      <c r="AB208" s="4">
        <f ca="1"/>
        <v>45633</v>
      </c>
      <c r="AC208" s="4">
        <v>45633</v>
      </c>
      <c r="AD208" s="9">
        <v>45637</v>
      </c>
      <c r="AE208" s="9">
        <v>45642</v>
      </c>
      <c r="AF208" s="4" t="str">
        <f t="shared" ca="1" si="3"/>
        <v>2024 12</v>
      </c>
      <c r="AG208" s="8" t="str" cm="1">
        <f t="array" ref="AG208">IFERROR(_xlfn.IFS('Banco de Dados'!#REF!="AG. COMPRA","Em processamento",'Banco de Dados'!#REF!="AG. RASTREIO","Em processamento",'Banco de Dados'!$AE208&lt;&gt;"-","Faturado",'Banco de Dados'!$AD208&lt;&gt;"-","Aguardando Pix",'Banco de Dados'!$AC208&lt;&gt;"-","Pendente"),"Aguardando Liberação")</f>
        <v>Aguardando Liberação</v>
      </c>
      <c r="AH208" s="5" t="str">
        <f>IF('Banco de Dados'!$F208="-",_xlfn.CONCAT(PROPER(TEXT(AK208,"aaaa"))," ",PROPER(TEXT(AK208,"mm"))),_xlfn.CONCAT(PROPER(TEXT(E208,"aaaa"))," ",PROPER(TEXT(E208,"mm"))))</f>
        <v>2024 11</v>
      </c>
      <c r="AI208" s="9" t="str">
        <f ca="1">IF('Banco de Dados'!$AK208&lt;&gt;"-","REEMBOLSO",IFERROR(_xlfn.XLOOKUP(G208,Follow[CODRASTREIO],Follow[STATUS]),"-"))</f>
        <v>ENTREGUE</v>
      </c>
      <c r="AJ208" s="9">
        <f ca="1">IF('Banco de Dados'!$AI208="ENTREGUE",_xlfn.XLOOKUP('Banco de Dados'!$G208,Follow[CODRASTREIO],Follow[DATAATUALIZAÇÃO]),"-")</f>
        <v>45611</v>
      </c>
      <c r="AK208" s="9" t="str">
        <f ca="1"/>
        <v>-</v>
      </c>
      <c r="AL208" s="35" t="str">
        <v>NÃO</v>
      </c>
      <c r="AM208" s="109" cm="1">
        <f t="array" aca="1" ref="AM208" ca="1">IF('Banco de Dados'!$AK208&lt;&gt;"-",_xlfn.IFS('Banco de Dados'!$A208="bv",IF('Banco de Dados'!$E208&lt;45641,ROUND(SUM('Banco de Dados'!$R208*_xlfn.XLOOKUP('Banco de Dados'!$P208,Sku!B:B,Sku!#REF!)*20%),2),ROUND(SUM('Banco de Dados'!$R208*_xlfn.XLOOKUP('Banco de Dados'!$P208,Sku!B:B,Sku!H:H)*20%),2)),'Banco de Dados'!$A208="GO",ROUND(_xlfn.XLOOKUP('Banco de Dados'!$P208,Sku!C:C,Sku!H:H),2),'Banco de Dados'!$A208="MEI",ROUND(_xlfn.XLOOKUP('Banco de Dados'!$P208,Sku!D:D,Sku!H:H),2)),0)</f>
        <v>0</v>
      </c>
      <c r="AN208" s="109">
        <f ca="1">IF('Banco de Dados'!$AK208&lt;&gt;"-",IF('Banco de Dados'!$F208&lt;&gt;"-",_xlfn.XLOOKUP(IFERROR(IFERROR(IFERROR(VALUE(SUBSTITUTE(MID(_xlfn.TEXTAFTER('Banco de Dados'!$F208,"Data do Pedido:
",1),1,10),"-","/")),VALUE(SUBSTITUTE(MID(_xlfn.TEXTAFTER('Banco de Dados'!$F208,"Order date:
",1),1,10),"-","/"))),VALUE(SUBSTITUTE(MID(_xlfn.TEXTAFTER('Banco de Dados'!$F208,"Fecha de pedido:
",1),1,10),"-","/"))),"-"),SMS!A:A,SMS!K:K),0),0)</f>
        <v>0</v>
      </c>
      <c r="AO208" s="109">
        <f ca="1">IF('Banco de Dados'!$AK208&lt;&gt;"-",IF('Banco de Dados'!$F208&lt;&gt;"-",IFERROR(_xlfn.XLOOKUP(_xlfn.CONCAT('Banco de Dados'!$A208,IFERROR(IFERROR(VALUE(SUBSTITUTE(MID(_xlfn.TEXTAFTER('Banco de Dados'!$F208,"Data do Pedido:
",1),1,10),"-","/")),VALUE(SUBSTITUTE(MID(_xlfn.TEXTAFTER('Banco de Dados'!$F208,"Order date:
",1),1,10),"-","/"))),0)),ProxyDD[Chave],ProxyDD[Valor por pedido]),PROXY!$P$2),0),0)</f>
        <v>0</v>
      </c>
      <c r="AP208" s="28">
        <f ca="1">IF('Banco de Dados'!$AK208&lt;&gt;"-",IF('Banco de Dados'!$AL208="NÃO",IFERROR(VALUE(SUBSTITUTE(_xlfn.TEXTAFTER('Banco de Dados'!$F208,"BRL ",1),".",",")),0),0),0)</f>
        <v>0</v>
      </c>
      <c r="AQ208" s="28">
        <f ca="1">SUM('Banco de Dados'!$AM208:$AP208)</f>
        <v>0</v>
      </c>
      <c r="AR208" s="8"/>
      <c r="AS208" s="8"/>
      <c r="AY208" s="8"/>
    </row>
    <row r="209" spans="1:51">
      <c r="A209" s="5" t="str">
        <v>BV</v>
      </c>
      <c r="B209" s="5" t="str">
        <f ca="1"/>
        <v>BV45597</v>
      </c>
      <c r="C209" s="8" t="str">
        <v>Pedido 206</v>
      </c>
      <c r="D209" s="9">
        <v>45597</v>
      </c>
      <c r="E209" s="9">
        <v>45597</v>
      </c>
      <c r="F209" s="8" t="str">
        <v>PedidoF199</v>
      </c>
      <c r="G209" s="2" t="str">
        <v>CódRastreio199</v>
      </c>
      <c r="H209" s="5">
        <v>1</v>
      </c>
      <c r="I209" s="182" t="str">
        <v>CPF 203</v>
      </c>
      <c r="J209" s="2" t="str">
        <v>Nome 203</v>
      </c>
      <c r="K209" s="8" t="str">
        <v>Tel 203</v>
      </c>
      <c r="L209" s="2" t="str">
        <v>Cep 203</v>
      </c>
      <c r="M209" s="2" t="str">
        <v>Rua 203</v>
      </c>
      <c r="N209" s="2" t="str">
        <v>Comp 203</v>
      </c>
      <c r="O209" s="2" t="str">
        <v>Bomba d'agua</v>
      </c>
      <c r="P209" s="8" t="str">
        <v>DJ-RO5O-43GF</v>
      </c>
      <c r="Q209" s="4">
        <v>45626</v>
      </c>
      <c r="R209" s="109">
        <v>16.5</v>
      </c>
      <c r="S209" s="11">
        <f ca="1"/>
        <v>16.5</v>
      </c>
      <c r="T209" s="28">
        <f ca="1"/>
        <v>2.31</v>
      </c>
      <c r="U209" s="11">
        <f ca="1"/>
        <v>14.19</v>
      </c>
      <c r="V209" s="11">
        <v>5.91</v>
      </c>
      <c r="W209" s="11">
        <f ca="1"/>
        <v>0.43</v>
      </c>
      <c r="X209" s="11">
        <f ca="1"/>
        <v>0.39877104377104378</v>
      </c>
      <c r="Y209" s="11">
        <v>0</v>
      </c>
      <c r="Z209" s="11">
        <f ca="1"/>
        <v>7.451228956228956</v>
      </c>
      <c r="AA209" s="11">
        <f ca="1"/>
        <v>3.725614478114478</v>
      </c>
      <c r="AB209" s="4">
        <f ca="1"/>
        <v>45633</v>
      </c>
      <c r="AC209" s="4">
        <v>45633</v>
      </c>
      <c r="AD209" s="9">
        <v>45637</v>
      </c>
      <c r="AE209" s="9">
        <v>45642</v>
      </c>
      <c r="AF209" s="4" t="str">
        <f t="shared" ca="1" si="3"/>
        <v>2024 12</v>
      </c>
      <c r="AG209" s="8" t="str" cm="1">
        <f t="array" ref="AG209">IFERROR(_xlfn.IFS('Banco de Dados'!#REF!="AG. COMPRA","Em processamento",'Banco de Dados'!#REF!="AG. RASTREIO","Em processamento",'Banco de Dados'!$AE209&lt;&gt;"-","Faturado",'Banco de Dados'!$AD209&lt;&gt;"-","Aguardando Pix",'Banco de Dados'!$AC209&lt;&gt;"-","Pendente"),"Aguardando Liberação")</f>
        <v>Aguardando Liberação</v>
      </c>
      <c r="AH209" s="5" t="str">
        <f>IF('Banco de Dados'!$F209="-",_xlfn.CONCAT(PROPER(TEXT(AK209,"aaaa"))," ",PROPER(TEXT(AK209,"mm"))),_xlfn.CONCAT(PROPER(TEXT(E209,"aaaa"))," ",PROPER(TEXT(E209,"mm"))))</f>
        <v>2024 11</v>
      </c>
      <c r="AI209" s="9" t="str">
        <f ca="1">IF('Banco de Dados'!$AK209&lt;&gt;"-","REEMBOLSO",IFERROR(_xlfn.XLOOKUP(G209,Follow[CODRASTREIO],Follow[STATUS]),"-"))</f>
        <v>ENTREGUE</v>
      </c>
      <c r="AJ209" s="9">
        <f ca="1">IF('Banco de Dados'!$AI209="ENTREGUE",_xlfn.XLOOKUP('Banco de Dados'!$G209,Follow[CODRASTREIO],Follow[DATAATUALIZAÇÃO]),"-")</f>
        <v>45608</v>
      </c>
      <c r="AK209" s="9" t="str">
        <f ca="1"/>
        <v>-</v>
      </c>
      <c r="AL209" s="35" t="str">
        <v>NÃO</v>
      </c>
      <c r="AM209" s="109" cm="1">
        <f t="array" aca="1" ref="AM209" ca="1">IF('Banco de Dados'!$AK209&lt;&gt;"-",_xlfn.IFS('Banco de Dados'!$A209="bv",IF('Banco de Dados'!$E209&lt;45641,ROUND(SUM('Banco de Dados'!$R209*_xlfn.XLOOKUP('Banco de Dados'!$P209,Sku!B:B,Sku!#REF!)*20%),2),ROUND(SUM('Banco de Dados'!$R209*_xlfn.XLOOKUP('Banco de Dados'!$P209,Sku!B:B,Sku!H:H)*20%),2)),'Banco de Dados'!$A209="GO",ROUND(_xlfn.XLOOKUP('Banco de Dados'!$P209,Sku!C:C,Sku!H:H),2),'Banco de Dados'!$A209="MEI",ROUND(_xlfn.XLOOKUP('Banco de Dados'!$P209,Sku!D:D,Sku!H:H),2)),0)</f>
        <v>0</v>
      </c>
      <c r="AN209" s="109">
        <f ca="1">IF('Banco de Dados'!$AK209&lt;&gt;"-",IF('Banco de Dados'!$F209&lt;&gt;"-",_xlfn.XLOOKUP(IFERROR(IFERROR(IFERROR(VALUE(SUBSTITUTE(MID(_xlfn.TEXTAFTER('Banco de Dados'!$F209,"Data do Pedido:
",1),1,10),"-","/")),VALUE(SUBSTITUTE(MID(_xlfn.TEXTAFTER('Banco de Dados'!$F209,"Order date:
",1),1,10),"-","/"))),VALUE(SUBSTITUTE(MID(_xlfn.TEXTAFTER('Banco de Dados'!$F209,"Fecha de pedido:
",1),1,10),"-","/"))),"-"),SMS!A:A,SMS!K:K),0),0)</f>
        <v>0</v>
      </c>
      <c r="AO209" s="109">
        <f ca="1">IF('Banco de Dados'!$AK209&lt;&gt;"-",IF('Banco de Dados'!$F209&lt;&gt;"-",IFERROR(_xlfn.XLOOKUP(_xlfn.CONCAT('Banco de Dados'!$A209,IFERROR(IFERROR(VALUE(SUBSTITUTE(MID(_xlfn.TEXTAFTER('Banco de Dados'!$F209,"Data do Pedido:
",1),1,10),"-","/")),VALUE(SUBSTITUTE(MID(_xlfn.TEXTAFTER('Banco de Dados'!$F209,"Order date:
",1),1,10),"-","/"))),0)),ProxyDD[Chave],ProxyDD[Valor por pedido]),PROXY!$P$2),0),0)</f>
        <v>0</v>
      </c>
      <c r="AP209" s="28">
        <f ca="1">IF('Banco de Dados'!$AK209&lt;&gt;"-",IF('Banco de Dados'!$AL209="NÃO",IFERROR(VALUE(SUBSTITUTE(_xlfn.TEXTAFTER('Banco de Dados'!$F209,"BRL ",1),".",",")),0),0),0)</f>
        <v>0</v>
      </c>
      <c r="AQ209" s="28">
        <f ca="1">SUM('Banco de Dados'!$AM209:$AP209)</f>
        <v>0</v>
      </c>
      <c r="AR209" s="8"/>
      <c r="AS209" s="8"/>
      <c r="AY209" s="8"/>
    </row>
    <row r="210" spans="1:51">
      <c r="A210" s="5" t="str">
        <v>BV</v>
      </c>
      <c r="B210" s="5" t="str">
        <f ca="1"/>
        <v>BV45597</v>
      </c>
      <c r="C210" s="8" t="str">
        <v>Pedido 207</v>
      </c>
      <c r="D210" s="9">
        <v>45597</v>
      </c>
      <c r="E210" s="9">
        <v>45597</v>
      </c>
      <c r="F210" s="8" t="str">
        <v>PedidoF200</v>
      </c>
      <c r="G210" s="2" t="str">
        <v>CódRastreio200</v>
      </c>
      <c r="H210" s="5">
        <v>1</v>
      </c>
      <c r="I210" s="182" t="str">
        <v>CPF 204</v>
      </c>
      <c r="J210" s="2" t="str">
        <v>Nome 204</v>
      </c>
      <c r="K210" s="8" t="str">
        <v>Tel 204</v>
      </c>
      <c r="L210" s="2" t="str">
        <v>Cep 204</v>
      </c>
      <c r="M210" s="2" t="str">
        <v>Rua 204</v>
      </c>
      <c r="N210" s="2" t="str">
        <v>Comp 204</v>
      </c>
      <c r="O210" s="2" t="str">
        <v>Ventilador Azul</v>
      </c>
      <c r="P210" s="8" t="str">
        <v>U8-2VWS-OB6M</v>
      </c>
      <c r="Q210" s="4">
        <v>45622</v>
      </c>
      <c r="R210" s="109">
        <v>64.989999999999995</v>
      </c>
      <c r="S210" s="11">
        <f ca="1"/>
        <v>64.989999999999995</v>
      </c>
      <c r="T210" s="28">
        <f ca="1"/>
        <v>8.4486999999999988</v>
      </c>
      <c r="U210" s="11">
        <f ca="1"/>
        <v>56.54</v>
      </c>
      <c r="V210" s="11">
        <v>7.29</v>
      </c>
      <c r="W210" s="11">
        <f ca="1"/>
        <v>0.43</v>
      </c>
      <c r="X210" s="11">
        <f ca="1"/>
        <v>0.39877104377104378</v>
      </c>
      <c r="Y210" s="11">
        <v>0</v>
      </c>
      <c r="Z210" s="11">
        <f ca="1"/>
        <v>48.421228956228958</v>
      </c>
      <c r="AA210" s="11">
        <f ca="1"/>
        <v>24.210614478114479</v>
      </c>
      <c r="AB210" s="4">
        <f ca="1"/>
        <v>45629</v>
      </c>
      <c r="AC210" s="4">
        <v>45629</v>
      </c>
      <c r="AD210" s="9">
        <v>45637</v>
      </c>
      <c r="AE210" s="9">
        <v>45642</v>
      </c>
      <c r="AF210" s="4" t="str">
        <f t="shared" ca="1" si="3"/>
        <v>2024 12</v>
      </c>
      <c r="AG210" s="8" t="str" cm="1">
        <f t="array" ref="AG210">IFERROR(_xlfn.IFS('Banco de Dados'!#REF!="AG. COMPRA","Em processamento",'Banco de Dados'!#REF!="AG. RASTREIO","Em processamento",'Banco de Dados'!$AE210&lt;&gt;"-","Faturado",'Banco de Dados'!$AD210&lt;&gt;"-","Aguardando Pix",'Banco de Dados'!$AC210&lt;&gt;"-","Pendente"),"Aguardando Liberação")</f>
        <v>Aguardando Liberação</v>
      </c>
      <c r="AH210" s="5" t="str">
        <f>IF('Banco de Dados'!$F210="-",_xlfn.CONCAT(PROPER(TEXT(AK210,"aaaa"))," ",PROPER(TEXT(AK210,"mm"))),_xlfn.CONCAT(PROPER(TEXT(E210,"aaaa"))," ",PROPER(TEXT(E210,"mm"))))</f>
        <v>2024 11</v>
      </c>
      <c r="AI210" s="9" t="str">
        <f ca="1">IF('Banco de Dados'!$AK210&lt;&gt;"-","REEMBOLSO",IFERROR(_xlfn.XLOOKUP(G210,Follow[CODRASTREIO],Follow[STATUS]),"-"))</f>
        <v>ENTREGUE</v>
      </c>
      <c r="AJ210" s="9">
        <f ca="1">IF('Banco de Dados'!$AI210="ENTREGUE",_xlfn.XLOOKUP('Banco de Dados'!$G210,Follow[CODRASTREIO],Follow[DATAATUALIZAÇÃO]),"-")</f>
        <v>45607</v>
      </c>
      <c r="AK210" s="9" t="str">
        <f ca="1"/>
        <v>-</v>
      </c>
      <c r="AL210" s="35" t="str">
        <v>NÃO</v>
      </c>
      <c r="AM210" s="109" cm="1">
        <f t="array" aca="1" ref="AM210" ca="1">IF('Banco de Dados'!$AK210&lt;&gt;"-",_xlfn.IFS('Banco de Dados'!$A210="bv",IF('Banco de Dados'!$E210&lt;45641,ROUND(SUM('Banco de Dados'!$R210*_xlfn.XLOOKUP('Banco de Dados'!$P210,Sku!B:B,Sku!#REF!)*20%),2),ROUND(SUM('Banco de Dados'!$R210*_xlfn.XLOOKUP('Banco de Dados'!$P210,Sku!B:B,Sku!H:H)*20%),2)),'Banco de Dados'!$A210="GO",ROUND(_xlfn.XLOOKUP('Banco de Dados'!$P210,Sku!C:C,Sku!H:H),2),'Banco de Dados'!$A210="MEI",ROUND(_xlfn.XLOOKUP('Banco de Dados'!$P210,Sku!D:D,Sku!H:H),2)),0)</f>
        <v>0</v>
      </c>
      <c r="AN210" s="109">
        <f ca="1">IF('Banco de Dados'!$AK210&lt;&gt;"-",IF('Banco de Dados'!$F210&lt;&gt;"-",_xlfn.XLOOKUP(IFERROR(IFERROR(IFERROR(VALUE(SUBSTITUTE(MID(_xlfn.TEXTAFTER('Banco de Dados'!$F210,"Data do Pedido:
",1),1,10),"-","/")),VALUE(SUBSTITUTE(MID(_xlfn.TEXTAFTER('Banco de Dados'!$F210,"Order date:
",1),1,10),"-","/"))),VALUE(SUBSTITUTE(MID(_xlfn.TEXTAFTER('Banco de Dados'!$F210,"Fecha de pedido:
",1),1,10),"-","/"))),"-"),SMS!A:A,SMS!K:K),0),0)</f>
        <v>0</v>
      </c>
      <c r="AO210" s="109">
        <f ca="1">IF('Banco de Dados'!$AK210&lt;&gt;"-",IF('Banco de Dados'!$F210&lt;&gt;"-",IFERROR(_xlfn.XLOOKUP(_xlfn.CONCAT('Banco de Dados'!$A210,IFERROR(IFERROR(VALUE(SUBSTITUTE(MID(_xlfn.TEXTAFTER('Banco de Dados'!$F210,"Data do Pedido:
",1),1,10),"-","/")),VALUE(SUBSTITUTE(MID(_xlfn.TEXTAFTER('Banco de Dados'!$F210,"Order date:
",1),1,10),"-","/"))),0)),ProxyDD[Chave],ProxyDD[Valor por pedido]),PROXY!$P$2),0),0)</f>
        <v>0</v>
      </c>
      <c r="AP210" s="28">
        <f ca="1">IF('Banco de Dados'!$AK210&lt;&gt;"-",IF('Banco de Dados'!$AL210="NÃO",IFERROR(VALUE(SUBSTITUTE(_xlfn.TEXTAFTER('Banco de Dados'!$F210,"BRL ",1),".",",")),0),0),0)</f>
        <v>0</v>
      </c>
      <c r="AQ210" s="28">
        <f ca="1">SUM('Banco de Dados'!$AM210:$AP210)</f>
        <v>0</v>
      </c>
      <c r="AR210" s="8"/>
      <c r="AS210" s="8"/>
      <c r="AY210" s="8"/>
    </row>
    <row r="211" spans="1:51">
      <c r="A211" s="5" t="str">
        <v>BV</v>
      </c>
      <c r="B211" s="5" t="str">
        <f ca="1"/>
        <v>BV45597</v>
      </c>
      <c r="C211" s="8" t="str">
        <v>Pedido 208</v>
      </c>
      <c r="D211" s="9">
        <v>45597</v>
      </c>
      <c r="E211" s="9">
        <v>45597</v>
      </c>
      <c r="F211" s="8" t="str">
        <v>PedidoF201</v>
      </c>
      <c r="G211" s="2" t="str">
        <v>CódRastreio201</v>
      </c>
      <c r="H211" s="5">
        <v>1</v>
      </c>
      <c r="I211" s="182" t="str">
        <v>CPF 205</v>
      </c>
      <c r="J211" s="2" t="str">
        <v>Nome 205</v>
      </c>
      <c r="K211" s="8" t="str">
        <v>Tel 205</v>
      </c>
      <c r="L211" s="2" t="str">
        <v>Cep 205</v>
      </c>
      <c r="M211" s="2" t="str">
        <v>Rua 205</v>
      </c>
      <c r="N211" s="2" t="str">
        <v>Comp 205</v>
      </c>
      <c r="O211" s="2" t="str">
        <v>Adaptador Bluetooph</v>
      </c>
      <c r="P211" s="8" t="str">
        <v>YA-AG3H-SPUK</v>
      </c>
      <c r="Q211" s="4">
        <v>45615</v>
      </c>
      <c r="R211" s="109">
        <v>17.989999999999998</v>
      </c>
      <c r="S211" s="11">
        <f ca="1"/>
        <v>17.989999999999998</v>
      </c>
      <c r="T211" s="28">
        <f ca="1"/>
        <v>2.1587999999999998</v>
      </c>
      <c r="U211" s="11">
        <f ca="1"/>
        <v>15.83</v>
      </c>
      <c r="V211" s="11">
        <v>4.99</v>
      </c>
      <c r="W211" s="11">
        <f ca="1"/>
        <v>0.43</v>
      </c>
      <c r="X211" s="11">
        <f ca="1"/>
        <v>0.39877104377104378</v>
      </c>
      <c r="Y211" s="11">
        <v>0</v>
      </c>
      <c r="Z211" s="11">
        <f ca="1"/>
        <v>10.011228956228956</v>
      </c>
      <c r="AA211" s="11">
        <f ca="1"/>
        <v>5.0056144781144782</v>
      </c>
      <c r="AB211" s="4">
        <f ca="1"/>
        <v>45622</v>
      </c>
      <c r="AC211" s="4">
        <v>45622</v>
      </c>
      <c r="AD211" s="9">
        <v>45625</v>
      </c>
      <c r="AE211" s="9">
        <v>45625</v>
      </c>
      <c r="AF211" s="4" t="str">
        <f t="shared" ca="1" si="3"/>
        <v>2024 11</v>
      </c>
      <c r="AG211" s="8" t="str" cm="1">
        <f t="array" ref="AG211">IFERROR(_xlfn.IFS('Banco de Dados'!#REF!="AG. COMPRA","Em processamento",'Banco de Dados'!#REF!="AG. RASTREIO","Em processamento",'Banco de Dados'!$AE211&lt;&gt;"-","Faturado",'Banco de Dados'!$AD211&lt;&gt;"-","Aguardando Pix",'Banco de Dados'!$AC211&lt;&gt;"-","Pendente"),"Aguardando Liberação")</f>
        <v>Aguardando Liberação</v>
      </c>
      <c r="AH211" s="5" t="str">
        <f>IF('Banco de Dados'!$F211="-",_xlfn.CONCAT(PROPER(TEXT(AK211,"aaaa"))," ",PROPER(TEXT(AK211,"mm"))),_xlfn.CONCAT(PROPER(TEXT(E211,"aaaa"))," ",PROPER(TEXT(E211,"mm"))))</f>
        <v>2024 11</v>
      </c>
      <c r="AI211" s="9" t="str">
        <f ca="1">IF('Banco de Dados'!$AK211&lt;&gt;"-","REEMBOLSO",IFERROR(_xlfn.XLOOKUP(G211,Follow[CODRASTREIO],Follow[STATUS]),"-"))</f>
        <v>ENTREGUE</v>
      </c>
      <c r="AJ211" s="9">
        <f ca="1">IF('Banco de Dados'!$AI211="ENTREGUE",_xlfn.XLOOKUP('Banco de Dados'!$G211,Follow[CODRASTREIO],Follow[DATAATUALIZAÇÃO]),"-")</f>
        <v>45610</v>
      </c>
      <c r="AK211" s="9" t="str">
        <f ca="1"/>
        <v>-</v>
      </c>
      <c r="AL211" s="35" t="str">
        <v>NÃO</v>
      </c>
      <c r="AM211" s="109" cm="1">
        <f t="array" aca="1" ref="AM211" ca="1">IF('Banco de Dados'!$AK211&lt;&gt;"-",_xlfn.IFS('Banco de Dados'!$A211="bv",IF('Banco de Dados'!$E211&lt;45641,ROUND(SUM('Banco de Dados'!$R211*_xlfn.XLOOKUP('Banco de Dados'!$P211,Sku!B:B,Sku!#REF!)*20%),2),ROUND(SUM('Banco de Dados'!$R211*_xlfn.XLOOKUP('Banco de Dados'!$P211,Sku!B:B,Sku!H:H)*20%),2)),'Banco de Dados'!$A211="GO",ROUND(_xlfn.XLOOKUP('Banco de Dados'!$P211,Sku!C:C,Sku!H:H),2),'Banco de Dados'!$A211="MEI",ROUND(_xlfn.XLOOKUP('Banco de Dados'!$P211,Sku!D:D,Sku!H:H),2)),0)</f>
        <v>0</v>
      </c>
      <c r="AN211" s="109">
        <f ca="1">IF('Banco de Dados'!$AK211&lt;&gt;"-",IF('Banco de Dados'!$F211&lt;&gt;"-",_xlfn.XLOOKUP(IFERROR(IFERROR(IFERROR(VALUE(SUBSTITUTE(MID(_xlfn.TEXTAFTER('Banco de Dados'!$F211,"Data do Pedido:
",1),1,10),"-","/")),VALUE(SUBSTITUTE(MID(_xlfn.TEXTAFTER('Banco de Dados'!$F211,"Order date:
",1),1,10),"-","/"))),VALUE(SUBSTITUTE(MID(_xlfn.TEXTAFTER('Banco de Dados'!$F211,"Fecha de pedido:
",1),1,10),"-","/"))),"-"),SMS!A:A,SMS!K:K),0),0)</f>
        <v>0</v>
      </c>
      <c r="AO211" s="109">
        <f ca="1">IF('Banco de Dados'!$AK211&lt;&gt;"-",IF('Banco de Dados'!$F211&lt;&gt;"-",IFERROR(_xlfn.XLOOKUP(_xlfn.CONCAT('Banco de Dados'!$A211,IFERROR(IFERROR(VALUE(SUBSTITUTE(MID(_xlfn.TEXTAFTER('Banco de Dados'!$F211,"Data do Pedido:
",1),1,10),"-","/")),VALUE(SUBSTITUTE(MID(_xlfn.TEXTAFTER('Banco de Dados'!$F211,"Order date:
",1),1,10),"-","/"))),0)),ProxyDD[Chave],ProxyDD[Valor por pedido]),PROXY!$P$2),0),0)</f>
        <v>0</v>
      </c>
      <c r="AP211" s="28">
        <f ca="1">IF('Banco de Dados'!$AK211&lt;&gt;"-",IF('Banco de Dados'!$AL211="NÃO",IFERROR(VALUE(SUBSTITUTE(_xlfn.TEXTAFTER('Banco de Dados'!$F211,"BRL ",1),".",",")),0),0),0)</f>
        <v>0</v>
      </c>
      <c r="AQ211" s="28">
        <f ca="1">SUM('Banco de Dados'!$AM211:$AP211)</f>
        <v>0</v>
      </c>
      <c r="AR211" s="8"/>
      <c r="AS211" s="8"/>
      <c r="AY211" s="8"/>
    </row>
    <row r="212" spans="1:51">
      <c r="A212" s="5" t="str">
        <v>BV</v>
      </c>
      <c r="B212" s="5" t="str">
        <f ca="1"/>
        <v>BV45597</v>
      </c>
      <c r="C212" s="8" t="str">
        <v>Pedido 209</v>
      </c>
      <c r="D212" s="9">
        <v>45597</v>
      </c>
      <c r="E212" s="9">
        <v>45597</v>
      </c>
      <c r="F212" s="8" t="str">
        <v>PedidoF202</v>
      </c>
      <c r="G212" s="2" t="str">
        <v>CódRastreio202</v>
      </c>
      <c r="H212" s="5">
        <v>1</v>
      </c>
      <c r="I212" s="181" t="str">
        <v>CPF 206</v>
      </c>
      <c r="J212" s="2" t="str">
        <v>Nome 206</v>
      </c>
      <c r="K212" s="8" t="str">
        <v>Tel 206</v>
      </c>
      <c r="L212" s="2" t="str">
        <v>Cep 206</v>
      </c>
      <c r="M212" s="2" t="str">
        <v>Rua 206</v>
      </c>
      <c r="N212" s="2" t="str">
        <v>Comp 206</v>
      </c>
      <c r="O212" s="2" t="str">
        <v>Adaptador Bluetooph</v>
      </c>
      <c r="P212" s="8" t="str">
        <v>YA-AG3H-SPUK</v>
      </c>
      <c r="Q212" s="4">
        <v>45610</v>
      </c>
      <c r="R212" s="109">
        <v>17.989999999999998</v>
      </c>
      <c r="S212" s="11">
        <f ca="1"/>
        <v>17.989999999999998</v>
      </c>
      <c r="T212" s="28">
        <f ca="1"/>
        <v>2.1587999999999998</v>
      </c>
      <c r="U212" s="11">
        <f ca="1"/>
        <v>15.83</v>
      </c>
      <c r="V212" s="11">
        <v>4.99</v>
      </c>
      <c r="W212" s="11">
        <f ca="1"/>
        <v>0.43</v>
      </c>
      <c r="X212" s="11">
        <f ca="1"/>
        <v>0.39877104377104378</v>
      </c>
      <c r="Y212" s="11">
        <v>0</v>
      </c>
      <c r="Z212" s="11">
        <f ca="1"/>
        <v>10.011228956228956</v>
      </c>
      <c r="AA212" s="11">
        <f ca="1"/>
        <v>5.0056144781144782</v>
      </c>
      <c r="AB212" s="4">
        <f ca="1"/>
        <v>45617</v>
      </c>
      <c r="AC212" s="4">
        <v>45617</v>
      </c>
      <c r="AD212" s="9">
        <v>45617</v>
      </c>
      <c r="AE212" s="9">
        <v>45618</v>
      </c>
      <c r="AF212" s="4" t="str">
        <f t="shared" ca="1" si="3"/>
        <v>2024 11</v>
      </c>
      <c r="AG212" s="8" t="str" cm="1">
        <f t="array" ref="AG212">IFERROR(_xlfn.IFS('Banco de Dados'!#REF!="AG. COMPRA","Em processamento",'Banco de Dados'!#REF!="AG. RASTREIO","Em processamento",'Banco de Dados'!$AE212&lt;&gt;"-","Faturado",'Banco de Dados'!$AD212&lt;&gt;"-","Aguardando Pix",'Banco de Dados'!$AC212&lt;&gt;"-","Pendente"),"Aguardando Liberação")</f>
        <v>Aguardando Liberação</v>
      </c>
      <c r="AH212" s="5" t="str">
        <f>IF('Banco de Dados'!$F212="-",_xlfn.CONCAT(PROPER(TEXT(AK212,"aaaa"))," ",PROPER(TEXT(AK212,"mm"))),_xlfn.CONCAT(PROPER(TEXT(E212,"aaaa"))," ",PROPER(TEXT(E212,"mm"))))</f>
        <v>2024 11</v>
      </c>
      <c r="AI212" s="9" t="str">
        <f ca="1">IF('Banco de Dados'!$AK212&lt;&gt;"-","REEMBOLSO",IFERROR(_xlfn.XLOOKUP(G212,Follow[CODRASTREIO],Follow[STATUS]),"-"))</f>
        <v>ENTREGUE</v>
      </c>
      <c r="AJ212" s="9">
        <f ca="1">IF('Banco de Dados'!$AI212="ENTREGUE",_xlfn.XLOOKUP('Banco de Dados'!$G212,Follow[CODRASTREIO],Follow[DATAATUALIZAÇÃO]),"-")</f>
        <v>45600</v>
      </c>
      <c r="AK212" s="9" t="str">
        <f ca="1"/>
        <v>-</v>
      </c>
      <c r="AL212" s="35" t="str">
        <v>NÃO</v>
      </c>
      <c r="AM212" s="109" cm="1">
        <f t="array" aca="1" ref="AM212" ca="1">IF('Banco de Dados'!$AK212&lt;&gt;"-",_xlfn.IFS('Banco de Dados'!$A212="bv",IF('Banco de Dados'!$E212&lt;45641,ROUND(SUM('Banco de Dados'!$R212*_xlfn.XLOOKUP('Banco de Dados'!$P212,Sku!B:B,Sku!#REF!)*20%),2),ROUND(SUM('Banco de Dados'!$R212*_xlfn.XLOOKUP('Banco de Dados'!$P212,Sku!B:B,Sku!H:H)*20%),2)),'Banco de Dados'!$A212="GO",ROUND(_xlfn.XLOOKUP('Banco de Dados'!$P212,Sku!C:C,Sku!H:H),2),'Banco de Dados'!$A212="MEI",ROUND(_xlfn.XLOOKUP('Banco de Dados'!$P212,Sku!D:D,Sku!H:H),2)),0)</f>
        <v>0</v>
      </c>
      <c r="AN212" s="109">
        <f ca="1">IF('Banco de Dados'!$AK212&lt;&gt;"-",IF('Banco de Dados'!$F212&lt;&gt;"-",_xlfn.XLOOKUP(IFERROR(IFERROR(IFERROR(VALUE(SUBSTITUTE(MID(_xlfn.TEXTAFTER('Banco de Dados'!$F212,"Data do Pedido:
",1),1,10),"-","/")),VALUE(SUBSTITUTE(MID(_xlfn.TEXTAFTER('Banco de Dados'!$F212,"Order date:
",1),1,10),"-","/"))),VALUE(SUBSTITUTE(MID(_xlfn.TEXTAFTER('Banco de Dados'!$F212,"Fecha de pedido:
",1),1,10),"-","/"))),"-"),SMS!A:A,SMS!K:K),0),0)</f>
        <v>0</v>
      </c>
      <c r="AO212" s="109">
        <f ca="1">IF('Banco de Dados'!$AK212&lt;&gt;"-",IF('Banco de Dados'!$F212&lt;&gt;"-",IFERROR(_xlfn.XLOOKUP(_xlfn.CONCAT('Banco de Dados'!$A212,IFERROR(IFERROR(VALUE(SUBSTITUTE(MID(_xlfn.TEXTAFTER('Banco de Dados'!$F212,"Data do Pedido:
",1),1,10),"-","/")),VALUE(SUBSTITUTE(MID(_xlfn.TEXTAFTER('Banco de Dados'!$F212,"Order date:
",1),1,10),"-","/"))),0)),ProxyDD[Chave],ProxyDD[Valor por pedido]),PROXY!$P$2),0),0)</f>
        <v>0</v>
      </c>
      <c r="AP212" s="28">
        <f ca="1">IF('Banco de Dados'!$AK212&lt;&gt;"-",IF('Banco de Dados'!$AL212="NÃO",IFERROR(VALUE(SUBSTITUTE(_xlfn.TEXTAFTER('Banco de Dados'!$F212,"BRL ",1),".",",")),0),0),0)</f>
        <v>0</v>
      </c>
      <c r="AQ212" s="28">
        <f ca="1">SUM('Banco de Dados'!$AM212:$AP212)</f>
        <v>0</v>
      </c>
      <c r="AR212" s="8"/>
      <c r="AS212" s="8"/>
      <c r="AY212" s="8"/>
    </row>
    <row r="213" spans="1:51">
      <c r="A213" s="5" t="str">
        <v>BV</v>
      </c>
      <c r="B213" s="5" t="str">
        <f ca="1"/>
        <v>BV45597</v>
      </c>
      <c r="C213" s="8" t="str">
        <v>Pedido 210</v>
      </c>
      <c r="D213" s="9">
        <v>45597</v>
      </c>
      <c r="E213" s="9">
        <v>45597</v>
      </c>
      <c r="F213" s="8" t="str">
        <v>PedidoF203</v>
      </c>
      <c r="G213" s="2" t="str">
        <v>CódRastreio203</v>
      </c>
      <c r="H213" s="5">
        <v>1</v>
      </c>
      <c r="I213" s="182" t="str">
        <v>CPF 207</v>
      </c>
      <c r="J213" s="2" t="str">
        <v>Nome 207</v>
      </c>
      <c r="K213" s="8" t="str">
        <v>Tel 207</v>
      </c>
      <c r="L213" s="2" t="str">
        <v>Cep 207</v>
      </c>
      <c r="M213" s="2" t="str">
        <v>Rua 207</v>
      </c>
      <c r="N213" s="2" t="str">
        <v>Comp 207</v>
      </c>
      <c r="O213" s="2" t="str">
        <v>Balança</v>
      </c>
      <c r="P213" s="8" t="str">
        <v>P4-K63S-8KOM</v>
      </c>
      <c r="Q213" s="4">
        <v>45622</v>
      </c>
      <c r="R213" s="109">
        <v>17.5</v>
      </c>
      <c r="S213" s="11">
        <f ca="1"/>
        <v>17.5</v>
      </c>
      <c r="T213" s="28">
        <f ca="1"/>
        <v>2.2749999999999999</v>
      </c>
      <c r="U213" s="11">
        <f ca="1"/>
        <v>15.23</v>
      </c>
      <c r="V213" s="11">
        <v>10.49</v>
      </c>
      <c r="W213" s="11">
        <f ca="1"/>
        <v>0.43</v>
      </c>
      <c r="X213" s="11">
        <f ca="1"/>
        <v>0.39877104377104378</v>
      </c>
      <c r="Y213" s="11">
        <v>0</v>
      </c>
      <c r="Z213" s="11">
        <f ca="1"/>
        <v>3.9112289562289568</v>
      </c>
      <c r="AA213" s="11">
        <f ca="1"/>
        <v>1.9556144781144784</v>
      </c>
      <c r="AB213" s="4">
        <f ca="1"/>
        <v>45629</v>
      </c>
      <c r="AC213" s="4">
        <v>45629</v>
      </c>
      <c r="AD213" s="9">
        <v>45637</v>
      </c>
      <c r="AE213" s="9">
        <v>45642</v>
      </c>
      <c r="AF213" s="4" t="str">
        <f t="shared" ca="1" si="3"/>
        <v>2024 12</v>
      </c>
      <c r="AG213" s="8" t="str" cm="1">
        <f t="array" ref="AG213">IFERROR(_xlfn.IFS('Banco de Dados'!#REF!="AG. COMPRA","Em processamento",'Banco de Dados'!#REF!="AG. RASTREIO","Em processamento",'Banco de Dados'!$AE213&lt;&gt;"-","Faturado",'Banco de Dados'!$AD213&lt;&gt;"-","Aguardando Pix",'Banco de Dados'!$AC213&lt;&gt;"-","Pendente"),"Aguardando Liberação")</f>
        <v>Aguardando Liberação</v>
      </c>
      <c r="AH213" s="5" t="str">
        <f>IF('Banco de Dados'!$F213="-",_xlfn.CONCAT(PROPER(TEXT(AK213,"aaaa"))," ",PROPER(TEXT(AK213,"mm"))),_xlfn.CONCAT(PROPER(TEXT(E213,"aaaa"))," ",PROPER(TEXT(E213,"mm"))))</f>
        <v>2024 11</v>
      </c>
      <c r="AI213" s="9" t="str">
        <f ca="1">IF('Banco de Dados'!$AK213&lt;&gt;"-","REEMBOLSO",IFERROR(_xlfn.XLOOKUP(G213,Follow[CODRASTREIO],Follow[STATUS]),"-"))</f>
        <v>ENTREGUE</v>
      </c>
      <c r="AJ213" s="9">
        <f ca="1">IF('Banco de Dados'!$AI213="ENTREGUE",_xlfn.XLOOKUP('Banco de Dados'!$G213,Follow[CODRASTREIO],Follow[DATAATUALIZAÇÃO]),"-")</f>
        <v>45608</v>
      </c>
      <c r="AK213" s="9" t="str">
        <f ca="1"/>
        <v>-</v>
      </c>
      <c r="AL213" s="35" t="str">
        <v>NÃO</v>
      </c>
      <c r="AM213" s="109" cm="1">
        <f t="array" aca="1" ref="AM213" ca="1">IF('Banco de Dados'!$AK213&lt;&gt;"-",_xlfn.IFS('Banco de Dados'!$A213="bv",IF('Banco de Dados'!$E213&lt;45641,ROUND(SUM('Banco de Dados'!$R213*_xlfn.XLOOKUP('Banco de Dados'!$P213,Sku!B:B,Sku!#REF!)*20%),2),ROUND(SUM('Banco de Dados'!$R213*_xlfn.XLOOKUP('Banco de Dados'!$P213,Sku!B:B,Sku!H:H)*20%),2)),'Banco de Dados'!$A213="GO",ROUND(_xlfn.XLOOKUP('Banco de Dados'!$P213,Sku!C:C,Sku!H:H),2),'Banco de Dados'!$A213="MEI",ROUND(_xlfn.XLOOKUP('Banco de Dados'!$P213,Sku!D:D,Sku!H:H),2)),0)</f>
        <v>0</v>
      </c>
      <c r="AN213" s="109">
        <f ca="1">IF('Banco de Dados'!$AK213&lt;&gt;"-",IF('Banco de Dados'!$F213&lt;&gt;"-",_xlfn.XLOOKUP(IFERROR(IFERROR(IFERROR(VALUE(SUBSTITUTE(MID(_xlfn.TEXTAFTER('Banco de Dados'!$F213,"Data do Pedido:
",1),1,10),"-","/")),VALUE(SUBSTITUTE(MID(_xlfn.TEXTAFTER('Banco de Dados'!$F213,"Order date:
",1),1,10),"-","/"))),VALUE(SUBSTITUTE(MID(_xlfn.TEXTAFTER('Banco de Dados'!$F213,"Fecha de pedido:
",1),1,10),"-","/"))),"-"),SMS!A:A,SMS!K:K),0),0)</f>
        <v>0</v>
      </c>
      <c r="AO213" s="109">
        <f ca="1">IF('Banco de Dados'!$AK213&lt;&gt;"-",IF('Banco de Dados'!$F213&lt;&gt;"-",IFERROR(_xlfn.XLOOKUP(_xlfn.CONCAT('Banco de Dados'!$A213,IFERROR(IFERROR(VALUE(SUBSTITUTE(MID(_xlfn.TEXTAFTER('Banco de Dados'!$F213,"Data do Pedido:
",1),1,10),"-","/")),VALUE(SUBSTITUTE(MID(_xlfn.TEXTAFTER('Banco de Dados'!$F213,"Order date:
",1),1,10),"-","/"))),0)),ProxyDD[Chave],ProxyDD[Valor por pedido]),PROXY!$P$2),0),0)</f>
        <v>0</v>
      </c>
      <c r="AP213" s="28">
        <f ca="1">IF('Banco de Dados'!$AK213&lt;&gt;"-",IF('Banco de Dados'!$AL213="NÃO",IFERROR(VALUE(SUBSTITUTE(_xlfn.TEXTAFTER('Banco de Dados'!$F213,"BRL ",1),".",",")),0),0),0)</f>
        <v>0</v>
      </c>
      <c r="AQ213" s="28">
        <f ca="1">SUM('Banco de Dados'!$AM213:$AP213)</f>
        <v>0</v>
      </c>
      <c r="AR213" s="8"/>
      <c r="AS213" s="8"/>
      <c r="AY213" s="8"/>
    </row>
    <row r="214" spans="1:51">
      <c r="A214" s="5" t="str">
        <v>BV</v>
      </c>
      <c r="B214" s="5" t="str">
        <f ca="1"/>
        <v>BV45598</v>
      </c>
      <c r="C214" s="8" t="str">
        <v>Pedido 211</v>
      </c>
      <c r="D214" s="9">
        <v>45598</v>
      </c>
      <c r="E214" s="9">
        <v>45598</v>
      </c>
      <c r="F214" s="8" t="str">
        <v>PedidoF204</v>
      </c>
      <c r="G214" s="2" t="str">
        <v>CódRastreio204</v>
      </c>
      <c r="H214" s="5">
        <v>1</v>
      </c>
      <c r="I214" s="182" t="str">
        <v>CPF 208</v>
      </c>
      <c r="J214" s="2" t="str">
        <v>Nome 208</v>
      </c>
      <c r="K214" s="8" t="str">
        <v>Tel 208</v>
      </c>
      <c r="L214" s="2" t="str">
        <v>Cep 208</v>
      </c>
      <c r="M214" s="2" t="str">
        <v>Rua 208</v>
      </c>
      <c r="N214" s="2" t="str">
        <v>Comp 208</v>
      </c>
      <c r="O214" s="2" t="str">
        <v>Bomba d'agua</v>
      </c>
      <c r="P214" s="8" t="str">
        <v>DJ-RO5O-43GF</v>
      </c>
      <c r="Q214" s="4">
        <v>45622</v>
      </c>
      <c r="R214" s="109">
        <v>16.5</v>
      </c>
      <c r="S214" s="11">
        <f ca="1"/>
        <v>16.5</v>
      </c>
      <c r="T214" s="28">
        <f ca="1"/>
        <v>2.31</v>
      </c>
      <c r="U214" s="11">
        <f ca="1"/>
        <v>14.19</v>
      </c>
      <c r="V214" s="11">
        <v>4.99</v>
      </c>
      <c r="W214" s="11">
        <f ca="1"/>
        <v>0.36</v>
      </c>
      <c r="X214" s="11">
        <f ca="1"/>
        <v>0.39877104377104378</v>
      </c>
      <c r="Y214" s="11">
        <v>0</v>
      </c>
      <c r="Z214" s="11">
        <f ca="1"/>
        <v>8.4412289562289544</v>
      </c>
      <c r="AA214" s="11">
        <f ca="1"/>
        <v>4.2206144781144772</v>
      </c>
      <c r="AB214" s="4">
        <f ca="1"/>
        <v>45629</v>
      </c>
      <c r="AC214" s="4">
        <v>45629</v>
      </c>
      <c r="AD214" s="9">
        <v>45637</v>
      </c>
      <c r="AE214" s="9">
        <v>45642</v>
      </c>
      <c r="AF214" s="4" t="str">
        <f t="shared" ca="1" si="3"/>
        <v>2024 12</v>
      </c>
      <c r="AG214" s="8" t="str" cm="1">
        <f t="array" ref="AG214">IFERROR(_xlfn.IFS('Banco de Dados'!#REF!="AG. COMPRA","Em processamento",'Banco de Dados'!#REF!="AG. RASTREIO","Em processamento",'Banco de Dados'!$AE214&lt;&gt;"-","Faturado",'Banco de Dados'!$AD214&lt;&gt;"-","Aguardando Pix",'Banco de Dados'!$AC214&lt;&gt;"-","Pendente"),"Aguardando Liberação")</f>
        <v>Aguardando Liberação</v>
      </c>
      <c r="AH214" s="5" t="str">
        <f>IF('Banco de Dados'!$F214="-",_xlfn.CONCAT(PROPER(TEXT(AK214,"aaaa"))," ",PROPER(TEXT(AK214,"mm"))),_xlfn.CONCAT(PROPER(TEXT(E214,"aaaa"))," ",PROPER(TEXT(E214,"mm"))))</f>
        <v>2024 11</v>
      </c>
      <c r="AI214" s="9" t="str">
        <f ca="1">IF('Banco de Dados'!$AK214&lt;&gt;"-","REEMBOLSO",IFERROR(_xlfn.XLOOKUP(G214,Follow[CODRASTREIO],Follow[STATUS]),"-"))</f>
        <v>ENTREGUE</v>
      </c>
      <c r="AJ214" s="9">
        <f ca="1">IF('Banco de Dados'!$AI214="ENTREGUE",_xlfn.XLOOKUP('Banco de Dados'!$G214,Follow[CODRASTREIO],Follow[DATAATUALIZAÇÃO]),"-")</f>
        <v>45607</v>
      </c>
      <c r="AK214" s="9" t="str">
        <f ca="1"/>
        <v>-</v>
      </c>
      <c r="AL214" s="35" t="str">
        <v>NÃO</v>
      </c>
      <c r="AM214" s="109" cm="1">
        <f t="array" aca="1" ref="AM214" ca="1">IF('Banco de Dados'!$AK214&lt;&gt;"-",_xlfn.IFS('Banco de Dados'!$A214="bv",IF('Banco de Dados'!$E214&lt;45641,ROUND(SUM('Banco de Dados'!$R214*_xlfn.XLOOKUP('Banco de Dados'!$P214,Sku!B:B,Sku!#REF!)*20%),2),ROUND(SUM('Banco de Dados'!$R214*_xlfn.XLOOKUP('Banco de Dados'!$P214,Sku!B:B,Sku!H:H)*20%),2)),'Banco de Dados'!$A214="GO",ROUND(_xlfn.XLOOKUP('Banco de Dados'!$P214,Sku!C:C,Sku!H:H),2),'Banco de Dados'!$A214="MEI",ROUND(_xlfn.XLOOKUP('Banco de Dados'!$P214,Sku!D:D,Sku!H:H),2)),0)</f>
        <v>0</v>
      </c>
      <c r="AN214" s="109">
        <f ca="1">IF('Banco de Dados'!$AK214&lt;&gt;"-",IF('Banco de Dados'!$F214&lt;&gt;"-",_xlfn.XLOOKUP(IFERROR(IFERROR(IFERROR(VALUE(SUBSTITUTE(MID(_xlfn.TEXTAFTER('Banco de Dados'!$F214,"Data do Pedido:
",1),1,10),"-","/")),VALUE(SUBSTITUTE(MID(_xlfn.TEXTAFTER('Banco de Dados'!$F214,"Order date:
",1),1,10),"-","/"))),VALUE(SUBSTITUTE(MID(_xlfn.TEXTAFTER('Banco de Dados'!$F214,"Fecha de pedido:
",1),1,10),"-","/"))),"-"),SMS!A:A,SMS!K:K),0),0)</f>
        <v>0</v>
      </c>
      <c r="AO214" s="109">
        <f ca="1">IF('Banco de Dados'!$AK214&lt;&gt;"-",IF('Banco de Dados'!$F214&lt;&gt;"-",IFERROR(_xlfn.XLOOKUP(_xlfn.CONCAT('Banco de Dados'!$A214,IFERROR(IFERROR(VALUE(SUBSTITUTE(MID(_xlfn.TEXTAFTER('Banco de Dados'!$F214,"Data do Pedido:
",1),1,10),"-","/")),VALUE(SUBSTITUTE(MID(_xlfn.TEXTAFTER('Banco de Dados'!$F214,"Order date:
",1),1,10),"-","/"))),0)),ProxyDD[Chave],ProxyDD[Valor por pedido]),PROXY!$P$2),0),0)</f>
        <v>0</v>
      </c>
      <c r="AP214" s="28">
        <f ca="1">IF('Banco de Dados'!$AK214&lt;&gt;"-",IF('Banco de Dados'!$AL214="NÃO",IFERROR(VALUE(SUBSTITUTE(_xlfn.TEXTAFTER('Banco de Dados'!$F214,"BRL ",1),".",",")),0),0),0)</f>
        <v>0</v>
      </c>
      <c r="AQ214" s="28">
        <f ca="1">SUM('Banco de Dados'!$AM214:$AP214)</f>
        <v>0</v>
      </c>
      <c r="AR214" s="8"/>
      <c r="AS214" s="8"/>
      <c r="AY214" s="8"/>
    </row>
    <row r="215" spans="1:51">
      <c r="A215" s="5" t="str">
        <v>BV</v>
      </c>
      <c r="B215" s="5" t="str">
        <f ca="1"/>
        <v>BV45599</v>
      </c>
      <c r="C215" s="8" t="str">
        <v>Pedido 212</v>
      </c>
      <c r="D215" s="9">
        <v>45599</v>
      </c>
      <c r="E215" s="9">
        <v>45599</v>
      </c>
      <c r="F215" s="8" t="str">
        <v>PedidoF205</v>
      </c>
      <c r="G215" s="2" t="str">
        <v>CódRastreio205</v>
      </c>
      <c r="H215" s="5">
        <v>1</v>
      </c>
      <c r="I215" s="182" t="str">
        <v>CPF 209</v>
      </c>
      <c r="J215" s="2" t="str">
        <v>Nome 209</v>
      </c>
      <c r="K215" s="8" t="str">
        <v>Tel 209</v>
      </c>
      <c r="L215" s="2" t="str">
        <v>Cep 209</v>
      </c>
      <c r="M215" s="2" t="str">
        <v>Rua 209</v>
      </c>
      <c r="N215" s="2" t="str">
        <v>Comp 209</v>
      </c>
      <c r="O215" s="2" t="str">
        <v>Bomba d'agua</v>
      </c>
      <c r="P215" s="8" t="str">
        <v>DJ-RO5O-43GF</v>
      </c>
      <c r="Q215" s="4">
        <v>45626</v>
      </c>
      <c r="R215" s="109">
        <v>16.5</v>
      </c>
      <c r="S215" s="11">
        <f ca="1"/>
        <v>16.5</v>
      </c>
      <c r="T215" s="28">
        <f ca="1"/>
        <v>2.31</v>
      </c>
      <c r="U215" s="11">
        <f ca="1"/>
        <v>14.19</v>
      </c>
      <c r="V215" s="11">
        <v>4.99</v>
      </c>
      <c r="W215" s="11">
        <f ca="1"/>
        <v>0.43</v>
      </c>
      <c r="X215" s="11">
        <f ca="1"/>
        <v>0.39877104377104378</v>
      </c>
      <c r="Y215" s="11">
        <v>0</v>
      </c>
      <c r="Z215" s="11">
        <f ca="1"/>
        <v>8.3712289562289559</v>
      </c>
      <c r="AA215" s="11">
        <f ca="1"/>
        <v>4.185614478114478</v>
      </c>
      <c r="AB215" s="4">
        <f ca="1"/>
        <v>45633</v>
      </c>
      <c r="AC215" s="4">
        <v>45633</v>
      </c>
      <c r="AD215" s="9">
        <v>45637</v>
      </c>
      <c r="AE215" s="9">
        <v>45642</v>
      </c>
      <c r="AF215" s="4" t="str">
        <f t="shared" ca="1" si="3"/>
        <v>2024 12</v>
      </c>
      <c r="AG215" s="8" t="str" cm="1">
        <f t="array" ref="AG215">IFERROR(_xlfn.IFS('Banco de Dados'!#REF!="AG. COMPRA","Em processamento",'Banco de Dados'!#REF!="AG. RASTREIO","Em processamento",'Banco de Dados'!$AE215&lt;&gt;"-","Faturado",'Banco de Dados'!$AD215&lt;&gt;"-","Aguardando Pix",'Banco de Dados'!$AC215&lt;&gt;"-","Pendente"),"Aguardando Liberação")</f>
        <v>Aguardando Liberação</v>
      </c>
      <c r="AH215" s="5" t="str">
        <f>IF('Banco de Dados'!$F215="-",_xlfn.CONCAT(PROPER(TEXT(AK215,"aaaa"))," ",PROPER(TEXT(AK215,"mm"))),_xlfn.CONCAT(PROPER(TEXT(E215,"aaaa"))," ",PROPER(TEXT(E215,"mm"))))</f>
        <v>2024 11</v>
      </c>
      <c r="AI215" s="9" t="str">
        <f ca="1">IF('Banco de Dados'!$AK215&lt;&gt;"-","REEMBOLSO",IFERROR(_xlfn.XLOOKUP(G215,Follow[CODRASTREIO],Follow[STATUS]),"-"))</f>
        <v>ENTREGUE</v>
      </c>
      <c r="AJ215" s="9">
        <f ca="1">IF('Banco de Dados'!$AI215="ENTREGUE",_xlfn.XLOOKUP('Banco de Dados'!$G215,Follow[CODRASTREIO],Follow[DATAATUALIZAÇÃO]),"-")</f>
        <v>45609</v>
      </c>
      <c r="AK215" s="9" t="str">
        <f ca="1"/>
        <v>-</v>
      </c>
      <c r="AL215" s="35" t="str">
        <v>NÃO</v>
      </c>
      <c r="AM215" s="109" cm="1">
        <f t="array" aca="1" ref="AM215" ca="1">IF('Banco de Dados'!$AK215&lt;&gt;"-",_xlfn.IFS('Banco de Dados'!$A215="bv",IF('Banco de Dados'!$E215&lt;45641,ROUND(SUM('Banco de Dados'!$R215*_xlfn.XLOOKUP('Banco de Dados'!$P215,Sku!B:B,Sku!#REF!)*20%),2),ROUND(SUM('Banco de Dados'!$R215*_xlfn.XLOOKUP('Banco de Dados'!$P215,Sku!B:B,Sku!H:H)*20%),2)),'Banco de Dados'!$A215="GO",ROUND(_xlfn.XLOOKUP('Banco de Dados'!$P215,Sku!C:C,Sku!H:H),2),'Banco de Dados'!$A215="MEI",ROUND(_xlfn.XLOOKUP('Banco de Dados'!$P215,Sku!D:D,Sku!H:H),2)),0)</f>
        <v>0</v>
      </c>
      <c r="AN215" s="109">
        <f ca="1">IF('Banco de Dados'!$AK215&lt;&gt;"-",IF('Banco de Dados'!$F215&lt;&gt;"-",_xlfn.XLOOKUP(IFERROR(IFERROR(IFERROR(VALUE(SUBSTITUTE(MID(_xlfn.TEXTAFTER('Banco de Dados'!$F215,"Data do Pedido:
",1),1,10),"-","/")),VALUE(SUBSTITUTE(MID(_xlfn.TEXTAFTER('Banco de Dados'!$F215,"Order date:
",1),1,10),"-","/"))),VALUE(SUBSTITUTE(MID(_xlfn.TEXTAFTER('Banco de Dados'!$F215,"Fecha de pedido:
",1),1,10),"-","/"))),"-"),SMS!A:A,SMS!K:K),0),0)</f>
        <v>0</v>
      </c>
      <c r="AO215" s="109">
        <f ca="1">IF('Banco de Dados'!$AK215&lt;&gt;"-",IF('Banco de Dados'!$F215&lt;&gt;"-",IFERROR(_xlfn.XLOOKUP(_xlfn.CONCAT('Banco de Dados'!$A215,IFERROR(IFERROR(VALUE(SUBSTITUTE(MID(_xlfn.TEXTAFTER('Banco de Dados'!$F215,"Data do Pedido:
",1),1,10),"-","/")),VALUE(SUBSTITUTE(MID(_xlfn.TEXTAFTER('Banco de Dados'!$F215,"Order date:
",1),1,10),"-","/"))),0)),ProxyDD[Chave],ProxyDD[Valor por pedido]),PROXY!$P$2),0),0)</f>
        <v>0</v>
      </c>
      <c r="AP215" s="28">
        <f ca="1">IF('Banco de Dados'!$AK215&lt;&gt;"-",IF('Banco de Dados'!$AL215="NÃO",IFERROR(VALUE(SUBSTITUTE(_xlfn.TEXTAFTER('Banco de Dados'!$F215,"BRL ",1),".",",")),0),0),0)</f>
        <v>0</v>
      </c>
      <c r="AQ215" s="28">
        <f ca="1">SUM('Banco de Dados'!$AM215:$AP215)</f>
        <v>0</v>
      </c>
      <c r="AR215" s="8"/>
      <c r="AS215" s="8"/>
      <c r="AY215" s="8"/>
    </row>
    <row r="216" spans="1:51">
      <c r="A216" s="5" t="str">
        <v>BV</v>
      </c>
      <c r="B216" s="5" t="str">
        <f ca="1"/>
        <v>BV45597</v>
      </c>
      <c r="C216" s="8" t="str">
        <v>Pedido 213</v>
      </c>
      <c r="D216" s="9">
        <v>45597</v>
      </c>
      <c r="E216" s="9">
        <v>45597</v>
      </c>
      <c r="F216" s="8" t="str">
        <v>PedidoF206</v>
      </c>
      <c r="G216" s="2" t="str">
        <v>CódRastreio206</v>
      </c>
      <c r="H216" s="5">
        <v>1</v>
      </c>
      <c r="I216" s="182" t="str">
        <v>CPF 210</v>
      </c>
      <c r="J216" s="2" t="str">
        <v>Nome 210</v>
      </c>
      <c r="K216" s="8" t="str">
        <v>Tel 210</v>
      </c>
      <c r="L216" s="2" t="str">
        <v>Cep 210</v>
      </c>
      <c r="M216" s="2" t="str">
        <v>Rua 210</v>
      </c>
      <c r="N216" s="2" t="str">
        <v>Comp 210</v>
      </c>
      <c r="O216" s="2" t="str">
        <v>Balança</v>
      </c>
      <c r="P216" s="8" t="str">
        <v>P4-K63S-8KOM</v>
      </c>
      <c r="Q216" s="4">
        <v>45615</v>
      </c>
      <c r="R216" s="109">
        <v>17.5</v>
      </c>
      <c r="S216" s="11">
        <f ca="1"/>
        <v>17.5</v>
      </c>
      <c r="T216" s="28">
        <f ca="1"/>
        <v>2.2749999999999999</v>
      </c>
      <c r="U216" s="11">
        <f ca="1"/>
        <v>15.23</v>
      </c>
      <c r="V216" s="11">
        <v>11.73</v>
      </c>
      <c r="W216" s="11">
        <f ca="1"/>
        <v>0.43</v>
      </c>
      <c r="X216" s="11">
        <f ca="1"/>
        <v>0.39877104377104378</v>
      </c>
      <c r="Y216" s="11">
        <v>0</v>
      </c>
      <c r="Z216" s="11">
        <f ca="1"/>
        <v>2.6712289562289566</v>
      </c>
      <c r="AA216" s="11">
        <f ca="1"/>
        <v>1.3356144781144783</v>
      </c>
      <c r="AB216" s="4">
        <f ca="1"/>
        <v>45622</v>
      </c>
      <c r="AC216" s="4">
        <v>45622</v>
      </c>
      <c r="AD216" s="9">
        <v>45625</v>
      </c>
      <c r="AE216" s="9">
        <v>45625</v>
      </c>
      <c r="AF216" s="4" t="str">
        <f t="shared" ca="1" si="3"/>
        <v>2024 11</v>
      </c>
      <c r="AG216" s="8" t="str" cm="1">
        <f t="array" ref="AG216">IFERROR(_xlfn.IFS('Banco de Dados'!#REF!="AG. COMPRA","Em processamento",'Banco de Dados'!#REF!="AG. RASTREIO","Em processamento",'Banco de Dados'!$AE216&lt;&gt;"-","Faturado",'Banco de Dados'!$AD216&lt;&gt;"-","Aguardando Pix",'Banco de Dados'!$AC216&lt;&gt;"-","Pendente"),"Aguardando Liberação")</f>
        <v>Aguardando Liberação</v>
      </c>
      <c r="AH216" s="5" t="str">
        <f>IF('Banco de Dados'!$F216="-",_xlfn.CONCAT(PROPER(TEXT(AK216,"aaaa"))," ",PROPER(TEXT(AK216,"mm"))),_xlfn.CONCAT(PROPER(TEXT(E216,"aaaa"))," ",PROPER(TEXT(E216,"mm"))))</f>
        <v>2024 11</v>
      </c>
      <c r="AI216" s="9" t="str">
        <f ca="1">IF('Banco de Dados'!$AK216&lt;&gt;"-","REEMBOLSO",IFERROR(_xlfn.XLOOKUP(G216,Follow[CODRASTREIO],Follow[STATUS]),"-"))</f>
        <v>ENTREGUE</v>
      </c>
      <c r="AJ216" s="9">
        <f ca="1">IF('Banco de Dados'!$AI216="ENTREGUE",_xlfn.XLOOKUP('Banco de Dados'!$G216,Follow[CODRASTREIO],Follow[DATAATUALIZAÇÃO]),"-")</f>
        <v>45602</v>
      </c>
      <c r="AK216" s="9" t="str">
        <f ca="1"/>
        <v>-</v>
      </c>
      <c r="AL216" s="35" t="str">
        <v>NÃO</v>
      </c>
      <c r="AM216" s="109" cm="1">
        <f t="array" aca="1" ref="AM216" ca="1">IF('Banco de Dados'!$AK216&lt;&gt;"-",_xlfn.IFS('Banco de Dados'!$A216="bv",IF('Banco de Dados'!$E216&lt;45641,ROUND(SUM('Banco de Dados'!$R216*_xlfn.XLOOKUP('Banco de Dados'!$P216,Sku!B:B,Sku!#REF!)*20%),2),ROUND(SUM('Banco de Dados'!$R216*_xlfn.XLOOKUP('Banco de Dados'!$P216,Sku!B:B,Sku!H:H)*20%),2)),'Banco de Dados'!$A216="GO",ROUND(_xlfn.XLOOKUP('Banco de Dados'!$P216,Sku!C:C,Sku!H:H),2),'Banco de Dados'!$A216="MEI",ROUND(_xlfn.XLOOKUP('Banco de Dados'!$P216,Sku!D:D,Sku!H:H),2)),0)</f>
        <v>0</v>
      </c>
      <c r="AN216" s="109">
        <f ca="1">IF('Banco de Dados'!$AK216&lt;&gt;"-",IF('Banco de Dados'!$F216&lt;&gt;"-",_xlfn.XLOOKUP(IFERROR(IFERROR(IFERROR(VALUE(SUBSTITUTE(MID(_xlfn.TEXTAFTER('Banco de Dados'!$F216,"Data do Pedido:
",1),1,10),"-","/")),VALUE(SUBSTITUTE(MID(_xlfn.TEXTAFTER('Banco de Dados'!$F216,"Order date:
",1),1,10),"-","/"))),VALUE(SUBSTITUTE(MID(_xlfn.TEXTAFTER('Banco de Dados'!$F216,"Fecha de pedido:
",1),1,10),"-","/"))),"-"),SMS!A:A,SMS!K:K),0),0)</f>
        <v>0</v>
      </c>
      <c r="AO216" s="109">
        <f ca="1">IF('Banco de Dados'!$AK216&lt;&gt;"-",IF('Banco de Dados'!$F216&lt;&gt;"-",IFERROR(_xlfn.XLOOKUP(_xlfn.CONCAT('Banco de Dados'!$A216,IFERROR(IFERROR(VALUE(SUBSTITUTE(MID(_xlfn.TEXTAFTER('Banco de Dados'!$F216,"Data do Pedido:
",1),1,10),"-","/")),VALUE(SUBSTITUTE(MID(_xlfn.TEXTAFTER('Banco de Dados'!$F216,"Order date:
",1),1,10),"-","/"))),0)),ProxyDD[Chave],ProxyDD[Valor por pedido]),PROXY!$P$2),0),0)</f>
        <v>0</v>
      </c>
      <c r="AP216" s="28">
        <f ca="1">IF('Banco de Dados'!$AK216&lt;&gt;"-",IF('Banco de Dados'!$AL216="NÃO",IFERROR(VALUE(SUBSTITUTE(_xlfn.TEXTAFTER('Banco de Dados'!$F216,"BRL ",1),".",",")),0),0),0)</f>
        <v>0</v>
      </c>
      <c r="AQ216" s="28">
        <f ca="1">SUM('Banco de Dados'!$AM216:$AP216)</f>
        <v>0</v>
      </c>
      <c r="AR216" s="8"/>
      <c r="AS216" s="8"/>
      <c r="AY216" s="8"/>
    </row>
    <row r="217" spans="1:51">
      <c r="A217" s="5" t="str">
        <v>BV</v>
      </c>
      <c r="B217" s="5" t="str">
        <f ca="1"/>
        <v>BV45597</v>
      </c>
      <c r="C217" s="8" t="str">
        <v>Pedido 214</v>
      </c>
      <c r="D217" s="9">
        <v>45597</v>
      </c>
      <c r="E217" s="9">
        <v>45597</v>
      </c>
      <c r="F217" s="8" t="str">
        <v>PedidoF207</v>
      </c>
      <c r="G217" s="2" t="str">
        <v>CódRastreio207</v>
      </c>
      <c r="H217" s="5">
        <v>1</v>
      </c>
      <c r="I217" s="182" t="str">
        <v>CPF 211</v>
      </c>
      <c r="J217" s="2" t="str">
        <v>Nome 211</v>
      </c>
      <c r="K217" s="8" t="str">
        <v>Tel 211</v>
      </c>
      <c r="L217" s="2" t="str">
        <v>Cep 211</v>
      </c>
      <c r="M217" s="2" t="str">
        <v>Rua 211</v>
      </c>
      <c r="N217" s="2" t="str">
        <v>Comp 211</v>
      </c>
      <c r="O217" s="2" t="str">
        <v>Balança</v>
      </c>
      <c r="P217" s="8" t="str">
        <v>P4-K63S-8KOM</v>
      </c>
      <c r="Q217" s="4">
        <v>45622</v>
      </c>
      <c r="R217" s="109">
        <v>17.5</v>
      </c>
      <c r="S217" s="11">
        <f ca="1"/>
        <v>17.5</v>
      </c>
      <c r="T217" s="28">
        <f ca="1"/>
        <v>2.2749999999999999</v>
      </c>
      <c r="U217" s="11">
        <f ca="1"/>
        <v>15.23</v>
      </c>
      <c r="V217" s="11">
        <v>10.49</v>
      </c>
      <c r="W217" s="11">
        <f ca="1"/>
        <v>0.43</v>
      </c>
      <c r="X217" s="11">
        <f ca="1"/>
        <v>0.39877104377104378</v>
      </c>
      <c r="Y217" s="11">
        <v>0</v>
      </c>
      <c r="Z217" s="11">
        <f ca="1"/>
        <v>3.9112289562289568</v>
      </c>
      <c r="AA217" s="11">
        <f ca="1"/>
        <v>1.9556144781144784</v>
      </c>
      <c r="AB217" s="4">
        <f ca="1"/>
        <v>45629</v>
      </c>
      <c r="AC217" s="4">
        <v>45629</v>
      </c>
      <c r="AD217" s="9">
        <v>45637</v>
      </c>
      <c r="AE217" s="9">
        <v>45642</v>
      </c>
      <c r="AF217" s="4" t="str">
        <f t="shared" ca="1" si="3"/>
        <v>2024 12</v>
      </c>
      <c r="AG217" s="8" t="str" cm="1">
        <f t="array" ref="AG217">IFERROR(_xlfn.IFS('Banco de Dados'!#REF!="AG. COMPRA","Em processamento",'Banco de Dados'!#REF!="AG. RASTREIO","Em processamento",'Banco de Dados'!$AE217&lt;&gt;"-","Faturado",'Banco de Dados'!$AD217&lt;&gt;"-","Aguardando Pix",'Banco de Dados'!$AC217&lt;&gt;"-","Pendente"),"Aguardando Liberação")</f>
        <v>Aguardando Liberação</v>
      </c>
      <c r="AH217" s="5" t="str">
        <f>IF('Banco de Dados'!$F217="-",_xlfn.CONCAT(PROPER(TEXT(AK217,"aaaa"))," ",PROPER(TEXT(AK217,"mm"))),_xlfn.CONCAT(PROPER(TEXT(E217,"aaaa"))," ",PROPER(TEXT(E217,"mm"))))</f>
        <v>2024 11</v>
      </c>
      <c r="AI217" s="9" t="str">
        <f ca="1">IF('Banco de Dados'!$AK217&lt;&gt;"-","REEMBOLSO",IFERROR(_xlfn.XLOOKUP(G217,Follow[CODRASTREIO],Follow[STATUS]),"-"))</f>
        <v>ENTREGUE</v>
      </c>
      <c r="AJ217" s="9">
        <f ca="1">IF('Banco de Dados'!$AI217="ENTREGUE",_xlfn.XLOOKUP('Banco de Dados'!$G217,Follow[CODRASTREIO],Follow[DATAATUALIZAÇÃO]),"-")</f>
        <v>45612</v>
      </c>
      <c r="AK217" s="9" t="str">
        <f ca="1"/>
        <v>-</v>
      </c>
      <c r="AL217" s="35" t="str">
        <v>NÃO</v>
      </c>
      <c r="AM217" s="109" cm="1">
        <f t="array" aca="1" ref="AM217" ca="1">IF('Banco de Dados'!$AK217&lt;&gt;"-",_xlfn.IFS('Banco de Dados'!$A217="bv",IF('Banco de Dados'!$E217&lt;45641,ROUND(SUM('Banco de Dados'!$R217*_xlfn.XLOOKUP('Banco de Dados'!$P217,Sku!B:B,Sku!#REF!)*20%),2),ROUND(SUM('Banco de Dados'!$R217*_xlfn.XLOOKUP('Banco de Dados'!$P217,Sku!B:B,Sku!H:H)*20%),2)),'Banco de Dados'!$A217="GO",ROUND(_xlfn.XLOOKUP('Banco de Dados'!$P217,Sku!C:C,Sku!H:H),2),'Banco de Dados'!$A217="MEI",ROUND(_xlfn.XLOOKUP('Banco de Dados'!$P217,Sku!D:D,Sku!H:H),2)),0)</f>
        <v>0</v>
      </c>
      <c r="AN217" s="109">
        <f ca="1">IF('Banco de Dados'!$AK217&lt;&gt;"-",IF('Banco de Dados'!$F217&lt;&gt;"-",_xlfn.XLOOKUP(IFERROR(IFERROR(IFERROR(VALUE(SUBSTITUTE(MID(_xlfn.TEXTAFTER('Banco de Dados'!$F217,"Data do Pedido:
",1),1,10),"-","/")),VALUE(SUBSTITUTE(MID(_xlfn.TEXTAFTER('Banco de Dados'!$F217,"Order date:
",1),1,10),"-","/"))),VALUE(SUBSTITUTE(MID(_xlfn.TEXTAFTER('Banco de Dados'!$F217,"Fecha de pedido:
",1),1,10),"-","/"))),"-"),SMS!A:A,SMS!K:K),0),0)</f>
        <v>0</v>
      </c>
      <c r="AO217" s="109">
        <f ca="1">IF('Banco de Dados'!$AK217&lt;&gt;"-",IF('Banco de Dados'!$F217&lt;&gt;"-",IFERROR(_xlfn.XLOOKUP(_xlfn.CONCAT('Banco de Dados'!$A217,IFERROR(IFERROR(VALUE(SUBSTITUTE(MID(_xlfn.TEXTAFTER('Banco de Dados'!$F217,"Data do Pedido:
",1),1,10),"-","/")),VALUE(SUBSTITUTE(MID(_xlfn.TEXTAFTER('Banco de Dados'!$F217,"Order date:
",1),1,10),"-","/"))),0)),ProxyDD[Chave],ProxyDD[Valor por pedido]),PROXY!$P$2),0),0)</f>
        <v>0</v>
      </c>
      <c r="AP217" s="28">
        <f ca="1">IF('Banco de Dados'!$AK217&lt;&gt;"-",IF('Banco de Dados'!$AL217="NÃO",IFERROR(VALUE(SUBSTITUTE(_xlfn.TEXTAFTER('Banco de Dados'!$F217,"BRL ",1),".",",")),0),0),0)</f>
        <v>0</v>
      </c>
      <c r="AQ217" s="28">
        <f ca="1">SUM('Banco de Dados'!$AM217:$AP217)</f>
        <v>0</v>
      </c>
      <c r="AR217" s="8"/>
      <c r="AS217" s="8"/>
      <c r="AY217" s="8"/>
    </row>
    <row r="218" spans="1:51">
      <c r="A218" s="5" t="str">
        <v>BV</v>
      </c>
      <c r="B218" s="5" t="str">
        <f ca="1"/>
        <v>BV45597</v>
      </c>
      <c r="C218" s="8" t="str">
        <v>Pedido 215</v>
      </c>
      <c r="D218" s="9">
        <v>45597</v>
      </c>
      <c r="E218" s="9">
        <v>45597</v>
      </c>
      <c r="F218" s="8" t="str">
        <v>PedidoF208</v>
      </c>
      <c r="G218" s="2" t="str">
        <v>CódRastreio208</v>
      </c>
      <c r="H218" s="5">
        <v>1</v>
      </c>
      <c r="I218" s="182" t="str">
        <v>CPF 212</v>
      </c>
      <c r="J218" s="2" t="str">
        <v>Nome 212</v>
      </c>
      <c r="K218" s="8" t="str">
        <v>Tel 212</v>
      </c>
      <c r="L218" s="2" t="str">
        <v>Cep 212</v>
      </c>
      <c r="M218" s="2" t="str">
        <v>Rua 212</v>
      </c>
      <c r="N218" s="2" t="str">
        <v>Comp 212</v>
      </c>
      <c r="O218" s="2" t="str">
        <v>Bomba d'agua</v>
      </c>
      <c r="P218" s="8" t="str">
        <v>DJ-RO5O-43GF</v>
      </c>
      <c r="Q218" s="4">
        <v>45626</v>
      </c>
      <c r="R218" s="109">
        <v>16.5</v>
      </c>
      <c r="S218" s="11">
        <f ca="1"/>
        <v>16.5</v>
      </c>
      <c r="T218" s="28">
        <f ca="1"/>
        <v>2.31</v>
      </c>
      <c r="U218" s="11">
        <f ca="1"/>
        <v>14.19</v>
      </c>
      <c r="V218" s="11">
        <v>4.99</v>
      </c>
      <c r="W218" s="11">
        <f ca="1"/>
        <v>0.43</v>
      </c>
      <c r="X218" s="11">
        <f ca="1"/>
        <v>0.39877104377104378</v>
      </c>
      <c r="Y218" s="11">
        <v>0</v>
      </c>
      <c r="Z218" s="11">
        <f ca="1"/>
        <v>8.3712289562289559</v>
      </c>
      <c r="AA218" s="11">
        <f ca="1"/>
        <v>4.185614478114478</v>
      </c>
      <c r="AB218" s="4">
        <f ca="1"/>
        <v>45633</v>
      </c>
      <c r="AC218" s="4">
        <v>45633</v>
      </c>
      <c r="AD218" s="9">
        <v>45637</v>
      </c>
      <c r="AE218" s="9">
        <v>45642</v>
      </c>
      <c r="AF218" s="4" t="str">
        <f t="shared" ca="1" si="3"/>
        <v>2024 12</v>
      </c>
      <c r="AG218" s="8" t="str" cm="1">
        <f t="array" ref="AG218">IFERROR(_xlfn.IFS('Banco de Dados'!#REF!="AG. COMPRA","Em processamento",'Banco de Dados'!#REF!="AG. RASTREIO","Em processamento",'Banco de Dados'!$AE218&lt;&gt;"-","Faturado",'Banco de Dados'!$AD218&lt;&gt;"-","Aguardando Pix",'Banco de Dados'!$AC218&lt;&gt;"-","Pendente"),"Aguardando Liberação")</f>
        <v>Aguardando Liberação</v>
      </c>
      <c r="AH218" s="5" t="str">
        <f>IF('Banco de Dados'!$F218="-",_xlfn.CONCAT(PROPER(TEXT(AK218,"aaaa"))," ",PROPER(TEXT(AK218,"mm"))),_xlfn.CONCAT(PROPER(TEXT(E218,"aaaa"))," ",PROPER(TEXT(E218,"mm"))))</f>
        <v>2024 11</v>
      </c>
      <c r="AI218" s="9" t="str">
        <f ca="1">IF('Banco de Dados'!$AK218&lt;&gt;"-","REEMBOLSO",IFERROR(_xlfn.XLOOKUP(G218,Follow[CODRASTREIO],Follow[STATUS]),"-"))</f>
        <v>ENTREGUE</v>
      </c>
      <c r="AJ218" s="9">
        <f ca="1">IF('Banco de Dados'!$AI218="ENTREGUE",_xlfn.XLOOKUP('Banco de Dados'!$G218,Follow[CODRASTREIO],Follow[DATAATUALIZAÇÃO]),"-")</f>
        <v>45608</v>
      </c>
      <c r="AK218" s="9" t="str">
        <f ca="1"/>
        <v>-</v>
      </c>
      <c r="AL218" s="35" t="str">
        <v>NÃO</v>
      </c>
      <c r="AM218" s="109" cm="1">
        <f t="array" aca="1" ref="AM218" ca="1">IF('Banco de Dados'!$AK218&lt;&gt;"-",_xlfn.IFS('Banco de Dados'!$A218="bv",IF('Banco de Dados'!$E218&lt;45641,ROUND(SUM('Banco de Dados'!$R218*_xlfn.XLOOKUP('Banco de Dados'!$P218,Sku!B:B,Sku!#REF!)*20%),2),ROUND(SUM('Banco de Dados'!$R218*_xlfn.XLOOKUP('Banco de Dados'!$P218,Sku!B:B,Sku!H:H)*20%),2)),'Banco de Dados'!$A218="GO",ROUND(_xlfn.XLOOKUP('Banco de Dados'!$P218,Sku!C:C,Sku!H:H),2),'Banco de Dados'!$A218="MEI",ROUND(_xlfn.XLOOKUP('Banco de Dados'!$P218,Sku!D:D,Sku!H:H),2)),0)</f>
        <v>0</v>
      </c>
      <c r="AN218" s="109">
        <f ca="1">IF('Banco de Dados'!$AK218&lt;&gt;"-",IF('Banco de Dados'!$F218&lt;&gt;"-",_xlfn.XLOOKUP(IFERROR(IFERROR(IFERROR(VALUE(SUBSTITUTE(MID(_xlfn.TEXTAFTER('Banco de Dados'!$F218,"Data do Pedido:
",1),1,10),"-","/")),VALUE(SUBSTITUTE(MID(_xlfn.TEXTAFTER('Banco de Dados'!$F218,"Order date:
",1),1,10),"-","/"))),VALUE(SUBSTITUTE(MID(_xlfn.TEXTAFTER('Banco de Dados'!$F218,"Fecha de pedido:
",1),1,10),"-","/"))),"-"),SMS!A:A,SMS!K:K),0),0)</f>
        <v>0</v>
      </c>
      <c r="AO218" s="109">
        <f ca="1">IF('Banco de Dados'!$AK218&lt;&gt;"-",IF('Banco de Dados'!$F218&lt;&gt;"-",IFERROR(_xlfn.XLOOKUP(_xlfn.CONCAT('Banco de Dados'!$A218,IFERROR(IFERROR(VALUE(SUBSTITUTE(MID(_xlfn.TEXTAFTER('Banco de Dados'!$F218,"Data do Pedido:
",1),1,10),"-","/")),VALUE(SUBSTITUTE(MID(_xlfn.TEXTAFTER('Banco de Dados'!$F218,"Order date:
",1),1,10),"-","/"))),0)),ProxyDD[Chave],ProxyDD[Valor por pedido]),PROXY!$P$2),0),0)</f>
        <v>0</v>
      </c>
      <c r="AP218" s="28">
        <f ca="1">IF('Banco de Dados'!$AK218&lt;&gt;"-",IF('Banco de Dados'!$AL218="NÃO",IFERROR(VALUE(SUBSTITUTE(_xlfn.TEXTAFTER('Banco de Dados'!$F218,"BRL ",1),".",",")),0),0),0)</f>
        <v>0</v>
      </c>
      <c r="AQ218" s="28">
        <f ca="1">SUM('Banco de Dados'!$AM218:$AP218)</f>
        <v>0</v>
      </c>
      <c r="AR218" s="8"/>
      <c r="AS218" s="8"/>
      <c r="AY218" s="8"/>
    </row>
    <row r="219" spans="1:51">
      <c r="A219" s="5" t="str">
        <v>BV</v>
      </c>
      <c r="B219" s="5" t="str">
        <f ca="1"/>
        <v>BV45598</v>
      </c>
      <c r="C219" s="8" t="str">
        <v>Pedido 216</v>
      </c>
      <c r="D219" s="9">
        <v>45598</v>
      </c>
      <c r="E219" s="9">
        <v>45598</v>
      </c>
      <c r="F219" s="8" t="str">
        <v>PedidoF209</v>
      </c>
      <c r="G219" s="2" t="str">
        <v>CódRastreio209</v>
      </c>
      <c r="H219" s="5">
        <v>1</v>
      </c>
      <c r="I219" s="182" t="str">
        <v>CPF 213</v>
      </c>
      <c r="J219" s="2" t="str">
        <v>Nome 213</v>
      </c>
      <c r="K219" s="8" t="str">
        <v>Tel 213</v>
      </c>
      <c r="L219" s="2" t="str">
        <v>Cep 213</v>
      </c>
      <c r="M219" s="2" t="str">
        <v>Rua 213</v>
      </c>
      <c r="N219" s="2" t="str">
        <v>Comp 213</v>
      </c>
      <c r="O219" s="2" t="str">
        <v>Balança</v>
      </c>
      <c r="P219" s="8" t="str">
        <v>P4-K63S-8KOM</v>
      </c>
      <c r="Q219" s="4">
        <v>45615</v>
      </c>
      <c r="R219" s="109">
        <v>17.5</v>
      </c>
      <c r="S219" s="11">
        <f ca="1"/>
        <v>17.5</v>
      </c>
      <c r="T219" s="28">
        <f ca="1"/>
        <v>2.2749999999999999</v>
      </c>
      <c r="U219" s="11">
        <f ca="1"/>
        <v>15.23</v>
      </c>
      <c r="V219" s="11">
        <v>10.49</v>
      </c>
      <c r="W219" s="11">
        <f ca="1"/>
        <v>0.36</v>
      </c>
      <c r="X219" s="11">
        <f ca="1"/>
        <v>0.39877104377104378</v>
      </c>
      <c r="Y219" s="11">
        <v>0</v>
      </c>
      <c r="Z219" s="11">
        <f ca="1"/>
        <v>3.9812289562289571</v>
      </c>
      <c r="AA219" s="11">
        <f ca="1"/>
        <v>1.9906144781144786</v>
      </c>
      <c r="AB219" s="4">
        <f ca="1"/>
        <v>45622</v>
      </c>
      <c r="AC219" s="4">
        <v>45622</v>
      </c>
      <c r="AD219" s="9">
        <v>45625</v>
      </c>
      <c r="AE219" s="9">
        <v>45625</v>
      </c>
      <c r="AF219" s="4" t="str">
        <f t="shared" ca="1" si="3"/>
        <v>2024 11</v>
      </c>
      <c r="AG219" s="8" t="str" cm="1">
        <f t="array" ref="AG219">IFERROR(_xlfn.IFS('Banco de Dados'!#REF!="AG. COMPRA","Em processamento",'Banco de Dados'!#REF!="AG. RASTREIO","Em processamento",'Banco de Dados'!$AE219&lt;&gt;"-","Faturado",'Banco de Dados'!$AD219&lt;&gt;"-","Aguardando Pix",'Banco de Dados'!$AC219&lt;&gt;"-","Pendente"),"Aguardando Liberação")</f>
        <v>Aguardando Liberação</v>
      </c>
      <c r="AH219" s="5" t="str">
        <f>IF('Banco de Dados'!$F219="-",_xlfn.CONCAT(PROPER(TEXT(AK219,"aaaa"))," ",PROPER(TEXT(AK219,"mm"))),_xlfn.CONCAT(PROPER(TEXT(E219,"aaaa"))," ",PROPER(TEXT(E219,"mm"))))</f>
        <v>2024 11</v>
      </c>
      <c r="AI219" s="9" t="str">
        <f ca="1">IF('Banco de Dados'!$AK219&lt;&gt;"-","REEMBOLSO",IFERROR(_xlfn.XLOOKUP(G219,Follow[CODRASTREIO],Follow[STATUS]),"-"))</f>
        <v>ENTREGUE</v>
      </c>
      <c r="AJ219" s="9">
        <f ca="1">IF('Banco de Dados'!$AI219="ENTREGUE",_xlfn.XLOOKUP('Banco de Dados'!$G219,Follow[CODRASTREIO],Follow[DATAATUALIZAÇÃO]),"-")</f>
        <v>45604</v>
      </c>
      <c r="AK219" s="9" t="str">
        <f ca="1"/>
        <v>-</v>
      </c>
      <c r="AL219" s="35" t="str">
        <v>NÃO</v>
      </c>
      <c r="AM219" s="109" cm="1">
        <f t="array" aca="1" ref="AM219" ca="1">IF('Banco de Dados'!$AK219&lt;&gt;"-",_xlfn.IFS('Banco de Dados'!$A219="bv",IF('Banco de Dados'!$E219&lt;45641,ROUND(SUM('Banco de Dados'!$R219*_xlfn.XLOOKUP('Banco de Dados'!$P219,Sku!B:B,Sku!#REF!)*20%),2),ROUND(SUM('Banco de Dados'!$R219*_xlfn.XLOOKUP('Banco de Dados'!$P219,Sku!B:B,Sku!H:H)*20%),2)),'Banco de Dados'!$A219="GO",ROUND(_xlfn.XLOOKUP('Banco de Dados'!$P219,Sku!C:C,Sku!H:H),2),'Banco de Dados'!$A219="MEI",ROUND(_xlfn.XLOOKUP('Banco de Dados'!$P219,Sku!D:D,Sku!H:H),2)),0)</f>
        <v>0</v>
      </c>
      <c r="AN219" s="109">
        <f ca="1">IF('Banco de Dados'!$AK219&lt;&gt;"-",IF('Banco de Dados'!$F219&lt;&gt;"-",_xlfn.XLOOKUP(IFERROR(IFERROR(IFERROR(VALUE(SUBSTITUTE(MID(_xlfn.TEXTAFTER('Banco de Dados'!$F219,"Data do Pedido:
",1),1,10),"-","/")),VALUE(SUBSTITUTE(MID(_xlfn.TEXTAFTER('Banco de Dados'!$F219,"Order date:
",1),1,10),"-","/"))),VALUE(SUBSTITUTE(MID(_xlfn.TEXTAFTER('Banco de Dados'!$F219,"Fecha de pedido:
",1),1,10),"-","/"))),"-"),SMS!A:A,SMS!K:K),0),0)</f>
        <v>0</v>
      </c>
      <c r="AO219" s="109">
        <f ca="1">IF('Banco de Dados'!$AK219&lt;&gt;"-",IF('Banco de Dados'!$F219&lt;&gt;"-",IFERROR(_xlfn.XLOOKUP(_xlfn.CONCAT('Banco de Dados'!$A219,IFERROR(IFERROR(VALUE(SUBSTITUTE(MID(_xlfn.TEXTAFTER('Banco de Dados'!$F219,"Data do Pedido:
",1),1,10),"-","/")),VALUE(SUBSTITUTE(MID(_xlfn.TEXTAFTER('Banco de Dados'!$F219,"Order date:
",1),1,10),"-","/"))),0)),ProxyDD[Chave],ProxyDD[Valor por pedido]),PROXY!$P$2),0),0)</f>
        <v>0</v>
      </c>
      <c r="AP219" s="28">
        <f ca="1">IF('Banco de Dados'!$AK219&lt;&gt;"-",IF('Banco de Dados'!$AL219="NÃO",IFERROR(VALUE(SUBSTITUTE(_xlfn.TEXTAFTER('Banco de Dados'!$F219,"BRL ",1),".",",")),0),0),0)</f>
        <v>0</v>
      </c>
      <c r="AQ219" s="28">
        <f ca="1">SUM('Banco de Dados'!$AM219:$AP219)</f>
        <v>0</v>
      </c>
      <c r="AR219" s="8"/>
      <c r="AS219" s="8"/>
      <c r="AY219" s="8"/>
    </row>
    <row r="220" spans="1:51">
      <c r="A220" s="5" t="str">
        <v>BV</v>
      </c>
      <c r="B220" s="5" t="str">
        <f ca="1"/>
        <v>BV45598</v>
      </c>
      <c r="C220" s="8" t="str">
        <v>Pedido 217</v>
      </c>
      <c r="D220" s="9">
        <v>45598</v>
      </c>
      <c r="E220" s="9">
        <v>45598</v>
      </c>
      <c r="F220" s="8" t="str">
        <v>PedidoF210</v>
      </c>
      <c r="G220" s="2" t="str">
        <v>CódRastreio210</v>
      </c>
      <c r="H220" s="5">
        <v>1</v>
      </c>
      <c r="I220" s="182" t="str">
        <v>CPF 214</v>
      </c>
      <c r="J220" s="2" t="str">
        <v>Nome 214</v>
      </c>
      <c r="K220" s="8" t="str">
        <v>Tel 214</v>
      </c>
      <c r="L220" s="2" t="str">
        <v>Cep 214</v>
      </c>
      <c r="M220" s="2" t="str">
        <v>Rua 214</v>
      </c>
      <c r="N220" s="2" t="str">
        <v>Comp 214</v>
      </c>
      <c r="O220" s="2" t="str">
        <v>Ventilador Preto</v>
      </c>
      <c r="P220" s="8" t="str">
        <v>MU-J80P-95WF</v>
      </c>
      <c r="Q220" s="4">
        <v>45626</v>
      </c>
      <c r="R220" s="109">
        <v>100</v>
      </c>
      <c r="S220" s="11">
        <f ca="1"/>
        <v>100</v>
      </c>
      <c r="T220" s="28">
        <f ca="1"/>
        <v>13</v>
      </c>
      <c r="U220" s="11">
        <f ca="1"/>
        <v>87</v>
      </c>
      <c r="V220" s="11">
        <v>7.29</v>
      </c>
      <c r="W220" s="11">
        <f ca="1"/>
        <v>0.36</v>
      </c>
      <c r="X220" s="11">
        <f ca="1"/>
        <v>0.39877104377104378</v>
      </c>
      <c r="Y220" s="11">
        <v>0</v>
      </c>
      <c r="Z220" s="11">
        <f ca="1"/>
        <v>78.95122895622896</v>
      </c>
      <c r="AA220" s="11">
        <f ca="1"/>
        <v>39.47561447811448</v>
      </c>
      <c r="AB220" s="4">
        <f ca="1"/>
        <v>45633</v>
      </c>
      <c r="AC220" s="4">
        <v>45633</v>
      </c>
      <c r="AD220" s="9">
        <v>45637</v>
      </c>
      <c r="AE220" s="9">
        <v>45642</v>
      </c>
      <c r="AF220" s="4" t="str">
        <f t="shared" ca="1" si="3"/>
        <v>2024 12</v>
      </c>
      <c r="AG220" s="8" t="str" cm="1">
        <f t="array" ref="AG220">IFERROR(_xlfn.IFS('Banco de Dados'!#REF!="AG. COMPRA","Em processamento",'Banco de Dados'!#REF!="AG. RASTREIO","Em processamento",'Banco de Dados'!$AE220&lt;&gt;"-","Faturado",'Banco de Dados'!$AD220&lt;&gt;"-","Aguardando Pix",'Banco de Dados'!$AC220&lt;&gt;"-","Pendente"),"Aguardando Liberação")</f>
        <v>Aguardando Liberação</v>
      </c>
      <c r="AH220" s="5" t="str">
        <f>IF('Banco de Dados'!$F220="-",_xlfn.CONCAT(PROPER(TEXT(AK220,"aaaa"))," ",PROPER(TEXT(AK220,"mm"))),_xlfn.CONCAT(PROPER(TEXT(E220,"aaaa"))," ",PROPER(TEXT(E220,"mm"))))</f>
        <v>2024 11</v>
      </c>
      <c r="AI220" s="9" t="str">
        <f ca="1">IF('Banco de Dados'!$AK220&lt;&gt;"-","REEMBOLSO",IFERROR(_xlfn.XLOOKUP(G220,Follow[CODRASTREIO],Follow[STATUS]),"-"))</f>
        <v>ENTREGUE</v>
      </c>
      <c r="AJ220" s="9">
        <f ca="1">IF('Banco de Dados'!$AI220="ENTREGUE",_xlfn.XLOOKUP('Banco de Dados'!$G220,Follow[CODRASTREIO],Follow[DATAATUALIZAÇÃO]),"-")</f>
        <v>45608</v>
      </c>
      <c r="AK220" s="9" t="str">
        <f ca="1"/>
        <v>-</v>
      </c>
      <c r="AL220" s="35" t="str">
        <v>NÃO</v>
      </c>
      <c r="AM220" s="109" cm="1">
        <f t="array" aca="1" ref="AM220" ca="1">IF('Banco de Dados'!$AK220&lt;&gt;"-",_xlfn.IFS('Banco de Dados'!$A220="bv",IF('Banco de Dados'!$E220&lt;45641,ROUND(SUM('Banco de Dados'!$R220*_xlfn.XLOOKUP('Banco de Dados'!$P220,Sku!B:B,Sku!#REF!)*20%),2),ROUND(SUM('Banco de Dados'!$R220*_xlfn.XLOOKUP('Banco de Dados'!$P220,Sku!B:B,Sku!H:H)*20%),2)),'Banco de Dados'!$A220="GO",ROUND(_xlfn.XLOOKUP('Banco de Dados'!$P220,Sku!C:C,Sku!H:H),2),'Banco de Dados'!$A220="MEI",ROUND(_xlfn.XLOOKUP('Banco de Dados'!$P220,Sku!D:D,Sku!H:H),2)),0)</f>
        <v>0</v>
      </c>
      <c r="AN220" s="109">
        <f ca="1">IF('Banco de Dados'!$AK220&lt;&gt;"-",IF('Banco de Dados'!$F220&lt;&gt;"-",_xlfn.XLOOKUP(IFERROR(IFERROR(IFERROR(VALUE(SUBSTITUTE(MID(_xlfn.TEXTAFTER('Banco de Dados'!$F220,"Data do Pedido:
",1),1,10),"-","/")),VALUE(SUBSTITUTE(MID(_xlfn.TEXTAFTER('Banco de Dados'!$F220,"Order date:
",1),1,10),"-","/"))),VALUE(SUBSTITUTE(MID(_xlfn.TEXTAFTER('Banco de Dados'!$F220,"Fecha de pedido:
",1),1,10),"-","/"))),"-"),SMS!A:A,SMS!K:K),0),0)</f>
        <v>0</v>
      </c>
      <c r="AO220" s="109">
        <f ca="1">IF('Banco de Dados'!$AK220&lt;&gt;"-",IF('Banco de Dados'!$F220&lt;&gt;"-",IFERROR(_xlfn.XLOOKUP(_xlfn.CONCAT('Banco de Dados'!$A220,IFERROR(IFERROR(VALUE(SUBSTITUTE(MID(_xlfn.TEXTAFTER('Banco de Dados'!$F220,"Data do Pedido:
",1),1,10),"-","/")),VALUE(SUBSTITUTE(MID(_xlfn.TEXTAFTER('Banco de Dados'!$F220,"Order date:
",1),1,10),"-","/"))),0)),ProxyDD[Chave],ProxyDD[Valor por pedido]),PROXY!$P$2),0),0)</f>
        <v>0</v>
      </c>
      <c r="AP220" s="28">
        <f ca="1">IF('Banco de Dados'!$AK220&lt;&gt;"-",IF('Banco de Dados'!$AL220="NÃO",IFERROR(VALUE(SUBSTITUTE(_xlfn.TEXTAFTER('Banco de Dados'!$F220,"BRL ",1),".",",")),0),0),0)</f>
        <v>0</v>
      </c>
      <c r="AQ220" s="28">
        <f ca="1">SUM('Banco de Dados'!$AM220:$AP220)</f>
        <v>0</v>
      </c>
      <c r="AR220" s="8"/>
      <c r="AS220" s="8"/>
      <c r="AY220" s="8"/>
    </row>
    <row r="221" spans="1:51">
      <c r="A221" s="5" t="str">
        <v>BV</v>
      </c>
      <c r="B221" s="5" t="str">
        <f ca="1"/>
        <v>BV45598</v>
      </c>
      <c r="C221" s="8" t="str">
        <v>Pedido 218</v>
      </c>
      <c r="D221" s="9">
        <v>45598</v>
      </c>
      <c r="E221" s="9">
        <v>45598</v>
      </c>
      <c r="F221" s="8" t="str">
        <v>PedidoF211</v>
      </c>
      <c r="G221" s="2" t="str">
        <v>CódRastreio211</v>
      </c>
      <c r="H221" s="5">
        <v>1</v>
      </c>
      <c r="I221" s="182" t="str">
        <v>CPF 215</v>
      </c>
      <c r="J221" s="2" t="str">
        <v>Nome 215</v>
      </c>
      <c r="K221" s="8" t="str">
        <v>Tel 215</v>
      </c>
      <c r="L221" s="2" t="str">
        <v>Cep 215</v>
      </c>
      <c r="M221" s="2" t="str">
        <v>Rua 215</v>
      </c>
      <c r="N221" s="2" t="str">
        <v>Comp 215</v>
      </c>
      <c r="O221" s="2" t="str">
        <v>Bomba d'agua</v>
      </c>
      <c r="P221" s="8" t="str">
        <v>DJ-RO5O-43GF</v>
      </c>
      <c r="Q221" s="4">
        <v>45622</v>
      </c>
      <c r="R221" s="109">
        <v>16.5</v>
      </c>
      <c r="S221" s="11">
        <f ca="1"/>
        <v>16.5</v>
      </c>
      <c r="T221" s="28">
        <f ca="1"/>
        <v>2.31</v>
      </c>
      <c r="U221" s="11">
        <f ca="1"/>
        <v>14.19</v>
      </c>
      <c r="V221" s="11">
        <v>4.99</v>
      </c>
      <c r="W221" s="11">
        <f ca="1"/>
        <v>0.36</v>
      </c>
      <c r="X221" s="11">
        <f ca="1"/>
        <v>0.39877104377104378</v>
      </c>
      <c r="Y221" s="11">
        <v>0</v>
      </c>
      <c r="Z221" s="11">
        <f ca="1"/>
        <v>8.4412289562289544</v>
      </c>
      <c r="AA221" s="11">
        <f ca="1"/>
        <v>4.2206144781144772</v>
      </c>
      <c r="AB221" s="4">
        <f ca="1"/>
        <v>45629</v>
      </c>
      <c r="AC221" s="4">
        <v>45629</v>
      </c>
      <c r="AD221" s="9">
        <v>45637</v>
      </c>
      <c r="AE221" s="9">
        <v>45642</v>
      </c>
      <c r="AF221" s="4" t="str">
        <f t="shared" ca="1" si="3"/>
        <v>2024 12</v>
      </c>
      <c r="AG221" s="8" t="str" cm="1">
        <f t="array" ref="AG221">IFERROR(_xlfn.IFS('Banco de Dados'!#REF!="AG. COMPRA","Em processamento",'Banco de Dados'!#REF!="AG. RASTREIO","Em processamento",'Banco de Dados'!$AE221&lt;&gt;"-","Faturado",'Banco de Dados'!$AD221&lt;&gt;"-","Aguardando Pix",'Banco de Dados'!$AC221&lt;&gt;"-","Pendente"),"Aguardando Liberação")</f>
        <v>Aguardando Liberação</v>
      </c>
      <c r="AH221" s="5" t="str">
        <f>IF('Banco de Dados'!$F221="-",_xlfn.CONCAT(PROPER(TEXT(AK221,"aaaa"))," ",PROPER(TEXT(AK221,"mm"))),_xlfn.CONCAT(PROPER(TEXT(E221,"aaaa"))," ",PROPER(TEXT(E221,"mm"))))</f>
        <v>2024 11</v>
      </c>
      <c r="AI221" s="9" t="str">
        <f ca="1">IF('Banco de Dados'!$AK221&lt;&gt;"-","REEMBOLSO",IFERROR(_xlfn.XLOOKUP(G221,Follow[CODRASTREIO],Follow[STATUS]),"-"))</f>
        <v>ENTREGUE</v>
      </c>
      <c r="AJ221" s="9">
        <f ca="1">IF('Banco de Dados'!$AI221="ENTREGUE",_xlfn.XLOOKUP('Banco de Dados'!$G221,Follow[CODRASTREIO],Follow[DATAATUALIZAÇÃO]),"-")</f>
        <v>45614</v>
      </c>
      <c r="AK221" s="9" t="str">
        <f ca="1"/>
        <v>-</v>
      </c>
      <c r="AL221" s="35" t="str">
        <v>NÃO</v>
      </c>
      <c r="AM221" s="109" cm="1">
        <f t="array" aca="1" ref="AM221" ca="1">IF('Banco de Dados'!$AK221&lt;&gt;"-",_xlfn.IFS('Banco de Dados'!$A221="bv",IF('Banco de Dados'!$E221&lt;45641,ROUND(SUM('Banco de Dados'!$R221*_xlfn.XLOOKUP('Banco de Dados'!$P221,Sku!B:B,Sku!#REF!)*20%),2),ROUND(SUM('Banco de Dados'!$R221*_xlfn.XLOOKUP('Banco de Dados'!$P221,Sku!B:B,Sku!H:H)*20%),2)),'Banco de Dados'!$A221="GO",ROUND(_xlfn.XLOOKUP('Banco de Dados'!$P221,Sku!C:C,Sku!H:H),2),'Banco de Dados'!$A221="MEI",ROUND(_xlfn.XLOOKUP('Banco de Dados'!$P221,Sku!D:D,Sku!H:H),2)),0)</f>
        <v>0</v>
      </c>
      <c r="AN221" s="109">
        <f ca="1">IF('Banco de Dados'!$AK221&lt;&gt;"-",IF('Banco de Dados'!$F221&lt;&gt;"-",_xlfn.XLOOKUP(IFERROR(IFERROR(IFERROR(VALUE(SUBSTITUTE(MID(_xlfn.TEXTAFTER('Banco de Dados'!$F221,"Data do Pedido:
",1),1,10),"-","/")),VALUE(SUBSTITUTE(MID(_xlfn.TEXTAFTER('Banco de Dados'!$F221,"Order date:
",1),1,10),"-","/"))),VALUE(SUBSTITUTE(MID(_xlfn.TEXTAFTER('Banco de Dados'!$F221,"Fecha de pedido:
",1),1,10),"-","/"))),"-"),SMS!A:A,SMS!K:K),0),0)</f>
        <v>0</v>
      </c>
      <c r="AO221" s="109">
        <f ca="1">IF('Banco de Dados'!$AK221&lt;&gt;"-",IF('Banco de Dados'!$F221&lt;&gt;"-",IFERROR(_xlfn.XLOOKUP(_xlfn.CONCAT('Banco de Dados'!$A221,IFERROR(IFERROR(VALUE(SUBSTITUTE(MID(_xlfn.TEXTAFTER('Banco de Dados'!$F221,"Data do Pedido:
",1),1,10),"-","/")),VALUE(SUBSTITUTE(MID(_xlfn.TEXTAFTER('Banco de Dados'!$F221,"Order date:
",1),1,10),"-","/"))),0)),ProxyDD[Chave],ProxyDD[Valor por pedido]),PROXY!$P$2),0),0)</f>
        <v>0</v>
      </c>
      <c r="AP221" s="28">
        <f ca="1">IF('Banco de Dados'!$AK221&lt;&gt;"-",IF('Banco de Dados'!$AL221="NÃO",IFERROR(VALUE(SUBSTITUTE(_xlfn.TEXTAFTER('Banco de Dados'!$F221,"BRL ",1),".",",")),0),0),0)</f>
        <v>0</v>
      </c>
      <c r="AQ221" s="28">
        <f ca="1">SUM('Banco de Dados'!$AM221:$AP221)</f>
        <v>0</v>
      </c>
      <c r="AR221" s="8"/>
      <c r="AS221" s="8"/>
      <c r="AY221" s="8"/>
    </row>
    <row r="222" spans="1:51">
      <c r="A222" s="5" t="str">
        <v>BV</v>
      </c>
      <c r="B222" s="5" t="str">
        <f ca="1"/>
        <v>BV45598</v>
      </c>
      <c r="C222" s="8" t="str">
        <v>Pedido 219</v>
      </c>
      <c r="D222" s="9">
        <v>45598</v>
      </c>
      <c r="E222" s="9">
        <v>45598</v>
      </c>
      <c r="F222" s="8" t="str">
        <v>PedidoF212</v>
      </c>
      <c r="G222" s="2" t="str">
        <v>CódRastreio212</v>
      </c>
      <c r="H222" s="5">
        <v>1</v>
      </c>
      <c r="I222" s="182" t="str">
        <v>CPF 216</v>
      </c>
      <c r="J222" s="2" t="str">
        <v>Nome 216</v>
      </c>
      <c r="K222" s="8" t="str">
        <v>Tel 216</v>
      </c>
      <c r="L222" s="2" t="str">
        <v>Cep 216</v>
      </c>
      <c r="M222" s="2" t="str">
        <v>Rua 216</v>
      </c>
      <c r="N222" s="2" t="str">
        <v>Comp 216</v>
      </c>
      <c r="O222" s="2" t="str">
        <v>Balança</v>
      </c>
      <c r="P222" s="8" t="str">
        <v>P4-K63S-8KOM</v>
      </c>
      <c r="Q222" s="4">
        <v>45622</v>
      </c>
      <c r="R222" s="109">
        <v>17.5</v>
      </c>
      <c r="S222" s="11">
        <f ca="1"/>
        <v>17.5</v>
      </c>
      <c r="T222" s="28">
        <f ca="1"/>
        <v>2.2749999999999999</v>
      </c>
      <c r="U222" s="11">
        <f ca="1"/>
        <v>15.23</v>
      </c>
      <c r="V222" s="11">
        <v>10.49</v>
      </c>
      <c r="W222" s="11">
        <f ca="1"/>
        <v>0.36</v>
      </c>
      <c r="X222" s="11">
        <f ca="1"/>
        <v>0.39877104377104378</v>
      </c>
      <c r="Y222" s="11">
        <v>0</v>
      </c>
      <c r="Z222" s="11">
        <f ca="1"/>
        <v>3.9812289562289571</v>
      </c>
      <c r="AA222" s="11">
        <f ca="1"/>
        <v>1.9906144781144786</v>
      </c>
      <c r="AB222" s="4">
        <f ca="1"/>
        <v>45629</v>
      </c>
      <c r="AC222" s="4">
        <v>45629</v>
      </c>
      <c r="AD222" s="9">
        <v>45637</v>
      </c>
      <c r="AE222" s="9">
        <v>45642</v>
      </c>
      <c r="AF222" s="4" t="str">
        <f t="shared" ca="1" si="3"/>
        <v>2024 12</v>
      </c>
      <c r="AG222" s="8" t="str" cm="1">
        <f t="array" ref="AG222">IFERROR(_xlfn.IFS('Banco de Dados'!#REF!="AG. COMPRA","Em processamento",'Banco de Dados'!#REF!="AG. RASTREIO","Em processamento",'Banco de Dados'!$AE222&lt;&gt;"-","Faturado",'Banco de Dados'!$AD222&lt;&gt;"-","Aguardando Pix",'Banco de Dados'!$AC222&lt;&gt;"-","Pendente"),"Aguardando Liberação")</f>
        <v>Aguardando Liberação</v>
      </c>
      <c r="AH222" s="5" t="str">
        <f>IF('Banco de Dados'!$F222="-",_xlfn.CONCAT(PROPER(TEXT(AK222,"aaaa"))," ",PROPER(TEXT(AK222,"mm"))),_xlfn.CONCAT(PROPER(TEXT(E222,"aaaa"))," ",PROPER(TEXT(E222,"mm"))))</f>
        <v>2024 11</v>
      </c>
      <c r="AI222" s="9" t="str">
        <f ca="1">IF('Banco de Dados'!$AK222&lt;&gt;"-","REEMBOLSO",IFERROR(_xlfn.XLOOKUP(G222,Follow[CODRASTREIO],Follow[STATUS]),"-"))</f>
        <v>ENTREGUE</v>
      </c>
      <c r="AJ222" s="9">
        <f ca="1">IF('Banco de Dados'!$AI222="ENTREGUE",_xlfn.XLOOKUP('Banco de Dados'!$G222,Follow[CODRASTREIO],Follow[DATAATUALIZAÇÃO]),"-")</f>
        <v>45610</v>
      </c>
      <c r="AK222" s="9" t="str">
        <f ca="1"/>
        <v>-</v>
      </c>
      <c r="AL222" s="35" t="str">
        <v>NÃO</v>
      </c>
      <c r="AM222" s="109" cm="1">
        <f t="array" aca="1" ref="AM222" ca="1">IF('Banco de Dados'!$AK222&lt;&gt;"-",_xlfn.IFS('Banco de Dados'!$A222="bv",IF('Banco de Dados'!$E222&lt;45641,ROUND(SUM('Banco de Dados'!$R222*_xlfn.XLOOKUP('Banco de Dados'!$P222,Sku!B:B,Sku!#REF!)*20%),2),ROUND(SUM('Banco de Dados'!$R222*_xlfn.XLOOKUP('Banco de Dados'!$P222,Sku!B:B,Sku!H:H)*20%),2)),'Banco de Dados'!$A222="GO",ROUND(_xlfn.XLOOKUP('Banco de Dados'!$P222,Sku!C:C,Sku!H:H),2),'Banco de Dados'!$A222="MEI",ROUND(_xlfn.XLOOKUP('Banco de Dados'!$P222,Sku!D:D,Sku!H:H),2)),0)</f>
        <v>0</v>
      </c>
      <c r="AN222" s="109">
        <f ca="1">IF('Banco de Dados'!$AK222&lt;&gt;"-",IF('Banco de Dados'!$F222&lt;&gt;"-",_xlfn.XLOOKUP(IFERROR(IFERROR(IFERROR(VALUE(SUBSTITUTE(MID(_xlfn.TEXTAFTER('Banco de Dados'!$F222,"Data do Pedido:
",1),1,10),"-","/")),VALUE(SUBSTITUTE(MID(_xlfn.TEXTAFTER('Banco de Dados'!$F222,"Order date:
",1),1,10),"-","/"))),VALUE(SUBSTITUTE(MID(_xlfn.TEXTAFTER('Banco de Dados'!$F222,"Fecha de pedido:
",1),1,10),"-","/"))),"-"),SMS!A:A,SMS!K:K),0),0)</f>
        <v>0</v>
      </c>
      <c r="AO222" s="109">
        <f ca="1">IF('Banco de Dados'!$AK222&lt;&gt;"-",IF('Banco de Dados'!$F222&lt;&gt;"-",IFERROR(_xlfn.XLOOKUP(_xlfn.CONCAT('Banco de Dados'!$A222,IFERROR(IFERROR(VALUE(SUBSTITUTE(MID(_xlfn.TEXTAFTER('Banco de Dados'!$F222,"Data do Pedido:
",1),1,10),"-","/")),VALUE(SUBSTITUTE(MID(_xlfn.TEXTAFTER('Banco de Dados'!$F222,"Order date:
",1),1,10),"-","/"))),0)),ProxyDD[Chave],ProxyDD[Valor por pedido]),PROXY!$P$2),0),0)</f>
        <v>0</v>
      </c>
      <c r="AP222" s="28">
        <f ca="1">IF('Banco de Dados'!$AK222&lt;&gt;"-",IF('Banco de Dados'!$AL222="NÃO",IFERROR(VALUE(SUBSTITUTE(_xlfn.TEXTAFTER('Banco de Dados'!$F222,"BRL ",1),".",",")),0),0),0)</f>
        <v>0</v>
      </c>
      <c r="AQ222" s="28">
        <f ca="1">SUM('Banco de Dados'!$AM222:$AP222)</f>
        <v>0</v>
      </c>
      <c r="AR222" s="8"/>
      <c r="AS222" s="8"/>
      <c r="AY222" s="8"/>
    </row>
    <row r="223" spans="1:51">
      <c r="A223" s="5" t="str">
        <v>BV</v>
      </c>
      <c r="B223" s="5" t="str">
        <f ca="1"/>
        <v>BV45598</v>
      </c>
      <c r="C223" s="8" t="str">
        <v>Pedido 220</v>
      </c>
      <c r="D223" s="9">
        <v>45598</v>
      </c>
      <c r="E223" s="9">
        <v>45598</v>
      </c>
      <c r="F223" s="8" t="str">
        <v>PedidoF213</v>
      </c>
      <c r="G223" s="2" t="str">
        <v>CódRastreio213</v>
      </c>
      <c r="H223" s="5">
        <v>1</v>
      </c>
      <c r="I223" s="182" t="str">
        <v>CPF 217</v>
      </c>
      <c r="J223" s="2" t="str">
        <v>Nome 217</v>
      </c>
      <c r="K223" s="8" t="str">
        <v>Tel 217</v>
      </c>
      <c r="L223" s="2" t="str">
        <v>Cep 217</v>
      </c>
      <c r="M223" s="2" t="str">
        <v>Rua 217</v>
      </c>
      <c r="N223" s="2" t="str">
        <v>Comp 217</v>
      </c>
      <c r="O223" s="2" t="str">
        <v>Ventilador de teto</v>
      </c>
      <c r="P223" s="8" t="str">
        <v>ZO-J9IL-EN6L</v>
      </c>
      <c r="Q223" s="4">
        <v>45626</v>
      </c>
      <c r="R223" s="109">
        <v>48.5</v>
      </c>
      <c r="S223" s="11">
        <f ca="1"/>
        <v>48.5</v>
      </c>
      <c r="T223" s="28">
        <f ca="1"/>
        <v>6.7900000000000009</v>
      </c>
      <c r="U223" s="11">
        <f ca="1"/>
        <v>41.71</v>
      </c>
      <c r="V223" s="11">
        <v>7.29</v>
      </c>
      <c r="W223" s="11">
        <f ca="1"/>
        <v>0.36</v>
      </c>
      <c r="X223" s="11">
        <f ca="1"/>
        <v>0.39877104377104378</v>
      </c>
      <c r="Y223" s="11">
        <v>0</v>
      </c>
      <c r="Z223" s="11">
        <f ca="1"/>
        <v>33.661228956228953</v>
      </c>
      <c r="AA223" s="11">
        <f ca="1"/>
        <v>16.830614478114477</v>
      </c>
      <c r="AB223" s="4">
        <f ca="1"/>
        <v>45633</v>
      </c>
      <c r="AC223" s="4">
        <v>45633</v>
      </c>
      <c r="AD223" s="9">
        <v>45637</v>
      </c>
      <c r="AE223" s="9">
        <v>45642</v>
      </c>
      <c r="AF223" s="4" t="str">
        <f t="shared" ca="1" si="3"/>
        <v>2024 12</v>
      </c>
      <c r="AG223" s="8" t="str" cm="1">
        <f t="array" ref="AG223">IFERROR(_xlfn.IFS('Banco de Dados'!#REF!="AG. COMPRA","Em processamento",'Banco de Dados'!#REF!="AG. RASTREIO","Em processamento",'Banco de Dados'!$AE223&lt;&gt;"-","Faturado",'Banco de Dados'!$AD223&lt;&gt;"-","Aguardando Pix",'Banco de Dados'!$AC223&lt;&gt;"-","Pendente"),"Aguardando Liberação")</f>
        <v>Aguardando Liberação</v>
      </c>
      <c r="AH223" s="5" t="str">
        <f>IF('Banco de Dados'!$F223="-",_xlfn.CONCAT(PROPER(TEXT(AK223,"aaaa"))," ",PROPER(TEXT(AK223,"mm"))),_xlfn.CONCAT(PROPER(TEXT(E223,"aaaa"))," ",PROPER(TEXT(E223,"mm"))))</f>
        <v>2024 11</v>
      </c>
      <c r="AI223" s="9" t="str">
        <f ca="1">IF('Banco de Dados'!$AK223&lt;&gt;"-","REEMBOLSO",IFERROR(_xlfn.XLOOKUP(G223,Follow[CODRASTREIO],Follow[STATUS]),"-"))</f>
        <v>ENTREGUE</v>
      </c>
      <c r="AJ223" s="9">
        <f ca="1">IF('Banco de Dados'!$AI223="ENTREGUE",_xlfn.XLOOKUP('Banco de Dados'!$G223,Follow[CODRASTREIO],Follow[DATAATUALIZAÇÃO]),"-")</f>
        <v>45609</v>
      </c>
      <c r="AK223" s="9" t="str">
        <f ca="1"/>
        <v>-</v>
      </c>
      <c r="AL223" s="35" t="str">
        <v>NÃO</v>
      </c>
      <c r="AM223" s="109" cm="1">
        <f t="array" aca="1" ref="AM223" ca="1">IF('Banco de Dados'!$AK223&lt;&gt;"-",_xlfn.IFS('Banco de Dados'!$A223="bv",IF('Banco de Dados'!$E223&lt;45641,ROUND(SUM('Banco de Dados'!$R223*_xlfn.XLOOKUP('Banco de Dados'!$P223,Sku!B:B,Sku!#REF!)*20%),2),ROUND(SUM('Banco de Dados'!$R223*_xlfn.XLOOKUP('Banco de Dados'!$P223,Sku!B:B,Sku!H:H)*20%),2)),'Banco de Dados'!$A223="GO",ROUND(_xlfn.XLOOKUP('Banco de Dados'!$P223,Sku!C:C,Sku!H:H),2),'Banco de Dados'!$A223="MEI",ROUND(_xlfn.XLOOKUP('Banco de Dados'!$P223,Sku!D:D,Sku!H:H),2)),0)</f>
        <v>0</v>
      </c>
      <c r="AN223" s="109">
        <f ca="1">IF('Banco de Dados'!$AK223&lt;&gt;"-",IF('Banco de Dados'!$F223&lt;&gt;"-",_xlfn.XLOOKUP(IFERROR(IFERROR(IFERROR(VALUE(SUBSTITUTE(MID(_xlfn.TEXTAFTER('Banco de Dados'!$F223,"Data do Pedido:
",1),1,10),"-","/")),VALUE(SUBSTITUTE(MID(_xlfn.TEXTAFTER('Banco de Dados'!$F223,"Order date:
",1),1,10),"-","/"))),VALUE(SUBSTITUTE(MID(_xlfn.TEXTAFTER('Banco de Dados'!$F223,"Fecha de pedido:
",1),1,10),"-","/"))),"-"),SMS!A:A,SMS!K:K),0),0)</f>
        <v>0</v>
      </c>
      <c r="AO223" s="109">
        <f ca="1">IF('Banco de Dados'!$AK223&lt;&gt;"-",IF('Banco de Dados'!$F223&lt;&gt;"-",IFERROR(_xlfn.XLOOKUP(_xlfn.CONCAT('Banco de Dados'!$A223,IFERROR(IFERROR(VALUE(SUBSTITUTE(MID(_xlfn.TEXTAFTER('Banco de Dados'!$F223,"Data do Pedido:
",1),1,10),"-","/")),VALUE(SUBSTITUTE(MID(_xlfn.TEXTAFTER('Banco de Dados'!$F223,"Order date:
",1),1,10),"-","/"))),0)),ProxyDD[Chave],ProxyDD[Valor por pedido]),PROXY!$P$2),0),0)</f>
        <v>0</v>
      </c>
      <c r="AP223" s="28">
        <f ca="1">IF('Banco de Dados'!$AK223&lt;&gt;"-",IF('Banco de Dados'!$AL223="NÃO",IFERROR(VALUE(SUBSTITUTE(_xlfn.TEXTAFTER('Banco de Dados'!$F223,"BRL ",1),".",",")),0),0),0)</f>
        <v>0</v>
      </c>
      <c r="AQ223" s="28">
        <f ca="1">SUM('Banco de Dados'!$AM223:$AP223)</f>
        <v>0</v>
      </c>
      <c r="AR223" s="8"/>
      <c r="AS223" s="8"/>
      <c r="AY223" s="8"/>
    </row>
    <row r="224" spans="1:51">
      <c r="A224" s="5" t="str">
        <v>BV</v>
      </c>
      <c r="B224" s="5" t="str">
        <f ca="1"/>
        <v>BV45600</v>
      </c>
      <c r="C224" s="8" t="str">
        <v>Pedido 221</v>
      </c>
      <c r="D224" s="9">
        <v>45600</v>
      </c>
      <c r="E224" s="9">
        <v>45600</v>
      </c>
      <c r="F224" s="8" t="str">
        <v>PedidoF214</v>
      </c>
      <c r="G224" s="2" t="str">
        <v>CódRastreio214</v>
      </c>
      <c r="H224" s="5">
        <v>1</v>
      </c>
      <c r="I224" s="182" t="str">
        <v>CPF 218</v>
      </c>
      <c r="J224" s="2" t="str">
        <v>Nome 218</v>
      </c>
      <c r="K224" s="8" t="str">
        <v>Tel 218</v>
      </c>
      <c r="L224" s="2" t="str">
        <v>Cep 218</v>
      </c>
      <c r="M224" s="2" t="str">
        <v>Rua 218</v>
      </c>
      <c r="N224" s="2" t="str">
        <v>Comp 218</v>
      </c>
      <c r="O224" s="2" t="str">
        <v>Ventilador de teto</v>
      </c>
      <c r="P224" s="8" t="str">
        <v>ZO-J9IL-EN6L</v>
      </c>
      <c r="Q224" s="4">
        <v>45629</v>
      </c>
      <c r="R224" s="109">
        <v>48.5</v>
      </c>
      <c r="S224" s="11">
        <f ca="1"/>
        <v>48.5</v>
      </c>
      <c r="T224" s="28">
        <f ca="1"/>
        <v>6.7900000000000009</v>
      </c>
      <c r="U224" s="11">
        <f ca="1"/>
        <v>41.71</v>
      </c>
      <c r="V224" s="11">
        <v>7.31</v>
      </c>
      <c r="W224" s="11">
        <f ca="1"/>
        <v>0.38</v>
      </c>
      <c r="X224" s="11">
        <f ca="1"/>
        <v>0.39877104377104378</v>
      </c>
      <c r="Y224" s="11">
        <v>0</v>
      </c>
      <c r="Z224" s="11">
        <f ca="1"/>
        <v>33.621228956228961</v>
      </c>
      <c r="AA224" s="11">
        <f ca="1"/>
        <v>16.810614478114481</v>
      </c>
      <c r="AB224" s="4">
        <f ca="1"/>
        <v>45636</v>
      </c>
      <c r="AC224" s="4">
        <v>45636</v>
      </c>
      <c r="AD224" s="9">
        <v>45637</v>
      </c>
      <c r="AE224" s="9">
        <v>45642</v>
      </c>
      <c r="AF224" s="4" t="str">
        <f t="shared" ca="1" si="3"/>
        <v>2024 12</v>
      </c>
      <c r="AG224" s="8" t="str" cm="1">
        <f t="array" ref="AG224">IFERROR(_xlfn.IFS('Banco de Dados'!#REF!="AG. COMPRA","Em processamento",'Banco de Dados'!#REF!="AG. RASTREIO","Em processamento",'Banco de Dados'!$AE224&lt;&gt;"-","Faturado",'Banco de Dados'!$AD224&lt;&gt;"-","Aguardando Pix",'Banco de Dados'!$AC224&lt;&gt;"-","Pendente"),"Aguardando Liberação")</f>
        <v>Aguardando Liberação</v>
      </c>
      <c r="AH224" s="5" t="str">
        <f>IF('Banco de Dados'!$F224="-",_xlfn.CONCAT(PROPER(TEXT(AK224,"aaaa"))," ",PROPER(TEXT(AK224,"mm"))),_xlfn.CONCAT(PROPER(TEXT(E224,"aaaa"))," ",PROPER(TEXT(E224,"mm"))))</f>
        <v>2024 11</v>
      </c>
      <c r="AI224" s="9" t="str">
        <f ca="1">IF('Banco de Dados'!$AK224&lt;&gt;"-","REEMBOLSO",IFERROR(_xlfn.XLOOKUP(G224,Follow[CODRASTREIO],Follow[STATUS]),"-"))</f>
        <v>ENTREGUE</v>
      </c>
      <c r="AJ224" s="9">
        <f ca="1">IF('Banco de Dados'!$AI224="ENTREGUE",_xlfn.XLOOKUP('Banco de Dados'!$G224,Follow[CODRASTREIO],Follow[DATAATUALIZAÇÃO]),"-")</f>
        <v>45610</v>
      </c>
      <c r="AK224" s="9" t="str">
        <f ca="1"/>
        <v>-</v>
      </c>
      <c r="AL224" s="35" t="str">
        <v>NÃO</v>
      </c>
      <c r="AM224" s="109" cm="1">
        <f t="array" aca="1" ref="AM224" ca="1">IF('Banco de Dados'!$AK224&lt;&gt;"-",_xlfn.IFS('Banco de Dados'!$A224="bv",IF('Banco de Dados'!$E224&lt;45641,ROUND(SUM('Banco de Dados'!$R224*_xlfn.XLOOKUP('Banco de Dados'!$P224,Sku!B:B,Sku!#REF!)*20%),2),ROUND(SUM('Banco de Dados'!$R224*_xlfn.XLOOKUP('Banco de Dados'!$P224,Sku!B:B,Sku!H:H)*20%),2)),'Banco de Dados'!$A224="GO",ROUND(_xlfn.XLOOKUP('Banco de Dados'!$P224,Sku!C:C,Sku!H:H),2),'Banco de Dados'!$A224="MEI",ROUND(_xlfn.XLOOKUP('Banco de Dados'!$P224,Sku!D:D,Sku!H:H),2)),0)</f>
        <v>0</v>
      </c>
      <c r="AN224" s="109">
        <f ca="1">IF('Banco de Dados'!$AK224&lt;&gt;"-",IF('Banco de Dados'!$F224&lt;&gt;"-",_xlfn.XLOOKUP(IFERROR(IFERROR(IFERROR(VALUE(SUBSTITUTE(MID(_xlfn.TEXTAFTER('Banco de Dados'!$F224,"Data do Pedido:
",1),1,10),"-","/")),VALUE(SUBSTITUTE(MID(_xlfn.TEXTAFTER('Banco de Dados'!$F224,"Order date:
",1),1,10),"-","/"))),VALUE(SUBSTITUTE(MID(_xlfn.TEXTAFTER('Banco de Dados'!$F224,"Fecha de pedido:
",1),1,10),"-","/"))),"-"),SMS!A:A,SMS!K:K),0),0)</f>
        <v>0</v>
      </c>
      <c r="AO224" s="109">
        <f ca="1">IF('Banco de Dados'!$AK224&lt;&gt;"-",IF('Banco de Dados'!$F224&lt;&gt;"-",IFERROR(_xlfn.XLOOKUP(_xlfn.CONCAT('Banco de Dados'!$A224,IFERROR(IFERROR(VALUE(SUBSTITUTE(MID(_xlfn.TEXTAFTER('Banco de Dados'!$F224,"Data do Pedido:
",1),1,10),"-","/")),VALUE(SUBSTITUTE(MID(_xlfn.TEXTAFTER('Banco de Dados'!$F224,"Order date:
",1),1,10),"-","/"))),0)),ProxyDD[Chave],ProxyDD[Valor por pedido]),PROXY!$P$2),0),0)</f>
        <v>0</v>
      </c>
      <c r="AP224" s="28">
        <f ca="1">IF('Banco de Dados'!$AK224&lt;&gt;"-",IF('Banco de Dados'!$AL224="NÃO",IFERROR(VALUE(SUBSTITUTE(_xlfn.TEXTAFTER('Banco de Dados'!$F224,"BRL ",1),".",",")),0),0),0)</f>
        <v>0</v>
      </c>
      <c r="AQ224" s="28">
        <f ca="1">SUM('Banco de Dados'!$AM224:$AP224)</f>
        <v>0</v>
      </c>
      <c r="AR224" s="8"/>
      <c r="AS224" s="8"/>
      <c r="AY224" s="8"/>
    </row>
    <row r="225" spans="1:51">
      <c r="A225" s="5" t="str">
        <v>BV</v>
      </c>
      <c r="B225" s="5" t="str">
        <f ca="1"/>
        <v>BV45598</v>
      </c>
      <c r="C225" s="8" t="str">
        <v>Pedido 222</v>
      </c>
      <c r="D225" s="9">
        <v>45598</v>
      </c>
      <c r="E225" s="9">
        <v>45598</v>
      </c>
      <c r="F225" s="8" t="str">
        <v>PedidoF215</v>
      </c>
      <c r="G225" s="2" t="str">
        <v>CódRastreio215</v>
      </c>
      <c r="H225" s="5">
        <v>1</v>
      </c>
      <c r="I225" s="182" t="str">
        <v>CPF 219</v>
      </c>
      <c r="J225" s="2" t="str">
        <v>Nome 219</v>
      </c>
      <c r="K225" s="8" t="str">
        <v>Tel 219</v>
      </c>
      <c r="L225" s="2" t="str">
        <v>Cep 219</v>
      </c>
      <c r="M225" s="2" t="str">
        <v>Rua 219</v>
      </c>
      <c r="N225" s="2" t="str">
        <v>Comp 219</v>
      </c>
      <c r="O225" s="2" t="str">
        <v>Bomba d'agua</v>
      </c>
      <c r="P225" s="8" t="str">
        <v>DJ-RO5O-43GF</v>
      </c>
      <c r="Q225" s="4">
        <v>45622</v>
      </c>
      <c r="R225" s="109">
        <v>16.5</v>
      </c>
      <c r="S225" s="11">
        <f ca="1"/>
        <v>16.5</v>
      </c>
      <c r="T225" s="28">
        <f ca="1"/>
        <v>2.31</v>
      </c>
      <c r="U225" s="11">
        <f ca="1"/>
        <v>14.19</v>
      </c>
      <c r="V225" s="11">
        <v>4.99</v>
      </c>
      <c r="W225" s="11">
        <f ca="1"/>
        <v>0.36</v>
      </c>
      <c r="X225" s="11">
        <f ca="1"/>
        <v>0.39877104377104378</v>
      </c>
      <c r="Y225" s="11">
        <v>0</v>
      </c>
      <c r="Z225" s="11">
        <f ca="1"/>
        <v>8.4412289562289544</v>
      </c>
      <c r="AA225" s="11">
        <f ca="1"/>
        <v>4.2206144781144772</v>
      </c>
      <c r="AB225" s="4">
        <f ca="1"/>
        <v>45629</v>
      </c>
      <c r="AC225" s="4">
        <v>45629</v>
      </c>
      <c r="AD225" s="9">
        <v>45637</v>
      </c>
      <c r="AE225" s="9">
        <v>45642</v>
      </c>
      <c r="AF225" s="4" t="str">
        <f t="shared" ca="1" si="3"/>
        <v>2024 12</v>
      </c>
      <c r="AG225" s="8" t="str" cm="1">
        <f t="array" ref="AG225">IFERROR(_xlfn.IFS('Banco de Dados'!#REF!="AG. COMPRA","Em processamento",'Banco de Dados'!#REF!="AG. RASTREIO","Em processamento",'Banco de Dados'!$AE225&lt;&gt;"-","Faturado",'Banco de Dados'!$AD225&lt;&gt;"-","Aguardando Pix",'Banco de Dados'!$AC225&lt;&gt;"-","Pendente"),"Aguardando Liberação")</f>
        <v>Aguardando Liberação</v>
      </c>
      <c r="AH225" s="5" t="str">
        <f>IF('Banco de Dados'!$F225="-",_xlfn.CONCAT(PROPER(TEXT(AK225,"aaaa"))," ",PROPER(TEXT(AK225,"mm"))),_xlfn.CONCAT(PROPER(TEXT(E225,"aaaa"))," ",PROPER(TEXT(E225,"mm"))))</f>
        <v>2024 11</v>
      </c>
      <c r="AI225" s="9" t="str">
        <f ca="1">IF('Banco de Dados'!$AK225&lt;&gt;"-","REEMBOLSO",IFERROR(_xlfn.XLOOKUP(G225,Follow[CODRASTREIO],Follow[STATUS]),"-"))</f>
        <v>ENTREGUE</v>
      </c>
      <c r="AJ225" s="9">
        <f ca="1">IF('Banco de Dados'!$AI225="ENTREGUE",_xlfn.XLOOKUP('Banco de Dados'!$G225,Follow[CODRASTREIO],Follow[DATAATUALIZAÇÃO]),"-")</f>
        <v>45608</v>
      </c>
      <c r="AK225" s="9" t="str">
        <f ca="1"/>
        <v>-</v>
      </c>
      <c r="AL225" s="35" t="str">
        <v>NÃO</v>
      </c>
      <c r="AM225" s="109" cm="1">
        <f t="array" aca="1" ref="AM225" ca="1">IF('Banco de Dados'!$AK225&lt;&gt;"-",_xlfn.IFS('Banco de Dados'!$A225="bv",IF('Banco de Dados'!$E225&lt;45641,ROUND(SUM('Banco de Dados'!$R225*_xlfn.XLOOKUP('Banco de Dados'!$P225,Sku!B:B,Sku!#REF!)*20%),2),ROUND(SUM('Banco de Dados'!$R225*_xlfn.XLOOKUP('Banco de Dados'!$P225,Sku!B:B,Sku!H:H)*20%),2)),'Banco de Dados'!$A225="GO",ROUND(_xlfn.XLOOKUP('Banco de Dados'!$P225,Sku!C:C,Sku!H:H),2),'Banco de Dados'!$A225="MEI",ROUND(_xlfn.XLOOKUP('Banco de Dados'!$P225,Sku!D:D,Sku!H:H),2)),0)</f>
        <v>0</v>
      </c>
      <c r="AN225" s="109">
        <f ca="1">IF('Banco de Dados'!$AK225&lt;&gt;"-",IF('Banco de Dados'!$F225&lt;&gt;"-",_xlfn.XLOOKUP(IFERROR(IFERROR(IFERROR(VALUE(SUBSTITUTE(MID(_xlfn.TEXTAFTER('Banco de Dados'!$F225,"Data do Pedido:
",1),1,10),"-","/")),VALUE(SUBSTITUTE(MID(_xlfn.TEXTAFTER('Banco de Dados'!$F225,"Order date:
",1),1,10),"-","/"))),VALUE(SUBSTITUTE(MID(_xlfn.TEXTAFTER('Banco de Dados'!$F225,"Fecha de pedido:
",1),1,10),"-","/"))),"-"),SMS!A:A,SMS!K:K),0),0)</f>
        <v>0</v>
      </c>
      <c r="AO225" s="109">
        <f ca="1">IF('Banco de Dados'!$AK225&lt;&gt;"-",IF('Banco de Dados'!$F225&lt;&gt;"-",IFERROR(_xlfn.XLOOKUP(_xlfn.CONCAT('Banco de Dados'!$A225,IFERROR(IFERROR(VALUE(SUBSTITUTE(MID(_xlfn.TEXTAFTER('Banco de Dados'!$F225,"Data do Pedido:
",1),1,10),"-","/")),VALUE(SUBSTITUTE(MID(_xlfn.TEXTAFTER('Banco de Dados'!$F225,"Order date:
",1),1,10),"-","/"))),0)),ProxyDD[Chave],ProxyDD[Valor por pedido]),PROXY!$P$2),0),0)</f>
        <v>0</v>
      </c>
      <c r="AP225" s="28">
        <f ca="1">IF('Banco de Dados'!$AK225&lt;&gt;"-",IF('Banco de Dados'!$AL225="NÃO",IFERROR(VALUE(SUBSTITUTE(_xlfn.TEXTAFTER('Banco de Dados'!$F225,"BRL ",1),".",",")),0),0),0)</f>
        <v>0</v>
      </c>
      <c r="AQ225" s="28">
        <f ca="1">SUM('Banco de Dados'!$AM225:$AP225)</f>
        <v>0</v>
      </c>
      <c r="AR225" s="8"/>
      <c r="AS225" s="8"/>
      <c r="AY225" s="8"/>
    </row>
    <row r="226" spans="1:51">
      <c r="A226" s="5" t="str">
        <v>BV</v>
      </c>
      <c r="B226" s="5" t="str">
        <f ca="1"/>
        <v>BV45598</v>
      </c>
      <c r="C226" s="8" t="str">
        <v>Pedido 223</v>
      </c>
      <c r="D226" s="9">
        <v>45598</v>
      </c>
      <c r="E226" s="9">
        <v>45598</v>
      </c>
      <c r="F226" s="8" t="str">
        <v>PedidoF216</v>
      </c>
      <c r="G226" s="2" t="str">
        <v>CódRastreio216</v>
      </c>
      <c r="H226" s="5">
        <v>1</v>
      </c>
      <c r="I226" s="182" t="str">
        <v>CPF 220</v>
      </c>
      <c r="J226" s="2" t="str">
        <v>Nome 220</v>
      </c>
      <c r="K226" s="8" t="str">
        <v>Tel 220</v>
      </c>
      <c r="L226" s="2" t="str">
        <v>Cep 220</v>
      </c>
      <c r="M226" s="2" t="str">
        <v>Rua 220</v>
      </c>
      <c r="N226" s="2" t="str">
        <v>Comp 220</v>
      </c>
      <c r="O226" s="2" t="str">
        <v>Copo Termico</v>
      </c>
      <c r="P226" s="8" t="str">
        <v>KN-TBQL-K2MM</v>
      </c>
      <c r="Q226" s="4">
        <v>45626</v>
      </c>
      <c r="R226" s="109">
        <v>19.5</v>
      </c>
      <c r="S226" s="11">
        <f ca="1"/>
        <v>19.5</v>
      </c>
      <c r="T226" s="28">
        <f ca="1"/>
        <v>2.5350000000000001</v>
      </c>
      <c r="U226" s="11">
        <f ca="1"/>
        <v>16.97</v>
      </c>
      <c r="V226" s="11">
        <v>6.62</v>
      </c>
      <c r="W226" s="11">
        <f ca="1"/>
        <v>0.36</v>
      </c>
      <c r="X226" s="11">
        <f ca="1"/>
        <v>0.39877104377104378</v>
      </c>
      <c r="Y226" s="11">
        <v>0</v>
      </c>
      <c r="Z226" s="11">
        <f ca="1"/>
        <v>9.5912289562289548</v>
      </c>
      <c r="AA226" s="11">
        <f ca="1"/>
        <v>4.7956144781144774</v>
      </c>
      <c r="AB226" s="4">
        <f ca="1"/>
        <v>45633</v>
      </c>
      <c r="AC226" s="4">
        <v>45633</v>
      </c>
      <c r="AD226" s="9">
        <v>45637</v>
      </c>
      <c r="AE226" s="9">
        <v>45642</v>
      </c>
      <c r="AF226" s="4" t="str">
        <f t="shared" ca="1" si="3"/>
        <v>2024 12</v>
      </c>
      <c r="AG226" s="8" t="str" cm="1">
        <f t="array" ref="AG226">IFERROR(_xlfn.IFS('Banco de Dados'!#REF!="AG. COMPRA","Em processamento",'Banco de Dados'!#REF!="AG. RASTREIO","Em processamento",'Banco de Dados'!$AE226&lt;&gt;"-","Faturado",'Banco de Dados'!$AD226&lt;&gt;"-","Aguardando Pix",'Banco de Dados'!$AC226&lt;&gt;"-","Pendente"),"Aguardando Liberação")</f>
        <v>Aguardando Liberação</v>
      </c>
      <c r="AH226" s="5" t="str">
        <f>IF('Banco de Dados'!$F226="-",_xlfn.CONCAT(PROPER(TEXT(AK226,"aaaa"))," ",PROPER(TEXT(AK226,"mm"))),_xlfn.CONCAT(PROPER(TEXT(E226,"aaaa"))," ",PROPER(TEXT(E226,"mm"))))</f>
        <v>2024 11</v>
      </c>
      <c r="AI226" s="9" t="str">
        <f ca="1">IF('Banco de Dados'!$AK226&lt;&gt;"-","REEMBOLSO",IFERROR(_xlfn.XLOOKUP(G226,Follow[CODRASTREIO],Follow[STATUS]),"-"))</f>
        <v>ENTREGUE</v>
      </c>
      <c r="AJ226" s="9">
        <f ca="1">IF('Banco de Dados'!$AI226="ENTREGUE",_xlfn.XLOOKUP('Banco de Dados'!$G226,Follow[CODRASTREIO],Follow[DATAATUALIZAÇÃO]),"-")</f>
        <v>45610</v>
      </c>
      <c r="AK226" s="9" t="str">
        <f ca="1"/>
        <v>-</v>
      </c>
      <c r="AL226" s="35" t="str">
        <v>NÃO</v>
      </c>
      <c r="AM226" s="109" cm="1">
        <f t="array" aca="1" ref="AM226" ca="1">IF('Banco de Dados'!$AK226&lt;&gt;"-",_xlfn.IFS('Banco de Dados'!$A226="bv",IF('Banco de Dados'!$E226&lt;45641,ROUND(SUM('Banco de Dados'!$R226*_xlfn.XLOOKUP('Banco de Dados'!$P226,Sku!B:B,Sku!#REF!)*20%),2),ROUND(SUM('Banco de Dados'!$R226*_xlfn.XLOOKUP('Banco de Dados'!$P226,Sku!B:B,Sku!H:H)*20%),2)),'Banco de Dados'!$A226="GO",ROUND(_xlfn.XLOOKUP('Banco de Dados'!$P226,Sku!C:C,Sku!H:H),2),'Banco de Dados'!$A226="MEI",ROUND(_xlfn.XLOOKUP('Banco de Dados'!$P226,Sku!D:D,Sku!H:H),2)),0)</f>
        <v>0</v>
      </c>
      <c r="AN226" s="109">
        <f ca="1">IF('Banco de Dados'!$AK226&lt;&gt;"-",IF('Banco de Dados'!$F226&lt;&gt;"-",_xlfn.XLOOKUP(IFERROR(IFERROR(IFERROR(VALUE(SUBSTITUTE(MID(_xlfn.TEXTAFTER('Banco de Dados'!$F226,"Data do Pedido:
",1),1,10),"-","/")),VALUE(SUBSTITUTE(MID(_xlfn.TEXTAFTER('Banco de Dados'!$F226,"Order date:
",1),1,10),"-","/"))),VALUE(SUBSTITUTE(MID(_xlfn.TEXTAFTER('Banco de Dados'!$F226,"Fecha de pedido:
",1),1,10),"-","/"))),"-"),SMS!A:A,SMS!K:K),0),0)</f>
        <v>0</v>
      </c>
      <c r="AO226" s="109">
        <f ca="1">IF('Banco de Dados'!$AK226&lt;&gt;"-",IF('Banco de Dados'!$F226&lt;&gt;"-",IFERROR(_xlfn.XLOOKUP(_xlfn.CONCAT('Banco de Dados'!$A226,IFERROR(IFERROR(VALUE(SUBSTITUTE(MID(_xlfn.TEXTAFTER('Banco de Dados'!$F226,"Data do Pedido:
",1),1,10),"-","/")),VALUE(SUBSTITUTE(MID(_xlfn.TEXTAFTER('Banco de Dados'!$F226,"Order date:
",1),1,10),"-","/"))),0)),ProxyDD[Chave],ProxyDD[Valor por pedido]),PROXY!$P$2),0),0)</f>
        <v>0</v>
      </c>
      <c r="AP226" s="28">
        <f ca="1">IF('Banco de Dados'!$AK226&lt;&gt;"-",IF('Banco de Dados'!$AL226="NÃO",IFERROR(VALUE(SUBSTITUTE(_xlfn.TEXTAFTER('Banco de Dados'!$F226,"BRL ",1),".",",")),0),0),0)</f>
        <v>0</v>
      </c>
      <c r="AQ226" s="28">
        <f ca="1">SUM('Banco de Dados'!$AM226:$AP226)</f>
        <v>0</v>
      </c>
      <c r="AR226" s="8"/>
      <c r="AS226" s="8"/>
      <c r="AY226" s="8"/>
    </row>
    <row r="227" spans="1:51">
      <c r="A227" s="5" t="str">
        <v>BV</v>
      </c>
      <c r="B227" s="5" t="str">
        <f ca="1"/>
        <v>BV45598</v>
      </c>
      <c r="C227" s="8" t="str">
        <v>Pedido 224</v>
      </c>
      <c r="D227" s="9">
        <v>45598</v>
      </c>
      <c r="E227" s="9">
        <v>45598</v>
      </c>
      <c r="F227" s="8" t="str">
        <v>PedidoF217</v>
      </c>
      <c r="G227" s="2" t="str">
        <v>CódRastreio217</v>
      </c>
      <c r="H227" s="5">
        <v>1</v>
      </c>
      <c r="I227" s="182" t="str">
        <v>CPF 221</v>
      </c>
      <c r="J227" s="2" t="str">
        <v>Nome 221</v>
      </c>
      <c r="K227" s="8" t="str">
        <v>Tel 221</v>
      </c>
      <c r="L227" s="2" t="str">
        <v>Cep 221</v>
      </c>
      <c r="M227" s="2" t="str">
        <v>Rua 221</v>
      </c>
      <c r="N227" s="2" t="str">
        <v>Comp 221</v>
      </c>
      <c r="O227" s="2" t="str">
        <v>Bomba d'agua</v>
      </c>
      <c r="P227" s="8" t="str">
        <v>DJ-RO5O-43GF</v>
      </c>
      <c r="Q227" s="4">
        <v>45622</v>
      </c>
      <c r="R227" s="109">
        <v>16.5</v>
      </c>
      <c r="S227" s="11">
        <f ca="1"/>
        <v>16.5</v>
      </c>
      <c r="T227" s="28">
        <f ca="1"/>
        <v>2.31</v>
      </c>
      <c r="U227" s="11">
        <f ca="1"/>
        <v>14.19</v>
      </c>
      <c r="V227" s="11">
        <v>4.99</v>
      </c>
      <c r="W227" s="11">
        <f ca="1"/>
        <v>0.36</v>
      </c>
      <c r="X227" s="11">
        <f ca="1"/>
        <v>0.39877104377104378</v>
      </c>
      <c r="Y227" s="11">
        <v>0</v>
      </c>
      <c r="Z227" s="11">
        <f ca="1"/>
        <v>8.4412289562289544</v>
      </c>
      <c r="AA227" s="11">
        <f ca="1"/>
        <v>4.2206144781144772</v>
      </c>
      <c r="AB227" s="4">
        <f ca="1"/>
        <v>45629</v>
      </c>
      <c r="AC227" s="4">
        <v>45629</v>
      </c>
      <c r="AD227" s="9">
        <v>45637</v>
      </c>
      <c r="AE227" s="9">
        <v>45642</v>
      </c>
      <c r="AF227" s="4" t="str">
        <f t="shared" ca="1" si="3"/>
        <v>2024 12</v>
      </c>
      <c r="AG227" s="8" t="str" cm="1">
        <f t="array" ref="AG227">IFERROR(_xlfn.IFS('Banco de Dados'!#REF!="AG. COMPRA","Em processamento",'Banco de Dados'!#REF!="AG. RASTREIO","Em processamento",'Banco de Dados'!$AE227&lt;&gt;"-","Faturado",'Banco de Dados'!$AD227&lt;&gt;"-","Aguardando Pix",'Banco de Dados'!$AC227&lt;&gt;"-","Pendente"),"Aguardando Liberação")</f>
        <v>Aguardando Liberação</v>
      </c>
      <c r="AH227" s="5" t="str">
        <f>IF('Banco de Dados'!$F227="-",_xlfn.CONCAT(PROPER(TEXT(AK227,"aaaa"))," ",PROPER(TEXT(AK227,"mm"))),_xlfn.CONCAT(PROPER(TEXT(E227,"aaaa"))," ",PROPER(TEXT(E227,"mm"))))</f>
        <v>2024 11</v>
      </c>
      <c r="AI227" s="9" t="str">
        <f ca="1">IF('Banco de Dados'!$AK227&lt;&gt;"-","REEMBOLSO",IFERROR(_xlfn.XLOOKUP(G227,Follow[CODRASTREIO],Follow[STATUS]),"-"))</f>
        <v>ENTREGUE</v>
      </c>
      <c r="AJ227" s="9">
        <f ca="1">IF('Banco de Dados'!$AI227="ENTREGUE",_xlfn.XLOOKUP('Banco de Dados'!$G227,Follow[CODRASTREIO],Follow[DATAATUALIZAÇÃO]),"-")</f>
        <v>45609</v>
      </c>
      <c r="AK227" s="9" t="str">
        <f ca="1"/>
        <v>-</v>
      </c>
      <c r="AL227" s="35" t="str">
        <v>NÃO</v>
      </c>
      <c r="AM227" s="109" cm="1">
        <f t="array" aca="1" ref="AM227" ca="1">IF('Banco de Dados'!$AK227&lt;&gt;"-",_xlfn.IFS('Banco de Dados'!$A227="bv",IF('Banco de Dados'!$E227&lt;45641,ROUND(SUM('Banco de Dados'!$R227*_xlfn.XLOOKUP('Banco de Dados'!$P227,Sku!B:B,Sku!#REF!)*20%),2),ROUND(SUM('Banco de Dados'!$R227*_xlfn.XLOOKUP('Banco de Dados'!$P227,Sku!B:B,Sku!H:H)*20%),2)),'Banco de Dados'!$A227="GO",ROUND(_xlfn.XLOOKUP('Banco de Dados'!$P227,Sku!C:C,Sku!H:H),2),'Banco de Dados'!$A227="MEI",ROUND(_xlfn.XLOOKUP('Banco de Dados'!$P227,Sku!D:D,Sku!H:H),2)),0)</f>
        <v>0</v>
      </c>
      <c r="AN227" s="109">
        <f ca="1">IF('Banco de Dados'!$AK227&lt;&gt;"-",IF('Banco de Dados'!$F227&lt;&gt;"-",_xlfn.XLOOKUP(IFERROR(IFERROR(IFERROR(VALUE(SUBSTITUTE(MID(_xlfn.TEXTAFTER('Banco de Dados'!$F227,"Data do Pedido:
",1),1,10),"-","/")),VALUE(SUBSTITUTE(MID(_xlfn.TEXTAFTER('Banco de Dados'!$F227,"Order date:
",1),1,10),"-","/"))),VALUE(SUBSTITUTE(MID(_xlfn.TEXTAFTER('Banco de Dados'!$F227,"Fecha de pedido:
",1),1,10),"-","/"))),"-"),SMS!A:A,SMS!K:K),0),0)</f>
        <v>0</v>
      </c>
      <c r="AO227" s="109">
        <f ca="1">IF('Banco de Dados'!$AK227&lt;&gt;"-",IF('Banco de Dados'!$F227&lt;&gt;"-",IFERROR(_xlfn.XLOOKUP(_xlfn.CONCAT('Banco de Dados'!$A227,IFERROR(IFERROR(VALUE(SUBSTITUTE(MID(_xlfn.TEXTAFTER('Banco de Dados'!$F227,"Data do Pedido:
",1),1,10),"-","/")),VALUE(SUBSTITUTE(MID(_xlfn.TEXTAFTER('Banco de Dados'!$F227,"Order date:
",1),1,10),"-","/"))),0)),ProxyDD[Chave],ProxyDD[Valor por pedido]),PROXY!$P$2),0),0)</f>
        <v>0</v>
      </c>
      <c r="AP227" s="28">
        <f ca="1">IF('Banco de Dados'!$AK227&lt;&gt;"-",IF('Banco de Dados'!$AL227="NÃO",IFERROR(VALUE(SUBSTITUTE(_xlfn.TEXTAFTER('Banco de Dados'!$F227,"BRL ",1),".",",")),0),0),0)</f>
        <v>0</v>
      </c>
      <c r="AQ227" s="28">
        <f ca="1">SUM('Banco de Dados'!$AM227:$AP227)</f>
        <v>0</v>
      </c>
      <c r="AR227" s="8"/>
      <c r="AS227" s="8"/>
      <c r="AY227" s="8"/>
    </row>
    <row r="228" spans="1:51">
      <c r="A228" s="5" t="str">
        <v>BV</v>
      </c>
      <c r="B228" s="5" t="str">
        <f ca="1"/>
        <v>BV45598</v>
      </c>
      <c r="C228" s="8" t="str">
        <v>Pedido 225</v>
      </c>
      <c r="D228" s="9">
        <v>45598</v>
      </c>
      <c r="E228" s="9">
        <v>45598</v>
      </c>
      <c r="F228" s="8" t="str">
        <v>PedidoF218</v>
      </c>
      <c r="G228" s="2" t="str">
        <v>CódRastreio218</v>
      </c>
      <c r="H228" s="5">
        <v>1</v>
      </c>
      <c r="I228" s="182" t="str">
        <v>CPF 222</v>
      </c>
      <c r="J228" s="2" t="str">
        <v>Nome 222</v>
      </c>
      <c r="K228" s="8" t="str">
        <v>Tel 222</v>
      </c>
      <c r="L228" s="2" t="str">
        <v>Cep 222</v>
      </c>
      <c r="M228" s="2" t="str">
        <v>Rua 222</v>
      </c>
      <c r="N228" s="2" t="str">
        <v>Comp 222</v>
      </c>
      <c r="O228" s="2" t="str">
        <v>Bomba d'agua</v>
      </c>
      <c r="P228" s="8" t="str">
        <v>DJ-RO5O-43GF</v>
      </c>
      <c r="Q228" s="4">
        <v>45626</v>
      </c>
      <c r="R228" s="109">
        <v>16.5</v>
      </c>
      <c r="S228" s="11">
        <f ca="1"/>
        <v>16.5</v>
      </c>
      <c r="T228" s="28">
        <f ca="1"/>
        <v>2.31</v>
      </c>
      <c r="U228" s="11">
        <f ca="1"/>
        <v>14.19</v>
      </c>
      <c r="V228" s="11">
        <v>4.99</v>
      </c>
      <c r="W228" s="11">
        <f ca="1"/>
        <v>0.36</v>
      </c>
      <c r="X228" s="11">
        <f ca="1"/>
        <v>0.39877104377104378</v>
      </c>
      <c r="Y228" s="11">
        <v>0</v>
      </c>
      <c r="Z228" s="11">
        <f ca="1"/>
        <v>8.4412289562289544</v>
      </c>
      <c r="AA228" s="11">
        <f ca="1"/>
        <v>4.2206144781144772</v>
      </c>
      <c r="AB228" s="4">
        <f ca="1"/>
        <v>45633</v>
      </c>
      <c r="AC228" s="4">
        <v>45633</v>
      </c>
      <c r="AD228" s="9">
        <v>45637</v>
      </c>
      <c r="AE228" s="9">
        <v>45642</v>
      </c>
      <c r="AF228" s="4" t="str">
        <f t="shared" ca="1" si="3"/>
        <v>2024 12</v>
      </c>
      <c r="AG228" s="8" t="str" cm="1">
        <f t="array" ref="AG228">IFERROR(_xlfn.IFS('Banco de Dados'!#REF!="AG. COMPRA","Em processamento",'Banco de Dados'!#REF!="AG. RASTREIO","Em processamento",'Banco de Dados'!$AE228&lt;&gt;"-","Faturado",'Banco de Dados'!$AD228&lt;&gt;"-","Aguardando Pix",'Banco de Dados'!$AC228&lt;&gt;"-","Pendente"),"Aguardando Liberação")</f>
        <v>Aguardando Liberação</v>
      </c>
      <c r="AH228" s="5" t="str">
        <f>IF('Banco de Dados'!$F228="-",_xlfn.CONCAT(PROPER(TEXT(AK228,"aaaa"))," ",PROPER(TEXT(AK228,"mm"))),_xlfn.CONCAT(PROPER(TEXT(E228,"aaaa"))," ",PROPER(TEXT(E228,"mm"))))</f>
        <v>2024 11</v>
      </c>
      <c r="AI228" s="9" t="str">
        <f ca="1">IF('Banco de Dados'!$AK228&lt;&gt;"-","REEMBOLSO",IFERROR(_xlfn.XLOOKUP(G228,Follow[CODRASTREIO],Follow[STATUS]),"-"))</f>
        <v>ENTREGUE</v>
      </c>
      <c r="AJ228" s="9">
        <f ca="1">IF('Banco de Dados'!$AI228="ENTREGUE",_xlfn.XLOOKUP('Banco de Dados'!$G228,Follow[CODRASTREIO],Follow[DATAATUALIZAÇÃO]),"-")</f>
        <v>45608</v>
      </c>
      <c r="AK228" s="9" t="str">
        <f ca="1"/>
        <v>-</v>
      </c>
      <c r="AL228" s="35" t="str">
        <v>NÃO</v>
      </c>
      <c r="AM228" s="109" cm="1">
        <f t="array" aca="1" ref="AM228" ca="1">IF('Banco de Dados'!$AK228&lt;&gt;"-",_xlfn.IFS('Banco de Dados'!$A228="bv",IF('Banco de Dados'!$E228&lt;45641,ROUND(SUM('Banco de Dados'!$R228*_xlfn.XLOOKUP('Banco de Dados'!$P228,Sku!B:B,Sku!#REF!)*20%),2),ROUND(SUM('Banco de Dados'!$R228*_xlfn.XLOOKUP('Banco de Dados'!$P228,Sku!B:B,Sku!H:H)*20%),2)),'Banco de Dados'!$A228="GO",ROUND(_xlfn.XLOOKUP('Banco de Dados'!$P228,Sku!C:C,Sku!H:H),2),'Banco de Dados'!$A228="MEI",ROUND(_xlfn.XLOOKUP('Banco de Dados'!$P228,Sku!D:D,Sku!H:H),2)),0)</f>
        <v>0</v>
      </c>
      <c r="AN228" s="109">
        <f ca="1">IF('Banco de Dados'!$AK228&lt;&gt;"-",IF('Banco de Dados'!$F228&lt;&gt;"-",_xlfn.XLOOKUP(IFERROR(IFERROR(IFERROR(VALUE(SUBSTITUTE(MID(_xlfn.TEXTAFTER('Banco de Dados'!$F228,"Data do Pedido:
",1),1,10),"-","/")),VALUE(SUBSTITUTE(MID(_xlfn.TEXTAFTER('Banco de Dados'!$F228,"Order date:
",1),1,10),"-","/"))),VALUE(SUBSTITUTE(MID(_xlfn.TEXTAFTER('Banco de Dados'!$F228,"Fecha de pedido:
",1),1,10),"-","/"))),"-"),SMS!A:A,SMS!K:K),0),0)</f>
        <v>0</v>
      </c>
      <c r="AO228" s="109">
        <f ca="1">IF('Banco de Dados'!$AK228&lt;&gt;"-",IF('Banco de Dados'!$F228&lt;&gt;"-",IFERROR(_xlfn.XLOOKUP(_xlfn.CONCAT('Banco de Dados'!$A228,IFERROR(IFERROR(VALUE(SUBSTITUTE(MID(_xlfn.TEXTAFTER('Banco de Dados'!$F228,"Data do Pedido:
",1),1,10),"-","/")),VALUE(SUBSTITUTE(MID(_xlfn.TEXTAFTER('Banco de Dados'!$F228,"Order date:
",1),1,10),"-","/"))),0)),ProxyDD[Chave],ProxyDD[Valor por pedido]),PROXY!$P$2),0),0)</f>
        <v>0</v>
      </c>
      <c r="AP228" s="28">
        <f ca="1">IF('Banco de Dados'!$AK228&lt;&gt;"-",IF('Banco de Dados'!$AL228="NÃO",IFERROR(VALUE(SUBSTITUTE(_xlfn.TEXTAFTER('Banco de Dados'!$F228,"BRL ",1),".",",")),0),0),0)</f>
        <v>0</v>
      </c>
      <c r="AQ228" s="28">
        <f ca="1">SUM('Banco de Dados'!$AM228:$AP228)</f>
        <v>0</v>
      </c>
      <c r="AR228" s="8"/>
      <c r="AS228" s="8"/>
      <c r="AY228" s="8"/>
    </row>
    <row r="229" spans="1:51">
      <c r="A229" s="5" t="str">
        <v>BV</v>
      </c>
      <c r="B229" s="5" t="str">
        <f ca="1"/>
        <v>BV45598</v>
      </c>
      <c r="C229" s="8" t="str">
        <v>Pedido 226</v>
      </c>
      <c r="D229" s="9">
        <v>45598</v>
      </c>
      <c r="E229" s="9">
        <v>45598</v>
      </c>
      <c r="F229" s="8" t="str">
        <v>PedidoF219</v>
      </c>
      <c r="G229" s="2" t="str">
        <v>CódRastreio219</v>
      </c>
      <c r="H229" s="5">
        <v>1</v>
      </c>
      <c r="I229" s="182" t="str">
        <v>CPF 223</v>
      </c>
      <c r="J229" s="2" t="str">
        <v>Nome 223</v>
      </c>
      <c r="K229" s="8" t="str">
        <v>Tel 223</v>
      </c>
      <c r="L229" s="2" t="str">
        <v>Cep 223</v>
      </c>
      <c r="M229" s="2" t="str">
        <v>Rua 223</v>
      </c>
      <c r="N229" s="2" t="str">
        <v>Comp 223</v>
      </c>
      <c r="O229" s="2" t="str">
        <v>Bomba d'agua</v>
      </c>
      <c r="P229" s="8" t="str">
        <v>DJ-RO5O-43GF</v>
      </c>
      <c r="Q229" s="4">
        <v>45615</v>
      </c>
      <c r="R229" s="109">
        <v>16.5</v>
      </c>
      <c r="S229" s="11">
        <f ca="1"/>
        <v>16.5</v>
      </c>
      <c r="T229" s="28">
        <f ca="1"/>
        <v>2.31</v>
      </c>
      <c r="U229" s="11">
        <f ca="1"/>
        <v>14.19</v>
      </c>
      <c r="V229" s="11">
        <v>4.99</v>
      </c>
      <c r="W229" s="11">
        <f ca="1"/>
        <v>0.36</v>
      </c>
      <c r="X229" s="11">
        <f ca="1"/>
        <v>0.39877104377104378</v>
      </c>
      <c r="Y229" s="11">
        <v>0</v>
      </c>
      <c r="Z229" s="11">
        <f ca="1"/>
        <v>8.4412289562289544</v>
      </c>
      <c r="AA229" s="11">
        <f ca="1"/>
        <v>4.2206144781144772</v>
      </c>
      <c r="AB229" s="4">
        <f ca="1"/>
        <v>45622</v>
      </c>
      <c r="AC229" s="4">
        <v>45622</v>
      </c>
      <c r="AD229" s="9">
        <v>45625</v>
      </c>
      <c r="AE229" s="9">
        <v>45625</v>
      </c>
      <c r="AF229" s="4" t="str">
        <f t="shared" ca="1" si="3"/>
        <v>2024 11</v>
      </c>
      <c r="AG229" s="8" t="str" cm="1">
        <f t="array" ref="AG229">IFERROR(_xlfn.IFS('Banco de Dados'!#REF!="AG. COMPRA","Em processamento",'Banco de Dados'!#REF!="AG. RASTREIO","Em processamento",'Banco de Dados'!$AE229&lt;&gt;"-","Faturado",'Banco de Dados'!$AD229&lt;&gt;"-","Aguardando Pix",'Banco de Dados'!$AC229&lt;&gt;"-","Pendente"),"Aguardando Liberação")</f>
        <v>Aguardando Liberação</v>
      </c>
      <c r="AH229" s="5" t="str">
        <f>IF('Banco de Dados'!$F229="-",_xlfn.CONCAT(PROPER(TEXT(AK229,"aaaa"))," ",PROPER(TEXT(AK229,"mm"))),_xlfn.CONCAT(PROPER(TEXT(E229,"aaaa"))," ",PROPER(TEXT(E229,"mm"))))</f>
        <v>2024 11</v>
      </c>
      <c r="AI229" s="9" t="str">
        <f ca="1">IF('Banco de Dados'!$AK229&lt;&gt;"-","REEMBOLSO",IFERROR(_xlfn.XLOOKUP(G229,Follow[CODRASTREIO],Follow[STATUS]),"-"))</f>
        <v>ENTREGUE</v>
      </c>
      <c r="AJ229" s="9">
        <f ca="1">IF('Banco de Dados'!$AI229="ENTREGUE",_xlfn.XLOOKUP('Banco de Dados'!$G229,Follow[CODRASTREIO],Follow[DATAATUALIZAÇÃO]),"-")</f>
        <v>45610</v>
      </c>
      <c r="AK229" s="9" t="str">
        <f ca="1"/>
        <v>-</v>
      </c>
      <c r="AL229" s="35" t="str">
        <v>NÃO</v>
      </c>
      <c r="AM229" s="109" cm="1">
        <f t="array" aca="1" ref="AM229" ca="1">IF('Banco de Dados'!$AK229&lt;&gt;"-",_xlfn.IFS('Banco de Dados'!$A229="bv",IF('Banco de Dados'!$E229&lt;45641,ROUND(SUM('Banco de Dados'!$R229*_xlfn.XLOOKUP('Banco de Dados'!$P229,Sku!B:B,Sku!#REF!)*20%),2),ROUND(SUM('Banco de Dados'!$R229*_xlfn.XLOOKUP('Banco de Dados'!$P229,Sku!B:B,Sku!H:H)*20%),2)),'Banco de Dados'!$A229="GO",ROUND(_xlfn.XLOOKUP('Banco de Dados'!$P229,Sku!C:C,Sku!H:H),2),'Banco de Dados'!$A229="MEI",ROUND(_xlfn.XLOOKUP('Banco de Dados'!$P229,Sku!D:D,Sku!H:H),2)),0)</f>
        <v>0</v>
      </c>
      <c r="AN229" s="109">
        <f ca="1">IF('Banco de Dados'!$AK229&lt;&gt;"-",IF('Banco de Dados'!$F229&lt;&gt;"-",_xlfn.XLOOKUP(IFERROR(IFERROR(IFERROR(VALUE(SUBSTITUTE(MID(_xlfn.TEXTAFTER('Banco de Dados'!$F229,"Data do Pedido:
",1),1,10),"-","/")),VALUE(SUBSTITUTE(MID(_xlfn.TEXTAFTER('Banco de Dados'!$F229,"Order date:
",1),1,10),"-","/"))),VALUE(SUBSTITUTE(MID(_xlfn.TEXTAFTER('Banco de Dados'!$F229,"Fecha de pedido:
",1),1,10),"-","/"))),"-"),SMS!A:A,SMS!K:K),0),0)</f>
        <v>0</v>
      </c>
      <c r="AO229" s="109">
        <f ca="1">IF('Banco de Dados'!$AK229&lt;&gt;"-",IF('Banco de Dados'!$F229&lt;&gt;"-",IFERROR(_xlfn.XLOOKUP(_xlfn.CONCAT('Banco de Dados'!$A229,IFERROR(IFERROR(VALUE(SUBSTITUTE(MID(_xlfn.TEXTAFTER('Banco de Dados'!$F229,"Data do Pedido:
",1),1,10),"-","/")),VALUE(SUBSTITUTE(MID(_xlfn.TEXTAFTER('Banco de Dados'!$F229,"Order date:
",1),1,10),"-","/"))),0)),ProxyDD[Chave],ProxyDD[Valor por pedido]),PROXY!$P$2),0),0)</f>
        <v>0</v>
      </c>
      <c r="AP229" s="28">
        <f ca="1">IF('Banco de Dados'!$AK229&lt;&gt;"-",IF('Banco de Dados'!$AL229="NÃO",IFERROR(VALUE(SUBSTITUTE(_xlfn.TEXTAFTER('Banco de Dados'!$F229,"BRL ",1),".",",")),0),0),0)</f>
        <v>0</v>
      </c>
      <c r="AQ229" s="28">
        <f ca="1">SUM('Banco de Dados'!$AM229:$AP229)</f>
        <v>0</v>
      </c>
      <c r="AR229" s="8"/>
      <c r="AS229" s="8"/>
      <c r="AY229" s="8"/>
    </row>
    <row r="230" spans="1:51">
      <c r="A230" s="5" t="str">
        <v>BV</v>
      </c>
      <c r="B230" s="5" t="str">
        <f ca="1"/>
        <v>BV45598</v>
      </c>
      <c r="C230" s="8" t="str">
        <v>Pedido 227</v>
      </c>
      <c r="D230" s="9">
        <v>45598</v>
      </c>
      <c r="E230" s="9">
        <v>45598</v>
      </c>
      <c r="F230" s="8" t="str">
        <v>PedidoF220</v>
      </c>
      <c r="G230" s="2" t="str">
        <v>CódRastreio220</v>
      </c>
      <c r="H230" s="5">
        <v>1</v>
      </c>
      <c r="I230" s="182" t="str">
        <v>CPF 224</v>
      </c>
      <c r="J230" s="2" t="str">
        <v>Nome 224</v>
      </c>
      <c r="K230" s="8" t="str">
        <v>Tel 224</v>
      </c>
      <c r="L230" s="2" t="str">
        <v>Cep 224</v>
      </c>
      <c r="M230" s="2" t="str">
        <v>Rua 224</v>
      </c>
      <c r="N230" s="2" t="str">
        <v>Comp 224</v>
      </c>
      <c r="O230" s="2" t="str">
        <v>Bomba d'agua</v>
      </c>
      <c r="P230" s="8" t="str">
        <v>DJ-RO5O-43GF</v>
      </c>
      <c r="Q230" s="4">
        <v>45615</v>
      </c>
      <c r="R230" s="109">
        <v>16.5</v>
      </c>
      <c r="S230" s="11">
        <f ca="1"/>
        <v>16.5</v>
      </c>
      <c r="T230" s="28">
        <f ca="1"/>
        <v>2.31</v>
      </c>
      <c r="U230" s="11">
        <f ca="1"/>
        <v>14.19</v>
      </c>
      <c r="V230" s="11">
        <v>4.99</v>
      </c>
      <c r="W230" s="11">
        <f ca="1"/>
        <v>0.36</v>
      </c>
      <c r="X230" s="11">
        <f ca="1"/>
        <v>0.39877104377104378</v>
      </c>
      <c r="Y230" s="11">
        <v>0</v>
      </c>
      <c r="Z230" s="11">
        <f ca="1"/>
        <v>8.4412289562289544</v>
      </c>
      <c r="AA230" s="11">
        <f ca="1"/>
        <v>4.2206144781144772</v>
      </c>
      <c r="AB230" s="4">
        <f ca="1"/>
        <v>45622</v>
      </c>
      <c r="AC230" s="4">
        <v>45622</v>
      </c>
      <c r="AD230" s="9">
        <v>45625</v>
      </c>
      <c r="AE230" s="9">
        <v>45625</v>
      </c>
      <c r="AF230" s="4" t="str">
        <f t="shared" ca="1" si="3"/>
        <v>2024 11</v>
      </c>
      <c r="AG230" s="8" t="str" cm="1">
        <f t="array" ref="AG230">IFERROR(_xlfn.IFS('Banco de Dados'!#REF!="AG. COMPRA","Em processamento",'Banco de Dados'!#REF!="AG. RASTREIO","Em processamento",'Banco de Dados'!$AE230&lt;&gt;"-","Faturado",'Banco de Dados'!$AD230&lt;&gt;"-","Aguardando Pix",'Banco de Dados'!$AC230&lt;&gt;"-","Pendente"),"Aguardando Liberação")</f>
        <v>Aguardando Liberação</v>
      </c>
      <c r="AH230" s="5" t="str">
        <f>IF('Banco de Dados'!$F230="-",_xlfn.CONCAT(PROPER(TEXT(AK230,"aaaa"))," ",PROPER(TEXT(AK230,"mm"))),_xlfn.CONCAT(PROPER(TEXT(E230,"aaaa"))," ",PROPER(TEXT(E230,"mm"))))</f>
        <v>2024 11</v>
      </c>
      <c r="AI230" s="9" t="str">
        <f ca="1">IF('Banco de Dados'!$AK230&lt;&gt;"-","REEMBOLSO",IFERROR(_xlfn.XLOOKUP(G230,Follow[CODRASTREIO],Follow[STATUS]),"-"))</f>
        <v>ENTREGUE</v>
      </c>
      <c r="AJ230" s="9">
        <f ca="1">IF('Banco de Dados'!$AI230="ENTREGUE",_xlfn.XLOOKUP('Banco de Dados'!$G230,Follow[CODRASTREIO],Follow[DATAATUALIZAÇÃO]),"-")</f>
        <v>45604</v>
      </c>
      <c r="AK230" s="9" t="str">
        <f ca="1"/>
        <v>-</v>
      </c>
      <c r="AL230" s="35" t="str">
        <v>NÃO</v>
      </c>
      <c r="AM230" s="109" cm="1">
        <f t="array" aca="1" ref="AM230" ca="1">IF('Banco de Dados'!$AK230&lt;&gt;"-",_xlfn.IFS('Banco de Dados'!$A230="bv",IF('Banco de Dados'!$E230&lt;45641,ROUND(SUM('Banco de Dados'!$R230*_xlfn.XLOOKUP('Banco de Dados'!$P230,Sku!B:B,Sku!#REF!)*20%),2),ROUND(SUM('Banco de Dados'!$R230*_xlfn.XLOOKUP('Banco de Dados'!$P230,Sku!B:B,Sku!H:H)*20%),2)),'Banco de Dados'!$A230="GO",ROUND(_xlfn.XLOOKUP('Banco de Dados'!$P230,Sku!C:C,Sku!H:H),2),'Banco de Dados'!$A230="MEI",ROUND(_xlfn.XLOOKUP('Banco de Dados'!$P230,Sku!D:D,Sku!H:H),2)),0)</f>
        <v>0</v>
      </c>
      <c r="AN230" s="109">
        <f ca="1">IF('Banco de Dados'!$AK230&lt;&gt;"-",IF('Banco de Dados'!$F230&lt;&gt;"-",_xlfn.XLOOKUP(IFERROR(IFERROR(IFERROR(VALUE(SUBSTITUTE(MID(_xlfn.TEXTAFTER('Banco de Dados'!$F230,"Data do Pedido:
",1),1,10),"-","/")),VALUE(SUBSTITUTE(MID(_xlfn.TEXTAFTER('Banco de Dados'!$F230,"Order date:
",1),1,10),"-","/"))),VALUE(SUBSTITUTE(MID(_xlfn.TEXTAFTER('Banco de Dados'!$F230,"Fecha de pedido:
",1),1,10),"-","/"))),"-"),SMS!A:A,SMS!K:K),0),0)</f>
        <v>0</v>
      </c>
      <c r="AO230" s="109">
        <f ca="1">IF('Banco de Dados'!$AK230&lt;&gt;"-",IF('Banco de Dados'!$F230&lt;&gt;"-",IFERROR(_xlfn.XLOOKUP(_xlfn.CONCAT('Banco de Dados'!$A230,IFERROR(IFERROR(VALUE(SUBSTITUTE(MID(_xlfn.TEXTAFTER('Banco de Dados'!$F230,"Data do Pedido:
",1),1,10),"-","/")),VALUE(SUBSTITUTE(MID(_xlfn.TEXTAFTER('Banco de Dados'!$F230,"Order date:
",1),1,10),"-","/"))),0)),ProxyDD[Chave],ProxyDD[Valor por pedido]),PROXY!$P$2),0),0)</f>
        <v>0</v>
      </c>
      <c r="AP230" s="28">
        <f ca="1">IF('Banco de Dados'!$AK230&lt;&gt;"-",IF('Banco de Dados'!$AL230="NÃO",IFERROR(VALUE(SUBSTITUTE(_xlfn.TEXTAFTER('Banco de Dados'!$F230,"BRL ",1),".",",")),0),0),0)</f>
        <v>0</v>
      </c>
      <c r="AQ230" s="28">
        <f ca="1">SUM('Banco de Dados'!$AM230:$AP230)</f>
        <v>0</v>
      </c>
      <c r="AR230" s="8"/>
      <c r="AS230" s="8"/>
      <c r="AY230" s="8"/>
    </row>
    <row r="231" spans="1:51">
      <c r="A231" s="5" t="str">
        <v>BV</v>
      </c>
      <c r="B231" s="5" t="str">
        <f ca="1"/>
        <v>BV45598</v>
      </c>
      <c r="C231" s="8" t="str">
        <v>Pedido 228</v>
      </c>
      <c r="D231" s="9">
        <v>45598</v>
      </c>
      <c r="E231" s="9">
        <v>45598</v>
      </c>
      <c r="F231" s="8" t="str">
        <v>PedidoF221</v>
      </c>
      <c r="G231" s="2" t="str">
        <v>CódRastreio221</v>
      </c>
      <c r="H231" s="5">
        <v>1</v>
      </c>
      <c r="I231" s="182" t="str">
        <v>CPF 225</v>
      </c>
      <c r="J231" s="2" t="str">
        <v>Nome 225</v>
      </c>
      <c r="K231" s="8" t="str">
        <v>Tel 225</v>
      </c>
      <c r="L231" s="2" t="str">
        <v>Cep 225</v>
      </c>
      <c r="M231" s="2" t="str">
        <v>Rua 225</v>
      </c>
      <c r="N231" s="2" t="str">
        <v>Comp 225</v>
      </c>
      <c r="O231" s="2" t="str">
        <v>Bomba d'agua</v>
      </c>
      <c r="P231" s="8" t="str">
        <v>DJ-RO5O-43GF</v>
      </c>
      <c r="Q231" s="4">
        <v>45622</v>
      </c>
      <c r="R231" s="109">
        <v>16.5</v>
      </c>
      <c r="S231" s="11">
        <f ca="1"/>
        <v>16.5</v>
      </c>
      <c r="T231" s="28">
        <f ca="1"/>
        <v>2.31</v>
      </c>
      <c r="U231" s="11">
        <f ca="1"/>
        <v>14.19</v>
      </c>
      <c r="V231" s="11">
        <v>4.99</v>
      </c>
      <c r="W231" s="11">
        <f ca="1"/>
        <v>0.36</v>
      </c>
      <c r="X231" s="11">
        <f ca="1"/>
        <v>0.39877104377104378</v>
      </c>
      <c r="Y231" s="11">
        <v>0</v>
      </c>
      <c r="Z231" s="11">
        <f ca="1"/>
        <v>8.4412289562289544</v>
      </c>
      <c r="AA231" s="11">
        <f ca="1"/>
        <v>4.2206144781144772</v>
      </c>
      <c r="AB231" s="4">
        <f ca="1"/>
        <v>45629</v>
      </c>
      <c r="AC231" s="4">
        <v>45629</v>
      </c>
      <c r="AD231" s="9">
        <v>45637</v>
      </c>
      <c r="AE231" s="9">
        <v>45642</v>
      </c>
      <c r="AF231" s="4" t="str">
        <f t="shared" ca="1" si="3"/>
        <v>2024 12</v>
      </c>
      <c r="AG231" s="8" t="str" cm="1">
        <f t="array" ref="AG231">IFERROR(_xlfn.IFS('Banco de Dados'!#REF!="AG. COMPRA","Em processamento",'Banco de Dados'!#REF!="AG. RASTREIO","Em processamento",'Banco de Dados'!$AE231&lt;&gt;"-","Faturado",'Banco de Dados'!$AD231&lt;&gt;"-","Aguardando Pix",'Banco de Dados'!$AC231&lt;&gt;"-","Pendente"),"Aguardando Liberação")</f>
        <v>Aguardando Liberação</v>
      </c>
      <c r="AH231" s="5" t="str">
        <f>IF('Banco de Dados'!$F231="-",_xlfn.CONCAT(PROPER(TEXT(AK231,"aaaa"))," ",PROPER(TEXT(AK231,"mm"))),_xlfn.CONCAT(PROPER(TEXT(E231,"aaaa"))," ",PROPER(TEXT(E231,"mm"))))</f>
        <v>2024 11</v>
      </c>
      <c r="AI231" s="9" t="str">
        <f ca="1">IF('Banco de Dados'!$AK231&lt;&gt;"-","REEMBOLSO",IFERROR(_xlfn.XLOOKUP(G231,Follow[CODRASTREIO],Follow[STATUS]),"-"))</f>
        <v>ENTREGUE</v>
      </c>
      <c r="AJ231" s="9">
        <f ca="1">IF('Banco de Dados'!$AI231="ENTREGUE",_xlfn.XLOOKUP('Banco de Dados'!$G231,Follow[CODRASTREIO],Follow[DATAATUALIZAÇÃO]),"-")</f>
        <v>45608</v>
      </c>
      <c r="AK231" s="9" t="str">
        <f ca="1"/>
        <v>-</v>
      </c>
      <c r="AL231" s="35" t="str">
        <v>NÃO</v>
      </c>
      <c r="AM231" s="109" cm="1">
        <f t="array" aca="1" ref="AM231" ca="1">IF('Banco de Dados'!$AK231&lt;&gt;"-",_xlfn.IFS('Banco de Dados'!$A231="bv",IF('Banco de Dados'!$E231&lt;45641,ROUND(SUM('Banco de Dados'!$R231*_xlfn.XLOOKUP('Banco de Dados'!$P231,Sku!B:B,Sku!#REF!)*20%),2),ROUND(SUM('Banco de Dados'!$R231*_xlfn.XLOOKUP('Banco de Dados'!$P231,Sku!B:B,Sku!H:H)*20%),2)),'Banco de Dados'!$A231="GO",ROUND(_xlfn.XLOOKUP('Banco de Dados'!$P231,Sku!C:C,Sku!H:H),2),'Banco de Dados'!$A231="MEI",ROUND(_xlfn.XLOOKUP('Banco de Dados'!$P231,Sku!D:D,Sku!H:H),2)),0)</f>
        <v>0</v>
      </c>
      <c r="AN231" s="109">
        <f ca="1">IF('Banco de Dados'!$AK231&lt;&gt;"-",IF('Banco de Dados'!$F231&lt;&gt;"-",_xlfn.XLOOKUP(IFERROR(IFERROR(IFERROR(VALUE(SUBSTITUTE(MID(_xlfn.TEXTAFTER('Banco de Dados'!$F231,"Data do Pedido:
",1),1,10),"-","/")),VALUE(SUBSTITUTE(MID(_xlfn.TEXTAFTER('Banco de Dados'!$F231,"Order date:
",1),1,10),"-","/"))),VALUE(SUBSTITUTE(MID(_xlfn.TEXTAFTER('Banco de Dados'!$F231,"Fecha de pedido:
",1),1,10),"-","/"))),"-"),SMS!A:A,SMS!K:K),0),0)</f>
        <v>0</v>
      </c>
      <c r="AO231" s="109">
        <f ca="1">IF('Banco de Dados'!$AK231&lt;&gt;"-",IF('Banco de Dados'!$F231&lt;&gt;"-",IFERROR(_xlfn.XLOOKUP(_xlfn.CONCAT('Banco de Dados'!$A231,IFERROR(IFERROR(VALUE(SUBSTITUTE(MID(_xlfn.TEXTAFTER('Banco de Dados'!$F231,"Data do Pedido:
",1),1,10),"-","/")),VALUE(SUBSTITUTE(MID(_xlfn.TEXTAFTER('Banco de Dados'!$F231,"Order date:
",1),1,10),"-","/"))),0)),ProxyDD[Chave],ProxyDD[Valor por pedido]),PROXY!$P$2),0),0)</f>
        <v>0</v>
      </c>
      <c r="AP231" s="28">
        <f ca="1">IF('Banco de Dados'!$AK231&lt;&gt;"-",IF('Banco de Dados'!$AL231="NÃO",IFERROR(VALUE(SUBSTITUTE(_xlfn.TEXTAFTER('Banco de Dados'!$F231,"BRL ",1),".",",")),0),0),0)</f>
        <v>0</v>
      </c>
      <c r="AQ231" s="28">
        <f ca="1">SUM('Banco de Dados'!$AM231:$AP231)</f>
        <v>0</v>
      </c>
      <c r="AR231" s="8"/>
      <c r="AS231" s="8"/>
      <c r="AY231" s="8"/>
    </row>
    <row r="232" spans="1:51">
      <c r="A232" s="5" t="str">
        <v>BV</v>
      </c>
      <c r="B232" s="5" t="str">
        <f ca="1"/>
        <v>BV45598</v>
      </c>
      <c r="C232" s="8" t="str">
        <v>Pedido 229</v>
      </c>
      <c r="D232" s="9">
        <v>45598</v>
      </c>
      <c r="E232" s="9">
        <v>45598</v>
      </c>
      <c r="F232" s="8" t="str">
        <v>PedidoF222</v>
      </c>
      <c r="G232" s="2" t="str">
        <v>CódRastreio222</v>
      </c>
      <c r="H232" s="5">
        <v>1</v>
      </c>
      <c r="I232" s="182" t="str">
        <v>CPF 226</v>
      </c>
      <c r="J232" s="2" t="str">
        <v>Nome 226</v>
      </c>
      <c r="K232" s="8" t="str">
        <v>Tel 226</v>
      </c>
      <c r="L232" s="2" t="str">
        <v>Cep 226</v>
      </c>
      <c r="M232" s="2" t="str">
        <v>Rua 226</v>
      </c>
      <c r="N232" s="2" t="str">
        <v>Comp 226</v>
      </c>
      <c r="O232" s="2" t="str">
        <v>Ventilador de teto</v>
      </c>
      <c r="P232" s="8" t="str">
        <v>ZO-J9IL-EN6L</v>
      </c>
      <c r="Q232" s="4">
        <v>45626</v>
      </c>
      <c r="R232" s="109">
        <v>48.5</v>
      </c>
      <c r="S232" s="11">
        <f ca="1"/>
        <v>48.5</v>
      </c>
      <c r="T232" s="28">
        <f ca="1"/>
        <v>6.7900000000000009</v>
      </c>
      <c r="U232" s="11">
        <f ca="1"/>
        <v>41.71</v>
      </c>
      <c r="V232" s="11">
        <v>7.29</v>
      </c>
      <c r="W232" s="11">
        <f ca="1"/>
        <v>0.36</v>
      </c>
      <c r="X232" s="11">
        <f ca="1"/>
        <v>0.39877104377104378</v>
      </c>
      <c r="Y232" s="11">
        <v>0</v>
      </c>
      <c r="Z232" s="11">
        <f ca="1"/>
        <v>33.661228956228953</v>
      </c>
      <c r="AA232" s="11">
        <f ca="1"/>
        <v>16.830614478114477</v>
      </c>
      <c r="AB232" s="4">
        <f ca="1"/>
        <v>45633</v>
      </c>
      <c r="AC232" s="4">
        <v>45633</v>
      </c>
      <c r="AD232" s="9">
        <v>45637</v>
      </c>
      <c r="AE232" s="9">
        <v>45642</v>
      </c>
      <c r="AF232" s="4" t="str">
        <f t="shared" ca="1" si="3"/>
        <v>2024 12</v>
      </c>
      <c r="AG232" s="8" t="str" cm="1">
        <f t="array" ref="AG232">IFERROR(_xlfn.IFS('Banco de Dados'!#REF!="AG. COMPRA","Em processamento",'Banco de Dados'!#REF!="AG. RASTREIO","Em processamento",'Banco de Dados'!$AE232&lt;&gt;"-","Faturado",'Banco de Dados'!$AD232&lt;&gt;"-","Aguardando Pix",'Banco de Dados'!$AC232&lt;&gt;"-","Pendente"),"Aguardando Liberação")</f>
        <v>Aguardando Liberação</v>
      </c>
      <c r="AH232" s="5" t="str">
        <f>IF('Banco de Dados'!$F232="-",_xlfn.CONCAT(PROPER(TEXT(AK232,"aaaa"))," ",PROPER(TEXT(AK232,"mm"))),_xlfn.CONCAT(PROPER(TEXT(E232,"aaaa"))," ",PROPER(TEXT(E232,"mm"))))</f>
        <v>2024 11</v>
      </c>
      <c r="AI232" s="9" t="str">
        <f ca="1">IF('Banco de Dados'!$AK232&lt;&gt;"-","REEMBOLSO",IFERROR(_xlfn.XLOOKUP(G232,Follow[CODRASTREIO],Follow[STATUS]),"-"))</f>
        <v>ENTREGUE</v>
      </c>
      <c r="AJ232" s="9">
        <f ca="1">IF('Banco de Dados'!$AI232="ENTREGUE",_xlfn.XLOOKUP('Banco de Dados'!$G232,Follow[CODRASTREIO],Follow[DATAATUALIZAÇÃO]),"-")</f>
        <v>45609</v>
      </c>
      <c r="AK232" s="9" t="str">
        <f ca="1"/>
        <v>-</v>
      </c>
      <c r="AL232" s="35" t="str">
        <v>NÃO</v>
      </c>
      <c r="AM232" s="109" cm="1">
        <f t="array" aca="1" ref="AM232" ca="1">IF('Banco de Dados'!$AK232&lt;&gt;"-",_xlfn.IFS('Banco de Dados'!$A232="bv",IF('Banco de Dados'!$E232&lt;45641,ROUND(SUM('Banco de Dados'!$R232*_xlfn.XLOOKUP('Banco de Dados'!$P232,Sku!B:B,Sku!#REF!)*20%),2),ROUND(SUM('Banco de Dados'!$R232*_xlfn.XLOOKUP('Banco de Dados'!$P232,Sku!B:B,Sku!H:H)*20%),2)),'Banco de Dados'!$A232="GO",ROUND(_xlfn.XLOOKUP('Banco de Dados'!$P232,Sku!C:C,Sku!H:H),2),'Banco de Dados'!$A232="MEI",ROUND(_xlfn.XLOOKUP('Banco de Dados'!$P232,Sku!D:D,Sku!H:H),2)),0)</f>
        <v>0</v>
      </c>
      <c r="AN232" s="109">
        <f ca="1">IF('Banco de Dados'!$AK232&lt;&gt;"-",IF('Banco de Dados'!$F232&lt;&gt;"-",_xlfn.XLOOKUP(IFERROR(IFERROR(IFERROR(VALUE(SUBSTITUTE(MID(_xlfn.TEXTAFTER('Banco de Dados'!$F232,"Data do Pedido:
",1),1,10),"-","/")),VALUE(SUBSTITUTE(MID(_xlfn.TEXTAFTER('Banco de Dados'!$F232,"Order date:
",1),1,10),"-","/"))),VALUE(SUBSTITUTE(MID(_xlfn.TEXTAFTER('Banco de Dados'!$F232,"Fecha de pedido:
",1),1,10),"-","/"))),"-"),SMS!A:A,SMS!K:K),0),0)</f>
        <v>0</v>
      </c>
      <c r="AO232" s="109">
        <f ca="1">IF('Banco de Dados'!$AK232&lt;&gt;"-",IF('Banco de Dados'!$F232&lt;&gt;"-",IFERROR(_xlfn.XLOOKUP(_xlfn.CONCAT('Banco de Dados'!$A232,IFERROR(IFERROR(VALUE(SUBSTITUTE(MID(_xlfn.TEXTAFTER('Banco de Dados'!$F232,"Data do Pedido:
",1),1,10),"-","/")),VALUE(SUBSTITUTE(MID(_xlfn.TEXTAFTER('Banco de Dados'!$F232,"Order date:
",1),1,10),"-","/"))),0)),ProxyDD[Chave],ProxyDD[Valor por pedido]),PROXY!$P$2),0),0)</f>
        <v>0</v>
      </c>
      <c r="AP232" s="28">
        <f ca="1">IF('Banco de Dados'!$AK232&lt;&gt;"-",IF('Banco de Dados'!$AL232="NÃO",IFERROR(VALUE(SUBSTITUTE(_xlfn.TEXTAFTER('Banco de Dados'!$F232,"BRL ",1),".",",")),0),0),0)</f>
        <v>0</v>
      </c>
      <c r="AQ232" s="28">
        <f ca="1">SUM('Banco de Dados'!$AM232:$AP232)</f>
        <v>0</v>
      </c>
      <c r="AR232" s="8"/>
      <c r="AS232" s="8"/>
      <c r="AY232" s="8"/>
    </row>
    <row r="233" spans="1:51">
      <c r="A233" s="5" t="str">
        <v>BV</v>
      </c>
      <c r="B233" s="5" t="str">
        <f ca="1"/>
        <v>BV45598</v>
      </c>
      <c r="C233" s="8" t="str">
        <v>Pedido 230</v>
      </c>
      <c r="D233" s="9">
        <v>45598</v>
      </c>
      <c r="E233" s="9">
        <v>45598</v>
      </c>
      <c r="F233" s="8" t="str">
        <v>PedidoF223</v>
      </c>
      <c r="G233" s="2" t="str">
        <v>CódRastreio223</v>
      </c>
      <c r="H233" s="5">
        <v>1</v>
      </c>
      <c r="I233" s="182" t="str">
        <v>CPF 227</v>
      </c>
      <c r="J233" s="2" t="str">
        <v>Nome 227</v>
      </c>
      <c r="K233" s="8" t="str">
        <v>Tel 227</v>
      </c>
      <c r="L233" s="2" t="str">
        <v>Cep 227</v>
      </c>
      <c r="M233" s="2" t="str">
        <v>Rua 227</v>
      </c>
      <c r="N233" s="2" t="str">
        <v>Comp 227</v>
      </c>
      <c r="O233" s="2" t="str">
        <v>Bomba d'agua</v>
      </c>
      <c r="P233" s="8" t="str">
        <v>DJ-RO5O-43GF</v>
      </c>
      <c r="Q233" s="4">
        <v>45626</v>
      </c>
      <c r="R233" s="109">
        <v>16.5</v>
      </c>
      <c r="S233" s="11">
        <f ca="1"/>
        <v>16.5</v>
      </c>
      <c r="T233" s="28">
        <f ca="1"/>
        <v>2.31</v>
      </c>
      <c r="U233" s="11">
        <f ca="1"/>
        <v>14.19</v>
      </c>
      <c r="V233" s="11">
        <v>4.99</v>
      </c>
      <c r="W233" s="11">
        <f ca="1"/>
        <v>0.36</v>
      </c>
      <c r="X233" s="11">
        <f ca="1"/>
        <v>0.39877104377104378</v>
      </c>
      <c r="Y233" s="11">
        <v>0</v>
      </c>
      <c r="Z233" s="11">
        <f ca="1"/>
        <v>8.4412289562289544</v>
      </c>
      <c r="AA233" s="11">
        <f ca="1"/>
        <v>4.2206144781144772</v>
      </c>
      <c r="AB233" s="4">
        <f ca="1"/>
        <v>45633</v>
      </c>
      <c r="AC233" s="4">
        <v>45633</v>
      </c>
      <c r="AD233" s="9">
        <v>45637</v>
      </c>
      <c r="AE233" s="9">
        <v>45642</v>
      </c>
      <c r="AF233" s="4" t="str">
        <f t="shared" ca="1" si="3"/>
        <v>2024 12</v>
      </c>
      <c r="AG233" s="8" t="str" cm="1">
        <f t="array" ref="AG233">IFERROR(_xlfn.IFS('Banco de Dados'!#REF!="AG. COMPRA","Em processamento",'Banco de Dados'!#REF!="AG. RASTREIO","Em processamento",'Banco de Dados'!$AE233&lt;&gt;"-","Faturado",'Banco de Dados'!$AD233&lt;&gt;"-","Aguardando Pix",'Banco de Dados'!$AC233&lt;&gt;"-","Pendente"),"Aguardando Liberação")</f>
        <v>Aguardando Liberação</v>
      </c>
      <c r="AH233" s="5" t="str">
        <f>IF('Banco de Dados'!$F233="-",_xlfn.CONCAT(PROPER(TEXT(AK233,"aaaa"))," ",PROPER(TEXT(AK233,"mm"))),_xlfn.CONCAT(PROPER(TEXT(E233,"aaaa"))," ",PROPER(TEXT(E233,"mm"))))</f>
        <v>2024 11</v>
      </c>
      <c r="AI233" s="9" t="str">
        <f ca="1">IF('Banco de Dados'!$AK233&lt;&gt;"-","REEMBOLSO",IFERROR(_xlfn.XLOOKUP(G233,Follow[CODRASTREIO],Follow[STATUS]),"-"))</f>
        <v>ENTREGUE</v>
      </c>
      <c r="AJ233" s="9">
        <f ca="1">IF('Banco de Dados'!$AI233="ENTREGUE",_xlfn.XLOOKUP('Banco de Dados'!$G233,Follow[CODRASTREIO],Follow[DATAATUALIZAÇÃO]),"-")</f>
        <v>45609</v>
      </c>
      <c r="AK233" s="9" t="str">
        <f ca="1"/>
        <v>-</v>
      </c>
      <c r="AL233" s="35" t="str">
        <v>NÃO</v>
      </c>
      <c r="AM233" s="109" cm="1">
        <f t="array" aca="1" ref="AM233" ca="1">IF('Banco de Dados'!$AK233&lt;&gt;"-",_xlfn.IFS('Banco de Dados'!$A233="bv",IF('Banco de Dados'!$E233&lt;45641,ROUND(SUM('Banco de Dados'!$R233*_xlfn.XLOOKUP('Banco de Dados'!$P233,Sku!B:B,Sku!#REF!)*20%),2),ROUND(SUM('Banco de Dados'!$R233*_xlfn.XLOOKUP('Banco de Dados'!$P233,Sku!B:B,Sku!H:H)*20%),2)),'Banco de Dados'!$A233="GO",ROUND(_xlfn.XLOOKUP('Banco de Dados'!$P233,Sku!C:C,Sku!H:H),2),'Banco de Dados'!$A233="MEI",ROUND(_xlfn.XLOOKUP('Banco de Dados'!$P233,Sku!D:D,Sku!H:H),2)),0)</f>
        <v>0</v>
      </c>
      <c r="AN233" s="109">
        <f ca="1">IF('Banco de Dados'!$AK233&lt;&gt;"-",IF('Banco de Dados'!$F233&lt;&gt;"-",_xlfn.XLOOKUP(IFERROR(IFERROR(IFERROR(VALUE(SUBSTITUTE(MID(_xlfn.TEXTAFTER('Banco de Dados'!$F233,"Data do Pedido:
",1),1,10),"-","/")),VALUE(SUBSTITUTE(MID(_xlfn.TEXTAFTER('Banco de Dados'!$F233,"Order date:
",1),1,10),"-","/"))),VALUE(SUBSTITUTE(MID(_xlfn.TEXTAFTER('Banco de Dados'!$F233,"Fecha de pedido:
",1),1,10),"-","/"))),"-"),SMS!A:A,SMS!K:K),0),0)</f>
        <v>0</v>
      </c>
      <c r="AO233" s="109">
        <f ca="1">IF('Banco de Dados'!$AK233&lt;&gt;"-",IF('Banco de Dados'!$F233&lt;&gt;"-",IFERROR(_xlfn.XLOOKUP(_xlfn.CONCAT('Banco de Dados'!$A233,IFERROR(IFERROR(VALUE(SUBSTITUTE(MID(_xlfn.TEXTAFTER('Banco de Dados'!$F233,"Data do Pedido:
",1),1,10),"-","/")),VALUE(SUBSTITUTE(MID(_xlfn.TEXTAFTER('Banco de Dados'!$F233,"Order date:
",1),1,10),"-","/"))),0)),ProxyDD[Chave],ProxyDD[Valor por pedido]),PROXY!$P$2),0),0)</f>
        <v>0</v>
      </c>
      <c r="AP233" s="28">
        <f ca="1">IF('Banco de Dados'!$AK233&lt;&gt;"-",IF('Banco de Dados'!$AL233="NÃO",IFERROR(VALUE(SUBSTITUTE(_xlfn.TEXTAFTER('Banco de Dados'!$F233,"BRL ",1),".",",")),0),0),0)</f>
        <v>0</v>
      </c>
      <c r="AQ233" s="28">
        <f ca="1">SUM('Banco de Dados'!$AM233:$AP233)</f>
        <v>0</v>
      </c>
      <c r="AR233" s="8"/>
      <c r="AS233" s="8"/>
      <c r="AY233" s="8"/>
    </row>
    <row r="234" spans="1:51">
      <c r="A234" s="5" t="str">
        <v>BV</v>
      </c>
      <c r="B234" s="5" t="str">
        <f ca="1"/>
        <v>BV45599</v>
      </c>
      <c r="C234" s="8" t="str">
        <v>Pedido 231</v>
      </c>
      <c r="D234" s="9">
        <v>45599</v>
      </c>
      <c r="E234" s="9">
        <v>45599</v>
      </c>
      <c r="F234" s="8" t="str">
        <v>PedidoF224</v>
      </c>
      <c r="G234" s="2" t="str">
        <v>CódRastreio224</v>
      </c>
      <c r="H234" s="5">
        <v>1</v>
      </c>
      <c r="I234" s="182" t="str">
        <v>CPF 228</v>
      </c>
      <c r="J234" s="2" t="str">
        <v>Nome 228</v>
      </c>
      <c r="K234" s="8" t="str">
        <v>Tel 228</v>
      </c>
      <c r="L234" s="2" t="str">
        <v>Cep 228</v>
      </c>
      <c r="M234" s="2" t="str">
        <v>Rua 228</v>
      </c>
      <c r="N234" s="2" t="str">
        <v>Comp 228</v>
      </c>
      <c r="O234" s="2" t="str">
        <v>Mini Liquidificador</v>
      </c>
      <c r="P234" s="8" t="str">
        <v>CK-YL6M-P5Y6</v>
      </c>
      <c r="Q234" s="4">
        <v>45622</v>
      </c>
      <c r="R234" s="109">
        <v>30.99</v>
      </c>
      <c r="S234" s="11">
        <f ca="1"/>
        <v>30.99</v>
      </c>
      <c r="T234" s="28">
        <f ca="1"/>
        <v>4.0286999999999997</v>
      </c>
      <c r="U234" s="11">
        <f ca="1"/>
        <v>26.96</v>
      </c>
      <c r="V234" s="11">
        <v>11.99</v>
      </c>
      <c r="W234" s="11">
        <f ca="1"/>
        <v>0.43</v>
      </c>
      <c r="X234" s="11">
        <f ca="1"/>
        <v>0.39877104377104378</v>
      </c>
      <c r="Y234" s="11">
        <v>0</v>
      </c>
      <c r="Z234" s="11">
        <f ca="1"/>
        <v>14.141228956228957</v>
      </c>
      <c r="AA234" s="11">
        <f ca="1"/>
        <v>7.0706144781144786</v>
      </c>
      <c r="AB234" s="4">
        <f ca="1"/>
        <v>45629</v>
      </c>
      <c r="AC234" s="4">
        <v>45629</v>
      </c>
      <c r="AD234" s="9">
        <v>45637</v>
      </c>
      <c r="AE234" s="9">
        <v>45642</v>
      </c>
      <c r="AF234" s="4" t="str">
        <f t="shared" ca="1" si="3"/>
        <v>2024 12</v>
      </c>
      <c r="AG234" s="8" t="str" cm="1">
        <f t="array" ref="AG234">IFERROR(_xlfn.IFS('Banco de Dados'!#REF!="AG. COMPRA","Em processamento",'Banco de Dados'!#REF!="AG. RASTREIO","Em processamento",'Banco de Dados'!$AE234&lt;&gt;"-","Faturado",'Banco de Dados'!$AD234&lt;&gt;"-","Aguardando Pix",'Banco de Dados'!$AC234&lt;&gt;"-","Pendente"),"Aguardando Liberação")</f>
        <v>Aguardando Liberação</v>
      </c>
      <c r="AH234" s="5" t="str">
        <f>IF('Banco de Dados'!$F234="-",_xlfn.CONCAT(PROPER(TEXT(AK234,"aaaa"))," ",PROPER(TEXT(AK234,"mm"))),_xlfn.CONCAT(PROPER(TEXT(E234,"aaaa"))," ",PROPER(TEXT(E234,"mm"))))</f>
        <v>2024 11</v>
      </c>
      <c r="AI234" s="9" t="str">
        <f ca="1">IF('Banco de Dados'!$AK234&lt;&gt;"-","REEMBOLSO",IFERROR(_xlfn.XLOOKUP(G234,Follow[CODRASTREIO],Follow[STATUS]),"-"))</f>
        <v>ENTREGUE</v>
      </c>
      <c r="AJ234" s="9">
        <f ca="1">IF('Banco de Dados'!$AI234="ENTREGUE",_xlfn.XLOOKUP('Banco de Dados'!$G234,Follow[CODRASTREIO],Follow[DATAATUALIZAÇÃO]),"-")</f>
        <v>45610</v>
      </c>
      <c r="AK234" s="9" t="str">
        <f ca="1"/>
        <v>-</v>
      </c>
      <c r="AL234" s="35" t="str">
        <v>NÃO</v>
      </c>
      <c r="AM234" s="109" cm="1">
        <f t="array" aca="1" ref="AM234" ca="1">IF('Banco de Dados'!$AK234&lt;&gt;"-",_xlfn.IFS('Banco de Dados'!$A234="bv",IF('Banco de Dados'!$E234&lt;45641,ROUND(SUM('Banco de Dados'!$R234*_xlfn.XLOOKUP('Banco de Dados'!$P234,Sku!B:B,Sku!#REF!)*20%),2),ROUND(SUM('Banco de Dados'!$R234*_xlfn.XLOOKUP('Banco de Dados'!$P234,Sku!B:B,Sku!H:H)*20%),2)),'Banco de Dados'!$A234="GO",ROUND(_xlfn.XLOOKUP('Banco de Dados'!$P234,Sku!C:C,Sku!H:H),2),'Banco de Dados'!$A234="MEI",ROUND(_xlfn.XLOOKUP('Banco de Dados'!$P234,Sku!D:D,Sku!H:H),2)),0)</f>
        <v>0</v>
      </c>
      <c r="AN234" s="109">
        <f ca="1">IF('Banco de Dados'!$AK234&lt;&gt;"-",IF('Banco de Dados'!$F234&lt;&gt;"-",_xlfn.XLOOKUP(IFERROR(IFERROR(IFERROR(VALUE(SUBSTITUTE(MID(_xlfn.TEXTAFTER('Banco de Dados'!$F234,"Data do Pedido:
",1),1,10),"-","/")),VALUE(SUBSTITUTE(MID(_xlfn.TEXTAFTER('Banco de Dados'!$F234,"Order date:
",1),1,10),"-","/"))),VALUE(SUBSTITUTE(MID(_xlfn.TEXTAFTER('Banco de Dados'!$F234,"Fecha de pedido:
",1),1,10),"-","/"))),"-"),SMS!A:A,SMS!K:K),0),0)</f>
        <v>0</v>
      </c>
      <c r="AO234" s="109">
        <f ca="1">IF('Banco de Dados'!$AK234&lt;&gt;"-",IF('Banco de Dados'!$F234&lt;&gt;"-",IFERROR(_xlfn.XLOOKUP(_xlfn.CONCAT('Banco de Dados'!$A234,IFERROR(IFERROR(VALUE(SUBSTITUTE(MID(_xlfn.TEXTAFTER('Banco de Dados'!$F234,"Data do Pedido:
",1),1,10),"-","/")),VALUE(SUBSTITUTE(MID(_xlfn.TEXTAFTER('Banco de Dados'!$F234,"Order date:
",1),1,10),"-","/"))),0)),ProxyDD[Chave],ProxyDD[Valor por pedido]),PROXY!$P$2),0),0)</f>
        <v>0</v>
      </c>
      <c r="AP234" s="28">
        <f ca="1">IF('Banco de Dados'!$AK234&lt;&gt;"-",IF('Banco de Dados'!$AL234="NÃO",IFERROR(VALUE(SUBSTITUTE(_xlfn.TEXTAFTER('Banco de Dados'!$F234,"BRL ",1),".",",")),0),0),0)</f>
        <v>0</v>
      </c>
      <c r="AQ234" s="28">
        <f ca="1">SUM('Banco de Dados'!$AM234:$AP234)</f>
        <v>0</v>
      </c>
      <c r="AR234" s="8"/>
      <c r="AS234" s="8"/>
      <c r="AY234" s="8"/>
    </row>
    <row r="235" spans="1:51">
      <c r="A235" s="5" t="str">
        <v>BV</v>
      </c>
      <c r="B235" s="5" t="str">
        <f ca="1"/>
        <v>BV45598</v>
      </c>
      <c r="C235" s="8" t="str">
        <v>Pedido 232</v>
      </c>
      <c r="D235" s="9">
        <v>45598</v>
      </c>
      <c r="E235" s="9">
        <v>45598</v>
      </c>
      <c r="F235" s="8" t="str">
        <v>PedidoF225</v>
      </c>
      <c r="G235" s="2" t="str">
        <v>CódRastreio225</v>
      </c>
      <c r="H235" s="5">
        <v>1</v>
      </c>
      <c r="I235" s="182" t="str">
        <v>CPF 229</v>
      </c>
      <c r="J235" s="2" t="str">
        <v>Nome 229</v>
      </c>
      <c r="K235" s="8" t="str">
        <v>Tel 229</v>
      </c>
      <c r="L235" s="2" t="str">
        <v>Cep 229</v>
      </c>
      <c r="M235" s="2" t="str">
        <v>Rua 229</v>
      </c>
      <c r="N235" s="2" t="str">
        <v>Comp 229</v>
      </c>
      <c r="O235" s="2" t="str">
        <v>Mini Liquidificador</v>
      </c>
      <c r="P235" s="8" t="str">
        <v>CK-YL6M-P5Y6</v>
      </c>
      <c r="Q235" s="4">
        <v>45626</v>
      </c>
      <c r="R235" s="109">
        <v>30.99</v>
      </c>
      <c r="S235" s="11">
        <f ca="1"/>
        <v>30.99</v>
      </c>
      <c r="T235" s="28">
        <f ca="1"/>
        <v>4.0286999999999997</v>
      </c>
      <c r="U235" s="11">
        <f ca="1"/>
        <v>26.96</v>
      </c>
      <c r="V235" s="11">
        <v>11.99</v>
      </c>
      <c r="W235" s="11">
        <f ca="1"/>
        <v>0.36</v>
      </c>
      <c r="X235" s="11">
        <f ca="1"/>
        <v>0.39877104377104378</v>
      </c>
      <c r="Y235" s="11">
        <v>0</v>
      </c>
      <c r="Z235" s="11">
        <f ca="1"/>
        <v>14.211228956228958</v>
      </c>
      <c r="AA235" s="11">
        <f ca="1"/>
        <v>7.1056144781144788</v>
      </c>
      <c r="AB235" s="4">
        <f ca="1"/>
        <v>45633</v>
      </c>
      <c r="AC235" s="4">
        <v>45633</v>
      </c>
      <c r="AD235" s="9">
        <v>45637</v>
      </c>
      <c r="AE235" s="9">
        <v>45642</v>
      </c>
      <c r="AF235" s="4" t="str">
        <f t="shared" ca="1" si="3"/>
        <v>2024 12</v>
      </c>
      <c r="AG235" s="8" t="str" cm="1">
        <f t="array" ref="AG235">IFERROR(_xlfn.IFS('Banco de Dados'!#REF!="AG. COMPRA","Em processamento",'Banco de Dados'!#REF!="AG. RASTREIO","Em processamento",'Banco de Dados'!$AE235&lt;&gt;"-","Faturado",'Banco de Dados'!$AD235&lt;&gt;"-","Aguardando Pix",'Banco de Dados'!$AC235&lt;&gt;"-","Pendente"),"Aguardando Liberação")</f>
        <v>Aguardando Liberação</v>
      </c>
      <c r="AH235" s="5" t="str">
        <f>IF('Banco de Dados'!$F235="-",_xlfn.CONCAT(PROPER(TEXT(AK235,"aaaa"))," ",PROPER(TEXT(AK235,"mm"))),_xlfn.CONCAT(PROPER(TEXT(E235,"aaaa"))," ",PROPER(TEXT(E235,"mm"))))</f>
        <v>2024 11</v>
      </c>
      <c r="AI235" s="9" t="str">
        <f ca="1">IF('Banco de Dados'!$AK235&lt;&gt;"-","REEMBOLSO",IFERROR(_xlfn.XLOOKUP(G235,Follow[CODRASTREIO],Follow[STATUS]),"-"))</f>
        <v>ENTREGUE</v>
      </c>
      <c r="AJ235" s="9">
        <f ca="1">IF('Banco de Dados'!$AI235="ENTREGUE",_xlfn.XLOOKUP('Banco de Dados'!$G235,Follow[CODRASTREIO],Follow[DATAATUALIZAÇÃO]),"-")</f>
        <v>45611</v>
      </c>
      <c r="AK235" s="9" t="str">
        <f ca="1"/>
        <v>-</v>
      </c>
      <c r="AL235" s="35" t="str">
        <v>NÃO</v>
      </c>
      <c r="AM235" s="109" cm="1">
        <f t="array" aca="1" ref="AM235" ca="1">IF('Banco de Dados'!$AK235&lt;&gt;"-",_xlfn.IFS('Banco de Dados'!$A235="bv",IF('Banco de Dados'!$E235&lt;45641,ROUND(SUM('Banco de Dados'!$R235*_xlfn.XLOOKUP('Banco de Dados'!$P235,Sku!B:B,Sku!#REF!)*20%),2),ROUND(SUM('Banco de Dados'!$R235*_xlfn.XLOOKUP('Banco de Dados'!$P235,Sku!B:B,Sku!H:H)*20%),2)),'Banco de Dados'!$A235="GO",ROUND(_xlfn.XLOOKUP('Banco de Dados'!$P235,Sku!C:C,Sku!H:H),2),'Banco de Dados'!$A235="MEI",ROUND(_xlfn.XLOOKUP('Banco de Dados'!$P235,Sku!D:D,Sku!H:H),2)),0)</f>
        <v>0</v>
      </c>
      <c r="AN235" s="109">
        <f ca="1">IF('Banco de Dados'!$AK235&lt;&gt;"-",IF('Banco de Dados'!$F235&lt;&gt;"-",_xlfn.XLOOKUP(IFERROR(IFERROR(IFERROR(VALUE(SUBSTITUTE(MID(_xlfn.TEXTAFTER('Banco de Dados'!$F235,"Data do Pedido:
",1),1,10),"-","/")),VALUE(SUBSTITUTE(MID(_xlfn.TEXTAFTER('Banco de Dados'!$F235,"Order date:
",1),1,10),"-","/"))),VALUE(SUBSTITUTE(MID(_xlfn.TEXTAFTER('Banco de Dados'!$F235,"Fecha de pedido:
",1),1,10),"-","/"))),"-"),SMS!A:A,SMS!K:K),0),0)</f>
        <v>0</v>
      </c>
      <c r="AO235" s="109">
        <f ca="1">IF('Banco de Dados'!$AK235&lt;&gt;"-",IF('Banco de Dados'!$F235&lt;&gt;"-",IFERROR(_xlfn.XLOOKUP(_xlfn.CONCAT('Banco de Dados'!$A235,IFERROR(IFERROR(VALUE(SUBSTITUTE(MID(_xlfn.TEXTAFTER('Banco de Dados'!$F235,"Data do Pedido:
",1),1,10),"-","/")),VALUE(SUBSTITUTE(MID(_xlfn.TEXTAFTER('Banco de Dados'!$F235,"Order date:
",1),1,10),"-","/"))),0)),ProxyDD[Chave],ProxyDD[Valor por pedido]),PROXY!$P$2),0),0)</f>
        <v>0</v>
      </c>
      <c r="AP235" s="28">
        <f ca="1">IF('Banco de Dados'!$AK235&lt;&gt;"-",IF('Banco de Dados'!$AL235="NÃO",IFERROR(VALUE(SUBSTITUTE(_xlfn.TEXTAFTER('Banco de Dados'!$F235,"BRL ",1),".",",")),0),0),0)</f>
        <v>0</v>
      </c>
      <c r="AQ235" s="28">
        <f ca="1">SUM('Banco de Dados'!$AM235:$AP235)</f>
        <v>0</v>
      </c>
      <c r="AR235" s="8"/>
      <c r="AS235" s="8"/>
      <c r="AY235" s="8"/>
    </row>
    <row r="236" spans="1:51">
      <c r="A236" s="5" t="str">
        <v>BV</v>
      </c>
      <c r="B236" s="5" t="str">
        <f ca="1"/>
        <v>BV45598</v>
      </c>
      <c r="C236" s="8" t="str">
        <v>Pedido 233</v>
      </c>
      <c r="D236" s="9">
        <v>45598</v>
      </c>
      <c r="E236" s="9">
        <v>45598</v>
      </c>
      <c r="F236" s="8" t="str">
        <v>PedidoF226</v>
      </c>
      <c r="G236" s="2" t="str">
        <v>CódRastreio226</v>
      </c>
      <c r="H236" s="5">
        <v>1</v>
      </c>
      <c r="I236" s="182" t="str">
        <v>CPF 230</v>
      </c>
      <c r="J236" s="2" t="str">
        <v>Nome 230</v>
      </c>
      <c r="K236" s="8" t="str">
        <v>Tel 230</v>
      </c>
      <c r="L236" s="2" t="str">
        <v>Cep 230</v>
      </c>
      <c r="M236" s="2" t="str">
        <v>Rua 230</v>
      </c>
      <c r="N236" s="2" t="str">
        <v>Comp 230</v>
      </c>
      <c r="O236" s="2" t="str">
        <v>Ventilador de teto</v>
      </c>
      <c r="P236" s="8" t="str">
        <v>ZO-J9IL-EN6L</v>
      </c>
      <c r="Q236" s="4">
        <v>45622</v>
      </c>
      <c r="R236" s="109">
        <v>48.5</v>
      </c>
      <c r="S236" s="11">
        <f ca="1"/>
        <v>48.5</v>
      </c>
      <c r="T236" s="28">
        <f ca="1"/>
        <v>6.7900000000000009</v>
      </c>
      <c r="U236" s="11">
        <f ca="1"/>
        <v>41.71</v>
      </c>
      <c r="V236" s="11">
        <v>7.29</v>
      </c>
      <c r="W236" s="11">
        <f ca="1"/>
        <v>0.36</v>
      </c>
      <c r="X236" s="11">
        <f ca="1"/>
        <v>0.39877104377104378</v>
      </c>
      <c r="Y236" s="11">
        <v>0</v>
      </c>
      <c r="Z236" s="11">
        <f ca="1"/>
        <v>33.661228956228953</v>
      </c>
      <c r="AA236" s="11">
        <f ca="1"/>
        <v>16.830614478114477</v>
      </c>
      <c r="AB236" s="4">
        <f ca="1"/>
        <v>45629</v>
      </c>
      <c r="AC236" s="4">
        <v>45629</v>
      </c>
      <c r="AD236" s="9">
        <v>45637</v>
      </c>
      <c r="AE236" s="9">
        <v>45642</v>
      </c>
      <c r="AF236" s="4" t="str">
        <f t="shared" ca="1" si="3"/>
        <v>2024 12</v>
      </c>
      <c r="AG236" s="8" t="str" cm="1">
        <f t="array" ref="AG236">IFERROR(_xlfn.IFS('Banco de Dados'!#REF!="AG. COMPRA","Em processamento",'Banco de Dados'!#REF!="AG. RASTREIO","Em processamento",'Banco de Dados'!$AE236&lt;&gt;"-","Faturado",'Banco de Dados'!$AD236&lt;&gt;"-","Aguardando Pix",'Banco de Dados'!$AC236&lt;&gt;"-","Pendente"),"Aguardando Liberação")</f>
        <v>Aguardando Liberação</v>
      </c>
      <c r="AH236" s="5" t="str">
        <f>IF('Banco de Dados'!$F236="-",_xlfn.CONCAT(PROPER(TEXT(AK236,"aaaa"))," ",PROPER(TEXT(AK236,"mm"))),_xlfn.CONCAT(PROPER(TEXT(E236,"aaaa"))," ",PROPER(TEXT(E236,"mm"))))</f>
        <v>2024 11</v>
      </c>
      <c r="AI236" s="9" t="str">
        <f ca="1">IF('Banco de Dados'!$AK236&lt;&gt;"-","REEMBOLSO",IFERROR(_xlfn.XLOOKUP(G236,Follow[CODRASTREIO],Follow[STATUS]),"-"))</f>
        <v>ENTREGUE</v>
      </c>
      <c r="AJ236" s="9">
        <f ca="1">IF('Banco de Dados'!$AI236="ENTREGUE",_xlfn.XLOOKUP('Banco de Dados'!$G236,Follow[CODRASTREIO],Follow[DATAATUALIZAÇÃO]),"-")</f>
        <v>45609</v>
      </c>
      <c r="AK236" s="9" t="str">
        <f ca="1"/>
        <v>-</v>
      </c>
      <c r="AL236" s="35" t="str">
        <v>NÃO</v>
      </c>
      <c r="AM236" s="109" cm="1">
        <f t="array" aca="1" ref="AM236" ca="1">IF('Banco de Dados'!$AK236&lt;&gt;"-",_xlfn.IFS('Banco de Dados'!$A236="bv",IF('Banco de Dados'!$E236&lt;45641,ROUND(SUM('Banco de Dados'!$R236*_xlfn.XLOOKUP('Banco de Dados'!$P236,Sku!B:B,Sku!#REF!)*20%),2),ROUND(SUM('Banco de Dados'!$R236*_xlfn.XLOOKUP('Banco de Dados'!$P236,Sku!B:B,Sku!H:H)*20%),2)),'Banco de Dados'!$A236="GO",ROUND(_xlfn.XLOOKUP('Banco de Dados'!$P236,Sku!C:C,Sku!H:H),2),'Banco de Dados'!$A236="MEI",ROUND(_xlfn.XLOOKUP('Banco de Dados'!$P236,Sku!D:D,Sku!H:H),2)),0)</f>
        <v>0</v>
      </c>
      <c r="AN236" s="109">
        <f ca="1">IF('Banco de Dados'!$AK236&lt;&gt;"-",IF('Banco de Dados'!$F236&lt;&gt;"-",_xlfn.XLOOKUP(IFERROR(IFERROR(IFERROR(VALUE(SUBSTITUTE(MID(_xlfn.TEXTAFTER('Banco de Dados'!$F236,"Data do Pedido:
",1),1,10),"-","/")),VALUE(SUBSTITUTE(MID(_xlfn.TEXTAFTER('Banco de Dados'!$F236,"Order date:
",1),1,10),"-","/"))),VALUE(SUBSTITUTE(MID(_xlfn.TEXTAFTER('Banco de Dados'!$F236,"Fecha de pedido:
",1),1,10),"-","/"))),"-"),SMS!A:A,SMS!K:K),0),0)</f>
        <v>0</v>
      </c>
      <c r="AO236" s="109">
        <f ca="1">IF('Banco de Dados'!$AK236&lt;&gt;"-",IF('Banco de Dados'!$F236&lt;&gt;"-",IFERROR(_xlfn.XLOOKUP(_xlfn.CONCAT('Banco de Dados'!$A236,IFERROR(IFERROR(VALUE(SUBSTITUTE(MID(_xlfn.TEXTAFTER('Banco de Dados'!$F236,"Data do Pedido:
",1),1,10),"-","/")),VALUE(SUBSTITUTE(MID(_xlfn.TEXTAFTER('Banco de Dados'!$F236,"Order date:
",1),1,10),"-","/"))),0)),ProxyDD[Chave],ProxyDD[Valor por pedido]),PROXY!$P$2),0),0)</f>
        <v>0</v>
      </c>
      <c r="AP236" s="28">
        <f ca="1">IF('Banco de Dados'!$AK236&lt;&gt;"-",IF('Banco de Dados'!$AL236="NÃO",IFERROR(VALUE(SUBSTITUTE(_xlfn.TEXTAFTER('Banco de Dados'!$F236,"BRL ",1),".",",")),0),0),0)</f>
        <v>0</v>
      </c>
      <c r="AQ236" s="28">
        <f ca="1">SUM('Banco de Dados'!$AM236:$AP236)</f>
        <v>0</v>
      </c>
      <c r="AR236" s="8"/>
      <c r="AS236" s="8"/>
      <c r="AY236" s="8"/>
    </row>
    <row r="237" spans="1:51">
      <c r="A237" s="5" t="str">
        <v>BV</v>
      </c>
      <c r="B237" s="5" t="str">
        <f ca="1"/>
        <v>BV45599</v>
      </c>
      <c r="C237" s="8" t="str">
        <v>Pedido 234</v>
      </c>
      <c r="D237" s="9">
        <v>45599</v>
      </c>
      <c r="E237" s="9">
        <v>45599</v>
      </c>
      <c r="F237" s="8" t="str">
        <v>PedidoF227</v>
      </c>
      <c r="G237" s="2" t="str">
        <v>CódRastreio227</v>
      </c>
      <c r="H237" s="5">
        <v>1</v>
      </c>
      <c r="I237" s="182" t="str">
        <v>CPF 231</v>
      </c>
      <c r="J237" s="2" t="str">
        <v>Nome 231</v>
      </c>
      <c r="K237" s="8" t="str">
        <v>Tel 231</v>
      </c>
      <c r="L237" s="2" t="str">
        <v>Cep 231</v>
      </c>
      <c r="M237" s="2" t="str">
        <v>Rua 231</v>
      </c>
      <c r="N237" s="2" t="str">
        <v>Comp 231</v>
      </c>
      <c r="O237" s="2" t="str">
        <v>Suporte de Celular Preto</v>
      </c>
      <c r="P237" s="8" t="str">
        <v>9G-BN48-QAPH</v>
      </c>
      <c r="Q237" s="4">
        <v>45622</v>
      </c>
      <c r="R237" s="109">
        <v>15.5</v>
      </c>
      <c r="S237" s="11">
        <f ca="1"/>
        <v>15.5</v>
      </c>
      <c r="T237" s="28">
        <f ca="1"/>
        <v>2.3249999999999997</v>
      </c>
      <c r="U237" s="11">
        <f ca="1"/>
        <v>13.18</v>
      </c>
      <c r="V237" s="11">
        <v>7.29</v>
      </c>
      <c r="W237" s="11">
        <f ca="1"/>
        <v>0.43</v>
      </c>
      <c r="X237" s="11">
        <f ca="1"/>
        <v>0.39877104377104378</v>
      </c>
      <c r="Y237" s="11">
        <v>0</v>
      </c>
      <c r="Z237" s="11">
        <f ca="1"/>
        <v>5.0612289562289554</v>
      </c>
      <c r="AA237" s="11">
        <f ca="1"/>
        <v>2.5306144781144777</v>
      </c>
      <c r="AB237" s="4">
        <f ca="1"/>
        <v>45629</v>
      </c>
      <c r="AC237" s="4">
        <v>45629</v>
      </c>
      <c r="AD237" s="9">
        <v>45637</v>
      </c>
      <c r="AE237" s="9">
        <v>45642</v>
      </c>
      <c r="AF237" s="4" t="str">
        <f t="shared" ca="1" si="3"/>
        <v>2024 12</v>
      </c>
      <c r="AG237" s="8" t="str" cm="1">
        <f t="array" ref="AG237">IFERROR(_xlfn.IFS('Banco de Dados'!#REF!="AG. COMPRA","Em processamento",'Banco de Dados'!#REF!="AG. RASTREIO","Em processamento",'Banco de Dados'!$AE237&lt;&gt;"-","Faturado",'Banco de Dados'!$AD237&lt;&gt;"-","Aguardando Pix",'Banco de Dados'!$AC237&lt;&gt;"-","Pendente"),"Aguardando Liberação")</f>
        <v>Aguardando Liberação</v>
      </c>
      <c r="AH237" s="5" t="str">
        <f>IF('Banco de Dados'!$F237="-",_xlfn.CONCAT(PROPER(TEXT(AK237,"aaaa"))," ",PROPER(TEXT(AK237,"mm"))),_xlfn.CONCAT(PROPER(TEXT(E237,"aaaa"))," ",PROPER(TEXT(E237,"mm"))))</f>
        <v>2024 11</v>
      </c>
      <c r="AI237" s="9" t="str">
        <f ca="1">IF('Banco de Dados'!$AK237&lt;&gt;"-","REEMBOLSO",IFERROR(_xlfn.XLOOKUP(G237,Follow[CODRASTREIO],Follow[STATUS]),"-"))</f>
        <v>ENTREGUE</v>
      </c>
      <c r="AJ237" s="9">
        <f ca="1">IF('Banco de Dados'!$AI237="ENTREGUE",_xlfn.XLOOKUP('Banco de Dados'!$G237,Follow[CODRASTREIO],Follow[DATAATUALIZAÇÃO]),"-")</f>
        <v>45614</v>
      </c>
      <c r="AK237" s="9" t="str">
        <f ca="1"/>
        <v>-</v>
      </c>
      <c r="AL237" s="35" t="str">
        <v>NÃO</v>
      </c>
      <c r="AM237" s="109" cm="1">
        <f t="array" aca="1" ref="AM237" ca="1">IF('Banco de Dados'!$AK237&lt;&gt;"-",_xlfn.IFS('Banco de Dados'!$A237="bv",IF('Banco de Dados'!$E237&lt;45641,ROUND(SUM('Banco de Dados'!$R237*_xlfn.XLOOKUP('Banco de Dados'!$P237,Sku!B:B,Sku!#REF!)*20%),2),ROUND(SUM('Banco de Dados'!$R237*_xlfn.XLOOKUP('Banco de Dados'!$P237,Sku!B:B,Sku!H:H)*20%),2)),'Banco de Dados'!$A237="GO",ROUND(_xlfn.XLOOKUP('Banco de Dados'!$P237,Sku!C:C,Sku!H:H),2),'Banco de Dados'!$A237="MEI",ROUND(_xlfn.XLOOKUP('Banco de Dados'!$P237,Sku!D:D,Sku!H:H),2)),0)</f>
        <v>0</v>
      </c>
      <c r="AN237" s="109">
        <f ca="1">IF('Banco de Dados'!$AK237&lt;&gt;"-",IF('Banco de Dados'!$F237&lt;&gt;"-",_xlfn.XLOOKUP(IFERROR(IFERROR(IFERROR(VALUE(SUBSTITUTE(MID(_xlfn.TEXTAFTER('Banco de Dados'!$F237,"Data do Pedido:
",1),1,10),"-","/")),VALUE(SUBSTITUTE(MID(_xlfn.TEXTAFTER('Banco de Dados'!$F237,"Order date:
",1),1,10),"-","/"))),VALUE(SUBSTITUTE(MID(_xlfn.TEXTAFTER('Banco de Dados'!$F237,"Fecha de pedido:
",1),1,10),"-","/"))),"-"),SMS!A:A,SMS!K:K),0),0)</f>
        <v>0</v>
      </c>
      <c r="AO237" s="109">
        <f ca="1">IF('Banco de Dados'!$AK237&lt;&gt;"-",IF('Banco de Dados'!$F237&lt;&gt;"-",IFERROR(_xlfn.XLOOKUP(_xlfn.CONCAT('Banco de Dados'!$A237,IFERROR(IFERROR(VALUE(SUBSTITUTE(MID(_xlfn.TEXTAFTER('Banco de Dados'!$F237,"Data do Pedido:
",1),1,10),"-","/")),VALUE(SUBSTITUTE(MID(_xlfn.TEXTAFTER('Banco de Dados'!$F237,"Order date:
",1),1,10),"-","/"))),0)),ProxyDD[Chave],ProxyDD[Valor por pedido]),PROXY!$P$2),0),0)</f>
        <v>0</v>
      </c>
      <c r="AP237" s="28">
        <f ca="1">IF('Banco de Dados'!$AK237&lt;&gt;"-",IF('Banco de Dados'!$AL237="NÃO",IFERROR(VALUE(SUBSTITUTE(_xlfn.TEXTAFTER('Banco de Dados'!$F237,"BRL ",1),".",",")),0),0),0)</f>
        <v>0</v>
      </c>
      <c r="AQ237" s="28">
        <f ca="1">SUM('Banco de Dados'!$AM237:$AP237)</f>
        <v>0</v>
      </c>
      <c r="AR237" s="8"/>
      <c r="AS237" s="8"/>
      <c r="AY237" s="8"/>
    </row>
    <row r="238" spans="1:51">
      <c r="A238" s="5" t="str">
        <v>BV</v>
      </c>
      <c r="B238" s="5" t="str">
        <f ca="1"/>
        <v>BV45600</v>
      </c>
      <c r="C238" s="8" t="str">
        <v>Pedido 235</v>
      </c>
      <c r="D238" s="9">
        <v>45600</v>
      </c>
      <c r="E238" s="9">
        <v>45600</v>
      </c>
      <c r="F238" s="8" t="str">
        <v>PedidoF228</v>
      </c>
      <c r="G238" s="2" t="str">
        <v>CódRastreio228</v>
      </c>
      <c r="H238" s="5">
        <v>1</v>
      </c>
      <c r="I238" s="182" t="str">
        <v>CPF 232</v>
      </c>
      <c r="J238" s="2" t="str">
        <v>Nome 232</v>
      </c>
      <c r="K238" s="8" t="str">
        <v>Tel 232</v>
      </c>
      <c r="L238" s="2" t="str">
        <v>Cep 232</v>
      </c>
      <c r="M238" s="2" t="str">
        <v>Rua 232</v>
      </c>
      <c r="N238" s="2" t="str">
        <v>Comp 232</v>
      </c>
      <c r="O238" s="2" t="str">
        <v>Bomba d'agua</v>
      </c>
      <c r="P238" s="8" t="str">
        <v>DJ-RO5O-43GF</v>
      </c>
      <c r="Q238" s="4">
        <v>45623</v>
      </c>
      <c r="R238" s="109">
        <v>16.5</v>
      </c>
      <c r="S238" s="11">
        <f ca="1"/>
        <v>16.5</v>
      </c>
      <c r="T238" s="28">
        <f ca="1"/>
        <v>2.31</v>
      </c>
      <c r="U238" s="11">
        <f ca="1"/>
        <v>14.19</v>
      </c>
      <c r="V238" s="11">
        <v>4.99</v>
      </c>
      <c r="W238" s="11">
        <f ca="1"/>
        <v>0.38</v>
      </c>
      <c r="X238" s="11">
        <f ca="1"/>
        <v>0.39877104377104378</v>
      </c>
      <c r="Y238" s="11">
        <v>0</v>
      </c>
      <c r="Z238" s="11">
        <f ca="1"/>
        <v>8.4212289562289548</v>
      </c>
      <c r="AA238" s="11">
        <f ca="1"/>
        <v>4.2106144781144774</v>
      </c>
      <c r="AB238" s="4">
        <f ca="1"/>
        <v>45630</v>
      </c>
      <c r="AC238" s="4">
        <v>45630</v>
      </c>
      <c r="AD238" s="9">
        <v>45637</v>
      </c>
      <c r="AE238" s="9">
        <v>45642</v>
      </c>
      <c r="AF238" s="4" t="str">
        <f t="shared" ca="1" si="3"/>
        <v>2024 12</v>
      </c>
      <c r="AG238" s="8" t="str" cm="1">
        <f t="array" ref="AG238">IFERROR(_xlfn.IFS('Banco de Dados'!#REF!="AG. COMPRA","Em processamento",'Banco de Dados'!#REF!="AG. RASTREIO","Em processamento",'Banco de Dados'!$AE238&lt;&gt;"-","Faturado",'Banco de Dados'!$AD238&lt;&gt;"-","Aguardando Pix",'Banco de Dados'!$AC238&lt;&gt;"-","Pendente"),"Aguardando Liberação")</f>
        <v>Aguardando Liberação</v>
      </c>
      <c r="AH238" s="5" t="str">
        <f>IF('Banco de Dados'!$F238="-",_xlfn.CONCAT(PROPER(TEXT(AK238,"aaaa"))," ",PROPER(TEXT(AK238,"mm"))),_xlfn.CONCAT(PROPER(TEXT(E238,"aaaa"))," ",PROPER(TEXT(E238,"mm"))))</f>
        <v>2024 11</v>
      </c>
      <c r="AI238" s="9" t="str">
        <f ca="1">IF('Banco de Dados'!$AK238&lt;&gt;"-","REEMBOLSO",IFERROR(_xlfn.XLOOKUP(G238,Follow[CODRASTREIO],Follow[STATUS]),"-"))</f>
        <v>ENTREGUE</v>
      </c>
      <c r="AJ238" s="9">
        <f ca="1">IF('Banco de Dados'!$AI238="ENTREGUE",_xlfn.XLOOKUP('Banco de Dados'!$G238,Follow[CODRASTREIO],Follow[DATAATUALIZAÇÃO]),"-")</f>
        <v>45615</v>
      </c>
      <c r="AK238" s="9" t="str">
        <f ca="1"/>
        <v>-</v>
      </c>
      <c r="AL238" s="35" t="str">
        <v>NÃO</v>
      </c>
      <c r="AM238" s="109" cm="1">
        <f t="array" aca="1" ref="AM238" ca="1">IF('Banco de Dados'!$AK238&lt;&gt;"-",_xlfn.IFS('Banco de Dados'!$A238="bv",IF('Banco de Dados'!$E238&lt;45641,ROUND(SUM('Banco de Dados'!$R238*_xlfn.XLOOKUP('Banco de Dados'!$P238,Sku!B:B,Sku!#REF!)*20%),2),ROUND(SUM('Banco de Dados'!$R238*_xlfn.XLOOKUP('Banco de Dados'!$P238,Sku!B:B,Sku!H:H)*20%),2)),'Banco de Dados'!$A238="GO",ROUND(_xlfn.XLOOKUP('Banco de Dados'!$P238,Sku!C:C,Sku!H:H),2),'Banco de Dados'!$A238="MEI",ROUND(_xlfn.XLOOKUP('Banco de Dados'!$P238,Sku!D:D,Sku!H:H),2)),0)</f>
        <v>0</v>
      </c>
      <c r="AN238" s="109">
        <f ca="1">IF('Banco de Dados'!$AK238&lt;&gt;"-",IF('Banco de Dados'!$F238&lt;&gt;"-",_xlfn.XLOOKUP(IFERROR(IFERROR(IFERROR(VALUE(SUBSTITUTE(MID(_xlfn.TEXTAFTER('Banco de Dados'!$F238,"Data do Pedido:
",1),1,10),"-","/")),VALUE(SUBSTITUTE(MID(_xlfn.TEXTAFTER('Banco de Dados'!$F238,"Order date:
",1),1,10),"-","/"))),VALUE(SUBSTITUTE(MID(_xlfn.TEXTAFTER('Banco de Dados'!$F238,"Fecha de pedido:
",1),1,10),"-","/"))),"-"),SMS!A:A,SMS!K:K),0),0)</f>
        <v>0</v>
      </c>
      <c r="AO238" s="109">
        <f ca="1">IF('Banco de Dados'!$AK238&lt;&gt;"-",IF('Banco de Dados'!$F238&lt;&gt;"-",IFERROR(_xlfn.XLOOKUP(_xlfn.CONCAT('Banco de Dados'!$A238,IFERROR(IFERROR(VALUE(SUBSTITUTE(MID(_xlfn.TEXTAFTER('Banco de Dados'!$F238,"Data do Pedido:
",1),1,10),"-","/")),VALUE(SUBSTITUTE(MID(_xlfn.TEXTAFTER('Banco de Dados'!$F238,"Order date:
",1),1,10),"-","/"))),0)),ProxyDD[Chave],ProxyDD[Valor por pedido]),PROXY!$P$2),0),0)</f>
        <v>0</v>
      </c>
      <c r="AP238" s="28">
        <f ca="1">IF('Banco de Dados'!$AK238&lt;&gt;"-",IF('Banco de Dados'!$AL238="NÃO",IFERROR(VALUE(SUBSTITUTE(_xlfn.TEXTAFTER('Banco de Dados'!$F238,"BRL ",1),".",",")),0),0),0)</f>
        <v>0</v>
      </c>
      <c r="AQ238" s="28">
        <f ca="1">SUM('Banco de Dados'!$AM238:$AP238)</f>
        <v>0</v>
      </c>
      <c r="AR238" s="8"/>
      <c r="AS238" s="8"/>
      <c r="AY238" s="8"/>
    </row>
    <row r="239" spans="1:51">
      <c r="A239" s="5" t="str">
        <v>BV</v>
      </c>
      <c r="B239" s="5" t="str">
        <f ca="1"/>
        <v>BV45599</v>
      </c>
      <c r="C239" s="8" t="str">
        <v>Pedido 236</v>
      </c>
      <c r="D239" s="9">
        <v>45599</v>
      </c>
      <c r="E239" s="9">
        <v>45599</v>
      </c>
      <c r="F239" s="8" t="str">
        <v>PedidoF229</v>
      </c>
      <c r="G239" s="2" t="str">
        <v>CódRastreio229</v>
      </c>
      <c r="H239" s="5">
        <v>1</v>
      </c>
      <c r="I239" s="182" t="str">
        <v>CPF 233</v>
      </c>
      <c r="J239" s="2" t="str">
        <v>Nome 233</v>
      </c>
      <c r="K239" s="8" t="str">
        <v>Tel 233</v>
      </c>
      <c r="L239" s="2" t="str">
        <v>Cep 233</v>
      </c>
      <c r="M239" s="2" t="str">
        <v>Rua 233</v>
      </c>
      <c r="N239" s="2" t="str">
        <v>Comp 233</v>
      </c>
      <c r="O239" s="2" t="str">
        <v>Bomba d'agua</v>
      </c>
      <c r="P239" s="8" t="str">
        <v>DJ-RO5O-43GF</v>
      </c>
      <c r="Q239" s="4">
        <v>45618</v>
      </c>
      <c r="R239" s="109">
        <v>16.5</v>
      </c>
      <c r="S239" s="11">
        <f ca="1"/>
        <v>16.5</v>
      </c>
      <c r="T239" s="28">
        <f ca="1"/>
        <v>2.31</v>
      </c>
      <c r="U239" s="11">
        <f ca="1"/>
        <v>14.19</v>
      </c>
      <c r="V239" s="11">
        <v>4.99</v>
      </c>
      <c r="W239" s="11">
        <f ca="1"/>
        <v>0.43</v>
      </c>
      <c r="X239" s="11">
        <f ca="1"/>
        <v>0.39877104377104378</v>
      </c>
      <c r="Y239" s="11">
        <v>0</v>
      </c>
      <c r="Z239" s="11">
        <f ca="1"/>
        <v>8.3712289562289559</v>
      </c>
      <c r="AA239" s="11">
        <f ca="1"/>
        <v>4.185614478114478</v>
      </c>
      <c r="AB239" s="4">
        <f ca="1"/>
        <v>45625</v>
      </c>
      <c r="AC239" s="4">
        <v>45625</v>
      </c>
      <c r="AD239" s="9">
        <v>45625</v>
      </c>
      <c r="AE239" s="9">
        <v>45625</v>
      </c>
      <c r="AF239" s="4" t="str">
        <f t="shared" ca="1" si="3"/>
        <v>2024 11</v>
      </c>
      <c r="AG239" s="8" t="str" cm="1">
        <f t="array" ref="AG239">IFERROR(_xlfn.IFS('Banco de Dados'!#REF!="AG. COMPRA","Em processamento",'Banco de Dados'!#REF!="AG. RASTREIO","Em processamento",'Banco de Dados'!$AE239&lt;&gt;"-","Faturado",'Banco de Dados'!$AD239&lt;&gt;"-","Aguardando Pix",'Banco de Dados'!$AC239&lt;&gt;"-","Pendente"),"Aguardando Liberação")</f>
        <v>Aguardando Liberação</v>
      </c>
      <c r="AH239" s="5" t="str">
        <f>IF('Banco de Dados'!$F239="-",_xlfn.CONCAT(PROPER(TEXT(AK239,"aaaa"))," ",PROPER(TEXT(AK239,"mm"))),_xlfn.CONCAT(PROPER(TEXT(E239,"aaaa"))," ",PROPER(TEXT(E239,"mm"))))</f>
        <v>2024 11</v>
      </c>
      <c r="AI239" s="9" t="str">
        <f ca="1">IF('Banco de Dados'!$AK239&lt;&gt;"-","REEMBOLSO",IFERROR(_xlfn.XLOOKUP(G239,Follow[CODRASTREIO],Follow[STATUS]),"-"))</f>
        <v>ENTREGUE</v>
      </c>
      <c r="AJ239" s="9">
        <f ca="1">IF('Banco de Dados'!$AI239="ENTREGUE",_xlfn.XLOOKUP('Banco de Dados'!$G239,Follow[CODRASTREIO],Follow[DATAATUALIZAÇÃO]),"-")</f>
        <v>45607</v>
      </c>
      <c r="AK239" s="9" t="str">
        <f ca="1"/>
        <v>-</v>
      </c>
      <c r="AL239" s="35" t="str">
        <v>NÃO</v>
      </c>
      <c r="AM239" s="109" cm="1">
        <f t="array" aca="1" ref="AM239" ca="1">IF('Banco de Dados'!$AK239&lt;&gt;"-",_xlfn.IFS('Banco de Dados'!$A239="bv",IF('Banco de Dados'!$E239&lt;45641,ROUND(SUM('Banco de Dados'!$R239*_xlfn.XLOOKUP('Banco de Dados'!$P239,Sku!B:B,Sku!#REF!)*20%),2),ROUND(SUM('Banco de Dados'!$R239*_xlfn.XLOOKUP('Banco de Dados'!$P239,Sku!B:B,Sku!H:H)*20%),2)),'Banco de Dados'!$A239="GO",ROUND(_xlfn.XLOOKUP('Banco de Dados'!$P239,Sku!C:C,Sku!H:H),2),'Banco de Dados'!$A239="MEI",ROUND(_xlfn.XLOOKUP('Banco de Dados'!$P239,Sku!D:D,Sku!H:H),2)),0)</f>
        <v>0</v>
      </c>
      <c r="AN239" s="109">
        <f ca="1">IF('Banco de Dados'!$AK239&lt;&gt;"-",IF('Banco de Dados'!$F239&lt;&gt;"-",_xlfn.XLOOKUP(IFERROR(IFERROR(IFERROR(VALUE(SUBSTITUTE(MID(_xlfn.TEXTAFTER('Banco de Dados'!$F239,"Data do Pedido:
",1),1,10),"-","/")),VALUE(SUBSTITUTE(MID(_xlfn.TEXTAFTER('Banco de Dados'!$F239,"Order date:
",1),1,10),"-","/"))),VALUE(SUBSTITUTE(MID(_xlfn.TEXTAFTER('Banco de Dados'!$F239,"Fecha de pedido:
",1),1,10),"-","/"))),"-"),SMS!A:A,SMS!K:K),0),0)</f>
        <v>0</v>
      </c>
      <c r="AO239" s="109">
        <f ca="1">IF('Banco de Dados'!$AK239&lt;&gt;"-",IF('Banco de Dados'!$F239&lt;&gt;"-",IFERROR(_xlfn.XLOOKUP(_xlfn.CONCAT('Banco de Dados'!$A239,IFERROR(IFERROR(VALUE(SUBSTITUTE(MID(_xlfn.TEXTAFTER('Banco de Dados'!$F239,"Data do Pedido:
",1),1,10),"-","/")),VALUE(SUBSTITUTE(MID(_xlfn.TEXTAFTER('Banco de Dados'!$F239,"Order date:
",1),1,10),"-","/"))),0)),ProxyDD[Chave],ProxyDD[Valor por pedido]),PROXY!$P$2),0),0)</f>
        <v>0</v>
      </c>
      <c r="AP239" s="28">
        <f ca="1">IF('Banco de Dados'!$AK239&lt;&gt;"-",IF('Banco de Dados'!$AL239="NÃO",IFERROR(VALUE(SUBSTITUTE(_xlfn.TEXTAFTER('Banco de Dados'!$F239,"BRL ",1),".",",")),0),0),0)</f>
        <v>0</v>
      </c>
      <c r="AQ239" s="28">
        <f ca="1">SUM('Banco de Dados'!$AM239:$AP239)</f>
        <v>0</v>
      </c>
      <c r="AR239" s="8"/>
      <c r="AS239" s="8"/>
      <c r="AY239" s="8"/>
    </row>
    <row r="240" spans="1:51">
      <c r="A240" s="5" t="str">
        <v>BV</v>
      </c>
      <c r="B240" s="5" t="str">
        <f ca="1"/>
        <v>BV45599</v>
      </c>
      <c r="C240" s="8" t="str">
        <v>Pedido 237</v>
      </c>
      <c r="D240" s="9">
        <v>45599</v>
      </c>
      <c r="E240" s="9">
        <v>45599</v>
      </c>
      <c r="F240" s="8" t="str">
        <v>PedidoF230</v>
      </c>
      <c r="G240" s="2" t="str">
        <v>CódRastreio230</v>
      </c>
      <c r="H240" s="5">
        <v>1</v>
      </c>
      <c r="I240" s="182" t="str">
        <v>CPF 234</v>
      </c>
      <c r="J240" s="2" t="str">
        <v>Nome 234</v>
      </c>
      <c r="K240" s="8" t="str">
        <v>Tel 234</v>
      </c>
      <c r="L240" s="2" t="str">
        <v>Cep 234</v>
      </c>
      <c r="M240" s="2" t="str">
        <v>Rua 234</v>
      </c>
      <c r="N240" s="2" t="str">
        <v>Comp 234</v>
      </c>
      <c r="O240" s="2" t="str">
        <v>Suporte de Celular Branco</v>
      </c>
      <c r="P240" s="8" t="str">
        <v>16-4EDB-WMZF</v>
      </c>
      <c r="Q240" s="4">
        <v>45633</v>
      </c>
      <c r="R240" s="109">
        <v>15.5</v>
      </c>
      <c r="S240" s="11">
        <f ca="1"/>
        <v>15.5</v>
      </c>
      <c r="T240" s="28">
        <f ca="1"/>
        <v>2.3249999999999997</v>
      </c>
      <c r="U240" s="11">
        <f ca="1"/>
        <v>13.18</v>
      </c>
      <c r="V240" s="11">
        <v>7.29</v>
      </c>
      <c r="W240" s="11">
        <f ca="1"/>
        <v>0.43</v>
      </c>
      <c r="X240" s="11">
        <f ca="1"/>
        <v>0.39877104377104378</v>
      </c>
      <c r="Y240" s="11">
        <v>0</v>
      </c>
      <c r="Z240" s="11">
        <f ca="1"/>
        <v>5.0612289562289554</v>
      </c>
      <c r="AA240" s="11">
        <f ca="1"/>
        <v>2.5306144781144777</v>
      </c>
      <c r="AB240" s="4">
        <f ca="1"/>
        <v>45640</v>
      </c>
      <c r="AC240" s="4">
        <v>45640</v>
      </c>
      <c r="AD240" s="9">
        <v>45640</v>
      </c>
      <c r="AE240" s="9">
        <v>45642</v>
      </c>
      <c r="AF240" s="4" t="str">
        <f t="shared" ca="1" si="3"/>
        <v>2024 12</v>
      </c>
      <c r="AG240" s="8" t="str" cm="1">
        <f t="array" ref="AG240">IFERROR(_xlfn.IFS('Banco de Dados'!#REF!="AG. COMPRA","Em processamento",'Banco de Dados'!#REF!="AG. RASTREIO","Em processamento",'Banco de Dados'!$AE240&lt;&gt;"-","Faturado",'Banco de Dados'!$AD240&lt;&gt;"-","Aguardando Pix",'Banco de Dados'!$AC240&lt;&gt;"-","Pendente"),"Aguardando Liberação")</f>
        <v>Aguardando Liberação</v>
      </c>
      <c r="AH240" s="5" t="str">
        <f>IF('Banco de Dados'!$F240="-",_xlfn.CONCAT(PROPER(TEXT(AK240,"aaaa"))," ",PROPER(TEXT(AK240,"mm"))),_xlfn.CONCAT(PROPER(TEXT(E240,"aaaa"))," ",PROPER(TEXT(E240,"mm"))))</f>
        <v>2024 11</v>
      </c>
      <c r="AI240" s="9" t="str">
        <f ca="1">IF('Banco de Dados'!$AK240&lt;&gt;"-","REEMBOLSO",IFERROR(_xlfn.XLOOKUP(G240,Follow[CODRASTREIO],Follow[STATUS]),"-"))</f>
        <v>ENTREGUE</v>
      </c>
      <c r="AJ240" s="9">
        <f ca="1">IF('Banco de Dados'!$AI240="ENTREGUE",_xlfn.XLOOKUP('Banco de Dados'!$G240,Follow[CODRASTREIO],Follow[DATAATUALIZAÇÃO]),"-")</f>
        <v>45618</v>
      </c>
      <c r="AK240" s="9" t="str">
        <f ca="1"/>
        <v>-</v>
      </c>
      <c r="AL240" s="35" t="str">
        <v>NÃO</v>
      </c>
      <c r="AM240" s="109" cm="1">
        <f t="array" aca="1" ref="AM240" ca="1">IF('Banco de Dados'!$AK240&lt;&gt;"-",_xlfn.IFS('Banco de Dados'!$A240="bv",IF('Banco de Dados'!$E240&lt;45641,ROUND(SUM('Banco de Dados'!$R240*_xlfn.XLOOKUP('Banco de Dados'!$P240,Sku!B:B,Sku!#REF!)*20%),2),ROUND(SUM('Banco de Dados'!$R240*_xlfn.XLOOKUP('Banco de Dados'!$P240,Sku!B:B,Sku!H:H)*20%),2)),'Banco de Dados'!$A240="GO",ROUND(_xlfn.XLOOKUP('Banco de Dados'!$P240,Sku!C:C,Sku!H:H),2),'Banco de Dados'!$A240="MEI",ROUND(_xlfn.XLOOKUP('Banco de Dados'!$P240,Sku!D:D,Sku!H:H),2)),0)</f>
        <v>0</v>
      </c>
      <c r="AN240" s="109">
        <f ca="1">IF('Banco de Dados'!$AK240&lt;&gt;"-",IF('Banco de Dados'!$F240&lt;&gt;"-",_xlfn.XLOOKUP(IFERROR(IFERROR(IFERROR(VALUE(SUBSTITUTE(MID(_xlfn.TEXTAFTER('Banco de Dados'!$F240,"Data do Pedido:
",1),1,10),"-","/")),VALUE(SUBSTITUTE(MID(_xlfn.TEXTAFTER('Banco de Dados'!$F240,"Order date:
",1),1,10),"-","/"))),VALUE(SUBSTITUTE(MID(_xlfn.TEXTAFTER('Banco de Dados'!$F240,"Fecha de pedido:
",1),1,10),"-","/"))),"-"),SMS!A:A,SMS!K:K),0),0)</f>
        <v>0</v>
      </c>
      <c r="AO240" s="109">
        <f ca="1">IF('Banco de Dados'!$AK240&lt;&gt;"-",IF('Banco de Dados'!$F240&lt;&gt;"-",IFERROR(_xlfn.XLOOKUP(_xlfn.CONCAT('Banco de Dados'!$A240,IFERROR(IFERROR(VALUE(SUBSTITUTE(MID(_xlfn.TEXTAFTER('Banco de Dados'!$F240,"Data do Pedido:
",1),1,10),"-","/")),VALUE(SUBSTITUTE(MID(_xlfn.TEXTAFTER('Banco de Dados'!$F240,"Order date:
",1),1,10),"-","/"))),0)),ProxyDD[Chave],ProxyDD[Valor por pedido]),PROXY!$P$2),0),0)</f>
        <v>0</v>
      </c>
      <c r="AP240" s="28">
        <f ca="1">IF('Banco de Dados'!$AK240&lt;&gt;"-",IF('Banco de Dados'!$AL240="NÃO",IFERROR(VALUE(SUBSTITUTE(_xlfn.TEXTAFTER('Banco de Dados'!$F240,"BRL ",1),".",",")),0),0),0)</f>
        <v>0</v>
      </c>
      <c r="AQ240" s="28">
        <f ca="1">SUM('Banco de Dados'!$AM240:$AP240)</f>
        <v>0</v>
      </c>
      <c r="AR240" s="8"/>
      <c r="AS240" s="8"/>
      <c r="AY240" s="8"/>
    </row>
    <row r="241" spans="1:51">
      <c r="A241" s="5" t="str">
        <v>BV</v>
      </c>
      <c r="B241" s="5" t="str">
        <f ca="1"/>
        <v>BV45599</v>
      </c>
      <c r="C241" s="8" t="str">
        <v>Pedido 238</v>
      </c>
      <c r="D241" s="9">
        <v>45599</v>
      </c>
      <c r="E241" s="9">
        <v>45599</v>
      </c>
      <c r="F241" s="8" t="str">
        <v>PedidoF231</v>
      </c>
      <c r="G241" s="2" t="str">
        <v>CódRastreio231</v>
      </c>
      <c r="H241" s="5">
        <v>1</v>
      </c>
      <c r="I241" s="182" t="str">
        <v>CPF 235</v>
      </c>
      <c r="J241" s="2" t="str">
        <v>Nome 235</v>
      </c>
      <c r="K241" s="8" t="str">
        <v>Tel 235</v>
      </c>
      <c r="L241" s="2" t="str">
        <v>Cep 235</v>
      </c>
      <c r="M241" s="2" t="str">
        <v>Rua 235</v>
      </c>
      <c r="N241" s="2" t="str">
        <v>Comp 235</v>
      </c>
      <c r="O241" s="2" t="str">
        <v>Bomba d'agua</v>
      </c>
      <c r="P241" s="8" t="str">
        <v>DJ-RO5O-43GF</v>
      </c>
      <c r="Q241" s="4">
        <v>45626</v>
      </c>
      <c r="R241" s="109">
        <v>16.5</v>
      </c>
      <c r="S241" s="11">
        <f ca="1"/>
        <v>16.5</v>
      </c>
      <c r="T241" s="28">
        <f ca="1"/>
        <v>2.31</v>
      </c>
      <c r="U241" s="11">
        <f ca="1"/>
        <v>14.19</v>
      </c>
      <c r="V241" s="11">
        <v>4.99</v>
      </c>
      <c r="W241" s="11">
        <f ca="1"/>
        <v>0.43</v>
      </c>
      <c r="X241" s="11">
        <f ca="1"/>
        <v>0.39877104377104378</v>
      </c>
      <c r="Y241" s="11">
        <v>0</v>
      </c>
      <c r="Z241" s="11">
        <f ca="1"/>
        <v>8.3712289562289559</v>
      </c>
      <c r="AA241" s="11">
        <f ca="1"/>
        <v>4.185614478114478</v>
      </c>
      <c r="AB241" s="4">
        <f ca="1"/>
        <v>45633</v>
      </c>
      <c r="AC241" s="4">
        <v>45633</v>
      </c>
      <c r="AD241" s="9">
        <v>45637</v>
      </c>
      <c r="AE241" s="9">
        <v>45642</v>
      </c>
      <c r="AF241" s="4" t="str">
        <f t="shared" ca="1" si="3"/>
        <v>2024 12</v>
      </c>
      <c r="AG241" s="8" t="str" cm="1">
        <f t="array" ref="AG241">IFERROR(_xlfn.IFS('Banco de Dados'!#REF!="AG. COMPRA","Em processamento",'Banco de Dados'!#REF!="AG. RASTREIO","Em processamento",'Banco de Dados'!$AE241&lt;&gt;"-","Faturado",'Banco de Dados'!$AD241&lt;&gt;"-","Aguardando Pix",'Banco de Dados'!$AC241&lt;&gt;"-","Pendente"),"Aguardando Liberação")</f>
        <v>Aguardando Liberação</v>
      </c>
      <c r="AH241" s="5" t="str">
        <f>IF('Banco de Dados'!$F241="-",_xlfn.CONCAT(PROPER(TEXT(AK241,"aaaa"))," ",PROPER(TEXT(AK241,"mm"))),_xlfn.CONCAT(PROPER(TEXT(E241,"aaaa"))," ",PROPER(TEXT(E241,"mm"))))</f>
        <v>2024 11</v>
      </c>
      <c r="AI241" s="9" t="str">
        <f ca="1">IF('Banco de Dados'!$AK241&lt;&gt;"-","REEMBOLSO",IFERROR(_xlfn.XLOOKUP(G241,Follow[CODRASTREIO],Follow[STATUS]),"-"))</f>
        <v>ENTREGUE</v>
      </c>
      <c r="AJ241" s="9">
        <f ca="1">IF('Banco de Dados'!$AI241="ENTREGUE",_xlfn.XLOOKUP('Banco de Dados'!$G241,Follow[CODRASTREIO],Follow[DATAATUALIZAÇÃO]),"-")</f>
        <v>45608</v>
      </c>
      <c r="AK241" s="9" t="str">
        <f ca="1"/>
        <v>-</v>
      </c>
      <c r="AL241" s="35" t="str">
        <v>NÃO</v>
      </c>
      <c r="AM241" s="109" cm="1">
        <f t="array" aca="1" ref="AM241" ca="1">IF('Banco de Dados'!$AK241&lt;&gt;"-",_xlfn.IFS('Banco de Dados'!$A241="bv",IF('Banco de Dados'!$E241&lt;45641,ROUND(SUM('Banco de Dados'!$R241*_xlfn.XLOOKUP('Banco de Dados'!$P241,Sku!B:B,Sku!#REF!)*20%),2),ROUND(SUM('Banco de Dados'!$R241*_xlfn.XLOOKUP('Banco de Dados'!$P241,Sku!B:B,Sku!H:H)*20%),2)),'Banco de Dados'!$A241="GO",ROUND(_xlfn.XLOOKUP('Banco de Dados'!$P241,Sku!C:C,Sku!H:H),2),'Banco de Dados'!$A241="MEI",ROUND(_xlfn.XLOOKUP('Banco de Dados'!$P241,Sku!D:D,Sku!H:H),2)),0)</f>
        <v>0</v>
      </c>
      <c r="AN241" s="109">
        <f ca="1">IF('Banco de Dados'!$AK241&lt;&gt;"-",IF('Banco de Dados'!$F241&lt;&gt;"-",_xlfn.XLOOKUP(IFERROR(IFERROR(IFERROR(VALUE(SUBSTITUTE(MID(_xlfn.TEXTAFTER('Banco de Dados'!$F241,"Data do Pedido:
",1),1,10),"-","/")),VALUE(SUBSTITUTE(MID(_xlfn.TEXTAFTER('Banco de Dados'!$F241,"Order date:
",1),1,10),"-","/"))),VALUE(SUBSTITUTE(MID(_xlfn.TEXTAFTER('Banco de Dados'!$F241,"Fecha de pedido:
",1),1,10),"-","/"))),"-"),SMS!A:A,SMS!K:K),0),0)</f>
        <v>0</v>
      </c>
      <c r="AO241" s="109">
        <f ca="1">IF('Banco de Dados'!$AK241&lt;&gt;"-",IF('Banco de Dados'!$F241&lt;&gt;"-",IFERROR(_xlfn.XLOOKUP(_xlfn.CONCAT('Banco de Dados'!$A241,IFERROR(IFERROR(VALUE(SUBSTITUTE(MID(_xlfn.TEXTAFTER('Banco de Dados'!$F241,"Data do Pedido:
",1),1,10),"-","/")),VALUE(SUBSTITUTE(MID(_xlfn.TEXTAFTER('Banco de Dados'!$F241,"Order date:
",1),1,10),"-","/"))),0)),ProxyDD[Chave],ProxyDD[Valor por pedido]),PROXY!$P$2),0),0)</f>
        <v>0</v>
      </c>
      <c r="AP241" s="28">
        <f ca="1">IF('Banco de Dados'!$AK241&lt;&gt;"-",IF('Banco de Dados'!$AL241="NÃO",IFERROR(VALUE(SUBSTITUTE(_xlfn.TEXTAFTER('Banco de Dados'!$F241,"BRL ",1),".",",")),0),0),0)</f>
        <v>0</v>
      </c>
      <c r="AQ241" s="28">
        <f ca="1">SUM('Banco de Dados'!$AM241:$AP241)</f>
        <v>0</v>
      </c>
      <c r="AR241" s="8"/>
      <c r="AS241" s="8"/>
      <c r="AY241" s="8"/>
    </row>
    <row r="242" spans="1:51">
      <c r="A242" s="5" t="str">
        <v>BV</v>
      </c>
      <c r="B242" s="5" t="str">
        <f ca="1"/>
        <v>BV45599</v>
      </c>
      <c r="C242" s="8" t="str">
        <v>Pedido 239</v>
      </c>
      <c r="D242" s="9">
        <v>45599</v>
      </c>
      <c r="E242" s="9">
        <v>45599</v>
      </c>
      <c r="F242" s="8" t="str">
        <v>PedidoF232</v>
      </c>
      <c r="G242" s="2" t="str">
        <v>CódRastreio232</v>
      </c>
      <c r="H242" s="5">
        <v>1</v>
      </c>
      <c r="I242" s="182" t="str">
        <v>CPF 236</v>
      </c>
      <c r="J242" s="2" t="str">
        <v>Nome 236</v>
      </c>
      <c r="K242" s="8" t="str">
        <v>Tel 236</v>
      </c>
      <c r="L242" s="2" t="str">
        <v>Cep 236</v>
      </c>
      <c r="M242" s="2" t="str">
        <v>Rua 236</v>
      </c>
      <c r="N242" s="2" t="str">
        <v>Comp 236</v>
      </c>
      <c r="O242" s="2" t="str">
        <v>Suporte de Celular Branco</v>
      </c>
      <c r="P242" s="8" t="str">
        <v>16-4EDB-WMZF</v>
      </c>
      <c r="Q242" s="4">
        <v>45626</v>
      </c>
      <c r="R242" s="109">
        <v>15.5</v>
      </c>
      <c r="S242" s="11">
        <f ca="1"/>
        <v>15.5</v>
      </c>
      <c r="T242" s="28">
        <f ca="1"/>
        <v>2.3249999999999997</v>
      </c>
      <c r="U242" s="11">
        <f ca="1"/>
        <v>13.18</v>
      </c>
      <c r="V242" s="11">
        <v>7.29</v>
      </c>
      <c r="W242" s="11">
        <f ca="1"/>
        <v>0.43</v>
      </c>
      <c r="X242" s="11">
        <f ca="1"/>
        <v>0.39877104377104378</v>
      </c>
      <c r="Y242" s="11">
        <v>0</v>
      </c>
      <c r="Z242" s="11">
        <f ca="1"/>
        <v>5.0612289562289554</v>
      </c>
      <c r="AA242" s="11">
        <f ca="1"/>
        <v>2.5306144781144777</v>
      </c>
      <c r="AB242" s="4">
        <f ca="1"/>
        <v>45633</v>
      </c>
      <c r="AC242" s="4">
        <v>45633</v>
      </c>
      <c r="AD242" s="9">
        <v>45637</v>
      </c>
      <c r="AE242" s="9">
        <v>45642</v>
      </c>
      <c r="AF242" s="4" t="str">
        <f t="shared" ca="1" si="3"/>
        <v>2024 12</v>
      </c>
      <c r="AG242" s="8" t="str" cm="1">
        <f t="array" ref="AG242">IFERROR(_xlfn.IFS('Banco de Dados'!#REF!="AG. COMPRA","Em processamento",'Banco de Dados'!#REF!="AG. RASTREIO","Em processamento",'Banco de Dados'!$AE242&lt;&gt;"-","Faturado",'Banco de Dados'!$AD242&lt;&gt;"-","Aguardando Pix",'Banco de Dados'!$AC242&lt;&gt;"-","Pendente"),"Aguardando Liberação")</f>
        <v>Aguardando Liberação</v>
      </c>
      <c r="AH242" s="5" t="str">
        <f>IF('Banco de Dados'!$F242="-",_xlfn.CONCAT(PROPER(TEXT(AK242,"aaaa"))," ",PROPER(TEXT(AK242,"mm"))),_xlfn.CONCAT(PROPER(TEXT(E242,"aaaa"))," ",PROPER(TEXT(E242,"mm"))))</f>
        <v>2024 11</v>
      </c>
      <c r="AI242" s="9" t="str">
        <f ca="1">IF('Banco de Dados'!$AK242&lt;&gt;"-","REEMBOLSO",IFERROR(_xlfn.XLOOKUP(G242,Follow[CODRASTREIO],Follow[STATUS]),"-"))</f>
        <v>ENTREGUE</v>
      </c>
      <c r="AJ242" s="9">
        <f ca="1">IF('Banco de Dados'!$AI242="ENTREGUE",_xlfn.XLOOKUP('Banco de Dados'!$G242,Follow[CODRASTREIO],Follow[DATAATUALIZAÇÃO]),"-")</f>
        <v>45617</v>
      </c>
      <c r="AK242" s="9" t="str">
        <f ca="1"/>
        <v>-</v>
      </c>
      <c r="AL242" s="35" t="str">
        <v>NÃO</v>
      </c>
      <c r="AM242" s="109" cm="1">
        <f t="array" aca="1" ref="AM242" ca="1">IF('Banco de Dados'!$AK242&lt;&gt;"-",_xlfn.IFS('Banco de Dados'!$A242="bv",IF('Banco de Dados'!$E242&lt;45641,ROUND(SUM('Banco de Dados'!$R242*_xlfn.XLOOKUP('Banco de Dados'!$P242,Sku!B:B,Sku!#REF!)*20%),2),ROUND(SUM('Banco de Dados'!$R242*_xlfn.XLOOKUP('Banco de Dados'!$P242,Sku!B:B,Sku!H:H)*20%),2)),'Banco de Dados'!$A242="GO",ROUND(_xlfn.XLOOKUP('Banco de Dados'!$P242,Sku!C:C,Sku!H:H),2),'Banco de Dados'!$A242="MEI",ROUND(_xlfn.XLOOKUP('Banco de Dados'!$P242,Sku!D:D,Sku!H:H),2)),0)</f>
        <v>0</v>
      </c>
      <c r="AN242" s="109">
        <f ca="1">IF('Banco de Dados'!$AK242&lt;&gt;"-",IF('Banco de Dados'!$F242&lt;&gt;"-",_xlfn.XLOOKUP(IFERROR(IFERROR(IFERROR(VALUE(SUBSTITUTE(MID(_xlfn.TEXTAFTER('Banco de Dados'!$F242,"Data do Pedido:
",1),1,10),"-","/")),VALUE(SUBSTITUTE(MID(_xlfn.TEXTAFTER('Banco de Dados'!$F242,"Order date:
",1),1,10),"-","/"))),VALUE(SUBSTITUTE(MID(_xlfn.TEXTAFTER('Banco de Dados'!$F242,"Fecha de pedido:
",1),1,10),"-","/"))),"-"),SMS!A:A,SMS!K:K),0),0)</f>
        <v>0</v>
      </c>
      <c r="AO242" s="109">
        <f ca="1">IF('Banco de Dados'!$AK242&lt;&gt;"-",IF('Banco de Dados'!$F242&lt;&gt;"-",IFERROR(_xlfn.XLOOKUP(_xlfn.CONCAT('Banco de Dados'!$A242,IFERROR(IFERROR(VALUE(SUBSTITUTE(MID(_xlfn.TEXTAFTER('Banco de Dados'!$F242,"Data do Pedido:
",1),1,10),"-","/")),VALUE(SUBSTITUTE(MID(_xlfn.TEXTAFTER('Banco de Dados'!$F242,"Order date:
",1),1,10),"-","/"))),0)),ProxyDD[Chave],ProxyDD[Valor por pedido]),PROXY!$P$2),0),0)</f>
        <v>0</v>
      </c>
      <c r="AP242" s="28">
        <f ca="1">IF('Banco de Dados'!$AK242&lt;&gt;"-",IF('Banco de Dados'!$AL242="NÃO",IFERROR(VALUE(SUBSTITUTE(_xlfn.TEXTAFTER('Banco de Dados'!$F242,"BRL ",1),".",",")),0),0),0)</f>
        <v>0</v>
      </c>
      <c r="AQ242" s="28">
        <f ca="1">SUM('Banco de Dados'!$AM242:$AP242)</f>
        <v>0</v>
      </c>
      <c r="AR242" s="8"/>
      <c r="AS242" s="8"/>
      <c r="AY242" s="8"/>
    </row>
    <row r="243" spans="1:51">
      <c r="A243" s="5" t="str">
        <v>BV</v>
      </c>
      <c r="B243" s="5" t="str">
        <f ca="1"/>
        <v>BV45599</v>
      </c>
      <c r="C243" s="8" t="str">
        <v>Pedido 240</v>
      </c>
      <c r="D243" s="9">
        <v>45599</v>
      </c>
      <c r="E243" s="9">
        <v>45599</v>
      </c>
      <c r="F243" s="8" t="str">
        <v>PedidoF233</v>
      </c>
      <c r="G243" s="2" t="str">
        <v>CódRastreio233</v>
      </c>
      <c r="H243" s="5">
        <v>1</v>
      </c>
      <c r="I243" s="182" t="str">
        <v>CPF 237</v>
      </c>
      <c r="J243" s="2" t="str">
        <v>Nome 237</v>
      </c>
      <c r="K243" s="8" t="str">
        <v>Tel 237</v>
      </c>
      <c r="L243" s="2" t="str">
        <v>Cep 237</v>
      </c>
      <c r="M243" s="2" t="str">
        <v>Rua 237</v>
      </c>
      <c r="N243" s="2" t="str">
        <v>Comp 237</v>
      </c>
      <c r="O243" s="2" t="str">
        <v>Bomba d'agua</v>
      </c>
      <c r="P243" s="8" t="str">
        <v>DJ-RO5O-43GF</v>
      </c>
      <c r="Q243" s="4">
        <v>45615</v>
      </c>
      <c r="R243" s="109">
        <v>16.5</v>
      </c>
      <c r="S243" s="11">
        <f ca="1"/>
        <v>16.5</v>
      </c>
      <c r="T243" s="28">
        <f ca="1"/>
        <v>2.31</v>
      </c>
      <c r="U243" s="11">
        <f ca="1"/>
        <v>14.19</v>
      </c>
      <c r="V243" s="11">
        <v>4.99</v>
      </c>
      <c r="W243" s="11">
        <f ca="1"/>
        <v>0.43</v>
      </c>
      <c r="X243" s="11">
        <f ca="1"/>
        <v>0.39877104377104378</v>
      </c>
      <c r="Y243" s="11">
        <v>0</v>
      </c>
      <c r="Z243" s="11">
        <f ca="1"/>
        <v>8.3712289562289559</v>
      </c>
      <c r="AA243" s="11">
        <f ca="1"/>
        <v>4.185614478114478</v>
      </c>
      <c r="AB243" s="4">
        <f ca="1"/>
        <v>45622</v>
      </c>
      <c r="AC243" s="4">
        <v>45622</v>
      </c>
      <c r="AD243" s="9">
        <v>45625</v>
      </c>
      <c r="AE243" s="9">
        <v>45625</v>
      </c>
      <c r="AF243" s="4" t="str">
        <f t="shared" ca="1" si="3"/>
        <v>2024 11</v>
      </c>
      <c r="AG243" s="8" t="str" cm="1">
        <f t="array" ref="AG243">IFERROR(_xlfn.IFS('Banco de Dados'!#REF!="AG. COMPRA","Em processamento",'Banco de Dados'!#REF!="AG. RASTREIO","Em processamento",'Banco de Dados'!$AE243&lt;&gt;"-","Faturado",'Banco de Dados'!$AD243&lt;&gt;"-","Aguardando Pix",'Banco de Dados'!$AC243&lt;&gt;"-","Pendente"),"Aguardando Liberação")</f>
        <v>Aguardando Liberação</v>
      </c>
      <c r="AH243" s="5" t="str">
        <f>IF('Banco de Dados'!$F243="-",_xlfn.CONCAT(PROPER(TEXT(AK243,"aaaa"))," ",PROPER(TEXT(AK243,"mm"))),_xlfn.CONCAT(PROPER(TEXT(E243,"aaaa"))," ",PROPER(TEXT(E243,"mm"))))</f>
        <v>2024 11</v>
      </c>
      <c r="AI243" s="9" t="str">
        <f ca="1">IF('Banco de Dados'!$AK243&lt;&gt;"-","REEMBOLSO",IFERROR(_xlfn.XLOOKUP(G243,Follow[CODRASTREIO],Follow[STATUS]),"-"))</f>
        <v>ENTREGUE</v>
      </c>
      <c r="AJ243" s="9">
        <f ca="1">IF('Banco de Dados'!$AI243="ENTREGUE",_xlfn.XLOOKUP('Banco de Dados'!$G243,Follow[CODRASTREIO],Follow[DATAATUALIZAÇÃO]),"-")</f>
        <v>45604</v>
      </c>
      <c r="AK243" s="9" t="str">
        <f ca="1"/>
        <v>-</v>
      </c>
      <c r="AL243" s="35" t="str">
        <v>NÃO</v>
      </c>
      <c r="AM243" s="109" cm="1">
        <f t="array" aca="1" ref="AM243" ca="1">IF('Banco de Dados'!$AK243&lt;&gt;"-",_xlfn.IFS('Banco de Dados'!$A243="bv",IF('Banco de Dados'!$E243&lt;45641,ROUND(SUM('Banco de Dados'!$R243*_xlfn.XLOOKUP('Banco de Dados'!$P243,Sku!B:B,Sku!#REF!)*20%),2),ROUND(SUM('Banco de Dados'!$R243*_xlfn.XLOOKUP('Banco de Dados'!$P243,Sku!B:B,Sku!H:H)*20%),2)),'Banco de Dados'!$A243="GO",ROUND(_xlfn.XLOOKUP('Banco de Dados'!$P243,Sku!C:C,Sku!H:H),2),'Banco de Dados'!$A243="MEI",ROUND(_xlfn.XLOOKUP('Banco de Dados'!$P243,Sku!D:D,Sku!H:H),2)),0)</f>
        <v>0</v>
      </c>
      <c r="AN243" s="109">
        <f ca="1">IF('Banco de Dados'!$AK243&lt;&gt;"-",IF('Banco de Dados'!$F243&lt;&gt;"-",_xlfn.XLOOKUP(IFERROR(IFERROR(IFERROR(VALUE(SUBSTITUTE(MID(_xlfn.TEXTAFTER('Banco de Dados'!$F243,"Data do Pedido:
",1),1,10),"-","/")),VALUE(SUBSTITUTE(MID(_xlfn.TEXTAFTER('Banco de Dados'!$F243,"Order date:
",1),1,10),"-","/"))),VALUE(SUBSTITUTE(MID(_xlfn.TEXTAFTER('Banco de Dados'!$F243,"Fecha de pedido:
",1),1,10),"-","/"))),"-"),SMS!A:A,SMS!K:K),0),0)</f>
        <v>0</v>
      </c>
      <c r="AO243" s="109">
        <f ca="1">IF('Banco de Dados'!$AK243&lt;&gt;"-",IF('Banco de Dados'!$F243&lt;&gt;"-",IFERROR(_xlfn.XLOOKUP(_xlfn.CONCAT('Banco de Dados'!$A243,IFERROR(IFERROR(VALUE(SUBSTITUTE(MID(_xlfn.TEXTAFTER('Banco de Dados'!$F243,"Data do Pedido:
",1),1,10),"-","/")),VALUE(SUBSTITUTE(MID(_xlfn.TEXTAFTER('Banco de Dados'!$F243,"Order date:
",1),1,10),"-","/"))),0)),ProxyDD[Chave],ProxyDD[Valor por pedido]),PROXY!$P$2),0),0)</f>
        <v>0</v>
      </c>
      <c r="AP243" s="28">
        <f ca="1">IF('Banco de Dados'!$AK243&lt;&gt;"-",IF('Banco de Dados'!$AL243="NÃO",IFERROR(VALUE(SUBSTITUTE(_xlfn.TEXTAFTER('Banco de Dados'!$F243,"BRL ",1),".",",")),0),0),0)</f>
        <v>0</v>
      </c>
      <c r="AQ243" s="28">
        <f ca="1">SUM('Banco de Dados'!$AM243:$AP243)</f>
        <v>0</v>
      </c>
      <c r="AR243" s="8"/>
      <c r="AS243" s="8"/>
      <c r="AY243" s="8"/>
    </row>
    <row r="244" spans="1:51">
      <c r="A244" s="5" t="str">
        <v>BV</v>
      </c>
      <c r="B244" s="5" t="str">
        <f ca="1"/>
        <v>BV45599</v>
      </c>
      <c r="C244" s="8" t="str">
        <v>Pedido 241</v>
      </c>
      <c r="D244" s="9">
        <v>45599</v>
      </c>
      <c r="E244" s="9">
        <v>45599</v>
      </c>
      <c r="F244" s="8" t="str">
        <v>PedidoF234</v>
      </c>
      <c r="G244" s="2" t="str">
        <v>CódRastreio234</v>
      </c>
      <c r="H244" s="5">
        <v>1</v>
      </c>
      <c r="I244" s="182" t="str">
        <v>CPF 238</v>
      </c>
      <c r="J244" s="2" t="str">
        <v>Nome 238</v>
      </c>
      <c r="K244" s="8" t="str">
        <v>Tel 238</v>
      </c>
      <c r="L244" s="2" t="str">
        <v>Cep 238</v>
      </c>
      <c r="M244" s="2" t="str">
        <v>Rua 238</v>
      </c>
      <c r="N244" s="2" t="str">
        <v>Comp 238</v>
      </c>
      <c r="O244" s="2" t="str">
        <v>Bomba d'agua</v>
      </c>
      <c r="P244" s="8" t="str">
        <v>DJ-RO5O-43GF</v>
      </c>
      <c r="Q244" s="4">
        <v>45618</v>
      </c>
      <c r="R244" s="109">
        <v>16.5</v>
      </c>
      <c r="S244" s="11">
        <f ca="1"/>
        <v>16.5</v>
      </c>
      <c r="T244" s="28">
        <f ca="1"/>
        <v>2.31</v>
      </c>
      <c r="U244" s="11">
        <f ca="1"/>
        <v>14.19</v>
      </c>
      <c r="V244" s="11">
        <v>4.99</v>
      </c>
      <c r="W244" s="11">
        <f ca="1"/>
        <v>0.43</v>
      </c>
      <c r="X244" s="11">
        <f ca="1"/>
        <v>0.39877104377104378</v>
      </c>
      <c r="Y244" s="11">
        <v>0</v>
      </c>
      <c r="Z244" s="11">
        <f ca="1"/>
        <v>8.3712289562289559</v>
      </c>
      <c r="AA244" s="11">
        <f ca="1"/>
        <v>4.185614478114478</v>
      </c>
      <c r="AB244" s="4">
        <f ca="1"/>
        <v>45625</v>
      </c>
      <c r="AC244" s="4">
        <v>45625</v>
      </c>
      <c r="AD244" s="9">
        <v>45625</v>
      </c>
      <c r="AE244" s="9">
        <v>45625</v>
      </c>
      <c r="AF244" s="4" t="str">
        <f t="shared" ca="1" si="3"/>
        <v>2024 11</v>
      </c>
      <c r="AG244" s="8" t="str" cm="1">
        <f t="array" ref="AG244">IFERROR(_xlfn.IFS('Banco de Dados'!#REF!="AG. COMPRA","Em processamento",'Banco de Dados'!#REF!="AG. RASTREIO","Em processamento",'Banco de Dados'!$AE244&lt;&gt;"-","Faturado",'Banco de Dados'!$AD244&lt;&gt;"-","Aguardando Pix",'Banco de Dados'!$AC244&lt;&gt;"-","Pendente"),"Aguardando Liberação")</f>
        <v>Aguardando Liberação</v>
      </c>
      <c r="AH244" s="5" t="str">
        <f>IF('Banco de Dados'!$F244="-",_xlfn.CONCAT(PROPER(TEXT(AK244,"aaaa"))," ",PROPER(TEXT(AK244,"mm"))),_xlfn.CONCAT(PROPER(TEXT(E244,"aaaa"))," ",PROPER(TEXT(E244,"mm"))))</f>
        <v>2024 11</v>
      </c>
      <c r="AI244" s="9" t="str">
        <f ca="1">IF('Banco de Dados'!$AK244&lt;&gt;"-","REEMBOLSO",IFERROR(_xlfn.XLOOKUP(G244,Follow[CODRASTREIO],Follow[STATUS]),"-"))</f>
        <v>ENTREGUE</v>
      </c>
      <c r="AJ244" s="9">
        <f ca="1">IF('Banco de Dados'!$AI244="ENTREGUE",_xlfn.XLOOKUP('Banco de Dados'!$G244,Follow[CODRASTREIO],Follow[DATAATUALIZAÇÃO]),"-")</f>
        <v>45607</v>
      </c>
      <c r="AK244" s="9" t="str">
        <f ca="1"/>
        <v>-</v>
      </c>
      <c r="AL244" s="35" t="str">
        <v>NÃO</v>
      </c>
      <c r="AM244" s="109" cm="1">
        <f t="array" aca="1" ref="AM244" ca="1">IF('Banco de Dados'!$AK244&lt;&gt;"-",_xlfn.IFS('Banco de Dados'!$A244="bv",IF('Banco de Dados'!$E244&lt;45641,ROUND(SUM('Banco de Dados'!$R244*_xlfn.XLOOKUP('Banco de Dados'!$P244,Sku!B:B,Sku!#REF!)*20%),2),ROUND(SUM('Banco de Dados'!$R244*_xlfn.XLOOKUP('Banco de Dados'!$P244,Sku!B:B,Sku!H:H)*20%),2)),'Banco de Dados'!$A244="GO",ROUND(_xlfn.XLOOKUP('Banco de Dados'!$P244,Sku!C:C,Sku!H:H),2),'Banco de Dados'!$A244="MEI",ROUND(_xlfn.XLOOKUP('Banco de Dados'!$P244,Sku!D:D,Sku!H:H),2)),0)</f>
        <v>0</v>
      </c>
      <c r="AN244" s="109">
        <f ca="1">IF('Banco de Dados'!$AK244&lt;&gt;"-",IF('Banco de Dados'!$F244&lt;&gt;"-",_xlfn.XLOOKUP(IFERROR(IFERROR(IFERROR(VALUE(SUBSTITUTE(MID(_xlfn.TEXTAFTER('Banco de Dados'!$F244,"Data do Pedido:
",1),1,10),"-","/")),VALUE(SUBSTITUTE(MID(_xlfn.TEXTAFTER('Banco de Dados'!$F244,"Order date:
",1),1,10),"-","/"))),VALUE(SUBSTITUTE(MID(_xlfn.TEXTAFTER('Banco de Dados'!$F244,"Fecha de pedido:
",1),1,10),"-","/"))),"-"),SMS!A:A,SMS!K:K),0),0)</f>
        <v>0</v>
      </c>
      <c r="AO244" s="109">
        <f ca="1">IF('Banco de Dados'!$AK244&lt;&gt;"-",IF('Banco de Dados'!$F244&lt;&gt;"-",IFERROR(_xlfn.XLOOKUP(_xlfn.CONCAT('Banco de Dados'!$A244,IFERROR(IFERROR(VALUE(SUBSTITUTE(MID(_xlfn.TEXTAFTER('Banco de Dados'!$F244,"Data do Pedido:
",1),1,10),"-","/")),VALUE(SUBSTITUTE(MID(_xlfn.TEXTAFTER('Banco de Dados'!$F244,"Order date:
",1),1,10),"-","/"))),0)),ProxyDD[Chave],ProxyDD[Valor por pedido]),PROXY!$P$2),0),0)</f>
        <v>0</v>
      </c>
      <c r="AP244" s="28">
        <f ca="1">IF('Banco de Dados'!$AK244&lt;&gt;"-",IF('Banco de Dados'!$AL244="NÃO",IFERROR(VALUE(SUBSTITUTE(_xlfn.TEXTAFTER('Banco de Dados'!$F244,"BRL ",1),".",",")),0),0),0)</f>
        <v>0</v>
      </c>
      <c r="AQ244" s="28">
        <f ca="1">SUM('Banco de Dados'!$AM244:$AP244)</f>
        <v>0</v>
      </c>
      <c r="AR244" s="8"/>
      <c r="AS244" s="8"/>
      <c r="AY244" s="8"/>
    </row>
    <row r="245" spans="1:51">
      <c r="A245" s="5" t="str">
        <v>BV</v>
      </c>
      <c r="B245" s="5" t="str">
        <f ca="1"/>
        <v>BV45599</v>
      </c>
      <c r="C245" s="8" t="str">
        <v>Pedido 242</v>
      </c>
      <c r="D245" s="9">
        <v>45599</v>
      </c>
      <c r="E245" s="9">
        <v>45599</v>
      </c>
      <c r="F245" s="8" t="str">
        <v>PedidoF235</v>
      </c>
      <c r="G245" s="2" t="str">
        <v>CódRastreio235</v>
      </c>
      <c r="H245" s="5">
        <v>1</v>
      </c>
      <c r="I245" s="182" t="str">
        <v>CPF 239</v>
      </c>
      <c r="J245" s="2" t="str">
        <v>Nome 239</v>
      </c>
      <c r="K245" s="8" t="str">
        <v>Tel 239</v>
      </c>
      <c r="L245" s="2" t="str">
        <v>Cep 239</v>
      </c>
      <c r="M245" s="2" t="str">
        <v>Rua 239</v>
      </c>
      <c r="N245" s="2" t="str">
        <v>Comp 239</v>
      </c>
      <c r="O245" s="2" t="str">
        <v>Bomba d'agua</v>
      </c>
      <c r="P245" s="8" t="str">
        <v>DJ-RO5O-43GF</v>
      </c>
      <c r="Q245" s="4">
        <v>45622</v>
      </c>
      <c r="R245" s="109">
        <v>16.5</v>
      </c>
      <c r="S245" s="11">
        <f ca="1"/>
        <v>16.5</v>
      </c>
      <c r="T245" s="28">
        <f ca="1"/>
        <v>2.31</v>
      </c>
      <c r="U245" s="11">
        <f ca="1"/>
        <v>14.19</v>
      </c>
      <c r="V245" s="11">
        <v>4.99</v>
      </c>
      <c r="W245" s="11">
        <f ca="1"/>
        <v>0.43</v>
      </c>
      <c r="X245" s="11">
        <f ca="1"/>
        <v>0.39877104377104378</v>
      </c>
      <c r="Y245" s="11">
        <v>0</v>
      </c>
      <c r="Z245" s="11">
        <f ca="1"/>
        <v>8.3712289562289559</v>
      </c>
      <c r="AA245" s="11">
        <f ca="1"/>
        <v>4.185614478114478</v>
      </c>
      <c r="AB245" s="4">
        <f ca="1"/>
        <v>45629</v>
      </c>
      <c r="AC245" s="4">
        <v>45629</v>
      </c>
      <c r="AD245" s="9">
        <v>45637</v>
      </c>
      <c r="AE245" s="9">
        <v>45642</v>
      </c>
      <c r="AF245" s="4" t="str">
        <f t="shared" ca="1" si="3"/>
        <v>2024 12</v>
      </c>
      <c r="AG245" s="8" t="str" cm="1">
        <f t="array" ref="AG245">IFERROR(_xlfn.IFS('Banco de Dados'!#REF!="AG. COMPRA","Em processamento",'Banco de Dados'!#REF!="AG. RASTREIO","Em processamento",'Banco de Dados'!$AE245&lt;&gt;"-","Faturado",'Banco de Dados'!$AD245&lt;&gt;"-","Aguardando Pix",'Banco de Dados'!$AC245&lt;&gt;"-","Pendente"),"Aguardando Liberação")</f>
        <v>Aguardando Liberação</v>
      </c>
      <c r="AH245" s="5" t="str">
        <f>IF('Banco de Dados'!$F245="-",_xlfn.CONCAT(PROPER(TEXT(AK245,"aaaa"))," ",PROPER(TEXT(AK245,"mm"))),_xlfn.CONCAT(PROPER(TEXT(E245,"aaaa"))," ",PROPER(TEXT(E245,"mm"))))</f>
        <v>2024 11</v>
      </c>
      <c r="AI245" s="9" t="str">
        <f ca="1">IF('Banco de Dados'!$AK245&lt;&gt;"-","REEMBOLSO",IFERROR(_xlfn.XLOOKUP(G245,Follow[CODRASTREIO],Follow[STATUS]),"-"))</f>
        <v>ENTREGUE</v>
      </c>
      <c r="AJ245" s="9">
        <f ca="1">IF('Banco de Dados'!$AI245="ENTREGUE",_xlfn.XLOOKUP('Banco de Dados'!$G245,Follow[CODRASTREIO],Follow[DATAATUALIZAÇÃO]),"-")</f>
        <v>45605</v>
      </c>
      <c r="AK245" s="9" t="str">
        <f ca="1"/>
        <v>-</v>
      </c>
      <c r="AL245" s="35" t="str">
        <v>NÃO</v>
      </c>
      <c r="AM245" s="109" cm="1">
        <f t="array" aca="1" ref="AM245" ca="1">IF('Banco de Dados'!$AK245&lt;&gt;"-",_xlfn.IFS('Banco de Dados'!$A245="bv",IF('Banco de Dados'!$E245&lt;45641,ROUND(SUM('Banco de Dados'!$R245*_xlfn.XLOOKUP('Banco de Dados'!$P245,Sku!B:B,Sku!#REF!)*20%),2),ROUND(SUM('Banco de Dados'!$R245*_xlfn.XLOOKUP('Banco de Dados'!$P245,Sku!B:B,Sku!H:H)*20%),2)),'Banco de Dados'!$A245="GO",ROUND(_xlfn.XLOOKUP('Banco de Dados'!$P245,Sku!C:C,Sku!H:H),2),'Banco de Dados'!$A245="MEI",ROUND(_xlfn.XLOOKUP('Banco de Dados'!$P245,Sku!D:D,Sku!H:H),2)),0)</f>
        <v>0</v>
      </c>
      <c r="AN245" s="109">
        <f ca="1">IF('Banco de Dados'!$AK245&lt;&gt;"-",IF('Banco de Dados'!$F245&lt;&gt;"-",_xlfn.XLOOKUP(IFERROR(IFERROR(IFERROR(VALUE(SUBSTITUTE(MID(_xlfn.TEXTAFTER('Banco de Dados'!$F245,"Data do Pedido:
",1),1,10),"-","/")),VALUE(SUBSTITUTE(MID(_xlfn.TEXTAFTER('Banco de Dados'!$F245,"Order date:
",1),1,10),"-","/"))),VALUE(SUBSTITUTE(MID(_xlfn.TEXTAFTER('Banco de Dados'!$F245,"Fecha de pedido:
",1),1,10),"-","/"))),"-"),SMS!A:A,SMS!K:K),0),0)</f>
        <v>0</v>
      </c>
      <c r="AO245" s="109">
        <f ca="1">IF('Banco de Dados'!$AK245&lt;&gt;"-",IF('Banco de Dados'!$F245&lt;&gt;"-",IFERROR(_xlfn.XLOOKUP(_xlfn.CONCAT('Banco de Dados'!$A245,IFERROR(IFERROR(VALUE(SUBSTITUTE(MID(_xlfn.TEXTAFTER('Banco de Dados'!$F245,"Data do Pedido:
",1),1,10),"-","/")),VALUE(SUBSTITUTE(MID(_xlfn.TEXTAFTER('Banco de Dados'!$F245,"Order date:
",1),1,10),"-","/"))),0)),ProxyDD[Chave],ProxyDD[Valor por pedido]),PROXY!$P$2),0),0)</f>
        <v>0</v>
      </c>
      <c r="AP245" s="28">
        <f ca="1">IF('Banco de Dados'!$AK245&lt;&gt;"-",IF('Banco de Dados'!$AL245="NÃO",IFERROR(VALUE(SUBSTITUTE(_xlfn.TEXTAFTER('Banco de Dados'!$F245,"BRL ",1),".",",")),0),0),0)</f>
        <v>0</v>
      </c>
      <c r="AQ245" s="28">
        <f ca="1">SUM('Banco de Dados'!$AM245:$AP245)</f>
        <v>0</v>
      </c>
      <c r="AR245" s="8"/>
      <c r="AS245" s="8"/>
      <c r="AY245" s="8"/>
    </row>
    <row r="246" spans="1:51">
      <c r="A246" s="5" t="str">
        <v>BV</v>
      </c>
      <c r="B246" s="5" t="str">
        <f ca="1"/>
        <v>BV45601</v>
      </c>
      <c r="C246" s="8" t="str">
        <v>Pedido 243</v>
      </c>
      <c r="D246" s="9">
        <v>45601</v>
      </c>
      <c r="E246" s="9">
        <v>45601</v>
      </c>
      <c r="F246" s="8" t="str">
        <v>PedidoF236</v>
      </c>
      <c r="G246" s="2" t="str">
        <v>CódRastreio236</v>
      </c>
      <c r="H246" s="5">
        <v>1</v>
      </c>
      <c r="I246" s="182" t="str">
        <v>CPF 239</v>
      </c>
      <c r="J246" s="2" t="str">
        <v>Nome 239</v>
      </c>
      <c r="K246" s="8" t="str">
        <v>Tel 239</v>
      </c>
      <c r="L246" s="2" t="str">
        <v>Cep 239</v>
      </c>
      <c r="M246" s="2" t="str">
        <v>Rua 239</v>
      </c>
      <c r="N246" s="2" t="str">
        <v>Comp 239</v>
      </c>
      <c r="O246" s="2" t="str">
        <v>Bomba d'agua</v>
      </c>
      <c r="P246" s="8" t="str">
        <v>DJ-RO5O-43GF</v>
      </c>
      <c r="Q246" s="4">
        <v>45622</v>
      </c>
      <c r="R246" s="109">
        <v>16.5</v>
      </c>
      <c r="S246" s="11">
        <f ca="1"/>
        <v>16.5</v>
      </c>
      <c r="T246" s="28">
        <f ca="1"/>
        <v>2.31</v>
      </c>
      <c r="U246" s="11">
        <f ca="1"/>
        <v>14.19</v>
      </c>
      <c r="V246" s="11">
        <v>4.99</v>
      </c>
      <c r="W246" s="11">
        <f ca="1"/>
        <v>0.44</v>
      </c>
      <c r="X246" s="11">
        <f ca="1"/>
        <v>0.39877104377104378</v>
      </c>
      <c r="Y246" s="11">
        <v>0</v>
      </c>
      <c r="Z246" s="11">
        <f ca="1"/>
        <v>8.3612289562289561</v>
      </c>
      <c r="AA246" s="11">
        <f ca="1"/>
        <v>4.1806144781144781</v>
      </c>
      <c r="AB246" s="4">
        <f ca="1"/>
        <v>45629</v>
      </c>
      <c r="AC246" s="4">
        <v>45629</v>
      </c>
      <c r="AD246" s="9">
        <v>45637</v>
      </c>
      <c r="AE246" s="9">
        <v>45642</v>
      </c>
      <c r="AF246" s="4" t="str">
        <f t="shared" ca="1" si="3"/>
        <v>2024 12</v>
      </c>
      <c r="AG246" s="8" t="str" cm="1">
        <f t="array" ref="AG246">IFERROR(_xlfn.IFS('Banco de Dados'!#REF!="AG. COMPRA","Em processamento",'Banco de Dados'!#REF!="AG. RASTREIO","Em processamento",'Banco de Dados'!$AE246&lt;&gt;"-","Faturado",'Banco de Dados'!$AD246&lt;&gt;"-","Aguardando Pix",'Banco de Dados'!$AC246&lt;&gt;"-","Pendente"),"Aguardando Liberação")</f>
        <v>Aguardando Liberação</v>
      </c>
      <c r="AH246" s="5" t="str">
        <f>IF('Banco de Dados'!$F246="-",_xlfn.CONCAT(PROPER(TEXT(AK246,"aaaa"))," ",PROPER(TEXT(AK246,"mm"))),_xlfn.CONCAT(PROPER(TEXT(E246,"aaaa"))," ",PROPER(TEXT(E246,"mm"))))</f>
        <v>2024 11</v>
      </c>
      <c r="AI246" s="9" t="str">
        <f ca="1">IF('Banco de Dados'!$AK246&lt;&gt;"-","REEMBOLSO",IFERROR(_xlfn.XLOOKUP(G246,Follow[CODRASTREIO],Follow[STATUS]),"-"))</f>
        <v>ENTREGUE</v>
      </c>
      <c r="AJ246" s="9">
        <f ca="1">IF('Banco de Dados'!$AI246="ENTREGUE",_xlfn.XLOOKUP('Banco de Dados'!$G246,Follow[CODRASTREIO],Follow[DATAATUALIZAÇÃO]),"-")</f>
        <v>45609</v>
      </c>
      <c r="AK246" s="9" t="str">
        <f ca="1"/>
        <v>-</v>
      </c>
      <c r="AL246" s="35" t="str">
        <v>NÃO</v>
      </c>
      <c r="AM246" s="109" cm="1">
        <f t="array" aca="1" ref="AM246" ca="1">IF('Banco de Dados'!$AK246&lt;&gt;"-",_xlfn.IFS('Banco de Dados'!$A246="bv",IF('Banco de Dados'!$E246&lt;45641,ROUND(SUM('Banco de Dados'!$R246*_xlfn.XLOOKUP('Banco de Dados'!$P246,Sku!B:B,Sku!#REF!)*20%),2),ROUND(SUM('Banco de Dados'!$R246*_xlfn.XLOOKUP('Banco de Dados'!$P246,Sku!B:B,Sku!H:H)*20%),2)),'Banco de Dados'!$A246="GO",ROUND(_xlfn.XLOOKUP('Banco de Dados'!$P246,Sku!C:C,Sku!H:H),2),'Banco de Dados'!$A246="MEI",ROUND(_xlfn.XLOOKUP('Banco de Dados'!$P246,Sku!D:D,Sku!H:H),2)),0)</f>
        <v>0</v>
      </c>
      <c r="AN246" s="109">
        <f ca="1">IF('Banco de Dados'!$AK246&lt;&gt;"-",IF('Banco de Dados'!$F246&lt;&gt;"-",_xlfn.XLOOKUP(IFERROR(IFERROR(IFERROR(VALUE(SUBSTITUTE(MID(_xlfn.TEXTAFTER('Banco de Dados'!$F246,"Data do Pedido:
",1),1,10),"-","/")),VALUE(SUBSTITUTE(MID(_xlfn.TEXTAFTER('Banco de Dados'!$F246,"Order date:
",1),1,10),"-","/"))),VALUE(SUBSTITUTE(MID(_xlfn.TEXTAFTER('Banco de Dados'!$F246,"Fecha de pedido:
",1),1,10),"-","/"))),"-"),SMS!A:A,SMS!K:K),0),0)</f>
        <v>0</v>
      </c>
      <c r="AO246" s="109">
        <f ca="1">IF('Banco de Dados'!$AK246&lt;&gt;"-",IF('Banco de Dados'!$F246&lt;&gt;"-",IFERROR(_xlfn.XLOOKUP(_xlfn.CONCAT('Banco de Dados'!$A246,IFERROR(IFERROR(VALUE(SUBSTITUTE(MID(_xlfn.TEXTAFTER('Banco de Dados'!$F246,"Data do Pedido:
",1),1,10),"-","/")),VALUE(SUBSTITUTE(MID(_xlfn.TEXTAFTER('Banco de Dados'!$F246,"Order date:
",1),1,10),"-","/"))),0)),ProxyDD[Chave],ProxyDD[Valor por pedido]),PROXY!$P$2),0),0)</f>
        <v>0</v>
      </c>
      <c r="AP246" s="28">
        <f ca="1">IF('Banco de Dados'!$AK246&lt;&gt;"-",IF('Banco de Dados'!$AL246="NÃO",IFERROR(VALUE(SUBSTITUTE(_xlfn.TEXTAFTER('Banco de Dados'!$F246,"BRL ",1),".",",")),0),0),0)</f>
        <v>0</v>
      </c>
      <c r="AQ246" s="28">
        <f ca="1">SUM('Banco de Dados'!$AM246:$AP246)</f>
        <v>0</v>
      </c>
      <c r="AR246" s="8"/>
      <c r="AS246" s="8"/>
      <c r="AY246" s="8"/>
    </row>
    <row r="247" spans="1:51">
      <c r="A247" s="5" t="str">
        <v>BV</v>
      </c>
      <c r="B247" s="5" t="str">
        <f ca="1"/>
        <v>BV45599</v>
      </c>
      <c r="C247" s="8" t="str">
        <v>Pedido 244</v>
      </c>
      <c r="D247" s="9">
        <v>45599</v>
      </c>
      <c r="E247" s="9">
        <v>45599</v>
      </c>
      <c r="F247" s="8" t="str">
        <v>PedidoF237</v>
      </c>
      <c r="G247" s="2" t="str">
        <v>CódRastreio237</v>
      </c>
      <c r="H247" s="5">
        <v>1</v>
      </c>
      <c r="I247" s="182" t="str">
        <v>CPF 240</v>
      </c>
      <c r="J247" s="2" t="str">
        <v>Nome 240</v>
      </c>
      <c r="K247" s="8" t="str">
        <v>Tel 240</v>
      </c>
      <c r="L247" s="2" t="str">
        <v>Cep 240</v>
      </c>
      <c r="M247" s="2" t="str">
        <v>Rua 240</v>
      </c>
      <c r="N247" s="2" t="str">
        <v>Comp 240</v>
      </c>
      <c r="O247" s="2" t="str">
        <v>Suporte de Celular Preto</v>
      </c>
      <c r="P247" s="8" t="str">
        <v>9G-BN48-QAPH</v>
      </c>
      <c r="Q247" s="4">
        <v>45626</v>
      </c>
      <c r="R247" s="109">
        <v>18.5</v>
      </c>
      <c r="S247" s="11">
        <f ca="1"/>
        <v>18.5</v>
      </c>
      <c r="T247" s="28">
        <f ca="1"/>
        <v>2.7749999999999999</v>
      </c>
      <c r="U247" s="11">
        <f ca="1"/>
        <v>15.73</v>
      </c>
      <c r="V247" s="11">
        <v>7.29</v>
      </c>
      <c r="W247" s="11">
        <f ca="1"/>
        <v>0.43</v>
      </c>
      <c r="X247" s="11">
        <f ca="1"/>
        <v>0.39877104377104378</v>
      </c>
      <c r="Y247" s="11">
        <v>0</v>
      </c>
      <c r="Z247" s="11">
        <f ca="1"/>
        <v>7.6112289562289561</v>
      </c>
      <c r="AA247" s="11">
        <f ca="1"/>
        <v>3.8056144781144781</v>
      </c>
      <c r="AB247" s="4">
        <f ca="1"/>
        <v>45633</v>
      </c>
      <c r="AC247" s="4">
        <v>45633</v>
      </c>
      <c r="AD247" s="9">
        <v>45637</v>
      </c>
      <c r="AE247" s="9">
        <v>45642</v>
      </c>
      <c r="AF247" s="4" t="str">
        <f t="shared" ca="1" si="3"/>
        <v>2024 12</v>
      </c>
      <c r="AG247" s="8" t="str" cm="1">
        <f t="array" ref="AG247">IFERROR(_xlfn.IFS('Banco de Dados'!#REF!="AG. COMPRA","Em processamento",'Banco de Dados'!#REF!="AG. RASTREIO","Em processamento",'Banco de Dados'!$AE247&lt;&gt;"-","Faturado",'Banco de Dados'!$AD247&lt;&gt;"-","Aguardando Pix",'Banco de Dados'!$AC247&lt;&gt;"-","Pendente"),"Aguardando Liberação")</f>
        <v>Aguardando Liberação</v>
      </c>
      <c r="AH247" s="5" t="str">
        <f>IF('Banco de Dados'!$F247="-",_xlfn.CONCAT(PROPER(TEXT(AK247,"aaaa"))," ",PROPER(TEXT(AK247,"mm"))),_xlfn.CONCAT(PROPER(TEXT(E247,"aaaa"))," ",PROPER(TEXT(E247,"mm"))))</f>
        <v>2024 11</v>
      </c>
      <c r="AI247" s="9" t="str">
        <f ca="1">IF('Banco de Dados'!$AK247&lt;&gt;"-","REEMBOLSO",IFERROR(_xlfn.XLOOKUP(G247,Follow[CODRASTREIO],Follow[STATUS]),"-"))</f>
        <v>ENTREGUE</v>
      </c>
      <c r="AJ247" s="9">
        <f ca="1">IF('Banco de Dados'!$AI247="ENTREGUE",_xlfn.XLOOKUP('Banco de Dados'!$G247,Follow[CODRASTREIO],Follow[DATAATUALIZAÇÃO]),"-")</f>
        <v>45614</v>
      </c>
      <c r="AK247" s="9" t="str">
        <f ca="1"/>
        <v>-</v>
      </c>
      <c r="AL247" s="35" t="str">
        <v>NÃO</v>
      </c>
      <c r="AM247" s="109" cm="1">
        <f t="array" aca="1" ref="AM247" ca="1">IF('Banco de Dados'!$AK247&lt;&gt;"-",_xlfn.IFS('Banco de Dados'!$A247="bv",IF('Banco de Dados'!$E247&lt;45641,ROUND(SUM('Banco de Dados'!$R247*_xlfn.XLOOKUP('Banco de Dados'!$P247,Sku!B:B,Sku!#REF!)*20%),2),ROUND(SUM('Banco de Dados'!$R247*_xlfn.XLOOKUP('Banco de Dados'!$P247,Sku!B:B,Sku!H:H)*20%),2)),'Banco de Dados'!$A247="GO",ROUND(_xlfn.XLOOKUP('Banco de Dados'!$P247,Sku!C:C,Sku!H:H),2),'Banco de Dados'!$A247="MEI",ROUND(_xlfn.XLOOKUP('Banco de Dados'!$P247,Sku!D:D,Sku!H:H),2)),0)</f>
        <v>0</v>
      </c>
      <c r="AN247" s="109">
        <f ca="1">IF('Banco de Dados'!$AK247&lt;&gt;"-",IF('Banco de Dados'!$F247&lt;&gt;"-",_xlfn.XLOOKUP(IFERROR(IFERROR(IFERROR(VALUE(SUBSTITUTE(MID(_xlfn.TEXTAFTER('Banco de Dados'!$F247,"Data do Pedido:
",1),1,10),"-","/")),VALUE(SUBSTITUTE(MID(_xlfn.TEXTAFTER('Banco de Dados'!$F247,"Order date:
",1),1,10),"-","/"))),VALUE(SUBSTITUTE(MID(_xlfn.TEXTAFTER('Banco de Dados'!$F247,"Fecha de pedido:
",1),1,10),"-","/"))),"-"),SMS!A:A,SMS!K:K),0),0)</f>
        <v>0</v>
      </c>
      <c r="AO247" s="109">
        <f ca="1">IF('Banco de Dados'!$AK247&lt;&gt;"-",IF('Banco de Dados'!$F247&lt;&gt;"-",IFERROR(_xlfn.XLOOKUP(_xlfn.CONCAT('Banco de Dados'!$A247,IFERROR(IFERROR(VALUE(SUBSTITUTE(MID(_xlfn.TEXTAFTER('Banco de Dados'!$F247,"Data do Pedido:
",1),1,10),"-","/")),VALUE(SUBSTITUTE(MID(_xlfn.TEXTAFTER('Banco de Dados'!$F247,"Order date:
",1),1,10),"-","/"))),0)),ProxyDD[Chave],ProxyDD[Valor por pedido]),PROXY!$P$2),0),0)</f>
        <v>0</v>
      </c>
      <c r="AP247" s="28">
        <f ca="1">IF('Banco de Dados'!$AK247&lt;&gt;"-",IF('Banco de Dados'!$AL247="NÃO",IFERROR(VALUE(SUBSTITUTE(_xlfn.TEXTAFTER('Banco de Dados'!$F247,"BRL ",1),".",",")),0),0),0)</f>
        <v>0</v>
      </c>
      <c r="AQ247" s="28">
        <f ca="1">SUM('Banco de Dados'!$AM247:$AP247)</f>
        <v>0</v>
      </c>
      <c r="AR247" s="8"/>
      <c r="AS247" s="8"/>
      <c r="AY247" s="8"/>
    </row>
    <row r="248" spans="1:51">
      <c r="A248" s="5" t="str">
        <v>BV</v>
      </c>
      <c r="B248" s="5" t="str">
        <f ca="1"/>
        <v>BV45599</v>
      </c>
      <c r="C248" s="8" t="str">
        <v>Pedido 245</v>
      </c>
      <c r="D248" s="9">
        <v>45599</v>
      </c>
      <c r="E248" s="9">
        <v>45599</v>
      </c>
      <c r="F248" s="8" t="str">
        <v>PedidoF238</v>
      </c>
      <c r="G248" s="2" t="str">
        <v>CódRastreio238</v>
      </c>
      <c r="H248" s="5">
        <v>1</v>
      </c>
      <c r="I248" s="182" t="str">
        <v>CPF 241</v>
      </c>
      <c r="J248" s="2" t="str">
        <v>Nome 241</v>
      </c>
      <c r="K248" s="8" t="str">
        <v>Tel 241</v>
      </c>
      <c r="L248" s="2" t="str">
        <v>Cep 241</v>
      </c>
      <c r="M248" s="2" t="str">
        <v>Rua 241</v>
      </c>
      <c r="N248" s="2" t="str">
        <v>Comp 241</v>
      </c>
      <c r="O248" s="2" t="str">
        <v>Ventilador de teto</v>
      </c>
      <c r="P248" s="8" t="str">
        <v>ZO-J9IL-EN6L</v>
      </c>
      <c r="Q248" s="4">
        <v>45626</v>
      </c>
      <c r="R248" s="109">
        <v>54.5</v>
      </c>
      <c r="S248" s="11">
        <f ca="1"/>
        <v>54.5</v>
      </c>
      <c r="T248" s="28">
        <f ca="1"/>
        <v>7.6300000000000008</v>
      </c>
      <c r="U248" s="11">
        <f ca="1"/>
        <v>46.87</v>
      </c>
      <c r="V248" s="183">
        <v>7.29</v>
      </c>
      <c r="W248" s="11">
        <f ca="1"/>
        <v>0.43</v>
      </c>
      <c r="X248" s="11">
        <f ca="1"/>
        <v>0.39877104377104378</v>
      </c>
      <c r="Y248" s="11">
        <v>0</v>
      </c>
      <c r="Z248" s="11">
        <f ca="1"/>
        <v>38.751228956228957</v>
      </c>
      <c r="AA248" s="11">
        <f ca="1"/>
        <v>19.375614478114478</v>
      </c>
      <c r="AB248" s="4">
        <f ca="1"/>
        <v>45633</v>
      </c>
      <c r="AC248" s="4">
        <v>45633</v>
      </c>
      <c r="AD248" s="9">
        <v>45637</v>
      </c>
      <c r="AE248" s="9">
        <v>45642</v>
      </c>
      <c r="AF248" s="4" t="str">
        <f t="shared" ca="1" si="3"/>
        <v>2024 12</v>
      </c>
      <c r="AG248" s="8" t="str" cm="1">
        <f t="array" ref="AG248">IFERROR(_xlfn.IFS('Banco de Dados'!#REF!="AG. COMPRA","Em processamento",'Banco de Dados'!#REF!="AG. RASTREIO","Em processamento",'Banco de Dados'!$AE248&lt;&gt;"-","Faturado",'Banco de Dados'!$AD248&lt;&gt;"-","Aguardando Pix",'Banco de Dados'!$AC248&lt;&gt;"-","Pendente"),"Aguardando Liberação")</f>
        <v>Aguardando Liberação</v>
      </c>
      <c r="AH248" s="5" t="str">
        <f>IF('Banco de Dados'!$F248="-",_xlfn.CONCAT(PROPER(TEXT(AK248,"aaaa"))," ",PROPER(TEXT(AK248,"mm"))),_xlfn.CONCAT(PROPER(TEXT(E248,"aaaa"))," ",PROPER(TEXT(E248,"mm"))))</f>
        <v>2024 11</v>
      </c>
      <c r="AI248" s="9" t="str">
        <f ca="1">IF('Banco de Dados'!$AK248&lt;&gt;"-","REEMBOLSO",IFERROR(_xlfn.XLOOKUP(G248,Follow[CODRASTREIO],Follow[STATUS]),"-"))</f>
        <v>ENTREGUE</v>
      </c>
      <c r="AJ248" s="9">
        <f ca="1">IF('Banco de Dados'!$AI248="ENTREGUE",_xlfn.XLOOKUP('Banco de Dados'!$G248,Follow[CODRASTREIO],Follow[DATAATUALIZAÇÃO]),"-")</f>
        <v>45610</v>
      </c>
      <c r="AK248" s="9" t="str">
        <f ca="1"/>
        <v>-</v>
      </c>
      <c r="AL248" s="35" t="str">
        <v>NÃO</v>
      </c>
      <c r="AM248" s="109" cm="1">
        <f t="array" aca="1" ref="AM248" ca="1">IF('Banco de Dados'!$AK248&lt;&gt;"-",_xlfn.IFS('Banco de Dados'!$A248="bv",IF('Banco de Dados'!$E248&lt;45641,ROUND(SUM('Banco de Dados'!$R248*_xlfn.XLOOKUP('Banco de Dados'!$P248,Sku!B:B,Sku!#REF!)*20%),2),ROUND(SUM('Banco de Dados'!$R248*_xlfn.XLOOKUP('Banco de Dados'!$P248,Sku!B:B,Sku!H:H)*20%),2)),'Banco de Dados'!$A248="GO",ROUND(_xlfn.XLOOKUP('Banco de Dados'!$P248,Sku!C:C,Sku!H:H),2),'Banco de Dados'!$A248="MEI",ROUND(_xlfn.XLOOKUP('Banco de Dados'!$P248,Sku!D:D,Sku!H:H),2)),0)</f>
        <v>0</v>
      </c>
      <c r="AN248" s="109">
        <f ca="1">IF('Banco de Dados'!$AK248&lt;&gt;"-",IF('Banco de Dados'!$F248&lt;&gt;"-",_xlfn.XLOOKUP(IFERROR(IFERROR(IFERROR(VALUE(SUBSTITUTE(MID(_xlfn.TEXTAFTER('Banco de Dados'!$F248,"Data do Pedido:
",1),1,10),"-","/")),VALUE(SUBSTITUTE(MID(_xlfn.TEXTAFTER('Banco de Dados'!$F248,"Order date:
",1),1,10),"-","/"))),VALUE(SUBSTITUTE(MID(_xlfn.TEXTAFTER('Banco de Dados'!$F248,"Fecha de pedido:
",1),1,10),"-","/"))),"-"),SMS!A:A,SMS!K:K),0),0)</f>
        <v>0</v>
      </c>
      <c r="AO248" s="109">
        <f ca="1">IF('Banco de Dados'!$AK248&lt;&gt;"-",IF('Banco de Dados'!$F248&lt;&gt;"-",IFERROR(_xlfn.XLOOKUP(_xlfn.CONCAT('Banco de Dados'!$A248,IFERROR(IFERROR(VALUE(SUBSTITUTE(MID(_xlfn.TEXTAFTER('Banco de Dados'!$F248,"Data do Pedido:
",1),1,10),"-","/")),VALUE(SUBSTITUTE(MID(_xlfn.TEXTAFTER('Banco de Dados'!$F248,"Order date:
",1),1,10),"-","/"))),0)),ProxyDD[Chave],ProxyDD[Valor por pedido]),PROXY!$P$2),0),0)</f>
        <v>0</v>
      </c>
      <c r="AP248" s="28">
        <f ca="1">IF('Banco de Dados'!$AK248&lt;&gt;"-",IF('Banco de Dados'!$AL248="NÃO",IFERROR(VALUE(SUBSTITUTE(_xlfn.TEXTAFTER('Banco de Dados'!$F248,"BRL ",1),".",",")),0),0),0)</f>
        <v>0</v>
      </c>
      <c r="AQ248" s="28">
        <f ca="1">SUM('Banco de Dados'!$AM248:$AP248)</f>
        <v>0</v>
      </c>
      <c r="AR248" s="8"/>
      <c r="AS248" s="8"/>
      <c r="AY248" s="8"/>
    </row>
    <row r="249" spans="1:51">
      <c r="A249" s="5" t="str">
        <v>BV</v>
      </c>
      <c r="B249" s="5" t="str">
        <f ca="1"/>
        <v>BV45599</v>
      </c>
      <c r="C249" s="8" t="str">
        <v>Pedido 246</v>
      </c>
      <c r="D249" s="9">
        <v>45599</v>
      </c>
      <c r="E249" s="9">
        <v>45599</v>
      </c>
      <c r="F249" s="8" t="str">
        <v>PedidoF239</v>
      </c>
      <c r="G249" s="2" t="str">
        <v>CódRastreio239</v>
      </c>
      <c r="H249" s="5">
        <v>1</v>
      </c>
      <c r="I249" s="182" t="str">
        <v>CPF 242</v>
      </c>
      <c r="J249" s="2" t="str">
        <v>Nome 242</v>
      </c>
      <c r="K249" s="8" t="str">
        <v>Tel 242</v>
      </c>
      <c r="L249" s="2" t="str">
        <v>Cep 242</v>
      </c>
      <c r="M249" s="2" t="str">
        <v>Rua 242</v>
      </c>
      <c r="N249" s="2" t="str">
        <v>Comp 242</v>
      </c>
      <c r="O249" s="2" t="str">
        <v>Ventilador de teto</v>
      </c>
      <c r="P249" s="8" t="str">
        <v>ZO-J9IL-EN6L</v>
      </c>
      <c r="Q249" s="4">
        <v>45626</v>
      </c>
      <c r="R249" s="109">
        <v>54.5</v>
      </c>
      <c r="S249" s="11">
        <f ca="1"/>
        <v>54.5</v>
      </c>
      <c r="T249" s="28">
        <f ca="1"/>
        <v>7.6300000000000008</v>
      </c>
      <c r="U249" s="11">
        <f ca="1"/>
        <v>46.87</v>
      </c>
      <c r="V249" s="11">
        <v>7.29</v>
      </c>
      <c r="W249" s="11">
        <f ca="1"/>
        <v>0.43</v>
      </c>
      <c r="X249" s="11">
        <f ca="1"/>
        <v>0.39877104377104378</v>
      </c>
      <c r="Y249" s="11">
        <v>0</v>
      </c>
      <c r="Z249" s="11">
        <f ca="1"/>
        <v>38.751228956228957</v>
      </c>
      <c r="AA249" s="11">
        <f ca="1"/>
        <v>19.375614478114478</v>
      </c>
      <c r="AB249" s="4">
        <f ca="1"/>
        <v>45633</v>
      </c>
      <c r="AC249" s="4">
        <v>45633</v>
      </c>
      <c r="AD249" s="9">
        <v>45637</v>
      </c>
      <c r="AE249" s="9">
        <v>45642</v>
      </c>
      <c r="AF249" s="4" t="str">
        <f t="shared" ca="1" si="3"/>
        <v>2024 12</v>
      </c>
      <c r="AG249" s="8" t="str" cm="1">
        <f t="array" ref="AG249">IFERROR(_xlfn.IFS('Banco de Dados'!#REF!="AG. COMPRA","Em processamento",'Banco de Dados'!#REF!="AG. RASTREIO","Em processamento",'Banco de Dados'!$AE249&lt;&gt;"-","Faturado",'Banco de Dados'!$AD249&lt;&gt;"-","Aguardando Pix",'Banco de Dados'!$AC249&lt;&gt;"-","Pendente"),"Aguardando Liberação")</f>
        <v>Aguardando Liberação</v>
      </c>
      <c r="AH249" s="5" t="str">
        <f>IF('Banco de Dados'!$F249="-",_xlfn.CONCAT(PROPER(TEXT(AK249,"aaaa"))," ",PROPER(TEXT(AK249,"mm"))),_xlfn.CONCAT(PROPER(TEXT(E249,"aaaa"))," ",PROPER(TEXT(E249,"mm"))))</f>
        <v>2024 11</v>
      </c>
      <c r="AI249" s="9" t="str">
        <f ca="1">IF('Banco de Dados'!$AK249&lt;&gt;"-","REEMBOLSO",IFERROR(_xlfn.XLOOKUP(G249,Follow[CODRASTREIO],Follow[STATUS]),"-"))</f>
        <v>ENTREGUE</v>
      </c>
      <c r="AJ249" s="9">
        <f ca="1">IF('Banco de Dados'!$AI249="ENTREGUE",_xlfn.XLOOKUP('Banco de Dados'!$G249,Follow[CODRASTREIO],Follow[DATAATUALIZAÇÃO]),"-")</f>
        <v>45610</v>
      </c>
      <c r="AK249" s="9" t="str">
        <f ca="1"/>
        <v>-</v>
      </c>
      <c r="AL249" s="35" t="str">
        <v>NÃO</v>
      </c>
      <c r="AM249" s="109" cm="1">
        <f t="array" aca="1" ref="AM249" ca="1">IF('Banco de Dados'!$AK249&lt;&gt;"-",_xlfn.IFS('Banco de Dados'!$A249="bv",IF('Banco de Dados'!$E249&lt;45641,ROUND(SUM('Banco de Dados'!$R249*_xlfn.XLOOKUP('Banco de Dados'!$P249,Sku!B:B,Sku!#REF!)*20%),2),ROUND(SUM('Banco de Dados'!$R249*_xlfn.XLOOKUP('Banco de Dados'!$P249,Sku!B:B,Sku!H:H)*20%),2)),'Banco de Dados'!$A249="GO",ROUND(_xlfn.XLOOKUP('Banco de Dados'!$P249,Sku!C:C,Sku!H:H),2),'Banco de Dados'!$A249="MEI",ROUND(_xlfn.XLOOKUP('Banco de Dados'!$P249,Sku!D:D,Sku!H:H),2)),0)</f>
        <v>0</v>
      </c>
      <c r="AN249" s="109">
        <f ca="1">IF('Banco de Dados'!$AK249&lt;&gt;"-",IF('Banco de Dados'!$F249&lt;&gt;"-",_xlfn.XLOOKUP(IFERROR(IFERROR(IFERROR(VALUE(SUBSTITUTE(MID(_xlfn.TEXTAFTER('Banco de Dados'!$F249,"Data do Pedido:
",1),1,10),"-","/")),VALUE(SUBSTITUTE(MID(_xlfn.TEXTAFTER('Banco de Dados'!$F249,"Order date:
",1),1,10),"-","/"))),VALUE(SUBSTITUTE(MID(_xlfn.TEXTAFTER('Banco de Dados'!$F249,"Fecha de pedido:
",1),1,10),"-","/"))),"-"),SMS!A:A,SMS!K:K),0),0)</f>
        <v>0</v>
      </c>
      <c r="AO249" s="109">
        <f ca="1">IF('Banco de Dados'!$AK249&lt;&gt;"-",IF('Banco de Dados'!$F249&lt;&gt;"-",IFERROR(_xlfn.XLOOKUP(_xlfn.CONCAT('Banco de Dados'!$A249,IFERROR(IFERROR(VALUE(SUBSTITUTE(MID(_xlfn.TEXTAFTER('Banco de Dados'!$F249,"Data do Pedido:
",1),1,10),"-","/")),VALUE(SUBSTITUTE(MID(_xlfn.TEXTAFTER('Banco de Dados'!$F249,"Order date:
",1),1,10),"-","/"))),0)),ProxyDD[Chave],ProxyDD[Valor por pedido]),PROXY!$P$2),0),0)</f>
        <v>0</v>
      </c>
      <c r="AP249" s="28">
        <f ca="1">IF('Banco de Dados'!$AK249&lt;&gt;"-",IF('Banco de Dados'!$AL249="NÃO",IFERROR(VALUE(SUBSTITUTE(_xlfn.TEXTAFTER('Banco de Dados'!$F249,"BRL ",1),".",",")),0),0),0)</f>
        <v>0</v>
      </c>
      <c r="AQ249" s="28">
        <f ca="1">SUM('Banco de Dados'!$AM249:$AP249)</f>
        <v>0</v>
      </c>
      <c r="AR249" s="8"/>
      <c r="AS249" s="8"/>
      <c r="AY249" s="8"/>
    </row>
    <row r="250" spans="1:51">
      <c r="A250" s="5" t="str">
        <v>BV</v>
      </c>
      <c r="B250" s="5" t="str">
        <f ca="1"/>
        <v>BV45599</v>
      </c>
      <c r="C250" s="8" t="str">
        <v>Pedido 247</v>
      </c>
      <c r="D250" s="9">
        <v>45599</v>
      </c>
      <c r="E250" s="9">
        <v>45599</v>
      </c>
      <c r="F250" s="8" t="str">
        <v>PedidoF240</v>
      </c>
      <c r="G250" s="2" t="str">
        <v>CódRastreio240</v>
      </c>
      <c r="H250" s="5">
        <v>1</v>
      </c>
      <c r="I250" s="182" t="str">
        <v>CPF 243</v>
      </c>
      <c r="J250" s="2" t="str">
        <v>Nome 243</v>
      </c>
      <c r="K250" s="8" t="str">
        <v>Tel 243</v>
      </c>
      <c r="L250" s="2" t="str">
        <v>Cep 243</v>
      </c>
      <c r="M250" s="2" t="str">
        <v>Rua 243</v>
      </c>
      <c r="N250" s="2" t="str">
        <v>Comp 243</v>
      </c>
      <c r="O250" s="2" t="str">
        <v>Ventilador Preto</v>
      </c>
      <c r="P250" s="8" t="str">
        <v>MU-J80P-95WF</v>
      </c>
      <c r="Q250" s="4">
        <v>45626</v>
      </c>
      <c r="R250" s="109">
        <v>65.33</v>
      </c>
      <c r="S250" s="11">
        <f ca="1"/>
        <v>65.33</v>
      </c>
      <c r="T250" s="28">
        <f ca="1"/>
        <v>8.4929000000000006</v>
      </c>
      <c r="U250" s="11">
        <f ca="1"/>
        <v>56.84</v>
      </c>
      <c r="V250" s="11">
        <v>7.29</v>
      </c>
      <c r="W250" s="11">
        <f ca="1"/>
        <v>0.43</v>
      </c>
      <c r="X250" s="11">
        <f ca="1"/>
        <v>0.39877104377104378</v>
      </c>
      <c r="Y250" s="11">
        <v>0</v>
      </c>
      <c r="Z250" s="11">
        <f ca="1"/>
        <v>48.721228956228956</v>
      </c>
      <c r="AA250" s="11">
        <f ca="1"/>
        <v>24.360614478114478</v>
      </c>
      <c r="AB250" s="4">
        <f ca="1"/>
        <v>45633</v>
      </c>
      <c r="AC250" s="4">
        <v>45633</v>
      </c>
      <c r="AD250" s="9">
        <v>45637</v>
      </c>
      <c r="AE250" s="9">
        <v>45642</v>
      </c>
      <c r="AF250" s="4" t="str">
        <f t="shared" ca="1" si="3"/>
        <v>2024 12</v>
      </c>
      <c r="AG250" s="8" t="str" cm="1">
        <f t="array" ref="AG250">IFERROR(_xlfn.IFS('Banco de Dados'!#REF!="AG. COMPRA","Em processamento",'Banco de Dados'!#REF!="AG. RASTREIO","Em processamento",'Banco de Dados'!$AE250&lt;&gt;"-","Faturado",'Banco de Dados'!$AD250&lt;&gt;"-","Aguardando Pix",'Banco de Dados'!$AC250&lt;&gt;"-","Pendente"),"Aguardando Liberação")</f>
        <v>Aguardando Liberação</v>
      </c>
      <c r="AH250" s="5" t="str">
        <f>IF('Banco de Dados'!$F250="-",_xlfn.CONCAT(PROPER(TEXT(AK250,"aaaa"))," ",PROPER(TEXT(AK250,"mm"))),_xlfn.CONCAT(PROPER(TEXT(E250,"aaaa"))," ",PROPER(TEXT(E250,"mm"))))</f>
        <v>2024 11</v>
      </c>
      <c r="AI250" s="9" t="str">
        <f ca="1">IF('Banco de Dados'!$AK250&lt;&gt;"-","REEMBOLSO",IFERROR(_xlfn.XLOOKUP(G250,Follow[CODRASTREIO],Follow[STATUS]),"-"))</f>
        <v>ENTREGUE</v>
      </c>
      <c r="AJ250" s="9">
        <f ca="1">IF('Banco de Dados'!$AI250="ENTREGUE",_xlfn.XLOOKUP('Banco de Dados'!$G250,Follow[CODRASTREIO],Follow[DATAATUALIZAÇÃO]),"-")</f>
        <v>45612</v>
      </c>
      <c r="AK250" s="9" t="str">
        <f ca="1"/>
        <v>-</v>
      </c>
      <c r="AL250" s="35" t="str">
        <v>NÃO</v>
      </c>
      <c r="AM250" s="109" cm="1">
        <f t="array" aca="1" ref="AM250" ca="1">IF('Banco de Dados'!$AK250&lt;&gt;"-",_xlfn.IFS('Banco de Dados'!$A250="bv",IF('Banco de Dados'!$E250&lt;45641,ROUND(SUM('Banco de Dados'!$R250*_xlfn.XLOOKUP('Banco de Dados'!$P250,Sku!B:B,Sku!#REF!)*20%),2),ROUND(SUM('Banco de Dados'!$R250*_xlfn.XLOOKUP('Banco de Dados'!$P250,Sku!B:B,Sku!H:H)*20%),2)),'Banco de Dados'!$A250="GO",ROUND(_xlfn.XLOOKUP('Banco de Dados'!$P250,Sku!C:C,Sku!H:H),2),'Banco de Dados'!$A250="MEI",ROUND(_xlfn.XLOOKUP('Banco de Dados'!$P250,Sku!D:D,Sku!H:H),2)),0)</f>
        <v>0</v>
      </c>
      <c r="AN250" s="109">
        <f ca="1">IF('Banco de Dados'!$AK250&lt;&gt;"-",IF('Banco de Dados'!$F250&lt;&gt;"-",_xlfn.XLOOKUP(IFERROR(IFERROR(IFERROR(VALUE(SUBSTITUTE(MID(_xlfn.TEXTAFTER('Banco de Dados'!$F250,"Data do Pedido:
",1),1,10),"-","/")),VALUE(SUBSTITUTE(MID(_xlfn.TEXTAFTER('Banco de Dados'!$F250,"Order date:
",1),1,10),"-","/"))),VALUE(SUBSTITUTE(MID(_xlfn.TEXTAFTER('Banco de Dados'!$F250,"Fecha de pedido:
",1),1,10),"-","/"))),"-"),SMS!A:A,SMS!K:K),0),0)</f>
        <v>0</v>
      </c>
      <c r="AO250" s="109">
        <f ca="1">IF('Banco de Dados'!$AK250&lt;&gt;"-",IF('Banco de Dados'!$F250&lt;&gt;"-",IFERROR(_xlfn.XLOOKUP(_xlfn.CONCAT('Banco de Dados'!$A250,IFERROR(IFERROR(VALUE(SUBSTITUTE(MID(_xlfn.TEXTAFTER('Banco de Dados'!$F250,"Data do Pedido:
",1),1,10),"-","/")),VALUE(SUBSTITUTE(MID(_xlfn.TEXTAFTER('Banco de Dados'!$F250,"Order date:
",1),1,10),"-","/"))),0)),ProxyDD[Chave],ProxyDD[Valor por pedido]),PROXY!$P$2),0),0)</f>
        <v>0</v>
      </c>
      <c r="AP250" s="28">
        <f ca="1">IF('Banco de Dados'!$AK250&lt;&gt;"-",IF('Banco de Dados'!$AL250="NÃO",IFERROR(VALUE(SUBSTITUTE(_xlfn.TEXTAFTER('Banco de Dados'!$F250,"BRL ",1),".",",")),0),0),0)</f>
        <v>0</v>
      </c>
      <c r="AQ250" s="28">
        <f ca="1">SUM('Banco de Dados'!$AM250:$AP250)</f>
        <v>0</v>
      </c>
      <c r="AR250" s="8"/>
      <c r="AS250" s="8"/>
      <c r="AY250" s="8"/>
    </row>
    <row r="251" spans="1:51">
      <c r="A251" s="5" t="str">
        <v>BV</v>
      </c>
      <c r="B251" s="5" t="str">
        <f ca="1"/>
        <v>BV45599</v>
      </c>
      <c r="C251" s="8" t="str">
        <v>Pedido 248</v>
      </c>
      <c r="D251" s="9">
        <v>45599</v>
      </c>
      <c r="E251" s="9">
        <v>45599</v>
      </c>
      <c r="F251" s="8" t="str">
        <v>PedidoF241</v>
      </c>
      <c r="G251" s="2" t="str">
        <v>CódRastreio241</v>
      </c>
      <c r="H251" s="5">
        <v>1</v>
      </c>
      <c r="I251" s="182" t="str">
        <v>CPF 244</v>
      </c>
      <c r="J251" s="2" t="str">
        <v>Nome 244</v>
      </c>
      <c r="K251" s="8" t="str">
        <v>Tel 244</v>
      </c>
      <c r="L251" s="2" t="str">
        <v>Cep 244</v>
      </c>
      <c r="M251" s="2" t="str">
        <v>Rua 244</v>
      </c>
      <c r="N251" s="2" t="str">
        <v>Comp 244</v>
      </c>
      <c r="O251" s="2" t="str">
        <v>Bomba d'agua</v>
      </c>
      <c r="P251" s="8" t="str">
        <v>DJ-RO5O-43GF</v>
      </c>
      <c r="Q251" s="4">
        <v>45618</v>
      </c>
      <c r="R251" s="109">
        <v>16.5</v>
      </c>
      <c r="S251" s="11">
        <f ca="1"/>
        <v>16.5</v>
      </c>
      <c r="T251" s="28">
        <f ca="1"/>
        <v>2.31</v>
      </c>
      <c r="U251" s="11">
        <f ca="1"/>
        <v>14.19</v>
      </c>
      <c r="V251" s="11">
        <v>4.99</v>
      </c>
      <c r="W251" s="11">
        <f ca="1"/>
        <v>0.43</v>
      </c>
      <c r="X251" s="11">
        <f ca="1"/>
        <v>0.39877104377104378</v>
      </c>
      <c r="Y251" s="11">
        <v>0</v>
      </c>
      <c r="Z251" s="11">
        <f ca="1"/>
        <v>8.3712289562289559</v>
      </c>
      <c r="AA251" s="11">
        <f ca="1"/>
        <v>4.185614478114478</v>
      </c>
      <c r="AB251" s="4">
        <f ca="1"/>
        <v>45625</v>
      </c>
      <c r="AC251" s="4">
        <v>45625</v>
      </c>
      <c r="AD251" s="9">
        <v>45625</v>
      </c>
      <c r="AE251" s="9">
        <v>45625</v>
      </c>
      <c r="AF251" s="4" t="str">
        <f t="shared" ca="1" si="3"/>
        <v>2024 11</v>
      </c>
      <c r="AG251" s="8" t="str" cm="1">
        <f t="array" ref="AG251">IFERROR(_xlfn.IFS('Banco de Dados'!#REF!="AG. COMPRA","Em processamento",'Banco de Dados'!#REF!="AG. RASTREIO","Em processamento",'Banco de Dados'!$AE251&lt;&gt;"-","Faturado",'Banco de Dados'!$AD251&lt;&gt;"-","Aguardando Pix",'Banco de Dados'!$AC251&lt;&gt;"-","Pendente"),"Aguardando Liberação")</f>
        <v>Aguardando Liberação</v>
      </c>
      <c r="AH251" s="5" t="str">
        <f>IF('Banco de Dados'!$F251="-",_xlfn.CONCAT(PROPER(TEXT(AK251,"aaaa"))," ",PROPER(TEXT(AK251,"mm"))),_xlfn.CONCAT(PROPER(TEXT(E251,"aaaa"))," ",PROPER(TEXT(E251,"mm"))))</f>
        <v>2024 11</v>
      </c>
      <c r="AI251" s="9" t="str">
        <f ca="1">IF('Banco de Dados'!$AK251&lt;&gt;"-","REEMBOLSO",IFERROR(_xlfn.XLOOKUP(G251,Follow[CODRASTREIO],Follow[STATUS]),"-"))</f>
        <v>ENTREGUE</v>
      </c>
      <c r="AJ251" s="9">
        <f ca="1">IF('Banco de Dados'!$AI251="ENTREGUE",_xlfn.XLOOKUP('Banco de Dados'!$G251,Follow[CODRASTREIO],Follow[DATAATUALIZAÇÃO]),"-")</f>
        <v>45610</v>
      </c>
      <c r="AK251" s="9" t="str">
        <f ca="1"/>
        <v>-</v>
      </c>
      <c r="AL251" s="35" t="str">
        <v>NÃO</v>
      </c>
      <c r="AM251" s="109" cm="1">
        <f t="array" aca="1" ref="AM251" ca="1">IF('Banco de Dados'!$AK251&lt;&gt;"-",_xlfn.IFS('Banco de Dados'!$A251="bv",IF('Banco de Dados'!$E251&lt;45641,ROUND(SUM('Banco de Dados'!$R251*_xlfn.XLOOKUP('Banco de Dados'!$P251,Sku!B:B,Sku!#REF!)*20%),2),ROUND(SUM('Banco de Dados'!$R251*_xlfn.XLOOKUP('Banco de Dados'!$P251,Sku!B:B,Sku!H:H)*20%),2)),'Banco de Dados'!$A251="GO",ROUND(_xlfn.XLOOKUP('Banco de Dados'!$P251,Sku!C:C,Sku!H:H),2),'Banco de Dados'!$A251="MEI",ROUND(_xlfn.XLOOKUP('Banco de Dados'!$P251,Sku!D:D,Sku!H:H),2)),0)</f>
        <v>0</v>
      </c>
      <c r="AN251" s="109">
        <f ca="1">IF('Banco de Dados'!$AK251&lt;&gt;"-",IF('Banco de Dados'!$F251&lt;&gt;"-",_xlfn.XLOOKUP(IFERROR(IFERROR(IFERROR(VALUE(SUBSTITUTE(MID(_xlfn.TEXTAFTER('Banco de Dados'!$F251,"Data do Pedido:
",1),1,10),"-","/")),VALUE(SUBSTITUTE(MID(_xlfn.TEXTAFTER('Banco de Dados'!$F251,"Order date:
",1),1,10),"-","/"))),VALUE(SUBSTITUTE(MID(_xlfn.TEXTAFTER('Banco de Dados'!$F251,"Fecha de pedido:
",1),1,10),"-","/"))),"-"),SMS!A:A,SMS!K:K),0),0)</f>
        <v>0</v>
      </c>
      <c r="AO251" s="109">
        <f ca="1">IF('Banco de Dados'!$AK251&lt;&gt;"-",IF('Banco de Dados'!$F251&lt;&gt;"-",IFERROR(_xlfn.XLOOKUP(_xlfn.CONCAT('Banco de Dados'!$A251,IFERROR(IFERROR(VALUE(SUBSTITUTE(MID(_xlfn.TEXTAFTER('Banco de Dados'!$F251,"Data do Pedido:
",1),1,10),"-","/")),VALUE(SUBSTITUTE(MID(_xlfn.TEXTAFTER('Banco de Dados'!$F251,"Order date:
",1),1,10),"-","/"))),0)),ProxyDD[Chave],ProxyDD[Valor por pedido]),PROXY!$P$2),0),0)</f>
        <v>0</v>
      </c>
      <c r="AP251" s="28">
        <f ca="1">IF('Banco de Dados'!$AK251&lt;&gt;"-",IF('Banco de Dados'!$AL251="NÃO",IFERROR(VALUE(SUBSTITUTE(_xlfn.TEXTAFTER('Banco de Dados'!$F251,"BRL ",1),".",",")),0),0),0)</f>
        <v>0</v>
      </c>
      <c r="AQ251" s="28">
        <f ca="1">SUM('Banco de Dados'!$AM251:$AP251)</f>
        <v>0</v>
      </c>
      <c r="AR251" s="8"/>
      <c r="AS251" s="8"/>
      <c r="AY251" s="8"/>
    </row>
    <row r="252" spans="1:51">
      <c r="A252" s="5" t="str">
        <v>BV</v>
      </c>
      <c r="B252" s="5" t="str">
        <f ca="1"/>
        <v>BV45599</v>
      </c>
      <c r="C252" s="8" t="str">
        <v>Pedido 249</v>
      </c>
      <c r="D252" s="9">
        <v>45599</v>
      </c>
      <c r="E252" s="9">
        <v>45599</v>
      </c>
      <c r="F252" s="8" t="str">
        <v>PedidoF242</v>
      </c>
      <c r="G252" s="2" t="str">
        <v>CódRastreio242</v>
      </c>
      <c r="H252" s="5">
        <v>1</v>
      </c>
      <c r="I252" s="182" t="str">
        <v>CPF 245</v>
      </c>
      <c r="J252" s="2" t="str">
        <v>Nome 245</v>
      </c>
      <c r="K252" s="8" t="str">
        <v>Tel 245</v>
      </c>
      <c r="L252" s="2" t="str">
        <v>Cep 245</v>
      </c>
      <c r="M252" s="2" t="str">
        <v>Rua 245</v>
      </c>
      <c r="N252" s="2" t="str">
        <v>Comp 245</v>
      </c>
      <c r="O252" s="2" t="str">
        <v>Ventilador Preto</v>
      </c>
      <c r="P252" s="8" t="str">
        <v>MU-J80P-95WF</v>
      </c>
      <c r="Q252" s="4">
        <v>45633</v>
      </c>
      <c r="R252" s="109">
        <v>100</v>
      </c>
      <c r="S252" s="11">
        <f ca="1"/>
        <v>100</v>
      </c>
      <c r="T252" s="28">
        <f ca="1"/>
        <v>13</v>
      </c>
      <c r="U252" s="11">
        <f ca="1"/>
        <v>87</v>
      </c>
      <c r="V252" s="11">
        <v>7.29</v>
      </c>
      <c r="W252" s="11">
        <f ca="1"/>
        <v>0.43</v>
      </c>
      <c r="X252" s="11">
        <f ca="1"/>
        <v>0.39877104377104378</v>
      </c>
      <c r="Y252" s="11">
        <v>0</v>
      </c>
      <c r="Z252" s="11">
        <f ca="1"/>
        <v>78.881228956228952</v>
      </c>
      <c r="AA252" s="11">
        <f ca="1"/>
        <v>39.440614478114476</v>
      </c>
      <c r="AB252" s="4">
        <f ca="1"/>
        <v>45640</v>
      </c>
      <c r="AC252" s="4">
        <v>45640</v>
      </c>
      <c r="AD252" s="9">
        <v>45640</v>
      </c>
      <c r="AE252" s="9">
        <v>45642</v>
      </c>
      <c r="AF252" s="4" t="str">
        <f t="shared" ca="1" si="3"/>
        <v>2024 12</v>
      </c>
      <c r="AG252" s="8" t="str" cm="1">
        <f t="array" ref="AG252">IFERROR(_xlfn.IFS('Banco de Dados'!#REF!="AG. COMPRA","Em processamento",'Banco de Dados'!#REF!="AG. RASTREIO","Em processamento",'Banco de Dados'!$AE252&lt;&gt;"-","Faturado",'Banco de Dados'!$AD252&lt;&gt;"-","Aguardando Pix",'Banco de Dados'!$AC252&lt;&gt;"-","Pendente"),"Aguardando Liberação")</f>
        <v>Aguardando Liberação</v>
      </c>
      <c r="AH252" s="5" t="str">
        <f>IF('Banco de Dados'!$F252="-",_xlfn.CONCAT(PROPER(TEXT(AK252,"aaaa"))," ",PROPER(TEXT(AK252,"mm"))),_xlfn.CONCAT(PROPER(TEXT(E252,"aaaa"))," ",PROPER(TEXT(E252,"mm"))))</f>
        <v>2024 11</v>
      </c>
      <c r="AI252" s="9" t="str">
        <f ca="1">IF('Banco de Dados'!$AK252&lt;&gt;"-","REEMBOLSO",IFERROR(_xlfn.XLOOKUP(G252,Follow[CODRASTREIO],Follow[STATUS]),"-"))</f>
        <v>ENTREGUE</v>
      </c>
      <c r="AJ252" s="9">
        <f ca="1">IF('Banco de Dados'!$AI252="ENTREGUE",_xlfn.XLOOKUP('Banco de Dados'!$G252,Follow[CODRASTREIO],Follow[DATAATUALIZAÇÃO]),"-")</f>
        <v>45636</v>
      </c>
      <c r="AK252" s="9" t="str">
        <f ca="1"/>
        <v>-</v>
      </c>
      <c r="AL252" s="35" t="str">
        <v>NÃO</v>
      </c>
      <c r="AM252" s="109" cm="1">
        <f t="array" aca="1" ref="AM252" ca="1">IF('Banco de Dados'!$AK252&lt;&gt;"-",_xlfn.IFS('Banco de Dados'!$A252="bv",IF('Banco de Dados'!$E252&lt;45641,ROUND(SUM('Banco de Dados'!$R252*_xlfn.XLOOKUP('Banco de Dados'!$P252,Sku!B:B,Sku!#REF!)*20%),2),ROUND(SUM('Banco de Dados'!$R252*_xlfn.XLOOKUP('Banco de Dados'!$P252,Sku!B:B,Sku!H:H)*20%),2)),'Banco de Dados'!$A252="GO",ROUND(_xlfn.XLOOKUP('Banco de Dados'!$P252,Sku!C:C,Sku!H:H),2),'Banco de Dados'!$A252="MEI",ROUND(_xlfn.XLOOKUP('Banco de Dados'!$P252,Sku!D:D,Sku!H:H),2)),0)</f>
        <v>0</v>
      </c>
      <c r="AN252" s="109">
        <f ca="1">IF('Banco de Dados'!$AK252&lt;&gt;"-",IF('Banco de Dados'!$F252&lt;&gt;"-",_xlfn.XLOOKUP(IFERROR(IFERROR(IFERROR(VALUE(SUBSTITUTE(MID(_xlfn.TEXTAFTER('Banco de Dados'!$F252,"Data do Pedido:
",1),1,10),"-","/")),VALUE(SUBSTITUTE(MID(_xlfn.TEXTAFTER('Banco de Dados'!$F252,"Order date:
",1),1,10),"-","/"))),VALUE(SUBSTITUTE(MID(_xlfn.TEXTAFTER('Banco de Dados'!$F252,"Fecha de pedido:
",1),1,10),"-","/"))),"-"),SMS!A:A,SMS!K:K),0),0)</f>
        <v>0</v>
      </c>
      <c r="AO252" s="109">
        <f ca="1">IF('Banco de Dados'!$AK252&lt;&gt;"-",IF('Banco de Dados'!$F252&lt;&gt;"-",IFERROR(_xlfn.XLOOKUP(_xlfn.CONCAT('Banco de Dados'!$A252,IFERROR(IFERROR(VALUE(SUBSTITUTE(MID(_xlfn.TEXTAFTER('Banco de Dados'!$F252,"Data do Pedido:
",1),1,10),"-","/")),VALUE(SUBSTITUTE(MID(_xlfn.TEXTAFTER('Banco de Dados'!$F252,"Order date:
",1),1,10),"-","/"))),0)),ProxyDD[Chave],ProxyDD[Valor por pedido]),PROXY!$P$2),0),0)</f>
        <v>0</v>
      </c>
      <c r="AP252" s="28">
        <f ca="1">IF('Banco de Dados'!$AK252&lt;&gt;"-",IF('Banco de Dados'!$AL252="NÃO",IFERROR(VALUE(SUBSTITUTE(_xlfn.TEXTAFTER('Banco de Dados'!$F252,"BRL ",1),".",",")),0),0),0)</f>
        <v>0</v>
      </c>
      <c r="AQ252" s="28">
        <f ca="1">SUM('Banco de Dados'!$AM252:$AP252)</f>
        <v>0</v>
      </c>
      <c r="AR252" s="8"/>
      <c r="AS252" s="8"/>
      <c r="AY252" s="8"/>
    </row>
    <row r="253" spans="1:51">
      <c r="A253" s="5" t="str">
        <v>BV</v>
      </c>
      <c r="B253" s="5" t="str">
        <f ca="1"/>
        <v>BV45600</v>
      </c>
      <c r="C253" s="8" t="str">
        <v>Pedido 250</v>
      </c>
      <c r="D253" s="9">
        <v>45600</v>
      </c>
      <c r="E253" s="9">
        <v>45600</v>
      </c>
      <c r="F253" s="8" t="str">
        <v>PedidoF243</v>
      </c>
      <c r="G253" s="2" t="str">
        <v>CódRastreio243</v>
      </c>
      <c r="H253" s="5">
        <v>1</v>
      </c>
      <c r="I253" s="182" t="str">
        <v>CPF 246</v>
      </c>
      <c r="J253" s="2" t="str">
        <v>Nome 246</v>
      </c>
      <c r="K253" s="8" t="str">
        <v>Tel 246</v>
      </c>
      <c r="L253" s="2" t="str">
        <v>Cep 246</v>
      </c>
      <c r="M253" s="2" t="str">
        <v>Rua 246</v>
      </c>
      <c r="N253" s="2" t="str">
        <v>Comp 246</v>
      </c>
      <c r="O253" s="2" t="str">
        <v>Bomba d'agua</v>
      </c>
      <c r="P253" s="8" t="str">
        <v>DJ-RO5O-43GF</v>
      </c>
      <c r="Q253" s="4">
        <v>45629</v>
      </c>
      <c r="R253" s="109">
        <v>16.5</v>
      </c>
      <c r="S253" s="11">
        <f ca="1"/>
        <v>16.5</v>
      </c>
      <c r="T253" s="28">
        <f ca="1"/>
        <v>2.31</v>
      </c>
      <c r="U253" s="11">
        <f ca="1"/>
        <v>14.19</v>
      </c>
      <c r="V253" s="11">
        <v>4.99</v>
      </c>
      <c r="W253" s="11">
        <f ca="1"/>
        <v>0.38</v>
      </c>
      <c r="X253" s="11">
        <f ca="1"/>
        <v>0.39877104377104378</v>
      </c>
      <c r="Y253" s="11">
        <v>0</v>
      </c>
      <c r="Z253" s="11">
        <f ca="1"/>
        <v>8.4212289562289548</v>
      </c>
      <c r="AA253" s="11">
        <f ca="1"/>
        <v>4.2106144781144774</v>
      </c>
      <c r="AB253" s="4">
        <f ca="1"/>
        <v>45636</v>
      </c>
      <c r="AC253" s="4">
        <v>45636</v>
      </c>
      <c r="AD253" s="9">
        <v>45637</v>
      </c>
      <c r="AE253" s="9">
        <v>45642</v>
      </c>
      <c r="AF253" s="4" t="str">
        <f t="shared" ca="1" si="3"/>
        <v>2024 12</v>
      </c>
      <c r="AG253" s="8" t="str" cm="1">
        <f t="array" ref="AG253">IFERROR(_xlfn.IFS('Banco de Dados'!#REF!="AG. COMPRA","Em processamento",'Banco de Dados'!#REF!="AG. RASTREIO","Em processamento",'Banco de Dados'!$AE253&lt;&gt;"-","Faturado",'Banco de Dados'!$AD253&lt;&gt;"-","Aguardando Pix",'Banco de Dados'!$AC253&lt;&gt;"-","Pendente"),"Aguardando Liberação")</f>
        <v>Aguardando Liberação</v>
      </c>
      <c r="AH253" s="5" t="str">
        <f>IF('Banco de Dados'!$F253="-",_xlfn.CONCAT(PROPER(TEXT(AK253,"aaaa"))," ",PROPER(TEXT(AK253,"mm"))),_xlfn.CONCAT(PROPER(TEXT(E253,"aaaa"))," ",PROPER(TEXT(E253,"mm"))))</f>
        <v>2024 11</v>
      </c>
      <c r="AI253" s="9" t="str">
        <f ca="1">IF('Banco de Dados'!$AK253&lt;&gt;"-","REEMBOLSO",IFERROR(_xlfn.XLOOKUP(G253,Follow[CODRASTREIO],Follow[STATUS]),"-"))</f>
        <v>ENTREGUE</v>
      </c>
      <c r="AJ253" s="9">
        <f ca="1">IF('Banco de Dados'!$AI253="ENTREGUE",_xlfn.XLOOKUP('Banco de Dados'!$G253,Follow[CODRASTREIO],Follow[DATAATUALIZAÇÃO]),"-")</f>
        <v>45614</v>
      </c>
      <c r="AK253" s="9" t="str">
        <f ca="1"/>
        <v>-</v>
      </c>
      <c r="AL253" s="35" t="str">
        <v>NÃO</v>
      </c>
      <c r="AM253" s="109" cm="1">
        <f t="array" aca="1" ref="AM253" ca="1">IF('Banco de Dados'!$AK253&lt;&gt;"-",_xlfn.IFS('Banco de Dados'!$A253="bv",IF('Banco de Dados'!$E253&lt;45641,ROUND(SUM('Banco de Dados'!$R253*_xlfn.XLOOKUP('Banco de Dados'!$P253,Sku!B:B,Sku!#REF!)*20%),2),ROUND(SUM('Banco de Dados'!$R253*_xlfn.XLOOKUP('Banco de Dados'!$P253,Sku!B:B,Sku!H:H)*20%),2)),'Banco de Dados'!$A253="GO",ROUND(_xlfn.XLOOKUP('Banco de Dados'!$P253,Sku!C:C,Sku!H:H),2),'Banco de Dados'!$A253="MEI",ROUND(_xlfn.XLOOKUP('Banco de Dados'!$P253,Sku!D:D,Sku!H:H),2)),0)</f>
        <v>0</v>
      </c>
      <c r="AN253" s="109">
        <f ca="1">IF('Banco de Dados'!$AK253&lt;&gt;"-",IF('Banco de Dados'!$F253&lt;&gt;"-",_xlfn.XLOOKUP(IFERROR(IFERROR(IFERROR(VALUE(SUBSTITUTE(MID(_xlfn.TEXTAFTER('Banco de Dados'!$F253,"Data do Pedido:
",1),1,10),"-","/")),VALUE(SUBSTITUTE(MID(_xlfn.TEXTAFTER('Banco de Dados'!$F253,"Order date:
",1),1,10),"-","/"))),VALUE(SUBSTITUTE(MID(_xlfn.TEXTAFTER('Banco de Dados'!$F253,"Fecha de pedido:
",1),1,10),"-","/"))),"-"),SMS!A:A,SMS!K:K),0),0)</f>
        <v>0</v>
      </c>
      <c r="AO253" s="109">
        <f ca="1">IF('Banco de Dados'!$AK253&lt;&gt;"-",IF('Banco de Dados'!$F253&lt;&gt;"-",IFERROR(_xlfn.XLOOKUP(_xlfn.CONCAT('Banco de Dados'!$A253,IFERROR(IFERROR(VALUE(SUBSTITUTE(MID(_xlfn.TEXTAFTER('Banco de Dados'!$F253,"Data do Pedido:
",1),1,10),"-","/")),VALUE(SUBSTITUTE(MID(_xlfn.TEXTAFTER('Banco de Dados'!$F253,"Order date:
",1),1,10),"-","/"))),0)),ProxyDD[Chave],ProxyDD[Valor por pedido]),PROXY!$P$2),0),0)</f>
        <v>0</v>
      </c>
      <c r="AP253" s="28">
        <f ca="1">IF('Banco de Dados'!$AK253&lt;&gt;"-",IF('Banco de Dados'!$AL253="NÃO",IFERROR(VALUE(SUBSTITUTE(_xlfn.TEXTAFTER('Banco de Dados'!$F253,"BRL ",1),".",",")),0),0),0)</f>
        <v>0</v>
      </c>
      <c r="AQ253" s="28">
        <f ca="1">SUM('Banco de Dados'!$AM253:$AP253)</f>
        <v>0</v>
      </c>
      <c r="AR253" s="8"/>
      <c r="AS253" s="8"/>
      <c r="AY253" s="8"/>
    </row>
    <row r="254" spans="1:51">
      <c r="A254" s="5" t="str">
        <v>BV</v>
      </c>
      <c r="B254" s="5" t="str">
        <f ca="1"/>
        <v>BV45600</v>
      </c>
      <c r="C254" s="8" t="str">
        <v>Pedido 251</v>
      </c>
      <c r="D254" s="9">
        <v>45600</v>
      </c>
      <c r="E254" s="9">
        <v>45600</v>
      </c>
      <c r="F254" s="8" t="str">
        <v>PedidoF244</v>
      </c>
      <c r="G254" s="2" t="str">
        <v>CódRastreio244</v>
      </c>
      <c r="H254" s="5">
        <v>1</v>
      </c>
      <c r="I254" s="182" t="str">
        <v>CPF 247</v>
      </c>
      <c r="J254" s="2" t="str">
        <v>Nome 247</v>
      </c>
      <c r="K254" s="8" t="str">
        <v>Tel 247</v>
      </c>
      <c r="L254" s="2" t="str">
        <v>Cep 247</v>
      </c>
      <c r="M254" s="2" t="str">
        <v>Rua 247</v>
      </c>
      <c r="N254" s="2" t="str">
        <v>Comp 247</v>
      </c>
      <c r="O254" s="2" t="str">
        <v>Bomba d'agua</v>
      </c>
      <c r="P254" s="8" t="str">
        <v>DJ-RO5O-43GF</v>
      </c>
      <c r="Q254" s="4">
        <v>45619</v>
      </c>
      <c r="R254" s="109">
        <v>16.5</v>
      </c>
      <c r="S254" s="11">
        <f ca="1"/>
        <v>16.5</v>
      </c>
      <c r="T254" s="28">
        <f ca="1"/>
        <v>2.31</v>
      </c>
      <c r="U254" s="11">
        <f ca="1"/>
        <v>14.19</v>
      </c>
      <c r="V254" s="11">
        <v>4.99</v>
      </c>
      <c r="W254" s="11">
        <f ca="1"/>
        <v>0.38</v>
      </c>
      <c r="X254" s="11">
        <f ca="1"/>
        <v>0.39877104377104378</v>
      </c>
      <c r="Y254" s="11">
        <v>0</v>
      </c>
      <c r="Z254" s="11">
        <f ca="1"/>
        <v>8.4212289562289548</v>
      </c>
      <c r="AA254" s="11">
        <f ca="1"/>
        <v>4.2106144781144774</v>
      </c>
      <c r="AB254" s="4">
        <f ca="1"/>
        <v>45626</v>
      </c>
      <c r="AC254" s="4">
        <v>45626</v>
      </c>
      <c r="AD254" s="9">
        <v>45637</v>
      </c>
      <c r="AE254" s="9">
        <v>45642</v>
      </c>
      <c r="AF254" s="4" t="str">
        <f t="shared" ca="1" si="3"/>
        <v>2024 11</v>
      </c>
      <c r="AG254" s="8" t="str" cm="1">
        <f t="array" ref="AG254">IFERROR(_xlfn.IFS('Banco de Dados'!#REF!="AG. COMPRA","Em processamento",'Banco de Dados'!#REF!="AG. RASTREIO","Em processamento",'Banco de Dados'!$AE254&lt;&gt;"-","Faturado",'Banco de Dados'!$AD254&lt;&gt;"-","Aguardando Pix",'Banco de Dados'!$AC254&lt;&gt;"-","Pendente"),"Aguardando Liberação")</f>
        <v>Aguardando Liberação</v>
      </c>
      <c r="AH254" s="5" t="str">
        <f>IF('Banco de Dados'!$F254="-",_xlfn.CONCAT(PROPER(TEXT(AK254,"aaaa"))," ",PROPER(TEXT(AK254,"mm"))),_xlfn.CONCAT(PROPER(TEXT(E254,"aaaa"))," ",PROPER(TEXT(E254,"mm"))))</f>
        <v>2024 11</v>
      </c>
      <c r="AI254" s="9" t="str">
        <f ca="1">IF('Banco de Dados'!$AK254&lt;&gt;"-","REEMBOLSO",IFERROR(_xlfn.XLOOKUP(G254,Follow[CODRASTREIO],Follow[STATUS]),"-"))</f>
        <v>ENTREGUE</v>
      </c>
      <c r="AJ254" s="9">
        <f ca="1">IF('Banco de Dados'!$AI254="ENTREGUE",_xlfn.XLOOKUP('Banco de Dados'!$G254,Follow[CODRASTREIO],Follow[DATAATUALIZAÇÃO]),"-")</f>
        <v>45610</v>
      </c>
      <c r="AK254" s="9" t="str">
        <f ca="1"/>
        <v>-</v>
      </c>
      <c r="AL254" s="35" t="str">
        <v>NÃO</v>
      </c>
      <c r="AM254" s="109" cm="1">
        <f t="array" aca="1" ref="AM254" ca="1">IF('Banco de Dados'!$AK254&lt;&gt;"-",_xlfn.IFS('Banco de Dados'!$A254="bv",IF('Banco de Dados'!$E254&lt;45641,ROUND(SUM('Banco de Dados'!$R254*_xlfn.XLOOKUP('Banco de Dados'!$P254,Sku!B:B,Sku!#REF!)*20%),2),ROUND(SUM('Banco de Dados'!$R254*_xlfn.XLOOKUP('Banco de Dados'!$P254,Sku!B:B,Sku!H:H)*20%),2)),'Banco de Dados'!$A254="GO",ROUND(_xlfn.XLOOKUP('Banco de Dados'!$P254,Sku!C:C,Sku!H:H),2),'Banco de Dados'!$A254="MEI",ROUND(_xlfn.XLOOKUP('Banco de Dados'!$P254,Sku!D:D,Sku!H:H),2)),0)</f>
        <v>0</v>
      </c>
      <c r="AN254" s="109">
        <f ca="1">IF('Banco de Dados'!$AK254&lt;&gt;"-",IF('Banco de Dados'!$F254&lt;&gt;"-",_xlfn.XLOOKUP(IFERROR(IFERROR(IFERROR(VALUE(SUBSTITUTE(MID(_xlfn.TEXTAFTER('Banco de Dados'!$F254,"Data do Pedido:
",1),1,10),"-","/")),VALUE(SUBSTITUTE(MID(_xlfn.TEXTAFTER('Banco de Dados'!$F254,"Order date:
",1),1,10),"-","/"))),VALUE(SUBSTITUTE(MID(_xlfn.TEXTAFTER('Banco de Dados'!$F254,"Fecha de pedido:
",1),1,10),"-","/"))),"-"),SMS!A:A,SMS!K:K),0),0)</f>
        <v>0</v>
      </c>
      <c r="AO254" s="109">
        <f ca="1">IF('Banco de Dados'!$AK254&lt;&gt;"-",IF('Banco de Dados'!$F254&lt;&gt;"-",IFERROR(_xlfn.XLOOKUP(_xlfn.CONCAT('Banco de Dados'!$A254,IFERROR(IFERROR(VALUE(SUBSTITUTE(MID(_xlfn.TEXTAFTER('Banco de Dados'!$F254,"Data do Pedido:
",1),1,10),"-","/")),VALUE(SUBSTITUTE(MID(_xlfn.TEXTAFTER('Banco de Dados'!$F254,"Order date:
",1),1,10),"-","/"))),0)),ProxyDD[Chave],ProxyDD[Valor por pedido]),PROXY!$P$2),0),0)</f>
        <v>0</v>
      </c>
      <c r="AP254" s="28">
        <f ca="1">IF('Banco de Dados'!$AK254&lt;&gt;"-",IF('Banco de Dados'!$AL254="NÃO",IFERROR(VALUE(SUBSTITUTE(_xlfn.TEXTAFTER('Banco de Dados'!$F254,"BRL ",1),".",",")),0),0),0)</f>
        <v>0</v>
      </c>
      <c r="AQ254" s="28">
        <f ca="1">SUM('Banco de Dados'!$AM254:$AP254)</f>
        <v>0</v>
      </c>
      <c r="AR254" s="8"/>
      <c r="AS254" s="8"/>
      <c r="AY254" s="8"/>
    </row>
    <row r="255" spans="1:51">
      <c r="A255" s="5" t="str">
        <v>BV</v>
      </c>
      <c r="B255" s="5" t="str">
        <f ca="1"/>
        <v>BV45600</v>
      </c>
      <c r="C255" s="8" t="str">
        <v>Pedido 252</v>
      </c>
      <c r="D255" s="9">
        <v>45600</v>
      </c>
      <c r="E255" s="9">
        <v>45600</v>
      </c>
      <c r="F255" s="8" t="str">
        <v>PedidoF245</v>
      </c>
      <c r="G255" s="2" t="str">
        <v>CódRastreio245</v>
      </c>
      <c r="H255" s="5">
        <v>1</v>
      </c>
      <c r="I255" s="182" t="str">
        <v>CPF 248</v>
      </c>
      <c r="J255" s="2" t="str">
        <v>Nome 248</v>
      </c>
      <c r="K255" s="8" t="str">
        <v>Tel 248</v>
      </c>
      <c r="L255" s="2" t="str">
        <v>Cep 248</v>
      </c>
      <c r="M255" s="2" t="str">
        <v>Rua 248</v>
      </c>
      <c r="N255" s="2" t="str">
        <v>Comp 248</v>
      </c>
      <c r="O255" s="2" t="str">
        <v>Bomba d'agua</v>
      </c>
      <c r="P255" s="8" t="str">
        <v>DJ-RO5O-43GF</v>
      </c>
      <c r="Q255" s="4">
        <v>45623</v>
      </c>
      <c r="R255" s="109">
        <v>16.5</v>
      </c>
      <c r="S255" s="11">
        <f ca="1"/>
        <v>16.5</v>
      </c>
      <c r="T255" s="28">
        <f ca="1"/>
        <v>2.31</v>
      </c>
      <c r="U255" s="11">
        <f ca="1"/>
        <v>14.19</v>
      </c>
      <c r="V255" s="11">
        <v>4.99</v>
      </c>
      <c r="W255" s="11">
        <f ca="1"/>
        <v>0.38</v>
      </c>
      <c r="X255" s="11">
        <f ca="1"/>
        <v>0.39877104377104378</v>
      </c>
      <c r="Y255" s="11">
        <v>0</v>
      </c>
      <c r="Z255" s="11">
        <f ca="1"/>
        <v>8.4212289562289548</v>
      </c>
      <c r="AA255" s="11">
        <f ca="1"/>
        <v>4.2106144781144774</v>
      </c>
      <c r="AB255" s="4">
        <f ca="1"/>
        <v>45630</v>
      </c>
      <c r="AC255" s="4">
        <v>45630</v>
      </c>
      <c r="AD255" s="9">
        <v>45637</v>
      </c>
      <c r="AE255" s="9">
        <v>45642</v>
      </c>
      <c r="AF255" s="4" t="str">
        <f t="shared" ca="1" si="3"/>
        <v>2024 12</v>
      </c>
      <c r="AG255" s="8" t="str" cm="1">
        <f t="array" ref="AG255">IFERROR(_xlfn.IFS('Banco de Dados'!#REF!="AG. COMPRA","Em processamento",'Banco de Dados'!#REF!="AG. RASTREIO","Em processamento",'Banco de Dados'!$AE255&lt;&gt;"-","Faturado",'Banco de Dados'!$AD255&lt;&gt;"-","Aguardando Pix",'Banco de Dados'!$AC255&lt;&gt;"-","Pendente"),"Aguardando Liberação")</f>
        <v>Aguardando Liberação</v>
      </c>
      <c r="AH255" s="5" t="str">
        <f>IF('Banco de Dados'!$F255="-",_xlfn.CONCAT(PROPER(TEXT(AK255,"aaaa"))," ",PROPER(TEXT(AK255,"mm"))),_xlfn.CONCAT(PROPER(TEXT(E255,"aaaa"))," ",PROPER(TEXT(E255,"mm"))))</f>
        <v>2024 11</v>
      </c>
      <c r="AI255" s="9" t="str">
        <f ca="1">IF('Banco de Dados'!$AK255&lt;&gt;"-","REEMBOLSO",IFERROR(_xlfn.XLOOKUP(G255,Follow[CODRASTREIO],Follow[STATUS]),"-"))</f>
        <v>ENTREGUE</v>
      </c>
      <c r="AJ255" s="9">
        <f ca="1">IF('Banco de Dados'!$AI255="ENTREGUE",_xlfn.XLOOKUP('Banco de Dados'!$G255,Follow[CODRASTREIO],Follow[DATAATUALIZAÇÃO]),"-")</f>
        <v>45610</v>
      </c>
      <c r="AK255" s="9" t="str">
        <f ca="1"/>
        <v>-</v>
      </c>
      <c r="AL255" s="35" t="str">
        <v>NÃO</v>
      </c>
      <c r="AM255" s="109" cm="1">
        <f t="array" aca="1" ref="AM255" ca="1">IF('Banco de Dados'!$AK255&lt;&gt;"-",_xlfn.IFS('Banco de Dados'!$A255="bv",IF('Banco de Dados'!$E255&lt;45641,ROUND(SUM('Banco de Dados'!$R255*_xlfn.XLOOKUP('Banco de Dados'!$P255,Sku!B:B,Sku!#REF!)*20%),2),ROUND(SUM('Banco de Dados'!$R255*_xlfn.XLOOKUP('Banco de Dados'!$P255,Sku!B:B,Sku!H:H)*20%),2)),'Banco de Dados'!$A255="GO",ROUND(_xlfn.XLOOKUP('Banco de Dados'!$P255,Sku!C:C,Sku!H:H),2),'Banco de Dados'!$A255="MEI",ROUND(_xlfn.XLOOKUP('Banco de Dados'!$P255,Sku!D:D,Sku!H:H),2)),0)</f>
        <v>0</v>
      </c>
      <c r="AN255" s="109">
        <f ca="1">IF('Banco de Dados'!$AK255&lt;&gt;"-",IF('Banco de Dados'!$F255&lt;&gt;"-",_xlfn.XLOOKUP(IFERROR(IFERROR(IFERROR(VALUE(SUBSTITUTE(MID(_xlfn.TEXTAFTER('Banco de Dados'!$F255,"Data do Pedido:
",1),1,10),"-","/")),VALUE(SUBSTITUTE(MID(_xlfn.TEXTAFTER('Banco de Dados'!$F255,"Order date:
",1),1,10),"-","/"))),VALUE(SUBSTITUTE(MID(_xlfn.TEXTAFTER('Banco de Dados'!$F255,"Fecha de pedido:
",1),1,10),"-","/"))),"-"),SMS!A:A,SMS!K:K),0),0)</f>
        <v>0</v>
      </c>
      <c r="AO255" s="109">
        <f ca="1">IF('Banco de Dados'!$AK255&lt;&gt;"-",IF('Banco de Dados'!$F255&lt;&gt;"-",IFERROR(_xlfn.XLOOKUP(_xlfn.CONCAT('Banco de Dados'!$A255,IFERROR(IFERROR(VALUE(SUBSTITUTE(MID(_xlfn.TEXTAFTER('Banco de Dados'!$F255,"Data do Pedido:
",1),1,10),"-","/")),VALUE(SUBSTITUTE(MID(_xlfn.TEXTAFTER('Banco de Dados'!$F255,"Order date:
",1),1,10),"-","/"))),0)),ProxyDD[Chave],ProxyDD[Valor por pedido]),PROXY!$P$2),0),0)</f>
        <v>0</v>
      </c>
      <c r="AP255" s="28">
        <f ca="1">IF('Banco de Dados'!$AK255&lt;&gt;"-",IF('Banco de Dados'!$AL255="NÃO",IFERROR(VALUE(SUBSTITUTE(_xlfn.TEXTAFTER('Banco de Dados'!$F255,"BRL ",1),".",",")),0),0),0)</f>
        <v>0</v>
      </c>
      <c r="AQ255" s="28">
        <f ca="1">SUM('Banco de Dados'!$AM255:$AP255)</f>
        <v>0</v>
      </c>
      <c r="AR255" s="8"/>
      <c r="AS255" s="8"/>
      <c r="AY255" s="8"/>
    </row>
    <row r="256" spans="1:51">
      <c r="A256" s="5" t="str">
        <v>BV</v>
      </c>
      <c r="B256" s="5" t="str">
        <f ca="1"/>
        <v>BV45600</v>
      </c>
      <c r="C256" s="8" t="str">
        <v>Pedido 253</v>
      </c>
      <c r="D256" s="9">
        <v>45600</v>
      </c>
      <c r="E256" s="9">
        <v>45600</v>
      </c>
      <c r="F256" s="8" t="str">
        <v>PedidoF246</v>
      </c>
      <c r="G256" s="2" t="str">
        <v>CódRastreio246</v>
      </c>
      <c r="H256" s="5">
        <v>1</v>
      </c>
      <c r="I256" s="182" t="str">
        <v>CPF 249</v>
      </c>
      <c r="J256" s="2" t="str">
        <v>Nome 249</v>
      </c>
      <c r="K256" s="8" t="str">
        <v>Tel 249</v>
      </c>
      <c r="L256" s="2" t="str">
        <v>Cep 249</v>
      </c>
      <c r="M256" s="2" t="str">
        <v>Rua 249</v>
      </c>
      <c r="N256" s="2" t="str">
        <v>Comp 249</v>
      </c>
      <c r="O256" s="2" t="str">
        <v>Bomba d'agua</v>
      </c>
      <c r="P256" s="8" t="str">
        <v>DJ-RO5O-43GF</v>
      </c>
      <c r="Q256" s="4">
        <v>45629</v>
      </c>
      <c r="R256" s="109">
        <v>16.5</v>
      </c>
      <c r="S256" s="11">
        <f ca="1"/>
        <v>16.5</v>
      </c>
      <c r="T256" s="28">
        <f ca="1"/>
        <v>2.31</v>
      </c>
      <c r="U256" s="11">
        <f ca="1"/>
        <v>14.19</v>
      </c>
      <c r="V256" s="11">
        <v>4.99</v>
      </c>
      <c r="W256" s="11">
        <f ca="1"/>
        <v>0.38</v>
      </c>
      <c r="X256" s="11">
        <f ca="1"/>
        <v>0.39877104377104378</v>
      </c>
      <c r="Y256" s="11">
        <v>0</v>
      </c>
      <c r="Z256" s="11">
        <f ca="1"/>
        <v>8.4212289562289548</v>
      </c>
      <c r="AA256" s="11">
        <f ca="1"/>
        <v>4.2106144781144774</v>
      </c>
      <c r="AB256" s="4">
        <f ca="1"/>
        <v>45636</v>
      </c>
      <c r="AC256" s="4">
        <v>45636</v>
      </c>
      <c r="AD256" s="9">
        <v>45637</v>
      </c>
      <c r="AE256" s="9">
        <v>45642</v>
      </c>
      <c r="AF256" s="4" t="str">
        <f t="shared" ca="1" si="3"/>
        <v>2024 12</v>
      </c>
      <c r="AG256" s="8" t="str" cm="1">
        <f t="array" ref="AG256">IFERROR(_xlfn.IFS('Banco de Dados'!#REF!="AG. COMPRA","Em processamento",'Banco de Dados'!#REF!="AG. RASTREIO","Em processamento",'Banco de Dados'!$AE256&lt;&gt;"-","Faturado",'Banco de Dados'!$AD256&lt;&gt;"-","Aguardando Pix",'Banco de Dados'!$AC256&lt;&gt;"-","Pendente"),"Aguardando Liberação")</f>
        <v>Aguardando Liberação</v>
      </c>
      <c r="AH256" s="5" t="str">
        <f>IF('Banco de Dados'!$F256="-",_xlfn.CONCAT(PROPER(TEXT(AK256,"aaaa"))," ",PROPER(TEXT(AK256,"mm"))),_xlfn.CONCAT(PROPER(TEXT(E256,"aaaa"))," ",PROPER(TEXT(E256,"mm"))))</f>
        <v>2024 11</v>
      </c>
      <c r="AI256" s="9" t="str">
        <f ca="1">IF('Banco de Dados'!$AK256&lt;&gt;"-","REEMBOLSO",IFERROR(_xlfn.XLOOKUP(G256,Follow[CODRASTREIO],Follow[STATUS]),"-"))</f>
        <v>ENTREGUE</v>
      </c>
      <c r="AJ256" s="9">
        <f ca="1">IF('Banco de Dados'!$AI256="ENTREGUE",_xlfn.XLOOKUP('Banco de Dados'!$G256,Follow[CODRASTREIO],Follow[DATAATUALIZAÇÃO]),"-")</f>
        <v>45612</v>
      </c>
      <c r="AK256" s="9" t="str">
        <f ca="1"/>
        <v>-</v>
      </c>
      <c r="AL256" s="35" t="str">
        <v>NÃO</v>
      </c>
      <c r="AM256" s="109" cm="1">
        <f t="array" aca="1" ref="AM256" ca="1">IF('Banco de Dados'!$AK256&lt;&gt;"-",_xlfn.IFS('Banco de Dados'!$A256="bv",IF('Banco de Dados'!$E256&lt;45641,ROUND(SUM('Banco de Dados'!$R256*_xlfn.XLOOKUP('Banco de Dados'!$P256,Sku!B:B,Sku!#REF!)*20%),2),ROUND(SUM('Banco de Dados'!$R256*_xlfn.XLOOKUP('Banco de Dados'!$P256,Sku!B:B,Sku!H:H)*20%),2)),'Banco de Dados'!$A256="GO",ROUND(_xlfn.XLOOKUP('Banco de Dados'!$P256,Sku!C:C,Sku!H:H),2),'Banco de Dados'!$A256="MEI",ROUND(_xlfn.XLOOKUP('Banco de Dados'!$P256,Sku!D:D,Sku!H:H),2)),0)</f>
        <v>0</v>
      </c>
      <c r="AN256" s="109">
        <f ca="1">IF('Banco de Dados'!$AK256&lt;&gt;"-",IF('Banco de Dados'!$F256&lt;&gt;"-",_xlfn.XLOOKUP(IFERROR(IFERROR(IFERROR(VALUE(SUBSTITUTE(MID(_xlfn.TEXTAFTER('Banco de Dados'!$F256,"Data do Pedido:
",1),1,10),"-","/")),VALUE(SUBSTITUTE(MID(_xlfn.TEXTAFTER('Banco de Dados'!$F256,"Order date:
",1),1,10),"-","/"))),VALUE(SUBSTITUTE(MID(_xlfn.TEXTAFTER('Banco de Dados'!$F256,"Fecha de pedido:
",1),1,10),"-","/"))),"-"),SMS!A:A,SMS!K:K),0),0)</f>
        <v>0</v>
      </c>
      <c r="AO256" s="109">
        <f ca="1">IF('Banco de Dados'!$AK256&lt;&gt;"-",IF('Banco de Dados'!$F256&lt;&gt;"-",IFERROR(_xlfn.XLOOKUP(_xlfn.CONCAT('Banco de Dados'!$A256,IFERROR(IFERROR(VALUE(SUBSTITUTE(MID(_xlfn.TEXTAFTER('Banco de Dados'!$F256,"Data do Pedido:
",1),1,10),"-","/")),VALUE(SUBSTITUTE(MID(_xlfn.TEXTAFTER('Banco de Dados'!$F256,"Order date:
",1),1,10),"-","/"))),0)),ProxyDD[Chave],ProxyDD[Valor por pedido]),PROXY!$P$2),0),0)</f>
        <v>0</v>
      </c>
      <c r="AP256" s="28">
        <f ca="1">IF('Banco de Dados'!$AK256&lt;&gt;"-",IF('Banco de Dados'!$AL256="NÃO",IFERROR(VALUE(SUBSTITUTE(_xlfn.TEXTAFTER('Banco de Dados'!$F256,"BRL ",1),".",",")),0),0),0)</f>
        <v>0</v>
      </c>
      <c r="AQ256" s="28">
        <f ca="1">SUM('Banco de Dados'!$AM256:$AP256)</f>
        <v>0</v>
      </c>
      <c r="AR256" s="8"/>
      <c r="AS256" s="8"/>
      <c r="AY256" s="8"/>
    </row>
    <row r="257" spans="1:51">
      <c r="A257" s="5" t="str">
        <v>BV</v>
      </c>
      <c r="B257" s="5" t="str">
        <f ca="1"/>
        <v>BV45600</v>
      </c>
      <c r="C257" s="8" t="str">
        <v>Pedido 254</v>
      </c>
      <c r="D257" s="9">
        <v>45600</v>
      </c>
      <c r="E257" s="9">
        <v>45600</v>
      </c>
      <c r="F257" s="8" t="str">
        <v>PedidoF247</v>
      </c>
      <c r="G257" s="2" t="str">
        <v>CódRastreio247</v>
      </c>
      <c r="H257" s="5">
        <v>1</v>
      </c>
      <c r="I257" s="182" t="str">
        <v>CPF 250</v>
      </c>
      <c r="J257" s="2" t="str">
        <v>Nome 250</v>
      </c>
      <c r="K257" s="8" t="str">
        <v>Tel 250</v>
      </c>
      <c r="L257" s="2" t="str">
        <v>Cep 250</v>
      </c>
      <c r="M257" s="2" t="str">
        <v>Rua 250</v>
      </c>
      <c r="N257" s="2" t="str">
        <v>Comp 250</v>
      </c>
      <c r="O257" s="2" t="str">
        <v>Suporte de Celular Branco</v>
      </c>
      <c r="P257" s="8" t="str">
        <v>16-4EDB-WMZF</v>
      </c>
      <c r="Q257" s="4">
        <v>45636</v>
      </c>
      <c r="R257" s="109">
        <v>17.989999999999998</v>
      </c>
      <c r="S257" s="11">
        <f ca="1"/>
        <v>17.989999999999998</v>
      </c>
      <c r="T257" s="28">
        <f ca="1"/>
        <v>2.6984999999999997</v>
      </c>
      <c r="U257" s="11">
        <f ca="1"/>
        <v>15.29</v>
      </c>
      <c r="V257" s="11">
        <v>7.31</v>
      </c>
      <c r="W257" s="11">
        <f ca="1"/>
        <v>0.38</v>
      </c>
      <c r="X257" s="11">
        <f ca="1"/>
        <v>0.39877104377104378</v>
      </c>
      <c r="Y257" s="11">
        <v>0</v>
      </c>
      <c r="Z257" s="11">
        <f ca="1"/>
        <v>7.201228956228956</v>
      </c>
      <c r="AA257" s="11">
        <f ca="1"/>
        <v>3.600614478114478</v>
      </c>
      <c r="AB257" s="4">
        <f ca="1"/>
        <v>45643</v>
      </c>
      <c r="AC257" s="4">
        <v>45643</v>
      </c>
      <c r="AD257" s="9">
        <v>45651</v>
      </c>
      <c r="AE257" s="9">
        <v>45659</v>
      </c>
      <c r="AF257" s="4" t="str">
        <f t="shared" ca="1" si="3"/>
        <v>2024 12</v>
      </c>
      <c r="AG257" s="8" t="str" cm="1">
        <f t="array" ref="AG257">IFERROR(_xlfn.IFS('Banco de Dados'!#REF!="AG. COMPRA","Em processamento",'Banco de Dados'!#REF!="AG. RASTREIO","Em processamento",'Banco de Dados'!$AE257&lt;&gt;"-","Faturado",'Banco de Dados'!$AD257&lt;&gt;"-","Aguardando Pix",'Banco de Dados'!$AC257&lt;&gt;"-","Pendente"),"Aguardando Liberação")</f>
        <v>Aguardando Liberação</v>
      </c>
      <c r="AH257" s="5" t="str">
        <f>IF('Banco de Dados'!$F257="-",_xlfn.CONCAT(PROPER(TEXT(AK257,"aaaa"))," ",PROPER(TEXT(AK257,"mm"))),_xlfn.CONCAT(PROPER(TEXT(E257,"aaaa"))," ",PROPER(TEXT(E257,"mm"))))</f>
        <v>2024 11</v>
      </c>
      <c r="AI257" s="9" t="str">
        <f ca="1">IF('Banco de Dados'!$AK257&lt;&gt;"-","REEMBOLSO",IFERROR(_xlfn.XLOOKUP(G257,Follow[CODRASTREIO],Follow[STATUS]),"-"))</f>
        <v>ENTREGUE</v>
      </c>
      <c r="AJ257" s="9">
        <f ca="1">IF('Banco de Dados'!$AI257="ENTREGUE",_xlfn.XLOOKUP('Banco de Dados'!$G257,Follow[CODRASTREIO],Follow[DATAATUALIZAÇÃO]),"-")</f>
        <v>45624</v>
      </c>
      <c r="AK257" s="9" t="str">
        <f ca="1"/>
        <v>-</v>
      </c>
      <c r="AL257" s="35" t="str">
        <v>NÃO</v>
      </c>
      <c r="AM257" s="109" cm="1">
        <f t="array" aca="1" ref="AM257" ca="1">IF('Banco de Dados'!$AK257&lt;&gt;"-",_xlfn.IFS('Banco de Dados'!$A257="bv",IF('Banco de Dados'!$E257&lt;45641,ROUND(SUM('Banco de Dados'!$R257*_xlfn.XLOOKUP('Banco de Dados'!$P257,Sku!B:B,Sku!#REF!)*20%),2),ROUND(SUM('Banco de Dados'!$R257*_xlfn.XLOOKUP('Banco de Dados'!$P257,Sku!B:B,Sku!H:H)*20%),2)),'Banco de Dados'!$A257="GO",ROUND(_xlfn.XLOOKUP('Banco de Dados'!$P257,Sku!C:C,Sku!H:H),2),'Banco de Dados'!$A257="MEI",ROUND(_xlfn.XLOOKUP('Banco de Dados'!$P257,Sku!D:D,Sku!H:H),2)),0)</f>
        <v>0</v>
      </c>
      <c r="AN257" s="109">
        <f ca="1">IF('Banco de Dados'!$AK257&lt;&gt;"-",IF('Banco de Dados'!$F257&lt;&gt;"-",_xlfn.XLOOKUP(IFERROR(IFERROR(IFERROR(VALUE(SUBSTITUTE(MID(_xlfn.TEXTAFTER('Banco de Dados'!$F257,"Data do Pedido:
",1),1,10),"-","/")),VALUE(SUBSTITUTE(MID(_xlfn.TEXTAFTER('Banco de Dados'!$F257,"Order date:
",1),1,10),"-","/"))),VALUE(SUBSTITUTE(MID(_xlfn.TEXTAFTER('Banco de Dados'!$F257,"Fecha de pedido:
",1),1,10),"-","/"))),"-"),SMS!A:A,SMS!K:K),0),0)</f>
        <v>0</v>
      </c>
      <c r="AO257" s="109">
        <f ca="1">IF('Banco de Dados'!$AK257&lt;&gt;"-",IF('Banco de Dados'!$F257&lt;&gt;"-",IFERROR(_xlfn.XLOOKUP(_xlfn.CONCAT('Banco de Dados'!$A257,IFERROR(IFERROR(VALUE(SUBSTITUTE(MID(_xlfn.TEXTAFTER('Banco de Dados'!$F257,"Data do Pedido:
",1),1,10),"-","/")),VALUE(SUBSTITUTE(MID(_xlfn.TEXTAFTER('Banco de Dados'!$F257,"Order date:
",1),1,10),"-","/"))),0)),ProxyDD[Chave],ProxyDD[Valor por pedido]),PROXY!$P$2),0),0)</f>
        <v>0</v>
      </c>
      <c r="AP257" s="28">
        <f ca="1">IF('Banco de Dados'!$AK257&lt;&gt;"-",IF('Banco de Dados'!$AL257="NÃO",IFERROR(VALUE(SUBSTITUTE(_xlfn.TEXTAFTER('Banco de Dados'!$F257,"BRL ",1),".",",")),0),0),0)</f>
        <v>0</v>
      </c>
      <c r="AQ257" s="28">
        <f ca="1">SUM('Banco de Dados'!$AM257:$AP257)</f>
        <v>0</v>
      </c>
      <c r="AR257" s="8"/>
      <c r="AS257" s="8"/>
      <c r="AY257" s="8"/>
    </row>
    <row r="258" spans="1:51">
      <c r="A258" s="5" t="str">
        <v>BV</v>
      </c>
      <c r="B258" s="5" t="str">
        <f ca="1"/>
        <v>BV45604</v>
      </c>
      <c r="C258" s="8" t="str">
        <v>Pedido 255</v>
      </c>
      <c r="D258" s="9">
        <v>45604</v>
      </c>
      <c r="E258" s="9">
        <v>45604</v>
      </c>
      <c r="F258" s="8" t="str">
        <v>PedidoF248</v>
      </c>
      <c r="G258" s="2" t="str">
        <v>CódRastreio248</v>
      </c>
      <c r="H258" s="5">
        <v>1</v>
      </c>
      <c r="I258" s="182" t="str">
        <v>CPF 251</v>
      </c>
      <c r="J258" s="2" t="str">
        <v>Nome 251</v>
      </c>
      <c r="K258" s="8" t="str">
        <v>Tel 251</v>
      </c>
      <c r="L258" s="2" t="str">
        <v>Cep 251</v>
      </c>
      <c r="M258" s="2" t="str">
        <v>Rua 251</v>
      </c>
      <c r="N258" s="2" t="str">
        <v>Comp 251</v>
      </c>
      <c r="O258" s="2" t="str">
        <v>Bomba d'agua</v>
      </c>
      <c r="P258" s="8" t="str">
        <v>DJ-RO5O-43GF</v>
      </c>
      <c r="Q258" s="4">
        <v>45623</v>
      </c>
      <c r="R258" s="109">
        <v>16.5</v>
      </c>
      <c r="S258" s="11">
        <f ca="1"/>
        <v>16.5</v>
      </c>
      <c r="T258" s="28">
        <f ca="1"/>
        <v>2.31</v>
      </c>
      <c r="U258" s="11">
        <f ca="1"/>
        <v>14.19</v>
      </c>
      <c r="V258" s="11">
        <v>6.57</v>
      </c>
      <c r="W258" s="11">
        <f ca="1"/>
        <v>0.27</v>
      </c>
      <c r="X258" s="11">
        <f ca="1"/>
        <v>0.39877104377104378</v>
      </c>
      <c r="Y258" s="11">
        <v>0</v>
      </c>
      <c r="Z258" s="11">
        <f ca="1"/>
        <v>6.951228956228956</v>
      </c>
      <c r="AA258" s="11">
        <f ca="1"/>
        <v>3.475614478114478</v>
      </c>
      <c r="AB258" s="4">
        <f ca="1"/>
        <v>45630</v>
      </c>
      <c r="AC258" s="4">
        <v>45630</v>
      </c>
      <c r="AD258" s="9">
        <v>45637</v>
      </c>
      <c r="AE258" s="9">
        <v>45642</v>
      </c>
      <c r="AF258" s="4" t="str">
        <f t="shared" ref="AF258:AF321" ca="1" si="4">_xlfn.CONCAT(PROPER(TEXT(AB258,"aaaa"))," ",PROPER(TEXT(AB258,"mm")))</f>
        <v>2024 12</v>
      </c>
      <c r="AG258" s="8" t="str" cm="1">
        <f t="array" ref="AG258">IFERROR(_xlfn.IFS('Banco de Dados'!#REF!="AG. COMPRA","Em processamento",'Banco de Dados'!#REF!="AG. RASTREIO","Em processamento",'Banco de Dados'!$AE258&lt;&gt;"-","Faturado",'Banco de Dados'!$AD258&lt;&gt;"-","Aguardando Pix",'Banco de Dados'!$AC258&lt;&gt;"-","Pendente"),"Aguardando Liberação")</f>
        <v>Aguardando Liberação</v>
      </c>
      <c r="AH258" s="5" t="str">
        <f>IF('Banco de Dados'!$F258="-",_xlfn.CONCAT(PROPER(TEXT(AK258,"aaaa"))," ",PROPER(TEXT(AK258,"mm"))),_xlfn.CONCAT(PROPER(TEXT(E258,"aaaa"))," ",PROPER(TEXT(E258,"mm"))))</f>
        <v>2024 11</v>
      </c>
      <c r="AI258" s="9" t="str">
        <f ca="1">IF('Banco de Dados'!$AK258&lt;&gt;"-","REEMBOLSO",IFERROR(_xlfn.XLOOKUP(G258,Follow[CODRASTREIO],Follow[STATUS]),"-"))</f>
        <v>ENTREGUE</v>
      </c>
      <c r="AJ258" s="9">
        <f ca="1">IF('Banco de Dados'!$AI258="ENTREGUE",_xlfn.XLOOKUP('Banco de Dados'!$G258,Follow[CODRASTREIO],Follow[DATAATUALIZAÇÃO]),"-")</f>
        <v>45615</v>
      </c>
      <c r="AK258" s="9" t="str">
        <f ca="1"/>
        <v>-</v>
      </c>
      <c r="AL258" s="35" t="str">
        <v>NÃO</v>
      </c>
      <c r="AM258" s="109" cm="1">
        <f t="array" aca="1" ref="AM258" ca="1">IF('Banco de Dados'!$AK258&lt;&gt;"-",_xlfn.IFS('Banco de Dados'!$A258="bv",IF('Banco de Dados'!$E258&lt;45641,ROUND(SUM('Banco de Dados'!$R258*_xlfn.XLOOKUP('Banco de Dados'!$P258,Sku!B:B,Sku!#REF!)*20%),2),ROUND(SUM('Banco de Dados'!$R258*_xlfn.XLOOKUP('Banco de Dados'!$P258,Sku!B:B,Sku!H:H)*20%),2)),'Banco de Dados'!$A258="GO",ROUND(_xlfn.XLOOKUP('Banco de Dados'!$P258,Sku!C:C,Sku!H:H),2),'Banco de Dados'!$A258="MEI",ROUND(_xlfn.XLOOKUP('Banco de Dados'!$P258,Sku!D:D,Sku!H:H),2)),0)</f>
        <v>0</v>
      </c>
      <c r="AN258" s="109">
        <f ca="1">IF('Banco de Dados'!$AK258&lt;&gt;"-",IF('Banco de Dados'!$F258&lt;&gt;"-",_xlfn.XLOOKUP(IFERROR(IFERROR(IFERROR(VALUE(SUBSTITUTE(MID(_xlfn.TEXTAFTER('Banco de Dados'!$F258,"Data do Pedido:
",1),1,10),"-","/")),VALUE(SUBSTITUTE(MID(_xlfn.TEXTAFTER('Banco de Dados'!$F258,"Order date:
",1),1,10),"-","/"))),VALUE(SUBSTITUTE(MID(_xlfn.TEXTAFTER('Banco de Dados'!$F258,"Fecha de pedido:
",1),1,10),"-","/"))),"-"),SMS!A:A,SMS!K:K),0),0)</f>
        <v>0</v>
      </c>
      <c r="AO258" s="109">
        <f ca="1">IF('Banco de Dados'!$AK258&lt;&gt;"-",IF('Banco de Dados'!$F258&lt;&gt;"-",IFERROR(_xlfn.XLOOKUP(_xlfn.CONCAT('Banco de Dados'!$A258,IFERROR(IFERROR(VALUE(SUBSTITUTE(MID(_xlfn.TEXTAFTER('Banco de Dados'!$F258,"Data do Pedido:
",1),1,10),"-","/")),VALUE(SUBSTITUTE(MID(_xlfn.TEXTAFTER('Banco de Dados'!$F258,"Order date:
",1),1,10),"-","/"))),0)),ProxyDD[Chave],ProxyDD[Valor por pedido]),PROXY!$P$2),0),0)</f>
        <v>0</v>
      </c>
      <c r="AP258" s="28">
        <f ca="1">IF('Banco de Dados'!$AK258&lt;&gt;"-",IF('Banco de Dados'!$AL258="NÃO",IFERROR(VALUE(SUBSTITUTE(_xlfn.TEXTAFTER('Banco de Dados'!$F258,"BRL ",1),".",",")),0),0),0)</f>
        <v>0</v>
      </c>
      <c r="AQ258" s="28">
        <f ca="1">SUM('Banco de Dados'!$AM258:$AP258)</f>
        <v>0</v>
      </c>
      <c r="AR258" s="8"/>
      <c r="AS258" s="8"/>
      <c r="AY258" s="8"/>
    </row>
    <row r="259" spans="1:51">
      <c r="A259" s="5" t="str">
        <v>BV</v>
      </c>
      <c r="B259" s="5" t="str">
        <f ca="1"/>
        <v>BV45600</v>
      </c>
      <c r="C259" s="8" t="str">
        <v>Pedido 256</v>
      </c>
      <c r="D259" s="9">
        <v>45600</v>
      </c>
      <c r="E259" s="9">
        <v>45600</v>
      </c>
      <c r="F259" s="8" t="str">
        <v>PedidoF249</v>
      </c>
      <c r="G259" s="2" t="str">
        <v>CódRastreio249</v>
      </c>
      <c r="H259" s="5">
        <v>1</v>
      </c>
      <c r="I259" s="182" t="str">
        <v>CPF 252</v>
      </c>
      <c r="J259" s="2" t="str">
        <v>Nome 252</v>
      </c>
      <c r="K259" s="8" t="str">
        <v>Tel 252</v>
      </c>
      <c r="L259" s="2" t="str">
        <v>Cep 252</v>
      </c>
      <c r="M259" s="2" t="str">
        <v>Rua 252</v>
      </c>
      <c r="N259" s="2" t="str">
        <v>Comp 252</v>
      </c>
      <c r="O259" s="2" t="str">
        <v>Bomba d'agua</v>
      </c>
      <c r="P259" s="8" t="str">
        <v>DJ-RO5O-43GF</v>
      </c>
      <c r="Q259" s="4">
        <v>45629</v>
      </c>
      <c r="R259" s="109">
        <v>16.5</v>
      </c>
      <c r="S259" s="11">
        <f ca="1"/>
        <v>16.5</v>
      </c>
      <c r="T259" s="28">
        <f ca="1"/>
        <v>2.31</v>
      </c>
      <c r="U259" s="11">
        <f ca="1"/>
        <v>14.19</v>
      </c>
      <c r="V259" s="11">
        <v>4.99</v>
      </c>
      <c r="W259" s="11">
        <f ca="1"/>
        <v>0.38</v>
      </c>
      <c r="X259" s="11">
        <f ca="1"/>
        <v>0.39877104377104378</v>
      </c>
      <c r="Y259" s="11">
        <v>0</v>
      </c>
      <c r="Z259" s="11">
        <f ca="1"/>
        <v>8.4212289562289548</v>
      </c>
      <c r="AA259" s="11">
        <f ca="1"/>
        <v>4.2106144781144774</v>
      </c>
      <c r="AB259" s="4">
        <f ca="1"/>
        <v>45636</v>
      </c>
      <c r="AC259" s="4">
        <v>45636</v>
      </c>
      <c r="AD259" s="9">
        <v>45637</v>
      </c>
      <c r="AE259" s="9">
        <v>45642</v>
      </c>
      <c r="AF259" s="4" t="str">
        <f t="shared" ca="1" si="4"/>
        <v>2024 12</v>
      </c>
      <c r="AG259" s="8" t="str" cm="1">
        <f t="array" ref="AG259">IFERROR(_xlfn.IFS('Banco de Dados'!#REF!="AG. COMPRA","Em processamento",'Banco de Dados'!#REF!="AG. RASTREIO","Em processamento",'Banco de Dados'!$AE259&lt;&gt;"-","Faturado",'Banco de Dados'!$AD259&lt;&gt;"-","Aguardando Pix",'Banco de Dados'!$AC259&lt;&gt;"-","Pendente"),"Aguardando Liberação")</f>
        <v>Aguardando Liberação</v>
      </c>
      <c r="AH259" s="5" t="str">
        <f>IF('Banco de Dados'!$F259="-",_xlfn.CONCAT(PROPER(TEXT(AK259,"aaaa"))," ",PROPER(TEXT(AK259,"mm"))),_xlfn.CONCAT(PROPER(TEXT(E259,"aaaa"))," ",PROPER(TEXT(E259,"mm"))))</f>
        <v>2024 11</v>
      </c>
      <c r="AI259" s="9" t="str">
        <f ca="1">IF('Banco de Dados'!$AK259&lt;&gt;"-","REEMBOLSO",IFERROR(_xlfn.XLOOKUP(G259,Follow[CODRASTREIO],Follow[STATUS]),"-"))</f>
        <v>ENTREGUE</v>
      </c>
      <c r="AJ259" s="9">
        <f ca="1">IF('Banco de Dados'!$AI259="ENTREGUE",_xlfn.XLOOKUP('Banco de Dados'!$G259,Follow[CODRASTREIO],Follow[DATAATUALIZAÇÃO]),"-")</f>
        <v>45612</v>
      </c>
      <c r="AK259" s="9" t="str">
        <f ca="1"/>
        <v>-</v>
      </c>
      <c r="AL259" s="35" t="str">
        <v>NÃO</v>
      </c>
      <c r="AM259" s="109" cm="1">
        <f t="array" aca="1" ref="AM259" ca="1">IF('Banco de Dados'!$AK259&lt;&gt;"-",_xlfn.IFS('Banco de Dados'!$A259="bv",IF('Banco de Dados'!$E259&lt;45641,ROUND(SUM('Banco de Dados'!$R259*_xlfn.XLOOKUP('Banco de Dados'!$P259,Sku!B:B,Sku!#REF!)*20%),2),ROUND(SUM('Banco de Dados'!$R259*_xlfn.XLOOKUP('Banco de Dados'!$P259,Sku!B:B,Sku!H:H)*20%),2)),'Banco de Dados'!$A259="GO",ROUND(_xlfn.XLOOKUP('Banco de Dados'!$P259,Sku!C:C,Sku!H:H),2),'Banco de Dados'!$A259="MEI",ROUND(_xlfn.XLOOKUP('Banco de Dados'!$P259,Sku!D:D,Sku!H:H),2)),0)</f>
        <v>0</v>
      </c>
      <c r="AN259" s="109">
        <f ca="1">IF('Banco de Dados'!$AK259&lt;&gt;"-",IF('Banco de Dados'!$F259&lt;&gt;"-",_xlfn.XLOOKUP(IFERROR(IFERROR(IFERROR(VALUE(SUBSTITUTE(MID(_xlfn.TEXTAFTER('Banco de Dados'!$F259,"Data do Pedido:
",1),1,10),"-","/")),VALUE(SUBSTITUTE(MID(_xlfn.TEXTAFTER('Banco de Dados'!$F259,"Order date:
",1),1,10),"-","/"))),VALUE(SUBSTITUTE(MID(_xlfn.TEXTAFTER('Banco de Dados'!$F259,"Fecha de pedido:
",1),1,10),"-","/"))),"-"),SMS!A:A,SMS!K:K),0),0)</f>
        <v>0</v>
      </c>
      <c r="AO259" s="109">
        <f ca="1">IF('Banco de Dados'!$AK259&lt;&gt;"-",IF('Banco de Dados'!$F259&lt;&gt;"-",IFERROR(_xlfn.XLOOKUP(_xlfn.CONCAT('Banco de Dados'!$A259,IFERROR(IFERROR(VALUE(SUBSTITUTE(MID(_xlfn.TEXTAFTER('Banco de Dados'!$F259,"Data do Pedido:
",1),1,10),"-","/")),VALUE(SUBSTITUTE(MID(_xlfn.TEXTAFTER('Banco de Dados'!$F259,"Order date:
",1),1,10),"-","/"))),0)),ProxyDD[Chave],ProxyDD[Valor por pedido]),PROXY!$P$2),0),0)</f>
        <v>0</v>
      </c>
      <c r="AP259" s="28">
        <f ca="1">IF('Banco de Dados'!$AK259&lt;&gt;"-",IF('Banco de Dados'!$AL259="NÃO",IFERROR(VALUE(SUBSTITUTE(_xlfn.TEXTAFTER('Banco de Dados'!$F259,"BRL ",1),".",",")),0),0),0)</f>
        <v>0</v>
      </c>
      <c r="AQ259" s="28">
        <f ca="1">SUM('Banco de Dados'!$AM259:$AP259)</f>
        <v>0</v>
      </c>
      <c r="AR259" s="8"/>
      <c r="AS259" s="8"/>
      <c r="AY259" s="8"/>
    </row>
    <row r="260" spans="1:51">
      <c r="A260" s="5" t="str">
        <v>BV</v>
      </c>
      <c r="B260" s="5" t="str">
        <f ca="1"/>
        <v>BV45600</v>
      </c>
      <c r="C260" s="8" t="str">
        <v>Pedido 257</v>
      </c>
      <c r="D260" s="9">
        <v>45600</v>
      </c>
      <c r="E260" s="9">
        <v>45600</v>
      </c>
      <c r="F260" s="8" t="str">
        <v>PedidoF250</v>
      </c>
      <c r="G260" s="2" t="str">
        <v>CódRastreio250</v>
      </c>
      <c r="H260" s="5">
        <v>1</v>
      </c>
      <c r="I260" s="182" t="str">
        <v>CPF 253</v>
      </c>
      <c r="J260" s="2" t="str">
        <v>Nome 253</v>
      </c>
      <c r="K260" s="8" t="str">
        <v>Tel 253</v>
      </c>
      <c r="L260" s="2" t="str">
        <v>Cep 253</v>
      </c>
      <c r="M260" s="2" t="str">
        <v>Rua 253</v>
      </c>
      <c r="N260" s="2" t="str">
        <v>Comp 253</v>
      </c>
      <c r="O260" s="2" t="str">
        <v>Bomba d'agua</v>
      </c>
      <c r="P260" s="8" t="str">
        <v>DJ-RO5O-43GF</v>
      </c>
      <c r="Q260" s="4">
        <v>45629</v>
      </c>
      <c r="R260" s="109">
        <v>16.5</v>
      </c>
      <c r="S260" s="11">
        <f ca="1"/>
        <v>16.5</v>
      </c>
      <c r="T260" s="28">
        <f ca="1"/>
        <v>2.31</v>
      </c>
      <c r="U260" s="11">
        <f ca="1"/>
        <v>14.19</v>
      </c>
      <c r="V260" s="11">
        <v>4.99</v>
      </c>
      <c r="W260" s="11">
        <f ca="1"/>
        <v>0.38</v>
      </c>
      <c r="X260" s="11">
        <f ca="1"/>
        <v>0.39877104377104378</v>
      </c>
      <c r="Y260" s="11">
        <v>0</v>
      </c>
      <c r="Z260" s="11">
        <f ca="1"/>
        <v>8.4212289562289548</v>
      </c>
      <c r="AA260" s="11">
        <f ca="1"/>
        <v>4.2106144781144774</v>
      </c>
      <c r="AB260" s="4">
        <f ca="1"/>
        <v>45636</v>
      </c>
      <c r="AC260" s="4">
        <v>45636</v>
      </c>
      <c r="AD260" s="9">
        <v>45637</v>
      </c>
      <c r="AE260" s="9">
        <v>45642</v>
      </c>
      <c r="AF260" s="4" t="str">
        <f t="shared" ca="1" si="4"/>
        <v>2024 12</v>
      </c>
      <c r="AG260" s="8" t="str" cm="1">
        <f t="array" ref="AG260">IFERROR(_xlfn.IFS('Banco de Dados'!#REF!="AG. COMPRA","Em processamento",'Banco de Dados'!#REF!="AG. RASTREIO","Em processamento",'Banco de Dados'!$AE260&lt;&gt;"-","Faturado",'Banco de Dados'!$AD260&lt;&gt;"-","Aguardando Pix",'Banco de Dados'!$AC260&lt;&gt;"-","Pendente"),"Aguardando Liberação")</f>
        <v>Aguardando Liberação</v>
      </c>
      <c r="AH260" s="5" t="str">
        <f>IF('Banco de Dados'!$F260="-",_xlfn.CONCAT(PROPER(TEXT(AK260,"aaaa"))," ",PROPER(TEXT(AK260,"mm"))),_xlfn.CONCAT(PROPER(TEXT(E260,"aaaa"))," ",PROPER(TEXT(E260,"mm"))))</f>
        <v>2024 11</v>
      </c>
      <c r="AI260" s="9" t="str">
        <f ca="1">IF('Banco de Dados'!$AK260&lt;&gt;"-","REEMBOLSO",IFERROR(_xlfn.XLOOKUP(G260,Follow[CODRASTREIO],Follow[STATUS]),"-"))</f>
        <v>ENTREGUE</v>
      </c>
      <c r="AJ260" s="9">
        <f ca="1">IF('Banco de Dados'!$AI260="ENTREGUE",_xlfn.XLOOKUP('Banco de Dados'!$G260,Follow[CODRASTREIO],Follow[DATAATUALIZAÇÃO]),"-")</f>
        <v>45623</v>
      </c>
      <c r="AK260" s="9" t="str">
        <f ca="1"/>
        <v>-</v>
      </c>
      <c r="AL260" s="35" t="str">
        <v>NÃO</v>
      </c>
      <c r="AM260" s="109" cm="1">
        <f t="array" aca="1" ref="AM260" ca="1">IF('Banco de Dados'!$AK260&lt;&gt;"-",_xlfn.IFS('Banco de Dados'!$A260="bv",IF('Banco de Dados'!$E260&lt;45641,ROUND(SUM('Banco de Dados'!$R260*_xlfn.XLOOKUP('Banco de Dados'!$P260,Sku!B:B,Sku!#REF!)*20%),2),ROUND(SUM('Banco de Dados'!$R260*_xlfn.XLOOKUP('Banco de Dados'!$P260,Sku!B:B,Sku!H:H)*20%),2)),'Banco de Dados'!$A260="GO",ROUND(_xlfn.XLOOKUP('Banco de Dados'!$P260,Sku!C:C,Sku!H:H),2),'Banco de Dados'!$A260="MEI",ROUND(_xlfn.XLOOKUP('Banco de Dados'!$P260,Sku!D:D,Sku!H:H),2)),0)</f>
        <v>0</v>
      </c>
      <c r="AN260" s="109">
        <f ca="1">IF('Banco de Dados'!$AK260&lt;&gt;"-",IF('Banco de Dados'!$F260&lt;&gt;"-",_xlfn.XLOOKUP(IFERROR(IFERROR(IFERROR(VALUE(SUBSTITUTE(MID(_xlfn.TEXTAFTER('Banco de Dados'!$F260,"Data do Pedido:
",1),1,10),"-","/")),VALUE(SUBSTITUTE(MID(_xlfn.TEXTAFTER('Banco de Dados'!$F260,"Order date:
",1),1,10),"-","/"))),VALUE(SUBSTITUTE(MID(_xlfn.TEXTAFTER('Banco de Dados'!$F260,"Fecha de pedido:
",1),1,10),"-","/"))),"-"),SMS!A:A,SMS!K:K),0),0)</f>
        <v>0</v>
      </c>
      <c r="AO260" s="109">
        <f ca="1">IF('Banco de Dados'!$AK260&lt;&gt;"-",IF('Banco de Dados'!$F260&lt;&gt;"-",IFERROR(_xlfn.XLOOKUP(_xlfn.CONCAT('Banco de Dados'!$A260,IFERROR(IFERROR(VALUE(SUBSTITUTE(MID(_xlfn.TEXTAFTER('Banco de Dados'!$F260,"Data do Pedido:
",1),1,10),"-","/")),VALUE(SUBSTITUTE(MID(_xlfn.TEXTAFTER('Banco de Dados'!$F260,"Order date:
",1),1,10),"-","/"))),0)),ProxyDD[Chave],ProxyDD[Valor por pedido]),PROXY!$P$2),0),0)</f>
        <v>0</v>
      </c>
      <c r="AP260" s="28">
        <f ca="1">IF('Banco de Dados'!$AK260&lt;&gt;"-",IF('Banco de Dados'!$AL260="NÃO",IFERROR(VALUE(SUBSTITUTE(_xlfn.TEXTAFTER('Banco de Dados'!$F260,"BRL ",1),".",",")),0),0),0)</f>
        <v>0</v>
      </c>
      <c r="AQ260" s="28">
        <f ca="1">SUM('Banco de Dados'!$AM260:$AP260)</f>
        <v>0</v>
      </c>
      <c r="AR260" s="8"/>
      <c r="AS260" s="8"/>
      <c r="AY260" s="8"/>
    </row>
    <row r="261" spans="1:51">
      <c r="A261" s="5" t="str">
        <v>BV</v>
      </c>
      <c r="B261" s="5" t="str">
        <f ca="1"/>
        <v>BV45600</v>
      </c>
      <c r="C261" s="8" t="str">
        <v>Pedido 258</v>
      </c>
      <c r="D261" s="9">
        <v>45600</v>
      </c>
      <c r="E261" s="9">
        <v>45600</v>
      </c>
      <c r="F261" s="8" t="str">
        <v>PedidoF251</v>
      </c>
      <c r="G261" s="2" t="str">
        <v>CódRastreio251</v>
      </c>
      <c r="H261" s="5">
        <v>1</v>
      </c>
      <c r="I261" s="182" t="str">
        <v>CPF 254</v>
      </c>
      <c r="J261" s="2" t="str">
        <v>Nome 254</v>
      </c>
      <c r="K261" s="8" t="str">
        <v>Tel 254</v>
      </c>
      <c r="L261" s="2" t="str">
        <v>Cep 254</v>
      </c>
      <c r="M261" s="2" t="str">
        <v>Rua 254</v>
      </c>
      <c r="N261" s="2" t="str">
        <v>Comp 254</v>
      </c>
      <c r="O261" s="2" t="str">
        <v>Bomba d'agua</v>
      </c>
      <c r="P261" s="8" t="str">
        <v>DJ-RO5O-43GF</v>
      </c>
      <c r="Q261" s="4">
        <v>45623</v>
      </c>
      <c r="R261" s="109">
        <v>16.5</v>
      </c>
      <c r="S261" s="11">
        <f ca="1"/>
        <v>16.5</v>
      </c>
      <c r="T261" s="28">
        <f ca="1"/>
        <v>2.31</v>
      </c>
      <c r="U261" s="11">
        <f ca="1"/>
        <v>14.19</v>
      </c>
      <c r="V261" s="11">
        <v>4.99</v>
      </c>
      <c r="W261" s="11">
        <f ca="1"/>
        <v>0.38</v>
      </c>
      <c r="X261" s="11">
        <f ca="1"/>
        <v>0.39877104377104378</v>
      </c>
      <c r="Y261" s="11">
        <v>0</v>
      </c>
      <c r="Z261" s="11">
        <f ca="1"/>
        <v>8.4212289562289548</v>
      </c>
      <c r="AA261" s="11">
        <f ca="1"/>
        <v>4.2106144781144774</v>
      </c>
      <c r="AB261" s="4">
        <f ca="1"/>
        <v>45630</v>
      </c>
      <c r="AC261" s="4">
        <v>45630</v>
      </c>
      <c r="AD261" s="9">
        <v>45637</v>
      </c>
      <c r="AE261" s="9">
        <v>45642</v>
      </c>
      <c r="AF261" s="4" t="str">
        <f t="shared" ca="1" si="4"/>
        <v>2024 12</v>
      </c>
      <c r="AG261" s="8" t="str" cm="1">
        <f t="array" ref="AG261">IFERROR(_xlfn.IFS('Banco de Dados'!#REF!="AG. COMPRA","Em processamento",'Banco de Dados'!#REF!="AG. RASTREIO","Em processamento",'Banco de Dados'!$AE261&lt;&gt;"-","Faturado",'Banco de Dados'!$AD261&lt;&gt;"-","Aguardando Pix",'Banco de Dados'!$AC261&lt;&gt;"-","Pendente"),"Aguardando Liberação")</f>
        <v>Aguardando Liberação</v>
      </c>
      <c r="AH261" s="5" t="str">
        <f>IF('Banco de Dados'!$F261="-",_xlfn.CONCAT(PROPER(TEXT(AK261,"aaaa"))," ",PROPER(TEXT(AK261,"mm"))),_xlfn.CONCAT(PROPER(TEXT(E261,"aaaa"))," ",PROPER(TEXT(E261,"mm"))))</f>
        <v>2024 11</v>
      </c>
      <c r="AI261" s="9" t="str">
        <f ca="1">IF('Banco de Dados'!$AK261&lt;&gt;"-","REEMBOLSO",IFERROR(_xlfn.XLOOKUP(G261,Follow[CODRASTREIO],Follow[STATUS]),"-"))</f>
        <v>ENTREGUE</v>
      </c>
      <c r="AJ261" s="9">
        <f ca="1">IF('Banco de Dados'!$AI261="ENTREGUE",_xlfn.XLOOKUP('Banco de Dados'!$G261,Follow[CODRASTREIO],Follow[DATAATUALIZAÇÃO]),"-")</f>
        <v>45614</v>
      </c>
      <c r="AK261" s="9" t="str">
        <f ca="1"/>
        <v>-</v>
      </c>
      <c r="AL261" s="35" t="str">
        <v>NÃO</v>
      </c>
      <c r="AM261" s="109" cm="1">
        <f t="array" aca="1" ref="AM261" ca="1">IF('Banco de Dados'!$AK261&lt;&gt;"-",_xlfn.IFS('Banco de Dados'!$A261="bv",IF('Banco de Dados'!$E261&lt;45641,ROUND(SUM('Banco de Dados'!$R261*_xlfn.XLOOKUP('Banco de Dados'!$P261,Sku!B:B,Sku!#REF!)*20%),2),ROUND(SUM('Banco de Dados'!$R261*_xlfn.XLOOKUP('Banco de Dados'!$P261,Sku!B:B,Sku!H:H)*20%),2)),'Banco de Dados'!$A261="GO",ROUND(_xlfn.XLOOKUP('Banco de Dados'!$P261,Sku!C:C,Sku!H:H),2),'Banco de Dados'!$A261="MEI",ROUND(_xlfn.XLOOKUP('Banco de Dados'!$P261,Sku!D:D,Sku!H:H),2)),0)</f>
        <v>0</v>
      </c>
      <c r="AN261" s="109">
        <f ca="1">IF('Banco de Dados'!$AK261&lt;&gt;"-",IF('Banco de Dados'!$F261&lt;&gt;"-",_xlfn.XLOOKUP(IFERROR(IFERROR(IFERROR(VALUE(SUBSTITUTE(MID(_xlfn.TEXTAFTER('Banco de Dados'!$F261,"Data do Pedido:
",1),1,10),"-","/")),VALUE(SUBSTITUTE(MID(_xlfn.TEXTAFTER('Banco de Dados'!$F261,"Order date:
",1),1,10),"-","/"))),VALUE(SUBSTITUTE(MID(_xlfn.TEXTAFTER('Banco de Dados'!$F261,"Fecha de pedido:
",1),1,10),"-","/"))),"-"),SMS!A:A,SMS!K:K),0),0)</f>
        <v>0</v>
      </c>
      <c r="AO261" s="109">
        <f ca="1">IF('Banco de Dados'!$AK261&lt;&gt;"-",IF('Banco de Dados'!$F261&lt;&gt;"-",IFERROR(_xlfn.XLOOKUP(_xlfn.CONCAT('Banco de Dados'!$A261,IFERROR(IFERROR(VALUE(SUBSTITUTE(MID(_xlfn.TEXTAFTER('Banco de Dados'!$F261,"Data do Pedido:
",1),1,10),"-","/")),VALUE(SUBSTITUTE(MID(_xlfn.TEXTAFTER('Banco de Dados'!$F261,"Order date:
",1),1,10),"-","/"))),0)),ProxyDD[Chave],ProxyDD[Valor por pedido]),PROXY!$P$2),0),0)</f>
        <v>0</v>
      </c>
      <c r="AP261" s="28">
        <f ca="1">IF('Banco de Dados'!$AK261&lt;&gt;"-",IF('Banco de Dados'!$AL261="NÃO",IFERROR(VALUE(SUBSTITUTE(_xlfn.TEXTAFTER('Banco de Dados'!$F261,"BRL ",1),".",",")),0),0),0)</f>
        <v>0</v>
      </c>
      <c r="AQ261" s="28">
        <f ca="1">SUM('Banco de Dados'!$AM261:$AP261)</f>
        <v>0</v>
      </c>
      <c r="AR261" s="8"/>
      <c r="AS261" s="8"/>
      <c r="AY261" s="8"/>
    </row>
    <row r="262" spans="1:51">
      <c r="A262" s="5" t="str">
        <v>BV</v>
      </c>
      <c r="B262" s="5" t="str">
        <f ca="1"/>
        <v>BV45600</v>
      </c>
      <c r="C262" s="8" t="str">
        <v>Pedido 259</v>
      </c>
      <c r="D262" s="9">
        <v>45600</v>
      </c>
      <c r="E262" s="9">
        <v>45600</v>
      </c>
      <c r="F262" s="8" t="str">
        <v>PedidoF252</v>
      </c>
      <c r="G262" s="2" t="str">
        <v>CódRastreio252</v>
      </c>
      <c r="H262" s="5">
        <v>1</v>
      </c>
      <c r="I262" s="182" t="str">
        <v>CPF 255</v>
      </c>
      <c r="J262" s="2" t="str">
        <v>Nome 255</v>
      </c>
      <c r="K262" s="8" t="str">
        <v>Tel 255</v>
      </c>
      <c r="L262" s="2" t="str">
        <v>Cep 255</v>
      </c>
      <c r="M262" s="2" t="str">
        <v>Rua 255</v>
      </c>
      <c r="N262" s="2" t="str">
        <v>Comp 255</v>
      </c>
      <c r="O262" s="2" t="str">
        <v>Bomba d'agua</v>
      </c>
      <c r="P262" s="8" t="str">
        <v>DJ-RO5O-43GF</v>
      </c>
      <c r="Q262" s="4">
        <v>45623</v>
      </c>
      <c r="R262" s="109">
        <v>16.5</v>
      </c>
      <c r="S262" s="11">
        <f ca="1"/>
        <v>16.5</v>
      </c>
      <c r="T262" s="28">
        <f ca="1"/>
        <v>2.31</v>
      </c>
      <c r="U262" s="11">
        <f ca="1"/>
        <v>14.19</v>
      </c>
      <c r="V262" s="11">
        <v>4.99</v>
      </c>
      <c r="W262" s="11">
        <f ca="1"/>
        <v>0.38</v>
      </c>
      <c r="X262" s="11">
        <f ca="1"/>
        <v>0.39877104377104378</v>
      </c>
      <c r="Y262" s="11">
        <v>0</v>
      </c>
      <c r="Z262" s="11">
        <f ca="1"/>
        <v>8.4212289562289548</v>
      </c>
      <c r="AA262" s="11">
        <f ca="1"/>
        <v>4.2106144781144774</v>
      </c>
      <c r="AB262" s="4">
        <f ca="1"/>
        <v>45630</v>
      </c>
      <c r="AC262" s="4">
        <v>45630</v>
      </c>
      <c r="AD262" s="9">
        <v>45637</v>
      </c>
      <c r="AE262" s="9">
        <v>45642</v>
      </c>
      <c r="AF262" s="4" t="str">
        <f t="shared" ca="1" si="4"/>
        <v>2024 12</v>
      </c>
      <c r="AG262" s="8" t="str" cm="1">
        <f t="array" ref="AG262">IFERROR(_xlfn.IFS('Banco de Dados'!#REF!="AG. COMPRA","Em processamento",'Banco de Dados'!#REF!="AG. RASTREIO","Em processamento",'Banco de Dados'!$AE262&lt;&gt;"-","Faturado",'Banco de Dados'!$AD262&lt;&gt;"-","Aguardando Pix",'Banco de Dados'!$AC262&lt;&gt;"-","Pendente"),"Aguardando Liberação")</f>
        <v>Aguardando Liberação</v>
      </c>
      <c r="AH262" s="5" t="str">
        <f>IF('Banco de Dados'!$F262="-",_xlfn.CONCAT(PROPER(TEXT(AK262,"aaaa"))," ",PROPER(TEXT(AK262,"mm"))),_xlfn.CONCAT(PROPER(TEXT(E262,"aaaa"))," ",PROPER(TEXT(E262,"mm"))))</f>
        <v>2024 11</v>
      </c>
      <c r="AI262" s="9" t="str">
        <f ca="1">IF('Banco de Dados'!$AK262&lt;&gt;"-","REEMBOLSO",IFERROR(_xlfn.XLOOKUP(G262,Follow[CODRASTREIO],Follow[STATUS]),"-"))</f>
        <v>ENTREGUE</v>
      </c>
      <c r="AJ262" s="9">
        <f ca="1">IF('Banco de Dados'!$AI262="ENTREGUE",_xlfn.XLOOKUP('Banco de Dados'!$G262,Follow[CODRASTREIO],Follow[DATAATUALIZAÇÃO]),"-")</f>
        <v>45611</v>
      </c>
      <c r="AK262" s="9" t="str">
        <f ca="1"/>
        <v>-</v>
      </c>
      <c r="AL262" s="35" t="str">
        <v>NÃO</v>
      </c>
      <c r="AM262" s="109" cm="1">
        <f t="array" aca="1" ref="AM262" ca="1">IF('Banco de Dados'!$AK262&lt;&gt;"-",_xlfn.IFS('Banco de Dados'!$A262="bv",IF('Banco de Dados'!$E262&lt;45641,ROUND(SUM('Banco de Dados'!$R262*_xlfn.XLOOKUP('Banco de Dados'!$P262,Sku!B:B,Sku!#REF!)*20%),2),ROUND(SUM('Banco de Dados'!$R262*_xlfn.XLOOKUP('Banco de Dados'!$P262,Sku!B:B,Sku!H:H)*20%),2)),'Banco de Dados'!$A262="GO",ROUND(_xlfn.XLOOKUP('Banco de Dados'!$P262,Sku!C:C,Sku!H:H),2),'Banco de Dados'!$A262="MEI",ROUND(_xlfn.XLOOKUP('Banco de Dados'!$P262,Sku!D:D,Sku!H:H),2)),0)</f>
        <v>0</v>
      </c>
      <c r="AN262" s="109">
        <f ca="1">IF('Banco de Dados'!$AK262&lt;&gt;"-",IF('Banco de Dados'!$F262&lt;&gt;"-",_xlfn.XLOOKUP(IFERROR(IFERROR(IFERROR(VALUE(SUBSTITUTE(MID(_xlfn.TEXTAFTER('Banco de Dados'!$F262,"Data do Pedido:
",1),1,10),"-","/")),VALUE(SUBSTITUTE(MID(_xlfn.TEXTAFTER('Banco de Dados'!$F262,"Order date:
",1),1,10),"-","/"))),VALUE(SUBSTITUTE(MID(_xlfn.TEXTAFTER('Banco de Dados'!$F262,"Fecha de pedido:
",1),1,10),"-","/"))),"-"),SMS!A:A,SMS!K:K),0),0)</f>
        <v>0</v>
      </c>
      <c r="AO262" s="109">
        <f ca="1">IF('Banco de Dados'!$AK262&lt;&gt;"-",IF('Banco de Dados'!$F262&lt;&gt;"-",IFERROR(_xlfn.XLOOKUP(_xlfn.CONCAT('Banco de Dados'!$A262,IFERROR(IFERROR(VALUE(SUBSTITUTE(MID(_xlfn.TEXTAFTER('Banco de Dados'!$F262,"Data do Pedido:
",1),1,10),"-","/")),VALUE(SUBSTITUTE(MID(_xlfn.TEXTAFTER('Banco de Dados'!$F262,"Order date:
",1),1,10),"-","/"))),0)),ProxyDD[Chave],ProxyDD[Valor por pedido]),PROXY!$P$2),0),0)</f>
        <v>0</v>
      </c>
      <c r="AP262" s="28">
        <f ca="1">IF('Banco de Dados'!$AK262&lt;&gt;"-",IF('Banco de Dados'!$AL262="NÃO",IFERROR(VALUE(SUBSTITUTE(_xlfn.TEXTAFTER('Banco de Dados'!$F262,"BRL ",1),".",",")),0),0),0)</f>
        <v>0</v>
      </c>
      <c r="AQ262" s="28">
        <f ca="1">SUM('Banco de Dados'!$AM262:$AP262)</f>
        <v>0</v>
      </c>
      <c r="AR262" s="8"/>
      <c r="AS262" s="8"/>
      <c r="AY262" s="8"/>
    </row>
    <row r="263" spans="1:51">
      <c r="A263" s="5" t="str">
        <v>BV</v>
      </c>
      <c r="B263" s="5" t="str">
        <f ca="1"/>
        <v>BV45601</v>
      </c>
      <c r="C263" s="8" t="str">
        <v>Pedido 260</v>
      </c>
      <c r="D263" s="9">
        <v>45601</v>
      </c>
      <c r="E263" s="9">
        <v>45601</v>
      </c>
      <c r="F263" s="8" t="str">
        <v>PedidoF253</v>
      </c>
      <c r="G263" s="2" t="str">
        <v>CódRastreio253</v>
      </c>
      <c r="H263" s="5">
        <v>1</v>
      </c>
      <c r="I263" s="182" t="str">
        <v>CPF 255</v>
      </c>
      <c r="J263" s="2" t="str">
        <v>Nome 255</v>
      </c>
      <c r="K263" s="8" t="str">
        <v>Tel 255</v>
      </c>
      <c r="L263" s="2" t="str">
        <v>Cep 255</v>
      </c>
      <c r="M263" s="2" t="str">
        <v>Rua 255</v>
      </c>
      <c r="N263" s="2" t="str">
        <v>Comp 255</v>
      </c>
      <c r="O263" s="2" t="str">
        <v>Bomba d'agua</v>
      </c>
      <c r="P263" s="8" t="str">
        <v>DJ-RO5O-43GF</v>
      </c>
      <c r="Q263" s="4">
        <v>45623</v>
      </c>
      <c r="R263" s="109">
        <v>16.5</v>
      </c>
      <c r="S263" s="11">
        <f ca="1"/>
        <v>16.5</v>
      </c>
      <c r="T263" s="28">
        <f ca="1"/>
        <v>2.31</v>
      </c>
      <c r="U263" s="11">
        <f ca="1"/>
        <v>14.19</v>
      </c>
      <c r="V263" s="11">
        <v>4.99</v>
      </c>
      <c r="W263" s="11">
        <f ca="1"/>
        <v>0.44</v>
      </c>
      <c r="X263" s="11">
        <f ca="1"/>
        <v>0.39877104377104378</v>
      </c>
      <c r="Y263" s="11">
        <v>0</v>
      </c>
      <c r="Z263" s="11">
        <f ca="1"/>
        <v>8.3612289562289561</v>
      </c>
      <c r="AA263" s="11">
        <f ca="1"/>
        <v>4.1806144781144781</v>
      </c>
      <c r="AB263" s="4">
        <f ca="1"/>
        <v>45630</v>
      </c>
      <c r="AC263" s="4">
        <v>45630</v>
      </c>
      <c r="AD263" s="9">
        <v>45637</v>
      </c>
      <c r="AE263" s="9">
        <v>45642</v>
      </c>
      <c r="AF263" s="4" t="str">
        <f t="shared" ca="1" si="4"/>
        <v>2024 12</v>
      </c>
      <c r="AG263" s="8" t="str" cm="1">
        <f t="array" ref="AG263">IFERROR(_xlfn.IFS('Banco de Dados'!#REF!="AG. COMPRA","Em processamento",'Banco de Dados'!#REF!="AG. RASTREIO","Em processamento",'Banco de Dados'!$AE263&lt;&gt;"-","Faturado",'Banco de Dados'!$AD263&lt;&gt;"-","Aguardando Pix",'Banco de Dados'!$AC263&lt;&gt;"-","Pendente"),"Aguardando Liberação")</f>
        <v>Aguardando Liberação</v>
      </c>
      <c r="AH263" s="5" t="str">
        <f>IF('Banco de Dados'!$F263="-",_xlfn.CONCAT(PROPER(TEXT(AK263,"aaaa"))," ",PROPER(TEXT(AK263,"mm"))),_xlfn.CONCAT(PROPER(TEXT(E263,"aaaa"))," ",PROPER(TEXT(E263,"mm"))))</f>
        <v>2024 11</v>
      </c>
      <c r="AI263" s="9" t="str">
        <f ca="1">IF('Banco de Dados'!$AK263&lt;&gt;"-","REEMBOLSO",IFERROR(_xlfn.XLOOKUP(G263,Follow[CODRASTREIO],Follow[STATUS]),"-"))</f>
        <v>ENTREGUE</v>
      </c>
      <c r="AJ263" s="9">
        <f ca="1">IF('Banco de Dados'!$AI263="ENTREGUE",_xlfn.XLOOKUP('Banco de Dados'!$G263,Follow[CODRASTREIO],Follow[DATAATUALIZAÇÃO]),"-")</f>
        <v>45611</v>
      </c>
      <c r="AK263" s="9" t="str">
        <f ca="1"/>
        <v>-</v>
      </c>
      <c r="AL263" s="35" t="str">
        <v>NÃO</v>
      </c>
      <c r="AM263" s="109" cm="1">
        <f t="array" aca="1" ref="AM263" ca="1">IF('Banco de Dados'!$AK263&lt;&gt;"-",_xlfn.IFS('Banco de Dados'!$A263="bv",IF('Banco de Dados'!$E263&lt;45641,ROUND(SUM('Banco de Dados'!$R263*_xlfn.XLOOKUP('Banco de Dados'!$P263,Sku!B:B,Sku!#REF!)*20%),2),ROUND(SUM('Banco de Dados'!$R263*_xlfn.XLOOKUP('Banco de Dados'!$P263,Sku!B:B,Sku!H:H)*20%),2)),'Banco de Dados'!$A263="GO",ROUND(_xlfn.XLOOKUP('Banco de Dados'!$P263,Sku!C:C,Sku!H:H),2),'Banco de Dados'!$A263="MEI",ROUND(_xlfn.XLOOKUP('Banco de Dados'!$P263,Sku!D:D,Sku!H:H),2)),0)</f>
        <v>0</v>
      </c>
      <c r="AN263" s="109">
        <f ca="1">IF('Banco de Dados'!$AK263&lt;&gt;"-",IF('Banco de Dados'!$F263&lt;&gt;"-",_xlfn.XLOOKUP(IFERROR(IFERROR(IFERROR(VALUE(SUBSTITUTE(MID(_xlfn.TEXTAFTER('Banco de Dados'!$F263,"Data do Pedido:
",1),1,10),"-","/")),VALUE(SUBSTITUTE(MID(_xlfn.TEXTAFTER('Banco de Dados'!$F263,"Order date:
",1),1,10),"-","/"))),VALUE(SUBSTITUTE(MID(_xlfn.TEXTAFTER('Banco de Dados'!$F263,"Fecha de pedido:
",1),1,10),"-","/"))),"-"),SMS!A:A,SMS!K:K),0),0)</f>
        <v>0</v>
      </c>
      <c r="AO263" s="109">
        <f ca="1">IF('Banco de Dados'!$AK263&lt;&gt;"-",IF('Banco de Dados'!$F263&lt;&gt;"-",IFERROR(_xlfn.XLOOKUP(_xlfn.CONCAT('Banco de Dados'!$A263,IFERROR(IFERROR(VALUE(SUBSTITUTE(MID(_xlfn.TEXTAFTER('Banco de Dados'!$F263,"Data do Pedido:
",1),1,10),"-","/")),VALUE(SUBSTITUTE(MID(_xlfn.TEXTAFTER('Banco de Dados'!$F263,"Order date:
",1),1,10),"-","/"))),0)),ProxyDD[Chave],ProxyDD[Valor por pedido]),PROXY!$P$2),0),0)</f>
        <v>0</v>
      </c>
      <c r="AP263" s="28">
        <f ca="1">IF('Banco de Dados'!$AK263&lt;&gt;"-",IF('Banco de Dados'!$AL263="NÃO",IFERROR(VALUE(SUBSTITUTE(_xlfn.TEXTAFTER('Banco de Dados'!$F263,"BRL ",1),".",",")),0),0),0)</f>
        <v>0</v>
      </c>
      <c r="AQ263" s="28">
        <f ca="1">SUM('Banco de Dados'!$AM263:$AP263)</f>
        <v>0</v>
      </c>
      <c r="AR263" s="8"/>
      <c r="AS263" s="8"/>
      <c r="AY263" s="8"/>
    </row>
    <row r="264" spans="1:51">
      <c r="A264" s="5" t="str">
        <v>BV</v>
      </c>
      <c r="B264" s="5" t="str">
        <f ca="1"/>
        <v>BV45600</v>
      </c>
      <c r="C264" s="8" t="str">
        <v>Pedido 261</v>
      </c>
      <c r="D264" s="9">
        <v>45600</v>
      </c>
      <c r="E264" s="9">
        <v>45600</v>
      </c>
      <c r="F264" s="8" t="str">
        <v>PedidoF254</v>
      </c>
      <c r="G264" s="2" t="str">
        <v>CódRastreio254</v>
      </c>
      <c r="H264" s="5">
        <v>1</v>
      </c>
      <c r="I264" s="182" t="str">
        <v>CPF 256</v>
      </c>
      <c r="J264" s="2" t="str">
        <v>Nome 256</v>
      </c>
      <c r="K264" s="8" t="str">
        <v>Tel 256</v>
      </c>
      <c r="L264" s="2" t="str">
        <v>Cep 256</v>
      </c>
      <c r="M264" s="2" t="str">
        <v>Rua 256</v>
      </c>
      <c r="N264" s="2" t="str">
        <v>Comp 256</v>
      </c>
      <c r="O264" s="2" t="str">
        <v>Bomba d'agua</v>
      </c>
      <c r="P264" s="8" t="str">
        <v>DJ-RO5O-43GF</v>
      </c>
      <c r="Q264" s="4">
        <v>45629</v>
      </c>
      <c r="R264" s="109">
        <v>16.5</v>
      </c>
      <c r="S264" s="11">
        <f ca="1"/>
        <v>0</v>
      </c>
      <c r="T264" s="28">
        <f ca="1"/>
        <v>0</v>
      </c>
      <c r="U264" s="11">
        <f ca="1"/>
        <v>0</v>
      </c>
      <c r="V264" s="11">
        <v>0</v>
      </c>
      <c r="W264" s="11">
        <f ca="1"/>
        <v>0</v>
      </c>
      <c r="X264" s="11">
        <f ca="1"/>
        <v>0.39877104377104378</v>
      </c>
      <c r="Y264" s="11">
        <v>0</v>
      </c>
      <c r="Z264" s="11">
        <f ca="1"/>
        <v>-0.39877104377104378</v>
      </c>
      <c r="AA264" s="11">
        <f ca="1"/>
        <v>-0.19938552188552189</v>
      </c>
      <c r="AB264" s="4">
        <f ca="1"/>
        <v>45636</v>
      </c>
      <c r="AC264" s="4">
        <v>45636</v>
      </c>
      <c r="AD264" s="9">
        <v>45637</v>
      </c>
      <c r="AE264" s="9">
        <v>45642</v>
      </c>
      <c r="AF264" s="4" t="str">
        <f t="shared" ca="1" si="4"/>
        <v>2024 12</v>
      </c>
      <c r="AG264" s="8" t="str" cm="1">
        <f t="array" ref="AG264">IFERROR(_xlfn.IFS('Banco de Dados'!#REF!="AG. COMPRA","Em processamento",'Banco de Dados'!#REF!="AG. RASTREIO","Em processamento",'Banco de Dados'!$AE264&lt;&gt;"-","Faturado",'Banco de Dados'!$AD264&lt;&gt;"-","Aguardando Pix",'Banco de Dados'!$AC264&lt;&gt;"-","Pendente"),"Aguardando Liberação")</f>
        <v>Aguardando Liberação</v>
      </c>
      <c r="AH264" s="5" t="str">
        <f>IF('Banco de Dados'!$F264="-",_xlfn.CONCAT(PROPER(TEXT(AK264,"aaaa"))," ",PROPER(TEXT(AK264,"mm"))),_xlfn.CONCAT(PROPER(TEXT(E264,"aaaa"))," ",PROPER(TEXT(E264,"mm"))))</f>
        <v>2024 11</v>
      </c>
      <c r="AI264" s="9" t="str">
        <f ca="1">IF('Banco de Dados'!$AK264&lt;&gt;"-","REEMBOLSO",IFERROR(_xlfn.XLOOKUP(G264,Follow[CODRASTREIO],Follow[STATUS]),"-"))</f>
        <v>REEMBOLSO</v>
      </c>
      <c r="AJ264" s="9" t="str">
        <f ca="1">IF('Banco de Dados'!$AI264="ENTREGUE",_xlfn.XLOOKUP('Banco de Dados'!$G264,Follow[CODRASTREIO],Follow[DATAATUALIZAÇÃO]),"-")</f>
        <v>-</v>
      </c>
      <c r="AK264" s="9">
        <f ca="1"/>
        <v>45622</v>
      </c>
      <c r="AL264" s="35" t="str">
        <v>NÃO</v>
      </c>
      <c r="AM264" s="109" t="e" cm="1">
        <f t="array" aca="1" ref="AM264" ca="1">IF('Banco de Dados'!$AK264&lt;&gt;"-",_xlfn.IFS('Banco de Dados'!$A264="bv",IF('Banco de Dados'!$E264&lt;45641,ROUND(SUM('Banco de Dados'!$R264*_xlfn.XLOOKUP('Banco de Dados'!$P264,Sku!B:B,Sku!#REF!)*20%),2),ROUND(SUM('Banco de Dados'!$R264*_xlfn.XLOOKUP('Banco de Dados'!$P264,Sku!B:B,Sku!H:H)*20%),2)),'Banco de Dados'!$A264="GO",ROUND(_xlfn.XLOOKUP('Banco de Dados'!$P264,Sku!C:C,Sku!H:H),2),'Banco de Dados'!$A264="MEI",ROUND(_xlfn.XLOOKUP('Banco de Dados'!$P264,Sku!D:D,Sku!H:H),2)),0)</f>
        <v>#REF!</v>
      </c>
      <c r="AN264" s="109" t="e">
        <f ca="1">IF('Banco de Dados'!$AK264&lt;&gt;"-",IF('Banco de Dados'!$F264&lt;&gt;"-",_xlfn.XLOOKUP(IFERROR(IFERROR(IFERROR(VALUE(SUBSTITUTE(MID(_xlfn.TEXTAFTER('Banco de Dados'!$F264,"Data do Pedido:
",1),1,10),"-","/")),VALUE(SUBSTITUTE(MID(_xlfn.TEXTAFTER('Banco de Dados'!$F264,"Order date:
",1),1,10),"-","/"))),VALUE(SUBSTITUTE(MID(_xlfn.TEXTAFTER('Banco de Dados'!$F264,"Fecha de pedido:
",1),1,10),"-","/"))),"-"),SMS!A:A,SMS!K:K),0),0)</f>
        <v>#N/A</v>
      </c>
      <c r="AO264" s="109">
        <f ca="1">IF('Banco de Dados'!$AK264&lt;&gt;"-",IF('Banco de Dados'!$F264&lt;&gt;"-",IFERROR(_xlfn.XLOOKUP(_xlfn.CONCAT('Banco de Dados'!$A264,IFERROR(IFERROR(VALUE(SUBSTITUTE(MID(_xlfn.TEXTAFTER('Banco de Dados'!$F264,"Data do Pedido:
",1),1,10),"-","/")),VALUE(SUBSTITUTE(MID(_xlfn.TEXTAFTER('Banco de Dados'!$F264,"Order date:
",1),1,10),"-","/"))),0)),ProxyDD[Chave],ProxyDD[Valor por pedido]),PROXY!$P$2),0),0)</f>
        <v>0.39877104377104378</v>
      </c>
      <c r="AP264" s="28">
        <v>3.71</v>
      </c>
      <c r="AQ264" s="28" t="e">
        <f ca="1">SUM('Banco de Dados'!$AM264:$AP264)</f>
        <v>#REF!</v>
      </c>
      <c r="AR264" s="8"/>
      <c r="AS264" s="8"/>
      <c r="AY264" s="8"/>
    </row>
    <row r="265" spans="1:51">
      <c r="A265" s="5" t="str">
        <v>BV</v>
      </c>
      <c r="B265" s="5" t="str">
        <f ca="1"/>
        <v>BV45600</v>
      </c>
      <c r="C265" s="8" t="str">
        <v>Pedido 262</v>
      </c>
      <c r="D265" s="9">
        <v>45600</v>
      </c>
      <c r="E265" s="9">
        <v>45600</v>
      </c>
      <c r="F265" s="8" t="str">
        <v>PedidoF255</v>
      </c>
      <c r="G265" s="2" t="str">
        <v>CódRastreio255</v>
      </c>
      <c r="H265" s="5">
        <v>1</v>
      </c>
      <c r="I265" s="182" t="str">
        <v>CPF 257</v>
      </c>
      <c r="J265" s="2" t="str">
        <v>Nome 257</v>
      </c>
      <c r="K265" s="8" t="str">
        <v>Tel 257</v>
      </c>
      <c r="L265" s="2" t="str">
        <v>Cep 257</v>
      </c>
      <c r="M265" s="2" t="str">
        <v>Rua 257</v>
      </c>
      <c r="N265" s="2" t="str">
        <v>Comp 257</v>
      </c>
      <c r="O265" s="2" t="str">
        <v>Ventilador Rosa</v>
      </c>
      <c r="P265" s="8" t="str">
        <v>IF-G2ZQ-79FO</v>
      </c>
      <c r="Q265" s="4">
        <v>45623</v>
      </c>
      <c r="R265" s="109">
        <v>44.5</v>
      </c>
      <c r="S265" s="11">
        <f ca="1"/>
        <v>44.5</v>
      </c>
      <c r="T265" s="28">
        <f ca="1"/>
        <v>5.7850000000000001</v>
      </c>
      <c r="U265" s="11">
        <f ca="1"/>
        <v>38.72</v>
      </c>
      <c r="V265" s="11">
        <v>7.31</v>
      </c>
      <c r="W265" s="11">
        <f ca="1"/>
        <v>0.38</v>
      </c>
      <c r="X265" s="11">
        <f ca="1"/>
        <v>0.39877104377104378</v>
      </c>
      <c r="Y265" s="11">
        <v>0</v>
      </c>
      <c r="Z265" s="11">
        <f ca="1"/>
        <v>30.631228956228956</v>
      </c>
      <c r="AA265" s="11">
        <f ca="1"/>
        <v>15.315614478114478</v>
      </c>
      <c r="AB265" s="4">
        <f ca="1"/>
        <v>45630</v>
      </c>
      <c r="AC265" s="4">
        <v>45630</v>
      </c>
      <c r="AD265" s="9">
        <v>45637</v>
      </c>
      <c r="AE265" s="9">
        <v>45642</v>
      </c>
      <c r="AF265" s="4" t="str">
        <f t="shared" ca="1" si="4"/>
        <v>2024 12</v>
      </c>
      <c r="AG265" s="8" t="str" cm="1">
        <f t="array" ref="AG265">IFERROR(_xlfn.IFS('Banco de Dados'!#REF!="AG. COMPRA","Em processamento",'Banco de Dados'!#REF!="AG. RASTREIO","Em processamento",'Banco de Dados'!$AE265&lt;&gt;"-","Faturado",'Banco de Dados'!$AD265&lt;&gt;"-","Aguardando Pix",'Banco de Dados'!$AC265&lt;&gt;"-","Pendente"),"Aguardando Liberação")</f>
        <v>Aguardando Liberação</v>
      </c>
      <c r="AH265" s="5" t="str">
        <f>IF('Banco de Dados'!$F265="-",_xlfn.CONCAT(PROPER(TEXT(AK265,"aaaa"))," ",PROPER(TEXT(AK265,"mm"))),_xlfn.CONCAT(PROPER(TEXT(E265,"aaaa"))," ",PROPER(TEXT(E265,"mm"))))</f>
        <v>2024 11</v>
      </c>
      <c r="AI265" s="9" t="str">
        <f ca="1">IF('Banco de Dados'!$AK265&lt;&gt;"-","REEMBOLSO",IFERROR(_xlfn.XLOOKUP(G265,Follow[CODRASTREIO],Follow[STATUS]),"-"))</f>
        <v>ENTREGUE</v>
      </c>
      <c r="AJ265" s="9">
        <f ca="1">IF('Banco de Dados'!$AI265="ENTREGUE",_xlfn.XLOOKUP('Banco de Dados'!$G265,Follow[CODRASTREIO],Follow[DATAATUALIZAÇÃO]),"-")</f>
        <v>45609</v>
      </c>
      <c r="AK265" s="9" t="str">
        <f ca="1"/>
        <v>-</v>
      </c>
      <c r="AL265" s="35" t="str">
        <v>NÃO</v>
      </c>
      <c r="AM265" s="109" cm="1">
        <f t="array" aca="1" ref="AM265" ca="1">IF('Banco de Dados'!$AK265&lt;&gt;"-",_xlfn.IFS('Banco de Dados'!$A265="bv",IF('Banco de Dados'!$E265&lt;45641,ROUND(SUM('Banco de Dados'!$R265*_xlfn.XLOOKUP('Banco de Dados'!$P265,Sku!B:B,Sku!#REF!)*20%),2),ROUND(SUM('Banco de Dados'!$R265*_xlfn.XLOOKUP('Banco de Dados'!$P265,Sku!B:B,Sku!H:H)*20%),2)),'Banco de Dados'!$A265="GO",ROUND(_xlfn.XLOOKUP('Banco de Dados'!$P265,Sku!C:C,Sku!H:H),2),'Banco de Dados'!$A265="MEI",ROUND(_xlfn.XLOOKUP('Banco de Dados'!$P265,Sku!D:D,Sku!H:H),2)),0)</f>
        <v>0</v>
      </c>
      <c r="AN265" s="109">
        <f ca="1">IF('Banco de Dados'!$AK265&lt;&gt;"-",IF('Banco de Dados'!$F265&lt;&gt;"-",_xlfn.XLOOKUP(IFERROR(IFERROR(IFERROR(VALUE(SUBSTITUTE(MID(_xlfn.TEXTAFTER('Banco de Dados'!$F265,"Data do Pedido:
",1),1,10),"-","/")),VALUE(SUBSTITUTE(MID(_xlfn.TEXTAFTER('Banco de Dados'!$F265,"Order date:
",1),1,10),"-","/"))),VALUE(SUBSTITUTE(MID(_xlfn.TEXTAFTER('Banco de Dados'!$F265,"Fecha de pedido:
",1),1,10),"-","/"))),"-"),SMS!A:A,SMS!K:K),0),0)</f>
        <v>0</v>
      </c>
      <c r="AO265" s="109">
        <f ca="1">IF('Banco de Dados'!$AK265&lt;&gt;"-",IF('Banco de Dados'!$F265&lt;&gt;"-",IFERROR(_xlfn.XLOOKUP(_xlfn.CONCAT('Banco de Dados'!$A265,IFERROR(IFERROR(VALUE(SUBSTITUTE(MID(_xlfn.TEXTAFTER('Banco de Dados'!$F265,"Data do Pedido:
",1),1,10),"-","/")),VALUE(SUBSTITUTE(MID(_xlfn.TEXTAFTER('Banco de Dados'!$F265,"Order date:
",1),1,10),"-","/"))),0)),ProxyDD[Chave],ProxyDD[Valor por pedido]),PROXY!$P$2),0),0)</f>
        <v>0</v>
      </c>
      <c r="AP265" s="28">
        <f ca="1">IF('Banco de Dados'!$AK265&lt;&gt;"-",IF('Banco de Dados'!$AL265="NÃO",IFERROR(VALUE(SUBSTITUTE(_xlfn.TEXTAFTER('Banco de Dados'!$F265,"BRL ",1),".",",")),0),0),0)</f>
        <v>0</v>
      </c>
      <c r="AQ265" s="28">
        <f ca="1">SUM('Banco de Dados'!$AM265:$AP265)</f>
        <v>0</v>
      </c>
      <c r="AR265" s="8"/>
      <c r="AS265" s="8"/>
      <c r="AY265" s="8"/>
    </row>
    <row r="266" spans="1:51">
      <c r="A266" s="5" t="str">
        <v>BV</v>
      </c>
      <c r="B266" s="5" t="str">
        <f ca="1"/>
        <v>BV45601</v>
      </c>
      <c r="C266" s="8" t="str">
        <v>Pedido 263</v>
      </c>
      <c r="D266" s="9">
        <v>45601</v>
      </c>
      <c r="E266" s="9">
        <v>45601</v>
      </c>
      <c r="F266" s="8" t="str">
        <v>PedidoF256</v>
      </c>
      <c r="G266" s="2" t="str">
        <v>CódRastreio256</v>
      </c>
      <c r="H266" s="5">
        <v>1</v>
      </c>
      <c r="I266" s="182" t="str">
        <v>CPF 258</v>
      </c>
      <c r="J266" s="2" t="str">
        <v>Nome 258</v>
      </c>
      <c r="K266" s="8" t="str">
        <v>Tel 258</v>
      </c>
      <c r="L266" s="2" t="str">
        <v>Cep 258</v>
      </c>
      <c r="M266" s="2" t="str">
        <v>Rua 258</v>
      </c>
      <c r="N266" s="2" t="str">
        <v>Comp 258</v>
      </c>
      <c r="O266" s="2" t="str">
        <v>Garrafa Termica</v>
      </c>
      <c r="P266" s="8" t="str">
        <v>FM-QQ8Y-RZT4</v>
      </c>
      <c r="Q266" s="4">
        <v>45616</v>
      </c>
      <c r="R266" s="109">
        <v>18.5</v>
      </c>
      <c r="S266" s="11">
        <f ca="1"/>
        <v>18.5</v>
      </c>
      <c r="T266" s="28">
        <f ca="1"/>
        <v>2.4050000000000002</v>
      </c>
      <c r="U266" s="11">
        <f ca="1"/>
        <v>16.100000000000001</v>
      </c>
      <c r="V266" s="11">
        <v>10.8</v>
      </c>
      <c r="W266" s="11">
        <f ca="1"/>
        <v>0.44</v>
      </c>
      <c r="X266" s="11">
        <f ca="1"/>
        <v>0.39877104377104378</v>
      </c>
      <c r="Y266" s="11">
        <v>0</v>
      </c>
      <c r="Z266" s="11">
        <f ca="1"/>
        <v>4.4612289562289575</v>
      </c>
      <c r="AA266" s="11">
        <f ca="1"/>
        <v>2.2306144781144788</v>
      </c>
      <c r="AB266" s="4">
        <f ca="1"/>
        <v>45623</v>
      </c>
      <c r="AC266" s="4">
        <v>45623</v>
      </c>
      <c r="AD266" s="9">
        <v>45625</v>
      </c>
      <c r="AE266" s="9">
        <v>45625</v>
      </c>
      <c r="AF266" s="4" t="str">
        <f t="shared" ca="1" si="4"/>
        <v>2024 11</v>
      </c>
      <c r="AG266" s="8" t="str" cm="1">
        <f t="array" ref="AG266">IFERROR(_xlfn.IFS('Banco de Dados'!#REF!="AG. COMPRA","Em processamento",'Banco de Dados'!#REF!="AG. RASTREIO","Em processamento",'Banco de Dados'!$AE266&lt;&gt;"-","Faturado",'Banco de Dados'!$AD266&lt;&gt;"-","Aguardando Pix",'Banco de Dados'!$AC266&lt;&gt;"-","Pendente"),"Aguardando Liberação")</f>
        <v>Aguardando Liberação</v>
      </c>
      <c r="AH266" s="5" t="str">
        <f>IF('Banco de Dados'!$F266="-",_xlfn.CONCAT(PROPER(TEXT(AK266,"aaaa"))," ",PROPER(TEXT(AK266,"mm"))),_xlfn.CONCAT(PROPER(TEXT(E266,"aaaa"))," ",PROPER(TEXT(E266,"mm"))))</f>
        <v>2024 11</v>
      </c>
      <c r="AI266" s="9" t="str">
        <f ca="1">IF('Banco de Dados'!$AK266&lt;&gt;"-","REEMBOLSO",IFERROR(_xlfn.XLOOKUP(G266,Follow[CODRASTREIO],Follow[STATUS]),"-"))</f>
        <v>ENTREGUE</v>
      </c>
      <c r="AJ266" s="9">
        <f ca="1">IF('Banco de Dados'!$AI266="ENTREGUE",_xlfn.XLOOKUP('Banco de Dados'!$G266,Follow[CODRASTREIO],Follow[DATAATUALIZAÇÃO]),"-")</f>
        <v>45605</v>
      </c>
      <c r="AK266" s="9" t="str">
        <f ca="1"/>
        <v>-</v>
      </c>
      <c r="AL266" s="35" t="str">
        <v>NÃO</v>
      </c>
      <c r="AM266" s="109" cm="1">
        <f t="array" aca="1" ref="AM266" ca="1">IF('Banco de Dados'!$AK266&lt;&gt;"-",_xlfn.IFS('Banco de Dados'!$A266="bv",IF('Banco de Dados'!$E266&lt;45641,ROUND(SUM('Banco de Dados'!$R266*_xlfn.XLOOKUP('Banco de Dados'!$P266,Sku!B:B,Sku!#REF!)*20%),2),ROUND(SUM('Banco de Dados'!$R266*_xlfn.XLOOKUP('Banco de Dados'!$P266,Sku!B:B,Sku!H:H)*20%),2)),'Banco de Dados'!$A266="GO",ROUND(_xlfn.XLOOKUP('Banco de Dados'!$P266,Sku!C:C,Sku!H:H),2),'Banco de Dados'!$A266="MEI",ROUND(_xlfn.XLOOKUP('Banco de Dados'!$P266,Sku!D:D,Sku!H:H),2)),0)</f>
        <v>0</v>
      </c>
      <c r="AN266" s="109">
        <f ca="1">IF('Banco de Dados'!$AK266&lt;&gt;"-",IF('Banco de Dados'!$F266&lt;&gt;"-",_xlfn.XLOOKUP(IFERROR(IFERROR(IFERROR(VALUE(SUBSTITUTE(MID(_xlfn.TEXTAFTER('Banco de Dados'!$F266,"Data do Pedido:
",1),1,10),"-","/")),VALUE(SUBSTITUTE(MID(_xlfn.TEXTAFTER('Banco de Dados'!$F266,"Order date:
",1),1,10),"-","/"))),VALUE(SUBSTITUTE(MID(_xlfn.TEXTAFTER('Banco de Dados'!$F266,"Fecha de pedido:
",1),1,10),"-","/"))),"-"),SMS!A:A,SMS!K:K),0),0)</f>
        <v>0</v>
      </c>
      <c r="AO266" s="109">
        <f ca="1">IF('Banco de Dados'!$AK266&lt;&gt;"-",IF('Banco de Dados'!$F266&lt;&gt;"-",IFERROR(_xlfn.XLOOKUP(_xlfn.CONCAT('Banco de Dados'!$A266,IFERROR(IFERROR(VALUE(SUBSTITUTE(MID(_xlfn.TEXTAFTER('Banco de Dados'!$F266,"Data do Pedido:
",1),1,10),"-","/")),VALUE(SUBSTITUTE(MID(_xlfn.TEXTAFTER('Banco de Dados'!$F266,"Order date:
",1),1,10),"-","/"))),0)),ProxyDD[Chave],ProxyDD[Valor por pedido]),PROXY!$P$2),0),0)</f>
        <v>0</v>
      </c>
      <c r="AP266" s="28">
        <f ca="1">IF('Banco de Dados'!$AK266&lt;&gt;"-",IF('Banco de Dados'!$AL266="NÃO",IFERROR(VALUE(SUBSTITUTE(_xlfn.TEXTAFTER('Banco de Dados'!$F266,"BRL ",1),".",",")),0),0),0)</f>
        <v>0</v>
      </c>
      <c r="AQ266" s="28">
        <f ca="1">SUM('Banco de Dados'!$AM266:$AP266)</f>
        <v>0</v>
      </c>
      <c r="AR266" s="8"/>
      <c r="AS266" s="8"/>
      <c r="AY266" s="8"/>
    </row>
    <row r="267" spans="1:51">
      <c r="A267" s="5" t="str">
        <v>BV</v>
      </c>
      <c r="B267" s="5" t="str">
        <f ca="1"/>
        <v>BV45600</v>
      </c>
      <c r="C267" s="8" t="str">
        <v>Pedido 264</v>
      </c>
      <c r="D267" s="9">
        <v>45600</v>
      </c>
      <c r="E267" s="9">
        <v>45600</v>
      </c>
      <c r="F267" s="8" t="str">
        <v>PedidoF257</v>
      </c>
      <c r="G267" s="2" t="str">
        <v>CódRastreio257</v>
      </c>
      <c r="H267" s="5">
        <v>1</v>
      </c>
      <c r="I267" s="182" t="str">
        <v>CPF 259</v>
      </c>
      <c r="J267" s="2" t="str">
        <v>Nome 259</v>
      </c>
      <c r="K267" s="8" t="str">
        <v>Tel 259</v>
      </c>
      <c r="L267" s="2" t="str">
        <v>Cep 259</v>
      </c>
      <c r="M267" s="2" t="str">
        <v>Rua 259</v>
      </c>
      <c r="N267" s="2" t="str">
        <v>Comp 259</v>
      </c>
      <c r="O267" s="2" t="str">
        <v>Multi Processador 5 Laminas</v>
      </c>
      <c r="P267" s="8" t="str">
        <v>T9-P952-TL6A</v>
      </c>
      <c r="Q267" s="4">
        <v>45629</v>
      </c>
      <c r="R267" s="109">
        <v>23.8</v>
      </c>
      <c r="S267" s="11">
        <f ca="1"/>
        <v>23.8</v>
      </c>
      <c r="T267" s="28">
        <f ca="1"/>
        <v>3.0940000000000003</v>
      </c>
      <c r="U267" s="11">
        <f ca="1"/>
        <v>20.71</v>
      </c>
      <c r="V267" s="11">
        <v>10.039999999999999</v>
      </c>
      <c r="W267" s="11">
        <f ca="1"/>
        <v>0.38</v>
      </c>
      <c r="X267" s="11">
        <f ca="1"/>
        <v>0.39877104377104378</v>
      </c>
      <c r="Y267" s="11">
        <v>0</v>
      </c>
      <c r="Z267" s="11">
        <f ca="1"/>
        <v>9.8912289562289573</v>
      </c>
      <c r="AA267" s="11">
        <f ca="1"/>
        <v>4.9456144781144786</v>
      </c>
      <c r="AB267" s="4">
        <f ca="1"/>
        <v>45636</v>
      </c>
      <c r="AC267" s="4">
        <v>45636</v>
      </c>
      <c r="AD267" s="9">
        <v>45637</v>
      </c>
      <c r="AE267" s="9">
        <v>45642</v>
      </c>
      <c r="AF267" s="4" t="str">
        <f t="shared" ca="1" si="4"/>
        <v>2024 12</v>
      </c>
      <c r="AG267" s="8" t="str" cm="1">
        <f t="array" ref="AG267">IFERROR(_xlfn.IFS('Banco de Dados'!#REF!="AG. COMPRA","Em processamento",'Banco de Dados'!#REF!="AG. RASTREIO","Em processamento",'Banco de Dados'!$AE267&lt;&gt;"-","Faturado",'Banco de Dados'!$AD267&lt;&gt;"-","Aguardando Pix",'Banco de Dados'!$AC267&lt;&gt;"-","Pendente"),"Aguardando Liberação")</f>
        <v>Aguardando Liberação</v>
      </c>
      <c r="AH267" s="5" t="str">
        <f>IF('Banco de Dados'!$F267="-",_xlfn.CONCAT(PROPER(TEXT(AK267,"aaaa"))," ",PROPER(TEXT(AK267,"mm"))),_xlfn.CONCAT(PROPER(TEXT(E267,"aaaa"))," ",PROPER(TEXT(E267,"mm"))))</f>
        <v>2024 11</v>
      </c>
      <c r="AI267" s="9" t="str">
        <f ca="1">IF('Banco de Dados'!$AK267&lt;&gt;"-","REEMBOLSO",IFERROR(_xlfn.XLOOKUP(G267,Follow[CODRASTREIO],Follow[STATUS]),"-"))</f>
        <v>ENTREGUE</v>
      </c>
      <c r="AJ267" s="9">
        <f ca="1">IF('Banco de Dados'!$AI267="ENTREGUE",_xlfn.XLOOKUP('Banco de Dados'!$G267,Follow[CODRASTREIO],Follow[DATAATUALIZAÇÃO]),"-")</f>
        <v>45608</v>
      </c>
      <c r="AK267" s="9" t="str">
        <f ca="1"/>
        <v>-</v>
      </c>
      <c r="AL267" s="35" t="str">
        <v>NÃO</v>
      </c>
      <c r="AM267" s="109" cm="1">
        <f t="array" aca="1" ref="AM267" ca="1">IF('Banco de Dados'!$AK267&lt;&gt;"-",_xlfn.IFS('Banco de Dados'!$A267="bv",IF('Banco de Dados'!$E267&lt;45641,ROUND(SUM('Banco de Dados'!$R267*_xlfn.XLOOKUP('Banco de Dados'!$P267,Sku!B:B,Sku!#REF!)*20%),2),ROUND(SUM('Banco de Dados'!$R267*_xlfn.XLOOKUP('Banco de Dados'!$P267,Sku!B:B,Sku!H:H)*20%),2)),'Banco de Dados'!$A267="GO",ROUND(_xlfn.XLOOKUP('Banco de Dados'!$P267,Sku!C:C,Sku!H:H),2),'Banco de Dados'!$A267="MEI",ROUND(_xlfn.XLOOKUP('Banco de Dados'!$P267,Sku!D:D,Sku!H:H),2)),0)</f>
        <v>0</v>
      </c>
      <c r="AN267" s="109">
        <f ca="1">IF('Banco de Dados'!$AK267&lt;&gt;"-",IF('Banco de Dados'!$F267&lt;&gt;"-",_xlfn.XLOOKUP(IFERROR(IFERROR(IFERROR(VALUE(SUBSTITUTE(MID(_xlfn.TEXTAFTER('Banco de Dados'!$F267,"Data do Pedido:
",1),1,10),"-","/")),VALUE(SUBSTITUTE(MID(_xlfn.TEXTAFTER('Banco de Dados'!$F267,"Order date:
",1),1,10),"-","/"))),VALUE(SUBSTITUTE(MID(_xlfn.TEXTAFTER('Banco de Dados'!$F267,"Fecha de pedido:
",1),1,10),"-","/"))),"-"),SMS!A:A,SMS!K:K),0),0)</f>
        <v>0</v>
      </c>
      <c r="AO267" s="109">
        <f ca="1">IF('Banco de Dados'!$AK267&lt;&gt;"-",IF('Banco de Dados'!$F267&lt;&gt;"-",IFERROR(_xlfn.XLOOKUP(_xlfn.CONCAT('Banco de Dados'!$A267,IFERROR(IFERROR(VALUE(SUBSTITUTE(MID(_xlfn.TEXTAFTER('Banco de Dados'!$F267,"Data do Pedido:
",1),1,10),"-","/")),VALUE(SUBSTITUTE(MID(_xlfn.TEXTAFTER('Banco de Dados'!$F267,"Order date:
",1),1,10),"-","/"))),0)),ProxyDD[Chave],ProxyDD[Valor por pedido]),PROXY!$P$2),0),0)</f>
        <v>0</v>
      </c>
      <c r="AP267" s="28">
        <f ca="1">IF('Banco de Dados'!$AK267&lt;&gt;"-",IF('Banco de Dados'!$AL267="NÃO",IFERROR(VALUE(SUBSTITUTE(_xlfn.TEXTAFTER('Banco de Dados'!$F267,"BRL ",1),".",",")),0),0),0)</f>
        <v>0</v>
      </c>
      <c r="AQ267" s="28">
        <f ca="1">SUM('Banco de Dados'!$AM267:$AP267)</f>
        <v>0</v>
      </c>
      <c r="AR267" s="8"/>
      <c r="AS267" s="8"/>
      <c r="AY267" s="8"/>
    </row>
    <row r="268" spans="1:51">
      <c r="A268" s="5" t="str">
        <v>BV</v>
      </c>
      <c r="B268" s="5" t="str">
        <f ca="1"/>
        <v>BV45600</v>
      </c>
      <c r="C268" s="8" t="str">
        <v>Pedido 265</v>
      </c>
      <c r="D268" s="9">
        <v>45600</v>
      </c>
      <c r="E268" s="9">
        <v>45600</v>
      </c>
      <c r="F268" s="8" t="str">
        <v>PedidoF258</v>
      </c>
      <c r="G268" s="2" t="str">
        <v>CódRastreio258</v>
      </c>
      <c r="H268" s="5">
        <v>1</v>
      </c>
      <c r="I268" s="182" t="str">
        <v>CPF 260</v>
      </c>
      <c r="J268" s="2" t="str">
        <v>Nome 260</v>
      </c>
      <c r="K268" s="8" t="str">
        <v>Tel 260</v>
      </c>
      <c r="L268" s="2" t="str">
        <v>Cep 260</v>
      </c>
      <c r="M268" s="2" t="str">
        <v>Rua 260</v>
      </c>
      <c r="N268" s="2" t="str">
        <v>Comp 260</v>
      </c>
      <c r="O268" s="2" t="str">
        <v>Mini Liquidificador</v>
      </c>
      <c r="P268" s="8" t="str">
        <v>CK-YL6M-P5Y6</v>
      </c>
      <c r="Q268" s="4">
        <v>45616</v>
      </c>
      <c r="R268" s="109">
        <v>30.99</v>
      </c>
      <c r="S268" s="11">
        <f ca="1"/>
        <v>30.99</v>
      </c>
      <c r="T268" s="28">
        <f ca="1"/>
        <v>4.0286999999999997</v>
      </c>
      <c r="U268" s="11">
        <f ca="1"/>
        <v>26.96</v>
      </c>
      <c r="V268" s="11">
        <v>11.99</v>
      </c>
      <c r="W268" s="11">
        <f ca="1"/>
        <v>0.38</v>
      </c>
      <c r="X268" s="11">
        <f ca="1"/>
        <v>0.39877104377104378</v>
      </c>
      <c r="Y268" s="11">
        <v>0</v>
      </c>
      <c r="Z268" s="11">
        <f ca="1"/>
        <v>14.191228956228956</v>
      </c>
      <c r="AA268" s="11">
        <f ca="1"/>
        <v>7.0956144781144781</v>
      </c>
      <c r="AB268" s="4">
        <f ca="1"/>
        <v>45623</v>
      </c>
      <c r="AC268" s="4">
        <v>45623</v>
      </c>
      <c r="AD268" s="9">
        <v>45625</v>
      </c>
      <c r="AE268" s="9">
        <v>45625</v>
      </c>
      <c r="AF268" s="4" t="str">
        <f t="shared" ca="1" si="4"/>
        <v>2024 11</v>
      </c>
      <c r="AG268" s="8" t="str" cm="1">
        <f t="array" ref="AG268">IFERROR(_xlfn.IFS('Banco de Dados'!#REF!="AG. COMPRA","Em processamento",'Banco de Dados'!#REF!="AG. RASTREIO","Em processamento",'Banco de Dados'!$AE268&lt;&gt;"-","Faturado",'Banco de Dados'!$AD268&lt;&gt;"-","Aguardando Pix",'Banco de Dados'!$AC268&lt;&gt;"-","Pendente"),"Aguardando Liberação")</f>
        <v>Aguardando Liberação</v>
      </c>
      <c r="AH268" s="5" t="str">
        <f>IF('Banco de Dados'!$F268="-",_xlfn.CONCAT(PROPER(TEXT(AK268,"aaaa"))," ",PROPER(TEXT(AK268,"mm"))),_xlfn.CONCAT(PROPER(TEXT(E268,"aaaa"))," ",PROPER(TEXT(E268,"mm"))))</f>
        <v>2024 11</v>
      </c>
      <c r="AI268" s="9" t="str">
        <f ca="1">IF('Banco de Dados'!$AK268&lt;&gt;"-","REEMBOLSO",IFERROR(_xlfn.XLOOKUP(G268,Follow[CODRASTREIO],Follow[STATUS]),"-"))</f>
        <v>ENTREGUE</v>
      </c>
      <c r="AJ268" s="9">
        <f ca="1">IF('Banco de Dados'!$AI268="ENTREGUE",_xlfn.XLOOKUP('Banco de Dados'!$G268,Follow[CODRASTREIO],Follow[DATAATUALIZAÇÃO]),"-")</f>
        <v>45607</v>
      </c>
      <c r="AK268" s="9" t="str">
        <f ca="1"/>
        <v>-</v>
      </c>
      <c r="AL268" s="35" t="str">
        <v>NÃO</v>
      </c>
      <c r="AM268" s="109" cm="1">
        <f t="array" aca="1" ref="AM268" ca="1">IF('Banco de Dados'!$AK268&lt;&gt;"-",_xlfn.IFS('Banco de Dados'!$A268="bv",IF('Banco de Dados'!$E268&lt;45641,ROUND(SUM('Banco de Dados'!$R268*_xlfn.XLOOKUP('Banco de Dados'!$P268,Sku!B:B,Sku!#REF!)*20%),2),ROUND(SUM('Banco de Dados'!$R268*_xlfn.XLOOKUP('Banco de Dados'!$P268,Sku!B:B,Sku!H:H)*20%),2)),'Banco de Dados'!$A268="GO",ROUND(_xlfn.XLOOKUP('Banco de Dados'!$P268,Sku!C:C,Sku!H:H),2),'Banco de Dados'!$A268="MEI",ROUND(_xlfn.XLOOKUP('Banco de Dados'!$P268,Sku!D:D,Sku!H:H),2)),0)</f>
        <v>0</v>
      </c>
      <c r="AN268" s="109">
        <f ca="1">IF('Banco de Dados'!$AK268&lt;&gt;"-",IF('Banco de Dados'!$F268&lt;&gt;"-",_xlfn.XLOOKUP(IFERROR(IFERROR(IFERROR(VALUE(SUBSTITUTE(MID(_xlfn.TEXTAFTER('Banco de Dados'!$F268,"Data do Pedido:
",1),1,10),"-","/")),VALUE(SUBSTITUTE(MID(_xlfn.TEXTAFTER('Banco de Dados'!$F268,"Order date:
",1),1,10),"-","/"))),VALUE(SUBSTITUTE(MID(_xlfn.TEXTAFTER('Banco de Dados'!$F268,"Fecha de pedido:
",1),1,10),"-","/"))),"-"),SMS!A:A,SMS!K:K),0),0)</f>
        <v>0</v>
      </c>
      <c r="AO268" s="109">
        <f ca="1">IF('Banco de Dados'!$AK268&lt;&gt;"-",IF('Banco de Dados'!$F268&lt;&gt;"-",IFERROR(_xlfn.XLOOKUP(_xlfn.CONCAT('Banco de Dados'!$A268,IFERROR(IFERROR(VALUE(SUBSTITUTE(MID(_xlfn.TEXTAFTER('Banco de Dados'!$F268,"Data do Pedido:
",1),1,10),"-","/")),VALUE(SUBSTITUTE(MID(_xlfn.TEXTAFTER('Banco de Dados'!$F268,"Order date:
",1),1,10),"-","/"))),0)),ProxyDD[Chave],ProxyDD[Valor por pedido]),PROXY!$P$2),0),0)</f>
        <v>0</v>
      </c>
      <c r="AP268" s="28">
        <f ca="1">IF('Banco de Dados'!$AK268&lt;&gt;"-",IF('Banco de Dados'!$AL268="NÃO",IFERROR(VALUE(SUBSTITUTE(_xlfn.TEXTAFTER('Banco de Dados'!$F268,"BRL ",1),".",",")),0),0),0)</f>
        <v>0</v>
      </c>
      <c r="AQ268" s="28">
        <f ca="1">SUM('Banco de Dados'!$AM268:$AP268)</f>
        <v>0</v>
      </c>
      <c r="AR268" s="8"/>
      <c r="AS268" s="8"/>
      <c r="AY268" s="8"/>
    </row>
    <row r="269" spans="1:51">
      <c r="A269" s="5" t="str">
        <v>BV</v>
      </c>
      <c r="B269" s="5" t="str">
        <f ca="1"/>
        <v>BV45600</v>
      </c>
      <c r="C269" s="8" t="str">
        <v>Pedido 266</v>
      </c>
      <c r="D269" s="9">
        <v>45600</v>
      </c>
      <c r="E269" s="9">
        <v>45600</v>
      </c>
      <c r="F269" s="8" t="str">
        <v>PedidoF259</v>
      </c>
      <c r="G269" s="2" t="str">
        <v>CódRastreio259</v>
      </c>
      <c r="H269" s="5">
        <v>1</v>
      </c>
      <c r="I269" s="182" t="str">
        <v>CPF 261</v>
      </c>
      <c r="J269" s="2" t="str">
        <v>Nome 261</v>
      </c>
      <c r="K269" s="8" t="str">
        <v>Tel 261</v>
      </c>
      <c r="L269" s="2" t="str">
        <v>Cep 261</v>
      </c>
      <c r="M269" s="2" t="str">
        <v>Rua 261</v>
      </c>
      <c r="N269" s="2" t="str">
        <v>Comp 261</v>
      </c>
      <c r="O269" s="2" t="str">
        <v>Bomba d'agua</v>
      </c>
      <c r="P269" s="8" t="str">
        <v>DJ-RO5O-43GF</v>
      </c>
      <c r="Q269" s="4">
        <v>45616</v>
      </c>
      <c r="R269" s="109">
        <v>16.989999999999998</v>
      </c>
      <c r="S269" s="11">
        <f ca="1"/>
        <v>16.989999999999998</v>
      </c>
      <c r="T269" s="28">
        <f ca="1"/>
        <v>2.3786</v>
      </c>
      <c r="U269" s="11">
        <f ca="1"/>
        <v>14.61</v>
      </c>
      <c r="V269" s="11">
        <v>4.99</v>
      </c>
      <c r="W269" s="11">
        <f ca="1"/>
        <v>0.38</v>
      </c>
      <c r="X269" s="11">
        <f ca="1"/>
        <v>0.39877104377104378</v>
      </c>
      <c r="Y269" s="11">
        <v>0</v>
      </c>
      <c r="Z269" s="11">
        <f ca="1"/>
        <v>8.8412289562289565</v>
      </c>
      <c r="AA269" s="11">
        <f ca="1"/>
        <v>4.4206144781144783</v>
      </c>
      <c r="AB269" s="4">
        <f ca="1"/>
        <v>45623</v>
      </c>
      <c r="AC269" s="4">
        <v>45623</v>
      </c>
      <c r="AD269" s="9">
        <v>45625</v>
      </c>
      <c r="AE269" s="9">
        <v>45625</v>
      </c>
      <c r="AF269" s="4" t="str">
        <f t="shared" ca="1" si="4"/>
        <v>2024 11</v>
      </c>
      <c r="AG269" s="8" t="str" cm="1">
        <f t="array" ref="AG269">IFERROR(_xlfn.IFS('Banco de Dados'!#REF!="AG. COMPRA","Em processamento",'Banco de Dados'!#REF!="AG. RASTREIO","Em processamento",'Banco de Dados'!$AE269&lt;&gt;"-","Faturado",'Banco de Dados'!$AD269&lt;&gt;"-","Aguardando Pix",'Banco de Dados'!$AC269&lt;&gt;"-","Pendente"),"Aguardando Liberação")</f>
        <v>Aguardando Liberação</v>
      </c>
      <c r="AH269" s="5" t="str">
        <f>IF('Banco de Dados'!$F269="-",_xlfn.CONCAT(PROPER(TEXT(AK269,"aaaa"))," ",PROPER(TEXT(AK269,"mm"))),_xlfn.CONCAT(PROPER(TEXT(E269,"aaaa"))," ",PROPER(TEXT(E269,"mm"))))</f>
        <v>2024 11</v>
      </c>
      <c r="AI269" s="9" t="str">
        <f ca="1">IF('Banco de Dados'!$AK269&lt;&gt;"-","REEMBOLSO",IFERROR(_xlfn.XLOOKUP(G269,Follow[CODRASTREIO],Follow[STATUS]),"-"))</f>
        <v>ENTREGUE</v>
      </c>
      <c r="AJ269" s="9">
        <f ca="1">IF('Banco de Dados'!$AI269="ENTREGUE",_xlfn.XLOOKUP('Banco de Dados'!$G269,Follow[CODRASTREIO],Follow[DATAATUALIZAÇÃO]),"-")</f>
        <v>45605</v>
      </c>
      <c r="AK269" s="9" t="str">
        <f ca="1"/>
        <v>-</v>
      </c>
      <c r="AL269" s="35" t="str">
        <v>NÃO</v>
      </c>
      <c r="AM269" s="109" cm="1">
        <f t="array" aca="1" ref="AM269" ca="1">IF('Banco de Dados'!$AK269&lt;&gt;"-",_xlfn.IFS('Banco de Dados'!$A269="bv",IF('Banco de Dados'!$E269&lt;45641,ROUND(SUM('Banco de Dados'!$R269*_xlfn.XLOOKUP('Banco de Dados'!$P269,Sku!B:B,Sku!#REF!)*20%),2),ROUND(SUM('Banco de Dados'!$R269*_xlfn.XLOOKUP('Banco de Dados'!$P269,Sku!B:B,Sku!H:H)*20%),2)),'Banco de Dados'!$A269="GO",ROUND(_xlfn.XLOOKUP('Banco de Dados'!$P269,Sku!C:C,Sku!H:H),2),'Banco de Dados'!$A269="MEI",ROUND(_xlfn.XLOOKUP('Banco de Dados'!$P269,Sku!D:D,Sku!H:H),2)),0)</f>
        <v>0</v>
      </c>
      <c r="AN269" s="109">
        <f ca="1">IF('Banco de Dados'!$AK269&lt;&gt;"-",IF('Banco de Dados'!$F269&lt;&gt;"-",_xlfn.XLOOKUP(IFERROR(IFERROR(IFERROR(VALUE(SUBSTITUTE(MID(_xlfn.TEXTAFTER('Banco de Dados'!$F269,"Data do Pedido:
",1),1,10),"-","/")),VALUE(SUBSTITUTE(MID(_xlfn.TEXTAFTER('Banco de Dados'!$F269,"Order date:
",1),1,10),"-","/"))),VALUE(SUBSTITUTE(MID(_xlfn.TEXTAFTER('Banco de Dados'!$F269,"Fecha de pedido:
",1),1,10),"-","/"))),"-"),SMS!A:A,SMS!K:K),0),0)</f>
        <v>0</v>
      </c>
      <c r="AO269" s="109">
        <f ca="1">IF('Banco de Dados'!$AK269&lt;&gt;"-",IF('Banco de Dados'!$F269&lt;&gt;"-",IFERROR(_xlfn.XLOOKUP(_xlfn.CONCAT('Banco de Dados'!$A269,IFERROR(IFERROR(VALUE(SUBSTITUTE(MID(_xlfn.TEXTAFTER('Banco de Dados'!$F269,"Data do Pedido:
",1),1,10),"-","/")),VALUE(SUBSTITUTE(MID(_xlfn.TEXTAFTER('Banco de Dados'!$F269,"Order date:
",1),1,10),"-","/"))),0)),ProxyDD[Chave],ProxyDD[Valor por pedido]),PROXY!$P$2),0),0)</f>
        <v>0</v>
      </c>
      <c r="AP269" s="28">
        <f ca="1">IF('Banco de Dados'!$AK269&lt;&gt;"-",IF('Banco de Dados'!$AL269="NÃO",IFERROR(VALUE(SUBSTITUTE(_xlfn.TEXTAFTER('Banco de Dados'!$F269,"BRL ",1),".",",")),0),0),0)</f>
        <v>0</v>
      </c>
      <c r="AQ269" s="28">
        <f ca="1">SUM('Banco de Dados'!$AM269:$AP269)</f>
        <v>0</v>
      </c>
      <c r="AR269" s="8"/>
      <c r="AS269" s="8"/>
      <c r="AY269" s="8"/>
    </row>
    <row r="270" spans="1:51">
      <c r="A270" s="5" t="str">
        <v>BV</v>
      </c>
      <c r="B270" s="5" t="str">
        <f ca="1"/>
        <v>BV45600</v>
      </c>
      <c r="C270" s="8" t="str">
        <v>Pedido 267</v>
      </c>
      <c r="D270" s="9">
        <v>45600</v>
      </c>
      <c r="E270" s="9">
        <v>45600</v>
      </c>
      <c r="F270" s="8" t="str">
        <v>PedidoF260</v>
      </c>
      <c r="G270" s="2" t="str">
        <v>CódRastreio260</v>
      </c>
      <c r="H270" s="5">
        <v>1</v>
      </c>
      <c r="I270" s="182" t="str">
        <v>CPF 262</v>
      </c>
      <c r="J270" s="2" t="str">
        <v>Nome 262</v>
      </c>
      <c r="K270" s="8" t="str">
        <v>Tel 262</v>
      </c>
      <c r="L270" s="2" t="str">
        <v>Cep 262</v>
      </c>
      <c r="M270" s="2" t="str">
        <v>Rua 262</v>
      </c>
      <c r="N270" s="2" t="str">
        <v>Comp 262</v>
      </c>
      <c r="O270" s="2" t="str">
        <v>Bomba d'agua</v>
      </c>
      <c r="P270" s="8" t="str">
        <v>DJ-RO5O-43GF</v>
      </c>
      <c r="Q270" s="4">
        <v>45616</v>
      </c>
      <c r="R270" s="109">
        <v>16.989999999999998</v>
      </c>
      <c r="S270" s="11">
        <f ca="1"/>
        <v>16.989999999999998</v>
      </c>
      <c r="T270" s="28">
        <f ca="1"/>
        <v>2.3786</v>
      </c>
      <c r="U270" s="11">
        <f ca="1"/>
        <v>14.61</v>
      </c>
      <c r="V270" s="11">
        <v>4.99</v>
      </c>
      <c r="W270" s="11">
        <f ca="1"/>
        <v>0.38</v>
      </c>
      <c r="X270" s="11">
        <f ca="1"/>
        <v>0.39877104377104378</v>
      </c>
      <c r="Y270" s="11">
        <v>0</v>
      </c>
      <c r="Z270" s="11">
        <f ca="1"/>
        <v>8.8412289562289565</v>
      </c>
      <c r="AA270" s="11">
        <f ca="1"/>
        <v>4.4206144781144783</v>
      </c>
      <c r="AB270" s="4">
        <f ca="1"/>
        <v>45623</v>
      </c>
      <c r="AC270" s="4">
        <v>45623</v>
      </c>
      <c r="AD270" s="9">
        <v>45625</v>
      </c>
      <c r="AE270" s="9">
        <v>45625</v>
      </c>
      <c r="AF270" s="4" t="str">
        <f t="shared" ca="1" si="4"/>
        <v>2024 11</v>
      </c>
      <c r="AG270" s="8" t="str" cm="1">
        <f t="array" ref="AG270">IFERROR(_xlfn.IFS('Banco de Dados'!#REF!="AG. COMPRA","Em processamento",'Banco de Dados'!#REF!="AG. RASTREIO","Em processamento",'Banco de Dados'!$AE270&lt;&gt;"-","Faturado",'Banco de Dados'!$AD270&lt;&gt;"-","Aguardando Pix",'Banco de Dados'!$AC270&lt;&gt;"-","Pendente"),"Aguardando Liberação")</f>
        <v>Aguardando Liberação</v>
      </c>
      <c r="AH270" s="5" t="str">
        <f>IF('Banco de Dados'!$F270="-",_xlfn.CONCAT(PROPER(TEXT(AK270,"aaaa"))," ",PROPER(TEXT(AK270,"mm"))),_xlfn.CONCAT(PROPER(TEXT(E270,"aaaa"))," ",PROPER(TEXT(E270,"mm"))))</f>
        <v>2024 11</v>
      </c>
      <c r="AI270" s="9" t="str">
        <f ca="1">IF('Banco de Dados'!$AK270&lt;&gt;"-","REEMBOLSO",IFERROR(_xlfn.XLOOKUP(G270,Follow[CODRASTREIO],Follow[STATUS]),"-"))</f>
        <v>ENTREGUE</v>
      </c>
      <c r="AJ270" s="9">
        <f ca="1">IF('Banco de Dados'!$AI270="ENTREGUE",_xlfn.XLOOKUP('Banco de Dados'!$G270,Follow[CODRASTREIO],Follow[DATAATUALIZAÇÃO]),"-")</f>
        <v>45607</v>
      </c>
      <c r="AK270" s="9" t="str">
        <f ca="1"/>
        <v>-</v>
      </c>
      <c r="AL270" s="35" t="str">
        <v>NÃO</v>
      </c>
      <c r="AM270" s="109" cm="1">
        <f t="array" aca="1" ref="AM270" ca="1">IF('Banco de Dados'!$AK270&lt;&gt;"-",_xlfn.IFS('Banco de Dados'!$A270="bv",IF('Banco de Dados'!$E270&lt;45641,ROUND(SUM('Banco de Dados'!$R270*_xlfn.XLOOKUP('Banco de Dados'!$P270,Sku!B:B,Sku!#REF!)*20%),2),ROUND(SUM('Banco de Dados'!$R270*_xlfn.XLOOKUP('Banco de Dados'!$P270,Sku!B:B,Sku!H:H)*20%),2)),'Banco de Dados'!$A270="GO",ROUND(_xlfn.XLOOKUP('Banco de Dados'!$P270,Sku!C:C,Sku!H:H),2),'Banco de Dados'!$A270="MEI",ROUND(_xlfn.XLOOKUP('Banco de Dados'!$P270,Sku!D:D,Sku!H:H),2)),0)</f>
        <v>0</v>
      </c>
      <c r="AN270" s="109">
        <f ca="1">IF('Banco de Dados'!$AK270&lt;&gt;"-",IF('Banco de Dados'!$F270&lt;&gt;"-",_xlfn.XLOOKUP(IFERROR(IFERROR(IFERROR(VALUE(SUBSTITUTE(MID(_xlfn.TEXTAFTER('Banco de Dados'!$F270,"Data do Pedido:
",1),1,10),"-","/")),VALUE(SUBSTITUTE(MID(_xlfn.TEXTAFTER('Banco de Dados'!$F270,"Order date:
",1),1,10),"-","/"))),VALUE(SUBSTITUTE(MID(_xlfn.TEXTAFTER('Banco de Dados'!$F270,"Fecha de pedido:
",1),1,10),"-","/"))),"-"),SMS!A:A,SMS!K:K),0),0)</f>
        <v>0</v>
      </c>
      <c r="AO270" s="109">
        <f ca="1">IF('Banco de Dados'!$AK270&lt;&gt;"-",IF('Banco de Dados'!$F270&lt;&gt;"-",IFERROR(_xlfn.XLOOKUP(_xlfn.CONCAT('Banco de Dados'!$A270,IFERROR(IFERROR(VALUE(SUBSTITUTE(MID(_xlfn.TEXTAFTER('Banco de Dados'!$F270,"Data do Pedido:
",1),1,10),"-","/")),VALUE(SUBSTITUTE(MID(_xlfn.TEXTAFTER('Banco de Dados'!$F270,"Order date:
",1),1,10),"-","/"))),0)),ProxyDD[Chave],ProxyDD[Valor por pedido]),PROXY!$P$2),0),0)</f>
        <v>0</v>
      </c>
      <c r="AP270" s="28">
        <f ca="1">IF('Banco de Dados'!$AK270&lt;&gt;"-",IF('Banco de Dados'!$AL270="NÃO",IFERROR(VALUE(SUBSTITUTE(_xlfn.TEXTAFTER('Banco de Dados'!$F270,"BRL ",1),".",",")),0),0),0)</f>
        <v>0</v>
      </c>
      <c r="AQ270" s="28">
        <f ca="1">SUM('Banco de Dados'!$AM270:$AP270)</f>
        <v>0</v>
      </c>
      <c r="AR270" s="8"/>
      <c r="AS270" s="8"/>
      <c r="AY270" s="8"/>
    </row>
    <row r="271" spans="1:51">
      <c r="A271" s="5" t="str">
        <v>BV</v>
      </c>
      <c r="B271" s="5" t="str">
        <f ca="1"/>
        <v>BV45601</v>
      </c>
      <c r="C271" s="8" t="str">
        <v>Pedido 268</v>
      </c>
      <c r="D271" s="9">
        <v>45601</v>
      </c>
      <c r="E271" s="9">
        <v>45601</v>
      </c>
      <c r="F271" s="8" t="str">
        <v>PedidoF261</v>
      </c>
      <c r="G271" s="2" t="str">
        <v>CódRastreio261</v>
      </c>
      <c r="H271" s="5">
        <v>1</v>
      </c>
      <c r="I271" s="182" t="str">
        <v>CPF 263</v>
      </c>
      <c r="J271" s="2" t="str">
        <v>Nome 263</v>
      </c>
      <c r="K271" s="8" t="str">
        <v>Tel 263</v>
      </c>
      <c r="L271" s="2" t="str">
        <v>Cep 263</v>
      </c>
      <c r="M271" s="2" t="str">
        <v>Rua 263</v>
      </c>
      <c r="N271" s="2" t="str">
        <v>Comp 263</v>
      </c>
      <c r="O271" s="2" t="str">
        <v>Ventilador de teto</v>
      </c>
      <c r="P271" s="8" t="str">
        <v>ZO-J9IL-EN6L</v>
      </c>
      <c r="Q271" s="4">
        <v>45630</v>
      </c>
      <c r="R271" s="109">
        <v>51.99</v>
      </c>
      <c r="S271" s="11">
        <f ca="1"/>
        <v>51.99</v>
      </c>
      <c r="T271" s="28">
        <f ca="1"/>
        <v>7.2786000000000008</v>
      </c>
      <c r="U271" s="11">
        <f ca="1"/>
        <v>44.71</v>
      </c>
      <c r="V271" s="11">
        <v>7.3</v>
      </c>
      <c r="W271" s="11">
        <f ca="1"/>
        <v>0.44</v>
      </c>
      <c r="X271" s="11">
        <f ca="1"/>
        <v>0.39877104377104378</v>
      </c>
      <c r="Y271" s="11">
        <v>0</v>
      </c>
      <c r="Z271" s="11">
        <f ca="1"/>
        <v>36.571228956228957</v>
      </c>
      <c r="AA271" s="11">
        <f ca="1"/>
        <v>18.285614478114478</v>
      </c>
      <c r="AB271" s="4">
        <f ca="1"/>
        <v>45637</v>
      </c>
      <c r="AC271" s="4">
        <v>45637</v>
      </c>
      <c r="AD271" s="9">
        <v>45637</v>
      </c>
      <c r="AE271" s="9">
        <v>45642</v>
      </c>
      <c r="AF271" s="4" t="str">
        <f t="shared" ca="1" si="4"/>
        <v>2024 12</v>
      </c>
      <c r="AG271" s="8" t="str" cm="1">
        <f t="array" ref="AG271">IFERROR(_xlfn.IFS('Banco de Dados'!#REF!="AG. COMPRA","Em processamento",'Banco de Dados'!#REF!="AG. RASTREIO","Em processamento",'Banco de Dados'!$AE271&lt;&gt;"-","Faturado",'Banco de Dados'!$AD271&lt;&gt;"-","Aguardando Pix",'Banco de Dados'!$AC271&lt;&gt;"-","Pendente"),"Aguardando Liberação")</f>
        <v>Aguardando Liberação</v>
      </c>
      <c r="AH271" s="5" t="str">
        <f>IF('Banco de Dados'!$F271="-",_xlfn.CONCAT(PROPER(TEXT(AK271,"aaaa"))," ",PROPER(TEXT(AK271,"mm"))),_xlfn.CONCAT(PROPER(TEXT(E271,"aaaa"))," ",PROPER(TEXT(E271,"mm"))))</f>
        <v>2024 11</v>
      </c>
      <c r="AI271" s="9" t="str">
        <f ca="1">IF('Banco de Dados'!$AK271&lt;&gt;"-","REEMBOLSO",IFERROR(_xlfn.XLOOKUP(G271,Follow[CODRASTREIO],Follow[STATUS]),"-"))</f>
        <v>ENTREGUE</v>
      </c>
      <c r="AJ271" s="9">
        <f ca="1">IF('Banco de Dados'!$AI271="ENTREGUE",_xlfn.XLOOKUP('Banco de Dados'!$G271,Follow[CODRASTREIO],Follow[DATAATUALIZAÇÃO]),"-")</f>
        <v>45614</v>
      </c>
      <c r="AK271" s="9" t="str">
        <f ca="1"/>
        <v>-</v>
      </c>
      <c r="AL271" s="35" t="str">
        <v>NÃO</v>
      </c>
      <c r="AM271" s="109" cm="1">
        <f t="array" aca="1" ref="AM271" ca="1">IF('Banco de Dados'!$AK271&lt;&gt;"-",_xlfn.IFS('Banco de Dados'!$A271="bv",IF('Banco de Dados'!$E271&lt;45641,ROUND(SUM('Banco de Dados'!$R271*_xlfn.XLOOKUP('Banco de Dados'!$P271,Sku!B:B,Sku!#REF!)*20%),2),ROUND(SUM('Banco de Dados'!$R271*_xlfn.XLOOKUP('Banco de Dados'!$P271,Sku!B:B,Sku!H:H)*20%),2)),'Banco de Dados'!$A271="GO",ROUND(_xlfn.XLOOKUP('Banco de Dados'!$P271,Sku!C:C,Sku!H:H),2),'Banco de Dados'!$A271="MEI",ROUND(_xlfn.XLOOKUP('Banco de Dados'!$P271,Sku!D:D,Sku!H:H),2)),0)</f>
        <v>0</v>
      </c>
      <c r="AN271" s="109">
        <f ca="1">IF('Banco de Dados'!$AK271&lt;&gt;"-",IF('Banco de Dados'!$F271&lt;&gt;"-",_xlfn.XLOOKUP(IFERROR(IFERROR(IFERROR(VALUE(SUBSTITUTE(MID(_xlfn.TEXTAFTER('Banco de Dados'!$F271,"Data do Pedido:
",1),1,10),"-","/")),VALUE(SUBSTITUTE(MID(_xlfn.TEXTAFTER('Banco de Dados'!$F271,"Order date:
",1),1,10),"-","/"))),VALUE(SUBSTITUTE(MID(_xlfn.TEXTAFTER('Banco de Dados'!$F271,"Fecha de pedido:
",1),1,10),"-","/"))),"-"),SMS!A:A,SMS!K:K),0),0)</f>
        <v>0</v>
      </c>
      <c r="AO271" s="109">
        <f ca="1">IF('Banco de Dados'!$AK271&lt;&gt;"-",IF('Banco de Dados'!$F271&lt;&gt;"-",IFERROR(_xlfn.XLOOKUP(_xlfn.CONCAT('Banco de Dados'!$A271,IFERROR(IFERROR(VALUE(SUBSTITUTE(MID(_xlfn.TEXTAFTER('Banco de Dados'!$F271,"Data do Pedido:
",1),1,10),"-","/")),VALUE(SUBSTITUTE(MID(_xlfn.TEXTAFTER('Banco de Dados'!$F271,"Order date:
",1),1,10),"-","/"))),0)),ProxyDD[Chave],ProxyDD[Valor por pedido]),PROXY!$P$2),0),0)</f>
        <v>0</v>
      </c>
      <c r="AP271" s="28">
        <f ca="1">IF('Banco de Dados'!$AK271&lt;&gt;"-",IF('Banco de Dados'!$AL271="NÃO",IFERROR(VALUE(SUBSTITUTE(_xlfn.TEXTAFTER('Banco de Dados'!$F271,"BRL ",1),".",",")),0),0),0)</f>
        <v>0</v>
      </c>
      <c r="AQ271" s="28">
        <f ca="1">SUM('Banco de Dados'!$AM271:$AP271)</f>
        <v>0</v>
      </c>
      <c r="AR271" s="8"/>
      <c r="AS271" s="8"/>
      <c r="AY271" s="8"/>
    </row>
    <row r="272" spans="1:51">
      <c r="A272" s="5" t="str">
        <v>BV</v>
      </c>
      <c r="B272" s="5" t="str">
        <f ca="1"/>
        <v>BV45601</v>
      </c>
      <c r="C272" s="8" t="str">
        <v>Pedido 269</v>
      </c>
      <c r="D272" s="9">
        <v>45601</v>
      </c>
      <c r="E272" s="9">
        <v>45601</v>
      </c>
      <c r="F272" s="8" t="str">
        <v>PedidoF262</v>
      </c>
      <c r="G272" s="2" t="str">
        <v>CódRastreio262</v>
      </c>
      <c r="H272" s="5">
        <v>1</v>
      </c>
      <c r="I272" s="182" t="str">
        <v>CPF 264</v>
      </c>
      <c r="J272" s="2" t="str">
        <v>Nome 264</v>
      </c>
      <c r="K272" s="8" t="str">
        <v>Tel 264</v>
      </c>
      <c r="L272" s="2" t="str">
        <v>Cep 264</v>
      </c>
      <c r="M272" s="2" t="str">
        <v>Rua 264</v>
      </c>
      <c r="N272" s="2" t="str">
        <v>Comp 264</v>
      </c>
      <c r="O272" s="2" t="str">
        <v>Adaptador Bluetooph</v>
      </c>
      <c r="P272" s="8" t="str">
        <v>YA-AG3H-SPUK</v>
      </c>
      <c r="Q272" s="4">
        <v>45618</v>
      </c>
      <c r="R272" s="109">
        <v>16.5</v>
      </c>
      <c r="S272" s="11">
        <f ca="1"/>
        <v>16.5</v>
      </c>
      <c r="T272" s="28">
        <f ca="1"/>
        <v>1.98</v>
      </c>
      <c r="U272" s="11">
        <f ca="1"/>
        <v>14.52</v>
      </c>
      <c r="V272" s="11">
        <v>4.99</v>
      </c>
      <c r="W272" s="11">
        <f ca="1"/>
        <v>0.44</v>
      </c>
      <c r="X272" s="11">
        <f ca="1"/>
        <v>0.39877104377104378</v>
      </c>
      <c r="Y272" s="11">
        <v>0</v>
      </c>
      <c r="Z272" s="11">
        <f ca="1"/>
        <v>8.6912289562289544</v>
      </c>
      <c r="AA272" s="11">
        <f ca="1"/>
        <v>4.3456144781144772</v>
      </c>
      <c r="AB272" s="4">
        <f ca="1"/>
        <v>45625</v>
      </c>
      <c r="AC272" s="4">
        <v>45625</v>
      </c>
      <c r="AD272" s="9">
        <v>45625</v>
      </c>
      <c r="AE272" s="9">
        <v>45625</v>
      </c>
      <c r="AF272" s="4" t="str">
        <f t="shared" ca="1" si="4"/>
        <v>2024 11</v>
      </c>
      <c r="AG272" s="8" t="str" cm="1">
        <f t="array" ref="AG272">IFERROR(_xlfn.IFS('Banco de Dados'!#REF!="AG. COMPRA","Em processamento",'Banco de Dados'!#REF!="AG. RASTREIO","Em processamento",'Banco de Dados'!$AE272&lt;&gt;"-","Faturado",'Banco de Dados'!$AD272&lt;&gt;"-","Aguardando Pix",'Banco de Dados'!$AC272&lt;&gt;"-","Pendente"),"Aguardando Liberação")</f>
        <v>Aguardando Liberação</v>
      </c>
      <c r="AH272" s="5" t="str">
        <f>IF('Banco de Dados'!$F272="-",_xlfn.CONCAT(PROPER(TEXT(AK272,"aaaa"))," ",PROPER(TEXT(AK272,"mm"))),_xlfn.CONCAT(PROPER(TEXT(E272,"aaaa"))," ",PROPER(TEXT(E272,"mm"))))</f>
        <v>2024 11</v>
      </c>
      <c r="AI272" s="9" t="str">
        <f ca="1">IF('Banco de Dados'!$AK272&lt;&gt;"-","REEMBOLSO",IFERROR(_xlfn.XLOOKUP(G272,Follow[CODRASTREIO],Follow[STATUS]),"-"))</f>
        <v>ENTREGUE</v>
      </c>
      <c r="AJ272" s="9">
        <f ca="1">IF('Banco de Dados'!$AI272="ENTREGUE",_xlfn.XLOOKUP('Banco de Dados'!$G272,Follow[CODRASTREIO],Follow[DATAATUALIZAÇÃO]),"-")</f>
        <v>45607</v>
      </c>
      <c r="AK272" s="9" t="str">
        <f ca="1"/>
        <v>-</v>
      </c>
      <c r="AL272" s="35" t="str">
        <v>NÃO</v>
      </c>
      <c r="AM272" s="109" cm="1">
        <f t="array" aca="1" ref="AM272" ca="1">IF('Banco de Dados'!$AK272&lt;&gt;"-",_xlfn.IFS('Banco de Dados'!$A272="bv",IF('Banco de Dados'!$E272&lt;45641,ROUND(SUM('Banco de Dados'!$R272*_xlfn.XLOOKUP('Banco de Dados'!$P272,Sku!B:B,Sku!#REF!)*20%),2),ROUND(SUM('Banco de Dados'!$R272*_xlfn.XLOOKUP('Banco de Dados'!$P272,Sku!B:B,Sku!H:H)*20%),2)),'Banco de Dados'!$A272="GO",ROUND(_xlfn.XLOOKUP('Banco de Dados'!$P272,Sku!C:C,Sku!H:H),2),'Banco de Dados'!$A272="MEI",ROUND(_xlfn.XLOOKUP('Banco de Dados'!$P272,Sku!D:D,Sku!H:H),2)),0)</f>
        <v>0</v>
      </c>
      <c r="AN272" s="109">
        <f ca="1">IF('Banco de Dados'!$AK272&lt;&gt;"-",IF('Banco de Dados'!$F272&lt;&gt;"-",_xlfn.XLOOKUP(IFERROR(IFERROR(IFERROR(VALUE(SUBSTITUTE(MID(_xlfn.TEXTAFTER('Banco de Dados'!$F272,"Data do Pedido:
",1),1,10),"-","/")),VALUE(SUBSTITUTE(MID(_xlfn.TEXTAFTER('Banco de Dados'!$F272,"Order date:
",1),1,10),"-","/"))),VALUE(SUBSTITUTE(MID(_xlfn.TEXTAFTER('Banco de Dados'!$F272,"Fecha de pedido:
",1),1,10),"-","/"))),"-"),SMS!A:A,SMS!K:K),0),0)</f>
        <v>0</v>
      </c>
      <c r="AO272" s="109">
        <f ca="1">IF('Banco de Dados'!$AK272&lt;&gt;"-",IF('Banco de Dados'!$F272&lt;&gt;"-",IFERROR(_xlfn.XLOOKUP(_xlfn.CONCAT('Banco de Dados'!$A272,IFERROR(IFERROR(VALUE(SUBSTITUTE(MID(_xlfn.TEXTAFTER('Banco de Dados'!$F272,"Data do Pedido:
",1),1,10),"-","/")),VALUE(SUBSTITUTE(MID(_xlfn.TEXTAFTER('Banco de Dados'!$F272,"Order date:
",1),1,10),"-","/"))),0)),ProxyDD[Chave],ProxyDD[Valor por pedido]),PROXY!$P$2),0),0)</f>
        <v>0</v>
      </c>
      <c r="AP272" s="28">
        <f ca="1">IF('Banco de Dados'!$AK272&lt;&gt;"-",IF('Banco de Dados'!$AL272="NÃO",IFERROR(VALUE(SUBSTITUTE(_xlfn.TEXTAFTER('Banco de Dados'!$F272,"BRL ",1),".",",")),0),0),0)</f>
        <v>0</v>
      </c>
      <c r="AQ272" s="28">
        <f ca="1">SUM('Banco de Dados'!$AM272:$AP272)</f>
        <v>0</v>
      </c>
      <c r="AR272" s="8"/>
      <c r="AS272" s="8"/>
      <c r="AY272" s="8"/>
    </row>
    <row r="273" spans="1:51">
      <c r="A273" s="5" t="str">
        <v>BV</v>
      </c>
      <c r="B273" s="5" t="str">
        <f ca="1"/>
        <v>BV45601</v>
      </c>
      <c r="C273" s="8" t="str">
        <v>Pedido 270</v>
      </c>
      <c r="D273" s="9">
        <v>45601</v>
      </c>
      <c r="E273" s="9">
        <v>45601</v>
      </c>
      <c r="F273" s="8" t="str">
        <v>PedidoF263</v>
      </c>
      <c r="G273" s="2" t="str">
        <v>CódRastreio263</v>
      </c>
      <c r="H273" s="5">
        <v>1</v>
      </c>
      <c r="I273" s="182" t="str">
        <v>CPF 265</v>
      </c>
      <c r="J273" s="2" t="str">
        <v>Nome 265</v>
      </c>
      <c r="K273" s="8" t="str">
        <v>Tel 265</v>
      </c>
      <c r="L273" s="2" t="str">
        <v>Cep 265</v>
      </c>
      <c r="M273" s="2" t="str">
        <v>Rua 265</v>
      </c>
      <c r="N273" s="2" t="str">
        <v>Comp 265</v>
      </c>
      <c r="O273" s="2" t="str">
        <v>Suporte de Celular Preto</v>
      </c>
      <c r="P273" s="8" t="str">
        <v>9G-BN48-QAPH</v>
      </c>
      <c r="Q273" s="4">
        <v>45624</v>
      </c>
      <c r="R273" s="109">
        <v>15.1</v>
      </c>
      <c r="S273" s="11">
        <f ca="1"/>
        <v>15.1</v>
      </c>
      <c r="T273" s="28">
        <f ca="1"/>
        <v>2.2649999999999997</v>
      </c>
      <c r="U273" s="11">
        <f ca="1"/>
        <v>12.84</v>
      </c>
      <c r="V273" s="11">
        <v>4.99</v>
      </c>
      <c r="W273" s="11">
        <f ca="1"/>
        <v>0.44</v>
      </c>
      <c r="X273" s="11">
        <f ca="1"/>
        <v>0.39877104377104378</v>
      </c>
      <c r="Y273" s="11">
        <v>0</v>
      </c>
      <c r="Z273" s="11">
        <f ca="1"/>
        <v>7.0112289562289556</v>
      </c>
      <c r="AA273" s="11">
        <f ca="1"/>
        <v>3.5056144781144778</v>
      </c>
      <c r="AB273" s="4">
        <f ca="1"/>
        <v>45631</v>
      </c>
      <c r="AC273" s="4">
        <v>45631</v>
      </c>
      <c r="AD273" s="9">
        <v>45637</v>
      </c>
      <c r="AE273" s="9">
        <v>45642</v>
      </c>
      <c r="AF273" s="4" t="str">
        <f t="shared" ca="1" si="4"/>
        <v>2024 12</v>
      </c>
      <c r="AG273" s="8" t="str" cm="1">
        <f t="array" ref="AG273">IFERROR(_xlfn.IFS('Banco de Dados'!#REF!="AG. COMPRA","Em processamento",'Banco de Dados'!#REF!="AG. RASTREIO","Em processamento",'Banco de Dados'!$AE273&lt;&gt;"-","Faturado",'Banco de Dados'!$AD273&lt;&gt;"-","Aguardando Pix",'Banco de Dados'!$AC273&lt;&gt;"-","Pendente"),"Aguardando Liberação")</f>
        <v>Aguardando Liberação</v>
      </c>
      <c r="AH273" s="5" t="str">
        <f>IF('Banco de Dados'!$F273="-",_xlfn.CONCAT(PROPER(TEXT(AK273,"aaaa"))," ",PROPER(TEXT(AK273,"mm"))),_xlfn.CONCAT(PROPER(TEXT(E273,"aaaa"))," ",PROPER(TEXT(E273,"mm"))))</f>
        <v>2024 11</v>
      </c>
      <c r="AI273" s="9" t="str">
        <f ca="1">IF('Banco de Dados'!$AK273&lt;&gt;"-","REEMBOLSO",IFERROR(_xlfn.XLOOKUP(G273,Follow[CODRASTREIO],Follow[STATUS]),"-"))</f>
        <v>ENTREGUE</v>
      </c>
      <c r="AJ273" s="9">
        <f ca="1">IF('Banco de Dados'!$AI273="ENTREGUE",_xlfn.XLOOKUP('Banco de Dados'!$G273,Follow[CODRASTREIO],Follow[DATAATUALIZAÇÃO]),"-")</f>
        <v>45605</v>
      </c>
      <c r="AK273" s="9" t="str">
        <f ca="1"/>
        <v>-</v>
      </c>
      <c r="AL273" s="35" t="str">
        <v>NÃO</v>
      </c>
      <c r="AM273" s="109" cm="1">
        <f t="array" aca="1" ref="AM273" ca="1">IF('Banco de Dados'!$AK273&lt;&gt;"-",_xlfn.IFS('Banco de Dados'!$A273="bv",IF('Banco de Dados'!$E273&lt;45641,ROUND(SUM('Banco de Dados'!$R273*_xlfn.XLOOKUP('Banco de Dados'!$P273,Sku!B:B,Sku!#REF!)*20%),2),ROUND(SUM('Banco de Dados'!$R273*_xlfn.XLOOKUP('Banco de Dados'!$P273,Sku!B:B,Sku!H:H)*20%),2)),'Banco de Dados'!$A273="GO",ROUND(_xlfn.XLOOKUP('Banco de Dados'!$P273,Sku!C:C,Sku!H:H),2),'Banco de Dados'!$A273="MEI",ROUND(_xlfn.XLOOKUP('Banco de Dados'!$P273,Sku!D:D,Sku!H:H),2)),0)</f>
        <v>0</v>
      </c>
      <c r="AN273" s="109">
        <f ca="1">IF('Banco de Dados'!$AK273&lt;&gt;"-",IF('Banco de Dados'!$F273&lt;&gt;"-",_xlfn.XLOOKUP(IFERROR(IFERROR(IFERROR(VALUE(SUBSTITUTE(MID(_xlfn.TEXTAFTER('Banco de Dados'!$F273,"Data do Pedido:
",1),1,10),"-","/")),VALUE(SUBSTITUTE(MID(_xlfn.TEXTAFTER('Banco de Dados'!$F273,"Order date:
",1),1,10),"-","/"))),VALUE(SUBSTITUTE(MID(_xlfn.TEXTAFTER('Banco de Dados'!$F273,"Fecha de pedido:
",1),1,10),"-","/"))),"-"),SMS!A:A,SMS!K:K),0),0)</f>
        <v>0</v>
      </c>
      <c r="AO273" s="109">
        <f ca="1">IF('Banco de Dados'!$AK273&lt;&gt;"-",IF('Banco de Dados'!$F273&lt;&gt;"-",IFERROR(_xlfn.XLOOKUP(_xlfn.CONCAT('Banco de Dados'!$A273,IFERROR(IFERROR(VALUE(SUBSTITUTE(MID(_xlfn.TEXTAFTER('Banco de Dados'!$F273,"Data do Pedido:
",1),1,10),"-","/")),VALUE(SUBSTITUTE(MID(_xlfn.TEXTAFTER('Banco de Dados'!$F273,"Order date:
",1),1,10),"-","/"))),0)),ProxyDD[Chave],ProxyDD[Valor por pedido]),PROXY!$P$2),0),0)</f>
        <v>0</v>
      </c>
      <c r="AP273" s="28">
        <f ca="1">IF('Banco de Dados'!$AK273&lt;&gt;"-",IF('Banco de Dados'!$AL273="NÃO",IFERROR(VALUE(SUBSTITUTE(_xlfn.TEXTAFTER('Banco de Dados'!$F273,"BRL ",1),".",",")),0),0),0)</f>
        <v>0</v>
      </c>
      <c r="AQ273" s="28">
        <f ca="1">SUM('Banco de Dados'!$AM273:$AP273)</f>
        <v>0</v>
      </c>
      <c r="AR273" s="8"/>
      <c r="AS273" s="8"/>
      <c r="AY273" s="8"/>
    </row>
    <row r="274" spans="1:51">
      <c r="A274" s="5" t="str">
        <v>BV</v>
      </c>
      <c r="B274" s="5" t="str">
        <f ca="1"/>
        <v>BV45601</v>
      </c>
      <c r="C274" s="8" t="str">
        <v>Pedido 271</v>
      </c>
      <c r="D274" s="9">
        <v>45601</v>
      </c>
      <c r="E274" s="9">
        <v>45601</v>
      </c>
      <c r="F274" s="8" t="str">
        <v>PedidoF264</v>
      </c>
      <c r="G274" s="2" t="str">
        <v>CódRastreio264</v>
      </c>
      <c r="H274" s="5">
        <v>1</v>
      </c>
      <c r="I274" s="182" t="str">
        <v>CPF 266</v>
      </c>
      <c r="J274" s="2" t="str">
        <v>Nome 266</v>
      </c>
      <c r="K274" s="8" t="str">
        <v>Tel 266</v>
      </c>
      <c r="L274" s="2" t="str">
        <v>Cep 266</v>
      </c>
      <c r="M274" s="2" t="str">
        <v>Rua 266</v>
      </c>
      <c r="N274" s="2" t="str">
        <v>Comp 266</v>
      </c>
      <c r="O274" s="2" t="str">
        <v>Suporte de Celular Preto</v>
      </c>
      <c r="P274" s="8" t="str">
        <v>9G-BN48-QAPH</v>
      </c>
      <c r="Q274" s="4">
        <v>45630</v>
      </c>
      <c r="R274" s="109">
        <v>15.1</v>
      </c>
      <c r="S274" s="11">
        <f ca="1"/>
        <v>15.1</v>
      </c>
      <c r="T274" s="28">
        <f ca="1"/>
        <v>2.2649999999999997</v>
      </c>
      <c r="U274" s="11">
        <f ca="1"/>
        <v>12.84</v>
      </c>
      <c r="V274" s="11">
        <v>4.99</v>
      </c>
      <c r="W274" s="11">
        <f ca="1"/>
        <v>0.44</v>
      </c>
      <c r="X274" s="11">
        <f ca="1"/>
        <v>0.39877104377104378</v>
      </c>
      <c r="Y274" s="11">
        <v>0</v>
      </c>
      <c r="Z274" s="11">
        <f ca="1"/>
        <v>7.0112289562289556</v>
      </c>
      <c r="AA274" s="11">
        <f ca="1"/>
        <v>3.5056144781144778</v>
      </c>
      <c r="AB274" s="4">
        <f ca="1"/>
        <v>45637</v>
      </c>
      <c r="AC274" s="4">
        <v>45637</v>
      </c>
      <c r="AD274" s="9">
        <v>45637</v>
      </c>
      <c r="AE274" s="9">
        <v>45642</v>
      </c>
      <c r="AF274" s="4" t="str">
        <f t="shared" ca="1" si="4"/>
        <v>2024 12</v>
      </c>
      <c r="AG274" s="8" t="str" cm="1">
        <f t="array" ref="AG274">IFERROR(_xlfn.IFS('Banco de Dados'!#REF!="AG. COMPRA","Em processamento",'Banco de Dados'!#REF!="AG. RASTREIO","Em processamento",'Banco de Dados'!$AE274&lt;&gt;"-","Faturado",'Banco de Dados'!$AD274&lt;&gt;"-","Aguardando Pix",'Banco de Dados'!$AC274&lt;&gt;"-","Pendente"),"Aguardando Liberação")</f>
        <v>Aguardando Liberação</v>
      </c>
      <c r="AH274" s="5" t="str">
        <f>IF('Banco de Dados'!$F274="-",_xlfn.CONCAT(PROPER(TEXT(AK274,"aaaa"))," ",PROPER(TEXT(AK274,"mm"))),_xlfn.CONCAT(PROPER(TEXT(E274,"aaaa"))," ",PROPER(TEXT(E274,"mm"))))</f>
        <v>2024 11</v>
      </c>
      <c r="AI274" s="9" t="str">
        <f ca="1">IF('Banco de Dados'!$AK274&lt;&gt;"-","REEMBOLSO",IFERROR(_xlfn.XLOOKUP(G274,Follow[CODRASTREIO],Follow[STATUS]),"-"))</f>
        <v>ENTREGUE</v>
      </c>
      <c r="AJ274" s="9">
        <f ca="1">IF('Banco de Dados'!$AI274="ENTREGUE",_xlfn.XLOOKUP('Banco de Dados'!$G274,Follow[CODRASTREIO],Follow[DATAATUALIZAÇÃO]),"-")</f>
        <v>45611</v>
      </c>
      <c r="AK274" s="9" t="str">
        <f ca="1"/>
        <v>-</v>
      </c>
      <c r="AL274" s="35" t="str">
        <v>NÃO</v>
      </c>
      <c r="AM274" s="109" cm="1">
        <f t="array" aca="1" ref="AM274" ca="1">IF('Banco de Dados'!$AK274&lt;&gt;"-",_xlfn.IFS('Banco de Dados'!$A274="bv",IF('Banco de Dados'!$E274&lt;45641,ROUND(SUM('Banco de Dados'!$R274*_xlfn.XLOOKUP('Banco de Dados'!$P274,Sku!B:B,Sku!#REF!)*20%),2),ROUND(SUM('Banco de Dados'!$R274*_xlfn.XLOOKUP('Banco de Dados'!$P274,Sku!B:B,Sku!H:H)*20%),2)),'Banco de Dados'!$A274="GO",ROUND(_xlfn.XLOOKUP('Banco de Dados'!$P274,Sku!C:C,Sku!H:H),2),'Banco de Dados'!$A274="MEI",ROUND(_xlfn.XLOOKUP('Banco de Dados'!$P274,Sku!D:D,Sku!H:H),2)),0)</f>
        <v>0</v>
      </c>
      <c r="AN274" s="109">
        <f ca="1">IF('Banco de Dados'!$AK274&lt;&gt;"-",IF('Banco de Dados'!$F274&lt;&gt;"-",_xlfn.XLOOKUP(IFERROR(IFERROR(IFERROR(VALUE(SUBSTITUTE(MID(_xlfn.TEXTAFTER('Banco de Dados'!$F274,"Data do Pedido:
",1),1,10),"-","/")),VALUE(SUBSTITUTE(MID(_xlfn.TEXTAFTER('Banco de Dados'!$F274,"Order date:
",1),1,10),"-","/"))),VALUE(SUBSTITUTE(MID(_xlfn.TEXTAFTER('Banco de Dados'!$F274,"Fecha de pedido:
",1),1,10),"-","/"))),"-"),SMS!A:A,SMS!K:K),0),0)</f>
        <v>0</v>
      </c>
      <c r="AO274" s="109">
        <f ca="1">IF('Banco de Dados'!$AK274&lt;&gt;"-",IF('Banco de Dados'!$F274&lt;&gt;"-",IFERROR(_xlfn.XLOOKUP(_xlfn.CONCAT('Banco de Dados'!$A274,IFERROR(IFERROR(VALUE(SUBSTITUTE(MID(_xlfn.TEXTAFTER('Banco de Dados'!$F274,"Data do Pedido:
",1),1,10),"-","/")),VALUE(SUBSTITUTE(MID(_xlfn.TEXTAFTER('Banco de Dados'!$F274,"Order date:
",1),1,10),"-","/"))),0)),ProxyDD[Chave],ProxyDD[Valor por pedido]),PROXY!$P$2),0),0)</f>
        <v>0</v>
      </c>
      <c r="AP274" s="28">
        <f ca="1">IF('Banco de Dados'!$AK274&lt;&gt;"-",IF('Banco de Dados'!$AL274="NÃO",IFERROR(VALUE(SUBSTITUTE(_xlfn.TEXTAFTER('Banco de Dados'!$F274,"BRL ",1),".",",")),0),0),0)</f>
        <v>0</v>
      </c>
      <c r="AQ274" s="28">
        <f ca="1">SUM('Banco de Dados'!$AM274:$AP274)</f>
        <v>0</v>
      </c>
      <c r="AR274" s="8"/>
      <c r="AS274" s="8"/>
      <c r="AY274" s="8"/>
    </row>
    <row r="275" spans="1:51">
      <c r="A275" s="5" t="str">
        <v>BV</v>
      </c>
      <c r="B275" s="5" t="str">
        <f ca="1"/>
        <v>BV45604</v>
      </c>
      <c r="C275" s="8" t="str">
        <v>Pedido 272</v>
      </c>
      <c r="D275" s="9">
        <v>45604</v>
      </c>
      <c r="E275" s="9">
        <v>45604</v>
      </c>
      <c r="F275" s="8" t="str">
        <v>PedidoF265</v>
      </c>
      <c r="G275" s="2" t="str">
        <v>CódRastreio265</v>
      </c>
      <c r="H275" s="5">
        <v>1</v>
      </c>
      <c r="I275" s="182" t="str">
        <v>CPF 267</v>
      </c>
      <c r="J275" s="2" t="str">
        <v>Nome 267</v>
      </c>
      <c r="K275" s="8" t="str">
        <v>Tel 267</v>
      </c>
      <c r="L275" s="2" t="str">
        <v>Cep 267</v>
      </c>
      <c r="M275" s="2" t="str">
        <v>Rua 267</v>
      </c>
      <c r="N275" s="2" t="str">
        <v>Comp 267</v>
      </c>
      <c r="O275" s="2" t="str">
        <v>Suporte de Celular Branco</v>
      </c>
      <c r="P275" s="8" t="str">
        <v>16-4EDB-WMZF</v>
      </c>
      <c r="Q275" s="4">
        <v>45630</v>
      </c>
      <c r="R275" s="109">
        <v>15.1</v>
      </c>
      <c r="S275" s="11">
        <f ca="1"/>
        <v>15.1</v>
      </c>
      <c r="T275" s="28">
        <f ca="1"/>
        <v>2.2649999999999997</v>
      </c>
      <c r="U275" s="11">
        <f ca="1"/>
        <v>12.84</v>
      </c>
      <c r="V275" s="11">
        <v>4.99</v>
      </c>
      <c r="W275" s="11">
        <f ca="1"/>
        <v>0.27</v>
      </c>
      <c r="X275" s="11">
        <f ca="1"/>
        <v>0.39877104377104378</v>
      </c>
      <c r="Y275" s="11">
        <v>0</v>
      </c>
      <c r="Z275" s="11">
        <f ca="1"/>
        <v>7.1812289562289564</v>
      </c>
      <c r="AA275" s="11">
        <f ca="1"/>
        <v>3.5906144781144782</v>
      </c>
      <c r="AB275" s="4">
        <f ca="1"/>
        <v>45637</v>
      </c>
      <c r="AC275" s="4">
        <v>45637</v>
      </c>
      <c r="AD275" s="9">
        <v>45637</v>
      </c>
      <c r="AE275" s="9">
        <v>45642</v>
      </c>
      <c r="AF275" s="4" t="str">
        <f t="shared" ca="1" si="4"/>
        <v>2024 12</v>
      </c>
      <c r="AG275" s="8" t="str" cm="1">
        <f t="array" ref="AG275">IFERROR(_xlfn.IFS('Banco de Dados'!#REF!="AG. COMPRA","Em processamento",'Banco de Dados'!#REF!="AG. RASTREIO","Em processamento",'Banco de Dados'!$AE275&lt;&gt;"-","Faturado",'Banco de Dados'!$AD275&lt;&gt;"-","Aguardando Pix",'Banco de Dados'!$AC275&lt;&gt;"-","Pendente"),"Aguardando Liberação")</f>
        <v>Aguardando Liberação</v>
      </c>
      <c r="AH275" s="5" t="str">
        <f>IF('Banco de Dados'!$F275="-",_xlfn.CONCAT(PROPER(TEXT(AK275,"aaaa"))," ",PROPER(TEXT(AK275,"mm"))),_xlfn.CONCAT(PROPER(TEXT(E275,"aaaa"))," ",PROPER(TEXT(E275,"mm"))))</f>
        <v>2024 11</v>
      </c>
      <c r="AI275" s="9" t="str">
        <f ca="1">IF('Banco de Dados'!$AK275&lt;&gt;"-","REEMBOLSO",IFERROR(_xlfn.XLOOKUP(G275,Follow[CODRASTREIO],Follow[STATUS]),"-"))</f>
        <v>ENTREGUE</v>
      </c>
      <c r="AJ275" s="9">
        <f ca="1">IF('Banco de Dados'!$AI275="ENTREGUE",_xlfn.XLOOKUP('Banco de Dados'!$G275,Follow[CODRASTREIO],Follow[DATAATUALIZAÇÃO]),"-")</f>
        <v>45624</v>
      </c>
      <c r="AK275" s="9" t="str">
        <f ca="1"/>
        <v>-</v>
      </c>
      <c r="AL275" s="35" t="str">
        <v>NÃO</v>
      </c>
      <c r="AM275" s="109" cm="1">
        <f t="array" aca="1" ref="AM275" ca="1">IF('Banco de Dados'!$AK275&lt;&gt;"-",_xlfn.IFS('Banco de Dados'!$A275="bv",IF('Banco de Dados'!$E275&lt;45641,ROUND(SUM('Banco de Dados'!$R275*_xlfn.XLOOKUP('Banco de Dados'!$P275,Sku!B:B,Sku!#REF!)*20%),2),ROUND(SUM('Banco de Dados'!$R275*_xlfn.XLOOKUP('Banco de Dados'!$P275,Sku!B:B,Sku!H:H)*20%),2)),'Banco de Dados'!$A275="GO",ROUND(_xlfn.XLOOKUP('Banco de Dados'!$P275,Sku!C:C,Sku!H:H),2),'Banco de Dados'!$A275="MEI",ROUND(_xlfn.XLOOKUP('Banco de Dados'!$P275,Sku!D:D,Sku!H:H),2)),0)</f>
        <v>0</v>
      </c>
      <c r="AN275" s="109">
        <f ca="1">IF('Banco de Dados'!$AK275&lt;&gt;"-",IF('Banco de Dados'!$F275&lt;&gt;"-",_xlfn.XLOOKUP(IFERROR(IFERROR(IFERROR(VALUE(SUBSTITUTE(MID(_xlfn.TEXTAFTER('Banco de Dados'!$F275,"Data do Pedido:
",1),1,10),"-","/")),VALUE(SUBSTITUTE(MID(_xlfn.TEXTAFTER('Banco de Dados'!$F275,"Order date:
",1),1,10),"-","/"))),VALUE(SUBSTITUTE(MID(_xlfn.TEXTAFTER('Banco de Dados'!$F275,"Fecha de pedido:
",1),1,10),"-","/"))),"-"),SMS!A:A,SMS!K:K),0),0)</f>
        <v>0</v>
      </c>
      <c r="AO275" s="109">
        <f ca="1">IF('Banco de Dados'!$AK275&lt;&gt;"-",IF('Banco de Dados'!$F275&lt;&gt;"-",IFERROR(_xlfn.XLOOKUP(_xlfn.CONCAT('Banco de Dados'!$A275,IFERROR(IFERROR(VALUE(SUBSTITUTE(MID(_xlfn.TEXTAFTER('Banco de Dados'!$F275,"Data do Pedido:
",1),1,10),"-","/")),VALUE(SUBSTITUTE(MID(_xlfn.TEXTAFTER('Banco de Dados'!$F275,"Order date:
",1),1,10),"-","/"))),0)),ProxyDD[Chave],ProxyDD[Valor por pedido]),PROXY!$P$2),0),0)</f>
        <v>0</v>
      </c>
      <c r="AP275" s="28">
        <f ca="1">IF('Banco de Dados'!$AK275&lt;&gt;"-",IF('Banco de Dados'!$AL275="NÃO",IFERROR(VALUE(SUBSTITUTE(_xlfn.TEXTAFTER('Banco de Dados'!$F275,"BRL ",1),".",",")),0),0),0)</f>
        <v>0</v>
      </c>
      <c r="AQ275" s="28">
        <f ca="1">SUM('Banco de Dados'!$AM275:$AP275)</f>
        <v>0</v>
      </c>
      <c r="AR275" s="8"/>
      <c r="AS275" s="8"/>
      <c r="AY275" s="8"/>
    </row>
    <row r="276" spans="1:51">
      <c r="A276" s="5" t="str">
        <v>BV</v>
      </c>
      <c r="B276" s="5" t="str">
        <f ca="1"/>
        <v>BV45601</v>
      </c>
      <c r="C276" s="8" t="str">
        <v>Pedido 273</v>
      </c>
      <c r="D276" s="9">
        <v>45601</v>
      </c>
      <c r="E276" s="9">
        <v>45601</v>
      </c>
      <c r="F276" s="8" t="str">
        <v>PedidoF266</v>
      </c>
      <c r="G276" s="2" t="str">
        <v>CódRastreio266</v>
      </c>
      <c r="H276" s="5">
        <v>1</v>
      </c>
      <c r="I276" s="182" t="str">
        <v>CPF 268</v>
      </c>
      <c r="J276" s="2" t="str">
        <v>Nome 268</v>
      </c>
      <c r="K276" s="8" t="str">
        <v>Tel 268</v>
      </c>
      <c r="L276" s="2" t="str">
        <v>Cep 268</v>
      </c>
      <c r="M276" s="2" t="str">
        <v>Rua 268</v>
      </c>
      <c r="N276" s="2" t="str">
        <v>Comp 268</v>
      </c>
      <c r="O276" s="2" t="str">
        <v>Bomba d'agua</v>
      </c>
      <c r="P276" s="8" t="str">
        <v>DJ-RO5O-43GF</v>
      </c>
      <c r="Q276" s="4">
        <v>45630</v>
      </c>
      <c r="R276" s="109">
        <v>16.5</v>
      </c>
      <c r="S276" s="11">
        <f ca="1"/>
        <v>16.5</v>
      </c>
      <c r="T276" s="28">
        <f ca="1"/>
        <v>2.31</v>
      </c>
      <c r="U276" s="11">
        <f ca="1"/>
        <v>14.19</v>
      </c>
      <c r="V276" s="11">
        <v>4.99</v>
      </c>
      <c r="W276" s="11">
        <f ca="1"/>
        <v>0.44</v>
      </c>
      <c r="X276" s="11">
        <f ca="1"/>
        <v>0.39877104377104378</v>
      </c>
      <c r="Y276" s="11">
        <v>0</v>
      </c>
      <c r="Z276" s="11">
        <f ca="1"/>
        <v>8.3612289562289561</v>
      </c>
      <c r="AA276" s="11">
        <f ca="1"/>
        <v>4.1806144781144781</v>
      </c>
      <c r="AB276" s="4">
        <f ca="1"/>
        <v>45637</v>
      </c>
      <c r="AC276" s="4">
        <v>45637</v>
      </c>
      <c r="AD276" s="9">
        <v>45637</v>
      </c>
      <c r="AE276" s="9">
        <v>45642</v>
      </c>
      <c r="AF276" s="4" t="str">
        <f t="shared" ca="1" si="4"/>
        <v>2024 12</v>
      </c>
      <c r="AG276" s="8" t="str" cm="1">
        <f t="array" ref="AG276">IFERROR(_xlfn.IFS('Banco de Dados'!#REF!="AG. COMPRA","Em processamento",'Banco de Dados'!#REF!="AG. RASTREIO","Em processamento",'Banco de Dados'!$AE276&lt;&gt;"-","Faturado",'Banco de Dados'!$AD276&lt;&gt;"-","Aguardando Pix",'Banco de Dados'!$AC276&lt;&gt;"-","Pendente"),"Aguardando Liberação")</f>
        <v>Aguardando Liberação</v>
      </c>
      <c r="AH276" s="5" t="str">
        <f>IF('Banco de Dados'!$F276="-",_xlfn.CONCAT(PROPER(TEXT(AK276,"aaaa"))," ",PROPER(TEXT(AK276,"mm"))),_xlfn.CONCAT(PROPER(TEXT(E276,"aaaa"))," ",PROPER(TEXT(E276,"mm"))))</f>
        <v>2024 11</v>
      </c>
      <c r="AI276" s="9" t="str">
        <f ca="1">IF('Banco de Dados'!$AK276&lt;&gt;"-","REEMBOLSO",IFERROR(_xlfn.XLOOKUP(G276,Follow[CODRASTREIO],Follow[STATUS]),"-"))</f>
        <v>ENTREGUE</v>
      </c>
      <c r="AJ276" s="9">
        <f ca="1">IF('Banco de Dados'!$AI276="ENTREGUE",_xlfn.XLOOKUP('Banco de Dados'!$G276,Follow[CODRASTREIO],Follow[DATAATUALIZAÇÃO]),"-")</f>
        <v>45609</v>
      </c>
      <c r="AK276" s="9" t="str">
        <f ca="1"/>
        <v>-</v>
      </c>
      <c r="AL276" s="35" t="str">
        <v>NÃO</v>
      </c>
      <c r="AM276" s="109" cm="1">
        <f t="array" aca="1" ref="AM276" ca="1">IF('Banco de Dados'!$AK276&lt;&gt;"-",_xlfn.IFS('Banco de Dados'!$A276="bv",IF('Banco de Dados'!$E276&lt;45641,ROUND(SUM('Banco de Dados'!$R276*_xlfn.XLOOKUP('Banco de Dados'!$P276,Sku!B:B,Sku!#REF!)*20%),2),ROUND(SUM('Banco de Dados'!$R276*_xlfn.XLOOKUP('Banco de Dados'!$P276,Sku!B:B,Sku!H:H)*20%),2)),'Banco de Dados'!$A276="GO",ROUND(_xlfn.XLOOKUP('Banco de Dados'!$P276,Sku!C:C,Sku!H:H),2),'Banco de Dados'!$A276="MEI",ROUND(_xlfn.XLOOKUP('Banco de Dados'!$P276,Sku!D:D,Sku!H:H),2)),0)</f>
        <v>0</v>
      </c>
      <c r="AN276" s="109">
        <f ca="1">IF('Banco de Dados'!$AK276&lt;&gt;"-",IF('Banco de Dados'!$F276&lt;&gt;"-",_xlfn.XLOOKUP(IFERROR(IFERROR(IFERROR(VALUE(SUBSTITUTE(MID(_xlfn.TEXTAFTER('Banco de Dados'!$F276,"Data do Pedido:
",1),1,10),"-","/")),VALUE(SUBSTITUTE(MID(_xlfn.TEXTAFTER('Banco de Dados'!$F276,"Order date:
",1),1,10),"-","/"))),VALUE(SUBSTITUTE(MID(_xlfn.TEXTAFTER('Banco de Dados'!$F276,"Fecha de pedido:
",1),1,10),"-","/"))),"-"),SMS!A:A,SMS!K:K),0),0)</f>
        <v>0</v>
      </c>
      <c r="AO276" s="109">
        <f ca="1">IF('Banco de Dados'!$AK276&lt;&gt;"-",IF('Banco de Dados'!$F276&lt;&gt;"-",IFERROR(_xlfn.XLOOKUP(_xlfn.CONCAT('Banco de Dados'!$A276,IFERROR(IFERROR(VALUE(SUBSTITUTE(MID(_xlfn.TEXTAFTER('Banco de Dados'!$F276,"Data do Pedido:
",1),1,10),"-","/")),VALUE(SUBSTITUTE(MID(_xlfn.TEXTAFTER('Banco de Dados'!$F276,"Order date:
",1),1,10),"-","/"))),0)),ProxyDD[Chave],ProxyDD[Valor por pedido]),PROXY!$P$2),0),0)</f>
        <v>0</v>
      </c>
      <c r="AP276" s="28">
        <f ca="1">IF('Banco de Dados'!$AK276&lt;&gt;"-",IF('Banco de Dados'!$AL276="NÃO",IFERROR(VALUE(SUBSTITUTE(_xlfn.TEXTAFTER('Banco de Dados'!$F276,"BRL ",1),".",",")),0),0),0)</f>
        <v>0</v>
      </c>
      <c r="AQ276" s="28">
        <f ca="1">SUM('Banco de Dados'!$AM276:$AP276)</f>
        <v>0</v>
      </c>
      <c r="AR276" s="8"/>
      <c r="AS276" s="8"/>
      <c r="AY276" s="8"/>
    </row>
    <row r="277" spans="1:51">
      <c r="A277" s="5" t="str">
        <v>BV</v>
      </c>
      <c r="B277" s="5" t="str">
        <f ca="1"/>
        <v>BV45601</v>
      </c>
      <c r="C277" s="8" t="str">
        <v>Pedido 274</v>
      </c>
      <c r="D277" s="9">
        <v>45601</v>
      </c>
      <c r="E277" s="9">
        <v>45601</v>
      </c>
      <c r="F277" s="8" t="str">
        <v>PedidoF267</v>
      </c>
      <c r="G277" s="2" t="str">
        <v>CódRastreio267</v>
      </c>
      <c r="H277" s="5">
        <v>1</v>
      </c>
      <c r="I277" s="182" t="str">
        <v>CPF 269</v>
      </c>
      <c r="J277" s="2" t="str">
        <v>Nome 269</v>
      </c>
      <c r="K277" s="8" t="str">
        <v>Tel 269</v>
      </c>
      <c r="L277" s="2" t="str">
        <v>Cep 269</v>
      </c>
      <c r="M277" s="2" t="str">
        <v>Rua 269</v>
      </c>
      <c r="N277" s="2" t="str">
        <v>Comp 269</v>
      </c>
      <c r="O277" s="2" t="str">
        <v>Multi Processador 5 Laminas</v>
      </c>
      <c r="P277" s="8" t="str">
        <v>T9-P952-TL6A</v>
      </c>
      <c r="Q277" s="4">
        <v>45630</v>
      </c>
      <c r="R277" s="109">
        <v>23.8</v>
      </c>
      <c r="S277" s="11">
        <f ca="1"/>
        <v>0</v>
      </c>
      <c r="T277" s="28">
        <f ca="1"/>
        <v>0</v>
      </c>
      <c r="U277" s="11">
        <f ca="1"/>
        <v>0</v>
      </c>
      <c r="V277" s="11">
        <v>0</v>
      </c>
      <c r="W277" s="11">
        <f ca="1"/>
        <v>0</v>
      </c>
      <c r="X277" s="11">
        <f ca="1"/>
        <v>0.39877104377104378</v>
      </c>
      <c r="Y277" s="11">
        <v>0</v>
      </c>
      <c r="Z277" s="11">
        <f ca="1"/>
        <v>-0.39877104377104378</v>
      </c>
      <c r="AA277" s="11">
        <f ca="1"/>
        <v>-0.19938552188552189</v>
      </c>
      <c r="AB277" s="4">
        <f ca="1"/>
        <v>45637</v>
      </c>
      <c r="AC277" s="4">
        <v>45637</v>
      </c>
      <c r="AD277" s="9">
        <v>45637</v>
      </c>
      <c r="AE277" s="9">
        <v>45642</v>
      </c>
      <c r="AF277" s="4" t="str">
        <f t="shared" ca="1" si="4"/>
        <v>2024 12</v>
      </c>
      <c r="AG277" s="8" t="str" cm="1">
        <f t="array" ref="AG277">IFERROR(_xlfn.IFS('Banco de Dados'!#REF!="AG. COMPRA","Em processamento",'Banco de Dados'!#REF!="AG. RASTREIO","Em processamento",'Banco de Dados'!$AE277&lt;&gt;"-","Faturado",'Banco de Dados'!$AD277&lt;&gt;"-","Aguardando Pix",'Banco de Dados'!$AC277&lt;&gt;"-","Pendente"),"Aguardando Liberação")</f>
        <v>Aguardando Liberação</v>
      </c>
      <c r="AH277" s="5" t="str">
        <f>IF('Banco de Dados'!$F277="-",_xlfn.CONCAT(PROPER(TEXT(AK277,"aaaa"))," ",PROPER(TEXT(AK277,"mm"))),_xlfn.CONCAT(PROPER(TEXT(E277,"aaaa"))," ",PROPER(TEXT(E277,"mm"))))</f>
        <v>2024 11</v>
      </c>
      <c r="AI277" s="9" t="str">
        <f ca="1">IF('Banco de Dados'!$AK277&lt;&gt;"-","REEMBOLSO",IFERROR(_xlfn.XLOOKUP(G277,Follow[CODRASTREIO],Follow[STATUS]),"-"))</f>
        <v>REEMBOLSO</v>
      </c>
      <c r="AJ277" s="9" t="str">
        <f ca="1">IF('Banco de Dados'!$AI277="ENTREGUE",_xlfn.XLOOKUP('Banco de Dados'!$G277,Follow[CODRASTREIO],Follow[DATAATUALIZAÇÃO]),"-")</f>
        <v>-</v>
      </c>
      <c r="AK277" s="9">
        <f ca="1"/>
        <v>45622</v>
      </c>
      <c r="AL277" s="35" t="str">
        <v>NÃO</v>
      </c>
      <c r="AM277" s="109" t="e" cm="1">
        <f t="array" aca="1" ref="AM277" ca="1">IF('Banco de Dados'!$AK277&lt;&gt;"-",_xlfn.IFS('Banco de Dados'!$A277="bv",IF('Banco de Dados'!$E277&lt;45641,ROUND(SUM('Banco de Dados'!$R277*_xlfn.XLOOKUP('Banco de Dados'!$P277,Sku!B:B,Sku!#REF!)*20%),2),ROUND(SUM('Banco de Dados'!$R277*_xlfn.XLOOKUP('Banco de Dados'!$P277,Sku!B:B,Sku!H:H)*20%),2)),'Banco de Dados'!$A277="GO",ROUND(_xlfn.XLOOKUP('Banco de Dados'!$P277,Sku!C:C,Sku!H:H),2),'Banco de Dados'!$A277="MEI",ROUND(_xlfn.XLOOKUP('Banco de Dados'!$P277,Sku!D:D,Sku!H:H),2)),0)</f>
        <v>#REF!</v>
      </c>
      <c r="AN277" s="109" t="e">
        <f ca="1">IF('Banco de Dados'!$AK277&lt;&gt;"-",IF('Banco de Dados'!$F277&lt;&gt;"-",_xlfn.XLOOKUP(IFERROR(IFERROR(IFERROR(VALUE(SUBSTITUTE(MID(_xlfn.TEXTAFTER('Banco de Dados'!$F277,"Data do Pedido:
",1),1,10),"-","/")),VALUE(SUBSTITUTE(MID(_xlfn.TEXTAFTER('Banco de Dados'!$F277,"Order date:
",1),1,10),"-","/"))),VALUE(SUBSTITUTE(MID(_xlfn.TEXTAFTER('Banco de Dados'!$F277,"Fecha de pedido:
",1),1,10),"-","/"))),"-"),SMS!A:A,SMS!K:K),0),0)</f>
        <v>#N/A</v>
      </c>
      <c r="AO277" s="109">
        <f ca="1">IF('Banco de Dados'!$AK277&lt;&gt;"-",IF('Banco de Dados'!$F277&lt;&gt;"-",IFERROR(_xlfn.XLOOKUP(_xlfn.CONCAT('Banco de Dados'!$A277,IFERROR(IFERROR(VALUE(SUBSTITUTE(MID(_xlfn.TEXTAFTER('Banco de Dados'!$F277,"Data do Pedido:
",1),1,10),"-","/")),VALUE(SUBSTITUTE(MID(_xlfn.TEXTAFTER('Banco de Dados'!$F277,"Order date:
",1),1,10),"-","/"))),0)),ProxyDD[Chave],ProxyDD[Valor por pedido]),PROXY!$P$2),0),0)</f>
        <v>0.39877104377104378</v>
      </c>
      <c r="AP277" s="28">
        <f ca="1">IF('Banco de Dados'!$AK277&lt;&gt;"-",IF('Banco de Dados'!$AL277="NÃO",IFERROR(VALUE(SUBSTITUTE(_xlfn.TEXTAFTER('Banco de Dados'!$F277,"BRL ",1),".",",")),0),0),0)</f>
        <v>0</v>
      </c>
      <c r="AQ277" s="28" t="e">
        <f ca="1">SUM('Banco de Dados'!$AM277:$AP277)</f>
        <v>#REF!</v>
      </c>
      <c r="AR277" s="8"/>
      <c r="AS277" s="8"/>
      <c r="AY277" s="8"/>
    </row>
    <row r="278" spans="1:51">
      <c r="A278" s="5" t="str">
        <v>BV</v>
      </c>
      <c r="B278" s="5" t="str">
        <f ca="1"/>
        <v>BV45602</v>
      </c>
      <c r="C278" s="8" t="str">
        <v>Pedido 275</v>
      </c>
      <c r="D278" s="9">
        <v>45602</v>
      </c>
      <c r="E278" s="9">
        <v>45602</v>
      </c>
      <c r="F278" s="8" t="str">
        <v>PedidoF268</v>
      </c>
      <c r="G278" s="2" t="str">
        <v>CódRastreio268</v>
      </c>
      <c r="H278" s="5">
        <v>1</v>
      </c>
      <c r="I278" s="182" t="str">
        <v>CPF 270</v>
      </c>
      <c r="J278" s="2" t="str">
        <v>Nome 270</v>
      </c>
      <c r="K278" s="8" t="str">
        <v>Tel 270</v>
      </c>
      <c r="L278" s="2" t="str">
        <v>Cep 270</v>
      </c>
      <c r="M278" s="2" t="str">
        <v>Rua 270</v>
      </c>
      <c r="N278" s="2" t="str">
        <v>Comp 270</v>
      </c>
      <c r="O278" s="2" t="str">
        <v>Bomba d'agua</v>
      </c>
      <c r="P278" s="8" t="str">
        <v>DJ-RO5O-43GF</v>
      </c>
      <c r="Q278" s="4">
        <v>45630</v>
      </c>
      <c r="R278" s="109">
        <v>16.5</v>
      </c>
      <c r="S278" s="11">
        <f ca="1"/>
        <v>16.5</v>
      </c>
      <c r="T278" s="28">
        <f ca="1"/>
        <v>2.31</v>
      </c>
      <c r="U278" s="11">
        <f ca="1"/>
        <v>14.19</v>
      </c>
      <c r="V278" s="11">
        <v>4.99</v>
      </c>
      <c r="W278" s="11">
        <f ca="1"/>
        <v>0.31</v>
      </c>
      <c r="X278" s="11">
        <f ca="1"/>
        <v>0.39877104377104378</v>
      </c>
      <c r="Y278" s="11">
        <v>0</v>
      </c>
      <c r="Z278" s="11">
        <f ca="1"/>
        <v>8.4912289562289551</v>
      </c>
      <c r="AA278" s="11">
        <f ca="1"/>
        <v>4.2456144781144776</v>
      </c>
      <c r="AB278" s="4">
        <f ca="1"/>
        <v>45637</v>
      </c>
      <c r="AC278" s="4">
        <v>45637</v>
      </c>
      <c r="AD278" s="9">
        <v>45637</v>
      </c>
      <c r="AE278" s="9">
        <v>45642</v>
      </c>
      <c r="AF278" s="4" t="str">
        <f t="shared" ca="1" si="4"/>
        <v>2024 12</v>
      </c>
      <c r="AG278" s="8" t="str" cm="1">
        <f t="array" ref="AG278">IFERROR(_xlfn.IFS('Banco de Dados'!#REF!="AG. COMPRA","Em processamento",'Banco de Dados'!#REF!="AG. RASTREIO","Em processamento",'Banco de Dados'!$AE278&lt;&gt;"-","Faturado",'Banco de Dados'!$AD278&lt;&gt;"-","Aguardando Pix",'Banco de Dados'!$AC278&lt;&gt;"-","Pendente"),"Aguardando Liberação")</f>
        <v>Aguardando Liberação</v>
      </c>
      <c r="AH278" s="5" t="str">
        <f>IF('Banco de Dados'!$F278="-",_xlfn.CONCAT(PROPER(TEXT(AK278,"aaaa"))," ",PROPER(TEXT(AK278,"mm"))),_xlfn.CONCAT(PROPER(TEXT(E278,"aaaa"))," ",PROPER(TEXT(E278,"mm"))))</f>
        <v>2024 11</v>
      </c>
      <c r="AI278" s="9" t="str">
        <f ca="1">IF('Banco de Dados'!$AK278&lt;&gt;"-","REEMBOLSO",IFERROR(_xlfn.XLOOKUP(G278,Follow[CODRASTREIO],Follow[STATUS]),"-"))</f>
        <v>ENTREGUE</v>
      </c>
      <c r="AJ278" s="9">
        <f ca="1">IF('Banco de Dados'!$AI278="ENTREGUE",_xlfn.XLOOKUP('Banco de Dados'!$G278,Follow[CODRASTREIO],Follow[DATAATUALIZAÇÃO]),"-")</f>
        <v>45610</v>
      </c>
      <c r="AK278" s="9" t="str">
        <f ca="1"/>
        <v>-</v>
      </c>
      <c r="AL278" s="35" t="str">
        <v>NÃO</v>
      </c>
      <c r="AM278" s="109" cm="1">
        <f t="array" aca="1" ref="AM278" ca="1">IF('Banco de Dados'!$AK278&lt;&gt;"-",_xlfn.IFS('Banco de Dados'!$A278="bv",IF('Banco de Dados'!$E278&lt;45641,ROUND(SUM('Banco de Dados'!$R278*_xlfn.XLOOKUP('Banco de Dados'!$P278,Sku!B:B,Sku!#REF!)*20%),2),ROUND(SUM('Banco de Dados'!$R278*_xlfn.XLOOKUP('Banco de Dados'!$P278,Sku!B:B,Sku!H:H)*20%),2)),'Banco de Dados'!$A278="GO",ROUND(_xlfn.XLOOKUP('Banco de Dados'!$P278,Sku!C:C,Sku!H:H),2),'Banco de Dados'!$A278="MEI",ROUND(_xlfn.XLOOKUP('Banco de Dados'!$P278,Sku!D:D,Sku!H:H),2)),0)</f>
        <v>0</v>
      </c>
      <c r="AN278" s="109">
        <f ca="1">IF('Banco de Dados'!$AK278&lt;&gt;"-",IF('Banco de Dados'!$F278&lt;&gt;"-",_xlfn.XLOOKUP(IFERROR(IFERROR(IFERROR(VALUE(SUBSTITUTE(MID(_xlfn.TEXTAFTER('Banco de Dados'!$F278,"Data do Pedido:
",1),1,10),"-","/")),VALUE(SUBSTITUTE(MID(_xlfn.TEXTAFTER('Banco de Dados'!$F278,"Order date:
",1),1,10),"-","/"))),VALUE(SUBSTITUTE(MID(_xlfn.TEXTAFTER('Banco de Dados'!$F278,"Fecha de pedido:
",1),1,10),"-","/"))),"-"),SMS!A:A,SMS!K:K),0),0)</f>
        <v>0</v>
      </c>
      <c r="AO278" s="109">
        <f ca="1">IF('Banco de Dados'!$AK278&lt;&gt;"-",IF('Banco de Dados'!$F278&lt;&gt;"-",IFERROR(_xlfn.XLOOKUP(_xlfn.CONCAT('Banco de Dados'!$A278,IFERROR(IFERROR(VALUE(SUBSTITUTE(MID(_xlfn.TEXTAFTER('Banco de Dados'!$F278,"Data do Pedido:
",1),1,10),"-","/")),VALUE(SUBSTITUTE(MID(_xlfn.TEXTAFTER('Banco de Dados'!$F278,"Order date:
",1),1,10),"-","/"))),0)),ProxyDD[Chave],ProxyDD[Valor por pedido]),PROXY!$P$2),0),0)</f>
        <v>0</v>
      </c>
      <c r="AP278" s="28">
        <f ca="1">IF('Banco de Dados'!$AK278&lt;&gt;"-",IF('Banco de Dados'!$AL278="NÃO",IFERROR(VALUE(SUBSTITUTE(_xlfn.TEXTAFTER('Banco de Dados'!$F278,"BRL ",1),".",",")),0),0),0)</f>
        <v>0</v>
      </c>
      <c r="AQ278" s="28">
        <f ca="1">SUM('Banco de Dados'!$AM278:$AP278)</f>
        <v>0</v>
      </c>
      <c r="AR278" s="8"/>
      <c r="AS278" s="8"/>
      <c r="AY278" s="8"/>
    </row>
    <row r="279" spans="1:51">
      <c r="A279" s="5" t="str">
        <v>BV</v>
      </c>
      <c r="B279" s="5" t="str">
        <f ca="1"/>
        <v>BV45604</v>
      </c>
      <c r="C279" s="8" t="str">
        <v>Pedido 276</v>
      </c>
      <c r="D279" s="9">
        <v>45604</v>
      </c>
      <c r="E279" s="9">
        <v>45604</v>
      </c>
      <c r="F279" s="8" t="str">
        <v>PedidoF269</v>
      </c>
      <c r="G279" s="2" t="str">
        <v>CódRastreio269</v>
      </c>
      <c r="H279" s="5">
        <v>1</v>
      </c>
      <c r="I279" s="182" t="str">
        <v>CPF 271</v>
      </c>
      <c r="J279" s="2" t="str">
        <v>Nome 271</v>
      </c>
      <c r="K279" s="8" t="str">
        <v>Tel 271</v>
      </c>
      <c r="L279" s="2" t="str">
        <v>Cep 271</v>
      </c>
      <c r="M279" s="2" t="str">
        <v>Rua 271</v>
      </c>
      <c r="N279" s="2" t="str">
        <v>Comp 271</v>
      </c>
      <c r="O279" s="2" t="str">
        <v>Bomba d'agua</v>
      </c>
      <c r="P279" s="8" t="str">
        <v>DJ-RO5O-43GF</v>
      </c>
      <c r="Q279" s="4">
        <v>45622</v>
      </c>
      <c r="R279" s="109">
        <v>16.5</v>
      </c>
      <c r="S279" s="11">
        <f ca="1"/>
        <v>16.5</v>
      </c>
      <c r="T279" s="28">
        <f ca="1"/>
        <v>2.31</v>
      </c>
      <c r="U279" s="11">
        <f ca="1"/>
        <v>14.19</v>
      </c>
      <c r="V279" s="11">
        <v>6.57</v>
      </c>
      <c r="W279" s="11">
        <f ca="1"/>
        <v>0.27</v>
      </c>
      <c r="X279" s="11">
        <f ca="1"/>
        <v>0.39877104377104378</v>
      </c>
      <c r="Y279" s="11">
        <v>0</v>
      </c>
      <c r="Z279" s="11">
        <f ca="1"/>
        <v>6.951228956228956</v>
      </c>
      <c r="AA279" s="11">
        <f ca="1"/>
        <v>3.475614478114478</v>
      </c>
      <c r="AB279" s="4">
        <f ca="1"/>
        <v>45629</v>
      </c>
      <c r="AC279" s="4">
        <v>45629</v>
      </c>
      <c r="AD279" s="9">
        <v>45637</v>
      </c>
      <c r="AE279" s="9">
        <v>45642</v>
      </c>
      <c r="AF279" s="4" t="str">
        <f t="shared" ca="1" si="4"/>
        <v>2024 12</v>
      </c>
      <c r="AG279" s="8" t="str" cm="1">
        <f t="array" ref="AG279">IFERROR(_xlfn.IFS('Banco de Dados'!#REF!="AG. COMPRA","Em processamento",'Banco de Dados'!#REF!="AG. RASTREIO","Em processamento",'Banco de Dados'!$AE279&lt;&gt;"-","Faturado",'Banco de Dados'!$AD279&lt;&gt;"-","Aguardando Pix",'Banco de Dados'!$AC279&lt;&gt;"-","Pendente"),"Aguardando Liberação")</f>
        <v>Aguardando Liberação</v>
      </c>
      <c r="AH279" s="5" t="str">
        <f>IF('Banco de Dados'!$F279="-",_xlfn.CONCAT(PROPER(TEXT(AK279,"aaaa"))," ",PROPER(TEXT(AK279,"mm"))),_xlfn.CONCAT(PROPER(TEXT(E279,"aaaa"))," ",PROPER(TEXT(E279,"mm"))))</f>
        <v>2024 11</v>
      </c>
      <c r="AI279" s="9" t="str">
        <f ca="1">IF('Banco de Dados'!$AK279&lt;&gt;"-","REEMBOLSO",IFERROR(_xlfn.XLOOKUP(G279,Follow[CODRASTREIO],Follow[STATUS]),"-"))</f>
        <v>ENTREGUE</v>
      </c>
      <c r="AJ279" s="9">
        <f ca="1">IF('Banco de Dados'!$AI279="ENTREGUE",_xlfn.XLOOKUP('Banco de Dados'!$G279,Follow[CODRASTREIO],Follow[DATAATUALIZAÇÃO]),"-")</f>
        <v>45612</v>
      </c>
      <c r="AK279" s="9" t="str">
        <f ca="1"/>
        <v>-</v>
      </c>
      <c r="AL279" s="35" t="str">
        <v>NÃO</v>
      </c>
      <c r="AM279" s="109" cm="1">
        <f t="array" aca="1" ref="AM279" ca="1">IF('Banco de Dados'!$AK279&lt;&gt;"-",_xlfn.IFS('Banco de Dados'!$A279="bv",IF('Banco de Dados'!$E279&lt;45641,ROUND(SUM('Banco de Dados'!$R279*_xlfn.XLOOKUP('Banco de Dados'!$P279,Sku!B:B,Sku!#REF!)*20%),2),ROUND(SUM('Banco de Dados'!$R279*_xlfn.XLOOKUP('Banco de Dados'!$P279,Sku!B:B,Sku!H:H)*20%),2)),'Banco de Dados'!$A279="GO",ROUND(_xlfn.XLOOKUP('Banco de Dados'!$P279,Sku!C:C,Sku!H:H),2),'Banco de Dados'!$A279="MEI",ROUND(_xlfn.XLOOKUP('Banco de Dados'!$P279,Sku!D:D,Sku!H:H),2)),0)</f>
        <v>0</v>
      </c>
      <c r="AN279" s="109">
        <f ca="1">IF('Banco de Dados'!$AK279&lt;&gt;"-",IF('Banco de Dados'!$F279&lt;&gt;"-",_xlfn.XLOOKUP(IFERROR(IFERROR(IFERROR(VALUE(SUBSTITUTE(MID(_xlfn.TEXTAFTER('Banco de Dados'!$F279,"Data do Pedido:
",1),1,10),"-","/")),VALUE(SUBSTITUTE(MID(_xlfn.TEXTAFTER('Banco de Dados'!$F279,"Order date:
",1),1,10),"-","/"))),VALUE(SUBSTITUTE(MID(_xlfn.TEXTAFTER('Banco de Dados'!$F279,"Fecha de pedido:
",1),1,10),"-","/"))),"-"),SMS!A:A,SMS!K:K),0),0)</f>
        <v>0</v>
      </c>
      <c r="AO279" s="109">
        <f ca="1">IF('Banco de Dados'!$AK279&lt;&gt;"-",IF('Banco de Dados'!$F279&lt;&gt;"-",IFERROR(_xlfn.XLOOKUP(_xlfn.CONCAT('Banco de Dados'!$A279,IFERROR(IFERROR(VALUE(SUBSTITUTE(MID(_xlfn.TEXTAFTER('Banco de Dados'!$F279,"Data do Pedido:
",1),1,10),"-","/")),VALUE(SUBSTITUTE(MID(_xlfn.TEXTAFTER('Banco de Dados'!$F279,"Order date:
",1),1,10),"-","/"))),0)),ProxyDD[Chave],ProxyDD[Valor por pedido]),PROXY!$P$2),0),0)</f>
        <v>0</v>
      </c>
      <c r="AP279" s="28">
        <f ca="1">IF('Banco de Dados'!$AK279&lt;&gt;"-",IF('Banco de Dados'!$AL279="NÃO",IFERROR(VALUE(SUBSTITUTE(_xlfn.TEXTAFTER('Banco de Dados'!$F279,"BRL ",1),".",",")),0),0),0)</f>
        <v>0</v>
      </c>
      <c r="AQ279" s="28">
        <f ca="1">SUM('Banco de Dados'!$AM279:$AP279)</f>
        <v>0</v>
      </c>
      <c r="AR279" s="8"/>
      <c r="AS279" s="8"/>
      <c r="AY279" s="8"/>
    </row>
    <row r="280" spans="1:51">
      <c r="A280" s="5" t="str">
        <v>BV</v>
      </c>
      <c r="B280" s="5" t="str">
        <f ca="1"/>
        <v>BV45602</v>
      </c>
      <c r="C280" s="8" t="str">
        <v>Pedido 277</v>
      </c>
      <c r="D280" s="9">
        <v>45602</v>
      </c>
      <c r="E280" s="9">
        <v>45602</v>
      </c>
      <c r="F280" s="8" t="str">
        <v>PedidoF270</v>
      </c>
      <c r="G280" s="2" t="str">
        <v>CódRastreio270</v>
      </c>
      <c r="H280" s="5">
        <v>1</v>
      </c>
      <c r="I280" s="182" t="str">
        <v>CPF 272</v>
      </c>
      <c r="J280" s="2" t="str">
        <v>Nome 272</v>
      </c>
      <c r="K280" s="8" t="str">
        <v>Tel 272</v>
      </c>
      <c r="L280" s="2" t="str">
        <v>Cep 272</v>
      </c>
      <c r="M280" s="2" t="str">
        <v>Rua 272</v>
      </c>
      <c r="N280" s="2" t="str">
        <v>Comp 272</v>
      </c>
      <c r="O280" s="2" t="str">
        <v>Suporte de Celular Branco</v>
      </c>
      <c r="P280" s="8" t="str">
        <v>16-4EDB-WMZF</v>
      </c>
      <c r="Q280" s="4">
        <v>45630</v>
      </c>
      <c r="R280" s="109">
        <v>15.1</v>
      </c>
      <c r="S280" s="11">
        <f ca="1"/>
        <v>15.1</v>
      </c>
      <c r="T280" s="28">
        <f ca="1"/>
        <v>2.2649999999999997</v>
      </c>
      <c r="U280" s="11">
        <f ca="1"/>
        <v>12.84</v>
      </c>
      <c r="V280" s="11">
        <v>4.99</v>
      </c>
      <c r="W280" s="11">
        <f ca="1"/>
        <v>0.31</v>
      </c>
      <c r="X280" s="11">
        <f ca="1"/>
        <v>0.39877104377104378</v>
      </c>
      <c r="Y280" s="11">
        <v>0</v>
      </c>
      <c r="Z280" s="11">
        <f ca="1"/>
        <v>7.1412289562289564</v>
      </c>
      <c r="AA280" s="11">
        <f ca="1"/>
        <v>3.5706144781144782</v>
      </c>
      <c r="AB280" s="4">
        <f ca="1"/>
        <v>45637</v>
      </c>
      <c r="AC280" s="4">
        <v>45637</v>
      </c>
      <c r="AD280" s="9">
        <v>45637</v>
      </c>
      <c r="AE280" s="9">
        <v>45642</v>
      </c>
      <c r="AF280" s="4" t="str">
        <f t="shared" ca="1" si="4"/>
        <v>2024 12</v>
      </c>
      <c r="AG280" s="8" t="str" cm="1">
        <f t="array" ref="AG280">IFERROR(_xlfn.IFS('Banco de Dados'!#REF!="AG. COMPRA","Em processamento",'Banco de Dados'!#REF!="AG. RASTREIO","Em processamento",'Banco de Dados'!$AE280&lt;&gt;"-","Faturado",'Banco de Dados'!$AD280&lt;&gt;"-","Aguardando Pix",'Banco de Dados'!$AC280&lt;&gt;"-","Pendente"),"Aguardando Liberação")</f>
        <v>Aguardando Liberação</v>
      </c>
      <c r="AH280" s="5" t="str">
        <f>IF('Banco de Dados'!$F280="-",_xlfn.CONCAT(PROPER(TEXT(AK280,"aaaa"))," ",PROPER(TEXT(AK280,"mm"))),_xlfn.CONCAT(PROPER(TEXT(E280,"aaaa"))," ",PROPER(TEXT(E280,"mm"))))</f>
        <v>2024 11</v>
      </c>
      <c r="AI280" s="9" t="str">
        <f ca="1">IF('Banco de Dados'!$AK280&lt;&gt;"-","REEMBOLSO",IFERROR(_xlfn.XLOOKUP(G280,Follow[CODRASTREIO],Follow[STATUS]),"-"))</f>
        <v>ENTREGUE</v>
      </c>
      <c r="AJ280" s="9">
        <f ca="1">IF('Banco de Dados'!$AI280="ENTREGUE",_xlfn.XLOOKUP('Banco de Dados'!$G280,Follow[CODRASTREIO],Follow[DATAATUALIZAÇÃO]),"-")</f>
        <v>45614</v>
      </c>
      <c r="AK280" s="9" t="str">
        <f ca="1"/>
        <v>-</v>
      </c>
      <c r="AL280" s="35" t="str">
        <v>NÃO</v>
      </c>
      <c r="AM280" s="109" cm="1">
        <f t="array" aca="1" ref="AM280" ca="1">IF('Banco de Dados'!$AK280&lt;&gt;"-",_xlfn.IFS('Banco de Dados'!$A280="bv",IF('Banco de Dados'!$E280&lt;45641,ROUND(SUM('Banco de Dados'!$R280*_xlfn.XLOOKUP('Banco de Dados'!$P280,Sku!B:B,Sku!#REF!)*20%),2),ROUND(SUM('Banco de Dados'!$R280*_xlfn.XLOOKUP('Banco de Dados'!$P280,Sku!B:B,Sku!H:H)*20%),2)),'Banco de Dados'!$A280="GO",ROUND(_xlfn.XLOOKUP('Banco de Dados'!$P280,Sku!C:C,Sku!H:H),2),'Banco de Dados'!$A280="MEI",ROUND(_xlfn.XLOOKUP('Banco de Dados'!$P280,Sku!D:D,Sku!H:H),2)),0)</f>
        <v>0</v>
      </c>
      <c r="AN280" s="109">
        <f ca="1">IF('Banco de Dados'!$AK280&lt;&gt;"-",IF('Banco de Dados'!$F280&lt;&gt;"-",_xlfn.XLOOKUP(IFERROR(IFERROR(IFERROR(VALUE(SUBSTITUTE(MID(_xlfn.TEXTAFTER('Banco de Dados'!$F280,"Data do Pedido:
",1),1,10),"-","/")),VALUE(SUBSTITUTE(MID(_xlfn.TEXTAFTER('Banco de Dados'!$F280,"Order date:
",1),1,10),"-","/"))),VALUE(SUBSTITUTE(MID(_xlfn.TEXTAFTER('Banco de Dados'!$F280,"Fecha de pedido:
",1),1,10),"-","/"))),"-"),SMS!A:A,SMS!K:K),0),0)</f>
        <v>0</v>
      </c>
      <c r="AO280" s="109">
        <f ca="1">IF('Banco de Dados'!$AK280&lt;&gt;"-",IF('Banco de Dados'!$F280&lt;&gt;"-",IFERROR(_xlfn.XLOOKUP(_xlfn.CONCAT('Banco de Dados'!$A280,IFERROR(IFERROR(VALUE(SUBSTITUTE(MID(_xlfn.TEXTAFTER('Banco de Dados'!$F280,"Data do Pedido:
",1),1,10),"-","/")),VALUE(SUBSTITUTE(MID(_xlfn.TEXTAFTER('Banco de Dados'!$F280,"Order date:
",1),1,10),"-","/"))),0)),ProxyDD[Chave],ProxyDD[Valor por pedido]),PROXY!$P$2),0),0)</f>
        <v>0</v>
      </c>
      <c r="AP280" s="28">
        <f ca="1">IF('Banco de Dados'!$AK280&lt;&gt;"-",IF('Banco de Dados'!$AL280="NÃO",IFERROR(VALUE(SUBSTITUTE(_xlfn.TEXTAFTER('Banco de Dados'!$F280,"BRL ",1),".",",")),0),0),0)</f>
        <v>0</v>
      </c>
      <c r="AQ280" s="28">
        <f ca="1">SUM('Banco de Dados'!$AM280:$AP280)</f>
        <v>0</v>
      </c>
      <c r="AR280" s="8"/>
      <c r="AS280" s="8"/>
      <c r="AY280" s="8"/>
    </row>
    <row r="281" spans="1:51">
      <c r="A281" s="5" t="str">
        <v>BV</v>
      </c>
      <c r="B281" s="5" t="str">
        <f ca="1"/>
        <v>BV45602</v>
      </c>
      <c r="C281" s="8" t="str">
        <v>Pedido 278</v>
      </c>
      <c r="D281" s="9">
        <v>45602</v>
      </c>
      <c r="E281" s="9">
        <v>45602</v>
      </c>
      <c r="F281" s="8" t="str">
        <v>PedidoF271</v>
      </c>
      <c r="G281" s="2" t="str">
        <v>CódRastreio271</v>
      </c>
      <c r="H281" s="5">
        <v>1</v>
      </c>
      <c r="I281" s="182" t="str">
        <v>CPF 273</v>
      </c>
      <c r="J281" s="2" t="str">
        <v>Nome 273</v>
      </c>
      <c r="K281" s="8" t="str">
        <v>Tel 273</v>
      </c>
      <c r="L281" s="2" t="str">
        <v>Cep 273</v>
      </c>
      <c r="M281" s="2" t="str">
        <v>Rua 273</v>
      </c>
      <c r="N281" s="2" t="str">
        <v>Comp 273</v>
      </c>
      <c r="O281" s="2" t="str">
        <v>Bomba d'agua</v>
      </c>
      <c r="P281" s="8" t="str">
        <v>DJ-RO5O-43GF</v>
      </c>
      <c r="Q281" s="4">
        <v>45618</v>
      </c>
      <c r="R281" s="109">
        <v>16.5</v>
      </c>
      <c r="S281" s="11">
        <f ca="1"/>
        <v>16.5</v>
      </c>
      <c r="T281" s="28">
        <f ca="1"/>
        <v>2.31</v>
      </c>
      <c r="U281" s="11">
        <f ca="1"/>
        <v>14.19</v>
      </c>
      <c r="V281" s="11">
        <v>4.99</v>
      </c>
      <c r="W281" s="11">
        <f ca="1"/>
        <v>0.31</v>
      </c>
      <c r="X281" s="11">
        <f ca="1"/>
        <v>0.39877104377104378</v>
      </c>
      <c r="Y281" s="11">
        <v>0</v>
      </c>
      <c r="Z281" s="11">
        <f ca="1"/>
        <v>8.4912289562289551</v>
      </c>
      <c r="AA281" s="11">
        <f ca="1"/>
        <v>4.2456144781144776</v>
      </c>
      <c r="AB281" s="4">
        <f ca="1"/>
        <v>45625</v>
      </c>
      <c r="AC281" s="4">
        <v>45625</v>
      </c>
      <c r="AD281" s="9">
        <v>45625</v>
      </c>
      <c r="AE281" s="9">
        <v>45625</v>
      </c>
      <c r="AF281" s="4" t="str">
        <f t="shared" ca="1" si="4"/>
        <v>2024 11</v>
      </c>
      <c r="AG281" s="8" t="str" cm="1">
        <f t="array" ref="AG281">IFERROR(_xlfn.IFS('Banco de Dados'!#REF!="AG. COMPRA","Em processamento",'Banco de Dados'!#REF!="AG. RASTREIO","Em processamento",'Banco de Dados'!$AE281&lt;&gt;"-","Faturado",'Banco de Dados'!$AD281&lt;&gt;"-","Aguardando Pix",'Banco de Dados'!$AC281&lt;&gt;"-","Pendente"),"Aguardando Liberação")</f>
        <v>Aguardando Liberação</v>
      </c>
      <c r="AH281" s="5" t="str">
        <f>IF('Banco de Dados'!$F281="-",_xlfn.CONCAT(PROPER(TEXT(AK281,"aaaa"))," ",PROPER(TEXT(AK281,"mm"))),_xlfn.CONCAT(PROPER(TEXT(E281,"aaaa"))," ",PROPER(TEXT(E281,"mm"))))</f>
        <v>2024 11</v>
      </c>
      <c r="AI281" s="9" t="str">
        <f ca="1">IF('Banco de Dados'!$AK281&lt;&gt;"-","REEMBOLSO",IFERROR(_xlfn.XLOOKUP(G281,Follow[CODRASTREIO],Follow[STATUS]),"-"))</f>
        <v>ENTREGUE</v>
      </c>
      <c r="AJ281" s="9">
        <f ca="1">IF('Banco de Dados'!$AI281="ENTREGUE",_xlfn.XLOOKUP('Banco de Dados'!$G281,Follow[CODRASTREIO],Follow[DATAATUALIZAÇÃO]),"-")</f>
        <v>45607</v>
      </c>
      <c r="AK281" s="9" t="str">
        <f ca="1"/>
        <v>-</v>
      </c>
      <c r="AL281" s="35" t="str">
        <v>NÃO</v>
      </c>
      <c r="AM281" s="109" cm="1">
        <f t="array" aca="1" ref="AM281" ca="1">IF('Banco de Dados'!$AK281&lt;&gt;"-",_xlfn.IFS('Banco de Dados'!$A281="bv",IF('Banco de Dados'!$E281&lt;45641,ROUND(SUM('Banco de Dados'!$R281*_xlfn.XLOOKUP('Banco de Dados'!$P281,Sku!B:B,Sku!#REF!)*20%),2),ROUND(SUM('Banco de Dados'!$R281*_xlfn.XLOOKUP('Banco de Dados'!$P281,Sku!B:B,Sku!H:H)*20%),2)),'Banco de Dados'!$A281="GO",ROUND(_xlfn.XLOOKUP('Banco de Dados'!$P281,Sku!C:C,Sku!H:H),2),'Banco de Dados'!$A281="MEI",ROUND(_xlfn.XLOOKUP('Banco de Dados'!$P281,Sku!D:D,Sku!H:H),2)),0)</f>
        <v>0</v>
      </c>
      <c r="AN281" s="109">
        <f ca="1">IF('Banco de Dados'!$AK281&lt;&gt;"-",IF('Banco de Dados'!$F281&lt;&gt;"-",_xlfn.XLOOKUP(IFERROR(IFERROR(IFERROR(VALUE(SUBSTITUTE(MID(_xlfn.TEXTAFTER('Banco de Dados'!$F281,"Data do Pedido:
",1),1,10),"-","/")),VALUE(SUBSTITUTE(MID(_xlfn.TEXTAFTER('Banco de Dados'!$F281,"Order date:
",1),1,10),"-","/"))),VALUE(SUBSTITUTE(MID(_xlfn.TEXTAFTER('Banco de Dados'!$F281,"Fecha de pedido:
",1),1,10),"-","/"))),"-"),SMS!A:A,SMS!K:K),0),0)</f>
        <v>0</v>
      </c>
      <c r="AO281" s="109">
        <f ca="1">IF('Banco de Dados'!$AK281&lt;&gt;"-",IF('Banco de Dados'!$F281&lt;&gt;"-",IFERROR(_xlfn.XLOOKUP(_xlfn.CONCAT('Banco de Dados'!$A281,IFERROR(IFERROR(VALUE(SUBSTITUTE(MID(_xlfn.TEXTAFTER('Banco de Dados'!$F281,"Data do Pedido:
",1),1,10),"-","/")),VALUE(SUBSTITUTE(MID(_xlfn.TEXTAFTER('Banco de Dados'!$F281,"Order date:
",1),1,10),"-","/"))),0)),ProxyDD[Chave],ProxyDD[Valor por pedido]),PROXY!$P$2),0),0)</f>
        <v>0</v>
      </c>
      <c r="AP281" s="28">
        <f ca="1">IF('Banco de Dados'!$AK281&lt;&gt;"-",IF('Banco de Dados'!$AL281="NÃO",IFERROR(VALUE(SUBSTITUTE(_xlfn.TEXTAFTER('Banco de Dados'!$F281,"BRL ",1),".",",")),0),0),0)</f>
        <v>0</v>
      </c>
      <c r="AQ281" s="28">
        <f ca="1">SUM('Banco de Dados'!$AM281:$AP281)</f>
        <v>0</v>
      </c>
      <c r="AR281" s="8"/>
      <c r="AS281" s="8"/>
      <c r="AY281" s="8"/>
    </row>
    <row r="282" spans="1:51">
      <c r="A282" s="5" t="str">
        <v>BV</v>
      </c>
      <c r="B282" s="5" t="str">
        <f ca="1"/>
        <v>BV45602</v>
      </c>
      <c r="C282" s="8" t="str">
        <v>Pedido 279</v>
      </c>
      <c r="D282" s="9">
        <v>45602</v>
      </c>
      <c r="E282" s="9">
        <v>45602</v>
      </c>
      <c r="F282" s="8" t="str">
        <v>PedidoF272</v>
      </c>
      <c r="G282" s="2" t="str">
        <v>CódRastreio272</v>
      </c>
      <c r="H282" s="5">
        <v>1</v>
      </c>
      <c r="I282" s="182" t="str">
        <v>CPF 274</v>
      </c>
      <c r="J282" s="2" t="str">
        <v>Nome 274</v>
      </c>
      <c r="K282" s="8" t="str">
        <v>Tel 274</v>
      </c>
      <c r="L282" s="2" t="str">
        <v>Cep 274</v>
      </c>
      <c r="M282" s="2" t="str">
        <v>Rua 274</v>
      </c>
      <c r="N282" s="2" t="str">
        <v>Comp 274</v>
      </c>
      <c r="O282" s="2" t="str">
        <v>Suporte de Celular Branco</v>
      </c>
      <c r="P282" s="8" t="str">
        <v>16-4EDB-WMZF</v>
      </c>
      <c r="Q282" s="4">
        <v>45630</v>
      </c>
      <c r="R282" s="109">
        <v>15.1</v>
      </c>
      <c r="S282" s="11">
        <f ca="1"/>
        <v>15.1</v>
      </c>
      <c r="T282" s="28">
        <f ca="1"/>
        <v>2.2649999999999997</v>
      </c>
      <c r="U282" s="11">
        <f ca="1"/>
        <v>12.84</v>
      </c>
      <c r="V282" s="11">
        <v>4.99</v>
      </c>
      <c r="W282" s="11">
        <f ca="1"/>
        <v>0.31</v>
      </c>
      <c r="X282" s="11">
        <f ca="1"/>
        <v>0.39877104377104378</v>
      </c>
      <c r="Y282" s="11">
        <v>0</v>
      </c>
      <c r="Z282" s="11">
        <f ca="1"/>
        <v>7.1412289562289564</v>
      </c>
      <c r="AA282" s="11">
        <f ca="1"/>
        <v>3.5706144781144782</v>
      </c>
      <c r="AB282" s="4">
        <f ca="1"/>
        <v>45637</v>
      </c>
      <c r="AC282" s="4">
        <v>45637</v>
      </c>
      <c r="AD282" s="9">
        <v>45637</v>
      </c>
      <c r="AE282" s="9">
        <v>45642</v>
      </c>
      <c r="AF282" s="4" t="str">
        <f t="shared" ca="1" si="4"/>
        <v>2024 12</v>
      </c>
      <c r="AG282" s="8" t="str" cm="1">
        <f t="array" ref="AG282">IFERROR(_xlfn.IFS('Banco de Dados'!#REF!="AG. COMPRA","Em processamento",'Banco de Dados'!#REF!="AG. RASTREIO","Em processamento",'Banco de Dados'!$AE282&lt;&gt;"-","Faturado",'Banco de Dados'!$AD282&lt;&gt;"-","Aguardando Pix",'Banco de Dados'!$AC282&lt;&gt;"-","Pendente"),"Aguardando Liberação")</f>
        <v>Aguardando Liberação</v>
      </c>
      <c r="AH282" s="5" t="str">
        <f>IF('Banco de Dados'!$F282="-",_xlfn.CONCAT(PROPER(TEXT(AK282,"aaaa"))," ",PROPER(TEXT(AK282,"mm"))),_xlfn.CONCAT(PROPER(TEXT(E282,"aaaa"))," ",PROPER(TEXT(E282,"mm"))))</f>
        <v>2024 11</v>
      </c>
      <c r="AI282" s="9" t="str">
        <f ca="1">IF('Banco de Dados'!$AK282&lt;&gt;"-","REEMBOLSO",IFERROR(_xlfn.XLOOKUP(G282,Follow[CODRASTREIO],Follow[STATUS]),"-"))</f>
        <v>ENTREGUE</v>
      </c>
      <c r="AJ282" s="9">
        <f ca="1">IF('Banco de Dados'!$AI282="ENTREGUE",_xlfn.XLOOKUP('Banco de Dados'!$G282,Follow[CODRASTREIO],Follow[DATAATUALIZAÇÃO]),"-")</f>
        <v>45619</v>
      </c>
      <c r="AK282" s="9" t="str">
        <f ca="1"/>
        <v>-</v>
      </c>
      <c r="AL282" s="35" t="str">
        <v>NÃO</v>
      </c>
      <c r="AM282" s="109" cm="1">
        <f t="array" aca="1" ref="AM282" ca="1">IF('Banco de Dados'!$AK282&lt;&gt;"-",_xlfn.IFS('Banco de Dados'!$A282="bv",IF('Banco de Dados'!$E282&lt;45641,ROUND(SUM('Banco de Dados'!$R282*_xlfn.XLOOKUP('Banco de Dados'!$P282,Sku!B:B,Sku!#REF!)*20%),2),ROUND(SUM('Banco de Dados'!$R282*_xlfn.XLOOKUP('Banco de Dados'!$P282,Sku!B:B,Sku!H:H)*20%),2)),'Banco de Dados'!$A282="GO",ROUND(_xlfn.XLOOKUP('Banco de Dados'!$P282,Sku!C:C,Sku!H:H),2),'Banco de Dados'!$A282="MEI",ROUND(_xlfn.XLOOKUP('Banco de Dados'!$P282,Sku!D:D,Sku!H:H),2)),0)</f>
        <v>0</v>
      </c>
      <c r="AN282" s="109">
        <f ca="1">IF('Banco de Dados'!$AK282&lt;&gt;"-",IF('Banco de Dados'!$F282&lt;&gt;"-",_xlfn.XLOOKUP(IFERROR(IFERROR(IFERROR(VALUE(SUBSTITUTE(MID(_xlfn.TEXTAFTER('Banco de Dados'!$F282,"Data do Pedido:
",1),1,10),"-","/")),VALUE(SUBSTITUTE(MID(_xlfn.TEXTAFTER('Banco de Dados'!$F282,"Order date:
",1),1,10),"-","/"))),VALUE(SUBSTITUTE(MID(_xlfn.TEXTAFTER('Banco de Dados'!$F282,"Fecha de pedido:
",1),1,10),"-","/"))),"-"),SMS!A:A,SMS!K:K),0),0)</f>
        <v>0</v>
      </c>
      <c r="AO282" s="109">
        <f ca="1">IF('Banco de Dados'!$AK282&lt;&gt;"-",IF('Banco de Dados'!$F282&lt;&gt;"-",IFERROR(_xlfn.XLOOKUP(_xlfn.CONCAT('Banco de Dados'!$A282,IFERROR(IFERROR(VALUE(SUBSTITUTE(MID(_xlfn.TEXTAFTER('Banco de Dados'!$F282,"Data do Pedido:
",1),1,10),"-","/")),VALUE(SUBSTITUTE(MID(_xlfn.TEXTAFTER('Banco de Dados'!$F282,"Order date:
",1),1,10),"-","/"))),0)),ProxyDD[Chave],ProxyDD[Valor por pedido]),PROXY!$P$2),0),0)</f>
        <v>0</v>
      </c>
      <c r="AP282" s="28">
        <f ca="1">IF('Banco de Dados'!$AK282&lt;&gt;"-",IF('Banco de Dados'!$AL282="NÃO",IFERROR(VALUE(SUBSTITUTE(_xlfn.TEXTAFTER('Banco de Dados'!$F282,"BRL ",1),".",",")),0),0),0)</f>
        <v>0</v>
      </c>
      <c r="AQ282" s="28">
        <f ca="1">SUM('Banco de Dados'!$AM282:$AP282)</f>
        <v>0</v>
      </c>
      <c r="AR282" s="8"/>
      <c r="AS282" s="8"/>
      <c r="AY282" s="8"/>
    </row>
    <row r="283" spans="1:51">
      <c r="A283" s="5" t="str">
        <v>BV</v>
      </c>
      <c r="B283" s="5" t="str">
        <f ca="1"/>
        <v>BV45602</v>
      </c>
      <c r="C283" s="8" t="str">
        <v>Pedido 280</v>
      </c>
      <c r="D283" s="9">
        <v>45602</v>
      </c>
      <c r="E283" s="9">
        <v>45602</v>
      </c>
      <c r="F283" s="8" t="str">
        <v>PedidoF273</v>
      </c>
      <c r="G283" s="2" t="str">
        <v>CódRastreio273</v>
      </c>
      <c r="H283" s="5">
        <v>1</v>
      </c>
      <c r="I283" s="182" t="str">
        <v>CPF 275</v>
      </c>
      <c r="J283" s="2" t="str">
        <v>Nome 275</v>
      </c>
      <c r="K283" s="8" t="str">
        <v>Tel 275</v>
      </c>
      <c r="L283" s="2" t="str">
        <v>Cep 275</v>
      </c>
      <c r="M283" s="2" t="str">
        <v>Rua 275</v>
      </c>
      <c r="N283" s="2" t="str">
        <v>Comp 275</v>
      </c>
      <c r="O283" s="2" t="str">
        <v>Suporte de Celular Branco</v>
      </c>
      <c r="P283" s="8" t="str">
        <v>16-4EDB-WMZF</v>
      </c>
      <c r="Q283" s="4">
        <v>45630</v>
      </c>
      <c r="R283" s="109">
        <v>15.1</v>
      </c>
      <c r="S283" s="11">
        <f ca="1"/>
        <v>15.1</v>
      </c>
      <c r="T283" s="28">
        <f ca="1"/>
        <v>2.2649999999999997</v>
      </c>
      <c r="U283" s="11">
        <f ca="1"/>
        <v>12.84</v>
      </c>
      <c r="V283" s="11">
        <v>4.99</v>
      </c>
      <c r="W283" s="11">
        <f ca="1"/>
        <v>0.31</v>
      </c>
      <c r="X283" s="11">
        <f ca="1"/>
        <v>0.39877104377104378</v>
      </c>
      <c r="Y283" s="11">
        <v>0</v>
      </c>
      <c r="Z283" s="11">
        <f ca="1"/>
        <v>7.1412289562289564</v>
      </c>
      <c r="AA283" s="11">
        <f ca="1"/>
        <v>3.5706144781144782</v>
      </c>
      <c r="AB283" s="4">
        <f ca="1"/>
        <v>45637</v>
      </c>
      <c r="AC283" s="4">
        <v>45637</v>
      </c>
      <c r="AD283" s="9">
        <v>45637</v>
      </c>
      <c r="AE283" s="9">
        <v>45642</v>
      </c>
      <c r="AF283" s="4" t="str">
        <f t="shared" ca="1" si="4"/>
        <v>2024 12</v>
      </c>
      <c r="AG283" s="8" t="str" cm="1">
        <f t="array" ref="AG283">IFERROR(_xlfn.IFS('Banco de Dados'!#REF!="AG. COMPRA","Em processamento",'Banco de Dados'!#REF!="AG. RASTREIO","Em processamento",'Banco de Dados'!$AE283&lt;&gt;"-","Faturado",'Banco de Dados'!$AD283&lt;&gt;"-","Aguardando Pix",'Banco de Dados'!$AC283&lt;&gt;"-","Pendente"),"Aguardando Liberação")</f>
        <v>Aguardando Liberação</v>
      </c>
      <c r="AH283" s="5" t="str">
        <f>IF('Banco de Dados'!$F283="-",_xlfn.CONCAT(PROPER(TEXT(AK283,"aaaa"))," ",PROPER(TEXT(AK283,"mm"))),_xlfn.CONCAT(PROPER(TEXT(E283,"aaaa"))," ",PROPER(TEXT(E283,"mm"))))</f>
        <v>2024 11</v>
      </c>
      <c r="AI283" s="9" t="str">
        <f ca="1">IF('Banco de Dados'!$AK283&lt;&gt;"-","REEMBOLSO",IFERROR(_xlfn.XLOOKUP(G283,Follow[CODRASTREIO],Follow[STATUS]),"-"))</f>
        <v>ENTREGUE</v>
      </c>
      <c r="AJ283" s="9">
        <f ca="1">IF('Banco de Dados'!$AI283="ENTREGUE",_xlfn.XLOOKUP('Banco de Dados'!$G283,Follow[CODRASTREIO],Follow[DATAATUALIZAÇÃO]),"-")</f>
        <v>45615</v>
      </c>
      <c r="AK283" s="9" t="str">
        <f ca="1"/>
        <v>-</v>
      </c>
      <c r="AL283" s="35" t="str">
        <v>NÃO</v>
      </c>
      <c r="AM283" s="109" cm="1">
        <f t="array" aca="1" ref="AM283" ca="1">IF('Banco de Dados'!$AK283&lt;&gt;"-",_xlfn.IFS('Banco de Dados'!$A283="bv",IF('Banco de Dados'!$E283&lt;45641,ROUND(SUM('Banco de Dados'!$R283*_xlfn.XLOOKUP('Banco de Dados'!$P283,Sku!B:B,Sku!#REF!)*20%),2),ROUND(SUM('Banco de Dados'!$R283*_xlfn.XLOOKUP('Banco de Dados'!$P283,Sku!B:B,Sku!H:H)*20%),2)),'Banco de Dados'!$A283="GO",ROUND(_xlfn.XLOOKUP('Banco de Dados'!$P283,Sku!C:C,Sku!H:H),2),'Banco de Dados'!$A283="MEI",ROUND(_xlfn.XLOOKUP('Banco de Dados'!$P283,Sku!D:D,Sku!H:H),2)),0)</f>
        <v>0</v>
      </c>
      <c r="AN283" s="109">
        <f ca="1">IF('Banco de Dados'!$AK283&lt;&gt;"-",IF('Banco de Dados'!$F283&lt;&gt;"-",_xlfn.XLOOKUP(IFERROR(IFERROR(IFERROR(VALUE(SUBSTITUTE(MID(_xlfn.TEXTAFTER('Banco de Dados'!$F283,"Data do Pedido:
",1),1,10),"-","/")),VALUE(SUBSTITUTE(MID(_xlfn.TEXTAFTER('Banco de Dados'!$F283,"Order date:
",1),1,10),"-","/"))),VALUE(SUBSTITUTE(MID(_xlfn.TEXTAFTER('Banco de Dados'!$F283,"Fecha de pedido:
",1),1,10),"-","/"))),"-"),SMS!A:A,SMS!K:K),0),0)</f>
        <v>0</v>
      </c>
      <c r="AO283" s="109">
        <f ca="1">IF('Banco de Dados'!$AK283&lt;&gt;"-",IF('Banco de Dados'!$F283&lt;&gt;"-",IFERROR(_xlfn.XLOOKUP(_xlfn.CONCAT('Banco de Dados'!$A283,IFERROR(IFERROR(VALUE(SUBSTITUTE(MID(_xlfn.TEXTAFTER('Banco de Dados'!$F283,"Data do Pedido:
",1),1,10),"-","/")),VALUE(SUBSTITUTE(MID(_xlfn.TEXTAFTER('Banco de Dados'!$F283,"Order date:
",1),1,10),"-","/"))),0)),ProxyDD[Chave],ProxyDD[Valor por pedido]),PROXY!$P$2),0),0)</f>
        <v>0</v>
      </c>
      <c r="AP283" s="28">
        <f ca="1">IF('Banco de Dados'!$AK283&lt;&gt;"-",IF('Banco de Dados'!$AL283="NÃO",IFERROR(VALUE(SUBSTITUTE(_xlfn.TEXTAFTER('Banco de Dados'!$F283,"BRL ",1),".",",")),0),0),0)</f>
        <v>0</v>
      </c>
      <c r="AQ283" s="28">
        <f ca="1">SUM('Banco de Dados'!$AM283:$AP283)</f>
        <v>0</v>
      </c>
      <c r="AR283" s="8"/>
      <c r="AS283" s="8"/>
      <c r="AY283" s="8"/>
    </row>
    <row r="284" spans="1:51">
      <c r="A284" s="5" t="str">
        <v>BV</v>
      </c>
      <c r="B284" s="5" t="str">
        <f ca="1"/>
        <v>BV45602</v>
      </c>
      <c r="C284" s="8" t="str">
        <v>Pedido 281</v>
      </c>
      <c r="D284" s="9">
        <v>45602</v>
      </c>
      <c r="E284" s="9">
        <v>45602</v>
      </c>
      <c r="F284" s="8" t="str">
        <v>PedidoF274</v>
      </c>
      <c r="G284" s="2" t="str">
        <v>CódRastreio274</v>
      </c>
      <c r="H284" s="5">
        <v>1</v>
      </c>
      <c r="I284" s="182" t="str">
        <v>CPF 276</v>
      </c>
      <c r="J284" s="2" t="str">
        <v>Nome 276</v>
      </c>
      <c r="K284" s="8" t="str">
        <v>Tel 276</v>
      </c>
      <c r="L284" s="2" t="str">
        <v>Cep 276</v>
      </c>
      <c r="M284" s="2" t="str">
        <v>Rua 276</v>
      </c>
      <c r="N284" s="2" t="str">
        <v>Comp 276</v>
      </c>
      <c r="O284" s="2" t="str">
        <v>Bomba d'agua</v>
      </c>
      <c r="P284" s="8" t="str">
        <v>DJ-RO5O-43GF</v>
      </c>
      <c r="Q284" s="4">
        <v>45618</v>
      </c>
      <c r="R284" s="109">
        <v>16.5</v>
      </c>
      <c r="S284" s="11">
        <f ca="1"/>
        <v>16.5</v>
      </c>
      <c r="T284" s="28">
        <f ca="1"/>
        <v>2.31</v>
      </c>
      <c r="U284" s="11">
        <f ca="1"/>
        <v>14.19</v>
      </c>
      <c r="V284" s="11">
        <v>4.99</v>
      </c>
      <c r="W284" s="11">
        <f ca="1"/>
        <v>0.31</v>
      </c>
      <c r="X284" s="11">
        <f ca="1"/>
        <v>0.39877104377104378</v>
      </c>
      <c r="Y284" s="11">
        <v>0</v>
      </c>
      <c r="Z284" s="11">
        <f ca="1"/>
        <v>8.4912289562289551</v>
      </c>
      <c r="AA284" s="11">
        <f ca="1"/>
        <v>4.2456144781144776</v>
      </c>
      <c r="AB284" s="4">
        <f ca="1"/>
        <v>45625</v>
      </c>
      <c r="AC284" s="4">
        <v>45625</v>
      </c>
      <c r="AD284" s="9">
        <v>45625</v>
      </c>
      <c r="AE284" s="9">
        <v>45625</v>
      </c>
      <c r="AF284" s="4" t="str">
        <f t="shared" ca="1" si="4"/>
        <v>2024 11</v>
      </c>
      <c r="AG284" s="8" t="str" cm="1">
        <f t="array" ref="AG284">IFERROR(_xlfn.IFS('Banco de Dados'!#REF!="AG. COMPRA","Em processamento",'Banco de Dados'!#REF!="AG. RASTREIO","Em processamento",'Banco de Dados'!$AE284&lt;&gt;"-","Faturado",'Banco de Dados'!$AD284&lt;&gt;"-","Aguardando Pix",'Banco de Dados'!$AC284&lt;&gt;"-","Pendente"),"Aguardando Liberação")</f>
        <v>Aguardando Liberação</v>
      </c>
      <c r="AH284" s="5" t="str">
        <f>IF('Banco de Dados'!$F284="-",_xlfn.CONCAT(PROPER(TEXT(AK284,"aaaa"))," ",PROPER(TEXT(AK284,"mm"))),_xlfn.CONCAT(PROPER(TEXT(E284,"aaaa"))," ",PROPER(TEXT(E284,"mm"))))</f>
        <v>2024 11</v>
      </c>
      <c r="AI284" s="9" t="str">
        <f ca="1">IF('Banco de Dados'!$AK284&lt;&gt;"-","REEMBOLSO",IFERROR(_xlfn.XLOOKUP(G284,Follow[CODRASTREIO],Follow[STATUS]),"-"))</f>
        <v>ENTREGUE</v>
      </c>
      <c r="AJ284" s="9">
        <f ca="1">IF('Banco de Dados'!$AI284="ENTREGUE",_xlfn.XLOOKUP('Banco de Dados'!$G284,Follow[CODRASTREIO],Follow[DATAATUALIZAÇÃO]),"-")</f>
        <v>45610</v>
      </c>
      <c r="AK284" s="9" t="str">
        <f ca="1"/>
        <v>-</v>
      </c>
      <c r="AL284" s="35" t="str">
        <v>NÃO</v>
      </c>
      <c r="AM284" s="109" cm="1">
        <f t="array" aca="1" ref="AM284" ca="1">IF('Banco de Dados'!$AK284&lt;&gt;"-",_xlfn.IFS('Banco de Dados'!$A284="bv",IF('Banco de Dados'!$E284&lt;45641,ROUND(SUM('Banco de Dados'!$R284*_xlfn.XLOOKUP('Banco de Dados'!$P284,Sku!B:B,Sku!#REF!)*20%),2),ROUND(SUM('Banco de Dados'!$R284*_xlfn.XLOOKUP('Banco de Dados'!$P284,Sku!B:B,Sku!H:H)*20%),2)),'Banco de Dados'!$A284="GO",ROUND(_xlfn.XLOOKUP('Banco de Dados'!$P284,Sku!C:C,Sku!H:H),2),'Banco de Dados'!$A284="MEI",ROUND(_xlfn.XLOOKUP('Banco de Dados'!$P284,Sku!D:D,Sku!H:H),2)),0)</f>
        <v>0</v>
      </c>
      <c r="AN284" s="109">
        <f ca="1">IF('Banco de Dados'!$AK284&lt;&gt;"-",IF('Banco de Dados'!$F284&lt;&gt;"-",_xlfn.XLOOKUP(IFERROR(IFERROR(IFERROR(VALUE(SUBSTITUTE(MID(_xlfn.TEXTAFTER('Banco de Dados'!$F284,"Data do Pedido:
",1),1,10),"-","/")),VALUE(SUBSTITUTE(MID(_xlfn.TEXTAFTER('Banco de Dados'!$F284,"Order date:
",1),1,10),"-","/"))),VALUE(SUBSTITUTE(MID(_xlfn.TEXTAFTER('Banco de Dados'!$F284,"Fecha de pedido:
",1),1,10),"-","/"))),"-"),SMS!A:A,SMS!K:K),0),0)</f>
        <v>0</v>
      </c>
      <c r="AO284" s="109">
        <f ca="1">IF('Banco de Dados'!$AK284&lt;&gt;"-",IF('Banco de Dados'!$F284&lt;&gt;"-",IFERROR(_xlfn.XLOOKUP(_xlfn.CONCAT('Banco de Dados'!$A284,IFERROR(IFERROR(VALUE(SUBSTITUTE(MID(_xlfn.TEXTAFTER('Banco de Dados'!$F284,"Data do Pedido:
",1),1,10),"-","/")),VALUE(SUBSTITUTE(MID(_xlfn.TEXTAFTER('Banco de Dados'!$F284,"Order date:
",1),1,10),"-","/"))),0)),ProxyDD[Chave],ProxyDD[Valor por pedido]),PROXY!$P$2),0),0)</f>
        <v>0</v>
      </c>
      <c r="AP284" s="28">
        <f ca="1">IF('Banco de Dados'!$AK284&lt;&gt;"-",IF('Banco de Dados'!$AL284="NÃO",IFERROR(VALUE(SUBSTITUTE(_xlfn.TEXTAFTER('Banco de Dados'!$F284,"BRL ",1),".",",")),0),0),0)</f>
        <v>0</v>
      </c>
      <c r="AQ284" s="28">
        <f ca="1">SUM('Banco de Dados'!$AM284:$AP284)</f>
        <v>0</v>
      </c>
      <c r="AR284" s="8"/>
      <c r="AS284" s="8"/>
      <c r="AY284" s="8"/>
    </row>
    <row r="285" spans="1:51">
      <c r="A285" s="5" t="str">
        <v>BV</v>
      </c>
      <c r="B285" s="5" t="str">
        <f ca="1"/>
        <v>BV45602</v>
      </c>
      <c r="C285" s="8" t="str">
        <v>Pedido 282</v>
      </c>
      <c r="D285" s="9">
        <v>45602</v>
      </c>
      <c r="E285" s="9">
        <v>45602</v>
      </c>
      <c r="F285" s="8" t="str">
        <v>PedidoF275</v>
      </c>
      <c r="G285" s="2" t="str">
        <v>CódRastreio275</v>
      </c>
      <c r="H285" s="5">
        <v>1</v>
      </c>
      <c r="I285" s="182" t="str">
        <v>CPF 277</v>
      </c>
      <c r="J285" s="2" t="str">
        <v>Nome 277</v>
      </c>
      <c r="K285" s="8" t="str">
        <v>Tel 277</v>
      </c>
      <c r="L285" s="2" t="str">
        <v>Cep 277</v>
      </c>
      <c r="M285" s="2" t="str">
        <v>Rua 277</v>
      </c>
      <c r="N285" s="2" t="str">
        <v>Comp 277</v>
      </c>
      <c r="O285" s="2" t="str">
        <v>Multi Processador 5 Laminas</v>
      </c>
      <c r="P285" s="8" t="str">
        <v>T9-P952-TL6A</v>
      </c>
      <c r="Q285" s="4">
        <v>45618</v>
      </c>
      <c r="R285" s="109">
        <v>23.8</v>
      </c>
      <c r="S285" s="11">
        <f ca="1"/>
        <v>23.8</v>
      </c>
      <c r="T285" s="28">
        <f ca="1"/>
        <v>3.0940000000000003</v>
      </c>
      <c r="U285" s="11">
        <f ca="1"/>
        <v>20.71</v>
      </c>
      <c r="V285" s="11">
        <v>10.039999999999999</v>
      </c>
      <c r="W285" s="11">
        <f ca="1"/>
        <v>0.31</v>
      </c>
      <c r="X285" s="11">
        <f ca="1"/>
        <v>0.39877104377104378</v>
      </c>
      <c r="Y285" s="11">
        <v>0</v>
      </c>
      <c r="Z285" s="11">
        <f ca="1"/>
        <v>9.9612289562289575</v>
      </c>
      <c r="AA285" s="11">
        <f ca="1"/>
        <v>4.9806144781144788</v>
      </c>
      <c r="AB285" s="4">
        <f ca="1"/>
        <v>45625</v>
      </c>
      <c r="AC285" s="4">
        <v>45625</v>
      </c>
      <c r="AD285" s="9">
        <v>45625</v>
      </c>
      <c r="AE285" s="9">
        <v>45625</v>
      </c>
      <c r="AF285" s="4" t="str">
        <f t="shared" ca="1" si="4"/>
        <v>2024 11</v>
      </c>
      <c r="AG285" s="8" t="str" cm="1">
        <f t="array" ref="AG285">IFERROR(_xlfn.IFS('Banco de Dados'!#REF!="AG. COMPRA","Em processamento",'Banco de Dados'!#REF!="AG. RASTREIO","Em processamento",'Banco de Dados'!$AE285&lt;&gt;"-","Faturado",'Banco de Dados'!$AD285&lt;&gt;"-","Aguardando Pix",'Banco de Dados'!$AC285&lt;&gt;"-","Pendente"),"Aguardando Liberação")</f>
        <v>Aguardando Liberação</v>
      </c>
      <c r="AH285" s="5" t="str">
        <f>IF('Banco de Dados'!$F285="-",_xlfn.CONCAT(PROPER(TEXT(AK285,"aaaa"))," ",PROPER(TEXT(AK285,"mm"))),_xlfn.CONCAT(PROPER(TEXT(E285,"aaaa"))," ",PROPER(TEXT(E285,"mm"))))</f>
        <v>2024 11</v>
      </c>
      <c r="AI285" s="9" t="str">
        <f ca="1">IF('Banco de Dados'!$AK285&lt;&gt;"-","REEMBOLSO",IFERROR(_xlfn.XLOOKUP(G285,Follow[CODRASTREIO],Follow[STATUS]),"-"))</f>
        <v>ENTREGUE</v>
      </c>
      <c r="AJ285" s="9">
        <f ca="1">IF('Banco de Dados'!$AI285="ENTREGUE",_xlfn.XLOOKUP('Banco de Dados'!$G285,Follow[CODRASTREIO],Follow[DATAATUALIZAÇÃO]),"-")</f>
        <v>45607</v>
      </c>
      <c r="AK285" s="9" t="str">
        <f ca="1"/>
        <v>-</v>
      </c>
      <c r="AL285" s="35" t="str">
        <v>NÃO</v>
      </c>
      <c r="AM285" s="109" cm="1">
        <f t="array" aca="1" ref="AM285" ca="1">IF('Banco de Dados'!$AK285&lt;&gt;"-",_xlfn.IFS('Banco de Dados'!$A285="bv",IF('Banco de Dados'!$E285&lt;45641,ROUND(SUM('Banco de Dados'!$R285*_xlfn.XLOOKUP('Banco de Dados'!$P285,Sku!B:B,Sku!#REF!)*20%),2),ROUND(SUM('Banco de Dados'!$R285*_xlfn.XLOOKUP('Banco de Dados'!$P285,Sku!B:B,Sku!H:H)*20%),2)),'Banco de Dados'!$A285="GO",ROUND(_xlfn.XLOOKUP('Banco de Dados'!$P285,Sku!C:C,Sku!H:H),2),'Banco de Dados'!$A285="MEI",ROUND(_xlfn.XLOOKUP('Banco de Dados'!$P285,Sku!D:D,Sku!H:H),2)),0)</f>
        <v>0</v>
      </c>
      <c r="AN285" s="109">
        <f ca="1">IF('Banco de Dados'!$AK285&lt;&gt;"-",IF('Banco de Dados'!$F285&lt;&gt;"-",_xlfn.XLOOKUP(IFERROR(IFERROR(IFERROR(VALUE(SUBSTITUTE(MID(_xlfn.TEXTAFTER('Banco de Dados'!$F285,"Data do Pedido:
",1),1,10),"-","/")),VALUE(SUBSTITUTE(MID(_xlfn.TEXTAFTER('Banco de Dados'!$F285,"Order date:
",1),1,10),"-","/"))),VALUE(SUBSTITUTE(MID(_xlfn.TEXTAFTER('Banco de Dados'!$F285,"Fecha de pedido:
",1),1,10),"-","/"))),"-"),SMS!A:A,SMS!K:K),0),0)</f>
        <v>0</v>
      </c>
      <c r="AO285" s="109">
        <f ca="1">IF('Banco de Dados'!$AK285&lt;&gt;"-",IF('Banco de Dados'!$F285&lt;&gt;"-",IFERROR(_xlfn.XLOOKUP(_xlfn.CONCAT('Banco de Dados'!$A285,IFERROR(IFERROR(VALUE(SUBSTITUTE(MID(_xlfn.TEXTAFTER('Banco de Dados'!$F285,"Data do Pedido:
",1),1,10),"-","/")),VALUE(SUBSTITUTE(MID(_xlfn.TEXTAFTER('Banco de Dados'!$F285,"Order date:
",1),1,10),"-","/"))),0)),ProxyDD[Chave],ProxyDD[Valor por pedido]),PROXY!$P$2),0),0)</f>
        <v>0</v>
      </c>
      <c r="AP285" s="28">
        <f ca="1">IF('Banco de Dados'!$AK285&lt;&gt;"-",IF('Banco de Dados'!$AL285="NÃO",IFERROR(VALUE(SUBSTITUTE(_xlfn.TEXTAFTER('Banco de Dados'!$F285,"BRL ",1),".",",")),0),0),0)</f>
        <v>0</v>
      </c>
      <c r="AQ285" s="28">
        <f ca="1">SUM('Banco de Dados'!$AM285:$AP285)</f>
        <v>0</v>
      </c>
      <c r="AR285" s="8"/>
      <c r="AS285" s="8"/>
      <c r="AY285" s="8"/>
    </row>
    <row r="286" spans="1:51">
      <c r="A286" s="5" t="str">
        <v>BV</v>
      </c>
      <c r="B286" s="5" t="str">
        <f ca="1"/>
        <v>BV45602</v>
      </c>
      <c r="C286" s="8" t="str">
        <v>Pedido 283</v>
      </c>
      <c r="D286" s="9">
        <v>45602</v>
      </c>
      <c r="E286" s="9">
        <v>45602</v>
      </c>
      <c r="F286" s="8" t="str">
        <v>PedidoF276</v>
      </c>
      <c r="G286" s="2" t="str">
        <v>CódRastreio276</v>
      </c>
      <c r="H286" s="5">
        <v>1</v>
      </c>
      <c r="I286" s="182" t="str">
        <v>CPF 278</v>
      </c>
      <c r="J286" s="2" t="str">
        <v>Nome 278</v>
      </c>
      <c r="K286" s="8" t="str">
        <v>Tel 278</v>
      </c>
      <c r="L286" s="2" t="str">
        <v>Cep 278</v>
      </c>
      <c r="M286" s="2" t="str">
        <v>Rua 278</v>
      </c>
      <c r="N286" s="2" t="str">
        <v>Comp 278</v>
      </c>
      <c r="O286" s="2" t="str">
        <v>Adaptador Bluetooph</v>
      </c>
      <c r="P286" s="8" t="str">
        <v>YA-AG3H-SPUK</v>
      </c>
      <c r="Q286" s="4">
        <v>45618</v>
      </c>
      <c r="R286" s="109">
        <v>16.5</v>
      </c>
      <c r="S286" s="11">
        <f ca="1"/>
        <v>16.5</v>
      </c>
      <c r="T286" s="28">
        <f ca="1"/>
        <v>1.98</v>
      </c>
      <c r="U286" s="11">
        <f ca="1"/>
        <v>14.52</v>
      </c>
      <c r="V286" s="11">
        <v>5.48</v>
      </c>
      <c r="W286" s="11">
        <f ca="1"/>
        <v>0.31</v>
      </c>
      <c r="X286" s="11">
        <f ca="1"/>
        <v>0.39877104377104378</v>
      </c>
      <c r="Y286" s="11">
        <v>0</v>
      </c>
      <c r="Z286" s="11">
        <f ca="1"/>
        <v>8.331228956228955</v>
      </c>
      <c r="AA286" s="11">
        <f ca="1"/>
        <v>4.1656144781144775</v>
      </c>
      <c r="AB286" s="4">
        <f ca="1"/>
        <v>45625</v>
      </c>
      <c r="AC286" s="4">
        <v>45625</v>
      </c>
      <c r="AD286" s="9">
        <v>45625</v>
      </c>
      <c r="AE286" s="9">
        <v>45625</v>
      </c>
      <c r="AF286" s="4" t="str">
        <f t="shared" ca="1" si="4"/>
        <v>2024 11</v>
      </c>
      <c r="AG286" s="8" t="str" cm="1">
        <f t="array" ref="AG286">IFERROR(_xlfn.IFS('Banco de Dados'!#REF!="AG. COMPRA","Em processamento",'Banco de Dados'!#REF!="AG. RASTREIO","Em processamento",'Banco de Dados'!$AE286&lt;&gt;"-","Faturado",'Banco de Dados'!$AD286&lt;&gt;"-","Aguardando Pix",'Banco de Dados'!$AC286&lt;&gt;"-","Pendente"),"Aguardando Liberação")</f>
        <v>Aguardando Liberação</v>
      </c>
      <c r="AH286" s="5" t="str">
        <f>IF('Banco de Dados'!$F286="-",_xlfn.CONCAT(PROPER(TEXT(AK286,"aaaa"))," ",PROPER(TEXT(AK286,"mm"))),_xlfn.CONCAT(PROPER(TEXT(E286,"aaaa"))," ",PROPER(TEXT(E286,"mm"))))</f>
        <v>2024 11</v>
      </c>
      <c r="AI286" s="9" t="str">
        <f ca="1">IF('Banco de Dados'!$AK286&lt;&gt;"-","REEMBOLSO",IFERROR(_xlfn.XLOOKUP(G286,Follow[CODRASTREIO],Follow[STATUS]),"-"))</f>
        <v>ENTREGUE</v>
      </c>
      <c r="AJ286" s="9">
        <f ca="1">IF('Banco de Dados'!$AI286="ENTREGUE",_xlfn.XLOOKUP('Banco de Dados'!$G286,Follow[CODRASTREIO],Follow[DATAATUALIZAÇÃO]),"-")</f>
        <v>45607</v>
      </c>
      <c r="AK286" s="9" t="str">
        <f ca="1"/>
        <v>-</v>
      </c>
      <c r="AL286" s="35" t="str">
        <v>NÃO</v>
      </c>
      <c r="AM286" s="109" cm="1">
        <f t="array" aca="1" ref="AM286" ca="1">IF('Banco de Dados'!$AK286&lt;&gt;"-",_xlfn.IFS('Banco de Dados'!$A286="bv",IF('Banco de Dados'!$E286&lt;45641,ROUND(SUM('Banco de Dados'!$R286*_xlfn.XLOOKUP('Banco de Dados'!$P286,Sku!B:B,Sku!#REF!)*20%),2),ROUND(SUM('Banco de Dados'!$R286*_xlfn.XLOOKUP('Banco de Dados'!$P286,Sku!B:B,Sku!H:H)*20%),2)),'Banco de Dados'!$A286="GO",ROUND(_xlfn.XLOOKUP('Banco de Dados'!$P286,Sku!C:C,Sku!H:H),2),'Banco de Dados'!$A286="MEI",ROUND(_xlfn.XLOOKUP('Banco de Dados'!$P286,Sku!D:D,Sku!H:H),2)),0)</f>
        <v>0</v>
      </c>
      <c r="AN286" s="109">
        <f ca="1">IF('Banco de Dados'!$AK286&lt;&gt;"-",IF('Banco de Dados'!$F286&lt;&gt;"-",_xlfn.XLOOKUP(IFERROR(IFERROR(IFERROR(VALUE(SUBSTITUTE(MID(_xlfn.TEXTAFTER('Banco de Dados'!$F286,"Data do Pedido:
",1),1,10),"-","/")),VALUE(SUBSTITUTE(MID(_xlfn.TEXTAFTER('Banco de Dados'!$F286,"Order date:
",1),1,10),"-","/"))),VALUE(SUBSTITUTE(MID(_xlfn.TEXTAFTER('Banco de Dados'!$F286,"Fecha de pedido:
",1),1,10),"-","/"))),"-"),SMS!A:A,SMS!K:K),0),0)</f>
        <v>0</v>
      </c>
      <c r="AO286" s="109">
        <f ca="1">IF('Banco de Dados'!$AK286&lt;&gt;"-",IF('Banco de Dados'!$F286&lt;&gt;"-",IFERROR(_xlfn.XLOOKUP(_xlfn.CONCAT('Banco de Dados'!$A286,IFERROR(IFERROR(VALUE(SUBSTITUTE(MID(_xlfn.TEXTAFTER('Banco de Dados'!$F286,"Data do Pedido:
",1),1,10),"-","/")),VALUE(SUBSTITUTE(MID(_xlfn.TEXTAFTER('Banco de Dados'!$F286,"Order date:
",1),1,10),"-","/"))),0)),ProxyDD[Chave],ProxyDD[Valor por pedido]),PROXY!$P$2),0),0)</f>
        <v>0</v>
      </c>
      <c r="AP286" s="28">
        <f ca="1">IF('Banco de Dados'!$AK286&lt;&gt;"-",IF('Banco de Dados'!$AL286="NÃO",IFERROR(VALUE(SUBSTITUTE(_xlfn.TEXTAFTER('Banco de Dados'!$F286,"BRL ",1),".",",")),0),0),0)</f>
        <v>0</v>
      </c>
      <c r="AQ286" s="28">
        <f ca="1">SUM('Banco de Dados'!$AM286:$AP286)</f>
        <v>0</v>
      </c>
      <c r="AR286" s="8"/>
      <c r="AS286" s="8"/>
      <c r="AY286" s="8"/>
    </row>
    <row r="287" spans="1:51">
      <c r="A287" s="5" t="str">
        <v>BV</v>
      </c>
      <c r="B287" s="5" t="str">
        <f ca="1"/>
        <v>BV45602</v>
      </c>
      <c r="C287" s="8" t="str">
        <v>Pedido 284</v>
      </c>
      <c r="D287" s="9">
        <v>45602</v>
      </c>
      <c r="E287" s="9">
        <v>45602</v>
      </c>
      <c r="F287" s="8" t="str">
        <v>PedidoF277</v>
      </c>
      <c r="G287" s="2" t="str">
        <v>CódRastreio277</v>
      </c>
      <c r="H287" s="5">
        <v>1</v>
      </c>
      <c r="I287" s="182" t="str">
        <v>CPF 279</v>
      </c>
      <c r="J287" s="2" t="str">
        <v>Nome 279</v>
      </c>
      <c r="K287" s="8" t="str">
        <v>Tel 279</v>
      </c>
      <c r="L287" s="2" t="str">
        <v>Cep 279</v>
      </c>
      <c r="M287" s="2" t="str">
        <v>Rua 279</v>
      </c>
      <c r="N287" s="2" t="str">
        <v>Comp 279</v>
      </c>
      <c r="O287" s="2" t="str">
        <v>Bomba d'agua</v>
      </c>
      <c r="P287" s="8" t="str">
        <v>DJ-RO5O-43GF</v>
      </c>
      <c r="Q287" s="4">
        <v>45630</v>
      </c>
      <c r="R287" s="109">
        <v>16.5</v>
      </c>
      <c r="S287" s="11">
        <f ca="1"/>
        <v>16.5</v>
      </c>
      <c r="T287" s="28">
        <f ca="1"/>
        <v>2.31</v>
      </c>
      <c r="U287" s="11">
        <f ca="1"/>
        <v>14.19</v>
      </c>
      <c r="V287" s="11">
        <v>4.99</v>
      </c>
      <c r="W287" s="11">
        <f ca="1"/>
        <v>0.31</v>
      </c>
      <c r="X287" s="11">
        <f ca="1"/>
        <v>0.39877104377104378</v>
      </c>
      <c r="Y287" s="11">
        <v>0</v>
      </c>
      <c r="Z287" s="11">
        <f ca="1"/>
        <v>8.4912289562289551</v>
      </c>
      <c r="AA287" s="11">
        <f ca="1"/>
        <v>4.2456144781144776</v>
      </c>
      <c r="AB287" s="4">
        <f ca="1"/>
        <v>45637</v>
      </c>
      <c r="AC287" s="4">
        <v>45637</v>
      </c>
      <c r="AD287" s="9">
        <v>45637</v>
      </c>
      <c r="AE287" s="9">
        <v>45642</v>
      </c>
      <c r="AF287" s="4" t="str">
        <f t="shared" ca="1" si="4"/>
        <v>2024 12</v>
      </c>
      <c r="AG287" s="8" t="str" cm="1">
        <f t="array" ref="AG287">IFERROR(_xlfn.IFS('Banco de Dados'!#REF!="AG. COMPRA","Em processamento",'Banco de Dados'!#REF!="AG. RASTREIO","Em processamento",'Banco de Dados'!$AE287&lt;&gt;"-","Faturado",'Banco de Dados'!$AD287&lt;&gt;"-","Aguardando Pix",'Banco de Dados'!$AC287&lt;&gt;"-","Pendente"),"Aguardando Liberação")</f>
        <v>Aguardando Liberação</v>
      </c>
      <c r="AH287" s="5" t="str">
        <f>IF('Banco de Dados'!$F287="-",_xlfn.CONCAT(PROPER(TEXT(AK287,"aaaa"))," ",PROPER(TEXT(AK287,"mm"))),_xlfn.CONCAT(PROPER(TEXT(E287,"aaaa"))," ",PROPER(TEXT(E287,"mm"))))</f>
        <v>2024 11</v>
      </c>
      <c r="AI287" s="9" t="str">
        <f ca="1">IF('Banco de Dados'!$AK287&lt;&gt;"-","REEMBOLSO",IFERROR(_xlfn.XLOOKUP(G287,Follow[CODRASTREIO],Follow[STATUS]),"-"))</f>
        <v>ENTREGUE</v>
      </c>
      <c r="AJ287" s="9">
        <f ca="1">IF('Banco de Dados'!$AI287="ENTREGUE",_xlfn.XLOOKUP('Banco de Dados'!$G287,Follow[CODRASTREIO],Follow[DATAATUALIZAÇÃO]),"-")</f>
        <v>45610</v>
      </c>
      <c r="AK287" s="9" t="str">
        <f ca="1"/>
        <v>-</v>
      </c>
      <c r="AL287" s="35" t="str">
        <v>NÃO</v>
      </c>
      <c r="AM287" s="109" cm="1">
        <f t="array" aca="1" ref="AM287" ca="1">IF('Banco de Dados'!$AK287&lt;&gt;"-",_xlfn.IFS('Banco de Dados'!$A287="bv",IF('Banco de Dados'!$E287&lt;45641,ROUND(SUM('Banco de Dados'!$R287*_xlfn.XLOOKUP('Banco de Dados'!$P287,Sku!B:B,Sku!#REF!)*20%),2),ROUND(SUM('Banco de Dados'!$R287*_xlfn.XLOOKUP('Banco de Dados'!$P287,Sku!B:B,Sku!H:H)*20%),2)),'Banco de Dados'!$A287="GO",ROUND(_xlfn.XLOOKUP('Banco de Dados'!$P287,Sku!C:C,Sku!H:H),2),'Banco de Dados'!$A287="MEI",ROUND(_xlfn.XLOOKUP('Banco de Dados'!$P287,Sku!D:D,Sku!H:H),2)),0)</f>
        <v>0</v>
      </c>
      <c r="AN287" s="109">
        <f ca="1">IF('Banco de Dados'!$AK287&lt;&gt;"-",IF('Banco de Dados'!$F287&lt;&gt;"-",_xlfn.XLOOKUP(IFERROR(IFERROR(IFERROR(VALUE(SUBSTITUTE(MID(_xlfn.TEXTAFTER('Banco de Dados'!$F287,"Data do Pedido:
",1),1,10),"-","/")),VALUE(SUBSTITUTE(MID(_xlfn.TEXTAFTER('Banco de Dados'!$F287,"Order date:
",1),1,10),"-","/"))),VALUE(SUBSTITUTE(MID(_xlfn.TEXTAFTER('Banco de Dados'!$F287,"Fecha de pedido:
",1),1,10),"-","/"))),"-"),SMS!A:A,SMS!K:K),0),0)</f>
        <v>0</v>
      </c>
      <c r="AO287" s="109">
        <f ca="1">IF('Banco de Dados'!$AK287&lt;&gt;"-",IF('Banco de Dados'!$F287&lt;&gt;"-",IFERROR(_xlfn.XLOOKUP(_xlfn.CONCAT('Banco de Dados'!$A287,IFERROR(IFERROR(VALUE(SUBSTITUTE(MID(_xlfn.TEXTAFTER('Banco de Dados'!$F287,"Data do Pedido:
",1),1,10),"-","/")),VALUE(SUBSTITUTE(MID(_xlfn.TEXTAFTER('Banco de Dados'!$F287,"Order date:
",1),1,10),"-","/"))),0)),ProxyDD[Chave],ProxyDD[Valor por pedido]),PROXY!$P$2),0),0)</f>
        <v>0</v>
      </c>
      <c r="AP287" s="28">
        <f ca="1">IF('Banco de Dados'!$AK287&lt;&gt;"-",IF('Banco de Dados'!$AL287="NÃO",IFERROR(VALUE(SUBSTITUTE(_xlfn.TEXTAFTER('Banco de Dados'!$F287,"BRL ",1),".",",")),0),0),0)</f>
        <v>0</v>
      </c>
      <c r="AQ287" s="28">
        <f ca="1">SUM('Banco de Dados'!$AM287:$AP287)</f>
        <v>0</v>
      </c>
      <c r="AR287" s="8"/>
      <c r="AS287" s="8"/>
      <c r="AY287" s="8"/>
    </row>
    <row r="288" spans="1:51">
      <c r="A288" s="5" t="str">
        <v>BV</v>
      </c>
      <c r="B288" s="5" t="str">
        <f ca="1"/>
        <v>BV45602</v>
      </c>
      <c r="C288" s="8" t="str">
        <v>Pedido 285</v>
      </c>
      <c r="D288" s="9">
        <v>45602</v>
      </c>
      <c r="E288" s="9">
        <v>45602</v>
      </c>
      <c r="F288" s="8" t="str">
        <v>PedidoF278</v>
      </c>
      <c r="G288" s="2" t="str">
        <v>CódRastreio278</v>
      </c>
      <c r="H288" s="5">
        <v>1</v>
      </c>
      <c r="I288" s="182" t="str">
        <v>CPF 280</v>
      </c>
      <c r="J288" s="2" t="str">
        <v>Nome 280</v>
      </c>
      <c r="K288" s="8" t="str">
        <v>Tel 280</v>
      </c>
      <c r="L288" s="2" t="str">
        <v>Cep 280</v>
      </c>
      <c r="M288" s="2" t="str">
        <v>Rua 280</v>
      </c>
      <c r="N288" s="2" t="str">
        <v>Comp 280</v>
      </c>
      <c r="O288" s="2" t="str">
        <v>Suporte de Celular Branco</v>
      </c>
      <c r="P288" s="8" t="str">
        <v>16-4EDB-WMZF</v>
      </c>
      <c r="Q288" s="4">
        <v>45637</v>
      </c>
      <c r="R288" s="109">
        <v>15.1</v>
      </c>
      <c r="S288" s="11">
        <f ca="1"/>
        <v>15.1</v>
      </c>
      <c r="T288" s="28">
        <f ca="1"/>
        <v>2.2649999999999997</v>
      </c>
      <c r="U288" s="11">
        <f ca="1"/>
        <v>12.84</v>
      </c>
      <c r="V288" s="11">
        <v>7.31</v>
      </c>
      <c r="W288" s="11">
        <f ca="1"/>
        <v>0.31</v>
      </c>
      <c r="X288" s="11">
        <f ca="1"/>
        <v>0.39877104377104378</v>
      </c>
      <c r="Y288" s="11">
        <v>0</v>
      </c>
      <c r="Z288" s="11">
        <f ca="1"/>
        <v>4.821228956228957</v>
      </c>
      <c r="AA288" s="11">
        <f ca="1"/>
        <v>2.4106144781144785</v>
      </c>
      <c r="AB288" s="4">
        <f ca="1"/>
        <v>45644</v>
      </c>
      <c r="AC288" s="4">
        <v>45644</v>
      </c>
      <c r="AD288" s="9">
        <v>45651</v>
      </c>
      <c r="AE288" s="9">
        <v>45659</v>
      </c>
      <c r="AF288" s="4" t="str">
        <f t="shared" ca="1" si="4"/>
        <v>2024 12</v>
      </c>
      <c r="AG288" s="8" t="str" cm="1">
        <f t="array" ref="AG288">IFERROR(_xlfn.IFS('Banco de Dados'!#REF!="AG. COMPRA","Em processamento",'Banco de Dados'!#REF!="AG. RASTREIO","Em processamento",'Banco de Dados'!$AE288&lt;&gt;"-","Faturado",'Banco de Dados'!$AD288&lt;&gt;"-","Aguardando Pix",'Banco de Dados'!$AC288&lt;&gt;"-","Pendente"),"Aguardando Liberação")</f>
        <v>Aguardando Liberação</v>
      </c>
      <c r="AH288" s="5" t="str">
        <f>IF('Banco de Dados'!$F288="-",_xlfn.CONCAT(PROPER(TEXT(AK288,"aaaa"))," ",PROPER(TEXT(AK288,"mm"))),_xlfn.CONCAT(PROPER(TEXT(E288,"aaaa"))," ",PROPER(TEXT(E288,"mm"))))</f>
        <v>2024 11</v>
      </c>
      <c r="AI288" s="9" t="str">
        <f ca="1">IF('Banco de Dados'!$AK288&lt;&gt;"-","REEMBOLSO",IFERROR(_xlfn.XLOOKUP(G288,Follow[CODRASTREIO],Follow[STATUS]),"-"))</f>
        <v>ENTREGUE</v>
      </c>
      <c r="AJ288" s="9">
        <f ca="1">IF('Banco de Dados'!$AI288="ENTREGUE",_xlfn.XLOOKUP('Banco de Dados'!$G288,Follow[CODRASTREIO],Follow[DATAATUALIZAÇÃO]),"-")</f>
        <v>45621</v>
      </c>
      <c r="AK288" s="9" t="str">
        <f ca="1"/>
        <v>-</v>
      </c>
      <c r="AL288" s="35" t="str">
        <v>NÃO</v>
      </c>
      <c r="AM288" s="109" cm="1">
        <f t="array" aca="1" ref="AM288" ca="1">IF('Banco de Dados'!$AK288&lt;&gt;"-",_xlfn.IFS('Banco de Dados'!$A288="bv",IF('Banco de Dados'!$E288&lt;45641,ROUND(SUM('Banco de Dados'!$R288*_xlfn.XLOOKUP('Banco de Dados'!$P288,Sku!B:B,Sku!#REF!)*20%),2),ROUND(SUM('Banco de Dados'!$R288*_xlfn.XLOOKUP('Banco de Dados'!$P288,Sku!B:B,Sku!H:H)*20%),2)),'Banco de Dados'!$A288="GO",ROUND(_xlfn.XLOOKUP('Banco de Dados'!$P288,Sku!C:C,Sku!H:H),2),'Banco de Dados'!$A288="MEI",ROUND(_xlfn.XLOOKUP('Banco de Dados'!$P288,Sku!D:D,Sku!H:H),2)),0)</f>
        <v>0</v>
      </c>
      <c r="AN288" s="109">
        <f ca="1">IF('Banco de Dados'!$AK288&lt;&gt;"-",IF('Banco de Dados'!$F288&lt;&gt;"-",_xlfn.XLOOKUP(IFERROR(IFERROR(IFERROR(VALUE(SUBSTITUTE(MID(_xlfn.TEXTAFTER('Banco de Dados'!$F288,"Data do Pedido:
",1),1,10),"-","/")),VALUE(SUBSTITUTE(MID(_xlfn.TEXTAFTER('Banco de Dados'!$F288,"Order date:
",1),1,10),"-","/"))),VALUE(SUBSTITUTE(MID(_xlfn.TEXTAFTER('Banco de Dados'!$F288,"Fecha de pedido:
",1),1,10),"-","/"))),"-"),SMS!A:A,SMS!K:K),0),0)</f>
        <v>0</v>
      </c>
      <c r="AO288" s="109">
        <f ca="1">IF('Banco de Dados'!$AK288&lt;&gt;"-",IF('Banco de Dados'!$F288&lt;&gt;"-",IFERROR(_xlfn.XLOOKUP(_xlfn.CONCAT('Banco de Dados'!$A288,IFERROR(IFERROR(VALUE(SUBSTITUTE(MID(_xlfn.TEXTAFTER('Banco de Dados'!$F288,"Data do Pedido:
",1),1,10),"-","/")),VALUE(SUBSTITUTE(MID(_xlfn.TEXTAFTER('Banco de Dados'!$F288,"Order date:
",1),1,10),"-","/"))),0)),ProxyDD[Chave],ProxyDD[Valor por pedido]),PROXY!$P$2),0),0)</f>
        <v>0</v>
      </c>
      <c r="AP288" s="28">
        <f ca="1">IF('Banco de Dados'!$AK288&lt;&gt;"-",IF('Banco de Dados'!$AL288="NÃO",IFERROR(VALUE(SUBSTITUTE(_xlfn.TEXTAFTER('Banco de Dados'!$F288,"BRL ",1),".",",")),0),0),0)</f>
        <v>0</v>
      </c>
      <c r="AQ288" s="28">
        <f ca="1">SUM('Banco de Dados'!$AM288:$AP288)</f>
        <v>0</v>
      </c>
      <c r="AR288" s="8"/>
      <c r="AS288" s="8"/>
      <c r="AY288" s="8"/>
    </row>
    <row r="289" spans="1:51">
      <c r="A289" s="5" t="str">
        <v>BV</v>
      </c>
      <c r="B289" s="5" t="str">
        <f ca="1"/>
        <v>BV45602</v>
      </c>
      <c r="C289" s="8" t="str">
        <v>Pedido 286</v>
      </c>
      <c r="D289" s="9">
        <v>45602</v>
      </c>
      <c r="E289" s="9">
        <v>45602</v>
      </c>
      <c r="F289" s="8" t="str">
        <v>PedidoF279</v>
      </c>
      <c r="G289" s="2" t="str">
        <v>CódRastreio279</v>
      </c>
      <c r="H289" s="5">
        <v>1</v>
      </c>
      <c r="I289" s="182" t="str">
        <v>CPF 281</v>
      </c>
      <c r="J289" s="2" t="str">
        <v>Nome 281</v>
      </c>
      <c r="K289" s="8" t="str">
        <v>Tel 281</v>
      </c>
      <c r="L289" s="2" t="str">
        <v>Cep 281</v>
      </c>
      <c r="M289" s="2" t="str">
        <v>Rua 281</v>
      </c>
      <c r="N289" s="2" t="str">
        <v>Comp 281</v>
      </c>
      <c r="O289" s="2" t="str">
        <v>Suporte de Celular Branco</v>
      </c>
      <c r="P289" s="8" t="str">
        <v>16-4EDB-WMZF</v>
      </c>
      <c r="Q289" s="4">
        <v>45630</v>
      </c>
      <c r="R289" s="109">
        <v>15.1</v>
      </c>
      <c r="S289" s="11">
        <f ca="1"/>
        <v>15.1</v>
      </c>
      <c r="T289" s="28">
        <f ca="1"/>
        <v>2.2649999999999997</v>
      </c>
      <c r="U289" s="11">
        <f ca="1"/>
        <v>12.84</v>
      </c>
      <c r="V289" s="11">
        <v>4.99</v>
      </c>
      <c r="W289" s="11">
        <f ca="1"/>
        <v>0.31</v>
      </c>
      <c r="X289" s="11">
        <f ca="1"/>
        <v>0.39877104377104378</v>
      </c>
      <c r="Y289" s="11">
        <v>0</v>
      </c>
      <c r="Z289" s="11">
        <f ca="1"/>
        <v>7.1412289562289564</v>
      </c>
      <c r="AA289" s="11">
        <f ca="1"/>
        <v>3.5706144781144782</v>
      </c>
      <c r="AB289" s="4">
        <f ca="1"/>
        <v>45637</v>
      </c>
      <c r="AC289" s="4">
        <v>45637</v>
      </c>
      <c r="AD289" s="9">
        <v>45637</v>
      </c>
      <c r="AE289" s="9">
        <v>45642</v>
      </c>
      <c r="AF289" s="4" t="str">
        <f t="shared" ca="1" si="4"/>
        <v>2024 12</v>
      </c>
      <c r="AG289" s="8" t="str" cm="1">
        <f t="array" ref="AG289">IFERROR(_xlfn.IFS('Banco de Dados'!#REF!="AG. COMPRA","Em processamento",'Banco de Dados'!#REF!="AG. RASTREIO","Em processamento",'Banco de Dados'!$AE289&lt;&gt;"-","Faturado",'Banco de Dados'!$AD289&lt;&gt;"-","Aguardando Pix",'Banco de Dados'!$AC289&lt;&gt;"-","Pendente"),"Aguardando Liberação")</f>
        <v>Aguardando Liberação</v>
      </c>
      <c r="AH289" s="5" t="str">
        <f>IF('Banco de Dados'!$F289="-",_xlfn.CONCAT(PROPER(TEXT(AK289,"aaaa"))," ",PROPER(TEXT(AK289,"mm"))),_xlfn.CONCAT(PROPER(TEXT(E289,"aaaa"))," ",PROPER(TEXT(E289,"mm"))))</f>
        <v>2024 11</v>
      </c>
      <c r="AI289" s="9" t="str">
        <f ca="1">IF('Banco de Dados'!$AK289&lt;&gt;"-","REEMBOLSO",IFERROR(_xlfn.XLOOKUP(G289,Follow[CODRASTREIO],Follow[STATUS]),"-"))</f>
        <v>ENTREGUE</v>
      </c>
      <c r="AJ289" s="9">
        <f ca="1">IF('Banco de Dados'!$AI289="ENTREGUE",_xlfn.XLOOKUP('Banco de Dados'!$G289,Follow[CODRASTREIO],Follow[DATAATUALIZAÇÃO]),"-")</f>
        <v>45616</v>
      </c>
      <c r="AK289" s="9" t="str">
        <f ca="1"/>
        <v>-</v>
      </c>
      <c r="AL289" s="35" t="str">
        <v>NÃO</v>
      </c>
      <c r="AM289" s="109" cm="1">
        <f t="array" aca="1" ref="AM289" ca="1">IF('Banco de Dados'!$AK289&lt;&gt;"-",_xlfn.IFS('Banco de Dados'!$A289="bv",IF('Banco de Dados'!$E289&lt;45641,ROUND(SUM('Banco de Dados'!$R289*_xlfn.XLOOKUP('Banco de Dados'!$P289,Sku!B:B,Sku!#REF!)*20%),2),ROUND(SUM('Banco de Dados'!$R289*_xlfn.XLOOKUP('Banco de Dados'!$P289,Sku!B:B,Sku!H:H)*20%),2)),'Banco de Dados'!$A289="GO",ROUND(_xlfn.XLOOKUP('Banco de Dados'!$P289,Sku!C:C,Sku!H:H),2),'Banco de Dados'!$A289="MEI",ROUND(_xlfn.XLOOKUP('Banco de Dados'!$P289,Sku!D:D,Sku!H:H),2)),0)</f>
        <v>0</v>
      </c>
      <c r="AN289" s="109">
        <f ca="1">IF('Banco de Dados'!$AK289&lt;&gt;"-",IF('Banco de Dados'!$F289&lt;&gt;"-",_xlfn.XLOOKUP(IFERROR(IFERROR(IFERROR(VALUE(SUBSTITUTE(MID(_xlfn.TEXTAFTER('Banco de Dados'!$F289,"Data do Pedido:
",1),1,10),"-","/")),VALUE(SUBSTITUTE(MID(_xlfn.TEXTAFTER('Banco de Dados'!$F289,"Order date:
",1),1,10),"-","/"))),VALUE(SUBSTITUTE(MID(_xlfn.TEXTAFTER('Banco de Dados'!$F289,"Fecha de pedido:
",1),1,10),"-","/"))),"-"),SMS!A:A,SMS!K:K),0),0)</f>
        <v>0</v>
      </c>
      <c r="AO289" s="109">
        <f ca="1">IF('Banco de Dados'!$AK289&lt;&gt;"-",IF('Banco de Dados'!$F289&lt;&gt;"-",IFERROR(_xlfn.XLOOKUP(_xlfn.CONCAT('Banco de Dados'!$A289,IFERROR(IFERROR(VALUE(SUBSTITUTE(MID(_xlfn.TEXTAFTER('Banco de Dados'!$F289,"Data do Pedido:
",1),1,10),"-","/")),VALUE(SUBSTITUTE(MID(_xlfn.TEXTAFTER('Banco de Dados'!$F289,"Order date:
",1),1,10),"-","/"))),0)),ProxyDD[Chave],ProxyDD[Valor por pedido]),PROXY!$P$2),0),0)</f>
        <v>0</v>
      </c>
      <c r="AP289" s="28">
        <f ca="1">IF('Banco de Dados'!$AK289&lt;&gt;"-",IF('Banco de Dados'!$AL289="NÃO",IFERROR(VALUE(SUBSTITUTE(_xlfn.TEXTAFTER('Banco de Dados'!$F289,"BRL ",1),".",",")),0),0),0)</f>
        <v>0</v>
      </c>
      <c r="AQ289" s="28">
        <f ca="1">SUM('Banco de Dados'!$AM289:$AP289)</f>
        <v>0</v>
      </c>
      <c r="AR289" s="8"/>
      <c r="AS289" s="8"/>
      <c r="AY289" s="8"/>
    </row>
    <row r="290" spans="1:51">
      <c r="A290" s="5" t="str">
        <v>BV</v>
      </c>
      <c r="B290" s="5" t="str">
        <f ca="1"/>
        <v>BV45602</v>
      </c>
      <c r="C290" s="8" t="str">
        <v>Pedido 287</v>
      </c>
      <c r="D290" s="9">
        <v>45602</v>
      </c>
      <c r="E290" s="9">
        <v>45602</v>
      </c>
      <c r="F290" s="8" t="str">
        <v>PedidoF280</v>
      </c>
      <c r="G290" s="2" t="str">
        <v>CódRastreio280</v>
      </c>
      <c r="H290" s="5">
        <v>1</v>
      </c>
      <c r="I290" s="182" t="str">
        <v>CPF 282</v>
      </c>
      <c r="J290" s="2" t="str">
        <v>Nome 282</v>
      </c>
      <c r="K290" s="8" t="str">
        <v>Tel 282</v>
      </c>
      <c r="L290" s="2" t="str">
        <v>Cep 282</v>
      </c>
      <c r="M290" s="2" t="str">
        <v>Rua 282</v>
      </c>
      <c r="N290" s="2" t="str">
        <v>Comp 282</v>
      </c>
      <c r="O290" s="2" t="str">
        <v>Suporte de Celular Branco</v>
      </c>
      <c r="P290" s="8" t="str">
        <v>16-4EDB-WMZF</v>
      </c>
      <c r="Q290" s="4">
        <v>45624</v>
      </c>
      <c r="R290" s="109">
        <v>15.1</v>
      </c>
      <c r="S290" s="11">
        <f ca="1"/>
        <v>15.1</v>
      </c>
      <c r="T290" s="28">
        <f ca="1"/>
        <v>2.2649999999999997</v>
      </c>
      <c r="U290" s="11">
        <f ca="1"/>
        <v>12.84</v>
      </c>
      <c r="V290" s="11">
        <v>4.99</v>
      </c>
      <c r="W290" s="11">
        <f ca="1"/>
        <v>0.31</v>
      </c>
      <c r="X290" s="11">
        <f ca="1"/>
        <v>0.39877104377104378</v>
      </c>
      <c r="Y290" s="11">
        <v>0</v>
      </c>
      <c r="Z290" s="11">
        <f ca="1"/>
        <v>7.1412289562289564</v>
      </c>
      <c r="AA290" s="11">
        <f ca="1"/>
        <v>3.5706144781144782</v>
      </c>
      <c r="AB290" s="4">
        <f ca="1"/>
        <v>45631</v>
      </c>
      <c r="AC290" s="4">
        <v>45631</v>
      </c>
      <c r="AD290" s="9">
        <v>45637</v>
      </c>
      <c r="AE290" s="9">
        <v>45642</v>
      </c>
      <c r="AF290" s="4" t="str">
        <f t="shared" ca="1" si="4"/>
        <v>2024 12</v>
      </c>
      <c r="AG290" s="8" t="str" cm="1">
        <f t="array" ref="AG290">IFERROR(_xlfn.IFS('Banco de Dados'!#REF!="AG. COMPRA","Em processamento",'Banco de Dados'!#REF!="AG. RASTREIO","Em processamento",'Banco de Dados'!$AE290&lt;&gt;"-","Faturado",'Banco de Dados'!$AD290&lt;&gt;"-","Aguardando Pix",'Banco de Dados'!$AC290&lt;&gt;"-","Pendente"),"Aguardando Liberação")</f>
        <v>Aguardando Liberação</v>
      </c>
      <c r="AH290" s="5" t="str">
        <f>IF('Banco de Dados'!$F290="-",_xlfn.CONCAT(PROPER(TEXT(AK290,"aaaa"))," ",PROPER(TEXT(AK290,"mm"))),_xlfn.CONCAT(PROPER(TEXT(E290,"aaaa"))," ",PROPER(TEXT(E290,"mm"))))</f>
        <v>2024 11</v>
      </c>
      <c r="AI290" s="9" t="str">
        <f ca="1">IF('Banco de Dados'!$AK290&lt;&gt;"-","REEMBOLSO",IFERROR(_xlfn.XLOOKUP(G290,Follow[CODRASTREIO],Follow[STATUS]),"-"))</f>
        <v>ENTREGUE</v>
      </c>
      <c r="AJ290" s="9">
        <f ca="1">IF('Banco de Dados'!$AI290="ENTREGUE",_xlfn.XLOOKUP('Banco de Dados'!$G290,Follow[CODRASTREIO],Follow[DATAATUALIZAÇÃO]),"-")</f>
        <v>45610</v>
      </c>
      <c r="AK290" s="9" t="str">
        <f ca="1"/>
        <v>-</v>
      </c>
      <c r="AL290" s="35" t="str">
        <v>NÃO</v>
      </c>
      <c r="AM290" s="109" cm="1">
        <f t="array" aca="1" ref="AM290" ca="1">IF('Banco de Dados'!$AK290&lt;&gt;"-",_xlfn.IFS('Banco de Dados'!$A290="bv",IF('Banco de Dados'!$E290&lt;45641,ROUND(SUM('Banco de Dados'!$R290*_xlfn.XLOOKUP('Banco de Dados'!$P290,Sku!B:B,Sku!#REF!)*20%),2),ROUND(SUM('Banco de Dados'!$R290*_xlfn.XLOOKUP('Banco de Dados'!$P290,Sku!B:B,Sku!H:H)*20%),2)),'Banco de Dados'!$A290="GO",ROUND(_xlfn.XLOOKUP('Banco de Dados'!$P290,Sku!C:C,Sku!H:H),2),'Banco de Dados'!$A290="MEI",ROUND(_xlfn.XLOOKUP('Banco de Dados'!$P290,Sku!D:D,Sku!H:H),2)),0)</f>
        <v>0</v>
      </c>
      <c r="AN290" s="109">
        <f ca="1">IF('Banco de Dados'!$AK290&lt;&gt;"-",IF('Banco de Dados'!$F290&lt;&gt;"-",_xlfn.XLOOKUP(IFERROR(IFERROR(IFERROR(VALUE(SUBSTITUTE(MID(_xlfn.TEXTAFTER('Banco de Dados'!$F290,"Data do Pedido:
",1),1,10),"-","/")),VALUE(SUBSTITUTE(MID(_xlfn.TEXTAFTER('Banco de Dados'!$F290,"Order date:
",1),1,10),"-","/"))),VALUE(SUBSTITUTE(MID(_xlfn.TEXTAFTER('Banco de Dados'!$F290,"Fecha de pedido:
",1),1,10),"-","/"))),"-"),SMS!A:A,SMS!K:K),0),0)</f>
        <v>0</v>
      </c>
      <c r="AO290" s="109">
        <f ca="1">IF('Banco de Dados'!$AK290&lt;&gt;"-",IF('Banco de Dados'!$F290&lt;&gt;"-",IFERROR(_xlfn.XLOOKUP(_xlfn.CONCAT('Banco de Dados'!$A290,IFERROR(IFERROR(VALUE(SUBSTITUTE(MID(_xlfn.TEXTAFTER('Banco de Dados'!$F290,"Data do Pedido:
",1),1,10),"-","/")),VALUE(SUBSTITUTE(MID(_xlfn.TEXTAFTER('Banco de Dados'!$F290,"Order date:
",1),1,10),"-","/"))),0)),ProxyDD[Chave],ProxyDD[Valor por pedido]),PROXY!$P$2),0),0)</f>
        <v>0</v>
      </c>
      <c r="AP290" s="28">
        <f ca="1">IF('Banco de Dados'!$AK290&lt;&gt;"-",IF('Banco de Dados'!$AL290="NÃO",IFERROR(VALUE(SUBSTITUTE(_xlfn.TEXTAFTER('Banco de Dados'!$F290,"BRL ",1),".",",")),0),0),0)</f>
        <v>0</v>
      </c>
      <c r="AQ290" s="28">
        <f ca="1">SUM('Banco de Dados'!$AM290:$AP290)</f>
        <v>0</v>
      </c>
      <c r="AR290" s="8"/>
      <c r="AS290" s="8"/>
      <c r="AY290" s="8"/>
    </row>
    <row r="291" spans="1:51">
      <c r="A291" s="5" t="str">
        <v>BV</v>
      </c>
      <c r="B291" s="5" t="str">
        <f ca="1"/>
        <v>BV45602</v>
      </c>
      <c r="C291" s="8" t="str">
        <v>Pedido 288</v>
      </c>
      <c r="D291" s="9">
        <v>45602</v>
      </c>
      <c r="E291" s="9">
        <v>45602</v>
      </c>
      <c r="F291" s="8" t="str">
        <v>PedidoF281</v>
      </c>
      <c r="G291" s="2" t="str">
        <v>CódRastreio281</v>
      </c>
      <c r="H291" s="5">
        <v>1</v>
      </c>
      <c r="I291" s="182" t="str">
        <v>CPF 283</v>
      </c>
      <c r="J291" s="2" t="str">
        <v>Nome 283</v>
      </c>
      <c r="K291" s="8" t="str">
        <v>Tel 283</v>
      </c>
      <c r="L291" s="2" t="str">
        <v>Cep 283</v>
      </c>
      <c r="M291" s="2" t="str">
        <v>Rua 283</v>
      </c>
      <c r="N291" s="2" t="str">
        <v>Comp 283</v>
      </c>
      <c r="O291" s="2" t="str">
        <v>Bomba d'agua</v>
      </c>
      <c r="P291" s="8" t="str">
        <v>DJ-RO5O-43GF</v>
      </c>
      <c r="Q291" s="4">
        <v>45622</v>
      </c>
      <c r="R291" s="109">
        <v>16.5</v>
      </c>
      <c r="S291" s="11">
        <f ca="1"/>
        <v>16.5</v>
      </c>
      <c r="T291" s="28">
        <f ca="1"/>
        <v>2.31</v>
      </c>
      <c r="U291" s="11">
        <f ca="1"/>
        <v>14.19</v>
      </c>
      <c r="V291" s="11">
        <v>4.99</v>
      </c>
      <c r="W291" s="11">
        <f ca="1"/>
        <v>0.31</v>
      </c>
      <c r="X291" s="11">
        <f ca="1"/>
        <v>0.39877104377104378</v>
      </c>
      <c r="Y291" s="11">
        <v>0</v>
      </c>
      <c r="Z291" s="11">
        <f ca="1"/>
        <v>8.4912289562289551</v>
      </c>
      <c r="AA291" s="11">
        <f ca="1"/>
        <v>4.2456144781144776</v>
      </c>
      <c r="AB291" s="4">
        <f ca="1"/>
        <v>45629</v>
      </c>
      <c r="AC291" s="4">
        <v>45629</v>
      </c>
      <c r="AD291" s="9">
        <v>45637</v>
      </c>
      <c r="AE291" s="9">
        <v>45642</v>
      </c>
      <c r="AF291" s="4" t="str">
        <f t="shared" ca="1" si="4"/>
        <v>2024 12</v>
      </c>
      <c r="AG291" s="8" t="str" cm="1">
        <f t="array" ref="AG291">IFERROR(_xlfn.IFS('Banco de Dados'!#REF!="AG. COMPRA","Em processamento",'Banco de Dados'!#REF!="AG. RASTREIO","Em processamento",'Banco de Dados'!$AE291&lt;&gt;"-","Faturado",'Banco de Dados'!$AD291&lt;&gt;"-","Aguardando Pix",'Banco de Dados'!$AC291&lt;&gt;"-","Pendente"),"Aguardando Liberação")</f>
        <v>Aguardando Liberação</v>
      </c>
      <c r="AH291" s="5" t="str">
        <f>IF('Banco de Dados'!$F291="-",_xlfn.CONCAT(PROPER(TEXT(AK291,"aaaa"))," ",PROPER(TEXT(AK291,"mm"))),_xlfn.CONCAT(PROPER(TEXT(E291,"aaaa"))," ",PROPER(TEXT(E291,"mm"))))</f>
        <v>2024 11</v>
      </c>
      <c r="AI291" s="9" t="str">
        <f ca="1">IF('Banco de Dados'!$AK291&lt;&gt;"-","REEMBOLSO",IFERROR(_xlfn.XLOOKUP(G291,Follow[CODRASTREIO],Follow[STATUS]),"-"))</f>
        <v>ENTREGUE</v>
      </c>
      <c r="AJ291" s="9">
        <f ca="1">IF('Banco de Dados'!$AI291="ENTREGUE",_xlfn.XLOOKUP('Banco de Dados'!$G291,Follow[CODRASTREIO],Follow[DATAATUALIZAÇÃO]),"-")</f>
        <v>45610</v>
      </c>
      <c r="AK291" s="9" t="str">
        <f ca="1"/>
        <v>-</v>
      </c>
      <c r="AL291" s="35" t="str">
        <v>NÃO</v>
      </c>
      <c r="AM291" s="109" cm="1">
        <f t="array" aca="1" ref="AM291" ca="1">IF('Banco de Dados'!$AK291&lt;&gt;"-",_xlfn.IFS('Banco de Dados'!$A291="bv",IF('Banco de Dados'!$E291&lt;45641,ROUND(SUM('Banco de Dados'!$R291*_xlfn.XLOOKUP('Banco de Dados'!$P291,Sku!B:B,Sku!#REF!)*20%),2),ROUND(SUM('Banco de Dados'!$R291*_xlfn.XLOOKUP('Banco de Dados'!$P291,Sku!B:B,Sku!H:H)*20%),2)),'Banco de Dados'!$A291="GO",ROUND(_xlfn.XLOOKUP('Banco de Dados'!$P291,Sku!C:C,Sku!H:H),2),'Banco de Dados'!$A291="MEI",ROUND(_xlfn.XLOOKUP('Banco de Dados'!$P291,Sku!D:D,Sku!H:H),2)),0)</f>
        <v>0</v>
      </c>
      <c r="AN291" s="109">
        <f ca="1">IF('Banco de Dados'!$AK291&lt;&gt;"-",IF('Banco de Dados'!$F291&lt;&gt;"-",_xlfn.XLOOKUP(IFERROR(IFERROR(IFERROR(VALUE(SUBSTITUTE(MID(_xlfn.TEXTAFTER('Banco de Dados'!$F291,"Data do Pedido:
",1),1,10),"-","/")),VALUE(SUBSTITUTE(MID(_xlfn.TEXTAFTER('Banco de Dados'!$F291,"Order date:
",1),1,10),"-","/"))),VALUE(SUBSTITUTE(MID(_xlfn.TEXTAFTER('Banco de Dados'!$F291,"Fecha de pedido:
",1),1,10),"-","/"))),"-"),SMS!A:A,SMS!K:K),0),0)</f>
        <v>0</v>
      </c>
      <c r="AO291" s="109">
        <f ca="1">IF('Banco de Dados'!$AK291&lt;&gt;"-",IF('Banco de Dados'!$F291&lt;&gt;"-",IFERROR(_xlfn.XLOOKUP(_xlfn.CONCAT('Banco de Dados'!$A291,IFERROR(IFERROR(VALUE(SUBSTITUTE(MID(_xlfn.TEXTAFTER('Banco de Dados'!$F291,"Data do Pedido:
",1),1,10),"-","/")),VALUE(SUBSTITUTE(MID(_xlfn.TEXTAFTER('Banco de Dados'!$F291,"Order date:
",1),1,10),"-","/"))),0)),ProxyDD[Chave],ProxyDD[Valor por pedido]),PROXY!$P$2),0),0)</f>
        <v>0</v>
      </c>
      <c r="AP291" s="28">
        <f ca="1">IF('Banco de Dados'!$AK291&lt;&gt;"-",IF('Banco de Dados'!$AL291="NÃO",IFERROR(VALUE(SUBSTITUTE(_xlfn.TEXTAFTER('Banco de Dados'!$F291,"BRL ",1),".",",")),0),0),0)</f>
        <v>0</v>
      </c>
      <c r="AQ291" s="28">
        <f ca="1">SUM('Banco de Dados'!$AM291:$AP291)</f>
        <v>0</v>
      </c>
      <c r="AR291" s="8"/>
      <c r="AS291" s="8"/>
      <c r="AY291" s="8"/>
    </row>
    <row r="292" spans="1:51">
      <c r="A292" s="5" t="str">
        <v>BV</v>
      </c>
      <c r="B292" s="5" t="str">
        <f ca="1"/>
        <v>BV45602</v>
      </c>
      <c r="C292" s="8" t="str">
        <v>Pedido 289</v>
      </c>
      <c r="D292" s="9">
        <v>45602</v>
      </c>
      <c r="E292" s="9">
        <v>45602</v>
      </c>
      <c r="F292" s="8" t="str">
        <v>PedidoF282</v>
      </c>
      <c r="G292" s="2" t="str">
        <v>CódRastreio282</v>
      </c>
      <c r="H292" s="5">
        <v>1</v>
      </c>
      <c r="I292" s="182" t="str">
        <v>CPF 284</v>
      </c>
      <c r="J292" s="2" t="str">
        <v>Nome 284</v>
      </c>
      <c r="K292" s="8" t="str">
        <v>Tel 284</v>
      </c>
      <c r="L292" s="2" t="str">
        <v>Cep 284</v>
      </c>
      <c r="M292" s="2" t="str">
        <v>Rua 284</v>
      </c>
      <c r="N292" s="2" t="str">
        <v>Comp 284</v>
      </c>
      <c r="O292" s="2" t="str">
        <v>Ventilador de teto</v>
      </c>
      <c r="P292" s="8" t="str">
        <v>ZO-J9IL-EN6L</v>
      </c>
      <c r="Q292" s="4">
        <v>45630</v>
      </c>
      <c r="R292" s="109">
        <v>51.99</v>
      </c>
      <c r="S292" s="11">
        <f ca="1"/>
        <v>51.99</v>
      </c>
      <c r="T292" s="28">
        <f ca="1"/>
        <v>7.2786000000000008</v>
      </c>
      <c r="U292" s="11">
        <f ca="1"/>
        <v>44.71</v>
      </c>
      <c r="V292" s="11">
        <v>7.29</v>
      </c>
      <c r="W292" s="11">
        <f ca="1"/>
        <v>0.31</v>
      </c>
      <c r="X292" s="11">
        <f ca="1"/>
        <v>0.39877104377104378</v>
      </c>
      <c r="Y292" s="11">
        <v>0</v>
      </c>
      <c r="Z292" s="11">
        <f ca="1"/>
        <v>36.711228956228958</v>
      </c>
      <c r="AA292" s="11">
        <f ca="1"/>
        <v>18.355614478114479</v>
      </c>
      <c r="AB292" s="4">
        <f ca="1"/>
        <v>45637</v>
      </c>
      <c r="AC292" s="4">
        <v>45637</v>
      </c>
      <c r="AD292" s="9">
        <v>45637</v>
      </c>
      <c r="AE292" s="9">
        <v>45642</v>
      </c>
      <c r="AF292" s="4" t="str">
        <f t="shared" ca="1" si="4"/>
        <v>2024 12</v>
      </c>
      <c r="AG292" s="8" t="str" cm="1">
        <f t="array" ref="AG292">IFERROR(_xlfn.IFS('Banco de Dados'!#REF!="AG. COMPRA","Em processamento",'Banco de Dados'!#REF!="AG. RASTREIO","Em processamento",'Banco de Dados'!$AE292&lt;&gt;"-","Faturado",'Banco de Dados'!$AD292&lt;&gt;"-","Aguardando Pix",'Banco de Dados'!$AC292&lt;&gt;"-","Pendente"),"Aguardando Liberação")</f>
        <v>Aguardando Liberação</v>
      </c>
      <c r="AH292" s="5" t="str">
        <f>IF('Banco de Dados'!$F292="-",_xlfn.CONCAT(PROPER(TEXT(AK292,"aaaa"))," ",PROPER(TEXT(AK292,"mm"))),_xlfn.CONCAT(PROPER(TEXT(E292,"aaaa"))," ",PROPER(TEXT(E292,"mm"))))</f>
        <v>2024 11</v>
      </c>
      <c r="AI292" s="9" t="str">
        <f ca="1">IF('Banco de Dados'!$AK292&lt;&gt;"-","REEMBOLSO",IFERROR(_xlfn.XLOOKUP(G292,Follow[CODRASTREIO],Follow[STATUS]),"-"))</f>
        <v>ENTREGUE</v>
      </c>
      <c r="AJ292" s="9">
        <f ca="1">IF('Banco de Dados'!$AI292="ENTREGUE",_xlfn.XLOOKUP('Banco de Dados'!$G292,Follow[CODRASTREIO],Follow[DATAATUALIZAÇÃO]),"-")</f>
        <v>45614</v>
      </c>
      <c r="AK292" s="9" t="str">
        <f ca="1"/>
        <v>-</v>
      </c>
      <c r="AL292" s="35" t="str">
        <v>NÃO</v>
      </c>
      <c r="AM292" s="109" cm="1">
        <f t="array" aca="1" ref="AM292" ca="1">IF('Banco de Dados'!$AK292&lt;&gt;"-",_xlfn.IFS('Banco de Dados'!$A292="bv",IF('Banco de Dados'!$E292&lt;45641,ROUND(SUM('Banco de Dados'!$R292*_xlfn.XLOOKUP('Banco de Dados'!$P292,Sku!B:B,Sku!#REF!)*20%),2),ROUND(SUM('Banco de Dados'!$R292*_xlfn.XLOOKUP('Banco de Dados'!$P292,Sku!B:B,Sku!H:H)*20%),2)),'Banco de Dados'!$A292="GO",ROUND(_xlfn.XLOOKUP('Banco de Dados'!$P292,Sku!C:C,Sku!H:H),2),'Banco de Dados'!$A292="MEI",ROUND(_xlfn.XLOOKUP('Banco de Dados'!$P292,Sku!D:D,Sku!H:H),2)),0)</f>
        <v>0</v>
      </c>
      <c r="AN292" s="109">
        <f ca="1">IF('Banco de Dados'!$AK292&lt;&gt;"-",IF('Banco de Dados'!$F292&lt;&gt;"-",_xlfn.XLOOKUP(IFERROR(IFERROR(IFERROR(VALUE(SUBSTITUTE(MID(_xlfn.TEXTAFTER('Banco de Dados'!$F292,"Data do Pedido:
",1),1,10),"-","/")),VALUE(SUBSTITUTE(MID(_xlfn.TEXTAFTER('Banco de Dados'!$F292,"Order date:
",1),1,10),"-","/"))),VALUE(SUBSTITUTE(MID(_xlfn.TEXTAFTER('Banco de Dados'!$F292,"Fecha de pedido:
",1),1,10),"-","/"))),"-"),SMS!A:A,SMS!K:K),0),0)</f>
        <v>0</v>
      </c>
      <c r="AO292" s="109">
        <f ca="1">IF('Banco de Dados'!$AK292&lt;&gt;"-",IF('Banco de Dados'!$F292&lt;&gt;"-",IFERROR(_xlfn.XLOOKUP(_xlfn.CONCAT('Banco de Dados'!$A292,IFERROR(IFERROR(VALUE(SUBSTITUTE(MID(_xlfn.TEXTAFTER('Banco de Dados'!$F292,"Data do Pedido:
",1),1,10),"-","/")),VALUE(SUBSTITUTE(MID(_xlfn.TEXTAFTER('Banco de Dados'!$F292,"Order date:
",1),1,10),"-","/"))),0)),ProxyDD[Chave],ProxyDD[Valor por pedido]),PROXY!$P$2),0),0)</f>
        <v>0</v>
      </c>
      <c r="AP292" s="28">
        <f ca="1">IF('Banco de Dados'!$AK292&lt;&gt;"-",IF('Banco de Dados'!$AL292="NÃO",IFERROR(VALUE(SUBSTITUTE(_xlfn.TEXTAFTER('Banco de Dados'!$F292,"BRL ",1),".",",")),0),0),0)</f>
        <v>0</v>
      </c>
      <c r="AQ292" s="28">
        <f ca="1">SUM('Banco de Dados'!$AM292:$AP292)</f>
        <v>0</v>
      </c>
      <c r="AR292" s="8"/>
      <c r="AS292" s="8"/>
      <c r="AY292" s="8"/>
    </row>
    <row r="293" spans="1:51">
      <c r="A293" s="5" t="str">
        <v>BV</v>
      </c>
      <c r="B293" s="5" t="str">
        <f ca="1"/>
        <v>BV45602</v>
      </c>
      <c r="C293" s="8" t="str">
        <v>Pedido 290</v>
      </c>
      <c r="D293" s="9">
        <v>45602</v>
      </c>
      <c r="E293" s="9">
        <v>45602</v>
      </c>
      <c r="F293" s="8" t="str">
        <v>PedidoF283</v>
      </c>
      <c r="G293" s="2" t="str">
        <v>CódRastreio283</v>
      </c>
      <c r="H293" s="5">
        <v>1</v>
      </c>
      <c r="I293" s="182" t="str">
        <v>CPF 285</v>
      </c>
      <c r="J293" s="2" t="str">
        <v>Nome 285</v>
      </c>
      <c r="K293" s="8" t="str">
        <v>Tel 285</v>
      </c>
      <c r="L293" s="2" t="str">
        <v>Cep 285</v>
      </c>
      <c r="M293" s="2" t="str">
        <v>Rua 285</v>
      </c>
      <c r="N293" s="2" t="str">
        <v>Comp 285</v>
      </c>
      <c r="O293" s="2" t="str">
        <v>Bomba d'agua</v>
      </c>
      <c r="P293" s="8" t="str">
        <v>DJ-RO5O-43GF</v>
      </c>
      <c r="Q293" s="4">
        <v>45630</v>
      </c>
      <c r="R293" s="109">
        <v>16.5</v>
      </c>
      <c r="S293" s="11">
        <f ca="1"/>
        <v>16.5</v>
      </c>
      <c r="T293" s="28">
        <f ca="1"/>
        <v>2.31</v>
      </c>
      <c r="U293" s="11">
        <f ca="1"/>
        <v>14.19</v>
      </c>
      <c r="V293" s="11">
        <v>4.99</v>
      </c>
      <c r="W293" s="11">
        <f ca="1"/>
        <v>0.31</v>
      </c>
      <c r="X293" s="11">
        <f ca="1"/>
        <v>0.39877104377104378</v>
      </c>
      <c r="Y293" s="11">
        <v>0</v>
      </c>
      <c r="Z293" s="11">
        <f ca="1"/>
        <v>8.4912289562289551</v>
      </c>
      <c r="AA293" s="11">
        <f ca="1"/>
        <v>4.2456144781144776</v>
      </c>
      <c r="AB293" s="4">
        <f ca="1"/>
        <v>45637</v>
      </c>
      <c r="AC293" s="4">
        <v>45637</v>
      </c>
      <c r="AD293" s="9">
        <v>45637</v>
      </c>
      <c r="AE293" s="9">
        <v>45642</v>
      </c>
      <c r="AF293" s="4" t="str">
        <f t="shared" ca="1" si="4"/>
        <v>2024 12</v>
      </c>
      <c r="AG293" s="8" t="str" cm="1">
        <f t="array" ref="AG293">IFERROR(_xlfn.IFS('Banco de Dados'!#REF!="AG. COMPRA","Em processamento",'Banco de Dados'!#REF!="AG. RASTREIO","Em processamento",'Banco de Dados'!$AE293&lt;&gt;"-","Faturado",'Banco de Dados'!$AD293&lt;&gt;"-","Aguardando Pix",'Banco de Dados'!$AC293&lt;&gt;"-","Pendente"),"Aguardando Liberação")</f>
        <v>Aguardando Liberação</v>
      </c>
      <c r="AH293" s="5" t="str">
        <f>IF('Banco de Dados'!$F293="-",_xlfn.CONCAT(PROPER(TEXT(AK293,"aaaa"))," ",PROPER(TEXT(AK293,"mm"))),_xlfn.CONCAT(PROPER(TEXT(E293,"aaaa"))," ",PROPER(TEXT(E293,"mm"))))</f>
        <v>2024 11</v>
      </c>
      <c r="AI293" s="9" t="str">
        <f ca="1">IF('Banco de Dados'!$AK293&lt;&gt;"-","REEMBOLSO",IFERROR(_xlfn.XLOOKUP(G293,Follow[CODRASTREIO],Follow[STATUS]),"-"))</f>
        <v>ENTREGUE</v>
      </c>
      <c r="AJ293" s="9">
        <f ca="1">IF('Banco de Dados'!$AI293="ENTREGUE",_xlfn.XLOOKUP('Banco de Dados'!$G293,Follow[CODRASTREIO],Follow[DATAATUALIZAÇÃO]),"-")</f>
        <v>45614</v>
      </c>
      <c r="AK293" s="9" t="str">
        <f ca="1"/>
        <v>-</v>
      </c>
      <c r="AL293" s="35" t="str">
        <v>NÃO</v>
      </c>
      <c r="AM293" s="109" cm="1">
        <f t="array" aca="1" ref="AM293" ca="1">IF('Banco de Dados'!$AK293&lt;&gt;"-",_xlfn.IFS('Banco de Dados'!$A293="bv",IF('Banco de Dados'!$E293&lt;45641,ROUND(SUM('Banco de Dados'!$R293*_xlfn.XLOOKUP('Banco de Dados'!$P293,Sku!B:B,Sku!#REF!)*20%),2),ROUND(SUM('Banco de Dados'!$R293*_xlfn.XLOOKUP('Banco de Dados'!$P293,Sku!B:B,Sku!H:H)*20%),2)),'Banco de Dados'!$A293="GO",ROUND(_xlfn.XLOOKUP('Banco de Dados'!$P293,Sku!C:C,Sku!H:H),2),'Banco de Dados'!$A293="MEI",ROUND(_xlfn.XLOOKUP('Banco de Dados'!$P293,Sku!D:D,Sku!H:H),2)),0)</f>
        <v>0</v>
      </c>
      <c r="AN293" s="109">
        <f ca="1">IF('Banco de Dados'!$AK293&lt;&gt;"-",IF('Banco de Dados'!$F293&lt;&gt;"-",_xlfn.XLOOKUP(IFERROR(IFERROR(IFERROR(VALUE(SUBSTITUTE(MID(_xlfn.TEXTAFTER('Banco de Dados'!$F293,"Data do Pedido:
",1),1,10),"-","/")),VALUE(SUBSTITUTE(MID(_xlfn.TEXTAFTER('Banco de Dados'!$F293,"Order date:
",1),1,10),"-","/"))),VALUE(SUBSTITUTE(MID(_xlfn.TEXTAFTER('Banco de Dados'!$F293,"Fecha de pedido:
",1),1,10),"-","/"))),"-"),SMS!A:A,SMS!K:K),0),0)</f>
        <v>0</v>
      </c>
      <c r="AO293" s="109">
        <f ca="1">IF('Banco de Dados'!$AK293&lt;&gt;"-",IF('Banco de Dados'!$F293&lt;&gt;"-",IFERROR(_xlfn.XLOOKUP(_xlfn.CONCAT('Banco de Dados'!$A293,IFERROR(IFERROR(VALUE(SUBSTITUTE(MID(_xlfn.TEXTAFTER('Banco de Dados'!$F293,"Data do Pedido:
",1),1,10),"-","/")),VALUE(SUBSTITUTE(MID(_xlfn.TEXTAFTER('Banco de Dados'!$F293,"Order date:
",1),1,10),"-","/"))),0)),ProxyDD[Chave],ProxyDD[Valor por pedido]),PROXY!$P$2),0),0)</f>
        <v>0</v>
      </c>
      <c r="AP293" s="28">
        <f ca="1">IF('Banco de Dados'!$AK293&lt;&gt;"-",IF('Banco de Dados'!$AL293="NÃO",IFERROR(VALUE(SUBSTITUTE(_xlfn.TEXTAFTER('Banco de Dados'!$F293,"BRL ",1),".",",")),0),0),0)</f>
        <v>0</v>
      </c>
      <c r="AQ293" s="28">
        <f ca="1">SUM('Banco de Dados'!$AM293:$AP293)</f>
        <v>0</v>
      </c>
      <c r="AR293" s="8"/>
      <c r="AS293" s="8"/>
      <c r="AY293" s="8"/>
    </row>
    <row r="294" spans="1:51">
      <c r="A294" s="5" t="str">
        <v>BV</v>
      </c>
      <c r="B294" s="5" t="str">
        <f ca="1"/>
        <v>BV45602</v>
      </c>
      <c r="C294" s="8" t="str">
        <v>Pedido 291</v>
      </c>
      <c r="D294" s="9">
        <v>45602</v>
      </c>
      <c r="E294" s="9">
        <v>45602</v>
      </c>
      <c r="F294" s="8" t="str">
        <v>PedidoF284</v>
      </c>
      <c r="G294" s="2" t="str">
        <v>CódRastreio284</v>
      </c>
      <c r="H294" s="5">
        <v>1</v>
      </c>
      <c r="I294" s="182" t="str">
        <v>CPF 286</v>
      </c>
      <c r="J294" s="2" t="str">
        <v>Nome 286</v>
      </c>
      <c r="K294" s="8" t="str">
        <v>Tel 286</v>
      </c>
      <c r="L294" s="2" t="str">
        <v>Cep 286</v>
      </c>
      <c r="M294" s="2" t="str">
        <v>Rua 286</v>
      </c>
      <c r="N294" s="2" t="str">
        <v>Comp 286</v>
      </c>
      <c r="O294" s="2" t="str">
        <v>Bomba d'agua</v>
      </c>
      <c r="P294" s="8" t="str">
        <v>DJ-RO5O-43GF</v>
      </c>
      <c r="Q294" s="4">
        <v>45624</v>
      </c>
      <c r="R294" s="109">
        <v>16.5</v>
      </c>
      <c r="S294" s="11">
        <f ca="1"/>
        <v>16.5</v>
      </c>
      <c r="T294" s="28">
        <f ca="1"/>
        <v>2.31</v>
      </c>
      <c r="U294" s="11">
        <f ca="1"/>
        <v>14.19</v>
      </c>
      <c r="V294" s="11">
        <v>4.99</v>
      </c>
      <c r="W294" s="11">
        <f ca="1"/>
        <v>0.31</v>
      </c>
      <c r="X294" s="11">
        <f ca="1"/>
        <v>0.39877104377104378</v>
      </c>
      <c r="Y294" s="11">
        <v>0</v>
      </c>
      <c r="Z294" s="11">
        <f ca="1"/>
        <v>8.4912289562289551</v>
      </c>
      <c r="AA294" s="11">
        <f ca="1"/>
        <v>4.2456144781144776</v>
      </c>
      <c r="AB294" s="4">
        <f ca="1"/>
        <v>45631</v>
      </c>
      <c r="AC294" s="4">
        <v>45631</v>
      </c>
      <c r="AD294" s="9">
        <v>45637</v>
      </c>
      <c r="AE294" s="9">
        <v>45642</v>
      </c>
      <c r="AF294" s="4" t="str">
        <f t="shared" ca="1" si="4"/>
        <v>2024 12</v>
      </c>
      <c r="AG294" s="8" t="str" cm="1">
        <f t="array" ref="AG294">IFERROR(_xlfn.IFS('Banco de Dados'!#REF!="AG. COMPRA","Em processamento",'Banco de Dados'!#REF!="AG. RASTREIO","Em processamento",'Banco de Dados'!$AE294&lt;&gt;"-","Faturado",'Banco de Dados'!$AD294&lt;&gt;"-","Aguardando Pix",'Banco de Dados'!$AC294&lt;&gt;"-","Pendente"),"Aguardando Liberação")</f>
        <v>Aguardando Liberação</v>
      </c>
      <c r="AH294" s="5" t="str">
        <f>IF('Banco de Dados'!$F294="-",_xlfn.CONCAT(PROPER(TEXT(AK294,"aaaa"))," ",PROPER(TEXT(AK294,"mm"))),_xlfn.CONCAT(PROPER(TEXT(E294,"aaaa"))," ",PROPER(TEXT(E294,"mm"))))</f>
        <v>2024 11</v>
      </c>
      <c r="AI294" s="9" t="str">
        <f ca="1">IF('Banco de Dados'!$AK294&lt;&gt;"-","REEMBOLSO",IFERROR(_xlfn.XLOOKUP(G294,Follow[CODRASTREIO],Follow[STATUS]),"-"))</f>
        <v>ENTREGUE</v>
      </c>
      <c r="AJ294" s="9">
        <f ca="1">IF('Banco de Dados'!$AI294="ENTREGUE",_xlfn.XLOOKUP('Banco de Dados'!$G294,Follow[CODRASTREIO],Follow[DATAATUALIZAÇÃO]),"-")</f>
        <v>45614</v>
      </c>
      <c r="AK294" s="9" t="str">
        <f ca="1"/>
        <v>-</v>
      </c>
      <c r="AL294" s="35" t="str">
        <v>NÃO</v>
      </c>
      <c r="AM294" s="109" cm="1">
        <f t="array" aca="1" ref="AM294" ca="1">IF('Banco de Dados'!$AK294&lt;&gt;"-",_xlfn.IFS('Banco de Dados'!$A294="bv",IF('Banco de Dados'!$E294&lt;45641,ROUND(SUM('Banco de Dados'!$R294*_xlfn.XLOOKUP('Banco de Dados'!$P294,Sku!B:B,Sku!#REF!)*20%),2),ROUND(SUM('Banco de Dados'!$R294*_xlfn.XLOOKUP('Banco de Dados'!$P294,Sku!B:B,Sku!H:H)*20%),2)),'Banco de Dados'!$A294="GO",ROUND(_xlfn.XLOOKUP('Banco de Dados'!$P294,Sku!C:C,Sku!H:H),2),'Banco de Dados'!$A294="MEI",ROUND(_xlfn.XLOOKUP('Banco de Dados'!$P294,Sku!D:D,Sku!H:H),2)),0)</f>
        <v>0</v>
      </c>
      <c r="AN294" s="109">
        <f ca="1">IF('Banco de Dados'!$AK294&lt;&gt;"-",IF('Banco de Dados'!$F294&lt;&gt;"-",_xlfn.XLOOKUP(IFERROR(IFERROR(IFERROR(VALUE(SUBSTITUTE(MID(_xlfn.TEXTAFTER('Banco de Dados'!$F294,"Data do Pedido:
",1),1,10),"-","/")),VALUE(SUBSTITUTE(MID(_xlfn.TEXTAFTER('Banco de Dados'!$F294,"Order date:
",1),1,10),"-","/"))),VALUE(SUBSTITUTE(MID(_xlfn.TEXTAFTER('Banco de Dados'!$F294,"Fecha de pedido:
",1),1,10),"-","/"))),"-"),SMS!A:A,SMS!K:K),0),0)</f>
        <v>0</v>
      </c>
      <c r="AO294" s="109">
        <f ca="1">IF('Banco de Dados'!$AK294&lt;&gt;"-",IF('Banco de Dados'!$F294&lt;&gt;"-",IFERROR(_xlfn.XLOOKUP(_xlfn.CONCAT('Banco de Dados'!$A294,IFERROR(IFERROR(VALUE(SUBSTITUTE(MID(_xlfn.TEXTAFTER('Banco de Dados'!$F294,"Data do Pedido:
",1),1,10),"-","/")),VALUE(SUBSTITUTE(MID(_xlfn.TEXTAFTER('Banco de Dados'!$F294,"Order date:
",1),1,10),"-","/"))),0)),ProxyDD[Chave],ProxyDD[Valor por pedido]),PROXY!$P$2),0),0)</f>
        <v>0</v>
      </c>
      <c r="AP294" s="28">
        <f ca="1">IF('Banco de Dados'!$AK294&lt;&gt;"-",IF('Banco de Dados'!$AL294="NÃO",IFERROR(VALUE(SUBSTITUTE(_xlfn.TEXTAFTER('Banco de Dados'!$F294,"BRL ",1),".",",")),0),0),0)</f>
        <v>0</v>
      </c>
      <c r="AQ294" s="28">
        <f ca="1">SUM('Banco de Dados'!$AM294:$AP294)</f>
        <v>0</v>
      </c>
      <c r="AR294" s="8"/>
      <c r="AS294" s="8"/>
      <c r="AY294" s="8"/>
    </row>
    <row r="295" spans="1:51">
      <c r="A295" s="5" t="str">
        <v>BV</v>
      </c>
      <c r="B295" s="5" t="str">
        <f ca="1"/>
        <v>BV45602</v>
      </c>
      <c r="C295" s="8" t="str">
        <v>Pedido 292</v>
      </c>
      <c r="D295" s="9">
        <v>45602</v>
      </c>
      <c r="E295" s="9">
        <v>45602</v>
      </c>
      <c r="F295" s="8" t="str">
        <v>PedidoF285</v>
      </c>
      <c r="G295" s="2" t="str">
        <v>CódRastreio285</v>
      </c>
      <c r="H295" s="5">
        <v>1</v>
      </c>
      <c r="I295" s="182" t="str">
        <v>CPF 287</v>
      </c>
      <c r="J295" s="2" t="str">
        <v>Nome 287</v>
      </c>
      <c r="K295" s="8" t="str">
        <v>Tel 287</v>
      </c>
      <c r="L295" s="2" t="str">
        <v>Cep 287</v>
      </c>
      <c r="M295" s="2" t="str">
        <v>Rua 287</v>
      </c>
      <c r="N295" s="2" t="str">
        <v>Comp 287</v>
      </c>
      <c r="O295" s="2" t="str">
        <v>Ventilador Preto</v>
      </c>
      <c r="P295" s="8" t="str">
        <v>MU-J80P-95WF</v>
      </c>
      <c r="Q295" s="4">
        <v>45630</v>
      </c>
      <c r="R295" s="109">
        <v>100</v>
      </c>
      <c r="S295" s="11">
        <f ca="1"/>
        <v>100</v>
      </c>
      <c r="T295" s="28">
        <f ca="1"/>
        <v>13</v>
      </c>
      <c r="U295" s="11">
        <f ca="1"/>
        <v>87</v>
      </c>
      <c r="V295" s="11">
        <v>7.29</v>
      </c>
      <c r="W295" s="11">
        <f ca="1"/>
        <v>0.31</v>
      </c>
      <c r="X295" s="11">
        <f ca="1"/>
        <v>0.39877104377104378</v>
      </c>
      <c r="Y295" s="11">
        <v>0</v>
      </c>
      <c r="Z295" s="11">
        <f ca="1"/>
        <v>79.001228956228957</v>
      </c>
      <c r="AA295" s="11">
        <f ca="1"/>
        <v>39.500614478114478</v>
      </c>
      <c r="AB295" s="4">
        <f ca="1"/>
        <v>45637</v>
      </c>
      <c r="AC295" s="4">
        <v>45637</v>
      </c>
      <c r="AD295" s="9">
        <v>45637</v>
      </c>
      <c r="AE295" s="9">
        <v>45642</v>
      </c>
      <c r="AF295" s="4" t="str">
        <f t="shared" ca="1" si="4"/>
        <v>2024 12</v>
      </c>
      <c r="AG295" s="8" t="str" cm="1">
        <f t="array" ref="AG295">IFERROR(_xlfn.IFS('Banco de Dados'!#REF!="AG. COMPRA","Em processamento",'Banco de Dados'!#REF!="AG. RASTREIO","Em processamento",'Banco de Dados'!$AE295&lt;&gt;"-","Faturado",'Banco de Dados'!$AD295&lt;&gt;"-","Aguardando Pix",'Banco de Dados'!$AC295&lt;&gt;"-","Pendente"),"Aguardando Liberação")</f>
        <v>Aguardando Liberação</v>
      </c>
      <c r="AH295" s="5" t="str">
        <f>IF('Banco de Dados'!$F295="-",_xlfn.CONCAT(PROPER(TEXT(AK295,"aaaa"))," ",PROPER(TEXT(AK295,"mm"))),_xlfn.CONCAT(PROPER(TEXT(E295,"aaaa"))," ",PROPER(TEXT(E295,"mm"))))</f>
        <v>2024 11</v>
      </c>
      <c r="AI295" s="9" t="str">
        <f ca="1">IF('Banco de Dados'!$AK295&lt;&gt;"-","REEMBOLSO",IFERROR(_xlfn.XLOOKUP(G295,Follow[CODRASTREIO],Follow[STATUS]),"-"))</f>
        <v>ENTREGUE</v>
      </c>
      <c r="AJ295" s="9">
        <f ca="1">IF('Banco de Dados'!$AI295="ENTREGUE",_xlfn.XLOOKUP('Banco de Dados'!$G295,Follow[CODRASTREIO],Follow[DATAATUALIZAÇÃO]),"-")</f>
        <v>45618</v>
      </c>
      <c r="AK295" s="9" t="str">
        <f ca="1"/>
        <v>-</v>
      </c>
      <c r="AL295" s="35" t="str">
        <v>NÃO</v>
      </c>
      <c r="AM295" s="109" cm="1">
        <f t="array" aca="1" ref="AM295" ca="1">IF('Banco de Dados'!$AK295&lt;&gt;"-",_xlfn.IFS('Banco de Dados'!$A295="bv",IF('Banco de Dados'!$E295&lt;45641,ROUND(SUM('Banco de Dados'!$R295*_xlfn.XLOOKUP('Banco de Dados'!$P295,Sku!B:B,Sku!#REF!)*20%),2),ROUND(SUM('Banco de Dados'!$R295*_xlfn.XLOOKUP('Banco de Dados'!$P295,Sku!B:B,Sku!H:H)*20%),2)),'Banco de Dados'!$A295="GO",ROUND(_xlfn.XLOOKUP('Banco de Dados'!$P295,Sku!C:C,Sku!H:H),2),'Banco de Dados'!$A295="MEI",ROUND(_xlfn.XLOOKUP('Banco de Dados'!$P295,Sku!D:D,Sku!H:H),2)),0)</f>
        <v>0</v>
      </c>
      <c r="AN295" s="109">
        <f ca="1">IF('Banco de Dados'!$AK295&lt;&gt;"-",IF('Banco de Dados'!$F295&lt;&gt;"-",_xlfn.XLOOKUP(IFERROR(IFERROR(IFERROR(VALUE(SUBSTITUTE(MID(_xlfn.TEXTAFTER('Banco de Dados'!$F295,"Data do Pedido:
",1),1,10),"-","/")),VALUE(SUBSTITUTE(MID(_xlfn.TEXTAFTER('Banco de Dados'!$F295,"Order date:
",1),1,10),"-","/"))),VALUE(SUBSTITUTE(MID(_xlfn.TEXTAFTER('Banco de Dados'!$F295,"Fecha de pedido:
",1),1,10),"-","/"))),"-"),SMS!A:A,SMS!K:K),0),0)</f>
        <v>0</v>
      </c>
      <c r="AO295" s="109">
        <f ca="1">IF('Banco de Dados'!$AK295&lt;&gt;"-",IF('Banco de Dados'!$F295&lt;&gt;"-",IFERROR(_xlfn.XLOOKUP(_xlfn.CONCAT('Banco de Dados'!$A295,IFERROR(IFERROR(VALUE(SUBSTITUTE(MID(_xlfn.TEXTAFTER('Banco de Dados'!$F295,"Data do Pedido:
",1),1,10),"-","/")),VALUE(SUBSTITUTE(MID(_xlfn.TEXTAFTER('Banco de Dados'!$F295,"Order date:
",1),1,10),"-","/"))),0)),ProxyDD[Chave],ProxyDD[Valor por pedido]),PROXY!$P$2),0),0)</f>
        <v>0</v>
      </c>
      <c r="AP295" s="28">
        <f ca="1">IF('Banco de Dados'!$AK295&lt;&gt;"-",IF('Banco de Dados'!$AL295="NÃO",IFERROR(VALUE(SUBSTITUTE(_xlfn.TEXTAFTER('Banco de Dados'!$F295,"BRL ",1),".",",")),0),0),0)</f>
        <v>0</v>
      </c>
      <c r="AQ295" s="28">
        <f ca="1">SUM('Banco de Dados'!$AM295:$AP295)</f>
        <v>0</v>
      </c>
      <c r="AR295" s="8"/>
      <c r="AS295" s="8"/>
      <c r="AY295" s="8"/>
    </row>
    <row r="296" spans="1:51">
      <c r="A296" s="5" t="str">
        <v>BV</v>
      </c>
      <c r="B296" s="5" t="str">
        <f ca="1"/>
        <v>BV45602</v>
      </c>
      <c r="C296" s="8" t="str">
        <v>Pedido 293</v>
      </c>
      <c r="D296" s="9">
        <v>45602</v>
      </c>
      <c r="E296" s="9">
        <v>45602</v>
      </c>
      <c r="F296" s="8" t="str">
        <v>PedidoF286</v>
      </c>
      <c r="G296" s="2" t="str">
        <v>CódRastreio286</v>
      </c>
      <c r="H296" s="5">
        <v>1</v>
      </c>
      <c r="I296" s="182" t="str">
        <v>CPF 288</v>
      </c>
      <c r="J296" s="2" t="str">
        <v>Nome 288</v>
      </c>
      <c r="K296" s="8" t="str">
        <v>Tel 288</v>
      </c>
      <c r="L296" s="2" t="str">
        <v>Cep 288</v>
      </c>
      <c r="M296" s="2" t="str">
        <v>Rua 288</v>
      </c>
      <c r="N296" s="2" t="str">
        <v>Comp 288</v>
      </c>
      <c r="O296" s="2" t="str">
        <v>Ventilador Preto</v>
      </c>
      <c r="P296" s="8" t="str">
        <v>MU-J80P-95WF</v>
      </c>
      <c r="Q296" s="4">
        <v>45624</v>
      </c>
      <c r="R296" s="109">
        <v>100</v>
      </c>
      <c r="S296" s="11">
        <f ca="1"/>
        <v>100</v>
      </c>
      <c r="T296" s="28">
        <f ca="1"/>
        <v>13</v>
      </c>
      <c r="U296" s="11">
        <f ca="1"/>
        <v>87</v>
      </c>
      <c r="V296" s="11">
        <v>7.29</v>
      </c>
      <c r="W296" s="11">
        <f ca="1"/>
        <v>0.31</v>
      </c>
      <c r="X296" s="11">
        <f ca="1"/>
        <v>0.39877104377104378</v>
      </c>
      <c r="Y296" s="11">
        <v>0</v>
      </c>
      <c r="Z296" s="11">
        <f ca="1"/>
        <v>79.001228956228957</v>
      </c>
      <c r="AA296" s="11">
        <f ca="1"/>
        <v>39.500614478114478</v>
      </c>
      <c r="AB296" s="4">
        <f ca="1"/>
        <v>45631</v>
      </c>
      <c r="AC296" s="4">
        <v>45631</v>
      </c>
      <c r="AD296" s="9">
        <v>45637</v>
      </c>
      <c r="AE296" s="9">
        <v>45642</v>
      </c>
      <c r="AF296" s="4" t="str">
        <f t="shared" ca="1" si="4"/>
        <v>2024 12</v>
      </c>
      <c r="AG296" s="8" t="str" cm="1">
        <f t="array" ref="AG296">IFERROR(_xlfn.IFS('Banco de Dados'!#REF!="AG. COMPRA","Em processamento",'Banco de Dados'!#REF!="AG. RASTREIO","Em processamento",'Banco de Dados'!$AE296&lt;&gt;"-","Faturado",'Banco de Dados'!$AD296&lt;&gt;"-","Aguardando Pix",'Banco de Dados'!$AC296&lt;&gt;"-","Pendente"),"Aguardando Liberação")</f>
        <v>Aguardando Liberação</v>
      </c>
      <c r="AH296" s="5" t="str">
        <f>IF('Banco de Dados'!$F296="-",_xlfn.CONCAT(PROPER(TEXT(AK296,"aaaa"))," ",PROPER(TEXT(AK296,"mm"))),_xlfn.CONCAT(PROPER(TEXT(E296,"aaaa"))," ",PROPER(TEXT(E296,"mm"))))</f>
        <v>2024 11</v>
      </c>
      <c r="AI296" s="9" t="str">
        <f ca="1">IF('Banco de Dados'!$AK296&lt;&gt;"-","REEMBOLSO",IFERROR(_xlfn.XLOOKUP(G296,Follow[CODRASTREIO],Follow[STATUS]),"-"))</f>
        <v>ENTREGUE</v>
      </c>
      <c r="AJ296" s="9">
        <f ca="1">IF('Banco de Dados'!$AI296="ENTREGUE",_xlfn.XLOOKUP('Banco de Dados'!$G296,Follow[CODRASTREIO],Follow[DATAATUALIZAÇÃO]),"-")</f>
        <v>45610</v>
      </c>
      <c r="AK296" s="9" t="str">
        <f ca="1"/>
        <v>-</v>
      </c>
      <c r="AL296" s="35" t="str">
        <v>-</v>
      </c>
      <c r="AM296" s="109" cm="1">
        <f t="array" aca="1" ref="AM296" ca="1">IF('Banco de Dados'!$AK296&lt;&gt;"-",_xlfn.IFS('Banco de Dados'!$A296="bv",IF('Banco de Dados'!$E296&lt;45641,ROUND(SUM('Banco de Dados'!$R296*_xlfn.XLOOKUP('Banco de Dados'!$P296,Sku!B:B,Sku!#REF!)*20%),2),ROUND(SUM('Banco de Dados'!$R296*_xlfn.XLOOKUP('Banco de Dados'!$P296,Sku!B:B,Sku!H:H)*20%),2)),'Banco de Dados'!$A296="GO",ROUND(_xlfn.XLOOKUP('Banco de Dados'!$P296,Sku!C:C,Sku!H:H),2),'Banco de Dados'!$A296="MEI",ROUND(_xlfn.XLOOKUP('Banco de Dados'!$P296,Sku!D:D,Sku!H:H),2)),0)</f>
        <v>0</v>
      </c>
      <c r="AN296" s="109">
        <f ca="1">IF('Banco de Dados'!$AK296&lt;&gt;"-",IF('Banco de Dados'!$F296&lt;&gt;"-",_xlfn.XLOOKUP(IFERROR(IFERROR(IFERROR(VALUE(SUBSTITUTE(MID(_xlfn.TEXTAFTER('Banco de Dados'!$F296,"Data do Pedido:
",1),1,10),"-","/")),VALUE(SUBSTITUTE(MID(_xlfn.TEXTAFTER('Banco de Dados'!$F296,"Order date:
",1),1,10),"-","/"))),VALUE(SUBSTITUTE(MID(_xlfn.TEXTAFTER('Banco de Dados'!$F296,"Fecha de pedido:
",1),1,10),"-","/"))),"-"),SMS!A:A,SMS!K:K),0),0)</f>
        <v>0</v>
      </c>
      <c r="AO296" s="109">
        <f ca="1">IF('Banco de Dados'!$AK296&lt;&gt;"-",IF('Banco de Dados'!$F296&lt;&gt;"-",IFERROR(_xlfn.XLOOKUP(_xlfn.CONCAT('Banco de Dados'!$A296,IFERROR(IFERROR(VALUE(SUBSTITUTE(MID(_xlfn.TEXTAFTER('Banco de Dados'!$F296,"Data do Pedido:
",1),1,10),"-","/")),VALUE(SUBSTITUTE(MID(_xlfn.TEXTAFTER('Banco de Dados'!$F296,"Order date:
",1),1,10),"-","/"))),0)),ProxyDD[Chave],ProxyDD[Valor por pedido]),PROXY!$P$2),0),0)</f>
        <v>0</v>
      </c>
      <c r="AP296" s="28">
        <f ca="1">IF('Banco de Dados'!$AK296&lt;&gt;"-",IF('Banco de Dados'!$AL296="NÃO",IFERROR(VALUE(SUBSTITUTE(_xlfn.TEXTAFTER('Banco de Dados'!$F296,"BRL ",1),".",",")),0),0),0)</f>
        <v>0</v>
      </c>
      <c r="AQ296" s="28">
        <f ca="1">SUM('Banco de Dados'!$AM296:$AP296)</f>
        <v>0</v>
      </c>
      <c r="AR296" s="8"/>
      <c r="AS296" s="8"/>
      <c r="AY296" s="8"/>
    </row>
    <row r="297" spans="1:51">
      <c r="A297" s="5" t="str">
        <v>BV</v>
      </c>
      <c r="B297" s="5" t="str">
        <f ca="1"/>
        <v>BV45603</v>
      </c>
      <c r="C297" s="8" t="str">
        <v>Pedido 294</v>
      </c>
      <c r="D297" s="9">
        <v>45603</v>
      </c>
      <c r="E297" s="9">
        <v>45603</v>
      </c>
      <c r="F297" s="8" t="str">
        <v>PedidoF287</v>
      </c>
      <c r="G297" s="2" t="str">
        <v>CódRastreio287</v>
      </c>
      <c r="H297" s="5">
        <v>1</v>
      </c>
      <c r="I297" s="181" t="str">
        <v>CPF 289</v>
      </c>
      <c r="J297" s="2" t="str">
        <v>Nome 289</v>
      </c>
      <c r="K297" s="8" t="str">
        <v>Tel 289</v>
      </c>
      <c r="L297" s="2" t="str">
        <v>Cep 289</v>
      </c>
      <c r="M297" s="2" t="str">
        <v>Rua 289</v>
      </c>
      <c r="N297" s="2" t="str">
        <v>Comp 289</v>
      </c>
      <c r="O297" s="2" t="str">
        <v>Mini Liquidificador</v>
      </c>
      <c r="P297" s="8" t="str">
        <v>CK-YL6M-P5Y6</v>
      </c>
      <c r="Q297" s="4">
        <v>45625</v>
      </c>
      <c r="R297" s="109">
        <v>32.5</v>
      </c>
      <c r="S297" s="11">
        <f ca="1"/>
        <v>0</v>
      </c>
      <c r="T297" s="28">
        <f ca="1"/>
        <v>0</v>
      </c>
      <c r="U297" s="11">
        <f ca="1"/>
        <v>0</v>
      </c>
      <c r="V297" s="11">
        <v>0</v>
      </c>
      <c r="W297" s="11">
        <f ca="1"/>
        <v>0</v>
      </c>
      <c r="X297" s="11">
        <f ca="1"/>
        <v>0.39877104377104378</v>
      </c>
      <c r="Y297" s="11">
        <v>0</v>
      </c>
      <c r="Z297" s="11">
        <f ca="1"/>
        <v>-0.39877104377104378</v>
      </c>
      <c r="AA297" s="11">
        <f ca="1"/>
        <v>-0.19938552188552189</v>
      </c>
      <c r="AB297" s="4">
        <f ca="1"/>
        <v>45632</v>
      </c>
      <c r="AC297" s="4">
        <v>45645</v>
      </c>
      <c r="AD297" s="9">
        <v>45637</v>
      </c>
      <c r="AE297" s="9">
        <v>45642</v>
      </c>
      <c r="AF297" s="4" t="str">
        <f t="shared" ca="1" si="4"/>
        <v>2024 12</v>
      </c>
      <c r="AG297" s="8" t="str" cm="1">
        <f t="array" ref="AG297">IFERROR(_xlfn.IFS('Banco de Dados'!#REF!="AG. COMPRA","Em processamento",'Banco de Dados'!#REF!="AG. RASTREIO","Em processamento",'Banco de Dados'!$AE297&lt;&gt;"-","Faturado",'Banco de Dados'!$AD297&lt;&gt;"-","Aguardando Pix",'Banco de Dados'!$AC297&lt;&gt;"-","Pendente"),"Aguardando Liberação")</f>
        <v>Aguardando Liberação</v>
      </c>
      <c r="AH297" s="5" t="str">
        <f>IF('Banco de Dados'!$F297="-",_xlfn.CONCAT(PROPER(TEXT(AK297,"aaaa"))," ",PROPER(TEXT(AK297,"mm"))),_xlfn.CONCAT(PROPER(TEXT(E297,"aaaa"))," ",PROPER(TEXT(E297,"mm"))))</f>
        <v>2024 11</v>
      </c>
      <c r="AI297" s="9" t="str">
        <f ca="1">IF('Banco de Dados'!$AK297&lt;&gt;"-","REEMBOLSO",IFERROR(_xlfn.XLOOKUP(G297,Follow[CODRASTREIO],Follow[STATUS]),"-"))</f>
        <v>REEMBOLSO</v>
      </c>
      <c r="AJ297" s="9" t="str">
        <f ca="1">IF('Banco de Dados'!$AI297="ENTREGUE",_xlfn.XLOOKUP('Banco de Dados'!$G297,Follow[CODRASTREIO],Follow[DATAATUALIZAÇÃO]),"-")</f>
        <v>-</v>
      </c>
      <c r="AK297" s="9">
        <f ca="1"/>
        <v>45645</v>
      </c>
      <c r="AL297" s="35" t="str">
        <v>NÃO</v>
      </c>
      <c r="AM297" s="109" t="e" cm="1">
        <f t="array" aca="1" ref="AM297" ca="1">IF('Banco de Dados'!$AK297&lt;&gt;"-",_xlfn.IFS('Banco de Dados'!$A297="bv",IF('Banco de Dados'!$E297&lt;45641,ROUND(SUM('Banco de Dados'!$R297*_xlfn.XLOOKUP('Banco de Dados'!$P297,Sku!B:B,Sku!#REF!)*20%),2),ROUND(SUM('Banco de Dados'!$R297*_xlfn.XLOOKUP('Banco de Dados'!$P297,Sku!B:B,Sku!H:H)*20%),2)),'Banco de Dados'!$A297="GO",ROUND(_xlfn.XLOOKUP('Banco de Dados'!$P297,Sku!C:C,Sku!H:H),2),'Banco de Dados'!$A297="MEI",ROUND(_xlfn.XLOOKUP('Banco de Dados'!$P297,Sku!D:D,Sku!H:H),2)),0)</f>
        <v>#REF!</v>
      </c>
      <c r="AN297" s="109" t="e">
        <f ca="1">IF('Banco de Dados'!$AK297&lt;&gt;"-",IF('Banco de Dados'!$F297&lt;&gt;"-",_xlfn.XLOOKUP(IFERROR(IFERROR(IFERROR(VALUE(SUBSTITUTE(MID(_xlfn.TEXTAFTER('Banco de Dados'!$F297,"Data do Pedido:
",1),1,10),"-","/")),VALUE(SUBSTITUTE(MID(_xlfn.TEXTAFTER('Banco de Dados'!$F297,"Order date:
",1),1,10),"-","/"))),VALUE(SUBSTITUTE(MID(_xlfn.TEXTAFTER('Banco de Dados'!$F297,"Fecha de pedido:
",1),1,10),"-","/"))),"-"),SMS!A:A,SMS!K:K),0),0)</f>
        <v>#N/A</v>
      </c>
      <c r="AO297" s="109">
        <f ca="1">IF('Banco de Dados'!$AK297&lt;&gt;"-",IF('Banco de Dados'!$F297&lt;&gt;"-",IFERROR(_xlfn.XLOOKUP(_xlfn.CONCAT('Banco de Dados'!$A297,IFERROR(IFERROR(VALUE(SUBSTITUTE(MID(_xlfn.TEXTAFTER('Banco de Dados'!$F297,"Data do Pedido:
",1),1,10),"-","/")),VALUE(SUBSTITUTE(MID(_xlfn.TEXTAFTER('Banco de Dados'!$F297,"Order date:
",1),1,10),"-","/"))),0)),ProxyDD[Chave],ProxyDD[Valor por pedido]),PROXY!$P$2),0),0)</f>
        <v>0.39877104377104378</v>
      </c>
      <c r="AP297" s="28">
        <f ca="1">IF('Banco de Dados'!$AK297&lt;&gt;"-",IF('Banco de Dados'!$AL297="NÃO",IFERROR(VALUE(SUBSTITUTE(_xlfn.TEXTAFTER('Banco de Dados'!$F297,"BRL ",1),".",",")),0),0),0)</f>
        <v>0</v>
      </c>
      <c r="AQ297" s="28" t="e">
        <f ca="1">SUM('Banco de Dados'!$AM297:$AP297)</f>
        <v>#REF!</v>
      </c>
      <c r="AR297" s="8"/>
      <c r="AS297" s="8"/>
      <c r="AY297" s="8"/>
    </row>
    <row r="298" spans="1:51">
      <c r="A298" s="5" t="str">
        <v>BV</v>
      </c>
      <c r="B298" s="5" t="str">
        <f ca="1"/>
        <v>BV45603</v>
      </c>
      <c r="C298" s="8" t="str">
        <v>Pedido 295</v>
      </c>
      <c r="D298" s="9">
        <v>45603</v>
      </c>
      <c r="E298" s="9">
        <v>45603</v>
      </c>
      <c r="F298" s="8" t="str">
        <v>PedidoF288</v>
      </c>
      <c r="G298" s="2" t="str">
        <v>CódRastreio288</v>
      </c>
      <c r="H298" s="5">
        <v>1</v>
      </c>
      <c r="I298" s="182" t="str">
        <v>CPF 290</v>
      </c>
      <c r="J298" s="2" t="str">
        <v>Nome 290</v>
      </c>
      <c r="K298" s="8" t="str">
        <v>Tel 290</v>
      </c>
      <c r="L298" s="2" t="str">
        <v>Cep 290</v>
      </c>
      <c r="M298" s="2" t="str">
        <v>Rua 290</v>
      </c>
      <c r="N298" s="2" t="str">
        <v>Comp 290</v>
      </c>
      <c r="O298" s="2" t="str">
        <v>Bomba d'agua</v>
      </c>
      <c r="P298" s="8" t="str">
        <v>DJ-RO5O-43GF</v>
      </c>
      <c r="Q298" s="4">
        <v>45625</v>
      </c>
      <c r="R298" s="109">
        <v>16.5</v>
      </c>
      <c r="S298" s="11">
        <f ca="1"/>
        <v>16.5</v>
      </c>
      <c r="T298" s="28">
        <f ca="1"/>
        <v>2.31</v>
      </c>
      <c r="U298" s="11">
        <f ca="1"/>
        <v>14.19</v>
      </c>
      <c r="V298" s="11">
        <v>4.99</v>
      </c>
      <c r="W298" s="11">
        <f ca="1"/>
        <v>0.23</v>
      </c>
      <c r="X298" s="11">
        <f ca="1"/>
        <v>0.39877104377104378</v>
      </c>
      <c r="Y298" s="11">
        <v>0</v>
      </c>
      <c r="Z298" s="11">
        <f ca="1"/>
        <v>8.5712289562289552</v>
      </c>
      <c r="AA298" s="11">
        <f ca="1"/>
        <v>4.2856144781144776</v>
      </c>
      <c r="AB298" s="4">
        <f ca="1"/>
        <v>45632</v>
      </c>
      <c r="AC298" s="4">
        <v>45632</v>
      </c>
      <c r="AD298" s="9">
        <v>45637</v>
      </c>
      <c r="AE298" s="9">
        <v>45642</v>
      </c>
      <c r="AF298" s="4" t="str">
        <f t="shared" ca="1" si="4"/>
        <v>2024 12</v>
      </c>
      <c r="AG298" s="8" t="str" cm="1">
        <f t="array" ref="AG298">IFERROR(_xlfn.IFS('Banco de Dados'!#REF!="AG. COMPRA","Em processamento",'Banco de Dados'!#REF!="AG. RASTREIO","Em processamento",'Banco de Dados'!$AE298&lt;&gt;"-","Faturado",'Banco de Dados'!$AD298&lt;&gt;"-","Aguardando Pix",'Banco de Dados'!$AC298&lt;&gt;"-","Pendente"),"Aguardando Liberação")</f>
        <v>Aguardando Liberação</v>
      </c>
      <c r="AH298" s="5" t="str">
        <f>IF('Banco de Dados'!$F298="-",_xlfn.CONCAT(PROPER(TEXT(AK298,"aaaa"))," ",PROPER(TEXT(AK298,"mm"))),_xlfn.CONCAT(PROPER(TEXT(E298,"aaaa"))," ",PROPER(TEXT(E298,"mm"))))</f>
        <v>2024 11</v>
      </c>
      <c r="AI298" s="9" t="str">
        <f ca="1">IF('Banco de Dados'!$AK298&lt;&gt;"-","REEMBOLSO",IFERROR(_xlfn.XLOOKUP(G298,Follow[CODRASTREIO],Follow[STATUS]),"-"))</f>
        <v>ENTREGUE</v>
      </c>
      <c r="AJ298" s="9">
        <f ca="1">IF('Banco de Dados'!$AI298="ENTREGUE",_xlfn.XLOOKUP('Banco de Dados'!$G298,Follow[CODRASTREIO],Follow[DATAATUALIZAÇÃO]),"-")</f>
        <v>45614</v>
      </c>
      <c r="AK298" s="9" t="str">
        <f ca="1"/>
        <v>-</v>
      </c>
      <c r="AL298" s="35" t="str">
        <v>NÃO</v>
      </c>
      <c r="AM298" s="109" cm="1">
        <f t="array" aca="1" ref="AM298" ca="1">IF('Banco de Dados'!$AK298&lt;&gt;"-",_xlfn.IFS('Banco de Dados'!$A298="bv",IF('Banco de Dados'!$E298&lt;45641,ROUND(SUM('Banco de Dados'!$R298*_xlfn.XLOOKUP('Banco de Dados'!$P298,Sku!B:B,Sku!#REF!)*20%),2),ROUND(SUM('Banco de Dados'!$R298*_xlfn.XLOOKUP('Banco de Dados'!$P298,Sku!B:B,Sku!H:H)*20%),2)),'Banco de Dados'!$A298="GO",ROUND(_xlfn.XLOOKUP('Banco de Dados'!$P298,Sku!C:C,Sku!H:H),2),'Banco de Dados'!$A298="MEI",ROUND(_xlfn.XLOOKUP('Banco de Dados'!$P298,Sku!D:D,Sku!H:H),2)),0)</f>
        <v>0</v>
      </c>
      <c r="AN298" s="109">
        <f ca="1">IF('Banco de Dados'!$AK298&lt;&gt;"-",IF('Banco de Dados'!$F298&lt;&gt;"-",_xlfn.XLOOKUP(IFERROR(IFERROR(IFERROR(VALUE(SUBSTITUTE(MID(_xlfn.TEXTAFTER('Banco de Dados'!$F298,"Data do Pedido:
",1),1,10),"-","/")),VALUE(SUBSTITUTE(MID(_xlfn.TEXTAFTER('Banco de Dados'!$F298,"Order date:
",1),1,10),"-","/"))),VALUE(SUBSTITUTE(MID(_xlfn.TEXTAFTER('Banco de Dados'!$F298,"Fecha de pedido:
",1),1,10),"-","/"))),"-"),SMS!A:A,SMS!K:K),0),0)</f>
        <v>0</v>
      </c>
      <c r="AO298" s="109">
        <f ca="1">IF('Banco de Dados'!$AK298&lt;&gt;"-",IF('Banco de Dados'!$F298&lt;&gt;"-",IFERROR(_xlfn.XLOOKUP(_xlfn.CONCAT('Banco de Dados'!$A298,IFERROR(IFERROR(VALUE(SUBSTITUTE(MID(_xlfn.TEXTAFTER('Banco de Dados'!$F298,"Data do Pedido:
",1),1,10),"-","/")),VALUE(SUBSTITUTE(MID(_xlfn.TEXTAFTER('Banco de Dados'!$F298,"Order date:
",1),1,10),"-","/"))),0)),ProxyDD[Chave],ProxyDD[Valor por pedido]),PROXY!$P$2),0),0)</f>
        <v>0</v>
      </c>
      <c r="AP298" s="28">
        <f ca="1">IF('Banco de Dados'!$AK298&lt;&gt;"-",IF('Banco de Dados'!$AL298="NÃO",IFERROR(VALUE(SUBSTITUTE(_xlfn.TEXTAFTER('Banco de Dados'!$F298,"BRL ",1),".",",")),0),0),0)</f>
        <v>0</v>
      </c>
      <c r="AQ298" s="28">
        <f ca="1">SUM('Banco de Dados'!$AM298:$AP298)</f>
        <v>0</v>
      </c>
      <c r="AR298" s="8"/>
      <c r="AS298" s="8"/>
      <c r="AY298" s="8"/>
    </row>
    <row r="299" spans="1:51">
      <c r="A299" s="5" t="str">
        <v>BV</v>
      </c>
      <c r="B299" s="5" t="str">
        <f ca="1"/>
        <v>BV45604</v>
      </c>
      <c r="C299" s="8" t="str">
        <v>Pedido 296</v>
      </c>
      <c r="D299" s="9">
        <v>45604</v>
      </c>
      <c r="E299" s="9">
        <v>45604</v>
      </c>
      <c r="F299" s="8" t="str">
        <v>PedidoF289</v>
      </c>
      <c r="G299" s="2" t="str">
        <v>CódRastreio289</v>
      </c>
      <c r="H299" s="5">
        <v>1</v>
      </c>
      <c r="I299" s="182" t="str">
        <v>CPF 291</v>
      </c>
      <c r="J299" s="2" t="str">
        <v>Nome 291</v>
      </c>
      <c r="K299" s="8" t="str">
        <v>Tel 291</v>
      </c>
      <c r="L299" s="2" t="str">
        <v>Cep 291</v>
      </c>
      <c r="M299" s="2" t="str">
        <v>Rua 291</v>
      </c>
      <c r="N299" s="2" t="str">
        <v>Comp 291</v>
      </c>
      <c r="O299" s="2" t="str">
        <v>Suporte de Celular Branco</v>
      </c>
      <c r="P299" s="8" t="str">
        <v>16-4EDB-WMZF</v>
      </c>
      <c r="Q299" s="4">
        <v>45631</v>
      </c>
      <c r="R299" s="109">
        <v>14.8</v>
      </c>
      <c r="S299" s="11">
        <f ca="1"/>
        <v>14.8</v>
      </c>
      <c r="T299" s="28">
        <f ca="1"/>
        <v>2.2200000000000002</v>
      </c>
      <c r="U299" s="11">
        <f ca="1"/>
        <v>12.58</v>
      </c>
      <c r="V299" s="11">
        <v>4.99</v>
      </c>
      <c r="W299" s="11">
        <f ca="1"/>
        <v>0.27</v>
      </c>
      <c r="X299" s="11">
        <f ca="1"/>
        <v>0.39877104377104378</v>
      </c>
      <c r="Y299" s="11">
        <v>0</v>
      </c>
      <c r="Z299" s="11">
        <f ca="1"/>
        <v>6.9212289562289566</v>
      </c>
      <c r="AA299" s="11">
        <f ca="1"/>
        <v>3.4606144781144783</v>
      </c>
      <c r="AB299" s="4">
        <f ca="1"/>
        <v>45638</v>
      </c>
      <c r="AC299" s="4">
        <v>45638</v>
      </c>
      <c r="AD299" s="9">
        <v>45640</v>
      </c>
      <c r="AE299" s="9">
        <v>45642</v>
      </c>
      <c r="AF299" s="4" t="str">
        <f t="shared" ca="1" si="4"/>
        <v>2024 12</v>
      </c>
      <c r="AG299" s="8" t="str" cm="1">
        <f t="array" ref="AG299">IFERROR(_xlfn.IFS('Banco de Dados'!#REF!="AG. COMPRA","Em processamento",'Banco de Dados'!#REF!="AG. RASTREIO","Em processamento",'Banco de Dados'!$AE299&lt;&gt;"-","Faturado",'Banco de Dados'!$AD299&lt;&gt;"-","Aguardando Pix",'Banco de Dados'!$AC299&lt;&gt;"-","Pendente"),"Aguardando Liberação")</f>
        <v>Aguardando Liberação</v>
      </c>
      <c r="AH299" s="5" t="str">
        <f>IF('Banco de Dados'!$F299="-",_xlfn.CONCAT(PROPER(TEXT(AK299,"aaaa"))," ",PROPER(TEXT(AK299,"mm"))),_xlfn.CONCAT(PROPER(TEXT(E299,"aaaa"))," ",PROPER(TEXT(E299,"mm"))))</f>
        <v>2024 11</v>
      </c>
      <c r="AI299" s="9" t="str">
        <f ca="1">IF('Banco de Dados'!$AK299&lt;&gt;"-","REEMBOLSO",IFERROR(_xlfn.XLOOKUP(G299,Follow[CODRASTREIO],Follow[STATUS]),"-"))</f>
        <v>ENTREGUE</v>
      </c>
      <c r="AJ299" s="9">
        <f ca="1">IF('Banco de Dados'!$AI299="ENTREGUE",_xlfn.XLOOKUP('Banco de Dados'!$G299,Follow[CODRASTREIO],Follow[DATAATUALIZAÇÃO]),"-")</f>
        <v>45623</v>
      </c>
      <c r="AK299" s="9" t="str">
        <f ca="1"/>
        <v>-</v>
      </c>
      <c r="AL299" s="35" t="str">
        <v>NÃO</v>
      </c>
      <c r="AM299" s="109" cm="1">
        <f t="array" aca="1" ref="AM299" ca="1">IF('Banco de Dados'!$AK299&lt;&gt;"-",_xlfn.IFS('Banco de Dados'!$A299="bv",IF('Banco de Dados'!$E299&lt;45641,ROUND(SUM('Banco de Dados'!$R299*_xlfn.XLOOKUP('Banco de Dados'!$P299,Sku!B:B,Sku!#REF!)*20%),2),ROUND(SUM('Banco de Dados'!$R299*_xlfn.XLOOKUP('Banco de Dados'!$P299,Sku!B:B,Sku!H:H)*20%),2)),'Banco de Dados'!$A299="GO",ROUND(_xlfn.XLOOKUP('Banco de Dados'!$P299,Sku!C:C,Sku!H:H),2),'Banco de Dados'!$A299="MEI",ROUND(_xlfn.XLOOKUP('Banco de Dados'!$P299,Sku!D:D,Sku!H:H),2)),0)</f>
        <v>0</v>
      </c>
      <c r="AN299" s="109">
        <f ca="1">IF('Banco de Dados'!$AK299&lt;&gt;"-",IF('Banco de Dados'!$F299&lt;&gt;"-",_xlfn.XLOOKUP(IFERROR(IFERROR(IFERROR(VALUE(SUBSTITUTE(MID(_xlfn.TEXTAFTER('Banco de Dados'!$F299,"Data do Pedido:
",1),1,10),"-","/")),VALUE(SUBSTITUTE(MID(_xlfn.TEXTAFTER('Banco de Dados'!$F299,"Order date:
",1),1,10),"-","/"))),VALUE(SUBSTITUTE(MID(_xlfn.TEXTAFTER('Banco de Dados'!$F299,"Fecha de pedido:
",1),1,10),"-","/"))),"-"),SMS!A:A,SMS!K:K),0),0)</f>
        <v>0</v>
      </c>
      <c r="AO299" s="109">
        <f ca="1">IF('Banco de Dados'!$AK299&lt;&gt;"-",IF('Banco de Dados'!$F299&lt;&gt;"-",IFERROR(_xlfn.XLOOKUP(_xlfn.CONCAT('Banco de Dados'!$A299,IFERROR(IFERROR(VALUE(SUBSTITUTE(MID(_xlfn.TEXTAFTER('Banco de Dados'!$F299,"Data do Pedido:
",1),1,10),"-","/")),VALUE(SUBSTITUTE(MID(_xlfn.TEXTAFTER('Banco de Dados'!$F299,"Order date:
",1),1,10),"-","/"))),0)),ProxyDD[Chave],ProxyDD[Valor por pedido]),PROXY!$P$2),0),0)</f>
        <v>0</v>
      </c>
      <c r="AP299" s="28">
        <f ca="1">IF('Banco de Dados'!$AK299&lt;&gt;"-",IF('Banco de Dados'!$AL299="NÃO",IFERROR(VALUE(SUBSTITUTE(_xlfn.TEXTAFTER('Banco de Dados'!$F299,"BRL ",1),".",",")),0),0),0)</f>
        <v>0</v>
      </c>
      <c r="AQ299" s="28">
        <f ca="1">SUM('Banco de Dados'!$AM299:$AP299)</f>
        <v>0</v>
      </c>
      <c r="AR299" s="8"/>
      <c r="AS299" s="8"/>
      <c r="AY299" s="8"/>
    </row>
    <row r="300" spans="1:51">
      <c r="A300" s="5" t="str">
        <v>BV</v>
      </c>
      <c r="B300" s="5" t="str">
        <f ca="1"/>
        <v>BV45603</v>
      </c>
      <c r="C300" s="8" t="str">
        <v>Pedido 297</v>
      </c>
      <c r="D300" s="9">
        <v>45603</v>
      </c>
      <c r="E300" s="9">
        <v>45603</v>
      </c>
      <c r="F300" s="8" t="str">
        <v>PedidoF290</v>
      </c>
      <c r="G300" s="2" t="str">
        <v>CódRastreio290</v>
      </c>
      <c r="H300" s="5">
        <v>1</v>
      </c>
      <c r="I300" s="181" t="str">
        <v>CPF 292</v>
      </c>
      <c r="J300" s="2" t="str">
        <v>Nome 292</v>
      </c>
      <c r="K300" s="8" t="str">
        <v>Tel 292</v>
      </c>
      <c r="L300" s="2" t="str">
        <v>Cep 292</v>
      </c>
      <c r="M300" s="2" t="str">
        <v>Rua 292</v>
      </c>
      <c r="N300" s="2" t="str">
        <v>Comp 292</v>
      </c>
      <c r="O300" s="2" t="str">
        <v>Suporte de Celular Branco</v>
      </c>
      <c r="P300" s="8" t="str">
        <v>16-4EDB-WMZF</v>
      </c>
      <c r="Q300" s="4">
        <v>45625</v>
      </c>
      <c r="R300" s="109">
        <v>14.8</v>
      </c>
      <c r="S300" s="11">
        <f ca="1"/>
        <v>0</v>
      </c>
      <c r="T300" s="28">
        <f ca="1"/>
        <v>0</v>
      </c>
      <c r="U300" s="11">
        <f ca="1"/>
        <v>0</v>
      </c>
      <c r="V300" s="11">
        <v>0</v>
      </c>
      <c r="W300" s="11">
        <f ca="1"/>
        <v>0</v>
      </c>
      <c r="X300" s="11">
        <f ca="1"/>
        <v>0.39877104377104378</v>
      </c>
      <c r="Y300" s="11">
        <v>0</v>
      </c>
      <c r="Z300" s="11">
        <f ca="1"/>
        <v>-0.39877104377104378</v>
      </c>
      <c r="AA300" s="11">
        <f ca="1"/>
        <v>-0.19938552188552189</v>
      </c>
      <c r="AB300" s="4">
        <f ca="1"/>
        <v>45632</v>
      </c>
      <c r="AC300" s="4">
        <v>45635</v>
      </c>
      <c r="AD300" s="9">
        <v>45637</v>
      </c>
      <c r="AE300" s="9">
        <v>45642</v>
      </c>
      <c r="AF300" s="4" t="str">
        <f t="shared" ca="1" si="4"/>
        <v>2024 12</v>
      </c>
      <c r="AG300" s="8" t="str" cm="1">
        <f t="array" ref="AG300">IFERROR(_xlfn.IFS('Banco de Dados'!#REF!="AG. COMPRA","Em processamento",'Banco de Dados'!#REF!="AG. RASTREIO","Em processamento",'Banco de Dados'!$AE300&lt;&gt;"-","Faturado",'Banco de Dados'!$AD300&lt;&gt;"-","Aguardando Pix",'Banco de Dados'!$AC300&lt;&gt;"-","Pendente"),"Aguardando Liberação")</f>
        <v>Aguardando Liberação</v>
      </c>
      <c r="AH300" s="5" t="str">
        <f>IF('Banco de Dados'!$F300="-",_xlfn.CONCAT(PROPER(TEXT(AK300,"aaaa"))," ",PROPER(TEXT(AK300,"mm"))),_xlfn.CONCAT(PROPER(TEXT(E300,"aaaa"))," ",PROPER(TEXT(E300,"mm"))))</f>
        <v>2024 11</v>
      </c>
      <c r="AI300" s="9" t="str">
        <f ca="1">IF('Banco de Dados'!$AK300&lt;&gt;"-","REEMBOLSO",IFERROR(_xlfn.XLOOKUP(G300,Follow[CODRASTREIO],Follow[STATUS]),"-"))</f>
        <v>REEMBOLSO</v>
      </c>
      <c r="AJ300" s="9" t="str">
        <f ca="1">IF('Banco de Dados'!$AI300="ENTREGUE",_xlfn.XLOOKUP('Banco de Dados'!$G300,Follow[CODRASTREIO],Follow[DATAATUALIZAÇÃO]),"-")</f>
        <v>-</v>
      </c>
      <c r="AK300" s="9">
        <f ca="1"/>
        <v>45635</v>
      </c>
      <c r="AL300" s="35" t="str">
        <v>NÃO</v>
      </c>
      <c r="AM300" s="109" t="e" cm="1">
        <f t="array" aca="1" ref="AM300" ca="1">IF('Banco de Dados'!$AK300&lt;&gt;"-",_xlfn.IFS('Banco de Dados'!$A300="bv",IF('Banco de Dados'!$E300&lt;45641,ROUND(SUM('Banco de Dados'!$R300*_xlfn.XLOOKUP('Banco de Dados'!$P300,Sku!B:B,Sku!#REF!)*20%),2),ROUND(SUM('Banco de Dados'!$R300*_xlfn.XLOOKUP('Banco de Dados'!$P300,Sku!B:B,Sku!H:H)*20%),2)),'Banco de Dados'!$A300="GO",ROUND(_xlfn.XLOOKUP('Banco de Dados'!$P300,Sku!C:C,Sku!H:H),2),'Banco de Dados'!$A300="MEI",ROUND(_xlfn.XLOOKUP('Banco de Dados'!$P300,Sku!D:D,Sku!H:H),2)),0)</f>
        <v>#REF!</v>
      </c>
      <c r="AN300" s="109" t="e">
        <f ca="1">IF('Banco de Dados'!$AK300&lt;&gt;"-",IF('Banco de Dados'!$F300&lt;&gt;"-",_xlfn.XLOOKUP(IFERROR(IFERROR(IFERROR(VALUE(SUBSTITUTE(MID(_xlfn.TEXTAFTER('Banco de Dados'!$F300,"Data do Pedido:
",1),1,10),"-","/")),VALUE(SUBSTITUTE(MID(_xlfn.TEXTAFTER('Banco de Dados'!$F300,"Order date:
",1),1,10),"-","/"))),VALUE(SUBSTITUTE(MID(_xlfn.TEXTAFTER('Banco de Dados'!$F300,"Fecha de pedido:
",1),1,10),"-","/"))),"-"),SMS!A:A,SMS!K:K),0),0)</f>
        <v>#N/A</v>
      </c>
      <c r="AO300" s="109">
        <f ca="1">IF('Banco de Dados'!$AK300&lt;&gt;"-",IF('Banco de Dados'!$F300&lt;&gt;"-",IFERROR(_xlfn.XLOOKUP(_xlfn.CONCAT('Banco de Dados'!$A300,IFERROR(IFERROR(VALUE(SUBSTITUTE(MID(_xlfn.TEXTAFTER('Banco de Dados'!$F300,"Data do Pedido:
",1),1,10),"-","/")),VALUE(SUBSTITUTE(MID(_xlfn.TEXTAFTER('Banco de Dados'!$F300,"Order date:
",1),1,10),"-","/"))),0)),ProxyDD[Chave],ProxyDD[Valor por pedido]),PROXY!$P$2),0),0)</f>
        <v>0.39877104377104378</v>
      </c>
      <c r="AP300" s="28">
        <f ca="1">IF('Banco de Dados'!$AK300&lt;&gt;"-",IF('Banco de Dados'!$AL300="NÃO",IFERROR(VALUE(SUBSTITUTE(_xlfn.TEXTAFTER('Banco de Dados'!$F300,"BRL ",1),".",",")),0),0),0)</f>
        <v>0</v>
      </c>
      <c r="AQ300" s="28" t="e">
        <f ca="1">SUM('Banco de Dados'!$AM300:$AP300)</f>
        <v>#REF!</v>
      </c>
      <c r="AR300" s="8"/>
      <c r="AS300" s="8"/>
      <c r="AY300" s="8"/>
    </row>
    <row r="301" spans="1:51">
      <c r="A301" s="5" t="str">
        <v>BV</v>
      </c>
      <c r="B301" s="5" t="str">
        <f ca="1"/>
        <v>BV45603</v>
      </c>
      <c r="C301" s="8" t="str">
        <v>Pedido 298</v>
      </c>
      <c r="D301" s="9">
        <v>45603</v>
      </c>
      <c r="E301" s="9">
        <v>45603</v>
      </c>
      <c r="F301" s="8" t="str">
        <v>PedidoF291</v>
      </c>
      <c r="G301" s="2" t="str">
        <v>CódRastreio291</v>
      </c>
      <c r="H301" s="5">
        <v>1</v>
      </c>
      <c r="I301" s="182" t="str">
        <v>CPF 293</v>
      </c>
      <c r="J301" s="2" t="str">
        <v>Nome 293</v>
      </c>
      <c r="K301" s="8" t="str">
        <v>Tel 293</v>
      </c>
      <c r="L301" s="2" t="str">
        <v>Cep 293</v>
      </c>
      <c r="M301" s="2" t="str">
        <v>Rua 293</v>
      </c>
      <c r="N301" s="2" t="str">
        <v>Comp 293</v>
      </c>
      <c r="O301" s="2" t="str">
        <v>Bomba d'agua</v>
      </c>
      <c r="P301" s="8" t="str">
        <v>DJ-RO5O-43GF</v>
      </c>
      <c r="Q301" s="4">
        <v>45631</v>
      </c>
      <c r="R301" s="109">
        <v>16.5</v>
      </c>
      <c r="S301" s="11">
        <f ca="1"/>
        <v>16.5</v>
      </c>
      <c r="T301" s="28">
        <f ca="1"/>
        <v>2.31</v>
      </c>
      <c r="U301" s="11">
        <f ca="1"/>
        <v>14.19</v>
      </c>
      <c r="V301" s="11">
        <v>4.99</v>
      </c>
      <c r="W301" s="11">
        <f ca="1"/>
        <v>0.23</v>
      </c>
      <c r="X301" s="11">
        <f ca="1"/>
        <v>0.39877104377104378</v>
      </c>
      <c r="Y301" s="11">
        <v>0</v>
      </c>
      <c r="Z301" s="11">
        <f ca="1"/>
        <v>8.5712289562289552</v>
      </c>
      <c r="AA301" s="11">
        <f ca="1"/>
        <v>4.2856144781144776</v>
      </c>
      <c r="AB301" s="4">
        <f ca="1"/>
        <v>45638</v>
      </c>
      <c r="AC301" s="4">
        <v>45638</v>
      </c>
      <c r="AD301" s="9">
        <v>45640</v>
      </c>
      <c r="AE301" s="9">
        <v>45642</v>
      </c>
      <c r="AF301" s="4" t="str">
        <f t="shared" ca="1" si="4"/>
        <v>2024 12</v>
      </c>
      <c r="AG301" s="8" t="str" cm="1">
        <f t="array" ref="AG301">IFERROR(_xlfn.IFS('Banco de Dados'!#REF!="AG. COMPRA","Em processamento",'Banco de Dados'!#REF!="AG. RASTREIO","Em processamento",'Banco de Dados'!$AE301&lt;&gt;"-","Faturado",'Banco de Dados'!$AD301&lt;&gt;"-","Aguardando Pix",'Banco de Dados'!$AC301&lt;&gt;"-","Pendente"),"Aguardando Liberação")</f>
        <v>Aguardando Liberação</v>
      </c>
      <c r="AH301" s="5" t="str">
        <f>IF('Banco de Dados'!$F301="-",_xlfn.CONCAT(PROPER(TEXT(AK301,"aaaa"))," ",PROPER(TEXT(AK301,"mm"))),_xlfn.CONCAT(PROPER(TEXT(E301,"aaaa"))," ",PROPER(TEXT(E301,"mm"))))</f>
        <v>2024 11</v>
      </c>
      <c r="AI301" s="9" t="str">
        <f ca="1">IF('Banco de Dados'!$AK301&lt;&gt;"-","REEMBOLSO",IFERROR(_xlfn.XLOOKUP(G301,Follow[CODRASTREIO],Follow[STATUS]),"-"))</f>
        <v>ENTREGUE</v>
      </c>
      <c r="AJ301" s="9">
        <f ca="1">IF('Banco de Dados'!$AI301="ENTREGUE",_xlfn.XLOOKUP('Banco de Dados'!$G301,Follow[CODRASTREIO],Follow[DATAATUALIZAÇÃO]),"-")</f>
        <v>45623</v>
      </c>
      <c r="AK301" s="9" t="str">
        <f ca="1"/>
        <v>-</v>
      </c>
      <c r="AL301" s="35" t="str">
        <v>NÃO</v>
      </c>
      <c r="AM301" s="109" cm="1">
        <f t="array" aca="1" ref="AM301" ca="1">IF('Banco de Dados'!$AK301&lt;&gt;"-",_xlfn.IFS('Banco de Dados'!$A301="bv",IF('Banco de Dados'!$E301&lt;45641,ROUND(SUM('Banco de Dados'!$R301*_xlfn.XLOOKUP('Banco de Dados'!$P301,Sku!B:B,Sku!#REF!)*20%),2),ROUND(SUM('Banco de Dados'!$R301*_xlfn.XLOOKUP('Banco de Dados'!$P301,Sku!B:B,Sku!H:H)*20%),2)),'Banco de Dados'!$A301="GO",ROUND(_xlfn.XLOOKUP('Banco de Dados'!$P301,Sku!C:C,Sku!H:H),2),'Banco de Dados'!$A301="MEI",ROUND(_xlfn.XLOOKUP('Banco de Dados'!$P301,Sku!D:D,Sku!H:H),2)),0)</f>
        <v>0</v>
      </c>
      <c r="AN301" s="109">
        <f ca="1">IF('Banco de Dados'!$AK301&lt;&gt;"-",IF('Banco de Dados'!$F301&lt;&gt;"-",_xlfn.XLOOKUP(IFERROR(IFERROR(IFERROR(VALUE(SUBSTITUTE(MID(_xlfn.TEXTAFTER('Banco de Dados'!$F301,"Data do Pedido:
",1),1,10),"-","/")),VALUE(SUBSTITUTE(MID(_xlfn.TEXTAFTER('Banco de Dados'!$F301,"Order date:
",1),1,10),"-","/"))),VALUE(SUBSTITUTE(MID(_xlfn.TEXTAFTER('Banco de Dados'!$F301,"Fecha de pedido:
",1),1,10),"-","/"))),"-"),SMS!A:A,SMS!K:K),0),0)</f>
        <v>0</v>
      </c>
      <c r="AO301" s="109">
        <f ca="1">IF('Banco de Dados'!$AK301&lt;&gt;"-",IF('Banco de Dados'!$F301&lt;&gt;"-",IFERROR(_xlfn.XLOOKUP(_xlfn.CONCAT('Banco de Dados'!$A301,IFERROR(IFERROR(VALUE(SUBSTITUTE(MID(_xlfn.TEXTAFTER('Banco de Dados'!$F301,"Data do Pedido:
",1),1,10),"-","/")),VALUE(SUBSTITUTE(MID(_xlfn.TEXTAFTER('Banco de Dados'!$F301,"Order date:
",1),1,10),"-","/"))),0)),ProxyDD[Chave],ProxyDD[Valor por pedido]),PROXY!$P$2),0),0)</f>
        <v>0</v>
      </c>
      <c r="AP301" s="28">
        <f ca="1">IF('Banco de Dados'!$AK301&lt;&gt;"-",IF('Banco de Dados'!$AL301="NÃO",IFERROR(VALUE(SUBSTITUTE(_xlfn.TEXTAFTER('Banco de Dados'!$F301,"BRL ",1),".",",")),0),0),0)</f>
        <v>0</v>
      </c>
      <c r="AQ301" s="28">
        <f ca="1">SUM('Banco de Dados'!$AM301:$AP301)</f>
        <v>0</v>
      </c>
      <c r="AR301" s="8"/>
      <c r="AS301" s="8"/>
      <c r="AY301" s="8"/>
    </row>
    <row r="302" spans="1:51">
      <c r="A302" s="5" t="str">
        <v>BV</v>
      </c>
      <c r="B302" s="5" t="str">
        <f ca="1"/>
        <v>BV45605</v>
      </c>
      <c r="C302" s="8" t="str">
        <v>Pedido 299</v>
      </c>
      <c r="D302" s="9">
        <v>45605</v>
      </c>
      <c r="E302" s="9">
        <v>45605</v>
      </c>
      <c r="F302" s="8" t="str">
        <v>PedidoF292</v>
      </c>
      <c r="G302" s="2" t="str">
        <v>CódRastreio292</v>
      </c>
      <c r="H302" s="5">
        <v>1</v>
      </c>
      <c r="I302" s="182" t="str">
        <v>CPF 293</v>
      </c>
      <c r="J302" s="2" t="str">
        <v>Nome 293</v>
      </c>
      <c r="K302" s="8" t="str">
        <v>Tel 293</v>
      </c>
      <c r="L302" s="2" t="str">
        <v>Cep 293</v>
      </c>
      <c r="M302" s="2" t="str">
        <v>Rua 293</v>
      </c>
      <c r="N302" s="2" t="str">
        <v>Comp 293</v>
      </c>
      <c r="O302" s="2" t="str">
        <v>Bomba d'agua</v>
      </c>
      <c r="P302" s="8" t="str">
        <v>DJ-RO5O-43GF</v>
      </c>
      <c r="Q302" s="4">
        <v>45631</v>
      </c>
      <c r="R302" s="109">
        <v>16.5</v>
      </c>
      <c r="S302" s="11">
        <f ca="1"/>
        <v>16.5</v>
      </c>
      <c r="T302" s="28">
        <f ca="1"/>
        <v>2.31</v>
      </c>
      <c r="U302" s="11">
        <f ca="1"/>
        <v>14.19</v>
      </c>
      <c r="V302" s="11">
        <v>6.57</v>
      </c>
      <c r="W302" s="11">
        <f ca="1"/>
        <v>0.2</v>
      </c>
      <c r="X302" s="11">
        <f ca="1"/>
        <v>0.39877104377104378</v>
      </c>
      <c r="Y302" s="11">
        <v>0</v>
      </c>
      <c r="Z302" s="11">
        <f ca="1"/>
        <v>7.0212289562289554</v>
      </c>
      <c r="AA302" s="11">
        <f ca="1"/>
        <v>3.5106144781144777</v>
      </c>
      <c r="AB302" s="4">
        <f ca="1"/>
        <v>45638</v>
      </c>
      <c r="AC302" s="4">
        <v>45638</v>
      </c>
      <c r="AD302" s="9">
        <v>45640</v>
      </c>
      <c r="AE302" s="9">
        <v>45642</v>
      </c>
      <c r="AF302" s="4" t="str">
        <f t="shared" ca="1" si="4"/>
        <v>2024 12</v>
      </c>
      <c r="AG302" s="8" t="str" cm="1">
        <f t="array" ref="AG302">IFERROR(_xlfn.IFS('Banco de Dados'!#REF!="AG. COMPRA","Em processamento",'Banco de Dados'!#REF!="AG. RASTREIO","Em processamento",'Banco de Dados'!$AE302&lt;&gt;"-","Faturado",'Banco de Dados'!$AD302&lt;&gt;"-","Aguardando Pix",'Banco de Dados'!$AC302&lt;&gt;"-","Pendente"),"Aguardando Liberação")</f>
        <v>Aguardando Liberação</v>
      </c>
      <c r="AH302" s="5" t="str">
        <f>IF('Banco de Dados'!$F302="-",_xlfn.CONCAT(PROPER(TEXT(AK302,"aaaa"))," ",PROPER(TEXT(AK302,"mm"))),_xlfn.CONCAT(PROPER(TEXT(E302,"aaaa"))," ",PROPER(TEXT(E302,"mm"))))</f>
        <v>2024 11</v>
      </c>
      <c r="AI302" s="9" t="str">
        <f ca="1">IF('Banco de Dados'!$AK302&lt;&gt;"-","REEMBOLSO",IFERROR(_xlfn.XLOOKUP(G302,Follow[CODRASTREIO],Follow[STATUS]),"-"))</f>
        <v>ENTREGUE</v>
      </c>
      <c r="AJ302" s="9">
        <f ca="1">IF('Banco de Dados'!$AI302="ENTREGUE",_xlfn.XLOOKUP('Banco de Dados'!$G302,Follow[CODRASTREIO],Follow[DATAATUALIZAÇÃO]),"-")</f>
        <v>45623</v>
      </c>
      <c r="AK302" s="9" t="str">
        <f ca="1"/>
        <v>-</v>
      </c>
      <c r="AL302" s="35" t="str">
        <v>NÃO</v>
      </c>
      <c r="AM302" s="109" cm="1">
        <f t="array" aca="1" ref="AM302" ca="1">IF('Banco de Dados'!$AK302&lt;&gt;"-",_xlfn.IFS('Banco de Dados'!$A302="bv",IF('Banco de Dados'!$E302&lt;45641,ROUND(SUM('Banco de Dados'!$R302*_xlfn.XLOOKUP('Banco de Dados'!$P302,Sku!B:B,Sku!#REF!)*20%),2),ROUND(SUM('Banco de Dados'!$R302*_xlfn.XLOOKUP('Banco de Dados'!$P302,Sku!B:B,Sku!H:H)*20%),2)),'Banco de Dados'!$A302="GO",ROUND(_xlfn.XLOOKUP('Banco de Dados'!$P302,Sku!C:C,Sku!H:H),2),'Banco de Dados'!$A302="MEI",ROUND(_xlfn.XLOOKUP('Banco de Dados'!$P302,Sku!D:D,Sku!H:H),2)),0)</f>
        <v>0</v>
      </c>
      <c r="AN302" s="109">
        <f ca="1">IF('Banco de Dados'!$AK302&lt;&gt;"-",IF('Banco de Dados'!$F302&lt;&gt;"-",_xlfn.XLOOKUP(IFERROR(IFERROR(IFERROR(VALUE(SUBSTITUTE(MID(_xlfn.TEXTAFTER('Banco de Dados'!$F302,"Data do Pedido:
",1),1,10),"-","/")),VALUE(SUBSTITUTE(MID(_xlfn.TEXTAFTER('Banco de Dados'!$F302,"Order date:
",1),1,10),"-","/"))),VALUE(SUBSTITUTE(MID(_xlfn.TEXTAFTER('Banco de Dados'!$F302,"Fecha de pedido:
",1),1,10),"-","/"))),"-"),SMS!A:A,SMS!K:K),0),0)</f>
        <v>0</v>
      </c>
      <c r="AO302" s="109">
        <f ca="1">IF('Banco de Dados'!$AK302&lt;&gt;"-",IF('Banco de Dados'!$F302&lt;&gt;"-",IFERROR(_xlfn.XLOOKUP(_xlfn.CONCAT('Banco de Dados'!$A302,IFERROR(IFERROR(VALUE(SUBSTITUTE(MID(_xlfn.TEXTAFTER('Banco de Dados'!$F302,"Data do Pedido:
",1),1,10),"-","/")),VALUE(SUBSTITUTE(MID(_xlfn.TEXTAFTER('Banco de Dados'!$F302,"Order date:
",1),1,10),"-","/"))),0)),ProxyDD[Chave],ProxyDD[Valor por pedido]),PROXY!$P$2),0),0)</f>
        <v>0</v>
      </c>
      <c r="AP302" s="28">
        <f ca="1">IF('Banco de Dados'!$AK302&lt;&gt;"-",IF('Banco de Dados'!$AL302="NÃO",IFERROR(VALUE(SUBSTITUTE(_xlfn.TEXTAFTER('Banco de Dados'!$F302,"BRL ",1),".",",")),0),0),0)</f>
        <v>0</v>
      </c>
      <c r="AQ302" s="28">
        <f ca="1">SUM('Banco de Dados'!$AM302:$AP302)</f>
        <v>0</v>
      </c>
      <c r="AR302" s="8"/>
      <c r="AS302" s="8"/>
      <c r="AY302" s="8"/>
    </row>
    <row r="303" spans="1:51">
      <c r="A303" s="5" t="str">
        <v>BV</v>
      </c>
      <c r="B303" s="5" t="str">
        <f ca="1"/>
        <v>BV45603</v>
      </c>
      <c r="C303" s="8" t="str">
        <v>Pedido 300</v>
      </c>
      <c r="D303" s="9">
        <v>45603</v>
      </c>
      <c r="E303" s="9">
        <v>45603</v>
      </c>
      <c r="F303" s="8" t="str">
        <v>PedidoF293</v>
      </c>
      <c r="G303" s="2" t="str">
        <v>CódRastreio293</v>
      </c>
      <c r="H303" s="5">
        <v>1</v>
      </c>
      <c r="I303" s="182" t="str">
        <v>CPF 294</v>
      </c>
      <c r="J303" s="2" t="str">
        <v>Nome 294</v>
      </c>
      <c r="K303" s="8" t="str">
        <v>Tel 294</v>
      </c>
      <c r="L303" s="2" t="str">
        <v>Cep 294</v>
      </c>
      <c r="M303" s="2" t="str">
        <v>Rua 294</v>
      </c>
      <c r="N303" s="2" t="str">
        <v>Comp 294</v>
      </c>
      <c r="O303" s="2" t="str">
        <v>Bomba d'agua</v>
      </c>
      <c r="P303" s="8" t="str">
        <v>DJ-RO5O-43GF</v>
      </c>
      <c r="Q303" s="4">
        <v>45632</v>
      </c>
      <c r="R303" s="109">
        <v>16.5</v>
      </c>
      <c r="S303" s="11">
        <f ca="1"/>
        <v>16.5</v>
      </c>
      <c r="T303" s="28">
        <f ca="1"/>
        <v>2.31</v>
      </c>
      <c r="U303" s="11">
        <f ca="1"/>
        <v>14.19</v>
      </c>
      <c r="V303" s="11">
        <v>4.99</v>
      </c>
      <c r="W303" s="11">
        <f ca="1"/>
        <v>0.23</v>
      </c>
      <c r="X303" s="11">
        <f ca="1"/>
        <v>0.39877104377104378</v>
      </c>
      <c r="Y303" s="11">
        <v>0</v>
      </c>
      <c r="Z303" s="11">
        <f ca="1"/>
        <v>8.5712289562289552</v>
      </c>
      <c r="AA303" s="11">
        <f ca="1"/>
        <v>4.2856144781144776</v>
      </c>
      <c r="AB303" s="4">
        <f ca="1"/>
        <v>45639</v>
      </c>
      <c r="AC303" s="4">
        <v>45639</v>
      </c>
      <c r="AD303" s="9">
        <v>45640</v>
      </c>
      <c r="AE303" s="9">
        <v>45642</v>
      </c>
      <c r="AF303" s="4" t="str">
        <f t="shared" ca="1" si="4"/>
        <v>2024 12</v>
      </c>
      <c r="AG303" s="8" t="str" cm="1">
        <f t="array" ref="AG303">IFERROR(_xlfn.IFS('Banco de Dados'!#REF!="AG. COMPRA","Em processamento",'Banco de Dados'!#REF!="AG. RASTREIO","Em processamento",'Banco de Dados'!$AE303&lt;&gt;"-","Faturado",'Banco de Dados'!$AD303&lt;&gt;"-","Aguardando Pix",'Banco de Dados'!$AC303&lt;&gt;"-","Pendente"),"Aguardando Liberação")</f>
        <v>Aguardando Liberação</v>
      </c>
      <c r="AH303" s="5" t="str">
        <f>IF('Banco de Dados'!$F303="-",_xlfn.CONCAT(PROPER(TEXT(AK303,"aaaa"))," ",PROPER(TEXT(AK303,"mm"))),_xlfn.CONCAT(PROPER(TEXT(E303,"aaaa"))," ",PROPER(TEXT(E303,"mm"))))</f>
        <v>2024 11</v>
      </c>
      <c r="AI303" s="9" t="str">
        <f ca="1">IF('Banco de Dados'!$AK303&lt;&gt;"-","REEMBOLSO",IFERROR(_xlfn.XLOOKUP(G303,Follow[CODRASTREIO],Follow[STATUS]),"-"))</f>
        <v>ENTREGUE</v>
      </c>
      <c r="AJ303" s="9">
        <f ca="1">IF('Banco de Dados'!$AI303="ENTREGUE",_xlfn.XLOOKUP('Banco de Dados'!$G303,Follow[CODRASTREIO],Follow[DATAATUALIZAÇÃO]),"-")</f>
        <v>45614</v>
      </c>
      <c r="AK303" s="9" t="str">
        <f ca="1"/>
        <v>-</v>
      </c>
      <c r="AL303" s="35" t="str">
        <v>NÃO</v>
      </c>
      <c r="AM303" s="109" cm="1">
        <f t="array" aca="1" ref="AM303" ca="1">IF('Banco de Dados'!$AK303&lt;&gt;"-",_xlfn.IFS('Banco de Dados'!$A303="bv",IF('Banco de Dados'!$E303&lt;45641,ROUND(SUM('Banco de Dados'!$R303*_xlfn.XLOOKUP('Banco de Dados'!$P303,Sku!B:B,Sku!#REF!)*20%),2),ROUND(SUM('Banco de Dados'!$R303*_xlfn.XLOOKUP('Banco de Dados'!$P303,Sku!B:B,Sku!H:H)*20%),2)),'Banco de Dados'!$A303="GO",ROUND(_xlfn.XLOOKUP('Banco de Dados'!$P303,Sku!C:C,Sku!H:H),2),'Banco de Dados'!$A303="MEI",ROUND(_xlfn.XLOOKUP('Banco de Dados'!$P303,Sku!D:D,Sku!H:H),2)),0)</f>
        <v>0</v>
      </c>
      <c r="AN303" s="109">
        <f ca="1">IF('Banco de Dados'!$AK303&lt;&gt;"-",IF('Banco de Dados'!$F303&lt;&gt;"-",_xlfn.XLOOKUP(IFERROR(IFERROR(IFERROR(VALUE(SUBSTITUTE(MID(_xlfn.TEXTAFTER('Banco de Dados'!$F303,"Data do Pedido:
",1),1,10),"-","/")),VALUE(SUBSTITUTE(MID(_xlfn.TEXTAFTER('Banco de Dados'!$F303,"Order date:
",1),1,10),"-","/"))),VALUE(SUBSTITUTE(MID(_xlfn.TEXTAFTER('Banco de Dados'!$F303,"Fecha de pedido:
",1),1,10),"-","/"))),"-"),SMS!A:A,SMS!K:K),0),0)</f>
        <v>0</v>
      </c>
      <c r="AO303" s="109">
        <f ca="1">IF('Banco de Dados'!$AK303&lt;&gt;"-",IF('Banco de Dados'!$F303&lt;&gt;"-",IFERROR(_xlfn.XLOOKUP(_xlfn.CONCAT('Banco de Dados'!$A303,IFERROR(IFERROR(VALUE(SUBSTITUTE(MID(_xlfn.TEXTAFTER('Banco de Dados'!$F303,"Data do Pedido:
",1),1,10),"-","/")),VALUE(SUBSTITUTE(MID(_xlfn.TEXTAFTER('Banco de Dados'!$F303,"Order date:
",1),1,10),"-","/"))),0)),ProxyDD[Chave],ProxyDD[Valor por pedido]),PROXY!$P$2),0),0)</f>
        <v>0</v>
      </c>
      <c r="AP303" s="28">
        <f ca="1">IF('Banco de Dados'!$AK303&lt;&gt;"-",IF('Banco de Dados'!$AL303="NÃO",IFERROR(VALUE(SUBSTITUTE(_xlfn.TEXTAFTER('Banco de Dados'!$F303,"BRL ",1),".",",")),0),0),0)</f>
        <v>0</v>
      </c>
      <c r="AQ303" s="28">
        <f ca="1">SUM('Banco de Dados'!$AM303:$AP303)</f>
        <v>0</v>
      </c>
      <c r="AR303" s="8"/>
      <c r="AS303" s="8"/>
      <c r="AY303" s="8"/>
    </row>
    <row r="304" spans="1:51">
      <c r="A304" s="5" t="str">
        <v>BV</v>
      </c>
      <c r="B304" s="5" t="str">
        <f ca="1"/>
        <v>BV45603</v>
      </c>
      <c r="C304" s="8" t="str">
        <v>Pedido 301</v>
      </c>
      <c r="D304" s="9">
        <v>45603</v>
      </c>
      <c r="E304" s="9">
        <v>45603</v>
      </c>
      <c r="F304" s="8" t="str">
        <v>PedidoF294</v>
      </c>
      <c r="G304" s="2" t="str">
        <v>CódRastreio294</v>
      </c>
      <c r="H304" s="5">
        <v>1</v>
      </c>
      <c r="I304" s="181" t="str">
        <v>CPF 295</v>
      </c>
      <c r="J304" s="2" t="str">
        <v>Nome 295</v>
      </c>
      <c r="K304" s="8" t="str">
        <v>Tel 295</v>
      </c>
      <c r="L304" s="2" t="str">
        <v>Cep 295</v>
      </c>
      <c r="M304" s="2" t="str">
        <v>Rua 295</v>
      </c>
      <c r="N304" s="2" t="str">
        <v>Comp 295</v>
      </c>
      <c r="O304" s="2" t="str">
        <v>Ventilador de teto</v>
      </c>
      <c r="P304" s="8" t="str">
        <v>ZO-J9IL-EN6L</v>
      </c>
      <c r="Q304" s="4">
        <v>45626</v>
      </c>
      <c r="R304" s="109">
        <v>59.9</v>
      </c>
      <c r="S304" s="11">
        <f ca="1"/>
        <v>59.9</v>
      </c>
      <c r="T304" s="28">
        <f ca="1"/>
        <v>8.386000000000001</v>
      </c>
      <c r="U304" s="11">
        <f ca="1"/>
        <v>51.51</v>
      </c>
      <c r="V304" s="11">
        <v>7.27</v>
      </c>
      <c r="W304" s="11">
        <f ca="1"/>
        <v>0.23</v>
      </c>
      <c r="X304" s="11">
        <f ca="1"/>
        <v>0.39877104377104378</v>
      </c>
      <c r="Y304" s="11">
        <v>0</v>
      </c>
      <c r="Z304" s="11">
        <f ca="1"/>
        <v>43.611228956228956</v>
      </c>
      <c r="AA304" s="11">
        <f ca="1"/>
        <v>21.805614478114478</v>
      </c>
      <c r="AB304" s="4">
        <f ca="1"/>
        <v>45633</v>
      </c>
      <c r="AC304" s="4">
        <v>45633</v>
      </c>
      <c r="AD304" s="9">
        <v>45637</v>
      </c>
      <c r="AE304" s="9">
        <v>45642</v>
      </c>
      <c r="AF304" s="4" t="str">
        <f t="shared" ca="1" si="4"/>
        <v>2024 12</v>
      </c>
      <c r="AG304" s="8" t="str" cm="1">
        <f t="array" ref="AG304">IFERROR(_xlfn.IFS('Banco de Dados'!#REF!="AG. COMPRA","Em processamento",'Banco de Dados'!#REF!="AG. RASTREIO","Em processamento",'Banco de Dados'!$AE304&lt;&gt;"-","Faturado",'Banco de Dados'!$AD304&lt;&gt;"-","Aguardando Pix",'Banco de Dados'!$AC304&lt;&gt;"-","Pendente"),"Aguardando Liberação")</f>
        <v>Aguardando Liberação</v>
      </c>
      <c r="AH304" s="5" t="str">
        <f>IF('Banco de Dados'!$F304="-",_xlfn.CONCAT(PROPER(TEXT(AK304,"aaaa"))," ",PROPER(TEXT(AK304,"mm"))),_xlfn.CONCAT(PROPER(TEXT(E304,"aaaa"))," ",PROPER(TEXT(E304,"mm"))))</f>
        <v>2024 11</v>
      </c>
      <c r="AI304" s="9" t="str">
        <f ca="1">IF('Banco de Dados'!$AK304&lt;&gt;"-","REEMBOLSO",IFERROR(_xlfn.XLOOKUP(G304,Follow[CODRASTREIO],Follow[STATUS]),"-"))</f>
        <v>ENTREGUE</v>
      </c>
      <c r="AJ304" s="9">
        <f ca="1">IF('Banco de Dados'!$AI304="ENTREGUE",_xlfn.XLOOKUP('Banco de Dados'!$G304,Follow[CODRASTREIO],Follow[DATAATUALIZAÇÃO]),"-")</f>
        <v>45610</v>
      </c>
      <c r="AK304" s="9" t="str">
        <f ca="1"/>
        <v>-</v>
      </c>
      <c r="AL304" s="35" t="str">
        <v>NÃO</v>
      </c>
      <c r="AM304" s="109" cm="1">
        <f t="array" aca="1" ref="AM304" ca="1">IF('Banco de Dados'!$AK304&lt;&gt;"-",_xlfn.IFS('Banco de Dados'!$A304="bv",IF('Banco de Dados'!$E304&lt;45641,ROUND(SUM('Banco de Dados'!$R304*_xlfn.XLOOKUP('Banco de Dados'!$P304,Sku!B:B,Sku!#REF!)*20%),2),ROUND(SUM('Banco de Dados'!$R304*_xlfn.XLOOKUP('Banco de Dados'!$P304,Sku!B:B,Sku!H:H)*20%),2)),'Banco de Dados'!$A304="GO",ROUND(_xlfn.XLOOKUP('Banco de Dados'!$P304,Sku!C:C,Sku!H:H),2),'Banco de Dados'!$A304="MEI",ROUND(_xlfn.XLOOKUP('Banco de Dados'!$P304,Sku!D:D,Sku!H:H),2)),0)</f>
        <v>0</v>
      </c>
      <c r="AN304" s="109">
        <f ca="1">IF('Banco de Dados'!$AK304&lt;&gt;"-",IF('Banco de Dados'!$F304&lt;&gt;"-",_xlfn.XLOOKUP(IFERROR(IFERROR(IFERROR(VALUE(SUBSTITUTE(MID(_xlfn.TEXTAFTER('Banco de Dados'!$F304,"Data do Pedido:
",1),1,10),"-","/")),VALUE(SUBSTITUTE(MID(_xlfn.TEXTAFTER('Banco de Dados'!$F304,"Order date:
",1),1,10),"-","/"))),VALUE(SUBSTITUTE(MID(_xlfn.TEXTAFTER('Banco de Dados'!$F304,"Fecha de pedido:
",1),1,10),"-","/"))),"-"),SMS!A:A,SMS!K:K),0),0)</f>
        <v>0</v>
      </c>
      <c r="AO304" s="109">
        <f ca="1">IF('Banco de Dados'!$AK304&lt;&gt;"-",IF('Banco de Dados'!$F304&lt;&gt;"-",IFERROR(_xlfn.XLOOKUP(_xlfn.CONCAT('Banco de Dados'!$A304,IFERROR(IFERROR(VALUE(SUBSTITUTE(MID(_xlfn.TEXTAFTER('Banco de Dados'!$F304,"Data do Pedido:
",1),1,10),"-","/")),VALUE(SUBSTITUTE(MID(_xlfn.TEXTAFTER('Banco de Dados'!$F304,"Order date:
",1),1,10),"-","/"))),0)),ProxyDD[Chave],ProxyDD[Valor por pedido]),PROXY!$P$2),0),0)</f>
        <v>0</v>
      </c>
      <c r="AP304" s="28">
        <f ca="1">IF('Banco de Dados'!$AK304&lt;&gt;"-",IF('Banco de Dados'!$AL304="NÃO",IFERROR(VALUE(SUBSTITUTE(_xlfn.TEXTAFTER('Banco de Dados'!$F304,"BRL ",1),".",",")),0),0),0)</f>
        <v>0</v>
      </c>
      <c r="AQ304" s="28">
        <f ca="1">SUM('Banco de Dados'!$AM304:$AP304)</f>
        <v>0</v>
      </c>
      <c r="AR304" s="8"/>
      <c r="AS304" s="8"/>
      <c r="AY304" s="8"/>
    </row>
    <row r="305" spans="1:51">
      <c r="A305" s="5" t="str">
        <v>BV</v>
      </c>
      <c r="B305" s="5" t="str">
        <f ca="1"/>
        <v>BV45603</v>
      </c>
      <c r="C305" s="8" t="str">
        <v>Pedido 302</v>
      </c>
      <c r="D305" s="9">
        <v>45603</v>
      </c>
      <c r="E305" s="9">
        <v>45603</v>
      </c>
      <c r="F305" s="8" t="str">
        <v>PedidoF295</v>
      </c>
      <c r="G305" s="2" t="str">
        <v>CódRastreio295</v>
      </c>
      <c r="H305" s="5">
        <v>1</v>
      </c>
      <c r="I305" s="181" t="str">
        <v>CPF 296</v>
      </c>
      <c r="J305" s="2" t="str">
        <v>Nome 296</v>
      </c>
      <c r="K305" s="8" t="str">
        <v>Tel 296</v>
      </c>
      <c r="L305" s="2" t="str">
        <v>Cep 296</v>
      </c>
      <c r="M305" s="2" t="str">
        <v>Rua 296</v>
      </c>
      <c r="N305" s="2" t="str">
        <v>Comp 296</v>
      </c>
      <c r="O305" s="2" t="str">
        <v>Suporte de Celular Branco</v>
      </c>
      <c r="P305" s="8" t="str">
        <v>16-4EDB-WMZF</v>
      </c>
      <c r="Q305" s="4">
        <v>45632</v>
      </c>
      <c r="R305" s="109">
        <v>14.8</v>
      </c>
      <c r="S305" s="11">
        <f ca="1"/>
        <v>14.8</v>
      </c>
      <c r="T305" s="28">
        <f ca="1"/>
        <v>2.2200000000000002</v>
      </c>
      <c r="U305" s="11">
        <f ca="1"/>
        <v>12.58</v>
      </c>
      <c r="V305" s="11">
        <v>4.99</v>
      </c>
      <c r="W305" s="11">
        <f ca="1"/>
        <v>0.23</v>
      </c>
      <c r="X305" s="11">
        <f ca="1"/>
        <v>0.39877104377104378</v>
      </c>
      <c r="Y305" s="11">
        <v>0</v>
      </c>
      <c r="Z305" s="11">
        <f ca="1"/>
        <v>6.9612289562289558</v>
      </c>
      <c r="AA305" s="11">
        <f ca="1"/>
        <v>3.4806144781144779</v>
      </c>
      <c r="AB305" s="4">
        <f ca="1"/>
        <v>45639</v>
      </c>
      <c r="AC305" s="4">
        <v>45639</v>
      </c>
      <c r="AD305" s="9">
        <v>45640</v>
      </c>
      <c r="AE305" s="9">
        <v>45642</v>
      </c>
      <c r="AF305" s="4" t="str">
        <f t="shared" ca="1" si="4"/>
        <v>2024 12</v>
      </c>
      <c r="AG305" s="8" t="str" cm="1">
        <f t="array" ref="AG305">IFERROR(_xlfn.IFS('Banco de Dados'!#REF!="AG. COMPRA","Em processamento",'Banco de Dados'!#REF!="AG. RASTREIO","Em processamento",'Banco de Dados'!$AE305&lt;&gt;"-","Faturado",'Banco de Dados'!$AD305&lt;&gt;"-","Aguardando Pix",'Banco de Dados'!$AC305&lt;&gt;"-","Pendente"),"Aguardando Liberação")</f>
        <v>Aguardando Liberação</v>
      </c>
      <c r="AH305" s="5" t="str">
        <f>IF('Banco de Dados'!$F305="-",_xlfn.CONCAT(PROPER(TEXT(AK305,"aaaa"))," ",PROPER(TEXT(AK305,"mm"))),_xlfn.CONCAT(PROPER(TEXT(E305,"aaaa"))," ",PROPER(TEXT(E305,"mm"))))</f>
        <v>2024 11</v>
      </c>
      <c r="AI305" s="9" t="str">
        <f ca="1">IF('Banco de Dados'!$AK305&lt;&gt;"-","REEMBOLSO",IFERROR(_xlfn.XLOOKUP(G305,Follow[CODRASTREIO],Follow[STATUS]),"-"))</f>
        <v>ENTREGUE</v>
      </c>
      <c r="AJ305" s="9">
        <f ca="1">IF('Banco de Dados'!$AI305="ENTREGUE",_xlfn.XLOOKUP('Banco de Dados'!$G305,Follow[CODRASTREIO],Follow[DATAATUALIZAÇÃO]),"-")</f>
        <v>45615</v>
      </c>
      <c r="AK305" s="9" t="str">
        <f ca="1"/>
        <v>-</v>
      </c>
      <c r="AL305" s="35"/>
      <c r="AM305" s="109" cm="1">
        <f t="array" aca="1" ref="AM305" ca="1">IF('Banco de Dados'!$AK305&lt;&gt;"-",_xlfn.IFS('Banco de Dados'!$A305="bv",IF('Banco de Dados'!$E305&lt;45641,ROUND(SUM('Banco de Dados'!$R305*_xlfn.XLOOKUP('Banco de Dados'!$P305,Sku!B:B,Sku!#REF!)*20%),2),ROUND(SUM('Banco de Dados'!$R305*_xlfn.XLOOKUP('Banco de Dados'!$P305,Sku!B:B,Sku!H:H)*20%),2)),'Banco de Dados'!$A305="GO",ROUND(_xlfn.XLOOKUP('Banco de Dados'!$P305,Sku!C:C,Sku!H:H),2),'Banco de Dados'!$A305="MEI",ROUND(_xlfn.XLOOKUP('Banco de Dados'!$P305,Sku!D:D,Sku!H:H),2)),0)</f>
        <v>0</v>
      </c>
      <c r="AN305" s="109">
        <f ca="1">IF('Banco de Dados'!$AK305&lt;&gt;"-",IF('Banco de Dados'!$F305&lt;&gt;"-",_xlfn.XLOOKUP(IFERROR(IFERROR(IFERROR(VALUE(SUBSTITUTE(MID(_xlfn.TEXTAFTER('Banco de Dados'!$F305,"Data do Pedido:
",1),1,10),"-","/")),VALUE(SUBSTITUTE(MID(_xlfn.TEXTAFTER('Banco de Dados'!$F305,"Order date:
",1),1,10),"-","/"))),VALUE(SUBSTITUTE(MID(_xlfn.TEXTAFTER('Banco de Dados'!$F305,"Fecha de pedido:
",1),1,10),"-","/"))),"-"),SMS!A:A,SMS!K:K),0),0)</f>
        <v>0</v>
      </c>
      <c r="AO305" s="109">
        <f ca="1">IF('Banco de Dados'!$AK305&lt;&gt;"-",IF('Banco de Dados'!$F305&lt;&gt;"-",IFERROR(_xlfn.XLOOKUP(_xlfn.CONCAT('Banco de Dados'!$A305,IFERROR(IFERROR(VALUE(SUBSTITUTE(MID(_xlfn.TEXTAFTER('Banco de Dados'!$F305,"Data do Pedido:
",1),1,10),"-","/")),VALUE(SUBSTITUTE(MID(_xlfn.TEXTAFTER('Banco de Dados'!$F305,"Order date:
",1),1,10),"-","/"))),0)),ProxyDD[Chave],ProxyDD[Valor por pedido]),PROXY!$P$2),0),0)</f>
        <v>0</v>
      </c>
      <c r="AP305" s="28">
        <f ca="1">IF('Banco de Dados'!$AK305&lt;&gt;"-",IF('Banco de Dados'!$AL305="NÃO",IFERROR(VALUE(SUBSTITUTE(_xlfn.TEXTAFTER('Banco de Dados'!$F305,"BRL ",1),".",",")),0),0),0)</f>
        <v>0</v>
      </c>
      <c r="AQ305" s="28">
        <f ca="1">SUM('Banco de Dados'!$AM305:$AP305)</f>
        <v>0</v>
      </c>
      <c r="AR305" s="8"/>
      <c r="AS305" s="8"/>
      <c r="AY305" s="8"/>
    </row>
    <row r="306" spans="1:51">
      <c r="A306" s="5" t="str">
        <v>BV</v>
      </c>
      <c r="B306" s="5" t="str">
        <f ca="1"/>
        <v>BV45603</v>
      </c>
      <c r="C306" s="8" t="str">
        <v>Pedido 303</v>
      </c>
      <c r="D306" s="9">
        <v>45603</v>
      </c>
      <c r="E306" s="9">
        <v>45603</v>
      </c>
      <c r="F306" s="8" t="str">
        <v>PedidoF296</v>
      </c>
      <c r="G306" s="2" t="str">
        <v>CódRastreio296</v>
      </c>
      <c r="H306" s="5">
        <v>1</v>
      </c>
      <c r="I306" s="181" t="str">
        <v>CPF 297</v>
      </c>
      <c r="J306" s="2" t="str">
        <v>Nome 297</v>
      </c>
      <c r="K306" s="8" t="str">
        <v>Tel 297</v>
      </c>
      <c r="L306" s="2" t="str">
        <v>Cep 297</v>
      </c>
      <c r="M306" s="2" t="str">
        <v>Rua 297</v>
      </c>
      <c r="N306" s="2" t="str">
        <v>Comp 297</v>
      </c>
      <c r="O306" s="2" t="str">
        <v>Bomba d'agua</v>
      </c>
      <c r="P306" s="8" t="str">
        <v>DJ-RO5O-43GF</v>
      </c>
      <c r="Q306" s="4">
        <v>45626</v>
      </c>
      <c r="R306" s="109">
        <v>16.5</v>
      </c>
      <c r="S306" s="11">
        <f ca="1"/>
        <v>16.5</v>
      </c>
      <c r="T306" s="28">
        <f ca="1"/>
        <v>2.31</v>
      </c>
      <c r="U306" s="11">
        <f ca="1"/>
        <v>14.19</v>
      </c>
      <c r="V306" s="11">
        <v>4.99</v>
      </c>
      <c r="W306" s="11">
        <f ca="1"/>
        <v>0.23</v>
      </c>
      <c r="X306" s="11">
        <f ca="1"/>
        <v>0.39877104377104378</v>
      </c>
      <c r="Y306" s="11">
        <v>0</v>
      </c>
      <c r="Z306" s="11">
        <f ca="1"/>
        <v>8.5712289562289552</v>
      </c>
      <c r="AA306" s="11">
        <f ca="1"/>
        <v>4.2856144781144776</v>
      </c>
      <c r="AB306" s="4">
        <f ca="1"/>
        <v>45633</v>
      </c>
      <c r="AC306" s="4">
        <v>45633</v>
      </c>
      <c r="AD306" s="9">
        <v>45637</v>
      </c>
      <c r="AE306" s="9">
        <v>45642</v>
      </c>
      <c r="AF306" s="4" t="str">
        <f t="shared" ca="1" si="4"/>
        <v>2024 12</v>
      </c>
      <c r="AG306" s="8" t="str" cm="1">
        <f t="array" ref="AG306">IFERROR(_xlfn.IFS('Banco de Dados'!#REF!="AG. COMPRA","Em processamento",'Banco de Dados'!#REF!="AG. RASTREIO","Em processamento",'Banco de Dados'!$AE306&lt;&gt;"-","Faturado",'Banco de Dados'!$AD306&lt;&gt;"-","Aguardando Pix",'Banco de Dados'!$AC306&lt;&gt;"-","Pendente"),"Aguardando Liberação")</f>
        <v>Aguardando Liberação</v>
      </c>
      <c r="AH306" s="5" t="str">
        <f>IF('Banco de Dados'!$F306="-",_xlfn.CONCAT(PROPER(TEXT(AK306,"aaaa"))," ",PROPER(TEXT(AK306,"mm"))),_xlfn.CONCAT(PROPER(TEXT(E306,"aaaa"))," ",PROPER(TEXT(E306,"mm"))))</f>
        <v>2024 11</v>
      </c>
      <c r="AI306" s="9" t="str">
        <f ca="1">IF('Banco de Dados'!$AK306&lt;&gt;"-","REEMBOLSO",IFERROR(_xlfn.XLOOKUP(G306,Follow[CODRASTREIO],Follow[STATUS]),"-"))</f>
        <v>ENTREGUE</v>
      </c>
      <c r="AJ306" s="9">
        <f ca="1">IF('Banco de Dados'!$AI306="ENTREGUE",_xlfn.XLOOKUP('Banco de Dados'!$G306,Follow[CODRASTREIO],Follow[DATAATUALIZAÇÃO]),"-")</f>
        <v>45615</v>
      </c>
      <c r="AK306" s="9" t="str">
        <f ca="1"/>
        <v>-</v>
      </c>
      <c r="AL306" s="35"/>
      <c r="AM306" s="109" cm="1">
        <f t="array" aca="1" ref="AM306" ca="1">IF('Banco de Dados'!$AK306&lt;&gt;"-",_xlfn.IFS('Banco de Dados'!$A306="bv",IF('Banco de Dados'!$E306&lt;45641,ROUND(SUM('Banco de Dados'!$R306*_xlfn.XLOOKUP('Banco de Dados'!$P306,Sku!B:B,Sku!#REF!)*20%),2),ROUND(SUM('Banco de Dados'!$R306*_xlfn.XLOOKUP('Banco de Dados'!$P306,Sku!B:B,Sku!H:H)*20%),2)),'Banco de Dados'!$A306="GO",ROUND(_xlfn.XLOOKUP('Banco de Dados'!$P306,Sku!C:C,Sku!H:H),2),'Banco de Dados'!$A306="MEI",ROUND(_xlfn.XLOOKUP('Banco de Dados'!$P306,Sku!D:D,Sku!H:H),2)),0)</f>
        <v>0</v>
      </c>
      <c r="AN306" s="109">
        <f ca="1">IF('Banco de Dados'!$AK306&lt;&gt;"-",IF('Banco de Dados'!$F306&lt;&gt;"-",_xlfn.XLOOKUP(IFERROR(IFERROR(IFERROR(VALUE(SUBSTITUTE(MID(_xlfn.TEXTAFTER('Banco de Dados'!$F306,"Data do Pedido:
",1),1,10),"-","/")),VALUE(SUBSTITUTE(MID(_xlfn.TEXTAFTER('Banco de Dados'!$F306,"Order date:
",1),1,10),"-","/"))),VALUE(SUBSTITUTE(MID(_xlfn.TEXTAFTER('Banco de Dados'!$F306,"Fecha de pedido:
",1),1,10),"-","/"))),"-"),SMS!A:A,SMS!K:K),0),0)</f>
        <v>0</v>
      </c>
      <c r="AO306" s="109">
        <f ca="1">IF('Banco de Dados'!$AK306&lt;&gt;"-",IF('Banco de Dados'!$F306&lt;&gt;"-",IFERROR(_xlfn.XLOOKUP(_xlfn.CONCAT('Banco de Dados'!$A306,IFERROR(IFERROR(VALUE(SUBSTITUTE(MID(_xlfn.TEXTAFTER('Banco de Dados'!$F306,"Data do Pedido:
",1),1,10),"-","/")),VALUE(SUBSTITUTE(MID(_xlfn.TEXTAFTER('Banco de Dados'!$F306,"Order date:
",1),1,10),"-","/"))),0)),ProxyDD[Chave],ProxyDD[Valor por pedido]),PROXY!$P$2),0),0)</f>
        <v>0</v>
      </c>
      <c r="AP306" s="28">
        <f ca="1">IF('Banco de Dados'!$AK306&lt;&gt;"-",IF('Banco de Dados'!$AL306="NÃO",IFERROR(VALUE(SUBSTITUTE(_xlfn.TEXTAFTER('Banco de Dados'!$F306,"BRL ",1),".",",")),0),0),0)</f>
        <v>0</v>
      </c>
      <c r="AQ306" s="28">
        <f ca="1">SUM('Banco de Dados'!$AM306:$AP306)</f>
        <v>0</v>
      </c>
      <c r="AR306" s="8"/>
      <c r="AS306" s="8"/>
      <c r="AY306" s="8"/>
    </row>
    <row r="307" spans="1:51">
      <c r="A307" s="5" t="str">
        <v>BV</v>
      </c>
      <c r="B307" s="5" t="str">
        <f ca="1"/>
        <v>BV45603</v>
      </c>
      <c r="C307" s="8" t="str">
        <v>Pedido 304</v>
      </c>
      <c r="D307" s="9">
        <v>45603</v>
      </c>
      <c r="E307" s="9">
        <v>45603</v>
      </c>
      <c r="F307" s="8" t="str">
        <v>PedidoF297</v>
      </c>
      <c r="G307" s="2" t="str">
        <v>CódRastreio297</v>
      </c>
      <c r="H307" s="5">
        <v>1</v>
      </c>
      <c r="I307" s="182" t="str">
        <v>CPF 298</v>
      </c>
      <c r="J307" s="2" t="str">
        <v>Nome 298</v>
      </c>
      <c r="K307" s="8" t="str">
        <v>Tel 298</v>
      </c>
      <c r="L307" s="2" t="str">
        <v>Cep 298</v>
      </c>
      <c r="M307" s="2" t="str">
        <v>Rua 298</v>
      </c>
      <c r="N307" s="2" t="str">
        <v>Comp 298</v>
      </c>
      <c r="O307" s="2" t="str">
        <v>Suporte de Celular Branco</v>
      </c>
      <c r="P307" s="8" t="str">
        <v>16-4EDB-WMZF</v>
      </c>
      <c r="Q307" s="4">
        <v>45632</v>
      </c>
      <c r="R307" s="109">
        <v>14.8</v>
      </c>
      <c r="S307" s="11">
        <f ca="1"/>
        <v>14.8</v>
      </c>
      <c r="T307" s="28">
        <f ca="1"/>
        <v>2.2200000000000002</v>
      </c>
      <c r="U307" s="11">
        <f ca="1"/>
        <v>12.58</v>
      </c>
      <c r="V307" s="11">
        <v>4.99</v>
      </c>
      <c r="W307" s="11">
        <f ca="1"/>
        <v>0.23</v>
      </c>
      <c r="X307" s="11">
        <f ca="1"/>
        <v>0.39877104377104378</v>
      </c>
      <c r="Y307" s="11">
        <v>0</v>
      </c>
      <c r="Z307" s="11">
        <f ca="1"/>
        <v>6.9612289562289558</v>
      </c>
      <c r="AA307" s="11">
        <f ca="1"/>
        <v>3.4806144781144779</v>
      </c>
      <c r="AB307" s="4">
        <f ca="1"/>
        <v>45639</v>
      </c>
      <c r="AC307" s="4">
        <v>45639</v>
      </c>
      <c r="AD307" s="9">
        <v>45640</v>
      </c>
      <c r="AE307" s="9">
        <v>45642</v>
      </c>
      <c r="AF307" s="4" t="str">
        <f t="shared" ca="1" si="4"/>
        <v>2024 12</v>
      </c>
      <c r="AG307" s="8" t="str" cm="1">
        <f t="array" ref="AG307">IFERROR(_xlfn.IFS('Banco de Dados'!#REF!="AG. COMPRA","Em processamento",'Banco de Dados'!#REF!="AG. RASTREIO","Em processamento",'Banco de Dados'!$AE307&lt;&gt;"-","Faturado",'Banco de Dados'!$AD307&lt;&gt;"-","Aguardando Pix",'Banco de Dados'!$AC307&lt;&gt;"-","Pendente"),"Aguardando Liberação")</f>
        <v>Aguardando Liberação</v>
      </c>
      <c r="AH307" s="5" t="str">
        <f>IF('Banco de Dados'!$F307="-",_xlfn.CONCAT(PROPER(TEXT(AK307,"aaaa"))," ",PROPER(TEXT(AK307,"mm"))),_xlfn.CONCAT(PROPER(TEXT(E307,"aaaa"))," ",PROPER(TEXT(E307,"mm"))))</f>
        <v>2024 11</v>
      </c>
      <c r="AI307" s="9" t="str">
        <f ca="1">IF('Banco de Dados'!$AK307&lt;&gt;"-","REEMBOLSO",IFERROR(_xlfn.XLOOKUP(G307,Follow[CODRASTREIO],Follow[STATUS]),"-"))</f>
        <v>ENTREGUE</v>
      </c>
      <c r="AJ307" s="9">
        <f ca="1">IF('Banco de Dados'!$AI307="ENTREGUE",_xlfn.XLOOKUP('Banco de Dados'!$G307,Follow[CODRASTREIO],Follow[DATAATUALIZAÇÃO]),"-")</f>
        <v>45611</v>
      </c>
      <c r="AK307" s="9" t="str">
        <f ca="1"/>
        <v>-</v>
      </c>
      <c r="AL307" s="35"/>
      <c r="AM307" s="109" cm="1">
        <f t="array" aca="1" ref="AM307" ca="1">IF('Banco de Dados'!$AK307&lt;&gt;"-",_xlfn.IFS('Banco de Dados'!$A307="bv",IF('Banco de Dados'!$E307&lt;45641,ROUND(SUM('Banco de Dados'!$R307*_xlfn.XLOOKUP('Banco de Dados'!$P307,Sku!B:B,Sku!#REF!)*20%),2),ROUND(SUM('Banco de Dados'!$R307*_xlfn.XLOOKUP('Banco de Dados'!$P307,Sku!B:B,Sku!H:H)*20%),2)),'Banco de Dados'!$A307="GO",ROUND(_xlfn.XLOOKUP('Banco de Dados'!$P307,Sku!C:C,Sku!H:H),2),'Banco de Dados'!$A307="MEI",ROUND(_xlfn.XLOOKUP('Banco de Dados'!$P307,Sku!D:D,Sku!H:H),2)),0)</f>
        <v>0</v>
      </c>
      <c r="AN307" s="109">
        <f ca="1">IF('Banco de Dados'!$AK307&lt;&gt;"-",IF('Banco de Dados'!$F307&lt;&gt;"-",_xlfn.XLOOKUP(IFERROR(IFERROR(IFERROR(VALUE(SUBSTITUTE(MID(_xlfn.TEXTAFTER('Banco de Dados'!$F307,"Data do Pedido:
",1),1,10),"-","/")),VALUE(SUBSTITUTE(MID(_xlfn.TEXTAFTER('Banco de Dados'!$F307,"Order date:
",1),1,10),"-","/"))),VALUE(SUBSTITUTE(MID(_xlfn.TEXTAFTER('Banco de Dados'!$F307,"Fecha de pedido:
",1),1,10),"-","/"))),"-"),SMS!A:A,SMS!K:K),0),0)</f>
        <v>0</v>
      </c>
      <c r="AO307" s="109">
        <f ca="1">IF('Banco de Dados'!$AK307&lt;&gt;"-",IF('Banco de Dados'!$F307&lt;&gt;"-",IFERROR(_xlfn.XLOOKUP(_xlfn.CONCAT('Banco de Dados'!$A307,IFERROR(IFERROR(VALUE(SUBSTITUTE(MID(_xlfn.TEXTAFTER('Banco de Dados'!$F307,"Data do Pedido:
",1),1,10),"-","/")),VALUE(SUBSTITUTE(MID(_xlfn.TEXTAFTER('Banco de Dados'!$F307,"Order date:
",1),1,10),"-","/"))),0)),ProxyDD[Chave],ProxyDD[Valor por pedido]),PROXY!$P$2),0),0)</f>
        <v>0</v>
      </c>
      <c r="AP307" s="28">
        <f ca="1">IF('Banco de Dados'!$AK307&lt;&gt;"-",IF('Banco de Dados'!$AL307="NÃO",IFERROR(VALUE(SUBSTITUTE(_xlfn.TEXTAFTER('Banco de Dados'!$F307,"BRL ",1),".",",")),0),0),0)</f>
        <v>0</v>
      </c>
      <c r="AQ307" s="28">
        <f ca="1">SUM('Banco de Dados'!$AM307:$AP307)</f>
        <v>0</v>
      </c>
      <c r="AR307" s="8"/>
      <c r="AS307" s="8"/>
      <c r="AY307" s="8"/>
    </row>
    <row r="308" spans="1:51">
      <c r="A308" s="5" t="str">
        <v>BV</v>
      </c>
      <c r="B308" s="5" t="str">
        <f ca="1"/>
        <v>BV45603</v>
      </c>
      <c r="C308" s="8" t="str">
        <v>Pedido 305</v>
      </c>
      <c r="D308" s="9">
        <v>45603</v>
      </c>
      <c r="E308" s="9">
        <v>45603</v>
      </c>
      <c r="F308" s="8" t="str">
        <v>PedidoF298</v>
      </c>
      <c r="G308" s="2" t="str">
        <v>CódRastreio298</v>
      </c>
      <c r="H308" s="5">
        <v>1</v>
      </c>
      <c r="I308" s="182" t="str">
        <v>CPF 299</v>
      </c>
      <c r="J308" s="2" t="str">
        <v>Nome 299</v>
      </c>
      <c r="K308" s="8" t="str">
        <v>Tel 299</v>
      </c>
      <c r="L308" s="2" t="str">
        <v>Cep 299</v>
      </c>
      <c r="M308" s="2" t="str">
        <v>Rua 299</v>
      </c>
      <c r="N308" s="2" t="str">
        <v>Comp 299</v>
      </c>
      <c r="O308" s="2" t="str">
        <v>Suporte de Celular Branco</v>
      </c>
      <c r="P308" s="8" t="str">
        <v>16-4EDB-WMZF</v>
      </c>
      <c r="Q308" s="4">
        <v>45632</v>
      </c>
      <c r="R308" s="109">
        <v>14.8</v>
      </c>
      <c r="S308" s="11">
        <f ca="1"/>
        <v>14.8</v>
      </c>
      <c r="T308" s="28">
        <f ca="1"/>
        <v>2.2200000000000002</v>
      </c>
      <c r="U308" s="11">
        <f ca="1"/>
        <v>12.58</v>
      </c>
      <c r="V308" s="11">
        <v>4.99</v>
      </c>
      <c r="W308" s="11">
        <f ca="1"/>
        <v>0.23</v>
      </c>
      <c r="X308" s="11">
        <f ca="1"/>
        <v>0.39877104377104378</v>
      </c>
      <c r="Y308" s="11">
        <v>0</v>
      </c>
      <c r="Z308" s="11">
        <f ca="1"/>
        <v>6.9612289562289558</v>
      </c>
      <c r="AA308" s="11">
        <f ca="1"/>
        <v>3.4806144781144779</v>
      </c>
      <c r="AB308" s="4">
        <f ca="1"/>
        <v>45639</v>
      </c>
      <c r="AC308" s="4">
        <v>45639</v>
      </c>
      <c r="AD308" s="9">
        <v>45640</v>
      </c>
      <c r="AE308" s="9">
        <v>45642</v>
      </c>
      <c r="AF308" s="4" t="str">
        <f t="shared" ca="1" si="4"/>
        <v>2024 12</v>
      </c>
      <c r="AG308" s="8" t="str" cm="1">
        <f t="array" ref="AG308">IFERROR(_xlfn.IFS('Banco de Dados'!#REF!="AG. COMPRA","Em processamento",'Banco de Dados'!#REF!="AG. RASTREIO","Em processamento",'Banco de Dados'!$AE308&lt;&gt;"-","Faturado",'Banco de Dados'!$AD308&lt;&gt;"-","Aguardando Pix",'Banco de Dados'!$AC308&lt;&gt;"-","Pendente"),"Aguardando Liberação")</f>
        <v>Aguardando Liberação</v>
      </c>
      <c r="AH308" s="5" t="str">
        <f>IF('Banco de Dados'!$F308="-",_xlfn.CONCAT(PROPER(TEXT(AK308,"aaaa"))," ",PROPER(TEXT(AK308,"mm"))),_xlfn.CONCAT(PROPER(TEXT(E308,"aaaa"))," ",PROPER(TEXT(E308,"mm"))))</f>
        <v>2024 11</v>
      </c>
      <c r="AI308" s="9" t="str">
        <f ca="1">IF('Banco de Dados'!$AK308&lt;&gt;"-","REEMBOLSO",IFERROR(_xlfn.XLOOKUP(G308,Follow[CODRASTREIO],Follow[STATUS]),"-"))</f>
        <v>ENTREGUE</v>
      </c>
      <c r="AJ308" s="9">
        <f ca="1">IF('Banco de Dados'!$AI308="ENTREGUE",_xlfn.XLOOKUP('Banco de Dados'!$G308,Follow[CODRASTREIO],Follow[DATAATUALIZAÇÃO]),"-")</f>
        <v>45611</v>
      </c>
      <c r="AK308" s="9" t="str">
        <f ca="1"/>
        <v>-</v>
      </c>
      <c r="AL308" s="35"/>
      <c r="AM308" s="109" cm="1">
        <f t="array" aca="1" ref="AM308" ca="1">IF('Banco de Dados'!$AK308&lt;&gt;"-",_xlfn.IFS('Banco de Dados'!$A308="bv",IF('Banco de Dados'!$E308&lt;45641,ROUND(SUM('Banco de Dados'!$R308*_xlfn.XLOOKUP('Banco de Dados'!$P308,Sku!B:B,Sku!#REF!)*20%),2),ROUND(SUM('Banco de Dados'!$R308*_xlfn.XLOOKUP('Banco de Dados'!$P308,Sku!B:B,Sku!H:H)*20%),2)),'Banco de Dados'!$A308="GO",ROUND(_xlfn.XLOOKUP('Banco de Dados'!$P308,Sku!C:C,Sku!H:H),2),'Banco de Dados'!$A308="MEI",ROUND(_xlfn.XLOOKUP('Banco de Dados'!$P308,Sku!D:D,Sku!H:H),2)),0)</f>
        <v>0</v>
      </c>
      <c r="AN308" s="109">
        <f ca="1">IF('Banco de Dados'!$AK308&lt;&gt;"-",IF('Banco de Dados'!$F308&lt;&gt;"-",_xlfn.XLOOKUP(IFERROR(IFERROR(IFERROR(VALUE(SUBSTITUTE(MID(_xlfn.TEXTAFTER('Banco de Dados'!$F308,"Data do Pedido:
",1),1,10),"-","/")),VALUE(SUBSTITUTE(MID(_xlfn.TEXTAFTER('Banco de Dados'!$F308,"Order date:
",1),1,10),"-","/"))),VALUE(SUBSTITUTE(MID(_xlfn.TEXTAFTER('Banco de Dados'!$F308,"Fecha de pedido:
",1),1,10),"-","/"))),"-"),SMS!A:A,SMS!K:K),0),0)</f>
        <v>0</v>
      </c>
      <c r="AO308" s="109">
        <f ca="1">IF('Banco de Dados'!$AK308&lt;&gt;"-",IF('Banco de Dados'!$F308&lt;&gt;"-",IFERROR(_xlfn.XLOOKUP(_xlfn.CONCAT('Banco de Dados'!$A308,IFERROR(IFERROR(VALUE(SUBSTITUTE(MID(_xlfn.TEXTAFTER('Banco de Dados'!$F308,"Data do Pedido:
",1),1,10),"-","/")),VALUE(SUBSTITUTE(MID(_xlfn.TEXTAFTER('Banco de Dados'!$F308,"Order date:
",1),1,10),"-","/"))),0)),ProxyDD[Chave],ProxyDD[Valor por pedido]),PROXY!$P$2),0),0)</f>
        <v>0</v>
      </c>
      <c r="AP308" s="28">
        <f ca="1">IF('Banco de Dados'!$AK308&lt;&gt;"-",IF('Banco de Dados'!$AL308="NÃO",IFERROR(VALUE(SUBSTITUTE(_xlfn.TEXTAFTER('Banco de Dados'!$F308,"BRL ",1),".",",")),0),0),0)</f>
        <v>0</v>
      </c>
      <c r="AQ308" s="28">
        <f ca="1">SUM('Banco de Dados'!$AM308:$AP308)</f>
        <v>0</v>
      </c>
      <c r="AR308" s="8"/>
      <c r="AS308" s="8"/>
      <c r="AY308" s="8"/>
    </row>
    <row r="309" spans="1:51">
      <c r="A309" s="5" t="str">
        <v>BV</v>
      </c>
      <c r="B309" s="5" t="str">
        <f ca="1"/>
        <v>BV45603</v>
      </c>
      <c r="C309" s="8" t="str">
        <v>Pedido 306</v>
      </c>
      <c r="D309" s="9">
        <v>45603</v>
      </c>
      <c r="E309" s="9">
        <v>45603</v>
      </c>
      <c r="F309" s="8" t="str">
        <v>PedidoF299</v>
      </c>
      <c r="G309" s="2" t="str">
        <v>CódRastreio299</v>
      </c>
      <c r="H309" s="5">
        <v>1</v>
      </c>
      <c r="I309" s="182" t="str">
        <v>CPF 300</v>
      </c>
      <c r="J309" s="2" t="str">
        <v>Nome 300</v>
      </c>
      <c r="K309" s="8" t="str">
        <v>Tel 300</v>
      </c>
      <c r="L309" s="2" t="str">
        <v>Cep 300</v>
      </c>
      <c r="M309" s="2" t="str">
        <v>Rua 300</v>
      </c>
      <c r="N309" s="2" t="str">
        <v>Comp 300</v>
      </c>
      <c r="O309" s="2" t="str">
        <v>Suporte de Celular Branco</v>
      </c>
      <c r="P309" s="8" t="str">
        <v>16-4EDB-WMZF</v>
      </c>
      <c r="Q309" s="4">
        <v>45632</v>
      </c>
      <c r="R309" s="109">
        <v>14.8</v>
      </c>
      <c r="S309" s="11">
        <f ca="1"/>
        <v>14.8</v>
      </c>
      <c r="T309" s="28">
        <f ca="1"/>
        <v>2.2200000000000002</v>
      </c>
      <c r="U309" s="11">
        <f ca="1"/>
        <v>12.58</v>
      </c>
      <c r="V309" s="11">
        <v>4.99</v>
      </c>
      <c r="W309" s="11">
        <f ca="1"/>
        <v>0.23</v>
      </c>
      <c r="X309" s="11">
        <f ca="1"/>
        <v>0.39877104377104378</v>
      </c>
      <c r="Y309" s="11">
        <v>0</v>
      </c>
      <c r="Z309" s="11">
        <f ca="1"/>
        <v>6.9612289562289558</v>
      </c>
      <c r="AA309" s="11">
        <f ca="1"/>
        <v>3.4806144781144779</v>
      </c>
      <c r="AB309" s="4">
        <f ca="1"/>
        <v>45639</v>
      </c>
      <c r="AC309" s="4">
        <v>45639</v>
      </c>
      <c r="AD309" s="9">
        <v>45640</v>
      </c>
      <c r="AE309" s="9">
        <v>45642</v>
      </c>
      <c r="AF309" s="4" t="str">
        <f t="shared" ca="1" si="4"/>
        <v>2024 12</v>
      </c>
      <c r="AG309" s="8" t="str" cm="1">
        <f t="array" ref="AG309">IFERROR(_xlfn.IFS('Banco de Dados'!#REF!="AG. COMPRA","Em processamento",'Banco de Dados'!#REF!="AG. RASTREIO","Em processamento",'Banco de Dados'!$AE309&lt;&gt;"-","Faturado",'Banco de Dados'!$AD309&lt;&gt;"-","Aguardando Pix",'Banco de Dados'!$AC309&lt;&gt;"-","Pendente"),"Aguardando Liberação")</f>
        <v>Aguardando Liberação</v>
      </c>
      <c r="AH309" s="5" t="str">
        <f>IF('Banco de Dados'!$F309="-",_xlfn.CONCAT(PROPER(TEXT(AK309,"aaaa"))," ",PROPER(TEXT(AK309,"mm"))),_xlfn.CONCAT(PROPER(TEXT(E309,"aaaa"))," ",PROPER(TEXT(E309,"mm"))))</f>
        <v>2024 11</v>
      </c>
      <c r="AI309" s="9" t="str">
        <f ca="1">IF('Banco de Dados'!$AK309&lt;&gt;"-","REEMBOLSO",IFERROR(_xlfn.XLOOKUP(G309,Follow[CODRASTREIO],Follow[STATUS]),"-"))</f>
        <v>ENTREGUE</v>
      </c>
      <c r="AJ309" s="9">
        <f ca="1">IF('Banco de Dados'!$AI309="ENTREGUE",_xlfn.XLOOKUP('Banco de Dados'!$G309,Follow[CODRASTREIO],Follow[DATAATUALIZAÇÃO]),"-")</f>
        <v>45614</v>
      </c>
      <c r="AK309" s="9" t="str">
        <f ca="1"/>
        <v>-</v>
      </c>
      <c r="AL309" s="35"/>
      <c r="AM309" s="109" cm="1">
        <f t="array" aca="1" ref="AM309" ca="1">IF('Banco de Dados'!$AK309&lt;&gt;"-",_xlfn.IFS('Banco de Dados'!$A309="bv",IF('Banco de Dados'!$E309&lt;45641,ROUND(SUM('Banco de Dados'!$R309*_xlfn.XLOOKUP('Banco de Dados'!$P309,Sku!B:B,Sku!#REF!)*20%),2),ROUND(SUM('Banco de Dados'!$R309*_xlfn.XLOOKUP('Banco de Dados'!$P309,Sku!B:B,Sku!H:H)*20%),2)),'Banco de Dados'!$A309="GO",ROUND(_xlfn.XLOOKUP('Banco de Dados'!$P309,Sku!C:C,Sku!H:H),2),'Banco de Dados'!$A309="MEI",ROUND(_xlfn.XLOOKUP('Banco de Dados'!$P309,Sku!D:D,Sku!H:H),2)),0)</f>
        <v>0</v>
      </c>
      <c r="AN309" s="109">
        <f ca="1">IF('Banco de Dados'!$AK309&lt;&gt;"-",IF('Banco de Dados'!$F309&lt;&gt;"-",_xlfn.XLOOKUP(IFERROR(IFERROR(IFERROR(VALUE(SUBSTITUTE(MID(_xlfn.TEXTAFTER('Banco de Dados'!$F309,"Data do Pedido:
",1),1,10),"-","/")),VALUE(SUBSTITUTE(MID(_xlfn.TEXTAFTER('Banco de Dados'!$F309,"Order date:
",1),1,10),"-","/"))),VALUE(SUBSTITUTE(MID(_xlfn.TEXTAFTER('Banco de Dados'!$F309,"Fecha de pedido:
",1),1,10),"-","/"))),"-"),SMS!A:A,SMS!K:K),0),0)</f>
        <v>0</v>
      </c>
      <c r="AO309" s="109">
        <f ca="1">IF('Banco de Dados'!$AK309&lt;&gt;"-",IF('Banco de Dados'!$F309&lt;&gt;"-",IFERROR(_xlfn.XLOOKUP(_xlfn.CONCAT('Banco de Dados'!$A309,IFERROR(IFERROR(VALUE(SUBSTITUTE(MID(_xlfn.TEXTAFTER('Banco de Dados'!$F309,"Data do Pedido:
",1),1,10),"-","/")),VALUE(SUBSTITUTE(MID(_xlfn.TEXTAFTER('Banco de Dados'!$F309,"Order date:
",1),1,10),"-","/"))),0)),ProxyDD[Chave],ProxyDD[Valor por pedido]),PROXY!$P$2),0),0)</f>
        <v>0</v>
      </c>
      <c r="AP309" s="28">
        <f ca="1">IF('Banco de Dados'!$AK309&lt;&gt;"-",IF('Banco de Dados'!$AL309="NÃO",IFERROR(VALUE(SUBSTITUTE(_xlfn.TEXTAFTER('Banco de Dados'!$F309,"BRL ",1),".",",")),0),0),0)</f>
        <v>0</v>
      </c>
      <c r="AQ309" s="28">
        <f ca="1">SUM('Banco de Dados'!$AM309:$AP309)</f>
        <v>0</v>
      </c>
      <c r="AR309" s="8"/>
      <c r="AS309" s="8"/>
      <c r="AY309" s="8"/>
    </row>
    <row r="310" spans="1:51">
      <c r="A310" s="5" t="str">
        <v>BV</v>
      </c>
      <c r="B310" s="5" t="str">
        <f ca="1"/>
        <v>BV45603</v>
      </c>
      <c r="C310" s="8" t="str">
        <v>Pedido 307</v>
      </c>
      <c r="D310" s="9">
        <v>45603</v>
      </c>
      <c r="E310" s="9">
        <v>45603</v>
      </c>
      <c r="F310" s="8" t="str">
        <v>PedidoF300</v>
      </c>
      <c r="G310" s="2" t="str">
        <v>CódRastreio300</v>
      </c>
      <c r="H310" s="5">
        <v>1</v>
      </c>
      <c r="I310" s="182" t="str">
        <v>CPF 301</v>
      </c>
      <c r="J310" s="2" t="str">
        <v>Nome 301</v>
      </c>
      <c r="K310" s="8" t="str">
        <v>Tel 301</v>
      </c>
      <c r="L310" s="2" t="str">
        <v>Cep 301</v>
      </c>
      <c r="M310" s="2" t="str">
        <v>Rua 301</v>
      </c>
      <c r="N310" s="2" t="str">
        <v>Comp 301</v>
      </c>
      <c r="O310" s="2" t="str">
        <v>Suporte de Celular Branco</v>
      </c>
      <c r="P310" s="8" t="str">
        <v>16-4EDB-WMZF</v>
      </c>
      <c r="Q310" s="4">
        <v>45632</v>
      </c>
      <c r="R310" s="109">
        <v>14.8</v>
      </c>
      <c r="S310" s="11">
        <f ca="1"/>
        <v>14.8</v>
      </c>
      <c r="T310" s="28">
        <f ca="1"/>
        <v>2.2200000000000002</v>
      </c>
      <c r="U310" s="11">
        <f ca="1"/>
        <v>12.58</v>
      </c>
      <c r="V310" s="11">
        <v>4.99</v>
      </c>
      <c r="W310" s="11">
        <f ca="1"/>
        <v>0.23</v>
      </c>
      <c r="X310" s="11">
        <f ca="1"/>
        <v>0.39877104377104378</v>
      </c>
      <c r="Y310" s="11">
        <v>0</v>
      </c>
      <c r="Z310" s="11">
        <f ca="1"/>
        <v>6.9612289562289558</v>
      </c>
      <c r="AA310" s="11">
        <f ca="1"/>
        <v>3.4806144781144779</v>
      </c>
      <c r="AB310" s="4">
        <f ca="1"/>
        <v>45639</v>
      </c>
      <c r="AC310" s="4">
        <v>45639</v>
      </c>
      <c r="AD310" s="9">
        <v>45640</v>
      </c>
      <c r="AE310" s="9">
        <v>45642</v>
      </c>
      <c r="AF310" s="4" t="str">
        <f t="shared" ca="1" si="4"/>
        <v>2024 12</v>
      </c>
      <c r="AG310" s="8" t="str" cm="1">
        <f t="array" ref="AG310">IFERROR(_xlfn.IFS('Banco de Dados'!#REF!="AG. COMPRA","Em processamento",'Banco de Dados'!#REF!="AG. RASTREIO","Em processamento",'Banco de Dados'!$AE310&lt;&gt;"-","Faturado",'Banco de Dados'!$AD310&lt;&gt;"-","Aguardando Pix",'Banco de Dados'!$AC310&lt;&gt;"-","Pendente"),"Aguardando Liberação")</f>
        <v>Aguardando Liberação</v>
      </c>
      <c r="AH310" s="5" t="str">
        <f>IF('Banco de Dados'!$F310="-",_xlfn.CONCAT(PROPER(TEXT(AK310,"aaaa"))," ",PROPER(TEXT(AK310,"mm"))),_xlfn.CONCAT(PROPER(TEXT(E310,"aaaa"))," ",PROPER(TEXT(E310,"mm"))))</f>
        <v>2024 11</v>
      </c>
      <c r="AI310" s="9" t="str">
        <f ca="1">IF('Banco de Dados'!$AK310&lt;&gt;"-","REEMBOLSO",IFERROR(_xlfn.XLOOKUP(G310,Follow[CODRASTREIO],Follow[STATUS]),"-"))</f>
        <v>ENTREGUE</v>
      </c>
      <c r="AJ310" s="9">
        <f ca="1">IF('Banco de Dados'!$AI310="ENTREGUE",_xlfn.XLOOKUP('Banco de Dados'!$G310,Follow[CODRASTREIO],Follow[DATAATUALIZAÇÃO]),"-")</f>
        <v>45624</v>
      </c>
      <c r="AK310" s="9" t="str">
        <f ca="1"/>
        <v>-</v>
      </c>
      <c r="AL310" s="35"/>
      <c r="AM310" s="109" cm="1">
        <f t="array" aca="1" ref="AM310" ca="1">IF('Banco de Dados'!$AK310&lt;&gt;"-",_xlfn.IFS('Banco de Dados'!$A310="bv",IF('Banco de Dados'!$E310&lt;45641,ROUND(SUM('Banco de Dados'!$R310*_xlfn.XLOOKUP('Banco de Dados'!$P310,Sku!B:B,Sku!#REF!)*20%),2),ROUND(SUM('Banco de Dados'!$R310*_xlfn.XLOOKUP('Banco de Dados'!$P310,Sku!B:B,Sku!H:H)*20%),2)),'Banco de Dados'!$A310="GO",ROUND(_xlfn.XLOOKUP('Banco de Dados'!$P310,Sku!C:C,Sku!H:H),2),'Banco de Dados'!$A310="MEI",ROUND(_xlfn.XLOOKUP('Banco de Dados'!$P310,Sku!D:D,Sku!H:H),2)),0)</f>
        <v>0</v>
      </c>
      <c r="AN310" s="109">
        <f ca="1">IF('Banco de Dados'!$AK310&lt;&gt;"-",IF('Banco de Dados'!$F310&lt;&gt;"-",_xlfn.XLOOKUP(IFERROR(IFERROR(IFERROR(VALUE(SUBSTITUTE(MID(_xlfn.TEXTAFTER('Banco de Dados'!$F310,"Data do Pedido:
",1),1,10),"-","/")),VALUE(SUBSTITUTE(MID(_xlfn.TEXTAFTER('Banco de Dados'!$F310,"Order date:
",1),1,10),"-","/"))),VALUE(SUBSTITUTE(MID(_xlfn.TEXTAFTER('Banco de Dados'!$F310,"Fecha de pedido:
",1),1,10),"-","/"))),"-"),SMS!A:A,SMS!K:K),0),0)</f>
        <v>0</v>
      </c>
      <c r="AO310" s="109">
        <f ca="1">IF('Banco de Dados'!$AK310&lt;&gt;"-",IF('Banco de Dados'!$F310&lt;&gt;"-",IFERROR(_xlfn.XLOOKUP(_xlfn.CONCAT('Banco de Dados'!$A310,IFERROR(IFERROR(VALUE(SUBSTITUTE(MID(_xlfn.TEXTAFTER('Banco de Dados'!$F310,"Data do Pedido:
",1),1,10),"-","/")),VALUE(SUBSTITUTE(MID(_xlfn.TEXTAFTER('Banco de Dados'!$F310,"Order date:
",1),1,10),"-","/"))),0)),ProxyDD[Chave],ProxyDD[Valor por pedido]),PROXY!$P$2),0),0)</f>
        <v>0</v>
      </c>
      <c r="AP310" s="28">
        <f ca="1">IF('Banco de Dados'!$AK310&lt;&gt;"-",IF('Banco de Dados'!$AL310="NÃO",IFERROR(VALUE(SUBSTITUTE(_xlfn.TEXTAFTER('Banco de Dados'!$F310,"BRL ",1),".",",")),0),0),0)</f>
        <v>0</v>
      </c>
      <c r="AQ310" s="28">
        <f ca="1">SUM('Banco de Dados'!$AM310:$AP310)</f>
        <v>0</v>
      </c>
      <c r="AR310" s="8"/>
      <c r="AS310" s="8"/>
      <c r="AY310" s="8"/>
    </row>
    <row r="311" spans="1:51">
      <c r="A311" s="5" t="str">
        <v>BV</v>
      </c>
      <c r="B311" s="5" t="str">
        <f ca="1"/>
        <v>BV45603</v>
      </c>
      <c r="C311" s="8" t="str">
        <v>Pedido 308</v>
      </c>
      <c r="D311" s="9">
        <v>45603</v>
      </c>
      <c r="E311" s="9">
        <v>45603</v>
      </c>
      <c r="F311" s="8" t="str">
        <v>PedidoF301</v>
      </c>
      <c r="G311" s="2" t="str">
        <v>CódRastreio301</v>
      </c>
      <c r="H311" s="5">
        <v>1</v>
      </c>
      <c r="I311" s="182" t="str">
        <v>CPF 302</v>
      </c>
      <c r="J311" s="2" t="str">
        <v>Nome 302</v>
      </c>
      <c r="K311" s="8" t="str">
        <v>Tel 302</v>
      </c>
      <c r="L311" s="2" t="str">
        <v>Cep 302</v>
      </c>
      <c r="M311" s="2" t="str">
        <v>Rua 302</v>
      </c>
      <c r="N311" s="2" t="str">
        <v>Comp 302</v>
      </c>
      <c r="O311" s="2" t="str">
        <v>Suporte de Celular Branco</v>
      </c>
      <c r="P311" s="8" t="str">
        <v>16-4EDB-WMZF</v>
      </c>
      <c r="Q311" s="4">
        <v>45626</v>
      </c>
      <c r="R311" s="109">
        <v>14.8</v>
      </c>
      <c r="S311" s="11">
        <f ca="1"/>
        <v>14.8</v>
      </c>
      <c r="T311" s="28">
        <f ca="1"/>
        <v>2.2200000000000002</v>
      </c>
      <c r="U311" s="11">
        <f ca="1"/>
        <v>12.58</v>
      </c>
      <c r="V311" s="11">
        <v>4.99</v>
      </c>
      <c r="W311" s="11">
        <f ca="1"/>
        <v>0.23</v>
      </c>
      <c r="X311" s="11">
        <f ca="1"/>
        <v>0.39877104377104378</v>
      </c>
      <c r="Y311" s="11">
        <v>0</v>
      </c>
      <c r="Z311" s="11">
        <f ca="1"/>
        <v>6.9612289562289558</v>
      </c>
      <c r="AA311" s="11">
        <f ca="1"/>
        <v>3.4806144781144779</v>
      </c>
      <c r="AB311" s="4">
        <f ca="1"/>
        <v>45633</v>
      </c>
      <c r="AC311" s="4">
        <v>45633</v>
      </c>
      <c r="AD311" s="9">
        <v>45637</v>
      </c>
      <c r="AE311" s="9">
        <v>45642</v>
      </c>
      <c r="AF311" s="4" t="str">
        <f t="shared" ca="1" si="4"/>
        <v>2024 12</v>
      </c>
      <c r="AG311" s="8" t="str" cm="1">
        <f t="array" ref="AG311">IFERROR(_xlfn.IFS('Banco de Dados'!#REF!="AG. COMPRA","Em processamento",'Banco de Dados'!#REF!="AG. RASTREIO","Em processamento",'Banco de Dados'!$AE311&lt;&gt;"-","Faturado",'Banco de Dados'!$AD311&lt;&gt;"-","Aguardando Pix",'Banco de Dados'!$AC311&lt;&gt;"-","Pendente"),"Aguardando Liberação")</f>
        <v>Aguardando Liberação</v>
      </c>
      <c r="AH311" s="5" t="str">
        <f>IF('Banco de Dados'!$F311="-",_xlfn.CONCAT(PROPER(TEXT(AK311,"aaaa"))," ",PROPER(TEXT(AK311,"mm"))),_xlfn.CONCAT(PROPER(TEXT(E311,"aaaa"))," ",PROPER(TEXT(E311,"mm"))))</f>
        <v>2024 11</v>
      </c>
      <c r="AI311" s="9" t="str">
        <f ca="1">IF('Banco de Dados'!$AK311&lt;&gt;"-","REEMBOLSO",IFERROR(_xlfn.XLOOKUP(G311,Follow[CODRASTREIO],Follow[STATUS]),"-"))</f>
        <v>ENTREGUE</v>
      </c>
      <c r="AJ311" s="9">
        <f ca="1">IF('Banco de Dados'!$AI311="ENTREGUE",_xlfn.XLOOKUP('Banco de Dados'!$G311,Follow[CODRASTREIO],Follow[DATAATUALIZAÇÃO]),"-")</f>
        <v>45622</v>
      </c>
      <c r="AK311" s="9" t="str">
        <f ca="1"/>
        <v>-</v>
      </c>
      <c r="AL311" s="35"/>
      <c r="AM311" s="109" cm="1">
        <f t="array" aca="1" ref="AM311" ca="1">IF('Banco de Dados'!$AK311&lt;&gt;"-",_xlfn.IFS('Banco de Dados'!$A311="bv",IF('Banco de Dados'!$E311&lt;45641,ROUND(SUM('Banco de Dados'!$R311*_xlfn.XLOOKUP('Banco de Dados'!$P311,Sku!B:B,Sku!#REF!)*20%),2),ROUND(SUM('Banco de Dados'!$R311*_xlfn.XLOOKUP('Banco de Dados'!$P311,Sku!B:B,Sku!H:H)*20%),2)),'Banco de Dados'!$A311="GO",ROUND(_xlfn.XLOOKUP('Banco de Dados'!$P311,Sku!C:C,Sku!H:H),2),'Banco de Dados'!$A311="MEI",ROUND(_xlfn.XLOOKUP('Banco de Dados'!$P311,Sku!D:D,Sku!H:H),2)),0)</f>
        <v>0</v>
      </c>
      <c r="AN311" s="109">
        <f ca="1">IF('Banco de Dados'!$AK311&lt;&gt;"-",IF('Banco de Dados'!$F311&lt;&gt;"-",_xlfn.XLOOKUP(IFERROR(IFERROR(IFERROR(VALUE(SUBSTITUTE(MID(_xlfn.TEXTAFTER('Banco de Dados'!$F311,"Data do Pedido:
",1),1,10),"-","/")),VALUE(SUBSTITUTE(MID(_xlfn.TEXTAFTER('Banco de Dados'!$F311,"Order date:
",1),1,10),"-","/"))),VALUE(SUBSTITUTE(MID(_xlfn.TEXTAFTER('Banco de Dados'!$F311,"Fecha de pedido:
",1),1,10),"-","/"))),"-"),SMS!A:A,SMS!K:K),0),0)</f>
        <v>0</v>
      </c>
      <c r="AO311" s="109">
        <f ca="1">IF('Banco de Dados'!$AK311&lt;&gt;"-",IF('Banco de Dados'!$F311&lt;&gt;"-",IFERROR(_xlfn.XLOOKUP(_xlfn.CONCAT('Banco de Dados'!$A311,IFERROR(IFERROR(VALUE(SUBSTITUTE(MID(_xlfn.TEXTAFTER('Banco de Dados'!$F311,"Data do Pedido:
",1),1,10),"-","/")),VALUE(SUBSTITUTE(MID(_xlfn.TEXTAFTER('Banco de Dados'!$F311,"Order date:
",1),1,10),"-","/"))),0)),ProxyDD[Chave],ProxyDD[Valor por pedido]),PROXY!$P$2),0),0)</f>
        <v>0</v>
      </c>
      <c r="AP311" s="28">
        <f ca="1">IF('Banco de Dados'!$AK311&lt;&gt;"-",IF('Banco de Dados'!$AL311="NÃO",IFERROR(VALUE(SUBSTITUTE(_xlfn.TEXTAFTER('Banco de Dados'!$F311,"BRL ",1),".",",")),0),0),0)</f>
        <v>0</v>
      </c>
      <c r="AQ311" s="28">
        <f ca="1">SUM('Banco de Dados'!$AM311:$AP311)</f>
        <v>0</v>
      </c>
      <c r="AR311" s="8"/>
      <c r="AS311" s="8"/>
      <c r="AY311" s="8"/>
    </row>
    <row r="312" spans="1:51">
      <c r="A312" s="5" t="str">
        <v>BV</v>
      </c>
      <c r="B312" s="5" t="str">
        <f ca="1"/>
        <v>BV45603</v>
      </c>
      <c r="C312" s="8" t="str">
        <v>Pedido 309</v>
      </c>
      <c r="D312" s="9">
        <v>45603</v>
      </c>
      <c r="E312" s="9">
        <v>45603</v>
      </c>
      <c r="F312" s="8" t="str">
        <v>PedidoF302</v>
      </c>
      <c r="G312" s="2" t="str">
        <v>CódRastreio302</v>
      </c>
      <c r="H312" s="5">
        <v>1</v>
      </c>
      <c r="I312" s="182" t="str">
        <v>CPF 303</v>
      </c>
      <c r="J312" s="2" t="str">
        <v>Nome 303</v>
      </c>
      <c r="K312" s="8" t="str">
        <v>Tel 303</v>
      </c>
      <c r="L312" s="2" t="str">
        <v>Cep 303</v>
      </c>
      <c r="M312" s="2" t="str">
        <v>Rua 303</v>
      </c>
      <c r="N312" s="2" t="str">
        <v>Comp 303</v>
      </c>
      <c r="O312" s="2" t="str">
        <v>Bomba d'agua</v>
      </c>
      <c r="P312" s="8" t="str">
        <v>DJ-RO5O-43GF</v>
      </c>
      <c r="Q312" s="4">
        <v>45632</v>
      </c>
      <c r="R312" s="109">
        <v>16.5</v>
      </c>
      <c r="S312" s="11">
        <f ca="1"/>
        <v>16.5</v>
      </c>
      <c r="T312" s="28">
        <f ca="1"/>
        <v>2.31</v>
      </c>
      <c r="U312" s="11">
        <f ca="1"/>
        <v>14.19</v>
      </c>
      <c r="V312" s="11">
        <v>4.99</v>
      </c>
      <c r="W312" s="11">
        <f ca="1"/>
        <v>0.23</v>
      </c>
      <c r="X312" s="11">
        <f ca="1"/>
        <v>0.39877104377104378</v>
      </c>
      <c r="Y312" s="11">
        <v>0</v>
      </c>
      <c r="Z312" s="11">
        <f ca="1"/>
        <v>8.5712289562289552</v>
      </c>
      <c r="AA312" s="11">
        <f ca="1"/>
        <v>4.2856144781144776</v>
      </c>
      <c r="AB312" s="4">
        <f ca="1"/>
        <v>45639</v>
      </c>
      <c r="AC312" s="4">
        <v>45639</v>
      </c>
      <c r="AD312" s="9">
        <v>45640</v>
      </c>
      <c r="AE312" s="9">
        <v>45642</v>
      </c>
      <c r="AF312" s="4" t="str">
        <f t="shared" ca="1" si="4"/>
        <v>2024 12</v>
      </c>
      <c r="AG312" s="8" t="str" cm="1">
        <f t="array" ref="AG312">IFERROR(_xlfn.IFS('Banco de Dados'!#REF!="AG. COMPRA","Em processamento",'Banco de Dados'!#REF!="AG. RASTREIO","Em processamento",'Banco de Dados'!$AE312&lt;&gt;"-","Faturado",'Banco de Dados'!$AD312&lt;&gt;"-","Aguardando Pix",'Banco de Dados'!$AC312&lt;&gt;"-","Pendente"),"Aguardando Liberação")</f>
        <v>Aguardando Liberação</v>
      </c>
      <c r="AH312" s="5" t="str">
        <f>IF('Banco de Dados'!$F312="-",_xlfn.CONCAT(PROPER(TEXT(AK312,"aaaa"))," ",PROPER(TEXT(AK312,"mm"))),_xlfn.CONCAT(PROPER(TEXT(E312,"aaaa"))," ",PROPER(TEXT(E312,"mm"))))</f>
        <v>2024 11</v>
      </c>
      <c r="AI312" s="9" t="str">
        <f ca="1">IF('Banco de Dados'!$AK312&lt;&gt;"-","REEMBOLSO",IFERROR(_xlfn.XLOOKUP(G312,Follow[CODRASTREIO],Follow[STATUS]),"-"))</f>
        <v>ENTREGUE</v>
      </c>
      <c r="AJ312" s="9">
        <f ca="1">IF('Banco de Dados'!$AI312="ENTREGUE",_xlfn.XLOOKUP('Banco de Dados'!$G312,Follow[CODRASTREIO],Follow[DATAATUALIZAÇÃO]),"-")</f>
        <v>45612</v>
      </c>
      <c r="AK312" s="9" t="str">
        <f ca="1"/>
        <v>-</v>
      </c>
      <c r="AL312" s="35"/>
      <c r="AM312" s="109" cm="1">
        <f t="array" aca="1" ref="AM312" ca="1">IF('Banco de Dados'!$AK312&lt;&gt;"-",_xlfn.IFS('Banco de Dados'!$A312="bv",IF('Banco de Dados'!$E312&lt;45641,ROUND(SUM('Banco de Dados'!$R312*_xlfn.XLOOKUP('Banco de Dados'!$P312,Sku!B:B,Sku!#REF!)*20%),2),ROUND(SUM('Banco de Dados'!$R312*_xlfn.XLOOKUP('Banco de Dados'!$P312,Sku!B:B,Sku!H:H)*20%),2)),'Banco de Dados'!$A312="GO",ROUND(_xlfn.XLOOKUP('Banco de Dados'!$P312,Sku!C:C,Sku!H:H),2),'Banco de Dados'!$A312="MEI",ROUND(_xlfn.XLOOKUP('Banco de Dados'!$P312,Sku!D:D,Sku!H:H),2)),0)</f>
        <v>0</v>
      </c>
      <c r="AN312" s="109">
        <f ca="1">IF('Banco de Dados'!$AK312&lt;&gt;"-",IF('Banco de Dados'!$F312&lt;&gt;"-",_xlfn.XLOOKUP(IFERROR(IFERROR(IFERROR(VALUE(SUBSTITUTE(MID(_xlfn.TEXTAFTER('Banco de Dados'!$F312,"Data do Pedido:
",1),1,10),"-","/")),VALUE(SUBSTITUTE(MID(_xlfn.TEXTAFTER('Banco de Dados'!$F312,"Order date:
",1),1,10),"-","/"))),VALUE(SUBSTITUTE(MID(_xlfn.TEXTAFTER('Banco de Dados'!$F312,"Fecha de pedido:
",1),1,10),"-","/"))),"-"),SMS!A:A,SMS!K:K),0),0)</f>
        <v>0</v>
      </c>
      <c r="AO312" s="109">
        <f ca="1">IF('Banco de Dados'!$AK312&lt;&gt;"-",IF('Banco de Dados'!$F312&lt;&gt;"-",IFERROR(_xlfn.XLOOKUP(_xlfn.CONCAT('Banco de Dados'!$A312,IFERROR(IFERROR(VALUE(SUBSTITUTE(MID(_xlfn.TEXTAFTER('Banco de Dados'!$F312,"Data do Pedido:
",1),1,10),"-","/")),VALUE(SUBSTITUTE(MID(_xlfn.TEXTAFTER('Banco de Dados'!$F312,"Order date:
",1),1,10),"-","/"))),0)),ProxyDD[Chave],ProxyDD[Valor por pedido]),PROXY!$P$2),0),0)</f>
        <v>0</v>
      </c>
      <c r="AP312" s="28">
        <f ca="1">IF('Banco de Dados'!$AK312&lt;&gt;"-",IF('Banco de Dados'!$AL312="NÃO",IFERROR(VALUE(SUBSTITUTE(_xlfn.TEXTAFTER('Banco de Dados'!$F312,"BRL ",1),".",",")),0),0),0)</f>
        <v>0</v>
      </c>
      <c r="AQ312" s="28">
        <f ca="1">SUM('Banco de Dados'!$AM312:$AP312)</f>
        <v>0</v>
      </c>
      <c r="AR312" s="8"/>
      <c r="AS312" s="8"/>
      <c r="AY312" s="8"/>
    </row>
    <row r="313" spans="1:51">
      <c r="A313" s="5" t="str">
        <v>BV</v>
      </c>
      <c r="B313" s="5" t="str">
        <f ca="1"/>
        <v>BV45604</v>
      </c>
      <c r="C313" s="8" t="str">
        <v>Pedido 310</v>
      </c>
      <c r="D313" s="9">
        <v>45604</v>
      </c>
      <c r="E313" s="9">
        <v>45604</v>
      </c>
      <c r="F313" s="8" t="str">
        <v>PedidoF303</v>
      </c>
      <c r="G313" s="2" t="str">
        <v>CódRastreio303</v>
      </c>
      <c r="H313" s="5">
        <v>1</v>
      </c>
      <c r="I313" s="182" t="str">
        <v>CPF 304</v>
      </c>
      <c r="J313" s="2" t="str">
        <v>Nome 304</v>
      </c>
      <c r="K313" s="8" t="str">
        <v>Tel 304</v>
      </c>
      <c r="L313" s="2" t="str">
        <v>Cep 304</v>
      </c>
      <c r="M313" s="2" t="str">
        <v>Rua 304</v>
      </c>
      <c r="N313" s="2" t="str">
        <v>Comp 304</v>
      </c>
      <c r="O313" s="2" t="str">
        <v>Suporte de Celular Branco</v>
      </c>
      <c r="P313" s="8" t="str">
        <v>16-4EDB-WMZF</v>
      </c>
      <c r="Q313" s="4">
        <v>45632</v>
      </c>
      <c r="R313" s="109">
        <v>14.8</v>
      </c>
      <c r="S313" s="11">
        <f ca="1"/>
        <v>14.8</v>
      </c>
      <c r="T313" s="28">
        <f ca="1"/>
        <v>2.2200000000000002</v>
      </c>
      <c r="U313" s="11">
        <f ca="1"/>
        <v>12.58</v>
      </c>
      <c r="V313" s="11">
        <v>4.99</v>
      </c>
      <c r="W313" s="11">
        <f ca="1"/>
        <v>0.27</v>
      </c>
      <c r="X313" s="11">
        <f ca="1"/>
        <v>0.39877104377104378</v>
      </c>
      <c r="Y313" s="11">
        <v>0</v>
      </c>
      <c r="Z313" s="11">
        <f ca="1"/>
        <v>6.9212289562289566</v>
      </c>
      <c r="AA313" s="11">
        <f ca="1"/>
        <v>3.4606144781144783</v>
      </c>
      <c r="AB313" s="4">
        <f ca="1"/>
        <v>45639</v>
      </c>
      <c r="AC313" s="4">
        <v>45639</v>
      </c>
      <c r="AD313" s="9">
        <v>45640</v>
      </c>
      <c r="AE313" s="9">
        <v>45642</v>
      </c>
      <c r="AF313" s="4" t="str">
        <f t="shared" ca="1" si="4"/>
        <v>2024 12</v>
      </c>
      <c r="AG313" s="8" t="str" cm="1">
        <f t="array" ref="AG313">IFERROR(_xlfn.IFS('Banco de Dados'!#REF!="AG. COMPRA","Em processamento",'Banco de Dados'!#REF!="AG. RASTREIO","Em processamento",'Banco de Dados'!$AE313&lt;&gt;"-","Faturado",'Banco de Dados'!$AD313&lt;&gt;"-","Aguardando Pix",'Banco de Dados'!$AC313&lt;&gt;"-","Pendente"),"Aguardando Liberação")</f>
        <v>Aguardando Liberação</v>
      </c>
      <c r="AH313" s="5" t="str">
        <f>IF('Banco de Dados'!$F313="-",_xlfn.CONCAT(PROPER(TEXT(AK313,"aaaa"))," ",PROPER(TEXT(AK313,"mm"))),_xlfn.CONCAT(PROPER(TEXT(E313,"aaaa"))," ",PROPER(TEXT(E313,"mm"))))</f>
        <v>2024 11</v>
      </c>
      <c r="AI313" s="9" t="str">
        <f ca="1">IF('Banco de Dados'!$AK313&lt;&gt;"-","REEMBOLSO",IFERROR(_xlfn.XLOOKUP(G313,Follow[CODRASTREIO],Follow[STATUS]),"-"))</f>
        <v>ENTREGUE</v>
      </c>
      <c r="AJ313" s="9">
        <f ca="1">IF('Banco de Dados'!$AI313="ENTREGUE",_xlfn.XLOOKUP('Banco de Dados'!$G313,Follow[CODRASTREIO],Follow[DATAATUALIZAÇÃO]),"-")</f>
        <v>45626</v>
      </c>
      <c r="AK313" s="9" t="str">
        <f ca="1"/>
        <v>-</v>
      </c>
      <c r="AL313" s="35"/>
      <c r="AM313" s="109" cm="1">
        <f t="array" aca="1" ref="AM313" ca="1">IF('Banco de Dados'!$AK313&lt;&gt;"-",_xlfn.IFS('Banco de Dados'!$A313="bv",IF('Banco de Dados'!$E313&lt;45641,ROUND(SUM('Banco de Dados'!$R313*_xlfn.XLOOKUP('Banco de Dados'!$P313,Sku!B:B,Sku!#REF!)*20%),2),ROUND(SUM('Banco de Dados'!$R313*_xlfn.XLOOKUP('Banco de Dados'!$P313,Sku!B:B,Sku!H:H)*20%),2)),'Banco de Dados'!$A313="GO",ROUND(_xlfn.XLOOKUP('Banco de Dados'!$P313,Sku!C:C,Sku!H:H),2),'Banco de Dados'!$A313="MEI",ROUND(_xlfn.XLOOKUP('Banco de Dados'!$P313,Sku!D:D,Sku!H:H),2)),0)</f>
        <v>0</v>
      </c>
      <c r="AN313" s="109">
        <f ca="1">IF('Banco de Dados'!$AK313&lt;&gt;"-",IF('Banco de Dados'!$F313&lt;&gt;"-",_xlfn.XLOOKUP(IFERROR(IFERROR(IFERROR(VALUE(SUBSTITUTE(MID(_xlfn.TEXTAFTER('Banco de Dados'!$F313,"Data do Pedido:
",1),1,10),"-","/")),VALUE(SUBSTITUTE(MID(_xlfn.TEXTAFTER('Banco de Dados'!$F313,"Order date:
",1),1,10),"-","/"))),VALUE(SUBSTITUTE(MID(_xlfn.TEXTAFTER('Banco de Dados'!$F313,"Fecha de pedido:
",1),1,10),"-","/"))),"-"),SMS!A:A,SMS!K:K),0),0)</f>
        <v>0</v>
      </c>
      <c r="AO313" s="109">
        <f ca="1">IF('Banco de Dados'!$AK313&lt;&gt;"-",IF('Banco de Dados'!$F313&lt;&gt;"-",IFERROR(_xlfn.XLOOKUP(_xlfn.CONCAT('Banco de Dados'!$A313,IFERROR(IFERROR(VALUE(SUBSTITUTE(MID(_xlfn.TEXTAFTER('Banco de Dados'!$F313,"Data do Pedido:
",1),1,10),"-","/")),VALUE(SUBSTITUTE(MID(_xlfn.TEXTAFTER('Banco de Dados'!$F313,"Order date:
",1),1,10),"-","/"))),0)),ProxyDD[Chave],ProxyDD[Valor por pedido]),PROXY!$P$2),0),0)</f>
        <v>0</v>
      </c>
      <c r="AP313" s="28">
        <f ca="1">IF('Banco de Dados'!$AK313&lt;&gt;"-",IF('Banco de Dados'!$AL313="NÃO",IFERROR(VALUE(SUBSTITUTE(_xlfn.TEXTAFTER('Banco de Dados'!$F313,"BRL ",1),".",",")),0),0),0)</f>
        <v>0</v>
      </c>
      <c r="AQ313" s="28">
        <f ca="1">SUM('Banco de Dados'!$AM313:$AP313)</f>
        <v>0</v>
      </c>
      <c r="AR313" s="8"/>
      <c r="AS313" s="8"/>
      <c r="AY313" s="8"/>
    </row>
    <row r="314" spans="1:51">
      <c r="A314" s="5" t="str">
        <v>BV</v>
      </c>
      <c r="B314" s="5" t="str">
        <f ca="1"/>
        <v>BV45604</v>
      </c>
      <c r="C314" s="8" t="str">
        <v>Pedido 311</v>
      </c>
      <c r="D314" s="9">
        <v>45604</v>
      </c>
      <c r="E314" s="9">
        <v>45604</v>
      </c>
      <c r="F314" s="8" t="str">
        <v>PedidoF304</v>
      </c>
      <c r="G314" s="2" t="str">
        <v>CódRastreio304</v>
      </c>
      <c r="H314" s="5">
        <v>1</v>
      </c>
      <c r="I314" s="182" t="str">
        <v>CPF 305</v>
      </c>
      <c r="J314" s="2" t="str">
        <v>Nome 305</v>
      </c>
      <c r="K314" s="8" t="str">
        <v>Tel 305</v>
      </c>
      <c r="L314" s="2" t="str">
        <v>Cep 305</v>
      </c>
      <c r="M314" s="2" t="str">
        <v>Rua 305</v>
      </c>
      <c r="N314" s="2" t="str">
        <v>Comp 305</v>
      </c>
      <c r="O314" s="2" t="str">
        <v>Bomba d'agua</v>
      </c>
      <c r="P314" s="8" t="str">
        <v>DJ-RO5O-43GF</v>
      </c>
      <c r="Q314" s="4">
        <v>45624</v>
      </c>
      <c r="R314" s="109">
        <v>16.5</v>
      </c>
      <c r="S314" s="11">
        <f ca="1"/>
        <v>16.5</v>
      </c>
      <c r="T314" s="28">
        <f ca="1"/>
        <v>2.31</v>
      </c>
      <c r="U314" s="11">
        <f ca="1"/>
        <v>14.19</v>
      </c>
      <c r="V314" s="11">
        <v>6.57</v>
      </c>
      <c r="W314" s="11">
        <f ca="1"/>
        <v>0.27</v>
      </c>
      <c r="X314" s="11">
        <f ca="1"/>
        <v>0.39877104377104378</v>
      </c>
      <c r="Y314" s="11">
        <v>0</v>
      </c>
      <c r="Z314" s="11">
        <f ca="1"/>
        <v>6.951228956228956</v>
      </c>
      <c r="AA314" s="11">
        <f ca="1"/>
        <v>3.475614478114478</v>
      </c>
      <c r="AB314" s="4">
        <f ca="1"/>
        <v>45631</v>
      </c>
      <c r="AC314" s="4">
        <v>45631</v>
      </c>
      <c r="AD314" s="9">
        <v>45637</v>
      </c>
      <c r="AE314" s="9">
        <v>45642</v>
      </c>
      <c r="AF314" s="4" t="str">
        <f t="shared" ca="1" si="4"/>
        <v>2024 12</v>
      </c>
      <c r="AG314" s="8" t="str" cm="1">
        <f t="array" ref="AG314">IFERROR(_xlfn.IFS('Banco de Dados'!#REF!="AG. COMPRA","Em processamento",'Banco de Dados'!#REF!="AG. RASTREIO","Em processamento",'Banco de Dados'!$AE314&lt;&gt;"-","Faturado",'Banco de Dados'!$AD314&lt;&gt;"-","Aguardando Pix",'Banco de Dados'!$AC314&lt;&gt;"-","Pendente"),"Aguardando Liberação")</f>
        <v>Aguardando Liberação</v>
      </c>
      <c r="AH314" s="5" t="str">
        <f>IF('Banco de Dados'!$F314="-",_xlfn.CONCAT(PROPER(TEXT(AK314,"aaaa"))," ",PROPER(TEXT(AK314,"mm"))),_xlfn.CONCAT(PROPER(TEXT(E314,"aaaa"))," ",PROPER(TEXT(E314,"mm"))))</f>
        <v>2024 11</v>
      </c>
      <c r="AI314" s="9" t="str">
        <f ca="1">IF('Banco de Dados'!$AK314&lt;&gt;"-","REEMBOLSO",IFERROR(_xlfn.XLOOKUP(G314,Follow[CODRASTREIO],Follow[STATUS]),"-"))</f>
        <v>ENTREGUE</v>
      </c>
      <c r="AJ314" s="9">
        <f ca="1">IF('Banco de Dados'!$AI314="ENTREGUE",_xlfn.XLOOKUP('Banco de Dados'!$G314,Follow[CODRASTREIO],Follow[DATAATUALIZAÇÃO]),"-")</f>
        <v>45612</v>
      </c>
      <c r="AK314" s="9" t="str">
        <f ca="1"/>
        <v>-</v>
      </c>
      <c r="AL314" s="35"/>
      <c r="AM314" s="109" cm="1">
        <f t="array" aca="1" ref="AM314" ca="1">IF('Banco de Dados'!$AK314&lt;&gt;"-",_xlfn.IFS('Banco de Dados'!$A314="bv",IF('Banco de Dados'!$E314&lt;45641,ROUND(SUM('Banco de Dados'!$R314*_xlfn.XLOOKUP('Banco de Dados'!$P314,Sku!B:B,Sku!#REF!)*20%),2),ROUND(SUM('Banco de Dados'!$R314*_xlfn.XLOOKUP('Banco de Dados'!$P314,Sku!B:B,Sku!H:H)*20%),2)),'Banco de Dados'!$A314="GO",ROUND(_xlfn.XLOOKUP('Banco de Dados'!$P314,Sku!C:C,Sku!H:H),2),'Banco de Dados'!$A314="MEI",ROUND(_xlfn.XLOOKUP('Banco de Dados'!$P314,Sku!D:D,Sku!H:H),2)),0)</f>
        <v>0</v>
      </c>
      <c r="AN314" s="109">
        <f ca="1">IF('Banco de Dados'!$AK314&lt;&gt;"-",IF('Banco de Dados'!$F314&lt;&gt;"-",_xlfn.XLOOKUP(IFERROR(IFERROR(IFERROR(VALUE(SUBSTITUTE(MID(_xlfn.TEXTAFTER('Banco de Dados'!$F314,"Data do Pedido:
",1),1,10),"-","/")),VALUE(SUBSTITUTE(MID(_xlfn.TEXTAFTER('Banco de Dados'!$F314,"Order date:
",1),1,10),"-","/"))),VALUE(SUBSTITUTE(MID(_xlfn.TEXTAFTER('Banco de Dados'!$F314,"Fecha de pedido:
",1),1,10),"-","/"))),"-"),SMS!A:A,SMS!K:K),0),0)</f>
        <v>0</v>
      </c>
      <c r="AO314" s="109">
        <f ca="1">IF('Banco de Dados'!$AK314&lt;&gt;"-",IF('Banco de Dados'!$F314&lt;&gt;"-",IFERROR(_xlfn.XLOOKUP(_xlfn.CONCAT('Banco de Dados'!$A314,IFERROR(IFERROR(VALUE(SUBSTITUTE(MID(_xlfn.TEXTAFTER('Banco de Dados'!$F314,"Data do Pedido:
",1),1,10),"-","/")),VALUE(SUBSTITUTE(MID(_xlfn.TEXTAFTER('Banco de Dados'!$F314,"Order date:
",1),1,10),"-","/"))),0)),ProxyDD[Chave],ProxyDD[Valor por pedido]),PROXY!$P$2),0),0)</f>
        <v>0</v>
      </c>
      <c r="AP314" s="28">
        <f ca="1">IF('Banco de Dados'!$AK314&lt;&gt;"-",IF('Banco de Dados'!$AL314="NÃO",IFERROR(VALUE(SUBSTITUTE(_xlfn.TEXTAFTER('Banco de Dados'!$F314,"BRL ",1),".",",")),0),0),0)</f>
        <v>0</v>
      </c>
      <c r="AQ314" s="28">
        <f ca="1">SUM('Banco de Dados'!$AM314:$AP314)</f>
        <v>0</v>
      </c>
      <c r="AR314" s="8"/>
      <c r="AS314" s="8"/>
      <c r="AY314" s="8"/>
    </row>
    <row r="315" spans="1:51">
      <c r="A315" s="5" t="str">
        <v>BV</v>
      </c>
      <c r="B315" s="5" t="str">
        <f ca="1"/>
        <v>BV45604</v>
      </c>
      <c r="C315" s="8" t="str">
        <v>Pedido 312</v>
      </c>
      <c r="D315" s="9">
        <v>45604</v>
      </c>
      <c r="E315" s="9">
        <v>45604</v>
      </c>
      <c r="F315" s="8" t="str">
        <v>PedidoF305</v>
      </c>
      <c r="G315" s="2" t="str">
        <v>CódRastreio305</v>
      </c>
      <c r="H315" s="5">
        <v>1</v>
      </c>
      <c r="I315" s="182" t="str">
        <v>CPF 306</v>
      </c>
      <c r="J315" s="2" t="str">
        <v>Nome 306</v>
      </c>
      <c r="K315" s="8" t="str">
        <v>Tel 306</v>
      </c>
      <c r="L315" s="2" t="str">
        <v>Cep 306</v>
      </c>
      <c r="M315" s="2" t="str">
        <v>Rua 306</v>
      </c>
      <c r="N315" s="2" t="str">
        <v>Comp 306</v>
      </c>
      <c r="O315" s="2" t="str">
        <v>Bomba d'agua</v>
      </c>
      <c r="P315" s="8" t="str">
        <v>DJ-RO5O-43GF</v>
      </c>
      <c r="Q315" s="4">
        <v>45632</v>
      </c>
      <c r="R315" s="109">
        <v>16.5</v>
      </c>
      <c r="S315" s="11">
        <f ca="1"/>
        <v>16.5</v>
      </c>
      <c r="T315" s="28">
        <f ca="1"/>
        <v>2.31</v>
      </c>
      <c r="U315" s="11">
        <f ca="1"/>
        <v>14.19</v>
      </c>
      <c r="V315" s="11">
        <v>6.57</v>
      </c>
      <c r="W315" s="11">
        <f ca="1"/>
        <v>0.27</v>
      </c>
      <c r="X315" s="11">
        <f ca="1"/>
        <v>0.39877104377104378</v>
      </c>
      <c r="Y315" s="11">
        <v>0</v>
      </c>
      <c r="Z315" s="11">
        <f ca="1"/>
        <v>6.951228956228956</v>
      </c>
      <c r="AA315" s="11">
        <f ca="1"/>
        <v>3.475614478114478</v>
      </c>
      <c r="AB315" s="4">
        <f ca="1"/>
        <v>45639</v>
      </c>
      <c r="AC315" s="4">
        <v>45639</v>
      </c>
      <c r="AD315" s="9">
        <v>45640</v>
      </c>
      <c r="AE315" s="9">
        <v>45642</v>
      </c>
      <c r="AF315" s="4" t="str">
        <f t="shared" ca="1" si="4"/>
        <v>2024 12</v>
      </c>
      <c r="AG315" s="8" t="str" cm="1">
        <f t="array" ref="AG315">IFERROR(_xlfn.IFS('Banco de Dados'!#REF!="AG. COMPRA","Em processamento",'Banco de Dados'!#REF!="AG. RASTREIO","Em processamento",'Banco de Dados'!$AE315&lt;&gt;"-","Faturado",'Banco de Dados'!$AD315&lt;&gt;"-","Aguardando Pix",'Banco de Dados'!$AC315&lt;&gt;"-","Pendente"),"Aguardando Liberação")</f>
        <v>Aguardando Liberação</v>
      </c>
      <c r="AH315" s="5" t="str">
        <f>IF('Banco de Dados'!$F315="-",_xlfn.CONCAT(PROPER(TEXT(AK315,"aaaa"))," ",PROPER(TEXT(AK315,"mm"))),_xlfn.CONCAT(PROPER(TEXT(E315,"aaaa"))," ",PROPER(TEXT(E315,"mm"))))</f>
        <v>2024 11</v>
      </c>
      <c r="AI315" s="9" t="str">
        <f ca="1">IF('Banco de Dados'!$AK315&lt;&gt;"-","REEMBOLSO",IFERROR(_xlfn.XLOOKUP(G315,Follow[CODRASTREIO],Follow[STATUS]),"-"))</f>
        <v>ENTREGUE</v>
      </c>
      <c r="AJ315" s="9">
        <f ca="1">IF('Banco de Dados'!$AI315="ENTREGUE",_xlfn.XLOOKUP('Banco de Dados'!$G315,Follow[CODRASTREIO],Follow[DATAATUALIZAÇÃO]),"-")</f>
        <v>45615</v>
      </c>
      <c r="AK315" s="9" t="str">
        <f ca="1"/>
        <v>-</v>
      </c>
      <c r="AL315" s="35"/>
      <c r="AM315" s="109" cm="1">
        <f t="array" aca="1" ref="AM315" ca="1">IF('Banco de Dados'!$AK315&lt;&gt;"-",_xlfn.IFS('Banco de Dados'!$A315="bv",IF('Banco de Dados'!$E315&lt;45641,ROUND(SUM('Banco de Dados'!$R315*_xlfn.XLOOKUP('Banco de Dados'!$P315,Sku!B:B,Sku!#REF!)*20%),2),ROUND(SUM('Banco de Dados'!$R315*_xlfn.XLOOKUP('Banco de Dados'!$P315,Sku!B:B,Sku!H:H)*20%),2)),'Banco de Dados'!$A315="GO",ROUND(_xlfn.XLOOKUP('Banco de Dados'!$P315,Sku!C:C,Sku!H:H),2),'Banco de Dados'!$A315="MEI",ROUND(_xlfn.XLOOKUP('Banco de Dados'!$P315,Sku!D:D,Sku!H:H),2)),0)</f>
        <v>0</v>
      </c>
      <c r="AN315" s="109">
        <f ca="1">IF('Banco de Dados'!$AK315&lt;&gt;"-",IF('Banco de Dados'!$F315&lt;&gt;"-",_xlfn.XLOOKUP(IFERROR(IFERROR(IFERROR(VALUE(SUBSTITUTE(MID(_xlfn.TEXTAFTER('Banco de Dados'!$F315,"Data do Pedido:
",1),1,10),"-","/")),VALUE(SUBSTITUTE(MID(_xlfn.TEXTAFTER('Banco de Dados'!$F315,"Order date:
",1),1,10),"-","/"))),VALUE(SUBSTITUTE(MID(_xlfn.TEXTAFTER('Banco de Dados'!$F315,"Fecha de pedido:
",1),1,10),"-","/"))),"-"),SMS!A:A,SMS!K:K),0),0)</f>
        <v>0</v>
      </c>
      <c r="AO315" s="109">
        <f ca="1">IF('Banco de Dados'!$AK315&lt;&gt;"-",IF('Banco de Dados'!$F315&lt;&gt;"-",IFERROR(_xlfn.XLOOKUP(_xlfn.CONCAT('Banco de Dados'!$A315,IFERROR(IFERROR(VALUE(SUBSTITUTE(MID(_xlfn.TEXTAFTER('Banco de Dados'!$F315,"Data do Pedido:
",1),1,10),"-","/")),VALUE(SUBSTITUTE(MID(_xlfn.TEXTAFTER('Banco de Dados'!$F315,"Order date:
",1),1,10),"-","/"))),0)),ProxyDD[Chave],ProxyDD[Valor por pedido]),PROXY!$P$2),0),0)</f>
        <v>0</v>
      </c>
      <c r="AP315" s="28">
        <f ca="1">IF('Banco de Dados'!$AK315&lt;&gt;"-",IF('Banco de Dados'!$AL315="NÃO",IFERROR(VALUE(SUBSTITUTE(_xlfn.TEXTAFTER('Banco de Dados'!$F315,"BRL ",1),".",",")),0),0),0)</f>
        <v>0</v>
      </c>
      <c r="AQ315" s="28">
        <f ca="1">SUM('Banco de Dados'!$AM315:$AP315)</f>
        <v>0</v>
      </c>
      <c r="AR315" s="8"/>
      <c r="AS315" s="8"/>
      <c r="AY315" s="8"/>
    </row>
    <row r="316" spans="1:51">
      <c r="A316" s="5" t="str">
        <v>BV</v>
      </c>
      <c r="B316" s="5" t="str">
        <f ca="1"/>
        <v>BV45604</v>
      </c>
      <c r="C316" s="8" t="str">
        <v>Pedido 313</v>
      </c>
      <c r="D316" s="9">
        <v>45604</v>
      </c>
      <c r="E316" s="9">
        <v>45604</v>
      </c>
      <c r="F316" s="8" t="str">
        <v>PedidoF306</v>
      </c>
      <c r="G316" s="2" t="str">
        <v>CódRastreio306</v>
      </c>
      <c r="H316" s="5">
        <v>1</v>
      </c>
      <c r="I316" s="182" t="str">
        <v>CPF 307</v>
      </c>
      <c r="J316" s="2" t="str">
        <v>Nome 307</v>
      </c>
      <c r="K316" s="8" t="str">
        <v>Tel 307</v>
      </c>
      <c r="L316" s="2" t="str">
        <v>Cep 307</v>
      </c>
      <c r="M316" s="2" t="str">
        <v>Rua 307</v>
      </c>
      <c r="N316" s="2" t="str">
        <v>Comp 307</v>
      </c>
      <c r="O316" s="2" t="str">
        <v>Suporte de Celular Branco</v>
      </c>
      <c r="P316" s="8" t="str">
        <v>16-4EDB-WMZF</v>
      </c>
      <c r="Q316" s="4">
        <v>45632</v>
      </c>
      <c r="R316" s="109">
        <v>14.8</v>
      </c>
      <c r="S316" s="11">
        <f ca="1"/>
        <v>14.8</v>
      </c>
      <c r="T316" s="28">
        <f ca="1"/>
        <v>2.2200000000000002</v>
      </c>
      <c r="U316" s="11">
        <f ca="1"/>
        <v>12.58</v>
      </c>
      <c r="V316" s="11">
        <v>4.99</v>
      </c>
      <c r="W316" s="11">
        <f ca="1"/>
        <v>0.27</v>
      </c>
      <c r="X316" s="11">
        <f ca="1"/>
        <v>0.39877104377104378</v>
      </c>
      <c r="Y316" s="11">
        <v>0</v>
      </c>
      <c r="Z316" s="11">
        <f ca="1"/>
        <v>6.9212289562289566</v>
      </c>
      <c r="AA316" s="11">
        <f ca="1"/>
        <v>3.4606144781144783</v>
      </c>
      <c r="AB316" s="4">
        <f ca="1"/>
        <v>45639</v>
      </c>
      <c r="AC316" s="4">
        <v>45639</v>
      </c>
      <c r="AD316" s="9">
        <v>45640</v>
      </c>
      <c r="AE316" s="9">
        <v>45642</v>
      </c>
      <c r="AF316" s="4" t="str">
        <f t="shared" ca="1" si="4"/>
        <v>2024 12</v>
      </c>
      <c r="AG316" s="8" t="str" cm="1">
        <f t="array" ref="AG316">IFERROR(_xlfn.IFS('Banco de Dados'!#REF!="AG. COMPRA","Em processamento",'Banco de Dados'!#REF!="AG. RASTREIO","Em processamento",'Banco de Dados'!$AE316&lt;&gt;"-","Faturado",'Banco de Dados'!$AD316&lt;&gt;"-","Aguardando Pix",'Banco de Dados'!$AC316&lt;&gt;"-","Pendente"),"Aguardando Liberação")</f>
        <v>Aguardando Liberação</v>
      </c>
      <c r="AH316" s="5" t="str">
        <f>IF('Banco de Dados'!$F316="-",_xlfn.CONCAT(PROPER(TEXT(AK316,"aaaa"))," ",PROPER(TEXT(AK316,"mm"))),_xlfn.CONCAT(PROPER(TEXT(E316,"aaaa"))," ",PROPER(TEXT(E316,"mm"))))</f>
        <v>2024 11</v>
      </c>
      <c r="AI316" s="9" t="str">
        <f ca="1">IF('Banco de Dados'!$AK316&lt;&gt;"-","REEMBOLSO",IFERROR(_xlfn.XLOOKUP(G316,Follow[CODRASTREIO],Follow[STATUS]),"-"))</f>
        <v>ENTREGUE</v>
      </c>
      <c r="AJ316" s="9">
        <f ca="1">IF('Banco de Dados'!$AI316="ENTREGUE",_xlfn.XLOOKUP('Banco de Dados'!$G316,Follow[CODRASTREIO],Follow[DATAATUALIZAÇÃO]),"-")</f>
        <v>45623</v>
      </c>
      <c r="AK316" s="9" t="str">
        <f ca="1"/>
        <v>-</v>
      </c>
      <c r="AL316" s="35"/>
      <c r="AM316" s="109" cm="1">
        <f t="array" aca="1" ref="AM316" ca="1">IF('Banco de Dados'!$AK316&lt;&gt;"-",_xlfn.IFS('Banco de Dados'!$A316="bv",IF('Banco de Dados'!$E316&lt;45641,ROUND(SUM('Banco de Dados'!$R316*_xlfn.XLOOKUP('Banco de Dados'!$P316,Sku!B:B,Sku!#REF!)*20%),2),ROUND(SUM('Banco de Dados'!$R316*_xlfn.XLOOKUP('Banco de Dados'!$P316,Sku!B:B,Sku!H:H)*20%),2)),'Banco de Dados'!$A316="GO",ROUND(_xlfn.XLOOKUP('Banco de Dados'!$P316,Sku!C:C,Sku!H:H),2),'Banco de Dados'!$A316="MEI",ROUND(_xlfn.XLOOKUP('Banco de Dados'!$P316,Sku!D:D,Sku!H:H),2)),0)</f>
        <v>0</v>
      </c>
      <c r="AN316" s="109">
        <f ca="1">IF('Banco de Dados'!$AK316&lt;&gt;"-",IF('Banco de Dados'!$F316&lt;&gt;"-",_xlfn.XLOOKUP(IFERROR(IFERROR(IFERROR(VALUE(SUBSTITUTE(MID(_xlfn.TEXTAFTER('Banco de Dados'!$F316,"Data do Pedido:
",1),1,10),"-","/")),VALUE(SUBSTITUTE(MID(_xlfn.TEXTAFTER('Banco de Dados'!$F316,"Order date:
",1),1,10),"-","/"))),VALUE(SUBSTITUTE(MID(_xlfn.TEXTAFTER('Banco de Dados'!$F316,"Fecha de pedido:
",1),1,10),"-","/"))),"-"),SMS!A:A,SMS!K:K),0),0)</f>
        <v>0</v>
      </c>
      <c r="AO316" s="109">
        <f ca="1">IF('Banco de Dados'!$AK316&lt;&gt;"-",IF('Banco de Dados'!$F316&lt;&gt;"-",IFERROR(_xlfn.XLOOKUP(_xlfn.CONCAT('Banco de Dados'!$A316,IFERROR(IFERROR(VALUE(SUBSTITUTE(MID(_xlfn.TEXTAFTER('Banco de Dados'!$F316,"Data do Pedido:
",1),1,10),"-","/")),VALUE(SUBSTITUTE(MID(_xlfn.TEXTAFTER('Banco de Dados'!$F316,"Order date:
",1),1,10),"-","/"))),0)),ProxyDD[Chave],ProxyDD[Valor por pedido]),PROXY!$P$2),0),0)</f>
        <v>0</v>
      </c>
      <c r="AP316" s="28">
        <f ca="1">IF('Banco de Dados'!$AK316&lt;&gt;"-",IF('Banco de Dados'!$AL316="NÃO",IFERROR(VALUE(SUBSTITUTE(_xlfn.TEXTAFTER('Banco de Dados'!$F316,"BRL ",1),".",",")),0),0),0)</f>
        <v>0</v>
      </c>
      <c r="AQ316" s="28">
        <f ca="1">SUM('Banco de Dados'!$AM316:$AP316)</f>
        <v>0</v>
      </c>
      <c r="AR316" s="8"/>
      <c r="AS316" s="8"/>
      <c r="AY316" s="8"/>
    </row>
    <row r="317" spans="1:51">
      <c r="A317" s="5" t="str">
        <v>BV</v>
      </c>
      <c r="B317" s="5" t="str">
        <f ca="1"/>
        <v>BV45604</v>
      </c>
      <c r="C317" s="8" t="str">
        <v>Pedido 314</v>
      </c>
      <c r="D317" s="9">
        <v>45604</v>
      </c>
      <c r="E317" s="9">
        <v>45604</v>
      </c>
      <c r="F317" s="8" t="str">
        <v>PedidoF307</v>
      </c>
      <c r="G317" s="2" t="str">
        <v>CódRastreio307</v>
      </c>
      <c r="H317" s="5">
        <v>1</v>
      </c>
      <c r="I317" s="182" t="str">
        <v>CPF 308</v>
      </c>
      <c r="J317" s="2" t="str">
        <v>Nome 308</v>
      </c>
      <c r="K317" s="8" t="str">
        <v>Tel 308</v>
      </c>
      <c r="L317" s="2" t="str">
        <v>Cep 308</v>
      </c>
      <c r="M317" s="2" t="str">
        <v>Rua 308</v>
      </c>
      <c r="N317" s="2" t="str">
        <v>Comp 308</v>
      </c>
      <c r="O317" s="2" t="str">
        <v>Bomba d'agua</v>
      </c>
      <c r="P317" s="8" t="str">
        <v>DJ-RO5O-43GF</v>
      </c>
      <c r="Q317" s="4">
        <v>45632</v>
      </c>
      <c r="R317" s="109">
        <v>16.5</v>
      </c>
      <c r="S317" s="11">
        <f ca="1"/>
        <v>16.5</v>
      </c>
      <c r="T317" s="28">
        <f ca="1"/>
        <v>2.31</v>
      </c>
      <c r="U317" s="11">
        <f ca="1"/>
        <v>14.19</v>
      </c>
      <c r="V317" s="11">
        <v>6.57</v>
      </c>
      <c r="W317" s="11">
        <f ca="1"/>
        <v>0.27</v>
      </c>
      <c r="X317" s="11">
        <f ca="1"/>
        <v>0.39877104377104378</v>
      </c>
      <c r="Y317" s="11">
        <v>0</v>
      </c>
      <c r="Z317" s="11">
        <f ca="1"/>
        <v>6.951228956228956</v>
      </c>
      <c r="AA317" s="11">
        <f ca="1"/>
        <v>3.475614478114478</v>
      </c>
      <c r="AB317" s="4">
        <f ca="1"/>
        <v>45639</v>
      </c>
      <c r="AC317" s="4">
        <v>45639</v>
      </c>
      <c r="AD317" s="9">
        <v>45640</v>
      </c>
      <c r="AE317" s="9">
        <v>45642</v>
      </c>
      <c r="AF317" s="4" t="str">
        <f t="shared" ca="1" si="4"/>
        <v>2024 12</v>
      </c>
      <c r="AG317" s="8" t="str" cm="1">
        <f t="array" ref="AG317">IFERROR(_xlfn.IFS('Banco de Dados'!#REF!="AG. COMPRA","Em processamento",'Banco de Dados'!#REF!="AG. RASTREIO","Em processamento",'Banco de Dados'!$AE317&lt;&gt;"-","Faturado",'Banco de Dados'!$AD317&lt;&gt;"-","Aguardando Pix",'Banco de Dados'!$AC317&lt;&gt;"-","Pendente"),"Aguardando Liberação")</f>
        <v>Aguardando Liberação</v>
      </c>
      <c r="AH317" s="5" t="str">
        <f>IF('Banco de Dados'!$F317="-",_xlfn.CONCAT(PROPER(TEXT(AK317,"aaaa"))," ",PROPER(TEXT(AK317,"mm"))),_xlfn.CONCAT(PROPER(TEXT(E317,"aaaa"))," ",PROPER(TEXT(E317,"mm"))))</f>
        <v>2024 11</v>
      </c>
      <c r="AI317" s="9" t="str">
        <f ca="1">IF('Banco de Dados'!$AK317&lt;&gt;"-","REEMBOLSO",IFERROR(_xlfn.XLOOKUP(G317,Follow[CODRASTREIO],Follow[STATUS]),"-"))</f>
        <v>ENTREGUE</v>
      </c>
      <c r="AJ317" s="9">
        <f ca="1">IF('Banco de Dados'!$AI317="ENTREGUE",_xlfn.XLOOKUP('Banco de Dados'!$G317,Follow[CODRASTREIO],Follow[DATAATUALIZAÇÃO]),"-")</f>
        <v>45617</v>
      </c>
      <c r="AK317" s="9" t="str">
        <f ca="1"/>
        <v>-</v>
      </c>
      <c r="AL317" s="35"/>
      <c r="AM317" s="109" cm="1">
        <f t="array" aca="1" ref="AM317" ca="1">IF('Banco de Dados'!$AK317&lt;&gt;"-",_xlfn.IFS('Banco de Dados'!$A317="bv",IF('Banco de Dados'!$E317&lt;45641,ROUND(SUM('Banco de Dados'!$R317*_xlfn.XLOOKUP('Banco de Dados'!$P317,Sku!B:B,Sku!#REF!)*20%),2),ROUND(SUM('Banco de Dados'!$R317*_xlfn.XLOOKUP('Banco de Dados'!$P317,Sku!B:B,Sku!H:H)*20%),2)),'Banco de Dados'!$A317="GO",ROUND(_xlfn.XLOOKUP('Banco de Dados'!$P317,Sku!C:C,Sku!H:H),2),'Banco de Dados'!$A317="MEI",ROUND(_xlfn.XLOOKUP('Banco de Dados'!$P317,Sku!D:D,Sku!H:H),2)),0)</f>
        <v>0</v>
      </c>
      <c r="AN317" s="109">
        <f ca="1">IF('Banco de Dados'!$AK317&lt;&gt;"-",IF('Banco de Dados'!$F317&lt;&gt;"-",_xlfn.XLOOKUP(IFERROR(IFERROR(IFERROR(VALUE(SUBSTITUTE(MID(_xlfn.TEXTAFTER('Banco de Dados'!$F317,"Data do Pedido:
",1),1,10),"-","/")),VALUE(SUBSTITUTE(MID(_xlfn.TEXTAFTER('Banco de Dados'!$F317,"Order date:
",1),1,10),"-","/"))),VALUE(SUBSTITUTE(MID(_xlfn.TEXTAFTER('Banco de Dados'!$F317,"Fecha de pedido:
",1),1,10),"-","/"))),"-"),SMS!A:A,SMS!K:K),0),0)</f>
        <v>0</v>
      </c>
      <c r="AO317" s="109">
        <f ca="1">IF('Banco de Dados'!$AK317&lt;&gt;"-",IF('Banco de Dados'!$F317&lt;&gt;"-",IFERROR(_xlfn.XLOOKUP(_xlfn.CONCAT('Banco de Dados'!$A317,IFERROR(IFERROR(VALUE(SUBSTITUTE(MID(_xlfn.TEXTAFTER('Banco de Dados'!$F317,"Data do Pedido:
",1),1,10),"-","/")),VALUE(SUBSTITUTE(MID(_xlfn.TEXTAFTER('Banco de Dados'!$F317,"Order date:
",1),1,10),"-","/"))),0)),ProxyDD[Chave],ProxyDD[Valor por pedido]),PROXY!$P$2),0),0)</f>
        <v>0</v>
      </c>
      <c r="AP317" s="28">
        <f ca="1">IF('Banco de Dados'!$AK317&lt;&gt;"-",IF('Banco de Dados'!$AL317="NÃO",IFERROR(VALUE(SUBSTITUTE(_xlfn.TEXTAFTER('Banco de Dados'!$F317,"BRL ",1),".",",")),0),0),0)</f>
        <v>0</v>
      </c>
      <c r="AQ317" s="28">
        <f ca="1">SUM('Banco de Dados'!$AM317:$AP317)</f>
        <v>0</v>
      </c>
      <c r="AR317" s="8"/>
      <c r="AS317" s="8"/>
      <c r="AY317" s="8"/>
    </row>
    <row r="318" spans="1:51">
      <c r="A318" s="5" t="str">
        <v>BV</v>
      </c>
      <c r="B318" s="5" t="str">
        <f ca="1"/>
        <v>BV45604</v>
      </c>
      <c r="C318" s="8" t="str">
        <v>Pedido 315</v>
      </c>
      <c r="D318" s="9">
        <v>45604</v>
      </c>
      <c r="E318" s="9">
        <v>45604</v>
      </c>
      <c r="F318" s="8" t="str">
        <v>PedidoF308</v>
      </c>
      <c r="G318" s="2" t="str">
        <v>CódRastreio308</v>
      </c>
      <c r="H318" s="5">
        <v>1</v>
      </c>
      <c r="I318" s="182" t="str">
        <v>CPF 309</v>
      </c>
      <c r="J318" s="2" t="str">
        <v>Nome 309</v>
      </c>
      <c r="K318" s="8" t="str">
        <v>Tel 309</v>
      </c>
      <c r="L318" s="2" t="str">
        <v>Cep 309</v>
      </c>
      <c r="M318" s="2" t="str">
        <v>Rua 309</v>
      </c>
      <c r="N318" s="2" t="str">
        <v>Comp 309</v>
      </c>
      <c r="O318" s="2" t="str">
        <v>Bomba d'agua</v>
      </c>
      <c r="P318" s="8" t="str">
        <v>DJ-RO5O-43GF</v>
      </c>
      <c r="Q318" s="4">
        <v>45622</v>
      </c>
      <c r="R318" s="109">
        <v>16.5</v>
      </c>
      <c r="S318" s="11">
        <f ca="1"/>
        <v>16.5</v>
      </c>
      <c r="T318" s="28">
        <f ca="1"/>
        <v>2.31</v>
      </c>
      <c r="U318" s="11">
        <f ca="1"/>
        <v>14.19</v>
      </c>
      <c r="V318" s="11">
        <v>6.57</v>
      </c>
      <c r="W318" s="11">
        <f ca="1"/>
        <v>0.27</v>
      </c>
      <c r="X318" s="11">
        <f ca="1"/>
        <v>0.39877104377104378</v>
      </c>
      <c r="Y318" s="11">
        <v>0</v>
      </c>
      <c r="Z318" s="11">
        <f ca="1"/>
        <v>6.951228956228956</v>
      </c>
      <c r="AA318" s="11">
        <f ca="1"/>
        <v>3.475614478114478</v>
      </c>
      <c r="AB318" s="4">
        <f ca="1"/>
        <v>45629</v>
      </c>
      <c r="AC318" s="4">
        <v>45629</v>
      </c>
      <c r="AD318" s="9">
        <v>45637</v>
      </c>
      <c r="AE318" s="9">
        <v>45642</v>
      </c>
      <c r="AF318" s="4" t="str">
        <f t="shared" ca="1" si="4"/>
        <v>2024 12</v>
      </c>
      <c r="AG318" s="8" t="str" cm="1">
        <f t="array" ref="AG318">IFERROR(_xlfn.IFS('Banco de Dados'!#REF!="AG. COMPRA","Em processamento",'Banco de Dados'!#REF!="AG. RASTREIO","Em processamento",'Banco de Dados'!$AE318&lt;&gt;"-","Faturado",'Banco de Dados'!$AD318&lt;&gt;"-","Aguardando Pix",'Banco de Dados'!$AC318&lt;&gt;"-","Pendente"),"Aguardando Liberação")</f>
        <v>Aguardando Liberação</v>
      </c>
      <c r="AH318" s="5" t="str">
        <f>IF('Banco de Dados'!$F318="-",_xlfn.CONCAT(PROPER(TEXT(AK318,"aaaa"))," ",PROPER(TEXT(AK318,"mm"))),_xlfn.CONCAT(PROPER(TEXT(E318,"aaaa"))," ",PROPER(TEXT(E318,"mm"))))</f>
        <v>2024 11</v>
      </c>
      <c r="AI318" s="9" t="str">
        <f ca="1">IF('Banco de Dados'!$AK318&lt;&gt;"-","REEMBOLSO",IFERROR(_xlfn.XLOOKUP(G318,Follow[CODRASTREIO],Follow[STATUS]),"-"))</f>
        <v>ENTREGUE</v>
      </c>
      <c r="AJ318" s="9">
        <f ca="1">IF('Banco de Dados'!$AI318="ENTREGUE",_xlfn.XLOOKUP('Banco de Dados'!$G318,Follow[CODRASTREIO],Follow[DATAATUALIZAÇÃO]),"-")</f>
        <v>45610</v>
      </c>
      <c r="AK318" s="9" t="str">
        <f ca="1"/>
        <v>-</v>
      </c>
      <c r="AL318" s="35"/>
      <c r="AM318" s="109" cm="1">
        <f t="array" aca="1" ref="AM318" ca="1">IF('Banco de Dados'!$AK318&lt;&gt;"-",_xlfn.IFS('Banco de Dados'!$A318="bv",IF('Banco de Dados'!$E318&lt;45641,ROUND(SUM('Banco de Dados'!$R318*_xlfn.XLOOKUP('Banco de Dados'!$P318,Sku!B:B,Sku!#REF!)*20%),2),ROUND(SUM('Banco de Dados'!$R318*_xlfn.XLOOKUP('Banco de Dados'!$P318,Sku!B:B,Sku!H:H)*20%),2)),'Banco de Dados'!$A318="GO",ROUND(_xlfn.XLOOKUP('Banco de Dados'!$P318,Sku!C:C,Sku!H:H),2),'Banco de Dados'!$A318="MEI",ROUND(_xlfn.XLOOKUP('Banco de Dados'!$P318,Sku!D:D,Sku!H:H),2)),0)</f>
        <v>0</v>
      </c>
      <c r="AN318" s="109">
        <f ca="1">IF('Banco de Dados'!$AK318&lt;&gt;"-",IF('Banco de Dados'!$F318&lt;&gt;"-",_xlfn.XLOOKUP(IFERROR(IFERROR(IFERROR(VALUE(SUBSTITUTE(MID(_xlfn.TEXTAFTER('Banco de Dados'!$F318,"Data do Pedido:
",1),1,10),"-","/")),VALUE(SUBSTITUTE(MID(_xlfn.TEXTAFTER('Banco de Dados'!$F318,"Order date:
",1),1,10),"-","/"))),VALUE(SUBSTITUTE(MID(_xlfn.TEXTAFTER('Banco de Dados'!$F318,"Fecha de pedido:
",1),1,10),"-","/"))),"-"),SMS!A:A,SMS!K:K),0),0)</f>
        <v>0</v>
      </c>
      <c r="AO318" s="109">
        <f ca="1">IF('Banco de Dados'!$AK318&lt;&gt;"-",IF('Banco de Dados'!$F318&lt;&gt;"-",IFERROR(_xlfn.XLOOKUP(_xlfn.CONCAT('Banco de Dados'!$A318,IFERROR(IFERROR(VALUE(SUBSTITUTE(MID(_xlfn.TEXTAFTER('Banco de Dados'!$F318,"Data do Pedido:
",1),1,10),"-","/")),VALUE(SUBSTITUTE(MID(_xlfn.TEXTAFTER('Banco de Dados'!$F318,"Order date:
",1),1,10),"-","/"))),0)),ProxyDD[Chave],ProxyDD[Valor por pedido]),PROXY!$P$2),0),0)</f>
        <v>0</v>
      </c>
      <c r="AP318" s="28">
        <f ca="1">IF('Banco de Dados'!$AK318&lt;&gt;"-",IF('Banco de Dados'!$AL318="NÃO",IFERROR(VALUE(SUBSTITUTE(_xlfn.TEXTAFTER('Banco de Dados'!$F318,"BRL ",1),".",",")),0),0),0)</f>
        <v>0</v>
      </c>
      <c r="AQ318" s="28">
        <f ca="1">SUM('Banco de Dados'!$AM318:$AP318)</f>
        <v>0</v>
      </c>
      <c r="AR318" s="8"/>
      <c r="AS318" s="8"/>
      <c r="AY318" s="8"/>
    </row>
    <row r="319" spans="1:51">
      <c r="A319" s="5" t="str">
        <v>BV</v>
      </c>
      <c r="B319" s="5" t="str">
        <f ca="1"/>
        <v>BV45604</v>
      </c>
      <c r="C319" s="8" t="str">
        <v>Pedido 316</v>
      </c>
      <c r="D319" s="9">
        <v>45604</v>
      </c>
      <c r="E319" s="9">
        <v>45604</v>
      </c>
      <c r="F319" s="8" t="str">
        <v>PedidoF309</v>
      </c>
      <c r="G319" s="2" t="str">
        <v>CódRastreio309</v>
      </c>
      <c r="H319" s="5">
        <v>1</v>
      </c>
      <c r="I319" s="182" t="str">
        <v>CPF 310</v>
      </c>
      <c r="J319" s="2" t="str">
        <v>Nome 310</v>
      </c>
      <c r="K319" s="8" t="str">
        <v>Tel 310</v>
      </c>
      <c r="L319" s="2" t="str">
        <v>Cep 310</v>
      </c>
      <c r="M319" s="2" t="str">
        <v>Rua 310</v>
      </c>
      <c r="N319" s="2" t="str">
        <v>Comp 310</v>
      </c>
      <c r="O319" s="2" t="str">
        <v>Bomba d'agua</v>
      </c>
      <c r="P319" s="8" t="str">
        <v>DJ-RO5O-43GF</v>
      </c>
      <c r="Q319" s="4">
        <v>45632</v>
      </c>
      <c r="R319" s="109">
        <v>16.5</v>
      </c>
      <c r="S319" s="11">
        <f ca="1"/>
        <v>16.5</v>
      </c>
      <c r="T319" s="28">
        <f ca="1"/>
        <v>2.31</v>
      </c>
      <c r="U319" s="11">
        <f ca="1"/>
        <v>14.19</v>
      </c>
      <c r="V319" s="11">
        <v>6.57</v>
      </c>
      <c r="W319" s="11">
        <f ca="1"/>
        <v>0.27</v>
      </c>
      <c r="X319" s="11">
        <f ca="1"/>
        <v>0.39877104377104378</v>
      </c>
      <c r="Y319" s="11">
        <v>0</v>
      </c>
      <c r="Z319" s="11">
        <f ca="1"/>
        <v>6.951228956228956</v>
      </c>
      <c r="AA319" s="11">
        <f ca="1"/>
        <v>3.475614478114478</v>
      </c>
      <c r="AB319" s="4">
        <f ca="1"/>
        <v>45639</v>
      </c>
      <c r="AC319" s="4">
        <v>45639</v>
      </c>
      <c r="AD319" s="9">
        <v>45640</v>
      </c>
      <c r="AE319" s="9">
        <v>45642</v>
      </c>
      <c r="AF319" s="4" t="str">
        <f t="shared" ca="1" si="4"/>
        <v>2024 12</v>
      </c>
      <c r="AG319" s="8" t="str" cm="1">
        <f t="array" ref="AG319">IFERROR(_xlfn.IFS('Banco de Dados'!#REF!="AG. COMPRA","Em processamento",'Banco de Dados'!#REF!="AG. RASTREIO","Em processamento",'Banco de Dados'!$AE319&lt;&gt;"-","Faturado",'Banco de Dados'!$AD319&lt;&gt;"-","Aguardando Pix",'Banco de Dados'!$AC319&lt;&gt;"-","Pendente"),"Aguardando Liberação")</f>
        <v>Aguardando Liberação</v>
      </c>
      <c r="AH319" s="5" t="str">
        <f>IF('Banco de Dados'!$F319="-",_xlfn.CONCAT(PROPER(TEXT(AK319,"aaaa"))," ",PROPER(TEXT(AK319,"mm"))),_xlfn.CONCAT(PROPER(TEXT(E319,"aaaa"))," ",PROPER(TEXT(E319,"mm"))))</f>
        <v>2024 11</v>
      </c>
      <c r="AI319" s="9" t="str">
        <f ca="1">IF('Banco de Dados'!$AK319&lt;&gt;"-","REEMBOLSO",IFERROR(_xlfn.XLOOKUP(G319,Follow[CODRASTREIO],Follow[STATUS]),"-"))</f>
        <v>ENTREGUE</v>
      </c>
      <c r="AJ319" s="9">
        <f ca="1">IF('Banco de Dados'!$AI319="ENTREGUE",_xlfn.XLOOKUP('Banco de Dados'!$G319,Follow[CODRASTREIO],Follow[DATAATUALIZAÇÃO]),"-")</f>
        <v>45610</v>
      </c>
      <c r="AK319" s="9" t="str">
        <f ca="1"/>
        <v>-</v>
      </c>
      <c r="AL319" s="35"/>
      <c r="AM319" s="109" cm="1">
        <f t="array" aca="1" ref="AM319" ca="1">IF('Banco de Dados'!$AK319&lt;&gt;"-",_xlfn.IFS('Banco de Dados'!$A319="bv",IF('Banco de Dados'!$E319&lt;45641,ROUND(SUM('Banco de Dados'!$R319*_xlfn.XLOOKUP('Banco de Dados'!$P319,Sku!B:B,Sku!#REF!)*20%),2),ROUND(SUM('Banco de Dados'!$R319*_xlfn.XLOOKUP('Banco de Dados'!$P319,Sku!B:B,Sku!H:H)*20%),2)),'Banco de Dados'!$A319="GO",ROUND(_xlfn.XLOOKUP('Banco de Dados'!$P319,Sku!C:C,Sku!H:H),2),'Banco de Dados'!$A319="MEI",ROUND(_xlfn.XLOOKUP('Banco de Dados'!$P319,Sku!D:D,Sku!H:H),2)),0)</f>
        <v>0</v>
      </c>
      <c r="AN319" s="109">
        <f ca="1">IF('Banco de Dados'!$AK319&lt;&gt;"-",IF('Banco de Dados'!$F319&lt;&gt;"-",_xlfn.XLOOKUP(IFERROR(IFERROR(IFERROR(VALUE(SUBSTITUTE(MID(_xlfn.TEXTAFTER('Banco de Dados'!$F319,"Data do Pedido:
",1),1,10),"-","/")),VALUE(SUBSTITUTE(MID(_xlfn.TEXTAFTER('Banco de Dados'!$F319,"Order date:
",1),1,10),"-","/"))),VALUE(SUBSTITUTE(MID(_xlfn.TEXTAFTER('Banco de Dados'!$F319,"Fecha de pedido:
",1),1,10),"-","/"))),"-"),SMS!A:A,SMS!K:K),0),0)</f>
        <v>0</v>
      </c>
      <c r="AO319" s="109">
        <f ca="1">IF('Banco de Dados'!$AK319&lt;&gt;"-",IF('Banco de Dados'!$F319&lt;&gt;"-",IFERROR(_xlfn.XLOOKUP(_xlfn.CONCAT('Banco de Dados'!$A319,IFERROR(IFERROR(VALUE(SUBSTITUTE(MID(_xlfn.TEXTAFTER('Banco de Dados'!$F319,"Data do Pedido:
",1),1,10),"-","/")),VALUE(SUBSTITUTE(MID(_xlfn.TEXTAFTER('Banco de Dados'!$F319,"Order date:
",1),1,10),"-","/"))),0)),ProxyDD[Chave],ProxyDD[Valor por pedido]),PROXY!$P$2),0),0)</f>
        <v>0</v>
      </c>
      <c r="AP319" s="28">
        <f ca="1">IF('Banco de Dados'!$AK319&lt;&gt;"-",IF('Banco de Dados'!$AL319="NÃO",IFERROR(VALUE(SUBSTITUTE(_xlfn.TEXTAFTER('Banco de Dados'!$F319,"BRL ",1),".",",")),0),0),0)</f>
        <v>0</v>
      </c>
      <c r="AQ319" s="28">
        <f ca="1">SUM('Banco de Dados'!$AM319:$AP319)</f>
        <v>0</v>
      </c>
      <c r="AR319" s="8"/>
      <c r="AS319" s="8"/>
      <c r="AY319" s="8"/>
    </row>
    <row r="320" spans="1:51">
      <c r="A320" s="5" t="str">
        <v>BV</v>
      </c>
      <c r="B320" s="5" t="str">
        <f ca="1"/>
        <v>BV45604</v>
      </c>
      <c r="C320" s="8" t="str">
        <v>Pedido 317</v>
      </c>
      <c r="D320" s="9">
        <v>45604</v>
      </c>
      <c r="E320" s="9">
        <v>45604</v>
      </c>
      <c r="F320" s="8" t="str">
        <v>PedidoF310</v>
      </c>
      <c r="G320" s="2" t="str">
        <v>CódRastreio310</v>
      </c>
      <c r="H320" s="5">
        <v>1</v>
      </c>
      <c r="I320" s="182" t="str">
        <v>CPF 311</v>
      </c>
      <c r="J320" s="2" t="str">
        <v>Nome 311</v>
      </c>
      <c r="K320" s="8" t="str">
        <v>Tel 311</v>
      </c>
      <c r="L320" s="2" t="str">
        <v>Cep 311</v>
      </c>
      <c r="M320" s="2" t="str">
        <v>Rua 311</v>
      </c>
      <c r="N320" s="2" t="str">
        <v>Comp 311</v>
      </c>
      <c r="O320" s="2" t="str">
        <v>Bomba d'agua</v>
      </c>
      <c r="P320" s="8" t="str">
        <v>DJ-RO5O-43GF</v>
      </c>
      <c r="Q320" s="4">
        <v>45624</v>
      </c>
      <c r="R320" s="109">
        <v>16.5</v>
      </c>
      <c r="S320" s="11">
        <f ca="1"/>
        <v>16.5</v>
      </c>
      <c r="T320" s="28">
        <f ca="1"/>
        <v>2.31</v>
      </c>
      <c r="U320" s="11">
        <f ca="1"/>
        <v>14.19</v>
      </c>
      <c r="V320" s="11">
        <v>6.57</v>
      </c>
      <c r="W320" s="11">
        <f ca="1"/>
        <v>0.27</v>
      </c>
      <c r="X320" s="11">
        <f ca="1"/>
        <v>0.39877104377104378</v>
      </c>
      <c r="Y320" s="11">
        <v>0</v>
      </c>
      <c r="Z320" s="11">
        <f ca="1"/>
        <v>6.951228956228956</v>
      </c>
      <c r="AA320" s="11">
        <f ca="1"/>
        <v>3.475614478114478</v>
      </c>
      <c r="AB320" s="4">
        <f ca="1"/>
        <v>45631</v>
      </c>
      <c r="AC320" s="4">
        <v>45631</v>
      </c>
      <c r="AD320" s="9">
        <v>45637</v>
      </c>
      <c r="AE320" s="9">
        <v>45642</v>
      </c>
      <c r="AF320" s="4" t="str">
        <f t="shared" ca="1" si="4"/>
        <v>2024 12</v>
      </c>
      <c r="AG320" s="8" t="str" cm="1">
        <f t="array" ref="AG320">IFERROR(_xlfn.IFS('Banco de Dados'!#REF!="AG. COMPRA","Em processamento",'Banco de Dados'!#REF!="AG. RASTREIO","Em processamento",'Banco de Dados'!$AE320&lt;&gt;"-","Faturado",'Banco de Dados'!$AD320&lt;&gt;"-","Aguardando Pix",'Banco de Dados'!$AC320&lt;&gt;"-","Pendente"),"Aguardando Liberação")</f>
        <v>Aguardando Liberação</v>
      </c>
      <c r="AH320" s="5" t="str">
        <f>IF('Banco de Dados'!$F320="-",_xlfn.CONCAT(PROPER(TEXT(AK320,"aaaa"))," ",PROPER(TEXT(AK320,"mm"))),_xlfn.CONCAT(PROPER(TEXT(E320,"aaaa"))," ",PROPER(TEXT(E320,"mm"))))</f>
        <v>2024 11</v>
      </c>
      <c r="AI320" s="9" t="str">
        <f ca="1">IF('Banco de Dados'!$AK320&lt;&gt;"-","REEMBOLSO",IFERROR(_xlfn.XLOOKUP(G320,Follow[CODRASTREIO],Follow[STATUS]),"-"))</f>
        <v>ENTREGUE</v>
      </c>
      <c r="AJ320" s="9">
        <f ca="1">IF('Banco de Dados'!$AI320="ENTREGUE",_xlfn.XLOOKUP('Banco de Dados'!$G320,Follow[CODRASTREIO],Follow[DATAATUALIZAÇÃO]),"-")</f>
        <v>45610</v>
      </c>
      <c r="AK320" s="9" t="str">
        <f ca="1"/>
        <v>-</v>
      </c>
      <c r="AL320" s="35"/>
      <c r="AM320" s="109" cm="1">
        <f t="array" aca="1" ref="AM320" ca="1">IF('Banco de Dados'!$AK320&lt;&gt;"-",_xlfn.IFS('Banco de Dados'!$A320="bv",IF('Banco de Dados'!$E320&lt;45641,ROUND(SUM('Banco de Dados'!$R320*_xlfn.XLOOKUP('Banco de Dados'!$P320,Sku!B:B,Sku!#REF!)*20%),2),ROUND(SUM('Banco de Dados'!$R320*_xlfn.XLOOKUP('Banco de Dados'!$P320,Sku!B:B,Sku!H:H)*20%),2)),'Banco de Dados'!$A320="GO",ROUND(_xlfn.XLOOKUP('Banco de Dados'!$P320,Sku!C:C,Sku!H:H),2),'Banco de Dados'!$A320="MEI",ROUND(_xlfn.XLOOKUP('Banco de Dados'!$P320,Sku!D:D,Sku!H:H),2)),0)</f>
        <v>0</v>
      </c>
      <c r="AN320" s="109">
        <f ca="1">IF('Banco de Dados'!$AK320&lt;&gt;"-",IF('Banco de Dados'!$F320&lt;&gt;"-",_xlfn.XLOOKUP(IFERROR(IFERROR(IFERROR(VALUE(SUBSTITUTE(MID(_xlfn.TEXTAFTER('Banco de Dados'!$F320,"Data do Pedido:
",1),1,10),"-","/")),VALUE(SUBSTITUTE(MID(_xlfn.TEXTAFTER('Banco de Dados'!$F320,"Order date:
",1),1,10),"-","/"))),VALUE(SUBSTITUTE(MID(_xlfn.TEXTAFTER('Banco de Dados'!$F320,"Fecha de pedido:
",1),1,10),"-","/"))),"-"),SMS!A:A,SMS!K:K),0),0)</f>
        <v>0</v>
      </c>
      <c r="AO320" s="109">
        <f ca="1">IF('Banco de Dados'!$AK320&lt;&gt;"-",IF('Banco de Dados'!$F320&lt;&gt;"-",IFERROR(_xlfn.XLOOKUP(_xlfn.CONCAT('Banco de Dados'!$A320,IFERROR(IFERROR(VALUE(SUBSTITUTE(MID(_xlfn.TEXTAFTER('Banco de Dados'!$F320,"Data do Pedido:
",1),1,10),"-","/")),VALUE(SUBSTITUTE(MID(_xlfn.TEXTAFTER('Banco de Dados'!$F320,"Order date:
",1),1,10),"-","/"))),0)),ProxyDD[Chave],ProxyDD[Valor por pedido]),PROXY!$P$2),0),0)</f>
        <v>0</v>
      </c>
      <c r="AP320" s="28">
        <f ca="1">IF('Banco de Dados'!$AK320&lt;&gt;"-",IF('Banco de Dados'!$AL320="NÃO",IFERROR(VALUE(SUBSTITUTE(_xlfn.TEXTAFTER('Banco de Dados'!$F320,"BRL ",1),".",",")),0),0),0)</f>
        <v>0</v>
      </c>
      <c r="AQ320" s="28">
        <f ca="1">SUM('Banco de Dados'!$AM320:$AP320)</f>
        <v>0</v>
      </c>
      <c r="AR320" s="8"/>
      <c r="AS320" s="8"/>
      <c r="AY320" s="8"/>
    </row>
    <row r="321" spans="1:51">
      <c r="A321" s="5" t="str">
        <v>BV</v>
      </c>
      <c r="B321" s="5" t="str">
        <f ca="1"/>
        <v>BV45604</v>
      </c>
      <c r="C321" s="8" t="str">
        <v>Pedido 318</v>
      </c>
      <c r="D321" s="9">
        <v>45604</v>
      </c>
      <c r="E321" s="9">
        <v>45604</v>
      </c>
      <c r="F321" s="8" t="str">
        <v>PedidoF311</v>
      </c>
      <c r="G321" s="2" t="str">
        <v>CódRastreio311</v>
      </c>
      <c r="H321" s="5">
        <v>1</v>
      </c>
      <c r="I321" s="182" t="str">
        <v>CPF 312</v>
      </c>
      <c r="J321" s="2" t="str">
        <v>Nome 312</v>
      </c>
      <c r="K321" s="8" t="str">
        <v>Tel 312</v>
      </c>
      <c r="L321" s="2" t="str">
        <v>Cep 312</v>
      </c>
      <c r="M321" s="2" t="str">
        <v>Rua 312</v>
      </c>
      <c r="N321" s="2" t="str">
        <v>Comp 312</v>
      </c>
      <c r="O321" s="2" t="str">
        <v>Suporte de Celular Branco</v>
      </c>
      <c r="P321" s="8" t="str">
        <v>16-4EDB-WMZF</v>
      </c>
      <c r="Q321" s="4">
        <v>45629</v>
      </c>
      <c r="R321" s="109">
        <v>14.8</v>
      </c>
      <c r="S321" s="11">
        <f ca="1"/>
        <v>14.8</v>
      </c>
      <c r="T321" s="28">
        <f ca="1"/>
        <v>2.2200000000000002</v>
      </c>
      <c r="U321" s="11">
        <f ca="1"/>
        <v>12.58</v>
      </c>
      <c r="V321" s="11">
        <v>4.99</v>
      </c>
      <c r="W321" s="11">
        <f ca="1"/>
        <v>0.27</v>
      </c>
      <c r="X321" s="11">
        <f ca="1"/>
        <v>0.39877104377104378</v>
      </c>
      <c r="Y321" s="11">
        <v>0</v>
      </c>
      <c r="Z321" s="11">
        <f ca="1"/>
        <v>6.9212289562289566</v>
      </c>
      <c r="AA321" s="11">
        <f ca="1"/>
        <v>3.4606144781144783</v>
      </c>
      <c r="AB321" s="4">
        <f ca="1"/>
        <v>45636</v>
      </c>
      <c r="AC321" s="4">
        <v>45636</v>
      </c>
      <c r="AD321" s="9">
        <v>45637</v>
      </c>
      <c r="AE321" s="9">
        <v>45642</v>
      </c>
      <c r="AF321" s="4" t="str">
        <f t="shared" ca="1" si="4"/>
        <v>2024 12</v>
      </c>
      <c r="AG321" s="8" t="str" cm="1">
        <f t="array" ref="AG321">IFERROR(_xlfn.IFS('Banco de Dados'!#REF!="AG. COMPRA","Em processamento",'Banco de Dados'!#REF!="AG. RASTREIO","Em processamento",'Banco de Dados'!$AE321&lt;&gt;"-","Faturado",'Banco de Dados'!$AD321&lt;&gt;"-","Aguardando Pix",'Banco de Dados'!$AC321&lt;&gt;"-","Pendente"),"Aguardando Liberação")</f>
        <v>Aguardando Liberação</v>
      </c>
      <c r="AH321" s="5" t="str">
        <f>IF('Banco de Dados'!$F321="-",_xlfn.CONCAT(PROPER(TEXT(AK321,"aaaa"))," ",PROPER(TEXT(AK321,"mm"))),_xlfn.CONCAT(PROPER(TEXT(E321,"aaaa"))," ",PROPER(TEXT(E321,"mm"))))</f>
        <v>2024 11</v>
      </c>
      <c r="AI321" s="9" t="str">
        <f ca="1">IF('Banco de Dados'!$AK321&lt;&gt;"-","REEMBOLSO",IFERROR(_xlfn.XLOOKUP(G321,Follow[CODRASTREIO],Follow[STATUS]),"-"))</f>
        <v>ENTREGUE</v>
      </c>
      <c r="AJ321" s="9">
        <f ca="1">IF('Banco de Dados'!$AI321="ENTREGUE",_xlfn.XLOOKUP('Banco de Dados'!$G321,Follow[CODRASTREIO],Follow[DATAATUALIZAÇÃO]),"-")</f>
        <v>45623</v>
      </c>
      <c r="AK321" s="9" t="str">
        <f ca="1"/>
        <v>-</v>
      </c>
      <c r="AL321" s="35"/>
      <c r="AM321" s="109" cm="1">
        <f t="array" aca="1" ref="AM321" ca="1">IF('Banco de Dados'!$AK321&lt;&gt;"-",_xlfn.IFS('Banco de Dados'!$A321="bv",IF('Banco de Dados'!$E321&lt;45641,ROUND(SUM('Banco de Dados'!$R321*_xlfn.XLOOKUP('Banco de Dados'!$P321,Sku!B:B,Sku!#REF!)*20%),2),ROUND(SUM('Banco de Dados'!$R321*_xlfn.XLOOKUP('Banco de Dados'!$P321,Sku!B:B,Sku!H:H)*20%),2)),'Banco de Dados'!$A321="GO",ROUND(_xlfn.XLOOKUP('Banco de Dados'!$P321,Sku!C:C,Sku!H:H),2),'Banco de Dados'!$A321="MEI",ROUND(_xlfn.XLOOKUP('Banco de Dados'!$P321,Sku!D:D,Sku!H:H),2)),0)</f>
        <v>0</v>
      </c>
      <c r="AN321" s="109">
        <f ca="1">IF('Banco de Dados'!$AK321&lt;&gt;"-",IF('Banco de Dados'!$F321&lt;&gt;"-",_xlfn.XLOOKUP(IFERROR(IFERROR(IFERROR(VALUE(SUBSTITUTE(MID(_xlfn.TEXTAFTER('Banco de Dados'!$F321,"Data do Pedido:
",1),1,10),"-","/")),VALUE(SUBSTITUTE(MID(_xlfn.TEXTAFTER('Banco de Dados'!$F321,"Order date:
",1),1,10),"-","/"))),VALUE(SUBSTITUTE(MID(_xlfn.TEXTAFTER('Banco de Dados'!$F321,"Fecha de pedido:
",1),1,10),"-","/"))),"-"),SMS!A:A,SMS!K:K),0),0)</f>
        <v>0</v>
      </c>
      <c r="AO321" s="109">
        <f ca="1">IF('Banco de Dados'!$AK321&lt;&gt;"-",IF('Banco de Dados'!$F321&lt;&gt;"-",IFERROR(_xlfn.XLOOKUP(_xlfn.CONCAT('Banco de Dados'!$A321,IFERROR(IFERROR(VALUE(SUBSTITUTE(MID(_xlfn.TEXTAFTER('Banco de Dados'!$F321,"Data do Pedido:
",1),1,10),"-","/")),VALUE(SUBSTITUTE(MID(_xlfn.TEXTAFTER('Banco de Dados'!$F321,"Order date:
",1),1,10),"-","/"))),0)),ProxyDD[Chave],ProxyDD[Valor por pedido]),PROXY!$P$2),0),0)</f>
        <v>0</v>
      </c>
      <c r="AP321" s="28">
        <f ca="1">IF('Banco de Dados'!$AK321&lt;&gt;"-",IF('Banco de Dados'!$AL321="NÃO",IFERROR(VALUE(SUBSTITUTE(_xlfn.TEXTAFTER('Banco de Dados'!$F321,"BRL ",1),".",",")),0),0),0)</f>
        <v>0</v>
      </c>
      <c r="AQ321" s="28">
        <f ca="1">SUM('Banco de Dados'!$AM321:$AP321)</f>
        <v>0</v>
      </c>
      <c r="AR321" s="8"/>
      <c r="AS321" s="8"/>
      <c r="AY321" s="8"/>
    </row>
    <row r="322" spans="1:51">
      <c r="A322" s="5" t="str">
        <v>BV</v>
      </c>
      <c r="B322" s="5" t="str">
        <f ca="1"/>
        <v>BV45604</v>
      </c>
      <c r="C322" s="8" t="str">
        <v>Pedido 319</v>
      </c>
      <c r="D322" s="9">
        <v>45604</v>
      </c>
      <c r="E322" s="9">
        <v>45604</v>
      </c>
      <c r="F322" s="8" t="str">
        <v>PedidoF312</v>
      </c>
      <c r="G322" s="2" t="str">
        <v>CódRastreio312</v>
      </c>
      <c r="H322" s="5">
        <v>1</v>
      </c>
      <c r="I322" s="182" t="str">
        <v>CPF 313</v>
      </c>
      <c r="J322" s="2" t="str">
        <v>Nome 313</v>
      </c>
      <c r="K322" s="8" t="str">
        <v>Tel 313</v>
      </c>
      <c r="L322" s="2" t="str">
        <v>Cep 313</v>
      </c>
      <c r="M322" s="2" t="str">
        <v>Rua 313</v>
      </c>
      <c r="N322" s="2" t="str">
        <v>Comp 313</v>
      </c>
      <c r="O322" s="2" t="str">
        <v>Suporte de Celular Branco</v>
      </c>
      <c r="P322" s="8" t="str">
        <v>16-4EDB-WMZF</v>
      </c>
      <c r="Q322" s="4">
        <v>45623</v>
      </c>
      <c r="R322" s="109">
        <v>19.3</v>
      </c>
      <c r="S322" s="11">
        <f ca="1"/>
        <v>19.3</v>
      </c>
      <c r="T322" s="28">
        <f ca="1"/>
        <v>2.895</v>
      </c>
      <c r="U322" s="11">
        <f ca="1"/>
        <v>16.41</v>
      </c>
      <c r="V322" s="11">
        <v>4.99</v>
      </c>
      <c r="W322" s="11">
        <f ca="1"/>
        <v>0.27</v>
      </c>
      <c r="X322" s="11">
        <f ca="1"/>
        <v>0.39877104377104378</v>
      </c>
      <c r="Y322" s="11">
        <v>0</v>
      </c>
      <c r="Z322" s="11">
        <f ca="1"/>
        <v>10.751228956228957</v>
      </c>
      <c r="AA322" s="11">
        <f ca="1"/>
        <v>5.3756144781144783</v>
      </c>
      <c r="AB322" s="4">
        <f ca="1"/>
        <v>45630</v>
      </c>
      <c r="AC322" s="4">
        <v>45630</v>
      </c>
      <c r="AD322" s="9">
        <v>45637</v>
      </c>
      <c r="AE322" s="9">
        <v>45642</v>
      </c>
      <c r="AF322" s="4" t="str">
        <f t="shared" ref="AF322:AF386" ca="1" si="5">_xlfn.CONCAT(PROPER(TEXT(AB322,"aaaa"))," ",PROPER(TEXT(AB322,"mm")))</f>
        <v>2024 12</v>
      </c>
      <c r="AG322" s="8" t="str" cm="1">
        <f t="array" ref="AG322">IFERROR(_xlfn.IFS('Banco de Dados'!#REF!="AG. COMPRA","Em processamento",'Banco de Dados'!#REF!="AG. RASTREIO","Em processamento",'Banco de Dados'!$AE322&lt;&gt;"-","Faturado",'Banco de Dados'!$AD322&lt;&gt;"-","Aguardando Pix",'Banco de Dados'!$AC322&lt;&gt;"-","Pendente"),"Aguardando Liberação")</f>
        <v>Aguardando Liberação</v>
      </c>
      <c r="AH322" s="5" t="str">
        <f>IF('Banco de Dados'!$F322="-",_xlfn.CONCAT(PROPER(TEXT(AK322,"aaaa"))," ",PROPER(TEXT(AK322,"mm"))),_xlfn.CONCAT(PROPER(TEXT(E322,"aaaa"))," ",PROPER(TEXT(E322,"mm"))))</f>
        <v>2024 11</v>
      </c>
      <c r="AI322" s="9" t="str">
        <f ca="1">IF('Banco de Dados'!$AK322&lt;&gt;"-","REEMBOLSO",IFERROR(_xlfn.XLOOKUP(G322,Follow[CODRASTREIO],Follow[STATUS]),"-"))</f>
        <v>ENTREGUE</v>
      </c>
      <c r="AJ322" s="9">
        <f ca="1">IF('Banco de Dados'!$AI322="ENTREGUE",_xlfn.XLOOKUP('Banco de Dados'!$G322,Follow[CODRASTREIO],Follow[DATAATUALIZAÇÃO]),"-")</f>
        <v>45621</v>
      </c>
      <c r="AK322" s="9" t="str">
        <f ca="1"/>
        <v>-</v>
      </c>
      <c r="AL322" s="35"/>
      <c r="AM322" s="109" cm="1">
        <f t="array" aca="1" ref="AM322" ca="1">IF('Banco de Dados'!$AK322&lt;&gt;"-",_xlfn.IFS('Banco de Dados'!$A322="bv",IF('Banco de Dados'!$E322&lt;45641,ROUND(SUM('Banco de Dados'!$R322*_xlfn.XLOOKUP('Banco de Dados'!$P322,Sku!B:B,Sku!#REF!)*20%),2),ROUND(SUM('Banco de Dados'!$R322*_xlfn.XLOOKUP('Banco de Dados'!$P322,Sku!B:B,Sku!H:H)*20%),2)),'Banco de Dados'!$A322="GO",ROUND(_xlfn.XLOOKUP('Banco de Dados'!$P322,Sku!C:C,Sku!H:H),2),'Banco de Dados'!$A322="MEI",ROUND(_xlfn.XLOOKUP('Banco de Dados'!$P322,Sku!D:D,Sku!H:H),2)),0)</f>
        <v>0</v>
      </c>
      <c r="AN322" s="109">
        <f ca="1">IF('Banco de Dados'!$AK322&lt;&gt;"-",IF('Banco de Dados'!$F322&lt;&gt;"-",_xlfn.XLOOKUP(IFERROR(IFERROR(IFERROR(VALUE(SUBSTITUTE(MID(_xlfn.TEXTAFTER('Banco de Dados'!$F322,"Data do Pedido:
",1),1,10),"-","/")),VALUE(SUBSTITUTE(MID(_xlfn.TEXTAFTER('Banco de Dados'!$F322,"Order date:
",1),1,10),"-","/"))),VALUE(SUBSTITUTE(MID(_xlfn.TEXTAFTER('Banco de Dados'!$F322,"Fecha de pedido:
",1),1,10),"-","/"))),"-"),SMS!A:A,SMS!K:K),0),0)</f>
        <v>0</v>
      </c>
      <c r="AO322" s="109">
        <f ca="1">IF('Banco de Dados'!$AK322&lt;&gt;"-",IF('Banco de Dados'!$F322&lt;&gt;"-",IFERROR(_xlfn.XLOOKUP(_xlfn.CONCAT('Banco de Dados'!$A322,IFERROR(IFERROR(VALUE(SUBSTITUTE(MID(_xlfn.TEXTAFTER('Banco de Dados'!$F322,"Data do Pedido:
",1),1,10),"-","/")),VALUE(SUBSTITUTE(MID(_xlfn.TEXTAFTER('Banco de Dados'!$F322,"Order date:
",1),1,10),"-","/"))),0)),ProxyDD[Chave],ProxyDD[Valor por pedido]),PROXY!$P$2),0),0)</f>
        <v>0</v>
      </c>
      <c r="AP322" s="28">
        <f ca="1">IF('Banco de Dados'!$AK322&lt;&gt;"-",IF('Banco de Dados'!$AL322="NÃO",IFERROR(VALUE(SUBSTITUTE(_xlfn.TEXTAFTER('Banco de Dados'!$F322,"BRL ",1),".",",")),0),0),0)</f>
        <v>0</v>
      </c>
      <c r="AQ322" s="28">
        <f ca="1">SUM('Banco de Dados'!$AM322:$AP322)</f>
        <v>0</v>
      </c>
      <c r="AR322" s="8"/>
      <c r="AS322" s="8"/>
      <c r="AY322" s="8"/>
    </row>
    <row r="323" spans="1:51">
      <c r="A323" s="5" t="str">
        <v>BV</v>
      </c>
      <c r="B323" s="5" t="str">
        <f ca="1"/>
        <v>BV45604</v>
      </c>
      <c r="C323" s="8" t="str">
        <v>Pedido 320</v>
      </c>
      <c r="D323" s="9">
        <v>45604</v>
      </c>
      <c r="E323" s="9">
        <v>45604</v>
      </c>
      <c r="F323" s="8" t="str">
        <v>PedidoF313</v>
      </c>
      <c r="G323" s="2" t="str">
        <v>CódRastreio313</v>
      </c>
      <c r="H323" s="5">
        <v>1</v>
      </c>
      <c r="I323" s="182" t="str">
        <v>CPF 314</v>
      </c>
      <c r="J323" s="2" t="str">
        <v>Nome 314</v>
      </c>
      <c r="K323" s="8" t="str">
        <v>Tel 314</v>
      </c>
      <c r="L323" s="2" t="str">
        <v>Cep 314</v>
      </c>
      <c r="M323" s="2" t="str">
        <v>Rua 314</v>
      </c>
      <c r="N323" s="2" t="str">
        <v>Comp 314</v>
      </c>
      <c r="O323" s="2" t="str">
        <v>Mini Liquidificador</v>
      </c>
      <c r="P323" s="8" t="str">
        <v>CK-YL6M-P5Y6</v>
      </c>
      <c r="Q323" s="4">
        <v>45629</v>
      </c>
      <c r="R323" s="109">
        <v>32.299999999999997</v>
      </c>
      <c r="S323" s="11">
        <f ca="1"/>
        <v>32.299999999999997</v>
      </c>
      <c r="T323" s="28">
        <f ca="1"/>
        <v>4.1989999999999998</v>
      </c>
      <c r="U323" s="11">
        <f ca="1"/>
        <v>28.1</v>
      </c>
      <c r="V323" s="11">
        <v>11.99</v>
      </c>
      <c r="W323" s="11">
        <f ca="1"/>
        <v>0.27</v>
      </c>
      <c r="X323" s="11">
        <f ca="1"/>
        <v>0.39877104377104378</v>
      </c>
      <c r="Y323" s="11">
        <v>0</v>
      </c>
      <c r="Z323" s="11">
        <f ca="1"/>
        <v>15.441228956228958</v>
      </c>
      <c r="AA323" s="11">
        <f ca="1"/>
        <v>7.720614478114479</v>
      </c>
      <c r="AB323" s="4">
        <f ca="1"/>
        <v>45636</v>
      </c>
      <c r="AC323" s="4">
        <v>45636</v>
      </c>
      <c r="AD323" s="9">
        <v>45637</v>
      </c>
      <c r="AE323" s="9">
        <v>45642</v>
      </c>
      <c r="AF323" s="4" t="str">
        <f t="shared" ca="1" si="5"/>
        <v>2024 12</v>
      </c>
      <c r="AG323" s="8" t="str" cm="1">
        <f t="array" ref="AG323">IFERROR(_xlfn.IFS('Banco de Dados'!#REF!="AG. COMPRA","Em processamento",'Banco de Dados'!#REF!="AG. RASTREIO","Em processamento",'Banco de Dados'!$AE323&lt;&gt;"-","Faturado",'Banco de Dados'!$AD323&lt;&gt;"-","Aguardando Pix",'Banco de Dados'!$AC323&lt;&gt;"-","Pendente"),"Aguardando Liberação")</f>
        <v>Aguardando Liberação</v>
      </c>
      <c r="AH323" s="5" t="str">
        <f>IF('Banco de Dados'!$F323="-",_xlfn.CONCAT(PROPER(TEXT(AK323,"aaaa"))," ",PROPER(TEXT(AK323,"mm"))),_xlfn.CONCAT(PROPER(TEXT(E323,"aaaa"))," ",PROPER(TEXT(E323,"mm"))))</f>
        <v>2024 11</v>
      </c>
      <c r="AI323" s="9" t="str">
        <f ca="1">IF('Banco de Dados'!$AK323&lt;&gt;"-","REEMBOLSO",IFERROR(_xlfn.XLOOKUP(G323,Follow[CODRASTREIO],Follow[STATUS]),"-"))</f>
        <v>ENTREGUE</v>
      </c>
      <c r="AJ323" s="9">
        <f ca="1">IF('Banco de Dados'!$AI323="ENTREGUE",_xlfn.XLOOKUP('Banco de Dados'!$G323,Follow[CODRASTREIO],Follow[DATAATUALIZAÇÃO]),"-")</f>
        <v>45615</v>
      </c>
      <c r="AK323" s="9" t="str">
        <f ca="1"/>
        <v>-</v>
      </c>
      <c r="AL323" s="35"/>
      <c r="AM323" s="109" cm="1">
        <f t="array" aca="1" ref="AM323" ca="1">IF('Banco de Dados'!$AK323&lt;&gt;"-",_xlfn.IFS('Banco de Dados'!$A323="bv",IF('Banco de Dados'!$E323&lt;45641,ROUND(SUM('Banco de Dados'!$R323*_xlfn.XLOOKUP('Banco de Dados'!$P323,Sku!B:B,Sku!#REF!)*20%),2),ROUND(SUM('Banco de Dados'!$R323*_xlfn.XLOOKUP('Banco de Dados'!$P323,Sku!B:B,Sku!H:H)*20%),2)),'Banco de Dados'!$A323="GO",ROUND(_xlfn.XLOOKUP('Banco de Dados'!$P323,Sku!C:C,Sku!H:H),2),'Banco de Dados'!$A323="MEI",ROUND(_xlfn.XLOOKUP('Banco de Dados'!$P323,Sku!D:D,Sku!H:H),2)),0)</f>
        <v>0</v>
      </c>
      <c r="AN323" s="109">
        <f ca="1">IF('Banco de Dados'!$AK323&lt;&gt;"-",IF('Banco de Dados'!$F323&lt;&gt;"-",_xlfn.XLOOKUP(IFERROR(IFERROR(IFERROR(VALUE(SUBSTITUTE(MID(_xlfn.TEXTAFTER('Banco de Dados'!$F323,"Data do Pedido:
",1),1,10),"-","/")),VALUE(SUBSTITUTE(MID(_xlfn.TEXTAFTER('Banco de Dados'!$F323,"Order date:
",1),1,10),"-","/"))),VALUE(SUBSTITUTE(MID(_xlfn.TEXTAFTER('Banco de Dados'!$F323,"Fecha de pedido:
",1),1,10),"-","/"))),"-"),SMS!A:A,SMS!K:K),0),0)</f>
        <v>0</v>
      </c>
      <c r="AO323" s="109">
        <f ca="1">IF('Banco de Dados'!$AK323&lt;&gt;"-",IF('Banco de Dados'!$F323&lt;&gt;"-",IFERROR(_xlfn.XLOOKUP(_xlfn.CONCAT('Banco de Dados'!$A323,IFERROR(IFERROR(VALUE(SUBSTITUTE(MID(_xlfn.TEXTAFTER('Banco de Dados'!$F323,"Data do Pedido:
",1),1,10),"-","/")),VALUE(SUBSTITUTE(MID(_xlfn.TEXTAFTER('Banco de Dados'!$F323,"Order date:
",1),1,10),"-","/"))),0)),ProxyDD[Chave],ProxyDD[Valor por pedido]),PROXY!$P$2),0),0)</f>
        <v>0</v>
      </c>
      <c r="AP323" s="28">
        <f ca="1">IF('Banco de Dados'!$AK323&lt;&gt;"-",IF('Banco de Dados'!$AL323="NÃO",IFERROR(VALUE(SUBSTITUTE(_xlfn.TEXTAFTER('Banco de Dados'!$F323,"BRL ",1),".",",")),0),0),0)</f>
        <v>0</v>
      </c>
      <c r="AQ323" s="28">
        <f ca="1">SUM('Banco de Dados'!$AM323:$AP323)</f>
        <v>0</v>
      </c>
      <c r="AR323" s="8"/>
      <c r="AS323" s="8"/>
      <c r="AY323" s="8"/>
    </row>
    <row r="324" spans="1:51">
      <c r="A324" s="5" t="str">
        <v>BV</v>
      </c>
      <c r="B324" s="5" t="str">
        <f ca="1"/>
        <v>BV45604</v>
      </c>
      <c r="C324" s="8" t="str">
        <v>Pedido 321</v>
      </c>
      <c r="D324" s="9">
        <v>45604</v>
      </c>
      <c r="E324" s="9">
        <v>45604</v>
      </c>
      <c r="F324" s="8" t="str">
        <v>PedidoF314</v>
      </c>
      <c r="G324" s="2" t="str">
        <v>CódRastreio314</v>
      </c>
      <c r="H324" s="5">
        <v>1</v>
      </c>
      <c r="I324" s="182" t="str">
        <v>CPF 315</v>
      </c>
      <c r="J324" s="2" t="str">
        <v>Nome 315</v>
      </c>
      <c r="K324" s="8" t="str">
        <v>Tel 315</v>
      </c>
      <c r="L324" s="2" t="str">
        <v>Cep 315</v>
      </c>
      <c r="M324" s="2" t="str">
        <v>Rua 315</v>
      </c>
      <c r="N324" s="2" t="str">
        <v>Comp 315</v>
      </c>
      <c r="O324" s="2" t="str">
        <v>Ventilador de teto</v>
      </c>
      <c r="P324" s="8" t="str">
        <v>ZO-J9IL-EN6L</v>
      </c>
      <c r="Q324" s="4">
        <v>45633</v>
      </c>
      <c r="R324" s="109">
        <v>49.99</v>
      </c>
      <c r="S324" s="11">
        <f ca="1"/>
        <v>0</v>
      </c>
      <c r="T324" s="28">
        <f ca="1"/>
        <v>0</v>
      </c>
      <c r="U324" s="11">
        <f ca="1"/>
        <v>0</v>
      </c>
      <c r="V324" s="11">
        <v>0</v>
      </c>
      <c r="W324" s="11">
        <f ca="1"/>
        <v>0</v>
      </c>
      <c r="X324" s="11">
        <f ca="1"/>
        <v>0.39877104377104378</v>
      </c>
      <c r="Y324" s="11">
        <v>0</v>
      </c>
      <c r="Z324" s="11">
        <f ca="1"/>
        <v>-0.39877104377104378</v>
      </c>
      <c r="AA324" s="11">
        <f ca="1"/>
        <v>-0.19938552188552189</v>
      </c>
      <c r="AB324" s="4">
        <f ca="1"/>
        <v>45640</v>
      </c>
      <c r="AC324" s="4">
        <v>45645</v>
      </c>
      <c r="AD324" s="9">
        <v>45640</v>
      </c>
      <c r="AE324" s="9">
        <v>45642</v>
      </c>
      <c r="AF324" s="4" t="str">
        <f t="shared" ca="1" si="5"/>
        <v>2024 12</v>
      </c>
      <c r="AG324" s="8" t="str" cm="1">
        <f t="array" ref="AG324">IFERROR(_xlfn.IFS('Banco de Dados'!#REF!="AG. COMPRA","Em processamento",'Banco de Dados'!#REF!="AG. RASTREIO","Em processamento",'Banco de Dados'!$AE324&lt;&gt;"-","Faturado",'Banco de Dados'!$AD324&lt;&gt;"-","Aguardando Pix",'Banco de Dados'!$AC324&lt;&gt;"-","Pendente"),"Aguardando Liberação")</f>
        <v>Aguardando Liberação</v>
      </c>
      <c r="AH324" s="5" t="str">
        <f>IF('Banco de Dados'!$F324="-",_xlfn.CONCAT(PROPER(TEXT(AK324,"aaaa"))," ",PROPER(TEXT(AK324,"mm"))),_xlfn.CONCAT(PROPER(TEXT(E324,"aaaa"))," ",PROPER(TEXT(E324,"mm"))))</f>
        <v>2024 11</v>
      </c>
      <c r="AI324" s="9" t="str">
        <f ca="1">IF('Banco de Dados'!$AK324&lt;&gt;"-","REEMBOLSO",IFERROR(_xlfn.XLOOKUP(G324,Follow[CODRASTREIO],Follow[STATUS]),"-"))</f>
        <v>REEMBOLSO</v>
      </c>
      <c r="AJ324" s="9" t="str">
        <f ca="1">IF('Banco de Dados'!$AI324="ENTREGUE",_xlfn.XLOOKUP('Banco de Dados'!$G324,Follow[CODRASTREIO],Follow[DATAATUALIZAÇÃO]),"-")</f>
        <v>-</v>
      </c>
      <c r="AK324" s="9">
        <f ca="1"/>
        <v>45645</v>
      </c>
      <c r="AL324" s="35"/>
      <c r="AM324" s="109" t="e" cm="1">
        <f t="array" aca="1" ref="AM324" ca="1">IF('Banco de Dados'!$AK324&lt;&gt;"-",_xlfn.IFS('Banco de Dados'!$A324="bv",IF('Banco de Dados'!$E324&lt;45641,ROUND(SUM('Banco de Dados'!$R324*_xlfn.XLOOKUP('Banco de Dados'!$P324,Sku!B:B,Sku!#REF!)*20%),2),ROUND(SUM('Banco de Dados'!$R324*_xlfn.XLOOKUP('Banco de Dados'!$P324,Sku!B:B,Sku!H:H)*20%),2)),'Banco de Dados'!$A324="GO",ROUND(_xlfn.XLOOKUP('Banco de Dados'!$P324,Sku!C:C,Sku!H:H),2),'Banco de Dados'!$A324="MEI",ROUND(_xlfn.XLOOKUP('Banco de Dados'!$P324,Sku!D:D,Sku!H:H),2)),0)</f>
        <v>#REF!</v>
      </c>
      <c r="AN324" s="109" t="e">
        <f ca="1">IF('Banco de Dados'!$AK324&lt;&gt;"-",IF('Banco de Dados'!$F324&lt;&gt;"-",_xlfn.XLOOKUP(IFERROR(IFERROR(IFERROR(VALUE(SUBSTITUTE(MID(_xlfn.TEXTAFTER('Banco de Dados'!$F324,"Data do Pedido:
",1),1,10),"-","/")),VALUE(SUBSTITUTE(MID(_xlfn.TEXTAFTER('Banco de Dados'!$F324,"Order date:
",1),1,10),"-","/"))),VALUE(SUBSTITUTE(MID(_xlfn.TEXTAFTER('Banco de Dados'!$F324,"Fecha de pedido:
",1),1,10),"-","/"))),"-"),SMS!A:A,SMS!K:K),0),0)</f>
        <v>#N/A</v>
      </c>
      <c r="AO324" s="109">
        <f ca="1">IF('Banco de Dados'!$AK324&lt;&gt;"-",IF('Banco de Dados'!$F324&lt;&gt;"-",IFERROR(_xlfn.XLOOKUP(_xlfn.CONCAT('Banco de Dados'!$A324,IFERROR(IFERROR(VALUE(SUBSTITUTE(MID(_xlfn.TEXTAFTER('Banco de Dados'!$F324,"Data do Pedido:
",1),1,10),"-","/")),VALUE(SUBSTITUTE(MID(_xlfn.TEXTAFTER('Banco de Dados'!$F324,"Order date:
",1),1,10),"-","/"))),0)),ProxyDD[Chave],ProxyDD[Valor por pedido]),PROXY!$P$2),0),0)</f>
        <v>0.39877104377104378</v>
      </c>
      <c r="AP324" s="28">
        <f ca="1">IF('Banco de Dados'!$AK324&lt;&gt;"-",IF('Banco de Dados'!$AL324="NÃO",IFERROR(VALUE(SUBSTITUTE(_xlfn.TEXTAFTER('Banco de Dados'!$F324,"BRL ",1),".",",")),0),0),0)</f>
        <v>0</v>
      </c>
      <c r="AQ324" s="28" t="e">
        <f ca="1">SUM('Banco de Dados'!$AM324:$AP324)</f>
        <v>#REF!</v>
      </c>
      <c r="AR324" s="8"/>
      <c r="AS324" s="8"/>
      <c r="AY324" s="8"/>
    </row>
    <row r="325" spans="1:51">
      <c r="A325" s="5" t="str">
        <v>BV</v>
      </c>
      <c r="B325" s="5" t="str">
        <f ca="1"/>
        <v>BV45604</v>
      </c>
      <c r="C325" s="8" t="str">
        <v>Pedido 322</v>
      </c>
      <c r="D325" s="9">
        <v>45604</v>
      </c>
      <c r="E325" s="9">
        <v>45604</v>
      </c>
      <c r="F325" s="8" t="str">
        <v>PedidoF315</v>
      </c>
      <c r="G325" s="2" t="str">
        <v>CódRastreio315</v>
      </c>
      <c r="H325" s="5">
        <v>1</v>
      </c>
      <c r="I325" s="182" t="str">
        <v>CPF 316</v>
      </c>
      <c r="J325" s="2" t="str">
        <v>Nome 316</v>
      </c>
      <c r="K325" s="8" t="str">
        <v>Tel 316</v>
      </c>
      <c r="L325" s="2" t="str">
        <v>Cep 316</v>
      </c>
      <c r="M325" s="2" t="str">
        <v>Rua 316</v>
      </c>
      <c r="N325" s="2" t="str">
        <v>Comp 316</v>
      </c>
      <c r="O325" s="2" t="str">
        <v>Ventilador de teto</v>
      </c>
      <c r="P325" s="8" t="str">
        <v>ZO-J9IL-EN6L</v>
      </c>
      <c r="Q325" s="4">
        <v>45629</v>
      </c>
      <c r="R325" s="109">
        <v>49.99</v>
      </c>
      <c r="S325" s="11">
        <f ca="1"/>
        <v>49.99</v>
      </c>
      <c r="T325" s="28">
        <f ca="1"/>
        <v>6.9986000000000006</v>
      </c>
      <c r="U325" s="11">
        <f ca="1"/>
        <v>42.99</v>
      </c>
      <c r="V325" s="11">
        <v>7.27</v>
      </c>
      <c r="W325" s="11">
        <f ca="1"/>
        <v>0.27</v>
      </c>
      <c r="X325" s="11">
        <f ca="1"/>
        <v>0.39877104377104378</v>
      </c>
      <c r="Y325" s="11">
        <v>0</v>
      </c>
      <c r="Z325" s="11">
        <f ca="1"/>
        <v>35.051228956228961</v>
      </c>
      <c r="AA325" s="11">
        <f ca="1"/>
        <v>17.52561447811448</v>
      </c>
      <c r="AB325" s="4">
        <f ca="1"/>
        <v>45636</v>
      </c>
      <c r="AC325" s="4">
        <v>45636</v>
      </c>
      <c r="AD325" s="9">
        <v>45637</v>
      </c>
      <c r="AE325" s="9">
        <v>45642</v>
      </c>
      <c r="AF325" s="4" t="str">
        <f t="shared" ca="1" si="5"/>
        <v>2024 12</v>
      </c>
      <c r="AG325" s="8" t="str" cm="1">
        <f t="array" ref="AG325">IFERROR(_xlfn.IFS('Banco de Dados'!#REF!="AG. COMPRA","Em processamento",'Banco de Dados'!#REF!="AG. RASTREIO","Em processamento",'Banco de Dados'!$AE325&lt;&gt;"-","Faturado",'Banco de Dados'!$AD325&lt;&gt;"-","Aguardando Pix",'Banco de Dados'!$AC325&lt;&gt;"-","Pendente"),"Aguardando Liberação")</f>
        <v>Aguardando Liberação</v>
      </c>
      <c r="AH325" s="5" t="str">
        <f>IF('Banco de Dados'!$F325="-",_xlfn.CONCAT(PROPER(TEXT(AK325,"aaaa"))," ",PROPER(TEXT(AK325,"mm"))),_xlfn.CONCAT(PROPER(TEXT(E325,"aaaa"))," ",PROPER(TEXT(E325,"mm"))))</f>
        <v>2024 11</v>
      </c>
      <c r="AI325" s="9" t="str">
        <f ca="1">IF('Banco de Dados'!$AK325&lt;&gt;"-","REEMBOLSO",IFERROR(_xlfn.XLOOKUP(G325,Follow[CODRASTREIO],Follow[STATUS]),"-"))</f>
        <v>ENTREGUE</v>
      </c>
      <c r="AJ325" s="9">
        <f ca="1">IF('Banco de Dados'!$AI325="ENTREGUE",_xlfn.XLOOKUP('Banco de Dados'!$G325,Follow[CODRASTREIO],Follow[DATAATUALIZAÇÃO]),"-")</f>
        <v>45617</v>
      </c>
      <c r="AK325" s="9" t="str">
        <f ca="1"/>
        <v>-</v>
      </c>
      <c r="AL325" s="35"/>
      <c r="AM325" s="109" cm="1">
        <f t="array" aca="1" ref="AM325" ca="1">IF('Banco de Dados'!$AK325&lt;&gt;"-",_xlfn.IFS('Banco de Dados'!$A325="bv",IF('Banco de Dados'!$E325&lt;45641,ROUND(SUM('Banco de Dados'!$R325*_xlfn.XLOOKUP('Banco de Dados'!$P325,Sku!B:B,Sku!#REF!)*20%),2),ROUND(SUM('Banco de Dados'!$R325*_xlfn.XLOOKUP('Banco de Dados'!$P325,Sku!B:B,Sku!H:H)*20%),2)),'Banco de Dados'!$A325="GO",ROUND(_xlfn.XLOOKUP('Banco de Dados'!$P325,Sku!C:C,Sku!H:H),2),'Banco de Dados'!$A325="MEI",ROUND(_xlfn.XLOOKUP('Banco de Dados'!$P325,Sku!D:D,Sku!H:H),2)),0)</f>
        <v>0</v>
      </c>
      <c r="AN325" s="109">
        <f ca="1">IF('Banco de Dados'!$AK325&lt;&gt;"-",IF('Banco de Dados'!$F325&lt;&gt;"-",_xlfn.XLOOKUP(IFERROR(IFERROR(IFERROR(VALUE(SUBSTITUTE(MID(_xlfn.TEXTAFTER('Banco de Dados'!$F325,"Data do Pedido:
",1),1,10),"-","/")),VALUE(SUBSTITUTE(MID(_xlfn.TEXTAFTER('Banco de Dados'!$F325,"Order date:
",1),1,10),"-","/"))),VALUE(SUBSTITUTE(MID(_xlfn.TEXTAFTER('Banco de Dados'!$F325,"Fecha de pedido:
",1),1,10),"-","/"))),"-"),SMS!A:A,SMS!K:K),0),0)</f>
        <v>0</v>
      </c>
      <c r="AO325" s="109">
        <f ca="1">IF('Banco de Dados'!$AK325&lt;&gt;"-",IF('Banco de Dados'!$F325&lt;&gt;"-",IFERROR(_xlfn.XLOOKUP(_xlfn.CONCAT('Banco de Dados'!$A325,IFERROR(IFERROR(VALUE(SUBSTITUTE(MID(_xlfn.TEXTAFTER('Banco de Dados'!$F325,"Data do Pedido:
",1),1,10),"-","/")),VALUE(SUBSTITUTE(MID(_xlfn.TEXTAFTER('Banco de Dados'!$F325,"Order date:
",1),1,10),"-","/"))),0)),ProxyDD[Chave],ProxyDD[Valor por pedido]),PROXY!$P$2),0),0)</f>
        <v>0</v>
      </c>
      <c r="AP325" s="28">
        <f ca="1">IF('Banco de Dados'!$AK325&lt;&gt;"-",IF('Banco de Dados'!$AL325="NÃO",IFERROR(VALUE(SUBSTITUTE(_xlfn.TEXTAFTER('Banco de Dados'!$F325,"BRL ",1),".",",")),0),0),0)</f>
        <v>0</v>
      </c>
      <c r="AQ325" s="28">
        <f ca="1">SUM('Banco de Dados'!$AM325:$AP325)</f>
        <v>0</v>
      </c>
      <c r="AR325" s="8"/>
      <c r="AS325" s="8"/>
      <c r="AY325" s="8"/>
    </row>
    <row r="326" spans="1:51">
      <c r="A326" s="5" t="str">
        <v>BV</v>
      </c>
      <c r="B326" s="5" t="str">
        <f ca="1"/>
        <v>BV45604</v>
      </c>
      <c r="C326" s="8" t="str">
        <v>Pedido 323</v>
      </c>
      <c r="D326" s="9">
        <v>45604</v>
      </c>
      <c r="E326" s="9">
        <v>45604</v>
      </c>
      <c r="F326" s="8" t="str">
        <v>PedidoF316</v>
      </c>
      <c r="G326" s="2" t="str">
        <v>CódRastreio316</v>
      </c>
      <c r="H326" s="5">
        <v>1</v>
      </c>
      <c r="I326" s="182" t="str">
        <v>CPF 317</v>
      </c>
      <c r="J326" s="2" t="str">
        <v>Nome 317</v>
      </c>
      <c r="K326" s="8" t="str">
        <v>Tel 317</v>
      </c>
      <c r="L326" s="2" t="str">
        <v>Cep 317</v>
      </c>
      <c r="M326" s="2" t="str">
        <v>Rua 317</v>
      </c>
      <c r="N326" s="2" t="str">
        <v>Comp 317</v>
      </c>
      <c r="O326" s="2" t="str">
        <v>Mini Liquidificador</v>
      </c>
      <c r="P326" s="8" t="str">
        <v>CK-YL6M-P5Y6</v>
      </c>
      <c r="Q326" s="4">
        <v>45629</v>
      </c>
      <c r="R326" s="109">
        <v>32.299999999999997</v>
      </c>
      <c r="S326" s="11">
        <f ca="1"/>
        <v>32.299999999999997</v>
      </c>
      <c r="T326" s="28">
        <f ca="1"/>
        <v>4.1989999999999998</v>
      </c>
      <c r="U326" s="11">
        <f ca="1"/>
        <v>28.1</v>
      </c>
      <c r="V326" s="11">
        <v>11.99</v>
      </c>
      <c r="W326" s="11">
        <f ca="1"/>
        <v>0.27</v>
      </c>
      <c r="X326" s="11">
        <f ca="1"/>
        <v>0.39877104377104378</v>
      </c>
      <c r="Y326" s="11">
        <v>0</v>
      </c>
      <c r="Z326" s="11">
        <f ca="1"/>
        <v>15.441228956228958</v>
      </c>
      <c r="AA326" s="11">
        <f ca="1"/>
        <v>7.720614478114479</v>
      </c>
      <c r="AB326" s="4">
        <f ca="1"/>
        <v>45636</v>
      </c>
      <c r="AC326" s="4">
        <v>45636</v>
      </c>
      <c r="AD326" s="9">
        <v>45637</v>
      </c>
      <c r="AE326" s="9">
        <v>45642</v>
      </c>
      <c r="AF326" s="4" t="str">
        <f t="shared" ca="1" si="5"/>
        <v>2024 12</v>
      </c>
      <c r="AG326" s="8" t="str" cm="1">
        <f t="array" ref="AG326">IFERROR(_xlfn.IFS('Banco de Dados'!#REF!="AG. COMPRA","Em processamento",'Banco de Dados'!#REF!="AG. RASTREIO","Em processamento",'Banco de Dados'!$AE326&lt;&gt;"-","Faturado",'Banco de Dados'!$AD326&lt;&gt;"-","Aguardando Pix",'Banco de Dados'!$AC326&lt;&gt;"-","Pendente"),"Aguardando Liberação")</f>
        <v>Aguardando Liberação</v>
      </c>
      <c r="AH326" s="5" t="str">
        <f>IF('Banco de Dados'!$F326="-",_xlfn.CONCAT(PROPER(TEXT(AK326,"aaaa"))," ",PROPER(TEXT(AK326,"mm"))),_xlfn.CONCAT(PROPER(TEXT(E326,"aaaa"))," ",PROPER(TEXT(E326,"mm"))))</f>
        <v>2024 11</v>
      </c>
      <c r="AI326" s="9" t="str">
        <f ca="1">IF('Banco de Dados'!$AK326&lt;&gt;"-","REEMBOLSO",IFERROR(_xlfn.XLOOKUP(G326,Follow[CODRASTREIO],Follow[STATUS]),"-"))</f>
        <v>ENTREGUE</v>
      </c>
      <c r="AJ326" s="9">
        <f ca="1">IF('Banco de Dados'!$AI326="ENTREGUE",_xlfn.XLOOKUP('Banco de Dados'!$G326,Follow[CODRASTREIO],Follow[DATAATUALIZAÇÃO]),"-")</f>
        <v>45611</v>
      </c>
      <c r="AK326" s="9" t="str">
        <f ca="1"/>
        <v>-</v>
      </c>
      <c r="AL326" s="35"/>
      <c r="AM326" s="109" cm="1">
        <f t="array" aca="1" ref="AM326" ca="1">IF('Banco de Dados'!$AK326&lt;&gt;"-",_xlfn.IFS('Banco de Dados'!$A326="bv",IF('Banco de Dados'!$E326&lt;45641,ROUND(SUM('Banco de Dados'!$R326*_xlfn.XLOOKUP('Banco de Dados'!$P326,Sku!B:B,Sku!#REF!)*20%),2),ROUND(SUM('Banco de Dados'!$R326*_xlfn.XLOOKUP('Banco de Dados'!$P326,Sku!B:B,Sku!H:H)*20%),2)),'Banco de Dados'!$A326="GO",ROUND(_xlfn.XLOOKUP('Banco de Dados'!$P326,Sku!C:C,Sku!H:H),2),'Banco de Dados'!$A326="MEI",ROUND(_xlfn.XLOOKUP('Banco de Dados'!$P326,Sku!D:D,Sku!H:H),2)),0)</f>
        <v>0</v>
      </c>
      <c r="AN326" s="109">
        <f ca="1">IF('Banco de Dados'!$AK326&lt;&gt;"-",IF('Banco de Dados'!$F326&lt;&gt;"-",_xlfn.XLOOKUP(IFERROR(IFERROR(IFERROR(VALUE(SUBSTITUTE(MID(_xlfn.TEXTAFTER('Banco de Dados'!$F326,"Data do Pedido:
",1),1,10),"-","/")),VALUE(SUBSTITUTE(MID(_xlfn.TEXTAFTER('Banco de Dados'!$F326,"Order date:
",1),1,10),"-","/"))),VALUE(SUBSTITUTE(MID(_xlfn.TEXTAFTER('Banco de Dados'!$F326,"Fecha de pedido:
",1),1,10),"-","/"))),"-"),SMS!A:A,SMS!K:K),0),0)</f>
        <v>0</v>
      </c>
      <c r="AO326" s="109">
        <f ca="1">IF('Banco de Dados'!$AK326&lt;&gt;"-",IF('Banco de Dados'!$F326&lt;&gt;"-",IFERROR(_xlfn.XLOOKUP(_xlfn.CONCAT('Banco de Dados'!$A326,IFERROR(IFERROR(VALUE(SUBSTITUTE(MID(_xlfn.TEXTAFTER('Banco de Dados'!$F326,"Data do Pedido:
",1),1,10),"-","/")),VALUE(SUBSTITUTE(MID(_xlfn.TEXTAFTER('Banco de Dados'!$F326,"Order date:
",1),1,10),"-","/"))),0)),ProxyDD[Chave],ProxyDD[Valor por pedido]),PROXY!$P$2),0),0)</f>
        <v>0</v>
      </c>
      <c r="AP326" s="28">
        <f ca="1">IF('Banco de Dados'!$AK326&lt;&gt;"-",IF('Banco de Dados'!$AL326="NÃO",IFERROR(VALUE(SUBSTITUTE(_xlfn.TEXTAFTER('Banco de Dados'!$F326,"BRL ",1),".",",")),0),0),0)</f>
        <v>0</v>
      </c>
      <c r="AQ326" s="28">
        <f ca="1">SUM('Banco de Dados'!$AM326:$AP326)</f>
        <v>0</v>
      </c>
      <c r="AR326" s="8"/>
      <c r="AS326" s="8"/>
      <c r="AY326" s="8"/>
    </row>
    <row r="327" spans="1:51">
      <c r="A327" s="5" t="str">
        <v>BV</v>
      </c>
      <c r="B327" s="5" t="str">
        <f ca="1"/>
        <v>BV45604</v>
      </c>
      <c r="C327" s="8" t="str">
        <v>Pedido 324</v>
      </c>
      <c r="D327" s="9">
        <v>45604</v>
      </c>
      <c r="E327" s="9">
        <v>45604</v>
      </c>
      <c r="F327" s="8" t="str">
        <v>PedidoF317</v>
      </c>
      <c r="G327" s="2" t="str">
        <v>CódRastreio317</v>
      </c>
      <c r="H327" s="5">
        <v>1</v>
      </c>
      <c r="I327" s="182" t="str">
        <v>CPF 318</v>
      </c>
      <c r="J327" s="2" t="str">
        <v>Nome 318</v>
      </c>
      <c r="K327" s="8" t="str">
        <v>Tel 318</v>
      </c>
      <c r="L327" s="2" t="str">
        <v>Cep 318</v>
      </c>
      <c r="M327" s="2" t="str">
        <v>Rua 318</v>
      </c>
      <c r="N327" s="2" t="str">
        <v>Comp 318</v>
      </c>
      <c r="O327" s="2" t="str">
        <v>Ventilador de teto</v>
      </c>
      <c r="P327" s="8" t="str">
        <v>ZO-J9IL-EN6L</v>
      </c>
      <c r="Q327" s="4">
        <v>45640</v>
      </c>
      <c r="R327" s="109">
        <v>49.99</v>
      </c>
      <c r="S327" s="11">
        <f ca="1"/>
        <v>49.99</v>
      </c>
      <c r="T327" s="28">
        <f ca="1"/>
        <v>6.9986000000000006</v>
      </c>
      <c r="U327" s="11">
        <f ca="1"/>
        <v>42.99</v>
      </c>
      <c r="V327" s="11">
        <v>7.27</v>
      </c>
      <c r="W327" s="11">
        <f ca="1"/>
        <v>0.27</v>
      </c>
      <c r="X327" s="11">
        <f ca="1"/>
        <v>0.39877104377104378</v>
      </c>
      <c r="Y327" s="11">
        <v>0</v>
      </c>
      <c r="Z327" s="11">
        <f ca="1"/>
        <v>35.051228956228961</v>
      </c>
      <c r="AA327" s="11">
        <f ca="1"/>
        <v>17.52561447811448</v>
      </c>
      <c r="AB327" s="4">
        <f ca="1"/>
        <v>45647</v>
      </c>
      <c r="AC327" s="4">
        <v>45647</v>
      </c>
      <c r="AD327" s="9">
        <v>45651</v>
      </c>
      <c r="AE327" s="9">
        <v>45659</v>
      </c>
      <c r="AF327" s="4" t="str">
        <f t="shared" ca="1" si="5"/>
        <v>2024 12</v>
      </c>
      <c r="AG327" s="8" t="str" cm="1">
        <f t="array" ref="AG327">IFERROR(_xlfn.IFS('Banco de Dados'!#REF!="AG. COMPRA","Em processamento",'Banco de Dados'!#REF!="AG. RASTREIO","Em processamento",'Banco de Dados'!$AE327&lt;&gt;"-","Faturado",'Banco de Dados'!$AD327&lt;&gt;"-","Aguardando Pix",'Banco de Dados'!$AC327&lt;&gt;"-","Pendente"),"Aguardando Liberação")</f>
        <v>Aguardando Liberação</v>
      </c>
      <c r="AH327" s="5" t="str">
        <f>IF('Banco de Dados'!$F327="-",_xlfn.CONCAT(PROPER(TEXT(AK327,"aaaa"))," ",PROPER(TEXT(AK327,"mm"))),_xlfn.CONCAT(PROPER(TEXT(E327,"aaaa"))," ",PROPER(TEXT(E327,"mm"))))</f>
        <v>2024 11</v>
      </c>
      <c r="AI327" s="9" t="str">
        <f ca="1">IF('Banco de Dados'!$AK327&lt;&gt;"-","REEMBOLSO",IFERROR(_xlfn.XLOOKUP(G327,Follow[CODRASTREIO],Follow[STATUS]),"-"))</f>
        <v>ENTREGUE</v>
      </c>
      <c r="AJ327" s="9">
        <f ca="1">IF('Banco de Dados'!$AI327="ENTREGUE",_xlfn.XLOOKUP('Banco de Dados'!$G327,Follow[CODRASTREIO],Follow[DATAATUALIZAÇÃO]),"-")</f>
        <v>45636</v>
      </c>
      <c r="AK327" s="9" t="str">
        <f ca="1"/>
        <v>-</v>
      </c>
      <c r="AL327" s="35"/>
      <c r="AM327" s="109" cm="1">
        <f t="array" aca="1" ref="AM327" ca="1">IF('Banco de Dados'!$AK327&lt;&gt;"-",_xlfn.IFS('Banco de Dados'!$A327="bv",IF('Banco de Dados'!$E327&lt;45641,ROUND(SUM('Banco de Dados'!$R327*_xlfn.XLOOKUP('Banco de Dados'!$P327,Sku!B:B,Sku!#REF!)*20%),2),ROUND(SUM('Banco de Dados'!$R327*_xlfn.XLOOKUP('Banco de Dados'!$P327,Sku!B:B,Sku!H:H)*20%),2)),'Banco de Dados'!$A327="GO",ROUND(_xlfn.XLOOKUP('Banco de Dados'!$P327,Sku!C:C,Sku!H:H),2),'Banco de Dados'!$A327="MEI",ROUND(_xlfn.XLOOKUP('Banco de Dados'!$P327,Sku!D:D,Sku!H:H),2)),0)</f>
        <v>0</v>
      </c>
      <c r="AN327" s="109">
        <f ca="1">IF('Banco de Dados'!$AK327&lt;&gt;"-",IF('Banco de Dados'!$F327&lt;&gt;"-",_xlfn.XLOOKUP(IFERROR(IFERROR(IFERROR(VALUE(SUBSTITUTE(MID(_xlfn.TEXTAFTER('Banco de Dados'!$F327,"Data do Pedido:
",1),1,10),"-","/")),VALUE(SUBSTITUTE(MID(_xlfn.TEXTAFTER('Banco de Dados'!$F327,"Order date:
",1),1,10),"-","/"))),VALUE(SUBSTITUTE(MID(_xlfn.TEXTAFTER('Banco de Dados'!$F327,"Fecha de pedido:
",1),1,10),"-","/"))),"-"),SMS!A:A,SMS!K:K),0),0)</f>
        <v>0</v>
      </c>
      <c r="AO327" s="109">
        <f ca="1">IF('Banco de Dados'!$AK327&lt;&gt;"-",IF('Banco de Dados'!$F327&lt;&gt;"-",IFERROR(_xlfn.XLOOKUP(_xlfn.CONCAT('Banco de Dados'!$A327,IFERROR(IFERROR(VALUE(SUBSTITUTE(MID(_xlfn.TEXTAFTER('Banco de Dados'!$F327,"Data do Pedido:
",1),1,10),"-","/")),VALUE(SUBSTITUTE(MID(_xlfn.TEXTAFTER('Banco de Dados'!$F327,"Order date:
",1),1,10),"-","/"))),0)),ProxyDD[Chave],ProxyDD[Valor por pedido]),PROXY!$P$2),0),0)</f>
        <v>0</v>
      </c>
      <c r="AP327" s="28">
        <f ca="1">IF('Banco de Dados'!$AK327&lt;&gt;"-",IF('Banco de Dados'!$AL327="NÃO",IFERROR(VALUE(SUBSTITUTE(_xlfn.TEXTAFTER('Banco de Dados'!$F327,"BRL ",1),".",",")),0),0),0)</f>
        <v>0</v>
      </c>
      <c r="AQ327" s="28">
        <f ca="1">SUM('Banco de Dados'!$AM327:$AP327)</f>
        <v>0</v>
      </c>
      <c r="AR327" s="8"/>
      <c r="AS327" s="8"/>
      <c r="AY327" s="8"/>
    </row>
    <row r="328" spans="1:51">
      <c r="A328" s="5" t="str">
        <v>BV</v>
      </c>
      <c r="B328" s="5" t="str">
        <f ca="1"/>
        <v>BV45604</v>
      </c>
      <c r="C328" s="8" t="str">
        <v>Pedido 325</v>
      </c>
      <c r="D328" s="9">
        <v>45604</v>
      </c>
      <c r="E328" s="9">
        <v>45604</v>
      </c>
      <c r="F328" s="8" t="str">
        <v>PedidoF318</v>
      </c>
      <c r="G328" s="2" t="str">
        <v>CódRastreio318</v>
      </c>
      <c r="H328" s="5">
        <v>1</v>
      </c>
      <c r="I328" s="182" t="str">
        <v>CPF 319</v>
      </c>
      <c r="J328" s="2" t="str">
        <v>Nome 319</v>
      </c>
      <c r="K328" s="8" t="str">
        <v>Tel 319</v>
      </c>
      <c r="L328" s="2" t="str">
        <v>Cep 319</v>
      </c>
      <c r="M328" s="2" t="str">
        <v>Rua 319</v>
      </c>
      <c r="N328" s="2" t="str">
        <v>Comp 319</v>
      </c>
      <c r="O328" s="2" t="str">
        <v>Bomba d'agua</v>
      </c>
      <c r="P328" s="8" t="str">
        <v>DJ-RO5O-43GF</v>
      </c>
      <c r="Q328" s="4">
        <v>45623</v>
      </c>
      <c r="R328" s="109">
        <v>18.5</v>
      </c>
      <c r="S328" s="11">
        <f ca="1"/>
        <v>18.5</v>
      </c>
      <c r="T328" s="28">
        <f ca="1"/>
        <v>2.5900000000000003</v>
      </c>
      <c r="U328" s="11">
        <f ca="1"/>
        <v>15.91</v>
      </c>
      <c r="V328" s="11">
        <v>6.57</v>
      </c>
      <c r="W328" s="11">
        <f ca="1"/>
        <v>0.27</v>
      </c>
      <c r="X328" s="11">
        <f ca="1"/>
        <v>0.39877104377104378</v>
      </c>
      <c r="Y328" s="11">
        <v>0</v>
      </c>
      <c r="Z328" s="11">
        <f ca="1"/>
        <v>8.6712289562289566</v>
      </c>
      <c r="AA328" s="11">
        <f ca="1"/>
        <v>4.3356144781144783</v>
      </c>
      <c r="AB328" s="4">
        <f ca="1"/>
        <v>45630</v>
      </c>
      <c r="AC328" s="4">
        <v>45630</v>
      </c>
      <c r="AD328" s="9">
        <v>45637</v>
      </c>
      <c r="AE328" s="9">
        <v>45642</v>
      </c>
      <c r="AF328" s="4" t="str">
        <f t="shared" ca="1" si="5"/>
        <v>2024 12</v>
      </c>
      <c r="AG328" s="8" t="str" cm="1">
        <f t="array" ref="AG328">IFERROR(_xlfn.IFS('Banco de Dados'!#REF!="AG. COMPRA","Em processamento",'Banco de Dados'!#REF!="AG. RASTREIO","Em processamento",'Banco de Dados'!$AE328&lt;&gt;"-","Faturado",'Banco de Dados'!$AD328&lt;&gt;"-","Aguardando Pix",'Banco de Dados'!$AC328&lt;&gt;"-","Pendente"),"Aguardando Liberação")</f>
        <v>Aguardando Liberação</v>
      </c>
      <c r="AH328" s="5" t="str">
        <f>IF('Banco de Dados'!$F328="-",_xlfn.CONCAT(PROPER(TEXT(AK328,"aaaa"))," ",PROPER(TEXT(AK328,"mm"))),_xlfn.CONCAT(PROPER(TEXT(E328,"aaaa"))," ",PROPER(TEXT(E328,"mm"))))</f>
        <v>2024 11</v>
      </c>
      <c r="AI328" s="9" t="str">
        <f ca="1">IF('Banco de Dados'!$AK328&lt;&gt;"-","REEMBOLSO",IFERROR(_xlfn.XLOOKUP(G328,Follow[CODRASTREIO],Follow[STATUS]),"-"))</f>
        <v>ENTREGUE</v>
      </c>
      <c r="AJ328" s="9">
        <f ca="1">IF('Banco de Dados'!$AI328="ENTREGUE",_xlfn.XLOOKUP('Banco de Dados'!$G328,Follow[CODRASTREIO],Follow[DATAATUALIZAÇÃO]),"-")</f>
        <v>45609</v>
      </c>
      <c r="AK328" s="9" t="str">
        <f ca="1"/>
        <v>-</v>
      </c>
      <c r="AL328" s="35"/>
      <c r="AM328" s="109" cm="1">
        <f t="array" aca="1" ref="AM328" ca="1">IF('Banco de Dados'!$AK328&lt;&gt;"-",_xlfn.IFS('Banco de Dados'!$A328="bv",IF('Banco de Dados'!$E328&lt;45641,ROUND(SUM('Banco de Dados'!$R328*_xlfn.XLOOKUP('Banco de Dados'!$P328,Sku!B:B,Sku!#REF!)*20%),2),ROUND(SUM('Banco de Dados'!$R328*_xlfn.XLOOKUP('Banco de Dados'!$P328,Sku!B:B,Sku!H:H)*20%),2)),'Banco de Dados'!$A328="GO",ROUND(_xlfn.XLOOKUP('Banco de Dados'!$P328,Sku!C:C,Sku!H:H),2),'Banco de Dados'!$A328="MEI",ROUND(_xlfn.XLOOKUP('Banco de Dados'!$P328,Sku!D:D,Sku!H:H),2)),0)</f>
        <v>0</v>
      </c>
      <c r="AN328" s="109">
        <f ca="1">IF('Banco de Dados'!$AK328&lt;&gt;"-",IF('Banco de Dados'!$F328&lt;&gt;"-",_xlfn.XLOOKUP(IFERROR(IFERROR(IFERROR(VALUE(SUBSTITUTE(MID(_xlfn.TEXTAFTER('Banco de Dados'!$F328,"Data do Pedido:
",1),1,10),"-","/")),VALUE(SUBSTITUTE(MID(_xlfn.TEXTAFTER('Banco de Dados'!$F328,"Order date:
",1),1,10),"-","/"))),VALUE(SUBSTITUTE(MID(_xlfn.TEXTAFTER('Banco de Dados'!$F328,"Fecha de pedido:
",1),1,10),"-","/"))),"-"),SMS!A:A,SMS!K:K),0),0)</f>
        <v>0</v>
      </c>
      <c r="AO328" s="109">
        <f ca="1">IF('Banco de Dados'!$AK328&lt;&gt;"-",IF('Banco de Dados'!$F328&lt;&gt;"-",IFERROR(_xlfn.XLOOKUP(_xlfn.CONCAT('Banco de Dados'!$A328,IFERROR(IFERROR(VALUE(SUBSTITUTE(MID(_xlfn.TEXTAFTER('Banco de Dados'!$F328,"Data do Pedido:
",1),1,10),"-","/")),VALUE(SUBSTITUTE(MID(_xlfn.TEXTAFTER('Banco de Dados'!$F328,"Order date:
",1),1,10),"-","/"))),0)),ProxyDD[Chave],ProxyDD[Valor por pedido]),PROXY!$P$2),0),0)</f>
        <v>0</v>
      </c>
      <c r="AP328" s="28">
        <f ca="1">IF('Banco de Dados'!$AK328&lt;&gt;"-",IF('Banco de Dados'!$AL328="NÃO",IFERROR(VALUE(SUBSTITUTE(_xlfn.TEXTAFTER('Banco de Dados'!$F328,"BRL ",1),".",",")),0),0),0)</f>
        <v>0</v>
      </c>
      <c r="AQ328" s="28">
        <f ca="1">SUM('Banco de Dados'!$AM328:$AP328)</f>
        <v>0</v>
      </c>
      <c r="AR328" s="8"/>
      <c r="AS328" s="8"/>
      <c r="AY328" s="8"/>
    </row>
    <row r="329" spans="1:51">
      <c r="A329" s="5" t="str">
        <v>BV</v>
      </c>
      <c r="B329" s="5" t="str">
        <f ca="1"/>
        <v>BV45604</v>
      </c>
      <c r="C329" s="8" t="str">
        <v>Pedido 326</v>
      </c>
      <c r="D329" s="9">
        <v>45604</v>
      </c>
      <c r="E329" s="9">
        <v>45604</v>
      </c>
      <c r="F329" s="8" t="str">
        <v>PedidoF319</v>
      </c>
      <c r="G329" s="2" t="str">
        <v>CódRastreio319</v>
      </c>
      <c r="H329" s="5">
        <v>1</v>
      </c>
      <c r="I329" s="182" t="str">
        <v>CPF 320</v>
      </c>
      <c r="J329" s="2" t="str">
        <v>Nome 320</v>
      </c>
      <c r="K329" s="8" t="str">
        <v>Tel 320</v>
      </c>
      <c r="L329" s="2" t="str">
        <v>Cep 320</v>
      </c>
      <c r="M329" s="2" t="str">
        <v>Rua 320</v>
      </c>
      <c r="N329" s="2" t="str">
        <v>Comp 320</v>
      </c>
      <c r="O329" s="2" t="str">
        <v>Suporte de Celular Preto</v>
      </c>
      <c r="P329" s="8" t="str">
        <v>9G-BN48-QAPH</v>
      </c>
      <c r="Q329" s="4">
        <v>45625</v>
      </c>
      <c r="R329" s="109">
        <v>19.3</v>
      </c>
      <c r="S329" s="11">
        <f ca="1"/>
        <v>19.3</v>
      </c>
      <c r="T329" s="28">
        <f ca="1"/>
        <v>2.895</v>
      </c>
      <c r="U329" s="11">
        <f ca="1"/>
        <v>16.41</v>
      </c>
      <c r="V329" s="11">
        <v>4.99</v>
      </c>
      <c r="W329" s="11">
        <f ca="1"/>
        <v>0.27</v>
      </c>
      <c r="X329" s="11">
        <f ca="1"/>
        <v>0.39877104377104378</v>
      </c>
      <c r="Y329" s="11">
        <v>0</v>
      </c>
      <c r="Z329" s="11">
        <f ca="1"/>
        <v>10.751228956228957</v>
      </c>
      <c r="AA329" s="11">
        <f ca="1"/>
        <v>5.3756144781144783</v>
      </c>
      <c r="AB329" s="4">
        <f ca="1"/>
        <v>45632</v>
      </c>
      <c r="AC329" s="4">
        <v>45632</v>
      </c>
      <c r="AD329" s="9">
        <v>45637</v>
      </c>
      <c r="AE329" s="9">
        <v>45642</v>
      </c>
      <c r="AF329" s="4" t="str">
        <f t="shared" ca="1" si="5"/>
        <v>2024 12</v>
      </c>
      <c r="AG329" s="8" t="str" cm="1">
        <f t="array" ref="AG329">IFERROR(_xlfn.IFS('Banco de Dados'!#REF!="AG. COMPRA","Em processamento",'Banco de Dados'!#REF!="AG. RASTREIO","Em processamento",'Banco de Dados'!$AE329&lt;&gt;"-","Faturado",'Banco de Dados'!$AD329&lt;&gt;"-","Aguardando Pix",'Banco de Dados'!$AC329&lt;&gt;"-","Pendente"),"Aguardando Liberação")</f>
        <v>Aguardando Liberação</v>
      </c>
      <c r="AH329" s="5" t="str">
        <f>IF('Banco de Dados'!$F329="-",_xlfn.CONCAT(PROPER(TEXT(AK329,"aaaa"))," ",PROPER(TEXT(AK329,"mm"))),_xlfn.CONCAT(PROPER(TEXT(E329,"aaaa"))," ",PROPER(TEXT(E329,"mm"))))</f>
        <v>2024 11</v>
      </c>
      <c r="AI329" s="9" t="str">
        <f ca="1">IF('Banco de Dados'!$AK329&lt;&gt;"-","REEMBOLSO",IFERROR(_xlfn.XLOOKUP(G329,Follow[CODRASTREIO],Follow[STATUS]),"-"))</f>
        <v>ENTREGUE</v>
      </c>
      <c r="AJ329" s="9">
        <f ca="1">IF('Banco de Dados'!$AI329="ENTREGUE",_xlfn.XLOOKUP('Banco de Dados'!$G329,Follow[CODRASTREIO],Follow[DATAATUALIZAÇÃO]),"-")</f>
        <v>45622</v>
      </c>
      <c r="AK329" s="9" t="str">
        <f ca="1"/>
        <v>-</v>
      </c>
      <c r="AL329" s="35"/>
      <c r="AM329" s="109" cm="1">
        <f t="array" aca="1" ref="AM329" ca="1">IF('Banco de Dados'!$AK329&lt;&gt;"-",_xlfn.IFS('Banco de Dados'!$A329="bv",IF('Banco de Dados'!$E329&lt;45641,ROUND(SUM('Banco de Dados'!$R329*_xlfn.XLOOKUP('Banco de Dados'!$P329,Sku!B:B,Sku!#REF!)*20%),2),ROUND(SUM('Banco de Dados'!$R329*_xlfn.XLOOKUP('Banco de Dados'!$P329,Sku!B:B,Sku!H:H)*20%),2)),'Banco de Dados'!$A329="GO",ROUND(_xlfn.XLOOKUP('Banco de Dados'!$P329,Sku!C:C,Sku!H:H),2),'Banco de Dados'!$A329="MEI",ROUND(_xlfn.XLOOKUP('Banco de Dados'!$P329,Sku!D:D,Sku!H:H),2)),0)</f>
        <v>0</v>
      </c>
      <c r="AN329" s="109">
        <f ca="1">IF('Banco de Dados'!$AK329&lt;&gt;"-",IF('Banco de Dados'!$F329&lt;&gt;"-",_xlfn.XLOOKUP(IFERROR(IFERROR(IFERROR(VALUE(SUBSTITUTE(MID(_xlfn.TEXTAFTER('Banco de Dados'!$F329,"Data do Pedido:
",1),1,10),"-","/")),VALUE(SUBSTITUTE(MID(_xlfn.TEXTAFTER('Banco de Dados'!$F329,"Order date:
",1),1,10),"-","/"))),VALUE(SUBSTITUTE(MID(_xlfn.TEXTAFTER('Banco de Dados'!$F329,"Fecha de pedido:
",1),1,10),"-","/"))),"-"),SMS!A:A,SMS!K:K),0),0)</f>
        <v>0</v>
      </c>
      <c r="AO329" s="109">
        <f ca="1">IF('Banco de Dados'!$AK329&lt;&gt;"-",IF('Banco de Dados'!$F329&lt;&gt;"-",IFERROR(_xlfn.XLOOKUP(_xlfn.CONCAT('Banco de Dados'!$A329,IFERROR(IFERROR(VALUE(SUBSTITUTE(MID(_xlfn.TEXTAFTER('Banco de Dados'!$F329,"Data do Pedido:
",1),1,10),"-","/")),VALUE(SUBSTITUTE(MID(_xlfn.TEXTAFTER('Banco de Dados'!$F329,"Order date:
",1),1,10),"-","/"))),0)),ProxyDD[Chave],ProxyDD[Valor por pedido]),PROXY!$P$2),0),0)</f>
        <v>0</v>
      </c>
      <c r="AP329" s="28">
        <f ca="1">IF('Banco de Dados'!$AK329&lt;&gt;"-",IF('Banco de Dados'!$AL329="NÃO",IFERROR(VALUE(SUBSTITUTE(_xlfn.TEXTAFTER('Banco de Dados'!$F329,"BRL ",1),".",",")),0),0),0)</f>
        <v>0</v>
      </c>
      <c r="AQ329" s="28">
        <f ca="1">SUM('Banco de Dados'!$AM329:$AP329)</f>
        <v>0</v>
      </c>
      <c r="AR329" s="8"/>
      <c r="AS329" s="8"/>
      <c r="AY329" s="8"/>
    </row>
    <row r="330" spans="1:51">
      <c r="A330" s="5" t="str">
        <v>BV</v>
      </c>
      <c r="B330" s="5" t="str">
        <f ca="1"/>
        <v>BV45604</v>
      </c>
      <c r="C330" s="8" t="str">
        <v>Pedido 327</v>
      </c>
      <c r="D330" s="9">
        <v>45604</v>
      </c>
      <c r="E330" s="9">
        <v>45604</v>
      </c>
      <c r="F330" s="8" t="str">
        <v>PedidoF320</v>
      </c>
      <c r="G330" s="2" t="str">
        <v>CódRastreio320</v>
      </c>
      <c r="H330" s="5">
        <v>1</v>
      </c>
      <c r="I330" s="182" t="str">
        <v>CPF 321</v>
      </c>
      <c r="J330" s="2" t="str">
        <v>Nome 321</v>
      </c>
      <c r="K330" s="8" t="str">
        <v>Tel 321</v>
      </c>
      <c r="L330" s="2" t="str">
        <v>Cep 321</v>
      </c>
      <c r="M330" s="2" t="str">
        <v>Rua 321</v>
      </c>
      <c r="N330" s="2" t="str">
        <v>Comp 321</v>
      </c>
      <c r="O330" s="2" t="str">
        <v>Ventilador de teto</v>
      </c>
      <c r="P330" s="8" t="str">
        <v>ZO-J9IL-EN6L</v>
      </c>
      <c r="Q330" s="4">
        <v>45633</v>
      </c>
      <c r="R330" s="109">
        <v>49.99</v>
      </c>
      <c r="S330" s="11">
        <f ca="1"/>
        <v>49.99</v>
      </c>
      <c r="T330" s="28">
        <f ca="1"/>
        <v>6.9986000000000006</v>
      </c>
      <c r="U330" s="11">
        <f ca="1"/>
        <v>42.99</v>
      </c>
      <c r="V330" s="11">
        <v>7.27</v>
      </c>
      <c r="W330" s="11">
        <f ca="1"/>
        <v>0.27</v>
      </c>
      <c r="X330" s="11">
        <f ca="1"/>
        <v>0.39877104377104378</v>
      </c>
      <c r="Y330" s="11">
        <v>0</v>
      </c>
      <c r="Z330" s="11">
        <f ca="1"/>
        <v>35.051228956228961</v>
      </c>
      <c r="AA330" s="11">
        <f ca="1"/>
        <v>17.52561447811448</v>
      </c>
      <c r="AB330" s="4">
        <f ca="1"/>
        <v>45640</v>
      </c>
      <c r="AC330" s="4">
        <v>45640</v>
      </c>
      <c r="AD330" s="9">
        <v>45640</v>
      </c>
      <c r="AE330" s="9">
        <v>45642</v>
      </c>
      <c r="AF330" s="4" t="str">
        <f t="shared" ca="1" si="5"/>
        <v>2024 12</v>
      </c>
      <c r="AG330" s="8" t="str" cm="1">
        <f t="array" ref="AG330">IFERROR(_xlfn.IFS('Banco de Dados'!#REF!="AG. COMPRA","Em processamento",'Banco de Dados'!#REF!="AG. RASTREIO","Em processamento",'Banco de Dados'!$AE330&lt;&gt;"-","Faturado",'Banco de Dados'!$AD330&lt;&gt;"-","Aguardando Pix",'Banco de Dados'!$AC330&lt;&gt;"-","Pendente"),"Aguardando Liberação")</f>
        <v>Aguardando Liberação</v>
      </c>
      <c r="AH330" s="5" t="str">
        <f>IF('Banco de Dados'!$F330="-",_xlfn.CONCAT(PROPER(TEXT(AK330,"aaaa"))," ",PROPER(TEXT(AK330,"mm"))),_xlfn.CONCAT(PROPER(TEXT(E330,"aaaa"))," ",PROPER(TEXT(E330,"mm"))))</f>
        <v>2024 11</v>
      </c>
      <c r="AI330" s="9" t="str">
        <f ca="1">IF('Banco de Dados'!$AK330&lt;&gt;"-","REEMBOLSO",IFERROR(_xlfn.XLOOKUP(G330,Follow[CODRASTREIO],Follow[STATUS]),"-"))</f>
        <v>ENTREGUE</v>
      </c>
      <c r="AJ330" s="9">
        <f ca="1">IF('Banco de Dados'!$AI330="ENTREGUE",_xlfn.XLOOKUP('Banco de Dados'!$G330,Follow[CODRASTREIO],Follow[DATAATUALIZAÇÃO]),"-")</f>
        <v>45615</v>
      </c>
      <c r="AK330" s="9" t="str">
        <f ca="1"/>
        <v>-</v>
      </c>
      <c r="AL330" s="35"/>
      <c r="AM330" s="109" cm="1">
        <f t="array" aca="1" ref="AM330" ca="1">IF('Banco de Dados'!$AK330&lt;&gt;"-",_xlfn.IFS('Banco de Dados'!$A330="bv",IF('Banco de Dados'!$E330&lt;45641,ROUND(SUM('Banco de Dados'!$R330*_xlfn.XLOOKUP('Banco de Dados'!$P330,Sku!B:B,Sku!#REF!)*20%),2),ROUND(SUM('Banco de Dados'!$R330*_xlfn.XLOOKUP('Banco de Dados'!$P330,Sku!B:B,Sku!H:H)*20%),2)),'Banco de Dados'!$A330="GO",ROUND(_xlfn.XLOOKUP('Banco de Dados'!$P330,Sku!C:C,Sku!H:H),2),'Banco de Dados'!$A330="MEI",ROUND(_xlfn.XLOOKUP('Banco de Dados'!$P330,Sku!D:D,Sku!H:H),2)),0)</f>
        <v>0</v>
      </c>
      <c r="AN330" s="109">
        <f ca="1">IF('Banco de Dados'!$AK330&lt;&gt;"-",IF('Banco de Dados'!$F330&lt;&gt;"-",_xlfn.XLOOKUP(IFERROR(IFERROR(IFERROR(VALUE(SUBSTITUTE(MID(_xlfn.TEXTAFTER('Banco de Dados'!$F330,"Data do Pedido:
",1),1,10),"-","/")),VALUE(SUBSTITUTE(MID(_xlfn.TEXTAFTER('Banco de Dados'!$F330,"Order date:
",1),1,10),"-","/"))),VALUE(SUBSTITUTE(MID(_xlfn.TEXTAFTER('Banco de Dados'!$F330,"Fecha de pedido:
",1),1,10),"-","/"))),"-"),SMS!A:A,SMS!K:K),0),0)</f>
        <v>0</v>
      </c>
      <c r="AO330" s="109">
        <f ca="1">IF('Banco de Dados'!$AK330&lt;&gt;"-",IF('Banco de Dados'!$F330&lt;&gt;"-",IFERROR(_xlfn.XLOOKUP(_xlfn.CONCAT('Banco de Dados'!$A330,IFERROR(IFERROR(VALUE(SUBSTITUTE(MID(_xlfn.TEXTAFTER('Banco de Dados'!$F330,"Data do Pedido:
",1),1,10),"-","/")),VALUE(SUBSTITUTE(MID(_xlfn.TEXTAFTER('Banco de Dados'!$F330,"Order date:
",1),1,10),"-","/"))),0)),ProxyDD[Chave],ProxyDD[Valor por pedido]),PROXY!$P$2),0),0)</f>
        <v>0</v>
      </c>
      <c r="AP330" s="28">
        <f ca="1">IF('Banco de Dados'!$AK330&lt;&gt;"-",IF('Banco de Dados'!$AL330="NÃO",IFERROR(VALUE(SUBSTITUTE(_xlfn.TEXTAFTER('Banco de Dados'!$F330,"BRL ",1),".",",")),0),0),0)</f>
        <v>0</v>
      </c>
      <c r="AQ330" s="28">
        <f ca="1">SUM('Banco de Dados'!$AM330:$AP330)</f>
        <v>0</v>
      </c>
      <c r="AR330" s="8"/>
      <c r="AS330" s="8"/>
      <c r="AY330" s="8"/>
    </row>
    <row r="331" spans="1:51">
      <c r="A331" s="5" t="str">
        <v>BV</v>
      </c>
      <c r="B331" s="5" t="str">
        <f ca="1"/>
        <v>BV45604</v>
      </c>
      <c r="C331" s="8" t="str">
        <v>Pedido 328</v>
      </c>
      <c r="D331" s="9">
        <v>45604</v>
      </c>
      <c r="E331" s="9">
        <v>45604</v>
      </c>
      <c r="F331" s="8" t="str">
        <v>PedidoF321</v>
      </c>
      <c r="G331" s="2" t="str">
        <v>CódRastreio321</v>
      </c>
      <c r="H331" s="5">
        <v>1</v>
      </c>
      <c r="I331" s="182" t="str">
        <v>CPF 322</v>
      </c>
      <c r="J331" s="2" t="str">
        <v>Nome 322</v>
      </c>
      <c r="K331" s="8" t="str">
        <v>Tel 322</v>
      </c>
      <c r="L331" s="2" t="str">
        <v>Cep 322</v>
      </c>
      <c r="M331" s="2" t="str">
        <v>Rua 322</v>
      </c>
      <c r="N331" s="2" t="str">
        <v>Comp 322</v>
      </c>
      <c r="O331" s="2" t="str">
        <v>Ventilador de teto</v>
      </c>
      <c r="P331" s="8" t="str">
        <v>ZO-J9IL-EN6L</v>
      </c>
      <c r="Q331" s="4">
        <v>45640</v>
      </c>
      <c r="R331" s="109">
        <v>49.99</v>
      </c>
      <c r="S331" s="11">
        <f ca="1"/>
        <v>49.99</v>
      </c>
      <c r="T331" s="28">
        <f ca="1"/>
        <v>6.9986000000000006</v>
      </c>
      <c r="U331" s="11">
        <f ca="1"/>
        <v>42.99</v>
      </c>
      <c r="V331" s="11">
        <v>7.27</v>
      </c>
      <c r="W331" s="11">
        <f ca="1"/>
        <v>0.27</v>
      </c>
      <c r="X331" s="11">
        <f ca="1"/>
        <v>0.39877104377104378</v>
      </c>
      <c r="Y331" s="11">
        <v>0</v>
      </c>
      <c r="Z331" s="11">
        <f ca="1"/>
        <v>35.051228956228961</v>
      </c>
      <c r="AA331" s="11">
        <f ca="1"/>
        <v>17.52561447811448</v>
      </c>
      <c r="AB331" s="4">
        <f ca="1"/>
        <v>45647</v>
      </c>
      <c r="AC331" s="4">
        <v>45647</v>
      </c>
      <c r="AD331" s="9">
        <v>45651</v>
      </c>
      <c r="AE331" s="9">
        <v>45659</v>
      </c>
      <c r="AF331" s="4" t="str">
        <f t="shared" ca="1" si="5"/>
        <v>2024 12</v>
      </c>
      <c r="AG331" s="8" t="str" cm="1">
        <f t="array" ref="AG331">IFERROR(_xlfn.IFS('Banco de Dados'!#REF!="AG. COMPRA","Em processamento",'Banco de Dados'!#REF!="AG. RASTREIO","Em processamento",'Banco de Dados'!$AE331&lt;&gt;"-","Faturado",'Banco de Dados'!$AD331&lt;&gt;"-","Aguardando Pix",'Banco de Dados'!$AC331&lt;&gt;"-","Pendente"),"Aguardando Liberação")</f>
        <v>Aguardando Liberação</v>
      </c>
      <c r="AH331" s="5" t="str">
        <f>IF('Banco de Dados'!$F331="-",_xlfn.CONCAT(PROPER(TEXT(AK331,"aaaa"))," ",PROPER(TEXT(AK331,"mm"))),_xlfn.CONCAT(PROPER(TEXT(E331,"aaaa"))," ",PROPER(TEXT(E331,"mm"))))</f>
        <v>2024 11</v>
      </c>
      <c r="AI331" s="9" t="str">
        <f ca="1">IF('Banco de Dados'!$AK331&lt;&gt;"-","REEMBOLSO",IFERROR(_xlfn.XLOOKUP(G331,Follow[CODRASTREIO],Follow[STATUS]),"-"))</f>
        <v>ENTREGUE</v>
      </c>
      <c r="AJ331" s="9">
        <f ca="1">IF('Banco de Dados'!$AI331="ENTREGUE",_xlfn.XLOOKUP('Banco de Dados'!$G331,Follow[CODRASTREIO],Follow[DATAATUALIZAÇÃO]),"-")</f>
        <v>45622</v>
      </c>
      <c r="AK331" s="9" t="str">
        <f ca="1"/>
        <v>-</v>
      </c>
      <c r="AL331" s="35"/>
      <c r="AM331" s="109" cm="1">
        <f t="array" aca="1" ref="AM331" ca="1">IF('Banco de Dados'!$AK331&lt;&gt;"-",_xlfn.IFS('Banco de Dados'!$A331="bv",IF('Banco de Dados'!$E331&lt;45641,ROUND(SUM('Banco de Dados'!$R331*_xlfn.XLOOKUP('Banco de Dados'!$P331,Sku!B:B,Sku!#REF!)*20%),2),ROUND(SUM('Banco de Dados'!$R331*_xlfn.XLOOKUP('Banco de Dados'!$P331,Sku!B:B,Sku!H:H)*20%),2)),'Banco de Dados'!$A331="GO",ROUND(_xlfn.XLOOKUP('Banco de Dados'!$P331,Sku!C:C,Sku!H:H),2),'Banco de Dados'!$A331="MEI",ROUND(_xlfn.XLOOKUP('Banco de Dados'!$P331,Sku!D:D,Sku!H:H),2)),0)</f>
        <v>0</v>
      </c>
      <c r="AN331" s="109">
        <f ca="1">IF('Banco de Dados'!$AK331&lt;&gt;"-",IF('Banco de Dados'!$F331&lt;&gt;"-",_xlfn.XLOOKUP(IFERROR(IFERROR(IFERROR(VALUE(SUBSTITUTE(MID(_xlfn.TEXTAFTER('Banco de Dados'!$F331,"Data do Pedido:
",1),1,10),"-","/")),VALUE(SUBSTITUTE(MID(_xlfn.TEXTAFTER('Banco de Dados'!$F331,"Order date:
",1),1,10),"-","/"))),VALUE(SUBSTITUTE(MID(_xlfn.TEXTAFTER('Banco de Dados'!$F331,"Fecha de pedido:
",1),1,10),"-","/"))),"-"),SMS!A:A,SMS!K:K),0),0)</f>
        <v>0</v>
      </c>
      <c r="AO331" s="109">
        <f ca="1">IF('Banco de Dados'!$AK331&lt;&gt;"-",IF('Banco de Dados'!$F331&lt;&gt;"-",IFERROR(_xlfn.XLOOKUP(_xlfn.CONCAT('Banco de Dados'!$A331,IFERROR(IFERROR(VALUE(SUBSTITUTE(MID(_xlfn.TEXTAFTER('Banco de Dados'!$F331,"Data do Pedido:
",1),1,10),"-","/")),VALUE(SUBSTITUTE(MID(_xlfn.TEXTAFTER('Banco de Dados'!$F331,"Order date:
",1),1,10),"-","/"))),0)),ProxyDD[Chave],ProxyDD[Valor por pedido]),PROXY!$P$2),0),0)</f>
        <v>0</v>
      </c>
      <c r="AP331" s="28">
        <f ca="1">IF('Banco de Dados'!$AK331&lt;&gt;"-",IF('Banco de Dados'!$AL331="NÃO",IFERROR(VALUE(SUBSTITUTE(_xlfn.TEXTAFTER('Banco de Dados'!$F331,"BRL ",1),".",",")),0),0),0)</f>
        <v>0</v>
      </c>
      <c r="AQ331" s="28">
        <f ca="1">SUM('Banco de Dados'!$AM331:$AP331)</f>
        <v>0</v>
      </c>
      <c r="AR331" s="8"/>
      <c r="AS331" s="8"/>
      <c r="AY331" s="8"/>
    </row>
    <row r="332" spans="1:51">
      <c r="A332" s="5" t="str">
        <v>BV</v>
      </c>
      <c r="B332" s="5" t="str">
        <f ca="1"/>
        <v>BV45604</v>
      </c>
      <c r="C332" s="8" t="str">
        <v>Pedido 329</v>
      </c>
      <c r="D332" s="9">
        <v>45604</v>
      </c>
      <c r="E332" s="9">
        <v>45604</v>
      </c>
      <c r="F332" s="8" t="str">
        <v>PedidoF322</v>
      </c>
      <c r="G332" s="2" t="str">
        <v>CódRastreio322</v>
      </c>
      <c r="H332" s="5">
        <v>1</v>
      </c>
      <c r="I332" s="182" t="str">
        <v>CPF 323</v>
      </c>
      <c r="J332" s="2" t="str">
        <v>Nome 323</v>
      </c>
      <c r="K332" s="8" t="str">
        <v>Tel 323</v>
      </c>
      <c r="L332" s="2" t="str">
        <v>Cep 323</v>
      </c>
      <c r="M332" s="2" t="str">
        <v>Rua 323</v>
      </c>
      <c r="N332" s="2" t="str">
        <v>Comp 323</v>
      </c>
      <c r="O332" s="2" t="str">
        <v>Ventilador de teto</v>
      </c>
      <c r="P332" s="8" t="str">
        <v>ZO-J9IL-EN6L</v>
      </c>
      <c r="Q332" s="4">
        <v>45629</v>
      </c>
      <c r="R332" s="109">
        <v>49.99</v>
      </c>
      <c r="S332" s="11">
        <f ca="1"/>
        <v>49.99</v>
      </c>
      <c r="T332" s="28">
        <f ca="1"/>
        <v>6.9986000000000006</v>
      </c>
      <c r="U332" s="11">
        <f ca="1"/>
        <v>42.99</v>
      </c>
      <c r="V332" s="11">
        <v>7.27</v>
      </c>
      <c r="W332" s="11">
        <f ca="1"/>
        <v>0.27</v>
      </c>
      <c r="X332" s="11">
        <f ca="1"/>
        <v>0.39877104377104378</v>
      </c>
      <c r="Y332" s="11">
        <v>0</v>
      </c>
      <c r="Z332" s="11">
        <f ca="1"/>
        <v>35.051228956228961</v>
      </c>
      <c r="AA332" s="11">
        <f ca="1"/>
        <v>17.52561447811448</v>
      </c>
      <c r="AB332" s="4">
        <f ca="1"/>
        <v>45636</v>
      </c>
      <c r="AC332" s="4">
        <v>45636</v>
      </c>
      <c r="AD332" s="9">
        <v>45637</v>
      </c>
      <c r="AE332" s="9">
        <v>45642</v>
      </c>
      <c r="AF332" s="4" t="str">
        <f t="shared" ca="1" si="5"/>
        <v>2024 12</v>
      </c>
      <c r="AG332" s="8" t="str" cm="1">
        <f t="array" ref="AG332">IFERROR(_xlfn.IFS('Banco de Dados'!#REF!="AG. COMPRA","Em processamento",'Banco de Dados'!#REF!="AG. RASTREIO","Em processamento",'Banco de Dados'!$AE332&lt;&gt;"-","Faturado",'Banco de Dados'!$AD332&lt;&gt;"-","Aguardando Pix",'Banco de Dados'!$AC332&lt;&gt;"-","Pendente"),"Aguardando Liberação")</f>
        <v>Aguardando Liberação</v>
      </c>
      <c r="AH332" s="5" t="str">
        <f>IF('Banco de Dados'!$F332="-",_xlfn.CONCAT(PROPER(TEXT(AK332,"aaaa"))," ",PROPER(TEXT(AK332,"mm"))),_xlfn.CONCAT(PROPER(TEXT(E332,"aaaa"))," ",PROPER(TEXT(E332,"mm"))))</f>
        <v>2024 11</v>
      </c>
      <c r="AI332" s="9" t="str">
        <f ca="1">IF('Banco de Dados'!$AK332&lt;&gt;"-","REEMBOLSO",IFERROR(_xlfn.XLOOKUP(G332,Follow[CODRASTREIO],Follow[STATUS]),"-"))</f>
        <v>ENTREGUE</v>
      </c>
      <c r="AJ332" s="9">
        <f ca="1">IF('Banco de Dados'!$AI332="ENTREGUE",_xlfn.XLOOKUP('Banco de Dados'!$G332,Follow[CODRASTREIO],Follow[DATAATUALIZAÇÃO]),"-")</f>
        <v>45618</v>
      </c>
      <c r="AK332" s="9" t="str">
        <f ca="1"/>
        <v>-</v>
      </c>
      <c r="AL332" s="35"/>
      <c r="AM332" s="109" cm="1">
        <f t="array" aca="1" ref="AM332" ca="1">IF('Banco de Dados'!$AK332&lt;&gt;"-",_xlfn.IFS('Banco de Dados'!$A332="bv",IF('Banco de Dados'!$E332&lt;45641,ROUND(SUM('Banco de Dados'!$R332*_xlfn.XLOOKUP('Banco de Dados'!$P332,Sku!B:B,Sku!#REF!)*20%),2),ROUND(SUM('Banco de Dados'!$R332*_xlfn.XLOOKUP('Banco de Dados'!$P332,Sku!B:B,Sku!H:H)*20%),2)),'Banco de Dados'!$A332="GO",ROUND(_xlfn.XLOOKUP('Banco de Dados'!$P332,Sku!C:C,Sku!H:H),2),'Banco de Dados'!$A332="MEI",ROUND(_xlfn.XLOOKUP('Banco de Dados'!$P332,Sku!D:D,Sku!H:H),2)),0)</f>
        <v>0</v>
      </c>
      <c r="AN332" s="109">
        <f ca="1">IF('Banco de Dados'!$AK332&lt;&gt;"-",IF('Banco de Dados'!$F332&lt;&gt;"-",_xlfn.XLOOKUP(IFERROR(IFERROR(IFERROR(VALUE(SUBSTITUTE(MID(_xlfn.TEXTAFTER('Banco de Dados'!$F332,"Data do Pedido:
",1),1,10),"-","/")),VALUE(SUBSTITUTE(MID(_xlfn.TEXTAFTER('Banco de Dados'!$F332,"Order date:
",1),1,10),"-","/"))),VALUE(SUBSTITUTE(MID(_xlfn.TEXTAFTER('Banco de Dados'!$F332,"Fecha de pedido:
",1),1,10),"-","/"))),"-"),SMS!A:A,SMS!K:K),0),0)</f>
        <v>0</v>
      </c>
      <c r="AO332" s="109">
        <f ca="1">IF('Banco de Dados'!$AK332&lt;&gt;"-",IF('Banco de Dados'!$F332&lt;&gt;"-",IFERROR(_xlfn.XLOOKUP(_xlfn.CONCAT('Banco de Dados'!$A332,IFERROR(IFERROR(VALUE(SUBSTITUTE(MID(_xlfn.TEXTAFTER('Banco de Dados'!$F332,"Data do Pedido:
",1),1,10),"-","/")),VALUE(SUBSTITUTE(MID(_xlfn.TEXTAFTER('Banco de Dados'!$F332,"Order date:
",1),1,10),"-","/"))),0)),ProxyDD[Chave],ProxyDD[Valor por pedido]),PROXY!$P$2),0),0)</f>
        <v>0</v>
      </c>
      <c r="AP332" s="28">
        <f ca="1">IF('Banco de Dados'!$AK332&lt;&gt;"-",IF('Banco de Dados'!$AL332="NÃO",IFERROR(VALUE(SUBSTITUTE(_xlfn.TEXTAFTER('Banco de Dados'!$F332,"BRL ",1),".",",")),0),0),0)</f>
        <v>0</v>
      </c>
      <c r="AQ332" s="28">
        <f ca="1">SUM('Banco de Dados'!$AM332:$AP332)</f>
        <v>0</v>
      </c>
      <c r="AR332" s="8"/>
      <c r="AS332" s="8"/>
      <c r="AY332" s="8"/>
    </row>
    <row r="333" spans="1:51">
      <c r="A333" s="5" t="str">
        <v>BV</v>
      </c>
      <c r="B333" s="5" t="str">
        <f ca="1"/>
        <v>BV45608</v>
      </c>
      <c r="C333" s="8" t="str">
        <v>Pedido 330</v>
      </c>
      <c r="D333" s="9">
        <v>45608</v>
      </c>
      <c r="E333" s="9">
        <v>45608</v>
      </c>
      <c r="F333" s="8" t="str">
        <v>PedidoF323</v>
      </c>
      <c r="G333" s="2" t="str">
        <v>CódRastreio323</v>
      </c>
      <c r="H333" s="5">
        <v>1</v>
      </c>
      <c r="I333" s="182" t="str">
        <v>CPF 324</v>
      </c>
      <c r="J333" s="2" t="str">
        <v>Nome 324</v>
      </c>
      <c r="K333" s="8" t="str">
        <v>Tel 324</v>
      </c>
      <c r="L333" s="2" t="str">
        <v>Cep 324</v>
      </c>
      <c r="M333" s="2" t="str">
        <v>Rua 324</v>
      </c>
      <c r="N333" s="2" t="str">
        <v>Comp 324</v>
      </c>
      <c r="O333" s="2" t="str">
        <v>Ventilador de teto</v>
      </c>
      <c r="P333" s="8" t="str">
        <v>ZO-J9IL-EN6L</v>
      </c>
      <c r="Q333" s="4">
        <v>45631</v>
      </c>
      <c r="R333" s="109">
        <v>29.76</v>
      </c>
      <c r="S333" s="11">
        <f ca="1"/>
        <v>29.76</v>
      </c>
      <c r="T333" s="28">
        <f ca="1"/>
        <v>4.1664000000000003</v>
      </c>
      <c r="U333" s="11">
        <f ca="1"/>
        <v>25.59</v>
      </c>
      <c r="V333" s="11">
        <v>7.29</v>
      </c>
      <c r="W333" s="11">
        <f ca="1"/>
        <v>0.2</v>
      </c>
      <c r="X333" s="11">
        <f ca="1"/>
        <v>0.39877104377104378</v>
      </c>
      <c r="Y333" s="11">
        <v>0</v>
      </c>
      <c r="Z333" s="11">
        <f ca="1"/>
        <v>17.701228956228956</v>
      </c>
      <c r="AA333" s="11">
        <f ca="1"/>
        <v>8.850614478114478</v>
      </c>
      <c r="AB333" s="4">
        <f ca="1"/>
        <v>45638</v>
      </c>
      <c r="AC333" s="4">
        <v>45638</v>
      </c>
      <c r="AD333" s="9">
        <v>45640</v>
      </c>
      <c r="AE333" s="9">
        <v>45642</v>
      </c>
      <c r="AF333" s="4" t="str">
        <f ca="1">_xlfn.CONCAT(PROPER(TEXT(AB333,"aaaa"))," ",PROPER(TEXT(AB333,"mm")))</f>
        <v>2024 12</v>
      </c>
      <c r="AG333" s="8" t="str" cm="1">
        <f t="array" ref="AG333">IFERROR(_xlfn.IFS('Banco de Dados'!#REF!="AG. COMPRA","Em processamento",'Banco de Dados'!#REF!="AG. RASTREIO","Em processamento",'Banco de Dados'!$AE333&lt;&gt;"-","Faturado",'Banco de Dados'!$AD333&lt;&gt;"-","Aguardando Pix",'Banco de Dados'!$AC333&lt;&gt;"-","Pendente"),"Aguardando Liberação")</f>
        <v>Aguardando Liberação</v>
      </c>
      <c r="AH333" s="5" t="str">
        <f>IF('Banco de Dados'!$F333="-",_xlfn.CONCAT(PROPER(TEXT(AK333,"aaaa"))," ",PROPER(TEXT(AK333,"mm"))),_xlfn.CONCAT(PROPER(TEXT(E333,"aaaa"))," ",PROPER(TEXT(E333,"mm"))))</f>
        <v>2024 11</v>
      </c>
      <c r="AI333" s="9" t="str">
        <f ca="1">IF('Banco de Dados'!$AK333&lt;&gt;"-","REEMBOLSO",IFERROR(_xlfn.XLOOKUP(G333,Follow[CODRASTREIO],Follow[STATUS]),"-"))</f>
        <v>ENTREGUE</v>
      </c>
      <c r="AJ333" s="9">
        <f ca="1">IF('Banco de Dados'!$AI333="ENTREGUE",_xlfn.XLOOKUP('Banco de Dados'!$G333,Follow[CODRASTREIO],Follow[DATAATUALIZAÇÃO]),"-")</f>
        <v>45624</v>
      </c>
      <c r="AK333" s="9" t="str">
        <f ca="1"/>
        <v>-</v>
      </c>
      <c r="AL333" s="35"/>
      <c r="AM333" s="109" cm="1">
        <f t="array" aca="1" ref="AM333" ca="1">IF('Banco de Dados'!$AK333&lt;&gt;"-",_xlfn.IFS('Banco de Dados'!$A333="bv",IF('Banco de Dados'!$E333&lt;45641,ROUND(SUM('Banco de Dados'!$R333*_xlfn.XLOOKUP('Banco de Dados'!$P333,Sku!B:B,Sku!#REF!)*20%),2),ROUND(SUM('Banco de Dados'!$R333*_xlfn.XLOOKUP('Banco de Dados'!$P333,Sku!B:B,Sku!H:H)*20%),2)),'Banco de Dados'!$A333="GO",ROUND(_xlfn.XLOOKUP('Banco de Dados'!$P333,Sku!C:C,Sku!H:H),2),'Banco de Dados'!$A333="MEI",ROUND(_xlfn.XLOOKUP('Banco de Dados'!$P333,Sku!D:D,Sku!H:H),2)),0)</f>
        <v>0</v>
      </c>
      <c r="AN333" s="109">
        <f ca="1">IF('Banco de Dados'!$AK333&lt;&gt;"-",IF('Banco de Dados'!$F333&lt;&gt;"-",_xlfn.XLOOKUP(IFERROR(IFERROR(IFERROR(VALUE(SUBSTITUTE(MID(_xlfn.TEXTAFTER('Banco de Dados'!$F333,"Data do Pedido:
",1),1,10),"-","/")),VALUE(SUBSTITUTE(MID(_xlfn.TEXTAFTER('Banco de Dados'!$F333,"Order date:
",1),1,10),"-","/"))),VALUE(SUBSTITUTE(MID(_xlfn.TEXTAFTER('Banco de Dados'!$F333,"Fecha de pedido:
",1),1,10),"-","/"))),"-"),SMS!A:A,SMS!K:K),0),0)</f>
        <v>0</v>
      </c>
      <c r="AO333" s="109">
        <f ca="1">IF('Banco de Dados'!$AK333&lt;&gt;"-",IF('Banco de Dados'!$F333&lt;&gt;"-",IFERROR(_xlfn.XLOOKUP(_xlfn.CONCAT('Banco de Dados'!$A333,IFERROR(IFERROR(VALUE(SUBSTITUTE(MID(_xlfn.TEXTAFTER('Banco de Dados'!$F333,"Data do Pedido:
",1),1,10),"-","/")),VALUE(SUBSTITUTE(MID(_xlfn.TEXTAFTER('Banco de Dados'!$F333,"Order date:
",1),1,10),"-","/"))),0)),ProxyDD[Chave],ProxyDD[Valor por pedido]),PROXY!$P$2),0),0)</f>
        <v>0</v>
      </c>
      <c r="AP333" s="28">
        <f ca="1">IF('Banco de Dados'!$AK333&lt;&gt;"-",IF('Banco de Dados'!$AL333="NÃO",IFERROR(VALUE(SUBSTITUTE(_xlfn.TEXTAFTER('Banco de Dados'!$F333,"BRL ",1),".",",")),0),0),0)</f>
        <v>0</v>
      </c>
      <c r="AQ333" s="28">
        <f ca="1">SUM('Banco de Dados'!$AM333:$AP333)</f>
        <v>0</v>
      </c>
      <c r="AR333" s="8"/>
      <c r="AS333" s="8"/>
      <c r="AY333" s="8"/>
    </row>
    <row r="334" spans="1:51">
      <c r="A334" s="5" t="str">
        <v>BV</v>
      </c>
      <c r="B334" s="5" t="str">
        <f ca="1"/>
        <v>BV45608</v>
      </c>
      <c r="C334" s="8" t="str">
        <v>Pedido 330</v>
      </c>
      <c r="D334" s="9">
        <v>45608</v>
      </c>
      <c r="E334" s="9">
        <v>45608</v>
      </c>
      <c r="F334" s="8" t="str">
        <v>PedidoF323</v>
      </c>
      <c r="G334" s="2" t="str">
        <v>CódRastreio323</v>
      </c>
      <c r="H334" s="5">
        <v>1</v>
      </c>
      <c r="I334" s="182" t="str">
        <v>CPF 324</v>
      </c>
      <c r="J334" s="2" t="str">
        <v>Nome 324</v>
      </c>
      <c r="K334" s="8" t="str">
        <v>Tel 324</v>
      </c>
      <c r="L334" s="2" t="str">
        <v>Cep 324</v>
      </c>
      <c r="M334" s="2" t="str">
        <v>Rua 324</v>
      </c>
      <c r="N334" s="2" t="str">
        <v>Comp 324</v>
      </c>
      <c r="O334" s="2" t="str">
        <v>Ventilador de teto</v>
      </c>
      <c r="P334" s="8" t="str">
        <v>ZO-J9IL-EN6L</v>
      </c>
      <c r="Q334" s="4">
        <v>45631</v>
      </c>
      <c r="R334" s="109">
        <v>29.75</v>
      </c>
      <c r="S334" s="11">
        <f ca="1"/>
        <v>29.75</v>
      </c>
      <c r="T334" s="28">
        <f ca="1"/>
        <v>4.165</v>
      </c>
      <c r="U334" s="11">
        <f ca="1"/>
        <v>25.59</v>
      </c>
      <c r="V334" s="11">
        <v>0</v>
      </c>
      <c r="W334" s="11">
        <f ca="1"/>
        <v>0.2</v>
      </c>
      <c r="X334" s="11">
        <f ca="1"/>
        <v>0.39877104377104378</v>
      </c>
      <c r="Y334" s="11">
        <v>0</v>
      </c>
      <c r="Z334" s="11">
        <f ca="1"/>
        <v>24.991228956228955</v>
      </c>
      <c r="AA334" s="11">
        <f ca="1"/>
        <v>12.495614478114478</v>
      </c>
      <c r="AB334" s="4">
        <f ca="1"/>
        <v>45638</v>
      </c>
      <c r="AC334" s="4">
        <v>45638</v>
      </c>
      <c r="AD334" s="9">
        <v>45640</v>
      </c>
      <c r="AE334" s="9">
        <v>45642</v>
      </c>
      <c r="AF334" s="4" t="str">
        <f t="shared" ca="1" si="5"/>
        <v>2024 12</v>
      </c>
      <c r="AG334" s="8" t="str" cm="1">
        <f t="array" ref="AG334">IFERROR(_xlfn.IFS('Banco de Dados'!#REF!="AG. COMPRA","Em processamento",'Banco de Dados'!#REF!="AG. RASTREIO","Em processamento",'Banco de Dados'!$AE334&lt;&gt;"-","Faturado",'Banco de Dados'!$AD334&lt;&gt;"-","Aguardando Pix",'Banco de Dados'!$AC334&lt;&gt;"-","Pendente"),"Aguardando Liberação")</f>
        <v>Aguardando Liberação</v>
      </c>
      <c r="AH334" s="5" t="str">
        <f>IF('Banco de Dados'!$F334="-",_xlfn.CONCAT(PROPER(TEXT(AK334,"aaaa"))," ",PROPER(TEXT(AK334,"mm"))),_xlfn.CONCAT(PROPER(TEXT(E334,"aaaa"))," ",PROPER(TEXT(E334,"mm"))))</f>
        <v>2024 11</v>
      </c>
      <c r="AI334" s="9" t="str">
        <f ca="1">IF('Banco de Dados'!$AK334&lt;&gt;"-","REEMBOLSO",IFERROR(_xlfn.XLOOKUP(G334,Follow[CODRASTREIO],Follow[STATUS]),"-"))</f>
        <v>ENTREGUE</v>
      </c>
      <c r="AJ334" s="9">
        <f ca="1">IF('Banco de Dados'!$AI334="ENTREGUE",_xlfn.XLOOKUP('Banco de Dados'!$G334,Follow[CODRASTREIO],Follow[DATAATUALIZAÇÃO]),"-")</f>
        <v>45624</v>
      </c>
      <c r="AK334" s="9" t="str">
        <f ca="1"/>
        <v>-</v>
      </c>
      <c r="AL334" s="35"/>
      <c r="AM334" s="109" cm="1">
        <f t="array" aca="1" ref="AM334" ca="1">IF('Banco de Dados'!$AK334&lt;&gt;"-",_xlfn.IFS('Banco de Dados'!$A334="bv",IF('Banco de Dados'!$E334&lt;45641,ROUND(SUM('Banco de Dados'!$R334*_xlfn.XLOOKUP('Banco de Dados'!$P334,Sku!B:B,Sku!#REF!)*20%),2),ROUND(SUM('Banco de Dados'!$R334*_xlfn.XLOOKUP('Banco de Dados'!$P334,Sku!B:B,Sku!H:H)*20%),2)),'Banco de Dados'!$A334="GO",ROUND(_xlfn.XLOOKUP('Banco de Dados'!$P334,Sku!C:C,Sku!H:H),2),'Banco de Dados'!$A334="MEI",ROUND(_xlfn.XLOOKUP('Banco de Dados'!$P334,Sku!D:D,Sku!H:H),2)),0)</f>
        <v>0</v>
      </c>
      <c r="AN334" s="109">
        <f ca="1">IF('Banco de Dados'!$AK334&lt;&gt;"-",IF('Banco de Dados'!$F334&lt;&gt;"-",_xlfn.XLOOKUP(IFERROR(IFERROR(IFERROR(VALUE(SUBSTITUTE(MID(_xlfn.TEXTAFTER('Banco de Dados'!$F334,"Data do Pedido:
",1),1,10),"-","/")),VALUE(SUBSTITUTE(MID(_xlfn.TEXTAFTER('Banco de Dados'!$F334,"Order date:
",1),1,10),"-","/"))),VALUE(SUBSTITUTE(MID(_xlfn.TEXTAFTER('Banco de Dados'!$F334,"Fecha de pedido:
",1),1,10),"-","/"))),"-"),SMS!A:A,SMS!K:K),0),0)</f>
        <v>0</v>
      </c>
      <c r="AO334" s="109">
        <f ca="1">IF('Banco de Dados'!$AK334&lt;&gt;"-",IF('Banco de Dados'!$F334&lt;&gt;"-",IFERROR(_xlfn.XLOOKUP(_xlfn.CONCAT('Banco de Dados'!$A334,IFERROR(IFERROR(VALUE(SUBSTITUTE(MID(_xlfn.TEXTAFTER('Banco de Dados'!$F334,"Data do Pedido:
",1),1,10),"-","/")),VALUE(SUBSTITUTE(MID(_xlfn.TEXTAFTER('Banco de Dados'!$F334,"Order date:
",1),1,10),"-","/"))),0)),ProxyDD[Chave],ProxyDD[Valor por pedido]),PROXY!$P$2),0),0)</f>
        <v>0</v>
      </c>
      <c r="AP334" s="28">
        <f ca="1">IF('Banco de Dados'!$AK334&lt;&gt;"-",IF('Banco de Dados'!$AL334="NÃO",IFERROR(VALUE(SUBSTITUTE(_xlfn.TEXTAFTER('Banco de Dados'!$F334,"BRL ",1),".",",")),0),0),0)</f>
        <v>0</v>
      </c>
      <c r="AQ334" s="28">
        <f ca="1">SUM('Banco de Dados'!$AM334:$AP334)</f>
        <v>0</v>
      </c>
      <c r="AR334" s="8"/>
      <c r="AS334" s="8"/>
      <c r="AY334" s="8"/>
    </row>
    <row r="335" spans="1:51">
      <c r="A335" s="5" t="str">
        <v>BV</v>
      </c>
      <c r="B335" s="5" t="str">
        <f ca="1"/>
        <v>BV45605</v>
      </c>
      <c r="C335" s="8" t="str">
        <v>Pedido 331</v>
      </c>
      <c r="D335" s="9">
        <v>45605</v>
      </c>
      <c r="E335" s="9">
        <v>45605</v>
      </c>
      <c r="F335" s="8" t="str">
        <v>PedidoF324</v>
      </c>
      <c r="G335" s="2" t="str">
        <v>CódRastreio324</v>
      </c>
      <c r="H335" s="5">
        <v>1</v>
      </c>
      <c r="I335" s="182" t="str">
        <v>CPF 325</v>
      </c>
      <c r="J335" s="2" t="str">
        <v>Nome 325</v>
      </c>
      <c r="K335" s="8" t="str">
        <v>Tel 325</v>
      </c>
      <c r="L335" s="2" t="str">
        <v>Cep 325</v>
      </c>
      <c r="M335" s="2" t="str">
        <v>Rua 325</v>
      </c>
      <c r="N335" s="2" t="str">
        <v>Comp 325</v>
      </c>
      <c r="O335" s="2" t="str">
        <v>Ventilador de teto</v>
      </c>
      <c r="P335" s="8" t="str">
        <v>ZO-J9IL-EN6L</v>
      </c>
      <c r="Q335" s="4">
        <v>45629</v>
      </c>
      <c r="R335" s="109">
        <v>59.5</v>
      </c>
      <c r="S335" s="11">
        <f ca="1"/>
        <v>59.5</v>
      </c>
      <c r="T335" s="28">
        <f ca="1"/>
        <v>8.33</v>
      </c>
      <c r="U335" s="11">
        <f ca="1"/>
        <v>51.17</v>
      </c>
      <c r="V335" s="11">
        <v>7.27</v>
      </c>
      <c r="W335" s="11">
        <f ca="1"/>
        <v>0.2</v>
      </c>
      <c r="X335" s="11">
        <f ca="1"/>
        <v>0.39877104377104378</v>
      </c>
      <c r="Y335" s="11">
        <v>0</v>
      </c>
      <c r="Z335" s="11">
        <f ca="1"/>
        <v>43.301228956228961</v>
      </c>
      <c r="AA335" s="11">
        <f ca="1"/>
        <v>21.65061447811448</v>
      </c>
      <c r="AB335" s="4">
        <f ca="1"/>
        <v>45636</v>
      </c>
      <c r="AC335" s="4">
        <v>45636</v>
      </c>
      <c r="AD335" s="9">
        <v>45637</v>
      </c>
      <c r="AE335" s="9">
        <v>45642</v>
      </c>
      <c r="AF335" s="4" t="str">
        <f t="shared" ca="1" si="5"/>
        <v>2024 12</v>
      </c>
      <c r="AG335" s="8" t="str" cm="1">
        <f t="array" ref="AG335">IFERROR(_xlfn.IFS('Banco de Dados'!#REF!="AG. COMPRA","Em processamento",'Banco de Dados'!#REF!="AG. RASTREIO","Em processamento",'Banco de Dados'!$AE335&lt;&gt;"-","Faturado",'Banco de Dados'!$AD335&lt;&gt;"-","Aguardando Pix",'Banco de Dados'!$AC335&lt;&gt;"-","Pendente"),"Aguardando Liberação")</f>
        <v>Aguardando Liberação</v>
      </c>
      <c r="AH335" s="5" t="str">
        <f>IF('Banco de Dados'!$F335="-",_xlfn.CONCAT(PROPER(TEXT(AK335,"aaaa"))," ",PROPER(TEXT(AK335,"mm"))),_xlfn.CONCAT(PROPER(TEXT(E335,"aaaa"))," ",PROPER(TEXT(E335,"mm"))))</f>
        <v>2024 11</v>
      </c>
      <c r="AI335" s="9" t="str">
        <f ca="1">IF('Banco de Dados'!$AK335&lt;&gt;"-","REEMBOLSO",IFERROR(_xlfn.XLOOKUP(G335,Follow[CODRASTREIO],Follow[STATUS]),"-"))</f>
        <v>ENTREGUE</v>
      </c>
      <c r="AJ335" s="9">
        <f ca="1">IF('Banco de Dados'!$AI335="ENTREGUE",_xlfn.XLOOKUP('Banco de Dados'!$G335,Follow[CODRASTREIO],Follow[DATAATUALIZAÇÃO]),"-")</f>
        <v>45624</v>
      </c>
      <c r="AK335" s="9" t="str">
        <f ca="1"/>
        <v>-</v>
      </c>
      <c r="AL335" s="35"/>
      <c r="AM335" s="109" cm="1">
        <f t="array" aca="1" ref="AM335" ca="1">IF('Banco de Dados'!$AK335&lt;&gt;"-",_xlfn.IFS('Banco de Dados'!$A335="bv",IF('Banco de Dados'!$E335&lt;45641,ROUND(SUM('Banco de Dados'!$R335*_xlfn.XLOOKUP('Banco de Dados'!$P335,Sku!B:B,Sku!#REF!)*20%),2),ROUND(SUM('Banco de Dados'!$R335*_xlfn.XLOOKUP('Banco de Dados'!$P335,Sku!B:B,Sku!H:H)*20%),2)),'Banco de Dados'!$A335="GO",ROUND(_xlfn.XLOOKUP('Banco de Dados'!$P335,Sku!C:C,Sku!H:H),2),'Banco de Dados'!$A335="MEI",ROUND(_xlfn.XLOOKUP('Banco de Dados'!$P335,Sku!D:D,Sku!H:H),2)),0)</f>
        <v>0</v>
      </c>
      <c r="AN335" s="109">
        <f ca="1">IF('Banco de Dados'!$AK335&lt;&gt;"-",IF('Banco de Dados'!$F335&lt;&gt;"-",_xlfn.XLOOKUP(IFERROR(IFERROR(IFERROR(VALUE(SUBSTITUTE(MID(_xlfn.TEXTAFTER('Banco de Dados'!$F335,"Data do Pedido:
",1),1,10),"-","/")),VALUE(SUBSTITUTE(MID(_xlfn.TEXTAFTER('Banco de Dados'!$F335,"Order date:
",1),1,10),"-","/"))),VALUE(SUBSTITUTE(MID(_xlfn.TEXTAFTER('Banco de Dados'!$F335,"Fecha de pedido:
",1),1,10),"-","/"))),"-"),SMS!A:A,SMS!K:K),0),0)</f>
        <v>0</v>
      </c>
      <c r="AO335" s="109">
        <f ca="1">IF('Banco de Dados'!$AK335&lt;&gt;"-",IF('Banco de Dados'!$F335&lt;&gt;"-",IFERROR(_xlfn.XLOOKUP(_xlfn.CONCAT('Banco de Dados'!$A335,IFERROR(IFERROR(VALUE(SUBSTITUTE(MID(_xlfn.TEXTAFTER('Banco de Dados'!$F335,"Data do Pedido:
",1),1,10),"-","/")),VALUE(SUBSTITUTE(MID(_xlfn.TEXTAFTER('Banco de Dados'!$F335,"Order date:
",1),1,10),"-","/"))),0)),ProxyDD[Chave],ProxyDD[Valor por pedido]),PROXY!$P$2),0),0)</f>
        <v>0</v>
      </c>
      <c r="AP335" s="28">
        <f ca="1">IF('Banco de Dados'!$AK335&lt;&gt;"-",IF('Banco de Dados'!$AL335="NÃO",IFERROR(VALUE(SUBSTITUTE(_xlfn.TEXTAFTER('Banco de Dados'!$F335,"BRL ",1),".",",")),0),0),0)</f>
        <v>0</v>
      </c>
      <c r="AQ335" s="28">
        <f ca="1">SUM('Banco de Dados'!$AM335:$AP335)</f>
        <v>0</v>
      </c>
      <c r="AR335" s="8"/>
      <c r="AS335" s="8"/>
      <c r="AY335" s="8"/>
    </row>
    <row r="336" spans="1:51">
      <c r="A336" s="5" t="str">
        <v>BV</v>
      </c>
      <c r="B336" s="5" t="str">
        <f ca="1"/>
        <v>BV45605</v>
      </c>
      <c r="C336" s="8" t="str">
        <v>Pedido 332</v>
      </c>
      <c r="D336" s="9">
        <v>45605</v>
      </c>
      <c r="E336" s="9">
        <v>45605</v>
      </c>
      <c r="F336" s="8" t="str">
        <v>PedidoF325</v>
      </c>
      <c r="G336" s="2" t="str">
        <v>CódRastreio325</v>
      </c>
      <c r="H336" s="5">
        <v>1</v>
      </c>
      <c r="I336" s="182" t="str">
        <v>CPF 326</v>
      </c>
      <c r="J336" s="2" t="str">
        <v>Nome 326</v>
      </c>
      <c r="K336" s="8" t="str">
        <v>Tel 326</v>
      </c>
      <c r="L336" s="2" t="str">
        <v>Cep 326</v>
      </c>
      <c r="M336" s="2" t="str">
        <v>Rua 326</v>
      </c>
      <c r="N336" s="2" t="str">
        <v>Comp 326</v>
      </c>
      <c r="O336" s="2" t="str">
        <v>Mini Liquidificador</v>
      </c>
      <c r="P336" s="8" t="str">
        <v>CK-YL6M-P5Y6</v>
      </c>
      <c r="Q336" s="4">
        <v>45629</v>
      </c>
      <c r="R336" s="109">
        <v>32.299999999999997</v>
      </c>
      <c r="S336" s="11">
        <f ca="1"/>
        <v>32.299999999999997</v>
      </c>
      <c r="T336" s="28">
        <f ca="1"/>
        <v>4.1989999999999998</v>
      </c>
      <c r="U336" s="11">
        <f ca="1"/>
        <v>28.1</v>
      </c>
      <c r="V336" s="11">
        <v>11.99</v>
      </c>
      <c r="W336" s="11">
        <f ca="1"/>
        <v>0.2</v>
      </c>
      <c r="X336" s="11">
        <f ca="1"/>
        <v>0.39877104377104378</v>
      </c>
      <c r="Y336" s="11">
        <v>0</v>
      </c>
      <c r="Z336" s="11">
        <f ca="1"/>
        <v>15.511228956228958</v>
      </c>
      <c r="AA336" s="11">
        <f ca="1"/>
        <v>7.7556144781144791</v>
      </c>
      <c r="AB336" s="4">
        <f ca="1"/>
        <v>45636</v>
      </c>
      <c r="AC336" s="4">
        <v>45636</v>
      </c>
      <c r="AD336" s="9">
        <v>45637</v>
      </c>
      <c r="AE336" s="9">
        <v>45642</v>
      </c>
      <c r="AF336" s="4" t="str">
        <f t="shared" ca="1" si="5"/>
        <v>2024 12</v>
      </c>
      <c r="AG336" s="8" t="str" cm="1">
        <f t="array" ref="AG336">IFERROR(_xlfn.IFS('Banco de Dados'!#REF!="AG. COMPRA","Em processamento",'Banco de Dados'!#REF!="AG. RASTREIO","Em processamento",'Banco de Dados'!$AE336&lt;&gt;"-","Faturado",'Banco de Dados'!$AD336&lt;&gt;"-","Aguardando Pix",'Banco de Dados'!$AC336&lt;&gt;"-","Pendente"),"Aguardando Liberação")</f>
        <v>Aguardando Liberação</v>
      </c>
      <c r="AH336" s="5" t="str">
        <f>IF('Banco de Dados'!$F336="-",_xlfn.CONCAT(PROPER(TEXT(AK336,"aaaa"))," ",PROPER(TEXT(AK336,"mm"))),_xlfn.CONCAT(PROPER(TEXT(E336,"aaaa"))," ",PROPER(TEXT(E336,"mm"))))</f>
        <v>2024 11</v>
      </c>
      <c r="AI336" s="9" t="str">
        <f ca="1">IF('Banco de Dados'!$AK336&lt;&gt;"-","REEMBOLSO",IFERROR(_xlfn.XLOOKUP(G336,Follow[CODRASTREIO],Follow[STATUS]),"-"))</f>
        <v>ENTREGUE</v>
      </c>
      <c r="AJ336" s="9">
        <f ca="1">IF('Banco de Dados'!$AI336="ENTREGUE",_xlfn.XLOOKUP('Banco de Dados'!$G336,Follow[CODRASTREIO],Follow[DATAATUALIZAÇÃO]),"-")</f>
        <v>45612</v>
      </c>
      <c r="AK336" s="9" t="str">
        <f ca="1"/>
        <v>-</v>
      </c>
      <c r="AL336" s="35"/>
      <c r="AM336" s="109" cm="1">
        <f t="array" aca="1" ref="AM336" ca="1">IF('Banco de Dados'!$AK336&lt;&gt;"-",_xlfn.IFS('Banco de Dados'!$A336="bv",IF('Banco de Dados'!$E336&lt;45641,ROUND(SUM('Banco de Dados'!$R336*_xlfn.XLOOKUP('Banco de Dados'!$P336,Sku!B:B,Sku!#REF!)*20%),2),ROUND(SUM('Banco de Dados'!$R336*_xlfn.XLOOKUP('Banco de Dados'!$P336,Sku!B:B,Sku!H:H)*20%),2)),'Banco de Dados'!$A336="GO",ROUND(_xlfn.XLOOKUP('Banco de Dados'!$P336,Sku!C:C,Sku!H:H),2),'Banco de Dados'!$A336="MEI",ROUND(_xlfn.XLOOKUP('Banco de Dados'!$P336,Sku!D:D,Sku!H:H),2)),0)</f>
        <v>0</v>
      </c>
      <c r="AN336" s="109">
        <f ca="1">IF('Banco de Dados'!$AK336&lt;&gt;"-",IF('Banco de Dados'!$F336&lt;&gt;"-",_xlfn.XLOOKUP(IFERROR(IFERROR(IFERROR(VALUE(SUBSTITUTE(MID(_xlfn.TEXTAFTER('Banco de Dados'!$F336,"Data do Pedido:
",1),1,10),"-","/")),VALUE(SUBSTITUTE(MID(_xlfn.TEXTAFTER('Banco de Dados'!$F336,"Order date:
",1),1,10),"-","/"))),VALUE(SUBSTITUTE(MID(_xlfn.TEXTAFTER('Banco de Dados'!$F336,"Fecha de pedido:
",1),1,10),"-","/"))),"-"),SMS!A:A,SMS!K:K),0),0)</f>
        <v>0</v>
      </c>
      <c r="AO336" s="109">
        <f ca="1">IF('Banco de Dados'!$AK336&lt;&gt;"-",IF('Banco de Dados'!$F336&lt;&gt;"-",IFERROR(_xlfn.XLOOKUP(_xlfn.CONCAT('Banco de Dados'!$A336,IFERROR(IFERROR(VALUE(SUBSTITUTE(MID(_xlfn.TEXTAFTER('Banco de Dados'!$F336,"Data do Pedido:
",1),1,10),"-","/")),VALUE(SUBSTITUTE(MID(_xlfn.TEXTAFTER('Banco de Dados'!$F336,"Order date:
",1),1,10),"-","/"))),0)),ProxyDD[Chave],ProxyDD[Valor por pedido]),PROXY!$P$2),0),0)</f>
        <v>0</v>
      </c>
      <c r="AP336" s="28">
        <f ca="1">IF('Banco de Dados'!$AK336&lt;&gt;"-",IF('Banco de Dados'!$AL336="NÃO",IFERROR(VALUE(SUBSTITUTE(_xlfn.TEXTAFTER('Banco de Dados'!$F336,"BRL ",1),".",",")),0),0),0)</f>
        <v>0</v>
      </c>
      <c r="AQ336" s="28">
        <f ca="1">SUM('Banco de Dados'!$AM336:$AP336)</f>
        <v>0</v>
      </c>
      <c r="AR336" s="8"/>
      <c r="AS336" s="8"/>
      <c r="AY336" s="8"/>
    </row>
    <row r="337" spans="1:51">
      <c r="A337" s="5" t="str">
        <v>BV</v>
      </c>
      <c r="B337" s="5" t="str">
        <f ca="1"/>
        <v>BV45605</v>
      </c>
      <c r="C337" s="8" t="str">
        <v>Pedido 333</v>
      </c>
      <c r="D337" s="9">
        <v>45605</v>
      </c>
      <c r="E337" s="9">
        <v>45605</v>
      </c>
      <c r="F337" s="8" t="str">
        <v>PedidoF326</v>
      </c>
      <c r="G337" s="2" t="str">
        <v>CódRastreio326</v>
      </c>
      <c r="H337" s="5">
        <v>1</v>
      </c>
      <c r="I337" s="182" t="str">
        <v>CPF 327</v>
      </c>
      <c r="J337" s="2" t="str">
        <v>Nome 327</v>
      </c>
      <c r="K337" s="8" t="str">
        <v>Tel 327</v>
      </c>
      <c r="L337" s="2" t="str">
        <v>Cep 327</v>
      </c>
      <c r="M337" s="2" t="str">
        <v>Rua 327</v>
      </c>
      <c r="N337" s="2" t="str">
        <v>Comp 327</v>
      </c>
      <c r="O337" s="2" t="str">
        <v>Ventilador de teto</v>
      </c>
      <c r="P337" s="8" t="str">
        <v>ZO-J9IL-EN6L</v>
      </c>
      <c r="Q337" s="4">
        <v>45629</v>
      </c>
      <c r="R337" s="109">
        <v>59.5</v>
      </c>
      <c r="S337" s="11">
        <f ca="1"/>
        <v>59.5</v>
      </c>
      <c r="T337" s="28">
        <f ca="1"/>
        <v>8.33</v>
      </c>
      <c r="U337" s="11">
        <f ca="1"/>
        <v>51.17</v>
      </c>
      <c r="V337" s="11">
        <v>7.27</v>
      </c>
      <c r="W337" s="11">
        <f ca="1"/>
        <v>0.2</v>
      </c>
      <c r="X337" s="11">
        <f ca="1"/>
        <v>0.39877104377104378</v>
      </c>
      <c r="Y337" s="11">
        <v>0</v>
      </c>
      <c r="Z337" s="11">
        <f ca="1"/>
        <v>43.301228956228961</v>
      </c>
      <c r="AA337" s="11">
        <f ca="1"/>
        <v>21.65061447811448</v>
      </c>
      <c r="AB337" s="4">
        <f ca="1"/>
        <v>45636</v>
      </c>
      <c r="AC337" s="4">
        <v>45636</v>
      </c>
      <c r="AD337" s="9">
        <v>45637</v>
      </c>
      <c r="AE337" s="9">
        <v>45642</v>
      </c>
      <c r="AF337" s="4" t="str">
        <f t="shared" ca="1" si="5"/>
        <v>2024 12</v>
      </c>
      <c r="AG337" s="8" t="str" cm="1">
        <f t="array" ref="AG337">IFERROR(_xlfn.IFS('Banco de Dados'!#REF!="AG. COMPRA","Em processamento",'Banco de Dados'!#REF!="AG. RASTREIO","Em processamento",'Banco de Dados'!$AE337&lt;&gt;"-","Faturado",'Banco de Dados'!$AD337&lt;&gt;"-","Aguardando Pix",'Banco de Dados'!$AC337&lt;&gt;"-","Pendente"),"Aguardando Liberação")</f>
        <v>Aguardando Liberação</v>
      </c>
      <c r="AH337" s="5" t="str">
        <f>IF('Banco de Dados'!$F337="-",_xlfn.CONCAT(PROPER(TEXT(AK337,"aaaa"))," ",PROPER(TEXT(AK337,"mm"))),_xlfn.CONCAT(PROPER(TEXT(E337,"aaaa"))," ",PROPER(TEXT(E337,"mm"))))</f>
        <v>2024 11</v>
      </c>
      <c r="AI337" s="9" t="str">
        <f ca="1">IF('Banco de Dados'!$AK337&lt;&gt;"-","REEMBOLSO",IFERROR(_xlfn.XLOOKUP(G337,Follow[CODRASTREIO],Follow[STATUS]),"-"))</f>
        <v>ENTREGUE</v>
      </c>
      <c r="AJ337" s="9">
        <f ca="1">IF('Banco de Dados'!$AI337="ENTREGUE",_xlfn.XLOOKUP('Banco de Dados'!$G337,Follow[CODRASTREIO],Follow[DATAATUALIZAÇÃO]),"-")</f>
        <v>45617</v>
      </c>
      <c r="AK337" s="9" t="str">
        <f ca="1"/>
        <v>-</v>
      </c>
      <c r="AL337" s="35"/>
      <c r="AM337" s="109" cm="1">
        <f t="array" aca="1" ref="AM337" ca="1">IF('Banco de Dados'!$AK337&lt;&gt;"-",_xlfn.IFS('Banco de Dados'!$A337="bv",IF('Banco de Dados'!$E337&lt;45641,ROUND(SUM('Banco de Dados'!$R337*_xlfn.XLOOKUP('Banco de Dados'!$P337,Sku!B:B,Sku!#REF!)*20%),2),ROUND(SUM('Banco de Dados'!$R337*_xlfn.XLOOKUP('Banco de Dados'!$P337,Sku!B:B,Sku!H:H)*20%),2)),'Banco de Dados'!$A337="GO",ROUND(_xlfn.XLOOKUP('Banco de Dados'!$P337,Sku!C:C,Sku!H:H),2),'Banco de Dados'!$A337="MEI",ROUND(_xlfn.XLOOKUP('Banco de Dados'!$P337,Sku!D:D,Sku!H:H),2)),0)</f>
        <v>0</v>
      </c>
      <c r="AN337" s="109">
        <f ca="1">IF('Banco de Dados'!$AK337&lt;&gt;"-",IF('Banco de Dados'!$F337&lt;&gt;"-",_xlfn.XLOOKUP(IFERROR(IFERROR(IFERROR(VALUE(SUBSTITUTE(MID(_xlfn.TEXTAFTER('Banco de Dados'!$F337,"Data do Pedido:
",1),1,10),"-","/")),VALUE(SUBSTITUTE(MID(_xlfn.TEXTAFTER('Banco de Dados'!$F337,"Order date:
",1),1,10),"-","/"))),VALUE(SUBSTITUTE(MID(_xlfn.TEXTAFTER('Banco de Dados'!$F337,"Fecha de pedido:
",1),1,10),"-","/"))),"-"),SMS!A:A,SMS!K:K),0),0)</f>
        <v>0</v>
      </c>
      <c r="AO337" s="109">
        <f ca="1">IF('Banco de Dados'!$AK337&lt;&gt;"-",IF('Banco de Dados'!$F337&lt;&gt;"-",IFERROR(_xlfn.XLOOKUP(_xlfn.CONCAT('Banco de Dados'!$A337,IFERROR(IFERROR(VALUE(SUBSTITUTE(MID(_xlfn.TEXTAFTER('Banco de Dados'!$F337,"Data do Pedido:
",1),1,10),"-","/")),VALUE(SUBSTITUTE(MID(_xlfn.TEXTAFTER('Banco de Dados'!$F337,"Order date:
",1),1,10),"-","/"))),0)),ProxyDD[Chave],ProxyDD[Valor por pedido]),PROXY!$P$2),0),0)</f>
        <v>0</v>
      </c>
      <c r="AP337" s="28">
        <f ca="1">IF('Banco de Dados'!$AK337&lt;&gt;"-",IF('Banco de Dados'!$AL337="NÃO",IFERROR(VALUE(SUBSTITUTE(_xlfn.TEXTAFTER('Banco de Dados'!$F337,"BRL ",1),".",",")),0),0),0)</f>
        <v>0</v>
      </c>
      <c r="AQ337" s="28">
        <f ca="1">SUM('Banco de Dados'!$AM337:$AP337)</f>
        <v>0</v>
      </c>
      <c r="AR337" s="8"/>
      <c r="AS337" s="8"/>
      <c r="AY337" s="8"/>
    </row>
    <row r="338" spans="1:51">
      <c r="A338" s="5" t="str">
        <v>BV</v>
      </c>
      <c r="B338" s="5" t="str">
        <f ca="1"/>
        <v>BV45605</v>
      </c>
      <c r="C338" s="8" t="str">
        <v>Pedido 334</v>
      </c>
      <c r="D338" s="9">
        <v>45605</v>
      </c>
      <c r="E338" s="9">
        <v>45605</v>
      </c>
      <c r="F338" s="8" t="str">
        <v>PedidoF327</v>
      </c>
      <c r="G338" s="2" t="str">
        <v>CódRastreio327</v>
      </c>
      <c r="H338" s="5">
        <v>1</v>
      </c>
      <c r="I338" s="182" t="str">
        <v>CPF 328</v>
      </c>
      <c r="J338" s="2" t="str">
        <v>Nome 328</v>
      </c>
      <c r="K338" s="8" t="str">
        <v>Tel 328</v>
      </c>
      <c r="L338" s="2" t="str">
        <v>Cep 328</v>
      </c>
      <c r="M338" s="2" t="str">
        <v>Rua 328</v>
      </c>
      <c r="N338" s="2" t="str">
        <v>Comp 328</v>
      </c>
      <c r="O338" s="2" t="str">
        <v>Ventilador de teto</v>
      </c>
      <c r="P338" s="8" t="str">
        <v>ZO-J9IL-EN6L</v>
      </c>
      <c r="Q338" s="4">
        <v>45633</v>
      </c>
      <c r="R338" s="109">
        <v>59.5</v>
      </c>
      <c r="S338" s="11">
        <f ca="1"/>
        <v>59.5</v>
      </c>
      <c r="T338" s="28">
        <f ca="1"/>
        <v>8.33</v>
      </c>
      <c r="U338" s="11">
        <f ca="1"/>
        <v>51.17</v>
      </c>
      <c r="V338" s="11">
        <v>7.27</v>
      </c>
      <c r="W338" s="11">
        <f ca="1"/>
        <v>0.2</v>
      </c>
      <c r="X338" s="11">
        <f ca="1"/>
        <v>0.39877104377104378</v>
      </c>
      <c r="Y338" s="11">
        <v>0</v>
      </c>
      <c r="Z338" s="11">
        <f ca="1"/>
        <v>43.301228956228961</v>
      </c>
      <c r="AA338" s="11">
        <f ca="1"/>
        <v>21.65061447811448</v>
      </c>
      <c r="AB338" s="4">
        <f ca="1"/>
        <v>45640</v>
      </c>
      <c r="AC338" s="4">
        <v>45640</v>
      </c>
      <c r="AD338" s="9">
        <v>45640</v>
      </c>
      <c r="AE338" s="9">
        <v>45642</v>
      </c>
      <c r="AF338" s="4" t="str">
        <f t="shared" ca="1" si="5"/>
        <v>2024 12</v>
      </c>
      <c r="AG338" s="8" t="str" cm="1">
        <f t="array" ref="AG338">IFERROR(_xlfn.IFS('Banco de Dados'!#REF!="AG. COMPRA","Em processamento",'Banco de Dados'!#REF!="AG. RASTREIO","Em processamento",'Banco de Dados'!$AE338&lt;&gt;"-","Faturado",'Banco de Dados'!$AD338&lt;&gt;"-","Aguardando Pix",'Banco de Dados'!$AC338&lt;&gt;"-","Pendente"),"Aguardando Liberação")</f>
        <v>Aguardando Liberação</v>
      </c>
      <c r="AH338" s="5" t="str">
        <f>IF('Banco de Dados'!$F338="-",_xlfn.CONCAT(PROPER(TEXT(AK338,"aaaa"))," ",PROPER(TEXT(AK338,"mm"))),_xlfn.CONCAT(PROPER(TEXT(E338,"aaaa"))," ",PROPER(TEXT(E338,"mm"))))</f>
        <v>2024 11</v>
      </c>
      <c r="AI338" s="9" t="str">
        <f ca="1">IF('Banco de Dados'!$AK338&lt;&gt;"-","REEMBOLSO",IFERROR(_xlfn.XLOOKUP(G338,Follow[CODRASTREIO],Follow[STATUS]),"-"))</f>
        <v>ENTREGUE</v>
      </c>
      <c r="AJ338" s="9">
        <f ca="1">IF('Banco de Dados'!$AI338="ENTREGUE",_xlfn.XLOOKUP('Banco de Dados'!$G338,Follow[CODRASTREIO],Follow[DATAATUALIZAÇÃO]),"-")</f>
        <v>45618</v>
      </c>
      <c r="AK338" s="9" t="str">
        <f ca="1"/>
        <v>-</v>
      </c>
      <c r="AL338" s="35"/>
      <c r="AM338" s="109" cm="1">
        <f t="array" aca="1" ref="AM338" ca="1">IF('Banco de Dados'!$AK338&lt;&gt;"-",_xlfn.IFS('Banco de Dados'!$A338="bv",IF('Banco de Dados'!$E338&lt;45641,ROUND(SUM('Banco de Dados'!$R338*_xlfn.XLOOKUP('Banco de Dados'!$P338,Sku!B:B,Sku!#REF!)*20%),2),ROUND(SUM('Banco de Dados'!$R338*_xlfn.XLOOKUP('Banco de Dados'!$P338,Sku!B:B,Sku!H:H)*20%),2)),'Banco de Dados'!$A338="GO",ROUND(_xlfn.XLOOKUP('Banco de Dados'!$P338,Sku!C:C,Sku!H:H),2),'Banco de Dados'!$A338="MEI",ROUND(_xlfn.XLOOKUP('Banco de Dados'!$P338,Sku!D:D,Sku!H:H),2)),0)</f>
        <v>0</v>
      </c>
      <c r="AN338" s="109">
        <f ca="1">IF('Banco de Dados'!$AK338&lt;&gt;"-",IF('Banco de Dados'!$F338&lt;&gt;"-",_xlfn.XLOOKUP(IFERROR(IFERROR(IFERROR(VALUE(SUBSTITUTE(MID(_xlfn.TEXTAFTER('Banco de Dados'!$F338,"Data do Pedido:
",1),1,10),"-","/")),VALUE(SUBSTITUTE(MID(_xlfn.TEXTAFTER('Banco de Dados'!$F338,"Order date:
",1),1,10),"-","/"))),VALUE(SUBSTITUTE(MID(_xlfn.TEXTAFTER('Banco de Dados'!$F338,"Fecha de pedido:
",1),1,10),"-","/"))),"-"),SMS!A:A,SMS!K:K),0),0)</f>
        <v>0</v>
      </c>
      <c r="AO338" s="109">
        <f ca="1">IF('Banco de Dados'!$AK338&lt;&gt;"-",IF('Banco de Dados'!$F338&lt;&gt;"-",IFERROR(_xlfn.XLOOKUP(_xlfn.CONCAT('Banco de Dados'!$A338,IFERROR(IFERROR(VALUE(SUBSTITUTE(MID(_xlfn.TEXTAFTER('Banco de Dados'!$F338,"Data do Pedido:
",1),1,10),"-","/")),VALUE(SUBSTITUTE(MID(_xlfn.TEXTAFTER('Banco de Dados'!$F338,"Order date:
",1),1,10),"-","/"))),0)),ProxyDD[Chave],ProxyDD[Valor por pedido]),PROXY!$P$2),0),0)</f>
        <v>0</v>
      </c>
      <c r="AP338" s="28">
        <f ca="1">IF('Banco de Dados'!$AK338&lt;&gt;"-",IF('Banco de Dados'!$AL338="NÃO",IFERROR(VALUE(SUBSTITUTE(_xlfn.TEXTAFTER('Banco de Dados'!$F338,"BRL ",1),".",",")),0),0),0)</f>
        <v>0</v>
      </c>
      <c r="AQ338" s="28">
        <f ca="1">SUM('Banco de Dados'!$AM338:$AP338)</f>
        <v>0</v>
      </c>
      <c r="AR338" s="8"/>
      <c r="AS338" s="8"/>
      <c r="AY338" s="8"/>
    </row>
    <row r="339" spans="1:51">
      <c r="A339" s="5" t="str">
        <v>BV</v>
      </c>
      <c r="B339" s="5" t="str">
        <f ca="1"/>
        <v>BV45605</v>
      </c>
      <c r="C339" s="8" t="str">
        <v>Pedido 335</v>
      </c>
      <c r="D339" s="9">
        <v>45605</v>
      </c>
      <c r="E339" s="9">
        <v>45605</v>
      </c>
      <c r="F339" s="8" t="str">
        <v>PedidoF328</v>
      </c>
      <c r="G339" s="2" t="str">
        <v>CódRastreio328</v>
      </c>
      <c r="H339" s="5">
        <v>1</v>
      </c>
      <c r="I339" s="182" t="str">
        <v>CPF 329</v>
      </c>
      <c r="J339" s="2" t="str">
        <v>Nome 329</v>
      </c>
      <c r="K339" s="8" t="str">
        <v>Tel 329</v>
      </c>
      <c r="L339" s="2" t="str">
        <v>Cep 329</v>
      </c>
      <c r="M339" s="2" t="str">
        <v>Rua 329</v>
      </c>
      <c r="N339" s="2" t="str">
        <v>Comp 329</v>
      </c>
      <c r="O339" s="2" t="str">
        <v>Mini Liquidificador</v>
      </c>
      <c r="P339" s="8" t="str">
        <v>CK-YL6M-P5Y6</v>
      </c>
      <c r="Q339" s="4">
        <v>45629</v>
      </c>
      <c r="R339" s="109">
        <v>32.299999999999997</v>
      </c>
      <c r="S339" s="11">
        <f ca="1"/>
        <v>32.299999999999997</v>
      </c>
      <c r="T339" s="28">
        <f ca="1"/>
        <v>4.1989999999999998</v>
      </c>
      <c r="U339" s="11">
        <f ca="1"/>
        <v>28.1</v>
      </c>
      <c r="V339" s="11">
        <v>11.99</v>
      </c>
      <c r="W339" s="11">
        <f ca="1"/>
        <v>0.2</v>
      </c>
      <c r="X339" s="11">
        <f ca="1"/>
        <v>0.39877104377104378</v>
      </c>
      <c r="Y339" s="11">
        <v>0</v>
      </c>
      <c r="Z339" s="11">
        <f ca="1"/>
        <v>15.511228956228958</v>
      </c>
      <c r="AA339" s="11">
        <f ca="1"/>
        <v>7.7556144781144791</v>
      </c>
      <c r="AB339" s="4">
        <f ca="1"/>
        <v>45636</v>
      </c>
      <c r="AC339" s="4">
        <v>45636</v>
      </c>
      <c r="AD339" s="9">
        <v>45637</v>
      </c>
      <c r="AE339" s="9">
        <v>45642</v>
      </c>
      <c r="AF339" s="4" t="str">
        <f t="shared" ca="1" si="5"/>
        <v>2024 12</v>
      </c>
      <c r="AG339" s="8" t="str" cm="1">
        <f t="array" ref="AG339">IFERROR(_xlfn.IFS('Banco de Dados'!#REF!="AG. COMPRA","Em processamento",'Banco de Dados'!#REF!="AG. RASTREIO","Em processamento",'Banco de Dados'!$AE339&lt;&gt;"-","Faturado",'Banco de Dados'!$AD339&lt;&gt;"-","Aguardando Pix",'Banco de Dados'!$AC339&lt;&gt;"-","Pendente"),"Aguardando Liberação")</f>
        <v>Aguardando Liberação</v>
      </c>
      <c r="AH339" s="5" t="str">
        <f>IF('Banco de Dados'!$F339="-",_xlfn.CONCAT(PROPER(TEXT(AK339,"aaaa"))," ",PROPER(TEXT(AK339,"mm"))),_xlfn.CONCAT(PROPER(TEXT(E339,"aaaa"))," ",PROPER(TEXT(E339,"mm"))))</f>
        <v>2024 11</v>
      </c>
      <c r="AI339" s="9" t="str">
        <f ca="1">IF('Banco de Dados'!$AK339&lt;&gt;"-","REEMBOLSO",IFERROR(_xlfn.XLOOKUP(G339,Follow[CODRASTREIO],Follow[STATUS]),"-"))</f>
        <v>ENTREGUE</v>
      </c>
      <c r="AJ339" s="9">
        <f ca="1">IF('Banco de Dados'!$AI339="ENTREGUE",_xlfn.XLOOKUP('Banco de Dados'!$G339,Follow[CODRASTREIO],Follow[DATAATUALIZAÇÃO]),"-")</f>
        <v>45613</v>
      </c>
      <c r="AK339" s="9" t="str">
        <f ca="1"/>
        <v>-</v>
      </c>
      <c r="AL339" s="35"/>
      <c r="AM339" s="109" cm="1">
        <f t="array" aca="1" ref="AM339" ca="1">IF('Banco de Dados'!$AK339&lt;&gt;"-",_xlfn.IFS('Banco de Dados'!$A339="bv",IF('Banco de Dados'!$E339&lt;45641,ROUND(SUM('Banco de Dados'!$R339*_xlfn.XLOOKUP('Banco de Dados'!$P339,Sku!B:B,Sku!#REF!)*20%),2),ROUND(SUM('Banco de Dados'!$R339*_xlfn.XLOOKUP('Banco de Dados'!$P339,Sku!B:B,Sku!H:H)*20%),2)),'Banco de Dados'!$A339="GO",ROUND(_xlfn.XLOOKUP('Banco de Dados'!$P339,Sku!C:C,Sku!H:H),2),'Banco de Dados'!$A339="MEI",ROUND(_xlfn.XLOOKUP('Banco de Dados'!$P339,Sku!D:D,Sku!H:H),2)),0)</f>
        <v>0</v>
      </c>
      <c r="AN339" s="109">
        <f ca="1">IF('Banco de Dados'!$AK339&lt;&gt;"-",IF('Banco de Dados'!$F339&lt;&gt;"-",_xlfn.XLOOKUP(IFERROR(IFERROR(IFERROR(VALUE(SUBSTITUTE(MID(_xlfn.TEXTAFTER('Banco de Dados'!$F339,"Data do Pedido:
",1),1,10),"-","/")),VALUE(SUBSTITUTE(MID(_xlfn.TEXTAFTER('Banco de Dados'!$F339,"Order date:
",1),1,10),"-","/"))),VALUE(SUBSTITUTE(MID(_xlfn.TEXTAFTER('Banco de Dados'!$F339,"Fecha de pedido:
",1),1,10),"-","/"))),"-"),SMS!A:A,SMS!K:K),0),0)</f>
        <v>0</v>
      </c>
      <c r="AO339" s="109">
        <f ca="1">IF('Banco de Dados'!$AK339&lt;&gt;"-",IF('Banco de Dados'!$F339&lt;&gt;"-",IFERROR(_xlfn.XLOOKUP(_xlfn.CONCAT('Banco de Dados'!$A339,IFERROR(IFERROR(VALUE(SUBSTITUTE(MID(_xlfn.TEXTAFTER('Banco de Dados'!$F339,"Data do Pedido:
",1),1,10),"-","/")),VALUE(SUBSTITUTE(MID(_xlfn.TEXTAFTER('Banco de Dados'!$F339,"Order date:
",1),1,10),"-","/"))),0)),ProxyDD[Chave],ProxyDD[Valor por pedido]),PROXY!$P$2),0),0)</f>
        <v>0</v>
      </c>
      <c r="AP339" s="28">
        <f ca="1">IF('Banco de Dados'!$AK339&lt;&gt;"-",IF('Banco de Dados'!$AL339="NÃO",IFERROR(VALUE(SUBSTITUTE(_xlfn.TEXTAFTER('Banco de Dados'!$F339,"BRL ",1),".",",")),0),0),0)</f>
        <v>0</v>
      </c>
      <c r="AQ339" s="28">
        <f ca="1">SUM('Banco de Dados'!$AM339:$AP339)</f>
        <v>0</v>
      </c>
      <c r="AR339" s="8"/>
      <c r="AS339" s="8"/>
      <c r="AY339" s="8"/>
    </row>
    <row r="340" spans="1:51">
      <c r="A340" s="5" t="str">
        <v>BV</v>
      </c>
      <c r="B340" s="5" t="str">
        <f ca="1"/>
        <v>BV45607</v>
      </c>
      <c r="C340" s="8" t="str">
        <v>Pedido 336</v>
      </c>
      <c r="D340" s="9">
        <v>45607</v>
      </c>
      <c r="E340" s="9">
        <v>45607</v>
      </c>
      <c r="F340" s="8" t="str">
        <v>PedidoF329</v>
      </c>
      <c r="G340" s="2" t="str">
        <v>CódRastreio329</v>
      </c>
      <c r="H340" s="5">
        <v>1</v>
      </c>
      <c r="I340" s="182" t="str">
        <v>CPF 330</v>
      </c>
      <c r="J340" s="2" t="str">
        <v>Nome 330</v>
      </c>
      <c r="K340" s="8" t="str">
        <v>Tel 330</v>
      </c>
      <c r="L340" s="2" t="str">
        <v>Cep 330</v>
      </c>
      <c r="M340" s="2" t="str">
        <v>Rua 330</v>
      </c>
      <c r="N340" s="2" t="str">
        <v>Comp 330</v>
      </c>
      <c r="O340" s="2" t="str">
        <v>Ventilador Azul</v>
      </c>
      <c r="P340" s="8" t="str">
        <v>U8-2VWS-OB6M</v>
      </c>
      <c r="Q340" s="4">
        <v>45633</v>
      </c>
      <c r="R340" s="109">
        <v>100</v>
      </c>
      <c r="S340" s="11">
        <f ca="1"/>
        <v>100</v>
      </c>
      <c r="T340" s="28">
        <f ca="1"/>
        <v>13</v>
      </c>
      <c r="U340" s="11">
        <f ca="1"/>
        <v>87</v>
      </c>
      <c r="V340" s="11">
        <v>7.29</v>
      </c>
      <c r="W340" s="11">
        <f ca="1"/>
        <v>0.23</v>
      </c>
      <c r="X340" s="11">
        <f ca="1"/>
        <v>0.39877104377104378</v>
      </c>
      <c r="Y340" s="11">
        <v>0</v>
      </c>
      <c r="Z340" s="11">
        <f ca="1"/>
        <v>79.081228956228955</v>
      </c>
      <c r="AA340" s="11">
        <f ca="1"/>
        <v>39.540614478114477</v>
      </c>
      <c r="AB340" s="4">
        <f ca="1"/>
        <v>45640</v>
      </c>
      <c r="AC340" s="4">
        <v>45640</v>
      </c>
      <c r="AD340" s="9">
        <v>45640</v>
      </c>
      <c r="AE340" s="9">
        <v>45642</v>
      </c>
      <c r="AF340" s="4" t="str">
        <f t="shared" ca="1" si="5"/>
        <v>2024 12</v>
      </c>
      <c r="AG340" s="8" t="str" cm="1">
        <f t="array" ref="AG340">IFERROR(_xlfn.IFS('Banco de Dados'!#REF!="AG. COMPRA","Em processamento",'Banco de Dados'!#REF!="AG. RASTREIO","Em processamento",'Banco de Dados'!$AE340&lt;&gt;"-","Faturado",'Banco de Dados'!$AD340&lt;&gt;"-","Aguardando Pix",'Banco de Dados'!$AC340&lt;&gt;"-","Pendente"),"Aguardando Liberação")</f>
        <v>Aguardando Liberação</v>
      </c>
      <c r="AH340" s="5" t="str">
        <f>IF('Banco de Dados'!$F340="-",_xlfn.CONCAT(PROPER(TEXT(AK340,"aaaa"))," ",PROPER(TEXT(AK340,"mm"))),_xlfn.CONCAT(PROPER(TEXT(E340,"aaaa"))," ",PROPER(TEXT(E340,"mm"))))</f>
        <v>2024 11</v>
      </c>
      <c r="AI340" s="9" t="str">
        <f ca="1">IF('Banco de Dados'!$AK340&lt;&gt;"-","REEMBOLSO",IFERROR(_xlfn.XLOOKUP(G340,Follow[CODRASTREIO],Follow[STATUS]),"-"))</f>
        <v>ENTREGUE</v>
      </c>
      <c r="AJ340" s="9">
        <f ca="1">IF('Banco de Dados'!$AI340="ENTREGUE",_xlfn.XLOOKUP('Banco de Dados'!$G340,Follow[CODRASTREIO],Follow[DATAATUALIZAÇÃO]),"-")</f>
        <v>45622</v>
      </c>
      <c r="AK340" s="9" t="str">
        <f ca="1"/>
        <v>-</v>
      </c>
      <c r="AL340" s="35"/>
      <c r="AM340" s="109" cm="1">
        <f t="array" aca="1" ref="AM340" ca="1">IF('Banco de Dados'!$AK340&lt;&gt;"-",_xlfn.IFS('Banco de Dados'!$A340="bv",IF('Banco de Dados'!$E340&lt;45641,ROUND(SUM('Banco de Dados'!$R340*_xlfn.XLOOKUP('Banco de Dados'!$P340,Sku!B:B,Sku!#REF!)*20%),2),ROUND(SUM('Banco de Dados'!$R340*_xlfn.XLOOKUP('Banco de Dados'!$P340,Sku!B:B,Sku!H:H)*20%),2)),'Banco de Dados'!$A340="GO",ROUND(_xlfn.XLOOKUP('Banco de Dados'!$P340,Sku!C:C,Sku!H:H),2),'Banco de Dados'!$A340="MEI",ROUND(_xlfn.XLOOKUP('Banco de Dados'!$P340,Sku!D:D,Sku!H:H),2)),0)</f>
        <v>0</v>
      </c>
      <c r="AN340" s="109">
        <f ca="1">IF('Banco de Dados'!$AK340&lt;&gt;"-",IF('Banco de Dados'!$F340&lt;&gt;"-",_xlfn.XLOOKUP(IFERROR(IFERROR(IFERROR(VALUE(SUBSTITUTE(MID(_xlfn.TEXTAFTER('Banco de Dados'!$F340,"Data do Pedido:
",1),1,10),"-","/")),VALUE(SUBSTITUTE(MID(_xlfn.TEXTAFTER('Banco de Dados'!$F340,"Order date:
",1),1,10),"-","/"))),VALUE(SUBSTITUTE(MID(_xlfn.TEXTAFTER('Banco de Dados'!$F340,"Fecha de pedido:
",1),1,10),"-","/"))),"-"),SMS!A:A,SMS!K:K),0),0)</f>
        <v>0</v>
      </c>
      <c r="AO340" s="109">
        <f ca="1">IF('Banco de Dados'!$AK340&lt;&gt;"-",IF('Banco de Dados'!$F340&lt;&gt;"-",IFERROR(_xlfn.XLOOKUP(_xlfn.CONCAT('Banco de Dados'!$A340,IFERROR(IFERROR(VALUE(SUBSTITUTE(MID(_xlfn.TEXTAFTER('Banco de Dados'!$F340,"Data do Pedido:
",1),1,10),"-","/")),VALUE(SUBSTITUTE(MID(_xlfn.TEXTAFTER('Banco de Dados'!$F340,"Order date:
",1),1,10),"-","/"))),0)),ProxyDD[Chave],ProxyDD[Valor por pedido]),PROXY!$P$2),0),0)</f>
        <v>0</v>
      </c>
      <c r="AP340" s="28">
        <f ca="1">IF('Banco de Dados'!$AK340&lt;&gt;"-",IF('Banco de Dados'!$AL340="NÃO",IFERROR(VALUE(SUBSTITUTE(_xlfn.TEXTAFTER('Banco de Dados'!$F340,"BRL ",1),".",",")),0),0),0)</f>
        <v>0</v>
      </c>
      <c r="AQ340" s="28">
        <f ca="1">SUM('Banco de Dados'!$AM340:$AP340)</f>
        <v>0</v>
      </c>
      <c r="AR340" s="8"/>
      <c r="AS340" s="8"/>
      <c r="AY340" s="8"/>
    </row>
    <row r="341" spans="1:51">
      <c r="A341" s="5" t="str">
        <v>BV</v>
      </c>
      <c r="B341" s="5" t="str">
        <f ca="1"/>
        <v>BV45607</v>
      </c>
      <c r="C341" s="8" t="str">
        <v>Pedido 337</v>
      </c>
      <c r="D341" s="9">
        <v>45607</v>
      </c>
      <c r="E341" s="9">
        <v>45607</v>
      </c>
      <c r="F341" s="8" t="str">
        <v>PedidoF330</v>
      </c>
      <c r="G341" s="2" t="str">
        <v>CódRastreio330</v>
      </c>
      <c r="H341" s="5">
        <v>1</v>
      </c>
      <c r="I341" s="182" t="str">
        <v>CPF 331</v>
      </c>
      <c r="J341" s="2" t="str">
        <v>Nome 331</v>
      </c>
      <c r="K341" s="8" t="str">
        <v>Tel 331</v>
      </c>
      <c r="L341" s="2" t="str">
        <v>Cep 331</v>
      </c>
      <c r="M341" s="2" t="str">
        <v>Rua 331</v>
      </c>
      <c r="N341" s="2" t="str">
        <v>Comp 331</v>
      </c>
      <c r="O341" s="2" t="str">
        <v>Ventilador Umidificador</v>
      </c>
      <c r="P341" s="8" t="str">
        <v>VF-9FSV-ZMGN</v>
      </c>
      <c r="Q341" s="4">
        <v>45640</v>
      </c>
      <c r="R341" s="109">
        <v>60</v>
      </c>
      <c r="S341" s="11">
        <f ca="1"/>
        <v>60</v>
      </c>
      <c r="T341" s="28">
        <f ca="1"/>
        <v>8.4</v>
      </c>
      <c r="U341" s="11">
        <f ca="1"/>
        <v>51.6</v>
      </c>
      <c r="V341" s="11">
        <v>7.29</v>
      </c>
      <c r="W341" s="11">
        <f ca="1"/>
        <v>0.23</v>
      </c>
      <c r="X341" s="11">
        <f ca="1"/>
        <v>0.39877104377104378</v>
      </c>
      <c r="Y341" s="11">
        <v>0</v>
      </c>
      <c r="Z341" s="11">
        <f ca="1"/>
        <v>43.681228956228956</v>
      </c>
      <c r="AA341" s="11">
        <f ca="1"/>
        <v>21.840614478114478</v>
      </c>
      <c r="AB341" s="4">
        <f ca="1"/>
        <v>45647</v>
      </c>
      <c r="AC341" s="4">
        <v>45647</v>
      </c>
      <c r="AD341" s="9">
        <v>45651</v>
      </c>
      <c r="AE341" s="9">
        <v>45659</v>
      </c>
      <c r="AF341" s="4" t="str">
        <f t="shared" ca="1" si="5"/>
        <v>2024 12</v>
      </c>
      <c r="AG341" s="8" t="str" cm="1">
        <f t="array" ref="AG341">IFERROR(_xlfn.IFS('Banco de Dados'!#REF!="AG. COMPRA","Em processamento",'Banco de Dados'!#REF!="AG. RASTREIO","Em processamento",'Banco de Dados'!$AE341&lt;&gt;"-","Faturado",'Banco de Dados'!$AD341&lt;&gt;"-","Aguardando Pix",'Banco de Dados'!$AC341&lt;&gt;"-","Pendente"),"Aguardando Liberação")</f>
        <v>Aguardando Liberação</v>
      </c>
      <c r="AH341" s="5" t="str">
        <f>IF('Banco de Dados'!$F341="-",_xlfn.CONCAT(PROPER(TEXT(AK341,"aaaa"))," ",PROPER(TEXT(AK341,"mm"))),_xlfn.CONCAT(PROPER(TEXT(E341,"aaaa"))," ",PROPER(TEXT(E341,"mm"))))</f>
        <v>2024 11</v>
      </c>
      <c r="AI341" s="9" t="str">
        <f ca="1">IF('Banco de Dados'!$AK341&lt;&gt;"-","REEMBOLSO",IFERROR(_xlfn.XLOOKUP(G341,Follow[CODRASTREIO],Follow[STATUS]),"-"))</f>
        <v>ENTREGUE</v>
      </c>
      <c r="AJ341" s="9">
        <f ca="1">IF('Banco de Dados'!$AI341="ENTREGUE",_xlfn.XLOOKUP('Banco de Dados'!$G341,Follow[CODRASTREIO],Follow[DATAATUALIZAÇÃO]),"-")</f>
        <v>45623</v>
      </c>
      <c r="AK341" s="9" t="str">
        <f ca="1"/>
        <v>-</v>
      </c>
      <c r="AL341" s="35"/>
      <c r="AM341" s="109" cm="1">
        <f t="array" aca="1" ref="AM341" ca="1">IF('Banco de Dados'!$AK341&lt;&gt;"-",_xlfn.IFS('Banco de Dados'!$A341="bv",IF('Banco de Dados'!$E341&lt;45641,ROUND(SUM('Banco de Dados'!$R341*_xlfn.XLOOKUP('Banco de Dados'!$P341,Sku!B:B,Sku!#REF!)*20%),2),ROUND(SUM('Banco de Dados'!$R341*_xlfn.XLOOKUP('Banco de Dados'!$P341,Sku!B:B,Sku!H:H)*20%),2)),'Banco de Dados'!$A341="GO",ROUND(_xlfn.XLOOKUP('Banco de Dados'!$P341,Sku!C:C,Sku!H:H),2),'Banco de Dados'!$A341="MEI",ROUND(_xlfn.XLOOKUP('Banco de Dados'!$P341,Sku!D:D,Sku!H:H),2)),0)</f>
        <v>0</v>
      </c>
      <c r="AN341" s="109">
        <f ca="1">IF('Banco de Dados'!$AK341&lt;&gt;"-",IF('Banco de Dados'!$F341&lt;&gt;"-",_xlfn.XLOOKUP(IFERROR(IFERROR(IFERROR(VALUE(SUBSTITUTE(MID(_xlfn.TEXTAFTER('Banco de Dados'!$F341,"Data do Pedido:
",1),1,10),"-","/")),VALUE(SUBSTITUTE(MID(_xlfn.TEXTAFTER('Banco de Dados'!$F341,"Order date:
",1),1,10),"-","/"))),VALUE(SUBSTITUTE(MID(_xlfn.TEXTAFTER('Banco de Dados'!$F341,"Fecha de pedido:
",1),1,10),"-","/"))),"-"),SMS!A:A,SMS!K:K),0),0)</f>
        <v>0</v>
      </c>
      <c r="AO341" s="109">
        <f ca="1">IF('Banco de Dados'!$AK341&lt;&gt;"-",IF('Banco de Dados'!$F341&lt;&gt;"-",IFERROR(_xlfn.XLOOKUP(_xlfn.CONCAT('Banco de Dados'!$A341,IFERROR(IFERROR(VALUE(SUBSTITUTE(MID(_xlfn.TEXTAFTER('Banco de Dados'!$F341,"Data do Pedido:
",1),1,10),"-","/")),VALUE(SUBSTITUTE(MID(_xlfn.TEXTAFTER('Banco de Dados'!$F341,"Order date:
",1),1,10),"-","/"))),0)),ProxyDD[Chave],ProxyDD[Valor por pedido]),PROXY!$P$2),0),0)</f>
        <v>0</v>
      </c>
      <c r="AP341" s="28">
        <f ca="1">IF('Banco de Dados'!$AK341&lt;&gt;"-",IF('Banco de Dados'!$AL341="NÃO",IFERROR(VALUE(SUBSTITUTE(_xlfn.TEXTAFTER('Banco de Dados'!$F341,"BRL ",1),".",",")),0),0),0)</f>
        <v>0</v>
      </c>
      <c r="AQ341" s="28">
        <f ca="1">SUM('Banco de Dados'!$AM341:$AP341)</f>
        <v>0</v>
      </c>
      <c r="AR341" s="8"/>
      <c r="AS341" s="8"/>
      <c r="AY341" s="8"/>
    </row>
    <row r="342" spans="1:51">
      <c r="A342" s="5" t="str">
        <v>BV</v>
      </c>
      <c r="B342" s="5" t="str">
        <f ca="1"/>
        <v>BV45607</v>
      </c>
      <c r="C342" s="8" t="str">
        <v>Pedido 338</v>
      </c>
      <c r="D342" s="9">
        <v>45607</v>
      </c>
      <c r="E342" s="9">
        <v>45607</v>
      </c>
      <c r="F342" s="8" t="str">
        <v>PedidoF331</v>
      </c>
      <c r="G342" s="2" t="str">
        <v>CódRastreio331</v>
      </c>
      <c r="H342" s="5">
        <v>1</v>
      </c>
      <c r="I342" s="182" t="str">
        <v>CPF 332</v>
      </c>
      <c r="J342" s="2" t="str">
        <v>Nome 332</v>
      </c>
      <c r="K342" s="8" t="str">
        <v>Tel 332</v>
      </c>
      <c r="L342" s="2" t="str">
        <v>Cep 332</v>
      </c>
      <c r="M342" s="2" t="str">
        <v>Rua 332</v>
      </c>
      <c r="N342" s="2" t="str">
        <v>Comp 332</v>
      </c>
      <c r="O342" s="2" t="str">
        <v>Bomba d'agua</v>
      </c>
      <c r="P342" s="8" t="str">
        <v>DJ-RO5O-43GF</v>
      </c>
      <c r="Q342" s="4">
        <v>45624</v>
      </c>
      <c r="R342" s="109">
        <v>16.8</v>
      </c>
      <c r="S342" s="11">
        <f ca="1"/>
        <v>16.8</v>
      </c>
      <c r="T342" s="28">
        <f ca="1"/>
        <v>2.3520000000000003</v>
      </c>
      <c r="U342" s="11">
        <f ca="1"/>
        <v>14.45</v>
      </c>
      <c r="V342" s="11">
        <v>6.57</v>
      </c>
      <c r="W342" s="11">
        <f ca="1"/>
        <v>0.23</v>
      </c>
      <c r="X342" s="11">
        <f ca="1"/>
        <v>0.39877104377104378</v>
      </c>
      <c r="Y342" s="11">
        <v>0</v>
      </c>
      <c r="Z342" s="11">
        <f ca="1"/>
        <v>7.2512289562289549</v>
      </c>
      <c r="AA342" s="11">
        <f ca="1"/>
        <v>3.6256144781144775</v>
      </c>
      <c r="AB342" s="4">
        <f ca="1"/>
        <v>45631</v>
      </c>
      <c r="AC342" s="4">
        <v>45631</v>
      </c>
      <c r="AD342" s="9">
        <v>45637</v>
      </c>
      <c r="AE342" s="9">
        <v>45642</v>
      </c>
      <c r="AF342" s="4" t="str">
        <f t="shared" ca="1" si="5"/>
        <v>2024 12</v>
      </c>
      <c r="AG342" s="8" t="str" cm="1">
        <f t="array" ref="AG342">IFERROR(_xlfn.IFS('Banco de Dados'!#REF!="AG. COMPRA","Em processamento",'Banco de Dados'!#REF!="AG. RASTREIO","Em processamento",'Banco de Dados'!$AE342&lt;&gt;"-","Faturado",'Banco de Dados'!$AD342&lt;&gt;"-","Aguardando Pix",'Banco de Dados'!$AC342&lt;&gt;"-","Pendente"),"Aguardando Liberação")</f>
        <v>Aguardando Liberação</v>
      </c>
      <c r="AH342" s="5" t="str">
        <f>IF('Banco de Dados'!$F342="-",_xlfn.CONCAT(PROPER(TEXT(AK342,"aaaa"))," ",PROPER(TEXT(AK342,"mm"))),_xlfn.CONCAT(PROPER(TEXT(E342,"aaaa"))," ",PROPER(TEXT(E342,"mm"))))</f>
        <v>2024 11</v>
      </c>
      <c r="AI342" s="9" t="str">
        <f ca="1">IF('Banco de Dados'!$AK342&lt;&gt;"-","REEMBOLSO",IFERROR(_xlfn.XLOOKUP(G342,Follow[CODRASTREIO],Follow[STATUS]),"-"))</f>
        <v>ENTREGUE</v>
      </c>
      <c r="AJ342" s="9">
        <f ca="1">IF('Banco de Dados'!$AI342="ENTREGUE",_xlfn.XLOOKUP('Banco de Dados'!$G342,Follow[CODRASTREIO],Follow[DATAATUALIZAÇÃO]),"-")</f>
        <v>45611</v>
      </c>
      <c r="AK342" s="9" t="str">
        <f ca="1"/>
        <v>-</v>
      </c>
      <c r="AL342" s="35"/>
      <c r="AM342" s="109" cm="1">
        <f t="array" aca="1" ref="AM342" ca="1">IF('Banco de Dados'!$AK342&lt;&gt;"-",_xlfn.IFS('Banco de Dados'!$A342="bv",IF('Banco de Dados'!$E342&lt;45641,ROUND(SUM('Banco de Dados'!$R342*_xlfn.XLOOKUP('Banco de Dados'!$P342,Sku!B:B,Sku!#REF!)*20%),2),ROUND(SUM('Banco de Dados'!$R342*_xlfn.XLOOKUP('Banco de Dados'!$P342,Sku!B:B,Sku!H:H)*20%),2)),'Banco de Dados'!$A342="GO",ROUND(_xlfn.XLOOKUP('Banco de Dados'!$P342,Sku!C:C,Sku!H:H),2),'Banco de Dados'!$A342="MEI",ROUND(_xlfn.XLOOKUP('Banco de Dados'!$P342,Sku!D:D,Sku!H:H),2)),0)</f>
        <v>0</v>
      </c>
      <c r="AN342" s="109">
        <f ca="1">IF('Banco de Dados'!$AK342&lt;&gt;"-",IF('Banco de Dados'!$F342&lt;&gt;"-",_xlfn.XLOOKUP(IFERROR(IFERROR(IFERROR(VALUE(SUBSTITUTE(MID(_xlfn.TEXTAFTER('Banco de Dados'!$F342,"Data do Pedido:
",1),1,10),"-","/")),VALUE(SUBSTITUTE(MID(_xlfn.TEXTAFTER('Banco de Dados'!$F342,"Order date:
",1),1,10),"-","/"))),VALUE(SUBSTITUTE(MID(_xlfn.TEXTAFTER('Banco de Dados'!$F342,"Fecha de pedido:
",1),1,10),"-","/"))),"-"),SMS!A:A,SMS!K:K),0),0)</f>
        <v>0</v>
      </c>
      <c r="AO342" s="109">
        <f ca="1">IF('Banco de Dados'!$AK342&lt;&gt;"-",IF('Banco de Dados'!$F342&lt;&gt;"-",IFERROR(_xlfn.XLOOKUP(_xlfn.CONCAT('Banco de Dados'!$A342,IFERROR(IFERROR(VALUE(SUBSTITUTE(MID(_xlfn.TEXTAFTER('Banco de Dados'!$F342,"Data do Pedido:
",1),1,10),"-","/")),VALUE(SUBSTITUTE(MID(_xlfn.TEXTAFTER('Banco de Dados'!$F342,"Order date:
",1),1,10),"-","/"))),0)),ProxyDD[Chave],ProxyDD[Valor por pedido]),PROXY!$P$2),0),0)</f>
        <v>0</v>
      </c>
      <c r="AP342" s="28">
        <f ca="1">IF('Banco de Dados'!$AK342&lt;&gt;"-",IF('Banco de Dados'!$AL342="NÃO",IFERROR(VALUE(SUBSTITUTE(_xlfn.TEXTAFTER('Banco de Dados'!$F342,"BRL ",1),".",",")),0),0),0)</f>
        <v>0</v>
      </c>
      <c r="AQ342" s="28">
        <f ca="1">SUM('Banco de Dados'!$AM342:$AP342)</f>
        <v>0</v>
      </c>
      <c r="AR342" s="8"/>
      <c r="AS342" s="8"/>
      <c r="AY342" s="8"/>
    </row>
    <row r="343" spans="1:51">
      <c r="A343" s="5" t="str">
        <v>BV</v>
      </c>
      <c r="B343" s="5" t="str">
        <f ca="1"/>
        <v>BV45607</v>
      </c>
      <c r="C343" s="8" t="str">
        <v>Pedido 339</v>
      </c>
      <c r="D343" s="9">
        <v>45607</v>
      </c>
      <c r="E343" s="9">
        <v>45607</v>
      </c>
      <c r="F343" s="8" t="str">
        <v>PedidoF332</v>
      </c>
      <c r="G343" s="2" t="str">
        <v>CódRastreio332</v>
      </c>
      <c r="H343" s="5">
        <v>1</v>
      </c>
      <c r="I343" s="182" t="str">
        <v>CPF 333</v>
      </c>
      <c r="J343" s="2" t="str">
        <v>Nome 333</v>
      </c>
      <c r="K343" s="8" t="str">
        <v>Tel 333</v>
      </c>
      <c r="L343" s="2" t="str">
        <v>Cep 333</v>
      </c>
      <c r="M343" s="2" t="str">
        <v>Rua 333</v>
      </c>
      <c r="N343" s="2" t="str">
        <v>Comp 333</v>
      </c>
      <c r="O343" s="2" t="str">
        <v>Ventilador de teto</v>
      </c>
      <c r="P343" s="8" t="str">
        <v>ZO-J9IL-EN6L</v>
      </c>
      <c r="Q343" s="4">
        <v>45636</v>
      </c>
      <c r="R343" s="109">
        <v>59.5</v>
      </c>
      <c r="S343" s="11">
        <f ca="1"/>
        <v>59.5</v>
      </c>
      <c r="T343" s="28">
        <f ca="1"/>
        <v>8.33</v>
      </c>
      <c r="U343" s="11">
        <f ca="1"/>
        <v>51.17</v>
      </c>
      <c r="V343" s="11">
        <v>10.31</v>
      </c>
      <c r="W343" s="11">
        <f ca="1"/>
        <v>0.23</v>
      </c>
      <c r="X343" s="11">
        <f ca="1"/>
        <v>0.39877104377104378</v>
      </c>
      <c r="Y343" s="11">
        <v>0</v>
      </c>
      <c r="Z343" s="11">
        <f ca="1"/>
        <v>40.231228956228961</v>
      </c>
      <c r="AA343" s="11">
        <f ca="1"/>
        <v>20.11561447811448</v>
      </c>
      <c r="AB343" s="4">
        <f ca="1"/>
        <v>45643</v>
      </c>
      <c r="AC343" s="4">
        <v>45643</v>
      </c>
      <c r="AD343" s="9">
        <v>45651</v>
      </c>
      <c r="AE343" s="9">
        <v>45659</v>
      </c>
      <c r="AF343" s="4" t="str">
        <f t="shared" ca="1" si="5"/>
        <v>2024 12</v>
      </c>
      <c r="AG343" s="8" t="str" cm="1">
        <f t="array" ref="AG343">IFERROR(_xlfn.IFS('Banco de Dados'!#REF!="AG. COMPRA","Em processamento",'Banco de Dados'!#REF!="AG. RASTREIO","Em processamento",'Banco de Dados'!$AE343&lt;&gt;"-","Faturado",'Banco de Dados'!$AD343&lt;&gt;"-","Aguardando Pix",'Banco de Dados'!$AC343&lt;&gt;"-","Pendente"),"Aguardando Liberação")</f>
        <v>Aguardando Liberação</v>
      </c>
      <c r="AH343" s="5" t="str">
        <f>IF('Banco de Dados'!$F343="-",_xlfn.CONCAT(PROPER(TEXT(AK343,"aaaa"))," ",PROPER(TEXT(AK343,"mm"))),_xlfn.CONCAT(PROPER(TEXT(E343,"aaaa"))," ",PROPER(TEXT(E343,"mm"))))</f>
        <v>2024 11</v>
      </c>
      <c r="AI343" s="9" t="str">
        <f ca="1">IF('Banco de Dados'!$AK343&lt;&gt;"-","REEMBOLSO",IFERROR(_xlfn.XLOOKUP(G343,Follow[CODRASTREIO],Follow[STATUS]),"-"))</f>
        <v>ENTREGUE</v>
      </c>
      <c r="AJ343" s="9">
        <f ca="1">IF('Banco de Dados'!$AI343="ENTREGUE",_xlfn.XLOOKUP('Banco de Dados'!$G343,Follow[CODRASTREIO],Follow[DATAATUALIZAÇÃO]),"-")</f>
        <v>45617</v>
      </c>
      <c r="AK343" s="9" t="str">
        <f ca="1"/>
        <v>-</v>
      </c>
      <c r="AL343" s="35"/>
      <c r="AM343" s="109" cm="1">
        <f t="array" aca="1" ref="AM343" ca="1">IF('Banco de Dados'!$AK343&lt;&gt;"-",_xlfn.IFS('Banco de Dados'!$A343="bv",IF('Banco de Dados'!$E343&lt;45641,ROUND(SUM('Banco de Dados'!$R343*_xlfn.XLOOKUP('Banco de Dados'!$P343,Sku!B:B,Sku!#REF!)*20%),2),ROUND(SUM('Banco de Dados'!$R343*_xlfn.XLOOKUP('Banco de Dados'!$P343,Sku!B:B,Sku!H:H)*20%),2)),'Banco de Dados'!$A343="GO",ROUND(_xlfn.XLOOKUP('Banco de Dados'!$P343,Sku!C:C,Sku!H:H),2),'Banco de Dados'!$A343="MEI",ROUND(_xlfn.XLOOKUP('Banco de Dados'!$P343,Sku!D:D,Sku!H:H),2)),0)</f>
        <v>0</v>
      </c>
      <c r="AN343" s="109">
        <f ca="1">IF('Banco de Dados'!$AK343&lt;&gt;"-",IF('Banco de Dados'!$F343&lt;&gt;"-",_xlfn.XLOOKUP(IFERROR(IFERROR(IFERROR(VALUE(SUBSTITUTE(MID(_xlfn.TEXTAFTER('Banco de Dados'!$F343,"Data do Pedido:
",1),1,10),"-","/")),VALUE(SUBSTITUTE(MID(_xlfn.TEXTAFTER('Banco de Dados'!$F343,"Order date:
",1),1,10),"-","/"))),VALUE(SUBSTITUTE(MID(_xlfn.TEXTAFTER('Banco de Dados'!$F343,"Fecha de pedido:
",1),1,10),"-","/"))),"-"),SMS!A:A,SMS!K:K),0),0)</f>
        <v>0</v>
      </c>
      <c r="AO343" s="109">
        <f ca="1">IF('Banco de Dados'!$AK343&lt;&gt;"-",IF('Banco de Dados'!$F343&lt;&gt;"-",IFERROR(_xlfn.XLOOKUP(_xlfn.CONCAT('Banco de Dados'!$A343,IFERROR(IFERROR(VALUE(SUBSTITUTE(MID(_xlfn.TEXTAFTER('Banco de Dados'!$F343,"Data do Pedido:
",1),1,10),"-","/")),VALUE(SUBSTITUTE(MID(_xlfn.TEXTAFTER('Banco de Dados'!$F343,"Order date:
",1),1,10),"-","/"))),0)),ProxyDD[Chave],ProxyDD[Valor por pedido]),PROXY!$P$2),0),0)</f>
        <v>0</v>
      </c>
      <c r="AP343" s="28">
        <f ca="1">IF('Banco de Dados'!$AK343&lt;&gt;"-",IF('Banco de Dados'!$AL343="NÃO",IFERROR(VALUE(SUBSTITUTE(_xlfn.TEXTAFTER('Banco de Dados'!$F343,"BRL ",1),".",",")),0),0),0)</f>
        <v>0</v>
      </c>
      <c r="AQ343" s="28">
        <f ca="1">SUM('Banco de Dados'!$AM343:$AP343)</f>
        <v>0</v>
      </c>
      <c r="AR343" s="8"/>
      <c r="AS343" s="8"/>
      <c r="AY343" s="8"/>
    </row>
    <row r="344" spans="1:51">
      <c r="A344" s="5" t="str">
        <v>BV</v>
      </c>
      <c r="B344" s="5" t="str">
        <f ca="1"/>
        <v>BV45608</v>
      </c>
      <c r="C344" s="8" t="str">
        <v>Pedido 340</v>
      </c>
      <c r="D344" s="9">
        <v>45608</v>
      </c>
      <c r="E344" s="9">
        <v>45608</v>
      </c>
      <c r="F344" s="8" t="str">
        <v>PedidoF333</v>
      </c>
      <c r="G344" s="2" t="str">
        <v>CódRastreio333</v>
      </c>
      <c r="H344" s="5">
        <v>1</v>
      </c>
      <c r="I344" s="182" t="str">
        <v>CPF 334</v>
      </c>
      <c r="J344" s="2" t="str">
        <v>Nome 334</v>
      </c>
      <c r="K344" s="8" t="str">
        <v>Tel 334</v>
      </c>
      <c r="L344" s="2" t="str">
        <v>Cep 334</v>
      </c>
      <c r="M344" s="2" t="str">
        <v>Rua 334</v>
      </c>
      <c r="N344" s="2" t="str">
        <v>Comp 334</v>
      </c>
      <c r="O344" s="2" t="str">
        <v>Ventilador de teto</v>
      </c>
      <c r="P344" s="8" t="str">
        <v>ZO-J9IL-EN6L</v>
      </c>
      <c r="Q344" s="4">
        <v>45631</v>
      </c>
      <c r="R344" s="109">
        <v>59.5</v>
      </c>
      <c r="S344" s="11">
        <f ca="1"/>
        <v>59.5</v>
      </c>
      <c r="T344" s="28">
        <f ca="1"/>
        <v>8.33</v>
      </c>
      <c r="U344" s="11">
        <f ca="1"/>
        <v>51.17</v>
      </c>
      <c r="V344" s="11">
        <v>7.29</v>
      </c>
      <c r="W344" s="11">
        <f ca="1"/>
        <v>0.2</v>
      </c>
      <c r="X344" s="11">
        <f ca="1"/>
        <v>0.39877104377104378</v>
      </c>
      <c r="Y344" s="11">
        <v>0</v>
      </c>
      <c r="Z344" s="11">
        <f ca="1"/>
        <v>43.281228956228958</v>
      </c>
      <c r="AA344" s="11">
        <f ca="1"/>
        <v>21.640614478114479</v>
      </c>
      <c r="AB344" s="4">
        <f ca="1"/>
        <v>45638</v>
      </c>
      <c r="AC344" s="4">
        <v>45638</v>
      </c>
      <c r="AD344" s="9">
        <v>45640</v>
      </c>
      <c r="AE344" s="9">
        <v>45642</v>
      </c>
      <c r="AF344" s="4" t="str">
        <f t="shared" ca="1" si="5"/>
        <v>2024 12</v>
      </c>
      <c r="AG344" s="8" t="str" cm="1">
        <f t="array" ref="AG344">IFERROR(_xlfn.IFS('Banco de Dados'!#REF!="AG. COMPRA","Em processamento",'Banco de Dados'!#REF!="AG. RASTREIO","Em processamento",'Banco de Dados'!$AE344&lt;&gt;"-","Faturado",'Banco de Dados'!$AD344&lt;&gt;"-","Aguardando Pix",'Banco de Dados'!$AC344&lt;&gt;"-","Pendente"),"Aguardando Liberação")</f>
        <v>Aguardando Liberação</v>
      </c>
      <c r="AH344" s="5" t="str">
        <f>IF('Banco de Dados'!$F344="-",_xlfn.CONCAT(PROPER(TEXT(AK344,"aaaa"))," ",PROPER(TEXT(AK344,"mm"))),_xlfn.CONCAT(PROPER(TEXT(E344,"aaaa"))," ",PROPER(TEXT(E344,"mm"))))</f>
        <v>2024 11</v>
      </c>
      <c r="AI344" s="9" t="str">
        <f ca="1">IF('Banco de Dados'!$AK344&lt;&gt;"-","REEMBOLSO",IFERROR(_xlfn.XLOOKUP(G344,Follow[CODRASTREIO],Follow[STATUS]),"-"))</f>
        <v>ENTREGUE</v>
      </c>
      <c r="AJ344" s="9">
        <f ca="1">IF('Banco de Dados'!$AI344="ENTREGUE",_xlfn.XLOOKUP('Banco de Dados'!$G344,Follow[CODRASTREIO],Follow[DATAATUALIZAÇÃO]),"-")</f>
        <v>45621</v>
      </c>
      <c r="AK344" s="9" t="str">
        <f ca="1"/>
        <v>-</v>
      </c>
      <c r="AL344" s="35"/>
      <c r="AM344" s="109" cm="1">
        <f t="array" aca="1" ref="AM344" ca="1">IF('Banco de Dados'!$AK344&lt;&gt;"-",_xlfn.IFS('Banco de Dados'!$A344="bv",IF('Banco de Dados'!$E344&lt;45641,ROUND(SUM('Banco de Dados'!$R344*_xlfn.XLOOKUP('Banco de Dados'!$P344,Sku!B:B,Sku!#REF!)*20%),2),ROUND(SUM('Banco de Dados'!$R344*_xlfn.XLOOKUP('Banco de Dados'!$P344,Sku!B:B,Sku!H:H)*20%),2)),'Banco de Dados'!$A344="GO",ROUND(_xlfn.XLOOKUP('Banco de Dados'!$P344,Sku!C:C,Sku!H:H),2),'Banco de Dados'!$A344="MEI",ROUND(_xlfn.XLOOKUP('Banco de Dados'!$P344,Sku!D:D,Sku!H:H),2)),0)</f>
        <v>0</v>
      </c>
      <c r="AN344" s="109">
        <f ca="1">IF('Banco de Dados'!$AK344&lt;&gt;"-",IF('Banco de Dados'!$F344&lt;&gt;"-",_xlfn.XLOOKUP(IFERROR(IFERROR(IFERROR(VALUE(SUBSTITUTE(MID(_xlfn.TEXTAFTER('Banco de Dados'!$F344,"Data do Pedido:
",1),1,10),"-","/")),VALUE(SUBSTITUTE(MID(_xlfn.TEXTAFTER('Banco de Dados'!$F344,"Order date:
",1),1,10),"-","/"))),VALUE(SUBSTITUTE(MID(_xlfn.TEXTAFTER('Banco de Dados'!$F344,"Fecha de pedido:
",1),1,10),"-","/"))),"-"),SMS!A:A,SMS!K:K),0),0)</f>
        <v>0</v>
      </c>
      <c r="AO344" s="109">
        <f ca="1">IF('Banco de Dados'!$AK344&lt;&gt;"-",IF('Banco de Dados'!$F344&lt;&gt;"-",IFERROR(_xlfn.XLOOKUP(_xlfn.CONCAT('Banco de Dados'!$A344,IFERROR(IFERROR(VALUE(SUBSTITUTE(MID(_xlfn.TEXTAFTER('Banco de Dados'!$F344,"Data do Pedido:
",1),1,10),"-","/")),VALUE(SUBSTITUTE(MID(_xlfn.TEXTAFTER('Banco de Dados'!$F344,"Order date:
",1),1,10),"-","/"))),0)),ProxyDD[Chave],ProxyDD[Valor por pedido]),PROXY!$P$2),0),0)</f>
        <v>0</v>
      </c>
      <c r="AP344" s="28">
        <f ca="1">IF('Banco de Dados'!$AK344&lt;&gt;"-",IF('Banco de Dados'!$AL344="NÃO",IFERROR(VALUE(SUBSTITUTE(_xlfn.TEXTAFTER('Banco de Dados'!$F344,"BRL ",1),".",",")),0),0),0)</f>
        <v>0</v>
      </c>
      <c r="AQ344" s="28">
        <f ca="1">SUM('Banco de Dados'!$AM344:$AP344)</f>
        <v>0</v>
      </c>
      <c r="AR344" s="8"/>
      <c r="AS344" s="8"/>
      <c r="AY344" s="8"/>
    </row>
    <row r="345" spans="1:51">
      <c r="A345" s="5" t="str">
        <v>BV</v>
      </c>
      <c r="B345" s="5" t="str">
        <f ca="1"/>
        <v>BV45607</v>
      </c>
      <c r="C345" s="8" t="str">
        <v>Pedido 341</v>
      </c>
      <c r="D345" s="9">
        <v>45607</v>
      </c>
      <c r="E345" s="9">
        <v>45607</v>
      </c>
      <c r="F345" s="8" t="str">
        <v>PedidoF334</v>
      </c>
      <c r="G345" s="2" t="str">
        <v>CódRastreio334</v>
      </c>
      <c r="H345" s="5">
        <v>1</v>
      </c>
      <c r="I345" s="182" t="str">
        <v>CPF 335</v>
      </c>
      <c r="J345" s="2" t="str">
        <v>Nome 335</v>
      </c>
      <c r="K345" s="8" t="str">
        <v>Tel 335</v>
      </c>
      <c r="L345" s="2" t="str">
        <v>Cep 335</v>
      </c>
      <c r="M345" s="2" t="str">
        <v>Rua 335</v>
      </c>
      <c r="N345" s="2" t="str">
        <v>Comp 335</v>
      </c>
      <c r="O345" s="2" t="str">
        <v>Bomba d'agua</v>
      </c>
      <c r="P345" s="8" t="str">
        <v>DJ-RO5O-43GF</v>
      </c>
      <c r="Q345" s="4">
        <v>45624</v>
      </c>
      <c r="R345" s="109">
        <v>16.8</v>
      </c>
      <c r="S345" s="11">
        <f ca="1"/>
        <v>16.8</v>
      </c>
      <c r="T345" s="28">
        <f ca="1"/>
        <v>2.3520000000000003</v>
      </c>
      <c r="U345" s="11">
        <f ca="1"/>
        <v>14.45</v>
      </c>
      <c r="V345" s="11">
        <v>6.57</v>
      </c>
      <c r="W345" s="11">
        <f ca="1"/>
        <v>0.23</v>
      </c>
      <c r="X345" s="11">
        <f ca="1"/>
        <v>0.39877104377104378</v>
      </c>
      <c r="Y345" s="11">
        <v>0</v>
      </c>
      <c r="Z345" s="11">
        <f ca="1"/>
        <v>7.2512289562289549</v>
      </c>
      <c r="AA345" s="11">
        <f ca="1"/>
        <v>3.6256144781144775</v>
      </c>
      <c r="AB345" s="4">
        <f ca="1"/>
        <v>45631</v>
      </c>
      <c r="AC345" s="4">
        <v>45631</v>
      </c>
      <c r="AD345" s="9">
        <v>45637</v>
      </c>
      <c r="AE345" s="9">
        <v>45642</v>
      </c>
      <c r="AF345" s="4" t="str">
        <f t="shared" ca="1" si="5"/>
        <v>2024 12</v>
      </c>
      <c r="AG345" s="8" t="str" cm="1">
        <f t="array" ref="AG345">IFERROR(_xlfn.IFS('Banco de Dados'!#REF!="AG. COMPRA","Em processamento",'Banco de Dados'!#REF!="AG. RASTREIO","Em processamento",'Banco de Dados'!$AE345&lt;&gt;"-","Faturado",'Banco de Dados'!$AD345&lt;&gt;"-","Aguardando Pix",'Banco de Dados'!$AC345&lt;&gt;"-","Pendente"),"Aguardando Liberação")</f>
        <v>Aguardando Liberação</v>
      </c>
      <c r="AH345" s="5" t="str">
        <f>IF('Banco de Dados'!$F345="-",_xlfn.CONCAT(PROPER(TEXT(AK345,"aaaa"))," ",PROPER(TEXT(AK345,"mm"))),_xlfn.CONCAT(PROPER(TEXT(E345,"aaaa"))," ",PROPER(TEXT(E345,"mm"))))</f>
        <v>2024 11</v>
      </c>
      <c r="AI345" s="9" t="str">
        <f ca="1">IF('Banco de Dados'!$AK345&lt;&gt;"-","REEMBOLSO",IFERROR(_xlfn.XLOOKUP(G345,Follow[CODRASTREIO],Follow[STATUS]),"-"))</f>
        <v>ENTREGUE</v>
      </c>
      <c r="AJ345" s="9">
        <f ca="1">IF('Banco de Dados'!$AI345="ENTREGUE",_xlfn.XLOOKUP('Banco de Dados'!$G345,Follow[CODRASTREIO],Follow[DATAATUALIZAÇÃO]),"-")</f>
        <v>45616</v>
      </c>
      <c r="AK345" s="9" t="str">
        <f ca="1"/>
        <v>-</v>
      </c>
      <c r="AL345" s="35"/>
      <c r="AM345" s="109" cm="1">
        <f t="array" aca="1" ref="AM345" ca="1">IF('Banco de Dados'!$AK345&lt;&gt;"-",_xlfn.IFS('Banco de Dados'!$A345="bv",IF('Banco de Dados'!$E345&lt;45641,ROUND(SUM('Banco de Dados'!$R345*_xlfn.XLOOKUP('Banco de Dados'!$P345,Sku!B:B,Sku!#REF!)*20%),2),ROUND(SUM('Banco de Dados'!$R345*_xlfn.XLOOKUP('Banco de Dados'!$P345,Sku!B:B,Sku!H:H)*20%),2)),'Banco de Dados'!$A345="GO",ROUND(_xlfn.XLOOKUP('Banco de Dados'!$P345,Sku!C:C,Sku!H:H),2),'Banco de Dados'!$A345="MEI",ROUND(_xlfn.XLOOKUP('Banco de Dados'!$P345,Sku!D:D,Sku!H:H),2)),0)</f>
        <v>0</v>
      </c>
      <c r="AN345" s="109">
        <f ca="1">IF('Banco de Dados'!$AK345&lt;&gt;"-",IF('Banco de Dados'!$F345&lt;&gt;"-",_xlfn.XLOOKUP(IFERROR(IFERROR(IFERROR(VALUE(SUBSTITUTE(MID(_xlfn.TEXTAFTER('Banco de Dados'!$F345,"Data do Pedido:
",1),1,10),"-","/")),VALUE(SUBSTITUTE(MID(_xlfn.TEXTAFTER('Banco de Dados'!$F345,"Order date:
",1),1,10),"-","/"))),VALUE(SUBSTITUTE(MID(_xlfn.TEXTAFTER('Banco de Dados'!$F345,"Fecha de pedido:
",1),1,10),"-","/"))),"-"),SMS!A:A,SMS!K:K),0),0)</f>
        <v>0</v>
      </c>
      <c r="AO345" s="109">
        <f ca="1">IF('Banco de Dados'!$AK345&lt;&gt;"-",IF('Banco de Dados'!$F345&lt;&gt;"-",IFERROR(_xlfn.XLOOKUP(_xlfn.CONCAT('Banco de Dados'!$A345,IFERROR(IFERROR(VALUE(SUBSTITUTE(MID(_xlfn.TEXTAFTER('Banco de Dados'!$F345,"Data do Pedido:
",1),1,10),"-","/")),VALUE(SUBSTITUTE(MID(_xlfn.TEXTAFTER('Banco de Dados'!$F345,"Order date:
",1),1,10),"-","/"))),0)),ProxyDD[Chave],ProxyDD[Valor por pedido]),PROXY!$P$2),0),0)</f>
        <v>0</v>
      </c>
      <c r="AP345" s="28">
        <f ca="1">IF('Banco de Dados'!$AK345&lt;&gt;"-",IF('Banco de Dados'!$AL345="NÃO",IFERROR(VALUE(SUBSTITUTE(_xlfn.TEXTAFTER('Banco de Dados'!$F345,"BRL ",1),".",",")),0),0),0)</f>
        <v>0</v>
      </c>
      <c r="AQ345" s="28">
        <f ca="1">SUM('Banco de Dados'!$AM345:$AP345)</f>
        <v>0</v>
      </c>
      <c r="AR345" s="8"/>
      <c r="AS345" s="8"/>
      <c r="AY345" s="8"/>
    </row>
    <row r="346" spans="1:51">
      <c r="A346" s="5" t="str">
        <v>BV</v>
      </c>
      <c r="B346" s="5" t="str">
        <f ca="1"/>
        <v>BV45607</v>
      </c>
      <c r="C346" s="8" t="str">
        <v>Pedido 342</v>
      </c>
      <c r="D346" s="9">
        <v>45607</v>
      </c>
      <c r="E346" s="9">
        <v>45607</v>
      </c>
      <c r="F346" s="8" t="str">
        <v>PedidoF335</v>
      </c>
      <c r="G346" s="2" t="str">
        <v>CódRastreio335</v>
      </c>
      <c r="H346" s="5">
        <v>1</v>
      </c>
      <c r="I346" s="182" t="str">
        <v>CPF 336</v>
      </c>
      <c r="J346" s="2" t="str">
        <v>Nome 336</v>
      </c>
      <c r="K346" s="8" t="str">
        <v>Tel 336</v>
      </c>
      <c r="L346" s="2" t="str">
        <v>Cep 336</v>
      </c>
      <c r="M346" s="2" t="str">
        <v>Rua 336</v>
      </c>
      <c r="N346" s="2" t="str">
        <v>Comp 336</v>
      </c>
      <c r="O346" s="2" t="str">
        <v>Ventilador Umidificador</v>
      </c>
      <c r="P346" s="8" t="str">
        <v>VF-9FSV-ZMGN</v>
      </c>
      <c r="Q346" s="4">
        <v>45636</v>
      </c>
      <c r="R346" s="109">
        <v>65.989999999999995</v>
      </c>
      <c r="S346" s="11">
        <f ca="1"/>
        <v>65.989999999999995</v>
      </c>
      <c r="T346" s="28">
        <f ca="1"/>
        <v>9.2385999999999999</v>
      </c>
      <c r="U346" s="11">
        <f ca="1"/>
        <v>56.75</v>
      </c>
      <c r="V346" s="11">
        <v>7.29</v>
      </c>
      <c r="W346" s="11">
        <f ca="1"/>
        <v>0.23</v>
      </c>
      <c r="X346" s="11">
        <f ca="1"/>
        <v>0.39877104377104378</v>
      </c>
      <c r="Y346" s="11">
        <v>0</v>
      </c>
      <c r="Z346" s="11">
        <f ca="1"/>
        <v>48.831228956228955</v>
      </c>
      <c r="AA346" s="11">
        <f ca="1"/>
        <v>24.415614478114477</v>
      </c>
      <c r="AB346" s="4">
        <f ca="1"/>
        <v>45643</v>
      </c>
      <c r="AC346" s="4">
        <v>45643</v>
      </c>
      <c r="AD346" s="9">
        <v>45651</v>
      </c>
      <c r="AE346" s="9">
        <v>45659</v>
      </c>
      <c r="AF346" s="4" t="str">
        <f t="shared" ca="1" si="5"/>
        <v>2024 12</v>
      </c>
      <c r="AG346" s="8" t="str" cm="1">
        <f t="array" ref="AG346">IFERROR(_xlfn.IFS('Banco de Dados'!#REF!="AG. COMPRA","Em processamento",'Banco de Dados'!#REF!="AG. RASTREIO","Em processamento",'Banco de Dados'!$AE346&lt;&gt;"-","Faturado",'Banco de Dados'!$AD346&lt;&gt;"-","Aguardando Pix",'Banco de Dados'!$AC346&lt;&gt;"-","Pendente"),"Aguardando Liberação")</f>
        <v>Aguardando Liberação</v>
      </c>
      <c r="AH346" s="5" t="str">
        <f>IF('Banco de Dados'!$F346="-",_xlfn.CONCAT(PROPER(TEXT(AK346,"aaaa"))," ",PROPER(TEXT(AK346,"mm"))),_xlfn.CONCAT(PROPER(TEXT(E346,"aaaa"))," ",PROPER(TEXT(E346,"mm"))))</f>
        <v>2024 11</v>
      </c>
      <c r="AI346" s="9" t="str">
        <f ca="1">IF('Banco de Dados'!$AK346&lt;&gt;"-","REEMBOLSO",IFERROR(_xlfn.XLOOKUP(G346,Follow[CODRASTREIO],Follow[STATUS]),"-"))</f>
        <v>ENTREGUE</v>
      </c>
      <c r="AJ346" s="9">
        <f ca="1">IF('Banco de Dados'!$AI346="ENTREGUE",_xlfn.XLOOKUP('Banco de Dados'!$G346,Follow[CODRASTREIO],Follow[DATAATUALIZAÇÃO]),"-")</f>
        <v>45618</v>
      </c>
      <c r="AK346" s="9" t="str">
        <f ca="1"/>
        <v>-</v>
      </c>
      <c r="AL346" s="35"/>
      <c r="AM346" s="109" cm="1">
        <f t="array" aca="1" ref="AM346" ca="1">IF('Banco de Dados'!$AK346&lt;&gt;"-",_xlfn.IFS('Banco de Dados'!$A346="bv",IF('Banco de Dados'!$E346&lt;45641,ROUND(SUM('Banco de Dados'!$R346*_xlfn.XLOOKUP('Banco de Dados'!$P346,Sku!B:B,Sku!#REF!)*20%),2),ROUND(SUM('Banco de Dados'!$R346*_xlfn.XLOOKUP('Banco de Dados'!$P346,Sku!B:B,Sku!H:H)*20%),2)),'Banco de Dados'!$A346="GO",ROUND(_xlfn.XLOOKUP('Banco de Dados'!$P346,Sku!C:C,Sku!H:H),2),'Banco de Dados'!$A346="MEI",ROUND(_xlfn.XLOOKUP('Banco de Dados'!$P346,Sku!D:D,Sku!H:H),2)),0)</f>
        <v>0</v>
      </c>
      <c r="AN346" s="109">
        <f ca="1">IF('Banco de Dados'!$AK346&lt;&gt;"-",IF('Banco de Dados'!$F346&lt;&gt;"-",_xlfn.XLOOKUP(IFERROR(IFERROR(IFERROR(VALUE(SUBSTITUTE(MID(_xlfn.TEXTAFTER('Banco de Dados'!$F346,"Data do Pedido:
",1),1,10),"-","/")),VALUE(SUBSTITUTE(MID(_xlfn.TEXTAFTER('Banco de Dados'!$F346,"Order date:
",1),1,10),"-","/"))),VALUE(SUBSTITUTE(MID(_xlfn.TEXTAFTER('Banco de Dados'!$F346,"Fecha de pedido:
",1),1,10),"-","/"))),"-"),SMS!A:A,SMS!K:K),0),0)</f>
        <v>0</v>
      </c>
      <c r="AO346" s="109">
        <f ca="1">IF('Banco de Dados'!$AK346&lt;&gt;"-",IF('Banco de Dados'!$F346&lt;&gt;"-",IFERROR(_xlfn.XLOOKUP(_xlfn.CONCAT('Banco de Dados'!$A346,IFERROR(IFERROR(VALUE(SUBSTITUTE(MID(_xlfn.TEXTAFTER('Banco de Dados'!$F346,"Data do Pedido:
",1),1,10),"-","/")),VALUE(SUBSTITUTE(MID(_xlfn.TEXTAFTER('Banco de Dados'!$F346,"Order date:
",1),1,10),"-","/"))),0)),ProxyDD[Chave],ProxyDD[Valor por pedido]),PROXY!$P$2),0),0)</f>
        <v>0</v>
      </c>
      <c r="AP346" s="28">
        <f ca="1">IF('Banco de Dados'!$AK346&lt;&gt;"-",IF('Banco de Dados'!$AL346="NÃO",IFERROR(VALUE(SUBSTITUTE(_xlfn.TEXTAFTER('Banco de Dados'!$F346,"BRL ",1),".",",")),0),0),0)</f>
        <v>0</v>
      </c>
      <c r="AQ346" s="28">
        <f ca="1">SUM('Banco de Dados'!$AM346:$AP346)</f>
        <v>0</v>
      </c>
      <c r="AR346" s="8"/>
      <c r="AS346" s="8"/>
      <c r="AY346" s="8"/>
    </row>
    <row r="347" spans="1:51">
      <c r="A347" s="5" t="str">
        <v>BV</v>
      </c>
      <c r="B347" s="5" t="str">
        <f ca="1"/>
        <v>BV45607</v>
      </c>
      <c r="C347" s="8" t="str">
        <v>Pedido 343</v>
      </c>
      <c r="D347" s="9">
        <v>45607</v>
      </c>
      <c r="E347" s="9">
        <v>45607</v>
      </c>
      <c r="F347" s="8" t="str">
        <v>PedidoF336</v>
      </c>
      <c r="G347" s="2" t="str">
        <v>CódRastreio336</v>
      </c>
      <c r="H347" s="5">
        <v>1</v>
      </c>
      <c r="I347" s="182" t="str">
        <v>CPF 337</v>
      </c>
      <c r="J347" s="2" t="str">
        <v>Nome 337</v>
      </c>
      <c r="K347" s="8" t="str">
        <v>Tel 337</v>
      </c>
      <c r="L347" s="2" t="str">
        <v>Cep 337</v>
      </c>
      <c r="M347" s="2" t="str">
        <v>Rua 337</v>
      </c>
      <c r="N347" s="2" t="str">
        <v>Comp 337</v>
      </c>
      <c r="O347" s="2" t="str">
        <v>Ventilador Umidificador</v>
      </c>
      <c r="P347" s="8" t="str">
        <v>VF-9FSV-ZMGN</v>
      </c>
      <c r="Q347" s="4">
        <v>45630</v>
      </c>
      <c r="R347" s="109">
        <v>65.989999999999995</v>
      </c>
      <c r="S347" s="11">
        <f ca="1"/>
        <v>0</v>
      </c>
      <c r="T347" s="28">
        <f ca="1"/>
        <v>0</v>
      </c>
      <c r="U347" s="11">
        <f ca="1"/>
        <v>0</v>
      </c>
      <c r="V347" s="11">
        <v>0</v>
      </c>
      <c r="W347" s="11">
        <f ca="1"/>
        <v>0</v>
      </c>
      <c r="X347" s="11">
        <f ca="1"/>
        <v>0.39877104377104378</v>
      </c>
      <c r="Y347" s="11">
        <v>0</v>
      </c>
      <c r="Z347" s="11">
        <f ca="1"/>
        <v>-0.39877104377104378</v>
      </c>
      <c r="AA347" s="11">
        <f ca="1"/>
        <v>-0.19938552188552189</v>
      </c>
      <c r="AB347" s="4">
        <f ca="1"/>
        <v>45637</v>
      </c>
      <c r="AC347" s="4">
        <v>45666</v>
      </c>
      <c r="AD347" s="9">
        <v>45637</v>
      </c>
      <c r="AE347" s="9">
        <v>45642</v>
      </c>
      <c r="AF347" s="4" t="str">
        <f t="shared" ca="1" si="5"/>
        <v>2024 12</v>
      </c>
      <c r="AG347" s="8" t="str" cm="1">
        <f t="array" ref="AG347">IFERROR(_xlfn.IFS('Banco de Dados'!#REF!="AG. COMPRA","Em processamento",'Banco de Dados'!#REF!="AG. RASTREIO","Em processamento",'Banco de Dados'!$AE347&lt;&gt;"-","Faturado",'Banco de Dados'!$AD347&lt;&gt;"-","Aguardando Pix",'Banco de Dados'!$AC347&lt;&gt;"-","Pendente"),"Aguardando Liberação")</f>
        <v>Aguardando Liberação</v>
      </c>
      <c r="AH347" s="5" t="str">
        <f>IF('Banco de Dados'!$F347="-",_xlfn.CONCAT(PROPER(TEXT(AK347,"aaaa"))," ",PROPER(TEXT(AK347,"mm"))),_xlfn.CONCAT(PROPER(TEXT(E347,"aaaa"))," ",PROPER(TEXT(E347,"mm"))))</f>
        <v>2024 11</v>
      </c>
      <c r="AI347" s="9" t="str">
        <f ca="1">IF('Banco de Dados'!$AK347&lt;&gt;"-","REEMBOLSO",IFERROR(_xlfn.XLOOKUP(G347,Follow[CODRASTREIO],Follow[STATUS]),"-"))</f>
        <v>REEMBOLSO</v>
      </c>
      <c r="AJ347" s="9" t="str">
        <f ca="1">IF('Banco de Dados'!$AI347="ENTREGUE",_xlfn.XLOOKUP('Banco de Dados'!$G347,Follow[CODRASTREIO],Follow[DATAATUALIZAÇÃO]),"-")</f>
        <v>-</v>
      </c>
      <c r="AK347" s="9">
        <f ca="1"/>
        <v>45666</v>
      </c>
      <c r="AL347" s="35"/>
      <c r="AM347" s="109" t="e" cm="1">
        <f t="array" aca="1" ref="AM347" ca="1">IF('Banco de Dados'!$AK347&lt;&gt;"-",_xlfn.IFS('Banco de Dados'!$A347="bv",IF('Banco de Dados'!$E347&lt;45641,ROUND(SUM('Banco de Dados'!$R347*_xlfn.XLOOKUP('Banco de Dados'!$P347,Sku!B:B,Sku!#REF!)*20%),2),ROUND(SUM('Banco de Dados'!$R347*_xlfn.XLOOKUP('Banco de Dados'!$P347,Sku!B:B,Sku!H:H)*20%),2)),'Banco de Dados'!$A347="GO",ROUND(_xlfn.XLOOKUP('Banco de Dados'!$P347,Sku!C:C,Sku!H:H),2),'Banco de Dados'!$A347="MEI",ROUND(_xlfn.XLOOKUP('Banco de Dados'!$P347,Sku!D:D,Sku!H:H),2)),0)</f>
        <v>#REF!</v>
      </c>
      <c r="AN347" s="109" t="e">
        <f ca="1">IF('Banco de Dados'!$AK347&lt;&gt;"-",IF('Banco de Dados'!$F347&lt;&gt;"-",_xlfn.XLOOKUP(IFERROR(IFERROR(IFERROR(VALUE(SUBSTITUTE(MID(_xlfn.TEXTAFTER('Banco de Dados'!$F347,"Data do Pedido:
",1),1,10),"-","/")),VALUE(SUBSTITUTE(MID(_xlfn.TEXTAFTER('Banco de Dados'!$F347,"Order date:
",1),1,10),"-","/"))),VALUE(SUBSTITUTE(MID(_xlfn.TEXTAFTER('Banco de Dados'!$F347,"Fecha de pedido:
",1),1,10),"-","/"))),"-"),SMS!A:A,SMS!K:K),0),0)</f>
        <v>#N/A</v>
      </c>
      <c r="AO347" s="109">
        <f ca="1">IF('Banco de Dados'!$AK347&lt;&gt;"-",IF('Banco de Dados'!$F347&lt;&gt;"-",IFERROR(_xlfn.XLOOKUP(_xlfn.CONCAT('Banco de Dados'!$A347,IFERROR(IFERROR(VALUE(SUBSTITUTE(MID(_xlfn.TEXTAFTER('Banco de Dados'!$F347,"Data do Pedido:
",1),1,10),"-","/")),VALUE(SUBSTITUTE(MID(_xlfn.TEXTAFTER('Banco de Dados'!$F347,"Order date:
",1),1,10),"-","/"))),0)),ProxyDD[Chave],ProxyDD[Valor por pedido]),PROXY!$P$2),0),0)</f>
        <v>0.39877104377104378</v>
      </c>
      <c r="AP347" s="28">
        <f ca="1">IF('Banco de Dados'!$AK347&lt;&gt;"-",IF('Banco de Dados'!$AL347="NÃO",IFERROR(VALUE(SUBSTITUTE(_xlfn.TEXTAFTER('Banco de Dados'!$F347,"BRL ",1),".",",")),0),0),0)</f>
        <v>0</v>
      </c>
      <c r="AQ347" s="28" t="e">
        <f ca="1">SUM('Banco de Dados'!$AM347:$AP347)</f>
        <v>#REF!</v>
      </c>
      <c r="AR347" s="8"/>
      <c r="AS347" s="8"/>
      <c r="AY347" s="8"/>
    </row>
    <row r="348" spans="1:51">
      <c r="A348" s="5" t="str">
        <v>BV</v>
      </c>
      <c r="B348" s="5" t="str">
        <f ca="1"/>
        <v>BV45607</v>
      </c>
      <c r="C348" s="8" t="str">
        <v>Pedido 344</v>
      </c>
      <c r="D348" s="9">
        <v>45607</v>
      </c>
      <c r="E348" s="9">
        <v>45607</v>
      </c>
      <c r="F348" s="8" t="str">
        <v>PedidoF337</v>
      </c>
      <c r="G348" s="2" t="str">
        <v>CódRastreio337</v>
      </c>
      <c r="H348" s="5">
        <v>1</v>
      </c>
      <c r="I348" s="182" t="str">
        <v>CPF 338</v>
      </c>
      <c r="J348" s="2" t="str">
        <v>Nome 338</v>
      </c>
      <c r="K348" s="8" t="str">
        <v>Tel 338</v>
      </c>
      <c r="L348" s="2" t="str">
        <v>Cep 338</v>
      </c>
      <c r="M348" s="2" t="str">
        <v>Rua 338</v>
      </c>
      <c r="N348" s="2" t="str">
        <v>Comp 338</v>
      </c>
      <c r="O348" s="2" t="str">
        <v>Ventilador Preto</v>
      </c>
      <c r="P348" s="8" t="str">
        <v>MU-J80P-95WF</v>
      </c>
      <c r="Q348" s="4">
        <v>45630</v>
      </c>
      <c r="R348" s="109">
        <v>65.989999999999995</v>
      </c>
      <c r="S348" s="11">
        <f ca="1"/>
        <v>65.989999999999995</v>
      </c>
      <c r="T348" s="28">
        <f ca="1"/>
        <v>8.5786999999999995</v>
      </c>
      <c r="U348" s="11">
        <f ca="1"/>
        <v>57.41</v>
      </c>
      <c r="V348" s="11">
        <v>7.29</v>
      </c>
      <c r="W348" s="11">
        <f ca="1"/>
        <v>0.23</v>
      </c>
      <c r="X348" s="11">
        <f ca="1"/>
        <v>0.39877104377104378</v>
      </c>
      <c r="Y348" s="11">
        <v>0</v>
      </c>
      <c r="Z348" s="11">
        <f ca="1"/>
        <v>49.491228956228952</v>
      </c>
      <c r="AA348" s="11">
        <f ca="1"/>
        <v>24.745614478114476</v>
      </c>
      <c r="AB348" s="4">
        <f ca="1"/>
        <v>45637</v>
      </c>
      <c r="AC348" s="4">
        <v>45637</v>
      </c>
      <c r="AD348" s="9">
        <v>45637</v>
      </c>
      <c r="AE348" s="9">
        <v>45642</v>
      </c>
      <c r="AF348" s="4" t="str">
        <f t="shared" ca="1" si="5"/>
        <v>2024 12</v>
      </c>
      <c r="AG348" s="8" t="str" cm="1">
        <f t="array" ref="AG348">IFERROR(_xlfn.IFS('Banco de Dados'!#REF!="AG. COMPRA","Em processamento",'Banco de Dados'!#REF!="AG. RASTREIO","Em processamento",'Banco de Dados'!$AE348&lt;&gt;"-","Faturado",'Banco de Dados'!$AD348&lt;&gt;"-","Aguardando Pix",'Banco de Dados'!$AC348&lt;&gt;"-","Pendente"),"Aguardando Liberação")</f>
        <v>Aguardando Liberação</v>
      </c>
      <c r="AH348" s="5" t="str">
        <f>IF('Banco de Dados'!$F348="-",_xlfn.CONCAT(PROPER(TEXT(AK348,"aaaa"))," ",PROPER(TEXT(AK348,"mm"))),_xlfn.CONCAT(PROPER(TEXT(E348,"aaaa"))," ",PROPER(TEXT(E348,"mm"))))</f>
        <v>2024 11</v>
      </c>
      <c r="AI348" s="9" t="str">
        <f ca="1">IF('Banco de Dados'!$AK348&lt;&gt;"-","REEMBOLSO",IFERROR(_xlfn.XLOOKUP(G348,Follow[CODRASTREIO],Follow[STATUS]),"-"))</f>
        <v>ENTREGUE</v>
      </c>
      <c r="AJ348" s="9">
        <f ca="1">IF('Banco de Dados'!$AI348="ENTREGUE",_xlfn.XLOOKUP('Banco de Dados'!$G348,Follow[CODRASTREIO],Follow[DATAATUALIZAÇÃO]),"-")</f>
        <v>45617</v>
      </c>
      <c r="AK348" s="9" t="str">
        <f ca="1"/>
        <v>-</v>
      </c>
      <c r="AL348" s="35"/>
      <c r="AM348" s="109" cm="1">
        <f t="array" aca="1" ref="AM348" ca="1">IF('Banco de Dados'!$AK348&lt;&gt;"-",_xlfn.IFS('Banco de Dados'!$A348="bv",IF('Banco de Dados'!$E348&lt;45641,ROUND(SUM('Banco de Dados'!$R348*_xlfn.XLOOKUP('Banco de Dados'!$P348,Sku!B:B,Sku!#REF!)*20%),2),ROUND(SUM('Banco de Dados'!$R348*_xlfn.XLOOKUP('Banco de Dados'!$P348,Sku!B:B,Sku!H:H)*20%),2)),'Banco de Dados'!$A348="GO",ROUND(_xlfn.XLOOKUP('Banco de Dados'!$P348,Sku!C:C,Sku!H:H),2),'Banco de Dados'!$A348="MEI",ROUND(_xlfn.XLOOKUP('Banco de Dados'!$P348,Sku!D:D,Sku!H:H),2)),0)</f>
        <v>0</v>
      </c>
      <c r="AN348" s="109">
        <f ca="1">IF('Banco de Dados'!$AK348&lt;&gt;"-",IF('Banco de Dados'!$F348&lt;&gt;"-",_xlfn.XLOOKUP(IFERROR(IFERROR(IFERROR(VALUE(SUBSTITUTE(MID(_xlfn.TEXTAFTER('Banco de Dados'!$F348,"Data do Pedido:
",1),1,10),"-","/")),VALUE(SUBSTITUTE(MID(_xlfn.TEXTAFTER('Banco de Dados'!$F348,"Order date:
",1),1,10),"-","/"))),VALUE(SUBSTITUTE(MID(_xlfn.TEXTAFTER('Banco de Dados'!$F348,"Fecha de pedido:
",1),1,10),"-","/"))),"-"),SMS!A:A,SMS!K:K),0),0)</f>
        <v>0</v>
      </c>
      <c r="AO348" s="109">
        <f ca="1">IF('Banco de Dados'!$AK348&lt;&gt;"-",IF('Banco de Dados'!$F348&lt;&gt;"-",IFERROR(_xlfn.XLOOKUP(_xlfn.CONCAT('Banco de Dados'!$A348,IFERROR(IFERROR(VALUE(SUBSTITUTE(MID(_xlfn.TEXTAFTER('Banco de Dados'!$F348,"Data do Pedido:
",1),1,10),"-","/")),VALUE(SUBSTITUTE(MID(_xlfn.TEXTAFTER('Banco de Dados'!$F348,"Order date:
",1),1,10),"-","/"))),0)),ProxyDD[Chave],ProxyDD[Valor por pedido]),PROXY!$P$2),0),0)</f>
        <v>0</v>
      </c>
      <c r="AP348" s="28">
        <f ca="1">IF('Banco de Dados'!$AK348&lt;&gt;"-",IF('Banco de Dados'!$AL348="NÃO",IFERROR(VALUE(SUBSTITUTE(_xlfn.TEXTAFTER('Banco de Dados'!$F348,"BRL ",1),".",",")),0),0),0)</f>
        <v>0</v>
      </c>
      <c r="AQ348" s="28">
        <f ca="1">SUM('Banco de Dados'!$AM348:$AP348)</f>
        <v>0</v>
      </c>
      <c r="AR348" s="8"/>
      <c r="AS348" s="8"/>
      <c r="AY348" s="8"/>
    </row>
    <row r="349" spans="1:51">
      <c r="A349" s="5" t="str">
        <v>BV</v>
      </c>
      <c r="B349" s="5" t="str">
        <f ca="1"/>
        <v>BV45608</v>
      </c>
      <c r="C349" s="8" t="str">
        <v>Pedido 345</v>
      </c>
      <c r="D349" s="9">
        <v>45608</v>
      </c>
      <c r="E349" s="9">
        <v>45608</v>
      </c>
      <c r="F349" s="8" t="str">
        <v>PedidoF338</v>
      </c>
      <c r="G349" s="2" t="str">
        <v>CódRastreio338</v>
      </c>
      <c r="H349" s="5">
        <v>1</v>
      </c>
      <c r="I349" s="182" t="str">
        <v>CPF 339</v>
      </c>
      <c r="J349" s="2" t="str">
        <v>Nome 339</v>
      </c>
      <c r="K349" s="8" t="str">
        <v>Tel 339</v>
      </c>
      <c r="L349" s="2" t="str">
        <v>Cep 339</v>
      </c>
      <c r="M349" s="2" t="str">
        <v>Rua 339</v>
      </c>
      <c r="N349" s="2" t="str">
        <v>Comp 339</v>
      </c>
      <c r="O349" s="2" t="str">
        <v>Copo Termico</v>
      </c>
      <c r="P349" s="8" t="str">
        <v>KN-TBQL-K2MM</v>
      </c>
      <c r="Q349" s="4">
        <v>45637</v>
      </c>
      <c r="R349" s="109">
        <v>17.399999999999999</v>
      </c>
      <c r="S349" s="11">
        <f ca="1"/>
        <v>17.399999999999999</v>
      </c>
      <c r="T349" s="28">
        <f ca="1"/>
        <v>2.262</v>
      </c>
      <c r="U349" s="11">
        <f ca="1"/>
        <v>15.14</v>
      </c>
      <c r="V349" s="11">
        <v>5.2</v>
      </c>
      <c r="W349" s="11">
        <f ca="1"/>
        <v>0.2</v>
      </c>
      <c r="X349" s="11">
        <f ca="1"/>
        <v>0.39877104377104378</v>
      </c>
      <c r="Y349" s="11">
        <v>0</v>
      </c>
      <c r="Z349" s="11">
        <f ca="1"/>
        <v>9.3412289562289565</v>
      </c>
      <c r="AA349" s="11">
        <f ca="1"/>
        <v>4.6706144781144783</v>
      </c>
      <c r="AB349" s="4">
        <f ca="1"/>
        <v>45644</v>
      </c>
      <c r="AC349" s="4">
        <v>45644</v>
      </c>
      <c r="AD349" s="9">
        <v>45651</v>
      </c>
      <c r="AE349" s="9">
        <v>45659</v>
      </c>
      <c r="AF349" s="4" t="str">
        <f t="shared" ca="1" si="5"/>
        <v>2024 12</v>
      </c>
      <c r="AG349" s="8" t="str" cm="1">
        <f t="array" ref="AG349">IFERROR(_xlfn.IFS('Banco de Dados'!#REF!="AG. COMPRA","Em processamento",'Banco de Dados'!#REF!="AG. RASTREIO","Em processamento",'Banco de Dados'!$AE349&lt;&gt;"-","Faturado",'Banco de Dados'!$AD349&lt;&gt;"-","Aguardando Pix",'Banco de Dados'!$AC349&lt;&gt;"-","Pendente"),"Aguardando Liberação")</f>
        <v>Aguardando Liberação</v>
      </c>
      <c r="AH349" s="5" t="str">
        <f>IF('Banco de Dados'!$F349="-",_xlfn.CONCAT(PROPER(TEXT(AK349,"aaaa"))," ",PROPER(TEXT(AK349,"mm"))),_xlfn.CONCAT(PROPER(TEXT(E349,"aaaa"))," ",PROPER(TEXT(E349,"mm"))))</f>
        <v>2024 11</v>
      </c>
      <c r="AI349" s="9" t="str">
        <f ca="1">IF('Banco de Dados'!$AK349&lt;&gt;"-","REEMBOLSO",IFERROR(_xlfn.XLOOKUP(G349,Follow[CODRASTREIO],Follow[STATUS]),"-"))</f>
        <v>ENTREGUE</v>
      </c>
      <c r="AJ349" s="9">
        <f ca="1">IF('Banco de Dados'!$AI349="ENTREGUE",_xlfn.XLOOKUP('Banco de Dados'!$G349,Follow[CODRASTREIO],Follow[DATAATUALIZAÇÃO]),"-")</f>
        <v>45615</v>
      </c>
      <c r="AK349" s="9" t="str">
        <f ca="1"/>
        <v>-</v>
      </c>
      <c r="AL349" s="35"/>
      <c r="AM349" s="109" cm="1">
        <f t="array" aca="1" ref="AM349" ca="1">IF('Banco de Dados'!$AK349&lt;&gt;"-",_xlfn.IFS('Banco de Dados'!$A349="bv",IF('Banco de Dados'!$E349&lt;45641,ROUND(SUM('Banco de Dados'!$R349*_xlfn.XLOOKUP('Banco de Dados'!$P349,Sku!B:B,Sku!#REF!)*20%),2),ROUND(SUM('Banco de Dados'!$R349*_xlfn.XLOOKUP('Banco de Dados'!$P349,Sku!B:B,Sku!H:H)*20%),2)),'Banco de Dados'!$A349="GO",ROUND(_xlfn.XLOOKUP('Banco de Dados'!$P349,Sku!C:C,Sku!H:H),2),'Banco de Dados'!$A349="MEI",ROUND(_xlfn.XLOOKUP('Banco de Dados'!$P349,Sku!D:D,Sku!H:H),2)),0)</f>
        <v>0</v>
      </c>
      <c r="AN349" s="109">
        <f ca="1">IF('Banco de Dados'!$AK349&lt;&gt;"-",IF('Banco de Dados'!$F349&lt;&gt;"-",_xlfn.XLOOKUP(IFERROR(IFERROR(IFERROR(VALUE(SUBSTITUTE(MID(_xlfn.TEXTAFTER('Banco de Dados'!$F349,"Data do Pedido:
",1),1,10),"-","/")),VALUE(SUBSTITUTE(MID(_xlfn.TEXTAFTER('Banco de Dados'!$F349,"Order date:
",1),1,10),"-","/"))),VALUE(SUBSTITUTE(MID(_xlfn.TEXTAFTER('Banco de Dados'!$F349,"Fecha de pedido:
",1),1,10),"-","/"))),"-"),SMS!A:A,SMS!K:K),0),0)</f>
        <v>0</v>
      </c>
      <c r="AO349" s="109">
        <f ca="1">IF('Banco de Dados'!$AK349&lt;&gt;"-",IF('Banco de Dados'!$F349&lt;&gt;"-",IFERROR(_xlfn.XLOOKUP(_xlfn.CONCAT('Banco de Dados'!$A349,IFERROR(IFERROR(VALUE(SUBSTITUTE(MID(_xlfn.TEXTAFTER('Banco de Dados'!$F349,"Data do Pedido:
",1),1,10),"-","/")),VALUE(SUBSTITUTE(MID(_xlfn.TEXTAFTER('Banco de Dados'!$F349,"Order date:
",1),1,10),"-","/"))),0)),ProxyDD[Chave],ProxyDD[Valor por pedido]),PROXY!$P$2),0),0)</f>
        <v>0</v>
      </c>
      <c r="AP349" s="28">
        <f ca="1">IF('Banco de Dados'!$AK349&lt;&gt;"-",IF('Banco de Dados'!$AL349="NÃO",IFERROR(VALUE(SUBSTITUTE(_xlfn.TEXTAFTER('Banco de Dados'!$F349,"BRL ",1),".",",")),0),0),0)</f>
        <v>0</v>
      </c>
      <c r="AQ349" s="28">
        <f ca="1">SUM('Banco de Dados'!$AM349:$AP349)</f>
        <v>0</v>
      </c>
      <c r="AR349" s="8"/>
      <c r="AS349" s="8"/>
      <c r="AY349" s="8"/>
    </row>
    <row r="350" spans="1:51">
      <c r="A350" s="5" t="str">
        <v>BV</v>
      </c>
      <c r="B350" s="5" t="str">
        <f ca="1"/>
        <v>BV45609</v>
      </c>
      <c r="C350" s="8" t="str">
        <v>Pedido 346</v>
      </c>
      <c r="D350" s="9">
        <v>45609</v>
      </c>
      <c r="E350" s="9">
        <v>45609</v>
      </c>
      <c r="F350" s="8" t="str">
        <v>PedidoF339</v>
      </c>
      <c r="G350" s="2" t="str">
        <v>CódRastreio339</v>
      </c>
      <c r="H350" s="5">
        <v>1</v>
      </c>
      <c r="I350" s="182" t="str">
        <v>CPF 339</v>
      </c>
      <c r="J350" s="2" t="str">
        <v>Nome 339</v>
      </c>
      <c r="K350" s="8" t="str">
        <v>Tel 339</v>
      </c>
      <c r="L350" s="2" t="str">
        <v>Cep 339</v>
      </c>
      <c r="M350" s="2" t="str">
        <v>Rua 339</v>
      </c>
      <c r="N350" s="2" t="str">
        <v>Comp 339</v>
      </c>
      <c r="O350" s="2" t="str">
        <v>Copo Termico</v>
      </c>
      <c r="P350" s="8" t="str">
        <v>KN-TBQL-K2MM</v>
      </c>
      <c r="Q350" s="4">
        <v>45637</v>
      </c>
      <c r="R350" s="109">
        <v>17.399999999999999</v>
      </c>
      <c r="S350" s="11">
        <f ca="1"/>
        <v>17.399999999999999</v>
      </c>
      <c r="T350" s="28">
        <f ca="1"/>
        <v>2.262</v>
      </c>
      <c r="U350" s="11">
        <f ca="1"/>
        <v>15.14</v>
      </c>
      <c r="V350" s="11">
        <v>6.99</v>
      </c>
      <c r="W350" s="11">
        <f ca="1"/>
        <v>0.33</v>
      </c>
      <c r="X350" s="11">
        <f ca="1"/>
        <v>0.39877104377104378</v>
      </c>
      <c r="Y350" s="11">
        <v>0</v>
      </c>
      <c r="Z350" s="11">
        <f ca="1"/>
        <v>7.4212289562289566</v>
      </c>
      <c r="AA350" s="11">
        <f ca="1"/>
        <v>3.7106144781144783</v>
      </c>
      <c r="AB350" s="4">
        <f ca="1"/>
        <v>45644</v>
      </c>
      <c r="AC350" s="4">
        <v>45644</v>
      </c>
      <c r="AD350" s="9">
        <v>45651</v>
      </c>
      <c r="AE350" s="9">
        <v>45659</v>
      </c>
      <c r="AF350" s="4" t="str">
        <f t="shared" ca="1" si="5"/>
        <v>2024 12</v>
      </c>
      <c r="AG350" s="8" t="str" cm="1">
        <f t="array" ref="AG350">IFERROR(_xlfn.IFS('Banco de Dados'!#REF!="AG. COMPRA","Em processamento",'Banco de Dados'!#REF!="AG. RASTREIO","Em processamento",'Banco de Dados'!$AE350&lt;&gt;"-","Faturado",'Banco de Dados'!$AD350&lt;&gt;"-","Aguardando Pix",'Banco de Dados'!$AC350&lt;&gt;"-","Pendente"),"Aguardando Liberação")</f>
        <v>Aguardando Liberação</v>
      </c>
      <c r="AH350" s="5" t="str">
        <f>IF('Banco de Dados'!$F350="-",_xlfn.CONCAT(PROPER(TEXT(AK350,"aaaa"))," ",PROPER(TEXT(AK350,"mm"))),_xlfn.CONCAT(PROPER(TEXT(E350,"aaaa"))," ",PROPER(TEXT(E350,"mm"))))</f>
        <v>2024 11</v>
      </c>
      <c r="AI350" s="9" t="str">
        <f ca="1">IF('Banco de Dados'!$AK350&lt;&gt;"-","REEMBOLSO",IFERROR(_xlfn.XLOOKUP(G350,Follow[CODRASTREIO],Follow[STATUS]),"-"))</f>
        <v>ENTREGUE</v>
      </c>
      <c r="AJ350" s="9">
        <f ca="1">IF('Banco de Dados'!$AI350="ENTREGUE",_xlfn.XLOOKUP('Banco de Dados'!$G350,Follow[CODRASTREIO],Follow[DATAATUALIZAÇÃO]),"-")</f>
        <v>45615</v>
      </c>
      <c r="AK350" s="9" t="str">
        <f ca="1"/>
        <v>-</v>
      </c>
      <c r="AL350" s="35"/>
      <c r="AM350" s="109" cm="1">
        <f t="array" aca="1" ref="AM350" ca="1">IF('Banco de Dados'!$AK350&lt;&gt;"-",_xlfn.IFS('Banco de Dados'!$A350="bv",IF('Banco de Dados'!$E350&lt;45641,ROUND(SUM('Banco de Dados'!$R350*_xlfn.XLOOKUP('Banco de Dados'!$P350,Sku!B:B,Sku!#REF!)*20%),2),ROUND(SUM('Banco de Dados'!$R350*_xlfn.XLOOKUP('Banco de Dados'!$P350,Sku!B:B,Sku!H:H)*20%),2)),'Banco de Dados'!$A350="GO",ROUND(_xlfn.XLOOKUP('Banco de Dados'!$P350,Sku!C:C,Sku!H:H),2),'Banco de Dados'!$A350="MEI",ROUND(_xlfn.XLOOKUP('Banco de Dados'!$P350,Sku!D:D,Sku!H:H),2)),0)</f>
        <v>0</v>
      </c>
      <c r="AN350" s="109">
        <f ca="1">IF('Banco de Dados'!$AK350&lt;&gt;"-",IF('Banco de Dados'!$F350&lt;&gt;"-",_xlfn.XLOOKUP(IFERROR(IFERROR(IFERROR(VALUE(SUBSTITUTE(MID(_xlfn.TEXTAFTER('Banco de Dados'!$F350,"Data do Pedido:
",1),1,10),"-","/")),VALUE(SUBSTITUTE(MID(_xlfn.TEXTAFTER('Banco de Dados'!$F350,"Order date:
",1),1,10),"-","/"))),VALUE(SUBSTITUTE(MID(_xlfn.TEXTAFTER('Banco de Dados'!$F350,"Fecha de pedido:
",1),1,10),"-","/"))),"-"),SMS!A:A,SMS!K:K),0),0)</f>
        <v>0</v>
      </c>
      <c r="AO350" s="109">
        <f ca="1">IF('Banco de Dados'!$AK350&lt;&gt;"-",IF('Banco de Dados'!$F350&lt;&gt;"-",IFERROR(_xlfn.XLOOKUP(_xlfn.CONCAT('Banco de Dados'!$A350,IFERROR(IFERROR(VALUE(SUBSTITUTE(MID(_xlfn.TEXTAFTER('Banco de Dados'!$F350,"Data do Pedido:
",1),1,10),"-","/")),VALUE(SUBSTITUTE(MID(_xlfn.TEXTAFTER('Banco de Dados'!$F350,"Order date:
",1),1,10),"-","/"))),0)),ProxyDD[Chave],ProxyDD[Valor por pedido]),PROXY!$P$2),0),0)</f>
        <v>0</v>
      </c>
      <c r="AP350" s="28">
        <f ca="1">IF('Banco de Dados'!$AK350&lt;&gt;"-",IF('Banco de Dados'!$AL350="NÃO",IFERROR(VALUE(SUBSTITUTE(_xlfn.TEXTAFTER('Banco de Dados'!$F350,"BRL ",1),".",",")),0),0),0)</f>
        <v>0</v>
      </c>
      <c r="AQ350" s="28">
        <f ca="1">SUM('Banco de Dados'!$AM350:$AP350)</f>
        <v>0</v>
      </c>
      <c r="AR350" s="8"/>
      <c r="AS350" s="8"/>
      <c r="AY350" s="8"/>
    </row>
    <row r="351" spans="1:51">
      <c r="A351" s="5" t="str">
        <v>BV</v>
      </c>
      <c r="B351" s="5" t="str">
        <f ca="1"/>
        <v>BV45608</v>
      </c>
      <c r="C351" s="8" t="str">
        <v>Pedido 347</v>
      </c>
      <c r="D351" s="9">
        <v>45608</v>
      </c>
      <c r="E351" s="9">
        <v>45608</v>
      </c>
      <c r="F351" s="8" t="str">
        <v>PedidoF340</v>
      </c>
      <c r="G351" s="2" t="str">
        <v>CódRastreio340</v>
      </c>
      <c r="H351" s="5">
        <v>1</v>
      </c>
      <c r="I351" s="182" t="str">
        <v>CPF 340</v>
      </c>
      <c r="J351" s="2" t="str">
        <v>Nome 340</v>
      </c>
      <c r="K351" s="8" t="str">
        <v>Tel 340</v>
      </c>
      <c r="L351" s="2" t="str">
        <v>Cep 340</v>
      </c>
      <c r="M351" s="2" t="str">
        <v>Rua 340</v>
      </c>
      <c r="N351" s="2" t="str">
        <v>Comp 340</v>
      </c>
      <c r="O351" s="2" t="str">
        <v>Ventilador Umidificador Preto</v>
      </c>
      <c r="P351" s="8" t="str">
        <v>HF-SI0F-XC7S</v>
      </c>
      <c r="Q351" s="4">
        <v>45631</v>
      </c>
      <c r="R351" s="109">
        <v>54.5</v>
      </c>
      <c r="S351" s="11">
        <f ca="1"/>
        <v>54.5</v>
      </c>
      <c r="T351" s="28">
        <f ca="1"/>
        <v>7.6300000000000008</v>
      </c>
      <c r="U351" s="11">
        <f ca="1"/>
        <v>46.87</v>
      </c>
      <c r="V351" s="11">
        <v>7.29</v>
      </c>
      <c r="W351" s="11">
        <f ca="1"/>
        <v>0.2</v>
      </c>
      <c r="X351" s="11">
        <f ca="1"/>
        <v>0.39877104377104378</v>
      </c>
      <c r="Y351" s="11">
        <v>0</v>
      </c>
      <c r="Z351" s="11">
        <f ca="1"/>
        <v>38.981228956228954</v>
      </c>
      <c r="AA351" s="11">
        <f ca="1"/>
        <v>19.490614478114477</v>
      </c>
      <c r="AB351" s="4">
        <f ca="1"/>
        <v>45638</v>
      </c>
      <c r="AC351" s="4">
        <v>45638</v>
      </c>
      <c r="AD351" s="9">
        <v>45640</v>
      </c>
      <c r="AE351" s="9">
        <v>45642</v>
      </c>
      <c r="AF351" s="4" t="str">
        <f t="shared" ca="1" si="5"/>
        <v>2024 12</v>
      </c>
      <c r="AG351" s="8" t="str" cm="1">
        <f t="array" ref="AG351">IFERROR(_xlfn.IFS('Banco de Dados'!#REF!="AG. COMPRA","Em processamento",'Banco de Dados'!#REF!="AG. RASTREIO","Em processamento",'Banco de Dados'!$AE351&lt;&gt;"-","Faturado",'Banco de Dados'!$AD351&lt;&gt;"-","Aguardando Pix",'Banco de Dados'!$AC351&lt;&gt;"-","Pendente"),"Aguardando Liberação")</f>
        <v>Aguardando Liberação</v>
      </c>
      <c r="AH351" s="5" t="str">
        <f>IF('Banco de Dados'!$F351="-",_xlfn.CONCAT(PROPER(TEXT(AK351,"aaaa"))," ",PROPER(TEXT(AK351,"mm"))),_xlfn.CONCAT(PROPER(TEXT(E351,"aaaa"))," ",PROPER(TEXT(E351,"mm"))))</f>
        <v>2024 11</v>
      </c>
      <c r="AI351" s="9" t="str">
        <f ca="1">IF('Banco de Dados'!$AK351&lt;&gt;"-","REEMBOLSO",IFERROR(_xlfn.XLOOKUP(G351,Follow[CODRASTREIO],Follow[STATUS]),"-"))</f>
        <v>ENTREGUE</v>
      </c>
      <c r="AJ351" s="9">
        <f ca="1">IF('Banco de Dados'!$AI351="ENTREGUE",_xlfn.XLOOKUP('Banco de Dados'!$G351,Follow[CODRASTREIO],Follow[DATAATUALIZAÇÃO]),"-")</f>
        <v>45622</v>
      </c>
      <c r="AK351" s="9" t="str">
        <f ca="1"/>
        <v>-</v>
      </c>
      <c r="AL351" s="35"/>
      <c r="AM351" s="109" cm="1">
        <f t="array" aca="1" ref="AM351" ca="1">IF('Banco de Dados'!$AK351&lt;&gt;"-",_xlfn.IFS('Banco de Dados'!$A351="bv",IF('Banco de Dados'!$E351&lt;45641,ROUND(SUM('Banco de Dados'!$R351*_xlfn.XLOOKUP('Banco de Dados'!$P351,Sku!B:B,Sku!#REF!)*20%),2),ROUND(SUM('Banco de Dados'!$R351*_xlfn.XLOOKUP('Banco de Dados'!$P351,Sku!B:B,Sku!H:H)*20%),2)),'Banco de Dados'!$A351="GO",ROUND(_xlfn.XLOOKUP('Banco de Dados'!$P351,Sku!C:C,Sku!H:H),2),'Banco de Dados'!$A351="MEI",ROUND(_xlfn.XLOOKUP('Banco de Dados'!$P351,Sku!D:D,Sku!H:H),2)),0)</f>
        <v>0</v>
      </c>
      <c r="AN351" s="109">
        <f ca="1">IF('Banco de Dados'!$AK351&lt;&gt;"-",IF('Banco de Dados'!$F351&lt;&gt;"-",_xlfn.XLOOKUP(IFERROR(IFERROR(IFERROR(VALUE(SUBSTITUTE(MID(_xlfn.TEXTAFTER('Banco de Dados'!$F351,"Data do Pedido:
",1),1,10),"-","/")),VALUE(SUBSTITUTE(MID(_xlfn.TEXTAFTER('Banco de Dados'!$F351,"Order date:
",1),1,10),"-","/"))),VALUE(SUBSTITUTE(MID(_xlfn.TEXTAFTER('Banco de Dados'!$F351,"Fecha de pedido:
",1),1,10),"-","/"))),"-"),SMS!A:A,SMS!K:K),0),0)</f>
        <v>0</v>
      </c>
      <c r="AO351" s="109">
        <f ca="1">IF('Banco de Dados'!$AK351&lt;&gt;"-",IF('Banco de Dados'!$F351&lt;&gt;"-",IFERROR(_xlfn.XLOOKUP(_xlfn.CONCAT('Banco de Dados'!$A351,IFERROR(IFERROR(VALUE(SUBSTITUTE(MID(_xlfn.TEXTAFTER('Banco de Dados'!$F351,"Data do Pedido:
",1),1,10),"-","/")),VALUE(SUBSTITUTE(MID(_xlfn.TEXTAFTER('Banco de Dados'!$F351,"Order date:
",1),1,10),"-","/"))),0)),ProxyDD[Chave],ProxyDD[Valor por pedido]),PROXY!$P$2),0),0)</f>
        <v>0</v>
      </c>
      <c r="AP351" s="28">
        <f ca="1">IF('Banco de Dados'!$AK351&lt;&gt;"-",IF('Banco de Dados'!$AL351="NÃO",IFERROR(VALUE(SUBSTITUTE(_xlfn.TEXTAFTER('Banco de Dados'!$F351,"BRL ",1),".",",")),0),0),0)</f>
        <v>0</v>
      </c>
      <c r="AQ351" s="28">
        <f ca="1">SUM('Banco de Dados'!$AM351:$AP351)</f>
        <v>0</v>
      </c>
      <c r="AR351" s="8"/>
      <c r="AS351" s="8"/>
      <c r="AY351" s="8"/>
    </row>
    <row r="352" spans="1:51">
      <c r="A352" s="5" t="str">
        <v>BV</v>
      </c>
      <c r="B352" s="5" t="str">
        <f ca="1"/>
        <v>BV45608</v>
      </c>
      <c r="C352" s="8" t="str">
        <v>Pedido 348</v>
      </c>
      <c r="D352" s="9">
        <v>45608</v>
      </c>
      <c r="E352" s="9">
        <v>45608</v>
      </c>
      <c r="F352" s="8" t="str">
        <v>PedidoF341</v>
      </c>
      <c r="G352" s="2" t="str">
        <v>CódRastreio341</v>
      </c>
      <c r="H352" s="5">
        <v>1</v>
      </c>
      <c r="I352" s="182" t="str">
        <v>CPF 341</v>
      </c>
      <c r="J352" s="2" t="str">
        <v>Nome 341</v>
      </c>
      <c r="K352" s="8" t="str">
        <v>Tel 341</v>
      </c>
      <c r="L352" s="2" t="str">
        <v>Cep 341</v>
      </c>
      <c r="M352" s="2" t="str">
        <v>Rua 341</v>
      </c>
      <c r="N352" s="2" t="str">
        <v>Comp 341</v>
      </c>
      <c r="O352" s="2" t="str">
        <v>Mini Liquidificador</v>
      </c>
      <c r="P352" s="8" t="str">
        <v>CK-YL6M-P5Y6</v>
      </c>
      <c r="Q352" s="4">
        <v>45637</v>
      </c>
      <c r="R352" s="109">
        <v>31.5</v>
      </c>
      <c r="S352" s="11">
        <f ca="1"/>
        <v>0</v>
      </c>
      <c r="T352" s="28">
        <f ca="1"/>
        <v>0</v>
      </c>
      <c r="U352" s="11">
        <f ca="1"/>
        <v>0</v>
      </c>
      <c r="V352" s="11">
        <v>0</v>
      </c>
      <c r="W352" s="11">
        <f ca="1"/>
        <v>0</v>
      </c>
      <c r="X352" s="11">
        <f ca="1"/>
        <v>0.39877104377104378</v>
      </c>
      <c r="Y352" s="11">
        <v>0</v>
      </c>
      <c r="Z352" s="11">
        <f ca="1"/>
        <v>-0.39877104377104378</v>
      </c>
      <c r="AA352" s="11">
        <f ca="1"/>
        <v>-0.19938552188552189</v>
      </c>
      <c r="AB352" s="4">
        <f ca="1"/>
        <v>45644</v>
      </c>
      <c r="AC352" s="4">
        <v>45645</v>
      </c>
      <c r="AD352" s="9">
        <v>45651</v>
      </c>
      <c r="AE352" s="9">
        <v>45659</v>
      </c>
      <c r="AF352" s="4" t="str">
        <f t="shared" ca="1" si="5"/>
        <v>2024 12</v>
      </c>
      <c r="AG352" s="8" t="str" cm="1">
        <f t="array" ref="AG352">IFERROR(_xlfn.IFS('Banco de Dados'!#REF!="AG. COMPRA","Em processamento",'Banco de Dados'!#REF!="AG. RASTREIO","Em processamento",'Banco de Dados'!$AE352&lt;&gt;"-","Faturado",'Banco de Dados'!$AD352&lt;&gt;"-","Aguardando Pix",'Banco de Dados'!$AC352&lt;&gt;"-","Pendente"),"Aguardando Liberação")</f>
        <v>Aguardando Liberação</v>
      </c>
      <c r="AH352" s="5" t="str">
        <f>IF('Banco de Dados'!$F352="-",_xlfn.CONCAT(PROPER(TEXT(AK352,"aaaa"))," ",PROPER(TEXT(AK352,"mm"))),_xlfn.CONCAT(PROPER(TEXT(E352,"aaaa"))," ",PROPER(TEXT(E352,"mm"))))</f>
        <v>2024 11</v>
      </c>
      <c r="AI352" s="9" t="str">
        <f ca="1">IF('Banco de Dados'!$AK352&lt;&gt;"-","REEMBOLSO",IFERROR(_xlfn.XLOOKUP(G352,Follow[CODRASTREIO],Follow[STATUS]),"-"))</f>
        <v>REEMBOLSO</v>
      </c>
      <c r="AJ352" s="9" t="str">
        <f ca="1">IF('Banco de Dados'!$AI352="ENTREGUE",_xlfn.XLOOKUP('Banco de Dados'!$G352,Follow[CODRASTREIO],Follow[DATAATUALIZAÇÃO]),"-")</f>
        <v>-</v>
      </c>
      <c r="AK352" s="9">
        <f ca="1"/>
        <v>45645</v>
      </c>
      <c r="AL352" s="35"/>
      <c r="AM352" s="109" t="e" cm="1">
        <f t="array" aca="1" ref="AM352" ca="1">IF('Banco de Dados'!$AK352&lt;&gt;"-",_xlfn.IFS('Banco de Dados'!$A352="bv",IF('Banco de Dados'!$E352&lt;45641,ROUND(SUM('Banco de Dados'!$R352*_xlfn.XLOOKUP('Banco de Dados'!$P352,Sku!B:B,Sku!#REF!)*20%),2),ROUND(SUM('Banco de Dados'!$R352*_xlfn.XLOOKUP('Banco de Dados'!$P352,Sku!B:B,Sku!H:H)*20%),2)),'Banco de Dados'!$A352="GO",ROUND(_xlfn.XLOOKUP('Banco de Dados'!$P352,Sku!C:C,Sku!H:H),2),'Banco de Dados'!$A352="MEI",ROUND(_xlfn.XLOOKUP('Banco de Dados'!$P352,Sku!D:D,Sku!H:H),2)),0)</f>
        <v>#REF!</v>
      </c>
      <c r="AN352" s="109" t="e">
        <f ca="1">IF('Banco de Dados'!$AK352&lt;&gt;"-",IF('Banco de Dados'!$F352&lt;&gt;"-",_xlfn.XLOOKUP(IFERROR(IFERROR(IFERROR(VALUE(SUBSTITUTE(MID(_xlfn.TEXTAFTER('Banco de Dados'!$F352,"Data do Pedido:
",1),1,10),"-","/")),VALUE(SUBSTITUTE(MID(_xlfn.TEXTAFTER('Banco de Dados'!$F352,"Order date:
",1),1,10),"-","/"))),VALUE(SUBSTITUTE(MID(_xlfn.TEXTAFTER('Banco de Dados'!$F352,"Fecha de pedido:
",1),1,10),"-","/"))),"-"),SMS!A:A,SMS!K:K),0),0)</f>
        <v>#N/A</v>
      </c>
      <c r="AO352" s="109">
        <f ca="1">IF('Banco de Dados'!$AK352&lt;&gt;"-",IF('Banco de Dados'!$F352&lt;&gt;"-",IFERROR(_xlfn.XLOOKUP(_xlfn.CONCAT('Banco de Dados'!$A352,IFERROR(IFERROR(VALUE(SUBSTITUTE(MID(_xlfn.TEXTAFTER('Banco de Dados'!$F352,"Data do Pedido:
",1),1,10),"-","/")),VALUE(SUBSTITUTE(MID(_xlfn.TEXTAFTER('Banco de Dados'!$F352,"Order date:
",1),1,10),"-","/"))),0)),ProxyDD[Chave],ProxyDD[Valor por pedido]),PROXY!$P$2),0),0)</f>
        <v>0.39877104377104378</v>
      </c>
      <c r="AP352" s="28">
        <f ca="1">IF('Banco de Dados'!$AK352&lt;&gt;"-",IF('Banco de Dados'!$AL352="NÃO",IFERROR(VALUE(SUBSTITUTE(_xlfn.TEXTAFTER('Banco de Dados'!$F352,"BRL ",1),".",",")),0),0),0)</f>
        <v>0</v>
      </c>
      <c r="AQ352" s="28" t="e">
        <f ca="1">SUM('Banco de Dados'!$AM352:$AP352)</f>
        <v>#REF!</v>
      </c>
      <c r="AR352" s="8"/>
      <c r="AS352" s="8"/>
      <c r="AY352" s="8"/>
    </row>
    <row r="353" spans="1:51">
      <c r="A353" s="5" t="str">
        <v>BV</v>
      </c>
      <c r="B353" s="5" t="str">
        <f ca="1"/>
        <v>BV45608</v>
      </c>
      <c r="C353" s="8" t="str">
        <v>Pedido 349</v>
      </c>
      <c r="D353" s="9">
        <v>45608</v>
      </c>
      <c r="E353" s="9">
        <v>45608</v>
      </c>
      <c r="F353" s="8" t="str">
        <v>PedidoF342</v>
      </c>
      <c r="G353" s="2" t="str">
        <v>CódRastreio342</v>
      </c>
      <c r="H353" s="5">
        <v>1</v>
      </c>
      <c r="I353" s="182" t="str">
        <v>CPF 342</v>
      </c>
      <c r="J353" s="2" t="str">
        <v>Nome 342</v>
      </c>
      <c r="K353" s="8" t="str">
        <v>Tel 342</v>
      </c>
      <c r="L353" s="2" t="str">
        <v>Cep 342</v>
      </c>
      <c r="M353" s="2" t="str">
        <v>Rua 342</v>
      </c>
      <c r="N353" s="2" t="str">
        <v>Comp 342</v>
      </c>
      <c r="O353" s="2" t="str">
        <v>Ventilador Preto</v>
      </c>
      <c r="P353" s="8" t="str">
        <v>MU-J80P-95WF</v>
      </c>
      <c r="Q353" s="4">
        <v>45637</v>
      </c>
      <c r="R353" s="109">
        <v>59.5</v>
      </c>
      <c r="S353" s="11">
        <f ca="1"/>
        <v>59.5</v>
      </c>
      <c r="T353" s="28">
        <f ca="1"/>
        <v>7.7350000000000003</v>
      </c>
      <c r="U353" s="11">
        <f ca="1"/>
        <v>51.77</v>
      </c>
      <c r="V353" s="11">
        <v>7.29</v>
      </c>
      <c r="W353" s="11">
        <f ca="1"/>
        <v>0.2</v>
      </c>
      <c r="X353" s="11">
        <f ca="1"/>
        <v>0.39877104377104378</v>
      </c>
      <c r="Y353" s="11">
        <v>0</v>
      </c>
      <c r="Z353" s="11">
        <f ca="1"/>
        <v>43.881228956228959</v>
      </c>
      <c r="AA353" s="11">
        <f ca="1"/>
        <v>21.94061447811448</v>
      </c>
      <c r="AB353" s="4">
        <f ca="1"/>
        <v>45644</v>
      </c>
      <c r="AC353" s="4">
        <v>45644</v>
      </c>
      <c r="AD353" s="9">
        <v>45651</v>
      </c>
      <c r="AE353" s="9">
        <v>45659</v>
      </c>
      <c r="AF353" s="4" t="str">
        <f t="shared" ca="1" si="5"/>
        <v>2024 12</v>
      </c>
      <c r="AG353" s="8" t="str" cm="1">
        <f t="array" ref="AG353">IFERROR(_xlfn.IFS('Banco de Dados'!#REF!="AG. COMPRA","Em processamento",'Banco de Dados'!#REF!="AG. RASTREIO","Em processamento",'Banco de Dados'!$AE353&lt;&gt;"-","Faturado",'Banco de Dados'!$AD353&lt;&gt;"-","Aguardando Pix",'Banco de Dados'!$AC353&lt;&gt;"-","Pendente"),"Aguardando Liberação")</f>
        <v>Aguardando Liberação</v>
      </c>
      <c r="AH353" s="5" t="str">
        <f>IF('Banco de Dados'!$F353="-",_xlfn.CONCAT(PROPER(TEXT(AK353,"aaaa"))," ",PROPER(TEXT(AK353,"mm"))),_xlfn.CONCAT(PROPER(TEXT(E353,"aaaa"))," ",PROPER(TEXT(E353,"mm"))))</f>
        <v>2024 11</v>
      </c>
      <c r="AI353" s="9" t="str">
        <f ca="1">IF('Banco de Dados'!$AK353&lt;&gt;"-","REEMBOLSO",IFERROR(_xlfn.XLOOKUP(G353,Follow[CODRASTREIO],Follow[STATUS]),"-"))</f>
        <v>ENTREGUE</v>
      </c>
      <c r="AJ353" s="9">
        <f ca="1">IF('Banco de Dados'!$AI353="ENTREGUE",_xlfn.XLOOKUP('Banco de Dados'!$G353,Follow[CODRASTREIO],Follow[DATAATUALIZAÇÃO]),"-")</f>
        <v>45631.427523148152</v>
      </c>
      <c r="AK353" s="9" t="str">
        <f ca="1"/>
        <v>-</v>
      </c>
      <c r="AL353" s="35"/>
      <c r="AM353" s="109" cm="1">
        <f t="array" aca="1" ref="AM353" ca="1">IF('Banco de Dados'!$AK353&lt;&gt;"-",_xlfn.IFS('Banco de Dados'!$A353="bv",IF('Banco de Dados'!$E353&lt;45641,ROUND(SUM('Banco de Dados'!$R353*_xlfn.XLOOKUP('Banco de Dados'!$P353,Sku!B:B,Sku!#REF!)*20%),2),ROUND(SUM('Banco de Dados'!$R353*_xlfn.XLOOKUP('Banco de Dados'!$P353,Sku!B:B,Sku!H:H)*20%),2)),'Banco de Dados'!$A353="GO",ROUND(_xlfn.XLOOKUP('Banco de Dados'!$P353,Sku!C:C,Sku!H:H),2),'Banco de Dados'!$A353="MEI",ROUND(_xlfn.XLOOKUP('Banco de Dados'!$P353,Sku!D:D,Sku!H:H),2)),0)</f>
        <v>0</v>
      </c>
      <c r="AN353" s="109">
        <f ca="1">IF('Banco de Dados'!$AK353&lt;&gt;"-",IF('Banco de Dados'!$F353&lt;&gt;"-",_xlfn.XLOOKUP(IFERROR(IFERROR(IFERROR(VALUE(SUBSTITUTE(MID(_xlfn.TEXTAFTER('Banco de Dados'!$F353,"Data do Pedido:
",1),1,10),"-","/")),VALUE(SUBSTITUTE(MID(_xlfn.TEXTAFTER('Banco de Dados'!$F353,"Order date:
",1),1,10),"-","/"))),VALUE(SUBSTITUTE(MID(_xlfn.TEXTAFTER('Banco de Dados'!$F353,"Fecha de pedido:
",1),1,10),"-","/"))),"-"),SMS!A:A,SMS!K:K),0),0)</f>
        <v>0</v>
      </c>
      <c r="AO353" s="109">
        <f ca="1">IF('Banco de Dados'!$AK353&lt;&gt;"-",IF('Banco de Dados'!$F353&lt;&gt;"-",IFERROR(_xlfn.XLOOKUP(_xlfn.CONCAT('Banco de Dados'!$A353,IFERROR(IFERROR(VALUE(SUBSTITUTE(MID(_xlfn.TEXTAFTER('Banco de Dados'!$F353,"Data do Pedido:
",1),1,10),"-","/")),VALUE(SUBSTITUTE(MID(_xlfn.TEXTAFTER('Banco de Dados'!$F353,"Order date:
",1),1,10),"-","/"))),0)),ProxyDD[Chave],ProxyDD[Valor por pedido]),PROXY!$P$2),0),0)</f>
        <v>0</v>
      </c>
      <c r="AP353" s="28">
        <f ca="1">IF('Banco de Dados'!$AK353&lt;&gt;"-",IF('Banco de Dados'!$AL353="NÃO",IFERROR(VALUE(SUBSTITUTE(_xlfn.TEXTAFTER('Banco de Dados'!$F353,"BRL ",1),".",",")),0),0),0)</f>
        <v>0</v>
      </c>
      <c r="AQ353" s="28">
        <f ca="1">SUM('Banco de Dados'!$AM353:$AP353)</f>
        <v>0</v>
      </c>
      <c r="AR353" s="8"/>
      <c r="AS353" s="8"/>
      <c r="AY353" s="8"/>
    </row>
    <row r="354" spans="1:51">
      <c r="A354" s="5" t="str">
        <v>BV</v>
      </c>
      <c r="B354" s="5" t="str">
        <f ca="1"/>
        <v>BV45608</v>
      </c>
      <c r="C354" s="8" t="str">
        <v>Pedido 350</v>
      </c>
      <c r="D354" s="9">
        <v>45608</v>
      </c>
      <c r="E354" s="9">
        <v>45608</v>
      </c>
      <c r="F354" s="8" t="str">
        <v>PedidoF343</v>
      </c>
      <c r="G354" s="2" t="str">
        <v>CódRastreio343</v>
      </c>
      <c r="H354" s="5">
        <v>1</v>
      </c>
      <c r="I354" s="182" t="str">
        <v>CPF 343</v>
      </c>
      <c r="J354" s="2" t="str">
        <v>Nome 343</v>
      </c>
      <c r="K354" s="8" t="str">
        <v>Tel 343</v>
      </c>
      <c r="L354" s="2" t="str">
        <v>Cep 343</v>
      </c>
      <c r="M354" s="2" t="str">
        <v>Rua 343</v>
      </c>
      <c r="N354" s="2" t="str">
        <v>Comp 343</v>
      </c>
      <c r="O354" s="2" t="str">
        <v>Ventilador Preto</v>
      </c>
      <c r="P354" s="8" t="str">
        <v>MU-J80P-95WF</v>
      </c>
      <c r="Q354" s="4">
        <v>45631</v>
      </c>
      <c r="R354" s="109">
        <v>59.5</v>
      </c>
      <c r="S354" s="11">
        <f ca="1"/>
        <v>0</v>
      </c>
      <c r="T354" s="28">
        <f ca="1"/>
        <v>0</v>
      </c>
      <c r="U354" s="11">
        <f ca="1"/>
        <v>0</v>
      </c>
      <c r="V354" s="11">
        <v>0</v>
      </c>
      <c r="W354" s="11">
        <f ca="1"/>
        <v>0</v>
      </c>
      <c r="X354" s="11">
        <f ca="1"/>
        <v>0.39877104377104378</v>
      </c>
      <c r="Y354" s="11">
        <v>0</v>
      </c>
      <c r="Z354" s="11">
        <f ca="1"/>
        <v>-0.39877104377104378</v>
      </c>
      <c r="AA354" s="11">
        <f ca="1"/>
        <v>-0.19938552188552189</v>
      </c>
      <c r="AB354" s="4">
        <f ca="1"/>
        <v>45638</v>
      </c>
      <c r="AC354" s="4">
        <v>45639</v>
      </c>
      <c r="AD354" s="9">
        <v>45640</v>
      </c>
      <c r="AE354" s="9">
        <v>45642</v>
      </c>
      <c r="AF354" s="4" t="str">
        <f t="shared" ca="1" si="5"/>
        <v>2024 12</v>
      </c>
      <c r="AG354" s="8" t="str" cm="1">
        <f t="array" ref="AG354">IFERROR(_xlfn.IFS('Banco de Dados'!#REF!="AG. COMPRA","Em processamento",'Banco de Dados'!#REF!="AG. RASTREIO","Em processamento",'Banco de Dados'!$AE354&lt;&gt;"-","Faturado",'Banco de Dados'!$AD354&lt;&gt;"-","Aguardando Pix",'Banco de Dados'!$AC354&lt;&gt;"-","Pendente"),"Aguardando Liberação")</f>
        <v>Aguardando Liberação</v>
      </c>
      <c r="AH354" s="5" t="str">
        <f>IF('Banco de Dados'!$F354="-",_xlfn.CONCAT(PROPER(TEXT(AK354,"aaaa"))," ",PROPER(TEXT(AK354,"mm"))),_xlfn.CONCAT(PROPER(TEXT(E354,"aaaa"))," ",PROPER(TEXT(E354,"mm"))))</f>
        <v>2024 11</v>
      </c>
      <c r="AI354" s="9" t="str">
        <f ca="1">IF('Banco de Dados'!$AK354&lt;&gt;"-","REEMBOLSO",IFERROR(_xlfn.XLOOKUP(G354,Follow[CODRASTREIO],Follow[STATUS]),"-"))</f>
        <v>REEMBOLSO</v>
      </c>
      <c r="AJ354" s="9" t="str">
        <f ca="1">IF('Banco de Dados'!$AI354="ENTREGUE",_xlfn.XLOOKUP('Banco de Dados'!$G354,Follow[CODRASTREIO],Follow[DATAATUALIZAÇÃO]),"-")</f>
        <v>-</v>
      </c>
      <c r="AK354" s="9">
        <f ca="1"/>
        <v>45639</v>
      </c>
      <c r="AL354" s="35"/>
      <c r="AM354" s="109" t="e" cm="1">
        <f t="array" aca="1" ref="AM354" ca="1">IF('Banco de Dados'!$AK354&lt;&gt;"-",_xlfn.IFS('Banco de Dados'!$A354="bv",IF('Banco de Dados'!$E354&lt;45641,ROUND(SUM('Banco de Dados'!$R354*_xlfn.XLOOKUP('Banco de Dados'!$P354,Sku!B:B,Sku!#REF!)*20%),2),ROUND(SUM('Banco de Dados'!$R354*_xlfn.XLOOKUP('Banco de Dados'!$P354,Sku!B:B,Sku!H:H)*20%),2)),'Banco de Dados'!$A354="GO",ROUND(_xlfn.XLOOKUP('Banco de Dados'!$P354,Sku!C:C,Sku!H:H),2),'Banco de Dados'!$A354="MEI",ROUND(_xlfn.XLOOKUP('Banco de Dados'!$P354,Sku!D:D,Sku!H:H),2)),0)</f>
        <v>#REF!</v>
      </c>
      <c r="AN354" s="109" t="e">
        <f ca="1">IF('Banco de Dados'!$AK354&lt;&gt;"-",IF('Banco de Dados'!$F354&lt;&gt;"-",_xlfn.XLOOKUP(IFERROR(IFERROR(IFERROR(VALUE(SUBSTITUTE(MID(_xlfn.TEXTAFTER('Banco de Dados'!$F354,"Data do Pedido:
",1),1,10),"-","/")),VALUE(SUBSTITUTE(MID(_xlfn.TEXTAFTER('Banco de Dados'!$F354,"Order date:
",1),1,10),"-","/"))),VALUE(SUBSTITUTE(MID(_xlfn.TEXTAFTER('Banco de Dados'!$F354,"Fecha de pedido:
",1),1,10),"-","/"))),"-"),SMS!A:A,SMS!K:K),0),0)</f>
        <v>#N/A</v>
      </c>
      <c r="AO354" s="109">
        <f ca="1">IF('Banco de Dados'!$AK354&lt;&gt;"-",IF('Banco de Dados'!$F354&lt;&gt;"-",IFERROR(_xlfn.XLOOKUP(_xlfn.CONCAT('Banco de Dados'!$A354,IFERROR(IFERROR(VALUE(SUBSTITUTE(MID(_xlfn.TEXTAFTER('Banco de Dados'!$F354,"Data do Pedido:
",1),1,10),"-","/")),VALUE(SUBSTITUTE(MID(_xlfn.TEXTAFTER('Banco de Dados'!$F354,"Order date:
",1),1,10),"-","/"))),0)),ProxyDD[Chave],ProxyDD[Valor por pedido]),PROXY!$P$2),0),0)</f>
        <v>0.39877104377104378</v>
      </c>
      <c r="AP354" s="28">
        <f ca="1">IF('Banco de Dados'!$AK354&lt;&gt;"-",IF('Banco de Dados'!$AL354="NÃO",IFERROR(VALUE(SUBSTITUTE(_xlfn.TEXTAFTER('Banco de Dados'!$F354,"BRL ",1),".",",")),0),0),0)</f>
        <v>0</v>
      </c>
      <c r="AQ354" s="28" t="e">
        <f ca="1">SUM('Banco de Dados'!$AM354:$AP354)</f>
        <v>#REF!</v>
      </c>
      <c r="AR354" s="8"/>
      <c r="AS354" s="8"/>
      <c r="AY354" s="8"/>
    </row>
    <row r="355" spans="1:51">
      <c r="A355" s="5" t="str">
        <v>BV</v>
      </c>
      <c r="B355" s="5" t="str">
        <f ca="1"/>
        <v>BV45608</v>
      </c>
      <c r="C355" s="8" t="str">
        <v>Pedido 351</v>
      </c>
      <c r="D355" s="9">
        <v>45608</v>
      </c>
      <c r="E355" s="9">
        <v>45608</v>
      </c>
      <c r="F355" s="8" t="str">
        <v>PedidoF344</v>
      </c>
      <c r="G355" s="2" t="str">
        <v>CódRastreio344</v>
      </c>
      <c r="H355" s="5">
        <v>1</v>
      </c>
      <c r="I355" s="182" t="str">
        <v>CPF 344</v>
      </c>
      <c r="J355" s="2" t="str">
        <v>Nome 344</v>
      </c>
      <c r="K355" s="8" t="str">
        <v>Tel 344</v>
      </c>
      <c r="L355" s="2" t="str">
        <v>Cep 344</v>
      </c>
      <c r="M355" s="2" t="str">
        <v>Rua 344</v>
      </c>
      <c r="N355" s="2" t="str">
        <v>Comp 344</v>
      </c>
      <c r="O355" s="2" t="str">
        <v>Suporte de Celular Branco</v>
      </c>
      <c r="P355" s="8" t="str">
        <v>16-4EDB-WMZF</v>
      </c>
      <c r="Q355" s="4">
        <v>45625</v>
      </c>
      <c r="R355" s="109">
        <v>15.5</v>
      </c>
      <c r="S355" s="11">
        <f ca="1"/>
        <v>15.5</v>
      </c>
      <c r="T355" s="28">
        <f ca="1"/>
        <v>2.3249999999999997</v>
      </c>
      <c r="U355" s="11">
        <f ca="1"/>
        <v>13.18</v>
      </c>
      <c r="V355" s="11">
        <v>4.99</v>
      </c>
      <c r="W355" s="11">
        <f ca="1"/>
        <v>0.2</v>
      </c>
      <c r="X355" s="11">
        <f ca="1"/>
        <v>0.39877104377104378</v>
      </c>
      <c r="Y355" s="11">
        <v>0</v>
      </c>
      <c r="Z355" s="11">
        <f ca="1"/>
        <v>7.5912289562289557</v>
      </c>
      <c r="AA355" s="11">
        <f ca="1"/>
        <v>3.7956144781144778</v>
      </c>
      <c r="AB355" s="4">
        <f ca="1"/>
        <v>45632</v>
      </c>
      <c r="AC355" s="4">
        <v>45632</v>
      </c>
      <c r="AD355" s="9">
        <v>45637</v>
      </c>
      <c r="AE355" s="9">
        <v>45642</v>
      </c>
      <c r="AF355" s="4" t="str">
        <f t="shared" ca="1" si="5"/>
        <v>2024 12</v>
      </c>
      <c r="AG355" s="8" t="str" cm="1">
        <f t="array" ref="AG355">IFERROR(_xlfn.IFS('Banco de Dados'!#REF!="AG. COMPRA","Em processamento",'Banco de Dados'!#REF!="AG. RASTREIO","Em processamento",'Banco de Dados'!$AE355&lt;&gt;"-","Faturado",'Banco de Dados'!$AD355&lt;&gt;"-","Aguardando Pix",'Banco de Dados'!$AC355&lt;&gt;"-","Pendente"),"Aguardando Liberação")</f>
        <v>Aguardando Liberação</v>
      </c>
      <c r="AH355" s="5" t="str">
        <f>IF('Banco de Dados'!$F355="-",_xlfn.CONCAT(PROPER(TEXT(AK355,"aaaa"))," ",PROPER(TEXT(AK355,"mm"))),_xlfn.CONCAT(PROPER(TEXT(E355,"aaaa"))," ",PROPER(TEXT(E355,"mm"))))</f>
        <v>2024 11</v>
      </c>
      <c r="AI355" s="9" t="str">
        <f ca="1">IF('Banco de Dados'!$AK355&lt;&gt;"-","REEMBOLSO",IFERROR(_xlfn.XLOOKUP(G355,Follow[CODRASTREIO],Follow[STATUS]),"-"))</f>
        <v>ENTREGUE</v>
      </c>
      <c r="AJ355" s="9">
        <f ca="1">IF('Banco de Dados'!$AI355="ENTREGUE",_xlfn.XLOOKUP('Banco de Dados'!$G355,Follow[CODRASTREIO],Follow[DATAATUALIZAÇÃO]),"-")</f>
        <v>45620</v>
      </c>
      <c r="AK355" s="9" t="str">
        <f ca="1"/>
        <v>-</v>
      </c>
      <c r="AL355" s="35"/>
      <c r="AM355" s="109" cm="1">
        <f t="array" aca="1" ref="AM355" ca="1">IF('Banco de Dados'!$AK355&lt;&gt;"-",_xlfn.IFS('Banco de Dados'!$A355="bv",IF('Banco de Dados'!$E355&lt;45641,ROUND(SUM('Banco de Dados'!$R355*_xlfn.XLOOKUP('Banco de Dados'!$P355,Sku!B:B,Sku!#REF!)*20%),2),ROUND(SUM('Banco de Dados'!$R355*_xlfn.XLOOKUP('Banco de Dados'!$P355,Sku!B:B,Sku!H:H)*20%),2)),'Banco de Dados'!$A355="GO",ROUND(_xlfn.XLOOKUP('Banco de Dados'!$P355,Sku!C:C,Sku!H:H),2),'Banco de Dados'!$A355="MEI",ROUND(_xlfn.XLOOKUP('Banco de Dados'!$P355,Sku!D:D,Sku!H:H),2)),0)</f>
        <v>0</v>
      </c>
      <c r="AN355" s="109">
        <f ca="1">IF('Banco de Dados'!$AK355&lt;&gt;"-",IF('Banco de Dados'!$F355&lt;&gt;"-",_xlfn.XLOOKUP(IFERROR(IFERROR(IFERROR(VALUE(SUBSTITUTE(MID(_xlfn.TEXTAFTER('Banco de Dados'!$F355,"Data do Pedido:
",1),1,10),"-","/")),VALUE(SUBSTITUTE(MID(_xlfn.TEXTAFTER('Banco de Dados'!$F355,"Order date:
",1),1,10),"-","/"))),VALUE(SUBSTITUTE(MID(_xlfn.TEXTAFTER('Banco de Dados'!$F355,"Fecha de pedido:
",1),1,10),"-","/"))),"-"),SMS!A:A,SMS!K:K),0),0)</f>
        <v>0</v>
      </c>
      <c r="AO355" s="109">
        <f ca="1">IF('Banco de Dados'!$AK355&lt;&gt;"-",IF('Banco de Dados'!$F355&lt;&gt;"-",IFERROR(_xlfn.XLOOKUP(_xlfn.CONCAT('Banco de Dados'!$A355,IFERROR(IFERROR(VALUE(SUBSTITUTE(MID(_xlfn.TEXTAFTER('Banco de Dados'!$F355,"Data do Pedido:
",1),1,10),"-","/")),VALUE(SUBSTITUTE(MID(_xlfn.TEXTAFTER('Banco de Dados'!$F355,"Order date:
",1),1,10),"-","/"))),0)),ProxyDD[Chave],ProxyDD[Valor por pedido]),PROXY!$P$2),0),0)</f>
        <v>0</v>
      </c>
      <c r="AP355" s="28">
        <f ca="1">IF('Banco de Dados'!$AK355&lt;&gt;"-",IF('Banco de Dados'!$AL355="NÃO",IFERROR(VALUE(SUBSTITUTE(_xlfn.TEXTAFTER('Banco de Dados'!$F355,"BRL ",1),".",",")),0),0),0)</f>
        <v>0</v>
      </c>
      <c r="AQ355" s="28">
        <f ca="1">SUM('Banco de Dados'!$AM355:$AP355)</f>
        <v>0</v>
      </c>
      <c r="AR355" s="8"/>
      <c r="AS355" s="8"/>
      <c r="AY355" s="8"/>
    </row>
    <row r="356" spans="1:51">
      <c r="A356" s="5" t="str">
        <v>BV</v>
      </c>
      <c r="B356" s="5" t="str">
        <f ca="1"/>
        <v>BV45608</v>
      </c>
      <c r="C356" s="8" t="str">
        <v>Pedido 352</v>
      </c>
      <c r="D356" s="9">
        <v>45608</v>
      </c>
      <c r="E356" s="9">
        <v>45608</v>
      </c>
      <c r="F356" s="8" t="str">
        <v>PedidoF345</v>
      </c>
      <c r="G356" s="2" t="str">
        <v>CódRastreio345</v>
      </c>
      <c r="H356" s="5">
        <v>1</v>
      </c>
      <c r="I356" s="182" t="str">
        <v>CPF 345</v>
      </c>
      <c r="J356" s="2" t="str">
        <v>Nome 345</v>
      </c>
      <c r="K356" s="8" t="str">
        <v>Tel 345</v>
      </c>
      <c r="L356" s="2" t="str">
        <v>Cep 345</v>
      </c>
      <c r="M356" s="2" t="str">
        <v>Rua 345</v>
      </c>
      <c r="N356" s="2" t="str">
        <v>Comp 345</v>
      </c>
      <c r="O356" s="2" t="str">
        <v>Adaptador Bluetooph</v>
      </c>
      <c r="P356" s="8" t="str">
        <v>YA-AG3H-SPUK</v>
      </c>
      <c r="Q356" s="4">
        <v>45631</v>
      </c>
      <c r="R356" s="109">
        <v>16.989999999999998</v>
      </c>
      <c r="S356" s="11">
        <f ca="1"/>
        <v>16.989999999999998</v>
      </c>
      <c r="T356" s="28">
        <f ca="1"/>
        <v>2.0387999999999997</v>
      </c>
      <c r="U356" s="11">
        <f ca="1"/>
        <v>14.95</v>
      </c>
      <c r="V356" s="11">
        <v>5.48</v>
      </c>
      <c r="W356" s="11">
        <f ca="1"/>
        <v>0.2</v>
      </c>
      <c r="X356" s="11">
        <f ca="1"/>
        <v>0.39877104377104378</v>
      </c>
      <c r="Y356" s="11">
        <v>0</v>
      </c>
      <c r="Z356" s="11">
        <f ca="1"/>
        <v>8.8712289562289541</v>
      </c>
      <c r="AA356" s="11">
        <f ca="1"/>
        <v>4.4356144781144771</v>
      </c>
      <c r="AB356" s="4">
        <f ca="1"/>
        <v>45638</v>
      </c>
      <c r="AC356" s="4">
        <v>45638</v>
      </c>
      <c r="AD356" s="9">
        <v>45640</v>
      </c>
      <c r="AE356" s="9">
        <v>45642</v>
      </c>
      <c r="AF356" s="4" t="str">
        <f t="shared" ca="1" si="5"/>
        <v>2024 12</v>
      </c>
      <c r="AG356" s="8" t="str" cm="1">
        <f t="array" ref="AG356">IFERROR(_xlfn.IFS('Banco de Dados'!#REF!="AG. COMPRA","Em processamento",'Banco de Dados'!#REF!="AG. RASTREIO","Em processamento",'Banco de Dados'!$AE356&lt;&gt;"-","Faturado",'Banco de Dados'!$AD356&lt;&gt;"-","Aguardando Pix",'Banco de Dados'!$AC356&lt;&gt;"-","Pendente"),"Aguardando Liberação")</f>
        <v>Aguardando Liberação</v>
      </c>
      <c r="AH356" s="5" t="str">
        <f>IF('Banco de Dados'!$F356="-",_xlfn.CONCAT(PROPER(TEXT(AK356,"aaaa"))," ",PROPER(TEXT(AK356,"mm"))),_xlfn.CONCAT(PROPER(TEXT(E356,"aaaa"))," ",PROPER(TEXT(E356,"mm"))))</f>
        <v>2024 11</v>
      </c>
      <c r="AI356" s="9" t="str">
        <f ca="1">IF('Banco de Dados'!$AK356&lt;&gt;"-","REEMBOLSO",IFERROR(_xlfn.XLOOKUP(G356,Follow[CODRASTREIO],Follow[STATUS]),"-"))</f>
        <v>ENTREGUE</v>
      </c>
      <c r="AJ356" s="9">
        <f ca="1">IF('Banco de Dados'!$AI356="ENTREGUE",_xlfn.XLOOKUP('Banco de Dados'!$G356,Follow[CODRASTREIO],Follow[DATAATUALIZAÇÃO]),"-")</f>
        <v>45617</v>
      </c>
      <c r="AK356" s="9" t="str">
        <f ca="1"/>
        <v>-</v>
      </c>
      <c r="AL356" s="35"/>
      <c r="AM356" s="109" cm="1">
        <f t="array" aca="1" ref="AM356" ca="1">IF('Banco de Dados'!$AK356&lt;&gt;"-",_xlfn.IFS('Banco de Dados'!$A356="bv",IF('Banco de Dados'!$E356&lt;45641,ROUND(SUM('Banco de Dados'!$R356*_xlfn.XLOOKUP('Banco de Dados'!$P356,Sku!B:B,Sku!#REF!)*20%),2),ROUND(SUM('Banco de Dados'!$R356*_xlfn.XLOOKUP('Banco de Dados'!$P356,Sku!B:B,Sku!H:H)*20%),2)),'Banco de Dados'!$A356="GO",ROUND(_xlfn.XLOOKUP('Banco de Dados'!$P356,Sku!C:C,Sku!H:H),2),'Banco de Dados'!$A356="MEI",ROUND(_xlfn.XLOOKUP('Banco de Dados'!$P356,Sku!D:D,Sku!H:H),2)),0)</f>
        <v>0</v>
      </c>
      <c r="AN356" s="109">
        <f ca="1">IF('Banco de Dados'!$AK356&lt;&gt;"-",IF('Banco de Dados'!$F356&lt;&gt;"-",_xlfn.XLOOKUP(IFERROR(IFERROR(IFERROR(VALUE(SUBSTITUTE(MID(_xlfn.TEXTAFTER('Banco de Dados'!$F356,"Data do Pedido:
",1),1,10),"-","/")),VALUE(SUBSTITUTE(MID(_xlfn.TEXTAFTER('Banco de Dados'!$F356,"Order date:
",1),1,10),"-","/"))),VALUE(SUBSTITUTE(MID(_xlfn.TEXTAFTER('Banco de Dados'!$F356,"Fecha de pedido:
",1),1,10),"-","/"))),"-"),SMS!A:A,SMS!K:K),0),0)</f>
        <v>0</v>
      </c>
      <c r="AO356" s="109">
        <f ca="1">IF('Banco de Dados'!$AK356&lt;&gt;"-",IF('Banco de Dados'!$F356&lt;&gt;"-",IFERROR(_xlfn.XLOOKUP(_xlfn.CONCAT('Banco de Dados'!$A356,IFERROR(IFERROR(VALUE(SUBSTITUTE(MID(_xlfn.TEXTAFTER('Banco de Dados'!$F356,"Data do Pedido:
",1),1,10),"-","/")),VALUE(SUBSTITUTE(MID(_xlfn.TEXTAFTER('Banco de Dados'!$F356,"Order date:
",1),1,10),"-","/"))),0)),ProxyDD[Chave],ProxyDD[Valor por pedido]),PROXY!$P$2),0),0)</f>
        <v>0</v>
      </c>
      <c r="AP356" s="28">
        <f ca="1">IF('Banco de Dados'!$AK356&lt;&gt;"-",IF('Banco de Dados'!$AL356="NÃO",IFERROR(VALUE(SUBSTITUTE(_xlfn.TEXTAFTER('Banco de Dados'!$F356,"BRL ",1),".",",")),0),0),0)</f>
        <v>0</v>
      </c>
      <c r="AQ356" s="28">
        <f ca="1">SUM('Banco de Dados'!$AM356:$AP356)</f>
        <v>0</v>
      </c>
      <c r="AR356" s="8"/>
      <c r="AS356" s="8"/>
      <c r="AY356" s="8"/>
    </row>
    <row r="357" spans="1:51">
      <c r="A357" s="5" t="str">
        <v>BV</v>
      </c>
      <c r="B357" s="5" t="str">
        <f ca="1"/>
        <v>BV45608</v>
      </c>
      <c r="C357" s="8" t="str">
        <v>Pedido 353</v>
      </c>
      <c r="D357" s="9">
        <v>45608</v>
      </c>
      <c r="E357" s="9">
        <v>45608</v>
      </c>
      <c r="F357" s="8" t="str">
        <v>PedidoF346</v>
      </c>
      <c r="G357" s="2" t="str">
        <v>CódRastreio346</v>
      </c>
      <c r="H357" s="5">
        <v>1</v>
      </c>
      <c r="I357" s="182" t="str">
        <v>CPF 346</v>
      </c>
      <c r="J357" s="2" t="str">
        <v>Nome 346</v>
      </c>
      <c r="K357" s="8" t="str">
        <v>Tel 346</v>
      </c>
      <c r="L357" s="2" t="str">
        <v>Cep 346</v>
      </c>
      <c r="M357" s="2" t="str">
        <v>Rua 346</v>
      </c>
      <c r="N357" s="2" t="str">
        <v>Comp 346</v>
      </c>
      <c r="O357" s="2" t="str">
        <v>Suporte de Celular Branco</v>
      </c>
      <c r="P357" s="8" t="str">
        <v>16-4EDB-WMZF</v>
      </c>
      <c r="Q357" s="4">
        <v>45631</v>
      </c>
      <c r="R357" s="109">
        <v>15.5</v>
      </c>
      <c r="S357" s="11">
        <f ca="1"/>
        <v>15.5</v>
      </c>
      <c r="T357" s="28">
        <f ca="1"/>
        <v>2.3249999999999997</v>
      </c>
      <c r="U357" s="11">
        <f ca="1"/>
        <v>13.18</v>
      </c>
      <c r="V357" s="11">
        <v>4.99</v>
      </c>
      <c r="W357" s="11">
        <f ca="1"/>
        <v>0.2</v>
      </c>
      <c r="X357" s="11">
        <f ca="1"/>
        <v>0.39877104377104378</v>
      </c>
      <c r="Y357" s="11">
        <v>0</v>
      </c>
      <c r="Z357" s="11">
        <f ca="1"/>
        <v>7.5912289562289557</v>
      </c>
      <c r="AA357" s="11">
        <f ca="1"/>
        <v>3.7956144781144778</v>
      </c>
      <c r="AB357" s="4">
        <f ca="1"/>
        <v>45638</v>
      </c>
      <c r="AC357" s="4">
        <v>45638</v>
      </c>
      <c r="AD357" s="9">
        <v>45640</v>
      </c>
      <c r="AE357" s="9">
        <v>45642</v>
      </c>
      <c r="AF357" s="4" t="str">
        <f t="shared" ca="1" si="5"/>
        <v>2024 12</v>
      </c>
      <c r="AG357" s="8" t="str" cm="1">
        <f t="array" ref="AG357">IFERROR(_xlfn.IFS('Banco de Dados'!#REF!="AG. COMPRA","Em processamento",'Banco de Dados'!#REF!="AG. RASTREIO","Em processamento",'Banco de Dados'!$AE357&lt;&gt;"-","Faturado",'Banco de Dados'!$AD357&lt;&gt;"-","Aguardando Pix",'Banco de Dados'!$AC357&lt;&gt;"-","Pendente"),"Aguardando Liberação")</f>
        <v>Aguardando Liberação</v>
      </c>
      <c r="AH357" s="5" t="str">
        <f>IF('Banco de Dados'!$F357="-",_xlfn.CONCAT(PROPER(TEXT(AK357,"aaaa"))," ",PROPER(TEXT(AK357,"mm"))),_xlfn.CONCAT(PROPER(TEXT(E357,"aaaa"))," ",PROPER(TEXT(E357,"mm"))))</f>
        <v>2024 11</v>
      </c>
      <c r="AI357" s="9" t="str">
        <f ca="1">IF('Banco de Dados'!$AK357&lt;&gt;"-","REEMBOLSO",IFERROR(_xlfn.XLOOKUP(G357,Follow[CODRASTREIO],Follow[STATUS]),"-"))</f>
        <v>ENTREGUE</v>
      </c>
      <c r="AJ357" s="9">
        <f ca="1">IF('Banco de Dados'!$AI357="ENTREGUE",_xlfn.XLOOKUP('Banco de Dados'!$G357,Follow[CODRASTREIO],Follow[DATAATUALIZAÇÃO]),"-")</f>
        <v>45621</v>
      </c>
      <c r="AK357" s="9" t="str">
        <f ca="1"/>
        <v>-</v>
      </c>
      <c r="AL357" s="35"/>
      <c r="AM357" s="109" cm="1">
        <f t="array" aca="1" ref="AM357" ca="1">IF('Banco de Dados'!$AK357&lt;&gt;"-",_xlfn.IFS('Banco de Dados'!$A357="bv",IF('Banco de Dados'!$E357&lt;45641,ROUND(SUM('Banco de Dados'!$R357*_xlfn.XLOOKUP('Banco de Dados'!$P357,Sku!B:B,Sku!#REF!)*20%),2),ROUND(SUM('Banco de Dados'!$R357*_xlfn.XLOOKUP('Banco de Dados'!$P357,Sku!B:B,Sku!H:H)*20%),2)),'Banco de Dados'!$A357="GO",ROUND(_xlfn.XLOOKUP('Banco de Dados'!$P357,Sku!C:C,Sku!H:H),2),'Banco de Dados'!$A357="MEI",ROUND(_xlfn.XLOOKUP('Banco de Dados'!$P357,Sku!D:D,Sku!H:H),2)),0)</f>
        <v>0</v>
      </c>
      <c r="AN357" s="109">
        <f ca="1">IF('Banco de Dados'!$AK357&lt;&gt;"-",IF('Banco de Dados'!$F357&lt;&gt;"-",_xlfn.XLOOKUP(IFERROR(IFERROR(IFERROR(VALUE(SUBSTITUTE(MID(_xlfn.TEXTAFTER('Banco de Dados'!$F357,"Data do Pedido:
",1),1,10),"-","/")),VALUE(SUBSTITUTE(MID(_xlfn.TEXTAFTER('Banco de Dados'!$F357,"Order date:
",1),1,10),"-","/"))),VALUE(SUBSTITUTE(MID(_xlfn.TEXTAFTER('Banco de Dados'!$F357,"Fecha de pedido:
",1),1,10),"-","/"))),"-"),SMS!A:A,SMS!K:K),0),0)</f>
        <v>0</v>
      </c>
      <c r="AO357" s="109">
        <f ca="1">IF('Banco de Dados'!$AK357&lt;&gt;"-",IF('Banco de Dados'!$F357&lt;&gt;"-",IFERROR(_xlfn.XLOOKUP(_xlfn.CONCAT('Banco de Dados'!$A357,IFERROR(IFERROR(VALUE(SUBSTITUTE(MID(_xlfn.TEXTAFTER('Banco de Dados'!$F357,"Data do Pedido:
",1),1,10),"-","/")),VALUE(SUBSTITUTE(MID(_xlfn.TEXTAFTER('Banco de Dados'!$F357,"Order date:
",1),1,10),"-","/"))),0)),ProxyDD[Chave],ProxyDD[Valor por pedido]),PROXY!$P$2),0),0)</f>
        <v>0</v>
      </c>
      <c r="AP357" s="28">
        <f ca="1">IF('Banco de Dados'!$AK357&lt;&gt;"-",IF('Banco de Dados'!$AL357="NÃO",IFERROR(VALUE(SUBSTITUTE(_xlfn.TEXTAFTER('Banco de Dados'!$F357,"BRL ",1),".",",")),0),0),0)</f>
        <v>0</v>
      </c>
      <c r="AQ357" s="28">
        <f ca="1">SUM('Banco de Dados'!$AM357:$AP357)</f>
        <v>0</v>
      </c>
      <c r="AR357" s="8"/>
      <c r="AS357" s="8"/>
      <c r="AY357" s="8"/>
    </row>
    <row r="358" spans="1:51">
      <c r="A358" s="5" t="str">
        <v>BV</v>
      </c>
      <c r="B358" s="5" t="str">
        <f ca="1"/>
        <v>BV45608</v>
      </c>
      <c r="C358" s="8" t="str">
        <v>Pedido 354</v>
      </c>
      <c r="D358" s="9">
        <v>45608</v>
      </c>
      <c r="E358" s="9">
        <v>45608</v>
      </c>
      <c r="F358" s="8" t="str">
        <v>PedidoF347</v>
      </c>
      <c r="G358" s="2" t="str">
        <v>CódRastreio347</v>
      </c>
      <c r="H358" s="5">
        <v>1</v>
      </c>
      <c r="I358" s="182" t="str">
        <v>CPF 347</v>
      </c>
      <c r="J358" s="2" t="str">
        <v>Nome 347</v>
      </c>
      <c r="K358" s="8" t="str">
        <v>Tel 347</v>
      </c>
      <c r="L358" s="2" t="str">
        <v>Cep 347</v>
      </c>
      <c r="M358" s="2" t="str">
        <v>Rua 347</v>
      </c>
      <c r="N358" s="2" t="str">
        <v>Comp 347</v>
      </c>
      <c r="O358" s="2" t="str">
        <v>Suporte de Celular Branco</v>
      </c>
      <c r="P358" s="8" t="str">
        <v>16-4EDB-WMZF</v>
      </c>
      <c r="Q358" s="4">
        <v>45631</v>
      </c>
      <c r="R358" s="109">
        <v>15.5</v>
      </c>
      <c r="S358" s="11">
        <f ca="1"/>
        <v>15.5</v>
      </c>
      <c r="T358" s="28">
        <f ca="1"/>
        <v>2.3249999999999997</v>
      </c>
      <c r="U358" s="11">
        <f ca="1"/>
        <v>13.18</v>
      </c>
      <c r="V358" s="11">
        <v>4.99</v>
      </c>
      <c r="W358" s="11">
        <f ca="1"/>
        <v>0.2</v>
      </c>
      <c r="X358" s="11">
        <f ca="1"/>
        <v>0.39877104377104378</v>
      </c>
      <c r="Y358" s="11">
        <v>0</v>
      </c>
      <c r="Z358" s="11">
        <f ca="1"/>
        <v>7.5912289562289557</v>
      </c>
      <c r="AA358" s="11">
        <f ca="1"/>
        <v>3.7956144781144778</v>
      </c>
      <c r="AB358" s="4">
        <f ca="1"/>
        <v>45638</v>
      </c>
      <c r="AC358" s="4">
        <v>45638</v>
      </c>
      <c r="AD358" s="9">
        <v>45640</v>
      </c>
      <c r="AE358" s="9">
        <v>45642</v>
      </c>
      <c r="AF358" s="4" t="str">
        <f t="shared" ca="1" si="5"/>
        <v>2024 12</v>
      </c>
      <c r="AG358" s="8" t="str" cm="1">
        <f t="array" ref="AG358">IFERROR(_xlfn.IFS('Banco de Dados'!#REF!="AG. COMPRA","Em processamento",'Banco de Dados'!#REF!="AG. RASTREIO","Em processamento",'Banco de Dados'!$AE358&lt;&gt;"-","Faturado",'Banco de Dados'!$AD358&lt;&gt;"-","Aguardando Pix",'Banco de Dados'!$AC358&lt;&gt;"-","Pendente"),"Aguardando Liberação")</f>
        <v>Aguardando Liberação</v>
      </c>
      <c r="AH358" s="5" t="str">
        <f>IF('Banco de Dados'!$F358="-",_xlfn.CONCAT(PROPER(TEXT(AK358,"aaaa"))," ",PROPER(TEXT(AK358,"mm"))),_xlfn.CONCAT(PROPER(TEXT(E358,"aaaa"))," ",PROPER(TEXT(E358,"mm"))))</f>
        <v>2024 11</v>
      </c>
      <c r="AI358" s="9" t="str">
        <f ca="1">IF('Banco de Dados'!$AK358&lt;&gt;"-","REEMBOLSO",IFERROR(_xlfn.XLOOKUP(G358,Follow[CODRASTREIO],Follow[STATUS]),"-"))</f>
        <v>ENTREGUE</v>
      </c>
      <c r="AJ358" s="9">
        <f ca="1">IF('Banco de Dados'!$AI358="ENTREGUE",_xlfn.XLOOKUP('Banco de Dados'!$G358,Follow[CODRASTREIO],Follow[DATAATUALIZAÇÃO]),"-")</f>
        <v>45623</v>
      </c>
      <c r="AK358" s="9" t="str">
        <f ca="1"/>
        <v>-</v>
      </c>
      <c r="AL358" s="35"/>
      <c r="AM358" s="109" cm="1">
        <f t="array" aca="1" ref="AM358" ca="1">IF('Banco de Dados'!$AK358&lt;&gt;"-",_xlfn.IFS('Banco de Dados'!$A358="bv",IF('Banco de Dados'!$E358&lt;45641,ROUND(SUM('Banco de Dados'!$R358*_xlfn.XLOOKUP('Banco de Dados'!$P358,Sku!B:B,Sku!#REF!)*20%),2),ROUND(SUM('Banco de Dados'!$R358*_xlfn.XLOOKUP('Banco de Dados'!$P358,Sku!B:B,Sku!H:H)*20%),2)),'Banco de Dados'!$A358="GO",ROUND(_xlfn.XLOOKUP('Banco de Dados'!$P358,Sku!C:C,Sku!H:H),2),'Banco de Dados'!$A358="MEI",ROUND(_xlfn.XLOOKUP('Banco de Dados'!$P358,Sku!D:D,Sku!H:H),2)),0)</f>
        <v>0</v>
      </c>
      <c r="AN358" s="109">
        <f ca="1">IF('Banco de Dados'!$AK358&lt;&gt;"-",IF('Banco de Dados'!$F358&lt;&gt;"-",_xlfn.XLOOKUP(IFERROR(IFERROR(IFERROR(VALUE(SUBSTITUTE(MID(_xlfn.TEXTAFTER('Banco de Dados'!$F358,"Data do Pedido:
",1),1,10),"-","/")),VALUE(SUBSTITUTE(MID(_xlfn.TEXTAFTER('Banco de Dados'!$F358,"Order date:
",1),1,10),"-","/"))),VALUE(SUBSTITUTE(MID(_xlfn.TEXTAFTER('Banco de Dados'!$F358,"Fecha de pedido:
",1),1,10),"-","/"))),"-"),SMS!A:A,SMS!K:K),0),0)</f>
        <v>0</v>
      </c>
      <c r="AO358" s="109">
        <f ca="1">IF('Banco de Dados'!$AK358&lt;&gt;"-",IF('Banco de Dados'!$F358&lt;&gt;"-",IFERROR(_xlfn.XLOOKUP(_xlfn.CONCAT('Banco de Dados'!$A358,IFERROR(IFERROR(VALUE(SUBSTITUTE(MID(_xlfn.TEXTAFTER('Banco de Dados'!$F358,"Data do Pedido:
",1),1,10),"-","/")),VALUE(SUBSTITUTE(MID(_xlfn.TEXTAFTER('Banco de Dados'!$F358,"Order date:
",1),1,10),"-","/"))),0)),ProxyDD[Chave],ProxyDD[Valor por pedido]),PROXY!$P$2),0),0)</f>
        <v>0</v>
      </c>
      <c r="AP358" s="28">
        <f ca="1">IF('Banco de Dados'!$AK358&lt;&gt;"-",IF('Banco de Dados'!$AL358="NÃO",IFERROR(VALUE(SUBSTITUTE(_xlfn.TEXTAFTER('Banco de Dados'!$F358,"BRL ",1),".",",")),0),0),0)</f>
        <v>0</v>
      </c>
      <c r="AQ358" s="28">
        <f ca="1">SUM('Banco de Dados'!$AM358:$AP358)</f>
        <v>0</v>
      </c>
      <c r="AR358" s="8"/>
      <c r="AS358" s="8"/>
      <c r="AY358" s="8"/>
    </row>
    <row r="359" spans="1:51">
      <c r="A359" s="5" t="str">
        <v>BV</v>
      </c>
      <c r="B359" s="5" t="str">
        <f ca="1"/>
        <v>BV45608</v>
      </c>
      <c r="C359" s="8" t="str">
        <v>Pedido 355</v>
      </c>
      <c r="D359" s="9">
        <v>45608</v>
      </c>
      <c r="E359" s="9">
        <v>45608</v>
      </c>
      <c r="F359" s="8" t="str">
        <v>PedidoF348</v>
      </c>
      <c r="G359" s="2" t="str">
        <v>CódRastreio348</v>
      </c>
      <c r="H359" s="5">
        <v>1</v>
      </c>
      <c r="I359" s="182" t="str">
        <v>CPF 348</v>
      </c>
      <c r="J359" s="2" t="str">
        <v>Nome 348</v>
      </c>
      <c r="K359" s="8" t="str">
        <v>Tel 348</v>
      </c>
      <c r="L359" s="2" t="str">
        <v>Cep 348</v>
      </c>
      <c r="M359" s="2" t="str">
        <v>Rua 348</v>
      </c>
      <c r="N359" s="2" t="str">
        <v>Comp 348</v>
      </c>
      <c r="O359" s="2" t="str">
        <v>Ventilador de teto</v>
      </c>
      <c r="P359" s="8" t="str">
        <v>BP-NHG2-B8C1</v>
      </c>
      <c r="Q359" s="4">
        <v>45637</v>
      </c>
      <c r="R359" s="109">
        <v>49.5</v>
      </c>
      <c r="S359" s="11">
        <f ca="1"/>
        <v>49.5</v>
      </c>
      <c r="T359" s="28">
        <f ca="1"/>
        <v>6.4350000000000005</v>
      </c>
      <c r="U359" s="11">
        <f ca="1"/>
        <v>43.07</v>
      </c>
      <c r="V359" s="11">
        <v>7.29</v>
      </c>
      <c r="W359" s="11">
        <f ca="1"/>
        <v>0.2</v>
      </c>
      <c r="X359" s="11">
        <f ca="1"/>
        <v>0.39877104377104378</v>
      </c>
      <c r="Y359" s="11">
        <v>0</v>
      </c>
      <c r="Z359" s="11">
        <f ca="1"/>
        <v>35.181228956228956</v>
      </c>
      <c r="AA359" s="11">
        <f ca="1"/>
        <v>17.590614478114478</v>
      </c>
      <c r="AB359" s="4">
        <f ca="1"/>
        <v>45644</v>
      </c>
      <c r="AC359" s="4">
        <v>45644</v>
      </c>
      <c r="AD359" s="9">
        <v>45651</v>
      </c>
      <c r="AE359" s="9">
        <v>45659</v>
      </c>
      <c r="AF359" s="4" t="str">
        <f t="shared" ca="1" si="5"/>
        <v>2024 12</v>
      </c>
      <c r="AG359" s="8" t="str" cm="1">
        <f t="array" ref="AG359">IFERROR(_xlfn.IFS('Banco de Dados'!#REF!="AG. COMPRA","Em processamento",'Banco de Dados'!#REF!="AG. RASTREIO","Em processamento",'Banco de Dados'!$AE359&lt;&gt;"-","Faturado",'Banco de Dados'!$AD359&lt;&gt;"-","Aguardando Pix",'Banco de Dados'!$AC359&lt;&gt;"-","Pendente"),"Aguardando Liberação")</f>
        <v>Aguardando Liberação</v>
      </c>
      <c r="AH359" s="5" t="str">
        <f>IF('Banco de Dados'!$F359="-",_xlfn.CONCAT(PROPER(TEXT(AK359,"aaaa"))," ",PROPER(TEXT(AK359,"mm"))),_xlfn.CONCAT(PROPER(TEXT(E359,"aaaa"))," ",PROPER(TEXT(E359,"mm"))))</f>
        <v>2024 11</v>
      </c>
      <c r="AI359" s="9" t="str">
        <f ca="1">IF('Banco de Dados'!$AK359&lt;&gt;"-","REEMBOLSO",IFERROR(_xlfn.XLOOKUP(G359,Follow[CODRASTREIO],Follow[STATUS]),"-"))</f>
        <v>ENTREGUE</v>
      </c>
      <c r="AJ359" s="9">
        <f ca="1">IF('Banco de Dados'!$AI359="ENTREGUE",_xlfn.XLOOKUP('Banco de Dados'!$G359,Follow[CODRASTREIO],Follow[DATAATUALIZAÇÃO]),"-")</f>
        <v>45623</v>
      </c>
      <c r="AK359" s="9" t="str">
        <f ca="1"/>
        <v>-</v>
      </c>
      <c r="AL359" s="35"/>
      <c r="AM359" s="109" cm="1">
        <f t="array" aca="1" ref="AM359" ca="1">IF('Banco de Dados'!$AK359&lt;&gt;"-",_xlfn.IFS('Banco de Dados'!$A359="bv",IF('Banco de Dados'!$E359&lt;45641,ROUND(SUM('Banco de Dados'!$R359*_xlfn.XLOOKUP('Banco de Dados'!$P359,Sku!B:B,Sku!#REF!)*20%),2),ROUND(SUM('Banco de Dados'!$R359*_xlfn.XLOOKUP('Banco de Dados'!$P359,Sku!B:B,Sku!H:H)*20%),2)),'Banco de Dados'!$A359="GO",ROUND(_xlfn.XLOOKUP('Banco de Dados'!$P359,Sku!C:C,Sku!H:H),2),'Banco de Dados'!$A359="MEI",ROUND(_xlfn.XLOOKUP('Banco de Dados'!$P359,Sku!D:D,Sku!H:H),2)),0)</f>
        <v>0</v>
      </c>
      <c r="AN359" s="109">
        <f ca="1">IF('Banco de Dados'!$AK359&lt;&gt;"-",IF('Banco de Dados'!$F359&lt;&gt;"-",_xlfn.XLOOKUP(IFERROR(IFERROR(IFERROR(VALUE(SUBSTITUTE(MID(_xlfn.TEXTAFTER('Banco de Dados'!$F359,"Data do Pedido:
",1),1,10),"-","/")),VALUE(SUBSTITUTE(MID(_xlfn.TEXTAFTER('Banco de Dados'!$F359,"Order date:
",1),1,10),"-","/"))),VALUE(SUBSTITUTE(MID(_xlfn.TEXTAFTER('Banco de Dados'!$F359,"Fecha de pedido:
",1),1,10),"-","/"))),"-"),SMS!A:A,SMS!K:K),0),0)</f>
        <v>0</v>
      </c>
      <c r="AO359" s="109">
        <f ca="1">IF('Banco de Dados'!$AK359&lt;&gt;"-",IF('Banco de Dados'!$F359&lt;&gt;"-",IFERROR(_xlfn.XLOOKUP(_xlfn.CONCAT('Banco de Dados'!$A359,IFERROR(IFERROR(VALUE(SUBSTITUTE(MID(_xlfn.TEXTAFTER('Banco de Dados'!$F359,"Data do Pedido:
",1),1,10),"-","/")),VALUE(SUBSTITUTE(MID(_xlfn.TEXTAFTER('Banco de Dados'!$F359,"Order date:
",1),1,10),"-","/"))),0)),ProxyDD[Chave],ProxyDD[Valor por pedido]),PROXY!$P$2),0),0)</f>
        <v>0</v>
      </c>
      <c r="AP359" s="28">
        <f ca="1">IF('Banco de Dados'!$AK359&lt;&gt;"-",IF('Banco de Dados'!$AL359="NÃO",IFERROR(VALUE(SUBSTITUTE(_xlfn.TEXTAFTER('Banco de Dados'!$F359,"BRL ",1),".",",")),0),0),0)</f>
        <v>0</v>
      </c>
      <c r="AQ359" s="28">
        <f ca="1">SUM('Banco de Dados'!$AM359:$AP359)</f>
        <v>0</v>
      </c>
      <c r="AR359" s="8"/>
      <c r="AS359" s="8"/>
      <c r="AY359" s="8"/>
    </row>
    <row r="360" spans="1:51">
      <c r="A360" s="5" t="str">
        <v>BV</v>
      </c>
      <c r="B360" s="5" t="str">
        <f ca="1"/>
        <v>BV45608</v>
      </c>
      <c r="C360" s="8" t="str">
        <v>Pedido 356</v>
      </c>
      <c r="D360" s="9">
        <v>45608</v>
      </c>
      <c r="E360" s="9">
        <v>45608</v>
      </c>
      <c r="F360" s="8" t="str">
        <v>PedidoF349</v>
      </c>
      <c r="G360" s="2" t="str">
        <v>CódRastreio349</v>
      </c>
      <c r="H360" s="5">
        <v>1</v>
      </c>
      <c r="I360" s="182" t="str">
        <v>CPF 349</v>
      </c>
      <c r="J360" s="2" t="str">
        <v>Nome 349</v>
      </c>
      <c r="K360" s="8" t="str">
        <v>Tel 349</v>
      </c>
      <c r="L360" s="2" t="str">
        <v>Cep 349</v>
      </c>
      <c r="M360" s="2" t="str">
        <v>Rua 349</v>
      </c>
      <c r="N360" s="2" t="str">
        <v>Comp 349</v>
      </c>
      <c r="O360" s="2" t="str">
        <v>Adaptador Bluetooph</v>
      </c>
      <c r="P360" s="8" t="str">
        <v>YA-AG3H-SPUK</v>
      </c>
      <c r="Q360" s="4">
        <v>45631</v>
      </c>
      <c r="R360" s="109">
        <v>16.989999999999998</v>
      </c>
      <c r="S360" s="11">
        <f ca="1"/>
        <v>16.989999999999998</v>
      </c>
      <c r="T360" s="28">
        <f ca="1"/>
        <v>2.0387999999999997</v>
      </c>
      <c r="U360" s="11">
        <f ca="1"/>
        <v>14.95</v>
      </c>
      <c r="V360" s="11">
        <v>5.48</v>
      </c>
      <c r="W360" s="11">
        <f ca="1"/>
        <v>0.2</v>
      </c>
      <c r="X360" s="11">
        <f ca="1"/>
        <v>0.39877104377104378</v>
      </c>
      <c r="Y360" s="11">
        <v>0</v>
      </c>
      <c r="Z360" s="11">
        <f ca="1"/>
        <v>8.8712289562289541</v>
      </c>
      <c r="AA360" s="11">
        <f ca="1"/>
        <v>4.4356144781144771</v>
      </c>
      <c r="AB360" s="4">
        <f ca="1"/>
        <v>45638</v>
      </c>
      <c r="AC360" s="4">
        <v>45638</v>
      </c>
      <c r="AD360" s="9">
        <v>45640</v>
      </c>
      <c r="AE360" s="9">
        <v>45642</v>
      </c>
      <c r="AF360" s="4" t="str">
        <f t="shared" ca="1" si="5"/>
        <v>2024 12</v>
      </c>
      <c r="AG360" s="8" t="str" cm="1">
        <f t="array" ref="AG360">IFERROR(_xlfn.IFS('Banco de Dados'!#REF!="AG. COMPRA","Em processamento",'Banco de Dados'!#REF!="AG. RASTREIO","Em processamento",'Banco de Dados'!$AE360&lt;&gt;"-","Faturado",'Banco de Dados'!$AD360&lt;&gt;"-","Aguardando Pix",'Banco de Dados'!$AC360&lt;&gt;"-","Pendente"),"Aguardando Liberação")</f>
        <v>Aguardando Liberação</v>
      </c>
      <c r="AH360" s="5" t="str">
        <f>IF('Banco de Dados'!$F360="-",_xlfn.CONCAT(PROPER(TEXT(AK360,"aaaa"))," ",PROPER(TEXT(AK360,"mm"))),_xlfn.CONCAT(PROPER(TEXT(E360,"aaaa"))," ",PROPER(TEXT(E360,"mm"))))</f>
        <v>2024 11</v>
      </c>
      <c r="AI360" s="9" t="str">
        <f ca="1">IF('Banco de Dados'!$AK360&lt;&gt;"-","REEMBOLSO",IFERROR(_xlfn.XLOOKUP(G360,Follow[CODRASTREIO],Follow[STATUS]),"-"))</f>
        <v>ENTREGUE</v>
      </c>
      <c r="AJ360" s="9">
        <f ca="1">IF('Banco de Dados'!$AI360="ENTREGUE",_xlfn.XLOOKUP('Banco de Dados'!$G360,Follow[CODRASTREIO],Follow[DATAATUALIZAÇÃO]),"-")</f>
        <v>45617</v>
      </c>
      <c r="AK360" s="9" t="str">
        <f ca="1"/>
        <v>-</v>
      </c>
      <c r="AL360" s="35"/>
      <c r="AM360" s="109" cm="1">
        <f t="array" aca="1" ref="AM360" ca="1">IF('Banco de Dados'!$AK360&lt;&gt;"-",_xlfn.IFS('Banco de Dados'!$A360="bv",IF('Banco de Dados'!$E360&lt;45641,ROUND(SUM('Banco de Dados'!$R360*_xlfn.XLOOKUP('Banco de Dados'!$P360,Sku!B:B,Sku!#REF!)*20%),2),ROUND(SUM('Banco de Dados'!$R360*_xlfn.XLOOKUP('Banco de Dados'!$P360,Sku!B:B,Sku!H:H)*20%),2)),'Banco de Dados'!$A360="GO",ROUND(_xlfn.XLOOKUP('Banco de Dados'!$P360,Sku!C:C,Sku!H:H),2),'Banco de Dados'!$A360="MEI",ROUND(_xlfn.XLOOKUP('Banco de Dados'!$P360,Sku!D:D,Sku!H:H),2)),0)</f>
        <v>0</v>
      </c>
      <c r="AN360" s="109">
        <f ca="1">IF('Banco de Dados'!$AK360&lt;&gt;"-",IF('Banco de Dados'!$F360&lt;&gt;"-",_xlfn.XLOOKUP(IFERROR(IFERROR(IFERROR(VALUE(SUBSTITUTE(MID(_xlfn.TEXTAFTER('Banco de Dados'!$F360,"Data do Pedido:
",1),1,10),"-","/")),VALUE(SUBSTITUTE(MID(_xlfn.TEXTAFTER('Banco de Dados'!$F360,"Order date:
",1),1,10),"-","/"))),VALUE(SUBSTITUTE(MID(_xlfn.TEXTAFTER('Banco de Dados'!$F360,"Fecha de pedido:
",1),1,10),"-","/"))),"-"),SMS!A:A,SMS!K:K),0),0)</f>
        <v>0</v>
      </c>
      <c r="AO360" s="109">
        <f ca="1">IF('Banco de Dados'!$AK360&lt;&gt;"-",IF('Banco de Dados'!$F360&lt;&gt;"-",IFERROR(_xlfn.XLOOKUP(_xlfn.CONCAT('Banco de Dados'!$A360,IFERROR(IFERROR(VALUE(SUBSTITUTE(MID(_xlfn.TEXTAFTER('Banco de Dados'!$F360,"Data do Pedido:
",1),1,10),"-","/")),VALUE(SUBSTITUTE(MID(_xlfn.TEXTAFTER('Banco de Dados'!$F360,"Order date:
",1),1,10),"-","/"))),0)),ProxyDD[Chave],ProxyDD[Valor por pedido]),PROXY!$P$2),0),0)</f>
        <v>0</v>
      </c>
      <c r="AP360" s="28">
        <f ca="1">IF('Banco de Dados'!$AK360&lt;&gt;"-",IF('Banco de Dados'!$AL360="NÃO",IFERROR(VALUE(SUBSTITUTE(_xlfn.TEXTAFTER('Banco de Dados'!$F360,"BRL ",1),".",",")),0),0),0)</f>
        <v>0</v>
      </c>
      <c r="AQ360" s="28">
        <f ca="1">SUM('Banco de Dados'!$AM360:$AP360)</f>
        <v>0</v>
      </c>
      <c r="AR360" s="8"/>
      <c r="AS360" s="8"/>
      <c r="AY360" s="8"/>
    </row>
    <row r="361" spans="1:51">
      <c r="A361" s="5" t="str">
        <v>BV</v>
      </c>
      <c r="B361" s="5" t="str">
        <f ca="1"/>
        <v>BV45608</v>
      </c>
      <c r="C361" s="8" t="str">
        <v>Pedido 357</v>
      </c>
      <c r="D361" s="9">
        <v>45608</v>
      </c>
      <c r="E361" s="9">
        <v>45608</v>
      </c>
      <c r="F361" s="8" t="str">
        <v>PedidoF350</v>
      </c>
      <c r="G361" s="2" t="str">
        <v>CódRastreio350</v>
      </c>
      <c r="H361" s="5">
        <v>1</v>
      </c>
      <c r="I361" s="182" t="str">
        <v>CPF 350</v>
      </c>
      <c r="J361" s="2" t="str">
        <v>Nome 350</v>
      </c>
      <c r="K361" s="8" t="str">
        <v>Tel 350</v>
      </c>
      <c r="L361" s="2" t="str">
        <v>Cep 350</v>
      </c>
      <c r="M361" s="2" t="str">
        <v>Rua 350</v>
      </c>
      <c r="N361" s="2" t="str">
        <v>Comp 350</v>
      </c>
      <c r="O361" s="2" t="str">
        <v>Ventilador de teto</v>
      </c>
      <c r="P361" s="8" t="str">
        <v>BP-NHG2-B8C1</v>
      </c>
      <c r="Q361" s="4">
        <v>45631</v>
      </c>
      <c r="R361" s="109">
        <v>49.5</v>
      </c>
      <c r="S361" s="11">
        <f ca="1"/>
        <v>49.5</v>
      </c>
      <c r="T361" s="28">
        <f ca="1"/>
        <v>6.4350000000000005</v>
      </c>
      <c r="U361" s="11">
        <f ca="1"/>
        <v>43.07</v>
      </c>
      <c r="V361" s="11">
        <v>7.29</v>
      </c>
      <c r="W361" s="11">
        <f ca="1"/>
        <v>0.2</v>
      </c>
      <c r="X361" s="11">
        <f ca="1"/>
        <v>0.39877104377104378</v>
      </c>
      <c r="Y361" s="11">
        <v>0</v>
      </c>
      <c r="Z361" s="11">
        <f ca="1"/>
        <v>35.181228956228956</v>
      </c>
      <c r="AA361" s="11">
        <f ca="1"/>
        <v>17.590614478114478</v>
      </c>
      <c r="AB361" s="4">
        <f ca="1"/>
        <v>45638</v>
      </c>
      <c r="AC361" s="4">
        <v>45638</v>
      </c>
      <c r="AD361" s="9">
        <v>45640</v>
      </c>
      <c r="AE361" s="9">
        <v>45642</v>
      </c>
      <c r="AF361" s="4" t="str">
        <f t="shared" ca="1" si="5"/>
        <v>2024 12</v>
      </c>
      <c r="AG361" s="8" t="str" cm="1">
        <f t="array" ref="AG361">IFERROR(_xlfn.IFS('Banco de Dados'!#REF!="AG. COMPRA","Em processamento",'Banco de Dados'!#REF!="AG. RASTREIO","Em processamento",'Banco de Dados'!$AE361&lt;&gt;"-","Faturado",'Banco de Dados'!$AD361&lt;&gt;"-","Aguardando Pix",'Banco de Dados'!$AC361&lt;&gt;"-","Pendente"),"Aguardando Liberação")</f>
        <v>Aguardando Liberação</v>
      </c>
      <c r="AH361" s="5" t="str">
        <f>IF('Banco de Dados'!$F361="-",_xlfn.CONCAT(PROPER(TEXT(AK361,"aaaa"))," ",PROPER(TEXT(AK361,"mm"))),_xlfn.CONCAT(PROPER(TEXT(E361,"aaaa"))," ",PROPER(TEXT(E361,"mm"))))</f>
        <v>2024 11</v>
      </c>
      <c r="AI361" s="9" t="str">
        <f ca="1">IF('Banco de Dados'!$AK361&lt;&gt;"-","REEMBOLSO",IFERROR(_xlfn.XLOOKUP(G361,Follow[CODRASTREIO],Follow[STATUS]),"-"))</f>
        <v>ENTREGUE</v>
      </c>
      <c r="AJ361" s="9">
        <f ca="1">IF('Banco de Dados'!$AI361="ENTREGUE",_xlfn.XLOOKUP('Banco de Dados'!$G361,Follow[CODRASTREIO],Follow[DATAATUALIZAÇÃO]),"-")</f>
        <v>45622</v>
      </c>
      <c r="AK361" s="9" t="str">
        <f ca="1"/>
        <v>-</v>
      </c>
      <c r="AL361" s="35"/>
      <c r="AM361" s="109" cm="1">
        <f t="array" aca="1" ref="AM361" ca="1">IF('Banco de Dados'!$AK361&lt;&gt;"-",_xlfn.IFS('Banco de Dados'!$A361="bv",IF('Banco de Dados'!$E361&lt;45641,ROUND(SUM('Banco de Dados'!$R361*_xlfn.XLOOKUP('Banco de Dados'!$P361,Sku!B:B,Sku!#REF!)*20%),2),ROUND(SUM('Banco de Dados'!$R361*_xlfn.XLOOKUP('Banco de Dados'!$P361,Sku!B:B,Sku!H:H)*20%),2)),'Banco de Dados'!$A361="GO",ROUND(_xlfn.XLOOKUP('Banco de Dados'!$P361,Sku!C:C,Sku!H:H),2),'Banco de Dados'!$A361="MEI",ROUND(_xlfn.XLOOKUP('Banco de Dados'!$P361,Sku!D:D,Sku!H:H),2)),0)</f>
        <v>0</v>
      </c>
      <c r="AN361" s="109">
        <f ca="1">IF('Banco de Dados'!$AK361&lt;&gt;"-",IF('Banco de Dados'!$F361&lt;&gt;"-",_xlfn.XLOOKUP(IFERROR(IFERROR(IFERROR(VALUE(SUBSTITUTE(MID(_xlfn.TEXTAFTER('Banco de Dados'!$F361,"Data do Pedido:
",1),1,10),"-","/")),VALUE(SUBSTITUTE(MID(_xlfn.TEXTAFTER('Banco de Dados'!$F361,"Order date:
",1),1,10),"-","/"))),VALUE(SUBSTITUTE(MID(_xlfn.TEXTAFTER('Banco de Dados'!$F361,"Fecha de pedido:
",1),1,10),"-","/"))),"-"),SMS!A:A,SMS!K:K),0),0)</f>
        <v>0</v>
      </c>
      <c r="AO361" s="109">
        <f ca="1">IF('Banco de Dados'!$AK361&lt;&gt;"-",IF('Banco de Dados'!$F361&lt;&gt;"-",IFERROR(_xlfn.XLOOKUP(_xlfn.CONCAT('Banco de Dados'!$A361,IFERROR(IFERROR(VALUE(SUBSTITUTE(MID(_xlfn.TEXTAFTER('Banco de Dados'!$F361,"Data do Pedido:
",1),1,10),"-","/")),VALUE(SUBSTITUTE(MID(_xlfn.TEXTAFTER('Banco de Dados'!$F361,"Order date:
",1),1,10),"-","/"))),0)),ProxyDD[Chave],ProxyDD[Valor por pedido]),PROXY!$P$2),0),0)</f>
        <v>0</v>
      </c>
      <c r="AP361" s="28">
        <f ca="1">IF('Banco de Dados'!$AK361&lt;&gt;"-",IF('Banco de Dados'!$AL361="NÃO",IFERROR(VALUE(SUBSTITUTE(_xlfn.TEXTAFTER('Banco de Dados'!$F361,"BRL ",1),".",",")),0),0),0)</f>
        <v>0</v>
      </c>
      <c r="AQ361" s="28">
        <f ca="1">SUM('Banco de Dados'!$AM361:$AP361)</f>
        <v>0</v>
      </c>
      <c r="AR361" s="8"/>
      <c r="AS361" s="8"/>
      <c r="AY361" s="8"/>
    </row>
    <row r="362" spans="1:51">
      <c r="A362" s="5" t="str">
        <v>BV</v>
      </c>
      <c r="B362" s="5" t="str">
        <f ca="1"/>
        <v>BV45608</v>
      </c>
      <c r="C362" s="8" t="str">
        <v>Pedido 358</v>
      </c>
      <c r="D362" s="9">
        <v>45608</v>
      </c>
      <c r="E362" s="9">
        <v>45608</v>
      </c>
      <c r="F362" s="8" t="str">
        <v>PedidoF351</v>
      </c>
      <c r="G362" s="2" t="str">
        <v>CódRastreio351</v>
      </c>
      <c r="H362" s="5">
        <v>1</v>
      </c>
      <c r="I362" s="182" t="str">
        <v>CPF 351</v>
      </c>
      <c r="J362" s="2" t="str">
        <v>Nome 351</v>
      </c>
      <c r="K362" s="8" t="str">
        <v>Tel 351</v>
      </c>
      <c r="L362" s="2" t="str">
        <v>Cep 351</v>
      </c>
      <c r="M362" s="2" t="str">
        <v>Rua 351</v>
      </c>
      <c r="N362" s="2" t="str">
        <v>Comp 351</v>
      </c>
      <c r="O362" s="2" t="str">
        <v>Suporte de Celular Branco</v>
      </c>
      <c r="P362" s="8" t="str">
        <v>16-4EDB-WMZF</v>
      </c>
      <c r="Q362" s="4">
        <v>45625</v>
      </c>
      <c r="R362" s="109">
        <v>15.5</v>
      </c>
      <c r="S362" s="11">
        <f ca="1"/>
        <v>15.5</v>
      </c>
      <c r="T362" s="28">
        <f ca="1"/>
        <v>2.3249999999999997</v>
      </c>
      <c r="U362" s="11">
        <f ca="1"/>
        <v>13.18</v>
      </c>
      <c r="V362" s="11">
        <v>4.99</v>
      </c>
      <c r="W362" s="11">
        <f ca="1"/>
        <v>0.2</v>
      </c>
      <c r="X362" s="11">
        <f ca="1"/>
        <v>0.39877104377104378</v>
      </c>
      <c r="Y362" s="11">
        <v>0</v>
      </c>
      <c r="Z362" s="11">
        <f ca="1"/>
        <v>7.5912289562289557</v>
      </c>
      <c r="AA362" s="11">
        <f ca="1"/>
        <v>3.7956144781144778</v>
      </c>
      <c r="AB362" s="4">
        <f ca="1"/>
        <v>45632</v>
      </c>
      <c r="AC362" s="4">
        <v>45632</v>
      </c>
      <c r="AD362" s="9">
        <v>45637</v>
      </c>
      <c r="AE362" s="9">
        <v>45642</v>
      </c>
      <c r="AF362" s="4" t="str">
        <f t="shared" ca="1" si="5"/>
        <v>2024 12</v>
      </c>
      <c r="AG362" s="8" t="str" cm="1">
        <f t="array" ref="AG362">IFERROR(_xlfn.IFS('Banco de Dados'!#REF!="AG. COMPRA","Em processamento",'Banco de Dados'!#REF!="AG. RASTREIO","Em processamento",'Banco de Dados'!$AE362&lt;&gt;"-","Faturado",'Banco de Dados'!$AD362&lt;&gt;"-","Aguardando Pix",'Banco de Dados'!$AC362&lt;&gt;"-","Pendente"),"Aguardando Liberação")</f>
        <v>Aguardando Liberação</v>
      </c>
      <c r="AH362" s="5" t="str">
        <f>IF('Banco de Dados'!$F362="-",_xlfn.CONCAT(PROPER(TEXT(AK362,"aaaa"))," ",PROPER(TEXT(AK362,"mm"))),_xlfn.CONCAT(PROPER(TEXT(E362,"aaaa"))," ",PROPER(TEXT(E362,"mm"))))</f>
        <v>2024 11</v>
      </c>
      <c r="AI362" s="9" t="str">
        <f ca="1">IF('Banco de Dados'!$AK362&lt;&gt;"-","REEMBOLSO",IFERROR(_xlfn.XLOOKUP(G362,Follow[CODRASTREIO],Follow[STATUS]),"-"))</f>
        <v>ENTREGUE</v>
      </c>
      <c r="AJ362" s="9">
        <f ca="1">IF('Banco de Dados'!$AI362="ENTREGUE",_xlfn.XLOOKUP('Banco de Dados'!$G362,Follow[CODRASTREIO],Follow[DATAATUALIZAÇÃO]),"-")</f>
        <v>45619</v>
      </c>
      <c r="AK362" s="9" t="str">
        <f ca="1"/>
        <v>-</v>
      </c>
      <c r="AL362" s="35"/>
      <c r="AM362" s="109" cm="1">
        <f t="array" aca="1" ref="AM362" ca="1">IF('Banco de Dados'!$AK362&lt;&gt;"-",_xlfn.IFS('Banco de Dados'!$A362="bv",IF('Banco de Dados'!$E362&lt;45641,ROUND(SUM('Banco de Dados'!$R362*_xlfn.XLOOKUP('Banco de Dados'!$P362,Sku!B:B,Sku!#REF!)*20%),2),ROUND(SUM('Banco de Dados'!$R362*_xlfn.XLOOKUP('Banco de Dados'!$P362,Sku!B:B,Sku!H:H)*20%),2)),'Banco de Dados'!$A362="GO",ROUND(_xlfn.XLOOKUP('Banco de Dados'!$P362,Sku!C:C,Sku!H:H),2),'Banco de Dados'!$A362="MEI",ROUND(_xlfn.XLOOKUP('Banco de Dados'!$P362,Sku!D:D,Sku!H:H),2)),0)</f>
        <v>0</v>
      </c>
      <c r="AN362" s="109">
        <f ca="1">IF('Banco de Dados'!$AK362&lt;&gt;"-",IF('Banco de Dados'!$F362&lt;&gt;"-",_xlfn.XLOOKUP(IFERROR(IFERROR(IFERROR(VALUE(SUBSTITUTE(MID(_xlfn.TEXTAFTER('Banco de Dados'!$F362,"Data do Pedido:
",1),1,10),"-","/")),VALUE(SUBSTITUTE(MID(_xlfn.TEXTAFTER('Banco de Dados'!$F362,"Order date:
",1),1,10),"-","/"))),VALUE(SUBSTITUTE(MID(_xlfn.TEXTAFTER('Banco de Dados'!$F362,"Fecha de pedido:
",1),1,10),"-","/"))),"-"),SMS!A:A,SMS!K:K),0),0)</f>
        <v>0</v>
      </c>
      <c r="AO362" s="109">
        <f ca="1">IF('Banco de Dados'!$AK362&lt;&gt;"-",IF('Banco de Dados'!$F362&lt;&gt;"-",IFERROR(_xlfn.XLOOKUP(_xlfn.CONCAT('Banco de Dados'!$A362,IFERROR(IFERROR(VALUE(SUBSTITUTE(MID(_xlfn.TEXTAFTER('Banco de Dados'!$F362,"Data do Pedido:
",1),1,10),"-","/")),VALUE(SUBSTITUTE(MID(_xlfn.TEXTAFTER('Banco de Dados'!$F362,"Order date:
",1),1,10),"-","/"))),0)),ProxyDD[Chave],ProxyDD[Valor por pedido]),PROXY!$P$2),0),0)</f>
        <v>0</v>
      </c>
      <c r="AP362" s="28">
        <f ca="1">IF('Banco de Dados'!$AK362&lt;&gt;"-",IF('Banco de Dados'!$AL362="NÃO",IFERROR(VALUE(SUBSTITUTE(_xlfn.TEXTAFTER('Banco de Dados'!$F362,"BRL ",1),".",",")),0),0),0)</f>
        <v>0</v>
      </c>
      <c r="AQ362" s="28">
        <f ca="1">SUM('Banco de Dados'!$AM362:$AP362)</f>
        <v>0</v>
      </c>
      <c r="AR362" s="8"/>
      <c r="AS362" s="8"/>
      <c r="AY362" s="8"/>
    </row>
    <row r="363" spans="1:51">
      <c r="A363" s="5" t="str">
        <v>BV</v>
      </c>
      <c r="B363" s="5" t="str">
        <f ca="1"/>
        <v>BV-</v>
      </c>
      <c r="C363" s="8" t="str">
        <v>Pedido 359</v>
      </c>
      <c r="D363" s="9">
        <v>45627</v>
      </c>
      <c r="E363" s="9" t="str">
        <v>-</v>
      </c>
      <c r="F363" s="8" t="str">
        <v>-</v>
      </c>
      <c r="G363" s="2" t="str">
        <v>-</v>
      </c>
      <c r="H363" s="5">
        <v>1</v>
      </c>
      <c r="I363" s="182" t="str">
        <v>CPF 339</v>
      </c>
      <c r="J363" s="2" t="str">
        <v>Nome 339</v>
      </c>
      <c r="K363" s="8" t="str">
        <v>Tel 339</v>
      </c>
      <c r="L363" s="2" t="str">
        <v>Cep 339</v>
      </c>
      <c r="M363" s="2" t="str">
        <v>Rua 339</v>
      </c>
      <c r="N363" s="2" t="str">
        <v>Comp 339</v>
      </c>
      <c r="O363" s="2" t="str">
        <v>Copo Termico</v>
      </c>
      <c r="P363" s="8" t="str">
        <v>KN-TBQL-K2MM</v>
      </c>
      <c r="Q363" s="4">
        <v>45638</v>
      </c>
      <c r="R363" s="109">
        <v>17.399999999999999</v>
      </c>
      <c r="S363" s="11">
        <f ca="1"/>
        <v>0</v>
      </c>
      <c r="T363" s="28">
        <f ca="1"/>
        <v>0</v>
      </c>
      <c r="U363" s="11">
        <f ca="1"/>
        <v>0</v>
      </c>
      <c r="V363" s="11">
        <v>0</v>
      </c>
      <c r="W363" s="11">
        <f ca="1"/>
        <v>0</v>
      </c>
      <c r="X363" s="11">
        <f ca="1"/>
        <v>0</v>
      </c>
      <c r="Y363" s="11">
        <v>0</v>
      </c>
      <c r="Z363" s="11">
        <f ca="1"/>
        <v>0</v>
      </c>
      <c r="AA363" s="11">
        <f ca="1"/>
        <v>0</v>
      </c>
      <c r="AB363" s="4">
        <f ca="1"/>
        <v>45645</v>
      </c>
      <c r="AC363" s="4">
        <v>45645</v>
      </c>
      <c r="AD363" s="9">
        <v>45651</v>
      </c>
      <c r="AE363" s="9">
        <v>45659</v>
      </c>
      <c r="AF363" s="4" t="str">
        <f t="shared" ca="1" si="5"/>
        <v>2024 12</v>
      </c>
      <c r="AG363" s="8" t="str" cm="1">
        <f t="array" ref="AG363">IFERROR(_xlfn.IFS('Banco de Dados'!#REF!="AG. COMPRA","Em processamento",'Banco de Dados'!#REF!="AG. RASTREIO","Em processamento",'Banco de Dados'!$AE363&lt;&gt;"-","Faturado",'Banco de Dados'!$AD363&lt;&gt;"-","Aguardando Pix",'Banco de Dados'!$AC363&lt;&gt;"-","Pendente"),"Aguardando Liberação")</f>
        <v>Aguardando Liberação</v>
      </c>
      <c r="AH363" s="5" t="str">
        <f ca="1">IF('Banco de Dados'!$F363="-",_xlfn.CONCAT(PROPER(TEXT(AK363,"aaaa"))," ",PROPER(TEXT(AK363,"mm"))),_xlfn.CONCAT(PROPER(TEXT(E363,"aaaa"))," ",PROPER(TEXT(E363,"mm"))))</f>
        <v>2024 11</v>
      </c>
      <c r="AI363" s="9" t="str">
        <f ca="1">IF('Banco de Dados'!$AK363&lt;&gt;"-","REEMBOLSO",IFERROR(_xlfn.XLOOKUP(G363,Follow[CODRASTREIO],Follow[STATUS]),"-"))</f>
        <v>REEMBOLSO</v>
      </c>
      <c r="AJ363" s="9" t="str">
        <f ca="1">IF('Banco de Dados'!$AI363="ENTREGUE",_xlfn.XLOOKUP('Banco de Dados'!$G363,Follow[CODRASTREIO],Follow[DATAATUALIZAÇÃO]),"-")</f>
        <v>-</v>
      </c>
      <c r="AK363" s="9">
        <f ca="1"/>
        <v>45610</v>
      </c>
      <c r="AL363" s="35"/>
      <c r="AM363" s="109">
        <v>0.45</v>
      </c>
      <c r="AN363" s="109">
        <f ca="1">IF('Banco de Dados'!$AK363&lt;&gt;"-",IF('Banco de Dados'!$F363&lt;&gt;"-",_xlfn.XLOOKUP(IFERROR(IFERROR(IFERROR(VALUE(SUBSTITUTE(MID(_xlfn.TEXTAFTER('Banco de Dados'!$F363,"Data do Pedido:
",1),1,10),"-","/")),VALUE(SUBSTITUTE(MID(_xlfn.TEXTAFTER('Banco de Dados'!$F363,"Order date:
",1),1,10),"-","/"))),VALUE(SUBSTITUTE(MID(_xlfn.TEXTAFTER('Banco de Dados'!$F363,"Fecha de pedido:
",1),1,10),"-","/"))),"-"),SMS!A:A,SMS!K:K),0),0)</f>
        <v>0</v>
      </c>
      <c r="AO363" s="109">
        <f ca="1">IF('Banco de Dados'!$AK363&lt;&gt;"-",IF('Banco de Dados'!$F363&lt;&gt;"-",IFERROR(_xlfn.XLOOKUP(_xlfn.CONCAT('Banco de Dados'!$A363,IFERROR(IFERROR(VALUE(SUBSTITUTE(MID(_xlfn.TEXTAFTER('Banco de Dados'!$F363,"Data do Pedido:
",1),1,10),"-","/")),VALUE(SUBSTITUTE(MID(_xlfn.TEXTAFTER('Banco de Dados'!$F363,"Order date:
",1),1,10),"-","/"))),0)),ProxyDD[Chave],ProxyDD[Valor por pedido]),PROXY!$P$2),0),0)</f>
        <v>0</v>
      </c>
      <c r="AP363" s="28">
        <f ca="1">IF('Banco de Dados'!$AK363&lt;&gt;"-",IF('Banco de Dados'!$AL363="NÃO",IFERROR(VALUE(SUBSTITUTE(_xlfn.TEXTAFTER('Banco de Dados'!$F363,"BRL ",1),".",",")),0),0),0)</f>
        <v>0</v>
      </c>
      <c r="AQ363" s="28">
        <f ca="1">SUM('Banco de Dados'!$AM363:$AP363)</f>
        <v>0.45</v>
      </c>
      <c r="AR363" s="8"/>
      <c r="AS363" s="8"/>
      <c r="AY363" s="8"/>
    </row>
    <row r="364" spans="1:51">
      <c r="A364" s="5" t="str">
        <v>BV</v>
      </c>
      <c r="B364" s="5" t="str">
        <f ca="1"/>
        <v>BV-</v>
      </c>
      <c r="C364" s="8" t="str">
        <v>Pedido 360</v>
      </c>
      <c r="D364" s="9">
        <v>45627</v>
      </c>
      <c r="E364" s="9" t="str">
        <v>-</v>
      </c>
      <c r="F364" s="8" t="str">
        <v>-</v>
      </c>
      <c r="G364" s="2" t="str">
        <v>-</v>
      </c>
      <c r="H364" s="5">
        <v>1</v>
      </c>
      <c r="I364" s="182" t="str">
        <v>CPF 339</v>
      </c>
      <c r="J364" s="2" t="str">
        <v>Nome 339</v>
      </c>
      <c r="K364" s="8" t="str">
        <v>Tel 339</v>
      </c>
      <c r="L364" s="2" t="str">
        <v>Cep 339</v>
      </c>
      <c r="M364" s="2" t="str">
        <v>Rua 339</v>
      </c>
      <c r="N364" s="2" t="str">
        <v>Comp 339</v>
      </c>
      <c r="O364" s="2" t="str">
        <v>Copo Termico</v>
      </c>
      <c r="P364" s="8" t="str">
        <v>KN-TBQL-K2MM</v>
      </c>
      <c r="Q364" s="4">
        <v>45638</v>
      </c>
      <c r="R364" s="109">
        <v>17.399999999999999</v>
      </c>
      <c r="S364" s="11">
        <f ca="1"/>
        <v>0</v>
      </c>
      <c r="T364" s="28">
        <f ca="1"/>
        <v>0</v>
      </c>
      <c r="U364" s="11">
        <f ca="1"/>
        <v>0</v>
      </c>
      <c r="V364" s="11">
        <v>0</v>
      </c>
      <c r="W364" s="11">
        <f ca="1"/>
        <v>0</v>
      </c>
      <c r="X364" s="11">
        <f ca="1"/>
        <v>0</v>
      </c>
      <c r="Y364" s="11">
        <v>0</v>
      </c>
      <c r="Z364" s="11">
        <f ca="1"/>
        <v>0</v>
      </c>
      <c r="AA364" s="11">
        <f ca="1"/>
        <v>0</v>
      </c>
      <c r="AB364" s="4">
        <f ca="1"/>
        <v>45645</v>
      </c>
      <c r="AC364" s="4">
        <v>45645</v>
      </c>
      <c r="AD364" s="9">
        <v>45651</v>
      </c>
      <c r="AE364" s="9">
        <v>45659</v>
      </c>
      <c r="AF364" s="4" t="str">
        <f t="shared" ca="1" si="5"/>
        <v>2024 12</v>
      </c>
      <c r="AG364" s="8" t="str" cm="1">
        <f t="array" ref="AG364">IFERROR(_xlfn.IFS('Banco de Dados'!#REF!="AG. COMPRA","Em processamento",'Banco de Dados'!#REF!="AG. RASTREIO","Em processamento",'Banco de Dados'!$AE364&lt;&gt;"-","Faturado",'Banco de Dados'!$AD364&lt;&gt;"-","Aguardando Pix",'Banco de Dados'!$AC364&lt;&gt;"-","Pendente"),"Aguardando Liberação")</f>
        <v>Aguardando Liberação</v>
      </c>
      <c r="AH364" s="5" t="str">
        <f ca="1">IF('Banco de Dados'!$F364="-",_xlfn.CONCAT(PROPER(TEXT(AK364,"aaaa"))," ",PROPER(TEXT(AK364,"mm"))),_xlfn.CONCAT(PROPER(TEXT(E364,"aaaa"))," ",PROPER(TEXT(E364,"mm"))))</f>
        <v>2024 11</v>
      </c>
      <c r="AI364" s="9" t="str">
        <f ca="1">IF('Banco de Dados'!$AK364&lt;&gt;"-","REEMBOLSO",IFERROR(_xlfn.XLOOKUP(G364,Follow[CODRASTREIO],Follow[STATUS]),"-"))</f>
        <v>REEMBOLSO</v>
      </c>
      <c r="AJ364" s="9" t="str">
        <f ca="1">IF('Banco de Dados'!$AI364="ENTREGUE",_xlfn.XLOOKUP('Banco de Dados'!$G364,Follow[CODRASTREIO],Follow[DATAATUALIZAÇÃO]),"-")</f>
        <v>-</v>
      </c>
      <c r="AK364" s="9">
        <f ca="1"/>
        <v>45610</v>
      </c>
      <c r="AL364" s="35"/>
      <c r="AM364" s="109">
        <v>0.45</v>
      </c>
      <c r="AN364" s="109">
        <f ca="1">IF('Banco de Dados'!$AK364&lt;&gt;"-",IF('Banco de Dados'!$F364&lt;&gt;"-",_xlfn.XLOOKUP(IFERROR(IFERROR(IFERROR(VALUE(SUBSTITUTE(MID(_xlfn.TEXTAFTER('Banco de Dados'!$F364,"Data do Pedido:
",1),1,10),"-","/")),VALUE(SUBSTITUTE(MID(_xlfn.TEXTAFTER('Banco de Dados'!$F364,"Order date:
",1),1,10),"-","/"))),VALUE(SUBSTITUTE(MID(_xlfn.TEXTAFTER('Banco de Dados'!$F364,"Fecha de pedido:
",1),1,10),"-","/"))),"-"),SMS!A:A,SMS!K:K),0),0)</f>
        <v>0</v>
      </c>
      <c r="AO364" s="109">
        <f ca="1">IF('Banco de Dados'!$AK364&lt;&gt;"-",IF('Banco de Dados'!$F364&lt;&gt;"-",IFERROR(_xlfn.XLOOKUP(_xlfn.CONCAT('Banco de Dados'!$A364,IFERROR(IFERROR(VALUE(SUBSTITUTE(MID(_xlfn.TEXTAFTER('Banco de Dados'!$F364,"Data do Pedido:
",1),1,10),"-","/")),VALUE(SUBSTITUTE(MID(_xlfn.TEXTAFTER('Banco de Dados'!$F364,"Order date:
",1),1,10),"-","/"))),0)),ProxyDD[Chave],ProxyDD[Valor por pedido]),PROXY!$P$2),0),0)</f>
        <v>0</v>
      </c>
      <c r="AP364" s="28">
        <f ca="1">IF('Banco de Dados'!$AK364&lt;&gt;"-",IF('Banco de Dados'!$AL364="NÃO",IFERROR(VALUE(SUBSTITUTE(_xlfn.TEXTAFTER('Banco de Dados'!$F364,"BRL ",1),".",",")),0),0),0)</f>
        <v>0</v>
      </c>
      <c r="AQ364" s="28">
        <f ca="1">SUM('Banco de Dados'!$AM364:$AP364)</f>
        <v>0.45</v>
      </c>
      <c r="AR364" s="8"/>
      <c r="AS364" s="8"/>
      <c r="AY364" s="8"/>
    </row>
    <row r="365" spans="1:51">
      <c r="A365" s="5" t="str">
        <v>BV</v>
      </c>
      <c r="B365" s="5" t="str">
        <f ca="1"/>
        <v>BV-</v>
      </c>
      <c r="C365" s="8" t="str">
        <v>Pedido 361</v>
      </c>
      <c r="D365" s="9">
        <v>45627</v>
      </c>
      <c r="E365" s="9" t="str">
        <v>-</v>
      </c>
      <c r="F365" s="8" t="str">
        <v>-</v>
      </c>
      <c r="G365" s="2" t="str">
        <v>-</v>
      </c>
      <c r="H365" s="5">
        <v>1</v>
      </c>
      <c r="I365" s="182" t="str">
        <v>CPF 339</v>
      </c>
      <c r="J365" s="2" t="str">
        <v>Nome 339</v>
      </c>
      <c r="K365" s="8" t="str">
        <v>Tel 339</v>
      </c>
      <c r="L365" s="2" t="str">
        <v>Cep 339</v>
      </c>
      <c r="M365" s="2" t="str">
        <v>Rua 339</v>
      </c>
      <c r="N365" s="2" t="str">
        <v>Comp 339</v>
      </c>
      <c r="O365" s="2" t="str">
        <v>Copo Termico</v>
      </c>
      <c r="P365" s="8" t="str">
        <v>KN-TBQL-K2MM</v>
      </c>
      <c r="Q365" s="4">
        <v>45638</v>
      </c>
      <c r="R365" s="109">
        <v>17.399999999999999</v>
      </c>
      <c r="S365" s="11">
        <f ca="1"/>
        <v>0</v>
      </c>
      <c r="T365" s="28">
        <f ca="1"/>
        <v>0</v>
      </c>
      <c r="U365" s="11">
        <f ca="1"/>
        <v>0</v>
      </c>
      <c r="V365" s="11">
        <v>0</v>
      </c>
      <c r="W365" s="11">
        <f ca="1"/>
        <v>0</v>
      </c>
      <c r="X365" s="11">
        <f ca="1"/>
        <v>0</v>
      </c>
      <c r="Y365" s="11">
        <v>0</v>
      </c>
      <c r="Z365" s="11">
        <f ca="1"/>
        <v>0</v>
      </c>
      <c r="AA365" s="11">
        <f ca="1"/>
        <v>0</v>
      </c>
      <c r="AB365" s="4">
        <f ca="1"/>
        <v>45645</v>
      </c>
      <c r="AC365" s="4">
        <v>45645</v>
      </c>
      <c r="AD365" s="9">
        <v>45651</v>
      </c>
      <c r="AE365" s="9">
        <v>45659</v>
      </c>
      <c r="AF365" s="4" t="str">
        <f t="shared" ca="1" si="5"/>
        <v>2024 12</v>
      </c>
      <c r="AG365" s="8" t="str" cm="1">
        <f t="array" ref="AG365">IFERROR(_xlfn.IFS('Banco de Dados'!#REF!="AG. COMPRA","Em processamento",'Banco de Dados'!#REF!="AG. RASTREIO","Em processamento",'Banco de Dados'!$AE365&lt;&gt;"-","Faturado",'Banco de Dados'!$AD365&lt;&gt;"-","Aguardando Pix",'Banco de Dados'!$AC365&lt;&gt;"-","Pendente"),"Aguardando Liberação")</f>
        <v>Aguardando Liberação</v>
      </c>
      <c r="AH365" s="5" t="str">
        <f ca="1">IF('Banco de Dados'!$F365="-",_xlfn.CONCAT(PROPER(TEXT(AK365,"aaaa"))," ",PROPER(TEXT(AK365,"mm"))),_xlfn.CONCAT(PROPER(TEXT(E365,"aaaa"))," ",PROPER(TEXT(E365,"mm"))))</f>
        <v>2024 11</v>
      </c>
      <c r="AI365" s="9" t="str">
        <f ca="1">IF('Banco de Dados'!$AK365&lt;&gt;"-","REEMBOLSO",IFERROR(_xlfn.XLOOKUP(G365,Follow[CODRASTREIO],Follow[STATUS]),"-"))</f>
        <v>REEMBOLSO</v>
      </c>
      <c r="AJ365" s="9" t="str">
        <f ca="1">IF('Banco de Dados'!$AI365="ENTREGUE",_xlfn.XLOOKUP('Banco de Dados'!$G365,Follow[CODRASTREIO],Follow[DATAATUALIZAÇÃO]),"-")</f>
        <v>-</v>
      </c>
      <c r="AK365" s="9">
        <f ca="1"/>
        <v>45610</v>
      </c>
      <c r="AL365" s="35"/>
      <c r="AM365" s="109">
        <v>0.45</v>
      </c>
      <c r="AN365" s="109">
        <f ca="1">IF('Banco de Dados'!$AK365&lt;&gt;"-",IF('Banco de Dados'!$F365&lt;&gt;"-",_xlfn.XLOOKUP(IFERROR(IFERROR(IFERROR(VALUE(SUBSTITUTE(MID(_xlfn.TEXTAFTER('Banco de Dados'!$F365,"Data do Pedido:
",1),1,10),"-","/")),VALUE(SUBSTITUTE(MID(_xlfn.TEXTAFTER('Banco de Dados'!$F365,"Order date:
",1),1,10),"-","/"))),VALUE(SUBSTITUTE(MID(_xlfn.TEXTAFTER('Banco de Dados'!$F365,"Fecha de pedido:
",1),1,10),"-","/"))),"-"),SMS!A:A,SMS!K:K),0),0)</f>
        <v>0</v>
      </c>
      <c r="AO365" s="109">
        <f ca="1">IF('Banco de Dados'!$AK365&lt;&gt;"-",IF('Banco de Dados'!$F365&lt;&gt;"-",IFERROR(_xlfn.XLOOKUP(_xlfn.CONCAT('Banco de Dados'!$A365,IFERROR(IFERROR(VALUE(SUBSTITUTE(MID(_xlfn.TEXTAFTER('Banco de Dados'!$F365,"Data do Pedido:
",1),1,10),"-","/")),VALUE(SUBSTITUTE(MID(_xlfn.TEXTAFTER('Banco de Dados'!$F365,"Order date:
",1),1,10),"-","/"))),0)),ProxyDD[Chave],ProxyDD[Valor por pedido]),PROXY!$P$2),0),0)</f>
        <v>0</v>
      </c>
      <c r="AP365" s="28">
        <f ca="1">IF('Banco de Dados'!$AK365&lt;&gt;"-",IF('Banco de Dados'!$AL365="NÃO",IFERROR(VALUE(SUBSTITUTE(_xlfn.TEXTAFTER('Banco de Dados'!$F365,"BRL ",1),".",",")),0),0),0)</f>
        <v>0</v>
      </c>
      <c r="AQ365" s="28">
        <f ca="1">SUM('Banco de Dados'!$AM365:$AP365)</f>
        <v>0.45</v>
      </c>
      <c r="AR365" s="8"/>
      <c r="AS365" s="8"/>
      <c r="AY365" s="8"/>
    </row>
    <row r="366" spans="1:51">
      <c r="A366" s="5" t="str">
        <v>BV</v>
      </c>
      <c r="B366" s="5" t="str">
        <f ca="1"/>
        <v>BV-</v>
      </c>
      <c r="C366" s="8" t="str">
        <v>Pedido 362</v>
      </c>
      <c r="D366" s="9">
        <v>45627</v>
      </c>
      <c r="E366" s="9" t="str">
        <v>-</v>
      </c>
      <c r="F366" s="8" t="str">
        <v>-</v>
      </c>
      <c r="G366" s="2" t="str">
        <v>-</v>
      </c>
      <c r="H366" s="5">
        <v>1</v>
      </c>
      <c r="I366" s="182" t="str">
        <v>CPF 339</v>
      </c>
      <c r="J366" s="2" t="str">
        <v>Nome 339</v>
      </c>
      <c r="K366" s="8" t="str">
        <v>Tel 339</v>
      </c>
      <c r="L366" s="2" t="str">
        <v>Cep 339</v>
      </c>
      <c r="M366" s="2" t="str">
        <v>Rua 339</v>
      </c>
      <c r="N366" s="2" t="str">
        <v>Comp 339</v>
      </c>
      <c r="O366" s="2" t="str">
        <v>Copo Termico</v>
      </c>
      <c r="P366" s="8" t="str">
        <v>KN-TBQL-K2MM</v>
      </c>
      <c r="Q366" s="4">
        <v>45638</v>
      </c>
      <c r="R366" s="109">
        <v>17.399999999999999</v>
      </c>
      <c r="S366" s="11">
        <f ca="1"/>
        <v>0</v>
      </c>
      <c r="T366" s="28">
        <f ca="1"/>
        <v>0</v>
      </c>
      <c r="U366" s="11">
        <f ca="1"/>
        <v>0</v>
      </c>
      <c r="V366" s="11">
        <v>0</v>
      </c>
      <c r="W366" s="11">
        <f ca="1"/>
        <v>0</v>
      </c>
      <c r="X366" s="11">
        <f ca="1"/>
        <v>0</v>
      </c>
      <c r="Y366" s="11">
        <v>0</v>
      </c>
      <c r="Z366" s="11">
        <f ca="1"/>
        <v>0</v>
      </c>
      <c r="AA366" s="11">
        <f ca="1"/>
        <v>0</v>
      </c>
      <c r="AB366" s="4">
        <f ca="1"/>
        <v>45645</v>
      </c>
      <c r="AC366" s="4">
        <v>45645</v>
      </c>
      <c r="AD366" s="9">
        <v>45651</v>
      </c>
      <c r="AE366" s="9">
        <v>45659</v>
      </c>
      <c r="AF366" s="4" t="str">
        <f t="shared" ca="1" si="5"/>
        <v>2024 12</v>
      </c>
      <c r="AG366" s="8" t="str" cm="1">
        <f t="array" ref="AG366">IFERROR(_xlfn.IFS('Banco de Dados'!#REF!="AG. COMPRA","Em processamento",'Banco de Dados'!#REF!="AG. RASTREIO","Em processamento",'Banco de Dados'!$AE366&lt;&gt;"-","Faturado",'Banco de Dados'!$AD366&lt;&gt;"-","Aguardando Pix",'Banco de Dados'!$AC366&lt;&gt;"-","Pendente"),"Aguardando Liberação")</f>
        <v>Aguardando Liberação</v>
      </c>
      <c r="AH366" s="5" t="str">
        <f ca="1">IF('Banco de Dados'!$F366="-",_xlfn.CONCAT(PROPER(TEXT(AK366,"aaaa"))," ",PROPER(TEXT(AK366,"mm"))),_xlfn.CONCAT(PROPER(TEXT(E366,"aaaa"))," ",PROPER(TEXT(E366,"mm"))))</f>
        <v>2024 11</v>
      </c>
      <c r="AI366" s="9" t="str">
        <f ca="1">IF('Banco de Dados'!$AK366&lt;&gt;"-","REEMBOLSO",IFERROR(_xlfn.XLOOKUP(G366,Follow[CODRASTREIO],Follow[STATUS]),"-"))</f>
        <v>REEMBOLSO</v>
      </c>
      <c r="AJ366" s="9" t="str">
        <f ca="1">IF('Banco de Dados'!$AI366="ENTREGUE",_xlfn.XLOOKUP('Banco de Dados'!$G366,Follow[CODRASTREIO],Follow[DATAATUALIZAÇÃO]),"-")</f>
        <v>-</v>
      </c>
      <c r="AK366" s="9">
        <f ca="1"/>
        <v>45613</v>
      </c>
      <c r="AL366" s="35"/>
      <c r="AM366" s="109">
        <v>0.45</v>
      </c>
      <c r="AN366" s="109">
        <f ca="1">IF('Banco de Dados'!$AK366&lt;&gt;"-",IF('Banco de Dados'!$F366&lt;&gt;"-",_xlfn.XLOOKUP(IFERROR(IFERROR(IFERROR(VALUE(SUBSTITUTE(MID(_xlfn.TEXTAFTER('Banco de Dados'!$F366,"Data do Pedido:
",1),1,10),"-","/")),VALUE(SUBSTITUTE(MID(_xlfn.TEXTAFTER('Banco de Dados'!$F366,"Order date:
",1),1,10),"-","/"))),VALUE(SUBSTITUTE(MID(_xlfn.TEXTAFTER('Banco de Dados'!$F366,"Fecha de pedido:
",1),1,10),"-","/"))),"-"),SMS!A:A,SMS!K:K),0),0)</f>
        <v>0</v>
      </c>
      <c r="AO366" s="109">
        <f ca="1">IF('Banco de Dados'!$AK366&lt;&gt;"-",IF('Banco de Dados'!$F366&lt;&gt;"-",IFERROR(_xlfn.XLOOKUP(_xlfn.CONCAT('Banco de Dados'!$A366,IFERROR(IFERROR(VALUE(SUBSTITUTE(MID(_xlfn.TEXTAFTER('Banco de Dados'!$F366,"Data do Pedido:
",1),1,10),"-","/")),VALUE(SUBSTITUTE(MID(_xlfn.TEXTAFTER('Banco de Dados'!$F366,"Order date:
",1),1,10),"-","/"))),0)),ProxyDD[Chave],ProxyDD[Valor por pedido]),PROXY!$P$2),0),0)</f>
        <v>0</v>
      </c>
      <c r="AP366" s="28">
        <f ca="1">IF('Banco de Dados'!$AK366&lt;&gt;"-",IF('Banco de Dados'!$AL366="NÃO",IFERROR(VALUE(SUBSTITUTE(_xlfn.TEXTAFTER('Banco de Dados'!$F366,"BRL ",1),".",",")),0),0),0)</f>
        <v>0</v>
      </c>
      <c r="AQ366" s="28">
        <f ca="1">SUM('Banco de Dados'!$AM366:$AP366)</f>
        <v>0.45</v>
      </c>
      <c r="AR366" s="8"/>
      <c r="AS366" s="8"/>
      <c r="AY366" s="8"/>
    </row>
    <row r="367" spans="1:51">
      <c r="A367" s="5" t="str">
        <v>BV</v>
      </c>
      <c r="B367" s="5" t="str">
        <f ca="1"/>
        <v>BV45610</v>
      </c>
      <c r="C367" s="8" t="str">
        <v>Pedido 363</v>
      </c>
      <c r="D367" s="9">
        <v>45610</v>
      </c>
      <c r="E367" s="9">
        <v>45610</v>
      </c>
      <c r="F367" s="8" t="str">
        <v>PedidoF352</v>
      </c>
      <c r="G367" s="2" t="str">
        <v>CódRastreio352</v>
      </c>
      <c r="H367" s="5">
        <v>1</v>
      </c>
      <c r="I367" s="182" t="str">
        <v>CPF 352</v>
      </c>
      <c r="J367" s="2" t="str">
        <v>Nome 352</v>
      </c>
      <c r="K367" s="8" t="str">
        <v>Tel 352</v>
      </c>
      <c r="L367" s="2" t="str">
        <v>Cep 352</v>
      </c>
      <c r="M367" s="180" t="str">
        <v>Rua 352</v>
      </c>
      <c r="N367" s="180" t="str">
        <v>Comp 352</v>
      </c>
      <c r="O367" s="180" t="str">
        <v>Ventilador Preto</v>
      </c>
      <c r="P367" s="8" t="str">
        <v>MU-J80P-95WF</v>
      </c>
      <c r="Q367" s="4">
        <v>45645</v>
      </c>
      <c r="R367" s="109">
        <v>59.5</v>
      </c>
      <c r="S367" s="11">
        <f ca="1"/>
        <v>0</v>
      </c>
      <c r="T367" s="28">
        <f ca="1"/>
        <v>0</v>
      </c>
      <c r="U367" s="11">
        <f ca="1"/>
        <v>0</v>
      </c>
      <c r="V367" s="11">
        <v>0</v>
      </c>
      <c r="W367" s="11">
        <f ca="1"/>
        <v>0</v>
      </c>
      <c r="X367" s="11">
        <f ca="1"/>
        <v>0.39877104377104378</v>
      </c>
      <c r="Y367" s="11">
        <v>0</v>
      </c>
      <c r="Z367" s="11">
        <f ca="1"/>
        <v>-0.39877104377104378</v>
      </c>
      <c r="AA367" s="11">
        <f ca="1"/>
        <v>-0.19938552188552189</v>
      </c>
      <c r="AB367" s="4">
        <f ca="1"/>
        <v>45652</v>
      </c>
      <c r="AC367" s="4">
        <v>45652</v>
      </c>
      <c r="AD367" s="9">
        <v>45656</v>
      </c>
      <c r="AE367" s="9">
        <v>45659</v>
      </c>
      <c r="AF367" s="4" t="str">
        <f t="shared" ca="1" si="5"/>
        <v>2024 12</v>
      </c>
      <c r="AG367" s="8" t="str" cm="1">
        <f t="array" ref="AG367">IFERROR(_xlfn.IFS('Banco de Dados'!#REF!="AG. COMPRA","Em processamento",'Banco de Dados'!#REF!="AG. RASTREIO","Em processamento",'Banco de Dados'!$AE367&lt;&gt;"-","Faturado",'Banco de Dados'!$AD367&lt;&gt;"-","Aguardando Pix",'Banco de Dados'!$AC367&lt;&gt;"-","Pendente"),"Aguardando Liberação")</f>
        <v>Aguardando Liberação</v>
      </c>
      <c r="AH367" s="5" t="str">
        <f>IF('Banco de Dados'!$F367="-",_xlfn.CONCAT(PROPER(TEXT(AK367,"aaaa"))," ",PROPER(TEXT(AK367,"mm"))),_xlfn.CONCAT(PROPER(TEXT(E367,"aaaa"))," ",PROPER(TEXT(E367,"mm"))))</f>
        <v>2024 11</v>
      </c>
      <c r="AI367" s="9" t="str">
        <f ca="1">IF('Banco de Dados'!$AK367&lt;&gt;"-","REEMBOLSO",IFERROR(_xlfn.XLOOKUP(G367,Follow[CODRASTREIO],Follow[STATUS]),"-"))</f>
        <v>REEMBOLSO</v>
      </c>
      <c r="AJ367" s="9" t="str">
        <f ca="1">IF('Banco de Dados'!$AI367="ENTREGUE",_xlfn.XLOOKUP('Banco de Dados'!$G367,Follow[CODRASTREIO],Follow[DATAATUALIZAÇÃO]),"-")</f>
        <v>-</v>
      </c>
      <c r="AK367" s="9">
        <f ca="1"/>
        <v>45679</v>
      </c>
      <c r="AL367" s="35"/>
      <c r="AM367" s="109" t="e" cm="1">
        <f t="array" aca="1" ref="AM367" ca="1">IF('Banco de Dados'!$AK367&lt;&gt;"-",_xlfn.IFS('Banco de Dados'!$A367="bv",IF('Banco de Dados'!$E367&lt;45641,ROUND(SUM('Banco de Dados'!$R367*_xlfn.XLOOKUP('Banco de Dados'!$P367,Sku!B:B,Sku!#REF!)*20%),2),ROUND(SUM('Banco de Dados'!$R367*_xlfn.XLOOKUP('Banco de Dados'!$P367,Sku!B:B,Sku!H:H)*20%),2)),'Banco de Dados'!$A367="GO",ROUND(_xlfn.XLOOKUP('Banco de Dados'!$P367,Sku!C:C,Sku!H:H),2),'Banco de Dados'!$A367="MEI",ROUND(_xlfn.XLOOKUP('Banco de Dados'!$P367,Sku!D:D,Sku!H:H),2)),0)</f>
        <v>#REF!</v>
      </c>
      <c r="AN367" s="109" t="e">
        <f ca="1">IF('Banco de Dados'!$AK367&lt;&gt;"-",IF('Banco de Dados'!$F367&lt;&gt;"-",_xlfn.XLOOKUP(IFERROR(IFERROR(IFERROR(VALUE(SUBSTITUTE(MID(_xlfn.TEXTAFTER('Banco de Dados'!$F367,"Data do Pedido:
",1),1,10),"-","/")),VALUE(SUBSTITUTE(MID(_xlfn.TEXTAFTER('Banco de Dados'!$F367,"Order date:
",1),1,10),"-","/"))),VALUE(SUBSTITUTE(MID(_xlfn.TEXTAFTER('Banco de Dados'!$F367,"Fecha de pedido:
",1),1,10),"-","/"))),"-"),SMS!A:A,SMS!K:K),0),0)</f>
        <v>#N/A</v>
      </c>
      <c r="AO367" s="109">
        <f ca="1">IF('Banco de Dados'!$AK367&lt;&gt;"-",IF('Banco de Dados'!$F367&lt;&gt;"-",IFERROR(_xlfn.XLOOKUP(_xlfn.CONCAT('Banco de Dados'!$A367,IFERROR(IFERROR(VALUE(SUBSTITUTE(MID(_xlfn.TEXTAFTER('Banco de Dados'!$F367,"Data do Pedido:
",1),1,10),"-","/")),VALUE(SUBSTITUTE(MID(_xlfn.TEXTAFTER('Banco de Dados'!$F367,"Order date:
",1),1,10),"-","/"))),0)),ProxyDD[Chave],ProxyDD[Valor por pedido]),PROXY!$P$2),0),0)</f>
        <v>0.39877104377104378</v>
      </c>
      <c r="AP367" s="28">
        <f ca="1">IF('Banco de Dados'!$AK367&lt;&gt;"-",IF('Banco de Dados'!$AL367="NÃO",IFERROR(VALUE(SUBSTITUTE(_xlfn.TEXTAFTER('Banco de Dados'!$F367,"BRL ",1),".",",")),0),0),0)</f>
        <v>0</v>
      </c>
      <c r="AQ367" s="28" t="e">
        <f ca="1">SUM('Banco de Dados'!$AM367:$AP367)</f>
        <v>#REF!</v>
      </c>
      <c r="AR367" s="8"/>
      <c r="AS367" s="8"/>
      <c r="AY367" s="8"/>
    </row>
    <row r="368" spans="1:51">
      <c r="A368" s="5" t="str">
        <v>BV</v>
      </c>
      <c r="B368" s="5" t="str">
        <f ca="1"/>
        <v>BV45609</v>
      </c>
      <c r="C368" s="8" t="str">
        <v>Pedido 363</v>
      </c>
      <c r="D368" s="9">
        <v>45609</v>
      </c>
      <c r="E368" s="9">
        <v>45609</v>
      </c>
      <c r="F368" s="8" t="str">
        <v>PedidoF353</v>
      </c>
      <c r="G368" s="2" t="str">
        <v>CódRastreio353</v>
      </c>
      <c r="H368" s="5">
        <v>1</v>
      </c>
      <c r="I368" s="182" t="str">
        <v>CPF 352</v>
      </c>
      <c r="J368" s="2" t="str">
        <v>Nome 352</v>
      </c>
      <c r="K368" s="8" t="str">
        <v>Tel 352</v>
      </c>
      <c r="L368" s="2" t="str">
        <v>Cep 352</v>
      </c>
      <c r="M368" s="2" t="str">
        <v>Rua 352</v>
      </c>
      <c r="N368" s="2" t="str">
        <v>Comp 352</v>
      </c>
      <c r="O368" s="2" t="str">
        <v>Ventilador Rosa</v>
      </c>
      <c r="P368" s="8" t="str">
        <v>IF-G2ZQ-79FO</v>
      </c>
      <c r="Q368" s="4">
        <v>45645</v>
      </c>
      <c r="R368" s="109">
        <v>59.5</v>
      </c>
      <c r="S368" s="11">
        <f ca="1"/>
        <v>0</v>
      </c>
      <c r="T368" s="28">
        <f ca="1"/>
        <v>0</v>
      </c>
      <c r="U368" s="11">
        <f ca="1"/>
        <v>0</v>
      </c>
      <c r="V368" s="11">
        <v>0</v>
      </c>
      <c r="W368" s="11">
        <f ca="1"/>
        <v>0</v>
      </c>
      <c r="X368" s="11">
        <f ca="1"/>
        <v>0.39877104377104378</v>
      </c>
      <c r="Y368" s="11">
        <v>0</v>
      </c>
      <c r="Z368" s="11">
        <f ca="1"/>
        <v>-0.39877104377104378</v>
      </c>
      <c r="AA368" s="11">
        <f ca="1"/>
        <v>-0.19938552188552189</v>
      </c>
      <c r="AB368" s="4">
        <f ca="1"/>
        <v>45652</v>
      </c>
      <c r="AC368" s="4">
        <v>45652</v>
      </c>
      <c r="AD368" s="9">
        <v>45656</v>
      </c>
      <c r="AE368" s="9">
        <v>45659</v>
      </c>
      <c r="AF368" s="4" t="str">
        <f t="shared" ca="1" si="5"/>
        <v>2024 12</v>
      </c>
      <c r="AG368" s="8" t="str" cm="1">
        <f t="array" ref="AG368">IFERROR(_xlfn.IFS('Banco de Dados'!#REF!="AG. COMPRA","Em processamento",'Banco de Dados'!#REF!="AG. RASTREIO","Em processamento",'Banco de Dados'!$AE368&lt;&gt;"-","Faturado",'Banco de Dados'!$AD368&lt;&gt;"-","Aguardando Pix",'Banco de Dados'!$AC368&lt;&gt;"-","Pendente"),"Aguardando Liberação")</f>
        <v>Aguardando Liberação</v>
      </c>
      <c r="AH368" s="5" t="str">
        <f>IF('Banco de Dados'!$F368="-",_xlfn.CONCAT(PROPER(TEXT(AK368,"aaaa"))," ",PROPER(TEXT(AK368,"mm"))),_xlfn.CONCAT(PROPER(TEXT(E368,"aaaa"))," ",PROPER(TEXT(E368,"mm"))))</f>
        <v>2024 11</v>
      </c>
      <c r="AI368" s="9" t="str">
        <f ca="1">IF('Banco de Dados'!$AK368&lt;&gt;"-","REEMBOLSO",IFERROR(_xlfn.XLOOKUP(G368,Follow[CODRASTREIO],Follow[STATUS]),"-"))</f>
        <v>REEMBOLSO</v>
      </c>
      <c r="AJ368" s="9" t="str">
        <f ca="1">IF('Banco de Dados'!$AI368="ENTREGUE",_xlfn.XLOOKUP('Banco de Dados'!$G368,Follow[CODRASTREIO],Follow[DATAATUALIZAÇÃO]),"-")</f>
        <v>-</v>
      </c>
      <c r="AK368" s="9">
        <f ca="1"/>
        <v>45679</v>
      </c>
      <c r="AL368" s="35"/>
      <c r="AM368" s="109" t="e" cm="1">
        <f t="array" aca="1" ref="AM368" ca="1">IF('Banco de Dados'!$AK368&lt;&gt;"-",_xlfn.IFS('Banco de Dados'!$A368="bv",IF('Banco de Dados'!$E368&lt;45641,ROUND(SUM('Banco de Dados'!$R368*_xlfn.XLOOKUP('Banco de Dados'!$P368,Sku!B:B,Sku!#REF!)*20%),2),ROUND(SUM('Banco de Dados'!$R368*_xlfn.XLOOKUP('Banco de Dados'!$P368,Sku!B:B,Sku!H:H)*20%),2)),'Banco de Dados'!$A368="GO",ROUND(_xlfn.XLOOKUP('Banco de Dados'!$P368,Sku!C:C,Sku!H:H),2),'Banco de Dados'!$A368="MEI",ROUND(_xlfn.XLOOKUP('Banco de Dados'!$P368,Sku!D:D,Sku!H:H),2)),0)</f>
        <v>#REF!</v>
      </c>
      <c r="AN368" s="109" t="e">
        <f ca="1">IF('Banco de Dados'!$AK368&lt;&gt;"-",IF('Banco de Dados'!$F368&lt;&gt;"-",_xlfn.XLOOKUP(IFERROR(IFERROR(IFERROR(VALUE(SUBSTITUTE(MID(_xlfn.TEXTAFTER('Banco de Dados'!$F368,"Data do Pedido:
",1),1,10),"-","/")),VALUE(SUBSTITUTE(MID(_xlfn.TEXTAFTER('Banco de Dados'!$F368,"Order date:
",1),1,10),"-","/"))),VALUE(SUBSTITUTE(MID(_xlfn.TEXTAFTER('Banco de Dados'!$F368,"Fecha de pedido:
",1),1,10),"-","/"))),"-"),SMS!A:A,SMS!K:K),0),0)</f>
        <v>#N/A</v>
      </c>
      <c r="AO368" s="109">
        <f ca="1">IF('Banco de Dados'!$AK368&lt;&gt;"-",IF('Banco de Dados'!$F368&lt;&gt;"-",IFERROR(_xlfn.XLOOKUP(_xlfn.CONCAT('Banco de Dados'!$A368,IFERROR(IFERROR(VALUE(SUBSTITUTE(MID(_xlfn.TEXTAFTER('Banco de Dados'!$F368,"Data do Pedido:
",1),1,10),"-","/")),VALUE(SUBSTITUTE(MID(_xlfn.TEXTAFTER('Banco de Dados'!$F368,"Order date:
",1),1,10),"-","/"))),0)),ProxyDD[Chave],ProxyDD[Valor por pedido]),PROXY!$P$2),0),0)</f>
        <v>0.39877104377104378</v>
      </c>
      <c r="AP368" s="28">
        <f ca="1">IF('Banco de Dados'!$AK368&lt;&gt;"-",IF('Banco de Dados'!$AL368="NÃO",IFERROR(VALUE(SUBSTITUTE(_xlfn.TEXTAFTER('Banco de Dados'!$F368,"BRL ",1),".",",")),0),0),0)</f>
        <v>0</v>
      </c>
      <c r="AQ368" s="28" t="e">
        <f ca="1">SUM('Banco de Dados'!$AM368:$AP368)</f>
        <v>#REF!</v>
      </c>
      <c r="AR368" s="8"/>
      <c r="AS368" s="8"/>
      <c r="AY368" s="8"/>
    </row>
    <row r="369" spans="1:51">
      <c r="A369" s="5" t="str">
        <v>BV</v>
      </c>
      <c r="B369" s="5" t="str">
        <f ca="1"/>
        <v>BV45609</v>
      </c>
      <c r="C369" s="8" t="str">
        <v>Pedido 364</v>
      </c>
      <c r="D369" s="9">
        <v>45609</v>
      </c>
      <c r="E369" s="9">
        <v>45609</v>
      </c>
      <c r="F369" s="8" t="str">
        <v>PedidoF354</v>
      </c>
      <c r="G369" s="2" t="str">
        <v>CódRastreio354</v>
      </c>
      <c r="H369" s="5">
        <v>1</v>
      </c>
      <c r="I369" s="182" t="str">
        <v>CPF 353</v>
      </c>
      <c r="J369" s="2" t="str">
        <v>Nome 353</v>
      </c>
      <c r="K369" s="8" t="str">
        <v>Tel 353</v>
      </c>
      <c r="L369" s="2" t="str">
        <v>Cep 353</v>
      </c>
      <c r="M369" s="2" t="str">
        <v>Rua 353</v>
      </c>
      <c r="N369" s="2" t="str">
        <v>Comp 353</v>
      </c>
      <c r="O369" s="2" t="str">
        <v>Suporte de Celular Preto</v>
      </c>
      <c r="P369" s="8" t="str">
        <v>9G-BN48-QAPH</v>
      </c>
      <c r="Q369" s="4">
        <v>45638</v>
      </c>
      <c r="R369" s="109">
        <v>17.989999999999998</v>
      </c>
      <c r="S369" s="11">
        <f ca="1"/>
        <v>0</v>
      </c>
      <c r="T369" s="28">
        <f ca="1"/>
        <v>0</v>
      </c>
      <c r="U369" s="11">
        <f ca="1"/>
        <v>0</v>
      </c>
      <c r="V369" s="11">
        <v>0</v>
      </c>
      <c r="W369" s="11">
        <f ca="1"/>
        <v>0</v>
      </c>
      <c r="X369" s="11">
        <f ca="1"/>
        <v>0.39877104377104378</v>
      </c>
      <c r="Y369" s="11">
        <v>0</v>
      </c>
      <c r="Z369" s="11">
        <f ca="1"/>
        <v>-0.39877104377104378</v>
      </c>
      <c r="AA369" s="11">
        <f ca="1"/>
        <v>-0.19938552188552189</v>
      </c>
      <c r="AB369" s="4">
        <f ca="1"/>
        <v>45645</v>
      </c>
      <c r="AC369" s="4">
        <v>45645</v>
      </c>
      <c r="AD369" s="9">
        <v>45651</v>
      </c>
      <c r="AE369" s="9">
        <v>45659</v>
      </c>
      <c r="AF369" s="4" t="str">
        <f t="shared" ca="1" si="5"/>
        <v>2024 12</v>
      </c>
      <c r="AG369" s="8" t="str" cm="1">
        <f t="array" ref="AG369">IFERROR(_xlfn.IFS('Banco de Dados'!#REF!="AG. COMPRA","Em processamento",'Banco de Dados'!#REF!="AG. RASTREIO","Em processamento",'Banco de Dados'!$AE369&lt;&gt;"-","Faturado",'Banco de Dados'!$AD369&lt;&gt;"-","Aguardando Pix",'Banco de Dados'!$AC369&lt;&gt;"-","Pendente"),"Aguardando Liberação")</f>
        <v>Aguardando Liberação</v>
      </c>
      <c r="AH369" s="5" t="str">
        <f>IF('Banco de Dados'!$F369="-",_xlfn.CONCAT(PROPER(TEXT(AK369,"aaaa"))," ",PROPER(TEXT(AK369,"mm"))),_xlfn.CONCAT(PROPER(TEXT(E369,"aaaa"))," ",PROPER(TEXT(E369,"mm"))))</f>
        <v>2024 11</v>
      </c>
      <c r="AI369" s="9" t="str">
        <f ca="1">IF('Banco de Dados'!$AK369&lt;&gt;"-","REEMBOLSO",IFERROR(_xlfn.XLOOKUP(G369,Follow[CODRASTREIO],Follow[STATUS]),"-"))</f>
        <v>REEMBOLSO</v>
      </c>
      <c r="AJ369" s="9" t="str">
        <f ca="1">IF('Banco de Dados'!$AI369="ENTREGUE",_xlfn.XLOOKUP('Banco de Dados'!$G369,Follow[CODRASTREIO],Follow[DATAATUALIZAÇÃO]),"-")</f>
        <v>-</v>
      </c>
      <c r="AK369" s="9">
        <f ca="1"/>
        <v>45635</v>
      </c>
      <c r="AL369" s="35"/>
      <c r="AM369" s="109" t="e" cm="1">
        <f t="array" aca="1" ref="AM369" ca="1">IF('Banco de Dados'!$AK369&lt;&gt;"-",_xlfn.IFS('Banco de Dados'!$A369="bv",IF('Banco de Dados'!$E369&lt;45641,ROUND(SUM('Banco de Dados'!$R369*_xlfn.XLOOKUP('Banco de Dados'!$P369,Sku!B:B,Sku!#REF!)*20%),2),ROUND(SUM('Banco de Dados'!$R369*_xlfn.XLOOKUP('Banco de Dados'!$P369,Sku!B:B,Sku!H:H)*20%),2)),'Banco de Dados'!$A369="GO",ROUND(_xlfn.XLOOKUP('Banco de Dados'!$P369,Sku!C:C,Sku!H:H),2),'Banco de Dados'!$A369="MEI",ROUND(_xlfn.XLOOKUP('Banco de Dados'!$P369,Sku!D:D,Sku!H:H),2)),0)</f>
        <v>#REF!</v>
      </c>
      <c r="AN369" s="109" t="e">
        <f ca="1">IF('Banco de Dados'!$AK369&lt;&gt;"-",IF('Banco de Dados'!$F369&lt;&gt;"-",_xlfn.XLOOKUP(IFERROR(IFERROR(IFERROR(VALUE(SUBSTITUTE(MID(_xlfn.TEXTAFTER('Banco de Dados'!$F369,"Data do Pedido:
",1),1,10),"-","/")),VALUE(SUBSTITUTE(MID(_xlfn.TEXTAFTER('Banco de Dados'!$F369,"Order date:
",1),1,10),"-","/"))),VALUE(SUBSTITUTE(MID(_xlfn.TEXTAFTER('Banco de Dados'!$F369,"Fecha de pedido:
",1),1,10),"-","/"))),"-"),SMS!A:A,SMS!K:K),0),0)</f>
        <v>#N/A</v>
      </c>
      <c r="AO369" s="109">
        <f ca="1">IF('Banco de Dados'!$AK369&lt;&gt;"-",IF('Banco de Dados'!$F369&lt;&gt;"-",IFERROR(_xlfn.XLOOKUP(_xlfn.CONCAT('Banco de Dados'!$A369,IFERROR(IFERROR(VALUE(SUBSTITUTE(MID(_xlfn.TEXTAFTER('Banco de Dados'!$F369,"Data do Pedido:
",1),1,10),"-","/")),VALUE(SUBSTITUTE(MID(_xlfn.TEXTAFTER('Banco de Dados'!$F369,"Order date:
",1),1,10),"-","/"))),0)),ProxyDD[Chave],ProxyDD[Valor por pedido]),PROXY!$P$2),0),0)</f>
        <v>0.39877104377104378</v>
      </c>
      <c r="AP369" s="28">
        <f ca="1">IF('Banco de Dados'!$AK369&lt;&gt;"-",IF('Banco de Dados'!$AL369="NÃO",IFERROR(VALUE(SUBSTITUTE(_xlfn.TEXTAFTER('Banco de Dados'!$F369,"BRL ",1),".",",")),0),0),0)</f>
        <v>0</v>
      </c>
      <c r="AQ369" s="28" t="e">
        <f ca="1">SUM('Banco de Dados'!$AM369:$AP369)</f>
        <v>#REF!</v>
      </c>
      <c r="AR369" s="8"/>
      <c r="AS369" s="8"/>
      <c r="AY369" s="8"/>
    </row>
    <row r="370" spans="1:51">
      <c r="A370" s="5" t="str">
        <v>BV</v>
      </c>
      <c r="B370" s="5" t="str">
        <f ca="1"/>
        <v>BV45609</v>
      </c>
      <c r="C370" s="8" t="str">
        <v>Pedido 365</v>
      </c>
      <c r="D370" s="9">
        <v>45609</v>
      </c>
      <c r="E370" s="9">
        <v>45609</v>
      </c>
      <c r="F370" s="8" t="str">
        <v>PedidoF355</v>
      </c>
      <c r="G370" s="2" t="str">
        <v>CódRastreio355</v>
      </c>
      <c r="H370" s="5">
        <v>1</v>
      </c>
      <c r="I370" s="182" t="str">
        <v>CPF 354</v>
      </c>
      <c r="J370" s="2" t="str">
        <v>Nome 354</v>
      </c>
      <c r="K370" s="8" t="str">
        <v>Tel 354</v>
      </c>
      <c r="L370" s="2" t="str">
        <v>Cep 354</v>
      </c>
      <c r="M370" s="2" t="str">
        <v>Rua 354</v>
      </c>
      <c r="N370" s="2" t="str">
        <v>Comp 354</v>
      </c>
      <c r="O370" s="2" t="str">
        <v>Mini Liquidificador</v>
      </c>
      <c r="P370" s="8" t="str">
        <v>CK-YL6M-P5Y6</v>
      </c>
      <c r="Q370" s="4">
        <v>45638</v>
      </c>
      <c r="R370" s="109">
        <v>31.5</v>
      </c>
      <c r="S370" s="11">
        <f ca="1"/>
        <v>31.5</v>
      </c>
      <c r="T370" s="28">
        <f ca="1"/>
        <v>4.0949999999999998</v>
      </c>
      <c r="U370" s="11">
        <f ca="1"/>
        <v>27.41</v>
      </c>
      <c r="V370" s="11">
        <v>11.99</v>
      </c>
      <c r="W370" s="11">
        <f ca="1"/>
        <v>0.33</v>
      </c>
      <c r="X370" s="11">
        <f ca="1"/>
        <v>0.39877104377104378</v>
      </c>
      <c r="Y370" s="11">
        <v>0</v>
      </c>
      <c r="Z370" s="11">
        <f ca="1"/>
        <v>14.691228956228956</v>
      </c>
      <c r="AA370" s="11">
        <f ca="1"/>
        <v>7.3456144781144781</v>
      </c>
      <c r="AB370" s="4">
        <f ca="1"/>
        <v>45645</v>
      </c>
      <c r="AC370" s="4">
        <v>45645</v>
      </c>
      <c r="AD370" s="9">
        <v>45651</v>
      </c>
      <c r="AE370" s="9">
        <v>45659</v>
      </c>
      <c r="AF370" s="4" t="str">
        <f t="shared" ca="1" si="5"/>
        <v>2024 12</v>
      </c>
      <c r="AG370" s="8" t="str" cm="1">
        <f t="array" ref="AG370">IFERROR(_xlfn.IFS('Banco de Dados'!#REF!="AG. COMPRA","Em processamento",'Banco de Dados'!#REF!="AG. RASTREIO","Em processamento",'Banco de Dados'!$AE370&lt;&gt;"-","Faturado",'Banco de Dados'!$AD370&lt;&gt;"-","Aguardando Pix",'Banco de Dados'!$AC370&lt;&gt;"-","Pendente"),"Aguardando Liberação")</f>
        <v>Aguardando Liberação</v>
      </c>
      <c r="AH370" s="5" t="str">
        <f>IF('Banco de Dados'!$F370="-",_xlfn.CONCAT(PROPER(TEXT(AK370,"aaaa"))," ",PROPER(TEXT(AK370,"mm"))),_xlfn.CONCAT(PROPER(TEXT(E370,"aaaa"))," ",PROPER(TEXT(E370,"mm"))))</f>
        <v>2024 11</v>
      </c>
      <c r="AI370" s="9" t="str">
        <f ca="1">IF('Banco de Dados'!$AK370&lt;&gt;"-","REEMBOLSO",IFERROR(_xlfn.XLOOKUP(G370,Follow[CODRASTREIO],Follow[STATUS]),"-"))</f>
        <v>ENTREGUE</v>
      </c>
      <c r="AJ370" s="9">
        <f ca="1">IF('Banco de Dados'!$AI370="ENTREGUE",_xlfn.XLOOKUP('Banco de Dados'!$G370,Follow[CODRASTREIO],Follow[DATAATUALIZAÇÃO]),"-")</f>
        <v>45621</v>
      </c>
      <c r="AK370" s="9" t="str">
        <f ca="1"/>
        <v>-</v>
      </c>
      <c r="AL370" s="35"/>
      <c r="AM370" s="109" cm="1">
        <f t="array" aca="1" ref="AM370" ca="1">IF('Banco de Dados'!$AK370&lt;&gt;"-",_xlfn.IFS('Banco de Dados'!$A370="bv",IF('Banco de Dados'!$E370&lt;45641,ROUND(SUM('Banco de Dados'!$R370*_xlfn.XLOOKUP('Banco de Dados'!$P370,Sku!B:B,Sku!#REF!)*20%),2),ROUND(SUM('Banco de Dados'!$R370*_xlfn.XLOOKUP('Banco de Dados'!$P370,Sku!B:B,Sku!H:H)*20%),2)),'Banco de Dados'!$A370="GO",ROUND(_xlfn.XLOOKUP('Banco de Dados'!$P370,Sku!C:C,Sku!H:H),2),'Banco de Dados'!$A370="MEI",ROUND(_xlfn.XLOOKUP('Banco de Dados'!$P370,Sku!D:D,Sku!H:H),2)),0)</f>
        <v>0</v>
      </c>
      <c r="AN370" s="109">
        <f ca="1">IF('Banco de Dados'!$AK370&lt;&gt;"-",IF('Banco de Dados'!$F370&lt;&gt;"-",_xlfn.XLOOKUP(IFERROR(IFERROR(IFERROR(VALUE(SUBSTITUTE(MID(_xlfn.TEXTAFTER('Banco de Dados'!$F370,"Data do Pedido:
",1),1,10),"-","/")),VALUE(SUBSTITUTE(MID(_xlfn.TEXTAFTER('Banco de Dados'!$F370,"Order date:
",1),1,10),"-","/"))),VALUE(SUBSTITUTE(MID(_xlfn.TEXTAFTER('Banco de Dados'!$F370,"Fecha de pedido:
",1),1,10),"-","/"))),"-"),SMS!A:A,SMS!K:K),0),0)</f>
        <v>0</v>
      </c>
      <c r="AO370" s="109">
        <f ca="1">IF('Banco de Dados'!$AK370&lt;&gt;"-",IF('Banco de Dados'!$F370&lt;&gt;"-",IFERROR(_xlfn.XLOOKUP(_xlfn.CONCAT('Banco de Dados'!$A370,IFERROR(IFERROR(VALUE(SUBSTITUTE(MID(_xlfn.TEXTAFTER('Banco de Dados'!$F370,"Data do Pedido:
",1),1,10),"-","/")),VALUE(SUBSTITUTE(MID(_xlfn.TEXTAFTER('Banco de Dados'!$F370,"Order date:
",1),1,10),"-","/"))),0)),ProxyDD[Chave],ProxyDD[Valor por pedido]),PROXY!$P$2),0),0)</f>
        <v>0</v>
      </c>
      <c r="AP370" s="28">
        <f ca="1">IF('Banco de Dados'!$AK370&lt;&gt;"-",IF('Banco de Dados'!$AL370="NÃO",IFERROR(VALUE(SUBSTITUTE(_xlfn.TEXTAFTER('Banco de Dados'!$F370,"BRL ",1),".",",")),0),0),0)</f>
        <v>0</v>
      </c>
      <c r="AQ370" s="28">
        <f ca="1">SUM('Banco de Dados'!$AM370:$AP370)</f>
        <v>0</v>
      </c>
      <c r="AR370" s="8"/>
      <c r="AS370" s="8"/>
      <c r="AY370" s="8"/>
    </row>
    <row r="371" spans="1:51">
      <c r="A371" s="5" t="str">
        <v>BV</v>
      </c>
      <c r="B371" s="5" t="str">
        <f ca="1"/>
        <v>BV45609</v>
      </c>
      <c r="C371" s="8" t="str">
        <v>Pedido 366</v>
      </c>
      <c r="D371" s="9">
        <v>45609</v>
      </c>
      <c r="E371" s="9">
        <v>45609</v>
      </c>
      <c r="F371" s="8" t="str">
        <v>PedidoF356</v>
      </c>
      <c r="G371" s="2" t="str">
        <v>CódRastreio356</v>
      </c>
      <c r="H371" s="5">
        <v>1</v>
      </c>
      <c r="I371" s="182" t="str">
        <v>CPF 355</v>
      </c>
      <c r="J371" s="2" t="str">
        <v>Nome 355</v>
      </c>
      <c r="K371" s="8" t="str">
        <v>Tel 355</v>
      </c>
      <c r="L371" s="2" t="str">
        <v>Cep 355</v>
      </c>
      <c r="M371" s="2" t="str">
        <v>Rua 355</v>
      </c>
      <c r="N371" s="2" t="str">
        <v>Comp 355</v>
      </c>
      <c r="O371" s="2" t="str">
        <v>Suporte de Celular Preto</v>
      </c>
      <c r="P371" s="8" t="str">
        <v>9G-BN48-QAPH</v>
      </c>
      <c r="Q371" s="4">
        <v>45632</v>
      </c>
      <c r="R371" s="109">
        <v>17.989999999999998</v>
      </c>
      <c r="S371" s="11">
        <f ca="1"/>
        <v>17.989999999999998</v>
      </c>
      <c r="T371" s="28">
        <f ca="1"/>
        <v>2.6984999999999997</v>
      </c>
      <c r="U371" s="11">
        <f ca="1"/>
        <v>15.29</v>
      </c>
      <c r="V371" s="11">
        <v>6.99</v>
      </c>
      <c r="W371" s="11">
        <f ca="1"/>
        <v>0.33</v>
      </c>
      <c r="X371" s="11">
        <f ca="1"/>
        <v>0.39877104377104378</v>
      </c>
      <c r="Y371" s="11">
        <v>0</v>
      </c>
      <c r="Z371" s="11">
        <f ca="1"/>
        <v>7.5712289562289552</v>
      </c>
      <c r="AA371" s="11">
        <f ca="1"/>
        <v>3.7856144781144776</v>
      </c>
      <c r="AB371" s="4">
        <f ca="1"/>
        <v>45639</v>
      </c>
      <c r="AC371" s="4">
        <v>45639</v>
      </c>
      <c r="AD371" s="9">
        <v>45640</v>
      </c>
      <c r="AE371" s="9">
        <v>45642</v>
      </c>
      <c r="AF371" s="4" t="str">
        <f t="shared" ca="1" si="5"/>
        <v>2024 12</v>
      </c>
      <c r="AG371" s="8" t="str" cm="1">
        <f t="array" ref="AG371">IFERROR(_xlfn.IFS('Banco de Dados'!#REF!="AG. COMPRA","Em processamento",'Banco de Dados'!#REF!="AG. RASTREIO","Em processamento",'Banco de Dados'!$AE371&lt;&gt;"-","Faturado",'Banco de Dados'!$AD371&lt;&gt;"-","Aguardando Pix",'Banco de Dados'!$AC371&lt;&gt;"-","Pendente"),"Aguardando Liberação")</f>
        <v>Aguardando Liberação</v>
      </c>
      <c r="AH371" s="5" t="str">
        <f>IF('Banco de Dados'!$F371="-",_xlfn.CONCAT(PROPER(TEXT(AK371,"aaaa"))," ",PROPER(TEXT(AK371,"mm"))),_xlfn.CONCAT(PROPER(TEXT(E371,"aaaa"))," ",PROPER(TEXT(E371,"mm"))))</f>
        <v>2024 11</v>
      </c>
      <c r="AI371" s="9" t="str">
        <f ca="1">IF('Banco de Dados'!$AK371&lt;&gt;"-","REEMBOLSO",IFERROR(_xlfn.XLOOKUP(G371,Follow[CODRASTREIO],Follow[STATUS]),"-"))</f>
        <v>ENTREGUE</v>
      </c>
      <c r="AJ371" s="9">
        <f ca="1">IF('Banco de Dados'!$AI371="ENTREGUE",_xlfn.XLOOKUP('Banco de Dados'!$G371,Follow[CODRASTREIO],Follow[DATAATUALIZAÇÃO]),"-")</f>
        <v>45623</v>
      </c>
      <c r="AK371" s="9" t="str">
        <f ca="1"/>
        <v>-</v>
      </c>
      <c r="AL371" s="35"/>
      <c r="AM371" s="109" cm="1">
        <f t="array" aca="1" ref="AM371" ca="1">IF('Banco de Dados'!$AK371&lt;&gt;"-",_xlfn.IFS('Banco de Dados'!$A371="bv",IF('Banco de Dados'!$E371&lt;45641,ROUND(SUM('Banco de Dados'!$R371*_xlfn.XLOOKUP('Banco de Dados'!$P371,Sku!B:B,Sku!#REF!)*20%),2),ROUND(SUM('Banco de Dados'!$R371*_xlfn.XLOOKUP('Banco de Dados'!$P371,Sku!B:B,Sku!H:H)*20%),2)),'Banco de Dados'!$A371="GO",ROUND(_xlfn.XLOOKUP('Banco de Dados'!$P371,Sku!C:C,Sku!H:H),2),'Banco de Dados'!$A371="MEI",ROUND(_xlfn.XLOOKUP('Banco de Dados'!$P371,Sku!D:D,Sku!H:H),2)),0)</f>
        <v>0</v>
      </c>
      <c r="AN371" s="109">
        <f ca="1">IF('Banco de Dados'!$AK371&lt;&gt;"-",IF('Banco de Dados'!$F371&lt;&gt;"-",_xlfn.XLOOKUP(IFERROR(IFERROR(IFERROR(VALUE(SUBSTITUTE(MID(_xlfn.TEXTAFTER('Banco de Dados'!$F371,"Data do Pedido:
",1),1,10),"-","/")),VALUE(SUBSTITUTE(MID(_xlfn.TEXTAFTER('Banco de Dados'!$F371,"Order date:
",1),1,10),"-","/"))),VALUE(SUBSTITUTE(MID(_xlfn.TEXTAFTER('Banco de Dados'!$F371,"Fecha de pedido:
",1),1,10),"-","/"))),"-"),SMS!A:A,SMS!K:K),0),0)</f>
        <v>0</v>
      </c>
      <c r="AO371" s="109">
        <f ca="1">IF('Banco de Dados'!$AK371&lt;&gt;"-",IF('Banco de Dados'!$F371&lt;&gt;"-",IFERROR(_xlfn.XLOOKUP(_xlfn.CONCAT('Banco de Dados'!$A371,IFERROR(IFERROR(VALUE(SUBSTITUTE(MID(_xlfn.TEXTAFTER('Banco de Dados'!$F371,"Data do Pedido:
",1),1,10),"-","/")),VALUE(SUBSTITUTE(MID(_xlfn.TEXTAFTER('Banco de Dados'!$F371,"Order date:
",1),1,10),"-","/"))),0)),ProxyDD[Chave],ProxyDD[Valor por pedido]),PROXY!$P$2),0),0)</f>
        <v>0</v>
      </c>
      <c r="AP371" s="28">
        <f ca="1">IF('Banco de Dados'!$AK371&lt;&gt;"-",IF('Banco de Dados'!$AL371="NÃO",IFERROR(VALUE(SUBSTITUTE(_xlfn.TEXTAFTER('Banco de Dados'!$F371,"BRL ",1),".",",")),0),0),0)</f>
        <v>0</v>
      </c>
      <c r="AQ371" s="28">
        <f ca="1">SUM('Banco de Dados'!$AM371:$AP371)</f>
        <v>0</v>
      </c>
      <c r="AR371" s="8"/>
      <c r="AS371" s="8"/>
      <c r="AY371" s="8"/>
    </row>
    <row r="372" spans="1:51">
      <c r="A372" s="5" t="str">
        <v>BV</v>
      </c>
      <c r="B372" s="5" t="str">
        <f ca="1"/>
        <v>BV45609</v>
      </c>
      <c r="C372" s="8" t="str">
        <v>Pedido 367</v>
      </c>
      <c r="D372" s="9">
        <v>45609</v>
      </c>
      <c r="E372" s="9">
        <v>45609</v>
      </c>
      <c r="F372" s="8" t="str">
        <v>PedidoF357</v>
      </c>
      <c r="G372" s="2" t="str">
        <v>CódRastreio357</v>
      </c>
      <c r="H372" s="5">
        <v>1</v>
      </c>
      <c r="I372" s="182" t="str">
        <v>CPF 356</v>
      </c>
      <c r="J372" s="2" t="str">
        <v>Nome 356</v>
      </c>
      <c r="K372" s="8" t="str">
        <v>Tel 356</v>
      </c>
      <c r="L372" s="2" t="str">
        <v>Cep 356</v>
      </c>
      <c r="M372" s="2" t="str">
        <v>Rua 356</v>
      </c>
      <c r="N372" s="2" t="str">
        <v>Comp 356</v>
      </c>
      <c r="O372" s="2" t="str">
        <v>Ventilador de teto</v>
      </c>
      <c r="P372" s="8" t="str">
        <v>BP-NHG2-B8C1</v>
      </c>
      <c r="Q372" s="4">
        <v>45638</v>
      </c>
      <c r="R372" s="109">
        <v>49.5</v>
      </c>
      <c r="S372" s="11">
        <f ca="1"/>
        <v>49.5</v>
      </c>
      <c r="T372" s="28">
        <f ca="1"/>
        <v>6.4350000000000005</v>
      </c>
      <c r="U372" s="11">
        <f ca="1"/>
        <v>43.07</v>
      </c>
      <c r="V372" s="11">
        <v>10.71</v>
      </c>
      <c r="W372" s="11">
        <f ca="1"/>
        <v>0.33</v>
      </c>
      <c r="X372" s="11">
        <f ca="1"/>
        <v>0.39877104377104378</v>
      </c>
      <c r="Y372" s="11">
        <v>0</v>
      </c>
      <c r="Z372" s="11">
        <f ca="1"/>
        <v>31.631228956228956</v>
      </c>
      <c r="AA372" s="11">
        <f ca="1"/>
        <v>15.815614478114478</v>
      </c>
      <c r="AB372" s="4">
        <f ca="1"/>
        <v>45645</v>
      </c>
      <c r="AC372" s="4">
        <v>45645</v>
      </c>
      <c r="AD372" s="9">
        <v>45651</v>
      </c>
      <c r="AE372" s="9">
        <v>45659</v>
      </c>
      <c r="AF372" s="4" t="str">
        <f t="shared" ca="1" si="5"/>
        <v>2024 12</v>
      </c>
      <c r="AG372" s="8" t="str" cm="1">
        <f t="array" ref="AG372">IFERROR(_xlfn.IFS('Banco de Dados'!#REF!="AG. COMPRA","Em processamento",'Banco de Dados'!#REF!="AG. RASTREIO","Em processamento",'Banco de Dados'!$AE372&lt;&gt;"-","Faturado",'Banco de Dados'!$AD372&lt;&gt;"-","Aguardando Pix",'Banco de Dados'!$AC372&lt;&gt;"-","Pendente"),"Aguardando Liberação")</f>
        <v>Aguardando Liberação</v>
      </c>
      <c r="AH372" s="5" t="str">
        <f>IF('Banco de Dados'!$F372="-",_xlfn.CONCAT(PROPER(TEXT(AK372,"aaaa"))," ",PROPER(TEXT(AK372,"mm"))),_xlfn.CONCAT(PROPER(TEXT(E372,"aaaa"))," ",PROPER(TEXT(E372,"mm"))))</f>
        <v>2024 11</v>
      </c>
      <c r="AI372" s="9" t="str">
        <f ca="1">IF('Banco de Dados'!$AK372&lt;&gt;"-","REEMBOLSO",IFERROR(_xlfn.XLOOKUP(G372,Follow[CODRASTREIO],Follow[STATUS]),"-"))</f>
        <v>ENTREGUE</v>
      </c>
      <c r="AJ372" s="9">
        <f ca="1">IF('Banco de Dados'!$AI372="ENTREGUE",_xlfn.XLOOKUP('Banco de Dados'!$G372,Follow[CODRASTREIO],Follow[DATAATUALIZAÇÃO]),"-")</f>
        <v>45623</v>
      </c>
      <c r="AK372" s="9" t="str">
        <f ca="1"/>
        <v>-</v>
      </c>
      <c r="AL372" s="35"/>
      <c r="AM372" s="109" cm="1">
        <f t="array" aca="1" ref="AM372" ca="1">IF('Banco de Dados'!$AK372&lt;&gt;"-",_xlfn.IFS('Banco de Dados'!$A372="bv",IF('Banco de Dados'!$E372&lt;45641,ROUND(SUM('Banco de Dados'!$R372*_xlfn.XLOOKUP('Banco de Dados'!$P372,Sku!B:B,Sku!#REF!)*20%),2),ROUND(SUM('Banco de Dados'!$R372*_xlfn.XLOOKUP('Banco de Dados'!$P372,Sku!B:B,Sku!H:H)*20%),2)),'Banco de Dados'!$A372="GO",ROUND(_xlfn.XLOOKUP('Banco de Dados'!$P372,Sku!C:C,Sku!H:H),2),'Banco de Dados'!$A372="MEI",ROUND(_xlfn.XLOOKUP('Banco de Dados'!$P372,Sku!D:D,Sku!H:H),2)),0)</f>
        <v>0</v>
      </c>
      <c r="AN372" s="109">
        <f ca="1">IF('Banco de Dados'!$AK372&lt;&gt;"-",IF('Banco de Dados'!$F372&lt;&gt;"-",_xlfn.XLOOKUP(IFERROR(IFERROR(IFERROR(VALUE(SUBSTITUTE(MID(_xlfn.TEXTAFTER('Banco de Dados'!$F372,"Data do Pedido:
",1),1,10),"-","/")),VALUE(SUBSTITUTE(MID(_xlfn.TEXTAFTER('Banco de Dados'!$F372,"Order date:
",1),1,10),"-","/"))),VALUE(SUBSTITUTE(MID(_xlfn.TEXTAFTER('Banco de Dados'!$F372,"Fecha de pedido:
",1),1,10),"-","/"))),"-"),SMS!A:A,SMS!K:K),0),0)</f>
        <v>0</v>
      </c>
      <c r="AO372" s="109">
        <f ca="1">IF('Banco de Dados'!$AK372&lt;&gt;"-",IF('Banco de Dados'!$F372&lt;&gt;"-",IFERROR(_xlfn.XLOOKUP(_xlfn.CONCAT('Banco de Dados'!$A372,IFERROR(IFERROR(VALUE(SUBSTITUTE(MID(_xlfn.TEXTAFTER('Banco de Dados'!$F372,"Data do Pedido:
",1),1,10),"-","/")),VALUE(SUBSTITUTE(MID(_xlfn.TEXTAFTER('Banco de Dados'!$F372,"Order date:
",1),1,10),"-","/"))),0)),ProxyDD[Chave],ProxyDD[Valor por pedido]),PROXY!$P$2),0),0)</f>
        <v>0</v>
      </c>
      <c r="AP372" s="28">
        <f ca="1">IF('Banco de Dados'!$AK372&lt;&gt;"-",IF('Banco de Dados'!$AL372="NÃO",IFERROR(VALUE(SUBSTITUTE(_xlfn.TEXTAFTER('Banco de Dados'!$F372,"BRL ",1),".",",")),0),0),0)</f>
        <v>0</v>
      </c>
      <c r="AQ372" s="28">
        <f ca="1">SUM('Banco de Dados'!$AM372:$AP372)</f>
        <v>0</v>
      </c>
      <c r="AR372" s="8"/>
      <c r="AS372" s="8"/>
      <c r="AY372" s="8"/>
    </row>
    <row r="373" spans="1:51">
      <c r="A373" s="5" t="str">
        <v>BV</v>
      </c>
      <c r="B373" s="5" t="str">
        <f ca="1"/>
        <v>BV45609</v>
      </c>
      <c r="C373" s="8" t="str">
        <v>Pedido 368</v>
      </c>
      <c r="D373" s="9">
        <v>45609</v>
      </c>
      <c r="E373" s="9">
        <v>45609</v>
      </c>
      <c r="F373" s="8" t="str">
        <v>PedidoF358</v>
      </c>
      <c r="G373" s="2" t="str">
        <v>CódRastreio358</v>
      </c>
      <c r="H373" s="5">
        <v>1</v>
      </c>
      <c r="I373" s="182" t="str">
        <v>CPF 357</v>
      </c>
      <c r="J373" s="2" t="str">
        <v>Nome 357</v>
      </c>
      <c r="K373" s="8" t="str">
        <v>Tel 357</v>
      </c>
      <c r="L373" s="2" t="str">
        <v>Cep 357</v>
      </c>
      <c r="M373" s="2" t="str">
        <v>Rua 357</v>
      </c>
      <c r="N373" s="2" t="str">
        <v>Comp 357</v>
      </c>
      <c r="O373" s="2" t="str">
        <v>Copo Termico</v>
      </c>
      <c r="P373" s="8" t="str">
        <v>KN-TBQL-K2MM</v>
      </c>
      <c r="Q373" s="4">
        <v>45638</v>
      </c>
      <c r="R373" s="109">
        <v>17.399999999999999</v>
      </c>
      <c r="S373" s="11">
        <f ca="1"/>
        <v>17.399999999999999</v>
      </c>
      <c r="T373" s="28">
        <f ca="1"/>
        <v>2.262</v>
      </c>
      <c r="U373" s="11">
        <f ca="1"/>
        <v>15.14</v>
      </c>
      <c r="V373" s="11">
        <v>6.99</v>
      </c>
      <c r="W373" s="11">
        <f ca="1"/>
        <v>0.33</v>
      </c>
      <c r="X373" s="11">
        <f ca="1"/>
        <v>0.39877104377104378</v>
      </c>
      <c r="Y373" s="11">
        <v>0</v>
      </c>
      <c r="Z373" s="11">
        <f ca="1"/>
        <v>7.4212289562289566</v>
      </c>
      <c r="AA373" s="11">
        <f ca="1"/>
        <v>3.7106144781144783</v>
      </c>
      <c r="AB373" s="4">
        <f ca="1"/>
        <v>45645</v>
      </c>
      <c r="AC373" s="4">
        <v>45645</v>
      </c>
      <c r="AD373" s="9">
        <v>45651</v>
      </c>
      <c r="AE373" s="9">
        <v>45659</v>
      </c>
      <c r="AF373" s="4" t="str">
        <f t="shared" ca="1" si="5"/>
        <v>2024 12</v>
      </c>
      <c r="AG373" s="8" t="str" cm="1">
        <f t="array" ref="AG373">IFERROR(_xlfn.IFS('Banco de Dados'!#REF!="AG. COMPRA","Em processamento",'Banco de Dados'!#REF!="AG. RASTREIO","Em processamento",'Banco de Dados'!$AE373&lt;&gt;"-","Faturado",'Banco de Dados'!$AD373&lt;&gt;"-","Aguardando Pix",'Banco de Dados'!$AC373&lt;&gt;"-","Pendente"),"Aguardando Liberação")</f>
        <v>Aguardando Liberação</v>
      </c>
      <c r="AH373" s="5" t="str">
        <f>IF('Banco de Dados'!$F373="-",_xlfn.CONCAT(PROPER(TEXT(AK373,"aaaa"))," ",PROPER(TEXT(AK373,"mm"))),_xlfn.CONCAT(PROPER(TEXT(E373,"aaaa"))," ",PROPER(TEXT(E373,"mm"))))</f>
        <v>2024 11</v>
      </c>
      <c r="AI373" s="9" t="str">
        <f ca="1">IF('Banco de Dados'!$AK373&lt;&gt;"-","REEMBOLSO",IFERROR(_xlfn.XLOOKUP(G373,Follow[CODRASTREIO],Follow[STATUS]),"-"))</f>
        <v>ENTREGUE</v>
      </c>
      <c r="AJ373" s="9">
        <f ca="1">IF('Banco de Dados'!$AI373="ENTREGUE",_xlfn.XLOOKUP('Banco de Dados'!$G373,Follow[CODRASTREIO],Follow[DATAATUALIZAÇÃO]),"-")</f>
        <v>45615</v>
      </c>
      <c r="AK373" s="9" t="str">
        <f ca="1"/>
        <v>-</v>
      </c>
      <c r="AL373" s="35"/>
      <c r="AM373" s="109" cm="1">
        <f t="array" aca="1" ref="AM373" ca="1">IF('Banco de Dados'!$AK373&lt;&gt;"-",_xlfn.IFS('Banco de Dados'!$A373="bv",IF('Banco de Dados'!$E373&lt;45641,ROUND(SUM('Banco de Dados'!$R373*_xlfn.XLOOKUP('Banco de Dados'!$P373,Sku!B:B,Sku!#REF!)*20%),2),ROUND(SUM('Banco de Dados'!$R373*_xlfn.XLOOKUP('Banco de Dados'!$P373,Sku!B:B,Sku!H:H)*20%),2)),'Banco de Dados'!$A373="GO",ROUND(_xlfn.XLOOKUP('Banco de Dados'!$P373,Sku!C:C,Sku!H:H),2),'Banco de Dados'!$A373="MEI",ROUND(_xlfn.XLOOKUP('Banco de Dados'!$P373,Sku!D:D,Sku!H:H),2)),0)</f>
        <v>0</v>
      </c>
      <c r="AN373" s="109">
        <f ca="1">IF('Banco de Dados'!$AK373&lt;&gt;"-",IF('Banco de Dados'!$F373&lt;&gt;"-",_xlfn.XLOOKUP(IFERROR(IFERROR(IFERROR(VALUE(SUBSTITUTE(MID(_xlfn.TEXTAFTER('Banco de Dados'!$F373,"Data do Pedido:
",1),1,10),"-","/")),VALUE(SUBSTITUTE(MID(_xlfn.TEXTAFTER('Banco de Dados'!$F373,"Order date:
",1),1,10),"-","/"))),VALUE(SUBSTITUTE(MID(_xlfn.TEXTAFTER('Banco de Dados'!$F373,"Fecha de pedido:
",1),1,10),"-","/"))),"-"),SMS!A:A,SMS!K:K),0),0)</f>
        <v>0</v>
      </c>
      <c r="AO373" s="109">
        <f ca="1">IF('Banco de Dados'!$AK373&lt;&gt;"-",IF('Banco de Dados'!$F373&lt;&gt;"-",IFERROR(_xlfn.XLOOKUP(_xlfn.CONCAT('Banco de Dados'!$A373,IFERROR(IFERROR(VALUE(SUBSTITUTE(MID(_xlfn.TEXTAFTER('Banco de Dados'!$F373,"Data do Pedido:
",1),1,10),"-","/")),VALUE(SUBSTITUTE(MID(_xlfn.TEXTAFTER('Banco de Dados'!$F373,"Order date:
",1),1,10),"-","/"))),0)),ProxyDD[Chave],ProxyDD[Valor por pedido]),PROXY!$P$2),0),0)</f>
        <v>0</v>
      </c>
      <c r="AP373" s="28">
        <f ca="1">IF('Banco de Dados'!$AK373&lt;&gt;"-",IF('Banco de Dados'!$AL373="NÃO",IFERROR(VALUE(SUBSTITUTE(_xlfn.TEXTAFTER('Banco de Dados'!$F373,"BRL ",1),".",",")),0),0),0)</f>
        <v>0</v>
      </c>
      <c r="AQ373" s="28">
        <f ca="1">SUM('Banco de Dados'!$AM373:$AP373)</f>
        <v>0</v>
      </c>
      <c r="AR373" s="8"/>
      <c r="AS373" s="8"/>
      <c r="AY373" s="8"/>
    </row>
    <row r="374" spans="1:51">
      <c r="A374" s="5" t="str">
        <v>BV</v>
      </c>
      <c r="B374" s="5" t="str">
        <f ca="1"/>
        <v>BV45609</v>
      </c>
      <c r="C374" s="8" t="str">
        <v>Pedido 369</v>
      </c>
      <c r="D374" s="9">
        <v>45609</v>
      </c>
      <c r="E374" s="9">
        <v>45609</v>
      </c>
      <c r="F374" s="8" t="str">
        <v>PedidoF359</v>
      </c>
      <c r="G374" s="2" t="str">
        <v>CódRastreio359</v>
      </c>
      <c r="H374" s="5">
        <v>1</v>
      </c>
      <c r="I374" s="182" t="str">
        <v>CPF 358</v>
      </c>
      <c r="J374" s="2" t="str">
        <v>Nome 358</v>
      </c>
      <c r="K374" s="8" t="str">
        <v>Tel 358</v>
      </c>
      <c r="L374" s="2" t="str">
        <v>Cep 358</v>
      </c>
      <c r="M374" s="2" t="str">
        <v>Rua 358</v>
      </c>
      <c r="N374" s="2" t="str">
        <v>Comp 358</v>
      </c>
      <c r="O374" s="2" t="str">
        <v>Mini Liquidificador</v>
      </c>
      <c r="P374" s="8" t="str">
        <v>CK-YL6M-P5Y6</v>
      </c>
      <c r="Q374" s="4">
        <v>45638</v>
      </c>
      <c r="R374" s="109">
        <v>31.5</v>
      </c>
      <c r="S374" s="11">
        <f ca="1"/>
        <v>31.5</v>
      </c>
      <c r="T374" s="28">
        <f ca="1"/>
        <v>4.0949999999999998</v>
      </c>
      <c r="U374" s="11">
        <f ca="1"/>
        <v>27.41</v>
      </c>
      <c r="V374" s="11">
        <v>11.99</v>
      </c>
      <c r="W374" s="11">
        <f ca="1"/>
        <v>0.33</v>
      </c>
      <c r="X374" s="11">
        <f ca="1"/>
        <v>0.39877104377104378</v>
      </c>
      <c r="Y374" s="11">
        <v>0</v>
      </c>
      <c r="Z374" s="11">
        <f ca="1"/>
        <v>14.691228956228956</v>
      </c>
      <c r="AA374" s="11">
        <f ca="1"/>
        <v>7.3456144781144781</v>
      </c>
      <c r="AB374" s="4">
        <f ca="1"/>
        <v>45645</v>
      </c>
      <c r="AC374" s="4">
        <v>45645</v>
      </c>
      <c r="AD374" s="9">
        <v>45651</v>
      </c>
      <c r="AE374" s="9">
        <v>45659</v>
      </c>
      <c r="AF374" s="4" t="str">
        <f t="shared" ca="1" si="5"/>
        <v>2024 12</v>
      </c>
      <c r="AG374" s="8" t="str" cm="1">
        <f t="array" ref="AG374">IFERROR(_xlfn.IFS('Banco de Dados'!#REF!="AG. COMPRA","Em processamento",'Banco de Dados'!#REF!="AG. RASTREIO","Em processamento",'Banco de Dados'!$AE374&lt;&gt;"-","Faturado",'Banco de Dados'!$AD374&lt;&gt;"-","Aguardando Pix",'Banco de Dados'!$AC374&lt;&gt;"-","Pendente"),"Aguardando Liberação")</f>
        <v>Aguardando Liberação</v>
      </c>
      <c r="AH374" s="5" t="str">
        <f>IF('Banco de Dados'!$F374="-",_xlfn.CONCAT(PROPER(TEXT(AK374,"aaaa"))," ",PROPER(TEXT(AK374,"mm"))),_xlfn.CONCAT(PROPER(TEXT(E374,"aaaa"))," ",PROPER(TEXT(E374,"mm"))))</f>
        <v>2024 11</v>
      </c>
      <c r="AI374" s="9" t="str">
        <f ca="1">IF('Banco de Dados'!$AK374&lt;&gt;"-","REEMBOLSO",IFERROR(_xlfn.XLOOKUP(G374,Follow[CODRASTREIO],Follow[STATUS]),"-"))</f>
        <v>ENTREGUE</v>
      </c>
      <c r="AJ374" s="9">
        <f ca="1">IF('Banco de Dados'!$AI374="ENTREGUE",_xlfn.XLOOKUP('Banco de Dados'!$G374,Follow[CODRASTREIO],Follow[DATAATUALIZAÇÃO]),"-")</f>
        <v>45623</v>
      </c>
      <c r="AK374" s="9" t="str">
        <f ca="1"/>
        <v>-</v>
      </c>
      <c r="AL374" s="35"/>
      <c r="AM374" s="109" cm="1">
        <f t="array" aca="1" ref="AM374" ca="1">IF('Banco de Dados'!$AK374&lt;&gt;"-",_xlfn.IFS('Banco de Dados'!$A374="bv",IF('Banco de Dados'!$E374&lt;45641,ROUND(SUM('Banco de Dados'!$R374*_xlfn.XLOOKUP('Banco de Dados'!$P374,Sku!B:B,Sku!#REF!)*20%),2),ROUND(SUM('Banco de Dados'!$R374*_xlfn.XLOOKUP('Banco de Dados'!$P374,Sku!B:B,Sku!H:H)*20%),2)),'Banco de Dados'!$A374="GO",ROUND(_xlfn.XLOOKUP('Banco de Dados'!$P374,Sku!C:C,Sku!H:H),2),'Banco de Dados'!$A374="MEI",ROUND(_xlfn.XLOOKUP('Banco de Dados'!$P374,Sku!D:D,Sku!H:H),2)),0)</f>
        <v>0</v>
      </c>
      <c r="AN374" s="109">
        <f ca="1">IF('Banco de Dados'!$AK374&lt;&gt;"-",IF('Banco de Dados'!$F374&lt;&gt;"-",_xlfn.XLOOKUP(IFERROR(IFERROR(IFERROR(VALUE(SUBSTITUTE(MID(_xlfn.TEXTAFTER('Banco de Dados'!$F374,"Data do Pedido:
",1),1,10),"-","/")),VALUE(SUBSTITUTE(MID(_xlfn.TEXTAFTER('Banco de Dados'!$F374,"Order date:
",1),1,10),"-","/"))),VALUE(SUBSTITUTE(MID(_xlfn.TEXTAFTER('Banco de Dados'!$F374,"Fecha de pedido:
",1),1,10),"-","/"))),"-"),SMS!A:A,SMS!K:K),0),0)</f>
        <v>0</v>
      </c>
      <c r="AO374" s="109">
        <f ca="1">IF('Banco de Dados'!$AK374&lt;&gt;"-",IF('Banco de Dados'!$F374&lt;&gt;"-",IFERROR(_xlfn.XLOOKUP(_xlfn.CONCAT('Banco de Dados'!$A374,IFERROR(IFERROR(VALUE(SUBSTITUTE(MID(_xlfn.TEXTAFTER('Banco de Dados'!$F374,"Data do Pedido:
",1),1,10),"-","/")),VALUE(SUBSTITUTE(MID(_xlfn.TEXTAFTER('Banco de Dados'!$F374,"Order date:
",1),1,10),"-","/"))),0)),ProxyDD[Chave],ProxyDD[Valor por pedido]),PROXY!$P$2),0),0)</f>
        <v>0</v>
      </c>
      <c r="AP374" s="28">
        <f ca="1">IF('Banco de Dados'!$AK374&lt;&gt;"-",IF('Banco de Dados'!$AL374="NÃO",IFERROR(VALUE(SUBSTITUTE(_xlfn.TEXTAFTER('Banco de Dados'!$F374,"BRL ",1),".",",")),0),0),0)</f>
        <v>0</v>
      </c>
      <c r="AQ374" s="28">
        <f ca="1">SUM('Banco de Dados'!$AM374:$AP374)</f>
        <v>0</v>
      </c>
      <c r="AR374" s="8"/>
      <c r="AS374" s="8"/>
      <c r="AY374" s="8"/>
    </row>
    <row r="375" spans="1:51">
      <c r="A375" s="5" t="str">
        <v>BV</v>
      </c>
      <c r="B375" s="5" t="str">
        <f ca="1"/>
        <v>BV45609</v>
      </c>
      <c r="C375" s="8" t="str">
        <v>Pedido 370</v>
      </c>
      <c r="D375" s="9">
        <v>45609</v>
      </c>
      <c r="E375" s="9">
        <v>45609</v>
      </c>
      <c r="F375" s="8" t="str">
        <v>PedidoF360</v>
      </c>
      <c r="G375" s="2" t="str">
        <v>CódRastreio360</v>
      </c>
      <c r="H375" s="5">
        <v>1</v>
      </c>
      <c r="I375" s="182" t="str">
        <v>CPF 359</v>
      </c>
      <c r="J375" s="2" t="str">
        <v>Nome 359</v>
      </c>
      <c r="K375" s="8" t="str">
        <v>Tel 359</v>
      </c>
      <c r="L375" s="2" t="str">
        <v>Cep 359</v>
      </c>
      <c r="M375" s="2" t="str">
        <v>Rua 359</v>
      </c>
      <c r="N375" s="2" t="str">
        <v>Comp 359</v>
      </c>
      <c r="O375" s="2" t="str">
        <v>Ventilador Azul</v>
      </c>
      <c r="P375" s="8" t="str">
        <v>U8-2VWS-OB6M</v>
      </c>
      <c r="Q375" s="4">
        <v>45638</v>
      </c>
      <c r="R375" s="109">
        <v>59.5</v>
      </c>
      <c r="S375" s="11">
        <f ca="1"/>
        <v>59.5</v>
      </c>
      <c r="T375" s="28">
        <f ca="1"/>
        <v>7.7350000000000003</v>
      </c>
      <c r="U375" s="11">
        <f ca="1"/>
        <v>51.77</v>
      </c>
      <c r="V375" s="11">
        <v>10.18</v>
      </c>
      <c r="W375" s="11">
        <f ca="1"/>
        <v>0.33</v>
      </c>
      <c r="X375" s="11">
        <f ca="1"/>
        <v>0.39877104377104378</v>
      </c>
      <c r="Y375" s="11">
        <v>0</v>
      </c>
      <c r="Z375" s="11">
        <f ca="1"/>
        <v>40.861228956228956</v>
      </c>
      <c r="AA375" s="11">
        <f ca="1"/>
        <v>20.430614478114478</v>
      </c>
      <c r="AB375" s="4">
        <f ca="1"/>
        <v>45645</v>
      </c>
      <c r="AC375" s="4">
        <v>45645</v>
      </c>
      <c r="AD375" s="9">
        <v>45651</v>
      </c>
      <c r="AE375" s="9">
        <v>45659</v>
      </c>
      <c r="AF375" s="4" t="str">
        <f t="shared" ca="1" si="5"/>
        <v>2024 12</v>
      </c>
      <c r="AG375" s="8" t="str" cm="1">
        <f t="array" ref="AG375">IFERROR(_xlfn.IFS('Banco de Dados'!#REF!="AG. COMPRA","Em processamento",'Banco de Dados'!#REF!="AG. RASTREIO","Em processamento",'Banco de Dados'!$AE375&lt;&gt;"-","Faturado",'Banco de Dados'!$AD375&lt;&gt;"-","Aguardando Pix",'Banco de Dados'!$AC375&lt;&gt;"-","Pendente"),"Aguardando Liberação")</f>
        <v>Aguardando Liberação</v>
      </c>
      <c r="AH375" s="5" t="str">
        <f>IF('Banco de Dados'!$F375="-",_xlfn.CONCAT(PROPER(TEXT(AK375,"aaaa"))," ",PROPER(TEXT(AK375,"mm"))),_xlfn.CONCAT(PROPER(TEXT(E375,"aaaa"))," ",PROPER(TEXT(E375,"mm"))))</f>
        <v>2024 11</v>
      </c>
      <c r="AI375" s="9" t="str">
        <f ca="1">IF('Banco de Dados'!$AK375&lt;&gt;"-","REEMBOLSO",IFERROR(_xlfn.XLOOKUP(G375,Follow[CODRASTREIO],Follow[STATUS]),"-"))</f>
        <v>ENTREGUE</v>
      </c>
      <c r="AJ375" s="9">
        <f ca="1">IF('Banco de Dados'!$AI375="ENTREGUE",_xlfn.XLOOKUP('Banco de Dados'!$G375,Follow[CODRASTREIO],Follow[DATAATUALIZAÇÃO]),"-")</f>
        <v>45629</v>
      </c>
      <c r="AK375" s="9" t="str">
        <f ca="1"/>
        <v>-</v>
      </c>
      <c r="AL375" s="35"/>
      <c r="AM375" s="109" cm="1">
        <f t="array" aca="1" ref="AM375" ca="1">IF('Banco de Dados'!$AK375&lt;&gt;"-",_xlfn.IFS('Banco de Dados'!$A375="bv",IF('Banco de Dados'!$E375&lt;45641,ROUND(SUM('Banco de Dados'!$R375*_xlfn.XLOOKUP('Banco de Dados'!$P375,Sku!B:B,Sku!#REF!)*20%),2),ROUND(SUM('Banco de Dados'!$R375*_xlfn.XLOOKUP('Banco de Dados'!$P375,Sku!B:B,Sku!H:H)*20%),2)),'Banco de Dados'!$A375="GO",ROUND(_xlfn.XLOOKUP('Banco de Dados'!$P375,Sku!C:C,Sku!H:H),2),'Banco de Dados'!$A375="MEI",ROUND(_xlfn.XLOOKUP('Banco de Dados'!$P375,Sku!D:D,Sku!H:H),2)),0)</f>
        <v>0</v>
      </c>
      <c r="AN375" s="109">
        <f ca="1">IF('Banco de Dados'!$AK375&lt;&gt;"-",IF('Banco de Dados'!$F375&lt;&gt;"-",_xlfn.XLOOKUP(IFERROR(IFERROR(IFERROR(VALUE(SUBSTITUTE(MID(_xlfn.TEXTAFTER('Banco de Dados'!$F375,"Data do Pedido:
",1),1,10),"-","/")),VALUE(SUBSTITUTE(MID(_xlfn.TEXTAFTER('Banco de Dados'!$F375,"Order date:
",1),1,10),"-","/"))),VALUE(SUBSTITUTE(MID(_xlfn.TEXTAFTER('Banco de Dados'!$F375,"Fecha de pedido:
",1),1,10),"-","/"))),"-"),SMS!A:A,SMS!K:K),0),0)</f>
        <v>0</v>
      </c>
      <c r="AO375" s="109">
        <f ca="1">IF('Banco de Dados'!$AK375&lt;&gt;"-",IF('Banco de Dados'!$F375&lt;&gt;"-",IFERROR(_xlfn.XLOOKUP(_xlfn.CONCAT('Banco de Dados'!$A375,IFERROR(IFERROR(VALUE(SUBSTITUTE(MID(_xlfn.TEXTAFTER('Banco de Dados'!$F375,"Data do Pedido:
",1),1,10),"-","/")),VALUE(SUBSTITUTE(MID(_xlfn.TEXTAFTER('Banco de Dados'!$F375,"Order date:
",1),1,10),"-","/"))),0)),ProxyDD[Chave],ProxyDD[Valor por pedido]),PROXY!$P$2),0),0)</f>
        <v>0</v>
      </c>
      <c r="AP375" s="28">
        <f ca="1">IF('Banco de Dados'!$AK375&lt;&gt;"-",IF('Banco de Dados'!$AL375="NÃO",IFERROR(VALUE(SUBSTITUTE(_xlfn.TEXTAFTER('Banco de Dados'!$F375,"BRL ",1),".",",")),0),0),0)</f>
        <v>0</v>
      </c>
      <c r="AQ375" s="28">
        <f ca="1">SUM('Banco de Dados'!$AM375:$AP375)</f>
        <v>0</v>
      </c>
      <c r="AR375" s="8"/>
      <c r="AS375" s="8"/>
      <c r="AY375" s="8"/>
    </row>
    <row r="376" spans="1:51">
      <c r="A376" s="5" t="str">
        <v>BV</v>
      </c>
      <c r="B376" s="5" t="str">
        <f ca="1"/>
        <v>BV45610</v>
      </c>
      <c r="C376" s="8" t="str">
        <v>Pedido 371</v>
      </c>
      <c r="D376" s="9">
        <v>45610</v>
      </c>
      <c r="E376" s="9">
        <v>45610</v>
      </c>
      <c r="F376" s="8" t="str">
        <v>PedidoF361</v>
      </c>
      <c r="G376" s="2" t="str">
        <v>CódRastreio361</v>
      </c>
      <c r="H376" s="5">
        <v>1</v>
      </c>
      <c r="I376" s="182" t="str">
        <v>CPF 360</v>
      </c>
      <c r="J376" s="2" t="str">
        <v>Nome 360</v>
      </c>
      <c r="K376" s="8" t="str">
        <v>Tel 360</v>
      </c>
      <c r="L376" s="2" t="str">
        <v>Cep 360</v>
      </c>
      <c r="M376" s="2" t="str">
        <v>Rua 360</v>
      </c>
      <c r="N376" s="2" t="str">
        <v>Comp 360</v>
      </c>
      <c r="O376" s="2" t="str">
        <v>Suporte de Celular Preto</v>
      </c>
      <c r="P376" s="8" t="str">
        <v>9G-BN48-QAPH</v>
      </c>
      <c r="Q376" s="4">
        <v>45639</v>
      </c>
      <c r="R376" s="109">
        <v>18.5</v>
      </c>
      <c r="S376" s="11">
        <f ca="1"/>
        <v>18.5</v>
      </c>
      <c r="T376" s="28">
        <f ca="1"/>
        <v>2.7749999999999999</v>
      </c>
      <c r="U376" s="11">
        <f ca="1"/>
        <v>15.73</v>
      </c>
      <c r="V376" s="11">
        <v>6.99</v>
      </c>
      <c r="W376" s="11">
        <f ca="1"/>
        <v>0.25</v>
      </c>
      <c r="X376" s="11">
        <f ca="1"/>
        <v>0.39877104377104378</v>
      </c>
      <c r="Y376" s="11">
        <v>0</v>
      </c>
      <c r="Z376" s="11">
        <f ca="1"/>
        <v>8.0912289562289565</v>
      </c>
      <c r="AA376" s="11">
        <f ca="1"/>
        <v>4.0456144781144783</v>
      </c>
      <c r="AB376" s="4">
        <f ca="1"/>
        <v>45646</v>
      </c>
      <c r="AC376" s="4">
        <v>45646</v>
      </c>
      <c r="AD376" s="9">
        <v>45651</v>
      </c>
      <c r="AE376" s="9">
        <v>45659</v>
      </c>
      <c r="AF376" s="4" t="str">
        <f t="shared" ca="1" si="5"/>
        <v>2024 12</v>
      </c>
      <c r="AG376" s="8" t="str" cm="1">
        <f t="array" ref="AG376">IFERROR(_xlfn.IFS('Banco de Dados'!#REF!="AG. COMPRA","Em processamento",'Banco de Dados'!#REF!="AG. RASTREIO","Em processamento",'Banco de Dados'!$AE376&lt;&gt;"-","Faturado",'Banco de Dados'!$AD376&lt;&gt;"-","Aguardando Pix",'Banco de Dados'!$AC376&lt;&gt;"-","Pendente"),"Aguardando Liberação")</f>
        <v>Aguardando Liberação</v>
      </c>
      <c r="AH376" s="5" t="str">
        <f>IF('Banco de Dados'!$F376="-",_xlfn.CONCAT(PROPER(TEXT(AK376,"aaaa"))," ",PROPER(TEXT(AK376,"mm"))),_xlfn.CONCAT(PROPER(TEXT(E376,"aaaa"))," ",PROPER(TEXT(E376,"mm"))))</f>
        <v>2024 11</v>
      </c>
      <c r="AI376" s="9" t="str">
        <f ca="1">IF('Banco de Dados'!$AK376&lt;&gt;"-","REEMBOLSO",IFERROR(_xlfn.XLOOKUP(G376,Follow[CODRASTREIO],Follow[STATUS]),"-"))</f>
        <v>ENTREGUE</v>
      </c>
      <c r="AJ376" s="9">
        <f ca="1">IF('Banco de Dados'!$AI376="ENTREGUE",_xlfn.XLOOKUP('Banco de Dados'!$G376,Follow[CODRASTREIO],Follow[DATAATUALIZAÇÃO]),"-")</f>
        <v>45622</v>
      </c>
      <c r="AK376" s="9" t="str">
        <f ca="1"/>
        <v>-</v>
      </c>
      <c r="AL376" s="35"/>
      <c r="AM376" s="109" cm="1">
        <f t="array" aca="1" ref="AM376" ca="1">IF('Banco de Dados'!$AK376&lt;&gt;"-",_xlfn.IFS('Banco de Dados'!$A376="bv",IF('Banco de Dados'!$E376&lt;45641,ROUND(SUM('Banco de Dados'!$R376*_xlfn.XLOOKUP('Banco de Dados'!$P376,Sku!B:B,Sku!#REF!)*20%),2),ROUND(SUM('Banco de Dados'!$R376*_xlfn.XLOOKUP('Banco de Dados'!$P376,Sku!B:B,Sku!H:H)*20%),2)),'Banco de Dados'!$A376="GO",ROUND(_xlfn.XLOOKUP('Banco de Dados'!$P376,Sku!C:C,Sku!H:H),2),'Banco de Dados'!$A376="MEI",ROUND(_xlfn.XLOOKUP('Banco de Dados'!$P376,Sku!D:D,Sku!H:H),2)),0)</f>
        <v>0</v>
      </c>
      <c r="AN376" s="109">
        <f ca="1">IF('Banco de Dados'!$AK376&lt;&gt;"-",IF('Banco de Dados'!$F376&lt;&gt;"-",_xlfn.XLOOKUP(IFERROR(IFERROR(IFERROR(VALUE(SUBSTITUTE(MID(_xlfn.TEXTAFTER('Banco de Dados'!$F376,"Data do Pedido:
",1),1,10),"-","/")),VALUE(SUBSTITUTE(MID(_xlfn.TEXTAFTER('Banco de Dados'!$F376,"Order date:
",1),1,10),"-","/"))),VALUE(SUBSTITUTE(MID(_xlfn.TEXTAFTER('Banco de Dados'!$F376,"Fecha de pedido:
",1),1,10),"-","/"))),"-"),SMS!A:A,SMS!K:K),0),0)</f>
        <v>0</v>
      </c>
      <c r="AO376" s="109">
        <f ca="1">IF('Banco de Dados'!$AK376&lt;&gt;"-",IF('Banco de Dados'!$F376&lt;&gt;"-",IFERROR(_xlfn.XLOOKUP(_xlfn.CONCAT('Banco de Dados'!$A376,IFERROR(IFERROR(VALUE(SUBSTITUTE(MID(_xlfn.TEXTAFTER('Banco de Dados'!$F376,"Data do Pedido:
",1),1,10),"-","/")),VALUE(SUBSTITUTE(MID(_xlfn.TEXTAFTER('Banco de Dados'!$F376,"Order date:
",1),1,10),"-","/"))),0)),ProxyDD[Chave],ProxyDD[Valor por pedido]),PROXY!$P$2),0),0)</f>
        <v>0</v>
      </c>
      <c r="AP376" s="28">
        <f ca="1">IF('Banco de Dados'!$AK376&lt;&gt;"-",IF('Banco de Dados'!$AL376="NÃO",IFERROR(VALUE(SUBSTITUTE(_xlfn.TEXTAFTER('Banco de Dados'!$F376,"BRL ",1),".",",")),0),0),0)</f>
        <v>0</v>
      </c>
      <c r="AQ376" s="28">
        <f ca="1">SUM('Banco de Dados'!$AM376:$AP376)</f>
        <v>0</v>
      </c>
      <c r="AR376" s="8"/>
      <c r="AS376" s="8"/>
      <c r="AY376" s="8"/>
    </row>
    <row r="377" spans="1:51">
      <c r="A377" s="5" t="str">
        <v>BV</v>
      </c>
      <c r="B377" s="5" t="str">
        <f ca="1"/>
        <v>BV45610</v>
      </c>
      <c r="C377" s="8" t="str">
        <v>Pedido 372</v>
      </c>
      <c r="D377" s="9">
        <v>45610</v>
      </c>
      <c r="E377" s="9">
        <v>45610</v>
      </c>
      <c r="F377" s="8" t="str">
        <v>PedidoF362</v>
      </c>
      <c r="G377" s="2" t="str">
        <v>CódRastreio362</v>
      </c>
      <c r="H377" s="5">
        <v>1</v>
      </c>
      <c r="I377" s="182" t="str">
        <v>CPF 361</v>
      </c>
      <c r="J377" s="2" t="str">
        <v>Nome 361</v>
      </c>
      <c r="K377" s="8" t="str">
        <v>Tel 361</v>
      </c>
      <c r="L377" s="2" t="str">
        <v>Cep 361</v>
      </c>
      <c r="M377" s="2" t="str">
        <v>Rua 361</v>
      </c>
      <c r="N377" s="2" t="str">
        <v>Comp 361</v>
      </c>
      <c r="O377" s="2" t="str">
        <v>Ventilador Preto</v>
      </c>
      <c r="P377" s="8" t="str">
        <v>MU-J80P-95WF</v>
      </c>
      <c r="Q377" s="4">
        <v>45639</v>
      </c>
      <c r="R377" s="109">
        <v>59.5</v>
      </c>
      <c r="S377" s="11">
        <f ca="1"/>
        <v>59.5</v>
      </c>
      <c r="T377" s="28">
        <f ca="1"/>
        <v>7.7350000000000003</v>
      </c>
      <c r="U377" s="11">
        <f ca="1"/>
        <v>51.77</v>
      </c>
      <c r="V377" s="11">
        <v>10.23</v>
      </c>
      <c r="W377" s="11">
        <f ca="1"/>
        <v>0.25</v>
      </c>
      <c r="X377" s="11">
        <f ca="1"/>
        <v>0.39877104377104378</v>
      </c>
      <c r="Y377" s="11">
        <v>0</v>
      </c>
      <c r="Z377" s="11">
        <f ca="1"/>
        <v>40.891228956228957</v>
      </c>
      <c r="AA377" s="11">
        <f ca="1"/>
        <v>20.445614478114479</v>
      </c>
      <c r="AB377" s="4">
        <f ca="1"/>
        <v>45646</v>
      </c>
      <c r="AC377" s="4">
        <v>45646</v>
      </c>
      <c r="AD377" s="9">
        <v>45651</v>
      </c>
      <c r="AE377" s="9">
        <v>45659</v>
      </c>
      <c r="AF377" s="4" t="str">
        <f t="shared" ca="1" si="5"/>
        <v>2024 12</v>
      </c>
      <c r="AG377" s="8" t="str" cm="1">
        <f t="array" ref="AG377">IFERROR(_xlfn.IFS('Banco de Dados'!#REF!="AG. COMPRA","Em processamento",'Banco de Dados'!#REF!="AG. RASTREIO","Em processamento",'Banco de Dados'!$AE377&lt;&gt;"-","Faturado",'Banco de Dados'!$AD377&lt;&gt;"-","Aguardando Pix",'Banco de Dados'!$AC377&lt;&gt;"-","Pendente"),"Aguardando Liberação")</f>
        <v>Aguardando Liberação</v>
      </c>
      <c r="AH377" s="5" t="str">
        <f>IF('Banco de Dados'!$F377="-",_xlfn.CONCAT(PROPER(TEXT(AK377,"aaaa"))," ",PROPER(TEXT(AK377,"mm"))),_xlfn.CONCAT(PROPER(TEXT(E377,"aaaa"))," ",PROPER(TEXT(E377,"mm"))))</f>
        <v>2024 11</v>
      </c>
      <c r="AI377" s="9" t="str">
        <f ca="1">IF('Banco de Dados'!$AK377&lt;&gt;"-","REEMBOLSO",IFERROR(_xlfn.XLOOKUP(G377,Follow[CODRASTREIO],Follow[STATUS]),"-"))</f>
        <v>ENTREGUE</v>
      </c>
      <c r="AJ377" s="9">
        <f ca="1">IF('Banco de Dados'!$AI377="ENTREGUE",_xlfn.XLOOKUP('Banco de Dados'!$G377,Follow[CODRASTREIO],Follow[DATAATUALIZAÇÃO]),"-")</f>
        <v>45639</v>
      </c>
      <c r="AK377" s="9" t="str">
        <f ca="1"/>
        <v>-</v>
      </c>
      <c r="AL377" s="35"/>
      <c r="AM377" s="109" cm="1">
        <f t="array" aca="1" ref="AM377" ca="1">IF('Banco de Dados'!$AK377&lt;&gt;"-",_xlfn.IFS('Banco de Dados'!$A377="bv",IF('Banco de Dados'!$E377&lt;45641,ROUND(SUM('Banco de Dados'!$R377*_xlfn.XLOOKUP('Banco de Dados'!$P377,Sku!B:B,Sku!#REF!)*20%),2),ROUND(SUM('Banco de Dados'!$R377*_xlfn.XLOOKUP('Banco de Dados'!$P377,Sku!B:B,Sku!H:H)*20%),2)),'Banco de Dados'!$A377="GO",ROUND(_xlfn.XLOOKUP('Banco de Dados'!$P377,Sku!C:C,Sku!H:H),2),'Banco de Dados'!$A377="MEI",ROUND(_xlfn.XLOOKUP('Banco de Dados'!$P377,Sku!D:D,Sku!H:H),2)),0)</f>
        <v>0</v>
      </c>
      <c r="AN377" s="109">
        <f ca="1">IF('Banco de Dados'!$AK377&lt;&gt;"-",IF('Banco de Dados'!$F377&lt;&gt;"-",_xlfn.XLOOKUP(IFERROR(IFERROR(IFERROR(VALUE(SUBSTITUTE(MID(_xlfn.TEXTAFTER('Banco de Dados'!$F377,"Data do Pedido:
",1),1,10),"-","/")),VALUE(SUBSTITUTE(MID(_xlfn.TEXTAFTER('Banco de Dados'!$F377,"Order date:
",1),1,10),"-","/"))),VALUE(SUBSTITUTE(MID(_xlfn.TEXTAFTER('Banco de Dados'!$F377,"Fecha de pedido:
",1),1,10),"-","/"))),"-"),SMS!A:A,SMS!K:K),0),0)</f>
        <v>0</v>
      </c>
      <c r="AO377" s="109">
        <f ca="1">IF('Banco de Dados'!$AK377&lt;&gt;"-",IF('Banco de Dados'!$F377&lt;&gt;"-",IFERROR(_xlfn.XLOOKUP(_xlfn.CONCAT('Banco de Dados'!$A377,IFERROR(IFERROR(VALUE(SUBSTITUTE(MID(_xlfn.TEXTAFTER('Banco de Dados'!$F377,"Data do Pedido:
",1),1,10),"-","/")),VALUE(SUBSTITUTE(MID(_xlfn.TEXTAFTER('Banco de Dados'!$F377,"Order date:
",1),1,10),"-","/"))),0)),ProxyDD[Chave],ProxyDD[Valor por pedido]),PROXY!$P$2),0),0)</f>
        <v>0</v>
      </c>
      <c r="AP377" s="28">
        <f ca="1">IF('Banco de Dados'!$AK377&lt;&gt;"-",IF('Banco de Dados'!$AL377="NÃO",IFERROR(VALUE(SUBSTITUTE(_xlfn.TEXTAFTER('Banco de Dados'!$F377,"BRL ",1),".",",")),0),0),0)</f>
        <v>0</v>
      </c>
      <c r="AQ377" s="28">
        <f ca="1">SUM('Banco de Dados'!$AM377:$AP377)</f>
        <v>0</v>
      </c>
      <c r="AR377" s="8"/>
      <c r="AS377" s="8"/>
      <c r="AY377" s="8"/>
    </row>
    <row r="378" spans="1:51">
      <c r="A378" s="5" t="str">
        <v>BV</v>
      </c>
      <c r="B378" s="5" t="str">
        <f ca="1"/>
        <v>BV45610</v>
      </c>
      <c r="C378" s="8" t="str">
        <v>Pedido 373</v>
      </c>
      <c r="D378" s="9">
        <v>45610</v>
      </c>
      <c r="E378" s="9">
        <v>45610</v>
      </c>
      <c r="F378" s="8" t="str">
        <v>PedidoF363</v>
      </c>
      <c r="G378" s="2" t="str">
        <v>CódRastreio363</v>
      </c>
      <c r="H378" s="5">
        <v>1</v>
      </c>
      <c r="I378" s="182" t="str">
        <v>CPF 362</v>
      </c>
      <c r="J378" s="2" t="str">
        <v>Nome 362</v>
      </c>
      <c r="K378" s="8" t="str">
        <v>Tel 362</v>
      </c>
      <c r="L378" s="2" t="str">
        <v>Cep 362</v>
      </c>
      <c r="M378" s="2" t="str">
        <v>Rua 362</v>
      </c>
      <c r="N378" s="2" t="str">
        <v>Comp 362</v>
      </c>
      <c r="O378" s="2" t="str">
        <v>Mini Liquidificador</v>
      </c>
      <c r="P378" s="8" t="str">
        <v>CK-YL6M-P5Y6</v>
      </c>
      <c r="Q378" s="4">
        <v>45633</v>
      </c>
      <c r="R378" s="109">
        <v>29.5</v>
      </c>
      <c r="S378" s="11">
        <f ca="1"/>
        <v>29.5</v>
      </c>
      <c r="T378" s="28">
        <f ca="1"/>
        <v>3.835</v>
      </c>
      <c r="U378" s="11">
        <f ca="1"/>
        <v>25.67</v>
      </c>
      <c r="V378" s="11">
        <v>11.99</v>
      </c>
      <c r="W378" s="11">
        <f ca="1"/>
        <v>0.25</v>
      </c>
      <c r="X378" s="11">
        <f ca="1"/>
        <v>0.39877104377104378</v>
      </c>
      <c r="Y378" s="11">
        <v>0</v>
      </c>
      <c r="Z378" s="11">
        <f ca="1"/>
        <v>13.031228956228958</v>
      </c>
      <c r="AA378" s="11">
        <f ca="1"/>
        <v>6.5156144781144789</v>
      </c>
      <c r="AB378" s="4">
        <f ca="1"/>
        <v>45640</v>
      </c>
      <c r="AC378" s="4">
        <v>45640</v>
      </c>
      <c r="AD378" s="9">
        <v>45640</v>
      </c>
      <c r="AE378" s="9">
        <v>45642</v>
      </c>
      <c r="AF378" s="4" t="str">
        <f t="shared" ca="1" si="5"/>
        <v>2024 12</v>
      </c>
      <c r="AG378" s="8" t="str" cm="1">
        <f t="array" ref="AG378">IFERROR(_xlfn.IFS('Banco de Dados'!#REF!="AG. COMPRA","Em processamento",'Banco de Dados'!#REF!="AG. RASTREIO","Em processamento",'Banco de Dados'!$AE378&lt;&gt;"-","Faturado",'Banco de Dados'!$AD378&lt;&gt;"-","Aguardando Pix",'Banco de Dados'!$AC378&lt;&gt;"-","Pendente"),"Aguardando Liberação")</f>
        <v>Aguardando Liberação</v>
      </c>
      <c r="AH378" s="5" t="str">
        <f>IF('Banco de Dados'!$F378="-",_xlfn.CONCAT(PROPER(TEXT(AK378,"aaaa"))," ",PROPER(TEXT(AK378,"mm"))),_xlfn.CONCAT(PROPER(TEXT(E378,"aaaa"))," ",PROPER(TEXT(E378,"mm"))))</f>
        <v>2024 11</v>
      </c>
      <c r="AI378" s="9" t="str">
        <f ca="1">IF('Banco de Dados'!$AK378&lt;&gt;"-","REEMBOLSO",IFERROR(_xlfn.XLOOKUP(G378,Follow[CODRASTREIO],Follow[STATUS]),"-"))</f>
        <v>ENTREGUE</v>
      </c>
      <c r="AJ378" s="9">
        <f ca="1">IF('Banco de Dados'!$AI378="ENTREGUE",_xlfn.XLOOKUP('Banco de Dados'!$G378,Follow[CODRASTREIO],Follow[DATAATUALIZAÇÃO]),"-")</f>
        <v>45623</v>
      </c>
      <c r="AK378" s="9" t="str">
        <f ca="1"/>
        <v>-</v>
      </c>
      <c r="AL378" s="35"/>
      <c r="AM378" s="109" cm="1">
        <f t="array" aca="1" ref="AM378" ca="1">IF('Banco de Dados'!$AK378&lt;&gt;"-",_xlfn.IFS('Banco de Dados'!$A378="bv",IF('Banco de Dados'!$E378&lt;45641,ROUND(SUM('Banco de Dados'!$R378*_xlfn.XLOOKUP('Banco de Dados'!$P378,Sku!B:B,Sku!#REF!)*20%),2),ROUND(SUM('Banco de Dados'!$R378*_xlfn.XLOOKUP('Banco de Dados'!$P378,Sku!B:B,Sku!H:H)*20%),2)),'Banco de Dados'!$A378="GO",ROUND(_xlfn.XLOOKUP('Banco de Dados'!$P378,Sku!C:C,Sku!H:H),2),'Banco de Dados'!$A378="MEI",ROUND(_xlfn.XLOOKUP('Banco de Dados'!$P378,Sku!D:D,Sku!H:H),2)),0)</f>
        <v>0</v>
      </c>
      <c r="AN378" s="109">
        <f ca="1">IF('Banco de Dados'!$AK378&lt;&gt;"-",IF('Banco de Dados'!$F378&lt;&gt;"-",_xlfn.XLOOKUP(IFERROR(IFERROR(IFERROR(VALUE(SUBSTITUTE(MID(_xlfn.TEXTAFTER('Banco de Dados'!$F378,"Data do Pedido:
",1),1,10),"-","/")),VALUE(SUBSTITUTE(MID(_xlfn.TEXTAFTER('Banco de Dados'!$F378,"Order date:
",1),1,10),"-","/"))),VALUE(SUBSTITUTE(MID(_xlfn.TEXTAFTER('Banco de Dados'!$F378,"Fecha de pedido:
",1),1,10),"-","/"))),"-"),SMS!A:A,SMS!K:K),0),0)</f>
        <v>0</v>
      </c>
      <c r="AO378" s="109">
        <f ca="1">IF('Banco de Dados'!$AK378&lt;&gt;"-",IF('Banco de Dados'!$F378&lt;&gt;"-",IFERROR(_xlfn.XLOOKUP(_xlfn.CONCAT('Banco de Dados'!$A378,IFERROR(IFERROR(VALUE(SUBSTITUTE(MID(_xlfn.TEXTAFTER('Banco de Dados'!$F378,"Data do Pedido:
",1),1,10),"-","/")),VALUE(SUBSTITUTE(MID(_xlfn.TEXTAFTER('Banco de Dados'!$F378,"Order date:
",1),1,10),"-","/"))),0)),ProxyDD[Chave],ProxyDD[Valor por pedido]),PROXY!$P$2),0),0)</f>
        <v>0</v>
      </c>
      <c r="AP378" s="28">
        <f ca="1">IF('Banco de Dados'!$AK378&lt;&gt;"-",IF('Banco de Dados'!$AL378="NÃO",IFERROR(VALUE(SUBSTITUTE(_xlfn.TEXTAFTER('Banco de Dados'!$F378,"BRL ",1),".",",")),0),0),0)</f>
        <v>0</v>
      </c>
      <c r="AQ378" s="28">
        <f ca="1">SUM('Banco de Dados'!$AM378:$AP378)</f>
        <v>0</v>
      </c>
      <c r="AR378" s="8"/>
      <c r="AS378" s="8"/>
      <c r="AY378" s="8"/>
    </row>
    <row r="379" spans="1:51">
      <c r="A379" s="5" t="str">
        <v>BV</v>
      </c>
      <c r="B379" s="5" t="str">
        <f ca="1"/>
        <v>BV45610</v>
      </c>
      <c r="C379" s="8" t="str">
        <v>Pedido 374</v>
      </c>
      <c r="D379" s="9">
        <v>45610</v>
      </c>
      <c r="E379" s="9">
        <v>45610</v>
      </c>
      <c r="F379" s="8" t="str">
        <v>PedidoF364</v>
      </c>
      <c r="G379" s="2" t="str">
        <v>CódRastreio364</v>
      </c>
      <c r="H379" s="5">
        <v>1</v>
      </c>
      <c r="I379" s="182" t="str">
        <v>CPF 363</v>
      </c>
      <c r="J379" s="2" t="str">
        <v>Nome 363</v>
      </c>
      <c r="K379" s="8" t="str">
        <v>Tel 363</v>
      </c>
      <c r="L379" s="2" t="str">
        <v>Cep 363</v>
      </c>
      <c r="M379" s="2" t="str">
        <v>Rua 363</v>
      </c>
      <c r="N379" s="2" t="str">
        <v>Comp 363</v>
      </c>
      <c r="O379" s="2" t="str">
        <v>Ventilador Umidificador Preto</v>
      </c>
      <c r="P379" s="8" t="str">
        <v>HF-SI0F-XC7S</v>
      </c>
      <c r="Q379" s="4">
        <v>45646</v>
      </c>
      <c r="R379" s="109">
        <v>54.4</v>
      </c>
      <c r="S379" s="11">
        <f ca="1"/>
        <v>54.4</v>
      </c>
      <c r="T379" s="28">
        <f ca="1"/>
        <v>7.6160000000000005</v>
      </c>
      <c r="U379" s="11">
        <f ca="1"/>
        <v>46.78</v>
      </c>
      <c r="V379" s="11">
        <v>10.23</v>
      </c>
      <c r="W379" s="11">
        <f ca="1"/>
        <v>0.25</v>
      </c>
      <c r="X379" s="11">
        <f ca="1"/>
        <v>0.39877104377104378</v>
      </c>
      <c r="Y379" s="11">
        <v>0</v>
      </c>
      <c r="Z379" s="11">
        <f ca="1"/>
        <v>35.901228956228955</v>
      </c>
      <c r="AA379" s="11">
        <f ca="1"/>
        <v>17.950614478114478</v>
      </c>
      <c r="AB379" s="4">
        <f ca="1"/>
        <v>45653</v>
      </c>
      <c r="AC379" s="4">
        <v>45653</v>
      </c>
      <c r="AD379" s="9">
        <v>45656</v>
      </c>
      <c r="AE379" s="9">
        <v>45659</v>
      </c>
      <c r="AF379" s="4" t="str">
        <f t="shared" ca="1" si="5"/>
        <v>2024 12</v>
      </c>
      <c r="AG379" s="8" t="str" cm="1">
        <f t="array" ref="AG379">IFERROR(_xlfn.IFS('Banco de Dados'!#REF!="AG. COMPRA","Em processamento",'Banco de Dados'!#REF!="AG. RASTREIO","Em processamento",'Banco de Dados'!$AE379&lt;&gt;"-","Faturado",'Banco de Dados'!$AD379&lt;&gt;"-","Aguardando Pix",'Banco de Dados'!$AC379&lt;&gt;"-","Pendente"),"Aguardando Liberação")</f>
        <v>Aguardando Liberação</v>
      </c>
      <c r="AH379" s="5" t="str">
        <f>IF('Banco de Dados'!$F379="-",_xlfn.CONCAT(PROPER(TEXT(AK379,"aaaa"))," ",PROPER(TEXT(AK379,"mm"))),_xlfn.CONCAT(PROPER(TEXT(E379,"aaaa"))," ",PROPER(TEXT(E379,"mm"))))</f>
        <v>2024 11</v>
      </c>
      <c r="AI379" s="9" t="str">
        <f ca="1">IF('Banco de Dados'!$AK379&lt;&gt;"-","REEMBOLSO",IFERROR(_xlfn.XLOOKUP(G379,Follow[CODRASTREIO],Follow[STATUS]),"-"))</f>
        <v>ENTREGUE</v>
      </c>
      <c r="AJ379" s="9">
        <f ca="1">IF('Banco de Dados'!$AI379="ENTREGUE",_xlfn.XLOOKUP('Banco de Dados'!$G379,Follow[CODRASTREIO],Follow[DATAATUALIZAÇÃO]),"-")</f>
        <v>45630</v>
      </c>
      <c r="AK379" s="9" t="str">
        <f ca="1"/>
        <v>-</v>
      </c>
      <c r="AL379" s="35"/>
      <c r="AM379" s="109" cm="1">
        <f t="array" aca="1" ref="AM379" ca="1">IF('Banco de Dados'!$AK379&lt;&gt;"-",_xlfn.IFS('Banco de Dados'!$A379="bv",IF('Banco de Dados'!$E379&lt;45641,ROUND(SUM('Banco de Dados'!$R379*_xlfn.XLOOKUP('Banco de Dados'!$P379,Sku!B:B,Sku!#REF!)*20%),2),ROUND(SUM('Banco de Dados'!$R379*_xlfn.XLOOKUP('Banco de Dados'!$P379,Sku!B:B,Sku!H:H)*20%),2)),'Banco de Dados'!$A379="GO",ROUND(_xlfn.XLOOKUP('Banco de Dados'!$P379,Sku!C:C,Sku!H:H),2),'Banco de Dados'!$A379="MEI",ROUND(_xlfn.XLOOKUP('Banco de Dados'!$P379,Sku!D:D,Sku!H:H),2)),0)</f>
        <v>0</v>
      </c>
      <c r="AN379" s="109">
        <f ca="1">IF('Banco de Dados'!$AK379&lt;&gt;"-",IF('Banco de Dados'!$F379&lt;&gt;"-",_xlfn.XLOOKUP(IFERROR(IFERROR(IFERROR(VALUE(SUBSTITUTE(MID(_xlfn.TEXTAFTER('Banco de Dados'!$F379,"Data do Pedido:
",1),1,10),"-","/")),VALUE(SUBSTITUTE(MID(_xlfn.TEXTAFTER('Banco de Dados'!$F379,"Order date:
",1),1,10),"-","/"))),VALUE(SUBSTITUTE(MID(_xlfn.TEXTAFTER('Banco de Dados'!$F379,"Fecha de pedido:
",1),1,10),"-","/"))),"-"),SMS!A:A,SMS!K:K),0),0)</f>
        <v>0</v>
      </c>
      <c r="AO379" s="109">
        <f ca="1">IF('Banco de Dados'!$AK379&lt;&gt;"-",IF('Banco de Dados'!$F379&lt;&gt;"-",IFERROR(_xlfn.XLOOKUP(_xlfn.CONCAT('Banco de Dados'!$A379,IFERROR(IFERROR(VALUE(SUBSTITUTE(MID(_xlfn.TEXTAFTER('Banco de Dados'!$F379,"Data do Pedido:
",1),1,10),"-","/")),VALUE(SUBSTITUTE(MID(_xlfn.TEXTAFTER('Banco de Dados'!$F379,"Order date:
",1),1,10),"-","/"))),0)),ProxyDD[Chave],ProxyDD[Valor por pedido]),PROXY!$P$2),0),0)</f>
        <v>0</v>
      </c>
      <c r="AP379" s="28">
        <f ca="1">IF('Banco de Dados'!$AK379&lt;&gt;"-",IF('Banco de Dados'!$AL379="NÃO",IFERROR(VALUE(SUBSTITUTE(_xlfn.TEXTAFTER('Banco de Dados'!$F379,"BRL ",1),".",",")),0),0),0)</f>
        <v>0</v>
      </c>
      <c r="AQ379" s="28">
        <f ca="1">SUM('Banco de Dados'!$AM379:$AP379)</f>
        <v>0</v>
      </c>
      <c r="AR379" s="8"/>
      <c r="AS379" s="8"/>
      <c r="AY379" s="8"/>
    </row>
    <row r="380" spans="1:51">
      <c r="A380" s="5" t="str">
        <v>BV</v>
      </c>
      <c r="B380" s="5" t="str">
        <f ca="1"/>
        <v>BV45610</v>
      </c>
      <c r="C380" s="8" t="str">
        <v>Pedido 375</v>
      </c>
      <c r="D380" s="9">
        <v>45610</v>
      </c>
      <c r="E380" s="9">
        <v>45610</v>
      </c>
      <c r="F380" s="8" t="str">
        <v>PedidoF365</v>
      </c>
      <c r="G380" s="2" t="str">
        <v>CódRastreio365</v>
      </c>
      <c r="H380" s="5">
        <v>1</v>
      </c>
      <c r="I380" s="182" t="str">
        <v>CPF 364</v>
      </c>
      <c r="J380" s="2" t="str">
        <v>Nome 364</v>
      </c>
      <c r="K380" s="8" t="str">
        <v>Tel 364</v>
      </c>
      <c r="L380" s="2" t="str">
        <v>Cep 364</v>
      </c>
      <c r="M380" s="2" t="str">
        <v>Rua 364</v>
      </c>
      <c r="N380" s="2" t="str">
        <v>Comp 364</v>
      </c>
      <c r="O380" s="2" t="str">
        <v>Mini Liquidificador</v>
      </c>
      <c r="P380" s="8" t="str">
        <v>CK-YL6M-P5Y6</v>
      </c>
      <c r="Q380" s="4">
        <v>45633</v>
      </c>
      <c r="R380" s="109">
        <v>29.5</v>
      </c>
      <c r="S380" s="11">
        <f ca="1"/>
        <v>29.5</v>
      </c>
      <c r="T380" s="28">
        <f ca="1"/>
        <v>3.835</v>
      </c>
      <c r="U380" s="11">
        <f ca="1"/>
        <v>25.67</v>
      </c>
      <c r="V380" s="11">
        <v>11.99</v>
      </c>
      <c r="W380" s="11">
        <f ca="1"/>
        <v>0.25</v>
      </c>
      <c r="X380" s="11">
        <f ca="1"/>
        <v>0.39877104377104378</v>
      </c>
      <c r="Y380" s="11">
        <v>0</v>
      </c>
      <c r="Z380" s="11">
        <f ca="1"/>
        <v>13.031228956228958</v>
      </c>
      <c r="AA380" s="11">
        <f ca="1"/>
        <v>6.5156144781144789</v>
      </c>
      <c r="AB380" s="4">
        <f ca="1"/>
        <v>45640</v>
      </c>
      <c r="AC380" s="4">
        <v>45640</v>
      </c>
      <c r="AD380" s="9">
        <v>45640</v>
      </c>
      <c r="AE380" s="9">
        <v>45642</v>
      </c>
      <c r="AF380" s="4" t="str">
        <f t="shared" ca="1" si="5"/>
        <v>2024 12</v>
      </c>
      <c r="AG380" s="8" t="str" cm="1">
        <f t="array" ref="AG380">IFERROR(_xlfn.IFS('Banco de Dados'!#REF!="AG. COMPRA","Em processamento",'Banco de Dados'!#REF!="AG. RASTREIO","Em processamento",'Banco de Dados'!$AE380&lt;&gt;"-","Faturado",'Banco de Dados'!$AD380&lt;&gt;"-","Aguardando Pix",'Banco de Dados'!$AC380&lt;&gt;"-","Pendente"),"Aguardando Liberação")</f>
        <v>Aguardando Liberação</v>
      </c>
      <c r="AH380" s="5" t="str">
        <f>IF('Banco de Dados'!$F380="-",_xlfn.CONCAT(PROPER(TEXT(AK380,"aaaa"))," ",PROPER(TEXT(AK380,"mm"))),_xlfn.CONCAT(PROPER(TEXT(E380,"aaaa"))," ",PROPER(TEXT(E380,"mm"))))</f>
        <v>2024 11</v>
      </c>
      <c r="AI380" s="9" t="str">
        <f ca="1">IF('Banco de Dados'!$AK380&lt;&gt;"-","REEMBOLSO",IFERROR(_xlfn.XLOOKUP(G380,Follow[CODRASTREIO],Follow[STATUS]),"-"))</f>
        <v>ENTREGUE</v>
      </c>
      <c r="AJ380" s="9">
        <f ca="1">IF('Banco de Dados'!$AI380="ENTREGUE",_xlfn.XLOOKUP('Banco de Dados'!$G380,Follow[CODRASTREIO],Follow[DATAATUALIZAÇÃO]),"-")</f>
        <v>45619</v>
      </c>
      <c r="AK380" s="9" t="str">
        <f ca="1"/>
        <v>-</v>
      </c>
      <c r="AL380" s="35"/>
      <c r="AM380" s="109" cm="1">
        <f t="array" aca="1" ref="AM380" ca="1">IF('Banco de Dados'!$AK380&lt;&gt;"-",_xlfn.IFS('Banco de Dados'!$A380="bv",IF('Banco de Dados'!$E380&lt;45641,ROUND(SUM('Banco de Dados'!$R380*_xlfn.XLOOKUP('Banco de Dados'!$P380,Sku!B:B,Sku!#REF!)*20%),2),ROUND(SUM('Banco de Dados'!$R380*_xlfn.XLOOKUP('Banco de Dados'!$P380,Sku!B:B,Sku!H:H)*20%),2)),'Banco de Dados'!$A380="GO",ROUND(_xlfn.XLOOKUP('Banco de Dados'!$P380,Sku!C:C,Sku!H:H),2),'Banco de Dados'!$A380="MEI",ROUND(_xlfn.XLOOKUP('Banco de Dados'!$P380,Sku!D:D,Sku!H:H),2)),0)</f>
        <v>0</v>
      </c>
      <c r="AN380" s="109">
        <f ca="1">IF('Banco de Dados'!$AK380&lt;&gt;"-",IF('Banco de Dados'!$F380&lt;&gt;"-",_xlfn.XLOOKUP(IFERROR(IFERROR(IFERROR(VALUE(SUBSTITUTE(MID(_xlfn.TEXTAFTER('Banco de Dados'!$F380,"Data do Pedido:
",1),1,10),"-","/")),VALUE(SUBSTITUTE(MID(_xlfn.TEXTAFTER('Banco de Dados'!$F380,"Order date:
",1),1,10),"-","/"))),VALUE(SUBSTITUTE(MID(_xlfn.TEXTAFTER('Banco de Dados'!$F380,"Fecha de pedido:
",1),1,10),"-","/"))),"-"),SMS!A:A,SMS!K:K),0),0)</f>
        <v>0</v>
      </c>
      <c r="AO380" s="109">
        <f ca="1">IF('Banco de Dados'!$AK380&lt;&gt;"-",IF('Banco de Dados'!$F380&lt;&gt;"-",IFERROR(_xlfn.XLOOKUP(_xlfn.CONCAT('Banco de Dados'!$A380,IFERROR(IFERROR(VALUE(SUBSTITUTE(MID(_xlfn.TEXTAFTER('Banco de Dados'!$F380,"Data do Pedido:
",1),1,10),"-","/")),VALUE(SUBSTITUTE(MID(_xlfn.TEXTAFTER('Banco de Dados'!$F380,"Order date:
",1),1,10),"-","/"))),0)),ProxyDD[Chave],ProxyDD[Valor por pedido]),PROXY!$P$2),0),0)</f>
        <v>0</v>
      </c>
      <c r="AP380" s="28">
        <f ca="1">IF('Banco de Dados'!$AK380&lt;&gt;"-",IF('Banco de Dados'!$AL380="NÃO",IFERROR(VALUE(SUBSTITUTE(_xlfn.TEXTAFTER('Banco de Dados'!$F380,"BRL ",1),".",",")),0),0),0)</f>
        <v>0</v>
      </c>
      <c r="AQ380" s="28">
        <f ca="1">SUM('Banco de Dados'!$AM380:$AP380)</f>
        <v>0</v>
      </c>
      <c r="AR380" s="8"/>
      <c r="AS380" s="8"/>
      <c r="AY380" s="8"/>
    </row>
    <row r="381" spans="1:51">
      <c r="A381" s="5" t="str">
        <v>BV</v>
      </c>
      <c r="B381" s="5" t="str">
        <f ca="1"/>
        <v>BV45610</v>
      </c>
      <c r="C381" s="8" t="str">
        <v>Pedido 376</v>
      </c>
      <c r="D381" s="9">
        <v>45610</v>
      </c>
      <c r="E381" s="9">
        <v>45610</v>
      </c>
      <c r="F381" s="8" t="str">
        <v>PedidoF366</v>
      </c>
      <c r="G381" s="2" t="str">
        <v>CódRastreio366</v>
      </c>
      <c r="H381" s="5">
        <v>1</v>
      </c>
      <c r="I381" s="182" t="str">
        <v>CPF 365</v>
      </c>
      <c r="J381" s="2" t="str">
        <v>Nome 365</v>
      </c>
      <c r="K381" s="8" t="str">
        <v>Tel 365</v>
      </c>
      <c r="L381" s="2" t="str">
        <v>Cep 365</v>
      </c>
      <c r="M381" s="2" t="str">
        <v>Rua 365</v>
      </c>
      <c r="N381" s="2" t="str">
        <v>Comp 365</v>
      </c>
      <c r="O381" s="2" t="str">
        <v>Mini Liquidificador</v>
      </c>
      <c r="P381" s="8" t="str">
        <v>CK-YL6M-P5Y6</v>
      </c>
      <c r="Q381" s="4">
        <v>45633</v>
      </c>
      <c r="R381" s="109">
        <v>29.5</v>
      </c>
      <c r="S381" s="11">
        <f ca="1"/>
        <v>29.5</v>
      </c>
      <c r="T381" s="28">
        <f ca="1"/>
        <v>3.835</v>
      </c>
      <c r="U381" s="11">
        <f ca="1"/>
        <v>25.67</v>
      </c>
      <c r="V381" s="11">
        <v>11.99</v>
      </c>
      <c r="W381" s="11">
        <f ca="1"/>
        <v>0.25</v>
      </c>
      <c r="X381" s="11">
        <f ca="1"/>
        <v>0.39877104377104378</v>
      </c>
      <c r="Y381" s="11">
        <v>0</v>
      </c>
      <c r="Z381" s="11">
        <f ca="1"/>
        <v>13.031228956228958</v>
      </c>
      <c r="AA381" s="11">
        <f ca="1"/>
        <v>6.5156144781144789</v>
      </c>
      <c r="AB381" s="4">
        <f ca="1"/>
        <v>45640</v>
      </c>
      <c r="AC381" s="4">
        <v>45640</v>
      </c>
      <c r="AD381" s="9">
        <v>45640</v>
      </c>
      <c r="AE381" s="9">
        <v>45642</v>
      </c>
      <c r="AF381" s="4" t="str">
        <f t="shared" ca="1" si="5"/>
        <v>2024 12</v>
      </c>
      <c r="AG381" s="8" t="str" cm="1">
        <f t="array" ref="AG381">IFERROR(_xlfn.IFS('Banco de Dados'!#REF!="AG. COMPRA","Em processamento",'Banco de Dados'!#REF!="AG. RASTREIO","Em processamento",'Banco de Dados'!$AE381&lt;&gt;"-","Faturado",'Banco de Dados'!$AD381&lt;&gt;"-","Aguardando Pix",'Banco de Dados'!$AC381&lt;&gt;"-","Pendente"),"Aguardando Liberação")</f>
        <v>Aguardando Liberação</v>
      </c>
      <c r="AH381" s="5" t="str">
        <f>IF('Banco de Dados'!$F381="-",_xlfn.CONCAT(PROPER(TEXT(AK381,"aaaa"))," ",PROPER(TEXT(AK381,"mm"))),_xlfn.CONCAT(PROPER(TEXT(E381,"aaaa"))," ",PROPER(TEXT(E381,"mm"))))</f>
        <v>2024 11</v>
      </c>
      <c r="AI381" s="9" t="str">
        <f ca="1">IF('Banco de Dados'!$AK381&lt;&gt;"-","REEMBOLSO",IFERROR(_xlfn.XLOOKUP(G381,Follow[CODRASTREIO],Follow[STATUS]),"-"))</f>
        <v>ENTREGUE</v>
      </c>
      <c r="AJ381" s="9">
        <f ca="1">IF('Banco de Dados'!$AI381="ENTREGUE",_xlfn.XLOOKUP('Banco de Dados'!$G381,Follow[CODRASTREIO],Follow[DATAATUALIZAÇÃO]),"-")</f>
        <v>45618</v>
      </c>
      <c r="AK381" s="9" t="str">
        <f ca="1"/>
        <v>-</v>
      </c>
      <c r="AL381" s="35"/>
      <c r="AM381" s="109" cm="1">
        <f t="array" aca="1" ref="AM381" ca="1">IF('Banco de Dados'!$AK381&lt;&gt;"-",_xlfn.IFS('Banco de Dados'!$A381="bv",IF('Banco de Dados'!$E381&lt;45641,ROUND(SUM('Banco de Dados'!$R381*_xlfn.XLOOKUP('Banco de Dados'!$P381,Sku!B:B,Sku!#REF!)*20%),2),ROUND(SUM('Banco de Dados'!$R381*_xlfn.XLOOKUP('Banco de Dados'!$P381,Sku!B:B,Sku!H:H)*20%),2)),'Banco de Dados'!$A381="GO",ROUND(_xlfn.XLOOKUP('Banco de Dados'!$P381,Sku!C:C,Sku!H:H),2),'Banco de Dados'!$A381="MEI",ROUND(_xlfn.XLOOKUP('Banco de Dados'!$P381,Sku!D:D,Sku!H:H),2)),0)</f>
        <v>0</v>
      </c>
      <c r="AN381" s="109">
        <f ca="1">IF('Banco de Dados'!$AK381&lt;&gt;"-",IF('Banco de Dados'!$F381&lt;&gt;"-",_xlfn.XLOOKUP(IFERROR(IFERROR(IFERROR(VALUE(SUBSTITUTE(MID(_xlfn.TEXTAFTER('Banco de Dados'!$F381,"Data do Pedido:
",1),1,10),"-","/")),VALUE(SUBSTITUTE(MID(_xlfn.TEXTAFTER('Banco de Dados'!$F381,"Order date:
",1),1,10),"-","/"))),VALUE(SUBSTITUTE(MID(_xlfn.TEXTAFTER('Banco de Dados'!$F381,"Fecha de pedido:
",1),1,10),"-","/"))),"-"),SMS!A:A,SMS!K:K),0),0)</f>
        <v>0</v>
      </c>
      <c r="AO381" s="109">
        <f ca="1">IF('Banco de Dados'!$AK381&lt;&gt;"-",IF('Banco de Dados'!$F381&lt;&gt;"-",IFERROR(_xlfn.XLOOKUP(_xlfn.CONCAT('Banco de Dados'!$A381,IFERROR(IFERROR(VALUE(SUBSTITUTE(MID(_xlfn.TEXTAFTER('Banco de Dados'!$F381,"Data do Pedido:
",1),1,10),"-","/")),VALUE(SUBSTITUTE(MID(_xlfn.TEXTAFTER('Banco de Dados'!$F381,"Order date:
",1),1,10),"-","/"))),0)),ProxyDD[Chave],ProxyDD[Valor por pedido]),PROXY!$P$2),0),0)</f>
        <v>0</v>
      </c>
      <c r="AP381" s="28">
        <f ca="1">IF('Banco de Dados'!$AK381&lt;&gt;"-",IF('Banco de Dados'!$AL381="NÃO",IFERROR(VALUE(SUBSTITUTE(_xlfn.TEXTAFTER('Banco de Dados'!$F381,"BRL ",1),".",",")),0),0),0)</f>
        <v>0</v>
      </c>
      <c r="AQ381" s="28">
        <f ca="1">SUM('Banco de Dados'!$AM381:$AP381)</f>
        <v>0</v>
      </c>
      <c r="AR381" s="8"/>
      <c r="AS381" s="8"/>
      <c r="AY381" s="8"/>
    </row>
    <row r="382" spans="1:51">
      <c r="A382" s="5" t="str">
        <v>BV</v>
      </c>
      <c r="B382" s="5" t="str">
        <f ca="1"/>
        <v>BV45610</v>
      </c>
      <c r="C382" s="8" t="str">
        <v>Pedido 377</v>
      </c>
      <c r="D382" s="9">
        <v>45610</v>
      </c>
      <c r="E382" s="9">
        <v>45610</v>
      </c>
      <c r="F382" s="8" t="str">
        <v>PedidoF367</v>
      </c>
      <c r="G382" s="2" t="str">
        <v>CódRastreio367</v>
      </c>
      <c r="H382" s="5">
        <v>1</v>
      </c>
      <c r="I382" s="182" t="str">
        <v>CPF 366</v>
      </c>
      <c r="J382" s="2" t="str">
        <v>Nome 366</v>
      </c>
      <c r="K382" s="8" t="str">
        <v>Tel 366</v>
      </c>
      <c r="L382" s="2" t="str">
        <v>Cep 366</v>
      </c>
      <c r="M382" s="2" t="str">
        <v>Rua 366</v>
      </c>
      <c r="N382" s="2" t="str">
        <v>Comp 366</v>
      </c>
      <c r="O382" s="2" t="str">
        <v>Mini Liquidificador</v>
      </c>
      <c r="P382" s="8" t="str">
        <v>CK-YL6M-P5Y6</v>
      </c>
      <c r="Q382" s="4">
        <v>45629</v>
      </c>
      <c r="R382" s="109">
        <v>29.5</v>
      </c>
      <c r="S382" s="11">
        <f ca="1"/>
        <v>29.5</v>
      </c>
      <c r="T382" s="28">
        <f ca="1"/>
        <v>3.835</v>
      </c>
      <c r="U382" s="11">
        <f ca="1"/>
        <v>25.67</v>
      </c>
      <c r="V382" s="11">
        <v>11.99</v>
      </c>
      <c r="W382" s="11">
        <f ca="1"/>
        <v>0.25</v>
      </c>
      <c r="X382" s="11">
        <f ca="1"/>
        <v>0.39877104377104378</v>
      </c>
      <c r="Y382" s="11">
        <v>0</v>
      </c>
      <c r="Z382" s="11">
        <f ca="1"/>
        <v>13.031228956228958</v>
      </c>
      <c r="AA382" s="11">
        <f ca="1"/>
        <v>6.5156144781144789</v>
      </c>
      <c r="AB382" s="4">
        <f ca="1"/>
        <v>45636</v>
      </c>
      <c r="AC382" s="4">
        <v>45636</v>
      </c>
      <c r="AD382" s="9">
        <v>45637</v>
      </c>
      <c r="AE382" s="9">
        <v>45642</v>
      </c>
      <c r="AF382" s="4" t="str">
        <f t="shared" ca="1" si="5"/>
        <v>2024 12</v>
      </c>
      <c r="AG382" s="8" t="str" cm="1">
        <f t="array" ref="AG382">IFERROR(_xlfn.IFS('Banco de Dados'!#REF!="AG. COMPRA","Em processamento",'Banco de Dados'!#REF!="AG. RASTREIO","Em processamento",'Banco de Dados'!$AE382&lt;&gt;"-","Faturado",'Banco de Dados'!$AD382&lt;&gt;"-","Aguardando Pix",'Banco de Dados'!$AC382&lt;&gt;"-","Pendente"),"Aguardando Liberação")</f>
        <v>Aguardando Liberação</v>
      </c>
      <c r="AH382" s="5" t="str">
        <f>IF('Banco de Dados'!$F382="-",_xlfn.CONCAT(PROPER(TEXT(AK382,"aaaa"))," ",PROPER(TEXT(AK382,"mm"))),_xlfn.CONCAT(PROPER(TEXT(E382,"aaaa"))," ",PROPER(TEXT(E382,"mm"))))</f>
        <v>2024 11</v>
      </c>
      <c r="AI382" s="9" t="str">
        <f ca="1">IF('Banco de Dados'!$AK382&lt;&gt;"-","REEMBOLSO",IFERROR(_xlfn.XLOOKUP(G382,Follow[CODRASTREIO],Follow[STATUS]),"-"))</f>
        <v>ENTREGUE</v>
      </c>
      <c r="AJ382" s="9">
        <f ca="1">IF('Banco de Dados'!$AI382="ENTREGUE",_xlfn.XLOOKUP('Banco de Dados'!$G382,Follow[CODRASTREIO],Follow[DATAATUALIZAÇÃO]),"-")</f>
        <v>45618</v>
      </c>
      <c r="AK382" s="9" t="str">
        <f ca="1"/>
        <v>-</v>
      </c>
      <c r="AL382" s="35"/>
      <c r="AM382" s="109" cm="1">
        <f t="array" aca="1" ref="AM382" ca="1">IF('Banco de Dados'!$AK382&lt;&gt;"-",_xlfn.IFS('Banco de Dados'!$A382="bv",IF('Banco de Dados'!$E382&lt;45641,ROUND(SUM('Banco de Dados'!$R382*_xlfn.XLOOKUP('Banco de Dados'!$P382,Sku!B:B,Sku!#REF!)*20%),2),ROUND(SUM('Banco de Dados'!$R382*_xlfn.XLOOKUP('Banco de Dados'!$P382,Sku!B:B,Sku!H:H)*20%),2)),'Banco de Dados'!$A382="GO",ROUND(_xlfn.XLOOKUP('Banco de Dados'!$P382,Sku!C:C,Sku!H:H),2),'Banco de Dados'!$A382="MEI",ROUND(_xlfn.XLOOKUP('Banco de Dados'!$P382,Sku!D:D,Sku!H:H),2)),0)</f>
        <v>0</v>
      </c>
      <c r="AN382" s="109">
        <f ca="1">IF('Banco de Dados'!$AK382&lt;&gt;"-",IF('Banco de Dados'!$F382&lt;&gt;"-",_xlfn.XLOOKUP(IFERROR(IFERROR(IFERROR(VALUE(SUBSTITUTE(MID(_xlfn.TEXTAFTER('Banco de Dados'!$F382,"Data do Pedido:
",1),1,10),"-","/")),VALUE(SUBSTITUTE(MID(_xlfn.TEXTAFTER('Banco de Dados'!$F382,"Order date:
",1),1,10),"-","/"))),VALUE(SUBSTITUTE(MID(_xlfn.TEXTAFTER('Banco de Dados'!$F382,"Fecha de pedido:
",1),1,10),"-","/"))),"-"),SMS!A:A,SMS!K:K),0),0)</f>
        <v>0</v>
      </c>
      <c r="AO382" s="109">
        <f ca="1">IF('Banco de Dados'!$AK382&lt;&gt;"-",IF('Banco de Dados'!$F382&lt;&gt;"-",IFERROR(_xlfn.XLOOKUP(_xlfn.CONCAT('Banco de Dados'!$A382,IFERROR(IFERROR(VALUE(SUBSTITUTE(MID(_xlfn.TEXTAFTER('Banco de Dados'!$F382,"Data do Pedido:
",1),1,10),"-","/")),VALUE(SUBSTITUTE(MID(_xlfn.TEXTAFTER('Banco de Dados'!$F382,"Order date:
",1),1,10),"-","/"))),0)),ProxyDD[Chave],ProxyDD[Valor por pedido]),PROXY!$P$2),0),0)</f>
        <v>0</v>
      </c>
      <c r="AP382" s="28">
        <f ca="1">IF('Banco de Dados'!$AK382&lt;&gt;"-",IF('Banco de Dados'!$AL382="NÃO",IFERROR(VALUE(SUBSTITUTE(_xlfn.TEXTAFTER('Banco de Dados'!$F382,"BRL ",1),".",",")),0),0),0)</f>
        <v>0</v>
      </c>
      <c r="AQ382" s="28">
        <f ca="1">SUM('Banco de Dados'!$AM382:$AP382)</f>
        <v>0</v>
      </c>
      <c r="AR382" s="8"/>
      <c r="AS382" s="8"/>
      <c r="AY382" s="8"/>
    </row>
    <row r="383" spans="1:51">
      <c r="A383" s="5" t="str">
        <v>BV</v>
      </c>
      <c r="B383" s="5" t="str">
        <f ca="1"/>
        <v>BV45613</v>
      </c>
      <c r="C383" s="8" t="str">
        <v>Pedido 378</v>
      </c>
      <c r="D383" s="9">
        <v>45613</v>
      </c>
      <c r="E383" s="9">
        <v>45613</v>
      </c>
      <c r="F383" s="8" t="str">
        <v>PedidoF368</v>
      </c>
      <c r="G383" s="2" t="str">
        <v>CódRastreio368</v>
      </c>
      <c r="H383" s="5">
        <v>1</v>
      </c>
      <c r="I383" s="182" t="str">
        <v>CPF 367</v>
      </c>
      <c r="J383" s="2" t="str">
        <v>Nome 367</v>
      </c>
      <c r="K383" s="8" t="str">
        <v>Tel 367</v>
      </c>
      <c r="L383" s="2" t="str">
        <v>Cep 367</v>
      </c>
      <c r="M383" s="2" t="str">
        <v>Rua 367</v>
      </c>
      <c r="N383" s="2" t="str">
        <v>Comp 367</v>
      </c>
      <c r="O383" s="2" t="str">
        <v>Ventilador Azul</v>
      </c>
      <c r="P383" s="8" t="str">
        <v>U8-2VWS-OB6M</v>
      </c>
      <c r="Q383" s="4">
        <v>45646</v>
      </c>
      <c r="R383" s="109">
        <v>100</v>
      </c>
      <c r="S383" s="11">
        <f ca="1"/>
        <v>100</v>
      </c>
      <c r="T383" s="28">
        <f ca="1"/>
        <v>13</v>
      </c>
      <c r="U383" s="11">
        <f ca="1"/>
        <v>87</v>
      </c>
      <c r="V383" s="11">
        <v>10.220000000000001</v>
      </c>
      <c r="W383" s="11">
        <f ca="1"/>
        <v>0.4</v>
      </c>
      <c r="X383" s="11">
        <f ca="1"/>
        <v>0.39877104377104378</v>
      </c>
      <c r="Y383" s="11">
        <v>0</v>
      </c>
      <c r="Z383" s="11">
        <f ca="1"/>
        <v>75.981228956228961</v>
      </c>
      <c r="AA383" s="11">
        <f ca="1"/>
        <v>37.99061447811448</v>
      </c>
      <c r="AB383" s="4">
        <f ca="1"/>
        <v>45653</v>
      </c>
      <c r="AC383" s="4">
        <v>45653</v>
      </c>
      <c r="AD383" s="9">
        <v>45656</v>
      </c>
      <c r="AE383" s="9">
        <v>45659</v>
      </c>
      <c r="AF383" s="4" t="str">
        <f t="shared" ca="1" si="5"/>
        <v>2024 12</v>
      </c>
      <c r="AG383" s="8" t="str" cm="1">
        <f t="array" ref="AG383">IFERROR(_xlfn.IFS('Banco de Dados'!#REF!="AG. COMPRA","Em processamento",'Banco de Dados'!#REF!="AG. RASTREIO","Em processamento",'Banco de Dados'!$AE383&lt;&gt;"-","Faturado",'Banco de Dados'!$AD383&lt;&gt;"-","Aguardando Pix",'Banco de Dados'!$AC383&lt;&gt;"-","Pendente"),"Aguardando Liberação")</f>
        <v>Aguardando Liberação</v>
      </c>
      <c r="AH383" s="5" t="str">
        <f>IF('Banco de Dados'!$F383="-",_xlfn.CONCAT(PROPER(TEXT(AK383,"aaaa"))," ",PROPER(TEXT(AK383,"mm"))),_xlfn.CONCAT(PROPER(TEXT(E383,"aaaa"))," ",PROPER(TEXT(E383,"mm"))))</f>
        <v>2024 11</v>
      </c>
      <c r="AI383" s="9" t="str">
        <f ca="1">IF('Banco de Dados'!$AK383&lt;&gt;"-","REEMBOLSO",IFERROR(_xlfn.XLOOKUP(G383,Follow[CODRASTREIO],Follow[STATUS]),"-"))</f>
        <v>ENTREGUE</v>
      </c>
      <c r="AJ383" s="9">
        <f ca="1">IF('Banco de Dados'!$AI383="ENTREGUE",_xlfn.XLOOKUP('Banco de Dados'!$G383,Follow[CODRASTREIO],Follow[DATAATUALIZAÇÃO]),"-")</f>
        <v>45643</v>
      </c>
      <c r="AK383" s="9" t="str">
        <f ca="1"/>
        <v>-</v>
      </c>
      <c r="AL383" s="35"/>
      <c r="AM383" s="109" cm="1">
        <f t="array" aca="1" ref="AM383" ca="1">IF('Banco de Dados'!$AK383&lt;&gt;"-",_xlfn.IFS('Banco de Dados'!$A383="bv",IF('Banco de Dados'!$E383&lt;45641,ROUND(SUM('Banco de Dados'!$R383*_xlfn.XLOOKUP('Banco de Dados'!$P383,Sku!B:B,Sku!#REF!)*20%),2),ROUND(SUM('Banco de Dados'!$R383*_xlfn.XLOOKUP('Banco de Dados'!$P383,Sku!B:B,Sku!H:H)*20%),2)),'Banco de Dados'!$A383="GO",ROUND(_xlfn.XLOOKUP('Banco de Dados'!$P383,Sku!C:C,Sku!H:H),2),'Banco de Dados'!$A383="MEI",ROUND(_xlfn.XLOOKUP('Banco de Dados'!$P383,Sku!D:D,Sku!H:H),2)),0)</f>
        <v>0</v>
      </c>
      <c r="AN383" s="109">
        <f ca="1">IF('Banco de Dados'!$AK383&lt;&gt;"-",IF('Banco de Dados'!$F383&lt;&gt;"-",_xlfn.XLOOKUP(IFERROR(IFERROR(IFERROR(VALUE(SUBSTITUTE(MID(_xlfn.TEXTAFTER('Banco de Dados'!$F383,"Data do Pedido:
",1),1,10),"-","/")),VALUE(SUBSTITUTE(MID(_xlfn.TEXTAFTER('Banco de Dados'!$F383,"Order date:
",1),1,10),"-","/"))),VALUE(SUBSTITUTE(MID(_xlfn.TEXTAFTER('Banco de Dados'!$F383,"Fecha de pedido:
",1),1,10),"-","/"))),"-"),SMS!A:A,SMS!K:K),0),0)</f>
        <v>0</v>
      </c>
      <c r="AO383" s="109">
        <f ca="1">IF('Banco de Dados'!$AK383&lt;&gt;"-",IF('Banco de Dados'!$F383&lt;&gt;"-",IFERROR(_xlfn.XLOOKUP(_xlfn.CONCAT('Banco de Dados'!$A383,IFERROR(IFERROR(VALUE(SUBSTITUTE(MID(_xlfn.TEXTAFTER('Banco de Dados'!$F383,"Data do Pedido:
",1),1,10),"-","/")),VALUE(SUBSTITUTE(MID(_xlfn.TEXTAFTER('Banco de Dados'!$F383,"Order date:
",1),1,10),"-","/"))),0)),ProxyDD[Chave],ProxyDD[Valor por pedido]),PROXY!$P$2),0),0)</f>
        <v>0</v>
      </c>
      <c r="AP383" s="28">
        <f ca="1">IF('Banco de Dados'!$AK383&lt;&gt;"-",IF('Banco de Dados'!$AL383="NÃO",IFERROR(VALUE(SUBSTITUTE(_xlfn.TEXTAFTER('Banco de Dados'!$F383,"BRL ",1),".",",")),0),0),0)</f>
        <v>0</v>
      </c>
      <c r="AQ383" s="28">
        <f ca="1">SUM('Banco de Dados'!$AM383:$AP383)</f>
        <v>0</v>
      </c>
      <c r="AR383" s="8"/>
      <c r="AS383" s="8"/>
      <c r="AY383" s="8"/>
    </row>
    <row r="384" spans="1:51">
      <c r="A384" s="5" t="str">
        <v>BV</v>
      </c>
      <c r="B384" s="5" t="str">
        <f ca="1"/>
        <v>BV45614</v>
      </c>
      <c r="C384" s="8" t="str">
        <v>Pedido 379</v>
      </c>
      <c r="D384" s="9">
        <v>45614</v>
      </c>
      <c r="E384" s="9">
        <v>45614</v>
      </c>
      <c r="F384" s="8" t="str">
        <v>PedidoF369</v>
      </c>
      <c r="G384" s="2" t="str">
        <v>CódRastreio369</v>
      </c>
      <c r="H384" s="5">
        <v>1</v>
      </c>
      <c r="I384" s="182" t="str">
        <v>CPF 368</v>
      </c>
      <c r="J384" s="2" t="str">
        <v>Nome 368</v>
      </c>
      <c r="K384" s="8" t="str">
        <v>Tel 368</v>
      </c>
      <c r="L384" s="2" t="str">
        <v>Cep 368</v>
      </c>
      <c r="M384" s="2" t="str">
        <v>Rua 368</v>
      </c>
      <c r="N384" s="2" t="str">
        <v>Comp 368</v>
      </c>
      <c r="O384" s="2" t="str">
        <v>Ventilador Rosa</v>
      </c>
      <c r="P384" s="8" t="str">
        <v>IF-G2ZQ-79FO</v>
      </c>
      <c r="Q384" s="4">
        <v>45633</v>
      </c>
      <c r="R384" s="109">
        <v>59.2</v>
      </c>
      <c r="S384" s="11">
        <f ca="1"/>
        <v>59.2</v>
      </c>
      <c r="T384" s="28">
        <f ca="1"/>
        <v>7.6960000000000006</v>
      </c>
      <c r="U384" s="11">
        <f ca="1"/>
        <v>51.5</v>
      </c>
      <c r="V384" s="11">
        <v>10.199999999999999</v>
      </c>
      <c r="W384" s="11">
        <f ca="1"/>
        <v>0.17</v>
      </c>
      <c r="X384" s="11">
        <f ca="1"/>
        <v>0.39877104377104378</v>
      </c>
      <c r="Y384" s="11">
        <v>0</v>
      </c>
      <c r="Z384" s="11">
        <f ca="1"/>
        <v>40.731228956228961</v>
      </c>
      <c r="AA384" s="11">
        <f ca="1"/>
        <v>20.36561447811448</v>
      </c>
      <c r="AB384" s="4">
        <f ca="1"/>
        <v>45640</v>
      </c>
      <c r="AC384" s="4">
        <v>45640</v>
      </c>
      <c r="AD384" s="9">
        <v>45640</v>
      </c>
      <c r="AE384" s="9">
        <v>45642</v>
      </c>
      <c r="AF384" s="4" t="str">
        <f t="shared" ca="1" si="5"/>
        <v>2024 12</v>
      </c>
      <c r="AG384" s="8" t="str" cm="1">
        <f t="array" ref="AG384">IFERROR(_xlfn.IFS('Banco de Dados'!#REF!="AG. COMPRA","Em processamento",'Banco de Dados'!#REF!="AG. RASTREIO","Em processamento",'Banco de Dados'!$AE384&lt;&gt;"-","Faturado",'Banco de Dados'!$AD384&lt;&gt;"-","Aguardando Pix",'Banco de Dados'!$AC384&lt;&gt;"-","Pendente"),"Aguardando Liberação")</f>
        <v>Aguardando Liberação</v>
      </c>
      <c r="AH384" s="5" t="str">
        <f>IF('Banco de Dados'!$F384="-",_xlfn.CONCAT(PROPER(TEXT(AK384,"aaaa"))," ",PROPER(TEXT(AK384,"mm"))),_xlfn.CONCAT(PROPER(TEXT(E384,"aaaa"))," ",PROPER(TEXT(E384,"mm"))))</f>
        <v>2024 11</v>
      </c>
      <c r="AI384" s="9" t="str">
        <f ca="1">IF('Banco de Dados'!$AK384&lt;&gt;"-","REEMBOLSO",IFERROR(_xlfn.XLOOKUP(G384,Follow[CODRASTREIO],Follow[STATUS]),"-"))</f>
        <v>ENTREGUE</v>
      </c>
      <c r="AJ384" s="9">
        <f ca="1">IF('Banco de Dados'!$AI384="ENTREGUE",_xlfn.XLOOKUP('Banco de Dados'!$G384,Follow[CODRASTREIO],Follow[DATAATUALIZAÇÃO]),"-")</f>
        <v>45631.521921296298</v>
      </c>
      <c r="AK384" s="9" t="str">
        <f ca="1"/>
        <v>-</v>
      </c>
      <c r="AL384" s="35"/>
      <c r="AM384" s="109" cm="1">
        <f t="array" aca="1" ref="AM384" ca="1">IF('Banco de Dados'!$AK384&lt;&gt;"-",_xlfn.IFS('Banco de Dados'!$A384="bv",IF('Banco de Dados'!$E384&lt;45641,ROUND(SUM('Banco de Dados'!$R384*_xlfn.XLOOKUP('Banco de Dados'!$P384,Sku!B:B,Sku!#REF!)*20%),2),ROUND(SUM('Banco de Dados'!$R384*_xlfn.XLOOKUP('Banco de Dados'!$P384,Sku!B:B,Sku!H:H)*20%),2)),'Banco de Dados'!$A384="GO",ROUND(_xlfn.XLOOKUP('Banco de Dados'!$P384,Sku!C:C,Sku!H:H),2),'Banco de Dados'!$A384="MEI",ROUND(_xlfn.XLOOKUP('Banco de Dados'!$P384,Sku!D:D,Sku!H:H),2)),0)</f>
        <v>0</v>
      </c>
      <c r="AN384" s="109">
        <f ca="1">IF('Banco de Dados'!$AK384&lt;&gt;"-",IF('Banco de Dados'!$F384&lt;&gt;"-",_xlfn.XLOOKUP(IFERROR(IFERROR(IFERROR(VALUE(SUBSTITUTE(MID(_xlfn.TEXTAFTER('Banco de Dados'!$F384,"Data do Pedido:
",1),1,10),"-","/")),VALUE(SUBSTITUTE(MID(_xlfn.TEXTAFTER('Banco de Dados'!$F384,"Order date:
",1),1,10),"-","/"))),VALUE(SUBSTITUTE(MID(_xlfn.TEXTAFTER('Banco de Dados'!$F384,"Fecha de pedido:
",1),1,10),"-","/"))),"-"),SMS!A:A,SMS!K:K),0),0)</f>
        <v>0</v>
      </c>
      <c r="AO384" s="109">
        <f ca="1">IF('Banco de Dados'!$AK384&lt;&gt;"-",IF('Banco de Dados'!$F384&lt;&gt;"-",IFERROR(_xlfn.XLOOKUP(_xlfn.CONCAT('Banco de Dados'!$A384,IFERROR(IFERROR(VALUE(SUBSTITUTE(MID(_xlfn.TEXTAFTER('Banco de Dados'!$F384,"Data do Pedido:
",1),1,10),"-","/")),VALUE(SUBSTITUTE(MID(_xlfn.TEXTAFTER('Banco de Dados'!$F384,"Order date:
",1),1,10),"-","/"))),0)),ProxyDD[Chave],ProxyDD[Valor por pedido]),PROXY!$P$2),0),0)</f>
        <v>0</v>
      </c>
      <c r="AP384" s="28">
        <f ca="1">IF('Banco de Dados'!$AK384&lt;&gt;"-",IF('Banco de Dados'!$AL384="NÃO",IFERROR(VALUE(SUBSTITUTE(_xlfn.TEXTAFTER('Banco de Dados'!$F384,"BRL ",1),".",",")),0),0),0)</f>
        <v>0</v>
      </c>
      <c r="AQ384" s="28">
        <f ca="1">SUM('Banco de Dados'!$AM384:$AP384)</f>
        <v>0</v>
      </c>
      <c r="AR384" s="8"/>
      <c r="AS384" s="8"/>
      <c r="AY384" s="8"/>
    </row>
    <row r="385" spans="1:51">
      <c r="A385" s="5" t="str">
        <v>BV</v>
      </c>
      <c r="B385" s="5" t="str">
        <f ca="1"/>
        <v>BV45614</v>
      </c>
      <c r="C385" s="8" t="str">
        <v>Pedido 380</v>
      </c>
      <c r="D385" s="9">
        <v>45614</v>
      </c>
      <c r="E385" s="9">
        <v>45614</v>
      </c>
      <c r="F385" s="8" t="str">
        <v>PedidoF370</v>
      </c>
      <c r="G385" s="2" t="str">
        <v>CódRastreio370</v>
      </c>
      <c r="H385" s="5">
        <v>1</v>
      </c>
      <c r="I385" s="182" t="str">
        <v>CPF 369</v>
      </c>
      <c r="J385" s="2" t="str">
        <v>Nome 369</v>
      </c>
      <c r="K385" s="8" t="str">
        <v>Tel 369</v>
      </c>
      <c r="L385" s="2" t="str">
        <v>Cep 369</v>
      </c>
      <c r="M385" s="2" t="str">
        <v>Rua 369</v>
      </c>
      <c r="N385" s="2" t="str">
        <v>Comp 369</v>
      </c>
      <c r="O385" s="2" t="str">
        <v>Ventilador Azul</v>
      </c>
      <c r="P385" s="8" t="str">
        <v>U8-2VWS-OB6M</v>
      </c>
      <c r="Q385" s="4">
        <v>45639</v>
      </c>
      <c r="R385" s="109">
        <v>59.2</v>
      </c>
      <c r="S385" s="11">
        <f ca="1"/>
        <v>59.2</v>
      </c>
      <c r="T385" s="28">
        <f ca="1"/>
        <v>7.6960000000000006</v>
      </c>
      <c r="U385" s="11">
        <f ca="1"/>
        <v>51.5</v>
      </c>
      <c r="V385" s="11">
        <v>10.199999999999999</v>
      </c>
      <c r="W385" s="11">
        <f ca="1"/>
        <v>0.17</v>
      </c>
      <c r="X385" s="11">
        <f ca="1"/>
        <v>0.39877104377104378</v>
      </c>
      <c r="Y385" s="11">
        <v>0</v>
      </c>
      <c r="Z385" s="11">
        <f ca="1"/>
        <v>40.731228956228961</v>
      </c>
      <c r="AA385" s="11">
        <f ca="1"/>
        <v>20.36561447811448</v>
      </c>
      <c r="AB385" s="4">
        <f ca="1"/>
        <v>45646</v>
      </c>
      <c r="AC385" s="4">
        <v>45646</v>
      </c>
      <c r="AD385" s="9">
        <v>45651</v>
      </c>
      <c r="AE385" s="9">
        <v>45659</v>
      </c>
      <c r="AF385" s="4" t="str">
        <f t="shared" ca="1" si="5"/>
        <v>2024 12</v>
      </c>
      <c r="AG385" s="8" t="str" cm="1">
        <f t="array" ref="AG385">IFERROR(_xlfn.IFS('Banco de Dados'!#REF!="AG. COMPRA","Em processamento",'Banco de Dados'!#REF!="AG. RASTREIO","Em processamento",'Banco de Dados'!$AE385&lt;&gt;"-","Faturado",'Banco de Dados'!$AD385&lt;&gt;"-","Aguardando Pix",'Banco de Dados'!$AC385&lt;&gt;"-","Pendente"),"Aguardando Liberação")</f>
        <v>Aguardando Liberação</v>
      </c>
      <c r="AH385" s="5" t="str">
        <f>IF('Banco de Dados'!$F385="-",_xlfn.CONCAT(PROPER(TEXT(AK385,"aaaa"))," ",PROPER(TEXT(AK385,"mm"))),_xlfn.CONCAT(PROPER(TEXT(E385,"aaaa"))," ",PROPER(TEXT(E385,"mm"))))</f>
        <v>2024 11</v>
      </c>
      <c r="AI385" s="9" t="str">
        <f ca="1">IF('Banco de Dados'!$AK385&lt;&gt;"-","REEMBOLSO",IFERROR(_xlfn.XLOOKUP(G385,Follow[CODRASTREIO],Follow[STATUS]),"-"))</f>
        <v>ENTREGUE</v>
      </c>
      <c r="AJ385" s="9">
        <f ca="1">IF('Banco de Dados'!$AI385="ENTREGUE",_xlfn.XLOOKUP('Banco de Dados'!$G385,Follow[CODRASTREIO],Follow[DATAATUALIZAÇÃO]),"-")</f>
        <v>45624</v>
      </c>
      <c r="AK385" s="9" t="str">
        <f ca="1"/>
        <v>-</v>
      </c>
      <c r="AL385" s="35"/>
      <c r="AM385" s="109" cm="1">
        <f t="array" aca="1" ref="AM385" ca="1">IF('Banco de Dados'!$AK385&lt;&gt;"-",_xlfn.IFS('Banco de Dados'!$A385="bv",IF('Banco de Dados'!$E385&lt;45641,ROUND(SUM('Banco de Dados'!$R385*_xlfn.XLOOKUP('Banco de Dados'!$P385,Sku!B:B,Sku!#REF!)*20%),2),ROUND(SUM('Banco de Dados'!$R385*_xlfn.XLOOKUP('Banco de Dados'!$P385,Sku!B:B,Sku!H:H)*20%),2)),'Banco de Dados'!$A385="GO",ROUND(_xlfn.XLOOKUP('Banco de Dados'!$P385,Sku!C:C,Sku!H:H),2),'Banco de Dados'!$A385="MEI",ROUND(_xlfn.XLOOKUP('Banco de Dados'!$P385,Sku!D:D,Sku!H:H),2)),0)</f>
        <v>0</v>
      </c>
      <c r="AN385" s="109">
        <f ca="1">IF('Banco de Dados'!$AK385&lt;&gt;"-",IF('Banco de Dados'!$F385&lt;&gt;"-",_xlfn.XLOOKUP(IFERROR(IFERROR(IFERROR(VALUE(SUBSTITUTE(MID(_xlfn.TEXTAFTER('Banco de Dados'!$F385,"Data do Pedido:
",1),1,10),"-","/")),VALUE(SUBSTITUTE(MID(_xlfn.TEXTAFTER('Banco de Dados'!$F385,"Order date:
",1),1,10),"-","/"))),VALUE(SUBSTITUTE(MID(_xlfn.TEXTAFTER('Banco de Dados'!$F385,"Fecha de pedido:
",1),1,10),"-","/"))),"-"),SMS!A:A,SMS!K:K),0),0)</f>
        <v>0</v>
      </c>
      <c r="AO385" s="109">
        <f ca="1">IF('Banco de Dados'!$AK385&lt;&gt;"-",IF('Banco de Dados'!$F385&lt;&gt;"-",IFERROR(_xlfn.XLOOKUP(_xlfn.CONCAT('Banco de Dados'!$A385,IFERROR(IFERROR(VALUE(SUBSTITUTE(MID(_xlfn.TEXTAFTER('Banco de Dados'!$F385,"Data do Pedido:
",1),1,10),"-","/")),VALUE(SUBSTITUTE(MID(_xlfn.TEXTAFTER('Banco de Dados'!$F385,"Order date:
",1),1,10),"-","/"))),0)),ProxyDD[Chave],ProxyDD[Valor por pedido]),PROXY!$P$2),0),0)</f>
        <v>0</v>
      </c>
      <c r="AP385" s="28">
        <f ca="1">IF('Banco de Dados'!$AK385&lt;&gt;"-",IF('Banco de Dados'!$AL385="NÃO",IFERROR(VALUE(SUBSTITUTE(_xlfn.TEXTAFTER('Banco de Dados'!$F385,"BRL ",1),".",",")),0),0),0)</f>
        <v>0</v>
      </c>
      <c r="AQ385" s="28">
        <f ca="1">SUM('Banco de Dados'!$AM385:$AP385)</f>
        <v>0</v>
      </c>
      <c r="AR385" s="8"/>
      <c r="AS385" s="8"/>
      <c r="AY385" s="8"/>
    </row>
    <row r="386" spans="1:51">
      <c r="A386" s="5" t="str">
        <v>BV</v>
      </c>
      <c r="B386" s="5" t="str">
        <f ca="1"/>
        <v>BV45614</v>
      </c>
      <c r="C386" s="8" t="str">
        <v>Pedido 381</v>
      </c>
      <c r="D386" s="9">
        <v>45614</v>
      </c>
      <c r="E386" s="9">
        <v>45614</v>
      </c>
      <c r="F386" s="8" t="str">
        <v>PedidoF371</v>
      </c>
      <c r="G386" s="2" t="str">
        <v>CódRastreio371</v>
      </c>
      <c r="H386" s="5">
        <v>1</v>
      </c>
      <c r="I386" s="182" t="str">
        <v>CPF 370</v>
      </c>
      <c r="J386" s="2" t="str">
        <v>Nome 370</v>
      </c>
      <c r="K386" s="8" t="str">
        <v>Tel 370</v>
      </c>
      <c r="L386" s="2" t="str">
        <v>Cep 370</v>
      </c>
      <c r="M386" s="2" t="str">
        <v>Rua 370</v>
      </c>
      <c r="N386" s="2" t="str">
        <v>Comp 370</v>
      </c>
      <c r="O386" s="2" t="str">
        <v>Mini Liquidificador</v>
      </c>
      <c r="P386" s="8" t="str">
        <v>CK-YL6M-P5Y6</v>
      </c>
      <c r="Q386" s="4">
        <v>45630</v>
      </c>
      <c r="R386" s="109">
        <v>31.5</v>
      </c>
      <c r="S386" s="11">
        <f ca="1"/>
        <v>31.5</v>
      </c>
      <c r="T386" s="28">
        <f ca="1"/>
        <v>4.0949999999999998</v>
      </c>
      <c r="U386" s="11">
        <f ca="1"/>
        <v>27.41</v>
      </c>
      <c r="V386" s="11">
        <v>11.99</v>
      </c>
      <c r="W386" s="11">
        <f ca="1"/>
        <v>0.17</v>
      </c>
      <c r="X386" s="11">
        <f ca="1"/>
        <v>0.39877104377104378</v>
      </c>
      <c r="Y386" s="11">
        <v>0</v>
      </c>
      <c r="Z386" s="11">
        <f ca="1"/>
        <v>14.851228956228956</v>
      </c>
      <c r="AA386" s="11">
        <f ca="1"/>
        <v>7.4256144781144782</v>
      </c>
      <c r="AB386" s="4">
        <f ca="1"/>
        <v>45637</v>
      </c>
      <c r="AC386" s="4">
        <v>45637</v>
      </c>
      <c r="AD386" s="9">
        <v>45637</v>
      </c>
      <c r="AE386" s="9">
        <v>45642</v>
      </c>
      <c r="AF386" s="4" t="str">
        <f t="shared" ca="1" si="5"/>
        <v>2024 12</v>
      </c>
      <c r="AG386" s="8" t="str" cm="1">
        <f t="array" ref="AG386">IFERROR(_xlfn.IFS('Banco de Dados'!#REF!="AG. COMPRA","Em processamento",'Banco de Dados'!#REF!="AG. RASTREIO","Em processamento",'Banco de Dados'!$AE386&lt;&gt;"-","Faturado",'Banco de Dados'!$AD386&lt;&gt;"-","Aguardando Pix",'Banco de Dados'!$AC386&lt;&gt;"-","Pendente"),"Aguardando Liberação")</f>
        <v>Aguardando Liberação</v>
      </c>
      <c r="AH386" s="5" t="str">
        <f>IF('Banco de Dados'!$F386="-",_xlfn.CONCAT(PROPER(TEXT(AK386,"aaaa"))," ",PROPER(TEXT(AK386,"mm"))),_xlfn.CONCAT(PROPER(TEXT(E386,"aaaa"))," ",PROPER(TEXT(E386,"mm"))))</f>
        <v>2024 11</v>
      </c>
      <c r="AI386" s="9" t="str">
        <f ca="1">IF('Banco de Dados'!$AK386&lt;&gt;"-","REEMBOLSO",IFERROR(_xlfn.XLOOKUP(G386,Follow[CODRASTREIO],Follow[STATUS]),"-"))</f>
        <v>ENTREGUE</v>
      </c>
      <c r="AJ386" s="9">
        <f ca="1">IF('Banco de Dados'!$AI386="ENTREGUE",_xlfn.XLOOKUP('Banco de Dados'!$G386,Follow[CODRASTREIO],Follow[DATAATUALIZAÇÃO]),"-")</f>
        <v>45622</v>
      </c>
      <c r="AK386" s="9" t="str">
        <f ca="1"/>
        <v>-</v>
      </c>
      <c r="AL386" s="35"/>
      <c r="AM386" s="109" cm="1">
        <f t="array" aca="1" ref="AM386" ca="1">IF('Banco de Dados'!$AK386&lt;&gt;"-",_xlfn.IFS('Banco de Dados'!$A386="bv",IF('Banco de Dados'!$E386&lt;45641,ROUND(SUM('Banco de Dados'!$R386*_xlfn.XLOOKUP('Banco de Dados'!$P386,Sku!B:B,Sku!#REF!)*20%),2),ROUND(SUM('Banco de Dados'!$R386*_xlfn.XLOOKUP('Banco de Dados'!$P386,Sku!B:B,Sku!H:H)*20%),2)),'Banco de Dados'!$A386="GO",ROUND(_xlfn.XLOOKUP('Banco de Dados'!$P386,Sku!C:C,Sku!H:H),2),'Banco de Dados'!$A386="MEI",ROUND(_xlfn.XLOOKUP('Banco de Dados'!$P386,Sku!D:D,Sku!H:H),2)),0)</f>
        <v>0</v>
      </c>
      <c r="AN386" s="109">
        <f ca="1">IF('Banco de Dados'!$AK386&lt;&gt;"-",IF('Banco de Dados'!$F386&lt;&gt;"-",_xlfn.XLOOKUP(IFERROR(IFERROR(IFERROR(VALUE(SUBSTITUTE(MID(_xlfn.TEXTAFTER('Banco de Dados'!$F386,"Data do Pedido:
",1),1,10),"-","/")),VALUE(SUBSTITUTE(MID(_xlfn.TEXTAFTER('Banco de Dados'!$F386,"Order date:
",1),1,10),"-","/"))),VALUE(SUBSTITUTE(MID(_xlfn.TEXTAFTER('Banco de Dados'!$F386,"Fecha de pedido:
",1),1,10),"-","/"))),"-"),SMS!A:A,SMS!K:K),0),0)</f>
        <v>0</v>
      </c>
      <c r="AO386" s="109">
        <f ca="1">IF('Banco de Dados'!$AK386&lt;&gt;"-",IF('Banco de Dados'!$F386&lt;&gt;"-",IFERROR(_xlfn.XLOOKUP(_xlfn.CONCAT('Banco de Dados'!$A386,IFERROR(IFERROR(VALUE(SUBSTITUTE(MID(_xlfn.TEXTAFTER('Banco de Dados'!$F386,"Data do Pedido:
",1),1,10),"-","/")),VALUE(SUBSTITUTE(MID(_xlfn.TEXTAFTER('Banco de Dados'!$F386,"Order date:
",1),1,10),"-","/"))),0)),ProxyDD[Chave],ProxyDD[Valor por pedido]),PROXY!$P$2),0),0)</f>
        <v>0</v>
      </c>
      <c r="AP386" s="28">
        <f ca="1">IF('Banco de Dados'!$AK386&lt;&gt;"-",IF('Banco de Dados'!$AL386="NÃO",IFERROR(VALUE(SUBSTITUTE(_xlfn.TEXTAFTER('Banco de Dados'!$F386,"BRL ",1),".",",")),0),0),0)</f>
        <v>0</v>
      </c>
      <c r="AQ386" s="28">
        <f ca="1">SUM('Banco de Dados'!$AM386:$AP386)</f>
        <v>0</v>
      </c>
      <c r="AR386" s="8"/>
      <c r="AS386" s="8"/>
      <c r="AY386" s="8"/>
    </row>
    <row r="387" spans="1:51">
      <c r="A387" s="5" t="str">
        <v>BV</v>
      </c>
      <c r="B387" s="5" t="str">
        <f ca="1"/>
        <v>BV45614</v>
      </c>
      <c r="C387" s="8" t="str">
        <v>Pedido 382</v>
      </c>
      <c r="D387" s="9">
        <v>45614</v>
      </c>
      <c r="E387" s="9">
        <v>45614</v>
      </c>
      <c r="F387" s="8" t="str">
        <v>PedidoF372</v>
      </c>
      <c r="G387" s="2" t="str">
        <v>CódRastreio372</v>
      </c>
      <c r="H387" s="5">
        <v>1</v>
      </c>
      <c r="I387" s="182" t="str">
        <v>CPF 371</v>
      </c>
      <c r="J387" s="2" t="str">
        <v>Nome 371</v>
      </c>
      <c r="K387" s="8" t="str">
        <v>Tel 371</v>
      </c>
      <c r="L387" s="2" t="str">
        <v>Cep 371</v>
      </c>
      <c r="M387" s="2" t="str">
        <v>Rua 371</v>
      </c>
      <c r="N387" s="2" t="str">
        <v>Comp 371</v>
      </c>
      <c r="O387" s="2" t="str">
        <v>Mini Liquidificador</v>
      </c>
      <c r="P387" s="8" t="str">
        <v>CK-YL6M-P5Y6</v>
      </c>
      <c r="Q387" s="4">
        <v>45636</v>
      </c>
      <c r="R387" s="109">
        <v>31.5</v>
      </c>
      <c r="S387" s="11">
        <f ca="1"/>
        <v>31.5</v>
      </c>
      <c r="T387" s="28">
        <f ca="1"/>
        <v>4.0949999999999998</v>
      </c>
      <c r="U387" s="11">
        <f ca="1"/>
        <v>27.41</v>
      </c>
      <c r="V387" s="11">
        <v>11.99</v>
      </c>
      <c r="W387" s="11">
        <f ca="1"/>
        <v>0.17</v>
      </c>
      <c r="X387" s="11">
        <f ca="1"/>
        <v>0.39877104377104378</v>
      </c>
      <c r="Y387" s="11">
        <v>0</v>
      </c>
      <c r="Z387" s="11">
        <f ca="1"/>
        <v>14.851228956228956</v>
      </c>
      <c r="AA387" s="11">
        <f ca="1"/>
        <v>7.4256144781144782</v>
      </c>
      <c r="AB387" s="4">
        <f ca="1"/>
        <v>45643</v>
      </c>
      <c r="AC387" s="4">
        <v>45643</v>
      </c>
      <c r="AD387" s="9">
        <v>45651</v>
      </c>
      <c r="AE387" s="9">
        <v>45659</v>
      </c>
      <c r="AF387" s="4" t="str">
        <f t="shared" ref="AF387:AF451" ca="1" si="6">_xlfn.CONCAT(PROPER(TEXT(AB387,"aaaa"))," ",PROPER(TEXT(AB387,"mm")))</f>
        <v>2024 12</v>
      </c>
      <c r="AG387" s="8" t="str" cm="1">
        <f t="array" ref="AG387">IFERROR(_xlfn.IFS('Banco de Dados'!#REF!="AG. COMPRA","Em processamento",'Banco de Dados'!#REF!="AG. RASTREIO","Em processamento",'Banco de Dados'!$AE387&lt;&gt;"-","Faturado",'Banco de Dados'!$AD387&lt;&gt;"-","Aguardando Pix",'Banco de Dados'!$AC387&lt;&gt;"-","Pendente"),"Aguardando Liberação")</f>
        <v>Aguardando Liberação</v>
      </c>
      <c r="AH387" s="5" t="str">
        <f>IF('Banco de Dados'!$F387="-",_xlfn.CONCAT(PROPER(TEXT(AK387,"aaaa"))," ",PROPER(TEXT(AK387,"mm"))),_xlfn.CONCAT(PROPER(TEXT(E387,"aaaa"))," ",PROPER(TEXT(E387,"mm"))))</f>
        <v>2024 11</v>
      </c>
      <c r="AI387" s="9" t="str">
        <f ca="1">IF('Banco de Dados'!$AK387&lt;&gt;"-","REEMBOLSO",IFERROR(_xlfn.XLOOKUP(G387,Follow[CODRASTREIO],Follow[STATUS]),"-"))</f>
        <v>ENTREGUE</v>
      </c>
      <c r="AJ387" s="9">
        <f ca="1">IF('Banco de Dados'!$AI387="ENTREGUE",_xlfn.XLOOKUP('Banco de Dados'!$G387,Follow[CODRASTREIO],Follow[DATAATUALIZAÇÃO]),"-")</f>
        <v>45621</v>
      </c>
      <c r="AK387" s="9" t="str">
        <f ca="1"/>
        <v>-</v>
      </c>
      <c r="AL387" s="35"/>
      <c r="AM387" s="109" cm="1">
        <f t="array" aca="1" ref="AM387" ca="1">IF('Banco de Dados'!$AK387&lt;&gt;"-",_xlfn.IFS('Banco de Dados'!$A387="bv",IF('Banco de Dados'!$E387&lt;45641,ROUND(SUM('Banco de Dados'!$R387*_xlfn.XLOOKUP('Banco de Dados'!$P387,Sku!B:B,Sku!#REF!)*20%),2),ROUND(SUM('Banco de Dados'!$R387*_xlfn.XLOOKUP('Banco de Dados'!$P387,Sku!B:B,Sku!H:H)*20%),2)),'Banco de Dados'!$A387="GO",ROUND(_xlfn.XLOOKUP('Banco de Dados'!$P387,Sku!C:C,Sku!H:H),2),'Banco de Dados'!$A387="MEI",ROUND(_xlfn.XLOOKUP('Banco de Dados'!$P387,Sku!D:D,Sku!H:H),2)),0)</f>
        <v>0</v>
      </c>
      <c r="AN387" s="109">
        <f ca="1">IF('Banco de Dados'!$AK387&lt;&gt;"-",IF('Banco de Dados'!$F387&lt;&gt;"-",_xlfn.XLOOKUP(IFERROR(IFERROR(IFERROR(VALUE(SUBSTITUTE(MID(_xlfn.TEXTAFTER('Banco de Dados'!$F387,"Data do Pedido:
",1),1,10),"-","/")),VALUE(SUBSTITUTE(MID(_xlfn.TEXTAFTER('Banco de Dados'!$F387,"Order date:
",1),1,10),"-","/"))),VALUE(SUBSTITUTE(MID(_xlfn.TEXTAFTER('Banco de Dados'!$F387,"Fecha de pedido:
",1),1,10),"-","/"))),"-"),SMS!A:A,SMS!K:K),0),0)</f>
        <v>0</v>
      </c>
      <c r="AO387" s="109">
        <f ca="1">IF('Banco de Dados'!$AK387&lt;&gt;"-",IF('Banco de Dados'!$F387&lt;&gt;"-",IFERROR(_xlfn.XLOOKUP(_xlfn.CONCAT('Banco de Dados'!$A387,IFERROR(IFERROR(VALUE(SUBSTITUTE(MID(_xlfn.TEXTAFTER('Banco de Dados'!$F387,"Data do Pedido:
",1),1,10),"-","/")),VALUE(SUBSTITUTE(MID(_xlfn.TEXTAFTER('Banco de Dados'!$F387,"Order date:
",1),1,10),"-","/"))),0)),ProxyDD[Chave],ProxyDD[Valor por pedido]),PROXY!$P$2),0),0)</f>
        <v>0</v>
      </c>
      <c r="AP387" s="28">
        <f ca="1">IF('Banco de Dados'!$AK387&lt;&gt;"-",IF('Banco de Dados'!$AL387="NÃO",IFERROR(VALUE(SUBSTITUTE(_xlfn.TEXTAFTER('Banco de Dados'!$F387,"BRL ",1),".",",")),0),0),0)</f>
        <v>0</v>
      </c>
      <c r="AQ387" s="28">
        <f ca="1">SUM('Banco de Dados'!$AM387:$AP387)</f>
        <v>0</v>
      </c>
      <c r="AR387" s="8"/>
      <c r="AS387" s="8"/>
      <c r="AY387" s="8"/>
    </row>
    <row r="388" spans="1:51">
      <c r="A388" s="5" t="str">
        <v>BV</v>
      </c>
      <c r="B388" s="5" t="str">
        <f ca="1"/>
        <v>BV45614</v>
      </c>
      <c r="C388" s="8" t="str">
        <v>Pedido 383</v>
      </c>
      <c r="D388" s="9">
        <v>45614</v>
      </c>
      <c r="E388" s="9">
        <v>45614</v>
      </c>
      <c r="F388" s="8" t="str">
        <v>PedidoF373</v>
      </c>
      <c r="G388" s="2" t="str">
        <v>CódRastreio373</v>
      </c>
      <c r="H388" s="5">
        <v>1</v>
      </c>
      <c r="I388" s="182" t="str">
        <v>CPF 372</v>
      </c>
      <c r="J388" s="2" t="str">
        <v>Nome 372</v>
      </c>
      <c r="K388" s="8" t="str">
        <v>Tel 372</v>
      </c>
      <c r="L388" s="2" t="str">
        <v>Cep 372</v>
      </c>
      <c r="M388" s="2" t="str">
        <v>Rua 372</v>
      </c>
      <c r="N388" s="2" t="str">
        <v>Comp 372</v>
      </c>
      <c r="O388" s="2" t="str">
        <v>Adaptador Bluetooph</v>
      </c>
      <c r="P388" s="8" t="str">
        <v>YA-AG3H-SPUK</v>
      </c>
      <c r="Q388" s="4">
        <v>45630</v>
      </c>
      <c r="R388" s="109">
        <v>17.100000000000001</v>
      </c>
      <c r="S388" s="11">
        <f ca="1"/>
        <v>17.100000000000001</v>
      </c>
      <c r="T388" s="28">
        <f ca="1"/>
        <v>2.052</v>
      </c>
      <c r="U388" s="11">
        <f ca="1"/>
        <v>15.05</v>
      </c>
      <c r="V388" s="11">
        <v>6.99</v>
      </c>
      <c r="W388" s="11">
        <f ca="1"/>
        <v>0.17</v>
      </c>
      <c r="X388" s="11">
        <f ca="1"/>
        <v>0.39877104377104378</v>
      </c>
      <c r="Y388" s="11">
        <v>0</v>
      </c>
      <c r="Z388" s="11">
        <f ca="1"/>
        <v>7.4912289562289569</v>
      </c>
      <c r="AA388" s="11">
        <f ca="1"/>
        <v>3.7456144781144785</v>
      </c>
      <c r="AB388" s="4">
        <f ca="1"/>
        <v>45637</v>
      </c>
      <c r="AC388" s="4">
        <v>45637</v>
      </c>
      <c r="AD388" s="9">
        <v>45637</v>
      </c>
      <c r="AE388" s="9">
        <v>45642</v>
      </c>
      <c r="AF388" s="4" t="str">
        <f t="shared" ca="1" si="6"/>
        <v>2024 12</v>
      </c>
      <c r="AG388" s="8" t="str" cm="1">
        <f t="array" ref="AG388">IFERROR(_xlfn.IFS('Banco de Dados'!#REF!="AG. COMPRA","Em processamento",'Banco de Dados'!#REF!="AG. RASTREIO","Em processamento",'Banco de Dados'!$AE388&lt;&gt;"-","Faturado",'Banco de Dados'!$AD388&lt;&gt;"-","Aguardando Pix",'Banco de Dados'!$AC388&lt;&gt;"-","Pendente"),"Aguardando Liberação")</f>
        <v>Aguardando Liberação</v>
      </c>
      <c r="AH388" s="5" t="str">
        <f>IF('Banco de Dados'!$F388="-",_xlfn.CONCAT(PROPER(TEXT(AK388,"aaaa"))," ",PROPER(TEXT(AK388,"mm"))),_xlfn.CONCAT(PROPER(TEXT(E388,"aaaa"))," ",PROPER(TEXT(E388,"mm"))))</f>
        <v>2024 11</v>
      </c>
      <c r="AI388" s="9" t="str">
        <f ca="1">IF('Banco de Dados'!$AK388&lt;&gt;"-","REEMBOLSO",IFERROR(_xlfn.XLOOKUP(G388,Follow[CODRASTREIO],Follow[STATUS]),"-"))</f>
        <v>ENTREGUE</v>
      </c>
      <c r="AJ388" s="9">
        <f ca="1">IF('Banco de Dados'!$AI388="ENTREGUE",_xlfn.XLOOKUP('Banco de Dados'!$G388,Follow[CODRASTREIO],Follow[DATAATUALIZAÇÃO]),"-")</f>
        <v>45618</v>
      </c>
      <c r="AK388" s="9" t="str">
        <f ca="1"/>
        <v>-</v>
      </c>
      <c r="AL388" s="35"/>
      <c r="AM388" s="109" cm="1">
        <f t="array" aca="1" ref="AM388" ca="1">IF('Banco de Dados'!$AK388&lt;&gt;"-",_xlfn.IFS('Banco de Dados'!$A388="bv",IF('Banco de Dados'!$E388&lt;45641,ROUND(SUM('Banco de Dados'!$R388*_xlfn.XLOOKUP('Banco de Dados'!$P388,Sku!B:B,Sku!#REF!)*20%),2),ROUND(SUM('Banco de Dados'!$R388*_xlfn.XLOOKUP('Banco de Dados'!$P388,Sku!B:B,Sku!H:H)*20%),2)),'Banco de Dados'!$A388="GO",ROUND(_xlfn.XLOOKUP('Banco de Dados'!$P388,Sku!C:C,Sku!H:H),2),'Banco de Dados'!$A388="MEI",ROUND(_xlfn.XLOOKUP('Banco de Dados'!$P388,Sku!D:D,Sku!H:H),2)),0)</f>
        <v>0</v>
      </c>
      <c r="AN388" s="109">
        <f ca="1">IF('Banco de Dados'!$AK388&lt;&gt;"-",IF('Banco de Dados'!$F388&lt;&gt;"-",_xlfn.XLOOKUP(IFERROR(IFERROR(IFERROR(VALUE(SUBSTITUTE(MID(_xlfn.TEXTAFTER('Banco de Dados'!$F388,"Data do Pedido:
",1),1,10),"-","/")),VALUE(SUBSTITUTE(MID(_xlfn.TEXTAFTER('Banco de Dados'!$F388,"Order date:
",1),1,10),"-","/"))),VALUE(SUBSTITUTE(MID(_xlfn.TEXTAFTER('Banco de Dados'!$F388,"Fecha de pedido:
",1),1,10),"-","/"))),"-"),SMS!A:A,SMS!K:K),0),0)</f>
        <v>0</v>
      </c>
      <c r="AO388" s="109">
        <f ca="1">IF('Banco de Dados'!$AK388&lt;&gt;"-",IF('Banco de Dados'!$F388&lt;&gt;"-",IFERROR(_xlfn.XLOOKUP(_xlfn.CONCAT('Banco de Dados'!$A388,IFERROR(IFERROR(VALUE(SUBSTITUTE(MID(_xlfn.TEXTAFTER('Banco de Dados'!$F388,"Data do Pedido:
",1),1,10),"-","/")),VALUE(SUBSTITUTE(MID(_xlfn.TEXTAFTER('Banco de Dados'!$F388,"Order date:
",1),1,10),"-","/"))),0)),ProxyDD[Chave],ProxyDD[Valor por pedido]),PROXY!$P$2),0),0)</f>
        <v>0</v>
      </c>
      <c r="AP388" s="28">
        <f ca="1">IF('Banco de Dados'!$AK388&lt;&gt;"-",IF('Banco de Dados'!$AL388="NÃO",IFERROR(VALUE(SUBSTITUTE(_xlfn.TEXTAFTER('Banco de Dados'!$F388,"BRL ",1),".",",")),0),0),0)</f>
        <v>0</v>
      </c>
      <c r="AQ388" s="28">
        <f ca="1">SUM('Banco de Dados'!$AM388:$AP388)</f>
        <v>0</v>
      </c>
      <c r="AR388" s="8"/>
      <c r="AS388" s="8"/>
      <c r="AY388" s="8"/>
    </row>
    <row r="389" spans="1:51">
      <c r="A389" s="5" t="str">
        <v>BV</v>
      </c>
      <c r="B389" s="5" t="str">
        <f ca="1"/>
        <v>BV45614</v>
      </c>
      <c r="C389" s="8" t="str">
        <v>Pedido 384</v>
      </c>
      <c r="D389" s="9">
        <v>45614</v>
      </c>
      <c r="E389" s="9">
        <v>45614</v>
      </c>
      <c r="F389" s="8" t="str">
        <v>PedidoF374</v>
      </c>
      <c r="G389" s="2" t="str">
        <v>CódRastreio374</v>
      </c>
      <c r="H389" s="5">
        <v>1</v>
      </c>
      <c r="I389" s="182" t="str">
        <v>CPF 373</v>
      </c>
      <c r="J389" s="2" t="str">
        <v>Nome 373</v>
      </c>
      <c r="K389" s="8" t="str">
        <v>Tel 373</v>
      </c>
      <c r="L389" s="2" t="str">
        <v>Cep 373</v>
      </c>
      <c r="M389" s="2" t="str">
        <v>Rua 373</v>
      </c>
      <c r="N389" s="2" t="str">
        <v>Comp 373</v>
      </c>
      <c r="O389" s="2" t="str">
        <v>Ventilador Azul</v>
      </c>
      <c r="P389" s="8" t="str">
        <v>U8-2VWS-OB6M</v>
      </c>
      <c r="Q389" s="4">
        <v>45640</v>
      </c>
      <c r="R389" s="109">
        <v>59.2</v>
      </c>
      <c r="S389" s="11">
        <f ca="1"/>
        <v>0</v>
      </c>
      <c r="T389" s="28">
        <f ca="1"/>
        <v>0</v>
      </c>
      <c r="U389" s="11">
        <f ca="1"/>
        <v>0</v>
      </c>
      <c r="V389" s="11">
        <v>0</v>
      </c>
      <c r="W389" s="11">
        <f ca="1"/>
        <v>0</v>
      </c>
      <c r="X389" s="11">
        <f ca="1"/>
        <v>0.39877104377104378</v>
      </c>
      <c r="Y389" s="11">
        <v>0</v>
      </c>
      <c r="Z389" s="11">
        <f ca="1"/>
        <v>-0.39877104377104378</v>
      </c>
      <c r="AA389" s="11">
        <f ca="1"/>
        <v>-0.19938552188552189</v>
      </c>
      <c r="AB389" s="4">
        <f ca="1"/>
        <v>45647</v>
      </c>
      <c r="AC389" s="4">
        <v>45647</v>
      </c>
      <c r="AD389" s="9">
        <v>45651</v>
      </c>
      <c r="AE389" s="9">
        <v>45659</v>
      </c>
      <c r="AF389" s="4" t="str">
        <f t="shared" ca="1" si="6"/>
        <v>2024 12</v>
      </c>
      <c r="AG389" s="8" t="str" cm="1">
        <f t="array" ref="AG389">IFERROR(_xlfn.IFS('Banco de Dados'!#REF!="AG. COMPRA","Em processamento",'Banco de Dados'!#REF!="AG. RASTREIO","Em processamento",'Banco de Dados'!$AE389&lt;&gt;"-","Faturado",'Banco de Dados'!$AD389&lt;&gt;"-","Aguardando Pix",'Banco de Dados'!$AC389&lt;&gt;"-","Pendente"),"Aguardando Liberação")</f>
        <v>Aguardando Liberação</v>
      </c>
      <c r="AH389" s="5" t="str">
        <f>IF('Banco de Dados'!$F389="-",_xlfn.CONCAT(PROPER(TEXT(AK389,"aaaa"))," ",PROPER(TEXT(AK389,"mm"))),_xlfn.CONCAT(PROPER(TEXT(E389,"aaaa"))," ",PROPER(TEXT(E389,"mm"))))</f>
        <v>2024 11</v>
      </c>
      <c r="AI389" s="9" t="str">
        <f ca="1">IF('Banco de Dados'!$AK389&lt;&gt;"-","REEMBOLSO",IFERROR(_xlfn.XLOOKUP(G389,Follow[CODRASTREIO],Follow[STATUS]),"-"))</f>
        <v>REEMBOLSO</v>
      </c>
      <c r="AJ389" s="9" t="str">
        <f ca="1">IF('Banco de Dados'!$AI389="ENTREGUE",_xlfn.XLOOKUP('Banco de Dados'!$G389,Follow[CODRASTREIO],Follow[DATAATUALIZAÇÃO]),"-")</f>
        <v>-</v>
      </c>
      <c r="AK389" s="9">
        <f ca="1"/>
        <v>45624</v>
      </c>
      <c r="AL389" s="35"/>
      <c r="AM389" s="109" t="e" cm="1">
        <f t="array" aca="1" ref="AM389" ca="1">IF('Banco de Dados'!$AK389&lt;&gt;"-",_xlfn.IFS('Banco de Dados'!$A389="bv",IF('Banco de Dados'!$E389&lt;45641,ROUND(SUM('Banco de Dados'!$R389*_xlfn.XLOOKUP('Banco de Dados'!$P389,Sku!B:B,Sku!#REF!)*20%),2),ROUND(SUM('Banco de Dados'!$R389*_xlfn.XLOOKUP('Banco de Dados'!$P389,Sku!B:B,Sku!H:H)*20%),2)),'Banco de Dados'!$A389="GO",ROUND(_xlfn.XLOOKUP('Banco de Dados'!$P389,Sku!C:C,Sku!H:H),2),'Banco de Dados'!$A389="MEI",ROUND(_xlfn.XLOOKUP('Banco de Dados'!$P389,Sku!D:D,Sku!H:H),2)),0)</f>
        <v>#REF!</v>
      </c>
      <c r="AN389" s="109" t="e">
        <f ca="1">IF('Banco de Dados'!$AK389&lt;&gt;"-",IF('Banco de Dados'!$F389&lt;&gt;"-",_xlfn.XLOOKUP(IFERROR(IFERROR(IFERROR(VALUE(SUBSTITUTE(MID(_xlfn.TEXTAFTER('Banco de Dados'!$F389,"Data do Pedido:
",1),1,10),"-","/")),VALUE(SUBSTITUTE(MID(_xlfn.TEXTAFTER('Banco de Dados'!$F389,"Order date:
",1),1,10),"-","/"))),VALUE(SUBSTITUTE(MID(_xlfn.TEXTAFTER('Banco de Dados'!$F389,"Fecha de pedido:
",1),1,10),"-","/"))),"-"),SMS!A:A,SMS!K:K),0),0)</f>
        <v>#N/A</v>
      </c>
      <c r="AO389" s="109">
        <f ca="1">IF('Banco de Dados'!$AK389&lt;&gt;"-",IF('Banco de Dados'!$F389&lt;&gt;"-",IFERROR(_xlfn.XLOOKUP(_xlfn.CONCAT('Banco de Dados'!$A389,IFERROR(IFERROR(VALUE(SUBSTITUTE(MID(_xlfn.TEXTAFTER('Banco de Dados'!$F389,"Data do Pedido:
",1),1,10),"-","/")),VALUE(SUBSTITUTE(MID(_xlfn.TEXTAFTER('Banco de Dados'!$F389,"Order date:
",1),1,10),"-","/"))),0)),ProxyDD[Chave],ProxyDD[Valor por pedido]),PROXY!$P$2),0),0)</f>
        <v>0.39877104377104378</v>
      </c>
      <c r="AP389" s="28">
        <f ca="1">IF('Banco de Dados'!$AK389&lt;&gt;"-",IF('Banco de Dados'!$AL389="NÃO",IFERROR(VALUE(SUBSTITUTE(_xlfn.TEXTAFTER('Banco de Dados'!$F389,"BRL ",1),".",",")),0),0),0)</f>
        <v>0</v>
      </c>
      <c r="AQ389" s="28" t="e">
        <f ca="1">SUM('Banco de Dados'!$AM389:$AP389)</f>
        <v>#REF!</v>
      </c>
      <c r="AR389" s="8"/>
      <c r="AS389" s="8"/>
      <c r="AY389" s="8"/>
    </row>
    <row r="390" spans="1:51">
      <c r="A390" s="5" t="str">
        <v>BV</v>
      </c>
      <c r="B390" s="5" t="str">
        <f ca="1"/>
        <v>BV45614</v>
      </c>
      <c r="C390" s="8" t="str">
        <v>Pedido 385</v>
      </c>
      <c r="D390" s="9">
        <v>45614</v>
      </c>
      <c r="E390" s="9">
        <v>45614</v>
      </c>
      <c r="F390" s="8" t="str">
        <v>PedidoF375</v>
      </c>
      <c r="G390" s="2" t="str">
        <v>CódRastreio375</v>
      </c>
      <c r="H390" s="5">
        <v>1</v>
      </c>
      <c r="I390" s="182" t="str">
        <v>CPF 374</v>
      </c>
      <c r="J390" s="2" t="str">
        <v>Nome 374</v>
      </c>
      <c r="K390" s="8" t="str">
        <v>Tel 374</v>
      </c>
      <c r="L390" s="2" t="str">
        <v>Cep 374</v>
      </c>
      <c r="M390" s="2" t="str">
        <v>Rua 374</v>
      </c>
      <c r="N390" s="2" t="str">
        <v>Comp 374</v>
      </c>
      <c r="O390" s="2" t="str">
        <v>Ventilador Rosa</v>
      </c>
      <c r="P390" s="8" t="str">
        <v>IF-G2ZQ-79FO</v>
      </c>
      <c r="Q390" s="4">
        <v>45636</v>
      </c>
      <c r="R390" s="109">
        <v>59.2</v>
      </c>
      <c r="S390" s="11">
        <f ca="1"/>
        <v>59.2</v>
      </c>
      <c r="T390" s="28">
        <f ca="1"/>
        <v>7.6960000000000006</v>
      </c>
      <c r="U390" s="11">
        <f ca="1"/>
        <v>51.5</v>
      </c>
      <c r="V390" s="11">
        <v>10.199999999999999</v>
      </c>
      <c r="W390" s="11">
        <f ca="1"/>
        <v>0.17</v>
      </c>
      <c r="X390" s="11">
        <f ca="1"/>
        <v>0.39877104377104378</v>
      </c>
      <c r="Y390" s="11">
        <v>0</v>
      </c>
      <c r="Z390" s="11">
        <f ca="1"/>
        <v>40.731228956228961</v>
      </c>
      <c r="AA390" s="11">
        <f ca="1"/>
        <v>20.36561447811448</v>
      </c>
      <c r="AB390" s="4">
        <f ca="1"/>
        <v>45643</v>
      </c>
      <c r="AC390" s="4">
        <v>45643</v>
      </c>
      <c r="AD390" s="9">
        <v>45651</v>
      </c>
      <c r="AE390" s="9">
        <v>45659</v>
      </c>
      <c r="AF390" s="4" t="str">
        <f t="shared" ca="1" si="6"/>
        <v>2024 12</v>
      </c>
      <c r="AG390" s="8" t="str" cm="1">
        <f t="array" ref="AG390">IFERROR(_xlfn.IFS('Banco de Dados'!#REF!="AG. COMPRA","Em processamento",'Banco de Dados'!#REF!="AG. RASTREIO","Em processamento",'Banco de Dados'!$AE390&lt;&gt;"-","Faturado",'Banco de Dados'!$AD390&lt;&gt;"-","Aguardando Pix",'Banco de Dados'!$AC390&lt;&gt;"-","Pendente"),"Aguardando Liberação")</f>
        <v>Aguardando Liberação</v>
      </c>
      <c r="AH390" s="5" t="str">
        <f>IF('Banco de Dados'!$F390="-",_xlfn.CONCAT(PROPER(TEXT(AK390,"aaaa"))," ",PROPER(TEXT(AK390,"mm"))),_xlfn.CONCAT(PROPER(TEXT(E390,"aaaa"))," ",PROPER(TEXT(E390,"mm"))))</f>
        <v>2024 11</v>
      </c>
      <c r="AI390" s="9" t="str">
        <f ca="1">IF('Banco de Dados'!$AK390&lt;&gt;"-","REEMBOLSO",IFERROR(_xlfn.XLOOKUP(G390,Follow[CODRASTREIO],Follow[STATUS]),"-"))</f>
        <v>ENTREGUE</v>
      </c>
      <c r="AJ390" s="9">
        <f ca="1">IF('Banco de Dados'!$AI390="ENTREGUE",_xlfn.XLOOKUP('Banco de Dados'!$G390,Follow[CODRASTREIO],Follow[DATAATUALIZAÇÃO]),"-")</f>
        <v>45625</v>
      </c>
      <c r="AK390" s="9" t="str">
        <f ca="1"/>
        <v>-</v>
      </c>
      <c r="AL390" s="35"/>
      <c r="AM390" s="109" cm="1">
        <f t="array" aca="1" ref="AM390" ca="1">IF('Banco de Dados'!$AK390&lt;&gt;"-",_xlfn.IFS('Banco de Dados'!$A390="bv",IF('Banco de Dados'!$E390&lt;45641,ROUND(SUM('Banco de Dados'!$R390*_xlfn.XLOOKUP('Banco de Dados'!$P390,Sku!B:B,Sku!#REF!)*20%),2),ROUND(SUM('Banco de Dados'!$R390*_xlfn.XLOOKUP('Banco de Dados'!$P390,Sku!B:B,Sku!H:H)*20%),2)),'Banco de Dados'!$A390="GO",ROUND(_xlfn.XLOOKUP('Banco de Dados'!$P390,Sku!C:C,Sku!H:H),2),'Banco de Dados'!$A390="MEI",ROUND(_xlfn.XLOOKUP('Banco de Dados'!$P390,Sku!D:D,Sku!H:H),2)),0)</f>
        <v>0</v>
      </c>
      <c r="AN390" s="109">
        <f ca="1">IF('Banco de Dados'!$AK390&lt;&gt;"-",IF('Banco de Dados'!$F390&lt;&gt;"-",_xlfn.XLOOKUP(IFERROR(IFERROR(IFERROR(VALUE(SUBSTITUTE(MID(_xlfn.TEXTAFTER('Banco de Dados'!$F390,"Data do Pedido:
",1),1,10),"-","/")),VALUE(SUBSTITUTE(MID(_xlfn.TEXTAFTER('Banco de Dados'!$F390,"Order date:
",1),1,10),"-","/"))),VALUE(SUBSTITUTE(MID(_xlfn.TEXTAFTER('Banco de Dados'!$F390,"Fecha de pedido:
",1),1,10),"-","/"))),"-"),SMS!A:A,SMS!K:K),0),0)</f>
        <v>0</v>
      </c>
      <c r="AO390" s="109">
        <f ca="1">IF('Banco de Dados'!$AK390&lt;&gt;"-",IF('Banco de Dados'!$F390&lt;&gt;"-",IFERROR(_xlfn.XLOOKUP(_xlfn.CONCAT('Banco de Dados'!$A390,IFERROR(IFERROR(VALUE(SUBSTITUTE(MID(_xlfn.TEXTAFTER('Banco de Dados'!$F390,"Data do Pedido:
",1),1,10),"-","/")),VALUE(SUBSTITUTE(MID(_xlfn.TEXTAFTER('Banco de Dados'!$F390,"Order date:
",1),1,10),"-","/"))),0)),ProxyDD[Chave],ProxyDD[Valor por pedido]),PROXY!$P$2),0),0)</f>
        <v>0</v>
      </c>
      <c r="AP390" s="28">
        <f ca="1">IF('Banco de Dados'!$AK390&lt;&gt;"-",IF('Banco de Dados'!$AL390="NÃO",IFERROR(VALUE(SUBSTITUTE(_xlfn.TEXTAFTER('Banco de Dados'!$F390,"BRL ",1),".",",")),0),0),0)</f>
        <v>0</v>
      </c>
      <c r="AQ390" s="28">
        <f ca="1">SUM('Banco de Dados'!$AM390:$AP390)</f>
        <v>0</v>
      </c>
      <c r="AR390" s="8"/>
      <c r="AS390" s="8"/>
      <c r="AY390" s="8"/>
    </row>
    <row r="391" spans="1:51">
      <c r="A391" s="5" t="str">
        <v>BV</v>
      </c>
      <c r="B391" s="5" t="str">
        <f ca="1"/>
        <v>BV45614</v>
      </c>
      <c r="C391" s="8" t="str">
        <v>Pedido 386</v>
      </c>
      <c r="D391" s="9">
        <v>45614</v>
      </c>
      <c r="E391" s="9">
        <v>45614</v>
      </c>
      <c r="F391" s="8" t="str">
        <v>PedidoF376</v>
      </c>
      <c r="G391" s="2" t="str">
        <v>CódRastreio376</v>
      </c>
      <c r="H391" s="5">
        <v>1</v>
      </c>
      <c r="I391" s="182" t="str">
        <v>CPF 375</v>
      </c>
      <c r="J391" s="2" t="str">
        <v>Nome 375</v>
      </c>
      <c r="K391" s="8" t="str">
        <v>Tel 375</v>
      </c>
      <c r="L391" s="2" t="str">
        <v>Cep 375</v>
      </c>
      <c r="M391" s="2" t="str">
        <v>Rua 375</v>
      </c>
      <c r="N391" s="2" t="str">
        <v>Comp 375</v>
      </c>
      <c r="O391" s="2" t="str">
        <v>Ventilador de teto</v>
      </c>
      <c r="P391" s="8" t="str">
        <v>BP-NHG2-B8C1</v>
      </c>
      <c r="Q391" s="4">
        <v>45636</v>
      </c>
      <c r="R391" s="109">
        <v>48.5</v>
      </c>
      <c r="S391" s="11">
        <f ca="1"/>
        <v>48.5</v>
      </c>
      <c r="T391" s="28">
        <f ca="1"/>
        <v>6.3050000000000006</v>
      </c>
      <c r="U391" s="11">
        <f ca="1"/>
        <v>42.2</v>
      </c>
      <c r="V391" s="11">
        <v>10.199999999999999</v>
      </c>
      <c r="W391" s="11">
        <f ca="1"/>
        <v>0.17</v>
      </c>
      <c r="X391" s="11">
        <f ca="1"/>
        <v>0.39877104377104378</v>
      </c>
      <c r="Y391" s="11">
        <v>0</v>
      </c>
      <c r="Z391" s="11">
        <f ca="1"/>
        <v>31.43122895622896</v>
      </c>
      <c r="AA391" s="11">
        <f ca="1"/>
        <v>15.71561447811448</v>
      </c>
      <c r="AB391" s="4">
        <f ca="1"/>
        <v>45643</v>
      </c>
      <c r="AC391" s="4">
        <v>45643</v>
      </c>
      <c r="AD391" s="9">
        <v>45651</v>
      </c>
      <c r="AE391" s="9">
        <v>45659</v>
      </c>
      <c r="AF391" s="4" t="str">
        <f t="shared" ca="1" si="6"/>
        <v>2024 12</v>
      </c>
      <c r="AG391" s="8" t="str" cm="1">
        <f t="array" ref="AG391">IFERROR(_xlfn.IFS('Banco de Dados'!#REF!="AG. COMPRA","Em processamento",'Banco de Dados'!#REF!="AG. RASTREIO","Em processamento",'Banco de Dados'!$AE391&lt;&gt;"-","Faturado",'Banco de Dados'!$AD391&lt;&gt;"-","Aguardando Pix",'Banco de Dados'!$AC391&lt;&gt;"-","Pendente"),"Aguardando Liberação")</f>
        <v>Aguardando Liberação</v>
      </c>
      <c r="AH391" s="5" t="str">
        <f>IF('Banco de Dados'!$F391="-",_xlfn.CONCAT(PROPER(TEXT(AK391,"aaaa"))," ",PROPER(TEXT(AK391,"mm"))),_xlfn.CONCAT(PROPER(TEXT(E391,"aaaa"))," ",PROPER(TEXT(E391,"mm"))))</f>
        <v>2024 11</v>
      </c>
      <c r="AI391" s="9" t="str">
        <f ca="1">IF('Banco de Dados'!$AK391&lt;&gt;"-","REEMBOLSO",IFERROR(_xlfn.XLOOKUP(G391,Follow[CODRASTREIO],Follow[STATUS]),"-"))</f>
        <v>ENTREGUE</v>
      </c>
      <c r="AJ391" s="9">
        <f ca="1">IF('Banco de Dados'!$AI391="ENTREGUE",_xlfn.XLOOKUP('Banco de Dados'!$G391,Follow[CODRASTREIO],Follow[DATAATUALIZAÇÃO]),"-")</f>
        <v>45628</v>
      </c>
      <c r="AK391" s="9" t="str">
        <f ca="1"/>
        <v>-</v>
      </c>
      <c r="AL391" s="35"/>
      <c r="AM391" s="109" cm="1">
        <f t="array" aca="1" ref="AM391" ca="1">IF('Banco de Dados'!$AK391&lt;&gt;"-",_xlfn.IFS('Banco de Dados'!$A391="bv",IF('Banco de Dados'!$E391&lt;45641,ROUND(SUM('Banco de Dados'!$R391*_xlfn.XLOOKUP('Banco de Dados'!$P391,Sku!B:B,Sku!#REF!)*20%),2),ROUND(SUM('Banco de Dados'!$R391*_xlfn.XLOOKUP('Banco de Dados'!$P391,Sku!B:B,Sku!H:H)*20%),2)),'Banco de Dados'!$A391="GO",ROUND(_xlfn.XLOOKUP('Banco de Dados'!$P391,Sku!C:C,Sku!H:H),2),'Banco de Dados'!$A391="MEI",ROUND(_xlfn.XLOOKUP('Banco de Dados'!$P391,Sku!D:D,Sku!H:H),2)),0)</f>
        <v>0</v>
      </c>
      <c r="AN391" s="109">
        <f ca="1">IF('Banco de Dados'!$AK391&lt;&gt;"-",IF('Banco de Dados'!$F391&lt;&gt;"-",_xlfn.XLOOKUP(IFERROR(IFERROR(IFERROR(VALUE(SUBSTITUTE(MID(_xlfn.TEXTAFTER('Banco de Dados'!$F391,"Data do Pedido:
",1),1,10),"-","/")),VALUE(SUBSTITUTE(MID(_xlfn.TEXTAFTER('Banco de Dados'!$F391,"Order date:
",1),1,10),"-","/"))),VALUE(SUBSTITUTE(MID(_xlfn.TEXTAFTER('Banco de Dados'!$F391,"Fecha de pedido:
",1),1,10),"-","/"))),"-"),SMS!A:A,SMS!K:K),0),0)</f>
        <v>0</v>
      </c>
      <c r="AO391" s="109">
        <f ca="1">IF('Banco de Dados'!$AK391&lt;&gt;"-",IF('Banco de Dados'!$F391&lt;&gt;"-",IFERROR(_xlfn.XLOOKUP(_xlfn.CONCAT('Banco de Dados'!$A391,IFERROR(IFERROR(VALUE(SUBSTITUTE(MID(_xlfn.TEXTAFTER('Banco de Dados'!$F391,"Data do Pedido:
",1),1,10),"-","/")),VALUE(SUBSTITUTE(MID(_xlfn.TEXTAFTER('Banco de Dados'!$F391,"Order date:
",1),1,10),"-","/"))),0)),ProxyDD[Chave],ProxyDD[Valor por pedido]),PROXY!$P$2),0),0)</f>
        <v>0</v>
      </c>
      <c r="AP391" s="28">
        <f ca="1">IF('Banco de Dados'!$AK391&lt;&gt;"-",IF('Banco de Dados'!$AL391="NÃO",IFERROR(VALUE(SUBSTITUTE(_xlfn.TEXTAFTER('Banco de Dados'!$F391,"BRL ",1),".",",")),0),0),0)</f>
        <v>0</v>
      </c>
      <c r="AQ391" s="28">
        <f ca="1">SUM('Banco de Dados'!$AM391:$AP391)</f>
        <v>0</v>
      </c>
      <c r="AR391" s="8"/>
      <c r="AS391" s="8"/>
      <c r="AY391" s="8"/>
    </row>
    <row r="392" spans="1:51">
      <c r="A392" s="5" t="str">
        <v>BV</v>
      </c>
      <c r="B392" s="5" t="str">
        <f ca="1"/>
        <v>BV45614</v>
      </c>
      <c r="C392" s="8" t="str">
        <v>Pedido 387</v>
      </c>
      <c r="D392" s="9">
        <v>45614</v>
      </c>
      <c r="E392" s="9">
        <v>45614</v>
      </c>
      <c r="F392" s="8" t="str">
        <v>PedidoF377</v>
      </c>
      <c r="G392" s="2" t="str">
        <v>CódRastreio377</v>
      </c>
      <c r="H392" s="5">
        <v>1</v>
      </c>
      <c r="I392" s="182" t="str">
        <v>CPF 376</v>
      </c>
      <c r="J392" s="2" t="str">
        <v>Nome 376</v>
      </c>
      <c r="K392" s="8" t="str">
        <v>Tel 376</v>
      </c>
      <c r="L392" s="2" t="str">
        <v>Cep 376</v>
      </c>
      <c r="M392" s="2" t="str">
        <v>Rua 376</v>
      </c>
      <c r="N392" s="2" t="str">
        <v>Comp 376</v>
      </c>
      <c r="O392" s="2" t="str">
        <v>Ventilador Rosa</v>
      </c>
      <c r="P392" s="8" t="str">
        <v>IF-G2ZQ-79FO</v>
      </c>
      <c r="Q392" s="4">
        <v>45640</v>
      </c>
      <c r="R392" s="109">
        <v>59.2</v>
      </c>
      <c r="S392" s="11">
        <f ca="1"/>
        <v>59.2</v>
      </c>
      <c r="T392" s="28">
        <f ca="1"/>
        <v>7.6960000000000006</v>
      </c>
      <c r="U392" s="11">
        <f ca="1"/>
        <v>51.5</v>
      </c>
      <c r="V392" s="11">
        <v>10.199999999999999</v>
      </c>
      <c r="W392" s="11">
        <f ca="1"/>
        <v>0.17</v>
      </c>
      <c r="X392" s="11">
        <f ca="1"/>
        <v>0.39877104377104378</v>
      </c>
      <c r="Y392" s="11">
        <v>0</v>
      </c>
      <c r="Z392" s="11">
        <f ca="1"/>
        <v>40.731228956228961</v>
      </c>
      <c r="AA392" s="11">
        <f ca="1"/>
        <v>20.36561447811448</v>
      </c>
      <c r="AB392" s="4">
        <f ca="1"/>
        <v>45647</v>
      </c>
      <c r="AC392" s="4">
        <v>45647</v>
      </c>
      <c r="AD392" s="9">
        <v>45651</v>
      </c>
      <c r="AE392" s="9">
        <v>45659</v>
      </c>
      <c r="AF392" s="4" t="str">
        <f t="shared" ca="1" si="6"/>
        <v>2024 12</v>
      </c>
      <c r="AG392" s="8" t="str" cm="1">
        <f t="array" ref="AG392">IFERROR(_xlfn.IFS('Banco de Dados'!#REF!="AG. COMPRA","Em processamento",'Banco de Dados'!#REF!="AG. RASTREIO","Em processamento",'Banco de Dados'!$AE392&lt;&gt;"-","Faturado",'Banco de Dados'!$AD392&lt;&gt;"-","Aguardando Pix",'Banco de Dados'!$AC392&lt;&gt;"-","Pendente"),"Aguardando Liberação")</f>
        <v>Aguardando Liberação</v>
      </c>
      <c r="AH392" s="5" t="str">
        <f>IF('Banco de Dados'!$F392="-",_xlfn.CONCAT(PROPER(TEXT(AK392,"aaaa"))," ",PROPER(TEXT(AK392,"mm"))),_xlfn.CONCAT(PROPER(TEXT(E392,"aaaa"))," ",PROPER(TEXT(E392,"mm"))))</f>
        <v>2024 11</v>
      </c>
      <c r="AI392" s="9" t="str">
        <f ca="1">IF('Banco de Dados'!$AK392&lt;&gt;"-","REEMBOLSO",IFERROR(_xlfn.XLOOKUP(G392,Follow[CODRASTREIO],Follow[STATUS]),"-"))</f>
        <v>ENTREGUE</v>
      </c>
      <c r="AJ392" s="9">
        <f ca="1">IF('Banco de Dados'!$AI392="ENTREGUE",_xlfn.XLOOKUP('Banco de Dados'!$G392,Follow[CODRASTREIO],Follow[DATAATUALIZAÇÃO]),"-")</f>
        <v>45629</v>
      </c>
      <c r="AK392" s="9" t="str">
        <f ca="1"/>
        <v>-</v>
      </c>
      <c r="AL392" s="35"/>
      <c r="AM392" s="109" cm="1">
        <f t="array" aca="1" ref="AM392" ca="1">IF('Banco de Dados'!$AK392&lt;&gt;"-",_xlfn.IFS('Banco de Dados'!$A392="bv",IF('Banco de Dados'!$E392&lt;45641,ROUND(SUM('Banco de Dados'!$R392*_xlfn.XLOOKUP('Banco de Dados'!$P392,Sku!B:B,Sku!#REF!)*20%),2),ROUND(SUM('Banco de Dados'!$R392*_xlfn.XLOOKUP('Banco de Dados'!$P392,Sku!B:B,Sku!H:H)*20%),2)),'Banco de Dados'!$A392="GO",ROUND(_xlfn.XLOOKUP('Banco de Dados'!$P392,Sku!C:C,Sku!H:H),2),'Banco de Dados'!$A392="MEI",ROUND(_xlfn.XLOOKUP('Banco de Dados'!$P392,Sku!D:D,Sku!H:H),2)),0)</f>
        <v>0</v>
      </c>
      <c r="AN392" s="109">
        <f ca="1">IF('Banco de Dados'!$AK392&lt;&gt;"-",IF('Banco de Dados'!$F392&lt;&gt;"-",_xlfn.XLOOKUP(IFERROR(IFERROR(IFERROR(VALUE(SUBSTITUTE(MID(_xlfn.TEXTAFTER('Banco de Dados'!$F392,"Data do Pedido:
",1),1,10),"-","/")),VALUE(SUBSTITUTE(MID(_xlfn.TEXTAFTER('Banco de Dados'!$F392,"Order date:
",1),1,10),"-","/"))),VALUE(SUBSTITUTE(MID(_xlfn.TEXTAFTER('Banco de Dados'!$F392,"Fecha de pedido:
",1),1,10),"-","/"))),"-"),SMS!A:A,SMS!K:K),0),0)</f>
        <v>0</v>
      </c>
      <c r="AO392" s="109">
        <f ca="1">IF('Banco de Dados'!$AK392&lt;&gt;"-",IF('Banco de Dados'!$F392&lt;&gt;"-",IFERROR(_xlfn.XLOOKUP(_xlfn.CONCAT('Banco de Dados'!$A392,IFERROR(IFERROR(VALUE(SUBSTITUTE(MID(_xlfn.TEXTAFTER('Banco de Dados'!$F392,"Data do Pedido:
",1),1,10),"-","/")),VALUE(SUBSTITUTE(MID(_xlfn.TEXTAFTER('Banco de Dados'!$F392,"Order date:
",1),1,10),"-","/"))),0)),ProxyDD[Chave],ProxyDD[Valor por pedido]),PROXY!$P$2),0),0)</f>
        <v>0</v>
      </c>
      <c r="AP392" s="28">
        <f ca="1">IF('Banco de Dados'!$AK392&lt;&gt;"-",IF('Banco de Dados'!$AL392="NÃO",IFERROR(VALUE(SUBSTITUTE(_xlfn.TEXTAFTER('Banco de Dados'!$F392,"BRL ",1),".",",")),0),0),0)</f>
        <v>0</v>
      </c>
      <c r="AQ392" s="28">
        <f ca="1">SUM('Banco de Dados'!$AM392:$AP392)</f>
        <v>0</v>
      </c>
      <c r="AR392" s="8"/>
      <c r="AS392" s="8"/>
      <c r="AY392" s="8"/>
    </row>
    <row r="393" spans="1:51">
      <c r="A393" s="5" t="str">
        <v>BV</v>
      </c>
      <c r="B393" s="5" t="str">
        <f ca="1"/>
        <v>BV45614</v>
      </c>
      <c r="C393" s="8" t="str">
        <v>Pedido 388</v>
      </c>
      <c r="D393" s="9">
        <v>45614</v>
      </c>
      <c r="E393" s="9">
        <v>45614</v>
      </c>
      <c r="F393" s="8" t="str">
        <v>PedidoF378</v>
      </c>
      <c r="G393" s="2" t="str">
        <v>CódRastreio378</v>
      </c>
      <c r="H393" s="5">
        <v>1</v>
      </c>
      <c r="I393" s="182" t="str">
        <v>CPF 377</v>
      </c>
      <c r="J393" s="2" t="str">
        <v>Nome 377</v>
      </c>
      <c r="K393" s="8" t="str">
        <v>Tel 377</v>
      </c>
      <c r="L393" s="2" t="str">
        <v>Cep 377</v>
      </c>
      <c r="M393" s="2" t="str">
        <v>Rua 377</v>
      </c>
      <c r="N393" s="2" t="str">
        <v>Comp 377</v>
      </c>
      <c r="O393" s="2" t="str">
        <v>Mini Liquidificador</v>
      </c>
      <c r="P393" s="8" t="str">
        <v>CK-YL6M-P5Y6</v>
      </c>
      <c r="Q393" s="4">
        <v>45632</v>
      </c>
      <c r="R393" s="109">
        <v>31.5</v>
      </c>
      <c r="S393" s="11">
        <f ca="1"/>
        <v>31.5</v>
      </c>
      <c r="T393" s="28">
        <f ca="1"/>
        <v>4.0949999999999998</v>
      </c>
      <c r="U393" s="11">
        <f ca="1"/>
        <v>27.41</v>
      </c>
      <c r="V393" s="11">
        <v>11.99</v>
      </c>
      <c r="W393" s="11">
        <f ca="1"/>
        <v>0.17</v>
      </c>
      <c r="X393" s="11">
        <f ca="1"/>
        <v>0.39877104377104378</v>
      </c>
      <c r="Y393" s="11">
        <v>0</v>
      </c>
      <c r="Z393" s="11">
        <f ca="1"/>
        <v>14.851228956228956</v>
      </c>
      <c r="AA393" s="11">
        <f ca="1"/>
        <v>7.4256144781144782</v>
      </c>
      <c r="AB393" s="4">
        <f ca="1"/>
        <v>45639</v>
      </c>
      <c r="AC393" s="4">
        <v>45639</v>
      </c>
      <c r="AD393" s="9">
        <v>45640</v>
      </c>
      <c r="AE393" s="9">
        <v>45642</v>
      </c>
      <c r="AF393" s="4" t="str">
        <f t="shared" ca="1" si="6"/>
        <v>2024 12</v>
      </c>
      <c r="AG393" s="8" t="str" cm="1">
        <f t="array" ref="AG393">IFERROR(_xlfn.IFS('Banco de Dados'!#REF!="AG. COMPRA","Em processamento",'Banco de Dados'!#REF!="AG. RASTREIO","Em processamento",'Banco de Dados'!$AE393&lt;&gt;"-","Faturado",'Banco de Dados'!$AD393&lt;&gt;"-","Aguardando Pix",'Banco de Dados'!$AC393&lt;&gt;"-","Pendente"),"Aguardando Liberação")</f>
        <v>Aguardando Liberação</v>
      </c>
      <c r="AH393" s="5" t="str">
        <f>IF('Banco de Dados'!$F393="-",_xlfn.CONCAT(PROPER(TEXT(AK393,"aaaa"))," ",PROPER(TEXT(AK393,"mm"))),_xlfn.CONCAT(PROPER(TEXT(E393,"aaaa"))," ",PROPER(TEXT(E393,"mm"))))</f>
        <v>2024 11</v>
      </c>
      <c r="AI393" s="9" t="str">
        <f ca="1">IF('Banco de Dados'!$AK393&lt;&gt;"-","REEMBOLSO",IFERROR(_xlfn.XLOOKUP(G393,Follow[CODRASTREIO],Follow[STATUS]),"-"))</f>
        <v>ENTREGUE</v>
      </c>
      <c r="AJ393" s="9">
        <f ca="1">IF('Banco de Dados'!$AI393="ENTREGUE",_xlfn.XLOOKUP('Banco de Dados'!$G393,Follow[CODRASTREIO],Follow[DATAATUALIZAÇÃO]),"-")</f>
        <v>45621</v>
      </c>
      <c r="AK393" s="9" t="str">
        <f ca="1"/>
        <v>-</v>
      </c>
      <c r="AL393" s="35"/>
      <c r="AM393" s="109" cm="1">
        <f t="array" aca="1" ref="AM393" ca="1">IF('Banco de Dados'!$AK393&lt;&gt;"-",_xlfn.IFS('Banco de Dados'!$A393="bv",IF('Banco de Dados'!$E393&lt;45641,ROUND(SUM('Banco de Dados'!$R393*_xlfn.XLOOKUP('Banco de Dados'!$P393,Sku!B:B,Sku!#REF!)*20%),2),ROUND(SUM('Banco de Dados'!$R393*_xlfn.XLOOKUP('Banco de Dados'!$P393,Sku!B:B,Sku!H:H)*20%),2)),'Banco de Dados'!$A393="GO",ROUND(_xlfn.XLOOKUP('Banco de Dados'!$P393,Sku!C:C,Sku!H:H),2),'Banco de Dados'!$A393="MEI",ROUND(_xlfn.XLOOKUP('Banco de Dados'!$P393,Sku!D:D,Sku!H:H),2)),0)</f>
        <v>0</v>
      </c>
      <c r="AN393" s="109">
        <f ca="1">IF('Banco de Dados'!$AK393&lt;&gt;"-",IF('Banco de Dados'!$F393&lt;&gt;"-",_xlfn.XLOOKUP(IFERROR(IFERROR(IFERROR(VALUE(SUBSTITUTE(MID(_xlfn.TEXTAFTER('Banco de Dados'!$F393,"Data do Pedido:
",1),1,10),"-","/")),VALUE(SUBSTITUTE(MID(_xlfn.TEXTAFTER('Banco de Dados'!$F393,"Order date:
",1),1,10),"-","/"))),VALUE(SUBSTITUTE(MID(_xlfn.TEXTAFTER('Banco de Dados'!$F393,"Fecha de pedido:
",1),1,10),"-","/"))),"-"),SMS!A:A,SMS!K:K),0),0)</f>
        <v>0</v>
      </c>
      <c r="AO393" s="109">
        <f ca="1">IF('Banco de Dados'!$AK393&lt;&gt;"-",IF('Banco de Dados'!$F393&lt;&gt;"-",IFERROR(_xlfn.XLOOKUP(_xlfn.CONCAT('Banco de Dados'!$A393,IFERROR(IFERROR(VALUE(SUBSTITUTE(MID(_xlfn.TEXTAFTER('Banco de Dados'!$F393,"Data do Pedido:
",1),1,10),"-","/")),VALUE(SUBSTITUTE(MID(_xlfn.TEXTAFTER('Banco de Dados'!$F393,"Order date:
",1),1,10),"-","/"))),0)),ProxyDD[Chave],ProxyDD[Valor por pedido]),PROXY!$P$2),0),0)</f>
        <v>0</v>
      </c>
      <c r="AP393" s="28">
        <f ca="1">IF('Banco de Dados'!$AK393&lt;&gt;"-",IF('Banco de Dados'!$AL393="NÃO",IFERROR(VALUE(SUBSTITUTE(_xlfn.TEXTAFTER('Banco de Dados'!$F393,"BRL ",1),".",",")),0),0),0)</f>
        <v>0</v>
      </c>
      <c r="AQ393" s="28">
        <f ca="1">SUM('Banco de Dados'!$AM393:$AP393)</f>
        <v>0</v>
      </c>
      <c r="AR393" s="8"/>
      <c r="AS393" s="8"/>
      <c r="AY393" s="8"/>
    </row>
    <row r="394" spans="1:51">
      <c r="A394" s="5" t="str">
        <v>BV</v>
      </c>
      <c r="B394" s="5" t="str">
        <f ca="1"/>
        <v>BV45614</v>
      </c>
      <c r="C394" s="8" t="str">
        <v>Pedido 389</v>
      </c>
      <c r="D394" s="9">
        <v>45614</v>
      </c>
      <c r="E394" s="9">
        <v>45614</v>
      </c>
      <c r="F394" s="8" t="str">
        <v>PedidoF379</v>
      </c>
      <c r="G394" s="2" t="str">
        <v>CódRastreio379</v>
      </c>
      <c r="H394" s="5">
        <v>1</v>
      </c>
      <c r="I394" s="181" t="str">
        <v>CPF 314</v>
      </c>
      <c r="J394" s="2" t="str">
        <v>Nome 314</v>
      </c>
      <c r="K394" s="8" t="str">
        <v>Tel 314</v>
      </c>
      <c r="L394" s="2" t="str">
        <v>Cep 314</v>
      </c>
      <c r="M394" s="2" t="str">
        <v>Rua 314</v>
      </c>
      <c r="N394" s="2" t="str">
        <v>Comp 314</v>
      </c>
      <c r="O394" s="2" t="str">
        <v>Mini Liquidificador</v>
      </c>
      <c r="P394" s="8" t="str">
        <v>CK-YL6M-P5Y6</v>
      </c>
      <c r="Q394" s="4">
        <v>45636</v>
      </c>
      <c r="R394" s="109">
        <v>31.5</v>
      </c>
      <c r="S394" s="11">
        <f ca="1"/>
        <v>31.5</v>
      </c>
      <c r="T394" s="28">
        <f ca="1"/>
        <v>4.0949999999999998</v>
      </c>
      <c r="U394" s="11">
        <f ca="1"/>
        <v>27.41</v>
      </c>
      <c r="V394" s="11">
        <v>11.99</v>
      </c>
      <c r="W394" s="11">
        <f ca="1"/>
        <v>0.17</v>
      </c>
      <c r="X394" s="11">
        <f ca="1"/>
        <v>0.39877104377104378</v>
      </c>
      <c r="Y394" s="11">
        <v>0</v>
      </c>
      <c r="Z394" s="11">
        <f ca="1"/>
        <v>14.851228956228956</v>
      </c>
      <c r="AA394" s="11">
        <f ca="1"/>
        <v>7.4256144781144782</v>
      </c>
      <c r="AB394" s="4">
        <f ca="1"/>
        <v>45643</v>
      </c>
      <c r="AC394" s="4">
        <v>45643</v>
      </c>
      <c r="AD394" s="9">
        <v>45651</v>
      </c>
      <c r="AE394" s="9">
        <v>45659</v>
      </c>
      <c r="AF394" s="4" t="str">
        <f t="shared" ca="1" si="6"/>
        <v>2024 12</v>
      </c>
      <c r="AG394" s="8" t="str" cm="1">
        <f t="array" ref="AG394">IFERROR(_xlfn.IFS('Banco de Dados'!#REF!="AG. COMPRA","Em processamento",'Banco de Dados'!#REF!="AG. RASTREIO","Em processamento",'Banco de Dados'!$AE394&lt;&gt;"-","Faturado",'Banco de Dados'!$AD394&lt;&gt;"-","Aguardando Pix",'Banco de Dados'!$AC394&lt;&gt;"-","Pendente"),"Aguardando Liberação")</f>
        <v>Aguardando Liberação</v>
      </c>
      <c r="AH394" s="5" t="str">
        <f>IF('Banco de Dados'!$F394="-",_xlfn.CONCAT(PROPER(TEXT(AK394,"aaaa"))," ",PROPER(TEXT(AK394,"mm"))),_xlfn.CONCAT(PROPER(TEXT(E394,"aaaa"))," ",PROPER(TEXT(E394,"mm"))))</f>
        <v>2024 11</v>
      </c>
      <c r="AI394" s="9" t="str">
        <f ca="1">IF('Banco de Dados'!$AK394&lt;&gt;"-","REEMBOLSO",IFERROR(_xlfn.XLOOKUP(G394,Follow[CODRASTREIO],Follow[STATUS]),"-"))</f>
        <v>ENTREGUE</v>
      </c>
      <c r="AJ394" s="9">
        <f ca="1">IF('Banco de Dados'!$AI394="ENTREGUE",_xlfn.XLOOKUP('Banco de Dados'!$G394,Follow[CODRASTREIO],Follow[DATAATUALIZAÇÃO]),"-")</f>
        <v>45624</v>
      </c>
      <c r="AK394" s="9" t="str">
        <f ca="1"/>
        <v>-</v>
      </c>
      <c r="AL394" s="35"/>
      <c r="AM394" s="109" cm="1">
        <f t="array" aca="1" ref="AM394" ca="1">IF('Banco de Dados'!$AK394&lt;&gt;"-",_xlfn.IFS('Banco de Dados'!$A394="bv",IF('Banco de Dados'!$E394&lt;45641,ROUND(SUM('Banco de Dados'!$R394*_xlfn.XLOOKUP('Banco de Dados'!$P394,Sku!B:B,Sku!#REF!)*20%),2),ROUND(SUM('Banco de Dados'!$R394*_xlfn.XLOOKUP('Banco de Dados'!$P394,Sku!B:B,Sku!H:H)*20%),2)),'Banco de Dados'!$A394="GO",ROUND(_xlfn.XLOOKUP('Banco de Dados'!$P394,Sku!C:C,Sku!H:H),2),'Banco de Dados'!$A394="MEI",ROUND(_xlfn.XLOOKUP('Banco de Dados'!$P394,Sku!D:D,Sku!H:H),2)),0)</f>
        <v>0</v>
      </c>
      <c r="AN394" s="109">
        <f ca="1">IF('Banco de Dados'!$AK394&lt;&gt;"-",IF('Banco de Dados'!$F394&lt;&gt;"-",_xlfn.XLOOKUP(IFERROR(IFERROR(IFERROR(VALUE(SUBSTITUTE(MID(_xlfn.TEXTAFTER('Banco de Dados'!$F394,"Data do Pedido:
",1),1,10),"-","/")),VALUE(SUBSTITUTE(MID(_xlfn.TEXTAFTER('Banco de Dados'!$F394,"Order date:
",1),1,10),"-","/"))),VALUE(SUBSTITUTE(MID(_xlfn.TEXTAFTER('Banco de Dados'!$F394,"Fecha de pedido:
",1),1,10),"-","/"))),"-"),SMS!A:A,SMS!K:K),0),0)</f>
        <v>0</v>
      </c>
      <c r="AO394" s="109">
        <f ca="1">IF('Banco de Dados'!$AK394&lt;&gt;"-",IF('Banco de Dados'!$F394&lt;&gt;"-",IFERROR(_xlfn.XLOOKUP(_xlfn.CONCAT('Banco de Dados'!$A394,IFERROR(IFERROR(VALUE(SUBSTITUTE(MID(_xlfn.TEXTAFTER('Banco de Dados'!$F394,"Data do Pedido:
",1),1,10),"-","/")),VALUE(SUBSTITUTE(MID(_xlfn.TEXTAFTER('Banco de Dados'!$F394,"Order date:
",1),1,10),"-","/"))),0)),ProxyDD[Chave],ProxyDD[Valor por pedido]),PROXY!$P$2),0),0)</f>
        <v>0</v>
      </c>
      <c r="AP394" s="28">
        <f ca="1">IF('Banco de Dados'!$AK394&lt;&gt;"-",IF('Banco de Dados'!$AL394="NÃO",IFERROR(VALUE(SUBSTITUTE(_xlfn.TEXTAFTER('Banco de Dados'!$F394,"BRL ",1),".",",")),0),0),0)</f>
        <v>0</v>
      </c>
      <c r="AQ394" s="28">
        <f ca="1">SUM('Banco de Dados'!$AM394:$AP394)</f>
        <v>0</v>
      </c>
      <c r="AR394" s="8"/>
      <c r="AS394" s="8"/>
      <c r="AY394" s="8"/>
    </row>
    <row r="395" spans="1:51">
      <c r="A395" s="5" t="str">
        <v>BV</v>
      </c>
      <c r="B395" s="5" t="str">
        <f ca="1"/>
        <v>BV45615</v>
      </c>
      <c r="C395" s="8" t="str">
        <v>Pedido 390</v>
      </c>
      <c r="D395" s="9">
        <v>45615</v>
      </c>
      <c r="E395" s="9">
        <v>45615</v>
      </c>
      <c r="F395" s="8" t="str">
        <v>PedidoF380</v>
      </c>
      <c r="G395" s="2" t="str">
        <v>CódRastreio380</v>
      </c>
      <c r="H395" s="5">
        <v>1</v>
      </c>
      <c r="I395" s="181" t="str">
        <v>CPF 378</v>
      </c>
      <c r="J395" s="2" t="str">
        <v>Nome 378</v>
      </c>
      <c r="K395" s="8" t="str">
        <v>Tel 378</v>
      </c>
      <c r="L395" s="2" t="str">
        <v>Cep 378</v>
      </c>
      <c r="M395" s="2" t="str">
        <v>Rua 378</v>
      </c>
      <c r="N395" s="2" t="str">
        <v>Comp 378</v>
      </c>
      <c r="O395" s="2" t="str">
        <v>Ventilador de teto</v>
      </c>
      <c r="P395" s="8" t="str">
        <v>BP-NHG2-B8C1</v>
      </c>
      <c r="Q395" s="4">
        <v>45636</v>
      </c>
      <c r="R395" s="109">
        <v>48.99</v>
      </c>
      <c r="S395" s="11">
        <f ca="1"/>
        <v>48.99</v>
      </c>
      <c r="T395" s="28">
        <f ca="1"/>
        <v>6.3687000000000005</v>
      </c>
      <c r="U395" s="11">
        <f ca="1"/>
        <v>42.62</v>
      </c>
      <c r="V395" s="11">
        <v>10.199999999999999</v>
      </c>
      <c r="W395" s="11">
        <f ca="1"/>
        <v>0.21</v>
      </c>
      <c r="X395" s="11">
        <f ca="1"/>
        <v>0.39877104377104378</v>
      </c>
      <c r="Y395" s="11">
        <v>0</v>
      </c>
      <c r="Z395" s="11">
        <f ca="1"/>
        <v>31.811228956228952</v>
      </c>
      <c r="AA395" s="11">
        <f ca="1"/>
        <v>15.905614478114476</v>
      </c>
      <c r="AB395" s="4">
        <f ca="1"/>
        <v>45643</v>
      </c>
      <c r="AC395" s="4">
        <v>45643</v>
      </c>
      <c r="AD395" s="9">
        <v>45651</v>
      </c>
      <c r="AE395" s="9">
        <v>45659</v>
      </c>
      <c r="AF395" s="4" t="str">
        <f t="shared" ca="1" si="6"/>
        <v>2024 12</v>
      </c>
      <c r="AG395" s="8" t="str" cm="1">
        <f t="array" ref="AG395">IFERROR(_xlfn.IFS('Banco de Dados'!#REF!="AG. COMPRA","Em processamento",'Banco de Dados'!#REF!="AG. RASTREIO","Em processamento",'Banco de Dados'!$AE395&lt;&gt;"-","Faturado",'Banco de Dados'!$AD395&lt;&gt;"-","Aguardando Pix",'Banco de Dados'!$AC395&lt;&gt;"-","Pendente"),"Aguardando Liberação")</f>
        <v>Aguardando Liberação</v>
      </c>
      <c r="AH395" s="5" t="str">
        <f>IF('Banco de Dados'!$F395="-",_xlfn.CONCAT(PROPER(TEXT(AK395,"aaaa"))," ",PROPER(TEXT(AK395,"mm"))),_xlfn.CONCAT(PROPER(TEXT(E395,"aaaa"))," ",PROPER(TEXT(E395,"mm"))))</f>
        <v>2024 11</v>
      </c>
      <c r="AI395" s="9" t="str">
        <f ca="1">IF('Banco de Dados'!$AK395&lt;&gt;"-","REEMBOLSO",IFERROR(_xlfn.XLOOKUP(G395,Follow[CODRASTREIO],Follow[STATUS]),"-"))</f>
        <v>ENTREGUE</v>
      </c>
      <c r="AJ395" s="9">
        <f ca="1">IF('Banco de Dados'!$AI395="ENTREGUE",_xlfn.XLOOKUP('Banco de Dados'!$G395,Follow[CODRASTREIO],Follow[DATAATUALIZAÇÃO]),"-")</f>
        <v>45629</v>
      </c>
      <c r="AK395" s="9" t="str">
        <f ca="1"/>
        <v>-</v>
      </c>
      <c r="AL395" s="35"/>
      <c r="AM395" s="109" cm="1">
        <f t="array" aca="1" ref="AM395" ca="1">IF('Banco de Dados'!$AK395&lt;&gt;"-",_xlfn.IFS('Banco de Dados'!$A395="bv",IF('Banco de Dados'!$E395&lt;45641,ROUND(SUM('Banco de Dados'!$R395*_xlfn.XLOOKUP('Banco de Dados'!$P395,Sku!B:B,Sku!#REF!)*20%),2),ROUND(SUM('Banco de Dados'!$R395*_xlfn.XLOOKUP('Banco de Dados'!$P395,Sku!B:B,Sku!H:H)*20%),2)),'Banco de Dados'!$A395="GO",ROUND(_xlfn.XLOOKUP('Banco de Dados'!$P395,Sku!C:C,Sku!H:H),2),'Banco de Dados'!$A395="MEI",ROUND(_xlfn.XLOOKUP('Banco de Dados'!$P395,Sku!D:D,Sku!H:H),2)),0)</f>
        <v>0</v>
      </c>
      <c r="AN395" s="109">
        <f ca="1">IF('Banco de Dados'!$AK395&lt;&gt;"-",IF('Banco de Dados'!$F395&lt;&gt;"-",_xlfn.XLOOKUP(IFERROR(IFERROR(IFERROR(VALUE(SUBSTITUTE(MID(_xlfn.TEXTAFTER('Banco de Dados'!$F395,"Data do Pedido:
",1),1,10),"-","/")),VALUE(SUBSTITUTE(MID(_xlfn.TEXTAFTER('Banco de Dados'!$F395,"Order date:
",1),1,10),"-","/"))),VALUE(SUBSTITUTE(MID(_xlfn.TEXTAFTER('Banco de Dados'!$F395,"Fecha de pedido:
",1),1,10),"-","/"))),"-"),SMS!A:A,SMS!K:K),0),0)</f>
        <v>0</v>
      </c>
      <c r="AO395" s="109">
        <f ca="1">IF('Banco de Dados'!$AK395&lt;&gt;"-",IF('Banco de Dados'!$F395&lt;&gt;"-",IFERROR(_xlfn.XLOOKUP(_xlfn.CONCAT('Banco de Dados'!$A395,IFERROR(IFERROR(VALUE(SUBSTITUTE(MID(_xlfn.TEXTAFTER('Banco de Dados'!$F395,"Data do Pedido:
",1),1,10),"-","/")),VALUE(SUBSTITUTE(MID(_xlfn.TEXTAFTER('Banco de Dados'!$F395,"Order date:
",1),1,10),"-","/"))),0)),ProxyDD[Chave],ProxyDD[Valor por pedido]),PROXY!$P$2),0),0)</f>
        <v>0</v>
      </c>
      <c r="AP395" s="28">
        <f ca="1">IF('Banco de Dados'!$AK395&lt;&gt;"-",IF('Banco de Dados'!$AL395="NÃO",IFERROR(VALUE(SUBSTITUTE(_xlfn.TEXTAFTER('Banco de Dados'!$F395,"BRL ",1),".",",")),0),0),0)</f>
        <v>0</v>
      </c>
      <c r="AQ395" s="28">
        <f ca="1">SUM('Banco de Dados'!$AM395:$AP395)</f>
        <v>0</v>
      </c>
      <c r="AR395" s="8"/>
      <c r="AS395" s="8"/>
      <c r="AY395" s="8"/>
    </row>
    <row r="396" spans="1:51">
      <c r="A396" s="5" t="str">
        <v>BV</v>
      </c>
      <c r="B396" s="5" t="str">
        <f ca="1"/>
        <v>BV45615</v>
      </c>
      <c r="C396" s="8" t="str">
        <v>Pedido 391</v>
      </c>
      <c r="D396" s="9">
        <v>45615</v>
      </c>
      <c r="E396" s="9">
        <v>45615</v>
      </c>
      <c r="F396" s="8" t="str">
        <v>PedidoF381</v>
      </c>
      <c r="G396" s="2" t="str">
        <v>CódRastreio381</v>
      </c>
      <c r="H396" s="5">
        <v>1</v>
      </c>
      <c r="I396" s="182" t="str">
        <v>CPF 379</v>
      </c>
      <c r="J396" s="2" t="str">
        <v>Nome 379</v>
      </c>
      <c r="K396" s="8" t="str">
        <v>Tel 379</v>
      </c>
      <c r="L396" s="2" t="str">
        <v>Cep 379</v>
      </c>
      <c r="M396" s="2" t="str">
        <v>Rua 379</v>
      </c>
      <c r="N396" s="2" t="str">
        <v>Comp 379</v>
      </c>
      <c r="O396" s="2" t="str">
        <v>Ventilador Preto</v>
      </c>
      <c r="P396" s="8" t="str">
        <v>MU-J80P-95WF</v>
      </c>
      <c r="Q396" s="4">
        <v>45636</v>
      </c>
      <c r="R396" s="109">
        <v>59.2</v>
      </c>
      <c r="S396" s="11">
        <f ca="1"/>
        <v>0</v>
      </c>
      <c r="T396" s="28">
        <f ca="1"/>
        <v>0</v>
      </c>
      <c r="U396" s="11">
        <f ca="1"/>
        <v>0</v>
      </c>
      <c r="V396" s="11">
        <v>0</v>
      </c>
      <c r="W396" s="11">
        <f ca="1"/>
        <v>0</v>
      </c>
      <c r="X396" s="11">
        <f ca="1"/>
        <v>0.39877104377104378</v>
      </c>
      <c r="Y396" s="11">
        <v>0</v>
      </c>
      <c r="Z396" s="11">
        <f ca="1"/>
        <v>-0.39877104377104378</v>
      </c>
      <c r="AA396" s="11">
        <f ca="1"/>
        <v>-0.19938552188552189</v>
      </c>
      <c r="AB396" s="4">
        <f ca="1"/>
        <v>45643</v>
      </c>
      <c r="AC396" s="4">
        <v>45660</v>
      </c>
      <c r="AD396" s="9">
        <v>45651</v>
      </c>
      <c r="AE396" s="9">
        <v>45659</v>
      </c>
      <c r="AF396" s="4" t="str">
        <f t="shared" ca="1" si="6"/>
        <v>2024 12</v>
      </c>
      <c r="AG396" s="8" t="str" cm="1">
        <f t="array" ref="AG396">IFERROR(_xlfn.IFS('Banco de Dados'!#REF!="AG. COMPRA","Em processamento",'Banco de Dados'!#REF!="AG. RASTREIO","Em processamento",'Banco de Dados'!$AE396&lt;&gt;"-","Faturado",'Banco de Dados'!$AD396&lt;&gt;"-","Aguardando Pix",'Banco de Dados'!$AC396&lt;&gt;"-","Pendente"),"Aguardando Liberação")</f>
        <v>Aguardando Liberação</v>
      </c>
      <c r="AH396" s="5" t="str">
        <f>IF('Banco de Dados'!$F396="-",_xlfn.CONCAT(PROPER(TEXT(AK396,"aaaa"))," ",PROPER(TEXT(AK396,"mm"))),_xlfn.CONCAT(PROPER(TEXT(E396,"aaaa"))," ",PROPER(TEXT(E396,"mm"))))</f>
        <v>2024 11</v>
      </c>
      <c r="AI396" s="9" t="str">
        <f ca="1">IF('Banco de Dados'!$AK396&lt;&gt;"-","REEMBOLSO",IFERROR(_xlfn.XLOOKUP(G396,Follow[CODRASTREIO],Follow[STATUS]),"-"))</f>
        <v>REEMBOLSO</v>
      </c>
      <c r="AJ396" s="9" t="str">
        <f ca="1">IF('Banco de Dados'!$AI396="ENTREGUE",_xlfn.XLOOKUP('Banco de Dados'!$G396,Follow[CODRASTREIO],Follow[DATAATUALIZAÇÃO]),"-")</f>
        <v>-</v>
      </c>
      <c r="AK396" s="9">
        <f ca="1"/>
        <v>45660</v>
      </c>
      <c r="AL396" s="35"/>
      <c r="AM396" s="109" t="e" cm="1">
        <f t="array" aca="1" ref="AM396" ca="1">IF('Banco de Dados'!$AK396&lt;&gt;"-",_xlfn.IFS('Banco de Dados'!$A396="bv",IF('Banco de Dados'!$E396&lt;45641,ROUND(SUM('Banco de Dados'!$R396*_xlfn.XLOOKUP('Banco de Dados'!$P396,Sku!B:B,Sku!#REF!)*20%),2),ROUND(SUM('Banco de Dados'!$R396*_xlfn.XLOOKUP('Banco de Dados'!$P396,Sku!B:B,Sku!H:H)*20%),2)),'Banco de Dados'!$A396="GO",ROUND(_xlfn.XLOOKUP('Banco de Dados'!$P396,Sku!C:C,Sku!H:H),2),'Banco de Dados'!$A396="MEI",ROUND(_xlfn.XLOOKUP('Banco de Dados'!$P396,Sku!D:D,Sku!H:H),2)),0)</f>
        <v>#REF!</v>
      </c>
      <c r="AN396" s="109" t="e">
        <f ca="1">IF('Banco de Dados'!$AK396&lt;&gt;"-",IF('Banco de Dados'!$F396&lt;&gt;"-",_xlfn.XLOOKUP(IFERROR(IFERROR(IFERROR(VALUE(SUBSTITUTE(MID(_xlfn.TEXTAFTER('Banco de Dados'!$F396,"Data do Pedido:
",1),1,10),"-","/")),VALUE(SUBSTITUTE(MID(_xlfn.TEXTAFTER('Banco de Dados'!$F396,"Order date:
",1),1,10),"-","/"))),VALUE(SUBSTITUTE(MID(_xlfn.TEXTAFTER('Banco de Dados'!$F396,"Fecha de pedido:
",1),1,10),"-","/"))),"-"),SMS!A:A,SMS!K:K),0),0)</f>
        <v>#N/A</v>
      </c>
      <c r="AO396" s="109">
        <f ca="1">IF('Banco de Dados'!$AK396&lt;&gt;"-",IF('Banco de Dados'!$F396&lt;&gt;"-",IFERROR(_xlfn.XLOOKUP(_xlfn.CONCAT('Banco de Dados'!$A396,IFERROR(IFERROR(VALUE(SUBSTITUTE(MID(_xlfn.TEXTAFTER('Banco de Dados'!$F396,"Data do Pedido:
",1),1,10),"-","/")),VALUE(SUBSTITUTE(MID(_xlfn.TEXTAFTER('Banco de Dados'!$F396,"Order date:
",1),1,10),"-","/"))),0)),ProxyDD[Chave],ProxyDD[Valor por pedido]),PROXY!$P$2),0),0)</f>
        <v>0.39877104377104378</v>
      </c>
      <c r="AP396" s="28">
        <f ca="1">IF('Banco de Dados'!$AK396&lt;&gt;"-",IF('Banco de Dados'!$AL396="NÃO",IFERROR(VALUE(SUBSTITUTE(_xlfn.TEXTAFTER('Banco de Dados'!$F396,"BRL ",1),".",",")),0),0),0)</f>
        <v>0</v>
      </c>
      <c r="AQ396" s="28" t="e">
        <f ca="1">SUM('Banco de Dados'!$AM396:$AP396)</f>
        <v>#REF!</v>
      </c>
      <c r="AR396" s="8"/>
      <c r="AS396" s="8"/>
      <c r="AY396" s="8"/>
    </row>
    <row r="397" spans="1:51">
      <c r="A397" s="5" t="str">
        <v>BV</v>
      </c>
      <c r="B397" s="5" t="str">
        <f ca="1"/>
        <v>BV45615</v>
      </c>
      <c r="C397" s="8" t="str">
        <v>Pedido 392</v>
      </c>
      <c r="D397" s="9">
        <v>45615</v>
      </c>
      <c r="E397" s="9">
        <v>45615</v>
      </c>
      <c r="F397" s="8" t="str">
        <v>PedidoF382</v>
      </c>
      <c r="G397" s="2" t="str">
        <v>CódRastreio382</v>
      </c>
      <c r="H397" s="5">
        <v>1</v>
      </c>
      <c r="I397" s="182" t="str">
        <v>CPF 380</v>
      </c>
      <c r="J397" s="2" t="str">
        <v>Nome 380</v>
      </c>
      <c r="K397" s="8" t="str">
        <v>Tel 380</v>
      </c>
      <c r="L397" s="2" t="str">
        <v>Cep 380</v>
      </c>
      <c r="M397" s="2" t="str">
        <v>Rua 380</v>
      </c>
      <c r="N397" s="2" t="str">
        <v>Comp 380</v>
      </c>
      <c r="O397" s="2" t="str">
        <v>Ventilador de teto</v>
      </c>
      <c r="P397" s="8" t="str">
        <v>BP-NHG2-B8C1</v>
      </c>
      <c r="Q397" s="4">
        <v>45636</v>
      </c>
      <c r="R397" s="109">
        <v>48.99</v>
      </c>
      <c r="S397" s="11">
        <f ca="1"/>
        <v>48.99</v>
      </c>
      <c r="T397" s="28">
        <f ca="1"/>
        <v>6.3687000000000005</v>
      </c>
      <c r="U397" s="11">
        <f ca="1"/>
        <v>42.62</v>
      </c>
      <c r="V397" s="11">
        <v>10.199999999999999</v>
      </c>
      <c r="W397" s="11">
        <f ca="1"/>
        <v>0.21</v>
      </c>
      <c r="X397" s="11">
        <f ca="1"/>
        <v>0.39877104377104378</v>
      </c>
      <c r="Y397" s="11">
        <v>0</v>
      </c>
      <c r="Z397" s="11">
        <f ca="1"/>
        <v>31.811228956228952</v>
      </c>
      <c r="AA397" s="11">
        <f ca="1"/>
        <v>15.905614478114476</v>
      </c>
      <c r="AB397" s="4">
        <f ca="1"/>
        <v>45643</v>
      </c>
      <c r="AC397" s="4">
        <v>45643</v>
      </c>
      <c r="AD397" s="9">
        <v>45651</v>
      </c>
      <c r="AE397" s="9">
        <v>45659</v>
      </c>
      <c r="AF397" s="4" t="str">
        <f t="shared" ca="1" si="6"/>
        <v>2024 12</v>
      </c>
      <c r="AG397" s="8" t="str" cm="1">
        <f t="array" ref="AG397">IFERROR(_xlfn.IFS('Banco de Dados'!#REF!="AG. COMPRA","Em processamento",'Banco de Dados'!#REF!="AG. RASTREIO","Em processamento",'Banco de Dados'!$AE397&lt;&gt;"-","Faturado",'Banco de Dados'!$AD397&lt;&gt;"-","Aguardando Pix",'Banco de Dados'!$AC397&lt;&gt;"-","Pendente"),"Aguardando Liberação")</f>
        <v>Aguardando Liberação</v>
      </c>
      <c r="AH397" s="5" t="str">
        <f>IF('Banco de Dados'!$F397="-",_xlfn.CONCAT(PROPER(TEXT(AK397,"aaaa"))," ",PROPER(TEXT(AK397,"mm"))),_xlfn.CONCAT(PROPER(TEXT(E397,"aaaa"))," ",PROPER(TEXT(E397,"mm"))))</f>
        <v>2024 11</v>
      </c>
      <c r="AI397" s="9" t="str">
        <f ca="1">IF('Banco de Dados'!$AK397&lt;&gt;"-","REEMBOLSO",IFERROR(_xlfn.XLOOKUP(G397,Follow[CODRASTREIO],Follow[STATUS]),"-"))</f>
        <v>ENTREGUE</v>
      </c>
      <c r="AJ397" s="9">
        <f ca="1">IF('Banco de Dados'!$AI397="ENTREGUE",_xlfn.XLOOKUP('Banco de Dados'!$G397,Follow[CODRASTREIO],Follow[DATAATUALIZAÇÃO]),"-")</f>
        <v>45622</v>
      </c>
      <c r="AK397" s="9" t="str">
        <f ca="1"/>
        <v>-</v>
      </c>
      <c r="AL397" s="35"/>
      <c r="AM397" s="109" cm="1">
        <f t="array" aca="1" ref="AM397" ca="1">IF('Banco de Dados'!$AK397&lt;&gt;"-",_xlfn.IFS('Banco de Dados'!$A397="bv",IF('Banco de Dados'!$E397&lt;45641,ROUND(SUM('Banco de Dados'!$R397*_xlfn.XLOOKUP('Banco de Dados'!$P397,Sku!B:B,Sku!#REF!)*20%),2),ROUND(SUM('Banco de Dados'!$R397*_xlfn.XLOOKUP('Banco de Dados'!$P397,Sku!B:B,Sku!H:H)*20%),2)),'Banco de Dados'!$A397="GO",ROUND(_xlfn.XLOOKUP('Banco de Dados'!$P397,Sku!C:C,Sku!H:H),2),'Banco de Dados'!$A397="MEI",ROUND(_xlfn.XLOOKUP('Banco de Dados'!$P397,Sku!D:D,Sku!H:H),2)),0)</f>
        <v>0</v>
      </c>
      <c r="AN397" s="109">
        <f ca="1">IF('Banco de Dados'!$AK397&lt;&gt;"-",IF('Banco de Dados'!$F397&lt;&gt;"-",_xlfn.XLOOKUP(IFERROR(IFERROR(IFERROR(VALUE(SUBSTITUTE(MID(_xlfn.TEXTAFTER('Banco de Dados'!$F397,"Data do Pedido:
",1),1,10),"-","/")),VALUE(SUBSTITUTE(MID(_xlfn.TEXTAFTER('Banco de Dados'!$F397,"Order date:
",1),1,10),"-","/"))),VALUE(SUBSTITUTE(MID(_xlfn.TEXTAFTER('Banco de Dados'!$F397,"Fecha de pedido:
",1),1,10),"-","/"))),"-"),SMS!A:A,SMS!K:K),0),0)</f>
        <v>0</v>
      </c>
      <c r="AO397" s="109">
        <f ca="1">IF('Banco de Dados'!$AK397&lt;&gt;"-",IF('Banco de Dados'!$F397&lt;&gt;"-",IFERROR(_xlfn.XLOOKUP(_xlfn.CONCAT('Banco de Dados'!$A397,IFERROR(IFERROR(VALUE(SUBSTITUTE(MID(_xlfn.TEXTAFTER('Banco de Dados'!$F397,"Data do Pedido:
",1),1,10),"-","/")),VALUE(SUBSTITUTE(MID(_xlfn.TEXTAFTER('Banco de Dados'!$F397,"Order date:
",1),1,10),"-","/"))),0)),ProxyDD[Chave],ProxyDD[Valor por pedido]),PROXY!$P$2),0),0)</f>
        <v>0</v>
      </c>
      <c r="AP397" s="28">
        <f ca="1">IF('Banco de Dados'!$AK397&lt;&gt;"-",IF('Banco de Dados'!$AL397="NÃO",IFERROR(VALUE(SUBSTITUTE(_xlfn.TEXTAFTER('Banco de Dados'!$F397,"BRL ",1),".",",")),0),0),0)</f>
        <v>0</v>
      </c>
      <c r="AQ397" s="28">
        <f ca="1">SUM('Banco de Dados'!$AM397:$AP397)</f>
        <v>0</v>
      </c>
      <c r="AR397" s="8"/>
      <c r="AS397" s="8"/>
      <c r="AY397" s="8"/>
    </row>
    <row r="398" spans="1:51">
      <c r="A398" s="5" t="str">
        <v>BV</v>
      </c>
      <c r="B398" s="5" t="str">
        <f ca="1"/>
        <v>BV45615</v>
      </c>
      <c r="C398" s="8" t="str">
        <v>Pedido 393</v>
      </c>
      <c r="D398" s="9">
        <v>45615</v>
      </c>
      <c r="E398" s="9">
        <v>45615</v>
      </c>
      <c r="F398" s="8" t="str">
        <v>PedidoF383</v>
      </c>
      <c r="G398" s="2" t="str">
        <v>CódRastreio383</v>
      </c>
      <c r="H398" s="5">
        <v>1</v>
      </c>
      <c r="I398" s="182" t="str">
        <v>CPF 378</v>
      </c>
      <c r="J398" s="2" t="str">
        <v>Nome 378</v>
      </c>
      <c r="K398" s="8" t="str">
        <v>Tel 378</v>
      </c>
      <c r="L398" s="2" t="str">
        <v>Cep 378</v>
      </c>
      <c r="M398" s="2" t="str">
        <v>Rua 378</v>
      </c>
      <c r="N398" s="2" t="str">
        <v>Comp 378</v>
      </c>
      <c r="O398" s="2" t="str">
        <v>Ventilador de teto</v>
      </c>
      <c r="P398" s="8" t="str">
        <v>BP-NHG2-B8C1</v>
      </c>
      <c r="Q398" s="4">
        <v>45636</v>
      </c>
      <c r="R398" s="109">
        <v>48.99</v>
      </c>
      <c r="S398" s="11">
        <f ca="1"/>
        <v>48.99</v>
      </c>
      <c r="T398" s="28">
        <f ca="1"/>
        <v>6.3687000000000005</v>
      </c>
      <c r="U398" s="11">
        <f ca="1"/>
        <v>42.62</v>
      </c>
      <c r="V398" s="11">
        <v>10.199999999999999</v>
      </c>
      <c r="W398" s="11">
        <f ca="1"/>
        <v>0.21</v>
      </c>
      <c r="X398" s="11">
        <f ca="1"/>
        <v>0.39877104377104378</v>
      </c>
      <c r="Y398" s="11">
        <v>0</v>
      </c>
      <c r="Z398" s="11">
        <f ca="1"/>
        <v>31.811228956228952</v>
      </c>
      <c r="AA398" s="11">
        <f ca="1"/>
        <v>15.905614478114476</v>
      </c>
      <c r="AB398" s="4">
        <f ca="1"/>
        <v>45643</v>
      </c>
      <c r="AC398" s="4">
        <v>45643</v>
      </c>
      <c r="AD398" s="9">
        <v>45651</v>
      </c>
      <c r="AE398" s="9">
        <v>45659</v>
      </c>
      <c r="AF398" s="4" t="str">
        <f t="shared" ca="1" si="6"/>
        <v>2024 12</v>
      </c>
      <c r="AG398" s="8" t="str" cm="1">
        <f t="array" ref="AG398">IFERROR(_xlfn.IFS('Banco de Dados'!#REF!="AG. COMPRA","Em processamento",'Banco de Dados'!#REF!="AG. RASTREIO","Em processamento",'Banco de Dados'!$AE398&lt;&gt;"-","Faturado",'Banco de Dados'!$AD398&lt;&gt;"-","Aguardando Pix",'Banco de Dados'!$AC398&lt;&gt;"-","Pendente"),"Aguardando Liberação")</f>
        <v>Aguardando Liberação</v>
      </c>
      <c r="AH398" s="5" t="str">
        <f>IF('Banco de Dados'!$F398="-",_xlfn.CONCAT(PROPER(TEXT(AK398,"aaaa"))," ",PROPER(TEXT(AK398,"mm"))),_xlfn.CONCAT(PROPER(TEXT(E398,"aaaa"))," ",PROPER(TEXT(E398,"mm"))))</f>
        <v>2024 11</v>
      </c>
      <c r="AI398" s="9" t="str">
        <f ca="1">IF('Banco de Dados'!$AK398&lt;&gt;"-","REEMBOLSO",IFERROR(_xlfn.XLOOKUP(G398,Follow[CODRASTREIO],Follow[STATUS]),"-"))</f>
        <v>ENTREGUE</v>
      </c>
      <c r="AJ398" s="9">
        <f ca="1">IF('Banco de Dados'!$AI398="ENTREGUE",_xlfn.XLOOKUP('Banco de Dados'!$G398,Follow[CODRASTREIO],Follow[DATAATUALIZAÇÃO]),"-")</f>
        <v>45629</v>
      </c>
      <c r="AK398" s="9" t="str">
        <f ca="1"/>
        <v>-</v>
      </c>
      <c r="AL398" s="35"/>
      <c r="AM398" s="109" cm="1">
        <f t="array" aca="1" ref="AM398" ca="1">IF('Banco de Dados'!$AK398&lt;&gt;"-",_xlfn.IFS('Banco de Dados'!$A398="bv",IF('Banco de Dados'!$E398&lt;45641,ROUND(SUM('Banco de Dados'!$R398*_xlfn.XLOOKUP('Banco de Dados'!$P398,Sku!B:B,Sku!#REF!)*20%),2),ROUND(SUM('Banco de Dados'!$R398*_xlfn.XLOOKUP('Banco de Dados'!$P398,Sku!B:B,Sku!H:H)*20%),2)),'Banco de Dados'!$A398="GO",ROUND(_xlfn.XLOOKUP('Banco de Dados'!$P398,Sku!C:C,Sku!H:H),2),'Banco de Dados'!$A398="MEI",ROUND(_xlfn.XLOOKUP('Banco de Dados'!$P398,Sku!D:D,Sku!H:H),2)),0)</f>
        <v>0</v>
      </c>
      <c r="AN398" s="109">
        <f ca="1">IF('Banco de Dados'!$AK398&lt;&gt;"-",IF('Banco de Dados'!$F398&lt;&gt;"-",_xlfn.XLOOKUP(IFERROR(IFERROR(IFERROR(VALUE(SUBSTITUTE(MID(_xlfn.TEXTAFTER('Banco de Dados'!$F398,"Data do Pedido:
",1),1,10),"-","/")),VALUE(SUBSTITUTE(MID(_xlfn.TEXTAFTER('Banco de Dados'!$F398,"Order date:
",1),1,10),"-","/"))),VALUE(SUBSTITUTE(MID(_xlfn.TEXTAFTER('Banco de Dados'!$F398,"Fecha de pedido:
",1),1,10),"-","/"))),"-"),SMS!A:A,SMS!K:K),0),0)</f>
        <v>0</v>
      </c>
      <c r="AO398" s="109">
        <f ca="1">IF('Banco de Dados'!$AK398&lt;&gt;"-",IF('Banco de Dados'!$F398&lt;&gt;"-",IFERROR(_xlfn.XLOOKUP(_xlfn.CONCAT('Banco de Dados'!$A398,IFERROR(IFERROR(VALUE(SUBSTITUTE(MID(_xlfn.TEXTAFTER('Banco de Dados'!$F398,"Data do Pedido:
",1),1,10),"-","/")),VALUE(SUBSTITUTE(MID(_xlfn.TEXTAFTER('Banco de Dados'!$F398,"Order date:
",1),1,10),"-","/"))),0)),ProxyDD[Chave],ProxyDD[Valor por pedido]),PROXY!$P$2),0),0)</f>
        <v>0</v>
      </c>
      <c r="AP398" s="28">
        <f ca="1">IF('Banco de Dados'!$AK398&lt;&gt;"-",IF('Banco de Dados'!$AL398="NÃO",IFERROR(VALUE(SUBSTITUTE(_xlfn.TEXTAFTER('Banco de Dados'!$F398,"BRL ",1),".",",")),0),0),0)</f>
        <v>0</v>
      </c>
      <c r="AQ398" s="28">
        <f ca="1">SUM('Banco de Dados'!$AM398:$AP398)</f>
        <v>0</v>
      </c>
      <c r="AR398" s="8"/>
      <c r="AS398" s="8"/>
      <c r="AY398" s="8"/>
    </row>
    <row r="399" spans="1:51">
      <c r="A399" s="5" t="str">
        <v>BV</v>
      </c>
      <c r="B399" s="5" t="str">
        <f ca="1"/>
        <v>BV45615</v>
      </c>
      <c r="C399" s="8" t="str">
        <v>Pedido 394</v>
      </c>
      <c r="D399" s="9">
        <v>45615</v>
      </c>
      <c r="E399" s="9">
        <v>45615</v>
      </c>
      <c r="F399" s="8" t="str">
        <v>PedidoF384</v>
      </c>
      <c r="G399" s="2" t="str">
        <v>CódRastreio384</v>
      </c>
      <c r="H399" s="5">
        <v>1</v>
      </c>
      <c r="I399" s="182" t="str">
        <v>CPF 381</v>
      </c>
      <c r="J399" s="2" t="str">
        <v>Nome 381</v>
      </c>
      <c r="K399" s="8" t="str">
        <v>Tel 381</v>
      </c>
      <c r="L399" s="2" t="str">
        <v>Cep 381</v>
      </c>
      <c r="M399" s="2" t="str">
        <v>Rua 381</v>
      </c>
      <c r="N399" s="2" t="str">
        <v>Comp 381</v>
      </c>
      <c r="O399" s="2" t="str">
        <v>Lampada Led</v>
      </c>
      <c r="P399" s="8" t="str">
        <v>RB-W251-UXV2</v>
      </c>
      <c r="Q399" s="4">
        <v>45643</v>
      </c>
      <c r="R399" s="109">
        <v>27.99</v>
      </c>
      <c r="S399" s="11">
        <f ca="1"/>
        <v>27.99</v>
      </c>
      <c r="T399" s="28">
        <f ca="1"/>
        <v>3.6387</v>
      </c>
      <c r="U399" s="11">
        <f ca="1"/>
        <v>24.35</v>
      </c>
      <c r="V399" s="11">
        <v>10.19</v>
      </c>
      <c r="W399" s="11">
        <f ca="1"/>
        <v>0.21</v>
      </c>
      <c r="X399" s="11">
        <f ca="1"/>
        <v>0.39877104377104378</v>
      </c>
      <c r="Y399" s="11">
        <v>0</v>
      </c>
      <c r="Z399" s="11">
        <f ca="1"/>
        <v>13.551228956228957</v>
      </c>
      <c r="AA399" s="11">
        <f ca="1"/>
        <v>6.7756144781144787</v>
      </c>
      <c r="AB399" s="4">
        <f ca="1"/>
        <v>45650</v>
      </c>
      <c r="AC399" s="4">
        <v>45650</v>
      </c>
      <c r="AD399" s="9">
        <v>45651</v>
      </c>
      <c r="AE399" s="9">
        <v>45659</v>
      </c>
      <c r="AF399" s="4" t="str">
        <f t="shared" ca="1" si="6"/>
        <v>2024 12</v>
      </c>
      <c r="AG399" s="8" t="str" cm="1">
        <f t="array" ref="AG399">IFERROR(_xlfn.IFS('Banco de Dados'!#REF!="AG. COMPRA","Em processamento",'Banco de Dados'!#REF!="AG. RASTREIO","Em processamento",'Banco de Dados'!$AE399&lt;&gt;"-","Faturado",'Banco de Dados'!$AD399&lt;&gt;"-","Aguardando Pix",'Banco de Dados'!$AC399&lt;&gt;"-","Pendente"),"Aguardando Liberação")</f>
        <v>Aguardando Liberação</v>
      </c>
      <c r="AH399" s="5" t="str">
        <f>IF('Banco de Dados'!$F399="-",_xlfn.CONCAT(PROPER(TEXT(AK399,"aaaa"))," ",PROPER(TEXT(AK399,"mm"))),_xlfn.CONCAT(PROPER(TEXT(E399,"aaaa"))," ",PROPER(TEXT(E399,"mm"))))</f>
        <v>2024 11</v>
      </c>
      <c r="AI399" s="9" t="str">
        <f ca="1">IF('Banco de Dados'!$AK399&lt;&gt;"-","REEMBOLSO",IFERROR(_xlfn.XLOOKUP(G399,Follow[CODRASTREIO],Follow[STATUS]),"-"))</f>
        <v>ENTREGUE</v>
      </c>
      <c r="AJ399" s="9">
        <f ca="1">IF('Banco de Dados'!$AI399="ENTREGUE",_xlfn.XLOOKUP('Banco de Dados'!$G399,Follow[CODRASTREIO],Follow[DATAATUALIZAÇÃO]),"-")</f>
        <v>45632.408078703702</v>
      </c>
      <c r="AK399" s="9" t="str">
        <f ca="1"/>
        <v>-</v>
      </c>
      <c r="AL399" s="35"/>
      <c r="AM399" s="109" cm="1">
        <f t="array" aca="1" ref="AM399" ca="1">IF('Banco de Dados'!$AK399&lt;&gt;"-",_xlfn.IFS('Banco de Dados'!$A399="bv",IF('Banco de Dados'!$E399&lt;45641,ROUND(SUM('Banco de Dados'!$R399*_xlfn.XLOOKUP('Banco de Dados'!$P399,Sku!B:B,Sku!#REF!)*20%),2),ROUND(SUM('Banco de Dados'!$R399*_xlfn.XLOOKUP('Banco de Dados'!$P399,Sku!B:B,Sku!H:H)*20%),2)),'Banco de Dados'!$A399="GO",ROUND(_xlfn.XLOOKUP('Banco de Dados'!$P399,Sku!C:C,Sku!H:H),2),'Banco de Dados'!$A399="MEI",ROUND(_xlfn.XLOOKUP('Banco de Dados'!$P399,Sku!D:D,Sku!H:H),2)),0)</f>
        <v>0</v>
      </c>
      <c r="AN399" s="109">
        <f ca="1">IF('Banco de Dados'!$AK399&lt;&gt;"-",IF('Banco de Dados'!$F399&lt;&gt;"-",_xlfn.XLOOKUP(IFERROR(IFERROR(IFERROR(VALUE(SUBSTITUTE(MID(_xlfn.TEXTAFTER('Banco de Dados'!$F399,"Data do Pedido:
",1),1,10),"-","/")),VALUE(SUBSTITUTE(MID(_xlfn.TEXTAFTER('Banco de Dados'!$F399,"Order date:
",1),1,10),"-","/"))),VALUE(SUBSTITUTE(MID(_xlfn.TEXTAFTER('Banco de Dados'!$F399,"Fecha de pedido:
",1),1,10),"-","/"))),"-"),SMS!A:A,SMS!K:K),0),0)</f>
        <v>0</v>
      </c>
      <c r="AO399" s="109">
        <f ca="1">IF('Banco de Dados'!$AK399&lt;&gt;"-",IF('Banco de Dados'!$F399&lt;&gt;"-",IFERROR(_xlfn.XLOOKUP(_xlfn.CONCAT('Banco de Dados'!$A399,IFERROR(IFERROR(VALUE(SUBSTITUTE(MID(_xlfn.TEXTAFTER('Banco de Dados'!$F399,"Data do Pedido:
",1),1,10),"-","/")),VALUE(SUBSTITUTE(MID(_xlfn.TEXTAFTER('Banco de Dados'!$F399,"Order date:
",1),1,10),"-","/"))),0)),ProxyDD[Chave],ProxyDD[Valor por pedido]),PROXY!$P$2),0),0)</f>
        <v>0</v>
      </c>
      <c r="AP399" s="28">
        <f ca="1">IF('Banco de Dados'!$AK399&lt;&gt;"-",IF('Banco de Dados'!$AL399="NÃO",IFERROR(VALUE(SUBSTITUTE(_xlfn.TEXTAFTER('Banco de Dados'!$F399,"BRL ",1),".",",")),0),0),0)</f>
        <v>0</v>
      </c>
      <c r="AQ399" s="28">
        <f ca="1">SUM('Banco de Dados'!$AM399:$AP399)</f>
        <v>0</v>
      </c>
      <c r="AR399" s="8"/>
      <c r="AS399" s="8"/>
      <c r="AY399" s="8"/>
    </row>
    <row r="400" spans="1:51">
      <c r="A400" s="5" t="str">
        <v>BV</v>
      </c>
      <c r="B400" s="5" t="str">
        <f ca="1"/>
        <v>BV45615</v>
      </c>
      <c r="C400" s="8" t="str">
        <v>Pedido 395</v>
      </c>
      <c r="D400" s="9">
        <v>45615</v>
      </c>
      <c r="E400" s="9">
        <v>45615</v>
      </c>
      <c r="F400" s="8" t="str">
        <v>PedidoF385</v>
      </c>
      <c r="G400" s="2" t="str">
        <v>CódRastreio385</v>
      </c>
      <c r="H400" s="5">
        <v>1</v>
      </c>
      <c r="I400" s="182" t="str">
        <v>CPF 382</v>
      </c>
      <c r="J400" s="2" t="str">
        <v>Nome 382</v>
      </c>
      <c r="K400" s="8" t="str">
        <v>Tel 382</v>
      </c>
      <c r="L400" s="2" t="str">
        <v>Cep 382</v>
      </c>
      <c r="M400" s="2" t="str">
        <v>Rua 382</v>
      </c>
      <c r="N400" s="2" t="str">
        <v>Comp 382</v>
      </c>
      <c r="O400" s="2" t="str">
        <v>Mini Liquidificador</v>
      </c>
      <c r="P400" s="8" t="str">
        <v>CK-YL6M-P5Y6</v>
      </c>
      <c r="Q400" s="4">
        <v>45637</v>
      </c>
      <c r="R400" s="109">
        <v>31.5</v>
      </c>
      <c r="S400" s="11">
        <f ca="1"/>
        <v>31.5</v>
      </c>
      <c r="T400" s="28">
        <f ca="1"/>
        <v>4.0949999999999998</v>
      </c>
      <c r="U400" s="11">
        <f ca="1"/>
        <v>27.41</v>
      </c>
      <c r="V400" s="11">
        <v>11.99</v>
      </c>
      <c r="W400" s="11">
        <f ca="1"/>
        <v>0.21</v>
      </c>
      <c r="X400" s="11">
        <f ca="1"/>
        <v>0.39877104377104378</v>
      </c>
      <c r="Y400" s="11">
        <v>0</v>
      </c>
      <c r="Z400" s="11">
        <f ca="1"/>
        <v>14.811228956228955</v>
      </c>
      <c r="AA400" s="11">
        <f ca="1"/>
        <v>7.4056144781144777</v>
      </c>
      <c r="AB400" s="4">
        <f ca="1"/>
        <v>45644</v>
      </c>
      <c r="AC400" s="4">
        <v>45644</v>
      </c>
      <c r="AD400" s="9">
        <v>45651</v>
      </c>
      <c r="AE400" s="9">
        <v>45659</v>
      </c>
      <c r="AF400" s="4" t="str">
        <f t="shared" ca="1" si="6"/>
        <v>2024 12</v>
      </c>
      <c r="AG400" s="8" t="str" cm="1">
        <f t="array" ref="AG400">IFERROR(_xlfn.IFS('Banco de Dados'!#REF!="AG. COMPRA","Em processamento",'Banco de Dados'!#REF!="AG. RASTREIO","Em processamento",'Banco de Dados'!$AE400&lt;&gt;"-","Faturado",'Banco de Dados'!$AD400&lt;&gt;"-","Aguardando Pix",'Banco de Dados'!$AC400&lt;&gt;"-","Pendente"),"Aguardando Liberação")</f>
        <v>Aguardando Liberação</v>
      </c>
      <c r="AH400" s="5" t="str">
        <f>IF('Banco de Dados'!$F400="-",_xlfn.CONCAT(PROPER(TEXT(AK400,"aaaa"))," ",PROPER(TEXT(AK400,"mm"))),_xlfn.CONCAT(PROPER(TEXT(E400,"aaaa"))," ",PROPER(TEXT(E400,"mm"))))</f>
        <v>2024 11</v>
      </c>
      <c r="AI400" s="9" t="str">
        <f ca="1">IF('Banco de Dados'!$AK400&lt;&gt;"-","REEMBOLSO",IFERROR(_xlfn.XLOOKUP(G400,Follow[CODRASTREIO],Follow[STATUS]),"-"))</f>
        <v>ENTREGUE</v>
      </c>
      <c r="AJ400" s="9">
        <f ca="1">IF('Banco de Dados'!$AI400="ENTREGUE",_xlfn.XLOOKUP('Banco de Dados'!$G400,Follow[CODRASTREIO],Follow[DATAATUALIZAÇÃO]),"-")</f>
        <v>45625</v>
      </c>
      <c r="AK400" s="9" t="str">
        <f ca="1"/>
        <v>-</v>
      </c>
      <c r="AL400" s="35"/>
      <c r="AM400" s="109" cm="1">
        <f t="array" aca="1" ref="AM400" ca="1">IF('Banco de Dados'!$AK400&lt;&gt;"-",_xlfn.IFS('Banco de Dados'!$A400="bv",IF('Banco de Dados'!$E400&lt;45641,ROUND(SUM('Banco de Dados'!$R400*_xlfn.XLOOKUP('Banco de Dados'!$P400,Sku!B:B,Sku!#REF!)*20%),2),ROUND(SUM('Banco de Dados'!$R400*_xlfn.XLOOKUP('Banco de Dados'!$P400,Sku!B:B,Sku!H:H)*20%),2)),'Banco de Dados'!$A400="GO",ROUND(_xlfn.XLOOKUP('Banco de Dados'!$P400,Sku!C:C,Sku!H:H),2),'Banco de Dados'!$A400="MEI",ROUND(_xlfn.XLOOKUP('Banco de Dados'!$P400,Sku!D:D,Sku!H:H),2)),0)</f>
        <v>0</v>
      </c>
      <c r="AN400" s="109">
        <f ca="1">IF('Banco de Dados'!$AK400&lt;&gt;"-",IF('Banco de Dados'!$F400&lt;&gt;"-",_xlfn.XLOOKUP(IFERROR(IFERROR(IFERROR(VALUE(SUBSTITUTE(MID(_xlfn.TEXTAFTER('Banco de Dados'!$F400,"Data do Pedido:
",1),1,10),"-","/")),VALUE(SUBSTITUTE(MID(_xlfn.TEXTAFTER('Banco de Dados'!$F400,"Order date:
",1),1,10),"-","/"))),VALUE(SUBSTITUTE(MID(_xlfn.TEXTAFTER('Banco de Dados'!$F400,"Fecha de pedido:
",1),1,10),"-","/"))),"-"),SMS!A:A,SMS!K:K),0),0)</f>
        <v>0</v>
      </c>
      <c r="AO400" s="109">
        <f ca="1">IF('Banco de Dados'!$AK400&lt;&gt;"-",IF('Banco de Dados'!$F400&lt;&gt;"-",IFERROR(_xlfn.XLOOKUP(_xlfn.CONCAT('Banco de Dados'!$A400,IFERROR(IFERROR(VALUE(SUBSTITUTE(MID(_xlfn.TEXTAFTER('Banco de Dados'!$F400,"Data do Pedido:
",1),1,10),"-","/")),VALUE(SUBSTITUTE(MID(_xlfn.TEXTAFTER('Banco de Dados'!$F400,"Order date:
",1),1,10),"-","/"))),0)),ProxyDD[Chave],ProxyDD[Valor por pedido]),PROXY!$P$2),0),0)</f>
        <v>0</v>
      </c>
      <c r="AP400" s="28">
        <f ca="1">IF('Banco de Dados'!$AK400&lt;&gt;"-",IF('Banco de Dados'!$AL400="NÃO",IFERROR(VALUE(SUBSTITUTE(_xlfn.TEXTAFTER('Banco de Dados'!$F400,"BRL ",1),".",",")),0),0),0)</f>
        <v>0</v>
      </c>
      <c r="AQ400" s="28">
        <f ca="1">SUM('Banco de Dados'!$AM400:$AP400)</f>
        <v>0</v>
      </c>
      <c r="AR400" s="8"/>
      <c r="AS400" s="8"/>
      <c r="AY400" s="8"/>
    </row>
    <row r="401" spans="1:51">
      <c r="A401" s="5" t="str">
        <v>BV</v>
      </c>
      <c r="B401" s="5" t="str">
        <f ca="1"/>
        <v>BV45615</v>
      </c>
      <c r="C401" s="8" t="str">
        <v>Pedido 396</v>
      </c>
      <c r="D401" s="9">
        <v>45615</v>
      </c>
      <c r="E401" s="9">
        <v>45615</v>
      </c>
      <c r="F401" s="8" t="str">
        <v>PedidoF386</v>
      </c>
      <c r="G401" s="2" t="str">
        <v>CódRastreio386</v>
      </c>
      <c r="H401" s="5">
        <v>1</v>
      </c>
      <c r="I401" s="182" t="str">
        <v>CPF 383</v>
      </c>
      <c r="J401" s="2" t="str">
        <v>Nome 383</v>
      </c>
      <c r="K401" s="8" t="str">
        <v>Tel 383</v>
      </c>
      <c r="L401" s="2" t="str">
        <v>Cep 383</v>
      </c>
      <c r="M401" s="2" t="str">
        <v>Rua 383</v>
      </c>
      <c r="N401" s="2" t="str">
        <v>Comp 383</v>
      </c>
      <c r="O401" s="2" t="str">
        <v>Ventilador de teto</v>
      </c>
      <c r="P401" s="8" t="str">
        <v>BP-NHG2-B8C1</v>
      </c>
      <c r="Q401" s="4">
        <v>45643</v>
      </c>
      <c r="R401" s="109">
        <v>48.99</v>
      </c>
      <c r="S401" s="11">
        <f ca="1"/>
        <v>48.99</v>
      </c>
      <c r="T401" s="28">
        <f ca="1"/>
        <v>6.3687000000000005</v>
      </c>
      <c r="U401" s="11">
        <f ca="1"/>
        <v>42.62</v>
      </c>
      <c r="V401" s="11">
        <v>10.19</v>
      </c>
      <c r="W401" s="11">
        <f ca="1"/>
        <v>0.21</v>
      </c>
      <c r="X401" s="11">
        <f ca="1"/>
        <v>0.39877104377104378</v>
      </c>
      <c r="Y401" s="11">
        <v>0</v>
      </c>
      <c r="Z401" s="11">
        <f ca="1"/>
        <v>31.821228956228953</v>
      </c>
      <c r="AA401" s="11">
        <f ca="1"/>
        <v>15.910614478114477</v>
      </c>
      <c r="AB401" s="4">
        <f ca="1"/>
        <v>45650</v>
      </c>
      <c r="AC401" s="4">
        <v>45650</v>
      </c>
      <c r="AD401" s="9">
        <v>45651</v>
      </c>
      <c r="AE401" s="9">
        <v>45659</v>
      </c>
      <c r="AF401" s="4" t="str">
        <f t="shared" ca="1" si="6"/>
        <v>2024 12</v>
      </c>
      <c r="AG401" s="8" t="str" cm="1">
        <f t="array" ref="AG401">IFERROR(_xlfn.IFS('Banco de Dados'!#REF!="AG. COMPRA","Em processamento",'Banco de Dados'!#REF!="AG. RASTREIO","Em processamento",'Banco de Dados'!$AE401&lt;&gt;"-","Faturado",'Banco de Dados'!$AD401&lt;&gt;"-","Aguardando Pix",'Banco de Dados'!$AC401&lt;&gt;"-","Pendente"),"Aguardando Liberação")</f>
        <v>Aguardando Liberação</v>
      </c>
      <c r="AH401" s="5" t="str">
        <f>IF('Banco de Dados'!$F401="-",_xlfn.CONCAT(PROPER(TEXT(AK401,"aaaa"))," ",PROPER(TEXT(AK401,"mm"))),_xlfn.CONCAT(PROPER(TEXT(E401,"aaaa"))," ",PROPER(TEXT(E401,"mm"))))</f>
        <v>2024 11</v>
      </c>
      <c r="AI401" s="9" t="str">
        <f ca="1">IF('Banco de Dados'!$AK401&lt;&gt;"-","REEMBOLSO",IFERROR(_xlfn.XLOOKUP(G401,Follow[CODRASTREIO],Follow[STATUS]),"-"))</f>
        <v>ENTREGUE</v>
      </c>
      <c r="AJ401" s="9">
        <f ca="1">IF('Banco de Dados'!$AI401="ENTREGUE",_xlfn.XLOOKUP('Banco de Dados'!$G401,Follow[CODRASTREIO],Follow[DATAATUALIZAÇÃO]),"-")</f>
        <v>45629</v>
      </c>
      <c r="AK401" s="9" t="str">
        <f ca="1"/>
        <v>-</v>
      </c>
      <c r="AL401" s="35"/>
      <c r="AM401" s="109" cm="1">
        <f t="array" aca="1" ref="AM401" ca="1">IF('Banco de Dados'!$AK401&lt;&gt;"-",_xlfn.IFS('Banco de Dados'!$A401="bv",IF('Banco de Dados'!$E401&lt;45641,ROUND(SUM('Banco de Dados'!$R401*_xlfn.XLOOKUP('Banco de Dados'!$P401,Sku!B:B,Sku!#REF!)*20%),2),ROUND(SUM('Banco de Dados'!$R401*_xlfn.XLOOKUP('Banco de Dados'!$P401,Sku!B:B,Sku!H:H)*20%),2)),'Banco de Dados'!$A401="GO",ROUND(_xlfn.XLOOKUP('Banco de Dados'!$P401,Sku!C:C,Sku!H:H),2),'Banco de Dados'!$A401="MEI",ROUND(_xlfn.XLOOKUP('Banco de Dados'!$P401,Sku!D:D,Sku!H:H),2)),0)</f>
        <v>0</v>
      </c>
      <c r="AN401" s="109">
        <f ca="1">IF('Banco de Dados'!$AK401&lt;&gt;"-",IF('Banco de Dados'!$F401&lt;&gt;"-",_xlfn.XLOOKUP(IFERROR(IFERROR(IFERROR(VALUE(SUBSTITUTE(MID(_xlfn.TEXTAFTER('Banco de Dados'!$F401,"Data do Pedido:
",1),1,10),"-","/")),VALUE(SUBSTITUTE(MID(_xlfn.TEXTAFTER('Banco de Dados'!$F401,"Order date:
",1),1,10),"-","/"))),VALUE(SUBSTITUTE(MID(_xlfn.TEXTAFTER('Banco de Dados'!$F401,"Fecha de pedido:
",1),1,10),"-","/"))),"-"),SMS!A:A,SMS!K:K),0),0)</f>
        <v>0</v>
      </c>
      <c r="AO401" s="109">
        <f ca="1">IF('Banco de Dados'!$AK401&lt;&gt;"-",IF('Banco de Dados'!$F401&lt;&gt;"-",IFERROR(_xlfn.XLOOKUP(_xlfn.CONCAT('Banco de Dados'!$A401,IFERROR(IFERROR(VALUE(SUBSTITUTE(MID(_xlfn.TEXTAFTER('Banco de Dados'!$F401,"Data do Pedido:
",1),1,10),"-","/")),VALUE(SUBSTITUTE(MID(_xlfn.TEXTAFTER('Banco de Dados'!$F401,"Order date:
",1),1,10),"-","/"))),0)),ProxyDD[Chave],ProxyDD[Valor por pedido]),PROXY!$P$2),0),0)</f>
        <v>0</v>
      </c>
      <c r="AP401" s="28">
        <f ca="1">IF('Banco de Dados'!$AK401&lt;&gt;"-",IF('Banco de Dados'!$AL401="NÃO",IFERROR(VALUE(SUBSTITUTE(_xlfn.TEXTAFTER('Banco de Dados'!$F401,"BRL ",1),".",",")),0),0),0)</f>
        <v>0</v>
      </c>
      <c r="AQ401" s="28">
        <f ca="1">SUM('Banco de Dados'!$AM401:$AP401)</f>
        <v>0</v>
      </c>
      <c r="AR401" s="8"/>
      <c r="AS401" s="8"/>
      <c r="AY401" s="8"/>
    </row>
    <row r="402" spans="1:51">
      <c r="A402" s="5" t="str">
        <v>BV</v>
      </c>
      <c r="B402" s="5" t="str">
        <f ca="1"/>
        <v>BV45615</v>
      </c>
      <c r="C402" s="8" t="str">
        <v>Pedido 397</v>
      </c>
      <c r="D402" s="9">
        <v>45615</v>
      </c>
      <c r="E402" s="9">
        <v>45615</v>
      </c>
      <c r="F402" s="8" t="str">
        <v>PedidoF387</v>
      </c>
      <c r="G402" s="2" t="str">
        <v>CódRastreio387</v>
      </c>
      <c r="H402" s="5">
        <v>1</v>
      </c>
      <c r="I402" s="182" t="str">
        <v>CPF 384</v>
      </c>
      <c r="J402" s="2" t="str">
        <v>Nome 384</v>
      </c>
      <c r="K402" s="8" t="str">
        <v>Tel 384</v>
      </c>
      <c r="L402" s="2" t="str">
        <v>Cep 384</v>
      </c>
      <c r="M402" s="2" t="str">
        <v>Rua 384</v>
      </c>
      <c r="N402" s="2" t="str">
        <v>Comp 384</v>
      </c>
      <c r="O402" s="2" t="str">
        <v>Ventilador de teto</v>
      </c>
      <c r="P402" s="8" t="str">
        <v>BP-NHG2-B8C1</v>
      </c>
      <c r="Q402" s="4">
        <v>45643</v>
      </c>
      <c r="R402" s="109">
        <v>48.99</v>
      </c>
      <c r="S402" s="11">
        <f ca="1"/>
        <v>48.99</v>
      </c>
      <c r="T402" s="28">
        <f ca="1"/>
        <v>6.3687000000000005</v>
      </c>
      <c r="U402" s="11">
        <f ca="1"/>
        <v>42.62</v>
      </c>
      <c r="V402" s="11">
        <v>10.19</v>
      </c>
      <c r="W402" s="11">
        <f ca="1"/>
        <v>0.21</v>
      </c>
      <c r="X402" s="11">
        <f ca="1"/>
        <v>0.39877104377104378</v>
      </c>
      <c r="Y402" s="11">
        <v>0</v>
      </c>
      <c r="Z402" s="11">
        <f ca="1"/>
        <v>31.821228956228953</v>
      </c>
      <c r="AA402" s="11">
        <f ca="1"/>
        <v>15.910614478114477</v>
      </c>
      <c r="AB402" s="4">
        <f ca="1"/>
        <v>45650</v>
      </c>
      <c r="AC402" s="4">
        <v>45650</v>
      </c>
      <c r="AD402" s="9">
        <v>45651</v>
      </c>
      <c r="AE402" s="9">
        <v>45659</v>
      </c>
      <c r="AF402" s="4" t="str">
        <f t="shared" ca="1" si="6"/>
        <v>2024 12</v>
      </c>
      <c r="AG402" s="8" t="str" cm="1">
        <f t="array" ref="AG402">IFERROR(_xlfn.IFS('Banco de Dados'!#REF!="AG. COMPRA","Em processamento",'Banco de Dados'!#REF!="AG. RASTREIO","Em processamento",'Banco de Dados'!$AE402&lt;&gt;"-","Faturado",'Banco de Dados'!$AD402&lt;&gt;"-","Aguardando Pix",'Banco de Dados'!$AC402&lt;&gt;"-","Pendente"),"Aguardando Liberação")</f>
        <v>Aguardando Liberação</v>
      </c>
      <c r="AH402" s="5" t="str">
        <f>IF('Banco de Dados'!$F402="-",_xlfn.CONCAT(PROPER(TEXT(AK402,"aaaa"))," ",PROPER(TEXT(AK402,"mm"))),_xlfn.CONCAT(PROPER(TEXT(E402,"aaaa"))," ",PROPER(TEXT(E402,"mm"))))</f>
        <v>2024 11</v>
      </c>
      <c r="AI402" s="9" t="str">
        <f ca="1">IF('Banco de Dados'!$AK402&lt;&gt;"-","REEMBOLSO",IFERROR(_xlfn.XLOOKUP(G402,Follow[CODRASTREIO],Follow[STATUS]),"-"))</f>
        <v>ENTREGUE</v>
      </c>
      <c r="AJ402" s="9">
        <f ca="1">IF('Banco de Dados'!$AI402="ENTREGUE",_xlfn.XLOOKUP('Banco de Dados'!$G402,Follow[CODRASTREIO],Follow[DATAATUALIZAÇÃO]),"-")</f>
        <v>45629</v>
      </c>
      <c r="AK402" s="9" t="str">
        <f ca="1"/>
        <v>-</v>
      </c>
      <c r="AL402" s="35"/>
      <c r="AM402" s="109" cm="1">
        <f t="array" aca="1" ref="AM402" ca="1">IF('Banco de Dados'!$AK402&lt;&gt;"-",_xlfn.IFS('Banco de Dados'!$A402="bv",IF('Banco de Dados'!$E402&lt;45641,ROUND(SUM('Banco de Dados'!$R402*_xlfn.XLOOKUP('Banco de Dados'!$P402,Sku!B:B,Sku!#REF!)*20%),2),ROUND(SUM('Banco de Dados'!$R402*_xlfn.XLOOKUP('Banco de Dados'!$P402,Sku!B:B,Sku!H:H)*20%),2)),'Banco de Dados'!$A402="GO",ROUND(_xlfn.XLOOKUP('Banco de Dados'!$P402,Sku!C:C,Sku!H:H),2),'Banco de Dados'!$A402="MEI",ROUND(_xlfn.XLOOKUP('Banco de Dados'!$P402,Sku!D:D,Sku!H:H),2)),0)</f>
        <v>0</v>
      </c>
      <c r="AN402" s="109">
        <f ca="1">IF('Banco de Dados'!$AK402&lt;&gt;"-",IF('Banco de Dados'!$F402&lt;&gt;"-",_xlfn.XLOOKUP(IFERROR(IFERROR(IFERROR(VALUE(SUBSTITUTE(MID(_xlfn.TEXTAFTER('Banco de Dados'!$F402,"Data do Pedido:
",1),1,10),"-","/")),VALUE(SUBSTITUTE(MID(_xlfn.TEXTAFTER('Banco de Dados'!$F402,"Order date:
",1),1,10),"-","/"))),VALUE(SUBSTITUTE(MID(_xlfn.TEXTAFTER('Banco de Dados'!$F402,"Fecha de pedido:
",1),1,10),"-","/"))),"-"),SMS!A:A,SMS!K:K),0),0)</f>
        <v>0</v>
      </c>
      <c r="AO402" s="109">
        <f ca="1">IF('Banco de Dados'!$AK402&lt;&gt;"-",IF('Banco de Dados'!$F402&lt;&gt;"-",IFERROR(_xlfn.XLOOKUP(_xlfn.CONCAT('Banco de Dados'!$A402,IFERROR(IFERROR(VALUE(SUBSTITUTE(MID(_xlfn.TEXTAFTER('Banco de Dados'!$F402,"Data do Pedido:
",1),1,10),"-","/")),VALUE(SUBSTITUTE(MID(_xlfn.TEXTAFTER('Banco de Dados'!$F402,"Order date:
",1),1,10),"-","/"))),0)),ProxyDD[Chave],ProxyDD[Valor por pedido]),PROXY!$P$2),0),0)</f>
        <v>0</v>
      </c>
      <c r="AP402" s="28">
        <f ca="1">IF('Banco de Dados'!$AK402&lt;&gt;"-",IF('Banco de Dados'!$AL402="NÃO",IFERROR(VALUE(SUBSTITUTE(_xlfn.TEXTAFTER('Banco de Dados'!$F402,"BRL ",1),".",",")),0),0),0)</f>
        <v>0</v>
      </c>
      <c r="AQ402" s="28">
        <f ca="1">SUM('Banco de Dados'!$AM402:$AP402)</f>
        <v>0</v>
      </c>
      <c r="AR402" s="8"/>
      <c r="AS402" s="8"/>
      <c r="AY402" s="8"/>
    </row>
    <row r="403" spans="1:51">
      <c r="A403" s="5" t="str">
        <v>BV</v>
      </c>
      <c r="B403" s="5" t="str">
        <f ca="1"/>
        <v>BV45615</v>
      </c>
      <c r="C403" s="8" t="str">
        <v>Pedido 398</v>
      </c>
      <c r="D403" s="9">
        <v>45615</v>
      </c>
      <c r="E403" s="9">
        <v>45615</v>
      </c>
      <c r="F403" s="8" t="str">
        <v>PedidoF388</v>
      </c>
      <c r="G403" s="2" t="str">
        <v>CódRastreio388</v>
      </c>
      <c r="H403" s="5">
        <v>1</v>
      </c>
      <c r="I403" s="182" t="str">
        <v>CPF 385</v>
      </c>
      <c r="J403" s="2" t="str">
        <v>Nome 385</v>
      </c>
      <c r="K403" s="8" t="str">
        <v>Tel 385</v>
      </c>
      <c r="L403" s="2" t="str">
        <v>Cep 385</v>
      </c>
      <c r="M403" s="2" t="str">
        <v>Rua 385</v>
      </c>
      <c r="N403" s="2" t="str">
        <v>Comp 385</v>
      </c>
      <c r="O403" s="2" t="str">
        <v>Mini Liquidificador</v>
      </c>
      <c r="P403" s="8" t="str">
        <v>CK-YL6M-P5Y6</v>
      </c>
      <c r="Q403" s="4">
        <v>45643</v>
      </c>
      <c r="R403" s="109">
        <v>31.5</v>
      </c>
      <c r="S403" s="11">
        <f ca="1"/>
        <v>31.5</v>
      </c>
      <c r="T403" s="28">
        <f ca="1"/>
        <v>4.0949999999999998</v>
      </c>
      <c r="U403" s="11">
        <f ca="1"/>
        <v>27.41</v>
      </c>
      <c r="V403" s="11">
        <v>11.99</v>
      </c>
      <c r="W403" s="11">
        <f ca="1"/>
        <v>0.21</v>
      </c>
      <c r="X403" s="11">
        <f ca="1"/>
        <v>0.39877104377104378</v>
      </c>
      <c r="Y403" s="11">
        <v>0</v>
      </c>
      <c r="Z403" s="11">
        <f ca="1"/>
        <v>14.811228956228955</v>
      </c>
      <c r="AA403" s="11">
        <f ca="1"/>
        <v>7.4056144781144777</v>
      </c>
      <c r="AB403" s="4">
        <f ca="1"/>
        <v>45650</v>
      </c>
      <c r="AC403" s="4">
        <v>45650</v>
      </c>
      <c r="AD403" s="9">
        <v>45651</v>
      </c>
      <c r="AE403" s="9">
        <v>45659</v>
      </c>
      <c r="AF403" s="4" t="str">
        <f t="shared" ca="1" si="6"/>
        <v>2024 12</v>
      </c>
      <c r="AG403" s="8" t="str" cm="1">
        <f t="array" ref="AG403">IFERROR(_xlfn.IFS('Banco de Dados'!#REF!="AG. COMPRA","Em processamento",'Banco de Dados'!#REF!="AG. RASTREIO","Em processamento",'Banco de Dados'!$AE403&lt;&gt;"-","Faturado",'Banco de Dados'!$AD403&lt;&gt;"-","Aguardando Pix",'Banco de Dados'!$AC403&lt;&gt;"-","Pendente"),"Aguardando Liberação")</f>
        <v>Aguardando Liberação</v>
      </c>
      <c r="AH403" s="5" t="str">
        <f>IF('Banco de Dados'!$F403="-",_xlfn.CONCAT(PROPER(TEXT(AK403,"aaaa"))," ",PROPER(TEXT(AK403,"mm"))),_xlfn.CONCAT(PROPER(TEXT(E403,"aaaa"))," ",PROPER(TEXT(E403,"mm"))))</f>
        <v>2024 11</v>
      </c>
      <c r="AI403" s="9" t="str">
        <f ca="1">IF('Banco de Dados'!$AK403&lt;&gt;"-","REEMBOLSO",IFERROR(_xlfn.XLOOKUP(G403,Follow[CODRASTREIO],Follow[STATUS]),"-"))</f>
        <v>ENTREGUE</v>
      </c>
      <c r="AJ403" s="9">
        <f ca="1">IF('Banco de Dados'!$AI403="ENTREGUE",_xlfn.XLOOKUP('Banco de Dados'!$G403,Follow[CODRASTREIO],Follow[DATAATUALIZAÇÃO]),"-")</f>
        <v>45625</v>
      </c>
      <c r="AK403" s="9" t="str">
        <f ca="1"/>
        <v>-</v>
      </c>
      <c r="AL403" s="35"/>
      <c r="AM403" s="109" cm="1">
        <f t="array" aca="1" ref="AM403" ca="1">IF('Banco de Dados'!$AK403&lt;&gt;"-",_xlfn.IFS('Banco de Dados'!$A403="bv",IF('Banco de Dados'!$E403&lt;45641,ROUND(SUM('Banco de Dados'!$R403*_xlfn.XLOOKUP('Banco de Dados'!$P403,Sku!B:B,Sku!#REF!)*20%),2),ROUND(SUM('Banco de Dados'!$R403*_xlfn.XLOOKUP('Banco de Dados'!$P403,Sku!B:B,Sku!H:H)*20%),2)),'Banco de Dados'!$A403="GO",ROUND(_xlfn.XLOOKUP('Banco de Dados'!$P403,Sku!C:C,Sku!H:H),2),'Banco de Dados'!$A403="MEI",ROUND(_xlfn.XLOOKUP('Banco de Dados'!$P403,Sku!D:D,Sku!H:H),2)),0)</f>
        <v>0</v>
      </c>
      <c r="AN403" s="109">
        <f ca="1">IF('Banco de Dados'!$AK403&lt;&gt;"-",IF('Banco de Dados'!$F403&lt;&gt;"-",_xlfn.XLOOKUP(IFERROR(IFERROR(IFERROR(VALUE(SUBSTITUTE(MID(_xlfn.TEXTAFTER('Banco de Dados'!$F403,"Data do Pedido:
",1),1,10),"-","/")),VALUE(SUBSTITUTE(MID(_xlfn.TEXTAFTER('Banco de Dados'!$F403,"Order date:
",1),1,10),"-","/"))),VALUE(SUBSTITUTE(MID(_xlfn.TEXTAFTER('Banco de Dados'!$F403,"Fecha de pedido:
",1),1,10),"-","/"))),"-"),SMS!A:A,SMS!K:K),0),0)</f>
        <v>0</v>
      </c>
      <c r="AO403" s="109">
        <f ca="1">IF('Banco de Dados'!$AK403&lt;&gt;"-",IF('Banco de Dados'!$F403&lt;&gt;"-",IFERROR(_xlfn.XLOOKUP(_xlfn.CONCAT('Banco de Dados'!$A403,IFERROR(IFERROR(VALUE(SUBSTITUTE(MID(_xlfn.TEXTAFTER('Banco de Dados'!$F403,"Data do Pedido:
",1),1,10),"-","/")),VALUE(SUBSTITUTE(MID(_xlfn.TEXTAFTER('Banco de Dados'!$F403,"Order date:
",1),1,10),"-","/"))),0)),ProxyDD[Chave],ProxyDD[Valor por pedido]),PROXY!$P$2),0),0)</f>
        <v>0</v>
      </c>
      <c r="AP403" s="28">
        <f ca="1">IF('Banco de Dados'!$AK403&lt;&gt;"-",IF('Banco de Dados'!$AL403="NÃO",IFERROR(VALUE(SUBSTITUTE(_xlfn.TEXTAFTER('Banco de Dados'!$F403,"BRL ",1),".",",")),0),0),0)</f>
        <v>0</v>
      </c>
      <c r="AQ403" s="28">
        <f ca="1">SUM('Banco de Dados'!$AM403:$AP403)</f>
        <v>0</v>
      </c>
      <c r="AR403" s="8"/>
      <c r="AS403" s="8"/>
      <c r="AY403" s="8"/>
    </row>
    <row r="404" spans="1:51">
      <c r="A404" s="5" t="str">
        <v>BV</v>
      </c>
      <c r="B404" s="5" t="str">
        <f ca="1"/>
        <v>BV45615</v>
      </c>
      <c r="C404" s="8" t="str">
        <v>Pedido 399</v>
      </c>
      <c r="D404" s="9">
        <v>45615</v>
      </c>
      <c r="E404" s="9">
        <v>45615</v>
      </c>
      <c r="F404" s="8" t="str">
        <v>PedidoF389</v>
      </c>
      <c r="G404" s="2" t="str">
        <v>CódRastreio389</v>
      </c>
      <c r="H404" s="5">
        <v>1</v>
      </c>
      <c r="I404" s="182" t="str">
        <v>CPF 386</v>
      </c>
      <c r="J404" s="2" t="str">
        <v>Nome 386</v>
      </c>
      <c r="K404" s="8" t="str">
        <v>Tel 386</v>
      </c>
      <c r="L404" s="2" t="str">
        <v>Cep 386</v>
      </c>
      <c r="M404" s="2" t="str">
        <v>Rua 386</v>
      </c>
      <c r="N404" s="2" t="str">
        <v>Comp 386</v>
      </c>
      <c r="O404" s="2" t="str">
        <v>Mini Liquidificador</v>
      </c>
      <c r="P404" s="8" t="str">
        <v>CK-YL6M-P5Y6</v>
      </c>
      <c r="Q404" s="4">
        <v>45633</v>
      </c>
      <c r="R404" s="109">
        <v>31.5</v>
      </c>
      <c r="S404" s="11">
        <f ca="1"/>
        <v>31.5</v>
      </c>
      <c r="T404" s="28">
        <f ca="1"/>
        <v>4.0949999999999998</v>
      </c>
      <c r="U404" s="11">
        <f ca="1"/>
        <v>27.41</v>
      </c>
      <c r="V404" s="11">
        <v>11.99</v>
      </c>
      <c r="W404" s="11">
        <f ca="1"/>
        <v>0.21</v>
      </c>
      <c r="X404" s="11">
        <f ca="1"/>
        <v>0.39877104377104378</v>
      </c>
      <c r="Y404" s="11">
        <v>0</v>
      </c>
      <c r="Z404" s="11">
        <f ca="1"/>
        <v>14.811228956228955</v>
      </c>
      <c r="AA404" s="11">
        <f ca="1"/>
        <v>7.4056144781144777</v>
      </c>
      <c r="AB404" s="4">
        <f ca="1"/>
        <v>45640</v>
      </c>
      <c r="AC404" s="4">
        <v>45640</v>
      </c>
      <c r="AD404" s="9">
        <v>45640</v>
      </c>
      <c r="AE404" s="9">
        <v>45642</v>
      </c>
      <c r="AF404" s="4" t="str">
        <f t="shared" ca="1" si="6"/>
        <v>2024 12</v>
      </c>
      <c r="AG404" s="8" t="str" cm="1">
        <f t="array" ref="AG404">IFERROR(_xlfn.IFS('Banco de Dados'!#REF!="AG. COMPRA","Em processamento",'Banco de Dados'!#REF!="AG. RASTREIO","Em processamento",'Banco de Dados'!$AE404&lt;&gt;"-","Faturado",'Banco de Dados'!$AD404&lt;&gt;"-","Aguardando Pix",'Banco de Dados'!$AC404&lt;&gt;"-","Pendente"),"Aguardando Liberação")</f>
        <v>Aguardando Liberação</v>
      </c>
      <c r="AH404" s="5" t="str">
        <f>IF('Banco de Dados'!$F404="-",_xlfn.CONCAT(PROPER(TEXT(AK404,"aaaa"))," ",PROPER(TEXT(AK404,"mm"))),_xlfn.CONCAT(PROPER(TEXT(E404,"aaaa"))," ",PROPER(TEXT(E404,"mm"))))</f>
        <v>2024 11</v>
      </c>
      <c r="AI404" s="9" t="str">
        <f ca="1">IF('Banco de Dados'!$AK404&lt;&gt;"-","REEMBOLSO",IFERROR(_xlfn.XLOOKUP(G404,Follow[CODRASTREIO],Follow[STATUS]),"-"))</f>
        <v>ENTREGUE</v>
      </c>
      <c r="AJ404" s="9">
        <f ca="1">IF('Banco de Dados'!$AI404="ENTREGUE",_xlfn.XLOOKUP('Banco de Dados'!$G404,Follow[CODRASTREIO],Follow[DATAATUALIZAÇÃO]),"-")</f>
        <v>45621</v>
      </c>
      <c r="AK404" s="9" t="str">
        <f ca="1"/>
        <v>-</v>
      </c>
      <c r="AL404" s="35"/>
      <c r="AM404" s="109" cm="1">
        <f t="array" aca="1" ref="AM404" ca="1">IF('Banco de Dados'!$AK404&lt;&gt;"-",_xlfn.IFS('Banco de Dados'!$A404="bv",IF('Banco de Dados'!$E404&lt;45641,ROUND(SUM('Banco de Dados'!$R404*_xlfn.XLOOKUP('Banco de Dados'!$P404,Sku!B:B,Sku!#REF!)*20%),2),ROUND(SUM('Banco de Dados'!$R404*_xlfn.XLOOKUP('Banco de Dados'!$P404,Sku!B:B,Sku!H:H)*20%),2)),'Banco de Dados'!$A404="GO",ROUND(_xlfn.XLOOKUP('Banco de Dados'!$P404,Sku!C:C,Sku!H:H),2),'Banco de Dados'!$A404="MEI",ROUND(_xlfn.XLOOKUP('Banco de Dados'!$P404,Sku!D:D,Sku!H:H),2)),0)</f>
        <v>0</v>
      </c>
      <c r="AN404" s="109">
        <f ca="1">IF('Banco de Dados'!$AK404&lt;&gt;"-",IF('Banco de Dados'!$F404&lt;&gt;"-",_xlfn.XLOOKUP(IFERROR(IFERROR(IFERROR(VALUE(SUBSTITUTE(MID(_xlfn.TEXTAFTER('Banco de Dados'!$F404,"Data do Pedido:
",1),1,10),"-","/")),VALUE(SUBSTITUTE(MID(_xlfn.TEXTAFTER('Banco de Dados'!$F404,"Order date:
",1),1,10),"-","/"))),VALUE(SUBSTITUTE(MID(_xlfn.TEXTAFTER('Banco de Dados'!$F404,"Fecha de pedido:
",1),1,10),"-","/"))),"-"),SMS!A:A,SMS!K:K),0),0)</f>
        <v>0</v>
      </c>
      <c r="AO404" s="109">
        <f ca="1">IF('Banco de Dados'!$AK404&lt;&gt;"-",IF('Banco de Dados'!$F404&lt;&gt;"-",IFERROR(_xlfn.XLOOKUP(_xlfn.CONCAT('Banco de Dados'!$A404,IFERROR(IFERROR(VALUE(SUBSTITUTE(MID(_xlfn.TEXTAFTER('Banco de Dados'!$F404,"Data do Pedido:
",1),1,10),"-","/")),VALUE(SUBSTITUTE(MID(_xlfn.TEXTAFTER('Banco de Dados'!$F404,"Order date:
",1),1,10),"-","/"))),0)),ProxyDD[Chave],ProxyDD[Valor por pedido]),PROXY!$P$2),0),0)</f>
        <v>0</v>
      </c>
      <c r="AP404" s="28">
        <f ca="1">IF('Banco de Dados'!$AK404&lt;&gt;"-",IF('Banco de Dados'!$AL404="NÃO",IFERROR(VALUE(SUBSTITUTE(_xlfn.TEXTAFTER('Banco de Dados'!$F404,"BRL ",1),".",",")),0),0),0)</f>
        <v>0</v>
      </c>
      <c r="AQ404" s="28">
        <f ca="1">SUM('Banco de Dados'!$AM404:$AP404)</f>
        <v>0</v>
      </c>
      <c r="AR404" s="8"/>
      <c r="AS404" s="8"/>
      <c r="AY404" s="8"/>
    </row>
    <row r="405" spans="1:51">
      <c r="A405" s="5" t="str">
        <v>BV</v>
      </c>
      <c r="B405" s="5" t="str">
        <f ca="1"/>
        <v>BV45615</v>
      </c>
      <c r="C405" s="8" t="str">
        <v>Pedido 400</v>
      </c>
      <c r="D405" s="9">
        <v>45615</v>
      </c>
      <c r="E405" s="9">
        <v>45615</v>
      </c>
      <c r="F405" s="8" t="str">
        <v>PedidoF390</v>
      </c>
      <c r="G405" s="2" t="str">
        <v>CódRastreio390</v>
      </c>
      <c r="H405" s="5">
        <v>1</v>
      </c>
      <c r="I405" s="182" t="str">
        <v>CPF 387</v>
      </c>
      <c r="J405" s="2" t="str">
        <v>Nome 387</v>
      </c>
      <c r="K405" s="8" t="str">
        <v>Tel 387</v>
      </c>
      <c r="L405" s="2" t="str">
        <v>Cep 387</v>
      </c>
      <c r="M405" s="2" t="str">
        <v>Rua 387</v>
      </c>
      <c r="N405" s="2" t="str">
        <v>Comp 387</v>
      </c>
      <c r="O405" s="2" t="str">
        <v>Ventilador Preto</v>
      </c>
      <c r="P405" s="8" t="str">
        <v>MU-J80P-95WF</v>
      </c>
      <c r="Q405" s="4">
        <v>45643</v>
      </c>
      <c r="R405" s="109">
        <v>59.2</v>
      </c>
      <c r="S405" s="11">
        <f ca="1"/>
        <v>59.2</v>
      </c>
      <c r="T405" s="28">
        <f ca="1"/>
        <v>7.6960000000000006</v>
      </c>
      <c r="U405" s="11">
        <f ca="1"/>
        <v>51.5</v>
      </c>
      <c r="V405" s="11">
        <v>10.19</v>
      </c>
      <c r="W405" s="11">
        <f ca="1"/>
        <v>0.21</v>
      </c>
      <c r="X405" s="11">
        <f ca="1"/>
        <v>0.39877104377104378</v>
      </c>
      <c r="Y405" s="11">
        <v>0</v>
      </c>
      <c r="Z405" s="11">
        <f ca="1"/>
        <v>40.70122895622896</v>
      </c>
      <c r="AA405" s="11">
        <f ca="1"/>
        <v>20.35061447811448</v>
      </c>
      <c r="AB405" s="4">
        <f ca="1"/>
        <v>45650</v>
      </c>
      <c r="AC405" s="4">
        <v>45650</v>
      </c>
      <c r="AD405" s="9">
        <v>45651</v>
      </c>
      <c r="AE405" s="9">
        <v>45659</v>
      </c>
      <c r="AF405" s="4" t="str">
        <f t="shared" ca="1" si="6"/>
        <v>2024 12</v>
      </c>
      <c r="AG405" s="8" t="str" cm="1">
        <f t="array" ref="AG405">IFERROR(_xlfn.IFS('Banco de Dados'!#REF!="AG. COMPRA","Em processamento",'Banco de Dados'!#REF!="AG. RASTREIO","Em processamento",'Banco de Dados'!$AE405&lt;&gt;"-","Faturado",'Banco de Dados'!$AD405&lt;&gt;"-","Aguardando Pix",'Banco de Dados'!$AC405&lt;&gt;"-","Pendente"),"Aguardando Liberação")</f>
        <v>Aguardando Liberação</v>
      </c>
      <c r="AH405" s="5" t="str">
        <f>IF('Banco de Dados'!$F405="-",_xlfn.CONCAT(PROPER(TEXT(AK405,"aaaa"))," ",PROPER(TEXT(AK405,"mm"))),_xlfn.CONCAT(PROPER(TEXT(E405,"aaaa"))," ",PROPER(TEXT(E405,"mm"))))</f>
        <v>2024 11</v>
      </c>
      <c r="AI405" s="9" t="str">
        <f ca="1">IF('Banco de Dados'!$AK405&lt;&gt;"-","REEMBOLSO",IFERROR(_xlfn.XLOOKUP(G405,Follow[CODRASTREIO],Follow[STATUS]),"-"))</f>
        <v>ENTREGUE</v>
      </c>
      <c r="AJ405" s="9">
        <f ca="1">IF('Banco de Dados'!$AI405="ENTREGUE",_xlfn.XLOOKUP('Banco de Dados'!$G405,Follow[CODRASTREIO],Follow[DATAATUALIZAÇÃO]),"-")</f>
        <v>45643</v>
      </c>
      <c r="AK405" s="9" t="str">
        <f ca="1"/>
        <v>-</v>
      </c>
      <c r="AL405" s="35"/>
      <c r="AM405" s="109" cm="1">
        <f t="array" aca="1" ref="AM405" ca="1">IF('Banco de Dados'!$AK405&lt;&gt;"-",_xlfn.IFS('Banco de Dados'!$A405="bv",IF('Banco de Dados'!$E405&lt;45641,ROUND(SUM('Banco de Dados'!$R405*_xlfn.XLOOKUP('Banco de Dados'!$P405,Sku!B:B,Sku!#REF!)*20%),2),ROUND(SUM('Banco de Dados'!$R405*_xlfn.XLOOKUP('Banco de Dados'!$P405,Sku!B:B,Sku!H:H)*20%),2)),'Banco de Dados'!$A405="GO",ROUND(_xlfn.XLOOKUP('Banco de Dados'!$P405,Sku!C:C,Sku!H:H),2),'Banco de Dados'!$A405="MEI",ROUND(_xlfn.XLOOKUP('Banco de Dados'!$P405,Sku!D:D,Sku!H:H),2)),0)</f>
        <v>0</v>
      </c>
      <c r="AN405" s="109">
        <f ca="1">IF('Banco de Dados'!$AK405&lt;&gt;"-",IF('Banco de Dados'!$F405&lt;&gt;"-",_xlfn.XLOOKUP(IFERROR(IFERROR(IFERROR(VALUE(SUBSTITUTE(MID(_xlfn.TEXTAFTER('Banco de Dados'!$F405,"Data do Pedido:
",1),1,10),"-","/")),VALUE(SUBSTITUTE(MID(_xlfn.TEXTAFTER('Banco de Dados'!$F405,"Order date:
",1),1,10),"-","/"))),VALUE(SUBSTITUTE(MID(_xlfn.TEXTAFTER('Banco de Dados'!$F405,"Fecha de pedido:
",1),1,10),"-","/"))),"-"),SMS!A:A,SMS!K:K),0),0)</f>
        <v>0</v>
      </c>
      <c r="AO405" s="109">
        <f ca="1">IF('Banco de Dados'!$AK405&lt;&gt;"-",IF('Banco de Dados'!$F405&lt;&gt;"-",IFERROR(_xlfn.XLOOKUP(_xlfn.CONCAT('Banco de Dados'!$A405,IFERROR(IFERROR(VALUE(SUBSTITUTE(MID(_xlfn.TEXTAFTER('Banco de Dados'!$F405,"Data do Pedido:
",1),1,10),"-","/")),VALUE(SUBSTITUTE(MID(_xlfn.TEXTAFTER('Banco de Dados'!$F405,"Order date:
",1),1,10),"-","/"))),0)),ProxyDD[Chave],ProxyDD[Valor por pedido]),PROXY!$P$2),0),0)</f>
        <v>0</v>
      </c>
      <c r="AP405" s="28">
        <f ca="1">IF('Banco de Dados'!$AK405&lt;&gt;"-",IF('Banco de Dados'!$AL405="NÃO",IFERROR(VALUE(SUBSTITUTE(_xlfn.TEXTAFTER('Banco de Dados'!$F405,"BRL ",1),".",",")),0),0),0)</f>
        <v>0</v>
      </c>
      <c r="AQ405" s="28">
        <f ca="1">SUM('Banco de Dados'!$AM405:$AP405)</f>
        <v>0</v>
      </c>
      <c r="AR405" s="8"/>
      <c r="AS405" s="8"/>
      <c r="AY405" s="8"/>
    </row>
    <row r="406" spans="1:51">
      <c r="A406" s="5" t="str">
        <v>BV</v>
      </c>
      <c r="B406" s="5" t="str">
        <f ca="1"/>
        <v>BV45615</v>
      </c>
      <c r="C406" s="8" t="str">
        <v>Pedido 401</v>
      </c>
      <c r="D406" s="9">
        <v>45615</v>
      </c>
      <c r="E406" s="9">
        <v>45615</v>
      </c>
      <c r="F406" s="8" t="str">
        <v>PedidoF391</v>
      </c>
      <c r="G406" s="2" t="str">
        <v>CódRastreio391</v>
      </c>
      <c r="H406" s="5">
        <v>1</v>
      </c>
      <c r="I406" s="182" t="str">
        <v>CPF 388</v>
      </c>
      <c r="J406" s="2" t="str">
        <v>Nome 388</v>
      </c>
      <c r="K406" s="8" t="str">
        <v>Tel 388</v>
      </c>
      <c r="L406" s="2" t="str">
        <v>Cep 388</v>
      </c>
      <c r="M406" s="2" t="str">
        <v>Rua 388</v>
      </c>
      <c r="N406" s="2" t="str">
        <v>Comp 388</v>
      </c>
      <c r="O406" s="2" t="str">
        <v>Mini Liquidificador</v>
      </c>
      <c r="P406" s="8" t="str">
        <v>CK-YL6M-P5Y6</v>
      </c>
      <c r="Q406" s="4">
        <v>45637</v>
      </c>
      <c r="R406" s="109">
        <v>31.5</v>
      </c>
      <c r="S406" s="11">
        <f ca="1"/>
        <v>31.5</v>
      </c>
      <c r="T406" s="28">
        <f ca="1"/>
        <v>4.0949999999999998</v>
      </c>
      <c r="U406" s="11">
        <f ca="1"/>
        <v>27.41</v>
      </c>
      <c r="V406" s="11">
        <v>11.99</v>
      </c>
      <c r="W406" s="11">
        <f ca="1"/>
        <v>0.21</v>
      </c>
      <c r="X406" s="11">
        <f ca="1"/>
        <v>0.39877104377104378</v>
      </c>
      <c r="Y406" s="11">
        <v>0</v>
      </c>
      <c r="Z406" s="11">
        <f ca="1"/>
        <v>14.811228956228955</v>
      </c>
      <c r="AA406" s="11">
        <f ca="1"/>
        <v>7.4056144781144777</v>
      </c>
      <c r="AB406" s="4">
        <f ca="1"/>
        <v>45644</v>
      </c>
      <c r="AC406" s="4">
        <v>45644</v>
      </c>
      <c r="AD406" s="9">
        <v>45651</v>
      </c>
      <c r="AE406" s="9">
        <v>45659</v>
      </c>
      <c r="AF406" s="4" t="str">
        <f t="shared" ca="1" si="6"/>
        <v>2024 12</v>
      </c>
      <c r="AG406" s="8" t="str" cm="1">
        <f t="array" ref="AG406">IFERROR(_xlfn.IFS('Banco de Dados'!#REF!="AG. COMPRA","Em processamento",'Banco de Dados'!#REF!="AG. RASTREIO","Em processamento",'Banco de Dados'!$AE406&lt;&gt;"-","Faturado",'Banco de Dados'!$AD406&lt;&gt;"-","Aguardando Pix",'Banco de Dados'!$AC406&lt;&gt;"-","Pendente"),"Aguardando Liberação")</f>
        <v>Aguardando Liberação</v>
      </c>
      <c r="AH406" s="5" t="str">
        <f>IF('Banco de Dados'!$F406="-",_xlfn.CONCAT(PROPER(TEXT(AK406,"aaaa"))," ",PROPER(TEXT(AK406,"mm"))),_xlfn.CONCAT(PROPER(TEXT(E406,"aaaa"))," ",PROPER(TEXT(E406,"mm"))))</f>
        <v>2024 11</v>
      </c>
      <c r="AI406" s="9" t="str">
        <f ca="1">IF('Banco de Dados'!$AK406&lt;&gt;"-","REEMBOLSO",IFERROR(_xlfn.XLOOKUP(G406,Follow[CODRASTREIO],Follow[STATUS]),"-"))</f>
        <v>ENTREGUE</v>
      </c>
      <c r="AJ406" s="9">
        <f ca="1">IF('Banco de Dados'!$AI406="ENTREGUE",_xlfn.XLOOKUP('Banco de Dados'!$G406,Follow[CODRASTREIO],Follow[DATAATUALIZAÇÃO]),"-")</f>
        <v>45624</v>
      </c>
      <c r="AK406" s="9" t="str">
        <f ca="1"/>
        <v>-</v>
      </c>
      <c r="AL406" s="35"/>
      <c r="AM406" s="109" cm="1">
        <f t="array" aca="1" ref="AM406" ca="1">IF('Banco de Dados'!$AK406&lt;&gt;"-",_xlfn.IFS('Banco de Dados'!$A406="bv",IF('Banco de Dados'!$E406&lt;45641,ROUND(SUM('Banco de Dados'!$R406*_xlfn.XLOOKUP('Banco de Dados'!$P406,Sku!B:B,Sku!#REF!)*20%),2),ROUND(SUM('Banco de Dados'!$R406*_xlfn.XLOOKUP('Banco de Dados'!$P406,Sku!B:B,Sku!H:H)*20%),2)),'Banco de Dados'!$A406="GO",ROUND(_xlfn.XLOOKUP('Banco de Dados'!$P406,Sku!C:C,Sku!H:H),2),'Banco de Dados'!$A406="MEI",ROUND(_xlfn.XLOOKUP('Banco de Dados'!$P406,Sku!D:D,Sku!H:H),2)),0)</f>
        <v>0</v>
      </c>
      <c r="AN406" s="109">
        <f ca="1">IF('Banco de Dados'!$AK406&lt;&gt;"-",IF('Banco de Dados'!$F406&lt;&gt;"-",_xlfn.XLOOKUP(IFERROR(IFERROR(IFERROR(VALUE(SUBSTITUTE(MID(_xlfn.TEXTAFTER('Banco de Dados'!$F406,"Data do Pedido:
",1),1,10),"-","/")),VALUE(SUBSTITUTE(MID(_xlfn.TEXTAFTER('Banco de Dados'!$F406,"Order date:
",1),1,10),"-","/"))),VALUE(SUBSTITUTE(MID(_xlfn.TEXTAFTER('Banco de Dados'!$F406,"Fecha de pedido:
",1),1,10),"-","/"))),"-"),SMS!A:A,SMS!K:K),0),0)</f>
        <v>0</v>
      </c>
      <c r="AO406" s="109">
        <f ca="1">IF('Banco de Dados'!$AK406&lt;&gt;"-",IF('Banco de Dados'!$F406&lt;&gt;"-",IFERROR(_xlfn.XLOOKUP(_xlfn.CONCAT('Banco de Dados'!$A406,IFERROR(IFERROR(VALUE(SUBSTITUTE(MID(_xlfn.TEXTAFTER('Banco de Dados'!$F406,"Data do Pedido:
",1),1,10),"-","/")),VALUE(SUBSTITUTE(MID(_xlfn.TEXTAFTER('Banco de Dados'!$F406,"Order date:
",1),1,10),"-","/"))),0)),ProxyDD[Chave],ProxyDD[Valor por pedido]),PROXY!$P$2),0),0)</f>
        <v>0</v>
      </c>
      <c r="AP406" s="28">
        <f ca="1">IF('Banco de Dados'!$AK406&lt;&gt;"-",IF('Banco de Dados'!$AL406="NÃO",IFERROR(VALUE(SUBSTITUTE(_xlfn.TEXTAFTER('Banco de Dados'!$F406,"BRL ",1),".",",")),0),0),0)</f>
        <v>0</v>
      </c>
      <c r="AQ406" s="28">
        <f ca="1">SUM('Banco de Dados'!$AM406:$AP406)</f>
        <v>0</v>
      </c>
      <c r="AR406" s="8"/>
      <c r="AS406" s="8"/>
      <c r="AY406" s="8"/>
    </row>
    <row r="407" spans="1:51">
      <c r="A407" s="5" t="str">
        <v>BV</v>
      </c>
      <c r="B407" s="5" t="str">
        <f ca="1"/>
        <v>BV45615</v>
      </c>
      <c r="C407" s="8" t="str">
        <v>Pedido 402</v>
      </c>
      <c r="D407" s="9">
        <v>45615</v>
      </c>
      <c r="E407" s="9">
        <v>45615</v>
      </c>
      <c r="F407" s="8" t="str">
        <v>PedidoF392</v>
      </c>
      <c r="G407" s="2" t="str">
        <v>CódRastreio392</v>
      </c>
      <c r="H407" s="5">
        <v>1</v>
      </c>
      <c r="I407" s="182" t="str">
        <v>CPF 389</v>
      </c>
      <c r="J407" s="2" t="str">
        <v>Nome 389</v>
      </c>
      <c r="K407" s="8" t="str">
        <v>Tel 389</v>
      </c>
      <c r="L407" s="2" t="str">
        <v>Cep 389</v>
      </c>
      <c r="M407" s="2" t="str">
        <v>Rua 389</v>
      </c>
      <c r="N407" s="2" t="str">
        <v>Comp 389</v>
      </c>
      <c r="O407" s="2" t="str">
        <v>Ventilador de teto</v>
      </c>
      <c r="P407" s="8" t="str">
        <v>BP-NHG2-B8C1</v>
      </c>
      <c r="Q407" s="4">
        <v>45643</v>
      </c>
      <c r="R407" s="109">
        <v>48.99</v>
      </c>
      <c r="S407" s="11">
        <f ca="1"/>
        <v>48.99</v>
      </c>
      <c r="T407" s="28">
        <f ca="1"/>
        <v>6.3687000000000005</v>
      </c>
      <c r="U407" s="11">
        <f ca="1"/>
        <v>42.62</v>
      </c>
      <c r="V407" s="11">
        <v>10.19</v>
      </c>
      <c r="W407" s="11">
        <f ca="1"/>
        <v>0.21</v>
      </c>
      <c r="X407" s="11">
        <f ca="1"/>
        <v>0.39877104377104378</v>
      </c>
      <c r="Y407" s="11">
        <v>0</v>
      </c>
      <c r="Z407" s="11">
        <f ca="1"/>
        <v>31.821228956228953</v>
      </c>
      <c r="AA407" s="11">
        <f ca="1"/>
        <v>15.910614478114477</v>
      </c>
      <c r="AB407" s="4">
        <f ca="1"/>
        <v>45650</v>
      </c>
      <c r="AC407" s="4">
        <v>45650</v>
      </c>
      <c r="AD407" s="9">
        <v>45651</v>
      </c>
      <c r="AE407" s="9">
        <v>45659</v>
      </c>
      <c r="AF407" s="4" t="str">
        <f t="shared" ca="1" si="6"/>
        <v>2024 12</v>
      </c>
      <c r="AG407" s="8" t="str" cm="1">
        <f t="array" ref="AG407">IFERROR(_xlfn.IFS('Banco de Dados'!#REF!="AG. COMPRA","Em processamento",'Banco de Dados'!#REF!="AG. RASTREIO","Em processamento",'Banco de Dados'!$AE407&lt;&gt;"-","Faturado",'Banco de Dados'!$AD407&lt;&gt;"-","Aguardando Pix",'Banco de Dados'!$AC407&lt;&gt;"-","Pendente"),"Aguardando Liberação")</f>
        <v>Aguardando Liberação</v>
      </c>
      <c r="AH407" s="5" t="str">
        <f>IF('Banco de Dados'!$F407="-",_xlfn.CONCAT(PROPER(TEXT(AK407,"aaaa"))," ",PROPER(TEXT(AK407,"mm"))),_xlfn.CONCAT(PROPER(TEXT(E407,"aaaa"))," ",PROPER(TEXT(E407,"mm"))))</f>
        <v>2024 11</v>
      </c>
      <c r="AI407" s="9" t="str">
        <f ca="1">IF('Banco de Dados'!$AK407&lt;&gt;"-","REEMBOLSO",IFERROR(_xlfn.XLOOKUP(G407,Follow[CODRASTREIO],Follow[STATUS]),"-"))</f>
        <v>ENTREGUE</v>
      </c>
      <c r="AJ407" s="9">
        <f ca="1">IF('Banco de Dados'!$AI407="ENTREGUE",_xlfn.XLOOKUP('Banco de Dados'!$G407,Follow[CODRASTREIO],Follow[DATAATUALIZAÇÃO]),"-")</f>
        <v>45628</v>
      </c>
      <c r="AK407" s="9" t="str">
        <f ca="1"/>
        <v>-</v>
      </c>
      <c r="AL407" s="35"/>
      <c r="AM407" s="109" cm="1">
        <f t="array" aca="1" ref="AM407" ca="1">IF('Banco de Dados'!$AK407&lt;&gt;"-",_xlfn.IFS('Banco de Dados'!$A407="bv",IF('Banco de Dados'!$E407&lt;45641,ROUND(SUM('Banco de Dados'!$R407*_xlfn.XLOOKUP('Banco de Dados'!$P407,Sku!B:B,Sku!#REF!)*20%),2),ROUND(SUM('Banco de Dados'!$R407*_xlfn.XLOOKUP('Banco de Dados'!$P407,Sku!B:B,Sku!H:H)*20%),2)),'Banco de Dados'!$A407="GO",ROUND(_xlfn.XLOOKUP('Banco de Dados'!$P407,Sku!C:C,Sku!H:H),2),'Banco de Dados'!$A407="MEI",ROUND(_xlfn.XLOOKUP('Banco de Dados'!$P407,Sku!D:D,Sku!H:H),2)),0)</f>
        <v>0</v>
      </c>
      <c r="AN407" s="109">
        <f ca="1">IF('Banco de Dados'!$AK407&lt;&gt;"-",IF('Banco de Dados'!$F407&lt;&gt;"-",_xlfn.XLOOKUP(IFERROR(IFERROR(IFERROR(VALUE(SUBSTITUTE(MID(_xlfn.TEXTAFTER('Banco de Dados'!$F407,"Data do Pedido:
",1),1,10),"-","/")),VALUE(SUBSTITUTE(MID(_xlfn.TEXTAFTER('Banco de Dados'!$F407,"Order date:
",1),1,10),"-","/"))),VALUE(SUBSTITUTE(MID(_xlfn.TEXTAFTER('Banco de Dados'!$F407,"Fecha de pedido:
",1),1,10),"-","/"))),"-"),SMS!A:A,SMS!K:K),0),0)</f>
        <v>0</v>
      </c>
      <c r="AO407" s="109">
        <f ca="1">IF('Banco de Dados'!$AK407&lt;&gt;"-",IF('Banco de Dados'!$F407&lt;&gt;"-",IFERROR(_xlfn.XLOOKUP(_xlfn.CONCAT('Banco de Dados'!$A407,IFERROR(IFERROR(VALUE(SUBSTITUTE(MID(_xlfn.TEXTAFTER('Banco de Dados'!$F407,"Data do Pedido:
",1),1,10),"-","/")),VALUE(SUBSTITUTE(MID(_xlfn.TEXTAFTER('Banco de Dados'!$F407,"Order date:
",1),1,10),"-","/"))),0)),ProxyDD[Chave],ProxyDD[Valor por pedido]),PROXY!$P$2),0),0)</f>
        <v>0</v>
      </c>
      <c r="AP407" s="28">
        <f ca="1">IF('Banco de Dados'!$AK407&lt;&gt;"-",IF('Banco de Dados'!$AL407="NÃO",IFERROR(VALUE(SUBSTITUTE(_xlfn.TEXTAFTER('Banco de Dados'!$F407,"BRL ",1),".",",")),0),0),0)</f>
        <v>0</v>
      </c>
      <c r="AQ407" s="28">
        <f ca="1">SUM('Banco de Dados'!$AM407:$AP407)</f>
        <v>0</v>
      </c>
      <c r="AR407" s="8"/>
      <c r="AS407" s="8"/>
      <c r="AY407" s="8"/>
    </row>
    <row r="408" spans="1:51">
      <c r="A408" s="5" t="str">
        <v>BV</v>
      </c>
      <c r="B408" s="5" t="str">
        <f ca="1"/>
        <v>BV45615</v>
      </c>
      <c r="C408" s="8" t="str">
        <v>Pedido 403</v>
      </c>
      <c r="D408" s="9">
        <v>45615</v>
      </c>
      <c r="E408" s="9">
        <v>45615</v>
      </c>
      <c r="F408" s="8" t="str">
        <v>PedidoF393</v>
      </c>
      <c r="G408" s="2" t="str">
        <v>CódRastreio393</v>
      </c>
      <c r="H408" s="5">
        <v>1</v>
      </c>
      <c r="I408" s="181" t="str">
        <v>CPF 390</v>
      </c>
      <c r="J408" s="2" t="str">
        <v>Nome 390</v>
      </c>
      <c r="K408" s="8" t="str">
        <v>Tel 390</v>
      </c>
      <c r="L408" s="2" t="str">
        <v>Cep 390</v>
      </c>
      <c r="M408" s="2" t="str">
        <v>Rua 390</v>
      </c>
      <c r="N408" s="2" t="str">
        <v>Comp 390</v>
      </c>
      <c r="O408" s="2" t="str">
        <v>Garrafa Termica</v>
      </c>
      <c r="P408" s="8" t="str">
        <v>FM-QQ8Y-RZT4</v>
      </c>
      <c r="Q408" s="4">
        <v>45631</v>
      </c>
      <c r="R408" s="109">
        <v>22.5</v>
      </c>
      <c r="S408" s="11">
        <f ca="1"/>
        <v>22.5</v>
      </c>
      <c r="T408" s="28">
        <f ca="1"/>
        <v>2.9250000000000003</v>
      </c>
      <c r="U408" s="11">
        <f ca="1"/>
        <v>19.579999999999998</v>
      </c>
      <c r="V408" s="11">
        <v>11.99</v>
      </c>
      <c r="W408" s="11">
        <f ca="1"/>
        <v>0.21</v>
      </c>
      <c r="X408" s="11">
        <f ca="1"/>
        <v>0.39877104377104378</v>
      </c>
      <c r="Y408" s="11">
        <v>0</v>
      </c>
      <c r="Z408" s="11">
        <f ca="1"/>
        <v>6.9812289562289536</v>
      </c>
      <c r="AA408" s="11">
        <f ca="1"/>
        <v>3.4906144781144768</v>
      </c>
      <c r="AB408" s="4">
        <f ca="1"/>
        <v>45638</v>
      </c>
      <c r="AC408" s="4">
        <v>45638</v>
      </c>
      <c r="AD408" s="9">
        <v>45640</v>
      </c>
      <c r="AE408" s="9">
        <v>45642</v>
      </c>
      <c r="AF408" s="4" t="str">
        <f t="shared" ca="1" si="6"/>
        <v>2024 12</v>
      </c>
      <c r="AG408" s="8" t="str" cm="1">
        <f t="array" ref="AG408">IFERROR(_xlfn.IFS('Banco de Dados'!#REF!="AG. COMPRA","Em processamento",'Banco de Dados'!#REF!="AG. RASTREIO","Em processamento",'Banco de Dados'!$AE408&lt;&gt;"-","Faturado",'Banco de Dados'!$AD408&lt;&gt;"-","Aguardando Pix",'Banco de Dados'!$AC408&lt;&gt;"-","Pendente"),"Aguardando Liberação")</f>
        <v>Aguardando Liberação</v>
      </c>
      <c r="AH408" s="5" t="str">
        <f>IF('Banco de Dados'!$F408="-",_xlfn.CONCAT(PROPER(TEXT(AK408,"aaaa"))," ",PROPER(TEXT(AK408,"mm"))),_xlfn.CONCAT(PROPER(TEXT(E408,"aaaa"))," ",PROPER(TEXT(E408,"mm"))))</f>
        <v>2024 11</v>
      </c>
      <c r="AI408" s="9" t="str">
        <f ca="1">IF('Banco de Dados'!$AK408&lt;&gt;"-","REEMBOLSO",IFERROR(_xlfn.XLOOKUP(G408,Follow[CODRASTREIO],Follow[STATUS]),"-"))</f>
        <v>ENTREGUE</v>
      </c>
      <c r="AJ408" s="9">
        <f ca="1">IF('Banco de Dados'!$AI408="ENTREGUE",_xlfn.XLOOKUP('Banco de Dados'!$G408,Follow[CODRASTREIO],Follow[DATAATUALIZAÇÃO]),"-")</f>
        <v>45622</v>
      </c>
      <c r="AK408" s="9" t="str">
        <f ca="1"/>
        <v>-</v>
      </c>
      <c r="AL408" s="35"/>
      <c r="AM408" s="109" cm="1">
        <f t="array" aca="1" ref="AM408" ca="1">IF('Banco de Dados'!$AK408&lt;&gt;"-",_xlfn.IFS('Banco de Dados'!$A408="bv",IF('Banco de Dados'!$E408&lt;45641,ROUND(SUM('Banco de Dados'!$R408*_xlfn.XLOOKUP('Banco de Dados'!$P408,Sku!B:B,Sku!#REF!)*20%),2),ROUND(SUM('Banco de Dados'!$R408*_xlfn.XLOOKUP('Banco de Dados'!$P408,Sku!B:B,Sku!H:H)*20%),2)),'Banco de Dados'!$A408="GO",ROUND(_xlfn.XLOOKUP('Banco de Dados'!$P408,Sku!C:C,Sku!H:H),2),'Banco de Dados'!$A408="MEI",ROUND(_xlfn.XLOOKUP('Banco de Dados'!$P408,Sku!D:D,Sku!H:H),2)),0)</f>
        <v>0</v>
      </c>
      <c r="AN408" s="109">
        <f ca="1">IF('Banco de Dados'!$AK408&lt;&gt;"-",IF('Banco de Dados'!$F408&lt;&gt;"-",_xlfn.XLOOKUP(IFERROR(IFERROR(IFERROR(VALUE(SUBSTITUTE(MID(_xlfn.TEXTAFTER('Banco de Dados'!$F408,"Data do Pedido:
",1),1,10),"-","/")),VALUE(SUBSTITUTE(MID(_xlfn.TEXTAFTER('Banco de Dados'!$F408,"Order date:
",1),1,10),"-","/"))),VALUE(SUBSTITUTE(MID(_xlfn.TEXTAFTER('Banco de Dados'!$F408,"Fecha de pedido:
",1),1,10),"-","/"))),"-"),SMS!A:A,SMS!K:K),0),0)</f>
        <v>0</v>
      </c>
      <c r="AO408" s="109">
        <f ca="1">IF('Banco de Dados'!$AK408&lt;&gt;"-",IF('Banco de Dados'!$F408&lt;&gt;"-",IFERROR(_xlfn.XLOOKUP(_xlfn.CONCAT('Banco de Dados'!$A408,IFERROR(IFERROR(VALUE(SUBSTITUTE(MID(_xlfn.TEXTAFTER('Banco de Dados'!$F408,"Data do Pedido:
",1),1,10),"-","/")),VALUE(SUBSTITUTE(MID(_xlfn.TEXTAFTER('Banco de Dados'!$F408,"Order date:
",1),1,10),"-","/"))),0)),ProxyDD[Chave],ProxyDD[Valor por pedido]),PROXY!$P$2),0),0)</f>
        <v>0</v>
      </c>
      <c r="AP408" s="28">
        <f ca="1">IF('Banco de Dados'!$AK408&lt;&gt;"-",IF('Banco de Dados'!$AL408="NÃO",IFERROR(VALUE(SUBSTITUTE(_xlfn.TEXTAFTER('Banco de Dados'!$F408,"BRL ",1),".",",")),0),0),0)</f>
        <v>0</v>
      </c>
      <c r="AQ408" s="28">
        <f ca="1">SUM('Banco de Dados'!$AM408:$AP408)</f>
        <v>0</v>
      </c>
      <c r="AR408" s="8"/>
      <c r="AS408" s="8"/>
      <c r="AY408" s="8"/>
    </row>
    <row r="409" spans="1:51">
      <c r="A409" s="5" t="str">
        <v>BV</v>
      </c>
      <c r="B409" s="5" t="str">
        <f ca="1"/>
        <v>BV45616</v>
      </c>
      <c r="C409" s="8" t="str">
        <v>Pedido 404</v>
      </c>
      <c r="D409" s="9">
        <v>45616</v>
      </c>
      <c r="E409" s="9">
        <v>45616</v>
      </c>
      <c r="F409" s="8" t="str">
        <v>PedidoF394</v>
      </c>
      <c r="G409" s="2" t="str">
        <v>CódRastreio394</v>
      </c>
      <c r="H409" s="5">
        <v>1</v>
      </c>
      <c r="I409" s="182" t="str">
        <v>CPF 391</v>
      </c>
      <c r="J409" s="2" t="str">
        <v>Nome 391</v>
      </c>
      <c r="K409" s="8" t="str">
        <v>Tel 391</v>
      </c>
      <c r="L409" s="2" t="str">
        <v>Cep 391</v>
      </c>
      <c r="M409" s="2" t="str">
        <v>Rua 391</v>
      </c>
      <c r="N409" s="2" t="str">
        <v>Comp 391</v>
      </c>
      <c r="O409" s="2" t="str">
        <v>Ventilador Umidificador Branco</v>
      </c>
      <c r="P409" s="8" t="str">
        <v>IA-LLX9-MRV1</v>
      </c>
      <c r="Q409" s="4">
        <v>45643</v>
      </c>
      <c r="R409" s="109">
        <v>52.99</v>
      </c>
      <c r="S409" s="11">
        <f ca="1"/>
        <v>52.99</v>
      </c>
      <c r="T409" s="28">
        <f ca="1"/>
        <v>7.4186000000000014</v>
      </c>
      <c r="U409" s="11">
        <f ca="1"/>
        <v>45.57</v>
      </c>
      <c r="V409" s="11">
        <v>10.18</v>
      </c>
      <c r="W409" s="11">
        <f ca="1"/>
        <v>0.31</v>
      </c>
      <c r="X409" s="11">
        <f ca="1"/>
        <v>0.39877104377104378</v>
      </c>
      <c r="Y409" s="11">
        <v>0</v>
      </c>
      <c r="Z409" s="11">
        <f ca="1"/>
        <v>34.681228956228956</v>
      </c>
      <c r="AA409" s="11">
        <f ca="1"/>
        <v>17.340614478114478</v>
      </c>
      <c r="AB409" s="4">
        <f ca="1"/>
        <v>45650</v>
      </c>
      <c r="AC409" s="4">
        <v>45650</v>
      </c>
      <c r="AD409" s="9">
        <v>45651</v>
      </c>
      <c r="AE409" s="9">
        <v>45659</v>
      </c>
      <c r="AF409" s="4" t="str">
        <f t="shared" ca="1" si="6"/>
        <v>2024 12</v>
      </c>
      <c r="AG409" s="8" t="str" cm="1">
        <f t="array" ref="AG409">IFERROR(_xlfn.IFS('Banco de Dados'!#REF!="AG. COMPRA","Em processamento",'Banco de Dados'!#REF!="AG. RASTREIO","Em processamento",'Banco de Dados'!$AE409&lt;&gt;"-","Faturado",'Banco de Dados'!$AD409&lt;&gt;"-","Aguardando Pix",'Banco de Dados'!$AC409&lt;&gt;"-","Pendente"),"Aguardando Liberação")</f>
        <v>Aguardando Liberação</v>
      </c>
      <c r="AH409" s="5" t="str">
        <f>IF('Banco de Dados'!$F409="-",_xlfn.CONCAT(PROPER(TEXT(AK409,"aaaa"))," ",PROPER(TEXT(AK409,"mm"))),_xlfn.CONCAT(PROPER(TEXT(E409,"aaaa"))," ",PROPER(TEXT(E409,"mm"))))</f>
        <v>2024 11</v>
      </c>
      <c r="AI409" s="9" t="str">
        <f ca="1">IF('Banco de Dados'!$AK409&lt;&gt;"-","REEMBOLSO",IFERROR(_xlfn.XLOOKUP(G409,Follow[CODRASTREIO],Follow[STATUS]),"-"))</f>
        <v>ENTREGUE</v>
      </c>
      <c r="AJ409" s="9">
        <f ca="1">IF('Banco de Dados'!$AI409="ENTREGUE",_xlfn.XLOOKUP('Banco de Dados'!$G409,Follow[CODRASTREIO],Follow[DATAATUALIZAÇÃO]),"-")</f>
        <v>45630</v>
      </c>
      <c r="AK409" s="9" t="str">
        <f ca="1"/>
        <v>-</v>
      </c>
      <c r="AL409" s="35"/>
      <c r="AM409" s="109" cm="1">
        <f t="array" aca="1" ref="AM409" ca="1">IF('Banco de Dados'!$AK409&lt;&gt;"-",_xlfn.IFS('Banco de Dados'!$A409="bv",IF('Banco de Dados'!$E409&lt;45641,ROUND(SUM('Banco de Dados'!$R409*_xlfn.XLOOKUP('Banco de Dados'!$P409,Sku!B:B,Sku!#REF!)*20%),2),ROUND(SUM('Banco de Dados'!$R409*_xlfn.XLOOKUP('Banco de Dados'!$P409,Sku!B:B,Sku!H:H)*20%),2)),'Banco de Dados'!$A409="GO",ROUND(_xlfn.XLOOKUP('Banco de Dados'!$P409,Sku!C:C,Sku!H:H),2),'Banco de Dados'!$A409="MEI",ROUND(_xlfn.XLOOKUP('Banco de Dados'!$P409,Sku!D:D,Sku!H:H),2)),0)</f>
        <v>0</v>
      </c>
      <c r="AN409" s="109">
        <f ca="1">IF('Banco de Dados'!$AK409&lt;&gt;"-",IF('Banco de Dados'!$F409&lt;&gt;"-",_xlfn.XLOOKUP(IFERROR(IFERROR(IFERROR(VALUE(SUBSTITUTE(MID(_xlfn.TEXTAFTER('Banco de Dados'!$F409,"Data do Pedido:
",1),1,10),"-","/")),VALUE(SUBSTITUTE(MID(_xlfn.TEXTAFTER('Banco de Dados'!$F409,"Order date:
",1),1,10),"-","/"))),VALUE(SUBSTITUTE(MID(_xlfn.TEXTAFTER('Banco de Dados'!$F409,"Fecha de pedido:
",1),1,10),"-","/"))),"-"),SMS!A:A,SMS!K:K),0),0)</f>
        <v>0</v>
      </c>
      <c r="AO409" s="109">
        <f ca="1">IF('Banco de Dados'!$AK409&lt;&gt;"-",IF('Banco de Dados'!$F409&lt;&gt;"-",IFERROR(_xlfn.XLOOKUP(_xlfn.CONCAT('Banco de Dados'!$A409,IFERROR(IFERROR(VALUE(SUBSTITUTE(MID(_xlfn.TEXTAFTER('Banco de Dados'!$F409,"Data do Pedido:
",1),1,10),"-","/")),VALUE(SUBSTITUTE(MID(_xlfn.TEXTAFTER('Banco de Dados'!$F409,"Order date:
",1),1,10),"-","/"))),0)),ProxyDD[Chave],ProxyDD[Valor por pedido]),PROXY!$P$2),0),0)</f>
        <v>0</v>
      </c>
      <c r="AP409" s="28">
        <f ca="1">IF('Banco de Dados'!$AK409&lt;&gt;"-",IF('Banco de Dados'!$AL409="NÃO",IFERROR(VALUE(SUBSTITUTE(_xlfn.TEXTAFTER('Banco de Dados'!$F409,"BRL ",1),".",",")),0),0),0)</f>
        <v>0</v>
      </c>
      <c r="AQ409" s="28">
        <f ca="1">SUM('Banco de Dados'!$AM409:$AP409)</f>
        <v>0</v>
      </c>
      <c r="AR409" s="8"/>
      <c r="AS409" s="8"/>
      <c r="AY409" s="8"/>
    </row>
    <row r="410" spans="1:51">
      <c r="A410" s="5" t="str">
        <v>BV</v>
      </c>
      <c r="B410" s="5" t="str">
        <f ca="1"/>
        <v>BV-</v>
      </c>
      <c r="C410" s="8" t="str">
        <v>Pedido 405</v>
      </c>
      <c r="D410" s="9">
        <v>45627</v>
      </c>
      <c r="E410" s="9" t="str">
        <v>-</v>
      </c>
      <c r="F410" s="8" t="str">
        <v>-</v>
      </c>
      <c r="G410" s="2" t="str">
        <v>-</v>
      </c>
      <c r="H410" s="5">
        <v>1</v>
      </c>
      <c r="I410" s="182" t="str">
        <v>CPF 392</v>
      </c>
      <c r="J410" s="2" t="str">
        <v>Nome 392</v>
      </c>
      <c r="K410" s="8" t="str">
        <v>Tel 392</v>
      </c>
      <c r="L410" s="2" t="str">
        <v>Cep 392</v>
      </c>
      <c r="M410" s="2" t="str">
        <v>Rua 392</v>
      </c>
      <c r="N410" s="2" t="str">
        <v>Comp 392</v>
      </c>
      <c r="O410" s="2" t="str">
        <v>Ventilador de teto</v>
      </c>
      <c r="P410" s="8" t="str">
        <v>BP-NHG2-B8C1</v>
      </c>
      <c r="Q410" s="4">
        <v>45637</v>
      </c>
      <c r="R410" s="109">
        <v>48.99</v>
      </c>
      <c r="S410" s="11">
        <f ca="1"/>
        <v>0</v>
      </c>
      <c r="T410" s="28">
        <f ca="1"/>
        <v>0</v>
      </c>
      <c r="U410" s="11">
        <f ca="1"/>
        <v>0</v>
      </c>
      <c r="V410" s="11">
        <v>0</v>
      </c>
      <c r="W410" s="11">
        <f ca="1"/>
        <v>0</v>
      </c>
      <c r="X410" s="11">
        <f ca="1"/>
        <v>0</v>
      </c>
      <c r="Y410" s="11">
        <v>0</v>
      </c>
      <c r="Z410" s="11">
        <f ca="1"/>
        <v>0</v>
      </c>
      <c r="AA410" s="11">
        <f ca="1"/>
        <v>0</v>
      </c>
      <c r="AB410" s="4">
        <f ca="1"/>
        <v>45644</v>
      </c>
      <c r="AC410" s="4">
        <v>45644</v>
      </c>
      <c r="AD410" s="9">
        <v>45651</v>
      </c>
      <c r="AE410" s="9">
        <v>45659</v>
      </c>
      <c r="AF410" s="4" t="str">
        <f t="shared" ca="1" si="6"/>
        <v>2024 12</v>
      </c>
      <c r="AG410" s="8" t="str" cm="1">
        <f t="array" ref="AG410">IFERROR(_xlfn.IFS('Banco de Dados'!#REF!="AG. COMPRA","Em processamento",'Banco de Dados'!#REF!="AG. RASTREIO","Em processamento",'Banco de Dados'!$AE410&lt;&gt;"-","Faturado",'Banco de Dados'!$AD410&lt;&gt;"-","Aguardando Pix",'Banco de Dados'!$AC410&lt;&gt;"-","Pendente"),"Aguardando Liberação")</f>
        <v>Aguardando Liberação</v>
      </c>
      <c r="AH410" s="5" t="str">
        <f ca="1">IF('Banco de Dados'!$F410="-",_xlfn.CONCAT(PROPER(TEXT(AK410,"aaaa"))," ",PROPER(TEXT(AK410,"mm"))),_xlfn.CONCAT(PROPER(TEXT(E410,"aaaa"))," ",PROPER(TEXT(E410,"mm"))))</f>
        <v>2024 11</v>
      </c>
      <c r="AI410" s="9" t="str">
        <f ca="1">IF('Banco de Dados'!$AK410&lt;&gt;"-","REEMBOLSO",IFERROR(_xlfn.XLOOKUP(G410,Follow[CODRASTREIO],Follow[STATUS]),"-"))</f>
        <v>REEMBOLSO</v>
      </c>
      <c r="AJ410" s="9" t="str">
        <f ca="1">IF('Banco de Dados'!$AI410="ENTREGUE",_xlfn.XLOOKUP('Banco de Dados'!$G410,Follow[CODRASTREIO],Follow[DATAATUALIZAÇÃO]),"-")</f>
        <v>-</v>
      </c>
      <c r="AK410" s="9">
        <f ca="1"/>
        <v>45616</v>
      </c>
      <c r="AL410" s="35"/>
      <c r="AM410" s="109">
        <v>1.27</v>
      </c>
      <c r="AN410" s="109">
        <f ca="1">IF('Banco de Dados'!$AK410&lt;&gt;"-",IF('Banco de Dados'!$F410&lt;&gt;"-",_xlfn.XLOOKUP(IFERROR(IFERROR(IFERROR(VALUE(SUBSTITUTE(MID(_xlfn.TEXTAFTER('Banco de Dados'!$F410,"Data do Pedido:
",1),1,10),"-","/")),VALUE(SUBSTITUTE(MID(_xlfn.TEXTAFTER('Banco de Dados'!$F410,"Order date:
",1),1,10),"-","/"))),VALUE(SUBSTITUTE(MID(_xlfn.TEXTAFTER('Banco de Dados'!$F410,"Fecha de pedido:
",1),1,10),"-","/"))),"-"),SMS!A:A,SMS!K:K),0),0)</f>
        <v>0</v>
      </c>
      <c r="AO410" s="109">
        <f ca="1">IF('Banco de Dados'!$AK410&lt;&gt;"-",IF('Banco de Dados'!$F410&lt;&gt;"-",IFERROR(_xlfn.XLOOKUP(_xlfn.CONCAT('Banco de Dados'!$A410,IFERROR(IFERROR(VALUE(SUBSTITUTE(MID(_xlfn.TEXTAFTER('Banco de Dados'!$F410,"Data do Pedido:
",1),1,10),"-","/")),VALUE(SUBSTITUTE(MID(_xlfn.TEXTAFTER('Banco de Dados'!$F410,"Order date:
",1),1,10),"-","/"))),0)),ProxyDD[Chave],ProxyDD[Valor por pedido]),PROXY!$P$2),0),0)</f>
        <v>0</v>
      </c>
      <c r="AP410" s="28">
        <f ca="1">IF('Banco de Dados'!$AK410&lt;&gt;"-",IF('Banco de Dados'!$AL410="NÃO",IFERROR(VALUE(SUBSTITUTE(_xlfn.TEXTAFTER('Banco de Dados'!$F410,"BRL ",1),".",",")),0),0),0)</f>
        <v>0</v>
      </c>
      <c r="AQ410" s="28">
        <f ca="1">SUM('Banco de Dados'!$AM410:$AP410)</f>
        <v>1.27</v>
      </c>
      <c r="AR410" s="8"/>
      <c r="AS410" s="8"/>
      <c r="AY410" s="8"/>
    </row>
    <row r="411" spans="1:51">
      <c r="A411" s="5" t="str">
        <v>BV</v>
      </c>
      <c r="B411" s="5" t="str">
        <f ca="1"/>
        <v>BV45616</v>
      </c>
      <c r="C411" s="8" t="str">
        <v>Pedido 406</v>
      </c>
      <c r="D411" s="9">
        <v>45616</v>
      </c>
      <c r="E411" s="9">
        <v>45616</v>
      </c>
      <c r="F411" s="8" t="str">
        <v>PedidoF395</v>
      </c>
      <c r="G411" s="2" t="str">
        <v>CódRastreio395</v>
      </c>
      <c r="H411" s="5">
        <v>1</v>
      </c>
      <c r="I411" s="182" t="str">
        <v>CPF 393</v>
      </c>
      <c r="J411" s="2" t="str">
        <v>Nome 393</v>
      </c>
      <c r="K411" s="8" t="str">
        <v>Tel 393</v>
      </c>
      <c r="L411" s="2" t="str">
        <v>Cep 393</v>
      </c>
      <c r="M411" s="2" t="str">
        <v>Rua 393</v>
      </c>
      <c r="N411" s="2" t="str">
        <v>Comp 393</v>
      </c>
      <c r="O411" s="2" t="str">
        <v>Ventilador Preto</v>
      </c>
      <c r="P411" s="8" t="str">
        <v>MU-J80P-95WF</v>
      </c>
      <c r="Q411" s="4">
        <v>45637</v>
      </c>
      <c r="R411" s="109">
        <v>59.2</v>
      </c>
      <c r="S411" s="11">
        <f ca="1"/>
        <v>59.2</v>
      </c>
      <c r="T411" s="28">
        <f ca="1"/>
        <v>7.6960000000000006</v>
      </c>
      <c r="U411" s="11">
        <f ca="1"/>
        <v>51.5</v>
      </c>
      <c r="V411" s="11">
        <v>10.81</v>
      </c>
      <c r="W411" s="11">
        <f ca="1"/>
        <v>0.31</v>
      </c>
      <c r="X411" s="11">
        <f ca="1"/>
        <v>0.39877104377104378</v>
      </c>
      <c r="Y411" s="11">
        <v>0</v>
      </c>
      <c r="Z411" s="11">
        <f ca="1"/>
        <v>39.981228956228954</v>
      </c>
      <c r="AA411" s="11">
        <f ca="1"/>
        <v>19.990614478114477</v>
      </c>
      <c r="AB411" s="4">
        <f ca="1"/>
        <v>45644</v>
      </c>
      <c r="AC411" s="4">
        <v>45644</v>
      </c>
      <c r="AD411" s="9">
        <v>45651</v>
      </c>
      <c r="AE411" s="9">
        <v>45659</v>
      </c>
      <c r="AF411" s="4" t="str">
        <f t="shared" ca="1" si="6"/>
        <v>2024 12</v>
      </c>
      <c r="AG411" s="8" t="str" cm="1">
        <f t="array" ref="AG411">IFERROR(_xlfn.IFS('Banco de Dados'!#REF!="AG. COMPRA","Em processamento",'Banco de Dados'!#REF!="AG. RASTREIO","Em processamento",'Banco de Dados'!$AE411&lt;&gt;"-","Faturado",'Banco de Dados'!$AD411&lt;&gt;"-","Aguardando Pix",'Banco de Dados'!$AC411&lt;&gt;"-","Pendente"),"Aguardando Liberação")</f>
        <v>Aguardando Liberação</v>
      </c>
      <c r="AH411" s="5" t="str">
        <f>IF('Banco de Dados'!$F411="-",_xlfn.CONCAT(PROPER(TEXT(AK411,"aaaa"))," ",PROPER(TEXT(AK411,"mm"))),_xlfn.CONCAT(PROPER(TEXT(E411,"aaaa"))," ",PROPER(TEXT(E411,"mm"))))</f>
        <v>2024 11</v>
      </c>
      <c r="AI411" s="9" t="str">
        <f ca="1">IF('Banco de Dados'!$AK411&lt;&gt;"-","REEMBOLSO",IFERROR(_xlfn.XLOOKUP(G411,Follow[CODRASTREIO],Follow[STATUS]),"-"))</f>
        <v>ENTREGUE</v>
      </c>
      <c r="AJ411" s="9">
        <f ca="1">IF('Banco de Dados'!$AI411="ENTREGUE",_xlfn.XLOOKUP('Banco de Dados'!$G411,Follow[CODRASTREIO],Follow[DATAATUALIZAÇÃO]),"-")</f>
        <v>45630</v>
      </c>
      <c r="AK411" s="9" t="str">
        <f ca="1"/>
        <v>-</v>
      </c>
      <c r="AL411" s="35"/>
      <c r="AM411" s="109" cm="1">
        <f t="array" aca="1" ref="AM411" ca="1">IF('Banco de Dados'!$AK411&lt;&gt;"-",_xlfn.IFS('Banco de Dados'!$A411="bv",IF('Banco de Dados'!$E411&lt;45641,ROUND(SUM('Banco de Dados'!$R411*_xlfn.XLOOKUP('Banco de Dados'!$P411,Sku!B:B,Sku!#REF!)*20%),2),ROUND(SUM('Banco de Dados'!$R411*_xlfn.XLOOKUP('Banco de Dados'!$P411,Sku!B:B,Sku!H:H)*20%),2)),'Banco de Dados'!$A411="GO",ROUND(_xlfn.XLOOKUP('Banco de Dados'!$P411,Sku!C:C,Sku!H:H),2),'Banco de Dados'!$A411="MEI",ROUND(_xlfn.XLOOKUP('Banco de Dados'!$P411,Sku!D:D,Sku!H:H),2)),0)</f>
        <v>0</v>
      </c>
      <c r="AN411" s="109">
        <f ca="1">IF('Banco de Dados'!$AK411&lt;&gt;"-",IF('Banco de Dados'!$F411&lt;&gt;"-",_xlfn.XLOOKUP(IFERROR(IFERROR(IFERROR(VALUE(SUBSTITUTE(MID(_xlfn.TEXTAFTER('Banco de Dados'!$F411,"Data do Pedido:
",1),1,10),"-","/")),VALUE(SUBSTITUTE(MID(_xlfn.TEXTAFTER('Banco de Dados'!$F411,"Order date:
",1),1,10),"-","/"))),VALUE(SUBSTITUTE(MID(_xlfn.TEXTAFTER('Banco de Dados'!$F411,"Fecha de pedido:
",1),1,10),"-","/"))),"-"),SMS!A:A,SMS!K:K),0),0)</f>
        <v>0</v>
      </c>
      <c r="AO411" s="109">
        <f ca="1">IF('Banco de Dados'!$AK411&lt;&gt;"-",IF('Banco de Dados'!$F411&lt;&gt;"-",IFERROR(_xlfn.XLOOKUP(_xlfn.CONCAT('Banco de Dados'!$A411,IFERROR(IFERROR(VALUE(SUBSTITUTE(MID(_xlfn.TEXTAFTER('Banco de Dados'!$F411,"Data do Pedido:
",1),1,10),"-","/")),VALUE(SUBSTITUTE(MID(_xlfn.TEXTAFTER('Banco de Dados'!$F411,"Order date:
",1),1,10),"-","/"))),0)),ProxyDD[Chave],ProxyDD[Valor por pedido]),PROXY!$P$2),0),0)</f>
        <v>0</v>
      </c>
      <c r="AP411" s="28">
        <f ca="1">IF('Banco de Dados'!$AK411&lt;&gt;"-",IF('Banco de Dados'!$AL411="NÃO",IFERROR(VALUE(SUBSTITUTE(_xlfn.TEXTAFTER('Banco de Dados'!$F411,"BRL ",1),".",",")),0),0),0)</f>
        <v>0</v>
      </c>
      <c r="AQ411" s="28">
        <f ca="1">SUM('Banco de Dados'!$AM411:$AP411)</f>
        <v>0</v>
      </c>
      <c r="AR411" s="8"/>
      <c r="AS411" s="8"/>
      <c r="AY411" s="8"/>
    </row>
    <row r="412" spans="1:51">
      <c r="A412" s="5" t="str">
        <v>BV</v>
      </c>
      <c r="B412" s="5" t="str">
        <f ca="1"/>
        <v>BV45616</v>
      </c>
      <c r="C412" s="8" t="str">
        <v>Pedido 407</v>
      </c>
      <c r="D412" s="9">
        <v>45616</v>
      </c>
      <c r="E412" s="9">
        <v>45616</v>
      </c>
      <c r="F412" s="8" t="str">
        <v>PedidoF396</v>
      </c>
      <c r="G412" s="2" t="str">
        <v>CódRastreio396</v>
      </c>
      <c r="H412" s="5">
        <v>1</v>
      </c>
      <c r="I412" s="182" t="str">
        <v>CPF 394</v>
      </c>
      <c r="J412" s="2" t="str">
        <v>Nome 394</v>
      </c>
      <c r="K412" s="8" t="str">
        <v>Tel 394</v>
      </c>
      <c r="L412" s="2" t="str">
        <v>Cep 394</v>
      </c>
      <c r="M412" s="2" t="str">
        <v>Rua 394</v>
      </c>
      <c r="N412" s="2" t="str">
        <v>Comp 394</v>
      </c>
      <c r="O412" s="2" t="str">
        <v>Ventilador Preto</v>
      </c>
      <c r="P412" s="8" t="str">
        <v>MU-J80P-95WF</v>
      </c>
      <c r="Q412" s="4">
        <v>45637</v>
      </c>
      <c r="R412" s="109">
        <v>59.2</v>
      </c>
      <c r="S412" s="11">
        <f ca="1"/>
        <v>59.2</v>
      </c>
      <c r="T412" s="28">
        <f ca="1"/>
        <v>7.6960000000000006</v>
      </c>
      <c r="U412" s="11">
        <f ca="1"/>
        <v>51.5</v>
      </c>
      <c r="V412" s="11">
        <v>11.14</v>
      </c>
      <c r="W412" s="11">
        <f ca="1"/>
        <v>0.31</v>
      </c>
      <c r="X412" s="11">
        <f ca="1"/>
        <v>0.39877104377104378</v>
      </c>
      <c r="Y412" s="11">
        <v>0</v>
      </c>
      <c r="Z412" s="11">
        <f ca="1"/>
        <v>39.651228956228955</v>
      </c>
      <c r="AA412" s="11">
        <f ca="1"/>
        <v>19.825614478114478</v>
      </c>
      <c r="AB412" s="4">
        <f ca="1"/>
        <v>45644</v>
      </c>
      <c r="AC412" s="4">
        <v>45644</v>
      </c>
      <c r="AD412" s="9">
        <v>45651</v>
      </c>
      <c r="AE412" s="9">
        <v>45659</v>
      </c>
      <c r="AF412" s="4" t="str">
        <f t="shared" ca="1" si="6"/>
        <v>2024 12</v>
      </c>
      <c r="AG412" s="8" t="str" cm="1">
        <f t="array" ref="AG412">IFERROR(_xlfn.IFS('Banco de Dados'!#REF!="AG. COMPRA","Em processamento",'Banco de Dados'!#REF!="AG. RASTREIO","Em processamento",'Banco de Dados'!$AE412&lt;&gt;"-","Faturado",'Banco de Dados'!$AD412&lt;&gt;"-","Aguardando Pix",'Banco de Dados'!$AC412&lt;&gt;"-","Pendente"),"Aguardando Liberação")</f>
        <v>Aguardando Liberação</v>
      </c>
      <c r="AH412" s="5" t="str">
        <f>IF('Banco de Dados'!$F412="-",_xlfn.CONCAT(PROPER(TEXT(AK412,"aaaa"))," ",PROPER(TEXT(AK412,"mm"))),_xlfn.CONCAT(PROPER(TEXT(E412,"aaaa"))," ",PROPER(TEXT(E412,"mm"))))</f>
        <v>2024 11</v>
      </c>
      <c r="AI412" s="9" t="str">
        <f ca="1">IF('Banco de Dados'!$AK412&lt;&gt;"-","REEMBOLSO",IFERROR(_xlfn.XLOOKUP(G412,Follow[CODRASTREIO],Follow[STATUS]),"-"))</f>
        <v>ENTREGUE</v>
      </c>
      <c r="AJ412" s="9">
        <f ca="1">IF('Banco de Dados'!$AI412="ENTREGUE",_xlfn.XLOOKUP('Banco de Dados'!$G412,Follow[CODRASTREIO],Follow[DATAATUALIZAÇÃO]),"-")</f>
        <v>45623</v>
      </c>
      <c r="AK412" s="9" t="str">
        <f ca="1"/>
        <v>-</v>
      </c>
      <c r="AL412" s="35"/>
      <c r="AM412" s="109" cm="1">
        <f t="array" aca="1" ref="AM412" ca="1">IF('Banco de Dados'!$AK412&lt;&gt;"-",_xlfn.IFS('Banco de Dados'!$A412="bv",IF('Banco de Dados'!$E412&lt;45641,ROUND(SUM('Banco de Dados'!$R412*_xlfn.XLOOKUP('Banco de Dados'!$P412,Sku!B:B,Sku!#REF!)*20%),2),ROUND(SUM('Banco de Dados'!$R412*_xlfn.XLOOKUP('Banco de Dados'!$P412,Sku!B:B,Sku!H:H)*20%),2)),'Banco de Dados'!$A412="GO",ROUND(_xlfn.XLOOKUP('Banco de Dados'!$P412,Sku!C:C,Sku!H:H),2),'Banco de Dados'!$A412="MEI",ROUND(_xlfn.XLOOKUP('Banco de Dados'!$P412,Sku!D:D,Sku!H:H),2)),0)</f>
        <v>0</v>
      </c>
      <c r="AN412" s="109">
        <f ca="1">IF('Banco de Dados'!$AK412&lt;&gt;"-",IF('Banco de Dados'!$F412&lt;&gt;"-",_xlfn.XLOOKUP(IFERROR(IFERROR(IFERROR(VALUE(SUBSTITUTE(MID(_xlfn.TEXTAFTER('Banco de Dados'!$F412,"Data do Pedido:
",1),1,10),"-","/")),VALUE(SUBSTITUTE(MID(_xlfn.TEXTAFTER('Banco de Dados'!$F412,"Order date:
",1),1,10),"-","/"))),VALUE(SUBSTITUTE(MID(_xlfn.TEXTAFTER('Banco de Dados'!$F412,"Fecha de pedido:
",1),1,10),"-","/"))),"-"),SMS!A:A,SMS!K:K),0),0)</f>
        <v>0</v>
      </c>
      <c r="AO412" s="109">
        <f ca="1">IF('Banco de Dados'!$AK412&lt;&gt;"-",IF('Banco de Dados'!$F412&lt;&gt;"-",IFERROR(_xlfn.XLOOKUP(_xlfn.CONCAT('Banco de Dados'!$A412,IFERROR(IFERROR(VALUE(SUBSTITUTE(MID(_xlfn.TEXTAFTER('Banco de Dados'!$F412,"Data do Pedido:
",1),1,10),"-","/")),VALUE(SUBSTITUTE(MID(_xlfn.TEXTAFTER('Banco de Dados'!$F412,"Order date:
",1),1,10),"-","/"))),0)),ProxyDD[Chave],ProxyDD[Valor por pedido]),PROXY!$P$2),0),0)</f>
        <v>0</v>
      </c>
      <c r="AP412" s="28">
        <f ca="1">IF('Banco de Dados'!$AK412&lt;&gt;"-",IF('Banco de Dados'!$AL412="NÃO",IFERROR(VALUE(SUBSTITUTE(_xlfn.TEXTAFTER('Banco de Dados'!$F412,"BRL ",1),".",",")),0),0),0)</f>
        <v>0</v>
      </c>
      <c r="AQ412" s="28">
        <f ca="1">SUM('Banco de Dados'!$AM412:$AP412)</f>
        <v>0</v>
      </c>
      <c r="AR412" s="8"/>
      <c r="AS412" s="8"/>
      <c r="AY412" s="8"/>
    </row>
    <row r="413" spans="1:51">
      <c r="A413" s="5" t="str">
        <v>BV</v>
      </c>
      <c r="B413" s="5" t="str">
        <f ca="1"/>
        <v>BV45616</v>
      </c>
      <c r="C413" s="8" t="str">
        <v>Pedido 408</v>
      </c>
      <c r="D413" s="9">
        <v>45616</v>
      </c>
      <c r="E413" s="9">
        <v>45616</v>
      </c>
      <c r="F413" s="8" t="str">
        <v>PedidoF397</v>
      </c>
      <c r="G413" s="2" t="str">
        <v>CódRastreio397</v>
      </c>
      <c r="H413" s="5">
        <v>1</v>
      </c>
      <c r="I413" s="182" t="str">
        <v>CPF 395</v>
      </c>
      <c r="J413" s="2" t="str">
        <v>Nome 395</v>
      </c>
      <c r="K413" s="8" t="str">
        <v>Tel 395</v>
      </c>
      <c r="L413" s="2" t="str">
        <v>Cep 395</v>
      </c>
      <c r="M413" s="2" t="str">
        <v>Rua 395</v>
      </c>
      <c r="N413" s="2" t="str">
        <v>Comp 395</v>
      </c>
      <c r="O413" s="2" t="str">
        <v>Ventilador Preto</v>
      </c>
      <c r="P413" s="8" t="str">
        <v>MU-J80P-95WF</v>
      </c>
      <c r="Q413" s="4">
        <v>45637</v>
      </c>
      <c r="R413" s="109">
        <v>59.2</v>
      </c>
      <c r="S413" s="11">
        <f ca="1"/>
        <v>59.2</v>
      </c>
      <c r="T413" s="28">
        <f ca="1"/>
        <v>7.6960000000000006</v>
      </c>
      <c r="U413" s="11">
        <f ca="1"/>
        <v>51.5</v>
      </c>
      <c r="V413" s="11">
        <v>11.14</v>
      </c>
      <c r="W413" s="11">
        <f ca="1"/>
        <v>0.31</v>
      </c>
      <c r="X413" s="11">
        <f ca="1"/>
        <v>0.39877104377104378</v>
      </c>
      <c r="Y413" s="11">
        <v>0</v>
      </c>
      <c r="Z413" s="11">
        <f ca="1"/>
        <v>39.651228956228955</v>
      </c>
      <c r="AA413" s="11">
        <f ca="1"/>
        <v>19.825614478114478</v>
      </c>
      <c r="AB413" s="4">
        <f ca="1"/>
        <v>45644</v>
      </c>
      <c r="AC413" s="4">
        <v>45644</v>
      </c>
      <c r="AD413" s="9">
        <v>45651</v>
      </c>
      <c r="AE413" s="9">
        <v>45659</v>
      </c>
      <c r="AF413" s="4" t="str">
        <f t="shared" ca="1" si="6"/>
        <v>2024 12</v>
      </c>
      <c r="AG413" s="8" t="str" cm="1">
        <f t="array" ref="AG413">IFERROR(_xlfn.IFS('Banco de Dados'!#REF!="AG. COMPRA","Em processamento",'Banco de Dados'!#REF!="AG. RASTREIO","Em processamento",'Banco de Dados'!$AE413&lt;&gt;"-","Faturado",'Banco de Dados'!$AD413&lt;&gt;"-","Aguardando Pix",'Banco de Dados'!$AC413&lt;&gt;"-","Pendente"),"Aguardando Liberação")</f>
        <v>Aguardando Liberação</v>
      </c>
      <c r="AH413" s="5" t="str">
        <f>IF('Banco de Dados'!$F413="-",_xlfn.CONCAT(PROPER(TEXT(AK413,"aaaa"))," ",PROPER(TEXT(AK413,"mm"))),_xlfn.CONCAT(PROPER(TEXT(E413,"aaaa"))," ",PROPER(TEXT(E413,"mm"))))</f>
        <v>2024 11</v>
      </c>
      <c r="AI413" s="9" t="str">
        <f ca="1">IF('Banco de Dados'!$AK413&lt;&gt;"-","REEMBOLSO",IFERROR(_xlfn.XLOOKUP(G413,Follow[CODRASTREIO],Follow[STATUS]),"-"))</f>
        <v>ENTREGUE</v>
      </c>
      <c r="AJ413" s="9">
        <f ca="1">IF('Banco de Dados'!$AI413="ENTREGUE",_xlfn.XLOOKUP('Banco de Dados'!$G413,Follow[CODRASTREIO],Follow[DATAATUALIZAÇÃO]),"-")</f>
        <v>45632.600775462961</v>
      </c>
      <c r="AK413" s="9" t="str">
        <f ca="1"/>
        <v>-</v>
      </c>
      <c r="AL413" s="35"/>
      <c r="AM413" s="109" cm="1">
        <f t="array" aca="1" ref="AM413" ca="1">IF('Banco de Dados'!$AK413&lt;&gt;"-",_xlfn.IFS('Banco de Dados'!$A413="bv",IF('Banco de Dados'!$E413&lt;45641,ROUND(SUM('Banco de Dados'!$R413*_xlfn.XLOOKUP('Banco de Dados'!$P413,Sku!B:B,Sku!#REF!)*20%),2),ROUND(SUM('Banco de Dados'!$R413*_xlfn.XLOOKUP('Banco de Dados'!$P413,Sku!B:B,Sku!H:H)*20%),2)),'Banco de Dados'!$A413="GO",ROUND(_xlfn.XLOOKUP('Banco de Dados'!$P413,Sku!C:C,Sku!H:H),2),'Banco de Dados'!$A413="MEI",ROUND(_xlfn.XLOOKUP('Banco de Dados'!$P413,Sku!D:D,Sku!H:H),2)),0)</f>
        <v>0</v>
      </c>
      <c r="AN413" s="109">
        <f ca="1">IF('Banco de Dados'!$AK413&lt;&gt;"-",IF('Banco de Dados'!$F413&lt;&gt;"-",_xlfn.XLOOKUP(IFERROR(IFERROR(IFERROR(VALUE(SUBSTITUTE(MID(_xlfn.TEXTAFTER('Banco de Dados'!$F413,"Data do Pedido:
",1),1,10),"-","/")),VALUE(SUBSTITUTE(MID(_xlfn.TEXTAFTER('Banco de Dados'!$F413,"Order date:
",1),1,10),"-","/"))),VALUE(SUBSTITUTE(MID(_xlfn.TEXTAFTER('Banco de Dados'!$F413,"Fecha de pedido:
",1),1,10),"-","/"))),"-"),SMS!A:A,SMS!K:K),0),0)</f>
        <v>0</v>
      </c>
      <c r="AO413" s="109">
        <f ca="1">IF('Banco de Dados'!$AK413&lt;&gt;"-",IF('Banco de Dados'!$F413&lt;&gt;"-",IFERROR(_xlfn.XLOOKUP(_xlfn.CONCAT('Banco de Dados'!$A413,IFERROR(IFERROR(VALUE(SUBSTITUTE(MID(_xlfn.TEXTAFTER('Banco de Dados'!$F413,"Data do Pedido:
",1),1,10),"-","/")),VALUE(SUBSTITUTE(MID(_xlfn.TEXTAFTER('Banco de Dados'!$F413,"Order date:
",1),1,10),"-","/"))),0)),ProxyDD[Chave],ProxyDD[Valor por pedido]),PROXY!$P$2),0),0)</f>
        <v>0</v>
      </c>
      <c r="AP413" s="28">
        <f ca="1">IF('Banco de Dados'!$AK413&lt;&gt;"-",IF('Banco de Dados'!$AL413="NÃO",IFERROR(VALUE(SUBSTITUTE(_xlfn.TEXTAFTER('Banco de Dados'!$F413,"BRL ",1),".",",")),0),0),0)</f>
        <v>0</v>
      </c>
      <c r="AQ413" s="28">
        <f ca="1">SUM('Banco de Dados'!$AM413:$AP413)</f>
        <v>0</v>
      </c>
      <c r="AR413" s="8"/>
      <c r="AS413" s="8"/>
      <c r="AY413" s="8"/>
    </row>
    <row r="414" spans="1:51">
      <c r="A414" s="5" t="str">
        <v>BV</v>
      </c>
      <c r="B414" s="5" t="str">
        <f ca="1"/>
        <v>BV45616</v>
      </c>
      <c r="C414" s="8" t="str">
        <v>Pedido 409</v>
      </c>
      <c r="D414" s="9">
        <v>45616</v>
      </c>
      <c r="E414" s="9">
        <v>45616</v>
      </c>
      <c r="F414" s="8" t="str">
        <v>PedidoF398</v>
      </c>
      <c r="G414" s="2" t="str">
        <v>CódRastreio398</v>
      </c>
      <c r="H414" s="5">
        <v>1</v>
      </c>
      <c r="I414" s="182" t="str">
        <v>CPF 396</v>
      </c>
      <c r="J414" s="2" t="str">
        <v>Nome 396</v>
      </c>
      <c r="K414" s="8" t="str">
        <v>Tel 396</v>
      </c>
      <c r="L414" s="2" t="str">
        <v>Cep 396</v>
      </c>
      <c r="M414" s="2" t="str">
        <v>Rua 396</v>
      </c>
      <c r="N414" s="2" t="str">
        <v>Comp 396</v>
      </c>
      <c r="O414" s="2" t="str">
        <v>Garrafa Termica</v>
      </c>
      <c r="P414" s="8" t="str">
        <v>FM-QQ8Y-RZT4</v>
      </c>
      <c r="Q414" s="4">
        <v>45631</v>
      </c>
      <c r="R414" s="109">
        <v>22.5</v>
      </c>
      <c r="S414" s="11">
        <f ca="1"/>
        <v>22.5</v>
      </c>
      <c r="T414" s="28">
        <f ca="1"/>
        <v>2.9250000000000003</v>
      </c>
      <c r="U414" s="11">
        <f ca="1"/>
        <v>19.579999999999998</v>
      </c>
      <c r="V414" s="11">
        <v>10.18</v>
      </c>
      <c r="W414" s="11">
        <f ca="1"/>
        <v>0.31</v>
      </c>
      <c r="X414" s="11">
        <f ca="1"/>
        <v>0.39877104377104378</v>
      </c>
      <c r="Y414" s="11">
        <v>0</v>
      </c>
      <c r="Z414" s="11">
        <f ca="1"/>
        <v>8.6912289562289544</v>
      </c>
      <c r="AA414" s="11">
        <f ca="1"/>
        <v>4.3456144781144772</v>
      </c>
      <c r="AB414" s="4">
        <f ca="1"/>
        <v>45638</v>
      </c>
      <c r="AC414" s="4">
        <v>45638</v>
      </c>
      <c r="AD414" s="9">
        <v>45640</v>
      </c>
      <c r="AE414" s="9">
        <v>45642</v>
      </c>
      <c r="AF414" s="4" t="str">
        <f t="shared" ca="1" si="6"/>
        <v>2024 12</v>
      </c>
      <c r="AG414" s="8" t="str" cm="1">
        <f t="array" ref="AG414">IFERROR(_xlfn.IFS('Banco de Dados'!#REF!="AG. COMPRA","Em processamento",'Banco de Dados'!#REF!="AG. RASTREIO","Em processamento",'Banco de Dados'!$AE414&lt;&gt;"-","Faturado",'Banco de Dados'!$AD414&lt;&gt;"-","Aguardando Pix",'Banco de Dados'!$AC414&lt;&gt;"-","Pendente"),"Aguardando Liberação")</f>
        <v>Aguardando Liberação</v>
      </c>
      <c r="AH414" s="5" t="str">
        <f>IF('Banco de Dados'!$F414="-",_xlfn.CONCAT(PROPER(TEXT(AK414,"aaaa"))," ",PROPER(TEXT(AK414,"mm"))),_xlfn.CONCAT(PROPER(TEXT(E414,"aaaa"))," ",PROPER(TEXT(E414,"mm"))))</f>
        <v>2024 11</v>
      </c>
      <c r="AI414" s="9" t="str">
        <f ca="1">IF('Banco de Dados'!$AK414&lt;&gt;"-","REEMBOLSO",IFERROR(_xlfn.XLOOKUP(G414,Follow[CODRASTREIO],Follow[STATUS]),"-"))</f>
        <v>ENTREGUE</v>
      </c>
      <c r="AJ414" s="9">
        <f ca="1">IF('Banco de Dados'!$AI414="ENTREGUE",_xlfn.XLOOKUP('Banco de Dados'!$G414,Follow[CODRASTREIO],Follow[DATAATUALIZAÇÃO]),"-")</f>
        <v>45628</v>
      </c>
      <c r="AK414" s="9" t="str">
        <f ca="1"/>
        <v>-</v>
      </c>
      <c r="AL414" s="35"/>
      <c r="AM414" s="109" cm="1">
        <f t="array" aca="1" ref="AM414" ca="1">IF('Banco de Dados'!$AK414&lt;&gt;"-",_xlfn.IFS('Banco de Dados'!$A414="bv",IF('Banco de Dados'!$E414&lt;45641,ROUND(SUM('Banco de Dados'!$R414*_xlfn.XLOOKUP('Banco de Dados'!$P414,Sku!B:B,Sku!#REF!)*20%),2),ROUND(SUM('Banco de Dados'!$R414*_xlfn.XLOOKUP('Banco de Dados'!$P414,Sku!B:B,Sku!H:H)*20%),2)),'Banco de Dados'!$A414="GO",ROUND(_xlfn.XLOOKUP('Banco de Dados'!$P414,Sku!C:C,Sku!H:H),2),'Banco de Dados'!$A414="MEI",ROUND(_xlfn.XLOOKUP('Banco de Dados'!$P414,Sku!D:D,Sku!H:H),2)),0)</f>
        <v>0</v>
      </c>
      <c r="AN414" s="109">
        <f ca="1">IF('Banco de Dados'!$AK414&lt;&gt;"-",IF('Banco de Dados'!$F414&lt;&gt;"-",_xlfn.XLOOKUP(IFERROR(IFERROR(IFERROR(VALUE(SUBSTITUTE(MID(_xlfn.TEXTAFTER('Banco de Dados'!$F414,"Data do Pedido:
",1),1,10),"-","/")),VALUE(SUBSTITUTE(MID(_xlfn.TEXTAFTER('Banco de Dados'!$F414,"Order date:
",1),1,10),"-","/"))),VALUE(SUBSTITUTE(MID(_xlfn.TEXTAFTER('Banco de Dados'!$F414,"Fecha de pedido:
",1),1,10),"-","/"))),"-"),SMS!A:A,SMS!K:K),0),0)</f>
        <v>0</v>
      </c>
      <c r="AO414" s="109">
        <f ca="1">IF('Banco de Dados'!$AK414&lt;&gt;"-",IF('Banco de Dados'!$F414&lt;&gt;"-",IFERROR(_xlfn.XLOOKUP(_xlfn.CONCAT('Banco de Dados'!$A414,IFERROR(IFERROR(VALUE(SUBSTITUTE(MID(_xlfn.TEXTAFTER('Banco de Dados'!$F414,"Data do Pedido:
",1),1,10),"-","/")),VALUE(SUBSTITUTE(MID(_xlfn.TEXTAFTER('Banco de Dados'!$F414,"Order date:
",1),1,10),"-","/"))),0)),ProxyDD[Chave],ProxyDD[Valor por pedido]),PROXY!$P$2),0),0)</f>
        <v>0</v>
      </c>
      <c r="AP414" s="28">
        <f ca="1">IF('Banco de Dados'!$AK414&lt;&gt;"-",IF('Banco de Dados'!$AL414="NÃO",IFERROR(VALUE(SUBSTITUTE(_xlfn.TEXTAFTER('Banco de Dados'!$F414,"BRL ",1),".",",")),0),0),0)</f>
        <v>0</v>
      </c>
      <c r="AQ414" s="28">
        <f ca="1">SUM('Banco de Dados'!$AM414:$AP414)</f>
        <v>0</v>
      </c>
      <c r="AR414" s="8"/>
      <c r="AS414" s="8"/>
      <c r="AY414" s="8"/>
    </row>
    <row r="415" spans="1:51">
      <c r="A415" s="5" t="str">
        <v>BV</v>
      </c>
      <c r="B415" s="5" t="str">
        <f ca="1"/>
        <v>BV45616</v>
      </c>
      <c r="C415" s="8" t="str">
        <v>Pedido 410</v>
      </c>
      <c r="D415" s="9">
        <v>45616</v>
      </c>
      <c r="E415" s="9">
        <v>45616</v>
      </c>
      <c r="F415" s="8" t="str">
        <v>PedidoF399</v>
      </c>
      <c r="G415" s="2" t="str">
        <v>CódRastreio399</v>
      </c>
      <c r="H415" s="5">
        <v>1</v>
      </c>
      <c r="I415" s="182" t="str">
        <v>CPF 397</v>
      </c>
      <c r="J415" s="2" t="str">
        <v>Nome 397</v>
      </c>
      <c r="K415" s="8" t="str">
        <v>Tel 397</v>
      </c>
      <c r="L415" s="2" t="str">
        <v>Cep 397</v>
      </c>
      <c r="M415" s="2" t="str">
        <v>Rua 397</v>
      </c>
      <c r="N415" s="2" t="str">
        <v>Comp 397</v>
      </c>
      <c r="O415" s="2" t="str">
        <v>Suporte de Celular Preto</v>
      </c>
      <c r="P415" s="8" t="str">
        <v>9G-BN48-QAPH</v>
      </c>
      <c r="Q415" s="4">
        <v>45637</v>
      </c>
      <c r="R415" s="109">
        <v>18.100000000000001</v>
      </c>
      <c r="S415" s="11">
        <f ca="1"/>
        <v>18.100000000000001</v>
      </c>
      <c r="T415" s="28">
        <f ca="1"/>
        <v>2.7150000000000003</v>
      </c>
      <c r="U415" s="11">
        <f ca="1"/>
        <v>15.39</v>
      </c>
      <c r="V415" s="11">
        <v>6.99</v>
      </c>
      <c r="W415" s="11">
        <f ca="1"/>
        <v>0.31</v>
      </c>
      <c r="X415" s="11">
        <f ca="1"/>
        <v>0.39877104377104378</v>
      </c>
      <c r="Y415" s="11">
        <v>0</v>
      </c>
      <c r="Z415" s="11">
        <f ca="1"/>
        <v>7.6912289562289571</v>
      </c>
      <c r="AA415" s="11">
        <f ca="1"/>
        <v>3.8456144781144785</v>
      </c>
      <c r="AB415" s="4">
        <f ca="1"/>
        <v>45644</v>
      </c>
      <c r="AC415" s="4">
        <v>45644</v>
      </c>
      <c r="AD415" s="9">
        <v>45651</v>
      </c>
      <c r="AE415" s="9">
        <v>45659</v>
      </c>
      <c r="AF415" s="4" t="str">
        <f t="shared" ca="1" si="6"/>
        <v>2024 12</v>
      </c>
      <c r="AG415" s="8" t="str" cm="1">
        <f t="array" ref="AG415">IFERROR(_xlfn.IFS('Banco de Dados'!#REF!="AG. COMPRA","Em processamento",'Banco de Dados'!#REF!="AG. RASTREIO","Em processamento",'Banco de Dados'!$AE415&lt;&gt;"-","Faturado",'Banco de Dados'!$AD415&lt;&gt;"-","Aguardando Pix",'Banco de Dados'!$AC415&lt;&gt;"-","Pendente"),"Aguardando Liberação")</f>
        <v>Aguardando Liberação</v>
      </c>
      <c r="AH415" s="5" t="str">
        <f>IF('Banco de Dados'!$F415="-",_xlfn.CONCAT(PROPER(TEXT(AK415,"aaaa"))," ",PROPER(TEXT(AK415,"mm"))),_xlfn.CONCAT(PROPER(TEXT(E415,"aaaa"))," ",PROPER(TEXT(E415,"mm"))))</f>
        <v>2024 11</v>
      </c>
      <c r="AI415" s="9" t="str">
        <f ca="1">IF('Banco de Dados'!$AK415&lt;&gt;"-","REEMBOLSO",IFERROR(_xlfn.XLOOKUP(G415,Follow[CODRASTREIO],Follow[STATUS]),"-"))</f>
        <v>ENTREGUE</v>
      </c>
      <c r="AJ415" s="9">
        <f ca="1">IF('Banco de Dados'!$AI415="ENTREGUE",_xlfn.XLOOKUP('Banco de Dados'!$G415,Follow[CODRASTREIO],Follow[DATAATUALIZAÇÃO]),"-")</f>
        <v>45625</v>
      </c>
      <c r="AK415" s="9" t="str">
        <f ca="1"/>
        <v>-</v>
      </c>
      <c r="AL415" s="35"/>
      <c r="AM415" s="109" cm="1">
        <f t="array" aca="1" ref="AM415" ca="1">IF('Banco de Dados'!$AK415&lt;&gt;"-",_xlfn.IFS('Banco de Dados'!$A415="bv",IF('Banco de Dados'!$E415&lt;45641,ROUND(SUM('Banco de Dados'!$R415*_xlfn.XLOOKUP('Banco de Dados'!$P415,Sku!B:B,Sku!#REF!)*20%),2),ROUND(SUM('Banco de Dados'!$R415*_xlfn.XLOOKUP('Banco de Dados'!$P415,Sku!B:B,Sku!H:H)*20%),2)),'Banco de Dados'!$A415="GO",ROUND(_xlfn.XLOOKUP('Banco de Dados'!$P415,Sku!C:C,Sku!H:H),2),'Banco de Dados'!$A415="MEI",ROUND(_xlfn.XLOOKUP('Banco de Dados'!$P415,Sku!D:D,Sku!H:H),2)),0)</f>
        <v>0</v>
      </c>
      <c r="AN415" s="109">
        <f ca="1">IF('Banco de Dados'!$AK415&lt;&gt;"-",IF('Banco de Dados'!$F415&lt;&gt;"-",_xlfn.XLOOKUP(IFERROR(IFERROR(IFERROR(VALUE(SUBSTITUTE(MID(_xlfn.TEXTAFTER('Banco de Dados'!$F415,"Data do Pedido:
",1),1,10),"-","/")),VALUE(SUBSTITUTE(MID(_xlfn.TEXTAFTER('Banco de Dados'!$F415,"Order date:
",1),1,10),"-","/"))),VALUE(SUBSTITUTE(MID(_xlfn.TEXTAFTER('Banco de Dados'!$F415,"Fecha de pedido:
",1),1,10),"-","/"))),"-"),SMS!A:A,SMS!K:K),0),0)</f>
        <v>0</v>
      </c>
      <c r="AO415" s="109">
        <f ca="1">IF('Banco de Dados'!$AK415&lt;&gt;"-",IF('Banco de Dados'!$F415&lt;&gt;"-",IFERROR(_xlfn.XLOOKUP(_xlfn.CONCAT('Banco de Dados'!$A415,IFERROR(IFERROR(VALUE(SUBSTITUTE(MID(_xlfn.TEXTAFTER('Banco de Dados'!$F415,"Data do Pedido:
",1),1,10),"-","/")),VALUE(SUBSTITUTE(MID(_xlfn.TEXTAFTER('Banco de Dados'!$F415,"Order date:
",1),1,10),"-","/"))),0)),ProxyDD[Chave],ProxyDD[Valor por pedido]),PROXY!$P$2),0),0)</f>
        <v>0</v>
      </c>
      <c r="AP415" s="28">
        <f ca="1">IF('Banco de Dados'!$AK415&lt;&gt;"-",IF('Banco de Dados'!$AL415="NÃO",IFERROR(VALUE(SUBSTITUTE(_xlfn.TEXTAFTER('Banco de Dados'!$F415,"BRL ",1),".",",")),0),0),0)</f>
        <v>0</v>
      </c>
      <c r="AQ415" s="28">
        <f ca="1">SUM('Banco de Dados'!$AM415:$AP415)</f>
        <v>0</v>
      </c>
      <c r="AR415" s="8"/>
      <c r="AS415" s="8"/>
      <c r="AY415" s="8"/>
    </row>
    <row r="416" spans="1:51">
      <c r="A416" s="5" t="str">
        <v>BV</v>
      </c>
      <c r="B416" s="5" t="str">
        <f ca="1"/>
        <v>BV45616</v>
      </c>
      <c r="C416" s="8" t="str">
        <v>Pedido 411</v>
      </c>
      <c r="D416" s="9">
        <v>45616</v>
      </c>
      <c r="E416" s="9">
        <v>45616</v>
      </c>
      <c r="F416" s="8" t="str">
        <v>PedidoF400</v>
      </c>
      <c r="G416" s="2" t="str">
        <v>CódRastreio400</v>
      </c>
      <c r="H416" s="5">
        <v>1</v>
      </c>
      <c r="I416" s="182" t="str">
        <v>CPF 398</v>
      </c>
      <c r="J416" s="2" t="str">
        <v>Nome 398</v>
      </c>
      <c r="K416" s="8" t="str">
        <v>Tel 398</v>
      </c>
      <c r="L416" s="2" t="str">
        <v>Cep 398</v>
      </c>
      <c r="M416" s="2" t="str">
        <v>Rua 398</v>
      </c>
      <c r="N416" s="2" t="str">
        <v>Comp 398</v>
      </c>
      <c r="O416" s="2" t="str">
        <v>Mini Mixer Misturador</v>
      </c>
      <c r="P416" s="8" t="str">
        <v>FK-T01D-KZC5</v>
      </c>
      <c r="Q416" s="4">
        <v>45643</v>
      </c>
      <c r="R416" s="109">
        <v>18.989999999999998</v>
      </c>
      <c r="S416" s="11">
        <f ca="1"/>
        <v>18.989999999999998</v>
      </c>
      <c r="T416" s="28">
        <f ca="1"/>
        <v>2.4686999999999997</v>
      </c>
      <c r="U416" s="11">
        <f ca="1"/>
        <v>16.52</v>
      </c>
      <c r="V416" s="11">
        <v>6.99</v>
      </c>
      <c r="W416" s="11">
        <f ca="1"/>
        <v>0.31</v>
      </c>
      <c r="X416" s="11">
        <f ca="1"/>
        <v>0.39877104377104378</v>
      </c>
      <c r="Y416" s="11">
        <v>0</v>
      </c>
      <c r="Z416" s="11">
        <f ca="1"/>
        <v>8.821228956228957</v>
      </c>
      <c r="AA416" s="11">
        <f ca="1"/>
        <v>4.4106144781144785</v>
      </c>
      <c r="AB416" s="4">
        <f ca="1"/>
        <v>45650</v>
      </c>
      <c r="AC416" s="4">
        <v>45650</v>
      </c>
      <c r="AD416" s="9">
        <v>45651</v>
      </c>
      <c r="AE416" s="9">
        <v>45659</v>
      </c>
      <c r="AF416" s="4" t="str">
        <f t="shared" ca="1" si="6"/>
        <v>2024 12</v>
      </c>
      <c r="AG416" s="8" t="str" cm="1">
        <f t="array" ref="AG416">IFERROR(_xlfn.IFS('Banco de Dados'!#REF!="AG. COMPRA","Em processamento",'Banco de Dados'!#REF!="AG. RASTREIO","Em processamento",'Banco de Dados'!$AE416&lt;&gt;"-","Faturado",'Banco de Dados'!$AD416&lt;&gt;"-","Aguardando Pix",'Banco de Dados'!$AC416&lt;&gt;"-","Pendente"),"Aguardando Liberação")</f>
        <v>Aguardando Liberação</v>
      </c>
      <c r="AH416" s="5" t="str">
        <f>IF('Banco de Dados'!$F416="-",_xlfn.CONCAT(PROPER(TEXT(AK416,"aaaa"))," ",PROPER(TEXT(AK416,"mm"))),_xlfn.CONCAT(PROPER(TEXT(E416,"aaaa"))," ",PROPER(TEXT(E416,"mm"))))</f>
        <v>2024 11</v>
      </c>
      <c r="AI416" s="9" t="str">
        <f ca="1">IF('Banco de Dados'!$AK416&lt;&gt;"-","REEMBOLSO",IFERROR(_xlfn.XLOOKUP(G416,Follow[CODRASTREIO],Follow[STATUS]),"-"))</f>
        <v>ENTREGUE</v>
      </c>
      <c r="AJ416" s="9">
        <f ca="1">IF('Banco de Dados'!$AI416="ENTREGUE",_xlfn.XLOOKUP('Banco de Dados'!$G416,Follow[CODRASTREIO],Follow[DATAATUALIZAÇÃO]),"-")</f>
        <v>45622</v>
      </c>
      <c r="AK416" s="9" t="str">
        <f ca="1"/>
        <v>-</v>
      </c>
      <c r="AL416" s="35"/>
      <c r="AM416" s="109" cm="1">
        <f t="array" aca="1" ref="AM416" ca="1">IF('Banco de Dados'!$AK416&lt;&gt;"-",_xlfn.IFS('Banco de Dados'!$A416="bv",IF('Banco de Dados'!$E416&lt;45641,ROUND(SUM('Banco de Dados'!$R416*_xlfn.XLOOKUP('Banco de Dados'!$P416,Sku!B:B,Sku!#REF!)*20%),2),ROUND(SUM('Banco de Dados'!$R416*_xlfn.XLOOKUP('Banco de Dados'!$P416,Sku!B:B,Sku!H:H)*20%),2)),'Banco de Dados'!$A416="GO",ROUND(_xlfn.XLOOKUP('Banco de Dados'!$P416,Sku!C:C,Sku!H:H),2),'Banco de Dados'!$A416="MEI",ROUND(_xlfn.XLOOKUP('Banco de Dados'!$P416,Sku!D:D,Sku!H:H),2)),0)</f>
        <v>0</v>
      </c>
      <c r="AN416" s="109">
        <f ca="1">IF('Banco de Dados'!$AK416&lt;&gt;"-",IF('Banco de Dados'!$F416&lt;&gt;"-",_xlfn.XLOOKUP(IFERROR(IFERROR(IFERROR(VALUE(SUBSTITUTE(MID(_xlfn.TEXTAFTER('Banco de Dados'!$F416,"Data do Pedido:
",1),1,10),"-","/")),VALUE(SUBSTITUTE(MID(_xlfn.TEXTAFTER('Banco de Dados'!$F416,"Order date:
",1),1,10),"-","/"))),VALUE(SUBSTITUTE(MID(_xlfn.TEXTAFTER('Banco de Dados'!$F416,"Fecha de pedido:
",1),1,10),"-","/"))),"-"),SMS!A:A,SMS!K:K),0),0)</f>
        <v>0</v>
      </c>
      <c r="AO416" s="109">
        <f ca="1">IF('Banco de Dados'!$AK416&lt;&gt;"-",IF('Banco de Dados'!$F416&lt;&gt;"-",IFERROR(_xlfn.XLOOKUP(_xlfn.CONCAT('Banco de Dados'!$A416,IFERROR(IFERROR(VALUE(SUBSTITUTE(MID(_xlfn.TEXTAFTER('Banco de Dados'!$F416,"Data do Pedido:
",1),1,10),"-","/")),VALUE(SUBSTITUTE(MID(_xlfn.TEXTAFTER('Banco de Dados'!$F416,"Order date:
",1),1,10),"-","/"))),0)),ProxyDD[Chave],ProxyDD[Valor por pedido]),PROXY!$P$2),0),0)</f>
        <v>0</v>
      </c>
      <c r="AP416" s="28">
        <f ca="1">IF('Banco de Dados'!$AK416&lt;&gt;"-",IF('Banco de Dados'!$AL416="NÃO",IFERROR(VALUE(SUBSTITUTE(_xlfn.TEXTAFTER('Banco de Dados'!$F416,"BRL ",1),".",",")),0),0),0)</f>
        <v>0</v>
      </c>
      <c r="AQ416" s="28">
        <f ca="1">SUM('Banco de Dados'!$AM416:$AP416)</f>
        <v>0</v>
      </c>
      <c r="AR416" s="8"/>
      <c r="AS416" s="8"/>
      <c r="AY416" s="8"/>
    </row>
    <row r="417" spans="1:51">
      <c r="A417" s="5" t="str">
        <v>BV</v>
      </c>
      <c r="B417" s="5" t="str">
        <f ca="1"/>
        <v>BV45616</v>
      </c>
      <c r="C417" s="8" t="str">
        <v>Pedido 412</v>
      </c>
      <c r="D417" s="9">
        <v>45616</v>
      </c>
      <c r="E417" s="9">
        <v>45616</v>
      </c>
      <c r="F417" s="8" t="str">
        <v>PedidoF401</v>
      </c>
      <c r="G417" s="2" t="str">
        <v>CódRastreio401</v>
      </c>
      <c r="H417" s="5">
        <v>1</v>
      </c>
      <c r="I417" s="182" t="str">
        <v>CPF 399</v>
      </c>
      <c r="J417" s="2" t="str">
        <v>Nome 399</v>
      </c>
      <c r="K417" s="8" t="str">
        <v>Tel 399</v>
      </c>
      <c r="L417" s="2" t="str">
        <v>Cep 399</v>
      </c>
      <c r="M417" s="2" t="str">
        <v>Rua 399</v>
      </c>
      <c r="N417" s="2" t="str">
        <v>Comp 399</v>
      </c>
      <c r="O417" s="2" t="str">
        <v>Mini Liquidificador</v>
      </c>
      <c r="P417" s="8" t="str">
        <v>CK-YL6M-P5Y6</v>
      </c>
      <c r="Q417" s="4">
        <v>45637</v>
      </c>
      <c r="R417" s="109">
        <v>31.5</v>
      </c>
      <c r="S417" s="11">
        <f ca="1"/>
        <v>31.5</v>
      </c>
      <c r="T417" s="28">
        <f ca="1"/>
        <v>4.0949999999999998</v>
      </c>
      <c r="U417" s="11">
        <f ca="1"/>
        <v>27.41</v>
      </c>
      <c r="V417" s="11">
        <v>13.99</v>
      </c>
      <c r="W417" s="11">
        <f ca="1"/>
        <v>0.31</v>
      </c>
      <c r="X417" s="11">
        <f ca="1"/>
        <v>0.39877104377104378</v>
      </c>
      <c r="Y417" s="11">
        <v>0</v>
      </c>
      <c r="Z417" s="11">
        <f ca="1"/>
        <v>12.711228956228956</v>
      </c>
      <c r="AA417" s="11">
        <f ca="1"/>
        <v>6.3556144781144779</v>
      </c>
      <c r="AB417" s="4">
        <f ca="1"/>
        <v>45644</v>
      </c>
      <c r="AC417" s="4">
        <v>45644</v>
      </c>
      <c r="AD417" s="9">
        <v>45651</v>
      </c>
      <c r="AE417" s="9">
        <v>45659</v>
      </c>
      <c r="AF417" s="4" t="str">
        <f t="shared" ca="1" si="6"/>
        <v>2024 12</v>
      </c>
      <c r="AG417" s="8" t="str" cm="1">
        <f t="array" ref="AG417">IFERROR(_xlfn.IFS('Banco de Dados'!#REF!="AG. COMPRA","Em processamento",'Banco de Dados'!#REF!="AG. RASTREIO","Em processamento",'Banco de Dados'!$AE417&lt;&gt;"-","Faturado",'Banco de Dados'!$AD417&lt;&gt;"-","Aguardando Pix",'Banco de Dados'!$AC417&lt;&gt;"-","Pendente"),"Aguardando Liberação")</f>
        <v>Aguardando Liberação</v>
      </c>
      <c r="AH417" s="5" t="str">
        <f>IF('Banco de Dados'!$F417="-",_xlfn.CONCAT(PROPER(TEXT(AK417,"aaaa"))," ",PROPER(TEXT(AK417,"mm"))),_xlfn.CONCAT(PROPER(TEXT(E417,"aaaa"))," ",PROPER(TEXT(E417,"mm"))))</f>
        <v>2024 11</v>
      </c>
      <c r="AI417" s="9" t="str">
        <f ca="1">IF('Banco de Dados'!$AK417&lt;&gt;"-","REEMBOLSO",IFERROR(_xlfn.XLOOKUP(G417,Follow[CODRASTREIO],Follow[STATUS]),"-"))</f>
        <v>ENTREGUE</v>
      </c>
      <c r="AJ417" s="9">
        <f ca="1">IF('Banco de Dados'!$AI417="ENTREGUE",_xlfn.XLOOKUP('Banco de Dados'!$G417,Follow[CODRASTREIO],Follow[DATAATUALIZAÇÃO]),"-")</f>
        <v>45624</v>
      </c>
      <c r="AK417" s="9" t="str">
        <f ca="1"/>
        <v>-</v>
      </c>
      <c r="AL417" s="35"/>
      <c r="AM417" s="109" cm="1">
        <f t="array" aca="1" ref="AM417" ca="1">IF('Banco de Dados'!$AK417&lt;&gt;"-",_xlfn.IFS('Banco de Dados'!$A417="bv",IF('Banco de Dados'!$E417&lt;45641,ROUND(SUM('Banco de Dados'!$R417*_xlfn.XLOOKUP('Banco de Dados'!$P417,Sku!B:B,Sku!#REF!)*20%),2),ROUND(SUM('Banco de Dados'!$R417*_xlfn.XLOOKUP('Banco de Dados'!$P417,Sku!B:B,Sku!H:H)*20%),2)),'Banco de Dados'!$A417="GO",ROUND(_xlfn.XLOOKUP('Banco de Dados'!$P417,Sku!C:C,Sku!H:H),2),'Banco de Dados'!$A417="MEI",ROUND(_xlfn.XLOOKUP('Banco de Dados'!$P417,Sku!D:D,Sku!H:H),2)),0)</f>
        <v>0</v>
      </c>
      <c r="AN417" s="109">
        <f ca="1">IF('Banco de Dados'!$AK417&lt;&gt;"-",IF('Banco de Dados'!$F417&lt;&gt;"-",_xlfn.XLOOKUP(IFERROR(IFERROR(IFERROR(VALUE(SUBSTITUTE(MID(_xlfn.TEXTAFTER('Banco de Dados'!$F417,"Data do Pedido:
",1),1,10),"-","/")),VALUE(SUBSTITUTE(MID(_xlfn.TEXTAFTER('Banco de Dados'!$F417,"Order date:
",1),1,10),"-","/"))),VALUE(SUBSTITUTE(MID(_xlfn.TEXTAFTER('Banco de Dados'!$F417,"Fecha de pedido:
",1),1,10),"-","/"))),"-"),SMS!A:A,SMS!K:K),0),0)</f>
        <v>0</v>
      </c>
      <c r="AO417" s="109">
        <f ca="1">IF('Banco de Dados'!$AK417&lt;&gt;"-",IF('Banco de Dados'!$F417&lt;&gt;"-",IFERROR(_xlfn.XLOOKUP(_xlfn.CONCAT('Banco de Dados'!$A417,IFERROR(IFERROR(VALUE(SUBSTITUTE(MID(_xlfn.TEXTAFTER('Banco de Dados'!$F417,"Data do Pedido:
",1),1,10),"-","/")),VALUE(SUBSTITUTE(MID(_xlfn.TEXTAFTER('Banco de Dados'!$F417,"Order date:
",1),1,10),"-","/"))),0)),ProxyDD[Chave],ProxyDD[Valor por pedido]),PROXY!$P$2),0),0)</f>
        <v>0</v>
      </c>
      <c r="AP417" s="28">
        <f ca="1">IF('Banco de Dados'!$AK417&lt;&gt;"-",IF('Banco de Dados'!$AL417="NÃO",IFERROR(VALUE(SUBSTITUTE(_xlfn.TEXTAFTER('Banco de Dados'!$F417,"BRL ",1),".",",")),0),0),0)</f>
        <v>0</v>
      </c>
      <c r="AQ417" s="28">
        <f ca="1">SUM('Banco de Dados'!$AM417:$AP417)</f>
        <v>0</v>
      </c>
      <c r="AR417" s="8"/>
      <c r="AS417" s="8"/>
      <c r="AY417" s="8"/>
    </row>
    <row r="418" spans="1:51">
      <c r="A418" s="5" t="str">
        <v>BV</v>
      </c>
      <c r="B418" s="5" t="str">
        <f ca="1"/>
        <v>BV45616</v>
      </c>
      <c r="C418" s="8" t="str">
        <v>Pedido 413</v>
      </c>
      <c r="D418" s="9">
        <v>45616</v>
      </c>
      <c r="E418" s="9">
        <v>45616</v>
      </c>
      <c r="F418" s="8" t="str">
        <v>PedidoF402</v>
      </c>
      <c r="G418" s="2" t="str">
        <v>CódRastreio402</v>
      </c>
      <c r="H418" s="5">
        <v>1</v>
      </c>
      <c r="I418" s="182" t="str">
        <v>CPF 400</v>
      </c>
      <c r="J418" s="2" t="str">
        <v>Nome 400</v>
      </c>
      <c r="K418" s="8" t="str">
        <v>Tel 400</v>
      </c>
      <c r="L418" s="2" t="str">
        <v>Cep 400</v>
      </c>
      <c r="M418" s="2" t="str">
        <v>Rua 400</v>
      </c>
      <c r="N418" s="2" t="str">
        <v>Comp 400</v>
      </c>
      <c r="O418" s="2" t="str">
        <v>Ventilador Rosa</v>
      </c>
      <c r="P418" s="8" t="str">
        <v>IF-G2ZQ-79FO</v>
      </c>
      <c r="Q418" s="4">
        <v>45643</v>
      </c>
      <c r="R418" s="109">
        <v>59.2</v>
      </c>
      <c r="S418" s="11">
        <f ca="1"/>
        <v>59.2</v>
      </c>
      <c r="T418" s="28">
        <f ca="1"/>
        <v>7.6960000000000006</v>
      </c>
      <c r="U418" s="11">
        <f ca="1"/>
        <v>51.5</v>
      </c>
      <c r="V418" s="11">
        <v>10.59</v>
      </c>
      <c r="W418" s="11">
        <f ca="1"/>
        <v>0.31</v>
      </c>
      <c r="X418" s="11">
        <f ca="1"/>
        <v>0.39877104377104378</v>
      </c>
      <c r="Y418" s="11">
        <v>0</v>
      </c>
      <c r="Z418" s="11">
        <f ca="1"/>
        <v>40.20122895622896</v>
      </c>
      <c r="AA418" s="11">
        <f ca="1"/>
        <v>20.10061447811448</v>
      </c>
      <c r="AB418" s="4">
        <f ca="1"/>
        <v>45650</v>
      </c>
      <c r="AC418" s="4">
        <v>45650</v>
      </c>
      <c r="AD418" s="9">
        <v>45651</v>
      </c>
      <c r="AE418" s="9">
        <v>45659</v>
      </c>
      <c r="AF418" s="4" t="str">
        <f t="shared" ca="1" si="6"/>
        <v>2024 12</v>
      </c>
      <c r="AG418" s="8" t="str" cm="1">
        <f t="array" ref="AG418">IFERROR(_xlfn.IFS('Banco de Dados'!#REF!="AG. COMPRA","Em processamento",'Banco de Dados'!#REF!="AG. RASTREIO","Em processamento",'Banco de Dados'!$AE418&lt;&gt;"-","Faturado",'Banco de Dados'!$AD418&lt;&gt;"-","Aguardando Pix",'Banco de Dados'!$AC418&lt;&gt;"-","Pendente"),"Aguardando Liberação")</f>
        <v>Aguardando Liberação</v>
      </c>
      <c r="AH418" s="5" t="str">
        <f>IF('Banco de Dados'!$F418="-",_xlfn.CONCAT(PROPER(TEXT(AK418,"aaaa"))," ",PROPER(TEXT(AK418,"mm"))),_xlfn.CONCAT(PROPER(TEXT(E418,"aaaa"))," ",PROPER(TEXT(E418,"mm"))))</f>
        <v>2024 11</v>
      </c>
      <c r="AI418" s="9" t="str">
        <f ca="1">IF('Banco de Dados'!$AK418&lt;&gt;"-","REEMBOLSO",IFERROR(_xlfn.XLOOKUP(G418,Follow[CODRASTREIO],Follow[STATUS]),"-"))</f>
        <v>ENTREGUE</v>
      </c>
      <c r="AJ418" s="9">
        <f ca="1">IF('Banco de Dados'!$AI418="ENTREGUE",_xlfn.XLOOKUP('Banco de Dados'!$G418,Follow[CODRASTREIO],Follow[DATAATUALIZAÇÃO]),"-")</f>
        <v>45629</v>
      </c>
      <c r="AK418" s="9" t="str">
        <f ca="1"/>
        <v>-</v>
      </c>
      <c r="AL418" s="35"/>
      <c r="AM418" s="109" cm="1">
        <f t="array" aca="1" ref="AM418" ca="1">IF('Banco de Dados'!$AK418&lt;&gt;"-",_xlfn.IFS('Banco de Dados'!$A418="bv",IF('Banco de Dados'!$E418&lt;45641,ROUND(SUM('Banco de Dados'!$R418*_xlfn.XLOOKUP('Banco de Dados'!$P418,Sku!B:B,Sku!#REF!)*20%),2),ROUND(SUM('Banco de Dados'!$R418*_xlfn.XLOOKUP('Banco de Dados'!$P418,Sku!B:B,Sku!H:H)*20%),2)),'Banco de Dados'!$A418="GO",ROUND(_xlfn.XLOOKUP('Banco de Dados'!$P418,Sku!C:C,Sku!H:H),2),'Banco de Dados'!$A418="MEI",ROUND(_xlfn.XLOOKUP('Banco de Dados'!$P418,Sku!D:D,Sku!H:H),2)),0)</f>
        <v>0</v>
      </c>
      <c r="AN418" s="109">
        <f ca="1">IF('Banco de Dados'!$AK418&lt;&gt;"-",IF('Banco de Dados'!$F418&lt;&gt;"-",_xlfn.XLOOKUP(IFERROR(IFERROR(IFERROR(VALUE(SUBSTITUTE(MID(_xlfn.TEXTAFTER('Banco de Dados'!$F418,"Data do Pedido:
",1),1,10),"-","/")),VALUE(SUBSTITUTE(MID(_xlfn.TEXTAFTER('Banco de Dados'!$F418,"Order date:
",1),1,10),"-","/"))),VALUE(SUBSTITUTE(MID(_xlfn.TEXTAFTER('Banco de Dados'!$F418,"Fecha de pedido:
",1),1,10),"-","/"))),"-"),SMS!A:A,SMS!K:K),0),0)</f>
        <v>0</v>
      </c>
      <c r="AO418" s="109">
        <f ca="1">IF('Banco de Dados'!$AK418&lt;&gt;"-",IF('Banco de Dados'!$F418&lt;&gt;"-",IFERROR(_xlfn.XLOOKUP(_xlfn.CONCAT('Banco de Dados'!$A418,IFERROR(IFERROR(VALUE(SUBSTITUTE(MID(_xlfn.TEXTAFTER('Banco de Dados'!$F418,"Data do Pedido:
",1),1,10),"-","/")),VALUE(SUBSTITUTE(MID(_xlfn.TEXTAFTER('Banco de Dados'!$F418,"Order date:
",1),1,10),"-","/"))),0)),ProxyDD[Chave],ProxyDD[Valor por pedido]),PROXY!$P$2),0),0)</f>
        <v>0</v>
      </c>
      <c r="AP418" s="28">
        <f ca="1">IF('Banco de Dados'!$AK418&lt;&gt;"-",IF('Banco de Dados'!$AL418="NÃO",IFERROR(VALUE(SUBSTITUTE(_xlfn.TEXTAFTER('Banco de Dados'!$F418,"BRL ",1),".",",")),0),0),0)</f>
        <v>0</v>
      </c>
      <c r="AQ418" s="28">
        <f ca="1">SUM('Banco de Dados'!$AM418:$AP418)</f>
        <v>0</v>
      </c>
      <c r="AR418" s="8"/>
      <c r="AS418" s="8"/>
      <c r="AY418" s="8"/>
    </row>
    <row r="419" spans="1:51">
      <c r="A419" s="5" t="str">
        <v>BV</v>
      </c>
      <c r="B419" s="5" t="str">
        <f ca="1"/>
        <v>BV45616</v>
      </c>
      <c r="C419" s="8" t="str">
        <v>Pedido 414</v>
      </c>
      <c r="D419" s="9">
        <v>45616</v>
      </c>
      <c r="E419" s="9">
        <v>45616</v>
      </c>
      <c r="F419" s="8" t="str">
        <v>PedidoF403</v>
      </c>
      <c r="G419" s="2" t="str">
        <v>CódRastreio403</v>
      </c>
      <c r="H419" s="5">
        <v>1</v>
      </c>
      <c r="I419" s="181" t="str">
        <v>CPF 401</v>
      </c>
      <c r="J419" s="2" t="str">
        <v>Nome 401</v>
      </c>
      <c r="K419" s="8" t="str">
        <v>Tel 401</v>
      </c>
      <c r="L419" s="2" t="str">
        <v>Cep 401</v>
      </c>
      <c r="M419" s="2" t="str">
        <v>Rua 401</v>
      </c>
      <c r="N419" s="2" t="str">
        <v>Comp 401</v>
      </c>
      <c r="O419" s="2" t="str">
        <v>Mini Mixer Misturador</v>
      </c>
      <c r="P419" s="8" t="str">
        <v>FK-T01D-KZC5</v>
      </c>
      <c r="Q419" s="4">
        <v>45643</v>
      </c>
      <c r="R419" s="109">
        <v>18.989999999999998</v>
      </c>
      <c r="S419" s="11">
        <f ca="1"/>
        <v>18.989999999999998</v>
      </c>
      <c r="T419" s="28">
        <f ca="1"/>
        <v>2.4686999999999997</v>
      </c>
      <c r="U419" s="11">
        <f ca="1"/>
        <v>16.52</v>
      </c>
      <c r="V419" s="11">
        <v>6.99</v>
      </c>
      <c r="W419" s="11">
        <f ca="1"/>
        <v>0.31</v>
      </c>
      <c r="X419" s="11">
        <f ca="1"/>
        <v>0.39877104377104378</v>
      </c>
      <c r="Y419" s="11">
        <v>0</v>
      </c>
      <c r="Z419" s="11">
        <f ca="1"/>
        <v>8.821228956228957</v>
      </c>
      <c r="AA419" s="11">
        <f ca="1"/>
        <v>4.4106144781144785</v>
      </c>
      <c r="AB419" s="4">
        <f ca="1"/>
        <v>45650</v>
      </c>
      <c r="AC419" s="4">
        <v>45650</v>
      </c>
      <c r="AD419" s="9">
        <v>45651</v>
      </c>
      <c r="AE419" s="9">
        <v>45659</v>
      </c>
      <c r="AF419" s="4" t="str">
        <f t="shared" ca="1" si="6"/>
        <v>2024 12</v>
      </c>
      <c r="AG419" s="8" t="str" cm="1">
        <f t="array" ref="AG419">IFERROR(_xlfn.IFS('Banco de Dados'!#REF!="AG. COMPRA","Em processamento",'Banco de Dados'!#REF!="AG. RASTREIO","Em processamento",'Banco de Dados'!$AE419&lt;&gt;"-","Faturado",'Banco de Dados'!$AD419&lt;&gt;"-","Aguardando Pix",'Banco de Dados'!$AC419&lt;&gt;"-","Pendente"),"Aguardando Liberação")</f>
        <v>Aguardando Liberação</v>
      </c>
      <c r="AH419" s="5" t="str">
        <f>IF('Banco de Dados'!$F419="-",_xlfn.CONCAT(PROPER(TEXT(AK419,"aaaa"))," ",PROPER(TEXT(AK419,"mm"))),_xlfn.CONCAT(PROPER(TEXT(E419,"aaaa"))," ",PROPER(TEXT(E419,"mm"))))</f>
        <v>2024 11</v>
      </c>
      <c r="AI419" s="9" t="str">
        <f ca="1">IF('Banco de Dados'!$AK419&lt;&gt;"-","REEMBOLSO",IFERROR(_xlfn.XLOOKUP(G419,Follow[CODRASTREIO],Follow[STATUS]),"-"))</f>
        <v>ENTREGUE</v>
      </c>
      <c r="AJ419" s="9">
        <f ca="1">IF('Banco de Dados'!$AI419="ENTREGUE",_xlfn.XLOOKUP('Banco de Dados'!$G419,Follow[CODRASTREIO],Follow[DATAATUALIZAÇÃO]),"-")</f>
        <v>45622</v>
      </c>
      <c r="AK419" s="9" t="str">
        <f ca="1"/>
        <v>-</v>
      </c>
      <c r="AL419" s="35"/>
      <c r="AM419" s="109" cm="1">
        <f t="array" aca="1" ref="AM419" ca="1">IF('Banco de Dados'!$AK419&lt;&gt;"-",_xlfn.IFS('Banco de Dados'!$A419="bv",IF('Banco de Dados'!$E419&lt;45641,ROUND(SUM('Banco de Dados'!$R419*_xlfn.XLOOKUP('Banco de Dados'!$P419,Sku!B:B,Sku!#REF!)*20%),2),ROUND(SUM('Banco de Dados'!$R419*_xlfn.XLOOKUP('Banco de Dados'!$P419,Sku!B:B,Sku!H:H)*20%),2)),'Banco de Dados'!$A419="GO",ROUND(_xlfn.XLOOKUP('Banco de Dados'!$P419,Sku!C:C,Sku!H:H),2),'Banco de Dados'!$A419="MEI",ROUND(_xlfn.XLOOKUP('Banco de Dados'!$P419,Sku!D:D,Sku!H:H),2)),0)</f>
        <v>0</v>
      </c>
      <c r="AN419" s="109">
        <f ca="1">IF('Banco de Dados'!$AK419&lt;&gt;"-",IF('Banco de Dados'!$F419&lt;&gt;"-",_xlfn.XLOOKUP(IFERROR(IFERROR(IFERROR(VALUE(SUBSTITUTE(MID(_xlfn.TEXTAFTER('Banco de Dados'!$F419,"Data do Pedido:
",1),1,10),"-","/")),VALUE(SUBSTITUTE(MID(_xlfn.TEXTAFTER('Banco de Dados'!$F419,"Order date:
",1),1,10),"-","/"))),VALUE(SUBSTITUTE(MID(_xlfn.TEXTAFTER('Banco de Dados'!$F419,"Fecha de pedido:
",1),1,10),"-","/"))),"-"),SMS!A:A,SMS!K:K),0),0)</f>
        <v>0</v>
      </c>
      <c r="AO419" s="109">
        <f ca="1">IF('Banco de Dados'!$AK419&lt;&gt;"-",IF('Banco de Dados'!$F419&lt;&gt;"-",IFERROR(_xlfn.XLOOKUP(_xlfn.CONCAT('Banco de Dados'!$A419,IFERROR(IFERROR(VALUE(SUBSTITUTE(MID(_xlfn.TEXTAFTER('Banco de Dados'!$F419,"Data do Pedido:
",1),1,10),"-","/")),VALUE(SUBSTITUTE(MID(_xlfn.TEXTAFTER('Banco de Dados'!$F419,"Order date:
",1),1,10),"-","/"))),0)),ProxyDD[Chave],ProxyDD[Valor por pedido]),PROXY!$P$2),0),0)</f>
        <v>0</v>
      </c>
      <c r="AP419" s="28">
        <f ca="1">IF('Banco de Dados'!$AK419&lt;&gt;"-",IF('Banco de Dados'!$AL419="NÃO",IFERROR(VALUE(SUBSTITUTE(_xlfn.TEXTAFTER('Banco de Dados'!$F419,"BRL ",1),".",",")),0),0),0)</f>
        <v>0</v>
      </c>
      <c r="AQ419" s="28">
        <f ca="1">SUM('Banco de Dados'!$AM419:$AP419)</f>
        <v>0</v>
      </c>
      <c r="AR419" s="8"/>
      <c r="AS419" s="8"/>
      <c r="AY419" s="8"/>
    </row>
    <row r="420" spans="1:51">
      <c r="A420" s="5" t="str">
        <v>BV</v>
      </c>
      <c r="B420" s="5" t="str">
        <f ca="1"/>
        <v>BV45617</v>
      </c>
      <c r="C420" s="8" t="str">
        <v>Pedido 415</v>
      </c>
      <c r="D420" s="9">
        <v>45617</v>
      </c>
      <c r="E420" s="9">
        <v>45617</v>
      </c>
      <c r="F420" s="8" t="str">
        <v>PedidoF404</v>
      </c>
      <c r="G420" s="2" t="str">
        <v>CódRastreio404</v>
      </c>
      <c r="H420" s="5">
        <v>1</v>
      </c>
      <c r="I420" s="182" t="str">
        <v>CPF 402</v>
      </c>
      <c r="J420" s="2" t="str">
        <v>Nome 402</v>
      </c>
      <c r="K420" s="8" t="str">
        <v>Tel 402</v>
      </c>
      <c r="L420" s="2" t="str">
        <v>Cep 402</v>
      </c>
      <c r="M420" s="2" t="str">
        <v>Rua 402</v>
      </c>
      <c r="N420" s="2" t="str">
        <v>Comp 402</v>
      </c>
      <c r="O420" s="2" t="str">
        <v>Adaptador Bluetooph</v>
      </c>
      <c r="P420" s="8" t="str">
        <v>YA-AG3H-SPUK</v>
      </c>
      <c r="Q420" s="4">
        <v>45644</v>
      </c>
      <c r="R420" s="109">
        <v>16.989999999999998</v>
      </c>
      <c r="S420" s="11">
        <f ca="1"/>
        <v>16.989999999999998</v>
      </c>
      <c r="T420" s="28">
        <f ca="1"/>
        <v>2.0387999999999997</v>
      </c>
      <c r="U420" s="11">
        <f ca="1"/>
        <v>14.95</v>
      </c>
      <c r="V420" s="11">
        <v>6.99</v>
      </c>
      <c r="W420" s="11">
        <f ca="1"/>
        <v>0.21</v>
      </c>
      <c r="X420" s="11">
        <f ca="1"/>
        <v>0.39877104377104378</v>
      </c>
      <c r="Y420" s="11">
        <v>0</v>
      </c>
      <c r="Z420" s="11">
        <f ca="1"/>
        <v>7.3512289562289554</v>
      </c>
      <c r="AA420" s="11">
        <f ca="1"/>
        <v>3.6756144781144777</v>
      </c>
      <c r="AB420" s="4">
        <f ca="1"/>
        <v>45651</v>
      </c>
      <c r="AC420" s="4">
        <v>45651</v>
      </c>
      <c r="AD420" s="9">
        <v>45651</v>
      </c>
      <c r="AE420" s="9">
        <v>45659</v>
      </c>
      <c r="AF420" s="4" t="str">
        <f ca="1">_xlfn.CONCAT(PROPER(TEXT(AB420,"aaaa"))," ",PROPER(TEXT(AB420,"mm")))</f>
        <v>2024 12</v>
      </c>
      <c r="AG420" s="8" t="str" cm="1">
        <f t="array" ref="AG420">IFERROR(_xlfn.IFS('Banco de Dados'!#REF!="AG. COMPRA","Em processamento",'Banco de Dados'!#REF!="AG. RASTREIO","Em processamento",'Banco de Dados'!$AE420&lt;&gt;"-","Faturado",'Banco de Dados'!$AD420&lt;&gt;"-","Aguardando Pix",'Banco de Dados'!$AC420&lt;&gt;"-","Pendente"),"Aguardando Liberação")</f>
        <v>Aguardando Liberação</v>
      </c>
      <c r="AH420" s="5" t="str">
        <f>IF('Banco de Dados'!$F420="-",_xlfn.CONCAT(PROPER(TEXT(AK420,"aaaa"))," ",PROPER(TEXT(AK420,"mm"))),_xlfn.CONCAT(PROPER(TEXT(E420,"aaaa"))," ",PROPER(TEXT(E420,"mm"))))</f>
        <v>2024 11</v>
      </c>
      <c r="AI420" s="9" t="str">
        <f ca="1">IF('Banco de Dados'!$AK420&lt;&gt;"-","REEMBOLSO",IFERROR(_xlfn.XLOOKUP(G420,Follow[CODRASTREIO],Follow[STATUS]),"-"))</f>
        <v>ENTREGUE</v>
      </c>
      <c r="AJ420" s="9">
        <f ca="1">IF('Banco de Dados'!$AI420="ENTREGUE",_xlfn.XLOOKUP('Banco de Dados'!$G420,Follow[CODRASTREIO],Follow[DATAATUALIZAÇÃO]),"-")</f>
        <v>45628</v>
      </c>
      <c r="AK420" s="9" t="str">
        <f ca="1"/>
        <v>-</v>
      </c>
      <c r="AL420" s="35"/>
      <c r="AM420" s="109" cm="1">
        <f t="array" aca="1" ref="AM420" ca="1">IF('Banco de Dados'!$AK420&lt;&gt;"-",_xlfn.IFS('Banco de Dados'!$A420="bv",IF('Banco de Dados'!$E420&lt;45641,ROUND(SUM('Banco de Dados'!$R420*_xlfn.XLOOKUP('Banco de Dados'!$P420,Sku!B:B,Sku!#REF!)*20%),2),ROUND(SUM('Banco de Dados'!$R420*_xlfn.XLOOKUP('Banco de Dados'!$P420,Sku!B:B,Sku!H:H)*20%),2)),'Banco de Dados'!$A420="GO",ROUND(_xlfn.XLOOKUP('Banco de Dados'!$P420,Sku!C:C,Sku!H:H),2),'Banco de Dados'!$A420="MEI",ROUND(_xlfn.XLOOKUP('Banco de Dados'!$P420,Sku!D:D,Sku!H:H),2)),0)</f>
        <v>0</v>
      </c>
      <c r="AN420" s="109">
        <f ca="1">IF('Banco de Dados'!$AK420&lt;&gt;"-",IF('Banco de Dados'!$F420&lt;&gt;"-",_xlfn.XLOOKUP(IFERROR(IFERROR(IFERROR(VALUE(SUBSTITUTE(MID(_xlfn.TEXTAFTER('Banco de Dados'!$F420,"Data do Pedido:
",1),1,10),"-","/")),VALUE(SUBSTITUTE(MID(_xlfn.TEXTAFTER('Banco de Dados'!$F420,"Order date:
",1),1,10),"-","/"))),VALUE(SUBSTITUTE(MID(_xlfn.TEXTAFTER('Banco de Dados'!$F420,"Fecha de pedido:
",1),1,10),"-","/"))),"-"),SMS!A:A,SMS!K:K),0),0)</f>
        <v>0</v>
      </c>
      <c r="AO420" s="109">
        <f ca="1">IF('Banco de Dados'!$AK420&lt;&gt;"-",IF('Banco de Dados'!$F420&lt;&gt;"-",IFERROR(_xlfn.XLOOKUP(_xlfn.CONCAT('Banco de Dados'!$A420,IFERROR(IFERROR(VALUE(SUBSTITUTE(MID(_xlfn.TEXTAFTER('Banco de Dados'!$F420,"Data do Pedido:
",1),1,10),"-","/")),VALUE(SUBSTITUTE(MID(_xlfn.TEXTAFTER('Banco de Dados'!$F420,"Order date:
",1),1,10),"-","/"))),0)),ProxyDD[Chave],ProxyDD[Valor por pedido]),PROXY!$P$2),0),0)</f>
        <v>0</v>
      </c>
      <c r="AP420" s="28">
        <f ca="1">IF('Banco de Dados'!$AK420&lt;&gt;"-",IF('Banco de Dados'!$AL420="NÃO",IFERROR(VALUE(SUBSTITUTE(_xlfn.TEXTAFTER('Banco de Dados'!$F420,"BRL ",1),".",",")),0),0),0)</f>
        <v>0</v>
      </c>
      <c r="AQ420" s="28">
        <f ca="1">SUM('Banco de Dados'!$AM420:$AP420)</f>
        <v>0</v>
      </c>
      <c r="AR420" s="8"/>
      <c r="AS420" s="8"/>
      <c r="AY420" s="8"/>
    </row>
    <row r="421" spans="1:51">
      <c r="A421" s="5" t="str">
        <v>BV</v>
      </c>
      <c r="B421" s="5" t="str">
        <f ca="1"/>
        <v>BV-</v>
      </c>
      <c r="C421" s="8" t="str">
        <v>Pedido 415</v>
      </c>
      <c r="D421" s="9">
        <v>45627</v>
      </c>
      <c r="E421" s="9" t="str">
        <v>-</v>
      </c>
      <c r="F421" s="8" t="str">
        <v>-</v>
      </c>
      <c r="G421" s="2" t="str">
        <v>-</v>
      </c>
      <c r="H421" s="5">
        <v>1</v>
      </c>
      <c r="I421" s="182" t="str">
        <v>CPF 402</v>
      </c>
      <c r="J421" s="2" t="str">
        <v>Nome 402</v>
      </c>
      <c r="K421" s="8" t="str">
        <v>Tel 402</v>
      </c>
      <c r="L421" s="2" t="str">
        <v>Cep 402</v>
      </c>
      <c r="M421" s="2" t="str">
        <v>Rua 402</v>
      </c>
      <c r="N421" s="2" t="str">
        <v>Comp 402</v>
      </c>
      <c r="O421" s="2" t="str">
        <v>Adaptador Bluetooph</v>
      </c>
      <c r="P421" s="8" t="str">
        <v>YA-AG3H-SPUK</v>
      </c>
      <c r="Q421" s="4">
        <v>45644</v>
      </c>
      <c r="R421" s="109">
        <v>16.989999999999998</v>
      </c>
      <c r="S421" s="11">
        <f ca="1"/>
        <v>16.989999999999998</v>
      </c>
      <c r="T421" s="28">
        <f ca="1"/>
        <v>2.0387999999999997</v>
      </c>
      <c r="U421" s="11">
        <f ca="1"/>
        <v>14.95</v>
      </c>
      <c r="V421" s="11">
        <v>0</v>
      </c>
      <c r="W421" s="11">
        <f ca="1"/>
        <v>0</v>
      </c>
      <c r="X421" s="11">
        <f ca="1"/>
        <v>0</v>
      </c>
      <c r="Y421" s="11">
        <v>0</v>
      </c>
      <c r="Z421" s="11">
        <f ca="1"/>
        <v>14.95</v>
      </c>
      <c r="AA421" s="11">
        <f ca="1"/>
        <v>7.4749999999999996</v>
      </c>
      <c r="AB421" s="4">
        <f ca="1"/>
        <v>45651</v>
      </c>
      <c r="AC421" s="4">
        <v>45651</v>
      </c>
      <c r="AD421" s="9">
        <v>45651</v>
      </c>
      <c r="AE421" s="9">
        <v>45659</v>
      </c>
      <c r="AF421" s="4" t="str">
        <f t="shared" ca="1" si="6"/>
        <v>2024 12</v>
      </c>
      <c r="AG421" s="8" t="str" cm="1">
        <f t="array" ref="AG421">IFERROR(_xlfn.IFS('Banco de Dados'!#REF!="AG. COMPRA","Em processamento",'Banco de Dados'!#REF!="AG. RASTREIO","Em processamento",'Banco de Dados'!$AE421&lt;&gt;"-","Faturado",'Banco de Dados'!$AD421&lt;&gt;"-","Aguardando Pix",'Banco de Dados'!$AC421&lt;&gt;"-","Pendente"),"Aguardando Liberação")</f>
        <v>Aguardando Liberação</v>
      </c>
      <c r="AH421" s="5" t="str">
        <f ca="1">IF('Banco de Dados'!$F421="-",_xlfn.CONCAT(PROPER(TEXT(AK421,"aaaa"))," ",PROPER(TEXT(AK421,"mm"))),_xlfn.CONCAT(PROPER(TEXT(E421,"aaaa"))," ",PROPER(TEXT(E421,"mm"))))</f>
        <v>- -</v>
      </c>
      <c r="AI421" s="9" t="str">
        <f ca="1">IF('Banco de Dados'!$AK421&lt;&gt;"-","REEMBOLSO",IFERROR(_xlfn.XLOOKUP(G421,Follow[CODRASTREIO],Follow[STATUS]),"-"))</f>
        <v>-</v>
      </c>
      <c r="AJ421" s="9" t="str">
        <f ca="1">IF('Banco de Dados'!$AI421="ENTREGUE",_xlfn.XLOOKUP('Banco de Dados'!$G421,Follow[CODRASTREIO],Follow[DATAATUALIZAÇÃO]),"-")</f>
        <v>-</v>
      </c>
      <c r="AK421" s="9" t="str">
        <f ca="1"/>
        <v>-</v>
      </c>
      <c r="AL421" s="35"/>
      <c r="AM421" s="109" cm="1">
        <f t="array" aca="1" ref="AM421" ca="1">IF('Banco de Dados'!$AK421&lt;&gt;"-",_xlfn.IFS('Banco de Dados'!$A421="bv",IF('Banco de Dados'!$E421&lt;45641,ROUND(SUM('Banco de Dados'!$R421*_xlfn.XLOOKUP('Banco de Dados'!$P421,Sku!B:B,Sku!#REF!)*20%),2),ROUND(SUM('Banco de Dados'!$R421*_xlfn.XLOOKUP('Banco de Dados'!$P421,Sku!B:B,Sku!H:H)*20%),2)),'Banco de Dados'!$A421="GO",ROUND(_xlfn.XLOOKUP('Banco de Dados'!$P421,Sku!C:C,Sku!H:H),2),'Banco de Dados'!$A421="MEI",ROUND(_xlfn.XLOOKUP('Banco de Dados'!$P421,Sku!D:D,Sku!H:H),2)),0)</f>
        <v>0</v>
      </c>
      <c r="AN421" s="109">
        <f ca="1">IF('Banco de Dados'!$AK421&lt;&gt;"-",IF('Banco de Dados'!$F421&lt;&gt;"-",_xlfn.XLOOKUP(IFERROR(IFERROR(IFERROR(VALUE(SUBSTITUTE(MID(_xlfn.TEXTAFTER('Banco de Dados'!$F421,"Data do Pedido:
",1),1,10),"-","/")),VALUE(SUBSTITUTE(MID(_xlfn.TEXTAFTER('Banco de Dados'!$F421,"Order date:
",1),1,10),"-","/"))),VALUE(SUBSTITUTE(MID(_xlfn.TEXTAFTER('Banco de Dados'!$F421,"Fecha de pedido:
",1),1,10),"-","/"))),"-"),SMS!A:A,SMS!K:K),0),0)</f>
        <v>0</v>
      </c>
      <c r="AO421" s="109">
        <f ca="1">IF('Banco de Dados'!$AK421&lt;&gt;"-",IF('Banco de Dados'!$F421&lt;&gt;"-",IFERROR(_xlfn.XLOOKUP(_xlfn.CONCAT('Banco de Dados'!$A421,IFERROR(IFERROR(VALUE(SUBSTITUTE(MID(_xlfn.TEXTAFTER('Banco de Dados'!$F421,"Data do Pedido:
",1),1,10),"-","/")),VALUE(SUBSTITUTE(MID(_xlfn.TEXTAFTER('Banco de Dados'!$F421,"Order date:
",1),1,10),"-","/"))),0)),ProxyDD[Chave],ProxyDD[Valor por pedido]),PROXY!$P$2),0),0)</f>
        <v>0</v>
      </c>
      <c r="AP421" s="28">
        <f ca="1">IF('Banco de Dados'!$AK421&lt;&gt;"-",IF('Banco de Dados'!$AL421="NÃO",IFERROR(VALUE(SUBSTITUTE(_xlfn.TEXTAFTER('Banco de Dados'!$F421,"BRL ",1),".",",")),0),0),0)</f>
        <v>0</v>
      </c>
      <c r="AQ421" s="28">
        <f ca="1">SUM('Banco de Dados'!$AM421:$AP421)</f>
        <v>0</v>
      </c>
      <c r="AR421" s="8"/>
      <c r="AS421" s="8"/>
      <c r="AY421" s="8"/>
    </row>
    <row r="422" spans="1:51">
      <c r="A422" s="5" t="str">
        <v>BV</v>
      </c>
      <c r="B422" s="5" t="str">
        <f ca="1"/>
        <v>BV45617</v>
      </c>
      <c r="C422" s="8" t="str">
        <v>Pedido 416</v>
      </c>
      <c r="D422" s="9">
        <v>45617</v>
      </c>
      <c r="E422" s="9">
        <v>45617</v>
      </c>
      <c r="F422" s="8" t="str">
        <v>PedidoF405</v>
      </c>
      <c r="G422" s="2" t="str">
        <v>CódRastreio405</v>
      </c>
      <c r="H422" s="5">
        <v>1</v>
      </c>
      <c r="I422" s="182" t="str">
        <v>CPF 403</v>
      </c>
      <c r="J422" s="2" t="str">
        <v>Nome 403</v>
      </c>
      <c r="K422" s="8" t="str">
        <v>Tel 403</v>
      </c>
      <c r="L422" s="2" t="str">
        <v>Cep 403</v>
      </c>
      <c r="M422" s="2" t="str">
        <v>Rua 403</v>
      </c>
      <c r="N422" s="2" t="str">
        <v>Comp 403</v>
      </c>
      <c r="O422" s="2" t="str">
        <v>Suporte de Celular Preto</v>
      </c>
      <c r="P422" s="8" t="str">
        <v>9G-BN48-QAPH</v>
      </c>
      <c r="Q422" s="4">
        <v>45632</v>
      </c>
      <c r="R422" s="109">
        <v>18.100000000000001</v>
      </c>
      <c r="S422" s="11">
        <f ca="1"/>
        <v>18.100000000000001</v>
      </c>
      <c r="T422" s="28">
        <f ca="1"/>
        <v>2.7150000000000003</v>
      </c>
      <c r="U422" s="11">
        <f ca="1"/>
        <v>15.39</v>
      </c>
      <c r="V422" s="11">
        <v>6.99</v>
      </c>
      <c r="W422" s="11">
        <f ca="1"/>
        <v>0.21</v>
      </c>
      <c r="X422" s="11">
        <f ca="1"/>
        <v>0.39877104377104378</v>
      </c>
      <c r="Y422" s="11">
        <v>0</v>
      </c>
      <c r="Z422" s="11">
        <f ca="1"/>
        <v>7.7912289562289567</v>
      </c>
      <c r="AA422" s="11">
        <f ca="1"/>
        <v>3.8956144781144784</v>
      </c>
      <c r="AB422" s="4">
        <f ca="1"/>
        <v>45639</v>
      </c>
      <c r="AC422" s="4">
        <v>45639</v>
      </c>
      <c r="AD422" s="9">
        <v>45640</v>
      </c>
      <c r="AE422" s="9">
        <v>45642</v>
      </c>
      <c r="AF422" s="4" t="str">
        <f t="shared" ca="1" si="6"/>
        <v>2024 12</v>
      </c>
      <c r="AG422" s="8" t="str" cm="1">
        <f t="array" ref="AG422">IFERROR(_xlfn.IFS('Banco de Dados'!#REF!="AG. COMPRA","Em processamento",'Banco de Dados'!#REF!="AG. RASTREIO","Em processamento",'Banco de Dados'!$AE422&lt;&gt;"-","Faturado",'Banco de Dados'!$AD422&lt;&gt;"-","Aguardando Pix",'Banco de Dados'!$AC422&lt;&gt;"-","Pendente"),"Aguardando Liberação")</f>
        <v>Aguardando Liberação</v>
      </c>
      <c r="AH422" s="5" t="str">
        <f>IF('Banco de Dados'!$F422="-",_xlfn.CONCAT(PROPER(TEXT(AK422,"aaaa"))," ",PROPER(TEXT(AK422,"mm"))),_xlfn.CONCAT(PROPER(TEXT(E422,"aaaa"))," ",PROPER(TEXT(E422,"mm"))))</f>
        <v>2024 11</v>
      </c>
      <c r="AI422" s="9" t="str">
        <f ca="1">IF('Banco de Dados'!$AK422&lt;&gt;"-","REEMBOLSO",IFERROR(_xlfn.XLOOKUP(G422,Follow[CODRASTREIO],Follow[STATUS]),"-"))</f>
        <v>ENTREGUE</v>
      </c>
      <c r="AJ422" s="9">
        <f ca="1">IF('Banco de Dados'!$AI422="ENTREGUE",_xlfn.XLOOKUP('Banco de Dados'!$G422,Follow[CODRASTREIO],Follow[DATAATUALIZAÇÃO]),"-")</f>
        <v>45621</v>
      </c>
      <c r="AK422" s="9" t="str">
        <f ca="1"/>
        <v>-</v>
      </c>
      <c r="AL422" s="35"/>
      <c r="AM422" s="109" cm="1">
        <f t="array" aca="1" ref="AM422" ca="1">IF('Banco de Dados'!$AK422&lt;&gt;"-",_xlfn.IFS('Banco de Dados'!$A422="bv",IF('Banco de Dados'!$E422&lt;45641,ROUND(SUM('Banco de Dados'!$R422*_xlfn.XLOOKUP('Banco de Dados'!$P422,Sku!B:B,Sku!#REF!)*20%),2),ROUND(SUM('Banco de Dados'!$R422*_xlfn.XLOOKUP('Banco de Dados'!$P422,Sku!B:B,Sku!H:H)*20%),2)),'Banco de Dados'!$A422="GO",ROUND(_xlfn.XLOOKUP('Banco de Dados'!$P422,Sku!C:C,Sku!H:H),2),'Banco de Dados'!$A422="MEI",ROUND(_xlfn.XLOOKUP('Banco de Dados'!$P422,Sku!D:D,Sku!H:H),2)),0)</f>
        <v>0</v>
      </c>
      <c r="AN422" s="109">
        <f ca="1">IF('Banco de Dados'!$AK422&lt;&gt;"-",IF('Banco de Dados'!$F422&lt;&gt;"-",_xlfn.XLOOKUP(IFERROR(IFERROR(IFERROR(VALUE(SUBSTITUTE(MID(_xlfn.TEXTAFTER('Banco de Dados'!$F422,"Data do Pedido:
",1),1,10),"-","/")),VALUE(SUBSTITUTE(MID(_xlfn.TEXTAFTER('Banco de Dados'!$F422,"Order date:
",1),1,10),"-","/"))),VALUE(SUBSTITUTE(MID(_xlfn.TEXTAFTER('Banco de Dados'!$F422,"Fecha de pedido:
",1),1,10),"-","/"))),"-"),SMS!A:A,SMS!K:K),0),0)</f>
        <v>0</v>
      </c>
      <c r="AO422" s="109">
        <f ca="1">IF('Banco de Dados'!$AK422&lt;&gt;"-",IF('Banco de Dados'!$F422&lt;&gt;"-",IFERROR(_xlfn.XLOOKUP(_xlfn.CONCAT('Banco de Dados'!$A422,IFERROR(IFERROR(VALUE(SUBSTITUTE(MID(_xlfn.TEXTAFTER('Banco de Dados'!$F422,"Data do Pedido:
",1),1,10),"-","/")),VALUE(SUBSTITUTE(MID(_xlfn.TEXTAFTER('Banco de Dados'!$F422,"Order date:
",1),1,10),"-","/"))),0)),ProxyDD[Chave],ProxyDD[Valor por pedido]),PROXY!$P$2),0),0)</f>
        <v>0</v>
      </c>
      <c r="AP422" s="28">
        <f ca="1">IF('Banco de Dados'!$AK422&lt;&gt;"-",IF('Banco de Dados'!$AL422="NÃO",IFERROR(VALUE(SUBSTITUTE(_xlfn.TEXTAFTER('Banco de Dados'!$F422,"BRL ",1),".",",")),0),0),0)</f>
        <v>0</v>
      </c>
      <c r="AQ422" s="28">
        <f ca="1">SUM('Banco de Dados'!$AM422:$AP422)</f>
        <v>0</v>
      </c>
      <c r="AR422" s="8"/>
      <c r="AS422" s="8"/>
      <c r="AY422" s="8"/>
    </row>
    <row r="423" spans="1:51">
      <c r="A423" s="5" t="str">
        <v>BV</v>
      </c>
      <c r="B423" s="5" t="str">
        <f ca="1"/>
        <v>BV45617</v>
      </c>
      <c r="C423" s="8" t="str">
        <v>Pedido 417</v>
      </c>
      <c r="D423" s="9">
        <v>45617</v>
      </c>
      <c r="E423" s="9">
        <v>45617</v>
      </c>
      <c r="F423" s="8" t="str">
        <v>PedidoF406</v>
      </c>
      <c r="G423" s="2" t="str">
        <v>CódRastreio406</v>
      </c>
      <c r="H423" s="5">
        <v>1</v>
      </c>
      <c r="I423" s="182" t="str">
        <v>CPF 404</v>
      </c>
      <c r="J423" s="2" t="str">
        <v>Nome 404</v>
      </c>
      <c r="K423" s="8" t="str">
        <v>Tel 404</v>
      </c>
      <c r="L423" s="2" t="str">
        <v>Cep 404</v>
      </c>
      <c r="M423" s="2" t="str">
        <v>Rua 404</v>
      </c>
      <c r="N423" s="2" t="str">
        <v>Comp 404</v>
      </c>
      <c r="O423" s="2" t="str">
        <v>Ventilador Preto</v>
      </c>
      <c r="P423" s="8" t="str">
        <v>MU-J80P-95WF</v>
      </c>
      <c r="Q423" s="4">
        <v>45638</v>
      </c>
      <c r="R423" s="109">
        <v>59.2</v>
      </c>
      <c r="S423" s="11">
        <f ca="1"/>
        <v>59.2</v>
      </c>
      <c r="T423" s="28">
        <f ca="1"/>
        <v>7.6960000000000006</v>
      </c>
      <c r="U423" s="11">
        <f ca="1"/>
        <v>51.5</v>
      </c>
      <c r="V423" s="11">
        <v>16.010000000000002</v>
      </c>
      <c r="W423" s="11">
        <f ca="1"/>
        <v>0.21</v>
      </c>
      <c r="X423" s="11">
        <f ca="1"/>
        <v>0.39877104377104378</v>
      </c>
      <c r="Y423" s="11">
        <v>0</v>
      </c>
      <c r="Z423" s="11">
        <f ca="1"/>
        <v>34.881228956228952</v>
      </c>
      <c r="AA423" s="11">
        <f ca="1"/>
        <v>17.440614478114476</v>
      </c>
      <c r="AB423" s="4">
        <f ca="1"/>
        <v>45645</v>
      </c>
      <c r="AC423" s="4">
        <v>45645</v>
      </c>
      <c r="AD423" s="9">
        <v>45651</v>
      </c>
      <c r="AE423" s="9">
        <v>45659</v>
      </c>
      <c r="AF423" s="4" t="str">
        <f t="shared" ca="1" si="6"/>
        <v>2024 12</v>
      </c>
      <c r="AG423" s="8" t="str" cm="1">
        <f t="array" ref="AG423">IFERROR(_xlfn.IFS('Banco de Dados'!#REF!="AG. COMPRA","Em processamento",'Banco de Dados'!#REF!="AG. RASTREIO","Em processamento",'Banco de Dados'!$AE423&lt;&gt;"-","Faturado",'Banco de Dados'!$AD423&lt;&gt;"-","Aguardando Pix",'Banco de Dados'!$AC423&lt;&gt;"-","Pendente"),"Aguardando Liberação")</f>
        <v>Aguardando Liberação</v>
      </c>
      <c r="AH423" s="5" t="str">
        <f>IF('Banco de Dados'!$F423="-",_xlfn.CONCAT(PROPER(TEXT(AK423,"aaaa"))," ",PROPER(TEXT(AK423,"mm"))),_xlfn.CONCAT(PROPER(TEXT(E423,"aaaa"))," ",PROPER(TEXT(E423,"mm"))))</f>
        <v>2024 11</v>
      </c>
      <c r="AI423" s="9" t="str">
        <f ca="1">IF('Banco de Dados'!$AK423&lt;&gt;"-","REEMBOLSO",IFERROR(_xlfn.XLOOKUP(G423,Follow[CODRASTREIO],Follow[STATUS]),"-"))</f>
        <v>ENTREGUE</v>
      </c>
      <c r="AJ423" s="9">
        <f ca="1">IF('Banco de Dados'!$AI423="ENTREGUE",_xlfn.XLOOKUP('Banco de Dados'!$G423,Follow[CODRASTREIO],Follow[DATAATUALIZAÇÃO]),"-")</f>
        <v>45630</v>
      </c>
      <c r="AK423" s="9" t="str">
        <f ca="1"/>
        <v>-</v>
      </c>
      <c r="AL423" s="35"/>
      <c r="AM423" s="109" cm="1">
        <f t="array" aca="1" ref="AM423" ca="1">IF('Banco de Dados'!$AK423&lt;&gt;"-",_xlfn.IFS('Banco de Dados'!$A423="bv",IF('Banco de Dados'!$E423&lt;45641,ROUND(SUM('Banco de Dados'!$R423*_xlfn.XLOOKUP('Banco de Dados'!$P423,Sku!B:B,Sku!#REF!)*20%),2),ROUND(SUM('Banco de Dados'!$R423*_xlfn.XLOOKUP('Banco de Dados'!$P423,Sku!B:B,Sku!H:H)*20%),2)),'Banco de Dados'!$A423="GO",ROUND(_xlfn.XLOOKUP('Banco de Dados'!$P423,Sku!C:C,Sku!H:H),2),'Banco de Dados'!$A423="MEI",ROUND(_xlfn.XLOOKUP('Banco de Dados'!$P423,Sku!D:D,Sku!H:H),2)),0)</f>
        <v>0</v>
      </c>
      <c r="AN423" s="109">
        <f ca="1">IF('Banco de Dados'!$AK423&lt;&gt;"-",IF('Banco de Dados'!$F423&lt;&gt;"-",_xlfn.XLOOKUP(IFERROR(IFERROR(IFERROR(VALUE(SUBSTITUTE(MID(_xlfn.TEXTAFTER('Banco de Dados'!$F423,"Data do Pedido:
",1),1,10),"-","/")),VALUE(SUBSTITUTE(MID(_xlfn.TEXTAFTER('Banco de Dados'!$F423,"Order date:
",1),1,10),"-","/"))),VALUE(SUBSTITUTE(MID(_xlfn.TEXTAFTER('Banco de Dados'!$F423,"Fecha de pedido:
",1),1,10),"-","/"))),"-"),SMS!A:A,SMS!K:K),0),0)</f>
        <v>0</v>
      </c>
      <c r="AO423" s="109">
        <f ca="1">IF('Banco de Dados'!$AK423&lt;&gt;"-",IF('Banco de Dados'!$F423&lt;&gt;"-",IFERROR(_xlfn.XLOOKUP(_xlfn.CONCAT('Banco de Dados'!$A423,IFERROR(IFERROR(VALUE(SUBSTITUTE(MID(_xlfn.TEXTAFTER('Banco de Dados'!$F423,"Data do Pedido:
",1),1,10),"-","/")),VALUE(SUBSTITUTE(MID(_xlfn.TEXTAFTER('Banco de Dados'!$F423,"Order date:
",1),1,10),"-","/"))),0)),ProxyDD[Chave],ProxyDD[Valor por pedido]),PROXY!$P$2),0),0)</f>
        <v>0</v>
      </c>
      <c r="AP423" s="28">
        <f ca="1">IF('Banco de Dados'!$AK423&lt;&gt;"-",IF('Banco de Dados'!$AL423="NÃO",IFERROR(VALUE(SUBSTITUTE(_xlfn.TEXTAFTER('Banco de Dados'!$F423,"BRL ",1),".",",")),0),0),0)</f>
        <v>0</v>
      </c>
      <c r="AQ423" s="28">
        <f ca="1">SUM('Banco de Dados'!$AM423:$AP423)</f>
        <v>0</v>
      </c>
      <c r="AR423" s="8"/>
      <c r="AS423" s="8"/>
      <c r="AY423" s="8"/>
    </row>
    <row r="424" spans="1:51">
      <c r="A424" s="5" t="str">
        <v>BV</v>
      </c>
      <c r="B424" s="5" t="str">
        <f ca="1"/>
        <v>BV45617</v>
      </c>
      <c r="C424" s="8" t="str">
        <v>Pedido 418</v>
      </c>
      <c r="D424" s="9">
        <v>45617</v>
      </c>
      <c r="E424" s="9">
        <v>45617</v>
      </c>
      <c r="F424" s="8" t="str">
        <v>PedidoF407</v>
      </c>
      <c r="G424" s="2" t="str">
        <v>CódRastreio407</v>
      </c>
      <c r="H424" s="5">
        <v>1</v>
      </c>
      <c r="I424" s="182" t="str">
        <v>CPF 404</v>
      </c>
      <c r="J424" s="2" t="str">
        <v>Nome 404</v>
      </c>
      <c r="K424" s="8" t="str">
        <v>Tel 404</v>
      </c>
      <c r="L424" s="2" t="str">
        <v>Cep 404</v>
      </c>
      <c r="M424" s="2" t="str">
        <v>Rua 404</v>
      </c>
      <c r="N424" s="2" t="str">
        <v>Comp 404</v>
      </c>
      <c r="O424" s="2" t="str">
        <v>Ventilador Preto</v>
      </c>
      <c r="P424" s="8" t="str">
        <v>MU-J80P-95WF</v>
      </c>
      <c r="Q424" s="4">
        <v>45638</v>
      </c>
      <c r="R424" s="109">
        <v>59.2</v>
      </c>
      <c r="S424" s="11">
        <f ca="1"/>
        <v>59.2</v>
      </c>
      <c r="T424" s="28">
        <f ca="1"/>
        <v>7.6960000000000006</v>
      </c>
      <c r="U424" s="11">
        <f ca="1"/>
        <v>51.5</v>
      </c>
      <c r="V424" s="11">
        <v>16.010000000000002</v>
      </c>
      <c r="W424" s="11">
        <f ca="1"/>
        <v>0.21</v>
      </c>
      <c r="X424" s="11">
        <f ca="1"/>
        <v>0.39877104377104378</v>
      </c>
      <c r="Y424" s="11">
        <v>0</v>
      </c>
      <c r="Z424" s="11">
        <f ca="1"/>
        <v>34.881228956228952</v>
      </c>
      <c r="AA424" s="11">
        <f ca="1"/>
        <v>17.440614478114476</v>
      </c>
      <c r="AB424" s="4">
        <f ca="1"/>
        <v>45645</v>
      </c>
      <c r="AC424" s="4">
        <v>45645</v>
      </c>
      <c r="AD424" s="9">
        <v>45651</v>
      </c>
      <c r="AE424" s="9">
        <v>45659</v>
      </c>
      <c r="AF424" s="4" t="str">
        <f t="shared" ca="1" si="6"/>
        <v>2024 12</v>
      </c>
      <c r="AG424" s="8" t="str" cm="1">
        <f t="array" ref="AG424">IFERROR(_xlfn.IFS('Banco de Dados'!#REF!="AG. COMPRA","Em processamento",'Banco de Dados'!#REF!="AG. RASTREIO","Em processamento",'Banco de Dados'!$AE424&lt;&gt;"-","Faturado",'Banco de Dados'!$AD424&lt;&gt;"-","Aguardando Pix",'Banco de Dados'!$AC424&lt;&gt;"-","Pendente"),"Aguardando Liberação")</f>
        <v>Aguardando Liberação</v>
      </c>
      <c r="AH424" s="5" t="str">
        <f>IF('Banco de Dados'!$F424="-",_xlfn.CONCAT(PROPER(TEXT(AK424,"aaaa"))," ",PROPER(TEXT(AK424,"mm"))),_xlfn.CONCAT(PROPER(TEXT(E424,"aaaa"))," ",PROPER(TEXT(E424,"mm"))))</f>
        <v>2024 11</v>
      </c>
      <c r="AI424" s="9" t="str">
        <f ca="1">IF('Banco de Dados'!$AK424&lt;&gt;"-","REEMBOLSO",IFERROR(_xlfn.XLOOKUP(G424,Follow[CODRASTREIO],Follow[STATUS]),"-"))</f>
        <v>ENTREGUE</v>
      </c>
      <c r="AJ424" s="9">
        <f ca="1">IF('Banco de Dados'!$AI424="ENTREGUE",_xlfn.XLOOKUP('Banco de Dados'!$G424,Follow[CODRASTREIO],Follow[DATAATUALIZAÇÃO]),"-")</f>
        <v>45630</v>
      </c>
      <c r="AK424" s="9" t="str">
        <f ca="1"/>
        <v>-</v>
      </c>
      <c r="AL424" s="35"/>
      <c r="AM424" s="109" cm="1">
        <f t="array" aca="1" ref="AM424" ca="1">IF('Banco de Dados'!$AK424&lt;&gt;"-",_xlfn.IFS('Banco de Dados'!$A424="bv",IF('Banco de Dados'!$E424&lt;45641,ROUND(SUM('Banco de Dados'!$R424*_xlfn.XLOOKUP('Banco de Dados'!$P424,Sku!B:B,Sku!#REF!)*20%),2),ROUND(SUM('Banco de Dados'!$R424*_xlfn.XLOOKUP('Banco de Dados'!$P424,Sku!B:B,Sku!H:H)*20%),2)),'Banco de Dados'!$A424="GO",ROUND(_xlfn.XLOOKUP('Banco de Dados'!$P424,Sku!C:C,Sku!H:H),2),'Banco de Dados'!$A424="MEI",ROUND(_xlfn.XLOOKUP('Banco de Dados'!$P424,Sku!D:D,Sku!H:H),2)),0)</f>
        <v>0</v>
      </c>
      <c r="AN424" s="109">
        <f ca="1">IF('Banco de Dados'!$AK424&lt;&gt;"-",IF('Banco de Dados'!$F424&lt;&gt;"-",_xlfn.XLOOKUP(IFERROR(IFERROR(IFERROR(VALUE(SUBSTITUTE(MID(_xlfn.TEXTAFTER('Banco de Dados'!$F424,"Data do Pedido:
",1),1,10),"-","/")),VALUE(SUBSTITUTE(MID(_xlfn.TEXTAFTER('Banco de Dados'!$F424,"Order date:
",1),1,10),"-","/"))),VALUE(SUBSTITUTE(MID(_xlfn.TEXTAFTER('Banco de Dados'!$F424,"Fecha de pedido:
",1),1,10),"-","/"))),"-"),SMS!A:A,SMS!K:K),0),0)</f>
        <v>0</v>
      </c>
      <c r="AO424" s="109">
        <f ca="1">IF('Banco de Dados'!$AK424&lt;&gt;"-",IF('Banco de Dados'!$F424&lt;&gt;"-",IFERROR(_xlfn.XLOOKUP(_xlfn.CONCAT('Banco de Dados'!$A424,IFERROR(IFERROR(VALUE(SUBSTITUTE(MID(_xlfn.TEXTAFTER('Banco de Dados'!$F424,"Data do Pedido:
",1),1,10),"-","/")),VALUE(SUBSTITUTE(MID(_xlfn.TEXTAFTER('Banco de Dados'!$F424,"Order date:
",1),1,10),"-","/"))),0)),ProxyDD[Chave],ProxyDD[Valor por pedido]),PROXY!$P$2),0),0)</f>
        <v>0</v>
      </c>
      <c r="AP424" s="28">
        <f ca="1">IF('Banco de Dados'!$AK424&lt;&gt;"-",IF('Banco de Dados'!$AL424="NÃO",IFERROR(VALUE(SUBSTITUTE(_xlfn.TEXTAFTER('Banco de Dados'!$F424,"BRL ",1),".",",")),0),0),0)</f>
        <v>0</v>
      </c>
      <c r="AQ424" s="28">
        <f ca="1">SUM('Banco de Dados'!$AM424:$AP424)</f>
        <v>0</v>
      </c>
      <c r="AR424" s="8"/>
      <c r="AS424" s="8"/>
      <c r="AY424" s="8"/>
    </row>
    <row r="425" spans="1:51">
      <c r="A425" s="5" t="str">
        <v>BV</v>
      </c>
      <c r="B425" s="5" t="str">
        <f ca="1"/>
        <v>BV45617</v>
      </c>
      <c r="C425" s="8" t="str">
        <v>Pedido 419</v>
      </c>
      <c r="D425" s="9">
        <v>45617</v>
      </c>
      <c r="E425" s="9">
        <v>45617</v>
      </c>
      <c r="F425" s="8" t="str">
        <v>PedidoF408</v>
      </c>
      <c r="G425" s="2" t="str">
        <v>CódRastreio408</v>
      </c>
      <c r="H425" s="5">
        <v>1</v>
      </c>
      <c r="I425" s="182" t="str">
        <v>CPF 405</v>
      </c>
      <c r="J425" s="2" t="str">
        <v>Nome 405</v>
      </c>
      <c r="K425" s="8" t="str">
        <v>Tel 405</v>
      </c>
      <c r="L425" s="2" t="str">
        <v>Cep 405</v>
      </c>
      <c r="M425" s="2" t="str">
        <v>Rua 405</v>
      </c>
      <c r="N425" s="2" t="str">
        <v>Comp 405</v>
      </c>
      <c r="O425" s="2" t="str">
        <v>Ventilador Rosa</v>
      </c>
      <c r="P425" s="8" t="str">
        <v>IF-G2ZQ-79FO</v>
      </c>
      <c r="Q425" s="4">
        <v>45653</v>
      </c>
      <c r="R425" s="109">
        <v>59.2</v>
      </c>
      <c r="S425" s="11">
        <f ca="1"/>
        <v>59.2</v>
      </c>
      <c r="T425" s="28">
        <f ca="1"/>
        <v>7.6960000000000006</v>
      </c>
      <c r="U425" s="11">
        <f ca="1"/>
        <v>51.5</v>
      </c>
      <c r="V425" s="11">
        <v>15.36</v>
      </c>
      <c r="W425" s="11">
        <f ca="1"/>
        <v>0.21</v>
      </c>
      <c r="X425" s="11">
        <f ca="1"/>
        <v>0.39877104377104378</v>
      </c>
      <c r="Y425" s="11">
        <v>0</v>
      </c>
      <c r="Z425" s="11">
        <f ca="1"/>
        <v>35.531228956228958</v>
      </c>
      <c r="AA425" s="11">
        <f ca="1"/>
        <v>17.765614478114479</v>
      </c>
      <c r="AB425" s="4">
        <f ca="1"/>
        <v>45660</v>
      </c>
      <c r="AC425" s="4">
        <v>45660</v>
      </c>
      <c r="AD425" s="9">
        <v>45665</v>
      </c>
      <c r="AE425" s="9">
        <v>45673</v>
      </c>
      <c r="AF425" s="4" t="str">
        <f t="shared" ca="1" si="6"/>
        <v>2025 01</v>
      </c>
      <c r="AG425" s="8" t="str" cm="1">
        <f t="array" ref="AG425">IFERROR(_xlfn.IFS('Banco de Dados'!#REF!="AG. COMPRA","Em processamento",'Banco de Dados'!#REF!="AG. RASTREIO","Em processamento",'Banco de Dados'!$AE425&lt;&gt;"-","Faturado",'Banco de Dados'!$AD425&lt;&gt;"-","Aguardando Pix",'Banco de Dados'!$AC425&lt;&gt;"-","Pendente"),"Aguardando Liberação")</f>
        <v>Aguardando Liberação</v>
      </c>
      <c r="AH425" s="5" t="str">
        <f>IF('Banco de Dados'!$F425="-",_xlfn.CONCAT(PROPER(TEXT(AK425,"aaaa"))," ",PROPER(TEXT(AK425,"mm"))),_xlfn.CONCAT(PROPER(TEXT(E425,"aaaa"))," ",PROPER(TEXT(E425,"mm"))))</f>
        <v>2024 11</v>
      </c>
      <c r="AI425" s="9" t="str">
        <f ca="1">IF('Banco de Dados'!$AK425&lt;&gt;"-","REEMBOLSO",IFERROR(_xlfn.XLOOKUP(G425,Follow[CODRASTREIO],Follow[STATUS]),"-"))</f>
        <v>ENTREGUE</v>
      </c>
      <c r="AJ425" s="9">
        <f ca="1">IF('Banco de Dados'!$AI425="ENTREGUE",_xlfn.XLOOKUP('Banco de Dados'!$G425,Follow[CODRASTREIO],Follow[DATAATUALIZAÇÃO]),"-")</f>
        <v>45636</v>
      </c>
      <c r="AK425" s="9" t="str">
        <f ca="1"/>
        <v>-</v>
      </c>
      <c r="AL425" s="35"/>
      <c r="AM425" s="109" cm="1">
        <f t="array" aca="1" ref="AM425" ca="1">IF('Banco de Dados'!$AK425&lt;&gt;"-",_xlfn.IFS('Banco de Dados'!$A425="bv",IF('Banco de Dados'!$E425&lt;45641,ROUND(SUM('Banco de Dados'!$R425*_xlfn.XLOOKUP('Banco de Dados'!$P425,Sku!B:B,Sku!#REF!)*20%),2),ROUND(SUM('Banco de Dados'!$R425*_xlfn.XLOOKUP('Banco de Dados'!$P425,Sku!B:B,Sku!H:H)*20%),2)),'Banco de Dados'!$A425="GO",ROUND(_xlfn.XLOOKUP('Banco de Dados'!$P425,Sku!C:C,Sku!H:H),2),'Banco de Dados'!$A425="MEI",ROUND(_xlfn.XLOOKUP('Banco de Dados'!$P425,Sku!D:D,Sku!H:H),2)),0)</f>
        <v>0</v>
      </c>
      <c r="AN425" s="109">
        <f ca="1">IF('Banco de Dados'!$AK425&lt;&gt;"-",IF('Banco de Dados'!$F425&lt;&gt;"-",_xlfn.XLOOKUP(IFERROR(IFERROR(IFERROR(VALUE(SUBSTITUTE(MID(_xlfn.TEXTAFTER('Banco de Dados'!$F425,"Data do Pedido:
",1),1,10),"-","/")),VALUE(SUBSTITUTE(MID(_xlfn.TEXTAFTER('Banco de Dados'!$F425,"Order date:
",1),1,10),"-","/"))),VALUE(SUBSTITUTE(MID(_xlfn.TEXTAFTER('Banco de Dados'!$F425,"Fecha de pedido:
",1),1,10),"-","/"))),"-"),SMS!A:A,SMS!K:K),0),0)</f>
        <v>0</v>
      </c>
      <c r="AO425" s="109">
        <f ca="1">IF('Banco de Dados'!$AK425&lt;&gt;"-",IF('Banco de Dados'!$F425&lt;&gt;"-",IFERROR(_xlfn.XLOOKUP(_xlfn.CONCAT('Banco de Dados'!$A425,IFERROR(IFERROR(VALUE(SUBSTITUTE(MID(_xlfn.TEXTAFTER('Banco de Dados'!$F425,"Data do Pedido:
",1),1,10),"-","/")),VALUE(SUBSTITUTE(MID(_xlfn.TEXTAFTER('Banco de Dados'!$F425,"Order date:
",1),1,10),"-","/"))),0)),ProxyDD[Chave],ProxyDD[Valor por pedido]),PROXY!$P$2),0),0)</f>
        <v>0</v>
      </c>
      <c r="AP425" s="28">
        <f ca="1">IF('Banco de Dados'!$AK425&lt;&gt;"-",IF('Banco de Dados'!$AL425="NÃO",IFERROR(VALUE(SUBSTITUTE(_xlfn.TEXTAFTER('Banco de Dados'!$F425,"BRL ",1),".",",")),0),0),0)</f>
        <v>0</v>
      </c>
      <c r="AQ425" s="28">
        <f ca="1">SUM('Banco de Dados'!$AM425:$AP425)</f>
        <v>0</v>
      </c>
      <c r="AR425" s="8"/>
      <c r="AS425" s="8"/>
      <c r="AY425" s="8"/>
    </row>
    <row r="426" spans="1:51">
      <c r="A426" s="5" t="str">
        <v>BV</v>
      </c>
      <c r="B426" s="5" t="str">
        <f ca="1"/>
        <v>BV45617</v>
      </c>
      <c r="C426" s="8" t="str">
        <v>Pedido 420</v>
      </c>
      <c r="D426" s="9">
        <v>45617</v>
      </c>
      <c r="E426" s="9">
        <v>45617</v>
      </c>
      <c r="F426" s="8" t="str">
        <v>PedidoF409</v>
      </c>
      <c r="G426" s="2" t="str">
        <v>CódRastreio409</v>
      </c>
      <c r="H426" s="5">
        <v>1</v>
      </c>
      <c r="I426" s="182" t="str">
        <v>CPF 406</v>
      </c>
      <c r="J426" s="2" t="str">
        <v>Nome 406</v>
      </c>
      <c r="K426" s="8" t="str">
        <v>Tel 406</v>
      </c>
      <c r="L426" s="2" t="str">
        <v>Cep 406</v>
      </c>
      <c r="M426" s="2" t="str">
        <v>Rua 406</v>
      </c>
      <c r="N426" s="2" t="str">
        <v>Comp 406</v>
      </c>
      <c r="O426" s="2" t="str">
        <v>Ventilador Azul</v>
      </c>
      <c r="P426" s="8" t="str">
        <v>U8-2VWS-OB6M</v>
      </c>
      <c r="Q426" s="4">
        <v>45653</v>
      </c>
      <c r="R426" s="109">
        <v>59.2</v>
      </c>
      <c r="S426" s="11">
        <f ca="1"/>
        <v>59.2</v>
      </c>
      <c r="T426" s="28">
        <f ca="1"/>
        <v>7.6960000000000006</v>
      </c>
      <c r="U426" s="11">
        <f ca="1"/>
        <v>51.5</v>
      </c>
      <c r="V426" s="11">
        <v>15.36</v>
      </c>
      <c r="W426" s="11">
        <f ca="1"/>
        <v>0.21</v>
      </c>
      <c r="X426" s="11">
        <f ca="1"/>
        <v>0.39877104377104378</v>
      </c>
      <c r="Y426" s="11">
        <v>0</v>
      </c>
      <c r="Z426" s="11">
        <f ca="1"/>
        <v>35.531228956228958</v>
      </c>
      <c r="AA426" s="11">
        <f ca="1"/>
        <v>17.765614478114479</v>
      </c>
      <c r="AB426" s="4">
        <f ca="1"/>
        <v>45660</v>
      </c>
      <c r="AC426" s="4">
        <v>45660</v>
      </c>
      <c r="AD426" s="9">
        <v>45665</v>
      </c>
      <c r="AE426" s="9">
        <v>45673</v>
      </c>
      <c r="AF426" s="4" t="str">
        <f t="shared" ca="1" si="6"/>
        <v>2025 01</v>
      </c>
      <c r="AG426" s="8" t="str" cm="1">
        <f t="array" ref="AG426">IFERROR(_xlfn.IFS('Banco de Dados'!#REF!="AG. COMPRA","Em processamento",'Banco de Dados'!#REF!="AG. RASTREIO","Em processamento",'Banco de Dados'!$AE426&lt;&gt;"-","Faturado",'Banco de Dados'!$AD426&lt;&gt;"-","Aguardando Pix",'Banco de Dados'!$AC426&lt;&gt;"-","Pendente"),"Aguardando Liberação")</f>
        <v>Aguardando Liberação</v>
      </c>
      <c r="AH426" s="5" t="str">
        <f>IF('Banco de Dados'!$F426="-",_xlfn.CONCAT(PROPER(TEXT(AK426,"aaaa"))," ",PROPER(TEXT(AK426,"mm"))),_xlfn.CONCAT(PROPER(TEXT(E426,"aaaa"))," ",PROPER(TEXT(E426,"mm"))))</f>
        <v>2024 11</v>
      </c>
      <c r="AI426" s="9" t="str">
        <f ca="1">IF('Banco de Dados'!$AK426&lt;&gt;"-","REEMBOLSO",IFERROR(_xlfn.XLOOKUP(G426,Follow[CODRASTREIO],Follow[STATUS]),"-"))</f>
        <v>ENTREGUE</v>
      </c>
      <c r="AJ426" s="9">
        <f ca="1">IF('Banco de Dados'!$AI426="ENTREGUE",_xlfn.XLOOKUP('Banco de Dados'!$G426,Follow[CODRASTREIO],Follow[DATAATUALIZAÇÃO]),"-")</f>
        <v>45629</v>
      </c>
      <c r="AK426" s="9" t="str">
        <f ca="1"/>
        <v>-</v>
      </c>
      <c r="AL426" s="35"/>
      <c r="AM426" s="109" cm="1">
        <f t="array" aca="1" ref="AM426" ca="1">IF('Banco de Dados'!$AK426&lt;&gt;"-",_xlfn.IFS('Banco de Dados'!$A426="bv",IF('Banco de Dados'!$E426&lt;45641,ROUND(SUM('Banco de Dados'!$R426*_xlfn.XLOOKUP('Banco de Dados'!$P426,Sku!B:B,Sku!#REF!)*20%),2),ROUND(SUM('Banco de Dados'!$R426*_xlfn.XLOOKUP('Banco de Dados'!$P426,Sku!B:B,Sku!H:H)*20%),2)),'Banco de Dados'!$A426="GO",ROUND(_xlfn.XLOOKUP('Banco de Dados'!$P426,Sku!C:C,Sku!H:H),2),'Banco de Dados'!$A426="MEI",ROUND(_xlfn.XLOOKUP('Banco de Dados'!$P426,Sku!D:D,Sku!H:H),2)),0)</f>
        <v>0</v>
      </c>
      <c r="AN426" s="109">
        <f ca="1">IF('Banco de Dados'!$AK426&lt;&gt;"-",IF('Banco de Dados'!$F426&lt;&gt;"-",_xlfn.XLOOKUP(IFERROR(IFERROR(IFERROR(VALUE(SUBSTITUTE(MID(_xlfn.TEXTAFTER('Banco de Dados'!$F426,"Data do Pedido:
",1),1,10),"-","/")),VALUE(SUBSTITUTE(MID(_xlfn.TEXTAFTER('Banco de Dados'!$F426,"Order date:
",1),1,10),"-","/"))),VALUE(SUBSTITUTE(MID(_xlfn.TEXTAFTER('Banco de Dados'!$F426,"Fecha de pedido:
",1),1,10),"-","/"))),"-"),SMS!A:A,SMS!K:K),0),0)</f>
        <v>0</v>
      </c>
      <c r="AO426" s="109">
        <f ca="1">IF('Banco de Dados'!$AK426&lt;&gt;"-",IF('Banco de Dados'!$F426&lt;&gt;"-",IFERROR(_xlfn.XLOOKUP(_xlfn.CONCAT('Banco de Dados'!$A426,IFERROR(IFERROR(VALUE(SUBSTITUTE(MID(_xlfn.TEXTAFTER('Banco de Dados'!$F426,"Data do Pedido:
",1),1,10),"-","/")),VALUE(SUBSTITUTE(MID(_xlfn.TEXTAFTER('Banco de Dados'!$F426,"Order date:
",1),1,10),"-","/"))),0)),ProxyDD[Chave],ProxyDD[Valor por pedido]),PROXY!$P$2),0),0)</f>
        <v>0</v>
      </c>
      <c r="AP426" s="28">
        <f ca="1">IF('Banco de Dados'!$AK426&lt;&gt;"-",IF('Banco de Dados'!$AL426="NÃO",IFERROR(VALUE(SUBSTITUTE(_xlfn.TEXTAFTER('Banco de Dados'!$F426,"BRL ",1),".",",")),0),0),0)</f>
        <v>0</v>
      </c>
      <c r="AQ426" s="28">
        <f ca="1">SUM('Banco de Dados'!$AM426:$AP426)</f>
        <v>0</v>
      </c>
      <c r="AR426" s="8"/>
      <c r="AS426" s="8"/>
      <c r="AY426" s="8"/>
    </row>
    <row r="427" spans="1:51">
      <c r="A427" s="5" t="str">
        <v>BV</v>
      </c>
      <c r="B427" s="5" t="str">
        <f ca="1"/>
        <v>BV45617</v>
      </c>
      <c r="C427" s="8" t="str">
        <v>Pedido 421</v>
      </c>
      <c r="D427" s="9">
        <v>45617</v>
      </c>
      <c r="E427" s="9">
        <v>45617</v>
      </c>
      <c r="F427" s="8" t="str">
        <v>PedidoF410</v>
      </c>
      <c r="G427" s="2" t="str">
        <v>CódRastreio410</v>
      </c>
      <c r="H427" s="5">
        <v>1</v>
      </c>
      <c r="I427" s="182" t="str">
        <v>CPF 407</v>
      </c>
      <c r="J427" s="2" t="str">
        <v>Nome 407</v>
      </c>
      <c r="K427" s="8" t="str">
        <v>Tel 407</v>
      </c>
      <c r="L427" s="2" t="str">
        <v>Cep 407</v>
      </c>
      <c r="M427" s="2" t="str">
        <v>Rua 407</v>
      </c>
      <c r="N427" s="2" t="str">
        <v>Comp 407</v>
      </c>
      <c r="O427" s="2" t="str">
        <v>Ventilador Rosa</v>
      </c>
      <c r="P427" s="8" t="str">
        <v>IF-G2ZQ-79FO</v>
      </c>
      <c r="Q427" s="4">
        <v>45653</v>
      </c>
      <c r="R427" s="109">
        <v>59.2</v>
      </c>
      <c r="S427" s="11">
        <f ca="1"/>
        <v>59.2</v>
      </c>
      <c r="T427" s="28">
        <f ca="1"/>
        <v>7.6960000000000006</v>
      </c>
      <c r="U427" s="11">
        <f ca="1"/>
        <v>51.5</v>
      </c>
      <c r="V427" s="11">
        <v>15.36</v>
      </c>
      <c r="W427" s="11">
        <f ca="1"/>
        <v>0.21</v>
      </c>
      <c r="X427" s="11">
        <f ca="1"/>
        <v>0.39877104377104378</v>
      </c>
      <c r="Y427" s="11">
        <v>0</v>
      </c>
      <c r="Z427" s="11">
        <f ca="1"/>
        <v>35.531228956228958</v>
      </c>
      <c r="AA427" s="11">
        <f ca="1"/>
        <v>17.765614478114479</v>
      </c>
      <c r="AB427" s="4">
        <f ca="1"/>
        <v>45660</v>
      </c>
      <c r="AC427" s="4">
        <v>45660</v>
      </c>
      <c r="AD427" s="9">
        <v>45665</v>
      </c>
      <c r="AE427" s="9">
        <v>45673</v>
      </c>
      <c r="AF427" s="4" t="str">
        <f t="shared" ca="1" si="6"/>
        <v>2025 01</v>
      </c>
      <c r="AG427" s="8" t="str" cm="1">
        <f t="array" ref="AG427">IFERROR(_xlfn.IFS('Banco de Dados'!#REF!="AG. COMPRA","Em processamento",'Banco de Dados'!#REF!="AG. RASTREIO","Em processamento",'Banco de Dados'!$AE427&lt;&gt;"-","Faturado",'Banco de Dados'!$AD427&lt;&gt;"-","Aguardando Pix",'Banco de Dados'!$AC427&lt;&gt;"-","Pendente"),"Aguardando Liberação")</f>
        <v>Aguardando Liberação</v>
      </c>
      <c r="AH427" s="5" t="str">
        <f>IF('Banco de Dados'!$F427="-",_xlfn.CONCAT(PROPER(TEXT(AK427,"aaaa"))," ",PROPER(TEXT(AK427,"mm"))),_xlfn.CONCAT(PROPER(TEXT(E427,"aaaa"))," ",PROPER(TEXT(E427,"mm"))))</f>
        <v>2024 11</v>
      </c>
      <c r="AI427" s="9" t="str">
        <f ca="1">IF('Banco de Dados'!$AK427&lt;&gt;"-","REEMBOLSO",IFERROR(_xlfn.XLOOKUP(G427,Follow[CODRASTREIO],Follow[STATUS]),"-"))</f>
        <v>ENTREGUE</v>
      </c>
      <c r="AJ427" s="9">
        <f ca="1">IF('Banco de Dados'!$AI427="ENTREGUE",_xlfn.XLOOKUP('Banco de Dados'!$G427,Follow[CODRASTREIO],Follow[DATAATUALIZAÇÃO]),"-")</f>
        <v>45646</v>
      </c>
      <c r="AK427" s="9" t="str">
        <f ca="1"/>
        <v>-</v>
      </c>
      <c r="AL427" s="35"/>
      <c r="AM427" s="109" cm="1">
        <f t="array" aca="1" ref="AM427" ca="1">IF('Banco de Dados'!$AK427&lt;&gt;"-",_xlfn.IFS('Banco de Dados'!$A427="bv",IF('Banco de Dados'!$E427&lt;45641,ROUND(SUM('Banco de Dados'!$R427*_xlfn.XLOOKUP('Banco de Dados'!$P427,Sku!B:B,Sku!#REF!)*20%),2),ROUND(SUM('Banco de Dados'!$R427*_xlfn.XLOOKUP('Banco de Dados'!$P427,Sku!B:B,Sku!H:H)*20%),2)),'Banco de Dados'!$A427="GO",ROUND(_xlfn.XLOOKUP('Banco de Dados'!$P427,Sku!C:C,Sku!H:H),2),'Banco de Dados'!$A427="MEI",ROUND(_xlfn.XLOOKUP('Banco de Dados'!$P427,Sku!D:D,Sku!H:H),2)),0)</f>
        <v>0</v>
      </c>
      <c r="AN427" s="109">
        <f ca="1">IF('Banco de Dados'!$AK427&lt;&gt;"-",IF('Banco de Dados'!$F427&lt;&gt;"-",_xlfn.XLOOKUP(IFERROR(IFERROR(IFERROR(VALUE(SUBSTITUTE(MID(_xlfn.TEXTAFTER('Banco de Dados'!$F427,"Data do Pedido:
",1),1,10),"-","/")),VALUE(SUBSTITUTE(MID(_xlfn.TEXTAFTER('Banco de Dados'!$F427,"Order date:
",1),1,10),"-","/"))),VALUE(SUBSTITUTE(MID(_xlfn.TEXTAFTER('Banco de Dados'!$F427,"Fecha de pedido:
",1),1,10),"-","/"))),"-"),SMS!A:A,SMS!K:K),0),0)</f>
        <v>0</v>
      </c>
      <c r="AO427" s="109">
        <f ca="1">IF('Banco de Dados'!$AK427&lt;&gt;"-",IF('Banco de Dados'!$F427&lt;&gt;"-",IFERROR(_xlfn.XLOOKUP(_xlfn.CONCAT('Banco de Dados'!$A427,IFERROR(IFERROR(VALUE(SUBSTITUTE(MID(_xlfn.TEXTAFTER('Banco de Dados'!$F427,"Data do Pedido:
",1),1,10),"-","/")),VALUE(SUBSTITUTE(MID(_xlfn.TEXTAFTER('Banco de Dados'!$F427,"Order date:
",1),1,10),"-","/"))),0)),ProxyDD[Chave],ProxyDD[Valor por pedido]),PROXY!$P$2),0),0)</f>
        <v>0</v>
      </c>
      <c r="AP427" s="28">
        <f ca="1">IF('Banco de Dados'!$AK427&lt;&gt;"-",IF('Banco de Dados'!$AL427="NÃO",IFERROR(VALUE(SUBSTITUTE(_xlfn.TEXTAFTER('Banco de Dados'!$F427,"BRL ",1),".",",")),0),0),0)</f>
        <v>0</v>
      </c>
      <c r="AQ427" s="28">
        <f ca="1">SUM('Banco de Dados'!$AM427:$AP427)</f>
        <v>0</v>
      </c>
      <c r="AR427" s="8"/>
      <c r="AS427" s="8"/>
      <c r="AY427" s="8"/>
    </row>
    <row r="428" spans="1:51">
      <c r="A428" s="5" t="str">
        <v>BV</v>
      </c>
      <c r="B428" s="5" t="str">
        <f ca="1"/>
        <v>BV45617</v>
      </c>
      <c r="C428" s="8" t="str">
        <v>Pedido 422</v>
      </c>
      <c r="D428" s="9">
        <v>45617</v>
      </c>
      <c r="E428" s="9">
        <v>45617</v>
      </c>
      <c r="F428" s="8" t="str">
        <v>PedidoF411</v>
      </c>
      <c r="G428" s="2" t="str">
        <v>CódRastreio411</v>
      </c>
      <c r="H428" s="5">
        <v>1</v>
      </c>
      <c r="I428" s="182" t="str">
        <v>CPF 408</v>
      </c>
      <c r="J428" s="2" t="str">
        <v>Nome 408</v>
      </c>
      <c r="K428" s="8" t="str">
        <v>Tel 408</v>
      </c>
      <c r="L428" s="2" t="str">
        <v>Cep 408</v>
      </c>
      <c r="M428" s="2" t="str">
        <v>Rua 408</v>
      </c>
      <c r="N428" s="2" t="str">
        <v>Comp 408</v>
      </c>
      <c r="O428" s="2" t="str">
        <v>Ventilador Preto</v>
      </c>
      <c r="P428" s="8" t="str">
        <v>MU-J80P-95WF</v>
      </c>
      <c r="Q428" s="4">
        <v>45638</v>
      </c>
      <c r="R428" s="109">
        <v>59.2</v>
      </c>
      <c r="S428" s="11">
        <f ca="1"/>
        <v>59.2</v>
      </c>
      <c r="T428" s="28">
        <f ca="1"/>
        <v>7.6960000000000006</v>
      </c>
      <c r="U428" s="11">
        <f ca="1"/>
        <v>51.5</v>
      </c>
      <c r="V428" s="11">
        <v>16.010000000000002</v>
      </c>
      <c r="W428" s="11">
        <f ca="1"/>
        <v>0.21</v>
      </c>
      <c r="X428" s="11">
        <f ca="1"/>
        <v>0.39877104377104378</v>
      </c>
      <c r="Y428" s="11">
        <v>0</v>
      </c>
      <c r="Z428" s="11">
        <f ca="1"/>
        <v>34.881228956228952</v>
      </c>
      <c r="AA428" s="11">
        <f ca="1"/>
        <v>17.440614478114476</v>
      </c>
      <c r="AB428" s="4">
        <f ca="1"/>
        <v>45645</v>
      </c>
      <c r="AC428" s="4">
        <v>45645</v>
      </c>
      <c r="AD428" s="9">
        <v>45651</v>
      </c>
      <c r="AE428" s="9">
        <v>45659</v>
      </c>
      <c r="AF428" s="4" t="str">
        <f t="shared" ca="1" si="6"/>
        <v>2024 12</v>
      </c>
      <c r="AG428" s="8" t="str" cm="1">
        <f t="array" ref="AG428">IFERROR(_xlfn.IFS('Banco de Dados'!#REF!="AG. COMPRA","Em processamento",'Banco de Dados'!#REF!="AG. RASTREIO","Em processamento",'Banco de Dados'!$AE428&lt;&gt;"-","Faturado",'Banco de Dados'!$AD428&lt;&gt;"-","Aguardando Pix",'Banco de Dados'!$AC428&lt;&gt;"-","Pendente"),"Aguardando Liberação")</f>
        <v>Aguardando Liberação</v>
      </c>
      <c r="AH428" s="5" t="str">
        <f>IF('Banco de Dados'!$F428="-",_xlfn.CONCAT(PROPER(TEXT(AK428,"aaaa"))," ",PROPER(TEXT(AK428,"mm"))),_xlfn.CONCAT(PROPER(TEXT(E428,"aaaa"))," ",PROPER(TEXT(E428,"mm"))))</f>
        <v>2024 11</v>
      </c>
      <c r="AI428" s="9" t="str">
        <f ca="1">IF('Banco de Dados'!$AK428&lt;&gt;"-","REEMBOLSO",IFERROR(_xlfn.XLOOKUP(G428,Follow[CODRASTREIO],Follow[STATUS]),"-"))</f>
        <v>ENTREGUE</v>
      </c>
      <c r="AJ428" s="9">
        <f ca="1">IF('Banco de Dados'!$AI428="ENTREGUE",_xlfn.XLOOKUP('Banco de Dados'!$G428,Follow[CODRASTREIO],Follow[DATAATUALIZAÇÃO]),"-")</f>
        <v>45628</v>
      </c>
      <c r="AK428" s="9" t="str">
        <f ca="1"/>
        <v>-</v>
      </c>
      <c r="AL428" s="35"/>
      <c r="AM428" s="109" cm="1">
        <f t="array" aca="1" ref="AM428" ca="1">IF('Banco de Dados'!$AK428&lt;&gt;"-",_xlfn.IFS('Banco de Dados'!$A428="bv",IF('Banco de Dados'!$E428&lt;45641,ROUND(SUM('Banco de Dados'!$R428*_xlfn.XLOOKUP('Banco de Dados'!$P428,Sku!B:B,Sku!#REF!)*20%),2),ROUND(SUM('Banco de Dados'!$R428*_xlfn.XLOOKUP('Banco de Dados'!$P428,Sku!B:B,Sku!H:H)*20%),2)),'Banco de Dados'!$A428="GO",ROUND(_xlfn.XLOOKUP('Banco de Dados'!$P428,Sku!C:C,Sku!H:H),2),'Banco de Dados'!$A428="MEI",ROUND(_xlfn.XLOOKUP('Banco de Dados'!$P428,Sku!D:D,Sku!H:H),2)),0)</f>
        <v>0</v>
      </c>
      <c r="AN428" s="109">
        <f ca="1">IF('Banco de Dados'!$AK428&lt;&gt;"-",IF('Banco de Dados'!$F428&lt;&gt;"-",_xlfn.XLOOKUP(IFERROR(IFERROR(IFERROR(VALUE(SUBSTITUTE(MID(_xlfn.TEXTAFTER('Banco de Dados'!$F428,"Data do Pedido:
",1),1,10),"-","/")),VALUE(SUBSTITUTE(MID(_xlfn.TEXTAFTER('Banco de Dados'!$F428,"Order date:
",1),1,10),"-","/"))),VALUE(SUBSTITUTE(MID(_xlfn.TEXTAFTER('Banco de Dados'!$F428,"Fecha de pedido:
",1),1,10),"-","/"))),"-"),SMS!A:A,SMS!K:K),0),0)</f>
        <v>0</v>
      </c>
      <c r="AO428" s="109">
        <f ca="1">IF('Banco de Dados'!$AK428&lt;&gt;"-",IF('Banco de Dados'!$F428&lt;&gt;"-",IFERROR(_xlfn.XLOOKUP(_xlfn.CONCAT('Banco de Dados'!$A428,IFERROR(IFERROR(VALUE(SUBSTITUTE(MID(_xlfn.TEXTAFTER('Banco de Dados'!$F428,"Data do Pedido:
",1),1,10),"-","/")),VALUE(SUBSTITUTE(MID(_xlfn.TEXTAFTER('Banco de Dados'!$F428,"Order date:
",1),1,10),"-","/"))),0)),ProxyDD[Chave],ProxyDD[Valor por pedido]),PROXY!$P$2),0),0)</f>
        <v>0</v>
      </c>
      <c r="AP428" s="28">
        <f ca="1">IF('Banco de Dados'!$AK428&lt;&gt;"-",IF('Banco de Dados'!$AL428="NÃO",IFERROR(VALUE(SUBSTITUTE(_xlfn.TEXTAFTER('Banco de Dados'!$F428,"BRL ",1),".",",")),0),0),0)</f>
        <v>0</v>
      </c>
      <c r="AQ428" s="28">
        <f ca="1">SUM('Banco de Dados'!$AM428:$AP428)</f>
        <v>0</v>
      </c>
      <c r="AR428" s="8"/>
      <c r="AS428" s="8"/>
      <c r="AY428" s="8"/>
    </row>
    <row r="429" spans="1:51">
      <c r="A429" s="5" t="str">
        <v>BV</v>
      </c>
      <c r="B429" s="5" t="str">
        <f ca="1"/>
        <v>BV-</v>
      </c>
      <c r="C429" s="8" t="str">
        <v>Pedido 423</v>
      </c>
      <c r="D429" s="9">
        <v>45627</v>
      </c>
      <c r="E429" s="9" t="str">
        <v>-</v>
      </c>
      <c r="F429" s="8" t="str">
        <v>-</v>
      </c>
      <c r="G429" s="2" t="str">
        <v>-</v>
      </c>
      <c r="H429" s="5">
        <v>1</v>
      </c>
      <c r="I429" s="182" t="str">
        <v>CPF 409</v>
      </c>
      <c r="J429" s="2" t="str">
        <v>Nome 409</v>
      </c>
      <c r="K429" s="8" t="str">
        <v>Tel 409</v>
      </c>
      <c r="L429" s="2" t="str">
        <v>Cep 409</v>
      </c>
      <c r="M429" s="2" t="str">
        <v>Rua 409</v>
      </c>
      <c r="N429" s="2" t="str">
        <v>Comp 409</v>
      </c>
      <c r="O429" s="2" t="str">
        <v>Bomba d'agua</v>
      </c>
      <c r="P429" s="8" t="str">
        <v>DJ-RO5O-43GF</v>
      </c>
      <c r="Q429" s="4">
        <v>45632</v>
      </c>
      <c r="R429" s="109">
        <v>18.5</v>
      </c>
      <c r="S429" s="11">
        <f ca="1"/>
        <v>0</v>
      </c>
      <c r="T429" s="28">
        <f ca="1"/>
        <v>0</v>
      </c>
      <c r="U429" s="11">
        <f ca="1"/>
        <v>0</v>
      </c>
      <c r="V429" s="11">
        <v>0</v>
      </c>
      <c r="W429" s="11">
        <f ca="1"/>
        <v>0</v>
      </c>
      <c r="X429" s="11">
        <f ca="1"/>
        <v>0</v>
      </c>
      <c r="Y429" s="11">
        <v>0</v>
      </c>
      <c r="Z429" s="11">
        <f ca="1"/>
        <v>0</v>
      </c>
      <c r="AA429" s="11">
        <f ca="1"/>
        <v>0</v>
      </c>
      <c r="AB429" s="4">
        <f ca="1"/>
        <v>45639</v>
      </c>
      <c r="AC429" s="4">
        <v>45639</v>
      </c>
      <c r="AD429" s="9">
        <v>45640</v>
      </c>
      <c r="AE429" s="9">
        <v>45642</v>
      </c>
      <c r="AF429" s="4" t="str">
        <f t="shared" ca="1" si="6"/>
        <v>2024 12</v>
      </c>
      <c r="AG429" s="8" t="str" cm="1">
        <f t="array" ref="AG429">IFERROR(_xlfn.IFS('Banco de Dados'!#REF!="AG. COMPRA","Em processamento",'Banco de Dados'!#REF!="AG. RASTREIO","Em processamento",'Banco de Dados'!$AE429&lt;&gt;"-","Faturado",'Banco de Dados'!$AD429&lt;&gt;"-","Aguardando Pix",'Banco de Dados'!$AC429&lt;&gt;"-","Pendente"),"Aguardando Liberação")</f>
        <v>Aguardando Liberação</v>
      </c>
      <c r="AH429" s="5" t="str">
        <f ca="1">IF('Banco de Dados'!$F429="-",_xlfn.CONCAT(PROPER(TEXT(AK429,"aaaa"))," ",PROPER(TEXT(AK429,"mm"))),_xlfn.CONCAT(PROPER(TEXT(E429,"aaaa"))," ",PROPER(TEXT(E429,"mm"))))</f>
        <v>2024 11</v>
      </c>
      <c r="AI429" s="9" t="str">
        <f ca="1">IF('Banco de Dados'!$AK429&lt;&gt;"-","REEMBOLSO",IFERROR(_xlfn.XLOOKUP(G429,Follow[CODRASTREIO],Follow[STATUS]),"-"))</f>
        <v>REEMBOLSO</v>
      </c>
      <c r="AJ429" s="9" t="str">
        <f ca="1">IF('Banco de Dados'!$AI429="ENTREGUE",_xlfn.XLOOKUP('Banco de Dados'!$G429,Follow[CODRASTREIO],Follow[DATAATUALIZAÇÃO]),"-")</f>
        <v>-</v>
      </c>
      <c r="AK429" s="9">
        <f ca="1"/>
        <v>45617</v>
      </c>
      <c r="AL429" s="35"/>
      <c r="AM429" s="109">
        <v>0.52</v>
      </c>
      <c r="AN429" s="109">
        <f ca="1">IF('Banco de Dados'!$AK429&lt;&gt;"-",IF('Banco de Dados'!$F429&lt;&gt;"-",_xlfn.XLOOKUP(IFERROR(IFERROR(IFERROR(VALUE(SUBSTITUTE(MID(_xlfn.TEXTAFTER('Banco de Dados'!$F429,"Data do Pedido:
",1),1,10),"-","/")),VALUE(SUBSTITUTE(MID(_xlfn.TEXTAFTER('Banco de Dados'!$F429,"Order date:
",1),1,10),"-","/"))),VALUE(SUBSTITUTE(MID(_xlfn.TEXTAFTER('Banco de Dados'!$F429,"Fecha de pedido:
",1),1,10),"-","/"))),"-"),SMS!A:A,SMS!K:K),0),0)</f>
        <v>0</v>
      </c>
      <c r="AO429" s="109">
        <f ca="1">IF('Banco de Dados'!$AK429&lt;&gt;"-",IF('Banco de Dados'!$F429&lt;&gt;"-",IFERROR(_xlfn.XLOOKUP(_xlfn.CONCAT('Banco de Dados'!$A429,IFERROR(IFERROR(VALUE(SUBSTITUTE(MID(_xlfn.TEXTAFTER('Banco de Dados'!$F429,"Data do Pedido:
",1),1,10),"-","/")),VALUE(SUBSTITUTE(MID(_xlfn.TEXTAFTER('Banco de Dados'!$F429,"Order date:
",1),1,10),"-","/"))),0)),ProxyDD[Chave],ProxyDD[Valor por pedido]),PROXY!$P$2),0),0)</f>
        <v>0</v>
      </c>
      <c r="AP429" s="28">
        <f ca="1">IF('Banco de Dados'!$AK429&lt;&gt;"-",IF('Banco de Dados'!$AL429="NÃO",IFERROR(VALUE(SUBSTITUTE(_xlfn.TEXTAFTER('Banco de Dados'!$F429,"BRL ",1),".",",")),0),0),0)</f>
        <v>0</v>
      </c>
      <c r="AQ429" s="28">
        <f ca="1">SUM('Banco de Dados'!$AM429:$AP429)</f>
        <v>0.52</v>
      </c>
      <c r="AR429" s="8"/>
      <c r="AS429" s="8"/>
      <c r="AY429" s="8"/>
    </row>
    <row r="430" spans="1:51">
      <c r="A430" s="5" t="str">
        <v>BV</v>
      </c>
      <c r="B430" s="5" t="str">
        <f ca="1"/>
        <v>BV-</v>
      </c>
      <c r="C430" s="8" t="str">
        <v>Pedido 424</v>
      </c>
      <c r="D430" s="9">
        <v>45627</v>
      </c>
      <c r="E430" s="9" t="str">
        <v>-</v>
      </c>
      <c r="F430" s="8" t="str">
        <v>-</v>
      </c>
      <c r="G430" s="2" t="str">
        <v>-</v>
      </c>
      <c r="H430" s="5">
        <v>1</v>
      </c>
      <c r="I430" s="182" t="str">
        <v>CPF 410</v>
      </c>
      <c r="J430" s="2" t="str">
        <v>Nome 410</v>
      </c>
      <c r="K430" s="8" t="str">
        <v>Tel 410</v>
      </c>
      <c r="L430" s="2" t="str">
        <v>Cep 410</v>
      </c>
      <c r="M430" s="2" t="str">
        <v>Rua 410</v>
      </c>
      <c r="N430" s="2" t="str">
        <v>Comp 410</v>
      </c>
      <c r="O430" s="2" t="str">
        <v>Garrafa Termica</v>
      </c>
      <c r="P430" s="8" t="str">
        <v>FM-QQ8Y-RZT4</v>
      </c>
      <c r="Q430" s="4">
        <v>45644</v>
      </c>
      <c r="R430" s="109">
        <v>22.5</v>
      </c>
      <c r="S430" s="11">
        <f ca="1"/>
        <v>0</v>
      </c>
      <c r="T430" s="28">
        <f ca="1"/>
        <v>0</v>
      </c>
      <c r="U430" s="11">
        <f ca="1"/>
        <v>0</v>
      </c>
      <c r="V430" s="11">
        <v>0</v>
      </c>
      <c r="W430" s="11">
        <f ca="1"/>
        <v>0</v>
      </c>
      <c r="X430" s="11">
        <f ca="1"/>
        <v>0</v>
      </c>
      <c r="Y430" s="11">
        <v>0</v>
      </c>
      <c r="Z430" s="11">
        <f ca="1"/>
        <v>0</v>
      </c>
      <c r="AA430" s="11">
        <f ca="1"/>
        <v>0</v>
      </c>
      <c r="AB430" s="4">
        <f ca="1"/>
        <v>45651</v>
      </c>
      <c r="AC430" s="4">
        <v>45651</v>
      </c>
      <c r="AD430" s="9">
        <v>45651</v>
      </c>
      <c r="AE430" s="9">
        <v>45659</v>
      </c>
      <c r="AF430" s="4" t="str">
        <f t="shared" ca="1" si="6"/>
        <v>2024 12</v>
      </c>
      <c r="AG430" s="8" t="str" cm="1">
        <f t="array" ref="AG430">IFERROR(_xlfn.IFS('Banco de Dados'!#REF!="AG. COMPRA","Em processamento",'Banco de Dados'!#REF!="AG. RASTREIO","Em processamento",'Banco de Dados'!$AE430&lt;&gt;"-","Faturado",'Banco de Dados'!$AD430&lt;&gt;"-","Aguardando Pix",'Banco de Dados'!$AC430&lt;&gt;"-","Pendente"),"Aguardando Liberação")</f>
        <v>Aguardando Liberação</v>
      </c>
      <c r="AH430" s="5" t="str">
        <f ca="1">IF('Banco de Dados'!$F430="-",_xlfn.CONCAT(PROPER(TEXT(AK430,"aaaa"))," ",PROPER(TEXT(AK430,"mm"))),_xlfn.CONCAT(PROPER(TEXT(E430,"aaaa"))," ",PROPER(TEXT(E430,"mm"))))</f>
        <v>2024 11</v>
      </c>
      <c r="AI430" s="9" t="str">
        <f ca="1">IF('Banco de Dados'!$AK430&lt;&gt;"-","REEMBOLSO",IFERROR(_xlfn.XLOOKUP(G430,Follow[CODRASTREIO],Follow[STATUS]),"-"))</f>
        <v>REEMBOLSO</v>
      </c>
      <c r="AJ430" s="9" t="str">
        <f ca="1">IF('Banco de Dados'!$AI430="ENTREGUE",_xlfn.XLOOKUP('Banco de Dados'!$G430,Follow[CODRASTREIO],Follow[DATAATUALIZAÇÃO]),"-")</f>
        <v>-</v>
      </c>
      <c r="AK430" s="9">
        <f ca="1"/>
        <v>45617</v>
      </c>
      <c r="AL430" s="35"/>
      <c r="AM430" s="109">
        <v>0.59</v>
      </c>
      <c r="AN430" s="109">
        <f ca="1">IF('Banco de Dados'!$AK430&lt;&gt;"-",IF('Banco de Dados'!$F430&lt;&gt;"-",_xlfn.XLOOKUP(IFERROR(IFERROR(IFERROR(VALUE(SUBSTITUTE(MID(_xlfn.TEXTAFTER('Banco de Dados'!$F430,"Data do Pedido:
",1),1,10),"-","/")),VALUE(SUBSTITUTE(MID(_xlfn.TEXTAFTER('Banco de Dados'!$F430,"Order date:
",1),1,10),"-","/"))),VALUE(SUBSTITUTE(MID(_xlfn.TEXTAFTER('Banco de Dados'!$F430,"Fecha de pedido:
",1),1,10),"-","/"))),"-"),SMS!A:A,SMS!K:K),0),0)</f>
        <v>0</v>
      </c>
      <c r="AO430" s="109">
        <f ca="1">IF('Banco de Dados'!$AK430&lt;&gt;"-",IF('Banco de Dados'!$F430&lt;&gt;"-",IFERROR(_xlfn.XLOOKUP(_xlfn.CONCAT('Banco de Dados'!$A430,IFERROR(IFERROR(VALUE(SUBSTITUTE(MID(_xlfn.TEXTAFTER('Banco de Dados'!$F430,"Data do Pedido:
",1),1,10),"-","/")),VALUE(SUBSTITUTE(MID(_xlfn.TEXTAFTER('Banco de Dados'!$F430,"Order date:
",1),1,10),"-","/"))),0)),ProxyDD[Chave],ProxyDD[Valor por pedido]),PROXY!$P$2),0),0)</f>
        <v>0</v>
      </c>
      <c r="AP430" s="28">
        <f ca="1">IF('Banco de Dados'!$AK430&lt;&gt;"-",IF('Banco de Dados'!$AL430="NÃO",IFERROR(VALUE(SUBSTITUTE(_xlfn.TEXTAFTER('Banco de Dados'!$F430,"BRL ",1),".",",")),0),0),0)</f>
        <v>0</v>
      </c>
      <c r="AQ430" s="28">
        <f ca="1">SUM('Banco de Dados'!$AM430:$AP430)</f>
        <v>0.59</v>
      </c>
      <c r="AR430" s="8"/>
      <c r="AS430" s="8"/>
      <c r="AY430" s="8"/>
    </row>
    <row r="431" spans="1:51">
      <c r="A431" s="5" t="str">
        <v>BV</v>
      </c>
      <c r="B431" s="5" t="str">
        <f ca="1"/>
        <v>BV45617</v>
      </c>
      <c r="C431" s="8" t="str">
        <v>Pedido 425</v>
      </c>
      <c r="D431" s="9">
        <v>45617</v>
      </c>
      <c r="E431" s="9">
        <v>45617</v>
      </c>
      <c r="F431" s="8" t="str">
        <v>PedidoF412</v>
      </c>
      <c r="G431" s="2" t="str">
        <v>CódRastreio412</v>
      </c>
      <c r="H431" s="5">
        <v>1</v>
      </c>
      <c r="I431" s="182" t="str">
        <v>CPF 411</v>
      </c>
      <c r="J431" s="2" t="str">
        <v>Nome 411</v>
      </c>
      <c r="K431" s="8" t="str">
        <v>Tel 411</v>
      </c>
      <c r="L431" s="2" t="str">
        <v>Cep 411</v>
      </c>
      <c r="M431" s="2" t="str">
        <v>Rua 411</v>
      </c>
      <c r="N431" s="2" t="str">
        <v>Comp 411</v>
      </c>
      <c r="O431" s="2" t="str">
        <v>Adaptador Bluetooph</v>
      </c>
      <c r="P431" s="8" t="str">
        <v>YA-AG3H-SPUK</v>
      </c>
      <c r="Q431" s="4">
        <v>45632</v>
      </c>
      <c r="R431" s="109">
        <v>16.989999999999998</v>
      </c>
      <c r="S431" s="11">
        <f ca="1"/>
        <v>16.989999999999998</v>
      </c>
      <c r="T431" s="28">
        <f ca="1"/>
        <v>2.0387999999999997</v>
      </c>
      <c r="U431" s="11">
        <f ca="1"/>
        <v>14.95</v>
      </c>
      <c r="V431" s="11">
        <v>6.99</v>
      </c>
      <c r="W431" s="11">
        <f ca="1"/>
        <v>0.21</v>
      </c>
      <c r="X431" s="11">
        <f ca="1"/>
        <v>0.39877104377104378</v>
      </c>
      <c r="Y431" s="11">
        <v>0</v>
      </c>
      <c r="Z431" s="11">
        <f ca="1"/>
        <v>7.3512289562289554</v>
      </c>
      <c r="AA431" s="11">
        <f ca="1"/>
        <v>3.6756144781144777</v>
      </c>
      <c r="AB431" s="4">
        <f ca="1"/>
        <v>45639</v>
      </c>
      <c r="AC431" s="4">
        <v>45639</v>
      </c>
      <c r="AD431" s="9">
        <v>45640</v>
      </c>
      <c r="AE431" s="9">
        <v>45642</v>
      </c>
      <c r="AF431" s="4" t="str">
        <f t="shared" ca="1" si="6"/>
        <v>2024 12</v>
      </c>
      <c r="AG431" s="8" t="str" cm="1">
        <f t="array" ref="AG431">IFERROR(_xlfn.IFS('Banco de Dados'!#REF!="AG. COMPRA","Em processamento",'Banco de Dados'!#REF!="AG. RASTREIO","Em processamento",'Banco de Dados'!$AE431&lt;&gt;"-","Faturado",'Banco de Dados'!$AD431&lt;&gt;"-","Aguardando Pix",'Banco de Dados'!$AC431&lt;&gt;"-","Pendente"),"Aguardando Liberação")</f>
        <v>Aguardando Liberação</v>
      </c>
      <c r="AH431" s="5" t="str">
        <f>IF('Banco de Dados'!$F431="-",_xlfn.CONCAT(PROPER(TEXT(AK431,"aaaa"))," ",PROPER(TEXT(AK431,"mm"))),_xlfn.CONCAT(PROPER(TEXT(E431,"aaaa"))," ",PROPER(TEXT(E431,"mm"))))</f>
        <v>2024 11</v>
      </c>
      <c r="AI431" s="9" t="str">
        <f ca="1">IF('Banco de Dados'!$AK431&lt;&gt;"-","REEMBOLSO",IFERROR(_xlfn.XLOOKUP(G431,Follow[CODRASTREIO],Follow[STATUS]),"-"))</f>
        <v>ENTREGUE</v>
      </c>
      <c r="AJ431" s="9">
        <f ca="1">IF('Banco de Dados'!$AI431="ENTREGUE",_xlfn.XLOOKUP('Banco de Dados'!$G431,Follow[CODRASTREIO],Follow[DATAATUALIZAÇÃO]),"-")</f>
        <v>45623</v>
      </c>
      <c r="AK431" s="9" t="str">
        <f ca="1"/>
        <v>-</v>
      </c>
      <c r="AL431" s="35"/>
      <c r="AM431" s="109" cm="1">
        <f t="array" aca="1" ref="AM431" ca="1">IF('Banco de Dados'!$AK431&lt;&gt;"-",_xlfn.IFS('Banco de Dados'!$A431="bv",IF('Banco de Dados'!$E431&lt;45641,ROUND(SUM('Banco de Dados'!$R431*_xlfn.XLOOKUP('Banco de Dados'!$P431,Sku!B:B,Sku!#REF!)*20%),2),ROUND(SUM('Banco de Dados'!$R431*_xlfn.XLOOKUP('Banco de Dados'!$P431,Sku!B:B,Sku!H:H)*20%),2)),'Banco de Dados'!$A431="GO",ROUND(_xlfn.XLOOKUP('Banco de Dados'!$P431,Sku!C:C,Sku!H:H),2),'Banco de Dados'!$A431="MEI",ROUND(_xlfn.XLOOKUP('Banco de Dados'!$P431,Sku!D:D,Sku!H:H),2)),0)</f>
        <v>0</v>
      </c>
      <c r="AN431" s="109">
        <f ca="1">IF('Banco de Dados'!$AK431&lt;&gt;"-",IF('Banco de Dados'!$F431&lt;&gt;"-",_xlfn.XLOOKUP(IFERROR(IFERROR(IFERROR(VALUE(SUBSTITUTE(MID(_xlfn.TEXTAFTER('Banco de Dados'!$F431,"Data do Pedido:
",1),1,10),"-","/")),VALUE(SUBSTITUTE(MID(_xlfn.TEXTAFTER('Banco de Dados'!$F431,"Order date:
",1),1,10),"-","/"))),VALUE(SUBSTITUTE(MID(_xlfn.TEXTAFTER('Banco de Dados'!$F431,"Fecha de pedido:
",1),1,10),"-","/"))),"-"),SMS!A:A,SMS!K:K),0),0)</f>
        <v>0</v>
      </c>
      <c r="AO431" s="109">
        <f ca="1">IF('Banco de Dados'!$AK431&lt;&gt;"-",IF('Banco de Dados'!$F431&lt;&gt;"-",IFERROR(_xlfn.XLOOKUP(_xlfn.CONCAT('Banco de Dados'!$A431,IFERROR(IFERROR(VALUE(SUBSTITUTE(MID(_xlfn.TEXTAFTER('Banco de Dados'!$F431,"Data do Pedido:
",1),1,10),"-","/")),VALUE(SUBSTITUTE(MID(_xlfn.TEXTAFTER('Banco de Dados'!$F431,"Order date:
",1),1,10),"-","/"))),0)),ProxyDD[Chave],ProxyDD[Valor por pedido]),PROXY!$P$2),0),0)</f>
        <v>0</v>
      </c>
      <c r="AP431" s="28">
        <f ca="1">IF('Banco de Dados'!$AK431&lt;&gt;"-",IF('Banco de Dados'!$AL431="NÃO",IFERROR(VALUE(SUBSTITUTE(_xlfn.TEXTAFTER('Banco de Dados'!$F431,"BRL ",1),".",",")),0),0),0)</f>
        <v>0</v>
      </c>
      <c r="AQ431" s="28">
        <f ca="1">SUM('Banco de Dados'!$AM431:$AP431)</f>
        <v>0</v>
      </c>
      <c r="AR431" s="8"/>
      <c r="AS431" s="8"/>
      <c r="AY431" s="8"/>
    </row>
    <row r="432" spans="1:51">
      <c r="A432" s="5" t="str">
        <v>BV</v>
      </c>
      <c r="B432" s="5" t="str">
        <f ca="1"/>
        <v>BV45618</v>
      </c>
      <c r="C432" s="8" t="str">
        <v>Pedido 426</v>
      </c>
      <c r="D432" s="9">
        <v>45618</v>
      </c>
      <c r="E432" s="9">
        <v>45618</v>
      </c>
      <c r="F432" s="8" t="str">
        <v>PedidoF413</v>
      </c>
      <c r="G432" s="2" t="str">
        <v>CódRastreio413</v>
      </c>
      <c r="H432" s="5">
        <v>1</v>
      </c>
      <c r="I432" s="182" t="str">
        <v>CPF 412</v>
      </c>
      <c r="J432" s="2" t="str">
        <v>Nome 412</v>
      </c>
      <c r="K432" s="8" t="str">
        <v>Tel 412</v>
      </c>
      <c r="L432" s="2" t="str">
        <v>Cep 412</v>
      </c>
      <c r="M432" s="2" t="str">
        <v>Rua 412</v>
      </c>
      <c r="N432" s="2" t="str">
        <v>Comp 412</v>
      </c>
      <c r="O432" s="2" t="str">
        <v>Adaptador Bluetooph</v>
      </c>
      <c r="P432" s="8" t="str">
        <v>YA-AG3H-SPUK</v>
      </c>
      <c r="Q432" s="4">
        <v>45645</v>
      </c>
      <c r="R432" s="109">
        <v>16.990000000000002</v>
      </c>
      <c r="S432" s="11">
        <f ca="1"/>
        <v>0</v>
      </c>
      <c r="T432" s="28">
        <f ca="1"/>
        <v>0</v>
      </c>
      <c r="U432" s="11">
        <f ca="1"/>
        <v>0</v>
      </c>
      <c r="V432" s="11">
        <v>0</v>
      </c>
      <c r="W432" s="11">
        <f ca="1"/>
        <v>0</v>
      </c>
      <c r="X432" s="11">
        <f ca="1"/>
        <v>0.39877104377104378</v>
      </c>
      <c r="Y432" s="11">
        <v>0</v>
      </c>
      <c r="Z432" s="11">
        <f ca="1"/>
        <v>-0.39877104377104378</v>
      </c>
      <c r="AA432" s="11">
        <f ca="1"/>
        <v>-0.19938552188552189</v>
      </c>
      <c r="AB432" s="4">
        <f ca="1"/>
        <v>45652</v>
      </c>
      <c r="AC432" s="4">
        <v>45652</v>
      </c>
      <c r="AD432" s="9">
        <v>45656</v>
      </c>
      <c r="AE432" s="9">
        <v>45659</v>
      </c>
      <c r="AF432" s="4" t="str">
        <f t="shared" ca="1" si="6"/>
        <v>2024 12</v>
      </c>
      <c r="AG432" s="8" t="str" cm="1">
        <f t="array" ref="AG432">IFERROR(_xlfn.IFS('Banco de Dados'!#REF!="AG. COMPRA","Em processamento",'Banco de Dados'!#REF!="AG. RASTREIO","Em processamento",'Banco de Dados'!$AE432&lt;&gt;"-","Faturado",'Banco de Dados'!$AD432&lt;&gt;"-","Aguardando Pix",'Banco de Dados'!$AC432&lt;&gt;"-","Pendente"),"Aguardando Liberação")</f>
        <v>Aguardando Liberação</v>
      </c>
      <c r="AH432" s="5" t="str">
        <f>IF('Banco de Dados'!$F432="-",_xlfn.CONCAT(PROPER(TEXT(AK432,"aaaa"))," ",PROPER(TEXT(AK432,"mm"))),_xlfn.CONCAT(PROPER(TEXT(E432,"aaaa"))," ",PROPER(TEXT(E432,"mm"))))</f>
        <v>2024 11</v>
      </c>
      <c r="AI432" s="9" t="str">
        <f ca="1">IF('Banco de Dados'!$AK432&lt;&gt;"-","REEMBOLSO",IFERROR(_xlfn.XLOOKUP(G432,Follow[CODRASTREIO],Follow[STATUS]),"-"))</f>
        <v>REEMBOLSO</v>
      </c>
      <c r="AJ432" s="9" t="str">
        <f ca="1">IF('Banco de Dados'!$AI432="ENTREGUE",_xlfn.XLOOKUP('Banco de Dados'!$G432,Follow[CODRASTREIO],Follow[DATAATUALIZAÇÃO]),"-")</f>
        <v>-</v>
      </c>
      <c r="AK432" s="9">
        <f ca="1"/>
        <v>45623</v>
      </c>
      <c r="AL432" s="35"/>
      <c r="AM432" s="109" t="e" cm="1">
        <f t="array" aca="1" ref="AM432" ca="1">IF('Banco de Dados'!$AK432&lt;&gt;"-",_xlfn.IFS('Banco de Dados'!$A432="bv",IF('Banco de Dados'!$E432&lt;45641,ROUND(SUM('Banco de Dados'!$R432*_xlfn.XLOOKUP('Banco de Dados'!$P432,Sku!B:B,Sku!#REF!)*20%),2),ROUND(SUM('Banco de Dados'!$R432*_xlfn.XLOOKUP('Banco de Dados'!$P432,Sku!B:B,Sku!H:H)*20%),2)),'Banco de Dados'!$A432="GO",ROUND(_xlfn.XLOOKUP('Banco de Dados'!$P432,Sku!C:C,Sku!H:H),2),'Banco de Dados'!$A432="MEI",ROUND(_xlfn.XLOOKUP('Banco de Dados'!$P432,Sku!D:D,Sku!H:H),2)),0)</f>
        <v>#REF!</v>
      </c>
      <c r="AN432" s="109" t="e">
        <f ca="1">IF('Banco de Dados'!$AK432&lt;&gt;"-",IF('Banco de Dados'!$F432&lt;&gt;"-",_xlfn.XLOOKUP(IFERROR(IFERROR(IFERROR(VALUE(SUBSTITUTE(MID(_xlfn.TEXTAFTER('Banco de Dados'!$F432,"Data do Pedido:
",1),1,10),"-","/")),VALUE(SUBSTITUTE(MID(_xlfn.TEXTAFTER('Banco de Dados'!$F432,"Order date:
",1),1,10),"-","/"))),VALUE(SUBSTITUTE(MID(_xlfn.TEXTAFTER('Banco de Dados'!$F432,"Fecha de pedido:
",1),1,10),"-","/"))),"-"),SMS!A:A,SMS!K:K),0),0)</f>
        <v>#N/A</v>
      </c>
      <c r="AO432" s="109">
        <f ca="1">IF('Banco de Dados'!$AK432&lt;&gt;"-",IF('Banco de Dados'!$F432&lt;&gt;"-",IFERROR(_xlfn.XLOOKUP(_xlfn.CONCAT('Banco de Dados'!$A432,IFERROR(IFERROR(VALUE(SUBSTITUTE(MID(_xlfn.TEXTAFTER('Banco de Dados'!$F432,"Data do Pedido:
",1),1,10),"-","/")),VALUE(SUBSTITUTE(MID(_xlfn.TEXTAFTER('Banco de Dados'!$F432,"Order date:
",1),1,10),"-","/"))),0)),ProxyDD[Chave],ProxyDD[Valor por pedido]),PROXY!$P$2),0),0)</f>
        <v>0.39877104377104378</v>
      </c>
      <c r="AP432" s="28">
        <f ca="1">IF('Banco de Dados'!$AK432&lt;&gt;"-",IF('Banco de Dados'!$AL432="NÃO",IFERROR(VALUE(SUBSTITUTE(_xlfn.TEXTAFTER('Banco de Dados'!$F432,"BRL ",1),".",",")),0),0),0)</f>
        <v>0</v>
      </c>
      <c r="AQ432" s="28" t="e">
        <f ca="1">SUM('Banco de Dados'!$AM432:$AP432)</f>
        <v>#REF!</v>
      </c>
      <c r="AR432" s="8"/>
      <c r="AS432" s="8"/>
      <c r="AY432" s="8"/>
    </row>
    <row r="433" spans="1:51">
      <c r="A433" s="5" t="str">
        <v>BV</v>
      </c>
      <c r="B433" s="5" t="str">
        <f ca="1"/>
        <v>BV45621</v>
      </c>
      <c r="C433" s="8" t="str">
        <v>Pedido 426</v>
      </c>
      <c r="D433" s="9">
        <v>45621</v>
      </c>
      <c r="E433" s="9">
        <v>45621</v>
      </c>
      <c r="F433" s="8" t="str">
        <v>PedidoF414</v>
      </c>
      <c r="G433" s="2" t="str">
        <v>CódRastreio414</v>
      </c>
      <c r="H433" s="5">
        <v>1</v>
      </c>
      <c r="I433" s="182" t="str">
        <v>CPF 412</v>
      </c>
      <c r="J433" s="2" t="str">
        <v>Nome 412</v>
      </c>
      <c r="K433" s="8" t="str">
        <v>Tel 412</v>
      </c>
      <c r="L433" s="2" t="str">
        <v>Cep 412</v>
      </c>
      <c r="M433" s="2" t="str">
        <v>Rua 412</v>
      </c>
      <c r="N433" s="2" t="str">
        <v>Comp 412</v>
      </c>
      <c r="O433" s="2" t="str">
        <v>Adaptador Bluetooph</v>
      </c>
      <c r="P433" s="8" t="str">
        <v>YA-AG3H-SPUK</v>
      </c>
      <c r="Q433" s="4">
        <v>45645</v>
      </c>
      <c r="R433" s="109">
        <v>16.990000000000002</v>
      </c>
      <c r="S433" s="11">
        <f ca="1"/>
        <v>0</v>
      </c>
      <c r="T433" s="28">
        <f ca="1"/>
        <v>0</v>
      </c>
      <c r="U433" s="11">
        <f ca="1"/>
        <v>0</v>
      </c>
      <c r="V433" s="11">
        <v>0</v>
      </c>
      <c r="W433" s="11">
        <f ca="1"/>
        <v>0</v>
      </c>
      <c r="X433" s="11">
        <f ca="1"/>
        <v>0.39877104377104378</v>
      </c>
      <c r="Y433" s="11">
        <v>0</v>
      </c>
      <c r="Z433" s="11">
        <f ca="1"/>
        <v>-0.39877104377104378</v>
      </c>
      <c r="AA433" s="11">
        <f ca="1"/>
        <v>-0.19938552188552189</v>
      </c>
      <c r="AB433" s="4">
        <f ca="1"/>
        <v>45652</v>
      </c>
      <c r="AC433" s="4">
        <v>45652</v>
      </c>
      <c r="AD433" s="9">
        <v>45656</v>
      </c>
      <c r="AE433" s="9">
        <v>45659</v>
      </c>
      <c r="AF433" s="4" t="str">
        <f t="shared" ca="1" si="6"/>
        <v>2024 12</v>
      </c>
      <c r="AG433" s="8" t="str" cm="1">
        <f t="array" ref="AG433">IFERROR(_xlfn.IFS('Banco de Dados'!#REF!="AG. COMPRA","Em processamento",'Banco de Dados'!#REF!="AG. RASTREIO","Em processamento",'Banco de Dados'!$AE433&lt;&gt;"-","Faturado",'Banco de Dados'!$AD433&lt;&gt;"-","Aguardando Pix",'Banco de Dados'!$AC433&lt;&gt;"-","Pendente"),"Aguardando Liberação")</f>
        <v>Aguardando Liberação</v>
      </c>
      <c r="AH433" s="5" t="str">
        <f>IF('Banco de Dados'!$F433="-",_xlfn.CONCAT(PROPER(TEXT(AK433,"aaaa"))," ",PROPER(TEXT(AK433,"mm"))),_xlfn.CONCAT(PROPER(TEXT(E433,"aaaa"))," ",PROPER(TEXT(E433,"mm"))))</f>
        <v>2024 11</v>
      </c>
      <c r="AI433" s="9" t="str">
        <f ca="1">IF('Banco de Dados'!$AK433&lt;&gt;"-","REEMBOLSO",IFERROR(_xlfn.XLOOKUP(G433,Follow[CODRASTREIO],Follow[STATUS]),"-"))</f>
        <v>REEMBOLSO</v>
      </c>
      <c r="AJ433" s="9" t="str">
        <f ca="1">IF('Banco de Dados'!$AI433="ENTREGUE",_xlfn.XLOOKUP('Banco de Dados'!$G433,Follow[CODRASTREIO],Follow[DATAATUALIZAÇÃO]),"-")</f>
        <v>-</v>
      </c>
      <c r="AK433" s="9">
        <f ca="1"/>
        <v>45623</v>
      </c>
      <c r="AL433" s="35"/>
      <c r="AM433" s="109" t="e" cm="1">
        <f t="array" aca="1" ref="AM433" ca="1">IF('Banco de Dados'!$AK433&lt;&gt;"-",_xlfn.IFS('Banco de Dados'!$A433="bv",IF('Banco de Dados'!$E433&lt;45641,ROUND(SUM('Banco de Dados'!$R433*_xlfn.XLOOKUP('Banco de Dados'!$P433,Sku!B:B,Sku!#REF!)*20%),2),ROUND(SUM('Banco de Dados'!$R433*_xlfn.XLOOKUP('Banco de Dados'!$P433,Sku!B:B,Sku!H:H)*20%),2)),'Banco de Dados'!$A433="GO",ROUND(_xlfn.XLOOKUP('Banco de Dados'!$P433,Sku!C:C,Sku!H:H),2),'Banco de Dados'!$A433="MEI",ROUND(_xlfn.XLOOKUP('Banco de Dados'!$P433,Sku!D:D,Sku!H:H),2)),0)</f>
        <v>#REF!</v>
      </c>
      <c r="AN433" s="109" t="e">
        <f ca="1">IF('Banco de Dados'!$AK433&lt;&gt;"-",IF('Banco de Dados'!$F433&lt;&gt;"-",_xlfn.XLOOKUP(IFERROR(IFERROR(IFERROR(VALUE(SUBSTITUTE(MID(_xlfn.TEXTAFTER('Banco de Dados'!$F433,"Data do Pedido:
",1),1,10),"-","/")),VALUE(SUBSTITUTE(MID(_xlfn.TEXTAFTER('Banco de Dados'!$F433,"Order date:
",1),1,10),"-","/"))),VALUE(SUBSTITUTE(MID(_xlfn.TEXTAFTER('Banco de Dados'!$F433,"Fecha de pedido:
",1),1,10),"-","/"))),"-"),SMS!A:A,SMS!K:K),0),0)</f>
        <v>#N/A</v>
      </c>
      <c r="AO433" s="109">
        <f ca="1">IF('Banco de Dados'!$AK433&lt;&gt;"-",IF('Banco de Dados'!$F433&lt;&gt;"-",IFERROR(_xlfn.XLOOKUP(_xlfn.CONCAT('Banco de Dados'!$A433,IFERROR(IFERROR(VALUE(SUBSTITUTE(MID(_xlfn.TEXTAFTER('Banco de Dados'!$F433,"Data do Pedido:
",1),1,10),"-","/")),VALUE(SUBSTITUTE(MID(_xlfn.TEXTAFTER('Banco de Dados'!$F433,"Order date:
",1),1,10),"-","/"))),0)),ProxyDD[Chave],ProxyDD[Valor por pedido]),PROXY!$P$2),0),0)</f>
        <v>0.39877104377104378</v>
      </c>
      <c r="AP433" s="28">
        <f ca="1">IF('Banco de Dados'!$AK433&lt;&gt;"-",IF('Banco de Dados'!$AL433="NÃO",IFERROR(VALUE(SUBSTITUTE(_xlfn.TEXTAFTER('Banco de Dados'!$F433,"BRL ",1),".",",")),0),0),0)</f>
        <v>0</v>
      </c>
      <c r="AQ433" s="28" t="e">
        <f ca="1">SUM('Banco de Dados'!$AM433:$AP433)</f>
        <v>#REF!</v>
      </c>
      <c r="AR433" s="8"/>
      <c r="AS433" s="8"/>
      <c r="AY433" s="8"/>
    </row>
    <row r="434" spans="1:51">
      <c r="A434" s="5" t="str">
        <v>BV</v>
      </c>
      <c r="B434" s="5" t="str">
        <f ca="1"/>
        <v>BV45622</v>
      </c>
      <c r="C434" s="8" t="str">
        <v>Pedido 426</v>
      </c>
      <c r="D434" s="9">
        <v>45622</v>
      </c>
      <c r="E434" s="9">
        <v>45622</v>
      </c>
      <c r="F434" s="8" t="str">
        <v>PedidoF415</v>
      </c>
      <c r="G434" s="2" t="str">
        <v>CódRastreio415</v>
      </c>
      <c r="H434" s="5">
        <v>1</v>
      </c>
      <c r="I434" s="182" t="str">
        <v>CPF 412</v>
      </c>
      <c r="J434" s="2" t="str">
        <v>Nome 412</v>
      </c>
      <c r="K434" s="8" t="str">
        <v>Tel 412</v>
      </c>
      <c r="L434" s="2" t="str">
        <v>Cep 412</v>
      </c>
      <c r="M434" s="2" t="str">
        <v>Rua 412</v>
      </c>
      <c r="N434" s="2" t="str">
        <v>Comp 412</v>
      </c>
      <c r="O434" s="2" t="str">
        <v>Adaptador Bluetooph</v>
      </c>
      <c r="P434" s="8" t="str">
        <v>YA-AG3H-SPUK</v>
      </c>
      <c r="Q434" s="4">
        <v>45645</v>
      </c>
      <c r="R434" s="109">
        <v>16.990000000000002</v>
      </c>
      <c r="S434" s="11">
        <f ca="1"/>
        <v>0</v>
      </c>
      <c r="T434" s="28">
        <f ca="1"/>
        <v>0</v>
      </c>
      <c r="U434" s="11">
        <f ca="1"/>
        <v>0</v>
      </c>
      <c r="V434" s="11">
        <v>0</v>
      </c>
      <c r="W434" s="11">
        <f ca="1"/>
        <v>0</v>
      </c>
      <c r="X434" s="11">
        <f ca="1"/>
        <v>0.39877104377104378</v>
      </c>
      <c r="Y434" s="11">
        <v>0</v>
      </c>
      <c r="Z434" s="11">
        <f ca="1"/>
        <v>-0.39877104377104378</v>
      </c>
      <c r="AA434" s="11">
        <f ca="1"/>
        <v>-0.19938552188552189</v>
      </c>
      <c r="AB434" s="4">
        <f ca="1"/>
        <v>45652</v>
      </c>
      <c r="AC434" s="4">
        <v>45652</v>
      </c>
      <c r="AD434" s="9">
        <v>45656</v>
      </c>
      <c r="AE434" s="9">
        <v>45659</v>
      </c>
      <c r="AF434" s="4" t="str">
        <f t="shared" ca="1" si="6"/>
        <v>2024 12</v>
      </c>
      <c r="AG434" s="8" t="str" cm="1">
        <f t="array" ref="AG434">IFERROR(_xlfn.IFS('Banco de Dados'!#REF!="AG. COMPRA","Em processamento",'Banco de Dados'!#REF!="AG. RASTREIO","Em processamento",'Banco de Dados'!$AE434&lt;&gt;"-","Faturado",'Banco de Dados'!$AD434&lt;&gt;"-","Aguardando Pix",'Banco de Dados'!$AC434&lt;&gt;"-","Pendente"),"Aguardando Liberação")</f>
        <v>Aguardando Liberação</v>
      </c>
      <c r="AH434" s="5" t="str">
        <f>IF('Banco de Dados'!$F434="-",_xlfn.CONCAT(PROPER(TEXT(AK434,"aaaa"))," ",PROPER(TEXT(AK434,"mm"))),_xlfn.CONCAT(PROPER(TEXT(E434,"aaaa"))," ",PROPER(TEXT(E434,"mm"))))</f>
        <v>2024 11</v>
      </c>
      <c r="AI434" s="9" t="str">
        <f ca="1">IF('Banco de Dados'!$AK434&lt;&gt;"-","REEMBOLSO",IFERROR(_xlfn.XLOOKUP(G434,Follow[CODRASTREIO],Follow[STATUS]),"-"))</f>
        <v>REEMBOLSO</v>
      </c>
      <c r="AJ434" s="9" t="str">
        <f ca="1">IF('Banco de Dados'!$AI434="ENTREGUE",_xlfn.XLOOKUP('Banco de Dados'!$G434,Follow[CODRASTREIO],Follow[DATAATUALIZAÇÃO]),"-")</f>
        <v>-</v>
      </c>
      <c r="AK434" s="9">
        <f ca="1"/>
        <v>45623</v>
      </c>
      <c r="AL434" s="35"/>
      <c r="AM434" s="109" t="e" cm="1">
        <f t="array" aca="1" ref="AM434" ca="1">IF('Banco de Dados'!$AK434&lt;&gt;"-",_xlfn.IFS('Banco de Dados'!$A434="bv",IF('Banco de Dados'!$E434&lt;45641,ROUND(SUM('Banco de Dados'!$R434*_xlfn.XLOOKUP('Banco de Dados'!$P434,Sku!B:B,Sku!#REF!)*20%),2),ROUND(SUM('Banco de Dados'!$R434*_xlfn.XLOOKUP('Banco de Dados'!$P434,Sku!B:B,Sku!H:H)*20%),2)),'Banco de Dados'!$A434="GO",ROUND(_xlfn.XLOOKUP('Banco de Dados'!$P434,Sku!C:C,Sku!H:H),2),'Banco de Dados'!$A434="MEI",ROUND(_xlfn.XLOOKUP('Banco de Dados'!$P434,Sku!D:D,Sku!H:H),2)),0)</f>
        <v>#REF!</v>
      </c>
      <c r="AN434" s="109" t="e">
        <f ca="1">IF('Banco de Dados'!$AK434&lt;&gt;"-",IF('Banco de Dados'!$F434&lt;&gt;"-",_xlfn.XLOOKUP(IFERROR(IFERROR(IFERROR(VALUE(SUBSTITUTE(MID(_xlfn.TEXTAFTER('Banco de Dados'!$F434,"Data do Pedido:
",1),1,10),"-","/")),VALUE(SUBSTITUTE(MID(_xlfn.TEXTAFTER('Banco de Dados'!$F434,"Order date:
",1),1,10),"-","/"))),VALUE(SUBSTITUTE(MID(_xlfn.TEXTAFTER('Banco de Dados'!$F434,"Fecha de pedido:
",1),1,10),"-","/"))),"-"),SMS!A:A,SMS!K:K),0),0)</f>
        <v>#N/A</v>
      </c>
      <c r="AO434" s="109">
        <f ca="1">IF('Banco de Dados'!$AK434&lt;&gt;"-",IF('Banco de Dados'!$F434&lt;&gt;"-",IFERROR(_xlfn.XLOOKUP(_xlfn.CONCAT('Banco de Dados'!$A434,IFERROR(IFERROR(VALUE(SUBSTITUTE(MID(_xlfn.TEXTAFTER('Banco de Dados'!$F434,"Data do Pedido:
",1),1,10),"-","/")),VALUE(SUBSTITUTE(MID(_xlfn.TEXTAFTER('Banco de Dados'!$F434,"Order date:
",1),1,10),"-","/"))),0)),ProxyDD[Chave],ProxyDD[Valor por pedido]),PROXY!$P$2),0),0)</f>
        <v>0.39877104377104378</v>
      </c>
      <c r="AP434" s="28">
        <f ca="1">IF('Banco de Dados'!$AK434&lt;&gt;"-",IF('Banco de Dados'!$AL434="NÃO",IFERROR(VALUE(SUBSTITUTE(_xlfn.TEXTAFTER('Banco de Dados'!$F434,"BRL ",1),".",",")),0),0),0)</f>
        <v>0</v>
      </c>
      <c r="AQ434" s="28" t="e">
        <f ca="1">SUM('Banco de Dados'!$AM434:$AP434)</f>
        <v>#REF!</v>
      </c>
      <c r="AR434" s="8"/>
      <c r="AS434" s="8"/>
      <c r="AY434" s="8"/>
    </row>
    <row r="435" spans="1:51">
      <c r="A435" s="5" t="str">
        <v>BV</v>
      </c>
      <c r="B435" s="5" t="str">
        <f ca="1"/>
        <v>BV-</v>
      </c>
      <c r="C435" s="8" t="str">
        <v>Pedido 426</v>
      </c>
      <c r="D435" s="9">
        <v>45627</v>
      </c>
      <c r="E435" s="9" t="str">
        <v>-</v>
      </c>
      <c r="F435" s="8" t="str">
        <v>-</v>
      </c>
      <c r="G435" s="2" t="str">
        <v>-</v>
      </c>
      <c r="H435" s="5">
        <v>1</v>
      </c>
      <c r="I435" s="182" t="str">
        <v>CPF 412</v>
      </c>
      <c r="J435" s="2" t="str">
        <v>Nome 412</v>
      </c>
      <c r="K435" s="8" t="str">
        <v>Tel 412</v>
      </c>
      <c r="L435" s="2" t="str">
        <v>Cep 412</v>
      </c>
      <c r="M435" s="2" t="str">
        <v>Rua 412</v>
      </c>
      <c r="N435" s="2" t="str">
        <v>Comp 412</v>
      </c>
      <c r="O435" s="2" t="str">
        <v>Adaptador Bluetooph</v>
      </c>
      <c r="P435" s="8" t="str">
        <v>YA-AG3H-SPUK</v>
      </c>
      <c r="Q435" s="4">
        <v>45645</v>
      </c>
      <c r="R435" s="109">
        <v>16.990000000000002</v>
      </c>
      <c r="S435" s="11">
        <f ca="1"/>
        <v>0</v>
      </c>
      <c r="T435" s="28">
        <f ca="1"/>
        <v>0</v>
      </c>
      <c r="U435" s="11">
        <f ca="1"/>
        <v>0</v>
      </c>
      <c r="V435" s="11">
        <v>0</v>
      </c>
      <c r="W435" s="11">
        <f ca="1"/>
        <v>0</v>
      </c>
      <c r="X435" s="11">
        <f ca="1"/>
        <v>0</v>
      </c>
      <c r="Y435" s="11">
        <v>0</v>
      </c>
      <c r="Z435" s="11">
        <f ca="1"/>
        <v>0</v>
      </c>
      <c r="AA435" s="11">
        <f ca="1"/>
        <v>0</v>
      </c>
      <c r="AB435" s="4">
        <f ca="1"/>
        <v>45652</v>
      </c>
      <c r="AC435" s="4">
        <v>45652</v>
      </c>
      <c r="AD435" s="9">
        <v>45656</v>
      </c>
      <c r="AE435" s="9">
        <v>45659</v>
      </c>
      <c r="AF435" s="4" t="str">
        <f t="shared" ca="1" si="6"/>
        <v>2024 12</v>
      </c>
      <c r="AG435" s="8" t="str" cm="1">
        <f t="array" ref="AG435">IFERROR(_xlfn.IFS('Banco de Dados'!#REF!="AG. COMPRA","Em processamento",'Banco de Dados'!#REF!="AG. RASTREIO","Em processamento",'Banco de Dados'!$AE435&lt;&gt;"-","Faturado",'Banco de Dados'!$AD435&lt;&gt;"-","Aguardando Pix",'Banco de Dados'!$AC435&lt;&gt;"-","Pendente"),"Aguardando Liberação")</f>
        <v>Aguardando Liberação</v>
      </c>
      <c r="AH435" s="5" t="str">
        <f ca="1">IF('Banco de Dados'!$F435="-",_xlfn.CONCAT(PROPER(TEXT(AK435,"aaaa"))," ",PROPER(TEXT(AK435,"mm"))),_xlfn.CONCAT(PROPER(TEXT(E435,"aaaa"))," ",PROPER(TEXT(E435,"mm"))))</f>
        <v>2024 11</v>
      </c>
      <c r="AI435" s="9" t="str">
        <f ca="1">IF('Banco de Dados'!$AK435&lt;&gt;"-","REEMBOLSO",IFERROR(_xlfn.XLOOKUP(G435,Follow[CODRASTREIO],Follow[STATUS]),"-"))</f>
        <v>REEMBOLSO</v>
      </c>
      <c r="AJ435" s="9" t="str">
        <f ca="1">IF('Banco de Dados'!$AI435="ENTREGUE",_xlfn.XLOOKUP('Banco de Dados'!$G435,Follow[CODRASTREIO],Follow[DATAATUALIZAÇÃO]),"-")</f>
        <v>-</v>
      </c>
      <c r="AK435" s="9">
        <f ca="1"/>
        <v>45623</v>
      </c>
      <c r="AL435" s="35"/>
      <c r="AM435" s="109" cm="1">
        <f t="array" aca="1" ref="AM435" ca="1">IF('Banco de Dados'!$AK435&lt;&gt;"-",_xlfn.IFS('Banco de Dados'!$A435="bv",IF('Banco de Dados'!$E435&lt;45641,ROUND(SUM('Banco de Dados'!$R435*_xlfn.XLOOKUP('Banco de Dados'!$P435,Sku!B:B,Sku!#REF!)*20%),2),ROUND(SUM('Banco de Dados'!$R435*_xlfn.XLOOKUP('Banco de Dados'!$P435,Sku!B:B,Sku!H:H)*20%),2)),'Banco de Dados'!$A435="GO",ROUND(_xlfn.XLOOKUP('Banco de Dados'!$P435,Sku!C:C,Sku!H:H),2),'Banco de Dados'!$A435="MEI",ROUND(_xlfn.XLOOKUP('Banco de Dados'!$P435,Sku!D:D,Sku!H:H),2)),0)</f>
        <v>0.41</v>
      </c>
      <c r="AN435" s="109">
        <f ca="1">IF('Banco de Dados'!$AK435&lt;&gt;"-",IF('Banco de Dados'!$F435&lt;&gt;"-",_xlfn.XLOOKUP(IFERROR(IFERROR(IFERROR(VALUE(SUBSTITUTE(MID(_xlfn.TEXTAFTER('Banco de Dados'!$F435,"Data do Pedido:
",1),1,10),"-","/")),VALUE(SUBSTITUTE(MID(_xlfn.TEXTAFTER('Banco de Dados'!$F435,"Order date:
",1),1,10),"-","/"))),VALUE(SUBSTITUTE(MID(_xlfn.TEXTAFTER('Banco de Dados'!$F435,"Fecha de pedido:
",1),1,10),"-","/"))),"-"),SMS!A:A,SMS!K:K),0),0)</f>
        <v>0</v>
      </c>
      <c r="AO435" s="109">
        <f ca="1">IF('Banco de Dados'!$AK435&lt;&gt;"-",IF('Banco de Dados'!$F435&lt;&gt;"-",IFERROR(_xlfn.XLOOKUP(_xlfn.CONCAT('Banco de Dados'!$A435,IFERROR(IFERROR(VALUE(SUBSTITUTE(MID(_xlfn.TEXTAFTER('Banco de Dados'!$F435,"Data do Pedido:
",1),1,10),"-","/")),VALUE(SUBSTITUTE(MID(_xlfn.TEXTAFTER('Banco de Dados'!$F435,"Order date:
",1),1,10),"-","/"))),0)),ProxyDD[Chave],ProxyDD[Valor por pedido]),PROXY!$P$2),0),0)</f>
        <v>0</v>
      </c>
      <c r="AP435" s="28">
        <f ca="1">IF('Banco de Dados'!$AK435&lt;&gt;"-",IF('Banco de Dados'!$AL435="NÃO",IFERROR(VALUE(SUBSTITUTE(_xlfn.TEXTAFTER('Banco de Dados'!$F435,"BRL ",1),".",",")),0),0),0)</f>
        <v>0</v>
      </c>
      <c r="AQ435" s="28">
        <f ca="1">SUM('Banco de Dados'!$AM435:$AP435)</f>
        <v>0.41</v>
      </c>
      <c r="AR435" s="8"/>
      <c r="AS435" s="8"/>
      <c r="AY435" s="8"/>
    </row>
    <row r="436" spans="1:51">
      <c r="A436" s="5" t="str">
        <v>BV</v>
      </c>
      <c r="B436" s="5" t="str">
        <f ca="1"/>
        <v>BV-</v>
      </c>
      <c r="C436" s="8" t="str">
        <v>Pedido 426</v>
      </c>
      <c r="D436" s="9">
        <v>45627</v>
      </c>
      <c r="E436" s="9" t="str">
        <v>-</v>
      </c>
      <c r="F436" s="8" t="str">
        <v>-</v>
      </c>
      <c r="G436" s="2" t="str">
        <v>-</v>
      </c>
      <c r="H436" s="5">
        <v>1</v>
      </c>
      <c r="I436" s="182" t="str">
        <v>CPF 412</v>
      </c>
      <c r="J436" s="2" t="str">
        <v>Nome 412</v>
      </c>
      <c r="K436" s="8" t="str">
        <v>Tel 412</v>
      </c>
      <c r="L436" s="2" t="str">
        <v>Cep 412</v>
      </c>
      <c r="M436" s="2" t="str">
        <v>Rua 412</v>
      </c>
      <c r="N436" s="2" t="str">
        <v>Comp 412</v>
      </c>
      <c r="O436" s="2" t="str">
        <v>Adaptador Bluetooph</v>
      </c>
      <c r="P436" s="8" t="str">
        <v>YA-AG3H-SPUK</v>
      </c>
      <c r="Q436" s="4">
        <v>45645</v>
      </c>
      <c r="R436" s="109">
        <v>16.990000000000002</v>
      </c>
      <c r="S436" s="11">
        <f ca="1"/>
        <v>0</v>
      </c>
      <c r="T436" s="28">
        <f ca="1"/>
        <v>0</v>
      </c>
      <c r="U436" s="11">
        <f ca="1"/>
        <v>0</v>
      </c>
      <c r="V436" s="11">
        <v>0</v>
      </c>
      <c r="W436" s="11">
        <f ca="1"/>
        <v>0</v>
      </c>
      <c r="X436" s="11">
        <f ca="1"/>
        <v>0</v>
      </c>
      <c r="Y436" s="11">
        <v>0</v>
      </c>
      <c r="Z436" s="11">
        <f ca="1"/>
        <v>0</v>
      </c>
      <c r="AA436" s="11">
        <f ca="1"/>
        <v>0</v>
      </c>
      <c r="AB436" s="4">
        <f ca="1"/>
        <v>45652</v>
      </c>
      <c r="AC436" s="4">
        <v>45652</v>
      </c>
      <c r="AD436" s="9">
        <v>45656</v>
      </c>
      <c r="AE436" s="9">
        <v>45659</v>
      </c>
      <c r="AF436" s="4" t="str">
        <f t="shared" ca="1" si="6"/>
        <v>2024 12</v>
      </c>
      <c r="AG436" s="8" t="str" cm="1">
        <f t="array" ref="AG436">IFERROR(_xlfn.IFS('Banco de Dados'!#REF!="AG. COMPRA","Em processamento",'Banco de Dados'!#REF!="AG. RASTREIO","Em processamento",'Banco de Dados'!$AE436&lt;&gt;"-","Faturado",'Banco de Dados'!$AD436&lt;&gt;"-","Aguardando Pix",'Banco de Dados'!$AC436&lt;&gt;"-","Pendente"),"Aguardando Liberação")</f>
        <v>Aguardando Liberação</v>
      </c>
      <c r="AH436" s="5" t="str">
        <f ca="1">IF('Banco de Dados'!$F436="-",_xlfn.CONCAT(PROPER(TEXT(AK436,"aaaa"))," ",PROPER(TEXT(AK436,"mm"))),_xlfn.CONCAT(PROPER(TEXT(E436,"aaaa"))," ",PROPER(TEXT(E436,"mm"))))</f>
        <v>2024 11</v>
      </c>
      <c r="AI436" s="9" t="str">
        <f ca="1">IF('Banco de Dados'!$AK436&lt;&gt;"-","REEMBOLSO",IFERROR(_xlfn.XLOOKUP(G436,Follow[CODRASTREIO],Follow[STATUS]),"-"))</f>
        <v>REEMBOLSO</v>
      </c>
      <c r="AJ436" s="9" t="str">
        <f ca="1">IF('Banco de Dados'!$AI436="ENTREGUE",_xlfn.XLOOKUP('Banco de Dados'!$G436,Follow[CODRASTREIO],Follow[DATAATUALIZAÇÃO]),"-")</f>
        <v>-</v>
      </c>
      <c r="AK436" s="9">
        <f ca="1"/>
        <v>45623</v>
      </c>
      <c r="AL436" s="35"/>
      <c r="AM436" s="109" cm="1">
        <f t="array" aca="1" ref="AM436" ca="1">IF('Banco de Dados'!$AK436&lt;&gt;"-",_xlfn.IFS('Banco de Dados'!$A436="bv",IF('Banco de Dados'!$E436&lt;45641,ROUND(SUM('Banco de Dados'!$R436*_xlfn.XLOOKUP('Banco de Dados'!$P436,Sku!B:B,Sku!#REF!)*20%),2),ROUND(SUM('Banco de Dados'!$R436*_xlfn.XLOOKUP('Banco de Dados'!$P436,Sku!B:B,Sku!H:H)*20%),2)),'Banco de Dados'!$A436="GO",ROUND(_xlfn.XLOOKUP('Banco de Dados'!$P436,Sku!C:C,Sku!H:H),2),'Banco de Dados'!$A436="MEI",ROUND(_xlfn.XLOOKUP('Banco de Dados'!$P436,Sku!D:D,Sku!H:H),2)),0)</f>
        <v>0.41</v>
      </c>
      <c r="AN436" s="109">
        <f ca="1">IF('Banco de Dados'!$AK436&lt;&gt;"-",IF('Banco de Dados'!$F436&lt;&gt;"-",_xlfn.XLOOKUP(IFERROR(IFERROR(IFERROR(VALUE(SUBSTITUTE(MID(_xlfn.TEXTAFTER('Banco de Dados'!$F436,"Data do Pedido:
",1),1,10),"-","/")),VALUE(SUBSTITUTE(MID(_xlfn.TEXTAFTER('Banco de Dados'!$F436,"Order date:
",1),1,10),"-","/"))),VALUE(SUBSTITUTE(MID(_xlfn.TEXTAFTER('Banco de Dados'!$F436,"Fecha de pedido:
",1),1,10),"-","/"))),"-"),SMS!A:A,SMS!K:K),0),0)</f>
        <v>0</v>
      </c>
      <c r="AO436" s="109">
        <f ca="1">IF('Banco de Dados'!$AK436&lt;&gt;"-",IF('Banco de Dados'!$F436&lt;&gt;"-",IFERROR(_xlfn.XLOOKUP(_xlfn.CONCAT('Banco de Dados'!$A436,IFERROR(IFERROR(VALUE(SUBSTITUTE(MID(_xlfn.TEXTAFTER('Banco de Dados'!$F436,"Data do Pedido:
",1),1,10),"-","/")),VALUE(SUBSTITUTE(MID(_xlfn.TEXTAFTER('Banco de Dados'!$F436,"Order date:
",1),1,10),"-","/"))),0)),ProxyDD[Chave],ProxyDD[Valor por pedido]),PROXY!$P$2),0),0)</f>
        <v>0</v>
      </c>
      <c r="AP436" s="28">
        <f ca="1">IF('Banco de Dados'!$AK436&lt;&gt;"-",IF('Banco de Dados'!$AL436="NÃO",IFERROR(VALUE(SUBSTITUTE(_xlfn.TEXTAFTER('Banco de Dados'!$F436,"BRL ",1),".",",")),0),0),0)</f>
        <v>0</v>
      </c>
      <c r="AQ436" s="28">
        <f ca="1">SUM('Banco de Dados'!$AM436:$AP436)</f>
        <v>0.41</v>
      </c>
      <c r="AR436" s="8"/>
      <c r="AS436" s="8"/>
      <c r="AY436" s="8"/>
    </row>
    <row r="437" spans="1:51">
      <c r="A437" s="5" t="str">
        <v>BV</v>
      </c>
      <c r="B437" s="5" t="str">
        <f ca="1"/>
        <v>BV-</v>
      </c>
      <c r="C437" s="8" t="str">
        <v>Pedido 427</v>
      </c>
      <c r="D437" s="9">
        <v>45627</v>
      </c>
      <c r="E437" s="9" t="str">
        <v>-</v>
      </c>
      <c r="F437" s="8" t="str">
        <v>-</v>
      </c>
      <c r="G437" s="2" t="str">
        <v>-</v>
      </c>
      <c r="H437" s="5">
        <v>1</v>
      </c>
      <c r="I437" s="182" t="str">
        <v>CPF 413</v>
      </c>
      <c r="J437" s="2" t="str">
        <v>Nome 413</v>
      </c>
      <c r="K437" s="8" t="str">
        <v>Tel 413</v>
      </c>
      <c r="L437" s="2" t="str">
        <v>Cep 413</v>
      </c>
      <c r="M437" s="2" t="str">
        <v>Rua 413</v>
      </c>
      <c r="N437" s="2" t="str">
        <v>Comp 413</v>
      </c>
      <c r="O437" s="2" t="str">
        <v>Ventilador Preto</v>
      </c>
      <c r="P437" s="8" t="str">
        <v>MU-J80P-95WF</v>
      </c>
      <c r="Q437" s="4">
        <v>45645</v>
      </c>
      <c r="R437" s="109">
        <v>65.989999999999995</v>
      </c>
      <c r="S437" s="11">
        <f ca="1"/>
        <v>0</v>
      </c>
      <c r="T437" s="28">
        <f ca="1"/>
        <v>0</v>
      </c>
      <c r="U437" s="11">
        <f ca="1"/>
        <v>0</v>
      </c>
      <c r="V437" s="11">
        <v>0</v>
      </c>
      <c r="W437" s="11">
        <f ca="1"/>
        <v>0</v>
      </c>
      <c r="X437" s="11">
        <f ca="1"/>
        <v>0</v>
      </c>
      <c r="Y437" s="11">
        <v>0</v>
      </c>
      <c r="Z437" s="11">
        <f ca="1"/>
        <v>0</v>
      </c>
      <c r="AA437" s="11">
        <f ca="1"/>
        <v>0</v>
      </c>
      <c r="AB437" s="4">
        <f ca="1"/>
        <v>45652</v>
      </c>
      <c r="AC437" s="4">
        <v>45652</v>
      </c>
      <c r="AD437" s="9">
        <v>45656</v>
      </c>
      <c r="AE437" s="9">
        <v>45659</v>
      </c>
      <c r="AF437" s="4" t="str">
        <f t="shared" ca="1" si="6"/>
        <v>2024 12</v>
      </c>
      <c r="AG437" s="8" t="str" cm="1">
        <f t="array" ref="AG437">IFERROR(_xlfn.IFS('Banco de Dados'!#REF!="AG. COMPRA","Em processamento",'Banco de Dados'!#REF!="AG. RASTREIO","Em processamento",'Banco de Dados'!$AE437&lt;&gt;"-","Faturado",'Banco de Dados'!$AD437&lt;&gt;"-","Aguardando Pix",'Banco de Dados'!$AC437&lt;&gt;"-","Pendente"),"Aguardando Liberação")</f>
        <v>Aguardando Liberação</v>
      </c>
      <c r="AH437" s="5" t="str">
        <f ca="1">IF('Banco de Dados'!$F437="-",_xlfn.CONCAT(PROPER(TEXT(AK437,"aaaa"))," ",PROPER(TEXT(AK437,"mm"))),_xlfn.CONCAT(PROPER(TEXT(E437,"aaaa"))," ",PROPER(TEXT(E437,"mm"))))</f>
        <v>2024 11</v>
      </c>
      <c r="AI437" s="9" t="str">
        <f ca="1">IF('Banco de Dados'!$AK437&lt;&gt;"-","REEMBOLSO",IFERROR(_xlfn.XLOOKUP(G437,Follow[CODRASTREIO],Follow[STATUS]),"-"))</f>
        <v>REEMBOLSO</v>
      </c>
      <c r="AJ437" s="9" t="str">
        <f ca="1">IF('Banco de Dados'!$AI437="ENTREGUE",_xlfn.XLOOKUP('Banco de Dados'!$G437,Follow[CODRASTREIO],Follow[DATAATUALIZAÇÃO]),"-")</f>
        <v>-</v>
      </c>
      <c r="AK437" s="9">
        <f ca="1"/>
        <v>45621</v>
      </c>
      <c r="AL437" s="35"/>
      <c r="AM437" s="109">
        <v>1.72</v>
      </c>
      <c r="AN437" s="109">
        <f ca="1">IF('Banco de Dados'!$AK437&lt;&gt;"-",IF('Banco de Dados'!$F437&lt;&gt;"-",_xlfn.XLOOKUP(IFERROR(IFERROR(IFERROR(VALUE(SUBSTITUTE(MID(_xlfn.TEXTAFTER('Banco de Dados'!$F437,"Data do Pedido:
",1),1,10),"-","/")),VALUE(SUBSTITUTE(MID(_xlfn.TEXTAFTER('Banco de Dados'!$F437,"Order date:
",1),1,10),"-","/"))),VALUE(SUBSTITUTE(MID(_xlfn.TEXTAFTER('Banco de Dados'!$F437,"Fecha de pedido:
",1),1,10),"-","/"))),"-"),SMS!A:A,SMS!K:K),0),0)</f>
        <v>0</v>
      </c>
      <c r="AO437" s="109">
        <f ca="1">IF('Banco de Dados'!$AK437&lt;&gt;"-",IF('Banco de Dados'!$F437&lt;&gt;"-",IFERROR(_xlfn.XLOOKUP(_xlfn.CONCAT('Banco de Dados'!$A437,IFERROR(IFERROR(VALUE(SUBSTITUTE(MID(_xlfn.TEXTAFTER('Banco de Dados'!$F437,"Data do Pedido:
",1),1,10),"-","/")),VALUE(SUBSTITUTE(MID(_xlfn.TEXTAFTER('Banco de Dados'!$F437,"Order date:
",1),1,10),"-","/"))),0)),ProxyDD[Chave],ProxyDD[Valor por pedido]),PROXY!$P$2),0),0)</f>
        <v>0</v>
      </c>
      <c r="AP437" s="28">
        <f ca="1">IF('Banco de Dados'!$AK437&lt;&gt;"-",IF('Banco de Dados'!$AL437="NÃO",IFERROR(VALUE(SUBSTITUTE(_xlfn.TEXTAFTER('Banco de Dados'!$F437,"BRL ",1),".",",")),0),0),0)</f>
        <v>0</v>
      </c>
      <c r="AQ437" s="28">
        <f ca="1">SUM('Banco de Dados'!$AM437:$AP437)</f>
        <v>1.72</v>
      </c>
      <c r="AR437" s="8"/>
      <c r="AS437" s="8"/>
      <c r="AY437" s="8"/>
    </row>
    <row r="438" spans="1:51">
      <c r="A438" s="5" t="str">
        <v>BV</v>
      </c>
      <c r="B438" s="5" t="str">
        <f ca="1"/>
        <v>BV-</v>
      </c>
      <c r="C438" s="8" t="str">
        <v>Pedido 428</v>
      </c>
      <c r="D438" s="9">
        <v>45627</v>
      </c>
      <c r="E438" s="9" t="str">
        <v>-</v>
      </c>
      <c r="F438" s="8" t="str">
        <v>-</v>
      </c>
      <c r="G438" s="2" t="str">
        <v>-</v>
      </c>
      <c r="H438" s="5">
        <v>1</v>
      </c>
      <c r="I438" s="182" t="str">
        <v>CPF 414</v>
      </c>
      <c r="J438" s="2" t="str">
        <v>Nome 414</v>
      </c>
      <c r="K438" s="8" t="str">
        <v>Tel 414</v>
      </c>
      <c r="L438" s="2" t="str">
        <v>Cep 414</v>
      </c>
      <c r="M438" s="2" t="str">
        <v>Rua 414</v>
      </c>
      <c r="N438" s="2" t="str">
        <v>Comp 414</v>
      </c>
      <c r="O438" s="2" t="str">
        <v>Copo Termico</v>
      </c>
      <c r="P438" s="8" t="str">
        <v>KN-TBQL-K2MM</v>
      </c>
      <c r="Q438" s="4">
        <v>45654</v>
      </c>
      <c r="R438" s="109">
        <v>28.2</v>
      </c>
      <c r="S438" s="11">
        <f ca="1"/>
        <v>0</v>
      </c>
      <c r="T438" s="28">
        <f ca="1"/>
        <v>0</v>
      </c>
      <c r="U438" s="11">
        <f ca="1"/>
        <v>0</v>
      </c>
      <c r="V438" s="11">
        <v>0</v>
      </c>
      <c r="W438" s="11">
        <f ca="1"/>
        <v>0</v>
      </c>
      <c r="X438" s="11">
        <f ca="1"/>
        <v>0</v>
      </c>
      <c r="Y438" s="11">
        <v>0</v>
      </c>
      <c r="Z438" s="11">
        <f ca="1"/>
        <v>0</v>
      </c>
      <c r="AA438" s="11">
        <f ca="1"/>
        <v>0</v>
      </c>
      <c r="AB438" s="4">
        <f ca="1"/>
        <v>45661</v>
      </c>
      <c r="AC438" s="4">
        <v>45661</v>
      </c>
      <c r="AD438" s="9">
        <v>45665</v>
      </c>
      <c r="AE438" s="9">
        <v>45673</v>
      </c>
      <c r="AF438" s="4" t="str">
        <f t="shared" ca="1" si="6"/>
        <v>2025 01</v>
      </c>
      <c r="AG438" s="8" t="str" cm="1">
        <f t="array" ref="AG438">IFERROR(_xlfn.IFS('Banco de Dados'!#REF!="AG. COMPRA","Em processamento",'Banco de Dados'!#REF!="AG. RASTREIO","Em processamento",'Banco de Dados'!$AE438&lt;&gt;"-","Faturado",'Banco de Dados'!$AD438&lt;&gt;"-","Aguardando Pix",'Banco de Dados'!$AC438&lt;&gt;"-","Pendente"),"Aguardando Liberação")</f>
        <v>Aguardando Liberação</v>
      </c>
      <c r="AH438" s="5" t="str">
        <f ca="1">IF('Banco de Dados'!$F438="-",_xlfn.CONCAT(PROPER(TEXT(AK438,"aaaa"))," ",PROPER(TEXT(AK438,"mm"))),_xlfn.CONCAT(PROPER(TEXT(E438,"aaaa"))," ",PROPER(TEXT(E438,"mm"))))</f>
        <v>2024 11</v>
      </c>
      <c r="AI438" s="9" t="str">
        <f ca="1">IF('Banco de Dados'!$AK438&lt;&gt;"-","REEMBOLSO",IFERROR(_xlfn.XLOOKUP(G438,Follow[CODRASTREIO],Follow[STATUS]),"-"))</f>
        <v>REEMBOLSO</v>
      </c>
      <c r="AJ438" s="9" t="str">
        <f ca="1">IF('Banco de Dados'!$AI438="ENTREGUE",_xlfn.XLOOKUP('Banco de Dados'!$G438,Follow[CODRASTREIO],Follow[DATAATUALIZAÇÃO]),"-")</f>
        <v>-</v>
      </c>
      <c r="AK438" s="9">
        <f ca="1"/>
        <v>45618</v>
      </c>
      <c r="AL438" s="35"/>
      <c r="AM438" s="109">
        <v>0.73</v>
      </c>
      <c r="AN438" s="109">
        <f ca="1">IF('Banco de Dados'!$AK438&lt;&gt;"-",IF('Banco de Dados'!$F438&lt;&gt;"-",_xlfn.XLOOKUP(IFERROR(IFERROR(IFERROR(VALUE(SUBSTITUTE(MID(_xlfn.TEXTAFTER('Banco de Dados'!$F438,"Data do Pedido:
",1),1,10),"-","/")),VALUE(SUBSTITUTE(MID(_xlfn.TEXTAFTER('Banco de Dados'!$F438,"Order date:
",1),1,10),"-","/"))),VALUE(SUBSTITUTE(MID(_xlfn.TEXTAFTER('Banco de Dados'!$F438,"Fecha de pedido:
",1),1,10),"-","/"))),"-"),SMS!A:A,SMS!K:K),0),0)</f>
        <v>0</v>
      </c>
      <c r="AO438" s="109">
        <f ca="1">IF('Banco de Dados'!$AK438&lt;&gt;"-",IF('Banco de Dados'!$F438&lt;&gt;"-",IFERROR(_xlfn.XLOOKUP(_xlfn.CONCAT('Banco de Dados'!$A438,IFERROR(IFERROR(VALUE(SUBSTITUTE(MID(_xlfn.TEXTAFTER('Banco de Dados'!$F438,"Data do Pedido:
",1),1,10),"-","/")),VALUE(SUBSTITUTE(MID(_xlfn.TEXTAFTER('Banco de Dados'!$F438,"Order date:
",1),1,10),"-","/"))),0)),ProxyDD[Chave],ProxyDD[Valor por pedido]),PROXY!$P$2),0),0)</f>
        <v>0</v>
      </c>
      <c r="AP438" s="28">
        <f ca="1">IF('Banco de Dados'!$AK438&lt;&gt;"-",IF('Banco de Dados'!$AL438="NÃO",IFERROR(VALUE(SUBSTITUTE(_xlfn.TEXTAFTER('Banco de Dados'!$F438,"BRL ",1),".",",")),0),0),0)</f>
        <v>0</v>
      </c>
      <c r="AQ438" s="28">
        <f ca="1">SUM('Banco de Dados'!$AM438:$AP438)</f>
        <v>0.73</v>
      </c>
      <c r="AR438" s="8"/>
      <c r="AS438" s="8"/>
      <c r="AY438" s="8"/>
    </row>
    <row r="439" spans="1:51">
      <c r="A439" s="5" t="str">
        <v>BV</v>
      </c>
      <c r="B439" s="5" t="str">
        <f ca="1"/>
        <v>BV-</v>
      </c>
      <c r="C439" s="8" t="str">
        <v>Pedido 429</v>
      </c>
      <c r="D439" s="9">
        <v>45627</v>
      </c>
      <c r="E439" s="9" t="str">
        <v>-</v>
      </c>
      <c r="F439" s="8" t="str">
        <v>-</v>
      </c>
      <c r="G439" s="2" t="str">
        <v>-</v>
      </c>
      <c r="H439" s="5">
        <v>1</v>
      </c>
      <c r="I439" s="182" t="str">
        <v>CPF 414</v>
      </c>
      <c r="J439" s="2" t="str">
        <v>Nome 414</v>
      </c>
      <c r="K439" s="8" t="str">
        <v>Tel 414</v>
      </c>
      <c r="L439" s="2" t="str">
        <v>Cep 414</v>
      </c>
      <c r="M439" s="2" t="str">
        <v>Rua 414</v>
      </c>
      <c r="N439" s="2" t="str">
        <v>Comp 414</v>
      </c>
      <c r="O439" s="2" t="str">
        <v>Copo Termico</v>
      </c>
      <c r="P439" s="8" t="str">
        <v>KN-TBQL-K2MM</v>
      </c>
      <c r="Q439" s="4">
        <v>45654</v>
      </c>
      <c r="R439" s="109">
        <v>28.2</v>
      </c>
      <c r="S439" s="11">
        <f ca="1"/>
        <v>0</v>
      </c>
      <c r="T439" s="28">
        <f ca="1"/>
        <v>0</v>
      </c>
      <c r="U439" s="11">
        <f ca="1"/>
        <v>0</v>
      </c>
      <c r="V439" s="11">
        <v>0</v>
      </c>
      <c r="W439" s="11">
        <f ca="1"/>
        <v>0</v>
      </c>
      <c r="X439" s="11">
        <f ca="1"/>
        <v>0</v>
      </c>
      <c r="Y439" s="11">
        <v>0</v>
      </c>
      <c r="Z439" s="11">
        <f ca="1"/>
        <v>0</v>
      </c>
      <c r="AA439" s="11">
        <f ca="1"/>
        <v>0</v>
      </c>
      <c r="AB439" s="4">
        <f ca="1"/>
        <v>45661</v>
      </c>
      <c r="AC439" s="4">
        <v>45661</v>
      </c>
      <c r="AD439" s="9">
        <v>45665</v>
      </c>
      <c r="AE439" s="9">
        <v>45673</v>
      </c>
      <c r="AF439" s="4" t="str">
        <f t="shared" ca="1" si="6"/>
        <v>2025 01</v>
      </c>
      <c r="AG439" s="8" t="str" cm="1">
        <f t="array" ref="AG439">IFERROR(_xlfn.IFS('Banco de Dados'!#REF!="AG. COMPRA","Em processamento",'Banco de Dados'!#REF!="AG. RASTREIO","Em processamento",'Banco de Dados'!$AE439&lt;&gt;"-","Faturado",'Banco de Dados'!$AD439&lt;&gt;"-","Aguardando Pix",'Banco de Dados'!$AC439&lt;&gt;"-","Pendente"),"Aguardando Liberação")</f>
        <v>Aguardando Liberação</v>
      </c>
      <c r="AH439" s="5" t="str">
        <f ca="1">IF('Banco de Dados'!$F439="-",_xlfn.CONCAT(PROPER(TEXT(AK439,"aaaa"))," ",PROPER(TEXT(AK439,"mm"))),_xlfn.CONCAT(PROPER(TEXT(E439,"aaaa"))," ",PROPER(TEXT(E439,"mm"))))</f>
        <v>2024 11</v>
      </c>
      <c r="AI439" s="9" t="str">
        <f ca="1">IF('Banco de Dados'!$AK439&lt;&gt;"-","REEMBOLSO",IFERROR(_xlfn.XLOOKUP(G439,Follow[CODRASTREIO],Follow[STATUS]),"-"))</f>
        <v>REEMBOLSO</v>
      </c>
      <c r="AJ439" s="9" t="str">
        <f ca="1">IF('Banco de Dados'!$AI439="ENTREGUE",_xlfn.XLOOKUP('Banco de Dados'!$G439,Follow[CODRASTREIO],Follow[DATAATUALIZAÇÃO]),"-")</f>
        <v>-</v>
      </c>
      <c r="AK439" s="9">
        <f ca="1"/>
        <v>45618</v>
      </c>
      <c r="AL439" s="35"/>
      <c r="AM439" s="109">
        <v>0.73</v>
      </c>
      <c r="AN439" s="109">
        <f ca="1">IF('Banco de Dados'!$AK439&lt;&gt;"-",IF('Banco de Dados'!$F439&lt;&gt;"-",_xlfn.XLOOKUP(IFERROR(IFERROR(IFERROR(VALUE(SUBSTITUTE(MID(_xlfn.TEXTAFTER('Banco de Dados'!$F439,"Data do Pedido:
",1),1,10),"-","/")),VALUE(SUBSTITUTE(MID(_xlfn.TEXTAFTER('Banco de Dados'!$F439,"Order date:
",1),1,10),"-","/"))),VALUE(SUBSTITUTE(MID(_xlfn.TEXTAFTER('Banco de Dados'!$F439,"Fecha de pedido:
",1),1,10),"-","/"))),"-"),SMS!A:A,SMS!K:K),0),0)</f>
        <v>0</v>
      </c>
      <c r="AO439" s="109">
        <f ca="1">IF('Banco de Dados'!$AK439&lt;&gt;"-",IF('Banco de Dados'!$F439&lt;&gt;"-",IFERROR(_xlfn.XLOOKUP(_xlfn.CONCAT('Banco de Dados'!$A439,IFERROR(IFERROR(VALUE(SUBSTITUTE(MID(_xlfn.TEXTAFTER('Banco de Dados'!$F439,"Data do Pedido:
",1),1,10),"-","/")),VALUE(SUBSTITUTE(MID(_xlfn.TEXTAFTER('Banco de Dados'!$F439,"Order date:
",1),1,10),"-","/"))),0)),ProxyDD[Chave],ProxyDD[Valor por pedido]),PROXY!$P$2),0),0)</f>
        <v>0</v>
      </c>
      <c r="AP439" s="28">
        <f ca="1">IF('Banco de Dados'!$AK439&lt;&gt;"-",IF('Banco de Dados'!$AL439="NÃO",IFERROR(VALUE(SUBSTITUTE(_xlfn.TEXTAFTER('Banco de Dados'!$F439,"BRL ",1),".",",")),0),0),0)</f>
        <v>0</v>
      </c>
      <c r="AQ439" s="28">
        <f ca="1">SUM('Banco de Dados'!$AM439:$AP439)</f>
        <v>0.73</v>
      </c>
      <c r="AR439" s="8"/>
      <c r="AS439" s="8"/>
      <c r="AY439" s="8"/>
    </row>
    <row r="440" spans="1:51">
      <c r="A440" s="5" t="str">
        <v>BV</v>
      </c>
      <c r="B440" s="5" t="str">
        <f ca="1"/>
        <v>BV45618</v>
      </c>
      <c r="C440" s="8" t="str">
        <v>Pedido 430</v>
      </c>
      <c r="D440" s="9">
        <v>45618</v>
      </c>
      <c r="E440" s="9">
        <v>45618</v>
      </c>
      <c r="F440" s="8" t="str">
        <v>PedidoF416</v>
      </c>
      <c r="G440" s="2" t="str">
        <v>CódRastreio416</v>
      </c>
      <c r="H440" s="5">
        <v>1</v>
      </c>
      <c r="I440" s="182" t="str">
        <v>CPF 415</v>
      </c>
      <c r="J440" s="2" t="str">
        <v>Nome 415</v>
      </c>
      <c r="K440" s="8" t="str">
        <v>Tel 415</v>
      </c>
      <c r="L440" s="2" t="str">
        <v>Cep 415</v>
      </c>
      <c r="M440" s="2" t="str">
        <v>Rua 415</v>
      </c>
      <c r="N440" s="2" t="str">
        <v>Comp 415</v>
      </c>
      <c r="O440" s="2" t="str">
        <v>Ventilador Preto</v>
      </c>
      <c r="P440" s="8" t="str">
        <v>MU-J80P-95WF</v>
      </c>
      <c r="Q440" s="4">
        <v>45639</v>
      </c>
      <c r="R440" s="109">
        <v>65.989999999999995</v>
      </c>
      <c r="S440" s="11">
        <f ca="1"/>
        <v>65.989999999999995</v>
      </c>
      <c r="T440" s="28">
        <f ca="1"/>
        <v>8.5786999999999995</v>
      </c>
      <c r="U440" s="11">
        <f ca="1"/>
        <v>57.41</v>
      </c>
      <c r="V440" s="11">
        <v>10.210000000000001</v>
      </c>
      <c r="W440" s="11">
        <f ca="1"/>
        <v>0.4</v>
      </c>
      <c r="X440" s="11">
        <f ca="1"/>
        <v>0.39877104377104378</v>
      </c>
      <c r="Y440" s="11">
        <v>0</v>
      </c>
      <c r="Z440" s="11">
        <f ca="1"/>
        <v>46.401228956228948</v>
      </c>
      <c r="AA440" s="11">
        <f ca="1"/>
        <v>23.200614478114474</v>
      </c>
      <c r="AB440" s="4">
        <f ca="1"/>
        <v>45646</v>
      </c>
      <c r="AC440" s="4">
        <v>45646</v>
      </c>
      <c r="AD440" s="9">
        <v>45651</v>
      </c>
      <c r="AE440" s="9">
        <v>45659</v>
      </c>
      <c r="AF440" s="4" t="str">
        <f t="shared" ca="1" si="6"/>
        <v>2024 12</v>
      </c>
      <c r="AG440" s="8" t="str" cm="1">
        <f t="array" ref="AG440">IFERROR(_xlfn.IFS('Banco de Dados'!#REF!="AG. COMPRA","Em processamento",'Banco de Dados'!#REF!="AG. RASTREIO","Em processamento",'Banco de Dados'!$AE440&lt;&gt;"-","Faturado",'Banco de Dados'!$AD440&lt;&gt;"-","Aguardando Pix",'Banco de Dados'!$AC440&lt;&gt;"-","Pendente"),"Aguardando Liberação")</f>
        <v>Aguardando Liberação</v>
      </c>
      <c r="AH440" s="5" t="str">
        <f>IF('Banco de Dados'!$F440="-",_xlfn.CONCAT(PROPER(TEXT(AK440,"aaaa"))," ",PROPER(TEXT(AK440,"mm"))),_xlfn.CONCAT(PROPER(TEXT(E440,"aaaa"))," ",PROPER(TEXT(E440,"mm"))))</f>
        <v>2024 11</v>
      </c>
      <c r="AI440" s="9" t="str">
        <f ca="1">IF('Banco de Dados'!$AK440&lt;&gt;"-","REEMBOLSO",IFERROR(_xlfn.XLOOKUP(G440,Follow[CODRASTREIO],Follow[STATUS]),"-"))</f>
        <v>ENTREGUE</v>
      </c>
      <c r="AJ440" s="9">
        <f ca="1">IF('Banco de Dados'!$AI440="ENTREGUE",_xlfn.XLOOKUP('Banco de Dados'!$G440,Follow[CODRASTREIO],Follow[DATAATUALIZAÇÃO]),"-")</f>
        <v>45630</v>
      </c>
      <c r="AK440" s="9" t="str">
        <f ca="1"/>
        <v>-</v>
      </c>
      <c r="AL440" s="35"/>
      <c r="AM440" s="109" cm="1">
        <f t="array" aca="1" ref="AM440" ca="1">IF('Banco de Dados'!$AK440&lt;&gt;"-",_xlfn.IFS('Banco de Dados'!$A440="bv",IF('Banco de Dados'!$E440&lt;45641,ROUND(SUM('Banco de Dados'!$R440*_xlfn.XLOOKUP('Banco de Dados'!$P440,Sku!B:B,Sku!#REF!)*20%),2),ROUND(SUM('Banco de Dados'!$R440*_xlfn.XLOOKUP('Banco de Dados'!$P440,Sku!B:B,Sku!H:H)*20%),2)),'Banco de Dados'!$A440="GO",ROUND(_xlfn.XLOOKUP('Banco de Dados'!$P440,Sku!C:C,Sku!H:H),2),'Banco de Dados'!$A440="MEI",ROUND(_xlfn.XLOOKUP('Banco de Dados'!$P440,Sku!D:D,Sku!H:H),2)),0)</f>
        <v>0</v>
      </c>
      <c r="AN440" s="109">
        <f ca="1">IF('Banco de Dados'!$AK440&lt;&gt;"-",IF('Banco de Dados'!$F440&lt;&gt;"-",_xlfn.XLOOKUP(IFERROR(IFERROR(IFERROR(VALUE(SUBSTITUTE(MID(_xlfn.TEXTAFTER('Banco de Dados'!$F440,"Data do Pedido:
",1),1,10),"-","/")),VALUE(SUBSTITUTE(MID(_xlfn.TEXTAFTER('Banco de Dados'!$F440,"Order date:
",1),1,10),"-","/"))),VALUE(SUBSTITUTE(MID(_xlfn.TEXTAFTER('Banco de Dados'!$F440,"Fecha de pedido:
",1),1,10),"-","/"))),"-"),SMS!A:A,SMS!K:K),0),0)</f>
        <v>0</v>
      </c>
      <c r="AO440" s="109">
        <f ca="1">IF('Banco de Dados'!$AK440&lt;&gt;"-",IF('Banco de Dados'!$F440&lt;&gt;"-",IFERROR(_xlfn.XLOOKUP(_xlfn.CONCAT('Banco de Dados'!$A440,IFERROR(IFERROR(VALUE(SUBSTITUTE(MID(_xlfn.TEXTAFTER('Banco de Dados'!$F440,"Data do Pedido:
",1),1,10),"-","/")),VALUE(SUBSTITUTE(MID(_xlfn.TEXTAFTER('Banco de Dados'!$F440,"Order date:
",1),1,10),"-","/"))),0)),ProxyDD[Chave],ProxyDD[Valor por pedido]),PROXY!$P$2),0),0)</f>
        <v>0</v>
      </c>
      <c r="AP440" s="28">
        <f ca="1">IF('Banco de Dados'!$AK440&lt;&gt;"-",IF('Banco de Dados'!$AL440="NÃO",IFERROR(VALUE(SUBSTITUTE(_xlfn.TEXTAFTER('Banco de Dados'!$F440,"BRL ",1),".",",")),0),0),0)</f>
        <v>0</v>
      </c>
      <c r="AQ440" s="28">
        <f ca="1">SUM('Banco de Dados'!$AM440:$AP440)</f>
        <v>0</v>
      </c>
      <c r="AR440" s="8"/>
      <c r="AS440" s="8"/>
      <c r="AY440" s="8"/>
    </row>
    <row r="441" spans="1:51">
      <c r="A441" s="5" t="str">
        <v>BV</v>
      </c>
      <c r="B441" s="5" t="str">
        <f ca="1"/>
        <v>BV45621</v>
      </c>
      <c r="C441" s="8" t="str">
        <v>Pedido 431</v>
      </c>
      <c r="D441" s="9">
        <v>45621</v>
      </c>
      <c r="E441" s="9">
        <v>45621</v>
      </c>
      <c r="F441" s="8" t="str">
        <v>PedidoF417</v>
      </c>
      <c r="G441" s="2" t="str">
        <v>CódRastreio417</v>
      </c>
      <c r="H441" s="5">
        <v>1</v>
      </c>
      <c r="I441" s="182" t="str">
        <v>CPF 416</v>
      </c>
      <c r="J441" s="3" t="str">
        <v>Nome 416</v>
      </c>
      <c r="K441" s="184" t="str">
        <v>Tel 416</v>
      </c>
      <c r="L441" s="3" t="str">
        <v>Cep 416</v>
      </c>
      <c r="M441" s="3" t="str">
        <v>Rua 416</v>
      </c>
      <c r="N441" s="3" t="str">
        <v>Comp 416</v>
      </c>
      <c r="O441" s="3" t="str">
        <v>Ventilador Preto</v>
      </c>
      <c r="P441" s="8" t="str">
        <v>MU-J80P-95WF</v>
      </c>
      <c r="Q441" s="4">
        <v>45646</v>
      </c>
      <c r="R441" s="109">
        <v>65.989999999999995</v>
      </c>
      <c r="S441" s="11">
        <f ca="1"/>
        <v>65.989999999999995</v>
      </c>
      <c r="T441" s="28">
        <f ca="1"/>
        <v>8.5786999999999995</v>
      </c>
      <c r="U441" s="11">
        <f ca="1"/>
        <v>57.41</v>
      </c>
      <c r="V441" s="11">
        <v>10.220000000000001</v>
      </c>
      <c r="W441" s="11">
        <f ca="1"/>
        <v>0.38</v>
      </c>
      <c r="X441" s="11">
        <f ca="1"/>
        <v>0.39877104377104378</v>
      </c>
      <c r="Y441" s="11">
        <v>0</v>
      </c>
      <c r="Z441" s="11">
        <f ca="1"/>
        <v>46.411228956228953</v>
      </c>
      <c r="AA441" s="11">
        <f ca="1"/>
        <v>23.205614478114477</v>
      </c>
      <c r="AB441" s="4">
        <f ca="1"/>
        <v>45653</v>
      </c>
      <c r="AC441" s="4">
        <v>45653</v>
      </c>
      <c r="AD441" s="9">
        <v>45656</v>
      </c>
      <c r="AE441" s="9">
        <v>45659</v>
      </c>
      <c r="AF441" s="4" t="str">
        <f t="shared" ca="1" si="6"/>
        <v>2024 12</v>
      </c>
      <c r="AG441" s="8" t="str" cm="1">
        <f t="array" ref="AG441">IFERROR(_xlfn.IFS('Banco de Dados'!#REF!="AG. COMPRA","Em processamento",'Banco de Dados'!#REF!="AG. RASTREIO","Em processamento",'Banco de Dados'!$AE441&lt;&gt;"-","Faturado",'Banco de Dados'!$AD441&lt;&gt;"-","Aguardando Pix",'Banco de Dados'!$AC441&lt;&gt;"-","Pendente"),"Aguardando Liberação")</f>
        <v>Aguardando Liberação</v>
      </c>
      <c r="AH441" s="5" t="str">
        <f>IF('Banco de Dados'!$F441="-",_xlfn.CONCAT(PROPER(TEXT(AK441,"aaaa"))," ",PROPER(TEXT(AK441,"mm"))),_xlfn.CONCAT(PROPER(TEXT(E441,"aaaa"))," ",PROPER(TEXT(E441,"mm"))))</f>
        <v>2024 11</v>
      </c>
      <c r="AI441" s="9" t="str">
        <f ca="1">IF('Banco de Dados'!$AK441&lt;&gt;"-","REEMBOLSO",IFERROR(_xlfn.XLOOKUP(G441,Follow[CODRASTREIO],Follow[STATUS]),"-"))</f>
        <v>ENTREGUE</v>
      </c>
      <c r="AJ441" s="9">
        <f ca="1">IF('Banco de Dados'!$AI441="ENTREGUE",_xlfn.XLOOKUP('Banco de Dados'!$G441,Follow[CODRASTREIO],Follow[DATAATUALIZAÇÃO]),"-")</f>
        <v>45638</v>
      </c>
      <c r="AK441" s="9" t="str">
        <f ca="1"/>
        <v>-</v>
      </c>
      <c r="AL441" s="35"/>
      <c r="AM441" s="109" cm="1">
        <f t="array" aca="1" ref="AM441" ca="1">IF('Banco de Dados'!$AK441&lt;&gt;"-",_xlfn.IFS('Banco de Dados'!$A441="bv",IF('Banco de Dados'!$E441&lt;45641,ROUND(SUM('Banco de Dados'!$R441*_xlfn.XLOOKUP('Banco de Dados'!$P441,Sku!B:B,Sku!#REF!)*20%),2),ROUND(SUM('Banco de Dados'!$R441*_xlfn.XLOOKUP('Banco de Dados'!$P441,Sku!B:B,Sku!H:H)*20%),2)),'Banco de Dados'!$A441="GO",ROUND(_xlfn.XLOOKUP('Banco de Dados'!$P441,Sku!C:C,Sku!H:H),2),'Banco de Dados'!$A441="MEI",ROUND(_xlfn.XLOOKUP('Banco de Dados'!$P441,Sku!D:D,Sku!H:H),2)),0)</f>
        <v>0</v>
      </c>
      <c r="AN441" s="109">
        <f ca="1">IF('Banco de Dados'!$AK441&lt;&gt;"-",IF('Banco de Dados'!$F441&lt;&gt;"-",_xlfn.XLOOKUP(IFERROR(IFERROR(IFERROR(VALUE(SUBSTITUTE(MID(_xlfn.TEXTAFTER('Banco de Dados'!$F441,"Data do Pedido:
",1),1,10),"-","/")),VALUE(SUBSTITUTE(MID(_xlfn.TEXTAFTER('Banco de Dados'!$F441,"Order date:
",1),1,10),"-","/"))),VALUE(SUBSTITUTE(MID(_xlfn.TEXTAFTER('Banco de Dados'!$F441,"Fecha de pedido:
",1),1,10),"-","/"))),"-"),SMS!A:A,SMS!K:K),0),0)</f>
        <v>0</v>
      </c>
      <c r="AO441" s="109">
        <f ca="1">IF('Banco de Dados'!$AK441&lt;&gt;"-",IF('Banco de Dados'!$F441&lt;&gt;"-",IFERROR(_xlfn.XLOOKUP(_xlfn.CONCAT('Banco de Dados'!$A441,IFERROR(IFERROR(VALUE(SUBSTITUTE(MID(_xlfn.TEXTAFTER('Banco de Dados'!$F441,"Data do Pedido:
",1),1,10),"-","/")),VALUE(SUBSTITUTE(MID(_xlfn.TEXTAFTER('Banco de Dados'!$F441,"Order date:
",1),1,10),"-","/"))),0)),ProxyDD[Chave],ProxyDD[Valor por pedido]),PROXY!$P$2),0),0)</f>
        <v>0</v>
      </c>
      <c r="AP441" s="28">
        <f ca="1">IF('Banco de Dados'!$AK441&lt;&gt;"-",IF('Banco de Dados'!$AL441="NÃO",IFERROR(VALUE(SUBSTITUTE(_xlfn.TEXTAFTER('Banco de Dados'!$F441,"BRL ",1),".",",")),0),0),0)</f>
        <v>0</v>
      </c>
      <c r="AQ441" s="28">
        <f ca="1">SUM('Banco de Dados'!$AM441:$AP441)</f>
        <v>0</v>
      </c>
      <c r="AR441" s="8"/>
      <c r="AS441" s="8"/>
      <c r="AY441" s="8"/>
    </row>
    <row r="442" spans="1:51">
      <c r="A442" s="5" t="str">
        <v>BV</v>
      </c>
      <c r="B442" s="5" t="str">
        <f ca="1"/>
        <v>BV45621</v>
      </c>
      <c r="C442" s="8" t="str">
        <v>Pedido 432</v>
      </c>
      <c r="D442" s="9">
        <v>45621</v>
      </c>
      <c r="E442" s="9">
        <v>45621</v>
      </c>
      <c r="F442" s="8" t="str">
        <v>PedidoF418</v>
      </c>
      <c r="G442" s="2" t="str">
        <v>CódRastreio418</v>
      </c>
      <c r="H442" s="5">
        <v>1</v>
      </c>
      <c r="I442" s="182" t="str">
        <v>CPF 417</v>
      </c>
      <c r="J442" s="2" t="str">
        <v>Nome 417</v>
      </c>
      <c r="K442" s="8" t="str">
        <v>Tel 417</v>
      </c>
      <c r="L442" s="2" t="str">
        <v>Cep 417</v>
      </c>
      <c r="M442" s="2" t="str">
        <v>Rua 417</v>
      </c>
      <c r="N442" s="2" t="str">
        <v>Comp 417</v>
      </c>
      <c r="O442" s="2" t="str">
        <v>Ventilador Preto</v>
      </c>
      <c r="P442" s="8" t="str">
        <v>MU-J80P-95WF</v>
      </c>
      <c r="Q442" s="4">
        <v>45646</v>
      </c>
      <c r="R442" s="109">
        <v>65.989999999999995</v>
      </c>
      <c r="S442" s="11">
        <f ca="1"/>
        <v>65.989999999999995</v>
      </c>
      <c r="T442" s="28">
        <f ca="1"/>
        <v>8.5786999999999995</v>
      </c>
      <c r="U442" s="11">
        <f ca="1"/>
        <v>57.41</v>
      </c>
      <c r="V442" s="11">
        <v>10.220000000000001</v>
      </c>
      <c r="W442" s="11">
        <f ca="1"/>
        <v>0.38</v>
      </c>
      <c r="X442" s="11">
        <f ca="1"/>
        <v>0.39877104377104378</v>
      </c>
      <c r="Y442" s="11">
        <v>0</v>
      </c>
      <c r="Z442" s="11">
        <f ca="1"/>
        <v>46.411228956228953</v>
      </c>
      <c r="AA442" s="11">
        <f ca="1"/>
        <v>23.205614478114477</v>
      </c>
      <c r="AB442" s="4">
        <f ca="1"/>
        <v>45653</v>
      </c>
      <c r="AC442" s="4">
        <v>45653</v>
      </c>
      <c r="AD442" s="9">
        <v>45656</v>
      </c>
      <c r="AE442" s="9">
        <v>45659</v>
      </c>
      <c r="AF442" s="4" t="str">
        <f t="shared" ca="1" si="6"/>
        <v>2024 12</v>
      </c>
      <c r="AG442" s="8" t="str" cm="1">
        <f t="array" ref="AG442">IFERROR(_xlfn.IFS('Banco de Dados'!#REF!="AG. COMPRA","Em processamento",'Banco de Dados'!#REF!="AG. RASTREIO","Em processamento",'Banco de Dados'!$AE442&lt;&gt;"-","Faturado",'Banco de Dados'!$AD442&lt;&gt;"-","Aguardando Pix",'Banco de Dados'!$AC442&lt;&gt;"-","Pendente"),"Aguardando Liberação")</f>
        <v>Aguardando Liberação</v>
      </c>
      <c r="AH442" s="5" t="str">
        <f>IF('Banco de Dados'!$F442="-",_xlfn.CONCAT(PROPER(TEXT(AK442,"aaaa"))," ",PROPER(TEXT(AK442,"mm"))),_xlfn.CONCAT(PROPER(TEXT(E442,"aaaa"))," ",PROPER(TEXT(E442,"mm"))))</f>
        <v>2024 11</v>
      </c>
      <c r="AI442" s="9" t="str">
        <f ca="1">IF('Banco de Dados'!$AK442&lt;&gt;"-","REEMBOLSO",IFERROR(_xlfn.XLOOKUP(G442,Follow[CODRASTREIO],Follow[STATUS]),"-"))</f>
        <v>ENTREGUE</v>
      </c>
      <c r="AJ442" s="9">
        <f ca="1">IF('Banco de Dados'!$AI442="ENTREGUE",_xlfn.XLOOKUP('Banco de Dados'!$G442,Follow[CODRASTREIO],Follow[DATAATUALIZAÇÃO]),"-")</f>
        <v>45637</v>
      </c>
      <c r="AK442" s="9" t="str">
        <f ca="1"/>
        <v>-</v>
      </c>
      <c r="AL442" s="35"/>
      <c r="AM442" s="109" cm="1">
        <f t="array" aca="1" ref="AM442" ca="1">IF('Banco de Dados'!$AK442&lt;&gt;"-",_xlfn.IFS('Banco de Dados'!$A442="bv",IF('Banco de Dados'!$E442&lt;45641,ROUND(SUM('Banco de Dados'!$R442*_xlfn.XLOOKUP('Banco de Dados'!$P442,Sku!B:B,Sku!#REF!)*20%),2),ROUND(SUM('Banco de Dados'!$R442*_xlfn.XLOOKUP('Banco de Dados'!$P442,Sku!B:B,Sku!H:H)*20%),2)),'Banco de Dados'!$A442="GO",ROUND(_xlfn.XLOOKUP('Banco de Dados'!$P442,Sku!C:C,Sku!H:H),2),'Banco de Dados'!$A442="MEI",ROUND(_xlfn.XLOOKUP('Banco de Dados'!$P442,Sku!D:D,Sku!H:H),2)),0)</f>
        <v>0</v>
      </c>
      <c r="AN442" s="109">
        <f ca="1">IF('Banco de Dados'!$AK442&lt;&gt;"-",IF('Banco de Dados'!$F442&lt;&gt;"-",_xlfn.XLOOKUP(IFERROR(IFERROR(IFERROR(VALUE(SUBSTITUTE(MID(_xlfn.TEXTAFTER('Banco de Dados'!$F442,"Data do Pedido:
",1),1,10),"-","/")),VALUE(SUBSTITUTE(MID(_xlfn.TEXTAFTER('Banco de Dados'!$F442,"Order date:
",1),1,10),"-","/"))),VALUE(SUBSTITUTE(MID(_xlfn.TEXTAFTER('Banco de Dados'!$F442,"Fecha de pedido:
",1),1,10),"-","/"))),"-"),SMS!A:A,SMS!K:K),0),0)</f>
        <v>0</v>
      </c>
      <c r="AO442" s="109">
        <f ca="1">IF('Banco de Dados'!$AK442&lt;&gt;"-",IF('Banco de Dados'!$F442&lt;&gt;"-",IFERROR(_xlfn.XLOOKUP(_xlfn.CONCAT('Banco de Dados'!$A442,IFERROR(IFERROR(VALUE(SUBSTITUTE(MID(_xlfn.TEXTAFTER('Banco de Dados'!$F442,"Data do Pedido:
",1),1,10),"-","/")),VALUE(SUBSTITUTE(MID(_xlfn.TEXTAFTER('Banco de Dados'!$F442,"Order date:
",1),1,10),"-","/"))),0)),ProxyDD[Chave],ProxyDD[Valor por pedido]),PROXY!$P$2),0),0)</f>
        <v>0</v>
      </c>
      <c r="AP442" s="28">
        <f ca="1">IF('Banco de Dados'!$AK442&lt;&gt;"-",IF('Banco de Dados'!$AL442="NÃO",IFERROR(VALUE(SUBSTITUTE(_xlfn.TEXTAFTER('Banco de Dados'!$F442,"BRL ",1),".",",")),0),0),0)</f>
        <v>0</v>
      </c>
      <c r="AQ442" s="28">
        <f ca="1">SUM('Banco de Dados'!$AM442:$AP442)</f>
        <v>0</v>
      </c>
      <c r="AR442" s="8"/>
      <c r="AS442" s="8"/>
      <c r="AY442" s="8"/>
    </row>
    <row r="443" spans="1:51">
      <c r="A443" s="5" t="str">
        <v>BV</v>
      </c>
      <c r="B443" s="5" t="str">
        <f ca="1"/>
        <v>BV45621</v>
      </c>
      <c r="C443" s="8" t="str">
        <v>Pedido 433</v>
      </c>
      <c r="D443" s="9">
        <v>45621</v>
      </c>
      <c r="E443" s="9">
        <v>45621</v>
      </c>
      <c r="F443" s="8" t="str">
        <v>PedidoF419</v>
      </c>
      <c r="G443" s="2" t="str">
        <v>CódRastreio419</v>
      </c>
      <c r="H443" s="5">
        <v>1</v>
      </c>
      <c r="I443" s="182" t="str">
        <v>CPF 418</v>
      </c>
      <c r="J443" s="2" t="str">
        <v>Nome 418</v>
      </c>
      <c r="K443" s="8" t="str">
        <v>Tel 418</v>
      </c>
      <c r="L443" s="2" t="str">
        <v>Cep 418</v>
      </c>
      <c r="M443" s="2" t="str">
        <v>Rua 418</v>
      </c>
      <c r="N443" s="2" t="str">
        <v>Comp 418</v>
      </c>
      <c r="O443" s="2" t="str">
        <v>Mini Liquidificador</v>
      </c>
      <c r="P443" s="8" t="str">
        <v>CK-YL6M-P5Y6</v>
      </c>
      <c r="Q443" s="4">
        <v>45640</v>
      </c>
      <c r="R443" s="109">
        <v>39.99</v>
      </c>
      <c r="S443" s="11">
        <f ca="1"/>
        <v>39.99</v>
      </c>
      <c r="T443" s="28">
        <f ca="1"/>
        <v>5.1987000000000005</v>
      </c>
      <c r="U443" s="11">
        <f ca="1"/>
        <v>34.79</v>
      </c>
      <c r="V443" s="11">
        <v>14.99</v>
      </c>
      <c r="W443" s="11">
        <f ca="1"/>
        <v>0.38</v>
      </c>
      <c r="X443" s="11">
        <f ca="1"/>
        <v>0.39877104377104378</v>
      </c>
      <c r="Y443" s="11">
        <v>0</v>
      </c>
      <c r="Z443" s="11">
        <f ca="1"/>
        <v>19.021228956228953</v>
      </c>
      <c r="AA443" s="11">
        <f ca="1"/>
        <v>9.5106144781144764</v>
      </c>
      <c r="AB443" s="4">
        <f ca="1"/>
        <v>45647</v>
      </c>
      <c r="AC443" s="4">
        <v>45647</v>
      </c>
      <c r="AD443" s="9">
        <v>45651</v>
      </c>
      <c r="AE443" s="9">
        <v>45659</v>
      </c>
      <c r="AF443" s="4" t="str">
        <f t="shared" ca="1" si="6"/>
        <v>2024 12</v>
      </c>
      <c r="AG443" s="8" t="str" cm="1">
        <f t="array" ref="AG443">IFERROR(_xlfn.IFS('Banco de Dados'!#REF!="AG. COMPRA","Em processamento",'Banco de Dados'!#REF!="AG. RASTREIO","Em processamento",'Banco de Dados'!$AE443&lt;&gt;"-","Faturado",'Banco de Dados'!$AD443&lt;&gt;"-","Aguardando Pix",'Banco de Dados'!$AC443&lt;&gt;"-","Pendente"),"Aguardando Liberação")</f>
        <v>Aguardando Liberação</v>
      </c>
      <c r="AH443" s="5" t="str">
        <f>IF('Banco de Dados'!$F443="-",_xlfn.CONCAT(PROPER(TEXT(AK443,"aaaa"))," ",PROPER(TEXT(AK443,"mm"))),_xlfn.CONCAT(PROPER(TEXT(E443,"aaaa"))," ",PROPER(TEXT(E443,"mm"))))</f>
        <v>2024 11</v>
      </c>
      <c r="AI443" s="9" t="str">
        <f ca="1">IF('Banco de Dados'!$AK443&lt;&gt;"-","REEMBOLSO",IFERROR(_xlfn.XLOOKUP(G443,Follow[CODRASTREIO],Follow[STATUS]),"-"))</f>
        <v>ENTREGUE</v>
      </c>
      <c r="AJ443" s="9">
        <f ca="1">IF('Banco de Dados'!$AI443="ENTREGUE",_xlfn.XLOOKUP('Banco de Dados'!$G443,Follow[CODRASTREIO],Follow[DATAATUALIZAÇÃO]),"-")</f>
        <v>45632.827534722222</v>
      </c>
      <c r="AK443" s="9" t="str">
        <f ca="1"/>
        <v>-</v>
      </c>
      <c r="AL443" s="35"/>
      <c r="AM443" s="109" cm="1">
        <f t="array" aca="1" ref="AM443" ca="1">IF('Banco de Dados'!$AK443&lt;&gt;"-",_xlfn.IFS('Banco de Dados'!$A443="bv",IF('Banco de Dados'!$E443&lt;45641,ROUND(SUM('Banco de Dados'!$R443*_xlfn.XLOOKUP('Banco de Dados'!$P443,Sku!B:B,Sku!#REF!)*20%),2),ROUND(SUM('Banco de Dados'!$R443*_xlfn.XLOOKUP('Banco de Dados'!$P443,Sku!B:B,Sku!H:H)*20%),2)),'Banco de Dados'!$A443="GO",ROUND(_xlfn.XLOOKUP('Banco de Dados'!$P443,Sku!C:C,Sku!H:H),2),'Banco de Dados'!$A443="MEI",ROUND(_xlfn.XLOOKUP('Banco de Dados'!$P443,Sku!D:D,Sku!H:H),2)),0)</f>
        <v>0</v>
      </c>
      <c r="AN443" s="109">
        <f ca="1">IF('Banco de Dados'!$AK443&lt;&gt;"-",IF('Banco de Dados'!$F443&lt;&gt;"-",_xlfn.XLOOKUP(IFERROR(IFERROR(IFERROR(VALUE(SUBSTITUTE(MID(_xlfn.TEXTAFTER('Banco de Dados'!$F443,"Data do Pedido:
",1),1,10),"-","/")),VALUE(SUBSTITUTE(MID(_xlfn.TEXTAFTER('Banco de Dados'!$F443,"Order date:
",1),1,10),"-","/"))),VALUE(SUBSTITUTE(MID(_xlfn.TEXTAFTER('Banco de Dados'!$F443,"Fecha de pedido:
",1),1,10),"-","/"))),"-"),SMS!A:A,SMS!K:K),0),0)</f>
        <v>0</v>
      </c>
      <c r="AO443" s="109">
        <f ca="1">IF('Banco de Dados'!$AK443&lt;&gt;"-",IF('Banco de Dados'!$F443&lt;&gt;"-",IFERROR(_xlfn.XLOOKUP(_xlfn.CONCAT('Banco de Dados'!$A443,IFERROR(IFERROR(VALUE(SUBSTITUTE(MID(_xlfn.TEXTAFTER('Banco de Dados'!$F443,"Data do Pedido:
",1),1,10),"-","/")),VALUE(SUBSTITUTE(MID(_xlfn.TEXTAFTER('Banco de Dados'!$F443,"Order date:
",1),1,10),"-","/"))),0)),ProxyDD[Chave],ProxyDD[Valor por pedido]),PROXY!$P$2),0),0)</f>
        <v>0</v>
      </c>
      <c r="AP443" s="28">
        <f ca="1">IF('Banco de Dados'!$AK443&lt;&gt;"-",IF('Banco de Dados'!$AL443="NÃO",IFERROR(VALUE(SUBSTITUTE(_xlfn.TEXTAFTER('Banco de Dados'!$F443,"BRL ",1),".",",")),0),0),0)</f>
        <v>0</v>
      </c>
      <c r="AQ443" s="28">
        <f ca="1">SUM('Banco de Dados'!$AM443:$AP443)</f>
        <v>0</v>
      </c>
      <c r="AR443" s="8"/>
      <c r="AS443" s="8"/>
      <c r="AY443" s="8"/>
    </row>
    <row r="444" spans="1:51">
      <c r="A444" s="5" t="str">
        <v>BV</v>
      </c>
      <c r="B444" s="5" t="str">
        <f ca="1"/>
        <v>BV45621</v>
      </c>
      <c r="C444" s="8" t="str">
        <v>Pedido 434</v>
      </c>
      <c r="D444" s="9">
        <v>45621</v>
      </c>
      <c r="E444" s="9">
        <v>45621</v>
      </c>
      <c r="F444" s="8" t="str">
        <v>PedidoF420</v>
      </c>
      <c r="G444" s="2" t="str">
        <v>CódRastreio420</v>
      </c>
      <c r="H444" s="5">
        <v>1</v>
      </c>
      <c r="I444" s="182" t="str">
        <v>CPF 419</v>
      </c>
      <c r="J444" s="2" t="str">
        <v>Nome 419</v>
      </c>
      <c r="K444" s="8" t="str">
        <v>Tel 419</v>
      </c>
      <c r="L444" s="2" t="str">
        <v>Cep 419</v>
      </c>
      <c r="M444" s="2" t="str">
        <v>Rua 419</v>
      </c>
      <c r="N444" s="2" t="str">
        <v>Comp 419</v>
      </c>
      <c r="O444" s="2" t="str">
        <v>Ventilador Preto</v>
      </c>
      <c r="P444" s="8" t="str">
        <v>MU-J80P-95WF</v>
      </c>
      <c r="Q444" s="4">
        <v>45646</v>
      </c>
      <c r="R444" s="109">
        <v>65.989999999999995</v>
      </c>
      <c r="S444" s="11">
        <f ca="1"/>
        <v>65.989999999999995</v>
      </c>
      <c r="T444" s="28">
        <f ca="1"/>
        <v>8.5786999999999995</v>
      </c>
      <c r="U444" s="11">
        <f ca="1"/>
        <v>57.41</v>
      </c>
      <c r="V444" s="11">
        <v>10.220000000000001</v>
      </c>
      <c r="W444" s="11">
        <f ca="1"/>
        <v>0.38</v>
      </c>
      <c r="X444" s="11">
        <f ca="1"/>
        <v>0.39877104377104378</v>
      </c>
      <c r="Y444" s="11">
        <v>0</v>
      </c>
      <c r="Z444" s="11">
        <f ca="1"/>
        <v>46.411228956228953</v>
      </c>
      <c r="AA444" s="11">
        <f ca="1"/>
        <v>23.205614478114477</v>
      </c>
      <c r="AB444" s="4">
        <f ca="1"/>
        <v>45653</v>
      </c>
      <c r="AC444" s="4">
        <v>45653</v>
      </c>
      <c r="AD444" s="9">
        <v>45656</v>
      </c>
      <c r="AE444" s="9">
        <v>45659</v>
      </c>
      <c r="AF444" s="4" t="str">
        <f t="shared" ca="1" si="6"/>
        <v>2024 12</v>
      </c>
      <c r="AG444" s="8" t="str" cm="1">
        <f t="array" ref="AG444">IFERROR(_xlfn.IFS('Banco de Dados'!#REF!="AG. COMPRA","Em processamento",'Banco de Dados'!#REF!="AG. RASTREIO","Em processamento",'Banco de Dados'!$AE444&lt;&gt;"-","Faturado",'Banco de Dados'!$AD444&lt;&gt;"-","Aguardando Pix",'Banco de Dados'!$AC444&lt;&gt;"-","Pendente"),"Aguardando Liberação")</f>
        <v>Aguardando Liberação</v>
      </c>
      <c r="AH444" s="5" t="str">
        <f>IF('Banco de Dados'!$F444="-",_xlfn.CONCAT(PROPER(TEXT(AK444,"aaaa"))," ",PROPER(TEXT(AK444,"mm"))),_xlfn.CONCAT(PROPER(TEXT(E444,"aaaa"))," ",PROPER(TEXT(E444,"mm"))))</f>
        <v>2024 11</v>
      </c>
      <c r="AI444" s="9" t="str">
        <f ca="1">IF('Banco de Dados'!$AK444&lt;&gt;"-","REEMBOLSO",IFERROR(_xlfn.XLOOKUP(G444,Follow[CODRASTREIO],Follow[STATUS]),"-"))</f>
        <v>ENTREGUE</v>
      </c>
      <c r="AJ444" s="9">
        <f ca="1">IF('Banco de Dados'!$AI444="ENTREGUE",_xlfn.XLOOKUP('Banco de Dados'!$G444,Follow[CODRASTREIO],Follow[DATAATUALIZAÇÃO]),"-")</f>
        <v>45643</v>
      </c>
      <c r="AK444" s="9" t="str">
        <f ca="1"/>
        <v>-</v>
      </c>
      <c r="AL444" s="35"/>
      <c r="AM444" s="109" cm="1">
        <f t="array" aca="1" ref="AM444" ca="1">IF('Banco de Dados'!$AK444&lt;&gt;"-",_xlfn.IFS('Banco de Dados'!$A444="bv",IF('Banco de Dados'!$E444&lt;45641,ROUND(SUM('Banco de Dados'!$R444*_xlfn.XLOOKUP('Banco de Dados'!$P444,Sku!B:B,Sku!#REF!)*20%),2),ROUND(SUM('Banco de Dados'!$R444*_xlfn.XLOOKUP('Banco de Dados'!$P444,Sku!B:B,Sku!H:H)*20%),2)),'Banco de Dados'!$A444="GO",ROUND(_xlfn.XLOOKUP('Banco de Dados'!$P444,Sku!C:C,Sku!H:H),2),'Banco de Dados'!$A444="MEI",ROUND(_xlfn.XLOOKUP('Banco de Dados'!$P444,Sku!D:D,Sku!H:H),2)),0)</f>
        <v>0</v>
      </c>
      <c r="AN444" s="109">
        <f ca="1">IF('Banco de Dados'!$AK444&lt;&gt;"-",IF('Banco de Dados'!$F444&lt;&gt;"-",_xlfn.XLOOKUP(IFERROR(IFERROR(IFERROR(VALUE(SUBSTITUTE(MID(_xlfn.TEXTAFTER('Banco de Dados'!$F444,"Data do Pedido:
",1),1,10),"-","/")),VALUE(SUBSTITUTE(MID(_xlfn.TEXTAFTER('Banco de Dados'!$F444,"Order date:
",1),1,10),"-","/"))),VALUE(SUBSTITUTE(MID(_xlfn.TEXTAFTER('Banco de Dados'!$F444,"Fecha de pedido:
",1),1,10),"-","/"))),"-"),SMS!A:A,SMS!K:K),0),0)</f>
        <v>0</v>
      </c>
      <c r="AO444" s="109">
        <f ca="1">IF('Banco de Dados'!$AK444&lt;&gt;"-",IF('Banco de Dados'!$F444&lt;&gt;"-",IFERROR(_xlfn.XLOOKUP(_xlfn.CONCAT('Banco de Dados'!$A444,IFERROR(IFERROR(VALUE(SUBSTITUTE(MID(_xlfn.TEXTAFTER('Banco de Dados'!$F444,"Data do Pedido:
",1),1,10),"-","/")),VALUE(SUBSTITUTE(MID(_xlfn.TEXTAFTER('Banco de Dados'!$F444,"Order date:
",1),1,10),"-","/"))),0)),ProxyDD[Chave],ProxyDD[Valor por pedido]),PROXY!$P$2),0),0)</f>
        <v>0</v>
      </c>
      <c r="AP444" s="28">
        <f ca="1">IF('Banco de Dados'!$AK444&lt;&gt;"-",IF('Banco de Dados'!$AL444="NÃO",IFERROR(VALUE(SUBSTITUTE(_xlfn.TEXTAFTER('Banco de Dados'!$F444,"BRL ",1),".",",")),0),0),0)</f>
        <v>0</v>
      </c>
      <c r="AQ444" s="28">
        <f ca="1">SUM('Banco de Dados'!$AM444:$AP444)</f>
        <v>0</v>
      </c>
      <c r="AR444" s="8"/>
      <c r="AS444" s="8"/>
      <c r="AY444" s="8"/>
    </row>
    <row r="445" spans="1:51">
      <c r="A445" s="5" t="str">
        <v>BV</v>
      </c>
      <c r="B445" s="5" t="str">
        <f ca="1"/>
        <v>BV45622</v>
      </c>
      <c r="C445" s="8" t="str">
        <v>Pedido 435</v>
      </c>
      <c r="D445" s="9">
        <v>45622</v>
      </c>
      <c r="E445" s="9">
        <v>45622</v>
      </c>
      <c r="F445" s="8" t="str">
        <v>PedidoF421</v>
      </c>
      <c r="G445" s="2" t="str">
        <v>CódRastreio421</v>
      </c>
      <c r="H445" s="5">
        <v>1</v>
      </c>
      <c r="I445" s="182" t="str">
        <v>CPF 420</v>
      </c>
      <c r="J445" s="2" t="str">
        <v>Nome 420</v>
      </c>
      <c r="K445" s="8" t="str">
        <v>Tel 420</v>
      </c>
      <c r="L445" s="2" t="str">
        <v>Cep 420</v>
      </c>
      <c r="M445" s="2" t="str">
        <v>Rua 420</v>
      </c>
      <c r="N445" s="2" t="str">
        <v>Comp 420</v>
      </c>
      <c r="O445" s="2" t="str">
        <v>Copo Termico</v>
      </c>
      <c r="P445" s="8" t="str">
        <v>KN-TBQL-K2MM</v>
      </c>
      <c r="Q445" s="4">
        <v>45636</v>
      </c>
      <c r="R445" s="109">
        <v>27.99</v>
      </c>
      <c r="S445" s="11">
        <f ca="1"/>
        <v>27.99</v>
      </c>
      <c r="T445" s="28">
        <f ca="1"/>
        <v>3.6387</v>
      </c>
      <c r="U445" s="11">
        <f ca="1"/>
        <v>24.35</v>
      </c>
      <c r="V445" s="11">
        <v>10.119999999999999</v>
      </c>
      <c r="W445" s="11">
        <f ca="1"/>
        <v>0.35</v>
      </c>
      <c r="X445" s="11">
        <f ca="1"/>
        <v>0.39877104377104378</v>
      </c>
      <c r="Y445" s="11">
        <v>0</v>
      </c>
      <c r="Z445" s="11">
        <f ca="1"/>
        <v>13.481228956228959</v>
      </c>
      <c r="AA445" s="11">
        <f ca="1"/>
        <v>6.7406144781144794</v>
      </c>
      <c r="AB445" s="4">
        <f ca="1"/>
        <v>45643</v>
      </c>
      <c r="AC445" s="4">
        <v>45643</v>
      </c>
      <c r="AD445" s="9">
        <v>45651</v>
      </c>
      <c r="AE445" s="9">
        <v>45659</v>
      </c>
      <c r="AF445" s="4" t="str">
        <f t="shared" ca="1" si="6"/>
        <v>2024 12</v>
      </c>
      <c r="AG445" s="8" t="str" cm="1">
        <f t="array" ref="AG445">IFERROR(_xlfn.IFS('Banco de Dados'!#REF!="AG. COMPRA","Em processamento",'Banco de Dados'!#REF!="AG. RASTREIO","Em processamento",'Banco de Dados'!$AE445&lt;&gt;"-","Faturado",'Banco de Dados'!$AD445&lt;&gt;"-","Aguardando Pix",'Banco de Dados'!$AC445&lt;&gt;"-","Pendente"),"Aguardando Liberação")</f>
        <v>Aguardando Liberação</v>
      </c>
      <c r="AH445" s="5" t="str">
        <f>IF('Banco de Dados'!$F445="-",_xlfn.CONCAT(PROPER(TEXT(AK445,"aaaa"))," ",PROPER(TEXT(AK445,"mm"))),_xlfn.CONCAT(PROPER(TEXT(E445,"aaaa"))," ",PROPER(TEXT(E445,"mm"))))</f>
        <v>2024 11</v>
      </c>
      <c r="AI445" s="9" t="str">
        <f ca="1">IF('Banco de Dados'!$AK445&lt;&gt;"-","REEMBOLSO",IFERROR(_xlfn.XLOOKUP(G445,Follow[CODRASTREIO],Follow[STATUS]),"-"))</f>
        <v>ENTREGUE</v>
      </c>
      <c r="AJ445" s="9">
        <f ca="1">IF('Banco de Dados'!$AI445="ENTREGUE",_xlfn.XLOOKUP('Banco de Dados'!$G445,Follow[CODRASTREIO],Follow[DATAATUALIZAÇÃO]),"-")</f>
        <v>45628</v>
      </c>
      <c r="AK445" s="9" t="str">
        <f ca="1"/>
        <v>-</v>
      </c>
      <c r="AL445" s="35"/>
      <c r="AM445" s="109" cm="1">
        <f t="array" aca="1" ref="AM445" ca="1">IF('Banco de Dados'!$AK445&lt;&gt;"-",_xlfn.IFS('Banco de Dados'!$A445="bv",IF('Banco de Dados'!$E445&lt;45641,ROUND(SUM('Banco de Dados'!$R445*_xlfn.XLOOKUP('Banco de Dados'!$P445,Sku!B:B,Sku!#REF!)*20%),2),ROUND(SUM('Banco de Dados'!$R445*_xlfn.XLOOKUP('Banco de Dados'!$P445,Sku!B:B,Sku!H:H)*20%),2)),'Banco de Dados'!$A445="GO",ROUND(_xlfn.XLOOKUP('Banco de Dados'!$P445,Sku!C:C,Sku!H:H),2),'Banco de Dados'!$A445="MEI",ROUND(_xlfn.XLOOKUP('Banco de Dados'!$P445,Sku!D:D,Sku!H:H),2)),0)</f>
        <v>0</v>
      </c>
      <c r="AN445" s="109">
        <f ca="1">IF('Banco de Dados'!$AK445&lt;&gt;"-",IF('Banco de Dados'!$F445&lt;&gt;"-",_xlfn.XLOOKUP(IFERROR(IFERROR(IFERROR(VALUE(SUBSTITUTE(MID(_xlfn.TEXTAFTER('Banco de Dados'!$F445,"Data do Pedido:
",1),1,10),"-","/")),VALUE(SUBSTITUTE(MID(_xlfn.TEXTAFTER('Banco de Dados'!$F445,"Order date:
",1),1,10),"-","/"))),VALUE(SUBSTITUTE(MID(_xlfn.TEXTAFTER('Banco de Dados'!$F445,"Fecha de pedido:
",1),1,10),"-","/"))),"-"),SMS!A:A,SMS!K:K),0),0)</f>
        <v>0</v>
      </c>
      <c r="AO445" s="109">
        <f ca="1">IF('Banco de Dados'!$AK445&lt;&gt;"-",IF('Banco de Dados'!$F445&lt;&gt;"-",IFERROR(_xlfn.XLOOKUP(_xlfn.CONCAT('Banco de Dados'!$A445,IFERROR(IFERROR(VALUE(SUBSTITUTE(MID(_xlfn.TEXTAFTER('Banco de Dados'!$F445,"Data do Pedido:
",1),1,10),"-","/")),VALUE(SUBSTITUTE(MID(_xlfn.TEXTAFTER('Banco de Dados'!$F445,"Order date:
",1),1,10),"-","/"))),0)),ProxyDD[Chave],ProxyDD[Valor por pedido]),PROXY!$P$2),0),0)</f>
        <v>0</v>
      </c>
      <c r="AP445" s="28">
        <f ca="1">IF('Banco de Dados'!$AK445&lt;&gt;"-",IF('Banco de Dados'!$AL445="NÃO",IFERROR(VALUE(SUBSTITUTE(_xlfn.TEXTAFTER('Banco de Dados'!$F445,"BRL ",1),".",",")),0),0),0)</f>
        <v>0</v>
      </c>
      <c r="AQ445" s="28">
        <f ca="1">SUM('Banco de Dados'!$AM445:$AP445)</f>
        <v>0</v>
      </c>
      <c r="AR445" s="8"/>
      <c r="AS445" s="8"/>
      <c r="AY445" s="8"/>
    </row>
    <row r="446" spans="1:51">
      <c r="A446" s="5" t="str">
        <v>BV</v>
      </c>
      <c r="B446" s="5" t="str">
        <f ca="1"/>
        <v>BV45622</v>
      </c>
      <c r="C446" s="8" t="str">
        <v>Pedido 436</v>
      </c>
      <c r="D446" s="9">
        <v>45622</v>
      </c>
      <c r="E446" s="9">
        <v>45622</v>
      </c>
      <c r="F446" s="8" t="str">
        <v>PedidoF422</v>
      </c>
      <c r="G446" s="2" t="str">
        <v>CódRastreio422</v>
      </c>
      <c r="H446" s="5">
        <v>1</v>
      </c>
      <c r="I446" s="182" t="str">
        <v>CPF 421</v>
      </c>
      <c r="J446" s="2" t="str">
        <v>Nome 421</v>
      </c>
      <c r="K446" s="8" t="str">
        <v>Tel 421</v>
      </c>
      <c r="L446" s="2" t="str">
        <v>Cep 421</v>
      </c>
      <c r="M446" s="2" t="str">
        <v>Rua 421</v>
      </c>
      <c r="N446" s="2" t="str">
        <v>Comp 421</v>
      </c>
      <c r="O446" s="2" t="str">
        <v>Ventilador Preto</v>
      </c>
      <c r="P446" s="8" t="str">
        <v>MU-J80P-95WF</v>
      </c>
      <c r="Q446" s="4">
        <v>45646</v>
      </c>
      <c r="R446" s="109">
        <v>65.989999999999995</v>
      </c>
      <c r="S446" s="11">
        <f ca="1"/>
        <v>65.989999999999995</v>
      </c>
      <c r="T446" s="28">
        <f ca="1"/>
        <v>8.5786999999999995</v>
      </c>
      <c r="U446" s="11">
        <f ca="1"/>
        <v>57.41</v>
      </c>
      <c r="V446" s="11">
        <v>10.210000000000001</v>
      </c>
      <c r="W446" s="11">
        <f ca="1"/>
        <v>0.35</v>
      </c>
      <c r="X446" s="11">
        <f ca="1"/>
        <v>0.39877104377104378</v>
      </c>
      <c r="Y446" s="11">
        <v>0</v>
      </c>
      <c r="Z446" s="11">
        <f ca="1"/>
        <v>46.451228956228952</v>
      </c>
      <c r="AA446" s="11">
        <f ca="1"/>
        <v>23.225614478114476</v>
      </c>
      <c r="AB446" s="4">
        <f ca="1"/>
        <v>45653</v>
      </c>
      <c r="AC446" s="4">
        <v>45653</v>
      </c>
      <c r="AD446" s="9">
        <v>45656</v>
      </c>
      <c r="AE446" s="9">
        <v>45659</v>
      </c>
      <c r="AF446" s="4" t="str">
        <f t="shared" ca="1" si="6"/>
        <v>2024 12</v>
      </c>
      <c r="AG446" s="8" t="str" cm="1">
        <f t="array" ref="AG446">IFERROR(_xlfn.IFS('Banco de Dados'!#REF!="AG. COMPRA","Em processamento",'Banco de Dados'!#REF!="AG. RASTREIO","Em processamento",'Banco de Dados'!$AE446&lt;&gt;"-","Faturado",'Banco de Dados'!$AD446&lt;&gt;"-","Aguardando Pix",'Banco de Dados'!$AC446&lt;&gt;"-","Pendente"),"Aguardando Liberação")</f>
        <v>Aguardando Liberação</v>
      </c>
      <c r="AH446" s="5" t="str">
        <f>IF('Banco de Dados'!$F446="-",_xlfn.CONCAT(PROPER(TEXT(AK446,"aaaa"))," ",PROPER(TEXT(AK446,"mm"))),_xlfn.CONCAT(PROPER(TEXT(E446,"aaaa"))," ",PROPER(TEXT(E446,"mm"))))</f>
        <v>2024 11</v>
      </c>
      <c r="AI446" s="9" t="str">
        <f ca="1">IF('Banco de Dados'!$AK446&lt;&gt;"-","REEMBOLSO",IFERROR(_xlfn.XLOOKUP(G446,Follow[CODRASTREIO],Follow[STATUS]),"-"))</f>
        <v>ENTREGUE</v>
      </c>
      <c r="AJ446" s="9">
        <f ca="1">IF('Banco de Dados'!$AI446="ENTREGUE",_xlfn.XLOOKUP('Banco de Dados'!$G446,Follow[CODRASTREIO],Follow[DATAATUALIZAÇÃO]),"-")</f>
        <v>45637</v>
      </c>
      <c r="AK446" s="9" t="str">
        <f ca="1"/>
        <v>-</v>
      </c>
      <c r="AL446" s="35"/>
      <c r="AM446" s="109" cm="1">
        <f t="array" aca="1" ref="AM446" ca="1">IF('Banco de Dados'!$AK446&lt;&gt;"-",_xlfn.IFS('Banco de Dados'!$A446="bv",IF('Banco de Dados'!$E446&lt;45641,ROUND(SUM('Banco de Dados'!$R446*_xlfn.XLOOKUP('Banco de Dados'!$P446,Sku!B:B,Sku!#REF!)*20%),2),ROUND(SUM('Banco de Dados'!$R446*_xlfn.XLOOKUP('Banco de Dados'!$P446,Sku!B:B,Sku!H:H)*20%),2)),'Banco de Dados'!$A446="GO",ROUND(_xlfn.XLOOKUP('Banco de Dados'!$P446,Sku!C:C,Sku!H:H),2),'Banco de Dados'!$A446="MEI",ROUND(_xlfn.XLOOKUP('Banco de Dados'!$P446,Sku!D:D,Sku!H:H),2)),0)</f>
        <v>0</v>
      </c>
      <c r="AN446" s="109">
        <f ca="1">IF('Banco de Dados'!$AK446&lt;&gt;"-",IF('Banco de Dados'!$F446&lt;&gt;"-",_xlfn.XLOOKUP(IFERROR(IFERROR(IFERROR(VALUE(SUBSTITUTE(MID(_xlfn.TEXTAFTER('Banco de Dados'!$F446,"Data do Pedido:
",1),1,10),"-","/")),VALUE(SUBSTITUTE(MID(_xlfn.TEXTAFTER('Banco de Dados'!$F446,"Order date:
",1),1,10),"-","/"))),VALUE(SUBSTITUTE(MID(_xlfn.TEXTAFTER('Banco de Dados'!$F446,"Fecha de pedido:
",1),1,10),"-","/"))),"-"),SMS!A:A,SMS!K:K),0),0)</f>
        <v>0</v>
      </c>
      <c r="AO446" s="109">
        <f ca="1">IF('Banco de Dados'!$AK446&lt;&gt;"-",IF('Banco de Dados'!$F446&lt;&gt;"-",IFERROR(_xlfn.XLOOKUP(_xlfn.CONCAT('Banco de Dados'!$A446,IFERROR(IFERROR(VALUE(SUBSTITUTE(MID(_xlfn.TEXTAFTER('Banco de Dados'!$F446,"Data do Pedido:
",1),1,10),"-","/")),VALUE(SUBSTITUTE(MID(_xlfn.TEXTAFTER('Banco de Dados'!$F446,"Order date:
",1),1,10),"-","/"))),0)),ProxyDD[Chave],ProxyDD[Valor por pedido]),PROXY!$P$2),0),0)</f>
        <v>0</v>
      </c>
      <c r="AP446" s="28">
        <f ca="1">IF('Banco de Dados'!$AK446&lt;&gt;"-",IF('Banco de Dados'!$AL446="NÃO",IFERROR(VALUE(SUBSTITUTE(_xlfn.TEXTAFTER('Banco de Dados'!$F446,"BRL ",1),".",",")),0),0),0)</f>
        <v>0</v>
      </c>
      <c r="AQ446" s="28">
        <f ca="1">SUM('Banco de Dados'!$AM446:$AP446)</f>
        <v>0</v>
      </c>
      <c r="AR446" s="8"/>
      <c r="AS446" s="8"/>
      <c r="AY446" s="8"/>
    </row>
    <row r="447" spans="1:51">
      <c r="A447" s="5" t="str">
        <v>BV</v>
      </c>
      <c r="B447" s="5" t="str">
        <f ca="1"/>
        <v>BV45622</v>
      </c>
      <c r="C447" s="8" t="str">
        <v>Pedido 437</v>
      </c>
      <c r="D447" s="9">
        <v>45622</v>
      </c>
      <c r="E447" s="9">
        <v>45622</v>
      </c>
      <c r="F447" s="8" t="str">
        <v>PedidoF423</v>
      </c>
      <c r="G447" s="2" t="str">
        <v>-</v>
      </c>
      <c r="H447" s="5">
        <v>1</v>
      </c>
      <c r="I447" s="182" t="str">
        <v>CPF 422</v>
      </c>
      <c r="J447" s="2" t="str">
        <v>Nome 422</v>
      </c>
      <c r="K447" s="8" t="str">
        <v>Tel 422</v>
      </c>
      <c r="L447" s="2" t="str">
        <v>Cep 422</v>
      </c>
      <c r="M447" s="2" t="str">
        <v>Rua 422</v>
      </c>
      <c r="N447" s="2" t="str">
        <v>Comp 422</v>
      </c>
      <c r="O447" s="2" t="str">
        <v>Copo Termico</v>
      </c>
      <c r="P447" s="8" t="str">
        <v>KN-TBQL-K2MM</v>
      </c>
      <c r="Q447" s="4">
        <v>45647</v>
      </c>
      <c r="R447" s="109">
        <v>27.99</v>
      </c>
      <c r="S447" s="11">
        <f ca="1"/>
        <v>0</v>
      </c>
      <c r="T447" s="28">
        <f ca="1"/>
        <v>0</v>
      </c>
      <c r="U447" s="11">
        <f ca="1"/>
        <v>0</v>
      </c>
      <c r="V447" s="11">
        <v>0</v>
      </c>
      <c r="W447" s="11">
        <f ca="1"/>
        <v>0</v>
      </c>
      <c r="X447" s="11">
        <f ca="1"/>
        <v>0.39877104377104378</v>
      </c>
      <c r="Y447" s="11">
        <v>0</v>
      </c>
      <c r="Z447" s="11">
        <f ca="1"/>
        <v>-0.39877104377104378</v>
      </c>
      <c r="AA447" s="11">
        <f ca="1"/>
        <v>-0.19938552188552189</v>
      </c>
      <c r="AB447" s="4">
        <f ca="1"/>
        <v>45654</v>
      </c>
      <c r="AC447" s="4">
        <v>45654</v>
      </c>
      <c r="AD447" s="9">
        <v>45656</v>
      </c>
      <c r="AE447" s="9">
        <v>45659</v>
      </c>
      <c r="AF447" s="4" t="str">
        <f t="shared" ca="1" si="6"/>
        <v>2024 12</v>
      </c>
      <c r="AG447" s="8" t="str" cm="1">
        <f t="array" ref="AG447">IFERROR(_xlfn.IFS('Banco de Dados'!#REF!="AG. COMPRA","Em processamento",'Banco de Dados'!#REF!="AG. RASTREIO","Em processamento",'Banco de Dados'!$AE447&lt;&gt;"-","Faturado",'Banco de Dados'!$AD447&lt;&gt;"-","Aguardando Pix",'Banco de Dados'!$AC447&lt;&gt;"-","Pendente"),"Aguardando Liberação")</f>
        <v>Aguardando Liberação</v>
      </c>
      <c r="AH447" s="5" t="str">
        <f>IF('Banco de Dados'!$F447="-",_xlfn.CONCAT(PROPER(TEXT(AK447,"aaaa"))," ",PROPER(TEXT(AK447,"mm"))),_xlfn.CONCAT(PROPER(TEXT(E447,"aaaa"))," ",PROPER(TEXT(E447,"mm"))))</f>
        <v>2024 11</v>
      </c>
      <c r="AI447" s="9" t="str">
        <f ca="1">IF('Banco de Dados'!$AK447&lt;&gt;"-","REEMBOLSO",IFERROR(_xlfn.XLOOKUP(G447,Follow[CODRASTREIO],Follow[STATUS]),"-"))</f>
        <v>REEMBOLSO</v>
      </c>
      <c r="AJ447" s="9" t="str">
        <f ca="1">IF('Banco de Dados'!$AI447="ENTREGUE",_xlfn.XLOOKUP('Banco de Dados'!$G447,Follow[CODRASTREIO],Follow[DATAATUALIZAÇÃO]),"-")</f>
        <v>-</v>
      </c>
      <c r="AK447" s="9">
        <f ca="1"/>
        <v>45622</v>
      </c>
      <c r="AL447" s="35"/>
      <c r="AM447" s="109" t="e" cm="1">
        <f t="array" aca="1" ref="AM447" ca="1">IF('Banco de Dados'!$AK447&lt;&gt;"-",_xlfn.IFS('Banco de Dados'!$A447="bv",IF('Banco de Dados'!$E447&lt;45641,ROUND(SUM('Banco de Dados'!$R447*_xlfn.XLOOKUP('Banco de Dados'!$P447,Sku!B:B,Sku!#REF!)*20%),2),ROUND(SUM('Banco de Dados'!$R447*_xlfn.XLOOKUP('Banco de Dados'!$P447,Sku!B:B,Sku!H:H)*20%),2)),'Banco de Dados'!$A447="GO",ROUND(_xlfn.XLOOKUP('Banco de Dados'!$P447,Sku!C:C,Sku!H:H),2),'Banco de Dados'!$A447="MEI",ROUND(_xlfn.XLOOKUP('Banco de Dados'!$P447,Sku!D:D,Sku!H:H),2)),0)</f>
        <v>#REF!</v>
      </c>
      <c r="AN447" s="109" t="e">
        <f ca="1">IF('Banco de Dados'!$AK447&lt;&gt;"-",IF('Banco de Dados'!$F447&lt;&gt;"-",_xlfn.XLOOKUP(IFERROR(IFERROR(IFERROR(VALUE(SUBSTITUTE(MID(_xlfn.TEXTAFTER('Banco de Dados'!$F447,"Data do Pedido:
",1),1,10),"-","/")),VALUE(SUBSTITUTE(MID(_xlfn.TEXTAFTER('Banco de Dados'!$F447,"Order date:
",1),1,10),"-","/"))),VALUE(SUBSTITUTE(MID(_xlfn.TEXTAFTER('Banco de Dados'!$F447,"Fecha de pedido:
",1),1,10),"-","/"))),"-"),SMS!A:A,SMS!K:K),0),0)</f>
        <v>#N/A</v>
      </c>
      <c r="AO447" s="109">
        <f ca="1">IF('Banco de Dados'!$AK447&lt;&gt;"-",IF('Banco de Dados'!$F447&lt;&gt;"-",IFERROR(_xlfn.XLOOKUP(_xlfn.CONCAT('Banco de Dados'!$A447,IFERROR(IFERROR(VALUE(SUBSTITUTE(MID(_xlfn.TEXTAFTER('Banco de Dados'!$F447,"Data do Pedido:
",1),1,10),"-","/")),VALUE(SUBSTITUTE(MID(_xlfn.TEXTAFTER('Banco de Dados'!$F447,"Order date:
",1),1,10),"-","/"))),0)),ProxyDD[Chave],ProxyDD[Valor por pedido]),PROXY!$P$2),0),0)</f>
        <v>0.39877104377104378</v>
      </c>
      <c r="AP447" s="28">
        <f ca="1">IF('Banco de Dados'!$AK447&lt;&gt;"-",IF('Banco de Dados'!$AL447="NÃO",IFERROR(VALUE(SUBSTITUTE(_xlfn.TEXTAFTER('Banco de Dados'!$F447,"BRL ",1),".",",")),0),0),0)</f>
        <v>0</v>
      </c>
      <c r="AQ447" s="28" t="e">
        <f ca="1">SUM('Banco de Dados'!$AM447:$AP447)</f>
        <v>#REF!</v>
      </c>
      <c r="AR447" s="8"/>
      <c r="AS447" s="8"/>
      <c r="AY447" s="8"/>
    </row>
    <row r="448" spans="1:51">
      <c r="A448" s="5" t="str">
        <v>BV</v>
      </c>
      <c r="B448" s="5" t="str">
        <f ca="1"/>
        <v>BV45622</v>
      </c>
      <c r="C448" s="8" t="str">
        <v>Pedido 438</v>
      </c>
      <c r="D448" s="9">
        <v>45622</v>
      </c>
      <c r="E448" s="9">
        <v>45622</v>
      </c>
      <c r="F448" s="8" t="str">
        <v>PedidoF424</v>
      </c>
      <c r="G448" s="2" t="str">
        <v>CódRastreio423</v>
      </c>
      <c r="H448" s="5">
        <v>1</v>
      </c>
      <c r="I448" s="182" t="str">
        <v>CPF 423</v>
      </c>
      <c r="J448" s="2" t="str">
        <v>Nome 423</v>
      </c>
      <c r="K448" s="8" t="str">
        <v>Tel 423</v>
      </c>
      <c r="L448" s="2" t="str">
        <v>Cep 423</v>
      </c>
      <c r="M448" s="2" t="str">
        <v>Rua 423</v>
      </c>
      <c r="N448" s="2" t="str">
        <v>Comp 423</v>
      </c>
      <c r="O448" s="2" t="str">
        <v>Ventilador Preto</v>
      </c>
      <c r="P448" s="8" t="str">
        <v>MU-J80P-95WF</v>
      </c>
      <c r="Q448" s="4">
        <v>45647</v>
      </c>
      <c r="R448" s="109">
        <v>65.989999999999995</v>
      </c>
      <c r="S448" s="11">
        <f ca="1"/>
        <v>65.989999999999995</v>
      </c>
      <c r="T448" s="28">
        <f ca="1"/>
        <v>8.5786999999999995</v>
      </c>
      <c r="U448" s="11">
        <f ca="1"/>
        <v>57.41</v>
      </c>
      <c r="V448" s="11">
        <v>10.210000000000001</v>
      </c>
      <c r="W448" s="11">
        <f ca="1"/>
        <v>0.35</v>
      </c>
      <c r="X448" s="11">
        <f ca="1"/>
        <v>0.39877104377104378</v>
      </c>
      <c r="Y448" s="11">
        <v>0</v>
      </c>
      <c r="Z448" s="11">
        <f ca="1"/>
        <v>46.451228956228952</v>
      </c>
      <c r="AA448" s="11">
        <f ca="1"/>
        <v>23.225614478114476</v>
      </c>
      <c r="AB448" s="4">
        <f ca="1"/>
        <v>45654</v>
      </c>
      <c r="AC448" s="4">
        <v>45654</v>
      </c>
      <c r="AD448" s="9">
        <v>45656</v>
      </c>
      <c r="AE448" s="9">
        <v>45659</v>
      </c>
      <c r="AF448" s="4" t="str">
        <f t="shared" ca="1" si="6"/>
        <v>2024 12</v>
      </c>
      <c r="AG448" s="8" t="str" cm="1">
        <f t="array" ref="AG448">IFERROR(_xlfn.IFS('Banco de Dados'!#REF!="AG. COMPRA","Em processamento",'Banco de Dados'!#REF!="AG. RASTREIO","Em processamento",'Banco de Dados'!$AE448&lt;&gt;"-","Faturado",'Banco de Dados'!$AD448&lt;&gt;"-","Aguardando Pix",'Banco de Dados'!$AC448&lt;&gt;"-","Pendente"),"Aguardando Liberação")</f>
        <v>Aguardando Liberação</v>
      </c>
      <c r="AH448" s="5" t="str">
        <f>IF('Banco de Dados'!$F448="-",_xlfn.CONCAT(PROPER(TEXT(AK448,"aaaa"))," ",PROPER(TEXT(AK448,"mm"))),_xlfn.CONCAT(PROPER(TEXT(E448,"aaaa"))," ",PROPER(TEXT(E448,"mm"))))</f>
        <v>2024 11</v>
      </c>
      <c r="AI448" s="9" t="str">
        <f ca="1">IF('Banco de Dados'!$AK448&lt;&gt;"-","REEMBOLSO",IFERROR(_xlfn.XLOOKUP(G448,Follow[CODRASTREIO],Follow[STATUS]),"-"))</f>
        <v>ENTREGUE</v>
      </c>
      <c r="AJ448" s="9">
        <f ca="1">IF('Banco de Dados'!$AI448="ENTREGUE",_xlfn.XLOOKUP('Banco de Dados'!$G448,Follow[CODRASTREIO],Follow[DATAATUALIZAÇÃO]),"-")</f>
        <v>45637</v>
      </c>
      <c r="AK448" s="9" t="str">
        <f ca="1"/>
        <v>-</v>
      </c>
      <c r="AL448" s="35"/>
      <c r="AM448" s="109" cm="1">
        <f t="array" aca="1" ref="AM448" ca="1">IF('Banco de Dados'!$AK448&lt;&gt;"-",_xlfn.IFS('Banco de Dados'!$A448="bv",IF('Banco de Dados'!$E448&lt;45641,ROUND(SUM('Banco de Dados'!$R448*_xlfn.XLOOKUP('Banco de Dados'!$P448,Sku!B:B,Sku!#REF!)*20%),2),ROUND(SUM('Banco de Dados'!$R448*_xlfn.XLOOKUP('Banco de Dados'!$P448,Sku!B:B,Sku!H:H)*20%),2)),'Banco de Dados'!$A448="GO",ROUND(_xlfn.XLOOKUP('Banco de Dados'!$P448,Sku!C:C,Sku!H:H),2),'Banco de Dados'!$A448="MEI",ROUND(_xlfn.XLOOKUP('Banco de Dados'!$P448,Sku!D:D,Sku!H:H),2)),0)</f>
        <v>0</v>
      </c>
      <c r="AN448" s="109">
        <f ca="1">IF('Banco de Dados'!$AK448&lt;&gt;"-",IF('Banco de Dados'!$F448&lt;&gt;"-",_xlfn.XLOOKUP(IFERROR(IFERROR(IFERROR(VALUE(SUBSTITUTE(MID(_xlfn.TEXTAFTER('Banco de Dados'!$F448,"Data do Pedido:
",1),1,10),"-","/")),VALUE(SUBSTITUTE(MID(_xlfn.TEXTAFTER('Banco de Dados'!$F448,"Order date:
",1),1,10),"-","/"))),VALUE(SUBSTITUTE(MID(_xlfn.TEXTAFTER('Banco de Dados'!$F448,"Fecha de pedido:
",1),1,10),"-","/"))),"-"),SMS!A:A,SMS!K:K),0),0)</f>
        <v>0</v>
      </c>
      <c r="AO448" s="109">
        <f ca="1">IF('Banco de Dados'!$AK448&lt;&gt;"-",IF('Banco de Dados'!$F448&lt;&gt;"-",IFERROR(_xlfn.XLOOKUP(_xlfn.CONCAT('Banco de Dados'!$A448,IFERROR(IFERROR(VALUE(SUBSTITUTE(MID(_xlfn.TEXTAFTER('Banco de Dados'!$F448,"Data do Pedido:
",1),1,10),"-","/")),VALUE(SUBSTITUTE(MID(_xlfn.TEXTAFTER('Banco de Dados'!$F448,"Order date:
",1),1,10),"-","/"))),0)),ProxyDD[Chave],ProxyDD[Valor por pedido]),PROXY!$P$2),0),0)</f>
        <v>0</v>
      </c>
      <c r="AP448" s="28">
        <f ca="1">IF('Banco de Dados'!$AK448&lt;&gt;"-",IF('Banco de Dados'!$AL448="NÃO",IFERROR(VALUE(SUBSTITUTE(_xlfn.TEXTAFTER('Banco de Dados'!$F448,"BRL ",1),".",",")),0),0),0)</f>
        <v>0</v>
      </c>
      <c r="AQ448" s="28">
        <f ca="1">SUM('Banco de Dados'!$AM448:$AP448)</f>
        <v>0</v>
      </c>
      <c r="AR448" s="8"/>
      <c r="AS448" s="8"/>
      <c r="AY448" s="8"/>
    </row>
    <row r="449" spans="1:51">
      <c r="A449" s="5" t="str">
        <v>BV</v>
      </c>
      <c r="B449" s="5" t="str">
        <f ca="1"/>
        <v>BV45622</v>
      </c>
      <c r="C449" s="8" t="str">
        <v>Pedido 439</v>
      </c>
      <c r="D449" s="9">
        <v>45622</v>
      </c>
      <c r="E449" s="9">
        <v>45622</v>
      </c>
      <c r="F449" s="8" t="str">
        <v>PedidoF425</v>
      </c>
      <c r="G449" s="2" t="str">
        <v>CódRastreio424</v>
      </c>
      <c r="H449" s="5">
        <v>1</v>
      </c>
      <c r="I449" s="182" t="str">
        <v>CPF 424</v>
      </c>
      <c r="J449" s="2" t="str">
        <v>Nome 424</v>
      </c>
      <c r="K449" s="8" t="str">
        <v>Tel 424</v>
      </c>
      <c r="L449" s="2" t="str">
        <v>Cep 424</v>
      </c>
      <c r="M449" s="2" t="str">
        <v>Rua 424</v>
      </c>
      <c r="N449" s="2" t="str">
        <v>Comp 424</v>
      </c>
      <c r="O449" s="2" t="str">
        <v>Ventilador Azul</v>
      </c>
      <c r="P449" s="8" t="str">
        <v>U8-2VWS-OB6M</v>
      </c>
      <c r="Q449" s="4">
        <v>45660</v>
      </c>
      <c r="R449" s="109">
        <v>65.989999999999995</v>
      </c>
      <c r="S449" s="11">
        <f ca="1"/>
        <v>65.989999999999995</v>
      </c>
      <c r="T449" s="28">
        <f ca="1"/>
        <v>8.5786999999999995</v>
      </c>
      <c r="U449" s="11">
        <f ca="1"/>
        <v>57.41</v>
      </c>
      <c r="V449" s="11">
        <v>10.210000000000001</v>
      </c>
      <c r="W449" s="11">
        <f ca="1"/>
        <v>0.35</v>
      </c>
      <c r="X449" s="11">
        <f ca="1"/>
        <v>0.39877104377104378</v>
      </c>
      <c r="Y449" s="11">
        <v>0</v>
      </c>
      <c r="Z449" s="11">
        <f ca="1"/>
        <v>46.451228956228952</v>
      </c>
      <c r="AA449" s="11">
        <f ca="1"/>
        <v>23.225614478114476</v>
      </c>
      <c r="AB449" s="4">
        <f ca="1"/>
        <v>45667</v>
      </c>
      <c r="AC449" s="4">
        <v>45667</v>
      </c>
      <c r="AD449" s="9">
        <v>45673</v>
      </c>
      <c r="AE449" s="9">
        <v>45673</v>
      </c>
      <c r="AF449" s="4" t="str">
        <f t="shared" ca="1" si="6"/>
        <v>2025 01</v>
      </c>
      <c r="AG449" s="8" t="str" cm="1">
        <f t="array" ref="AG449">IFERROR(_xlfn.IFS('Banco de Dados'!#REF!="AG. COMPRA","Em processamento",'Banco de Dados'!#REF!="AG. RASTREIO","Em processamento",'Banco de Dados'!$AE449&lt;&gt;"-","Faturado",'Banco de Dados'!$AD449&lt;&gt;"-","Aguardando Pix",'Banco de Dados'!$AC449&lt;&gt;"-","Pendente"),"Aguardando Liberação")</f>
        <v>Aguardando Liberação</v>
      </c>
      <c r="AH449" s="5" t="str">
        <f>IF('Banco de Dados'!$F449="-",_xlfn.CONCAT(PROPER(TEXT(AK449,"aaaa"))," ",PROPER(TEXT(AK449,"mm"))),_xlfn.CONCAT(PROPER(TEXT(E449,"aaaa"))," ",PROPER(TEXT(E449,"mm"))))</f>
        <v>2024 11</v>
      </c>
      <c r="AI449" s="9" t="str">
        <f ca="1">IF('Banco de Dados'!$AK449&lt;&gt;"-","REEMBOLSO",IFERROR(_xlfn.XLOOKUP(G449,Follow[CODRASTREIO],Follow[STATUS]),"-"))</f>
        <v>ENTREGUE</v>
      </c>
      <c r="AJ449" s="9">
        <f ca="1">IF('Banco de Dados'!$AI449="ENTREGUE",_xlfn.XLOOKUP('Banco de Dados'!$G449,Follow[CODRASTREIO],Follow[DATAATUALIZAÇÃO]),"-")</f>
        <v>45642</v>
      </c>
      <c r="AK449" s="9" t="str">
        <f ca="1"/>
        <v>-</v>
      </c>
      <c r="AL449" s="35"/>
      <c r="AM449" s="109" cm="1">
        <f t="array" aca="1" ref="AM449" ca="1">IF('Banco de Dados'!$AK449&lt;&gt;"-",_xlfn.IFS('Banco de Dados'!$A449="bv",IF('Banco de Dados'!$E449&lt;45641,ROUND(SUM('Banco de Dados'!$R449*_xlfn.XLOOKUP('Banco de Dados'!$P449,Sku!B:B,Sku!#REF!)*20%),2),ROUND(SUM('Banco de Dados'!$R449*_xlfn.XLOOKUP('Banco de Dados'!$P449,Sku!B:B,Sku!H:H)*20%),2)),'Banco de Dados'!$A449="GO",ROUND(_xlfn.XLOOKUP('Banco de Dados'!$P449,Sku!C:C,Sku!H:H),2),'Banco de Dados'!$A449="MEI",ROUND(_xlfn.XLOOKUP('Banco de Dados'!$P449,Sku!D:D,Sku!H:H),2)),0)</f>
        <v>0</v>
      </c>
      <c r="AN449" s="109">
        <f ca="1">IF('Banco de Dados'!$AK449&lt;&gt;"-",IF('Banco de Dados'!$F449&lt;&gt;"-",_xlfn.XLOOKUP(IFERROR(IFERROR(IFERROR(VALUE(SUBSTITUTE(MID(_xlfn.TEXTAFTER('Banco de Dados'!$F449,"Data do Pedido:
",1),1,10),"-","/")),VALUE(SUBSTITUTE(MID(_xlfn.TEXTAFTER('Banco de Dados'!$F449,"Order date:
",1),1,10),"-","/"))),VALUE(SUBSTITUTE(MID(_xlfn.TEXTAFTER('Banco de Dados'!$F449,"Fecha de pedido:
",1),1,10),"-","/"))),"-"),SMS!A:A,SMS!K:K),0),0)</f>
        <v>0</v>
      </c>
      <c r="AO449" s="109">
        <f ca="1">IF('Banco de Dados'!$AK449&lt;&gt;"-",IF('Banco de Dados'!$F449&lt;&gt;"-",IFERROR(_xlfn.XLOOKUP(_xlfn.CONCAT('Banco de Dados'!$A449,IFERROR(IFERROR(VALUE(SUBSTITUTE(MID(_xlfn.TEXTAFTER('Banco de Dados'!$F449,"Data do Pedido:
",1),1,10),"-","/")),VALUE(SUBSTITUTE(MID(_xlfn.TEXTAFTER('Banco de Dados'!$F449,"Order date:
",1),1,10),"-","/"))),0)),ProxyDD[Chave],ProxyDD[Valor por pedido]),PROXY!$P$2),0),0)</f>
        <v>0</v>
      </c>
      <c r="AP449" s="28">
        <f ca="1">IF('Banco de Dados'!$AK449&lt;&gt;"-",IF('Banco de Dados'!$AL449="NÃO",IFERROR(VALUE(SUBSTITUTE(_xlfn.TEXTAFTER('Banco de Dados'!$F449,"BRL ",1),".",",")),0),0),0)</f>
        <v>0</v>
      </c>
      <c r="AQ449" s="28">
        <f ca="1">SUM('Banco de Dados'!$AM449:$AP449)</f>
        <v>0</v>
      </c>
      <c r="AR449" s="8"/>
      <c r="AS449" s="8"/>
      <c r="AY449" s="8"/>
    </row>
    <row r="450" spans="1:51">
      <c r="A450" s="5" t="str">
        <v>BV</v>
      </c>
      <c r="B450" s="5" t="str">
        <f ca="1"/>
        <v>BV45622</v>
      </c>
      <c r="C450" s="8" t="str">
        <v>Pedido 440</v>
      </c>
      <c r="D450" s="9">
        <v>45622</v>
      </c>
      <c r="E450" s="9">
        <v>45622</v>
      </c>
      <c r="F450" s="8" t="str">
        <v>PedidoF426</v>
      </c>
      <c r="G450" s="2" t="str">
        <v>CódRastreio425</v>
      </c>
      <c r="H450" s="5">
        <v>1</v>
      </c>
      <c r="I450" s="182" t="str">
        <v>CPF 425</v>
      </c>
      <c r="J450" s="2" t="str">
        <v>Nome 425</v>
      </c>
      <c r="K450" s="8" t="str">
        <v>Tel 425</v>
      </c>
      <c r="L450" s="2" t="str">
        <v>Cep 425</v>
      </c>
      <c r="M450" s="2" t="str">
        <v>Rua 425</v>
      </c>
      <c r="N450" s="2" t="str">
        <v>Comp 425</v>
      </c>
      <c r="O450" s="2" t="str">
        <v>Ventilador Rosa</v>
      </c>
      <c r="P450" s="8" t="str">
        <v>IF-G2ZQ-79FO</v>
      </c>
      <c r="Q450" s="4">
        <v>45647</v>
      </c>
      <c r="R450" s="109">
        <v>65.989999999999995</v>
      </c>
      <c r="S450" s="11">
        <f ca="1"/>
        <v>65.989999999999995</v>
      </c>
      <c r="T450" s="28">
        <f ca="1"/>
        <v>8.5786999999999995</v>
      </c>
      <c r="U450" s="11">
        <f ca="1"/>
        <v>57.41</v>
      </c>
      <c r="V450" s="11">
        <v>11.19</v>
      </c>
      <c r="W450" s="11">
        <f ca="1"/>
        <v>0.35</v>
      </c>
      <c r="X450" s="11">
        <f ca="1"/>
        <v>0.39877104377104378</v>
      </c>
      <c r="Y450" s="11">
        <v>0</v>
      </c>
      <c r="Z450" s="11">
        <f ca="1"/>
        <v>45.471228956228956</v>
      </c>
      <c r="AA450" s="11">
        <f ca="1"/>
        <v>22.735614478114478</v>
      </c>
      <c r="AB450" s="4">
        <f ca="1"/>
        <v>45654</v>
      </c>
      <c r="AC450" s="4">
        <v>45654</v>
      </c>
      <c r="AD450" s="9">
        <v>45656</v>
      </c>
      <c r="AE450" s="9">
        <v>45659</v>
      </c>
      <c r="AF450" s="4" t="str">
        <f t="shared" ca="1" si="6"/>
        <v>2024 12</v>
      </c>
      <c r="AG450" s="8" t="str" cm="1">
        <f t="array" ref="AG450">IFERROR(_xlfn.IFS('Banco de Dados'!#REF!="AG. COMPRA","Em processamento",'Banco de Dados'!#REF!="AG. RASTREIO","Em processamento",'Banco de Dados'!$AE450&lt;&gt;"-","Faturado",'Banco de Dados'!$AD450&lt;&gt;"-","Aguardando Pix",'Banco de Dados'!$AC450&lt;&gt;"-","Pendente"),"Aguardando Liberação")</f>
        <v>Aguardando Liberação</v>
      </c>
      <c r="AH450" s="5" t="str">
        <f>IF('Banco de Dados'!$F450="-",_xlfn.CONCAT(PROPER(TEXT(AK450,"aaaa"))," ",PROPER(TEXT(AK450,"mm"))),_xlfn.CONCAT(PROPER(TEXT(E450,"aaaa"))," ",PROPER(TEXT(E450,"mm"))))</f>
        <v>2024 11</v>
      </c>
      <c r="AI450" s="9" t="str">
        <f ca="1">IF('Banco de Dados'!$AK450&lt;&gt;"-","REEMBOLSO",IFERROR(_xlfn.XLOOKUP(G450,Follow[CODRASTREIO],Follow[STATUS]),"-"))</f>
        <v>ENTREGUE</v>
      </c>
      <c r="AJ450" s="9">
        <f ca="1">IF('Banco de Dados'!$AI450="ENTREGUE",_xlfn.XLOOKUP('Banco de Dados'!$G450,Follow[CODRASTREIO],Follow[DATAATUALIZAÇÃO]),"-")</f>
        <v>45642</v>
      </c>
      <c r="AK450" s="9" t="str">
        <f ca="1"/>
        <v>-</v>
      </c>
      <c r="AL450" s="35"/>
      <c r="AM450" s="109" cm="1">
        <f t="array" aca="1" ref="AM450" ca="1">IF('Banco de Dados'!$AK450&lt;&gt;"-",_xlfn.IFS('Banco de Dados'!$A450="bv",IF('Banco de Dados'!$E450&lt;45641,ROUND(SUM('Banco de Dados'!$R450*_xlfn.XLOOKUP('Banco de Dados'!$P450,Sku!B:B,Sku!#REF!)*20%),2),ROUND(SUM('Banco de Dados'!$R450*_xlfn.XLOOKUP('Banco de Dados'!$P450,Sku!B:B,Sku!H:H)*20%),2)),'Banco de Dados'!$A450="GO",ROUND(_xlfn.XLOOKUP('Banco de Dados'!$P450,Sku!C:C,Sku!H:H),2),'Banco de Dados'!$A450="MEI",ROUND(_xlfn.XLOOKUP('Banco de Dados'!$P450,Sku!D:D,Sku!H:H),2)),0)</f>
        <v>0</v>
      </c>
      <c r="AN450" s="109">
        <f ca="1">IF('Banco de Dados'!$AK450&lt;&gt;"-",IF('Banco de Dados'!$F450&lt;&gt;"-",_xlfn.XLOOKUP(IFERROR(IFERROR(IFERROR(VALUE(SUBSTITUTE(MID(_xlfn.TEXTAFTER('Banco de Dados'!$F450,"Data do Pedido:
",1),1,10),"-","/")),VALUE(SUBSTITUTE(MID(_xlfn.TEXTAFTER('Banco de Dados'!$F450,"Order date:
",1),1,10),"-","/"))),VALUE(SUBSTITUTE(MID(_xlfn.TEXTAFTER('Banco de Dados'!$F450,"Fecha de pedido:
",1),1,10),"-","/"))),"-"),SMS!A:A,SMS!K:K),0),0)</f>
        <v>0</v>
      </c>
      <c r="AO450" s="109">
        <f ca="1">IF('Banco de Dados'!$AK450&lt;&gt;"-",IF('Banco de Dados'!$F450&lt;&gt;"-",IFERROR(_xlfn.XLOOKUP(_xlfn.CONCAT('Banco de Dados'!$A450,IFERROR(IFERROR(VALUE(SUBSTITUTE(MID(_xlfn.TEXTAFTER('Banco de Dados'!$F450,"Data do Pedido:
",1),1,10),"-","/")),VALUE(SUBSTITUTE(MID(_xlfn.TEXTAFTER('Banco de Dados'!$F450,"Order date:
",1),1,10),"-","/"))),0)),ProxyDD[Chave],ProxyDD[Valor por pedido]),PROXY!$P$2),0),0)</f>
        <v>0</v>
      </c>
      <c r="AP450" s="28">
        <f ca="1">IF('Banco de Dados'!$AK450&lt;&gt;"-",IF('Banco de Dados'!$AL450="NÃO",IFERROR(VALUE(SUBSTITUTE(_xlfn.TEXTAFTER('Banco de Dados'!$F450,"BRL ",1),".",",")),0),0),0)</f>
        <v>0</v>
      </c>
      <c r="AQ450" s="28">
        <f ca="1">SUM('Banco de Dados'!$AM450:$AP450)</f>
        <v>0</v>
      </c>
      <c r="AR450" s="8"/>
      <c r="AS450" s="8"/>
      <c r="AY450" s="8"/>
    </row>
    <row r="451" spans="1:51">
      <c r="A451" s="5" t="str">
        <v>BV</v>
      </c>
      <c r="B451" s="5" t="str">
        <f ca="1"/>
        <v>BV45622</v>
      </c>
      <c r="C451" s="8" t="str">
        <v>Pedido 441</v>
      </c>
      <c r="D451" s="9">
        <v>45622</v>
      </c>
      <c r="E451" s="9">
        <v>45622</v>
      </c>
      <c r="F451" s="8" t="str">
        <v>PedidoF427</v>
      </c>
      <c r="G451" s="2" t="str">
        <v>CódRastreio426</v>
      </c>
      <c r="H451" s="5">
        <v>1</v>
      </c>
      <c r="I451" s="182" t="str">
        <v>CPF 426</v>
      </c>
      <c r="J451" s="2" t="str">
        <v>Nome 426</v>
      </c>
      <c r="K451" s="8" t="str">
        <v>Tel 426</v>
      </c>
      <c r="L451" s="2" t="str">
        <v>Cep 426</v>
      </c>
      <c r="M451" s="2" t="str">
        <v>Rua 426</v>
      </c>
      <c r="N451" s="2" t="str">
        <v>Comp 426</v>
      </c>
      <c r="O451" s="2" t="str">
        <v>Copo Termico</v>
      </c>
      <c r="P451" s="8" t="str">
        <v>KN-TBQL-K2MM</v>
      </c>
      <c r="Q451" s="4">
        <v>45647</v>
      </c>
      <c r="R451" s="109">
        <v>27.99</v>
      </c>
      <c r="S451" s="11">
        <f ca="1"/>
        <v>27.99</v>
      </c>
      <c r="T451" s="28">
        <f ca="1"/>
        <v>3.6387</v>
      </c>
      <c r="U451" s="11">
        <f ca="1"/>
        <v>24.35</v>
      </c>
      <c r="V451" s="11">
        <v>8.1999999999999993</v>
      </c>
      <c r="W451" s="11">
        <f ca="1"/>
        <v>0.35</v>
      </c>
      <c r="X451" s="11">
        <f ca="1"/>
        <v>0.39877104377104378</v>
      </c>
      <c r="Y451" s="11">
        <v>0</v>
      </c>
      <c r="Z451" s="11">
        <f ca="1"/>
        <v>15.401228956228959</v>
      </c>
      <c r="AA451" s="11">
        <f ca="1"/>
        <v>7.7006144781144794</v>
      </c>
      <c r="AB451" s="4">
        <f ca="1"/>
        <v>45654</v>
      </c>
      <c r="AC451" s="4">
        <v>45654</v>
      </c>
      <c r="AD451" s="9">
        <v>45656</v>
      </c>
      <c r="AE451" s="9">
        <v>45659</v>
      </c>
      <c r="AF451" s="4" t="str">
        <f t="shared" ca="1" si="6"/>
        <v>2024 12</v>
      </c>
      <c r="AG451" s="8" t="str" cm="1">
        <f t="array" ref="AG451">IFERROR(_xlfn.IFS('Banco de Dados'!#REF!="AG. COMPRA","Em processamento",'Banco de Dados'!#REF!="AG. RASTREIO","Em processamento",'Banco de Dados'!$AE451&lt;&gt;"-","Faturado",'Banco de Dados'!$AD451&lt;&gt;"-","Aguardando Pix",'Banco de Dados'!$AC451&lt;&gt;"-","Pendente"),"Aguardando Liberação")</f>
        <v>Aguardando Liberação</v>
      </c>
      <c r="AH451" s="5" t="str">
        <f>IF('Banco de Dados'!$F451="-",_xlfn.CONCAT(PROPER(TEXT(AK451,"aaaa"))," ",PROPER(TEXT(AK451,"mm"))),_xlfn.CONCAT(PROPER(TEXT(E451,"aaaa"))," ",PROPER(TEXT(E451,"mm"))))</f>
        <v>2024 11</v>
      </c>
      <c r="AI451" s="9" t="str">
        <f ca="1">IF('Banco de Dados'!$AK451&lt;&gt;"-","REEMBOLSO",IFERROR(_xlfn.XLOOKUP(G451,Follow[CODRASTREIO],Follow[STATUS]),"-"))</f>
        <v>ENTREGUE</v>
      </c>
      <c r="AJ451" s="9">
        <f ca="1">IF('Banco de Dados'!$AI451="ENTREGUE",_xlfn.XLOOKUP('Banco de Dados'!$G451,Follow[CODRASTREIO],Follow[DATAATUALIZAÇÃO]),"-")</f>
        <v>45633.646111111113</v>
      </c>
      <c r="AK451" s="9" t="str">
        <f ca="1"/>
        <v>-</v>
      </c>
      <c r="AL451" s="35"/>
      <c r="AM451" s="109" cm="1">
        <f t="array" aca="1" ref="AM451" ca="1">IF('Banco de Dados'!$AK451&lt;&gt;"-",_xlfn.IFS('Banco de Dados'!$A451="bv",IF('Banco de Dados'!$E451&lt;45641,ROUND(SUM('Banco de Dados'!$R451*_xlfn.XLOOKUP('Banco de Dados'!$P451,Sku!B:B,Sku!#REF!)*20%),2),ROUND(SUM('Banco de Dados'!$R451*_xlfn.XLOOKUP('Banco de Dados'!$P451,Sku!B:B,Sku!H:H)*20%),2)),'Banco de Dados'!$A451="GO",ROUND(_xlfn.XLOOKUP('Banco de Dados'!$P451,Sku!C:C,Sku!H:H),2),'Banco de Dados'!$A451="MEI",ROUND(_xlfn.XLOOKUP('Banco de Dados'!$P451,Sku!D:D,Sku!H:H),2)),0)</f>
        <v>0</v>
      </c>
      <c r="AN451" s="109">
        <f ca="1">IF('Banco de Dados'!$AK451&lt;&gt;"-",IF('Banco de Dados'!$F451&lt;&gt;"-",_xlfn.XLOOKUP(IFERROR(IFERROR(IFERROR(VALUE(SUBSTITUTE(MID(_xlfn.TEXTAFTER('Banco de Dados'!$F451,"Data do Pedido:
",1),1,10),"-","/")),VALUE(SUBSTITUTE(MID(_xlfn.TEXTAFTER('Banco de Dados'!$F451,"Order date:
",1),1,10),"-","/"))),VALUE(SUBSTITUTE(MID(_xlfn.TEXTAFTER('Banco de Dados'!$F451,"Fecha de pedido:
",1),1,10),"-","/"))),"-"),SMS!A:A,SMS!K:K),0),0)</f>
        <v>0</v>
      </c>
      <c r="AO451" s="109">
        <f ca="1">IF('Banco de Dados'!$AK451&lt;&gt;"-",IF('Banco de Dados'!$F451&lt;&gt;"-",IFERROR(_xlfn.XLOOKUP(_xlfn.CONCAT('Banco de Dados'!$A451,IFERROR(IFERROR(VALUE(SUBSTITUTE(MID(_xlfn.TEXTAFTER('Banco de Dados'!$F451,"Data do Pedido:
",1),1,10),"-","/")),VALUE(SUBSTITUTE(MID(_xlfn.TEXTAFTER('Banco de Dados'!$F451,"Order date:
",1),1,10),"-","/"))),0)),ProxyDD[Chave],ProxyDD[Valor por pedido]),PROXY!$P$2),0),0)</f>
        <v>0</v>
      </c>
      <c r="AP451" s="28">
        <f ca="1">IF('Banco de Dados'!$AK451&lt;&gt;"-",IF('Banco de Dados'!$AL451="NÃO",IFERROR(VALUE(SUBSTITUTE(_xlfn.TEXTAFTER('Banco de Dados'!$F451,"BRL ",1),".",",")),0),0),0)</f>
        <v>0</v>
      </c>
      <c r="AQ451" s="28">
        <f ca="1">SUM('Banco de Dados'!$AM451:$AP451)</f>
        <v>0</v>
      </c>
      <c r="AR451" s="8"/>
      <c r="AS451" s="8"/>
      <c r="AY451" s="8"/>
    </row>
    <row r="452" spans="1:51">
      <c r="A452" s="5" t="str">
        <v>BV</v>
      </c>
      <c r="B452" s="5" t="str">
        <f ca="1"/>
        <v>BV45622</v>
      </c>
      <c r="C452" s="8" t="str">
        <v>Pedido 442</v>
      </c>
      <c r="D452" s="9">
        <v>45622</v>
      </c>
      <c r="E452" s="9">
        <v>45622</v>
      </c>
      <c r="F452" s="8" t="str">
        <v>PedidoF428</v>
      </c>
      <c r="G452" s="2" t="str">
        <v>CódRastreio427</v>
      </c>
      <c r="H452" s="5">
        <v>1</v>
      </c>
      <c r="I452" s="182" t="str">
        <v>CPF 427</v>
      </c>
      <c r="J452" s="2" t="str">
        <v>Nome 427</v>
      </c>
      <c r="K452" s="8" t="str">
        <v>Tel 427</v>
      </c>
      <c r="L452" s="2" t="str">
        <v>Cep 427</v>
      </c>
      <c r="M452" s="2" t="str">
        <v>Rua 427</v>
      </c>
      <c r="N452" s="2" t="str">
        <v>Comp 427</v>
      </c>
      <c r="O452" s="2" t="str">
        <v>Copo Termico</v>
      </c>
      <c r="P452" s="8" t="str">
        <v>KN-TBQL-K2MM</v>
      </c>
      <c r="Q452" s="4">
        <v>45643</v>
      </c>
      <c r="R452" s="109">
        <v>27.99</v>
      </c>
      <c r="S452" s="11">
        <f ca="1"/>
        <v>27.99</v>
      </c>
      <c r="T452" s="28">
        <f ca="1"/>
        <v>3.6387</v>
      </c>
      <c r="U452" s="11">
        <f ca="1"/>
        <v>24.35</v>
      </c>
      <c r="V452" s="11">
        <v>10.119999999999999</v>
      </c>
      <c r="W452" s="11">
        <f ca="1"/>
        <v>0.35</v>
      </c>
      <c r="X452" s="11">
        <f ca="1"/>
        <v>0.39877104377104378</v>
      </c>
      <c r="Y452" s="11">
        <v>0</v>
      </c>
      <c r="Z452" s="11">
        <f ca="1"/>
        <v>13.481228956228959</v>
      </c>
      <c r="AA452" s="11">
        <f ca="1"/>
        <v>6.7406144781144794</v>
      </c>
      <c r="AB452" s="4">
        <f ca="1"/>
        <v>45650</v>
      </c>
      <c r="AC452" s="4">
        <v>45650</v>
      </c>
      <c r="AD452" s="9">
        <v>45651</v>
      </c>
      <c r="AE452" s="9">
        <v>45659</v>
      </c>
      <c r="AF452" s="4" t="str">
        <f t="shared" ref="AF452:AF474" ca="1" si="7">_xlfn.CONCAT(PROPER(TEXT(AB452,"aaaa"))," ",PROPER(TEXT(AB452,"mm")))</f>
        <v>2024 12</v>
      </c>
      <c r="AG452" s="8" t="str" cm="1">
        <f t="array" ref="AG452">IFERROR(_xlfn.IFS('Banco de Dados'!#REF!="AG. COMPRA","Em processamento",'Banco de Dados'!#REF!="AG. RASTREIO","Em processamento",'Banco de Dados'!$AE452&lt;&gt;"-","Faturado",'Banco de Dados'!$AD452&lt;&gt;"-","Aguardando Pix",'Banco de Dados'!$AC452&lt;&gt;"-","Pendente"),"Aguardando Liberação")</f>
        <v>Aguardando Liberação</v>
      </c>
      <c r="AH452" s="5" t="str">
        <f>IF('Banco de Dados'!$F452="-",_xlfn.CONCAT(PROPER(TEXT(AK452,"aaaa"))," ",PROPER(TEXT(AK452,"mm"))),_xlfn.CONCAT(PROPER(TEXT(E452,"aaaa"))," ",PROPER(TEXT(E452,"mm"))))</f>
        <v>2024 11</v>
      </c>
      <c r="AI452" s="9" t="str">
        <f ca="1">IF('Banco de Dados'!$AK452&lt;&gt;"-","REEMBOLSO",IFERROR(_xlfn.XLOOKUP(G452,Follow[CODRASTREIO],Follow[STATUS]),"-"))</f>
        <v>ENTREGUE</v>
      </c>
      <c r="AJ452" s="9">
        <f ca="1">IF('Banco de Dados'!$AI452="ENTREGUE",_xlfn.XLOOKUP('Banco de Dados'!$G452,Follow[CODRASTREIO],Follow[DATAATUALIZAÇÃO]),"-")</f>
        <v>45631.678935185184</v>
      </c>
      <c r="AK452" s="9" t="str">
        <f ca="1"/>
        <v>-</v>
      </c>
      <c r="AL452" s="35"/>
      <c r="AM452" s="109" cm="1">
        <f t="array" aca="1" ref="AM452" ca="1">IF('Banco de Dados'!$AK452&lt;&gt;"-",_xlfn.IFS('Banco de Dados'!$A452="bv",IF('Banco de Dados'!$E452&lt;45641,ROUND(SUM('Banco de Dados'!$R452*_xlfn.XLOOKUP('Banco de Dados'!$P452,Sku!B:B,Sku!#REF!)*20%),2),ROUND(SUM('Banco de Dados'!$R452*_xlfn.XLOOKUP('Banco de Dados'!$P452,Sku!B:B,Sku!H:H)*20%),2)),'Banco de Dados'!$A452="GO",ROUND(_xlfn.XLOOKUP('Banco de Dados'!$P452,Sku!C:C,Sku!H:H),2),'Banco de Dados'!$A452="MEI",ROUND(_xlfn.XLOOKUP('Banco de Dados'!$P452,Sku!D:D,Sku!H:H),2)),0)</f>
        <v>0</v>
      </c>
      <c r="AN452" s="109">
        <f ca="1">IF('Banco de Dados'!$AK452&lt;&gt;"-",IF('Banco de Dados'!$F452&lt;&gt;"-",_xlfn.XLOOKUP(IFERROR(IFERROR(IFERROR(VALUE(SUBSTITUTE(MID(_xlfn.TEXTAFTER('Banco de Dados'!$F452,"Data do Pedido:
",1),1,10),"-","/")),VALUE(SUBSTITUTE(MID(_xlfn.TEXTAFTER('Banco de Dados'!$F452,"Order date:
",1),1,10),"-","/"))),VALUE(SUBSTITUTE(MID(_xlfn.TEXTAFTER('Banco de Dados'!$F452,"Fecha de pedido:
",1),1,10),"-","/"))),"-"),SMS!A:A,SMS!K:K),0),0)</f>
        <v>0</v>
      </c>
      <c r="AO452" s="109">
        <f ca="1">IF('Banco de Dados'!$AK452&lt;&gt;"-",IF('Banco de Dados'!$F452&lt;&gt;"-",IFERROR(_xlfn.XLOOKUP(_xlfn.CONCAT('Banco de Dados'!$A452,IFERROR(IFERROR(VALUE(SUBSTITUTE(MID(_xlfn.TEXTAFTER('Banco de Dados'!$F452,"Data do Pedido:
",1),1,10),"-","/")),VALUE(SUBSTITUTE(MID(_xlfn.TEXTAFTER('Banco de Dados'!$F452,"Order date:
",1),1,10),"-","/"))),0)),ProxyDD[Chave],ProxyDD[Valor por pedido]),PROXY!$P$2),0),0)</f>
        <v>0</v>
      </c>
      <c r="AP452" s="28">
        <f ca="1">IF('Banco de Dados'!$AK452&lt;&gt;"-",IF('Banco de Dados'!$AL452="NÃO",IFERROR(VALUE(SUBSTITUTE(_xlfn.TEXTAFTER('Banco de Dados'!$F452,"BRL ",1),".",",")),0),0),0)</f>
        <v>0</v>
      </c>
      <c r="AQ452" s="28">
        <f ca="1">SUM('Banco de Dados'!$AM452:$AP452)</f>
        <v>0</v>
      </c>
      <c r="AR452" s="8"/>
      <c r="AS452" s="8"/>
      <c r="AY452" s="8"/>
    </row>
    <row r="453" spans="1:51">
      <c r="A453" s="5" t="str">
        <v>BV</v>
      </c>
      <c r="B453" s="5" t="str">
        <f ca="1"/>
        <v>BV45622</v>
      </c>
      <c r="C453" s="8" t="str">
        <v>Pedido 443</v>
      </c>
      <c r="D453" s="9">
        <v>45622</v>
      </c>
      <c r="E453" s="9">
        <v>45622</v>
      </c>
      <c r="F453" s="8" t="str">
        <v>PedidoF429</v>
      </c>
      <c r="G453" s="2" t="str">
        <v>CódRastreio428</v>
      </c>
      <c r="H453" s="5">
        <v>1</v>
      </c>
      <c r="I453" s="182" t="str">
        <v>CPF 428</v>
      </c>
      <c r="J453" s="2" t="str">
        <v>Nome 428</v>
      </c>
      <c r="K453" s="8" t="str">
        <v>Tel 428</v>
      </c>
      <c r="L453" s="2" t="str">
        <v>Cep 428</v>
      </c>
      <c r="M453" s="2" t="str">
        <v>Rua 428</v>
      </c>
      <c r="N453" s="2" t="str">
        <v>Comp 428</v>
      </c>
      <c r="O453" s="2" t="str">
        <v>Ventilador Azul</v>
      </c>
      <c r="P453" s="8" t="str">
        <v>U8-2VWS-OB6M</v>
      </c>
      <c r="Q453" s="4">
        <v>45643</v>
      </c>
      <c r="R453" s="109">
        <v>65.989999999999995</v>
      </c>
      <c r="S453" s="11">
        <f ca="1"/>
        <v>65.989999999999995</v>
      </c>
      <c r="T453" s="28">
        <f ca="1"/>
        <v>8.5786999999999995</v>
      </c>
      <c r="U453" s="11">
        <f ca="1"/>
        <v>57.41</v>
      </c>
      <c r="V453" s="11">
        <v>10.210000000000001</v>
      </c>
      <c r="W453" s="11">
        <f ca="1"/>
        <v>0.35</v>
      </c>
      <c r="X453" s="11">
        <f ca="1"/>
        <v>0.39877104377104378</v>
      </c>
      <c r="Y453" s="11">
        <v>0</v>
      </c>
      <c r="Z453" s="11">
        <f ca="1"/>
        <v>46.451228956228952</v>
      </c>
      <c r="AA453" s="11">
        <f ca="1"/>
        <v>23.225614478114476</v>
      </c>
      <c r="AB453" s="4">
        <f ca="1"/>
        <v>45650</v>
      </c>
      <c r="AC453" s="4">
        <v>45650</v>
      </c>
      <c r="AD453" s="9">
        <v>45651</v>
      </c>
      <c r="AE453" s="9">
        <v>45659</v>
      </c>
      <c r="AF453" s="4" t="str">
        <f t="shared" ca="1" si="7"/>
        <v>2024 12</v>
      </c>
      <c r="AG453" s="8" t="str" cm="1">
        <f t="array" ref="AG453">IFERROR(_xlfn.IFS('Banco de Dados'!#REF!="AG. COMPRA","Em processamento",'Banco de Dados'!#REF!="AG. RASTREIO","Em processamento",'Banco de Dados'!$AE453&lt;&gt;"-","Faturado",'Banco de Dados'!$AD453&lt;&gt;"-","Aguardando Pix",'Banco de Dados'!$AC453&lt;&gt;"-","Pendente"),"Aguardando Liberação")</f>
        <v>Aguardando Liberação</v>
      </c>
      <c r="AH453" s="5" t="str">
        <f>IF('Banco de Dados'!$F453="-",_xlfn.CONCAT(PROPER(TEXT(AK453,"aaaa"))," ",PROPER(TEXT(AK453,"mm"))),_xlfn.CONCAT(PROPER(TEXT(E453,"aaaa"))," ",PROPER(TEXT(E453,"mm"))))</f>
        <v>2024 11</v>
      </c>
      <c r="AI453" s="9" t="str">
        <f ca="1">IF('Banco de Dados'!$AK453&lt;&gt;"-","REEMBOLSO",IFERROR(_xlfn.XLOOKUP(G453,Follow[CODRASTREIO],Follow[STATUS]),"-"))</f>
        <v>ENTREGUE</v>
      </c>
      <c r="AJ453" s="9">
        <f ca="1">IF('Banco de Dados'!$AI453="ENTREGUE",_xlfn.XLOOKUP('Banco de Dados'!$G453,Follow[CODRASTREIO],Follow[DATAATUALIZAÇÃO]),"-")</f>
        <v>45631.741979166669</v>
      </c>
      <c r="AK453" s="9" t="str">
        <f ca="1"/>
        <v>-</v>
      </c>
      <c r="AL453" s="35"/>
      <c r="AM453" s="109" cm="1">
        <f t="array" aca="1" ref="AM453" ca="1">IF('Banco de Dados'!$AK453&lt;&gt;"-",_xlfn.IFS('Banco de Dados'!$A453="bv",IF('Banco de Dados'!$E453&lt;45641,ROUND(SUM('Banco de Dados'!$R453*_xlfn.XLOOKUP('Banco de Dados'!$P453,Sku!B:B,Sku!#REF!)*20%),2),ROUND(SUM('Banco de Dados'!$R453*_xlfn.XLOOKUP('Banco de Dados'!$P453,Sku!B:B,Sku!H:H)*20%),2)),'Banco de Dados'!$A453="GO",ROUND(_xlfn.XLOOKUP('Banco de Dados'!$P453,Sku!C:C,Sku!H:H),2),'Banco de Dados'!$A453="MEI",ROUND(_xlfn.XLOOKUP('Banco de Dados'!$P453,Sku!D:D,Sku!H:H),2)),0)</f>
        <v>0</v>
      </c>
      <c r="AN453" s="109">
        <f ca="1">IF('Banco de Dados'!$AK453&lt;&gt;"-",IF('Banco de Dados'!$F453&lt;&gt;"-",_xlfn.XLOOKUP(IFERROR(IFERROR(IFERROR(VALUE(SUBSTITUTE(MID(_xlfn.TEXTAFTER('Banco de Dados'!$F453,"Data do Pedido:
",1),1,10),"-","/")),VALUE(SUBSTITUTE(MID(_xlfn.TEXTAFTER('Banco de Dados'!$F453,"Order date:
",1),1,10),"-","/"))),VALUE(SUBSTITUTE(MID(_xlfn.TEXTAFTER('Banco de Dados'!$F453,"Fecha de pedido:
",1),1,10),"-","/"))),"-"),SMS!A:A,SMS!K:K),0),0)</f>
        <v>0</v>
      </c>
      <c r="AO453" s="109">
        <f ca="1">IF('Banco de Dados'!$AK453&lt;&gt;"-",IF('Banco de Dados'!$F453&lt;&gt;"-",IFERROR(_xlfn.XLOOKUP(_xlfn.CONCAT('Banco de Dados'!$A453,IFERROR(IFERROR(VALUE(SUBSTITUTE(MID(_xlfn.TEXTAFTER('Banco de Dados'!$F453,"Data do Pedido:
",1),1,10),"-","/")),VALUE(SUBSTITUTE(MID(_xlfn.TEXTAFTER('Banco de Dados'!$F453,"Order date:
",1),1,10),"-","/"))),0)),ProxyDD[Chave],ProxyDD[Valor por pedido]),PROXY!$P$2),0),0)</f>
        <v>0</v>
      </c>
      <c r="AP453" s="28">
        <f ca="1">IF('Banco de Dados'!$AK453&lt;&gt;"-",IF('Banco de Dados'!$AL453="NÃO",IFERROR(VALUE(SUBSTITUTE(_xlfn.TEXTAFTER('Banco de Dados'!$F453,"BRL ",1),".",",")),0),0),0)</f>
        <v>0</v>
      </c>
      <c r="AQ453" s="28">
        <f ca="1">SUM('Banco de Dados'!$AM453:$AP453)</f>
        <v>0</v>
      </c>
      <c r="AR453" s="8"/>
      <c r="AS453" s="8"/>
      <c r="AY453" s="8"/>
    </row>
    <row r="454" spans="1:51">
      <c r="A454" s="5" t="str">
        <v>BV</v>
      </c>
      <c r="B454" s="5" t="str">
        <f ca="1"/>
        <v>BV45622</v>
      </c>
      <c r="C454" s="8" t="str">
        <v>Pedido 443</v>
      </c>
      <c r="D454" s="9">
        <v>45622</v>
      </c>
      <c r="E454" s="9">
        <v>45622</v>
      </c>
      <c r="F454" s="8" t="str">
        <v>PedidoF430</v>
      </c>
      <c r="G454" s="2" t="str">
        <v>CódRastreio429</v>
      </c>
      <c r="H454" s="5">
        <v>1</v>
      </c>
      <c r="I454" s="182" t="str">
        <v>CPF 428</v>
      </c>
      <c r="J454" s="2" t="str">
        <v>Nome 428</v>
      </c>
      <c r="K454" s="8" t="str">
        <v>Tel 428</v>
      </c>
      <c r="L454" s="2" t="str">
        <v>Cep 428</v>
      </c>
      <c r="M454" s="2" t="str">
        <v>Rua 428</v>
      </c>
      <c r="N454" s="2" t="str">
        <v>Comp 428</v>
      </c>
      <c r="O454" s="2" t="str">
        <v>Ventilador Preto</v>
      </c>
      <c r="P454" s="8" t="str">
        <v>MU-J80P-95WF</v>
      </c>
      <c r="Q454" s="4">
        <v>45643</v>
      </c>
      <c r="R454" s="109">
        <v>65.989999999999995</v>
      </c>
      <c r="S454" s="11">
        <f ca="1"/>
        <v>65.989999999999995</v>
      </c>
      <c r="T454" s="28">
        <f ca="1"/>
        <v>8.5786999999999995</v>
      </c>
      <c r="U454" s="11">
        <f ca="1"/>
        <v>57.41</v>
      </c>
      <c r="V454" s="11">
        <v>10.210000000000001</v>
      </c>
      <c r="W454" s="11">
        <f ca="1"/>
        <v>0.35</v>
      </c>
      <c r="X454" s="11">
        <f ca="1"/>
        <v>0.39877104377104378</v>
      </c>
      <c r="Y454" s="11">
        <v>0</v>
      </c>
      <c r="Z454" s="11">
        <f ca="1"/>
        <v>46.451228956228952</v>
      </c>
      <c r="AA454" s="11">
        <f ca="1"/>
        <v>23.225614478114476</v>
      </c>
      <c r="AB454" s="4">
        <f ca="1"/>
        <v>45650</v>
      </c>
      <c r="AC454" s="4">
        <v>45650</v>
      </c>
      <c r="AD454" s="9">
        <v>45651</v>
      </c>
      <c r="AE454" s="9">
        <v>45659</v>
      </c>
      <c r="AF454" s="4" t="str">
        <f t="shared" ca="1" si="7"/>
        <v>2024 12</v>
      </c>
      <c r="AG454" s="8" t="str" cm="1">
        <f t="array" ref="AG454">IFERROR(_xlfn.IFS('Banco de Dados'!#REF!="AG. COMPRA","Em processamento",'Banco de Dados'!#REF!="AG. RASTREIO","Em processamento",'Banco de Dados'!$AE454&lt;&gt;"-","Faturado",'Banco de Dados'!$AD454&lt;&gt;"-","Aguardando Pix",'Banco de Dados'!$AC454&lt;&gt;"-","Pendente"),"Aguardando Liberação")</f>
        <v>Aguardando Liberação</v>
      </c>
      <c r="AH454" s="5" t="str">
        <f>IF('Banco de Dados'!$F454="-",_xlfn.CONCAT(PROPER(TEXT(AK454,"aaaa"))," ",PROPER(TEXT(AK454,"mm"))),_xlfn.CONCAT(PROPER(TEXT(E454,"aaaa"))," ",PROPER(TEXT(E454,"mm"))))</f>
        <v>2024 11</v>
      </c>
      <c r="AI454" s="9" t="str">
        <f ca="1">IF('Banco de Dados'!$AK454&lt;&gt;"-","REEMBOLSO",IFERROR(_xlfn.XLOOKUP(G454,Follow[CODRASTREIO],Follow[STATUS]),"-"))</f>
        <v>-</v>
      </c>
      <c r="AJ454" s="9" t="str">
        <f ca="1">IF('Banco de Dados'!$AI454="ENTREGUE",_xlfn.XLOOKUP('Banco de Dados'!$G454,Follow[CODRASTREIO],Follow[DATAATUALIZAÇÃO]),"-")</f>
        <v>-</v>
      </c>
      <c r="AK454" s="9" t="str">
        <f ca="1"/>
        <v>-</v>
      </c>
      <c r="AL454" s="35"/>
      <c r="AM454" s="109" cm="1">
        <f t="array" aca="1" ref="AM454" ca="1">IF('Banco de Dados'!$AK454&lt;&gt;"-",_xlfn.IFS('Banco de Dados'!$A454="bv",IF('Banco de Dados'!$E454&lt;45641,ROUND(SUM('Banco de Dados'!$R454*_xlfn.XLOOKUP('Banco de Dados'!$P454,Sku!B:B,Sku!#REF!)*20%),2),ROUND(SUM('Banco de Dados'!$R454*_xlfn.XLOOKUP('Banco de Dados'!$P454,Sku!B:B,Sku!H:H)*20%),2)),'Banco de Dados'!$A454="GO",ROUND(_xlfn.XLOOKUP('Banco de Dados'!$P454,Sku!C:C,Sku!H:H),2),'Banco de Dados'!$A454="MEI",ROUND(_xlfn.XLOOKUP('Banco de Dados'!$P454,Sku!D:D,Sku!H:H),2)),0)</f>
        <v>0</v>
      </c>
      <c r="AN454" s="109">
        <f ca="1">IF('Banco de Dados'!$AK454&lt;&gt;"-",IF('Banco de Dados'!$F454&lt;&gt;"-",_xlfn.XLOOKUP(IFERROR(IFERROR(IFERROR(VALUE(SUBSTITUTE(MID(_xlfn.TEXTAFTER('Banco de Dados'!$F454,"Data do Pedido:
",1),1,10),"-","/")),VALUE(SUBSTITUTE(MID(_xlfn.TEXTAFTER('Banco de Dados'!$F454,"Order date:
",1),1,10),"-","/"))),VALUE(SUBSTITUTE(MID(_xlfn.TEXTAFTER('Banco de Dados'!$F454,"Fecha de pedido:
",1),1,10),"-","/"))),"-"),SMS!A:A,SMS!K:K),0),0)</f>
        <v>0</v>
      </c>
      <c r="AO454" s="109">
        <f ca="1">IF('Banco de Dados'!$AK454&lt;&gt;"-",IF('Banco de Dados'!$F454&lt;&gt;"-",IFERROR(_xlfn.XLOOKUP(_xlfn.CONCAT('Banco de Dados'!$A454,IFERROR(IFERROR(VALUE(SUBSTITUTE(MID(_xlfn.TEXTAFTER('Banco de Dados'!$F454,"Data do Pedido:
",1),1,10),"-","/")),VALUE(SUBSTITUTE(MID(_xlfn.TEXTAFTER('Banco de Dados'!$F454,"Order date:
",1),1,10),"-","/"))),0)),ProxyDD[Chave],ProxyDD[Valor por pedido]),PROXY!$P$2),0),0)</f>
        <v>0</v>
      </c>
      <c r="AP454" s="28">
        <f ca="1">IF('Banco de Dados'!$AK454&lt;&gt;"-",IF('Banco de Dados'!$AL454="NÃO",IFERROR(VALUE(SUBSTITUTE(_xlfn.TEXTAFTER('Banco de Dados'!$F454,"BRL ",1),".",",")),0),0),0)</f>
        <v>0</v>
      </c>
      <c r="AQ454" s="28">
        <f ca="1">SUM('Banco de Dados'!$AM454:$AP454)</f>
        <v>0</v>
      </c>
      <c r="AR454" s="8"/>
      <c r="AS454" s="8"/>
      <c r="AY454" s="8"/>
    </row>
    <row r="455" spans="1:51">
      <c r="A455" s="5" t="str">
        <v>BV</v>
      </c>
      <c r="B455" s="5" t="str">
        <f ca="1"/>
        <v>BV45622</v>
      </c>
      <c r="C455" s="8" t="str">
        <v>Pedido 444</v>
      </c>
      <c r="D455" s="9">
        <v>45622</v>
      </c>
      <c r="E455" s="9">
        <v>45622</v>
      </c>
      <c r="F455" s="8" t="str">
        <v>PedidoF431</v>
      </c>
      <c r="G455" s="2" t="str">
        <v>CódRastreio430</v>
      </c>
      <c r="H455" s="5">
        <v>1</v>
      </c>
      <c r="I455" s="182" t="str">
        <v>CPF 429</v>
      </c>
      <c r="J455" s="2" t="str">
        <v>Nome 429</v>
      </c>
      <c r="K455" s="8" t="str">
        <v>Tel 429</v>
      </c>
      <c r="L455" s="2" t="str">
        <v>Cep 429</v>
      </c>
      <c r="M455" s="2" t="str">
        <v>Rua 429</v>
      </c>
      <c r="N455" s="2" t="str">
        <v>Comp 429</v>
      </c>
      <c r="O455" s="2" t="str">
        <v>Ventilador Rosa</v>
      </c>
      <c r="P455" s="8" t="str">
        <v>IF-G2ZQ-79FO</v>
      </c>
      <c r="Q455" s="4">
        <v>45660</v>
      </c>
      <c r="R455" s="109">
        <v>65.989999999999995</v>
      </c>
      <c r="S455" s="11">
        <f ca="1"/>
        <v>65.989999999999995</v>
      </c>
      <c r="T455" s="28">
        <f ca="1"/>
        <v>8.5786999999999995</v>
      </c>
      <c r="U455" s="11">
        <f ca="1"/>
        <v>57.41</v>
      </c>
      <c r="V455" s="11">
        <v>11.19</v>
      </c>
      <c r="W455" s="11">
        <f ca="1"/>
        <v>0.35</v>
      </c>
      <c r="X455" s="11">
        <f ca="1"/>
        <v>0.39877104377104378</v>
      </c>
      <c r="Y455" s="11">
        <v>0</v>
      </c>
      <c r="Z455" s="11">
        <f ca="1"/>
        <v>45.471228956228956</v>
      </c>
      <c r="AA455" s="11">
        <f ca="1"/>
        <v>22.735614478114478</v>
      </c>
      <c r="AB455" s="4">
        <f ca="1"/>
        <v>45667</v>
      </c>
      <c r="AC455" s="4">
        <v>45667</v>
      </c>
      <c r="AD455" s="9">
        <v>45673</v>
      </c>
      <c r="AE455" s="9">
        <v>45673</v>
      </c>
      <c r="AF455" s="4" t="str">
        <f t="shared" ca="1" si="7"/>
        <v>2025 01</v>
      </c>
      <c r="AG455" s="8" t="str" cm="1">
        <f t="array" ref="AG455">IFERROR(_xlfn.IFS('Banco de Dados'!#REF!="AG. COMPRA","Em processamento",'Banco de Dados'!#REF!="AG. RASTREIO","Em processamento",'Banco de Dados'!$AE455&lt;&gt;"-","Faturado",'Banco de Dados'!$AD455&lt;&gt;"-","Aguardando Pix",'Banco de Dados'!$AC455&lt;&gt;"-","Pendente"),"Aguardando Liberação")</f>
        <v>Aguardando Liberação</v>
      </c>
      <c r="AH455" s="5" t="str">
        <f>IF('Banco de Dados'!$F455="-",_xlfn.CONCAT(PROPER(TEXT(AK455,"aaaa"))," ",PROPER(TEXT(AK455,"mm"))),_xlfn.CONCAT(PROPER(TEXT(E455,"aaaa"))," ",PROPER(TEXT(E455,"mm"))))</f>
        <v>2024 11</v>
      </c>
      <c r="AI455" s="9" t="str">
        <f ca="1">IF('Banco de Dados'!$AK455&lt;&gt;"-","REEMBOLSO",IFERROR(_xlfn.XLOOKUP(G455,Follow[CODRASTREIO],Follow[STATUS]),"-"))</f>
        <v>ENTREGUE</v>
      </c>
      <c r="AJ455" s="9">
        <f ca="1">IF('Banco de Dados'!$AI455="ENTREGUE",_xlfn.XLOOKUP('Banco de Dados'!$G455,Follow[CODRASTREIO],Follow[DATAATUALIZAÇÃO]),"-")</f>
        <v>45653</v>
      </c>
      <c r="AK455" s="9" t="str">
        <f ca="1"/>
        <v>-</v>
      </c>
      <c r="AL455" s="35"/>
      <c r="AM455" s="109" cm="1">
        <f t="array" aca="1" ref="AM455" ca="1">IF('Banco de Dados'!$AK455&lt;&gt;"-",_xlfn.IFS('Banco de Dados'!$A455="bv",IF('Banco de Dados'!$E455&lt;45641,ROUND(SUM('Banco de Dados'!$R455*_xlfn.XLOOKUP('Banco de Dados'!$P455,Sku!B:B,Sku!#REF!)*20%),2),ROUND(SUM('Banco de Dados'!$R455*_xlfn.XLOOKUP('Banco de Dados'!$P455,Sku!B:B,Sku!H:H)*20%),2)),'Banco de Dados'!$A455="GO",ROUND(_xlfn.XLOOKUP('Banco de Dados'!$P455,Sku!C:C,Sku!H:H),2),'Banco de Dados'!$A455="MEI",ROUND(_xlfn.XLOOKUP('Banco de Dados'!$P455,Sku!D:D,Sku!H:H),2)),0)</f>
        <v>0</v>
      </c>
      <c r="AN455" s="109">
        <f ca="1">IF('Banco de Dados'!$AK455&lt;&gt;"-",IF('Banco de Dados'!$F455&lt;&gt;"-",_xlfn.XLOOKUP(IFERROR(IFERROR(IFERROR(VALUE(SUBSTITUTE(MID(_xlfn.TEXTAFTER('Banco de Dados'!$F455,"Data do Pedido:
",1),1,10),"-","/")),VALUE(SUBSTITUTE(MID(_xlfn.TEXTAFTER('Banco de Dados'!$F455,"Order date:
",1),1,10),"-","/"))),VALUE(SUBSTITUTE(MID(_xlfn.TEXTAFTER('Banco de Dados'!$F455,"Fecha de pedido:
",1),1,10),"-","/"))),"-"),SMS!A:A,SMS!K:K),0),0)</f>
        <v>0</v>
      </c>
      <c r="AO455" s="109">
        <f ca="1">IF('Banco de Dados'!$AK455&lt;&gt;"-",IF('Banco de Dados'!$F455&lt;&gt;"-",IFERROR(_xlfn.XLOOKUP(_xlfn.CONCAT('Banco de Dados'!$A455,IFERROR(IFERROR(VALUE(SUBSTITUTE(MID(_xlfn.TEXTAFTER('Banco de Dados'!$F455,"Data do Pedido:
",1),1,10),"-","/")),VALUE(SUBSTITUTE(MID(_xlfn.TEXTAFTER('Banco de Dados'!$F455,"Order date:
",1),1,10),"-","/"))),0)),ProxyDD[Chave],ProxyDD[Valor por pedido]),PROXY!$P$2),0),0)</f>
        <v>0</v>
      </c>
      <c r="AP455" s="28">
        <f ca="1">IF('Banco de Dados'!$AK455&lt;&gt;"-",IF('Banco de Dados'!$AL455="NÃO",IFERROR(VALUE(SUBSTITUTE(_xlfn.TEXTAFTER('Banco de Dados'!$F455,"BRL ",1),".",",")),0),0),0)</f>
        <v>0</v>
      </c>
      <c r="AQ455" s="28">
        <f ca="1">SUM('Banco de Dados'!$AM455:$AP455)</f>
        <v>0</v>
      </c>
      <c r="AR455" s="8"/>
      <c r="AS455" s="8"/>
      <c r="AY455" s="8"/>
    </row>
    <row r="456" spans="1:51">
      <c r="A456" s="5" t="str">
        <v>BV</v>
      </c>
      <c r="B456" s="5" t="str">
        <f ca="1"/>
        <v>BV45622</v>
      </c>
      <c r="C456" s="8" t="str">
        <v>Pedido 445</v>
      </c>
      <c r="D456" s="9">
        <v>45622</v>
      </c>
      <c r="E456" s="9">
        <v>45622</v>
      </c>
      <c r="F456" s="8" t="str">
        <v>PedidoF432</v>
      </c>
      <c r="G456" s="2" t="str">
        <v>CódRastreio431</v>
      </c>
      <c r="H456" s="5">
        <v>1</v>
      </c>
      <c r="I456" s="182" t="str">
        <v>CPF 430</v>
      </c>
      <c r="J456" s="2" t="str">
        <v>Nome 430</v>
      </c>
      <c r="K456" s="8" t="str">
        <v>Tel 430</v>
      </c>
      <c r="L456" s="2" t="str">
        <v>Cep 430</v>
      </c>
      <c r="M456" s="2" t="str">
        <v>Rua 430</v>
      </c>
      <c r="N456" s="2" t="str">
        <v>Comp 430</v>
      </c>
      <c r="O456" s="2" t="str">
        <v>Copo Termico</v>
      </c>
      <c r="P456" s="8" t="str">
        <v>KN-TBQL-K2MM</v>
      </c>
      <c r="Q456" s="4">
        <v>45637</v>
      </c>
      <c r="R456" s="109">
        <v>27.99</v>
      </c>
      <c r="S456" s="11">
        <f ca="1"/>
        <v>27.99</v>
      </c>
      <c r="T456" s="28">
        <f ca="1"/>
        <v>3.6387</v>
      </c>
      <c r="U456" s="11">
        <f ca="1"/>
        <v>24.35</v>
      </c>
      <c r="V456" s="11">
        <v>10.119999999999999</v>
      </c>
      <c r="W456" s="11">
        <f ca="1"/>
        <v>0.35</v>
      </c>
      <c r="X456" s="11">
        <f ca="1"/>
        <v>0.39877104377104378</v>
      </c>
      <c r="Y456" s="11">
        <v>0</v>
      </c>
      <c r="Z456" s="11">
        <f ca="1"/>
        <v>13.481228956228959</v>
      </c>
      <c r="AA456" s="11">
        <f ca="1"/>
        <v>6.7406144781144794</v>
      </c>
      <c r="AB456" s="4">
        <f ca="1"/>
        <v>45644</v>
      </c>
      <c r="AC456" s="4">
        <v>45644</v>
      </c>
      <c r="AD456" s="9">
        <v>45651</v>
      </c>
      <c r="AE456" s="9">
        <v>45659</v>
      </c>
      <c r="AF456" s="4" t="str">
        <f t="shared" ca="1" si="7"/>
        <v>2024 12</v>
      </c>
      <c r="AG456" s="8" t="str" cm="1">
        <f t="array" ref="AG456">IFERROR(_xlfn.IFS('Banco de Dados'!#REF!="AG. COMPRA","Em processamento",'Banco de Dados'!#REF!="AG. RASTREIO","Em processamento",'Banco de Dados'!$AE456&lt;&gt;"-","Faturado",'Banco de Dados'!$AD456&lt;&gt;"-","Aguardando Pix",'Banco de Dados'!$AC456&lt;&gt;"-","Pendente"),"Aguardando Liberação")</f>
        <v>Aguardando Liberação</v>
      </c>
      <c r="AH456" s="5" t="str">
        <f>IF('Banco de Dados'!$F456="-",_xlfn.CONCAT(PROPER(TEXT(AK456,"aaaa"))," ",PROPER(TEXT(AK456,"mm"))),_xlfn.CONCAT(PROPER(TEXT(E456,"aaaa"))," ",PROPER(TEXT(E456,"mm"))))</f>
        <v>2024 11</v>
      </c>
      <c r="AI456" s="9" t="str">
        <f ca="1">IF('Banco de Dados'!$AK456&lt;&gt;"-","REEMBOLSO",IFERROR(_xlfn.XLOOKUP(G456,Follow[CODRASTREIO],Follow[STATUS]),"-"))</f>
        <v>ENTREGUE</v>
      </c>
      <c r="AJ456" s="9">
        <f ca="1">IF('Banco de Dados'!$AI456="ENTREGUE",_xlfn.XLOOKUP('Banco de Dados'!$G456,Follow[CODRASTREIO],Follow[DATAATUALIZAÇÃO]),"-")</f>
        <v>45630</v>
      </c>
      <c r="AK456" s="9" t="str">
        <f ca="1"/>
        <v>-</v>
      </c>
      <c r="AL456" s="35"/>
      <c r="AM456" s="109" cm="1">
        <f t="array" aca="1" ref="AM456" ca="1">IF('Banco de Dados'!$AK456&lt;&gt;"-",_xlfn.IFS('Banco de Dados'!$A456="bv",IF('Banco de Dados'!$E456&lt;45641,ROUND(SUM('Banco de Dados'!$R456*_xlfn.XLOOKUP('Banco de Dados'!$P456,Sku!B:B,Sku!#REF!)*20%),2),ROUND(SUM('Banco de Dados'!$R456*_xlfn.XLOOKUP('Banco de Dados'!$P456,Sku!B:B,Sku!H:H)*20%),2)),'Banco de Dados'!$A456="GO",ROUND(_xlfn.XLOOKUP('Banco de Dados'!$P456,Sku!C:C,Sku!H:H),2),'Banco de Dados'!$A456="MEI",ROUND(_xlfn.XLOOKUP('Banco de Dados'!$P456,Sku!D:D,Sku!H:H),2)),0)</f>
        <v>0</v>
      </c>
      <c r="AN456" s="109">
        <f ca="1">IF('Banco de Dados'!$AK456&lt;&gt;"-",IF('Banco de Dados'!$F456&lt;&gt;"-",_xlfn.XLOOKUP(IFERROR(IFERROR(IFERROR(VALUE(SUBSTITUTE(MID(_xlfn.TEXTAFTER('Banco de Dados'!$F456,"Data do Pedido:
",1),1,10),"-","/")),VALUE(SUBSTITUTE(MID(_xlfn.TEXTAFTER('Banco de Dados'!$F456,"Order date:
",1),1,10),"-","/"))),VALUE(SUBSTITUTE(MID(_xlfn.TEXTAFTER('Banco de Dados'!$F456,"Fecha de pedido:
",1),1,10),"-","/"))),"-"),SMS!A:A,SMS!K:K),0),0)</f>
        <v>0</v>
      </c>
      <c r="AO456" s="109">
        <f ca="1">IF('Banco de Dados'!$AK456&lt;&gt;"-",IF('Banco de Dados'!$F456&lt;&gt;"-",IFERROR(_xlfn.XLOOKUP(_xlfn.CONCAT('Banco de Dados'!$A456,IFERROR(IFERROR(VALUE(SUBSTITUTE(MID(_xlfn.TEXTAFTER('Banco de Dados'!$F456,"Data do Pedido:
",1),1,10),"-","/")),VALUE(SUBSTITUTE(MID(_xlfn.TEXTAFTER('Banco de Dados'!$F456,"Order date:
",1),1,10),"-","/"))),0)),ProxyDD[Chave],ProxyDD[Valor por pedido]),PROXY!$P$2),0),0)</f>
        <v>0</v>
      </c>
      <c r="AP456" s="28">
        <f ca="1">IF('Banco de Dados'!$AK456&lt;&gt;"-",IF('Banco de Dados'!$AL456="NÃO",IFERROR(VALUE(SUBSTITUTE(_xlfn.TEXTAFTER('Banco de Dados'!$F456,"BRL ",1),".",",")),0),0),0)</f>
        <v>0</v>
      </c>
      <c r="AQ456" s="28">
        <f ca="1">SUM('Banco de Dados'!$AM456:$AP456)</f>
        <v>0</v>
      </c>
      <c r="AR456" s="8"/>
      <c r="AS456" s="8"/>
      <c r="AY456" s="8"/>
    </row>
    <row r="457" spans="1:51">
      <c r="A457" s="5" t="str">
        <v>BV</v>
      </c>
      <c r="B457" s="5" t="str">
        <f ca="1"/>
        <v>BV45622</v>
      </c>
      <c r="C457" s="8" t="str">
        <v>Pedido 446</v>
      </c>
      <c r="D457" s="9">
        <v>45622</v>
      </c>
      <c r="E457" s="9">
        <v>45622</v>
      </c>
      <c r="F457" s="8" t="str">
        <v>PedidoF433</v>
      </c>
      <c r="G457" s="2" t="str">
        <v>CódRastreio432</v>
      </c>
      <c r="H457" s="5">
        <v>1</v>
      </c>
      <c r="I457" s="182" t="str">
        <v>CPF 431</v>
      </c>
      <c r="J457" s="2" t="str">
        <v>Nome 431</v>
      </c>
      <c r="K457" s="8" t="str">
        <v>Tel 431</v>
      </c>
      <c r="L457" s="2" t="str">
        <v>Cep 431</v>
      </c>
      <c r="M457" s="2" t="str">
        <v>Rua 431</v>
      </c>
      <c r="N457" s="2" t="str">
        <v>Comp 431</v>
      </c>
      <c r="O457" s="2" t="str">
        <v>Copo Termico</v>
      </c>
      <c r="P457" s="8" t="str">
        <v>KN-TBQL-K2MM</v>
      </c>
      <c r="Q457" s="4">
        <v>45647</v>
      </c>
      <c r="R457" s="109">
        <v>27.99</v>
      </c>
      <c r="S457" s="11">
        <f ca="1"/>
        <v>27.99</v>
      </c>
      <c r="T457" s="28">
        <f ca="1"/>
        <v>3.6387</v>
      </c>
      <c r="U457" s="11">
        <f ca="1"/>
        <v>24.35</v>
      </c>
      <c r="V457" s="11">
        <v>8.1999999999999993</v>
      </c>
      <c r="W457" s="11">
        <f ca="1"/>
        <v>0.35</v>
      </c>
      <c r="X457" s="11">
        <f ca="1"/>
        <v>0.39877104377104378</v>
      </c>
      <c r="Y457" s="11">
        <v>0</v>
      </c>
      <c r="Z457" s="11">
        <f ca="1"/>
        <v>15.401228956228959</v>
      </c>
      <c r="AA457" s="11">
        <f ca="1"/>
        <v>7.7006144781144794</v>
      </c>
      <c r="AB457" s="4">
        <f ca="1"/>
        <v>45654</v>
      </c>
      <c r="AC457" s="4">
        <v>45654</v>
      </c>
      <c r="AD457" s="9">
        <v>45656</v>
      </c>
      <c r="AE457" s="9">
        <v>45659</v>
      </c>
      <c r="AF457" s="4" t="str">
        <f t="shared" ca="1" si="7"/>
        <v>2024 12</v>
      </c>
      <c r="AG457" s="8" t="str" cm="1">
        <f t="array" ref="AG457">IFERROR(_xlfn.IFS('Banco de Dados'!#REF!="AG. COMPRA","Em processamento",'Banco de Dados'!#REF!="AG. RASTREIO","Em processamento",'Banco de Dados'!$AE457&lt;&gt;"-","Faturado",'Banco de Dados'!$AD457&lt;&gt;"-","Aguardando Pix",'Banco de Dados'!$AC457&lt;&gt;"-","Pendente"),"Aguardando Liberação")</f>
        <v>Aguardando Liberação</v>
      </c>
      <c r="AH457" s="5" t="str">
        <f>IF('Banco de Dados'!$F457="-",_xlfn.CONCAT(PROPER(TEXT(AK457,"aaaa"))," ",PROPER(TEXT(AK457,"mm"))),_xlfn.CONCAT(PROPER(TEXT(E457,"aaaa"))," ",PROPER(TEXT(E457,"mm"))))</f>
        <v>2024 11</v>
      </c>
      <c r="AI457" s="9" t="str">
        <f ca="1">IF('Banco de Dados'!$AK457&lt;&gt;"-","REEMBOLSO",IFERROR(_xlfn.XLOOKUP(G457,Follow[CODRASTREIO],Follow[STATUS]),"-"))</f>
        <v>ENTREGUE</v>
      </c>
      <c r="AJ457" s="9">
        <f ca="1">IF('Banco de Dados'!$AI457="ENTREGUE",_xlfn.XLOOKUP('Banco de Dados'!$G457,Follow[CODRASTREIO],Follow[DATAATUALIZAÇÃO]),"-")</f>
        <v>45632.455821759257</v>
      </c>
      <c r="AK457" s="9" t="str">
        <f ca="1"/>
        <v>-</v>
      </c>
      <c r="AL457" s="35"/>
      <c r="AM457" s="109" cm="1">
        <f t="array" aca="1" ref="AM457" ca="1">IF('Banco de Dados'!$AK457&lt;&gt;"-",_xlfn.IFS('Banco de Dados'!$A457="bv",IF('Banco de Dados'!$E457&lt;45641,ROUND(SUM('Banco de Dados'!$R457*_xlfn.XLOOKUP('Banco de Dados'!$P457,Sku!B:B,Sku!#REF!)*20%),2),ROUND(SUM('Banco de Dados'!$R457*_xlfn.XLOOKUP('Banco de Dados'!$P457,Sku!B:B,Sku!H:H)*20%),2)),'Banco de Dados'!$A457="GO",ROUND(_xlfn.XLOOKUP('Banco de Dados'!$P457,Sku!C:C,Sku!H:H),2),'Banco de Dados'!$A457="MEI",ROUND(_xlfn.XLOOKUP('Banco de Dados'!$P457,Sku!D:D,Sku!H:H),2)),0)</f>
        <v>0</v>
      </c>
      <c r="AN457" s="109">
        <f ca="1">IF('Banco de Dados'!$AK457&lt;&gt;"-",IF('Banco de Dados'!$F457&lt;&gt;"-",_xlfn.XLOOKUP(IFERROR(IFERROR(IFERROR(VALUE(SUBSTITUTE(MID(_xlfn.TEXTAFTER('Banco de Dados'!$F457,"Data do Pedido:
",1),1,10),"-","/")),VALUE(SUBSTITUTE(MID(_xlfn.TEXTAFTER('Banco de Dados'!$F457,"Order date:
",1),1,10),"-","/"))),VALUE(SUBSTITUTE(MID(_xlfn.TEXTAFTER('Banco de Dados'!$F457,"Fecha de pedido:
",1),1,10),"-","/"))),"-"),SMS!A:A,SMS!K:K),0),0)</f>
        <v>0</v>
      </c>
      <c r="AO457" s="185" t="s">
        <v>85</v>
      </c>
      <c r="AP457" s="28">
        <f ca="1">IF('Banco de Dados'!$AK457&lt;&gt;"-",IF('Banco de Dados'!$AL457="NÃO",IFERROR(VALUE(SUBSTITUTE(_xlfn.TEXTAFTER('Banco de Dados'!$F457,"BRL ",1),".",",")),0),0),0)</f>
        <v>0</v>
      </c>
      <c r="AQ457" s="28">
        <f ca="1">SUM('Banco de Dados'!$AM457:$AP457)</f>
        <v>0</v>
      </c>
      <c r="AR457" s="8"/>
      <c r="AS457" s="8"/>
      <c r="AY457" s="8"/>
    </row>
    <row r="458" spans="1:51">
      <c r="A458" s="5" t="str">
        <v>BV</v>
      </c>
      <c r="B458" s="5" t="str">
        <f ca="1"/>
        <v>BV45622</v>
      </c>
      <c r="C458" s="8" t="str">
        <v>Pedido 447</v>
      </c>
      <c r="D458" s="9">
        <v>45622</v>
      </c>
      <c r="E458" s="9">
        <v>45622</v>
      </c>
      <c r="F458" s="8" t="str">
        <v>PedidoF434</v>
      </c>
      <c r="G458" s="2" t="str">
        <v>CódRastreio433</v>
      </c>
      <c r="H458" s="5">
        <v>1</v>
      </c>
      <c r="I458" s="182" t="str">
        <v>CPF 432</v>
      </c>
      <c r="J458" s="8" t="str">
        <v>Nome 432</v>
      </c>
      <c r="K458" s="8" t="str">
        <v>Tel 432</v>
      </c>
      <c r="L458" s="8" t="str">
        <v>Cep 432</v>
      </c>
      <c r="M458" s="8" t="str">
        <v>Rua 432</v>
      </c>
      <c r="N458" s="8" t="str">
        <v>Comp 432</v>
      </c>
      <c r="O458" s="8" t="str">
        <v>Ventilador Rosa</v>
      </c>
      <c r="P458" s="8" t="str">
        <v>IF-G2ZQ-79FO</v>
      </c>
      <c r="Q458" s="4">
        <v>45643</v>
      </c>
      <c r="R458" s="109">
        <v>65.989999999999995</v>
      </c>
      <c r="S458" s="11">
        <f ca="1"/>
        <v>65.989999999999995</v>
      </c>
      <c r="T458" s="28">
        <f ca="1"/>
        <v>8.5786999999999995</v>
      </c>
      <c r="U458" s="11">
        <f ca="1"/>
        <v>57.41</v>
      </c>
      <c r="V458" s="11">
        <v>11.19</v>
      </c>
      <c r="W458" s="11">
        <f ca="1"/>
        <v>0.35</v>
      </c>
      <c r="X458" s="11">
        <f ca="1"/>
        <v>0.39877104377104378</v>
      </c>
      <c r="Y458" s="11">
        <v>0</v>
      </c>
      <c r="Z458" s="11">
        <f ca="1"/>
        <v>45.471228956228956</v>
      </c>
      <c r="AA458" s="11">
        <f ca="1"/>
        <v>22.735614478114478</v>
      </c>
      <c r="AB458" s="4">
        <f ca="1"/>
        <v>45650</v>
      </c>
      <c r="AC458" s="4">
        <v>45650</v>
      </c>
      <c r="AD458" s="9">
        <v>45651</v>
      </c>
      <c r="AE458" s="9">
        <v>45659</v>
      </c>
      <c r="AF458" s="4" t="str">
        <f t="shared" ca="1" si="7"/>
        <v>2024 12</v>
      </c>
      <c r="AG458" s="8" t="str" cm="1">
        <f t="array" ref="AG458">IFERROR(_xlfn.IFS('Banco de Dados'!#REF!="AG. COMPRA","Em processamento",'Banco de Dados'!#REF!="AG. RASTREIO","Em processamento",'Banco de Dados'!$AE458&lt;&gt;"-","Faturado",'Banco de Dados'!$AD458&lt;&gt;"-","Aguardando Pix",'Banco de Dados'!$AC458&lt;&gt;"-","Pendente"),"Aguardando Liberação")</f>
        <v>Aguardando Liberação</v>
      </c>
      <c r="AH458" s="5" t="str">
        <f>IF('Banco de Dados'!$F458="-",_xlfn.CONCAT(PROPER(TEXT(AK458,"aaaa"))," ",PROPER(TEXT(AK458,"mm"))),_xlfn.CONCAT(PROPER(TEXT(E458,"aaaa"))," ",PROPER(TEXT(E458,"mm"))))</f>
        <v>2024 11</v>
      </c>
      <c r="AI458" s="9" t="str">
        <f ca="1">IF('Banco de Dados'!$AK458&lt;&gt;"-","REEMBOLSO",IFERROR(_xlfn.XLOOKUP(G458,Follow[CODRASTREIO],Follow[STATUS]),"-"))</f>
        <v>ENTREGUE</v>
      </c>
      <c r="AJ458" s="9">
        <f ca="1">IF('Banco de Dados'!$AI458="ENTREGUE",_xlfn.XLOOKUP('Banco de Dados'!$G458,Follow[CODRASTREIO],Follow[DATAATUALIZAÇÃO]),"-")</f>
        <v>45636</v>
      </c>
      <c r="AK458" s="9" t="str">
        <f ca="1"/>
        <v>-</v>
      </c>
      <c r="AL458" s="35"/>
      <c r="AM458" s="109" cm="1">
        <f t="array" aca="1" ref="AM458" ca="1">IF('Banco de Dados'!$AK458&lt;&gt;"-",_xlfn.IFS('Banco de Dados'!$A458="bv",IF('Banco de Dados'!$E458&lt;45641,ROUND(SUM('Banco de Dados'!$R458*_xlfn.XLOOKUP('Banco de Dados'!$P458,Sku!B:B,Sku!#REF!)*20%),2),ROUND(SUM('Banco de Dados'!$R458*_xlfn.XLOOKUP('Banco de Dados'!$P458,Sku!B:B,Sku!H:H)*20%),2)),'Banco de Dados'!$A458="GO",ROUND(_xlfn.XLOOKUP('Banco de Dados'!$P458,Sku!C:C,Sku!H:H),2),'Banco de Dados'!$A458="MEI",ROUND(_xlfn.XLOOKUP('Banco de Dados'!$P458,Sku!D:D,Sku!H:H),2)),0)</f>
        <v>0</v>
      </c>
      <c r="AN458" s="109">
        <f ca="1">IF('Banco de Dados'!$AK458&lt;&gt;"-",IF('Banco de Dados'!$F458&lt;&gt;"-",_xlfn.XLOOKUP(IFERROR(IFERROR(IFERROR(VALUE(SUBSTITUTE(MID(_xlfn.TEXTAFTER('Banco de Dados'!$F458,"Data do Pedido:
",1),1,10),"-","/")),VALUE(SUBSTITUTE(MID(_xlfn.TEXTAFTER('Banco de Dados'!$F458,"Order date:
",1),1,10),"-","/"))),VALUE(SUBSTITUTE(MID(_xlfn.TEXTAFTER('Banco de Dados'!$F458,"Fecha de pedido:
",1),1,10),"-","/"))),"-"),SMS!A:A,SMS!K:K),0),0)</f>
        <v>0</v>
      </c>
      <c r="AO458" s="109">
        <f ca="1">IF('Banco de Dados'!$AK458&lt;&gt;"-",IF('Banco de Dados'!$F458&lt;&gt;"-",IFERROR(_xlfn.XLOOKUP(_xlfn.CONCAT('Banco de Dados'!$A458,IFERROR(IFERROR(VALUE(SUBSTITUTE(MID(_xlfn.TEXTAFTER('Banco de Dados'!$F458,"Data do Pedido:
",1),1,10),"-","/")),VALUE(SUBSTITUTE(MID(_xlfn.TEXTAFTER('Banco de Dados'!$F458,"Order date:
",1),1,10),"-","/"))),0)),ProxyDD[Chave],ProxyDD[Valor por pedido]),PROXY!$P$2),0),0)</f>
        <v>0</v>
      </c>
      <c r="AP458" s="28">
        <f ca="1">IF('Banco de Dados'!$AK458&lt;&gt;"-",IF('Banco de Dados'!$AL458="NÃO",IFERROR(VALUE(SUBSTITUTE(_xlfn.TEXTAFTER('Banco de Dados'!$F458,"BRL ",1),".",",")),0),0),0)</f>
        <v>0</v>
      </c>
      <c r="AQ458" s="28">
        <f ca="1">SUM('Banco de Dados'!$AM458:$AP458)</f>
        <v>0</v>
      </c>
      <c r="AR458" s="8"/>
      <c r="AS458" s="8"/>
      <c r="AY458" s="8"/>
    </row>
    <row r="459" spans="1:51">
      <c r="A459" s="5" t="str">
        <v>BV</v>
      </c>
      <c r="B459" s="5" t="str">
        <f ca="1"/>
        <v>BV45623</v>
      </c>
      <c r="C459" s="8" t="str">
        <v>Pedido 448</v>
      </c>
      <c r="D459" s="9">
        <v>45623</v>
      </c>
      <c r="E459" s="9">
        <v>45623</v>
      </c>
      <c r="F459" s="8" t="str">
        <v>PedidoF435</v>
      </c>
      <c r="G459" s="2" t="str">
        <v>CódRastreio434</v>
      </c>
      <c r="H459" s="5">
        <v>1</v>
      </c>
      <c r="I459" s="182" t="str">
        <v>CPF 433</v>
      </c>
      <c r="J459" s="8" t="str">
        <v>Nome 433</v>
      </c>
      <c r="K459" s="8" t="str">
        <v>Tel 433</v>
      </c>
      <c r="L459" s="8" t="str">
        <v>Cep 433</v>
      </c>
      <c r="M459" s="8" t="str">
        <v>Rua 433</v>
      </c>
      <c r="N459" s="8" t="str">
        <v>Comp 433</v>
      </c>
      <c r="O459" s="8" t="str">
        <v>Ventilador Azul</v>
      </c>
      <c r="P459" s="8" t="str">
        <v>U8-2VWS-OB6M</v>
      </c>
      <c r="Q459" s="4">
        <v>45650</v>
      </c>
      <c r="R459" s="109">
        <v>65.989999999999995</v>
      </c>
      <c r="S459" s="11">
        <f ca="1"/>
        <v>65.989999999999995</v>
      </c>
      <c r="T459" s="28">
        <f ca="1"/>
        <v>8.5786999999999995</v>
      </c>
      <c r="U459" s="11">
        <f ca="1"/>
        <v>57.41</v>
      </c>
      <c r="V459" s="11">
        <v>10.52</v>
      </c>
      <c r="W459" s="11">
        <f ca="1"/>
        <v>0.34</v>
      </c>
      <c r="X459" s="11">
        <f ca="1"/>
        <v>0.39877104377104378</v>
      </c>
      <c r="Y459" s="11">
        <v>0</v>
      </c>
      <c r="Z459" s="11">
        <f ca="1"/>
        <v>46.151228956228955</v>
      </c>
      <c r="AA459" s="11">
        <f ca="1"/>
        <v>23.075614478114478</v>
      </c>
      <c r="AB459" s="4">
        <f ca="1"/>
        <v>45657</v>
      </c>
      <c r="AC459" s="4">
        <v>45657</v>
      </c>
      <c r="AD459" s="9">
        <v>45665</v>
      </c>
      <c r="AE459" s="9">
        <v>45673</v>
      </c>
      <c r="AF459" s="4" t="str">
        <f t="shared" ca="1" si="7"/>
        <v>2024 12</v>
      </c>
      <c r="AG459" s="8" t="str" cm="1">
        <f t="array" ref="AG459">IFERROR(_xlfn.IFS('Banco de Dados'!#REF!="AG. COMPRA","Em processamento",'Banco de Dados'!#REF!="AG. RASTREIO","Em processamento",'Banco de Dados'!$AE459&lt;&gt;"-","Faturado",'Banco de Dados'!$AD459&lt;&gt;"-","Aguardando Pix",'Banco de Dados'!$AC459&lt;&gt;"-","Pendente"),"Aguardando Liberação")</f>
        <v>Aguardando Liberação</v>
      </c>
      <c r="AH459" s="5" t="str">
        <f>IF('Banco de Dados'!$F459="-",_xlfn.CONCAT(PROPER(TEXT(AK459,"aaaa"))," ",PROPER(TEXT(AK459,"mm"))),_xlfn.CONCAT(PROPER(TEXT(E459,"aaaa"))," ",PROPER(TEXT(E459,"mm"))))</f>
        <v>2024 11</v>
      </c>
      <c r="AI459" s="9" t="str">
        <f ca="1">IF('Banco de Dados'!$AK459&lt;&gt;"-","REEMBOLSO",IFERROR(_xlfn.XLOOKUP(G459,Follow[CODRASTREIO],Follow[STATUS]),"-"))</f>
        <v>ENTREGUE</v>
      </c>
      <c r="AJ459" s="9">
        <f ca="1">IF('Banco de Dados'!$AI459="ENTREGUE",_xlfn.XLOOKUP('Banco de Dados'!$G459,Follow[CODRASTREIO],Follow[DATAATUALIZAÇÃO]),"-")</f>
        <v>45639</v>
      </c>
      <c r="AK459" s="9" t="str">
        <f ca="1"/>
        <v>-</v>
      </c>
      <c r="AL459" s="35"/>
      <c r="AM459" s="109" cm="1">
        <f t="array" aca="1" ref="AM459" ca="1">IF('Banco de Dados'!$AK459&lt;&gt;"-",_xlfn.IFS('Banco de Dados'!$A459="bv",IF('Banco de Dados'!$E459&lt;45641,ROUND(SUM('Banco de Dados'!$R459*_xlfn.XLOOKUP('Banco de Dados'!$P459,Sku!B:B,Sku!#REF!)*20%),2),ROUND(SUM('Banco de Dados'!$R459*_xlfn.XLOOKUP('Banco de Dados'!$P459,Sku!B:B,Sku!H:H)*20%),2)),'Banco de Dados'!$A459="GO",ROUND(_xlfn.XLOOKUP('Banco de Dados'!$P459,Sku!C:C,Sku!H:H),2),'Banco de Dados'!$A459="MEI",ROUND(_xlfn.XLOOKUP('Banco de Dados'!$P459,Sku!D:D,Sku!H:H),2)),0)</f>
        <v>0</v>
      </c>
      <c r="AN459" s="109">
        <f ca="1">IF('Banco de Dados'!$AK459&lt;&gt;"-",IF('Banco de Dados'!$F459&lt;&gt;"-",_xlfn.XLOOKUP(IFERROR(IFERROR(IFERROR(VALUE(SUBSTITUTE(MID(_xlfn.TEXTAFTER('Banco de Dados'!$F459,"Data do Pedido:
",1),1,10),"-","/")),VALUE(SUBSTITUTE(MID(_xlfn.TEXTAFTER('Banco de Dados'!$F459,"Order date:
",1),1,10),"-","/"))),VALUE(SUBSTITUTE(MID(_xlfn.TEXTAFTER('Banco de Dados'!$F459,"Fecha de pedido:
",1),1,10),"-","/"))),"-"),SMS!A:A,SMS!K:K),0),0)</f>
        <v>0</v>
      </c>
      <c r="AO459" s="109">
        <f ca="1">IF('Banco de Dados'!$AK459&lt;&gt;"-",IF('Banco de Dados'!$F459&lt;&gt;"-",IFERROR(_xlfn.XLOOKUP(_xlfn.CONCAT('Banco de Dados'!$A459,IFERROR(IFERROR(VALUE(SUBSTITUTE(MID(_xlfn.TEXTAFTER('Banco de Dados'!$F459,"Data do Pedido:
",1),1,10),"-","/")),VALUE(SUBSTITUTE(MID(_xlfn.TEXTAFTER('Banco de Dados'!$F459,"Order date:
",1),1,10),"-","/"))),0)),ProxyDD[Chave],ProxyDD[Valor por pedido]),PROXY!$P$2),0),0)</f>
        <v>0</v>
      </c>
      <c r="AP459" s="28">
        <f ca="1">IF('Banco de Dados'!$AK459&lt;&gt;"-",IF('Banco de Dados'!$AL459="NÃO",IFERROR(VALUE(SUBSTITUTE(_xlfn.TEXTAFTER('Banco de Dados'!$F459,"BRL ",1),".",",")),0),0),0)</f>
        <v>0</v>
      </c>
      <c r="AQ459" s="28">
        <f ca="1">SUM('Banco de Dados'!$AM459:$AP459)</f>
        <v>0</v>
      </c>
      <c r="AR459" s="8"/>
      <c r="AS459" s="8"/>
      <c r="AY459" s="8"/>
    </row>
    <row r="460" spans="1:51">
      <c r="A460" s="5" t="str">
        <v>BV</v>
      </c>
      <c r="B460" s="5" t="str">
        <f ca="1"/>
        <v>BV45623</v>
      </c>
      <c r="C460" s="8" t="str">
        <v>Pedido 449</v>
      </c>
      <c r="D460" s="9">
        <v>45623</v>
      </c>
      <c r="E460" s="9">
        <v>45623</v>
      </c>
      <c r="F460" s="8" t="str">
        <v>PedidoF436</v>
      </c>
      <c r="G460" s="2" t="str">
        <v>CódRastreio435</v>
      </c>
      <c r="H460" s="5">
        <v>1</v>
      </c>
      <c r="I460" s="182" t="str">
        <v>CPF 434</v>
      </c>
      <c r="J460" s="8" t="str">
        <v>Nome 434</v>
      </c>
      <c r="K460" s="8" t="str">
        <v>Tel 434</v>
      </c>
      <c r="L460" s="8" t="str">
        <v>Cep 434</v>
      </c>
      <c r="M460" s="8" t="str">
        <v>Rua 434</v>
      </c>
      <c r="N460" s="8" t="str">
        <v>Comp 434</v>
      </c>
      <c r="O460" s="8" t="str">
        <v>Copo Termico</v>
      </c>
      <c r="P460" s="8" t="str">
        <v>KN-TBQL-K2MM</v>
      </c>
      <c r="Q460" s="4">
        <v>45638</v>
      </c>
      <c r="R460" s="109">
        <v>27.99</v>
      </c>
      <c r="S460" s="11">
        <f ca="1"/>
        <v>27.99</v>
      </c>
      <c r="T460" s="28">
        <f ca="1"/>
        <v>3.6387</v>
      </c>
      <c r="U460" s="11">
        <f ca="1"/>
        <v>24.35</v>
      </c>
      <c r="V460" s="11">
        <v>9.1999999999999993</v>
      </c>
      <c r="W460" s="11">
        <f ca="1"/>
        <v>0.34</v>
      </c>
      <c r="X460" s="11">
        <f ca="1"/>
        <v>0.39877104377104378</v>
      </c>
      <c r="Y460" s="11">
        <v>0</v>
      </c>
      <c r="Z460" s="11">
        <f ca="1"/>
        <v>14.411228956228959</v>
      </c>
      <c r="AA460" s="11">
        <f ca="1"/>
        <v>7.2056144781144793</v>
      </c>
      <c r="AB460" s="4">
        <f ca="1"/>
        <v>45645</v>
      </c>
      <c r="AC460" s="4">
        <v>45645</v>
      </c>
      <c r="AD460" s="9">
        <v>45651</v>
      </c>
      <c r="AE460" s="9">
        <v>45659</v>
      </c>
      <c r="AF460" s="4" t="str">
        <f t="shared" ca="1" si="7"/>
        <v>2024 12</v>
      </c>
      <c r="AG460" s="8" t="str" cm="1">
        <f t="array" ref="AG460">IFERROR(_xlfn.IFS('Banco de Dados'!#REF!="AG. COMPRA","Em processamento",'Banco de Dados'!#REF!="AG. RASTREIO","Em processamento",'Banco de Dados'!$AE460&lt;&gt;"-","Faturado",'Banco de Dados'!$AD460&lt;&gt;"-","Aguardando Pix",'Banco de Dados'!$AC460&lt;&gt;"-","Pendente"),"Aguardando Liberação")</f>
        <v>Aguardando Liberação</v>
      </c>
      <c r="AH460" s="5" t="str">
        <f>IF('Banco de Dados'!$F460="-",_xlfn.CONCAT(PROPER(TEXT(AK460,"aaaa"))," ",PROPER(TEXT(AK460,"mm"))),_xlfn.CONCAT(PROPER(TEXT(E460,"aaaa"))," ",PROPER(TEXT(E460,"mm"))))</f>
        <v>2024 11</v>
      </c>
      <c r="AI460" s="9" t="str">
        <f ca="1">IF('Banco de Dados'!$AK460&lt;&gt;"-","REEMBOLSO",IFERROR(_xlfn.XLOOKUP(G460,Follow[CODRASTREIO],Follow[STATUS]),"-"))</f>
        <v>ENTREGUE</v>
      </c>
      <c r="AJ460" s="9">
        <f ca="1">IF('Banco de Dados'!$AI460="ENTREGUE",_xlfn.XLOOKUP('Banco de Dados'!$G460,Follow[CODRASTREIO],Follow[DATAATUALIZAÇÃO]),"-")</f>
        <v>45630</v>
      </c>
      <c r="AK460" s="9" t="str">
        <f ca="1"/>
        <v>-</v>
      </c>
      <c r="AL460" s="35"/>
      <c r="AM460" s="109" cm="1">
        <f t="array" aca="1" ref="AM460" ca="1">IF('Banco de Dados'!$AK460&lt;&gt;"-",_xlfn.IFS('Banco de Dados'!$A460="bv",IF('Banco de Dados'!$E460&lt;45641,ROUND(SUM('Banco de Dados'!$R460*_xlfn.XLOOKUP('Banco de Dados'!$P460,Sku!B:B,Sku!#REF!)*20%),2),ROUND(SUM('Banco de Dados'!$R460*_xlfn.XLOOKUP('Banco de Dados'!$P460,Sku!B:B,Sku!H:H)*20%),2)),'Banco de Dados'!$A460="GO",ROUND(_xlfn.XLOOKUP('Banco de Dados'!$P460,Sku!C:C,Sku!H:H),2),'Banco de Dados'!$A460="MEI",ROUND(_xlfn.XLOOKUP('Banco de Dados'!$P460,Sku!D:D,Sku!H:H),2)),0)</f>
        <v>0</v>
      </c>
      <c r="AN460" s="109">
        <f ca="1">IF('Banco de Dados'!$AK460&lt;&gt;"-",IF('Banco de Dados'!$F460&lt;&gt;"-",_xlfn.XLOOKUP(IFERROR(IFERROR(IFERROR(VALUE(SUBSTITUTE(MID(_xlfn.TEXTAFTER('Banco de Dados'!$F460,"Data do Pedido:
",1),1,10),"-","/")),VALUE(SUBSTITUTE(MID(_xlfn.TEXTAFTER('Banco de Dados'!$F460,"Order date:
",1),1,10),"-","/"))),VALUE(SUBSTITUTE(MID(_xlfn.TEXTAFTER('Banco de Dados'!$F460,"Fecha de pedido:
",1),1,10),"-","/"))),"-"),SMS!A:A,SMS!K:K),0),0)</f>
        <v>0</v>
      </c>
      <c r="AO460" s="109">
        <f ca="1">IF('Banco de Dados'!$AK460&lt;&gt;"-",IF('Banco de Dados'!$F460&lt;&gt;"-",IFERROR(_xlfn.XLOOKUP(_xlfn.CONCAT('Banco de Dados'!$A460,IFERROR(IFERROR(VALUE(SUBSTITUTE(MID(_xlfn.TEXTAFTER('Banco de Dados'!$F460,"Data do Pedido:
",1),1,10),"-","/")),VALUE(SUBSTITUTE(MID(_xlfn.TEXTAFTER('Banco de Dados'!$F460,"Order date:
",1),1,10),"-","/"))),0)),ProxyDD[Chave],ProxyDD[Valor por pedido]),PROXY!$P$2),0),0)</f>
        <v>0</v>
      </c>
      <c r="AP460" s="28">
        <f ca="1">IF('Banco de Dados'!$AK460&lt;&gt;"-",IF('Banco de Dados'!$AL460="NÃO",IFERROR(VALUE(SUBSTITUTE(_xlfn.TEXTAFTER('Banco de Dados'!$F460,"BRL ",1),".",",")),0),0),0)</f>
        <v>0</v>
      </c>
      <c r="AQ460" s="28">
        <f ca="1">SUM('Banco de Dados'!$AM460:$AP460)</f>
        <v>0</v>
      </c>
      <c r="AR460" s="8"/>
      <c r="AS460" s="8"/>
      <c r="AY460" s="8"/>
    </row>
    <row r="461" spans="1:51">
      <c r="A461" s="5" t="str">
        <v>BV</v>
      </c>
      <c r="B461" s="5" t="str">
        <f ca="1"/>
        <v>BV45623</v>
      </c>
      <c r="C461" s="8" t="str">
        <v>Pedido 450</v>
      </c>
      <c r="D461" s="9">
        <v>45623</v>
      </c>
      <c r="E461" s="9">
        <v>45623</v>
      </c>
      <c r="F461" s="8" t="str">
        <v>PedidoF437</v>
      </c>
      <c r="G461" s="2" t="str">
        <v>CódRastreio436</v>
      </c>
      <c r="H461" s="5">
        <v>1</v>
      </c>
      <c r="I461" s="182" t="str">
        <v>CPF 435</v>
      </c>
      <c r="J461" s="8" t="str">
        <v>Nome 435</v>
      </c>
      <c r="K461" s="8" t="str">
        <v>Tel 435</v>
      </c>
      <c r="L461" s="8" t="str">
        <v>Cep 435</v>
      </c>
      <c r="M461" s="8" t="str">
        <v>Rua 435</v>
      </c>
      <c r="N461" s="8" t="str">
        <v>Comp 435</v>
      </c>
      <c r="O461" s="8" t="str">
        <v>Ventilador Rosa</v>
      </c>
      <c r="P461" s="8" t="str">
        <v>IF-G2ZQ-79FO</v>
      </c>
      <c r="Q461" s="4">
        <v>45644</v>
      </c>
      <c r="R461" s="109">
        <v>65.989999999999995</v>
      </c>
      <c r="S461" s="11">
        <f ca="1"/>
        <v>65.989999999999995</v>
      </c>
      <c r="T461" s="28">
        <f ca="1"/>
        <v>8.5786999999999995</v>
      </c>
      <c r="U461" s="11">
        <f ca="1"/>
        <v>57.41</v>
      </c>
      <c r="V461" s="11">
        <v>12.89</v>
      </c>
      <c r="W461" s="11">
        <f ca="1"/>
        <v>0.34</v>
      </c>
      <c r="X461" s="11">
        <f ca="1"/>
        <v>0.39877104377104378</v>
      </c>
      <c r="Y461" s="11">
        <v>0</v>
      </c>
      <c r="Z461" s="11">
        <f ca="1"/>
        <v>43.781228956228951</v>
      </c>
      <c r="AA461" s="11">
        <f ca="1"/>
        <v>21.890614478114475</v>
      </c>
      <c r="AB461" s="4">
        <f ca="1"/>
        <v>45651</v>
      </c>
      <c r="AC461" s="4">
        <v>45651</v>
      </c>
      <c r="AD461" s="9">
        <v>45651</v>
      </c>
      <c r="AE461" s="9">
        <v>45659</v>
      </c>
      <c r="AF461" s="4" t="str">
        <f t="shared" ca="1" si="7"/>
        <v>2024 12</v>
      </c>
      <c r="AG461" s="8" t="str" cm="1">
        <f t="array" ref="AG461">IFERROR(_xlfn.IFS('Banco de Dados'!#REF!="AG. COMPRA","Em processamento",'Banco de Dados'!#REF!="AG. RASTREIO","Em processamento",'Banco de Dados'!$AE461&lt;&gt;"-","Faturado",'Banco de Dados'!$AD461&lt;&gt;"-","Aguardando Pix",'Banco de Dados'!$AC461&lt;&gt;"-","Pendente"),"Aguardando Liberação")</f>
        <v>Aguardando Liberação</v>
      </c>
      <c r="AH461" s="5" t="str">
        <f>IF('Banco de Dados'!$F461="-",_xlfn.CONCAT(PROPER(TEXT(AK461,"aaaa"))," ",PROPER(TEXT(AK461,"mm"))),_xlfn.CONCAT(PROPER(TEXT(E461,"aaaa"))," ",PROPER(TEXT(E461,"mm"))))</f>
        <v>2024 11</v>
      </c>
      <c r="AI461" s="9" t="str">
        <f ca="1">IF('Banco de Dados'!$AK461&lt;&gt;"-","REEMBOLSO",IFERROR(_xlfn.XLOOKUP(G461,Follow[CODRASTREIO],Follow[STATUS]),"-"))</f>
        <v>ENTREGUE</v>
      </c>
      <c r="AJ461" s="9">
        <f ca="1">IF('Banco de Dados'!$AI461="ENTREGUE",_xlfn.XLOOKUP('Banco de Dados'!$G461,Follow[CODRASTREIO],Follow[DATAATUALIZAÇÃO]),"-")</f>
        <v>45631.499131944445</v>
      </c>
      <c r="AK461" s="9" t="str">
        <f ca="1"/>
        <v>-</v>
      </c>
      <c r="AL461" s="35"/>
      <c r="AM461" s="109" cm="1">
        <f t="array" aca="1" ref="AM461" ca="1">IF('Banco de Dados'!$AK461&lt;&gt;"-",_xlfn.IFS('Banco de Dados'!$A461="bv",IF('Banco de Dados'!$E461&lt;45641,ROUND(SUM('Banco de Dados'!$R461*_xlfn.XLOOKUP('Banco de Dados'!$P461,Sku!B:B,Sku!#REF!)*20%),2),ROUND(SUM('Banco de Dados'!$R461*_xlfn.XLOOKUP('Banco de Dados'!$P461,Sku!B:B,Sku!H:H)*20%),2)),'Banco de Dados'!$A461="GO",ROUND(_xlfn.XLOOKUP('Banco de Dados'!$P461,Sku!C:C,Sku!H:H),2),'Banco de Dados'!$A461="MEI",ROUND(_xlfn.XLOOKUP('Banco de Dados'!$P461,Sku!D:D,Sku!H:H),2)),0)</f>
        <v>0</v>
      </c>
      <c r="AN461" s="109">
        <f ca="1">IF('Banco de Dados'!$AK461&lt;&gt;"-",IF('Banco de Dados'!$F461&lt;&gt;"-",_xlfn.XLOOKUP(IFERROR(IFERROR(IFERROR(VALUE(SUBSTITUTE(MID(_xlfn.TEXTAFTER('Banco de Dados'!$F461,"Data do Pedido:
",1),1,10),"-","/")),VALUE(SUBSTITUTE(MID(_xlfn.TEXTAFTER('Banco de Dados'!$F461,"Order date:
",1),1,10),"-","/"))),VALUE(SUBSTITUTE(MID(_xlfn.TEXTAFTER('Banco de Dados'!$F461,"Fecha de pedido:
",1),1,10),"-","/"))),"-"),SMS!A:A,SMS!K:K),0),0)</f>
        <v>0</v>
      </c>
      <c r="AO461" s="109">
        <f ca="1">IF('Banco de Dados'!$AK461&lt;&gt;"-",IF('Banco de Dados'!$F461&lt;&gt;"-",IFERROR(_xlfn.XLOOKUP(_xlfn.CONCAT('Banco de Dados'!$A461,IFERROR(IFERROR(VALUE(SUBSTITUTE(MID(_xlfn.TEXTAFTER('Banco de Dados'!$F461,"Data do Pedido:
",1),1,10),"-","/")),VALUE(SUBSTITUTE(MID(_xlfn.TEXTAFTER('Banco de Dados'!$F461,"Order date:
",1),1,10),"-","/"))),0)),ProxyDD[Chave],ProxyDD[Valor por pedido]),PROXY!$P$2),0),0)</f>
        <v>0</v>
      </c>
      <c r="AP461" s="28">
        <f ca="1">IF('Banco de Dados'!$AK461&lt;&gt;"-",IF('Banco de Dados'!$AL461="NÃO",IFERROR(VALUE(SUBSTITUTE(_xlfn.TEXTAFTER('Banco de Dados'!$F461,"BRL ",1),".",",")),0),0),0)</f>
        <v>0</v>
      </c>
      <c r="AQ461" s="28">
        <f ca="1">SUM('Banco de Dados'!$AM461:$AP461)</f>
        <v>0</v>
      </c>
      <c r="AR461" s="8"/>
      <c r="AS461" s="8"/>
      <c r="AY461" s="8"/>
    </row>
    <row r="462" spans="1:51">
      <c r="A462" s="5" t="str">
        <v>BV</v>
      </c>
      <c r="B462" s="5" t="str">
        <f ca="1"/>
        <v>BV-</v>
      </c>
      <c r="C462" s="8" t="str">
        <v>Pedido 451</v>
      </c>
      <c r="D462" s="9">
        <v>45627</v>
      </c>
      <c r="E462" s="9" t="str">
        <v>-</v>
      </c>
      <c r="F462" s="8" t="str">
        <v>-</v>
      </c>
      <c r="G462" s="2" t="str">
        <v>-</v>
      </c>
      <c r="H462" s="5">
        <v>1</v>
      </c>
      <c r="I462" s="182" t="str">
        <v>CPF 436</v>
      </c>
      <c r="J462" s="8" t="str">
        <v>Nome 436</v>
      </c>
      <c r="K462" s="8" t="str">
        <v>Tel 436</v>
      </c>
      <c r="L462" s="8" t="str">
        <v>Cep 436</v>
      </c>
      <c r="M462" s="8" t="str">
        <v>Rua 436</v>
      </c>
      <c r="N462" s="8" t="str">
        <v>Comp 436</v>
      </c>
      <c r="O462" s="8" t="str">
        <v>Copo Termico</v>
      </c>
      <c r="P462" s="8" t="str">
        <v>KN-TBQL-K2MM</v>
      </c>
      <c r="Q462" s="4">
        <v>45644</v>
      </c>
      <c r="R462" s="109">
        <v>27.99</v>
      </c>
      <c r="S462" s="11">
        <f ca="1"/>
        <v>0</v>
      </c>
      <c r="T462" s="28">
        <f ca="1"/>
        <v>0</v>
      </c>
      <c r="U462" s="11">
        <f ca="1"/>
        <v>0</v>
      </c>
      <c r="V462" s="11">
        <v>0</v>
      </c>
      <c r="W462" s="11">
        <f ca="1"/>
        <v>0</v>
      </c>
      <c r="X462" s="11">
        <f ca="1"/>
        <v>0</v>
      </c>
      <c r="Y462" s="11">
        <v>0</v>
      </c>
      <c r="Z462" s="11">
        <f ca="1"/>
        <v>0</v>
      </c>
      <c r="AA462" s="11">
        <f ca="1"/>
        <v>0</v>
      </c>
      <c r="AB462" s="4">
        <f ca="1"/>
        <v>45651</v>
      </c>
      <c r="AC462" s="4">
        <v>45651</v>
      </c>
      <c r="AD462" s="9">
        <v>45651</v>
      </c>
      <c r="AE462" s="9">
        <v>45659</v>
      </c>
      <c r="AF462" s="4" t="str">
        <f t="shared" ca="1" si="7"/>
        <v>2024 12</v>
      </c>
      <c r="AG462" s="8" t="str" cm="1">
        <f t="array" ref="AG462">IFERROR(_xlfn.IFS('Banco de Dados'!#REF!="AG. COMPRA","Em processamento",'Banco de Dados'!#REF!="AG. RASTREIO","Em processamento",'Banco de Dados'!$AE462&lt;&gt;"-","Faturado",'Banco de Dados'!$AD462&lt;&gt;"-","Aguardando Pix",'Banco de Dados'!$AC462&lt;&gt;"-","Pendente"),"Aguardando Liberação")</f>
        <v>Aguardando Liberação</v>
      </c>
      <c r="AH462" s="5" t="str">
        <f ca="1">IF('Banco de Dados'!$F462="-",_xlfn.CONCAT(PROPER(TEXT(AK462,"aaaa"))," ",PROPER(TEXT(AK462,"mm"))),_xlfn.CONCAT(PROPER(TEXT(E462,"aaaa"))," ",PROPER(TEXT(E462,"mm"))))</f>
        <v>2024 11</v>
      </c>
      <c r="AI462" s="9" t="str">
        <f ca="1">IF('Banco de Dados'!$AK462&lt;&gt;"-","REEMBOLSO",IFERROR(_xlfn.XLOOKUP(G462,Follow[CODRASTREIO],Follow[STATUS]),"-"))</f>
        <v>REEMBOLSO</v>
      </c>
      <c r="AJ462" s="9" t="str">
        <f ca="1">IF('Banco de Dados'!$AI462="ENTREGUE",_xlfn.XLOOKUP('Banco de Dados'!$G462,Follow[CODRASTREIO],Follow[DATAATUALIZAÇÃO]),"-")</f>
        <v>-</v>
      </c>
      <c r="AK462" s="9">
        <f ca="1"/>
        <v>45625</v>
      </c>
      <c r="AL462" s="35"/>
      <c r="AM462" s="109">
        <v>0.73</v>
      </c>
      <c r="AN462" s="109">
        <f ca="1">IF('Banco de Dados'!$AK462&lt;&gt;"-",IF('Banco de Dados'!$F462&lt;&gt;"-",_xlfn.XLOOKUP(IFERROR(IFERROR(IFERROR(VALUE(SUBSTITUTE(MID(_xlfn.TEXTAFTER('Banco de Dados'!$F462,"Data do Pedido:
",1),1,10),"-","/")),VALUE(SUBSTITUTE(MID(_xlfn.TEXTAFTER('Banco de Dados'!$F462,"Order date:
",1),1,10),"-","/"))),VALUE(SUBSTITUTE(MID(_xlfn.TEXTAFTER('Banco de Dados'!$F462,"Fecha de pedido:
",1),1,10),"-","/"))),"-"),SMS!A:A,SMS!K:K),0),0)</f>
        <v>0</v>
      </c>
      <c r="AO462" s="109">
        <f ca="1">IF('Banco de Dados'!$AK462&lt;&gt;"-",IF('Banco de Dados'!$F462&lt;&gt;"-",IFERROR(_xlfn.XLOOKUP(_xlfn.CONCAT('Banco de Dados'!$A462,IFERROR(IFERROR(VALUE(SUBSTITUTE(MID(_xlfn.TEXTAFTER('Banco de Dados'!$F462,"Data do Pedido:
",1),1,10),"-","/")),VALUE(SUBSTITUTE(MID(_xlfn.TEXTAFTER('Banco de Dados'!$F462,"Order date:
",1),1,10),"-","/"))),0)),ProxyDD[Chave],ProxyDD[Valor por pedido]),PROXY!$P$2),0),0)</f>
        <v>0</v>
      </c>
      <c r="AP462" s="28">
        <f ca="1">IF('Banco de Dados'!$AK462&lt;&gt;"-",IF('Banco de Dados'!$AL462="NÃO",IFERROR(VALUE(SUBSTITUTE(_xlfn.TEXTAFTER('Banco de Dados'!$F462,"BRL ",1),".",",")),0),0),0)</f>
        <v>0</v>
      </c>
      <c r="AQ462" s="28">
        <f ca="1">SUM('Banco de Dados'!$AM462:$AP462)</f>
        <v>0.73</v>
      </c>
      <c r="AR462" s="8"/>
      <c r="AS462" s="8"/>
      <c r="AY462" s="8"/>
    </row>
    <row r="463" spans="1:51">
      <c r="A463" s="5" t="str">
        <v>BV</v>
      </c>
      <c r="B463" s="5" t="str">
        <f ca="1"/>
        <v>BV45623</v>
      </c>
      <c r="C463" s="8" t="str">
        <v>Pedido 452</v>
      </c>
      <c r="D463" s="9">
        <v>45623</v>
      </c>
      <c r="E463" s="9">
        <v>45623</v>
      </c>
      <c r="F463" s="8" t="str">
        <v>PedidoF438</v>
      </c>
      <c r="G463" s="2" t="str">
        <v>CódRastreio437</v>
      </c>
      <c r="H463" s="5">
        <v>1</v>
      </c>
      <c r="I463" s="182" t="str">
        <v>CPF 437</v>
      </c>
      <c r="J463" s="2" t="str">
        <v>Nome 437</v>
      </c>
      <c r="K463" s="8" t="str">
        <v>Tel 437</v>
      </c>
      <c r="L463" s="2" t="str">
        <v>Cep 437</v>
      </c>
      <c r="M463" s="2" t="str">
        <v>Rua 437</v>
      </c>
      <c r="N463" s="2" t="str">
        <v>Comp 437</v>
      </c>
      <c r="O463" s="2" t="str">
        <v>Ventilador Umidificador Branco</v>
      </c>
      <c r="P463" s="8" t="str">
        <v>IA-LLX9-MRV1</v>
      </c>
      <c r="Q463" s="4">
        <v>45644</v>
      </c>
      <c r="R463" s="109">
        <v>54.5</v>
      </c>
      <c r="S463" s="11">
        <f ca="1"/>
        <v>54.5</v>
      </c>
      <c r="T463" s="28">
        <f ca="1"/>
        <v>7.6300000000000008</v>
      </c>
      <c r="U463" s="11">
        <f ca="1"/>
        <v>46.87</v>
      </c>
      <c r="V463" s="11">
        <v>10.17</v>
      </c>
      <c r="W463" s="11">
        <f ca="1"/>
        <v>0.34</v>
      </c>
      <c r="X463" s="11">
        <f ca="1"/>
        <v>0.39877104377104378</v>
      </c>
      <c r="Y463" s="11">
        <v>0</v>
      </c>
      <c r="Z463" s="11">
        <f ca="1"/>
        <v>35.96122895622895</v>
      </c>
      <c r="AA463" s="11">
        <f ca="1"/>
        <v>17.980614478114475</v>
      </c>
      <c r="AB463" s="4">
        <f ca="1"/>
        <v>45651</v>
      </c>
      <c r="AC463" s="4">
        <v>45651</v>
      </c>
      <c r="AD463" s="9">
        <v>45651</v>
      </c>
      <c r="AE463" s="9">
        <v>45659</v>
      </c>
      <c r="AF463" s="4" t="str">
        <f t="shared" ca="1" si="7"/>
        <v>2024 12</v>
      </c>
      <c r="AG463" s="8" t="str" cm="1">
        <f t="array" ref="AG463">IFERROR(_xlfn.IFS('Banco de Dados'!#REF!="AG. COMPRA","Em processamento",'Banco de Dados'!#REF!="AG. RASTREIO","Em processamento",'Banco de Dados'!$AE463&lt;&gt;"-","Faturado",'Banco de Dados'!$AD463&lt;&gt;"-","Aguardando Pix",'Banco de Dados'!$AC463&lt;&gt;"-","Pendente"),"Aguardando Liberação")</f>
        <v>Aguardando Liberação</v>
      </c>
      <c r="AH463" s="5" t="str">
        <f>IF('Banco de Dados'!$F463="-",_xlfn.CONCAT(PROPER(TEXT(AK463,"aaaa"))," ",PROPER(TEXT(AK463,"mm"))),_xlfn.CONCAT(PROPER(TEXT(E463,"aaaa"))," ",PROPER(TEXT(E463,"mm"))))</f>
        <v>2024 11</v>
      </c>
      <c r="AI463" s="9" t="str">
        <f ca="1">IF('Banco de Dados'!$AK463&lt;&gt;"-","REEMBOLSO",IFERROR(_xlfn.XLOOKUP(G463,Follow[CODRASTREIO],Follow[STATUS]),"-"))</f>
        <v>ENTREGUE</v>
      </c>
      <c r="AJ463" s="9">
        <f ca="1">IF('Banco de Dados'!$AI463="ENTREGUE",_xlfn.XLOOKUP('Banco de Dados'!$G463,Follow[CODRASTREIO],Follow[DATAATUALIZAÇÃO]),"-")</f>
        <v>45636</v>
      </c>
      <c r="AK463" s="9" t="str">
        <f ca="1"/>
        <v>-</v>
      </c>
      <c r="AL463" s="35"/>
      <c r="AM463" s="109" cm="1">
        <f t="array" aca="1" ref="AM463" ca="1">IF('Banco de Dados'!$AK463&lt;&gt;"-",_xlfn.IFS('Banco de Dados'!$A463="bv",IF('Banco de Dados'!$E463&lt;45641,ROUND(SUM('Banco de Dados'!$R463*_xlfn.XLOOKUP('Banco de Dados'!$P463,Sku!B:B,Sku!#REF!)*20%),2),ROUND(SUM('Banco de Dados'!$R463*_xlfn.XLOOKUP('Banco de Dados'!$P463,Sku!B:B,Sku!H:H)*20%),2)),'Banco de Dados'!$A463="GO",ROUND(_xlfn.XLOOKUP('Banco de Dados'!$P463,Sku!C:C,Sku!H:H),2),'Banco de Dados'!$A463="MEI",ROUND(_xlfn.XLOOKUP('Banco de Dados'!$P463,Sku!D:D,Sku!H:H),2)),0)</f>
        <v>0</v>
      </c>
      <c r="AN463" s="109">
        <f ca="1">IF('Banco de Dados'!$AK463&lt;&gt;"-",IF('Banco de Dados'!$F463&lt;&gt;"-",_xlfn.XLOOKUP(IFERROR(IFERROR(IFERROR(VALUE(SUBSTITUTE(MID(_xlfn.TEXTAFTER('Banco de Dados'!$F463,"Data do Pedido:
",1),1,10),"-","/")),VALUE(SUBSTITUTE(MID(_xlfn.TEXTAFTER('Banco de Dados'!$F463,"Order date:
",1),1,10),"-","/"))),VALUE(SUBSTITUTE(MID(_xlfn.TEXTAFTER('Banco de Dados'!$F463,"Fecha de pedido:
",1),1,10),"-","/"))),"-"),SMS!A:A,SMS!K:K),0),0)</f>
        <v>0</v>
      </c>
      <c r="AO463" s="109">
        <f ca="1">IF('Banco de Dados'!$AK463&lt;&gt;"-",IF('Banco de Dados'!$F463&lt;&gt;"-",IFERROR(_xlfn.XLOOKUP(_xlfn.CONCAT('Banco de Dados'!$A463,IFERROR(IFERROR(VALUE(SUBSTITUTE(MID(_xlfn.TEXTAFTER('Banco de Dados'!$F463,"Data do Pedido:
",1),1,10),"-","/")),VALUE(SUBSTITUTE(MID(_xlfn.TEXTAFTER('Banco de Dados'!$F463,"Order date:
",1),1,10),"-","/"))),0)),ProxyDD[Chave],ProxyDD[Valor por pedido]),PROXY!$P$2),0),0)</f>
        <v>0</v>
      </c>
      <c r="AP463" s="28">
        <f ca="1">IF('Banco de Dados'!$AK463&lt;&gt;"-",IF('Banco de Dados'!$AL463="NÃO",IFERROR(VALUE(SUBSTITUTE(_xlfn.TEXTAFTER('Banco de Dados'!$F463,"BRL ",1),".",",")),0),0),0)</f>
        <v>0</v>
      </c>
      <c r="AQ463" s="28">
        <f ca="1">SUM('Banco de Dados'!$AM463:$AP463)</f>
        <v>0</v>
      </c>
      <c r="AR463" s="8"/>
      <c r="AS463" s="8"/>
      <c r="AY463" s="8"/>
    </row>
    <row r="464" spans="1:51">
      <c r="A464" s="5" t="str">
        <v>BV</v>
      </c>
      <c r="B464" s="5" t="str">
        <f ca="1"/>
        <v>BV45623</v>
      </c>
      <c r="C464" s="8" t="str">
        <v>Pedido 453</v>
      </c>
      <c r="D464" s="9">
        <v>45623</v>
      </c>
      <c r="E464" s="9">
        <v>45623</v>
      </c>
      <c r="F464" s="8" t="str">
        <v>PedidoF439</v>
      </c>
      <c r="G464" s="2" t="str">
        <v>CódRastreio438</v>
      </c>
      <c r="H464" s="5">
        <v>1</v>
      </c>
      <c r="I464" s="182" t="str">
        <v>CPF 438</v>
      </c>
      <c r="J464" s="2" t="str">
        <v>Nome 438</v>
      </c>
      <c r="K464" s="8" t="str">
        <v>Tel 438</v>
      </c>
      <c r="L464" s="2" t="str">
        <v>Cep 438</v>
      </c>
      <c r="M464" s="2" t="str">
        <v>Rua 438</v>
      </c>
      <c r="N464" s="2" t="str">
        <v>Comp 438</v>
      </c>
      <c r="O464" s="2" t="str">
        <v>Mini Mixer Misturador</v>
      </c>
      <c r="P464" s="8" t="str">
        <v>FK-T01D-KZC5</v>
      </c>
      <c r="Q464" s="4">
        <v>45644</v>
      </c>
      <c r="R464" s="109">
        <v>18.989999999999998</v>
      </c>
      <c r="S464" s="11">
        <f ca="1"/>
        <v>18.989999999999998</v>
      </c>
      <c r="T464" s="28">
        <f ca="1"/>
        <v>2.4686999999999997</v>
      </c>
      <c r="U464" s="11">
        <f ca="1"/>
        <v>16.52</v>
      </c>
      <c r="V464" s="11">
        <v>6.99</v>
      </c>
      <c r="W464" s="11">
        <f ca="1"/>
        <v>0.34</v>
      </c>
      <c r="X464" s="11">
        <f ca="1"/>
        <v>0.39877104377104378</v>
      </c>
      <c r="Y464" s="11">
        <v>0</v>
      </c>
      <c r="Z464" s="11">
        <f ca="1"/>
        <v>8.7912289562289558</v>
      </c>
      <c r="AA464" s="11">
        <f ca="1"/>
        <v>4.3956144781144779</v>
      </c>
      <c r="AB464" s="4">
        <f ca="1"/>
        <v>45651</v>
      </c>
      <c r="AC464" s="4">
        <v>45651</v>
      </c>
      <c r="AD464" s="9">
        <v>45651</v>
      </c>
      <c r="AE464" s="9">
        <v>45659</v>
      </c>
      <c r="AF464" s="4" t="str">
        <f t="shared" ca="1" si="7"/>
        <v>2024 12</v>
      </c>
      <c r="AG464" s="8" t="str" cm="1">
        <f t="array" ref="AG464">IFERROR(_xlfn.IFS('Banco de Dados'!#REF!="AG. COMPRA","Em processamento",'Banco de Dados'!#REF!="AG. RASTREIO","Em processamento",'Banco de Dados'!$AE464&lt;&gt;"-","Faturado",'Banco de Dados'!$AD464&lt;&gt;"-","Aguardando Pix",'Banco de Dados'!$AC464&lt;&gt;"-","Pendente"),"Aguardando Liberação")</f>
        <v>Aguardando Liberação</v>
      </c>
      <c r="AH464" s="5" t="str">
        <f>IF('Banco de Dados'!$F464="-",_xlfn.CONCAT(PROPER(TEXT(AK464,"aaaa"))," ",PROPER(TEXT(AK464,"mm"))),_xlfn.CONCAT(PROPER(TEXT(E464,"aaaa"))," ",PROPER(TEXT(E464,"mm"))))</f>
        <v>2024 11</v>
      </c>
      <c r="AI464" s="9" t="str">
        <f ca="1">IF('Banco de Dados'!$AK464&lt;&gt;"-","REEMBOLSO",IFERROR(_xlfn.XLOOKUP(G464,Follow[CODRASTREIO],Follow[STATUS]),"-"))</f>
        <v>ENTREGUE</v>
      </c>
      <c r="AJ464" s="9">
        <f ca="1">IF('Banco de Dados'!$AI464="ENTREGUE",_xlfn.XLOOKUP('Banco de Dados'!$G464,Follow[CODRASTREIO],Follow[DATAATUALIZAÇÃO]),"-")</f>
        <v>45628</v>
      </c>
      <c r="AK464" s="9" t="str">
        <f ca="1"/>
        <v>-</v>
      </c>
      <c r="AL464" s="35"/>
      <c r="AM464" s="109" cm="1">
        <f t="array" aca="1" ref="AM464" ca="1">IF('Banco de Dados'!$AK464&lt;&gt;"-",_xlfn.IFS('Banco de Dados'!$A464="bv",IF('Banco de Dados'!$E464&lt;45641,ROUND(SUM('Banco de Dados'!$R464*_xlfn.XLOOKUP('Banco de Dados'!$P464,Sku!B:B,Sku!#REF!)*20%),2),ROUND(SUM('Banco de Dados'!$R464*_xlfn.XLOOKUP('Banco de Dados'!$P464,Sku!B:B,Sku!H:H)*20%),2)),'Banco de Dados'!$A464="GO",ROUND(_xlfn.XLOOKUP('Banco de Dados'!$P464,Sku!C:C,Sku!H:H),2),'Banco de Dados'!$A464="MEI",ROUND(_xlfn.XLOOKUP('Banco de Dados'!$P464,Sku!D:D,Sku!H:H),2)),0)</f>
        <v>0</v>
      </c>
      <c r="AN464" s="109">
        <f ca="1">IF('Banco de Dados'!$AK464&lt;&gt;"-",IF('Banco de Dados'!$F464&lt;&gt;"-",_xlfn.XLOOKUP(IFERROR(IFERROR(IFERROR(VALUE(SUBSTITUTE(MID(_xlfn.TEXTAFTER('Banco de Dados'!$F464,"Data do Pedido:
",1),1,10),"-","/")),VALUE(SUBSTITUTE(MID(_xlfn.TEXTAFTER('Banco de Dados'!$F464,"Order date:
",1),1,10),"-","/"))),VALUE(SUBSTITUTE(MID(_xlfn.TEXTAFTER('Banco de Dados'!$F464,"Fecha de pedido:
",1),1,10),"-","/"))),"-"),SMS!A:A,SMS!K:K),0),0)</f>
        <v>0</v>
      </c>
      <c r="AO464" s="109">
        <f ca="1">IF('Banco de Dados'!$AK464&lt;&gt;"-",IF('Banco de Dados'!$F464&lt;&gt;"-",IFERROR(_xlfn.XLOOKUP(_xlfn.CONCAT('Banco de Dados'!$A464,IFERROR(IFERROR(VALUE(SUBSTITUTE(MID(_xlfn.TEXTAFTER('Banco de Dados'!$F464,"Data do Pedido:
",1),1,10),"-","/")),VALUE(SUBSTITUTE(MID(_xlfn.TEXTAFTER('Banco de Dados'!$F464,"Order date:
",1),1,10),"-","/"))),0)),ProxyDD[Chave],ProxyDD[Valor por pedido]),PROXY!$P$2),0),0)</f>
        <v>0</v>
      </c>
      <c r="AP464" s="28">
        <f ca="1">IF('Banco de Dados'!$AK464&lt;&gt;"-",IF('Banco de Dados'!$AL464="NÃO",IFERROR(VALUE(SUBSTITUTE(_xlfn.TEXTAFTER('Banco de Dados'!$F464,"BRL ",1),".",",")),0),0),0)</f>
        <v>0</v>
      </c>
      <c r="AQ464" s="28">
        <f ca="1">SUM('Banco de Dados'!$AM464:$AP464)</f>
        <v>0</v>
      </c>
      <c r="AR464" s="8"/>
      <c r="AS464" s="8"/>
      <c r="AY464" s="8"/>
    </row>
    <row r="465" spans="1:51">
      <c r="A465" s="5" t="str">
        <v>BV</v>
      </c>
      <c r="B465" s="5" t="str">
        <f ca="1"/>
        <v>BV45624</v>
      </c>
      <c r="C465" s="8" t="str">
        <v>Pedido 454</v>
      </c>
      <c r="D465" s="9">
        <v>45624</v>
      </c>
      <c r="E465" s="9">
        <v>45624</v>
      </c>
      <c r="F465" s="8" t="str">
        <v>PedidoF440</v>
      </c>
      <c r="G465" s="2" t="str">
        <v>CódRastreio439</v>
      </c>
      <c r="H465" s="5">
        <v>1</v>
      </c>
      <c r="I465" s="182" t="str">
        <v>CPF 439</v>
      </c>
      <c r="J465" s="2" t="str">
        <v>Nome 439</v>
      </c>
      <c r="K465" s="8" t="str">
        <v>Tel 439</v>
      </c>
      <c r="L465" s="2" t="str">
        <v>Cep 439</v>
      </c>
      <c r="M465" s="2" t="str">
        <v>Rua 439</v>
      </c>
      <c r="N465" s="2" t="str">
        <v>Comp 439</v>
      </c>
      <c r="O465" s="2" t="str">
        <v>Ventilador Umidificador Branco</v>
      </c>
      <c r="P465" s="8" t="str">
        <v>IA-LLX9-MRV1</v>
      </c>
      <c r="Q465" s="4">
        <v>45645</v>
      </c>
      <c r="R465" s="109">
        <v>54.5</v>
      </c>
      <c r="S465" s="11">
        <f ca="1"/>
        <v>54.5</v>
      </c>
      <c r="T465" s="28">
        <f ca="1"/>
        <v>7.6300000000000008</v>
      </c>
      <c r="U465" s="11">
        <f ca="1"/>
        <v>46.87</v>
      </c>
      <c r="V465" s="11">
        <v>10.38</v>
      </c>
      <c r="W465" s="11">
        <f ca="1"/>
        <v>0.14000000000000001</v>
      </c>
      <c r="X465" s="11">
        <f ca="1"/>
        <v>0.39877104377104378</v>
      </c>
      <c r="Y465" s="11">
        <v>0</v>
      </c>
      <c r="Z465" s="11">
        <f ca="1"/>
        <v>35.951228956228952</v>
      </c>
      <c r="AA465" s="11">
        <f ca="1"/>
        <v>17.975614478114476</v>
      </c>
      <c r="AB465" s="4">
        <f ca="1"/>
        <v>45652</v>
      </c>
      <c r="AC465" s="4">
        <v>45652</v>
      </c>
      <c r="AD465" s="9">
        <v>45656</v>
      </c>
      <c r="AE465" s="9">
        <v>45659</v>
      </c>
      <c r="AF465" s="4" t="str">
        <f t="shared" ca="1" si="7"/>
        <v>2024 12</v>
      </c>
      <c r="AG465" s="8" t="str" cm="1">
        <f t="array" ref="AG465">IFERROR(_xlfn.IFS('Banco de Dados'!#REF!="AG. COMPRA","Em processamento",'Banco de Dados'!#REF!="AG. RASTREIO","Em processamento",'Banco de Dados'!$AE465&lt;&gt;"-","Faturado",'Banco de Dados'!$AD465&lt;&gt;"-","Aguardando Pix",'Banco de Dados'!$AC465&lt;&gt;"-","Pendente"),"Aguardando Liberação")</f>
        <v>Aguardando Liberação</v>
      </c>
      <c r="AH465" s="5" t="str">
        <f>IF('Banco de Dados'!$F465="-",_xlfn.CONCAT(PROPER(TEXT(AK465,"aaaa"))," ",PROPER(TEXT(AK465,"mm"))),_xlfn.CONCAT(PROPER(TEXT(E465,"aaaa"))," ",PROPER(TEXT(E465,"mm"))))</f>
        <v>2024 11</v>
      </c>
      <c r="AI465" s="9" t="str">
        <f ca="1">IF('Banco de Dados'!$AK465&lt;&gt;"-","REEMBOLSO",IFERROR(_xlfn.XLOOKUP(G465,Follow[CODRASTREIO],Follow[STATUS]),"-"))</f>
        <v>ENTREGUE</v>
      </c>
      <c r="AJ465" s="9">
        <f ca="1">IF('Banco de Dados'!$AI465="ENTREGUE",_xlfn.XLOOKUP('Banco de Dados'!$G465,Follow[CODRASTREIO],Follow[DATAATUALIZAÇÃO]),"-")</f>
        <v>45632.428252314814</v>
      </c>
      <c r="AK465" s="9" t="str">
        <f ca="1"/>
        <v>-</v>
      </c>
      <c r="AL465" s="35"/>
      <c r="AM465" s="109" cm="1">
        <f t="array" aca="1" ref="AM465" ca="1">IF('Banco de Dados'!$AK465&lt;&gt;"-",_xlfn.IFS('Banco de Dados'!$A465="bv",IF('Banco de Dados'!$E465&lt;45641,ROUND(SUM('Banco de Dados'!$R465*_xlfn.XLOOKUP('Banco de Dados'!$P465,Sku!B:B,Sku!#REF!)*20%),2),ROUND(SUM('Banco de Dados'!$R465*_xlfn.XLOOKUP('Banco de Dados'!$P465,Sku!B:B,Sku!H:H)*20%),2)),'Banco de Dados'!$A465="GO",ROUND(_xlfn.XLOOKUP('Banco de Dados'!$P465,Sku!C:C,Sku!H:H),2),'Banco de Dados'!$A465="MEI",ROUND(_xlfn.XLOOKUP('Banco de Dados'!$P465,Sku!D:D,Sku!H:H),2)),0)</f>
        <v>0</v>
      </c>
      <c r="AN465" s="109">
        <f ca="1">IF('Banco de Dados'!$AK465&lt;&gt;"-",IF('Banco de Dados'!$F465&lt;&gt;"-",_xlfn.XLOOKUP(IFERROR(IFERROR(IFERROR(VALUE(SUBSTITUTE(MID(_xlfn.TEXTAFTER('Banco de Dados'!$F465,"Data do Pedido:
",1),1,10),"-","/")),VALUE(SUBSTITUTE(MID(_xlfn.TEXTAFTER('Banco de Dados'!$F465,"Order date:
",1),1,10),"-","/"))),VALUE(SUBSTITUTE(MID(_xlfn.TEXTAFTER('Banco de Dados'!$F465,"Fecha de pedido:
",1),1,10),"-","/"))),"-"),SMS!A:A,SMS!K:K),0),0)</f>
        <v>0</v>
      </c>
      <c r="AO465" s="109">
        <f ca="1">IF('Banco de Dados'!$AK465&lt;&gt;"-",IF('Banco de Dados'!$F465&lt;&gt;"-",IFERROR(_xlfn.XLOOKUP(_xlfn.CONCAT('Banco de Dados'!$A465,IFERROR(IFERROR(VALUE(SUBSTITUTE(MID(_xlfn.TEXTAFTER('Banco de Dados'!$F465,"Data do Pedido:
",1),1,10),"-","/")),VALUE(SUBSTITUTE(MID(_xlfn.TEXTAFTER('Banco de Dados'!$F465,"Order date:
",1),1,10),"-","/"))),0)),ProxyDD[Chave],ProxyDD[Valor por pedido]),PROXY!$P$2),0),0)</f>
        <v>0</v>
      </c>
      <c r="AP465" s="28">
        <f ca="1">IF('Banco de Dados'!$AK465&lt;&gt;"-",IF('Banco de Dados'!$AL465="NÃO",IFERROR(VALUE(SUBSTITUTE(_xlfn.TEXTAFTER('Banco de Dados'!$F465,"BRL ",1),".",",")),0),0),0)</f>
        <v>0</v>
      </c>
      <c r="AQ465" s="28">
        <f ca="1">SUM('Banco de Dados'!$AM465:$AP465)</f>
        <v>0</v>
      </c>
      <c r="AR465" s="8"/>
      <c r="AS465" s="8"/>
      <c r="AY465" s="8"/>
    </row>
    <row r="466" spans="1:51">
      <c r="A466" s="5" t="str">
        <v>BV</v>
      </c>
      <c r="B466" s="5" t="str">
        <f ca="1"/>
        <v>BV45624</v>
      </c>
      <c r="C466" s="8" t="str">
        <v>Pedido 455</v>
      </c>
      <c r="D466" s="9">
        <v>45624</v>
      </c>
      <c r="E466" s="9">
        <v>45624</v>
      </c>
      <c r="F466" s="8" t="str">
        <v>PedidoF441</v>
      </c>
      <c r="G466" s="2" t="str">
        <v>CódRastreio440</v>
      </c>
      <c r="H466" s="5">
        <v>1</v>
      </c>
      <c r="I466" s="182" t="str">
        <v>CPF 440</v>
      </c>
      <c r="J466" s="2" t="str">
        <v>Nome 440</v>
      </c>
      <c r="K466" s="8" t="str">
        <v>Tel 440</v>
      </c>
      <c r="L466" s="2" t="str">
        <v>Cep 440</v>
      </c>
      <c r="M466" s="2" t="str">
        <v>Rua 440</v>
      </c>
      <c r="N466" s="2" t="str">
        <v>Comp 440</v>
      </c>
      <c r="O466" s="2" t="str">
        <v>Ventilador Preto</v>
      </c>
      <c r="P466" s="8" t="str">
        <v>MU-J80P-95WF</v>
      </c>
      <c r="Q466" s="4">
        <v>45645</v>
      </c>
      <c r="R466" s="109">
        <v>65.989999999999995</v>
      </c>
      <c r="S466" s="11">
        <f ca="1"/>
        <v>65.989999999999995</v>
      </c>
      <c r="T466" s="28">
        <f ca="1"/>
        <v>8.5786999999999995</v>
      </c>
      <c r="U466" s="11">
        <f ca="1"/>
        <v>57.41</v>
      </c>
      <c r="V466" s="11">
        <v>14.67</v>
      </c>
      <c r="W466" s="11">
        <f ca="1"/>
        <v>0.14000000000000001</v>
      </c>
      <c r="X466" s="11">
        <f ca="1"/>
        <v>0.39877104377104378</v>
      </c>
      <c r="Y466" s="11">
        <v>0</v>
      </c>
      <c r="Z466" s="11">
        <f ca="1"/>
        <v>42.201228956228952</v>
      </c>
      <c r="AA466" s="11">
        <f ca="1"/>
        <v>21.100614478114476</v>
      </c>
      <c r="AB466" s="4">
        <f ca="1"/>
        <v>45652</v>
      </c>
      <c r="AC466" s="4">
        <v>45652</v>
      </c>
      <c r="AD466" s="9">
        <v>45656</v>
      </c>
      <c r="AE466" s="9">
        <v>45659</v>
      </c>
      <c r="AF466" s="4" t="str">
        <f t="shared" ca="1" si="7"/>
        <v>2024 12</v>
      </c>
      <c r="AG466" s="8" t="str" cm="1">
        <f t="array" ref="AG466">IFERROR(_xlfn.IFS('Banco de Dados'!#REF!="AG. COMPRA","Em processamento",'Banco de Dados'!#REF!="AG. RASTREIO","Em processamento",'Banco de Dados'!$AE466&lt;&gt;"-","Faturado",'Banco de Dados'!$AD466&lt;&gt;"-","Aguardando Pix",'Banco de Dados'!$AC466&lt;&gt;"-","Pendente"),"Aguardando Liberação")</f>
        <v>Aguardando Liberação</v>
      </c>
      <c r="AH466" s="5" t="str">
        <f>IF('Banco de Dados'!$F466="-",_xlfn.CONCAT(PROPER(TEXT(AK466,"aaaa"))," ",PROPER(TEXT(AK466,"mm"))),_xlfn.CONCAT(PROPER(TEXT(E466,"aaaa"))," ",PROPER(TEXT(E466,"mm"))))</f>
        <v>2024 11</v>
      </c>
      <c r="AI466" s="9" t="str">
        <f ca="1">IF('Banco de Dados'!$AK466&lt;&gt;"-","REEMBOLSO",IFERROR(_xlfn.XLOOKUP(G466,Follow[CODRASTREIO],Follow[STATUS]),"-"))</f>
        <v>ENTREGUE</v>
      </c>
      <c r="AJ466" s="9">
        <f ca="1">IF('Banco de Dados'!$AI466="ENTREGUE",_xlfn.XLOOKUP('Banco de Dados'!$G466,Follow[CODRASTREIO],Follow[DATAATUALIZAÇÃO]),"-")</f>
        <v>45632.575300925928</v>
      </c>
      <c r="AK466" s="9" t="str">
        <f ca="1"/>
        <v>-</v>
      </c>
      <c r="AL466" s="35"/>
      <c r="AM466" s="109" cm="1">
        <f t="array" aca="1" ref="AM466" ca="1">IF('Banco de Dados'!$AK466&lt;&gt;"-",_xlfn.IFS('Banco de Dados'!$A466="bv",IF('Banco de Dados'!$E466&lt;45641,ROUND(SUM('Banco de Dados'!$R466*_xlfn.XLOOKUP('Banco de Dados'!$P466,Sku!B:B,Sku!#REF!)*20%),2),ROUND(SUM('Banco de Dados'!$R466*_xlfn.XLOOKUP('Banco de Dados'!$P466,Sku!B:B,Sku!H:H)*20%),2)),'Banco de Dados'!$A466="GO",ROUND(_xlfn.XLOOKUP('Banco de Dados'!$P466,Sku!C:C,Sku!H:H),2),'Banco de Dados'!$A466="MEI",ROUND(_xlfn.XLOOKUP('Banco de Dados'!$P466,Sku!D:D,Sku!H:H),2)),0)</f>
        <v>0</v>
      </c>
      <c r="AN466" s="109">
        <f ca="1">IF('Banco de Dados'!$AK466&lt;&gt;"-",IF('Banco de Dados'!$F466&lt;&gt;"-",_xlfn.XLOOKUP(IFERROR(IFERROR(IFERROR(VALUE(SUBSTITUTE(MID(_xlfn.TEXTAFTER('Banco de Dados'!$F466,"Data do Pedido:
",1),1,10),"-","/")),VALUE(SUBSTITUTE(MID(_xlfn.TEXTAFTER('Banco de Dados'!$F466,"Order date:
",1),1,10),"-","/"))),VALUE(SUBSTITUTE(MID(_xlfn.TEXTAFTER('Banco de Dados'!$F466,"Fecha de pedido:
",1),1,10),"-","/"))),"-"),SMS!A:A,SMS!K:K),0),0)</f>
        <v>0</v>
      </c>
      <c r="AO466" s="109">
        <f ca="1">IF('Banco de Dados'!$AK466&lt;&gt;"-",IF('Banco de Dados'!$F466&lt;&gt;"-",IFERROR(_xlfn.XLOOKUP(_xlfn.CONCAT('Banco de Dados'!$A466,IFERROR(IFERROR(VALUE(SUBSTITUTE(MID(_xlfn.TEXTAFTER('Banco de Dados'!$F466,"Data do Pedido:
",1),1,10),"-","/")),VALUE(SUBSTITUTE(MID(_xlfn.TEXTAFTER('Banco de Dados'!$F466,"Order date:
",1),1,10),"-","/"))),0)),ProxyDD[Chave],ProxyDD[Valor por pedido]),PROXY!$P$2),0),0)</f>
        <v>0</v>
      </c>
      <c r="AP466" s="28">
        <f ca="1">IF('Banco de Dados'!$AK466&lt;&gt;"-",IF('Banco de Dados'!$AL466="NÃO",IFERROR(VALUE(SUBSTITUTE(_xlfn.TEXTAFTER('Banco de Dados'!$F466,"BRL ",1),".",",")),0),0),0)</f>
        <v>0</v>
      </c>
      <c r="AQ466" s="28">
        <f ca="1">SUM('Banco de Dados'!$AM466:$AP466)</f>
        <v>0</v>
      </c>
      <c r="AR466" s="8"/>
      <c r="AS466" s="8"/>
      <c r="AY466" s="8"/>
    </row>
    <row r="467" spans="1:51">
      <c r="A467" s="5" t="str">
        <v>BV</v>
      </c>
      <c r="B467" s="5" t="str">
        <f ca="1"/>
        <v>BV45624</v>
      </c>
      <c r="C467" s="8" t="str">
        <v>Pedido 456</v>
      </c>
      <c r="D467" s="9">
        <v>45624</v>
      </c>
      <c r="E467" s="9">
        <v>45624</v>
      </c>
      <c r="F467" s="8" t="str">
        <v>PedidoF442</v>
      </c>
      <c r="G467" s="2" t="str">
        <v>CódRastreio441</v>
      </c>
      <c r="H467" s="5">
        <v>1</v>
      </c>
      <c r="I467" s="182" t="str">
        <v>CPF 441</v>
      </c>
      <c r="J467" s="2" t="str">
        <v>Nome 441</v>
      </c>
      <c r="K467" s="8" t="str">
        <v>Tel 441</v>
      </c>
      <c r="L467" s="2" t="str">
        <v>Cep 441</v>
      </c>
      <c r="M467" s="2" t="str">
        <v>Rua 441</v>
      </c>
      <c r="N467" s="2" t="str">
        <v>Comp 441</v>
      </c>
      <c r="O467" s="2" t="str">
        <v>Ventilador Preto</v>
      </c>
      <c r="P467" s="8" t="str">
        <v>MU-J80P-95WF</v>
      </c>
      <c r="Q467" s="4">
        <v>45645</v>
      </c>
      <c r="R467" s="109">
        <v>65.989999999999995</v>
      </c>
      <c r="S467" s="11">
        <f ca="1"/>
        <v>65.989999999999995</v>
      </c>
      <c r="T467" s="28">
        <f ca="1"/>
        <v>8.5786999999999995</v>
      </c>
      <c r="U467" s="11">
        <f ca="1"/>
        <v>57.41</v>
      </c>
      <c r="V467" s="11">
        <v>14.67</v>
      </c>
      <c r="W467" s="11">
        <f ca="1"/>
        <v>0.14000000000000001</v>
      </c>
      <c r="X467" s="11">
        <f ca="1"/>
        <v>0.39877104377104378</v>
      </c>
      <c r="Y467" s="11">
        <v>0</v>
      </c>
      <c r="Z467" s="11">
        <f ca="1"/>
        <v>42.201228956228952</v>
      </c>
      <c r="AA467" s="11">
        <f ca="1"/>
        <v>21.100614478114476</v>
      </c>
      <c r="AB467" s="4">
        <f ca="1"/>
        <v>45652</v>
      </c>
      <c r="AC467" s="4">
        <v>45652</v>
      </c>
      <c r="AD467" s="9">
        <v>45656</v>
      </c>
      <c r="AE467" s="9">
        <v>45659</v>
      </c>
      <c r="AF467" s="4" t="str">
        <f t="shared" ca="1" si="7"/>
        <v>2024 12</v>
      </c>
      <c r="AG467" s="8" t="str" cm="1">
        <f t="array" ref="AG467">IFERROR(_xlfn.IFS('Banco de Dados'!#REF!="AG. COMPRA","Em processamento",'Banco de Dados'!#REF!="AG. RASTREIO","Em processamento",'Banco de Dados'!$AE467&lt;&gt;"-","Faturado",'Banco de Dados'!$AD467&lt;&gt;"-","Aguardando Pix",'Banco de Dados'!$AC467&lt;&gt;"-","Pendente"),"Aguardando Liberação")</f>
        <v>Aguardando Liberação</v>
      </c>
      <c r="AH467" s="5" t="str">
        <f>IF('Banco de Dados'!$F467="-",_xlfn.CONCAT(PROPER(TEXT(AK467,"aaaa"))," ",PROPER(TEXT(AK467,"mm"))),_xlfn.CONCAT(PROPER(TEXT(E467,"aaaa"))," ",PROPER(TEXT(E467,"mm"))))</f>
        <v>2024 11</v>
      </c>
      <c r="AI467" s="9" t="str">
        <f ca="1">IF('Banco de Dados'!$AK467&lt;&gt;"-","REEMBOLSO",IFERROR(_xlfn.XLOOKUP(G467,Follow[CODRASTREIO],Follow[STATUS]),"-"))</f>
        <v>ENTREGUE</v>
      </c>
      <c r="AJ467" s="9">
        <f ca="1">IF('Banco de Dados'!$AI467="ENTREGUE",_xlfn.XLOOKUP('Banco de Dados'!$G467,Follow[CODRASTREIO],Follow[DATAATUALIZAÇÃO]),"-")</f>
        <v>45636</v>
      </c>
      <c r="AK467" s="9" t="str">
        <f ca="1"/>
        <v>-</v>
      </c>
      <c r="AL467" s="35"/>
      <c r="AM467" s="109" cm="1">
        <f t="array" aca="1" ref="AM467" ca="1">IF('Banco de Dados'!$AK467&lt;&gt;"-",_xlfn.IFS('Banco de Dados'!$A467="bv",IF('Banco de Dados'!$E467&lt;45641,ROUND(SUM('Banco de Dados'!$R467*_xlfn.XLOOKUP('Banco de Dados'!$P467,Sku!B:B,Sku!#REF!)*20%),2),ROUND(SUM('Banco de Dados'!$R467*_xlfn.XLOOKUP('Banco de Dados'!$P467,Sku!B:B,Sku!H:H)*20%),2)),'Banco de Dados'!$A467="GO",ROUND(_xlfn.XLOOKUP('Banco de Dados'!$P467,Sku!C:C,Sku!H:H),2),'Banco de Dados'!$A467="MEI",ROUND(_xlfn.XLOOKUP('Banco de Dados'!$P467,Sku!D:D,Sku!H:H),2)),0)</f>
        <v>0</v>
      </c>
      <c r="AN467" s="109">
        <f ca="1">IF('Banco de Dados'!$AK467&lt;&gt;"-",IF('Banco de Dados'!$F467&lt;&gt;"-",_xlfn.XLOOKUP(IFERROR(IFERROR(IFERROR(VALUE(SUBSTITUTE(MID(_xlfn.TEXTAFTER('Banco de Dados'!$F467,"Data do Pedido:
",1),1,10),"-","/")),VALUE(SUBSTITUTE(MID(_xlfn.TEXTAFTER('Banco de Dados'!$F467,"Order date:
",1),1,10),"-","/"))),VALUE(SUBSTITUTE(MID(_xlfn.TEXTAFTER('Banco de Dados'!$F467,"Fecha de pedido:
",1),1,10),"-","/"))),"-"),SMS!A:A,SMS!K:K),0),0)</f>
        <v>0</v>
      </c>
      <c r="AO467" s="109">
        <f ca="1">IF('Banco de Dados'!$AK467&lt;&gt;"-",IF('Banco de Dados'!$F467&lt;&gt;"-",IFERROR(_xlfn.XLOOKUP(_xlfn.CONCAT('Banco de Dados'!$A467,IFERROR(IFERROR(VALUE(SUBSTITUTE(MID(_xlfn.TEXTAFTER('Banco de Dados'!$F467,"Data do Pedido:
",1),1,10),"-","/")),VALUE(SUBSTITUTE(MID(_xlfn.TEXTAFTER('Banco de Dados'!$F467,"Order date:
",1),1,10),"-","/"))),0)),ProxyDD[Chave],ProxyDD[Valor por pedido]),PROXY!$P$2),0),0)</f>
        <v>0</v>
      </c>
      <c r="AP467" s="28">
        <f ca="1">IF('Banco de Dados'!$AK467&lt;&gt;"-",IF('Banco de Dados'!$AL467="NÃO",IFERROR(VALUE(SUBSTITUTE(_xlfn.TEXTAFTER('Banco de Dados'!$F467,"BRL ",1),".",",")),0),0),0)</f>
        <v>0</v>
      </c>
      <c r="AQ467" s="28">
        <f ca="1">SUM('Banco de Dados'!$AM467:$AP467)</f>
        <v>0</v>
      </c>
      <c r="AR467" s="8"/>
      <c r="AS467" s="8"/>
      <c r="AY467" s="8"/>
    </row>
    <row r="468" spans="1:51">
      <c r="A468" s="5" t="str">
        <v>BV</v>
      </c>
      <c r="B468" s="5" t="str">
        <f ca="1"/>
        <v>BV45624</v>
      </c>
      <c r="C468" s="8" t="str">
        <v>Pedido 457</v>
      </c>
      <c r="D468" s="9">
        <v>45624</v>
      </c>
      <c r="E468" s="9">
        <v>45624</v>
      </c>
      <c r="F468" s="8" t="str">
        <v>PedidoF443</v>
      </c>
      <c r="G468" s="2" t="str">
        <v>CódRastreio442</v>
      </c>
      <c r="H468" s="5">
        <v>1</v>
      </c>
      <c r="I468" s="182" t="str">
        <v>CPF 442</v>
      </c>
      <c r="J468" s="2" t="str">
        <v>Nome 442</v>
      </c>
      <c r="K468" s="8" t="str">
        <v>Tel 442</v>
      </c>
      <c r="L468" s="2" t="str">
        <v>Cep 442</v>
      </c>
      <c r="M468" s="2" t="str">
        <v>Rua 442</v>
      </c>
      <c r="N468" s="2" t="str">
        <v>Comp 442</v>
      </c>
      <c r="O468" s="2" t="str">
        <v>Mini Liquidificador</v>
      </c>
      <c r="P468" s="8" t="str">
        <v>CK-YL6M-P5Y6</v>
      </c>
      <c r="Q468" s="4">
        <v>45653</v>
      </c>
      <c r="R468" s="109">
        <v>39.99</v>
      </c>
      <c r="S468" s="11">
        <f ca="1"/>
        <v>39.99</v>
      </c>
      <c r="T468" s="28">
        <f ca="1"/>
        <v>5.1987000000000005</v>
      </c>
      <c r="U468" s="11">
        <f ca="1"/>
        <v>34.79</v>
      </c>
      <c r="V468" s="11">
        <v>17.989999999999998</v>
      </c>
      <c r="W468" s="11">
        <f ca="1"/>
        <v>0.14000000000000001</v>
      </c>
      <c r="X468" s="11">
        <f ca="1"/>
        <v>0.39877104377104378</v>
      </c>
      <c r="Y468" s="11">
        <v>0</v>
      </c>
      <c r="Z468" s="11">
        <f ca="1"/>
        <v>16.261228956228955</v>
      </c>
      <c r="AA468" s="11">
        <f ca="1"/>
        <v>8.1306144781144774</v>
      </c>
      <c r="AB468" s="4">
        <f ca="1"/>
        <v>45660</v>
      </c>
      <c r="AC468" s="4">
        <v>45660</v>
      </c>
      <c r="AD468" s="9">
        <v>45665</v>
      </c>
      <c r="AE468" s="9">
        <v>45673</v>
      </c>
      <c r="AF468" s="4" t="str">
        <f t="shared" ca="1" si="7"/>
        <v>2025 01</v>
      </c>
      <c r="AG468" s="8" t="str" cm="1">
        <f t="array" ref="AG468">IFERROR(_xlfn.IFS('Banco de Dados'!#REF!="AG. COMPRA","Em processamento",'Banco de Dados'!#REF!="AG. RASTREIO","Em processamento",'Banco de Dados'!$AE468&lt;&gt;"-","Faturado",'Banco de Dados'!$AD468&lt;&gt;"-","Aguardando Pix",'Banco de Dados'!$AC468&lt;&gt;"-","Pendente"),"Aguardando Liberação")</f>
        <v>Aguardando Liberação</v>
      </c>
      <c r="AH468" s="5" t="str">
        <f>IF('Banco de Dados'!$F468="-",_xlfn.CONCAT(PROPER(TEXT(AK468,"aaaa"))," ",PROPER(TEXT(AK468,"mm"))),_xlfn.CONCAT(PROPER(TEXT(E468,"aaaa"))," ",PROPER(TEXT(E468,"mm"))))</f>
        <v>2024 11</v>
      </c>
      <c r="AI468" s="9" t="str">
        <f ca="1">IF('Banco de Dados'!$AK468&lt;&gt;"-","REEMBOLSO",IFERROR(_xlfn.XLOOKUP(G468,Follow[CODRASTREIO],Follow[STATUS]),"-"))</f>
        <v>ENTREGUE</v>
      </c>
      <c r="AJ468" s="9">
        <f ca="1">IF('Banco de Dados'!$AI468="ENTREGUE",_xlfn.XLOOKUP('Banco de Dados'!$G468,Follow[CODRASTREIO],Follow[DATAATUALIZAÇÃO]),"-")</f>
        <v>45638</v>
      </c>
      <c r="AK468" s="9" t="str">
        <f ca="1"/>
        <v>-</v>
      </c>
      <c r="AL468" s="35"/>
      <c r="AM468" s="109" cm="1">
        <f t="array" aca="1" ref="AM468" ca="1">IF('Banco de Dados'!$AK468&lt;&gt;"-",_xlfn.IFS('Banco de Dados'!$A468="bv",IF('Banco de Dados'!$E468&lt;45641,ROUND(SUM('Banco de Dados'!$R468*_xlfn.XLOOKUP('Banco de Dados'!$P468,Sku!B:B,Sku!#REF!)*20%),2),ROUND(SUM('Banco de Dados'!$R468*_xlfn.XLOOKUP('Banco de Dados'!$P468,Sku!B:B,Sku!H:H)*20%),2)),'Banco de Dados'!$A468="GO",ROUND(_xlfn.XLOOKUP('Banco de Dados'!$P468,Sku!C:C,Sku!H:H),2),'Banco de Dados'!$A468="MEI",ROUND(_xlfn.XLOOKUP('Banco de Dados'!$P468,Sku!D:D,Sku!H:H),2)),0)</f>
        <v>0</v>
      </c>
      <c r="AN468" s="109">
        <f ca="1">IF('Banco de Dados'!$AK468&lt;&gt;"-",IF('Banco de Dados'!$F468&lt;&gt;"-",_xlfn.XLOOKUP(IFERROR(IFERROR(IFERROR(VALUE(SUBSTITUTE(MID(_xlfn.TEXTAFTER('Banco de Dados'!$F468,"Data do Pedido:
",1),1,10),"-","/")),VALUE(SUBSTITUTE(MID(_xlfn.TEXTAFTER('Banco de Dados'!$F468,"Order date:
",1),1,10),"-","/"))),VALUE(SUBSTITUTE(MID(_xlfn.TEXTAFTER('Banco de Dados'!$F468,"Fecha de pedido:
",1),1,10),"-","/"))),"-"),SMS!A:A,SMS!K:K),0),0)</f>
        <v>0</v>
      </c>
      <c r="AO468" s="109">
        <f ca="1">IF('Banco de Dados'!$AK468&lt;&gt;"-",IF('Banco de Dados'!$F468&lt;&gt;"-",IFERROR(_xlfn.XLOOKUP(_xlfn.CONCAT('Banco de Dados'!$A468,IFERROR(IFERROR(VALUE(SUBSTITUTE(MID(_xlfn.TEXTAFTER('Banco de Dados'!$F468,"Data do Pedido:
",1),1,10),"-","/")),VALUE(SUBSTITUTE(MID(_xlfn.TEXTAFTER('Banco de Dados'!$F468,"Order date:
",1),1,10),"-","/"))),0)),ProxyDD[Chave],ProxyDD[Valor por pedido]),PROXY!$P$2),0),0)</f>
        <v>0</v>
      </c>
      <c r="AP468" s="28">
        <f ca="1">IF('Banco de Dados'!$AK468&lt;&gt;"-",IF('Banco de Dados'!$AL468="NÃO",IFERROR(VALUE(SUBSTITUTE(_xlfn.TEXTAFTER('Banco de Dados'!$F468,"BRL ",1),".",",")),0),0),0)</f>
        <v>0</v>
      </c>
      <c r="AQ468" s="28">
        <f ca="1">SUM('Banco de Dados'!$AM468:$AP468)</f>
        <v>0</v>
      </c>
      <c r="AR468" s="8"/>
      <c r="AS468" s="8"/>
      <c r="AY468" s="8"/>
    </row>
    <row r="469" spans="1:51">
      <c r="A469" s="5" t="str">
        <v>BV</v>
      </c>
      <c r="B469" s="5" t="str">
        <f ca="1"/>
        <v>BV45624</v>
      </c>
      <c r="C469" s="8" t="str">
        <v>Pedido 458</v>
      </c>
      <c r="D469" s="9">
        <v>45624</v>
      </c>
      <c r="E469" s="9">
        <v>45624</v>
      </c>
      <c r="F469" s="8" t="str">
        <v>PedidoF444</v>
      </c>
      <c r="G469" s="2" t="str">
        <v>CódRastreio443</v>
      </c>
      <c r="H469" s="5">
        <v>1</v>
      </c>
      <c r="I469" s="182" t="str">
        <v>CPF 443</v>
      </c>
      <c r="J469" s="2" t="str">
        <v>Nome 443</v>
      </c>
      <c r="K469" s="8" t="str">
        <v>Tel 443</v>
      </c>
      <c r="L469" s="2" t="str">
        <v>Cep 443</v>
      </c>
      <c r="M469" s="2" t="str">
        <v>Rua 443</v>
      </c>
      <c r="N469" s="2" t="str">
        <v>Comp 443</v>
      </c>
      <c r="O469" s="2" t="str">
        <v>Ventilador Preto</v>
      </c>
      <c r="P469" s="8" t="str">
        <v>MU-J80P-95WF</v>
      </c>
      <c r="Q469" s="4">
        <v>45645</v>
      </c>
      <c r="R469" s="109">
        <v>65.989999999999995</v>
      </c>
      <c r="S469" s="11">
        <f ca="1"/>
        <v>65.989999999999995</v>
      </c>
      <c r="T469" s="28">
        <f ca="1"/>
        <v>8.5786999999999995</v>
      </c>
      <c r="U469" s="11">
        <f ca="1"/>
        <v>57.41</v>
      </c>
      <c r="V469" s="11">
        <v>14.67</v>
      </c>
      <c r="W469" s="11">
        <f ca="1"/>
        <v>0.14000000000000001</v>
      </c>
      <c r="X469" s="11">
        <f ca="1"/>
        <v>0.39877104377104378</v>
      </c>
      <c r="Y469" s="11">
        <v>0</v>
      </c>
      <c r="Z469" s="11">
        <f ca="1"/>
        <v>42.201228956228952</v>
      </c>
      <c r="AA469" s="11">
        <f ca="1"/>
        <v>21.100614478114476</v>
      </c>
      <c r="AB469" s="4">
        <f ca="1"/>
        <v>45652</v>
      </c>
      <c r="AC469" s="4">
        <v>45652</v>
      </c>
      <c r="AD469" s="9">
        <v>45656</v>
      </c>
      <c r="AE469" s="9">
        <v>45659</v>
      </c>
      <c r="AF469" s="4" t="str">
        <f t="shared" ca="1" si="7"/>
        <v>2024 12</v>
      </c>
      <c r="AG469" s="8" t="str" cm="1">
        <f t="array" ref="AG469">IFERROR(_xlfn.IFS('Banco de Dados'!#REF!="AG. COMPRA","Em processamento",'Banco de Dados'!#REF!="AG. RASTREIO","Em processamento",'Banco de Dados'!$AE469&lt;&gt;"-","Faturado",'Banco de Dados'!$AD469&lt;&gt;"-","Aguardando Pix",'Banco de Dados'!$AC469&lt;&gt;"-","Pendente"),"Aguardando Liberação")</f>
        <v>Aguardando Liberação</v>
      </c>
      <c r="AH469" s="5" t="str">
        <f>IF('Banco de Dados'!$F469="-",_xlfn.CONCAT(PROPER(TEXT(AK469,"aaaa"))," ",PROPER(TEXT(AK469,"mm"))),_xlfn.CONCAT(PROPER(TEXT(E469,"aaaa"))," ",PROPER(TEXT(E469,"mm"))))</f>
        <v>2024 11</v>
      </c>
      <c r="AI469" s="9" t="str">
        <f ca="1">IF('Banco de Dados'!$AK469&lt;&gt;"-","REEMBOLSO",IFERROR(_xlfn.XLOOKUP(G469,Follow[CODRASTREIO],Follow[STATUS]),"-"))</f>
        <v>ENTREGUE</v>
      </c>
      <c r="AJ469" s="9">
        <f ca="1">IF('Banco de Dados'!$AI469="ENTREGUE",_xlfn.XLOOKUP('Banco de Dados'!$G469,Follow[CODRASTREIO],Follow[DATAATUALIZAÇÃO]),"-")</f>
        <v>45635.696851851855</v>
      </c>
      <c r="AK469" s="9" t="str">
        <f ca="1"/>
        <v>-</v>
      </c>
      <c r="AL469" s="35"/>
      <c r="AM469" s="109" cm="1">
        <f t="array" aca="1" ref="AM469" ca="1">IF('Banco de Dados'!$AK469&lt;&gt;"-",_xlfn.IFS('Banco de Dados'!$A469="bv",IF('Banco de Dados'!$E469&lt;45641,ROUND(SUM('Banco de Dados'!$R469*_xlfn.XLOOKUP('Banco de Dados'!$P469,Sku!B:B,Sku!#REF!)*20%),2),ROUND(SUM('Banco de Dados'!$R469*_xlfn.XLOOKUP('Banco de Dados'!$P469,Sku!B:B,Sku!H:H)*20%),2)),'Banco de Dados'!$A469="GO",ROUND(_xlfn.XLOOKUP('Banco de Dados'!$P469,Sku!C:C,Sku!H:H),2),'Banco de Dados'!$A469="MEI",ROUND(_xlfn.XLOOKUP('Banco de Dados'!$P469,Sku!D:D,Sku!H:H),2)),0)</f>
        <v>0</v>
      </c>
      <c r="AN469" s="109">
        <f ca="1">IF('Banco de Dados'!$AK469&lt;&gt;"-",IF('Banco de Dados'!$F469&lt;&gt;"-",_xlfn.XLOOKUP(IFERROR(IFERROR(IFERROR(VALUE(SUBSTITUTE(MID(_xlfn.TEXTAFTER('Banco de Dados'!$F469,"Data do Pedido:
",1),1,10),"-","/")),VALUE(SUBSTITUTE(MID(_xlfn.TEXTAFTER('Banco de Dados'!$F469,"Order date:
",1),1,10),"-","/"))),VALUE(SUBSTITUTE(MID(_xlfn.TEXTAFTER('Banco de Dados'!$F469,"Fecha de pedido:
",1),1,10),"-","/"))),"-"),SMS!A:A,SMS!K:K),0),0)</f>
        <v>0</v>
      </c>
      <c r="AO469" s="109">
        <f ca="1">IF('Banco de Dados'!$AK469&lt;&gt;"-",IF('Banco de Dados'!$F469&lt;&gt;"-",IFERROR(_xlfn.XLOOKUP(_xlfn.CONCAT('Banco de Dados'!$A469,IFERROR(IFERROR(VALUE(SUBSTITUTE(MID(_xlfn.TEXTAFTER('Banco de Dados'!$F469,"Data do Pedido:
",1),1,10),"-","/")),VALUE(SUBSTITUTE(MID(_xlfn.TEXTAFTER('Banco de Dados'!$F469,"Order date:
",1),1,10),"-","/"))),0)),ProxyDD[Chave],ProxyDD[Valor por pedido]),PROXY!$P$2),0),0)</f>
        <v>0</v>
      </c>
      <c r="AP469" s="28">
        <f ca="1">IF('Banco de Dados'!$AK469&lt;&gt;"-",IF('Banco de Dados'!$AL469="NÃO",IFERROR(VALUE(SUBSTITUTE(_xlfn.TEXTAFTER('Banco de Dados'!$F469,"BRL ",1),".",",")),0),0),0)</f>
        <v>0</v>
      </c>
      <c r="AQ469" s="28">
        <f ca="1">SUM('Banco de Dados'!$AM469:$AP469)</f>
        <v>0</v>
      </c>
      <c r="AR469" s="8"/>
      <c r="AS469" s="8"/>
      <c r="AY469" s="8"/>
    </row>
    <row r="470" spans="1:51">
      <c r="A470" s="5" t="str">
        <v>BV</v>
      </c>
      <c r="B470" s="5" t="str">
        <f ca="1"/>
        <v>BV45624</v>
      </c>
      <c r="C470" s="8" t="str">
        <v>Pedido 459</v>
      </c>
      <c r="D470" s="9">
        <v>45624</v>
      </c>
      <c r="E470" s="9">
        <v>45624</v>
      </c>
      <c r="F470" s="8" t="str">
        <v>PedidoF445</v>
      </c>
      <c r="G470" s="2" t="str">
        <v>CódRastreio444</v>
      </c>
      <c r="H470" s="5">
        <v>1</v>
      </c>
      <c r="I470" s="182" t="str">
        <v>CPF 444</v>
      </c>
      <c r="J470" s="2" t="str">
        <v>Nome 444</v>
      </c>
      <c r="K470" s="8" t="str">
        <v>Tel 444</v>
      </c>
      <c r="L470" s="2" t="str">
        <v>Cep 444</v>
      </c>
      <c r="M470" s="2" t="str">
        <v>Rua 444</v>
      </c>
      <c r="N470" s="2" t="str">
        <v>Comp 444</v>
      </c>
      <c r="O470" s="2" t="str">
        <v>Adaptador Bluetooph</v>
      </c>
      <c r="P470" s="8" t="str">
        <v>YA-AG3H-SPUK</v>
      </c>
      <c r="Q470" s="4">
        <v>45643</v>
      </c>
      <c r="R470" s="109">
        <v>18.5</v>
      </c>
      <c r="S470" s="11">
        <f ca="1"/>
        <v>18.5</v>
      </c>
      <c r="T470" s="28">
        <f ca="1"/>
        <v>2.2199999999999998</v>
      </c>
      <c r="U470" s="11">
        <f ca="1"/>
        <v>16.28</v>
      </c>
      <c r="V470" s="11">
        <v>8.58</v>
      </c>
      <c r="W470" s="11">
        <f ca="1"/>
        <v>0.14000000000000001</v>
      </c>
      <c r="X470" s="11">
        <f ca="1"/>
        <v>0.39877104377104378</v>
      </c>
      <c r="Y470" s="11">
        <v>0</v>
      </c>
      <c r="Z470" s="11">
        <f ca="1"/>
        <v>7.1612289562289568</v>
      </c>
      <c r="AA470" s="11">
        <f ca="1"/>
        <v>3.5806144781144784</v>
      </c>
      <c r="AB470" s="4">
        <f ca="1"/>
        <v>45650</v>
      </c>
      <c r="AC470" s="4">
        <v>45650</v>
      </c>
      <c r="AD470" s="9">
        <v>45651</v>
      </c>
      <c r="AE470" s="9">
        <v>45659</v>
      </c>
      <c r="AF470" s="4" t="str">
        <f t="shared" ca="1" si="7"/>
        <v>2024 12</v>
      </c>
      <c r="AG470" s="8" t="str" cm="1">
        <f t="array" ref="AG470">IFERROR(_xlfn.IFS('Banco de Dados'!#REF!="AG. COMPRA","Em processamento",'Banco de Dados'!#REF!="AG. RASTREIO","Em processamento",'Banco de Dados'!$AE470&lt;&gt;"-","Faturado",'Banco de Dados'!$AD470&lt;&gt;"-","Aguardando Pix",'Banco de Dados'!$AC470&lt;&gt;"-","Pendente"),"Aguardando Liberação")</f>
        <v>Aguardando Liberação</v>
      </c>
      <c r="AH470" s="5" t="str">
        <f>IF('Banco de Dados'!$F470="-",_xlfn.CONCAT(PROPER(TEXT(AK470,"aaaa"))," ",PROPER(TEXT(AK470,"mm"))),_xlfn.CONCAT(PROPER(TEXT(E470,"aaaa"))," ",PROPER(TEXT(E470,"mm"))))</f>
        <v>2024 11</v>
      </c>
      <c r="AI470" s="9" t="str">
        <f ca="1">IF('Banco de Dados'!$AK470&lt;&gt;"-","REEMBOLSO",IFERROR(_xlfn.XLOOKUP(G470,Follow[CODRASTREIO],Follow[STATUS]),"-"))</f>
        <v>ENTREGUE</v>
      </c>
      <c r="AJ470" s="9">
        <f ca="1">IF('Banco de Dados'!$AI470="ENTREGUE",_xlfn.XLOOKUP('Banco de Dados'!$G470,Follow[CODRASTREIO],Follow[DATAATUALIZAÇÃO]),"-")</f>
        <v>45628</v>
      </c>
      <c r="AK470" s="9" t="str">
        <f ca="1"/>
        <v>-</v>
      </c>
      <c r="AL470" s="35"/>
      <c r="AM470" s="109" cm="1">
        <f t="array" aca="1" ref="AM470" ca="1">IF('Banco de Dados'!$AK470&lt;&gt;"-",_xlfn.IFS('Banco de Dados'!$A470="bv",IF('Banco de Dados'!$E470&lt;45641,ROUND(SUM('Banco de Dados'!$R470*_xlfn.XLOOKUP('Banco de Dados'!$P470,Sku!B:B,Sku!#REF!)*20%),2),ROUND(SUM('Banco de Dados'!$R470*_xlfn.XLOOKUP('Banco de Dados'!$P470,Sku!B:B,Sku!H:H)*20%),2)),'Banco de Dados'!$A470="GO",ROUND(_xlfn.XLOOKUP('Banco de Dados'!$P470,Sku!C:C,Sku!H:H),2),'Banco de Dados'!$A470="MEI",ROUND(_xlfn.XLOOKUP('Banco de Dados'!$P470,Sku!D:D,Sku!H:H),2)),0)</f>
        <v>0</v>
      </c>
      <c r="AN470" s="109">
        <f ca="1">IF('Banco de Dados'!$AK470&lt;&gt;"-",IF('Banco de Dados'!$F470&lt;&gt;"-",_xlfn.XLOOKUP(IFERROR(IFERROR(IFERROR(VALUE(SUBSTITUTE(MID(_xlfn.TEXTAFTER('Banco de Dados'!$F470,"Data do Pedido:
",1),1,10),"-","/")),VALUE(SUBSTITUTE(MID(_xlfn.TEXTAFTER('Banco de Dados'!$F470,"Order date:
",1),1,10),"-","/"))),VALUE(SUBSTITUTE(MID(_xlfn.TEXTAFTER('Banco de Dados'!$F470,"Fecha de pedido:
",1),1,10),"-","/"))),"-"),SMS!A:A,SMS!K:K),0),0)</f>
        <v>0</v>
      </c>
      <c r="AO470" s="109">
        <f ca="1">IF('Banco de Dados'!$AK470&lt;&gt;"-",IF('Banco de Dados'!$F470&lt;&gt;"-",IFERROR(_xlfn.XLOOKUP(_xlfn.CONCAT('Banco de Dados'!$A470,IFERROR(IFERROR(VALUE(SUBSTITUTE(MID(_xlfn.TEXTAFTER('Banco de Dados'!$F470,"Data do Pedido:
",1),1,10),"-","/")),VALUE(SUBSTITUTE(MID(_xlfn.TEXTAFTER('Banco de Dados'!$F470,"Order date:
",1),1,10),"-","/"))),0)),ProxyDD[Chave],ProxyDD[Valor por pedido]),PROXY!$P$2),0),0)</f>
        <v>0</v>
      </c>
      <c r="AP470" s="28">
        <f ca="1">IF('Banco de Dados'!$AK470&lt;&gt;"-",IF('Banco de Dados'!$AL470="NÃO",IFERROR(VALUE(SUBSTITUTE(_xlfn.TEXTAFTER('Banco de Dados'!$F470,"BRL ",1),".",",")),0),0),0)</f>
        <v>0</v>
      </c>
      <c r="AQ470" s="28">
        <f ca="1">SUM('Banco de Dados'!$AM470:$AP470)</f>
        <v>0</v>
      </c>
      <c r="AR470" s="8"/>
      <c r="AS470" s="8"/>
      <c r="AY470" s="8"/>
    </row>
    <row r="471" spans="1:51">
      <c r="A471" s="5" t="str">
        <v>BV</v>
      </c>
      <c r="B471" s="5" t="str">
        <f ca="1"/>
        <v>BV45624</v>
      </c>
      <c r="C471" s="8" t="str">
        <v>Pedido 460</v>
      </c>
      <c r="D471" s="9">
        <v>45624</v>
      </c>
      <c r="E471" s="9">
        <v>45624</v>
      </c>
      <c r="F471" s="8" t="str">
        <v>PedidoF446</v>
      </c>
      <c r="G471" s="2" t="str">
        <v>CódRastreio445</v>
      </c>
      <c r="H471" s="5">
        <v>1</v>
      </c>
      <c r="I471" s="182" t="str">
        <v>CPF 445</v>
      </c>
      <c r="J471" s="2" t="str">
        <v>Nome 445</v>
      </c>
      <c r="K471" s="8" t="str">
        <v>Tel 445</v>
      </c>
      <c r="L471" s="2" t="str">
        <v>Cep 445</v>
      </c>
      <c r="M471" s="2" t="str">
        <v>Rua 445</v>
      </c>
      <c r="N471" s="2" t="str">
        <v>Comp 445</v>
      </c>
      <c r="O471" s="2" t="str">
        <v>Adaptador Bluetooph</v>
      </c>
      <c r="P471" s="8" t="str">
        <v>YA-AG3H-SPUK</v>
      </c>
      <c r="Q471" s="4">
        <v>45645</v>
      </c>
      <c r="R471" s="109">
        <v>18.5</v>
      </c>
      <c r="S471" s="11">
        <f ca="1"/>
        <v>18.5</v>
      </c>
      <c r="T471" s="28">
        <f ca="1"/>
        <v>2.2199999999999998</v>
      </c>
      <c r="U471" s="11">
        <f ca="1"/>
        <v>16.28</v>
      </c>
      <c r="V471" s="11">
        <v>8.58</v>
      </c>
      <c r="W471" s="11">
        <f ca="1"/>
        <v>0.14000000000000001</v>
      </c>
      <c r="X471" s="11">
        <f ca="1"/>
        <v>0.39877104377104378</v>
      </c>
      <c r="Y471" s="11">
        <v>0</v>
      </c>
      <c r="Z471" s="11">
        <f ca="1"/>
        <v>7.1612289562289568</v>
      </c>
      <c r="AA471" s="11">
        <f ca="1"/>
        <v>3.5806144781144784</v>
      </c>
      <c r="AB471" s="4">
        <f ca="1"/>
        <v>45652</v>
      </c>
      <c r="AC471" s="4">
        <v>45652</v>
      </c>
      <c r="AD471" s="9">
        <v>45656</v>
      </c>
      <c r="AE471" s="9">
        <v>45659</v>
      </c>
      <c r="AF471" s="4" t="str">
        <f t="shared" ca="1" si="7"/>
        <v>2024 12</v>
      </c>
      <c r="AG471" s="8" t="str" cm="1">
        <f t="array" ref="AG471">IFERROR(_xlfn.IFS('Banco de Dados'!#REF!="AG. COMPRA","Em processamento",'Banco de Dados'!#REF!="AG. RASTREIO","Em processamento",'Banco de Dados'!$AE471&lt;&gt;"-","Faturado",'Banco de Dados'!$AD471&lt;&gt;"-","Aguardando Pix",'Banco de Dados'!$AC471&lt;&gt;"-","Pendente"),"Aguardando Liberação")</f>
        <v>Aguardando Liberação</v>
      </c>
      <c r="AH471" s="5" t="str">
        <f>IF('Banco de Dados'!$F471="-",_xlfn.CONCAT(PROPER(TEXT(AK471,"aaaa"))," ",PROPER(TEXT(AK471,"mm"))),_xlfn.CONCAT(PROPER(TEXT(E471,"aaaa"))," ",PROPER(TEXT(E471,"mm"))))</f>
        <v>2024 11</v>
      </c>
      <c r="AI471" s="9" t="str">
        <f ca="1">IF('Banco de Dados'!$AK471&lt;&gt;"-","REEMBOLSO",IFERROR(_xlfn.XLOOKUP(G471,Follow[CODRASTREIO],Follow[STATUS]),"-"))</f>
        <v>ENTREGUE</v>
      </c>
      <c r="AJ471" s="9">
        <f ca="1">IF('Banco de Dados'!$AI471="ENTREGUE",_xlfn.XLOOKUP('Banco de Dados'!$G471,Follow[CODRASTREIO],Follow[DATAATUALIZAÇÃO]),"-")</f>
        <v>45632.673171296294</v>
      </c>
      <c r="AK471" s="9" t="str">
        <f ca="1"/>
        <v>-</v>
      </c>
      <c r="AL471" s="35"/>
      <c r="AM471" s="109" cm="1">
        <f t="array" aca="1" ref="AM471" ca="1">IF('Banco de Dados'!$AK471&lt;&gt;"-",_xlfn.IFS('Banco de Dados'!$A471="bv",IF('Banco de Dados'!$E471&lt;45641,ROUND(SUM('Banco de Dados'!$R471*_xlfn.XLOOKUP('Banco de Dados'!$P471,Sku!B:B,Sku!#REF!)*20%),2),ROUND(SUM('Banco de Dados'!$R471*_xlfn.XLOOKUP('Banco de Dados'!$P471,Sku!B:B,Sku!H:H)*20%),2)),'Banco de Dados'!$A471="GO",ROUND(_xlfn.XLOOKUP('Banco de Dados'!$P471,Sku!C:C,Sku!H:H),2),'Banco de Dados'!$A471="MEI",ROUND(_xlfn.XLOOKUP('Banco de Dados'!$P471,Sku!D:D,Sku!H:H),2)),0)</f>
        <v>0</v>
      </c>
      <c r="AN471" s="109">
        <f ca="1">IF('Banco de Dados'!$AK471&lt;&gt;"-",IF('Banco de Dados'!$F471&lt;&gt;"-",_xlfn.XLOOKUP(IFERROR(IFERROR(IFERROR(VALUE(SUBSTITUTE(MID(_xlfn.TEXTAFTER('Banco de Dados'!$F471,"Data do Pedido:
",1),1,10),"-","/")),VALUE(SUBSTITUTE(MID(_xlfn.TEXTAFTER('Banco de Dados'!$F471,"Order date:
",1),1,10),"-","/"))),VALUE(SUBSTITUTE(MID(_xlfn.TEXTAFTER('Banco de Dados'!$F471,"Fecha de pedido:
",1),1,10),"-","/"))),"-"),SMS!A:A,SMS!K:K),0),0)</f>
        <v>0</v>
      </c>
      <c r="AO471" s="109">
        <f ca="1">IF('Banco de Dados'!$AK471&lt;&gt;"-",IF('Banco de Dados'!$F471&lt;&gt;"-",IFERROR(_xlfn.XLOOKUP(_xlfn.CONCAT('Banco de Dados'!$A471,IFERROR(IFERROR(VALUE(SUBSTITUTE(MID(_xlfn.TEXTAFTER('Banco de Dados'!$F471,"Data do Pedido:
",1),1,10),"-","/")),VALUE(SUBSTITUTE(MID(_xlfn.TEXTAFTER('Banco de Dados'!$F471,"Order date:
",1),1,10),"-","/"))),0)),ProxyDD[Chave],ProxyDD[Valor por pedido]),PROXY!$P$2),0),0)</f>
        <v>0</v>
      </c>
      <c r="AP471" s="28">
        <f ca="1">IF('Banco de Dados'!$AK471&lt;&gt;"-",IF('Banco de Dados'!$AL471="NÃO",IFERROR(VALUE(SUBSTITUTE(_xlfn.TEXTAFTER('Banco de Dados'!$F471,"BRL ",1),".",",")),0),0),0)</f>
        <v>0</v>
      </c>
      <c r="AQ471" s="28">
        <f ca="1">SUM('Banco de Dados'!$AM471:$AP471)</f>
        <v>0</v>
      </c>
      <c r="AR471" s="8"/>
      <c r="AS471" s="8"/>
      <c r="AY471" s="8"/>
    </row>
    <row r="472" spans="1:51">
      <c r="A472" s="5" t="str">
        <v>BV</v>
      </c>
      <c r="B472" s="5" t="str">
        <f ca="1"/>
        <v>BV45624</v>
      </c>
      <c r="C472" s="8" t="str">
        <v>Pedido 461</v>
      </c>
      <c r="D472" s="9">
        <v>45624</v>
      </c>
      <c r="E472" s="9">
        <v>45624</v>
      </c>
      <c r="F472" s="8" t="str">
        <v>PedidoF447</v>
      </c>
      <c r="G472" s="2" t="str">
        <v>CódRastreio446</v>
      </c>
      <c r="H472" s="5">
        <v>1</v>
      </c>
      <c r="I472" s="182" t="str">
        <v>CPF 446</v>
      </c>
      <c r="J472" s="2" t="str">
        <v>Nome 446</v>
      </c>
      <c r="K472" s="8" t="str">
        <v>Tel 446</v>
      </c>
      <c r="L472" s="2" t="str">
        <v>Cep 446</v>
      </c>
      <c r="M472" s="2" t="str">
        <v>Rua 446</v>
      </c>
      <c r="N472" s="2" t="str">
        <v>Comp 446</v>
      </c>
      <c r="O472" s="2" t="str">
        <v>Ventilador Umidificador Branco</v>
      </c>
      <c r="P472" s="8" t="str">
        <v>IA-LLX9-MRV1</v>
      </c>
      <c r="Q472" s="4">
        <v>45653</v>
      </c>
      <c r="R472" s="109">
        <v>54.5</v>
      </c>
      <c r="S472" s="11">
        <f ca="1"/>
        <v>54.5</v>
      </c>
      <c r="T472" s="28">
        <f ca="1"/>
        <v>7.6300000000000008</v>
      </c>
      <c r="U472" s="11">
        <f ca="1"/>
        <v>46.87</v>
      </c>
      <c r="V472" s="11">
        <v>10.38</v>
      </c>
      <c r="W472" s="11">
        <f ca="1"/>
        <v>0.14000000000000001</v>
      </c>
      <c r="X472" s="11">
        <f ca="1"/>
        <v>0.39877104377104378</v>
      </c>
      <c r="Y472" s="11">
        <v>0</v>
      </c>
      <c r="Z472" s="11">
        <f ca="1"/>
        <v>35.951228956228952</v>
      </c>
      <c r="AA472" s="11">
        <f ca="1"/>
        <v>17.975614478114476</v>
      </c>
      <c r="AB472" s="4">
        <f ca="1"/>
        <v>45660</v>
      </c>
      <c r="AC472" s="4">
        <v>45660</v>
      </c>
      <c r="AD472" s="9">
        <v>45665</v>
      </c>
      <c r="AE472" s="9">
        <v>45673</v>
      </c>
      <c r="AF472" s="4" t="str">
        <f t="shared" ca="1" si="7"/>
        <v>2025 01</v>
      </c>
      <c r="AG472" s="8" t="str" cm="1">
        <f t="array" ref="AG472">IFERROR(_xlfn.IFS('Banco de Dados'!#REF!="AG. COMPRA","Em processamento",'Banco de Dados'!#REF!="AG. RASTREIO","Em processamento",'Banco de Dados'!$AE472&lt;&gt;"-","Faturado",'Banco de Dados'!$AD472&lt;&gt;"-","Aguardando Pix",'Banco de Dados'!$AC472&lt;&gt;"-","Pendente"),"Aguardando Liberação")</f>
        <v>Aguardando Liberação</v>
      </c>
      <c r="AH472" s="5" t="str">
        <f>IF('Banco de Dados'!$F472="-",_xlfn.CONCAT(PROPER(TEXT(AK472,"aaaa"))," ",PROPER(TEXT(AK472,"mm"))),_xlfn.CONCAT(PROPER(TEXT(E472,"aaaa"))," ",PROPER(TEXT(E472,"mm"))))</f>
        <v>2024 11</v>
      </c>
      <c r="AI472" s="9" t="str">
        <f ca="1">IF('Banco de Dados'!$AK472&lt;&gt;"-","REEMBOLSO",IFERROR(_xlfn.XLOOKUP(G472,Follow[CODRASTREIO],Follow[STATUS]),"-"))</f>
        <v>ENTREGUE</v>
      </c>
      <c r="AJ472" s="9">
        <f ca="1">IF('Banco de Dados'!$AI472="ENTREGUE",_xlfn.XLOOKUP('Banco de Dados'!$G472,Follow[CODRASTREIO],Follow[DATAATUALIZAÇÃO]),"-")</f>
        <v>45638</v>
      </c>
      <c r="AK472" s="9" t="str">
        <f ca="1"/>
        <v>-</v>
      </c>
      <c r="AL472" s="35"/>
      <c r="AM472" s="109" cm="1">
        <f t="array" aca="1" ref="AM472" ca="1">IF('Banco de Dados'!$AK472&lt;&gt;"-",_xlfn.IFS('Banco de Dados'!$A472="bv",IF('Banco de Dados'!$E472&lt;45641,ROUND(SUM('Banco de Dados'!$R472*_xlfn.XLOOKUP('Banco de Dados'!$P472,Sku!B:B,Sku!#REF!)*20%),2),ROUND(SUM('Banco de Dados'!$R472*_xlfn.XLOOKUP('Banco de Dados'!$P472,Sku!B:B,Sku!H:H)*20%),2)),'Banco de Dados'!$A472="GO",ROUND(_xlfn.XLOOKUP('Banco de Dados'!$P472,Sku!C:C,Sku!H:H),2),'Banco de Dados'!$A472="MEI",ROUND(_xlfn.XLOOKUP('Banco de Dados'!$P472,Sku!D:D,Sku!H:H),2)),0)</f>
        <v>0</v>
      </c>
      <c r="AN472" s="109">
        <f ca="1">IF('Banco de Dados'!$AK472&lt;&gt;"-",IF('Banco de Dados'!$F472&lt;&gt;"-",_xlfn.XLOOKUP(IFERROR(IFERROR(IFERROR(VALUE(SUBSTITUTE(MID(_xlfn.TEXTAFTER('Banco de Dados'!$F472,"Data do Pedido:
",1),1,10),"-","/")),VALUE(SUBSTITUTE(MID(_xlfn.TEXTAFTER('Banco de Dados'!$F472,"Order date:
",1),1,10),"-","/"))),VALUE(SUBSTITUTE(MID(_xlfn.TEXTAFTER('Banco de Dados'!$F472,"Fecha de pedido:
",1),1,10),"-","/"))),"-"),SMS!A:A,SMS!K:K),0),0)</f>
        <v>0</v>
      </c>
      <c r="AO472" s="109">
        <f ca="1">IF('Banco de Dados'!$AK472&lt;&gt;"-",IF('Banco de Dados'!$F472&lt;&gt;"-",IFERROR(_xlfn.XLOOKUP(_xlfn.CONCAT('Banco de Dados'!$A472,IFERROR(IFERROR(VALUE(SUBSTITUTE(MID(_xlfn.TEXTAFTER('Banco de Dados'!$F472,"Data do Pedido:
",1),1,10),"-","/")),VALUE(SUBSTITUTE(MID(_xlfn.TEXTAFTER('Banco de Dados'!$F472,"Order date:
",1),1,10),"-","/"))),0)),ProxyDD[Chave],ProxyDD[Valor por pedido]),PROXY!$P$2),0),0)</f>
        <v>0</v>
      </c>
      <c r="AP472" s="28">
        <f ca="1">IF('Banco de Dados'!$AK472&lt;&gt;"-",IF('Banco de Dados'!$AL472="NÃO",IFERROR(VALUE(SUBSTITUTE(_xlfn.TEXTAFTER('Banco de Dados'!$F472,"BRL ",1),".",",")),0),0),0)</f>
        <v>0</v>
      </c>
      <c r="AQ472" s="28">
        <f ca="1">SUM('Banco de Dados'!$AM472:$AP472)</f>
        <v>0</v>
      </c>
      <c r="AR472" s="8"/>
      <c r="AS472" s="8"/>
      <c r="AY472" s="8"/>
    </row>
    <row r="473" spans="1:51">
      <c r="A473" s="5" t="str">
        <v>BV</v>
      </c>
      <c r="B473" s="5" t="str">
        <f ca="1"/>
        <v>BV45625</v>
      </c>
      <c r="C473" s="8" t="str">
        <v>Pedido 462</v>
      </c>
      <c r="D473" s="9">
        <v>45625</v>
      </c>
      <c r="E473" s="9">
        <v>45625</v>
      </c>
      <c r="F473" s="8" t="str">
        <v>PedidoF448</v>
      </c>
      <c r="G473" s="2" t="str">
        <v>CódRastreio447</v>
      </c>
      <c r="H473" s="5">
        <v>1</v>
      </c>
      <c r="I473" s="182" t="str">
        <v>CPF 447</v>
      </c>
      <c r="J473" s="2" t="str">
        <v>Nome 447</v>
      </c>
      <c r="K473" s="8" t="str">
        <v>Tel 447</v>
      </c>
      <c r="L473" s="2" t="str">
        <v>Cep 447</v>
      </c>
      <c r="M473" s="2" t="str">
        <v>Rua 447</v>
      </c>
      <c r="N473" s="2" t="str">
        <v>Comp 447</v>
      </c>
      <c r="O473" s="2" t="str">
        <v>Bomba d'agua</v>
      </c>
      <c r="P473" s="8" t="str">
        <v>DJ-RO5O-43GF</v>
      </c>
      <c r="Q473" s="4">
        <v>45643</v>
      </c>
      <c r="R473" s="109">
        <v>25.99</v>
      </c>
      <c r="S473" s="11">
        <f ca="1"/>
        <v>25.99</v>
      </c>
      <c r="T473" s="28">
        <f ca="1"/>
        <v>3.6386000000000003</v>
      </c>
      <c r="U473" s="11">
        <f ca="1"/>
        <v>22.35</v>
      </c>
      <c r="V473" s="11">
        <v>14.4</v>
      </c>
      <c r="W473" s="11">
        <f ca="1"/>
        <v>0.24</v>
      </c>
      <c r="X473" s="11">
        <f ca="1"/>
        <v>0.39877104377104378</v>
      </c>
      <c r="Y473" s="11">
        <v>0</v>
      </c>
      <c r="Z473" s="11">
        <f ca="1"/>
        <v>7.3112289562289572</v>
      </c>
      <c r="AA473" s="11">
        <f ca="1"/>
        <v>3.6556144781144786</v>
      </c>
      <c r="AB473" s="4">
        <f ca="1"/>
        <v>45650</v>
      </c>
      <c r="AC473" s="4">
        <v>45650</v>
      </c>
      <c r="AD473" s="9">
        <v>45651</v>
      </c>
      <c r="AE473" s="9">
        <v>45659</v>
      </c>
      <c r="AF473" s="4" t="str">
        <f t="shared" ca="1" si="7"/>
        <v>2024 12</v>
      </c>
      <c r="AG473" s="8" t="str" cm="1">
        <f t="array" ref="AG473">IFERROR(_xlfn.IFS('Banco de Dados'!#REF!="AG. COMPRA","Em processamento",'Banco de Dados'!#REF!="AG. RASTREIO","Em processamento",'Banco de Dados'!$AE473&lt;&gt;"-","Faturado",'Banco de Dados'!$AD473&lt;&gt;"-","Aguardando Pix",'Banco de Dados'!$AC473&lt;&gt;"-","Pendente"),"Aguardando Liberação")</f>
        <v>Aguardando Liberação</v>
      </c>
      <c r="AH473" s="5" t="str">
        <f>IF('Banco de Dados'!$F473="-",_xlfn.CONCAT(PROPER(TEXT(AK473,"aaaa"))," ",PROPER(TEXT(AK473,"mm"))),_xlfn.CONCAT(PROPER(TEXT(E473,"aaaa"))," ",PROPER(TEXT(E473,"mm"))))</f>
        <v>2024 11</v>
      </c>
      <c r="AI473" s="9" t="str">
        <f ca="1">IF('Banco de Dados'!$AK473&lt;&gt;"-","REEMBOLSO",IFERROR(_xlfn.XLOOKUP(G473,Follow[CODRASTREIO],Follow[STATUS]),"-"))</f>
        <v>ENTREGUE</v>
      </c>
      <c r="AJ473" s="9">
        <f ca="1">IF('Banco de Dados'!$AI473="ENTREGUE",_xlfn.XLOOKUP('Banco de Dados'!$G473,Follow[CODRASTREIO],Follow[DATAATUALIZAÇÃO]),"-")</f>
        <v>45631.943240740744</v>
      </c>
      <c r="AK473" s="9" t="str">
        <f ca="1"/>
        <v>-</v>
      </c>
      <c r="AL473" s="35"/>
      <c r="AM473" s="109" cm="1">
        <f t="array" aca="1" ref="AM473" ca="1">IF('Banco de Dados'!$AK473&lt;&gt;"-",_xlfn.IFS('Banco de Dados'!$A473="bv",IF('Banco de Dados'!$E473&lt;45641,ROUND(SUM('Banco de Dados'!$R473*_xlfn.XLOOKUP('Banco de Dados'!$P473,Sku!B:B,Sku!#REF!)*20%),2),ROUND(SUM('Banco de Dados'!$R473*_xlfn.XLOOKUP('Banco de Dados'!$P473,Sku!B:B,Sku!H:H)*20%),2)),'Banco de Dados'!$A473="GO",ROUND(_xlfn.XLOOKUP('Banco de Dados'!$P473,Sku!C:C,Sku!H:H),2),'Banco de Dados'!$A473="MEI",ROUND(_xlfn.XLOOKUP('Banco de Dados'!$P473,Sku!D:D,Sku!H:H),2)),0)</f>
        <v>0</v>
      </c>
      <c r="AN473" s="109">
        <f ca="1">IF('Banco de Dados'!$AK473&lt;&gt;"-",IF('Banco de Dados'!$F473&lt;&gt;"-",_xlfn.XLOOKUP(IFERROR(IFERROR(IFERROR(VALUE(SUBSTITUTE(MID(_xlfn.TEXTAFTER('Banco de Dados'!$F473,"Data do Pedido:
",1),1,10),"-","/")),VALUE(SUBSTITUTE(MID(_xlfn.TEXTAFTER('Banco de Dados'!$F473,"Order date:
",1),1,10),"-","/"))),VALUE(SUBSTITUTE(MID(_xlfn.TEXTAFTER('Banco de Dados'!$F473,"Fecha de pedido:
",1),1,10),"-","/"))),"-"),SMS!A:A,SMS!K:K),0),0)</f>
        <v>0</v>
      </c>
      <c r="AO473" s="109">
        <f ca="1">IF('Banco de Dados'!$AK473&lt;&gt;"-",IF('Banco de Dados'!$F473&lt;&gt;"-",IFERROR(_xlfn.XLOOKUP(_xlfn.CONCAT('Banco de Dados'!$A473,IFERROR(IFERROR(VALUE(SUBSTITUTE(MID(_xlfn.TEXTAFTER('Banco de Dados'!$F473,"Data do Pedido:
",1),1,10),"-","/")),VALUE(SUBSTITUTE(MID(_xlfn.TEXTAFTER('Banco de Dados'!$F473,"Order date:
",1),1,10),"-","/"))),0)),ProxyDD[Chave],ProxyDD[Valor por pedido]),PROXY!$P$2),0),0)</f>
        <v>0</v>
      </c>
      <c r="AP473" s="28">
        <f ca="1">IF('Banco de Dados'!$AK473&lt;&gt;"-",IF('Banco de Dados'!$AL473="NÃO",IFERROR(VALUE(SUBSTITUTE(_xlfn.TEXTAFTER('Banco de Dados'!$F473,"BRL ",1),".",",")),0),0),0)</f>
        <v>0</v>
      </c>
      <c r="AQ473" s="28">
        <f ca="1">SUM('Banco de Dados'!$AM473:$AP473)</f>
        <v>0</v>
      </c>
      <c r="AR473" s="8"/>
      <c r="AS473" s="8"/>
      <c r="AY473" s="8"/>
    </row>
    <row r="474" spans="1:51">
      <c r="A474" s="5" t="str">
        <v>BV</v>
      </c>
      <c r="B474" s="5" t="str">
        <f ca="1"/>
        <v>BV45624</v>
      </c>
      <c r="C474" s="8" t="str">
        <v>Pedido 463</v>
      </c>
      <c r="D474" s="9">
        <v>45624</v>
      </c>
      <c r="E474" s="9">
        <v>45624</v>
      </c>
      <c r="F474" s="8" t="str">
        <v>PedidoF449</v>
      </c>
      <c r="G474" s="2" t="str">
        <v>CódRastreio448</v>
      </c>
      <c r="H474" s="5">
        <v>1</v>
      </c>
      <c r="I474" s="182" t="str">
        <v>CPF 448</v>
      </c>
      <c r="J474" s="2" t="str">
        <v>Nome 448</v>
      </c>
      <c r="K474" s="8" t="str">
        <v>Tel 448</v>
      </c>
      <c r="L474" s="2" t="str">
        <v>Cep 448</v>
      </c>
      <c r="M474" s="2" t="str">
        <v>Rua 448</v>
      </c>
      <c r="N474" s="2" t="str">
        <v>Comp 448</v>
      </c>
      <c r="O474" s="2" t="str">
        <v>Mini Liquidificador</v>
      </c>
      <c r="P474" s="8" t="str">
        <v>CK-YL6M-P5Y6</v>
      </c>
      <c r="Q474" s="4">
        <v>45653</v>
      </c>
      <c r="R474" s="109">
        <v>39.99</v>
      </c>
      <c r="S474" s="11">
        <f ca="1"/>
        <v>39.99</v>
      </c>
      <c r="T474" s="28">
        <f ca="1"/>
        <v>5.1987000000000005</v>
      </c>
      <c r="U474" s="11">
        <f ca="1"/>
        <v>34.79</v>
      </c>
      <c r="V474" s="11">
        <v>17.989999999999998</v>
      </c>
      <c r="W474" s="11">
        <f ca="1"/>
        <v>0.14000000000000001</v>
      </c>
      <c r="X474" s="11">
        <f ca="1"/>
        <v>0.39877104377104378</v>
      </c>
      <c r="Y474" s="11">
        <v>0</v>
      </c>
      <c r="Z474" s="11">
        <f ca="1"/>
        <v>16.261228956228955</v>
      </c>
      <c r="AA474" s="11">
        <f ca="1"/>
        <v>8.1306144781144774</v>
      </c>
      <c r="AB474" s="4">
        <f ca="1"/>
        <v>45660</v>
      </c>
      <c r="AC474" s="4">
        <v>45660</v>
      </c>
      <c r="AD474" s="9">
        <v>45665</v>
      </c>
      <c r="AE474" s="9">
        <v>45673</v>
      </c>
      <c r="AF474" s="4" t="str">
        <f t="shared" ca="1" si="7"/>
        <v>2025 01</v>
      </c>
      <c r="AG474" s="8" t="str" cm="1">
        <f t="array" ref="AG474">IFERROR(_xlfn.IFS('Banco de Dados'!#REF!="AG. COMPRA","Em processamento",'Banco de Dados'!#REF!="AG. RASTREIO","Em processamento",'Banco de Dados'!$AE474&lt;&gt;"-","Faturado",'Banco de Dados'!$AD474&lt;&gt;"-","Aguardando Pix",'Banco de Dados'!$AC474&lt;&gt;"-","Pendente"),"Aguardando Liberação")</f>
        <v>Aguardando Liberação</v>
      </c>
      <c r="AH474" s="5" t="str">
        <f>IF('Banco de Dados'!$F474="-",_xlfn.CONCAT(PROPER(TEXT(AK474,"aaaa"))," ",PROPER(TEXT(AK474,"mm"))),_xlfn.CONCAT(PROPER(TEXT(E474,"aaaa"))," ",PROPER(TEXT(E474,"mm"))))</f>
        <v>2024 11</v>
      </c>
      <c r="AI474" s="9" t="str">
        <f ca="1">IF('Banco de Dados'!$AK474&lt;&gt;"-","REEMBOLSO",IFERROR(_xlfn.XLOOKUP(G474,Follow[CODRASTREIO],Follow[STATUS]),"-"))</f>
        <v>ENTREGUE</v>
      </c>
      <c r="AJ474" s="9">
        <f ca="1">IF('Banco de Dados'!$AI474="ENTREGUE",_xlfn.XLOOKUP('Banco de Dados'!$G474,Follow[CODRASTREIO],Follow[DATAATUALIZAÇÃO]),"-")</f>
        <v>45636</v>
      </c>
      <c r="AK474" s="9" t="str">
        <f ca="1"/>
        <v>-</v>
      </c>
      <c r="AL474" s="35"/>
      <c r="AM474" s="109" cm="1">
        <f t="array" aca="1" ref="AM474" ca="1">IF('Banco de Dados'!$AK474&lt;&gt;"-",_xlfn.IFS('Banco de Dados'!$A474="bv",IF('Banco de Dados'!$E474&lt;45641,ROUND(SUM('Banco de Dados'!$R474*_xlfn.XLOOKUP('Banco de Dados'!$P474,Sku!B:B,Sku!#REF!)*20%),2),ROUND(SUM('Banco de Dados'!$R474*_xlfn.XLOOKUP('Banco de Dados'!$P474,Sku!B:B,Sku!H:H)*20%),2)),'Banco de Dados'!$A474="GO",ROUND(_xlfn.XLOOKUP('Banco de Dados'!$P474,Sku!C:C,Sku!H:H),2),'Banco de Dados'!$A474="MEI",ROUND(_xlfn.XLOOKUP('Banco de Dados'!$P474,Sku!D:D,Sku!H:H),2)),0)</f>
        <v>0</v>
      </c>
      <c r="AN474" s="109">
        <f ca="1">IF('Banco de Dados'!$AK474&lt;&gt;"-",IF('Banco de Dados'!$F474&lt;&gt;"-",_xlfn.XLOOKUP(IFERROR(IFERROR(IFERROR(VALUE(SUBSTITUTE(MID(_xlfn.TEXTAFTER('Banco de Dados'!$F474,"Data do Pedido:
",1),1,10),"-","/")),VALUE(SUBSTITUTE(MID(_xlfn.TEXTAFTER('Banco de Dados'!$F474,"Order date:
",1),1,10),"-","/"))),VALUE(SUBSTITUTE(MID(_xlfn.TEXTAFTER('Banco de Dados'!$F474,"Fecha de pedido:
",1),1,10),"-","/"))),"-"),SMS!A:A,SMS!K:K),0),0)</f>
        <v>0</v>
      </c>
      <c r="AO474" s="109">
        <f ca="1">IF('Banco de Dados'!$AK474&lt;&gt;"-",IF('Banco de Dados'!$F474&lt;&gt;"-",IFERROR(_xlfn.XLOOKUP(_xlfn.CONCAT('Banco de Dados'!$A474,IFERROR(IFERROR(VALUE(SUBSTITUTE(MID(_xlfn.TEXTAFTER('Banco de Dados'!$F474,"Data do Pedido:
",1),1,10),"-","/")),VALUE(SUBSTITUTE(MID(_xlfn.TEXTAFTER('Banco de Dados'!$F474,"Order date:
",1),1,10),"-","/"))),0)),ProxyDD[Chave],ProxyDD[Valor por pedido]),PROXY!$P$2),0),0)</f>
        <v>0</v>
      </c>
      <c r="AP474" s="28">
        <f ca="1">IF('Banco de Dados'!$AK474&lt;&gt;"-",IF('Banco de Dados'!$AL474="NÃO",IFERROR(VALUE(SUBSTITUTE(_xlfn.TEXTAFTER('Banco de Dados'!$F474,"BRL ",1),".",",")),0),0),0)</f>
        <v>0</v>
      </c>
      <c r="AQ474" s="28">
        <f ca="1">SUM('Banco de Dados'!$AM474:$AP474)</f>
        <v>0</v>
      </c>
      <c r="AR474" s="8"/>
      <c r="AS474" s="8"/>
      <c r="AY474" s="8"/>
    </row>
    <row r="475" spans="1:51">
      <c r="A475" s="5" t="str">
        <v>BV</v>
      </c>
      <c r="B475" s="5" t="str">
        <f ca="1"/>
        <v>BV45624</v>
      </c>
      <c r="C475" s="8" t="str">
        <v>Pedido 464</v>
      </c>
      <c r="D475" s="9">
        <v>45624</v>
      </c>
      <c r="E475" s="9">
        <v>45624</v>
      </c>
      <c r="F475" s="8" t="str">
        <v>PedidoF450</v>
      </c>
      <c r="G475" s="2" t="str">
        <v>CódRastreio449</v>
      </c>
      <c r="H475" s="5">
        <v>1</v>
      </c>
      <c r="I475" s="182" t="str">
        <v>CPF 449</v>
      </c>
      <c r="J475" s="2" t="str">
        <v>Nome 449</v>
      </c>
      <c r="K475" s="8" t="str">
        <v>Tel 449</v>
      </c>
      <c r="L475" s="2" t="str">
        <v>Cep 449</v>
      </c>
      <c r="M475" s="2" t="str">
        <v>Rua 449</v>
      </c>
      <c r="N475" s="2" t="str">
        <v>Comp 449</v>
      </c>
      <c r="O475" s="2" t="str">
        <v>Ventilador Rosa</v>
      </c>
      <c r="P475" s="8" t="str">
        <v>IF-G2ZQ-79FO</v>
      </c>
      <c r="Q475" s="4">
        <v>45645</v>
      </c>
      <c r="R475" s="109">
        <v>65.989999999999995</v>
      </c>
      <c r="S475" s="11">
        <f ca="1"/>
        <v>65.989999999999995</v>
      </c>
      <c r="T475" s="28">
        <f ca="1"/>
        <v>8.5786999999999995</v>
      </c>
      <c r="U475" s="11">
        <f ca="1"/>
        <v>57.41</v>
      </c>
      <c r="V475" s="11">
        <v>14.19</v>
      </c>
      <c r="W475" s="11">
        <f ca="1"/>
        <v>0.14000000000000001</v>
      </c>
      <c r="X475" s="11">
        <f ca="1"/>
        <v>0.39877104377104378</v>
      </c>
      <c r="Y475" s="11">
        <v>0</v>
      </c>
      <c r="Z475" s="11">
        <f ca="1"/>
        <v>42.681228956228949</v>
      </c>
      <c r="AA475" s="11">
        <f ca="1"/>
        <v>21.340614478114475</v>
      </c>
      <c r="AB475" s="4">
        <f ca="1"/>
        <v>45652</v>
      </c>
      <c r="AC475" s="4">
        <v>45652</v>
      </c>
      <c r="AD475" s="9">
        <v>45656</v>
      </c>
      <c r="AE475" s="9">
        <v>45659</v>
      </c>
      <c r="AF475" s="4" t="str">
        <f ca="1">_xlfn.CONCAT(PROPER(TEXT(AB475,"aaaa"))," ",PROPER(TEXT(AB475,"mm")))</f>
        <v>2024 12</v>
      </c>
      <c r="AG475" s="8" t="str" cm="1">
        <f t="array" ref="AG475">IFERROR(_xlfn.IFS('Banco de Dados'!#REF!="AG. COMPRA","Em processamento",'Banco de Dados'!#REF!="AG. RASTREIO","Em processamento",'Banco de Dados'!$AE475&lt;&gt;"-","Faturado",'Banco de Dados'!$AD475&lt;&gt;"-","Aguardando Pix",'Banco de Dados'!$AC475&lt;&gt;"-","Pendente"),"Aguardando Liberação")</f>
        <v>Aguardando Liberação</v>
      </c>
      <c r="AH475" s="5" t="str">
        <f>IF('Banco de Dados'!$F475="-",_xlfn.CONCAT(PROPER(TEXT(AK475,"aaaa"))," ",PROPER(TEXT(AK475,"mm"))),_xlfn.CONCAT(PROPER(TEXT(E475,"aaaa"))," ",PROPER(TEXT(E475,"mm"))))</f>
        <v>2024 11</v>
      </c>
      <c r="AI475" s="9" t="str">
        <f ca="1">IF('Banco de Dados'!$AK475&lt;&gt;"-","REEMBOLSO",IFERROR(_xlfn.XLOOKUP(G475,Follow[CODRASTREIO],Follow[STATUS]),"-"))</f>
        <v>ENTREGUE</v>
      </c>
      <c r="AJ475" s="9">
        <f ca="1">IF('Banco de Dados'!$AI475="ENTREGUE",_xlfn.XLOOKUP('Banco de Dados'!$G475,Follow[CODRASTREIO],Follow[DATAATUALIZAÇÃO]),"-")</f>
        <v>45632.580509259256</v>
      </c>
      <c r="AK475" s="9" t="str">
        <f ca="1"/>
        <v>-</v>
      </c>
      <c r="AL475" s="35"/>
      <c r="AM475" s="109" cm="1">
        <f t="array" aca="1" ref="AM475" ca="1">IF('Banco de Dados'!$AK475&lt;&gt;"-",_xlfn.IFS('Banco de Dados'!$A475="bv",IF('Banco de Dados'!$E475&lt;45641,ROUND(SUM('Banco de Dados'!$R475*_xlfn.XLOOKUP('Banco de Dados'!$P475,Sku!B:B,Sku!#REF!)*20%),2),ROUND(SUM('Banco de Dados'!$R475*_xlfn.XLOOKUP('Banco de Dados'!$P475,Sku!B:B,Sku!H:H)*20%),2)),'Banco de Dados'!$A475="GO",ROUND(_xlfn.XLOOKUP('Banco de Dados'!$P475,Sku!C:C,Sku!H:H),2),'Banco de Dados'!$A475="MEI",ROUND(_xlfn.XLOOKUP('Banco de Dados'!$P475,Sku!D:D,Sku!H:H),2)),0)</f>
        <v>0</v>
      </c>
      <c r="AN475" s="109">
        <f ca="1">IF('Banco de Dados'!$AK475&lt;&gt;"-",IF('Banco de Dados'!$F475&lt;&gt;"-",_xlfn.XLOOKUP(IFERROR(IFERROR(IFERROR(VALUE(SUBSTITUTE(MID(_xlfn.TEXTAFTER('Banco de Dados'!$F475,"Data do Pedido:
",1),1,10),"-","/")),VALUE(SUBSTITUTE(MID(_xlfn.TEXTAFTER('Banco de Dados'!$F475,"Order date:
",1),1,10),"-","/"))),VALUE(SUBSTITUTE(MID(_xlfn.TEXTAFTER('Banco de Dados'!$F475,"Fecha de pedido:
",1),1,10),"-","/"))),"-"),SMS!A:A,SMS!K:K),0),0)</f>
        <v>0</v>
      </c>
      <c r="AO475" s="109">
        <f ca="1">IF('Banco de Dados'!$AK475&lt;&gt;"-",IF('Banco de Dados'!$F475&lt;&gt;"-",IFERROR(_xlfn.XLOOKUP(_xlfn.CONCAT('Banco de Dados'!$A475,IFERROR(IFERROR(VALUE(SUBSTITUTE(MID(_xlfn.TEXTAFTER('Banco de Dados'!$F475,"Data do Pedido:
",1),1,10),"-","/")),VALUE(SUBSTITUTE(MID(_xlfn.TEXTAFTER('Banco de Dados'!$F475,"Order date:
",1),1,10),"-","/"))),0)),ProxyDD[Chave],ProxyDD[Valor por pedido]),PROXY!$P$2),0),0)</f>
        <v>0</v>
      </c>
      <c r="AP475" s="28">
        <f ca="1">IF('Banco de Dados'!$AK475&lt;&gt;"-",IF('Banco de Dados'!$AL475="NÃO",IFERROR(VALUE(SUBSTITUTE(_xlfn.TEXTAFTER('Banco de Dados'!$F475,"BRL ",1),".",",")),0),0),0)</f>
        <v>0</v>
      </c>
      <c r="AQ475" s="28">
        <f ca="1">SUM('Banco de Dados'!$AM475:$AP475)</f>
        <v>0</v>
      </c>
      <c r="AR475" s="8"/>
      <c r="AS475" s="8"/>
      <c r="AY475" s="8"/>
    </row>
    <row r="476" spans="1:51">
      <c r="A476" s="5" t="str">
        <v>BV</v>
      </c>
      <c r="B476" s="5" t="str">
        <f ca="1"/>
        <v>BV45625</v>
      </c>
      <c r="C476" s="8" t="str">
        <v>Pedido 465</v>
      </c>
      <c r="D476" s="9">
        <v>45625</v>
      </c>
      <c r="E476" s="9">
        <v>45625</v>
      </c>
      <c r="F476" s="8" t="str">
        <v>PedidoF451</v>
      </c>
      <c r="G476" s="2" t="str">
        <v>CódRastreio450</v>
      </c>
      <c r="H476" s="5">
        <v>1</v>
      </c>
      <c r="I476" s="182" t="str">
        <v>CPF 450</v>
      </c>
      <c r="J476" s="2" t="str">
        <v>Nome 450</v>
      </c>
      <c r="K476" s="8" t="str">
        <v>Tel 450</v>
      </c>
      <c r="L476" s="2" t="str">
        <v>Cep 450</v>
      </c>
      <c r="M476" s="2" t="str">
        <v>Rua 450</v>
      </c>
      <c r="N476" s="2" t="str">
        <v>Comp 450</v>
      </c>
      <c r="O476" s="2" t="str">
        <v>Ventilador Preto</v>
      </c>
      <c r="P476" s="8" t="str">
        <v>MU-J80P-95WF</v>
      </c>
      <c r="Q476" s="4">
        <v>45646</v>
      </c>
      <c r="R476" s="109">
        <v>65.989999999999995</v>
      </c>
      <c r="S476" s="11">
        <f ca="1"/>
        <v>65.989999999999995</v>
      </c>
      <c r="T476" s="28">
        <f ca="1"/>
        <v>8.5786999999999995</v>
      </c>
      <c r="U476" s="11">
        <f ca="1"/>
        <v>57.41</v>
      </c>
      <c r="V476" s="11">
        <v>15.22</v>
      </c>
      <c r="W476" s="11">
        <f ca="1"/>
        <v>0.24</v>
      </c>
      <c r="X476" s="11">
        <f ca="1"/>
        <v>0.39877104377104378</v>
      </c>
      <c r="Y476" s="11">
        <v>0</v>
      </c>
      <c r="Z476" s="11">
        <f ca="1"/>
        <v>41.551228956228954</v>
      </c>
      <c r="AA476" s="11">
        <f ca="1"/>
        <v>20.775614478114477</v>
      </c>
      <c r="AB476" s="4">
        <f ca="1"/>
        <v>45653</v>
      </c>
      <c r="AC476" s="4">
        <v>45653</v>
      </c>
      <c r="AD476" s="9">
        <v>45656</v>
      </c>
      <c r="AE476" s="9">
        <v>45659</v>
      </c>
      <c r="AF476" s="4" t="str">
        <f t="shared" ref="AF476:AF484" ca="1" si="8">_xlfn.CONCAT(PROPER(TEXT(AB476,"aaaa"))," ",PROPER(TEXT(AB476,"mm")))</f>
        <v>2024 12</v>
      </c>
      <c r="AG476" s="8" t="str" cm="1">
        <f t="array" ref="AG476">IFERROR(_xlfn.IFS('Banco de Dados'!#REF!="AG. COMPRA","Em processamento",'Banco de Dados'!#REF!="AG. RASTREIO","Em processamento",'Banco de Dados'!$AE476&lt;&gt;"-","Faturado",'Banco de Dados'!$AD476&lt;&gt;"-","Aguardando Pix",'Banco de Dados'!$AC476&lt;&gt;"-","Pendente"),"Aguardando Liberação")</f>
        <v>Aguardando Liberação</v>
      </c>
      <c r="AH476" s="5" t="str">
        <f>IF('Banco de Dados'!$F476="-",_xlfn.CONCAT(PROPER(TEXT(AK476,"aaaa"))," ",PROPER(TEXT(AK476,"mm"))),_xlfn.CONCAT(PROPER(TEXT(E476,"aaaa"))," ",PROPER(TEXT(E476,"mm"))))</f>
        <v>2024 11</v>
      </c>
      <c r="AI476" s="9" t="str">
        <f ca="1">IF('Banco de Dados'!$AK476&lt;&gt;"-","REEMBOLSO",IFERROR(_xlfn.XLOOKUP(G476,Follow[CODRASTREIO],Follow[STATUS]),"-"))</f>
        <v>ENTREGUE</v>
      </c>
      <c r="AJ476" s="9">
        <f ca="1">IF('Banco de Dados'!$AI476="ENTREGUE",_xlfn.XLOOKUP('Banco de Dados'!$G476,Follow[CODRASTREIO],Follow[DATAATUALIZAÇÃO]),"-")</f>
        <v>45636</v>
      </c>
      <c r="AK476" s="9" t="str">
        <f ca="1"/>
        <v>-</v>
      </c>
      <c r="AL476" s="35"/>
      <c r="AM476" s="109" cm="1">
        <f t="array" aca="1" ref="AM476" ca="1">IF('Banco de Dados'!$AK476&lt;&gt;"-",_xlfn.IFS('Banco de Dados'!$A476="bv",IF('Banco de Dados'!$E476&lt;45641,ROUND(SUM('Banco de Dados'!$R476*_xlfn.XLOOKUP('Banco de Dados'!$P476,Sku!B:B,Sku!#REF!)*20%),2),ROUND(SUM('Banco de Dados'!$R476*_xlfn.XLOOKUP('Banco de Dados'!$P476,Sku!B:B,Sku!H:H)*20%),2)),'Banco de Dados'!$A476="GO",ROUND(_xlfn.XLOOKUP('Banco de Dados'!$P476,Sku!C:C,Sku!H:H),2),'Banco de Dados'!$A476="MEI",ROUND(_xlfn.XLOOKUP('Banco de Dados'!$P476,Sku!D:D,Sku!H:H),2)),0)</f>
        <v>0</v>
      </c>
      <c r="AN476" s="109">
        <f ca="1">IF('Banco de Dados'!$AK476&lt;&gt;"-",IF('Banco de Dados'!$F476&lt;&gt;"-",_xlfn.XLOOKUP(IFERROR(IFERROR(IFERROR(VALUE(SUBSTITUTE(MID(_xlfn.TEXTAFTER('Banco de Dados'!$F476,"Data do Pedido:
",1),1,10),"-","/")),VALUE(SUBSTITUTE(MID(_xlfn.TEXTAFTER('Banco de Dados'!$F476,"Order date:
",1),1,10),"-","/"))),VALUE(SUBSTITUTE(MID(_xlfn.TEXTAFTER('Banco de Dados'!$F476,"Fecha de pedido:
",1),1,10),"-","/"))),"-"),SMS!A:A,SMS!K:K),0),0)</f>
        <v>0</v>
      </c>
      <c r="AO476" s="109">
        <f ca="1">IF('Banco de Dados'!$AK476&lt;&gt;"-",IF('Banco de Dados'!$F476&lt;&gt;"-",IFERROR(_xlfn.XLOOKUP(_xlfn.CONCAT('Banco de Dados'!$A476,IFERROR(IFERROR(VALUE(SUBSTITUTE(MID(_xlfn.TEXTAFTER('Banco de Dados'!$F476,"Data do Pedido:
",1),1,10),"-","/")),VALUE(SUBSTITUTE(MID(_xlfn.TEXTAFTER('Banco de Dados'!$F476,"Order date:
",1),1,10),"-","/"))),0)),ProxyDD[Chave],ProxyDD[Valor por pedido]),PROXY!$P$2),0),0)</f>
        <v>0</v>
      </c>
      <c r="AP476" s="28">
        <f ca="1">IF('Banco de Dados'!$AK476&lt;&gt;"-",IF('Banco de Dados'!$AL476="NÃO",IFERROR(VALUE(SUBSTITUTE(_xlfn.TEXTAFTER('Banco de Dados'!$F476,"BRL ",1),".",",")),0),0),0)</f>
        <v>0</v>
      </c>
      <c r="AQ476" s="28">
        <f ca="1">SUM('Banco de Dados'!$AM476:$AP476)</f>
        <v>0</v>
      </c>
      <c r="AR476" s="8"/>
      <c r="AS476" s="8"/>
      <c r="AY476" s="8"/>
    </row>
    <row r="477" spans="1:51">
      <c r="A477" s="5" t="str">
        <v>BV</v>
      </c>
      <c r="B477" s="5" t="str">
        <f ca="1"/>
        <v>BV45625</v>
      </c>
      <c r="C477" s="8" t="str">
        <v>Pedido 466</v>
      </c>
      <c r="D477" s="9">
        <v>45625</v>
      </c>
      <c r="E477" s="9">
        <v>45625</v>
      </c>
      <c r="F477" s="8" t="str">
        <v>PedidoF452</v>
      </c>
      <c r="G477" s="2" t="str">
        <v>CódRastreio451</v>
      </c>
      <c r="H477" s="5">
        <v>1</v>
      </c>
      <c r="I477" s="182" t="str">
        <v>CPF 451</v>
      </c>
      <c r="J477" s="2" t="str">
        <v>Nome 451</v>
      </c>
      <c r="K477" s="8" t="str">
        <v>Tel 451</v>
      </c>
      <c r="L477" s="2" t="str">
        <v>Cep 451</v>
      </c>
      <c r="M477" s="2" t="str">
        <v>Rua 451</v>
      </c>
      <c r="N477" s="2" t="str">
        <v>Comp 451</v>
      </c>
      <c r="O477" s="2" t="str">
        <v>Ventilador Azul</v>
      </c>
      <c r="P477" s="8" t="str">
        <v>U8-2VWS-OB6M</v>
      </c>
      <c r="Q477" s="4">
        <v>45646</v>
      </c>
      <c r="R477" s="109">
        <v>65.989999999999995</v>
      </c>
      <c r="S477" s="11">
        <f ca="1"/>
        <v>65.989999999999995</v>
      </c>
      <c r="T477" s="28">
        <f ca="1"/>
        <v>8.5786999999999995</v>
      </c>
      <c r="U477" s="11">
        <f ca="1"/>
        <v>57.41</v>
      </c>
      <c r="V477" s="11">
        <v>14.69</v>
      </c>
      <c r="W477" s="11">
        <f ca="1"/>
        <v>0.24</v>
      </c>
      <c r="X477" s="11">
        <f ca="1"/>
        <v>0.39877104377104378</v>
      </c>
      <c r="Y477" s="11">
        <v>0</v>
      </c>
      <c r="Z477" s="11">
        <f ca="1"/>
        <v>42.081228956228955</v>
      </c>
      <c r="AA477" s="11">
        <f ca="1"/>
        <v>21.040614478114477</v>
      </c>
      <c r="AB477" s="4">
        <f ca="1"/>
        <v>45653</v>
      </c>
      <c r="AC477" s="4">
        <v>45653</v>
      </c>
      <c r="AD477" s="9">
        <v>45656</v>
      </c>
      <c r="AE477" s="9">
        <v>45659</v>
      </c>
      <c r="AF477" s="4" t="str">
        <f t="shared" ca="1" si="8"/>
        <v>2024 12</v>
      </c>
      <c r="AG477" s="8" t="str" cm="1">
        <f t="array" ref="AG477">IFERROR(_xlfn.IFS('Banco de Dados'!#REF!="AG. COMPRA","Em processamento",'Banco de Dados'!#REF!="AG. RASTREIO","Em processamento",'Banco de Dados'!$AE477&lt;&gt;"-","Faturado",'Banco de Dados'!$AD477&lt;&gt;"-","Aguardando Pix",'Banco de Dados'!$AC477&lt;&gt;"-","Pendente"),"Aguardando Liberação")</f>
        <v>Aguardando Liberação</v>
      </c>
      <c r="AH477" s="5" t="str">
        <f>IF('Banco de Dados'!$F477="-",_xlfn.CONCAT(PROPER(TEXT(AK477,"aaaa"))," ",PROPER(TEXT(AK477,"mm"))),_xlfn.CONCAT(PROPER(TEXT(E477,"aaaa"))," ",PROPER(TEXT(E477,"mm"))))</f>
        <v>2024 11</v>
      </c>
      <c r="AI477" s="9" t="str">
        <f ca="1">IF('Banco de Dados'!$AK477&lt;&gt;"-","REEMBOLSO",IFERROR(_xlfn.XLOOKUP(G477,Follow[CODRASTREIO],Follow[STATUS]),"-"))</f>
        <v>ENTREGUE</v>
      </c>
      <c r="AJ477" s="9">
        <f ca="1">IF('Banco de Dados'!$AI477="ENTREGUE",_xlfn.XLOOKUP('Banco de Dados'!$G477,Follow[CODRASTREIO],Follow[DATAATUALIZAÇÃO]),"-")</f>
        <v>45641</v>
      </c>
      <c r="AK477" s="9" t="str">
        <f ca="1"/>
        <v>-</v>
      </c>
      <c r="AL477" s="35"/>
      <c r="AM477" s="109" cm="1">
        <f t="array" aca="1" ref="AM477" ca="1">IF('Banco de Dados'!$AK477&lt;&gt;"-",_xlfn.IFS('Banco de Dados'!$A477="bv",IF('Banco de Dados'!$E477&lt;45641,ROUND(SUM('Banco de Dados'!$R477*_xlfn.XLOOKUP('Banco de Dados'!$P477,Sku!B:B,Sku!#REF!)*20%),2),ROUND(SUM('Banco de Dados'!$R477*_xlfn.XLOOKUP('Banco de Dados'!$P477,Sku!B:B,Sku!H:H)*20%),2)),'Banco de Dados'!$A477="GO",ROUND(_xlfn.XLOOKUP('Banco de Dados'!$P477,Sku!C:C,Sku!H:H),2),'Banco de Dados'!$A477="MEI",ROUND(_xlfn.XLOOKUP('Banco de Dados'!$P477,Sku!D:D,Sku!H:H),2)),0)</f>
        <v>0</v>
      </c>
      <c r="AN477" s="109">
        <f ca="1">IF('Banco de Dados'!$AK477&lt;&gt;"-",IF('Banco de Dados'!$F477&lt;&gt;"-",_xlfn.XLOOKUP(IFERROR(IFERROR(IFERROR(VALUE(SUBSTITUTE(MID(_xlfn.TEXTAFTER('Banco de Dados'!$F477,"Data do Pedido:
",1),1,10),"-","/")),VALUE(SUBSTITUTE(MID(_xlfn.TEXTAFTER('Banco de Dados'!$F477,"Order date:
",1),1,10),"-","/"))),VALUE(SUBSTITUTE(MID(_xlfn.TEXTAFTER('Banco de Dados'!$F477,"Fecha de pedido:
",1),1,10),"-","/"))),"-"),SMS!A:A,SMS!K:K),0),0)</f>
        <v>0</v>
      </c>
      <c r="AO477" s="109">
        <f ca="1">IF('Banco de Dados'!$AK477&lt;&gt;"-",IF('Banco de Dados'!$F477&lt;&gt;"-",IFERROR(_xlfn.XLOOKUP(_xlfn.CONCAT('Banco de Dados'!$A477,IFERROR(IFERROR(VALUE(SUBSTITUTE(MID(_xlfn.TEXTAFTER('Banco de Dados'!$F477,"Data do Pedido:
",1),1,10),"-","/")),VALUE(SUBSTITUTE(MID(_xlfn.TEXTAFTER('Banco de Dados'!$F477,"Order date:
",1),1,10),"-","/"))),0)),ProxyDD[Chave],ProxyDD[Valor por pedido]),PROXY!$P$2),0),0)</f>
        <v>0</v>
      </c>
      <c r="AP477" s="28">
        <f ca="1">IF('Banco de Dados'!$AK477&lt;&gt;"-",IF('Banco de Dados'!$AL477="NÃO",IFERROR(VALUE(SUBSTITUTE(_xlfn.TEXTAFTER('Banco de Dados'!$F477,"BRL ",1),".",",")),0),0),0)</f>
        <v>0</v>
      </c>
      <c r="AQ477" s="28">
        <f ca="1">SUM('Banco de Dados'!$AM477:$AP477)</f>
        <v>0</v>
      </c>
      <c r="AR477" s="8"/>
      <c r="AS477" s="8"/>
      <c r="AY477" s="8"/>
    </row>
    <row r="478" spans="1:51">
      <c r="A478" s="5" t="str">
        <v>BV</v>
      </c>
      <c r="B478" s="5" t="str">
        <f ca="1"/>
        <v>BV45625</v>
      </c>
      <c r="C478" s="8" t="str">
        <v>Pedido 467</v>
      </c>
      <c r="D478" s="9">
        <v>45625</v>
      </c>
      <c r="E478" s="9">
        <v>45625</v>
      </c>
      <c r="F478" s="8" t="str">
        <v>PedidoF453</v>
      </c>
      <c r="G478" s="2" t="str">
        <v>CódRastreio452</v>
      </c>
      <c r="H478" s="5">
        <v>1</v>
      </c>
      <c r="I478" s="182" t="str">
        <v>CPF 452</v>
      </c>
      <c r="J478" s="2" t="str">
        <v>Nome 452</v>
      </c>
      <c r="K478" s="8" t="str">
        <v>Tel 452</v>
      </c>
      <c r="L478" s="2" t="str">
        <v>Cep 452</v>
      </c>
      <c r="M478" s="2" t="str">
        <v>Rua 452</v>
      </c>
      <c r="N478" s="8" t="str">
        <v>Comp 452</v>
      </c>
      <c r="O478" s="8" t="str">
        <v>Ventilador Azul</v>
      </c>
      <c r="P478" s="8" t="str">
        <v>U8-2VWS-OB6M</v>
      </c>
      <c r="Q478" s="4">
        <v>45654</v>
      </c>
      <c r="R478" s="109">
        <v>65.989999999999995</v>
      </c>
      <c r="S478" s="11">
        <f ca="1"/>
        <v>0</v>
      </c>
      <c r="T478" s="28">
        <f ca="1"/>
        <v>0</v>
      </c>
      <c r="U478" s="11">
        <f ca="1"/>
        <v>0</v>
      </c>
      <c r="V478" s="11">
        <v>0</v>
      </c>
      <c r="W478" s="11">
        <f ca="1"/>
        <v>0</v>
      </c>
      <c r="X478" s="11">
        <f ca="1"/>
        <v>0.39877104377104378</v>
      </c>
      <c r="Y478" s="11">
        <v>0</v>
      </c>
      <c r="Z478" s="11">
        <f ca="1"/>
        <v>-0.39877104377104378</v>
      </c>
      <c r="AA478" s="11">
        <f ca="1"/>
        <v>-0.19938552188552189</v>
      </c>
      <c r="AB478" s="4">
        <f ca="1"/>
        <v>45661</v>
      </c>
      <c r="AC478" s="4">
        <v>45661</v>
      </c>
      <c r="AD478" s="9">
        <v>45665</v>
      </c>
      <c r="AE478" s="9">
        <v>45673</v>
      </c>
      <c r="AF478" s="4" t="str">
        <f t="shared" ca="1" si="8"/>
        <v>2025 01</v>
      </c>
      <c r="AG478" s="8" t="str" cm="1">
        <f t="array" ref="AG478">IFERROR(_xlfn.IFS('Banco de Dados'!#REF!="AG. COMPRA","Em processamento",'Banco de Dados'!#REF!="AG. RASTREIO","Em processamento",'Banco de Dados'!$AE478&lt;&gt;"-","Faturado",'Banco de Dados'!$AD478&lt;&gt;"-","Aguardando Pix",'Banco de Dados'!$AC478&lt;&gt;"-","Pendente"),"Aguardando Liberação")</f>
        <v>Aguardando Liberação</v>
      </c>
      <c r="AH478" s="5" t="str">
        <f>IF('Banco de Dados'!$F478="-",_xlfn.CONCAT(PROPER(TEXT(AK478,"aaaa"))," ",PROPER(TEXT(AK478,"mm"))),_xlfn.CONCAT(PROPER(TEXT(E478,"aaaa"))," ",PROPER(TEXT(E478,"mm"))))</f>
        <v>2024 11</v>
      </c>
      <c r="AI478" s="9" t="str">
        <f ca="1">IF('Banco de Dados'!$AK478&lt;&gt;"-","REEMBOLSO",IFERROR(_xlfn.XLOOKUP(G478,Follow[CODRASTREIO],Follow[STATUS]),"-"))</f>
        <v>REEMBOLSO</v>
      </c>
      <c r="AJ478" s="9" t="str">
        <f ca="1">IF('Banco de Dados'!$AI478="ENTREGUE",_xlfn.XLOOKUP('Banco de Dados'!$G478,Follow[CODRASTREIO],Follow[DATAATUALIZAÇÃO]),"-")</f>
        <v>-</v>
      </c>
      <c r="AK478" s="9">
        <f ca="1"/>
        <v>45658</v>
      </c>
      <c r="AL478" s="35"/>
      <c r="AM478" s="109" t="e" cm="1">
        <f t="array" aca="1" ref="AM478" ca="1">IF('Banco de Dados'!$AK478&lt;&gt;"-",_xlfn.IFS('Banco de Dados'!$A478="bv",IF('Banco de Dados'!$E478&lt;45641,ROUND(SUM('Banco de Dados'!$R478*_xlfn.XLOOKUP('Banco de Dados'!$P478,Sku!B:B,Sku!#REF!)*20%),2),ROUND(SUM('Banco de Dados'!$R478*_xlfn.XLOOKUP('Banco de Dados'!$P478,Sku!B:B,Sku!H:H)*20%),2)),'Banco de Dados'!$A478="GO",ROUND(_xlfn.XLOOKUP('Banco de Dados'!$P478,Sku!C:C,Sku!H:H),2),'Banco de Dados'!$A478="MEI",ROUND(_xlfn.XLOOKUP('Banco de Dados'!$P478,Sku!D:D,Sku!H:H),2)),0)</f>
        <v>#REF!</v>
      </c>
      <c r="AN478" s="109" t="e">
        <f ca="1">IF('Banco de Dados'!$AK478&lt;&gt;"-",IF('Banco de Dados'!$F478&lt;&gt;"-",_xlfn.XLOOKUP(IFERROR(IFERROR(IFERROR(VALUE(SUBSTITUTE(MID(_xlfn.TEXTAFTER('Banco de Dados'!$F478,"Data do Pedido:
",1),1,10),"-","/")),VALUE(SUBSTITUTE(MID(_xlfn.TEXTAFTER('Banco de Dados'!$F478,"Order date:
",1),1,10),"-","/"))),VALUE(SUBSTITUTE(MID(_xlfn.TEXTAFTER('Banco de Dados'!$F478,"Fecha de pedido:
",1),1,10),"-","/"))),"-"),SMS!A:A,SMS!K:K),0),0)</f>
        <v>#N/A</v>
      </c>
      <c r="AO478" s="109">
        <f ca="1">IF('Banco de Dados'!$AK478&lt;&gt;"-",IF('Banco de Dados'!$F478&lt;&gt;"-",IFERROR(_xlfn.XLOOKUP(_xlfn.CONCAT('Banco de Dados'!$A478,IFERROR(IFERROR(VALUE(SUBSTITUTE(MID(_xlfn.TEXTAFTER('Banco de Dados'!$F478,"Data do Pedido:
",1),1,10),"-","/")),VALUE(SUBSTITUTE(MID(_xlfn.TEXTAFTER('Banco de Dados'!$F478,"Order date:
",1),1,10),"-","/"))),0)),ProxyDD[Chave],ProxyDD[Valor por pedido]),PROXY!$P$2),0),0)</f>
        <v>0.39877104377104378</v>
      </c>
      <c r="AP478" s="28">
        <f ca="1">IF('Banco de Dados'!$AK478&lt;&gt;"-",IF('Banco de Dados'!$AL478="NÃO",IFERROR(VALUE(SUBSTITUTE(_xlfn.TEXTAFTER('Banco de Dados'!$F478,"BRL ",1),".",",")),0),0),0)</f>
        <v>0</v>
      </c>
      <c r="AQ478" s="28" t="e">
        <f ca="1">SUM('Banco de Dados'!$AM478:$AP478)</f>
        <v>#REF!</v>
      </c>
      <c r="AR478" s="8"/>
      <c r="AS478" s="8"/>
      <c r="AY478" s="8"/>
    </row>
    <row r="479" spans="1:51">
      <c r="A479" s="5" t="str">
        <v>BV</v>
      </c>
      <c r="B479" s="5" t="str">
        <f ca="1"/>
        <v>BV45625</v>
      </c>
      <c r="C479" s="8" t="str">
        <v>Pedido 468</v>
      </c>
      <c r="D479" s="9">
        <v>45625</v>
      </c>
      <c r="E479" s="9">
        <v>45625</v>
      </c>
      <c r="F479" s="8" t="str">
        <v>PedidoF454</v>
      </c>
      <c r="G479" s="2" t="str">
        <v>CódRastreio453</v>
      </c>
      <c r="H479" s="5">
        <v>1</v>
      </c>
      <c r="I479" s="182" t="str">
        <v>CPF 453</v>
      </c>
      <c r="J479" s="2" t="str">
        <v>Nome 453</v>
      </c>
      <c r="K479" s="8" t="str">
        <v>Tel 453</v>
      </c>
      <c r="L479" s="2" t="str">
        <v>Cep 453</v>
      </c>
      <c r="M479" s="2" t="str">
        <v>Rua 453</v>
      </c>
      <c r="N479" s="8" t="str">
        <v>Comp 453</v>
      </c>
      <c r="O479" s="8" t="str">
        <v>Ventilador Azul</v>
      </c>
      <c r="P479" s="8" t="str">
        <v>U8-2VWS-OB6M</v>
      </c>
      <c r="Q479" s="4">
        <v>45654</v>
      </c>
      <c r="R479" s="109">
        <v>65.989999999999995</v>
      </c>
      <c r="S479" s="11">
        <f ca="1"/>
        <v>65.989999999999995</v>
      </c>
      <c r="T479" s="28">
        <f ca="1"/>
        <v>8.5786999999999995</v>
      </c>
      <c r="U479" s="11">
        <f ca="1"/>
        <v>57.41</v>
      </c>
      <c r="V479" s="11">
        <v>14.69</v>
      </c>
      <c r="W479" s="11">
        <f ca="1"/>
        <v>0.24</v>
      </c>
      <c r="X479" s="11">
        <f ca="1"/>
        <v>0.39877104377104378</v>
      </c>
      <c r="Y479" s="11">
        <v>0</v>
      </c>
      <c r="Z479" s="11">
        <f ca="1"/>
        <v>42.081228956228955</v>
      </c>
      <c r="AA479" s="11">
        <f ca="1"/>
        <v>21.040614478114477</v>
      </c>
      <c r="AB479" s="4">
        <f ca="1"/>
        <v>45661</v>
      </c>
      <c r="AC479" s="4">
        <v>45661</v>
      </c>
      <c r="AD479" s="9">
        <v>45665</v>
      </c>
      <c r="AE479" s="9">
        <v>45673</v>
      </c>
      <c r="AF479" s="4" t="str">
        <f t="shared" ca="1" si="8"/>
        <v>2025 01</v>
      </c>
      <c r="AG479" s="8" t="str" cm="1">
        <f t="array" ref="AG479">IFERROR(_xlfn.IFS('Banco de Dados'!#REF!="AG. COMPRA","Em processamento",'Banco de Dados'!#REF!="AG. RASTREIO","Em processamento",'Banco de Dados'!$AE479&lt;&gt;"-","Faturado",'Banco de Dados'!$AD479&lt;&gt;"-","Aguardando Pix",'Banco de Dados'!$AC479&lt;&gt;"-","Pendente"),"Aguardando Liberação")</f>
        <v>Aguardando Liberação</v>
      </c>
      <c r="AH479" s="5" t="str">
        <f>IF('Banco de Dados'!$F479="-",_xlfn.CONCAT(PROPER(TEXT(AK479,"aaaa"))," ",PROPER(TEXT(AK479,"mm"))),_xlfn.CONCAT(PROPER(TEXT(E479,"aaaa"))," ",PROPER(TEXT(E479,"mm"))))</f>
        <v>2024 11</v>
      </c>
      <c r="AI479" s="9" t="str">
        <f ca="1">IF('Banco de Dados'!$AK479&lt;&gt;"-","REEMBOLSO",IFERROR(_xlfn.XLOOKUP(G479,Follow[CODRASTREIO],Follow[STATUS]),"-"))</f>
        <v>ENTREGUE</v>
      </c>
      <c r="AJ479" s="9">
        <f ca="1">IF('Banco de Dados'!$AI479="ENTREGUE",_xlfn.XLOOKUP('Banco de Dados'!$G479,Follow[CODRASTREIO],Follow[DATAATUALIZAÇÃO]),"-")</f>
        <v>45639</v>
      </c>
      <c r="AK479" s="9" t="str">
        <f ca="1"/>
        <v>-</v>
      </c>
      <c r="AL479" s="35"/>
      <c r="AM479" s="109" cm="1">
        <f t="array" aca="1" ref="AM479" ca="1">IF('Banco de Dados'!$AK479&lt;&gt;"-",_xlfn.IFS('Banco de Dados'!$A479="bv",IF('Banco de Dados'!$E479&lt;45641,ROUND(SUM('Banco de Dados'!$R479*_xlfn.XLOOKUP('Banco de Dados'!$P479,Sku!B:B,Sku!#REF!)*20%),2),ROUND(SUM('Banco de Dados'!$R479*_xlfn.XLOOKUP('Banco de Dados'!$P479,Sku!B:B,Sku!H:H)*20%),2)),'Banco de Dados'!$A479="GO",ROUND(_xlfn.XLOOKUP('Banco de Dados'!$P479,Sku!C:C,Sku!H:H),2),'Banco de Dados'!$A479="MEI",ROUND(_xlfn.XLOOKUP('Banco de Dados'!$P479,Sku!D:D,Sku!H:H),2)),0)</f>
        <v>0</v>
      </c>
      <c r="AN479" s="109">
        <f ca="1">IF('Banco de Dados'!$AK479&lt;&gt;"-",IF('Banco de Dados'!$F479&lt;&gt;"-",_xlfn.XLOOKUP(IFERROR(IFERROR(IFERROR(VALUE(SUBSTITUTE(MID(_xlfn.TEXTAFTER('Banco de Dados'!$F479,"Data do Pedido:
",1),1,10),"-","/")),VALUE(SUBSTITUTE(MID(_xlfn.TEXTAFTER('Banco de Dados'!$F479,"Order date:
",1),1,10),"-","/"))),VALUE(SUBSTITUTE(MID(_xlfn.TEXTAFTER('Banco de Dados'!$F479,"Fecha de pedido:
",1),1,10),"-","/"))),"-"),SMS!A:A,SMS!K:K),0),0)</f>
        <v>0</v>
      </c>
      <c r="AO479" s="109">
        <f ca="1">IF('Banco de Dados'!$AK479&lt;&gt;"-",IF('Banco de Dados'!$F479&lt;&gt;"-",IFERROR(_xlfn.XLOOKUP(_xlfn.CONCAT('Banco de Dados'!$A479,IFERROR(IFERROR(VALUE(SUBSTITUTE(MID(_xlfn.TEXTAFTER('Banco de Dados'!$F479,"Data do Pedido:
",1),1,10),"-","/")),VALUE(SUBSTITUTE(MID(_xlfn.TEXTAFTER('Banco de Dados'!$F479,"Order date:
",1),1,10),"-","/"))),0)),ProxyDD[Chave],ProxyDD[Valor por pedido]),PROXY!$P$2),0),0)</f>
        <v>0</v>
      </c>
      <c r="AP479" s="28">
        <f ca="1">IF('Banco de Dados'!$AK479&lt;&gt;"-",IF('Banco de Dados'!$AL479="NÃO",IFERROR(VALUE(SUBSTITUTE(_xlfn.TEXTAFTER('Banco de Dados'!$F479,"BRL ",1),".",",")),0),0),0)</f>
        <v>0</v>
      </c>
      <c r="AQ479" s="28">
        <f ca="1">SUM('Banco de Dados'!$AM479:$AP479)</f>
        <v>0</v>
      </c>
      <c r="AR479" s="8"/>
      <c r="AS479" s="8"/>
      <c r="AY479" s="8"/>
    </row>
    <row r="480" spans="1:51">
      <c r="A480" s="5" t="str">
        <v>BV</v>
      </c>
      <c r="B480" s="5" t="str">
        <f ca="1"/>
        <v>BV45625</v>
      </c>
      <c r="C480" s="8" t="str">
        <v>Pedido 469</v>
      </c>
      <c r="D480" s="9">
        <v>45625</v>
      </c>
      <c r="E480" s="9">
        <v>45625</v>
      </c>
      <c r="F480" s="8" t="str">
        <v>PedidoF455</v>
      </c>
      <c r="G480" s="2" t="str">
        <v>CódRastreio454</v>
      </c>
      <c r="H480" s="5">
        <v>1</v>
      </c>
      <c r="I480" s="182" t="str">
        <v>CPF 454</v>
      </c>
      <c r="J480" s="2" t="str">
        <v>Nome 454</v>
      </c>
      <c r="K480" s="8" t="str">
        <v>Tel 454</v>
      </c>
      <c r="L480" s="2" t="str">
        <v>Cep 454</v>
      </c>
      <c r="M480" s="2" t="str">
        <v>Rua 454</v>
      </c>
      <c r="N480" s="2" t="str">
        <v>Comp 454</v>
      </c>
      <c r="O480" s="2" t="str">
        <v>Ventilador Rosa</v>
      </c>
      <c r="P480" s="8" t="str">
        <v>IF-G2ZQ-79FO</v>
      </c>
      <c r="Q480" s="4">
        <v>45646</v>
      </c>
      <c r="R480" s="109">
        <v>65.989999999999995</v>
      </c>
      <c r="S480" s="11">
        <f ca="1"/>
        <v>65.989999999999995</v>
      </c>
      <c r="T480" s="28">
        <f ca="1"/>
        <v>8.5786999999999995</v>
      </c>
      <c r="U480" s="11">
        <f ca="1"/>
        <v>57.41</v>
      </c>
      <c r="V480" s="11">
        <v>14.69</v>
      </c>
      <c r="W480" s="11">
        <f ca="1"/>
        <v>0.24</v>
      </c>
      <c r="X480" s="11">
        <f ca="1"/>
        <v>0.39877104377104378</v>
      </c>
      <c r="Y480" s="11">
        <v>0</v>
      </c>
      <c r="Z480" s="11">
        <f ca="1"/>
        <v>42.081228956228955</v>
      </c>
      <c r="AA480" s="11">
        <f ca="1"/>
        <v>21.040614478114477</v>
      </c>
      <c r="AB480" s="4">
        <f ca="1"/>
        <v>45653</v>
      </c>
      <c r="AC480" s="4">
        <v>45653</v>
      </c>
      <c r="AD480" s="9">
        <v>45656</v>
      </c>
      <c r="AE480" s="9">
        <v>45659</v>
      </c>
      <c r="AF480" s="4" t="str">
        <f t="shared" ca="1" si="8"/>
        <v>2024 12</v>
      </c>
      <c r="AG480" s="8" t="str" cm="1">
        <f t="array" ref="AG480">IFERROR(_xlfn.IFS('Banco de Dados'!#REF!="AG. COMPRA","Em processamento",'Banco de Dados'!#REF!="AG. RASTREIO","Em processamento",'Banco de Dados'!$AE480&lt;&gt;"-","Faturado",'Banco de Dados'!$AD480&lt;&gt;"-","Aguardando Pix",'Banco de Dados'!$AC480&lt;&gt;"-","Pendente"),"Aguardando Liberação")</f>
        <v>Aguardando Liberação</v>
      </c>
      <c r="AH480" s="5" t="str">
        <f>IF('Banco de Dados'!$F480="-",_xlfn.CONCAT(PROPER(TEXT(AK480,"aaaa"))," ",PROPER(TEXT(AK480,"mm"))),_xlfn.CONCAT(PROPER(TEXT(E480,"aaaa"))," ",PROPER(TEXT(E480,"mm"))))</f>
        <v>2024 11</v>
      </c>
      <c r="AI480" s="9" t="str">
        <f ca="1">IF('Banco de Dados'!$AK480&lt;&gt;"-","REEMBOLSO",IFERROR(_xlfn.XLOOKUP(G480,Follow[CODRASTREIO],Follow[STATUS]),"-"))</f>
        <v>ENTREGUE</v>
      </c>
      <c r="AJ480" s="9">
        <f ca="1">IF('Banco de Dados'!$AI480="ENTREGUE",_xlfn.XLOOKUP('Banco de Dados'!$G480,Follow[CODRASTREIO],Follow[DATAATUALIZAÇÃO]),"-")</f>
        <v>45636</v>
      </c>
      <c r="AK480" s="9" t="str">
        <f ca="1"/>
        <v>-</v>
      </c>
      <c r="AL480" s="35"/>
      <c r="AM480" s="109" cm="1">
        <f t="array" aca="1" ref="AM480" ca="1">IF('Banco de Dados'!$AK480&lt;&gt;"-",_xlfn.IFS('Banco de Dados'!$A480="bv",IF('Banco de Dados'!$E480&lt;45641,ROUND(SUM('Banco de Dados'!$R480*_xlfn.XLOOKUP('Banco de Dados'!$P480,Sku!B:B,Sku!#REF!)*20%),2),ROUND(SUM('Banco de Dados'!$R480*_xlfn.XLOOKUP('Banco de Dados'!$P480,Sku!B:B,Sku!H:H)*20%),2)),'Banco de Dados'!$A480="GO",ROUND(_xlfn.XLOOKUP('Banco de Dados'!$P480,Sku!C:C,Sku!H:H),2),'Banco de Dados'!$A480="MEI",ROUND(_xlfn.XLOOKUP('Banco de Dados'!$P480,Sku!D:D,Sku!H:H),2)),0)</f>
        <v>0</v>
      </c>
      <c r="AN480" s="109">
        <f ca="1">IF('Banco de Dados'!$AK480&lt;&gt;"-",IF('Banco de Dados'!$F480&lt;&gt;"-",_xlfn.XLOOKUP(IFERROR(IFERROR(IFERROR(VALUE(SUBSTITUTE(MID(_xlfn.TEXTAFTER('Banco de Dados'!$F480,"Data do Pedido:
",1),1,10),"-","/")),VALUE(SUBSTITUTE(MID(_xlfn.TEXTAFTER('Banco de Dados'!$F480,"Order date:
",1),1,10),"-","/"))),VALUE(SUBSTITUTE(MID(_xlfn.TEXTAFTER('Banco de Dados'!$F480,"Fecha de pedido:
",1),1,10),"-","/"))),"-"),SMS!A:A,SMS!K:K),0),0)</f>
        <v>0</v>
      </c>
      <c r="AO480" s="109">
        <f ca="1">IF('Banco de Dados'!$AK480&lt;&gt;"-",IF('Banco de Dados'!$F480&lt;&gt;"-",IFERROR(_xlfn.XLOOKUP(_xlfn.CONCAT('Banco de Dados'!$A480,IFERROR(IFERROR(VALUE(SUBSTITUTE(MID(_xlfn.TEXTAFTER('Banco de Dados'!$F480,"Data do Pedido:
",1),1,10),"-","/")),VALUE(SUBSTITUTE(MID(_xlfn.TEXTAFTER('Banco de Dados'!$F480,"Order date:
",1),1,10),"-","/"))),0)),ProxyDD[Chave],ProxyDD[Valor por pedido]),PROXY!$P$2),0),0)</f>
        <v>0</v>
      </c>
      <c r="AP480" s="28">
        <f ca="1">IF('Banco de Dados'!$AK480&lt;&gt;"-",IF('Banco de Dados'!$AL480="NÃO",IFERROR(VALUE(SUBSTITUTE(_xlfn.TEXTAFTER('Banco de Dados'!$F480,"BRL ",1),".",",")),0),0),0)</f>
        <v>0</v>
      </c>
      <c r="AQ480" s="28">
        <f ca="1">SUM('Banco de Dados'!$AM480:$AP480)</f>
        <v>0</v>
      </c>
      <c r="AR480" s="8"/>
      <c r="AS480" s="8"/>
      <c r="AY480" s="8"/>
    </row>
    <row r="481" spans="1:51">
      <c r="A481" s="5" t="str">
        <v>BV</v>
      </c>
      <c r="B481" s="5" t="str">
        <f ca="1"/>
        <v>BV45628</v>
      </c>
      <c r="C481" s="8" t="str">
        <v>Pedido 470</v>
      </c>
      <c r="D481" s="9">
        <v>45628</v>
      </c>
      <c r="E481" s="9">
        <v>45628</v>
      </c>
      <c r="F481" s="8" t="str">
        <v>PedidoF456</v>
      </c>
      <c r="G481" s="2" t="str">
        <v>CódRastreio455</v>
      </c>
      <c r="H481" s="5">
        <v>1</v>
      </c>
      <c r="I481" s="182" t="str">
        <v>CPF 455</v>
      </c>
      <c r="J481" s="2" t="str">
        <v>Nome 455</v>
      </c>
      <c r="K481" s="8" t="str">
        <v>Tel 455</v>
      </c>
      <c r="L481" s="2" t="str">
        <v>Cep 455</v>
      </c>
      <c r="M481" s="2" t="str">
        <v>Rua 455</v>
      </c>
      <c r="N481" s="2" t="str">
        <v>Comp 455</v>
      </c>
      <c r="O481" s="2" t="str">
        <v>Adaptador Bluetooph</v>
      </c>
      <c r="P481" s="8" t="str">
        <v>YA-AG3H-SPUK</v>
      </c>
      <c r="Q481" s="4">
        <v>45644</v>
      </c>
      <c r="R481" s="109">
        <v>22.5</v>
      </c>
      <c r="S481" s="11">
        <f ca="1"/>
        <v>22.5</v>
      </c>
      <c r="T481" s="28">
        <f ca="1"/>
        <v>2.6999999999999997</v>
      </c>
      <c r="U481" s="11">
        <f ca="1"/>
        <v>19.8</v>
      </c>
      <c r="V481" s="11">
        <v>9.0399999999999991</v>
      </c>
      <c r="W481" s="11">
        <f ca="1"/>
        <v>0.21</v>
      </c>
      <c r="X481" s="11">
        <f ca="1"/>
        <v>0.39877104377104378</v>
      </c>
      <c r="Y481" s="11">
        <v>0</v>
      </c>
      <c r="Z481" s="11">
        <f ca="1"/>
        <v>10.151228956228957</v>
      </c>
      <c r="AA481" s="11">
        <f ca="1"/>
        <v>5.0756144781144785</v>
      </c>
      <c r="AB481" s="4">
        <f ca="1"/>
        <v>45651</v>
      </c>
      <c r="AC481" s="4">
        <v>45651</v>
      </c>
      <c r="AD481" s="9">
        <v>45651</v>
      </c>
      <c r="AE481" s="9">
        <v>45659</v>
      </c>
      <c r="AF481" s="4" t="str">
        <f t="shared" ca="1" si="8"/>
        <v>2024 12</v>
      </c>
      <c r="AG481" s="8" t="str" cm="1">
        <f t="array" ref="AG481">IFERROR(_xlfn.IFS('Banco de Dados'!#REF!="AG. COMPRA","Em processamento",'Banco de Dados'!#REF!="AG. RASTREIO","Em processamento",'Banco de Dados'!$AE481&lt;&gt;"-","Faturado",'Banco de Dados'!$AD481&lt;&gt;"-","Aguardando Pix",'Banco de Dados'!$AC481&lt;&gt;"-","Pendente"),"Aguardando Liberação")</f>
        <v>Aguardando Liberação</v>
      </c>
      <c r="AH481" s="5" t="str">
        <f>IF('Banco de Dados'!$F481="-",_xlfn.CONCAT(PROPER(TEXT(AK481,"aaaa"))," ",PROPER(TEXT(AK481,"mm"))),_xlfn.CONCAT(PROPER(TEXT(E481,"aaaa"))," ",PROPER(TEXT(E481,"mm"))))</f>
        <v>2024 12</v>
      </c>
      <c r="AI481" s="9" t="str">
        <f ca="1">IF('Banco de Dados'!$AK481&lt;&gt;"-","REEMBOLSO",IFERROR(_xlfn.XLOOKUP(G481,Follow[CODRASTREIO],Follow[STATUS]),"-"))</f>
        <v>ENTREGUE</v>
      </c>
      <c r="AJ481" s="9">
        <f ca="1">IF('Banco de Dados'!$AI481="ENTREGUE",_xlfn.XLOOKUP('Banco de Dados'!$G481,Follow[CODRASTREIO],Follow[DATAATUALIZAÇÃO]),"-")</f>
        <v>45635.750254629631</v>
      </c>
      <c r="AK481" s="9" t="str">
        <f ca="1"/>
        <v>-</v>
      </c>
      <c r="AL481" s="35"/>
      <c r="AM481" s="109" cm="1">
        <f t="array" aca="1" ref="AM481" ca="1">IF('Banco de Dados'!$AK481&lt;&gt;"-",_xlfn.IFS('Banco de Dados'!$A481="bv",IF('Banco de Dados'!$E481&lt;45641,ROUND(SUM('Banco de Dados'!$R481*_xlfn.XLOOKUP('Banco de Dados'!$P481,Sku!B:B,Sku!#REF!)*20%),2),ROUND(SUM('Banco de Dados'!$R481*_xlfn.XLOOKUP('Banco de Dados'!$P481,Sku!B:B,Sku!H:H)*20%),2)),'Banco de Dados'!$A481="GO",ROUND(_xlfn.XLOOKUP('Banco de Dados'!$P481,Sku!C:C,Sku!H:H),2),'Banco de Dados'!$A481="MEI",ROUND(_xlfn.XLOOKUP('Banco de Dados'!$P481,Sku!D:D,Sku!H:H),2)),0)</f>
        <v>0</v>
      </c>
      <c r="AN481" s="109">
        <f ca="1">IF('Banco de Dados'!$AK481&lt;&gt;"-",IF('Banco de Dados'!$F481&lt;&gt;"-",_xlfn.XLOOKUP(IFERROR(IFERROR(IFERROR(VALUE(SUBSTITUTE(MID(_xlfn.TEXTAFTER('Banco de Dados'!$F481,"Data do Pedido:
",1),1,10),"-","/")),VALUE(SUBSTITUTE(MID(_xlfn.TEXTAFTER('Banco de Dados'!$F481,"Order date:
",1),1,10),"-","/"))),VALUE(SUBSTITUTE(MID(_xlfn.TEXTAFTER('Banco de Dados'!$F481,"Fecha de pedido:
",1),1,10),"-","/"))),"-"),SMS!A:A,SMS!K:K),0),0)</f>
        <v>0</v>
      </c>
      <c r="AO481" s="109">
        <f ca="1">IF('Banco de Dados'!$AK481&lt;&gt;"-",IF('Banco de Dados'!$F481&lt;&gt;"-",IFERROR(_xlfn.XLOOKUP(_xlfn.CONCAT('Banco de Dados'!$A481,IFERROR(IFERROR(VALUE(SUBSTITUTE(MID(_xlfn.TEXTAFTER('Banco de Dados'!$F481,"Data do Pedido:
",1),1,10),"-","/")),VALUE(SUBSTITUTE(MID(_xlfn.TEXTAFTER('Banco de Dados'!$F481,"Order date:
",1),1,10),"-","/"))),0)),ProxyDD[Chave],ProxyDD[Valor por pedido]),PROXY!$P$2),0),0)</f>
        <v>0</v>
      </c>
      <c r="AP481" s="28">
        <f ca="1">IF('Banco de Dados'!$AK481&lt;&gt;"-",IF('Banco de Dados'!$AL481="NÃO",IFERROR(VALUE(SUBSTITUTE(_xlfn.TEXTAFTER('Banco de Dados'!$F481,"BRL ",1),".",",")),0),0),0)</f>
        <v>0</v>
      </c>
      <c r="AQ481" s="28">
        <f ca="1">SUM('Banco de Dados'!$AM481:$AP481)</f>
        <v>0</v>
      </c>
      <c r="AR481" s="8"/>
      <c r="AS481" s="8"/>
      <c r="AY481" s="8"/>
    </row>
    <row r="482" spans="1:51">
      <c r="A482" s="5" t="str">
        <v>BV</v>
      </c>
      <c r="B482" s="5" t="str">
        <f ca="1"/>
        <v>BV45625</v>
      </c>
      <c r="C482" s="8" t="str">
        <v>Pedido 471</v>
      </c>
      <c r="D482" s="9">
        <v>45625</v>
      </c>
      <c r="E482" s="9">
        <v>45625</v>
      </c>
      <c r="F482" s="8" t="str">
        <v>PedidoF457</v>
      </c>
      <c r="G482" s="2" t="str">
        <v>CódRastreio456</v>
      </c>
      <c r="H482" s="5">
        <v>1</v>
      </c>
      <c r="I482" s="182" t="str">
        <v>CPF 456</v>
      </c>
      <c r="J482" s="2" t="str">
        <v>Nome 456</v>
      </c>
      <c r="K482" s="8" t="str">
        <v>Tel 456</v>
      </c>
      <c r="L482" s="2" t="str">
        <v>Cep 456</v>
      </c>
      <c r="M482" s="2" t="str">
        <v>Rua 456</v>
      </c>
      <c r="N482" s="2" t="str">
        <v>Comp 456</v>
      </c>
      <c r="O482" s="2" t="str">
        <v>Ventilador Azul</v>
      </c>
      <c r="P482" s="8" t="str">
        <v>U8-2VWS-OB6M</v>
      </c>
      <c r="Q482" s="4">
        <v>45646</v>
      </c>
      <c r="R482" s="109">
        <v>65.989999999999995</v>
      </c>
      <c r="S482" s="11">
        <f ca="1"/>
        <v>65.989999999999995</v>
      </c>
      <c r="T482" s="28">
        <f ca="1"/>
        <v>8.5786999999999995</v>
      </c>
      <c r="U482" s="11">
        <f ca="1"/>
        <v>57.41</v>
      </c>
      <c r="V482" s="11">
        <v>14.69</v>
      </c>
      <c r="W482" s="11">
        <f ca="1"/>
        <v>0.24</v>
      </c>
      <c r="X482" s="11">
        <f ca="1"/>
        <v>0.39877104377104378</v>
      </c>
      <c r="Y482" s="11">
        <v>0</v>
      </c>
      <c r="Z482" s="11">
        <f ca="1"/>
        <v>42.081228956228955</v>
      </c>
      <c r="AA482" s="11">
        <f ca="1"/>
        <v>21.040614478114477</v>
      </c>
      <c r="AB482" s="4">
        <f ca="1"/>
        <v>45653</v>
      </c>
      <c r="AC482" s="4">
        <v>45653</v>
      </c>
      <c r="AD482" s="9">
        <v>45656</v>
      </c>
      <c r="AE482" s="9">
        <v>45659</v>
      </c>
      <c r="AF482" s="4" t="str">
        <f t="shared" ca="1" si="8"/>
        <v>2024 12</v>
      </c>
      <c r="AG482" s="8" t="str" cm="1">
        <f t="array" ref="AG482">IFERROR(_xlfn.IFS('Banco de Dados'!#REF!="AG. COMPRA","Em processamento",'Banco de Dados'!#REF!="AG. RASTREIO","Em processamento",'Banco de Dados'!$AE482&lt;&gt;"-","Faturado",'Banco de Dados'!$AD482&lt;&gt;"-","Aguardando Pix",'Banco de Dados'!$AC482&lt;&gt;"-","Pendente"),"Aguardando Liberação")</f>
        <v>Aguardando Liberação</v>
      </c>
      <c r="AH482" s="5" t="str">
        <f>IF('Banco de Dados'!$F482="-",_xlfn.CONCAT(PROPER(TEXT(AK482,"aaaa"))," ",PROPER(TEXT(AK482,"mm"))),_xlfn.CONCAT(PROPER(TEXT(E482,"aaaa"))," ",PROPER(TEXT(E482,"mm"))))</f>
        <v>2024 11</v>
      </c>
      <c r="AI482" s="9" t="str">
        <f ca="1">IF('Banco de Dados'!$AK482&lt;&gt;"-","REEMBOLSO",IFERROR(_xlfn.XLOOKUP(G482,Follow[CODRASTREIO],Follow[STATUS]),"-"))</f>
        <v>ENTREGUE</v>
      </c>
      <c r="AJ482" s="9">
        <f ca="1">IF('Banco de Dados'!$AI482="ENTREGUE",_xlfn.XLOOKUP('Banco de Dados'!$G482,Follow[CODRASTREIO],Follow[DATAATUALIZAÇÃO]),"-")</f>
        <v>45646</v>
      </c>
      <c r="AK482" s="9" t="str">
        <f ca="1"/>
        <v>-</v>
      </c>
      <c r="AL482" s="35"/>
      <c r="AM482" s="109" cm="1">
        <f t="array" aca="1" ref="AM482" ca="1">IF('Banco de Dados'!$AK482&lt;&gt;"-",_xlfn.IFS('Banco de Dados'!$A482="bv",IF('Banco de Dados'!$E482&lt;45641,ROUND(SUM('Banco de Dados'!$R482*_xlfn.XLOOKUP('Banco de Dados'!$P482,Sku!B:B,Sku!#REF!)*20%),2),ROUND(SUM('Banco de Dados'!$R482*_xlfn.XLOOKUP('Banco de Dados'!$P482,Sku!B:B,Sku!H:H)*20%),2)),'Banco de Dados'!$A482="GO",ROUND(_xlfn.XLOOKUP('Banco de Dados'!$P482,Sku!C:C,Sku!H:H),2),'Banco de Dados'!$A482="MEI",ROUND(_xlfn.XLOOKUP('Banco de Dados'!$P482,Sku!D:D,Sku!H:H),2)),0)</f>
        <v>0</v>
      </c>
      <c r="AN482" s="109">
        <f ca="1">IF('Banco de Dados'!$AK482&lt;&gt;"-",IF('Banco de Dados'!$F482&lt;&gt;"-",_xlfn.XLOOKUP(IFERROR(IFERROR(IFERROR(VALUE(SUBSTITUTE(MID(_xlfn.TEXTAFTER('Banco de Dados'!$F482,"Data do Pedido:
",1),1,10),"-","/")),VALUE(SUBSTITUTE(MID(_xlfn.TEXTAFTER('Banco de Dados'!$F482,"Order date:
",1),1,10),"-","/"))),VALUE(SUBSTITUTE(MID(_xlfn.TEXTAFTER('Banco de Dados'!$F482,"Fecha de pedido:
",1),1,10),"-","/"))),"-"),SMS!A:A,SMS!K:K),0),0)</f>
        <v>0</v>
      </c>
      <c r="AO482" s="109">
        <f ca="1">IF('Banco de Dados'!$AK482&lt;&gt;"-",IF('Banco de Dados'!$F482&lt;&gt;"-",IFERROR(_xlfn.XLOOKUP(_xlfn.CONCAT('Banco de Dados'!$A482,IFERROR(IFERROR(VALUE(SUBSTITUTE(MID(_xlfn.TEXTAFTER('Banco de Dados'!$F482,"Data do Pedido:
",1),1,10),"-","/")),VALUE(SUBSTITUTE(MID(_xlfn.TEXTAFTER('Banco de Dados'!$F482,"Order date:
",1),1,10),"-","/"))),0)),ProxyDD[Chave],ProxyDD[Valor por pedido]),PROXY!$P$2),0),0)</f>
        <v>0</v>
      </c>
      <c r="AP482" s="28">
        <f ca="1">IF('Banco de Dados'!$AK482&lt;&gt;"-",IF('Banco de Dados'!$AL482="NÃO",IFERROR(VALUE(SUBSTITUTE(_xlfn.TEXTAFTER('Banco de Dados'!$F482,"BRL ",1),".",",")),0),0),0)</f>
        <v>0</v>
      </c>
      <c r="AQ482" s="28">
        <f ca="1">SUM('Banco de Dados'!$AM482:$AP482)</f>
        <v>0</v>
      </c>
      <c r="AR482" s="8"/>
      <c r="AS482" s="8"/>
      <c r="AY482" s="8"/>
    </row>
    <row r="483" spans="1:51">
      <c r="A483" s="5" t="str">
        <v>BV</v>
      </c>
      <c r="B483" s="5" t="str">
        <f ca="1"/>
        <v>BV45625</v>
      </c>
      <c r="C483" s="8" t="str">
        <v>Pedido 472</v>
      </c>
      <c r="D483" s="9">
        <v>45625</v>
      </c>
      <c r="E483" s="9">
        <v>45625</v>
      </c>
      <c r="F483" s="8" t="str">
        <v>PedidoF458</v>
      </c>
      <c r="G483" s="2" t="str">
        <v>CódRastreio457</v>
      </c>
      <c r="H483" s="5">
        <v>1</v>
      </c>
      <c r="I483" s="182" t="str">
        <v>CPF 457</v>
      </c>
      <c r="J483" s="2" t="str">
        <v>Nome 457</v>
      </c>
      <c r="K483" s="8" t="str">
        <v>Tel 457</v>
      </c>
      <c r="L483" s="2" t="str">
        <v>Cep 457</v>
      </c>
      <c r="M483" s="2" t="str">
        <v>Rua 457</v>
      </c>
      <c r="N483" s="2" t="str">
        <v>Comp 457</v>
      </c>
      <c r="O483" s="2" t="str">
        <v>Ventilador Preto</v>
      </c>
      <c r="P483" s="8" t="str">
        <v>MU-J80P-95WF</v>
      </c>
      <c r="Q483" s="4">
        <v>45654</v>
      </c>
      <c r="R483" s="109">
        <v>65.989999999999995</v>
      </c>
      <c r="S483" s="11">
        <f ca="1"/>
        <v>65.989999999999995</v>
      </c>
      <c r="T483" s="28">
        <f ca="1"/>
        <v>8.5786999999999995</v>
      </c>
      <c r="U483" s="11">
        <f ca="1"/>
        <v>57.41</v>
      </c>
      <c r="V483" s="11">
        <v>15.22</v>
      </c>
      <c r="W483" s="11">
        <f ca="1"/>
        <v>0.24</v>
      </c>
      <c r="X483" s="11">
        <f ca="1"/>
        <v>0.39877104377104378</v>
      </c>
      <c r="Y483" s="11">
        <v>0</v>
      </c>
      <c r="Z483" s="11">
        <f ca="1"/>
        <v>41.551228956228954</v>
      </c>
      <c r="AA483" s="11">
        <f ca="1"/>
        <v>20.775614478114477</v>
      </c>
      <c r="AB483" s="4">
        <f ca="1"/>
        <v>45661</v>
      </c>
      <c r="AC483" s="4">
        <v>45661</v>
      </c>
      <c r="AD483" s="9">
        <v>45665</v>
      </c>
      <c r="AE483" s="9">
        <v>45673</v>
      </c>
      <c r="AF483" s="4" t="str">
        <f t="shared" ca="1" si="8"/>
        <v>2025 01</v>
      </c>
      <c r="AG483" s="8" t="str" cm="1">
        <f t="array" ref="AG483">IFERROR(_xlfn.IFS('Banco de Dados'!#REF!="AG. COMPRA","Em processamento",'Banco de Dados'!#REF!="AG. RASTREIO","Em processamento",'Banco de Dados'!$AE483&lt;&gt;"-","Faturado",'Banco de Dados'!$AD483&lt;&gt;"-","Aguardando Pix",'Banco de Dados'!$AC483&lt;&gt;"-","Pendente"),"Aguardando Liberação")</f>
        <v>Aguardando Liberação</v>
      </c>
      <c r="AH483" s="5" t="str">
        <f>IF('Banco de Dados'!$F483="-",_xlfn.CONCAT(PROPER(TEXT(AK483,"aaaa"))," ",PROPER(TEXT(AK483,"mm"))),_xlfn.CONCAT(PROPER(TEXT(E483,"aaaa"))," ",PROPER(TEXT(E483,"mm"))))</f>
        <v>2024 11</v>
      </c>
      <c r="AI483" s="9" t="str">
        <f ca="1">IF('Banco de Dados'!$AK483&lt;&gt;"-","REEMBOLSO",IFERROR(_xlfn.XLOOKUP(G483,Follow[CODRASTREIO],Follow[STATUS]),"-"))</f>
        <v>ENTREGUE</v>
      </c>
      <c r="AJ483" s="9">
        <f ca="1">IF('Banco de Dados'!$AI483="ENTREGUE",_xlfn.XLOOKUP('Banco de Dados'!$G483,Follow[CODRASTREIO],Follow[DATAATUALIZAÇÃO]),"-")</f>
        <v>45638</v>
      </c>
      <c r="AK483" s="9" t="str">
        <f ca="1"/>
        <v>-</v>
      </c>
      <c r="AL483" s="35"/>
      <c r="AM483" s="109" cm="1">
        <f t="array" aca="1" ref="AM483" ca="1">IF('Banco de Dados'!$AK483&lt;&gt;"-",_xlfn.IFS('Banco de Dados'!$A483="bv",IF('Banco de Dados'!$E483&lt;45641,ROUND(SUM('Banco de Dados'!$R483*_xlfn.XLOOKUP('Banco de Dados'!$P483,Sku!B:B,Sku!#REF!)*20%),2),ROUND(SUM('Banco de Dados'!$R483*_xlfn.XLOOKUP('Banco de Dados'!$P483,Sku!B:B,Sku!H:H)*20%),2)),'Banco de Dados'!$A483="GO",ROUND(_xlfn.XLOOKUP('Banco de Dados'!$P483,Sku!C:C,Sku!H:H),2),'Banco de Dados'!$A483="MEI",ROUND(_xlfn.XLOOKUP('Banco de Dados'!$P483,Sku!D:D,Sku!H:H),2)),0)</f>
        <v>0</v>
      </c>
      <c r="AN483" s="109">
        <f ca="1">IF('Banco de Dados'!$AK483&lt;&gt;"-",IF('Banco de Dados'!$F483&lt;&gt;"-",_xlfn.XLOOKUP(IFERROR(IFERROR(IFERROR(VALUE(SUBSTITUTE(MID(_xlfn.TEXTAFTER('Banco de Dados'!$F483,"Data do Pedido:
",1),1,10),"-","/")),VALUE(SUBSTITUTE(MID(_xlfn.TEXTAFTER('Banco de Dados'!$F483,"Order date:
",1),1,10),"-","/"))),VALUE(SUBSTITUTE(MID(_xlfn.TEXTAFTER('Banco de Dados'!$F483,"Fecha de pedido:
",1),1,10),"-","/"))),"-"),SMS!A:A,SMS!K:K),0),0)</f>
        <v>0</v>
      </c>
      <c r="AO483" s="109">
        <f ca="1">IF('Banco de Dados'!$AK483&lt;&gt;"-",IF('Banco de Dados'!$F483&lt;&gt;"-",IFERROR(_xlfn.XLOOKUP(_xlfn.CONCAT('Banco de Dados'!$A483,IFERROR(IFERROR(VALUE(SUBSTITUTE(MID(_xlfn.TEXTAFTER('Banco de Dados'!$F483,"Data do Pedido:
",1),1,10),"-","/")),VALUE(SUBSTITUTE(MID(_xlfn.TEXTAFTER('Banco de Dados'!$F483,"Order date:
",1),1,10),"-","/"))),0)),ProxyDD[Chave],ProxyDD[Valor por pedido]),PROXY!$P$2),0),0)</f>
        <v>0</v>
      </c>
      <c r="AP483" s="28">
        <f ca="1">IF('Banco de Dados'!$AK483&lt;&gt;"-",IF('Banco de Dados'!$AL483="NÃO",IFERROR(VALUE(SUBSTITUTE(_xlfn.TEXTAFTER('Banco de Dados'!$F483,"BRL ",1),".",",")),0),0),0)</f>
        <v>0</v>
      </c>
      <c r="AQ483" s="28">
        <f ca="1">SUM('Banco de Dados'!$AM483:$AP483)</f>
        <v>0</v>
      </c>
      <c r="AR483" s="8"/>
      <c r="AS483" s="8"/>
      <c r="AY483" s="8"/>
    </row>
    <row r="484" spans="1:51">
      <c r="A484" s="5" t="str">
        <v>BV</v>
      </c>
      <c r="B484" s="5" t="str">
        <f ca="1"/>
        <v>BV45628</v>
      </c>
      <c r="C484" s="8" t="str">
        <v>Pedido 473</v>
      </c>
      <c r="D484" s="9">
        <v>45628</v>
      </c>
      <c r="E484" s="9">
        <v>45628</v>
      </c>
      <c r="F484" s="8" t="str">
        <v>PedidoF459</v>
      </c>
      <c r="G484" s="2" t="str">
        <v>CódRastreio458</v>
      </c>
      <c r="H484" s="5">
        <v>1</v>
      </c>
      <c r="I484" s="182" t="str">
        <v>CPF 458</v>
      </c>
      <c r="J484" s="2" t="str">
        <v>Nome 458</v>
      </c>
      <c r="K484" s="8" t="str">
        <v>Tel 458</v>
      </c>
      <c r="L484" s="2" t="str">
        <v>Cep 458</v>
      </c>
      <c r="M484" s="2" t="str">
        <v>Rua 458</v>
      </c>
      <c r="N484" s="2" t="str">
        <v>Comp 458</v>
      </c>
      <c r="O484" s="2" t="str">
        <v>Adaptador Bluetooph</v>
      </c>
      <c r="P484" s="8" t="str">
        <v>YA-AG3H-SPUK</v>
      </c>
      <c r="Q484" s="4">
        <v>45640</v>
      </c>
      <c r="R484" s="109">
        <v>22.5</v>
      </c>
      <c r="S484" s="11">
        <f ca="1"/>
        <v>22.5</v>
      </c>
      <c r="T484" s="28">
        <f ca="1"/>
        <v>2.6999999999999997</v>
      </c>
      <c r="U484" s="11">
        <f ca="1"/>
        <v>19.8</v>
      </c>
      <c r="V484" s="11">
        <v>9.0399999999999991</v>
      </c>
      <c r="W484" s="11">
        <f ca="1"/>
        <v>0.21</v>
      </c>
      <c r="X484" s="11">
        <f ca="1"/>
        <v>0.39877104377104378</v>
      </c>
      <c r="Y484" s="11">
        <v>0</v>
      </c>
      <c r="Z484" s="11">
        <f ca="1"/>
        <v>10.151228956228957</v>
      </c>
      <c r="AA484" s="11">
        <f ca="1"/>
        <v>5.0756144781144785</v>
      </c>
      <c r="AB484" s="4">
        <f ca="1"/>
        <v>45647</v>
      </c>
      <c r="AC484" s="4">
        <v>45647</v>
      </c>
      <c r="AD484" s="9">
        <v>45651</v>
      </c>
      <c r="AE484" s="9">
        <v>45659</v>
      </c>
      <c r="AF484" s="4" t="str">
        <f t="shared" ca="1" si="8"/>
        <v>2024 12</v>
      </c>
      <c r="AG484" s="8" t="str" cm="1">
        <f t="array" ref="AG484">IFERROR(_xlfn.IFS('Banco de Dados'!#REF!="AG. COMPRA","Em processamento",'Banco de Dados'!#REF!="AG. RASTREIO","Em processamento",'Banco de Dados'!$AE484&lt;&gt;"-","Faturado",'Banco de Dados'!$AD484&lt;&gt;"-","Aguardando Pix",'Banco de Dados'!$AC484&lt;&gt;"-","Pendente"),"Aguardando Liberação")</f>
        <v>Aguardando Liberação</v>
      </c>
      <c r="AH484" s="5" t="str">
        <f>IF('Banco de Dados'!$F484="-",_xlfn.CONCAT(PROPER(TEXT(AK484,"aaaa"))," ",PROPER(TEXT(AK484,"mm"))),_xlfn.CONCAT(PROPER(TEXT(E484,"aaaa"))," ",PROPER(TEXT(E484,"mm"))))</f>
        <v>2024 12</v>
      </c>
      <c r="AI484" s="9" t="str">
        <f ca="1">IF('Banco de Dados'!$AK484&lt;&gt;"-","REEMBOLSO",IFERROR(_xlfn.XLOOKUP(G484,Follow[CODRASTREIO],Follow[STATUS]),"-"))</f>
        <v>ENTREGUE</v>
      </c>
      <c r="AJ484" s="9">
        <f ca="1">IF('Banco de Dados'!$AI484="ENTREGUE",_xlfn.XLOOKUP('Banco de Dados'!$G484,Follow[CODRASTREIO],Follow[DATAATUALIZAÇÃO]),"-")</f>
        <v>45633.744386574072</v>
      </c>
      <c r="AK484" s="9" t="str">
        <f ca="1"/>
        <v>-</v>
      </c>
      <c r="AL484" s="35"/>
      <c r="AM484" s="109" cm="1">
        <f t="array" aca="1" ref="AM484" ca="1">IF('Banco de Dados'!$AK484&lt;&gt;"-",_xlfn.IFS('Banco de Dados'!$A484="bv",IF('Banco de Dados'!$E484&lt;45641,ROUND(SUM('Banco de Dados'!$R484*_xlfn.XLOOKUP('Banco de Dados'!$P484,Sku!B:B,Sku!#REF!)*20%),2),ROUND(SUM('Banco de Dados'!$R484*_xlfn.XLOOKUP('Banco de Dados'!$P484,Sku!B:B,Sku!H:H)*20%),2)),'Banco de Dados'!$A484="GO",ROUND(_xlfn.XLOOKUP('Banco de Dados'!$P484,Sku!C:C,Sku!H:H),2),'Banco de Dados'!$A484="MEI",ROUND(_xlfn.XLOOKUP('Banco de Dados'!$P484,Sku!D:D,Sku!H:H),2)),0)</f>
        <v>0</v>
      </c>
      <c r="AN484" s="109">
        <f ca="1">IF('Banco de Dados'!$AK484&lt;&gt;"-",IF('Banco de Dados'!$F484&lt;&gt;"-",_xlfn.XLOOKUP(IFERROR(IFERROR(IFERROR(VALUE(SUBSTITUTE(MID(_xlfn.TEXTAFTER('Banco de Dados'!$F484,"Data do Pedido:
",1),1,10),"-","/")),VALUE(SUBSTITUTE(MID(_xlfn.TEXTAFTER('Banco de Dados'!$F484,"Order date:
",1),1,10),"-","/"))),VALUE(SUBSTITUTE(MID(_xlfn.TEXTAFTER('Banco de Dados'!$F484,"Fecha de pedido:
",1),1,10),"-","/"))),"-"),SMS!A:A,SMS!K:K),0),0)</f>
        <v>0</v>
      </c>
      <c r="AO484" s="109">
        <f ca="1">IF('Banco de Dados'!$AK484&lt;&gt;"-",IF('Banco de Dados'!$F484&lt;&gt;"-",IFERROR(_xlfn.XLOOKUP(_xlfn.CONCAT('Banco de Dados'!$A484,IFERROR(IFERROR(VALUE(SUBSTITUTE(MID(_xlfn.TEXTAFTER('Banco de Dados'!$F484,"Data do Pedido:
",1),1,10),"-","/")),VALUE(SUBSTITUTE(MID(_xlfn.TEXTAFTER('Banco de Dados'!$F484,"Order date:
",1),1,10),"-","/"))),0)),ProxyDD[Chave],ProxyDD[Valor por pedido]),PROXY!$P$2),0),0)</f>
        <v>0</v>
      </c>
      <c r="AP484" s="28">
        <f ca="1">IF('Banco de Dados'!$AK484&lt;&gt;"-",IF('Banco de Dados'!$AL484="NÃO",IFERROR(VALUE(SUBSTITUTE(_xlfn.TEXTAFTER('Banco de Dados'!$F484,"BRL ",1),".",",")),0),0),0)</f>
        <v>0</v>
      </c>
      <c r="AQ484" s="28">
        <f ca="1">SUM('Banco de Dados'!$AM484:$AP484)</f>
        <v>0</v>
      </c>
      <c r="AR484" s="8"/>
      <c r="AS484" s="8"/>
      <c r="AY484" s="8"/>
    </row>
    <row r="485" spans="1:51">
      <c r="A485" s="5" t="str">
        <v>BV</v>
      </c>
      <c r="B485" s="5" t="str">
        <f ca="1"/>
        <v>BV45625</v>
      </c>
      <c r="C485" s="8" t="str">
        <v>Pedido 474</v>
      </c>
      <c r="D485" s="9">
        <v>45625</v>
      </c>
      <c r="E485" s="9">
        <v>45625</v>
      </c>
      <c r="F485" s="8" t="str">
        <v>PedidoF460</v>
      </c>
      <c r="G485" s="2" t="str">
        <v>CódRastreio459</v>
      </c>
      <c r="H485" s="5">
        <v>1</v>
      </c>
      <c r="I485" s="182" t="str">
        <v>CPF 459</v>
      </c>
      <c r="J485" s="2" t="str">
        <v>Nome 459</v>
      </c>
      <c r="K485" s="8" t="str">
        <v>Tel 459</v>
      </c>
      <c r="L485" s="8" t="str">
        <v>Cep 459</v>
      </c>
      <c r="M485" s="8" t="str">
        <v>Rua 459</v>
      </c>
      <c r="N485" s="8" t="str">
        <v>Comp 459</v>
      </c>
      <c r="O485" s="8" t="str">
        <v>Ventilador Preto</v>
      </c>
      <c r="P485" s="8" t="str">
        <v>MU-J80P-95WF</v>
      </c>
      <c r="Q485" s="4">
        <v>45646</v>
      </c>
      <c r="R485" s="109">
        <v>65.989999999999995</v>
      </c>
      <c r="S485" s="11">
        <f ca="1"/>
        <v>65.989999999999995</v>
      </c>
      <c r="T485" s="28">
        <f ca="1"/>
        <v>8.5786999999999995</v>
      </c>
      <c r="U485" s="11">
        <f ca="1"/>
        <v>57.41</v>
      </c>
      <c r="V485" s="11">
        <v>15.22</v>
      </c>
      <c r="W485" s="11">
        <f ca="1"/>
        <v>0.24</v>
      </c>
      <c r="X485" s="11">
        <f ca="1"/>
        <v>0.39877104377104378</v>
      </c>
      <c r="Y485" s="11">
        <v>0</v>
      </c>
      <c r="Z485" s="11">
        <f ca="1"/>
        <v>41.551228956228954</v>
      </c>
      <c r="AA485" s="11">
        <f ca="1"/>
        <v>20.775614478114477</v>
      </c>
      <c r="AB485" s="4">
        <f ca="1"/>
        <v>45653</v>
      </c>
      <c r="AC485" s="4">
        <v>45653</v>
      </c>
      <c r="AD485" s="9">
        <v>45656</v>
      </c>
      <c r="AE485" s="9">
        <v>45659</v>
      </c>
      <c r="AF485" s="4" t="str">
        <f ca="1">_xlfn.CONCAT(PROPER(TEXT(AB485,"aaaa"))," ",PROPER(TEXT(AB485,"mm")))</f>
        <v>2024 12</v>
      </c>
      <c r="AG485" s="8" t="str" cm="1">
        <f t="array" ref="AG485">IFERROR(_xlfn.IFS('Banco de Dados'!#REF!="AG. COMPRA","Em processamento",'Banco de Dados'!#REF!="AG. RASTREIO","Em processamento",'Banco de Dados'!$AE485&lt;&gt;"-","Faturado",'Banco de Dados'!$AD485&lt;&gt;"-","Aguardando Pix",'Banco de Dados'!$AC485&lt;&gt;"-","Pendente"),"Aguardando Liberação")</f>
        <v>Aguardando Liberação</v>
      </c>
      <c r="AH485" s="5" t="str">
        <f>IF('Banco de Dados'!$F485="-",_xlfn.CONCAT(PROPER(TEXT(AK485,"aaaa"))," ",PROPER(TEXT(AK485,"mm"))),_xlfn.CONCAT(PROPER(TEXT(E485,"aaaa"))," ",PROPER(TEXT(E485,"mm"))))</f>
        <v>2024 11</v>
      </c>
      <c r="AI485" s="9" t="str">
        <f ca="1">IF('Banco de Dados'!$AK485&lt;&gt;"-","REEMBOLSO",IFERROR(_xlfn.XLOOKUP(G485,Follow[CODRASTREIO],Follow[STATUS]),"-"))</f>
        <v>ENTREGUE</v>
      </c>
      <c r="AJ485" s="9">
        <f ca="1">IF('Banco de Dados'!$AI485="ENTREGUE",_xlfn.XLOOKUP('Banco de Dados'!$G485,Follow[CODRASTREIO],Follow[DATAATUALIZAÇÃO]),"-")</f>
        <v>45637</v>
      </c>
      <c r="AK485" s="9" t="str">
        <f ca="1"/>
        <v>-</v>
      </c>
      <c r="AL485" s="35"/>
      <c r="AM485" s="109" cm="1">
        <f t="array" aca="1" ref="AM485" ca="1">IF('Banco de Dados'!$AK485&lt;&gt;"-",_xlfn.IFS('Banco de Dados'!$A485="bv",IF('Banco de Dados'!$E485&lt;45641,ROUND(SUM('Banco de Dados'!$R485*_xlfn.XLOOKUP('Banco de Dados'!$P485,Sku!B:B,Sku!#REF!)*20%),2),ROUND(SUM('Banco de Dados'!$R485*_xlfn.XLOOKUP('Banco de Dados'!$P485,Sku!B:B,Sku!H:H)*20%),2)),'Banco de Dados'!$A485="GO",ROUND(_xlfn.XLOOKUP('Banco de Dados'!$P485,Sku!C:C,Sku!H:H),2),'Banco de Dados'!$A485="MEI",ROUND(_xlfn.XLOOKUP('Banco de Dados'!$P485,Sku!D:D,Sku!H:H),2)),0)</f>
        <v>0</v>
      </c>
      <c r="AN485" s="109">
        <f ca="1">IF('Banco de Dados'!$AK485&lt;&gt;"-",IF('Banco de Dados'!$F485&lt;&gt;"-",_xlfn.XLOOKUP(IFERROR(IFERROR(IFERROR(VALUE(SUBSTITUTE(MID(_xlfn.TEXTAFTER('Banco de Dados'!$F485,"Data do Pedido:
",1),1,10),"-","/")),VALUE(SUBSTITUTE(MID(_xlfn.TEXTAFTER('Banco de Dados'!$F485,"Order date:
",1),1,10),"-","/"))),VALUE(SUBSTITUTE(MID(_xlfn.TEXTAFTER('Banco de Dados'!$F485,"Fecha de pedido:
",1),1,10),"-","/"))),"-"),SMS!A:A,SMS!K:K),0),0)</f>
        <v>0</v>
      </c>
      <c r="AO485" s="109">
        <f ca="1">IF('Banco de Dados'!$AK485&lt;&gt;"-",IF('Banco de Dados'!$F485&lt;&gt;"-",IFERROR(_xlfn.XLOOKUP(_xlfn.CONCAT('Banco de Dados'!$A485,IFERROR(IFERROR(VALUE(SUBSTITUTE(MID(_xlfn.TEXTAFTER('Banco de Dados'!$F485,"Data do Pedido:
",1),1,10),"-","/")),VALUE(SUBSTITUTE(MID(_xlfn.TEXTAFTER('Banco de Dados'!$F485,"Order date:
",1),1,10),"-","/"))),0)),ProxyDD[Chave],ProxyDD[Valor por pedido]),PROXY!$P$2),0),0)</f>
        <v>0</v>
      </c>
      <c r="AP485" s="28">
        <f ca="1">IF('Banco de Dados'!$AK485&lt;&gt;"-",IF('Banco de Dados'!$AL485="NÃO",IFERROR(VALUE(SUBSTITUTE(_xlfn.TEXTAFTER('Banco de Dados'!$F485,"BRL ",1),".",",")),0),0),0)</f>
        <v>0</v>
      </c>
      <c r="AQ485" s="28">
        <f ca="1">SUM('Banco de Dados'!$AM485:$AP485)</f>
        <v>0</v>
      </c>
      <c r="AR485" s="8"/>
      <c r="AS485" s="8"/>
      <c r="AY485" s="8"/>
    </row>
    <row r="486" spans="1:51">
      <c r="A486" s="5" t="str">
        <v>BV</v>
      </c>
      <c r="B486" s="5" t="str">
        <f ca="1"/>
        <v>BV45625</v>
      </c>
      <c r="C486" s="8" t="str">
        <v>Pedido 475</v>
      </c>
      <c r="D486" s="9">
        <v>45625</v>
      </c>
      <c r="E486" s="9">
        <v>45625</v>
      </c>
      <c r="F486" s="8" t="str">
        <v>PedidoF461</v>
      </c>
      <c r="G486" s="2" t="str">
        <v>CódRastreio460</v>
      </c>
      <c r="H486" s="5">
        <v>1</v>
      </c>
      <c r="I486" s="182" t="str">
        <v>CPF 460</v>
      </c>
      <c r="J486" s="2" t="str">
        <v>Nome 460</v>
      </c>
      <c r="K486" s="8" t="str">
        <v>Tel 460</v>
      </c>
      <c r="L486" s="8" t="str">
        <v>Cep 460</v>
      </c>
      <c r="M486" s="8" t="str">
        <v>Rua 460</v>
      </c>
      <c r="N486" s="8" t="str">
        <v>Comp 460</v>
      </c>
      <c r="O486" s="8" t="str">
        <v>Ventilador Preto</v>
      </c>
      <c r="P486" s="8" t="str">
        <v>MU-J80P-95WF</v>
      </c>
      <c r="Q486" s="4">
        <v>45646</v>
      </c>
      <c r="R486" s="109">
        <v>65.989999999999995</v>
      </c>
      <c r="S486" s="11">
        <f ca="1"/>
        <v>65.989999999999995</v>
      </c>
      <c r="T486" s="28">
        <f ca="1"/>
        <v>8.5786999999999995</v>
      </c>
      <c r="U486" s="11">
        <f ca="1"/>
        <v>57.41</v>
      </c>
      <c r="V486" s="11">
        <v>15.22</v>
      </c>
      <c r="W486" s="11">
        <f ca="1"/>
        <v>0.24</v>
      </c>
      <c r="X486" s="11">
        <f ca="1"/>
        <v>0.39877104377104378</v>
      </c>
      <c r="Y486" s="11">
        <v>0</v>
      </c>
      <c r="Z486" s="11">
        <f ca="1"/>
        <v>41.551228956228954</v>
      </c>
      <c r="AA486" s="11">
        <f ca="1"/>
        <v>20.775614478114477</v>
      </c>
      <c r="AB486" s="4">
        <f ca="1"/>
        <v>45653</v>
      </c>
      <c r="AC486" s="4">
        <v>45653</v>
      </c>
      <c r="AD486" s="9">
        <v>45656</v>
      </c>
      <c r="AE486" s="9">
        <v>45659</v>
      </c>
      <c r="AF486" s="4" t="str">
        <f ca="1">_xlfn.CONCAT(PROPER(TEXT(AB486,"aaaa"))," ",PROPER(TEXT(AB486,"mm")))</f>
        <v>2024 12</v>
      </c>
      <c r="AG486" s="8" t="str" cm="1">
        <f t="array" ref="AG486">IFERROR(_xlfn.IFS('Banco de Dados'!#REF!="AG. COMPRA","Em processamento",'Banco de Dados'!#REF!="AG. RASTREIO","Em processamento",'Banco de Dados'!$AE486&lt;&gt;"-","Faturado",'Banco de Dados'!$AD486&lt;&gt;"-","Aguardando Pix",'Banco de Dados'!$AC486&lt;&gt;"-","Pendente"),"Aguardando Liberação")</f>
        <v>Aguardando Liberação</v>
      </c>
      <c r="AH486" s="5" t="str">
        <f>IF('Banco de Dados'!$F486="-",_xlfn.CONCAT(PROPER(TEXT(AK486,"aaaa"))," ",PROPER(TEXT(AK486,"mm"))),_xlfn.CONCAT(PROPER(TEXT(E486,"aaaa"))," ",PROPER(TEXT(E486,"mm"))))</f>
        <v>2024 11</v>
      </c>
      <c r="AI486" s="9" t="str">
        <f ca="1">IF('Banco de Dados'!$AK486&lt;&gt;"-","REEMBOLSO",IFERROR(_xlfn.XLOOKUP(G486,Follow[CODRASTREIO],Follow[STATUS]),"-"))</f>
        <v>ENTREGUE</v>
      </c>
      <c r="AJ486" s="9">
        <f ca="1">IF('Banco de Dados'!$AI486="ENTREGUE",_xlfn.XLOOKUP('Banco de Dados'!$G486,Follow[CODRASTREIO],Follow[DATAATUALIZAÇÃO]),"-")</f>
        <v>45635.548043981478</v>
      </c>
      <c r="AK486" s="9" t="str">
        <f ca="1"/>
        <v>-</v>
      </c>
      <c r="AL486" s="35"/>
      <c r="AM486" s="109" cm="1">
        <f t="array" aca="1" ref="AM486" ca="1">IF('Banco de Dados'!$AK486&lt;&gt;"-",_xlfn.IFS('Banco de Dados'!$A486="bv",IF('Banco de Dados'!$E486&lt;45641,ROUND(SUM('Banco de Dados'!$R486*_xlfn.XLOOKUP('Banco de Dados'!$P486,Sku!B:B,Sku!#REF!)*20%),2),ROUND(SUM('Banco de Dados'!$R486*_xlfn.XLOOKUP('Banco de Dados'!$P486,Sku!B:B,Sku!H:H)*20%),2)),'Banco de Dados'!$A486="GO",ROUND(_xlfn.XLOOKUP('Banco de Dados'!$P486,Sku!C:C,Sku!H:H),2),'Banco de Dados'!$A486="MEI",ROUND(_xlfn.XLOOKUP('Banco de Dados'!$P486,Sku!D:D,Sku!H:H),2)),0)</f>
        <v>0</v>
      </c>
      <c r="AN486" s="109">
        <f ca="1">IF('Banco de Dados'!$AK486&lt;&gt;"-",IF('Banco de Dados'!$F486&lt;&gt;"-",_xlfn.XLOOKUP(IFERROR(IFERROR(IFERROR(VALUE(SUBSTITUTE(MID(_xlfn.TEXTAFTER('Banco de Dados'!$F486,"Data do Pedido:
",1),1,10),"-","/")),VALUE(SUBSTITUTE(MID(_xlfn.TEXTAFTER('Banco de Dados'!$F486,"Order date:
",1),1,10),"-","/"))),VALUE(SUBSTITUTE(MID(_xlfn.TEXTAFTER('Banco de Dados'!$F486,"Fecha de pedido:
",1),1,10),"-","/"))),"-"),SMS!A:A,SMS!K:K),0),0)</f>
        <v>0</v>
      </c>
      <c r="AO486" s="109">
        <f ca="1">IF('Banco de Dados'!$AK486&lt;&gt;"-",IF('Banco de Dados'!$F486&lt;&gt;"-",IFERROR(_xlfn.XLOOKUP(_xlfn.CONCAT('Banco de Dados'!$A486,IFERROR(IFERROR(VALUE(SUBSTITUTE(MID(_xlfn.TEXTAFTER('Banco de Dados'!$F486,"Data do Pedido:
",1),1,10),"-","/")),VALUE(SUBSTITUTE(MID(_xlfn.TEXTAFTER('Banco de Dados'!$F486,"Order date:
",1),1,10),"-","/"))),0)),ProxyDD[Chave],ProxyDD[Valor por pedido]),PROXY!$P$2),0),0)</f>
        <v>0</v>
      </c>
      <c r="AP486" s="28">
        <f ca="1">IF('Banco de Dados'!$AK486&lt;&gt;"-",IF('Banco de Dados'!$AL486="NÃO",IFERROR(VALUE(SUBSTITUTE(_xlfn.TEXTAFTER('Banco de Dados'!$F486,"BRL ",1),".",",")),0),0),0)</f>
        <v>0</v>
      </c>
      <c r="AQ486" s="28">
        <f ca="1">SUM('Banco de Dados'!$AM486:$AP486)</f>
        <v>0</v>
      </c>
      <c r="AR486" s="8"/>
      <c r="AS486" s="8"/>
      <c r="AY486" s="8"/>
    </row>
    <row r="487" spans="1:51">
      <c r="A487" s="5" t="str">
        <v>BV</v>
      </c>
      <c r="B487" s="5" t="str">
        <f ca="1"/>
        <v>BV45628</v>
      </c>
      <c r="C487" s="8" t="str">
        <v>Pedido 476</v>
      </c>
      <c r="D487" s="9">
        <v>45628</v>
      </c>
      <c r="E487" s="9">
        <v>45628</v>
      </c>
      <c r="F487" s="8" t="str">
        <v>PedidoF462</v>
      </c>
      <c r="G487" s="2" t="str">
        <v>CódRastreio461</v>
      </c>
      <c r="H487" s="5">
        <v>1</v>
      </c>
      <c r="I487" s="182" t="str">
        <v>CPF 461</v>
      </c>
      <c r="J487" s="2" t="str">
        <v>Nome 461</v>
      </c>
      <c r="K487" s="8" t="str">
        <v>Tel 461</v>
      </c>
      <c r="L487" s="8" t="str">
        <v>Cep 461</v>
      </c>
      <c r="M487" s="8" t="str">
        <v>Rua 461</v>
      </c>
      <c r="N487" s="8" t="str">
        <v>Comp 461</v>
      </c>
      <c r="O487" s="8" t="str">
        <v>Adaptador Bluetooph</v>
      </c>
      <c r="P487" s="8" t="str">
        <v>YA-AG3H-SPUK</v>
      </c>
      <c r="Q487" s="4">
        <v>45646</v>
      </c>
      <c r="R487" s="109">
        <v>60</v>
      </c>
      <c r="S487" s="11">
        <f ca="1"/>
        <v>60</v>
      </c>
      <c r="T487" s="28">
        <f ca="1"/>
        <v>7.1999999999999993</v>
      </c>
      <c r="U487" s="11">
        <f ca="1"/>
        <v>52.8</v>
      </c>
      <c r="V487" s="11">
        <v>9.0399999999999991</v>
      </c>
      <c r="W487" s="11">
        <f ca="1"/>
        <v>0.21</v>
      </c>
      <c r="X487" s="11">
        <f ca="1"/>
        <v>0.39877104377104378</v>
      </c>
      <c r="Y487" s="11">
        <v>0</v>
      </c>
      <c r="Z487" s="11">
        <f ca="1"/>
        <v>43.151228956228955</v>
      </c>
      <c r="AA487" s="11">
        <f ca="1"/>
        <v>21.575614478114478</v>
      </c>
      <c r="AB487" s="4">
        <f ca="1"/>
        <v>45653</v>
      </c>
      <c r="AC487" s="4">
        <v>45653</v>
      </c>
      <c r="AD487" s="9">
        <v>45656</v>
      </c>
      <c r="AE487" s="9">
        <v>45659</v>
      </c>
      <c r="AF487" s="4" t="str">
        <f t="shared" ref="AF487:AF500" ca="1" si="9">_xlfn.CONCAT(PROPER(TEXT(AB487,"aaaa"))," ",PROPER(TEXT(AB487,"mm")))</f>
        <v>2024 12</v>
      </c>
      <c r="AG487" s="8" t="str" cm="1">
        <f t="array" ref="AG487">IFERROR(_xlfn.IFS('Banco de Dados'!#REF!="AG. COMPRA","Em processamento",'Banco de Dados'!#REF!="AG. RASTREIO","Em processamento",'Banco de Dados'!$AE487&lt;&gt;"-","Faturado",'Banco de Dados'!$AD487&lt;&gt;"-","Aguardando Pix",'Banco de Dados'!$AC487&lt;&gt;"-","Pendente"),"Aguardando Liberação")</f>
        <v>Aguardando Liberação</v>
      </c>
      <c r="AH487" s="5" t="str">
        <f>IF('Banco de Dados'!$F487="-",_xlfn.CONCAT(PROPER(TEXT(AK487,"aaaa"))," ",PROPER(TEXT(AK487,"mm"))),_xlfn.CONCAT(PROPER(TEXT(E487,"aaaa"))," ",PROPER(TEXT(E487,"mm"))))</f>
        <v>2024 12</v>
      </c>
      <c r="AI487" s="9" t="str">
        <f ca="1">IF('Banco de Dados'!$AK487&lt;&gt;"-","REEMBOLSO",IFERROR(_xlfn.XLOOKUP(G487,Follow[CODRASTREIO],Follow[STATUS]),"-"))</f>
        <v>ENTREGUE</v>
      </c>
      <c r="AJ487" s="9">
        <f ca="1">IF('Banco de Dados'!$AI487="ENTREGUE",_xlfn.XLOOKUP('Banco de Dados'!$G487,Follow[CODRASTREIO],Follow[DATAATUALIZAÇÃO]),"-")</f>
        <v>45636</v>
      </c>
      <c r="AK487" s="9" t="str">
        <f ca="1"/>
        <v>-</v>
      </c>
      <c r="AL487" s="35"/>
      <c r="AM487" s="109" cm="1">
        <f t="array" aca="1" ref="AM487" ca="1">IF('Banco de Dados'!$AK487&lt;&gt;"-",_xlfn.IFS('Banco de Dados'!$A487="bv",IF('Banco de Dados'!$E487&lt;45641,ROUND(SUM('Banco de Dados'!$R487*_xlfn.XLOOKUP('Banco de Dados'!$P487,Sku!B:B,Sku!#REF!)*20%),2),ROUND(SUM('Banco de Dados'!$R487*_xlfn.XLOOKUP('Banco de Dados'!$P487,Sku!B:B,Sku!H:H)*20%),2)),'Banco de Dados'!$A487="GO",ROUND(_xlfn.XLOOKUP('Banco de Dados'!$P487,Sku!C:C,Sku!H:H),2),'Banco de Dados'!$A487="MEI",ROUND(_xlfn.XLOOKUP('Banco de Dados'!$P487,Sku!D:D,Sku!H:H),2)),0)</f>
        <v>0</v>
      </c>
      <c r="AN487" s="109">
        <f ca="1">IF('Banco de Dados'!$AK487&lt;&gt;"-",IF('Banco de Dados'!$F487&lt;&gt;"-",_xlfn.XLOOKUP(IFERROR(IFERROR(IFERROR(VALUE(SUBSTITUTE(MID(_xlfn.TEXTAFTER('Banco de Dados'!$F487,"Data do Pedido:
",1),1,10),"-","/")),VALUE(SUBSTITUTE(MID(_xlfn.TEXTAFTER('Banco de Dados'!$F487,"Order date:
",1),1,10),"-","/"))),VALUE(SUBSTITUTE(MID(_xlfn.TEXTAFTER('Banco de Dados'!$F487,"Fecha de pedido:
",1),1,10),"-","/"))),"-"),SMS!A:A,SMS!K:K),0),0)</f>
        <v>0</v>
      </c>
      <c r="AO487" s="109">
        <f ca="1">IF('Banco de Dados'!$AK487&lt;&gt;"-",IF('Banco de Dados'!$F487&lt;&gt;"-",IFERROR(_xlfn.XLOOKUP(_xlfn.CONCAT('Banco de Dados'!$A487,IFERROR(IFERROR(VALUE(SUBSTITUTE(MID(_xlfn.TEXTAFTER('Banco de Dados'!$F487,"Data do Pedido:
",1),1,10),"-","/")),VALUE(SUBSTITUTE(MID(_xlfn.TEXTAFTER('Banco de Dados'!$F487,"Order date:
",1),1,10),"-","/"))),0)),ProxyDD[Chave],ProxyDD[Valor por pedido]),PROXY!$P$2),0),0)</f>
        <v>0</v>
      </c>
      <c r="AP487" s="28">
        <f ca="1">IF('Banco de Dados'!$AK487&lt;&gt;"-",IF('Banco de Dados'!$AL487="NÃO",IFERROR(VALUE(SUBSTITUTE(_xlfn.TEXTAFTER('Banco de Dados'!$F487,"BRL ",1),".",",")),0),0),0)</f>
        <v>0</v>
      </c>
      <c r="AQ487" s="28">
        <f ca="1">SUM('Banco de Dados'!$AM487:$AP487)</f>
        <v>0</v>
      </c>
      <c r="AR487" s="8"/>
      <c r="AS487" s="8"/>
      <c r="AY487" s="8"/>
    </row>
    <row r="488" spans="1:51">
      <c r="A488" s="5" t="str">
        <v>BV</v>
      </c>
      <c r="B488" s="5" t="str">
        <f ca="1"/>
        <v>BV45628</v>
      </c>
      <c r="C488" s="8" t="str">
        <v>Pedido 477</v>
      </c>
      <c r="D488" s="9">
        <v>45628</v>
      </c>
      <c r="E488" s="9">
        <v>45628</v>
      </c>
      <c r="F488" s="8" t="str">
        <v>PedidoF463</v>
      </c>
      <c r="G488" s="2" t="str">
        <v>CódRastreio462</v>
      </c>
      <c r="H488" s="5">
        <v>1</v>
      </c>
      <c r="I488" s="182" t="str">
        <v>CPF 462</v>
      </c>
      <c r="J488" s="2" t="str">
        <v>Nome 462</v>
      </c>
      <c r="K488" s="8" t="str">
        <v>Tel 462</v>
      </c>
      <c r="L488" s="8" t="str">
        <v>Cep 462</v>
      </c>
      <c r="M488" s="8" t="str">
        <v>Rua 462</v>
      </c>
      <c r="N488" s="8" t="str">
        <v>Comp 462</v>
      </c>
      <c r="O488" s="8" t="str">
        <v>Ventilador Rosa</v>
      </c>
      <c r="P488" s="8" t="str">
        <v>IF-G2ZQ-79FO</v>
      </c>
      <c r="Q488" s="4">
        <v>45646</v>
      </c>
      <c r="R488" s="109">
        <v>100</v>
      </c>
      <c r="S488" s="11">
        <f ca="1"/>
        <v>100</v>
      </c>
      <c r="T488" s="28">
        <f ca="1"/>
        <v>13</v>
      </c>
      <c r="U488" s="11">
        <f ca="1"/>
        <v>87</v>
      </c>
      <c r="V488" s="11">
        <v>19.48</v>
      </c>
      <c r="W488" s="11">
        <f ca="1"/>
        <v>0.21</v>
      </c>
      <c r="X488" s="11">
        <f ca="1"/>
        <v>0.39877104377104378</v>
      </c>
      <c r="Y488" s="11">
        <v>0</v>
      </c>
      <c r="Z488" s="11">
        <f ca="1"/>
        <v>66.911228956228953</v>
      </c>
      <c r="AA488" s="11">
        <f ca="1"/>
        <v>33.455614478114477</v>
      </c>
      <c r="AB488" s="4">
        <f ca="1"/>
        <v>45653</v>
      </c>
      <c r="AC488" s="4">
        <v>45653</v>
      </c>
      <c r="AD488" s="9">
        <v>45656</v>
      </c>
      <c r="AE488" s="9">
        <v>45659</v>
      </c>
      <c r="AF488" s="4" t="str">
        <f t="shared" ca="1" si="9"/>
        <v>2024 12</v>
      </c>
      <c r="AG488" s="8" t="str" cm="1">
        <f t="array" ref="AG488">IFERROR(_xlfn.IFS('Banco de Dados'!#REF!="AG. COMPRA","Em processamento",'Banco de Dados'!#REF!="AG. RASTREIO","Em processamento",'Banco de Dados'!$AE488&lt;&gt;"-","Faturado",'Banco de Dados'!$AD488&lt;&gt;"-","Aguardando Pix",'Banco de Dados'!$AC488&lt;&gt;"-","Pendente"),"Aguardando Liberação")</f>
        <v>Aguardando Liberação</v>
      </c>
      <c r="AH488" s="5" t="str">
        <f>IF('Banco de Dados'!$F488="-",_xlfn.CONCAT(PROPER(TEXT(AK488,"aaaa"))," ",PROPER(TEXT(AK488,"mm"))),_xlfn.CONCAT(PROPER(TEXT(E488,"aaaa"))," ",PROPER(TEXT(E488,"mm"))))</f>
        <v>2024 12</v>
      </c>
      <c r="AI488" s="9" t="str">
        <f ca="1">IF('Banco de Dados'!$AK488&lt;&gt;"-","REEMBOLSO",IFERROR(_xlfn.XLOOKUP(G488,Follow[CODRASTREIO],Follow[STATUS]),"-"))</f>
        <v>ENTREGUE</v>
      </c>
      <c r="AJ488" s="9">
        <f ca="1">IF('Banco de Dados'!$AI488="ENTREGUE",_xlfn.XLOOKUP('Banco de Dados'!$G488,Follow[CODRASTREIO],Follow[DATAATUALIZAÇÃO]),"-")</f>
        <v>45660</v>
      </c>
      <c r="AK488" s="9" t="str">
        <f ca="1"/>
        <v>-</v>
      </c>
      <c r="AL488" s="35"/>
      <c r="AM488" s="109" cm="1">
        <f t="array" aca="1" ref="AM488" ca="1">IF('Banco de Dados'!$AK488&lt;&gt;"-",_xlfn.IFS('Banco de Dados'!$A488="bv",IF('Banco de Dados'!$E488&lt;45641,ROUND(SUM('Banco de Dados'!$R488*_xlfn.XLOOKUP('Banco de Dados'!$P488,Sku!B:B,Sku!#REF!)*20%),2),ROUND(SUM('Banco de Dados'!$R488*_xlfn.XLOOKUP('Banco de Dados'!$P488,Sku!B:B,Sku!H:H)*20%),2)),'Banco de Dados'!$A488="GO",ROUND(_xlfn.XLOOKUP('Banco de Dados'!$P488,Sku!C:C,Sku!H:H),2),'Banco de Dados'!$A488="MEI",ROUND(_xlfn.XLOOKUP('Banco de Dados'!$P488,Sku!D:D,Sku!H:H),2)),0)</f>
        <v>0</v>
      </c>
      <c r="AN488" s="109">
        <f ca="1">IF('Banco de Dados'!$AK488&lt;&gt;"-",IF('Banco de Dados'!$F488&lt;&gt;"-",_xlfn.XLOOKUP(IFERROR(IFERROR(IFERROR(VALUE(SUBSTITUTE(MID(_xlfn.TEXTAFTER('Banco de Dados'!$F488,"Data do Pedido:
",1),1,10),"-","/")),VALUE(SUBSTITUTE(MID(_xlfn.TEXTAFTER('Banco de Dados'!$F488,"Order date:
",1),1,10),"-","/"))),VALUE(SUBSTITUTE(MID(_xlfn.TEXTAFTER('Banco de Dados'!$F488,"Fecha de pedido:
",1),1,10),"-","/"))),"-"),SMS!A:A,SMS!K:K),0),0)</f>
        <v>0</v>
      </c>
      <c r="AO488" s="109">
        <f ca="1">IF('Banco de Dados'!$AK488&lt;&gt;"-",IF('Banco de Dados'!$F488&lt;&gt;"-",IFERROR(_xlfn.XLOOKUP(_xlfn.CONCAT('Banco de Dados'!$A488,IFERROR(IFERROR(VALUE(SUBSTITUTE(MID(_xlfn.TEXTAFTER('Banco de Dados'!$F488,"Data do Pedido:
",1),1,10),"-","/")),VALUE(SUBSTITUTE(MID(_xlfn.TEXTAFTER('Banco de Dados'!$F488,"Order date:
",1),1,10),"-","/"))),0)),ProxyDD[Chave],ProxyDD[Valor por pedido]),PROXY!$P$2),0),0)</f>
        <v>0</v>
      </c>
      <c r="AP488" s="28">
        <f ca="1">IF('Banco de Dados'!$AK488&lt;&gt;"-",IF('Banco de Dados'!$AL488="NÃO",IFERROR(VALUE(SUBSTITUTE(_xlfn.TEXTAFTER('Banco de Dados'!$F488,"BRL ",1),".",",")),0),0),0)</f>
        <v>0</v>
      </c>
      <c r="AQ488" s="28">
        <f ca="1">SUM('Banco de Dados'!$AM488:$AP488)</f>
        <v>0</v>
      </c>
      <c r="AR488" s="8"/>
      <c r="AS488" s="8"/>
      <c r="AY488" s="8"/>
    </row>
    <row r="489" spans="1:51">
      <c r="A489" s="5" t="str">
        <v>BV</v>
      </c>
      <c r="B489" s="5" t="str">
        <f ca="1"/>
        <v>BV45628</v>
      </c>
      <c r="C489" s="8" t="str">
        <v>Pedido 478</v>
      </c>
      <c r="D489" s="9">
        <v>45628</v>
      </c>
      <c r="E489" s="9">
        <v>45628</v>
      </c>
      <c r="F489" s="8" t="str">
        <v>PedidoF464</v>
      </c>
      <c r="G489" s="2" t="str">
        <v>CódRastreio463</v>
      </c>
      <c r="H489" s="5">
        <v>1</v>
      </c>
      <c r="I489" s="182" t="str">
        <v>CPF 463</v>
      </c>
      <c r="J489" s="2" t="str">
        <v>Nome 463</v>
      </c>
      <c r="K489" s="8" t="str">
        <v>Tel 463</v>
      </c>
      <c r="L489" s="8" t="str">
        <v>Cep 463</v>
      </c>
      <c r="M489" s="8" t="str">
        <v>Rua 463</v>
      </c>
      <c r="N489" s="8" t="str">
        <v>Comp 463</v>
      </c>
      <c r="O489" s="8" t="str">
        <v>Ventilador Preto</v>
      </c>
      <c r="P489" s="8" t="str">
        <v>MU-J80P-95WF</v>
      </c>
      <c r="Q489" s="4">
        <v>45654</v>
      </c>
      <c r="R489" s="109">
        <v>100</v>
      </c>
      <c r="S489" s="11">
        <f ca="1"/>
        <v>100</v>
      </c>
      <c r="T489" s="28">
        <f ca="1"/>
        <v>13</v>
      </c>
      <c r="U489" s="11">
        <f ca="1"/>
        <v>87</v>
      </c>
      <c r="V489" s="11">
        <v>19.34</v>
      </c>
      <c r="W489" s="11">
        <f ca="1"/>
        <v>0.21</v>
      </c>
      <c r="X489" s="11">
        <f ca="1"/>
        <v>0.39877104377104378</v>
      </c>
      <c r="Y489" s="11">
        <v>0</v>
      </c>
      <c r="Z489" s="11">
        <f ca="1"/>
        <v>67.051228956228954</v>
      </c>
      <c r="AA489" s="11">
        <f ca="1"/>
        <v>33.525614478114477</v>
      </c>
      <c r="AB489" s="4">
        <f ca="1"/>
        <v>45661</v>
      </c>
      <c r="AC489" s="4">
        <v>45661</v>
      </c>
      <c r="AD489" s="9">
        <v>45665</v>
      </c>
      <c r="AE489" s="9">
        <v>45673</v>
      </c>
      <c r="AF489" s="4" t="str">
        <f t="shared" ca="1" si="9"/>
        <v>2025 01</v>
      </c>
      <c r="AG489" s="8" t="str" cm="1">
        <f t="array" ref="AG489">IFERROR(_xlfn.IFS('Banco de Dados'!#REF!="AG. COMPRA","Em processamento",'Banco de Dados'!#REF!="AG. RASTREIO","Em processamento",'Banco de Dados'!$AE489&lt;&gt;"-","Faturado",'Banco de Dados'!$AD489&lt;&gt;"-","Aguardando Pix",'Banco de Dados'!$AC489&lt;&gt;"-","Pendente"),"Aguardando Liberação")</f>
        <v>Aguardando Liberação</v>
      </c>
      <c r="AH489" s="5" t="str">
        <f>IF('Banco de Dados'!$F489="-",_xlfn.CONCAT(PROPER(TEXT(AK489,"aaaa"))," ",PROPER(TEXT(AK489,"mm"))),_xlfn.CONCAT(PROPER(TEXT(E489,"aaaa"))," ",PROPER(TEXT(E489,"mm"))))</f>
        <v>2024 12</v>
      </c>
      <c r="AI489" s="9" t="str">
        <f ca="1">IF('Banco de Dados'!$AK489&lt;&gt;"-","REEMBOLSO",IFERROR(_xlfn.XLOOKUP(G489,Follow[CODRASTREIO],Follow[STATUS]),"-"))</f>
        <v>ENTREGUE</v>
      </c>
      <c r="AJ489" s="9">
        <f ca="1">IF('Banco de Dados'!$AI489="ENTREGUE",_xlfn.XLOOKUP('Banco de Dados'!$G489,Follow[CODRASTREIO],Follow[DATAATUALIZAÇÃO]),"-")</f>
        <v>45646</v>
      </c>
      <c r="AK489" s="9" t="str">
        <f ca="1"/>
        <v>-</v>
      </c>
      <c r="AL489" s="35"/>
      <c r="AM489" s="109" cm="1">
        <f t="array" aca="1" ref="AM489" ca="1">IF('Banco de Dados'!$AK489&lt;&gt;"-",_xlfn.IFS('Banco de Dados'!$A489="bv",IF('Banco de Dados'!$E489&lt;45641,ROUND(SUM('Banco de Dados'!$R489*_xlfn.XLOOKUP('Banco de Dados'!$P489,Sku!B:B,Sku!#REF!)*20%),2),ROUND(SUM('Banco de Dados'!$R489*_xlfn.XLOOKUP('Banco de Dados'!$P489,Sku!B:B,Sku!H:H)*20%),2)),'Banco de Dados'!$A489="GO",ROUND(_xlfn.XLOOKUP('Banco de Dados'!$P489,Sku!C:C,Sku!H:H),2),'Banco de Dados'!$A489="MEI",ROUND(_xlfn.XLOOKUP('Banco de Dados'!$P489,Sku!D:D,Sku!H:H),2)),0)</f>
        <v>0</v>
      </c>
      <c r="AN489" s="109">
        <f ca="1">IF('Banco de Dados'!$AK489&lt;&gt;"-",IF('Banco de Dados'!$F489&lt;&gt;"-",_xlfn.XLOOKUP(IFERROR(IFERROR(IFERROR(VALUE(SUBSTITUTE(MID(_xlfn.TEXTAFTER('Banco de Dados'!$F489,"Data do Pedido:
",1),1,10),"-","/")),VALUE(SUBSTITUTE(MID(_xlfn.TEXTAFTER('Banco de Dados'!$F489,"Order date:
",1),1,10),"-","/"))),VALUE(SUBSTITUTE(MID(_xlfn.TEXTAFTER('Banco de Dados'!$F489,"Fecha de pedido:
",1),1,10),"-","/"))),"-"),SMS!A:A,SMS!K:K),0),0)</f>
        <v>0</v>
      </c>
      <c r="AO489" s="109">
        <f ca="1">IF('Banco de Dados'!$AK489&lt;&gt;"-",IF('Banco de Dados'!$F489&lt;&gt;"-",IFERROR(_xlfn.XLOOKUP(_xlfn.CONCAT('Banco de Dados'!$A489,IFERROR(IFERROR(VALUE(SUBSTITUTE(MID(_xlfn.TEXTAFTER('Banco de Dados'!$F489,"Data do Pedido:
",1),1,10),"-","/")),VALUE(SUBSTITUTE(MID(_xlfn.TEXTAFTER('Banco de Dados'!$F489,"Order date:
",1),1,10),"-","/"))),0)),ProxyDD[Chave],ProxyDD[Valor por pedido]),PROXY!$P$2),0),0)</f>
        <v>0</v>
      </c>
      <c r="AP489" s="28">
        <f ca="1">IF('Banco de Dados'!$AK489&lt;&gt;"-",IF('Banco de Dados'!$AL489="NÃO",IFERROR(VALUE(SUBSTITUTE(_xlfn.TEXTAFTER('Banco de Dados'!$F489,"BRL ",1),".",",")),0),0),0)</f>
        <v>0</v>
      </c>
      <c r="AQ489" s="28">
        <f ca="1">SUM('Banco de Dados'!$AM489:$AP489)</f>
        <v>0</v>
      </c>
      <c r="AR489" s="8"/>
      <c r="AS489" s="8"/>
      <c r="AY489" s="8"/>
    </row>
    <row r="490" spans="1:51">
      <c r="A490" s="5" t="str">
        <v>BV</v>
      </c>
      <c r="B490" s="5" t="str">
        <f ca="1"/>
        <v>BV45628</v>
      </c>
      <c r="C490" s="8" t="str">
        <v>Pedido 479</v>
      </c>
      <c r="D490" s="9">
        <v>45628</v>
      </c>
      <c r="E490" s="9">
        <v>45628</v>
      </c>
      <c r="F490" s="8" t="str">
        <v>PedidoF465</v>
      </c>
      <c r="G490" s="2" t="str">
        <v>CódRastreio464</v>
      </c>
      <c r="H490" s="5">
        <v>1</v>
      </c>
      <c r="I490" s="182" t="str">
        <v>CPF 464</v>
      </c>
      <c r="J490" s="2" t="str">
        <v>Nome 464</v>
      </c>
      <c r="K490" s="8" t="str">
        <v>Tel 464</v>
      </c>
      <c r="L490" s="8" t="str">
        <v>Cep 464</v>
      </c>
      <c r="M490" s="8" t="str">
        <v>Rua 464</v>
      </c>
      <c r="N490" s="8" t="str">
        <v>Comp 464</v>
      </c>
      <c r="O490" s="8" t="str">
        <v>Ventilador Preto</v>
      </c>
      <c r="P490" s="8" t="str">
        <v>MU-J80P-95WF</v>
      </c>
      <c r="Q490" s="4">
        <v>45657</v>
      </c>
      <c r="R490" s="109">
        <v>100</v>
      </c>
      <c r="S490" s="11">
        <f ca="1"/>
        <v>100</v>
      </c>
      <c r="T490" s="28">
        <f ca="1"/>
        <v>13</v>
      </c>
      <c r="U490" s="11">
        <f ca="1"/>
        <v>87</v>
      </c>
      <c r="V490" s="11">
        <v>19.34</v>
      </c>
      <c r="W490" s="11">
        <f ca="1"/>
        <v>0.21</v>
      </c>
      <c r="X490" s="11">
        <f ca="1"/>
        <v>0.39877104377104378</v>
      </c>
      <c r="Y490" s="11">
        <v>0</v>
      </c>
      <c r="Z490" s="11">
        <f ca="1"/>
        <v>67.051228956228954</v>
      </c>
      <c r="AA490" s="11">
        <f ca="1"/>
        <v>33.525614478114477</v>
      </c>
      <c r="AB490" s="4">
        <f ca="1"/>
        <v>45664</v>
      </c>
      <c r="AC490" s="4">
        <v>45664</v>
      </c>
      <c r="AD490" s="9">
        <v>45665</v>
      </c>
      <c r="AE490" s="9">
        <v>45673</v>
      </c>
      <c r="AF490" s="4" t="str">
        <f t="shared" ca="1" si="9"/>
        <v>2025 01</v>
      </c>
      <c r="AG490" s="8" t="str" cm="1">
        <f t="array" ref="AG490">IFERROR(_xlfn.IFS('Banco de Dados'!#REF!="AG. COMPRA","Em processamento",'Banco de Dados'!#REF!="AG. RASTREIO","Em processamento",'Banco de Dados'!$AE490&lt;&gt;"-","Faturado",'Banco de Dados'!$AD490&lt;&gt;"-","Aguardando Pix",'Banco de Dados'!$AC490&lt;&gt;"-","Pendente"),"Aguardando Liberação")</f>
        <v>Aguardando Liberação</v>
      </c>
      <c r="AH490" s="5" t="str">
        <f>IF('Banco de Dados'!$F490="-",_xlfn.CONCAT(PROPER(TEXT(AK490,"aaaa"))," ",PROPER(TEXT(AK490,"mm"))),_xlfn.CONCAT(PROPER(TEXT(E490,"aaaa"))," ",PROPER(TEXT(E490,"mm"))))</f>
        <v>2024 12</v>
      </c>
      <c r="AI490" s="9" t="str">
        <f ca="1">IF('Banco de Dados'!$AK490&lt;&gt;"-","REEMBOLSO",IFERROR(_xlfn.XLOOKUP(G490,Follow[CODRASTREIO],Follow[STATUS]),"-"))</f>
        <v>ENTREGUE</v>
      </c>
      <c r="AJ490" s="9">
        <f ca="1">IF('Banco de Dados'!$AI490="ENTREGUE",_xlfn.XLOOKUP('Banco de Dados'!$G490,Follow[CODRASTREIO],Follow[DATAATUALIZAÇÃO]),"-")</f>
        <v>45643</v>
      </c>
      <c r="AK490" s="9" t="str">
        <f ca="1"/>
        <v>-</v>
      </c>
      <c r="AL490" s="35"/>
      <c r="AM490" s="109" cm="1">
        <f t="array" aca="1" ref="AM490" ca="1">IF('Banco de Dados'!$AK490&lt;&gt;"-",_xlfn.IFS('Banco de Dados'!$A490="bv",IF('Banco de Dados'!$E490&lt;45641,ROUND(SUM('Banco de Dados'!$R490*_xlfn.XLOOKUP('Banco de Dados'!$P490,Sku!B:B,Sku!#REF!)*20%),2),ROUND(SUM('Banco de Dados'!$R490*_xlfn.XLOOKUP('Banco de Dados'!$P490,Sku!B:B,Sku!H:H)*20%),2)),'Banco de Dados'!$A490="GO",ROUND(_xlfn.XLOOKUP('Banco de Dados'!$P490,Sku!C:C,Sku!H:H),2),'Banco de Dados'!$A490="MEI",ROUND(_xlfn.XLOOKUP('Banco de Dados'!$P490,Sku!D:D,Sku!H:H),2)),0)</f>
        <v>0</v>
      </c>
      <c r="AN490" s="109">
        <f ca="1">IF('Banco de Dados'!$AK490&lt;&gt;"-",IF('Banco de Dados'!$F490&lt;&gt;"-",_xlfn.XLOOKUP(IFERROR(IFERROR(IFERROR(VALUE(SUBSTITUTE(MID(_xlfn.TEXTAFTER('Banco de Dados'!$F490,"Data do Pedido:
",1),1,10),"-","/")),VALUE(SUBSTITUTE(MID(_xlfn.TEXTAFTER('Banco de Dados'!$F490,"Order date:
",1),1,10),"-","/"))),VALUE(SUBSTITUTE(MID(_xlfn.TEXTAFTER('Banco de Dados'!$F490,"Fecha de pedido:
",1),1,10),"-","/"))),"-"),SMS!A:A,SMS!K:K),0),0)</f>
        <v>0</v>
      </c>
      <c r="AO490" s="109">
        <f ca="1">IF('Banco de Dados'!$AK490&lt;&gt;"-",IF('Banco de Dados'!$F490&lt;&gt;"-",IFERROR(_xlfn.XLOOKUP(_xlfn.CONCAT('Banco de Dados'!$A490,IFERROR(IFERROR(VALUE(SUBSTITUTE(MID(_xlfn.TEXTAFTER('Banco de Dados'!$F490,"Data do Pedido:
",1),1,10),"-","/")),VALUE(SUBSTITUTE(MID(_xlfn.TEXTAFTER('Banco de Dados'!$F490,"Order date:
",1),1,10),"-","/"))),0)),ProxyDD[Chave],ProxyDD[Valor por pedido]),PROXY!$P$2),0),0)</f>
        <v>0</v>
      </c>
      <c r="AP490" s="28">
        <f ca="1">IF('Banco de Dados'!$AK490&lt;&gt;"-",IF('Banco de Dados'!$AL490="NÃO",IFERROR(VALUE(SUBSTITUTE(_xlfn.TEXTAFTER('Banco de Dados'!$F490,"BRL ",1),".",",")),0),0),0)</f>
        <v>0</v>
      </c>
      <c r="AQ490" s="28">
        <f ca="1">SUM('Banco de Dados'!$AM490:$AP490)</f>
        <v>0</v>
      </c>
      <c r="AR490" s="8"/>
      <c r="AS490" s="8"/>
      <c r="AY490" s="8"/>
    </row>
    <row r="491" spans="1:51">
      <c r="A491" s="5" t="str">
        <v>BV</v>
      </c>
      <c r="B491" s="5" t="str">
        <f ca="1"/>
        <v>BV45628</v>
      </c>
      <c r="C491" s="8" t="str">
        <v>Pedido 480</v>
      </c>
      <c r="D491" s="9">
        <v>45628</v>
      </c>
      <c r="E491" s="9">
        <v>45628</v>
      </c>
      <c r="F491" s="8" t="str">
        <v>PedidoF466</v>
      </c>
      <c r="G491" s="2" t="str">
        <v>CódRastreio465</v>
      </c>
      <c r="H491" s="5">
        <v>1</v>
      </c>
      <c r="I491" s="182" t="str">
        <v>CPF 465</v>
      </c>
      <c r="J491" s="2" t="str">
        <v>Nome 465</v>
      </c>
      <c r="K491" s="8" t="str">
        <v>Tel 465</v>
      </c>
      <c r="L491" s="8" t="str">
        <v>Cep 465</v>
      </c>
      <c r="M491" s="8" t="str">
        <v>Rua 465</v>
      </c>
      <c r="N491" s="8" t="str">
        <v>Comp 465</v>
      </c>
      <c r="O491" s="8" t="str">
        <v>Ventilador Azul</v>
      </c>
      <c r="P491" s="8" t="str">
        <v>U8-2VWS-OB6M</v>
      </c>
      <c r="Q491" s="4">
        <v>45647</v>
      </c>
      <c r="R491" s="109">
        <v>65.989999999999995</v>
      </c>
      <c r="S491" s="11">
        <f ca="1"/>
        <v>65.989999999999995</v>
      </c>
      <c r="T491" s="28">
        <f ca="1"/>
        <v>8.5786999999999995</v>
      </c>
      <c r="U491" s="11">
        <f ca="1"/>
        <v>57.41</v>
      </c>
      <c r="V491" s="11">
        <v>19.28</v>
      </c>
      <c r="W491" s="11">
        <f ca="1"/>
        <v>0.21</v>
      </c>
      <c r="X491" s="11">
        <f ca="1"/>
        <v>0.39877104377104378</v>
      </c>
      <c r="Y491" s="11">
        <v>0</v>
      </c>
      <c r="Z491" s="11">
        <f ca="1"/>
        <v>37.521228956228953</v>
      </c>
      <c r="AA491" s="11">
        <f ca="1"/>
        <v>18.760614478114476</v>
      </c>
      <c r="AB491" s="4">
        <f ca="1"/>
        <v>45654</v>
      </c>
      <c r="AC491" s="4">
        <v>45654</v>
      </c>
      <c r="AD491" s="9">
        <v>45656</v>
      </c>
      <c r="AE491" s="9">
        <v>45659</v>
      </c>
      <c r="AF491" s="4" t="str">
        <f t="shared" ca="1" si="9"/>
        <v>2024 12</v>
      </c>
      <c r="AG491" s="8" t="str" cm="1">
        <f t="array" ref="AG491">IFERROR(_xlfn.IFS('Banco de Dados'!#REF!="AG. COMPRA","Em processamento",'Banco de Dados'!#REF!="AG. RASTREIO","Em processamento",'Banco de Dados'!$AE491&lt;&gt;"-","Faturado",'Banco de Dados'!$AD491&lt;&gt;"-","Aguardando Pix",'Banco de Dados'!$AC491&lt;&gt;"-","Pendente"),"Aguardando Liberação")</f>
        <v>Aguardando Liberação</v>
      </c>
      <c r="AH491" s="5" t="str">
        <f>IF('Banco de Dados'!$F491="-",_xlfn.CONCAT(PROPER(TEXT(AK491,"aaaa"))," ",PROPER(TEXT(AK491,"mm"))),_xlfn.CONCAT(PROPER(TEXT(E491,"aaaa"))," ",PROPER(TEXT(E491,"mm"))))</f>
        <v>2024 12</v>
      </c>
      <c r="AI491" s="9" t="str">
        <f ca="1">IF('Banco de Dados'!$AK491&lt;&gt;"-","REEMBOLSO",IFERROR(_xlfn.XLOOKUP(G491,Follow[CODRASTREIO],Follow[STATUS]),"-"))</f>
        <v>ENTREGUE</v>
      </c>
      <c r="AJ491" s="9">
        <f ca="1">IF('Banco de Dados'!$AI491="ENTREGUE",_xlfn.XLOOKUP('Banco de Dados'!$G491,Follow[CODRASTREIO],Follow[DATAATUALIZAÇÃO]),"-")</f>
        <v>45642</v>
      </c>
      <c r="AK491" s="9" t="str">
        <f ca="1"/>
        <v>-</v>
      </c>
      <c r="AL491" s="35"/>
      <c r="AM491" s="109" cm="1">
        <f t="array" aca="1" ref="AM491" ca="1">IF('Banco de Dados'!$AK491&lt;&gt;"-",_xlfn.IFS('Banco de Dados'!$A491="bv",IF('Banco de Dados'!$E491&lt;45641,ROUND(SUM('Banco de Dados'!$R491*_xlfn.XLOOKUP('Banco de Dados'!$P491,Sku!B:B,Sku!#REF!)*20%),2),ROUND(SUM('Banco de Dados'!$R491*_xlfn.XLOOKUP('Banco de Dados'!$P491,Sku!B:B,Sku!H:H)*20%),2)),'Banco de Dados'!$A491="GO",ROUND(_xlfn.XLOOKUP('Banco de Dados'!$P491,Sku!C:C,Sku!H:H),2),'Banco de Dados'!$A491="MEI",ROUND(_xlfn.XLOOKUP('Banco de Dados'!$P491,Sku!D:D,Sku!H:H),2)),0)</f>
        <v>0</v>
      </c>
      <c r="AN491" s="109">
        <f ca="1">IF('Banco de Dados'!$AK491&lt;&gt;"-",IF('Banco de Dados'!$F491&lt;&gt;"-",_xlfn.XLOOKUP(IFERROR(IFERROR(IFERROR(VALUE(SUBSTITUTE(MID(_xlfn.TEXTAFTER('Banco de Dados'!$F491,"Data do Pedido:
",1),1,10),"-","/")),VALUE(SUBSTITUTE(MID(_xlfn.TEXTAFTER('Banco de Dados'!$F491,"Order date:
",1),1,10),"-","/"))),VALUE(SUBSTITUTE(MID(_xlfn.TEXTAFTER('Banco de Dados'!$F491,"Fecha de pedido:
",1),1,10),"-","/"))),"-"),SMS!A:A,SMS!K:K),0),0)</f>
        <v>0</v>
      </c>
      <c r="AO491" s="109">
        <f ca="1">IF('Banco de Dados'!$AK491&lt;&gt;"-",IF('Banco de Dados'!$F491&lt;&gt;"-",IFERROR(_xlfn.XLOOKUP(_xlfn.CONCAT('Banco de Dados'!$A491,IFERROR(IFERROR(VALUE(SUBSTITUTE(MID(_xlfn.TEXTAFTER('Banco de Dados'!$F491,"Data do Pedido:
",1),1,10),"-","/")),VALUE(SUBSTITUTE(MID(_xlfn.TEXTAFTER('Banco de Dados'!$F491,"Order date:
",1),1,10),"-","/"))),0)),ProxyDD[Chave],ProxyDD[Valor por pedido]),PROXY!$P$2),0),0)</f>
        <v>0</v>
      </c>
      <c r="AP491" s="28">
        <f ca="1">IF('Banco de Dados'!$AK491&lt;&gt;"-",IF('Banco de Dados'!$AL491="NÃO",IFERROR(VALUE(SUBSTITUTE(_xlfn.TEXTAFTER('Banco de Dados'!$F491,"BRL ",1),".",",")),0),0),0)</f>
        <v>0</v>
      </c>
      <c r="AQ491" s="28">
        <f ca="1">SUM('Banco de Dados'!$AM491:$AP491)</f>
        <v>0</v>
      </c>
      <c r="AR491" s="8"/>
      <c r="AS491" s="8"/>
      <c r="AY491" s="8"/>
    </row>
    <row r="492" spans="1:51">
      <c r="A492" s="5" t="str">
        <v>BV</v>
      </c>
      <c r="B492" s="5" t="str">
        <f ca="1"/>
        <v>BV45628</v>
      </c>
      <c r="C492" s="8" t="str">
        <v>Pedido 481</v>
      </c>
      <c r="D492" s="9">
        <v>45628</v>
      </c>
      <c r="E492" s="9">
        <v>45628</v>
      </c>
      <c r="F492" s="8" t="str">
        <v>PedidoF467</v>
      </c>
      <c r="G492" s="2" t="str">
        <v>CódRastreio466</v>
      </c>
      <c r="H492" s="5">
        <v>1</v>
      </c>
      <c r="I492" s="182" t="str">
        <v>CPF 466</v>
      </c>
      <c r="J492" s="2" t="str">
        <v>Nome 466</v>
      </c>
      <c r="K492" s="8" t="str">
        <v>Tel 466</v>
      </c>
      <c r="L492" s="8" t="str">
        <v>Cep 466</v>
      </c>
      <c r="M492" s="8" t="str">
        <v>Rua 466</v>
      </c>
      <c r="N492" s="8" t="str">
        <v>Comp 466</v>
      </c>
      <c r="O492" s="8" t="str">
        <v>Ventilador Preto</v>
      </c>
      <c r="P492" s="8" t="str">
        <v>MU-J80P-95WF</v>
      </c>
      <c r="Q492" s="4">
        <v>45647</v>
      </c>
      <c r="R492" s="109">
        <v>65.989999999999995</v>
      </c>
      <c r="S492" s="11">
        <f ca="1"/>
        <v>65.989999999999995</v>
      </c>
      <c r="T492" s="28">
        <f ca="1"/>
        <v>8.5786999999999995</v>
      </c>
      <c r="U492" s="11">
        <f ca="1"/>
        <v>57.41</v>
      </c>
      <c r="V492" s="11">
        <v>19.34</v>
      </c>
      <c r="W492" s="11">
        <f ca="1"/>
        <v>0.21</v>
      </c>
      <c r="X492" s="11">
        <f ca="1"/>
        <v>0.39877104377104378</v>
      </c>
      <c r="Y492" s="11">
        <v>0</v>
      </c>
      <c r="Z492" s="11">
        <f ca="1"/>
        <v>37.46122895622895</v>
      </c>
      <c r="AA492" s="11">
        <f ca="1"/>
        <v>18.730614478114475</v>
      </c>
      <c r="AB492" s="4">
        <f ca="1"/>
        <v>45654</v>
      </c>
      <c r="AC492" s="4">
        <v>45654</v>
      </c>
      <c r="AD492" s="9">
        <v>45656</v>
      </c>
      <c r="AE492" s="9">
        <v>45659</v>
      </c>
      <c r="AF492" s="4" t="str">
        <f t="shared" ca="1" si="9"/>
        <v>2024 12</v>
      </c>
      <c r="AG492" s="8" t="str" cm="1">
        <f t="array" ref="AG492">IFERROR(_xlfn.IFS('Banco de Dados'!#REF!="AG. COMPRA","Em processamento",'Banco de Dados'!#REF!="AG. RASTREIO","Em processamento",'Banco de Dados'!$AE492&lt;&gt;"-","Faturado",'Banco de Dados'!$AD492&lt;&gt;"-","Aguardando Pix",'Banco de Dados'!$AC492&lt;&gt;"-","Pendente"),"Aguardando Liberação")</f>
        <v>Aguardando Liberação</v>
      </c>
      <c r="AH492" s="5" t="str">
        <f>IF('Banco de Dados'!$F492="-",_xlfn.CONCAT(PROPER(TEXT(AK492,"aaaa"))," ",PROPER(TEXT(AK492,"mm"))),_xlfn.CONCAT(PROPER(TEXT(E492,"aaaa"))," ",PROPER(TEXT(E492,"mm"))))</f>
        <v>2024 12</v>
      </c>
      <c r="AI492" s="9" t="str">
        <f ca="1">IF('Banco de Dados'!$AK492&lt;&gt;"-","REEMBOLSO",IFERROR(_xlfn.XLOOKUP(G492,Follow[CODRASTREIO],Follow[STATUS]),"-"))</f>
        <v>ENTREGUE</v>
      </c>
      <c r="AJ492" s="9">
        <f ca="1">IF('Banco de Dados'!$AI492="ENTREGUE",_xlfn.XLOOKUP('Banco de Dados'!$G492,Follow[CODRASTREIO],Follow[DATAATUALIZAÇÃO]),"-")</f>
        <v>45637</v>
      </c>
      <c r="AK492" s="9" t="str">
        <f ca="1"/>
        <v>-</v>
      </c>
      <c r="AL492" s="35"/>
      <c r="AM492" s="109" cm="1">
        <f t="array" aca="1" ref="AM492" ca="1">IF('Banco de Dados'!$AK492&lt;&gt;"-",_xlfn.IFS('Banco de Dados'!$A492="bv",IF('Banco de Dados'!$E492&lt;45641,ROUND(SUM('Banco de Dados'!$R492*_xlfn.XLOOKUP('Banco de Dados'!$P492,Sku!B:B,Sku!#REF!)*20%),2),ROUND(SUM('Banco de Dados'!$R492*_xlfn.XLOOKUP('Banco de Dados'!$P492,Sku!B:B,Sku!H:H)*20%),2)),'Banco de Dados'!$A492="GO",ROUND(_xlfn.XLOOKUP('Banco de Dados'!$P492,Sku!C:C,Sku!H:H),2),'Banco de Dados'!$A492="MEI",ROUND(_xlfn.XLOOKUP('Banco de Dados'!$P492,Sku!D:D,Sku!H:H),2)),0)</f>
        <v>0</v>
      </c>
      <c r="AN492" s="109">
        <f ca="1">IF('Banco de Dados'!$AK492&lt;&gt;"-",IF('Banco de Dados'!$F492&lt;&gt;"-",_xlfn.XLOOKUP(IFERROR(IFERROR(IFERROR(VALUE(SUBSTITUTE(MID(_xlfn.TEXTAFTER('Banco de Dados'!$F492,"Data do Pedido:
",1),1,10),"-","/")),VALUE(SUBSTITUTE(MID(_xlfn.TEXTAFTER('Banco de Dados'!$F492,"Order date:
",1),1,10),"-","/"))),VALUE(SUBSTITUTE(MID(_xlfn.TEXTAFTER('Banco de Dados'!$F492,"Fecha de pedido:
",1),1,10),"-","/"))),"-"),SMS!A:A,SMS!K:K),0),0)</f>
        <v>0</v>
      </c>
      <c r="AO492" s="109">
        <f ca="1">IF('Banco de Dados'!$AK492&lt;&gt;"-",IF('Banco de Dados'!$F492&lt;&gt;"-",IFERROR(_xlfn.XLOOKUP(_xlfn.CONCAT('Banco de Dados'!$A492,IFERROR(IFERROR(VALUE(SUBSTITUTE(MID(_xlfn.TEXTAFTER('Banco de Dados'!$F492,"Data do Pedido:
",1),1,10),"-","/")),VALUE(SUBSTITUTE(MID(_xlfn.TEXTAFTER('Banco de Dados'!$F492,"Order date:
",1),1,10),"-","/"))),0)),ProxyDD[Chave],ProxyDD[Valor por pedido]),PROXY!$P$2),0),0)</f>
        <v>0</v>
      </c>
      <c r="AP492" s="28">
        <f ca="1">IF('Banco de Dados'!$AK492&lt;&gt;"-",IF('Banco de Dados'!$AL492="NÃO",IFERROR(VALUE(SUBSTITUTE(_xlfn.TEXTAFTER('Banco de Dados'!$F492,"BRL ",1),".",",")),0),0),0)</f>
        <v>0</v>
      </c>
      <c r="AQ492" s="28">
        <f ca="1">SUM('Banco de Dados'!$AM492:$AP492)</f>
        <v>0</v>
      </c>
      <c r="AR492" s="8"/>
      <c r="AS492" s="8"/>
      <c r="AY492" s="8"/>
    </row>
    <row r="493" spans="1:51">
      <c r="A493" s="5" t="str">
        <v>BV</v>
      </c>
      <c r="B493" s="5" t="str">
        <f ca="1"/>
        <v>BV45628</v>
      </c>
      <c r="C493" s="8" t="str">
        <v>Pedido 482</v>
      </c>
      <c r="D493" s="9">
        <v>45628</v>
      </c>
      <c r="E493" s="9">
        <v>45628</v>
      </c>
      <c r="F493" s="8" t="str">
        <v>PedidoF468</v>
      </c>
      <c r="G493" s="2" t="str">
        <v>CódRastreio467</v>
      </c>
      <c r="H493" s="5">
        <v>1</v>
      </c>
      <c r="I493" s="182" t="str">
        <v>CPF 467</v>
      </c>
      <c r="J493" s="2" t="str">
        <v>Nome 467</v>
      </c>
      <c r="K493" s="8" t="str">
        <v>Tel 467</v>
      </c>
      <c r="L493" s="8" t="str">
        <v>Cep 467</v>
      </c>
      <c r="M493" s="8" t="str">
        <v>Rua 467</v>
      </c>
      <c r="N493" s="8" t="str">
        <v>Comp 467</v>
      </c>
      <c r="O493" s="8" t="str">
        <v>Ventilador Azul</v>
      </c>
      <c r="P493" s="8" t="str">
        <v>U8-2VWS-OB6M</v>
      </c>
      <c r="Q493" s="4">
        <v>45647</v>
      </c>
      <c r="R493" s="109">
        <v>65.989999999999995</v>
      </c>
      <c r="S493" s="11">
        <f ca="1"/>
        <v>65.989999999999995</v>
      </c>
      <c r="T493" s="28">
        <f ca="1"/>
        <v>8.5786999999999995</v>
      </c>
      <c r="U493" s="11">
        <f ca="1"/>
        <v>57.41</v>
      </c>
      <c r="V493" s="11">
        <v>19.28</v>
      </c>
      <c r="W493" s="11">
        <f ca="1"/>
        <v>0.21</v>
      </c>
      <c r="X493" s="11">
        <f ca="1"/>
        <v>0.39877104377104378</v>
      </c>
      <c r="Y493" s="11">
        <v>0</v>
      </c>
      <c r="Z493" s="11">
        <f ca="1"/>
        <v>37.521228956228953</v>
      </c>
      <c r="AA493" s="11">
        <f ca="1"/>
        <v>18.760614478114476</v>
      </c>
      <c r="AB493" s="4">
        <f ca="1"/>
        <v>45654</v>
      </c>
      <c r="AC493" s="4">
        <v>45654</v>
      </c>
      <c r="AD493" s="9">
        <v>45656</v>
      </c>
      <c r="AE493" s="9">
        <v>45659</v>
      </c>
      <c r="AF493" s="4" t="str">
        <f t="shared" ca="1" si="9"/>
        <v>2024 12</v>
      </c>
      <c r="AG493" s="8" t="str" cm="1">
        <f t="array" ref="AG493">IFERROR(_xlfn.IFS('Banco de Dados'!#REF!="AG. COMPRA","Em processamento",'Banco de Dados'!#REF!="AG. RASTREIO","Em processamento",'Banco de Dados'!$AE493&lt;&gt;"-","Faturado",'Banco de Dados'!$AD493&lt;&gt;"-","Aguardando Pix",'Banco de Dados'!$AC493&lt;&gt;"-","Pendente"),"Aguardando Liberação")</f>
        <v>Aguardando Liberação</v>
      </c>
      <c r="AH493" s="5" t="str">
        <f>IF('Banco de Dados'!$F493="-",_xlfn.CONCAT(PROPER(TEXT(AK493,"aaaa"))," ",PROPER(TEXT(AK493,"mm"))),_xlfn.CONCAT(PROPER(TEXT(E493,"aaaa"))," ",PROPER(TEXT(E493,"mm"))))</f>
        <v>2024 12</v>
      </c>
      <c r="AI493" s="9" t="str">
        <f ca="1">IF('Banco de Dados'!$AK493&lt;&gt;"-","REEMBOLSO",IFERROR(_xlfn.XLOOKUP(G493,Follow[CODRASTREIO],Follow[STATUS]),"-"))</f>
        <v>ENTREGUE</v>
      </c>
      <c r="AJ493" s="9">
        <f ca="1">IF('Banco de Dados'!$AI493="ENTREGUE",_xlfn.XLOOKUP('Banco de Dados'!$G493,Follow[CODRASTREIO],Follow[DATAATUALIZAÇÃO]),"-")</f>
        <v>45637</v>
      </c>
      <c r="AK493" s="9" t="str">
        <f ca="1"/>
        <v>-</v>
      </c>
      <c r="AL493" s="35"/>
      <c r="AM493" s="109" cm="1">
        <f t="array" aca="1" ref="AM493" ca="1">IF('Banco de Dados'!$AK493&lt;&gt;"-",_xlfn.IFS('Banco de Dados'!$A493="bv",IF('Banco de Dados'!$E493&lt;45641,ROUND(SUM('Banco de Dados'!$R493*_xlfn.XLOOKUP('Banco de Dados'!$P493,Sku!B:B,Sku!#REF!)*20%),2),ROUND(SUM('Banco de Dados'!$R493*_xlfn.XLOOKUP('Banco de Dados'!$P493,Sku!B:B,Sku!H:H)*20%),2)),'Banco de Dados'!$A493="GO",ROUND(_xlfn.XLOOKUP('Banco de Dados'!$P493,Sku!C:C,Sku!H:H),2),'Banco de Dados'!$A493="MEI",ROUND(_xlfn.XLOOKUP('Banco de Dados'!$P493,Sku!D:D,Sku!H:H),2)),0)</f>
        <v>0</v>
      </c>
      <c r="AN493" s="109">
        <f ca="1">IF('Banco de Dados'!$AK493&lt;&gt;"-",IF('Banco de Dados'!$F493&lt;&gt;"-",_xlfn.XLOOKUP(IFERROR(IFERROR(IFERROR(VALUE(SUBSTITUTE(MID(_xlfn.TEXTAFTER('Banco de Dados'!$F493,"Data do Pedido:
",1),1,10),"-","/")),VALUE(SUBSTITUTE(MID(_xlfn.TEXTAFTER('Banco de Dados'!$F493,"Order date:
",1),1,10),"-","/"))),VALUE(SUBSTITUTE(MID(_xlfn.TEXTAFTER('Banco de Dados'!$F493,"Fecha de pedido:
",1),1,10),"-","/"))),"-"),SMS!A:A,SMS!K:K),0),0)</f>
        <v>0</v>
      </c>
      <c r="AO493" s="109">
        <f ca="1">IF('Banco de Dados'!$AK493&lt;&gt;"-",IF('Banco de Dados'!$F493&lt;&gt;"-",IFERROR(_xlfn.XLOOKUP(_xlfn.CONCAT('Banco de Dados'!$A493,IFERROR(IFERROR(VALUE(SUBSTITUTE(MID(_xlfn.TEXTAFTER('Banco de Dados'!$F493,"Data do Pedido:
",1),1,10),"-","/")),VALUE(SUBSTITUTE(MID(_xlfn.TEXTAFTER('Banco de Dados'!$F493,"Order date:
",1),1,10),"-","/"))),0)),ProxyDD[Chave],ProxyDD[Valor por pedido]),PROXY!$P$2),0),0)</f>
        <v>0</v>
      </c>
      <c r="AP493" s="28">
        <f ca="1">IF('Banco de Dados'!$AK493&lt;&gt;"-",IF('Banco de Dados'!$AL493="NÃO",IFERROR(VALUE(SUBSTITUTE(_xlfn.TEXTAFTER('Banco de Dados'!$F493,"BRL ",1),".",",")),0),0),0)</f>
        <v>0</v>
      </c>
      <c r="AQ493" s="28">
        <f ca="1">SUM('Banco de Dados'!$AM493:$AP493)</f>
        <v>0</v>
      </c>
      <c r="AR493" s="8"/>
      <c r="AS493" s="8"/>
      <c r="AY493" s="8"/>
    </row>
    <row r="494" spans="1:51">
      <c r="A494" s="5" t="str">
        <v>BV</v>
      </c>
      <c r="B494" s="5" t="str">
        <f ca="1"/>
        <v>BV45628</v>
      </c>
      <c r="C494" s="8" t="str">
        <v>Pedido 483</v>
      </c>
      <c r="D494" s="9">
        <v>45628</v>
      </c>
      <c r="E494" s="9">
        <v>45628</v>
      </c>
      <c r="F494" s="8" t="str">
        <v>PedidoF469</v>
      </c>
      <c r="G494" s="2" t="str">
        <v>CódRastreio468</v>
      </c>
      <c r="H494" s="5">
        <v>1</v>
      </c>
      <c r="I494" s="182" t="str">
        <v>CPF 468</v>
      </c>
      <c r="J494" s="2" t="str">
        <v>Nome 468</v>
      </c>
      <c r="K494" s="8" t="str">
        <v>Tel 468</v>
      </c>
      <c r="L494" s="8" t="str">
        <v>Cep 468</v>
      </c>
      <c r="M494" s="8" t="str">
        <v>Rua 468</v>
      </c>
      <c r="N494" s="8" t="str">
        <v>Comp 468</v>
      </c>
      <c r="O494" s="8" t="str">
        <v>Adaptador Bluetooph</v>
      </c>
      <c r="P494" s="8" t="str">
        <v>YA-AG3H-SPUK</v>
      </c>
      <c r="Q494" s="4">
        <v>45657</v>
      </c>
      <c r="R494" s="109">
        <v>23.9</v>
      </c>
      <c r="S494" s="11">
        <f ca="1"/>
        <v>23.9</v>
      </c>
      <c r="T494" s="28">
        <f ca="1"/>
        <v>2.8679999999999999</v>
      </c>
      <c r="U494" s="11">
        <f ca="1"/>
        <v>21.03</v>
      </c>
      <c r="V494" s="11">
        <v>9.0399999999999991</v>
      </c>
      <c r="W494" s="11">
        <f ca="1"/>
        <v>0.21</v>
      </c>
      <c r="X494" s="11">
        <f ca="1"/>
        <v>0.39877104377104378</v>
      </c>
      <c r="Y494" s="11">
        <v>0</v>
      </c>
      <c r="Z494" s="11">
        <f ca="1"/>
        <v>11.381228956228957</v>
      </c>
      <c r="AA494" s="11">
        <f ca="1"/>
        <v>5.6906144781144787</v>
      </c>
      <c r="AB494" s="4">
        <f ca="1"/>
        <v>45664</v>
      </c>
      <c r="AC494" s="4">
        <v>45664</v>
      </c>
      <c r="AD494" s="9">
        <v>45665</v>
      </c>
      <c r="AE494" s="9">
        <v>45673</v>
      </c>
      <c r="AF494" s="4" t="str">
        <f t="shared" ca="1" si="9"/>
        <v>2025 01</v>
      </c>
      <c r="AG494" s="8" t="str" cm="1">
        <f t="array" ref="AG494">IFERROR(_xlfn.IFS('Banco de Dados'!#REF!="AG. COMPRA","Em processamento",'Banco de Dados'!#REF!="AG. RASTREIO","Em processamento",'Banco de Dados'!$AE494&lt;&gt;"-","Faturado",'Banco de Dados'!$AD494&lt;&gt;"-","Aguardando Pix",'Banco de Dados'!$AC494&lt;&gt;"-","Pendente"),"Aguardando Liberação")</f>
        <v>Aguardando Liberação</v>
      </c>
      <c r="AH494" s="5" t="str">
        <f>IF('Banco de Dados'!$F494="-",_xlfn.CONCAT(PROPER(TEXT(AK494,"aaaa"))," ",PROPER(TEXT(AK494,"mm"))),_xlfn.CONCAT(PROPER(TEXT(E494,"aaaa"))," ",PROPER(TEXT(E494,"mm"))))</f>
        <v>2024 12</v>
      </c>
      <c r="AI494" s="9" t="str">
        <f ca="1">IF('Banco de Dados'!$AK494&lt;&gt;"-","REEMBOLSO",IFERROR(_xlfn.XLOOKUP(G494,Follow[CODRASTREIO],Follow[STATUS]),"-"))</f>
        <v>ENTREGUE</v>
      </c>
      <c r="AJ494" s="9">
        <f ca="1">IF('Banco de Dados'!$AI494="ENTREGUE",_xlfn.XLOOKUP('Banco de Dados'!$G494,Follow[CODRASTREIO],Follow[DATAATUALIZAÇÃO]),"-")</f>
        <v>45645</v>
      </c>
      <c r="AK494" s="9" t="str">
        <f ca="1"/>
        <v>-</v>
      </c>
      <c r="AL494" s="35"/>
      <c r="AM494" s="109" cm="1">
        <f t="array" aca="1" ref="AM494" ca="1">IF('Banco de Dados'!$AK494&lt;&gt;"-",_xlfn.IFS('Banco de Dados'!$A494="bv",IF('Banco de Dados'!$E494&lt;45641,ROUND(SUM('Banco de Dados'!$R494*_xlfn.XLOOKUP('Banco de Dados'!$P494,Sku!B:B,Sku!#REF!)*20%),2),ROUND(SUM('Banco de Dados'!$R494*_xlfn.XLOOKUP('Banco de Dados'!$P494,Sku!B:B,Sku!H:H)*20%),2)),'Banco de Dados'!$A494="GO",ROUND(_xlfn.XLOOKUP('Banco de Dados'!$P494,Sku!C:C,Sku!H:H),2),'Banco de Dados'!$A494="MEI",ROUND(_xlfn.XLOOKUP('Banco de Dados'!$P494,Sku!D:D,Sku!H:H),2)),0)</f>
        <v>0</v>
      </c>
      <c r="AN494" s="109">
        <f ca="1">IF('Banco de Dados'!$AK494&lt;&gt;"-",IF('Banco de Dados'!$F494&lt;&gt;"-",_xlfn.XLOOKUP(IFERROR(IFERROR(IFERROR(VALUE(SUBSTITUTE(MID(_xlfn.TEXTAFTER('Banco de Dados'!$F494,"Data do Pedido:
",1),1,10),"-","/")),VALUE(SUBSTITUTE(MID(_xlfn.TEXTAFTER('Banco de Dados'!$F494,"Order date:
",1),1,10),"-","/"))),VALUE(SUBSTITUTE(MID(_xlfn.TEXTAFTER('Banco de Dados'!$F494,"Fecha de pedido:
",1),1,10),"-","/"))),"-"),SMS!A:A,SMS!K:K),0),0)</f>
        <v>0</v>
      </c>
      <c r="AO494" s="109">
        <f ca="1">IF('Banco de Dados'!$AK494&lt;&gt;"-",IF('Banco de Dados'!$F494&lt;&gt;"-",IFERROR(_xlfn.XLOOKUP(_xlfn.CONCAT('Banco de Dados'!$A494,IFERROR(IFERROR(VALUE(SUBSTITUTE(MID(_xlfn.TEXTAFTER('Banco de Dados'!$F494,"Data do Pedido:
",1),1,10),"-","/")),VALUE(SUBSTITUTE(MID(_xlfn.TEXTAFTER('Banco de Dados'!$F494,"Order date:
",1),1,10),"-","/"))),0)),ProxyDD[Chave],ProxyDD[Valor por pedido]),PROXY!$P$2),0),0)</f>
        <v>0</v>
      </c>
      <c r="AP494" s="28">
        <f ca="1">IF('Banco de Dados'!$AK494&lt;&gt;"-",IF('Banco de Dados'!$AL494="NÃO",IFERROR(VALUE(SUBSTITUTE(_xlfn.TEXTAFTER('Banco de Dados'!$F494,"BRL ",1),".",",")),0),0),0)</f>
        <v>0</v>
      </c>
      <c r="AQ494" s="28">
        <f ca="1">SUM('Banco de Dados'!$AM494:$AP494)</f>
        <v>0</v>
      </c>
      <c r="AR494" s="8"/>
      <c r="AS494" s="8"/>
      <c r="AY494" s="8"/>
    </row>
    <row r="495" spans="1:51">
      <c r="A495" s="5" t="str">
        <v>BV</v>
      </c>
      <c r="B495" s="5" t="str">
        <f ca="1"/>
        <v>BV45628</v>
      </c>
      <c r="C495" s="8" t="str">
        <v>Pedido 484</v>
      </c>
      <c r="D495" s="9">
        <v>45628</v>
      </c>
      <c r="E495" s="9">
        <v>45628</v>
      </c>
      <c r="F495" s="8" t="str">
        <v>PedidoF470</v>
      </c>
      <c r="G495" s="2" t="str">
        <v>CódRastreio469</v>
      </c>
      <c r="H495" s="5">
        <v>1</v>
      </c>
      <c r="I495" s="182" t="str">
        <v>CPF 469</v>
      </c>
      <c r="J495" s="2" t="str">
        <v>Nome 469</v>
      </c>
      <c r="K495" s="8" t="str">
        <v>Tel 469</v>
      </c>
      <c r="L495" s="8" t="str">
        <v>Cep 469</v>
      </c>
      <c r="M495" s="8" t="str">
        <v>Rua 469</v>
      </c>
      <c r="N495" s="8" t="str">
        <v>Comp 469</v>
      </c>
      <c r="O495" s="8" t="str">
        <v>Ventilador Rosa</v>
      </c>
      <c r="P495" s="8" t="str">
        <v>IF-G2ZQ-79FO</v>
      </c>
      <c r="Q495" s="4">
        <v>45647</v>
      </c>
      <c r="R495" s="109">
        <v>65.900000000000006</v>
      </c>
      <c r="S495" s="11">
        <f ca="1"/>
        <v>0</v>
      </c>
      <c r="T495" s="28">
        <f ca="1"/>
        <v>0</v>
      </c>
      <c r="U495" s="11">
        <f ca="1"/>
        <v>0</v>
      </c>
      <c r="V495" s="11">
        <v>0</v>
      </c>
      <c r="W495" s="11">
        <f ca="1"/>
        <v>0</v>
      </c>
      <c r="X495" s="11">
        <f ca="1"/>
        <v>0.39877104377104378</v>
      </c>
      <c r="Y495" s="11">
        <v>0</v>
      </c>
      <c r="Z495" s="11">
        <f ca="1"/>
        <v>-0.39877104377104378</v>
      </c>
      <c r="AA495" s="11">
        <f ca="1"/>
        <v>-0.19938552188552189</v>
      </c>
      <c r="AB495" s="4">
        <f ca="1"/>
        <v>45654</v>
      </c>
      <c r="AC495" s="4">
        <v>45654</v>
      </c>
      <c r="AD495" s="9">
        <v>45656</v>
      </c>
      <c r="AE495" s="9">
        <v>45659</v>
      </c>
      <c r="AF495" s="4" t="str">
        <f t="shared" ca="1" si="9"/>
        <v>2024 12</v>
      </c>
      <c r="AG495" s="8" t="str" cm="1">
        <f t="array" ref="AG495">IFERROR(_xlfn.IFS('Banco de Dados'!#REF!="AG. COMPRA","Em processamento",'Banco de Dados'!#REF!="AG. RASTREIO","Em processamento",'Banco de Dados'!$AE495&lt;&gt;"-","Faturado",'Banco de Dados'!$AD495&lt;&gt;"-","Aguardando Pix",'Banco de Dados'!$AC495&lt;&gt;"-","Pendente"),"Aguardando Liberação")</f>
        <v>Aguardando Liberação</v>
      </c>
      <c r="AH495" s="5" t="str">
        <f>IF('Banco de Dados'!$F495="-",_xlfn.CONCAT(PROPER(TEXT(AK495,"aaaa"))," ",PROPER(TEXT(AK495,"mm"))),_xlfn.CONCAT(PROPER(TEXT(E495,"aaaa"))," ",PROPER(TEXT(E495,"mm"))))</f>
        <v>2024 12</v>
      </c>
      <c r="AI495" s="9" t="str">
        <f ca="1">IF('Banco de Dados'!$AK495&lt;&gt;"-","REEMBOLSO",IFERROR(_xlfn.XLOOKUP(G495,Follow[CODRASTREIO],Follow[STATUS]),"-"))</f>
        <v>REEMBOLSO</v>
      </c>
      <c r="AJ495" s="9" t="str">
        <f ca="1">IF('Banco de Dados'!$AI495="ENTREGUE",_xlfn.XLOOKUP('Banco de Dados'!$G495,Follow[CODRASTREIO],Follow[DATAATUALIZAÇÃO]),"-")</f>
        <v>-</v>
      </c>
      <c r="AK495" s="9">
        <f ca="1"/>
        <v>45641</v>
      </c>
      <c r="AL495" s="35"/>
      <c r="AM495" s="109" t="e" cm="1">
        <f t="array" aca="1" ref="AM495" ca="1">IF('Banco de Dados'!$AK495&lt;&gt;"-",_xlfn.IFS('Banco de Dados'!$A495="bv",IF('Banco de Dados'!$E495&lt;45641,ROUND(SUM('Banco de Dados'!$R495*_xlfn.XLOOKUP('Banco de Dados'!$P495,Sku!B:B,Sku!#REF!)*20%),2),ROUND(SUM('Banco de Dados'!$R495*_xlfn.XLOOKUP('Banco de Dados'!$P495,Sku!B:B,Sku!H:H)*20%),2)),'Banco de Dados'!$A495="GO",ROUND(_xlfn.XLOOKUP('Banco de Dados'!$P495,Sku!C:C,Sku!H:H),2),'Banco de Dados'!$A495="MEI",ROUND(_xlfn.XLOOKUP('Banco de Dados'!$P495,Sku!D:D,Sku!H:H),2)),0)</f>
        <v>#REF!</v>
      </c>
      <c r="AN495" s="109" t="e">
        <f ca="1">IF('Banco de Dados'!$AK495&lt;&gt;"-",IF('Banco de Dados'!$F495&lt;&gt;"-",_xlfn.XLOOKUP(IFERROR(IFERROR(IFERROR(VALUE(SUBSTITUTE(MID(_xlfn.TEXTAFTER('Banco de Dados'!$F495,"Data do Pedido:
",1),1,10),"-","/")),VALUE(SUBSTITUTE(MID(_xlfn.TEXTAFTER('Banco de Dados'!$F495,"Order date:
",1),1,10),"-","/"))),VALUE(SUBSTITUTE(MID(_xlfn.TEXTAFTER('Banco de Dados'!$F495,"Fecha de pedido:
",1),1,10),"-","/"))),"-"),SMS!A:A,SMS!K:K),0),0)</f>
        <v>#N/A</v>
      </c>
      <c r="AO495" s="109">
        <f ca="1">IF('Banco de Dados'!$AK495&lt;&gt;"-",IF('Banco de Dados'!$F495&lt;&gt;"-",IFERROR(_xlfn.XLOOKUP(_xlfn.CONCAT('Banco de Dados'!$A495,IFERROR(IFERROR(VALUE(SUBSTITUTE(MID(_xlfn.TEXTAFTER('Banco de Dados'!$F495,"Data do Pedido:
",1),1,10),"-","/")),VALUE(SUBSTITUTE(MID(_xlfn.TEXTAFTER('Banco de Dados'!$F495,"Order date:
",1),1,10),"-","/"))),0)),ProxyDD[Chave],ProxyDD[Valor por pedido]),PROXY!$P$2),0),0)</f>
        <v>0.39877104377104378</v>
      </c>
      <c r="AP495" s="28">
        <f ca="1">IF('Banco de Dados'!$AK495&lt;&gt;"-",IF('Banco de Dados'!$AL495="NÃO",IFERROR(VALUE(SUBSTITUTE(_xlfn.TEXTAFTER('Banco de Dados'!$F495,"BRL ",1),".",",")),0),0),0)</f>
        <v>0</v>
      </c>
      <c r="AQ495" s="28" t="e">
        <f ca="1">SUM('Banco de Dados'!$AM495:$AP495)</f>
        <v>#REF!</v>
      </c>
      <c r="AR495" s="8"/>
      <c r="AS495" s="8"/>
      <c r="AY495" s="8"/>
    </row>
    <row r="496" spans="1:51">
      <c r="A496" s="5" t="str">
        <v>BV</v>
      </c>
      <c r="B496" s="5" t="str">
        <f ca="1"/>
        <v>BV45628</v>
      </c>
      <c r="C496" s="8" t="str">
        <v>Pedido 485</v>
      </c>
      <c r="D496" s="9">
        <v>45628</v>
      </c>
      <c r="E496" s="9">
        <v>45628</v>
      </c>
      <c r="F496" s="8" t="str">
        <v>PedidoF471</v>
      </c>
      <c r="G496" s="2" t="str">
        <v>CódRastreio470</v>
      </c>
      <c r="H496" s="5">
        <v>1</v>
      </c>
      <c r="I496" s="182" t="str">
        <v>CPF 470</v>
      </c>
      <c r="J496" s="2" t="str">
        <v>Nome 470</v>
      </c>
      <c r="K496" s="8" t="str">
        <v>Tel 470</v>
      </c>
      <c r="L496" s="8" t="str">
        <v>Cep 470</v>
      </c>
      <c r="M496" s="8" t="str">
        <v>Rua 470</v>
      </c>
      <c r="N496" s="8" t="str">
        <v>Comp 470</v>
      </c>
      <c r="O496" s="8" t="str">
        <v>Adaptador Bluetooph</v>
      </c>
      <c r="P496" s="8" t="str">
        <v>YA-AG3H-SPUK</v>
      </c>
      <c r="Q496" s="4">
        <v>45647</v>
      </c>
      <c r="R496" s="109">
        <v>23.9</v>
      </c>
      <c r="S496" s="11">
        <f ca="1"/>
        <v>23.9</v>
      </c>
      <c r="T496" s="28">
        <f ca="1"/>
        <v>2.8679999999999999</v>
      </c>
      <c r="U496" s="11">
        <f ca="1"/>
        <v>21.03</v>
      </c>
      <c r="V496" s="11">
        <v>9.0399999999999991</v>
      </c>
      <c r="W496" s="11">
        <f ca="1"/>
        <v>0.21</v>
      </c>
      <c r="X496" s="11">
        <f ca="1"/>
        <v>0.39877104377104378</v>
      </c>
      <c r="Y496" s="11">
        <v>0</v>
      </c>
      <c r="Z496" s="11">
        <f ca="1"/>
        <v>11.381228956228957</v>
      </c>
      <c r="AA496" s="11">
        <f ca="1"/>
        <v>5.6906144781144787</v>
      </c>
      <c r="AB496" s="4">
        <f ca="1"/>
        <v>45654</v>
      </c>
      <c r="AC496" s="4">
        <v>45654</v>
      </c>
      <c r="AD496" s="9">
        <v>45656</v>
      </c>
      <c r="AE496" s="9">
        <v>45659</v>
      </c>
      <c r="AF496" s="4" t="str">
        <f t="shared" ca="1" si="9"/>
        <v>2024 12</v>
      </c>
      <c r="AG496" s="8" t="str" cm="1">
        <f t="array" ref="AG496">IFERROR(_xlfn.IFS('Banco de Dados'!#REF!="AG. COMPRA","Em processamento",'Banco de Dados'!#REF!="AG. RASTREIO","Em processamento",'Banco de Dados'!$AE496&lt;&gt;"-","Faturado",'Banco de Dados'!$AD496&lt;&gt;"-","Aguardando Pix",'Banco de Dados'!$AC496&lt;&gt;"-","Pendente"),"Aguardando Liberação")</f>
        <v>Aguardando Liberação</v>
      </c>
      <c r="AH496" s="5" t="str">
        <f>IF('Banco de Dados'!$F496="-",_xlfn.CONCAT(PROPER(TEXT(AK496,"aaaa"))," ",PROPER(TEXT(AK496,"mm"))),_xlfn.CONCAT(PROPER(TEXT(E496,"aaaa"))," ",PROPER(TEXT(E496,"mm"))))</f>
        <v>2024 12</v>
      </c>
      <c r="AI496" s="9" t="str">
        <f ca="1">IF('Banco de Dados'!$AK496&lt;&gt;"-","REEMBOLSO",IFERROR(_xlfn.XLOOKUP(G496,Follow[CODRASTREIO],Follow[STATUS]),"-"))</f>
        <v>ENTREGUE</v>
      </c>
      <c r="AJ496" s="9">
        <f ca="1">IF('Banco de Dados'!$AI496="ENTREGUE",_xlfn.XLOOKUP('Banco de Dados'!$G496,Follow[CODRASTREIO],Follow[DATAATUALIZAÇÃO]),"-")</f>
        <v>45638</v>
      </c>
      <c r="AK496" s="9" t="str">
        <f ca="1"/>
        <v>-</v>
      </c>
      <c r="AL496" s="35"/>
      <c r="AM496" s="109" cm="1">
        <f t="array" aca="1" ref="AM496" ca="1">IF('Banco de Dados'!$AK496&lt;&gt;"-",_xlfn.IFS('Banco de Dados'!$A496="bv",IF('Banco de Dados'!$E496&lt;45641,ROUND(SUM('Banco de Dados'!$R496*_xlfn.XLOOKUP('Banco de Dados'!$P496,Sku!B:B,Sku!#REF!)*20%),2),ROUND(SUM('Banco de Dados'!$R496*_xlfn.XLOOKUP('Banco de Dados'!$P496,Sku!B:B,Sku!H:H)*20%),2)),'Banco de Dados'!$A496="GO",ROUND(_xlfn.XLOOKUP('Banco de Dados'!$P496,Sku!C:C,Sku!H:H),2),'Banco de Dados'!$A496="MEI",ROUND(_xlfn.XLOOKUP('Banco de Dados'!$P496,Sku!D:D,Sku!H:H),2)),0)</f>
        <v>0</v>
      </c>
      <c r="AN496" s="109">
        <f ca="1">IF('Banco de Dados'!$AK496&lt;&gt;"-",IF('Banco de Dados'!$F496&lt;&gt;"-",_xlfn.XLOOKUP(IFERROR(IFERROR(IFERROR(VALUE(SUBSTITUTE(MID(_xlfn.TEXTAFTER('Banco de Dados'!$F496,"Data do Pedido:
",1),1,10),"-","/")),VALUE(SUBSTITUTE(MID(_xlfn.TEXTAFTER('Banco de Dados'!$F496,"Order date:
",1),1,10),"-","/"))),VALUE(SUBSTITUTE(MID(_xlfn.TEXTAFTER('Banco de Dados'!$F496,"Fecha de pedido:
",1),1,10),"-","/"))),"-"),SMS!A:A,SMS!K:K),0),0)</f>
        <v>0</v>
      </c>
      <c r="AO496" s="109">
        <f ca="1">IF('Banco de Dados'!$AK496&lt;&gt;"-",IF('Banco de Dados'!$F496&lt;&gt;"-",IFERROR(_xlfn.XLOOKUP(_xlfn.CONCAT('Banco de Dados'!$A496,IFERROR(IFERROR(VALUE(SUBSTITUTE(MID(_xlfn.TEXTAFTER('Banco de Dados'!$F496,"Data do Pedido:
",1),1,10),"-","/")),VALUE(SUBSTITUTE(MID(_xlfn.TEXTAFTER('Banco de Dados'!$F496,"Order date:
",1),1,10),"-","/"))),0)),ProxyDD[Chave],ProxyDD[Valor por pedido]),PROXY!$P$2),0),0)</f>
        <v>0</v>
      </c>
      <c r="AP496" s="28">
        <f ca="1">IF('Banco de Dados'!$AK496&lt;&gt;"-",IF('Banco de Dados'!$AL496="NÃO",IFERROR(VALUE(SUBSTITUTE(_xlfn.TEXTAFTER('Banco de Dados'!$F496,"BRL ",1),".",",")),0),0),0)</f>
        <v>0</v>
      </c>
      <c r="AQ496" s="28">
        <f ca="1">SUM('Banco de Dados'!$AM496:$AP496)</f>
        <v>0</v>
      </c>
      <c r="AR496" s="8"/>
      <c r="AS496" s="8"/>
      <c r="AY496" s="8"/>
    </row>
    <row r="497" spans="1:51">
      <c r="A497" s="5" t="str">
        <v>BV</v>
      </c>
      <c r="B497" s="5" t="str">
        <f ca="1"/>
        <v>BV45628</v>
      </c>
      <c r="C497" s="8" t="str">
        <v>Pedido 486</v>
      </c>
      <c r="D497" s="9">
        <v>45628</v>
      </c>
      <c r="E497" s="9">
        <v>45628</v>
      </c>
      <c r="F497" s="8" t="str">
        <v>PedidoF472</v>
      </c>
      <c r="G497" s="2" t="str">
        <v>CódRastreio471</v>
      </c>
      <c r="H497" s="5">
        <v>1</v>
      </c>
      <c r="I497" s="182" t="str">
        <v>CPF 471</v>
      </c>
      <c r="J497" s="2" t="str">
        <v>Nome 471</v>
      </c>
      <c r="K497" s="8" t="str">
        <v>Tel 471</v>
      </c>
      <c r="L497" s="8" t="str">
        <v>Cep 471</v>
      </c>
      <c r="M497" s="8" t="str">
        <v>Rua 471</v>
      </c>
      <c r="N497" s="8" t="str">
        <v>Comp 471</v>
      </c>
      <c r="O497" s="8" t="str">
        <v>Ventilador Preto</v>
      </c>
      <c r="P497" s="8" t="str">
        <v>MU-J80P-95WF</v>
      </c>
      <c r="Q497" s="4">
        <v>45647</v>
      </c>
      <c r="R497" s="109">
        <v>65.989999999999995</v>
      </c>
      <c r="S497" s="11">
        <f ca="1"/>
        <v>65.989999999999995</v>
      </c>
      <c r="T497" s="28">
        <f ca="1"/>
        <v>8.5786999999999995</v>
      </c>
      <c r="U497" s="11">
        <f ca="1"/>
        <v>57.41</v>
      </c>
      <c r="V497" s="11">
        <v>19.34</v>
      </c>
      <c r="W497" s="11">
        <f ca="1"/>
        <v>0.21</v>
      </c>
      <c r="X497" s="11">
        <f ca="1"/>
        <v>0.39877104377104378</v>
      </c>
      <c r="Y497" s="11">
        <v>0</v>
      </c>
      <c r="Z497" s="11">
        <f ca="1"/>
        <v>37.46122895622895</v>
      </c>
      <c r="AA497" s="11">
        <f ca="1"/>
        <v>18.730614478114475</v>
      </c>
      <c r="AB497" s="4">
        <f ca="1"/>
        <v>45654</v>
      </c>
      <c r="AC497" s="4">
        <v>45654</v>
      </c>
      <c r="AD497" s="9">
        <v>45656</v>
      </c>
      <c r="AE497" s="9">
        <v>45659</v>
      </c>
      <c r="AF497" s="4" t="str">
        <f t="shared" ca="1" si="9"/>
        <v>2024 12</v>
      </c>
      <c r="AG497" s="8" t="str" cm="1">
        <f t="array" ref="AG497">IFERROR(_xlfn.IFS('Banco de Dados'!#REF!="AG. COMPRA","Em processamento",'Banco de Dados'!#REF!="AG. RASTREIO","Em processamento",'Banco de Dados'!$AE497&lt;&gt;"-","Faturado",'Banco de Dados'!$AD497&lt;&gt;"-","Aguardando Pix",'Banco de Dados'!$AC497&lt;&gt;"-","Pendente"),"Aguardando Liberação")</f>
        <v>Aguardando Liberação</v>
      </c>
      <c r="AH497" s="5" t="str">
        <f>IF('Banco de Dados'!$F497="-",_xlfn.CONCAT(PROPER(TEXT(AK497,"aaaa"))," ",PROPER(TEXT(AK497,"mm"))),_xlfn.CONCAT(PROPER(TEXT(E497,"aaaa"))," ",PROPER(TEXT(E497,"mm"))))</f>
        <v>2024 12</v>
      </c>
      <c r="AI497" s="9" t="str">
        <f ca="1">IF('Banco de Dados'!$AK497&lt;&gt;"-","REEMBOLSO",IFERROR(_xlfn.XLOOKUP(G497,Follow[CODRASTREIO],Follow[STATUS]),"-"))</f>
        <v>ENTREGUE</v>
      </c>
      <c r="AJ497" s="9">
        <f ca="1">IF('Banco de Dados'!$AI497="ENTREGUE",_xlfn.XLOOKUP('Banco de Dados'!$G497,Follow[CODRASTREIO],Follow[DATAATUALIZAÇÃO]),"-")</f>
        <v>45637</v>
      </c>
      <c r="AK497" s="9" t="str">
        <f ca="1"/>
        <v>-</v>
      </c>
      <c r="AL497" s="35"/>
      <c r="AM497" s="109" cm="1">
        <f t="array" aca="1" ref="AM497" ca="1">IF('Banco de Dados'!$AK497&lt;&gt;"-",_xlfn.IFS('Banco de Dados'!$A497="bv",IF('Banco de Dados'!$E497&lt;45641,ROUND(SUM('Banco de Dados'!$R497*_xlfn.XLOOKUP('Banco de Dados'!$P497,Sku!B:B,Sku!#REF!)*20%),2),ROUND(SUM('Banco de Dados'!$R497*_xlfn.XLOOKUP('Banco de Dados'!$P497,Sku!B:B,Sku!H:H)*20%),2)),'Banco de Dados'!$A497="GO",ROUND(_xlfn.XLOOKUP('Banco de Dados'!$P497,Sku!C:C,Sku!H:H),2),'Banco de Dados'!$A497="MEI",ROUND(_xlfn.XLOOKUP('Banco de Dados'!$P497,Sku!D:D,Sku!H:H),2)),0)</f>
        <v>0</v>
      </c>
      <c r="AN497" s="109">
        <f ca="1">IF('Banco de Dados'!$AK497&lt;&gt;"-",IF('Banco de Dados'!$F497&lt;&gt;"-",_xlfn.XLOOKUP(IFERROR(IFERROR(IFERROR(VALUE(SUBSTITUTE(MID(_xlfn.TEXTAFTER('Banco de Dados'!$F497,"Data do Pedido:
",1),1,10),"-","/")),VALUE(SUBSTITUTE(MID(_xlfn.TEXTAFTER('Banco de Dados'!$F497,"Order date:
",1),1,10),"-","/"))),VALUE(SUBSTITUTE(MID(_xlfn.TEXTAFTER('Banco de Dados'!$F497,"Fecha de pedido:
",1),1,10),"-","/"))),"-"),SMS!A:A,SMS!K:K),0),0)</f>
        <v>0</v>
      </c>
      <c r="AO497" s="109">
        <f ca="1">IF('Banco de Dados'!$AK497&lt;&gt;"-",IF('Banco de Dados'!$F497&lt;&gt;"-",IFERROR(_xlfn.XLOOKUP(_xlfn.CONCAT('Banco de Dados'!$A497,IFERROR(IFERROR(VALUE(SUBSTITUTE(MID(_xlfn.TEXTAFTER('Banco de Dados'!$F497,"Data do Pedido:
",1),1,10),"-","/")),VALUE(SUBSTITUTE(MID(_xlfn.TEXTAFTER('Banco de Dados'!$F497,"Order date:
",1),1,10),"-","/"))),0)),ProxyDD[Chave],ProxyDD[Valor por pedido]),PROXY!$P$2),0),0)</f>
        <v>0</v>
      </c>
      <c r="AP497" s="28">
        <f ca="1">IF('Banco de Dados'!$AK497&lt;&gt;"-",IF('Banco de Dados'!$AL497="NÃO",IFERROR(VALUE(SUBSTITUTE(_xlfn.TEXTAFTER('Banco de Dados'!$F497,"BRL ",1),".",",")),0),0),0)</f>
        <v>0</v>
      </c>
      <c r="AQ497" s="28">
        <f ca="1">SUM('Banco de Dados'!$AM497:$AP497)</f>
        <v>0</v>
      </c>
      <c r="AR497" s="8"/>
      <c r="AS497" s="8"/>
      <c r="AY497" s="8"/>
    </row>
    <row r="498" spans="1:51">
      <c r="A498" s="5" t="str">
        <v>BV</v>
      </c>
      <c r="B498" s="5" t="str">
        <f ca="1"/>
        <v>BV45628</v>
      </c>
      <c r="C498" s="8" t="str">
        <v>Pedido 487</v>
      </c>
      <c r="D498" s="9">
        <v>45628</v>
      </c>
      <c r="E498" s="9">
        <v>45628</v>
      </c>
      <c r="F498" s="8" t="str">
        <v>PedidoF473</v>
      </c>
      <c r="G498" s="2" t="str">
        <v>CódRastreio472</v>
      </c>
      <c r="H498" s="5">
        <v>1</v>
      </c>
      <c r="I498" s="182" t="str">
        <v>CPF 472</v>
      </c>
      <c r="J498" s="2" t="str">
        <v>Nome 472</v>
      </c>
      <c r="K498" s="8" t="str">
        <v>Tel 472</v>
      </c>
      <c r="L498" s="8" t="str">
        <v>Cep 472</v>
      </c>
      <c r="M498" s="8" t="str">
        <v>Rua 472</v>
      </c>
      <c r="N498" s="8" t="str">
        <v>Comp 472</v>
      </c>
      <c r="O498" s="8" t="str">
        <v>Ventilador Preto</v>
      </c>
      <c r="P498" s="8" t="str">
        <v>MU-J80P-95WF</v>
      </c>
      <c r="Q498" s="4">
        <v>45647</v>
      </c>
      <c r="R498" s="109">
        <v>65.989999999999995</v>
      </c>
      <c r="S498" s="11">
        <f ca="1"/>
        <v>65.989999999999995</v>
      </c>
      <c r="T498" s="28">
        <f ca="1"/>
        <v>8.5786999999999995</v>
      </c>
      <c r="U498" s="11">
        <f ca="1"/>
        <v>57.41</v>
      </c>
      <c r="V498" s="11">
        <v>19.34</v>
      </c>
      <c r="W498" s="11">
        <f ca="1"/>
        <v>0.21</v>
      </c>
      <c r="X498" s="11">
        <f ca="1"/>
        <v>0.39877104377104378</v>
      </c>
      <c r="Y498" s="11">
        <v>0</v>
      </c>
      <c r="Z498" s="11">
        <f ca="1"/>
        <v>37.46122895622895</v>
      </c>
      <c r="AA498" s="11">
        <f ca="1"/>
        <v>18.730614478114475</v>
      </c>
      <c r="AB498" s="4">
        <f ca="1"/>
        <v>45654</v>
      </c>
      <c r="AC498" s="4">
        <v>45654</v>
      </c>
      <c r="AD498" s="9">
        <v>45656</v>
      </c>
      <c r="AE498" s="9">
        <v>45659</v>
      </c>
      <c r="AF498" s="4" t="str">
        <f t="shared" ca="1" si="9"/>
        <v>2024 12</v>
      </c>
      <c r="AG498" s="8" t="str" cm="1">
        <f t="array" ref="AG498">IFERROR(_xlfn.IFS('Banco de Dados'!#REF!="AG. COMPRA","Em processamento",'Banco de Dados'!#REF!="AG. RASTREIO","Em processamento",'Banco de Dados'!$AE498&lt;&gt;"-","Faturado",'Banco de Dados'!$AD498&lt;&gt;"-","Aguardando Pix",'Banco de Dados'!$AC498&lt;&gt;"-","Pendente"),"Aguardando Liberação")</f>
        <v>Aguardando Liberação</v>
      </c>
      <c r="AH498" s="5" t="str">
        <f>IF('Banco de Dados'!$F498="-",_xlfn.CONCAT(PROPER(TEXT(AK498,"aaaa"))," ",PROPER(TEXT(AK498,"mm"))),_xlfn.CONCAT(PROPER(TEXT(E498,"aaaa"))," ",PROPER(TEXT(E498,"mm"))))</f>
        <v>2024 12</v>
      </c>
      <c r="AI498" s="9" t="str">
        <f ca="1">IF('Banco de Dados'!$AK498&lt;&gt;"-","REEMBOLSO",IFERROR(_xlfn.XLOOKUP(G498,Follow[CODRASTREIO],Follow[STATUS]),"-"))</f>
        <v>ENTREGUE</v>
      </c>
      <c r="AJ498" s="9">
        <f ca="1">IF('Banco de Dados'!$AI498="ENTREGUE",_xlfn.XLOOKUP('Banco de Dados'!$G498,Follow[CODRASTREIO],Follow[DATAATUALIZAÇÃO]),"-")</f>
        <v>45636</v>
      </c>
      <c r="AK498" s="9" t="str">
        <f ca="1"/>
        <v>-</v>
      </c>
      <c r="AL498" s="35"/>
      <c r="AM498" s="109" cm="1">
        <f t="array" aca="1" ref="AM498" ca="1">IF('Banco de Dados'!$AK498&lt;&gt;"-",_xlfn.IFS('Banco de Dados'!$A498="bv",IF('Banco de Dados'!$E498&lt;45641,ROUND(SUM('Banco de Dados'!$R498*_xlfn.XLOOKUP('Banco de Dados'!$P498,Sku!B:B,Sku!#REF!)*20%),2),ROUND(SUM('Banco de Dados'!$R498*_xlfn.XLOOKUP('Banco de Dados'!$P498,Sku!B:B,Sku!H:H)*20%),2)),'Banco de Dados'!$A498="GO",ROUND(_xlfn.XLOOKUP('Banco de Dados'!$P498,Sku!C:C,Sku!H:H),2),'Banco de Dados'!$A498="MEI",ROUND(_xlfn.XLOOKUP('Banco de Dados'!$P498,Sku!D:D,Sku!H:H),2)),0)</f>
        <v>0</v>
      </c>
      <c r="AN498" s="109">
        <f ca="1">IF('Banco de Dados'!$AK498&lt;&gt;"-",IF('Banco de Dados'!$F498&lt;&gt;"-",_xlfn.XLOOKUP(IFERROR(IFERROR(IFERROR(VALUE(SUBSTITUTE(MID(_xlfn.TEXTAFTER('Banco de Dados'!$F498,"Data do Pedido:
",1),1,10),"-","/")),VALUE(SUBSTITUTE(MID(_xlfn.TEXTAFTER('Banco de Dados'!$F498,"Order date:
",1),1,10),"-","/"))),VALUE(SUBSTITUTE(MID(_xlfn.TEXTAFTER('Banco de Dados'!$F498,"Fecha de pedido:
",1),1,10),"-","/"))),"-"),SMS!A:A,SMS!K:K),0),0)</f>
        <v>0</v>
      </c>
      <c r="AO498" s="109">
        <f ca="1">IF('Banco de Dados'!$AK498&lt;&gt;"-",IF('Banco de Dados'!$F498&lt;&gt;"-",IFERROR(_xlfn.XLOOKUP(_xlfn.CONCAT('Banco de Dados'!$A498,IFERROR(IFERROR(VALUE(SUBSTITUTE(MID(_xlfn.TEXTAFTER('Banco de Dados'!$F498,"Data do Pedido:
",1),1,10),"-","/")),VALUE(SUBSTITUTE(MID(_xlfn.TEXTAFTER('Banco de Dados'!$F498,"Order date:
",1),1,10),"-","/"))),0)),ProxyDD[Chave],ProxyDD[Valor por pedido]),PROXY!$P$2),0),0)</f>
        <v>0</v>
      </c>
      <c r="AP498" s="28">
        <f ca="1">IF('Banco de Dados'!$AK498&lt;&gt;"-",IF('Banco de Dados'!$AL498="NÃO",IFERROR(VALUE(SUBSTITUTE(_xlfn.TEXTAFTER('Banco de Dados'!$F498,"BRL ",1),".",",")),0),0),0)</f>
        <v>0</v>
      </c>
      <c r="AQ498" s="28">
        <f ca="1">SUM('Banco de Dados'!$AM498:$AP498)</f>
        <v>0</v>
      </c>
      <c r="AR498" s="8"/>
      <c r="AS498" s="8"/>
      <c r="AY498" s="8"/>
    </row>
    <row r="499" spans="1:51">
      <c r="A499" s="5" t="str">
        <v>BV</v>
      </c>
      <c r="B499" s="5" t="str">
        <f ca="1"/>
        <v>BV45628</v>
      </c>
      <c r="C499" s="8" t="str">
        <v>Pedido 488</v>
      </c>
      <c r="D499" s="9">
        <v>45628</v>
      </c>
      <c r="E499" s="9">
        <v>45628</v>
      </c>
      <c r="F499" s="8" t="str">
        <v>PedidoF474</v>
      </c>
      <c r="G499" s="2" t="str">
        <v>CódRastreio473</v>
      </c>
      <c r="H499" s="5">
        <v>1</v>
      </c>
      <c r="I499" s="182" t="str">
        <v>CPF 473</v>
      </c>
      <c r="J499" s="2" t="str">
        <v>Nome 473</v>
      </c>
      <c r="K499" s="8" t="str">
        <v>Tel 473</v>
      </c>
      <c r="L499" s="8" t="str">
        <v>Cep 473</v>
      </c>
      <c r="M499" s="8" t="str">
        <v>Rua 473</v>
      </c>
      <c r="N499" s="8" t="str">
        <v>Comp 473</v>
      </c>
      <c r="O499" s="8" t="str">
        <v>Ventilador Preto</v>
      </c>
      <c r="P499" s="8" t="str">
        <v>MU-J80P-95WF</v>
      </c>
      <c r="Q499" s="4">
        <v>45666</v>
      </c>
      <c r="R499" s="109">
        <v>65.989999999999995</v>
      </c>
      <c r="S499" s="11">
        <f ca="1"/>
        <v>65.989999999999995</v>
      </c>
      <c r="T499" s="28">
        <f ca="1"/>
        <v>8.5786999999999995</v>
      </c>
      <c r="U499" s="11">
        <f ca="1"/>
        <v>57.41</v>
      </c>
      <c r="V499" s="11">
        <v>19.34</v>
      </c>
      <c r="W499" s="11">
        <f ca="1"/>
        <v>0.21</v>
      </c>
      <c r="X499" s="11">
        <f ca="1"/>
        <v>0.39877104377104378</v>
      </c>
      <c r="Y499" s="11">
        <v>0</v>
      </c>
      <c r="Z499" s="11">
        <f ca="1"/>
        <v>37.46122895622895</v>
      </c>
      <c r="AA499" s="11">
        <f ca="1"/>
        <v>18.730614478114475</v>
      </c>
      <c r="AB499" s="4">
        <f ca="1"/>
        <v>45673</v>
      </c>
      <c r="AC499" s="4">
        <v>45673</v>
      </c>
      <c r="AD499" s="9">
        <v>45674</v>
      </c>
      <c r="AE499" s="9">
        <v>45694</v>
      </c>
      <c r="AF499" s="4" t="str">
        <f t="shared" ca="1" si="9"/>
        <v>2025 01</v>
      </c>
      <c r="AG499" s="8" t="str" cm="1">
        <f t="array" ref="AG499">IFERROR(_xlfn.IFS('Banco de Dados'!#REF!="AG. COMPRA","Em processamento",'Banco de Dados'!#REF!="AG. RASTREIO","Em processamento",'Banco de Dados'!$AE499&lt;&gt;"-","Faturado",'Banco de Dados'!$AD499&lt;&gt;"-","Aguardando Pix",'Banco de Dados'!$AC499&lt;&gt;"-","Pendente"),"Aguardando Liberação")</f>
        <v>Aguardando Liberação</v>
      </c>
      <c r="AH499" s="5" t="str">
        <f>IF('Banco de Dados'!$F499="-",_xlfn.CONCAT(PROPER(TEXT(AK499,"aaaa"))," ",PROPER(TEXT(AK499,"mm"))),_xlfn.CONCAT(PROPER(TEXT(E499,"aaaa"))," ",PROPER(TEXT(E499,"mm"))))</f>
        <v>2024 12</v>
      </c>
      <c r="AI499" s="9" t="str">
        <f ca="1">IF('Banco de Dados'!$AK499&lt;&gt;"-","REEMBOLSO",IFERROR(_xlfn.XLOOKUP(G499,Follow[CODRASTREIO],Follow[STATUS]),"-"))</f>
        <v>ENTREGUE</v>
      </c>
      <c r="AJ499" s="9">
        <f ca="1">IF('Banco de Dados'!$AI499="ENTREGUE",_xlfn.XLOOKUP('Banco de Dados'!$G499,Follow[CODRASTREIO],Follow[DATAATUALIZAÇÃO]),"-")</f>
        <v>45660</v>
      </c>
      <c r="AK499" s="9" t="str">
        <f ca="1"/>
        <v>-</v>
      </c>
      <c r="AL499" s="35"/>
      <c r="AM499" s="109" cm="1">
        <f t="array" aca="1" ref="AM499" ca="1">IF('Banco de Dados'!$AK499&lt;&gt;"-",_xlfn.IFS('Banco de Dados'!$A499="bv",IF('Banco de Dados'!$E499&lt;45641,ROUND(SUM('Banco de Dados'!$R499*_xlfn.XLOOKUP('Banco de Dados'!$P499,Sku!B:B,Sku!#REF!)*20%),2),ROUND(SUM('Banco de Dados'!$R499*_xlfn.XLOOKUP('Banco de Dados'!$P499,Sku!B:B,Sku!H:H)*20%),2)),'Banco de Dados'!$A499="GO",ROUND(_xlfn.XLOOKUP('Banco de Dados'!$P499,Sku!C:C,Sku!H:H),2),'Banco de Dados'!$A499="MEI",ROUND(_xlfn.XLOOKUP('Banco de Dados'!$P499,Sku!D:D,Sku!H:H),2)),0)</f>
        <v>0</v>
      </c>
      <c r="AN499" s="109">
        <f ca="1">IF('Banco de Dados'!$AK499&lt;&gt;"-",IF('Banco de Dados'!$F499&lt;&gt;"-",_xlfn.XLOOKUP(IFERROR(IFERROR(IFERROR(VALUE(SUBSTITUTE(MID(_xlfn.TEXTAFTER('Banco de Dados'!$F499,"Data do Pedido:
",1),1,10),"-","/")),VALUE(SUBSTITUTE(MID(_xlfn.TEXTAFTER('Banco de Dados'!$F499,"Order date:
",1),1,10),"-","/"))),VALUE(SUBSTITUTE(MID(_xlfn.TEXTAFTER('Banco de Dados'!$F499,"Fecha de pedido:
",1),1,10),"-","/"))),"-"),SMS!A:A,SMS!K:K),0),0)</f>
        <v>0</v>
      </c>
      <c r="AO499" s="109">
        <f ca="1">IF('Banco de Dados'!$AK499&lt;&gt;"-",IF('Banco de Dados'!$F499&lt;&gt;"-",IFERROR(_xlfn.XLOOKUP(_xlfn.CONCAT('Banco de Dados'!$A499,IFERROR(IFERROR(VALUE(SUBSTITUTE(MID(_xlfn.TEXTAFTER('Banco de Dados'!$F499,"Data do Pedido:
",1),1,10),"-","/")),VALUE(SUBSTITUTE(MID(_xlfn.TEXTAFTER('Banco de Dados'!$F499,"Order date:
",1),1,10),"-","/"))),0)),ProxyDD[Chave],ProxyDD[Valor por pedido]),PROXY!$P$2),0),0)</f>
        <v>0</v>
      </c>
      <c r="AP499" s="28">
        <f ca="1">IF('Banco de Dados'!$AK499&lt;&gt;"-",IF('Banco de Dados'!$AL499="NÃO",IFERROR(VALUE(SUBSTITUTE(_xlfn.TEXTAFTER('Banco de Dados'!$F499,"BRL ",1),".",",")),0),0),0)</f>
        <v>0</v>
      </c>
      <c r="AQ499" s="28">
        <f ca="1">SUM('Banco de Dados'!$AM499:$AP499)</f>
        <v>0</v>
      </c>
      <c r="AR499" s="8"/>
      <c r="AS499" s="8"/>
      <c r="AY499" s="8"/>
    </row>
    <row r="500" spans="1:51">
      <c r="A500" s="5" t="str">
        <v>BV</v>
      </c>
      <c r="B500" s="5" t="str">
        <f ca="1"/>
        <v>BV45628</v>
      </c>
      <c r="C500" s="8" t="str">
        <v>Pedido 488</v>
      </c>
      <c r="D500" s="9">
        <v>45628</v>
      </c>
      <c r="E500" s="9">
        <v>45628</v>
      </c>
      <c r="F500" s="8" t="str">
        <v>PedidoF475</v>
      </c>
      <c r="G500" s="2" t="str">
        <v>CódRastreio474</v>
      </c>
      <c r="H500" s="5">
        <v>1</v>
      </c>
      <c r="I500" s="182" t="str">
        <v>CPF 473</v>
      </c>
      <c r="J500" s="2" t="str">
        <v>Nome 473</v>
      </c>
      <c r="K500" s="8" t="str">
        <v>Tel 473</v>
      </c>
      <c r="L500" s="8" t="str">
        <v>Cep 473</v>
      </c>
      <c r="M500" s="8" t="str">
        <v>Rua 473</v>
      </c>
      <c r="N500" s="8" t="str">
        <v>Comp 473</v>
      </c>
      <c r="O500" s="8" t="str">
        <v>Ventilador Azul</v>
      </c>
      <c r="P500" s="8" t="str">
        <v>U8-2VWS-OB6M</v>
      </c>
      <c r="Q500" s="4">
        <v>45666</v>
      </c>
      <c r="R500" s="109">
        <v>65.989999999999995</v>
      </c>
      <c r="S500" s="11">
        <f ca="1"/>
        <v>65.989999999999995</v>
      </c>
      <c r="T500" s="28">
        <f ca="1"/>
        <v>8.5786999999999995</v>
      </c>
      <c r="U500" s="11">
        <f ca="1"/>
        <v>57.41</v>
      </c>
      <c r="V500" s="11">
        <v>19.28</v>
      </c>
      <c r="W500" s="11">
        <f ca="1"/>
        <v>0.21</v>
      </c>
      <c r="X500" s="11">
        <f ca="1"/>
        <v>0.39877104377104378</v>
      </c>
      <c r="Y500" s="11">
        <v>0</v>
      </c>
      <c r="Z500" s="11">
        <f ca="1"/>
        <v>37.521228956228953</v>
      </c>
      <c r="AA500" s="11">
        <f ca="1"/>
        <v>18.760614478114476</v>
      </c>
      <c r="AB500" s="4">
        <f ca="1"/>
        <v>45673</v>
      </c>
      <c r="AC500" s="4">
        <v>45673</v>
      </c>
      <c r="AD500" s="9">
        <v>45674</v>
      </c>
      <c r="AE500" s="9">
        <v>45694</v>
      </c>
      <c r="AF500" s="4" t="str">
        <f t="shared" ca="1" si="9"/>
        <v>2025 01</v>
      </c>
      <c r="AG500" s="8" t="str" cm="1">
        <f t="array" ref="AG500">IFERROR(_xlfn.IFS('Banco de Dados'!#REF!="AG. COMPRA","Em processamento",'Banco de Dados'!#REF!="AG. RASTREIO","Em processamento",'Banco de Dados'!$AE500&lt;&gt;"-","Faturado",'Banco de Dados'!$AD500&lt;&gt;"-","Aguardando Pix",'Banco de Dados'!$AC500&lt;&gt;"-","Pendente"),"Aguardando Liberação")</f>
        <v>Aguardando Liberação</v>
      </c>
      <c r="AH500" s="5" t="str">
        <f>IF('Banco de Dados'!$F500="-",_xlfn.CONCAT(PROPER(TEXT(AK500,"aaaa"))," ",PROPER(TEXT(AK500,"mm"))),_xlfn.CONCAT(PROPER(TEXT(E500,"aaaa"))," ",PROPER(TEXT(E500,"mm"))))</f>
        <v>2024 12</v>
      </c>
      <c r="AI500" s="9" t="str">
        <f ca="1">IF('Banco de Dados'!$AK500&lt;&gt;"-","REEMBOLSO",IFERROR(_xlfn.XLOOKUP(G500,Follow[CODRASTREIO],Follow[STATUS]),"-"))</f>
        <v>-</v>
      </c>
      <c r="AJ500" s="9" t="str">
        <f ca="1">IF('Banco de Dados'!$AI500="ENTREGUE",_xlfn.XLOOKUP('Banco de Dados'!$G500,Follow[CODRASTREIO],Follow[DATAATUALIZAÇÃO]),"-")</f>
        <v>-</v>
      </c>
      <c r="AK500" s="9" t="str">
        <f ca="1"/>
        <v>-</v>
      </c>
      <c r="AL500" s="35"/>
      <c r="AM500" s="109" cm="1">
        <f t="array" aca="1" ref="AM500" ca="1">IF('Banco de Dados'!$AK500&lt;&gt;"-",_xlfn.IFS('Banco de Dados'!$A500="bv",IF('Banco de Dados'!$E500&lt;45641,ROUND(SUM('Banco de Dados'!$R500*_xlfn.XLOOKUP('Banco de Dados'!$P500,Sku!B:B,Sku!#REF!)*20%),2),ROUND(SUM('Banco de Dados'!$R500*_xlfn.XLOOKUP('Banco de Dados'!$P500,Sku!B:B,Sku!H:H)*20%),2)),'Banco de Dados'!$A500="GO",ROUND(_xlfn.XLOOKUP('Banco de Dados'!$P500,Sku!C:C,Sku!H:H),2),'Banco de Dados'!$A500="MEI",ROUND(_xlfn.XLOOKUP('Banco de Dados'!$P500,Sku!D:D,Sku!H:H),2)),0)</f>
        <v>0</v>
      </c>
      <c r="AN500" s="109">
        <f ca="1">IF('Banco de Dados'!$AK500&lt;&gt;"-",IF('Banco de Dados'!$F500&lt;&gt;"-",_xlfn.XLOOKUP(IFERROR(IFERROR(IFERROR(VALUE(SUBSTITUTE(MID(_xlfn.TEXTAFTER('Banco de Dados'!$F500,"Data do Pedido:
",1),1,10),"-","/")),VALUE(SUBSTITUTE(MID(_xlfn.TEXTAFTER('Banco de Dados'!$F500,"Order date:
",1),1,10),"-","/"))),VALUE(SUBSTITUTE(MID(_xlfn.TEXTAFTER('Banco de Dados'!$F500,"Fecha de pedido:
",1),1,10),"-","/"))),"-"),SMS!A:A,SMS!K:K),0),0)</f>
        <v>0</v>
      </c>
      <c r="AO500" s="109">
        <f ca="1">IF('Banco de Dados'!$AK500&lt;&gt;"-",IF('Banco de Dados'!$F500&lt;&gt;"-",IFERROR(_xlfn.XLOOKUP(_xlfn.CONCAT('Banco de Dados'!$A500,IFERROR(IFERROR(VALUE(SUBSTITUTE(MID(_xlfn.TEXTAFTER('Banco de Dados'!$F500,"Data do Pedido:
",1),1,10),"-","/")),VALUE(SUBSTITUTE(MID(_xlfn.TEXTAFTER('Banco de Dados'!$F500,"Order date:
",1),1,10),"-","/"))),0)),ProxyDD[Chave],ProxyDD[Valor por pedido]),PROXY!$P$2),0),0)</f>
        <v>0</v>
      </c>
      <c r="AP500" s="28">
        <f ca="1">IF('Banco de Dados'!$AK500&lt;&gt;"-",IF('Banco de Dados'!$AL500="NÃO",IFERROR(VALUE(SUBSTITUTE(_xlfn.TEXTAFTER('Banco de Dados'!$F500,"BRL ",1),".",",")),0),0),0)</f>
        <v>0</v>
      </c>
      <c r="AQ500" s="28">
        <f ca="1">SUM('Banco de Dados'!$AM500:$AP500)</f>
        <v>0</v>
      </c>
      <c r="AR500" s="8"/>
      <c r="AS500" s="8"/>
      <c r="AY500" s="8"/>
    </row>
    <row r="501" spans="1:51">
      <c r="A501" s="5" t="str">
        <v>BV</v>
      </c>
      <c r="B501" s="5" t="str">
        <f ca="1"/>
        <v>BV45628</v>
      </c>
      <c r="C501" s="8" t="str">
        <v>Pedido 489</v>
      </c>
      <c r="D501" s="9">
        <v>45628</v>
      </c>
      <c r="E501" s="9">
        <v>45628</v>
      </c>
      <c r="F501" s="8" t="str">
        <v>PedidoF476</v>
      </c>
      <c r="G501" s="2" t="str">
        <v>CódRastreio475</v>
      </c>
      <c r="H501" s="5">
        <v>1</v>
      </c>
      <c r="I501" s="182" t="str">
        <v>CPF 474</v>
      </c>
      <c r="J501" s="2" t="str">
        <v>Nome 474</v>
      </c>
      <c r="K501" s="8" t="str">
        <v>Tel 474</v>
      </c>
      <c r="L501" s="184" t="str">
        <v>Cep 474</v>
      </c>
      <c r="M501" s="8" t="str">
        <v>Rua 474</v>
      </c>
      <c r="N501" s="8" t="str">
        <v>Comp 474</v>
      </c>
      <c r="O501" s="8" t="str">
        <v>Ventilador Preto</v>
      </c>
      <c r="P501" s="8" t="str">
        <v>MU-J80P-95WF</v>
      </c>
      <c r="Q501" s="4">
        <v>45647</v>
      </c>
      <c r="R501" s="109">
        <v>65.989999999999995</v>
      </c>
      <c r="S501" s="11">
        <f ca="1"/>
        <v>65.989999999999995</v>
      </c>
      <c r="T501" s="28">
        <f ca="1"/>
        <v>8.5786999999999995</v>
      </c>
      <c r="U501" s="11">
        <f ca="1"/>
        <v>57.41</v>
      </c>
      <c r="V501" s="11">
        <v>19.34</v>
      </c>
      <c r="W501" s="11">
        <f ca="1"/>
        <v>0.21</v>
      </c>
      <c r="X501" s="11">
        <f ca="1"/>
        <v>0.39877104377104378</v>
      </c>
      <c r="Y501" s="11">
        <v>0</v>
      </c>
      <c r="Z501" s="11">
        <f ca="1"/>
        <v>37.46122895622895</v>
      </c>
      <c r="AA501" s="11">
        <f ca="1"/>
        <v>18.730614478114475</v>
      </c>
      <c r="AB501" s="4">
        <f ca="1"/>
        <v>45654</v>
      </c>
      <c r="AC501" s="4">
        <v>45654</v>
      </c>
      <c r="AD501" s="9">
        <v>45656</v>
      </c>
      <c r="AE501" s="9">
        <v>45659</v>
      </c>
      <c r="AF501" s="4" t="str">
        <f ca="1">_xlfn.CONCAT(PROPER(TEXT(AB501,"aaaa"))," ",PROPER(TEXT(AB501,"mm")))</f>
        <v>2024 12</v>
      </c>
      <c r="AG501" s="8" t="str" cm="1">
        <f t="array" ref="AG501">IFERROR(_xlfn.IFS('Banco de Dados'!#REF!="AG. COMPRA","Em processamento",'Banco de Dados'!#REF!="AG. RASTREIO","Em processamento",'Banco de Dados'!$AE501&lt;&gt;"-","Faturado",'Banco de Dados'!$AD501&lt;&gt;"-","Aguardando Pix",'Banco de Dados'!$AC501&lt;&gt;"-","Pendente"),"Aguardando Liberação")</f>
        <v>Aguardando Liberação</v>
      </c>
      <c r="AH501" s="5" t="str">
        <f>IF('Banco de Dados'!$F501="-",_xlfn.CONCAT(PROPER(TEXT(AK501,"aaaa"))," ",PROPER(TEXT(AK501,"mm"))),_xlfn.CONCAT(PROPER(TEXT(E501,"aaaa"))," ",PROPER(TEXT(E501,"mm"))))</f>
        <v>2024 12</v>
      </c>
      <c r="AI501" s="9" t="str">
        <f ca="1">IF('Banco de Dados'!$AK501&lt;&gt;"-","REEMBOLSO",IFERROR(_xlfn.XLOOKUP(G501,Follow[CODRASTREIO],Follow[STATUS]),"-"))</f>
        <v>ENTREGUE</v>
      </c>
      <c r="AJ501" s="9">
        <f ca="1">IF('Banco de Dados'!$AI501="ENTREGUE",_xlfn.XLOOKUP('Banco de Dados'!$G501,Follow[CODRASTREIO],Follow[DATAATUALIZAÇÃO]),"-")</f>
        <v>45637</v>
      </c>
      <c r="AK501" s="9" t="str">
        <f ca="1"/>
        <v>-</v>
      </c>
      <c r="AL501" s="35"/>
      <c r="AM501" s="109" cm="1">
        <f t="array" aca="1" ref="AM501" ca="1">IF('Banco de Dados'!$AK501&lt;&gt;"-",_xlfn.IFS('Banco de Dados'!$A501="bv",IF('Banco de Dados'!$E501&lt;45641,ROUND(SUM('Banco de Dados'!$R501*_xlfn.XLOOKUP('Banco de Dados'!$P501,Sku!B:B,Sku!#REF!)*20%),2),ROUND(SUM('Banco de Dados'!$R501*_xlfn.XLOOKUP('Banco de Dados'!$P501,Sku!B:B,Sku!H:H)*20%),2)),'Banco de Dados'!$A501="GO",ROUND(_xlfn.XLOOKUP('Banco de Dados'!$P501,Sku!C:C,Sku!H:H),2),'Banco de Dados'!$A501="MEI",ROUND(_xlfn.XLOOKUP('Banco de Dados'!$P501,Sku!D:D,Sku!H:H),2)),0)</f>
        <v>0</v>
      </c>
      <c r="AN501" s="109">
        <f ca="1">IF('Banco de Dados'!$AK501&lt;&gt;"-",IF('Banco de Dados'!$F501&lt;&gt;"-",_xlfn.XLOOKUP(IFERROR(IFERROR(IFERROR(VALUE(SUBSTITUTE(MID(_xlfn.TEXTAFTER('Banco de Dados'!$F501,"Data do Pedido:
",1),1,10),"-","/")),VALUE(SUBSTITUTE(MID(_xlfn.TEXTAFTER('Banco de Dados'!$F501,"Order date:
",1),1,10),"-","/"))),VALUE(SUBSTITUTE(MID(_xlfn.TEXTAFTER('Banco de Dados'!$F501,"Fecha de pedido:
",1),1,10),"-","/"))),"-"),SMS!A:A,SMS!K:K),0),0)</f>
        <v>0</v>
      </c>
      <c r="AO501" s="109">
        <f ca="1">IF('Banco de Dados'!$AK501&lt;&gt;"-",IF('Banco de Dados'!$F501&lt;&gt;"-",IFERROR(_xlfn.XLOOKUP(_xlfn.CONCAT('Banco de Dados'!$A501,IFERROR(IFERROR(VALUE(SUBSTITUTE(MID(_xlfn.TEXTAFTER('Banco de Dados'!$F501,"Data do Pedido:
",1),1,10),"-","/")),VALUE(SUBSTITUTE(MID(_xlfn.TEXTAFTER('Banco de Dados'!$F501,"Order date:
",1),1,10),"-","/"))),0)),ProxyDD[Chave],ProxyDD[Valor por pedido]),PROXY!$P$2),0),0)</f>
        <v>0</v>
      </c>
      <c r="AP501" s="28">
        <f ca="1">IF('Banco de Dados'!$AK501&lt;&gt;"-",IF('Banco de Dados'!$AL501="NÃO",IFERROR(VALUE(SUBSTITUTE(_xlfn.TEXTAFTER('Banco de Dados'!$F501,"BRL ",1),".",",")),0),0),0)</f>
        <v>0</v>
      </c>
      <c r="AQ501" s="28">
        <f ca="1">SUM('Banco de Dados'!$AM501:$AP501)</f>
        <v>0</v>
      </c>
      <c r="AR501" s="8"/>
      <c r="AS501" s="8"/>
      <c r="AY501" s="8"/>
    </row>
    <row r="502" spans="1:51">
      <c r="A502" s="5" t="str">
        <v>BV</v>
      </c>
      <c r="B502" s="5" t="str">
        <f ca="1"/>
        <v>BV45628</v>
      </c>
      <c r="C502" s="8" t="str">
        <v>Pedido 490</v>
      </c>
      <c r="D502" s="9">
        <v>45628</v>
      </c>
      <c r="E502" s="9">
        <v>45628</v>
      </c>
      <c r="F502" s="8" t="str">
        <v>PedidoF477</v>
      </c>
      <c r="G502" s="2" t="str">
        <v>CódRastreio476</v>
      </c>
      <c r="H502" s="5">
        <v>1</v>
      </c>
      <c r="I502" s="182" t="str">
        <v>CPF 475</v>
      </c>
      <c r="J502" s="2" t="str">
        <v>Nome 475</v>
      </c>
      <c r="K502" s="8" t="str">
        <v>Tel 475</v>
      </c>
      <c r="L502" s="8" t="str">
        <v>Cep 475</v>
      </c>
      <c r="M502" s="8" t="str">
        <v>Rua 475</v>
      </c>
      <c r="N502" s="8" t="str">
        <v>Comp 475</v>
      </c>
      <c r="O502" s="8" t="str">
        <v>Suporte de Celular Preto</v>
      </c>
      <c r="P502" s="8" t="str">
        <v>9G-BN48-QAPH</v>
      </c>
      <c r="Q502" s="4">
        <v>45657</v>
      </c>
      <c r="R502" s="109">
        <v>21.99</v>
      </c>
      <c r="S502" s="11">
        <f ca="1"/>
        <v>21.99</v>
      </c>
      <c r="T502" s="28">
        <f ca="1"/>
        <v>3.2984999999999998</v>
      </c>
      <c r="U502" s="11">
        <f ca="1"/>
        <v>18.690000000000001</v>
      </c>
      <c r="V502" s="11">
        <v>7.99</v>
      </c>
      <c r="W502" s="11">
        <f ca="1"/>
        <v>0.21</v>
      </c>
      <c r="X502" s="11">
        <f ca="1"/>
        <v>0.39877104377104378</v>
      </c>
      <c r="Y502" s="11">
        <v>0</v>
      </c>
      <c r="Z502" s="11">
        <f ca="1"/>
        <v>10.091228956228957</v>
      </c>
      <c r="AA502" s="11">
        <f ca="1"/>
        <v>5.0456144781144783</v>
      </c>
      <c r="AB502" s="4">
        <f ca="1"/>
        <v>45664</v>
      </c>
      <c r="AC502" s="4">
        <v>45664</v>
      </c>
      <c r="AD502" s="9">
        <v>45665</v>
      </c>
      <c r="AE502" s="9">
        <v>45673</v>
      </c>
      <c r="AF502" s="4" t="str">
        <f ca="1">_xlfn.CONCAT(PROPER(TEXT(AB502,"aaaa"))," ",PROPER(TEXT(AB502,"mm")))</f>
        <v>2025 01</v>
      </c>
      <c r="AG502" s="8" t="str" cm="1">
        <f t="array" ref="AG502">IFERROR(_xlfn.IFS('Banco de Dados'!#REF!="AG. COMPRA","Em processamento",'Banco de Dados'!#REF!="AG. RASTREIO","Em processamento",'Banco de Dados'!$AE502&lt;&gt;"-","Faturado",'Banco de Dados'!$AD502&lt;&gt;"-","Aguardando Pix",'Banco de Dados'!$AC502&lt;&gt;"-","Pendente"),"Aguardando Liberação")</f>
        <v>Aguardando Liberação</v>
      </c>
      <c r="AH502" s="5" t="str">
        <f>IF('Banco de Dados'!$F502="-",_xlfn.CONCAT(PROPER(TEXT(AK502,"aaaa"))," ",PROPER(TEXT(AK502,"mm"))),_xlfn.CONCAT(PROPER(TEXT(E502,"aaaa"))," ",PROPER(TEXT(E502,"mm"))))</f>
        <v>2024 12</v>
      </c>
      <c r="AI502" s="9" t="str">
        <f ca="1">IF('Banco de Dados'!$AK502&lt;&gt;"-","REEMBOLSO",IFERROR(_xlfn.XLOOKUP(G502,Follow[CODRASTREIO],Follow[STATUS]),"-"))</f>
        <v>ENTREGUE</v>
      </c>
      <c r="AJ502" s="9">
        <f ca="1">IF('Banco de Dados'!$AI502="ENTREGUE",_xlfn.XLOOKUP('Banco de Dados'!$G502,Follow[CODRASTREIO],Follow[DATAATUALIZAÇÃO]),"-")</f>
        <v>45636</v>
      </c>
      <c r="AK502" s="9" t="str">
        <f ca="1"/>
        <v>-</v>
      </c>
      <c r="AL502" s="35"/>
      <c r="AM502" s="109" cm="1">
        <f t="array" aca="1" ref="AM502" ca="1">IF('Banco de Dados'!$AK502&lt;&gt;"-",_xlfn.IFS('Banco de Dados'!$A502="bv",IF('Banco de Dados'!$E502&lt;45641,ROUND(SUM('Banco de Dados'!$R502*_xlfn.XLOOKUP('Banco de Dados'!$P502,Sku!B:B,Sku!#REF!)*20%),2),ROUND(SUM('Banco de Dados'!$R502*_xlfn.XLOOKUP('Banco de Dados'!$P502,Sku!B:B,Sku!H:H)*20%),2)),'Banco de Dados'!$A502="GO",ROUND(_xlfn.XLOOKUP('Banco de Dados'!$P502,Sku!C:C,Sku!H:H),2),'Banco de Dados'!$A502="MEI",ROUND(_xlfn.XLOOKUP('Banco de Dados'!$P502,Sku!D:D,Sku!H:H),2)),0)</f>
        <v>0</v>
      </c>
      <c r="AN502" s="109">
        <f ca="1">IF('Banco de Dados'!$AK502&lt;&gt;"-",IF('Banco de Dados'!$F502&lt;&gt;"-",_xlfn.XLOOKUP(IFERROR(IFERROR(IFERROR(VALUE(SUBSTITUTE(MID(_xlfn.TEXTAFTER('Banco de Dados'!$F502,"Data do Pedido:
",1),1,10),"-","/")),VALUE(SUBSTITUTE(MID(_xlfn.TEXTAFTER('Banco de Dados'!$F502,"Order date:
",1),1,10),"-","/"))),VALUE(SUBSTITUTE(MID(_xlfn.TEXTAFTER('Banco de Dados'!$F502,"Fecha de pedido:
",1),1,10),"-","/"))),"-"),SMS!A:A,SMS!K:K),0),0)</f>
        <v>0</v>
      </c>
      <c r="AO502" s="109">
        <f ca="1">IF('Banco de Dados'!$AK502&lt;&gt;"-",IF('Banco de Dados'!$F502&lt;&gt;"-",IFERROR(_xlfn.XLOOKUP(_xlfn.CONCAT('Banco de Dados'!$A502,IFERROR(IFERROR(VALUE(SUBSTITUTE(MID(_xlfn.TEXTAFTER('Banco de Dados'!$F502,"Data do Pedido:
",1),1,10),"-","/")),VALUE(SUBSTITUTE(MID(_xlfn.TEXTAFTER('Banco de Dados'!$F502,"Order date:
",1),1,10),"-","/"))),0)),ProxyDD[Chave],ProxyDD[Valor por pedido]),PROXY!$P$2),0),0)</f>
        <v>0</v>
      </c>
      <c r="AP502" s="28">
        <f ca="1">IF('Banco de Dados'!$AK502&lt;&gt;"-",IF('Banco de Dados'!$AL502="NÃO",IFERROR(VALUE(SUBSTITUTE(_xlfn.TEXTAFTER('Banco de Dados'!$F502,"BRL ",1),".",",")),0),0),0)</f>
        <v>0</v>
      </c>
      <c r="AQ502" s="28">
        <f ca="1">SUM('Banco de Dados'!$AM502:$AP502)</f>
        <v>0</v>
      </c>
      <c r="AR502" s="8"/>
      <c r="AS502" s="8"/>
      <c r="AY502" s="8"/>
    </row>
    <row r="503" spans="1:51">
      <c r="A503" s="5" t="str">
        <v>BV</v>
      </c>
      <c r="B503" s="5" t="str">
        <f ca="1"/>
        <v>BV45629</v>
      </c>
      <c r="C503" s="8" t="str">
        <v>Pedido 491</v>
      </c>
      <c r="D503" s="9">
        <v>45629</v>
      </c>
      <c r="E503" s="9">
        <v>45629</v>
      </c>
      <c r="F503" s="8" t="str">
        <v>PedidoF478</v>
      </c>
      <c r="G503" s="2" t="str">
        <v>CódRastreio477</v>
      </c>
      <c r="H503" s="5">
        <v>1</v>
      </c>
      <c r="I503" s="182" t="str">
        <v>CPF 476</v>
      </c>
      <c r="J503" s="2" t="str">
        <v>Nome 476</v>
      </c>
      <c r="K503" s="8" t="str">
        <v>Tel 476</v>
      </c>
      <c r="L503" s="8" t="str">
        <v>Cep 476</v>
      </c>
      <c r="M503" s="8" t="str">
        <v>Rua 476</v>
      </c>
      <c r="N503" s="8" t="str">
        <v>Comp 476</v>
      </c>
      <c r="O503" s="8" t="str">
        <v>Ventilador Preto</v>
      </c>
      <c r="P503" s="8" t="str">
        <v>MU-J80P-95WF</v>
      </c>
      <c r="Q503" s="4">
        <v>45647</v>
      </c>
      <c r="R503" s="109">
        <v>65.989999999999995</v>
      </c>
      <c r="S503" s="11">
        <f ca="1"/>
        <v>65.989999999999995</v>
      </c>
      <c r="T503" s="28">
        <f ca="1"/>
        <v>8.5786999999999995</v>
      </c>
      <c r="U503" s="11">
        <f ca="1"/>
        <v>57.41</v>
      </c>
      <c r="V503" s="11">
        <v>19.54</v>
      </c>
      <c r="W503" s="11">
        <f ca="1"/>
        <v>0.22</v>
      </c>
      <c r="X503" s="11">
        <f ca="1"/>
        <v>0.39877104377104378</v>
      </c>
      <c r="Y503" s="11">
        <v>0</v>
      </c>
      <c r="Z503" s="11">
        <f ca="1"/>
        <v>37.251228956228957</v>
      </c>
      <c r="AA503" s="11">
        <f ca="1"/>
        <v>18.625614478114478</v>
      </c>
      <c r="AB503" s="4">
        <f ca="1"/>
        <v>45654</v>
      </c>
      <c r="AC503" s="4">
        <v>45654</v>
      </c>
      <c r="AD503" s="9">
        <v>45656</v>
      </c>
      <c r="AE503" s="9">
        <v>45659</v>
      </c>
      <c r="AF503" s="4" t="str">
        <f t="shared" ref="AF503:AF508" ca="1" si="10">_xlfn.CONCAT(PROPER(TEXT(AB503,"aaaa"))," ",PROPER(TEXT(AB503,"mm")))</f>
        <v>2024 12</v>
      </c>
      <c r="AG503" s="8" t="str" cm="1">
        <f t="array" ref="AG503">IFERROR(_xlfn.IFS('Banco de Dados'!#REF!="AG. COMPRA","Em processamento",'Banco de Dados'!#REF!="AG. RASTREIO","Em processamento",'Banco de Dados'!$AE503&lt;&gt;"-","Faturado",'Banco de Dados'!$AD503&lt;&gt;"-","Aguardando Pix",'Banco de Dados'!$AC503&lt;&gt;"-","Pendente"),"Aguardando Liberação")</f>
        <v>Aguardando Liberação</v>
      </c>
      <c r="AH503" s="5" t="str">
        <f>IF('Banco de Dados'!$F503="-",_xlfn.CONCAT(PROPER(TEXT(AK503,"aaaa"))," ",PROPER(TEXT(AK503,"mm"))),_xlfn.CONCAT(PROPER(TEXT(E503,"aaaa"))," ",PROPER(TEXT(E503,"mm"))))</f>
        <v>2024 12</v>
      </c>
      <c r="AI503" s="9" t="str">
        <f ca="1">IF('Banco de Dados'!$AK503&lt;&gt;"-","REEMBOLSO",IFERROR(_xlfn.XLOOKUP(G503,Follow[CODRASTREIO],Follow[STATUS]),"-"))</f>
        <v>ENTREGUE</v>
      </c>
      <c r="AJ503" s="9">
        <f ca="1">IF('Banco de Dados'!$AI503="ENTREGUE",_xlfn.XLOOKUP('Banco de Dados'!$G503,Follow[CODRASTREIO],Follow[DATAATUALIZAÇÃO]),"-")</f>
        <v>45639</v>
      </c>
      <c r="AK503" s="9" t="str">
        <f ca="1"/>
        <v>-</v>
      </c>
      <c r="AL503" s="35"/>
      <c r="AM503" s="109" cm="1">
        <f t="array" aca="1" ref="AM503" ca="1">IF('Banco de Dados'!$AK503&lt;&gt;"-",_xlfn.IFS('Banco de Dados'!$A503="bv",IF('Banco de Dados'!$E503&lt;45641,ROUND(SUM('Banco de Dados'!$R503*_xlfn.XLOOKUP('Banco de Dados'!$P503,Sku!B:B,Sku!#REF!)*20%),2),ROUND(SUM('Banco de Dados'!$R503*_xlfn.XLOOKUP('Banco de Dados'!$P503,Sku!B:B,Sku!H:H)*20%),2)),'Banco de Dados'!$A503="GO",ROUND(_xlfn.XLOOKUP('Banco de Dados'!$P503,Sku!C:C,Sku!H:H),2),'Banco de Dados'!$A503="MEI",ROUND(_xlfn.XLOOKUP('Banco de Dados'!$P503,Sku!D:D,Sku!H:H),2)),0)</f>
        <v>0</v>
      </c>
      <c r="AN503" s="109">
        <f ca="1">IF('Banco de Dados'!$AK503&lt;&gt;"-",IF('Banco de Dados'!$F503&lt;&gt;"-",_xlfn.XLOOKUP(IFERROR(IFERROR(IFERROR(VALUE(SUBSTITUTE(MID(_xlfn.TEXTAFTER('Banco de Dados'!$F503,"Data do Pedido:
",1),1,10),"-","/")),VALUE(SUBSTITUTE(MID(_xlfn.TEXTAFTER('Banco de Dados'!$F503,"Order date:
",1),1,10),"-","/"))),VALUE(SUBSTITUTE(MID(_xlfn.TEXTAFTER('Banco de Dados'!$F503,"Fecha de pedido:
",1),1,10),"-","/"))),"-"),SMS!A:A,SMS!K:K),0),0)</f>
        <v>0</v>
      </c>
      <c r="AO503" s="109">
        <f ca="1">IF('Banco de Dados'!$AK503&lt;&gt;"-",IF('Banco de Dados'!$F503&lt;&gt;"-",IFERROR(_xlfn.XLOOKUP(_xlfn.CONCAT('Banco de Dados'!$A503,IFERROR(IFERROR(VALUE(SUBSTITUTE(MID(_xlfn.TEXTAFTER('Banco de Dados'!$F503,"Data do Pedido:
",1),1,10),"-","/")),VALUE(SUBSTITUTE(MID(_xlfn.TEXTAFTER('Banco de Dados'!$F503,"Order date:
",1),1,10),"-","/"))),0)),ProxyDD[Chave],ProxyDD[Valor por pedido]),PROXY!$P$2),0),0)</f>
        <v>0</v>
      </c>
      <c r="AP503" s="28">
        <f ca="1">IF('Banco de Dados'!$AK503&lt;&gt;"-",IF('Banco de Dados'!$AL503="NÃO",IFERROR(VALUE(SUBSTITUTE(_xlfn.TEXTAFTER('Banco de Dados'!$F503,"BRL ",1),".",",")),0),0),0)</f>
        <v>0</v>
      </c>
      <c r="AQ503" s="28">
        <f ca="1">SUM('Banco de Dados'!$AM503:$AP503)</f>
        <v>0</v>
      </c>
      <c r="AR503" s="8"/>
      <c r="AS503" s="8"/>
      <c r="AY503" s="8"/>
    </row>
    <row r="504" spans="1:51">
      <c r="A504" s="5" t="str">
        <v>BV</v>
      </c>
      <c r="B504" s="5" t="str">
        <f ca="1"/>
        <v>BV45629</v>
      </c>
      <c r="C504" s="8" t="str">
        <v>Pedido 492</v>
      </c>
      <c r="D504" s="9">
        <v>45629</v>
      </c>
      <c r="E504" s="9">
        <v>45629</v>
      </c>
      <c r="F504" s="8" t="str">
        <v>PedidoF479</v>
      </c>
      <c r="G504" s="2" t="str">
        <v>CódRastreio478</v>
      </c>
      <c r="H504" s="5">
        <v>1</v>
      </c>
      <c r="I504" s="182" t="str">
        <v>CPF 477</v>
      </c>
      <c r="J504" s="2" t="str">
        <v>Nome 477</v>
      </c>
      <c r="K504" s="8" t="str">
        <v>Tel 477</v>
      </c>
      <c r="L504" s="8" t="str">
        <v>Cep 477</v>
      </c>
      <c r="M504" s="8" t="str">
        <v>Rua 477</v>
      </c>
      <c r="N504" s="8" t="str">
        <v>Comp 477</v>
      </c>
      <c r="O504" s="8" t="str">
        <v>Ventilador Azul</v>
      </c>
      <c r="P504" s="8" t="str">
        <v>U8-2VWS-OB6M</v>
      </c>
      <c r="Q504" s="4">
        <v>45660</v>
      </c>
      <c r="R504" s="109">
        <v>65.989999999999995</v>
      </c>
      <c r="S504" s="11">
        <f ca="1"/>
        <v>65.989999999999995</v>
      </c>
      <c r="T504" s="28">
        <f ca="1"/>
        <v>8.5786999999999995</v>
      </c>
      <c r="U504" s="11">
        <f ca="1"/>
        <v>57.41</v>
      </c>
      <c r="V504" s="11">
        <v>19.399999999999999</v>
      </c>
      <c r="W504" s="11">
        <f ca="1"/>
        <v>0.22</v>
      </c>
      <c r="X504" s="11">
        <f ca="1"/>
        <v>0.39877104377104378</v>
      </c>
      <c r="Y504" s="11">
        <v>0</v>
      </c>
      <c r="Z504" s="11">
        <f ca="1"/>
        <v>37.391228956228957</v>
      </c>
      <c r="AA504" s="11">
        <f ca="1"/>
        <v>18.695614478114479</v>
      </c>
      <c r="AB504" s="4">
        <f ca="1"/>
        <v>45667</v>
      </c>
      <c r="AC504" s="4">
        <v>45667</v>
      </c>
      <c r="AD504" s="9">
        <v>45673</v>
      </c>
      <c r="AE504" s="9">
        <v>45673</v>
      </c>
      <c r="AF504" s="4" t="str">
        <f t="shared" ca="1" si="10"/>
        <v>2025 01</v>
      </c>
      <c r="AG504" s="8" t="str" cm="1">
        <f t="array" ref="AG504">IFERROR(_xlfn.IFS('Banco de Dados'!#REF!="AG. COMPRA","Em processamento",'Banco de Dados'!#REF!="AG. RASTREIO","Em processamento",'Banco de Dados'!$AE504&lt;&gt;"-","Faturado",'Banco de Dados'!$AD504&lt;&gt;"-","Aguardando Pix",'Banco de Dados'!$AC504&lt;&gt;"-","Pendente"),"Aguardando Liberação")</f>
        <v>Aguardando Liberação</v>
      </c>
      <c r="AH504" s="5" t="str">
        <f>IF('Banco de Dados'!$F504="-",_xlfn.CONCAT(PROPER(TEXT(AK504,"aaaa"))," ",PROPER(TEXT(AK504,"mm"))),_xlfn.CONCAT(PROPER(TEXT(E504,"aaaa"))," ",PROPER(TEXT(E504,"mm"))))</f>
        <v>2024 12</v>
      </c>
      <c r="AI504" s="9" t="str">
        <f ca="1">IF('Banco de Dados'!$AK504&lt;&gt;"-","REEMBOLSO",IFERROR(_xlfn.XLOOKUP(G504,Follow[CODRASTREIO],Follow[STATUS]),"-"))</f>
        <v>ENTREGUE</v>
      </c>
      <c r="AJ504" s="9">
        <f ca="1">IF('Banco de Dados'!$AI504="ENTREGUE",_xlfn.XLOOKUP('Banco de Dados'!$G504,Follow[CODRASTREIO],Follow[DATAATUALIZAÇÃO]),"-")</f>
        <v>45638</v>
      </c>
      <c r="AK504" s="9" t="str">
        <f ca="1"/>
        <v>-</v>
      </c>
      <c r="AL504" s="35"/>
      <c r="AM504" s="109" cm="1">
        <f t="array" aca="1" ref="AM504" ca="1">IF('Banco de Dados'!$AK504&lt;&gt;"-",_xlfn.IFS('Banco de Dados'!$A504="bv",IF('Banco de Dados'!$E504&lt;45641,ROUND(SUM('Banco de Dados'!$R504*_xlfn.XLOOKUP('Banco de Dados'!$P504,Sku!B:B,Sku!#REF!)*20%),2),ROUND(SUM('Banco de Dados'!$R504*_xlfn.XLOOKUP('Banco de Dados'!$P504,Sku!B:B,Sku!H:H)*20%),2)),'Banco de Dados'!$A504="GO",ROUND(_xlfn.XLOOKUP('Banco de Dados'!$P504,Sku!C:C,Sku!H:H),2),'Banco de Dados'!$A504="MEI",ROUND(_xlfn.XLOOKUP('Banco de Dados'!$P504,Sku!D:D,Sku!H:H),2)),0)</f>
        <v>0</v>
      </c>
      <c r="AN504" s="109">
        <f ca="1">IF('Banco de Dados'!$AK504&lt;&gt;"-",IF('Banco de Dados'!$F504&lt;&gt;"-",_xlfn.XLOOKUP(IFERROR(IFERROR(IFERROR(VALUE(SUBSTITUTE(MID(_xlfn.TEXTAFTER('Banco de Dados'!$F504,"Data do Pedido:
",1),1,10),"-","/")),VALUE(SUBSTITUTE(MID(_xlfn.TEXTAFTER('Banco de Dados'!$F504,"Order date:
",1),1,10),"-","/"))),VALUE(SUBSTITUTE(MID(_xlfn.TEXTAFTER('Banco de Dados'!$F504,"Fecha de pedido:
",1),1,10),"-","/"))),"-"),SMS!A:A,SMS!K:K),0),0)</f>
        <v>0</v>
      </c>
      <c r="AO504" s="109">
        <f ca="1">IF('Banco de Dados'!$AK504&lt;&gt;"-",IF('Banco de Dados'!$F504&lt;&gt;"-",IFERROR(_xlfn.XLOOKUP(_xlfn.CONCAT('Banco de Dados'!$A504,IFERROR(IFERROR(VALUE(SUBSTITUTE(MID(_xlfn.TEXTAFTER('Banco de Dados'!$F504,"Data do Pedido:
",1),1,10),"-","/")),VALUE(SUBSTITUTE(MID(_xlfn.TEXTAFTER('Banco de Dados'!$F504,"Order date:
",1),1,10),"-","/"))),0)),ProxyDD[Chave],ProxyDD[Valor por pedido]),PROXY!$P$2),0),0)</f>
        <v>0</v>
      </c>
      <c r="AP504" s="28">
        <f ca="1">IF('Banco de Dados'!$AK504&lt;&gt;"-",IF('Banco de Dados'!$AL504="NÃO",IFERROR(VALUE(SUBSTITUTE(_xlfn.TEXTAFTER('Banco de Dados'!$F504,"BRL ",1),".",",")),0),0),0)</f>
        <v>0</v>
      </c>
      <c r="AQ504" s="28">
        <f ca="1">SUM('Banco de Dados'!$AM504:$AP504)</f>
        <v>0</v>
      </c>
      <c r="AR504" s="8"/>
      <c r="AS504" s="8"/>
      <c r="AY504" s="8"/>
    </row>
    <row r="505" spans="1:51">
      <c r="A505" s="5" t="str">
        <v>BV</v>
      </c>
      <c r="B505" s="5" t="str">
        <f ca="1"/>
        <v>BV45629</v>
      </c>
      <c r="C505" s="8" t="str">
        <v>Pedido 493</v>
      </c>
      <c r="D505" s="9">
        <v>45629</v>
      </c>
      <c r="E505" s="9">
        <v>45629</v>
      </c>
      <c r="F505" s="8" t="str">
        <v>PedidoF480</v>
      </c>
      <c r="G505" s="2" t="str">
        <v>CódRastreio479</v>
      </c>
      <c r="H505" s="5">
        <v>1</v>
      </c>
      <c r="I505" s="182" t="str">
        <v>CPF 478</v>
      </c>
      <c r="J505" s="2" t="str">
        <v>Nome 478</v>
      </c>
      <c r="K505" s="8" t="str">
        <v>Tel 478</v>
      </c>
      <c r="L505" s="8" t="str">
        <v>Cep 478</v>
      </c>
      <c r="M505" s="8" t="str">
        <v>Rua 478</v>
      </c>
      <c r="N505" s="8" t="str">
        <v>Comp 478</v>
      </c>
      <c r="O505" s="8" t="str">
        <v>Ventilador de teto</v>
      </c>
      <c r="P505" s="8" t="str">
        <v>BP-NHG2-B8C1</v>
      </c>
      <c r="Q505" s="4">
        <v>45660</v>
      </c>
      <c r="R505" s="109">
        <v>65.989999999999995</v>
      </c>
      <c r="S505" s="11">
        <f ca="1"/>
        <v>65.989999999999995</v>
      </c>
      <c r="T505" s="28">
        <f ca="1"/>
        <v>8.5786999999999995</v>
      </c>
      <c r="U505" s="11">
        <f ca="1"/>
        <v>57.41</v>
      </c>
      <c r="V505" s="11">
        <v>21.47</v>
      </c>
      <c r="W505" s="11">
        <f ca="1"/>
        <v>0.22</v>
      </c>
      <c r="X505" s="11">
        <f ca="1"/>
        <v>0.39877104377104378</v>
      </c>
      <c r="Y505" s="11">
        <v>0</v>
      </c>
      <c r="Z505" s="11">
        <f ca="1"/>
        <v>35.32122895622895</v>
      </c>
      <c r="AA505" s="11">
        <f ca="1"/>
        <v>17.660614478114475</v>
      </c>
      <c r="AB505" s="4">
        <f ca="1"/>
        <v>45667</v>
      </c>
      <c r="AC505" s="4">
        <v>45667</v>
      </c>
      <c r="AD505" s="9">
        <v>45673</v>
      </c>
      <c r="AE505" s="9">
        <v>45673</v>
      </c>
      <c r="AF505" s="4" t="str">
        <f t="shared" ca="1" si="10"/>
        <v>2025 01</v>
      </c>
      <c r="AG505" s="8" t="str" cm="1">
        <f t="array" ref="AG505">IFERROR(_xlfn.IFS('Banco de Dados'!#REF!="AG. COMPRA","Em processamento",'Banco de Dados'!#REF!="AG. RASTREIO","Em processamento",'Banco de Dados'!$AE505&lt;&gt;"-","Faturado",'Banco de Dados'!$AD505&lt;&gt;"-","Aguardando Pix",'Banco de Dados'!$AC505&lt;&gt;"-","Pendente"),"Aguardando Liberação")</f>
        <v>Aguardando Liberação</v>
      </c>
      <c r="AH505" s="5" t="str">
        <f>IF('Banco de Dados'!$F505="-",_xlfn.CONCAT(PROPER(TEXT(AK505,"aaaa"))," ",PROPER(TEXT(AK505,"mm"))),_xlfn.CONCAT(PROPER(TEXT(E505,"aaaa"))," ",PROPER(TEXT(E505,"mm"))))</f>
        <v>2024 12</v>
      </c>
      <c r="AI505" s="9" t="str">
        <f ca="1">IF('Banco de Dados'!$AK505&lt;&gt;"-","REEMBOLSO",IFERROR(_xlfn.XLOOKUP(G505,Follow[CODRASTREIO],Follow[STATUS]),"-"))</f>
        <v>ENTREGUE</v>
      </c>
      <c r="AJ505" s="9">
        <f ca="1">IF('Banco de Dados'!$AI505="ENTREGUE",_xlfn.XLOOKUP('Banco de Dados'!$G505,Follow[CODRASTREIO],Follow[DATAATUALIZAÇÃO]),"-")</f>
        <v>45644</v>
      </c>
      <c r="AK505" s="9" t="str">
        <f ca="1"/>
        <v>-</v>
      </c>
      <c r="AL505" s="35"/>
      <c r="AM505" s="109" cm="1">
        <f t="array" aca="1" ref="AM505" ca="1">IF('Banco de Dados'!$AK505&lt;&gt;"-",_xlfn.IFS('Banco de Dados'!$A505="bv",IF('Banco de Dados'!$E505&lt;45641,ROUND(SUM('Banco de Dados'!$R505*_xlfn.XLOOKUP('Banco de Dados'!$P505,Sku!B:B,Sku!#REF!)*20%),2),ROUND(SUM('Banco de Dados'!$R505*_xlfn.XLOOKUP('Banco de Dados'!$P505,Sku!B:B,Sku!H:H)*20%),2)),'Banco de Dados'!$A505="GO",ROUND(_xlfn.XLOOKUP('Banco de Dados'!$P505,Sku!C:C,Sku!H:H),2),'Banco de Dados'!$A505="MEI",ROUND(_xlfn.XLOOKUP('Banco de Dados'!$P505,Sku!D:D,Sku!H:H),2)),0)</f>
        <v>0</v>
      </c>
      <c r="AN505" s="109">
        <f ca="1">IF('Banco de Dados'!$AK505&lt;&gt;"-",IF('Banco de Dados'!$F505&lt;&gt;"-",_xlfn.XLOOKUP(IFERROR(IFERROR(IFERROR(VALUE(SUBSTITUTE(MID(_xlfn.TEXTAFTER('Banco de Dados'!$F505,"Data do Pedido:
",1),1,10),"-","/")),VALUE(SUBSTITUTE(MID(_xlfn.TEXTAFTER('Banco de Dados'!$F505,"Order date:
",1),1,10),"-","/"))),VALUE(SUBSTITUTE(MID(_xlfn.TEXTAFTER('Banco de Dados'!$F505,"Fecha de pedido:
",1),1,10),"-","/"))),"-"),SMS!A:A,SMS!K:K),0),0)</f>
        <v>0</v>
      </c>
      <c r="AO505" s="109">
        <f ca="1">IF('Banco de Dados'!$AK505&lt;&gt;"-",IF('Banco de Dados'!$F505&lt;&gt;"-",IFERROR(_xlfn.XLOOKUP(_xlfn.CONCAT('Banco de Dados'!$A505,IFERROR(IFERROR(VALUE(SUBSTITUTE(MID(_xlfn.TEXTAFTER('Banco de Dados'!$F505,"Data do Pedido:
",1),1,10),"-","/")),VALUE(SUBSTITUTE(MID(_xlfn.TEXTAFTER('Banco de Dados'!$F505,"Order date:
",1),1,10),"-","/"))),0)),ProxyDD[Chave],ProxyDD[Valor por pedido]),PROXY!$P$2),0),0)</f>
        <v>0</v>
      </c>
      <c r="AP505" s="28">
        <f ca="1">IF('Banco de Dados'!$AK505&lt;&gt;"-",IF('Banco de Dados'!$AL505="NÃO",IFERROR(VALUE(SUBSTITUTE(_xlfn.TEXTAFTER('Banco de Dados'!$F505,"BRL ",1),".",",")),0),0),0)</f>
        <v>0</v>
      </c>
      <c r="AQ505" s="28">
        <f ca="1">SUM('Banco de Dados'!$AM505:$AP505)</f>
        <v>0</v>
      </c>
      <c r="AR505" s="8"/>
      <c r="AS505" s="8"/>
      <c r="AY505" s="8"/>
    </row>
    <row r="506" spans="1:51">
      <c r="A506" s="5" t="str">
        <v>BV</v>
      </c>
      <c r="B506" s="5" t="str">
        <f ca="1"/>
        <v>BV45629</v>
      </c>
      <c r="C506" s="8" t="str">
        <v>Pedido 494</v>
      </c>
      <c r="D506" s="9">
        <v>45629</v>
      </c>
      <c r="E506" s="9">
        <v>45629</v>
      </c>
      <c r="F506" s="8" t="str">
        <v>PedidoF481</v>
      </c>
      <c r="G506" s="2" t="str">
        <v>CódRastreio480</v>
      </c>
      <c r="H506" s="5">
        <v>1</v>
      </c>
      <c r="I506" s="182" t="str">
        <v>CPF 479</v>
      </c>
      <c r="J506" s="2" t="str">
        <v>Nome 479</v>
      </c>
      <c r="K506" s="8" t="str">
        <v>Tel 479</v>
      </c>
      <c r="L506" s="8" t="str">
        <v>Cep 479</v>
      </c>
      <c r="M506" s="8" t="str">
        <v>Rua 479</v>
      </c>
      <c r="N506" s="8" t="str">
        <v>Comp 479</v>
      </c>
      <c r="O506" s="8" t="str">
        <v>Ventilador Umidificador Preto</v>
      </c>
      <c r="P506" s="8" t="str">
        <v>HF-SI0F-XC7S</v>
      </c>
      <c r="Q506" s="4">
        <v>45650</v>
      </c>
      <c r="R506" s="109">
        <v>51.9</v>
      </c>
      <c r="S506" s="11">
        <f ca="1"/>
        <v>51.9</v>
      </c>
      <c r="T506" s="28">
        <f ca="1"/>
        <v>7.2660000000000009</v>
      </c>
      <c r="U506" s="11">
        <f ca="1"/>
        <v>44.63</v>
      </c>
      <c r="V506" s="11">
        <v>13.57</v>
      </c>
      <c r="W506" s="11">
        <f ca="1"/>
        <v>0.22</v>
      </c>
      <c r="X506" s="11">
        <f ca="1"/>
        <v>0.39877104377104378</v>
      </c>
      <c r="Y506" s="11">
        <v>0</v>
      </c>
      <c r="Z506" s="11">
        <f ca="1"/>
        <v>30.441228956228958</v>
      </c>
      <c r="AA506" s="11">
        <f ca="1"/>
        <v>15.220614478114479</v>
      </c>
      <c r="AB506" s="4">
        <f ca="1"/>
        <v>45657</v>
      </c>
      <c r="AC506" s="4">
        <v>45657</v>
      </c>
      <c r="AD506" s="9">
        <v>45665</v>
      </c>
      <c r="AE506" s="9">
        <v>45673</v>
      </c>
      <c r="AF506" s="4" t="str">
        <f t="shared" ca="1" si="10"/>
        <v>2024 12</v>
      </c>
      <c r="AG506" s="8" t="str" cm="1">
        <f t="array" ref="AG506">IFERROR(_xlfn.IFS('Banco de Dados'!#REF!="AG. COMPRA","Em processamento",'Banco de Dados'!#REF!="AG. RASTREIO","Em processamento",'Banco de Dados'!$AE506&lt;&gt;"-","Faturado",'Banco de Dados'!$AD506&lt;&gt;"-","Aguardando Pix",'Banco de Dados'!$AC506&lt;&gt;"-","Pendente"),"Aguardando Liberação")</f>
        <v>Aguardando Liberação</v>
      </c>
      <c r="AH506" s="5" t="str">
        <f>IF('Banco de Dados'!$F506="-",_xlfn.CONCAT(PROPER(TEXT(AK506,"aaaa"))," ",PROPER(TEXT(AK506,"mm"))),_xlfn.CONCAT(PROPER(TEXT(E506,"aaaa"))," ",PROPER(TEXT(E506,"mm"))))</f>
        <v>2024 12</v>
      </c>
      <c r="AI506" s="9" t="str">
        <f ca="1">IF('Banco de Dados'!$AK506&lt;&gt;"-","REEMBOLSO",IFERROR(_xlfn.XLOOKUP(G506,Follow[CODRASTREIO],Follow[STATUS]),"-"))</f>
        <v>ENTREGUE</v>
      </c>
      <c r="AJ506" s="9">
        <f ca="1">IF('Banco de Dados'!$AI506="ENTREGUE",_xlfn.XLOOKUP('Banco de Dados'!$G506,Follow[CODRASTREIO],Follow[DATAATUALIZAÇÃO]),"-")</f>
        <v>45644</v>
      </c>
      <c r="AK506" s="9" t="str">
        <f ca="1"/>
        <v>-</v>
      </c>
      <c r="AL506" s="35"/>
      <c r="AM506" s="109" cm="1">
        <f t="array" aca="1" ref="AM506" ca="1">IF('Banco de Dados'!$AK506&lt;&gt;"-",_xlfn.IFS('Banco de Dados'!$A506="bv",IF('Banco de Dados'!$E506&lt;45641,ROUND(SUM('Banco de Dados'!$R506*_xlfn.XLOOKUP('Banco de Dados'!$P506,Sku!B:B,Sku!#REF!)*20%),2),ROUND(SUM('Banco de Dados'!$R506*_xlfn.XLOOKUP('Banco de Dados'!$P506,Sku!B:B,Sku!H:H)*20%),2)),'Banco de Dados'!$A506="GO",ROUND(_xlfn.XLOOKUP('Banco de Dados'!$P506,Sku!C:C,Sku!H:H),2),'Banco de Dados'!$A506="MEI",ROUND(_xlfn.XLOOKUP('Banco de Dados'!$P506,Sku!D:D,Sku!H:H),2)),0)</f>
        <v>0</v>
      </c>
      <c r="AN506" s="109">
        <f ca="1">IF('Banco de Dados'!$AK506&lt;&gt;"-",IF('Banco de Dados'!$F506&lt;&gt;"-",_xlfn.XLOOKUP(IFERROR(IFERROR(IFERROR(VALUE(SUBSTITUTE(MID(_xlfn.TEXTAFTER('Banco de Dados'!$F506,"Data do Pedido:
",1),1,10),"-","/")),VALUE(SUBSTITUTE(MID(_xlfn.TEXTAFTER('Banco de Dados'!$F506,"Order date:
",1),1,10),"-","/"))),VALUE(SUBSTITUTE(MID(_xlfn.TEXTAFTER('Banco de Dados'!$F506,"Fecha de pedido:
",1),1,10),"-","/"))),"-"),SMS!A:A,SMS!K:K),0),0)</f>
        <v>0</v>
      </c>
      <c r="AO506" s="109">
        <f ca="1">IF('Banco de Dados'!$AK506&lt;&gt;"-",IF('Banco de Dados'!$F506&lt;&gt;"-",IFERROR(_xlfn.XLOOKUP(_xlfn.CONCAT('Banco de Dados'!$A506,IFERROR(IFERROR(VALUE(SUBSTITUTE(MID(_xlfn.TEXTAFTER('Banco de Dados'!$F506,"Data do Pedido:
",1),1,10),"-","/")),VALUE(SUBSTITUTE(MID(_xlfn.TEXTAFTER('Banco de Dados'!$F506,"Order date:
",1),1,10),"-","/"))),0)),ProxyDD[Chave],ProxyDD[Valor por pedido]),PROXY!$P$2),0),0)</f>
        <v>0</v>
      </c>
      <c r="AP506" s="28">
        <f ca="1">IF('Banco de Dados'!$AK506&lt;&gt;"-",IF('Banco de Dados'!$AL506="NÃO",IFERROR(VALUE(SUBSTITUTE(_xlfn.TEXTAFTER('Banco de Dados'!$F506,"BRL ",1),".",",")),0),0),0)</f>
        <v>0</v>
      </c>
      <c r="AQ506" s="28">
        <f ca="1">SUM('Banco de Dados'!$AM506:$AP506)</f>
        <v>0</v>
      </c>
      <c r="AR506" s="8"/>
      <c r="AS506" s="8"/>
      <c r="AY506" s="8"/>
    </row>
    <row r="507" spans="1:51">
      <c r="A507" s="5" t="str">
        <v>BV</v>
      </c>
      <c r="B507" s="5" t="str">
        <f ca="1"/>
        <v>BV45629</v>
      </c>
      <c r="C507" s="8" t="str">
        <v>Pedido 495</v>
      </c>
      <c r="D507" s="9">
        <v>45629</v>
      </c>
      <c r="E507" s="9">
        <v>45629</v>
      </c>
      <c r="F507" s="8" t="str">
        <v>PedidoF482</v>
      </c>
      <c r="G507" s="2" t="str">
        <v>CódRastreio481</v>
      </c>
      <c r="H507" s="5">
        <v>1</v>
      </c>
      <c r="I507" s="182" t="str">
        <v>CPF 471</v>
      </c>
      <c r="J507" s="2" t="str">
        <v>Nome 471</v>
      </c>
      <c r="K507" s="8" t="str">
        <v>Tel 471</v>
      </c>
      <c r="L507" s="8" t="str">
        <v>Cep 471</v>
      </c>
      <c r="M507" s="8" t="str">
        <v>Rua 471</v>
      </c>
      <c r="N507" s="8" t="str">
        <v>Comp 471</v>
      </c>
      <c r="O507" s="8" t="str">
        <v>Ventilador Azul</v>
      </c>
      <c r="P507" s="8" t="str">
        <v>U8-2VWS-OB6M</v>
      </c>
      <c r="Q507" s="4">
        <v>45650</v>
      </c>
      <c r="R507" s="109">
        <v>65.989999999999995</v>
      </c>
      <c r="S507" s="11">
        <f ca="1"/>
        <v>65.989999999999995</v>
      </c>
      <c r="T507" s="28">
        <f ca="1"/>
        <v>8.5786999999999995</v>
      </c>
      <c r="U507" s="11">
        <f ca="1"/>
        <v>57.41</v>
      </c>
      <c r="V507" s="11">
        <v>19.399999999999999</v>
      </c>
      <c r="W507" s="11">
        <f ca="1"/>
        <v>0.22</v>
      </c>
      <c r="X507" s="11">
        <f ca="1"/>
        <v>0.39877104377104378</v>
      </c>
      <c r="Y507" s="11">
        <v>0</v>
      </c>
      <c r="Z507" s="11">
        <f ca="1"/>
        <v>37.391228956228957</v>
      </c>
      <c r="AA507" s="11">
        <f ca="1"/>
        <v>18.695614478114479</v>
      </c>
      <c r="AB507" s="4">
        <f ca="1"/>
        <v>45657</v>
      </c>
      <c r="AC507" s="4">
        <v>45657</v>
      </c>
      <c r="AD507" s="9">
        <v>45665</v>
      </c>
      <c r="AE507" s="9">
        <v>45673</v>
      </c>
      <c r="AF507" s="4" t="str">
        <f t="shared" ca="1" si="10"/>
        <v>2024 12</v>
      </c>
      <c r="AG507" s="8" t="str" cm="1">
        <f t="array" ref="AG507">IFERROR(_xlfn.IFS('Banco de Dados'!#REF!="AG. COMPRA","Em processamento",'Banco de Dados'!#REF!="AG. RASTREIO","Em processamento",'Banco de Dados'!$AE507&lt;&gt;"-","Faturado",'Banco de Dados'!$AD507&lt;&gt;"-","Aguardando Pix",'Banco de Dados'!$AC507&lt;&gt;"-","Pendente"),"Aguardando Liberação")</f>
        <v>Aguardando Liberação</v>
      </c>
      <c r="AH507" s="5" t="str">
        <f>IF('Banco de Dados'!$F507="-",_xlfn.CONCAT(PROPER(TEXT(AK507,"aaaa"))," ",PROPER(TEXT(AK507,"mm"))),_xlfn.CONCAT(PROPER(TEXT(E507,"aaaa"))," ",PROPER(TEXT(E507,"mm"))))</f>
        <v>2024 12</v>
      </c>
      <c r="AI507" s="9" t="str">
        <f ca="1">IF('Banco de Dados'!$AK507&lt;&gt;"-","REEMBOLSO",IFERROR(_xlfn.XLOOKUP(G507,Follow[CODRASTREIO],Follow[STATUS]),"-"))</f>
        <v>ENTREGUE</v>
      </c>
      <c r="AJ507" s="9">
        <f ca="1">IF('Banco de Dados'!$AI507="ENTREGUE",_xlfn.XLOOKUP('Banco de Dados'!$G507,Follow[CODRASTREIO],Follow[DATAATUALIZAÇÃO]),"-")</f>
        <v>45642</v>
      </c>
      <c r="AK507" s="9" t="str">
        <f ca="1"/>
        <v>-</v>
      </c>
      <c r="AL507" s="35"/>
      <c r="AM507" s="109" cm="1">
        <f t="array" aca="1" ref="AM507" ca="1">IF('Banco de Dados'!$AK507&lt;&gt;"-",_xlfn.IFS('Banco de Dados'!$A507="bv",IF('Banco de Dados'!$E507&lt;45641,ROUND(SUM('Banco de Dados'!$R507*_xlfn.XLOOKUP('Banco de Dados'!$P507,Sku!B:B,Sku!#REF!)*20%),2),ROUND(SUM('Banco de Dados'!$R507*_xlfn.XLOOKUP('Banco de Dados'!$P507,Sku!B:B,Sku!H:H)*20%),2)),'Banco de Dados'!$A507="GO",ROUND(_xlfn.XLOOKUP('Banco de Dados'!$P507,Sku!C:C,Sku!H:H),2),'Banco de Dados'!$A507="MEI",ROUND(_xlfn.XLOOKUP('Banco de Dados'!$P507,Sku!D:D,Sku!H:H),2)),0)</f>
        <v>0</v>
      </c>
      <c r="AN507" s="109">
        <f ca="1">IF('Banco de Dados'!$AK507&lt;&gt;"-",IF('Banco de Dados'!$F507&lt;&gt;"-",_xlfn.XLOOKUP(IFERROR(IFERROR(IFERROR(VALUE(SUBSTITUTE(MID(_xlfn.TEXTAFTER('Banco de Dados'!$F507,"Data do Pedido:
",1),1,10),"-","/")),VALUE(SUBSTITUTE(MID(_xlfn.TEXTAFTER('Banco de Dados'!$F507,"Order date:
",1),1,10),"-","/"))),VALUE(SUBSTITUTE(MID(_xlfn.TEXTAFTER('Banco de Dados'!$F507,"Fecha de pedido:
",1),1,10),"-","/"))),"-"),SMS!A:A,SMS!K:K),0),0)</f>
        <v>0</v>
      </c>
      <c r="AO507" s="109">
        <f ca="1">IF('Banco de Dados'!$AK507&lt;&gt;"-",IF('Banco de Dados'!$F507&lt;&gt;"-",IFERROR(_xlfn.XLOOKUP(_xlfn.CONCAT('Banco de Dados'!$A507,IFERROR(IFERROR(VALUE(SUBSTITUTE(MID(_xlfn.TEXTAFTER('Banco de Dados'!$F507,"Data do Pedido:
",1),1,10),"-","/")),VALUE(SUBSTITUTE(MID(_xlfn.TEXTAFTER('Banco de Dados'!$F507,"Order date:
",1),1,10),"-","/"))),0)),ProxyDD[Chave],ProxyDD[Valor por pedido]),PROXY!$P$2),0),0)</f>
        <v>0</v>
      </c>
      <c r="AP507" s="28">
        <f ca="1">IF('Banco de Dados'!$AK507&lt;&gt;"-",IF('Banco de Dados'!$AL507="NÃO",IFERROR(VALUE(SUBSTITUTE(_xlfn.TEXTAFTER('Banco de Dados'!$F507,"BRL ",1),".",",")),0),0),0)</f>
        <v>0</v>
      </c>
      <c r="AQ507" s="28">
        <f ca="1">SUM('Banco de Dados'!$AM507:$AP507)</f>
        <v>0</v>
      </c>
      <c r="AR507" s="8"/>
      <c r="AS507" s="8"/>
      <c r="AY507" s="8"/>
    </row>
    <row r="508" spans="1:51">
      <c r="A508" s="5" t="str">
        <v>BV</v>
      </c>
      <c r="B508" s="5" t="str">
        <f ca="1"/>
        <v>BV45629</v>
      </c>
      <c r="C508" s="8" t="str">
        <v>Pedido 496</v>
      </c>
      <c r="D508" s="9">
        <v>45629</v>
      </c>
      <c r="E508" s="9">
        <v>45629</v>
      </c>
      <c r="F508" s="8" t="str">
        <v>PedidoF483</v>
      </c>
      <c r="G508" s="2" t="str">
        <v>CódRastreio482</v>
      </c>
      <c r="H508" s="5">
        <v>1</v>
      </c>
      <c r="I508" s="182" t="str">
        <v>CPF 480</v>
      </c>
      <c r="J508" s="2" t="str">
        <v>Nome 480</v>
      </c>
      <c r="K508" s="8" t="str">
        <v>Tel 480</v>
      </c>
      <c r="L508" s="8" t="str">
        <v>Cep 480</v>
      </c>
      <c r="M508" s="8" t="str">
        <v>Rua 480</v>
      </c>
      <c r="N508" s="8" t="str">
        <v>Comp 480</v>
      </c>
      <c r="O508" s="8" t="str">
        <v>Ventilador Preto</v>
      </c>
      <c r="P508" s="8" t="str">
        <v>MU-J80P-95WF</v>
      </c>
      <c r="Q508" s="4">
        <v>45650</v>
      </c>
      <c r="R508" s="109">
        <v>65.989999999999995</v>
      </c>
      <c r="S508" s="11">
        <f ca="1"/>
        <v>65.989999999999995</v>
      </c>
      <c r="T508" s="28">
        <f ca="1"/>
        <v>8.5786999999999995</v>
      </c>
      <c r="U508" s="11">
        <f ca="1"/>
        <v>57.41</v>
      </c>
      <c r="V508" s="11">
        <v>19.54</v>
      </c>
      <c r="W508" s="11">
        <f ca="1"/>
        <v>0.22</v>
      </c>
      <c r="X508" s="11">
        <f ca="1"/>
        <v>0.39877104377104378</v>
      </c>
      <c r="Y508" s="11">
        <v>0</v>
      </c>
      <c r="Z508" s="11">
        <f ca="1"/>
        <v>37.251228956228957</v>
      </c>
      <c r="AA508" s="11">
        <f ca="1"/>
        <v>18.625614478114478</v>
      </c>
      <c r="AB508" s="4">
        <f ca="1"/>
        <v>45657</v>
      </c>
      <c r="AC508" s="4">
        <v>45657</v>
      </c>
      <c r="AD508" s="9">
        <v>45665</v>
      </c>
      <c r="AE508" s="9">
        <v>45673</v>
      </c>
      <c r="AF508" s="4" t="str">
        <f t="shared" ca="1" si="10"/>
        <v>2024 12</v>
      </c>
      <c r="AG508" s="8" t="str" cm="1">
        <f t="array" ref="AG508">IFERROR(_xlfn.IFS('Banco de Dados'!#REF!="AG. COMPRA","Em processamento",'Banco de Dados'!#REF!="AG. RASTREIO","Em processamento",'Banco de Dados'!$AE508&lt;&gt;"-","Faturado",'Banco de Dados'!$AD508&lt;&gt;"-","Aguardando Pix",'Banco de Dados'!$AC508&lt;&gt;"-","Pendente"),"Aguardando Liberação")</f>
        <v>Aguardando Liberação</v>
      </c>
      <c r="AH508" s="5" t="str">
        <f>IF('Banco de Dados'!$F508="-",_xlfn.CONCAT(PROPER(TEXT(AK508,"aaaa"))," ",PROPER(TEXT(AK508,"mm"))),_xlfn.CONCAT(PROPER(TEXT(E508,"aaaa"))," ",PROPER(TEXT(E508,"mm"))))</f>
        <v>2024 12</v>
      </c>
      <c r="AI508" s="9" t="str">
        <f ca="1">IF('Banco de Dados'!$AK508&lt;&gt;"-","REEMBOLSO",IFERROR(_xlfn.XLOOKUP(G508,Follow[CODRASTREIO],Follow[STATUS]),"-"))</f>
        <v>ENTREGUE</v>
      </c>
      <c r="AJ508" s="9">
        <f ca="1">IF('Banco de Dados'!$AI508="ENTREGUE",_xlfn.XLOOKUP('Banco de Dados'!$G508,Follow[CODRASTREIO],Follow[DATAATUALIZAÇÃO]),"-")</f>
        <v>45639</v>
      </c>
      <c r="AK508" s="9" t="str">
        <f ca="1"/>
        <v>-</v>
      </c>
      <c r="AL508" s="35"/>
      <c r="AM508" s="109" cm="1">
        <f t="array" aca="1" ref="AM508" ca="1">IF('Banco de Dados'!$AK508&lt;&gt;"-",_xlfn.IFS('Banco de Dados'!$A508="bv",IF('Banco de Dados'!$E508&lt;45641,ROUND(SUM('Banco de Dados'!$R508*_xlfn.XLOOKUP('Banco de Dados'!$P508,Sku!B:B,Sku!#REF!)*20%),2),ROUND(SUM('Banco de Dados'!$R508*_xlfn.XLOOKUP('Banco de Dados'!$P508,Sku!B:B,Sku!H:H)*20%),2)),'Banco de Dados'!$A508="GO",ROUND(_xlfn.XLOOKUP('Banco de Dados'!$P508,Sku!C:C,Sku!H:H),2),'Banco de Dados'!$A508="MEI",ROUND(_xlfn.XLOOKUP('Banco de Dados'!$P508,Sku!D:D,Sku!H:H),2)),0)</f>
        <v>0</v>
      </c>
      <c r="AN508" s="109">
        <f ca="1">IF('Banco de Dados'!$AK508&lt;&gt;"-",IF('Banco de Dados'!$F508&lt;&gt;"-",_xlfn.XLOOKUP(IFERROR(IFERROR(IFERROR(VALUE(SUBSTITUTE(MID(_xlfn.TEXTAFTER('Banco de Dados'!$F508,"Data do Pedido:
",1),1,10),"-","/")),VALUE(SUBSTITUTE(MID(_xlfn.TEXTAFTER('Banco de Dados'!$F508,"Order date:
",1),1,10),"-","/"))),VALUE(SUBSTITUTE(MID(_xlfn.TEXTAFTER('Banco de Dados'!$F508,"Fecha de pedido:
",1),1,10),"-","/"))),"-"),SMS!A:A,SMS!K:K),0),0)</f>
        <v>0</v>
      </c>
      <c r="AO508" s="109">
        <f ca="1">IF('Banco de Dados'!$AK508&lt;&gt;"-",IF('Banco de Dados'!$F508&lt;&gt;"-",IFERROR(_xlfn.XLOOKUP(_xlfn.CONCAT('Banco de Dados'!$A508,IFERROR(IFERROR(VALUE(SUBSTITUTE(MID(_xlfn.TEXTAFTER('Banco de Dados'!$F508,"Data do Pedido:
",1),1,10),"-","/")),VALUE(SUBSTITUTE(MID(_xlfn.TEXTAFTER('Banco de Dados'!$F508,"Order date:
",1),1,10),"-","/"))),0)),ProxyDD[Chave],ProxyDD[Valor por pedido]),PROXY!$P$2),0),0)</f>
        <v>0</v>
      </c>
      <c r="AP508" s="28">
        <f ca="1">IF('Banco de Dados'!$AK508&lt;&gt;"-",IF('Banco de Dados'!$AL508="NÃO",IFERROR(VALUE(SUBSTITUTE(_xlfn.TEXTAFTER('Banco de Dados'!$F508,"BRL ",1),".",",")),0),0),0)</f>
        <v>0</v>
      </c>
      <c r="AQ508" s="28">
        <f ca="1">SUM('Banco de Dados'!$AM508:$AP508)</f>
        <v>0</v>
      </c>
      <c r="AR508" s="8"/>
      <c r="AS508" s="8"/>
      <c r="AY508" s="8"/>
    </row>
    <row r="509" spans="1:51">
      <c r="A509" s="5" t="str">
        <v>BV</v>
      </c>
      <c r="B509" s="5" t="str">
        <f ca="1"/>
        <v>BV45629</v>
      </c>
      <c r="C509" s="8" t="str">
        <v>Pedido 497</v>
      </c>
      <c r="D509" s="9">
        <v>45629</v>
      </c>
      <c r="E509" s="9">
        <v>45629</v>
      </c>
      <c r="F509" s="8" t="str">
        <v>PedidoF484</v>
      </c>
      <c r="G509" s="2" t="str">
        <v>CódRastreio483</v>
      </c>
      <c r="H509" s="5">
        <v>1</v>
      </c>
      <c r="I509" s="182" t="str">
        <v>CPF 481</v>
      </c>
      <c r="J509" s="2" t="str">
        <v>Nome 481</v>
      </c>
      <c r="K509" s="8" t="str">
        <v>Tel 481</v>
      </c>
      <c r="L509" s="8" t="str">
        <v>Cep 481</v>
      </c>
      <c r="M509" s="8" t="str">
        <v>Rua 481</v>
      </c>
      <c r="N509" s="8" t="str">
        <v>Comp 481</v>
      </c>
      <c r="O509" s="8" t="str">
        <v>Ventilador Preto</v>
      </c>
      <c r="P509" s="8" t="str">
        <v>MU-J80P-95WF</v>
      </c>
      <c r="Q509" s="4">
        <v>45650</v>
      </c>
      <c r="R509" s="109">
        <v>65.989999999999995</v>
      </c>
      <c r="S509" s="11">
        <f ca="1"/>
        <v>65.989999999999995</v>
      </c>
      <c r="T509" s="28">
        <f ca="1"/>
        <v>8.5786999999999995</v>
      </c>
      <c r="U509" s="11">
        <f ca="1"/>
        <v>57.41</v>
      </c>
      <c r="V509" s="11">
        <v>25.94</v>
      </c>
      <c r="W509" s="11">
        <f ca="1"/>
        <v>0.22</v>
      </c>
      <c r="X509" s="11">
        <f ca="1"/>
        <v>0.39877104377104378</v>
      </c>
      <c r="Y509" s="11">
        <v>0</v>
      </c>
      <c r="Z509" s="11">
        <f ca="1"/>
        <v>30.851228956228951</v>
      </c>
      <c r="AA509" s="11">
        <f ca="1"/>
        <v>15.425614478114476</v>
      </c>
      <c r="AB509" s="4">
        <f ca="1"/>
        <v>45657</v>
      </c>
      <c r="AC509" s="4">
        <v>45657</v>
      </c>
      <c r="AD509" s="9">
        <v>45665</v>
      </c>
      <c r="AE509" s="9">
        <v>45673</v>
      </c>
      <c r="AF509" s="4" t="str">
        <f ca="1">_xlfn.CONCAT(PROPER(TEXT(AB509,"aaaa"))," ",PROPER(TEXT(AB509,"mm")))</f>
        <v>2024 12</v>
      </c>
      <c r="AG509" s="8" t="str" cm="1">
        <f t="array" ref="AG509">IFERROR(_xlfn.IFS('Banco de Dados'!#REF!="AG. COMPRA","Em processamento",'Banco de Dados'!#REF!="AG. RASTREIO","Em processamento",'Banco de Dados'!$AE509&lt;&gt;"-","Faturado",'Banco de Dados'!$AD509&lt;&gt;"-","Aguardando Pix",'Banco de Dados'!$AC509&lt;&gt;"-","Pendente"),"Aguardando Liberação")</f>
        <v>Aguardando Liberação</v>
      </c>
      <c r="AH509" s="5" t="str">
        <f>IF('Banco de Dados'!$F509="-",_xlfn.CONCAT(PROPER(TEXT(AK509,"aaaa"))," ",PROPER(TEXT(AK509,"mm"))),_xlfn.CONCAT(PROPER(TEXT(E509,"aaaa"))," ",PROPER(TEXT(E509,"mm"))))</f>
        <v>2024 12</v>
      </c>
      <c r="AI509" s="9" t="str">
        <f ca="1">IF('Banco de Dados'!$AK509&lt;&gt;"-","REEMBOLSO",IFERROR(_xlfn.XLOOKUP(G509,Follow[CODRASTREIO],Follow[STATUS]),"-"))</f>
        <v>ENTREGUE</v>
      </c>
      <c r="AJ509" s="9">
        <f ca="1">IF('Banco de Dados'!$AI509="ENTREGUE",_xlfn.XLOOKUP('Banco de Dados'!$G509,Follow[CODRASTREIO],Follow[DATAATUALIZAÇÃO]),"-")</f>
        <v>45642</v>
      </c>
      <c r="AK509" s="9" t="str">
        <f ca="1"/>
        <v>-</v>
      </c>
      <c r="AL509" s="35"/>
      <c r="AM509" s="109" cm="1">
        <f t="array" aca="1" ref="AM509" ca="1">IF('Banco de Dados'!$AK509&lt;&gt;"-",_xlfn.IFS('Banco de Dados'!$A509="bv",IF('Banco de Dados'!$E509&lt;45641,ROUND(SUM('Banco de Dados'!$R509*_xlfn.XLOOKUP('Banco de Dados'!$P509,Sku!B:B,Sku!#REF!)*20%),2),ROUND(SUM('Banco de Dados'!$R509*_xlfn.XLOOKUP('Banco de Dados'!$P509,Sku!B:B,Sku!H:H)*20%),2)),'Banco de Dados'!$A509="GO",ROUND(_xlfn.XLOOKUP('Banco de Dados'!$P509,Sku!C:C,Sku!H:H),2),'Banco de Dados'!$A509="MEI",ROUND(_xlfn.XLOOKUP('Banco de Dados'!$P509,Sku!D:D,Sku!H:H),2)),0)</f>
        <v>0</v>
      </c>
      <c r="AN509" s="109">
        <f ca="1">IF('Banco de Dados'!$AK509&lt;&gt;"-",IF('Banco de Dados'!$F509&lt;&gt;"-",_xlfn.XLOOKUP(IFERROR(IFERROR(IFERROR(VALUE(SUBSTITUTE(MID(_xlfn.TEXTAFTER('Banco de Dados'!$F509,"Data do Pedido:
",1),1,10),"-","/")),VALUE(SUBSTITUTE(MID(_xlfn.TEXTAFTER('Banco de Dados'!$F509,"Order date:
",1),1,10),"-","/"))),VALUE(SUBSTITUTE(MID(_xlfn.TEXTAFTER('Banco de Dados'!$F509,"Fecha de pedido:
",1),1,10),"-","/"))),"-"),SMS!A:A,SMS!K:K),0),0)</f>
        <v>0</v>
      </c>
      <c r="AO509" s="109">
        <f ca="1">IF('Banco de Dados'!$AK509&lt;&gt;"-",IF('Banco de Dados'!$F509&lt;&gt;"-",IFERROR(_xlfn.XLOOKUP(_xlfn.CONCAT('Banco de Dados'!$A509,IFERROR(IFERROR(VALUE(SUBSTITUTE(MID(_xlfn.TEXTAFTER('Banco de Dados'!$F509,"Data do Pedido:
",1),1,10),"-","/")),VALUE(SUBSTITUTE(MID(_xlfn.TEXTAFTER('Banco de Dados'!$F509,"Order date:
",1),1,10),"-","/"))),0)),ProxyDD[Chave],ProxyDD[Valor por pedido]),PROXY!$P$2),0),0)</f>
        <v>0</v>
      </c>
      <c r="AP509" s="28">
        <f ca="1">IF('Banco de Dados'!$AK509&lt;&gt;"-",IF('Banco de Dados'!$AL509="NÃO",IFERROR(VALUE(SUBSTITUTE(_xlfn.TEXTAFTER('Banco de Dados'!$F509,"BRL ",1),".",",")),0),0),0)</f>
        <v>0</v>
      </c>
      <c r="AQ509" s="28">
        <f ca="1">SUM('Banco de Dados'!$AM509:$AP509)</f>
        <v>0</v>
      </c>
      <c r="AR509" s="8"/>
      <c r="AS509" s="8"/>
      <c r="AY509" s="8"/>
    </row>
    <row r="510" spans="1:51">
      <c r="A510" s="5" t="str">
        <v>BV</v>
      </c>
      <c r="B510" s="5" t="str">
        <f ca="1"/>
        <v>BV45629</v>
      </c>
      <c r="C510" s="8" t="str">
        <v>Pedido 498</v>
      </c>
      <c r="D510" s="9">
        <v>45629</v>
      </c>
      <c r="E510" s="9">
        <v>45629</v>
      </c>
      <c r="F510" s="8" t="str">
        <v>PedidoF485</v>
      </c>
      <c r="G510" s="2" t="str">
        <v>CódRastreio484</v>
      </c>
      <c r="H510" s="5">
        <v>1</v>
      </c>
      <c r="I510" s="182" t="str">
        <v>CPF 482</v>
      </c>
      <c r="J510" s="2" t="str">
        <v>Nome 482</v>
      </c>
      <c r="K510" s="8" t="str">
        <v>Tel 482</v>
      </c>
      <c r="L510" s="8" t="str">
        <v>Cep 482</v>
      </c>
      <c r="M510" s="8" t="str">
        <v>Rua 482</v>
      </c>
      <c r="N510" s="8" t="str">
        <v>Comp 482</v>
      </c>
      <c r="O510" s="8" t="str">
        <v>Ventilador Preto</v>
      </c>
      <c r="P510" s="8" t="str">
        <v>MU-J80P-95WF</v>
      </c>
      <c r="Q510" s="4">
        <v>45667</v>
      </c>
      <c r="R510" s="109">
        <v>65.989999999999995</v>
      </c>
      <c r="S510" s="11">
        <f ca="1"/>
        <v>65.989999999999995</v>
      </c>
      <c r="T510" s="28">
        <f ca="1"/>
        <v>8.5786999999999995</v>
      </c>
      <c r="U510" s="11">
        <f ca="1"/>
        <v>57.41</v>
      </c>
      <c r="V510" s="11">
        <v>19.54</v>
      </c>
      <c r="W510" s="11">
        <f ca="1"/>
        <v>0.22</v>
      </c>
      <c r="X510" s="11">
        <f ca="1"/>
        <v>0.39877104377104378</v>
      </c>
      <c r="Y510" s="11">
        <v>0</v>
      </c>
      <c r="Z510" s="11">
        <f ca="1"/>
        <v>37.251228956228957</v>
      </c>
      <c r="AA510" s="11">
        <f ca="1"/>
        <v>18.625614478114478</v>
      </c>
      <c r="AB510" s="4">
        <f ca="1"/>
        <v>45674</v>
      </c>
      <c r="AC510" s="4">
        <v>45674</v>
      </c>
      <c r="AD510" s="9">
        <v>45674</v>
      </c>
      <c r="AE510" s="9">
        <v>45694</v>
      </c>
      <c r="AF510" s="4" t="str">
        <f ca="1">_xlfn.CONCAT(PROPER(TEXT(AB510,"aaaa"))," ",PROPER(TEXT(AB510,"mm")))</f>
        <v>2025 01</v>
      </c>
      <c r="AG510" s="8" t="str" cm="1">
        <f t="array" ref="AG510">IFERROR(_xlfn.IFS('Banco de Dados'!#REF!="AG. COMPRA","Em processamento",'Banco de Dados'!#REF!="AG. RASTREIO","Em processamento",'Banco de Dados'!$AE510&lt;&gt;"-","Faturado",'Banco de Dados'!$AD510&lt;&gt;"-","Aguardando Pix",'Banco de Dados'!$AC510&lt;&gt;"-","Pendente"),"Aguardando Liberação")</f>
        <v>Aguardando Liberação</v>
      </c>
      <c r="AH510" s="5" t="str">
        <f>IF('Banco de Dados'!$F510="-",_xlfn.CONCAT(PROPER(TEXT(AK510,"aaaa"))," ",PROPER(TEXT(AK510,"mm"))),_xlfn.CONCAT(PROPER(TEXT(E510,"aaaa"))," ",PROPER(TEXT(E510,"mm"))))</f>
        <v>2024 12</v>
      </c>
      <c r="AI510" s="9" t="str">
        <f ca="1">IF('Banco de Dados'!$AK510&lt;&gt;"-","REEMBOLSO",IFERROR(_xlfn.XLOOKUP(G510,Follow[CODRASTREIO],Follow[STATUS]),"-"))</f>
        <v>ENTREGUE</v>
      </c>
      <c r="AJ510" s="9">
        <f ca="1">IF('Banco de Dados'!$AI510="ENTREGUE",_xlfn.XLOOKUP('Banco de Dados'!$G510,Follow[CODRASTREIO],Follow[DATAATUALIZAÇÃO]),"-")</f>
        <v>45652</v>
      </c>
      <c r="AK510" s="9" t="str">
        <f ca="1"/>
        <v>-</v>
      </c>
      <c r="AL510" s="35"/>
      <c r="AM510" s="109" cm="1">
        <f t="array" aca="1" ref="AM510" ca="1">IF('Banco de Dados'!$AK510&lt;&gt;"-",_xlfn.IFS('Banco de Dados'!$A510="bv",IF('Banco de Dados'!$E510&lt;45641,ROUND(SUM('Banco de Dados'!$R510*_xlfn.XLOOKUP('Banco de Dados'!$P510,Sku!B:B,Sku!#REF!)*20%),2),ROUND(SUM('Banco de Dados'!$R510*_xlfn.XLOOKUP('Banco de Dados'!$P510,Sku!B:B,Sku!H:H)*20%),2)),'Banco de Dados'!$A510="GO",ROUND(_xlfn.XLOOKUP('Banco de Dados'!$P510,Sku!C:C,Sku!H:H),2),'Banco de Dados'!$A510="MEI",ROUND(_xlfn.XLOOKUP('Banco de Dados'!$P510,Sku!D:D,Sku!H:H),2)),0)</f>
        <v>0</v>
      </c>
      <c r="AN510" s="109">
        <f ca="1">IF('Banco de Dados'!$AK510&lt;&gt;"-",IF('Banco de Dados'!$F510&lt;&gt;"-",_xlfn.XLOOKUP(IFERROR(IFERROR(IFERROR(VALUE(SUBSTITUTE(MID(_xlfn.TEXTAFTER('Banco de Dados'!$F510,"Data do Pedido:
",1),1,10),"-","/")),VALUE(SUBSTITUTE(MID(_xlfn.TEXTAFTER('Banco de Dados'!$F510,"Order date:
",1),1,10),"-","/"))),VALUE(SUBSTITUTE(MID(_xlfn.TEXTAFTER('Banco de Dados'!$F510,"Fecha de pedido:
",1),1,10),"-","/"))),"-"),SMS!A:A,SMS!K:K),0),0)</f>
        <v>0</v>
      </c>
      <c r="AO510" s="109">
        <f ca="1">IF('Banco de Dados'!$AK510&lt;&gt;"-",IF('Banco de Dados'!$F510&lt;&gt;"-",IFERROR(_xlfn.XLOOKUP(_xlfn.CONCAT('Banco de Dados'!$A510,IFERROR(IFERROR(VALUE(SUBSTITUTE(MID(_xlfn.TEXTAFTER('Banco de Dados'!$F510,"Data do Pedido:
",1),1,10),"-","/")),VALUE(SUBSTITUTE(MID(_xlfn.TEXTAFTER('Banco de Dados'!$F510,"Order date:
",1),1,10),"-","/"))),0)),ProxyDD[Chave],ProxyDD[Valor por pedido]),PROXY!$P$2),0),0)</f>
        <v>0</v>
      </c>
      <c r="AP510" s="28">
        <f ca="1">IF('Banco de Dados'!$AK510&lt;&gt;"-",IF('Banco de Dados'!$AL510="NÃO",IFERROR(VALUE(SUBSTITUTE(_xlfn.TEXTAFTER('Banco de Dados'!$F510,"BRL ",1),".",",")),0),0),0)</f>
        <v>0</v>
      </c>
      <c r="AQ510" s="28">
        <f ca="1">SUM('Banco de Dados'!$AM510:$AP510)</f>
        <v>0</v>
      </c>
      <c r="AR510" s="8"/>
      <c r="AS510" s="8"/>
      <c r="AY510" s="8"/>
    </row>
    <row r="511" spans="1:51">
      <c r="A511" s="5" t="str">
        <v>BV</v>
      </c>
      <c r="B511" s="5" t="str">
        <f ca="1"/>
        <v>BV45629</v>
      </c>
      <c r="C511" s="8" t="str">
        <v>Pedido 499</v>
      </c>
      <c r="D511" s="9">
        <v>45629</v>
      </c>
      <c r="E511" s="9">
        <v>45629</v>
      </c>
      <c r="F511" s="8" t="str">
        <v>PedidoF486</v>
      </c>
      <c r="G511" s="2" t="str">
        <v>CódRastreio485</v>
      </c>
      <c r="H511" s="5">
        <v>1</v>
      </c>
      <c r="I511" s="182" t="str">
        <v>CPF 483</v>
      </c>
      <c r="J511" s="2" t="str">
        <v>Nome 483</v>
      </c>
      <c r="K511" s="8" t="str">
        <v>Tel 483</v>
      </c>
      <c r="L511" s="8" t="str">
        <v>Cep 483</v>
      </c>
      <c r="M511" s="8" t="str">
        <v>Rua 483</v>
      </c>
      <c r="N511" s="8" t="str">
        <v>Comp 483</v>
      </c>
      <c r="O511" s="8" t="str">
        <v>Ventilador Rosa</v>
      </c>
      <c r="P511" s="8" t="str">
        <v>IF-G2ZQ-79FO</v>
      </c>
      <c r="Q511" s="4">
        <v>45660</v>
      </c>
      <c r="R511" s="109">
        <v>65.900000000000006</v>
      </c>
      <c r="S511" s="11">
        <f ca="1"/>
        <v>65.900000000000006</v>
      </c>
      <c r="T511" s="28">
        <f ca="1"/>
        <v>8.5670000000000002</v>
      </c>
      <c r="U511" s="11">
        <f ca="1"/>
        <v>57.33</v>
      </c>
      <c r="V511" s="11">
        <v>26.11</v>
      </c>
      <c r="W511" s="11">
        <f ca="1"/>
        <v>0.22</v>
      </c>
      <c r="X511" s="11">
        <f ca="1"/>
        <v>0.39877104377104378</v>
      </c>
      <c r="Y511" s="11">
        <v>0</v>
      </c>
      <c r="Z511" s="11">
        <f ca="1"/>
        <v>30.601228956228955</v>
      </c>
      <c r="AA511" s="11">
        <f ca="1"/>
        <v>15.300614478114477</v>
      </c>
      <c r="AB511" s="4">
        <f ca="1"/>
        <v>45667</v>
      </c>
      <c r="AC511" s="4">
        <v>45667</v>
      </c>
      <c r="AD511" s="9">
        <v>45673</v>
      </c>
      <c r="AE511" s="9">
        <v>45673</v>
      </c>
      <c r="AF511" s="4" t="str">
        <f ca="1">_xlfn.CONCAT(PROPER(TEXT(AB511,"aaaa"))," ",PROPER(TEXT(AB511,"mm")))</f>
        <v>2025 01</v>
      </c>
      <c r="AG511" s="8" t="str" cm="1">
        <f t="array" ref="AG511">IFERROR(_xlfn.IFS('Banco de Dados'!#REF!="AG. COMPRA","Em processamento",'Banco de Dados'!#REF!="AG. RASTREIO","Em processamento",'Banco de Dados'!$AE511&lt;&gt;"-","Faturado",'Banco de Dados'!$AD511&lt;&gt;"-","Aguardando Pix",'Banco de Dados'!$AC511&lt;&gt;"-","Pendente"),"Aguardando Liberação")</f>
        <v>Aguardando Liberação</v>
      </c>
      <c r="AH511" s="5" t="str">
        <f>IF('Banco de Dados'!$F511="-",_xlfn.CONCAT(PROPER(TEXT(AK511,"aaaa"))," ",PROPER(TEXT(AK511,"mm"))),_xlfn.CONCAT(PROPER(TEXT(E511,"aaaa"))," ",PROPER(TEXT(E511,"mm"))))</f>
        <v>2024 12</v>
      </c>
      <c r="AI511" s="9" t="str">
        <f ca="1">IF('Banco de Dados'!$AK511&lt;&gt;"-","REEMBOLSO",IFERROR(_xlfn.XLOOKUP(G511,Follow[CODRASTREIO],Follow[STATUS]),"-"))</f>
        <v>ENTREGUE</v>
      </c>
      <c r="AJ511" s="9">
        <f ca="1">IF('Banco de Dados'!$AI511="ENTREGUE",_xlfn.XLOOKUP('Banco de Dados'!$G511,Follow[CODRASTREIO],Follow[DATAATUALIZAÇÃO]),"-")</f>
        <v>45649</v>
      </c>
      <c r="AK511" s="9" t="str">
        <f ca="1"/>
        <v>-</v>
      </c>
      <c r="AL511" s="35"/>
      <c r="AM511" s="109" cm="1">
        <f t="array" aca="1" ref="AM511" ca="1">IF('Banco de Dados'!$AK511&lt;&gt;"-",_xlfn.IFS('Banco de Dados'!$A511="bv",IF('Banco de Dados'!$E511&lt;45641,ROUND(SUM('Banco de Dados'!$R511*_xlfn.XLOOKUP('Banco de Dados'!$P511,Sku!B:B,Sku!#REF!)*20%),2),ROUND(SUM('Banco de Dados'!$R511*_xlfn.XLOOKUP('Banco de Dados'!$P511,Sku!B:B,Sku!H:H)*20%),2)),'Banco de Dados'!$A511="GO",ROUND(_xlfn.XLOOKUP('Banco de Dados'!$P511,Sku!C:C,Sku!H:H),2),'Banco de Dados'!$A511="MEI",ROUND(_xlfn.XLOOKUP('Banco de Dados'!$P511,Sku!D:D,Sku!H:H),2)),0)</f>
        <v>0</v>
      </c>
      <c r="AN511" s="109">
        <f ca="1">IF('Banco de Dados'!$AK511&lt;&gt;"-",IF('Banco de Dados'!$F511&lt;&gt;"-",_xlfn.XLOOKUP(IFERROR(IFERROR(IFERROR(VALUE(SUBSTITUTE(MID(_xlfn.TEXTAFTER('Banco de Dados'!$F511,"Data do Pedido:
",1),1,10),"-","/")),VALUE(SUBSTITUTE(MID(_xlfn.TEXTAFTER('Banco de Dados'!$F511,"Order date:
",1),1,10),"-","/"))),VALUE(SUBSTITUTE(MID(_xlfn.TEXTAFTER('Banco de Dados'!$F511,"Fecha de pedido:
",1),1,10),"-","/"))),"-"),SMS!A:A,SMS!K:K),0),0)</f>
        <v>0</v>
      </c>
      <c r="AO511" s="109">
        <f ca="1">IF('Banco de Dados'!$AK511&lt;&gt;"-",IF('Banco de Dados'!$F511&lt;&gt;"-",IFERROR(_xlfn.XLOOKUP(_xlfn.CONCAT('Banco de Dados'!$A511,IFERROR(IFERROR(VALUE(SUBSTITUTE(MID(_xlfn.TEXTAFTER('Banco de Dados'!$F511,"Data do Pedido:
",1),1,10),"-","/")),VALUE(SUBSTITUTE(MID(_xlfn.TEXTAFTER('Banco de Dados'!$F511,"Order date:
",1),1,10),"-","/"))),0)),ProxyDD[Chave],ProxyDD[Valor por pedido]),PROXY!$P$2),0),0)</f>
        <v>0</v>
      </c>
      <c r="AP511" s="28">
        <f ca="1">IF('Banco de Dados'!$AK511&lt;&gt;"-",IF('Banco de Dados'!$AL511="NÃO",IFERROR(VALUE(SUBSTITUTE(_xlfn.TEXTAFTER('Banco de Dados'!$F511,"BRL ",1),".",",")),0),0),0)</f>
        <v>0</v>
      </c>
      <c r="AQ511" s="28">
        <f ca="1">SUM('Banco de Dados'!$AM511:$AP511)</f>
        <v>0</v>
      </c>
      <c r="AR511" s="8"/>
      <c r="AS511" s="8"/>
      <c r="AY511" s="8"/>
    </row>
    <row r="512" spans="1:51">
      <c r="A512" s="5" t="str">
        <v>BV</v>
      </c>
      <c r="B512" s="5" t="str">
        <f ca="1"/>
        <v>BV45629</v>
      </c>
      <c r="C512" s="8" t="str">
        <v>Pedido 500</v>
      </c>
      <c r="D512" s="9">
        <v>45629</v>
      </c>
      <c r="E512" s="9">
        <v>45629</v>
      </c>
      <c r="F512" s="8" t="str">
        <v>PedidoF487</v>
      </c>
      <c r="G512" s="2" t="str">
        <v>CódRastreio486</v>
      </c>
      <c r="H512" s="5">
        <v>1</v>
      </c>
      <c r="I512" s="182" t="str">
        <v>CPF 484</v>
      </c>
      <c r="J512" s="2" t="str">
        <v>Nome 484</v>
      </c>
      <c r="K512" s="8" t="str">
        <v>Tel 484</v>
      </c>
      <c r="L512" s="8" t="str">
        <v>Cep 484</v>
      </c>
      <c r="M512" s="8" t="str">
        <v>Rua 484</v>
      </c>
      <c r="N512" s="8" t="str">
        <v>Comp 484</v>
      </c>
      <c r="O512" s="8" t="str">
        <v>Ventilador Azul</v>
      </c>
      <c r="P512" s="8" t="str">
        <v>U8-2VWS-OB6M</v>
      </c>
      <c r="Q512" s="4">
        <v>45650</v>
      </c>
      <c r="R512" s="109">
        <v>65.989999999999995</v>
      </c>
      <c r="S512" s="11">
        <f ca="1"/>
        <v>65.989999999999995</v>
      </c>
      <c r="T512" s="28">
        <f ca="1"/>
        <v>8.5786999999999995</v>
      </c>
      <c r="U512" s="11">
        <f ca="1"/>
        <v>57.41</v>
      </c>
      <c r="V512" s="11">
        <v>25.87</v>
      </c>
      <c r="W512" s="11">
        <f ca="1"/>
        <v>0.22</v>
      </c>
      <c r="X512" s="11">
        <f ca="1"/>
        <v>0.39877104377104378</v>
      </c>
      <c r="Y512" s="11">
        <v>0</v>
      </c>
      <c r="Z512" s="11">
        <f ca="1"/>
        <v>30.921228956228951</v>
      </c>
      <c r="AA512" s="11">
        <f ca="1"/>
        <v>15.460614478114476</v>
      </c>
      <c r="AB512" s="4">
        <f ca="1"/>
        <v>45657</v>
      </c>
      <c r="AC512" s="4">
        <v>45657</v>
      </c>
      <c r="AD512" s="9">
        <v>45665</v>
      </c>
      <c r="AE512" s="9">
        <v>45673</v>
      </c>
      <c r="AF512" s="4" t="str">
        <f ca="1">_xlfn.CONCAT(PROPER(TEXT(AB512,"aaaa"))," ",PROPER(TEXT(AB512,"mm")))</f>
        <v>2024 12</v>
      </c>
      <c r="AG512" s="8" t="str" cm="1">
        <f t="array" ref="AG512">IFERROR(_xlfn.IFS('Banco de Dados'!#REF!="AG. COMPRA","Em processamento",'Banco de Dados'!#REF!="AG. RASTREIO","Em processamento",'Banco de Dados'!$AE512&lt;&gt;"-","Faturado",'Banco de Dados'!$AD512&lt;&gt;"-","Aguardando Pix",'Banco de Dados'!$AC512&lt;&gt;"-","Pendente"),"Aguardando Liberação")</f>
        <v>Aguardando Liberação</v>
      </c>
      <c r="AH512" s="5" t="str">
        <f>IF('Banco de Dados'!$F512="-",_xlfn.CONCAT(PROPER(TEXT(AK512,"aaaa"))," ",PROPER(TEXT(AK512,"mm"))),_xlfn.CONCAT(PROPER(TEXT(E512,"aaaa"))," ",PROPER(TEXT(E512,"mm"))))</f>
        <v>2024 12</v>
      </c>
      <c r="AI512" s="9" t="str">
        <f ca="1">IF('Banco de Dados'!$AK512&lt;&gt;"-","REEMBOLSO",IFERROR(_xlfn.XLOOKUP(G512,Follow[CODRASTREIO],Follow[STATUS]),"-"))</f>
        <v>ENTREGUE</v>
      </c>
      <c r="AJ512" s="9">
        <f ca="1">IF('Banco de Dados'!$AI512="ENTREGUE",_xlfn.XLOOKUP('Banco de Dados'!$G512,Follow[CODRASTREIO],Follow[DATAATUALIZAÇÃO]),"-")</f>
        <v>45645</v>
      </c>
      <c r="AK512" s="9" t="str">
        <f ca="1"/>
        <v>-</v>
      </c>
      <c r="AL512" s="35"/>
      <c r="AM512" s="109" cm="1">
        <f t="array" aca="1" ref="AM512" ca="1">IF('Banco de Dados'!$AK512&lt;&gt;"-",_xlfn.IFS('Banco de Dados'!$A512="bv",IF('Banco de Dados'!$E512&lt;45641,ROUND(SUM('Banco de Dados'!$R512*_xlfn.XLOOKUP('Banco de Dados'!$P512,Sku!B:B,Sku!#REF!)*20%),2),ROUND(SUM('Banco de Dados'!$R512*_xlfn.XLOOKUP('Banco de Dados'!$P512,Sku!B:B,Sku!H:H)*20%),2)),'Banco de Dados'!$A512="GO",ROUND(_xlfn.XLOOKUP('Banco de Dados'!$P512,Sku!C:C,Sku!H:H),2),'Banco de Dados'!$A512="MEI",ROUND(_xlfn.XLOOKUP('Banco de Dados'!$P512,Sku!D:D,Sku!H:H),2)),0)</f>
        <v>0</v>
      </c>
      <c r="AN512" s="109">
        <f ca="1">IF('Banco de Dados'!$AK512&lt;&gt;"-",IF('Banco de Dados'!$F512&lt;&gt;"-",_xlfn.XLOOKUP(IFERROR(IFERROR(IFERROR(VALUE(SUBSTITUTE(MID(_xlfn.TEXTAFTER('Banco de Dados'!$F512,"Data do Pedido:
",1),1,10),"-","/")),VALUE(SUBSTITUTE(MID(_xlfn.TEXTAFTER('Banco de Dados'!$F512,"Order date:
",1),1,10),"-","/"))),VALUE(SUBSTITUTE(MID(_xlfn.TEXTAFTER('Banco de Dados'!$F512,"Fecha de pedido:
",1),1,10),"-","/"))),"-"),SMS!A:A,SMS!K:K),0),0)</f>
        <v>0</v>
      </c>
      <c r="AO512" s="109">
        <f ca="1">IF('Banco de Dados'!$AK512&lt;&gt;"-",IF('Banco de Dados'!$F512&lt;&gt;"-",IFERROR(_xlfn.XLOOKUP(_xlfn.CONCAT('Banco de Dados'!$A512,IFERROR(IFERROR(VALUE(SUBSTITUTE(MID(_xlfn.TEXTAFTER('Banco de Dados'!$F512,"Data do Pedido:
",1),1,10),"-","/")),VALUE(SUBSTITUTE(MID(_xlfn.TEXTAFTER('Banco de Dados'!$F512,"Order date:
",1),1,10),"-","/"))),0)),ProxyDD[Chave],ProxyDD[Valor por pedido]),PROXY!$P$2),0),0)</f>
        <v>0</v>
      </c>
      <c r="AP512" s="28">
        <f ca="1">IF('Banco de Dados'!$AK512&lt;&gt;"-",IF('Banco de Dados'!$AL512="NÃO",IFERROR(VALUE(SUBSTITUTE(_xlfn.TEXTAFTER('Banco de Dados'!$F512,"BRL ",1),".",",")),0),0),0)</f>
        <v>0</v>
      </c>
      <c r="AQ512" s="28">
        <f ca="1">SUM('Banco de Dados'!$AM512:$AP512)</f>
        <v>0</v>
      </c>
      <c r="AR512" s="8"/>
      <c r="AS512" s="8"/>
      <c r="AY512" s="8"/>
    </row>
    <row r="513" spans="1:51">
      <c r="A513" s="5" t="str">
        <v>BV</v>
      </c>
      <c r="B513" s="5" t="str">
        <f ca="1"/>
        <v>BV45630</v>
      </c>
      <c r="C513" s="8" t="str">
        <v>Pedido 501</v>
      </c>
      <c r="D513" s="9">
        <v>45630</v>
      </c>
      <c r="E513" s="9">
        <v>45630</v>
      </c>
      <c r="F513" s="8" t="str">
        <v>PedidoF488</v>
      </c>
      <c r="G513" s="2" t="str">
        <v>CódRastreio487</v>
      </c>
      <c r="H513" s="5">
        <v>1</v>
      </c>
      <c r="I513" s="182" t="str">
        <v>CPF 485</v>
      </c>
      <c r="J513" s="2" t="str">
        <v>Nome 485</v>
      </c>
      <c r="K513" s="8" t="str">
        <v>Tel 485</v>
      </c>
      <c r="L513" s="8" t="str">
        <v>Cep 485</v>
      </c>
      <c r="M513" s="8" t="str">
        <v>Rua 485</v>
      </c>
      <c r="N513" s="8" t="str">
        <v>Comp 485</v>
      </c>
      <c r="O513" s="8" t="str">
        <v>Ventilador Rosa</v>
      </c>
      <c r="P513" s="8" t="str">
        <v>IF-G2ZQ-79FO</v>
      </c>
      <c r="Q513" s="4">
        <v>45661</v>
      </c>
      <c r="R513" s="109">
        <v>65.900000000000006</v>
      </c>
      <c r="S513" s="11">
        <f ca="1"/>
        <v>65.900000000000006</v>
      </c>
      <c r="T513" s="28">
        <f ca="1"/>
        <v>8.5670000000000002</v>
      </c>
      <c r="U513" s="11">
        <f ca="1"/>
        <v>57.33</v>
      </c>
      <c r="V513" s="11">
        <v>21.95</v>
      </c>
      <c r="W513" s="11">
        <f ca="1"/>
        <v>0.08</v>
      </c>
      <c r="X513" s="11">
        <f ca="1"/>
        <v>0.39877104377104378</v>
      </c>
      <c r="Y513" s="11">
        <v>0</v>
      </c>
      <c r="Z513" s="11">
        <f ca="1"/>
        <v>34.901228956228955</v>
      </c>
      <c r="AA513" s="11">
        <f ca="1"/>
        <v>17.450614478114478</v>
      </c>
      <c r="AB513" s="4">
        <f ca="1"/>
        <v>45668</v>
      </c>
      <c r="AC513" s="4">
        <v>45668</v>
      </c>
      <c r="AD513" s="9">
        <v>45673</v>
      </c>
      <c r="AE513" s="9">
        <v>45673</v>
      </c>
      <c r="AF513" s="4" t="str">
        <f t="shared" ref="AF513:AF519" ca="1" si="11">_xlfn.CONCAT(PROPER(TEXT(AB513,"aaaa"))," ",PROPER(TEXT(AB513,"mm")))</f>
        <v>2025 01</v>
      </c>
      <c r="AG513" s="8" t="str" cm="1">
        <f t="array" ref="AG513">IFERROR(_xlfn.IFS('Banco de Dados'!#REF!="AG. COMPRA","Em processamento",'Banco de Dados'!#REF!="AG. RASTREIO","Em processamento",'Banco de Dados'!$AE513&lt;&gt;"-","Faturado",'Banco de Dados'!$AD513&lt;&gt;"-","Aguardando Pix",'Banco de Dados'!$AC513&lt;&gt;"-","Pendente"),"Aguardando Liberação")</f>
        <v>Aguardando Liberação</v>
      </c>
      <c r="AH513" s="5" t="str">
        <f>IF('Banco de Dados'!$F513="-",_xlfn.CONCAT(PROPER(TEXT(AK513,"aaaa"))," ",PROPER(TEXT(AK513,"mm"))),_xlfn.CONCAT(PROPER(TEXT(E513,"aaaa"))," ",PROPER(TEXT(E513,"mm"))))</f>
        <v>2024 12</v>
      </c>
      <c r="AI513" s="9" t="str">
        <f ca="1">IF('Banco de Dados'!$AK513&lt;&gt;"-","REEMBOLSO",IFERROR(_xlfn.XLOOKUP(G513,Follow[CODRASTREIO],Follow[STATUS]),"-"))</f>
        <v>ENTREGUE</v>
      </c>
      <c r="AJ513" s="9">
        <f ca="1">IF('Banco de Dados'!$AI513="ENTREGUE",_xlfn.XLOOKUP('Banco de Dados'!$G513,Follow[CODRASTREIO],Follow[DATAATUALIZAÇÃO]),"-")</f>
        <v>45642</v>
      </c>
      <c r="AK513" s="9" t="str">
        <f ca="1"/>
        <v>-</v>
      </c>
      <c r="AL513" s="35"/>
      <c r="AM513" s="109" cm="1">
        <f t="array" aca="1" ref="AM513" ca="1">IF('Banco de Dados'!$AK513&lt;&gt;"-",_xlfn.IFS('Banco de Dados'!$A513="bv",IF('Banco de Dados'!$E513&lt;45641,ROUND(SUM('Banco de Dados'!$R513*_xlfn.XLOOKUP('Banco de Dados'!$P513,Sku!B:B,Sku!#REF!)*20%),2),ROUND(SUM('Banco de Dados'!$R513*_xlfn.XLOOKUP('Banco de Dados'!$P513,Sku!B:B,Sku!H:H)*20%),2)),'Banco de Dados'!$A513="GO",ROUND(_xlfn.XLOOKUP('Banco de Dados'!$P513,Sku!C:C,Sku!H:H),2),'Banco de Dados'!$A513="MEI",ROUND(_xlfn.XLOOKUP('Banco de Dados'!$P513,Sku!D:D,Sku!H:H),2)),0)</f>
        <v>0</v>
      </c>
      <c r="AN513" s="109">
        <f ca="1">IF('Banco de Dados'!$AK513&lt;&gt;"-",IF('Banco de Dados'!$F513&lt;&gt;"-",_xlfn.XLOOKUP(IFERROR(IFERROR(IFERROR(VALUE(SUBSTITUTE(MID(_xlfn.TEXTAFTER('Banco de Dados'!$F513,"Data do Pedido:
",1),1,10),"-","/")),VALUE(SUBSTITUTE(MID(_xlfn.TEXTAFTER('Banco de Dados'!$F513,"Order date:
",1),1,10),"-","/"))),VALUE(SUBSTITUTE(MID(_xlfn.TEXTAFTER('Banco de Dados'!$F513,"Fecha de pedido:
",1),1,10),"-","/"))),"-"),SMS!A:A,SMS!K:K),0),0)</f>
        <v>0</v>
      </c>
      <c r="AO513" s="109">
        <f ca="1">IF('Banco de Dados'!$AK513&lt;&gt;"-",IF('Banco de Dados'!$F513&lt;&gt;"-",IFERROR(_xlfn.XLOOKUP(_xlfn.CONCAT('Banco de Dados'!$A513,IFERROR(IFERROR(VALUE(SUBSTITUTE(MID(_xlfn.TEXTAFTER('Banco de Dados'!$F513,"Data do Pedido:
",1),1,10),"-","/")),VALUE(SUBSTITUTE(MID(_xlfn.TEXTAFTER('Banco de Dados'!$F513,"Order date:
",1),1,10),"-","/"))),0)),ProxyDD[Chave],ProxyDD[Valor por pedido]),PROXY!$P$2),0),0)</f>
        <v>0</v>
      </c>
      <c r="AP513" s="28">
        <f ca="1">IF('Banco de Dados'!$AK513&lt;&gt;"-",IF('Banco de Dados'!$AL513="NÃO",IFERROR(VALUE(SUBSTITUTE(_xlfn.TEXTAFTER('Banco de Dados'!$F513,"BRL ",1),".",",")),0),0),0)</f>
        <v>0</v>
      </c>
      <c r="AQ513" s="28">
        <f ca="1">SUM('Banco de Dados'!$AM513:$AP513)</f>
        <v>0</v>
      </c>
      <c r="AR513" s="8"/>
      <c r="AS513" s="8"/>
      <c r="AY513" s="8"/>
    </row>
    <row r="514" spans="1:51">
      <c r="A514" s="5" t="str">
        <v>BV</v>
      </c>
      <c r="B514" s="5" t="str">
        <f ca="1"/>
        <v>BV45630</v>
      </c>
      <c r="C514" s="8" t="str">
        <v>Pedido 502</v>
      </c>
      <c r="D514" s="9">
        <v>45630</v>
      </c>
      <c r="E514" s="9">
        <v>45630</v>
      </c>
      <c r="F514" s="8" t="str">
        <v>PedidoF489</v>
      </c>
      <c r="G514" s="2" t="str">
        <v>CódRastreio488</v>
      </c>
      <c r="H514" s="5">
        <v>1</v>
      </c>
      <c r="I514" s="182" t="str">
        <v>CPF 486</v>
      </c>
      <c r="J514" s="2" t="str">
        <v>Nome 486</v>
      </c>
      <c r="K514" s="8" t="str">
        <v>Tel 486</v>
      </c>
      <c r="L514" s="8" t="str">
        <v>Cep 486</v>
      </c>
      <c r="M514" s="8" t="str">
        <v>Rua 486</v>
      </c>
      <c r="N514" s="8" t="str">
        <v>Comp 486</v>
      </c>
      <c r="O514" s="8" t="str">
        <v>Ventilador Preto</v>
      </c>
      <c r="P514" s="8" t="str">
        <v>MU-J80P-95WF</v>
      </c>
      <c r="Q514" s="4">
        <v>45653</v>
      </c>
      <c r="R514" s="109">
        <v>65.989999999999995</v>
      </c>
      <c r="S514" s="11">
        <f ca="1"/>
        <v>65.989999999999995</v>
      </c>
      <c r="T514" s="28">
        <f ca="1"/>
        <v>8.5786999999999995</v>
      </c>
      <c r="U514" s="11">
        <f ca="1"/>
        <v>57.41</v>
      </c>
      <c r="V514" s="11">
        <v>22.53</v>
      </c>
      <c r="W514" s="11">
        <f ca="1"/>
        <v>0.08</v>
      </c>
      <c r="X514" s="11">
        <f ca="1"/>
        <v>0.39877104377104378</v>
      </c>
      <c r="Y514" s="11">
        <v>0</v>
      </c>
      <c r="Z514" s="11">
        <f ca="1"/>
        <v>34.401228956228948</v>
      </c>
      <c r="AA514" s="11">
        <f ca="1"/>
        <v>17.200614478114474</v>
      </c>
      <c r="AB514" s="4">
        <f ca="1"/>
        <v>45660</v>
      </c>
      <c r="AC514" s="4">
        <v>45660</v>
      </c>
      <c r="AD514" s="9">
        <v>45665</v>
      </c>
      <c r="AE514" s="9">
        <v>45673</v>
      </c>
      <c r="AF514" s="4" t="str">
        <f t="shared" ca="1" si="11"/>
        <v>2025 01</v>
      </c>
      <c r="AG514" s="8" t="str" cm="1">
        <f t="array" ref="AG514">IFERROR(_xlfn.IFS('Banco de Dados'!#REF!="AG. COMPRA","Em processamento",'Banco de Dados'!#REF!="AG. RASTREIO","Em processamento",'Banco de Dados'!$AE514&lt;&gt;"-","Faturado",'Banco de Dados'!$AD514&lt;&gt;"-","Aguardando Pix",'Banco de Dados'!$AC514&lt;&gt;"-","Pendente"),"Aguardando Liberação")</f>
        <v>Aguardando Liberação</v>
      </c>
      <c r="AH514" s="5" t="str">
        <f>IF('Banco de Dados'!$F514="-",_xlfn.CONCAT(PROPER(TEXT(AK514,"aaaa"))," ",PROPER(TEXT(AK514,"mm"))),_xlfn.CONCAT(PROPER(TEXT(E514,"aaaa"))," ",PROPER(TEXT(E514,"mm"))))</f>
        <v>2024 12</v>
      </c>
      <c r="AI514" s="9" t="str">
        <f ca="1">IF('Banco de Dados'!$AK514&lt;&gt;"-","REEMBOLSO",IFERROR(_xlfn.XLOOKUP(G514,Follow[CODRASTREIO],Follow[STATUS]),"-"))</f>
        <v>ENTREGUE</v>
      </c>
      <c r="AJ514" s="9">
        <f ca="1">IF('Banco de Dados'!$AI514="ENTREGUE",_xlfn.XLOOKUP('Banco de Dados'!$G514,Follow[CODRASTREIO],Follow[DATAATUALIZAÇÃO]),"-")</f>
        <v>45639</v>
      </c>
      <c r="AK514" s="9" t="str">
        <f ca="1"/>
        <v>-</v>
      </c>
      <c r="AL514" s="35"/>
      <c r="AM514" s="109" cm="1">
        <f t="array" aca="1" ref="AM514" ca="1">IF('Banco de Dados'!$AK514&lt;&gt;"-",_xlfn.IFS('Banco de Dados'!$A514="bv",IF('Banco de Dados'!$E514&lt;45641,ROUND(SUM('Banco de Dados'!$R514*_xlfn.XLOOKUP('Banco de Dados'!$P514,Sku!B:B,Sku!#REF!)*20%),2),ROUND(SUM('Banco de Dados'!$R514*_xlfn.XLOOKUP('Banco de Dados'!$P514,Sku!B:B,Sku!H:H)*20%),2)),'Banco de Dados'!$A514="GO",ROUND(_xlfn.XLOOKUP('Banco de Dados'!$P514,Sku!C:C,Sku!H:H),2),'Banco de Dados'!$A514="MEI",ROUND(_xlfn.XLOOKUP('Banco de Dados'!$P514,Sku!D:D,Sku!H:H),2)),0)</f>
        <v>0</v>
      </c>
      <c r="AN514" s="109">
        <f ca="1">IF('Banco de Dados'!$AK514&lt;&gt;"-",IF('Banco de Dados'!$F514&lt;&gt;"-",_xlfn.XLOOKUP(IFERROR(IFERROR(IFERROR(VALUE(SUBSTITUTE(MID(_xlfn.TEXTAFTER('Banco de Dados'!$F514,"Data do Pedido:
",1),1,10),"-","/")),VALUE(SUBSTITUTE(MID(_xlfn.TEXTAFTER('Banco de Dados'!$F514,"Order date:
",1),1,10),"-","/"))),VALUE(SUBSTITUTE(MID(_xlfn.TEXTAFTER('Banco de Dados'!$F514,"Fecha de pedido:
",1),1,10),"-","/"))),"-"),SMS!A:A,SMS!K:K),0),0)</f>
        <v>0</v>
      </c>
      <c r="AO514" s="109">
        <f ca="1">IF('Banco de Dados'!$AK514&lt;&gt;"-",IF('Banco de Dados'!$F514&lt;&gt;"-",IFERROR(_xlfn.XLOOKUP(_xlfn.CONCAT('Banco de Dados'!$A514,IFERROR(IFERROR(VALUE(SUBSTITUTE(MID(_xlfn.TEXTAFTER('Banco de Dados'!$F514,"Data do Pedido:
",1),1,10),"-","/")),VALUE(SUBSTITUTE(MID(_xlfn.TEXTAFTER('Banco de Dados'!$F514,"Order date:
",1),1,10),"-","/"))),0)),ProxyDD[Chave],ProxyDD[Valor por pedido]),PROXY!$P$2),0),0)</f>
        <v>0</v>
      </c>
      <c r="AP514" s="28">
        <f ca="1">IF('Banco de Dados'!$AK514&lt;&gt;"-",IF('Banco de Dados'!$AL514="NÃO",IFERROR(VALUE(SUBSTITUTE(_xlfn.TEXTAFTER('Banco de Dados'!$F514,"BRL ",1),".",",")),0),0),0)</f>
        <v>0</v>
      </c>
      <c r="AQ514" s="28">
        <f ca="1">SUM('Banco de Dados'!$AM514:$AP514)</f>
        <v>0</v>
      </c>
      <c r="AR514" s="8"/>
      <c r="AS514" s="8"/>
      <c r="AY514" s="8"/>
    </row>
    <row r="515" spans="1:51">
      <c r="A515" s="5" t="str">
        <v>BV</v>
      </c>
      <c r="B515" s="5" t="str">
        <f ca="1"/>
        <v>BV45630</v>
      </c>
      <c r="C515" s="8" t="str">
        <v>Pedido 503</v>
      </c>
      <c r="D515" s="9">
        <v>45630</v>
      </c>
      <c r="E515" s="9">
        <v>45630</v>
      </c>
      <c r="F515" s="8" t="str">
        <v>PedidoF490</v>
      </c>
      <c r="G515" s="2" t="str">
        <v>CódRastreio489</v>
      </c>
      <c r="H515" s="5">
        <v>1</v>
      </c>
      <c r="I515" s="182" t="str">
        <v>CPF 487</v>
      </c>
      <c r="J515" s="2" t="str">
        <v>Nome 487</v>
      </c>
      <c r="K515" s="8" t="str">
        <v>Tel 487</v>
      </c>
      <c r="L515" s="8" t="str">
        <v>Cep 487</v>
      </c>
      <c r="M515" s="8" t="str">
        <v>Rua 487</v>
      </c>
      <c r="N515" s="8" t="str">
        <v>Comp 487</v>
      </c>
      <c r="O515" s="8" t="str">
        <v>Ventilador Rosa</v>
      </c>
      <c r="P515" s="8" t="str">
        <v>IF-G2ZQ-79FO</v>
      </c>
      <c r="Q515" s="4">
        <v>45653</v>
      </c>
      <c r="R515" s="109">
        <v>65.900000000000006</v>
      </c>
      <c r="S515" s="11">
        <f ca="1"/>
        <v>65.900000000000006</v>
      </c>
      <c r="T515" s="28">
        <f ca="1"/>
        <v>8.5670000000000002</v>
      </c>
      <c r="U515" s="11">
        <f ca="1"/>
        <v>57.33</v>
      </c>
      <c r="V515" s="11">
        <v>21.95</v>
      </c>
      <c r="W515" s="11">
        <f ca="1"/>
        <v>0.08</v>
      </c>
      <c r="X515" s="11">
        <f ca="1"/>
        <v>0.39877104377104378</v>
      </c>
      <c r="Y515" s="11">
        <v>0</v>
      </c>
      <c r="Z515" s="11">
        <f ca="1"/>
        <v>34.901228956228955</v>
      </c>
      <c r="AA515" s="11">
        <f ca="1"/>
        <v>17.450614478114478</v>
      </c>
      <c r="AB515" s="4">
        <f ca="1"/>
        <v>45660</v>
      </c>
      <c r="AC515" s="4">
        <v>45660</v>
      </c>
      <c r="AD515" s="9">
        <v>45665</v>
      </c>
      <c r="AE515" s="9">
        <v>45673</v>
      </c>
      <c r="AF515" s="4" t="str">
        <f t="shared" ca="1" si="11"/>
        <v>2025 01</v>
      </c>
      <c r="AG515" s="8" t="str" cm="1">
        <f t="array" ref="AG515">IFERROR(_xlfn.IFS('Banco de Dados'!#REF!="AG. COMPRA","Em processamento",'Banco de Dados'!#REF!="AG. RASTREIO","Em processamento",'Banco de Dados'!$AE515&lt;&gt;"-","Faturado",'Banco de Dados'!$AD515&lt;&gt;"-","Aguardando Pix",'Banco de Dados'!$AC515&lt;&gt;"-","Pendente"),"Aguardando Liberação")</f>
        <v>Aguardando Liberação</v>
      </c>
      <c r="AH515" s="5" t="str">
        <f>IF('Banco de Dados'!$F515="-",_xlfn.CONCAT(PROPER(TEXT(AK515,"aaaa"))," ",PROPER(TEXT(AK515,"mm"))),_xlfn.CONCAT(PROPER(TEXT(E515,"aaaa"))," ",PROPER(TEXT(E515,"mm"))))</f>
        <v>2024 12</v>
      </c>
      <c r="AI515" s="9" t="str">
        <f ca="1">IF('Banco de Dados'!$AK515&lt;&gt;"-","REEMBOLSO",IFERROR(_xlfn.XLOOKUP(G515,Follow[CODRASTREIO],Follow[STATUS]),"-"))</f>
        <v>ENTREGUE</v>
      </c>
      <c r="AJ515" s="9">
        <f ca="1">IF('Banco de Dados'!$AI515="ENTREGUE",_xlfn.XLOOKUP('Banco de Dados'!$G515,Follow[CODRASTREIO],Follow[DATAATUALIZAÇÃO]),"-")</f>
        <v>45639</v>
      </c>
      <c r="AK515" s="9" t="str">
        <f ca="1"/>
        <v>-</v>
      </c>
      <c r="AL515" s="35"/>
      <c r="AM515" s="109" cm="1">
        <f t="array" aca="1" ref="AM515" ca="1">IF('Banco de Dados'!$AK515&lt;&gt;"-",_xlfn.IFS('Banco de Dados'!$A515="bv",IF('Banco de Dados'!$E515&lt;45641,ROUND(SUM('Banco de Dados'!$R515*_xlfn.XLOOKUP('Banco de Dados'!$P515,Sku!B:B,Sku!#REF!)*20%),2),ROUND(SUM('Banco de Dados'!$R515*_xlfn.XLOOKUP('Banco de Dados'!$P515,Sku!B:B,Sku!H:H)*20%),2)),'Banco de Dados'!$A515="GO",ROUND(_xlfn.XLOOKUP('Banco de Dados'!$P515,Sku!C:C,Sku!H:H),2),'Banco de Dados'!$A515="MEI",ROUND(_xlfn.XLOOKUP('Banco de Dados'!$P515,Sku!D:D,Sku!H:H),2)),0)</f>
        <v>0</v>
      </c>
      <c r="AN515" s="109">
        <f ca="1">IF('Banco de Dados'!$AK515&lt;&gt;"-",IF('Banco de Dados'!$F515&lt;&gt;"-",_xlfn.XLOOKUP(IFERROR(IFERROR(IFERROR(VALUE(SUBSTITUTE(MID(_xlfn.TEXTAFTER('Banco de Dados'!$F515,"Data do Pedido:
",1),1,10),"-","/")),VALUE(SUBSTITUTE(MID(_xlfn.TEXTAFTER('Banco de Dados'!$F515,"Order date:
",1),1,10),"-","/"))),VALUE(SUBSTITUTE(MID(_xlfn.TEXTAFTER('Banco de Dados'!$F515,"Fecha de pedido:
",1),1,10),"-","/"))),"-"),SMS!A:A,SMS!K:K),0),0)</f>
        <v>0</v>
      </c>
      <c r="AO515" s="109">
        <f ca="1">IF('Banco de Dados'!$AK515&lt;&gt;"-",IF('Banco de Dados'!$F515&lt;&gt;"-",IFERROR(_xlfn.XLOOKUP(_xlfn.CONCAT('Banco de Dados'!$A515,IFERROR(IFERROR(VALUE(SUBSTITUTE(MID(_xlfn.TEXTAFTER('Banco de Dados'!$F515,"Data do Pedido:
",1),1,10),"-","/")),VALUE(SUBSTITUTE(MID(_xlfn.TEXTAFTER('Banco de Dados'!$F515,"Order date:
",1),1,10),"-","/"))),0)),ProxyDD[Chave],ProxyDD[Valor por pedido]),PROXY!$P$2),0),0)</f>
        <v>0</v>
      </c>
      <c r="AP515" s="28">
        <f ca="1">IF('Banco de Dados'!$AK515&lt;&gt;"-",IF('Banco de Dados'!$AL515="NÃO",IFERROR(VALUE(SUBSTITUTE(_xlfn.TEXTAFTER('Banco de Dados'!$F515,"BRL ",1),".",",")),0),0),0)</f>
        <v>0</v>
      </c>
      <c r="AQ515" s="28">
        <f ca="1">SUM('Banco de Dados'!$AM515:$AP515)</f>
        <v>0</v>
      </c>
      <c r="AR515" s="8"/>
      <c r="AS515" s="8"/>
      <c r="AY515" s="8"/>
    </row>
    <row r="516" spans="1:51">
      <c r="A516" s="5" t="str">
        <v>BV</v>
      </c>
      <c r="B516" s="5" t="str">
        <f ca="1"/>
        <v>BV45630</v>
      </c>
      <c r="C516" s="8" t="str">
        <v>Pedido 504</v>
      </c>
      <c r="D516" s="9">
        <v>45630</v>
      </c>
      <c r="E516" s="9">
        <v>45630</v>
      </c>
      <c r="F516" s="8" t="str">
        <v>PedidoF491</v>
      </c>
      <c r="G516" s="2" t="str">
        <v>CódRastreio490</v>
      </c>
      <c r="H516" s="5">
        <v>1</v>
      </c>
      <c r="I516" s="182" t="str">
        <v>CPF 488</v>
      </c>
      <c r="J516" s="2" t="str">
        <v>Nome 488</v>
      </c>
      <c r="K516" s="8" t="str">
        <v>Tel 488</v>
      </c>
      <c r="L516" s="8" t="str">
        <v>Cep 488</v>
      </c>
      <c r="M516" s="8" t="str">
        <v>Rua 488</v>
      </c>
      <c r="N516" s="8" t="str">
        <v>Comp 488</v>
      </c>
      <c r="O516" s="8" t="str">
        <v>Ventilador Preto</v>
      </c>
      <c r="P516" s="8" t="str">
        <v>MU-J80P-95WF</v>
      </c>
      <c r="Q516" s="4">
        <v>45661</v>
      </c>
      <c r="R516" s="109">
        <v>65.989999999999995</v>
      </c>
      <c r="S516" s="11">
        <f ca="1"/>
        <v>65.989999999999995</v>
      </c>
      <c r="T516" s="28">
        <f ca="1"/>
        <v>8.5786999999999995</v>
      </c>
      <c r="U516" s="11">
        <f ca="1"/>
        <v>57.41</v>
      </c>
      <c r="V516" s="11">
        <v>22.53</v>
      </c>
      <c r="W516" s="11">
        <f ca="1"/>
        <v>0.08</v>
      </c>
      <c r="X516" s="11">
        <f ca="1"/>
        <v>0.39877104377104378</v>
      </c>
      <c r="Y516" s="11">
        <v>0</v>
      </c>
      <c r="Z516" s="11">
        <f ca="1"/>
        <v>34.401228956228948</v>
      </c>
      <c r="AA516" s="11">
        <f ca="1"/>
        <v>17.200614478114474</v>
      </c>
      <c r="AB516" s="4">
        <f ca="1"/>
        <v>45668</v>
      </c>
      <c r="AC516" s="4">
        <v>45668</v>
      </c>
      <c r="AD516" s="9">
        <v>45673</v>
      </c>
      <c r="AE516" s="9">
        <v>45673</v>
      </c>
      <c r="AF516" s="4" t="str">
        <f t="shared" ca="1" si="11"/>
        <v>2025 01</v>
      </c>
      <c r="AG516" s="8" t="str" cm="1">
        <f t="array" ref="AG516">IFERROR(_xlfn.IFS('Banco de Dados'!#REF!="AG. COMPRA","Em processamento",'Banco de Dados'!#REF!="AG. RASTREIO","Em processamento",'Banco de Dados'!$AE516&lt;&gt;"-","Faturado",'Banco de Dados'!$AD516&lt;&gt;"-","Aguardando Pix",'Banco de Dados'!$AC516&lt;&gt;"-","Pendente"),"Aguardando Liberação")</f>
        <v>Aguardando Liberação</v>
      </c>
      <c r="AH516" s="5" t="str">
        <f>IF('Banco de Dados'!$F516="-",_xlfn.CONCAT(PROPER(TEXT(AK516,"aaaa"))," ",PROPER(TEXT(AK516,"mm"))),_xlfn.CONCAT(PROPER(TEXT(E516,"aaaa"))," ",PROPER(TEXT(E516,"mm"))))</f>
        <v>2024 12</v>
      </c>
      <c r="AI516" s="9" t="str">
        <f ca="1">IF('Banco de Dados'!$AK516&lt;&gt;"-","REEMBOLSO",IFERROR(_xlfn.XLOOKUP(G516,Follow[CODRASTREIO],Follow[STATUS]),"-"))</f>
        <v>ENTREGUE</v>
      </c>
      <c r="AJ516" s="9">
        <f ca="1">IF('Banco de Dados'!$AI516="ENTREGUE",_xlfn.XLOOKUP('Banco de Dados'!$G516,Follow[CODRASTREIO],Follow[DATAATUALIZAÇÃO]),"-")</f>
        <v>45644</v>
      </c>
      <c r="AK516" s="9" t="str">
        <f ca="1"/>
        <v>-</v>
      </c>
      <c r="AL516" s="35"/>
      <c r="AM516" s="109" cm="1">
        <f t="array" aca="1" ref="AM516" ca="1">IF('Banco de Dados'!$AK516&lt;&gt;"-",_xlfn.IFS('Banco de Dados'!$A516="bv",IF('Banco de Dados'!$E516&lt;45641,ROUND(SUM('Banco de Dados'!$R516*_xlfn.XLOOKUP('Banco de Dados'!$P516,Sku!B:B,Sku!#REF!)*20%),2),ROUND(SUM('Banco de Dados'!$R516*_xlfn.XLOOKUP('Banco de Dados'!$P516,Sku!B:B,Sku!H:H)*20%),2)),'Banco de Dados'!$A516="GO",ROUND(_xlfn.XLOOKUP('Banco de Dados'!$P516,Sku!C:C,Sku!H:H),2),'Banco de Dados'!$A516="MEI",ROUND(_xlfn.XLOOKUP('Banco de Dados'!$P516,Sku!D:D,Sku!H:H),2)),0)</f>
        <v>0</v>
      </c>
      <c r="AN516" s="109">
        <f ca="1">IF('Banco de Dados'!$AK516&lt;&gt;"-",IF('Banco de Dados'!$F516&lt;&gt;"-",_xlfn.XLOOKUP(IFERROR(IFERROR(IFERROR(VALUE(SUBSTITUTE(MID(_xlfn.TEXTAFTER('Banco de Dados'!$F516,"Data do Pedido:
",1),1,10),"-","/")),VALUE(SUBSTITUTE(MID(_xlfn.TEXTAFTER('Banco de Dados'!$F516,"Order date:
",1),1,10),"-","/"))),VALUE(SUBSTITUTE(MID(_xlfn.TEXTAFTER('Banco de Dados'!$F516,"Fecha de pedido:
",1),1,10),"-","/"))),"-"),SMS!A:A,SMS!K:K),0),0)</f>
        <v>0</v>
      </c>
      <c r="AO516" s="109">
        <f ca="1">IF('Banco de Dados'!$AK516&lt;&gt;"-",IF('Banco de Dados'!$F516&lt;&gt;"-",IFERROR(_xlfn.XLOOKUP(_xlfn.CONCAT('Banco de Dados'!$A516,IFERROR(IFERROR(VALUE(SUBSTITUTE(MID(_xlfn.TEXTAFTER('Banco de Dados'!$F516,"Data do Pedido:
",1),1,10),"-","/")),VALUE(SUBSTITUTE(MID(_xlfn.TEXTAFTER('Banco de Dados'!$F516,"Order date:
",1),1,10),"-","/"))),0)),ProxyDD[Chave],ProxyDD[Valor por pedido]),PROXY!$P$2),0),0)</f>
        <v>0</v>
      </c>
      <c r="AP516" s="28">
        <f ca="1">IF('Banco de Dados'!$AK516&lt;&gt;"-",IF('Banco de Dados'!$AL516="NÃO",IFERROR(VALUE(SUBSTITUTE(_xlfn.TEXTAFTER('Banco de Dados'!$F516,"BRL ",1),".",",")),0),0),0)</f>
        <v>0</v>
      </c>
      <c r="AQ516" s="28">
        <f ca="1">SUM('Banco de Dados'!$AM516:$AP516)</f>
        <v>0</v>
      </c>
      <c r="AR516" s="8"/>
      <c r="AS516" s="8"/>
      <c r="AY516" s="8"/>
    </row>
    <row r="517" spans="1:51">
      <c r="A517" s="5" t="str">
        <v>BV</v>
      </c>
      <c r="B517" s="5" t="str">
        <f ca="1"/>
        <v>BV45630</v>
      </c>
      <c r="C517" s="8" t="str">
        <v>Pedido 505</v>
      </c>
      <c r="D517" s="9">
        <v>45630</v>
      </c>
      <c r="E517" s="9">
        <v>45630</v>
      </c>
      <c r="F517" s="8" t="str">
        <v>PedidoF492</v>
      </c>
      <c r="G517" s="2" t="str">
        <v>CódRastreio491</v>
      </c>
      <c r="H517" s="5">
        <v>1</v>
      </c>
      <c r="I517" s="182" t="str">
        <v>CPF 489</v>
      </c>
      <c r="J517" s="2" t="str">
        <v>Nome 489</v>
      </c>
      <c r="K517" s="8" t="str">
        <v>Tel 489</v>
      </c>
      <c r="L517" s="8" t="str">
        <v>Cep 489</v>
      </c>
      <c r="M517" s="8" t="str">
        <v>Rua 489</v>
      </c>
      <c r="N517" s="8" t="str">
        <v>Comp 489</v>
      </c>
      <c r="O517" s="8" t="str">
        <v>Ventilador Preto</v>
      </c>
      <c r="P517" s="8" t="str">
        <v>MU-J80P-95WF</v>
      </c>
      <c r="Q517" s="4">
        <v>45653</v>
      </c>
      <c r="R517" s="109">
        <v>65.989999999999995</v>
      </c>
      <c r="S517" s="11">
        <f ca="1"/>
        <v>65.989999999999995</v>
      </c>
      <c r="T517" s="28">
        <f ca="1"/>
        <v>8.5786999999999995</v>
      </c>
      <c r="U517" s="11">
        <f ca="1"/>
        <v>57.41</v>
      </c>
      <c r="V517" s="11">
        <v>22.53</v>
      </c>
      <c r="W517" s="11">
        <f ca="1"/>
        <v>0.08</v>
      </c>
      <c r="X517" s="11">
        <f ca="1"/>
        <v>0.39877104377104378</v>
      </c>
      <c r="Y517" s="11">
        <v>0</v>
      </c>
      <c r="Z517" s="11">
        <f ca="1"/>
        <v>34.401228956228948</v>
      </c>
      <c r="AA517" s="11">
        <f ca="1"/>
        <v>17.200614478114474</v>
      </c>
      <c r="AB517" s="4">
        <f ca="1"/>
        <v>45660</v>
      </c>
      <c r="AC517" s="4">
        <v>45660</v>
      </c>
      <c r="AD517" s="9">
        <v>45665</v>
      </c>
      <c r="AE517" s="9">
        <v>45673</v>
      </c>
      <c r="AF517" s="4" t="str">
        <f t="shared" ca="1" si="11"/>
        <v>2025 01</v>
      </c>
      <c r="AG517" s="8" t="str" cm="1">
        <f t="array" ref="AG517">IFERROR(_xlfn.IFS('Banco de Dados'!#REF!="AG. COMPRA","Em processamento",'Banco de Dados'!#REF!="AG. RASTREIO","Em processamento",'Banco de Dados'!$AE517&lt;&gt;"-","Faturado",'Banco de Dados'!$AD517&lt;&gt;"-","Aguardando Pix",'Banco de Dados'!$AC517&lt;&gt;"-","Pendente"),"Aguardando Liberação")</f>
        <v>Aguardando Liberação</v>
      </c>
      <c r="AH517" s="5" t="str">
        <f>IF('Banco de Dados'!$F517="-",_xlfn.CONCAT(PROPER(TEXT(AK517,"aaaa"))," ",PROPER(TEXT(AK517,"mm"))),_xlfn.CONCAT(PROPER(TEXT(E517,"aaaa"))," ",PROPER(TEXT(E517,"mm"))))</f>
        <v>2024 12</v>
      </c>
      <c r="AI517" s="9" t="str">
        <f ca="1">IF('Banco de Dados'!$AK517&lt;&gt;"-","REEMBOLSO",IFERROR(_xlfn.XLOOKUP(G517,Follow[CODRASTREIO],Follow[STATUS]),"-"))</f>
        <v>ENTREGUE</v>
      </c>
      <c r="AJ517" s="9">
        <f ca="1">IF('Banco de Dados'!$AI517="ENTREGUE",_xlfn.XLOOKUP('Banco de Dados'!$G517,Follow[CODRASTREIO],Follow[DATAATUALIZAÇÃO]),"-")</f>
        <v>45638</v>
      </c>
      <c r="AK517" s="9" t="str">
        <f ca="1"/>
        <v>-</v>
      </c>
      <c r="AL517" s="35"/>
      <c r="AM517" s="109" cm="1">
        <f t="array" aca="1" ref="AM517" ca="1">IF('Banco de Dados'!$AK517&lt;&gt;"-",_xlfn.IFS('Banco de Dados'!$A517="bv",IF('Banco de Dados'!$E517&lt;45641,ROUND(SUM('Banco de Dados'!$R517*_xlfn.XLOOKUP('Banco de Dados'!$P517,Sku!B:B,Sku!#REF!)*20%),2),ROUND(SUM('Banco de Dados'!$R517*_xlfn.XLOOKUP('Banco de Dados'!$P517,Sku!B:B,Sku!H:H)*20%),2)),'Banco de Dados'!$A517="GO",ROUND(_xlfn.XLOOKUP('Banco de Dados'!$P517,Sku!C:C,Sku!H:H),2),'Banco de Dados'!$A517="MEI",ROUND(_xlfn.XLOOKUP('Banco de Dados'!$P517,Sku!D:D,Sku!H:H),2)),0)</f>
        <v>0</v>
      </c>
      <c r="AN517" s="109">
        <f ca="1">IF('Banco de Dados'!$AK517&lt;&gt;"-",IF('Banco de Dados'!$F517&lt;&gt;"-",_xlfn.XLOOKUP(IFERROR(IFERROR(IFERROR(VALUE(SUBSTITUTE(MID(_xlfn.TEXTAFTER('Banco de Dados'!$F517,"Data do Pedido:
",1),1,10),"-","/")),VALUE(SUBSTITUTE(MID(_xlfn.TEXTAFTER('Banco de Dados'!$F517,"Order date:
",1),1,10),"-","/"))),VALUE(SUBSTITUTE(MID(_xlfn.TEXTAFTER('Banco de Dados'!$F517,"Fecha de pedido:
",1),1,10),"-","/"))),"-"),SMS!A:A,SMS!K:K),0),0)</f>
        <v>0</v>
      </c>
      <c r="AO517" s="109">
        <f ca="1">IF('Banco de Dados'!$AK517&lt;&gt;"-",IF('Banco de Dados'!$F517&lt;&gt;"-",IFERROR(_xlfn.XLOOKUP(_xlfn.CONCAT('Banco de Dados'!$A517,IFERROR(IFERROR(VALUE(SUBSTITUTE(MID(_xlfn.TEXTAFTER('Banco de Dados'!$F517,"Data do Pedido:
",1),1,10),"-","/")),VALUE(SUBSTITUTE(MID(_xlfn.TEXTAFTER('Banco de Dados'!$F517,"Order date:
",1),1,10),"-","/"))),0)),ProxyDD[Chave],ProxyDD[Valor por pedido]),PROXY!$P$2),0),0)</f>
        <v>0</v>
      </c>
      <c r="AP517" s="28">
        <f ca="1">IF('Banco de Dados'!$AK517&lt;&gt;"-",IF('Banco de Dados'!$AL517="NÃO",IFERROR(VALUE(SUBSTITUTE(_xlfn.TEXTAFTER('Banco de Dados'!$F517,"BRL ",1),".",",")),0),0),0)</f>
        <v>0</v>
      </c>
      <c r="AQ517" s="28">
        <f ca="1">SUM('Banco de Dados'!$AM517:$AP517)</f>
        <v>0</v>
      </c>
      <c r="AR517" s="8"/>
      <c r="AS517" s="8"/>
      <c r="AY517" s="8"/>
    </row>
    <row r="518" spans="1:51">
      <c r="A518" s="5" t="str">
        <v>BV</v>
      </c>
      <c r="B518" s="5" t="str">
        <f ca="1"/>
        <v>BV45630</v>
      </c>
      <c r="C518" s="8" t="str">
        <v>Pedido 506</v>
      </c>
      <c r="D518" s="9">
        <v>45630</v>
      </c>
      <c r="E518" s="9">
        <v>45630</v>
      </c>
      <c r="F518" s="8" t="str">
        <v>PedidoF493</v>
      </c>
      <c r="G518" s="2" t="str">
        <v>CódRastreio492</v>
      </c>
      <c r="H518" s="5">
        <v>1</v>
      </c>
      <c r="I518" s="182" t="str">
        <v>CPF 490</v>
      </c>
      <c r="J518" s="2" t="str">
        <v>Nome 490</v>
      </c>
      <c r="K518" s="8" t="str">
        <v>Tel 490</v>
      </c>
      <c r="L518" s="8" t="str">
        <v>Cep 490</v>
      </c>
      <c r="M518" s="8" t="str">
        <v>Rua 490</v>
      </c>
      <c r="N518" s="8" t="str">
        <v>Comp 490</v>
      </c>
      <c r="O518" s="8" t="str">
        <v>Ventilador Preto</v>
      </c>
      <c r="P518" s="8" t="str">
        <v>MU-J80P-95WF</v>
      </c>
      <c r="Q518" s="4">
        <v>45668</v>
      </c>
      <c r="R518" s="109">
        <v>65.989999999999995</v>
      </c>
      <c r="S518" s="11">
        <f ca="1"/>
        <v>65.989999999999995</v>
      </c>
      <c r="T518" s="28">
        <f ca="1"/>
        <v>8.5786999999999995</v>
      </c>
      <c r="U518" s="11">
        <f ca="1"/>
        <v>57.41</v>
      </c>
      <c r="V518" s="11">
        <v>22.53</v>
      </c>
      <c r="W518" s="11">
        <f ca="1"/>
        <v>0.08</v>
      </c>
      <c r="X518" s="11">
        <f ca="1"/>
        <v>0.39877104377104378</v>
      </c>
      <c r="Y518" s="11">
        <v>0</v>
      </c>
      <c r="Z518" s="11">
        <f ca="1"/>
        <v>34.401228956228948</v>
      </c>
      <c r="AA518" s="11">
        <f ca="1"/>
        <v>17.200614478114474</v>
      </c>
      <c r="AB518" s="4">
        <f ca="1"/>
        <v>45675</v>
      </c>
      <c r="AC518" s="4">
        <v>45675</v>
      </c>
      <c r="AD518" s="9">
        <v>45679</v>
      </c>
      <c r="AE518" s="9">
        <v>45694</v>
      </c>
      <c r="AF518" s="4" t="str">
        <f t="shared" ca="1" si="11"/>
        <v>2025 01</v>
      </c>
      <c r="AG518" s="8" t="str" cm="1">
        <f t="array" ref="AG518">IFERROR(_xlfn.IFS('Banco de Dados'!#REF!="AG. COMPRA","Em processamento",'Banco de Dados'!#REF!="AG. RASTREIO","Em processamento",'Banco de Dados'!$AE518&lt;&gt;"-","Faturado",'Banco de Dados'!$AD518&lt;&gt;"-","Aguardando Pix",'Banco de Dados'!$AC518&lt;&gt;"-","Pendente"),"Aguardando Liberação")</f>
        <v>Aguardando Liberação</v>
      </c>
      <c r="AH518" s="5" t="str">
        <f>IF('Banco de Dados'!$F518="-",_xlfn.CONCAT(PROPER(TEXT(AK518,"aaaa"))," ",PROPER(TEXT(AK518,"mm"))),_xlfn.CONCAT(PROPER(TEXT(E518,"aaaa"))," ",PROPER(TEXT(E518,"mm"))))</f>
        <v>2024 12</v>
      </c>
      <c r="AI518" s="9" t="str">
        <f ca="1">IF('Banco de Dados'!$AK518&lt;&gt;"-","REEMBOLSO",IFERROR(_xlfn.XLOOKUP(G518,Follow[CODRASTREIO],Follow[STATUS]),"-"))</f>
        <v>ENTREGUE</v>
      </c>
      <c r="AJ518" s="9">
        <f ca="1">IF('Banco de Dados'!$AI518="ENTREGUE",_xlfn.XLOOKUP('Banco de Dados'!$G518,Follow[CODRASTREIO],Follow[DATAATUALIZAÇÃO]),"-")</f>
        <v>45660</v>
      </c>
      <c r="AK518" s="9" t="str">
        <f ca="1"/>
        <v>-</v>
      </c>
      <c r="AL518" s="35"/>
      <c r="AM518" s="109" cm="1">
        <f t="array" aca="1" ref="AM518" ca="1">IF('Banco de Dados'!$AK518&lt;&gt;"-",_xlfn.IFS('Banco de Dados'!$A518="bv",IF('Banco de Dados'!$E518&lt;45641,ROUND(SUM('Banco de Dados'!$R518*_xlfn.XLOOKUP('Banco de Dados'!$P518,Sku!B:B,Sku!#REF!)*20%),2),ROUND(SUM('Banco de Dados'!$R518*_xlfn.XLOOKUP('Banco de Dados'!$P518,Sku!B:B,Sku!H:H)*20%),2)),'Banco de Dados'!$A518="GO",ROUND(_xlfn.XLOOKUP('Banco de Dados'!$P518,Sku!C:C,Sku!H:H),2),'Banco de Dados'!$A518="MEI",ROUND(_xlfn.XLOOKUP('Banco de Dados'!$P518,Sku!D:D,Sku!H:H),2)),0)</f>
        <v>0</v>
      </c>
      <c r="AN518" s="109">
        <f ca="1">IF('Banco de Dados'!$AK518&lt;&gt;"-",IF('Banco de Dados'!$F518&lt;&gt;"-",_xlfn.XLOOKUP(IFERROR(IFERROR(IFERROR(VALUE(SUBSTITUTE(MID(_xlfn.TEXTAFTER('Banco de Dados'!$F518,"Data do Pedido:
",1),1,10),"-","/")),VALUE(SUBSTITUTE(MID(_xlfn.TEXTAFTER('Banco de Dados'!$F518,"Order date:
",1),1,10),"-","/"))),VALUE(SUBSTITUTE(MID(_xlfn.TEXTAFTER('Banco de Dados'!$F518,"Fecha de pedido:
",1),1,10),"-","/"))),"-"),SMS!A:A,SMS!K:K),0),0)</f>
        <v>0</v>
      </c>
      <c r="AO518" s="109">
        <f ca="1">IF('Banco de Dados'!$AK518&lt;&gt;"-",IF('Banco de Dados'!$F518&lt;&gt;"-",IFERROR(_xlfn.XLOOKUP(_xlfn.CONCAT('Banco de Dados'!$A518,IFERROR(IFERROR(VALUE(SUBSTITUTE(MID(_xlfn.TEXTAFTER('Banco de Dados'!$F518,"Data do Pedido:
",1),1,10),"-","/")),VALUE(SUBSTITUTE(MID(_xlfn.TEXTAFTER('Banco de Dados'!$F518,"Order date:
",1),1,10),"-","/"))),0)),ProxyDD[Chave],ProxyDD[Valor por pedido]),PROXY!$P$2),0),0)</f>
        <v>0</v>
      </c>
      <c r="AP518" s="28">
        <f ca="1">IF('Banco de Dados'!$AK518&lt;&gt;"-",IF('Banco de Dados'!$AL518="NÃO",IFERROR(VALUE(SUBSTITUTE(_xlfn.TEXTAFTER('Banco de Dados'!$F518,"BRL ",1),".",",")),0),0),0)</f>
        <v>0</v>
      </c>
      <c r="AQ518" s="28">
        <f ca="1">SUM('Banco de Dados'!$AM518:$AP518)</f>
        <v>0</v>
      </c>
      <c r="AR518" s="8"/>
      <c r="AS518" s="8"/>
      <c r="AY518" s="8"/>
    </row>
    <row r="519" spans="1:51">
      <c r="A519" s="5" t="str">
        <v>BV</v>
      </c>
      <c r="B519" s="5" t="str">
        <f ca="1"/>
        <v>BV45630</v>
      </c>
      <c r="C519" s="8" t="str">
        <v>Pedido 507</v>
      </c>
      <c r="D519" s="9">
        <v>45630</v>
      </c>
      <c r="E519" s="9">
        <v>45630</v>
      </c>
      <c r="F519" s="8" t="str">
        <v>PedidoF494</v>
      </c>
      <c r="G519" s="2" t="str">
        <v>CódRastreio493</v>
      </c>
      <c r="H519" s="5">
        <v>1</v>
      </c>
      <c r="I519" s="182" t="str">
        <v>CPF 491</v>
      </c>
      <c r="J519" s="2" t="str">
        <v>Nome 491</v>
      </c>
      <c r="K519" s="8" t="str">
        <v>Tel 491</v>
      </c>
      <c r="L519" s="8" t="str">
        <v>Cep 491</v>
      </c>
      <c r="M519" s="8" t="str">
        <v>Rua 491</v>
      </c>
      <c r="N519" s="8" t="str">
        <v>Comp 491</v>
      </c>
      <c r="O519" s="8" t="str">
        <v>Ventilador Preto</v>
      </c>
      <c r="P519" s="8" t="str">
        <v>MU-J80P-95WF</v>
      </c>
      <c r="Q519" s="4">
        <v>45661</v>
      </c>
      <c r="R519" s="109">
        <v>65.989999999999995</v>
      </c>
      <c r="S519" s="11">
        <f ca="1"/>
        <v>65.989999999999995</v>
      </c>
      <c r="T519" s="28">
        <f ca="1"/>
        <v>8.5786999999999995</v>
      </c>
      <c r="U519" s="11">
        <f ca="1"/>
        <v>57.41</v>
      </c>
      <c r="V519" s="11">
        <v>22.53</v>
      </c>
      <c r="W519" s="11">
        <f ca="1"/>
        <v>0.08</v>
      </c>
      <c r="X519" s="11">
        <f ca="1"/>
        <v>0.39877104377104378</v>
      </c>
      <c r="Y519" s="11">
        <v>0</v>
      </c>
      <c r="Z519" s="11">
        <f ca="1"/>
        <v>34.401228956228948</v>
      </c>
      <c r="AA519" s="11">
        <f ca="1"/>
        <v>17.200614478114474</v>
      </c>
      <c r="AB519" s="4">
        <f ca="1"/>
        <v>45668</v>
      </c>
      <c r="AC519" s="4">
        <v>45668</v>
      </c>
      <c r="AD519" s="9">
        <v>45673</v>
      </c>
      <c r="AE519" s="9">
        <v>45673</v>
      </c>
      <c r="AF519" s="4" t="str">
        <f t="shared" ca="1" si="11"/>
        <v>2025 01</v>
      </c>
      <c r="AG519" s="8" t="str" cm="1">
        <f t="array" ref="AG519">IFERROR(_xlfn.IFS('Banco de Dados'!#REF!="AG. COMPRA","Em processamento",'Banco de Dados'!#REF!="AG. RASTREIO","Em processamento",'Banco de Dados'!$AE519&lt;&gt;"-","Faturado",'Banco de Dados'!$AD519&lt;&gt;"-","Aguardando Pix",'Banco de Dados'!$AC519&lt;&gt;"-","Pendente"),"Aguardando Liberação")</f>
        <v>Aguardando Liberação</v>
      </c>
      <c r="AH519" s="5" t="str">
        <f>IF('Banco de Dados'!$F519="-",_xlfn.CONCAT(PROPER(TEXT(AK519,"aaaa"))," ",PROPER(TEXT(AK519,"mm"))),_xlfn.CONCAT(PROPER(TEXT(E519,"aaaa"))," ",PROPER(TEXT(E519,"mm"))))</f>
        <v>2024 12</v>
      </c>
      <c r="AI519" s="9" t="str">
        <f ca="1">IF('Banco de Dados'!$AK519&lt;&gt;"-","REEMBOLSO",IFERROR(_xlfn.XLOOKUP(G519,Follow[CODRASTREIO],Follow[STATUS]),"-"))</f>
        <v>ENTREGUE</v>
      </c>
      <c r="AJ519" s="9">
        <f ca="1">IF('Banco de Dados'!$AI519="ENTREGUE",_xlfn.XLOOKUP('Banco de Dados'!$G519,Follow[CODRASTREIO],Follow[DATAATUALIZAÇÃO]),"-")</f>
        <v>45642</v>
      </c>
      <c r="AK519" s="9" t="str">
        <f ca="1"/>
        <v>-</v>
      </c>
      <c r="AL519" s="35"/>
      <c r="AM519" s="109" cm="1">
        <f t="array" aca="1" ref="AM519" ca="1">IF('Banco de Dados'!$AK519&lt;&gt;"-",_xlfn.IFS('Banco de Dados'!$A519="bv",IF('Banco de Dados'!$E519&lt;45641,ROUND(SUM('Banco de Dados'!$R519*_xlfn.XLOOKUP('Banco de Dados'!$P519,Sku!B:B,Sku!#REF!)*20%),2),ROUND(SUM('Banco de Dados'!$R519*_xlfn.XLOOKUP('Banco de Dados'!$P519,Sku!B:B,Sku!H:H)*20%),2)),'Banco de Dados'!$A519="GO",ROUND(_xlfn.XLOOKUP('Banco de Dados'!$P519,Sku!C:C,Sku!H:H),2),'Banco de Dados'!$A519="MEI",ROUND(_xlfn.XLOOKUP('Banco de Dados'!$P519,Sku!D:D,Sku!H:H),2)),0)</f>
        <v>0</v>
      </c>
      <c r="AN519" s="109">
        <f ca="1">IF('Banco de Dados'!$AK519&lt;&gt;"-",IF('Banco de Dados'!$F519&lt;&gt;"-",_xlfn.XLOOKUP(IFERROR(IFERROR(IFERROR(VALUE(SUBSTITUTE(MID(_xlfn.TEXTAFTER('Banco de Dados'!$F519,"Data do Pedido:
",1),1,10),"-","/")),VALUE(SUBSTITUTE(MID(_xlfn.TEXTAFTER('Banco de Dados'!$F519,"Order date:
",1),1,10),"-","/"))),VALUE(SUBSTITUTE(MID(_xlfn.TEXTAFTER('Banco de Dados'!$F519,"Fecha de pedido:
",1),1,10),"-","/"))),"-"),SMS!A:A,SMS!K:K),0),0)</f>
        <v>0</v>
      </c>
      <c r="AO519" s="109">
        <f ca="1">IF('Banco de Dados'!$AK519&lt;&gt;"-",IF('Banco de Dados'!$F519&lt;&gt;"-",IFERROR(_xlfn.XLOOKUP(_xlfn.CONCAT('Banco de Dados'!$A519,IFERROR(IFERROR(VALUE(SUBSTITUTE(MID(_xlfn.TEXTAFTER('Banco de Dados'!$F519,"Data do Pedido:
",1),1,10),"-","/")),VALUE(SUBSTITUTE(MID(_xlfn.TEXTAFTER('Banco de Dados'!$F519,"Order date:
",1),1,10),"-","/"))),0)),ProxyDD[Chave],ProxyDD[Valor por pedido]),PROXY!$P$2),0),0)</f>
        <v>0</v>
      </c>
      <c r="AP519" s="28">
        <f ca="1">IF('Banco de Dados'!$AK519&lt;&gt;"-",IF('Banco de Dados'!$AL519="NÃO",IFERROR(VALUE(SUBSTITUTE(_xlfn.TEXTAFTER('Banco de Dados'!$F519,"BRL ",1),".",",")),0),0),0)</f>
        <v>0</v>
      </c>
      <c r="AQ519" s="28">
        <f ca="1">SUM('Banco de Dados'!$AM519:$AP519)</f>
        <v>0</v>
      </c>
      <c r="AR519" s="8"/>
      <c r="AS519" s="8"/>
      <c r="AY519" s="8"/>
    </row>
    <row r="520" spans="1:51">
      <c r="A520" s="5" t="str">
        <v>BV</v>
      </c>
      <c r="B520" s="5" t="str">
        <f ca="1"/>
        <v>BV45630</v>
      </c>
      <c r="C520" s="8" t="str">
        <v>Pedido 508</v>
      </c>
      <c r="D520" s="9">
        <v>45630</v>
      </c>
      <c r="E520" s="9">
        <v>45630</v>
      </c>
      <c r="F520" s="8" t="str">
        <v>PedidoF495</v>
      </c>
      <c r="G520" s="2" t="str">
        <v>CódRastreio494</v>
      </c>
      <c r="H520" s="5">
        <v>1</v>
      </c>
      <c r="I520" s="182" t="str">
        <v>CPF 492</v>
      </c>
      <c r="J520" s="2" t="str">
        <v>Nome 492</v>
      </c>
      <c r="K520" s="8" t="str">
        <v>Tel 492</v>
      </c>
      <c r="L520" s="8" t="str">
        <v>Cep 492</v>
      </c>
      <c r="M520" s="8" t="str">
        <v>Rua 492</v>
      </c>
      <c r="N520" s="8" t="str">
        <v>Comp 492</v>
      </c>
      <c r="O520" s="8" t="str">
        <v>Ventilador Azul</v>
      </c>
      <c r="P520" s="8" t="str">
        <v>U8-2VWS-OB6M</v>
      </c>
      <c r="Q520" s="4">
        <v>45661</v>
      </c>
      <c r="R520" s="109">
        <v>65.989999999999995</v>
      </c>
      <c r="S520" s="11">
        <f ca="1"/>
        <v>65.989999999999995</v>
      </c>
      <c r="T520" s="28">
        <f ca="1"/>
        <v>8.5786999999999995</v>
      </c>
      <c r="U520" s="11">
        <f ca="1"/>
        <v>57.41</v>
      </c>
      <c r="V520" s="11">
        <v>21.95</v>
      </c>
      <c r="W520" s="11">
        <f ca="1"/>
        <v>0.08</v>
      </c>
      <c r="X520" s="11">
        <f ca="1"/>
        <v>0.39877104377104378</v>
      </c>
      <c r="Y520" s="11">
        <v>0</v>
      </c>
      <c r="Z520" s="11">
        <f ca="1"/>
        <v>34.981228956228954</v>
      </c>
      <c r="AA520" s="11">
        <f ca="1"/>
        <v>17.490614478114477</v>
      </c>
      <c r="AB520" s="4">
        <f ca="1"/>
        <v>45668</v>
      </c>
      <c r="AC520" s="4">
        <v>45668</v>
      </c>
      <c r="AD520" s="9">
        <v>45673</v>
      </c>
      <c r="AE520" s="9">
        <v>45673</v>
      </c>
      <c r="AF520" s="4" t="str">
        <f ca="1">_xlfn.CONCAT(PROPER(TEXT(AB520,"aaaa"))," ",PROPER(TEXT(AB520,"mm")))</f>
        <v>2025 01</v>
      </c>
      <c r="AG520" s="8" t="str" cm="1">
        <f t="array" ref="AG520">IFERROR(_xlfn.IFS('Banco de Dados'!#REF!="AG. COMPRA","Em processamento",'Banco de Dados'!#REF!="AG. RASTREIO","Em processamento",'Banco de Dados'!$AE520&lt;&gt;"-","Faturado",'Banco de Dados'!$AD520&lt;&gt;"-","Aguardando Pix",'Banco de Dados'!$AC520&lt;&gt;"-","Pendente"),"Aguardando Liberação")</f>
        <v>Aguardando Liberação</v>
      </c>
      <c r="AH520" s="5" t="str">
        <f>IF('Banco de Dados'!$F520="-",_xlfn.CONCAT(PROPER(TEXT(AK520,"aaaa"))," ",PROPER(TEXT(AK520,"mm"))),_xlfn.CONCAT(PROPER(TEXT(E520,"aaaa"))," ",PROPER(TEXT(E520,"mm"))))</f>
        <v>2024 12</v>
      </c>
      <c r="AI520" s="9" t="str">
        <f ca="1">IF('Banco de Dados'!$AK520&lt;&gt;"-","REEMBOLSO",IFERROR(_xlfn.XLOOKUP(G520,Follow[CODRASTREIO],Follow[STATUS]),"-"))</f>
        <v>ENTREGUE</v>
      </c>
      <c r="AJ520" s="9">
        <f ca="1">IF('Banco de Dados'!$AI520="ENTREGUE",_xlfn.XLOOKUP('Banco de Dados'!$G520,Follow[CODRASTREIO],Follow[DATAATUALIZAÇÃO]),"-")</f>
        <v>45652</v>
      </c>
      <c r="AK520" s="9" t="str">
        <f ca="1"/>
        <v>-</v>
      </c>
      <c r="AL520" s="35"/>
      <c r="AM520" s="109" cm="1">
        <f t="array" aca="1" ref="AM520" ca="1">IF('Banco de Dados'!$AK520&lt;&gt;"-",_xlfn.IFS('Banco de Dados'!$A520="bv",IF('Banco de Dados'!$E520&lt;45641,ROUND(SUM('Banco de Dados'!$R520*_xlfn.XLOOKUP('Banco de Dados'!$P520,Sku!B:B,Sku!#REF!)*20%),2),ROUND(SUM('Banco de Dados'!$R520*_xlfn.XLOOKUP('Banco de Dados'!$P520,Sku!B:B,Sku!H:H)*20%),2)),'Banco de Dados'!$A520="GO",ROUND(_xlfn.XLOOKUP('Banco de Dados'!$P520,Sku!C:C,Sku!H:H),2),'Banco de Dados'!$A520="MEI",ROUND(_xlfn.XLOOKUP('Banco de Dados'!$P520,Sku!D:D,Sku!H:H),2)),0)</f>
        <v>0</v>
      </c>
      <c r="AN520" s="109">
        <f ca="1">IF('Banco de Dados'!$AK520&lt;&gt;"-",IF('Banco de Dados'!$F520&lt;&gt;"-",_xlfn.XLOOKUP(IFERROR(IFERROR(IFERROR(VALUE(SUBSTITUTE(MID(_xlfn.TEXTAFTER('Banco de Dados'!$F520,"Data do Pedido:
",1),1,10),"-","/")),VALUE(SUBSTITUTE(MID(_xlfn.TEXTAFTER('Banco de Dados'!$F520,"Order date:
",1),1,10),"-","/"))),VALUE(SUBSTITUTE(MID(_xlfn.TEXTAFTER('Banco de Dados'!$F520,"Fecha de pedido:
",1),1,10),"-","/"))),"-"),SMS!A:A,SMS!K:K),0),0)</f>
        <v>0</v>
      </c>
      <c r="AO520" s="109">
        <f ca="1">IF('Banco de Dados'!$AK520&lt;&gt;"-",IF('Banco de Dados'!$F520&lt;&gt;"-",IFERROR(_xlfn.XLOOKUP(_xlfn.CONCAT('Banco de Dados'!$A520,IFERROR(IFERROR(VALUE(SUBSTITUTE(MID(_xlfn.TEXTAFTER('Banco de Dados'!$F520,"Data do Pedido:
",1),1,10),"-","/")),VALUE(SUBSTITUTE(MID(_xlfn.TEXTAFTER('Banco de Dados'!$F520,"Order date:
",1),1,10),"-","/"))),0)),ProxyDD[Chave],ProxyDD[Valor por pedido]),PROXY!$P$2),0),0)</f>
        <v>0</v>
      </c>
      <c r="AP520" s="28">
        <f ca="1">IF('Banco de Dados'!$AK520&lt;&gt;"-",IF('Banco de Dados'!$AL520="NÃO",IFERROR(VALUE(SUBSTITUTE(_xlfn.TEXTAFTER('Banco de Dados'!$F520,"BRL ",1),".",",")),0),0),0)</f>
        <v>0</v>
      </c>
      <c r="AQ520" s="28">
        <f ca="1">SUM('Banco de Dados'!$AM520:$AP520)</f>
        <v>0</v>
      </c>
      <c r="AR520" s="8"/>
      <c r="AS520" s="8"/>
      <c r="AY520" s="8"/>
    </row>
    <row r="521" spans="1:51">
      <c r="A521" s="5" t="str">
        <v>BV</v>
      </c>
      <c r="B521" s="5" t="str">
        <f ca="1"/>
        <v>BV45632</v>
      </c>
      <c r="C521" s="8" t="str">
        <v>Pedido 509</v>
      </c>
      <c r="D521" s="9">
        <v>45632</v>
      </c>
      <c r="E521" s="9">
        <v>45632</v>
      </c>
      <c r="F521" s="8" t="str">
        <v>PedidoF496</v>
      </c>
      <c r="G521" s="2" t="str">
        <v>-</v>
      </c>
      <c r="H521" s="5">
        <v>1</v>
      </c>
      <c r="I521" s="182" t="str">
        <v>CPF 493</v>
      </c>
      <c r="J521" s="2" t="str">
        <v>Nome 493</v>
      </c>
      <c r="K521" s="8" t="str">
        <v>Tel 493</v>
      </c>
      <c r="L521" s="8" t="str">
        <v>Cep 493</v>
      </c>
      <c r="M521" s="8" t="str">
        <v>Rua 493</v>
      </c>
      <c r="N521" s="8" t="str">
        <v>Comp 493</v>
      </c>
      <c r="O521" s="8" t="str">
        <v>Ventilador Azul</v>
      </c>
      <c r="P521" s="8" t="str">
        <v>U8-2VWS-OB6M</v>
      </c>
      <c r="Q521" s="4">
        <v>45654</v>
      </c>
      <c r="R521" s="109">
        <v>65.989999999999995</v>
      </c>
      <c r="S521" s="11">
        <f ca="1"/>
        <v>0</v>
      </c>
      <c r="T521" s="28">
        <f ca="1"/>
        <v>0</v>
      </c>
      <c r="U521" s="11">
        <f ca="1"/>
        <v>0</v>
      </c>
      <c r="V521" s="11">
        <v>0</v>
      </c>
      <c r="W521" s="11">
        <f ca="1"/>
        <v>0</v>
      </c>
      <c r="X521" s="11">
        <f ca="1"/>
        <v>0.39877104377104378</v>
      </c>
      <c r="Y521" s="11">
        <v>0</v>
      </c>
      <c r="Z521" s="11">
        <f ca="1"/>
        <v>-0.39877104377104378</v>
      </c>
      <c r="AA521" s="11">
        <f ca="1"/>
        <v>-0.19938552188552189</v>
      </c>
      <c r="AB521" s="4">
        <f ca="1"/>
        <v>45661</v>
      </c>
      <c r="AC521" s="4">
        <v>45661</v>
      </c>
      <c r="AD521" s="9">
        <v>45665</v>
      </c>
      <c r="AE521" s="9">
        <v>45673</v>
      </c>
      <c r="AF521" s="4" t="str">
        <f ca="1">_xlfn.CONCAT(PROPER(TEXT(AB521,"aaaa"))," ",PROPER(TEXT(AB521,"mm")))</f>
        <v>2025 01</v>
      </c>
      <c r="AG521" s="8" t="str" cm="1">
        <f t="array" ref="AG521">IFERROR(_xlfn.IFS('Banco de Dados'!#REF!="AG. COMPRA","Em processamento",'Banco de Dados'!#REF!="AG. RASTREIO","Em processamento",'Banco de Dados'!$AE521&lt;&gt;"-","Faturado",'Banco de Dados'!$AD521&lt;&gt;"-","Aguardando Pix",'Banco de Dados'!$AC521&lt;&gt;"-","Pendente"),"Aguardando Liberação")</f>
        <v>Aguardando Liberação</v>
      </c>
      <c r="AH521" s="5" t="str">
        <f>IF('Banco de Dados'!$F521="-",_xlfn.CONCAT(PROPER(TEXT(AK521,"aaaa"))," ",PROPER(TEXT(AK521,"mm"))),_xlfn.CONCAT(PROPER(TEXT(E521,"aaaa"))," ",PROPER(TEXT(E521,"mm"))))</f>
        <v>2024 12</v>
      </c>
      <c r="AI521" s="9" t="str">
        <f ca="1">IF('Banco de Dados'!$AK521&lt;&gt;"-","REEMBOLSO",IFERROR(_xlfn.XLOOKUP(G521,Follow[CODRASTREIO],Follow[STATUS]),"-"))</f>
        <v>REEMBOLSO</v>
      </c>
      <c r="AJ521" s="9" t="str">
        <f ca="1">IF('Banco de Dados'!$AI521="ENTREGUE",_xlfn.XLOOKUP('Banco de Dados'!$G521,Follow[CODRASTREIO],Follow[DATAATUALIZAÇÃO]),"-")</f>
        <v>-</v>
      </c>
      <c r="AK521" s="9">
        <f ca="1"/>
        <v>45632</v>
      </c>
      <c r="AL521" s="35"/>
      <c r="AM521" s="109" t="e" cm="1">
        <f t="array" aca="1" ref="AM521" ca="1">IF('Banco de Dados'!$AK521&lt;&gt;"-",_xlfn.IFS('Banco de Dados'!$A521="bv",IF('Banco de Dados'!$E521&lt;45641,ROUND(SUM('Banco de Dados'!$R521*_xlfn.XLOOKUP('Banco de Dados'!$P521,Sku!B:B,Sku!#REF!)*20%),2),ROUND(SUM('Banco de Dados'!$R521*_xlfn.XLOOKUP('Banco de Dados'!$P521,Sku!B:B,Sku!H:H)*20%),2)),'Banco de Dados'!$A521="GO",ROUND(_xlfn.XLOOKUP('Banco de Dados'!$P521,Sku!C:C,Sku!H:H),2),'Banco de Dados'!$A521="MEI",ROUND(_xlfn.XLOOKUP('Banco de Dados'!$P521,Sku!D:D,Sku!H:H),2)),0)</f>
        <v>#REF!</v>
      </c>
      <c r="AN521" s="109" t="e">
        <f ca="1">IF('Banco de Dados'!$AK521&lt;&gt;"-",IF('Banco de Dados'!$F521&lt;&gt;"-",_xlfn.XLOOKUP(IFERROR(IFERROR(IFERROR(VALUE(SUBSTITUTE(MID(_xlfn.TEXTAFTER('Banco de Dados'!$F521,"Data do Pedido:
",1),1,10),"-","/")),VALUE(SUBSTITUTE(MID(_xlfn.TEXTAFTER('Banco de Dados'!$F521,"Order date:
",1),1,10),"-","/"))),VALUE(SUBSTITUTE(MID(_xlfn.TEXTAFTER('Banco de Dados'!$F521,"Fecha de pedido:
",1),1,10),"-","/"))),"-"),SMS!A:A,SMS!K:K),0),0)</f>
        <v>#N/A</v>
      </c>
      <c r="AO521" s="109">
        <f ca="1">IF('Banco de Dados'!$AK521&lt;&gt;"-",IF('Banco de Dados'!$F521&lt;&gt;"-",IFERROR(_xlfn.XLOOKUP(_xlfn.CONCAT('Banco de Dados'!$A521,IFERROR(IFERROR(VALUE(SUBSTITUTE(MID(_xlfn.TEXTAFTER('Banco de Dados'!$F521,"Data do Pedido:
",1),1,10),"-","/")),VALUE(SUBSTITUTE(MID(_xlfn.TEXTAFTER('Banco de Dados'!$F521,"Order date:
",1),1,10),"-","/"))),0)),ProxyDD[Chave],ProxyDD[Valor por pedido]),PROXY!$P$2),0),0)</f>
        <v>0.39877104377104378</v>
      </c>
      <c r="AP521" s="28">
        <f ca="1">IF('Banco de Dados'!$AK521&lt;&gt;"-",IF('Banco de Dados'!$AL521="NÃO",IFERROR(VALUE(SUBSTITUTE(_xlfn.TEXTAFTER('Banco de Dados'!$F521,"BRL ",1),".",",")),0),0),0)</f>
        <v>0</v>
      </c>
      <c r="AQ521" s="28" t="e">
        <f ca="1">SUM('Banco de Dados'!$AM521:$AP521)</f>
        <v>#REF!</v>
      </c>
      <c r="AR521" s="8"/>
      <c r="AS521" s="8"/>
      <c r="AY521" s="8"/>
    </row>
    <row r="522" spans="1:51">
      <c r="A522" s="5" t="str">
        <v>BV</v>
      </c>
      <c r="B522" s="5" t="str">
        <f ca="1"/>
        <v>BV45632</v>
      </c>
      <c r="C522" s="8" t="str">
        <v>Pedido 510</v>
      </c>
      <c r="D522" s="9">
        <v>45632</v>
      </c>
      <c r="E522" s="9">
        <v>45632</v>
      </c>
      <c r="F522" s="8" t="str">
        <v>PedidoF497</v>
      </c>
      <c r="G522" s="2" t="str">
        <v>CódRastreio495</v>
      </c>
      <c r="H522" s="5">
        <v>1</v>
      </c>
      <c r="I522" s="182" t="str">
        <v>CPF 494</v>
      </c>
      <c r="J522" s="2" t="str">
        <v>Nome 494</v>
      </c>
      <c r="K522" s="8" t="str">
        <v>Tel 494</v>
      </c>
      <c r="L522" s="8" t="str">
        <v>Cep 494</v>
      </c>
      <c r="M522" s="8" t="str">
        <v>Rua 494</v>
      </c>
      <c r="N522" s="8" t="str">
        <v>Comp 494</v>
      </c>
      <c r="O522" s="8" t="str">
        <v>Ventilador Umidificador Branco</v>
      </c>
      <c r="P522" s="8" t="str">
        <v>IA-LLX9-MRV1</v>
      </c>
      <c r="Q522" s="4">
        <v>45657</v>
      </c>
      <c r="R522" s="109">
        <v>54.2</v>
      </c>
      <c r="S522" s="11">
        <f ca="1"/>
        <v>0</v>
      </c>
      <c r="T522" s="28">
        <f ca="1"/>
        <v>0</v>
      </c>
      <c r="U522" s="11">
        <f ca="1"/>
        <v>0</v>
      </c>
      <c r="V522" s="11">
        <v>0</v>
      </c>
      <c r="W522" s="11">
        <f ca="1"/>
        <v>0</v>
      </c>
      <c r="X522" s="11">
        <f ca="1"/>
        <v>0.39877104377104378</v>
      </c>
      <c r="Y522" s="11">
        <v>0</v>
      </c>
      <c r="Z522" s="11">
        <f ca="1"/>
        <v>-0.39877104377104378</v>
      </c>
      <c r="AA522" s="11">
        <f ca="1"/>
        <v>-0.19938552188552189</v>
      </c>
      <c r="AB522" s="4">
        <f ca="1"/>
        <v>45664</v>
      </c>
      <c r="AC522" s="4">
        <v>45664</v>
      </c>
      <c r="AD522" s="9">
        <v>45665</v>
      </c>
      <c r="AE522" s="9">
        <v>45673</v>
      </c>
      <c r="AF522" s="4" t="str">
        <f t="shared" ref="AF522:AF530" ca="1" si="12">_xlfn.CONCAT(PROPER(TEXT(AB522,"aaaa"))," ",PROPER(TEXT(AB522,"mm")))</f>
        <v>2025 01</v>
      </c>
      <c r="AG522" s="8" t="str" cm="1">
        <f t="array" ref="AG522">IFERROR(_xlfn.IFS('Banco de Dados'!#REF!="AG. COMPRA","Em processamento",'Banco de Dados'!#REF!="AG. RASTREIO","Em processamento",'Banco de Dados'!$AE522&lt;&gt;"-","Faturado",'Banco de Dados'!$AD522&lt;&gt;"-","Aguardando Pix",'Banco de Dados'!$AC522&lt;&gt;"-","Pendente"),"Aguardando Liberação")</f>
        <v>Aguardando Liberação</v>
      </c>
      <c r="AH522" s="5" t="str">
        <f>IF('Banco de Dados'!$F522="-",_xlfn.CONCAT(PROPER(TEXT(AK522,"aaaa"))," ",PROPER(TEXT(AK522,"mm"))),_xlfn.CONCAT(PROPER(TEXT(E522,"aaaa"))," ",PROPER(TEXT(E522,"mm"))))</f>
        <v>2024 12</v>
      </c>
      <c r="AI522" s="9" t="str">
        <f ca="1">IF('Banco de Dados'!$AK522&lt;&gt;"-","REEMBOLSO",IFERROR(_xlfn.XLOOKUP(G522,Follow[CODRASTREIO],Follow[STATUS]),"-"))</f>
        <v>REEMBOLSO</v>
      </c>
      <c r="AJ522" s="9" t="str">
        <f ca="1">IF('Banco de Dados'!$AI522="ENTREGUE",_xlfn.XLOOKUP('Banco de Dados'!$G522,Follow[CODRASTREIO],Follow[DATAATUALIZAÇÃO]),"-")</f>
        <v>-</v>
      </c>
      <c r="AK522" s="9">
        <f ca="1"/>
        <v>45663</v>
      </c>
      <c r="AL522" s="35"/>
      <c r="AM522" s="109" t="e" cm="1">
        <f t="array" aca="1" ref="AM522" ca="1">IF('Banco de Dados'!$AK522&lt;&gt;"-",_xlfn.IFS('Banco de Dados'!$A522="bv",IF('Banco de Dados'!$E522&lt;45641,ROUND(SUM('Banco de Dados'!$R522*_xlfn.XLOOKUP('Banco de Dados'!$P522,Sku!B:B,Sku!#REF!)*20%),2),ROUND(SUM('Banco de Dados'!$R522*_xlfn.XLOOKUP('Banco de Dados'!$P522,Sku!B:B,Sku!H:H)*20%),2)),'Banco de Dados'!$A522="GO",ROUND(_xlfn.XLOOKUP('Banco de Dados'!$P522,Sku!C:C,Sku!H:H),2),'Banco de Dados'!$A522="MEI",ROUND(_xlfn.XLOOKUP('Banco de Dados'!$P522,Sku!D:D,Sku!H:H),2)),0)</f>
        <v>#REF!</v>
      </c>
      <c r="AN522" s="109" t="e">
        <f ca="1">IF('Banco de Dados'!$AK522&lt;&gt;"-",IF('Banco de Dados'!$F522&lt;&gt;"-",_xlfn.XLOOKUP(IFERROR(IFERROR(IFERROR(VALUE(SUBSTITUTE(MID(_xlfn.TEXTAFTER('Banco de Dados'!$F522,"Data do Pedido:
",1),1,10),"-","/")),VALUE(SUBSTITUTE(MID(_xlfn.TEXTAFTER('Banco de Dados'!$F522,"Order date:
",1),1,10),"-","/"))),VALUE(SUBSTITUTE(MID(_xlfn.TEXTAFTER('Banco de Dados'!$F522,"Fecha de pedido:
",1),1,10),"-","/"))),"-"),SMS!A:A,SMS!K:K),0),0)</f>
        <v>#N/A</v>
      </c>
      <c r="AO522" s="109">
        <f ca="1">IF('Banco de Dados'!$AK522&lt;&gt;"-",IF('Banco de Dados'!$F522&lt;&gt;"-",IFERROR(_xlfn.XLOOKUP(_xlfn.CONCAT('Banco de Dados'!$A522,IFERROR(IFERROR(VALUE(SUBSTITUTE(MID(_xlfn.TEXTAFTER('Banco de Dados'!$F522,"Data do Pedido:
",1),1,10),"-","/")),VALUE(SUBSTITUTE(MID(_xlfn.TEXTAFTER('Banco de Dados'!$F522,"Order date:
",1),1,10),"-","/"))),0)),ProxyDD[Chave],ProxyDD[Valor por pedido]),PROXY!$P$2),0),0)</f>
        <v>0.39877104377104378</v>
      </c>
      <c r="AP522" s="28">
        <f ca="1">IF('Banco de Dados'!$AK522&lt;&gt;"-",IF('Banco de Dados'!$AL522="NÃO",IFERROR(VALUE(SUBSTITUTE(_xlfn.TEXTAFTER('Banco de Dados'!$F522,"BRL ",1),".",",")),0),0),0)</f>
        <v>0</v>
      </c>
      <c r="AQ522" s="28" t="e">
        <f ca="1">SUM('Banco de Dados'!$AM522:$AP522)</f>
        <v>#REF!</v>
      </c>
      <c r="AR522" s="8"/>
      <c r="AS522" s="8"/>
      <c r="AY522" s="8"/>
    </row>
    <row r="523" spans="1:51">
      <c r="A523" s="5" t="str">
        <v>BV</v>
      </c>
      <c r="B523" s="5" t="str">
        <f ca="1"/>
        <v>BV45632</v>
      </c>
      <c r="C523" s="8" t="str">
        <v>Pedido 511</v>
      </c>
      <c r="D523" s="9">
        <v>45632</v>
      </c>
      <c r="E523" s="9">
        <v>45632</v>
      </c>
      <c r="F523" s="8" t="str">
        <v>PedidoF498</v>
      </c>
      <c r="G523" s="2" t="str">
        <v>CódRastreio496</v>
      </c>
      <c r="H523" s="5">
        <v>1</v>
      </c>
      <c r="I523" s="182" t="str">
        <v>CPF 495</v>
      </c>
      <c r="J523" s="2" t="str">
        <v>Nome 495</v>
      </c>
      <c r="K523" s="8" t="str">
        <v>Tel 495</v>
      </c>
      <c r="L523" s="8" t="str">
        <v>Cep 495</v>
      </c>
      <c r="M523" s="8" t="str">
        <v>Rua 495</v>
      </c>
      <c r="N523" s="8" t="str">
        <v>Comp 495</v>
      </c>
      <c r="O523" s="8" t="str">
        <v>Suporte de Celular Branco</v>
      </c>
      <c r="P523" s="8" t="str">
        <v>16-4EDB-WMZF</v>
      </c>
      <c r="Q523" s="4">
        <v>45665</v>
      </c>
      <c r="R523" s="109">
        <v>18.899999999999999</v>
      </c>
      <c r="S523" s="11">
        <f ca="1"/>
        <v>18.899999999999999</v>
      </c>
      <c r="T523" s="28">
        <f ca="1"/>
        <v>2.8349999999999995</v>
      </c>
      <c r="U523" s="11">
        <f ca="1"/>
        <v>16.07</v>
      </c>
      <c r="V523" s="11">
        <v>7.99</v>
      </c>
      <c r="W523" s="11">
        <f ca="1"/>
        <v>0.22</v>
      </c>
      <c r="X523" s="11">
        <f ca="1"/>
        <v>0.39877104377104378</v>
      </c>
      <c r="Y523" s="11">
        <v>0</v>
      </c>
      <c r="Z523" s="11">
        <f ca="1"/>
        <v>7.4612289562289558</v>
      </c>
      <c r="AA523" s="11">
        <f ca="1"/>
        <v>3.7306144781144779</v>
      </c>
      <c r="AB523" s="4">
        <f ca="1"/>
        <v>45672</v>
      </c>
      <c r="AC523" s="4">
        <v>45672</v>
      </c>
      <c r="AD523" s="9">
        <v>45673</v>
      </c>
      <c r="AE523" s="9">
        <v>45673</v>
      </c>
      <c r="AF523" s="4" t="str">
        <f t="shared" ca="1" si="12"/>
        <v>2025 01</v>
      </c>
      <c r="AG523" s="8" t="str" cm="1">
        <f t="array" ref="AG523">IFERROR(_xlfn.IFS('Banco de Dados'!#REF!="AG. COMPRA","Em processamento",'Banco de Dados'!#REF!="AG. RASTREIO","Em processamento",'Banco de Dados'!$AE523&lt;&gt;"-","Faturado",'Banco de Dados'!$AD523&lt;&gt;"-","Aguardando Pix",'Banco de Dados'!$AC523&lt;&gt;"-","Pendente"),"Aguardando Liberação")</f>
        <v>Aguardando Liberação</v>
      </c>
      <c r="AH523" s="5" t="str">
        <f>IF('Banco de Dados'!$F523="-",_xlfn.CONCAT(PROPER(TEXT(AK523,"aaaa"))," ",PROPER(TEXT(AK523,"mm"))),_xlfn.CONCAT(PROPER(TEXT(E523,"aaaa"))," ",PROPER(TEXT(E523,"mm"))))</f>
        <v>2024 12</v>
      </c>
      <c r="AI523" s="9" t="str">
        <f ca="1">IF('Banco de Dados'!$AK523&lt;&gt;"-","REEMBOLSO",IFERROR(_xlfn.XLOOKUP(G523,Follow[CODRASTREIO],Follow[STATUS]),"-"))</f>
        <v>ENTREGUE</v>
      </c>
      <c r="AJ523" s="9">
        <f ca="1">IF('Banco de Dados'!$AI523="ENTREGUE",_xlfn.XLOOKUP('Banco de Dados'!$G523,Follow[CODRASTREIO],Follow[DATAATUALIZAÇÃO]),"-")</f>
        <v>45643</v>
      </c>
      <c r="AK523" s="9" t="str">
        <f ca="1"/>
        <v>-</v>
      </c>
      <c r="AL523" s="35"/>
      <c r="AM523" s="109" cm="1">
        <f t="array" aca="1" ref="AM523" ca="1">IF('Banco de Dados'!$AK523&lt;&gt;"-",_xlfn.IFS('Banco de Dados'!$A523="bv",IF('Banco de Dados'!$E523&lt;45641,ROUND(SUM('Banco de Dados'!$R523*_xlfn.XLOOKUP('Banco de Dados'!$P523,Sku!B:B,Sku!#REF!)*20%),2),ROUND(SUM('Banco de Dados'!$R523*_xlfn.XLOOKUP('Banco de Dados'!$P523,Sku!B:B,Sku!H:H)*20%),2)),'Banco de Dados'!$A523="GO",ROUND(_xlfn.XLOOKUP('Banco de Dados'!$P523,Sku!C:C,Sku!H:H),2),'Banco de Dados'!$A523="MEI",ROUND(_xlfn.XLOOKUP('Banco de Dados'!$P523,Sku!D:D,Sku!H:H),2)),0)</f>
        <v>0</v>
      </c>
      <c r="AN523" s="109">
        <f ca="1">IF('Banco de Dados'!$AK523&lt;&gt;"-",IF('Banco de Dados'!$F523&lt;&gt;"-",_xlfn.XLOOKUP(IFERROR(IFERROR(IFERROR(VALUE(SUBSTITUTE(MID(_xlfn.TEXTAFTER('Banco de Dados'!$F523,"Data do Pedido:
",1),1,10),"-","/")),VALUE(SUBSTITUTE(MID(_xlfn.TEXTAFTER('Banco de Dados'!$F523,"Order date:
",1),1,10),"-","/"))),VALUE(SUBSTITUTE(MID(_xlfn.TEXTAFTER('Banco de Dados'!$F523,"Fecha de pedido:
",1),1,10),"-","/"))),"-"),SMS!A:A,SMS!K:K),0),0)</f>
        <v>0</v>
      </c>
      <c r="AO523" s="109">
        <f ca="1">IF('Banco de Dados'!$AK523&lt;&gt;"-",IF('Banco de Dados'!$F523&lt;&gt;"-",IFERROR(_xlfn.XLOOKUP(_xlfn.CONCAT('Banco de Dados'!$A523,IFERROR(IFERROR(VALUE(SUBSTITUTE(MID(_xlfn.TEXTAFTER('Banco de Dados'!$F523,"Data do Pedido:
",1),1,10),"-","/")),VALUE(SUBSTITUTE(MID(_xlfn.TEXTAFTER('Banco de Dados'!$F523,"Order date:
",1),1,10),"-","/"))),0)),ProxyDD[Chave],ProxyDD[Valor por pedido]),PROXY!$P$2),0),0)</f>
        <v>0</v>
      </c>
      <c r="AP523" s="28">
        <f ca="1">IF('Banco de Dados'!$AK523&lt;&gt;"-",IF('Banco de Dados'!$AL523="NÃO",IFERROR(VALUE(SUBSTITUTE(_xlfn.TEXTAFTER('Banco de Dados'!$F523,"BRL ",1),".",",")),0),0),0)</f>
        <v>0</v>
      </c>
      <c r="AQ523" s="28">
        <f ca="1">SUM('Banco de Dados'!$AM523:$AP523)</f>
        <v>0</v>
      </c>
      <c r="AR523" s="8"/>
      <c r="AS523" s="8"/>
      <c r="AY523" s="8"/>
    </row>
    <row r="524" spans="1:51">
      <c r="A524" s="5" t="str">
        <v>BV</v>
      </c>
      <c r="B524" s="5" t="str">
        <f ca="1"/>
        <v>BV45632</v>
      </c>
      <c r="C524" s="8" t="str">
        <v>Pedido 512</v>
      </c>
      <c r="D524" s="9">
        <v>45632</v>
      </c>
      <c r="E524" s="9">
        <v>45632</v>
      </c>
      <c r="F524" s="8" t="str">
        <v>PedidoF499</v>
      </c>
      <c r="G524" s="2" t="str">
        <v>CódRastreio497</v>
      </c>
      <c r="H524" s="5">
        <v>1</v>
      </c>
      <c r="I524" s="182" t="str">
        <v>CPF 496</v>
      </c>
      <c r="J524" s="2" t="str">
        <v>Nome 496</v>
      </c>
      <c r="K524" s="8" t="str">
        <v>Tel 496</v>
      </c>
      <c r="L524" s="8" t="str">
        <v>Cep 496</v>
      </c>
      <c r="M524" s="8" t="str">
        <v>Rua 496</v>
      </c>
      <c r="N524" s="8" t="str">
        <v>Comp 496</v>
      </c>
      <c r="O524" s="8" t="str">
        <v>Suporte de Celular Branco</v>
      </c>
      <c r="P524" s="8" t="str">
        <v>16-4EDB-WMZF</v>
      </c>
      <c r="Q524" s="4">
        <v>45657</v>
      </c>
      <c r="R524" s="109">
        <v>18.899999999999999</v>
      </c>
      <c r="S524" s="11">
        <f ca="1"/>
        <v>18.899999999999999</v>
      </c>
      <c r="T524" s="28">
        <f ca="1"/>
        <v>2.8349999999999995</v>
      </c>
      <c r="U524" s="11">
        <f ca="1"/>
        <v>16.07</v>
      </c>
      <c r="V524" s="11">
        <v>7.99</v>
      </c>
      <c r="W524" s="11">
        <f ca="1"/>
        <v>0.22</v>
      </c>
      <c r="X524" s="11">
        <f ca="1"/>
        <v>0.39877104377104378</v>
      </c>
      <c r="Y524" s="11">
        <v>0</v>
      </c>
      <c r="Z524" s="11">
        <f ca="1"/>
        <v>7.4612289562289558</v>
      </c>
      <c r="AA524" s="11">
        <f ca="1"/>
        <v>3.7306144781144779</v>
      </c>
      <c r="AB524" s="4">
        <f ca="1"/>
        <v>45664</v>
      </c>
      <c r="AC524" s="4">
        <v>45664</v>
      </c>
      <c r="AD524" s="9">
        <v>45665</v>
      </c>
      <c r="AE524" s="9">
        <v>45673</v>
      </c>
      <c r="AF524" s="4" t="str">
        <f t="shared" ca="1" si="12"/>
        <v>2025 01</v>
      </c>
      <c r="AG524" s="8" t="str" cm="1">
        <f t="array" ref="AG524">IFERROR(_xlfn.IFS('Banco de Dados'!#REF!="AG. COMPRA","Em processamento",'Banco de Dados'!#REF!="AG. RASTREIO","Em processamento",'Banco de Dados'!$AE524&lt;&gt;"-","Faturado",'Banco de Dados'!$AD524&lt;&gt;"-","Aguardando Pix",'Banco de Dados'!$AC524&lt;&gt;"-","Pendente"),"Aguardando Liberação")</f>
        <v>Aguardando Liberação</v>
      </c>
      <c r="AH524" s="5" t="str">
        <f>IF('Banco de Dados'!$F524="-",_xlfn.CONCAT(PROPER(TEXT(AK524,"aaaa"))," ",PROPER(TEXT(AK524,"mm"))),_xlfn.CONCAT(PROPER(TEXT(E524,"aaaa"))," ",PROPER(TEXT(E524,"mm"))))</f>
        <v>2024 12</v>
      </c>
      <c r="AI524" s="9" t="str">
        <f ca="1">IF('Banco de Dados'!$AK524&lt;&gt;"-","REEMBOLSO",IFERROR(_xlfn.XLOOKUP(G524,Follow[CODRASTREIO],Follow[STATUS]),"-"))</f>
        <v>ENTREGUE</v>
      </c>
      <c r="AJ524" s="9">
        <f ca="1">IF('Banco de Dados'!$AI524="ENTREGUE",_xlfn.XLOOKUP('Banco de Dados'!$G524,Follow[CODRASTREIO],Follow[DATAATUALIZAÇÃO]),"-")</f>
        <v>45639</v>
      </c>
      <c r="AK524" s="9" t="str">
        <f ca="1"/>
        <v>-</v>
      </c>
      <c r="AL524" s="35"/>
      <c r="AM524" s="109" cm="1">
        <f t="array" aca="1" ref="AM524" ca="1">IF('Banco de Dados'!$AK524&lt;&gt;"-",_xlfn.IFS('Banco de Dados'!$A524="bv",IF('Banco de Dados'!$E524&lt;45641,ROUND(SUM('Banco de Dados'!$R524*_xlfn.XLOOKUP('Banco de Dados'!$P524,Sku!B:B,Sku!#REF!)*20%),2),ROUND(SUM('Banco de Dados'!$R524*_xlfn.XLOOKUP('Banco de Dados'!$P524,Sku!B:B,Sku!H:H)*20%),2)),'Banco de Dados'!$A524="GO",ROUND(_xlfn.XLOOKUP('Banco de Dados'!$P524,Sku!C:C,Sku!H:H),2),'Banco de Dados'!$A524="MEI",ROUND(_xlfn.XLOOKUP('Banco de Dados'!$P524,Sku!D:D,Sku!H:H),2)),0)</f>
        <v>0</v>
      </c>
      <c r="AN524" s="109">
        <f ca="1">IF('Banco de Dados'!$AK524&lt;&gt;"-",IF('Banco de Dados'!$F524&lt;&gt;"-",_xlfn.XLOOKUP(IFERROR(IFERROR(IFERROR(VALUE(SUBSTITUTE(MID(_xlfn.TEXTAFTER('Banco de Dados'!$F524,"Data do Pedido:
",1),1,10),"-","/")),VALUE(SUBSTITUTE(MID(_xlfn.TEXTAFTER('Banco de Dados'!$F524,"Order date:
",1),1,10),"-","/"))),VALUE(SUBSTITUTE(MID(_xlfn.TEXTAFTER('Banco de Dados'!$F524,"Fecha de pedido:
",1),1,10),"-","/"))),"-"),SMS!A:A,SMS!K:K),0),0)</f>
        <v>0</v>
      </c>
      <c r="AO524" s="109">
        <f ca="1">IF('Banco de Dados'!$AK524&lt;&gt;"-",IF('Banco de Dados'!$F524&lt;&gt;"-",IFERROR(_xlfn.XLOOKUP(_xlfn.CONCAT('Banco de Dados'!$A524,IFERROR(IFERROR(VALUE(SUBSTITUTE(MID(_xlfn.TEXTAFTER('Banco de Dados'!$F524,"Data do Pedido:
",1),1,10),"-","/")),VALUE(SUBSTITUTE(MID(_xlfn.TEXTAFTER('Banco de Dados'!$F524,"Order date:
",1),1,10),"-","/"))),0)),ProxyDD[Chave],ProxyDD[Valor por pedido]),PROXY!$P$2),0),0)</f>
        <v>0</v>
      </c>
      <c r="AP524" s="28">
        <f ca="1">IF('Banco de Dados'!$AK524&lt;&gt;"-",IF('Banco de Dados'!$AL524="NÃO",IFERROR(VALUE(SUBSTITUTE(_xlfn.TEXTAFTER('Banco de Dados'!$F524,"BRL ",1),".",",")),0),0),0)</f>
        <v>0</v>
      </c>
      <c r="AQ524" s="28">
        <f ca="1">SUM('Banco de Dados'!$AM524:$AP524)</f>
        <v>0</v>
      </c>
      <c r="AR524" s="8"/>
      <c r="AS524" s="8"/>
      <c r="AY524" s="8"/>
    </row>
    <row r="525" spans="1:51">
      <c r="A525" s="5" t="str">
        <v>BV</v>
      </c>
      <c r="B525" s="5" t="str">
        <f ca="1"/>
        <v>BV45632</v>
      </c>
      <c r="C525" s="8" t="str">
        <v>Pedido 513</v>
      </c>
      <c r="D525" s="9">
        <v>45632</v>
      </c>
      <c r="E525" s="9">
        <v>45632</v>
      </c>
      <c r="F525" s="8" t="str">
        <v>PedidoF500</v>
      </c>
      <c r="G525" s="2" t="str">
        <v>CódRastreio498</v>
      </c>
      <c r="H525" s="5">
        <v>1</v>
      </c>
      <c r="I525" s="182" t="str">
        <v>CPF 497</v>
      </c>
      <c r="J525" s="2" t="str">
        <v>Nome 497</v>
      </c>
      <c r="K525" s="8" t="str">
        <v>Tel 497</v>
      </c>
      <c r="L525" s="8" t="str">
        <v>Cep 497</v>
      </c>
      <c r="M525" s="8" t="str">
        <v>Rua 497</v>
      </c>
      <c r="N525" s="8" t="str">
        <v>Comp 497</v>
      </c>
      <c r="O525" s="8" t="str">
        <v>Ventilador Rosa</v>
      </c>
      <c r="P525" s="8" t="str">
        <v>IF-G2ZQ-79FO</v>
      </c>
      <c r="Q525" s="4">
        <v>45657</v>
      </c>
      <c r="R525" s="109">
        <v>39.799999999999997</v>
      </c>
      <c r="S525" s="11">
        <f ca="1"/>
        <v>39.799999999999997</v>
      </c>
      <c r="T525" s="28">
        <f ca="1"/>
        <v>5.1739999999999995</v>
      </c>
      <c r="U525" s="11">
        <f ca="1"/>
        <v>34.630000000000003</v>
      </c>
      <c r="V525" s="11">
        <v>16.48</v>
      </c>
      <c r="W525" s="11">
        <f ca="1"/>
        <v>0.22</v>
      </c>
      <c r="X525" s="11">
        <f ca="1"/>
        <v>0.39877104377104378</v>
      </c>
      <c r="Y525" s="11">
        <v>0</v>
      </c>
      <c r="Z525" s="11">
        <f ca="1"/>
        <v>17.531228956228958</v>
      </c>
      <c r="AA525" s="11">
        <f ca="1"/>
        <v>8.7656144781144789</v>
      </c>
      <c r="AB525" s="4">
        <f ca="1"/>
        <v>45664</v>
      </c>
      <c r="AC525" s="4">
        <v>45664</v>
      </c>
      <c r="AD525" s="9">
        <v>45665</v>
      </c>
      <c r="AE525" s="9">
        <v>45673</v>
      </c>
      <c r="AF525" s="4" t="str">
        <f t="shared" ca="1" si="12"/>
        <v>2025 01</v>
      </c>
      <c r="AG525" s="8" t="str" cm="1">
        <f t="array" ref="AG525">IFERROR(_xlfn.IFS('Banco de Dados'!#REF!="AG. COMPRA","Em processamento",'Banco de Dados'!#REF!="AG. RASTREIO","Em processamento",'Banco de Dados'!$AE525&lt;&gt;"-","Faturado",'Banco de Dados'!$AD525&lt;&gt;"-","Aguardando Pix",'Banco de Dados'!$AC525&lt;&gt;"-","Pendente"),"Aguardando Liberação")</f>
        <v>Aguardando Liberação</v>
      </c>
      <c r="AH525" s="5" t="str">
        <f>IF('Banco de Dados'!$F525="-",_xlfn.CONCAT(PROPER(TEXT(AK525,"aaaa"))," ",PROPER(TEXT(AK525,"mm"))),_xlfn.CONCAT(PROPER(TEXT(E525,"aaaa"))," ",PROPER(TEXT(E525,"mm"))))</f>
        <v>2024 12</v>
      </c>
      <c r="AI525" s="9" t="str">
        <f ca="1">IF('Banco de Dados'!$AK525&lt;&gt;"-","REEMBOLSO",IFERROR(_xlfn.XLOOKUP(G525,Follow[CODRASTREIO],Follow[STATUS]),"-"))</f>
        <v>ENTREGUE</v>
      </c>
      <c r="AJ525" s="9">
        <f ca="1">IF('Banco de Dados'!$AI525="ENTREGUE",_xlfn.XLOOKUP('Banco de Dados'!$G525,Follow[CODRASTREIO],Follow[DATAATUALIZAÇÃO]),"-")</f>
        <v>45646</v>
      </c>
      <c r="AK525" s="9" t="str">
        <f ca="1"/>
        <v>-</v>
      </c>
      <c r="AL525" s="35"/>
      <c r="AM525" s="109" cm="1">
        <f t="array" aca="1" ref="AM525" ca="1">IF('Banco de Dados'!$AK525&lt;&gt;"-",_xlfn.IFS('Banco de Dados'!$A525="bv",IF('Banco de Dados'!$E525&lt;45641,ROUND(SUM('Banco de Dados'!$R525*_xlfn.XLOOKUP('Banco de Dados'!$P525,Sku!B:B,Sku!#REF!)*20%),2),ROUND(SUM('Banco de Dados'!$R525*_xlfn.XLOOKUP('Banco de Dados'!$P525,Sku!B:B,Sku!H:H)*20%),2)),'Banco de Dados'!$A525="GO",ROUND(_xlfn.XLOOKUP('Banco de Dados'!$P525,Sku!C:C,Sku!H:H),2),'Banco de Dados'!$A525="MEI",ROUND(_xlfn.XLOOKUP('Banco de Dados'!$P525,Sku!D:D,Sku!H:H),2)),0)</f>
        <v>0</v>
      </c>
      <c r="AN525" s="109">
        <f ca="1">IF('Banco de Dados'!$AK525&lt;&gt;"-",IF('Banco de Dados'!$F525&lt;&gt;"-",_xlfn.XLOOKUP(IFERROR(IFERROR(IFERROR(VALUE(SUBSTITUTE(MID(_xlfn.TEXTAFTER('Banco de Dados'!$F525,"Data do Pedido:
",1),1,10),"-","/")),VALUE(SUBSTITUTE(MID(_xlfn.TEXTAFTER('Banco de Dados'!$F525,"Order date:
",1),1,10),"-","/"))),VALUE(SUBSTITUTE(MID(_xlfn.TEXTAFTER('Banco de Dados'!$F525,"Fecha de pedido:
",1),1,10),"-","/"))),"-"),SMS!A:A,SMS!K:K),0),0)</f>
        <v>0</v>
      </c>
      <c r="AO525" s="109">
        <f ca="1">IF('Banco de Dados'!$AK525&lt;&gt;"-",IF('Banco de Dados'!$F525&lt;&gt;"-",IFERROR(_xlfn.XLOOKUP(_xlfn.CONCAT('Banco de Dados'!$A525,IFERROR(IFERROR(VALUE(SUBSTITUTE(MID(_xlfn.TEXTAFTER('Banco de Dados'!$F525,"Data do Pedido:
",1),1,10),"-","/")),VALUE(SUBSTITUTE(MID(_xlfn.TEXTAFTER('Banco de Dados'!$F525,"Order date:
",1),1,10),"-","/"))),0)),ProxyDD[Chave],ProxyDD[Valor por pedido]),PROXY!$P$2),0),0)</f>
        <v>0</v>
      </c>
      <c r="AP525" s="28">
        <f ca="1">IF('Banco de Dados'!$AK525&lt;&gt;"-",IF('Banco de Dados'!$AL525="NÃO",IFERROR(VALUE(SUBSTITUTE(_xlfn.TEXTAFTER('Banco de Dados'!$F525,"BRL ",1),".",",")),0),0),0)</f>
        <v>0</v>
      </c>
      <c r="AQ525" s="28">
        <f ca="1">SUM('Banco de Dados'!$AM525:$AP525)</f>
        <v>0</v>
      </c>
      <c r="AR525" s="8"/>
      <c r="AS525" s="8"/>
      <c r="AY525" s="8"/>
    </row>
    <row r="526" spans="1:51">
      <c r="A526" s="5" t="str">
        <v>BV</v>
      </c>
      <c r="B526" s="5" t="str">
        <f ca="1"/>
        <v>BV45632</v>
      </c>
      <c r="C526" s="8" t="str">
        <v>Pedido 514</v>
      </c>
      <c r="D526" s="9">
        <v>45632</v>
      </c>
      <c r="E526" s="9">
        <v>45632</v>
      </c>
      <c r="F526" s="8" t="str">
        <v>PedidoF501</v>
      </c>
      <c r="G526" s="2" t="str">
        <v>CódRastreio499</v>
      </c>
      <c r="H526" s="5">
        <v>1</v>
      </c>
      <c r="I526" s="182" t="str">
        <v>CPF 498</v>
      </c>
      <c r="J526" s="2" t="str">
        <v>Nome 498</v>
      </c>
      <c r="K526" s="8" t="str">
        <v>Tel 498</v>
      </c>
      <c r="L526" s="8" t="str">
        <v>Cep 498</v>
      </c>
      <c r="M526" s="8" t="str">
        <v>Rua 498</v>
      </c>
      <c r="N526" s="8" t="str">
        <v>Comp 498</v>
      </c>
      <c r="O526" s="8" t="str">
        <v>Ventilador Rosa</v>
      </c>
      <c r="P526" s="8" t="str">
        <v>IF-G2ZQ-79FO</v>
      </c>
      <c r="Q526" s="4">
        <v>45665</v>
      </c>
      <c r="R526" s="109">
        <v>39.799999999999997</v>
      </c>
      <c r="S526" s="11">
        <f ca="1"/>
        <v>39.799999999999997</v>
      </c>
      <c r="T526" s="28">
        <f ca="1"/>
        <v>5.1739999999999995</v>
      </c>
      <c r="U526" s="11">
        <f ca="1"/>
        <v>34.630000000000003</v>
      </c>
      <c r="V526" s="11">
        <v>16.48</v>
      </c>
      <c r="W526" s="11">
        <f ca="1"/>
        <v>0.22</v>
      </c>
      <c r="X526" s="11">
        <f ca="1"/>
        <v>0.39877104377104378</v>
      </c>
      <c r="Y526" s="11">
        <v>0</v>
      </c>
      <c r="Z526" s="11">
        <f ca="1"/>
        <v>17.531228956228958</v>
      </c>
      <c r="AA526" s="11">
        <f ca="1"/>
        <v>8.7656144781144789</v>
      </c>
      <c r="AB526" s="4">
        <f ca="1"/>
        <v>45672</v>
      </c>
      <c r="AC526" s="4">
        <v>45672</v>
      </c>
      <c r="AD526" s="9">
        <v>45673</v>
      </c>
      <c r="AE526" s="9">
        <v>45673</v>
      </c>
      <c r="AF526" s="4" t="str">
        <f t="shared" ca="1" si="12"/>
        <v>2025 01</v>
      </c>
      <c r="AG526" s="8" t="str" cm="1">
        <f t="array" ref="AG526">IFERROR(_xlfn.IFS('Banco de Dados'!#REF!="AG. COMPRA","Em processamento",'Banco de Dados'!#REF!="AG. RASTREIO","Em processamento",'Banco de Dados'!$AE526&lt;&gt;"-","Faturado",'Banco de Dados'!$AD526&lt;&gt;"-","Aguardando Pix",'Banco de Dados'!$AC526&lt;&gt;"-","Pendente"),"Aguardando Liberação")</f>
        <v>Aguardando Liberação</v>
      </c>
      <c r="AH526" s="5" t="str">
        <f>IF('Banco de Dados'!$F526="-",_xlfn.CONCAT(PROPER(TEXT(AK526,"aaaa"))," ",PROPER(TEXT(AK526,"mm"))),_xlfn.CONCAT(PROPER(TEXT(E526,"aaaa"))," ",PROPER(TEXT(E526,"mm"))))</f>
        <v>2024 12</v>
      </c>
      <c r="AI526" s="9" t="str">
        <f ca="1">IF('Banco de Dados'!$AK526&lt;&gt;"-","REEMBOLSO",IFERROR(_xlfn.XLOOKUP(G526,Follow[CODRASTREIO],Follow[STATUS]),"-"))</f>
        <v>ENTREGUE</v>
      </c>
      <c r="AJ526" s="9">
        <f ca="1">IF('Banco de Dados'!$AI526="ENTREGUE",_xlfn.XLOOKUP('Banco de Dados'!$G526,Follow[CODRASTREIO],Follow[DATAATUALIZAÇÃO]),"-")</f>
        <v>45649</v>
      </c>
      <c r="AK526" s="9" t="str">
        <f ca="1"/>
        <v>-</v>
      </c>
      <c r="AL526" s="35"/>
      <c r="AM526" s="109" cm="1">
        <f t="array" aca="1" ref="AM526" ca="1">IF('Banco de Dados'!$AK526&lt;&gt;"-",_xlfn.IFS('Banco de Dados'!$A526="bv",IF('Banco de Dados'!$E526&lt;45641,ROUND(SUM('Banco de Dados'!$R526*_xlfn.XLOOKUP('Banco de Dados'!$P526,Sku!B:B,Sku!#REF!)*20%),2),ROUND(SUM('Banco de Dados'!$R526*_xlfn.XLOOKUP('Banco de Dados'!$P526,Sku!B:B,Sku!H:H)*20%),2)),'Banco de Dados'!$A526="GO",ROUND(_xlfn.XLOOKUP('Banco de Dados'!$P526,Sku!C:C,Sku!H:H),2),'Banco de Dados'!$A526="MEI",ROUND(_xlfn.XLOOKUP('Banco de Dados'!$P526,Sku!D:D,Sku!H:H),2)),0)</f>
        <v>0</v>
      </c>
      <c r="AN526" s="109">
        <f ca="1">IF('Banco de Dados'!$AK526&lt;&gt;"-",IF('Banco de Dados'!$F526&lt;&gt;"-",_xlfn.XLOOKUP(IFERROR(IFERROR(IFERROR(VALUE(SUBSTITUTE(MID(_xlfn.TEXTAFTER('Banco de Dados'!$F526,"Data do Pedido:
",1),1,10),"-","/")),VALUE(SUBSTITUTE(MID(_xlfn.TEXTAFTER('Banco de Dados'!$F526,"Order date:
",1),1,10),"-","/"))),VALUE(SUBSTITUTE(MID(_xlfn.TEXTAFTER('Banco de Dados'!$F526,"Fecha de pedido:
",1),1,10),"-","/"))),"-"),SMS!A:A,SMS!K:K),0),0)</f>
        <v>0</v>
      </c>
      <c r="AO526" s="109">
        <f ca="1">IF('Banco de Dados'!$AK526&lt;&gt;"-",IF('Banco de Dados'!$F526&lt;&gt;"-",IFERROR(_xlfn.XLOOKUP(_xlfn.CONCAT('Banco de Dados'!$A526,IFERROR(IFERROR(VALUE(SUBSTITUTE(MID(_xlfn.TEXTAFTER('Banco de Dados'!$F526,"Data do Pedido:
",1),1,10),"-","/")),VALUE(SUBSTITUTE(MID(_xlfn.TEXTAFTER('Banco de Dados'!$F526,"Order date:
",1),1,10),"-","/"))),0)),ProxyDD[Chave],ProxyDD[Valor por pedido]),PROXY!$P$2),0),0)</f>
        <v>0</v>
      </c>
      <c r="AP526" s="28">
        <f ca="1">IF('Banco de Dados'!$AK526&lt;&gt;"-",IF('Banco de Dados'!$AL526="NÃO",IFERROR(VALUE(SUBSTITUTE(_xlfn.TEXTAFTER('Banco de Dados'!$F526,"BRL ",1),".",",")),0),0),0)</f>
        <v>0</v>
      </c>
      <c r="AQ526" s="28">
        <f ca="1">SUM('Banco de Dados'!$AM526:$AP526)</f>
        <v>0</v>
      </c>
      <c r="AR526" s="8"/>
      <c r="AS526" s="8"/>
      <c r="AY526" s="8"/>
    </row>
    <row r="527" spans="1:51">
      <c r="A527" s="5" t="str">
        <v>BV</v>
      </c>
      <c r="B527" s="5" t="str">
        <f ca="1"/>
        <v>BV45632</v>
      </c>
      <c r="C527" s="8" t="str">
        <v>Pedido 515</v>
      </c>
      <c r="D527" s="9">
        <v>45632</v>
      </c>
      <c r="E527" s="9">
        <v>45632</v>
      </c>
      <c r="F527" s="8" t="str">
        <v>PedidoF502</v>
      </c>
      <c r="G527" s="2" t="str">
        <v>CódRastreio500</v>
      </c>
      <c r="H527" s="5">
        <v>1</v>
      </c>
      <c r="I527" s="182" t="str">
        <v>CPF 499</v>
      </c>
      <c r="J527" s="2" t="str">
        <v>Nome 499</v>
      </c>
      <c r="K527" s="8" t="str">
        <v>Tel 499</v>
      </c>
      <c r="L527" s="8" t="str">
        <v>Cep 499</v>
      </c>
      <c r="M527" s="8" t="str">
        <v>Rua 499</v>
      </c>
      <c r="N527" s="8" t="str">
        <v>Comp 499</v>
      </c>
      <c r="O527" s="8" t="str">
        <v>Ventilador Preto</v>
      </c>
      <c r="P527" s="8" t="str">
        <v>MU-J80P-95WF</v>
      </c>
      <c r="Q527" s="4">
        <v>45657</v>
      </c>
      <c r="R527" s="109">
        <v>65.7</v>
      </c>
      <c r="S527" s="11">
        <f ca="1"/>
        <v>65.7</v>
      </c>
      <c r="T527" s="28">
        <f ca="1"/>
        <v>8.5410000000000004</v>
      </c>
      <c r="U527" s="11">
        <f ca="1"/>
        <v>57.16</v>
      </c>
      <c r="V527" s="11">
        <v>27.89</v>
      </c>
      <c r="W527" s="11">
        <f ca="1"/>
        <v>0.22</v>
      </c>
      <c r="X527" s="11">
        <f ca="1"/>
        <v>0.39877104377104378</v>
      </c>
      <c r="Y527" s="11">
        <v>0</v>
      </c>
      <c r="Z527" s="11">
        <f ca="1"/>
        <v>28.651228956228952</v>
      </c>
      <c r="AA527" s="11">
        <f ca="1"/>
        <v>14.325614478114476</v>
      </c>
      <c r="AB527" s="4">
        <f ca="1"/>
        <v>45664</v>
      </c>
      <c r="AC527" s="4">
        <v>45664</v>
      </c>
      <c r="AD527" s="9">
        <v>45665</v>
      </c>
      <c r="AE527" s="9">
        <v>45673</v>
      </c>
      <c r="AF527" s="4" t="str">
        <f t="shared" ca="1" si="12"/>
        <v>2025 01</v>
      </c>
      <c r="AG527" s="8" t="str" cm="1">
        <f t="array" ref="AG527">IFERROR(_xlfn.IFS('Banco de Dados'!#REF!="AG. COMPRA","Em processamento",'Banco de Dados'!#REF!="AG. RASTREIO","Em processamento",'Banco de Dados'!$AE527&lt;&gt;"-","Faturado",'Banco de Dados'!$AD527&lt;&gt;"-","Aguardando Pix",'Banco de Dados'!$AC527&lt;&gt;"-","Pendente"),"Aguardando Liberação")</f>
        <v>Aguardando Liberação</v>
      </c>
      <c r="AH527" s="5" t="str">
        <f>IF('Banco de Dados'!$F527="-",_xlfn.CONCAT(PROPER(TEXT(AK527,"aaaa"))," ",PROPER(TEXT(AK527,"mm"))),_xlfn.CONCAT(PROPER(TEXT(E527,"aaaa"))," ",PROPER(TEXT(E527,"mm"))))</f>
        <v>2024 12</v>
      </c>
      <c r="AI527" s="9" t="str">
        <f ca="1">IF('Banco de Dados'!$AK527&lt;&gt;"-","REEMBOLSO",IFERROR(_xlfn.XLOOKUP(G527,Follow[CODRASTREIO],Follow[STATUS]),"-"))</f>
        <v>ENTREGUE</v>
      </c>
      <c r="AJ527" s="9">
        <f ca="1">IF('Banco de Dados'!$AI527="ENTREGUE",_xlfn.XLOOKUP('Banco de Dados'!$G527,Follow[CODRASTREIO],Follow[DATAATUALIZAÇÃO]),"-")</f>
        <v>45644</v>
      </c>
      <c r="AK527" s="9" t="str">
        <f ca="1"/>
        <v>-</v>
      </c>
      <c r="AL527" s="35"/>
      <c r="AM527" s="109" cm="1">
        <f t="array" aca="1" ref="AM527" ca="1">IF('Banco de Dados'!$AK527&lt;&gt;"-",_xlfn.IFS('Banco de Dados'!$A527="bv",IF('Banco de Dados'!$E527&lt;45641,ROUND(SUM('Banco de Dados'!$R527*_xlfn.XLOOKUP('Banco de Dados'!$P527,Sku!B:B,Sku!#REF!)*20%),2),ROUND(SUM('Banco de Dados'!$R527*_xlfn.XLOOKUP('Banco de Dados'!$P527,Sku!B:B,Sku!H:H)*20%),2)),'Banco de Dados'!$A527="GO",ROUND(_xlfn.XLOOKUP('Banco de Dados'!$P527,Sku!C:C,Sku!H:H),2),'Banco de Dados'!$A527="MEI",ROUND(_xlfn.XLOOKUP('Banco de Dados'!$P527,Sku!D:D,Sku!H:H),2)),0)</f>
        <v>0</v>
      </c>
      <c r="AN527" s="109">
        <f ca="1">IF('Banco de Dados'!$AK527&lt;&gt;"-",IF('Banco de Dados'!$F527&lt;&gt;"-",_xlfn.XLOOKUP(IFERROR(IFERROR(IFERROR(VALUE(SUBSTITUTE(MID(_xlfn.TEXTAFTER('Banco de Dados'!$F527,"Data do Pedido:
",1),1,10),"-","/")),VALUE(SUBSTITUTE(MID(_xlfn.TEXTAFTER('Banco de Dados'!$F527,"Order date:
",1),1,10),"-","/"))),VALUE(SUBSTITUTE(MID(_xlfn.TEXTAFTER('Banco de Dados'!$F527,"Fecha de pedido:
",1),1,10),"-","/"))),"-"),SMS!A:A,SMS!K:K),0),0)</f>
        <v>0</v>
      </c>
      <c r="AO527" s="109">
        <f ca="1">IF('Banco de Dados'!$AK527&lt;&gt;"-",IF('Banco de Dados'!$F527&lt;&gt;"-",IFERROR(_xlfn.XLOOKUP(_xlfn.CONCAT('Banco de Dados'!$A527,IFERROR(IFERROR(VALUE(SUBSTITUTE(MID(_xlfn.TEXTAFTER('Banco de Dados'!$F527,"Data do Pedido:
",1),1,10),"-","/")),VALUE(SUBSTITUTE(MID(_xlfn.TEXTAFTER('Banco de Dados'!$F527,"Order date:
",1),1,10),"-","/"))),0)),ProxyDD[Chave],ProxyDD[Valor por pedido]),PROXY!$P$2),0),0)</f>
        <v>0</v>
      </c>
      <c r="AP527" s="28">
        <f ca="1">IF('Banco de Dados'!$AK527&lt;&gt;"-",IF('Banco de Dados'!$AL527="NÃO",IFERROR(VALUE(SUBSTITUTE(_xlfn.TEXTAFTER('Banco de Dados'!$F527,"BRL ",1),".",",")),0),0),0)</f>
        <v>0</v>
      </c>
      <c r="AQ527" s="28">
        <f ca="1">SUM('Banco de Dados'!$AM527:$AP527)</f>
        <v>0</v>
      </c>
      <c r="AR527" s="8"/>
      <c r="AS527" s="8"/>
      <c r="AY527" s="8"/>
    </row>
    <row r="528" spans="1:51">
      <c r="A528" s="5" t="str">
        <v>BV</v>
      </c>
      <c r="B528" s="5" t="str">
        <f ca="1"/>
        <v>BV45632</v>
      </c>
      <c r="C528" s="8" t="str">
        <v>Pedido 516</v>
      </c>
      <c r="D528" s="9">
        <v>45632</v>
      </c>
      <c r="E528" s="9">
        <v>45632</v>
      </c>
      <c r="F528" s="8" t="str">
        <v>PedidoF503</v>
      </c>
      <c r="G528" s="2" t="str">
        <v>CódRastreio501</v>
      </c>
      <c r="H528" s="5">
        <v>1</v>
      </c>
      <c r="I528" s="182" t="str">
        <v>CPF 500</v>
      </c>
      <c r="J528" s="2" t="str">
        <v>Nome 500</v>
      </c>
      <c r="K528" s="8" t="str">
        <v>Tel 500</v>
      </c>
      <c r="L528" s="8" t="str">
        <v>Cep 500</v>
      </c>
      <c r="M528" s="8" t="str">
        <v>Rua 500</v>
      </c>
      <c r="N528" s="8" t="str">
        <v>Comp 500</v>
      </c>
      <c r="O528" s="8" t="str">
        <v>Ventilador Rosa</v>
      </c>
      <c r="P528" s="8" t="str">
        <v>IF-G2ZQ-79FO</v>
      </c>
      <c r="Q528" s="4">
        <v>45672</v>
      </c>
      <c r="R528" s="109">
        <v>42.8</v>
      </c>
      <c r="S528" s="11">
        <f ca="1"/>
        <v>42.8</v>
      </c>
      <c r="T528" s="28">
        <f ca="1"/>
        <v>5.5640000000000001</v>
      </c>
      <c r="U528" s="11">
        <f ca="1"/>
        <v>37.24</v>
      </c>
      <c r="V528" s="11">
        <v>23.73</v>
      </c>
      <c r="W528" s="11">
        <f ca="1"/>
        <v>0.22</v>
      </c>
      <c r="X528" s="11">
        <f ca="1"/>
        <v>0.39877104377104378</v>
      </c>
      <c r="Y528" s="11">
        <v>0</v>
      </c>
      <c r="Z528" s="11">
        <f ca="1"/>
        <v>12.891228956228957</v>
      </c>
      <c r="AA528" s="11">
        <f ca="1"/>
        <v>6.4456144781144786</v>
      </c>
      <c r="AB528" s="4">
        <f ca="1"/>
        <v>45679</v>
      </c>
      <c r="AC528" s="4">
        <v>45679</v>
      </c>
      <c r="AD528" s="9">
        <v>45679</v>
      </c>
      <c r="AE528" s="9">
        <v>45694</v>
      </c>
      <c r="AF528" s="4" t="str">
        <f t="shared" ca="1" si="12"/>
        <v>2025 01</v>
      </c>
      <c r="AG528" s="8" t="str" cm="1">
        <f t="array" ref="AG528">IFERROR(_xlfn.IFS('Banco de Dados'!#REF!="AG. COMPRA","Em processamento",'Banco de Dados'!#REF!="AG. RASTREIO","Em processamento",'Banco de Dados'!$AE528&lt;&gt;"-","Faturado",'Banco de Dados'!$AD528&lt;&gt;"-","Aguardando Pix",'Banco de Dados'!$AC528&lt;&gt;"-","Pendente"),"Aguardando Liberação")</f>
        <v>Aguardando Liberação</v>
      </c>
      <c r="AH528" s="5" t="str">
        <f>IF('Banco de Dados'!$F528="-",_xlfn.CONCAT(PROPER(TEXT(AK528,"aaaa"))," ",PROPER(TEXT(AK528,"mm"))),_xlfn.CONCAT(PROPER(TEXT(E528,"aaaa"))," ",PROPER(TEXT(E528,"mm"))))</f>
        <v>2024 12</v>
      </c>
      <c r="AI528" s="9" t="str">
        <f ca="1">IF('Banco de Dados'!$AK528&lt;&gt;"-","REEMBOLSO",IFERROR(_xlfn.XLOOKUP(G528,Follow[CODRASTREIO],Follow[STATUS]),"-"))</f>
        <v>ENTREGUE</v>
      </c>
      <c r="AJ528" s="9">
        <f ca="1">IF('Banco de Dados'!$AI528="ENTREGUE",_xlfn.XLOOKUP('Banco de Dados'!$G528,Follow[CODRASTREIO],Follow[DATAATUALIZAÇÃO]),"-")</f>
        <v>45650</v>
      </c>
      <c r="AK528" s="9" t="str">
        <f ca="1"/>
        <v>-</v>
      </c>
      <c r="AL528" s="35"/>
      <c r="AM528" s="109" cm="1">
        <f t="array" aca="1" ref="AM528" ca="1">IF('Banco de Dados'!$AK528&lt;&gt;"-",_xlfn.IFS('Banco de Dados'!$A528="bv",IF('Banco de Dados'!$E528&lt;45641,ROUND(SUM('Banco de Dados'!$R528*_xlfn.XLOOKUP('Banco de Dados'!$P528,Sku!B:B,Sku!#REF!)*20%),2),ROUND(SUM('Banco de Dados'!$R528*_xlfn.XLOOKUP('Banco de Dados'!$P528,Sku!B:B,Sku!H:H)*20%),2)),'Banco de Dados'!$A528="GO",ROUND(_xlfn.XLOOKUP('Banco de Dados'!$P528,Sku!C:C,Sku!H:H),2),'Banco de Dados'!$A528="MEI",ROUND(_xlfn.XLOOKUP('Banco de Dados'!$P528,Sku!D:D,Sku!H:H),2)),0)</f>
        <v>0</v>
      </c>
      <c r="AN528" s="109">
        <f ca="1">IF('Banco de Dados'!$AK528&lt;&gt;"-",IF('Banco de Dados'!$F528&lt;&gt;"-",_xlfn.XLOOKUP(IFERROR(IFERROR(IFERROR(VALUE(SUBSTITUTE(MID(_xlfn.TEXTAFTER('Banco de Dados'!$F528,"Data do Pedido:
",1),1,10),"-","/")),VALUE(SUBSTITUTE(MID(_xlfn.TEXTAFTER('Banco de Dados'!$F528,"Order date:
",1),1,10),"-","/"))),VALUE(SUBSTITUTE(MID(_xlfn.TEXTAFTER('Banco de Dados'!$F528,"Fecha de pedido:
",1),1,10),"-","/"))),"-"),SMS!A:A,SMS!K:K),0),0)</f>
        <v>0</v>
      </c>
      <c r="AO528" s="109">
        <f ca="1">IF('Banco de Dados'!$AK528&lt;&gt;"-",IF('Banco de Dados'!$F528&lt;&gt;"-",IFERROR(_xlfn.XLOOKUP(_xlfn.CONCAT('Banco de Dados'!$A528,IFERROR(IFERROR(VALUE(SUBSTITUTE(MID(_xlfn.TEXTAFTER('Banco de Dados'!$F528,"Data do Pedido:
",1),1,10),"-","/")),VALUE(SUBSTITUTE(MID(_xlfn.TEXTAFTER('Banco de Dados'!$F528,"Order date:
",1),1,10),"-","/"))),0)),ProxyDD[Chave],ProxyDD[Valor por pedido]),PROXY!$P$2),0),0)</f>
        <v>0</v>
      </c>
      <c r="AP528" s="28">
        <f ca="1">IF('Banco de Dados'!$AK528&lt;&gt;"-",IF('Banco de Dados'!$AL528="NÃO",IFERROR(VALUE(SUBSTITUTE(_xlfn.TEXTAFTER('Banco de Dados'!$F528,"BRL ",1),".",",")),0),0),0)</f>
        <v>0</v>
      </c>
      <c r="AQ528" s="28">
        <f ca="1">SUM('Banco de Dados'!$AM528:$AP528)</f>
        <v>0</v>
      </c>
      <c r="AR528" s="8"/>
      <c r="AS528" s="8"/>
      <c r="AY528" s="8"/>
    </row>
    <row r="529" spans="1:51">
      <c r="A529" s="5" t="str">
        <v>BV</v>
      </c>
      <c r="B529" s="5" t="str">
        <f ca="1"/>
        <v>BV45632</v>
      </c>
      <c r="C529" s="8" t="str">
        <v>Pedido 517</v>
      </c>
      <c r="D529" s="9">
        <v>45632</v>
      </c>
      <c r="E529" s="9">
        <v>45632</v>
      </c>
      <c r="F529" s="8" t="str">
        <v>PedidoF504</v>
      </c>
      <c r="G529" s="2" t="str">
        <v>CódRastreio502</v>
      </c>
      <c r="H529" s="5">
        <v>1</v>
      </c>
      <c r="I529" s="182" t="str">
        <v>CPF 501</v>
      </c>
      <c r="J529" s="2" t="str">
        <v>Nome 501</v>
      </c>
      <c r="K529" s="8" t="str">
        <v>Tel 501</v>
      </c>
      <c r="L529" s="8" t="str">
        <v>Cep 501</v>
      </c>
      <c r="M529" s="8" t="str">
        <v>Rua 501</v>
      </c>
      <c r="N529" s="8" t="str">
        <v>Comp 501</v>
      </c>
      <c r="O529" s="8" t="str">
        <v>Ventilador de teto</v>
      </c>
      <c r="P529" s="8" t="str">
        <v>BP-NHG2-B8C1</v>
      </c>
      <c r="Q529" s="4">
        <v>45665</v>
      </c>
      <c r="R529" s="109">
        <v>56.99</v>
      </c>
      <c r="S529" s="11">
        <f ca="1"/>
        <v>56.99</v>
      </c>
      <c r="T529" s="28">
        <f ca="1"/>
        <v>7.4087000000000005</v>
      </c>
      <c r="U529" s="11">
        <f ca="1"/>
        <v>49.58</v>
      </c>
      <c r="V529" s="11">
        <v>18.23</v>
      </c>
      <c r="W529" s="11">
        <f ca="1"/>
        <v>0.22</v>
      </c>
      <c r="X529" s="11">
        <f ca="1"/>
        <v>0.39877104377104378</v>
      </c>
      <c r="Y529" s="11">
        <v>0</v>
      </c>
      <c r="Z529" s="11">
        <f ca="1"/>
        <v>30.731228956228954</v>
      </c>
      <c r="AA529" s="11">
        <f ca="1"/>
        <v>15.365614478114477</v>
      </c>
      <c r="AB529" s="4">
        <f ca="1"/>
        <v>45672</v>
      </c>
      <c r="AC529" s="4">
        <v>45672</v>
      </c>
      <c r="AD529" s="9">
        <v>45673</v>
      </c>
      <c r="AE529" s="9">
        <v>45673</v>
      </c>
      <c r="AF529" s="4" t="str">
        <f t="shared" ca="1" si="12"/>
        <v>2025 01</v>
      </c>
      <c r="AG529" s="8" t="str" cm="1">
        <f t="array" ref="AG529">IFERROR(_xlfn.IFS('Banco de Dados'!#REF!="AG. COMPRA","Em processamento",'Banco de Dados'!#REF!="AG. RASTREIO","Em processamento",'Banco de Dados'!$AE529&lt;&gt;"-","Faturado",'Banco de Dados'!$AD529&lt;&gt;"-","Aguardando Pix",'Banco de Dados'!$AC529&lt;&gt;"-","Pendente"),"Aguardando Liberação")</f>
        <v>Aguardando Liberação</v>
      </c>
      <c r="AH529" s="5" t="str">
        <f>IF('Banco de Dados'!$F529="-",_xlfn.CONCAT(PROPER(TEXT(AK529,"aaaa"))," ",PROPER(TEXT(AK529,"mm"))),_xlfn.CONCAT(PROPER(TEXT(E529,"aaaa"))," ",PROPER(TEXT(E529,"mm"))))</f>
        <v>2024 12</v>
      </c>
      <c r="AI529" s="9" t="str">
        <f ca="1">IF('Banco de Dados'!$AK529&lt;&gt;"-","REEMBOLSO",IFERROR(_xlfn.XLOOKUP(G529,Follow[CODRASTREIO],Follow[STATUS]),"-"))</f>
        <v>ENTREGUE</v>
      </c>
      <c r="AJ529" s="9">
        <f ca="1">IF('Banco de Dados'!$AI529="ENTREGUE",_xlfn.XLOOKUP('Banco de Dados'!$G529,Follow[CODRASTREIO],Follow[DATAATUALIZAÇÃO]),"-")</f>
        <v>45646</v>
      </c>
      <c r="AK529" s="9" t="str">
        <f ca="1"/>
        <v>-</v>
      </c>
      <c r="AL529" s="35"/>
      <c r="AM529" s="109" cm="1">
        <f t="array" aca="1" ref="AM529" ca="1">IF('Banco de Dados'!$AK529&lt;&gt;"-",_xlfn.IFS('Banco de Dados'!$A529="bv",IF('Banco de Dados'!$E529&lt;45641,ROUND(SUM('Banco de Dados'!$R529*_xlfn.XLOOKUP('Banco de Dados'!$P529,Sku!B:B,Sku!#REF!)*20%),2),ROUND(SUM('Banco de Dados'!$R529*_xlfn.XLOOKUP('Banco de Dados'!$P529,Sku!B:B,Sku!H:H)*20%),2)),'Banco de Dados'!$A529="GO",ROUND(_xlfn.XLOOKUP('Banco de Dados'!$P529,Sku!C:C,Sku!H:H),2),'Banco de Dados'!$A529="MEI",ROUND(_xlfn.XLOOKUP('Banco de Dados'!$P529,Sku!D:D,Sku!H:H),2)),0)</f>
        <v>0</v>
      </c>
      <c r="AN529" s="109">
        <f ca="1">IF('Banco de Dados'!$AK529&lt;&gt;"-",IF('Banco de Dados'!$F529&lt;&gt;"-",_xlfn.XLOOKUP(IFERROR(IFERROR(IFERROR(VALUE(SUBSTITUTE(MID(_xlfn.TEXTAFTER('Banco de Dados'!$F529,"Data do Pedido:
",1),1,10),"-","/")),VALUE(SUBSTITUTE(MID(_xlfn.TEXTAFTER('Banco de Dados'!$F529,"Order date:
",1),1,10),"-","/"))),VALUE(SUBSTITUTE(MID(_xlfn.TEXTAFTER('Banco de Dados'!$F529,"Fecha de pedido:
",1),1,10),"-","/"))),"-"),SMS!A:A,SMS!K:K),0),0)</f>
        <v>0</v>
      </c>
      <c r="AO529" s="109">
        <f ca="1">IF('Banco de Dados'!$AK529&lt;&gt;"-",IF('Banco de Dados'!$F529&lt;&gt;"-",IFERROR(_xlfn.XLOOKUP(_xlfn.CONCAT('Banco de Dados'!$A529,IFERROR(IFERROR(VALUE(SUBSTITUTE(MID(_xlfn.TEXTAFTER('Banco de Dados'!$F529,"Data do Pedido:
",1),1,10),"-","/")),VALUE(SUBSTITUTE(MID(_xlfn.TEXTAFTER('Banco de Dados'!$F529,"Order date:
",1),1,10),"-","/"))),0)),ProxyDD[Chave],ProxyDD[Valor por pedido]),PROXY!$P$2),0),0)</f>
        <v>0</v>
      </c>
      <c r="AP529" s="28">
        <f ca="1">IF('Banco de Dados'!$AK529&lt;&gt;"-",IF('Banco de Dados'!$AL529="NÃO",IFERROR(VALUE(SUBSTITUTE(_xlfn.TEXTAFTER('Banco de Dados'!$F529,"BRL ",1),".",",")),0),0),0)</f>
        <v>0</v>
      </c>
      <c r="AQ529" s="28">
        <f ca="1">SUM('Banco de Dados'!$AM529:$AP529)</f>
        <v>0</v>
      </c>
      <c r="AR529" s="8"/>
      <c r="AS529" s="8"/>
      <c r="AY529" s="8"/>
    </row>
    <row r="530" spans="1:51">
      <c r="A530" s="5" t="str">
        <v>BV</v>
      </c>
      <c r="B530" s="5" t="str">
        <f ca="1"/>
        <v>BV45632</v>
      </c>
      <c r="C530" s="8" t="str">
        <v>Pedido 518</v>
      </c>
      <c r="D530" s="9">
        <v>45632</v>
      </c>
      <c r="E530" s="9">
        <v>45632</v>
      </c>
      <c r="F530" s="8" t="str">
        <v>PedidoF505</v>
      </c>
      <c r="G530" s="2" t="str">
        <v>CódRastreio503</v>
      </c>
      <c r="H530" s="5">
        <v>1</v>
      </c>
      <c r="I530" s="182" t="str">
        <v>CPF 502</v>
      </c>
      <c r="J530" s="2" t="str">
        <v>Nome 502</v>
      </c>
      <c r="K530" s="8" t="str">
        <v>Tel 502</v>
      </c>
      <c r="L530" s="8" t="str">
        <v>Cep 502</v>
      </c>
      <c r="M530" s="8" t="str">
        <v>Rua 502</v>
      </c>
      <c r="N530" s="8" t="str">
        <v>Comp 502</v>
      </c>
      <c r="O530" s="8" t="str">
        <v>Ventilador Azul</v>
      </c>
      <c r="P530" s="8" t="str">
        <v>U8-2VWS-OB6M</v>
      </c>
      <c r="Q530" s="4">
        <v>45657</v>
      </c>
      <c r="R530" s="109">
        <v>65.7</v>
      </c>
      <c r="S530" s="11">
        <f ca="1"/>
        <v>65.7</v>
      </c>
      <c r="T530" s="28">
        <f ca="1"/>
        <v>8.5410000000000004</v>
      </c>
      <c r="U530" s="11">
        <f ca="1"/>
        <v>57.16</v>
      </c>
      <c r="V530" s="11">
        <v>26.62</v>
      </c>
      <c r="W530" s="11">
        <f ca="1"/>
        <v>0.22</v>
      </c>
      <c r="X530" s="11">
        <f ca="1"/>
        <v>0.39877104377104378</v>
      </c>
      <c r="Y530" s="11">
        <v>0</v>
      </c>
      <c r="Z530" s="11">
        <f ca="1"/>
        <v>29.921228956228951</v>
      </c>
      <c r="AA530" s="11">
        <f ca="1"/>
        <v>14.960614478114476</v>
      </c>
      <c r="AB530" s="4">
        <f ca="1"/>
        <v>45664</v>
      </c>
      <c r="AC530" s="4">
        <v>45664</v>
      </c>
      <c r="AD530" s="9">
        <v>45665</v>
      </c>
      <c r="AE530" s="9">
        <v>45673</v>
      </c>
      <c r="AF530" s="4" t="str">
        <f t="shared" ca="1" si="12"/>
        <v>2025 01</v>
      </c>
      <c r="AG530" s="8" t="str" cm="1">
        <f t="array" ref="AG530">IFERROR(_xlfn.IFS('Banco de Dados'!#REF!="AG. COMPRA","Em processamento",'Banco de Dados'!#REF!="AG. RASTREIO","Em processamento",'Banco de Dados'!$AE530&lt;&gt;"-","Faturado",'Banco de Dados'!$AD530&lt;&gt;"-","Aguardando Pix",'Banco de Dados'!$AC530&lt;&gt;"-","Pendente"),"Aguardando Liberação")</f>
        <v>Aguardando Liberação</v>
      </c>
      <c r="AH530" s="5" t="str">
        <f>IF('Banco de Dados'!$F530="-",_xlfn.CONCAT(PROPER(TEXT(AK530,"aaaa"))," ",PROPER(TEXT(AK530,"mm"))),_xlfn.CONCAT(PROPER(TEXT(E530,"aaaa"))," ",PROPER(TEXT(E530,"mm"))))</f>
        <v>2024 12</v>
      </c>
      <c r="AI530" s="9" t="str">
        <f ca="1">IF('Banco de Dados'!$AK530&lt;&gt;"-","REEMBOLSO",IFERROR(_xlfn.XLOOKUP(G530,Follow[CODRASTREIO],Follow[STATUS]),"-"))</f>
        <v>ENTREGUE</v>
      </c>
      <c r="AJ530" s="9">
        <f ca="1">IF('Banco de Dados'!$AI530="ENTREGUE",_xlfn.XLOOKUP('Banco de Dados'!$G530,Follow[CODRASTREIO],Follow[DATAATUALIZAÇÃO]),"-")</f>
        <v>45645</v>
      </c>
      <c r="AK530" s="9" t="str">
        <f ca="1"/>
        <v>-</v>
      </c>
      <c r="AL530" s="35"/>
      <c r="AM530" s="109" cm="1">
        <f t="array" aca="1" ref="AM530" ca="1">IF('Banco de Dados'!$AK530&lt;&gt;"-",_xlfn.IFS('Banco de Dados'!$A530="bv",IF('Banco de Dados'!$E530&lt;45641,ROUND(SUM('Banco de Dados'!$R530*_xlfn.XLOOKUP('Banco de Dados'!$P530,Sku!B:B,Sku!#REF!)*20%),2),ROUND(SUM('Banco de Dados'!$R530*_xlfn.XLOOKUP('Banco de Dados'!$P530,Sku!B:B,Sku!H:H)*20%),2)),'Banco de Dados'!$A530="GO",ROUND(_xlfn.XLOOKUP('Banco de Dados'!$P530,Sku!C:C,Sku!H:H),2),'Banco de Dados'!$A530="MEI",ROUND(_xlfn.XLOOKUP('Banco de Dados'!$P530,Sku!D:D,Sku!H:H),2)),0)</f>
        <v>0</v>
      </c>
      <c r="AN530" s="109">
        <f ca="1">IF('Banco de Dados'!$AK530&lt;&gt;"-",IF('Banco de Dados'!$F530&lt;&gt;"-",_xlfn.XLOOKUP(IFERROR(IFERROR(IFERROR(VALUE(SUBSTITUTE(MID(_xlfn.TEXTAFTER('Banco de Dados'!$F530,"Data do Pedido:
",1),1,10),"-","/")),VALUE(SUBSTITUTE(MID(_xlfn.TEXTAFTER('Banco de Dados'!$F530,"Order date:
",1),1,10),"-","/"))),VALUE(SUBSTITUTE(MID(_xlfn.TEXTAFTER('Banco de Dados'!$F530,"Fecha de pedido:
",1),1,10),"-","/"))),"-"),SMS!A:A,SMS!K:K),0),0)</f>
        <v>0</v>
      </c>
      <c r="AO530" s="109">
        <f ca="1">IF('Banco de Dados'!$AK530&lt;&gt;"-",IF('Banco de Dados'!$F530&lt;&gt;"-",IFERROR(_xlfn.XLOOKUP(_xlfn.CONCAT('Banco de Dados'!$A530,IFERROR(IFERROR(VALUE(SUBSTITUTE(MID(_xlfn.TEXTAFTER('Banco de Dados'!$F530,"Data do Pedido:
",1),1,10),"-","/")),VALUE(SUBSTITUTE(MID(_xlfn.TEXTAFTER('Banco de Dados'!$F530,"Order date:
",1),1,10),"-","/"))),0)),ProxyDD[Chave],ProxyDD[Valor por pedido]),PROXY!$P$2),0),0)</f>
        <v>0</v>
      </c>
      <c r="AP530" s="28">
        <f ca="1">IF('Banco de Dados'!$AK530&lt;&gt;"-",IF('Banco de Dados'!$AL530="NÃO",IFERROR(VALUE(SUBSTITUTE(_xlfn.TEXTAFTER('Banco de Dados'!$F530,"BRL ",1),".",",")),0),0),0)</f>
        <v>0</v>
      </c>
      <c r="AQ530" s="28">
        <f ca="1">SUM('Banco de Dados'!$AM530:$AP530)</f>
        <v>0</v>
      </c>
      <c r="AR530" s="8"/>
      <c r="AS530" s="8"/>
      <c r="AY530" s="8"/>
    </row>
    <row r="531" spans="1:51">
      <c r="A531" s="5" t="str">
        <v>BV</v>
      </c>
      <c r="B531" s="5" t="str">
        <f ca="1"/>
        <v>BV45632</v>
      </c>
      <c r="C531" s="8" t="str">
        <v>Pedido 519</v>
      </c>
      <c r="D531" s="9">
        <v>45632</v>
      </c>
      <c r="E531" s="9">
        <v>45632</v>
      </c>
      <c r="F531" s="8" t="str">
        <v>PedidoF506</v>
      </c>
      <c r="G531" s="2" t="str">
        <v>CódRastreio504</v>
      </c>
      <c r="H531" s="5">
        <v>1</v>
      </c>
      <c r="I531" s="182" t="str">
        <v>CPF 503</v>
      </c>
      <c r="J531" s="2" t="str">
        <v>Nome 503</v>
      </c>
      <c r="K531" s="8" t="str">
        <v>Tel 503</v>
      </c>
      <c r="L531" s="8" t="str">
        <v>Cep 503</v>
      </c>
      <c r="M531" s="8" t="str">
        <v>Rua 503</v>
      </c>
      <c r="N531" s="8" t="str">
        <v>Comp 503</v>
      </c>
      <c r="O531" s="8" t="str">
        <v>Ventilador Rosa</v>
      </c>
      <c r="P531" s="8" t="str">
        <v>IF-G2ZQ-79FO</v>
      </c>
      <c r="Q531" s="4">
        <v>45672</v>
      </c>
      <c r="R531" s="109">
        <v>42.8</v>
      </c>
      <c r="S531" s="11">
        <f ca="1"/>
        <v>42.8</v>
      </c>
      <c r="T531" s="28">
        <f ca="1"/>
        <v>5.5640000000000001</v>
      </c>
      <c r="U531" s="11">
        <f ca="1"/>
        <v>37.24</v>
      </c>
      <c r="V531" s="11">
        <v>23.73</v>
      </c>
      <c r="W531" s="11">
        <f ca="1"/>
        <v>0.22</v>
      </c>
      <c r="X531" s="11">
        <f ca="1"/>
        <v>0.39877104377104378</v>
      </c>
      <c r="Y531" s="11">
        <v>0</v>
      </c>
      <c r="Z531" s="11">
        <f ca="1"/>
        <v>12.891228956228957</v>
      </c>
      <c r="AA531" s="11">
        <f ca="1"/>
        <v>6.4456144781144786</v>
      </c>
      <c r="AB531" s="4">
        <f ca="1"/>
        <v>45679</v>
      </c>
      <c r="AC531" s="4">
        <v>45679</v>
      </c>
      <c r="AD531" s="9">
        <v>45679</v>
      </c>
      <c r="AE531" s="9">
        <v>45694</v>
      </c>
      <c r="AF531" s="4" t="str">
        <f t="shared" ref="AF531:AF540" ca="1" si="13">_xlfn.CONCAT(PROPER(TEXT(AB531,"aaaa"))," ",PROPER(TEXT(AB531,"mm")))</f>
        <v>2025 01</v>
      </c>
      <c r="AG531" s="8" t="str" cm="1">
        <f t="array" ref="AG531">IFERROR(_xlfn.IFS('Banco de Dados'!#REF!="AG. COMPRA","Em processamento",'Banco de Dados'!#REF!="AG. RASTREIO","Em processamento",'Banco de Dados'!$AE531&lt;&gt;"-","Faturado",'Banco de Dados'!$AD531&lt;&gt;"-","Aguardando Pix",'Banco de Dados'!$AC531&lt;&gt;"-","Pendente"),"Aguardando Liberação")</f>
        <v>Aguardando Liberação</v>
      </c>
      <c r="AH531" s="5" t="str">
        <f>IF('Banco de Dados'!$F531="-",_xlfn.CONCAT(PROPER(TEXT(AK531,"aaaa"))," ",PROPER(TEXT(AK531,"mm"))),_xlfn.CONCAT(PROPER(TEXT(E531,"aaaa"))," ",PROPER(TEXT(E531,"mm"))))</f>
        <v>2024 12</v>
      </c>
      <c r="AI531" s="9" t="str">
        <f ca="1">IF('Banco de Dados'!$AK531&lt;&gt;"-","REEMBOLSO",IFERROR(_xlfn.XLOOKUP(G531,Follow[CODRASTREIO],Follow[STATUS]),"-"))</f>
        <v>ENTREGUE</v>
      </c>
      <c r="AJ531" s="9">
        <f ca="1">IF('Banco de Dados'!$AI531="ENTREGUE",_xlfn.XLOOKUP('Banco de Dados'!$G531,Follow[CODRASTREIO],Follow[DATAATUALIZAÇÃO]),"-")</f>
        <v>45665</v>
      </c>
      <c r="AK531" s="9" t="str">
        <f ca="1"/>
        <v>-</v>
      </c>
      <c r="AL531" s="35"/>
      <c r="AM531" s="109" cm="1">
        <f t="array" aca="1" ref="AM531" ca="1">IF('Banco de Dados'!$AK531&lt;&gt;"-",_xlfn.IFS('Banco de Dados'!$A531="bv",IF('Banco de Dados'!$E531&lt;45641,ROUND(SUM('Banco de Dados'!$R531*_xlfn.XLOOKUP('Banco de Dados'!$P531,Sku!B:B,Sku!#REF!)*20%),2),ROUND(SUM('Banco de Dados'!$R531*_xlfn.XLOOKUP('Banco de Dados'!$P531,Sku!B:B,Sku!H:H)*20%),2)),'Banco de Dados'!$A531="GO",ROUND(_xlfn.XLOOKUP('Banco de Dados'!$P531,Sku!C:C,Sku!H:H),2),'Banco de Dados'!$A531="MEI",ROUND(_xlfn.XLOOKUP('Banco de Dados'!$P531,Sku!D:D,Sku!H:H),2)),0)</f>
        <v>0</v>
      </c>
      <c r="AN531" s="109">
        <f ca="1">IF('Banco de Dados'!$AK531&lt;&gt;"-",IF('Banco de Dados'!$F531&lt;&gt;"-",_xlfn.XLOOKUP(IFERROR(IFERROR(IFERROR(VALUE(SUBSTITUTE(MID(_xlfn.TEXTAFTER('Banco de Dados'!$F531,"Data do Pedido:
",1),1,10),"-","/")),VALUE(SUBSTITUTE(MID(_xlfn.TEXTAFTER('Banco de Dados'!$F531,"Order date:
",1),1,10),"-","/"))),VALUE(SUBSTITUTE(MID(_xlfn.TEXTAFTER('Banco de Dados'!$F531,"Fecha de pedido:
",1),1,10),"-","/"))),"-"),SMS!A:A,SMS!K:K),0),0)</f>
        <v>0</v>
      </c>
      <c r="AO531" s="109">
        <f ca="1">IF('Banco de Dados'!$AK531&lt;&gt;"-",IF('Banco de Dados'!$F531&lt;&gt;"-",IFERROR(_xlfn.XLOOKUP(_xlfn.CONCAT('Banco de Dados'!$A531,IFERROR(IFERROR(VALUE(SUBSTITUTE(MID(_xlfn.TEXTAFTER('Banco de Dados'!$F531,"Data do Pedido:
",1),1,10),"-","/")),VALUE(SUBSTITUTE(MID(_xlfn.TEXTAFTER('Banco de Dados'!$F531,"Order date:
",1),1,10),"-","/"))),0)),ProxyDD[Chave],ProxyDD[Valor por pedido]),PROXY!$P$2),0),0)</f>
        <v>0</v>
      </c>
      <c r="AP531" s="28">
        <f ca="1">IF('Banco de Dados'!$AK531&lt;&gt;"-",IF('Banco de Dados'!$AL531="NÃO",IFERROR(VALUE(SUBSTITUTE(_xlfn.TEXTAFTER('Banco de Dados'!$F531,"BRL ",1),".",",")),0),0),0)</f>
        <v>0</v>
      </c>
      <c r="AQ531" s="28">
        <f ca="1">SUM('Banco de Dados'!$AM531:$AP531)</f>
        <v>0</v>
      </c>
      <c r="AR531" s="8"/>
      <c r="AS531" s="8"/>
      <c r="AY531" s="8"/>
    </row>
    <row r="532" spans="1:51">
      <c r="A532" s="5" t="str">
        <v>BV</v>
      </c>
      <c r="B532" s="5" t="str">
        <f ca="1"/>
        <v>BV45635</v>
      </c>
      <c r="C532" s="8" t="str">
        <v>Pedido 520</v>
      </c>
      <c r="D532" s="9">
        <v>45635</v>
      </c>
      <c r="E532" s="9">
        <v>45635</v>
      </c>
      <c r="F532" s="8" t="str">
        <v>PedidoF507</v>
      </c>
      <c r="G532" s="2" t="str">
        <v>CódRastreio505</v>
      </c>
      <c r="H532" s="5">
        <v>1</v>
      </c>
      <c r="I532" s="182" t="str">
        <v>CPF 504</v>
      </c>
      <c r="J532" s="2" t="str">
        <v>Nome 504</v>
      </c>
      <c r="K532" s="8" t="str">
        <v>Tel 504</v>
      </c>
      <c r="L532" s="8" t="str">
        <v>Cep 504</v>
      </c>
      <c r="M532" s="8" t="str">
        <v>Rua 504</v>
      </c>
      <c r="N532" s="8" t="str">
        <v>Comp 504</v>
      </c>
      <c r="O532" s="8" t="str">
        <v>Ventilador Preto</v>
      </c>
      <c r="P532" s="8" t="str">
        <v>MU-J80P-95WF</v>
      </c>
      <c r="Q532" s="4">
        <v>45657</v>
      </c>
      <c r="R532" s="109">
        <v>100</v>
      </c>
      <c r="S532" s="11">
        <f ca="1"/>
        <v>100</v>
      </c>
      <c r="T532" s="28">
        <f ca="1"/>
        <v>13</v>
      </c>
      <c r="U532" s="11">
        <f ca="1"/>
        <v>87</v>
      </c>
      <c r="V532" s="11">
        <v>19.690000000000001</v>
      </c>
      <c r="W532" s="11">
        <f ca="1"/>
        <v>0.2</v>
      </c>
      <c r="X532" s="11">
        <f ca="1"/>
        <v>0.39877104377104378</v>
      </c>
      <c r="Y532" s="11">
        <v>0</v>
      </c>
      <c r="Z532" s="11">
        <f ca="1"/>
        <v>66.71122895622895</v>
      </c>
      <c r="AA532" s="11">
        <f ca="1"/>
        <v>33.355614478114475</v>
      </c>
      <c r="AB532" s="4">
        <f ca="1"/>
        <v>45664</v>
      </c>
      <c r="AC532" s="4">
        <v>45664</v>
      </c>
      <c r="AD532" s="9">
        <v>45665</v>
      </c>
      <c r="AE532" s="9">
        <v>45673</v>
      </c>
      <c r="AF532" s="4" t="str">
        <f t="shared" ca="1" si="13"/>
        <v>2025 01</v>
      </c>
      <c r="AG532" s="8" t="str" cm="1">
        <f t="array" ref="AG532">IFERROR(_xlfn.IFS('Banco de Dados'!#REF!="AG. COMPRA","Em processamento",'Banco de Dados'!#REF!="AG. RASTREIO","Em processamento",'Banco de Dados'!$AE532&lt;&gt;"-","Faturado",'Banco de Dados'!$AD532&lt;&gt;"-","Aguardando Pix",'Banco de Dados'!$AC532&lt;&gt;"-","Pendente"),"Aguardando Liberação")</f>
        <v>Aguardando Liberação</v>
      </c>
      <c r="AH532" s="5" t="str">
        <f>IF('Banco de Dados'!$F532="-",_xlfn.CONCAT(PROPER(TEXT(AK532,"aaaa"))," ",PROPER(TEXT(AK532,"mm"))),_xlfn.CONCAT(PROPER(TEXT(E532,"aaaa"))," ",PROPER(TEXT(E532,"mm"))))</f>
        <v>2024 12</v>
      </c>
      <c r="AI532" s="9" t="str">
        <f ca="1">IF('Banco de Dados'!$AK532&lt;&gt;"-","REEMBOLSO",IFERROR(_xlfn.XLOOKUP(G532,Follow[CODRASTREIO],Follow[STATUS]),"-"))</f>
        <v>ENTREGUE</v>
      </c>
      <c r="AJ532" s="9">
        <f ca="1">IF('Banco de Dados'!$AI532="ENTREGUE",_xlfn.XLOOKUP('Banco de Dados'!$G532,Follow[CODRASTREIO],Follow[DATAATUALIZAÇÃO]),"-")</f>
        <v>45645</v>
      </c>
      <c r="AK532" s="9" t="str">
        <f ca="1"/>
        <v>-</v>
      </c>
      <c r="AL532" s="35"/>
      <c r="AM532" s="109" cm="1">
        <f t="array" aca="1" ref="AM532" ca="1">IF('Banco de Dados'!$AK532&lt;&gt;"-",_xlfn.IFS('Banco de Dados'!$A532="bv",IF('Banco de Dados'!$E532&lt;45641,ROUND(SUM('Banco de Dados'!$R532*_xlfn.XLOOKUP('Banco de Dados'!$P532,Sku!B:B,Sku!#REF!)*20%),2),ROUND(SUM('Banco de Dados'!$R532*_xlfn.XLOOKUP('Banco de Dados'!$P532,Sku!B:B,Sku!H:H)*20%),2)),'Banco de Dados'!$A532="GO",ROUND(_xlfn.XLOOKUP('Banco de Dados'!$P532,Sku!C:C,Sku!H:H),2),'Banco de Dados'!$A532="MEI",ROUND(_xlfn.XLOOKUP('Banco de Dados'!$P532,Sku!D:D,Sku!H:H),2)),0)</f>
        <v>0</v>
      </c>
      <c r="AN532" s="109">
        <f ca="1">IF('Banco de Dados'!$AK532&lt;&gt;"-",IF('Banco de Dados'!$F532&lt;&gt;"-",_xlfn.XLOOKUP(IFERROR(IFERROR(IFERROR(VALUE(SUBSTITUTE(MID(_xlfn.TEXTAFTER('Banco de Dados'!$F532,"Data do Pedido:
",1),1,10),"-","/")),VALUE(SUBSTITUTE(MID(_xlfn.TEXTAFTER('Banco de Dados'!$F532,"Order date:
",1),1,10),"-","/"))),VALUE(SUBSTITUTE(MID(_xlfn.TEXTAFTER('Banco de Dados'!$F532,"Fecha de pedido:
",1),1,10),"-","/"))),"-"),SMS!A:A,SMS!K:K),0),0)</f>
        <v>0</v>
      </c>
      <c r="AO532" s="109">
        <f ca="1">IF('Banco de Dados'!$AK532&lt;&gt;"-",IF('Banco de Dados'!$F532&lt;&gt;"-",IFERROR(_xlfn.XLOOKUP(_xlfn.CONCAT('Banco de Dados'!$A532,IFERROR(IFERROR(VALUE(SUBSTITUTE(MID(_xlfn.TEXTAFTER('Banco de Dados'!$F532,"Data do Pedido:
",1),1,10),"-","/")),VALUE(SUBSTITUTE(MID(_xlfn.TEXTAFTER('Banco de Dados'!$F532,"Order date:
",1),1,10),"-","/"))),0)),ProxyDD[Chave],ProxyDD[Valor por pedido]),PROXY!$P$2),0),0)</f>
        <v>0</v>
      </c>
      <c r="AP532" s="28">
        <f ca="1">IF('Banco de Dados'!$AK532&lt;&gt;"-",IF('Banco de Dados'!$AL532="NÃO",IFERROR(VALUE(SUBSTITUTE(_xlfn.TEXTAFTER('Banco de Dados'!$F532,"BRL ",1),".",",")),0),0),0)</f>
        <v>0</v>
      </c>
      <c r="AQ532" s="28">
        <f ca="1">SUM('Banco de Dados'!$AM532:$AP532)</f>
        <v>0</v>
      </c>
      <c r="AR532" s="8"/>
      <c r="AS532" s="8"/>
      <c r="AY532" s="8"/>
    </row>
    <row r="533" spans="1:51">
      <c r="A533" s="5" t="str">
        <v>BV</v>
      </c>
      <c r="B533" s="5" t="str">
        <f ca="1"/>
        <v>BV45635</v>
      </c>
      <c r="C533" s="8" t="str">
        <v>Pedido 521</v>
      </c>
      <c r="D533" s="9">
        <v>45635</v>
      </c>
      <c r="E533" s="9">
        <v>45635</v>
      </c>
      <c r="F533" s="8" t="str">
        <v>PedidoF508</v>
      </c>
      <c r="G533" s="2" t="str">
        <v>CódRastreio506</v>
      </c>
      <c r="H533" s="5">
        <v>1</v>
      </c>
      <c r="I533" s="182" t="str">
        <v>CPF 505</v>
      </c>
      <c r="J533" s="2" t="str">
        <v>Nome 505</v>
      </c>
      <c r="K533" s="8" t="str">
        <v>Tel 505</v>
      </c>
      <c r="L533" s="8" t="str">
        <v>Cep 505</v>
      </c>
      <c r="M533" s="8" t="str">
        <v>Rua 505</v>
      </c>
      <c r="N533" s="8" t="str">
        <v>Comp 505</v>
      </c>
      <c r="O533" s="8" t="str">
        <v>Ventilador Preto</v>
      </c>
      <c r="P533" s="8" t="str">
        <v>MU-J80P-95WF</v>
      </c>
      <c r="Q533" s="4">
        <v>45666</v>
      </c>
      <c r="R533" s="109">
        <v>65.599999999999994</v>
      </c>
      <c r="S533" s="11">
        <f ca="1"/>
        <v>65.599999999999994</v>
      </c>
      <c r="T533" s="28">
        <f ca="1"/>
        <v>8.5279999999999987</v>
      </c>
      <c r="U533" s="11">
        <f ca="1"/>
        <v>57.07</v>
      </c>
      <c r="V533" s="11">
        <v>19.690000000000001</v>
      </c>
      <c r="W533" s="11">
        <f ca="1"/>
        <v>0.2</v>
      </c>
      <c r="X533" s="11">
        <f ca="1"/>
        <v>0.39877104377104378</v>
      </c>
      <c r="Y533" s="11">
        <v>0</v>
      </c>
      <c r="Z533" s="11">
        <f ca="1"/>
        <v>36.781228956228958</v>
      </c>
      <c r="AA533" s="11">
        <f ca="1"/>
        <v>18.390614478114479</v>
      </c>
      <c r="AB533" s="4">
        <f ca="1"/>
        <v>45673</v>
      </c>
      <c r="AC533" s="4">
        <v>45673</v>
      </c>
      <c r="AD533" s="9">
        <v>45674</v>
      </c>
      <c r="AE533" s="9">
        <v>45694</v>
      </c>
      <c r="AF533" s="4" t="str">
        <f t="shared" ca="1" si="13"/>
        <v>2025 01</v>
      </c>
      <c r="AG533" s="8" t="str" cm="1">
        <f t="array" ref="AG533">IFERROR(_xlfn.IFS('Banco de Dados'!#REF!="AG. COMPRA","Em processamento",'Banco de Dados'!#REF!="AG. RASTREIO","Em processamento",'Banco de Dados'!$AE533&lt;&gt;"-","Faturado",'Banco de Dados'!$AD533&lt;&gt;"-","Aguardando Pix",'Banco de Dados'!$AC533&lt;&gt;"-","Pendente"),"Aguardando Liberação")</f>
        <v>Aguardando Liberação</v>
      </c>
      <c r="AH533" s="5" t="str">
        <f>IF('Banco de Dados'!$F533="-",_xlfn.CONCAT(PROPER(TEXT(AK533,"aaaa"))," ",PROPER(TEXT(AK533,"mm"))),_xlfn.CONCAT(PROPER(TEXT(E533,"aaaa"))," ",PROPER(TEXT(E533,"mm"))))</f>
        <v>2024 12</v>
      </c>
      <c r="AI533" s="9" t="str">
        <f ca="1">IF('Banco de Dados'!$AK533&lt;&gt;"-","REEMBOLSO",IFERROR(_xlfn.XLOOKUP(G533,Follow[CODRASTREIO],Follow[STATUS]),"-"))</f>
        <v>ENTREGUE</v>
      </c>
      <c r="AJ533" s="9">
        <f ca="1">IF('Banco de Dados'!$AI533="ENTREGUE",_xlfn.XLOOKUP('Banco de Dados'!$G533,Follow[CODRASTREIO],Follow[DATAATUALIZAÇÃO]),"-")</f>
        <v>45653</v>
      </c>
      <c r="AK533" s="9" t="str">
        <f ca="1"/>
        <v>-</v>
      </c>
      <c r="AL533" s="35"/>
      <c r="AM533" s="109" cm="1">
        <f t="array" aca="1" ref="AM533" ca="1">IF('Banco de Dados'!$AK533&lt;&gt;"-",_xlfn.IFS('Banco de Dados'!$A533="bv",IF('Banco de Dados'!$E533&lt;45641,ROUND(SUM('Banco de Dados'!$R533*_xlfn.XLOOKUP('Banco de Dados'!$P533,Sku!B:B,Sku!#REF!)*20%),2),ROUND(SUM('Banco de Dados'!$R533*_xlfn.XLOOKUP('Banco de Dados'!$P533,Sku!B:B,Sku!H:H)*20%),2)),'Banco de Dados'!$A533="GO",ROUND(_xlfn.XLOOKUP('Banco de Dados'!$P533,Sku!C:C,Sku!H:H),2),'Banco de Dados'!$A533="MEI",ROUND(_xlfn.XLOOKUP('Banco de Dados'!$P533,Sku!D:D,Sku!H:H),2)),0)</f>
        <v>0</v>
      </c>
      <c r="AN533" s="109">
        <f ca="1">IF('Banco de Dados'!$AK533&lt;&gt;"-",IF('Banco de Dados'!$F533&lt;&gt;"-",_xlfn.XLOOKUP(IFERROR(IFERROR(IFERROR(VALUE(SUBSTITUTE(MID(_xlfn.TEXTAFTER('Banco de Dados'!$F533,"Data do Pedido:
",1),1,10),"-","/")),VALUE(SUBSTITUTE(MID(_xlfn.TEXTAFTER('Banco de Dados'!$F533,"Order date:
",1),1,10),"-","/"))),VALUE(SUBSTITUTE(MID(_xlfn.TEXTAFTER('Banco de Dados'!$F533,"Fecha de pedido:
",1),1,10),"-","/"))),"-"),SMS!A:A,SMS!K:K),0),0)</f>
        <v>0</v>
      </c>
      <c r="AO533" s="109">
        <f ca="1">IF('Banco de Dados'!$AK533&lt;&gt;"-",IF('Banco de Dados'!$F533&lt;&gt;"-",IFERROR(_xlfn.XLOOKUP(_xlfn.CONCAT('Banco de Dados'!$A533,IFERROR(IFERROR(VALUE(SUBSTITUTE(MID(_xlfn.TEXTAFTER('Banco de Dados'!$F533,"Data do Pedido:
",1),1,10),"-","/")),VALUE(SUBSTITUTE(MID(_xlfn.TEXTAFTER('Banco de Dados'!$F533,"Order date:
",1),1,10),"-","/"))),0)),ProxyDD[Chave],ProxyDD[Valor por pedido]),PROXY!$P$2),0),0)</f>
        <v>0</v>
      </c>
      <c r="AP533" s="28">
        <f ca="1">IF('Banco de Dados'!$AK533&lt;&gt;"-",IF('Banco de Dados'!$AL533="NÃO",IFERROR(VALUE(SUBSTITUTE(_xlfn.TEXTAFTER('Banco de Dados'!$F533,"BRL ",1),".",",")),0),0),0)</f>
        <v>0</v>
      </c>
      <c r="AQ533" s="28">
        <f ca="1">SUM('Banco de Dados'!$AM533:$AP533)</f>
        <v>0</v>
      </c>
      <c r="AR533" s="8"/>
      <c r="AS533" s="8"/>
      <c r="AY533" s="8"/>
    </row>
    <row r="534" spans="1:51">
      <c r="A534" s="5" t="str">
        <v>BV</v>
      </c>
      <c r="B534" s="5" t="str">
        <f ca="1"/>
        <v>BV45635</v>
      </c>
      <c r="C534" s="8" t="str">
        <v>Pedido 522</v>
      </c>
      <c r="D534" s="9">
        <v>45635</v>
      </c>
      <c r="E534" s="9">
        <v>45635</v>
      </c>
      <c r="F534" s="8" t="str">
        <v>PedidoF509</v>
      </c>
      <c r="G534" s="2" t="str">
        <v>CódRastreio507</v>
      </c>
      <c r="H534" s="5">
        <v>1</v>
      </c>
      <c r="I534" s="182" t="str">
        <v>CPF 506</v>
      </c>
      <c r="J534" s="2" t="str">
        <v>Nome 506</v>
      </c>
      <c r="K534" s="8" t="str">
        <v>Tel 506</v>
      </c>
      <c r="L534" s="8" t="str">
        <v>Cep 506</v>
      </c>
      <c r="M534" s="8" t="str">
        <v>Rua 506</v>
      </c>
      <c r="N534" s="8" t="str">
        <v>Comp 506</v>
      </c>
      <c r="O534" s="8" t="str">
        <v>Suporte de Celular Preto</v>
      </c>
      <c r="P534" s="8" t="str">
        <v>9G-BN48-QAPH</v>
      </c>
      <c r="Q534" s="4">
        <v>45654</v>
      </c>
      <c r="R534" s="109">
        <v>17.899999999999999</v>
      </c>
      <c r="S534" s="11">
        <f ca="1"/>
        <v>17.899999999999999</v>
      </c>
      <c r="T534" s="28">
        <f ca="1"/>
        <v>2.6849999999999996</v>
      </c>
      <c r="U534" s="11">
        <f ca="1"/>
        <v>15.22</v>
      </c>
      <c r="V534" s="11">
        <v>6.99</v>
      </c>
      <c r="W534" s="11">
        <f ca="1"/>
        <v>0.2</v>
      </c>
      <c r="X534" s="11">
        <f ca="1"/>
        <v>0.39877104377104378</v>
      </c>
      <c r="Y534" s="11">
        <v>0</v>
      </c>
      <c r="Z534" s="11">
        <f ca="1"/>
        <v>7.6312289562289566</v>
      </c>
      <c r="AA534" s="11">
        <f ca="1"/>
        <v>3.8156144781144783</v>
      </c>
      <c r="AB534" s="4">
        <f ca="1"/>
        <v>45661</v>
      </c>
      <c r="AC534" s="4">
        <v>45661</v>
      </c>
      <c r="AD534" s="9">
        <v>45665</v>
      </c>
      <c r="AE534" s="9">
        <v>45673</v>
      </c>
      <c r="AF534" s="4" t="str">
        <f t="shared" ca="1" si="13"/>
        <v>2025 01</v>
      </c>
      <c r="AG534" s="8" t="str" cm="1">
        <f t="array" ref="AG534">IFERROR(_xlfn.IFS('Banco de Dados'!#REF!="AG. COMPRA","Em processamento",'Banco de Dados'!#REF!="AG. RASTREIO","Em processamento",'Banco de Dados'!$AE534&lt;&gt;"-","Faturado",'Banco de Dados'!$AD534&lt;&gt;"-","Aguardando Pix",'Banco de Dados'!$AC534&lt;&gt;"-","Pendente"),"Aguardando Liberação")</f>
        <v>Aguardando Liberação</v>
      </c>
      <c r="AH534" s="5" t="str">
        <f>IF('Banco de Dados'!$F534="-",_xlfn.CONCAT(PROPER(TEXT(AK534,"aaaa"))," ",PROPER(TEXT(AK534,"mm"))),_xlfn.CONCAT(PROPER(TEXT(E534,"aaaa"))," ",PROPER(TEXT(E534,"mm"))))</f>
        <v>2024 12</v>
      </c>
      <c r="AI534" s="9" t="str">
        <f ca="1">IF('Banco de Dados'!$AK534&lt;&gt;"-","REEMBOLSO",IFERROR(_xlfn.XLOOKUP(G534,Follow[CODRASTREIO],Follow[STATUS]),"-"))</f>
        <v>ENTREGUE</v>
      </c>
      <c r="AJ534" s="9">
        <f ca="1">IF('Banco de Dados'!$AI534="ENTREGUE",_xlfn.XLOOKUP('Banco de Dados'!$G534,Follow[CODRASTREIO],Follow[DATAATUALIZAÇÃO]),"-")</f>
        <v>45641</v>
      </c>
      <c r="AK534" s="9" t="str">
        <f ca="1"/>
        <v>-</v>
      </c>
      <c r="AL534" s="35"/>
      <c r="AM534" s="109" cm="1">
        <f t="array" aca="1" ref="AM534" ca="1">IF('Banco de Dados'!$AK534&lt;&gt;"-",_xlfn.IFS('Banco de Dados'!$A534="bv",IF('Banco de Dados'!$E534&lt;45641,ROUND(SUM('Banco de Dados'!$R534*_xlfn.XLOOKUP('Banco de Dados'!$P534,Sku!B:B,Sku!#REF!)*20%),2),ROUND(SUM('Banco de Dados'!$R534*_xlfn.XLOOKUP('Banco de Dados'!$P534,Sku!B:B,Sku!H:H)*20%),2)),'Banco de Dados'!$A534="GO",ROUND(_xlfn.XLOOKUP('Banco de Dados'!$P534,Sku!C:C,Sku!H:H),2),'Banco de Dados'!$A534="MEI",ROUND(_xlfn.XLOOKUP('Banco de Dados'!$P534,Sku!D:D,Sku!H:H),2)),0)</f>
        <v>0</v>
      </c>
      <c r="AN534" s="109">
        <f ca="1">IF('Banco de Dados'!$AK534&lt;&gt;"-",IF('Banco de Dados'!$F534&lt;&gt;"-",_xlfn.XLOOKUP(IFERROR(IFERROR(IFERROR(VALUE(SUBSTITUTE(MID(_xlfn.TEXTAFTER('Banco de Dados'!$F534,"Data do Pedido:
",1),1,10),"-","/")),VALUE(SUBSTITUTE(MID(_xlfn.TEXTAFTER('Banco de Dados'!$F534,"Order date:
",1),1,10),"-","/"))),VALUE(SUBSTITUTE(MID(_xlfn.TEXTAFTER('Banco de Dados'!$F534,"Fecha de pedido:
",1),1,10),"-","/"))),"-"),SMS!A:A,SMS!K:K),0),0)</f>
        <v>0</v>
      </c>
      <c r="AO534" s="109">
        <f ca="1">IF('Banco de Dados'!$AK534&lt;&gt;"-",IF('Banco de Dados'!$F534&lt;&gt;"-",IFERROR(_xlfn.XLOOKUP(_xlfn.CONCAT('Banco de Dados'!$A534,IFERROR(IFERROR(VALUE(SUBSTITUTE(MID(_xlfn.TEXTAFTER('Banco de Dados'!$F534,"Data do Pedido:
",1),1,10),"-","/")),VALUE(SUBSTITUTE(MID(_xlfn.TEXTAFTER('Banco de Dados'!$F534,"Order date:
",1),1,10),"-","/"))),0)),ProxyDD[Chave],ProxyDD[Valor por pedido]),PROXY!$P$2),0),0)</f>
        <v>0</v>
      </c>
      <c r="AP534" s="28">
        <f ca="1">IF('Banco de Dados'!$AK534&lt;&gt;"-",IF('Banco de Dados'!$AL534="NÃO",IFERROR(VALUE(SUBSTITUTE(_xlfn.TEXTAFTER('Banco de Dados'!$F534,"BRL ",1),".",",")),0),0),0)</f>
        <v>0</v>
      </c>
      <c r="AQ534" s="28">
        <f ca="1">SUM('Banco de Dados'!$AM534:$AP534)</f>
        <v>0</v>
      </c>
      <c r="AR534" s="8"/>
      <c r="AS534" s="8"/>
      <c r="AY534" s="8"/>
    </row>
    <row r="535" spans="1:51">
      <c r="A535" s="5" t="str">
        <v>BV</v>
      </c>
      <c r="B535" s="5" t="str">
        <f ca="1"/>
        <v>BV45635</v>
      </c>
      <c r="C535" s="8" t="str">
        <v>Pedido 523</v>
      </c>
      <c r="D535" s="9">
        <v>45635</v>
      </c>
      <c r="E535" s="9">
        <v>45635</v>
      </c>
      <c r="F535" s="8" t="str">
        <v>PedidoF510</v>
      </c>
      <c r="G535" s="2" t="str">
        <v>CódRastreio508</v>
      </c>
      <c r="H535" s="5">
        <v>1</v>
      </c>
      <c r="I535" s="182" t="str">
        <v>CPF 507</v>
      </c>
      <c r="J535" s="2" t="str">
        <v>Nome 507</v>
      </c>
      <c r="K535" s="8" t="str">
        <v>Tel 507</v>
      </c>
      <c r="L535" s="8" t="str">
        <v>Cep 507</v>
      </c>
      <c r="M535" s="8" t="str">
        <v>Rua 507</v>
      </c>
      <c r="N535" s="8" t="str">
        <v>Comp 507</v>
      </c>
      <c r="O535" s="8" t="str">
        <v>Ventilador Azul</v>
      </c>
      <c r="P535" s="8" t="str">
        <v>U8-2VWS-OB6M</v>
      </c>
      <c r="Q535" s="4">
        <v>45666</v>
      </c>
      <c r="R535" s="109">
        <v>65.599999999999994</v>
      </c>
      <c r="S535" s="11">
        <f ca="1"/>
        <v>65.599999999999994</v>
      </c>
      <c r="T535" s="28">
        <f ca="1"/>
        <v>8.5279999999999987</v>
      </c>
      <c r="U535" s="11">
        <f ca="1"/>
        <v>57.07</v>
      </c>
      <c r="V535" s="11">
        <v>19.62</v>
      </c>
      <c r="W535" s="11">
        <f ca="1"/>
        <v>0.2</v>
      </c>
      <c r="X535" s="11">
        <f ca="1"/>
        <v>0.39877104377104378</v>
      </c>
      <c r="Y535" s="11">
        <v>0</v>
      </c>
      <c r="Z535" s="11">
        <f ca="1"/>
        <v>36.851228956228951</v>
      </c>
      <c r="AA535" s="11">
        <f ca="1"/>
        <v>18.425614478114476</v>
      </c>
      <c r="AB535" s="4">
        <f ca="1"/>
        <v>45673</v>
      </c>
      <c r="AC535" s="4">
        <v>45673</v>
      </c>
      <c r="AD535" s="9">
        <v>45674</v>
      </c>
      <c r="AE535" s="9">
        <v>45694</v>
      </c>
      <c r="AF535" s="4" t="str">
        <f t="shared" ca="1" si="13"/>
        <v>2025 01</v>
      </c>
      <c r="AG535" s="8" t="str" cm="1">
        <f t="array" ref="AG535">IFERROR(_xlfn.IFS('Banco de Dados'!#REF!="AG. COMPRA","Em processamento",'Banco de Dados'!#REF!="AG. RASTREIO","Em processamento",'Banco de Dados'!$AE535&lt;&gt;"-","Faturado",'Banco de Dados'!$AD535&lt;&gt;"-","Aguardando Pix",'Banco de Dados'!$AC535&lt;&gt;"-","Pendente"),"Aguardando Liberação")</f>
        <v>Aguardando Liberação</v>
      </c>
      <c r="AH535" s="5" t="str">
        <f>IF('Banco de Dados'!$F535="-",_xlfn.CONCAT(PROPER(TEXT(AK535,"aaaa"))," ",PROPER(TEXT(AK535,"mm"))),_xlfn.CONCAT(PROPER(TEXT(E535,"aaaa"))," ",PROPER(TEXT(E535,"mm"))))</f>
        <v>2024 12</v>
      </c>
      <c r="AI535" s="9" t="str">
        <f ca="1">IF('Banco de Dados'!$AK535&lt;&gt;"-","REEMBOLSO",IFERROR(_xlfn.XLOOKUP(G535,Follow[CODRASTREIO],Follow[STATUS]),"-"))</f>
        <v>ENTREGUE</v>
      </c>
      <c r="AJ535" s="9">
        <f ca="1">IF('Banco de Dados'!$AI535="ENTREGUE",_xlfn.XLOOKUP('Banco de Dados'!$G535,Follow[CODRASTREIO],Follow[DATAATUALIZAÇÃO]),"-")</f>
        <v>45643</v>
      </c>
      <c r="AK535" s="9" t="str">
        <f ca="1"/>
        <v>-</v>
      </c>
      <c r="AL535" s="35"/>
      <c r="AM535" s="109" cm="1">
        <f t="array" aca="1" ref="AM535" ca="1">IF('Banco de Dados'!$AK535&lt;&gt;"-",_xlfn.IFS('Banco de Dados'!$A535="bv",IF('Banco de Dados'!$E535&lt;45641,ROUND(SUM('Banco de Dados'!$R535*_xlfn.XLOOKUP('Banco de Dados'!$P535,Sku!B:B,Sku!#REF!)*20%),2),ROUND(SUM('Banco de Dados'!$R535*_xlfn.XLOOKUP('Banco de Dados'!$P535,Sku!B:B,Sku!H:H)*20%),2)),'Banco de Dados'!$A535="GO",ROUND(_xlfn.XLOOKUP('Banco de Dados'!$P535,Sku!C:C,Sku!H:H),2),'Banco de Dados'!$A535="MEI",ROUND(_xlfn.XLOOKUP('Banco de Dados'!$P535,Sku!D:D,Sku!H:H),2)),0)</f>
        <v>0</v>
      </c>
      <c r="AN535" s="109">
        <f ca="1">IF('Banco de Dados'!$AK535&lt;&gt;"-",IF('Banco de Dados'!$F535&lt;&gt;"-",_xlfn.XLOOKUP(IFERROR(IFERROR(IFERROR(VALUE(SUBSTITUTE(MID(_xlfn.TEXTAFTER('Banco de Dados'!$F535,"Data do Pedido:
",1),1,10),"-","/")),VALUE(SUBSTITUTE(MID(_xlfn.TEXTAFTER('Banco de Dados'!$F535,"Order date:
",1),1,10),"-","/"))),VALUE(SUBSTITUTE(MID(_xlfn.TEXTAFTER('Banco de Dados'!$F535,"Fecha de pedido:
",1),1,10),"-","/"))),"-"),SMS!A:A,SMS!K:K),0),0)</f>
        <v>0</v>
      </c>
      <c r="AO535" s="109">
        <f ca="1">IF('Banco de Dados'!$AK535&lt;&gt;"-",IF('Banco de Dados'!$F535&lt;&gt;"-",IFERROR(_xlfn.XLOOKUP(_xlfn.CONCAT('Banco de Dados'!$A535,IFERROR(IFERROR(VALUE(SUBSTITUTE(MID(_xlfn.TEXTAFTER('Banco de Dados'!$F535,"Data do Pedido:
",1),1,10),"-","/")),VALUE(SUBSTITUTE(MID(_xlfn.TEXTAFTER('Banco de Dados'!$F535,"Order date:
",1),1,10),"-","/"))),0)),ProxyDD[Chave],ProxyDD[Valor por pedido]),PROXY!$P$2),0),0)</f>
        <v>0</v>
      </c>
      <c r="AP535" s="28">
        <f ca="1">IF('Banco de Dados'!$AK535&lt;&gt;"-",IF('Banco de Dados'!$AL535="NÃO",IFERROR(VALUE(SUBSTITUTE(_xlfn.TEXTAFTER('Banco de Dados'!$F535,"BRL ",1),".",",")),0),0),0)</f>
        <v>0</v>
      </c>
      <c r="AQ535" s="28">
        <f ca="1">SUM('Banco de Dados'!$AM535:$AP535)</f>
        <v>0</v>
      </c>
      <c r="AR535" s="8"/>
      <c r="AS535" s="8"/>
      <c r="AY535" s="8"/>
    </row>
    <row r="536" spans="1:51">
      <c r="A536" s="5" t="str">
        <v>BV</v>
      </c>
      <c r="B536" s="5" t="str">
        <f ca="1"/>
        <v>BV45635</v>
      </c>
      <c r="C536" s="8" t="str">
        <v>Pedido 524</v>
      </c>
      <c r="D536" s="9">
        <v>45635</v>
      </c>
      <c r="E536" s="9">
        <v>45635</v>
      </c>
      <c r="F536" s="8" t="str">
        <v>PedidoF511</v>
      </c>
      <c r="G536" s="2" t="str">
        <v>CódRastreio509</v>
      </c>
      <c r="H536" s="5">
        <v>1</v>
      </c>
      <c r="I536" s="182" t="str">
        <v>CPF 508</v>
      </c>
      <c r="J536" s="2" t="str">
        <v>Nome 508</v>
      </c>
      <c r="K536" s="8" t="str">
        <v>Tel 508</v>
      </c>
      <c r="L536" s="8" t="str">
        <v>Cep 508</v>
      </c>
      <c r="M536" s="8" t="str">
        <v>Rua 508</v>
      </c>
      <c r="N536" s="8" t="str">
        <v>Comp 508</v>
      </c>
      <c r="O536" s="8" t="str">
        <v>Ventilador Rosa</v>
      </c>
      <c r="P536" s="8" t="str">
        <v>IF-G2ZQ-79FO</v>
      </c>
      <c r="Q536" s="4">
        <v>45673</v>
      </c>
      <c r="R536" s="109">
        <v>54.8</v>
      </c>
      <c r="S536" s="11">
        <f ca="1"/>
        <v>54.8</v>
      </c>
      <c r="T536" s="28">
        <f ca="1"/>
        <v>7.1239999999999997</v>
      </c>
      <c r="U536" s="11">
        <f ca="1"/>
        <v>47.68</v>
      </c>
      <c r="V536" s="11">
        <v>13.75</v>
      </c>
      <c r="W536" s="11">
        <f ca="1"/>
        <v>0.2</v>
      </c>
      <c r="X536" s="11">
        <f ca="1"/>
        <v>0.39877104377104378</v>
      </c>
      <c r="Y536" s="11">
        <v>0</v>
      </c>
      <c r="Z536" s="11">
        <f ca="1"/>
        <v>33.331228956228955</v>
      </c>
      <c r="AA536" s="11">
        <f ca="1"/>
        <v>16.665614478114477</v>
      </c>
      <c r="AB536" s="4">
        <f ca="1"/>
        <v>45680</v>
      </c>
      <c r="AC536" s="4">
        <v>45680</v>
      </c>
      <c r="AD536" s="9">
        <v>45688</v>
      </c>
      <c r="AE536" s="9">
        <v>45694</v>
      </c>
      <c r="AF536" s="4" t="str">
        <f t="shared" ca="1" si="13"/>
        <v>2025 01</v>
      </c>
      <c r="AG536" s="8" t="str" cm="1">
        <f t="array" ref="AG536">IFERROR(_xlfn.IFS('Banco de Dados'!#REF!="AG. COMPRA","Em processamento",'Banco de Dados'!#REF!="AG. RASTREIO","Em processamento",'Banco de Dados'!$AE536&lt;&gt;"-","Faturado",'Banco de Dados'!$AD536&lt;&gt;"-","Aguardando Pix",'Banco de Dados'!$AC536&lt;&gt;"-","Pendente"),"Aguardando Liberação")</f>
        <v>Aguardando Liberação</v>
      </c>
      <c r="AH536" s="5" t="str">
        <f>IF('Banco de Dados'!$F536="-",_xlfn.CONCAT(PROPER(TEXT(AK536,"aaaa"))," ",PROPER(TEXT(AK536,"mm"))),_xlfn.CONCAT(PROPER(TEXT(E536,"aaaa"))," ",PROPER(TEXT(E536,"mm"))))</f>
        <v>2024 12</v>
      </c>
      <c r="AI536" s="9" t="str">
        <f ca="1">IF('Banco de Dados'!$AK536&lt;&gt;"-","REEMBOLSO",IFERROR(_xlfn.XLOOKUP(G536,Follow[CODRASTREIO],Follow[STATUS]),"-"))</f>
        <v>ENTREGUE</v>
      </c>
      <c r="AJ536" s="9">
        <f ca="1">IF('Banco de Dados'!$AI536="ENTREGUE",_xlfn.XLOOKUP('Banco de Dados'!$G536,Follow[CODRASTREIO],Follow[DATAATUALIZAÇÃO]),"-")</f>
        <v>45667</v>
      </c>
      <c r="AK536" s="9" t="str">
        <f ca="1"/>
        <v>-</v>
      </c>
      <c r="AL536" s="35"/>
      <c r="AM536" s="109" cm="1">
        <f t="array" aca="1" ref="AM536" ca="1">IF('Banco de Dados'!$AK536&lt;&gt;"-",_xlfn.IFS('Banco de Dados'!$A536="bv",IF('Banco de Dados'!$E536&lt;45641,ROUND(SUM('Banco de Dados'!$R536*_xlfn.XLOOKUP('Banco de Dados'!$P536,Sku!B:B,Sku!#REF!)*20%),2),ROUND(SUM('Banco de Dados'!$R536*_xlfn.XLOOKUP('Banco de Dados'!$P536,Sku!B:B,Sku!H:H)*20%),2)),'Banco de Dados'!$A536="GO",ROUND(_xlfn.XLOOKUP('Banco de Dados'!$P536,Sku!C:C,Sku!H:H),2),'Banco de Dados'!$A536="MEI",ROUND(_xlfn.XLOOKUP('Banco de Dados'!$P536,Sku!D:D,Sku!H:H),2)),0)</f>
        <v>0</v>
      </c>
      <c r="AN536" s="109">
        <f ca="1">IF('Banco de Dados'!$AK536&lt;&gt;"-",IF('Banco de Dados'!$F536&lt;&gt;"-",_xlfn.XLOOKUP(IFERROR(IFERROR(IFERROR(VALUE(SUBSTITUTE(MID(_xlfn.TEXTAFTER('Banco de Dados'!$F536,"Data do Pedido:
",1),1,10),"-","/")),VALUE(SUBSTITUTE(MID(_xlfn.TEXTAFTER('Banco de Dados'!$F536,"Order date:
",1),1,10),"-","/"))),VALUE(SUBSTITUTE(MID(_xlfn.TEXTAFTER('Banco de Dados'!$F536,"Fecha de pedido:
",1),1,10),"-","/"))),"-"),SMS!A:A,SMS!K:K),0),0)</f>
        <v>0</v>
      </c>
      <c r="AO536" s="109">
        <f ca="1">IF('Banco de Dados'!$AK536&lt;&gt;"-",IF('Banco de Dados'!$F536&lt;&gt;"-",IFERROR(_xlfn.XLOOKUP(_xlfn.CONCAT('Banco de Dados'!$A536,IFERROR(IFERROR(VALUE(SUBSTITUTE(MID(_xlfn.TEXTAFTER('Banco de Dados'!$F536,"Data do Pedido:
",1),1,10),"-","/")),VALUE(SUBSTITUTE(MID(_xlfn.TEXTAFTER('Banco de Dados'!$F536,"Order date:
",1),1,10),"-","/"))),0)),ProxyDD[Chave],ProxyDD[Valor por pedido]),PROXY!$P$2),0),0)</f>
        <v>0</v>
      </c>
      <c r="AP536" s="28">
        <f ca="1">IF('Banco de Dados'!$AK536&lt;&gt;"-",IF('Banco de Dados'!$AL536="NÃO",IFERROR(VALUE(SUBSTITUTE(_xlfn.TEXTAFTER('Banco de Dados'!$F536,"BRL ",1),".",",")),0),0),0)</f>
        <v>0</v>
      </c>
      <c r="AQ536" s="28">
        <f ca="1">SUM('Banco de Dados'!$AM536:$AP536)</f>
        <v>0</v>
      </c>
      <c r="AR536" s="8"/>
      <c r="AS536" s="8"/>
      <c r="AY536" s="8"/>
    </row>
    <row r="537" spans="1:51">
      <c r="A537" s="5" t="str">
        <v>BV</v>
      </c>
      <c r="B537" s="5" t="str">
        <f ca="1"/>
        <v>BV45635</v>
      </c>
      <c r="C537" s="8" t="str">
        <v>Pedido 525</v>
      </c>
      <c r="D537" s="9">
        <v>45635</v>
      </c>
      <c r="E537" s="9">
        <v>45635</v>
      </c>
      <c r="F537" s="8" t="str">
        <v>PedidoF512</v>
      </c>
      <c r="G537" s="2" t="str">
        <v>CódRastreio510</v>
      </c>
      <c r="H537" s="5">
        <v>1</v>
      </c>
      <c r="I537" s="182" t="str">
        <v>CPF 509</v>
      </c>
      <c r="J537" s="2" t="str">
        <v>Nome 509</v>
      </c>
      <c r="K537" s="8" t="str">
        <v>Tel 509</v>
      </c>
      <c r="L537" s="8" t="str">
        <v>Cep 509</v>
      </c>
      <c r="M537" s="8" t="str">
        <v>Rua 509</v>
      </c>
      <c r="N537" s="8" t="str">
        <v>Comp 509</v>
      </c>
      <c r="O537" s="8" t="str">
        <v>Ventilador Preto</v>
      </c>
      <c r="P537" s="8" t="str">
        <v>MU-J80P-95WF</v>
      </c>
      <c r="Q537" s="4">
        <v>45660</v>
      </c>
      <c r="R537" s="109">
        <v>65.599999999999994</v>
      </c>
      <c r="S537" s="11">
        <f ca="1"/>
        <v>65.599999999999994</v>
      </c>
      <c r="T537" s="28">
        <f ca="1"/>
        <v>8.5279999999999987</v>
      </c>
      <c r="U537" s="11">
        <f ca="1"/>
        <v>57.07</v>
      </c>
      <c r="V537" s="11">
        <v>19.690000000000001</v>
      </c>
      <c r="W537" s="11">
        <f ca="1"/>
        <v>0.2</v>
      </c>
      <c r="X537" s="11">
        <f ca="1"/>
        <v>0.39877104377104378</v>
      </c>
      <c r="Y537" s="11">
        <v>0</v>
      </c>
      <c r="Z537" s="11">
        <f ca="1"/>
        <v>36.781228956228958</v>
      </c>
      <c r="AA537" s="11">
        <f ca="1"/>
        <v>18.390614478114479</v>
      </c>
      <c r="AB537" s="4">
        <f ca="1"/>
        <v>45667</v>
      </c>
      <c r="AC537" s="4">
        <v>45667</v>
      </c>
      <c r="AD537" s="9">
        <v>45673</v>
      </c>
      <c r="AE537" s="9">
        <v>45673</v>
      </c>
      <c r="AF537" s="4" t="str">
        <f t="shared" ca="1" si="13"/>
        <v>2025 01</v>
      </c>
      <c r="AG537" s="8" t="str" cm="1">
        <f t="array" ref="AG537">IFERROR(_xlfn.IFS('Banco de Dados'!#REF!="AG. COMPRA","Em processamento",'Banco de Dados'!#REF!="AG. RASTREIO","Em processamento",'Banco de Dados'!$AE537&lt;&gt;"-","Faturado",'Banco de Dados'!$AD537&lt;&gt;"-","Aguardando Pix",'Banco de Dados'!$AC537&lt;&gt;"-","Pendente"),"Aguardando Liberação")</f>
        <v>Aguardando Liberação</v>
      </c>
      <c r="AH537" s="5" t="str">
        <f>IF('Banco de Dados'!$F537="-",_xlfn.CONCAT(PROPER(TEXT(AK537,"aaaa"))," ",PROPER(TEXT(AK537,"mm"))),_xlfn.CONCAT(PROPER(TEXT(E537,"aaaa"))," ",PROPER(TEXT(E537,"mm"))))</f>
        <v>2024 12</v>
      </c>
      <c r="AI537" s="9" t="str">
        <f ca="1">IF('Banco de Dados'!$AK537&lt;&gt;"-","REEMBOLSO",IFERROR(_xlfn.XLOOKUP(G537,Follow[CODRASTREIO],Follow[STATUS]),"-"))</f>
        <v>ENTREGUE</v>
      </c>
      <c r="AJ537" s="9">
        <f ca="1">IF('Banco de Dados'!$AI537="ENTREGUE",_xlfn.XLOOKUP('Banco de Dados'!$G537,Follow[CODRASTREIO],Follow[DATAATUALIZAÇÃO]),"-")</f>
        <v>45649</v>
      </c>
      <c r="AK537" s="9" t="str">
        <f ca="1"/>
        <v>-</v>
      </c>
      <c r="AL537" s="35"/>
      <c r="AM537" s="109" cm="1">
        <f t="array" aca="1" ref="AM537" ca="1">IF('Banco de Dados'!$AK537&lt;&gt;"-",_xlfn.IFS('Banco de Dados'!$A537="bv",IF('Banco de Dados'!$E537&lt;45641,ROUND(SUM('Banco de Dados'!$R537*_xlfn.XLOOKUP('Banco de Dados'!$P537,Sku!B:B,Sku!#REF!)*20%),2),ROUND(SUM('Banco de Dados'!$R537*_xlfn.XLOOKUP('Banco de Dados'!$P537,Sku!B:B,Sku!H:H)*20%),2)),'Banco de Dados'!$A537="GO",ROUND(_xlfn.XLOOKUP('Banco de Dados'!$P537,Sku!C:C,Sku!H:H),2),'Banco de Dados'!$A537="MEI",ROUND(_xlfn.XLOOKUP('Banco de Dados'!$P537,Sku!D:D,Sku!H:H),2)),0)</f>
        <v>0</v>
      </c>
      <c r="AN537" s="109">
        <f ca="1">IF('Banco de Dados'!$AK537&lt;&gt;"-",IF('Banco de Dados'!$F537&lt;&gt;"-",_xlfn.XLOOKUP(IFERROR(IFERROR(IFERROR(VALUE(SUBSTITUTE(MID(_xlfn.TEXTAFTER('Banco de Dados'!$F537,"Data do Pedido:
",1),1,10),"-","/")),VALUE(SUBSTITUTE(MID(_xlfn.TEXTAFTER('Banco de Dados'!$F537,"Order date:
",1),1,10),"-","/"))),VALUE(SUBSTITUTE(MID(_xlfn.TEXTAFTER('Banco de Dados'!$F537,"Fecha de pedido:
",1),1,10),"-","/"))),"-"),SMS!A:A,SMS!K:K),0),0)</f>
        <v>0</v>
      </c>
      <c r="AO537" s="109">
        <f ca="1">IF('Banco de Dados'!$AK537&lt;&gt;"-",IF('Banco de Dados'!$F537&lt;&gt;"-",IFERROR(_xlfn.XLOOKUP(_xlfn.CONCAT('Banco de Dados'!$A537,IFERROR(IFERROR(VALUE(SUBSTITUTE(MID(_xlfn.TEXTAFTER('Banco de Dados'!$F537,"Data do Pedido:
",1),1,10),"-","/")),VALUE(SUBSTITUTE(MID(_xlfn.TEXTAFTER('Banco de Dados'!$F537,"Order date:
",1),1,10),"-","/"))),0)),ProxyDD[Chave],ProxyDD[Valor por pedido]),PROXY!$P$2),0),0)</f>
        <v>0</v>
      </c>
      <c r="AP537" s="28">
        <f ca="1">IF('Banco de Dados'!$AK537&lt;&gt;"-",IF('Banco de Dados'!$AL537="NÃO",IFERROR(VALUE(SUBSTITUTE(_xlfn.TEXTAFTER('Banco de Dados'!$F537,"BRL ",1),".",",")),0),0),0)</f>
        <v>0</v>
      </c>
      <c r="AQ537" s="28">
        <f ca="1">SUM('Banco de Dados'!$AM537:$AP537)</f>
        <v>0</v>
      </c>
      <c r="AR537" s="8"/>
      <c r="AS537" s="8"/>
      <c r="AY537" s="8"/>
    </row>
    <row r="538" spans="1:51">
      <c r="A538" s="5" t="str">
        <v>BV</v>
      </c>
      <c r="B538" s="5" t="str">
        <f ca="1"/>
        <v>BV45636</v>
      </c>
      <c r="C538" s="8" t="str">
        <v>Pedido 526</v>
      </c>
      <c r="D538" s="9">
        <v>45636</v>
      </c>
      <c r="E538" s="9">
        <v>45636</v>
      </c>
      <c r="F538" s="8" t="str">
        <v>PedidoF513</v>
      </c>
      <c r="G538" s="2" t="str">
        <v>CódRastreio511</v>
      </c>
      <c r="H538" s="5">
        <v>1</v>
      </c>
      <c r="I538" s="182" t="str">
        <v>CPF 510</v>
      </c>
      <c r="J538" s="2" t="str">
        <v>Nome 510</v>
      </c>
      <c r="K538" s="8" t="str">
        <v>Tel 510</v>
      </c>
      <c r="L538" s="8" t="str">
        <v>Cep 510</v>
      </c>
      <c r="M538" s="8" t="str">
        <v>Rua 510</v>
      </c>
      <c r="N538" s="8" t="str">
        <v>Comp 510</v>
      </c>
      <c r="O538" s="8" t="str">
        <v>Ventilador Preto</v>
      </c>
      <c r="P538" s="8" t="str">
        <v>MU-J80P-95WF</v>
      </c>
      <c r="Q538" s="4">
        <v>45667</v>
      </c>
      <c r="R538" s="109">
        <v>65.599999999999994</v>
      </c>
      <c r="S538" s="11">
        <f ca="1"/>
        <v>65.599999999999994</v>
      </c>
      <c r="T538" s="28">
        <f ca="1"/>
        <v>8.5279999999999987</v>
      </c>
      <c r="U538" s="11">
        <f ca="1"/>
        <v>57.07</v>
      </c>
      <c r="V538" s="11">
        <v>19.809999999999999</v>
      </c>
      <c r="W538" s="11">
        <f ca="1"/>
        <v>0.2</v>
      </c>
      <c r="X538" s="11">
        <f ca="1"/>
        <v>0.39877104377104378</v>
      </c>
      <c r="Y538" s="11">
        <v>0</v>
      </c>
      <c r="Z538" s="11">
        <f ca="1"/>
        <v>36.661228956228953</v>
      </c>
      <c r="AA538" s="11">
        <f ca="1"/>
        <v>18.330614478114477</v>
      </c>
      <c r="AB538" s="4">
        <f ca="1"/>
        <v>45674</v>
      </c>
      <c r="AC538" s="4">
        <v>45674</v>
      </c>
      <c r="AD538" s="9">
        <v>45674</v>
      </c>
      <c r="AE538" s="9">
        <v>45694</v>
      </c>
      <c r="AF538" s="4" t="str">
        <f t="shared" ca="1" si="13"/>
        <v>2025 01</v>
      </c>
      <c r="AG538" s="8" t="str" cm="1">
        <f t="array" ref="AG538">IFERROR(_xlfn.IFS('Banco de Dados'!#REF!="AG. COMPRA","Em processamento",'Banco de Dados'!#REF!="AG. RASTREIO","Em processamento",'Banco de Dados'!$AE538&lt;&gt;"-","Faturado",'Banco de Dados'!$AD538&lt;&gt;"-","Aguardando Pix",'Banco de Dados'!$AC538&lt;&gt;"-","Pendente"),"Aguardando Liberação")</f>
        <v>Aguardando Liberação</v>
      </c>
      <c r="AH538" s="5" t="str">
        <f>IF('Banco de Dados'!$F538="-",_xlfn.CONCAT(PROPER(TEXT(AK538,"aaaa"))," ",PROPER(TEXT(AK538,"mm"))),_xlfn.CONCAT(PROPER(TEXT(E538,"aaaa"))," ",PROPER(TEXT(E538,"mm"))))</f>
        <v>2024 12</v>
      </c>
      <c r="AI538" s="9" t="str">
        <f ca="1">IF('Banco de Dados'!$AK538&lt;&gt;"-","REEMBOLSO",IFERROR(_xlfn.XLOOKUP(G538,Follow[CODRASTREIO],Follow[STATUS]),"-"))</f>
        <v>ENTREGUE</v>
      </c>
      <c r="AJ538" s="9">
        <f ca="1">IF('Banco de Dados'!$AI538="ENTREGUE",_xlfn.XLOOKUP('Banco de Dados'!$G538,Follow[CODRASTREIO],Follow[DATAATUALIZAÇÃO]),"-")</f>
        <v>45653</v>
      </c>
      <c r="AK538" s="9" t="str">
        <f ca="1"/>
        <v>-</v>
      </c>
      <c r="AL538" s="35"/>
      <c r="AM538" s="109" cm="1">
        <f t="array" aca="1" ref="AM538" ca="1">IF('Banco de Dados'!$AK538&lt;&gt;"-",_xlfn.IFS('Banco de Dados'!$A538="bv",IF('Banco de Dados'!$E538&lt;45641,ROUND(SUM('Banco de Dados'!$R538*_xlfn.XLOOKUP('Banco de Dados'!$P538,Sku!B:B,Sku!#REF!)*20%),2),ROUND(SUM('Banco de Dados'!$R538*_xlfn.XLOOKUP('Banco de Dados'!$P538,Sku!B:B,Sku!H:H)*20%),2)),'Banco de Dados'!$A538="GO",ROUND(_xlfn.XLOOKUP('Banco de Dados'!$P538,Sku!C:C,Sku!H:H),2),'Banco de Dados'!$A538="MEI",ROUND(_xlfn.XLOOKUP('Banco de Dados'!$P538,Sku!D:D,Sku!H:H),2)),0)</f>
        <v>0</v>
      </c>
      <c r="AN538" s="109">
        <f ca="1">IF('Banco de Dados'!$AK538&lt;&gt;"-",IF('Banco de Dados'!$F538&lt;&gt;"-",_xlfn.XLOOKUP(IFERROR(IFERROR(IFERROR(VALUE(SUBSTITUTE(MID(_xlfn.TEXTAFTER('Banco de Dados'!$F538,"Data do Pedido:
",1),1,10),"-","/")),VALUE(SUBSTITUTE(MID(_xlfn.TEXTAFTER('Banco de Dados'!$F538,"Order date:
",1),1,10),"-","/"))),VALUE(SUBSTITUTE(MID(_xlfn.TEXTAFTER('Banco de Dados'!$F538,"Fecha de pedido:
",1),1,10),"-","/"))),"-"),SMS!A:A,SMS!K:K),0),0)</f>
        <v>0</v>
      </c>
      <c r="AO538" s="109">
        <f ca="1">IF('Banco de Dados'!$AK538&lt;&gt;"-",IF('Banco de Dados'!$F538&lt;&gt;"-",IFERROR(_xlfn.XLOOKUP(_xlfn.CONCAT('Banco de Dados'!$A538,IFERROR(IFERROR(VALUE(SUBSTITUTE(MID(_xlfn.TEXTAFTER('Banco de Dados'!$F538,"Data do Pedido:
",1),1,10),"-","/")),VALUE(SUBSTITUTE(MID(_xlfn.TEXTAFTER('Banco de Dados'!$F538,"Order date:
",1),1,10),"-","/"))),0)),ProxyDD[Chave],ProxyDD[Valor por pedido]),PROXY!$P$2),0),0)</f>
        <v>0</v>
      </c>
      <c r="AP538" s="28">
        <f ca="1">IF('Banco de Dados'!$AK538&lt;&gt;"-",IF('Banco de Dados'!$AL538="NÃO",IFERROR(VALUE(SUBSTITUTE(_xlfn.TEXTAFTER('Banco de Dados'!$F538,"BRL ",1),".",",")),0),0),0)</f>
        <v>0</v>
      </c>
      <c r="AQ538" s="28">
        <f ca="1">SUM('Banco de Dados'!$AM538:$AP538)</f>
        <v>0</v>
      </c>
      <c r="AR538" s="8"/>
      <c r="AS538" s="8"/>
      <c r="AY538" s="8"/>
    </row>
    <row r="539" spans="1:51">
      <c r="A539" s="5" t="str">
        <v>BV</v>
      </c>
      <c r="B539" s="5" t="str">
        <f ca="1"/>
        <v>BV45636</v>
      </c>
      <c r="C539" s="8" t="str">
        <v>Pedido 527</v>
      </c>
      <c r="D539" s="9">
        <v>45636</v>
      </c>
      <c r="E539" s="9">
        <v>45636</v>
      </c>
      <c r="F539" s="8" t="str">
        <v>PedidoF514</v>
      </c>
      <c r="G539" s="2" t="str">
        <v>CódRastreio512</v>
      </c>
      <c r="H539" s="5">
        <v>1</v>
      </c>
      <c r="I539" s="182" t="str">
        <v>CPF 511</v>
      </c>
      <c r="J539" s="2" t="str">
        <v>Nome 511</v>
      </c>
      <c r="K539" s="8" t="str">
        <v>Tel 511</v>
      </c>
      <c r="L539" s="8" t="str">
        <v>Cep 511</v>
      </c>
      <c r="M539" s="8" t="str">
        <v>Rua 511</v>
      </c>
      <c r="N539" s="8" t="str">
        <v>Comp 511</v>
      </c>
      <c r="O539" s="8" t="str">
        <v>Adaptador Bluetooph</v>
      </c>
      <c r="P539" s="8" t="str">
        <v>YA-AG3H-SPUK</v>
      </c>
      <c r="Q539" s="4">
        <v>45667</v>
      </c>
      <c r="R539" s="109">
        <v>18.989999999999998</v>
      </c>
      <c r="S539" s="11">
        <f ca="1"/>
        <v>18.989999999999998</v>
      </c>
      <c r="T539" s="28">
        <f ca="1"/>
        <v>2.2787999999999999</v>
      </c>
      <c r="U539" s="11">
        <f ca="1"/>
        <v>16.71</v>
      </c>
      <c r="V539" s="11">
        <v>8.0399999999999991</v>
      </c>
      <c r="W539" s="11">
        <f ca="1"/>
        <v>0.2</v>
      </c>
      <c r="X539" s="11">
        <f ca="1"/>
        <v>0.39877104377104378</v>
      </c>
      <c r="Y539" s="11">
        <v>0</v>
      </c>
      <c r="Z539" s="11">
        <f ca="1"/>
        <v>8.0712289562289588</v>
      </c>
      <c r="AA539" s="11">
        <f ca="1"/>
        <v>4.0356144781144794</v>
      </c>
      <c r="AB539" s="4">
        <f ca="1"/>
        <v>45674</v>
      </c>
      <c r="AC539" s="4">
        <v>45674</v>
      </c>
      <c r="AD539" s="9">
        <v>45674</v>
      </c>
      <c r="AE539" s="9">
        <v>45694</v>
      </c>
      <c r="AF539" s="4" t="str">
        <f t="shared" ca="1" si="13"/>
        <v>2025 01</v>
      </c>
      <c r="AG539" s="8" t="str" cm="1">
        <f t="array" ref="AG539">IFERROR(_xlfn.IFS('Banco de Dados'!#REF!="AG. COMPRA","Em processamento",'Banco de Dados'!#REF!="AG. RASTREIO","Em processamento",'Banco de Dados'!$AE539&lt;&gt;"-","Faturado",'Banco de Dados'!$AD539&lt;&gt;"-","Aguardando Pix",'Banco de Dados'!$AC539&lt;&gt;"-","Pendente"),"Aguardando Liberação")</f>
        <v>Aguardando Liberação</v>
      </c>
      <c r="AH539" s="5" t="str">
        <f>IF('Banco de Dados'!$F539="-",_xlfn.CONCAT(PROPER(TEXT(AK539,"aaaa"))," ",PROPER(TEXT(AK539,"mm"))),_xlfn.CONCAT(PROPER(TEXT(E539,"aaaa"))," ",PROPER(TEXT(E539,"mm"))))</f>
        <v>2024 12</v>
      </c>
      <c r="AI539" s="9" t="str">
        <f ca="1">IF('Banco de Dados'!$AK539&lt;&gt;"-","REEMBOLSO",IFERROR(_xlfn.XLOOKUP(G539,Follow[CODRASTREIO],Follow[STATUS]),"-"))</f>
        <v>ENTREGUE</v>
      </c>
      <c r="AJ539" s="9">
        <f ca="1">IF('Banco de Dados'!$AI539="ENTREGUE",_xlfn.XLOOKUP('Banco de Dados'!$G539,Follow[CODRASTREIO],Follow[DATAATUALIZAÇÃO]),"-")</f>
        <v>45652</v>
      </c>
      <c r="AK539" s="9" t="str">
        <f ca="1"/>
        <v>-</v>
      </c>
      <c r="AL539" s="35"/>
      <c r="AM539" s="109" cm="1">
        <f t="array" aca="1" ref="AM539" ca="1">IF('Banco de Dados'!$AK539&lt;&gt;"-",_xlfn.IFS('Banco de Dados'!$A539="bv",IF('Banco de Dados'!$E539&lt;45641,ROUND(SUM('Banco de Dados'!$R539*_xlfn.XLOOKUP('Banco de Dados'!$P539,Sku!B:B,Sku!#REF!)*20%),2),ROUND(SUM('Banco de Dados'!$R539*_xlfn.XLOOKUP('Banco de Dados'!$P539,Sku!B:B,Sku!H:H)*20%),2)),'Banco de Dados'!$A539="GO",ROUND(_xlfn.XLOOKUP('Banco de Dados'!$P539,Sku!C:C,Sku!H:H),2),'Banco de Dados'!$A539="MEI",ROUND(_xlfn.XLOOKUP('Banco de Dados'!$P539,Sku!D:D,Sku!H:H),2)),0)</f>
        <v>0</v>
      </c>
      <c r="AN539" s="109">
        <f ca="1">IF('Banco de Dados'!$AK539&lt;&gt;"-",IF('Banco de Dados'!$F539&lt;&gt;"-",_xlfn.XLOOKUP(IFERROR(IFERROR(IFERROR(VALUE(SUBSTITUTE(MID(_xlfn.TEXTAFTER('Banco de Dados'!$F539,"Data do Pedido:
",1),1,10),"-","/")),VALUE(SUBSTITUTE(MID(_xlfn.TEXTAFTER('Banco de Dados'!$F539,"Order date:
",1),1,10),"-","/"))),VALUE(SUBSTITUTE(MID(_xlfn.TEXTAFTER('Banco de Dados'!$F539,"Fecha de pedido:
",1),1,10),"-","/"))),"-"),SMS!A:A,SMS!K:K),0),0)</f>
        <v>0</v>
      </c>
      <c r="AO539" s="109">
        <f ca="1">IF('Banco de Dados'!$AK539&lt;&gt;"-",IF('Banco de Dados'!$F539&lt;&gt;"-",IFERROR(_xlfn.XLOOKUP(_xlfn.CONCAT('Banco de Dados'!$A539,IFERROR(IFERROR(VALUE(SUBSTITUTE(MID(_xlfn.TEXTAFTER('Banco de Dados'!$F539,"Data do Pedido:
",1),1,10),"-","/")),VALUE(SUBSTITUTE(MID(_xlfn.TEXTAFTER('Banco de Dados'!$F539,"Order date:
",1),1,10),"-","/"))),0)),ProxyDD[Chave],ProxyDD[Valor por pedido]),PROXY!$P$2),0),0)</f>
        <v>0</v>
      </c>
      <c r="AP539" s="28">
        <f ca="1">IF('Banco de Dados'!$AK539&lt;&gt;"-",IF('Banco de Dados'!$AL539="NÃO",IFERROR(VALUE(SUBSTITUTE(_xlfn.TEXTAFTER('Banco de Dados'!$F539,"BRL ",1),".",",")),0),0),0)</f>
        <v>0</v>
      </c>
      <c r="AQ539" s="28">
        <f ca="1">SUM('Banco de Dados'!$AM539:$AP539)</f>
        <v>0</v>
      </c>
      <c r="AR539" s="8"/>
      <c r="AS539" s="8"/>
      <c r="AY539" s="8"/>
    </row>
    <row r="540" spans="1:51">
      <c r="A540" s="5" t="str">
        <v>BV</v>
      </c>
      <c r="B540" s="5" t="str">
        <f ca="1"/>
        <v>BV45636</v>
      </c>
      <c r="C540" s="8" t="str">
        <v>Pedido 528</v>
      </c>
      <c r="D540" s="9">
        <v>45636</v>
      </c>
      <c r="E540" s="9">
        <v>45636</v>
      </c>
      <c r="F540" s="8" t="str">
        <v>PedidoF515</v>
      </c>
      <c r="G540" s="2" t="str">
        <v>CódRastreio513</v>
      </c>
      <c r="H540" s="5">
        <v>1</v>
      </c>
      <c r="I540" s="182" t="str">
        <v>CPF 512</v>
      </c>
      <c r="J540" s="2" t="str">
        <v>Nome 512</v>
      </c>
      <c r="K540" s="8" t="str">
        <v>Tel 512</v>
      </c>
      <c r="L540" s="8" t="str">
        <v>Cep 512</v>
      </c>
      <c r="M540" s="8" t="str">
        <v>Rua 512</v>
      </c>
      <c r="N540" s="8" t="str">
        <v>Comp 512</v>
      </c>
      <c r="O540" s="8" t="str">
        <v>Ventilador Preto</v>
      </c>
      <c r="P540" s="8" t="str">
        <v>MU-J80P-95WF</v>
      </c>
      <c r="Q540" s="4">
        <v>45667</v>
      </c>
      <c r="R540" s="109">
        <v>65.599999999999994</v>
      </c>
      <c r="S540" s="11">
        <f ca="1"/>
        <v>65.599999999999994</v>
      </c>
      <c r="T540" s="28">
        <f ca="1"/>
        <v>8.5279999999999987</v>
      </c>
      <c r="U540" s="11">
        <f ca="1"/>
        <v>57.07</v>
      </c>
      <c r="V540" s="11">
        <v>19.809999999999999</v>
      </c>
      <c r="W540" s="11">
        <f ca="1"/>
        <v>0.2</v>
      </c>
      <c r="X540" s="11">
        <f ca="1"/>
        <v>0.39877104377104378</v>
      </c>
      <c r="Y540" s="11">
        <v>0</v>
      </c>
      <c r="Z540" s="11">
        <f ca="1"/>
        <v>36.661228956228953</v>
      </c>
      <c r="AA540" s="11">
        <f ca="1"/>
        <v>18.330614478114477</v>
      </c>
      <c r="AB540" s="4">
        <f ca="1"/>
        <v>45674</v>
      </c>
      <c r="AC540" s="4">
        <v>45674</v>
      </c>
      <c r="AD540" s="9">
        <v>45674</v>
      </c>
      <c r="AE540" s="9">
        <v>45694</v>
      </c>
      <c r="AF540" s="4" t="str">
        <f t="shared" ca="1" si="13"/>
        <v>2025 01</v>
      </c>
      <c r="AG540" s="8" t="str" cm="1">
        <f t="array" ref="AG540">IFERROR(_xlfn.IFS('Banco de Dados'!#REF!="AG. COMPRA","Em processamento",'Banco de Dados'!#REF!="AG. RASTREIO","Em processamento",'Banco de Dados'!$AE540&lt;&gt;"-","Faturado",'Banco de Dados'!$AD540&lt;&gt;"-","Aguardando Pix",'Banco de Dados'!$AC540&lt;&gt;"-","Pendente"),"Aguardando Liberação")</f>
        <v>Aguardando Liberação</v>
      </c>
      <c r="AH540" s="5" t="str">
        <f>IF('Banco de Dados'!$F540="-",_xlfn.CONCAT(PROPER(TEXT(AK540,"aaaa"))," ",PROPER(TEXT(AK540,"mm"))),_xlfn.CONCAT(PROPER(TEXT(E540,"aaaa"))," ",PROPER(TEXT(E540,"mm"))))</f>
        <v>2024 12</v>
      </c>
      <c r="AI540" s="9" t="str">
        <f ca="1">IF('Banco de Dados'!$AK540&lt;&gt;"-","REEMBOLSO",IFERROR(_xlfn.XLOOKUP(G540,Follow[CODRASTREIO],Follow[STATUS]),"-"))</f>
        <v>ENTREGUE</v>
      </c>
      <c r="AJ540" s="9">
        <f ca="1">IF('Banco de Dados'!$AI540="ENTREGUE",_xlfn.XLOOKUP('Banco de Dados'!$G540,Follow[CODRASTREIO],Follow[DATAATUALIZAÇÃO]),"-")</f>
        <v>45653</v>
      </c>
      <c r="AK540" s="9" t="str">
        <f ca="1"/>
        <v>-</v>
      </c>
      <c r="AL540" s="35"/>
      <c r="AM540" s="109" cm="1">
        <f t="array" aca="1" ref="AM540" ca="1">IF('Banco de Dados'!$AK540&lt;&gt;"-",_xlfn.IFS('Banco de Dados'!$A540="bv",IF('Banco de Dados'!$E540&lt;45641,ROUND(SUM('Banco de Dados'!$R540*_xlfn.XLOOKUP('Banco de Dados'!$P540,Sku!B:B,Sku!#REF!)*20%),2),ROUND(SUM('Banco de Dados'!$R540*_xlfn.XLOOKUP('Banco de Dados'!$P540,Sku!B:B,Sku!H:H)*20%),2)),'Banco de Dados'!$A540="GO",ROUND(_xlfn.XLOOKUP('Banco de Dados'!$P540,Sku!C:C,Sku!H:H),2),'Banco de Dados'!$A540="MEI",ROUND(_xlfn.XLOOKUP('Banco de Dados'!$P540,Sku!D:D,Sku!H:H),2)),0)</f>
        <v>0</v>
      </c>
      <c r="AN540" s="109">
        <f ca="1">IF('Banco de Dados'!$AK540&lt;&gt;"-",IF('Banco de Dados'!$F540&lt;&gt;"-",_xlfn.XLOOKUP(IFERROR(IFERROR(IFERROR(VALUE(SUBSTITUTE(MID(_xlfn.TEXTAFTER('Banco de Dados'!$F540,"Data do Pedido:
",1),1,10),"-","/")),VALUE(SUBSTITUTE(MID(_xlfn.TEXTAFTER('Banco de Dados'!$F540,"Order date:
",1),1,10),"-","/"))),VALUE(SUBSTITUTE(MID(_xlfn.TEXTAFTER('Banco de Dados'!$F540,"Fecha de pedido:
",1),1,10),"-","/"))),"-"),SMS!A:A,SMS!K:K),0),0)</f>
        <v>0</v>
      </c>
      <c r="AO540" s="109">
        <f ca="1">IF('Banco de Dados'!$AK540&lt;&gt;"-",IF('Banco de Dados'!$F540&lt;&gt;"-",IFERROR(_xlfn.XLOOKUP(_xlfn.CONCAT('Banco de Dados'!$A540,IFERROR(IFERROR(VALUE(SUBSTITUTE(MID(_xlfn.TEXTAFTER('Banco de Dados'!$F540,"Data do Pedido:
",1),1,10),"-","/")),VALUE(SUBSTITUTE(MID(_xlfn.TEXTAFTER('Banco de Dados'!$F540,"Order date:
",1),1,10),"-","/"))),0)),ProxyDD[Chave],ProxyDD[Valor por pedido]),PROXY!$P$2),0),0)</f>
        <v>0</v>
      </c>
      <c r="AP540" s="28">
        <f ca="1">IF('Banco de Dados'!$AK540&lt;&gt;"-",IF('Banco de Dados'!$AL540="NÃO",IFERROR(VALUE(SUBSTITUTE(_xlfn.TEXTAFTER('Banco de Dados'!$F540,"BRL ",1),".",",")),0),0),0)</f>
        <v>0</v>
      </c>
      <c r="AQ540" s="28">
        <f ca="1">SUM('Banco de Dados'!$AM540:$AP540)</f>
        <v>0</v>
      </c>
      <c r="AR540" s="8"/>
      <c r="AS540" s="8"/>
      <c r="AY540" s="8"/>
    </row>
    <row r="541" spans="1:51">
      <c r="A541" s="5" t="str">
        <v>BV</v>
      </c>
      <c r="B541" s="5" t="str">
        <f ca="1"/>
        <v>BV45637</v>
      </c>
      <c r="C541" s="8" t="str">
        <v>Pedido 529</v>
      </c>
      <c r="D541" s="9">
        <v>45637</v>
      </c>
      <c r="E541" s="9">
        <v>45637</v>
      </c>
      <c r="F541" s="8" t="str">
        <v>PedidoF516</v>
      </c>
      <c r="G541" s="2" t="str">
        <v>CódRastreio514</v>
      </c>
      <c r="H541" s="5">
        <v>1</v>
      </c>
      <c r="I541" s="182" t="str">
        <v>CPF 513</v>
      </c>
      <c r="J541" s="2" t="str">
        <v>Nome 513</v>
      </c>
      <c r="K541" s="8" t="str">
        <v>Tel 513</v>
      </c>
      <c r="L541" s="8" t="str">
        <v>Cep 513</v>
      </c>
      <c r="M541" s="8" t="str">
        <v>Rua 513</v>
      </c>
      <c r="N541" s="8" t="str">
        <v>Comp 513</v>
      </c>
      <c r="O541" s="8" t="str">
        <v>Ventilador Preto</v>
      </c>
      <c r="P541" s="8" t="str">
        <v>MU-J80P-95WF</v>
      </c>
      <c r="Q541" s="4">
        <v>45664</v>
      </c>
      <c r="R541" s="109">
        <v>65.599999999999994</v>
      </c>
      <c r="S541" s="11">
        <f ca="1"/>
        <v>65.599999999999994</v>
      </c>
      <c r="T541" s="28">
        <f ca="1"/>
        <v>8.5279999999999987</v>
      </c>
      <c r="U541" s="11">
        <f ca="1"/>
        <v>57.07</v>
      </c>
      <c r="V541" s="11">
        <v>19.809999999999999</v>
      </c>
      <c r="W541" s="11">
        <f ca="1"/>
        <v>0.31</v>
      </c>
      <c r="X541" s="11">
        <f ca="1"/>
        <v>0.39877104377104378</v>
      </c>
      <c r="Y541" s="11">
        <v>0</v>
      </c>
      <c r="Z541" s="11">
        <f ca="1"/>
        <v>36.551228956228954</v>
      </c>
      <c r="AA541" s="11">
        <f ca="1"/>
        <v>18.275614478114477</v>
      </c>
      <c r="AB541" s="4">
        <f ca="1"/>
        <v>45671</v>
      </c>
      <c r="AC541" s="4">
        <v>45671</v>
      </c>
      <c r="AD541" s="9">
        <v>45673</v>
      </c>
      <c r="AE541" s="9">
        <v>45673</v>
      </c>
      <c r="AF541" s="4" t="str">
        <f t="shared" ref="AF541:AF548" ca="1" si="14">_xlfn.CONCAT(PROPER(TEXT(AB541,"aaaa"))," ",PROPER(TEXT(AB541,"mm")))</f>
        <v>2025 01</v>
      </c>
      <c r="AG541" s="8" t="str" cm="1">
        <f t="array" ref="AG541">IFERROR(_xlfn.IFS('Banco de Dados'!#REF!="AG. COMPRA","Em processamento",'Banco de Dados'!#REF!="AG. RASTREIO","Em processamento",'Banco de Dados'!$AE541&lt;&gt;"-","Faturado",'Banco de Dados'!$AD541&lt;&gt;"-","Aguardando Pix",'Banco de Dados'!$AC541&lt;&gt;"-","Pendente"),"Aguardando Liberação")</f>
        <v>Aguardando Liberação</v>
      </c>
      <c r="AH541" s="5" t="str">
        <f>IF('Banco de Dados'!$F541="-",_xlfn.CONCAT(PROPER(TEXT(AK541,"aaaa"))," ",PROPER(TEXT(AK541,"mm"))),_xlfn.CONCAT(PROPER(TEXT(E541,"aaaa"))," ",PROPER(TEXT(E541,"mm"))))</f>
        <v>2024 12</v>
      </c>
      <c r="AI541" s="9" t="str">
        <f ca="1">IF('Banco de Dados'!$AK541&lt;&gt;"-","REEMBOLSO",IFERROR(_xlfn.XLOOKUP(G541,Follow[CODRASTREIO],Follow[STATUS]),"-"))</f>
        <v>ENTREGUE</v>
      </c>
      <c r="AJ541" s="9">
        <f ca="1">IF('Banco de Dados'!$AI541="ENTREGUE",_xlfn.XLOOKUP('Banco de Dados'!$G541,Follow[CODRASTREIO],Follow[DATAATUALIZAÇÃO]),"-")</f>
        <v>45649</v>
      </c>
      <c r="AK541" s="9" t="str">
        <f ca="1"/>
        <v>-</v>
      </c>
      <c r="AL541" s="35"/>
      <c r="AM541" s="109" cm="1">
        <f t="array" aca="1" ref="AM541" ca="1">IF('Banco de Dados'!$AK541&lt;&gt;"-",_xlfn.IFS('Banco de Dados'!$A541="bv",IF('Banco de Dados'!$E541&lt;45641,ROUND(SUM('Banco de Dados'!$R541*_xlfn.XLOOKUP('Banco de Dados'!$P541,Sku!B:B,Sku!#REF!)*20%),2),ROUND(SUM('Banco de Dados'!$R541*_xlfn.XLOOKUP('Banco de Dados'!$P541,Sku!B:B,Sku!H:H)*20%),2)),'Banco de Dados'!$A541="GO",ROUND(_xlfn.XLOOKUP('Banco de Dados'!$P541,Sku!C:C,Sku!H:H),2),'Banco de Dados'!$A541="MEI",ROUND(_xlfn.XLOOKUP('Banco de Dados'!$P541,Sku!D:D,Sku!H:H),2)),0)</f>
        <v>0</v>
      </c>
      <c r="AN541" s="109">
        <f ca="1">IF('Banco de Dados'!$AK541&lt;&gt;"-",IF('Banco de Dados'!$F541&lt;&gt;"-",_xlfn.XLOOKUP(IFERROR(IFERROR(IFERROR(VALUE(SUBSTITUTE(MID(_xlfn.TEXTAFTER('Banco de Dados'!$F541,"Data do Pedido:
",1),1,10),"-","/")),VALUE(SUBSTITUTE(MID(_xlfn.TEXTAFTER('Banco de Dados'!$F541,"Order date:
",1),1,10),"-","/"))),VALUE(SUBSTITUTE(MID(_xlfn.TEXTAFTER('Banco de Dados'!$F541,"Fecha de pedido:
",1),1,10),"-","/"))),"-"),SMS!A:A,SMS!K:K),0),0)</f>
        <v>0</v>
      </c>
      <c r="AO541" s="109">
        <f ca="1">IF('Banco de Dados'!$AK541&lt;&gt;"-",IF('Banco de Dados'!$F541&lt;&gt;"-",IFERROR(_xlfn.XLOOKUP(_xlfn.CONCAT('Banco de Dados'!$A541,IFERROR(IFERROR(VALUE(SUBSTITUTE(MID(_xlfn.TEXTAFTER('Banco de Dados'!$F541,"Data do Pedido:
",1),1,10),"-","/")),VALUE(SUBSTITUTE(MID(_xlfn.TEXTAFTER('Banco de Dados'!$F541,"Order date:
",1),1,10),"-","/"))),0)),ProxyDD[Chave],ProxyDD[Valor por pedido]),PROXY!$P$2),0),0)</f>
        <v>0</v>
      </c>
      <c r="AP541" s="28">
        <f ca="1">IF('Banco de Dados'!$AK541&lt;&gt;"-",IF('Banco de Dados'!$AL541="NÃO",IFERROR(VALUE(SUBSTITUTE(_xlfn.TEXTAFTER('Banco de Dados'!$F541,"BRL ",1),".",",")),0),0),0)</f>
        <v>0</v>
      </c>
      <c r="AQ541" s="28">
        <f ca="1">SUM('Banco de Dados'!$AM541:$AP541)</f>
        <v>0</v>
      </c>
      <c r="AR541" s="8"/>
      <c r="AS541" s="8"/>
      <c r="AY541" s="8"/>
    </row>
    <row r="542" spans="1:51">
      <c r="A542" s="5" t="str">
        <v>BV</v>
      </c>
      <c r="B542" s="5" t="str">
        <f ca="1"/>
        <v>BV45637</v>
      </c>
      <c r="C542" s="8" t="str">
        <v>Pedido 530</v>
      </c>
      <c r="D542" s="9">
        <v>45637</v>
      </c>
      <c r="E542" s="9">
        <v>45637</v>
      </c>
      <c r="F542" s="8" t="str">
        <v>PedidoF517</v>
      </c>
      <c r="G542" s="2" t="str">
        <v>CódRastreio515</v>
      </c>
      <c r="H542" s="5">
        <v>1</v>
      </c>
      <c r="I542" s="182" t="str">
        <v>CPF 514</v>
      </c>
      <c r="J542" s="2" t="str">
        <v>Nome 514</v>
      </c>
      <c r="K542" s="8" t="str">
        <v>Tel 514</v>
      </c>
      <c r="L542" s="8" t="str">
        <v>Cep 514</v>
      </c>
      <c r="M542" s="8" t="str">
        <v>Rua 514</v>
      </c>
      <c r="N542" s="8" t="str">
        <v>Comp 514</v>
      </c>
      <c r="O542" s="8" t="str">
        <v>Adaptador Bluetooph</v>
      </c>
      <c r="P542" s="8" t="str">
        <v>YA-AG3H-SPUK</v>
      </c>
      <c r="Q542" s="4">
        <v>45668</v>
      </c>
      <c r="R542" s="109">
        <v>18.989999999999998</v>
      </c>
      <c r="S542" s="11">
        <f ca="1"/>
        <v>18.989999999999998</v>
      </c>
      <c r="T542" s="28">
        <f ca="1"/>
        <v>2.2787999999999999</v>
      </c>
      <c r="U542" s="11">
        <f ca="1"/>
        <v>16.71</v>
      </c>
      <c r="V542" s="11">
        <v>8.0399999999999991</v>
      </c>
      <c r="W542" s="11">
        <f ca="1"/>
        <v>0.31</v>
      </c>
      <c r="X542" s="11">
        <f ca="1"/>
        <v>0.39877104377104378</v>
      </c>
      <c r="Y542" s="11">
        <v>0</v>
      </c>
      <c r="Z542" s="11">
        <f ca="1"/>
        <v>7.9612289562289575</v>
      </c>
      <c r="AA542" s="11">
        <f ca="1"/>
        <v>3.9806144781144788</v>
      </c>
      <c r="AB542" s="4">
        <f ca="1"/>
        <v>45675</v>
      </c>
      <c r="AC542" s="4">
        <v>45675</v>
      </c>
      <c r="AD542" s="9">
        <v>45679</v>
      </c>
      <c r="AE542" s="9">
        <v>45694</v>
      </c>
      <c r="AF542" s="4" t="str">
        <f t="shared" ca="1" si="14"/>
        <v>2025 01</v>
      </c>
      <c r="AG542" s="8" t="str" cm="1">
        <f t="array" ref="AG542">IFERROR(_xlfn.IFS('Banco de Dados'!#REF!="AG. COMPRA","Em processamento",'Banco de Dados'!#REF!="AG. RASTREIO","Em processamento",'Banco de Dados'!$AE542&lt;&gt;"-","Faturado",'Banco de Dados'!$AD542&lt;&gt;"-","Aguardando Pix",'Banco de Dados'!$AC542&lt;&gt;"-","Pendente"),"Aguardando Liberação")</f>
        <v>Aguardando Liberação</v>
      </c>
      <c r="AH542" s="5" t="str">
        <f>IF('Banco de Dados'!$F542="-",_xlfn.CONCAT(PROPER(TEXT(AK542,"aaaa"))," ",PROPER(TEXT(AK542,"mm"))),_xlfn.CONCAT(PROPER(TEXT(E542,"aaaa"))," ",PROPER(TEXT(E542,"mm"))))</f>
        <v>2024 12</v>
      </c>
      <c r="AI542" s="9" t="str">
        <f ca="1">IF('Banco de Dados'!$AK542&lt;&gt;"-","REEMBOLSO",IFERROR(_xlfn.XLOOKUP(G542,Follow[CODRASTREIO],Follow[STATUS]),"-"))</f>
        <v>ENTREGUE</v>
      </c>
      <c r="AJ542" s="9">
        <f ca="1">IF('Banco de Dados'!$AI542="ENTREGUE",_xlfn.XLOOKUP('Banco de Dados'!$G542,Follow[CODRASTREIO],Follow[DATAATUALIZAÇÃO]),"-")</f>
        <v>45646</v>
      </c>
      <c r="AK542" s="9" t="str">
        <f ca="1"/>
        <v>-</v>
      </c>
      <c r="AL542" s="35"/>
      <c r="AM542" s="109" cm="1">
        <f t="array" aca="1" ref="AM542" ca="1">IF('Banco de Dados'!$AK542&lt;&gt;"-",_xlfn.IFS('Banco de Dados'!$A542="bv",IF('Banco de Dados'!$E542&lt;45641,ROUND(SUM('Banco de Dados'!$R542*_xlfn.XLOOKUP('Banco de Dados'!$P542,Sku!B:B,Sku!#REF!)*20%),2),ROUND(SUM('Banco de Dados'!$R542*_xlfn.XLOOKUP('Banco de Dados'!$P542,Sku!B:B,Sku!H:H)*20%),2)),'Banco de Dados'!$A542="GO",ROUND(_xlfn.XLOOKUP('Banco de Dados'!$P542,Sku!C:C,Sku!H:H),2),'Banco de Dados'!$A542="MEI",ROUND(_xlfn.XLOOKUP('Banco de Dados'!$P542,Sku!D:D,Sku!H:H),2)),0)</f>
        <v>0</v>
      </c>
      <c r="AN542" s="109">
        <f ca="1">IF('Banco de Dados'!$AK542&lt;&gt;"-",IF('Banco de Dados'!$F542&lt;&gt;"-",_xlfn.XLOOKUP(IFERROR(IFERROR(IFERROR(VALUE(SUBSTITUTE(MID(_xlfn.TEXTAFTER('Banco de Dados'!$F542,"Data do Pedido:
",1),1,10),"-","/")),VALUE(SUBSTITUTE(MID(_xlfn.TEXTAFTER('Banco de Dados'!$F542,"Order date:
",1),1,10),"-","/"))),VALUE(SUBSTITUTE(MID(_xlfn.TEXTAFTER('Banco de Dados'!$F542,"Fecha de pedido:
",1),1,10),"-","/"))),"-"),SMS!A:A,SMS!K:K),0),0)</f>
        <v>0</v>
      </c>
      <c r="AO542" s="109">
        <f ca="1">IF('Banco de Dados'!$AK542&lt;&gt;"-",IF('Banco de Dados'!$F542&lt;&gt;"-",IFERROR(_xlfn.XLOOKUP(_xlfn.CONCAT('Banco de Dados'!$A542,IFERROR(IFERROR(VALUE(SUBSTITUTE(MID(_xlfn.TEXTAFTER('Banco de Dados'!$F542,"Data do Pedido:
",1),1,10),"-","/")),VALUE(SUBSTITUTE(MID(_xlfn.TEXTAFTER('Banco de Dados'!$F542,"Order date:
",1),1,10),"-","/"))),0)),ProxyDD[Chave],ProxyDD[Valor por pedido]),PROXY!$P$2),0),0)</f>
        <v>0</v>
      </c>
      <c r="AP542" s="28">
        <f ca="1">IF('Banco de Dados'!$AK542&lt;&gt;"-",IF('Banco de Dados'!$AL542="NÃO",IFERROR(VALUE(SUBSTITUTE(_xlfn.TEXTAFTER('Banco de Dados'!$F542,"BRL ",1),".",",")),0),0),0)</f>
        <v>0</v>
      </c>
      <c r="AQ542" s="28">
        <f ca="1">SUM('Banco de Dados'!$AM542:$AP542)</f>
        <v>0</v>
      </c>
      <c r="AR542" s="8"/>
      <c r="AS542" s="8"/>
      <c r="AY542" s="8"/>
    </row>
    <row r="543" spans="1:51">
      <c r="A543" s="5" t="str">
        <v>BV</v>
      </c>
      <c r="B543" s="5" t="str">
        <f ca="1"/>
        <v>BV45637</v>
      </c>
      <c r="C543" s="8" t="str">
        <v>Pedido 531</v>
      </c>
      <c r="D543" s="9">
        <v>45637</v>
      </c>
      <c r="E543" s="9">
        <v>45637</v>
      </c>
      <c r="F543" s="8" t="str">
        <v>PedidoF518</v>
      </c>
      <c r="G543" s="2" t="str">
        <v>CódRastreio516</v>
      </c>
      <c r="H543" s="5">
        <v>1</v>
      </c>
      <c r="I543" s="182" t="str">
        <v>CPF 515</v>
      </c>
      <c r="J543" s="2" t="str">
        <v>Nome 515</v>
      </c>
      <c r="K543" s="8" t="str">
        <v>Tel 515</v>
      </c>
      <c r="L543" s="8" t="str">
        <v>Cep 515</v>
      </c>
      <c r="M543" s="8" t="str">
        <v>Rua 515</v>
      </c>
      <c r="N543" s="8" t="str">
        <v>Comp 515</v>
      </c>
      <c r="O543" s="8" t="str">
        <v>Adaptador Bluetooph</v>
      </c>
      <c r="P543" s="8" t="str">
        <v>YA-AG3H-SPUK</v>
      </c>
      <c r="Q543" s="4">
        <v>45664</v>
      </c>
      <c r="R543" s="109">
        <v>18.989999999999998</v>
      </c>
      <c r="S543" s="11">
        <f ca="1"/>
        <v>18.989999999999998</v>
      </c>
      <c r="T543" s="28">
        <f ca="1"/>
        <v>2.2787999999999999</v>
      </c>
      <c r="U543" s="11">
        <f ca="1"/>
        <v>16.71</v>
      </c>
      <c r="V543" s="11">
        <v>8.0399999999999991</v>
      </c>
      <c r="W543" s="11">
        <f ca="1"/>
        <v>0.31</v>
      </c>
      <c r="X543" s="11">
        <f ca="1"/>
        <v>0.39877104377104378</v>
      </c>
      <c r="Y543" s="11">
        <v>0</v>
      </c>
      <c r="Z543" s="11">
        <f ca="1"/>
        <v>7.9612289562289575</v>
      </c>
      <c r="AA543" s="11">
        <f ca="1"/>
        <v>3.9806144781144788</v>
      </c>
      <c r="AB543" s="4">
        <f ca="1"/>
        <v>45671</v>
      </c>
      <c r="AC543" s="4">
        <v>45671</v>
      </c>
      <c r="AD543" s="9">
        <v>45673</v>
      </c>
      <c r="AE543" s="9">
        <v>45673</v>
      </c>
      <c r="AF543" s="4" t="str">
        <f t="shared" ca="1" si="14"/>
        <v>2025 01</v>
      </c>
      <c r="AG543" s="8" t="str" cm="1">
        <f t="array" ref="AG543">IFERROR(_xlfn.IFS('Banco de Dados'!#REF!="AG. COMPRA","Em processamento",'Banco de Dados'!#REF!="AG. RASTREIO","Em processamento",'Banco de Dados'!$AE543&lt;&gt;"-","Faturado",'Banco de Dados'!$AD543&lt;&gt;"-","Aguardando Pix",'Banco de Dados'!$AC543&lt;&gt;"-","Pendente"),"Aguardando Liberação")</f>
        <v>Aguardando Liberação</v>
      </c>
      <c r="AH543" s="5" t="str">
        <f>IF('Banco de Dados'!$F543="-",_xlfn.CONCAT(PROPER(TEXT(AK543,"aaaa"))," ",PROPER(TEXT(AK543,"mm"))),_xlfn.CONCAT(PROPER(TEXT(E543,"aaaa"))," ",PROPER(TEXT(E543,"mm"))))</f>
        <v>2024 12</v>
      </c>
      <c r="AI543" s="9" t="str">
        <f ca="1">IF('Banco de Dados'!$AK543&lt;&gt;"-","REEMBOLSO",IFERROR(_xlfn.XLOOKUP(G543,Follow[CODRASTREIO],Follow[STATUS]),"-"))</f>
        <v>ENTREGUE</v>
      </c>
      <c r="AJ543" s="9">
        <f ca="1">IF('Banco de Dados'!$AI543="ENTREGUE",_xlfn.XLOOKUP('Banco de Dados'!$G543,Follow[CODRASTREIO],Follow[DATAATUALIZAÇÃO]),"-")</f>
        <v>45645</v>
      </c>
      <c r="AK543" s="9" t="str">
        <f ca="1"/>
        <v>-</v>
      </c>
      <c r="AL543" s="35"/>
      <c r="AM543" s="109" cm="1">
        <f t="array" aca="1" ref="AM543" ca="1">IF('Banco de Dados'!$AK543&lt;&gt;"-",_xlfn.IFS('Banco de Dados'!$A543="bv",IF('Banco de Dados'!$E543&lt;45641,ROUND(SUM('Banco de Dados'!$R543*_xlfn.XLOOKUP('Banco de Dados'!$P543,Sku!B:B,Sku!#REF!)*20%),2),ROUND(SUM('Banco de Dados'!$R543*_xlfn.XLOOKUP('Banco de Dados'!$P543,Sku!B:B,Sku!H:H)*20%),2)),'Banco de Dados'!$A543="GO",ROUND(_xlfn.XLOOKUP('Banco de Dados'!$P543,Sku!C:C,Sku!H:H),2),'Banco de Dados'!$A543="MEI",ROUND(_xlfn.XLOOKUP('Banco de Dados'!$P543,Sku!D:D,Sku!H:H),2)),0)</f>
        <v>0</v>
      </c>
      <c r="AN543" s="109">
        <f ca="1">IF('Banco de Dados'!$AK543&lt;&gt;"-",IF('Banco de Dados'!$F543&lt;&gt;"-",_xlfn.XLOOKUP(IFERROR(IFERROR(IFERROR(VALUE(SUBSTITUTE(MID(_xlfn.TEXTAFTER('Banco de Dados'!$F543,"Data do Pedido:
",1),1,10),"-","/")),VALUE(SUBSTITUTE(MID(_xlfn.TEXTAFTER('Banco de Dados'!$F543,"Order date:
",1),1,10),"-","/"))),VALUE(SUBSTITUTE(MID(_xlfn.TEXTAFTER('Banco de Dados'!$F543,"Fecha de pedido:
",1),1,10),"-","/"))),"-"),SMS!A:A,SMS!K:K),0),0)</f>
        <v>0</v>
      </c>
      <c r="AO543" s="109">
        <f ca="1">IF('Banco de Dados'!$AK543&lt;&gt;"-",IF('Banco de Dados'!$F543&lt;&gt;"-",IFERROR(_xlfn.XLOOKUP(_xlfn.CONCAT('Banco de Dados'!$A543,IFERROR(IFERROR(VALUE(SUBSTITUTE(MID(_xlfn.TEXTAFTER('Banco de Dados'!$F543,"Data do Pedido:
",1),1,10),"-","/")),VALUE(SUBSTITUTE(MID(_xlfn.TEXTAFTER('Banco de Dados'!$F543,"Order date:
",1),1,10),"-","/"))),0)),ProxyDD[Chave],ProxyDD[Valor por pedido]),PROXY!$P$2),0),0)</f>
        <v>0</v>
      </c>
      <c r="AP543" s="28">
        <f ca="1">IF('Banco de Dados'!$AK543&lt;&gt;"-",IF('Banco de Dados'!$AL543="NÃO",IFERROR(VALUE(SUBSTITUTE(_xlfn.TEXTAFTER('Banco de Dados'!$F543,"BRL ",1),".",",")),0),0),0)</f>
        <v>0</v>
      </c>
      <c r="AQ543" s="28">
        <f ca="1">SUM('Banco de Dados'!$AM543:$AP543)</f>
        <v>0</v>
      </c>
      <c r="AR543" s="8"/>
      <c r="AS543" s="8"/>
      <c r="AY543" s="8"/>
    </row>
    <row r="544" spans="1:51">
      <c r="A544" s="5" t="str">
        <v>BV</v>
      </c>
      <c r="B544" s="5" t="str">
        <f ca="1"/>
        <v>BV45637</v>
      </c>
      <c r="C544" s="8" t="str">
        <v>Pedido 532</v>
      </c>
      <c r="D544" s="9">
        <v>45637</v>
      </c>
      <c r="E544" s="9">
        <v>45637</v>
      </c>
      <c r="F544" s="8" t="str">
        <v>PedidoF519</v>
      </c>
      <c r="G544" s="2" t="str">
        <v>CódRastreio517</v>
      </c>
      <c r="H544" s="5">
        <v>1</v>
      </c>
      <c r="I544" s="182" t="str">
        <v>CPF 516</v>
      </c>
      <c r="J544" s="2" t="str">
        <v>Nome 516</v>
      </c>
      <c r="K544" s="8" t="str">
        <v>Tel 516</v>
      </c>
      <c r="L544" s="8" t="str">
        <v>Cep 516</v>
      </c>
      <c r="M544" s="8" t="str">
        <v>Rua 516</v>
      </c>
      <c r="N544" s="8" t="str">
        <v>Comp 516</v>
      </c>
      <c r="O544" s="8" t="str">
        <v>Ventilador Rosa</v>
      </c>
      <c r="P544" s="8" t="str">
        <v>IF-G2ZQ-79FO</v>
      </c>
      <c r="Q544" s="4">
        <v>45664</v>
      </c>
      <c r="R544" s="109">
        <v>54.8</v>
      </c>
      <c r="S544" s="11">
        <f ca="1"/>
        <v>54.8</v>
      </c>
      <c r="T544" s="28">
        <f ca="1"/>
        <v>7.1239999999999997</v>
      </c>
      <c r="U544" s="11">
        <f ca="1"/>
        <v>47.68</v>
      </c>
      <c r="V544" s="11">
        <v>13.87</v>
      </c>
      <c r="W544" s="11">
        <f ca="1"/>
        <v>0.31</v>
      </c>
      <c r="X544" s="11">
        <f ca="1"/>
        <v>0.39877104377104378</v>
      </c>
      <c r="Y544" s="11">
        <v>0</v>
      </c>
      <c r="Z544" s="11">
        <f ca="1"/>
        <v>33.101228956228958</v>
      </c>
      <c r="AA544" s="11">
        <f ca="1"/>
        <v>16.550614478114479</v>
      </c>
      <c r="AB544" s="4">
        <f ca="1"/>
        <v>45671</v>
      </c>
      <c r="AC544" s="4">
        <v>45671</v>
      </c>
      <c r="AD544" s="9">
        <v>45673</v>
      </c>
      <c r="AE544" s="9">
        <v>45673</v>
      </c>
      <c r="AF544" s="4" t="str">
        <f t="shared" ca="1" si="14"/>
        <v>2025 01</v>
      </c>
      <c r="AG544" s="8" t="str" cm="1">
        <f t="array" ref="AG544">IFERROR(_xlfn.IFS('Banco de Dados'!#REF!="AG. COMPRA","Em processamento",'Banco de Dados'!#REF!="AG. RASTREIO","Em processamento",'Banco de Dados'!$AE544&lt;&gt;"-","Faturado",'Banco de Dados'!$AD544&lt;&gt;"-","Aguardando Pix",'Banco de Dados'!$AC544&lt;&gt;"-","Pendente"),"Aguardando Liberação")</f>
        <v>Aguardando Liberação</v>
      </c>
      <c r="AH544" s="5" t="str">
        <f>IF('Banco de Dados'!$F544="-",_xlfn.CONCAT(PROPER(TEXT(AK544,"aaaa"))," ",PROPER(TEXT(AK544,"mm"))),_xlfn.CONCAT(PROPER(TEXT(E544,"aaaa"))," ",PROPER(TEXT(E544,"mm"))))</f>
        <v>2024 12</v>
      </c>
      <c r="AI544" s="9" t="str">
        <f ca="1">IF('Banco de Dados'!$AK544&lt;&gt;"-","REEMBOLSO",IFERROR(_xlfn.XLOOKUP(G544,Follow[CODRASTREIO],Follow[STATUS]),"-"))</f>
        <v>ENTREGUE</v>
      </c>
      <c r="AJ544" s="9">
        <f ca="1">IF('Banco de Dados'!$AI544="ENTREGUE",_xlfn.XLOOKUP('Banco de Dados'!$G544,Follow[CODRASTREIO],Follow[DATAATUALIZAÇÃO]),"-")</f>
        <v>45646</v>
      </c>
      <c r="AK544" s="9" t="str">
        <f ca="1"/>
        <v>-</v>
      </c>
      <c r="AL544" s="35"/>
      <c r="AM544" s="109" cm="1">
        <f t="array" aca="1" ref="AM544" ca="1">IF('Banco de Dados'!$AK544&lt;&gt;"-",_xlfn.IFS('Banco de Dados'!$A544="bv",IF('Banco de Dados'!$E544&lt;45641,ROUND(SUM('Banco de Dados'!$R544*_xlfn.XLOOKUP('Banco de Dados'!$P544,Sku!B:B,Sku!#REF!)*20%),2),ROUND(SUM('Banco de Dados'!$R544*_xlfn.XLOOKUP('Banco de Dados'!$P544,Sku!B:B,Sku!H:H)*20%),2)),'Banco de Dados'!$A544="GO",ROUND(_xlfn.XLOOKUP('Banco de Dados'!$P544,Sku!C:C,Sku!H:H),2),'Banco de Dados'!$A544="MEI",ROUND(_xlfn.XLOOKUP('Banco de Dados'!$P544,Sku!D:D,Sku!H:H),2)),0)</f>
        <v>0</v>
      </c>
      <c r="AN544" s="109">
        <f ca="1">IF('Banco de Dados'!$AK544&lt;&gt;"-",IF('Banco de Dados'!$F544&lt;&gt;"-",_xlfn.XLOOKUP(IFERROR(IFERROR(IFERROR(VALUE(SUBSTITUTE(MID(_xlfn.TEXTAFTER('Banco de Dados'!$F544,"Data do Pedido:
",1),1,10),"-","/")),VALUE(SUBSTITUTE(MID(_xlfn.TEXTAFTER('Banco de Dados'!$F544,"Order date:
",1),1,10),"-","/"))),VALUE(SUBSTITUTE(MID(_xlfn.TEXTAFTER('Banco de Dados'!$F544,"Fecha de pedido:
",1),1,10),"-","/"))),"-"),SMS!A:A,SMS!K:K),0),0)</f>
        <v>0</v>
      </c>
      <c r="AO544" s="109">
        <f ca="1">IF('Banco de Dados'!$AK544&lt;&gt;"-",IF('Banco de Dados'!$F544&lt;&gt;"-",IFERROR(_xlfn.XLOOKUP(_xlfn.CONCAT('Banco de Dados'!$A544,IFERROR(IFERROR(VALUE(SUBSTITUTE(MID(_xlfn.TEXTAFTER('Banco de Dados'!$F544,"Data do Pedido:
",1),1,10),"-","/")),VALUE(SUBSTITUTE(MID(_xlfn.TEXTAFTER('Banco de Dados'!$F544,"Order date:
",1),1,10),"-","/"))),0)),ProxyDD[Chave],ProxyDD[Valor por pedido]),PROXY!$P$2),0),0)</f>
        <v>0</v>
      </c>
      <c r="AP544" s="28">
        <f ca="1">IF('Banco de Dados'!$AK544&lt;&gt;"-",IF('Banco de Dados'!$AL544="NÃO",IFERROR(VALUE(SUBSTITUTE(_xlfn.TEXTAFTER('Banco de Dados'!$F544,"BRL ",1),".",",")),0),0),0)</f>
        <v>0</v>
      </c>
      <c r="AQ544" s="28">
        <f ca="1">SUM('Banco de Dados'!$AM544:$AP544)</f>
        <v>0</v>
      </c>
      <c r="AR544" s="8"/>
      <c r="AS544" s="8"/>
      <c r="AY544" s="8"/>
    </row>
    <row r="545" spans="1:51">
      <c r="A545" s="5" t="str">
        <v>BV</v>
      </c>
      <c r="B545" s="5" t="str">
        <f ca="1"/>
        <v>BV45637</v>
      </c>
      <c r="C545" s="8" t="str">
        <v>Pedido 533</v>
      </c>
      <c r="D545" s="9">
        <v>45637</v>
      </c>
      <c r="E545" s="9">
        <v>45637</v>
      </c>
      <c r="F545" s="8" t="str">
        <v>PedidoF520</v>
      </c>
      <c r="G545" s="2" t="str">
        <v>CódRastreio518</v>
      </c>
      <c r="H545" s="5">
        <v>1</v>
      </c>
      <c r="I545" s="182" t="str">
        <v>CPF 517</v>
      </c>
      <c r="J545" s="2" t="str">
        <v>Nome 517</v>
      </c>
      <c r="K545" s="8" t="str">
        <v>Tel 517</v>
      </c>
      <c r="L545" s="8" t="str">
        <v>Cep 517</v>
      </c>
      <c r="M545" s="8" t="str">
        <v>Rua 517</v>
      </c>
      <c r="N545" s="8" t="str">
        <v>Comp 517</v>
      </c>
      <c r="O545" s="8" t="str">
        <v>Ventilador Rosa</v>
      </c>
      <c r="P545" s="8" t="str">
        <v>IF-G2ZQ-79FO</v>
      </c>
      <c r="Q545" s="4">
        <v>45675</v>
      </c>
      <c r="R545" s="109">
        <v>54.8</v>
      </c>
      <c r="S545" s="11">
        <f ca="1"/>
        <v>54.8</v>
      </c>
      <c r="T545" s="28">
        <f ca="1"/>
        <v>7.1239999999999997</v>
      </c>
      <c r="U545" s="11">
        <f ca="1"/>
        <v>47.68</v>
      </c>
      <c r="V545" s="11">
        <v>13.87</v>
      </c>
      <c r="W545" s="11">
        <f ca="1"/>
        <v>0.31</v>
      </c>
      <c r="X545" s="11">
        <f ca="1"/>
        <v>0.39877104377104378</v>
      </c>
      <c r="Y545" s="11">
        <v>0</v>
      </c>
      <c r="Z545" s="11">
        <f ca="1"/>
        <v>33.101228956228958</v>
      </c>
      <c r="AA545" s="11">
        <f ca="1"/>
        <v>16.550614478114479</v>
      </c>
      <c r="AB545" s="4">
        <f ca="1"/>
        <v>45682</v>
      </c>
      <c r="AC545" s="4">
        <v>45682</v>
      </c>
      <c r="AD545" s="9">
        <v>45688</v>
      </c>
      <c r="AE545" s="9">
        <v>45694</v>
      </c>
      <c r="AF545" s="4" t="str">
        <f t="shared" ca="1" si="14"/>
        <v>2025 01</v>
      </c>
      <c r="AG545" s="8" t="str" cm="1">
        <f t="array" ref="AG545">IFERROR(_xlfn.IFS('Banco de Dados'!#REF!="AG. COMPRA","Em processamento",'Banco de Dados'!#REF!="AG. RASTREIO","Em processamento",'Banco de Dados'!$AE545&lt;&gt;"-","Faturado",'Banco de Dados'!$AD545&lt;&gt;"-","Aguardando Pix",'Banco de Dados'!$AC545&lt;&gt;"-","Pendente"),"Aguardando Liberação")</f>
        <v>Aguardando Liberação</v>
      </c>
      <c r="AH545" s="5" t="str">
        <f>IF('Banco de Dados'!$F545="-",_xlfn.CONCAT(PROPER(TEXT(AK545,"aaaa"))," ",PROPER(TEXT(AK545,"mm"))),_xlfn.CONCAT(PROPER(TEXT(E545,"aaaa"))," ",PROPER(TEXT(E545,"mm"))))</f>
        <v>2024 12</v>
      </c>
      <c r="AI545" s="9" t="str">
        <f ca="1">IF('Banco de Dados'!$AK545&lt;&gt;"-","REEMBOLSO",IFERROR(_xlfn.XLOOKUP(G545,Follow[CODRASTREIO],Follow[STATUS]),"-"))</f>
        <v>ENTREGUE</v>
      </c>
      <c r="AJ545" s="9">
        <f ca="1">IF('Banco de Dados'!$AI545="ENTREGUE",_xlfn.XLOOKUP('Banco de Dados'!$G545,Follow[CODRASTREIO],Follow[DATAATUALIZAÇÃO]),"-")</f>
        <v>45660</v>
      </c>
      <c r="AK545" s="9" t="str">
        <f ca="1"/>
        <v>-</v>
      </c>
      <c r="AL545" s="35"/>
      <c r="AM545" s="109" cm="1">
        <f t="array" aca="1" ref="AM545" ca="1">IF('Banco de Dados'!$AK545&lt;&gt;"-",_xlfn.IFS('Banco de Dados'!$A545="bv",IF('Banco de Dados'!$E545&lt;45641,ROUND(SUM('Banco de Dados'!$R545*_xlfn.XLOOKUP('Banco de Dados'!$P545,Sku!B:B,Sku!#REF!)*20%),2),ROUND(SUM('Banco de Dados'!$R545*_xlfn.XLOOKUP('Banco de Dados'!$P545,Sku!B:B,Sku!H:H)*20%),2)),'Banco de Dados'!$A545="GO",ROUND(_xlfn.XLOOKUP('Banco de Dados'!$P545,Sku!C:C,Sku!H:H),2),'Banco de Dados'!$A545="MEI",ROUND(_xlfn.XLOOKUP('Banco de Dados'!$P545,Sku!D:D,Sku!H:H),2)),0)</f>
        <v>0</v>
      </c>
      <c r="AN545" s="109">
        <f ca="1">IF('Banco de Dados'!$AK545&lt;&gt;"-",IF('Banco de Dados'!$F545&lt;&gt;"-",_xlfn.XLOOKUP(IFERROR(IFERROR(IFERROR(VALUE(SUBSTITUTE(MID(_xlfn.TEXTAFTER('Banco de Dados'!$F545,"Data do Pedido:
",1),1,10),"-","/")),VALUE(SUBSTITUTE(MID(_xlfn.TEXTAFTER('Banco de Dados'!$F545,"Order date:
",1),1,10),"-","/"))),VALUE(SUBSTITUTE(MID(_xlfn.TEXTAFTER('Banco de Dados'!$F545,"Fecha de pedido:
",1),1,10),"-","/"))),"-"),SMS!A:A,SMS!K:K),0),0)</f>
        <v>0</v>
      </c>
      <c r="AO545" s="109">
        <f ca="1">IF('Banco de Dados'!$AK545&lt;&gt;"-",IF('Banco de Dados'!$F545&lt;&gt;"-",IFERROR(_xlfn.XLOOKUP(_xlfn.CONCAT('Banco de Dados'!$A545,IFERROR(IFERROR(VALUE(SUBSTITUTE(MID(_xlfn.TEXTAFTER('Banco de Dados'!$F545,"Data do Pedido:
",1),1,10),"-","/")),VALUE(SUBSTITUTE(MID(_xlfn.TEXTAFTER('Banco de Dados'!$F545,"Order date:
",1),1,10),"-","/"))),0)),ProxyDD[Chave],ProxyDD[Valor por pedido]),PROXY!$P$2),0),0)</f>
        <v>0</v>
      </c>
      <c r="AP545" s="28">
        <f ca="1">IF('Banco de Dados'!$AK545&lt;&gt;"-",IF('Banco de Dados'!$AL545="NÃO",IFERROR(VALUE(SUBSTITUTE(_xlfn.TEXTAFTER('Banco de Dados'!$F545,"BRL ",1),".",",")),0),0),0)</f>
        <v>0</v>
      </c>
      <c r="AQ545" s="28">
        <f ca="1">SUM('Banco de Dados'!$AM545:$AP545)</f>
        <v>0</v>
      </c>
      <c r="AR545" s="8"/>
      <c r="AS545" s="8"/>
      <c r="AY545" s="8"/>
    </row>
    <row r="546" spans="1:51">
      <c r="A546" s="5" t="str">
        <v>BV</v>
      </c>
      <c r="B546" s="5" t="str">
        <f ca="1"/>
        <v>BV45637</v>
      </c>
      <c r="C546" s="8" t="str">
        <v>Pedido 534</v>
      </c>
      <c r="D546" s="9">
        <v>45637</v>
      </c>
      <c r="E546" s="9">
        <v>45637</v>
      </c>
      <c r="F546" s="8" t="str">
        <v>PedidoF521</v>
      </c>
      <c r="G546" s="2" t="str">
        <v>CódRastreio519</v>
      </c>
      <c r="H546" s="5">
        <v>1</v>
      </c>
      <c r="I546" s="182" t="str">
        <v>CPF 518</v>
      </c>
      <c r="J546" s="2" t="str">
        <v>Nome 518</v>
      </c>
      <c r="K546" s="8" t="str">
        <v>Tel 518</v>
      </c>
      <c r="L546" s="8" t="str">
        <v>Cep 518</v>
      </c>
      <c r="M546" s="8" t="str">
        <v>Rua 518</v>
      </c>
      <c r="N546" s="8" t="str">
        <v>Comp 518</v>
      </c>
      <c r="O546" s="8" t="str">
        <v>Ventilador Preto</v>
      </c>
      <c r="P546" s="8" t="str">
        <v>MU-J80P-95WF</v>
      </c>
      <c r="Q546" s="4">
        <v>45664</v>
      </c>
      <c r="R546" s="109">
        <v>65.599999999999994</v>
      </c>
      <c r="S546" s="11">
        <f ca="1"/>
        <v>65.599999999999994</v>
      </c>
      <c r="T546" s="28">
        <f ca="1"/>
        <v>8.5279999999999987</v>
      </c>
      <c r="U546" s="11">
        <f ca="1"/>
        <v>57.07</v>
      </c>
      <c r="V546" s="11">
        <v>19.809999999999999</v>
      </c>
      <c r="W546" s="11">
        <f ca="1"/>
        <v>0.31</v>
      </c>
      <c r="X546" s="11">
        <f ca="1"/>
        <v>0.39877104377104378</v>
      </c>
      <c r="Y546" s="11">
        <v>0</v>
      </c>
      <c r="Z546" s="11">
        <f ca="1"/>
        <v>36.551228956228954</v>
      </c>
      <c r="AA546" s="11">
        <f ca="1"/>
        <v>18.275614478114477</v>
      </c>
      <c r="AB546" s="4">
        <f ca="1"/>
        <v>45671</v>
      </c>
      <c r="AC546" s="4">
        <v>45671</v>
      </c>
      <c r="AD546" s="9">
        <v>45673</v>
      </c>
      <c r="AE546" s="9">
        <v>45673</v>
      </c>
      <c r="AF546" s="4" t="str">
        <f t="shared" ca="1" si="14"/>
        <v>2025 01</v>
      </c>
      <c r="AG546" s="8" t="str" cm="1">
        <f t="array" ref="AG546">IFERROR(_xlfn.IFS('Banco de Dados'!#REF!="AG. COMPRA","Em processamento",'Banco de Dados'!#REF!="AG. RASTREIO","Em processamento",'Banco de Dados'!$AE546&lt;&gt;"-","Faturado",'Banco de Dados'!$AD546&lt;&gt;"-","Aguardando Pix",'Banco de Dados'!$AC546&lt;&gt;"-","Pendente"),"Aguardando Liberação")</f>
        <v>Aguardando Liberação</v>
      </c>
      <c r="AH546" s="5" t="str">
        <f>IF('Banco de Dados'!$F546="-",_xlfn.CONCAT(PROPER(TEXT(AK546,"aaaa"))," ",PROPER(TEXT(AK546,"mm"))),_xlfn.CONCAT(PROPER(TEXT(E546,"aaaa"))," ",PROPER(TEXT(E546,"mm"))))</f>
        <v>2024 12</v>
      </c>
      <c r="AI546" s="9" t="str">
        <f ca="1">IF('Banco de Dados'!$AK546&lt;&gt;"-","REEMBOLSO",IFERROR(_xlfn.XLOOKUP(G546,Follow[CODRASTREIO],Follow[STATUS]),"-"))</f>
        <v>ENTREGUE</v>
      </c>
      <c r="AJ546" s="9">
        <f ca="1">IF('Banco de Dados'!$AI546="ENTREGUE",_xlfn.XLOOKUP('Banco de Dados'!$G546,Follow[CODRASTREIO],Follow[DATAATUALIZAÇÃO]),"-")</f>
        <v>45646</v>
      </c>
      <c r="AK546" s="9" t="str">
        <f ca="1"/>
        <v>-</v>
      </c>
      <c r="AL546" s="35"/>
      <c r="AM546" s="109" cm="1">
        <f t="array" aca="1" ref="AM546" ca="1">IF('Banco de Dados'!$AK546&lt;&gt;"-",_xlfn.IFS('Banco de Dados'!$A546="bv",IF('Banco de Dados'!$E546&lt;45641,ROUND(SUM('Banco de Dados'!$R546*_xlfn.XLOOKUP('Banco de Dados'!$P546,Sku!B:B,Sku!#REF!)*20%),2),ROUND(SUM('Banco de Dados'!$R546*_xlfn.XLOOKUP('Banco de Dados'!$P546,Sku!B:B,Sku!H:H)*20%),2)),'Banco de Dados'!$A546="GO",ROUND(_xlfn.XLOOKUP('Banco de Dados'!$P546,Sku!C:C,Sku!H:H),2),'Banco de Dados'!$A546="MEI",ROUND(_xlfn.XLOOKUP('Banco de Dados'!$P546,Sku!D:D,Sku!H:H),2)),0)</f>
        <v>0</v>
      </c>
      <c r="AN546" s="109">
        <f ca="1">IF('Banco de Dados'!$AK546&lt;&gt;"-",IF('Banco de Dados'!$F546&lt;&gt;"-",_xlfn.XLOOKUP(IFERROR(IFERROR(IFERROR(VALUE(SUBSTITUTE(MID(_xlfn.TEXTAFTER('Banco de Dados'!$F546,"Data do Pedido:
",1),1,10),"-","/")),VALUE(SUBSTITUTE(MID(_xlfn.TEXTAFTER('Banco de Dados'!$F546,"Order date:
",1),1,10),"-","/"))),VALUE(SUBSTITUTE(MID(_xlfn.TEXTAFTER('Banco de Dados'!$F546,"Fecha de pedido:
",1),1,10),"-","/"))),"-"),SMS!A:A,SMS!K:K),0),0)</f>
        <v>0</v>
      </c>
      <c r="AO546" s="109">
        <f ca="1">IF('Banco de Dados'!$AK546&lt;&gt;"-",IF('Banco de Dados'!$F546&lt;&gt;"-",IFERROR(_xlfn.XLOOKUP(_xlfn.CONCAT('Banco de Dados'!$A546,IFERROR(IFERROR(VALUE(SUBSTITUTE(MID(_xlfn.TEXTAFTER('Banco de Dados'!$F546,"Data do Pedido:
",1),1,10),"-","/")),VALUE(SUBSTITUTE(MID(_xlfn.TEXTAFTER('Banco de Dados'!$F546,"Order date:
",1),1,10),"-","/"))),0)),ProxyDD[Chave],ProxyDD[Valor por pedido]),PROXY!$P$2),0),0)</f>
        <v>0</v>
      </c>
      <c r="AP546" s="28">
        <f ca="1">IF('Banco de Dados'!$AK546&lt;&gt;"-",IF('Banco de Dados'!$AL546="NÃO",IFERROR(VALUE(SUBSTITUTE(_xlfn.TEXTAFTER('Banco de Dados'!$F546,"BRL ",1),".",",")),0),0),0)</f>
        <v>0</v>
      </c>
      <c r="AQ546" s="28">
        <f ca="1">SUM('Banco de Dados'!$AM546:$AP546)</f>
        <v>0</v>
      </c>
      <c r="AR546" s="8"/>
      <c r="AS546" s="8"/>
      <c r="AY546" s="8"/>
    </row>
    <row r="547" spans="1:51">
      <c r="A547" s="5" t="str">
        <v>BV</v>
      </c>
      <c r="B547" s="5" t="str">
        <f ca="1"/>
        <v>BV45637</v>
      </c>
      <c r="C547" s="8" t="str">
        <v>Pedido 535</v>
      </c>
      <c r="D547" s="9">
        <v>45637</v>
      </c>
      <c r="E547" s="9">
        <v>45637</v>
      </c>
      <c r="F547" s="8" t="str">
        <v>PedidoF522</v>
      </c>
      <c r="G547" s="2" t="str">
        <v>CódRastreio520</v>
      </c>
      <c r="H547" s="5">
        <v>1</v>
      </c>
      <c r="I547" s="182" t="str">
        <v>CPF 519</v>
      </c>
      <c r="J547" s="2" t="str">
        <v>Nome 519</v>
      </c>
      <c r="K547" s="8" t="str">
        <v>Tel 519</v>
      </c>
      <c r="L547" s="8" t="str">
        <v>Cep 519</v>
      </c>
      <c r="M547" s="8" t="str">
        <v>Rua 519</v>
      </c>
      <c r="N547" s="8" t="str">
        <v>Comp 519</v>
      </c>
      <c r="O547" s="8" t="str">
        <v>Suporte de Celular Branco</v>
      </c>
      <c r="P547" s="8" t="str">
        <v>16-4EDB-WMZF</v>
      </c>
      <c r="Q547" s="4">
        <v>45664</v>
      </c>
      <c r="R547" s="109">
        <v>17.899999999999999</v>
      </c>
      <c r="S547" s="11">
        <f ca="1"/>
        <v>17.899999999999999</v>
      </c>
      <c r="T547" s="28">
        <f ca="1"/>
        <v>2.6849999999999996</v>
      </c>
      <c r="U547" s="11">
        <f ca="1"/>
        <v>15.22</v>
      </c>
      <c r="V547" s="11">
        <v>6.99</v>
      </c>
      <c r="W547" s="11">
        <f ca="1"/>
        <v>0.31</v>
      </c>
      <c r="X547" s="11">
        <f ca="1"/>
        <v>0.39877104377104378</v>
      </c>
      <c r="Y547" s="11">
        <v>0</v>
      </c>
      <c r="Z547" s="11">
        <f ca="1"/>
        <v>7.5212289562289572</v>
      </c>
      <c r="AA547" s="11">
        <f ca="1"/>
        <v>3.7606144781144786</v>
      </c>
      <c r="AB547" s="4">
        <f ca="1"/>
        <v>45671</v>
      </c>
      <c r="AC547" s="4">
        <v>45671</v>
      </c>
      <c r="AD547" s="9">
        <v>45673</v>
      </c>
      <c r="AE547" s="9">
        <v>45673</v>
      </c>
      <c r="AF547" s="4" t="str">
        <f t="shared" ca="1" si="14"/>
        <v>2025 01</v>
      </c>
      <c r="AG547" s="8" t="str" cm="1">
        <f t="array" ref="AG547">IFERROR(_xlfn.IFS('Banco de Dados'!#REF!="AG. COMPRA","Em processamento",'Banco de Dados'!#REF!="AG. RASTREIO","Em processamento",'Banco de Dados'!$AE547&lt;&gt;"-","Faturado",'Banco de Dados'!$AD547&lt;&gt;"-","Aguardando Pix",'Banco de Dados'!$AC547&lt;&gt;"-","Pendente"),"Aguardando Liberação")</f>
        <v>Aguardando Liberação</v>
      </c>
      <c r="AH547" s="5" t="str">
        <f>IF('Banco de Dados'!$F547="-",_xlfn.CONCAT(PROPER(TEXT(AK547,"aaaa"))," ",PROPER(TEXT(AK547,"mm"))),_xlfn.CONCAT(PROPER(TEXT(E547,"aaaa"))," ",PROPER(TEXT(E547,"mm"))))</f>
        <v>2024 12</v>
      </c>
      <c r="AI547" s="9" t="str">
        <f ca="1">IF('Banco de Dados'!$AK547&lt;&gt;"-","REEMBOLSO",IFERROR(_xlfn.XLOOKUP(G547,Follow[CODRASTREIO],Follow[STATUS]),"-"))</f>
        <v>ENTREGUE</v>
      </c>
      <c r="AJ547" s="9">
        <f ca="1">IF('Banco de Dados'!$AI547="ENTREGUE",_xlfn.XLOOKUP('Banco de Dados'!$G547,Follow[CODRASTREIO],Follow[DATAATUALIZAÇÃO]),"-")</f>
        <v>45642</v>
      </c>
      <c r="AK547" s="9" t="str">
        <f ca="1"/>
        <v>-</v>
      </c>
      <c r="AL547" s="35"/>
      <c r="AM547" s="109" cm="1">
        <f t="array" aca="1" ref="AM547" ca="1">IF('Banco de Dados'!$AK547&lt;&gt;"-",_xlfn.IFS('Banco de Dados'!$A547="bv",IF('Banco de Dados'!$E547&lt;45641,ROUND(SUM('Banco de Dados'!$R547*_xlfn.XLOOKUP('Banco de Dados'!$P547,Sku!B:B,Sku!#REF!)*20%),2),ROUND(SUM('Banco de Dados'!$R547*_xlfn.XLOOKUP('Banco de Dados'!$P547,Sku!B:B,Sku!H:H)*20%),2)),'Banco de Dados'!$A547="GO",ROUND(_xlfn.XLOOKUP('Banco de Dados'!$P547,Sku!C:C,Sku!H:H),2),'Banco de Dados'!$A547="MEI",ROUND(_xlfn.XLOOKUP('Banco de Dados'!$P547,Sku!D:D,Sku!H:H),2)),0)</f>
        <v>0</v>
      </c>
      <c r="AN547" s="109">
        <f ca="1">IF('Banco de Dados'!$AK547&lt;&gt;"-",IF('Banco de Dados'!$F547&lt;&gt;"-",_xlfn.XLOOKUP(IFERROR(IFERROR(IFERROR(VALUE(SUBSTITUTE(MID(_xlfn.TEXTAFTER('Banco de Dados'!$F547,"Data do Pedido:
",1),1,10),"-","/")),VALUE(SUBSTITUTE(MID(_xlfn.TEXTAFTER('Banco de Dados'!$F547,"Order date:
",1),1,10),"-","/"))),VALUE(SUBSTITUTE(MID(_xlfn.TEXTAFTER('Banco de Dados'!$F547,"Fecha de pedido:
",1),1,10),"-","/"))),"-"),SMS!A:A,SMS!K:K),0),0)</f>
        <v>0</v>
      </c>
      <c r="AO547" s="109">
        <f ca="1">IF('Banco de Dados'!$AK547&lt;&gt;"-",IF('Banco de Dados'!$F547&lt;&gt;"-",IFERROR(_xlfn.XLOOKUP(_xlfn.CONCAT('Banco de Dados'!$A547,IFERROR(IFERROR(VALUE(SUBSTITUTE(MID(_xlfn.TEXTAFTER('Banco de Dados'!$F547,"Data do Pedido:
",1),1,10),"-","/")),VALUE(SUBSTITUTE(MID(_xlfn.TEXTAFTER('Banco de Dados'!$F547,"Order date:
",1),1,10),"-","/"))),0)),ProxyDD[Chave],ProxyDD[Valor por pedido]),PROXY!$P$2),0),0)</f>
        <v>0</v>
      </c>
      <c r="AP547" s="28">
        <f ca="1">IF('Banco de Dados'!$AK547&lt;&gt;"-",IF('Banco de Dados'!$AL547="NÃO",IFERROR(VALUE(SUBSTITUTE(_xlfn.TEXTAFTER('Banco de Dados'!$F547,"BRL ",1),".",",")),0),0),0)</f>
        <v>0</v>
      </c>
      <c r="AQ547" s="28">
        <f ca="1">SUM('Banco de Dados'!$AM547:$AP547)</f>
        <v>0</v>
      </c>
      <c r="AR547" s="8"/>
      <c r="AS547" s="8"/>
      <c r="AY547" s="8"/>
    </row>
    <row r="548" spans="1:51">
      <c r="A548" s="5" t="str">
        <v>BV</v>
      </c>
      <c r="B548" s="5" t="str">
        <f ca="1"/>
        <v>BV45637</v>
      </c>
      <c r="C548" s="8" t="str">
        <v>Pedido 536</v>
      </c>
      <c r="D548" s="9">
        <v>45637</v>
      </c>
      <c r="E548" s="9">
        <v>45637</v>
      </c>
      <c r="F548" s="8" t="str">
        <v>PedidoF523</v>
      </c>
      <c r="G548" s="2" t="str">
        <v>CódRastreio521</v>
      </c>
      <c r="H548" s="5">
        <v>1</v>
      </c>
      <c r="I548" s="182" t="str">
        <v>CPF 520</v>
      </c>
      <c r="J548" s="2" t="str">
        <v>Nome 520</v>
      </c>
      <c r="K548" s="8" t="str">
        <v>Tel 520</v>
      </c>
      <c r="L548" s="8" t="str">
        <v>Cep 520</v>
      </c>
      <c r="M548" s="8" t="str">
        <v>Rua 520</v>
      </c>
      <c r="N548" s="8" t="str">
        <v>Comp 520</v>
      </c>
      <c r="O548" s="8" t="str">
        <v>Suporte de Celular Branco</v>
      </c>
      <c r="P548" s="8" t="str">
        <v>16-4EDB-WMZF</v>
      </c>
      <c r="Q548" s="4">
        <v>45664</v>
      </c>
      <c r="R548" s="109">
        <v>17.899999999999999</v>
      </c>
      <c r="S548" s="11">
        <f ca="1"/>
        <v>17.899999999999999</v>
      </c>
      <c r="T548" s="28">
        <f ca="1"/>
        <v>2.6849999999999996</v>
      </c>
      <c r="U548" s="11">
        <f ca="1"/>
        <v>15.22</v>
      </c>
      <c r="V548" s="11">
        <v>6.99</v>
      </c>
      <c r="W548" s="11">
        <f ca="1"/>
        <v>0.31</v>
      </c>
      <c r="X548" s="11">
        <f ca="1"/>
        <v>0.39877104377104378</v>
      </c>
      <c r="Y548" s="11">
        <v>0</v>
      </c>
      <c r="Z548" s="11">
        <f ca="1"/>
        <v>7.5212289562289572</v>
      </c>
      <c r="AA548" s="11">
        <f ca="1"/>
        <v>3.7606144781144786</v>
      </c>
      <c r="AB548" s="4">
        <f ca="1"/>
        <v>45671</v>
      </c>
      <c r="AC548" s="4">
        <v>45671</v>
      </c>
      <c r="AD548" s="9">
        <v>45673</v>
      </c>
      <c r="AE548" s="9">
        <v>45673</v>
      </c>
      <c r="AF548" s="4" t="str">
        <f t="shared" ca="1" si="14"/>
        <v>2025 01</v>
      </c>
      <c r="AG548" s="8" t="str" cm="1">
        <f t="array" ref="AG548">IFERROR(_xlfn.IFS('Banco de Dados'!#REF!="AG. COMPRA","Em processamento",'Banco de Dados'!#REF!="AG. RASTREIO","Em processamento",'Banco de Dados'!$AE548&lt;&gt;"-","Faturado",'Banco de Dados'!$AD548&lt;&gt;"-","Aguardando Pix",'Banco de Dados'!$AC548&lt;&gt;"-","Pendente"),"Aguardando Liberação")</f>
        <v>Aguardando Liberação</v>
      </c>
      <c r="AH548" s="5" t="str">
        <f>IF('Banco de Dados'!$F548="-",_xlfn.CONCAT(PROPER(TEXT(AK548,"aaaa"))," ",PROPER(TEXT(AK548,"mm"))),_xlfn.CONCAT(PROPER(TEXT(E548,"aaaa"))," ",PROPER(TEXT(E548,"mm"))))</f>
        <v>2024 12</v>
      </c>
      <c r="AI548" s="9" t="str">
        <f ca="1">IF('Banco de Dados'!$AK548&lt;&gt;"-","REEMBOLSO",IFERROR(_xlfn.XLOOKUP(G548,Follow[CODRASTREIO],Follow[STATUS]),"-"))</f>
        <v>ENTREGUE</v>
      </c>
      <c r="AJ548" s="9">
        <f ca="1">IF('Banco de Dados'!$AI548="ENTREGUE",_xlfn.XLOOKUP('Banco de Dados'!$G548,Follow[CODRASTREIO],Follow[DATAATUALIZAÇÃO]),"-")</f>
        <v>45651</v>
      </c>
      <c r="AK548" s="9" t="str">
        <f ca="1"/>
        <v>-</v>
      </c>
      <c r="AL548" s="35"/>
      <c r="AM548" s="109" cm="1">
        <f t="array" aca="1" ref="AM548" ca="1">IF('Banco de Dados'!$AK548&lt;&gt;"-",_xlfn.IFS('Banco de Dados'!$A548="bv",IF('Banco de Dados'!$E548&lt;45641,ROUND(SUM('Banco de Dados'!$R548*_xlfn.XLOOKUP('Banco de Dados'!$P548,Sku!B:B,Sku!#REF!)*20%),2),ROUND(SUM('Banco de Dados'!$R548*_xlfn.XLOOKUP('Banco de Dados'!$P548,Sku!B:B,Sku!H:H)*20%),2)),'Banco de Dados'!$A548="GO",ROUND(_xlfn.XLOOKUP('Banco de Dados'!$P548,Sku!C:C,Sku!H:H),2),'Banco de Dados'!$A548="MEI",ROUND(_xlfn.XLOOKUP('Banco de Dados'!$P548,Sku!D:D,Sku!H:H),2)),0)</f>
        <v>0</v>
      </c>
      <c r="AN548" s="109">
        <f ca="1">IF('Banco de Dados'!$AK548&lt;&gt;"-",IF('Banco de Dados'!$F548&lt;&gt;"-",_xlfn.XLOOKUP(IFERROR(IFERROR(IFERROR(VALUE(SUBSTITUTE(MID(_xlfn.TEXTAFTER('Banco de Dados'!$F548,"Data do Pedido:
",1),1,10),"-","/")),VALUE(SUBSTITUTE(MID(_xlfn.TEXTAFTER('Banco de Dados'!$F548,"Order date:
",1),1,10),"-","/"))),VALUE(SUBSTITUTE(MID(_xlfn.TEXTAFTER('Banco de Dados'!$F548,"Fecha de pedido:
",1),1,10),"-","/"))),"-"),SMS!A:A,SMS!K:K),0),0)</f>
        <v>0</v>
      </c>
      <c r="AO548" s="109">
        <f ca="1">IF('Banco de Dados'!$AK548&lt;&gt;"-",IF('Banco de Dados'!$F548&lt;&gt;"-",IFERROR(_xlfn.XLOOKUP(_xlfn.CONCAT('Banco de Dados'!$A548,IFERROR(IFERROR(VALUE(SUBSTITUTE(MID(_xlfn.TEXTAFTER('Banco de Dados'!$F548,"Data do Pedido:
",1),1,10),"-","/")),VALUE(SUBSTITUTE(MID(_xlfn.TEXTAFTER('Banco de Dados'!$F548,"Order date:
",1),1,10),"-","/"))),0)),ProxyDD[Chave],ProxyDD[Valor por pedido]),PROXY!$P$2),0),0)</f>
        <v>0</v>
      </c>
      <c r="AP548" s="28">
        <f ca="1">IF('Banco de Dados'!$AK548&lt;&gt;"-",IF('Banco de Dados'!$AL548="NÃO",IFERROR(VALUE(SUBSTITUTE(_xlfn.TEXTAFTER('Banco de Dados'!$F548,"BRL ",1),".",",")),0),0),0)</f>
        <v>0</v>
      </c>
      <c r="AQ548" s="28">
        <f ca="1">SUM('Banco de Dados'!$AM548:$AP548)</f>
        <v>0</v>
      </c>
      <c r="AR548" s="8"/>
      <c r="AS548" s="8"/>
      <c r="AY548" s="8"/>
    </row>
    <row r="549" spans="1:51">
      <c r="A549" s="5" t="str">
        <v>BV</v>
      </c>
      <c r="B549" s="5" t="str">
        <f ca="1"/>
        <v>BV45637</v>
      </c>
      <c r="C549" s="8" t="str">
        <v>Pedido 537</v>
      </c>
      <c r="D549" s="9">
        <v>45637</v>
      </c>
      <c r="E549" s="9">
        <v>45637</v>
      </c>
      <c r="F549" s="8" t="str">
        <v>PedidoF524</v>
      </c>
      <c r="G549" s="2" t="str">
        <v>CódRastreio522</v>
      </c>
      <c r="H549" s="5">
        <v>1</v>
      </c>
      <c r="I549" s="182" t="str">
        <v>CPF 521</v>
      </c>
      <c r="J549" s="2" t="str">
        <v>Nome 521</v>
      </c>
      <c r="K549" s="8" t="str">
        <v>Tel 521</v>
      </c>
      <c r="L549" s="8" t="str">
        <v>Cep 521</v>
      </c>
      <c r="M549" s="8" t="str">
        <v>Rua 521</v>
      </c>
      <c r="N549" s="8" t="str">
        <v>Comp 521</v>
      </c>
      <c r="O549" s="8" t="str">
        <v>Ventilador Preto</v>
      </c>
      <c r="P549" s="8" t="str">
        <v>MU-J80P-95WF</v>
      </c>
      <c r="Q549" s="4">
        <v>45664</v>
      </c>
      <c r="R549" s="109">
        <v>65.599999999999994</v>
      </c>
      <c r="S549" s="11">
        <f ca="1"/>
        <v>65.599999999999994</v>
      </c>
      <c r="T549" s="28">
        <f ca="1"/>
        <v>8.5279999999999987</v>
      </c>
      <c r="U549" s="11">
        <f ca="1"/>
        <v>57.07</v>
      </c>
      <c r="V549" s="11">
        <v>19.809999999999999</v>
      </c>
      <c r="W549" s="11">
        <f ca="1"/>
        <v>0.31</v>
      </c>
      <c r="X549" s="11">
        <f ca="1"/>
        <v>0.39877104377104378</v>
      </c>
      <c r="Y549" s="11">
        <v>0</v>
      </c>
      <c r="Z549" s="11">
        <f ca="1"/>
        <v>36.551228956228954</v>
      </c>
      <c r="AA549" s="11">
        <f ca="1"/>
        <v>18.275614478114477</v>
      </c>
      <c r="AB549" s="4">
        <f ca="1"/>
        <v>45671</v>
      </c>
      <c r="AC549" s="4">
        <v>45671</v>
      </c>
      <c r="AD549" s="9">
        <v>45673</v>
      </c>
      <c r="AE549" s="9">
        <v>45673</v>
      </c>
      <c r="AF549" s="4" t="str">
        <f ca="1">_xlfn.CONCAT(PROPER(TEXT(AB549,"aaaa"))," ",PROPER(TEXT(AB549,"mm")))</f>
        <v>2025 01</v>
      </c>
      <c r="AG549" s="8" t="str" cm="1">
        <f t="array" ref="AG549">IFERROR(_xlfn.IFS('Banco de Dados'!#REF!="AG. COMPRA","Em processamento",'Banco de Dados'!#REF!="AG. RASTREIO","Em processamento",'Banco de Dados'!$AE549&lt;&gt;"-","Faturado",'Banco de Dados'!$AD549&lt;&gt;"-","Aguardando Pix",'Banco de Dados'!$AC549&lt;&gt;"-","Pendente"),"Aguardando Liberação")</f>
        <v>Aguardando Liberação</v>
      </c>
      <c r="AH549" s="5" t="str">
        <f>IF('Banco de Dados'!$F549="-",_xlfn.CONCAT(PROPER(TEXT(AK549,"aaaa"))," ",PROPER(TEXT(AK549,"mm"))),_xlfn.CONCAT(PROPER(TEXT(E549,"aaaa"))," ",PROPER(TEXT(E549,"mm"))))</f>
        <v>2024 12</v>
      </c>
      <c r="AI549" s="9" t="str">
        <f ca="1">IF('Banco de Dados'!$AK549&lt;&gt;"-","REEMBOLSO",IFERROR(_xlfn.XLOOKUP(G549,Follow[CODRASTREIO],Follow[STATUS]),"-"))</f>
        <v>ENTREGUE</v>
      </c>
      <c r="AJ549" s="9">
        <f ca="1">IF('Banco de Dados'!$AI549="ENTREGUE",_xlfn.XLOOKUP('Banco de Dados'!$G549,Follow[CODRASTREIO],Follow[DATAATUALIZAÇÃO]),"-")</f>
        <v>45646</v>
      </c>
      <c r="AK549" s="9" t="str">
        <f ca="1"/>
        <v>-</v>
      </c>
      <c r="AL549" s="35"/>
      <c r="AM549" s="109" cm="1">
        <f t="array" aca="1" ref="AM549" ca="1">IF('Banco de Dados'!$AK549&lt;&gt;"-",_xlfn.IFS('Banco de Dados'!$A549="bv",IF('Banco de Dados'!$E549&lt;45641,ROUND(SUM('Banco de Dados'!$R549*_xlfn.XLOOKUP('Banco de Dados'!$P549,Sku!B:B,Sku!#REF!)*20%),2),ROUND(SUM('Banco de Dados'!$R549*_xlfn.XLOOKUP('Banco de Dados'!$P549,Sku!B:B,Sku!H:H)*20%),2)),'Banco de Dados'!$A549="GO",ROUND(_xlfn.XLOOKUP('Banco de Dados'!$P549,Sku!C:C,Sku!H:H),2),'Banco de Dados'!$A549="MEI",ROUND(_xlfn.XLOOKUP('Banco de Dados'!$P549,Sku!D:D,Sku!H:H),2)),0)</f>
        <v>0</v>
      </c>
      <c r="AN549" s="109">
        <f ca="1">IF('Banco de Dados'!$AK549&lt;&gt;"-",IF('Banco de Dados'!$F549&lt;&gt;"-",_xlfn.XLOOKUP(IFERROR(IFERROR(IFERROR(VALUE(SUBSTITUTE(MID(_xlfn.TEXTAFTER('Banco de Dados'!$F549,"Data do Pedido:
",1),1,10),"-","/")),VALUE(SUBSTITUTE(MID(_xlfn.TEXTAFTER('Banco de Dados'!$F549,"Order date:
",1),1,10),"-","/"))),VALUE(SUBSTITUTE(MID(_xlfn.TEXTAFTER('Banco de Dados'!$F549,"Fecha de pedido:
",1),1,10),"-","/"))),"-"),SMS!A:A,SMS!K:K),0),0)</f>
        <v>0</v>
      </c>
      <c r="AO549" s="109">
        <f ca="1">IF('Banco de Dados'!$AK549&lt;&gt;"-",IF('Banco de Dados'!$F549&lt;&gt;"-",IFERROR(_xlfn.XLOOKUP(_xlfn.CONCAT('Banco de Dados'!$A549,IFERROR(IFERROR(VALUE(SUBSTITUTE(MID(_xlfn.TEXTAFTER('Banco de Dados'!$F549,"Data do Pedido:
",1),1,10),"-","/")),VALUE(SUBSTITUTE(MID(_xlfn.TEXTAFTER('Banco de Dados'!$F549,"Order date:
",1),1,10),"-","/"))),0)),ProxyDD[Chave],ProxyDD[Valor por pedido]),PROXY!$P$2),0),0)</f>
        <v>0</v>
      </c>
      <c r="AP549" s="28">
        <f ca="1">IF('Banco de Dados'!$AK549&lt;&gt;"-",IF('Banco de Dados'!$AL549="NÃO",IFERROR(VALUE(SUBSTITUTE(_xlfn.TEXTAFTER('Banco de Dados'!$F549,"BRL ",1),".",",")),0),0),0)</f>
        <v>0</v>
      </c>
      <c r="AQ549" s="28">
        <f ca="1">SUM('Banco de Dados'!$AM549:$AP549)</f>
        <v>0</v>
      </c>
      <c r="AR549" s="8"/>
      <c r="AS549" s="8"/>
      <c r="AY549" s="8"/>
    </row>
    <row r="550" spans="1:51">
      <c r="A550" s="5" t="str">
        <v>BV</v>
      </c>
      <c r="B550" s="5" t="str">
        <f ca="1"/>
        <v>BV45638</v>
      </c>
      <c r="C550" s="8" t="str">
        <v>Pedido 538</v>
      </c>
      <c r="D550" s="9">
        <v>45638</v>
      </c>
      <c r="E550" s="9">
        <v>45638</v>
      </c>
      <c r="F550" s="8" t="str">
        <v>PedidoF525</v>
      </c>
      <c r="G550" s="2" t="str">
        <v>CódRastreio523</v>
      </c>
      <c r="H550" s="5">
        <v>1</v>
      </c>
      <c r="I550" s="182" t="str">
        <v>CPF 522</v>
      </c>
      <c r="J550" s="2" t="str">
        <v>Nome 522</v>
      </c>
      <c r="K550" s="8" t="str">
        <v>Tel 522</v>
      </c>
      <c r="L550" s="8" t="str">
        <v>Cep 522</v>
      </c>
      <c r="M550" s="8" t="str">
        <v>Rua 522</v>
      </c>
      <c r="N550" s="8" t="str">
        <v>Comp 522</v>
      </c>
      <c r="O550" s="8" t="str">
        <v>Ventilador Rosa</v>
      </c>
      <c r="P550" s="8" t="str">
        <v>IF-G2ZQ-79FO</v>
      </c>
      <c r="Q550" s="4">
        <v>45675</v>
      </c>
      <c r="R550" s="109">
        <v>54.8</v>
      </c>
      <c r="S550" s="11">
        <f ca="1"/>
        <v>54.8</v>
      </c>
      <c r="T550" s="28">
        <f ca="1"/>
        <v>7.1239999999999997</v>
      </c>
      <c r="U550" s="11">
        <f ca="1"/>
        <v>47.68</v>
      </c>
      <c r="V550" s="11">
        <v>11.5</v>
      </c>
      <c r="W550" s="11">
        <f ca="1"/>
        <v>0.2</v>
      </c>
      <c r="X550" s="11">
        <f ca="1"/>
        <v>0.39877104377104378</v>
      </c>
      <c r="Y550" s="11">
        <v>0</v>
      </c>
      <c r="Z550" s="11">
        <f ca="1"/>
        <v>35.581228956228955</v>
      </c>
      <c r="AA550" s="11">
        <f ca="1"/>
        <v>17.790614478114477</v>
      </c>
      <c r="AB550" s="4">
        <f ca="1"/>
        <v>45682</v>
      </c>
      <c r="AC550" s="4">
        <v>45682</v>
      </c>
      <c r="AD550" s="9">
        <v>45688</v>
      </c>
      <c r="AE550" s="9">
        <v>45694</v>
      </c>
      <c r="AF550" s="4" t="str">
        <f t="shared" ref="AF550:AF559" ca="1" si="15">_xlfn.CONCAT(PROPER(TEXT(AB550,"aaaa"))," ",PROPER(TEXT(AB550,"mm")))</f>
        <v>2025 01</v>
      </c>
      <c r="AG550" s="8" t="str" cm="1">
        <f t="array" ref="AG550">IFERROR(_xlfn.IFS('Banco de Dados'!#REF!="AG. COMPRA","Em processamento",'Banco de Dados'!#REF!="AG. RASTREIO","Em processamento",'Banco de Dados'!$AE550&lt;&gt;"-","Faturado",'Banco de Dados'!$AD550&lt;&gt;"-","Aguardando Pix",'Banco de Dados'!$AC550&lt;&gt;"-","Pendente"),"Aguardando Liberação")</f>
        <v>Aguardando Liberação</v>
      </c>
      <c r="AH550" s="5" t="str">
        <f>IF('Banco de Dados'!$F550="-",_xlfn.CONCAT(PROPER(TEXT(AK550,"aaaa"))," ",PROPER(TEXT(AK550,"mm"))),_xlfn.CONCAT(PROPER(TEXT(E550,"aaaa"))," ",PROPER(TEXT(E550,"mm"))))</f>
        <v>2024 12</v>
      </c>
      <c r="AI550" s="9" t="str">
        <f ca="1">IF('Banco de Dados'!$AK550&lt;&gt;"-","REEMBOLSO",IFERROR(_xlfn.XLOOKUP(G550,Follow[CODRASTREIO],Follow[STATUS]),"-"))</f>
        <v>ENTREGUE</v>
      </c>
      <c r="AJ550" s="9">
        <f ca="1">IF('Banco de Dados'!$AI550="ENTREGUE",_xlfn.XLOOKUP('Banco de Dados'!$G550,Follow[CODRASTREIO],Follow[DATAATUALIZAÇÃO]),"-")</f>
        <v>45660</v>
      </c>
      <c r="AK550" s="9" t="str">
        <f ca="1"/>
        <v>-</v>
      </c>
      <c r="AL550" s="35"/>
      <c r="AM550" s="109" cm="1">
        <f t="array" aca="1" ref="AM550" ca="1">IF('Banco de Dados'!$AK550&lt;&gt;"-",_xlfn.IFS('Banco de Dados'!$A550="bv",IF('Banco de Dados'!$E550&lt;45641,ROUND(SUM('Banco de Dados'!$R550*_xlfn.XLOOKUP('Banco de Dados'!$P550,Sku!B:B,Sku!#REF!)*20%),2),ROUND(SUM('Banco de Dados'!$R550*_xlfn.XLOOKUP('Banco de Dados'!$P550,Sku!B:B,Sku!H:H)*20%),2)),'Banco de Dados'!$A550="GO",ROUND(_xlfn.XLOOKUP('Banco de Dados'!$P550,Sku!C:C,Sku!H:H),2),'Banco de Dados'!$A550="MEI",ROUND(_xlfn.XLOOKUP('Banco de Dados'!$P550,Sku!D:D,Sku!H:H),2)),0)</f>
        <v>0</v>
      </c>
      <c r="AN550" s="109">
        <f ca="1">IF('Banco de Dados'!$AK550&lt;&gt;"-",IF('Banco de Dados'!$F550&lt;&gt;"-",_xlfn.XLOOKUP(IFERROR(IFERROR(IFERROR(VALUE(SUBSTITUTE(MID(_xlfn.TEXTAFTER('Banco de Dados'!$F550,"Data do Pedido:
",1),1,10),"-","/")),VALUE(SUBSTITUTE(MID(_xlfn.TEXTAFTER('Banco de Dados'!$F550,"Order date:
",1),1,10),"-","/"))),VALUE(SUBSTITUTE(MID(_xlfn.TEXTAFTER('Banco de Dados'!$F550,"Fecha de pedido:
",1),1,10),"-","/"))),"-"),SMS!A:A,SMS!K:K),0),0)</f>
        <v>0</v>
      </c>
      <c r="AO550" s="109">
        <f ca="1">IF('Banco de Dados'!$AK550&lt;&gt;"-",IF('Banco de Dados'!$F550&lt;&gt;"-",IFERROR(_xlfn.XLOOKUP(_xlfn.CONCAT('Banco de Dados'!$A550,IFERROR(IFERROR(VALUE(SUBSTITUTE(MID(_xlfn.TEXTAFTER('Banco de Dados'!$F550,"Data do Pedido:
",1),1,10),"-","/")),VALUE(SUBSTITUTE(MID(_xlfn.TEXTAFTER('Banco de Dados'!$F550,"Order date:
",1),1,10),"-","/"))),0)),ProxyDD[Chave],ProxyDD[Valor por pedido]),PROXY!$P$2),0),0)</f>
        <v>0</v>
      </c>
      <c r="AP550" s="28">
        <f ca="1">IF('Banco de Dados'!$AK550&lt;&gt;"-",IF('Banco de Dados'!$AL550="NÃO",IFERROR(VALUE(SUBSTITUTE(_xlfn.TEXTAFTER('Banco de Dados'!$F550,"BRL ",1),".",",")),0),0),0)</f>
        <v>0</v>
      </c>
      <c r="AQ550" s="28">
        <f ca="1">SUM('Banco de Dados'!$AM550:$AP550)</f>
        <v>0</v>
      </c>
      <c r="AR550" s="8"/>
      <c r="AS550" s="8"/>
      <c r="AY550" s="8"/>
    </row>
    <row r="551" spans="1:51">
      <c r="A551" s="5" t="str">
        <v>BV</v>
      </c>
      <c r="B551" s="5" t="str">
        <f ca="1"/>
        <v>BV45638</v>
      </c>
      <c r="C551" s="8" t="str">
        <v>Pedido 539</v>
      </c>
      <c r="D551" s="9">
        <v>45638</v>
      </c>
      <c r="E551" s="9">
        <v>45638</v>
      </c>
      <c r="F551" s="8" t="str">
        <v>PedidoF526</v>
      </c>
      <c r="G551" s="2" t="str">
        <v>CódRastreio524</v>
      </c>
      <c r="H551" s="5">
        <v>1</v>
      </c>
      <c r="I551" s="182" t="str">
        <v>CPF 523</v>
      </c>
      <c r="J551" s="2" t="str">
        <v>Nome 523</v>
      </c>
      <c r="K551" s="8" t="str">
        <v>Tel 523</v>
      </c>
      <c r="L551" s="8" t="str">
        <v>Cep 523</v>
      </c>
      <c r="M551" s="8" t="str">
        <v>Rua 523</v>
      </c>
      <c r="N551" s="8" t="str">
        <v>Comp 523</v>
      </c>
      <c r="O551" s="8" t="str">
        <v>Suporte de Celular Branco</v>
      </c>
      <c r="P551" s="8" t="str">
        <v>16-4EDB-WMZF</v>
      </c>
      <c r="Q551" s="4">
        <v>45671</v>
      </c>
      <c r="R551" s="109">
        <v>17.899999999999999</v>
      </c>
      <c r="S551" s="11">
        <f ca="1"/>
        <v>17.899999999999999</v>
      </c>
      <c r="T551" s="28">
        <f ca="1"/>
        <v>2.6849999999999996</v>
      </c>
      <c r="U551" s="11">
        <f ca="1"/>
        <v>15.22</v>
      </c>
      <c r="V551" s="11">
        <v>6.99</v>
      </c>
      <c r="W551" s="11">
        <f ca="1"/>
        <v>0.2</v>
      </c>
      <c r="X551" s="11">
        <f ca="1"/>
        <v>0.39877104377104378</v>
      </c>
      <c r="Y551" s="11">
        <v>0</v>
      </c>
      <c r="Z551" s="11">
        <f ca="1"/>
        <v>7.6312289562289566</v>
      </c>
      <c r="AA551" s="11">
        <f ca="1"/>
        <v>3.8156144781144783</v>
      </c>
      <c r="AB551" s="4">
        <f ca="1"/>
        <v>45678</v>
      </c>
      <c r="AC551" s="4">
        <v>45678</v>
      </c>
      <c r="AD551" s="9">
        <v>45679</v>
      </c>
      <c r="AE551" s="9">
        <v>45694</v>
      </c>
      <c r="AF551" s="4" t="str">
        <f t="shared" ca="1" si="15"/>
        <v>2025 01</v>
      </c>
      <c r="AG551" s="8" t="str" cm="1">
        <f t="array" ref="AG551">IFERROR(_xlfn.IFS('Banco de Dados'!#REF!="AG. COMPRA","Em processamento",'Banco de Dados'!#REF!="AG. RASTREIO","Em processamento",'Banco de Dados'!$AE551&lt;&gt;"-","Faturado",'Banco de Dados'!$AD551&lt;&gt;"-","Aguardando Pix",'Banco de Dados'!$AC551&lt;&gt;"-","Pendente"),"Aguardando Liberação")</f>
        <v>Aguardando Liberação</v>
      </c>
      <c r="AH551" s="5" t="str">
        <f>IF('Banco de Dados'!$F551="-",_xlfn.CONCAT(PROPER(TEXT(AK551,"aaaa"))," ",PROPER(TEXT(AK551,"mm"))),_xlfn.CONCAT(PROPER(TEXT(E551,"aaaa"))," ",PROPER(TEXT(E551,"mm"))))</f>
        <v>2024 12</v>
      </c>
      <c r="AI551" s="9" t="str">
        <f ca="1">IF('Banco de Dados'!$AK551&lt;&gt;"-","REEMBOLSO",IFERROR(_xlfn.XLOOKUP(G551,Follow[CODRASTREIO],Follow[STATUS]),"-"))</f>
        <v>ENTREGUE</v>
      </c>
      <c r="AJ551" s="9">
        <f ca="1">IF('Banco de Dados'!$AI551="ENTREGUE",_xlfn.XLOOKUP('Banco de Dados'!$G551,Follow[CODRASTREIO],Follow[DATAATUALIZAÇÃO]),"-")</f>
        <v>45656</v>
      </c>
      <c r="AK551" s="9" t="str">
        <f ca="1"/>
        <v>-</v>
      </c>
      <c r="AL551" s="35"/>
      <c r="AM551" s="109" cm="1">
        <f t="array" aca="1" ref="AM551" ca="1">IF('Banco de Dados'!$AK551&lt;&gt;"-",_xlfn.IFS('Banco de Dados'!$A551="bv",IF('Banco de Dados'!$E551&lt;45641,ROUND(SUM('Banco de Dados'!$R551*_xlfn.XLOOKUP('Banco de Dados'!$P551,Sku!B:B,Sku!#REF!)*20%),2),ROUND(SUM('Banco de Dados'!$R551*_xlfn.XLOOKUP('Banco de Dados'!$P551,Sku!B:B,Sku!H:H)*20%),2)),'Banco de Dados'!$A551="GO",ROUND(_xlfn.XLOOKUP('Banco de Dados'!$P551,Sku!C:C,Sku!H:H),2),'Banco de Dados'!$A551="MEI",ROUND(_xlfn.XLOOKUP('Banco de Dados'!$P551,Sku!D:D,Sku!H:H),2)),0)</f>
        <v>0</v>
      </c>
      <c r="AN551" s="109">
        <f ca="1">IF('Banco de Dados'!$AK551&lt;&gt;"-",IF('Banco de Dados'!$F551&lt;&gt;"-",_xlfn.XLOOKUP(IFERROR(IFERROR(IFERROR(VALUE(SUBSTITUTE(MID(_xlfn.TEXTAFTER('Banco de Dados'!$F551,"Data do Pedido:
",1),1,10),"-","/")),VALUE(SUBSTITUTE(MID(_xlfn.TEXTAFTER('Banco de Dados'!$F551,"Order date:
",1),1,10),"-","/"))),VALUE(SUBSTITUTE(MID(_xlfn.TEXTAFTER('Banco de Dados'!$F551,"Fecha de pedido:
",1),1,10),"-","/"))),"-"),SMS!A:A,SMS!K:K),0),0)</f>
        <v>0</v>
      </c>
      <c r="AO551" s="109">
        <f ca="1">IF('Banco de Dados'!$AK551&lt;&gt;"-",IF('Banco de Dados'!$F551&lt;&gt;"-",IFERROR(_xlfn.XLOOKUP(_xlfn.CONCAT('Banco de Dados'!$A551,IFERROR(IFERROR(VALUE(SUBSTITUTE(MID(_xlfn.TEXTAFTER('Banco de Dados'!$F551,"Data do Pedido:
",1),1,10),"-","/")),VALUE(SUBSTITUTE(MID(_xlfn.TEXTAFTER('Banco de Dados'!$F551,"Order date:
",1),1,10),"-","/"))),0)),ProxyDD[Chave],ProxyDD[Valor por pedido]),PROXY!$P$2),0),0)</f>
        <v>0</v>
      </c>
      <c r="AP551" s="28">
        <f ca="1">IF('Banco de Dados'!$AK551&lt;&gt;"-",IF('Banco de Dados'!$AL551="NÃO",IFERROR(VALUE(SUBSTITUTE(_xlfn.TEXTAFTER('Banco de Dados'!$F551,"BRL ",1),".",",")),0),0),0)</f>
        <v>0</v>
      </c>
      <c r="AQ551" s="28">
        <f ca="1">SUM('Banco de Dados'!$AM551:$AP551)</f>
        <v>0</v>
      </c>
      <c r="AR551" s="8"/>
      <c r="AS551" s="8"/>
      <c r="AY551" s="8"/>
    </row>
    <row r="552" spans="1:51">
      <c r="A552" s="5" t="str">
        <v>BV</v>
      </c>
      <c r="B552" s="5" t="str">
        <f ca="1"/>
        <v>BV45638</v>
      </c>
      <c r="C552" s="8" t="str">
        <v>Pedido 540</v>
      </c>
      <c r="D552" s="9">
        <v>45638</v>
      </c>
      <c r="E552" s="9">
        <v>45638</v>
      </c>
      <c r="F552" s="8" t="str">
        <v>PedidoF527</v>
      </c>
      <c r="G552" s="2" t="str">
        <v>CódRastreio525</v>
      </c>
      <c r="H552" s="5">
        <v>1</v>
      </c>
      <c r="I552" s="182" t="str">
        <v>CPF 524</v>
      </c>
      <c r="J552" s="2" t="str">
        <v>Nome 524</v>
      </c>
      <c r="K552" s="8" t="str">
        <v>Tel 524</v>
      </c>
      <c r="L552" s="8" t="str">
        <v>Cep 524</v>
      </c>
      <c r="M552" s="8" t="str">
        <v>Rua 524</v>
      </c>
      <c r="N552" s="8" t="str">
        <v>Comp 524</v>
      </c>
      <c r="O552" s="8" t="str">
        <v>Suporte de Celular Branco</v>
      </c>
      <c r="P552" s="8" t="str">
        <v>16-4EDB-WMZF</v>
      </c>
      <c r="Q552" s="4">
        <v>45665</v>
      </c>
      <c r="R552" s="109">
        <v>17.899999999999999</v>
      </c>
      <c r="S552" s="11">
        <f ca="1"/>
        <v>17.899999999999999</v>
      </c>
      <c r="T552" s="28">
        <f ca="1"/>
        <v>2.6849999999999996</v>
      </c>
      <c r="U552" s="11">
        <f ca="1"/>
        <v>15.22</v>
      </c>
      <c r="V552" s="11">
        <v>6.99</v>
      </c>
      <c r="W552" s="11">
        <f ca="1"/>
        <v>0.2</v>
      </c>
      <c r="X552" s="11">
        <f ca="1"/>
        <v>0.39877104377104378</v>
      </c>
      <c r="Y552" s="11">
        <v>0</v>
      </c>
      <c r="Z552" s="11">
        <f ca="1"/>
        <v>7.6312289562289566</v>
      </c>
      <c r="AA552" s="11">
        <f ca="1"/>
        <v>3.8156144781144783</v>
      </c>
      <c r="AB552" s="4">
        <f ca="1"/>
        <v>45672</v>
      </c>
      <c r="AC552" s="4">
        <v>45672</v>
      </c>
      <c r="AD552" s="9">
        <v>45673</v>
      </c>
      <c r="AE552" s="9">
        <v>45673</v>
      </c>
      <c r="AF552" s="4" t="str">
        <f t="shared" ca="1" si="15"/>
        <v>2025 01</v>
      </c>
      <c r="AG552" s="8" t="str" cm="1">
        <f t="array" ref="AG552">IFERROR(_xlfn.IFS('Banco de Dados'!#REF!="AG. COMPRA","Em processamento",'Banco de Dados'!#REF!="AG. RASTREIO","Em processamento",'Banco de Dados'!$AE552&lt;&gt;"-","Faturado",'Banco de Dados'!$AD552&lt;&gt;"-","Aguardando Pix",'Banco de Dados'!$AC552&lt;&gt;"-","Pendente"),"Aguardando Liberação")</f>
        <v>Aguardando Liberação</v>
      </c>
      <c r="AH552" s="5" t="str">
        <f>IF('Banco de Dados'!$F552="-",_xlfn.CONCAT(PROPER(TEXT(AK552,"aaaa"))," ",PROPER(TEXT(AK552,"mm"))),_xlfn.CONCAT(PROPER(TEXT(E552,"aaaa"))," ",PROPER(TEXT(E552,"mm"))))</f>
        <v>2024 12</v>
      </c>
      <c r="AI552" s="9" t="str">
        <f ca="1">IF('Banco de Dados'!$AK552&lt;&gt;"-","REEMBOLSO",IFERROR(_xlfn.XLOOKUP(G552,Follow[CODRASTREIO],Follow[STATUS]),"-"))</f>
        <v>ENTREGUE</v>
      </c>
      <c r="AJ552" s="9">
        <f ca="1">IF('Banco de Dados'!$AI552="ENTREGUE",_xlfn.XLOOKUP('Banco de Dados'!$G552,Follow[CODRASTREIO],Follow[DATAATUALIZAÇÃO]),"-")</f>
        <v>45645</v>
      </c>
      <c r="AK552" s="9" t="str">
        <f ca="1"/>
        <v>-</v>
      </c>
      <c r="AL552" s="35"/>
      <c r="AM552" s="109" cm="1">
        <f t="array" aca="1" ref="AM552" ca="1">IF('Banco de Dados'!$AK552&lt;&gt;"-",_xlfn.IFS('Banco de Dados'!$A552="bv",IF('Banco de Dados'!$E552&lt;45641,ROUND(SUM('Banco de Dados'!$R552*_xlfn.XLOOKUP('Banco de Dados'!$P552,Sku!B:B,Sku!#REF!)*20%),2),ROUND(SUM('Banco de Dados'!$R552*_xlfn.XLOOKUP('Banco de Dados'!$P552,Sku!B:B,Sku!H:H)*20%),2)),'Banco de Dados'!$A552="GO",ROUND(_xlfn.XLOOKUP('Banco de Dados'!$P552,Sku!C:C,Sku!H:H),2),'Banco de Dados'!$A552="MEI",ROUND(_xlfn.XLOOKUP('Banco de Dados'!$P552,Sku!D:D,Sku!H:H),2)),0)</f>
        <v>0</v>
      </c>
      <c r="AN552" s="109">
        <f ca="1">IF('Banco de Dados'!$AK552&lt;&gt;"-",IF('Banco de Dados'!$F552&lt;&gt;"-",_xlfn.XLOOKUP(IFERROR(IFERROR(IFERROR(VALUE(SUBSTITUTE(MID(_xlfn.TEXTAFTER('Banco de Dados'!$F552,"Data do Pedido:
",1),1,10),"-","/")),VALUE(SUBSTITUTE(MID(_xlfn.TEXTAFTER('Banco de Dados'!$F552,"Order date:
",1),1,10),"-","/"))),VALUE(SUBSTITUTE(MID(_xlfn.TEXTAFTER('Banco de Dados'!$F552,"Fecha de pedido:
",1),1,10),"-","/"))),"-"),SMS!A:A,SMS!K:K),0),0)</f>
        <v>0</v>
      </c>
      <c r="AO552" s="109">
        <f ca="1">IF('Banco de Dados'!$AK552&lt;&gt;"-",IF('Banco de Dados'!$F552&lt;&gt;"-",IFERROR(_xlfn.XLOOKUP(_xlfn.CONCAT('Banco de Dados'!$A552,IFERROR(IFERROR(VALUE(SUBSTITUTE(MID(_xlfn.TEXTAFTER('Banco de Dados'!$F552,"Data do Pedido:
",1),1,10),"-","/")),VALUE(SUBSTITUTE(MID(_xlfn.TEXTAFTER('Banco de Dados'!$F552,"Order date:
",1),1,10),"-","/"))),0)),ProxyDD[Chave],ProxyDD[Valor por pedido]),PROXY!$P$2),0),0)</f>
        <v>0</v>
      </c>
      <c r="AP552" s="28">
        <f ca="1">IF('Banco de Dados'!$AK552&lt;&gt;"-",IF('Banco de Dados'!$AL552="NÃO",IFERROR(VALUE(SUBSTITUTE(_xlfn.TEXTAFTER('Banco de Dados'!$F552,"BRL ",1),".",",")),0),0),0)</f>
        <v>0</v>
      </c>
      <c r="AQ552" s="28">
        <f ca="1">SUM('Banco de Dados'!$AM552:$AP552)</f>
        <v>0</v>
      </c>
      <c r="AR552" s="8"/>
      <c r="AS552" s="8"/>
      <c r="AY552" s="8"/>
    </row>
    <row r="553" spans="1:51">
      <c r="A553" s="5" t="str">
        <v>BV</v>
      </c>
      <c r="B553" s="5" t="str">
        <f ca="1"/>
        <v>BV45638</v>
      </c>
      <c r="C553" s="8" t="str">
        <v>Pedido 541</v>
      </c>
      <c r="D553" s="9">
        <v>45638</v>
      </c>
      <c r="E553" s="9">
        <v>45638</v>
      </c>
      <c r="F553" s="8" t="str">
        <v>PedidoF528</v>
      </c>
      <c r="G553" s="2" t="str">
        <v>CódRastreio526</v>
      </c>
      <c r="H553" s="5">
        <v>1</v>
      </c>
      <c r="I553" s="182" t="str">
        <v>CPF 524</v>
      </c>
      <c r="J553" s="2" t="str">
        <v>Nome 524</v>
      </c>
      <c r="K553" s="8" t="str">
        <v>Tel 524</v>
      </c>
      <c r="L553" s="8" t="str">
        <v>Cep 524</v>
      </c>
      <c r="M553" s="8" t="str">
        <v>Rua 524</v>
      </c>
      <c r="N553" s="8" t="str">
        <v>Comp 524</v>
      </c>
      <c r="O553" s="8" t="str">
        <v>Suporte de Celular Branco</v>
      </c>
      <c r="P553" s="8" t="str">
        <v>16-4EDB-WMZF</v>
      </c>
      <c r="Q553" s="4">
        <v>45665</v>
      </c>
      <c r="R553" s="109">
        <v>17.899999999999999</v>
      </c>
      <c r="S553" s="11">
        <f ca="1"/>
        <v>17.899999999999999</v>
      </c>
      <c r="T553" s="28">
        <f ca="1"/>
        <v>2.6849999999999996</v>
      </c>
      <c r="U553" s="11">
        <f ca="1"/>
        <v>15.22</v>
      </c>
      <c r="V553" s="11">
        <v>6.99</v>
      </c>
      <c r="W553" s="11">
        <f ca="1"/>
        <v>0.2</v>
      </c>
      <c r="X553" s="11">
        <f ca="1"/>
        <v>0.39877104377104378</v>
      </c>
      <c r="Y553" s="11">
        <v>0</v>
      </c>
      <c r="Z553" s="11">
        <f ca="1"/>
        <v>7.6312289562289566</v>
      </c>
      <c r="AA553" s="11">
        <f ca="1"/>
        <v>3.8156144781144783</v>
      </c>
      <c r="AB553" s="4">
        <f ca="1"/>
        <v>45672</v>
      </c>
      <c r="AC553" s="4">
        <v>45672</v>
      </c>
      <c r="AD553" s="9">
        <v>45673</v>
      </c>
      <c r="AE553" s="9">
        <v>45673</v>
      </c>
      <c r="AF553" s="4" t="str">
        <f t="shared" ca="1" si="15"/>
        <v>2025 01</v>
      </c>
      <c r="AG553" s="8" t="str" cm="1">
        <f t="array" ref="AG553">IFERROR(_xlfn.IFS('Banco de Dados'!#REF!="AG. COMPRA","Em processamento",'Banco de Dados'!#REF!="AG. RASTREIO","Em processamento",'Banco de Dados'!$AE553&lt;&gt;"-","Faturado",'Banco de Dados'!$AD553&lt;&gt;"-","Aguardando Pix",'Banco de Dados'!$AC553&lt;&gt;"-","Pendente"),"Aguardando Liberação")</f>
        <v>Aguardando Liberação</v>
      </c>
      <c r="AH553" s="5" t="str">
        <f>IF('Banco de Dados'!$F553="-",_xlfn.CONCAT(PROPER(TEXT(AK553,"aaaa"))," ",PROPER(TEXT(AK553,"mm"))),_xlfn.CONCAT(PROPER(TEXT(E553,"aaaa"))," ",PROPER(TEXT(E553,"mm"))))</f>
        <v>2024 12</v>
      </c>
      <c r="AI553" s="9" t="str">
        <f ca="1">IF('Banco de Dados'!$AK553&lt;&gt;"-","REEMBOLSO",IFERROR(_xlfn.XLOOKUP(G553,Follow[CODRASTREIO],Follow[STATUS]),"-"))</f>
        <v>ENTREGUE</v>
      </c>
      <c r="AJ553" s="9">
        <f ca="1">IF('Banco de Dados'!$AI553="ENTREGUE",_xlfn.XLOOKUP('Banco de Dados'!$G553,Follow[CODRASTREIO],Follow[DATAATUALIZAÇÃO]),"-")</f>
        <v>45645</v>
      </c>
      <c r="AK553" s="9" t="str">
        <f ca="1"/>
        <v>-</v>
      </c>
      <c r="AL553" s="35"/>
      <c r="AM553" s="109" cm="1">
        <f t="array" aca="1" ref="AM553" ca="1">IF('Banco de Dados'!$AK553&lt;&gt;"-",_xlfn.IFS('Banco de Dados'!$A553="bv",IF('Banco de Dados'!$E553&lt;45641,ROUND(SUM('Banco de Dados'!$R553*_xlfn.XLOOKUP('Banco de Dados'!$P553,Sku!B:B,Sku!#REF!)*20%),2),ROUND(SUM('Banco de Dados'!$R553*_xlfn.XLOOKUP('Banco de Dados'!$P553,Sku!B:B,Sku!H:H)*20%),2)),'Banco de Dados'!$A553="GO",ROUND(_xlfn.XLOOKUP('Banco de Dados'!$P553,Sku!C:C,Sku!H:H),2),'Banco de Dados'!$A553="MEI",ROUND(_xlfn.XLOOKUP('Banco de Dados'!$P553,Sku!D:D,Sku!H:H),2)),0)</f>
        <v>0</v>
      </c>
      <c r="AN553" s="109">
        <f ca="1">IF('Banco de Dados'!$AK553&lt;&gt;"-",IF('Banco de Dados'!$F553&lt;&gt;"-",_xlfn.XLOOKUP(IFERROR(IFERROR(IFERROR(VALUE(SUBSTITUTE(MID(_xlfn.TEXTAFTER('Banco de Dados'!$F553,"Data do Pedido:
",1),1,10),"-","/")),VALUE(SUBSTITUTE(MID(_xlfn.TEXTAFTER('Banco de Dados'!$F553,"Order date:
",1),1,10),"-","/"))),VALUE(SUBSTITUTE(MID(_xlfn.TEXTAFTER('Banco de Dados'!$F553,"Fecha de pedido:
",1),1,10),"-","/"))),"-"),SMS!A:A,SMS!K:K),0),0)</f>
        <v>0</v>
      </c>
      <c r="AO553" s="109">
        <f ca="1">IF('Banco de Dados'!$AK553&lt;&gt;"-",IF('Banco de Dados'!$F553&lt;&gt;"-",IFERROR(_xlfn.XLOOKUP(_xlfn.CONCAT('Banco de Dados'!$A553,IFERROR(IFERROR(VALUE(SUBSTITUTE(MID(_xlfn.TEXTAFTER('Banco de Dados'!$F553,"Data do Pedido:
",1),1,10),"-","/")),VALUE(SUBSTITUTE(MID(_xlfn.TEXTAFTER('Banco de Dados'!$F553,"Order date:
",1),1,10),"-","/"))),0)),ProxyDD[Chave],ProxyDD[Valor por pedido]),PROXY!$P$2),0),0)</f>
        <v>0</v>
      </c>
      <c r="AP553" s="28">
        <f ca="1">IF('Banco de Dados'!$AK553&lt;&gt;"-",IF('Banco de Dados'!$AL553="NÃO",IFERROR(VALUE(SUBSTITUTE(_xlfn.TEXTAFTER('Banco de Dados'!$F553,"BRL ",1),".",",")),0),0),0)</f>
        <v>0</v>
      </c>
      <c r="AQ553" s="28">
        <f ca="1">SUM('Banco de Dados'!$AM553:$AP553)</f>
        <v>0</v>
      </c>
      <c r="AR553" s="8"/>
      <c r="AS553" s="8"/>
      <c r="AY553" s="8"/>
    </row>
    <row r="554" spans="1:51">
      <c r="A554" s="5" t="str">
        <v>BV</v>
      </c>
      <c r="B554" s="5" t="str">
        <f ca="1"/>
        <v>BV45638</v>
      </c>
      <c r="C554" s="8" t="str">
        <v>Pedido 542</v>
      </c>
      <c r="D554" s="9">
        <v>45638</v>
      </c>
      <c r="E554" s="9">
        <v>45638</v>
      </c>
      <c r="F554" s="8" t="str">
        <v>PedidoF529</v>
      </c>
      <c r="G554" s="2" t="str">
        <v>CódRastreio527</v>
      </c>
      <c r="H554" s="5">
        <v>1</v>
      </c>
      <c r="I554" s="182" t="str">
        <v>CPF 525</v>
      </c>
      <c r="J554" s="2" t="str">
        <v>Nome 525</v>
      </c>
      <c r="K554" s="8" t="str">
        <v>Tel 525</v>
      </c>
      <c r="L554" s="8" t="str">
        <v>Cep 525</v>
      </c>
      <c r="M554" s="8" t="str">
        <v>Rua 525</v>
      </c>
      <c r="N554" s="8" t="str">
        <v>Comp 525</v>
      </c>
      <c r="O554" s="8" t="str">
        <v>Suporte de Celular Branco</v>
      </c>
      <c r="P554" s="8" t="str">
        <v>16-4EDB-WMZF</v>
      </c>
      <c r="Q554" s="4">
        <v>45665</v>
      </c>
      <c r="R554" s="109">
        <v>17.899999999999999</v>
      </c>
      <c r="S554" s="11">
        <f ca="1"/>
        <v>17.899999999999999</v>
      </c>
      <c r="T554" s="28">
        <f ca="1"/>
        <v>2.6849999999999996</v>
      </c>
      <c r="U554" s="11">
        <f ca="1"/>
        <v>15.22</v>
      </c>
      <c r="V554" s="11">
        <v>6.99</v>
      </c>
      <c r="W554" s="11">
        <f ca="1"/>
        <v>0.2</v>
      </c>
      <c r="X554" s="11">
        <f ca="1"/>
        <v>0.39877104377104378</v>
      </c>
      <c r="Y554" s="11">
        <v>0</v>
      </c>
      <c r="Z554" s="11">
        <f ca="1"/>
        <v>7.6312289562289566</v>
      </c>
      <c r="AA554" s="11">
        <f ca="1"/>
        <v>3.8156144781144783</v>
      </c>
      <c r="AB554" s="4">
        <f ca="1"/>
        <v>45672</v>
      </c>
      <c r="AC554" s="4">
        <v>45672</v>
      </c>
      <c r="AD554" s="9">
        <v>45673</v>
      </c>
      <c r="AE554" s="9">
        <v>45673</v>
      </c>
      <c r="AF554" s="4" t="str">
        <f t="shared" ca="1" si="15"/>
        <v>2025 01</v>
      </c>
      <c r="AG554" s="8" t="str" cm="1">
        <f t="array" ref="AG554">IFERROR(_xlfn.IFS('Banco de Dados'!#REF!="AG. COMPRA","Em processamento",'Banco de Dados'!#REF!="AG. RASTREIO","Em processamento",'Banco de Dados'!$AE554&lt;&gt;"-","Faturado",'Banco de Dados'!$AD554&lt;&gt;"-","Aguardando Pix",'Banco de Dados'!$AC554&lt;&gt;"-","Pendente"),"Aguardando Liberação")</f>
        <v>Aguardando Liberação</v>
      </c>
      <c r="AH554" s="5" t="str">
        <f>IF('Banco de Dados'!$F554="-",_xlfn.CONCAT(PROPER(TEXT(AK554,"aaaa"))," ",PROPER(TEXT(AK554,"mm"))),_xlfn.CONCAT(PROPER(TEXT(E554,"aaaa"))," ",PROPER(TEXT(E554,"mm"))))</f>
        <v>2024 12</v>
      </c>
      <c r="AI554" s="9" t="str">
        <f ca="1">IF('Banco de Dados'!$AK554&lt;&gt;"-","REEMBOLSO",IFERROR(_xlfn.XLOOKUP(G554,Follow[CODRASTREIO],Follow[STATUS]),"-"))</f>
        <v>ENTREGUE</v>
      </c>
      <c r="AJ554" s="9">
        <f ca="1">IF('Banco de Dados'!$AI554="ENTREGUE",_xlfn.XLOOKUP('Banco de Dados'!$G554,Follow[CODRASTREIO],Follow[DATAATUALIZAÇÃO]),"-")</f>
        <v>45652</v>
      </c>
      <c r="AK554" s="9" t="str">
        <f ca="1"/>
        <v>-</v>
      </c>
      <c r="AL554" s="35"/>
      <c r="AM554" s="109" cm="1">
        <f t="array" aca="1" ref="AM554" ca="1">IF('Banco de Dados'!$AK554&lt;&gt;"-",_xlfn.IFS('Banco de Dados'!$A554="bv",IF('Banco de Dados'!$E554&lt;45641,ROUND(SUM('Banco de Dados'!$R554*_xlfn.XLOOKUP('Banco de Dados'!$P554,Sku!B:B,Sku!#REF!)*20%),2),ROUND(SUM('Banco de Dados'!$R554*_xlfn.XLOOKUP('Banco de Dados'!$P554,Sku!B:B,Sku!H:H)*20%),2)),'Banco de Dados'!$A554="GO",ROUND(_xlfn.XLOOKUP('Banco de Dados'!$P554,Sku!C:C,Sku!H:H),2),'Banco de Dados'!$A554="MEI",ROUND(_xlfn.XLOOKUP('Banco de Dados'!$P554,Sku!D:D,Sku!H:H),2)),0)</f>
        <v>0</v>
      </c>
      <c r="AN554" s="109">
        <f ca="1">IF('Banco de Dados'!$AK554&lt;&gt;"-",IF('Banco de Dados'!$F554&lt;&gt;"-",_xlfn.XLOOKUP(IFERROR(IFERROR(IFERROR(VALUE(SUBSTITUTE(MID(_xlfn.TEXTAFTER('Banco de Dados'!$F554,"Data do Pedido:
",1),1,10),"-","/")),VALUE(SUBSTITUTE(MID(_xlfn.TEXTAFTER('Banco de Dados'!$F554,"Order date:
",1),1,10),"-","/"))),VALUE(SUBSTITUTE(MID(_xlfn.TEXTAFTER('Banco de Dados'!$F554,"Fecha de pedido:
",1),1,10),"-","/"))),"-"),SMS!A:A,SMS!K:K),0),0)</f>
        <v>0</v>
      </c>
      <c r="AO554" s="109">
        <f ca="1">IF('Banco de Dados'!$AK554&lt;&gt;"-",IF('Banco de Dados'!$F554&lt;&gt;"-",IFERROR(_xlfn.XLOOKUP(_xlfn.CONCAT('Banco de Dados'!$A554,IFERROR(IFERROR(VALUE(SUBSTITUTE(MID(_xlfn.TEXTAFTER('Banco de Dados'!$F554,"Data do Pedido:
",1),1,10),"-","/")),VALUE(SUBSTITUTE(MID(_xlfn.TEXTAFTER('Banco de Dados'!$F554,"Order date:
",1),1,10),"-","/"))),0)),ProxyDD[Chave],ProxyDD[Valor por pedido]),PROXY!$P$2),0),0)</f>
        <v>0</v>
      </c>
      <c r="AP554" s="28">
        <f ca="1">IF('Banco de Dados'!$AK554&lt;&gt;"-",IF('Banco de Dados'!$AL554="NÃO",IFERROR(VALUE(SUBSTITUTE(_xlfn.TEXTAFTER('Banco de Dados'!$F554,"BRL ",1),".",",")),0),0),0)</f>
        <v>0</v>
      </c>
      <c r="AQ554" s="28">
        <f ca="1">SUM('Banco de Dados'!$AM554:$AP554)</f>
        <v>0</v>
      </c>
      <c r="AR554" s="8"/>
      <c r="AS554" s="8"/>
      <c r="AY554" s="8"/>
    </row>
    <row r="555" spans="1:51">
      <c r="A555" s="5" t="str">
        <v>BV</v>
      </c>
      <c r="B555" s="5" t="str">
        <f ca="1"/>
        <v>BV45638</v>
      </c>
      <c r="C555" s="8" t="str">
        <v>Pedido 543</v>
      </c>
      <c r="D555" s="9">
        <v>45638</v>
      </c>
      <c r="E555" s="9">
        <v>45638</v>
      </c>
      <c r="F555" s="8" t="str">
        <v>PedidoF530</v>
      </c>
      <c r="G555" s="2" t="str">
        <v>CódRastreio528</v>
      </c>
      <c r="H555" s="5">
        <v>1</v>
      </c>
      <c r="I555" s="182" t="str">
        <v>CPF 526</v>
      </c>
      <c r="J555" s="2" t="str">
        <v>Nome 526</v>
      </c>
      <c r="K555" s="8" t="str">
        <v>Tel 526</v>
      </c>
      <c r="L555" s="8" t="str">
        <v>Cep 526</v>
      </c>
      <c r="M555" s="8" t="str">
        <v>Rua 526</v>
      </c>
      <c r="N555" s="8" t="str">
        <v>Comp 526</v>
      </c>
      <c r="O555" s="8" t="str">
        <v>Suporte de Celular Branco</v>
      </c>
      <c r="P555" s="8" t="str">
        <v>16-4EDB-WMZF</v>
      </c>
      <c r="Q555" s="4">
        <v>45665</v>
      </c>
      <c r="R555" s="109">
        <v>17.899999999999999</v>
      </c>
      <c r="S555" s="11">
        <f ca="1"/>
        <v>17.899999999999999</v>
      </c>
      <c r="T555" s="28">
        <f ca="1"/>
        <v>2.6849999999999996</v>
      </c>
      <c r="U555" s="11">
        <f ca="1"/>
        <v>15.22</v>
      </c>
      <c r="V555" s="11">
        <v>6.99</v>
      </c>
      <c r="W555" s="11">
        <f ca="1"/>
        <v>0.2</v>
      </c>
      <c r="X555" s="11">
        <f ca="1"/>
        <v>0.39877104377104378</v>
      </c>
      <c r="Y555" s="11">
        <v>0</v>
      </c>
      <c r="Z555" s="11">
        <f ca="1"/>
        <v>7.6312289562289566</v>
      </c>
      <c r="AA555" s="11">
        <f ca="1"/>
        <v>3.8156144781144783</v>
      </c>
      <c r="AB555" s="4">
        <f ca="1"/>
        <v>45672</v>
      </c>
      <c r="AC555" s="4">
        <v>45672</v>
      </c>
      <c r="AD555" s="9">
        <v>45673</v>
      </c>
      <c r="AE555" s="9">
        <v>45673</v>
      </c>
      <c r="AF555" s="4" t="str">
        <f t="shared" ca="1" si="15"/>
        <v>2025 01</v>
      </c>
      <c r="AG555" s="8" t="str" cm="1">
        <f t="array" ref="AG555">IFERROR(_xlfn.IFS('Banco de Dados'!#REF!="AG. COMPRA","Em processamento",'Banco de Dados'!#REF!="AG. RASTREIO","Em processamento",'Banco de Dados'!$AE555&lt;&gt;"-","Faturado",'Banco de Dados'!$AD555&lt;&gt;"-","Aguardando Pix",'Banco de Dados'!$AC555&lt;&gt;"-","Pendente"),"Aguardando Liberação")</f>
        <v>Aguardando Liberação</v>
      </c>
      <c r="AH555" s="5" t="str">
        <f>IF('Banco de Dados'!$F555="-",_xlfn.CONCAT(PROPER(TEXT(AK555,"aaaa"))," ",PROPER(TEXT(AK555,"mm"))),_xlfn.CONCAT(PROPER(TEXT(E555,"aaaa"))," ",PROPER(TEXT(E555,"mm"))))</f>
        <v>2024 12</v>
      </c>
      <c r="AI555" s="9" t="str">
        <f ca="1">IF('Banco de Dados'!$AK555&lt;&gt;"-","REEMBOLSO",IFERROR(_xlfn.XLOOKUP(G555,Follow[CODRASTREIO],Follow[STATUS]),"-"))</f>
        <v>ENTREGUE</v>
      </c>
      <c r="AJ555" s="9">
        <f ca="1">IF('Banco de Dados'!$AI555="ENTREGUE",_xlfn.XLOOKUP('Banco de Dados'!$G555,Follow[CODRASTREIO],Follow[DATAATUALIZAÇÃO]),"-")</f>
        <v>45679</v>
      </c>
      <c r="AK555" s="9" t="str">
        <f ca="1"/>
        <v>-</v>
      </c>
      <c r="AL555" s="35"/>
      <c r="AM555" s="109" cm="1">
        <f t="array" aca="1" ref="AM555" ca="1">IF('Banco de Dados'!$AK555&lt;&gt;"-",_xlfn.IFS('Banco de Dados'!$A555="bv",IF('Banco de Dados'!$E555&lt;45641,ROUND(SUM('Banco de Dados'!$R555*_xlfn.XLOOKUP('Banco de Dados'!$P555,Sku!B:B,Sku!#REF!)*20%),2),ROUND(SUM('Banco de Dados'!$R555*_xlfn.XLOOKUP('Banco de Dados'!$P555,Sku!B:B,Sku!H:H)*20%),2)),'Banco de Dados'!$A555="GO",ROUND(_xlfn.XLOOKUP('Banco de Dados'!$P555,Sku!C:C,Sku!H:H),2),'Banco de Dados'!$A555="MEI",ROUND(_xlfn.XLOOKUP('Banco de Dados'!$P555,Sku!D:D,Sku!H:H),2)),0)</f>
        <v>0</v>
      </c>
      <c r="AN555" s="109">
        <f ca="1">IF('Banco de Dados'!$AK555&lt;&gt;"-",IF('Banco de Dados'!$F555&lt;&gt;"-",_xlfn.XLOOKUP(IFERROR(IFERROR(IFERROR(VALUE(SUBSTITUTE(MID(_xlfn.TEXTAFTER('Banco de Dados'!$F555,"Data do Pedido:
",1),1,10),"-","/")),VALUE(SUBSTITUTE(MID(_xlfn.TEXTAFTER('Banco de Dados'!$F555,"Order date:
",1),1,10),"-","/"))),VALUE(SUBSTITUTE(MID(_xlfn.TEXTAFTER('Banco de Dados'!$F555,"Fecha de pedido:
",1),1,10),"-","/"))),"-"),SMS!A:A,SMS!K:K),0),0)</f>
        <v>0</v>
      </c>
      <c r="AO555" s="109">
        <f ca="1">IF('Banco de Dados'!$AK555&lt;&gt;"-",IF('Banco de Dados'!$F555&lt;&gt;"-",IFERROR(_xlfn.XLOOKUP(_xlfn.CONCAT('Banco de Dados'!$A555,IFERROR(IFERROR(VALUE(SUBSTITUTE(MID(_xlfn.TEXTAFTER('Banco de Dados'!$F555,"Data do Pedido:
",1),1,10),"-","/")),VALUE(SUBSTITUTE(MID(_xlfn.TEXTAFTER('Banco de Dados'!$F555,"Order date:
",1),1,10),"-","/"))),0)),ProxyDD[Chave],ProxyDD[Valor por pedido]),PROXY!$P$2),0),0)</f>
        <v>0</v>
      </c>
      <c r="AP555" s="28">
        <f ca="1">IF('Banco de Dados'!$AK555&lt;&gt;"-",IF('Banco de Dados'!$AL555="NÃO",IFERROR(VALUE(SUBSTITUTE(_xlfn.TEXTAFTER('Banco de Dados'!$F555,"BRL ",1),".",",")),0),0),0)</f>
        <v>0</v>
      </c>
      <c r="AQ555" s="28">
        <f ca="1">SUM('Banco de Dados'!$AM555:$AP555)</f>
        <v>0</v>
      </c>
      <c r="AR555" s="8"/>
      <c r="AS555" s="8"/>
      <c r="AY555" s="8"/>
    </row>
    <row r="556" spans="1:51">
      <c r="A556" s="5" t="str">
        <v>BV</v>
      </c>
      <c r="B556" s="5" t="str">
        <f ca="1"/>
        <v>BV45638</v>
      </c>
      <c r="C556" s="8" t="str">
        <v>Pedido 544</v>
      </c>
      <c r="D556" s="9">
        <v>45638</v>
      </c>
      <c r="E556" s="9">
        <v>45638</v>
      </c>
      <c r="F556" s="8" t="str">
        <v>PedidoF531</v>
      </c>
      <c r="G556" s="2" t="str">
        <v>CódRastreio529</v>
      </c>
      <c r="H556" s="5">
        <v>1</v>
      </c>
      <c r="I556" s="182" t="str">
        <v>CPF 527</v>
      </c>
      <c r="J556" s="2" t="str">
        <v>Nome 527</v>
      </c>
      <c r="K556" s="8" t="str">
        <v>Tel 527</v>
      </c>
      <c r="L556" s="8" t="str">
        <v>Cep 527</v>
      </c>
      <c r="M556" s="8" t="str">
        <v>Rua 527</v>
      </c>
      <c r="N556" s="8" t="str">
        <v>Comp 527</v>
      </c>
      <c r="O556" s="8" t="str">
        <v>Ventilador Rosa</v>
      </c>
      <c r="P556" s="8" t="str">
        <v>IF-G2ZQ-79FO</v>
      </c>
      <c r="Q556" s="4">
        <v>45665</v>
      </c>
      <c r="R556" s="109">
        <v>54.8</v>
      </c>
      <c r="S556" s="11">
        <f ca="1"/>
        <v>54.8</v>
      </c>
      <c r="T556" s="28">
        <f ca="1"/>
        <v>7.1239999999999997</v>
      </c>
      <c r="U556" s="11">
        <f ca="1"/>
        <v>47.68</v>
      </c>
      <c r="V556" s="11">
        <v>11.5</v>
      </c>
      <c r="W556" s="11">
        <f ca="1"/>
        <v>0.2</v>
      </c>
      <c r="X556" s="11">
        <f ca="1"/>
        <v>0.39877104377104378</v>
      </c>
      <c r="Y556" s="11">
        <v>0</v>
      </c>
      <c r="Z556" s="11">
        <f ca="1"/>
        <v>35.581228956228955</v>
      </c>
      <c r="AA556" s="11">
        <f ca="1"/>
        <v>17.790614478114477</v>
      </c>
      <c r="AB556" s="4">
        <f ca="1"/>
        <v>45672</v>
      </c>
      <c r="AC556" s="4">
        <v>45672</v>
      </c>
      <c r="AD556" s="9">
        <v>45673</v>
      </c>
      <c r="AE556" s="9">
        <v>45673</v>
      </c>
      <c r="AF556" s="4" t="str">
        <f t="shared" ca="1" si="15"/>
        <v>2025 01</v>
      </c>
      <c r="AG556" s="8" t="str" cm="1">
        <f t="array" ref="AG556">IFERROR(_xlfn.IFS('Banco de Dados'!#REF!="AG. COMPRA","Em processamento",'Banco de Dados'!#REF!="AG. RASTREIO","Em processamento",'Banco de Dados'!$AE556&lt;&gt;"-","Faturado",'Banco de Dados'!$AD556&lt;&gt;"-","Aguardando Pix",'Banco de Dados'!$AC556&lt;&gt;"-","Pendente"),"Aguardando Liberação")</f>
        <v>Aguardando Liberação</v>
      </c>
      <c r="AH556" s="5" t="str">
        <f>IF('Banco de Dados'!$F556="-",_xlfn.CONCAT(PROPER(TEXT(AK556,"aaaa"))," ",PROPER(TEXT(AK556,"mm"))),_xlfn.CONCAT(PROPER(TEXT(E556,"aaaa"))," ",PROPER(TEXT(E556,"mm"))))</f>
        <v>2024 12</v>
      </c>
      <c r="AI556" s="9" t="str">
        <f ca="1">IF('Banco de Dados'!$AK556&lt;&gt;"-","REEMBOLSO",IFERROR(_xlfn.XLOOKUP(G556,Follow[CODRASTREIO],Follow[STATUS]),"-"))</f>
        <v>ENTREGUE</v>
      </c>
      <c r="AJ556" s="9">
        <f ca="1">IF('Banco de Dados'!$AI556="ENTREGUE",_xlfn.XLOOKUP('Banco de Dados'!$G556,Follow[CODRASTREIO],Follow[DATAATUALIZAÇÃO]),"-")</f>
        <v>45656</v>
      </c>
      <c r="AK556" s="9" t="str">
        <f ca="1"/>
        <v>-</v>
      </c>
      <c r="AL556" s="35"/>
      <c r="AM556" s="109" cm="1">
        <f t="array" aca="1" ref="AM556" ca="1">IF('Banco de Dados'!$AK556&lt;&gt;"-",_xlfn.IFS('Banco de Dados'!$A556="bv",IF('Banco de Dados'!$E556&lt;45641,ROUND(SUM('Banco de Dados'!$R556*_xlfn.XLOOKUP('Banco de Dados'!$P556,Sku!B:B,Sku!#REF!)*20%),2),ROUND(SUM('Banco de Dados'!$R556*_xlfn.XLOOKUP('Banco de Dados'!$P556,Sku!B:B,Sku!H:H)*20%),2)),'Banco de Dados'!$A556="GO",ROUND(_xlfn.XLOOKUP('Banco de Dados'!$P556,Sku!C:C,Sku!H:H),2),'Banco de Dados'!$A556="MEI",ROUND(_xlfn.XLOOKUP('Banco de Dados'!$P556,Sku!D:D,Sku!H:H),2)),0)</f>
        <v>0</v>
      </c>
      <c r="AN556" s="109">
        <f ca="1">IF('Banco de Dados'!$AK556&lt;&gt;"-",IF('Banco de Dados'!$F556&lt;&gt;"-",_xlfn.XLOOKUP(IFERROR(IFERROR(IFERROR(VALUE(SUBSTITUTE(MID(_xlfn.TEXTAFTER('Banco de Dados'!$F556,"Data do Pedido:
",1),1,10),"-","/")),VALUE(SUBSTITUTE(MID(_xlfn.TEXTAFTER('Banco de Dados'!$F556,"Order date:
",1),1,10),"-","/"))),VALUE(SUBSTITUTE(MID(_xlfn.TEXTAFTER('Banco de Dados'!$F556,"Fecha de pedido:
",1),1,10),"-","/"))),"-"),SMS!A:A,SMS!K:K),0),0)</f>
        <v>0</v>
      </c>
      <c r="AO556" s="109">
        <f ca="1">IF('Banco de Dados'!$AK556&lt;&gt;"-",IF('Banco de Dados'!$F556&lt;&gt;"-",IFERROR(_xlfn.XLOOKUP(_xlfn.CONCAT('Banco de Dados'!$A556,IFERROR(IFERROR(VALUE(SUBSTITUTE(MID(_xlfn.TEXTAFTER('Banco de Dados'!$F556,"Data do Pedido:
",1),1,10),"-","/")),VALUE(SUBSTITUTE(MID(_xlfn.TEXTAFTER('Banco de Dados'!$F556,"Order date:
",1),1,10),"-","/"))),0)),ProxyDD[Chave],ProxyDD[Valor por pedido]),PROXY!$P$2),0),0)</f>
        <v>0</v>
      </c>
      <c r="AP556" s="28">
        <f ca="1">IF('Banco de Dados'!$AK556&lt;&gt;"-",IF('Banco de Dados'!$AL556="NÃO",IFERROR(VALUE(SUBSTITUTE(_xlfn.TEXTAFTER('Banco de Dados'!$F556,"BRL ",1),".",",")),0),0),0)</f>
        <v>0</v>
      </c>
      <c r="AQ556" s="28">
        <f ca="1">SUM('Banco de Dados'!$AM556:$AP556)</f>
        <v>0</v>
      </c>
      <c r="AR556" s="8"/>
      <c r="AS556" s="8"/>
      <c r="AY556" s="8"/>
    </row>
    <row r="557" spans="1:51">
      <c r="A557" s="5" t="str">
        <v>BV</v>
      </c>
      <c r="B557" s="5" t="str">
        <f ca="1"/>
        <v>BV45638</v>
      </c>
      <c r="C557" s="8" t="str">
        <v>Pedido 545</v>
      </c>
      <c r="D557" s="9">
        <v>45638</v>
      </c>
      <c r="E557" s="9">
        <v>45638</v>
      </c>
      <c r="F557" s="8" t="str">
        <v>PedidoF532</v>
      </c>
      <c r="G557" s="2" t="str">
        <v>CódRastreio530</v>
      </c>
      <c r="H557" s="5">
        <v>1</v>
      </c>
      <c r="I557" s="182" t="str">
        <v>CPF 528</v>
      </c>
      <c r="J557" s="2" t="str">
        <v>Nome 528</v>
      </c>
      <c r="K557" s="8" t="str">
        <v>Tel 528</v>
      </c>
      <c r="L557" s="8" t="str">
        <v>Cep 528</v>
      </c>
      <c r="M557" s="8" t="str">
        <v>Rua 528</v>
      </c>
      <c r="N557" s="8" t="str">
        <v>Comp 528</v>
      </c>
      <c r="O557" s="8" t="str">
        <v>Ventilador Azul</v>
      </c>
      <c r="P557" s="8" t="str">
        <v>U8-2VWS-OB6M</v>
      </c>
      <c r="Q557" s="4">
        <v>45671</v>
      </c>
      <c r="R557" s="109">
        <v>65.599999999999994</v>
      </c>
      <c r="S557" s="11">
        <f ca="1"/>
        <v>65.599999999999994</v>
      </c>
      <c r="T557" s="28">
        <f ca="1"/>
        <v>8.5279999999999987</v>
      </c>
      <c r="U557" s="11">
        <f ca="1"/>
        <v>57.07</v>
      </c>
      <c r="V557" s="11">
        <v>16.579999999999998</v>
      </c>
      <c r="W557" s="11">
        <f ca="1"/>
        <v>0.2</v>
      </c>
      <c r="X557" s="11">
        <f ca="1"/>
        <v>0.39877104377104378</v>
      </c>
      <c r="Y557" s="11">
        <v>0</v>
      </c>
      <c r="Z557" s="11">
        <f ca="1"/>
        <v>39.891228956228957</v>
      </c>
      <c r="AA557" s="11">
        <f ca="1"/>
        <v>19.945614478114479</v>
      </c>
      <c r="AB557" s="4">
        <f ca="1"/>
        <v>45678</v>
      </c>
      <c r="AC557" s="4">
        <v>45678</v>
      </c>
      <c r="AD557" s="9">
        <v>45679</v>
      </c>
      <c r="AE557" s="9">
        <v>45694</v>
      </c>
      <c r="AF557" s="4" t="str">
        <f t="shared" ca="1" si="15"/>
        <v>2025 01</v>
      </c>
      <c r="AG557" s="8" t="str" cm="1">
        <f t="array" ref="AG557">IFERROR(_xlfn.IFS('Banco de Dados'!#REF!="AG. COMPRA","Em processamento",'Banco de Dados'!#REF!="AG. RASTREIO","Em processamento",'Banco de Dados'!$AE557&lt;&gt;"-","Faturado",'Banco de Dados'!$AD557&lt;&gt;"-","Aguardando Pix",'Banco de Dados'!$AC557&lt;&gt;"-","Pendente"),"Aguardando Liberação")</f>
        <v>Aguardando Liberação</v>
      </c>
      <c r="AH557" s="5" t="str">
        <f>IF('Banco de Dados'!$F557="-",_xlfn.CONCAT(PROPER(TEXT(AK557,"aaaa"))," ",PROPER(TEXT(AK557,"mm"))),_xlfn.CONCAT(PROPER(TEXT(E557,"aaaa"))," ",PROPER(TEXT(E557,"mm"))))</f>
        <v>2024 12</v>
      </c>
      <c r="AI557" s="9" t="str">
        <f ca="1">IF('Banco de Dados'!$AK557&lt;&gt;"-","REEMBOLSO",IFERROR(_xlfn.XLOOKUP(G557,Follow[CODRASTREIO],Follow[STATUS]),"-"))</f>
        <v>ENTREGUE</v>
      </c>
      <c r="AJ557" s="9">
        <f ca="1">IF('Banco de Dados'!$AI557="ENTREGUE",_xlfn.XLOOKUP('Banco de Dados'!$G557,Follow[CODRASTREIO],Follow[DATAATUALIZAÇÃO]),"-")</f>
        <v>45659</v>
      </c>
      <c r="AK557" s="9" t="str">
        <f ca="1"/>
        <v>-</v>
      </c>
      <c r="AL557" s="35"/>
      <c r="AM557" s="109" cm="1">
        <f t="array" aca="1" ref="AM557" ca="1">IF('Banco de Dados'!$AK557&lt;&gt;"-",_xlfn.IFS('Banco de Dados'!$A557="bv",IF('Banco de Dados'!$E557&lt;45641,ROUND(SUM('Banco de Dados'!$R557*_xlfn.XLOOKUP('Banco de Dados'!$P557,Sku!B:B,Sku!#REF!)*20%),2),ROUND(SUM('Banco de Dados'!$R557*_xlfn.XLOOKUP('Banco de Dados'!$P557,Sku!B:B,Sku!H:H)*20%),2)),'Banco de Dados'!$A557="GO",ROUND(_xlfn.XLOOKUP('Banco de Dados'!$P557,Sku!C:C,Sku!H:H),2),'Banco de Dados'!$A557="MEI",ROUND(_xlfn.XLOOKUP('Banco de Dados'!$P557,Sku!D:D,Sku!H:H),2)),0)</f>
        <v>0</v>
      </c>
      <c r="AN557" s="109">
        <f ca="1">IF('Banco de Dados'!$AK557&lt;&gt;"-",IF('Banco de Dados'!$F557&lt;&gt;"-",_xlfn.XLOOKUP(IFERROR(IFERROR(IFERROR(VALUE(SUBSTITUTE(MID(_xlfn.TEXTAFTER('Banco de Dados'!$F557,"Data do Pedido:
",1),1,10),"-","/")),VALUE(SUBSTITUTE(MID(_xlfn.TEXTAFTER('Banco de Dados'!$F557,"Order date:
",1),1,10),"-","/"))),VALUE(SUBSTITUTE(MID(_xlfn.TEXTAFTER('Banco de Dados'!$F557,"Fecha de pedido:
",1),1,10),"-","/"))),"-"),SMS!A:A,SMS!K:K),0),0)</f>
        <v>0</v>
      </c>
      <c r="AO557" s="109">
        <f ca="1">IF('Banco de Dados'!$AK557&lt;&gt;"-",IF('Banco de Dados'!$F557&lt;&gt;"-",IFERROR(_xlfn.XLOOKUP(_xlfn.CONCAT('Banco de Dados'!$A557,IFERROR(IFERROR(VALUE(SUBSTITUTE(MID(_xlfn.TEXTAFTER('Banco de Dados'!$F557,"Data do Pedido:
",1),1,10),"-","/")),VALUE(SUBSTITUTE(MID(_xlfn.TEXTAFTER('Banco de Dados'!$F557,"Order date:
",1),1,10),"-","/"))),0)),ProxyDD[Chave],ProxyDD[Valor por pedido]),PROXY!$P$2),0),0)</f>
        <v>0</v>
      </c>
      <c r="AP557" s="28">
        <f ca="1">IF('Banco de Dados'!$AK557&lt;&gt;"-",IF('Banco de Dados'!$AL557="NÃO",IFERROR(VALUE(SUBSTITUTE(_xlfn.TEXTAFTER('Banco de Dados'!$F557,"BRL ",1),".",",")),0),0),0)</f>
        <v>0</v>
      </c>
      <c r="AQ557" s="28">
        <f ca="1">SUM('Banco de Dados'!$AM557:$AP557)</f>
        <v>0</v>
      </c>
      <c r="AR557" s="8"/>
      <c r="AS557" s="8"/>
      <c r="AY557" s="8"/>
    </row>
    <row r="558" spans="1:51">
      <c r="A558" s="5" t="str">
        <v>BV</v>
      </c>
      <c r="B558" s="5" t="str">
        <f ca="1"/>
        <v>BV45638</v>
      </c>
      <c r="C558" s="8" t="str">
        <v>Pedido 546</v>
      </c>
      <c r="D558" s="9">
        <v>45638</v>
      </c>
      <c r="E558" s="9">
        <v>45638</v>
      </c>
      <c r="F558" s="8" t="str">
        <v>PedidoF533</v>
      </c>
      <c r="G558" s="2" t="str">
        <v>CódRastreio531</v>
      </c>
      <c r="H558" s="5">
        <v>1</v>
      </c>
      <c r="I558" s="182" t="str">
        <v>CPF 529</v>
      </c>
      <c r="J558" s="2" t="str">
        <v>Nome 529</v>
      </c>
      <c r="K558" s="8" t="str">
        <v>Tel 529</v>
      </c>
      <c r="L558" s="8" t="str">
        <v>Cep 529</v>
      </c>
      <c r="M558" s="8" t="str">
        <v>Rua 529</v>
      </c>
      <c r="N558" s="8" t="str">
        <v>Comp 529</v>
      </c>
      <c r="O558" s="8" t="str">
        <v>Suporte de Celular Branco</v>
      </c>
      <c r="P558" s="8" t="str">
        <v>16-4EDB-WMZF</v>
      </c>
      <c r="Q558" s="4">
        <v>45661</v>
      </c>
      <c r="R558" s="109">
        <v>17.899999999999999</v>
      </c>
      <c r="S558" s="11">
        <f ca="1"/>
        <v>17.899999999999999</v>
      </c>
      <c r="T558" s="28">
        <f ca="1"/>
        <v>2.6849999999999996</v>
      </c>
      <c r="U558" s="11">
        <f ca="1"/>
        <v>15.22</v>
      </c>
      <c r="V558" s="11">
        <v>6.99</v>
      </c>
      <c r="W558" s="11">
        <f ca="1"/>
        <v>0.2</v>
      </c>
      <c r="X558" s="11">
        <f ca="1"/>
        <v>0.39877104377104378</v>
      </c>
      <c r="Y558" s="11">
        <v>0</v>
      </c>
      <c r="Z558" s="11">
        <f ca="1"/>
        <v>7.6312289562289566</v>
      </c>
      <c r="AA558" s="11">
        <f ca="1"/>
        <v>3.8156144781144783</v>
      </c>
      <c r="AB558" s="4">
        <f ca="1"/>
        <v>45668</v>
      </c>
      <c r="AC558" s="4">
        <v>45668</v>
      </c>
      <c r="AD558" s="9">
        <v>45673</v>
      </c>
      <c r="AE558" s="9">
        <v>45673</v>
      </c>
      <c r="AF558" s="4" t="str">
        <f t="shared" ca="1" si="15"/>
        <v>2025 01</v>
      </c>
      <c r="AG558" s="8" t="str" cm="1">
        <f t="array" ref="AG558">IFERROR(_xlfn.IFS('Banco de Dados'!#REF!="AG. COMPRA","Em processamento",'Banco de Dados'!#REF!="AG. RASTREIO","Em processamento",'Banco de Dados'!$AE558&lt;&gt;"-","Faturado",'Banco de Dados'!$AD558&lt;&gt;"-","Aguardando Pix",'Banco de Dados'!$AC558&lt;&gt;"-","Pendente"),"Aguardando Liberação")</f>
        <v>Aguardando Liberação</v>
      </c>
      <c r="AH558" s="5" t="str">
        <f>IF('Banco de Dados'!$F558="-",_xlfn.CONCAT(PROPER(TEXT(AK558,"aaaa"))," ",PROPER(TEXT(AK558,"mm"))),_xlfn.CONCAT(PROPER(TEXT(E558,"aaaa"))," ",PROPER(TEXT(E558,"mm"))))</f>
        <v>2024 12</v>
      </c>
      <c r="AI558" s="9" t="str">
        <f ca="1">IF('Banco de Dados'!$AK558&lt;&gt;"-","REEMBOLSO",IFERROR(_xlfn.XLOOKUP(G558,Follow[CODRASTREIO],Follow[STATUS]),"-"))</f>
        <v>ENTREGUE</v>
      </c>
      <c r="AJ558" s="9">
        <f ca="1">IF('Banco de Dados'!$AI558="ENTREGUE",_xlfn.XLOOKUP('Banco de Dados'!$G558,Follow[CODRASTREIO],Follow[DATAATUALIZAÇÃO]),"-")</f>
        <v>45644</v>
      </c>
      <c r="AK558" s="9" t="str">
        <f ca="1"/>
        <v>-</v>
      </c>
      <c r="AL558" s="35"/>
      <c r="AM558" s="109" cm="1">
        <f t="array" aca="1" ref="AM558" ca="1">IF('Banco de Dados'!$AK558&lt;&gt;"-",_xlfn.IFS('Banco de Dados'!$A558="bv",IF('Banco de Dados'!$E558&lt;45641,ROUND(SUM('Banco de Dados'!$R558*_xlfn.XLOOKUP('Banco de Dados'!$P558,Sku!B:B,Sku!#REF!)*20%),2),ROUND(SUM('Banco de Dados'!$R558*_xlfn.XLOOKUP('Banco de Dados'!$P558,Sku!B:B,Sku!H:H)*20%),2)),'Banco de Dados'!$A558="GO",ROUND(_xlfn.XLOOKUP('Banco de Dados'!$P558,Sku!C:C,Sku!H:H),2),'Banco de Dados'!$A558="MEI",ROUND(_xlfn.XLOOKUP('Banco de Dados'!$P558,Sku!D:D,Sku!H:H),2)),0)</f>
        <v>0</v>
      </c>
      <c r="AN558" s="109">
        <f ca="1">IF('Banco de Dados'!$AK558&lt;&gt;"-",IF('Banco de Dados'!$F558&lt;&gt;"-",_xlfn.XLOOKUP(IFERROR(IFERROR(IFERROR(VALUE(SUBSTITUTE(MID(_xlfn.TEXTAFTER('Banco de Dados'!$F558,"Data do Pedido:
",1),1,10),"-","/")),VALUE(SUBSTITUTE(MID(_xlfn.TEXTAFTER('Banco de Dados'!$F558,"Order date:
",1),1,10),"-","/"))),VALUE(SUBSTITUTE(MID(_xlfn.TEXTAFTER('Banco de Dados'!$F558,"Fecha de pedido:
",1),1,10),"-","/"))),"-"),SMS!A:A,SMS!K:K),0),0)</f>
        <v>0</v>
      </c>
      <c r="AO558" s="109">
        <f ca="1">IF('Banco de Dados'!$AK558&lt;&gt;"-",IF('Banco de Dados'!$F558&lt;&gt;"-",IFERROR(_xlfn.XLOOKUP(_xlfn.CONCAT('Banco de Dados'!$A558,IFERROR(IFERROR(VALUE(SUBSTITUTE(MID(_xlfn.TEXTAFTER('Banco de Dados'!$F558,"Data do Pedido:
",1),1,10),"-","/")),VALUE(SUBSTITUTE(MID(_xlfn.TEXTAFTER('Banco de Dados'!$F558,"Order date:
",1),1,10),"-","/"))),0)),ProxyDD[Chave],ProxyDD[Valor por pedido]),PROXY!$P$2),0),0)</f>
        <v>0</v>
      </c>
      <c r="AP558" s="28">
        <f ca="1">IF('Banco de Dados'!$AK558&lt;&gt;"-",IF('Banco de Dados'!$AL558="NÃO",IFERROR(VALUE(SUBSTITUTE(_xlfn.TEXTAFTER('Banco de Dados'!$F558,"BRL ",1),".",",")),0),0),0)</f>
        <v>0</v>
      </c>
      <c r="AQ558" s="28">
        <f ca="1">SUM('Banco de Dados'!$AM558:$AP558)</f>
        <v>0</v>
      </c>
      <c r="AR558" s="8"/>
      <c r="AS558" s="8"/>
      <c r="AY558" s="8"/>
    </row>
    <row r="559" spans="1:51">
      <c r="A559" s="5" t="str">
        <v>BV</v>
      </c>
      <c r="B559" s="5" t="str">
        <f ca="1"/>
        <v>BV45638</v>
      </c>
      <c r="C559" s="8" t="str">
        <v>Pedido 547</v>
      </c>
      <c r="D559" s="9">
        <v>45638</v>
      </c>
      <c r="E559" s="9">
        <v>45638</v>
      </c>
      <c r="F559" s="8" t="str">
        <v>PedidoF534</v>
      </c>
      <c r="G559" s="2" t="str">
        <v>CódRastreio532</v>
      </c>
      <c r="H559" s="5">
        <v>1</v>
      </c>
      <c r="I559" s="182" t="str">
        <v>CPF 530</v>
      </c>
      <c r="J559" s="2" t="str">
        <v>Nome 530</v>
      </c>
      <c r="K559" s="8" t="str">
        <v>Tel 530</v>
      </c>
      <c r="L559" s="8" t="str">
        <v>Cep 530</v>
      </c>
      <c r="M559" s="8" t="str">
        <v>Rua 530</v>
      </c>
      <c r="N559" s="8" t="str">
        <v>Comp 530</v>
      </c>
      <c r="O559" s="8" t="str">
        <v>Adaptador Bluetooph</v>
      </c>
      <c r="P559" s="8" t="str">
        <v>YA-AG3H-SPUK</v>
      </c>
      <c r="Q559" s="4">
        <v>45671</v>
      </c>
      <c r="R559" s="109">
        <v>18.989999999999998</v>
      </c>
      <c r="S559" s="11">
        <f ca="1"/>
        <v>0</v>
      </c>
      <c r="T559" s="28">
        <f ca="1"/>
        <v>0</v>
      </c>
      <c r="U559" s="11">
        <f ca="1"/>
        <v>0</v>
      </c>
      <c r="V559" s="11">
        <v>0</v>
      </c>
      <c r="W559" s="11">
        <f ca="1"/>
        <v>0</v>
      </c>
      <c r="X559" s="11">
        <f ca="1"/>
        <v>0.39877104377104378</v>
      </c>
      <c r="Y559" s="11">
        <v>0</v>
      </c>
      <c r="Z559" s="11">
        <f ca="1"/>
        <v>-0.39877104377104378</v>
      </c>
      <c r="AA559" s="11">
        <f ca="1"/>
        <v>-0.19938552188552189</v>
      </c>
      <c r="AB559" s="4">
        <f ca="1"/>
        <v>45678</v>
      </c>
      <c r="AC559" s="4">
        <v>45678</v>
      </c>
      <c r="AD559" s="9">
        <v>45679</v>
      </c>
      <c r="AE559" s="9">
        <v>45694</v>
      </c>
      <c r="AF559" s="4" t="str">
        <f t="shared" ca="1" si="15"/>
        <v>2025 01</v>
      </c>
      <c r="AG559" s="8" t="str" cm="1">
        <f t="array" ref="AG559">IFERROR(_xlfn.IFS('Banco de Dados'!#REF!="AG. COMPRA","Em processamento",'Banco de Dados'!#REF!="AG. RASTREIO","Em processamento",'Banco de Dados'!$AE559&lt;&gt;"-","Faturado",'Banco de Dados'!$AD559&lt;&gt;"-","Aguardando Pix",'Banco de Dados'!$AC559&lt;&gt;"-","Pendente"),"Aguardando Liberação")</f>
        <v>Aguardando Liberação</v>
      </c>
      <c r="AH559" s="5" t="str">
        <f>IF('Banco de Dados'!$F559="-",_xlfn.CONCAT(PROPER(TEXT(AK559,"aaaa"))," ",PROPER(TEXT(AK559,"mm"))),_xlfn.CONCAT(PROPER(TEXT(E559,"aaaa"))," ",PROPER(TEXT(E559,"mm"))))</f>
        <v>2024 12</v>
      </c>
      <c r="AI559" s="9" t="str">
        <f ca="1">IF('Banco de Dados'!$AK559&lt;&gt;"-","REEMBOLSO",IFERROR(_xlfn.XLOOKUP(G559,Follow[CODRASTREIO],Follow[STATUS]),"-"))</f>
        <v>REEMBOLSO</v>
      </c>
      <c r="AJ559" s="9" t="str">
        <f ca="1">IF('Banco de Dados'!$AI559="ENTREGUE",_xlfn.XLOOKUP('Banco de Dados'!$G559,Follow[CODRASTREIO],Follow[DATAATUALIZAÇÃO]),"-")</f>
        <v>-</v>
      </c>
      <c r="AK559" s="9">
        <f ca="1"/>
        <v>45667</v>
      </c>
      <c r="AL559" s="35"/>
      <c r="AM559" s="109" t="e" cm="1">
        <f t="array" aca="1" ref="AM559" ca="1">IF('Banco de Dados'!$AK559&lt;&gt;"-",_xlfn.IFS('Banco de Dados'!$A559="bv",IF('Banco de Dados'!$E559&lt;45641,ROUND(SUM('Banco de Dados'!$R559*_xlfn.XLOOKUP('Banco de Dados'!$P559,Sku!B:B,Sku!#REF!)*20%),2),ROUND(SUM('Banco de Dados'!$R559*_xlfn.XLOOKUP('Banco de Dados'!$P559,Sku!B:B,Sku!H:H)*20%),2)),'Banco de Dados'!$A559="GO",ROUND(_xlfn.XLOOKUP('Banco de Dados'!$P559,Sku!C:C,Sku!H:H),2),'Banco de Dados'!$A559="MEI",ROUND(_xlfn.XLOOKUP('Banco de Dados'!$P559,Sku!D:D,Sku!H:H),2)),0)</f>
        <v>#REF!</v>
      </c>
      <c r="AN559" s="109" t="e">
        <f ca="1">IF('Banco de Dados'!$AK559&lt;&gt;"-",IF('Banco de Dados'!$F559&lt;&gt;"-",_xlfn.XLOOKUP(IFERROR(IFERROR(IFERROR(VALUE(SUBSTITUTE(MID(_xlfn.TEXTAFTER('Banco de Dados'!$F559,"Data do Pedido:
",1),1,10),"-","/")),VALUE(SUBSTITUTE(MID(_xlfn.TEXTAFTER('Banco de Dados'!$F559,"Order date:
",1),1,10),"-","/"))),VALUE(SUBSTITUTE(MID(_xlfn.TEXTAFTER('Banco de Dados'!$F559,"Fecha de pedido:
",1),1,10),"-","/"))),"-"),SMS!A:A,SMS!K:K),0),0)</f>
        <v>#N/A</v>
      </c>
      <c r="AO559" s="109">
        <f ca="1">IF('Banco de Dados'!$AK559&lt;&gt;"-",IF('Banco de Dados'!$F559&lt;&gt;"-",IFERROR(_xlfn.XLOOKUP(_xlfn.CONCAT('Banco de Dados'!$A559,IFERROR(IFERROR(VALUE(SUBSTITUTE(MID(_xlfn.TEXTAFTER('Banco de Dados'!$F559,"Data do Pedido:
",1),1,10),"-","/")),VALUE(SUBSTITUTE(MID(_xlfn.TEXTAFTER('Banco de Dados'!$F559,"Order date:
",1),1,10),"-","/"))),0)),ProxyDD[Chave],ProxyDD[Valor por pedido]),PROXY!$P$2),0),0)</f>
        <v>0.39877104377104378</v>
      </c>
      <c r="AP559" s="28">
        <f ca="1">IF('Banco de Dados'!$AK559&lt;&gt;"-",IF('Banco de Dados'!$AL559="NÃO",IFERROR(VALUE(SUBSTITUTE(_xlfn.TEXTAFTER('Banco de Dados'!$F559,"BRL ",1),".",",")),0),0),0)</f>
        <v>0</v>
      </c>
      <c r="AQ559" s="28" t="e">
        <f ca="1">SUM('Banco de Dados'!$AM559:$AP559)</f>
        <v>#REF!</v>
      </c>
      <c r="AR559" s="8"/>
      <c r="AS559" s="8"/>
      <c r="AY559" s="8"/>
    </row>
    <row r="560" spans="1:51">
      <c r="A560" s="5" t="str">
        <v>BV</v>
      </c>
      <c r="B560" s="5" t="str">
        <f ca="1"/>
        <v>BV45638</v>
      </c>
      <c r="C560" s="8" t="str">
        <v>Pedido 548</v>
      </c>
      <c r="D560" s="9">
        <v>45638</v>
      </c>
      <c r="E560" s="9">
        <v>45638</v>
      </c>
      <c r="F560" s="8" t="str">
        <v>PedidoF535</v>
      </c>
      <c r="G560" s="2" t="str">
        <v>CódRastreio533</v>
      </c>
      <c r="H560" s="5">
        <v>1</v>
      </c>
      <c r="I560" s="182" t="str">
        <v>CPF 531</v>
      </c>
      <c r="J560" s="2" t="str">
        <v>Nome 531</v>
      </c>
      <c r="K560" s="8" t="str">
        <v>Tel 531</v>
      </c>
      <c r="L560" s="8" t="str">
        <v>Cep 531</v>
      </c>
      <c r="M560" s="8" t="str">
        <v>Rua 531</v>
      </c>
      <c r="N560" s="8" t="str">
        <v>Comp 531</v>
      </c>
      <c r="O560" s="8" t="str">
        <v>Ventilador Preto</v>
      </c>
      <c r="P560" s="8" t="str">
        <v>MU-J80P-95WF</v>
      </c>
      <c r="Q560" s="4">
        <v>45671</v>
      </c>
      <c r="R560" s="109">
        <v>65.599999999999994</v>
      </c>
      <c r="S560" s="11">
        <f ca="1"/>
        <v>65.599999999999994</v>
      </c>
      <c r="T560" s="28">
        <f ca="1"/>
        <v>8.5279999999999987</v>
      </c>
      <c r="U560" s="11">
        <f ca="1"/>
        <v>57.07</v>
      </c>
      <c r="V560" s="11">
        <v>17.27</v>
      </c>
      <c r="W560" s="11">
        <f ca="1"/>
        <v>0.2</v>
      </c>
      <c r="X560" s="11">
        <f ca="1"/>
        <v>0.39877104377104378</v>
      </c>
      <c r="Y560" s="11">
        <v>0</v>
      </c>
      <c r="Z560" s="11">
        <f ca="1"/>
        <v>39.20122895622896</v>
      </c>
      <c r="AA560" s="11">
        <f ca="1"/>
        <v>19.60061447811448</v>
      </c>
      <c r="AB560" s="4">
        <f ca="1"/>
        <v>45678</v>
      </c>
      <c r="AC560" s="4">
        <v>45678</v>
      </c>
      <c r="AD560" s="9">
        <v>45679</v>
      </c>
      <c r="AE560" s="9">
        <v>45694</v>
      </c>
      <c r="AF560" s="4" t="str">
        <f ca="1">_xlfn.CONCAT(PROPER(TEXT(AB560,"aaaa"))," ",PROPER(TEXT(AB560,"mm")))</f>
        <v>2025 01</v>
      </c>
      <c r="AG560" s="8" t="str" cm="1">
        <f t="array" ref="AG560">IFERROR(_xlfn.IFS('Banco de Dados'!#REF!="AG. COMPRA","Em processamento",'Banco de Dados'!#REF!="AG. RASTREIO","Em processamento",'Banco de Dados'!$AE560&lt;&gt;"-","Faturado",'Banco de Dados'!$AD560&lt;&gt;"-","Aguardando Pix",'Banco de Dados'!$AC560&lt;&gt;"-","Pendente"),"Aguardando Liberação")</f>
        <v>Aguardando Liberação</v>
      </c>
      <c r="AH560" s="5" t="str">
        <f>IF('Banco de Dados'!$F560="-",_xlfn.CONCAT(PROPER(TEXT(AK560,"aaaa"))," ",PROPER(TEXT(AK560,"mm"))),_xlfn.CONCAT(PROPER(TEXT(E560,"aaaa"))," ",PROPER(TEXT(E560,"mm"))))</f>
        <v>2024 12</v>
      </c>
      <c r="AI560" s="9" t="str">
        <f ca="1">IF('Banco de Dados'!$AK560&lt;&gt;"-","REEMBOLSO",IFERROR(_xlfn.XLOOKUP(G560,Follow[CODRASTREIO],Follow[STATUS]),"-"))</f>
        <v>ENTREGUE</v>
      </c>
      <c r="AJ560" s="9">
        <f ca="1">IF('Banco de Dados'!$AI560="ENTREGUE",_xlfn.XLOOKUP('Banco de Dados'!$G560,Follow[CODRASTREIO],Follow[DATAATUALIZAÇÃO]),"-")</f>
        <v>45659</v>
      </c>
      <c r="AK560" s="9" t="str">
        <f ca="1"/>
        <v>-</v>
      </c>
      <c r="AL560" s="35"/>
      <c r="AM560" s="109" cm="1">
        <f t="array" aca="1" ref="AM560" ca="1">IF('Banco de Dados'!$AK560&lt;&gt;"-",_xlfn.IFS('Banco de Dados'!$A560="bv",IF('Banco de Dados'!$E560&lt;45641,ROUND(SUM('Banco de Dados'!$R560*_xlfn.XLOOKUP('Banco de Dados'!$P560,Sku!B:B,Sku!#REF!)*20%),2),ROUND(SUM('Banco de Dados'!$R560*_xlfn.XLOOKUP('Banco de Dados'!$P560,Sku!B:B,Sku!H:H)*20%),2)),'Banco de Dados'!$A560="GO",ROUND(_xlfn.XLOOKUP('Banco de Dados'!$P560,Sku!C:C,Sku!H:H),2),'Banco de Dados'!$A560="MEI",ROUND(_xlfn.XLOOKUP('Banco de Dados'!$P560,Sku!D:D,Sku!H:H),2)),0)</f>
        <v>0</v>
      </c>
      <c r="AN560" s="109">
        <f ca="1">IF('Banco de Dados'!$AK560&lt;&gt;"-",IF('Banco de Dados'!$F560&lt;&gt;"-",_xlfn.XLOOKUP(IFERROR(IFERROR(IFERROR(VALUE(SUBSTITUTE(MID(_xlfn.TEXTAFTER('Banco de Dados'!$F560,"Data do Pedido:
",1),1,10),"-","/")),VALUE(SUBSTITUTE(MID(_xlfn.TEXTAFTER('Banco de Dados'!$F560,"Order date:
",1),1,10),"-","/"))),VALUE(SUBSTITUTE(MID(_xlfn.TEXTAFTER('Banco de Dados'!$F560,"Fecha de pedido:
",1),1,10),"-","/"))),"-"),SMS!A:A,SMS!K:K),0),0)</f>
        <v>0</v>
      </c>
      <c r="AO560" s="109">
        <f ca="1">IF('Banco de Dados'!$AK560&lt;&gt;"-",IF('Banco de Dados'!$F560&lt;&gt;"-",IFERROR(_xlfn.XLOOKUP(_xlfn.CONCAT('Banco de Dados'!$A560,IFERROR(IFERROR(VALUE(SUBSTITUTE(MID(_xlfn.TEXTAFTER('Banco de Dados'!$F560,"Data do Pedido:
",1),1,10),"-","/")),VALUE(SUBSTITUTE(MID(_xlfn.TEXTAFTER('Banco de Dados'!$F560,"Order date:
",1),1,10),"-","/"))),0)),ProxyDD[Chave],ProxyDD[Valor por pedido]),PROXY!$P$2),0),0)</f>
        <v>0</v>
      </c>
      <c r="AP560" s="28">
        <f ca="1">IF('Banco de Dados'!$AK560&lt;&gt;"-",IF('Banco de Dados'!$AL560="NÃO",IFERROR(VALUE(SUBSTITUTE(_xlfn.TEXTAFTER('Banco de Dados'!$F560,"BRL ",1),".",",")),0),0),0)</f>
        <v>0</v>
      </c>
      <c r="AQ560" s="28">
        <f ca="1">SUM('Banco de Dados'!$AM560:$AP560)</f>
        <v>0</v>
      </c>
      <c r="AR560" s="8"/>
      <c r="AS560" s="8"/>
      <c r="AY560" s="8"/>
    </row>
    <row r="561" spans="1:51">
      <c r="A561" s="5" t="str">
        <v>BV</v>
      </c>
      <c r="B561" s="5" t="str">
        <f ca="1"/>
        <v>BV45638</v>
      </c>
      <c r="C561" s="8" t="str">
        <v>Pedido 549</v>
      </c>
      <c r="D561" s="9">
        <v>45638</v>
      </c>
      <c r="E561" s="9">
        <v>45638</v>
      </c>
      <c r="F561" s="8" t="str">
        <v>PedidoF536</v>
      </c>
      <c r="G561" s="2" t="str">
        <v>CódRastreio534</v>
      </c>
      <c r="H561" s="5">
        <v>1</v>
      </c>
      <c r="I561" s="182" t="str">
        <v>CPF 532</v>
      </c>
      <c r="J561" s="2" t="str">
        <v>Nome 532</v>
      </c>
      <c r="K561" s="8" t="str">
        <v>Tel 532</v>
      </c>
      <c r="L561" s="8" t="str">
        <v>Cep 532</v>
      </c>
      <c r="M561" s="8" t="str">
        <v>Rua 532</v>
      </c>
      <c r="N561" s="8" t="str">
        <v>Comp 532</v>
      </c>
      <c r="O561" s="8" t="str">
        <v>Ventilador Preto</v>
      </c>
      <c r="P561" s="8" t="str">
        <v>MU-J80P-95WF</v>
      </c>
      <c r="Q561" s="4">
        <v>45671</v>
      </c>
      <c r="R561" s="109">
        <v>65.599999999999994</v>
      </c>
      <c r="S561" s="11">
        <f ca="1"/>
        <v>65.599999999999994</v>
      </c>
      <c r="T561" s="28">
        <f ca="1"/>
        <v>8.5279999999999987</v>
      </c>
      <c r="U561" s="11">
        <f ca="1"/>
        <v>57.07</v>
      </c>
      <c r="V561" s="11">
        <v>17.27</v>
      </c>
      <c r="W561" s="11">
        <f ca="1"/>
        <v>0.2</v>
      </c>
      <c r="X561" s="11">
        <f ca="1"/>
        <v>0.39877104377104378</v>
      </c>
      <c r="Y561" s="11">
        <v>0</v>
      </c>
      <c r="Z561" s="11">
        <f ca="1"/>
        <v>39.20122895622896</v>
      </c>
      <c r="AA561" s="11">
        <f ca="1"/>
        <v>19.60061447811448</v>
      </c>
      <c r="AB561" s="4">
        <f ca="1"/>
        <v>45678</v>
      </c>
      <c r="AC561" s="4">
        <v>45678</v>
      </c>
      <c r="AD561" s="9">
        <v>45679</v>
      </c>
      <c r="AE561" s="9">
        <v>45694</v>
      </c>
      <c r="AF561" s="4" t="str">
        <f ca="1">_xlfn.CONCAT(PROPER(TEXT(AB561,"aaaa"))," ",PROPER(TEXT(AB561,"mm")))</f>
        <v>2025 01</v>
      </c>
      <c r="AG561" s="8" t="str" cm="1">
        <f t="array" ref="AG561">IFERROR(_xlfn.IFS('Banco de Dados'!#REF!="AG. COMPRA","Em processamento",'Banco de Dados'!#REF!="AG. RASTREIO","Em processamento",'Banco de Dados'!$AE561&lt;&gt;"-","Faturado",'Banco de Dados'!$AD561&lt;&gt;"-","Aguardando Pix",'Banco de Dados'!$AC561&lt;&gt;"-","Pendente"),"Aguardando Liberação")</f>
        <v>Aguardando Liberação</v>
      </c>
      <c r="AH561" s="5" t="str">
        <f>IF('Banco de Dados'!$F561="-",_xlfn.CONCAT(PROPER(TEXT(AK561,"aaaa"))," ",PROPER(TEXT(AK561,"mm"))),_xlfn.CONCAT(PROPER(TEXT(E561,"aaaa"))," ",PROPER(TEXT(E561,"mm"))))</f>
        <v>2024 12</v>
      </c>
      <c r="AI561" s="9" t="str">
        <f ca="1">IF('Banco de Dados'!$AK561&lt;&gt;"-","REEMBOLSO",IFERROR(_xlfn.XLOOKUP(G561,Follow[CODRASTREIO],Follow[STATUS]),"-"))</f>
        <v>ENTREGUE</v>
      </c>
      <c r="AJ561" s="9">
        <f ca="1">IF('Banco de Dados'!$AI561="ENTREGUE",_xlfn.XLOOKUP('Banco de Dados'!$G561,Follow[CODRASTREIO],Follow[DATAATUALIZAÇÃO]),"-")</f>
        <v>45659</v>
      </c>
      <c r="AK561" s="9" t="str">
        <f ca="1"/>
        <v>-</v>
      </c>
      <c r="AL561" s="35"/>
      <c r="AM561" s="109" cm="1">
        <f t="array" aca="1" ref="AM561" ca="1">IF('Banco de Dados'!$AK561&lt;&gt;"-",_xlfn.IFS('Banco de Dados'!$A561="bv",IF('Banco de Dados'!$E561&lt;45641,ROUND(SUM('Banco de Dados'!$R561*_xlfn.XLOOKUP('Banco de Dados'!$P561,Sku!B:B,Sku!#REF!)*20%),2),ROUND(SUM('Banco de Dados'!$R561*_xlfn.XLOOKUP('Banco de Dados'!$P561,Sku!B:B,Sku!H:H)*20%),2)),'Banco de Dados'!$A561="GO",ROUND(_xlfn.XLOOKUP('Banco de Dados'!$P561,Sku!C:C,Sku!H:H),2),'Banco de Dados'!$A561="MEI",ROUND(_xlfn.XLOOKUP('Banco de Dados'!$P561,Sku!D:D,Sku!H:H),2)),0)</f>
        <v>0</v>
      </c>
      <c r="AN561" s="109">
        <f ca="1">IF('Banco de Dados'!$AK561&lt;&gt;"-",IF('Banco de Dados'!$F561&lt;&gt;"-",_xlfn.XLOOKUP(IFERROR(IFERROR(IFERROR(VALUE(SUBSTITUTE(MID(_xlfn.TEXTAFTER('Banco de Dados'!$F561,"Data do Pedido:
",1),1,10),"-","/")),VALUE(SUBSTITUTE(MID(_xlfn.TEXTAFTER('Banco de Dados'!$F561,"Order date:
",1),1,10),"-","/"))),VALUE(SUBSTITUTE(MID(_xlfn.TEXTAFTER('Banco de Dados'!$F561,"Fecha de pedido:
",1),1,10),"-","/"))),"-"),SMS!A:A,SMS!K:K),0),0)</f>
        <v>0</v>
      </c>
      <c r="AO561" s="109">
        <f ca="1">IF('Banco de Dados'!$AK561&lt;&gt;"-",IF('Banco de Dados'!$F561&lt;&gt;"-",IFERROR(_xlfn.XLOOKUP(_xlfn.CONCAT('Banco de Dados'!$A561,IFERROR(IFERROR(VALUE(SUBSTITUTE(MID(_xlfn.TEXTAFTER('Banco de Dados'!$F561,"Data do Pedido:
",1),1,10),"-","/")),VALUE(SUBSTITUTE(MID(_xlfn.TEXTAFTER('Banco de Dados'!$F561,"Order date:
",1),1,10),"-","/"))),0)),ProxyDD[Chave],ProxyDD[Valor por pedido]),PROXY!$P$2),0),0)</f>
        <v>0</v>
      </c>
      <c r="AP561" s="28">
        <f ca="1">IF('Banco de Dados'!$AK561&lt;&gt;"-",IF('Banco de Dados'!$AL561="NÃO",IFERROR(VALUE(SUBSTITUTE(_xlfn.TEXTAFTER('Banco de Dados'!$F561,"BRL ",1),".",",")),0),0),0)</f>
        <v>0</v>
      </c>
      <c r="AQ561" s="28">
        <f ca="1">SUM('Banco de Dados'!$AM561:$AP561)</f>
        <v>0</v>
      </c>
      <c r="AR561" s="8"/>
      <c r="AS561" s="8"/>
      <c r="AY561" s="8"/>
    </row>
    <row r="562" spans="1:51">
      <c r="A562" s="5" t="str">
        <v>BV</v>
      </c>
      <c r="B562" s="5" t="str">
        <f ca="1"/>
        <v>BV45639</v>
      </c>
      <c r="C562" s="8" t="str">
        <v>Pedido 550</v>
      </c>
      <c r="D562" s="9">
        <v>45639</v>
      </c>
      <c r="E562" s="9">
        <v>45639</v>
      </c>
      <c r="F562" s="8" t="str">
        <v>PedidoF537</v>
      </c>
      <c r="G562" s="2" t="str">
        <v>CódRastreio535</v>
      </c>
      <c r="H562" s="5">
        <v>1</v>
      </c>
      <c r="I562" s="182" t="str">
        <v>CPF 533</v>
      </c>
      <c r="J562" s="2" t="str">
        <v>Nome 533</v>
      </c>
      <c r="K562" s="8" t="str">
        <v>Tel 533</v>
      </c>
      <c r="L562" s="8" t="str">
        <v>Cep 533</v>
      </c>
      <c r="M562" s="8" t="str">
        <v>Rua 533</v>
      </c>
      <c r="N562" s="8" t="str">
        <v>Comp 533</v>
      </c>
      <c r="O562" s="8" t="str">
        <v>Suporte de Celular Branco</v>
      </c>
      <c r="P562" s="8" t="str">
        <v>16-4EDB-WMZF</v>
      </c>
      <c r="Q562" s="4">
        <v>45672</v>
      </c>
      <c r="R562" s="109">
        <v>17.899999999999999</v>
      </c>
      <c r="S562" s="11">
        <f ca="1"/>
        <v>17.899999999999999</v>
      </c>
      <c r="T562" s="28">
        <f ca="1"/>
        <v>2.6849999999999996</v>
      </c>
      <c r="U562" s="11">
        <f ca="1"/>
        <v>15.22</v>
      </c>
      <c r="V562" s="11">
        <v>6.99</v>
      </c>
      <c r="W562" s="11">
        <f ca="1"/>
        <v>0.2</v>
      </c>
      <c r="X562" s="11">
        <f ca="1"/>
        <v>0.39877104377104378</v>
      </c>
      <c r="Y562" s="11">
        <v>0</v>
      </c>
      <c r="Z562" s="11">
        <f ca="1"/>
        <v>7.6312289562289566</v>
      </c>
      <c r="AA562" s="11">
        <f ca="1"/>
        <v>3.8156144781144783</v>
      </c>
      <c r="AB562" s="4">
        <f ca="1"/>
        <v>45679</v>
      </c>
      <c r="AC562" s="4">
        <v>45679</v>
      </c>
      <c r="AD562" s="9">
        <v>45679</v>
      </c>
      <c r="AE562" s="9">
        <v>45694</v>
      </c>
      <c r="AF562" s="4" t="str">
        <f t="shared" ref="AF562:AF578" ca="1" si="16">_xlfn.CONCAT(PROPER(TEXT(AB562,"aaaa"))," ",PROPER(TEXT(AB562,"mm")))</f>
        <v>2025 01</v>
      </c>
      <c r="AG562" s="8" t="str" cm="1">
        <f t="array" ref="AG562">IFERROR(_xlfn.IFS('Banco de Dados'!#REF!="AG. COMPRA","Em processamento",'Banco de Dados'!#REF!="AG. RASTREIO","Em processamento",'Banco de Dados'!$AE562&lt;&gt;"-","Faturado",'Banco de Dados'!$AD562&lt;&gt;"-","Aguardando Pix",'Banco de Dados'!$AC562&lt;&gt;"-","Pendente"),"Aguardando Liberação")</f>
        <v>Aguardando Liberação</v>
      </c>
      <c r="AH562" s="5" t="str">
        <f>IF('Banco de Dados'!$F562="-",_xlfn.CONCAT(PROPER(TEXT(AK562,"aaaa"))," ",PROPER(TEXT(AK562,"mm"))),_xlfn.CONCAT(PROPER(TEXT(E562,"aaaa"))," ",PROPER(TEXT(E562,"mm"))))</f>
        <v>2024 12</v>
      </c>
      <c r="AI562" s="9" t="str">
        <f ca="1">IF('Banco de Dados'!$AK562&lt;&gt;"-","REEMBOLSO",IFERROR(_xlfn.XLOOKUP(G562,Follow[CODRASTREIO],Follow[STATUS]),"-"))</f>
        <v>ENTREGUE</v>
      </c>
      <c r="AJ562" s="9">
        <f ca="1">IF('Banco de Dados'!$AI562="ENTREGUE",_xlfn.XLOOKUP('Banco de Dados'!$G562,Follow[CODRASTREIO],Follow[DATAATUALIZAÇÃO]),"-")</f>
        <v>45647</v>
      </c>
      <c r="AK562" s="9" t="str">
        <f ca="1"/>
        <v>-</v>
      </c>
      <c r="AL562" s="35"/>
      <c r="AM562" s="109" cm="1">
        <f t="array" aca="1" ref="AM562" ca="1">IF('Banco de Dados'!$AK562&lt;&gt;"-",_xlfn.IFS('Banco de Dados'!$A562="bv",IF('Banco de Dados'!$E562&lt;45641,ROUND(SUM('Banco de Dados'!$R562*_xlfn.XLOOKUP('Banco de Dados'!$P562,Sku!B:B,Sku!#REF!)*20%),2),ROUND(SUM('Banco de Dados'!$R562*_xlfn.XLOOKUP('Banco de Dados'!$P562,Sku!B:B,Sku!H:H)*20%),2)),'Banco de Dados'!$A562="GO",ROUND(_xlfn.XLOOKUP('Banco de Dados'!$P562,Sku!C:C,Sku!H:H),2),'Banco de Dados'!$A562="MEI",ROUND(_xlfn.XLOOKUP('Banco de Dados'!$P562,Sku!D:D,Sku!H:H),2)),0)</f>
        <v>0</v>
      </c>
      <c r="AN562" s="109">
        <f ca="1">IF('Banco de Dados'!$AK562&lt;&gt;"-",IF('Banco de Dados'!$F562&lt;&gt;"-",_xlfn.XLOOKUP(IFERROR(IFERROR(IFERROR(VALUE(SUBSTITUTE(MID(_xlfn.TEXTAFTER('Banco de Dados'!$F562,"Data do Pedido:
",1),1,10),"-","/")),VALUE(SUBSTITUTE(MID(_xlfn.TEXTAFTER('Banco de Dados'!$F562,"Order date:
",1),1,10),"-","/"))),VALUE(SUBSTITUTE(MID(_xlfn.TEXTAFTER('Banco de Dados'!$F562,"Fecha de pedido:
",1),1,10),"-","/"))),"-"),SMS!A:A,SMS!K:K),0),0)</f>
        <v>0</v>
      </c>
      <c r="AO562" s="109">
        <f ca="1">IF('Banco de Dados'!$AK562&lt;&gt;"-",IF('Banco de Dados'!$F562&lt;&gt;"-",IFERROR(_xlfn.XLOOKUP(_xlfn.CONCAT('Banco de Dados'!$A562,IFERROR(IFERROR(VALUE(SUBSTITUTE(MID(_xlfn.TEXTAFTER('Banco de Dados'!$F562,"Data do Pedido:
",1),1,10),"-","/")),VALUE(SUBSTITUTE(MID(_xlfn.TEXTAFTER('Banco de Dados'!$F562,"Order date:
",1),1,10),"-","/"))),0)),ProxyDD[Chave],ProxyDD[Valor por pedido]),PROXY!$P$2),0),0)</f>
        <v>0</v>
      </c>
      <c r="AP562" s="28">
        <f ca="1">IF('Banco de Dados'!$AK562&lt;&gt;"-",IF('Banco de Dados'!$AL562="NÃO",IFERROR(VALUE(SUBSTITUTE(_xlfn.TEXTAFTER('Banco de Dados'!$F562,"BRL ",1),".",",")),0),0),0)</f>
        <v>0</v>
      </c>
      <c r="AQ562" s="28">
        <f ca="1">SUM('Banco de Dados'!$AM562:$AP562)</f>
        <v>0</v>
      </c>
      <c r="AR562" s="8"/>
      <c r="AS562" s="8"/>
      <c r="AY562" s="8"/>
    </row>
    <row r="563" spans="1:51">
      <c r="A563" s="5" t="str">
        <v>BV</v>
      </c>
      <c r="B563" s="5" t="str">
        <f ca="1"/>
        <v>BV45639</v>
      </c>
      <c r="C563" s="8" t="str">
        <v>Pedido 551</v>
      </c>
      <c r="D563" s="9">
        <v>45639</v>
      </c>
      <c r="E563" s="9">
        <v>45639</v>
      </c>
      <c r="F563" s="8" t="str">
        <v>PedidoF538</v>
      </c>
      <c r="G563" s="2" t="str">
        <v>CódRastreio536</v>
      </c>
      <c r="H563" s="5">
        <v>1</v>
      </c>
      <c r="I563" s="182" t="str">
        <v>CPF 534</v>
      </c>
      <c r="J563" s="2" t="str">
        <v>Nome 534</v>
      </c>
      <c r="K563" s="8" t="str">
        <v>Tel 534</v>
      </c>
      <c r="L563" s="8" t="str">
        <v>Cep 534</v>
      </c>
      <c r="M563" s="8" t="str">
        <v>Rua 534</v>
      </c>
      <c r="N563" s="8" t="str">
        <v>Comp 534</v>
      </c>
      <c r="O563" s="8" t="str">
        <v>Suporte de Celular Branco</v>
      </c>
      <c r="P563" s="8" t="str">
        <v>16-4EDB-WMZF</v>
      </c>
      <c r="Q563" s="4">
        <v>45672</v>
      </c>
      <c r="R563" s="109">
        <v>17.899999999999999</v>
      </c>
      <c r="S563" s="11">
        <f ca="1"/>
        <v>17.899999999999999</v>
      </c>
      <c r="T563" s="28">
        <f ca="1"/>
        <v>2.6849999999999996</v>
      </c>
      <c r="U563" s="11">
        <f ca="1"/>
        <v>15.22</v>
      </c>
      <c r="V563" s="11">
        <v>6.99</v>
      </c>
      <c r="W563" s="11">
        <f ca="1"/>
        <v>0.2</v>
      </c>
      <c r="X563" s="11">
        <f ca="1"/>
        <v>0.39877104377104378</v>
      </c>
      <c r="Y563" s="11">
        <v>0</v>
      </c>
      <c r="Z563" s="11">
        <f ca="1"/>
        <v>7.6312289562289566</v>
      </c>
      <c r="AA563" s="11">
        <f ca="1"/>
        <v>3.8156144781144783</v>
      </c>
      <c r="AB563" s="4">
        <f ca="1"/>
        <v>45679</v>
      </c>
      <c r="AC563" s="4">
        <v>45679</v>
      </c>
      <c r="AD563" s="9">
        <v>45679</v>
      </c>
      <c r="AE563" s="9">
        <v>45694</v>
      </c>
      <c r="AF563" s="4" t="str">
        <f t="shared" ca="1" si="16"/>
        <v>2025 01</v>
      </c>
      <c r="AG563" s="8" t="str" cm="1">
        <f t="array" ref="AG563">IFERROR(_xlfn.IFS('Banco de Dados'!#REF!="AG. COMPRA","Em processamento",'Banco de Dados'!#REF!="AG. RASTREIO","Em processamento",'Banco de Dados'!$AE563&lt;&gt;"-","Faturado",'Banco de Dados'!$AD563&lt;&gt;"-","Aguardando Pix",'Banco de Dados'!$AC563&lt;&gt;"-","Pendente"),"Aguardando Liberação")</f>
        <v>Aguardando Liberação</v>
      </c>
      <c r="AH563" s="5" t="str">
        <f>IF('Banco de Dados'!$F563="-",_xlfn.CONCAT(PROPER(TEXT(AK563,"aaaa"))," ",PROPER(TEXT(AK563,"mm"))),_xlfn.CONCAT(PROPER(TEXT(E563,"aaaa"))," ",PROPER(TEXT(E563,"mm"))))</f>
        <v>2024 12</v>
      </c>
      <c r="AI563" s="9" t="str">
        <f ca="1">IF('Banco de Dados'!$AK563&lt;&gt;"-","REEMBOLSO",IFERROR(_xlfn.XLOOKUP(G563,Follow[CODRASTREIO],Follow[STATUS]),"-"))</f>
        <v>ENTREGUE</v>
      </c>
      <c r="AJ563" s="9">
        <f ca="1">IF('Banco de Dados'!$AI563="ENTREGUE",_xlfn.XLOOKUP('Banco de Dados'!$G563,Follow[CODRASTREIO],Follow[DATAATUALIZAÇÃO]),"-")</f>
        <v>45647</v>
      </c>
      <c r="AK563" s="9" t="str">
        <f ca="1"/>
        <v>-</v>
      </c>
      <c r="AL563" s="35"/>
      <c r="AM563" s="109" cm="1">
        <f t="array" aca="1" ref="AM563" ca="1">IF('Banco de Dados'!$AK563&lt;&gt;"-",_xlfn.IFS('Banco de Dados'!$A563="bv",IF('Banco de Dados'!$E563&lt;45641,ROUND(SUM('Banco de Dados'!$R563*_xlfn.XLOOKUP('Banco de Dados'!$P563,Sku!B:B,Sku!#REF!)*20%),2),ROUND(SUM('Banco de Dados'!$R563*_xlfn.XLOOKUP('Banco de Dados'!$P563,Sku!B:B,Sku!H:H)*20%),2)),'Banco de Dados'!$A563="GO",ROUND(_xlfn.XLOOKUP('Banco de Dados'!$P563,Sku!C:C,Sku!H:H),2),'Banco de Dados'!$A563="MEI",ROUND(_xlfn.XLOOKUP('Banco de Dados'!$P563,Sku!D:D,Sku!H:H),2)),0)</f>
        <v>0</v>
      </c>
      <c r="AN563" s="109">
        <f ca="1">IF('Banco de Dados'!$AK563&lt;&gt;"-",IF('Banco de Dados'!$F563&lt;&gt;"-",_xlfn.XLOOKUP(IFERROR(IFERROR(IFERROR(VALUE(SUBSTITUTE(MID(_xlfn.TEXTAFTER('Banco de Dados'!$F563,"Data do Pedido:
",1),1,10),"-","/")),VALUE(SUBSTITUTE(MID(_xlfn.TEXTAFTER('Banco de Dados'!$F563,"Order date:
",1),1,10),"-","/"))),VALUE(SUBSTITUTE(MID(_xlfn.TEXTAFTER('Banco de Dados'!$F563,"Fecha de pedido:
",1),1,10),"-","/"))),"-"),SMS!A:A,SMS!K:K),0),0)</f>
        <v>0</v>
      </c>
      <c r="AO563" s="109">
        <f ca="1">IF('Banco de Dados'!$AK563&lt;&gt;"-",IF('Banco de Dados'!$F563&lt;&gt;"-",IFERROR(_xlfn.XLOOKUP(_xlfn.CONCAT('Banco de Dados'!$A563,IFERROR(IFERROR(VALUE(SUBSTITUTE(MID(_xlfn.TEXTAFTER('Banco de Dados'!$F563,"Data do Pedido:
",1),1,10),"-","/")),VALUE(SUBSTITUTE(MID(_xlfn.TEXTAFTER('Banco de Dados'!$F563,"Order date:
",1),1,10),"-","/"))),0)),ProxyDD[Chave],ProxyDD[Valor por pedido]),PROXY!$P$2),0),0)</f>
        <v>0</v>
      </c>
      <c r="AP563" s="28">
        <f ca="1">IF('Banco de Dados'!$AK563&lt;&gt;"-",IF('Banco de Dados'!$AL563="NÃO",IFERROR(VALUE(SUBSTITUTE(_xlfn.TEXTAFTER('Banco de Dados'!$F563,"BRL ",1),".",",")),0),0),0)</f>
        <v>0</v>
      </c>
      <c r="AQ563" s="28">
        <f ca="1">SUM('Banco de Dados'!$AM563:$AP563)</f>
        <v>0</v>
      </c>
      <c r="AR563" s="8"/>
      <c r="AS563" s="8"/>
      <c r="AY563" s="8"/>
    </row>
    <row r="564" spans="1:51">
      <c r="A564" s="5" t="str">
        <v>BV</v>
      </c>
      <c r="B564" s="5" t="str">
        <f ca="1"/>
        <v>BV45639</v>
      </c>
      <c r="C564" s="8" t="str">
        <v>Pedido 552</v>
      </c>
      <c r="D564" s="9">
        <v>45639</v>
      </c>
      <c r="E564" s="9">
        <v>45639</v>
      </c>
      <c r="F564" s="8" t="str">
        <v>PedidoF539</v>
      </c>
      <c r="G564" s="2" t="str">
        <v>CódRastreio537</v>
      </c>
      <c r="H564" s="5">
        <v>1</v>
      </c>
      <c r="I564" s="182" t="str">
        <v>CPF 535</v>
      </c>
      <c r="J564" s="2" t="str">
        <v>Nome 535</v>
      </c>
      <c r="K564" s="8" t="str">
        <v>Tel 535</v>
      </c>
      <c r="L564" s="8" t="str">
        <v>Cep 535</v>
      </c>
      <c r="M564" s="8" t="str">
        <v>Rua 535</v>
      </c>
      <c r="N564" s="8" t="str">
        <v>Comp 535</v>
      </c>
      <c r="O564" s="8" t="str">
        <v>Lampada Led</v>
      </c>
      <c r="P564" s="8" t="str">
        <v>RB-W251-UXV2</v>
      </c>
      <c r="Q564" s="4">
        <v>45672</v>
      </c>
      <c r="R564" s="109">
        <v>34.1</v>
      </c>
      <c r="S564" s="11">
        <f ca="1"/>
        <v>34.1</v>
      </c>
      <c r="T564" s="28">
        <f ca="1"/>
        <v>4.4330000000000007</v>
      </c>
      <c r="U564" s="11">
        <f ca="1"/>
        <v>29.67</v>
      </c>
      <c r="V564" s="11">
        <v>14.18</v>
      </c>
      <c r="W564" s="11">
        <f ca="1"/>
        <v>0.2</v>
      </c>
      <c r="X564" s="11">
        <f ca="1"/>
        <v>0.39877104377104378</v>
      </c>
      <c r="Y564" s="11">
        <v>0</v>
      </c>
      <c r="Z564" s="11">
        <f ca="1"/>
        <v>14.891228956228959</v>
      </c>
      <c r="AA564" s="11">
        <f ca="1"/>
        <v>7.4456144781144795</v>
      </c>
      <c r="AB564" s="4">
        <f ca="1"/>
        <v>45679</v>
      </c>
      <c r="AC564" s="4">
        <v>45679</v>
      </c>
      <c r="AD564" s="9">
        <v>45679</v>
      </c>
      <c r="AE564" s="9">
        <v>45694</v>
      </c>
      <c r="AF564" s="4" t="str">
        <f t="shared" ca="1" si="16"/>
        <v>2025 01</v>
      </c>
      <c r="AG564" s="8" t="str" cm="1">
        <f t="array" ref="AG564">IFERROR(_xlfn.IFS('Banco de Dados'!#REF!="AG. COMPRA","Em processamento",'Banco de Dados'!#REF!="AG. RASTREIO","Em processamento",'Banco de Dados'!$AE564&lt;&gt;"-","Faturado",'Banco de Dados'!$AD564&lt;&gt;"-","Aguardando Pix",'Banco de Dados'!$AC564&lt;&gt;"-","Pendente"),"Aguardando Liberação")</f>
        <v>Aguardando Liberação</v>
      </c>
      <c r="AH564" s="5" t="str">
        <f>IF('Banco de Dados'!$F564="-",_xlfn.CONCAT(PROPER(TEXT(AK564,"aaaa"))," ",PROPER(TEXT(AK564,"mm"))),_xlfn.CONCAT(PROPER(TEXT(E564,"aaaa"))," ",PROPER(TEXT(E564,"mm"))))</f>
        <v>2024 12</v>
      </c>
      <c r="AI564" s="9" t="str">
        <f ca="1">IF('Banco de Dados'!$AK564&lt;&gt;"-","REEMBOLSO",IFERROR(_xlfn.XLOOKUP(G564,Follow[CODRASTREIO],Follow[STATUS]),"-"))</f>
        <v>ENTREGUE</v>
      </c>
      <c r="AJ564" s="9">
        <f ca="1">IF('Banco de Dados'!$AI564="ENTREGUE",_xlfn.XLOOKUP('Banco de Dados'!$G564,Follow[CODRASTREIO],Follow[DATAATUALIZAÇÃO]),"-")</f>
        <v>45656</v>
      </c>
      <c r="AK564" s="9" t="str">
        <f ca="1"/>
        <v>-</v>
      </c>
      <c r="AL564" s="35"/>
      <c r="AM564" s="109" cm="1">
        <f t="array" aca="1" ref="AM564" ca="1">IF('Banco de Dados'!$AK564&lt;&gt;"-",_xlfn.IFS('Banco de Dados'!$A564="bv",IF('Banco de Dados'!$E564&lt;45641,ROUND(SUM('Banco de Dados'!$R564*_xlfn.XLOOKUP('Banco de Dados'!$P564,Sku!B:B,Sku!#REF!)*20%),2),ROUND(SUM('Banco de Dados'!$R564*_xlfn.XLOOKUP('Banco de Dados'!$P564,Sku!B:B,Sku!H:H)*20%),2)),'Banco de Dados'!$A564="GO",ROUND(_xlfn.XLOOKUP('Banco de Dados'!$P564,Sku!C:C,Sku!H:H),2),'Banco de Dados'!$A564="MEI",ROUND(_xlfn.XLOOKUP('Banco de Dados'!$P564,Sku!D:D,Sku!H:H),2)),0)</f>
        <v>0</v>
      </c>
      <c r="AN564" s="109">
        <f ca="1">IF('Banco de Dados'!$AK564&lt;&gt;"-",IF('Banco de Dados'!$F564&lt;&gt;"-",_xlfn.XLOOKUP(IFERROR(IFERROR(IFERROR(VALUE(SUBSTITUTE(MID(_xlfn.TEXTAFTER('Banco de Dados'!$F564,"Data do Pedido:
",1),1,10),"-","/")),VALUE(SUBSTITUTE(MID(_xlfn.TEXTAFTER('Banco de Dados'!$F564,"Order date:
",1),1,10),"-","/"))),VALUE(SUBSTITUTE(MID(_xlfn.TEXTAFTER('Banco de Dados'!$F564,"Fecha de pedido:
",1),1,10),"-","/"))),"-"),SMS!A:A,SMS!K:K),0),0)</f>
        <v>0</v>
      </c>
      <c r="AO564" s="109">
        <f ca="1">IF('Banco de Dados'!$AK564&lt;&gt;"-",IF('Banco de Dados'!$F564&lt;&gt;"-",IFERROR(_xlfn.XLOOKUP(_xlfn.CONCAT('Banco de Dados'!$A564,IFERROR(IFERROR(VALUE(SUBSTITUTE(MID(_xlfn.TEXTAFTER('Banco de Dados'!$F564,"Data do Pedido:
",1),1,10),"-","/")),VALUE(SUBSTITUTE(MID(_xlfn.TEXTAFTER('Banco de Dados'!$F564,"Order date:
",1),1,10),"-","/"))),0)),ProxyDD[Chave],ProxyDD[Valor por pedido]),PROXY!$P$2),0),0)</f>
        <v>0</v>
      </c>
      <c r="AP564" s="28">
        <f ca="1">IF('Banco de Dados'!$AK564&lt;&gt;"-",IF('Banco de Dados'!$AL564="NÃO",IFERROR(VALUE(SUBSTITUTE(_xlfn.TEXTAFTER('Banco de Dados'!$F564,"BRL ",1),".",",")),0),0),0)</f>
        <v>0</v>
      </c>
      <c r="AQ564" s="28">
        <f ca="1">SUM('Banco de Dados'!$AM564:$AP564)</f>
        <v>0</v>
      </c>
      <c r="AR564" s="8"/>
      <c r="AS564" s="8"/>
      <c r="AY564" s="8"/>
    </row>
    <row r="565" spans="1:51">
      <c r="A565" s="5" t="str">
        <v>BV</v>
      </c>
      <c r="B565" s="5" t="str">
        <f ca="1"/>
        <v>BV45639</v>
      </c>
      <c r="C565" s="8" t="str">
        <v>Pedido 553</v>
      </c>
      <c r="D565" s="9">
        <v>45639</v>
      </c>
      <c r="E565" s="9">
        <v>45639</v>
      </c>
      <c r="F565" s="8" t="str">
        <v>PedidoF540</v>
      </c>
      <c r="G565" s="2" t="str">
        <v>CódRastreio538</v>
      </c>
      <c r="H565" s="5">
        <v>1</v>
      </c>
      <c r="I565" s="182" t="str">
        <v>CPF 536</v>
      </c>
      <c r="J565" s="2" t="str">
        <v>Nome 536</v>
      </c>
      <c r="K565" s="8" t="str">
        <v>Tel 536</v>
      </c>
      <c r="L565" s="8" t="str">
        <v>Cep 536</v>
      </c>
      <c r="M565" s="8" t="str">
        <v>Rua 536</v>
      </c>
      <c r="N565" s="8" t="str">
        <v>Comp 536</v>
      </c>
      <c r="O565" s="8" t="str">
        <v>Suporte de Celular Branco</v>
      </c>
      <c r="P565" s="8" t="str">
        <v>16-4EDB-WMZF</v>
      </c>
      <c r="Q565" s="4">
        <v>45672</v>
      </c>
      <c r="R565" s="109">
        <v>17.899999999999999</v>
      </c>
      <c r="S565" s="11">
        <f ca="1"/>
        <v>17.899999999999999</v>
      </c>
      <c r="T565" s="28">
        <f ca="1"/>
        <v>2.6849999999999996</v>
      </c>
      <c r="U565" s="11">
        <f ca="1"/>
        <v>15.22</v>
      </c>
      <c r="V565" s="11">
        <v>6.99</v>
      </c>
      <c r="W565" s="11">
        <f ca="1"/>
        <v>0.2</v>
      </c>
      <c r="X565" s="11">
        <f ca="1"/>
        <v>0.39877104377104378</v>
      </c>
      <c r="Y565" s="11">
        <v>0</v>
      </c>
      <c r="Z565" s="11">
        <f ca="1"/>
        <v>7.6312289562289566</v>
      </c>
      <c r="AA565" s="11">
        <f ca="1"/>
        <v>3.8156144781144783</v>
      </c>
      <c r="AB565" s="4">
        <f ca="1"/>
        <v>45679</v>
      </c>
      <c r="AC565" s="4">
        <v>45679</v>
      </c>
      <c r="AD565" s="9">
        <v>45679</v>
      </c>
      <c r="AE565" s="9">
        <v>45694</v>
      </c>
      <c r="AF565" s="4" t="str">
        <f t="shared" ca="1" si="16"/>
        <v>2025 01</v>
      </c>
      <c r="AG565" s="8" t="str" cm="1">
        <f t="array" ref="AG565">IFERROR(_xlfn.IFS('Banco de Dados'!#REF!="AG. COMPRA","Em processamento",'Banco de Dados'!#REF!="AG. RASTREIO","Em processamento",'Banco de Dados'!$AE565&lt;&gt;"-","Faturado",'Banco de Dados'!$AD565&lt;&gt;"-","Aguardando Pix",'Banco de Dados'!$AC565&lt;&gt;"-","Pendente"),"Aguardando Liberação")</f>
        <v>Aguardando Liberação</v>
      </c>
      <c r="AH565" s="5" t="str">
        <f>IF('Banco de Dados'!$F565="-",_xlfn.CONCAT(PROPER(TEXT(AK565,"aaaa"))," ",PROPER(TEXT(AK565,"mm"))),_xlfn.CONCAT(PROPER(TEXT(E565,"aaaa"))," ",PROPER(TEXT(E565,"mm"))))</f>
        <v>2024 12</v>
      </c>
      <c r="AI565" s="9" t="str">
        <f ca="1">IF('Banco de Dados'!$AK565&lt;&gt;"-","REEMBOLSO",IFERROR(_xlfn.XLOOKUP(G565,Follow[CODRASTREIO],Follow[STATUS]),"-"))</f>
        <v>ENTREGUE</v>
      </c>
      <c r="AJ565" s="9">
        <f ca="1">IF('Banco de Dados'!$AI565="ENTREGUE",_xlfn.XLOOKUP('Banco de Dados'!$G565,Follow[CODRASTREIO],Follow[DATAATUALIZAÇÃO]),"-")</f>
        <v>45652</v>
      </c>
      <c r="AK565" s="9" t="str">
        <f ca="1"/>
        <v>-</v>
      </c>
      <c r="AL565" s="35"/>
      <c r="AM565" s="109" cm="1">
        <f t="array" aca="1" ref="AM565" ca="1">IF('Banco de Dados'!$AK565&lt;&gt;"-",_xlfn.IFS('Banco de Dados'!$A565="bv",IF('Banco de Dados'!$E565&lt;45641,ROUND(SUM('Banco de Dados'!$R565*_xlfn.XLOOKUP('Banco de Dados'!$P565,Sku!B:B,Sku!#REF!)*20%),2),ROUND(SUM('Banco de Dados'!$R565*_xlfn.XLOOKUP('Banco de Dados'!$P565,Sku!B:B,Sku!H:H)*20%),2)),'Banco de Dados'!$A565="GO",ROUND(_xlfn.XLOOKUP('Banco de Dados'!$P565,Sku!C:C,Sku!H:H),2),'Banco de Dados'!$A565="MEI",ROUND(_xlfn.XLOOKUP('Banco de Dados'!$P565,Sku!D:D,Sku!H:H),2)),0)</f>
        <v>0</v>
      </c>
      <c r="AN565" s="109">
        <f ca="1">IF('Banco de Dados'!$AK565&lt;&gt;"-",IF('Banco de Dados'!$F565&lt;&gt;"-",_xlfn.XLOOKUP(IFERROR(IFERROR(IFERROR(VALUE(SUBSTITUTE(MID(_xlfn.TEXTAFTER('Banco de Dados'!$F565,"Data do Pedido:
",1),1,10),"-","/")),VALUE(SUBSTITUTE(MID(_xlfn.TEXTAFTER('Banco de Dados'!$F565,"Order date:
",1),1,10),"-","/"))),VALUE(SUBSTITUTE(MID(_xlfn.TEXTAFTER('Banco de Dados'!$F565,"Fecha de pedido:
",1),1,10),"-","/"))),"-"),SMS!A:A,SMS!K:K),0),0)</f>
        <v>0</v>
      </c>
      <c r="AO565" s="109">
        <f ca="1">IF('Banco de Dados'!$AK565&lt;&gt;"-",IF('Banco de Dados'!$F565&lt;&gt;"-",IFERROR(_xlfn.XLOOKUP(_xlfn.CONCAT('Banco de Dados'!$A565,IFERROR(IFERROR(VALUE(SUBSTITUTE(MID(_xlfn.TEXTAFTER('Banco de Dados'!$F565,"Data do Pedido:
",1),1,10),"-","/")),VALUE(SUBSTITUTE(MID(_xlfn.TEXTAFTER('Banco de Dados'!$F565,"Order date:
",1),1,10),"-","/"))),0)),ProxyDD[Chave],ProxyDD[Valor por pedido]),PROXY!$P$2),0),0)</f>
        <v>0</v>
      </c>
      <c r="AP565" s="28">
        <f ca="1">IF('Banco de Dados'!$AK565&lt;&gt;"-",IF('Banco de Dados'!$AL565="NÃO",IFERROR(VALUE(SUBSTITUTE(_xlfn.TEXTAFTER('Banco de Dados'!$F565,"BRL ",1),".",",")),0),0),0)</f>
        <v>0</v>
      </c>
      <c r="AQ565" s="28">
        <f ca="1">SUM('Banco de Dados'!$AM565:$AP565)</f>
        <v>0</v>
      </c>
      <c r="AR565" s="8"/>
      <c r="AS565" s="8"/>
      <c r="AY565" s="8"/>
    </row>
    <row r="566" spans="1:51">
      <c r="A566" s="5" t="str">
        <v>BV</v>
      </c>
      <c r="B566" s="5" t="str">
        <f ca="1"/>
        <v>BV45639</v>
      </c>
      <c r="C566" s="8" t="str">
        <v>Pedido 554</v>
      </c>
      <c r="D566" s="9">
        <v>45639</v>
      </c>
      <c r="E566" s="9">
        <v>45639</v>
      </c>
      <c r="F566" s="8" t="str">
        <v>PedidoF541</v>
      </c>
      <c r="G566" s="2" t="str">
        <v>CódRastreio539</v>
      </c>
      <c r="H566" s="5">
        <v>1</v>
      </c>
      <c r="I566" s="182" t="str">
        <v>CPF 537</v>
      </c>
      <c r="J566" s="2" t="str">
        <v>Nome 537</v>
      </c>
      <c r="K566" s="8" t="str">
        <v>Tel 537</v>
      </c>
      <c r="L566" s="8" t="str">
        <v>Cep 537</v>
      </c>
      <c r="M566" s="8" t="str">
        <v>Rua 537</v>
      </c>
      <c r="N566" s="8" t="str">
        <v>Comp 537</v>
      </c>
      <c r="O566" s="8" t="str">
        <v>Ventilador Rosa</v>
      </c>
      <c r="P566" s="8" t="str">
        <v>IF-G2ZQ-79FO</v>
      </c>
      <c r="Q566" s="4">
        <v>45666</v>
      </c>
      <c r="R566" s="109">
        <v>54.8</v>
      </c>
      <c r="S566" s="11">
        <f ca="1"/>
        <v>54.8</v>
      </c>
      <c r="T566" s="28">
        <f ca="1"/>
        <v>7.1239999999999997</v>
      </c>
      <c r="U566" s="11">
        <f ca="1"/>
        <v>47.68</v>
      </c>
      <c r="V566" s="11">
        <v>12.19</v>
      </c>
      <c r="W566" s="11">
        <f ca="1"/>
        <v>0.2</v>
      </c>
      <c r="X566" s="11">
        <f ca="1"/>
        <v>0.39877104377104378</v>
      </c>
      <c r="Y566" s="11">
        <v>0</v>
      </c>
      <c r="Z566" s="11">
        <f ca="1"/>
        <v>34.891228956228957</v>
      </c>
      <c r="AA566" s="11">
        <f ca="1"/>
        <v>17.445614478114479</v>
      </c>
      <c r="AB566" s="4">
        <f ca="1"/>
        <v>45673</v>
      </c>
      <c r="AC566" s="4">
        <v>45673</v>
      </c>
      <c r="AD566" s="9">
        <v>45674</v>
      </c>
      <c r="AE566" s="9">
        <v>45694</v>
      </c>
      <c r="AF566" s="4" t="str">
        <f t="shared" ca="1" si="16"/>
        <v>2025 01</v>
      </c>
      <c r="AG566" s="8" t="str" cm="1">
        <f t="array" ref="AG566">IFERROR(_xlfn.IFS('Banco de Dados'!#REF!="AG. COMPRA","Em processamento",'Banco de Dados'!#REF!="AG. RASTREIO","Em processamento",'Banco de Dados'!$AE566&lt;&gt;"-","Faturado",'Banco de Dados'!$AD566&lt;&gt;"-","Aguardando Pix",'Banco de Dados'!$AC566&lt;&gt;"-","Pendente"),"Aguardando Liberação")</f>
        <v>Aguardando Liberação</v>
      </c>
      <c r="AH566" s="5" t="str">
        <f>IF('Banco de Dados'!$F566="-",_xlfn.CONCAT(PROPER(TEXT(AK566,"aaaa"))," ",PROPER(TEXT(AK566,"mm"))),_xlfn.CONCAT(PROPER(TEXT(E566,"aaaa"))," ",PROPER(TEXT(E566,"mm"))))</f>
        <v>2024 12</v>
      </c>
      <c r="AI566" s="9" t="str">
        <f ca="1">IF('Banco de Dados'!$AK566&lt;&gt;"-","REEMBOLSO",IFERROR(_xlfn.XLOOKUP(G566,Follow[CODRASTREIO],Follow[STATUS]),"-"))</f>
        <v>ENTREGUE</v>
      </c>
      <c r="AJ566" s="9">
        <f ca="1">IF('Banco de Dados'!$AI566="ENTREGUE",_xlfn.XLOOKUP('Banco de Dados'!$G566,Follow[CODRASTREIO],Follow[DATAATUALIZAÇÃO]),"-")</f>
        <v>45656</v>
      </c>
      <c r="AK566" s="9" t="str">
        <f ca="1"/>
        <v>-</v>
      </c>
      <c r="AL566" s="35"/>
      <c r="AM566" s="109" cm="1">
        <f t="array" aca="1" ref="AM566" ca="1">IF('Banco de Dados'!$AK566&lt;&gt;"-",_xlfn.IFS('Banco de Dados'!$A566="bv",IF('Banco de Dados'!$E566&lt;45641,ROUND(SUM('Banco de Dados'!$R566*_xlfn.XLOOKUP('Banco de Dados'!$P566,Sku!B:B,Sku!#REF!)*20%),2),ROUND(SUM('Banco de Dados'!$R566*_xlfn.XLOOKUP('Banco de Dados'!$P566,Sku!B:B,Sku!H:H)*20%),2)),'Banco de Dados'!$A566="GO",ROUND(_xlfn.XLOOKUP('Banco de Dados'!$P566,Sku!C:C,Sku!H:H),2),'Banco de Dados'!$A566="MEI",ROUND(_xlfn.XLOOKUP('Banco de Dados'!$P566,Sku!D:D,Sku!H:H),2)),0)</f>
        <v>0</v>
      </c>
      <c r="AN566" s="109">
        <f ca="1">IF('Banco de Dados'!$AK566&lt;&gt;"-",IF('Banco de Dados'!$F566&lt;&gt;"-",_xlfn.XLOOKUP(IFERROR(IFERROR(IFERROR(VALUE(SUBSTITUTE(MID(_xlfn.TEXTAFTER('Banco de Dados'!$F566,"Data do Pedido:
",1),1,10),"-","/")),VALUE(SUBSTITUTE(MID(_xlfn.TEXTAFTER('Banco de Dados'!$F566,"Order date:
",1),1,10),"-","/"))),VALUE(SUBSTITUTE(MID(_xlfn.TEXTAFTER('Banco de Dados'!$F566,"Fecha de pedido:
",1),1,10),"-","/"))),"-"),SMS!A:A,SMS!K:K),0),0)</f>
        <v>0</v>
      </c>
      <c r="AO566" s="109">
        <f ca="1">IF('Banco de Dados'!$AK566&lt;&gt;"-",IF('Banco de Dados'!$F566&lt;&gt;"-",IFERROR(_xlfn.XLOOKUP(_xlfn.CONCAT('Banco de Dados'!$A566,IFERROR(IFERROR(VALUE(SUBSTITUTE(MID(_xlfn.TEXTAFTER('Banco de Dados'!$F566,"Data do Pedido:
",1),1,10),"-","/")),VALUE(SUBSTITUTE(MID(_xlfn.TEXTAFTER('Banco de Dados'!$F566,"Order date:
",1),1,10),"-","/"))),0)),ProxyDD[Chave],ProxyDD[Valor por pedido]),PROXY!$P$2),0),0)</f>
        <v>0</v>
      </c>
      <c r="AP566" s="28">
        <f ca="1">IF('Banco de Dados'!$AK566&lt;&gt;"-",IF('Banco de Dados'!$AL566="NÃO",IFERROR(VALUE(SUBSTITUTE(_xlfn.TEXTAFTER('Banco de Dados'!$F566,"BRL ",1),".",",")),0),0),0)</f>
        <v>0</v>
      </c>
      <c r="AQ566" s="28">
        <f ca="1">SUM('Banco de Dados'!$AM566:$AP566)</f>
        <v>0</v>
      </c>
      <c r="AR566" s="8"/>
      <c r="AS566" s="8"/>
      <c r="AY566" s="8"/>
    </row>
    <row r="567" spans="1:51">
      <c r="A567" s="5" t="str">
        <v>BV</v>
      </c>
      <c r="B567" s="5" t="str">
        <f ca="1"/>
        <v>BV45642</v>
      </c>
      <c r="C567" s="8" t="str">
        <v>Pedido 555</v>
      </c>
      <c r="D567" s="9">
        <v>45642</v>
      </c>
      <c r="E567" s="9">
        <v>45642</v>
      </c>
      <c r="F567" s="8" t="str">
        <v>PedidoF542</v>
      </c>
      <c r="G567" s="2" t="str">
        <v>CódRastreio540</v>
      </c>
      <c r="H567" s="5">
        <v>1</v>
      </c>
      <c r="I567" s="182" t="str">
        <v>CPF 538</v>
      </c>
      <c r="J567" s="2" t="str">
        <v>Nome 538</v>
      </c>
      <c r="K567" s="8" t="str">
        <v>Tel 538</v>
      </c>
      <c r="L567" s="8" t="str">
        <v>Cep 538</v>
      </c>
      <c r="M567" s="8" t="str">
        <v>Rua 538</v>
      </c>
      <c r="N567" s="8" t="str">
        <v>Comp 538</v>
      </c>
      <c r="O567" s="8" t="str">
        <v>Ventilador de teto</v>
      </c>
      <c r="P567" s="8" t="str">
        <v>BP-NHG2-B8C1</v>
      </c>
      <c r="Q567" s="4">
        <v>45666</v>
      </c>
      <c r="R567" s="109">
        <v>53.9</v>
      </c>
      <c r="S567" s="11">
        <f ca="1"/>
        <v>0</v>
      </c>
      <c r="T567" s="28">
        <f ca="1"/>
        <v>0</v>
      </c>
      <c r="U567" s="11">
        <f ca="1"/>
        <v>0</v>
      </c>
      <c r="V567" s="11">
        <v>0</v>
      </c>
      <c r="W567" s="11">
        <f ca="1"/>
        <v>0</v>
      </c>
      <c r="X567" s="11">
        <f ca="1"/>
        <v>0.39877104377104378</v>
      </c>
      <c r="Y567" s="11">
        <v>0</v>
      </c>
      <c r="Z567" s="11">
        <f ca="1"/>
        <v>-0.39877104377104378</v>
      </c>
      <c r="AA567" s="11">
        <f ca="1"/>
        <v>-0.19938552188552189</v>
      </c>
      <c r="AB567" s="4">
        <f ca="1"/>
        <v>45673</v>
      </c>
      <c r="AC567" s="4">
        <v>45673</v>
      </c>
      <c r="AD567" s="9">
        <v>45674</v>
      </c>
      <c r="AE567" s="9">
        <v>45694</v>
      </c>
      <c r="AF567" s="4" t="str">
        <f t="shared" ca="1" si="16"/>
        <v>2025 01</v>
      </c>
      <c r="AG567" s="8" t="str" cm="1">
        <f t="array" ref="AG567">IFERROR(_xlfn.IFS('Banco de Dados'!#REF!="AG. COMPRA","Em processamento",'Banco de Dados'!#REF!="AG. RASTREIO","Em processamento",'Banco de Dados'!$AE567&lt;&gt;"-","Faturado",'Banco de Dados'!$AD567&lt;&gt;"-","Aguardando Pix",'Banco de Dados'!$AC567&lt;&gt;"-","Pendente"),"Aguardando Liberação")</f>
        <v>Aguardando Liberação</v>
      </c>
      <c r="AH567" s="5" t="str">
        <f>IF('Banco de Dados'!$F567="-",_xlfn.CONCAT(PROPER(TEXT(AK567,"aaaa"))," ",PROPER(TEXT(AK567,"mm"))),_xlfn.CONCAT(PROPER(TEXT(E567,"aaaa"))," ",PROPER(TEXT(E567,"mm"))))</f>
        <v>2024 12</v>
      </c>
      <c r="AI567" s="9" t="str">
        <f ca="1">IF('Banco de Dados'!$AK567&lt;&gt;"-","REEMBOLSO",IFERROR(_xlfn.XLOOKUP(G567,Follow[CODRASTREIO],Follow[STATUS]),"-"))</f>
        <v>REEMBOLSO</v>
      </c>
      <c r="AJ567" s="9" t="str">
        <f ca="1">IF('Banco de Dados'!$AI567="ENTREGUE",_xlfn.XLOOKUP('Banco de Dados'!$G567,Follow[CODRASTREIO],Follow[DATAATUALIZAÇÃO]),"-")</f>
        <v>-</v>
      </c>
      <c r="AK567" s="9">
        <f ca="1"/>
        <v>45681</v>
      </c>
      <c r="AL567" s="35"/>
      <c r="AM567" s="109">
        <v>1.4</v>
      </c>
      <c r="AN567" s="109" t="e">
        <f ca="1">IF('Banco de Dados'!$AK567&lt;&gt;"-",IF('Banco de Dados'!$F567&lt;&gt;"-",_xlfn.XLOOKUP(IFERROR(IFERROR(IFERROR(VALUE(SUBSTITUTE(MID(_xlfn.TEXTAFTER('Banco de Dados'!$F567,"Data do Pedido:
",1),1,10),"-","/")),VALUE(SUBSTITUTE(MID(_xlfn.TEXTAFTER('Banco de Dados'!$F567,"Order date:
",1),1,10),"-","/"))),VALUE(SUBSTITUTE(MID(_xlfn.TEXTAFTER('Banco de Dados'!$F567,"Fecha de pedido:
",1),1,10),"-","/"))),"-"),SMS!A:A,SMS!K:K),0),0)</f>
        <v>#N/A</v>
      </c>
      <c r="AO567" s="109">
        <f ca="1">IF('Banco de Dados'!$AK567&lt;&gt;"-",IF('Banco de Dados'!$F567&lt;&gt;"-",IFERROR(_xlfn.XLOOKUP(_xlfn.CONCAT('Banco de Dados'!$A567,IFERROR(IFERROR(VALUE(SUBSTITUTE(MID(_xlfn.TEXTAFTER('Banco de Dados'!$F567,"Data do Pedido:
",1),1,10),"-","/")),VALUE(SUBSTITUTE(MID(_xlfn.TEXTAFTER('Banco de Dados'!$F567,"Order date:
",1),1,10),"-","/"))),0)),ProxyDD[Chave],ProxyDD[Valor por pedido]),PROXY!$P$2),0),0)</f>
        <v>0.39877104377104378</v>
      </c>
      <c r="AP567" s="28">
        <f ca="1">IF('Banco de Dados'!$AK567&lt;&gt;"-",IF('Banco de Dados'!$AL567="NÃO",IFERROR(VALUE(SUBSTITUTE(_xlfn.TEXTAFTER('Banco de Dados'!$F567,"BRL ",1),".",",")),0),0),0)</f>
        <v>0</v>
      </c>
      <c r="AQ567" s="28" t="e">
        <f ca="1">SUM('Banco de Dados'!$AM567:$AP567)</f>
        <v>#N/A</v>
      </c>
      <c r="AR567" s="8"/>
      <c r="AS567" s="8"/>
      <c r="AY567" s="8"/>
    </row>
    <row r="568" spans="1:51">
      <c r="A568" s="5" t="str">
        <v>BV</v>
      </c>
      <c r="B568" s="5" t="str">
        <f ca="1"/>
        <v>BV45639</v>
      </c>
      <c r="C568" s="8" t="str">
        <v>Pedido 556</v>
      </c>
      <c r="D568" s="9">
        <v>45639</v>
      </c>
      <c r="E568" s="9">
        <v>45639</v>
      </c>
      <c r="F568" s="8" t="str">
        <v>PedidoF543</v>
      </c>
      <c r="G568" s="2" t="str">
        <v>CódRastreio541</v>
      </c>
      <c r="H568" s="5">
        <v>1</v>
      </c>
      <c r="I568" s="182" t="str">
        <v>CPF 539</v>
      </c>
      <c r="J568" s="2" t="str">
        <v>Nome 539</v>
      </c>
      <c r="K568" s="8" t="str">
        <v>Tel 539</v>
      </c>
      <c r="L568" s="8" t="str">
        <v>Cep 539</v>
      </c>
      <c r="M568" s="8" t="str">
        <v>Rua 539</v>
      </c>
      <c r="N568" s="8" t="str">
        <v>Comp 539</v>
      </c>
      <c r="O568" s="8" t="str">
        <v>Suporte de Celular Branco</v>
      </c>
      <c r="P568" s="8" t="str">
        <v>16-4EDB-WMZF</v>
      </c>
      <c r="Q568" s="4">
        <v>45666</v>
      </c>
      <c r="R568" s="109">
        <v>17.899999999999999</v>
      </c>
      <c r="S568" s="11">
        <f ca="1"/>
        <v>17.899999999999999</v>
      </c>
      <c r="T568" s="28">
        <f ca="1"/>
        <v>2.6849999999999996</v>
      </c>
      <c r="U568" s="11">
        <f ca="1"/>
        <v>15.22</v>
      </c>
      <c r="V568" s="11">
        <v>6.99</v>
      </c>
      <c r="W568" s="11">
        <f ca="1"/>
        <v>0.2</v>
      </c>
      <c r="X568" s="11">
        <f ca="1"/>
        <v>0.39877104377104378</v>
      </c>
      <c r="Y568" s="11">
        <v>0</v>
      </c>
      <c r="Z568" s="11">
        <f ca="1"/>
        <v>7.6312289562289566</v>
      </c>
      <c r="AA568" s="11">
        <f ca="1"/>
        <v>3.8156144781144783</v>
      </c>
      <c r="AB568" s="4">
        <f ca="1"/>
        <v>45673</v>
      </c>
      <c r="AC568" s="4">
        <v>45673</v>
      </c>
      <c r="AD568" s="9">
        <v>45674</v>
      </c>
      <c r="AE568" s="9">
        <v>45694</v>
      </c>
      <c r="AF568" s="4" t="str">
        <f t="shared" ca="1" si="16"/>
        <v>2025 01</v>
      </c>
      <c r="AG568" s="8" t="str" cm="1">
        <f t="array" ref="AG568">IFERROR(_xlfn.IFS('Banco de Dados'!#REF!="AG. COMPRA","Em processamento",'Banco de Dados'!#REF!="AG. RASTREIO","Em processamento",'Banco de Dados'!$AE568&lt;&gt;"-","Faturado",'Banco de Dados'!$AD568&lt;&gt;"-","Aguardando Pix",'Banco de Dados'!$AC568&lt;&gt;"-","Pendente"),"Aguardando Liberação")</f>
        <v>Aguardando Liberação</v>
      </c>
      <c r="AH568" s="5" t="str">
        <f>IF('Banco de Dados'!$F568="-",_xlfn.CONCAT(PROPER(TEXT(AK568,"aaaa"))," ",PROPER(TEXT(AK568,"mm"))),_xlfn.CONCAT(PROPER(TEXT(E568,"aaaa"))," ",PROPER(TEXT(E568,"mm"))))</f>
        <v>2024 12</v>
      </c>
      <c r="AI568" s="9" t="str">
        <f ca="1">IF('Banco de Dados'!$AK568&lt;&gt;"-","REEMBOLSO",IFERROR(_xlfn.XLOOKUP(G568,Follow[CODRASTREIO],Follow[STATUS]),"-"))</f>
        <v>ENTREGUE</v>
      </c>
      <c r="AJ568" s="9">
        <f ca="1">IF('Banco de Dados'!$AI568="ENTREGUE",_xlfn.XLOOKUP('Banco de Dados'!$G568,Follow[CODRASTREIO],Follow[DATAATUALIZAÇÃO]),"-")</f>
        <v>45645</v>
      </c>
      <c r="AK568" s="9" t="str">
        <f ca="1"/>
        <v>-</v>
      </c>
      <c r="AL568" s="35"/>
      <c r="AM568" s="109" cm="1">
        <f t="array" aca="1" ref="AM568" ca="1">IF('Banco de Dados'!$AK568&lt;&gt;"-",_xlfn.IFS('Banco de Dados'!$A568="bv",IF('Banco de Dados'!$E568&lt;45641,ROUND(SUM('Banco de Dados'!$R568*_xlfn.XLOOKUP('Banco de Dados'!$P568,Sku!B:B,Sku!#REF!)*20%),2),ROUND(SUM('Banco de Dados'!$R568*_xlfn.XLOOKUP('Banco de Dados'!$P568,Sku!B:B,Sku!H:H)*20%),2)),'Banco de Dados'!$A568="GO",ROUND(_xlfn.XLOOKUP('Banco de Dados'!$P568,Sku!C:C,Sku!H:H),2),'Banco de Dados'!$A568="MEI",ROUND(_xlfn.XLOOKUP('Banco de Dados'!$P568,Sku!D:D,Sku!H:H),2)),0)</f>
        <v>0</v>
      </c>
      <c r="AN568" s="109">
        <f ca="1">IF('Banco de Dados'!$AK568&lt;&gt;"-",IF('Banco de Dados'!$F568&lt;&gt;"-",_xlfn.XLOOKUP(IFERROR(IFERROR(IFERROR(VALUE(SUBSTITUTE(MID(_xlfn.TEXTAFTER('Banco de Dados'!$F568,"Data do Pedido:
",1),1,10),"-","/")),VALUE(SUBSTITUTE(MID(_xlfn.TEXTAFTER('Banco de Dados'!$F568,"Order date:
",1),1,10),"-","/"))),VALUE(SUBSTITUTE(MID(_xlfn.TEXTAFTER('Banco de Dados'!$F568,"Fecha de pedido:
",1),1,10),"-","/"))),"-"),SMS!A:A,SMS!K:K),0),0)</f>
        <v>0</v>
      </c>
      <c r="AO568" s="109">
        <f ca="1">IF('Banco de Dados'!$AK568&lt;&gt;"-",IF('Banco de Dados'!$F568&lt;&gt;"-",IFERROR(_xlfn.XLOOKUP(_xlfn.CONCAT('Banco de Dados'!$A568,IFERROR(IFERROR(VALUE(SUBSTITUTE(MID(_xlfn.TEXTAFTER('Banco de Dados'!$F568,"Data do Pedido:
",1),1,10),"-","/")),VALUE(SUBSTITUTE(MID(_xlfn.TEXTAFTER('Banco de Dados'!$F568,"Order date:
",1),1,10),"-","/"))),0)),ProxyDD[Chave],ProxyDD[Valor por pedido]),PROXY!$P$2),0),0)</f>
        <v>0</v>
      </c>
      <c r="AP568" s="28">
        <f ca="1">IF('Banco de Dados'!$AK568&lt;&gt;"-",IF('Banco de Dados'!$AL568="NÃO",IFERROR(VALUE(SUBSTITUTE(_xlfn.TEXTAFTER('Banco de Dados'!$F568,"BRL ",1),".",",")),0),0),0)</f>
        <v>0</v>
      </c>
      <c r="AQ568" s="28">
        <f ca="1">SUM('Banco de Dados'!$AM568:$AP568)</f>
        <v>0</v>
      </c>
      <c r="AR568" s="8"/>
      <c r="AS568" s="8"/>
      <c r="AY568" s="8"/>
    </row>
    <row r="569" spans="1:51">
      <c r="A569" s="5" t="str">
        <v>BV</v>
      </c>
      <c r="B569" s="5" t="str">
        <f ca="1"/>
        <v>BV45639</v>
      </c>
      <c r="C569" s="8" t="str">
        <v>Pedido 557</v>
      </c>
      <c r="D569" s="9">
        <v>45639</v>
      </c>
      <c r="E569" s="9">
        <v>45639</v>
      </c>
      <c r="F569" s="8" t="str">
        <v>PedidoF544</v>
      </c>
      <c r="G569" s="2" t="str">
        <v>CódRastreio542</v>
      </c>
      <c r="H569" s="5">
        <v>1</v>
      </c>
      <c r="I569" s="182" t="str">
        <v>CPF 540</v>
      </c>
      <c r="J569" s="2" t="str">
        <v>Nome 540</v>
      </c>
      <c r="K569" s="8" t="str">
        <v>Tel 540</v>
      </c>
      <c r="L569" s="8" t="str">
        <v>Cep 540</v>
      </c>
      <c r="M569" s="8" t="str">
        <v>Rua 540</v>
      </c>
      <c r="N569" s="8" t="str">
        <v>Comp 540</v>
      </c>
      <c r="O569" s="8" t="str">
        <v>Copo Termico</v>
      </c>
      <c r="P569" s="8" t="str">
        <v>KN-TBQL-K2MM</v>
      </c>
      <c r="Q569" s="4">
        <v>45666</v>
      </c>
      <c r="R569" s="109">
        <v>32.9</v>
      </c>
      <c r="S569" s="11">
        <f ca="1"/>
        <v>32.9</v>
      </c>
      <c r="T569" s="28">
        <f ca="1"/>
        <v>4.2770000000000001</v>
      </c>
      <c r="U569" s="11">
        <f ca="1"/>
        <v>28.62</v>
      </c>
      <c r="V569" s="11">
        <v>11.2</v>
      </c>
      <c r="W569" s="11">
        <f ca="1"/>
        <v>0.2</v>
      </c>
      <c r="X569" s="11">
        <f ca="1"/>
        <v>0.39877104377104378</v>
      </c>
      <c r="Y569" s="11">
        <v>0</v>
      </c>
      <c r="Z569" s="11">
        <f ca="1"/>
        <v>16.821228956228957</v>
      </c>
      <c r="AA569" s="11">
        <f ca="1"/>
        <v>8.4106144781144785</v>
      </c>
      <c r="AB569" s="4">
        <f ca="1"/>
        <v>45673</v>
      </c>
      <c r="AC569" s="4">
        <v>45673</v>
      </c>
      <c r="AD569" s="9">
        <v>45674</v>
      </c>
      <c r="AE569" s="9">
        <v>45694</v>
      </c>
      <c r="AF569" s="4" t="str">
        <f t="shared" ca="1" si="16"/>
        <v>2025 01</v>
      </c>
      <c r="AG569" s="8" t="str" cm="1">
        <f t="array" ref="AG569">IFERROR(_xlfn.IFS('Banco de Dados'!#REF!="AG. COMPRA","Em processamento",'Banco de Dados'!#REF!="AG. RASTREIO","Em processamento",'Banco de Dados'!$AE569&lt;&gt;"-","Faturado",'Banco de Dados'!$AD569&lt;&gt;"-","Aguardando Pix",'Banco de Dados'!$AC569&lt;&gt;"-","Pendente"),"Aguardando Liberação")</f>
        <v>Aguardando Liberação</v>
      </c>
      <c r="AH569" s="5" t="str">
        <f>IF('Banco de Dados'!$F569="-",_xlfn.CONCAT(PROPER(TEXT(AK569,"aaaa"))," ",PROPER(TEXT(AK569,"mm"))),_xlfn.CONCAT(PROPER(TEXT(E569,"aaaa"))," ",PROPER(TEXT(E569,"mm"))))</f>
        <v>2024 12</v>
      </c>
      <c r="AI569" s="9" t="str">
        <f ca="1">IF('Banco de Dados'!$AK569&lt;&gt;"-","REEMBOLSO",IFERROR(_xlfn.XLOOKUP(G569,Follow[CODRASTREIO],Follow[STATUS]),"-"))</f>
        <v>ENTREGUE</v>
      </c>
      <c r="AJ569" s="9">
        <f ca="1">IF('Banco de Dados'!$AI569="ENTREGUE",_xlfn.XLOOKUP('Banco de Dados'!$G569,Follow[CODRASTREIO],Follow[DATAATUALIZAÇÃO]),"-")</f>
        <v>45644</v>
      </c>
      <c r="AK569" s="9" t="str">
        <f ca="1"/>
        <v>-</v>
      </c>
      <c r="AL569" s="35"/>
      <c r="AM569" s="109" cm="1">
        <f t="array" aca="1" ref="AM569" ca="1">IF('Banco de Dados'!$AK569&lt;&gt;"-",_xlfn.IFS('Banco de Dados'!$A569="bv",IF('Banco de Dados'!$E569&lt;45641,ROUND(SUM('Banco de Dados'!$R569*_xlfn.XLOOKUP('Banco de Dados'!$P569,Sku!B:B,Sku!#REF!)*20%),2),ROUND(SUM('Banco de Dados'!$R569*_xlfn.XLOOKUP('Banco de Dados'!$P569,Sku!B:B,Sku!H:H)*20%),2)),'Banco de Dados'!$A569="GO",ROUND(_xlfn.XLOOKUP('Banco de Dados'!$P569,Sku!C:C,Sku!H:H),2),'Banco de Dados'!$A569="MEI",ROUND(_xlfn.XLOOKUP('Banco de Dados'!$P569,Sku!D:D,Sku!H:H),2)),0)</f>
        <v>0</v>
      </c>
      <c r="AN569" s="109">
        <f ca="1">IF('Banco de Dados'!$AK569&lt;&gt;"-",IF('Banco de Dados'!$F569&lt;&gt;"-",_xlfn.XLOOKUP(IFERROR(IFERROR(IFERROR(VALUE(SUBSTITUTE(MID(_xlfn.TEXTAFTER('Banco de Dados'!$F569,"Data do Pedido:
",1),1,10),"-","/")),VALUE(SUBSTITUTE(MID(_xlfn.TEXTAFTER('Banco de Dados'!$F569,"Order date:
",1),1,10),"-","/"))),VALUE(SUBSTITUTE(MID(_xlfn.TEXTAFTER('Banco de Dados'!$F569,"Fecha de pedido:
",1),1,10),"-","/"))),"-"),SMS!A:A,SMS!K:K),0),0)</f>
        <v>0</v>
      </c>
      <c r="AO569" s="109">
        <f ca="1">IF('Banco de Dados'!$AK569&lt;&gt;"-",IF('Banco de Dados'!$F569&lt;&gt;"-",IFERROR(_xlfn.XLOOKUP(_xlfn.CONCAT('Banco de Dados'!$A569,IFERROR(IFERROR(VALUE(SUBSTITUTE(MID(_xlfn.TEXTAFTER('Banco de Dados'!$F569,"Data do Pedido:
",1),1,10),"-","/")),VALUE(SUBSTITUTE(MID(_xlfn.TEXTAFTER('Banco de Dados'!$F569,"Order date:
",1),1,10),"-","/"))),0)),ProxyDD[Chave],ProxyDD[Valor por pedido]),PROXY!$P$2),0),0)</f>
        <v>0</v>
      </c>
      <c r="AP569" s="28">
        <f ca="1">IF('Banco de Dados'!$AK569&lt;&gt;"-",IF('Banco de Dados'!$AL569="NÃO",IFERROR(VALUE(SUBSTITUTE(_xlfn.TEXTAFTER('Banco de Dados'!$F569,"BRL ",1),".",",")),0),0),0)</f>
        <v>0</v>
      </c>
      <c r="AQ569" s="28">
        <f ca="1">SUM('Banco de Dados'!$AM569:$AP569)</f>
        <v>0</v>
      </c>
      <c r="AR569" s="8"/>
      <c r="AS569" s="8"/>
      <c r="AY569" s="8"/>
    </row>
    <row r="570" spans="1:51">
      <c r="A570" s="5" t="str">
        <v>BV</v>
      </c>
      <c r="B570" s="5" t="str">
        <f ca="1"/>
        <v>BV45639</v>
      </c>
      <c r="C570" s="8" t="str">
        <v>Pedido 558</v>
      </c>
      <c r="D570" s="9">
        <v>45639</v>
      </c>
      <c r="E570" s="9">
        <v>45639</v>
      </c>
      <c r="F570" s="8" t="str">
        <v>PedidoF545</v>
      </c>
      <c r="G570" s="2" t="str">
        <v>CódRastreio543</v>
      </c>
      <c r="H570" s="5">
        <v>1</v>
      </c>
      <c r="I570" s="182" t="str">
        <v>CPF 541</v>
      </c>
      <c r="J570" s="2" t="str">
        <v>Nome 541</v>
      </c>
      <c r="K570" s="8" t="str">
        <v>Tel 541</v>
      </c>
      <c r="L570" s="8" t="str">
        <v>Cep 541</v>
      </c>
      <c r="M570" s="8" t="str">
        <v>Rua 541</v>
      </c>
      <c r="N570" s="8" t="str">
        <v>Comp 541</v>
      </c>
      <c r="O570" s="8" t="str">
        <v>Suporte de Celular Branco</v>
      </c>
      <c r="P570" s="8" t="str">
        <v>16-4EDB-WMZF</v>
      </c>
      <c r="Q570" s="4">
        <v>45666</v>
      </c>
      <c r="R570" s="109">
        <v>17.899999999999999</v>
      </c>
      <c r="S570" s="11">
        <f ca="1"/>
        <v>17.899999999999999</v>
      </c>
      <c r="T570" s="28">
        <f ca="1"/>
        <v>2.6849999999999996</v>
      </c>
      <c r="U570" s="11">
        <f ca="1"/>
        <v>15.22</v>
      </c>
      <c r="V570" s="11">
        <v>6.99</v>
      </c>
      <c r="W570" s="11">
        <f ca="1"/>
        <v>0.2</v>
      </c>
      <c r="X570" s="11">
        <f ca="1"/>
        <v>0.39877104377104378</v>
      </c>
      <c r="Y570" s="11">
        <v>0</v>
      </c>
      <c r="Z570" s="11">
        <f ca="1"/>
        <v>7.6312289562289566</v>
      </c>
      <c r="AA570" s="11">
        <f ca="1"/>
        <v>3.8156144781144783</v>
      </c>
      <c r="AB570" s="4">
        <f ca="1"/>
        <v>45673</v>
      </c>
      <c r="AC570" s="4">
        <v>45673</v>
      </c>
      <c r="AD570" s="9">
        <v>45674</v>
      </c>
      <c r="AE570" s="9">
        <v>45694</v>
      </c>
      <c r="AF570" s="4" t="str">
        <f t="shared" ca="1" si="16"/>
        <v>2025 01</v>
      </c>
      <c r="AG570" s="8" t="str" cm="1">
        <f t="array" ref="AG570">IFERROR(_xlfn.IFS('Banco de Dados'!#REF!="AG. COMPRA","Em processamento",'Banco de Dados'!#REF!="AG. RASTREIO","Em processamento",'Banco de Dados'!$AE570&lt;&gt;"-","Faturado",'Banco de Dados'!$AD570&lt;&gt;"-","Aguardando Pix",'Banco de Dados'!$AC570&lt;&gt;"-","Pendente"),"Aguardando Liberação")</f>
        <v>Aguardando Liberação</v>
      </c>
      <c r="AH570" s="5" t="str">
        <f>IF('Banco de Dados'!$F570="-",_xlfn.CONCAT(PROPER(TEXT(AK570,"aaaa"))," ",PROPER(TEXT(AK570,"mm"))),_xlfn.CONCAT(PROPER(TEXT(E570,"aaaa"))," ",PROPER(TEXT(E570,"mm"))))</f>
        <v>2024 12</v>
      </c>
      <c r="AI570" s="9" t="str">
        <f ca="1">IF('Banco de Dados'!$AK570&lt;&gt;"-","REEMBOLSO",IFERROR(_xlfn.XLOOKUP(G570,Follow[CODRASTREIO],Follow[STATUS]),"-"))</f>
        <v>ENTREGUE</v>
      </c>
      <c r="AJ570" s="9">
        <f ca="1">IF('Banco de Dados'!$AI570="ENTREGUE",_xlfn.XLOOKUP('Banco de Dados'!$G570,Follow[CODRASTREIO],Follow[DATAATUALIZAÇÃO]),"-")</f>
        <v>45647</v>
      </c>
      <c r="AK570" s="9" t="str">
        <f ca="1"/>
        <v>-</v>
      </c>
      <c r="AL570" s="35"/>
      <c r="AM570" s="109" cm="1">
        <f t="array" aca="1" ref="AM570" ca="1">IF('Banco de Dados'!$AK570&lt;&gt;"-",_xlfn.IFS('Banco de Dados'!$A570="bv",IF('Banco de Dados'!$E570&lt;45641,ROUND(SUM('Banco de Dados'!$R570*_xlfn.XLOOKUP('Banco de Dados'!$P570,Sku!B:B,Sku!#REF!)*20%),2),ROUND(SUM('Banco de Dados'!$R570*_xlfn.XLOOKUP('Banco de Dados'!$P570,Sku!B:B,Sku!H:H)*20%),2)),'Banco de Dados'!$A570="GO",ROUND(_xlfn.XLOOKUP('Banco de Dados'!$P570,Sku!C:C,Sku!H:H),2),'Banco de Dados'!$A570="MEI",ROUND(_xlfn.XLOOKUP('Banco de Dados'!$P570,Sku!D:D,Sku!H:H),2)),0)</f>
        <v>0</v>
      </c>
      <c r="AN570" s="109">
        <f ca="1">IF('Banco de Dados'!$AK570&lt;&gt;"-",IF('Banco de Dados'!$F570&lt;&gt;"-",_xlfn.XLOOKUP(IFERROR(IFERROR(IFERROR(VALUE(SUBSTITUTE(MID(_xlfn.TEXTAFTER('Banco de Dados'!$F570,"Data do Pedido:
",1),1,10),"-","/")),VALUE(SUBSTITUTE(MID(_xlfn.TEXTAFTER('Banco de Dados'!$F570,"Order date:
",1),1,10),"-","/"))),VALUE(SUBSTITUTE(MID(_xlfn.TEXTAFTER('Banco de Dados'!$F570,"Fecha de pedido:
",1),1,10),"-","/"))),"-"),SMS!A:A,SMS!K:K),0),0)</f>
        <v>0</v>
      </c>
      <c r="AO570" s="109">
        <f ca="1">IF('Banco de Dados'!$AK570&lt;&gt;"-",IF('Banco de Dados'!$F570&lt;&gt;"-",IFERROR(_xlfn.XLOOKUP(_xlfn.CONCAT('Banco de Dados'!$A570,IFERROR(IFERROR(VALUE(SUBSTITUTE(MID(_xlfn.TEXTAFTER('Banco de Dados'!$F570,"Data do Pedido:
",1),1,10),"-","/")),VALUE(SUBSTITUTE(MID(_xlfn.TEXTAFTER('Banco de Dados'!$F570,"Order date:
",1),1,10),"-","/"))),0)),ProxyDD[Chave],ProxyDD[Valor por pedido]),PROXY!$P$2),0),0)</f>
        <v>0</v>
      </c>
      <c r="AP570" s="28">
        <f ca="1">IF('Banco de Dados'!$AK570&lt;&gt;"-",IF('Banco de Dados'!$AL570="NÃO",IFERROR(VALUE(SUBSTITUTE(_xlfn.TEXTAFTER('Banco de Dados'!$F570,"BRL ",1),".",",")),0),0),0)</f>
        <v>0</v>
      </c>
      <c r="AQ570" s="28">
        <f ca="1">SUM('Banco de Dados'!$AM570:$AP570)</f>
        <v>0</v>
      </c>
      <c r="AR570" s="8"/>
      <c r="AS570" s="8"/>
      <c r="AY570" s="8"/>
    </row>
    <row r="571" spans="1:51">
      <c r="A571" s="5" t="str">
        <v>BV</v>
      </c>
      <c r="B571" s="5" t="str">
        <f ca="1"/>
        <v>BV45639</v>
      </c>
      <c r="C571" s="8" t="str">
        <v>Pedido 559</v>
      </c>
      <c r="D571" s="9">
        <v>45639</v>
      </c>
      <c r="E571" s="9">
        <v>45639</v>
      </c>
      <c r="F571" s="8" t="str">
        <v>PedidoF546</v>
      </c>
      <c r="G571" s="2" t="str">
        <v>CódRastreio544</v>
      </c>
      <c r="H571" s="5">
        <v>1</v>
      </c>
      <c r="I571" s="182" t="str">
        <v>CPF 542</v>
      </c>
      <c r="J571" s="2" t="str">
        <v>Nome 542</v>
      </c>
      <c r="K571" s="8" t="str">
        <v>Tel 542</v>
      </c>
      <c r="L571" s="8" t="str">
        <v>Cep 542</v>
      </c>
      <c r="M571" s="8" t="str">
        <v>Rua 542</v>
      </c>
      <c r="N571" s="8" t="str">
        <v>Comp 542</v>
      </c>
      <c r="O571" s="8" t="str">
        <v>Ventilador Rosa</v>
      </c>
      <c r="P571" s="8" t="str">
        <v>IF-G2ZQ-79FO</v>
      </c>
      <c r="Q571" s="4">
        <v>45679</v>
      </c>
      <c r="R571" s="109">
        <v>54.8</v>
      </c>
      <c r="S571" s="11">
        <f ca="1"/>
        <v>54.8</v>
      </c>
      <c r="T571" s="28">
        <f ca="1"/>
        <v>7.1239999999999997</v>
      </c>
      <c r="U571" s="11">
        <f ca="1"/>
        <v>47.68</v>
      </c>
      <c r="V571" s="11">
        <v>12.19</v>
      </c>
      <c r="W571" s="11">
        <f ca="1"/>
        <v>0.2</v>
      </c>
      <c r="X571" s="11">
        <f ca="1"/>
        <v>0.39877104377104378</v>
      </c>
      <c r="Y571" s="11">
        <v>0</v>
      </c>
      <c r="Z571" s="11">
        <f ca="1"/>
        <v>34.891228956228957</v>
      </c>
      <c r="AA571" s="11">
        <f ca="1"/>
        <v>17.445614478114479</v>
      </c>
      <c r="AB571" s="4">
        <f ca="1"/>
        <v>45686</v>
      </c>
      <c r="AC571" s="4">
        <v>45686</v>
      </c>
      <c r="AD571" s="9">
        <v>45688</v>
      </c>
      <c r="AE571" s="9">
        <v>45694</v>
      </c>
      <c r="AF571" s="4" t="str">
        <f t="shared" ca="1" si="16"/>
        <v>2025 01</v>
      </c>
      <c r="AG571" s="8" t="str" cm="1">
        <f t="array" ref="AG571">IFERROR(_xlfn.IFS('Banco de Dados'!#REF!="AG. COMPRA","Em processamento",'Banco de Dados'!#REF!="AG. RASTREIO","Em processamento",'Banco de Dados'!$AE571&lt;&gt;"-","Faturado",'Banco de Dados'!$AD571&lt;&gt;"-","Aguardando Pix",'Banco de Dados'!$AC571&lt;&gt;"-","Pendente"),"Aguardando Liberação")</f>
        <v>Aguardando Liberação</v>
      </c>
      <c r="AH571" s="5" t="str">
        <f>IF('Banco de Dados'!$F571="-",_xlfn.CONCAT(PROPER(TEXT(AK571,"aaaa"))," ",PROPER(TEXT(AK571,"mm"))),_xlfn.CONCAT(PROPER(TEXT(E571,"aaaa"))," ",PROPER(TEXT(E571,"mm"))))</f>
        <v>2024 12</v>
      </c>
      <c r="AI571" s="9" t="str">
        <f ca="1">IF('Banco de Dados'!$AK571&lt;&gt;"-","REEMBOLSO",IFERROR(_xlfn.XLOOKUP(G571,Follow[CODRASTREIO],Follow[STATUS]),"-"))</f>
        <v>ENTREGUE</v>
      </c>
      <c r="AJ571" s="9">
        <f ca="1">IF('Banco de Dados'!$AI571="ENTREGUE",_xlfn.XLOOKUP('Banco de Dados'!$G571,Follow[CODRASTREIO],Follow[DATAATUALIZAÇÃO]),"-")</f>
        <v>45659</v>
      </c>
      <c r="AK571" s="9" t="str">
        <f ca="1"/>
        <v>-</v>
      </c>
      <c r="AL571" s="35"/>
      <c r="AM571" s="109" cm="1">
        <f t="array" aca="1" ref="AM571" ca="1">IF('Banco de Dados'!$AK571&lt;&gt;"-",_xlfn.IFS('Banco de Dados'!$A571="bv",IF('Banco de Dados'!$E571&lt;45641,ROUND(SUM('Banco de Dados'!$R571*_xlfn.XLOOKUP('Banco de Dados'!$P571,Sku!B:B,Sku!#REF!)*20%),2),ROUND(SUM('Banco de Dados'!$R571*_xlfn.XLOOKUP('Banco de Dados'!$P571,Sku!B:B,Sku!H:H)*20%),2)),'Banco de Dados'!$A571="GO",ROUND(_xlfn.XLOOKUP('Banco de Dados'!$P571,Sku!C:C,Sku!H:H),2),'Banco de Dados'!$A571="MEI",ROUND(_xlfn.XLOOKUP('Banco de Dados'!$P571,Sku!D:D,Sku!H:H),2)),0)</f>
        <v>0</v>
      </c>
      <c r="AN571" s="109">
        <f ca="1">IF('Banco de Dados'!$AK571&lt;&gt;"-",IF('Banco de Dados'!$F571&lt;&gt;"-",_xlfn.XLOOKUP(IFERROR(IFERROR(IFERROR(VALUE(SUBSTITUTE(MID(_xlfn.TEXTAFTER('Banco de Dados'!$F571,"Data do Pedido:
",1),1,10),"-","/")),VALUE(SUBSTITUTE(MID(_xlfn.TEXTAFTER('Banco de Dados'!$F571,"Order date:
",1),1,10),"-","/"))),VALUE(SUBSTITUTE(MID(_xlfn.TEXTAFTER('Banco de Dados'!$F571,"Fecha de pedido:
",1),1,10),"-","/"))),"-"),SMS!A:A,SMS!K:K),0),0)</f>
        <v>0</v>
      </c>
      <c r="AO571" s="109">
        <f ca="1">IF('Banco de Dados'!$AK571&lt;&gt;"-",IF('Banco de Dados'!$F571&lt;&gt;"-",IFERROR(_xlfn.XLOOKUP(_xlfn.CONCAT('Banco de Dados'!$A571,IFERROR(IFERROR(VALUE(SUBSTITUTE(MID(_xlfn.TEXTAFTER('Banco de Dados'!$F571,"Data do Pedido:
",1),1,10),"-","/")),VALUE(SUBSTITUTE(MID(_xlfn.TEXTAFTER('Banco de Dados'!$F571,"Order date:
",1),1,10),"-","/"))),0)),ProxyDD[Chave],ProxyDD[Valor por pedido]),PROXY!$P$2),0),0)</f>
        <v>0</v>
      </c>
      <c r="AP571" s="28">
        <f ca="1">IF('Banco de Dados'!$AK571&lt;&gt;"-",IF('Banco de Dados'!$AL571="NÃO",IFERROR(VALUE(SUBSTITUTE(_xlfn.TEXTAFTER('Banco de Dados'!$F571,"BRL ",1),".",",")),0),0),0)</f>
        <v>0</v>
      </c>
      <c r="AQ571" s="28">
        <f ca="1">SUM('Banco de Dados'!$AM571:$AP571)</f>
        <v>0</v>
      </c>
      <c r="AR571" s="8"/>
      <c r="AS571" s="8"/>
      <c r="AY571" s="8"/>
    </row>
    <row r="572" spans="1:51">
      <c r="A572" s="5" t="str">
        <v>BV</v>
      </c>
      <c r="B572" s="5" t="str">
        <f ca="1"/>
        <v>BV45639</v>
      </c>
      <c r="C572" s="8" t="str">
        <v>Pedido 560</v>
      </c>
      <c r="D572" s="9">
        <v>45639</v>
      </c>
      <c r="E572" s="9">
        <v>45639</v>
      </c>
      <c r="F572" s="8" t="str">
        <v>PedidoF547</v>
      </c>
      <c r="G572" s="2" t="str">
        <v>CódRastreio545</v>
      </c>
      <c r="H572" s="5">
        <v>1</v>
      </c>
      <c r="I572" s="182" t="str">
        <v>CPF 543</v>
      </c>
      <c r="J572" s="2" t="str">
        <v>Nome 543</v>
      </c>
      <c r="K572" s="8" t="str">
        <v>Tel 543</v>
      </c>
      <c r="L572" s="8" t="str">
        <v>Cep 543</v>
      </c>
      <c r="M572" s="8" t="str">
        <v>Rua 543</v>
      </c>
      <c r="N572" s="8" t="str">
        <v>Comp 543</v>
      </c>
      <c r="O572" s="8" t="str">
        <v>Ventilador Rosa</v>
      </c>
      <c r="P572" s="8" t="str">
        <v>IF-G2ZQ-79FO</v>
      </c>
      <c r="Q572" s="4">
        <v>45666</v>
      </c>
      <c r="R572" s="109">
        <v>54.8</v>
      </c>
      <c r="S572" s="11">
        <f ca="1"/>
        <v>0</v>
      </c>
      <c r="T572" s="28">
        <f ca="1"/>
        <v>0</v>
      </c>
      <c r="U572" s="11">
        <f ca="1"/>
        <v>0</v>
      </c>
      <c r="V572" s="11">
        <v>0</v>
      </c>
      <c r="W572" s="11">
        <f ca="1"/>
        <v>0</v>
      </c>
      <c r="X572" s="11">
        <f ca="1"/>
        <v>0.39877104377104378</v>
      </c>
      <c r="Y572" s="11">
        <v>0</v>
      </c>
      <c r="Z572" s="11">
        <f ca="1"/>
        <v>-0.39877104377104378</v>
      </c>
      <c r="AA572" s="11">
        <f ca="1"/>
        <v>-0.19938552188552189</v>
      </c>
      <c r="AB572" s="4">
        <f ca="1"/>
        <v>45673</v>
      </c>
      <c r="AC572" s="4">
        <v>45673</v>
      </c>
      <c r="AD572" s="9">
        <v>45674</v>
      </c>
      <c r="AE572" s="9">
        <v>45694</v>
      </c>
      <c r="AF572" s="4" t="str">
        <f t="shared" ca="1" si="16"/>
        <v>2025 01</v>
      </c>
      <c r="AG572" s="8" t="str" cm="1">
        <f t="array" ref="AG572">IFERROR(_xlfn.IFS('Banco de Dados'!#REF!="AG. COMPRA","Em processamento",'Banco de Dados'!#REF!="AG. RASTREIO","Em processamento",'Banco de Dados'!$AE572&lt;&gt;"-","Faturado",'Banco de Dados'!$AD572&lt;&gt;"-","Aguardando Pix",'Banco de Dados'!$AC572&lt;&gt;"-","Pendente"),"Aguardando Liberação")</f>
        <v>Aguardando Liberação</v>
      </c>
      <c r="AH572" s="5" t="str">
        <f>IF('Banco de Dados'!$F572="-",_xlfn.CONCAT(PROPER(TEXT(AK572,"aaaa"))," ",PROPER(TEXT(AK572,"mm"))),_xlfn.CONCAT(PROPER(TEXT(E572,"aaaa"))," ",PROPER(TEXT(E572,"mm"))))</f>
        <v>2024 12</v>
      </c>
      <c r="AI572" s="9" t="str">
        <f ca="1">IF('Banco de Dados'!$AK572&lt;&gt;"-","REEMBOLSO",IFERROR(_xlfn.XLOOKUP(G572,Follow[CODRASTREIO],Follow[STATUS]),"-"))</f>
        <v>REEMBOLSO</v>
      </c>
      <c r="AJ572" s="9" t="str">
        <f ca="1">IF('Banco de Dados'!$AI572="ENTREGUE",_xlfn.XLOOKUP('Banco de Dados'!$G572,Follow[CODRASTREIO],Follow[DATAATUALIZAÇÃO]),"-")</f>
        <v>-</v>
      </c>
      <c r="AK572" s="9">
        <f ca="1"/>
        <v>45670</v>
      </c>
      <c r="AL572" s="35"/>
      <c r="AM572" s="109" t="e" cm="1">
        <f t="array" aca="1" ref="AM572" ca="1">IF('Banco de Dados'!$AK572&lt;&gt;"-",_xlfn.IFS('Banco de Dados'!$A572="bv",IF('Banco de Dados'!$E572&lt;45641,ROUND(SUM('Banco de Dados'!$R572*_xlfn.XLOOKUP('Banco de Dados'!$P572,Sku!B:B,Sku!#REF!)*20%),2),ROUND(SUM('Banco de Dados'!$R572*_xlfn.XLOOKUP('Banco de Dados'!$P572,Sku!B:B,Sku!H:H)*20%),2)),'Banco de Dados'!$A572="GO",ROUND(_xlfn.XLOOKUP('Banco de Dados'!$P572,Sku!C:C,Sku!H:H),2),'Banco de Dados'!$A572="MEI",ROUND(_xlfn.XLOOKUP('Banco de Dados'!$P572,Sku!D:D,Sku!H:H),2)),0)</f>
        <v>#REF!</v>
      </c>
      <c r="AN572" s="109" t="e">
        <f ca="1">IF('Banco de Dados'!$AK572&lt;&gt;"-",IF('Banco de Dados'!$F572&lt;&gt;"-",_xlfn.XLOOKUP(IFERROR(IFERROR(IFERROR(VALUE(SUBSTITUTE(MID(_xlfn.TEXTAFTER('Banco de Dados'!$F572,"Data do Pedido:
",1),1,10),"-","/")),VALUE(SUBSTITUTE(MID(_xlfn.TEXTAFTER('Banco de Dados'!$F572,"Order date:
",1),1,10),"-","/"))),VALUE(SUBSTITUTE(MID(_xlfn.TEXTAFTER('Banco de Dados'!$F572,"Fecha de pedido:
",1),1,10),"-","/"))),"-"),SMS!A:A,SMS!K:K),0),0)</f>
        <v>#N/A</v>
      </c>
      <c r="AO572" s="109">
        <f ca="1">IF('Banco de Dados'!$AK572&lt;&gt;"-",IF('Banco de Dados'!$F572&lt;&gt;"-",IFERROR(_xlfn.XLOOKUP(_xlfn.CONCAT('Banco de Dados'!$A572,IFERROR(IFERROR(VALUE(SUBSTITUTE(MID(_xlfn.TEXTAFTER('Banco de Dados'!$F572,"Data do Pedido:
",1),1,10),"-","/")),VALUE(SUBSTITUTE(MID(_xlfn.TEXTAFTER('Banco de Dados'!$F572,"Order date:
",1),1,10),"-","/"))),0)),ProxyDD[Chave],ProxyDD[Valor por pedido]),PROXY!$P$2),0),0)</f>
        <v>0.39877104377104378</v>
      </c>
      <c r="AP572" s="28">
        <f ca="1">IF('Banco de Dados'!$AK572&lt;&gt;"-",IF('Banco de Dados'!$AL572="NÃO",IFERROR(VALUE(SUBSTITUTE(_xlfn.TEXTAFTER('Banco de Dados'!$F572,"BRL ",1),".",",")),0),0),0)</f>
        <v>0</v>
      </c>
      <c r="AQ572" s="28" t="e">
        <f ca="1">SUM('Banco de Dados'!$AM572:$AP572)</f>
        <v>#REF!</v>
      </c>
      <c r="AR572" s="8"/>
      <c r="AS572" s="8"/>
      <c r="AY572" s="8"/>
    </row>
    <row r="573" spans="1:51">
      <c r="A573" s="5" t="str">
        <v>BV</v>
      </c>
      <c r="B573" s="5" t="str">
        <f ca="1"/>
        <v>BV45639</v>
      </c>
      <c r="C573" s="8" t="str">
        <v>Pedido 561</v>
      </c>
      <c r="D573" s="9">
        <v>45639</v>
      </c>
      <c r="E573" s="9">
        <v>45639</v>
      </c>
      <c r="F573" s="8" t="str">
        <v>PedidoF548</v>
      </c>
      <c r="G573" s="2" t="str">
        <v>CódRastreio546</v>
      </c>
      <c r="H573" s="5">
        <v>1</v>
      </c>
      <c r="I573" s="182" t="str">
        <v>CPF 544</v>
      </c>
      <c r="J573" s="2" t="str">
        <v>Nome 544</v>
      </c>
      <c r="K573" s="8" t="str">
        <v>Tel 544</v>
      </c>
      <c r="L573" s="8" t="str">
        <v>Cep 544</v>
      </c>
      <c r="M573" s="8" t="str">
        <v>Rua 544</v>
      </c>
      <c r="N573" s="8" t="str">
        <v>Comp 544</v>
      </c>
      <c r="O573" s="8" t="str">
        <v>Ventilador Rosa</v>
      </c>
      <c r="P573" s="8" t="str">
        <v>IF-G2ZQ-79FO</v>
      </c>
      <c r="Q573" s="4">
        <v>45666</v>
      </c>
      <c r="R573" s="109">
        <v>54.8</v>
      </c>
      <c r="S573" s="11">
        <f ca="1"/>
        <v>54.8</v>
      </c>
      <c r="T573" s="28">
        <f ca="1"/>
        <v>7.1239999999999997</v>
      </c>
      <c r="U573" s="11">
        <f ca="1"/>
        <v>47.68</v>
      </c>
      <c r="V573" s="11">
        <v>12.19</v>
      </c>
      <c r="W573" s="11">
        <f ca="1"/>
        <v>0.2</v>
      </c>
      <c r="X573" s="11">
        <f ca="1"/>
        <v>0.39877104377104378</v>
      </c>
      <c r="Y573" s="11">
        <v>0</v>
      </c>
      <c r="Z573" s="11">
        <f ca="1"/>
        <v>34.891228956228957</v>
      </c>
      <c r="AA573" s="11">
        <f ca="1"/>
        <v>17.445614478114479</v>
      </c>
      <c r="AB573" s="4">
        <f ca="1"/>
        <v>45673</v>
      </c>
      <c r="AC573" s="4">
        <v>45673</v>
      </c>
      <c r="AD573" s="9">
        <v>45674</v>
      </c>
      <c r="AE573" s="9">
        <v>45694</v>
      </c>
      <c r="AF573" s="4" t="str">
        <f t="shared" ca="1" si="16"/>
        <v>2025 01</v>
      </c>
      <c r="AG573" s="8" t="str" cm="1">
        <f t="array" ref="AG573">IFERROR(_xlfn.IFS('Banco de Dados'!#REF!="AG. COMPRA","Em processamento",'Banco de Dados'!#REF!="AG. RASTREIO","Em processamento",'Banco de Dados'!$AE573&lt;&gt;"-","Faturado",'Banco de Dados'!$AD573&lt;&gt;"-","Aguardando Pix",'Banco de Dados'!$AC573&lt;&gt;"-","Pendente"),"Aguardando Liberação")</f>
        <v>Aguardando Liberação</v>
      </c>
      <c r="AH573" s="5" t="str">
        <f>IF('Banco de Dados'!$F573="-",_xlfn.CONCAT(PROPER(TEXT(AK573,"aaaa"))," ",PROPER(TEXT(AK573,"mm"))),_xlfn.CONCAT(PROPER(TEXT(E573,"aaaa"))," ",PROPER(TEXT(E573,"mm"))))</f>
        <v>2024 12</v>
      </c>
      <c r="AI573" s="9" t="str">
        <f ca="1">IF('Banco de Dados'!$AK573&lt;&gt;"-","REEMBOLSO",IFERROR(_xlfn.XLOOKUP(G573,Follow[CODRASTREIO],Follow[STATUS]),"-"))</f>
        <v>ENTREGUE</v>
      </c>
      <c r="AJ573" s="9">
        <f ca="1">IF('Banco de Dados'!$AI573="ENTREGUE",_xlfn.XLOOKUP('Banco de Dados'!$G573,Follow[CODRASTREIO],Follow[DATAATUALIZAÇÃO]),"-")</f>
        <v>45656</v>
      </c>
      <c r="AK573" s="9" t="str">
        <f ca="1"/>
        <v>-</v>
      </c>
      <c r="AL573" s="35"/>
      <c r="AM573" s="109" cm="1">
        <f t="array" aca="1" ref="AM573" ca="1">IF('Banco de Dados'!$AK573&lt;&gt;"-",_xlfn.IFS('Banco de Dados'!$A573="bv",IF('Banco de Dados'!$E573&lt;45641,ROUND(SUM('Banco de Dados'!$R573*_xlfn.XLOOKUP('Banco de Dados'!$P573,Sku!B:B,Sku!#REF!)*20%),2),ROUND(SUM('Banco de Dados'!$R573*_xlfn.XLOOKUP('Banco de Dados'!$P573,Sku!B:B,Sku!H:H)*20%),2)),'Banco de Dados'!$A573="GO",ROUND(_xlfn.XLOOKUP('Banco de Dados'!$P573,Sku!C:C,Sku!H:H),2),'Banco de Dados'!$A573="MEI",ROUND(_xlfn.XLOOKUP('Banco de Dados'!$P573,Sku!D:D,Sku!H:H),2)),0)</f>
        <v>0</v>
      </c>
      <c r="AN573" s="109">
        <f ca="1">IF('Banco de Dados'!$AK573&lt;&gt;"-",IF('Banco de Dados'!$F573&lt;&gt;"-",_xlfn.XLOOKUP(IFERROR(IFERROR(IFERROR(VALUE(SUBSTITUTE(MID(_xlfn.TEXTAFTER('Banco de Dados'!$F573,"Data do Pedido:
",1),1,10),"-","/")),VALUE(SUBSTITUTE(MID(_xlfn.TEXTAFTER('Banco de Dados'!$F573,"Order date:
",1),1,10),"-","/"))),VALUE(SUBSTITUTE(MID(_xlfn.TEXTAFTER('Banco de Dados'!$F573,"Fecha de pedido:
",1),1,10),"-","/"))),"-"),SMS!A:A,SMS!K:K),0),0)</f>
        <v>0</v>
      </c>
      <c r="AO573" s="109">
        <f ca="1">IF('Banco de Dados'!$AK573&lt;&gt;"-",IF('Banco de Dados'!$F573&lt;&gt;"-",IFERROR(_xlfn.XLOOKUP(_xlfn.CONCAT('Banco de Dados'!$A573,IFERROR(IFERROR(VALUE(SUBSTITUTE(MID(_xlfn.TEXTAFTER('Banco de Dados'!$F573,"Data do Pedido:
",1),1,10),"-","/")),VALUE(SUBSTITUTE(MID(_xlfn.TEXTAFTER('Banco de Dados'!$F573,"Order date:
",1),1,10),"-","/"))),0)),ProxyDD[Chave],ProxyDD[Valor por pedido]),PROXY!$P$2),0),0)</f>
        <v>0</v>
      </c>
      <c r="AP573" s="28">
        <f ca="1">IF('Banco de Dados'!$AK573&lt;&gt;"-",IF('Banco de Dados'!$AL573="NÃO",IFERROR(VALUE(SUBSTITUTE(_xlfn.TEXTAFTER('Banco de Dados'!$F573,"BRL ",1),".",",")),0),0),0)</f>
        <v>0</v>
      </c>
      <c r="AQ573" s="28">
        <f ca="1">SUM('Banco de Dados'!$AM573:$AP573)</f>
        <v>0</v>
      </c>
      <c r="AR573" s="8"/>
      <c r="AS573" s="8"/>
      <c r="AY573" s="8"/>
    </row>
    <row r="574" spans="1:51">
      <c r="A574" s="5" t="str">
        <v>BV</v>
      </c>
      <c r="B574" s="5" t="str">
        <f ca="1"/>
        <v>BV45642</v>
      </c>
      <c r="C574" s="8" t="str">
        <v>Pedido 562</v>
      </c>
      <c r="D574" s="9">
        <v>45642</v>
      </c>
      <c r="E574" s="9">
        <v>45642</v>
      </c>
      <c r="F574" s="8" t="str">
        <v>PedidoF549</v>
      </c>
      <c r="G574" s="2" t="str">
        <v>CódRastreio547</v>
      </c>
      <c r="H574" s="5">
        <v>1</v>
      </c>
      <c r="I574" s="182" t="str">
        <v>CPF 545</v>
      </c>
      <c r="J574" s="2" t="str">
        <v>Nome 545</v>
      </c>
      <c r="K574" s="8" t="str">
        <v>Tel 545</v>
      </c>
      <c r="L574" s="8" t="str">
        <v>Cep 545</v>
      </c>
      <c r="M574" s="8" t="str">
        <v>Rua 545</v>
      </c>
      <c r="N574" s="8" t="str">
        <v>Comp 545</v>
      </c>
      <c r="O574" s="8" t="str">
        <v>Ventilador de teto</v>
      </c>
      <c r="P574" s="8" t="str">
        <v>BP-NHG2-B8C1</v>
      </c>
      <c r="Q574" s="4">
        <v>45672</v>
      </c>
      <c r="R574" s="109">
        <v>53.9</v>
      </c>
      <c r="S574" s="11">
        <f ca="1"/>
        <v>53.9</v>
      </c>
      <c r="T574" s="28">
        <f ca="1"/>
        <v>7.0069999999999997</v>
      </c>
      <c r="U574" s="11">
        <f ca="1"/>
        <v>46.89</v>
      </c>
      <c r="V574" s="11">
        <v>32.42</v>
      </c>
      <c r="W574" s="11">
        <f ca="1"/>
        <v>0.15</v>
      </c>
      <c r="X574" s="11">
        <f ca="1"/>
        <v>0.39877104377104378</v>
      </c>
      <c r="Y574" s="11">
        <v>0</v>
      </c>
      <c r="Z574" s="11">
        <f ca="1"/>
        <v>13.921228956228958</v>
      </c>
      <c r="AA574" s="11">
        <f ca="1"/>
        <v>6.9606144781144792</v>
      </c>
      <c r="AB574" s="4">
        <f ca="1"/>
        <v>45679</v>
      </c>
      <c r="AC574" s="4">
        <v>45679</v>
      </c>
      <c r="AD574" s="9">
        <v>45679</v>
      </c>
      <c r="AE574" s="9">
        <v>45694</v>
      </c>
      <c r="AF574" s="4" t="str">
        <f t="shared" ca="1" si="16"/>
        <v>2025 01</v>
      </c>
      <c r="AG574" s="8" t="str" cm="1">
        <f t="array" ref="AG574">IFERROR(_xlfn.IFS('Banco de Dados'!#REF!="AG. COMPRA","Em processamento",'Banco de Dados'!#REF!="AG. RASTREIO","Em processamento",'Banco de Dados'!$AE574&lt;&gt;"-","Faturado",'Banco de Dados'!$AD574&lt;&gt;"-","Aguardando Pix",'Banco de Dados'!$AC574&lt;&gt;"-","Pendente"),"Aguardando Liberação")</f>
        <v>Aguardando Liberação</v>
      </c>
      <c r="AH574" s="5" t="str">
        <f>IF('Banco de Dados'!$F574="-",_xlfn.CONCAT(PROPER(TEXT(AK574,"aaaa"))," ",PROPER(TEXT(AK574,"mm"))),_xlfn.CONCAT(PROPER(TEXT(E574,"aaaa"))," ",PROPER(TEXT(E574,"mm"))))</f>
        <v>2024 12</v>
      </c>
      <c r="AI574" s="9" t="str">
        <f ca="1">IF('Banco de Dados'!$AK574&lt;&gt;"-","REEMBOLSO",IFERROR(_xlfn.XLOOKUP(G574,Follow[CODRASTREIO],Follow[STATUS]),"-"))</f>
        <v>ENTREGUE</v>
      </c>
      <c r="AJ574" s="9">
        <f ca="1">IF('Banco de Dados'!$AI574="ENTREGUE",_xlfn.XLOOKUP('Banco de Dados'!$G574,Follow[CODRASTREIO],Follow[DATAATUALIZAÇÃO]),"-")</f>
        <v>45656</v>
      </c>
      <c r="AK574" s="9" t="str">
        <f ca="1"/>
        <v>-</v>
      </c>
      <c r="AL574" s="35"/>
      <c r="AM574" s="109" cm="1">
        <f t="array" aca="1" ref="AM574" ca="1">IF('Banco de Dados'!$AK574&lt;&gt;"-",_xlfn.IFS('Banco de Dados'!$A574="bv",IF('Banco de Dados'!$E574&lt;45641,ROUND(SUM('Banco de Dados'!$R574*_xlfn.XLOOKUP('Banco de Dados'!$P574,Sku!B:B,Sku!#REF!)*20%),2),ROUND(SUM('Banco de Dados'!$R574*_xlfn.XLOOKUP('Banco de Dados'!$P574,Sku!B:B,Sku!H:H)*20%),2)),'Banco de Dados'!$A574="GO",ROUND(_xlfn.XLOOKUP('Banco de Dados'!$P574,Sku!C:C,Sku!H:H),2),'Banco de Dados'!$A574="MEI",ROUND(_xlfn.XLOOKUP('Banco de Dados'!$P574,Sku!D:D,Sku!H:H),2)),0)</f>
        <v>0</v>
      </c>
      <c r="AN574" s="109">
        <f ca="1">IF('Banco de Dados'!$AK574&lt;&gt;"-",IF('Banco de Dados'!$F574&lt;&gt;"-",_xlfn.XLOOKUP(IFERROR(IFERROR(IFERROR(VALUE(SUBSTITUTE(MID(_xlfn.TEXTAFTER('Banco de Dados'!$F574,"Data do Pedido:
",1),1,10),"-","/")),VALUE(SUBSTITUTE(MID(_xlfn.TEXTAFTER('Banco de Dados'!$F574,"Order date:
",1),1,10),"-","/"))),VALUE(SUBSTITUTE(MID(_xlfn.TEXTAFTER('Banco de Dados'!$F574,"Fecha de pedido:
",1),1,10),"-","/"))),"-"),SMS!A:A,SMS!K:K),0),0)</f>
        <v>0</v>
      </c>
      <c r="AO574" s="109">
        <f ca="1">IF('Banco de Dados'!$AK574&lt;&gt;"-",IF('Banco de Dados'!$F574&lt;&gt;"-",IFERROR(_xlfn.XLOOKUP(_xlfn.CONCAT('Banco de Dados'!$A574,IFERROR(IFERROR(VALUE(SUBSTITUTE(MID(_xlfn.TEXTAFTER('Banco de Dados'!$F574,"Data do Pedido:
",1),1,10),"-","/")),VALUE(SUBSTITUTE(MID(_xlfn.TEXTAFTER('Banco de Dados'!$F574,"Order date:
",1),1,10),"-","/"))),0)),ProxyDD[Chave],ProxyDD[Valor por pedido]),PROXY!$P$2),0),0)</f>
        <v>0</v>
      </c>
      <c r="AP574" s="28">
        <f ca="1">IF('Banco de Dados'!$AK574&lt;&gt;"-",IF('Banco de Dados'!$AL574="NÃO",IFERROR(VALUE(SUBSTITUTE(_xlfn.TEXTAFTER('Banco de Dados'!$F574,"BRL ",1),".",",")),0),0),0)</f>
        <v>0</v>
      </c>
      <c r="AQ574" s="28">
        <f ca="1">SUM('Banco de Dados'!$AM574:$AP574)</f>
        <v>0</v>
      </c>
      <c r="AR574" s="8"/>
      <c r="AS574" s="8"/>
      <c r="AY574" s="8"/>
    </row>
    <row r="575" spans="1:51">
      <c r="A575" s="5" t="str">
        <v>BV</v>
      </c>
      <c r="B575" s="5" t="str">
        <f ca="1"/>
        <v>BV45639</v>
      </c>
      <c r="C575" s="8" t="str">
        <v>Pedido 563</v>
      </c>
      <c r="D575" s="9">
        <v>45639</v>
      </c>
      <c r="E575" s="9">
        <v>45639</v>
      </c>
      <c r="F575" s="8" t="str">
        <v>PedidoF550</v>
      </c>
      <c r="G575" s="2" t="str">
        <v>CódRastreio548</v>
      </c>
      <c r="H575" s="5">
        <v>1</v>
      </c>
      <c r="I575" s="182" t="str">
        <v>CPF 546</v>
      </c>
      <c r="J575" s="2" t="str">
        <v>Nome 546</v>
      </c>
      <c r="K575" s="8" t="str">
        <v>Tel 546</v>
      </c>
      <c r="L575" s="8" t="str">
        <v>Cep 546</v>
      </c>
      <c r="M575" s="8" t="str">
        <v>Rua 546</v>
      </c>
      <c r="N575" s="8" t="str">
        <v>Comp 546</v>
      </c>
      <c r="O575" s="8" t="str">
        <v>Suporte de Celular Branco</v>
      </c>
      <c r="P575" s="8" t="str">
        <v>16-4EDB-WMZF</v>
      </c>
      <c r="Q575" s="4">
        <v>45666</v>
      </c>
      <c r="R575" s="109">
        <v>17.899999999999999</v>
      </c>
      <c r="S575" s="11">
        <f ca="1"/>
        <v>17.899999999999999</v>
      </c>
      <c r="T575" s="28">
        <f ca="1"/>
        <v>2.6849999999999996</v>
      </c>
      <c r="U575" s="11">
        <f ca="1"/>
        <v>15.22</v>
      </c>
      <c r="V575" s="11">
        <v>6.99</v>
      </c>
      <c r="W575" s="11">
        <f ca="1"/>
        <v>0.2</v>
      </c>
      <c r="X575" s="11">
        <f ca="1"/>
        <v>0.39877104377104378</v>
      </c>
      <c r="Y575" s="11">
        <v>0</v>
      </c>
      <c r="Z575" s="11">
        <f ca="1"/>
        <v>7.6312289562289566</v>
      </c>
      <c r="AA575" s="11">
        <f ca="1"/>
        <v>3.8156144781144783</v>
      </c>
      <c r="AB575" s="4">
        <f ca="1"/>
        <v>45673</v>
      </c>
      <c r="AC575" s="4">
        <v>45673</v>
      </c>
      <c r="AD575" s="9">
        <v>45674</v>
      </c>
      <c r="AE575" s="9">
        <v>45694</v>
      </c>
      <c r="AF575" s="4" t="str">
        <f t="shared" ca="1" si="16"/>
        <v>2025 01</v>
      </c>
      <c r="AG575" s="8" t="str" cm="1">
        <f t="array" ref="AG575">IFERROR(_xlfn.IFS('Banco de Dados'!#REF!="AG. COMPRA","Em processamento",'Banco de Dados'!#REF!="AG. RASTREIO","Em processamento",'Banco de Dados'!$AE575&lt;&gt;"-","Faturado",'Banco de Dados'!$AD575&lt;&gt;"-","Aguardando Pix",'Banco de Dados'!$AC575&lt;&gt;"-","Pendente"),"Aguardando Liberação")</f>
        <v>Aguardando Liberação</v>
      </c>
      <c r="AH575" s="5" t="str">
        <f>IF('Banco de Dados'!$F575="-",_xlfn.CONCAT(PROPER(TEXT(AK575,"aaaa"))," ",PROPER(TEXT(AK575,"mm"))),_xlfn.CONCAT(PROPER(TEXT(E575,"aaaa"))," ",PROPER(TEXT(E575,"mm"))))</f>
        <v>2024 12</v>
      </c>
      <c r="AI575" s="9" t="str">
        <f ca="1">IF('Banco de Dados'!$AK575&lt;&gt;"-","REEMBOLSO",IFERROR(_xlfn.XLOOKUP(G575,Follow[CODRASTREIO],Follow[STATUS]),"-"))</f>
        <v>ENTREGUE</v>
      </c>
      <c r="AJ575" s="9">
        <f ca="1">IF('Banco de Dados'!$AI575="ENTREGUE",_xlfn.XLOOKUP('Banco de Dados'!$G575,Follow[CODRASTREIO],Follow[DATAATUALIZAÇÃO]),"-")</f>
        <v>45647</v>
      </c>
      <c r="AK575" s="9" t="str">
        <f ca="1"/>
        <v>-</v>
      </c>
      <c r="AL575" s="35"/>
      <c r="AM575" s="109" cm="1">
        <f t="array" aca="1" ref="AM575" ca="1">IF('Banco de Dados'!$AK575&lt;&gt;"-",_xlfn.IFS('Banco de Dados'!$A575="bv",IF('Banco de Dados'!$E575&lt;45641,ROUND(SUM('Banco de Dados'!$R575*_xlfn.XLOOKUP('Banco de Dados'!$P575,Sku!B:B,Sku!#REF!)*20%),2),ROUND(SUM('Banco de Dados'!$R575*_xlfn.XLOOKUP('Banco de Dados'!$P575,Sku!B:B,Sku!H:H)*20%),2)),'Banco de Dados'!$A575="GO",ROUND(_xlfn.XLOOKUP('Banco de Dados'!$P575,Sku!C:C,Sku!H:H),2),'Banco de Dados'!$A575="MEI",ROUND(_xlfn.XLOOKUP('Banco de Dados'!$P575,Sku!D:D,Sku!H:H),2)),0)</f>
        <v>0</v>
      </c>
      <c r="AN575" s="109">
        <f ca="1">IF('Banco de Dados'!$AK575&lt;&gt;"-",IF('Banco de Dados'!$F575&lt;&gt;"-",_xlfn.XLOOKUP(IFERROR(IFERROR(IFERROR(VALUE(SUBSTITUTE(MID(_xlfn.TEXTAFTER('Banco de Dados'!$F575,"Data do Pedido:
",1),1,10),"-","/")),VALUE(SUBSTITUTE(MID(_xlfn.TEXTAFTER('Banco de Dados'!$F575,"Order date:
",1),1,10),"-","/"))),VALUE(SUBSTITUTE(MID(_xlfn.TEXTAFTER('Banco de Dados'!$F575,"Fecha de pedido:
",1),1,10),"-","/"))),"-"),SMS!A:A,SMS!K:K),0),0)</f>
        <v>0</v>
      </c>
      <c r="AO575" s="109">
        <f ca="1">IF('Banco de Dados'!$AK575&lt;&gt;"-",IF('Banco de Dados'!$F575&lt;&gt;"-",IFERROR(_xlfn.XLOOKUP(_xlfn.CONCAT('Banco de Dados'!$A575,IFERROR(IFERROR(VALUE(SUBSTITUTE(MID(_xlfn.TEXTAFTER('Banco de Dados'!$F575,"Data do Pedido:
",1),1,10),"-","/")),VALUE(SUBSTITUTE(MID(_xlfn.TEXTAFTER('Banco de Dados'!$F575,"Order date:
",1),1,10),"-","/"))),0)),ProxyDD[Chave],ProxyDD[Valor por pedido]),PROXY!$P$2),0),0)</f>
        <v>0</v>
      </c>
      <c r="AP575" s="28">
        <f ca="1">IF('Banco de Dados'!$AK575&lt;&gt;"-",IF('Banco de Dados'!$AL575="NÃO",IFERROR(VALUE(SUBSTITUTE(_xlfn.TEXTAFTER('Banco de Dados'!$F575,"BRL ",1),".",",")),0),0),0)</f>
        <v>0</v>
      </c>
      <c r="AQ575" s="28">
        <f ca="1">SUM('Banco de Dados'!$AM575:$AP575)</f>
        <v>0</v>
      </c>
      <c r="AR575" s="8"/>
      <c r="AS575" s="8"/>
      <c r="AY575" s="8"/>
    </row>
    <row r="576" spans="1:51">
      <c r="A576" s="5" t="str">
        <v>BV</v>
      </c>
      <c r="B576" s="5" t="str">
        <f ca="1"/>
        <v>BV45639</v>
      </c>
      <c r="C576" s="8" t="str">
        <v>Pedido 564</v>
      </c>
      <c r="D576" s="9">
        <v>45639</v>
      </c>
      <c r="E576" s="9">
        <v>45639</v>
      </c>
      <c r="F576" s="8" t="str">
        <v>PedidoF551</v>
      </c>
      <c r="G576" s="2" t="str">
        <v>CódRastreio549</v>
      </c>
      <c r="H576" s="5">
        <v>1</v>
      </c>
      <c r="I576" s="182" t="str">
        <v>CPF 547</v>
      </c>
      <c r="J576" s="2" t="str">
        <v>Nome 547</v>
      </c>
      <c r="K576" s="8" t="str">
        <v>Tel 547</v>
      </c>
      <c r="L576" s="8" t="str">
        <v>Cep 547</v>
      </c>
      <c r="M576" s="8" t="str">
        <v>Rua 547</v>
      </c>
      <c r="N576" s="8" t="str">
        <v>Comp 547</v>
      </c>
      <c r="O576" s="8" t="str">
        <v>Ventilador Preto</v>
      </c>
      <c r="P576" s="8" t="str">
        <v>MU-J80P-95WF</v>
      </c>
      <c r="Q576" s="4">
        <v>45666</v>
      </c>
      <c r="R576" s="109">
        <v>65.599999999999994</v>
      </c>
      <c r="S576" s="11">
        <f ca="1"/>
        <v>65.599999999999994</v>
      </c>
      <c r="T576" s="28">
        <f ca="1"/>
        <v>8.5279999999999987</v>
      </c>
      <c r="U576" s="11">
        <f ca="1"/>
        <v>57.07</v>
      </c>
      <c r="V576" s="11">
        <v>23.93</v>
      </c>
      <c r="W576" s="11">
        <f ca="1"/>
        <v>0.2</v>
      </c>
      <c r="X576" s="11">
        <f ca="1"/>
        <v>0.39877104377104378</v>
      </c>
      <c r="Y576" s="11">
        <v>0</v>
      </c>
      <c r="Z576" s="11">
        <f ca="1"/>
        <v>32.541228956228956</v>
      </c>
      <c r="AA576" s="11">
        <f ca="1"/>
        <v>16.270614478114478</v>
      </c>
      <c r="AB576" s="4">
        <f ca="1"/>
        <v>45673</v>
      </c>
      <c r="AC576" s="4">
        <v>45673</v>
      </c>
      <c r="AD576" s="9">
        <v>45674</v>
      </c>
      <c r="AE576" s="9">
        <v>45694</v>
      </c>
      <c r="AF576" s="4" t="str">
        <f t="shared" ca="1" si="16"/>
        <v>2025 01</v>
      </c>
      <c r="AG576" s="8" t="str" cm="1">
        <f t="array" ref="AG576">IFERROR(_xlfn.IFS('Banco de Dados'!#REF!="AG. COMPRA","Em processamento",'Banco de Dados'!#REF!="AG. RASTREIO","Em processamento",'Banco de Dados'!$AE576&lt;&gt;"-","Faturado",'Banco de Dados'!$AD576&lt;&gt;"-","Aguardando Pix",'Banco de Dados'!$AC576&lt;&gt;"-","Pendente"),"Aguardando Liberação")</f>
        <v>Aguardando Liberação</v>
      </c>
      <c r="AH576" s="5" t="str">
        <f>IF('Banco de Dados'!$F576="-",_xlfn.CONCAT(PROPER(TEXT(AK576,"aaaa"))," ",PROPER(TEXT(AK576,"mm"))),_xlfn.CONCAT(PROPER(TEXT(E576,"aaaa"))," ",PROPER(TEXT(E576,"mm"))))</f>
        <v>2024 12</v>
      </c>
      <c r="AI576" s="9" t="str">
        <f ca="1">IF('Banco de Dados'!$AK576&lt;&gt;"-","REEMBOLSO",IFERROR(_xlfn.XLOOKUP(G576,Follow[CODRASTREIO],Follow[STATUS]),"-"))</f>
        <v>ENTREGUE</v>
      </c>
      <c r="AJ576" s="9">
        <f ca="1">IF('Banco de Dados'!$AI576="ENTREGUE",_xlfn.XLOOKUP('Banco de Dados'!$G576,Follow[CODRASTREIO],Follow[DATAATUALIZAÇÃO]),"-")</f>
        <v>45649</v>
      </c>
      <c r="AK576" s="9" t="str">
        <f ca="1"/>
        <v>-</v>
      </c>
      <c r="AL576" s="35"/>
      <c r="AM576" s="109" cm="1">
        <f t="array" aca="1" ref="AM576" ca="1">IF('Banco de Dados'!$AK576&lt;&gt;"-",_xlfn.IFS('Banco de Dados'!$A576="bv",IF('Banco de Dados'!$E576&lt;45641,ROUND(SUM('Banco de Dados'!$R576*_xlfn.XLOOKUP('Banco de Dados'!$P576,Sku!B:B,Sku!#REF!)*20%),2),ROUND(SUM('Banco de Dados'!$R576*_xlfn.XLOOKUP('Banco de Dados'!$P576,Sku!B:B,Sku!H:H)*20%),2)),'Banco de Dados'!$A576="GO",ROUND(_xlfn.XLOOKUP('Banco de Dados'!$P576,Sku!C:C,Sku!H:H),2),'Banco de Dados'!$A576="MEI",ROUND(_xlfn.XLOOKUP('Banco de Dados'!$P576,Sku!D:D,Sku!H:H),2)),0)</f>
        <v>0</v>
      </c>
      <c r="AN576" s="109">
        <f ca="1">IF('Banco de Dados'!$AK576&lt;&gt;"-",IF('Banco de Dados'!$F576&lt;&gt;"-",_xlfn.XLOOKUP(IFERROR(IFERROR(IFERROR(VALUE(SUBSTITUTE(MID(_xlfn.TEXTAFTER('Banco de Dados'!$F576,"Data do Pedido:
",1),1,10),"-","/")),VALUE(SUBSTITUTE(MID(_xlfn.TEXTAFTER('Banco de Dados'!$F576,"Order date:
",1),1,10),"-","/"))),VALUE(SUBSTITUTE(MID(_xlfn.TEXTAFTER('Banco de Dados'!$F576,"Fecha de pedido:
",1),1,10),"-","/"))),"-"),SMS!A:A,SMS!K:K),0),0)</f>
        <v>0</v>
      </c>
      <c r="AO576" s="109">
        <f ca="1">IF('Banco de Dados'!$AK576&lt;&gt;"-",IF('Banco de Dados'!$F576&lt;&gt;"-",IFERROR(_xlfn.XLOOKUP(_xlfn.CONCAT('Banco de Dados'!$A576,IFERROR(IFERROR(VALUE(SUBSTITUTE(MID(_xlfn.TEXTAFTER('Banco de Dados'!$F576,"Data do Pedido:
",1),1,10),"-","/")),VALUE(SUBSTITUTE(MID(_xlfn.TEXTAFTER('Banco de Dados'!$F576,"Order date:
",1),1,10),"-","/"))),0)),ProxyDD[Chave],ProxyDD[Valor por pedido]),PROXY!$P$2),0),0)</f>
        <v>0</v>
      </c>
      <c r="AP576" s="28">
        <f ca="1">IF('Banco de Dados'!$AK576&lt;&gt;"-",IF('Banco de Dados'!$AL576="NÃO",IFERROR(VALUE(SUBSTITUTE(_xlfn.TEXTAFTER('Banco de Dados'!$F576,"BRL ",1),".",",")),0),0),0)</f>
        <v>0</v>
      </c>
      <c r="AQ576" s="28">
        <f ca="1">SUM('Banco de Dados'!$AM576:$AP576)</f>
        <v>0</v>
      </c>
      <c r="AR576" s="8"/>
      <c r="AS576" s="8"/>
      <c r="AY576" s="8"/>
    </row>
    <row r="577" spans="1:51">
      <c r="A577" s="5" t="str">
        <v>BV</v>
      </c>
      <c r="B577" s="5" t="str">
        <f ca="1"/>
        <v>BV45639</v>
      </c>
      <c r="C577" s="8" t="str">
        <v>Pedido 565</v>
      </c>
      <c r="D577" s="9">
        <v>45639</v>
      </c>
      <c r="E577" s="9">
        <v>45639</v>
      </c>
      <c r="F577" s="8" t="str">
        <v>PedidoF552</v>
      </c>
      <c r="G577" s="2" t="str">
        <v>CódRastreio550</v>
      </c>
      <c r="H577" s="5">
        <v>1</v>
      </c>
      <c r="I577" s="182" t="str">
        <v>CPF 548</v>
      </c>
      <c r="J577" s="2" t="str">
        <v>Nome 548</v>
      </c>
      <c r="K577" s="8" t="str">
        <v>Tel 548</v>
      </c>
      <c r="L577" s="8" t="str">
        <v>Cep 548</v>
      </c>
      <c r="M577" s="8" t="str">
        <v>Rua 548</v>
      </c>
      <c r="N577" s="8" t="str">
        <v>Comp 548</v>
      </c>
      <c r="O577" s="8" t="str">
        <v>Suporte de Celular Branco</v>
      </c>
      <c r="P577" s="8" t="str">
        <v>16-4EDB-WMZF</v>
      </c>
      <c r="Q577" s="4">
        <v>45666</v>
      </c>
      <c r="R577" s="109">
        <v>17.899999999999999</v>
      </c>
      <c r="S577" s="11">
        <f ca="1"/>
        <v>17.899999999999999</v>
      </c>
      <c r="T577" s="28">
        <f ca="1"/>
        <v>2.6849999999999996</v>
      </c>
      <c r="U577" s="11">
        <f ca="1"/>
        <v>15.22</v>
      </c>
      <c r="V577" s="11">
        <v>6.99</v>
      </c>
      <c r="W577" s="11">
        <f ca="1"/>
        <v>0.2</v>
      </c>
      <c r="X577" s="11">
        <f ca="1"/>
        <v>0.39877104377104378</v>
      </c>
      <c r="Y577" s="11">
        <v>0</v>
      </c>
      <c r="Z577" s="11">
        <f ca="1"/>
        <v>7.6312289562289566</v>
      </c>
      <c r="AA577" s="11">
        <f ca="1"/>
        <v>3.8156144781144783</v>
      </c>
      <c r="AB577" s="4">
        <f ca="1"/>
        <v>45673</v>
      </c>
      <c r="AC577" s="4">
        <v>45673</v>
      </c>
      <c r="AD577" s="9">
        <v>45674</v>
      </c>
      <c r="AE577" s="9">
        <v>45694</v>
      </c>
      <c r="AF577" s="4" t="str">
        <f t="shared" ca="1" si="16"/>
        <v>2025 01</v>
      </c>
      <c r="AG577" s="8" t="str" cm="1">
        <f t="array" ref="AG577">IFERROR(_xlfn.IFS('Banco de Dados'!#REF!="AG. COMPRA","Em processamento",'Banco de Dados'!#REF!="AG. RASTREIO","Em processamento",'Banco de Dados'!$AE577&lt;&gt;"-","Faturado",'Banco de Dados'!$AD577&lt;&gt;"-","Aguardando Pix",'Banco de Dados'!$AC577&lt;&gt;"-","Pendente"),"Aguardando Liberação")</f>
        <v>Aguardando Liberação</v>
      </c>
      <c r="AH577" s="5" t="str">
        <f>IF('Banco de Dados'!$F577="-",_xlfn.CONCAT(PROPER(TEXT(AK577,"aaaa"))," ",PROPER(TEXT(AK577,"mm"))),_xlfn.CONCAT(PROPER(TEXT(E577,"aaaa"))," ",PROPER(TEXT(E577,"mm"))))</f>
        <v>2024 12</v>
      </c>
      <c r="AI577" s="9" t="str">
        <f ca="1">IF('Banco de Dados'!$AK577&lt;&gt;"-","REEMBOLSO",IFERROR(_xlfn.XLOOKUP(G577,Follow[CODRASTREIO],Follow[STATUS]),"-"))</f>
        <v>ENTREGUE</v>
      </c>
      <c r="AJ577" s="9">
        <f ca="1">IF('Banco de Dados'!$AI577="ENTREGUE",_xlfn.XLOOKUP('Banco de Dados'!$G577,Follow[CODRASTREIO],Follow[DATAATUALIZAÇÃO]),"-")</f>
        <v>45649</v>
      </c>
      <c r="AK577" s="9" t="str">
        <f ca="1"/>
        <v>-</v>
      </c>
      <c r="AL577" s="35"/>
      <c r="AM577" s="109" cm="1">
        <f t="array" aca="1" ref="AM577" ca="1">IF('Banco de Dados'!$AK577&lt;&gt;"-",_xlfn.IFS('Banco de Dados'!$A577="bv",IF('Banco de Dados'!$E577&lt;45641,ROUND(SUM('Banco de Dados'!$R577*_xlfn.XLOOKUP('Banco de Dados'!$P577,Sku!B:B,Sku!#REF!)*20%),2),ROUND(SUM('Banco de Dados'!$R577*_xlfn.XLOOKUP('Banco de Dados'!$P577,Sku!B:B,Sku!H:H)*20%),2)),'Banco de Dados'!$A577="GO",ROUND(_xlfn.XLOOKUP('Banco de Dados'!$P577,Sku!C:C,Sku!H:H),2),'Banco de Dados'!$A577="MEI",ROUND(_xlfn.XLOOKUP('Banco de Dados'!$P577,Sku!D:D,Sku!H:H),2)),0)</f>
        <v>0</v>
      </c>
      <c r="AN577" s="109">
        <f ca="1">IF('Banco de Dados'!$AK577&lt;&gt;"-",IF('Banco de Dados'!$F577&lt;&gt;"-",_xlfn.XLOOKUP(IFERROR(IFERROR(IFERROR(VALUE(SUBSTITUTE(MID(_xlfn.TEXTAFTER('Banco de Dados'!$F577,"Data do Pedido:
",1),1,10),"-","/")),VALUE(SUBSTITUTE(MID(_xlfn.TEXTAFTER('Banco de Dados'!$F577,"Order date:
",1),1,10),"-","/"))),VALUE(SUBSTITUTE(MID(_xlfn.TEXTAFTER('Banco de Dados'!$F577,"Fecha de pedido:
",1),1,10),"-","/"))),"-"),SMS!A:A,SMS!K:K),0),0)</f>
        <v>0</v>
      </c>
      <c r="AO577" s="109">
        <f ca="1">IF('Banco de Dados'!$AK577&lt;&gt;"-",IF('Banco de Dados'!$F577&lt;&gt;"-",IFERROR(_xlfn.XLOOKUP(_xlfn.CONCAT('Banco de Dados'!$A577,IFERROR(IFERROR(VALUE(SUBSTITUTE(MID(_xlfn.TEXTAFTER('Banco de Dados'!$F577,"Data do Pedido:
",1),1,10),"-","/")),VALUE(SUBSTITUTE(MID(_xlfn.TEXTAFTER('Banco de Dados'!$F577,"Order date:
",1),1,10),"-","/"))),0)),ProxyDD[Chave],ProxyDD[Valor por pedido]),PROXY!$P$2),0),0)</f>
        <v>0</v>
      </c>
      <c r="AP577" s="28">
        <f ca="1">IF('Banco de Dados'!$AK577&lt;&gt;"-",IF('Banco de Dados'!$AL577="NÃO",IFERROR(VALUE(SUBSTITUTE(_xlfn.TEXTAFTER('Banco de Dados'!$F577,"BRL ",1),".",",")),0),0),0)</f>
        <v>0</v>
      </c>
      <c r="AQ577" s="28">
        <f ca="1">SUM('Banco de Dados'!$AM577:$AP577)</f>
        <v>0</v>
      </c>
      <c r="AR577" s="8"/>
      <c r="AS577" s="8"/>
      <c r="AY577" s="8"/>
    </row>
    <row r="578" spans="1:51">
      <c r="A578" s="5" t="str">
        <v>BV</v>
      </c>
      <c r="B578" s="5" t="str">
        <f ca="1"/>
        <v>BV45639</v>
      </c>
      <c r="C578" s="8" t="str">
        <v>Pedido 566</v>
      </c>
      <c r="D578" s="9">
        <v>45639</v>
      </c>
      <c r="E578" s="9">
        <v>45639</v>
      </c>
      <c r="F578" s="8" t="str">
        <v>PedidoF553</v>
      </c>
      <c r="G578" s="2" t="str">
        <v>CódRastreio551</v>
      </c>
      <c r="H578" s="5">
        <v>1</v>
      </c>
      <c r="I578" s="182" t="str">
        <v>CPF 549</v>
      </c>
      <c r="J578" s="2" t="str">
        <v>Nome 549</v>
      </c>
      <c r="K578" s="8" t="str">
        <v>Tel 549</v>
      </c>
      <c r="L578" s="8" t="str">
        <v>Cep 549</v>
      </c>
      <c r="M578" s="8" t="str">
        <v>Rua 549</v>
      </c>
      <c r="N578" s="8" t="str">
        <v>Comp 549</v>
      </c>
      <c r="O578" s="8" t="str">
        <v>Suporte de Celular Branco</v>
      </c>
      <c r="P578" s="8" t="str">
        <v>16-4EDB-WMZF</v>
      </c>
      <c r="Q578" s="4">
        <v>45666</v>
      </c>
      <c r="R578" s="109">
        <v>17.899999999999999</v>
      </c>
      <c r="S578" s="11">
        <f ca="1"/>
        <v>17.899999999999999</v>
      </c>
      <c r="T578" s="28">
        <f ca="1"/>
        <v>2.6849999999999996</v>
      </c>
      <c r="U578" s="11">
        <f ca="1"/>
        <v>15.22</v>
      </c>
      <c r="V578" s="11">
        <v>6.99</v>
      </c>
      <c r="W578" s="11">
        <f ca="1"/>
        <v>0.2</v>
      </c>
      <c r="X578" s="11">
        <f ca="1"/>
        <v>0.39877104377104378</v>
      </c>
      <c r="Y578" s="11">
        <v>0</v>
      </c>
      <c r="Z578" s="11">
        <f ca="1"/>
        <v>7.6312289562289566</v>
      </c>
      <c r="AA578" s="11">
        <f ca="1"/>
        <v>3.8156144781144783</v>
      </c>
      <c r="AB578" s="4">
        <f ca="1"/>
        <v>45673</v>
      </c>
      <c r="AC578" s="4">
        <v>45673</v>
      </c>
      <c r="AD578" s="9">
        <v>45674</v>
      </c>
      <c r="AE578" s="9">
        <v>45694</v>
      </c>
      <c r="AF578" s="4" t="str">
        <f t="shared" ca="1" si="16"/>
        <v>2025 01</v>
      </c>
      <c r="AG578" s="8" t="str" cm="1">
        <f t="array" ref="AG578">IFERROR(_xlfn.IFS('Banco de Dados'!#REF!="AG. COMPRA","Em processamento",'Banco de Dados'!#REF!="AG. RASTREIO","Em processamento",'Banco de Dados'!$AE578&lt;&gt;"-","Faturado",'Banco de Dados'!$AD578&lt;&gt;"-","Aguardando Pix",'Banco de Dados'!$AC578&lt;&gt;"-","Pendente"),"Aguardando Liberação")</f>
        <v>Aguardando Liberação</v>
      </c>
      <c r="AH578" s="5" t="str">
        <f>IF('Banco de Dados'!$F578="-",_xlfn.CONCAT(PROPER(TEXT(AK578,"aaaa"))," ",PROPER(TEXT(AK578,"mm"))),_xlfn.CONCAT(PROPER(TEXT(E578,"aaaa"))," ",PROPER(TEXT(E578,"mm"))))</f>
        <v>2024 12</v>
      </c>
      <c r="AI578" s="9" t="str">
        <f ca="1">IF('Banco de Dados'!$AK578&lt;&gt;"-","REEMBOLSO",IFERROR(_xlfn.XLOOKUP(G578,Follow[CODRASTREIO],Follow[STATUS]),"-"))</f>
        <v>ENTREGUE</v>
      </c>
      <c r="AJ578" s="9">
        <f ca="1">IF('Banco de Dados'!$AI578="ENTREGUE",_xlfn.XLOOKUP('Banco de Dados'!$G578,Follow[CODRASTREIO],Follow[DATAATUALIZAÇÃO]),"-")</f>
        <v>45645</v>
      </c>
      <c r="AK578" s="9" t="str">
        <f ca="1"/>
        <v>-</v>
      </c>
      <c r="AL578" s="35"/>
      <c r="AM578" s="109" cm="1">
        <f t="array" aca="1" ref="AM578" ca="1">IF('Banco de Dados'!$AK578&lt;&gt;"-",_xlfn.IFS('Banco de Dados'!$A578="bv",IF('Banco de Dados'!$E578&lt;45641,ROUND(SUM('Banco de Dados'!$R578*_xlfn.XLOOKUP('Banco de Dados'!$P578,Sku!B:B,Sku!#REF!)*20%),2),ROUND(SUM('Banco de Dados'!$R578*_xlfn.XLOOKUP('Banco de Dados'!$P578,Sku!B:B,Sku!H:H)*20%),2)),'Banco de Dados'!$A578="GO",ROUND(_xlfn.XLOOKUP('Banco de Dados'!$P578,Sku!C:C,Sku!H:H),2),'Banco de Dados'!$A578="MEI",ROUND(_xlfn.XLOOKUP('Banco de Dados'!$P578,Sku!D:D,Sku!H:H),2)),0)</f>
        <v>0</v>
      </c>
      <c r="AN578" s="109">
        <f ca="1">IF('Banco de Dados'!$AK578&lt;&gt;"-",IF('Banco de Dados'!$F578&lt;&gt;"-",_xlfn.XLOOKUP(IFERROR(IFERROR(IFERROR(VALUE(SUBSTITUTE(MID(_xlfn.TEXTAFTER('Banco de Dados'!$F578,"Data do Pedido:
",1),1,10),"-","/")),VALUE(SUBSTITUTE(MID(_xlfn.TEXTAFTER('Banco de Dados'!$F578,"Order date:
",1),1,10),"-","/"))),VALUE(SUBSTITUTE(MID(_xlfn.TEXTAFTER('Banco de Dados'!$F578,"Fecha de pedido:
",1),1,10),"-","/"))),"-"),SMS!A:A,SMS!K:K),0),0)</f>
        <v>0</v>
      </c>
      <c r="AO578" s="109">
        <f ca="1">IF('Banco de Dados'!$AK578&lt;&gt;"-",IF('Banco de Dados'!$F578&lt;&gt;"-",IFERROR(_xlfn.XLOOKUP(_xlfn.CONCAT('Banco de Dados'!$A578,IFERROR(IFERROR(VALUE(SUBSTITUTE(MID(_xlfn.TEXTAFTER('Banco de Dados'!$F578,"Data do Pedido:
",1),1,10),"-","/")),VALUE(SUBSTITUTE(MID(_xlfn.TEXTAFTER('Banco de Dados'!$F578,"Order date:
",1),1,10),"-","/"))),0)),ProxyDD[Chave],ProxyDD[Valor por pedido]),PROXY!$P$2),0),0)</f>
        <v>0</v>
      </c>
      <c r="AP578" s="28">
        <f ca="1">IF('Banco de Dados'!$AK578&lt;&gt;"-",IF('Banco de Dados'!$AL578="NÃO",IFERROR(VALUE(SUBSTITUTE(_xlfn.TEXTAFTER('Banco de Dados'!$F578,"BRL ",1),".",",")),0),0),0)</f>
        <v>0</v>
      </c>
      <c r="AQ578" s="28">
        <f ca="1">SUM('Banco de Dados'!$AM578:$AP578)</f>
        <v>0</v>
      </c>
      <c r="AR578" s="8"/>
      <c r="AS578" s="8"/>
      <c r="AY578" s="8"/>
    </row>
    <row r="579" spans="1:51">
      <c r="A579" s="5" t="str">
        <v>BV</v>
      </c>
      <c r="B579" s="5" t="str">
        <f ca="1"/>
        <v>BV45641</v>
      </c>
      <c r="C579" s="8" t="str">
        <v>Pedido 567</v>
      </c>
      <c r="D579" s="9">
        <v>45641</v>
      </c>
      <c r="E579" s="9">
        <v>45641</v>
      </c>
      <c r="F579" s="8" t="str">
        <v>PedidoF554</v>
      </c>
      <c r="G579" s="2" t="str">
        <v>CódRastreio552</v>
      </c>
      <c r="H579" s="5">
        <v>1</v>
      </c>
      <c r="I579" s="182" t="str">
        <v>CPF 550</v>
      </c>
      <c r="J579" s="2" t="str">
        <v>Nome 550</v>
      </c>
      <c r="K579" s="8" t="str">
        <v>Tel 550</v>
      </c>
      <c r="L579" s="8" t="str">
        <v>Cep 550</v>
      </c>
      <c r="M579" s="8" t="str">
        <v>Rua 550</v>
      </c>
      <c r="N579" s="8" t="str">
        <v>Comp 550</v>
      </c>
      <c r="O579" s="8" t="str">
        <v>Ventilador de teto</v>
      </c>
      <c r="P579" s="8" t="str">
        <v>BP-NHG2-B8C1</v>
      </c>
      <c r="Q579" s="4">
        <v>45672</v>
      </c>
      <c r="R579" s="109">
        <v>72.989999999999995</v>
      </c>
      <c r="S579" s="11">
        <f ca="1"/>
        <v>72.989999999999995</v>
      </c>
      <c r="T579" s="28">
        <f ca="1"/>
        <v>9.4886999999999997</v>
      </c>
      <c r="U579" s="11">
        <f ca="1"/>
        <v>63.5</v>
      </c>
      <c r="V579" s="11">
        <v>31.75</v>
      </c>
      <c r="W579" s="11">
        <f ca="1"/>
        <v>0.31</v>
      </c>
      <c r="X579" s="11">
        <f ca="1"/>
        <v>0.39877104377104378</v>
      </c>
      <c r="Y579" s="11">
        <v>0</v>
      </c>
      <c r="Z579" s="11">
        <f ca="1"/>
        <v>31.041228956228956</v>
      </c>
      <c r="AA579" s="11">
        <f ca="1"/>
        <v>15.520614478114478</v>
      </c>
      <c r="AB579" s="4">
        <f ca="1"/>
        <v>45679</v>
      </c>
      <c r="AC579" s="4">
        <v>45679</v>
      </c>
      <c r="AD579" s="9">
        <v>45679</v>
      </c>
      <c r="AE579" s="9">
        <v>45694</v>
      </c>
      <c r="AF579" s="4" t="str">
        <f t="shared" ref="AF579:AF586" ca="1" si="17">_xlfn.CONCAT(PROPER(TEXT(AB579,"aaaa"))," ",PROPER(TEXT(AB579,"mm")))</f>
        <v>2025 01</v>
      </c>
      <c r="AG579" s="8" t="str" cm="1">
        <f t="array" ref="AG579">IFERROR(_xlfn.IFS('Banco de Dados'!#REF!="AG. COMPRA","Em processamento",'Banco de Dados'!#REF!="AG. RASTREIO","Em processamento",'Banco de Dados'!$AE579&lt;&gt;"-","Faturado",'Banco de Dados'!$AD579&lt;&gt;"-","Aguardando Pix",'Banco de Dados'!$AC579&lt;&gt;"-","Pendente"),"Aguardando Liberação")</f>
        <v>Aguardando Liberação</v>
      </c>
      <c r="AH579" s="5" t="str">
        <f>IF('Banco de Dados'!$F579="-",_xlfn.CONCAT(PROPER(TEXT(AK579,"aaaa"))," ",PROPER(TEXT(AK579,"mm"))),_xlfn.CONCAT(PROPER(TEXT(E579,"aaaa"))," ",PROPER(TEXT(E579,"mm"))))</f>
        <v>2024 12</v>
      </c>
      <c r="AI579" s="9" t="str">
        <f ca="1">IF('Banco de Dados'!$AK579&lt;&gt;"-","REEMBOLSO",IFERROR(_xlfn.XLOOKUP(G579,Follow[CODRASTREIO],Follow[STATUS]),"-"))</f>
        <v>ENTREGUE</v>
      </c>
      <c r="AJ579" s="9">
        <f ca="1">IF('Banco de Dados'!$AI579="ENTREGUE",_xlfn.XLOOKUP('Banco de Dados'!$G579,Follow[CODRASTREIO],Follow[DATAATUALIZAÇÃO]),"-")</f>
        <v>45656</v>
      </c>
      <c r="AK579" s="9" t="str">
        <f ca="1"/>
        <v>-</v>
      </c>
      <c r="AL579" s="35"/>
      <c r="AM579" s="109" cm="1">
        <f t="array" aca="1" ref="AM579" ca="1">IF('Banco de Dados'!$AK579&lt;&gt;"-",_xlfn.IFS('Banco de Dados'!$A579="bv",IF('Banco de Dados'!$E579&lt;45641,ROUND(SUM('Banco de Dados'!$R579*_xlfn.XLOOKUP('Banco de Dados'!$P579,Sku!B:B,Sku!#REF!)*20%),2),ROUND(SUM('Banco de Dados'!$R579*_xlfn.XLOOKUP('Banco de Dados'!$P579,Sku!B:B,Sku!H:H)*20%),2)),'Banco de Dados'!$A579="GO",ROUND(_xlfn.XLOOKUP('Banco de Dados'!$P579,Sku!C:C,Sku!H:H),2),'Banco de Dados'!$A579="MEI",ROUND(_xlfn.XLOOKUP('Banco de Dados'!$P579,Sku!D:D,Sku!H:H),2)),0)</f>
        <v>0</v>
      </c>
      <c r="AN579" s="109">
        <f ca="1">IF('Banco de Dados'!$AK579&lt;&gt;"-",IF('Banco de Dados'!$F579&lt;&gt;"-",_xlfn.XLOOKUP(IFERROR(IFERROR(IFERROR(VALUE(SUBSTITUTE(MID(_xlfn.TEXTAFTER('Banco de Dados'!$F579,"Data do Pedido:
",1),1,10),"-","/")),VALUE(SUBSTITUTE(MID(_xlfn.TEXTAFTER('Banco de Dados'!$F579,"Order date:
",1),1,10),"-","/"))),VALUE(SUBSTITUTE(MID(_xlfn.TEXTAFTER('Banco de Dados'!$F579,"Fecha de pedido:
",1),1,10),"-","/"))),"-"),SMS!A:A,SMS!K:K),0),0)</f>
        <v>0</v>
      </c>
      <c r="AO579" s="109">
        <f ca="1">IF('Banco de Dados'!$AK579&lt;&gt;"-",IF('Banco de Dados'!$F579&lt;&gt;"-",IFERROR(_xlfn.XLOOKUP(_xlfn.CONCAT('Banco de Dados'!$A579,IFERROR(IFERROR(VALUE(SUBSTITUTE(MID(_xlfn.TEXTAFTER('Banco de Dados'!$F579,"Data do Pedido:
",1),1,10),"-","/")),VALUE(SUBSTITUTE(MID(_xlfn.TEXTAFTER('Banco de Dados'!$F579,"Order date:
",1),1,10),"-","/"))),0)),ProxyDD[Chave],ProxyDD[Valor por pedido]),PROXY!$P$2),0),0)</f>
        <v>0</v>
      </c>
      <c r="AP579" s="28">
        <f ca="1">IF('Banco de Dados'!$AK579&lt;&gt;"-",IF('Banco de Dados'!$AL579="NÃO",IFERROR(VALUE(SUBSTITUTE(_xlfn.TEXTAFTER('Banco de Dados'!$F579,"BRL ",1),".",",")),0),0),0)</f>
        <v>0</v>
      </c>
      <c r="AQ579" s="28">
        <f ca="1">SUM('Banco de Dados'!$AM579:$AP579)</f>
        <v>0</v>
      </c>
      <c r="AR579" s="8"/>
      <c r="AS579" s="8"/>
      <c r="AY579" s="8"/>
    </row>
    <row r="580" spans="1:51">
      <c r="A580" s="5" t="str">
        <v>BV</v>
      </c>
      <c r="B580" s="5" t="str">
        <f ca="1"/>
        <v>BV45641</v>
      </c>
      <c r="C580" s="8" t="str">
        <v>Pedido 568</v>
      </c>
      <c r="D580" s="9">
        <v>45641</v>
      </c>
      <c r="E580" s="9">
        <v>45641</v>
      </c>
      <c r="F580" s="8" t="str">
        <v>PedidoF555</v>
      </c>
      <c r="G580" s="2" t="str">
        <v>CódRastreio553</v>
      </c>
      <c r="H580" s="5">
        <v>1</v>
      </c>
      <c r="I580" s="182" t="str">
        <v>CPF 551</v>
      </c>
      <c r="J580" s="2" t="str">
        <v>Nome 551</v>
      </c>
      <c r="K580" s="8" t="str">
        <v>Tel 551</v>
      </c>
      <c r="L580" s="8" t="str">
        <v>Cep 551</v>
      </c>
      <c r="M580" s="8" t="str">
        <v>Rua 551</v>
      </c>
      <c r="N580" s="8" t="str">
        <v>Comp 551</v>
      </c>
      <c r="O580" s="8" t="str">
        <v>Ventilador Rosa</v>
      </c>
      <c r="P580" s="8" t="str">
        <v>IF-G2ZQ-79FO</v>
      </c>
      <c r="Q580" s="4">
        <v>45672</v>
      </c>
      <c r="R580" s="109">
        <v>54.8</v>
      </c>
      <c r="S580" s="11">
        <f ca="1"/>
        <v>54.8</v>
      </c>
      <c r="T580" s="28">
        <f ca="1"/>
        <v>7.1239999999999997</v>
      </c>
      <c r="U580" s="11">
        <f ca="1"/>
        <v>47.68</v>
      </c>
      <c r="V580" s="11">
        <v>12.2</v>
      </c>
      <c r="W580" s="11">
        <f ca="1"/>
        <v>0.31</v>
      </c>
      <c r="X580" s="11">
        <f ca="1"/>
        <v>0.39877104377104378</v>
      </c>
      <c r="Y580" s="11">
        <v>0</v>
      </c>
      <c r="Z580" s="11">
        <f ca="1"/>
        <v>34.771228956228953</v>
      </c>
      <c r="AA580" s="11">
        <f ca="1"/>
        <v>17.385614478114476</v>
      </c>
      <c r="AB580" s="4">
        <f ca="1"/>
        <v>45679</v>
      </c>
      <c r="AC580" s="4">
        <v>45679</v>
      </c>
      <c r="AD580" s="9">
        <v>45679</v>
      </c>
      <c r="AE580" s="9">
        <v>45694</v>
      </c>
      <c r="AF580" s="4" t="str">
        <f t="shared" ca="1" si="17"/>
        <v>2025 01</v>
      </c>
      <c r="AG580" s="8" t="str" cm="1">
        <f t="array" ref="AG580">IFERROR(_xlfn.IFS('Banco de Dados'!#REF!="AG. COMPRA","Em processamento",'Banco de Dados'!#REF!="AG. RASTREIO","Em processamento",'Banco de Dados'!$AE580&lt;&gt;"-","Faturado",'Banco de Dados'!$AD580&lt;&gt;"-","Aguardando Pix",'Banco de Dados'!$AC580&lt;&gt;"-","Pendente"),"Aguardando Liberação")</f>
        <v>Aguardando Liberação</v>
      </c>
      <c r="AH580" s="5" t="str">
        <f>IF('Banco de Dados'!$F580="-",_xlfn.CONCAT(PROPER(TEXT(AK580,"aaaa"))," ",PROPER(TEXT(AK580,"mm"))),_xlfn.CONCAT(PROPER(TEXT(E580,"aaaa"))," ",PROPER(TEXT(E580,"mm"))))</f>
        <v>2024 12</v>
      </c>
      <c r="AI580" s="9" t="str">
        <f ca="1">IF('Banco de Dados'!$AK580&lt;&gt;"-","REEMBOLSO",IFERROR(_xlfn.XLOOKUP(G580,Follow[CODRASTREIO],Follow[STATUS]),"-"))</f>
        <v>ENTREGUE</v>
      </c>
      <c r="AJ580" s="9">
        <f ca="1">IF('Banco de Dados'!$AI580="ENTREGUE",_xlfn.XLOOKUP('Banco de Dados'!$G580,Follow[CODRASTREIO],Follow[DATAATUALIZAÇÃO]),"-")</f>
        <v>45660</v>
      </c>
      <c r="AK580" s="9" t="str">
        <f ca="1"/>
        <v>-</v>
      </c>
      <c r="AL580" s="35"/>
      <c r="AM580" s="109" cm="1">
        <f t="array" aca="1" ref="AM580" ca="1">IF('Banco de Dados'!$AK580&lt;&gt;"-",_xlfn.IFS('Banco de Dados'!$A580="bv",IF('Banco de Dados'!$E580&lt;45641,ROUND(SUM('Banco de Dados'!$R580*_xlfn.XLOOKUP('Banco de Dados'!$P580,Sku!B:B,Sku!#REF!)*20%),2),ROUND(SUM('Banco de Dados'!$R580*_xlfn.XLOOKUP('Banco de Dados'!$P580,Sku!B:B,Sku!H:H)*20%),2)),'Banco de Dados'!$A580="GO",ROUND(_xlfn.XLOOKUP('Banco de Dados'!$P580,Sku!C:C,Sku!H:H),2),'Banco de Dados'!$A580="MEI",ROUND(_xlfn.XLOOKUP('Banco de Dados'!$P580,Sku!D:D,Sku!H:H),2)),0)</f>
        <v>0</v>
      </c>
      <c r="AN580" s="109">
        <f ca="1">IF('Banco de Dados'!$AK580&lt;&gt;"-",IF('Banco de Dados'!$F580&lt;&gt;"-",_xlfn.XLOOKUP(IFERROR(IFERROR(IFERROR(VALUE(SUBSTITUTE(MID(_xlfn.TEXTAFTER('Banco de Dados'!$F580,"Data do Pedido:
",1),1,10),"-","/")),VALUE(SUBSTITUTE(MID(_xlfn.TEXTAFTER('Banco de Dados'!$F580,"Order date:
",1),1,10),"-","/"))),VALUE(SUBSTITUTE(MID(_xlfn.TEXTAFTER('Banco de Dados'!$F580,"Fecha de pedido:
",1),1,10),"-","/"))),"-"),SMS!A:A,SMS!K:K),0),0)</f>
        <v>0</v>
      </c>
      <c r="AO580" s="109">
        <f ca="1">IF('Banco de Dados'!$AK580&lt;&gt;"-",IF('Banco de Dados'!$F580&lt;&gt;"-",IFERROR(_xlfn.XLOOKUP(_xlfn.CONCAT('Banco de Dados'!$A580,IFERROR(IFERROR(VALUE(SUBSTITUTE(MID(_xlfn.TEXTAFTER('Banco de Dados'!$F580,"Data do Pedido:
",1),1,10),"-","/")),VALUE(SUBSTITUTE(MID(_xlfn.TEXTAFTER('Banco de Dados'!$F580,"Order date:
",1),1,10),"-","/"))),0)),ProxyDD[Chave],ProxyDD[Valor por pedido]),PROXY!$P$2),0),0)</f>
        <v>0</v>
      </c>
      <c r="AP580" s="28">
        <f ca="1">IF('Banco de Dados'!$AK580&lt;&gt;"-",IF('Banco de Dados'!$AL580="NÃO",IFERROR(VALUE(SUBSTITUTE(_xlfn.TEXTAFTER('Banco de Dados'!$F580,"BRL ",1),".",",")),0),0),0)</f>
        <v>0</v>
      </c>
      <c r="AQ580" s="28">
        <f ca="1">SUM('Banco de Dados'!$AM580:$AP580)</f>
        <v>0</v>
      </c>
      <c r="AR580" s="8"/>
      <c r="AS580" s="8"/>
      <c r="AY580" s="8"/>
    </row>
    <row r="581" spans="1:51">
      <c r="A581" s="5" t="str">
        <v>BV</v>
      </c>
      <c r="B581" s="5" t="str">
        <f ca="1"/>
        <v>BV45641</v>
      </c>
      <c r="C581" s="8" t="str">
        <v>Pedido 569</v>
      </c>
      <c r="D581" s="9">
        <v>45641</v>
      </c>
      <c r="E581" s="9">
        <v>45641</v>
      </c>
      <c r="F581" s="8" t="str">
        <v>PedidoF556</v>
      </c>
      <c r="G581" s="2" t="str">
        <v>CódRastreio554</v>
      </c>
      <c r="H581" s="5">
        <v>1</v>
      </c>
      <c r="I581" s="182" t="str">
        <v>CPF 552</v>
      </c>
      <c r="J581" s="2" t="str">
        <v>Nome 552</v>
      </c>
      <c r="K581" s="8" t="str">
        <v>Tel 552</v>
      </c>
      <c r="L581" s="8" t="str">
        <v>Cep 552</v>
      </c>
      <c r="M581" s="8" t="str">
        <v>Rua 552</v>
      </c>
      <c r="N581" s="8" t="str">
        <v>Comp 552</v>
      </c>
      <c r="O581" s="8" t="str">
        <v>Copo Termico</v>
      </c>
      <c r="P581" s="8" t="str">
        <v>KN-TBQL-K2MM</v>
      </c>
      <c r="Q581" s="4">
        <v>45666</v>
      </c>
      <c r="R581" s="109">
        <v>32.9</v>
      </c>
      <c r="S581" s="11">
        <f ca="1"/>
        <v>32.9</v>
      </c>
      <c r="T581" s="28">
        <f ca="1"/>
        <v>4.2770000000000001</v>
      </c>
      <c r="U581" s="11">
        <f ca="1"/>
        <v>28.62</v>
      </c>
      <c r="V581" s="11">
        <v>11.2</v>
      </c>
      <c r="W581" s="11">
        <f ca="1"/>
        <v>0.31</v>
      </c>
      <c r="X581" s="11">
        <f ca="1"/>
        <v>0.39877104377104378</v>
      </c>
      <c r="Y581" s="11">
        <v>0</v>
      </c>
      <c r="Z581" s="11">
        <f ca="1"/>
        <v>16.711228956228958</v>
      </c>
      <c r="AA581" s="11">
        <f ca="1"/>
        <v>8.3556144781144788</v>
      </c>
      <c r="AB581" s="4">
        <f ca="1"/>
        <v>45673</v>
      </c>
      <c r="AC581" s="4">
        <v>45673</v>
      </c>
      <c r="AD581" s="9">
        <v>45674</v>
      </c>
      <c r="AE581" s="9">
        <v>45694</v>
      </c>
      <c r="AF581" s="4" t="str">
        <f t="shared" ca="1" si="17"/>
        <v>2025 01</v>
      </c>
      <c r="AG581" s="8" t="str" cm="1">
        <f t="array" ref="AG581">IFERROR(_xlfn.IFS('Banco de Dados'!#REF!="AG. COMPRA","Em processamento",'Banco de Dados'!#REF!="AG. RASTREIO","Em processamento",'Banco de Dados'!$AE581&lt;&gt;"-","Faturado",'Banco de Dados'!$AD581&lt;&gt;"-","Aguardando Pix",'Banco de Dados'!$AC581&lt;&gt;"-","Pendente"),"Aguardando Liberação")</f>
        <v>Aguardando Liberação</v>
      </c>
      <c r="AH581" s="5" t="str">
        <f>IF('Banco de Dados'!$F581="-",_xlfn.CONCAT(PROPER(TEXT(AK581,"aaaa"))," ",PROPER(TEXT(AK581,"mm"))),_xlfn.CONCAT(PROPER(TEXT(E581,"aaaa"))," ",PROPER(TEXT(E581,"mm"))))</f>
        <v>2024 12</v>
      </c>
      <c r="AI581" s="9" t="str">
        <f ca="1">IF('Banco de Dados'!$AK581&lt;&gt;"-","REEMBOLSO",IFERROR(_xlfn.XLOOKUP(G581,Follow[CODRASTREIO],Follow[STATUS]),"-"))</f>
        <v>ENTREGUE</v>
      </c>
      <c r="AJ581" s="9">
        <f ca="1">IF('Banco de Dados'!$AI581="ENTREGUE",_xlfn.XLOOKUP('Banco de Dados'!$G581,Follow[CODRASTREIO],Follow[DATAATUALIZAÇÃO]),"-")</f>
        <v>45645</v>
      </c>
      <c r="AK581" s="9" t="str">
        <f ca="1"/>
        <v>-</v>
      </c>
      <c r="AL581" s="35"/>
      <c r="AM581" s="109" cm="1">
        <f t="array" aca="1" ref="AM581" ca="1">IF('Banco de Dados'!$AK581&lt;&gt;"-",_xlfn.IFS('Banco de Dados'!$A581="bv",IF('Banco de Dados'!$E581&lt;45641,ROUND(SUM('Banco de Dados'!$R581*_xlfn.XLOOKUP('Banco de Dados'!$P581,Sku!B:B,Sku!#REF!)*20%),2),ROUND(SUM('Banco de Dados'!$R581*_xlfn.XLOOKUP('Banco de Dados'!$P581,Sku!B:B,Sku!H:H)*20%),2)),'Banco de Dados'!$A581="GO",ROUND(_xlfn.XLOOKUP('Banco de Dados'!$P581,Sku!C:C,Sku!H:H),2),'Banco de Dados'!$A581="MEI",ROUND(_xlfn.XLOOKUP('Banco de Dados'!$P581,Sku!D:D,Sku!H:H),2)),0)</f>
        <v>0</v>
      </c>
      <c r="AN581" s="109">
        <f ca="1">IF('Banco de Dados'!$AK581&lt;&gt;"-",IF('Banco de Dados'!$F581&lt;&gt;"-",_xlfn.XLOOKUP(IFERROR(IFERROR(IFERROR(VALUE(SUBSTITUTE(MID(_xlfn.TEXTAFTER('Banco de Dados'!$F581,"Data do Pedido:
",1),1,10),"-","/")),VALUE(SUBSTITUTE(MID(_xlfn.TEXTAFTER('Banco de Dados'!$F581,"Order date:
",1),1,10),"-","/"))),VALUE(SUBSTITUTE(MID(_xlfn.TEXTAFTER('Banco de Dados'!$F581,"Fecha de pedido:
",1),1,10),"-","/"))),"-"),SMS!A:A,SMS!K:K),0),0)</f>
        <v>0</v>
      </c>
      <c r="AO581" s="109">
        <f ca="1">IF('Banco de Dados'!$AK581&lt;&gt;"-",IF('Banco de Dados'!$F581&lt;&gt;"-",IFERROR(_xlfn.XLOOKUP(_xlfn.CONCAT('Banco de Dados'!$A581,IFERROR(IFERROR(VALUE(SUBSTITUTE(MID(_xlfn.TEXTAFTER('Banco de Dados'!$F581,"Data do Pedido:
",1),1,10),"-","/")),VALUE(SUBSTITUTE(MID(_xlfn.TEXTAFTER('Banco de Dados'!$F581,"Order date:
",1),1,10),"-","/"))),0)),ProxyDD[Chave],ProxyDD[Valor por pedido]),PROXY!$P$2),0),0)</f>
        <v>0</v>
      </c>
      <c r="AP581" s="28">
        <f ca="1">IF('Banco de Dados'!$AK581&lt;&gt;"-",IF('Banco de Dados'!$AL581="NÃO",IFERROR(VALUE(SUBSTITUTE(_xlfn.TEXTAFTER('Banco de Dados'!$F581,"BRL ",1),".",",")),0),0),0)</f>
        <v>0</v>
      </c>
      <c r="AQ581" s="28">
        <f ca="1">SUM('Banco de Dados'!$AM581:$AP581)</f>
        <v>0</v>
      </c>
      <c r="AR581" s="8"/>
      <c r="AS581" s="8"/>
      <c r="AY581" s="8"/>
    </row>
    <row r="582" spans="1:51">
      <c r="A582" s="5" t="str">
        <v>BV</v>
      </c>
      <c r="B582" s="5" t="str">
        <f ca="1"/>
        <v>BV45641</v>
      </c>
      <c r="C582" s="8" t="str">
        <v>Pedido 570</v>
      </c>
      <c r="D582" s="9">
        <v>45641</v>
      </c>
      <c r="E582" s="9">
        <v>45641</v>
      </c>
      <c r="F582" s="8" t="str">
        <v>PedidoF557</v>
      </c>
      <c r="G582" s="2" t="str">
        <v>CódRastreio555</v>
      </c>
      <c r="H582" s="5">
        <v>1</v>
      </c>
      <c r="I582" s="182" t="str">
        <v>CPF 553</v>
      </c>
      <c r="J582" s="2" t="str">
        <v>Nome 553</v>
      </c>
      <c r="K582" s="8" t="str">
        <v>Tel 553</v>
      </c>
      <c r="L582" s="8" t="str">
        <v>Cep 553</v>
      </c>
      <c r="M582" s="8" t="str">
        <v>Rua 553</v>
      </c>
      <c r="N582" s="8" t="str">
        <v>Comp 553</v>
      </c>
      <c r="O582" s="8" t="str">
        <v>Ventilador Azul</v>
      </c>
      <c r="P582" s="8" t="str">
        <v>U8-2VWS-OB6M</v>
      </c>
      <c r="Q582" s="4">
        <v>45666</v>
      </c>
      <c r="R582" s="109">
        <v>65.599999999999994</v>
      </c>
      <c r="S582" s="11">
        <f ca="1"/>
        <v>65.599999999999994</v>
      </c>
      <c r="T582" s="28">
        <f ca="1"/>
        <v>8.5279999999999987</v>
      </c>
      <c r="U582" s="11">
        <f ca="1"/>
        <v>57.07</v>
      </c>
      <c r="V582" s="11">
        <v>17.350000000000001</v>
      </c>
      <c r="W582" s="11">
        <f ca="1"/>
        <v>0.31</v>
      </c>
      <c r="X582" s="11">
        <f ca="1"/>
        <v>0.39877104377104378</v>
      </c>
      <c r="Y582" s="11">
        <v>0</v>
      </c>
      <c r="Z582" s="11">
        <f ca="1"/>
        <v>39.011228956228955</v>
      </c>
      <c r="AA582" s="11">
        <f ca="1"/>
        <v>19.505614478114477</v>
      </c>
      <c r="AB582" s="4">
        <f ca="1"/>
        <v>45673</v>
      </c>
      <c r="AC582" s="4">
        <v>45673</v>
      </c>
      <c r="AD582" s="9">
        <v>45674</v>
      </c>
      <c r="AE582" s="9">
        <v>45694</v>
      </c>
      <c r="AF582" s="4" t="str">
        <f t="shared" ca="1" si="17"/>
        <v>2025 01</v>
      </c>
      <c r="AG582" s="8" t="str" cm="1">
        <f t="array" ref="AG582">IFERROR(_xlfn.IFS('Banco de Dados'!#REF!="AG. COMPRA","Em processamento",'Banco de Dados'!#REF!="AG. RASTREIO","Em processamento",'Banco de Dados'!$AE582&lt;&gt;"-","Faturado",'Banco de Dados'!$AD582&lt;&gt;"-","Aguardando Pix",'Banco de Dados'!$AC582&lt;&gt;"-","Pendente"),"Aguardando Liberação")</f>
        <v>Aguardando Liberação</v>
      </c>
      <c r="AH582" s="5" t="str">
        <f>IF('Banco de Dados'!$F582="-",_xlfn.CONCAT(PROPER(TEXT(AK582,"aaaa"))," ",PROPER(TEXT(AK582,"mm"))),_xlfn.CONCAT(PROPER(TEXT(E582,"aaaa"))," ",PROPER(TEXT(E582,"mm"))))</f>
        <v>2024 12</v>
      </c>
      <c r="AI582" s="9" t="str">
        <f ca="1">IF('Banco de Dados'!$AK582&lt;&gt;"-","REEMBOLSO",IFERROR(_xlfn.XLOOKUP(G582,Follow[CODRASTREIO],Follow[STATUS]),"-"))</f>
        <v>ENTREGUE</v>
      </c>
      <c r="AJ582" s="9">
        <f ca="1">IF('Banco de Dados'!$AI582="ENTREGUE",_xlfn.XLOOKUP('Banco de Dados'!$G582,Follow[CODRASTREIO],Follow[DATAATUALIZAÇÃO]),"-")</f>
        <v>45653</v>
      </c>
      <c r="AK582" s="9" t="str">
        <f ca="1"/>
        <v>-</v>
      </c>
      <c r="AL582" s="35"/>
      <c r="AM582" s="109" cm="1">
        <f t="array" aca="1" ref="AM582" ca="1">IF('Banco de Dados'!$AK582&lt;&gt;"-",_xlfn.IFS('Banco de Dados'!$A582="bv",IF('Banco de Dados'!$E582&lt;45641,ROUND(SUM('Banco de Dados'!$R582*_xlfn.XLOOKUP('Banco de Dados'!$P582,Sku!B:B,Sku!#REF!)*20%),2),ROUND(SUM('Banco de Dados'!$R582*_xlfn.XLOOKUP('Banco de Dados'!$P582,Sku!B:B,Sku!H:H)*20%),2)),'Banco de Dados'!$A582="GO",ROUND(_xlfn.XLOOKUP('Banco de Dados'!$P582,Sku!C:C,Sku!H:H),2),'Banco de Dados'!$A582="MEI",ROUND(_xlfn.XLOOKUP('Banco de Dados'!$P582,Sku!D:D,Sku!H:H),2)),0)</f>
        <v>0</v>
      </c>
      <c r="AN582" s="109">
        <f ca="1">IF('Banco de Dados'!$AK582&lt;&gt;"-",IF('Banco de Dados'!$F582&lt;&gt;"-",_xlfn.XLOOKUP(IFERROR(IFERROR(IFERROR(VALUE(SUBSTITUTE(MID(_xlfn.TEXTAFTER('Banco de Dados'!$F582,"Data do Pedido:
",1),1,10),"-","/")),VALUE(SUBSTITUTE(MID(_xlfn.TEXTAFTER('Banco de Dados'!$F582,"Order date:
",1),1,10),"-","/"))),VALUE(SUBSTITUTE(MID(_xlfn.TEXTAFTER('Banco de Dados'!$F582,"Fecha de pedido:
",1),1,10),"-","/"))),"-"),SMS!A:A,SMS!K:K),0),0)</f>
        <v>0</v>
      </c>
      <c r="AO582" s="109">
        <f ca="1">IF('Banco de Dados'!$AK582&lt;&gt;"-",IF('Banco de Dados'!$F582&lt;&gt;"-",IFERROR(_xlfn.XLOOKUP(_xlfn.CONCAT('Banco de Dados'!$A582,IFERROR(IFERROR(VALUE(SUBSTITUTE(MID(_xlfn.TEXTAFTER('Banco de Dados'!$F582,"Data do Pedido:
",1),1,10),"-","/")),VALUE(SUBSTITUTE(MID(_xlfn.TEXTAFTER('Banco de Dados'!$F582,"Order date:
",1),1,10),"-","/"))),0)),ProxyDD[Chave],ProxyDD[Valor por pedido]),PROXY!$P$2),0),0)</f>
        <v>0</v>
      </c>
      <c r="AP582" s="28">
        <f ca="1">IF('Banco de Dados'!$AK582&lt;&gt;"-",IF('Banco de Dados'!$AL582="NÃO",IFERROR(VALUE(SUBSTITUTE(_xlfn.TEXTAFTER('Banco de Dados'!$F582,"BRL ",1),".",",")),0),0),0)</f>
        <v>0</v>
      </c>
      <c r="AQ582" s="28">
        <f ca="1">SUM('Banco de Dados'!$AM582:$AP582)</f>
        <v>0</v>
      </c>
      <c r="AR582" s="8"/>
      <c r="AS582" s="8"/>
      <c r="AY582" s="8"/>
    </row>
    <row r="583" spans="1:51">
      <c r="A583" s="5" t="str">
        <v>BV</v>
      </c>
      <c r="B583" s="5" t="str">
        <f ca="1"/>
        <v>BV45641</v>
      </c>
      <c r="C583" s="8" t="str">
        <v>Pedido 571</v>
      </c>
      <c r="D583" s="9">
        <v>45641</v>
      </c>
      <c r="E583" s="9">
        <v>45641</v>
      </c>
      <c r="F583" s="8" t="str">
        <v>PedidoF558</v>
      </c>
      <c r="G583" s="2" t="str">
        <v>CódRastreio556</v>
      </c>
      <c r="H583" s="5">
        <v>1</v>
      </c>
      <c r="I583" s="182" t="str">
        <v>CPF 554</v>
      </c>
      <c r="J583" s="2" t="str">
        <v>Nome 554</v>
      </c>
      <c r="K583" s="8" t="str">
        <v>Tel 554</v>
      </c>
      <c r="L583" s="8" t="str">
        <v>Cep 554</v>
      </c>
      <c r="M583" s="8" t="str">
        <v>Rua 554</v>
      </c>
      <c r="N583" s="8" t="str">
        <v>Comp 554</v>
      </c>
      <c r="O583" s="8" t="str">
        <v>Garrafa Termica</v>
      </c>
      <c r="P583" s="8" t="str">
        <v>FM-QQ8Y-RZT4</v>
      </c>
      <c r="Q583" s="4">
        <v>45666</v>
      </c>
      <c r="R583" s="109">
        <v>34.9</v>
      </c>
      <c r="S583" s="11">
        <f ca="1"/>
        <v>34.9</v>
      </c>
      <c r="T583" s="28">
        <f ca="1"/>
        <v>4.5369999999999999</v>
      </c>
      <c r="U583" s="11">
        <f ca="1"/>
        <v>30.36</v>
      </c>
      <c r="V583" s="11">
        <v>13</v>
      </c>
      <c r="W583" s="11">
        <f ca="1"/>
        <v>0.31</v>
      </c>
      <c r="X583" s="11">
        <f ca="1"/>
        <v>0.39877104377104378</v>
      </c>
      <c r="Y583" s="11">
        <v>0</v>
      </c>
      <c r="Z583" s="11">
        <f ca="1"/>
        <v>16.651228956228955</v>
      </c>
      <c r="AA583" s="11">
        <f ca="1"/>
        <v>8.3256144781144776</v>
      </c>
      <c r="AB583" s="4">
        <f ca="1"/>
        <v>45673</v>
      </c>
      <c r="AC583" s="4">
        <v>45673</v>
      </c>
      <c r="AD583" s="9">
        <v>45674</v>
      </c>
      <c r="AE583" s="9">
        <v>45694</v>
      </c>
      <c r="AF583" s="4" t="str">
        <f t="shared" ca="1" si="17"/>
        <v>2025 01</v>
      </c>
      <c r="AG583" s="8" t="str" cm="1">
        <f t="array" ref="AG583">IFERROR(_xlfn.IFS('Banco de Dados'!#REF!="AG. COMPRA","Em processamento",'Banco de Dados'!#REF!="AG. RASTREIO","Em processamento",'Banco de Dados'!$AE583&lt;&gt;"-","Faturado",'Banco de Dados'!$AD583&lt;&gt;"-","Aguardando Pix",'Banco de Dados'!$AC583&lt;&gt;"-","Pendente"),"Aguardando Liberação")</f>
        <v>Aguardando Liberação</v>
      </c>
      <c r="AH583" s="5" t="str">
        <f>IF('Banco de Dados'!$F583="-",_xlfn.CONCAT(PROPER(TEXT(AK583,"aaaa"))," ",PROPER(TEXT(AK583,"mm"))),_xlfn.CONCAT(PROPER(TEXT(E583,"aaaa"))," ",PROPER(TEXT(E583,"mm"))))</f>
        <v>2024 12</v>
      </c>
      <c r="AI583" s="9" t="str">
        <f ca="1">IF('Banco de Dados'!$AK583&lt;&gt;"-","REEMBOLSO",IFERROR(_xlfn.XLOOKUP(G583,Follow[CODRASTREIO],Follow[STATUS]),"-"))</f>
        <v>ENTREGUE</v>
      </c>
      <c r="AJ583" s="9">
        <f ca="1">IF('Banco de Dados'!$AI583="ENTREGUE",_xlfn.XLOOKUP('Banco de Dados'!$G583,Follow[CODRASTREIO],Follow[DATAATUALIZAÇÃO]),"-")</f>
        <v>45645</v>
      </c>
      <c r="AK583" s="9" t="str">
        <f ca="1"/>
        <v>-</v>
      </c>
      <c r="AL583" s="35"/>
      <c r="AM583" s="109" cm="1">
        <f t="array" aca="1" ref="AM583" ca="1">IF('Banco de Dados'!$AK583&lt;&gt;"-",_xlfn.IFS('Banco de Dados'!$A583="bv",IF('Banco de Dados'!$E583&lt;45641,ROUND(SUM('Banco de Dados'!$R583*_xlfn.XLOOKUP('Banco de Dados'!$P583,Sku!B:B,Sku!#REF!)*20%),2),ROUND(SUM('Banco de Dados'!$R583*_xlfn.XLOOKUP('Banco de Dados'!$P583,Sku!B:B,Sku!H:H)*20%),2)),'Banco de Dados'!$A583="GO",ROUND(_xlfn.XLOOKUP('Banco de Dados'!$P583,Sku!C:C,Sku!H:H),2),'Banco de Dados'!$A583="MEI",ROUND(_xlfn.XLOOKUP('Banco de Dados'!$P583,Sku!D:D,Sku!H:H),2)),0)</f>
        <v>0</v>
      </c>
      <c r="AN583" s="109">
        <f ca="1">IF('Banco de Dados'!$AK583&lt;&gt;"-",IF('Banco de Dados'!$F583&lt;&gt;"-",_xlfn.XLOOKUP(IFERROR(IFERROR(IFERROR(VALUE(SUBSTITUTE(MID(_xlfn.TEXTAFTER('Banco de Dados'!$F583,"Data do Pedido:
",1),1,10),"-","/")),VALUE(SUBSTITUTE(MID(_xlfn.TEXTAFTER('Banco de Dados'!$F583,"Order date:
",1),1,10),"-","/"))),VALUE(SUBSTITUTE(MID(_xlfn.TEXTAFTER('Banco de Dados'!$F583,"Fecha de pedido:
",1),1,10),"-","/"))),"-"),SMS!A:A,SMS!K:K),0),0)</f>
        <v>0</v>
      </c>
      <c r="AO583" s="109">
        <f ca="1">IF('Banco de Dados'!$AK583&lt;&gt;"-",IF('Banco de Dados'!$F583&lt;&gt;"-",IFERROR(_xlfn.XLOOKUP(_xlfn.CONCAT('Banco de Dados'!$A583,IFERROR(IFERROR(VALUE(SUBSTITUTE(MID(_xlfn.TEXTAFTER('Banco de Dados'!$F583,"Data do Pedido:
",1),1,10),"-","/")),VALUE(SUBSTITUTE(MID(_xlfn.TEXTAFTER('Banco de Dados'!$F583,"Order date:
",1),1,10),"-","/"))),0)),ProxyDD[Chave],ProxyDD[Valor por pedido]),PROXY!$P$2),0),0)</f>
        <v>0</v>
      </c>
      <c r="AP583" s="28">
        <f ca="1">IF('Banco de Dados'!$AK583&lt;&gt;"-",IF('Banco de Dados'!$AL583="NÃO",IFERROR(VALUE(SUBSTITUTE(_xlfn.TEXTAFTER('Banco de Dados'!$F583,"BRL ",1),".",",")),0),0),0)</f>
        <v>0</v>
      </c>
      <c r="AQ583" s="28">
        <f ca="1">SUM('Banco de Dados'!$AM583:$AP583)</f>
        <v>0</v>
      </c>
      <c r="AR583" s="8"/>
      <c r="AS583" s="8"/>
      <c r="AY583" s="8"/>
    </row>
    <row r="584" spans="1:51">
      <c r="A584" s="5" t="str">
        <v>BV</v>
      </c>
      <c r="B584" s="5" t="str">
        <f ca="1"/>
        <v>BV45641</v>
      </c>
      <c r="C584" s="8" t="str">
        <v>Pedido 572</v>
      </c>
      <c r="D584" s="9">
        <v>45641</v>
      </c>
      <c r="E584" s="9">
        <v>45641</v>
      </c>
      <c r="F584" s="8" t="str">
        <v>PedidoF559</v>
      </c>
      <c r="G584" s="2" t="str">
        <v>CódRastreio557</v>
      </c>
      <c r="H584" s="5">
        <v>1</v>
      </c>
      <c r="I584" s="182" t="str">
        <v>CPF 555</v>
      </c>
      <c r="J584" s="2" t="str">
        <v>Nome 555</v>
      </c>
      <c r="K584" s="8" t="str">
        <v>Tel 555</v>
      </c>
      <c r="L584" s="8" t="str">
        <v>Cep 555</v>
      </c>
      <c r="M584" s="8" t="str">
        <v>Rua 555</v>
      </c>
      <c r="N584" s="8" t="str">
        <v>Comp 555</v>
      </c>
      <c r="O584" s="8" t="str">
        <v>Mini Liquidificador</v>
      </c>
      <c r="P584" s="8" t="str">
        <v>CK-YL6M-P5Y6</v>
      </c>
      <c r="Q584" s="4">
        <v>45664</v>
      </c>
      <c r="R584" s="109">
        <v>33.9</v>
      </c>
      <c r="S584" s="11">
        <f ca="1"/>
        <v>33.9</v>
      </c>
      <c r="T584" s="28">
        <f ca="1"/>
        <v>4.407</v>
      </c>
      <c r="U584" s="11">
        <f ca="1"/>
        <v>29.49</v>
      </c>
      <c r="V584" s="11">
        <v>13.9</v>
      </c>
      <c r="W584" s="11">
        <f ca="1"/>
        <v>0.31</v>
      </c>
      <c r="X584" s="11">
        <f ca="1"/>
        <v>0.39877104377104378</v>
      </c>
      <c r="Y584" s="11">
        <v>0</v>
      </c>
      <c r="Z584" s="11">
        <f ca="1"/>
        <v>14.881228956228954</v>
      </c>
      <c r="AA584" s="11">
        <f ca="1"/>
        <v>7.440614478114477</v>
      </c>
      <c r="AB584" s="4">
        <f ca="1"/>
        <v>45671</v>
      </c>
      <c r="AC584" s="4">
        <v>45671</v>
      </c>
      <c r="AD584" s="9">
        <v>45673</v>
      </c>
      <c r="AE584" s="9">
        <v>45673</v>
      </c>
      <c r="AF584" s="4" t="str">
        <f t="shared" ca="1" si="17"/>
        <v>2025 01</v>
      </c>
      <c r="AG584" s="8" t="str" cm="1">
        <f t="array" ref="AG584">IFERROR(_xlfn.IFS('Banco de Dados'!#REF!="AG. COMPRA","Em processamento",'Banco de Dados'!#REF!="AG. RASTREIO","Em processamento",'Banco de Dados'!$AE584&lt;&gt;"-","Faturado",'Banco de Dados'!$AD584&lt;&gt;"-","Aguardando Pix",'Banco de Dados'!$AC584&lt;&gt;"-","Pendente"),"Aguardando Liberação")</f>
        <v>Aguardando Liberação</v>
      </c>
      <c r="AH584" s="5" t="str">
        <f>IF('Banco de Dados'!$F584="-",_xlfn.CONCAT(PROPER(TEXT(AK584,"aaaa"))," ",PROPER(TEXT(AK584,"mm"))),_xlfn.CONCAT(PROPER(TEXT(E584,"aaaa"))," ",PROPER(TEXT(E584,"mm"))))</f>
        <v>2024 12</v>
      </c>
      <c r="AI584" s="9" t="str">
        <f ca="1">IF('Banco de Dados'!$AK584&lt;&gt;"-","REEMBOLSO",IFERROR(_xlfn.XLOOKUP(G584,Follow[CODRASTREIO],Follow[STATUS]),"-"))</f>
        <v>ENTREGUE</v>
      </c>
      <c r="AJ584" s="9">
        <f ca="1">IF('Banco de Dados'!$AI584="ENTREGUE",_xlfn.XLOOKUP('Banco de Dados'!$G584,Follow[CODRASTREIO],Follow[DATAATUALIZAÇÃO]),"-")</f>
        <v>45667</v>
      </c>
      <c r="AK584" s="9" t="str">
        <f ca="1"/>
        <v>-</v>
      </c>
      <c r="AL584" s="35"/>
      <c r="AM584" s="109" cm="1">
        <f t="array" aca="1" ref="AM584" ca="1">IF('Banco de Dados'!$AK584&lt;&gt;"-",_xlfn.IFS('Banco de Dados'!$A584="bv",IF('Banco de Dados'!$E584&lt;45641,ROUND(SUM('Banco de Dados'!$R584*_xlfn.XLOOKUP('Banco de Dados'!$P584,Sku!B:B,Sku!#REF!)*20%),2),ROUND(SUM('Banco de Dados'!$R584*_xlfn.XLOOKUP('Banco de Dados'!$P584,Sku!B:B,Sku!H:H)*20%),2)),'Banco de Dados'!$A584="GO",ROUND(_xlfn.XLOOKUP('Banco de Dados'!$P584,Sku!C:C,Sku!H:H),2),'Banco de Dados'!$A584="MEI",ROUND(_xlfn.XLOOKUP('Banco de Dados'!$P584,Sku!D:D,Sku!H:H),2)),0)</f>
        <v>0</v>
      </c>
      <c r="AN584" s="109">
        <f ca="1">IF('Banco de Dados'!$AK584&lt;&gt;"-",IF('Banco de Dados'!$F584&lt;&gt;"-",_xlfn.XLOOKUP(IFERROR(IFERROR(IFERROR(VALUE(SUBSTITUTE(MID(_xlfn.TEXTAFTER('Banco de Dados'!$F584,"Data do Pedido:
",1),1,10),"-","/")),VALUE(SUBSTITUTE(MID(_xlfn.TEXTAFTER('Banco de Dados'!$F584,"Order date:
",1),1,10),"-","/"))),VALUE(SUBSTITUTE(MID(_xlfn.TEXTAFTER('Banco de Dados'!$F584,"Fecha de pedido:
",1),1,10),"-","/"))),"-"),SMS!A:A,SMS!K:K),0),0)</f>
        <v>0</v>
      </c>
      <c r="AO584" s="109">
        <f ca="1">IF('Banco de Dados'!$AK584&lt;&gt;"-",IF('Banco de Dados'!$F584&lt;&gt;"-",IFERROR(_xlfn.XLOOKUP(_xlfn.CONCAT('Banco de Dados'!$A584,IFERROR(IFERROR(VALUE(SUBSTITUTE(MID(_xlfn.TEXTAFTER('Banco de Dados'!$F584,"Data do Pedido:
",1),1,10),"-","/")),VALUE(SUBSTITUTE(MID(_xlfn.TEXTAFTER('Banco de Dados'!$F584,"Order date:
",1),1,10),"-","/"))),0)),ProxyDD[Chave],ProxyDD[Valor por pedido]),PROXY!$P$2),0),0)</f>
        <v>0</v>
      </c>
      <c r="AP584" s="28">
        <f ca="1">IF('Banco de Dados'!$AK584&lt;&gt;"-",IF('Banco de Dados'!$AL584="NÃO",IFERROR(VALUE(SUBSTITUTE(_xlfn.TEXTAFTER('Banco de Dados'!$F584,"BRL ",1),".",",")),0),0),0)</f>
        <v>0</v>
      </c>
      <c r="AQ584" s="28">
        <f ca="1">SUM('Banco de Dados'!$AM584:$AP584)</f>
        <v>0</v>
      </c>
      <c r="AR584" s="8"/>
      <c r="AS584" s="8"/>
      <c r="AY584" s="8"/>
    </row>
    <row r="585" spans="1:51">
      <c r="A585" s="5" t="str">
        <v>BV</v>
      </c>
      <c r="B585" s="5" t="str">
        <f ca="1"/>
        <v>BV45641</v>
      </c>
      <c r="C585" s="8" t="str">
        <v>Pedido 573</v>
      </c>
      <c r="D585" s="9">
        <v>45641</v>
      </c>
      <c r="E585" s="9">
        <v>45641</v>
      </c>
      <c r="F585" s="8" t="str">
        <v>PedidoF560</v>
      </c>
      <c r="G585" s="2" t="str">
        <v>CódRastreio558</v>
      </c>
      <c r="H585" s="5">
        <v>1</v>
      </c>
      <c r="I585" s="182" t="str">
        <v>CPF 556</v>
      </c>
      <c r="J585" s="2" t="str">
        <v>Nome 556</v>
      </c>
      <c r="K585" s="8" t="str">
        <v>Tel 556</v>
      </c>
      <c r="L585" s="8" t="str">
        <v>Cep 556</v>
      </c>
      <c r="M585" s="8" t="str">
        <v>Rua 556</v>
      </c>
      <c r="N585" s="8" t="str">
        <v>Comp 556</v>
      </c>
      <c r="O585" s="8" t="str">
        <v>Ventilador Rosa</v>
      </c>
      <c r="P585" s="8" t="str">
        <v>IF-G2ZQ-79FO</v>
      </c>
      <c r="Q585" s="4">
        <v>45672</v>
      </c>
      <c r="R585" s="109">
        <v>54.8</v>
      </c>
      <c r="S585" s="11">
        <f ca="1"/>
        <v>54.8</v>
      </c>
      <c r="T585" s="28">
        <f ca="1"/>
        <v>7.1239999999999997</v>
      </c>
      <c r="U585" s="11">
        <f ca="1"/>
        <v>47.68</v>
      </c>
      <c r="V585" s="11">
        <v>12.2</v>
      </c>
      <c r="W585" s="11">
        <f ca="1"/>
        <v>0.31</v>
      </c>
      <c r="X585" s="11">
        <f ca="1"/>
        <v>0.39877104377104378</v>
      </c>
      <c r="Y585" s="11">
        <v>0</v>
      </c>
      <c r="Z585" s="11">
        <f ca="1"/>
        <v>34.771228956228953</v>
      </c>
      <c r="AA585" s="11">
        <f ca="1"/>
        <v>17.385614478114476</v>
      </c>
      <c r="AB585" s="4">
        <f ca="1"/>
        <v>45679</v>
      </c>
      <c r="AC585" s="4">
        <v>45679</v>
      </c>
      <c r="AD585" s="9">
        <v>45679</v>
      </c>
      <c r="AE585" s="9">
        <v>45694</v>
      </c>
      <c r="AF585" s="4" t="str">
        <f t="shared" ca="1" si="17"/>
        <v>2025 01</v>
      </c>
      <c r="AG585" s="8" t="str" cm="1">
        <f t="array" ref="AG585">IFERROR(_xlfn.IFS('Banco de Dados'!#REF!="AG. COMPRA","Em processamento",'Banco de Dados'!#REF!="AG. RASTREIO","Em processamento",'Banco de Dados'!$AE585&lt;&gt;"-","Faturado",'Banco de Dados'!$AD585&lt;&gt;"-","Aguardando Pix",'Banco de Dados'!$AC585&lt;&gt;"-","Pendente"),"Aguardando Liberação")</f>
        <v>Aguardando Liberação</v>
      </c>
      <c r="AH585" s="5" t="str">
        <f>IF('Banco de Dados'!$F585="-",_xlfn.CONCAT(PROPER(TEXT(AK585,"aaaa"))," ",PROPER(TEXT(AK585,"mm"))),_xlfn.CONCAT(PROPER(TEXT(E585,"aaaa"))," ",PROPER(TEXT(E585,"mm"))))</f>
        <v>2024 12</v>
      </c>
      <c r="AI585" s="9" t="str">
        <f ca="1">IF('Banco de Dados'!$AK585&lt;&gt;"-","REEMBOLSO",IFERROR(_xlfn.XLOOKUP(G585,Follow[CODRASTREIO],Follow[STATUS]),"-"))</f>
        <v>ENTREGUE</v>
      </c>
      <c r="AJ585" s="9">
        <f ca="1">IF('Banco de Dados'!$AI585="ENTREGUE",_xlfn.XLOOKUP('Banco de Dados'!$G585,Follow[CODRASTREIO],Follow[DATAATUALIZAÇÃO]),"-")</f>
        <v>45665</v>
      </c>
      <c r="AK585" s="9" t="str">
        <f ca="1"/>
        <v>-</v>
      </c>
      <c r="AL585" s="35"/>
      <c r="AM585" s="109" cm="1">
        <f t="array" aca="1" ref="AM585" ca="1">IF('Banco de Dados'!$AK585&lt;&gt;"-",_xlfn.IFS('Banco de Dados'!$A585="bv",IF('Banco de Dados'!$E585&lt;45641,ROUND(SUM('Banco de Dados'!$R585*_xlfn.XLOOKUP('Banco de Dados'!$P585,Sku!B:B,Sku!#REF!)*20%),2),ROUND(SUM('Banco de Dados'!$R585*_xlfn.XLOOKUP('Banco de Dados'!$P585,Sku!B:B,Sku!H:H)*20%),2)),'Banco de Dados'!$A585="GO",ROUND(_xlfn.XLOOKUP('Banco de Dados'!$P585,Sku!C:C,Sku!H:H),2),'Banco de Dados'!$A585="MEI",ROUND(_xlfn.XLOOKUP('Banco de Dados'!$P585,Sku!D:D,Sku!H:H),2)),0)</f>
        <v>0</v>
      </c>
      <c r="AN585" s="109">
        <f ca="1">IF('Banco de Dados'!$AK585&lt;&gt;"-",IF('Banco de Dados'!$F585&lt;&gt;"-",_xlfn.XLOOKUP(IFERROR(IFERROR(IFERROR(VALUE(SUBSTITUTE(MID(_xlfn.TEXTAFTER('Banco de Dados'!$F585,"Data do Pedido:
",1),1,10),"-","/")),VALUE(SUBSTITUTE(MID(_xlfn.TEXTAFTER('Banco de Dados'!$F585,"Order date:
",1),1,10),"-","/"))),VALUE(SUBSTITUTE(MID(_xlfn.TEXTAFTER('Banco de Dados'!$F585,"Fecha de pedido:
",1),1,10),"-","/"))),"-"),SMS!A:A,SMS!K:K),0),0)</f>
        <v>0</v>
      </c>
      <c r="AO585" s="109">
        <f ca="1">IF('Banco de Dados'!$AK585&lt;&gt;"-",IF('Banco de Dados'!$F585&lt;&gt;"-",IFERROR(_xlfn.XLOOKUP(_xlfn.CONCAT('Banco de Dados'!$A585,IFERROR(IFERROR(VALUE(SUBSTITUTE(MID(_xlfn.TEXTAFTER('Banco de Dados'!$F585,"Data do Pedido:
",1),1,10),"-","/")),VALUE(SUBSTITUTE(MID(_xlfn.TEXTAFTER('Banco de Dados'!$F585,"Order date:
",1),1,10),"-","/"))),0)),ProxyDD[Chave],ProxyDD[Valor por pedido]),PROXY!$P$2),0),0)</f>
        <v>0</v>
      </c>
      <c r="AP585" s="28">
        <f ca="1">IF('Banco de Dados'!$AK585&lt;&gt;"-",IF('Banco de Dados'!$AL585="NÃO",IFERROR(VALUE(SUBSTITUTE(_xlfn.TEXTAFTER('Banco de Dados'!$F585,"BRL ",1),".",",")),0),0),0)</f>
        <v>0</v>
      </c>
      <c r="AQ585" s="28">
        <f ca="1">SUM('Banco de Dados'!$AM585:$AP585)</f>
        <v>0</v>
      </c>
      <c r="AR585" s="8"/>
      <c r="AS585" s="8"/>
      <c r="AY585" s="8"/>
    </row>
    <row r="586" spans="1:51">
      <c r="A586" s="5" t="str">
        <v>BV</v>
      </c>
      <c r="B586" s="5" t="str">
        <f ca="1"/>
        <v>BV45641</v>
      </c>
      <c r="C586" s="8" t="str">
        <v>Pedido 574</v>
      </c>
      <c r="D586" s="9">
        <v>45641</v>
      </c>
      <c r="E586" s="9">
        <v>45641</v>
      </c>
      <c r="F586" s="8" t="str">
        <v>PedidoF561</v>
      </c>
      <c r="G586" s="2" t="str">
        <v>CódRastreio559</v>
      </c>
      <c r="H586" s="5">
        <v>1</v>
      </c>
      <c r="I586" s="182" t="str">
        <v>CPF 557</v>
      </c>
      <c r="J586" s="2" t="str">
        <v>Nome 557</v>
      </c>
      <c r="K586" s="8" t="str">
        <v>Tel 557</v>
      </c>
      <c r="L586" s="8" t="str">
        <v>Cep 557</v>
      </c>
      <c r="M586" s="8" t="str">
        <v>Rua 557</v>
      </c>
      <c r="N586" s="8" t="str">
        <v>Comp 557</v>
      </c>
      <c r="O586" s="8" t="str">
        <v>Ventilador Preto</v>
      </c>
      <c r="P586" s="8" t="str">
        <v>MU-J80P-95WF</v>
      </c>
      <c r="Q586" s="4">
        <v>45666</v>
      </c>
      <c r="R586" s="109">
        <v>65.599999999999994</v>
      </c>
      <c r="S586" s="11">
        <f ca="1"/>
        <v>0</v>
      </c>
      <c r="T586" s="28">
        <f ca="1"/>
        <v>0</v>
      </c>
      <c r="U586" s="11">
        <f ca="1"/>
        <v>0</v>
      </c>
      <c r="V586" s="11">
        <v>0</v>
      </c>
      <c r="W586" s="11">
        <f ca="1"/>
        <v>0</v>
      </c>
      <c r="X586" s="11">
        <f ca="1"/>
        <v>0.39877104377104378</v>
      </c>
      <c r="Y586" s="11">
        <v>0</v>
      </c>
      <c r="Z586" s="11">
        <f ca="1"/>
        <v>-0.39877104377104378</v>
      </c>
      <c r="AA586" s="11">
        <f ca="1"/>
        <v>-0.19938552188552189</v>
      </c>
      <c r="AB586" s="4">
        <f ca="1"/>
        <v>45673</v>
      </c>
      <c r="AC586" s="4">
        <v>45673</v>
      </c>
      <c r="AD586" s="9">
        <v>45674</v>
      </c>
      <c r="AE586" s="9">
        <v>45694</v>
      </c>
      <c r="AF586" s="4" t="str">
        <f t="shared" ca="1" si="17"/>
        <v>2025 01</v>
      </c>
      <c r="AG586" s="8" t="str" cm="1">
        <f t="array" ref="AG586">IFERROR(_xlfn.IFS('Banco de Dados'!#REF!="AG. COMPRA","Em processamento",'Banco de Dados'!#REF!="AG. RASTREIO","Em processamento",'Banco de Dados'!$AE586&lt;&gt;"-","Faturado",'Banco de Dados'!$AD586&lt;&gt;"-","Aguardando Pix",'Banco de Dados'!$AC586&lt;&gt;"-","Pendente"),"Aguardando Liberação")</f>
        <v>Aguardando Liberação</v>
      </c>
      <c r="AH586" s="5" t="str">
        <f>IF('Banco de Dados'!$F586="-",_xlfn.CONCAT(PROPER(TEXT(AK586,"aaaa"))," ",PROPER(TEXT(AK586,"mm"))),_xlfn.CONCAT(PROPER(TEXT(E586,"aaaa"))," ",PROPER(TEXT(E586,"mm"))))</f>
        <v>2024 12</v>
      </c>
      <c r="AI586" s="9" t="str">
        <f ca="1">IF('Banco de Dados'!$AK586&lt;&gt;"-","REEMBOLSO",IFERROR(_xlfn.XLOOKUP(G586,Follow[CODRASTREIO],Follow[STATUS]),"-"))</f>
        <v>REEMBOLSO</v>
      </c>
      <c r="AJ586" s="9" t="str">
        <f ca="1">IF('Banco de Dados'!$AI586="ENTREGUE",_xlfn.XLOOKUP('Banco de Dados'!$G586,Follow[CODRASTREIO],Follow[DATAATUALIZAÇÃO]),"-")</f>
        <v>-</v>
      </c>
      <c r="AK586" s="9">
        <f ca="1"/>
        <v>45672</v>
      </c>
      <c r="AL586" s="35"/>
      <c r="AM586" s="109">
        <v>1.71</v>
      </c>
      <c r="AN586" s="109" t="e">
        <f ca="1">IF('Banco de Dados'!$AK586&lt;&gt;"-",IF('Banco de Dados'!$F586&lt;&gt;"-",_xlfn.XLOOKUP(IFERROR(IFERROR(IFERROR(VALUE(SUBSTITUTE(MID(_xlfn.TEXTAFTER('Banco de Dados'!$F586,"Data do Pedido:
",1),1,10),"-","/")),VALUE(SUBSTITUTE(MID(_xlfn.TEXTAFTER('Banco de Dados'!$F586,"Order date:
",1),1,10),"-","/"))),VALUE(SUBSTITUTE(MID(_xlfn.TEXTAFTER('Banco de Dados'!$F586,"Fecha de pedido:
",1),1,10),"-","/"))),"-"),SMS!A:A,SMS!K:K),0),0)</f>
        <v>#N/A</v>
      </c>
      <c r="AO586" s="109">
        <f ca="1">IF('Banco de Dados'!$AK586&lt;&gt;"-",IF('Banco de Dados'!$F586&lt;&gt;"-",IFERROR(_xlfn.XLOOKUP(_xlfn.CONCAT('Banco de Dados'!$A586,IFERROR(IFERROR(VALUE(SUBSTITUTE(MID(_xlfn.TEXTAFTER('Banco de Dados'!$F586,"Data do Pedido:
",1),1,10),"-","/")),VALUE(SUBSTITUTE(MID(_xlfn.TEXTAFTER('Banco de Dados'!$F586,"Order date:
",1),1,10),"-","/"))),0)),ProxyDD[Chave],ProxyDD[Valor por pedido]),PROXY!$P$2),0),0)</f>
        <v>0.39877104377104378</v>
      </c>
      <c r="AP586" s="28">
        <f ca="1">IF('Banco de Dados'!$AK586&lt;&gt;"-",IF('Banco de Dados'!$AL586="NÃO",IFERROR(VALUE(SUBSTITUTE(_xlfn.TEXTAFTER('Banco de Dados'!$F586,"BRL ",1),".",",")),0),0),0)</f>
        <v>0</v>
      </c>
      <c r="AQ586" s="28" t="e">
        <f ca="1">SUM('Banco de Dados'!$AM586:$AP586)</f>
        <v>#N/A</v>
      </c>
      <c r="AR586" s="8"/>
      <c r="AS586" s="8"/>
      <c r="AY586" s="8"/>
    </row>
    <row r="587" spans="1:51">
      <c r="A587" s="5" t="str">
        <v>BV</v>
      </c>
      <c r="B587" s="5" t="str">
        <f ca="1"/>
        <v>BV45641</v>
      </c>
      <c r="C587" s="8" t="str">
        <v>Pedido 575</v>
      </c>
      <c r="D587" s="9">
        <v>45641</v>
      </c>
      <c r="E587" s="9">
        <v>45641</v>
      </c>
      <c r="F587" s="8" t="str">
        <v>PedidoF562</v>
      </c>
      <c r="G587" s="2" t="str">
        <v>CódRastreio560</v>
      </c>
      <c r="H587" s="5">
        <v>1</v>
      </c>
      <c r="I587" s="182" t="str">
        <v>CPF 558</v>
      </c>
      <c r="J587" s="2" t="str">
        <v>Nome 558</v>
      </c>
      <c r="K587" s="8" t="str">
        <v>Tel 558</v>
      </c>
      <c r="L587" s="8" t="str">
        <v>Cep 558</v>
      </c>
      <c r="M587" s="8" t="str">
        <v>Rua 558</v>
      </c>
      <c r="N587" s="8" t="str">
        <v>Comp 558</v>
      </c>
      <c r="O587" s="8" t="str">
        <v>Ventilador Azul</v>
      </c>
      <c r="P587" s="8" t="str">
        <v>U8-2VWS-OB6M</v>
      </c>
      <c r="Q587" s="4">
        <v>45666</v>
      </c>
      <c r="R587" s="109">
        <v>65.599999999999994</v>
      </c>
      <c r="S587" s="11">
        <f ca="1"/>
        <v>65.599999999999994</v>
      </c>
      <c r="T587" s="28">
        <f ca="1"/>
        <v>8.5279999999999987</v>
      </c>
      <c r="U587" s="11">
        <f ca="1"/>
        <v>57.07</v>
      </c>
      <c r="V587" s="11">
        <v>17.350000000000001</v>
      </c>
      <c r="W587" s="11">
        <f ca="1"/>
        <v>0.31</v>
      </c>
      <c r="X587" s="11">
        <f ca="1"/>
        <v>0.39877104377104378</v>
      </c>
      <c r="Y587" s="11">
        <v>0</v>
      </c>
      <c r="Z587" s="11">
        <f ca="1"/>
        <v>39.011228956228955</v>
      </c>
      <c r="AA587" s="11">
        <f ca="1"/>
        <v>19.505614478114477</v>
      </c>
      <c r="AB587" s="4">
        <f ca="1"/>
        <v>45673</v>
      </c>
      <c r="AC587" s="4">
        <v>45673</v>
      </c>
      <c r="AD587" s="9">
        <v>45674</v>
      </c>
      <c r="AE587" s="9">
        <v>45694</v>
      </c>
      <c r="AF587" s="4" t="str">
        <f ca="1">_xlfn.CONCAT(PROPER(TEXT(AB587,"aaaa"))," ",PROPER(TEXT(AB587,"mm")))</f>
        <v>2025 01</v>
      </c>
      <c r="AG587" s="8" t="str" cm="1">
        <f t="array" ref="AG587">IFERROR(_xlfn.IFS('Banco de Dados'!#REF!="AG. COMPRA","Em processamento",'Banco de Dados'!#REF!="AG. RASTREIO","Em processamento",'Banco de Dados'!$AE587&lt;&gt;"-","Faturado",'Banco de Dados'!$AD587&lt;&gt;"-","Aguardando Pix",'Banco de Dados'!$AC587&lt;&gt;"-","Pendente"),"Aguardando Liberação")</f>
        <v>Aguardando Liberação</v>
      </c>
      <c r="AH587" s="5" t="str">
        <f>IF('Banco de Dados'!$F587="-",_xlfn.CONCAT(PROPER(TEXT(AK587,"aaaa"))," ",PROPER(TEXT(AK587,"mm"))),_xlfn.CONCAT(PROPER(TEXT(E587,"aaaa"))," ",PROPER(TEXT(E587,"mm"))))</f>
        <v>2024 12</v>
      </c>
      <c r="AI587" s="9" t="str">
        <f ca="1">IF('Banco de Dados'!$AK587&lt;&gt;"-","REEMBOLSO",IFERROR(_xlfn.XLOOKUP(G587,Follow[CODRASTREIO],Follow[STATUS]),"-"))</f>
        <v>ENTREGUE</v>
      </c>
      <c r="AJ587" s="9">
        <f ca="1">IF('Banco de Dados'!$AI587="ENTREGUE",_xlfn.XLOOKUP('Banco de Dados'!$G587,Follow[CODRASTREIO],Follow[DATAATUALIZAÇÃO]),"-")</f>
        <v>45653</v>
      </c>
      <c r="AK587" s="9" t="str">
        <f ca="1"/>
        <v>-</v>
      </c>
      <c r="AL587" s="35"/>
      <c r="AM587" s="109" cm="1">
        <f t="array" aca="1" ref="AM587" ca="1">IF('Banco de Dados'!$AK587&lt;&gt;"-",_xlfn.IFS('Banco de Dados'!$A587="bv",IF('Banco de Dados'!$E587&lt;45641,ROUND(SUM('Banco de Dados'!$R587*_xlfn.XLOOKUP('Banco de Dados'!$P587,Sku!B:B,Sku!#REF!)*20%),2),ROUND(SUM('Banco de Dados'!$R587*_xlfn.XLOOKUP('Banco de Dados'!$P587,Sku!B:B,Sku!H:H)*20%),2)),'Banco de Dados'!$A587="GO",ROUND(_xlfn.XLOOKUP('Banco de Dados'!$P587,Sku!C:C,Sku!H:H),2),'Banco de Dados'!$A587="MEI",ROUND(_xlfn.XLOOKUP('Banco de Dados'!$P587,Sku!D:D,Sku!H:H),2)),0)</f>
        <v>0</v>
      </c>
      <c r="AN587" s="109">
        <f ca="1">IF('Banco de Dados'!$AK587&lt;&gt;"-",IF('Banco de Dados'!$F587&lt;&gt;"-",_xlfn.XLOOKUP(IFERROR(IFERROR(IFERROR(VALUE(SUBSTITUTE(MID(_xlfn.TEXTAFTER('Banco de Dados'!$F587,"Data do Pedido:
",1),1,10),"-","/")),VALUE(SUBSTITUTE(MID(_xlfn.TEXTAFTER('Banco de Dados'!$F587,"Order date:
",1),1,10),"-","/"))),VALUE(SUBSTITUTE(MID(_xlfn.TEXTAFTER('Banco de Dados'!$F587,"Fecha de pedido:
",1),1,10),"-","/"))),"-"),SMS!A:A,SMS!K:K),0),0)</f>
        <v>0</v>
      </c>
      <c r="AO587" s="109">
        <f ca="1">IF('Banco de Dados'!$AK587&lt;&gt;"-",IF('Banco de Dados'!$F587&lt;&gt;"-",IFERROR(_xlfn.XLOOKUP(_xlfn.CONCAT('Banco de Dados'!$A587,IFERROR(IFERROR(VALUE(SUBSTITUTE(MID(_xlfn.TEXTAFTER('Banco de Dados'!$F587,"Data do Pedido:
",1),1,10),"-","/")),VALUE(SUBSTITUTE(MID(_xlfn.TEXTAFTER('Banco de Dados'!$F587,"Order date:
",1),1,10),"-","/"))),0)),ProxyDD[Chave],ProxyDD[Valor por pedido]),PROXY!$P$2),0),0)</f>
        <v>0</v>
      </c>
      <c r="AP587" s="28">
        <f ca="1">IF('Banco de Dados'!$AK587&lt;&gt;"-",IF('Banco de Dados'!$AL587="NÃO",IFERROR(VALUE(SUBSTITUTE(_xlfn.TEXTAFTER('Banco de Dados'!$F587,"BRL ",1),".",",")),0),0),0)</f>
        <v>0</v>
      </c>
      <c r="AQ587" s="28">
        <f ca="1">SUM('Banco de Dados'!$AM587:$AP587)</f>
        <v>0</v>
      </c>
      <c r="AR587" s="8"/>
      <c r="AS587" s="8"/>
      <c r="AY587" s="8"/>
    </row>
    <row r="588" spans="1:51">
      <c r="A588" s="5" t="str">
        <v>BV</v>
      </c>
      <c r="B588" s="5" t="str">
        <f ca="1"/>
        <v>BV45642</v>
      </c>
      <c r="C588" s="8" t="str">
        <v>Pedido 576</v>
      </c>
      <c r="D588" s="9">
        <v>45642</v>
      </c>
      <c r="E588" s="9">
        <v>45642</v>
      </c>
      <c r="F588" s="8" t="str">
        <v>PedidoF563</v>
      </c>
      <c r="G588" s="2" t="str">
        <v>CódRastreio561</v>
      </c>
      <c r="H588" s="5">
        <v>1</v>
      </c>
      <c r="I588" s="182" t="str">
        <v>CPF 559</v>
      </c>
      <c r="J588" s="2" t="str">
        <v>Nome 559</v>
      </c>
      <c r="K588" s="8" t="str">
        <v>Tel 559</v>
      </c>
      <c r="L588" s="8" t="str">
        <v>Cep 559</v>
      </c>
      <c r="M588" s="8" t="str">
        <v>Rua 559</v>
      </c>
      <c r="N588" s="8" t="str">
        <v>Comp 559</v>
      </c>
      <c r="O588" s="8" t="str">
        <v>Ventilador Preto</v>
      </c>
      <c r="P588" s="8" t="str">
        <v>MU-J80P-95WF</v>
      </c>
      <c r="Q588" s="4">
        <v>45667</v>
      </c>
      <c r="R588" s="109">
        <v>65.599999999999994</v>
      </c>
      <c r="S588" s="11">
        <f ca="1"/>
        <v>65.599999999999994</v>
      </c>
      <c r="T588" s="28">
        <f ca="1"/>
        <v>8.5279999999999987</v>
      </c>
      <c r="U588" s="11">
        <f ca="1"/>
        <v>57.07</v>
      </c>
      <c r="V588" s="11">
        <v>19.52</v>
      </c>
      <c r="W588" s="11">
        <f ca="1"/>
        <v>0.15</v>
      </c>
      <c r="X588" s="11">
        <f ca="1"/>
        <v>0.39877104377104378</v>
      </c>
      <c r="Y588" s="11">
        <v>0</v>
      </c>
      <c r="Z588" s="11">
        <f ca="1"/>
        <v>37.001228956228957</v>
      </c>
      <c r="AA588" s="11">
        <f ca="1"/>
        <v>18.500614478114478</v>
      </c>
      <c r="AB588" s="4">
        <f ca="1"/>
        <v>45674</v>
      </c>
      <c r="AC588" s="4">
        <v>45674</v>
      </c>
      <c r="AD588" s="9">
        <v>45674</v>
      </c>
      <c r="AE588" s="9">
        <v>45694</v>
      </c>
      <c r="AF588" s="4" t="str">
        <f t="shared" ref="AF588:AF595" ca="1" si="18">_xlfn.CONCAT(PROPER(TEXT(AB588,"aaaa"))," ",PROPER(TEXT(AB588,"mm")))</f>
        <v>2025 01</v>
      </c>
      <c r="AG588" s="8" t="str" cm="1">
        <f t="array" ref="AG588">IFERROR(_xlfn.IFS('Banco de Dados'!#REF!="AG. COMPRA","Em processamento",'Banco de Dados'!#REF!="AG. RASTREIO","Em processamento",'Banco de Dados'!$AE588&lt;&gt;"-","Faturado",'Banco de Dados'!$AD588&lt;&gt;"-","Aguardando Pix",'Banco de Dados'!$AC588&lt;&gt;"-","Pendente"),"Aguardando Liberação")</f>
        <v>Aguardando Liberação</v>
      </c>
      <c r="AH588" s="5" t="str">
        <f>IF('Banco de Dados'!$F588="-",_xlfn.CONCAT(PROPER(TEXT(AK588,"aaaa"))," ",PROPER(TEXT(AK588,"mm"))),_xlfn.CONCAT(PROPER(TEXT(E588,"aaaa"))," ",PROPER(TEXT(E588,"mm"))))</f>
        <v>2024 12</v>
      </c>
      <c r="AI588" s="9" t="str">
        <f ca="1">IF('Banco de Dados'!$AK588&lt;&gt;"-","REEMBOLSO",IFERROR(_xlfn.XLOOKUP(G588,Follow[CODRASTREIO],Follow[STATUS]),"-"))</f>
        <v>ENTREGUE</v>
      </c>
      <c r="AJ588" s="9">
        <f ca="1">IF('Banco de Dados'!$AI588="ENTREGUE",_xlfn.XLOOKUP('Banco de Dados'!$G588,Follow[CODRASTREIO],Follow[DATAATUALIZAÇÃO]),"-")</f>
        <v>45656</v>
      </c>
      <c r="AK588" s="9" t="str">
        <f ca="1"/>
        <v>-</v>
      </c>
      <c r="AL588" s="35"/>
      <c r="AM588" s="109" cm="1">
        <f t="array" aca="1" ref="AM588" ca="1">IF('Banco de Dados'!$AK588&lt;&gt;"-",_xlfn.IFS('Banco de Dados'!$A588="bv",IF('Banco de Dados'!$E588&lt;45641,ROUND(SUM('Banco de Dados'!$R588*_xlfn.XLOOKUP('Banco de Dados'!$P588,Sku!B:B,Sku!#REF!)*20%),2),ROUND(SUM('Banco de Dados'!$R588*_xlfn.XLOOKUP('Banco de Dados'!$P588,Sku!B:B,Sku!H:H)*20%),2)),'Banco de Dados'!$A588="GO",ROUND(_xlfn.XLOOKUP('Banco de Dados'!$P588,Sku!C:C,Sku!H:H),2),'Banco de Dados'!$A588="MEI",ROUND(_xlfn.XLOOKUP('Banco de Dados'!$P588,Sku!D:D,Sku!H:H),2)),0)</f>
        <v>0</v>
      </c>
      <c r="AN588" s="109">
        <f ca="1">IF('Banco de Dados'!$AK588&lt;&gt;"-",IF('Banco de Dados'!$F588&lt;&gt;"-",_xlfn.XLOOKUP(IFERROR(IFERROR(IFERROR(VALUE(SUBSTITUTE(MID(_xlfn.TEXTAFTER('Banco de Dados'!$F588,"Data do Pedido:
",1),1,10),"-","/")),VALUE(SUBSTITUTE(MID(_xlfn.TEXTAFTER('Banco de Dados'!$F588,"Order date:
",1),1,10),"-","/"))),VALUE(SUBSTITUTE(MID(_xlfn.TEXTAFTER('Banco de Dados'!$F588,"Fecha de pedido:
",1),1,10),"-","/"))),"-"),SMS!A:A,SMS!K:K),0),0)</f>
        <v>0</v>
      </c>
      <c r="AO588" s="109">
        <f ca="1">IF('Banco de Dados'!$AK588&lt;&gt;"-",IF('Banco de Dados'!$F588&lt;&gt;"-",IFERROR(_xlfn.XLOOKUP(_xlfn.CONCAT('Banco de Dados'!$A588,IFERROR(IFERROR(VALUE(SUBSTITUTE(MID(_xlfn.TEXTAFTER('Banco de Dados'!$F588,"Data do Pedido:
",1),1,10),"-","/")),VALUE(SUBSTITUTE(MID(_xlfn.TEXTAFTER('Banco de Dados'!$F588,"Order date:
",1),1,10),"-","/"))),0)),ProxyDD[Chave],ProxyDD[Valor por pedido]),PROXY!$P$2),0),0)</f>
        <v>0</v>
      </c>
      <c r="AP588" s="28">
        <f ca="1">IF('Banco de Dados'!$AK588&lt;&gt;"-",IF('Banco de Dados'!$AL588="NÃO",IFERROR(VALUE(SUBSTITUTE(_xlfn.TEXTAFTER('Banco de Dados'!$F588,"BRL ",1),".",",")),0),0),0)</f>
        <v>0</v>
      </c>
      <c r="AQ588" s="28">
        <f ca="1">SUM('Banco de Dados'!$AM588:$AP588)</f>
        <v>0</v>
      </c>
      <c r="AR588" s="8"/>
      <c r="AS588" s="8"/>
      <c r="AY588" s="8"/>
    </row>
    <row r="589" spans="1:51">
      <c r="A589" s="5" t="str">
        <v>BV</v>
      </c>
      <c r="B589" s="5" t="str">
        <f ca="1"/>
        <v>BV45642</v>
      </c>
      <c r="C589" s="8" t="str">
        <v>Pedido 577</v>
      </c>
      <c r="D589" s="9">
        <v>45642</v>
      </c>
      <c r="E589" s="9">
        <v>45642</v>
      </c>
      <c r="F589" s="8" t="str">
        <v>PedidoF564</v>
      </c>
      <c r="G589" s="2" t="str">
        <v>CódRastreio562</v>
      </c>
      <c r="H589" s="5">
        <v>1</v>
      </c>
      <c r="I589" s="182" t="str">
        <v>CPF 560</v>
      </c>
      <c r="J589" s="2" t="str">
        <v>Nome 560</v>
      </c>
      <c r="K589" s="8" t="str">
        <v>Tel 560</v>
      </c>
      <c r="L589" s="8" t="str">
        <v>Cep 560</v>
      </c>
      <c r="M589" s="8" t="str">
        <v>Rua 560</v>
      </c>
      <c r="N589" s="8" t="str">
        <v>Comp 560</v>
      </c>
      <c r="O589" s="8" t="str">
        <v>Ventilador Rosa</v>
      </c>
      <c r="P589" s="8" t="str">
        <v>IF-G2ZQ-79FO</v>
      </c>
      <c r="Q589" s="4">
        <v>45673</v>
      </c>
      <c r="R589" s="109">
        <v>54.8</v>
      </c>
      <c r="S589" s="11">
        <f ca="1"/>
        <v>54.8</v>
      </c>
      <c r="T589" s="28">
        <f ca="1"/>
        <v>7.1239999999999997</v>
      </c>
      <c r="U589" s="11">
        <f ca="1"/>
        <v>47.68</v>
      </c>
      <c r="V589" s="11">
        <v>18.940000000000001</v>
      </c>
      <c r="W589" s="11">
        <f ca="1"/>
        <v>0.15</v>
      </c>
      <c r="X589" s="11">
        <f ca="1"/>
        <v>0.39877104377104378</v>
      </c>
      <c r="Y589" s="11">
        <v>0</v>
      </c>
      <c r="Z589" s="11">
        <f ca="1"/>
        <v>28.191228956228954</v>
      </c>
      <c r="AA589" s="11">
        <f ca="1"/>
        <v>14.095614478114477</v>
      </c>
      <c r="AB589" s="4">
        <f ca="1"/>
        <v>45680</v>
      </c>
      <c r="AC589" s="4">
        <v>45680</v>
      </c>
      <c r="AD589" s="9">
        <v>45688</v>
      </c>
      <c r="AE589" s="9">
        <v>45694</v>
      </c>
      <c r="AF589" s="4" t="str">
        <f t="shared" ca="1" si="18"/>
        <v>2025 01</v>
      </c>
      <c r="AG589" s="8" t="str" cm="1">
        <f t="array" ref="AG589">IFERROR(_xlfn.IFS('Banco de Dados'!#REF!="AG. COMPRA","Em processamento",'Banco de Dados'!#REF!="AG. RASTREIO","Em processamento",'Banco de Dados'!$AE589&lt;&gt;"-","Faturado",'Banco de Dados'!$AD589&lt;&gt;"-","Aguardando Pix",'Banco de Dados'!$AC589&lt;&gt;"-","Pendente"),"Aguardando Liberação")</f>
        <v>Aguardando Liberação</v>
      </c>
      <c r="AH589" s="5" t="str">
        <f>IF('Banco de Dados'!$F589="-",_xlfn.CONCAT(PROPER(TEXT(AK589,"aaaa"))," ",PROPER(TEXT(AK589,"mm"))),_xlfn.CONCAT(PROPER(TEXT(E589,"aaaa"))," ",PROPER(TEXT(E589,"mm"))))</f>
        <v>2024 12</v>
      </c>
      <c r="AI589" s="9" t="str">
        <f ca="1">IF('Banco de Dados'!$AK589&lt;&gt;"-","REEMBOLSO",IFERROR(_xlfn.XLOOKUP(G589,Follow[CODRASTREIO],Follow[STATUS]),"-"))</f>
        <v>ENTREGUE</v>
      </c>
      <c r="AJ589" s="9">
        <f ca="1">IF('Banco de Dados'!$AI589="ENTREGUE",_xlfn.XLOOKUP('Banco de Dados'!$G589,Follow[CODRASTREIO],Follow[DATAATUALIZAÇÃO]),"-")</f>
        <v>45665</v>
      </c>
      <c r="AK589" s="9" t="str">
        <f ca="1"/>
        <v>-</v>
      </c>
      <c r="AL589" s="35"/>
      <c r="AM589" s="109" cm="1">
        <f t="array" aca="1" ref="AM589" ca="1">IF('Banco de Dados'!$AK589&lt;&gt;"-",_xlfn.IFS('Banco de Dados'!$A589="bv",IF('Banco de Dados'!$E589&lt;45641,ROUND(SUM('Banco de Dados'!$R589*_xlfn.XLOOKUP('Banco de Dados'!$P589,Sku!B:B,Sku!#REF!)*20%),2),ROUND(SUM('Banco de Dados'!$R589*_xlfn.XLOOKUP('Banco de Dados'!$P589,Sku!B:B,Sku!H:H)*20%),2)),'Banco de Dados'!$A589="GO",ROUND(_xlfn.XLOOKUP('Banco de Dados'!$P589,Sku!C:C,Sku!H:H),2),'Banco de Dados'!$A589="MEI",ROUND(_xlfn.XLOOKUP('Banco de Dados'!$P589,Sku!D:D,Sku!H:H),2)),0)</f>
        <v>0</v>
      </c>
      <c r="AN589" s="109">
        <f ca="1">IF('Banco de Dados'!$AK589&lt;&gt;"-",IF('Banco de Dados'!$F589&lt;&gt;"-",_xlfn.XLOOKUP(IFERROR(IFERROR(IFERROR(VALUE(SUBSTITUTE(MID(_xlfn.TEXTAFTER('Banco de Dados'!$F589,"Data do Pedido:
",1),1,10),"-","/")),VALUE(SUBSTITUTE(MID(_xlfn.TEXTAFTER('Banco de Dados'!$F589,"Order date:
",1),1,10),"-","/"))),VALUE(SUBSTITUTE(MID(_xlfn.TEXTAFTER('Banco de Dados'!$F589,"Fecha de pedido:
",1),1,10),"-","/"))),"-"),SMS!A:A,SMS!K:K),0),0)</f>
        <v>0</v>
      </c>
      <c r="AO589" s="109">
        <f ca="1">IF('Banco de Dados'!$AK589&lt;&gt;"-",IF('Banco de Dados'!$F589&lt;&gt;"-",IFERROR(_xlfn.XLOOKUP(_xlfn.CONCAT('Banco de Dados'!$A589,IFERROR(IFERROR(VALUE(SUBSTITUTE(MID(_xlfn.TEXTAFTER('Banco de Dados'!$F589,"Data do Pedido:
",1),1,10),"-","/")),VALUE(SUBSTITUTE(MID(_xlfn.TEXTAFTER('Banco de Dados'!$F589,"Order date:
",1),1,10),"-","/"))),0)),ProxyDD[Chave],ProxyDD[Valor por pedido]),PROXY!$P$2),0),0)</f>
        <v>0</v>
      </c>
      <c r="AP589" s="28">
        <f ca="1">IF('Banco de Dados'!$AK589&lt;&gt;"-",IF('Banco de Dados'!$AL589="NÃO",IFERROR(VALUE(SUBSTITUTE(_xlfn.TEXTAFTER('Banco de Dados'!$F589,"BRL ",1),".",",")),0),0),0)</f>
        <v>0</v>
      </c>
      <c r="AQ589" s="28">
        <f ca="1">SUM('Banco de Dados'!$AM589:$AP589)</f>
        <v>0</v>
      </c>
      <c r="AR589" s="8"/>
      <c r="AS589" s="8"/>
      <c r="AY589" s="8"/>
    </row>
    <row r="590" spans="1:51">
      <c r="A590" s="5" t="str">
        <v>BV</v>
      </c>
      <c r="B590" s="5" t="str">
        <f ca="1"/>
        <v>BV45642</v>
      </c>
      <c r="C590" s="8" t="str">
        <v>Pedido 578</v>
      </c>
      <c r="D590" s="9">
        <v>45642</v>
      </c>
      <c r="E590" s="9">
        <v>45642</v>
      </c>
      <c r="F590" s="8" t="str">
        <v>PedidoF565</v>
      </c>
      <c r="G590" s="2" t="str">
        <v>CódRastreio563</v>
      </c>
      <c r="H590" s="5">
        <v>1</v>
      </c>
      <c r="I590" s="182" t="str">
        <v>CPF 504</v>
      </c>
      <c r="J590" s="2" t="str">
        <v>Nome 504</v>
      </c>
      <c r="K590" s="8" t="str">
        <v>Tel 504</v>
      </c>
      <c r="L590" s="8" t="str">
        <v>Cep 504</v>
      </c>
      <c r="M590" s="8" t="str">
        <v>Rua 504</v>
      </c>
      <c r="N590" s="8" t="str">
        <v>Comp 504</v>
      </c>
      <c r="O590" s="8" t="str">
        <v>Ventilador Preto</v>
      </c>
      <c r="P590" s="8" t="str">
        <v>MU-J80P-95WF</v>
      </c>
      <c r="Q590" s="4">
        <v>45667</v>
      </c>
      <c r="R590" s="109">
        <v>65.599999999999994</v>
      </c>
      <c r="S590" s="11">
        <f ca="1"/>
        <v>65.599999999999994</v>
      </c>
      <c r="T590" s="28">
        <f ca="1"/>
        <v>8.5279999999999987</v>
      </c>
      <c r="U590" s="11">
        <f ca="1"/>
        <v>57.07</v>
      </c>
      <c r="V590" s="11">
        <v>19.52</v>
      </c>
      <c r="W590" s="11">
        <f ca="1"/>
        <v>0.15</v>
      </c>
      <c r="X590" s="11">
        <f ca="1"/>
        <v>0.39877104377104378</v>
      </c>
      <c r="Y590" s="11">
        <v>0</v>
      </c>
      <c r="Z590" s="11">
        <f ca="1"/>
        <v>37.001228956228957</v>
      </c>
      <c r="AA590" s="11">
        <f ca="1"/>
        <v>18.500614478114478</v>
      </c>
      <c r="AB590" s="4">
        <f ca="1"/>
        <v>45674</v>
      </c>
      <c r="AC590" s="4">
        <v>45674</v>
      </c>
      <c r="AD590" s="9">
        <v>45674</v>
      </c>
      <c r="AE590" s="9">
        <v>45694</v>
      </c>
      <c r="AF590" s="4" t="str">
        <f t="shared" ca="1" si="18"/>
        <v>2025 01</v>
      </c>
      <c r="AG590" s="8" t="str" cm="1">
        <f t="array" ref="AG590">IFERROR(_xlfn.IFS('Banco de Dados'!#REF!="AG. COMPRA","Em processamento",'Banco de Dados'!#REF!="AG. RASTREIO","Em processamento",'Banco de Dados'!$AE590&lt;&gt;"-","Faturado",'Banco de Dados'!$AD590&lt;&gt;"-","Aguardando Pix",'Banco de Dados'!$AC590&lt;&gt;"-","Pendente"),"Aguardando Liberação")</f>
        <v>Aguardando Liberação</v>
      </c>
      <c r="AH590" s="5" t="str">
        <f>IF('Banco de Dados'!$F590="-",_xlfn.CONCAT(PROPER(TEXT(AK590,"aaaa"))," ",PROPER(TEXT(AK590,"mm"))),_xlfn.CONCAT(PROPER(TEXT(E590,"aaaa"))," ",PROPER(TEXT(E590,"mm"))))</f>
        <v>2024 12</v>
      </c>
      <c r="AI590" s="9" t="str">
        <f ca="1">IF('Banco de Dados'!$AK590&lt;&gt;"-","REEMBOLSO",IFERROR(_xlfn.XLOOKUP(G590,Follow[CODRASTREIO],Follow[STATUS]),"-"))</f>
        <v>ENTREGUE</v>
      </c>
      <c r="AJ590" s="9">
        <f ca="1">IF('Banco de Dados'!$AI590="ENTREGUE",_xlfn.XLOOKUP('Banco de Dados'!$G590,Follow[CODRASTREIO],Follow[DATAATUALIZAÇÃO]),"-")</f>
        <v>45659</v>
      </c>
      <c r="AK590" s="9" t="str">
        <f ca="1"/>
        <v>-</v>
      </c>
      <c r="AL590" s="35"/>
      <c r="AM590" s="109" cm="1">
        <f t="array" aca="1" ref="AM590" ca="1">IF('Banco de Dados'!$AK590&lt;&gt;"-",_xlfn.IFS('Banco de Dados'!$A590="bv",IF('Banco de Dados'!$E590&lt;45641,ROUND(SUM('Banco de Dados'!$R590*_xlfn.XLOOKUP('Banco de Dados'!$P590,Sku!B:B,Sku!#REF!)*20%),2),ROUND(SUM('Banco de Dados'!$R590*_xlfn.XLOOKUP('Banco de Dados'!$P590,Sku!B:B,Sku!H:H)*20%),2)),'Banco de Dados'!$A590="GO",ROUND(_xlfn.XLOOKUP('Banco de Dados'!$P590,Sku!C:C,Sku!H:H),2),'Banco de Dados'!$A590="MEI",ROUND(_xlfn.XLOOKUP('Banco de Dados'!$P590,Sku!D:D,Sku!H:H),2)),0)</f>
        <v>0</v>
      </c>
      <c r="AN590" s="109">
        <f ca="1">IF('Banco de Dados'!$AK590&lt;&gt;"-",IF('Banco de Dados'!$F590&lt;&gt;"-",_xlfn.XLOOKUP(IFERROR(IFERROR(IFERROR(VALUE(SUBSTITUTE(MID(_xlfn.TEXTAFTER('Banco de Dados'!$F590,"Data do Pedido:
",1),1,10),"-","/")),VALUE(SUBSTITUTE(MID(_xlfn.TEXTAFTER('Banco de Dados'!$F590,"Order date:
",1),1,10),"-","/"))),VALUE(SUBSTITUTE(MID(_xlfn.TEXTAFTER('Banco de Dados'!$F590,"Fecha de pedido:
",1),1,10),"-","/"))),"-"),SMS!A:A,SMS!K:K),0),0)</f>
        <v>0</v>
      </c>
      <c r="AO590" s="109">
        <f ca="1">IF('Banco de Dados'!$AK590&lt;&gt;"-",IF('Banco de Dados'!$F590&lt;&gt;"-",IFERROR(_xlfn.XLOOKUP(_xlfn.CONCAT('Banco de Dados'!$A590,IFERROR(IFERROR(VALUE(SUBSTITUTE(MID(_xlfn.TEXTAFTER('Banco de Dados'!$F590,"Data do Pedido:
",1),1,10),"-","/")),VALUE(SUBSTITUTE(MID(_xlfn.TEXTAFTER('Banco de Dados'!$F590,"Order date:
",1),1,10),"-","/"))),0)),ProxyDD[Chave],ProxyDD[Valor por pedido]),PROXY!$P$2),0),0)</f>
        <v>0</v>
      </c>
      <c r="AP590" s="28">
        <f ca="1">IF('Banco de Dados'!$AK590&lt;&gt;"-",IF('Banco de Dados'!$AL590="NÃO",IFERROR(VALUE(SUBSTITUTE(_xlfn.TEXTAFTER('Banco de Dados'!$F590,"BRL ",1),".",",")),0),0),0)</f>
        <v>0</v>
      </c>
      <c r="AQ590" s="28">
        <f ca="1">SUM('Banco de Dados'!$AM590:$AP590)</f>
        <v>0</v>
      </c>
      <c r="AR590" s="8"/>
      <c r="AS590" s="8"/>
      <c r="AY590" s="8"/>
    </row>
    <row r="591" spans="1:51">
      <c r="A591" s="5" t="str">
        <v>BV</v>
      </c>
      <c r="B591" s="5" t="str">
        <f ca="1"/>
        <v>BV45642</v>
      </c>
      <c r="C591" s="8" t="str">
        <v>Pedido 579</v>
      </c>
      <c r="D591" s="9">
        <v>45642</v>
      </c>
      <c r="E591" s="9">
        <v>45642</v>
      </c>
      <c r="F591" s="8" t="str">
        <v>PedidoF566</v>
      </c>
      <c r="G591" s="2" t="str">
        <v>CódRastreio564</v>
      </c>
      <c r="H591" s="5">
        <v>1</v>
      </c>
      <c r="I591" s="182" t="str">
        <v>CPF 561</v>
      </c>
      <c r="J591" s="2" t="str">
        <v>Nome 561</v>
      </c>
      <c r="K591" s="8" t="str">
        <v>Tel 561</v>
      </c>
      <c r="L591" s="8" t="str">
        <v>Cep 561</v>
      </c>
      <c r="M591" s="8" t="str">
        <v>Rua 561</v>
      </c>
      <c r="N591" s="8" t="str">
        <v>Comp 561</v>
      </c>
      <c r="O591" s="8" t="str">
        <v>Ventilador Preto</v>
      </c>
      <c r="P591" s="8" t="str">
        <v>MU-J80P-95WF</v>
      </c>
      <c r="Q591" s="4">
        <v>45667</v>
      </c>
      <c r="R591" s="109">
        <v>65.599999999999994</v>
      </c>
      <c r="S591" s="11">
        <f ca="1"/>
        <v>65.599999999999994</v>
      </c>
      <c r="T591" s="28">
        <f ca="1"/>
        <v>8.5279999999999987</v>
      </c>
      <c r="U591" s="11">
        <f ca="1"/>
        <v>57.07</v>
      </c>
      <c r="V591" s="11">
        <v>19.53</v>
      </c>
      <c r="W591" s="11">
        <f ca="1"/>
        <v>0.15</v>
      </c>
      <c r="X591" s="11">
        <f ca="1"/>
        <v>0.39877104377104378</v>
      </c>
      <c r="Y591" s="11">
        <v>0</v>
      </c>
      <c r="Z591" s="11">
        <f ca="1"/>
        <v>36.991228956228952</v>
      </c>
      <c r="AA591" s="11">
        <f ca="1"/>
        <v>18.495614478114476</v>
      </c>
      <c r="AB591" s="4">
        <f ca="1"/>
        <v>45674</v>
      </c>
      <c r="AC591" s="4">
        <v>45674</v>
      </c>
      <c r="AD591" s="9">
        <v>45674</v>
      </c>
      <c r="AE591" s="9">
        <v>45694</v>
      </c>
      <c r="AF591" s="4" t="str">
        <f t="shared" ca="1" si="18"/>
        <v>2025 01</v>
      </c>
      <c r="AG591" s="8" t="str" cm="1">
        <f t="array" ref="AG591">IFERROR(_xlfn.IFS('Banco de Dados'!#REF!="AG. COMPRA","Em processamento",'Banco de Dados'!#REF!="AG. RASTREIO","Em processamento",'Banco de Dados'!$AE591&lt;&gt;"-","Faturado",'Banco de Dados'!$AD591&lt;&gt;"-","Aguardando Pix",'Banco de Dados'!$AC591&lt;&gt;"-","Pendente"),"Aguardando Liberação")</f>
        <v>Aguardando Liberação</v>
      </c>
      <c r="AH591" s="5" t="str">
        <f>IF('Banco de Dados'!$F591="-",_xlfn.CONCAT(PROPER(TEXT(AK591,"aaaa"))," ",PROPER(TEXT(AK591,"mm"))),_xlfn.CONCAT(PROPER(TEXT(E591,"aaaa"))," ",PROPER(TEXT(E591,"mm"))))</f>
        <v>2024 12</v>
      </c>
      <c r="AI591" s="9" t="str">
        <f ca="1">IF('Banco de Dados'!$AK591&lt;&gt;"-","REEMBOLSO",IFERROR(_xlfn.XLOOKUP(G591,Follow[CODRASTREIO],Follow[STATUS]),"-"))</f>
        <v>ENTREGUE</v>
      </c>
      <c r="AJ591" s="9">
        <f ca="1">IF('Banco de Dados'!$AI591="ENTREGUE",_xlfn.XLOOKUP('Banco de Dados'!$G591,Follow[CODRASTREIO],Follow[DATAATUALIZAÇÃO]),"-")</f>
        <v>45659</v>
      </c>
      <c r="AK591" s="9" t="str">
        <f ca="1"/>
        <v>-</v>
      </c>
      <c r="AL591" s="35"/>
      <c r="AM591" s="109" cm="1">
        <f t="array" aca="1" ref="AM591" ca="1">IF('Banco de Dados'!$AK591&lt;&gt;"-",_xlfn.IFS('Banco de Dados'!$A591="bv",IF('Banco de Dados'!$E591&lt;45641,ROUND(SUM('Banco de Dados'!$R591*_xlfn.XLOOKUP('Banco de Dados'!$P591,Sku!B:B,Sku!#REF!)*20%),2),ROUND(SUM('Banco de Dados'!$R591*_xlfn.XLOOKUP('Banco de Dados'!$P591,Sku!B:B,Sku!H:H)*20%),2)),'Banco de Dados'!$A591="GO",ROUND(_xlfn.XLOOKUP('Banco de Dados'!$P591,Sku!C:C,Sku!H:H),2),'Banco de Dados'!$A591="MEI",ROUND(_xlfn.XLOOKUP('Banco de Dados'!$P591,Sku!D:D,Sku!H:H),2)),0)</f>
        <v>0</v>
      </c>
      <c r="AN591" s="109">
        <f ca="1">IF('Banco de Dados'!$AK591&lt;&gt;"-",IF('Banco de Dados'!$F591&lt;&gt;"-",_xlfn.XLOOKUP(IFERROR(IFERROR(IFERROR(VALUE(SUBSTITUTE(MID(_xlfn.TEXTAFTER('Banco de Dados'!$F591,"Data do Pedido:
",1),1,10),"-","/")),VALUE(SUBSTITUTE(MID(_xlfn.TEXTAFTER('Banco de Dados'!$F591,"Order date:
",1),1,10),"-","/"))),VALUE(SUBSTITUTE(MID(_xlfn.TEXTAFTER('Banco de Dados'!$F591,"Fecha de pedido:
",1),1,10),"-","/"))),"-"),SMS!A:A,SMS!K:K),0),0)</f>
        <v>0</v>
      </c>
      <c r="AO591" s="109">
        <f ca="1">IF('Banco de Dados'!$AK591&lt;&gt;"-",IF('Banco de Dados'!$F591&lt;&gt;"-",IFERROR(_xlfn.XLOOKUP(_xlfn.CONCAT('Banco de Dados'!$A591,IFERROR(IFERROR(VALUE(SUBSTITUTE(MID(_xlfn.TEXTAFTER('Banco de Dados'!$F591,"Data do Pedido:
",1),1,10),"-","/")),VALUE(SUBSTITUTE(MID(_xlfn.TEXTAFTER('Banco de Dados'!$F591,"Order date:
",1),1,10),"-","/"))),0)),ProxyDD[Chave],ProxyDD[Valor por pedido]),PROXY!$P$2),0),0)</f>
        <v>0</v>
      </c>
      <c r="AP591" s="28">
        <f ca="1">IF('Banco de Dados'!$AK591&lt;&gt;"-",IF('Banco de Dados'!$AL591="NÃO",IFERROR(VALUE(SUBSTITUTE(_xlfn.TEXTAFTER('Banco de Dados'!$F591,"BRL ",1),".",",")),0),0),0)</f>
        <v>0</v>
      </c>
      <c r="AQ591" s="28">
        <f ca="1">SUM('Banco de Dados'!$AM591:$AP591)</f>
        <v>0</v>
      </c>
      <c r="AR591" s="8"/>
      <c r="AS591" s="8"/>
      <c r="AY591" s="8"/>
    </row>
    <row r="592" spans="1:51">
      <c r="A592" s="5" t="str">
        <v>BV</v>
      </c>
      <c r="B592" s="5" t="str">
        <f ca="1"/>
        <v>BV45642</v>
      </c>
      <c r="C592" s="8" t="str">
        <v>Pedido 580</v>
      </c>
      <c r="D592" s="9">
        <v>45642</v>
      </c>
      <c r="E592" s="9">
        <v>45642</v>
      </c>
      <c r="F592" s="8" t="str">
        <v>PedidoF567</v>
      </c>
      <c r="G592" s="2" t="str">
        <v>CódRastreio565</v>
      </c>
      <c r="H592" s="5">
        <v>1</v>
      </c>
      <c r="I592" s="182" t="str">
        <v>CPF 562</v>
      </c>
      <c r="J592" s="2" t="str">
        <v>Nome 562</v>
      </c>
      <c r="K592" s="8" t="str">
        <v>Tel 562</v>
      </c>
      <c r="L592" s="8" t="str">
        <v>Cep 562</v>
      </c>
      <c r="M592" s="8" t="str">
        <v>Rua 562</v>
      </c>
      <c r="N592" s="8" t="str">
        <v>Comp 562</v>
      </c>
      <c r="O592" s="8" t="str">
        <v>Ventilador Preto</v>
      </c>
      <c r="P592" s="8" t="str">
        <v>MU-J80P-95WF</v>
      </c>
      <c r="Q592" s="4">
        <v>45673</v>
      </c>
      <c r="R592" s="109">
        <v>65.599999999999994</v>
      </c>
      <c r="S592" s="11">
        <f ca="1"/>
        <v>65.599999999999994</v>
      </c>
      <c r="T592" s="28">
        <f ca="1"/>
        <v>8.5279999999999987</v>
      </c>
      <c r="U592" s="11">
        <f ca="1"/>
        <v>57.07</v>
      </c>
      <c r="V592" s="11">
        <v>19.53</v>
      </c>
      <c r="W592" s="11">
        <f ca="1"/>
        <v>0.15</v>
      </c>
      <c r="X592" s="11">
        <f ca="1"/>
        <v>0.39877104377104378</v>
      </c>
      <c r="Y592" s="11">
        <v>0</v>
      </c>
      <c r="Z592" s="11">
        <f ca="1"/>
        <v>36.991228956228952</v>
      </c>
      <c r="AA592" s="11">
        <f ca="1"/>
        <v>18.495614478114476</v>
      </c>
      <c r="AB592" s="4">
        <f ca="1"/>
        <v>45680</v>
      </c>
      <c r="AC592" s="4">
        <v>45680</v>
      </c>
      <c r="AD592" s="9">
        <v>45688</v>
      </c>
      <c r="AE592" s="9">
        <v>45694</v>
      </c>
      <c r="AF592" s="4" t="str">
        <f t="shared" ca="1" si="18"/>
        <v>2025 01</v>
      </c>
      <c r="AG592" s="8" t="str" cm="1">
        <f t="array" ref="AG592">IFERROR(_xlfn.IFS('Banco de Dados'!#REF!="AG. COMPRA","Em processamento",'Banco de Dados'!#REF!="AG. RASTREIO","Em processamento",'Banco de Dados'!$AE592&lt;&gt;"-","Faturado",'Banco de Dados'!$AD592&lt;&gt;"-","Aguardando Pix",'Banco de Dados'!$AC592&lt;&gt;"-","Pendente"),"Aguardando Liberação")</f>
        <v>Aguardando Liberação</v>
      </c>
      <c r="AH592" s="5" t="str">
        <f>IF('Banco de Dados'!$F592="-",_xlfn.CONCAT(PROPER(TEXT(AK592,"aaaa"))," ",PROPER(TEXT(AK592,"mm"))),_xlfn.CONCAT(PROPER(TEXT(E592,"aaaa"))," ",PROPER(TEXT(E592,"mm"))))</f>
        <v>2024 12</v>
      </c>
      <c r="AI592" s="9" t="str">
        <f ca="1">IF('Banco de Dados'!$AK592&lt;&gt;"-","REEMBOLSO",IFERROR(_xlfn.XLOOKUP(G592,Follow[CODRASTREIO],Follow[STATUS]),"-"))</f>
        <v>ENTREGUE</v>
      </c>
      <c r="AJ592" s="9">
        <f ca="1">IF('Banco de Dados'!$AI592="ENTREGUE",_xlfn.XLOOKUP('Banco de Dados'!$G592,Follow[CODRASTREIO],Follow[DATAATUALIZAÇÃO]),"-")</f>
        <v>45659</v>
      </c>
      <c r="AK592" s="9" t="str">
        <f ca="1"/>
        <v>-</v>
      </c>
      <c r="AL592" s="35"/>
      <c r="AM592" s="109" cm="1">
        <f t="array" aca="1" ref="AM592" ca="1">IF('Banco de Dados'!$AK592&lt;&gt;"-",_xlfn.IFS('Banco de Dados'!$A592="bv",IF('Banco de Dados'!$E592&lt;45641,ROUND(SUM('Banco de Dados'!$R592*_xlfn.XLOOKUP('Banco de Dados'!$P592,Sku!B:B,Sku!#REF!)*20%),2),ROUND(SUM('Banco de Dados'!$R592*_xlfn.XLOOKUP('Banco de Dados'!$P592,Sku!B:B,Sku!H:H)*20%),2)),'Banco de Dados'!$A592="GO",ROUND(_xlfn.XLOOKUP('Banco de Dados'!$P592,Sku!C:C,Sku!H:H),2),'Banco de Dados'!$A592="MEI",ROUND(_xlfn.XLOOKUP('Banco de Dados'!$P592,Sku!D:D,Sku!H:H),2)),0)</f>
        <v>0</v>
      </c>
      <c r="AN592" s="109">
        <f ca="1">IF('Banco de Dados'!$AK592&lt;&gt;"-",IF('Banco de Dados'!$F592&lt;&gt;"-",_xlfn.XLOOKUP(IFERROR(IFERROR(IFERROR(VALUE(SUBSTITUTE(MID(_xlfn.TEXTAFTER('Banco de Dados'!$F592,"Data do Pedido:
",1),1,10),"-","/")),VALUE(SUBSTITUTE(MID(_xlfn.TEXTAFTER('Banco de Dados'!$F592,"Order date:
",1),1,10),"-","/"))),VALUE(SUBSTITUTE(MID(_xlfn.TEXTAFTER('Banco de Dados'!$F592,"Fecha de pedido:
",1),1,10),"-","/"))),"-"),SMS!A:A,SMS!K:K),0),0)</f>
        <v>0</v>
      </c>
      <c r="AO592" s="109">
        <f ca="1">IF('Banco de Dados'!$AK592&lt;&gt;"-",IF('Banco de Dados'!$F592&lt;&gt;"-",IFERROR(_xlfn.XLOOKUP(_xlfn.CONCAT('Banco de Dados'!$A592,IFERROR(IFERROR(VALUE(SUBSTITUTE(MID(_xlfn.TEXTAFTER('Banco de Dados'!$F592,"Data do Pedido:
",1),1,10),"-","/")),VALUE(SUBSTITUTE(MID(_xlfn.TEXTAFTER('Banco de Dados'!$F592,"Order date:
",1),1,10),"-","/"))),0)),ProxyDD[Chave],ProxyDD[Valor por pedido]),PROXY!$P$2),0),0)</f>
        <v>0</v>
      </c>
      <c r="AP592" s="28">
        <f ca="1">IF('Banco de Dados'!$AK592&lt;&gt;"-",IF('Banco de Dados'!$AL592="NÃO",IFERROR(VALUE(SUBSTITUTE(_xlfn.TEXTAFTER('Banco de Dados'!$F592,"BRL ",1),".",",")),0),0),0)</f>
        <v>0</v>
      </c>
      <c r="AQ592" s="28">
        <f ca="1">SUM('Banco de Dados'!$AM592:$AP592)</f>
        <v>0</v>
      </c>
      <c r="AR592" s="8"/>
      <c r="AS592" s="8"/>
      <c r="AY592" s="8"/>
    </row>
    <row r="593" spans="1:51">
      <c r="A593" s="5" t="str">
        <v>BV</v>
      </c>
      <c r="B593" s="5" t="str">
        <f ca="1"/>
        <v>BV45642</v>
      </c>
      <c r="C593" s="8" t="str">
        <v>Pedido 581</v>
      </c>
      <c r="D593" s="9">
        <v>45642</v>
      </c>
      <c r="E593" s="9">
        <v>45642</v>
      </c>
      <c r="F593" s="8" t="str">
        <v>PedidoF568</v>
      </c>
      <c r="G593" s="2" t="str">
        <v>CódRastreio566</v>
      </c>
      <c r="H593" s="5">
        <v>1</v>
      </c>
      <c r="I593" s="182" t="str">
        <v>CPF 563</v>
      </c>
      <c r="J593" s="2" t="str">
        <v>Nome 563</v>
      </c>
      <c r="K593" s="8" t="str">
        <v>Tel 563</v>
      </c>
      <c r="L593" s="8" t="str">
        <v>Cep 563</v>
      </c>
      <c r="M593" s="8" t="str">
        <v>Rua 563</v>
      </c>
      <c r="N593" s="8" t="str">
        <v>Comp 563</v>
      </c>
      <c r="O593" s="8" t="str">
        <v>Ventilador Azul</v>
      </c>
      <c r="P593" s="8" t="str">
        <v>U8-2VWS-OB6M</v>
      </c>
      <c r="Q593" s="4">
        <v>45667</v>
      </c>
      <c r="R593" s="109">
        <v>65.599999999999994</v>
      </c>
      <c r="S593" s="11">
        <f ca="1"/>
        <v>65.599999999999994</v>
      </c>
      <c r="T593" s="28">
        <f ca="1"/>
        <v>8.5279999999999987</v>
      </c>
      <c r="U593" s="11">
        <f ca="1"/>
        <v>57.07</v>
      </c>
      <c r="V593" s="11">
        <v>18.940000000000001</v>
      </c>
      <c r="W593" s="11">
        <f ca="1"/>
        <v>0.15</v>
      </c>
      <c r="X593" s="11">
        <f ca="1"/>
        <v>0.39877104377104378</v>
      </c>
      <c r="Y593" s="11">
        <v>0</v>
      </c>
      <c r="Z593" s="11">
        <f ca="1"/>
        <v>37.581228956228955</v>
      </c>
      <c r="AA593" s="11">
        <f ca="1"/>
        <v>18.790614478114477</v>
      </c>
      <c r="AB593" s="4">
        <f ca="1"/>
        <v>45674</v>
      </c>
      <c r="AC593" s="4">
        <v>45674</v>
      </c>
      <c r="AD593" s="9">
        <v>45674</v>
      </c>
      <c r="AE593" s="9">
        <v>45694</v>
      </c>
      <c r="AF593" s="4" t="str">
        <f t="shared" ca="1" si="18"/>
        <v>2025 01</v>
      </c>
      <c r="AG593" s="8" t="str" cm="1">
        <f t="array" ref="AG593">IFERROR(_xlfn.IFS('Banco de Dados'!#REF!="AG. COMPRA","Em processamento",'Banco de Dados'!#REF!="AG. RASTREIO","Em processamento",'Banco de Dados'!$AE593&lt;&gt;"-","Faturado",'Banco de Dados'!$AD593&lt;&gt;"-","Aguardando Pix",'Banco de Dados'!$AC593&lt;&gt;"-","Pendente"),"Aguardando Liberação")</f>
        <v>Aguardando Liberação</v>
      </c>
      <c r="AH593" s="5" t="str">
        <f>IF('Banco de Dados'!$F593="-",_xlfn.CONCAT(PROPER(TEXT(AK593,"aaaa"))," ",PROPER(TEXT(AK593,"mm"))),_xlfn.CONCAT(PROPER(TEXT(E593,"aaaa"))," ",PROPER(TEXT(E593,"mm"))))</f>
        <v>2024 12</v>
      </c>
      <c r="AI593" s="9" t="str">
        <f ca="1">IF('Banco de Dados'!$AK593&lt;&gt;"-","REEMBOLSO",IFERROR(_xlfn.XLOOKUP(G593,Follow[CODRASTREIO],Follow[STATUS]),"-"))</f>
        <v>ENTREGUE</v>
      </c>
      <c r="AJ593" s="9">
        <f ca="1">IF('Banco de Dados'!$AI593="ENTREGUE",_xlfn.XLOOKUP('Banco de Dados'!$G593,Follow[CODRASTREIO],Follow[DATAATUALIZAÇÃO]),"-")</f>
        <v>45659</v>
      </c>
      <c r="AK593" s="9" t="str">
        <f ca="1"/>
        <v>-</v>
      </c>
      <c r="AL593" s="35"/>
      <c r="AM593" s="109" cm="1">
        <f t="array" aca="1" ref="AM593" ca="1">IF('Banco de Dados'!$AK593&lt;&gt;"-",_xlfn.IFS('Banco de Dados'!$A593="bv",IF('Banco de Dados'!$E593&lt;45641,ROUND(SUM('Banco de Dados'!$R593*_xlfn.XLOOKUP('Banco de Dados'!$P593,Sku!B:B,Sku!#REF!)*20%),2),ROUND(SUM('Banco de Dados'!$R593*_xlfn.XLOOKUP('Banco de Dados'!$P593,Sku!B:B,Sku!H:H)*20%),2)),'Banco de Dados'!$A593="GO",ROUND(_xlfn.XLOOKUP('Banco de Dados'!$P593,Sku!C:C,Sku!H:H),2),'Banco de Dados'!$A593="MEI",ROUND(_xlfn.XLOOKUP('Banco de Dados'!$P593,Sku!D:D,Sku!H:H),2)),0)</f>
        <v>0</v>
      </c>
      <c r="AN593" s="109">
        <f ca="1">IF('Banco de Dados'!$AK593&lt;&gt;"-",IF('Banco de Dados'!$F593&lt;&gt;"-",_xlfn.XLOOKUP(IFERROR(IFERROR(IFERROR(VALUE(SUBSTITUTE(MID(_xlfn.TEXTAFTER('Banco de Dados'!$F593,"Data do Pedido:
",1),1,10),"-","/")),VALUE(SUBSTITUTE(MID(_xlfn.TEXTAFTER('Banco de Dados'!$F593,"Order date:
",1),1,10),"-","/"))),VALUE(SUBSTITUTE(MID(_xlfn.TEXTAFTER('Banco de Dados'!$F593,"Fecha de pedido:
",1),1,10),"-","/"))),"-"),SMS!A:A,SMS!K:K),0),0)</f>
        <v>0</v>
      </c>
      <c r="AO593" s="109">
        <f ca="1">IF('Banco de Dados'!$AK593&lt;&gt;"-",IF('Banco de Dados'!$F593&lt;&gt;"-",IFERROR(_xlfn.XLOOKUP(_xlfn.CONCAT('Banco de Dados'!$A593,IFERROR(IFERROR(VALUE(SUBSTITUTE(MID(_xlfn.TEXTAFTER('Banco de Dados'!$F593,"Data do Pedido:
",1),1,10),"-","/")),VALUE(SUBSTITUTE(MID(_xlfn.TEXTAFTER('Banco de Dados'!$F593,"Order date:
",1),1,10),"-","/"))),0)),ProxyDD[Chave],ProxyDD[Valor por pedido]),PROXY!$P$2),0),0)</f>
        <v>0</v>
      </c>
      <c r="AP593" s="28">
        <f ca="1">IF('Banco de Dados'!$AK593&lt;&gt;"-",IF('Banco de Dados'!$AL593="NÃO",IFERROR(VALUE(SUBSTITUTE(_xlfn.TEXTAFTER('Banco de Dados'!$F593,"BRL ",1),".",",")),0),0),0)</f>
        <v>0</v>
      </c>
      <c r="AQ593" s="28">
        <f ca="1">SUM('Banco de Dados'!$AM593:$AP593)</f>
        <v>0</v>
      </c>
      <c r="AR593" s="8"/>
      <c r="AS593" s="8"/>
      <c r="AY593" s="8"/>
    </row>
    <row r="594" spans="1:51">
      <c r="A594" s="5" t="str">
        <v>BV</v>
      </c>
      <c r="B594" s="5" t="str">
        <f ca="1"/>
        <v>BV45642</v>
      </c>
      <c r="C594" s="8" t="str">
        <v>Pedido 582</v>
      </c>
      <c r="D594" s="9">
        <v>45642</v>
      </c>
      <c r="E594" s="9">
        <v>45642</v>
      </c>
      <c r="F594" s="8" t="str">
        <v>PedidoF569</v>
      </c>
      <c r="G594" s="2" t="str">
        <v>CódRastreio567</v>
      </c>
      <c r="H594" s="5">
        <v>1</v>
      </c>
      <c r="I594" s="182" t="str">
        <v>CPF 564</v>
      </c>
      <c r="J594" s="2" t="str">
        <v>Nome 564</v>
      </c>
      <c r="K594" s="8" t="str">
        <v>Tel 564</v>
      </c>
      <c r="L594" s="8" t="str">
        <v>Cep 564</v>
      </c>
      <c r="M594" s="8" t="str">
        <v>Rua 564</v>
      </c>
      <c r="N594" s="8" t="str">
        <v>Comp 564</v>
      </c>
      <c r="O594" s="8" t="str">
        <v>Ventilador Rosa</v>
      </c>
      <c r="P594" s="8" t="str">
        <v>IF-G2ZQ-79FO</v>
      </c>
      <c r="Q594" s="4">
        <v>45673</v>
      </c>
      <c r="R594" s="109">
        <v>54.8</v>
      </c>
      <c r="S594" s="11">
        <f ca="1"/>
        <v>54.8</v>
      </c>
      <c r="T594" s="28">
        <f ca="1"/>
        <v>7.1239999999999997</v>
      </c>
      <c r="U594" s="11">
        <f ca="1"/>
        <v>47.68</v>
      </c>
      <c r="V594" s="11">
        <v>18.940000000000001</v>
      </c>
      <c r="W594" s="11">
        <f ca="1"/>
        <v>0.15</v>
      </c>
      <c r="X594" s="11">
        <f ca="1"/>
        <v>0.39877104377104378</v>
      </c>
      <c r="Y594" s="11">
        <v>0</v>
      </c>
      <c r="Z594" s="11">
        <f ca="1"/>
        <v>28.191228956228954</v>
      </c>
      <c r="AA594" s="11">
        <f ca="1"/>
        <v>14.095614478114477</v>
      </c>
      <c r="AB594" s="4">
        <f ca="1"/>
        <v>45680</v>
      </c>
      <c r="AC594" s="4">
        <v>45680</v>
      </c>
      <c r="AD594" s="9">
        <v>45688</v>
      </c>
      <c r="AE594" s="9">
        <v>45694</v>
      </c>
      <c r="AF594" s="4" t="str">
        <f t="shared" ca="1" si="18"/>
        <v>2025 01</v>
      </c>
      <c r="AG594" s="8" t="str" cm="1">
        <f t="array" ref="AG594">IFERROR(_xlfn.IFS('Banco de Dados'!#REF!="AG. COMPRA","Em processamento",'Banco de Dados'!#REF!="AG. RASTREIO","Em processamento",'Banco de Dados'!$AE594&lt;&gt;"-","Faturado",'Banco de Dados'!$AD594&lt;&gt;"-","Aguardando Pix",'Banco de Dados'!$AC594&lt;&gt;"-","Pendente"),"Aguardando Liberação")</f>
        <v>Aguardando Liberação</v>
      </c>
      <c r="AH594" s="5" t="str">
        <f>IF('Banco de Dados'!$F594="-",_xlfn.CONCAT(PROPER(TEXT(AK594,"aaaa"))," ",PROPER(TEXT(AK594,"mm"))),_xlfn.CONCAT(PROPER(TEXT(E594,"aaaa"))," ",PROPER(TEXT(E594,"mm"))))</f>
        <v>2024 12</v>
      </c>
      <c r="AI594" s="9" t="str">
        <f ca="1">IF('Banco de Dados'!$AK594&lt;&gt;"-","REEMBOLSO",IFERROR(_xlfn.XLOOKUP(G594,Follow[CODRASTREIO],Follow[STATUS]),"-"))</f>
        <v>ENTREGUE</v>
      </c>
      <c r="AJ594" s="9">
        <f ca="1">IF('Banco de Dados'!$AI594="ENTREGUE",_xlfn.XLOOKUP('Banco de Dados'!$G594,Follow[CODRASTREIO],Follow[DATAATUALIZAÇÃO]),"-")</f>
        <v>45665</v>
      </c>
      <c r="AK594" s="9" t="str">
        <f ca="1"/>
        <v>-</v>
      </c>
      <c r="AL594" s="35"/>
      <c r="AM594" s="109" cm="1">
        <f t="array" aca="1" ref="AM594" ca="1">IF('Banco de Dados'!$AK594&lt;&gt;"-",_xlfn.IFS('Banco de Dados'!$A594="bv",IF('Banco de Dados'!$E594&lt;45641,ROUND(SUM('Banco de Dados'!$R594*_xlfn.XLOOKUP('Banco de Dados'!$P594,Sku!B:B,Sku!#REF!)*20%),2),ROUND(SUM('Banco de Dados'!$R594*_xlfn.XLOOKUP('Banco de Dados'!$P594,Sku!B:B,Sku!H:H)*20%),2)),'Banco de Dados'!$A594="GO",ROUND(_xlfn.XLOOKUP('Banco de Dados'!$P594,Sku!C:C,Sku!H:H),2),'Banco de Dados'!$A594="MEI",ROUND(_xlfn.XLOOKUP('Banco de Dados'!$P594,Sku!D:D,Sku!H:H),2)),0)</f>
        <v>0</v>
      </c>
      <c r="AN594" s="109">
        <f ca="1">IF('Banco de Dados'!$AK594&lt;&gt;"-",IF('Banco de Dados'!$F594&lt;&gt;"-",_xlfn.XLOOKUP(IFERROR(IFERROR(IFERROR(VALUE(SUBSTITUTE(MID(_xlfn.TEXTAFTER('Banco de Dados'!$F594,"Data do Pedido:
",1),1,10),"-","/")),VALUE(SUBSTITUTE(MID(_xlfn.TEXTAFTER('Banco de Dados'!$F594,"Order date:
",1),1,10),"-","/"))),VALUE(SUBSTITUTE(MID(_xlfn.TEXTAFTER('Banco de Dados'!$F594,"Fecha de pedido:
",1),1,10),"-","/"))),"-"),SMS!A:A,SMS!K:K),0),0)</f>
        <v>0</v>
      </c>
      <c r="AO594" s="109">
        <f ca="1">IF('Banco de Dados'!$AK594&lt;&gt;"-",IF('Banco de Dados'!$F594&lt;&gt;"-",IFERROR(_xlfn.XLOOKUP(_xlfn.CONCAT('Banco de Dados'!$A594,IFERROR(IFERROR(VALUE(SUBSTITUTE(MID(_xlfn.TEXTAFTER('Banco de Dados'!$F594,"Data do Pedido:
",1),1,10),"-","/")),VALUE(SUBSTITUTE(MID(_xlfn.TEXTAFTER('Banco de Dados'!$F594,"Order date:
",1),1,10),"-","/"))),0)),ProxyDD[Chave],ProxyDD[Valor por pedido]),PROXY!$P$2),0),0)</f>
        <v>0</v>
      </c>
      <c r="AP594" s="28">
        <f ca="1">IF('Banco de Dados'!$AK594&lt;&gt;"-",IF('Banco de Dados'!$AL594="NÃO",IFERROR(VALUE(SUBSTITUTE(_xlfn.TEXTAFTER('Banco de Dados'!$F594,"BRL ",1),".",",")),0),0),0)</f>
        <v>0</v>
      </c>
      <c r="AQ594" s="28">
        <f ca="1">SUM('Banco de Dados'!$AM594:$AP594)</f>
        <v>0</v>
      </c>
      <c r="AR594" s="8"/>
      <c r="AS594" s="8"/>
      <c r="AY594" s="8"/>
    </row>
    <row r="595" spans="1:51">
      <c r="A595" s="5" t="str">
        <v>BV</v>
      </c>
      <c r="B595" s="5" t="str">
        <f ca="1"/>
        <v>BV45642</v>
      </c>
      <c r="C595" s="8" t="str">
        <v>Pedido 583</v>
      </c>
      <c r="D595" s="9">
        <v>45642</v>
      </c>
      <c r="E595" s="9">
        <v>45642</v>
      </c>
      <c r="F595" s="8" t="str">
        <v>PedidoF570</v>
      </c>
      <c r="G595" s="2" t="str">
        <v>CódRastreio568</v>
      </c>
      <c r="H595" s="5">
        <v>1</v>
      </c>
      <c r="I595" s="182" t="str">
        <v>CPF 565</v>
      </c>
      <c r="J595" s="2" t="str">
        <v>Nome 565</v>
      </c>
      <c r="K595" s="8" t="str">
        <v>Tel 565</v>
      </c>
      <c r="L595" s="8" t="str">
        <v>Cep 565</v>
      </c>
      <c r="M595" s="8" t="str">
        <v>Rua 565</v>
      </c>
      <c r="N595" s="8" t="str">
        <v>Comp 565</v>
      </c>
      <c r="O595" s="8" t="str">
        <v>Ventilador Rosa</v>
      </c>
      <c r="P595" s="8" t="str">
        <v>IF-G2ZQ-79FO</v>
      </c>
      <c r="Q595" s="4">
        <v>45673</v>
      </c>
      <c r="R595" s="109">
        <v>54.8</v>
      </c>
      <c r="S595" s="11">
        <f ca="1"/>
        <v>54.8</v>
      </c>
      <c r="T595" s="28">
        <f ca="1"/>
        <v>7.1239999999999997</v>
      </c>
      <c r="U595" s="11">
        <f ca="1"/>
        <v>47.68</v>
      </c>
      <c r="V595" s="11">
        <v>18.940000000000001</v>
      </c>
      <c r="W595" s="11">
        <f ca="1"/>
        <v>0.15</v>
      </c>
      <c r="X595" s="11">
        <f ca="1"/>
        <v>0.39877104377104378</v>
      </c>
      <c r="Y595" s="11">
        <v>0</v>
      </c>
      <c r="Z595" s="11">
        <f ca="1"/>
        <v>28.191228956228954</v>
      </c>
      <c r="AA595" s="11">
        <f ca="1"/>
        <v>14.095614478114477</v>
      </c>
      <c r="AB595" s="4">
        <f ca="1"/>
        <v>45680</v>
      </c>
      <c r="AC595" s="4">
        <v>45680</v>
      </c>
      <c r="AD595" s="9">
        <v>45688</v>
      </c>
      <c r="AE595" s="9">
        <v>45694</v>
      </c>
      <c r="AF595" s="4" t="str">
        <f t="shared" ca="1" si="18"/>
        <v>2025 01</v>
      </c>
      <c r="AG595" s="8" t="str" cm="1">
        <f t="array" ref="AG595">IFERROR(_xlfn.IFS('Banco de Dados'!#REF!="AG. COMPRA","Em processamento",'Banco de Dados'!#REF!="AG. RASTREIO","Em processamento",'Banco de Dados'!$AE595&lt;&gt;"-","Faturado",'Banco de Dados'!$AD595&lt;&gt;"-","Aguardando Pix",'Banco de Dados'!$AC595&lt;&gt;"-","Pendente"),"Aguardando Liberação")</f>
        <v>Aguardando Liberação</v>
      </c>
      <c r="AH595" s="5" t="str">
        <f>IF('Banco de Dados'!$F595="-",_xlfn.CONCAT(PROPER(TEXT(AK595,"aaaa"))," ",PROPER(TEXT(AK595,"mm"))),_xlfn.CONCAT(PROPER(TEXT(E595,"aaaa"))," ",PROPER(TEXT(E595,"mm"))))</f>
        <v>2024 12</v>
      </c>
      <c r="AI595" s="9" t="str">
        <f ca="1">IF('Banco de Dados'!$AK595&lt;&gt;"-","REEMBOLSO",IFERROR(_xlfn.XLOOKUP(G595,Follow[CODRASTREIO],Follow[STATUS]),"-"))</f>
        <v>ENTREGUE</v>
      </c>
      <c r="AJ595" s="9">
        <f ca="1">IF('Banco de Dados'!$AI595="ENTREGUE",_xlfn.XLOOKUP('Banco de Dados'!$G595,Follow[CODRASTREIO],Follow[DATAATUALIZAÇÃO]),"-")</f>
        <v>45659</v>
      </c>
      <c r="AK595" s="9" t="str">
        <f ca="1"/>
        <v>-</v>
      </c>
      <c r="AL595" s="35"/>
      <c r="AM595" s="109" cm="1">
        <f t="array" aca="1" ref="AM595" ca="1">IF('Banco de Dados'!$AK595&lt;&gt;"-",_xlfn.IFS('Banco de Dados'!$A595="bv",IF('Banco de Dados'!$E595&lt;45641,ROUND(SUM('Banco de Dados'!$R595*_xlfn.XLOOKUP('Banco de Dados'!$P595,Sku!B:B,Sku!#REF!)*20%),2),ROUND(SUM('Banco de Dados'!$R595*_xlfn.XLOOKUP('Banco de Dados'!$P595,Sku!B:B,Sku!H:H)*20%),2)),'Banco de Dados'!$A595="GO",ROUND(_xlfn.XLOOKUP('Banco de Dados'!$P595,Sku!C:C,Sku!H:H),2),'Banco de Dados'!$A595="MEI",ROUND(_xlfn.XLOOKUP('Banco de Dados'!$P595,Sku!D:D,Sku!H:H),2)),0)</f>
        <v>0</v>
      </c>
      <c r="AN595" s="109">
        <f ca="1">IF('Banco de Dados'!$AK595&lt;&gt;"-",IF('Banco de Dados'!$F595&lt;&gt;"-",_xlfn.XLOOKUP(IFERROR(IFERROR(IFERROR(VALUE(SUBSTITUTE(MID(_xlfn.TEXTAFTER('Banco de Dados'!$F595,"Data do Pedido:
",1),1,10),"-","/")),VALUE(SUBSTITUTE(MID(_xlfn.TEXTAFTER('Banco de Dados'!$F595,"Order date:
",1),1,10),"-","/"))),VALUE(SUBSTITUTE(MID(_xlfn.TEXTAFTER('Banco de Dados'!$F595,"Fecha de pedido:
",1),1,10),"-","/"))),"-"),SMS!A:A,SMS!K:K),0),0)</f>
        <v>0</v>
      </c>
      <c r="AO595" s="109">
        <f ca="1">IF('Banco de Dados'!$AK595&lt;&gt;"-",IF('Banco de Dados'!$F595&lt;&gt;"-",IFERROR(_xlfn.XLOOKUP(_xlfn.CONCAT('Banco de Dados'!$A595,IFERROR(IFERROR(VALUE(SUBSTITUTE(MID(_xlfn.TEXTAFTER('Banco de Dados'!$F595,"Data do Pedido:
",1),1,10),"-","/")),VALUE(SUBSTITUTE(MID(_xlfn.TEXTAFTER('Banco de Dados'!$F595,"Order date:
",1),1,10),"-","/"))),0)),ProxyDD[Chave],ProxyDD[Valor por pedido]),PROXY!$P$2),0),0)</f>
        <v>0</v>
      </c>
      <c r="AP595" s="28">
        <f ca="1">IF('Banco de Dados'!$AK595&lt;&gt;"-",IF('Banco de Dados'!$AL595="NÃO",IFERROR(VALUE(SUBSTITUTE(_xlfn.TEXTAFTER('Banco de Dados'!$F595,"BRL ",1),".",",")),0),0),0)</f>
        <v>0</v>
      </c>
      <c r="AQ595" s="28">
        <f ca="1">SUM('Banco de Dados'!$AM595:$AP595)</f>
        <v>0</v>
      </c>
      <c r="AR595" s="8"/>
      <c r="AS595" s="8"/>
      <c r="AY595" s="8"/>
    </row>
    <row r="596" spans="1:51">
      <c r="A596" s="5" t="str">
        <v>BV</v>
      </c>
      <c r="B596" s="5" t="str">
        <f ca="1"/>
        <v>BV45642</v>
      </c>
      <c r="C596" s="8" t="str">
        <v>Pedido 584</v>
      </c>
      <c r="D596" s="9">
        <v>45642</v>
      </c>
      <c r="E596" s="9">
        <v>45642</v>
      </c>
      <c r="F596" s="8" t="str">
        <v>PedidoF571</v>
      </c>
      <c r="G596" s="2" t="str">
        <v>CódRastreio569</v>
      </c>
      <c r="H596" s="5">
        <v>1</v>
      </c>
      <c r="I596" s="182" t="str">
        <v>CPF 566</v>
      </c>
      <c r="J596" s="2" t="str">
        <v>Nome 566</v>
      </c>
      <c r="K596" s="8" t="str">
        <v>Tel 566</v>
      </c>
      <c r="L596" s="8" t="str">
        <v>Cep 566</v>
      </c>
      <c r="M596" s="8" t="str">
        <v>Rua 566</v>
      </c>
      <c r="N596" s="8" t="str">
        <v>Comp 566</v>
      </c>
      <c r="O596" s="8" t="str">
        <v>Ventilador Preto</v>
      </c>
      <c r="P596" s="8" t="str">
        <v>MU-J80P-95WF</v>
      </c>
      <c r="Q596" s="4">
        <v>45667</v>
      </c>
      <c r="R596" s="109">
        <v>65.599999999999994</v>
      </c>
      <c r="S596" s="11">
        <f ca="1"/>
        <v>65.599999999999994</v>
      </c>
      <c r="T596" s="28">
        <f ca="1"/>
        <v>8.5279999999999987</v>
      </c>
      <c r="U596" s="11">
        <f ca="1"/>
        <v>57.07</v>
      </c>
      <c r="V596" s="11">
        <v>19.53</v>
      </c>
      <c r="W596" s="11">
        <f ca="1"/>
        <v>0.15</v>
      </c>
      <c r="X596" s="11">
        <f ca="1"/>
        <v>0.39877104377104378</v>
      </c>
      <c r="Y596" s="11">
        <v>0</v>
      </c>
      <c r="Z596" s="11">
        <f ca="1"/>
        <v>36.991228956228952</v>
      </c>
      <c r="AA596" s="11">
        <f ca="1"/>
        <v>18.495614478114476</v>
      </c>
      <c r="AB596" s="4">
        <f ca="1"/>
        <v>45674</v>
      </c>
      <c r="AC596" s="4">
        <v>45674</v>
      </c>
      <c r="AD596" s="9">
        <v>45674</v>
      </c>
      <c r="AE596" s="9">
        <v>45694</v>
      </c>
      <c r="AF596" s="4" t="str">
        <f t="shared" ref="AF596:AF617" ca="1" si="19">_xlfn.CONCAT(PROPER(TEXT(AB596,"aaaa"))," ",PROPER(TEXT(AB596,"mm")))</f>
        <v>2025 01</v>
      </c>
      <c r="AG596" s="8" t="str" cm="1">
        <f t="array" ref="AG596">IFERROR(_xlfn.IFS('Banco de Dados'!#REF!="AG. COMPRA","Em processamento",'Banco de Dados'!#REF!="AG. RASTREIO","Em processamento",'Banco de Dados'!$AE596&lt;&gt;"-","Faturado",'Banco de Dados'!$AD596&lt;&gt;"-","Aguardando Pix",'Banco de Dados'!$AC596&lt;&gt;"-","Pendente"),"Aguardando Liberação")</f>
        <v>Aguardando Liberação</v>
      </c>
      <c r="AH596" s="5" t="str">
        <f>IF('Banco de Dados'!$F596="-",_xlfn.CONCAT(PROPER(TEXT(AK596,"aaaa"))," ",PROPER(TEXT(AK596,"mm"))),_xlfn.CONCAT(PROPER(TEXT(E596,"aaaa"))," ",PROPER(TEXT(E596,"mm"))))</f>
        <v>2024 12</v>
      </c>
      <c r="AI596" s="9" t="str">
        <f ca="1">IF('Banco de Dados'!$AK596&lt;&gt;"-","REEMBOLSO",IFERROR(_xlfn.XLOOKUP(G596,Follow[CODRASTREIO],Follow[STATUS]),"-"))</f>
        <v>ENTREGUE</v>
      </c>
      <c r="AJ596" s="9">
        <f ca="1">IF('Banco de Dados'!$AI596="ENTREGUE",_xlfn.XLOOKUP('Banco de Dados'!$G596,Follow[CODRASTREIO],Follow[DATAATUALIZAÇÃO]),"-")</f>
        <v>45659</v>
      </c>
      <c r="AK596" s="9" t="str">
        <f ca="1"/>
        <v>-</v>
      </c>
      <c r="AL596" s="35"/>
      <c r="AM596" s="109" cm="1">
        <f t="array" aca="1" ref="AM596" ca="1">IF('Banco de Dados'!$AK596&lt;&gt;"-",_xlfn.IFS('Banco de Dados'!$A596="bv",IF('Banco de Dados'!$E596&lt;45641,ROUND(SUM('Banco de Dados'!$R596*_xlfn.XLOOKUP('Banco de Dados'!$P596,Sku!B:B,Sku!#REF!)*20%),2),ROUND(SUM('Banco de Dados'!$R596*_xlfn.XLOOKUP('Banco de Dados'!$P596,Sku!B:B,Sku!H:H)*20%),2)),'Banco de Dados'!$A596="GO",ROUND(_xlfn.XLOOKUP('Banco de Dados'!$P596,Sku!C:C,Sku!H:H),2),'Banco de Dados'!$A596="MEI",ROUND(_xlfn.XLOOKUP('Banco de Dados'!$P596,Sku!D:D,Sku!H:H),2)),0)</f>
        <v>0</v>
      </c>
      <c r="AN596" s="109">
        <f ca="1">IF('Banco de Dados'!$AK596&lt;&gt;"-",IF('Banco de Dados'!$F596&lt;&gt;"-",_xlfn.XLOOKUP(IFERROR(IFERROR(IFERROR(VALUE(SUBSTITUTE(MID(_xlfn.TEXTAFTER('Banco de Dados'!$F596,"Data do Pedido:
",1),1,10),"-","/")),VALUE(SUBSTITUTE(MID(_xlfn.TEXTAFTER('Banco de Dados'!$F596,"Order date:
",1),1,10),"-","/"))),VALUE(SUBSTITUTE(MID(_xlfn.TEXTAFTER('Banco de Dados'!$F596,"Fecha de pedido:
",1),1,10),"-","/"))),"-"),SMS!A:A,SMS!K:K),0),0)</f>
        <v>0</v>
      </c>
      <c r="AO596" s="109">
        <f ca="1">IF('Banco de Dados'!$AK596&lt;&gt;"-",IF('Banco de Dados'!$F596&lt;&gt;"-",IFERROR(_xlfn.XLOOKUP(_xlfn.CONCAT('Banco de Dados'!$A596,IFERROR(IFERROR(VALUE(SUBSTITUTE(MID(_xlfn.TEXTAFTER('Banco de Dados'!$F596,"Data do Pedido:
",1),1,10),"-","/")),VALUE(SUBSTITUTE(MID(_xlfn.TEXTAFTER('Banco de Dados'!$F596,"Order date:
",1),1,10),"-","/"))),0)),ProxyDD[Chave],ProxyDD[Valor por pedido]),PROXY!$P$2),0),0)</f>
        <v>0</v>
      </c>
      <c r="AP596" s="28">
        <f ca="1">IF('Banco de Dados'!$AK596&lt;&gt;"-",IF('Banco de Dados'!$AL596="NÃO",IFERROR(VALUE(SUBSTITUTE(_xlfn.TEXTAFTER('Banco de Dados'!$F596,"BRL ",1),".",",")),0),0),0)</f>
        <v>0</v>
      </c>
      <c r="AQ596" s="28">
        <f ca="1">SUM('Banco de Dados'!$AM596:$AP596)</f>
        <v>0</v>
      </c>
      <c r="AR596" s="8"/>
      <c r="AS596" s="8"/>
      <c r="AY596" s="8"/>
    </row>
    <row r="597" spans="1:51">
      <c r="A597" s="5" t="str">
        <v>BV</v>
      </c>
      <c r="B597" s="5" t="str">
        <f ca="1"/>
        <v>BV45643</v>
      </c>
      <c r="C597" s="8" t="str">
        <v>Pedido 585</v>
      </c>
      <c r="D597" s="9">
        <v>45643</v>
      </c>
      <c r="E597" s="9">
        <v>45643</v>
      </c>
      <c r="F597" s="8" t="str">
        <v>PedidoF572</v>
      </c>
      <c r="G597" s="2" t="str">
        <v>CódRastreio570</v>
      </c>
      <c r="H597" s="5">
        <v>1</v>
      </c>
      <c r="I597" s="182" t="str">
        <v>CPF 567</v>
      </c>
      <c r="J597" s="2" t="str">
        <v>Nome 567</v>
      </c>
      <c r="K597" s="8" t="str">
        <v>Tel 567</v>
      </c>
      <c r="L597" s="8" t="str">
        <v>Cep 567</v>
      </c>
      <c r="M597" s="8" t="str">
        <v>Rua 567</v>
      </c>
      <c r="N597" s="8" t="str">
        <v>Comp 567</v>
      </c>
      <c r="O597" s="8" t="str">
        <v>Ventilador Preto</v>
      </c>
      <c r="P597" s="8" t="str">
        <v>MU-J80P-95WF</v>
      </c>
      <c r="Q597" s="4">
        <v>45668</v>
      </c>
      <c r="R597" s="109">
        <v>65.599999999999994</v>
      </c>
      <c r="S597" s="11">
        <f ca="1"/>
        <v>65.599999999999994</v>
      </c>
      <c r="T597" s="28">
        <f ca="1"/>
        <v>8.5279999999999987</v>
      </c>
      <c r="U597" s="11">
        <f ca="1"/>
        <v>57.07</v>
      </c>
      <c r="V597" s="11">
        <v>17.14</v>
      </c>
      <c r="W597" s="11">
        <f ca="1"/>
        <v>0.2</v>
      </c>
      <c r="X597" s="11">
        <f ca="1"/>
        <v>0.39877104377104378</v>
      </c>
      <c r="Y597" s="11">
        <v>0</v>
      </c>
      <c r="Z597" s="11">
        <f ca="1"/>
        <v>39.331228956228955</v>
      </c>
      <c r="AA597" s="11">
        <f ca="1"/>
        <v>19.665614478114477</v>
      </c>
      <c r="AB597" s="4">
        <f ca="1"/>
        <v>45675</v>
      </c>
      <c r="AC597" s="4">
        <v>45675</v>
      </c>
      <c r="AD597" s="9">
        <v>45679</v>
      </c>
      <c r="AE597" s="9">
        <v>45694</v>
      </c>
      <c r="AF597" s="4" t="str">
        <f t="shared" ca="1" si="19"/>
        <v>2025 01</v>
      </c>
      <c r="AG597" s="8" t="str" cm="1">
        <f t="array" ref="AG597">IFERROR(_xlfn.IFS('Banco de Dados'!#REF!="AG. COMPRA","Em processamento",'Banco de Dados'!#REF!="AG. RASTREIO","Em processamento",'Banco de Dados'!$AE597&lt;&gt;"-","Faturado",'Banco de Dados'!$AD597&lt;&gt;"-","Aguardando Pix",'Banco de Dados'!$AC597&lt;&gt;"-","Pendente"),"Aguardando Liberação")</f>
        <v>Aguardando Liberação</v>
      </c>
      <c r="AH597" s="5" t="str">
        <f>IF('Banco de Dados'!$F597="-",_xlfn.CONCAT(PROPER(TEXT(AK597,"aaaa"))," ",PROPER(TEXT(AK597,"mm"))),_xlfn.CONCAT(PROPER(TEXT(E597,"aaaa"))," ",PROPER(TEXT(E597,"mm"))))</f>
        <v>2024 12</v>
      </c>
      <c r="AI597" s="9" t="str">
        <f ca="1">IF('Banco de Dados'!$AK597&lt;&gt;"-","REEMBOLSO",IFERROR(_xlfn.XLOOKUP(G597,Follow[CODRASTREIO],Follow[STATUS]),"-"))</f>
        <v>ENTREGUE</v>
      </c>
      <c r="AJ597" s="9">
        <f ca="1">IF('Banco de Dados'!$AI597="ENTREGUE",_xlfn.XLOOKUP('Banco de Dados'!$G597,Follow[CODRASTREIO],Follow[DATAATUALIZAÇÃO]),"-")</f>
        <v>45656</v>
      </c>
      <c r="AK597" s="9" t="str">
        <f ca="1"/>
        <v>-</v>
      </c>
      <c r="AL597" s="35"/>
      <c r="AM597" s="109" cm="1">
        <f t="array" aca="1" ref="AM597" ca="1">IF('Banco de Dados'!$AK597&lt;&gt;"-",_xlfn.IFS('Banco de Dados'!$A597="bv",IF('Banco de Dados'!$E597&lt;45641,ROUND(SUM('Banco de Dados'!$R597*_xlfn.XLOOKUP('Banco de Dados'!$P597,Sku!B:B,Sku!#REF!)*20%),2),ROUND(SUM('Banco de Dados'!$R597*_xlfn.XLOOKUP('Banco de Dados'!$P597,Sku!B:B,Sku!H:H)*20%),2)),'Banco de Dados'!$A597="GO",ROUND(_xlfn.XLOOKUP('Banco de Dados'!$P597,Sku!C:C,Sku!H:H),2),'Banco de Dados'!$A597="MEI",ROUND(_xlfn.XLOOKUP('Banco de Dados'!$P597,Sku!D:D,Sku!H:H),2)),0)</f>
        <v>0</v>
      </c>
      <c r="AN597" s="109">
        <f ca="1">IF('Banco de Dados'!$AK597&lt;&gt;"-",IF('Banco de Dados'!$F597&lt;&gt;"-",_xlfn.XLOOKUP(IFERROR(IFERROR(IFERROR(VALUE(SUBSTITUTE(MID(_xlfn.TEXTAFTER('Banco de Dados'!$F597,"Data do Pedido:
",1),1,10),"-","/")),VALUE(SUBSTITUTE(MID(_xlfn.TEXTAFTER('Banco de Dados'!$F597,"Order date:
",1),1,10),"-","/"))),VALUE(SUBSTITUTE(MID(_xlfn.TEXTAFTER('Banco de Dados'!$F597,"Fecha de pedido:
",1),1,10),"-","/"))),"-"),SMS!A:A,SMS!K:K),0),0)</f>
        <v>0</v>
      </c>
      <c r="AO597" s="109">
        <f ca="1">IF('Banco de Dados'!$AK597&lt;&gt;"-",IF('Banco de Dados'!$F597&lt;&gt;"-",IFERROR(_xlfn.XLOOKUP(_xlfn.CONCAT('Banco de Dados'!$A597,IFERROR(IFERROR(VALUE(SUBSTITUTE(MID(_xlfn.TEXTAFTER('Banco de Dados'!$F597,"Data do Pedido:
",1),1,10),"-","/")),VALUE(SUBSTITUTE(MID(_xlfn.TEXTAFTER('Banco de Dados'!$F597,"Order date:
",1),1,10),"-","/"))),0)),ProxyDD[Chave],ProxyDD[Valor por pedido]),PROXY!$P$2),0),0)</f>
        <v>0</v>
      </c>
      <c r="AP597" s="28">
        <f ca="1">IF('Banco de Dados'!$AK597&lt;&gt;"-",IF('Banco de Dados'!$AL597="NÃO",IFERROR(VALUE(SUBSTITUTE(_xlfn.TEXTAFTER('Banco de Dados'!$F597,"BRL ",1),".",",")),0),0),0)</f>
        <v>0</v>
      </c>
      <c r="AQ597" s="28">
        <f ca="1">SUM('Banco de Dados'!$AM597:$AP597)</f>
        <v>0</v>
      </c>
      <c r="AR597" s="8"/>
      <c r="AS597" s="8"/>
      <c r="AY597" s="8"/>
    </row>
    <row r="598" spans="1:51">
      <c r="A598" s="5" t="str">
        <v>BV</v>
      </c>
      <c r="B598" s="5" t="str">
        <f ca="1"/>
        <v>BV45643</v>
      </c>
      <c r="C598" s="8" t="str">
        <v>Pedido 586</v>
      </c>
      <c r="D598" s="9">
        <v>45643</v>
      </c>
      <c r="E598" s="9">
        <v>45643</v>
      </c>
      <c r="F598" s="8" t="str">
        <v>PedidoF573</v>
      </c>
      <c r="G598" s="2" t="str">
        <v>CódRastreio571</v>
      </c>
      <c r="H598" s="5">
        <v>1</v>
      </c>
      <c r="I598" s="182" t="str">
        <v>CPF 568</v>
      </c>
      <c r="J598" s="2" t="str">
        <v>Nome 568</v>
      </c>
      <c r="K598" s="8" t="str">
        <v>Tel 568</v>
      </c>
      <c r="L598" s="8" t="str">
        <v>Cep 568</v>
      </c>
      <c r="M598" s="8" t="str">
        <v>Rua 568</v>
      </c>
      <c r="N598" s="8" t="str">
        <v>Comp 568</v>
      </c>
      <c r="O598" s="8" t="str">
        <v>Ventilador Preto</v>
      </c>
      <c r="P598" s="8" t="str">
        <v>MU-J80P-95WF</v>
      </c>
      <c r="Q598" s="4">
        <v>45668</v>
      </c>
      <c r="R598" s="109">
        <v>65.599999999999994</v>
      </c>
      <c r="S598" s="11">
        <f ca="1"/>
        <v>65.599999999999994</v>
      </c>
      <c r="T598" s="28">
        <f ca="1"/>
        <v>8.5279999999999987</v>
      </c>
      <c r="U598" s="11">
        <f ca="1"/>
        <v>57.07</v>
      </c>
      <c r="V598" s="11">
        <v>17.14</v>
      </c>
      <c r="W598" s="11">
        <f ca="1"/>
        <v>0.2</v>
      </c>
      <c r="X598" s="11">
        <f ca="1"/>
        <v>0.39877104377104378</v>
      </c>
      <c r="Y598" s="11">
        <v>0</v>
      </c>
      <c r="Z598" s="11">
        <f ca="1"/>
        <v>39.331228956228955</v>
      </c>
      <c r="AA598" s="11">
        <f ca="1"/>
        <v>19.665614478114477</v>
      </c>
      <c r="AB598" s="4">
        <f ca="1"/>
        <v>45675</v>
      </c>
      <c r="AC598" s="4">
        <v>45675</v>
      </c>
      <c r="AD598" s="9">
        <v>45679</v>
      </c>
      <c r="AE598" s="9">
        <v>45694</v>
      </c>
      <c r="AF598" s="4" t="str">
        <f t="shared" ca="1" si="19"/>
        <v>2025 01</v>
      </c>
      <c r="AG598" s="8" t="str" cm="1">
        <f t="array" ref="AG598">IFERROR(_xlfn.IFS('Banco de Dados'!#REF!="AG. COMPRA","Em processamento",'Banco de Dados'!#REF!="AG. RASTREIO","Em processamento",'Banco de Dados'!$AE598&lt;&gt;"-","Faturado",'Banco de Dados'!$AD598&lt;&gt;"-","Aguardando Pix",'Banco de Dados'!$AC598&lt;&gt;"-","Pendente"),"Aguardando Liberação")</f>
        <v>Aguardando Liberação</v>
      </c>
      <c r="AH598" s="5" t="str">
        <f>IF('Banco de Dados'!$F598="-",_xlfn.CONCAT(PROPER(TEXT(AK598,"aaaa"))," ",PROPER(TEXT(AK598,"mm"))),_xlfn.CONCAT(PROPER(TEXT(E598,"aaaa"))," ",PROPER(TEXT(E598,"mm"))))</f>
        <v>2024 12</v>
      </c>
      <c r="AI598" s="9" t="str">
        <f ca="1">IF('Banco de Dados'!$AK598&lt;&gt;"-","REEMBOLSO",IFERROR(_xlfn.XLOOKUP(G598,Follow[CODRASTREIO],Follow[STATUS]),"-"))</f>
        <v>ENTREGUE</v>
      </c>
      <c r="AJ598" s="9">
        <f ca="1">IF('Banco de Dados'!$AI598="ENTREGUE",_xlfn.XLOOKUP('Banco de Dados'!$G598,Follow[CODRASTREIO],Follow[DATAATUALIZAÇÃO]),"-")</f>
        <v>45656</v>
      </c>
      <c r="AK598" s="9" t="str">
        <f ca="1"/>
        <v>-</v>
      </c>
      <c r="AL598" s="35"/>
      <c r="AM598" s="109" cm="1">
        <f t="array" aca="1" ref="AM598" ca="1">IF('Banco de Dados'!$AK598&lt;&gt;"-",_xlfn.IFS('Banco de Dados'!$A598="bv",IF('Banco de Dados'!$E598&lt;45641,ROUND(SUM('Banco de Dados'!$R598*_xlfn.XLOOKUP('Banco de Dados'!$P598,Sku!B:B,Sku!#REF!)*20%),2),ROUND(SUM('Banco de Dados'!$R598*_xlfn.XLOOKUP('Banco de Dados'!$P598,Sku!B:B,Sku!H:H)*20%),2)),'Banco de Dados'!$A598="GO",ROUND(_xlfn.XLOOKUP('Banco de Dados'!$P598,Sku!C:C,Sku!H:H),2),'Banco de Dados'!$A598="MEI",ROUND(_xlfn.XLOOKUP('Banco de Dados'!$P598,Sku!D:D,Sku!H:H),2)),0)</f>
        <v>0</v>
      </c>
      <c r="AN598" s="109">
        <f ca="1">IF('Banco de Dados'!$AK598&lt;&gt;"-",IF('Banco de Dados'!$F598&lt;&gt;"-",_xlfn.XLOOKUP(IFERROR(IFERROR(IFERROR(VALUE(SUBSTITUTE(MID(_xlfn.TEXTAFTER('Banco de Dados'!$F598,"Data do Pedido:
",1),1,10),"-","/")),VALUE(SUBSTITUTE(MID(_xlfn.TEXTAFTER('Banco de Dados'!$F598,"Order date:
",1),1,10),"-","/"))),VALUE(SUBSTITUTE(MID(_xlfn.TEXTAFTER('Banco de Dados'!$F598,"Fecha de pedido:
",1),1,10),"-","/"))),"-"),SMS!A:A,SMS!K:K),0),0)</f>
        <v>0</v>
      </c>
      <c r="AO598" s="109">
        <f ca="1">IF('Banco de Dados'!$AK598&lt;&gt;"-",IF('Banco de Dados'!$F598&lt;&gt;"-",IFERROR(_xlfn.XLOOKUP(_xlfn.CONCAT('Banco de Dados'!$A598,IFERROR(IFERROR(VALUE(SUBSTITUTE(MID(_xlfn.TEXTAFTER('Banco de Dados'!$F598,"Data do Pedido:
",1),1,10),"-","/")),VALUE(SUBSTITUTE(MID(_xlfn.TEXTAFTER('Banco de Dados'!$F598,"Order date:
",1),1,10),"-","/"))),0)),ProxyDD[Chave],ProxyDD[Valor por pedido]),PROXY!$P$2),0),0)</f>
        <v>0</v>
      </c>
      <c r="AP598" s="28">
        <f ca="1">IF('Banco de Dados'!$AK598&lt;&gt;"-",IF('Banco de Dados'!$AL598="NÃO",IFERROR(VALUE(SUBSTITUTE(_xlfn.TEXTAFTER('Banco de Dados'!$F598,"BRL ",1),".",",")),0),0),0)</f>
        <v>0</v>
      </c>
      <c r="AQ598" s="28">
        <f ca="1">SUM('Banco de Dados'!$AM598:$AP598)</f>
        <v>0</v>
      </c>
      <c r="AR598" s="8"/>
      <c r="AS598" s="8"/>
      <c r="AY598" s="8"/>
    </row>
    <row r="599" spans="1:51">
      <c r="A599" s="5" t="str">
        <v>BV</v>
      </c>
      <c r="B599" s="5" t="str">
        <f ca="1"/>
        <v>BV45643</v>
      </c>
      <c r="C599" s="8" t="str">
        <v>Pedido 587</v>
      </c>
      <c r="D599" s="9">
        <v>45643</v>
      </c>
      <c r="E599" s="9">
        <v>45643</v>
      </c>
      <c r="F599" s="8" t="str">
        <v>PedidoF574</v>
      </c>
      <c r="G599" s="2" t="str">
        <v>CódRastreio572</v>
      </c>
      <c r="H599" s="5">
        <v>1</v>
      </c>
      <c r="I599" s="182" t="str">
        <v>CPF 569</v>
      </c>
      <c r="J599" s="2" t="str">
        <v>Nome 569</v>
      </c>
      <c r="K599" s="8" t="str">
        <v>Tel 569</v>
      </c>
      <c r="L599" s="8" t="str">
        <v>Cep 569</v>
      </c>
      <c r="M599" s="8" t="str">
        <v>Rua 569</v>
      </c>
      <c r="N599" s="8" t="str">
        <v>Comp 569</v>
      </c>
      <c r="O599" s="8" t="str">
        <v>Ventilador Preto</v>
      </c>
      <c r="P599" s="8" t="str">
        <v>MU-J80P-95WF</v>
      </c>
      <c r="Q599" s="4">
        <v>45668</v>
      </c>
      <c r="R599" s="109">
        <v>65.599999999999994</v>
      </c>
      <c r="S599" s="11">
        <f ca="1"/>
        <v>65.599999999999994</v>
      </c>
      <c r="T599" s="28">
        <f ca="1"/>
        <v>8.5279999999999987</v>
      </c>
      <c r="U599" s="11">
        <f ca="1"/>
        <v>57.07</v>
      </c>
      <c r="V599" s="11">
        <v>17.14</v>
      </c>
      <c r="W599" s="11">
        <f ca="1"/>
        <v>0.2</v>
      </c>
      <c r="X599" s="11">
        <f ca="1"/>
        <v>0.39877104377104378</v>
      </c>
      <c r="Y599" s="11">
        <v>0</v>
      </c>
      <c r="Z599" s="11">
        <f ca="1"/>
        <v>39.331228956228955</v>
      </c>
      <c r="AA599" s="11">
        <f ca="1"/>
        <v>19.665614478114477</v>
      </c>
      <c r="AB599" s="4">
        <f ca="1"/>
        <v>45675</v>
      </c>
      <c r="AC599" s="4">
        <v>45675</v>
      </c>
      <c r="AD599" s="9">
        <v>45679</v>
      </c>
      <c r="AE599" s="9">
        <v>45694</v>
      </c>
      <c r="AF599" s="4" t="str">
        <f t="shared" ca="1" si="19"/>
        <v>2025 01</v>
      </c>
      <c r="AG599" s="8" t="str" cm="1">
        <f t="array" ref="AG599">IFERROR(_xlfn.IFS('Banco de Dados'!#REF!="AG. COMPRA","Em processamento",'Banco de Dados'!#REF!="AG. RASTREIO","Em processamento",'Banco de Dados'!$AE599&lt;&gt;"-","Faturado",'Banco de Dados'!$AD599&lt;&gt;"-","Aguardando Pix",'Banco de Dados'!$AC599&lt;&gt;"-","Pendente"),"Aguardando Liberação")</f>
        <v>Aguardando Liberação</v>
      </c>
      <c r="AH599" s="5" t="str">
        <f>IF('Banco de Dados'!$F599="-",_xlfn.CONCAT(PROPER(TEXT(AK599,"aaaa"))," ",PROPER(TEXT(AK599,"mm"))),_xlfn.CONCAT(PROPER(TEXT(E599,"aaaa"))," ",PROPER(TEXT(E599,"mm"))))</f>
        <v>2024 12</v>
      </c>
      <c r="AI599" s="9" t="str">
        <f ca="1">IF('Banco de Dados'!$AK599&lt;&gt;"-","REEMBOLSO",IFERROR(_xlfn.XLOOKUP(G599,Follow[CODRASTREIO],Follow[STATUS]),"-"))</f>
        <v>ENTREGUE</v>
      </c>
      <c r="AJ599" s="9">
        <f ca="1">IF('Banco de Dados'!$AI599="ENTREGUE",_xlfn.XLOOKUP('Banco de Dados'!$G599,Follow[CODRASTREIO],Follow[DATAATUALIZAÇÃO]),"-")</f>
        <v>45656</v>
      </c>
      <c r="AK599" s="9" t="str">
        <f ca="1"/>
        <v>-</v>
      </c>
      <c r="AL599" s="35"/>
      <c r="AM599" s="109" cm="1">
        <f t="array" aca="1" ref="AM599" ca="1">IF('Banco de Dados'!$AK599&lt;&gt;"-",_xlfn.IFS('Banco de Dados'!$A599="bv",IF('Banco de Dados'!$E599&lt;45641,ROUND(SUM('Banco de Dados'!$R599*_xlfn.XLOOKUP('Banco de Dados'!$P599,Sku!B:B,Sku!#REF!)*20%),2),ROUND(SUM('Banco de Dados'!$R599*_xlfn.XLOOKUP('Banco de Dados'!$P599,Sku!B:B,Sku!H:H)*20%),2)),'Banco de Dados'!$A599="GO",ROUND(_xlfn.XLOOKUP('Banco de Dados'!$P599,Sku!C:C,Sku!H:H),2),'Banco de Dados'!$A599="MEI",ROUND(_xlfn.XLOOKUP('Banco de Dados'!$P599,Sku!D:D,Sku!H:H),2)),0)</f>
        <v>0</v>
      </c>
      <c r="AN599" s="109">
        <f ca="1">IF('Banco de Dados'!$AK599&lt;&gt;"-",IF('Banco de Dados'!$F599&lt;&gt;"-",_xlfn.XLOOKUP(IFERROR(IFERROR(IFERROR(VALUE(SUBSTITUTE(MID(_xlfn.TEXTAFTER('Banco de Dados'!$F599,"Data do Pedido:
",1),1,10),"-","/")),VALUE(SUBSTITUTE(MID(_xlfn.TEXTAFTER('Banco de Dados'!$F599,"Order date:
",1),1,10),"-","/"))),VALUE(SUBSTITUTE(MID(_xlfn.TEXTAFTER('Banco de Dados'!$F599,"Fecha de pedido:
",1),1,10),"-","/"))),"-"),SMS!A:A,SMS!K:K),0),0)</f>
        <v>0</v>
      </c>
      <c r="AO599" s="109">
        <f ca="1">IF('Banco de Dados'!$AK599&lt;&gt;"-",IF('Banco de Dados'!$F599&lt;&gt;"-",IFERROR(_xlfn.XLOOKUP(_xlfn.CONCAT('Banco de Dados'!$A599,IFERROR(IFERROR(VALUE(SUBSTITUTE(MID(_xlfn.TEXTAFTER('Banco de Dados'!$F599,"Data do Pedido:
",1),1,10),"-","/")),VALUE(SUBSTITUTE(MID(_xlfn.TEXTAFTER('Banco de Dados'!$F599,"Order date:
",1),1,10),"-","/"))),0)),ProxyDD[Chave],ProxyDD[Valor por pedido]),PROXY!$P$2),0),0)</f>
        <v>0</v>
      </c>
      <c r="AP599" s="28">
        <f ca="1">IF('Banco de Dados'!$AK599&lt;&gt;"-",IF('Banco de Dados'!$AL599="NÃO",IFERROR(VALUE(SUBSTITUTE(_xlfn.TEXTAFTER('Banco de Dados'!$F599,"BRL ",1),".",",")),0),0),0)</f>
        <v>0</v>
      </c>
      <c r="AQ599" s="28">
        <f ca="1">SUM('Banco de Dados'!$AM599:$AP599)</f>
        <v>0</v>
      </c>
      <c r="AR599" s="8"/>
      <c r="AS599" s="8"/>
      <c r="AY599" s="8"/>
    </row>
    <row r="600" spans="1:51">
      <c r="A600" s="5" t="str">
        <v>BV</v>
      </c>
      <c r="B600" s="5" t="str">
        <f ca="1"/>
        <v>BV45645</v>
      </c>
      <c r="C600" s="8" t="str">
        <v>Pedido 588</v>
      </c>
      <c r="D600" s="9">
        <v>45645</v>
      </c>
      <c r="E600" s="9">
        <v>45645</v>
      </c>
      <c r="F600" s="8" t="str">
        <v>PedidoF575</v>
      </c>
      <c r="G600" s="2" t="str">
        <v>CódRastreio573</v>
      </c>
      <c r="H600" s="5">
        <v>1</v>
      </c>
      <c r="I600" s="182" t="str">
        <v>CPF 570</v>
      </c>
      <c r="J600" s="2" t="str">
        <v>Nome 570</v>
      </c>
      <c r="K600" s="8" t="str">
        <v>Tel 570</v>
      </c>
      <c r="L600" s="8" t="str">
        <v>Cep 570</v>
      </c>
      <c r="M600" s="8" t="str">
        <v>Rua 570</v>
      </c>
      <c r="N600" s="8" t="str">
        <v>Comp 570</v>
      </c>
      <c r="O600" s="8" t="str">
        <v>Ventilador Preto</v>
      </c>
      <c r="P600" s="8" t="str">
        <v>MU-J80P-95WF</v>
      </c>
      <c r="Q600" s="4">
        <v>45671</v>
      </c>
      <c r="R600" s="109">
        <v>65.599999999999994</v>
      </c>
      <c r="S600" s="11">
        <f ca="1"/>
        <v>65.599999999999994</v>
      </c>
      <c r="T600" s="28">
        <f ca="1"/>
        <v>8.5279999999999987</v>
      </c>
      <c r="U600" s="11">
        <f ca="1"/>
        <v>57.07</v>
      </c>
      <c r="V600" s="11">
        <v>17.86</v>
      </c>
      <c r="W600" s="11">
        <f ca="1"/>
        <v>0.34</v>
      </c>
      <c r="X600" s="11">
        <f ca="1"/>
        <v>0.39877104377104378</v>
      </c>
      <c r="Y600" s="11">
        <v>0</v>
      </c>
      <c r="Z600" s="11">
        <f ca="1"/>
        <v>38.471228956228956</v>
      </c>
      <c r="AA600" s="11">
        <f ca="1"/>
        <v>19.235614478114478</v>
      </c>
      <c r="AB600" s="4">
        <f ca="1"/>
        <v>45678</v>
      </c>
      <c r="AC600" s="4">
        <v>45678</v>
      </c>
      <c r="AD600" s="9">
        <v>45679</v>
      </c>
      <c r="AE600" s="9">
        <v>45694</v>
      </c>
      <c r="AF600" s="4" t="str">
        <f t="shared" ca="1" si="19"/>
        <v>2025 01</v>
      </c>
      <c r="AG600" s="8" t="str" cm="1">
        <f t="array" ref="AG600">IFERROR(_xlfn.IFS('Banco de Dados'!#REF!="AG. COMPRA","Em processamento",'Banco de Dados'!#REF!="AG. RASTREIO","Em processamento",'Banco de Dados'!$AE600&lt;&gt;"-","Faturado",'Banco de Dados'!$AD600&lt;&gt;"-","Aguardando Pix",'Banco de Dados'!$AC600&lt;&gt;"-","Pendente"),"Aguardando Liberação")</f>
        <v>Aguardando Liberação</v>
      </c>
      <c r="AH600" s="5" t="str">
        <f>IF('Banco de Dados'!$F600="-",_xlfn.CONCAT(PROPER(TEXT(AK600,"aaaa"))," ",PROPER(TEXT(AK600,"mm"))),_xlfn.CONCAT(PROPER(TEXT(E600,"aaaa"))," ",PROPER(TEXT(E600,"mm"))))</f>
        <v>2024 12</v>
      </c>
      <c r="AI600" s="9" t="str">
        <f ca="1">IF('Banco de Dados'!$AK600&lt;&gt;"-","REEMBOLSO",IFERROR(_xlfn.XLOOKUP(G600,Follow[CODRASTREIO],Follow[STATUS]),"-"))</f>
        <v>ENTREGUE</v>
      </c>
      <c r="AJ600" s="9">
        <f ca="1">IF('Banco de Dados'!$AI600="ENTREGUE",_xlfn.XLOOKUP('Banco de Dados'!$G600,Follow[CODRASTREIO],Follow[DATAATUALIZAÇÃO]),"-")</f>
        <v>45659</v>
      </c>
      <c r="AK600" s="9" t="str">
        <f ca="1"/>
        <v>-</v>
      </c>
      <c r="AL600" s="35"/>
      <c r="AM600" s="109" cm="1">
        <f t="array" aca="1" ref="AM600" ca="1">IF('Banco de Dados'!$AK600&lt;&gt;"-",_xlfn.IFS('Banco de Dados'!$A600="bv",IF('Banco de Dados'!$E600&lt;45641,ROUND(SUM('Banco de Dados'!$R600*_xlfn.XLOOKUP('Banco de Dados'!$P600,Sku!B:B,Sku!#REF!)*20%),2),ROUND(SUM('Banco de Dados'!$R600*_xlfn.XLOOKUP('Banco de Dados'!$P600,Sku!B:B,Sku!H:H)*20%),2)),'Banco de Dados'!$A600="GO",ROUND(_xlfn.XLOOKUP('Banco de Dados'!$P600,Sku!C:C,Sku!H:H),2),'Banco de Dados'!$A600="MEI",ROUND(_xlfn.XLOOKUP('Banco de Dados'!$P600,Sku!D:D,Sku!H:H),2)),0)</f>
        <v>0</v>
      </c>
      <c r="AN600" s="109">
        <f ca="1">IF('Banco de Dados'!$AK600&lt;&gt;"-",IF('Banco de Dados'!$F600&lt;&gt;"-",_xlfn.XLOOKUP(IFERROR(IFERROR(IFERROR(VALUE(SUBSTITUTE(MID(_xlfn.TEXTAFTER('Banco de Dados'!$F600,"Data do Pedido:
",1),1,10),"-","/")),VALUE(SUBSTITUTE(MID(_xlfn.TEXTAFTER('Banco de Dados'!$F600,"Order date:
",1),1,10),"-","/"))),VALUE(SUBSTITUTE(MID(_xlfn.TEXTAFTER('Banco de Dados'!$F600,"Fecha de pedido:
",1),1,10),"-","/"))),"-"),SMS!A:A,SMS!K:K),0),0)</f>
        <v>0</v>
      </c>
      <c r="AO600" s="109">
        <f ca="1">IF('Banco de Dados'!$AK600&lt;&gt;"-",IF('Banco de Dados'!$F600&lt;&gt;"-",IFERROR(_xlfn.XLOOKUP(_xlfn.CONCAT('Banco de Dados'!$A600,IFERROR(IFERROR(VALUE(SUBSTITUTE(MID(_xlfn.TEXTAFTER('Banco de Dados'!$F600,"Data do Pedido:
",1),1,10),"-","/")),VALUE(SUBSTITUTE(MID(_xlfn.TEXTAFTER('Banco de Dados'!$F600,"Order date:
",1),1,10),"-","/"))),0)),ProxyDD[Chave],ProxyDD[Valor por pedido]),PROXY!$P$2),0),0)</f>
        <v>0</v>
      </c>
      <c r="AP600" s="28">
        <f ca="1">IF('Banco de Dados'!$AK600&lt;&gt;"-",IF('Banco de Dados'!$AL600="NÃO",IFERROR(VALUE(SUBSTITUTE(_xlfn.TEXTAFTER('Banco de Dados'!$F600,"BRL ",1),".",",")),0),0),0)</f>
        <v>0</v>
      </c>
      <c r="AQ600" s="28">
        <f ca="1">SUM('Banco de Dados'!$AM600:$AP600)</f>
        <v>0</v>
      </c>
      <c r="AR600" s="8"/>
      <c r="AS600" s="8"/>
      <c r="AY600" s="8"/>
    </row>
    <row r="601" spans="1:51">
      <c r="A601" s="5" t="str">
        <v>BV</v>
      </c>
      <c r="B601" s="5" t="str">
        <f ca="1"/>
        <v>BV45645</v>
      </c>
      <c r="C601" s="8" t="str">
        <v>Pedido 589</v>
      </c>
      <c r="D601" s="9">
        <v>45645</v>
      </c>
      <c r="E601" s="9">
        <v>45645</v>
      </c>
      <c r="F601" s="8" t="str">
        <v>PedidoF576</v>
      </c>
      <c r="G601" s="2" t="str">
        <v>CódRastreio574</v>
      </c>
      <c r="H601" s="5">
        <v>1</v>
      </c>
      <c r="I601" s="182" t="str">
        <v>CPF 571</v>
      </c>
      <c r="J601" s="2" t="str">
        <v>Nome 571</v>
      </c>
      <c r="K601" s="8" t="str">
        <v>Tel 571</v>
      </c>
      <c r="L601" s="8" t="str">
        <v>Cep 571</v>
      </c>
      <c r="M601" s="8" t="str">
        <v>Rua 571</v>
      </c>
      <c r="N601" s="8" t="str">
        <v>Comp 571</v>
      </c>
      <c r="O601" s="8" t="str">
        <v>Adaptador Bluetooph</v>
      </c>
      <c r="P601" s="8" t="str">
        <v>YA-AG3H-SPUK</v>
      </c>
      <c r="Q601" s="4">
        <v>45675</v>
      </c>
      <c r="R601" s="109">
        <v>21.99</v>
      </c>
      <c r="S601" s="11">
        <f ca="1"/>
        <v>21.99</v>
      </c>
      <c r="T601" s="28">
        <f ca="1"/>
        <v>2.6387999999999998</v>
      </c>
      <c r="U601" s="11">
        <f ca="1"/>
        <v>19.350000000000001</v>
      </c>
      <c r="V601" s="11">
        <v>6.99</v>
      </c>
      <c r="W601" s="11">
        <f ca="1"/>
        <v>0.34</v>
      </c>
      <c r="X601" s="11">
        <f ca="1"/>
        <v>0.39877104377104378</v>
      </c>
      <c r="Y601" s="11">
        <v>0</v>
      </c>
      <c r="Z601" s="11">
        <f ca="1"/>
        <v>11.621228956228958</v>
      </c>
      <c r="AA601" s="11">
        <f ca="1"/>
        <v>5.8106144781144788</v>
      </c>
      <c r="AB601" s="4">
        <f ca="1"/>
        <v>45682</v>
      </c>
      <c r="AC601" s="4">
        <v>45682</v>
      </c>
      <c r="AD601" s="9">
        <v>45688</v>
      </c>
      <c r="AE601" s="9">
        <v>45694</v>
      </c>
      <c r="AF601" s="4" t="str">
        <f t="shared" ca="1" si="19"/>
        <v>2025 01</v>
      </c>
      <c r="AG601" s="8" t="str" cm="1">
        <f t="array" ref="AG601">IFERROR(_xlfn.IFS('Banco de Dados'!#REF!="AG. COMPRA","Em processamento",'Banco de Dados'!#REF!="AG. RASTREIO","Em processamento",'Banco de Dados'!$AE601&lt;&gt;"-","Faturado",'Banco de Dados'!$AD601&lt;&gt;"-","Aguardando Pix",'Banco de Dados'!$AC601&lt;&gt;"-","Pendente"),"Aguardando Liberação")</f>
        <v>Aguardando Liberação</v>
      </c>
      <c r="AH601" s="5" t="str">
        <f>IF('Banco de Dados'!$F601="-",_xlfn.CONCAT(PROPER(TEXT(AK601,"aaaa"))," ",PROPER(TEXT(AK601,"mm"))),_xlfn.CONCAT(PROPER(TEXT(E601,"aaaa"))," ",PROPER(TEXT(E601,"mm"))))</f>
        <v>2024 12</v>
      </c>
      <c r="AI601" s="9" t="str">
        <f ca="1">IF('Banco de Dados'!$AK601&lt;&gt;"-","REEMBOLSO",IFERROR(_xlfn.XLOOKUP(G601,Follow[CODRASTREIO],Follow[STATUS]),"-"))</f>
        <v>ENTREGUE</v>
      </c>
      <c r="AJ601" s="9">
        <f ca="1">IF('Banco de Dados'!$AI601="ENTREGUE",_xlfn.XLOOKUP('Banco de Dados'!$G601,Follow[CODRASTREIO],Follow[DATAATUALIZAÇÃO]),"-")</f>
        <v>45656</v>
      </c>
      <c r="AK601" s="9" t="str">
        <f ca="1"/>
        <v>-</v>
      </c>
      <c r="AL601" s="35"/>
      <c r="AM601" s="109" cm="1">
        <f t="array" aca="1" ref="AM601" ca="1">IF('Banco de Dados'!$AK601&lt;&gt;"-",_xlfn.IFS('Banco de Dados'!$A601="bv",IF('Banco de Dados'!$E601&lt;45641,ROUND(SUM('Banco de Dados'!$R601*_xlfn.XLOOKUP('Banco de Dados'!$P601,Sku!B:B,Sku!#REF!)*20%),2),ROUND(SUM('Banco de Dados'!$R601*_xlfn.XLOOKUP('Banco de Dados'!$P601,Sku!B:B,Sku!H:H)*20%),2)),'Banco de Dados'!$A601="GO",ROUND(_xlfn.XLOOKUP('Banco de Dados'!$P601,Sku!C:C,Sku!H:H),2),'Banco de Dados'!$A601="MEI",ROUND(_xlfn.XLOOKUP('Banco de Dados'!$P601,Sku!D:D,Sku!H:H),2)),0)</f>
        <v>0</v>
      </c>
      <c r="AN601" s="109">
        <f ca="1">IF('Banco de Dados'!$AK601&lt;&gt;"-",IF('Banco de Dados'!$F601&lt;&gt;"-",_xlfn.XLOOKUP(IFERROR(IFERROR(IFERROR(VALUE(SUBSTITUTE(MID(_xlfn.TEXTAFTER('Banco de Dados'!$F601,"Data do Pedido:
",1),1,10),"-","/")),VALUE(SUBSTITUTE(MID(_xlfn.TEXTAFTER('Banco de Dados'!$F601,"Order date:
",1),1,10),"-","/"))),VALUE(SUBSTITUTE(MID(_xlfn.TEXTAFTER('Banco de Dados'!$F601,"Fecha de pedido:
",1),1,10),"-","/"))),"-"),SMS!A:A,SMS!K:K),0),0)</f>
        <v>0</v>
      </c>
      <c r="AO601" s="109">
        <f ca="1">IF('Banco de Dados'!$AK601&lt;&gt;"-",IF('Banco de Dados'!$F601&lt;&gt;"-",IFERROR(_xlfn.XLOOKUP(_xlfn.CONCAT('Banco de Dados'!$A601,IFERROR(IFERROR(VALUE(SUBSTITUTE(MID(_xlfn.TEXTAFTER('Banco de Dados'!$F601,"Data do Pedido:
",1),1,10),"-","/")),VALUE(SUBSTITUTE(MID(_xlfn.TEXTAFTER('Banco de Dados'!$F601,"Order date:
",1),1,10),"-","/"))),0)),ProxyDD[Chave],ProxyDD[Valor por pedido]),PROXY!$P$2),0),0)</f>
        <v>0</v>
      </c>
      <c r="AP601" s="28">
        <f ca="1">IF('Banco de Dados'!$AK601&lt;&gt;"-",IF('Banco de Dados'!$AL601="NÃO",IFERROR(VALUE(SUBSTITUTE(_xlfn.TEXTAFTER('Banco de Dados'!$F601,"BRL ",1),".",",")),0),0),0)</f>
        <v>0</v>
      </c>
      <c r="AQ601" s="28">
        <f ca="1">SUM('Banco de Dados'!$AM601:$AP601)</f>
        <v>0</v>
      </c>
      <c r="AR601" s="8"/>
      <c r="AS601" s="8"/>
      <c r="AY601" s="8"/>
    </row>
    <row r="602" spans="1:51">
      <c r="A602" s="5" t="str">
        <v>BV</v>
      </c>
      <c r="B602" s="5" t="str">
        <f ca="1"/>
        <v>BV45645</v>
      </c>
      <c r="C602" s="8" t="str">
        <v>Pedido 590</v>
      </c>
      <c r="D602" s="9">
        <v>45645</v>
      </c>
      <c r="E602" s="9">
        <v>45645</v>
      </c>
      <c r="F602" s="8" t="str">
        <v>PedidoF577</v>
      </c>
      <c r="G602" s="2" t="str">
        <v>CódRastreio575</v>
      </c>
      <c r="H602" s="5">
        <v>1</v>
      </c>
      <c r="I602" s="182" t="str">
        <v>CPF 572</v>
      </c>
      <c r="J602" s="2" t="str">
        <v>Nome 572</v>
      </c>
      <c r="K602" s="8" t="str">
        <v>Tel 572</v>
      </c>
      <c r="L602" s="8" t="str">
        <v>Cep 572</v>
      </c>
      <c r="M602" s="8" t="str">
        <v>Rua 572</v>
      </c>
      <c r="N602" s="8" t="str">
        <v>Comp 572</v>
      </c>
      <c r="O602" s="8" t="str">
        <v>Ventilador Preto</v>
      </c>
      <c r="P602" s="8" t="str">
        <v>MU-J80P-95WF</v>
      </c>
      <c r="Q602" s="4">
        <v>45671</v>
      </c>
      <c r="R602" s="109">
        <v>65.599999999999994</v>
      </c>
      <c r="S602" s="11">
        <f ca="1"/>
        <v>65.599999999999994</v>
      </c>
      <c r="T602" s="28">
        <f ca="1"/>
        <v>8.5279999999999987</v>
      </c>
      <c r="U602" s="11">
        <f ca="1"/>
        <v>57.07</v>
      </c>
      <c r="V602" s="11">
        <v>17.86</v>
      </c>
      <c r="W602" s="11">
        <f ca="1"/>
        <v>0.34</v>
      </c>
      <c r="X602" s="11">
        <f ca="1"/>
        <v>0.39877104377104378</v>
      </c>
      <c r="Y602" s="11">
        <v>0</v>
      </c>
      <c r="Z602" s="11">
        <f ca="1"/>
        <v>38.471228956228956</v>
      </c>
      <c r="AA602" s="11">
        <f ca="1"/>
        <v>19.235614478114478</v>
      </c>
      <c r="AB602" s="4">
        <f ca="1"/>
        <v>45678</v>
      </c>
      <c r="AC602" s="4">
        <v>45678</v>
      </c>
      <c r="AD602" s="9">
        <v>45679</v>
      </c>
      <c r="AE602" s="9">
        <v>45694</v>
      </c>
      <c r="AF602" s="4" t="str">
        <f t="shared" ca="1" si="19"/>
        <v>2025 01</v>
      </c>
      <c r="AG602" s="8" t="str" cm="1">
        <f t="array" ref="AG602">IFERROR(_xlfn.IFS('Banco de Dados'!#REF!="AG. COMPRA","Em processamento",'Banco de Dados'!#REF!="AG. RASTREIO","Em processamento",'Banco de Dados'!$AE602&lt;&gt;"-","Faturado",'Banco de Dados'!$AD602&lt;&gt;"-","Aguardando Pix",'Banco de Dados'!$AC602&lt;&gt;"-","Pendente"),"Aguardando Liberação")</f>
        <v>Aguardando Liberação</v>
      </c>
      <c r="AH602" s="5" t="str">
        <f>IF('Banco de Dados'!$F602="-",_xlfn.CONCAT(PROPER(TEXT(AK602,"aaaa"))," ",PROPER(TEXT(AK602,"mm"))),_xlfn.CONCAT(PROPER(TEXT(E602,"aaaa"))," ",PROPER(TEXT(E602,"mm"))))</f>
        <v>2024 12</v>
      </c>
      <c r="AI602" s="9" t="str">
        <f ca="1">IF('Banco de Dados'!$AK602&lt;&gt;"-","REEMBOLSO",IFERROR(_xlfn.XLOOKUP(G602,Follow[CODRASTREIO],Follow[STATUS]),"-"))</f>
        <v>ENTREGUE</v>
      </c>
      <c r="AJ602" s="9">
        <f ca="1">IF('Banco de Dados'!$AI602="ENTREGUE",_xlfn.XLOOKUP('Banco de Dados'!$G602,Follow[CODRASTREIO],Follow[DATAATUALIZAÇÃO]),"-")</f>
        <v>45659</v>
      </c>
      <c r="AK602" s="9" t="str">
        <f ca="1"/>
        <v>-</v>
      </c>
      <c r="AL602" s="35"/>
      <c r="AM602" s="109" cm="1">
        <f t="array" aca="1" ref="AM602" ca="1">IF('Banco de Dados'!$AK602&lt;&gt;"-",_xlfn.IFS('Banco de Dados'!$A602="bv",IF('Banco de Dados'!$E602&lt;45641,ROUND(SUM('Banco de Dados'!$R602*_xlfn.XLOOKUP('Banco de Dados'!$P602,Sku!B:B,Sku!#REF!)*20%),2),ROUND(SUM('Banco de Dados'!$R602*_xlfn.XLOOKUP('Banco de Dados'!$P602,Sku!B:B,Sku!H:H)*20%),2)),'Banco de Dados'!$A602="GO",ROUND(_xlfn.XLOOKUP('Banco de Dados'!$P602,Sku!C:C,Sku!H:H),2),'Banco de Dados'!$A602="MEI",ROUND(_xlfn.XLOOKUP('Banco de Dados'!$P602,Sku!D:D,Sku!H:H),2)),0)</f>
        <v>0</v>
      </c>
      <c r="AN602" s="109">
        <f ca="1">IF('Banco de Dados'!$AK602&lt;&gt;"-",IF('Banco de Dados'!$F602&lt;&gt;"-",_xlfn.XLOOKUP(IFERROR(IFERROR(IFERROR(VALUE(SUBSTITUTE(MID(_xlfn.TEXTAFTER('Banco de Dados'!$F602,"Data do Pedido:
",1),1,10),"-","/")),VALUE(SUBSTITUTE(MID(_xlfn.TEXTAFTER('Banco de Dados'!$F602,"Order date:
",1),1,10),"-","/"))),VALUE(SUBSTITUTE(MID(_xlfn.TEXTAFTER('Banco de Dados'!$F602,"Fecha de pedido:
",1),1,10),"-","/"))),"-"),SMS!A:A,SMS!K:K),0),0)</f>
        <v>0</v>
      </c>
      <c r="AO602" s="109">
        <f ca="1">IF('Banco de Dados'!$AK602&lt;&gt;"-",IF('Banco de Dados'!$F602&lt;&gt;"-",IFERROR(_xlfn.XLOOKUP(_xlfn.CONCAT('Banco de Dados'!$A602,IFERROR(IFERROR(VALUE(SUBSTITUTE(MID(_xlfn.TEXTAFTER('Banco de Dados'!$F602,"Data do Pedido:
",1),1,10),"-","/")),VALUE(SUBSTITUTE(MID(_xlfn.TEXTAFTER('Banco de Dados'!$F602,"Order date:
",1),1,10),"-","/"))),0)),ProxyDD[Chave],ProxyDD[Valor por pedido]),PROXY!$P$2),0),0)</f>
        <v>0</v>
      </c>
      <c r="AP602" s="28">
        <f ca="1">IF('Banco de Dados'!$AK602&lt;&gt;"-",IF('Banco de Dados'!$AL602="NÃO",IFERROR(VALUE(SUBSTITUTE(_xlfn.TEXTAFTER('Banco de Dados'!$F602,"BRL ",1),".",",")),0),0),0)</f>
        <v>0</v>
      </c>
      <c r="AQ602" s="28">
        <f ca="1">SUM('Banco de Dados'!$AM602:$AP602)</f>
        <v>0</v>
      </c>
      <c r="AR602" s="8"/>
      <c r="AS602" s="8"/>
      <c r="AY602" s="8"/>
    </row>
    <row r="603" spans="1:51">
      <c r="A603" s="5" t="str">
        <v>BV</v>
      </c>
      <c r="B603" s="5" t="str">
        <f ca="1"/>
        <v>BV45645</v>
      </c>
      <c r="C603" s="8" t="str">
        <v>Pedido 591</v>
      </c>
      <c r="D603" s="9">
        <v>45645</v>
      </c>
      <c r="E603" s="9">
        <v>45645</v>
      </c>
      <c r="F603" s="8" t="str">
        <v>PedidoF578</v>
      </c>
      <c r="G603" s="2" t="str">
        <v>CódRastreio576</v>
      </c>
      <c r="H603" s="5">
        <v>1</v>
      </c>
      <c r="I603" s="182" t="str">
        <v>CPF 573</v>
      </c>
      <c r="J603" s="2" t="str">
        <v>Nome 573</v>
      </c>
      <c r="K603" s="8" t="str">
        <v>Tel 573</v>
      </c>
      <c r="L603" s="8" t="str">
        <v>Cep 573</v>
      </c>
      <c r="M603" s="8" t="str">
        <v>Rua 573</v>
      </c>
      <c r="N603" s="8" t="str">
        <v>Comp 573</v>
      </c>
      <c r="O603" s="8" t="str">
        <v>Ventilador de teto</v>
      </c>
      <c r="P603" s="8" t="str">
        <v>BP-NHG2-B8C1</v>
      </c>
      <c r="Q603" s="4">
        <v>45678</v>
      </c>
      <c r="R603" s="109">
        <v>74.989999999999995</v>
      </c>
      <c r="S603" s="11">
        <f ca="1"/>
        <v>74.989999999999995</v>
      </c>
      <c r="T603" s="28">
        <f ca="1"/>
        <v>9.7486999999999995</v>
      </c>
      <c r="U603" s="11">
        <f ca="1"/>
        <v>65.239999999999995</v>
      </c>
      <c r="V603" s="11">
        <v>34.42</v>
      </c>
      <c r="W603" s="11">
        <f ca="1"/>
        <v>0.34</v>
      </c>
      <c r="X603" s="11">
        <f ca="1"/>
        <v>0.39877104377104378</v>
      </c>
      <c r="Y603" s="11">
        <v>0</v>
      </c>
      <c r="Z603" s="11">
        <f ca="1"/>
        <v>30.081228956228948</v>
      </c>
      <c r="AA603" s="11">
        <f ca="1"/>
        <v>15.040614478114474</v>
      </c>
      <c r="AB603" s="4">
        <f ca="1"/>
        <v>45685</v>
      </c>
      <c r="AC603" s="4">
        <v>45685</v>
      </c>
      <c r="AD603" s="9">
        <v>45688</v>
      </c>
      <c r="AE603" s="9">
        <v>45694</v>
      </c>
      <c r="AF603" s="4" t="str">
        <f t="shared" ca="1" si="19"/>
        <v>2025 01</v>
      </c>
      <c r="AG603" s="8" t="str" cm="1">
        <f t="array" ref="AG603">IFERROR(_xlfn.IFS('Banco de Dados'!#REF!="AG. COMPRA","Em processamento",'Banco de Dados'!#REF!="AG. RASTREIO","Em processamento",'Banco de Dados'!$AE603&lt;&gt;"-","Faturado",'Banco de Dados'!$AD603&lt;&gt;"-","Aguardando Pix",'Banco de Dados'!$AC603&lt;&gt;"-","Pendente"),"Aguardando Liberação")</f>
        <v>Aguardando Liberação</v>
      </c>
      <c r="AH603" s="5" t="str">
        <f>IF('Banco de Dados'!$F603="-",_xlfn.CONCAT(PROPER(TEXT(AK603,"aaaa"))," ",PROPER(TEXT(AK603,"mm"))),_xlfn.CONCAT(PROPER(TEXT(E603,"aaaa"))," ",PROPER(TEXT(E603,"mm"))))</f>
        <v>2024 12</v>
      </c>
      <c r="AI603" s="9" t="str">
        <f ca="1">IF('Banco de Dados'!$AK603&lt;&gt;"-","REEMBOLSO",IFERROR(_xlfn.XLOOKUP(G603,Follow[CODRASTREIO],Follow[STATUS]),"-"))</f>
        <v>ENTREGUE</v>
      </c>
      <c r="AJ603" s="9">
        <f ca="1">IF('Banco de Dados'!$AI603="ENTREGUE",_xlfn.XLOOKUP('Banco de Dados'!$G603,Follow[CODRASTREIO],Follow[DATAATUALIZAÇÃO]),"-")</f>
        <v>45659</v>
      </c>
      <c r="AK603" s="9" t="str">
        <f ca="1"/>
        <v>-</v>
      </c>
      <c r="AL603" s="35"/>
      <c r="AM603" s="109" cm="1">
        <f t="array" aca="1" ref="AM603" ca="1">IF('Banco de Dados'!$AK603&lt;&gt;"-",_xlfn.IFS('Banco de Dados'!$A603="bv",IF('Banco de Dados'!$E603&lt;45641,ROUND(SUM('Banco de Dados'!$R603*_xlfn.XLOOKUP('Banco de Dados'!$P603,Sku!B:B,Sku!#REF!)*20%),2),ROUND(SUM('Banco de Dados'!$R603*_xlfn.XLOOKUP('Banco de Dados'!$P603,Sku!B:B,Sku!H:H)*20%),2)),'Banco de Dados'!$A603="GO",ROUND(_xlfn.XLOOKUP('Banco de Dados'!$P603,Sku!C:C,Sku!H:H),2),'Banco de Dados'!$A603="MEI",ROUND(_xlfn.XLOOKUP('Banco de Dados'!$P603,Sku!D:D,Sku!H:H),2)),0)</f>
        <v>0</v>
      </c>
      <c r="AN603" s="109">
        <f ca="1">IF('Banco de Dados'!$AK603&lt;&gt;"-",IF('Banco de Dados'!$F603&lt;&gt;"-",_xlfn.XLOOKUP(IFERROR(IFERROR(IFERROR(VALUE(SUBSTITUTE(MID(_xlfn.TEXTAFTER('Banco de Dados'!$F603,"Data do Pedido:
",1),1,10),"-","/")),VALUE(SUBSTITUTE(MID(_xlfn.TEXTAFTER('Banco de Dados'!$F603,"Order date:
",1),1,10),"-","/"))),VALUE(SUBSTITUTE(MID(_xlfn.TEXTAFTER('Banco de Dados'!$F603,"Fecha de pedido:
",1),1,10),"-","/"))),"-"),SMS!A:A,SMS!K:K),0),0)</f>
        <v>0</v>
      </c>
      <c r="AO603" s="109">
        <f ca="1">IF('Banco de Dados'!$AK603&lt;&gt;"-",IF('Banco de Dados'!$F603&lt;&gt;"-",IFERROR(_xlfn.XLOOKUP(_xlfn.CONCAT('Banco de Dados'!$A603,IFERROR(IFERROR(VALUE(SUBSTITUTE(MID(_xlfn.TEXTAFTER('Banco de Dados'!$F603,"Data do Pedido:
",1),1,10),"-","/")),VALUE(SUBSTITUTE(MID(_xlfn.TEXTAFTER('Banco de Dados'!$F603,"Order date:
",1),1,10),"-","/"))),0)),ProxyDD[Chave],ProxyDD[Valor por pedido]),PROXY!$P$2),0),0)</f>
        <v>0</v>
      </c>
      <c r="AP603" s="28">
        <f ca="1">IF('Banco de Dados'!$AK603&lt;&gt;"-",IF('Banco de Dados'!$AL603="NÃO",IFERROR(VALUE(SUBSTITUTE(_xlfn.TEXTAFTER('Banco de Dados'!$F603,"BRL ",1),".",",")),0),0),0)</f>
        <v>0</v>
      </c>
      <c r="AQ603" s="28">
        <f ca="1">SUM('Banco de Dados'!$AM603:$AP603)</f>
        <v>0</v>
      </c>
      <c r="AR603" s="8"/>
      <c r="AS603" s="8"/>
      <c r="AY603" s="8"/>
    </row>
    <row r="604" spans="1:51">
      <c r="A604" s="5" t="str">
        <v>BV</v>
      </c>
      <c r="B604" s="5" t="str">
        <f ca="1"/>
        <v>BV45645</v>
      </c>
      <c r="C604" s="8" t="str">
        <v>Pedido 592</v>
      </c>
      <c r="D604" s="9">
        <v>45645</v>
      </c>
      <c r="E604" s="9">
        <v>45645</v>
      </c>
      <c r="F604" s="8" t="str">
        <v>PedidoF579</v>
      </c>
      <c r="G604" s="2" t="str">
        <v>CódRastreio577</v>
      </c>
      <c r="H604" s="5">
        <v>1</v>
      </c>
      <c r="I604" s="182" t="str">
        <v>CPF 574</v>
      </c>
      <c r="J604" s="2" t="str">
        <v>Nome 574</v>
      </c>
      <c r="K604" s="8" t="str">
        <v>Tel 574</v>
      </c>
      <c r="L604" s="8" t="str">
        <v>Cep 574</v>
      </c>
      <c r="M604" s="8" t="str">
        <v>Rua 574</v>
      </c>
      <c r="N604" s="8" t="str">
        <v>Comp 574</v>
      </c>
      <c r="O604" s="8" t="str">
        <v>Adaptador Bluetooph</v>
      </c>
      <c r="P604" s="8" t="str">
        <v>YA-AG3H-SPUK</v>
      </c>
      <c r="Q604" s="4">
        <v>45666</v>
      </c>
      <c r="R604" s="109">
        <v>21.99</v>
      </c>
      <c r="S604" s="11">
        <f ca="1"/>
        <v>21.99</v>
      </c>
      <c r="T604" s="28">
        <f ca="1"/>
        <v>2.6387999999999998</v>
      </c>
      <c r="U604" s="11">
        <f ca="1"/>
        <v>19.350000000000001</v>
      </c>
      <c r="V604" s="11">
        <v>6.99</v>
      </c>
      <c r="W604" s="11">
        <f ca="1"/>
        <v>0.34</v>
      </c>
      <c r="X604" s="11">
        <f ca="1"/>
        <v>0.39877104377104378</v>
      </c>
      <c r="Y604" s="11">
        <v>0</v>
      </c>
      <c r="Z604" s="11">
        <f ca="1"/>
        <v>11.621228956228958</v>
      </c>
      <c r="AA604" s="11">
        <f ca="1"/>
        <v>5.8106144781144788</v>
      </c>
      <c r="AB604" s="4">
        <f ca="1"/>
        <v>45673</v>
      </c>
      <c r="AC604" s="4">
        <v>45673</v>
      </c>
      <c r="AD604" s="9">
        <v>45674</v>
      </c>
      <c r="AE604" s="9">
        <v>45694</v>
      </c>
      <c r="AF604" s="4" t="str">
        <f t="shared" ca="1" si="19"/>
        <v>2025 01</v>
      </c>
      <c r="AG604" s="8" t="str" cm="1">
        <f t="array" ref="AG604">IFERROR(_xlfn.IFS('Banco de Dados'!#REF!="AG. COMPRA","Em processamento",'Banco de Dados'!#REF!="AG. RASTREIO","Em processamento",'Banco de Dados'!$AE604&lt;&gt;"-","Faturado",'Banco de Dados'!$AD604&lt;&gt;"-","Aguardando Pix",'Banco de Dados'!$AC604&lt;&gt;"-","Pendente"),"Aguardando Liberação")</f>
        <v>Aguardando Liberação</v>
      </c>
      <c r="AH604" s="5" t="str">
        <f>IF('Banco de Dados'!$F604="-",_xlfn.CONCAT(PROPER(TEXT(AK604,"aaaa"))," ",PROPER(TEXT(AK604,"mm"))),_xlfn.CONCAT(PROPER(TEXT(E604,"aaaa"))," ",PROPER(TEXT(E604,"mm"))))</f>
        <v>2024 12</v>
      </c>
      <c r="AI604" s="9" t="str">
        <f ca="1">IF('Banco de Dados'!$AK604&lt;&gt;"-","REEMBOLSO",IFERROR(_xlfn.XLOOKUP(G604,Follow[CODRASTREIO],Follow[STATUS]),"-"))</f>
        <v>ENTREGUE</v>
      </c>
      <c r="AJ604" s="9">
        <f ca="1">IF('Banco de Dados'!$AI604="ENTREGUE",_xlfn.XLOOKUP('Banco de Dados'!$G604,Follow[CODRASTREIO],Follow[DATAATUALIZAÇÃO]),"-")</f>
        <v>45652</v>
      </c>
      <c r="AK604" s="9" t="str">
        <f ca="1"/>
        <v>-</v>
      </c>
      <c r="AL604" s="35"/>
      <c r="AM604" s="109" cm="1">
        <f t="array" aca="1" ref="AM604" ca="1">IF('Banco de Dados'!$AK604&lt;&gt;"-",_xlfn.IFS('Banco de Dados'!$A604="bv",IF('Banco de Dados'!$E604&lt;45641,ROUND(SUM('Banco de Dados'!$R604*_xlfn.XLOOKUP('Banco de Dados'!$P604,Sku!B:B,Sku!#REF!)*20%),2),ROUND(SUM('Banco de Dados'!$R604*_xlfn.XLOOKUP('Banco de Dados'!$P604,Sku!B:B,Sku!H:H)*20%),2)),'Banco de Dados'!$A604="GO",ROUND(_xlfn.XLOOKUP('Banco de Dados'!$P604,Sku!C:C,Sku!H:H),2),'Banco de Dados'!$A604="MEI",ROUND(_xlfn.XLOOKUP('Banco de Dados'!$P604,Sku!D:D,Sku!H:H),2)),0)</f>
        <v>0</v>
      </c>
      <c r="AN604" s="109">
        <f ca="1">IF('Banco de Dados'!$AK604&lt;&gt;"-",IF('Banco de Dados'!$F604&lt;&gt;"-",_xlfn.XLOOKUP(IFERROR(IFERROR(IFERROR(VALUE(SUBSTITUTE(MID(_xlfn.TEXTAFTER('Banco de Dados'!$F604,"Data do Pedido:
",1),1,10),"-","/")),VALUE(SUBSTITUTE(MID(_xlfn.TEXTAFTER('Banco de Dados'!$F604,"Order date:
",1),1,10),"-","/"))),VALUE(SUBSTITUTE(MID(_xlfn.TEXTAFTER('Banco de Dados'!$F604,"Fecha de pedido:
",1),1,10),"-","/"))),"-"),SMS!A:A,SMS!K:K),0),0)</f>
        <v>0</v>
      </c>
      <c r="AO604" s="109">
        <f ca="1">IF('Banco de Dados'!$AK604&lt;&gt;"-",IF('Banco de Dados'!$F604&lt;&gt;"-",IFERROR(_xlfn.XLOOKUP(_xlfn.CONCAT('Banco de Dados'!$A604,IFERROR(IFERROR(VALUE(SUBSTITUTE(MID(_xlfn.TEXTAFTER('Banco de Dados'!$F604,"Data do Pedido:
",1),1,10),"-","/")),VALUE(SUBSTITUTE(MID(_xlfn.TEXTAFTER('Banco de Dados'!$F604,"Order date:
",1),1,10),"-","/"))),0)),ProxyDD[Chave],ProxyDD[Valor por pedido]),PROXY!$P$2),0),0)</f>
        <v>0</v>
      </c>
      <c r="AP604" s="28">
        <f ca="1">IF('Banco de Dados'!$AK604&lt;&gt;"-",IF('Banco de Dados'!$AL604="NÃO",IFERROR(VALUE(SUBSTITUTE(_xlfn.TEXTAFTER('Banco de Dados'!$F604,"BRL ",1),".",",")),0),0),0)</f>
        <v>0</v>
      </c>
      <c r="AQ604" s="28">
        <f ca="1">SUM('Banco de Dados'!$AM604:$AP604)</f>
        <v>0</v>
      </c>
      <c r="AR604" s="8"/>
      <c r="AS604" s="8"/>
      <c r="AY604" s="8"/>
    </row>
    <row r="605" spans="1:51">
      <c r="A605" s="5" t="str">
        <v>BV</v>
      </c>
      <c r="B605" s="5" t="str">
        <f ca="1"/>
        <v>BV45645</v>
      </c>
      <c r="C605" s="8" t="str">
        <v>Pedido 593</v>
      </c>
      <c r="D605" s="9">
        <v>45645</v>
      </c>
      <c r="E605" s="9">
        <v>45645</v>
      </c>
      <c r="F605" s="8" t="str">
        <v>PedidoF580</v>
      </c>
      <c r="G605" s="2" t="str">
        <v>CódRastreio578</v>
      </c>
      <c r="H605" s="5">
        <v>1</v>
      </c>
      <c r="I605" s="182" t="str">
        <v>CPF 575</v>
      </c>
      <c r="J605" s="2" t="str">
        <v>Nome 575</v>
      </c>
      <c r="K605" s="8" t="str">
        <v>Tel 575</v>
      </c>
      <c r="L605" s="8" t="str">
        <v>Cep 575</v>
      </c>
      <c r="M605" s="8" t="str">
        <v>Rua 575</v>
      </c>
      <c r="N605" s="8" t="str">
        <v>Comp 575</v>
      </c>
      <c r="O605" s="8" t="str">
        <v>Adaptador Bluetooph</v>
      </c>
      <c r="P605" s="8" t="str">
        <v>YA-AG3H-SPUK</v>
      </c>
      <c r="Q605" s="4">
        <v>45672</v>
      </c>
      <c r="R605" s="109">
        <v>21.99</v>
      </c>
      <c r="S605" s="11">
        <f ca="1"/>
        <v>21.99</v>
      </c>
      <c r="T605" s="28">
        <f ca="1"/>
        <v>2.6387999999999998</v>
      </c>
      <c r="U605" s="11">
        <f ca="1"/>
        <v>19.350000000000001</v>
      </c>
      <c r="V605" s="11">
        <v>6.99</v>
      </c>
      <c r="W605" s="11">
        <f ca="1"/>
        <v>0.34</v>
      </c>
      <c r="X605" s="11">
        <f ca="1"/>
        <v>0.39877104377104378</v>
      </c>
      <c r="Y605" s="11">
        <v>0</v>
      </c>
      <c r="Z605" s="11">
        <f ca="1"/>
        <v>11.621228956228958</v>
      </c>
      <c r="AA605" s="11">
        <f ca="1"/>
        <v>5.8106144781144788</v>
      </c>
      <c r="AB605" s="4">
        <f ca="1"/>
        <v>45679</v>
      </c>
      <c r="AC605" s="4">
        <v>45679</v>
      </c>
      <c r="AD605" s="9">
        <v>45679</v>
      </c>
      <c r="AE605" s="9">
        <v>45694</v>
      </c>
      <c r="AF605" s="4" t="str">
        <f t="shared" ca="1" si="19"/>
        <v>2025 01</v>
      </c>
      <c r="AG605" s="8" t="str" cm="1">
        <f t="array" ref="AG605">IFERROR(_xlfn.IFS('Banco de Dados'!#REF!="AG. COMPRA","Em processamento",'Banco de Dados'!#REF!="AG. RASTREIO","Em processamento",'Banco de Dados'!$AE605&lt;&gt;"-","Faturado",'Banco de Dados'!$AD605&lt;&gt;"-","Aguardando Pix",'Banco de Dados'!$AC605&lt;&gt;"-","Pendente"),"Aguardando Liberação")</f>
        <v>Aguardando Liberação</v>
      </c>
      <c r="AH605" s="5" t="str">
        <f>IF('Banco de Dados'!$F605="-",_xlfn.CONCAT(PROPER(TEXT(AK605,"aaaa"))," ",PROPER(TEXT(AK605,"mm"))),_xlfn.CONCAT(PROPER(TEXT(E605,"aaaa"))," ",PROPER(TEXT(E605,"mm"))))</f>
        <v>2024 12</v>
      </c>
      <c r="AI605" s="9" t="str">
        <f ca="1">IF('Banco de Dados'!$AK605&lt;&gt;"-","REEMBOLSO",IFERROR(_xlfn.XLOOKUP(G605,Follow[CODRASTREIO],Follow[STATUS]),"-"))</f>
        <v>ENTREGUE</v>
      </c>
      <c r="AJ605" s="9">
        <f ca="1">IF('Banco de Dados'!$AI605="ENTREGUE",_xlfn.XLOOKUP('Banco de Dados'!$G605,Follow[CODRASTREIO],Follow[DATAATUALIZAÇÃO]),"-")</f>
        <v>45656</v>
      </c>
      <c r="AK605" s="9" t="str">
        <f ca="1"/>
        <v>-</v>
      </c>
      <c r="AL605" s="35"/>
      <c r="AM605" s="109" cm="1">
        <f t="array" aca="1" ref="AM605" ca="1">IF('Banco de Dados'!$AK605&lt;&gt;"-",_xlfn.IFS('Banco de Dados'!$A605="bv",IF('Banco de Dados'!$E605&lt;45641,ROUND(SUM('Banco de Dados'!$R605*_xlfn.XLOOKUP('Banco de Dados'!$P605,Sku!B:B,Sku!#REF!)*20%),2),ROUND(SUM('Banco de Dados'!$R605*_xlfn.XLOOKUP('Banco de Dados'!$P605,Sku!B:B,Sku!H:H)*20%),2)),'Banco de Dados'!$A605="GO",ROUND(_xlfn.XLOOKUP('Banco de Dados'!$P605,Sku!C:C,Sku!H:H),2),'Banco de Dados'!$A605="MEI",ROUND(_xlfn.XLOOKUP('Banco de Dados'!$P605,Sku!D:D,Sku!H:H),2)),0)</f>
        <v>0</v>
      </c>
      <c r="AN605" s="109">
        <f ca="1">IF('Banco de Dados'!$AK605&lt;&gt;"-",IF('Banco de Dados'!$F605&lt;&gt;"-",_xlfn.XLOOKUP(IFERROR(IFERROR(IFERROR(VALUE(SUBSTITUTE(MID(_xlfn.TEXTAFTER('Banco de Dados'!$F605,"Data do Pedido:
",1),1,10),"-","/")),VALUE(SUBSTITUTE(MID(_xlfn.TEXTAFTER('Banco de Dados'!$F605,"Order date:
",1),1,10),"-","/"))),VALUE(SUBSTITUTE(MID(_xlfn.TEXTAFTER('Banco de Dados'!$F605,"Fecha de pedido:
",1),1,10),"-","/"))),"-"),SMS!A:A,SMS!K:K),0),0)</f>
        <v>0</v>
      </c>
      <c r="AO605" s="109">
        <f ca="1">IF('Banco de Dados'!$AK605&lt;&gt;"-",IF('Banco de Dados'!$F605&lt;&gt;"-",IFERROR(_xlfn.XLOOKUP(_xlfn.CONCAT('Banco de Dados'!$A605,IFERROR(IFERROR(VALUE(SUBSTITUTE(MID(_xlfn.TEXTAFTER('Banco de Dados'!$F605,"Data do Pedido:
",1),1,10),"-","/")),VALUE(SUBSTITUTE(MID(_xlfn.TEXTAFTER('Banco de Dados'!$F605,"Order date:
",1),1,10),"-","/"))),0)),ProxyDD[Chave],ProxyDD[Valor por pedido]),PROXY!$P$2),0),0)</f>
        <v>0</v>
      </c>
      <c r="AP605" s="28">
        <f ca="1">IF('Banco de Dados'!$AK605&lt;&gt;"-",IF('Banco de Dados'!$AL605="NÃO",IFERROR(VALUE(SUBSTITUTE(_xlfn.TEXTAFTER('Banco de Dados'!$F605,"BRL ",1),".",",")),0),0),0)</f>
        <v>0</v>
      </c>
      <c r="AQ605" s="28">
        <f ca="1">SUM('Banco de Dados'!$AM605:$AP605)</f>
        <v>0</v>
      </c>
      <c r="AR605" s="8"/>
      <c r="AS605" s="8"/>
      <c r="AY605" s="8"/>
    </row>
    <row r="606" spans="1:51">
      <c r="A606" s="5" t="str">
        <v>BV</v>
      </c>
      <c r="B606" s="5" t="str">
        <f ca="1"/>
        <v>BV45645</v>
      </c>
      <c r="C606" s="8" t="str">
        <v>Pedido 594</v>
      </c>
      <c r="D606" s="9">
        <v>45645</v>
      </c>
      <c r="E606" s="9">
        <v>45645</v>
      </c>
      <c r="F606" s="8" t="str">
        <v>PedidoF581</v>
      </c>
      <c r="G606" s="2" t="str">
        <v>CódRastreio579</v>
      </c>
      <c r="H606" s="5">
        <v>1</v>
      </c>
      <c r="I606" s="182" t="str">
        <v>CPF 576</v>
      </c>
      <c r="J606" s="2" t="str">
        <v>Nome 576</v>
      </c>
      <c r="K606" s="8" t="str">
        <v>Tel 576</v>
      </c>
      <c r="L606" s="8" t="str">
        <v>Cep 576</v>
      </c>
      <c r="M606" s="8" t="str">
        <v>Rua 576</v>
      </c>
      <c r="N606" s="8" t="str">
        <v>Comp 576</v>
      </c>
      <c r="O606" s="8" t="str">
        <v>Adaptador Bluetooph</v>
      </c>
      <c r="P606" s="8" t="str">
        <v>YA-AG3H-SPUK</v>
      </c>
      <c r="Q606" s="4">
        <v>45666</v>
      </c>
      <c r="R606" s="109">
        <v>21.99</v>
      </c>
      <c r="S606" s="11">
        <f ca="1"/>
        <v>21.99</v>
      </c>
      <c r="T606" s="28">
        <f ca="1"/>
        <v>2.6387999999999998</v>
      </c>
      <c r="U606" s="11">
        <f ca="1"/>
        <v>19.350000000000001</v>
      </c>
      <c r="V606" s="11">
        <v>6.99</v>
      </c>
      <c r="W606" s="11">
        <f ca="1"/>
        <v>0.34</v>
      </c>
      <c r="X606" s="11">
        <f ca="1"/>
        <v>0.39877104377104378</v>
      </c>
      <c r="Y606" s="11">
        <v>0</v>
      </c>
      <c r="Z606" s="11">
        <f ca="1"/>
        <v>11.621228956228958</v>
      </c>
      <c r="AA606" s="11">
        <f ca="1"/>
        <v>5.8106144781144788</v>
      </c>
      <c r="AB606" s="4">
        <f ca="1"/>
        <v>45673</v>
      </c>
      <c r="AC606" s="4">
        <v>45673</v>
      </c>
      <c r="AD606" s="9">
        <v>45674</v>
      </c>
      <c r="AE606" s="9">
        <v>45694</v>
      </c>
      <c r="AF606" s="4" t="str">
        <f t="shared" ca="1" si="19"/>
        <v>2025 01</v>
      </c>
      <c r="AG606" s="8" t="str" cm="1">
        <f t="array" ref="AG606">IFERROR(_xlfn.IFS('Banco de Dados'!#REF!="AG. COMPRA","Em processamento",'Banco de Dados'!#REF!="AG. RASTREIO","Em processamento",'Banco de Dados'!$AE606&lt;&gt;"-","Faturado",'Banco de Dados'!$AD606&lt;&gt;"-","Aguardando Pix",'Banco de Dados'!$AC606&lt;&gt;"-","Pendente"),"Aguardando Liberação")</f>
        <v>Aguardando Liberação</v>
      </c>
      <c r="AH606" s="5" t="str">
        <f>IF('Banco de Dados'!$F606="-",_xlfn.CONCAT(PROPER(TEXT(AK606,"aaaa"))," ",PROPER(TEXT(AK606,"mm"))),_xlfn.CONCAT(PROPER(TEXT(E606,"aaaa"))," ",PROPER(TEXT(E606,"mm"))))</f>
        <v>2024 12</v>
      </c>
      <c r="AI606" s="9" t="str">
        <f ca="1">IF('Banco de Dados'!$AK606&lt;&gt;"-","REEMBOLSO",IFERROR(_xlfn.XLOOKUP(G606,Follow[CODRASTREIO],Follow[STATUS]),"-"))</f>
        <v>ENTREGUE</v>
      </c>
      <c r="AJ606" s="9">
        <f ca="1">IF('Banco de Dados'!$AI606="ENTREGUE",_xlfn.XLOOKUP('Banco de Dados'!$G606,Follow[CODRASTREIO],Follow[DATAATUALIZAÇÃO]),"-")</f>
        <v>45656</v>
      </c>
      <c r="AK606" s="9" t="str">
        <f ca="1"/>
        <v>-</v>
      </c>
      <c r="AL606" s="35"/>
      <c r="AM606" s="109" cm="1">
        <f t="array" aca="1" ref="AM606" ca="1">IF('Banco de Dados'!$AK606&lt;&gt;"-",_xlfn.IFS('Banco de Dados'!$A606="bv",IF('Banco de Dados'!$E606&lt;45641,ROUND(SUM('Banco de Dados'!$R606*_xlfn.XLOOKUP('Banco de Dados'!$P606,Sku!B:B,Sku!#REF!)*20%),2),ROUND(SUM('Banco de Dados'!$R606*_xlfn.XLOOKUP('Banco de Dados'!$P606,Sku!B:B,Sku!H:H)*20%),2)),'Banco de Dados'!$A606="GO",ROUND(_xlfn.XLOOKUP('Banco de Dados'!$P606,Sku!C:C,Sku!H:H),2),'Banco de Dados'!$A606="MEI",ROUND(_xlfn.XLOOKUP('Banco de Dados'!$P606,Sku!D:D,Sku!H:H),2)),0)</f>
        <v>0</v>
      </c>
      <c r="AN606" s="109">
        <f ca="1">IF('Banco de Dados'!$AK606&lt;&gt;"-",IF('Banco de Dados'!$F606&lt;&gt;"-",_xlfn.XLOOKUP(IFERROR(IFERROR(IFERROR(VALUE(SUBSTITUTE(MID(_xlfn.TEXTAFTER('Banco de Dados'!$F606,"Data do Pedido:
",1),1,10),"-","/")),VALUE(SUBSTITUTE(MID(_xlfn.TEXTAFTER('Banco de Dados'!$F606,"Order date:
",1),1,10),"-","/"))),VALUE(SUBSTITUTE(MID(_xlfn.TEXTAFTER('Banco de Dados'!$F606,"Fecha de pedido:
",1),1,10),"-","/"))),"-"),SMS!A:A,SMS!K:K),0),0)</f>
        <v>0</v>
      </c>
      <c r="AO606" s="109">
        <f ca="1">IF('Banco de Dados'!$AK606&lt;&gt;"-",IF('Banco de Dados'!$F606&lt;&gt;"-",IFERROR(_xlfn.XLOOKUP(_xlfn.CONCAT('Banco de Dados'!$A606,IFERROR(IFERROR(VALUE(SUBSTITUTE(MID(_xlfn.TEXTAFTER('Banco de Dados'!$F606,"Data do Pedido:
",1),1,10),"-","/")),VALUE(SUBSTITUTE(MID(_xlfn.TEXTAFTER('Banco de Dados'!$F606,"Order date:
",1),1,10),"-","/"))),0)),ProxyDD[Chave],ProxyDD[Valor por pedido]),PROXY!$P$2),0),0)</f>
        <v>0</v>
      </c>
      <c r="AP606" s="28">
        <f ca="1">IF('Banco de Dados'!$AK606&lt;&gt;"-",IF('Banco de Dados'!$AL606="NÃO",IFERROR(VALUE(SUBSTITUTE(_xlfn.TEXTAFTER('Banco de Dados'!$F606,"BRL ",1),".",",")),0),0),0)</f>
        <v>0</v>
      </c>
      <c r="AQ606" s="28">
        <f ca="1">SUM('Banco de Dados'!$AM606:$AP606)</f>
        <v>0</v>
      </c>
      <c r="AR606" s="8"/>
      <c r="AS606" s="8"/>
      <c r="AY606" s="8"/>
    </row>
    <row r="607" spans="1:51">
      <c r="A607" s="5" t="str">
        <v>BV</v>
      </c>
      <c r="B607" s="5" t="str">
        <f ca="1"/>
        <v>BV45645</v>
      </c>
      <c r="C607" s="8" t="str">
        <v>Pedido 595</v>
      </c>
      <c r="D607" s="9">
        <v>45645</v>
      </c>
      <c r="E607" s="9">
        <v>45645</v>
      </c>
      <c r="F607" s="8" t="str">
        <v>PedidoF582</v>
      </c>
      <c r="G607" s="2" t="str">
        <v>CódRastreio580</v>
      </c>
      <c r="H607" s="5">
        <v>1</v>
      </c>
      <c r="I607" s="182" t="str">
        <v>CPF 577</v>
      </c>
      <c r="J607" s="2" t="str">
        <v>Nome 577</v>
      </c>
      <c r="K607" s="8" t="str">
        <v>Tel 577</v>
      </c>
      <c r="L607" s="8" t="str">
        <v>Cep 577</v>
      </c>
      <c r="M607" s="8" t="str">
        <v>Rua 577</v>
      </c>
      <c r="N607" s="8" t="str">
        <v>Comp 577</v>
      </c>
      <c r="O607" s="8" t="str">
        <v>Mini Liquidificador</v>
      </c>
      <c r="P607" s="8" t="str">
        <v>CK-YL6M-P5Y6</v>
      </c>
      <c r="Q607" s="4">
        <v>45666</v>
      </c>
      <c r="R607" s="109">
        <v>33.9</v>
      </c>
      <c r="S607" s="11">
        <f ca="1"/>
        <v>33.9</v>
      </c>
      <c r="T607" s="28">
        <f ca="1"/>
        <v>4.407</v>
      </c>
      <c r="U607" s="11">
        <f ca="1"/>
        <v>29.49</v>
      </c>
      <c r="V607" s="11">
        <v>6.99</v>
      </c>
      <c r="W607" s="11">
        <f ca="1"/>
        <v>0.34</v>
      </c>
      <c r="X607" s="11">
        <f ca="1"/>
        <v>0.39877104377104378</v>
      </c>
      <c r="Y607" s="11">
        <v>0</v>
      </c>
      <c r="Z607" s="11">
        <f ca="1"/>
        <v>21.761228956228955</v>
      </c>
      <c r="AA607" s="11">
        <f ca="1"/>
        <v>10.880614478114477</v>
      </c>
      <c r="AB607" s="4">
        <f ca="1"/>
        <v>45673</v>
      </c>
      <c r="AC607" s="4">
        <v>45673</v>
      </c>
      <c r="AD607" s="9">
        <v>45674</v>
      </c>
      <c r="AE607" s="9">
        <v>45694</v>
      </c>
      <c r="AF607" s="4" t="str">
        <f t="shared" ca="1" si="19"/>
        <v>2025 01</v>
      </c>
      <c r="AG607" s="8" t="str" cm="1">
        <f t="array" ref="AG607">IFERROR(_xlfn.IFS('Banco de Dados'!#REF!="AG. COMPRA","Em processamento",'Banco de Dados'!#REF!="AG. RASTREIO","Em processamento",'Banco de Dados'!$AE607&lt;&gt;"-","Faturado",'Banco de Dados'!$AD607&lt;&gt;"-","Aguardando Pix",'Banco de Dados'!$AC607&lt;&gt;"-","Pendente"),"Aguardando Liberação")</f>
        <v>Aguardando Liberação</v>
      </c>
      <c r="AH607" s="5" t="str">
        <f>IF('Banco de Dados'!$F607="-",_xlfn.CONCAT(PROPER(TEXT(AK607,"aaaa"))," ",PROPER(TEXT(AK607,"mm"))),_xlfn.CONCAT(PROPER(TEXT(E607,"aaaa"))," ",PROPER(TEXT(E607,"mm"))))</f>
        <v>2024 12</v>
      </c>
      <c r="AI607" s="9" t="str">
        <f ca="1">IF('Banco de Dados'!$AK607&lt;&gt;"-","REEMBOLSO",IFERROR(_xlfn.XLOOKUP(G607,Follow[CODRASTREIO],Follow[STATUS]),"-"))</f>
        <v>ENTREGUE</v>
      </c>
      <c r="AJ607" s="9">
        <f ca="1">IF('Banco de Dados'!$AI607="ENTREGUE",_xlfn.XLOOKUP('Banco de Dados'!$G607,Follow[CODRASTREIO],Follow[DATAATUALIZAÇÃO]),"-")</f>
        <v>45656</v>
      </c>
      <c r="AK607" s="9" t="str">
        <f ca="1"/>
        <v>-</v>
      </c>
      <c r="AL607" s="35"/>
      <c r="AM607" s="109" cm="1">
        <f t="array" aca="1" ref="AM607" ca="1">IF('Banco de Dados'!$AK607&lt;&gt;"-",_xlfn.IFS('Banco de Dados'!$A607="bv",IF('Banco de Dados'!$E607&lt;45641,ROUND(SUM('Banco de Dados'!$R607*_xlfn.XLOOKUP('Banco de Dados'!$P607,Sku!B:B,Sku!#REF!)*20%),2),ROUND(SUM('Banco de Dados'!$R607*_xlfn.XLOOKUP('Banco de Dados'!$P607,Sku!B:B,Sku!H:H)*20%),2)),'Banco de Dados'!$A607="GO",ROUND(_xlfn.XLOOKUP('Banco de Dados'!$P607,Sku!C:C,Sku!H:H),2),'Banco de Dados'!$A607="MEI",ROUND(_xlfn.XLOOKUP('Banco de Dados'!$P607,Sku!D:D,Sku!H:H),2)),0)</f>
        <v>0</v>
      </c>
      <c r="AN607" s="109">
        <f ca="1">IF('Banco de Dados'!$AK607&lt;&gt;"-",IF('Banco de Dados'!$F607&lt;&gt;"-",_xlfn.XLOOKUP(IFERROR(IFERROR(IFERROR(VALUE(SUBSTITUTE(MID(_xlfn.TEXTAFTER('Banco de Dados'!$F607,"Data do Pedido:
",1),1,10),"-","/")),VALUE(SUBSTITUTE(MID(_xlfn.TEXTAFTER('Banco de Dados'!$F607,"Order date:
",1),1,10),"-","/"))),VALUE(SUBSTITUTE(MID(_xlfn.TEXTAFTER('Banco de Dados'!$F607,"Fecha de pedido:
",1),1,10),"-","/"))),"-"),SMS!A:A,SMS!K:K),0),0)</f>
        <v>0</v>
      </c>
      <c r="AO607" s="109">
        <f ca="1">IF('Banco de Dados'!$AK607&lt;&gt;"-",IF('Banco de Dados'!$F607&lt;&gt;"-",IFERROR(_xlfn.XLOOKUP(_xlfn.CONCAT('Banco de Dados'!$A607,IFERROR(IFERROR(VALUE(SUBSTITUTE(MID(_xlfn.TEXTAFTER('Banco de Dados'!$F607,"Data do Pedido:
",1),1,10),"-","/")),VALUE(SUBSTITUTE(MID(_xlfn.TEXTAFTER('Banco de Dados'!$F607,"Order date:
",1),1,10),"-","/"))),0)),ProxyDD[Chave],ProxyDD[Valor por pedido]),PROXY!$P$2),0),0)</f>
        <v>0</v>
      </c>
      <c r="AP607" s="28">
        <f ca="1">IF('Banco de Dados'!$AK607&lt;&gt;"-",IF('Banco de Dados'!$AL607="NÃO",IFERROR(VALUE(SUBSTITUTE(_xlfn.TEXTAFTER('Banco de Dados'!$F607,"BRL ",1),".",",")),0),0),0)</f>
        <v>0</v>
      </c>
      <c r="AQ607" s="28">
        <f ca="1">SUM('Banco de Dados'!$AM607:$AP607)</f>
        <v>0</v>
      </c>
      <c r="AR607" s="8"/>
      <c r="AS607" s="8"/>
      <c r="AY607" s="8"/>
    </row>
    <row r="608" spans="1:51">
      <c r="A608" s="5" t="str">
        <v>BV</v>
      </c>
      <c r="B608" s="5" t="str">
        <f ca="1"/>
        <v>BV45647</v>
      </c>
      <c r="C608" s="8" t="str">
        <v>Pedido 596</v>
      </c>
      <c r="D608" s="9">
        <v>45647</v>
      </c>
      <c r="E608" s="9">
        <v>45647</v>
      </c>
      <c r="F608" s="8" t="str">
        <v>PedidoF583</v>
      </c>
      <c r="G608" s="2" t="str">
        <v>CódRastreio581</v>
      </c>
      <c r="H608" s="5">
        <v>1</v>
      </c>
      <c r="I608" s="182" t="str">
        <v>CPF 578</v>
      </c>
      <c r="J608" s="2" t="str">
        <v>Nome 578</v>
      </c>
      <c r="K608" s="8" t="str">
        <v>Tel 578</v>
      </c>
      <c r="L608" s="8" t="str">
        <v>Cep 578</v>
      </c>
      <c r="M608" s="8" t="str">
        <v>Rua 578</v>
      </c>
      <c r="N608" s="8" t="str">
        <v>Comp 578</v>
      </c>
      <c r="O608" s="8" t="str">
        <v>Ventilador Azul</v>
      </c>
      <c r="P608" s="8" t="str">
        <v>U8-2VWS-OB6M</v>
      </c>
      <c r="Q608" s="4">
        <v>45679</v>
      </c>
      <c r="R608" s="109">
        <v>65.599999999999994</v>
      </c>
      <c r="S608" s="11">
        <f ca="1"/>
        <v>65.599999999999994</v>
      </c>
      <c r="T608" s="28">
        <f ca="1"/>
        <v>8.5279999999999987</v>
      </c>
      <c r="U608" s="11">
        <f ca="1"/>
        <v>57.07</v>
      </c>
      <c r="V608" s="11">
        <v>16.05</v>
      </c>
      <c r="W608" s="11">
        <f ca="1"/>
        <v>0.24</v>
      </c>
      <c r="X608" s="11">
        <f ca="1"/>
        <v>0.39877104377104378</v>
      </c>
      <c r="Y608" s="11">
        <v>0</v>
      </c>
      <c r="Z608" s="11">
        <f ca="1"/>
        <v>40.381228956228952</v>
      </c>
      <c r="AA608" s="11">
        <f ca="1"/>
        <v>20.190614478114476</v>
      </c>
      <c r="AB608" s="4">
        <f ca="1"/>
        <v>45686</v>
      </c>
      <c r="AC608" s="4">
        <v>45686</v>
      </c>
      <c r="AD608" s="9">
        <v>45688</v>
      </c>
      <c r="AE608" s="9">
        <v>45694</v>
      </c>
      <c r="AF608" s="4" t="str">
        <f t="shared" ca="1" si="19"/>
        <v>2025 01</v>
      </c>
      <c r="AG608" s="8" t="str" cm="1">
        <f t="array" ref="AG608">IFERROR(_xlfn.IFS('Banco de Dados'!#REF!="AG. COMPRA","Em processamento",'Banco de Dados'!#REF!="AG. RASTREIO","Em processamento",'Banco de Dados'!$AE608&lt;&gt;"-","Faturado",'Banco de Dados'!$AD608&lt;&gt;"-","Aguardando Pix",'Banco de Dados'!$AC608&lt;&gt;"-","Pendente"),"Aguardando Liberação")</f>
        <v>Aguardando Liberação</v>
      </c>
      <c r="AH608" s="5" t="str">
        <f>IF('Banco de Dados'!$F608="-",_xlfn.CONCAT(PROPER(TEXT(AK608,"aaaa"))," ",PROPER(TEXT(AK608,"mm"))),_xlfn.CONCAT(PROPER(TEXT(E608,"aaaa"))," ",PROPER(TEXT(E608,"mm"))))</f>
        <v>2024 12</v>
      </c>
      <c r="AI608" s="9" t="str">
        <f ca="1">IF('Banco de Dados'!$AK608&lt;&gt;"-","REEMBOLSO",IFERROR(_xlfn.XLOOKUP(G608,Follow[CODRASTREIO],Follow[STATUS]),"-"))</f>
        <v>ENTREGUE</v>
      </c>
      <c r="AJ608" s="9">
        <f ca="1">IF('Banco de Dados'!$AI608="ENTREGUE",_xlfn.XLOOKUP('Banco de Dados'!$G608,Follow[CODRASTREIO],Follow[DATAATUALIZAÇÃO]),"-")</f>
        <v>45665</v>
      </c>
      <c r="AK608" s="9" t="str">
        <f ca="1"/>
        <v>-</v>
      </c>
      <c r="AL608" s="35"/>
      <c r="AM608" s="109" cm="1">
        <f t="array" aca="1" ref="AM608" ca="1">IF('Banco de Dados'!$AK608&lt;&gt;"-",_xlfn.IFS('Banco de Dados'!$A608="bv",IF('Banco de Dados'!$E608&lt;45641,ROUND(SUM('Banco de Dados'!$R608*_xlfn.XLOOKUP('Banco de Dados'!$P608,Sku!B:B,Sku!#REF!)*20%),2),ROUND(SUM('Banco de Dados'!$R608*_xlfn.XLOOKUP('Banco de Dados'!$P608,Sku!B:B,Sku!H:H)*20%),2)),'Banco de Dados'!$A608="GO",ROUND(_xlfn.XLOOKUP('Banco de Dados'!$P608,Sku!C:C,Sku!H:H),2),'Banco de Dados'!$A608="MEI",ROUND(_xlfn.XLOOKUP('Banco de Dados'!$P608,Sku!D:D,Sku!H:H),2)),0)</f>
        <v>0</v>
      </c>
      <c r="AN608" s="109">
        <f ca="1">IF('Banco de Dados'!$AK608&lt;&gt;"-",IF('Banco de Dados'!$F608&lt;&gt;"-",_xlfn.XLOOKUP(IFERROR(IFERROR(IFERROR(VALUE(SUBSTITUTE(MID(_xlfn.TEXTAFTER('Banco de Dados'!$F608,"Data do Pedido:
",1),1,10),"-","/")),VALUE(SUBSTITUTE(MID(_xlfn.TEXTAFTER('Banco de Dados'!$F608,"Order date:
",1),1,10),"-","/"))),VALUE(SUBSTITUTE(MID(_xlfn.TEXTAFTER('Banco de Dados'!$F608,"Fecha de pedido:
",1),1,10),"-","/"))),"-"),SMS!A:A,SMS!K:K),0),0)</f>
        <v>0</v>
      </c>
      <c r="AO608" s="109">
        <f ca="1">IF('Banco de Dados'!$AK608&lt;&gt;"-",IF('Banco de Dados'!$F608&lt;&gt;"-",IFERROR(_xlfn.XLOOKUP(_xlfn.CONCAT('Banco de Dados'!$A608,IFERROR(IFERROR(VALUE(SUBSTITUTE(MID(_xlfn.TEXTAFTER('Banco de Dados'!$F608,"Data do Pedido:
",1),1,10),"-","/")),VALUE(SUBSTITUTE(MID(_xlfn.TEXTAFTER('Banco de Dados'!$F608,"Order date:
",1),1,10),"-","/"))),0)),ProxyDD[Chave],ProxyDD[Valor por pedido]),PROXY!$P$2),0),0)</f>
        <v>0</v>
      </c>
      <c r="AP608" s="28">
        <f ca="1">IF('Banco de Dados'!$AK608&lt;&gt;"-",IF('Banco de Dados'!$AL608="NÃO",IFERROR(VALUE(SUBSTITUTE(_xlfn.TEXTAFTER('Banco de Dados'!$F608,"BRL ",1),".",",")),0),0),0)</f>
        <v>0</v>
      </c>
      <c r="AQ608" s="28">
        <f ca="1">SUM('Banco de Dados'!$AM608:$AP608)</f>
        <v>0</v>
      </c>
      <c r="AR608" s="8"/>
      <c r="AS608" s="8"/>
      <c r="AY608" s="8"/>
    </row>
    <row r="609" spans="1:51">
      <c r="A609" s="5" t="str">
        <v>BV</v>
      </c>
      <c r="B609" s="5" t="str">
        <f ca="1"/>
        <v>BV45647</v>
      </c>
      <c r="C609" s="8" t="str">
        <v>Pedido 597</v>
      </c>
      <c r="D609" s="9">
        <v>45647</v>
      </c>
      <c r="E609" s="9">
        <v>45647</v>
      </c>
      <c r="F609" s="8" t="str">
        <v>PedidoF584</v>
      </c>
      <c r="G609" s="2" t="str">
        <v>CódRastreio582</v>
      </c>
      <c r="H609" s="5">
        <v>1</v>
      </c>
      <c r="I609" s="182" t="str">
        <v>CPF 579</v>
      </c>
      <c r="J609" s="2" t="str">
        <v>Nome 579</v>
      </c>
      <c r="K609" s="8" t="str">
        <v>Tel 579</v>
      </c>
      <c r="L609" s="8" t="str">
        <v>Cep 579</v>
      </c>
      <c r="M609" s="8" t="str">
        <v>Rua 579</v>
      </c>
      <c r="N609" s="8" t="str">
        <v>Comp 579</v>
      </c>
      <c r="O609" s="8" t="str">
        <v>Ventilador Preto</v>
      </c>
      <c r="P609" s="8" t="str">
        <v>MU-J80P-95WF</v>
      </c>
      <c r="Q609" s="4">
        <v>45686</v>
      </c>
      <c r="R609" s="109">
        <v>65.599999999999994</v>
      </c>
      <c r="S609" s="11">
        <f ca="1"/>
        <v>65.599999999999994</v>
      </c>
      <c r="T609" s="28">
        <f ca="1"/>
        <v>8.5279999999999987</v>
      </c>
      <c r="U609" s="11">
        <f ca="1"/>
        <v>57.07</v>
      </c>
      <c r="V609" s="11">
        <v>16.7</v>
      </c>
      <c r="W609" s="11">
        <f ca="1"/>
        <v>0.24</v>
      </c>
      <c r="X609" s="11">
        <f ca="1"/>
        <v>0.39877104377104378</v>
      </c>
      <c r="Y609" s="11">
        <v>0</v>
      </c>
      <c r="Z609" s="11">
        <f ca="1"/>
        <v>39.731228956228961</v>
      </c>
      <c r="AA609" s="11">
        <f ca="1"/>
        <v>19.86561447811448</v>
      </c>
      <c r="AB609" s="4">
        <f ca="1"/>
        <v>45693</v>
      </c>
      <c r="AC609" s="4">
        <v>45693</v>
      </c>
      <c r="AD609" s="9">
        <v>45693</v>
      </c>
      <c r="AE609" s="9">
        <v>45705</v>
      </c>
      <c r="AF609" s="4" t="str">
        <f t="shared" ca="1" si="19"/>
        <v>2025 02</v>
      </c>
      <c r="AG609" s="8" t="str" cm="1">
        <f t="array" ref="AG609">IFERROR(_xlfn.IFS('Banco de Dados'!#REF!="AG. COMPRA","Em processamento",'Banco de Dados'!#REF!="AG. RASTREIO","Em processamento",'Banco de Dados'!$AE609&lt;&gt;"-","Faturado",'Banco de Dados'!$AD609&lt;&gt;"-","Aguardando Pix",'Banco de Dados'!$AC609&lt;&gt;"-","Pendente"),"Aguardando Liberação")</f>
        <v>Aguardando Liberação</v>
      </c>
      <c r="AH609" s="5" t="str">
        <f>IF('Banco de Dados'!$F609="-",_xlfn.CONCAT(PROPER(TEXT(AK609,"aaaa"))," ",PROPER(TEXT(AK609,"mm"))),_xlfn.CONCAT(PROPER(TEXT(E609,"aaaa"))," ",PROPER(TEXT(E609,"mm"))))</f>
        <v>2024 12</v>
      </c>
      <c r="AI609" s="9" t="str">
        <f ca="1">IF('Banco de Dados'!$AK609&lt;&gt;"-","REEMBOLSO",IFERROR(_xlfn.XLOOKUP(G609,Follow[CODRASTREIO],Follow[STATUS]),"-"))</f>
        <v>ENTREGUE</v>
      </c>
      <c r="AJ609" s="9">
        <f ca="1">IF('Banco de Dados'!$AI609="ENTREGUE",_xlfn.XLOOKUP('Banco de Dados'!$G609,Follow[CODRASTREIO],Follow[DATAATUALIZAÇÃO]),"-")</f>
        <v>45692</v>
      </c>
      <c r="AK609" s="9" t="str">
        <f ca="1"/>
        <v>-</v>
      </c>
      <c r="AL609" s="35"/>
      <c r="AM609" s="109" cm="1">
        <f t="array" aca="1" ref="AM609" ca="1">IF('Banco de Dados'!$AK609&lt;&gt;"-",_xlfn.IFS('Banco de Dados'!$A609="bv",IF('Banco de Dados'!$E609&lt;45641,ROUND(SUM('Banco de Dados'!$R609*_xlfn.XLOOKUP('Banco de Dados'!$P609,Sku!B:B,Sku!#REF!)*20%),2),ROUND(SUM('Banco de Dados'!$R609*_xlfn.XLOOKUP('Banco de Dados'!$P609,Sku!B:B,Sku!H:H)*20%),2)),'Banco de Dados'!$A609="GO",ROUND(_xlfn.XLOOKUP('Banco de Dados'!$P609,Sku!C:C,Sku!H:H),2),'Banco de Dados'!$A609="MEI",ROUND(_xlfn.XLOOKUP('Banco de Dados'!$P609,Sku!D:D,Sku!H:H),2)),0)</f>
        <v>0</v>
      </c>
      <c r="AN609" s="109">
        <f ca="1">IF('Banco de Dados'!$AK609&lt;&gt;"-",IF('Banco de Dados'!$F609&lt;&gt;"-",_xlfn.XLOOKUP(IFERROR(IFERROR(IFERROR(VALUE(SUBSTITUTE(MID(_xlfn.TEXTAFTER('Banco de Dados'!$F609,"Data do Pedido:
",1),1,10),"-","/")),VALUE(SUBSTITUTE(MID(_xlfn.TEXTAFTER('Banco de Dados'!$F609,"Order date:
",1),1,10),"-","/"))),VALUE(SUBSTITUTE(MID(_xlfn.TEXTAFTER('Banco de Dados'!$F609,"Fecha de pedido:
",1),1,10),"-","/"))),"-"),SMS!A:A,SMS!K:K),0),0)</f>
        <v>0</v>
      </c>
      <c r="AO609" s="109">
        <f ca="1">IF('Banco de Dados'!$AK609&lt;&gt;"-",IF('Banco de Dados'!$F609&lt;&gt;"-",IFERROR(_xlfn.XLOOKUP(_xlfn.CONCAT('Banco de Dados'!$A609,IFERROR(IFERROR(VALUE(SUBSTITUTE(MID(_xlfn.TEXTAFTER('Banco de Dados'!$F609,"Data do Pedido:
",1),1,10),"-","/")),VALUE(SUBSTITUTE(MID(_xlfn.TEXTAFTER('Banco de Dados'!$F609,"Order date:
",1),1,10),"-","/"))),0)),ProxyDD[Chave],ProxyDD[Valor por pedido]),PROXY!$P$2),0),0)</f>
        <v>0</v>
      </c>
      <c r="AP609" s="28">
        <f ca="1">IF('Banco de Dados'!$AK609&lt;&gt;"-",IF('Banco de Dados'!$AL609="NÃO",IFERROR(VALUE(SUBSTITUTE(_xlfn.TEXTAFTER('Banco de Dados'!$F609,"BRL ",1),".",",")),0),0),0)</f>
        <v>0</v>
      </c>
      <c r="AQ609" s="28">
        <f ca="1">SUM('Banco de Dados'!$AM609:$AP609)</f>
        <v>0</v>
      </c>
      <c r="AR609" s="8"/>
      <c r="AS609" s="8"/>
      <c r="AY609" s="8"/>
    </row>
    <row r="610" spans="1:51">
      <c r="A610" s="5" t="str">
        <v>BV</v>
      </c>
      <c r="B610" s="5" t="str">
        <f ca="1"/>
        <v>BV45647</v>
      </c>
      <c r="C610" s="8" t="str">
        <v>Pedido 598</v>
      </c>
      <c r="D610" s="9">
        <v>45647</v>
      </c>
      <c r="E610" s="9">
        <v>45647</v>
      </c>
      <c r="F610" s="8" t="str">
        <v>PedidoF585</v>
      </c>
      <c r="G610" s="2" t="str">
        <v>CódRastreio583</v>
      </c>
      <c r="H610" s="5">
        <v>1</v>
      </c>
      <c r="I610" s="182" t="str">
        <v>CPF 580</v>
      </c>
      <c r="J610" s="2" t="str">
        <v>Nome 580</v>
      </c>
      <c r="K610" s="8" t="str">
        <v>Tel 580</v>
      </c>
      <c r="L610" s="8" t="str">
        <v>Cep 580</v>
      </c>
      <c r="M610" s="8" t="str">
        <v>Rua 580</v>
      </c>
      <c r="N610" s="8" t="str">
        <v>Comp 580</v>
      </c>
      <c r="O610" s="8" t="str">
        <v>Mini Mixer Misturador</v>
      </c>
      <c r="P610" s="8" t="str">
        <v>FK-T01D-KZC5</v>
      </c>
      <c r="Q610" s="4">
        <v>45673</v>
      </c>
      <c r="R610" s="109">
        <v>21.99</v>
      </c>
      <c r="S610" s="11">
        <f ca="1"/>
        <v>21.99</v>
      </c>
      <c r="T610" s="28">
        <f ca="1"/>
        <v>2.8586999999999998</v>
      </c>
      <c r="U610" s="11">
        <f ca="1"/>
        <v>19.13</v>
      </c>
      <c r="V610" s="11">
        <v>6.99</v>
      </c>
      <c r="W610" s="11">
        <f ca="1"/>
        <v>0.24</v>
      </c>
      <c r="X610" s="11">
        <f ca="1"/>
        <v>0.39877104377104378</v>
      </c>
      <c r="Y610" s="11">
        <v>0</v>
      </c>
      <c r="Z610" s="11">
        <f ca="1"/>
        <v>11.501228956228955</v>
      </c>
      <c r="AA610" s="11">
        <f ca="1"/>
        <v>5.7506144781144775</v>
      </c>
      <c r="AB610" s="4">
        <f ca="1"/>
        <v>45680</v>
      </c>
      <c r="AC610" s="4">
        <v>45680</v>
      </c>
      <c r="AD610" s="9">
        <v>45688</v>
      </c>
      <c r="AE610" s="9">
        <v>45694</v>
      </c>
      <c r="AF610" s="4" t="str">
        <f t="shared" ca="1" si="19"/>
        <v>2025 01</v>
      </c>
      <c r="AG610" s="8" t="str" cm="1">
        <f t="array" ref="AG610">IFERROR(_xlfn.IFS('Banco de Dados'!#REF!="AG. COMPRA","Em processamento",'Banco de Dados'!#REF!="AG. RASTREIO","Em processamento",'Banco de Dados'!$AE610&lt;&gt;"-","Faturado",'Banco de Dados'!$AD610&lt;&gt;"-","Aguardando Pix",'Banco de Dados'!$AC610&lt;&gt;"-","Pendente"),"Aguardando Liberação")</f>
        <v>Aguardando Liberação</v>
      </c>
      <c r="AH610" s="5" t="str">
        <f>IF('Banco de Dados'!$F610="-",_xlfn.CONCAT(PROPER(TEXT(AK610,"aaaa"))," ",PROPER(TEXT(AK610,"mm"))),_xlfn.CONCAT(PROPER(TEXT(E610,"aaaa"))," ",PROPER(TEXT(E610,"mm"))))</f>
        <v>2024 12</v>
      </c>
      <c r="AI610" s="9" t="str">
        <f ca="1">IF('Banco de Dados'!$AK610&lt;&gt;"-","REEMBOLSO",IFERROR(_xlfn.XLOOKUP(G610,Follow[CODRASTREIO],Follow[STATUS]),"-"))</f>
        <v>ENTREGUE</v>
      </c>
      <c r="AJ610" s="9">
        <f ca="1">IF('Banco de Dados'!$AI610="ENTREGUE",_xlfn.XLOOKUP('Banco de Dados'!$G610,Follow[CODRASTREIO],Follow[DATAATUALIZAÇÃO]),"-")</f>
        <v>45659</v>
      </c>
      <c r="AK610" s="9" t="str">
        <f ca="1"/>
        <v>-</v>
      </c>
      <c r="AL610" s="35"/>
      <c r="AM610" s="109" cm="1">
        <f t="array" aca="1" ref="AM610" ca="1">IF('Banco de Dados'!$AK610&lt;&gt;"-",_xlfn.IFS('Banco de Dados'!$A610="bv",IF('Banco de Dados'!$E610&lt;45641,ROUND(SUM('Banco de Dados'!$R610*_xlfn.XLOOKUP('Banco de Dados'!$P610,Sku!B:B,Sku!#REF!)*20%),2),ROUND(SUM('Banco de Dados'!$R610*_xlfn.XLOOKUP('Banco de Dados'!$P610,Sku!B:B,Sku!H:H)*20%),2)),'Banco de Dados'!$A610="GO",ROUND(_xlfn.XLOOKUP('Banco de Dados'!$P610,Sku!C:C,Sku!H:H),2),'Banco de Dados'!$A610="MEI",ROUND(_xlfn.XLOOKUP('Banco de Dados'!$P610,Sku!D:D,Sku!H:H),2)),0)</f>
        <v>0</v>
      </c>
      <c r="AN610" s="109">
        <f ca="1">IF('Banco de Dados'!$AK610&lt;&gt;"-",IF('Banco de Dados'!$F610&lt;&gt;"-",_xlfn.XLOOKUP(IFERROR(IFERROR(IFERROR(VALUE(SUBSTITUTE(MID(_xlfn.TEXTAFTER('Banco de Dados'!$F610,"Data do Pedido:
",1),1,10),"-","/")),VALUE(SUBSTITUTE(MID(_xlfn.TEXTAFTER('Banco de Dados'!$F610,"Order date:
",1),1,10),"-","/"))),VALUE(SUBSTITUTE(MID(_xlfn.TEXTAFTER('Banco de Dados'!$F610,"Fecha de pedido:
",1),1,10),"-","/"))),"-"),SMS!A:A,SMS!K:K),0),0)</f>
        <v>0</v>
      </c>
      <c r="AO610" s="109">
        <f ca="1">IF('Banco de Dados'!$AK610&lt;&gt;"-",IF('Banco de Dados'!$F610&lt;&gt;"-",IFERROR(_xlfn.XLOOKUP(_xlfn.CONCAT('Banco de Dados'!$A610,IFERROR(IFERROR(VALUE(SUBSTITUTE(MID(_xlfn.TEXTAFTER('Banco de Dados'!$F610,"Data do Pedido:
",1),1,10),"-","/")),VALUE(SUBSTITUTE(MID(_xlfn.TEXTAFTER('Banco de Dados'!$F610,"Order date:
",1),1,10),"-","/"))),0)),ProxyDD[Chave],ProxyDD[Valor por pedido]),PROXY!$P$2),0),0)</f>
        <v>0</v>
      </c>
      <c r="AP610" s="28">
        <f ca="1">IF('Banco de Dados'!$AK610&lt;&gt;"-",IF('Banco de Dados'!$AL610="NÃO",IFERROR(VALUE(SUBSTITUTE(_xlfn.TEXTAFTER('Banco de Dados'!$F610,"BRL ",1),".",",")),0),0),0)</f>
        <v>0</v>
      </c>
      <c r="AQ610" s="28">
        <f ca="1">SUM('Banco de Dados'!$AM610:$AP610)</f>
        <v>0</v>
      </c>
      <c r="AR610" s="8"/>
      <c r="AS610" s="8"/>
      <c r="AY610" s="8"/>
    </row>
    <row r="611" spans="1:51">
      <c r="A611" s="5" t="str">
        <v>BV</v>
      </c>
      <c r="B611" s="5" t="str">
        <f ca="1"/>
        <v>BV45647</v>
      </c>
      <c r="C611" s="8" t="str">
        <v>Pedido 599</v>
      </c>
      <c r="D611" s="9">
        <v>45647</v>
      </c>
      <c r="E611" s="9">
        <v>45647</v>
      </c>
      <c r="F611" s="8" t="str">
        <v>PedidoF586</v>
      </c>
      <c r="G611" s="2" t="str">
        <v>CódRastreio584</v>
      </c>
      <c r="H611" s="5">
        <v>1</v>
      </c>
      <c r="I611" s="182" t="str">
        <v>CPF 581</v>
      </c>
      <c r="J611" s="2" t="str">
        <v>Nome 581</v>
      </c>
      <c r="K611" s="8" t="str">
        <v>Tel 581</v>
      </c>
      <c r="L611" s="8" t="str">
        <v>Cep 581</v>
      </c>
      <c r="M611" s="8" t="str">
        <v>Rua 581</v>
      </c>
      <c r="N611" s="8" t="str">
        <v>Comp 581</v>
      </c>
      <c r="O611" s="8" t="str">
        <v>Adaptador Bluetooph</v>
      </c>
      <c r="P611" s="8" t="str">
        <v>YA-AG3H-SPUK</v>
      </c>
      <c r="Q611" s="4">
        <v>45673</v>
      </c>
      <c r="R611" s="109">
        <v>21.99</v>
      </c>
      <c r="S611" s="11">
        <f ca="1"/>
        <v>21.99</v>
      </c>
      <c r="T611" s="28">
        <f ca="1"/>
        <v>2.6387999999999998</v>
      </c>
      <c r="U611" s="11">
        <f ca="1"/>
        <v>19.350000000000001</v>
      </c>
      <c r="V611" s="11">
        <v>6.99</v>
      </c>
      <c r="W611" s="11">
        <f ca="1"/>
        <v>0.24</v>
      </c>
      <c r="X611" s="11">
        <f ca="1"/>
        <v>0.39877104377104378</v>
      </c>
      <c r="Y611" s="11">
        <v>0</v>
      </c>
      <c r="Z611" s="11">
        <f ca="1"/>
        <v>11.721228956228957</v>
      </c>
      <c r="AA611" s="11">
        <f ca="1"/>
        <v>5.8606144781144787</v>
      </c>
      <c r="AB611" s="4">
        <f ca="1"/>
        <v>45680</v>
      </c>
      <c r="AC611" s="4">
        <v>45680</v>
      </c>
      <c r="AD611" s="9">
        <v>45688</v>
      </c>
      <c r="AE611" s="9">
        <v>45694</v>
      </c>
      <c r="AF611" s="4" t="str">
        <f t="shared" ca="1" si="19"/>
        <v>2025 01</v>
      </c>
      <c r="AG611" s="8" t="str" cm="1">
        <f t="array" ref="AG611">IFERROR(_xlfn.IFS('Banco de Dados'!#REF!="AG. COMPRA","Em processamento",'Banco de Dados'!#REF!="AG. RASTREIO","Em processamento",'Banco de Dados'!$AE611&lt;&gt;"-","Faturado",'Banco de Dados'!$AD611&lt;&gt;"-","Aguardando Pix",'Banco de Dados'!$AC611&lt;&gt;"-","Pendente"),"Aguardando Liberação")</f>
        <v>Aguardando Liberação</v>
      </c>
      <c r="AH611" s="5" t="str">
        <f>IF('Banco de Dados'!$F611="-",_xlfn.CONCAT(PROPER(TEXT(AK611,"aaaa"))," ",PROPER(TEXT(AK611,"mm"))),_xlfn.CONCAT(PROPER(TEXT(E611,"aaaa"))," ",PROPER(TEXT(E611,"mm"))))</f>
        <v>2024 12</v>
      </c>
      <c r="AI611" s="9" t="str">
        <f ca="1">IF('Banco de Dados'!$AK611&lt;&gt;"-","REEMBOLSO",IFERROR(_xlfn.XLOOKUP(G611,Follow[CODRASTREIO],Follow[STATUS]),"-"))</f>
        <v>ENTREGUE</v>
      </c>
      <c r="AJ611" s="9">
        <f ca="1">IF('Banco de Dados'!$AI611="ENTREGUE",_xlfn.XLOOKUP('Banco de Dados'!$G611,Follow[CODRASTREIO],Follow[DATAATUALIZAÇÃO]),"-")</f>
        <v>45656</v>
      </c>
      <c r="AK611" s="9" t="str">
        <f ca="1"/>
        <v>-</v>
      </c>
      <c r="AL611" s="35"/>
      <c r="AM611" s="109" cm="1">
        <f t="array" aca="1" ref="AM611" ca="1">IF('Banco de Dados'!$AK611&lt;&gt;"-",_xlfn.IFS('Banco de Dados'!$A611="bv",IF('Banco de Dados'!$E611&lt;45641,ROUND(SUM('Banco de Dados'!$R611*_xlfn.XLOOKUP('Banco de Dados'!$P611,Sku!B:B,Sku!#REF!)*20%),2),ROUND(SUM('Banco de Dados'!$R611*_xlfn.XLOOKUP('Banco de Dados'!$P611,Sku!B:B,Sku!H:H)*20%),2)),'Banco de Dados'!$A611="GO",ROUND(_xlfn.XLOOKUP('Banco de Dados'!$P611,Sku!C:C,Sku!H:H),2),'Banco de Dados'!$A611="MEI",ROUND(_xlfn.XLOOKUP('Banco de Dados'!$P611,Sku!D:D,Sku!H:H),2)),0)</f>
        <v>0</v>
      </c>
      <c r="AN611" s="109">
        <f ca="1">IF('Banco de Dados'!$AK611&lt;&gt;"-",IF('Banco de Dados'!$F611&lt;&gt;"-",_xlfn.XLOOKUP(IFERROR(IFERROR(IFERROR(VALUE(SUBSTITUTE(MID(_xlfn.TEXTAFTER('Banco de Dados'!$F611,"Data do Pedido:
",1),1,10),"-","/")),VALUE(SUBSTITUTE(MID(_xlfn.TEXTAFTER('Banco de Dados'!$F611,"Order date:
",1),1,10),"-","/"))),VALUE(SUBSTITUTE(MID(_xlfn.TEXTAFTER('Banco de Dados'!$F611,"Fecha de pedido:
",1),1,10),"-","/"))),"-"),SMS!A:A,SMS!K:K),0),0)</f>
        <v>0</v>
      </c>
      <c r="AO611" s="109">
        <f ca="1">IF('Banco de Dados'!$AK611&lt;&gt;"-",IF('Banco de Dados'!$F611&lt;&gt;"-",IFERROR(_xlfn.XLOOKUP(_xlfn.CONCAT('Banco de Dados'!$A611,IFERROR(IFERROR(VALUE(SUBSTITUTE(MID(_xlfn.TEXTAFTER('Banco de Dados'!$F611,"Data do Pedido:
",1),1,10),"-","/")),VALUE(SUBSTITUTE(MID(_xlfn.TEXTAFTER('Banco de Dados'!$F611,"Order date:
",1),1,10),"-","/"))),0)),ProxyDD[Chave],ProxyDD[Valor por pedido]),PROXY!$P$2),0),0)</f>
        <v>0</v>
      </c>
      <c r="AP611" s="28">
        <f ca="1">IF('Banco de Dados'!$AK611&lt;&gt;"-",IF('Banco de Dados'!$AL611="NÃO",IFERROR(VALUE(SUBSTITUTE(_xlfn.TEXTAFTER('Banco de Dados'!$F611,"BRL ",1),".",",")),0),0),0)</f>
        <v>0</v>
      </c>
      <c r="AQ611" s="28">
        <f ca="1">SUM('Banco de Dados'!$AM611:$AP611)</f>
        <v>0</v>
      </c>
      <c r="AR611" s="8"/>
      <c r="AS611" s="8"/>
      <c r="AY611" s="8"/>
    </row>
    <row r="612" spans="1:51">
      <c r="A612" s="5" t="str">
        <v>BV</v>
      </c>
      <c r="B612" s="5" t="str">
        <f ca="1"/>
        <v>BV45647</v>
      </c>
      <c r="C612" s="8" t="str">
        <v>Pedido 600</v>
      </c>
      <c r="D612" s="9">
        <v>45647</v>
      </c>
      <c r="E612" s="9">
        <v>45647</v>
      </c>
      <c r="F612" s="8" t="str">
        <v>PedidoF587</v>
      </c>
      <c r="G612" s="2" t="str">
        <v>CódRastreio585</v>
      </c>
      <c r="H612" s="5">
        <v>1</v>
      </c>
      <c r="I612" s="182" t="str">
        <v>CPF 582</v>
      </c>
      <c r="J612" s="2" t="str">
        <v>Nome 582</v>
      </c>
      <c r="K612" s="8" t="str">
        <v>Tel 582</v>
      </c>
      <c r="L612" s="8" t="str">
        <v>Cep 582</v>
      </c>
      <c r="M612" s="8" t="str">
        <v>Rua 582</v>
      </c>
      <c r="N612" s="8" t="str">
        <v>Comp 582</v>
      </c>
      <c r="O612" s="8" t="str">
        <v>Adaptador Bluetooph</v>
      </c>
      <c r="P612" s="8" t="str">
        <v>YA-AG3H-SPUK</v>
      </c>
      <c r="Q612" s="4">
        <v>45673</v>
      </c>
      <c r="R612" s="109">
        <v>21.99</v>
      </c>
      <c r="S612" s="11">
        <f ca="1"/>
        <v>21.99</v>
      </c>
      <c r="T612" s="28">
        <f ca="1"/>
        <v>2.6387999999999998</v>
      </c>
      <c r="U612" s="11">
        <f ca="1"/>
        <v>19.350000000000001</v>
      </c>
      <c r="V612" s="11">
        <v>6.99</v>
      </c>
      <c r="W612" s="11">
        <f ca="1"/>
        <v>0.24</v>
      </c>
      <c r="X612" s="11">
        <f ca="1"/>
        <v>0.39877104377104378</v>
      </c>
      <c r="Y612" s="11">
        <v>0</v>
      </c>
      <c r="Z612" s="11">
        <f ca="1"/>
        <v>11.721228956228957</v>
      </c>
      <c r="AA612" s="11">
        <f ca="1"/>
        <v>5.8606144781144787</v>
      </c>
      <c r="AB612" s="4">
        <f ca="1"/>
        <v>45680</v>
      </c>
      <c r="AC612" s="4">
        <v>45680</v>
      </c>
      <c r="AD612" s="9">
        <v>45688</v>
      </c>
      <c r="AE612" s="9">
        <v>45694</v>
      </c>
      <c r="AF612" s="4" t="str">
        <f t="shared" ca="1" si="19"/>
        <v>2025 01</v>
      </c>
      <c r="AG612" s="8" t="str" cm="1">
        <f t="array" ref="AG612">IFERROR(_xlfn.IFS('Banco de Dados'!#REF!="AG. COMPRA","Em processamento",'Banco de Dados'!#REF!="AG. RASTREIO","Em processamento",'Banco de Dados'!$AE612&lt;&gt;"-","Faturado",'Banco de Dados'!$AD612&lt;&gt;"-","Aguardando Pix",'Banco de Dados'!$AC612&lt;&gt;"-","Pendente"),"Aguardando Liberação")</f>
        <v>Aguardando Liberação</v>
      </c>
      <c r="AH612" s="5" t="str">
        <f>IF('Banco de Dados'!$F612="-",_xlfn.CONCAT(PROPER(TEXT(AK612,"aaaa"))," ",PROPER(TEXT(AK612,"mm"))),_xlfn.CONCAT(PROPER(TEXT(E612,"aaaa"))," ",PROPER(TEXT(E612,"mm"))))</f>
        <v>2024 12</v>
      </c>
      <c r="AI612" s="9" t="str">
        <f ca="1">IF('Banco de Dados'!$AK612&lt;&gt;"-","REEMBOLSO",IFERROR(_xlfn.XLOOKUP(G612,Follow[CODRASTREIO],Follow[STATUS]),"-"))</f>
        <v>ENTREGUE</v>
      </c>
      <c r="AJ612" s="9">
        <f ca="1">IF('Banco de Dados'!$AI612="ENTREGUE",_xlfn.XLOOKUP('Banco de Dados'!$G612,Follow[CODRASTREIO],Follow[DATAATUALIZAÇÃO]),"-")</f>
        <v>45660</v>
      </c>
      <c r="AK612" s="9" t="str">
        <f ca="1"/>
        <v>-</v>
      </c>
      <c r="AL612" s="35"/>
      <c r="AM612" s="109" cm="1">
        <f t="array" aca="1" ref="AM612" ca="1">IF('Banco de Dados'!$AK612&lt;&gt;"-",_xlfn.IFS('Banco de Dados'!$A612="bv",IF('Banco de Dados'!$E612&lt;45641,ROUND(SUM('Banco de Dados'!$R612*_xlfn.XLOOKUP('Banco de Dados'!$P612,Sku!B:B,Sku!#REF!)*20%),2),ROUND(SUM('Banco de Dados'!$R612*_xlfn.XLOOKUP('Banco de Dados'!$P612,Sku!B:B,Sku!H:H)*20%),2)),'Banco de Dados'!$A612="GO",ROUND(_xlfn.XLOOKUP('Banco de Dados'!$P612,Sku!C:C,Sku!H:H),2),'Banco de Dados'!$A612="MEI",ROUND(_xlfn.XLOOKUP('Banco de Dados'!$P612,Sku!D:D,Sku!H:H),2)),0)</f>
        <v>0</v>
      </c>
      <c r="AN612" s="109">
        <f ca="1">IF('Banco de Dados'!$AK612&lt;&gt;"-",IF('Banco de Dados'!$F612&lt;&gt;"-",_xlfn.XLOOKUP(IFERROR(IFERROR(IFERROR(VALUE(SUBSTITUTE(MID(_xlfn.TEXTAFTER('Banco de Dados'!$F612,"Data do Pedido:
",1),1,10),"-","/")),VALUE(SUBSTITUTE(MID(_xlfn.TEXTAFTER('Banco de Dados'!$F612,"Order date:
",1),1,10),"-","/"))),VALUE(SUBSTITUTE(MID(_xlfn.TEXTAFTER('Banco de Dados'!$F612,"Fecha de pedido:
",1),1,10),"-","/"))),"-"),SMS!A:A,SMS!K:K),0),0)</f>
        <v>0</v>
      </c>
      <c r="AO612" s="109">
        <f ca="1">IF('Banco de Dados'!$AK612&lt;&gt;"-",IF('Banco de Dados'!$F612&lt;&gt;"-",IFERROR(_xlfn.XLOOKUP(_xlfn.CONCAT('Banco de Dados'!$A612,IFERROR(IFERROR(VALUE(SUBSTITUTE(MID(_xlfn.TEXTAFTER('Banco de Dados'!$F612,"Data do Pedido:
",1),1,10),"-","/")),VALUE(SUBSTITUTE(MID(_xlfn.TEXTAFTER('Banco de Dados'!$F612,"Order date:
",1),1,10),"-","/"))),0)),ProxyDD[Chave],ProxyDD[Valor por pedido]),PROXY!$P$2),0),0)</f>
        <v>0</v>
      </c>
      <c r="AP612" s="28">
        <f ca="1">IF('Banco de Dados'!$AK612&lt;&gt;"-",IF('Banco de Dados'!$AL612="NÃO",IFERROR(VALUE(SUBSTITUTE(_xlfn.TEXTAFTER('Banco de Dados'!$F612,"BRL ",1),".",",")),0),0),0)</f>
        <v>0</v>
      </c>
      <c r="AQ612" s="28">
        <f ca="1">SUM('Banco de Dados'!$AM612:$AP612)</f>
        <v>0</v>
      </c>
      <c r="AR612" s="8"/>
      <c r="AS612" s="8"/>
      <c r="AY612" s="8"/>
    </row>
    <row r="613" spans="1:51">
      <c r="A613" s="5" t="str">
        <v>BV</v>
      </c>
      <c r="B613" s="5" t="str">
        <f ca="1"/>
        <v>BV45648</v>
      </c>
      <c r="C613" s="8" t="str">
        <v>Pedido 601</v>
      </c>
      <c r="D613" s="9">
        <v>45648</v>
      </c>
      <c r="E613" s="9">
        <v>45648</v>
      </c>
      <c r="F613" s="8" t="str">
        <v>PedidoF588</v>
      </c>
      <c r="G613" s="2" t="str">
        <v>CódRastreio586</v>
      </c>
      <c r="H613" s="5">
        <v>1</v>
      </c>
      <c r="I613" s="182" t="str">
        <v>CPF 583</v>
      </c>
      <c r="J613" s="2" t="str">
        <v>Nome 583</v>
      </c>
      <c r="K613" s="8" t="str">
        <v>Tel 583</v>
      </c>
      <c r="L613" s="8" t="str">
        <v>Cep 583</v>
      </c>
      <c r="M613" s="8" t="str">
        <v>Rua 583</v>
      </c>
      <c r="N613" s="8" t="str">
        <v>Comp 583</v>
      </c>
      <c r="O613" s="8" t="str">
        <v>Ventilador Rosa</v>
      </c>
      <c r="P613" s="8" t="str">
        <v>IF-G2ZQ-79FO</v>
      </c>
      <c r="Q613" s="4">
        <v>45679</v>
      </c>
      <c r="R613" s="109">
        <v>49.4</v>
      </c>
      <c r="S613" s="11">
        <f ca="1"/>
        <v>49.4</v>
      </c>
      <c r="T613" s="28">
        <f ca="1"/>
        <v>6.4219999999999997</v>
      </c>
      <c r="U613" s="11">
        <f ca="1"/>
        <v>42.98</v>
      </c>
      <c r="V613" s="11">
        <v>16.05</v>
      </c>
      <c r="W613" s="11">
        <f ca="1"/>
        <v>0.3</v>
      </c>
      <c r="X613" s="11">
        <f ca="1"/>
        <v>0.39877104377104378</v>
      </c>
      <c r="Y613" s="11">
        <v>0</v>
      </c>
      <c r="Z613" s="11">
        <f ca="1"/>
        <v>26.23122895622895</v>
      </c>
      <c r="AA613" s="11">
        <f ca="1"/>
        <v>13.115614478114475</v>
      </c>
      <c r="AB613" s="4">
        <f ca="1"/>
        <v>45686</v>
      </c>
      <c r="AC613" s="4">
        <v>45686</v>
      </c>
      <c r="AD613" s="9">
        <v>45688</v>
      </c>
      <c r="AE613" s="9">
        <v>45694</v>
      </c>
      <c r="AF613" s="4" t="str">
        <f t="shared" ca="1" si="19"/>
        <v>2025 01</v>
      </c>
      <c r="AG613" s="8" t="str" cm="1">
        <f t="array" ref="AG613">IFERROR(_xlfn.IFS('Banco de Dados'!#REF!="AG. COMPRA","Em processamento",'Banco de Dados'!#REF!="AG. RASTREIO","Em processamento",'Banco de Dados'!$AE613&lt;&gt;"-","Faturado",'Banco de Dados'!$AD613&lt;&gt;"-","Aguardando Pix",'Banco de Dados'!$AC613&lt;&gt;"-","Pendente"),"Aguardando Liberação")</f>
        <v>Aguardando Liberação</v>
      </c>
      <c r="AH613" s="5" t="str">
        <f>IF('Banco de Dados'!$F613="-",_xlfn.CONCAT(PROPER(TEXT(AK613,"aaaa"))," ",PROPER(TEXT(AK613,"mm"))),_xlfn.CONCAT(PROPER(TEXT(E613,"aaaa"))," ",PROPER(TEXT(E613,"mm"))))</f>
        <v>2024 12</v>
      </c>
      <c r="AI613" s="9" t="str">
        <f ca="1">IF('Banco de Dados'!$AK613&lt;&gt;"-","REEMBOLSO",IFERROR(_xlfn.XLOOKUP(G613,Follow[CODRASTREIO],Follow[STATUS]),"-"))</f>
        <v>ENTREGUE</v>
      </c>
      <c r="AJ613" s="9">
        <f ca="1">IF('Banco de Dados'!$AI613="ENTREGUE",_xlfn.XLOOKUP('Banco de Dados'!$G613,Follow[CODRASTREIO],Follow[DATAATUALIZAÇÃO]),"-")</f>
        <v>45665</v>
      </c>
      <c r="AK613" s="9" t="str">
        <f ca="1"/>
        <v>-</v>
      </c>
      <c r="AL613" s="35"/>
      <c r="AM613" s="109" cm="1">
        <f t="array" aca="1" ref="AM613" ca="1">IF('Banco de Dados'!$AK613&lt;&gt;"-",_xlfn.IFS('Banco de Dados'!$A613="bv",IF('Banco de Dados'!$E613&lt;45641,ROUND(SUM('Banco de Dados'!$R613*_xlfn.XLOOKUP('Banco de Dados'!$P613,Sku!B:B,Sku!#REF!)*20%),2),ROUND(SUM('Banco de Dados'!$R613*_xlfn.XLOOKUP('Banco de Dados'!$P613,Sku!B:B,Sku!H:H)*20%),2)),'Banco de Dados'!$A613="GO",ROUND(_xlfn.XLOOKUP('Banco de Dados'!$P613,Sku!C:C,Sku!H:H),2),'Banco de Dados'!$A613="MEI",ROUND(_xlfn.XLOOKUP('Banco de Dados'!$P613,Sku!D:D,Sku!H:H),2)),0)</f>
        <v>0</v>
      </c>
      <c r="AN613" s="109">
        <f ca="1">IF('Banco de Dados'!$AK613&lt;&gt;"-",IF('Banco de Dados'!$F613&lt;&gt;"-",_xlfn.XLOOKUP(IFERROR(IFERROR(IFERROR(VALUE(SUBSTITUTE(MID(_xlfn.TEXTAFTER('Banco de Dados'!$F613,"Data do Pedido:
",1),1,10),"-","/")),VALUE(SUBSTITUTE(MID(_xlfn.TEXTAFTER('Banco de Dados'!$F613,"Order date:
",1),1,10),"-","/"))),VALUE(SUBSTITUTE(MID(_xlfn.TEXTAFTER('Banco de Dados'!$F613,"Fecha de pedido:
",1),1,10),"-","/"))),"-"),SMS!A:A,SMS!K:K),0),0)</f>
        <v>0</v>
      </c>
      <c r="AO613" s="109">
        <f ca="1">IF('Banco de Dados'!$AK613&lt;&gt;"-",IF('Banco de Dados'!$F613&lt;&gt;"-",IFERROR(_xlfn.XLOOKUP(_xlfn.CONCAT('Banco de Dados'!$A613,IFERROR(IFERROR(VALUE(SUBSTITUTE(MID(_xlfn.TEXTAFTER('Banco de Dados'!$F613,"Data do Pedido:
",1),1,10),"-","/")),VALUE(SUBSTITUTE(MID(_xlfn.TEXTAFTER('Banco de Dados'!$F613,"Order date:
",1),1,10),"-","/"))),0)),ProxyDD[Chave],ProxyDD[Valor por pedido]),PROXY!$P$2),0),0)</f>
        <v>0</v>
      </c>
      <c r="AP613" s="28">
        <f ca="1">IF('Banco de Dados'!$AK613&lt;&gt;"-",IF('Banco de Dados'!$AL613="NÃO",IFERROR(VALUE(SUBSTITUTE(_xlfn.TEXTAFTER('Banco de Dados'!$F613,"BRL ",1),".",",")),0),0),0)</f>
        <v>0</v>
      </c>
      <c r="AQ613" s="28">
        <f ca="1">SUM('Banco de Dados'!$AM613:$AP613)</f>
        <v>0</v>
      </c>
      <c r="AR613" s="8"/>
      <c r="AS613" s="8"/>
      <c r="AY613" s="8"/>
    </row>
    <row r="614" spans="1:51">
      <c r="A614" s="5" t="str">
        <v>BV</v>
      </c>
      <c r="B614" s="5" t="str">
        <f ca="1"/>
        <v>BV45648</v>
      </c>
      <c r="C614" s="8" t="str">
        <v>Pedido 602</v>
      </c>
      <c r="D614" s="9">
        <v>45648</v>
      </c>
      <c r="E614" s="9">
        <v>45648</v>
      </c>
      <c r="F614" s="8" t="str">
        <v>PedidoF589</v>
      </c>
      <c r="G614" s="2" t="str">
        <v>CódRastreio587</v>
      </c>
      <c r="H614" s="5">
        <v>1</v>
      </c>
      <c r="I614" s="182" t="str">
        <v>CPF 584</v>
      </c>
      <c r="J614" s="2" t="str">
        <v>Nome 584</v>
      </c>
      <c r="K614" s="8" t="str">
        <v>Tel 584</v>
      </c>
      <c r="L614" s="8" t="str">
        <v>Cep 584</v>
      </c>
      <c r="M614" s="8" t="str">
        <v>Rua 584</v>
      </c>
      <c r="N614" s="8" t="str">
        <v>Comp 584</v>
      </c>
      <c r="O614" s="8" t="str">
        <v>Ventilador Rosa</v>
      </c>
      <c r="P614" s="8" t="str">
        <v>IF-G2ZQ-79FO</v>
      </c>
      <c r="Q614" s="4">
        <v>45679</v>
      </c>
      <c r="R614" s="109">
        <v>49.4</v>
      </c>
      <c r="S614" s="11">
        <f ca="1"/>
        <v>49.4</v>
      </c>
      <c r="T614" s="28">
        <f ca="1"/>
        <v>6.4219999999999997</v>
      </c>
      <c r="U614" s="11">
        <f ca="1"/>
        <v>42.98</v>
      </c>
      <c r="V614" s="11">
        <v>16.05</v>
      </c>
      <c r="W614" s="11">
        <f ca="1"/>
        <v>0.3</v>
      </c>
      <c r="X614" s="11">
        <f ca="1"/>
        <v>0.39877104377104378</v>
      </c>
      <c r="Y614" s="11">
        <v>0</v>
      </c>
      <c r="Z614" s="11">
        <f ca="1"/>
        <v>26.23122895622895</v>
      </c>
      <c r="AA614" s="11">
        <f ca="1"/>
        <v>13.115614478114475</v>
      </c>
      <c r="AB614" s="4">
        <f ca="1"/>
        <v>45686</v>
      </c>
      <c r="AC614" s="4">
        <v>45686</v>
      </c>
      <c r="AD614" s="9">
        <v>45688</v>
      </c>
      <c r="AE614" s="9">
        <v>45694</v>
      </c>
      <c r="AF614" s="4" t="str">
        <f t="shared" ca="1" si="19"/>
        <v>2025 01</v>
      </c>
      <c r="AG614" s="8" t="str" cm="1">
        <f t="array" ref="AG614">IFERROR(_xlfn.IFS('Banco de Dados'!#REF!="AG. COMPRA","Em processamento",'Banco de Dados'!#REF!="AG. RASTREIO","Em processamento",'Banco de Dados'!$AE614&lt;&gt;"-","Faturado",'Banco de Dados'!$AD614&lt;&gt;"-","Aguardando Pix",'Banco de Dados'!$AC614&lt;&gt;"-","Pendente"),"Aguardando Liberação")</f>
        <v>Aguardando Liberação</v>
      </c>
      <c r="AH614" s="5" t="str">
        <f>IF('Banco de Dados'!$F614="-",_xlfn.CONCAT(PROPER(TEXT(AK614,"aaaa"))," ",PROPER(TEXT(AK614,"mm"))),_xlfn.CONCAT(PROPER(TEXT(E614,"aaaa"))," ",PROPER(TEXT(E614,"mm"))))</f>
        <v>2024 12</v>
      </c>
      <c r="AI614" s="9" t="str">
        <f ca="1">IF('Banco de Dados'!$AK614&lt;&gt;"-","REEMBOLSO",IFERROR(_xlfn.XLOOKUP(G614,Follow[CODRASTREIO],Follow[STATUS]),"-"))</f>
        <v>ENTREGUE</v>
      </c>
      <c r="AJ614" s="9">
        <f ca="1">IF('Banco de Dados'!$AI614="ENTREGUE",_xlfn.XLOOKUP('Banco de Dados'!$G614,Follow[CODRASTREIO],Follow[DATAATUALIZAÇÃO]),"-")</f>
        <v>45665</v>
      </c>
      <c r="AK614" s="9" t="str">
        <f ca="1"/>
        <v>-</v>
      </c>
      <c r="AL614" s="35"/>
      <c r="AM614" s="109" cm="1">
        <f t="array" aca="1" ref="AM614" ca="1">IF('Banco de Dados'!$AK614&lt;&gt;"-",_xlfn.IFS('Banco de Dados'!$A614="bv",IF('Banco de Dados'!$E614&lt;45641,ROUND(SUM('Banco de Dados'!$R614*_xlfn.XLOOKUP('Banco de Dados'!$P614,Sku!B:B,Sku!#REF!)*20%),2),ROUND(SUM('Banco de Dados'!$R614*_xlfn.XLOOKUP('Banco de Dados'!$P614,Sku!B:B,Sku!H:H)*20%),2)),'Banco de Dados'!$A614="GO",ROUND(_xlfn.XLOOKUP('Banco de Dados'!$P614,Sku!C:C,Sku!H:H),2),'Banco de Dados'!$A614="MEI",ROUND(_xlfn.XLOOKUP('Banco de Dados'!$P614,Sku!D:D,Sku!H:H),2)),0)</f>
        <v>0</v>
      </c>
      <c r="AN614" s="109">
        <f ca="1">IF('Banco de Dados'!$AK614&lt;&gt;"-",IF('Banco de Dados'!$F614&lt;&gt;"-",_xlfn.XLOOKUP(IFERROR(IFERROR(IFERROR(VALUE(SUBSTITUTE(MID(_xlfn.TEXTAFTER('Banco de Dados'!$F614,"Data do Pedido:
",1),1,10),"-","/")),VALUE(SUBSTITUTE(MID(_xlfn.TEXTAFTER('Banco de Dados'!$F614,"Order date:
",1),1,10),"-","/"))),VALUE(SUBSTITUTE(MID(_xlfn.TEXTAFTER('Banco de Dados'!$F614,"Fecha de pedido:
",1),1,10),"-","/"))),"-"),SMS!A:A,SMS!K:K),0),0)</f>
        <v>0</v>
      </c>
      <c r="AO614" s="109">
        <f ca="1">IF('Banco de Dados'!$AK614&lt;&gt;"-",IF('Banco de Dados'!$F614&lt;&gt;"-",IFERROR(_xlfn.XLOOKUP(_xlfn.CONCAT('Banco de Dados'!$A614,IFERROR(IFERROR(VALUE(SUBSTITUTE(MID(_xlfn.TEXTAFTER('Banco de Dados'!$F614,"Data do Pedido:
",1),1,10),"-","/")),VALUE(SUBSTITUTE(MID(_xlfn.TEXTAFTER('Banco de Dados'!$F614,"Order date:
",1),1,10),"-","/"))),0)),ProxyDD[Chave],ProxyDD[Valor por pedido]),PROXY!$P$2),0),0)</f>
        <v>0</v>
      </c>
      <c r="AP614" s="28">
        <f ca="1">IF('Banco de Dados'!$AK614&lt;&gt;"-",IF('Banco de Dados'!$AL614="NÃO",IFERROR(VALUE(SUBSTITUTE(_xlfn.TEXTAFTER('Banco de Dados'!$F614,"BRL ",1),".",",")),0),0),0)</f>
        <v>0</v>
      </c>
      <c r="AQ614" s="28">
        <f ca="1">SUM('Banco de Dados'!$AM614:$AP614)</f>
        <v>0</v>
      </c>
      <c r="AR614" s="8"/>
      <c r="AS614" s="8"/>
      <c r="AY614" s="8"/>
    </row>
    <row r="615" spans="1:51">
      <c r="A615" s="5" t="str">
        <v>BV</v>
      </c>
      <c r="B615" s="5" t="str">
        <f ca="1"/>
        <v>BV45653</v>
      </c>
      <c r="C615" s="8" t="str">
        <v>Pedido 603</v>
      </c>
      <c r="D615" s="9">
        <v>45653</v>
      </c>
      <c r="E615" s="9">
        <v>45653</v>
      </c>
      <c r="F615" s="8" t="str">
        <v>PedidoF590</v>
      </c>
      <c r="G615" s="2" t="str">
        <v>CódRastreio588</v>
      </c>
      <c r="H615" s="5">
        <v>1</v>
      </c>
      <c r="I615" s="182" t="str">
        <v>CPF 585</v>
      </c>
      <c r="J615" s="2" t="str">
        <v>Nome 585</v>
      </c>
      <c r="K615" s="8" t="str">
        <v>Tel 585</v>
      </c>
      <c r="L615" s="8" t="str">
        <v>Cep 585</v>
      </c>
      <c r="M615" s="8" t="str">
        <v>Rua 585</v>
      </c>
      <c r="N615" s="8" t="str">
        <v>Comp 585</v>
      </c>
      <c r="O615" s="8" t="str">
        <v>Ventilador Preto</v>
      </c>
      <c r="P615" s="8" t="str">
        <v>MU-J80P-95WF</v>
      </c>
      <c r="Q615" s="4">
        <v>45673</v>
      </c>
      <c r="R615" s="109">
        <v>65.599999999999994</v>
      </c>
      <c r="S615" s="11">
        <f ca="1"/>
        <v>65.599999999999994</v>
      </c>
      <c r="T615" s="28">
        <f ca="1"/>
        <v>8.5279999999999987</v>
      </c>
      <c r="U615" s="11">
        <f ca="1"/>
        <v>57.07</v>
      </c>
      <c r="V615" s="11">
        <v>17.399999999999999</v>
      </c>
      <c r="W615" s="11">
        <f ca="1"/>
        <v>0.25</v>
      </c>
      <c r="X615" s="11">
        <f ca="1"/>
        <v>0.39877104377104378</v>
      </c>
      <c r="Y615" s="11">
        <v>0</v>
      </c>
      <c r="Z615" s="11">
        <f ca="1"/>
        <v>39.021228956228953</v>
      </c>
      <c r="AA615" s="11">
        <f ca="1"/>
        <v>19.510614478114476</v>
      </c>
      <c r="AB615" s="4">
        <f ca="1"/>
        <v>45680</v>
      </c>
      <c r="AC615" s="4">
        <v>45680</v>
      </c>
      <c r="AD615" s="9">
        <v>45688</v>
      </c>
      <c r="AE615" s="9">
        <v>45694</v>
      </c>
      <c r="AF615" s="4" t="str">
        <f t="shared" ca="1" si="19"/>
        <v>2025 01</v>
      </c>
      <c r="AG615" s="8" t="str" cm="1">
        <f t="array" ref="AG615">IFERROR(_xlfn.IFS('Banco de Dados'!#REF!="AG. COMPRA","Em processamento",'Banco de Dados'!#REF!="AG. RASTREIO","Em processamento",'Banco de Dados'!$AE615&lt;&gt;"-","Faturado",'Banco de Dados'!$AD615&lt;&gt;"-","Aguardando Pix",'Banco de Dados'!$AC615&lt;&gt;"-","Pendente"),"Aguardando Liberação")</f>
        <v>Aguardando Liberação</v>
      </c>
      <c r="AH615" s="5" t="str">
        <f>IF('Banco de Dados'!$F615="-",_xlfn.CONCAT(PROPER(TEXT(AK615,"aaaa"))," ",PROPER(TEXT(AK615,"mm"))),_xlfn.CONCAT(PROPER(TEXT(E615,"aaaa"))," ",PROPER(TEXT(E615,"mm"))))</f>
        <v>2024 12</v>
      </c>
      <c r="AI615" s="9" t="str">
        <f ca="1">IF('Banco de Dados'!$AK615&lt;&gt;"-","REEMBOLSO",IFERROR(_xlfn.XLOOKUP(G615,Follow[CODRASTREIO],Follow[STATUS]),"-"))</f>
        <v>ENTREGUE</v>
      </c>
      <c r="AJ615" s="9">
        <f ca="1">IF('Banco de Dados'!$AI615="ENTREGUE",_xlfn.XLOOKUP('Banco de Dados'!$G615,Follow[CODRASTREIO],Follow[DATAATUALIZAÇÃO]),"-")</f>
        <v>45665</v>
      </c>
      <c r="AK615" s="9" t="str">
        <f ca="1"/>
        <v>-</v>
      </c>
      <c r="AL615" s="35"/>
      <c r="AM615" s="109" cm="1">
        <f t="array" aca="1" ref="AM615" ca="1">IF('Banco de Dados'!$AK615&lt;&gt;"-",_xlfn.IFS('Banco de Dados'!$A615="bv",IF('Banco de Dados'!$E615&lt;45641,ROUND(SUM('Banco de Dados'!$R615*_xlfn.XLOOKUP('Banco de Dados'!$P615,Sku!B:B,Sku!#REF!)*20%),2),ROUND(SUM('Banco de Dados'!$R615*_xlfn.XLOOKUP('Banco de Dados'!$P615,Sku!B:B,Sku!H:H)*20%),2)),'Banco de Dados'!$A615="GO",ROUND(_xlfn.XLOOKUP('Banco de Dados'!$P615,Sku!C:C,Sku!H:H),2),'Banco de Dados'!$A615="MEI",ROUND(_xlfn.XLOOKUP('Banco de Dados'!$P615,Sku!D:D,Sku!H:H),2)),0)</f>
        <v>0</v>
      </c>
      <c r="AN615" s="109">
        <f ca="1">IF('Banco de Dados'!$AK615&lt;&gt;"-",IF('Banco de Dados'!$F615&lt;&gt;"-",_xlfn.XLOOKUP(IFERROR(IFERROR(IFERROR(VALUE(SUBSTITUTE(MID(_xlfn.TEXTAFTER('Banco de Dados'!$F615,"Data do Pedido:
",1),1,10),"-","/")),VALUE(SUBSTITUTE(MID(_xlfn.TEXTAFTER('Banco de Dados'!$F615,"Order date:
",1),1,10),"-","/"))),VALUE(SUBSTITUTE(MID(_xlfn.TEXTAFTER('Banco de Dados'!$F615,"Fecha de pedido:
",1),1,10),"-","/"))),"-"),SMS!A:A,SMS!K:K),0),0)</f>
        <v>0</v>
      </c>
      <c r="AO615" s="109">
        <f ca="1">IF('Banco de Dados'!$AK615&lt;&gt;"-",IF('Banco de Dados'!$F615&lt;&gt;"-",IFERROR(_xlfn.XLOOKUP(_xlfn.CONCAT('Banco de Dados'!$A615,IFERROR(IFERROR(VALUE(SUBSTITUTE(MID(_xlfn.TEXTAFTER('Banco de Dados'!$F615,"Data do Pedido:
",1),1,10),"-","/")),VALUE(SUBSTITUTE(MID(_xlfn.TEXTAFTER('Banco de Dados'!$F615,"Order date:
",1),1,10),"-","/"))),0)),ProxyDD[Chave],ProxyDD[Valor por pedido]),PROXY!$P$2),0),0)</f>
        <v>0</v>
      </c>
      <c r="AP615" s="28">
        <f ca="1">IF('Banco de Dados'!$AK615&lt;&gt;"-",IF('Banco de Dados'!$AL615="NÃO",IFERROR(VALUE(SUBSTITUTE(_xlfn.TEXTAFTER('Banco de Dados'!$F615,"BRL ",1),".",",")),0),0),0)</f>
        <v>0</v>
      </c>
      <c r="AQ615" s="28">
        <f ca="1">SUM('Banco de Dados'!$AM615:$AP615)</f>
        <v>0</v>
      </c>
      <c r="AR615" s="8"/>
      <c r="AS615" s="8"/>
      <c r="AY615" s="8"/>
    </row>
    <row r="616" spans="1:51">
      <c r="A616" s="5" t="str">
        <v>BV</v>
      </c>
      <c r="B616" s="5" t="str">
        <f ca="1"/>
        <v>BV-</v>
      </c>
      <c r="C616" s="8" t="str">
        <v>Pedido 604</v>
      </c>
      <c r="D616" s="9">
        <v>45627</v>
      </c>
      <c r="E616" s="9" t="str">
        <v>-</v>
      </c>
      <c r="F616" s="8" t="str">
        <v>-</v>
      </c>
      <c r="G616" s="2" t="str">
        <v>-</v>
      </c>
      <c r="H616" s="5">
        <v>1</v>
      </c>
      <c r="I616" s="182" t="str">
        <v>CPF 586</v>
      </c>
      <c r="J616" s="2" t="str">
        <v>Nome 586</v>
      </c>
      <c r="K616" s="8" t="str">
        <v>Tel 586</v>
      </c>
      <c r="L616" s="8" t="str">
        <v>Cep 586</v>
      </c>
      <c r="M616" s="8" t="str">
        <v>Rua 586</v>
      </c>
      <c r="N616" s="8" t="str">
        <v>Comp 586</v>
      </c>
      <c r="O616" s="8" t="str">
        <v>Ventilador Azul</v>
      </c>
      <c r="P616" s="8" t="str">
        <v>U8-2VWS-OB6M</v>
      </c>
      <c r="Q616" s="4">
        <v>45679</v>
      </c>
      <c r="R616" s="109">
        <v>65.599999999999994</v>
      </c>
      <c r="S616" s="11">
        <f ca="1"/>
        <v>0</v>
      </c>
      <c r="T616" s="28">
        <f ca="1"/>
        <v>0</v>
      </c>
      <c r="U616" s="11">
        <f ca="1"/>
        <v>0</v>
      </c>
      <c r="V616" s="11">
        <v>0</v>
      </c>
      <c r="W616" s="11">
        <f ca="1"/>
        <v>0</v>
      </c>
      <c r="X616" s="11">
        <f ca="1"/>
        <v>0</v>
      </c>
      <c r="Y616" s="11">
        <v>0</v>
      </c>
      <c r="Z616" s="11">
        <f ca="1"/>
        <v>0</v>
      </c>
      <c r="AA616" s="11">
        <f ca="1"/>
        <v>0</v>
      </c>
      <c r="AB616" s="4">
        <f ca="1"/>
        <v>45686</v>
      </c>
      <c r="AC616" s="4">
        <v>45686</v>
      </c>
      <c r="AD616" s="9">
        <v>45688</v>
      </c>
      <c r="AE616" s="9">
        <v>45694</v>
      </c>
      <c r="AF616" s="4" t="str">
        <f t="shared" ca="1" si="19"/>
        <v>2025 01</v>
      </c>
      <c r="AG616" s="8" t="str" cm="1">
        <f t="array" ref="AG616">IFERROR(_xlfn.IFS('Banco de Dados'!#REF!="AG. COMPRA","Em processamento",'Banco de Dados'!#REF!="AG. RASTREIO","Em processamento",'Banco de Dados'!$AE616&lt;&gt;"-","Faturado",'Banco de Dados'!$AD616&lt;&gt;"-","Aguardando Pix",'Banco de Dados'!$AC616&lt;&gt;"-","Pendente"),"Aguardando Liberação")</f>
        <v>Aguardando Liberação</v>
      </c>
      <c r="AH616" s="5" t="str">
        <f ca="1">IF('Banco de Dados'!$F616="-",_xlfn.CONCAT(PROPER(TEXT(AK616,"aaaa"))," ",PROPER(TEXT(AK616,"mm"))),_xlfn.CONCAT(PROPER(TEXT(E616,"aaaa"))," ",PROPER(TEXT(E616,"mm"))))</f>
        <v>2024 12</v>
      </c>
      <c r="AI616" s="9" t="str">
        <f ca="1">IF('Banco de Dados'!$AK616&lt;&gt;"-","REEMBOLSO",IFERROR(_xlfn.XLOOKUP(G616,Follow[CODRASTREIO],Follow[STATUS]),"-"))</f>
        <v>REEMBOLSO</v>
      </c>
      <c r="AJ616" s="9" t="str">
        <f ca="1">IF('Banco de Dados'!$AI616="ENTREGUE",_xlfn.XLOOKUP('Banco de Dados'!$G616,Follow[CODRASTREIO],Follow[DATAATUALIZAÇÃO]),"-")</f>
        <v>-</v>
      </c>
      <c r="AK616" s="9">
        <f ca="1"/>
        <v>45656</v>
      </c>
      <c r="AL616" s="35"/>
      <c r="AM616" s="109">
        <v>1.49</v>
      </c>
      <c r="AN616" s="109">
        <f ca="1">IF('Banco de Dados'!$AK616&lt;&gt;"-",IF('Banco de Dados'!$F616&lt;&gt;"-",_xlfn.XLOOKUP(IFERROR(IFERROR(IFERROR(VALUE(SUBSTITUTE(MID(_xlfn.TEXTAFTER('Banco de Dados'!$F616,"Data do Pedido:
",1),1,10),"-","/")),VALUE(SUBSTITUTE(MID(_xlfn.TEXTAFTER('Banco de Dados'!$F616,"Order date:
",1),1,10),"-","/"))),VALUE(SUBSTITUTE(MID(_xlfn.TEXTAFTER('Banco de Dados'!$F616,"Fecha de pedido:
",1),1,10),"-","/"))),"-"),SMS!A:A,SMS!K:K),0),0)</f>
        <v>0</v>
      </c>
      <c r="AO616" s="109">
        <f ca="1">IF('Banco de Dados'!$AK616&lt;&gt;"-",IF('Banco de Dados'!$F616&lt;&gt;"-",IFERROR(_xlfn.XLOOKUP(_xlfn.CONCAT('Banco de Dados'!$A616,IFERROR(IFERROR(VALUE(SUBSTITUTE(MID(_xlfn.TEXTAFTER('Banco de Dados'!$F616,"Data do Pedido:
",1),1,10),"-","/")),VALUE(SUBSTITUTE(MID(_xlfn.TEXTAFTER('Banco de Dados'!$F616,"Order date:
",1),1,10),"-","/"))),0)),ProxyDD[Chave],ProxyDD[Valor por pedido]),PROXY!$P$2),0),0)</f>
        <v>0</v>
      </c>
      <c r="AP616" s="28">
        <f ca="1">IF('Banco de Dados'!$AK616&lt;&gt;"-",IF('Banco de Dados'!$AL616="NÃO",IFERROR(VALUE(SUBSTITUTE(_xlfn.TEXTAFTER('Banco de Dados'!$F616,"BRL ",1),".",",")),0),0),0)</f>
        <v>0</v>
      </c>
      <c r="AQ616" s="28">
        <f ca="1">SUM('Banco de Dados'!$AM616:$AP616)</f>
        <v>1.49</v>
      </c>
      <c r="AR616" s="8"/>
      <c r="AS616" s="8"/>
      <c r="AY616" s="8"/>
    </row>
    <row r="617" spans="1:51">
      <c r="A617" s="5" t="str">
        <v>BV</v>
      </c>
      <c r="B617" s="5" t="str">
        <f ca="1"/>
        <v>BV-</v>
      </c>
      <c r="C617" s="8" t="str">
        <v>Pedido 604</v>
      </c>
      <c r="D617" s="9">
        <v>45627</v>
      </c>
      <c r="E617" s="9" t="str">
        <v>-</v>
      </c>
      <c r="F617" s="8" t="str">
        <v>-</v>
      </c>
      <c r="G617" s="2" t="str">
        <v>-</v>
      </c>
      <c r="H617" s="5">
        <v>1</v>
      </c>
      <c r="I617" s="182" t="str">
        <v>CPF 586</v>
      </c>
      <c r="J617" s="2" t="str">
        <v>Nome 586</v>
      </c>
      <c r="K617" s="8" t="str">
        <v>Tel 586</v>
      </c>
      <c r="L617" s="8" t="str">
        <v>Cep 586</v>
      </c>
      <c r="M617" s="8" t="str">
        <v>Rua 586</v>
      </c>
      <c r="N617" s="8" t="str">
        <v>Comp 586</v>
      </c>
      <c r="O617" s="8" t="str">
        <v>Ventilador Rosa</v>
      </c>
      <c r="P617" s="8" t="str">
        <v>IF-G2ZQ-79FO</v>
      </c>
      <c r="Q617" s="4">
        <v>45679</v>
      </c>
      <c r="R617" s="109">
        <v>49.4</v>
      </c>
      <c r="S617" s="11">
        <f ca="1"/>
        <v>0</v>
      </c>
      <c r="T617" s="28">
        <f ca="1"/>
        <v>0</v>
      </c>
      <c r="U617" s="11">
        <f ca="1"/>
        <v>0</v>
      </c>
      <c r="V617" s="11">
        <v>0</v>
      </c>
      <c r="W617" s="11">
        <f ca="1"/>
        <v>0</v>
      </c>
      <c r="X617" s="11">
        <f ca="1"/>
        <v>0</v>
      </c>
      <c r="Y617" s="11">
        <v>0</v>
      </c>
      <c r="Z617" s="11">
        <f ca="1"/>
        <v>0</v>
      </c>
      <c r="AA617" s="11">
        <f ca="1"/>
        <v>0</v>
      </c>
      <c r="AB617" s="4">
        <f ca="1"/>
        <v>45686</v>
      </c>
      <c r="AC617" s="4">
        <v>45686</v>
      </c>
      <c r="AD617" s="9">
        <v>45688</v>
      </c>
      <c r="AE617" s="9">
        <v>45694</v>
      </c>
      <c r="AF617" s="4" t="str">
        <f t="shared" ca="1" si="19"/>
        <v>2025 01</v>
      </c>
      <c r="AG617" s="8" t="str" cm="1">
        <f t="array" ref="AG617">IFERROR(_xlfn.IFS('Banco de Dados'!#REF!="AG. COMPRA","Em processamento",'Banco de Dados'!#REF!="AG. RASTREIO","Em processamento",'Banco de Dados'!$AE617&lt;&gt;"-","Faturado",'Banco de Dados'!$AD617&lt;&gt;"-","Aguardando Pix",'Banco de Dados'!$AC617&lt;&gt;"-","Pendente"),"Aguardando Liberação")</f>
        <v>Aguardando Liberação</v>
      </c>
      <c r="AH617" s="5" t="str">
        <f ca="1">IF('Banco de Dados'!$F617="-",_xlfn.CONCAT(PROPER(TEXT(AK617,"aaaa"))," ",PROPER(TEXT(AK617,"mm"))),_xlfn.CONCAT(PROPER(TEXT(E617,"aaaa"))," ",PROPER(TEXT(E617,"mm"))))</f>
        <v>2024 12</v>
      </c>
      <c r="AI617" s="9" t="str">
        <f ca="1">IF('Banco de Dados'!$AK617&lt;&gt;"-","REEMBOLSO",IFERROR(_xlfn.XLOOKUP(G617,Follow[CODRASTREIO],Follow[STATUS]),"-"))</f>
        <v>REEMBOLSO</v>
      </c>
      <c r="AJ617" s="9" t="str">
        <f ca="1">IF('Banco de Dados'!$AI617="ENTREGUE",_xlfn.XLOOKUP('Banco de Dados'!$G617,Follow[CODRASTREIO],Follow[DATAATUALIZAÇÃO]),"-")</f>
        <v>-</v>
      </c>
      <c r="AK617" s="9">
        <f ca="1"/>
        <v>45656</v>
      </c>
      <c r="AL617" s="35"/>
      <c r="AM617" s="109">
        <v>1.5</v>
      </c>
      <c r="AN617" s="109">
        <f ca="1">IF('Banco de Dados'!$AK617&lt;&gt;"-",IF('Banco de Dados'!$F617&lt;&gt;"-",_xlfn.XLOOKUP(IFERROR(IFERROR(IFERROR(VALUE(SUBSTITUTE(MID(_xlfn.TEXTAFTER('Banco de Dados'!$F617,"Data do Pedido:
",1),1,10),"-","/")),VALUE(SUBSTITUTE(MID(_xlfn.TEXTAFTER('Banco de Dados'!$F617,"Order date:
",1),1,10),"-","/"))),VALUE(SUBSTITUTE(MID(_xlfn.TEXTAFTER('Banco de Dados'!$F617,"Fecha de pedido:
",1),1,10),"-","/"))),"-"),SMS!A:A,SMS!K:K),0),0)</f>
        <v>0</v>
      </c>
      <c r="AO617" s="109">
        <f ca="1">IF('Banco de Dados'!$AK617&lt;&gt;"-",IF('Banco de Dados'!$F617&lt;&gt;"-",IFERROR(_xlfn.XLOOKUP(_xlfn.CONCAT('Banco de Dados'!$A617,IFERROR(IFERROR(VALUE(SUBSTITUTE(MID(_xlfn.TEXTAFTER('Banco de Dados'!$F617,"Data do Pedido:
",1),1,10),"-","/")),VALUE(SUBSTITUTE(MID(_xlfn.TEXTAFTER('Banco de Dados'!$F617,"Order date:
",1),1,10),"-","/"))),0)),ProxyDD[Chave],ProxyDD[Valor por pedido]),PROXY!$P$2),0),0)</f>
        <v>0</v>
      </c>
      <c r="AP617" s="28">
        <f ca="1">IF('Banco de Dados'!$AK617&lt;&gt;"-",IF('Banco de Dados'!$AL617="NÃO",IFERROR(VALUE(SUBSTITUTE(_xlfn.TEXTAFTER('Banco de Dados'!$F617,"BRL ",1),".",",")),0),0),0)</f>
        <v>0</v>
      </c>
      <c r="AQ617" s="28">
        <f ca="1">SUM('Banco de Dados'!$AM617:$AP617)</f>
        <v>1.5</v>
      </c>
      <c r="AR617" s="8"/>
      <c r="AS617" s="8"/>
      <c r="AY617" s="8"/>
    </row>
    <row r="618" spans="1:51">
      <c r="A618" s="5" t="str">
        <v>BV</v>
      </c>
      <c r="B618" s="5" t="str">
        <f ca="1"/>
        <v>BV45648</v>
      </c>
      <c r="C618" s="8" t="str">
        <v>Pedido 605</v>
      </c>
      <c r="D618" s="9">
        <v>45648</v>
      </c>
      <c r="E618" s="9">
        <v>45648</v>
      </c>
      <c r="F618" s="8" t="str">
        <v>PedidoF591</v>
      </c>
      <c r="G618" s="2" t="str">
        <v>CódRastreio589</v>
      </c>
      <c r="H618" s="5">
        <v>1</v>
      </c>
      <c r="I618" s="182" t="str">
        <v>CPF 481</v>
      </c>
      <c r="J618" s="2" t="str">
        <v>Nome 481</v>
      </c>
      <c r="K618" s="8" t="str">
        <v>Tel 481</v>
      </c>
      <c r="L618" s="8" t="str">
        <v>Cep 481</v>
      </c>
      <c r="M618" s="8" t="str">
        <v>Rua 481</v>
      </c>
      <c r="N618" s="8" t="str">
        <v>Comp 481</v>
      </c>
      <c r="O618" s="8" t="str">
        <v>Ventilador Preto</v>
      </c>
      <c r="P618" s="8" t="str">
        <v>MU-J80P-95WF</v>
      </c>
      <c r="Q618" s="4">
        <v>45673</v>
      </c>
      <c r="R618" s="109">
        <v>65.599999999999994</v>
      </c>
      <c r="S618" s="11">
        <f ca="1"/>
        <v>65.599999999999994</v>
      </c>
      <c r="T618" s="28">
        <f ca="1"/>
        <v>8.5279999999999987</v>
      </c>
      <c r="U618" s="11">
        <f ca="1"/>
        <v>57.07</v>
      </c>
      <c r="V618" s="11">
        <v>16.7</v>
      </c>
      <c r="W618" s="11">
        <f ca="1"/>
        <v>0.3</v>
      </c>
      <c r="X618" s="11">
        <f ca="1"/>
        <v>0.39877104377104378</v>
      </c>
      <c r="Y618" s="11">
        <v>0</v>
      </c>
      <c r="Z618" s="11">
        <f ca="1"/>
        <v>39.671228956228958</v>
      </c>
      <c r="AA618" s="11">
        <f ca="1"/>
        <v>19.835614478114479</v>
      </c>
      <c r="AB618" s="4">
        <f ca="1"/>
        <v>45680</v>
      </c>
      <c r="AC618" s="4">
        <v>45680</v>
      </c>
      <c r="AD618" s="9">
        <v>45688</v>
      </c>
      <c r="AE618" s="9">
        <v>45694</v>
      </c>
      <c r="AF618" s="4" t="str">
        <f t="shared" ref="AF618:AF623" ca="1" si="20">_xlfn.CONCAT(PROPER(TEXT(AB618,"aaaa"))," ",PROPER(TEXT(AB618,"mm")))</f>
        <v>2025 01</v>
      </c>
      <c r="AG618" s="8" t="str" cm="1">
        <f t="array" ref="AG618">IFERROR(_xlfn.IFS('Banco de Dados'!#REF!="AG. COMPRA","Em processamento",'Banco de Dados'!#REF!="AG. RASTREIO","Em processamento",'Banco de Dados'!$AE618&lt;&gt;"-","Faturado",'Banco de Dados'!$AD618&lt;&gt;"-","Aguardando Pix",'Banco de Dados'!$AC618&lt;&gt;"-","Pendente"),"Aguardando Liberação")</f>
        <v>Aguardando Liberação</v>
      </c>
      <c r="AH618" s="5" t="str">
        <f>IF('Banco de Dados'!$F618="-",_xlfn.CONCAT(PROPER(TEXT(AK618,"aaaa"))," ",PROPER(TEXT(AK618,"mm"))),_xlfn.CONCAT(PROPER(TEXT(E618,"aaaa"))," ",PROPER(TEXT(E618,"mm"))))</f>
        <v>2024 12</v>
      </c>
      <c r="AI618" s="9" t="str">
        <f ca="1">IF('Banco de Dados'!$AK618&lt;&gt;"-","REEMBOLSO",IFERROR(_xlfn.XLOOKUP(G618,Follow[CODRASTREIO],Follow[STATUS]),"-"))</f>
        <v>ENTREGUE</v>
      </c>
      <c r="AJ618" s="9">
        <f ca="1">IF('Banco de Dados'!$AI618="ENTREGUE",_xlfn.XLOOKUP('Banco de Dados'!$G618,Follow[CODRASTREIO],Follow[DATAATUALIZAÇÃO]),"-")</f>
        <v>45665</v>
      </c>
      <c r="AK618" s="9" t="str">
        <f ca="1"/>
        <v>-</v>
      </c>
      <c r="AL618" s="35"/>
      <c r="AM618" s="109" cm="1">
        <f t="array" aca="1" ref="AM618" ca="1">IF('Banco de Dados'!$AK618&lt;&gt;"-",_xlfn.IFS('Banco de Dados'!$A618="bv",IF('Banco de Dados'!$E618&lt;45641,ROUND(SUM('Banco de Dados'!$R618*_xlfn.XLOOKUP('Banco de Dados'!$P618,Sku!B:B,Sku!#REF!)*20%),2),ROUND(SUM('Banco de Dados'!$R618*_xlfn.XLOOKUP('Banco de Dados'!$P618,Sku!B:B,Sku!H:H)*20%),2)),'Banco de Dados'!$A618="GO",ROUND(_xlfn.XLOOKUP('Banco de Dados'!$P618,Sku!C:C,Sku!H:H),2),'Banco de Dados'!$A618="MEI",ROUND(_xlfn.XLOOKUP('Banco de Dados'!$P618,Sku!D:D,Sku!H:H),2)),0)</f>
        <v>0</v>
      </c>
      <c r="AN618" s="109">
        <f ca="1">IF('Banco de Dados'!$AK618&lt;&gt;"-",IF('Banco de Dados'!$F618&lt;&gt;"-",_xlfn.XLOOKUP(IFERROR(IFERROR(IFERROR(VALUE(SUBSTITUTE(MID(_xlfn.TEXTAFTER('Banco de Dados'!$F618,"Data do Pedido:
",1),1,10),"-","/")),VALUE(SUBSTITUTE(MID(_xlfn.TEXTAFTER('Banco de Dados'!$F618,"Order date:
",1),1,10),"-","/"))),VALUE(SUBSTITUTE(MID(_xlfn.TEXTAFTER('Banco de Dados'!$F618,"Fecha de pedido:
",1),1,10),"-","/"))),"-"),SMS!A:A,SMS!K:K),0),0)</f>
        <v>0</v>
      </c>
      <c r="AO618" s="109">
        <f ca="1">IF('Banco de Dados'!$AK618&lt;&gt;"-",IF('Banco de Dados'!$F618&lt;&gt;"-",IFERROR(_xlfn.XLOOKUP(_xlfn.CONCAT('Banco de Dados'!$A618,IFERROR(IFERROR(VALUE(SUBSTITUTE(MID(_xlfn.TEXTAFTER('Banco de Dados'!$F618,"Data do Pedido:
",1),1,10),"-","/")),VALUE(SUBSTITUTE(MID(_xlfn.TEXTAFTER('Banco de Dados'!$F618,"Order date:
",1),1,10),"-","/"))),0)),ProxyDD[Chave],ProxyDD[Valor por pedido]),PROXY!$P$2),0),0)</f>
        <v>0</v>
      </c>
      <c r="AP618" s="28">
        <f ca="1">IF('Banco de Dados'!$AK618&lt;&gt;"-",IF('Banco de Dados'!$AL618="NÃO",IFERROR(VALUE(SUBSTITUTE(_xlfn.TEXTAFTER('Banco de Dados'!$F618,"BRL ",1),".",",")),0),0),0)</f>
        <v>0</v>
      </c>
      <c r="AQ618" s="28">
        <f ca="1">SUM('Banco de Dados'!$AM618:$AP618)</f>
        <v>0</v>
      </c>
      <c r="AR618" s="8"/>
      <c r="AS618" s="8"/>
      <c r="AY618" s="8"/>
    </row>
    <row r="619" spans="1:51">
      <c r="A619" s="5" t="str">
        <v>BV</v>
      </c>
      <c r="B619" s="5" t="str">
        <f ca="1"/>
        <v>BV45648</v>
      </c>
      <c r="C619" s="8" t="str">
        <v>Pedido 606</v>
      </c>
      <c r="D619" s="9">
        <v>45648</v>
      </c>
      <c r="E619" s="9">
        <v>45648</v>
      </c>
      <c r="F619" s="8" t="str">
        <v>PedidoF592</v>
      </c>
      <c r="G619" s="2" t="str">
        <v>CódRastreio590</v>
      </c>
      <c r="H619" s="5">
        <v>1</v>
      </c>
      <c r="I619" s="182" t="str">
        <v>CPF 587</v>
      </c>
      <c r="J619" s="2" t="str">
        <v>Nome 587</v>
      </c>
      <c r="K619" s="8" t="str">
        <v>Tel 587</v>
      </c>
      <c r="L619" s="8" t="str">
        <v>Cep 587</v>
      </c>
      <c r="M619" s="8" t="str">
        <v>Rua 587</v>
      </c>
      <c r="N619" s="8" t="str">
        <v>Comp 587</v>
      </c>
      <c r="O619" s="8" t="str">
        <v>Ventilador Rosa</v>
      </c>
      <c r="P619" s="8" t="str">
        <v>IF-G2ZQ-79FO</v>
      </c>
      <c r="Q619" s="4">
        <v>45673</v>
      </c>
      <c r="R619" s="109">
        <v>49.4</v>
      </c>
      <c r="S619" s="11">
        <f ca="1"/>
        <v>49.4</v>
      </c>
      <c r="T619" s="28">
        <f ca="1"/>
        <v>6.4219999999999997</v>
      </c>
      <c r="U619" s="11">
        <f ca="1"/>
        <v>42.98</v>
      </c>
      <c r="V619" s="11">
        <v>16.05</v>
      </c>
      <c r="W619" s="11">
        <f ca="1"/>
        <v>0.3</v>
      </c>
      <c r="X619" s="11">
        <f ca="1"/>
        <v>0.39877104377104378</v>
      </c>
      <c r="Y619" s="11">
        <v>0</v>
      </c>
      <c r="Z619" s="11">
        <f ca="1"/>
        <v>26.23122895622895</v>
      </c>
      <c r="AA619" s="11">
        <f ca="1"/>
        <v>13.115614478114475</v>
      </c>
      <c r="AB619" s="4">
        <f ca="1"/>
        <v>45680</v>
      </c>
      <c r="AC619" s="4">
        <v>45680</v>
      </c>
      <c r="AD619" s="9">
        <v>45688</v>
      </c>
      <c r="AE619" s="9">
        <v>45694</v>
      </c>
      <c r="AF619" s="4" t="str">
        <f t="shared" ca="1" si="20"/>
        <v>2025 01</v>
      </c>
      <c r="AG619" s="8" t="str" cm="1">
        <f t="array" ref="AG619">IFERROR(_xlfn.IFS('Banco de Dados'!#REF!="AG. COMPRA","Em processamento",'Banco de Dados'!#REF!="AG. RASTREIO","Em processamento",'Banco de Dados'!$AE619&lt;&gt;"-","Faturado",'Banco de Dados'!$AD619&lt;&gt;"-","Aguardando Pix",'Banco de Dados'!$AC619&lt;&gt;"-","Pendente"),"Aguardando Liberação")</f>
        <v>Aguardando Liberação</v>
      </c>
      <c r="AH619" s="5" t="str">
        <f>IF('Banco de Dados'!$F619="-",_xlfn.CONCAT(PROPER(TEXT(AK619,"aaaa"))," ",PROPER(TEXT(AK619,"mm"))),_xlfn.CONCAT(PROPER(TEXT(E619,"aaaa"))," ",PROPER(TEXT(E619,"mm"))))</f>
        <v>2024 12</v>
      </c>
      <c r="AI619" s="9" t="str">
        <f ca="1">IF('Banco de Dados'!$AK619&lt;&gt;"-","REEMBOLSO",IFERROR(_xlfn.XLOOKUP(G619,Follow[CODRASTREIO],Follow[STATUS]),"-"))</f>
        <v>ENTREGUE</v>
      </c>
      <c r="AJ619" s="9">
        <f ca="1">IF('Banco de Dados'!$AI619="ENTREGUE",_xlfn.XLOOKUP('Banco de Dados'!$G619,Follow[CODRASTREIO],Follow[DATAATUALIZAÇÃO]),"-")</f>
        <v>45665</v>
      </c>
      <c r="AK619" s="9" t="str">
        <f ca="1"/>
        <v>-</v>
      </c>
      <c r="AL619" s="35"/>
      <c r="AM619" s="109" cm="1">
        <f t="array" aca="1" ref="AM619" ca="1">IF('Banco de Dados'!$AK619&lt;&gt;"-",_xlfn.IFS('Banco de Dados'!$A619="bv",IF('Banco de Dados'!$E619&lt;45641,ROUND(SUM('Banco de Dados'!$R619*_xlfn.XLOOKUP('Banco de Dados'!$P619,Sku!B:B,Sku!#REF!)*20%),2),ROUND(SUM('Banco de Dados'!$R619*_xlfn.XLOOKUP('Banco de Dados'!$P619,Sku!B:B,Sku!H:H)*20%),2)),'Banco de Dados'!$A619="GO",ROUND(_xlfn.XLOOKUP('Banco de Dados'!$P619,Sku!C:C,Sku!H:H),2),'Banco de Dados'!$A619="MEI",ROUND(_xlfn.XLOOKUP('Banco de Dados'!$P619,Sku!D:D,Sku!H:H),2)),0)</f>
        <v>0</v>
      </c>
      <c r="AN619" s="109">
        <f ca="1">IF('Banco de Dados'!$AK619&lt;&gt;"-",IF('Banco de Dados'!$F619&lt;&gt;"-",_xlfn.XLOOKUP(IFERROR(IFERROR(IFERROR(VALUE(SUBSTITUTE(MID(_xlfn.TEXTAFTER('Banco de Dados'!$F619,"Data do Pedido:
",1),1,10),"-","/")),VALUE(SUBSTITUTE(MID(_xlfn.TEXTAFTER('Banco de Dados'!$F619,"Order date:
",1),1,10),"-","/"))),VALUE(SUBSTITUTE(MID(_xlfn.TEXTAFTER('Banco de Dados'!$F619,"Fecha de pedido:
",1),1,10),"-","/"))),"-"),SMS!A:A,SMS!K:K),0),0)</f>
        <v>0</v>
      </c>
      <c r="AO619" s="109">
        <f ca="1">IF('Banco de Dados'!$AK619&lt;&gt;"-",IF('Banco de Dados'!$F619&lt;&gt;"-",IFERROR(_xlfn.XLOOKUP(_xlfn.CONCAT('Banco de Dados'!$A619,IFERROR(IFERROR(VALUE(SUBSTITUTE(MID(_xlfn.TEXTAFTER('Banco de Dados'!$F619,"Data do Pedido:
",1),1,10),"-","/")),VALUE(SUBSTITUTE(MID(_xlfn.TEXTAFTER('Banco de Dados'!$F619,"Order date:
",1),1,10),"-","/"))),0)),ProxyDD[Chave],ProxyDD[Valor por pedido]),PROXY!$P$2),0),0)</f>
        <v>0</v>
      </c>
      <c r="AP619" s="28">
        <f ca="1">IF('Banco de Dados'!$AK619&lt;&gt;"-",IF('Banco de Dados'!$AL619="NÃO",IFERROR(VALUE(SUBSTITUTE(_xlfn.TEXTAFTER('Banco de Dados'!$F619,"BRL ",1),".",",")),0),0),0)</f>
        <v>0</v>
      </c>
      <c r="AQ619" s="28">
        <f ca="1">SUM('Banco de Dados'!$AM619:$AP619)</f>
        <v>0</v>
      </c>
      <c r="AR619" s="8"/>
      <c r="AS619" s="8"/>
      <c r="AY619" s="8"/>
    </row>
    <row r="620" spans="1:51">
      <c r="A620" s="5" t="str">
        <v>BV</v>
      </c>
      <c r="B620" s="5" t="str">
        <f ca="1"/>
        <v>BV45648</v>
      </c>
      <c r="C620" s="8" t="str">
        <v>Pedido 607</v>
      </c>
      <c r="D620" s="9">
        <v>45648</v>
      </c>
      <c r="E620" s="9">
        <v>45648</v>
      </c>
      <c r="F620" s="8" t="str">
        <v>PedidoF593</v>
      </c>
      <c r="G620" s="2" t="str">
        <v>CódRastreio591</v>
      </c>
      <c r="H620" s="5">
        <v>1</v>
      </c>
      <c r="I620" s="182" t="str">
        <v>CPF 588</v>
      </c>
      <c r="J620" s="2" t="str">
        <v>Nome 588</v>
      </c>
      <c r="K620" s="8" t="str">
        <v>Tel 588</v>
      </c>
      <c r="L620" s="8" t="str">
        <v>Cep 588</v>
      </c>
      <c r="M620" s="8" t="str">
        <v>Rua 588</v>
      </c>
      <c r="N620" s="8" t="str">
        <v>Comp 588</v>
      </c>
      <c r="O620" s="8" t="str">
        <v>Copo Termico</v>
      </c>
      <c r="P620" s="8" t="str">
        <v>KN-TBQL-K2MM</v>
      </c>
      <c r="Q620" s="4">
        <v>45673</v>
      </c>
      <c r="R620" s="109">
        <v>24.8</v>
      </c>
      <c r="S620" s="11">
        <f ca="1"/>
        <v>24.8</v>
      </c>
      <c r="T620" s="28">
        <f ca="1"/>
        <v>3.2240000000000002</v>
      </c>
      <c r="U620" s="11">
        <f ca="1"/>
        <v>21.58</v>
      </c>
      <c r="V620" s="11">
        <v>9.1999999999999993</v>
      </c>
      <c r="W620" s="11">
        <f ca="1"/>
        <v>0.3</v>
      </c>
      <c r="X620" s="11">
        <f ca="1"/>
        <v>0.39877104377104378</v>
      </c>
      <c r="Y620" s="11">
        <v>0</v>
      </c>
      <c r="Z620" s="11">
        <f ca="1"/>
        <v>11.681228956228955</v>
      </c>
      <c r="AA620" s="11">
        <f ca="1"/>
        <v>5.8406144781144773</v>
      </c>
      <c r="AB620" s="4">
        <f ca="1"/>
        <v>45680</v>
      </c>
      <c r="AC620" s="4">
        <v>45680</v>
      </c>
      <c r="AD620" s="9">
        <v>45688</v>
      </c>
      <c r="AE620" s="9">
        <v>45694</v>
      </c>
      <c r="AF620" s="4" t="str">
        <f t="shared" ca="1" si="20"/>
        <v>2025 01</v>
      </c>
      <c r="AG620" s="8" t="str" cm="1">
        <f t="array" ref="AG620">IFERROR(_xlfn.IFS('Banco de Dados'!#REF!="AG. COMPRA","Em processamento",'Banco de Dados'!#REF!="AG. RASTREIO","Em processamento",'Banco de Dados'!$AE620&lt;&gt;"-","Faturado",'Banco de Dados'!$AD620&lt;&gt;"-","Aguardando Pix",'Banco de Dados'!$AC620&lt;&gt;"-","Pendente"),"Aguardando Liberação")</f>
        <v>Aguardando Liberação</v>
      </c>
      <c r="AH620" s="5" t="str">
        <f>IF('Banco de Dados'!$F620="-",_xlfn.CONCAT(PROPER(TEXT(AK620,"aaaa"))," ",PROPER(TEXT(AK620,"mm"))),_xlfn.CONCAT(PROPER(TEXT(E620,"aaaa"))," ",PROPER(TEXT(E620,"mm"))))</f>
        <v>2024 12</v>
      </c>
      <c r="AI620" s="9" t="str">
        <f ca="1">IF('Banco de Dados'!$AK620&lt;&gt;"-","REEMBOLSO",IFERROR(_xlfn.XLOOKUP(G620,Follow[CODRASTREIO],Follow[STATUS]),"-"))</f>
        <v>ENTREGUE</v>
      </c>
      <c r="AJ620" s="9">
        <f ca="1">IF('Banco de Dados'!$AI620="ENTREGUE",_xlfn.XLOOKUP('Banco de Dados'!$G620,Follow[CODRASTREIO],Follow[DATAATUALIZAÇÃO]),"-")</f>
        <v>45656</v>
      </c>
      <c r="AK620" s="9" t="str">
        <f ca="1"/>
        <v>-</v>
      </c>
      <c r="AL620" s="35"/>
      <c r="AM620" s="109" cm="1">
        <f t="array" aca="1" ref="AM620" ca="1">IF('Banco de Dados'!$AK620&lt;&gt;"-",_xlfn.IFS('Banco de Dados'!$A620="bv",IF('Banco de Dados'!$E620&lt;45641,ROUND(SUM('Banco de Dados'!$R620*_xlfn.XLOOKUP('Banco de Dados'!$P620,Sku!B:B,Sku!#REF!)*20%),2),ROUND(SUM('Banco de Dados'!$R620*_xlfn.XLOOKUP('Banco de Dados'!$P620,Sku!B:B,Sku!H:H)*20%),2)),'Banco de Dados'!$A620="GO",ROUND(_xlfn.XLOOKUP('Banco de Dados'!$P620,Sku!C:C,Sku!H:H),2),'Banco de Dados'!$A620="MEI",ROUND(_xlfn.XLOOKUP('Banco de Dados'!$P620,Sku!D:D,Sku!H:H),2)),0)</f>
        <v>0</v>
      </c>
      <c r="AN620" s="109">
        <f ca="1">IF('Banco de Dados'!$AK620&lt;&gt;"-",IF('Banco de Dados'!$F620&lt;&gt;"-",_xlfn.XLOOKUP(IFERROR(IFERROR(IFERROR(VALUE(SUBSTITUTE(MID(_xlfn.TEXTAFTER('Banco de Dados'!$F620,"Data do Pedido:
",1),1,10),"-","/")),VALUE(SUBSTITUTE(MID(_xlfn.TEXTAFTER('Banco de Dados'!$F620,"Order date:
",1),1,10),"-","/"))),VALUE(SUBSTITUTE(MID(_xlfn.TEXTAFTER('Banco de Dados'!$F620,"Fecha de pedido:
",1),1,10),"-","/"))),"-"),SMS!A:A,SMS!K:K),0),0)</f>
        <v>0</v>
      </c>
      <c r="AO620" s="109">
        <f ca="1">IF('Banco de Dados'!$AK620&lt;&gt;"-",IF('Banco de Dados'!$F620&lt;&gt;"-",IFERROR(_xlfn.XLOOKUP(_xlfn.CONCAT('Banco de Dados'!$A620,IFERROR(IFERROR(VALUE(SUBSTITUTE(MID(_xlfn.TEXTAFTER('Banco de Dados'!$F620,"Data do Pedido:
",1),1,10),"-","/")),VALUE(SUBSTITUTE(MID(_xlfn.TEXTAFTER('Banco de Dados'!$F620,"Order date:
",1),1,10),"-","/"))),0)),ProxyDD[Chave],ProxyDD[Valor por pedido]),PROXY!$P$2),0),0)</f>
        <v>0</v>
      </c>
      <c r="AP620" s="28">
        <f ca="1">IF('Banco de Dados'!$AK620&lt;&gt;"-",IF('Banco de Dados'!$AL620="NÃO",IFERROR(VALUE(SUBSTITUTE(_xlfn.TEXTAFTER('Banco de Dados'!$F620,"BRL ",1),".",",")),0),0),0)</f>
        <v>0</v>
      </c>
      <c r="AQ620" s="28">
        <f ca="1">SUM('Banco de Dados'!$AM620:$AP620)</f>
        <v>0</v>
      </c>
      <c r="AR620" s="8"/>
      <c r="AS620" s="8"/>
      <c r="AY620" s="8"/>
    </row>
    <row r="621" spans="1:51">
      <c r="A621" s="5" t="str">
        <v>BV</v>
      </c>
      <c r="B621" s="5" t="str">
        <f ca="1"/>
        <v>BV45648</v>
      </c>
      <c r="C621" s="8" t="str">
        <v>Pedido 608</v>
      </c>
      <c r="D621" s="9">
        <v>45648</v>
      </c>
      <c r="E621" s="9">
        <v>45648</v>
      </c>
      <c r="F621" s="8" t="str">
        <v>PedidoF594</v>
      </c>
      <c r="G621" s="2" t="str">
        <v>CódRastreio592</v>
      </c>
      <c r="H621" s="5">
        <v>1</v>
      </c>
      <c r="I621" s="182" t="str">
        <v>CPF 589</v>
      </c>
      <c r="J621" s="2" t="str">
        <v>Nome 589</v>
      </c>
      <c r="K621" s="8" t="str">
        <v>Tel 589</v>
      </c>
      <c r="L621" s="8" t="str">
        <v>Cep 589</v>
      </c>
      <c r="M621" s="8" t="str">
        <v>Rua 589</v>
      </c>
      <c r="N621" s="8" t="str">
        <v>Comp 589</v>
      </c>
      <c r="O621" s="8" t="str">
        <v>Ventilador Rosa</v>
      </c>
      <c r="P621" s="8" t="str">
        <v>IF-G2ZQ-79FO</v>
      </c>
      <c r="Q621" s="4">
        <v>45673</v>
      </c>
      <c r="R621" s="109">
        <v>49.4</v>
      </c>
      <c r="S621" s="11">
        <f ca="1"/>
        <v>49.4</v>
      </c>
      <c r="T621" s="28">
        <f ca="1"/>
        <v>6.4219999999999997</v>
      </c>
      <c r="U621" s="11">
        <f ca="1"/>
        <v>42.98</v>
      </c>
      <c r="V621" s="11">
        <v>16.05</v>
      </c>
      <c r="W621" s="11">
        <f ca="1"/>
        <v>0.3</v>
      </c>
      <c r="X621" s="11">
        <f ca="1"/>
        <v>0.39877104377104378</v>
      </c>
      <c r="Y621" s="11">
        <v>0</v>
      </c>
      <c r="Z621" s="11">
        <f ca="1"/>
        <v>26.23122895622895</v>
      </c>
      <c r="AA621" s="11">
        <f ca="1"/>
        <v>13.115614478114475</v>
      </c>
      <c r="AB621" s="4">
        <f ca="1"/>
        <v>45680</v>
      </c>
      <c r="AC621" s="4">
        <v>45680</v>
      </c>
      <c r="AD621" s="9">
        <v>45688</v>
      </c>
      <c r="AE621" s="9">
        <v>45694</v>
      </c>
      <c r="AF621" s="4" t="str">
        <f t="shared" ca="1" si="20"/>
        <v>2025 01</v>
      </c>
      <c r="AG621" s="8" t="str" cm="1">
        <f t="array" ref="AG621">IFERROR(_xlfn.IFS('Banco de Dados'!#REF!="AG. COMPRA","Em processamento",'Banco de Dados'!#REF!="AG. RASTREIO","Em processamento",'Banco de Dados'!$AE621&lt;&gt;"-","Faturado",'Banco de Dados'!$AD621&lt;&gt;"-","Aguardando Pix",'Banco de Dados'!$AC621&lt;&gt;"-","Pendente"),"Aguardando Liberação")</f>
        <v>Aguardando Liberação</v>
      </c>
      <c r="AH621" s="5" t="str">
        <f>IF('Banco de Dados'!$F621="-",_xlfn.CONCAT(PROPER(TEXT(AK621,"aaaa"))," ",PROPER(TEXT(AK621,"mm"))),_xlfn.CONCAT(PROPER(TEXT(E621,"aaaa"))," ",PROPER(TEXT(E621,"mm"))))</f>
        <v>2024 12</v>
      </c>
      <c r="AI621" s="9" t="str">
        <f ca="1">IF('Banco de Dados'!$AK621&lt;&gt;"-","REEMBOLSO",IFERROR(_xlfn.XLOOKUP(G621,Follow[CODRASTREIO],Follow[STATUS]),"-"))</f>
        <v>ENTREGUE</v>
      </c>
      <c r="AJ621" s="9">
        <f ca="1">IF('Banco de Dados'!$AI621="ENTREGUE",_xlfn.XLOOKUP('Banco de Dados'!$G621,Follow[CODRASTREIO],Follow[DATAATUALIZAÇÃO]),"-")</f>
        <v>45665</v>
      </c>
      <c r="AK621" s="9" t="str">
        <f ca="1"/>
        <v>-</v>
      </c>
      <c r="AL621" s="35"/>
      <c r="AM621" s="109" cm="1">
        <f t="array" aca="1" ref="AM621" ca="1">IF('Banco de Dados'!$AK621&lt;&gt;"-",_xlfn.IFS('Banco de Dados'!$A621="bv",IF('Banco de Dados'!$E621&lt;45641,ROUND(SUM('Banco de Dados'!$R621*_xlfn.XLOOKUP('Banco de Dados'!$P621,Sku!B:B,Sku!#REF!)*20%),2),ROUND(SUM('Banco de Dados'!$R621*_xlfn.XLOOKUP('Banco de Dados'!$P621,Sku!B:B,Sku!H:H)*20%),2)),'Banco de Dados'!$A621="GO",ROUND(_xlfn.XLOOKUP('Banco de Dados'!$P621,Sku!C:C,Sku!H:H),2),'Banco de Dados'!$A621="MEI",ROUND(_xlfn.XLOOKUP('Banco de Dados'!$P621,Sku!D:D,Sku!H:H),2)),0)</f>
        <v>0</v>
      </c>
      <c r="AN621" s="109">
        <f ca="1">IF('Banco de Dados'!$AK621&lt;&gt;"-",IF('Banco de Dados'!$F621&lt;&gt;"-",_xlfn.XLOOKUP(IFERROR(IFERROR(IFERROR(VALUE(SUBSTITUTE(MID(_xlfn.TEXTAFTER('Banco de Dados'!$F621,"Data do Pedido:
",1),1,10),"-","/")),VALUE(SUBSTITUTE(MID(_xlfn.TEXTAFTER('Banco de Dados'!$F621,"Order date:
",1),1,10),"-","/"))),VALUE(SUBSTITUTE(MID(_xlfn.TEXTAFTER('Banco de Dados'!$F621,"Fecha de pedido:
",1),1,10),"-","/"))),"-"),SMS!A:A,SMS!K:K),0),0)</f>
        <v>0</v>
      </c>
      <c r="AO621" s="109">
        <f ca="1">IF('Banco de Dados'!$AK621&lt;&gt;"-",IF('Banco de Dados'!$F621&lt;&gt;"-",IFERROR(_xlfn.XLOOKUP(_xlfn.CONCAT('Banco de Dados'!$A621,IFERROR(IFERROR(VALUE(SUBSTITUTE(MID(_xlfn.TEXTAFTER('Banco de Dados'!$F621,"Data do Pedido:
",1),1,10),"-","/")),VALUE(SUBSTITUTE(MID(_xlfn.TEXTAFTER('Banco de Dados'!$F621,"Order date:
",1),1,10),"-","/"))),0)),ProxyDD[Chave],ProxyDD[Valor por pedido]),PROXY!$P$2),0),0)</f>
        <v>0</v>
      </c>
      <c r="AP621" s="28">
        <f ca="1">IF('Banco de Dados'!$AK621&lt;&gt;"-",IF('Banco de Dados'!$AL621="NÃO",IFERROR(VALUE(SUBSTITUTE(_xlfn.TEXTAFTER('Banco de Dados'!$F621,"BRL ",1),".",",")),0),0),0)</f>
        <v>0</v>
      </c>
      <c r="AQ621" s="28">
        <f ca="1">SUM('Banco de Dados'!$AM621:$AP621)</f>
        <v>0</v>
      </c>
      <c r="AR621" s="8"/>
      <c r="AS621" s="8"/>
      <c r="AY621" s="8"/>
    </row>
    <row r="622" spans="1:51">
      <c r="A622" s="5" t="str">
        <v>BV</v>
      </c>
      <c r="B622" s="5" t="str">
        <f ca="1"/>
        <v>BV45648</v>
      </c>
      <c r="C622" s="8" t="str">
        <v>Pedido 609</v>
      </c>
      <c r="D622" s="9">
        <v>45648</v>
      </c>
      <c r="E622" s="9">
        <v>45648</v>
      </c>
      <c r="F622" s="8" t="str">
        <v>PedidoF595</v>
      </c>
      <c r="G622" s="2" t="str">
        <v>CódRastreio593</v>
      </c>
      <c r="H622" s="5">
        <v>1</v>
      </c>
      <c r="I622" s="182" t="str">
        <v>CPF 590</v>
      </c>
      <c r="J622" s="2" t="str">
        <v>Nome 590</v>
      </c>
      <c r="K622" s="8" t="str">
        <v>Tel 590</v>
      </c>
      <c r="L622" s="8" t="str">
        <v>Cep 590</v>
      </c>
      <c r="M622" s="8" t="str">
        <v>Rua 590</v>
      </c>
      <c r="N622" s="8" t="str">
        <v>Comp 590</v>
      </c>
      <c r="O622" s="8" t="str">
        <v>Ventilador Preto</v>
      </c>
      <c r="P622" s="8" t="str">
        <v>MU-J80P-95WF</v>
      </c>
      <c r="Q622" s="4">
        <v>45673</v>
      </c>
      <c r="R622" s="109">
        <v>65.599999999999994</v>
      </c>
      <c r="S622" s="11">
        <f ca="1"/>
        <v>65.599999999999994</v>
      </c>
      <c r="T622" s="28">
        <f ca="1"/>
        <v>8.5279999999999987</v>
      </c>
      <c r="U622" s="11">
        <f ca="1"/>
        <v>57.07</v>
      </c>
      <c r="V622" s="11">
        <v>16.7</v>
      </c>
      <c r="W622" s="11">
        <f ca="1"/>
        <v>0.3</v>
      </c>
      <c r="X622" s="11">
        <f ca="1"/>
        <v>0.39877104377104378</v>
      </c>
      <c r="Y622" s="11">
        <v>0</v>
      </c>
      <c r="Z622" s="11">
        <f ca="1"/>
        <v>39.671228956228958</v>
      </c>
      <c r="AA622" s="11">
        <f ca="1"/>
        <v>19.835614478114479</v>
      </c>
      <c r="AB622" s="4">
        <f ca="1"/>
        <v>45680</v>
      </c>
      <c r="AC622" s="4">
        <v>45680</v>
      </c>
      <c r="AD622" s="9">
        <v>45688</v>
      </c>
      <c r="AE622" s="9">
        <v>45694</v>
      </c>
      <c r="AF622" s="4" t="str">
        <f t="shared" ca="1" si="20"/>
        <v>2025 01</v>
      </c>
      <c r="AG622" s="8" t="str" cm="1">
        <f t="array" ref="AG622">IFERROR(_xlfn.IFS('Banco de Dados'!#REF!="AG. COMPRA","Em processamento",'Banco de Dados'!#REF!="AG. RASTREIO","Em processamento",'Banco de Dados'!$AE622&lt;&gt;"-","Faturado",'Banco de Dados'!$AD622&lt;&gt;"-","Aguardando Pix",'Banco de Dados'!$AC622&lt;&gt;"-","Pendente"),"Aguardando Liberação")</f>
        <v>Aguardando Liberação</v>
      </c>
      <c r="AH622" s="5" t="str">
        <f>IF('Banco de Dados'!$F622="-",_xlfn.CONCAT(PROPER(TEXT(AK622,"aaaa"))," ",PROPER(TEXT(AK622,"mm"))),_xlfn.CONCAT(PROPER(TEXT(E622,"aaaa"))," ",PROPER(TEXT(E622,"mm"))))</f>
        <v>2024 12</v>
      </c>
      <c r="AI622" s="9" t="str">
        <f ca="1">IF('Banco de Dados'!$AK622&lt;&gt;"-","REEMBOLSO",IFERROR(_xlfn.XLOOKUP(G622,Follow[CODRASTREIO],Follow[STATUS]),"-"))</f>
        <v>ENTREGUE</v>
      </c>
      <c r="AJ622" s="9">
        <f ca="1">IF('Banco de Dados'!$AI622="ENTREGUE",_xlfn.XLOOKUP('Banco de Dados'!$G622,Follow[CODRASTREIO],Follow[DATAATUALIZAÇÃO]),"-")</f>
        <v>45667</v>
      </c>
      <c r="AK622" s="9" t="str">
        <f ca="1"/>
        <v>-</v>
      </c>
      <c r="AL622" s="35"/>
      <c r="AM622" s="109" cm="1">
        <f t="array" aca="1" ref="AM622" ca="1">IF('Banco de Dados'!$AK622&lt;&gt;"-",_xlfn.IFS('Banco de Dados'!$A622="bv",IF('Banco de Dados'!$E622&lt;45641,ROUND(SUM('Banco de Dados'!$R622*_xlfn.XLOOKUP('Banco de Dados'!$P622,Sku!B:B,Sku!#REF!)*20%),2),ROUND(SUM('Banco de Dados'!$R622*_xlfn.XLOOKUP('Banco de Dados'!$P622,Sku!B:B,Sku!H:H)*20%),2)),'Banco de Dados'!$A622="GO",ROUND(_xlfn.XLOOKUP('Banco de Dados'!$P622,Sku!C:C,Sku!H:H),2),'Banco de Dados'!$A622="MEI",ROUND(_xlfn.XLOOKUP('Banco de Dados'!$P622,Sku!D:D,Sku!H:H),2)),0)</f>
        <v>0</v>
      </c>
      <c r="AN622" s="109">
        <f ca="1">IF('Banco de Dados'!$AK622&lt;&gt;"-",IF('Banco de Dados'!$F622&lt;&gt;"-",_xlfn.XLOOKUP(IFERROR(IFERROR(IFERROR(VALUE(SUBSTITUTE(MID(_xlfn.TEXTAFTER('Banco de Dados'!$F622,"Data do Pedido:
",1),1,10),"-","/")),VALUE(SUBSTITUTE(MID(_xlfn.TEXTAFTER('Banco de Dados'!$F622,"Order date:
",1),1,10),"-","/"))),VALUE(SUBSTITUTE(MID(_xlfn.TEXTAFTER('Banco de Dados'!$F622,"Fecha de pedido:
",1),1,10),"-","/"))),"-"),SMS!A:A,SMS!K:K),0),0)</f>
        <v>0</v>
      </c>
      <c r="AO622" s="109">
        <f ca="1">IF('Banco de Dados'!$AK622&lt;&gt;"-",IF('Banco de Dados'!$F622&lt;&gt;"-",IFERROR(_xlfn.XLOOKUP(_xlfn.CONCAT('Banco de Dados'!$A622,IFERROR(IFERROR(VALUE(SUBSTITUTE(MID(_xlfn.TEXTAFTER('Banco de Dados'!$F622,"Data do Pedido:
",1),1,10),"-","/")),VALUE(SUBSTITUTE(MID(_xlfn.TEXTAFTER('Banco de Dados'!$F622,"Order date:
",1),1,10),"-","/"))),0)),ProxyDD[Chave],ProxyDD[Valor por pedido]),PROXY!$P$2),0),0)</f>
        <v>0</v>
      </c>
      <c r="AP622" s="28">
        <f ca="1">IF('Banco de Dados'!$AK622&lt;&gt;"-",IF('Banco de Dados'!$AL622="NÃO",IFERROR(VALUE(SUBSTITUTE(_xlfn.TEXTAFTER('Banco de Dados'!$F622,"BRL ",1),".",",")),0),0),0)</f>
        <v>0</v>
      </c>
      <c r="AQ622" s="28">
        <f ca="1">SUM('Banco de Dados'!$AM622:$AP622)</f>
        <v>0</v>
      </c>
      <c r="AR622" s="8"/>
      <c r="AS622" s="8"/>
      <c r="AY622" s="8"/>
    </row>
    <row r="623" spans="1:51">
      <c r="A623" s="5" t="str">
        <v>BV</v>
      </c>
      <c r="B623" s="5" t="str">
        <f ca="1"/>
        <v>BV-</v>
      </c>
      <c r="C623" s="8" t="str">
        <v>Pedido 610</v>
      </c>
      <c r="D623" s="9">
        <v>45627</v>
      </c>
      <c r="E623" s="9" t="str">
        <v>-</v>
      </c>
      <c r="F623" s="8" t="str">
        <v>-</v>
      </c>
      <c r="G623" s="2" t="str">
        <v>-</v>
      </c>
      <c r="H623" s="5">
        <v>1</v>
      </c>
      <c r="I623" s="182" t="str">
        <v>CPF 591</v>
      </c>
      <c r="J623" s="2" t="str">
        <v>Nome 591</v>
      </c>
      <c r="K623" s="8" t="str">
        <v>Tel 591</v>
      </c>
      <c r="L623" s="8" t="str">
        <v>Cep 591</v>
      </c>
      <c r="M623" s="8" t="str">
        <v>Rua 591</v>
      </c>
      <c r="N623" s="8" t="str">
        <v>Comp 591</v>
      </c>
      <c r="O623" s="8" t="str">
        <v>Mini Liquidificador</v>
      </c>
      <c r="P623" s="8" t="str">
        <v>CK-YL6M-P5Y6</v>
      </c>
      <c r="Q623" s="4">
        <v>45667</v>
      </c>
      <c r="R623" s="109">
        <v>33.9</v>
      </c>
      <c r="S623" s="11">
        <f ca="1"/>
        <v>0</v>
      </c>
      <c r="T623" s="28">
        <f ca="1"/>
        <v>0</v>
      </c>
      <c r="U623" s="11">
        <f ca="1"/>
        <v>0</v>
      </c>
      <c r="V623" s="11">
        <v>0</v>
      </c>
      <c r="W623" s="11">
        <f ca="1"/>
        <v>0</v>
      </c>
      <c r="X623" s="11">
        <f ca="1"/>
        <v>0</v>
      </c>
      <c r="Y623" s="11">
        <v>0</v>
      </c>
      <c r="Z623" s="11">
        <f ca="1"/>
        <v>0</v>
      </c>
      <c r="AA623" s="11">
        <f ca="1"/>
        <v>0</v>
      </c>
      <c r="AB623" s="4">
        <f ca="1"/>
        <v>45674</v>
      </c>
      <c r="AC623" s="4">
        <v>45674</v>
      </c>
      <c r="AD623" s="9">
        <v>45674</v>
      </c>
      <c r="AE623" s="9">
        <v>45694</v>
      </c>
      <c r="AF623" s="4" t="str">
        <f t="shared" ca="1" si="20"/>
        <v>2025 01</v>
      </c>
      <c r="AG623" s="8" t="str" cm="1">
        <f t="array" ref="AG623">IFERROR(_xlfn.IFS('Banco de Dados'!#REF!="AG. COMPRA","Em processamento",'Banco de Dados'!#REF!="AG. RASTREIO","Em processamento",'Banco de Dados'!$AE623&lt;&gt;"-","Faturado",'Banco de Dados'!$AD623&lt;&gt;"-","Aguardando Pix",'Banco de Dados'!$AC623&lt;&gt;"-","Pendente"),"Aguardando Liberação")</f>
        <v>Aguardando Liberação</v>
      </c>
      <c r="AH623" s="5" t="str">
        <f ca="1">IF('Banco de Dados'!$F623="-",_xlfn.CONCAT(PROPER(TEXT(AK623,"aaaa"))," ",PROPER(TEXT(AK623,"mm"))),_xlfn.CONCAT(PROPER(TEXT(E623,"aaaa"))," ",PROPER(TEXT(E623,"mm"))))</f>
        <v>2024 12</v>
      </c>
      <c r="AI623" s="9" t="str">
        <f ca="1">IF('Banco de Dados'!$AK623&lt;&gt;"-","REEMBOLSO",IFERROR(_xlfn.XLOOKUP(G623,Follow[CODRASTREIO],Follow[STATUS]),"-"))</f>
        <v>REEMBOLSO</v>
      </c>
      <c r="AJ623" s="9" t="str">
        <f ca="1">IF('Banco de Dados'!$AI623="ENTREGUE",_xlfn.XLOOKUP('Banco de Dados'!$G623,Follow[CODRASTREIO],Follow[DATAATUALIZAÇÃO]),"-")</f>
        <v>-</v>
      </c>
      <c r="AK623" s="9">
        <f ca="1"/>
        <v>45653</v>
      </c>
      <c r="AL623" s="35"/>
      <c r="AM623" s="109">
        <v>0.95</v>
      </c>
      <c r="AN623" s="109">
        <f ca="1">IF('Banco de Dados'!$AK623&lt;&gt;"-",IF('Banco de Dados'!$F623&lt;&gt;"-",_xlfn.XLOOKUP(IFERROR(IFERROR(IFERROR(VALUE(SUBSTITUTE(MID(_xlfn.TEXTAFTER('Banco de Dados'!$F623,"Data do Pedido:
",1),1,10),"-","/")),VALUE(SUBSTITUTE(MID(_xlfn.TEXTAFTER('Banco de Dados'!$F623,"Order date:
",1),1,10),"-","/"))),VALUE(SUBSTITUTE(MID(_xlfn.TEXTAFTER('Banco de Dados'!$F623,"Fecha de pedido:
",1),1,10),"-","/"))),"-"),SMS!A:A,SMS!K:K),0),0)</f>
        <v>0</v>
      </c>
      <c r="AO623" s="109">
        <f ca="1">IF('Banco de Dados'!$AK623&lt;&gt;"-",IF('Banco de Dados'!$F623&lt;&gt;"-",IFERROR(_xlfn.XLOOKUP(_xlfn.CONCAT('Banco de Dados'!$A623,IFERROR(IFERROR(VALUE(SUBSTITUTE(MID(_xlfn.TEXTAFTER('Banco de Dados'!$F623,"Data do Pedido:
",1),1,10),"-","/")),VALUE(SUBSTITUTE(MID(_xlfn.TEXTAFTER('Banco de Dados'!$F623,"Order date:
",1),1,10),"-","/"))),0)),ProxyDD[Chave],ProxyDD[Valor por pedido]),PROXY!$P$2),0),0)</f>
        <v>0</v>
      </c>
      <c r="AP623" s="28">
        <f ca="1">IF('Banco de Dados'!$AK623&lt;&gt;"-",IF('Banco de Dados'!$AL623="NÃO",IFERROR(VALUE(SUBSTITUTE(_xlfn.TEXTAFTER('Banco de Dados'!$F623,"BRL ",1),".",",")),0),0),0)</f>
        <v>0</v>
      </c>
      <c r="AQ623" s="28">
        <f ca="1">SUM('Banco de Dados'!$AM623:$AP623)</f>
        <v>0.95</v>
      </c>
      <c r="AR623" s="8"/>
      <c r="AS623" s="8"/>
      <c r="AY623" s="8"/>
    </row>
    <row r="624" spans="1:51">
      <c r="A624" s="5" t="str">
        <v>BV</v>
      </c>
      <c r="B624" s="5" t="str">
        <f ca="1"/>
        <v>BV45648</v>
      </c>
      <c r="C624" s="8" t="str">
        <v>Pedido 611</v>
      </c>
      <c r="D624" s="9">
        <v>45648</v>
      </c>
      <c r="E624" s="9">
        <v>45648</v>
      </c>
      <c r="F624" s="8" t="str">
        <v>PedidoF596</v>
      </c>
      <c r="G624" s="2" t="str">
        <v>CódRastreio594</v>
      </c>
      <c r="H624" s="5">
        <v>1</v>
      </c>
      <c r="I624" s="182" t="str">
        <v>CPF 592</v>
      </c>
      <c r="J624" s="2" t="str">
        <v>Nome 592</v>
      </c>
      <c r="K624" s="8" t="str">
        <v>Tel 592</v>
      </c>
      <c r="L624" s="8" t="str">
        <v>Cep 592</v>
      </c>
      <c r="M624" s="8" t="str">
        <v>Rua 592</v>
      </c>
      <c r="N624" s="8" t="str">
        <v>Comp 592</v>
      </c>
      <c r="O624" s="8" t="str">
        <v>Ventilador Preto</v>
      </c>
      <c r="P624" s="8" t="str">
        <v>MU-J80P-95WF</v>
      </c>
      <c r="Q624" s="4">
        <v>45686</v>
      </c>
      <c r="R624" s="109">
        <v>65.599999999999994</v>
      </c>
      <c r="S624" s="11">
        <f ca="1"/>
        <v>65.599999999999994</v>
      </c>
      <c r="T624" s="28">
        <f ca="1"/>
        <v>8.5279999999999987</v>
      </c>
      <c r="U624" s="11">
        <f ca="1"/>
        <v>57.07</v>
      </c>
      <c r="V624" s="11">
        <v>16.7</v>
      </c>
      <c r="W624" s="11">
        <f ca="1"/>
        <v>0.3</v>
      </c>
      <c r="X624" s="11">
        <f ca="1"/>
        <v>0.39877104377104378</v>
      </c>
      <c r="Y624" s="11">
        <v>0</v>
      </c>
      <c r="Z624" s="11">
        <f ca="1"/>
        <v>39.671228956228958</v>
      </c>
      <c r="AA624" s="11">
        <f ca="1"/>
        <v>19.835614478114479</v>
      </c>
      <c r="AB624" s="4">
        <f ca="1"/>
        <v>45693</v>
      </c>
      <c r="AC624" s="4">
        <v>45693</v>
      </c>
      <c r="AD624" s="9">
        <v>45693</v>
      </c>
      <c r="AE624" s="9">
        <v>45705</v>
      </c>
      <c r="AF624" s="4" t="str">
        <f ca="1">_xlfn.CONCAT(PROPER(TEXT(AB624,"aaaa"))," ",PROPER(TEXT(AB624,"mm")))</f>
        <v>2025 02</v>
      </c>
      <c r="AG624" s="8" t="str" cm="1">
        <f t="array" ref="AG624">IFERROR(_xlfn.IFS('Banco de Dados'!#REF!="AG. COMPRA","Em processamento",'Banco de Dados'!#REF!="AG. RASTREIO","Em processamento",'Banco de Dados'!$AE624&lt;&gt;"-","Faturado",'Banco de Dados'!$AD624&lt;&gt;"-","Aguardando Pix",'Banco de Dados'!$AC624&lt;&gt;"-","Pendente"),"Aguardando Liberação")</f>
        <v>Aguardando Liberação</v>
      </c>
      <c r="AH624" s="5" t="str">
        <f>IF('Banco de Dados'!$F624="-",_xlfn.CONCAT(PROPER(TEXT(AK624,"aaaa"))," ",PROPER(TEXT(AK624,"mm"))),_xlfn.CONCAT(PROPER(TEXT(E624,"aaaa"))," ",PROPER(TEXT(E624,"mm"))))</f>
        <v>2024 12</v>
      </c>
      <c r="AI624" s="9" t="str">
        <f ca="1">IF('Banco de Dados'!$AK624&lt;&gt;"-","REEMBOLSO",IFERROR(_xlfn.XLOOKUP(G624,Follow[CODRASTREIO],Follow[STATUS]),"-"))</f>
        <v>ENTREGUE</v>
      </c>
      <c r="AJ624" s="9">
        <f ca="1">IF('Banco de Dados'!$AI624="ENTREGUE",_xlfn.XLOOKUP('Banco de Dados'!$G624,Follow[CODRASTREIO],Follow[DATAATUALIZAÇÃO]),"-")</f>
        <v>45686</v>
      </c>
      <c r="AK624" s="9" t="str">
        <f ca="1"/>
        <v>-</v>
      </c>
      <c r="AL624" s="35"/>
      <c r="AM624" s="109" cm="1">
        <f t="array" aca="1" ref="AM624" ca="1">IF('Banco de Dados'!$AK624&lt;&gt;"-",_xlfn.IFS('Banco de Dados'!$A624="bv",IF('Banco de Dados'!$E624&lt;45641,ROUND(SUM('Banco de Dados'!$R624*_xlfn.XLOOKUP('Banco de Dados'!$P624,Sku!B:B,Sku!#REF!)*20%),2),ROUND(SUM('Banco de Dados'!$R624*_xlfn.XLOOKUP('Banco de Dados'!$P624,Sku!B:B,Sku!H:H)*20%),2)),'Banco de Dados'!$A624="GO",ROUND(_xlfn.XLOOKUP('Banco de Dados'!$P624,Sku!C:C,Sku!H:H),2),'Banco de Dados'!$A624="MEI",ROUND(_xlfn.XLOOKUP('Banco de Dados'!$P624,Sku!D:D,Sku!H:H),2)),0)</f>
        <v>0</v>
      </c>
      <c r="AN624" s="109">
        <f ca="1">IF('Banco de Dados'!$AK624&lt;&gt;"-",IF('Banco de Dados'!$F624&lt;&gt;"-",_xlfn.XLOOKUP(IFERROR(IFERROR(IFERROR(VALUE(SUBSTITUTE(MID(_xlfn.TEXTAFTER('Banco de Dados'!$F624,"Data do Pedido:
",1),1,10),"-","/")),VALUE(SUBSTITUTE(MID(_xlfn.TEXTAFTER('Banco de Dados'!$F624,"Order date:
",1),1,10),"-","/"))),VALUE(SUBSTITUTE(MID(_xlfn.TEXTAFTER('Banco de Dados'!$F624,"Fecha de pedido:
",1),1,10),"-","/"))),"-"),SMS!A:A,SMS!K:K),0),0)</f>
        <v>0</v>
      </c>
      <c r="AO624" s="109">
        <f ca="1">IF('Banco de Dados'!$AK624&lt;&gt;"-",IF('Banco de Dados'!$F624&lt;&gt;"-",IFERROR(_xlfn.XLOOKUP(_xlfn.CONCAT('Banco de Dados'!$A624,IFERROR(IFERROR(VALUE(SUBSTITUTE(MID(_xlfn.TEXTAFTER('Banco de Dados'!$F624,"Data do Pedido:
",1),1,10),"-","/")),VALUE(SUBSTITUTE(MID(_xlfn.TEXTAFTER('Banco de Dados'!$F624,"Order date:
",1),1,10),"-","/"))),0)),ProxyDD[Chave],ProxyDD[Valor por pedido]),PROXY!$P$2),0),0)</f>
        <v>0</v>
      </c>
      <c r="AP624" s="28">
        <f ca="1">IF('Banco de Dados'!$AK624&lt;&gt;"-",IF('Banco de Dados'!$AL624="NÃO",IFERROR(VALUE(SUBSTITUTE(_xlfn.TEXTAFTER('Banco de Dados'!$F624,"BRL ",1),".",",")),0),0),0)</f>
        <v>0</v>
      </c>
      <c r="AQ624" s="28">
        <f ca="1">SUM('Banco de Dados'!$AM624:$AP624)</f>
        <v>0</v>
      </c>
      <c r="AR624" s="8"/>
      <c r="AS624" s="8"/>
      <c r="AY624" s="8"/>
    </row>
    <row r="625" spans="1:51">
      <c r="A625" s="5" t="str">
        <v>BV</v>
      </c>
      <c r="B625" s="5" t="str">
        <f ca="1"/>
        <v>BV45652</v>
      </c>
      <c r="C625" s="8" t="str">
        <v>Pedido 612</v>
      </c>
      <c r="D625" s="9">
        <v>45652</v>
      </c>
      <c r="E625" s="9">
        <v>45652</v>
      </c>
      <c r="F625" s="8" t="str">
        <v>PedidoF597</v>
      </c>
      <c r="G625" s="2" t="str">
        <v>CódRastreio595</v>
      </c>
      <c r="H625" s="5">
        <v>1</v>
      </c>
      <c r="I625" s="182" t="str">
        <v>CPF 593</v>
      </c>
      <c r="J625" s="2" t="str">
        <v>Nome 593</v>
      </c>
      <c r="K625" s="8" t="str">
        <v>Tel 593</v>
      </c>
      <c r="L625" s="8" t="str">
        <v>Cep 593</v>
      </c>
      <c r="M625" s="8" t="str">
        <v>Rua 593</v>
      </c>
      <c r="N625" s="8" t="str">
        <v>Comp 593</v>
      </c>
      <c r="O625" s="8" t="str">
        <v>Ventilador Rosa</v>
      </c>
      <c r="P625" s="8" t="str">
        <v>IF-G2ZQ-79FO</v>
      </c>
      <c r="Q625" s="4">
        <v>45686</v>
      </c>
      <c r="R625" s="109">
        <v>49.4</v>
      </c>
      <c r="S625" s="11">
        <f ca="1"/>
        <v>49.4</v>
      </c>
      <c r="T625" s="28">
        <f ca="1"/>
        <v>6.4219999999999997</v>
      </c>
      <c r="U625" s="11">
        <f ca="1"/>
        <v>42.98</v>
      </c>
      <c r="V625" s="11">
        <v>16.64</v>
      </c>
      <c r="W625" s="11">
        <f ca="1"/>
        <v>0.17</v>
      </c>
      <c r="X625" s="11">
        <f ca="1"/>
        <v>0.39877104377104378</v>
      </c>
      <c r="Y625" s="11">
        <v>0</v>
      </c>
      <c r="Z625" s="11">
        <f ca="1"/>
        <v>25.771228956228949</v>
      </c>
      <c r="AA625" s="11">
        <f ca="1"/>
        <v>12.885614478114475</v>
      </c>
      <c r="AB625" s="4">
        <f ca="1"/>
        <v>45693</v>
      </c>
      <c r="AC625" s="4">
        <v>45693</v>
      </c>
      <c r="AD625" s="9">
        <v>45693</v>
      </c>
      <c r="AE625" s="9">
        <v>45705</v>
      </c>
      <c r="AF625" s="4" t="str">
        <f t="shared" ref="AF625:AF632" ca="1" si="21">_xlfn.CONCAT(PROPER(TEXT(AB625,"aaaa"))," ",PROPER(TEXT(AB625,"mm")))</f>
        <v>2025 02</v>
      </c>
      <c r="AG625" s="8" t="str" cm="1">
        <f t="array" ref="AG625">IFERROR(_xlfn.IFS('Banco de Dados'!#REF!="AG. COMPRA","Em processamento",'Banco de Dados'!#REF!="AG. RASTREIO","Em processamento",'Banco de Dados'!$AE625&lt;&gt;"-","Faturado",'Banco de Dados'!$AD625&lt;&gt;"-","Aguardando Pix",'Banco de Dados'!$AC625&lt;&gt;"-","Pendente"),"Aguardando Liberação")</f>
        <v>Aguardando Liberação</v>
      </c>
      <c r="AH625" s="5" t="str">
        <f>IF('Banco de Dados'!$F625="-",_xlfn.CONCAT(PROPER(TEXT(AK625,"aaaa"))," ",PROPER(TEXT(AK625,"mm"))),_xlfn.CONCAT(PROPER(TEXT(E625,"aaaa"))," ",PROPER(TEXT(E625,"mm"))))</f>
        <v>2024 12</v>
      </c>
      <c r="AI625" s="9" t="str">
        <f ca="1">IF('Banco de Dados'!$AK625&lt;&gt;"-","REEMBOLSO",IFERROR(_xlfn.XLOOKUP(G625,Follow[CODRASTREIO],Follow[STATUS]),"-"))</f>
        <v>ENTREGUE</v>
      </c>
      <c r="AJ625" s="9">
        <f ca="1">IF('Banco de Dados'!$AI625="ENTREGUE",_xlfn.XLOOKUP('Banco de Dados'!$G625,Follow[CODRASTREIO],Follow[DATAATUALIZAÇÃO]),"-")</f>
        <v>45671</v>
      </c>
      <c r="AK625" s="9" t="str">
        <f ca="1"/>
        <v>-</v>
      </c>
      <c r="AL625" s="35"/>
      <c r="AM625" s="109" cm="1">
        <f t="array" aca="1" ref="AM625" ca="1">IF('Banco de Dados'!$AK625&lt;&gt;"-",_xlfn.IFS('Banco de Dados'!$A625="bv",IF('Banco de Dados'!$E625&lt;45641,ROUND(SUM('Banco de Dados'!$R625*_xlfn.XLOOKUP('Banco de Dados'!$P625,Sku!B:B,Sku!#REF!)*20%),2),ROUND(SUM('Banco de Dados'!$R625*_xlfn.XLOOKUP('Banco de Dados'!$P625,Sku!B:B,Sku!H:H)*20%),2)),'Banco de Dados'!$A625="GO",ROUND(_xlfn.XLOOKUP('Banco de Dados'!$P625,Sku!C:C,Sku!H:H),2),'Banco de Dados'!$A625="MEI",ROUND(_xlfn.XLOOKUP('Banco de Dados'!$P625,Sku!D:D,Sku!H:H),2)),0)</f>
        <v>0</v>
      </c>
      <c r="AN625" s="109">
        <f ca="1">IF('Banco de Dados'!$AK625&lt;&gt;"-",IF('Banco de Dados'!$F625&lt;&gt;"-",_xlfn.XLOOKUP(IFERROR(IFERROR(IFERROR(VALUE(SUBSTITUTE(MID(_xlfn.TEXTAFTER('Banco de Dados'!$F625,"Data do Pedido:
",1),1,10),"-","/")),VALUE(SUBSTITUTE(MID(_xlfn.TEXTAFTER('Banco de Dados'!$F625,"Order date:
",1),1,10),"-","/"))),VALUE(SUBSTITUTE(MID(_xlfn.TEXTAFTER('Banco de Dados'!$F625,"Fecha de pedido:
",1),1,10),"-","/"))),"-"),SMS!A:A,SMS!K:K),0),0)</f>
        <v>0</v>
      </c>
      <c r="AO625" s="109">
        <f ca="1">IF('Banco de Dados'!$AK625&lt;&gt;"-",IF('Banco de Dados'!$F625&lt;&gt;"-",IFERROR(_xlfn.XLOOKUP(_xlfn.CONCAT('Banco de Dados'!$A625,IFERROR(IFERROR(VALUE(SUBSTITUTE(MID(_xlfn.TEXTAFTER('Banco de Dados'!$F625,"Data do Pedido:
",1),1,10),"-","/")),VALUE(SUBSTITUTE(MID(_xlfn.TEXTAFTER('Banco de Dados'!$F625,"Order date:
",1),1,10),"-","/"))),0)),ProxyDD[Chave],ProxyDD[Valor por pedido]),PROXY!$P$2),0),0)</f>
        <v>0</v>
      </c>
      <c r="AP625" s="28">
        <f ca="1">IF('Banco de Dados'!$AK625&lt;&gt;"-",IF('Banco de Dados'!$AL625="NÃO",IFERROR(VALUE(SUBSTITUTE(_xlfn.TEXTAFTER('Banco de Dados'!$F625,"BRL ",1),".",",")),0),0),0)</f>
        <v>0</v>
      </c>
      <c r="AQ625" s="28">
        <f ca="1">SUM('Banco de Dados'!$AM625:$AP625)</f>
        <v>0</v>
      </c>
      <c r="AR625" s="8"/>
      <c r="AS625" s="8"/>
      <c r="AY625" s="8"/>
    </row>
    <row r="626" spans="1:51">
      <c r="A626" s="5" t="str">
        <v>BV</v>
      </c>
      <c r="B626" s="5" t="str">
        <f ca="1"/>
        <v>BV45652</v>
      </c>
      <c r="C626" s="8" t="str">
        <v>Pedido 613</v>
      </c>
      <c r="D626" s="9">
        <v>45652</v>
      </c>
      <c r="E626" s="9">
        <v>45652</v>
      </c>
      <c r="F626" s="8" t="str">
        <v>PedidoF598</v>
      </c>
      <c r="G626" s="2" t="str">
        <v>CódRastreio596</v>
      </c>
      <c r="H626" s="5">
        <v>1</v>
      </c>
      <c r="I626" s="182" t="str">
        <v>CPF 594</v>
      </c>
      <c r="J626" s="2" t="str">
        <v>Nome 594</v>
      </c>
      <c r="K626" s="8" t="str">
        <v>Tel 594</v>
      </c>
      <c r="L626" s="8" t="str">
        <v>Cep 594</v>
      </c>
      <c r="M626" s="8" t="str">
        <v>Rua 594</v>
      </c>
      <c r="N626" s="8" t="str">
        <v>Comp 594</v>
      </c>
      <c r="O626" s="8" t="str">
        <v>Ventilador Preto</v>
      </c>
      <c r="P626" s="8" t="str">
        <v>MU-J80P-95WF</v>
      </c>
      <c r="Q626" s="4">
        <v>45686</v>
      </c>
      <c r="R626" s="109">
        <v>65.599999999999994</v>
      </c>
      <c r="S626" s="11">
        <f ca="1"/>
        <v>65.599999999999994</v>
      </c>
      <c r="T626" s="28">
        <f ca="1"/>
        <v>8.5279999999999987</v>
      </c>
      <c r="U626" s="11">
        <f ca="1"/>
        <v>57.07</v>
      </c>
      <c r="V626" s="11">
        <v>17.23</v>
      </c>
      <c r="W626" s="11">
        <f ca="1"/>
        <v>0.17</v>
      </c>
      <c r="X626" s="11">
        <f ca="1"/>
        <v>0.39877104377104378</v>
      </c>
      <c r="Y626" s="11">
        <v>0</v>
      </c>
      <c r="Z626" s="11">
        <f ca="1"/>
        <v>39.271228956228953</v>
      </c>
      <c r="AA626" s="11">
        <f ca="1"/>
        <v>19.635614478114476</v>
      </c>
      <c r="AB626" s="4">
        <f ca="1"/>
        <v>45693</v>
      </c>
      <c r="AC626" s="4">
        <v>45693</v>
      </c>
      <c r="AD626" s="9">
        <v>45693</v>
      </c>
      <c r="AE626" s="9">
        <v>45705</v>
      </c>
      <c r="AF626" s="4" t="str">
        <f t="shared" ca="1" si="21"/>
        <v>2025 02</v>
      </c>
      <c r="AG626" s="8" t="str" cm="1">
        <f t="array" ref="AG626">IFERROR(_xlfn.IFS('Banco de Dados'!#REF!="AG. COMPRA","Em processamento",'Banco de Dados'!#REF!="AG. RASTREIO","Em processamento",'Banco de Dados'!$AE626&lt;&gt;"-","Faturado",'Banco de Dados'!$AD626&lt;&gt;"-","Aguardando Pix",'Banco de Dados'!$AC626&lt;&gt;"-","Pendente"),"Aguardando Liberação")</f>
        <v>Aguardando Liberação</v>
      </c>
      <c r="AH626" s="5" t="str">
        <f>IF('Banco de Dados'!$F626="-",_xlfn.CONCAT(PROPER(TEXT(AK626,"aaaa"))," ",PROPER(TEXT(AK626,"mm"))),_xlfn.CONCAT(PROPER(TEXT(E626,"aaaa"))," ",PROPER(TEXT(E626,"mm"))))</f>
        <v>2024 12</v>
      </c>
      <c r="AI626" s="9" t="str">
        <f ca="1">IF('Banco de Dados'!$AK626&lt;&gt;"-","REEMBOLSO",IFERROR(_xlfn.XLOOKUP(G626,Follow[CODRASTREIO],Follow[STATUS]),"-"))</f>
        <v>ENTREGUE</v>
      </c>
      <c r="AJ626" s="9">
        <f ca="1">IF('Banco de Dados'!$AI626="ENTREGUE",_xlfn.XLOOKUP('Banco de Dados'!$G626,Follow[CODRASTREIO],Follow[DATAATUALIZAÇÃO]),"-")</f>
        <v>45672</v>
      </c>
      <c r="AK626" s="9" t="str">
        <f ca="1"/>
        <v>-</v>
      </c>
      <c r="AL626" s="35"/>
      <c r="AM626" s="109" cm="1">
        <f t="array" aca="1" ref="AM626" ca="1">IF('Banco de Dados'!$AK626&lt;&gt;"-",_xlfn.IFS('Banco de Dados'!$A626="bv",IF('Banco de Dados'!$E626&lt;45641,ROUND(SUM('Banco de Dados'!$R626*_xlfn.XLOOKUP('Banco de Dados'!$P626,Sku!B:B,Sku!#REF!)*20%),2),ROUND(SUM('Banco de Dados'!$R626*_xlfn.XLOOKUP('Banco de Dados'!$P626,Sku!B:B,Sku!H:H)*20%),2)),'Banco de Dados'!$A626="GO",ROUND(_xlfn.XLOOKUP('Banco de Dados'!$P626,Sku!C:C,Sku!H:H),2),'Banco de Dados'!$A626="MEI",ROUND(_xlfn.XLOOKUP('Banco de Dados'!$P626,Sku!D:D,Sku!H:H),2)),0)</f>
        <v>0</v>
      </c>
      <c r="AN626" s="109">
        <f ca="1">IF('Banco de Dados'!$AK626&lt;&gt;"-",IF('Banco de Dados'!$F626&lt;&gt;"-",_xlfn.XLOOKUP(IFERROR(IFERROR(IFERROR(VALUE(SUBSTITUTE(MID(_xlfn.TEXTAFTER('Banco de Dados'!$F626,"Data do Pedido:
",1),1,10),"-","/")),VALUE(SUBSTITUTE(MID(_xlfn.TEXTAFTER('Banco de Dados'!$F626,"Order date:
",1),1,10),"-","/"))),VALUE(SUBSTITUTE(MID(_xlfn.TEXTAFTER('Banco de Dados'!$F626,"Fecha de pedido:
",1),1,10),"-","/"))),"-"),SMS!A:A,SMS!K:K),0),0)</f>
        <v>0</v>
      </c>
      <c r="AO626" s="109">
        <f ca="1">IF('Banco de Dados'!$AK626&lt;&gt;"-",IF('Banco de Dados'!$F626&lt;&gt;"-",IFERROR(_xlfn.XLOOKUP(_xlfn.CONCAT('Banco de Dados'!$A626,IFERROR(IFERROR(VALUE(SUBSTITUTE(MID(_xlfn.TEXTAFTER('Banco de Dados'!$F626,"Data do Pedido:
",1),1,10),"-","/")),VALUE(SUBSTITUTE(MID(_xlfn.TEXTAFTER('Banco de Dados'!$F626,"Order date:
",1),1,10),"-","/"))),0)),ProxyDD[Chave],ProxyDD[Valor por pedido]),PROXY!$P$2),0),0)</f>
        <v>0</v>
      </c>
      <c r="AP626" s="28">
        <f ca="1">IF('Banco de Dados'!$AK626&lt;&gt;"-",IF('Banco de Dados'!$AL626="NÃO",IFERROR(VALUE(SUBSTITUTE(_xlfn.TEXTAFTER('Banco de Dados'!$F626,"BRL ",1),".",",")),0),0),0)</f>
        <v>0</v>
      </c>
      <c r="AQ626" s="28">
        <f ca="1">SUM('Banco de Dados'!$AM626:$AP626)</f>
        <v>0</v>
      </c>
      <c r="AR626" s="8"/>
      <c r="AS626" s="8"/>
      <c r="AY626" s="8"/>
    </row>
    <row r="627" spans="1:51">
      <c r="A627" s="5" t="str">
        <v>BV</v>
      </c>
      <c r="B627" s="5" t="str">
        <f ca="1"/>
        <v>BV45652</v>
      </c>
      <c r="C627" s="8" t="str">
        <v>Pedido 614</v>
      </c>
      <c r="D627" s="9">
        <v>45652</v>
      </c>
      <c r="E627" s="9">
        <v>45652</v>
      </c>
      <c r="F627" s="8" t="str">
        <v>PedidoF599</v>
      </c>
      <c r="G627" s="2" t="str">
        <v>CódRastreio597</v>
      </c>
      <c r="H627" s="5">
        <v>1</v>
      </c>
      <c r="I627" s="182" t="str">
        <v>CPF 595</v>
      </c>
      <c r="J627" s="2" t="str">
        <v>Nome 595</v>
      </c>
      <c r="K627" s="8" t="str">
        <v>Tel 595</v>
      </c>
      <c r="L627" s="8" t="str">
        <v>Cep 595</v>
      </c>
      <c r="M627" s="8" t="str">
        <v>Rua 595</v>
      </c>
      <c r="N627" s="8" t="str">
        <v>Comp 595</v>
      </c>
      <c r="O627" s="8" t="str">
        <v>Copo Termico</v>
      </c>
      <c r="P627" s="8" t="str">
        <v>KN-TBQL-K2MM</v>
      </c>
      <c r="Q627" s="4">
        <v>45667</v>
      </c>
      <c r="R627" s="109">
        <v>24.8</v>
      </c>
      <c r="S627" s="11">
        <f ca="1"/>
        <v>24.8</v>
      </c>
      <c r="T627" s="28">
        <f ca="1"/>
        <v>3.2240000000000002</v>
      </c>
      <c r="U627" s="11">
        <f ca="1"/>
        <v>21.58</v>
      </c>
      <c r="V627" s="11">
        <v>11.9</v>
      </c>
      <c r="W627" s="11">
        <f ca="1"/>
        <v>0.17</v>
      </c>
      <c r="X627" s="11">
        <f ca="1"/>
        <v>0.39877104377104378</v>
      </c>
      <c r="Y627" s="11">
        <v>0</v>
      </c>
      <c r="Z627" s="11">
        <f ca="1"/>
        <v>9.1112289562289543</v>
      </c>
      <c r="AA627" s="11">
        <f ca="1"/>
        <v>4.5556144781144772</v>
      </c>
      <c r="AB627" s="4">
        <f ca="1"/>
        <v>45674</v>
      </c>
      <c r="AC627" s="4">
        <v>45674</v>
      </c>
      <c r="AD627" s="9">
        <v>45674</v>
      </c>
      <c r="AE627" s="9">
        <v>45694</v>
      </c>
      <c r="AF627" s="4" t="str">
        <f t="shared" ca="1" si="21"/>
        <v>2025 01</v>
      </c>
      <c r="AG627" s="8" t="str" cm="1">
        <f t="array" ref="AG627">IFERROR(_xlfn.IFS('Banco de Dados'!#REF!="AG. COMPRA","Em processamento",'Banco de Dados'!#REF!="AG. RASTREIO","Em processamento",'Banco de Dados'!$AE627&lt;&gt;"-","Faturado",'Banco de Dados'!$AD627&lt;&gt;"-","Aguardando Pix",'Banco de Dados'!$AC627&lt;&gt;"-","Pendente"),"Aguardando Liberação")</f>
        <v>Aguardando Liberação</v>
      </c>
      <c r="AH627" s="5" t="str">
        <f>IF('Banco de Dados'!$F627="-",_xlfn.CONCAT(PROPER(TEXT(AK627,"aaaa"))," ",PROPER(TEXT(AK627,"mm"))),_xlfn.CONCAT(PROPER(TEXT(E627,"aaaa"))," ",PROPER(TEXT(E627,"mm"))))</f>
        <v>2024 12</v>
      </c>
      <c r="AI627" s="9" t="str">
        <f ca="1">IF('Banco de Dados'!$AK627&lt;&gt;"-","REEMBOLSO",IFERROR(_xlfn.XLOOKUP(G627,Follow[CODRASTREIO],Follow[STATUS]),"-"))</f>
        <v>ENTREGUE</v>
      </c>
      <c r="AJ627" s="9">
        <f ca="1">IF('Banco de Dados'!$AI627="ENTREGUE",_xlfn.XLOOKUP('Banco de Dados'!$G627,Follow[CODRASTREIO],Follow[DATAATUALIZAÇÃO]),"-")</f>
        <v>45660</v>
      </c>
      <c r="AK627" s="9" t="str">
        <f ca="1"/>
        <v>-</v>
      </c>
      <c r="AL627" s="35"/>
      <c r="AM627" s="109" cm="1">
        <f t="array" aca="1" ref="AM627" ca="1">IF('Banco de Dados'!$AK627&lt;&gt;"-",_xlfn.IFS('Banco de Dados'!$A627="bv",IF('Banco de Dados'!$E627&lt;45641,ROUND(SUM('Banco de Dados'!$R627*_xlfn.XLOOKUP('Banco de Dados'!$P627,Sku!B:B,Sku!#REF!)*20%),2),ROUND(SUM('Banco de Dados'!$R627*_xlfn.XLOOKUP('Banco de Dados'!$P627,Sku!B:B,Sku!H:H)*20%),2)),'Banco de Dados'!$A627="GO",ROUND(_xlfn.XLOOKUP('Banco de Dados'!$P627,Sku!C:C,Sku!H:H),2),'Banco de Dados'!$A627="MEI",ROUND(_xlfn.XLOOKUP('Banco de Dados'!$P627,Sku!D:D,Sku!H:H),2)),0)</f>
        <v>0</v>
      </c>
      <c r="AN627" s="109">
        <f ca="1">IF('Banco de Dados'!$AK627&lt;&gt;"-",IF('Banco de Dados'!$F627&lt;&gt;"-",_xlfn.XLOOKUP(IFERROR(IFERROR(IFERROR(VALUE(SUBSTITUTE(MID(_xlfn.TEXTAFTER('Banco de Dados'!$F627,"Data do Pedido:
",1),1,10),"-","/")),VALUE(SUBSTITUTE(MID(_xlfn.TEXTAFTER('Banco de Dados'!$F627,"Order date:
",1),1,10),"-","/"))),VALUE(SUBSTITUTE(MID(_xlfn.TEXTAFTER('Banco de Dados'!$F627,"Fecha de pedido:
",1),1,10),"-","/"))),"-"),SMS!A:A,SMS!K:K),0),0)</f>
        <v>0</v>
      </c>
      <c r="AO627" s="109">
        <f ca="1">IF('Banco de Dados'!$AK627&lt;&gt;"-",IF('Banco de Dados'!$F627&lt;&gt;"-",IFERROR(_xlfn.XLOOKUP(_xlfn.CONCAT('Banco de Dados'!$A627,IFERROR(IFERROR(VALUE(SUBSTITUTE(MID(_xlfn.TEXTAFTER('Banco de Dados'!$F627,"Data do Pedido:
",1),1,10),"-","/")),VALUE(SUBSTITUTE(MID(_xlfn.TEXTAFTER('Banco de Dados'!$F627,"Order date:
",1),1,10),"-","/"))),0)),ProxyDD[Chave],ProxyDD[Valor por pedido]),PROXY!$P$2),0),0)</f>
        <v>0</v>
      </c>
      <c r="AP627" s="28">
        <f ca="1">IF('Banco de Dados'!$AK627&lt;&gt;"-",IF('Banco de Dados'!$AL627="NÃO",IFERROR(VALUE(SUBSTITUTE(_xlfn.TEXTAFTER('Banco de Dados'!$F627,"BRL ",1),".",",")),0),0),0)</f>
        <v>0</v>
      </c>
      <c r="AQ627" s="28">
        <f ca="1">SUM('Banco de Dados'!$AM627:$AP627)</f>
        <v>0</v>
      </c>
      <c r="AR627" s="8"/>
      <c r="AS627" s="8"/>
      <c r="AY627" s="8"/>
    </row>
    <row r="628" spans="1:51">
      <c r="A628" s="5" t="str">
        <v>BV</v>
      </c>
      <c r="B628" s="5" t="str">
        <f ca="1"/>
        <v>BV45652</v>
      </c>
      <c r="C628" s="8" t="str">
        <v>Pedido 615</v>
      </c>
      <c r="D628" s="9">
        <v>45652</v>
      </c>
      <c r="E628" s="9">
        <v>45652</v>
      </c>
      <c r="F628" s="8" t="str">
        <v>PedidoF600</v>
      </c>
      <c r="G628" s="2" t="str">
        <v>CódRastreio598</v>
      </c>
      <c r="H628" s="5">
        <v>1</v>
      </c>
      <c r="I628" s="182" t="str">
        <v>CPF 596</v>
      </c>
      <c r="J628" s="2" t="str">
        <v>Nome 596</v>
      </c>
      <c r="K628" s="8" t="str">
        <v>Tel 596</v>
      </c>
      <c r="L628" s="8" t="str">
        <v>Cep 596</v>
      </c>
      <c r="M628" s="8" t="str">
        <v>Rua 596</v>
      </c>
      <c r="N628" s="8" t="str">
        <v>Comp 596</v>
      </c>
      <c r="O628" s="8" t="str">
        <v>Ventilador Rosa</v>
      </c>
      <c r="P628" s="8" t="str">
        <v>IF-G2ZQ-79FO</v>
      </c>
      <c r="Q628" s="4">
        <v>45673</v>
      </c>
      <c r="R628" s="109">
        <v>49.4</v>
      </c>
      <c r="S628" s="11">
        <f ca="1"/>
        <v>49.4</v>
      </c>
      <c r="T628" s="28">
        <f ca="1"/>
        <v>6.4219999999999997</v>
      </c>
      <c r="U628" s="11">
        <f ca="1"/>
        <v>42.98</v>
      </c>
      <c r="V628" s="11">
        <v>16.64</v>
      </c>
      <c r="W628" s="11">
        <f ca="1"/>
        <v>0.17</v>
      </c>
      <c r="X628" s="11">
        <f ca="1"/>
        <v>0.39877104377104378</v>
      </c>
      <c r="Y628" s="11">
        <v>0</v>
      </c>
      <c r="Z628" s="11">
        <f ca="1"/>
        <v>25.771228956228949</v>
      </c>
      <c r="AA628" s="11">
        <f ca="1"/>
        <v>12.885614478114475</v>
      </c>
      <c r="AB628" s="4">
        <f ca="1"/>
        <v>45680</v>
      </c>
      <c r="AC628" s="4">
        <v>45680</v>
      </c>
      <c r="AD628" s="9">
        <v>45688</v>
      </c>
      <c r="AE628" s="9">
        <v>45694</v>
      </c>
      <c r="AF628" s="4" t="str">
        <f t="shared" ca="1" si="21"/>
        <v>2025 01</v>
      </c>
      <c r="AG628" s="8" t="str" cm="1">
        <f t="array" ref="AG628">IFERROR(_xlfn.IFS('Banco de Dados'!#REF!="AG. COMPRA","Em processamento",'Banco de Dados'!#REF!="AG. RASTREIO","Em processamento",'Banco de Dados'!$AE628&lt;&gt;"-","Faturado",'Banco de Dados'!$AD628&lt;&gt;"-","Aguardando Pix",'Banco de Dados'!$AC628&lt;&gt;"-","Pendente"),"Aguardando Liberação")</f>
        <v>Aguardando Liberação</v>
      </c>
      <c r="AH628" s="5" t="str">
        <f>IF('Banco de Dados'!$F628="-",_xlfn.CONCAT(PROPER(TEXT(AK628,"aaaa"))," ",PROPER(TEXT(AK628,"mm"))),_xlfn.CONCAT(PROPER(TEXT(E628,"aaaa"))," ",PROPER(TEXT(E628,"mm"))))</f>
        <v>2024 12</v>
      </c>
      <c r="AI628" s="9" t="str">
        <f ca="1">IF('Banco de Dados'!$AK628&lt;&gt;"-","REEMBOLSO",IFERROR(_xlfn.XLOOKUP(G628,Follow[CODRASTREIO],Follow[STATUS]),"-"))</f>
        <v>ENTREGUE</v>
      </c>
      <c r="AJ628" s="9">
        <f ca="1">IF('Banco de Dados'!$AI628="ENTREGUE",_xlfn.XLOOKUP('Banco de Dados'!$G628,Follow[CODRASTREIO],Follow[DATAATUALIZAÇÃO]),"-")</f>
        <v>45665</v>
      </c>
      <c r="AK628" s="9" t="str">
        <f ca="1"/>
        <v>-</v>
      </c>
      <c r="AL628" s="35"/>
      <c r="AM628" s="109" cm="1">
        <f t="array" aca="1" ref="AM628" ca="1">IF('Banco de Dados'!$AK628&lt;&gt;"-",_xlfn.IFS('Banco de Dados'!$A628="bv",IF('Banco de Dados'!$E628&lt;45641,ROUND(SUM('Banco de Dados'!$R628*_xlfn.XLOOKUP('Banco de Dados'!$P628,Sku!B:B,Sku!#REF!)*20%),2),ROUND(SUM('Banco de Dados'!$R628*_xlfn.XLOOKUP('Banco de Dados'!$P628,Sku!B:B,Sku!H:H)*20%),2)),'Banco de Dados'!$A628="GO",ROUND(_xlfn.XLOOKUP('Banco de Dados'!$P628,Sku!C:C,Sku!H:H),2),'Banco de Dados'!$A628="MEI",ROUND(_xlfn.XLOOKUP('Banco de Dados'!$P628,Sku!D:D,Sku!H:H),2)),0)</f>
        <v>0</v>
      </c>
      <c r="AN628" s="109">
        <f ca="1">IF('Banco de Dados'!$AK628&lt;&gt;"-",IF('Banco de Dados'!$F628&lt;&gt;"-",_xlfn.XLOOKUP(IFERROR(IFERROR(IFERROR(VALUE(SUBSTITUTE(MID(_xlfn.TEXTAFTER('Banco de Dados'!$F628,"Data do Pedido:
",1),1,10),"-","/")),VALUE(SUBSTITUTE(MID(_xlfn.TEXTAFTER('Banco de Dados'!$F628,"Order date:
",1),1,10),"-","/"))),VALUE(SUBSTITUTE(MID(_xlfn.TEXTAFTER('Banco de Dados'!$F628,"Fecha de pedido:
",1),1,10),"-","/"))),"-"),SMS!A:A,SMS!K:K),0),0)</f>
        <v>0</v>
      </c>
      <c r="AO628" s="109">
        <f ca="1">IF('Banco de Dados'!$AK628&lt;&gt;"-",IF('Banco de Dados'!$F628&lt;&gt;"-",IFERROR(_xlfn.XLOOKUP(_xlfn.CONCAT('Banco de Dados'!$A628,IFERROR(IFERROR(VALUE(SUBSTITUTE(MID(_xlfn.TEXTAFTER('Banco de Dados'!$F628,"Data do Pedido:
",1),1,10),"-","/")),VALUE(SUBSTITUTE(MID(_xlfn.TEXTAFTER('Banco de Dados'!$F628,"Order date:
",1),1,10),"-","/"))),0)),ProxyDD[Chave],ProxyDD[Valor por pedido]),PROXY!$P$2),0),0)</f>
        <v>0</v>
      </c>
      <c r="AP628" s="28">
        <f ca="1">IF('Banco de Dados'!$AK628&lt;&gt;"-",IF('Banco de Dados'!$AL628="NÃO",IFERROR(VALUE(SUBSTITUTE(_xlfn.TEXTAFTER('Banco de Dados'!$F628,"BRL ",1),".",",")),0),0),0)</f>
        <v>0</v>
      </c>
      <c r="AQ628" s="28">
        <f ca="1">SUM('Banco de Dados'!$AM628:$AP628)</f>
        <v>0</v>
      </c>
      <c r="AR628" s="8"/>
      <c r="AS628" s="8"/>
      <c r="AY628" s="8"/>
    </row>
    <row r="629" spans="1:51">
      <c r="A629" s="5" t="str">
        <v>BV</v>
      </c>
      <c r="B629" s="5" t="str">
        <f ca="1"/>
        <v>BV45652</v>
      </c>
      <c r="C629" s="8" t="str">
        <v>Pedido 616</v>
      </c>
      <c r="D629" s="9">
        <v>45652</v>
      </c>
      <c r="E629" s="9">
        <v>45652</v>
      </c>
      <c r="F629" s="8" t="str">
        <v>PedidoF601</v>
      </c>
      <c r="G629" s="2" t="str">
        <v>CódRastreio599</v>
      </c>
      <c r="H629" s="5">
        <v>1</v>
      </c>
      <c r="I629" s="182" t="str">
        <v>CPF 419</v>
      </c>
      <c r="J629" s="2" t="str">
        <v>Nome 419</v>
      </c>
      <c r="K629" s="8" t="str">
        <v>Tel 419</v>
      </c>
      <c r="L629" s="8" t="str">
        <v>Cep 419</v>
      </c>
      <c r="M629" s="8" t="str">
        <v>Rua 419</v>
      </c>
      <c r="N629" s="8" t="str">
        <v>Comp 419</v>
      </c>
      <c r="O629" s="8" t="str">
        <v>Ventilador Preto</v>
      </c>
      <c r="P629" s="8" t="str">
        <v>MU-J80P-95WF</v>
      </c>
      <c r="Q629" s="4">
        <v>45680</v>
      </c>
      <c r="R629" s="109">
        <v>65.599999999999994</v>
      </c>
      <c r="S629" s="11">
        <f ca="1"/>
        <v>65.599999999999994</v>
      </c>
      <c r="T629" s="28">
        <f ca="1"/>
        <v>8.5279999999999987</v>
      </c>
      <c r="U629" s="11">
        <f ca="1"/>
        <v>57.07</v>
      </c>
      <c r="V629" s="11">
        <v>17.23</v>
      </c>
      <c r="W629" s="11">
        <f ca="1"/>
        <v>0.17</v>
      </c>
      <c r="X629" s="11">
        <f ca="1"/>
        <v>0.39877104377104378</v>
      </c>
      <c r="Y629" s="11">
        <v>0</v>
      </c>
      <c r="Z629" s="11">
        <f ca="1"/>
        <v>39.271228956228953</v>
      </c>
      <c r="AA629" s="11">
        <f ca="1"/>
        <v>19.635614478114476</v>
      </c>
      <c r="AB629" s="4">
        <f ca="1"/>
        <v>45687</v>
      </c>
      <c r="AC629" s="4">
        <v>45687</v>
      </c>
      <c r="AD629" s="9">
        <v>45688</v>
      </c>
      <c r="AE629" s="9">
        <v>45694</v>
      </c>
      <c r="AF629" s="4" t="str">
        <f t="shared" ca="1" si="21"/>
        <v>2025 01</v>
      </c>
      <c r="AG629" s="8" t="str" cm="1">
        <f t="array" ref="AG629">IFERROR(_xlfn.IFS('Banco de Dados'!#REF!="AG. COMPRA","Em processamento",'Banco de Dados'!#REF!="AG. RASTREIO","Em processamento",'Banco de Dados'!$AE629&lt;&gt;"-","Faturado",'Banco de Dados'!$AD629&lt;&gt;"-","Aguardando Pix",'Banco de Dados'!$AC629&lt;&gt;"-","Pendente"),"Aguardando Liberação")</f>
        <v>Aguardando Liberação</v>
      </c>
      <c r="AH629" s="5" t="str">
        <f>IF('Banco de Dados'!$F629="-",_xlfn.CONCAT(PROPER(TEXT(AK629,"aaaa"))," ",PROPER(TEXT(AK629,"mm"))),_xlfn.CONCAT(PROPER(TEXT(E629,"aaaa"))," ",PROPER(TEXT(E629,"mm"))))</f>
        <v>2024 12</v>
      </c>
      <c r="AI629" s="9" t="str">
        <f ca="1">IF('Banco de Dados'!$AK629&lt;&gt;"-","REEMBOLSO",IFERROR(_xlfn.XLOOKUP(G629,Follow[CODRASTREIO],Follow[STATUS]),"-"))</f>
        <v>ENTREGUE</v>
      </c>
      <c r="AJ629" s="9">
        <f ca="1">IF('Banco de Dados'!$AI629="ENTREGUE",_xlfn.XLOOKUP('Banco de Dados'!$G629,Follow[CODRASTREIO],Follow[DATAATUALIZAÇÃO]),"-")</f>
        <v>45668</v>
      </c>
      <c r="AK629" s="9" t="str">
        <f ca="1"/>
        <v>-</v>
      </c>
      <c r="AL629" s="35"/>
      <c r="AM629" s="109" cm="1">
        <f t="array" aca="1" ref="AM629" ca="1">IF('Banco de Dados'!$AK629&lt;&gt;"-",_xlfn.IFS('Banco de Dados'!$A629="bv",IF('Banco de Dados'!$E629&lt;45641,ROUND(SUM('Banco de Dados'!$R629*_xlfn.XLOOKUP('Banco de Dados'!$P629,Sku!B:B,Sku!#REF!)*20%),2),ROUND(SUM('Banco de Dados'!$R629*_xlfn.XLOOKUP('Banco de Dados'!$P629,Sku!B:B,Sku!H:H)*20%),2)),'Banco de Dados'!$A629="GO",ROUND(_xlfn.XLOOKUP('Banco de Dados'!$P629,Sku!C:C,Sku!H:H),2),'Banco de Dados'!$A629="MEI",ROUND(_xlfn.XLOOKUP('Banco de Dados'!$P629,Sku!D:D,Sku!H:H),2)),0)</f>
        <v>0</v>
      </c>
      <c r="AN629" s="109">
        <f ca="1">IF('Banco de Dados'!$AK629&lt;&gt;"-",IF('Banco de Dados'!$F629&lt;&gt;"-",_xlfn.XLOOKUP(IFERROR(IFERROR(IFERROR(VALUE(SUBSTITUTE(MID(_xlfn.TEXTAFTER('Banco de Dados'!$F629,"Data do Pedido:
",1),1,10),"-","/")),VALUE(SUBSTITUTE(MID(_xlfn.TEXTAFTER('Banco de Dados'!$F629,"Order date:
",1),1,10),"-","/"))),VALUE(SUBSTITUTE(MID(_xlfn.TEXTAFTER('Banco de Dados'!$F629,"Fecha de pedido:
",1),1,10),"-","/"))),"-"),SMS!A:A,SMS!K:K),0),0)</f>
        <v>0</v>
      </c>
      <c r="AO629" s="109">
        <f ca="1">IF('Banco de Dados'!$AK629&lt;&gt;"-",IF('Banco de Dados'!$F629&lt;&gt;"-",IFERROR(_xlfn.XLOOKUP(_xlfn.CONCAT('Banco de Dados'!$A629,IFERROR(IFERROR(VALUE(SUBSTITUTE(MID(_xlfn.TEXTAFTER('Banco de Dados'!$F629,"Data do Pedido:
",1),1,10),"-","/")),VALUE(SUBSTITUTE(MID(_xlfn.TEXTAFTER('Banco de Dados'!$F629,"Order date:
",1),1,10),"-","/"))),0)),ProxyDD[Chave],ProxyDD[Valor por pedido]),PROXY!$P$2),0),0)</f>
        <v>0</v>
      </c>
      <c r="AP629" s="28">
        <f ca="1">IF('Banco de Dados'!$AK629&lt;&gt;"-",IF('Banco de Dados'!$AL629="NÃO",IFERROR(VALUE(SUBSTITUTE(_xlfn.TEXTAFTER('Banco de Dados'!$F629,"BRL ",1),".",",")),0),0),0)</f>
        <v>0</v>
      </c>
      <c r="AQ629" s="28">
        <f ca="1">SUM('Banco de Dados'!$AM629:$AP629)</f>
        <v>0</v>
      </c>
      <c r="AR629" s="8"/>
      <c r="AS629" s="8"/>
      <c r="AY629" s="8"/>
    </row>
    <row r="630" spans="1:51">
      <c r="A630" s="5" t="str">
        <v>BV</v>
      </c>
      <c r="B630" s="5" t="str">
        <f ca="1"/>
        <v>BV45652</v>
      </c>
      <c r="C630" s="8" t="str">
        <v>Pedido 617</v>
      </c>
      <c r="D630" s="9">
        <v>45652</v>
      </c>
      <c r="E630" s="9">
        <v>45652</v>
      </c>
      <c r="F630" s="8" t="str">
        <v>PedidoF602</v>
      </c>
      <c r="G630" s="2" t="str">
        <v>CódRastreio600</v>
      </c>
      <c r="H630" s="5">
        <v>1</v>
      </c>
      <c r="I630" s="182" t="str">
        <v>CPF 597</v>
      </c>
      <c r="J630" s="2" t="str">
        <v>Nome 597</v>
      </c>
      <c r="K630" s="8" t="str">
        <v>Tel 597</v>
      </c>
      <c r="L630" s="8" t="str">
        <v>Cep 597</v>
      </c>
      <c r="M630" s="8" t="str">
        <v>Rua 597</v>
      </c>
      <c r="N630" s="8" t="str">
        <v>Comp 597</v>
      </c>
      <c r="O630" s="8" t="str">
        <v>Ventilador Preto</v>
      </c>
      <c r="P630" s="8" t="str">
        <v>MU-J80P-95WF</v>
      </c>
      <c r="Q630" s="4">
        <v>45680</v>
      </c>
      <c r="R630" s="109">
        <v>65.599999999999994</v>
      </c>
      <c r="S630" s="11">
        <f ca="1"/>
        <v>65.599999999999994</v>
      </c>
      <c r="T630" s="28">
        <f ca="1"/>
        <v>8.5279999999999987</v>
      </c>
      <c r="U630" s="11">
        <f ca="1"/>
        <v>57.07</v>
      </c>
      <c r="V630" s="11">
        <v>17.23</v>
      </c>
      <c r="W630" s="11">
        <f ca="1"/>
        <v>0.17</v>
      </c>
      <c r="X630" s="11">
        <f ca="1"/>
        <v>0.39877104377104378</v>
      </c>
      <c r="Y630" s="11">
        <v>0</v>
      </c>
      <c r="Z630" s="11">
        <f ca="1"/>
        <v>39.271228956228953</v>
      </c>
      <c r="AA630" s="11">
        <f ca="1"/>
        <v>19.635614478114476</v>
      </c>
      <c r="AB630" s="4">
        <f ca="1"/>
        <v>45687</v>
      </c>
      <c r="AC630" s="4">
        <v>45687</v>
      </c>
      <c r="AD630" s="9">
        <v>45688</v>
      </c>
      <c r="AE630" s="9">
        <v>45694</v>
      </c>
      <c r="AF630" s="4" t="str">
        <f t="shared" ca="1" si="21"/>
        <v>2025 01</v>
      </c>
      <c r="AG630" s="8" t="str" cm="1">
        <f t="array" ref="AG630">IFERROR(_xlfn.IFS('Banco de Dados'!#REF!="AG. COMPRA","Em processamento",'Banco de Dados'!#REF!="AG. RASTREIO","Em processamento",'Banco de Dados'!$AE630&lt;&gt;"-","Faturado",'Banco de Dados'!$AD630&lt;&gt;"-","Aguardando Pix",'Banco de Dados'!$AC630&lt;&gt;"-","Pendente"),"Aguardando Liberação")</f>
        <v>Aguardando Liberação</v>
      </c>
      <c r="AH630" s="5" t="str">
        <f>IF('Banco de Dados'!$F630="-",_xlfn.CONCAT(PROPER(TEXT(AK630,"aaaa"))," ",PROPER(TEXT(AK630,"mm"))),_xlfn.CONCAT(PROPER(TEXT(E630,"aaaa"))," ",PROPER(TEXT(E630,"mm"))))</f>
        <v>2024 12</v>
      </c>
      <c r="AI630" s="9" t="str">
        <f ca="1">IF('Banco de Dados'!$AK630&lt;&gt;"-","REEMBOLSO",IFERROR(_xlfn.XLOOKUP(G630,Follow[CODRASTREIO],Follow[STATUS]),"-"))</f>
        <v>ENTREGUE</v>
      </c>
      <c r="AJ630" s="9">
        <f ca="1">IF('Banco de Dados'!$AI630="ENTREGUE",_xlfn.XLOOKUP('Banco de Dados'!$G630,Follow[CODRASTREIO],Follow[DATAATUALIZAÇÃO]),"-")</f>
        <v>45670</v>
      </c>
      <c r="AK630" s="9" t="str">
        <f ca="1"/>
        <v>-</v>
      </c>
      <c r="AL630" s="35"/>
      <c r="AM630" s="109" cm="1">
        <f t="array" aca="1" ref="AM630" ca="1">IF('Banco de Dados'!$AK630&lt;&gt;"-",_xlfn.IFS('Banco de Dados'!$A630="bv",IF('Banco de Dados'!$E630&lt;45641,ROUND(SUM('Banco de Dados'!$R630*_xlfn.XLOOKUP('Banco de Dados'!$P630,Sku!B:B,Sku!#REF!)*20%),2),ROUND(SUM('Banco de Dados'!$R630*_xlfn.XLOOKUP('Banco de Dados'!$P630,Sku!B:B,Sku!H:H)*20%),2)),'Banco de Dados'!$A630="GO",ROUND(_xlfn.XLOOKUP('Banco de Dados'!$P630,Sku!C:C,Sku!H:H),2),'Banco de Dados'!$A630="MEI",ROUND(_xlfn.XLOOKUP('Banco de Dados'!$P630,Sku!D:D,Sku!H:H),2)),0)</f>
        <v>0</v>
      </c>
      <c r="AN630" s="109">
        <f ca="1">IF('Banco de Dados'!$AK630&lt;&gt;"-",IF('Banco de Dados'!$F630&lt;&gt;"-",_xlfn.XLOOKUP(IFERROR(IFERROR(IFERROR(VALUE(SUBSTITUTE(MID(_xlfn.TEXTAFTER('Banco de Dados'!$F630,"Data do Pedido:
",1),1,10),"-","/")),VALUE(SUBSTITUTE(MID(_xlfn.TEXTAFTER('Banco de Dados'!$F630,"Order date:
",1),1,10),"-","/"))),VALUE(SUBSTITUTE(MID(_xlfn.TEXTAFTER('Banco de Dados'!$F630,"Fecha de pedido:
",1),1,10),"-","/"))),"-"),SMS!A:A,SMS!K:K),0),0)</f>
        <v>0</v>
      </c>
      <c r="AO630" s="109">
        <f ca="1">IF('Banco de Dados'!$AK630&lt;&gt;"-",IF('Banco de Dados'!$F630&lt;&gt;"-",IFERROR(_xlfn.XLOOKUP(_xlfn.CONCAT('Banco de Dados'!$A630,IFERROR(IFERROR(VALUE(SUBSTITUTE(MID(_xlfn.TEXTAFTER('Banco de Dados'!$F630,"Data do Pedido:
",1),1,10),"-","/")),VALUE(SUBSTITUTE(MID(_xlfn.TEXTAFTER('Banco de Dados'!$F630,"Order date:
",1),1,10),"-","/"))),0)),ProxyDD[Chave],ProxyDD[Valor por pedido]),PROXY!$P$2),0),0)</f>
        <v>0</v>
      </c>
      <c r="AP630" s="28">
        <f ca="1">IF('Banco de Dados'!$AK630&lt;&gt;"-",IF('Banco de Dados'!$AL630="NÃO",IFERROR(VALUE(SUBSTITUTE(_xlfn.TEXTAFTER('Banco de Dados'!$F630,"BRL ",1),".",",")),0),0),0)</f>
        <v>0</v>
      </c>
      <c r="AQ630" s="28">
        <f ca="1">SUM('Banco de Dados'!$AM630:$AP630)</f>
        <v>0</v>
      </c>
      <c r="AR630" s="8"/>
      <c r="AS630" s="8"/>
      <c r="AY630" s="8"/>
    </row>
    <row r="631" spans="1:51">
      <c r="A631" s="5" t="str">
        <v>BV</v>
      </c>
      <c r="B631" s="5" t="str">
        <f ca="1"/>
        <v>BV45652</v>
      </c>
      <c r="C631" s="8" t="str">
        <v>Pedido 618</v>
      </c>
      <c r="D631" s="9">
        <v>45652</v>
      </c>
      <c r="E631" s="9">
        <v>45652</v>
      </c>
      <c r="F631" s="8" t="str">
        <v>PedidoF603</v>
      </c>
      <c r="G631" s="2" t="str">
        <v>CódRastreio601</v>
      </c>
      <c r="H631" s="5">
        <v>1</v>
      </c>
      <c r="I631" s="182" t="str">
        <v>CPF 598</v>
      </c>
      <c r="J631" s="2" t="str">
        <v>Nome 598</v>
      </c>
      <c r="K631" s="8" t="str">
        <v>Tel 598</v>
      </c>
      <c r="L631" s="8" t="str">
        <v>Cep 598</v>
      </c>
      <c r="M631" s="8" t="str">
        <v>Rua 598</v>
      </c>
      <c r="N631" s="8" t="str">
        <v>Comp 598</v>
      </c>
      <c r="O631" s="8" t="str">
        <v>Ventilador Rosa</v>
      </c>
      <c r="P631" s="8" t="str">
        <v>IF-G2ZQ-79FO</v>
      </c>
      <c r="Q631" s="4">
        <v>45680</v>
      </c>
      <c r="R631" s="109">
        <v>49.4</v>
      </c>
      <c r="S631" s="11">
        <f ca="1"/>
        <v>49.4</v>
      </c>
      <c r="T631" s="28">
        <f ca="1"/>
        <v>6.4219999999999997</v>
      </c>
      <c r="U631" s="11">
        <f ca="1"/>
        <v>42.98</v>
      </c>
      <c r="V631" s="11">
        <v>16.64</v>
      </c>
      <c r="W631" s="11">
        <f ca="1"/>
        <v>0.17</v>
      </c>
      <c r="X631" s="11">
        <f ca="1"/>
        <v>0.39877104377104378</v>
      </c>
      <c r="Y631" s="11">
        <v>0</v>
      </c>
      <c r="Z631" s="11">
        <f ca="1"/>
        <v>25.771228956228949</v>
      </c>
      <c r="AA631" s="11">
        <f ca="1"/>
        <v>12.885614478114475</v>
      </c>
      <c r="AB631" s="4">
        <f ca="1"/>
        <v>45687</v>
      </c>
      <c r="AC631" s="4">
        <v>45687</v>
      </c>
      <c r="AD631" s="9">
        <v>45688</v>
      </c>
      <c r="AE631" s="9">
        <v>45694</v>
      </c>
      <c r="AF631" s="4" t="str">
        <f t="shared" ca="1" si="21"/>
        <v>2025 01</v>
      </c>
      <c r="AG631" s="8" t="str" cm="1">
        <f t="array" ref="AG631">IFERROR(_xlfn.IFS('Banco de Dados'!#REF!="AG. COMPRA","Em processamento",'Banco de Dados'!#REF!="AG. RASTREIO","Em processamento",'Banco de Dados'!$AE631&lt;&gt;"-","Faturado",'Banco de Dados'!$AD631&lt;&gt;"-","Aguardando Pix",'Banco de Dados'!$AC631&lt;&gt;"-","Pendente"),"Aguardando Liberação")</f>
        <v>Aguardando Liberação</v>
      </c>
      <c r="AH631" s="5" t="str">
        <f>IF('Banco de Dados'!$F631="-",_xlfn.CONCAT(PROPER(TEXT(AK631,"aaaa"))," ",PROPER(TEXT(AK631,"mm"))),_xlfn.CONCAT(PROPER(TEXT(E631,"aaaa"))," ",PROPER(TEXT(E631,"mm"))))</f>
        <v>2024 12</v>
      </c>
      <c r="AI631" s="9" t="str">
        <f ca="1">IF('Banco de Dados'!$AK631&lt;&gt;"-","REEMBOLSO",IFERROR(_xlfn.XLOOKUP(G631,Follow[CODRASTREIO],Follow[STATUS]),"-"))</f>
        <v>ENTREGUE</v>
      </c>
      <c r="AJ631" s="9">
        <f ca="1">IF('Banco de Dados'!$AI631="ENTREGUE",_xlfn.XLOOKUP('Banco de Dados'!$G631,Follow[CODRASTREIO],Follow[DATAATUALIZAÇÃO]),"-")</f>
        <v>45668</v>
      </c>
      <c r="AK631" s="9" t="str">
        <f ca="1"/>
        <v>-</v>
      </c>
      <c r="AL631" s="35"/>
      <c r="AM631" s="109" cm="1">
        <f t="array" aca="1" ref="AM631" ca="1">IF('Banco de Dados'!$AK631&lt;&gt;"-",_xlfn.IFS('Banco de Dados'!$A631="bv",IF('Banco de Dados'!$E631&lt;45641,ROUND(SUM('Banco de Dados'!$R631*_xlfn.XLOOKUP('Banco de Dados'!$P631,Sku!B:B,Sku!#REF!)*20%),2),ROUND(SUM('Banco de Dados'!$R631*_xlfn.XLOOKUP('Banco de Dados'!$P631,Sku!B:B,Sku!H:H)*20%),2)),'Banco de Dados'!$A631="GO",ROUND(_xlfn.XLOOKUP('Banco de Dados'!$P631,Sku!C:C,Sku!H:H),2),'Banco de Dados'!$A631="MEI",ROUND(_xlfn.XLOOKUP('Banco de Dados'!$P631,Sku!D:D,Sku!H:H),2)),0)</f>
        <v>0</v>
      </c>
      <c r="AN631" s="109">
        <f ca="1">IF('Banco de Dados'!$AK631&lt;&gt;"-",IF('Banco de Dados'!$F631&lt;&gt;"-",_xlfn.XLOOKUP(IFERROR(IFERROR(IFERROR(VALUE(SUBSTITUTE(MID(_xlfn.TEXTAFTER('Banco de Dados'!$F631,"Data do Pedido:
",1),1,10),"-","/")),VALUE(SUBSTITUTE(MID(_xlfn.TEXTAFTER('Banco de Dados'!$F631,"Order date:
",1),1,10),"-","/"))),VALUE(SUBSTITUTE(MID(_xlfn.TEXTAFTER('Banco de Dados'!$F631,"Fecha de pedido:
",1),1,10),"-","/"))),"-"),SMS!A:A,SMS!K:K),0),0)</f>
        <v>0</v>
      </c>
      <c r="AO631" s="109">
        <f ca="1">IF('Banco de Dados'!$AK631&lt;&gt;"-",IF('Banco de Dados'!$F631&lt;&gt;"-",IFERROR(_xlfn.XLOOKUP(_xlfn.CONCAT('Banco de Dados'!$A631,IFERROR(IFERROR(VALUE(SUBSTITUTE(MID(_xlfn.TEXTAFTER('Banco de Dados'!$F631,"Data do Pedido:
",1),1,10),"-","/")),VALUE(SUBSTITUTE(MID(_xlfn.TEXTAFTER('Banco de Dados'!$F631,"Order date:
",1),1,10),"-","/"))),0)),ProxyDD[Chave],ProxyDD[Valor por pedido]),PROXY!$P$2),0),0)</f>
        <v>0</v>
      </c>
      <c r="AP631" s="28">
        <f ca="1">IF('Banco de Dados'!$AK631&lt;&gt;"-",IF('Banco de Dados'!$AL631="NÃO",IFERROR(VALUE(SUBSTITUTE(_xlfn.TEXTAFTER('Banco de Dados'!$F631,"BRL ",1),".",",")),0),0),0)</f>
        <v>0</v>
      </c>
      <c r="AQ631" s="28">
        <f ca="1">SUM('Banco de Dados'!$AM631:$AP631)</f>
        <v>0</v>
      </c>
      <c r="AR631" s="8"/>
      <c r="AS631" s="8"/>
      <c r="AY631" s="8"/>
    </row>
    <row r="632" spans="1:51">
      <c r="A632" s="5" t="str">
        <v>BV</v>
      </c>
      <c r="B632" s="5" t="str">
        <f ca="1"/>
        <v>BV45652</v>
      </c>
      <c r="C632" s="8" t="str">
        <v>Pedido 619</v>
      </c>
      <c r="D632" s="9">
        <v>45652</v>
      </c>
      <c r="E632" s="9">
        <v>45652</v>
      </c>
      <c r="F632" s="8" t="str">
        <v>PedidoF604</v>
      </c>
      <c r="G632" s="2" t="str">
        <v>CódRastreio602</v>
      </c>
      <c r="H632" s="5">
        <v>1</v>
      </c>
      <c r="I632" s="182" t="str">
        <v>CPF 599</v>
      </c>
      <c r="J632" s="2" t="str">
        <v>Nome 599</v>
      </c>
      <c r="K632" s="8" t="str">
        <v>Tel 599</v>
      </c>
      <c r="L632" s="8" t="str">
        <v>Cep 599</v>
      </c>
      <c r="M632" s="8" t="str">
        <v>Rua 599</v>
      </c>
      <c r="N632" s="8" t="str">
        <v>Comp 599</v>
      </c>
      <c r="O632" s="8" t="str">
        <v>Ventilador Preto</v>
      </c>
      <c r="P632" s="8" t="str">
        <v>MU-J80P-95WF</v>
      </c>
      <c r="Q632" s="4">
        <v>45674</v>
      </c>
      <c r="R632" s="109">
        <v>65.599999999999994</v>
      </c>
      <c r="S632" s="11">
        <f ca="1"/>
        <v>65.599999999999994</v>
      </c>
      <c r="T632" s="28">
        <f ca="1"/>
        <v>8.5279999999999987</v>
      </c>
      <c r="U632" s="11">
        <f ca="1"/>
        <v>57.07</v>
      </c>
      <c r="V632" s="11">
        <v>17.23</v>
      </c>
      <c r="W632" s="11">
        <f ca="1"/>
        <v>0.17</v>
      </c>
      <c r="X632" s="11">
        <f ca="1"/>
        <v>0.39877104377104378</v>
      </c>
      <c r="Y632" s="11">
        <v>0</v>
      </c>
      <c r="Z632" s="11">
        <f ca="1"/>
        <v>39.271228956228953</v>
      </c>
      <c r="AA632" s="11">
        <f ca="1"/>
        <v>19.635614478114476</v>
      </c>
      <c r="AB632" s="4">
        <f ca="1"/>
        <v>45681</v>
      </c>
      <c r="AC632" s="4">
        <v>45681</v>
      </c>
      <c r="AD632" s="9">
        <v>45688</v>
      </c>
      <c r="AE632" s="9">
        <v>45694</v>
      </c>
      <c r="AF632" s="4" t="str">
        <f t="shared" ca="1" si="21"/>
        <v>2025 01</v>
      </c>
      <c r="AG632" s="8" t="str" cm="1">
        <f t="array" ref="AG632">IFERROR(_xlfn.IFS('Banco de Dados'!#REF!="AG. COMPRA","Em processamento",'Banco de Dados'!#REF!="AG. RASTREIO","Em processamento",'Banco de Dados'!$AE632&lt;&gt;"-","Faturado",'Banco de Dados'!$AD632&lt;&gt;"-","Aguardando Pix",'Banco de Dados'!$AC632&lt;&gt;"-","Pendente"),"Aguardando Liberação")</f>
        <v>Aguardando Liberação</v>
      </c>
      <c r="AH632" s="5" t="str">
        <f>IF('Banco de Dados'!$F632="-",_xlfn.CONCAT(PROPER(TEXT(AK632,"aaaa"))," ",PROPER(TEXT(AK632,"mm"))),_xlfn.CONCAT(PROPER(TEXT(E632,"aaaa"))," ",PROPER(TEXT(E632,"mm"))))</f>
        <v>2024 12</v>
      </c>
      <c r="AI632" s="9" t="str">
        <f ca="1">IF('Banco de Dados'!$AK632&lt;&gt;"-","REEMBOLSO",IFERROR(_xlfn.XLOOKUP(G632,Follow[CODRASTREIO],Follow[STATUS]),"-"))</f>
        <v>ENTREGUE</v>
      </c>
      <c r="AJ632" s="9">
        <f ca="1">IF('Banco de Dados'!$AI632="ENTREGUE",_xlfn.XLOOKUP('Banco de Dados'!$G632,Follow[CODRASTREIO],Follow[DATAATUALIZAÇÃO]),"-")</f>
        <v>45667</v>
      </c>
      <c r="AK632" s="9" t="str">
        <f ca="1"/>
        <v>-</v>
      </c>
      <c r="AL632" s="35"/>
      <c r="AM632" s="109" cm="1">
        <f t="array" aca="1" ref="AM632" ca="1">IF('Banco de Dados'!$AK632&lt;&gt;"-",_xlfn.IFS('Banco de Dados'!$A632="bv",IF('Banco de Dados'!$E632&lt;45641,ROUND(SUM('Banco de Dados'!$R632*_xlfn.XLOOKUP('Banco de Dados'!$P632,Sku!B:B,Sku!#REF!)*20%),2),ROUND(SUM('Banco de Dados'!$R632*_xlfn.XLOOKUP('Banco de Dados'!$P632,Sku!B:B,Sku!H:H)*20%),2)),'Banco de Dados'!$A632="GO",ROUND(_xlfn.XLOOKUP('Banco de Dados'!$P632,Sku!C:C,Sku!H:H),2),'Banco de Dados'!$A632="MEI",ROUND(_xlfn.XLOOKUP('Banco de Dados'!$P632,Sku!D:D,Sku!H:H),2)),0)</f>
        <v>0</v>
      </c>
      <c r="AN632" s="109">
        <f ca="1">IF('Banco de Dados'!$AK632&lt;&gt;"-",IF('Banco de Dados'!$F632&lt;&gt;"-",_xlfn.XLOOKUP(IFERROR(IFERROR(IFERROR(VALUE(SUBSTITUTE(MID(_xlfn.TEXTAFTER('Banco de Dados'!$F632,"Data do Pedido:
",1),1,10),"-","/")),VALUE(SUBSTITUTE(MID(_xlfn.TEXTAFTER('Banco de Dados'!$F632,"Order date:
",1),1,10),"-","/"))),VALUE(SUBSTITUTE(MID(_xlfn.TEXTAFTER('Banco de Dados'!$F632,"Fecha de pedido:
",1),1,10),"-","/"))),"-"),SMS!A:A,SMS!K:K),0),0)</f>
        <v>0</v>
      </c>
      <c r="AO632" s="109">
        <f ca="1">IF('Banco de Dados'!$AK632&lt;&gt;"-",IF('Banco de Dados'!$F632&lt;&gt;"-",IFERROR(_xlfn.XLOOKUP(_xlfn.CONCAT('Banco de Dados'!$A632,IFERROR(IFERROR(VALUE(SUBSTITUTE(MID(_xlfn.TEXTAFTER('Banco de Dados'!$F632,"Data do Pedido:
",1),1,10),"-","/")),VALUE(SUBSTITUTE(MID(_xlfn.TEXTAFTER('Banco de Dados'!$F632,"Order date:
",1),1,10),"-","/"))),0)),ProxyDD[Chave],ProxyDD[Valor por pedido]),PROXY!$P$2),0),0)</f>
        <v>0</v>
      </c>
      <c r="AP632" s="28">
        <f ca="1">IF('Banco de Dados'!$AK632&lt;&gt;"-",IF('Banco de Dados'!$AL632="NÃO",IFERROR(VALUE(SUBSTITUTE(_xlfn.TEXTAFTER('Banco de Dados'!$F632,"BRL ",1),".",",")),0),0),0)</f>
        <v>0</v>
      </c>
      <c r="AQ632" s="28">
        <f ca="1">SUM('Banco de Dados'!$AM632:$AP632)</f>
        <v>0</v>
      </c>
      <c r="AR632" s="8"/>
      <c r="AS632" s="8"/>
      <c r="AY632" s="8"/>
    </row>
    <row r="633" spans="1:51">
      <c r="A633" s="5" t="str">
        <v>BV</v>
      </c>
      <c r="B633" s="5" t="str">
        <f ca="1"/>
        <v>BV45652</v>
      </c>
      <c r="C633" s="8" t="str">
        <v>Pedido 620</v>
      </c>
      <c r="D633" s="9">
        <v>45652</v>
      </c>
      <c r="E633" s="9">
        <v>45652</v>
      </c>
      <c r="F633" s="8" t="str">
        <v>PedidoF605</v>
      </c>
      <c r="G633" s="2" t="str">
        <v>CódRastreio603</v>
      </c>
      <c r="H633" s="5">
        <v>1</v>
      </c>
      <c r="I633" s="182" t="str">
        <v>CPF 600</v>
      </c>
      <c r="J633" s="2" t="str">
        <v>Nome 600</v>
      </c>
      <c r="K633" s="8" t="str">
        <v>Tel 600</v>
      </c>
      <c r="L633" s="8" t="str">
        <v>Cep 600</v>
      </c>
      <c r="M633" s="8" t="str">
        <v>Rua 600</v>
      </c>
      <c r="N633" s="8" t="str">
        <v>Comp 600</v>
      </c>
      <c r="O633" s="8" t="str">
        <v>Ventilador Preto</v>
      </c>
      <c r="P633" s="8" t="str">
        <v>MU-J80P-95WF</v>
      </c>
      <c r="Q633" s="4">
        <v>45687</v>
      </c>
      <c r="R633" s="109">
        <v>65.599999999999994</v>
      </c>
      <c r="S633" s="11">
        <f ca="1"/>
        <v>65.599999999999994</v>
      </c>
      <c r="T633" s="28">
        <f ca="1"/>
        <v>8.5279999999999987</v>
      </c>
      <c r="U633" s="11">
        <f ca="1"/>
        <v>57.07</v>
      </c>
      <c r="V633" s="11">
        <v>17.23</v>
      </c>
      <c r="W633" s="11">
        <f ca="1"/>
        <v>0.17</v>
      </c>
      <c r="X633" s="11">
        <f ca="1"/>
        <v>0.39877104377104378</v>
      </c>
      <c r="Y633" s="11">
        <v>0</v>
      </c>
      <c r="Z633" s="11">
        <f ca="1"/>
        <v>39.271228956228953</v>
      </c>
      <c r="AA633" s="11">
        <f ca="1"/>
        <v>19.635614478114476</v>
      </c>
      <c r="AB633" s="4">
        <f ca="1"/>
        <v>45694</v>
      </c>
      <c r="AC633" s="4">
        <v>45694</v>
      </c>
      <c r="AD633" s="9">
        <v>45694</v>
      </c>
      <c r="AE633" s="9">
        <v>45705</v>
      </c>
      <c r="AF633" s="4" t="str">
        <f t="shared" ref="AF633:AF647" ca="1" si="22">_xlfn.CONCAT(PROPER(TEXT(AB633,"aaaa"))," ",PROPER(TEXT(AB633,"mm")))</f>
        <v>2025 02</v>
      </c>
      <c r="AG633" s="8" t="str" cm="1">
        <f t="array" ref="AG633">IFERROR(_xlfn.IFS('Banco de Dados'!#REF!="AG. COMPRA","Em processamento",'Banco de Dados'!#REF!="AG. RASTREIO","Em processamento",'Banco de Dados'!$AE633&lt;&gt;"-","Faturado",'Banco de Dados'!$AD633&lt;&gt;"-","Aguardando Pix",'Banco de Dados'!$AC633&lt;&gt;"-","Pendente"),"Aguardando Liberação")</f>
        <v>Aguardando Liberação</v>
      </c>
      <c r="AH633" s="5" t="str">
        <f>IF('Banco de Dados'!$F633="-",_xlfn.CONCAT(PROPER(TEXT(AK633,"aaaa"))," ",PROPER(TEXT(AK633,"mm"))),_xlfn.CONCAT(PROPER(TEXT(E633,"aaaa"))," ",PROPER(TEXT(E633,"mm"))))</f>
        <v>2024 12</v>
      </c>
      <c r="AI633" s="9" t="str">
        <f ca="1">IF('Banco de Dados'!$AK633&lt;&gt;"-","REEMBOLSO",IFERROR(_xlfn.XLOOKUP(G633,Follow[CODRASTREIO],Follow[STATUS]),"-"))</f>
        <v>ENTREGUE</v>
      </c>
      <c r="AJ633" s="9">
        <f ca="1">IF('Banco de Dados'!$AI633="ENTREGUE",_xlfn.XLOOKUP('Banco de Dados'!$G633,Follow[CODRASTREIO],Follow[DATAATUALIZAÇÃO]),"-")</f>
        <v>45672</v>
      </c>
      <c r="AK633" s="9" t="str">
        <f ca="1"/>
        <v>-</v>
      </c>
      <c r="AL633" s="35"/>
      <c r="AM633" s="109" cm="1">
        <f t="array" aca="1" ref="AM633" ca="1">IF('Banco de Dados'!$AK633&lt;&gt;"-",_xlfn.IFS('Banco de Dados'!$A633="bv",IF('Banco de Dados'!$E633&lt;45641,ROUND(SUM('Banco de Dados'!$R633*_xlfn.XLOOKUP('Banco de Dados'!$P633,Sku!B:B,Sku!#REF!)*20%),2),ROUND(SUM('Banco de Dados'!$R633*_xlfn.XLOOKUP('Banco de Dados'!$P633,Sku!B:B,Sku!H:H)*20%),2)),'Banco de Dados'!$A633="GO",ROUND(_xlfn.XLOOKUP('Banco de Dados'!$P633,Sku!C:C,Sku!H:H),2),'Banco de Dados'!$A633="MEI",ROUND(_xlfn.XLOOKUP('Banco de Dados'!$P633,Sku!D:D,Sku!H:H),2)),0)</f>
        <v>0</v>
      </c>
      <c r="AN633" s="109">
        <f ca="1">IF('Banco de Dados'!$AK633&lt;&gt;"-",IF('Banco de Dados'!$F633&lt;&gt;"-",_xlfn.XLOOKUP(IFERROR(IFERROR(IFERROR(VALUE(SUBSTITUTE(MID(_xlfn.TEXTAFTER('Banco de Dados'!$F633,"Data do Pedido:
",1),1,10),"-","/")),VALUE(SUBSTITUTE(MID(_xlfn.TEXTAFTER('Banco de Dados'!$F633,"Order date:
",1),1,10),"-","/"))),VALUE(SUBSTITUTE(MID(_xlfn.TEXTAFTER('Banco de Dados'!$F633,"Fecha de pedido:
",1),1,10),"-","/"))),"-"),SMS!A:A,SMS!K:K),0),0)</f>
        <v>0</v>
      </c>
      <c r="AO633" s="109">
        <f ca="1">IF('Banco de Dados'!$AK633&lt;&gt;"-",IF('Banco de Dados'!$F633&lt;&gt;"-",IFERROR(_xlfn.XLOOKUP(_xlfn.CONCAT('Banco de Dados'!$A633,IFERROR(IFERROR(VALUE(SUBSTITUTE(MID(_xlfn.TEXTAFTER('Banco de Dados'!$F633,"Data do Pedido:
",1),1,10),"-","/")),VALUE(SUBSTITUTE(MID(_xlfn.TEXTAFTER('Banco de Dados'!$F633,"Order date:
",1),1,10),"-","/"))),0)),ProxyDD[Chave],ProxyDD[Valor por pedido]),PROXY!$P$2),0),0)</f>
        <v>0</v>
      </c>
      <c r="AP633" s="28">
        <f ca="1">IF('Banco de Dados'!$AK633&lt;&gt;"-",IF('Banco de Dados'!$AL633="NÃO",IFERROR(VALUE(SUBSTITUTE(_xlfn.TEXTAFTER('Banco de Dados'!$F633,"BRL ",1),".",",")),0),0),0)</f>
        <v>0</v>
      </c>
      <c r="AQ633" s="28">
        <f ca="1">SUM('Banco de Dados'!$AM633:$AP633)</f>
        <v>0</v>
      </c>
      <c r="AR633" s="8"/>
      <c r="AS633" s="8"/>
      <c r="AY633" s="8"/>
    </row>
    <row r="634" spans="1:51">
      <c r="A634" s="5" t="str">
        <v>BV</v>
      </c>
      <c r="B634" s="5" t="str">
        <f ca="1"/>
        <v>BV45652</v>
      </c>
      <c r="C634" s="8" t="str">
        <v>Pedido 621</v>
      </c>
      <c r="D634" s="9">
        <v>45652</v>
      </c>
      <c r="E634" s="9">
        <v>45652</v>
      </c>
      <c r="F634" s="8" t="str">
        <v>PedidoF606</v>
      </c>
      <c r="G634" s="2" t="str">
        <v>CódRastreio604</v>
      </c>
      <c r="H634" s="5">
        <v>1</v>
      </c>
      <c r="I634" s="182" t="str">
        <v>CPF 601</v>
      </c>
      <c r="J634" s="2" t="str">
        <v>Nome 601</v>
      </c>
      <c r="K634" s="8" t="str">
        <v>Tel 601</v>
      </c>
      <c r="L634" s="8" t="str">
        <v>Cep 601</v>
      </c>
      <c r="M634" s="8" t="str">
        <v>Rua 601</v>
      </c>
      <c r="N634" s="8" t="str">
        <v>Comp 601</v>
      </c>
      <c r="O634" s="8" t="str">
        <v>Ventilador Rosa</v>
      </c>
      <c r="P634" s="8" t="str">
        <v>IF-G2ZQ-79FO</v>
      </c>
      <c r="Q634" s="4">
        <v>45680</v>
      </c>
      <c r="R634" s="109">
        <v>49.4</v>
      </c>
      <c r="S634" s="11">
        <f ca="1"/>
        <v>49.4</v>
      </c>
      <c r="T634" s="28">
        <f ca="1"/>
        <v>6.4219999999999997</v>
      </c>
      <c r="U634" s="11">
        <f ca="1"/>
        <v>42.98</v>
      </c>
      <c r="V634" s="11">
        <v>16.64</v>
      </c>
      <c r="W634" s="11">
        <f ca="1"/>
        <v>0.17</v>
      </c>
      <c r="X634" s="11">
        <f ca="1"/>
        <v>0.39877104377104378</v>
      </c>
      <c r="Y634" s="11">
        <v>0</v>
      </c>
      <c r="Z634" s="11">
        <f ca="1"/>
        <v>25.771228956228949</v>
      </c>
      <c r="AA634" s="11">
        <f ca="1"/>
        <v>12.885614478114475</v>
      </c>
      <c r="AB634" s="4">
        <f ca="1"/>
        <v>45687</v>
      </c>
      <c r="AC634" s="4">
        <v>45687</v>
      </c>
      <c r="AD634" s="9">
        <v>45688</v>
      </c>
      <c r="AE634" s="9">
        <v>45694</v>
      </c>
      <c r="AF634" s="4" t="str">
        <f t="shared" ca="1" si="22"/>
        <v>2025 01</v>
      </c>
      <c r="AG634" s="8" t="str" cm="1">
        <f t="array" ref="AG634">IFERROR(_xlfn.IFS('Banco de Dados'!#REF!="AG. COMPRA","Em processamento",'Banco de Dados'!#REF!="AG. RASTREIO","Em processamento",'Banco de Dados'!$AE634&lt;&gt;"-","Faturado",'Banco de Dados'!$AD634&lt;&gt;"-","Aguardando Pix",'Banco de Dados'!$AC634&lt;&gt;"-","Pendente"),"Aguardando Liberação")</f>
        <v>Aguardando Liberação</v>
      </c>
      <c r="AH634" s="5" t="str">
        <f>IF('Banco de Dados'!$F634="-",_xlfn.CONCAT(PROPER(TEXT(AK634,"aaaa"))," ",PROPER(TEXT(AK634,"mm"))),_xlfn.CONCAT(PROPER(TEXT(E634,"aaaa"))," ",PROPER(TEXT(E634,"mm"))))</f>
        <v>2024 12</v>
      </c>
      <c r="AI634" s="9" t="str">
        <f ca="1">IF('Banco de Dados'!$AK634&lt;&gt;"-","REEMBOLSO",IFERROR(_xlfn.XLOOKUP(G634,Follow[CODRASTREIO],Follow[STATUS]),"-"))</f>
        <v>ENTREGUE</v>
      </c>
      <c r="AJ634" s="9">
        <f ca="1">IF('Banco de Dados'!$AI634="ENTREGUE",_xlfn.XLOOKUP('Banco de Dados'!$G634,Follow[CODRASTREIO],Follow[DATAATUALIZAÇÃO]),"-")</f>
        <v>45665</v>
      </c>
      <c r="AK634" s="9" t="str">
        <f ca="1"/>
        <v>-</v>
      </c>
      <c r="AL634" s="35"/>
      <c r="AM634" s="109" cm="1">
        <f t="array" aca="1" ref="AM634" ca="1">IF('Banco de Dados'!$AK634&lt;&gt;"-",_xlfn.IFS('Banco de Dados'!$A634="bv",IF('Banco de Dados'!$E634&lt;45641,ROUND(SUM('Banco de Dados'!$R634*_xlfn.XLOOKUP('Banco de Dados'!$P634,Sku!B:B,Sku!#REF!)*20%),2),ROUND(SUM('Banco de Dados'!$R634*_xlfn.XLOOKUP('Banco de Dados'!$P634,Sku!B:B,Sku!H:H)*20%),2)),'Banco de Dados'!$A634="GO",ROUND(_xlfn.XLOOKUP('Banco de Dados'!$P634,Sku!C:C,Sku!H:H),2),'Banco de Dados'!$A634="MEI",ROUND(_xlfn.XLOOKUP('Banco de Dados'!$P634,Sku!D:D,Sku!H:H),2)),0)</f>
        <v>0</v>
      </c>
      <c r="AN634" s="109">
        <f ca="1">IF('Banco de Dados'!$AK634&lt;&gt;"-",IF('Banco de Dados'!$F634&lt;&gt;"-",_xlfn.XLOOKUP(IFERROR(IFERROR(IFERROR(VALUE(SUBSTITUTE(MID(_xlfn.TEXTAFTER('Banco de Dados'!$F634,"Data do Pedido:
",1),1,10),"-","/")),VALUE(SUBSTITUTE(MID(_xlfn.TEXTAFTER('Banco de Dados'!$F634,"Order date:
",1),1,10),"-","/"))),VALUE(SUBSTITUTE(MID(_xlfn.TEXTAFTER('Banco de Dados'!$F634,"Fecha de pedido:
",1),1,10),"-","/"))),"-"),SMS!A:A,SMS!K:K),0),0)</f>
        <v>0</v>
      </c>
      <c r="AO634" s="109">
        <f ca="1">IF('Banco de Dados'!$AK634&lt;&gt;"-",IF('Banco de Dados'!$F634&lt;&gt;"-",IFERROR(_xlfn.XLOOKUP(_xlfn.CONCAT('Banco de Dados'!$A634,IFERROR(IFERROR(VALUE(SUBSTITUTE(MID(_xlfn.TEXTAFTER('Banco de Dados'!$F634,"Data do Pedido:
",1),1,10),"-","/")),VALUE(SUBSTITUTE(MID(_xlfn.TEXTAFTER('Banco de Dados'!$F634,"Order date:
",1),1,10),"-","/"))),0)),ProxyDD[Chave],ProxyDD[Valor por pedido]),PROXY!$P$2),0),0)</f>
        <v>0</v>
      </c>
      <c r="AP634" s="28">
        <f ca="1">IF('Banco de Dados'!$AK634&lt;&gt;"-",IF('Banco de Dados'!$AL634="NÃO",IFERROR(VALUE(SUBSTITUTE(_xlfn.TEXTAFTER('Banco de Dados'!$F634,"BRL ",1),".",",")),0),0),0)</f>
        <v>0</v>
      </c>
      <c r="AQ634" s="28">
        <f ca="1">SUM('Banco de Dados'!$AM634:$AP634)</f>
        <v>0</v>
      </c>
      <c r="AR634" s="8"/>
      <c r="AS634" s="8"/>
      <c r="AY634" s="8"/>
    </row>
    <row r="635" spans="1:51">
      <c r="A635" s="5" t="str">
        <v>BV</v>
      </c>
      <c r="B635" s="5" t="str">
        <f ca="1"/>
        <v>BV45652</v>
      </c>
      <c r="C635" s="8" t="str">
        <v>Pedido 622</v>
      </c>
      <c r="D635" s="9">
        <v>45652</v>
      </c>
      <c r="E635" s="9">
        <v>45652</v>
      </c>
      <c r="F635" s="8" t="str">
        <v>PedidoF607</v>
      </c>
      <c r="G635" s="2" t="str">
        <v>CódRastreio605</v>
      </c>
      <c r="H635" s="5">
        <v>1</v>
      </c>
      <c r="I635" s="182" t="str">
        <v>CPF 602</v>
      </c>
      <c r="J635" s="2" t="str">
        <v>Nome 602</v>
      </c>
      <c r="K635" s="8" t="str">
        <v>Tel 602</v>
      </c>
      <c r="L635" s="8" t="str">
        <v>Cep 602</v>
      </c>
      <c r="M635" s="8" t="str">
        <v>Rua 602</v>
      </c>
      <c r="N635" s="8" t="str">
        <v>Comp 602</v>
      </c>
      <c r="O635" s="8" t="str">
        <v>Ventilador Preto</v>
      </c>
      <c r="P635" s="8" t="str">
        <v>MU-J80P-95WF</v>
      </c>
      <c r="Q635" s="4">
        <v>45674</v>
      </c>
      <c r="R635" s="109">
        <v>65.599999999999994</v>
      </c>
      <c r="S635" s="11">
        <f ca="1"/>
        <v>65.599999999999994</v>
      </c>
      <c r="T635" s="28">
        <f ca="1"/>
        <v>8.5279999999999987</v>
      </c>
      <c r="U635" s="11">
        <f ca="1"/>
        <v>57.07</v>
      </c>
      <c r="V635" s="11">
        <v>17.23</v>
      </c>
      <c r="W635" s="11">
        <f ca="1"/>
        <v>0.17</v>
      </c>
      <c r="X635" s="11">
        <f ca="1"/>
        <v>0.39877104377104378</v>
      </c>
      <c r="Y635" s="11">
        <v>0</v>
      </c>
      <c r="Z635" s="11">
        <f ca="1"/>
        <v>39.271228956228953</v>
      </c>
      <c r="AA635" s="11">
        <f ca="1"/>
        <v>19.635614478114476</v>
      </c>
      <c r="AB635" s="4">
        <f ca="1"/>
        <v>45681</v>
      </c>
      <c r="AC635" s="4">
        <v>45681</v>
      </c>
      <c r="AD635" s="9">
        <v>45688</v>
      </c>
      <c r="AE635" s="9">
        <v>45694</v>
      </c>
      <c r="AF635" s="4" t="str">
        <f t="shared" ca="1" si="22"/>
        <v>2025 01</v>
      </c>
      <c r="AG635" s="8" t="str" cm="1">
        <f t="array" ref="AG635">IFERROR(_xlfn.IFS('Banco de Dados'!#REF!="AG. COMPRA","Em processamento",'Banco de Dados'!#REF!="AG. RASTREIO","Em processamento",'Banco de Dados'!$AE635&lt;&gt;"-","Faturado",'Banco de Dados'!$AD635&lt;&gt;"-","Aguardando Pix",'Banco de Dados'!$AC635&lt;&gt;"-","Pendente"),"Aguardando Liberação")</f>
        <v>Aguardando Liberação</v>
      </c>
      <c r="AH635" s="5" t="str">
        <f>IF('Banco de Dados'!$F635="-",_xlfn.CONCAT(PROPER(TEXT(AK635,"aaaa"))," ",PROPER(TEXT(AK635,"mm"))),_xlfn.CONCAT(PROPER(TEXT(E635,"aaaa"))," ",PROPER(TEXT(E635,"mm"))))</f>
        <v>2024 12</v>
      </c>
      <c r="AI635" s="9" t="str">
        <f ca="1">IF('Banco de Dados'!$AK635&lt;&gt;"-","REEMBOLSO",IFERROR(_xlfn.XLOOKUP(G635,Follow[CODRASTREIO],Follow[STATUS]),"-"))</f>
        <v>ENTREGUE</v>
      </c>
      <c r="AJ635" s="9">
        <f ca="1">IF('Banco de Dados'!$AI635="ENTREGUE",_xlfn.XLOOKUP('Banco de Dados'!$G635,Follow[CODRASTREIO],Follow[DATAATUALIZAÇÃO]),"-")</f>
        <v>45665</v>
      </c>
      <c r="AK635" s="9" t="str">
        <f ca="1"/>
        <v>-</v>
      </c>
      <c r="AL635" s="35"/>
      <c r="AM635" s="109" cm="1">
        <f t="array" aca="1" ref="AM635" ca="1">IF('Banco de Dados'!$AK635&lt;&gt;"-",_xlfn.IFS('Banco de Dados'!$A635="bv",IF('Banco de Dados'!$E635&lt;45641,ROUND(SUM('Banco de Dados'!$R635*_xlfn.XLOOKUP('Banco de Dados'!$P635,Sku!B:B,Sku!#REF!)*20%),2),ROUND(SUM('Banco de Dados'!$R635*_xlfn.XLOOKUP('Banco de Dados'!$P635,Sku!B:B,Sku!H:H)*20%),2)),'Banco de Dados'!$A635="GO",ROUND(_xlfn.XLOOKUP('Banco de Dados'!$P635,Sku!C:C,Sku!H:H),2),'Banco de Dados'!$A635="MEI",ROUND(_xlfn.XLOOKUP('Banco de Dados'!$P635,Sku!D:D,Sku!H:H),2)),0)</f>
        <v>0</v>
      </c>
      <c r="AN635" s="109">
        <f ca="1">IF('Banco de Dados'!$AK635&lt;&gt;"-",IF('Banco de Dados'!$F635&lt;&gt;"-",_xlfn.XLOOKUP(IFERROR(IFERROR(IFERROR(VALUE(SUBSTITUTE(MID(_xlfn.TEXTAFTER('Banco de Dados'!$F635,"Data do Pedido:
",1),1,10),"-","/")),VALUE(SUBSTITUTE(MID(_xlfn.TEXTAFTER('Banco de Dados'!$F635,"Order date:
",1),1,10),"-","/"))),VALUE(SUBSTITUTE(MID(_xlfn.TEXTAFTER('Banco de Dados'!$F635,"Fecha de pedido:
",1),1,10),"-","/"))),"-"),SMS!A:A,SMS!K:K),0),0)</f>
        <v>0</v>
      </c>
      <c r="AO635" s="109">
        <f ca="1">IF('Banco de Dados'!$AK635&lt;&gt;"-",IF('Banco de Dados'!$F635&lt;&gt;"-",IFERROR(_xlfn.XLOOKUP(_xlfn.CONCAT('Banco de Dados'!$A635,IFERROR(IFERROR(VALUE(SUBSTITUTE(MID(_xlfn.TEXTAFTER('Banco de Dados'!$F635,"Data do Pedido:
",1),1,10),"-","/")),VALUE(SUBSTITUTE(MID(_xlfn.TEXTAFTER('Banco de Dados'!$F635,"Order date:
",1),1,10),"-","/"))),0)),ProxyDD[Chave],ProxyDD[Valor por pedido]),PROXY!$P$2),0),0)</f>
        <v>0</v>
      </c>
      <c r="AP635" s="28">
        <f ca="1">IF('Banco de Dados'!$AK635&lt;&gt;"-",IF('Banco de Dados'!$AL635="NÃO",IFERROR(VALUE(SUBSTITUTE(_xlfn.TEXTAFTER('Banco de Dados'!$F635,"BRL ",1),".",",")),0),0),0)</f>
        <v>0</v>
      </c>
      <c r="AQ635" s="28">
        <f ca="1">SUM('Banco de Dados'!$AM635:$AP635)</f>
        <v>0</v>
      </c>
      <c r="AR635" s="8"/>
      <c r="AS635" s="8"/>
      <c r="AY635" s="8"/>
    </row>
    <row r="636" spans="1:51">
      <c r="A636" s="5" t="str">
        <v>BV</v>
      </c>
      <c r="B636" s="5" t="str">
        <f ca="1"/>
        <v>BV45652</v>
      </c>
      <c r="C636" s="8" t="str">
        <v>Pedido 623</v>
      </c>
      <c r="D636" s="9">
        <v>45652</v>
      </c>
      <c r="E636" s="9">
        <v>45652</v>
      </c>
      <c r="F636" s="8" t="str">
        <v>PedidoF608</v>
      </c>
      <c r="G636" s="2" t="str">
        <v>CódRastreio606</v>
      </c>
      <c r="H636" s="5">
        <v>1</v>
      </c>
      <c r="I636" s="182" t="str">
        <v>CPF 603</v>
      </c>
      <c r="J636" s="2" t="str">
        <v>Nome 603</v>
      </c>
      <c r="K636" s="8" t="str">
        <v>Tel 603</v>
      </c>
      <c r="L636" s="8" t="str">
        <v>Cep 603</v>
      </c>
      <c r="M636" s="8" t="str">
        <v>Rua 603</v>
      </c>
      <c r="N636" s="8" t="str">
        <v>Comp 603</v>
      </c>
      <c r="O636" s="8" t="str">
        <v>Ventilador Rosa</v>
      </c>
      <c r="P636" s="8" t="str">
        <v>IF-G2ZQ-79FO</v>
      </c>
      <c r="Q636" s="4">
        <v>45680</v>
      </c>
      <c r="R636" s="109">
        <v>49.4</v>
      </c>
      <c r="S636" s="11">
        <f ca="1"/>
        <v>49.4</v>
      </c>
      <c r="T636" s="28">
        <f ca="1"/>
        <v>6.4219999999999997</v>
      </c>
      <c r="U636" s="11">
        <f ca="1"/>
        <v>42.98</v>
      </c>
      <c r="V636" s="11">
        <v>16.64</v>
      </c>
      <c r="W636" s="11">
        <f ca="1"/>
        <v>0.17</v>
      </c>
      <c r="X636" s="11">
        <f ca="1"/>
        <v>0.39877104377104378</v>
      </c>
      <c r="Y636" s="11">
        <v>0</v>
      </c>
      <c r="Z636" s="11">
        <f ca="1"/>
        <v>25.771228956228949</v>
      </c>
      <c r="AA636" s="11">
        <f ca="1"/>
        <v>12.885614478114475</v>
      </c>
      <c r="AB636" s="4">
        <f ca="1"/>
        <v>45687</v>
      </c>
      <c r="AC636" s="4">
        <v>45687</v>
      </c>
      <c r="AD636" s="9">
        <v>45688</v>
      </c>
      <c r="AE636" s="9">
        <v>45694</v>
      </c>
      <c r="AF636" s="4" t="str">
        <f t="shared" ca="1" si="22"/>
        <v>2025 01</v>
      </c>
      <c r="AG636" s="8" t="str" cm="1">
        <f t="array" ref="AG636">IFERROR(_xlfn.IFS('Banco de Dados'!#REF!="AG. COMPRA","Em processamento",'Banco de Dados'!#REF!="AG. RASTREIO","Em processamento",'Banco de Dados'!$AE636&lt;&gt;"-","Faturado",'Banco de Dados'!$AD636&lt;&gt;"-","Aguardando Pix",'Banco de Dados'!$AC636&lt;&gt;"-","Pendente"),"Aguardando Liberação")</f>
        <v>Aguardando Liberação</v>
      </c>
      <c r="AH636" s="5" t="str">
        <f>IF('Banco de Dados'!$F636="-",_xlfn.CONCAT(PROPER(TEXT(AK636,"aaaa"))," ",PROPER(TEXT(AK636,"mm"))),_xlfn.CONCAT(PROPER(TEXT(E636,"aaaa"))," ",PROPER(TEXT(E636,"mm"))))</f>
        <v>2024 12</v>
      </c>
      <c r="AI636" s="9" t="str">
        <f ca="1">IF('Banco de Dados'!$AK636&lt;&gt;"-","REEMBOLSO",IFERROR(_xlfn.XLOOKUP(G636,Follow[CODRASTREIO],Follow[STATUS]),"-"))</f>
        <v>ENTREGUE</v>
      </c>
      <c r="AJ636" s="9">
        <f ca="1">IF('Banco de Dados'!$AI636="ENTREGUE",_xlfn.XLOOKUP('Banco de Dados'!$G636,Follow[CODRASTREIO],Follow[DATAATUALIZAÇÃO]),"-")</f>
        <v>45670</v>
      </c>
      <c r="AK636" s="9" t="str">
        <f ca="1"/>
        <v>-</v>
      </c>
      <c r="AL636" s="35"/>
      <c r="AM636" s="109" cm="1">
        <f t="array" aca="1" ref="AM636" ca="1">IF('Banco de Dados'!$AK636&lt;&gt;"-",_xlfn.IFS('Banco de Dados'!$A636="bv",IF('Banco de Dados'!$E636&lt;45641,ROUND(SUM('Banco de Dados'!$R636*_xlfn.XLOOKUP('Banco de Dados'!$P636,Sku!B:B,Sku!#REF!)*20%),2),ROUND(SUM('Banco de Dados'!$R636*_xlfn.XLOOKUP('Banco de Dados'!$P636,Sku!B:B,Sku!H:H)*20%),2)),'Banco de Dados'!$A636="GO",ROUND(_xlfn.XLOOKUP('Banco de Dados'!$P636,Sku!C:C,Sku!H:H),2),'Banco de Dados'!$A636="MEI",ROUND(_xlfn.XLOOKUP('Banco de Dados'!$P636,Sku!D:D,Sku!H:H),2)),0)</f>
        <v>0</v>
      </c>
      <c r="AN636" s="109">
        <f ca="1">IF('Banco de Dados'!$AK636&lt;&gt;"-",IF('Banco de Dados'!$F636&lt;&gt;"-",_xlfn.XLOOKUP(IFERROR(IFERROR(IFERROR(VALUE(SUBSTITUTE(MID(_xlfn.TEXTAFTER('Banco de Dados'!$F636,"Data do Pedido:
",1),1,10),"-","/")),VALUE(SUBSTITUTE(MID(_xlfn.TEXTAFTER('Banco de Dados'!$F636,"Order date:
",1),1,10),"-","/"))),VALUE(SUBSTITUTE(MID(_xlfn.TEXTAFTER('Banco de Dados'!$F636,"Fecha de pedido:
",1),1,10),"-","/"))),"-"),SMS!A:A,SMS!K:K),0),0)</f>
        <v>0</v>
      </c>
      <c r="AO636" s="109">
        <f ca="1">IF('Banco de Dados'!$AK636&lt;&gt;"-",IF('Banco de Dados'!$F636&lt;&gt;"-",IFERROR(_xlfn.XLOOKUP(_xlfn.CONCAT('Banco de Dados'!$A636,IFERROR(IFERROR(VALUE(SUBSTITUTE(MID(_xlfn.TEXTAFTER('Banco de Dados'!$F636,"Data do Pedido:
",1),1,10),"-","/")),VALUE(SUBSTITUTE(MID(_xlfn.TEXTAFTER('Banco de Dados'!$F636,"Order date:
",1),1,10),"-","/"))),0)),ProxyDD[Chave],ProxyDD[Valor por pedido]),PROXY!$P$2),0),0)</f>
        <v>0</v>
      </c>
      <c r="AP636" s="28">
        <f ca="1">IF('Banco de Dados'!$AK636&lt;&gt;"-",IF('Banco de Dados'!$AL636="NÃO",IFERROR(VALUE(SUBSTITUTE(_xlfn.TEXTAFTER('Banco de Dados'!$F636,"BRL ",1),".",",")),0),0),0)</f>
        <v>0</v>
      </c>
      <c r="AQ636" s="28">
        <f ca="1">SUM('Banco de Dados'!$AM636:$AP636)</f>
        <v>0</v>
      </c>
      <c r="AR636" s="8"/>
      <c r="AS636" s="8"/>
      <c r="AY636" s="8"/>
    </row>
    <row r="637" spans="1:51">
      <c r="A637" s="5" t="str">
        <v>BV</v>
      </c>
      <c r="B637" s="5" t="str">
        <f ca="1"/>
        <v>BV45652</v>
      </c>
      <c r="C637" s="8" t="str">
        <v>Pedido 624</v>
      </c>
      <c r="D637" s="9">
        <v>45652</v>
      </c>
      <c r="E637" s="9">
        <v>45652</v>
      </c>
      <c r="F637" s="8" t="str">
        <v>PedidoF609</v>
      </c>
      <c r="G637" s="2" t="str">
        <v>CódRastreio607</v>
      </c>
      <c r="H637" s="5">
        <v>1</v>
      </c>
      <c r="I637" s="182" t="str">
        <v>CPF 604</v>
      </c>
      <c r="J637" s="2" t="str">
        <v>Nome 604</v>
      </c>
      <c r="K637" s="8" t="str">
        <v>Tel 604</v>
      </c>
      <c r="L637" s="8" t="str">
        <v>Cep 604</v>
      </c>
      <c r="M637" s="8" t="str">
        <v>Rua 604</v>
      </c>
      <c r="N637" s="8" t="str">
        <v>Comp 604</v>
      </c>
      <c r="O637" s="8" t="str">
        <v>Ventilador Preto</v>
      </c>
      <c r="P637" s="8" t="str">
        <v>MU-J80P-95WF</v>
      </c>
      <c r="Q637" s="4">
        <v>45687</v>
      </c>
      <c r="R637" s="109">
        <v>65.599999999999994</v>
      </c>
      <c r="S637" s="11">
        <f ca="1"/>
        <v>65.599999999999994</v>
      </c>
      <c r="T637" s="28">
        <f ca="1"/>
        <v>8.5279999999999987</v>
      </c>
      <c r="U637" s="11">
        <f ca="1"/>
        <v>57.07</v>
      </c>
      <c r="V637" s="11">
        <v>17.23</v>
      </c>
      <c r="W637" s="11">
        <f ca="1"/>
        <v>0.17</v>
      </c>
      <c r="X637" s="11">
        <f ca="1"/>
        <v>0.39877104377104378</v>
      </c>
      <c r="Y637" s="11">
        <v>0</v>
      </c>
      <c r="Z637" s="11">
        <f ca="1"/>
        <v>39.271228956228953</v>
      </c>
      <c r="AA637" s="11">
        <f ca="1"/>
        <v>19.635614478114476</v>
      </c>
      <c r="AB637" s="4">
        <f ca="1"/>
        <v>45694</v>
      </c>
      <c r="AC637" s="4">
        <v>45694</v>
      </c>
      <c r="AD637" s="9">
        <v>45694</v>
      </c>
      <c r="AE637" s="9">
        <v>45705</v>
      </c>
      <c r="AF637" s="4" t="str">
        <f t="shared" ca="1" si="22"/>
        <v>2025 02</v>
      </c>
      <c r="AG637" s="8" t="str" cm="1">
        <f t="array" ref="AG637">IFERROR(_xlfn.IFS('Banco de Dados'!#REF!="AG. COMPRA","Em processamento",'Banco de Dados'!#REF!="AG. RASTREIO","Em processamento",'Banco de Dados'!$AE637&lt;&gt;"-","Faturado",'Banco de Dados'!$AD637&lt;&gt;"-","Aguardando Pix",'Banco de Dados'!$AC637&lt;&gt;"-","Pendente"),"Aguardando Liberação")</f>
        <v>Aguardando Liberação</v>
      </c>
      <c r="AH637" s="5" t="str">
        <f>IF('Banco de Dados'!$F637="-",_xlfn.CONCAT(PROPER(TEXT(AK637,"aaaa"))," ",PROPER(TEXT(AK637,"mm"))),_xlfn.CONCAT(PROPER(TEXT(E637,"aaaa"))," ",PROPER(TEXT(E637,"mm"))))</f>
        <v>2024 12</v>
      </c>
      <c r="AI637" s="9" t="str">
        <f ca="1">IF('Banco de Dados'!$AK637&lt;&gt;"-","REEMBOLSO",IFERROR(_xlfn.XLOOKUP(G637,Follow[CODRASTREIO],Follow[STATUS]),"-"))</f>
        <v>ENTREGUE</v>
      </c>
      <c r="AJ637" s="9">
        <f ca="1">IF('Banco de Dados'!$AI637="ENTREGUE",_xlfn.XLOOKUP('Banco de Dados'!$G637,Follow[CODRASTREIO],Follow[DATAATUALIZAÇÃO]),"-")</f>
        <v>45667</v>
      </c>
      <c r="AK637" s="9" t="str">
        <f ca="1"/>
        <v>-</v>
      </c>
      <c r="AL637" s="35"/>
      <c r="AM637" s="109" cm="1">
        <f t="array" aca="1" ref="AM637" ca="1">IF('Banco de Dados'!$AK637&lt;&gt;"-",_xlfn.IFS('Banco de Dados'!$A637="bv",IF('Banco de Dados'!$E637&lt;45641,ROUND(SUM('Banco de Dados'!$R637*_xlfn.XLOOKUP('Banco de Dados'!$P637,Sku!B:B,Sku!#REF!)*20%),2),ROUND(SUM('Banco de Dados'!$R637*_xlfn.XLOOKUP('Banco de Dados'!$P637,Sku!B:B,Sku!H:H)*20%),2)),'Banco de Dados'!$A637="GO",ROUND(_xlfn.XLOOKUP('Banco de Dados'!$P637,Sku!C:C,Sku!H:H),2),'Banco de Dados'!$A637="MEI",ROUND(_xlfn.XLOOKUP('Banco de Dados'!$P637,Sku!D:D,Sku!H:H),2)),0)</f>
        <v>0</v>
      </c>
      <c r="AN637" s="109">
        <f ca="1">IF('Banco de Dados'!$AK637&lt;&gt;"-",IF('Banco de Dados'!$F637&lt;&gt;"-",_xlfn.XLOOKUP(IFERROR(IFERROR(IFERROR(VALUE(SUBSTITUTE(MID(_xlfn.TEXTAFTER('Banco de Dados'!$F637,"Data do Pedido:
",1),1,10),"-","/")),VALUE(SUBSTITUTE(MID(_xlfn.TEXTAFTER('Banco de Dados'!$F637,"Order date:
",1),1,10),"-","/"))),VALUE(SUBSTITUTE(MID(_xlfn.TEXTAFTER('Banco de Dados'!$F637,"Fecha de pedido:
",1),1,10),"-","/"))),"-"),SMS!A:A,SMS!K:K),0),0)</f>
        <v>0</v>
      </c>
      <c r="AO637" s="109">
        <f ca="1">IF('Banco de Dados'!$AK637&lt;&gt;"-",IF('Banco de Dados'!$F637&lt;&gt;"-",IFERROR(_xlfn.XLOOKUP(_xlfn.CONCAT('Banco de Dados'!$A637,IFERROR(IFERROR(VALUE(SUBSTITUTE(MID(_xlfn.TEXTAFTER('Banco de Dados'!$F637,"Data do Pedido:
",1),1,10),"-","/")),VALUE(SUBSTITUTE(MID(_xlfn.TEXTAFTER('Banco de Dados'!$F637,"Order date:
",1),1,10),"-","/"))),0)),ProxyDD[Chave],ProxyDD[Valor por pedido]),PROXY!$P$2),0),0)</f>
        <v>0</v>
      </c>
      <c r="AP637" s="28">
        <f ca="1">IF('Banco de Dados'!$AK637&lt;&gt;"-",IF('Banco de Dados'!$AL637="NÃO",IFERROR(VALUE(SUBSTITUTE(_xlfn.TEXTAFTER('Banco de Dados'!$F637,"BRL ",1),".",",")),0),0),0)</f>
        <v>0</v>
      </c>
      <c r="AQ637" s="28">
        <f ca="1">SUM('Banco de Dados'!$AM637:$AP637)</f>
        <v>0</v>
      </c>
      <c r="AR637" s="8"/>
      <c r="AS637" s="8"/>
      <c r="AY637" s="8"/>
    </row>
    <row r="638" spans="1:51">
      <c r="A638" s="5" t="str">
        <v>BV</v>
      </c>
      <c r="B638" s="5" t="str">
        <f ca="1"/>
        <v>BV-</v>
      </c>
      <c r="C638" s="8" t="str">
        <v>Pedido 625</v>
      </c>
      <c r="D638" s="9">
        <v>45627</v>
      </c>
      <c r="E638" s="9" t="str">
        <v>-</v>
      </c>
      <c r="F638" s="8" t="str">
        <v>-</v>
      </c>
      <c r="G638" s="2" t="str">
        <v>-</v>
      </c>
      <c r="H638" s="5">
        <v>1</v>
      </c>
      <c r="I638" s="182" t="str">
        <v>CPF 605</v>
      </c>
      <c r="J638" s="2" t="str">
        <v>Nome 605</v>
      </c>
      <c r="K638" s="8" t="str">
        <v>Tel 605</v>
      </c>
      <c r="L638" s="8" t="str">
        <v>Cep 605</v>
      </c>
      <c r="M638" s="8" t="str">
        <v>Rua 605</v>
      </c>
      <c r="N638" s="8" t="str">
        <v>Comp 605</v>
      </c>
      <c r="O638" s="8" t="str">
        <v>Copo Termico</v>
      </c>
      <c r="P638" s="8" t="str">
        <v>KN-TBQL-K2MM</v>
      </c>
      <c r="Q638" s="4">
        <v>45674</v>
      </c>
      <c r="R638" s="109">
        <v>24.8</v>
      </c>
      <c r="S638" s="11">
        <f ca="1"/>
        <v>0</v>
      </c>
      <c r="T638" s="28">
        <f ca="1"/>
        <v>0</v>
      </c>
      <c r="U638" s="11">
        <f ca="1"/>
        <v>0</v>
      </c>
      <c r="V638" s="11">
        <v>0</v>
      </c>
      <c r="W638" s="11">
        <f ca="1"/>
        <v>0</v>
      </c>
      <c r="X638" s="11">
        <f ca="1"/>
        <v>0</v>
      </c>
      <c r="Y638" s="11">
        <v>0</v>
      </c>
      <c r="Z638" s="11">
        <f ca="1"/>
        <v>0</v>
      </c>
      <c r="AA638" s="11">
        <f ca="1"/>
        <v>0</v>
      </c>
      <c r="AB638" s="4">
        <f ca="1"/>
        <v>45681</v>
      </c>
      <c r="AC638" s="4">
        <v>45681</v>
      </c>
      <c r="AD638" s="9">
        <v>45688</v>
      </c>
      <c r="AE638" s="9">
        <v>45694</v>
      </c>
      <c r="AF638" s="4" t="str">
        <f t="shared" ca="1" si="22"/>
        <v>2025 01</v>
      </c>
      <c r="AG638" s="8" t="str" cm="1">
        <f t="array" ref="AG638">IFERROR(_xlfn.IFS('Banco de Dados'!#REF!="AG. COMPRA","Em processamento",'Banco de Dados'!#REF!="AG. RASTREIO","Em processamento",'Banco de Dados'!$AE638&lt;&gt;"-","Faturado",'Banco de Dados'!$AD638&lt;&gt;"-","Aguardando Pix",'Banco de Dados'!$AC638&lt;&gt;"-","Pendente"),"Aguardando Liberação")</f>
        <v>Aguardando Liberação</v>
      </c>
      <c r="AH638" s="5" t="str">
        <f ca="1">IF('Banco de Dados'!$F638="-",_xlfn.CONCAT(PROPER(TEXT(AK638,"aaaa"))," ",PROPER(TEXT(AK638,"mm"))),_xlfn.CONCAT(PROPER(TEXT(E638,"aaaa"))," ",PROPER(TEXT(E638,"mm"))))</f>
        <v>2024 12</v>
      </c>
      <c r="AI638" s="9" t="str">
        <f ca="1">IF('Banco de Dados'!$AK638&lt;&gt;"-","REEMBOLSO",IFERROR(_xlfn.XLOOKUP(G638,Follow[CODRASTREIO],Follow[STATUS]),"-"))</f>
        <v>REEMBOLSO</v>
      </c>
      <c r="AJ638" s="9" t="str">
        <f ca="1">IF('Banco de Dados'!$AI638="ENTREGUE",_xlfn.XLOOKUP('Banco de Dados'!$G638,Follow[CODRASTREIO],Follow[DATAATUALIZAÇÃO]),"-")</f>
        <v>-</v>
      </c>
      <c r="AK638" s="9">
        <f ca="1"/>
        <v>45653</v>
      </c>
      <c r="AL638" s="35"/>
      <c r="AM638" s="109">
        <v>0.64</v>
      </c>
      <c r="AN638" s="109">
        <f ca="1">IF('Banco de Dados'!$AK638&lt;&gt;"-",IF('Banco de Dados'!$F638&lt;&gt;"-",_xlfn.XLOOKUP(IFERROR(IFERROR(IFERROR(VALUE(SUBSTITUTE(MID(_xlfn.TEXTAFTER('Banco de Dados'!$F638,"Data do Pedido:
",1),1,10),"-","/")),VALUE(SUBSTITUTE(MID(_xlfn.TEXTAFTER('Banco de Dados'!$F638,"Order date:
",1),1,10),"-","/"))),VALUE(SUBSTITUTE(MID(_xlfn.TEXTAFTER('Banco de Dados'!$F638,"Fecha de pedido:
",1),1,10),"-","/"))),"-"),SMS!A:A,SMS!K:K),0),0)</f>
        <v>0</v>
      </c>
      <c r="AO638" s="109">
        <f ca="1">IF('Banco de Dados'!$AK638&lt;&gt;"-",IF('Banco de Dados'!$F638&lt;&gt;"-",IFERROR(_xlfn.XLOOKUP(_xlfn.CONCAT('Banco de Dados'!$A638,IFERROR(IFERROR(VALUE(SUBSTITUTE(MID(_xlfn.TEXTAFTER('Banco de Dados'!$F638,"Data do Pedido:
",1),1,10),"-","/")),VALUE(SUBSTITUTE(MID(_xlfn.TEXTAFTER('Banco de Dados'!$F638,"Order date:
",1),1,10),"-","/"))),0)),ProxyDD[Chave],ProxyDD[Valor por pedido]),PROXY!$P$2),0),0)</f>
        <v>0</v>
      </c>
      <c r="AP638" s="28">
        <f ca="1">IF('Banco de Dados'!$AK638&lt;&gt;"-",IF('Banco de Dados'!$AL638="NÃO",IFERROR(VALUE(SUBSTITUTE(_xlfn.TEXTAFTER('Banco de Dados'!$F638,"BRL ",1),".",",")),0),0),0)</f>
        <v>0</v>
      </c>
      <c r="AQ638" s="28">
        <f ca="1">SUM('Banco de Dados'!$AM638:$AP638)</f>
        <v>0.64</v>
      </c>
      <c r="AR638" s="8"/>
      <c r="AS638" s="8"/>
      <c r="AY638" s="8"/>
    </row>
    <row r="639" spans="1:51">
      <c r="A639" s="5" t="str">
        <v>BV</v>
      </c>
      <c r="B639" s="5" t="str">
        <f ca="1"/>
        <v>BV45652</v>
      </c>
      <c r="C639" s="8" t="str">
        <v>Pedido 626</v>
      </c>
      <c r="D639" s="9">
        <v>45652</v>
      </c>
      <c r="E639" s="9">
        <v>45652</v>
      </c>
      <c r="F639" s="8" t="str">
        <v>PedidoF610</v>
      </c>
      <c r="G639" s="2" t="str">
        <v>CódRastreio608</v>
      </c>
      <c r="H639" s="5">
        <v>1</v>
      </c>
      <c r="I639" s="182" t="str">
        <v>CPF 606</v>
      </c>
      <c r="J639" s="2" t="str">
        <v>Nome 606</v>
      </c>
      <c r="K639" s="8" t="str">
        <v>Tel 606</v>
      </c>
      <c r="L639" s="8" t="str">
        <v>Cep 606</v>
      </c>
      <c r="M639" s="8" t="str">
        <v>Rua 606</v>
      </c>
      <c r="N639" s="8" t="str">
        <v>Comp 606</v>
      </c>
      <c r="O639" s="8" t="str">
        <v>Ventilador Rosa</v>
      </c>
      <c r="P639" s="8" t="str">
        <v>IF-G2ZQ-79FO</v>
      </c>
      <c r="Q639" s="4">
        <v>45674</v>
      </c>
      <c r="R639" s="109">
        <v>49.4</v>
      </c>
      <c r="S639" s="11">
        <f ca="1"/>
        <v>49.4</v>
      </c>
      <c r="T639" s="28">
        <f ca="1"/>
        <v>6.4219999999999997</v>
      </c>
      <c r="U639" s="11">
        <f ca="1"/>
        <v>42.98</v>
      </c>
      <c r="V639" s="11">
        <v>16.64</v>
      </c>
      <c r="W639" s="11">
        <f ca="1"/>
        <v>0.17</v>
      </c>
      <c r="X639" s="11">
        <f ca="1"/>
        <v>0.39877104377104378</v>
      </c>
      <c r="Y639" s="11">
        <v>0</v>
      </c>
      <c r="Z639" s="11">
        <f ca="1"/>
        <v>25.771228956228949</v>
      </c>
      <c r="AA639" s="11">
        <f ca="1"/>
        <v>12.885614478114475</v>
      </c>
      <c r="AB639" s="4">
        <f ca="1"/>
        <v>45681</v>
      </c>
      <c r="AC639" s="4">
        <v>45681</v>
      </c>
      <c r="AD639" s="9">
        <v>45688</v>
      </c>
      <c r="AE639" s="9">
        <v>45694</v>
      </c>
      <c r="AF639" s="4" t="str">
        <f t="shared" ca="1" si="22"/>
        <v>2025 01</v>
      </c>
      <c r="AG639" s="8" t="str" cm="1">
        <f t="array" ref="AG639">IFERROR(_xlfn.IFS('Banco de Dados'!#REF!="AG. COMPRA","Em processamento",'Banco de Dados'!#REF!="AG. RASTREIO","Em processamento",'Banco de Dados'!$AE639&lt;&gt;"-","Faturado",'Banco de Dados'!$AD639&lt;&gt;"-","Aguardando Pix",'Banco de Dados'!$AC639&lt;&gt;"-","Pendente"),"Aguardando Liberação")</f>
        <v>Aguardando Liberação</v>
      </c>
      <c r="AH639" s="5" t="str">
        <f>IF('Banco de Dados'!$F639="-",_xlfn.CONCAT(PROPER(TEXT(AK639,"aaaa"))," ",PROPER(TEXT(AK639,"mm"))),_xlfn.CONCAT(PROPER(TEXT(E639,"aaaa"))," ",PROPER(TEXT(E639,"mm"))))</f>
        <v>2024 12</v>
      </c>
      <c r="AI639" s="9" t="str">
        <f ca="1">IF('Banco de Dados'!$AK639&lt;&gt;"-","REEMBOLSO",IFERROR(_xlfn.XLOOKUP(G639,Follow[CODRASTREIO],Follow[STATUS]),"-"))</f>
        <v>ENTREGUE</v>
      </c>
      <c r="AJ639" s="9">
        <f ca="1">IF('Banco de Dados'!$AI639="ENTREGUE",_xlfn.XLOOKUP('Banco de Dados'!$G639,Follow[CODRASTREIO],Follow[DATAATUALIZAÇÃO]),"-")</f>
        <v>45667</v>
      </c>
      <c r="AK639" s="9" t="str">
        <f ca="1"/>
        <v>-</v>
      </c>
      <c r="AL639" s="35"/>
      <c r="AM639" s="109" cm="1">
        <f t="array" aca="1" ref="AM639" ca="1">IF('Banco de Dados'!$AK639&lt;&gt;"-",_xlfn.IFS('Banco de Dados'!$A639="bv",IF('Banco de Dados'!$E639&lt;45641,ROUND(SUM('Banco de Dados'!$R639*_xlfn.XLOOKUP('Banco de Dados'!$P639,Sku!B:B,Sku!#REF!)*20%),2),ROUND(SUM('Banco de Dados'!$R639*_xlfn.XLOOKUP('Banco de Dados'!$P639,Sku!B:B,Sku!H:H)*20%),2)),'Banco de Dados'!$A639="GO",ROUND(_xlfn.XLOOKUP('Banco de Dados'!$P639,Sku!C:C,Sku!H:H),2),'Banco de Dados'!$A639="MEI",ROUND(_xlfn.XLOOKUP('Banco de Dados'!$P639,Sku!D:D,Sku!H:H),2)),0)</f>
        <v>0</v>
      </c>
      <c r="AN639" s="109">
        <f ca="1">IF('Banco de Dados'!$AK639&lt;&gt;"-",IF('Banco de Dados'!$F639&lt;&gt;"-",_xlfn.XLOOKUP(IFERROR(IFERROR(IFERROR(VALUE(SUBSTITUTE(MID(_xlfn.TEXTAFTER('Banco de Dados'!$F639,"Data do Pedido:
",1),1,10),"-","/")),VALUE(SUBSTITUTE(MID(_xlfn.TEXTAFTER('Banco de Dados'!$F639,"Order date:
",1),1,10),"-","/"))),VALUE(SUBSTITUTE(MID(_xlfn.TEXTAFTER('Banco de Dados'!$F639,"Fecha de pedido:
",1),1,10),"-","/"))),"-"),SMS!A:A,SMS!K:K),0),0)</f>
        <v>0</v>
      </c>
      <c r="AO639" s="109">
        <f ca="1">IF('Banco de Dados'!$AK639&lt;&gt;"-",IF('Banco de Dados'!$F639&lt;&gt;"-",IFERROR(_xlfn.XLOOKUP(_xlfn.CONCAT('Banco de Dados'!$A639,IFERROR(IFERROR(VALUE(SUBSTITUTE(MID(_xlfn.TEXTAFTER('Banco de Dados'!$F639,"Data do Pedido:
",1),1,10),"-","/")),VALUE(SUBSTITUTE(MID(_xlfn.TEXTAFTER('Banco de Dados'!$F639,"Order date:
",1),1,10),"-","/"))),0)),ProxyDD[Chave],ProxyDD[Valor por pedido]),PROXY!$P$2),0),0)</f>
        <v>0</v>
      </c>
      <c r="AP639" s="28">
        <f ca="1">IF('Banco de Dados'!$AK639&lt;&gt;"-",IF('Banco de Dados'!$AL639="NÃO",IFERROR(VALUE(SUBSTITUTE(_xlfn.TEXTAFTER('Banco de Dados'!$F639,"BRL ",1),".",",")),0),0),0)</f>
        <v>0</v>
      </c>
      <c r="AQ639" s="28">
        <f ca="1">SUM('Banco de Dados'!$AM639:$AP639)</f>
        <v>0</v>
      </c>
      <c r="AR639" s="8"/>
      <c r="AS639" s="8"/>
      <c r="AY639" s="8"/>
    </row>
    <row r="640" spans="1:51">
      <c r="A640" s="5" t="str">
        <v>BV</v>
      </c>
      <c r="B640" s="5" t="str">
        <f ca="1"/>
        <v>BV45652</v>
      </c>
      <c r="C640" s="8" t="str">
        <v>Pedido 627</v>
      </c>
      <c r="D640" s="9">
        <v>45652</v>
      </c>
      <c r="E640" s="9">
        <v>45652</v>
      </c>
      <c r="F640" s="8" t="str">
        <v>PedidoF611</v>
      </c>
      <c r="G640" s="2" t="str">
        <v>CódRastreio609</v>
      </c>
      <c r="H640" s="5">
        <v>1</v>
      </c>
      <c r="I640" s="182" t="str">
        <v>CPF 607</v>
      </c>
      <c r="J640" s="2" t="str">
        <v>Nome 607</v>
      </c>
      <c r="K640" s="8" t="str">
        <v>Tel 607</v>
      </c>
      <c r="L640" s="8" t="str">
        <v>Cep 607</v>
      </c>
      <c r="M640" s="8" t="str">
        <v>Rua 607</v>
      </c>
      <c r="N640" s="8" t="str">
        <v>Comp 607</v>
      </c>
      <c r="O640" s="8" t="str">
        <v>Ventilador Rosa</v>
      </c>
      <c r="P640" s="8" t="str">
        <v>IF-G2ZQ-79FO</v>
      </c>
      <c r="Q640" s="4">
        <v>45674</v>
      </c>
      <c r="R640" s="109">
        <v>49.4</v>
      </c>
      <c r="S640" s="11">
        <f ca="1"/>
        <v>49.4</v>
      </c>
      <c r="T640" s="28">
        <f ca="1"/>
        <v>6.4219999999999997</v>
      </c>
      <c r="U640" s="11">
        <f ca="1"/>
        <v>42.98</v>
      </c>
      <c r="V640" s="11">
        <v>16.64</v>
      </c>
      <c r="W640" s="11">
        <f ca="1"/>
        <v>0.17</v>
      </c>
      <c r="X640" s="11">
        <f ca="1"/>
        <v>0.39877104377104378</v>
      </c>
      <c r="Y640" s="11">
        <v>0</v>
      </c>
      <c r="Z640" s="11">
        <f ca="1"/>
        <v>25.771228956228949</v>
      </c>
      <c r="AA640" s="11">
        <f ca="1"/>
        <v>12.885614478114475</v>
      </c>
      <c r="AB640" s="4">
        <f ca="1"/>
        <v>45681</v>
      </c>
      <c r="AC640" s="4">
        <v>45681</v>
      </c>
      <c r="AD640" s="9">
        <v>45688</v>
      </c>
      <c r="AE640" s="9">
        <v>45694</v>
      </c>
      <c r="AF640" s="4" t="str">
        <f t="shared" ca="1" si="22"/>
        <v>2025 01</v>
      </c>
      <c r="AG640" s="8" t="str" cm="1">
        <f t="array" ref="AG640">IFERROR(_xlfn.IFS('Banco de Dados'!#REF!="AG. COMPRA","Em processamento",'Banco de Dados'!#REF!="AG. RASTREIO","Em processamento",'Banco de Dados'!$AE640&lt;&gt;"-","Faturado",'Banco de Dados'!$AD640&lt;&gt;"-","Aguardando Pix",'Banco de Dados'!$AC640&lt;&gt;"-","Pendente"),"Aguardando Liberação")</f>
        <v>Aguardando Liberação</v>
      </c>
      <c r="AH640" s="5" t="str">
        <f>IF('Banco de Dados'!$F640="-",_xlfn.CONCAT(PROPER(TEXT(AK640,"aaaa"))," ",PROPER(TEXT(AK640,"mm"))),_xlfn.CONCAT(PROPER(TEXT(E640,"aaaa"))," ",PROPER(TEXT(E640,"mm"))))</f>
        <v>2024 12</v>
      </c>
      <c r="AI640" s="9" t="str">
        <f ca="1">IF('Banco de Dados'!$AK640&lt;&gt;"-","REEMBOLSO",IFERROR(_xlfn.XLOOKUP(G640,Follow[CODRASTREIO],Follow[STATUS]),"-"))</f>
        <v>ENTREGUE</v>
      </c>
      <c r="AJ640" s="9">
        <f ca="1">IF('Banco de Dados'!$AI640="ENTREGUE",_xlfn.XLOOKUP('Banco de Dados'!$G640,Follow[CODRASTREIO],Follow[DATAATUALIZAÇÃO]),"-")</f>
        <v>45667</v>
      </c>
      <c r="AK640" s="9" t="str">
        <f ca="1"/>
        <v>-</v>
      </c>
      <c r="AL640" s="35"/>
      <c r="AM640" s="109" cm="1">
        <f t="array" aca="1" ref="AM640" ca="1">IF('Banco de Dados'!$AK640&lt;&gt;"-",_xlfn.IFS('Banco de Dados'!$A640="bv",IF('Banco de Dados'!$E640&lt;45641,ROUND(SUM('Banco de Dados'!$R640*_xlfn.XLOOKUP('Banco de Dados'!$P640,Sku!B:B,Sku!#REF!)*20%),2),ROUND(SUM('Banco de Dados'!$R640*_xlfn.XLOOKUP('Banco de Dados'!$P640,Sku!B:B,Sku!H:H)*20%),2)),'Banco de Dados'!$A640="GO",ROUND(_xlfn.XLOOKUP('Banco de Dados'!$P640,Sku!C:C,Sku!H:H),2),'Banco de Dados'!$A640="MEI",ROUND(_xlfn.XLOOKUP('Banco de Dados'!$P640,Sku!D:D,Sku!H:H),2)),0)</f>
        <v>0</v>
      </c>
      <c r="AN640" s="109">
        <f ca="1">IF('Banco de Dados'!$AK640&lt;&gt;"-",IF('Banco de Dados'!$F640&lt;&gt;"-",_xlfn.XLOOKUP(IFERROR(IFERROR(IFERROR(VALUE(SUBSTITUTE(MID(_xlfn.TEXTAFTER('Banco de Dados'!$F640,"Data do Pedido:
",1),1,10),"-","/")),VALUE(SUBSTITUTE(MID(_xlfn.TEXTAFTER('Banco de Dados'!$F640,"Order date:
",1),1,10),"-","/"))),VALUE(SUBSTITUTE(MID(_xlfn.TEXTAFTER('Banco de Dados'!$F640,"Fecha de pedido:
",1),1,10),"-","/"))),"-"),SMS!A:A,SMS!K:K),0),0)</f>
        <v>0</v>
      </c>
      <c r="AO640" s="109">
        <f ca="1">IF('Banco de Dados'!$AK640&lt;&gt;"-",IF('Banco de Dados'!$F640&lt;&gt;"-",IFERROR(_xlfn.XLOOKUP(_xlfn.CONCAT('Banco de Dados'!$A640,IFERROR(IFERROR(VALUE(SUBSTITUTE(MID(_xlfn.TEXTAFTER('Banco de Dados'!$F640,"Data do Pedido:
",1),1,10),"-","/")),VALUE(SUBSTITUTE(MID(_xlfn.TEXTAFTER('Banco de Dados'!$F640,"Order date:
",1),1,10),"-","/"))),0)),ProxyDD[Chave],ProxyDD[Valor por pedido]),PROXY!$P$2),0),0)</f>
        <v>0</v>
      </c>
      <c r="AP640" s="28">
        <f ca="1">IF('Banco de Dados'!$AK640&lt;&gt;"-",IF('Banco de Dados'!$AL640="NÃO",IFERROR(VALUE(SUBSTITUTE(_xlfn.TEXTAFTER('Banco de Dados'!$F640,"BRL ",1),".",",")),0),0),0)</f>
        <v>0</v>
      </c>
      <c r="AQ640" s="28">
        <f ca="1">SUM('Banco de Dados'!$AM640:$AP640)</f>
        <v>0</v>
      </c>
      <c r="AR640" s="8"/>
      <c r="AS640" s="8"/>
      <c r="AY640" s="8"/>
    </row>
    <row r="641" spans="1:51">
      <c r="A641" s="5" t="str">
        <v>BV</v>
      </c>
      <c r="B641" s="5" t="str">
        <f ca="1"/>
        <v>BV45652</v>
      </c>
      <c r="C641" s="8" t="str">
        <v>Pedido 628</v>
      </c>
      <c r="D641" s="9">
        <v>45652</v>
      </c>
      <c r="E641" s="9">
        <v>45652</v>
      </c>
      <c r="F641" s="8" t="str">
        <v>PedidoF612</v>
      </c>
      <c r="G641" s="2" t="str">
        <v>CódRastreio610</v>
      </c>
      <c r="H641" s="5">
        <v>1</v>
      </c>
      <c r="I641" s="182" t="str">
        <v>CPF 608</v>
      </c>
      <c r="J641" s="2" t="str">
        <v>Nome 608</v>
      </c>
      <c r="K641" s="8" t="str">
        <v>Tel 608</v>
      </c>
      <c r="L641" s="8" t="str">
        <v>Cep 608</v>
      </c>
      <c r="M641" s="8" t="str">
        <v>Rua 608</v>
      </c>
      <c r="N641" s="8" t="str">
        <v>Comp 608</v>
      </c>
      <c r="O641" s="8" t="str">
        <v>Copo Termico</v>
      </c>
      <c r="P641" s="8" t="str">
        <v>KN-TBQL-K2MM</v>
      </c>
      <c r="Q641" s="4">
        <v>45671</v>
      </c>
      <c r="R641" s="109">
        <v>24.8</v>
      </c>
      <c r="S641" s="11">
        <f ca="1"/>
        <v>24.8</v>
      </c>
      <c r="T641" s="28">
        <f ca="1"/>
        <v>3.2240000000000002</v>
      </c>
      <c r="U641" s="11">
        <f ca="1"/>
        <v>21.58</v>
      </c>
      <c r="V641" s="11">
        <v>11.9</v>
      </c>
      <c r="W641" s="11">
        <f ca="1"/>
        <v>0.17</v>
      </c>
      <c r="X641" s="11">
        <f ca="1"/>
        <v>0.39877104377104378</v>
      </c>
      <c r="Y641" s="11">
        <v>0</v>
      </c>
      <c r="Z641" s="11">
        <f ca="1"/>
        <v>9.1112289562289543</v>
      </c>
      <c r="AA641" s="11">
        <f ca="1"/>
        <v>4.5556144781144772</v>
      </c>
      <c r="AB641" s="4">
        <f ca="1"/>
        <v>45678</v>
      </c>
      <c r="AC641" s="4">
        <v>45678</v>
      </c>
      <c r="AD641" s="9">
        <v>45679</v>
      </c>
      <c r="AE641" s="9">
        <v>45694</v>
      </c>
      <c r="AF641" s="4" t="str">
        <f t="shared" ca="1" si="22"/>
        <v>2025 01</v>
      </c>
      <c r="AG641" s="8" t="str" cm="1">
        <f t="array" ref="AG641">IFERROR(_xlfn.IFS('Banco de Dados'!#REF!="AG. COMPRA","Em processamento",'Banco de Dados'!#REF!="AG. RASTREIO","Em processamento",'Banco de Dados'!$AE641&lt;&gt;"-","Faturado",'Banco de Dados'!$AD641&lt;&gt;"-","Aguardando Pix",'Banco de Dados'!$AC641&lt;&gt;"-","Pendente"),"Aguardando Liberação")</f>
        <v>Aguardando Liberação</v>
      </c>
      <c r="AH641" s="5" t="str">
        <f>IF('Banco de Dados'!$F641="-",_xlfn.CONCAT(PROPER(TEXT(AK641,"aaaa"))," ",PROPER(TEXT(AK641,"mm"))),_xlfn.CONCAT(PROPER(TEXT(E641,"aaaa"))," ",PROPER(TEXT(E641,"mm"))))</f>
        <v>2024 12</v>
      </c>
      <c r="AI641" s="9" t="str">
        <f ca="1">IF('Banco de Dados'!$AK641&lt;&gt;"-","REEMBOLSO",IFERROR(_xlfn.XLOOKUP(G641,Follow[CODRASTREIO],Follow[STATUS]),"-"))</f>
        <v>ENTREGUE</v>
      </c>
      <c r="AJ641" s="9">
        <f ca="1">IF('Banco de Dados'!$AI641="ENTREGUE",_xlfn.XLOOKUP('Banco de Dados'!$G641,Follow[CODRASTREIO],Follow[DATAATUALIZAÇÃO]),"-")</f>
        <v>45660</v>
      </c>
      <c r="AK641" s="9" t="str">
        <f ca="1"/>
        <v>-</v>
      </c>
      <c r="AL641" s="35"/>
      <c r="AM641" s="109" cm="1">
        <f t="array" aca="1" ref="AM641" ca="1">IF('Banco de Dados'!$AK641&lt;&gt;"-",_xlfn.IFS('Banco de Dados'!$A641="bv",IF('Banco de Dados'!$E641&lt;45641,ROUND(SUM('Banco de Dados'!$R641*_xlfn.XLOOKUP('Banco de Dados'!$P641,Sku!B:B,Sku!#REF!)*20%),2),ROUND(SUM('Banco de Dados'!$R641*_xlfn.XLOOKUP('Banco de Dados'!$P641,Sku!B:B,Sku!H:H)*20%),2)),'Banco de Dados'!$A641="GO",ROUND(_xlfn.XLOOKUP('Banco de Dados'!$P641,Sku!C:C,Sku!H:H),2),'Banco de Dados'!$A641="MEI",ROUND(_xlfn.XLOOKUP('Banco de Dados'!$P641,Sku!D:D,Sku!H:H),2)),0)</f>
        <v>0</v>
      </c>
      <c r="AN641" s="109">
        <f ca="1">IF('Banco de Dados'!$AK641&lt;&gt;"-",IF('Banco de Dados'!$F641&lt;&gt;"-",_xlfn.XLOOKUP(IFERROR(IFERROR(IFERROR(VALUE(SUBSTITUTE(MID(_xlfn.TEXTAFTER('Banco de Dados'!$F641,"Data do Pedido:
",1),1,10),"-","/")),VALUE(SUBSTITUTE(MID(_xlfn.TEXTAFTER('Banco de Dados'!$F641,"Order date:
",1),1,10),"-","/"))),VALUE(SUBSTITUTE(MID(_xlfn.TEXTAFTER('Banco de Dados'!$F641,"Fecha de pedido:
",1),1,10),"-","/"))),"-"),SMS!A:A,SMS!K:K),0),0)</f>
        <v>0</v>
      </c>
      <c r="AO641" s="109">
        <f ca="1">IF('Banco de Dados'!$AK641&lt;&gt;"-",IF('Banco de Dados'!$F641&lt;&gt;"-",IFERROR(_xlfn.XLOOKUP(_xlfn.CONCAT('Banco de Dados'!$A641,IFERROR(IFERROR(VALUE(SUBSTITUTE(MID(_xlfn.TEXTAFTER('Banco de Dados'!$F641,"Data do Pedido:
",1),1,10),"-","/")),VALUE(SUBSTITUTE(MID(_xlfn.TEXTAFTER('Banco de Dados'!$F641,"Order date:
",1),1,10),"-","/"))),0)),ProxyDD[Chave],ProxyDD[Valor por pedido]),PROXY!$P$2),0),0)</f>
        <v>0</v>
      </c>
      <c r="AP641" s="28">
        <f ca="1">IF('Banco de Dados'!$AK641&lt;&gt;"-",IF('Banco de Dados'!$AL641="NÃO",IFERROR(VALUE(SUBSTITUTE(_xlfn.TEXTAFTER('Banco de Dados'!$F641,"BRL ",1),".",",")),0),0),0)</f>
        <v>0</v>
      </c>
      <c r="AQ641" s="28">
        <f ca="1">SUM('Banco de Dados'!$AM641:$AP641)</f>
        <v>0</v>
      </c>
      <c r="AR641" s="8"/>
      <c r="AS641" s="8"/>
      <c r="AY641" s="8"/>
    </row>
    <row r="642" spans="1:51">
      <c r="A642" s="5" t="str">
        <v>BV</v>
      </c>
      <c r="B642" s="5" t="str">
        <f ca="1"/>
        <v>BV45652</v>
      </c>
      <c r="C642" s="8" t="str">
        <v>Pedido 629</v>
      </c>
      <c r="D642" s="9">
        <v>45652</v>
      </c>
      <c r="E642" s="9">
        <v>45652</v>
      </c>
      <c r="F642" s="8" t="str">
        <v>PedidoF613</v>
      </c>
      <c r="G642" s="2" t="str">
        <v>CódRastreio611</v>
      </c>
      <c r="H642" s="5">
        <v>1</v>
      </c>
      <c r="I642" s="182" t="str">
        <v>CPF 609</v>
      </c>
      <c r="J642" s="2" t="str">
        <v>Nome 609</v>
      </c>
      <c r="K642" s="8" t="str">
        <v>Tel 609</v>
      </c>
      <c r="L642" s="8" t="str">
        <v>Cep 609</v>
      </c>
      <c r="M642" s="8" t="str">
        <v>Rua 609</v>
      </c>
      <c r="N642" s="8" t="str">
        <v>Comp 609</v>
      </c>
      <c r="O642" s="8" t="str">
        <v>Ventilador Rosa</v>
      </c>
      <c r="P642" s="8" t="str">
        <v>IF-G2ZQ-79FO</v>
      </c>
      <c r="Q642" s="4">
        <v>45681</v>
      </c>
      <c r="R642" s="109">
        <v>49.4</v>
      </c>
      <c r="S642" s="11">
        <f ca="1"/>
        <v>49.4</v>
      </c>
      <c r="T642" s="28">
        <f ca="1"/>
        <v>6.4219999999999997</v>
      </c>
      <c r="U642" s="11">
        <f ca="1"/>
        <v>42.98</v>
      </c>
      <c r="V642" s="11">
        <v>16.64</v>
      </c>
      <c r="W642" s="11">
        <f ca="1"/>
        <v>0.17</v>
      </c>
      <c r="X642" s="11">
        <f ca="1"/>
        <v>0.39877104377104378</v>
      </c>
      <c r="Y642" s="11">
        <v>0</v>
      </c>
      <c r="Z642" s="11">
        <f ca="1"/>
        <v>25.771228956228949</v>
      </c>
      <c r="AA642" s="11">
        <f ca="1"/>
        <v>12.885614478114475</v>
      </c>
      <c r="AB642" s="4">
        <f ca="1"/>
        <v>45688</v>
      </c>
      <c r="AC642" s="4">
        <v>45688</v>
      </c>
      <c r="AD642" s="9">
        <v>45688</v>
      </c>
      <c r="AE642" s="9">
        <v>45694</v>
      </c>
      <c r="AF642" s="4" t="str">
        <f t="shared" ca="1" si="22"/>
        <v>2025 01</v>
      </c>
      <c r="AG642" s="8" t="str" cm="1">
        <f t="array" ref="AG642">IFERROR(_xlfn.IFS('Banco de Dados'!#REF!="AG. COMPRA","Em processamento",'Banco de Dados'!#REF!="AG. RASTREIO","Em processamento",'Banco de Dados'!$AE642&lt;&gt;"-","Faturado",'Banco de Dados'!$AD642&lt;&gt;"-","Aguardando Pix",'Banco de Dados'!$AC642&lt;&gt;"-","Pendente"),"Aguardando Liberação")</f>
        <v>Aguardando Liberação</v>
      </c>
      <c r="AH642" s="5" t="str">
        <f>IF('Banco de Dados'!$F642="-",_xlfn.CONCAT(PROPER(TEXT(AK642,"aaaa"))," ",PROPER(TEXT(AK642,"mm"))),_xlfn.CONCAT(PROPER(TEXT(E642,"aaaa"))," ",PROPER(TEXT(E642,"mm"))))</f>
        <v>2024 12</v>
      </c>
      <c r="AI642" s="9" t="str">
        <f ca="1">IF('Banco de Dados'!$AK642&lt;&gt;"-","REEMBOLSO",IFERROR(_xlfn.XLOOKUP(G642,Follow[CODRASTREIO],Follow[STATUS]),"-"))</f>
        <v>ENTREGUE</v>
      </c>
      <c r="AJ642" s="9">
        <f ca="1">IF('Banco de Dados'!$AI642="ENTREGUE",_xlfn.XLOOKUP('Banco de Dados'!$G642,Follow[CODRASTREIO],Follow[DATAATUALIZAÇÃO]),"-")</f>
        <v>45670</v>
      </c>
      <c r="AK642" s="9" t="str">
        <f ca="1"/>
        <v>-</v>
      </c>
      <c r="AL642" s="35"/>
      <c r="AM642" s="109" cm="1">
        <f t="array" aca="1" ref="AM642" ca="1">IF('Banco de Dados'!$AK642&lt;&gt;"-",_xlfn.IFS('Banco de Dados'!$A642="bv",IF('Banco de Dados'!$E642&lt;45641,ROUND(SUM('Banco de Dados'!$R642*_xlfn.XLOOKUP('Banco de Dados'!$P642,Sku!B:B,Sku!#REF!)*20%),2),ROUND(SUM('Banco de Dados'!$R642*_xlfn.XLOOKUP('Banco de Dados'!$P642,Sku!B:B,Sku!H:H)*20%),2)),'Banco de Dados'!$A642="GO",ROUND(_xlfn.XLOOKUP('Banco de Dados'!$P642,Sku!C:C,Sku!H:H),2),'Banco de Dados'!$A642="MEI",ROUND(_xlfn.XLOOKUP('Banco de Dados'!$P642,Sku!D:D,Sku!H:H),2)),0)</f>
        <v>0</v>
      </c>
      <c r="AN642" s="109">
        <f ca="1">IF('Banco de Dados'!$AK642&lt;&gt;"-",IF('Banco de Dados'!$F642&lt;&gt;"-",_xlfn.XLOOKUP(IFERROR(IFERROR(IFERROR(VALUE(SUBSTITUTE(MID(_xlfn.TEXTAFTER('Banco de Dados'!$F642,"Data do Pedido:
",1),1,10),"-","/")),VALUE(SUBSTITUTE(MID(_xlfn.TEXTAFTER('Banco de Dados'!$F642,"Order date:
",1),1,10),"-","/"))),VALUE(SUBSTITUTE(MID(_xlfn.TEXTAFTER('Banco de Dados'!$F642,"Fecha de pedido:
",1),1,10),"-","/"))),"-"),SMS!A:A,SMS!K:K),0),0)</f>
        <v>0</v>
      </c>
      <c r="AO642" s="109">
        <f ca="1">IF('Banco de Dados'!$AK642&lt;&gt;"-",IF('Banco de Dados'!$F642&lt;&gt;"-",IFERROR(_xlfn.XLOOKUP(_xlfn.CONCAT('Banco de Dados'!$A642,IFERROR(IFERROR(VALUE(SUBSTITUTE(MID(_xlfn.TEXTAFTER('Banco de Dados'!$F642,"Data do Pedido:
",1),1,10),"-","/")),VALUE(SUBSTITUTE(MID(_xlfn.TEXTAFTER('Banco de Dados'!$F642,"Order date:
",1),1,10),"-","/"))),0)),ProxyDD[Chave],ProxyDD[Valor por pedido]),PROXY!$P$2),0),0)</f>
        <v>0</v>
      </c>
      <c r="AP642" s="28">
        <f ca="1">IF('Banco de Dados'!$AK642&lt;&gt;"-",IF('Banco de Dados'!$AL642="NÃO",IFERROR(VALUE(SUBSTITUTE(_xlfn.TEXTAFTER('Banco de Dados'!$F642,"BRL ",1),".",",")),0),0),0)</f>
        <v>0</v>
      </c>
      <c r="AQ642" s="28">
        <f ca="1">SUM('Banco de Dados'!$AM642:$AP642)</f>
        <v>0</v>
      </c>
      <c r="AR642" s="8"/>
      <c r="AS642" s="8"/>
      <c r="AY642" s="8"/>
    </row>
    <row r="643" spans="1:51">
      <c r="A643" s="5" t="str">
        <v>BV</v>
      </c>
      <c r="B643" s="5" t="str">
        <f ca="1"/>
        <v>BV45652</v>
      </c>
      <c r="C643" s="8" t="str">
        <v>Pedido 630</v>
      </c>
      <c r="D643" s="9">
        <v>45652</v>
      </c>
      <c r="E643" s="9">
        <v>45652</v>
      </c>
      <c r="F643" s="8" t="str">
        <v>PedidoF614</v>
      </c>
      <c r="G643" s="2" t="str">
        <v>CódRastreio612</v>
      </c>
      <c r="H643" s="5">
        <v>1</v>
      </c>
      <c r="I643" s="182" t="str">
        <v>CPF 610</v>
      </c>
      <c r="J643" s="2" t="str">
        <v>Nome 610</v>
      </c>
      <c r="K643" s="8" t="str">
        <v>Tel 610</v>
      </c>
      <c r="L643" s="8" t="str">
        <v>Cep 610</v>
      </c>
      <c r="M643" s="8" t="str">
        <v>Rua 610</v>
      </c>
      <c r="N643" s="8" t="str">
        <v>Comp 610</v>
      </c>
      <c r="O643" s="8" t="str">
        <v>Ventilador Azul</v>
      </c>
      <c r="P643" s="8" t="str">
        <v>U8-2VWS-OB6M</v>
      </c>
      <c r="Q643" s="4">
        <v>45675</v>
      </c>
      <c r="R643" s="109">
        <v>65.599999999999994</v>
      </c>
      <c r="S643" s="11">
        <f ca="1"/>
        <v>65.599999999999994</v>
      </c>
      <c r="T643" s="28">
        <f ca="1"/>
        <v>8.5279999999999987</v>
      </c>
      <c r="U643" s="11">
        <f ca="1"/>
        <v>57.07</v>
      </c>
      <c r="V643" s="11">
        <v>16.64</v>
      </c>
      <c r="W643" s="11">
        <f ca="1"/>
        <v>0.17</v>
      </c>
      <c r="X643" s="11">
        <f ca="1"/>
        <v>0.39877104377104378</v>
      </c>
      <c r="Y643" s="11">
        <v>0</v>
      </c>
      <c r="Z643" s="11">
        <f ca="1"/>
        <v>39.861228956228956</v>
      </c>
      <c r="AA643" s="11">
        <f ca="1"/>
        <v>19.930614478114478</v>
      </c>
      <c r="AB643" s="4">
        <f ca="1"/>
        <v>45682</v>
      </c>
      <c r="AC643" s="4">
        <v>45682</v>
      </c>
      <c r="AD643" s="9">
        <v>45688</v>
      </c>
      <c r="AE643" s="9">
        <v>45694</v>
      </c>
      <c r="AF643" s="4" t="str">
        <f t="shared" ca="1" si="22"/>
        <v>2025 01</v>
      </c>
      <c r="AG643" s="8" t="str" cm="1">
        <f t="array" ref="AG643">IFERROR(_xlfn.IFS('Banco de Dados'!#REF!="AG. COMPRA","Em processamento",'Banco de Dados'!#REF!="AG. RASTREIO","Em processamento",'Banco de Dados'!$AE643&lt;&gt;"-","Faturado",'Banco de Dados'!$AD643&lt;&gt;"-","Aguardando Pix",'Banco de Dados'!$AC643&lt;&gt;"-","Pendente"),"Aguardando Liberação")</f>
        <v>Aguardando Liberação</v>
      </c>
      <c r="AH643" s="5" t="str">
        <f>IF('Banco de Dados'!$F643="-",_xlfn.CONCAT(PROPER(TEXT(AK643,"aaaa"))," ",PROPER(TEXT(AK643,"mm"))),_xlfn.CONCAT(PROPER(TEXT(E643,"aaaa"))," ",PROPER(TEXT(E643,"mm"))))</f>
        <v>2024 12</v>
      </c>
      <c r="AI643" s="9" t="str">
        <f ca="1">IF('Banco de Dados'!$AK643&lt;&gt;"-","REEMBOLSO",IFERROR(_xlfn.XLOOKUP(G643,Follow[CODRASTREIO],Follow[STATUS]),"-"))</f>
        <v>ENTREGUE</v>
      </c>
      <c r="AJ643" s="9">
        <f ca="1">IF('Banco de Dados'!$AI643="ENTREGUE",_xlfn.XLOOKUP('Banco de Dados'!$G643,Follow[CODRASTREIO],Follow[DATAATUALIZAÇÃO]),"-")</f>
        <v>45668</v>
      </c>
      <c r="AK643" s="9" t="str">
        <f ca="1"/>
        <v>-</v>
      </c>
      <c r="AL643" s="35"/>
      <c r="AM643" s="109" cm="1">
        <f t="array" aca="1" ref="AM643" ca="1">IF('Banco de Dados'!$AK643&lt;&gt;"-",_xlfn.IFS('Banco de Dados'!$A643="bv",IF('Banco de Dados'!$E643&lt;45641,ROUND(SUM('Banco de Dados'!$R643*_xlfn.XLOOKUP('Banco de Dados'!$P643,Sku!B:B,Sku!#REF!)*20%),2),ROUND(SUM('Banco de Dados'!$R643*_xlfn.XLOOKUP('Banco de Dados'!$P643,Sku!B:B,Sku!H:H)*20%),2)),'Banco de Dados'!$A643="GO",ROUND(_xlfn.XLOOKUP('Banco de Dados'!$P643,Sku!C:C,Sku!H:H),2),'Banco de Dados'!$A643="MEI",ROUND(_xlfn.XLOOKUP('Banco de Dados'!$P643,Sku!D:D,Sku!H:H),2)),0)</f>
        <v>0</v>
      </c>
      <c r="AN643" s="109">
        <f ca="1">IF('Banco de Dados'!$AK643&lt;&gt;"-",IF('Banco de Dados'!$F643&lt;&gt;"-",_xlfn.XLOOKUP(IFERROR(IFERROR(IFERROR(VALUE(SUBSTITUTE(MID(_xlfn.TEXTAFTER('Banco de Dados'!$F643,"Data do Pedido:
",1),1,10),"-","/")),VALUE(SUBSTITUTE(MID(_xlfn.TEXTAFTER('Banco de Dados'!$F643,"Order date:
",1),1,10),"-","/"))),VALUE(SUBSTITUTE(MID(_xlfn.TEXTAFTER('Banco de Dados'!$F643,"Fecha de pedido:
",1),1,10),"-","/"))),"-"),SMS!A:A,SMS!K:K),0),0)</f>
        <v>0</v>
      </c>
      <c r="AO643" s="109">
        <f ca="1">IF('Banco de Dados'!$AK643&lt;&gt;"-",IF('Banco de Dados'!$F643&lt;&gt;"-",IFERROR(_xlfn.XLOOKUP(_xlfn.CONCAT('Banco de Dados'!$A643,IFERROR(IFERROR(VALUE(SUBSTITUTE(MID(_xlfn.TEXTAFTER('Banco de Dados'!$F643,"Data do Pedido:
",1),1,10),"-","/")),VALUE(SUBSTITUTE(MID(_xlfn.TEXTAFTER('Banco de Dados'!$F643,"Order date:
",1),1,10),"-","/"))),0)),ProxyDD[Chave],ProxyDD[Valor por pedido]),PROXY!$P$2),0),0)</f>
        <v>0</v>
      </c>
      <c r="AP643" s="28">
        <f ca="1">IF('Banco de Dados'!$AK643&lt;&gt;"-",IF('Banco de Dados'!$AL643="NÃO",IFERROR(VALUE(SUBSTITUTE(_xlfn.TEXTAFTER('Banco de Dados'!$F643,"BRL ",1),".",",")),0),0),0)</f>
        <v>0</v>
      </c>
      <c r="AQ643" s="28">
        <f ca="1">SUM('Banco de Dados'!$AM643:$AP643)</f>
        <v>0</v>
      </c>
      <c r="AR643" s="8"/>
      <c r="AS643" s="8"/>
      <c r="AY643" s="8"/>
    </row>
    <row r="644" spans="1:51">
      <c r="A644" s="5" t="str">
        <v>BV</v>
      </c>
      <c r="B644" s="5" t="str">
        <f ca="1"/>
        <v>BV45653</v>
      </c>
      <c r="C644" s="8" t="str">
        <v>Pedido 631</v>
      </c>
      <c r="D644" s="9">
        <v>45653</v>
      </c>
      <c r="E644" s="9">
        <v>45653</v>
      </c>
      <c r="F644" s="8" t="str">
        <v>PedidoF615</v>
      </c>
      <c r="G644" s="2" t="str">
        <v>CódRastreio613</v>
      </c>
      <c r="H644" s="5">
        <v>1</v>
      </c>
      <c r="I644" s="182" t="str">
        <v>CPF 611</v>
      </c>
      <c r="J644" s="2" t="str">
        <v>Nome 611</v>
      </c>
      <c r="K644" s="8" t="str">
        <v>Tel 611</v>
      </c>
      <c r="L644" s="8" t="str">
        <v>Cep 611</v>
      </c>
      <c r="M644" s="8" t="str">
        <v>Rua 611</v>
      </c>
      <c r="N644" s="8" t="str">
        <v>Comp 611</v>
      </c>
      <c r="O644" s="8" t="str">
        <v>Copo Termico</v>
      </c>
      <c r="P644" s="8" t="str">
        <v>KN-TBQL-K2MM</v>
      </c>
      <c r="Q644" s="4">
        <v>45675</v>
      </c>
      <c r="R644" s="109">
        <v>24.8</v>
      </c>
      <c r="S644" s="11">
        <f ca="1"/>
        <v>24.8</v>
      </c>
      <c r="T644" s="28">
        <f ca="1"/>
        <v>3.2240000000000002</v>
      </c>
      <c r="U644" s="11">
        <f ca="1"/>
        <v>21.58</v>
      </c>
      <c r="V644" s="11">
        <v>11.9</v>
      </c>
      <c r="W644" s="11">
        <f ca="1"/>
        <v>0.25</v>
      </c>
      <c r="X644" s="11">
        <f ca="1"/>
        <v>0.39877104377104378</v>
      </c>
      <c r="Y644" s="11">
        <v>0</v>
      </c>
      <c r="Z644" s="11">
        <f ca="1"/>
        <v>9.0312289562289543</v>
      </c>
      <c r="AA644" s="11">
        <f ca="1"/>
        <v>4.5156144781144771</v>
      </c>
      <c r="AB644" s="4">
        <f ca="1"/>
        <v>45682</v>
      </c>
      <c r="AC644" s="4">
        <v>45682</v>
      </c>
      <c r="AD644" s="9">
        <v>45688</v>
      </c>
      <c r="AE644" s="9">
        <v>45694</v>
      </c>
      <c r="AF644" s="4" t="str">
        <f t="shared" ca="1" si="22"/>
        <v>2025 01</v>
      </c>
      <c r="AG644" s="8" t="str" cm="1">
        <f t="array" ref="AG644">IFERROR(_xlfn.IFS('Banco de Dados'!#REF!="AG. COMPRA","Em processamento",'Banco de Dados'!#REF!="AG. RASTREIO","Em processamento",'Banco de Dados'!$AE644&lt;&gt;"-","Faturado",'Banco de Dados'!$AD644&lt;&gt;"-","Aguardando Pix",'Banco de Dados'!$AC644&lt;&gt;"-","Pendente"),"Aguardando Liberação")</f>
        <v>Aguardando Liberação</v>
      </c>
      <c r="AH644" s="5" t="str">
        <f>IF('Banco de Dados'!$F644="-",_xlfn.CONCAT(PROPER(TEXT(AK644,"aaaa"))," ",PROPER(TEXT(AK644,"mm"))),_xlfn.CONCAT(PROPER(TEXT(E644,"aaaa"))," ",PROPER(TEXT(E644,"mm"))))</f>
        <v>2024 12</v>
      </c>
      <c r="AI644" s="9" t="str">
        <f ca="1">IF('Banco de Dados'!$AK644&lt;&gt;"-","REEMBOLSO",IFERROR(_xlfn.XLOOKUP(G644,Follow[CODRASTREIO],Follow[STATUS]),"-"))</f>
        <v>ENTREGUE</v>
      </c>
      <c r="AJ644" s="9">
        <f ca="1">IF('Banco de Dados'!$AI644="ENTREGUE",_xlfn.XLOOKUP('Banco de Dados'!$G644,Follow[CODRASTREIO],Follow[DATAATUALIZAÇÃO]),"-")</f>
        <v>45665</v>
      </c>
      <c r="AK644" s="9" t="str">
        <f ca="1"/>
        <v>-</v>
      </c>
      <c r="AL644" s="35"/>
      <c r="AM644" s="109" cm="1">
        <f t="array" aca="1" ref="AM644" ca="1">IF('Banco de Dados'!$AK644&lt;&gt;"-",_xlfn.IFS('Banco de Dados'!$A644="bv",IF('Banco de Dados'!$E644&lt;45641,ROUND(SUM('Banco de Dados'!$R644*_xlfn.XLOOKUP('Banco de Dados'!$P644,Sku!B:B,Sku!#REF!)*20%),2),ROUND(SUM('Banco de Dados'!$R644*_xlfn.XLOOKUP('Banco de Dados'!$P644,Sku!B:B,Sku!H:H)*20%),2)),'Banco de Dados'!$A644="GO",ROUND(_xlfn.XLOOKUP('Banco de Dados'!$P644,Sku!C:C,Sku!H:H),2),'Banco de Dados'!$A644="MEI",ROUND(_xlfn.XLOOKUP('Banco de Dados'!$P644,Sku!D:D,Sku!H:H),2)),0)</f>
        <v>0</v>
      </c>
      <c r="AN644" s="109">
        <f ca="1">IF('Banco de Dados'!$AK644&lt;&gt;"-",IF('Banco de Dados'!$F644&lt;&gt;"-",_xlfn.XLOOKUP(IFERROR(IFERROR(IFERROR(VALUE(SUBSTITUTE(MID(_xlfn.TEXTAFTER('Banco de Dados'!$F644,"Data do Pedido:
",1),1,10),"-","/")),VALUE(SUBSTITUTE(MID(_xlfn.TEXTAFTER('Banco de Dados'!$F644,"Order date:
",1),1,10),"-","/"))),VALUE(SUBSTITUTE(MID(_xlfn.TEXTAFTER('Banco de Dados'!$F644,"Fecha de pedido:
",1),1,10),"-","/"))),"-"),SMS!A:A,SMS!K:K),0),0)</f>
        <v>0</v>
      </c>
      <c r="AO644" s="109">
        <f ca="1">IF('Banco de Dados'!$AK644&lt;&gt;"-",IF('Banco de Dados'!$F644&lt;&gt;"-",IFERROR(_xlfn.XLOOKUP(_xlfn.CONCAT('Banco de Dados'!$A644,IFERROR(IFERROR(VALUE(SUBSTITUTE(MID(_xlfn.TEXTAFTER('Banco de Dados'!$F644,"Data do Pedido:
",1),1,10),"-","/")),VALUE(SUBSTITUTE(MID(_xlfn.TEXTAFTER('Banco de Dados'!$F644,"Order date:
",1),1,10),"-","/"))),0)),ProxyDD[Chave],ProxyDD[Valor por pedido]),PROXY!$P$2),0),0)</f>
        <v>0</v>
      </c>
      <c r="AP644" s="28">
        <f ca="1">IF('Banco de Dados'!$AK644&lt;&gt;"-",IF('Banco de Dados'!$AL644="NÃO",IFERROR(VALUE(SUBSTITUTE(_xlfn.TEXTAFTER('Banco de Dados'!$F644,"BRL ",1),".",",")),0),0),0)</f>
        <v>0</v>
      </c>
      <c r="AQ644" s="28">
        <f ca="1">SUM('Banco de Dados'!$AM644:$AP644)</f>
        <v>0</v>
      </c>
      <c r="AR644" s="8"/>
      <c r="AS644" s="8"/>
      <c r="AY644" s="8"/>
    </row>
    <row r="645" spans="1:51">
      <c r="A645" s="5" t="str">
        <v>BV</v>
      </c>
      <c r="B645" s="5" t="str">
        <f ca="1"/>
        <v>BV45652</v>
      </c>
      <c r="C645" s="8" t="str">
        <v>Pedido 632</v>
      </c>
      <c r="D645" s="9">
        <v>45652</v>
      </c>
      <c r="E645" s="9">
        <v>45652</v>
      </c>
      <c r="F645" s="8" t="str">
        <v>PedidoF616</v>
      </c>
      <c r="G645" s="2" t="str">
        <v>CódRastreio614</v>
      </c>
      <c r="H645" s="5">
        <v>1</v>
      </c>
      <c r="I645" s="182" t="str">
        <v>CPF 612</v>
      </c>
      <c r="J645" s="2" t="str">
        <v>Nome 612</v>
      </c>
      <c r="K645" s="8" t="str">
        <v>Tel 612</v>
      </c>
      <c r="L645" s="8" t="str">
        <v>Cep 612</v>
      </c>
      <c r="M645" s="8" t="str">
        <v>Rua 612</v>
      </c>
      <c r="N645" s="8" t="str">
        <v>Comp 612</v>
      </c>
      <c r="O645" s="8" t="str">
        <v>Ventilador Rosa</v>
      </c>
      <c r="P645" s="8" t="str">
        <v>IF-G2ZQ-79FO</v>
      </c>
      <c r="Q645" s="4">
        <v>45688</v>
      </c>
      <c r="R645" s="109">
        <v>49.4</v>
      </c>
      <c r="S645" s="11">
        <f ca="1"/>
        <v>49.4</v>
      </c>
      <c r="T645" s="28">
        <f ca="1"/>
        <v>6.4219999999999997</v>
      </c>
      <c r="U645" s="11">
        <f ca="1"/>
        <v>42.98</v>
      </c>
      <c r="V645" s="11">
        <v>16.64</v>
      </c>
      <c r="W645" s="11">
        <f ca="1"/>
        <v>0.17</v>
      </c>
      <c r="X645" s="11">
        <f ca="1"/>
        <v>0.39877104377104378</v>
      </c>
      <c r="Y645" s="11">
        <v>0</v>
      </c>
      <c r="Z645" s="11">
        <f ca="1"/>
        <v>25.771228956228949</v>
      </c>
      <c r="AA645" s="11">
        <f ca="1"/>
        <v>12.885614478114475</v>
      </c>
      <c r="AB645" s="4">
        <f ca="1"/>
        <v>45695</v>
      </c>
      <c r="AC645" s="4">
        <v>45695</v>
      </c>
      <c r="AD645" s="9">
        <v>45699</v>
      </c>
      <c r="AE645" s="9">
        <v>45705</v>
      </c>
      <c r="AF645" s="4" t="str">
        <f t="shared" ca="1" si="22"/>
        <v>2025 02</v>
      </c>
      <c r="AG645" s="8" t="str" cm="1">
        <f t="array" ref="AG645">IFERROR(_xlfn.IFS('Banco de Dados'!#REF!="AG. COMPRA","Em processamento",'Banco de Dados'!#REF!="AG. RASTREIO","Em processamento",'Banco de Dados'!$AE645&lt;&gt;"-","Faturado",'Banco de Dados'!$AD645&lt;&gt;"-","Aguardando Pix",'Banco de Dados'!$AC645&lt;&gt;"-","Pendente"),"Aguardando Liberação")</f>
        <v>Aguardando Liberação</v>
      </c>
      <c r="AH645" s="5" t="str">
        <f>IF('Banco de Dados'!$F645="-",_xlfn.CONCAT(PROPER(TEXT(AK645,"aaaa"))," ",PROPER(TEXT(AK645,"mm"))),_xlfn.CONCAT(PROPER(TEXT(E645,"aaaa"))," ",PROPER(TEXT(E645,"mm"))))</f>
        <v>2024 12</v>
      </c>
      <c r="AI645" s="9" t="str">
        <f ca="1">IF('Banco de Dados'!$AK645&lt;&gt;"-","REEMBOLSO",IFERROR(_xlfn.XLOOKUP(G645,Follow[CODRASTREIO],Follow[STATUS]),"-"))</f>
        <v>ENTREGUE</v>
      </c>
      <c r="AJ645" s="9">
        <f ca="1">IF('Banco de Dados'!$AI645="ENTREGUE",_xlfn.XLOOKUP('Banco de Dados'!$G645,Follow[CODRASTREIO],Follow[DATAATUALIZAÇÃO]),"-")</f>
        <v>45674</v>
      </c>
      <c r="AK645" s="9" t="str">
        <f ca="1"/>
        <v>-</v>
      </c>
      <c r="AL645" s="35"/>
      <c r="AM645" s="109" cm="1">
        <f t="array" aca="1" ref="AM645" ca="1">IF('Banco de Dados'!$AK645&lt;&gt;"-",_xlfn.IFS('Banco de Dados'!$A645="bv",IF('Banco de Dados'!$E645&lt;45641,ROUND(SUM('Banco de Dados'!$R645*_xlfn.XLOOKUP('Banco de Dados'!$P645,Sku!B:B,Sku!#REF!)*20%),2),ROUND(SUM('Banco de Dados'!$R645*_xlfn.XLOOKUP('Banco de Dados'!$P645,Sku!B:B,Sku!H:H)*20%),2)),'Banco de Dados'!$A645="GO",ROUND(_xlfn.XLOOKUP('Banco de Dados'!$P645,Sku!C:C,Sku!H:H),2),'Banco de Dados'!$A645="MEI",ROUND(_xlfn.XLOOKUP('Banco de Dados'!$P645,Sku!D:D,Sku!H:H),2)),0)</f>
        <v>0</v>
      </c>
      <c r="AN645" s="109">
        <f ca="1">IF('Banco de Dados'!$AK645&lt;&gt;"-",IF('Banco de Dados'!$F645&lt;&gt;"-",_xlfn.XLOOKUP(IFERROR(IFERROR(IFERROR(VALUE(SUBSTITUTE(MID(_xlfn.TEXTAFTER('Banco de Dados'!$F645,"Data do Pedido:
",1),1,10),"-","/")),VALUE(SUBSTITUTE(MID(_xlfn.TEXTAFTER('Banco de Dados'!$F645,"Order date:
",1),1,10),"-","/"))),VALUE(SUBSTITUTE(MID(_xlfn.TEXTAFTER('Banco de Dados'!$F645,"Fecha de pedido:
",1),1,10),"-","/"))),"-"),SMS!A:A,SMS!K:K),0),0)</f>
        <v>0</v>
      </c>
      <c r="AO645" s="109">
        <f ca="1">IF('Banco de Dados'!$AK645&lt;&gt;"-",IF('Banco de Dados'!$F645&lt;&gt;"-",IFERROR(_xlfn.XLOOKUP(_xlfn.CONCAT('Banco de Dados'!$A645,IFERROR(IFERROR(VALUE(SUBSTITUTE(MID(_xlfn.TEXTAFTER('Banco de Dados'!$F645,"Data do Pedido:
",1),1,10),"-","/")),VALUE(SUBSTITUTE(MID(_xlfn.TEXTAFTER('Banco de Dados'!$F645,"Order date:
",1),1,10),"-","/"))),0)),ProxyDD[Chave],ProxyDD[Valor por pedido]),PROXY!$P$2),0),0)</f>
        <v>0</v>
      </c>
      <c r="AP645" s="28">
        <f ca="1">IF('Banco de Dados'!$AK645&lt;&gt;"-",IF('Banco de Dados'!$AL645="NÃO",IFERROR(VALUE(SUBSTITUTE(_xlfn.TEXTAFTER('Banco de Dados'!$F645,"BRL ",1),".",",")),0),0),0)</f>
        <v>0</v>
      </c>
      <c r="AQ645" s="28">
        <f ca="1">SUM('Banco de Dados'!$AM645:$AP645)</f>
        <v>0</v>
      </c>
      <c r="AR645" s="8"/>
      <c r="AS645" s="8"/>
      <c r="AY645" s="8"/>
    </row>
    <row r="646" spans="1:51">
      <c r="A646" s="5" t="str">
        <v>BV</v>
      </c>
      <c r="B646" s="5" t="str">
        <f ca="1"/>
        <v>BV45652</v>
      </c>
      <c r="C646" s="8" t="str">
        <v>Pedido 633</v>
      </c>
      <c r="D646" s="9">
        <v>45652</v>
      </c>
      <c r="E646" s="9">
        <v>45652</v>
      </c>
      <c r="F646" s="8" t="str">
        <v>PedidoF617</v>
      </c>
      <c r="G646" s="2" t="str">
        <v>CódRastreio615</v>
      </c>
      <c r="H646" s="5">
        <v>1</v>
      </c>
      <c r="I646" s="182" t="str">
        <v>CPF 613</v>
      </c>
      <c r="J646" s="2" t="str">
        <v>Nome 613</v>
      </c>
      <c r="K646" s="8" t="str">
        <v>Tel 613</v>
      </c>
      <c r="L646" s="8" t="str">
        <v>Cep 613</v>
      </c>
      <c r="M646" s="8" t="str">
        <v>Rua 613</v>
      </c>
      <c r="N646" s="8" t="str">
        <v>Comp 613</v>
      </c>
      <c r="O646" s="8" t="str">
        <v>Ventilador Rosa</v>
      </c>
      <c r="P646" s="8" t="str">
        <v>IF-G2ZQ-79FO</v>
      </c>
      <c r="Q646" s="4">
        <v>45681</v>
      </c>
      <c r="R646" s="109">
        <v>49.4</v>
      </c>
      <c r="S646" s="11">
        <f ca="1"/>
        <v>49.4</v>
      </c>
      <c r="T646" s="28">
        <f ca="1"/>
        <v>6.4219999999999997</v>
      </c>
      <c r="U646" s="11">
        <f ca="1"/>
        <v>42.98</v>
      </c>
      <c r="V646" s="11">
        <v>16.64</v>
      </c>
      <c r="W646" s="11">
        <f ca="1"/>
        <v>0.17</v>
      </c>
      <c r="X646" s="11">
        <f ca="1"/>
        <v>0.39877104377104378</v>
      </c>
      <c r="Y646" s="11">
        <v>0</v>
      </c>
      <c r="Z646" s="11">
        <f ca="1"/>
        <v>25.771228956228949</v>
      </c>
      <c r="AA646" s="11">
        <f ca="1"/>
        <v>12.885614478114475</v>
      </c>
      <c r="AB646" s="4">
        <f ca="1"/>
        <v>45688</v>
      </c>
      <c r="AC646" s="4">
        <v>45688</v>
      </c>
      <c r="AD646" s="9">
        <v>45688</v>
      </c>
      <c r="AE646" s="9">
        <v>45694</v>
      </c>
      <c r="AF646" s="4" t="str">
        <f t="shared" ca="1" si="22"/>
        <v>2025 01</v>
      </c>
      <c r="AG646" s="8" t="str" cm="1">
        <f t="array" ref="AG646">IFERROR(_xlfn.IFS('Banco de Dados'!#REF!="AG. COMPRA","Em processamento",'Banco de Dados'!#REF!="AG. RASTREIO","Em processamento",'Banco de Dados'!$AE646&lt;&gt;"-","Faturado",'Banco de Dados'!$AD646&lt;&gt;"-","Aguardando Pix",'Banco de Dados'!$AC646&lt;&gt;"-","Pendente"),"Aguardando Liberação")</f>
        <v>Aguardando Liberação</v>
      </c>
      <c r="AH646" s="5" t="str">
        <f>IF('Banco de Dados'!$F646="-",_xlfn.CONCAT(PROPER(TEXT(AK646,"aaaa"))," ",PROPER(TEXT(AK646,"mm"))),_xlfn.CONCAT(PROPER(TEXT(E646,"aaaa"))," ",PROPER(TEXT(E646,"mm"))))</f>
        <v>2024 12</v>
      </c>
      <c r="AI646" s="9" t="str">
        <f ca="1">IF('Banco de Dados'!$AK646&lt;&gt;"-","REEMBOLSO",IFERROR(_xlfn.XLOOKUP(G646,Follow[CODRASTREIO],Follow[STATUS]),"-"))</f>
        <v>ENTREGUE</v>
      </c>
      <c r="AJ646" s="9">
        <f ca="1">IF('Banco de Dados'!$AI646="ENTREGUE",_xlfn.XLOOKUP('Banco de Dados'!$G646,Follow[CODRASTREIO],Follow[DATAATUALIZAÇÃO]),"-")</f>
        <v>45665</v>
      </c>
      <c r="AK646" s="9" t="str">
        <f ca="1"/>
        <v>-</v>
      </c>
      <c r="AL646" s="35"/>
      <c r="AM646" s="109" cm="1">
        <f t="array" aca="1" ref="AM646" ca="1">IF('Banco de Dados'!$AK646&lt;&gt;"-",_xlfn.IFS('Banco de Dados'!$A646="bv",IF('Banco de Dados'!$E646&lt;45641,ROUND(SUM('Banco de Dados'!$R646*_xlfn.XLOOKUP('Banco de Dados'!$P646,Sku!B:B,Sku!#REF!)*20%),2),ROUND(SUM('Banco de Dados'!$R646*_xlfn.XLOOKUP('Banco de Dados'!$P646,Sku!B:B,Sku!H:H)*20%),2)),'Banco de Dados'!$A646="GO",ROUND(_xlfn.XLOOKUP('Banco de Dados'!$P646,Sku!C:C,Sku!H:H),2),'Banco de Dados'!$A646="MEI",ROUND(_xlfn.XLOOKUP('Banco de Dados'!$P646,Sku!D:D,Sku!H:H),2)),0)</f>
        <v>0</v>
      </c>
      <c r="AN646" s="109">
        <f ca="1">IF('Banco de Dados'!$AK646&lt;&gt;"-",IF('Banco de Dados'!$F646&lt;&gt;"-",_xlfn.XLOOKUP(IFERROR(IFERROR(IFERROR(VALUE(SUBSTITUTE(MID(_xlfn.TEXTAFTER('Banco de Dados'!$F646,"Data do Pedido:
",1),1,10),"-","/")),VALUE(SUBSTITUTE(MID(_xlfn.TEXTAFTER('Banco de Dados'!$F646,"Order date:
",1),1,10),"-","/"))),VALUE(SUBSTITUTE(MID(_xlfn.TEXTAFTER('Banco de Dados'!$F646,"Fecha de pedido:
",1),1,10),"-","/"))),"-"),SMS!A:A,SMS!K:K),0),0)</f>
        <v>0</v>
      </c>
      <c r="AO646" s="109">
        <f ca="1">IF('Banco de Dados'!$AK646&lt;&gt;"-",IF('Banco de Dados'!$F646&lt;&gt;"-",IFERROR(_xlfn.XLOOKUP(_xlfn.CONCAT('Banco de Dados'!$A646,IFERROR(IFERROR(VALUE(SUBSTITUTE(MID(_xlfn.TEXTAFTER('Banco de Dados'!$F646,"Data do Pedido:
",1),1,10),"-","/")),VALUE(SUBSTITUTE(MID(_xlfn.TEXTAFTER('Banco de Dados'!$F646,"Order date:
",1),1,10),"-","/"))),0)),ProxyDD[Chave],ProxyDD[Valor por pedido]),PROXY!$P$2),0),0)</f>
        <v>0</v>
      </c>
      <c r="AP646" s="28">
        <f ca="1">IF('Banco de Dados'!$AK646&lt;&gt;"-",IF('Banco de Dados'!$AL646="NÃO",IFERROR(VALUE(SUBSTITUTE(_xlfn.TEXTAFTER('Banco de Dados'!$F646,"BRL ",1),".",",")),0),0),0)</f>
        <v>0</v>
      </c>
      <c r="AQ646" s="28">
        <f ca="1">SUM('Banco de Dados'!$AM646:$AP646)</f>
        <v>0</v>
      </c>
      <c r="AR646" s="8"/>
      <c r="AS646" s="8"/>
      <c r="AY646" s="8"/>
    </row>
    <row r="647" spans="1:51">
      <c r="A647" s="5" t="str">
        <v>BV</v>
      </c>
      <c r="B647" s="5" t="str">
        <f ca="1"/>
        <v>BV45652</v>
      </c>
      <c r="C647" s="8" t="str">
        <v>Pedido 634</v>
      </c>
      <c r="D647" s="9">
        <v>45652</v>
      </c>
      <c r="E647" s="9">
        <v>45652</v>
      </c>
      <c r="F647" s="8" t="str">
        <v>PedidoF618</v>
      </c>
      <c r="G647" s="2" t="str">
        <v>CódRastreio616</v>
      </c>
      <c r="H647" s="5">
        <v>1</v>
      </c>
      <c r="I647" s="182" t="str">
        <v>CPF 614</v>
      </c>
      <c r="J647" s="2" t="str">
        <v>Nome 614</v>
      </c>
      <c r="K647" s="8" t="str">
        <v>Tel 614</v>
      </c>
      <c r="L647" s="8" t="str">
        <v>Cep 614</v>
      </c>
      <c r="M647" s="8" t="str">
        <v>Rua 614</v>
      </c>
      <c r="N647" s="8" t="str">
        <v>Comp 614</v>
      </c>
      <c r="O647" s="8" t="str">
        <v>Ventilador Azul</v>
      </c>
      <c r="P647" s="8" t="str">
        <v>U8-2VWS-OB6M</v>
      </c>
      <c r="Q647" s="4">
        <v>45681</v>
      </c>
      <c r="R647" s="109">
        <v>65.599999999999994</v>
      </c>
      <c r="S647" s="11">
        <f ca="1"/>
        <v>65.599999999999994</v>
      </c>
      <c r="T647" s="28">
        <f ca="1"/>
        <v>8.5279999999999987</v>
      </c>
      <c r="U647" s="11">
        <f ca="1"/>
        <v>57.07</v>
      </c>
      <c r="V647" s="11">
        <v>16.64</v>
      </c>
      <c r="W647" s="11">
        <f ca="1"/>
        <v>0.17</v>
      </c>
      <c r="X647" s="11">
        <f ca="1"/>
        <v>0.39877104377104378</v>
      </c>
      <c r="Y647" s="11">
        <v>0</v>
      </c>
      <c r="Z647" s="11">
        <f ca="1"/>
        <v>39.861228956228956</v>
      </c>
      <c r="AA647" s="11">
        <f ca="1"/>
        <v>19.930614478114478</v>
      </c>
      <c r="AB647" s="4">
        <f ca="1"/>
        <v>45688</v>
      </c>
      <c r="AC647" s="4">
        <v>45688</v>
      </c>
      <c r="AD647" s="9">
        <v>45688</v>
      </c>
      <c r="AE647" s="9">
        <v>45694</v>
      </c>
      <c r="AF647" s="4" t="str">
        <f t="shared" ca="1" si="22"/>
        <v>2025 01</v>
      </c>
      <c r="AG647" s="8" t="str" cm="1">
        <f t="array" ref="AG647">IFERROR(_xlfn.IFS('Banco de Dados'!#REF!="AG. COMPRA","Em processamento",'Banco de Dados'!#REF!="AG. RASTREIO","Em processamento",'Banco de Dados'!$AE647&lt;&gt;"-","Faturado",'Banco de Dados'!$AD647&lt;&gt;"-","Aguardando Pix",'Banco de Dados'!$AC647&lt;&gt;"-","Pendente"),"Aguardando Liberação")</f>
        <v>Aguardando Liberação</v>
      </c>
      <c r="AH647" s="5" t="str">
        <f>IF('Banco de Dados'!$F647="-",_xlfn.CONCAT(PROPER(TEXT(AK647,"aaaa"))," ",PROPER(TEXT(AK647,"mm"))),_xlfn.CONCAT(PROPER(TEXT(E647,"aaaa"))," ",PROPER(TEXT(E647,"mm"))))</f>
        <v>2024 12</v>
      </c>
      <c r="AI647" s="9" t="str">
        <f ca="1">IF('Banco de Dados'!$AK647&lt;&gt;"-","REEMBOLSO",IFERROR(_xlfn.XLOOKUP(G647,Follow[CODRASTREIO],Follow[STATUS]),"-"))</f>
        <v>ENTREGUE</v>
      </c>
      <c r="AJ647" s="9">
        <f ca="1">IF('Banco de Dados'!$AI647="ENTREGUE",_xlfn.XLOOKUP('Banco de Dados'!$G647,Follow[CODRASTREIO],Follow[DATAATUALIZAÇÃO]),"-")</f>
        <v>45667</v>
      </c>
      <c r="AK647" s="9" t="str">
        <f ca="1"/>
        <v>-</v>
      </c>
      <c r="AL647" s="35"/>
      <c r="AM647" s="109" cm="1">
        <f t="array" aca="1" ref="AM647" ca="1">IF('Banco de Dados'!$AK647&lt;&gt;"-",_xlfn.IFS('Banco de Dados'!$A647="bv",IF('Banco de Dados'!$E647&lt;45641,ROUND(SUM('Banco de Dados'!$R647*_xlfn.XLOOKUP('Banco de Dados'!$P647,Sku!B:B,Sku!#REF!)*20%),2),ROUND(SUM('Banco de Dados'!$R647*_xlfn.XLOOKUP('Banco de Dados'!$P647,Sku!B:B,Sku!H:H)*20%),2)),'Banco de Dados'!$A647="GO",ROUND(_xlfn.XLOOKUP('Banco de Dados'!$P647,Sku!C:C,Sku!H:H),2),'Banco de Dados'!$A647="MEI",ROUND(_xlfn.XLOOKUP('Banco de Dados'!$P647,Sku!D:D,Sku!H:H),2)),0)</f>
        <v>0</v>
      </c>
      <c r="AN647" s="109">
        <f ca="1">IF('Banco de Dados'!$AK647&lt;&gt;"-",IF('Banco de Dados'!$F647&lt;&gt;"-",_xlfn.XLOOKUP(IFERROR(IFERROR(IFERROR(VALUE(SUBSTITUTE(MID(_xlfn.TEXTAFTER('Banco de Dados'!$F647,"Data do Pedido:
",1),1,10),"-","/")),VALUE(SUBSTITUTE(MID(_xlfn.TEXTAFTER('Banco de Dados'!$F647,"Order date:
",1),1,10),"-","/"))),VALUE(SUBSTITUTE(MID(_xlfn.TEXTAFTER('Banco de Dados'!$F647,"Fecha de pedido:
",1),1,10),"-","/"))),"-"),SMS!A:A,SMS!K:K),0),0)</f>
        <v>0</v>
      </c>
      <c r="AO647" s="109">
        <f ca="1">IF('Banco de Dados'!$AK647&lt;&gt;"-",IF('Banco de Dados'!$F647&lt;&gt;"-",IFERROR(_xlfn.XLOOKUP(_xlfn.CONCAT('Banco de Dados'!$A647,IFERROR(IFERROR(VALUE(SUBSTITUTE(MID(_xlfn.TEXTAFTER('Banco de Dados'!$F647,"Data do Pedido:
",1),1,10),"-","/")),VALUE(SUBSTITUTE(MID(_xlfn.TEXTAFTER('Banco de Dados'!$F647,"Order date:
",1),1,10),"-","/"))),0)),ProxyDD[Chave],ProxyDD[Valor por pedido]),PROXY!$P$2),0),0)</f>
        <v>0</v>
      </c>
      <c r="AP647" s="28">
        <f ca="1">IF('Banco de Dados'!$AK647&lt;&gt;"-",IF('Banco de Dados'!$AL647="NÃO",IFERROR(VALUE(SUBSTITUTE(_xlfn.TEXTAFTER('Banco de Dados'!$F647,"BRL ",1),".",",")),0),0),0)</f>
        <v>0</v>
      </c>
      <c r="AQ647" s="28">
        <f ca="1">SUM('Banco de Dados'!$AM647:$AP647)</f>
        <v>0</v>
      </c>
      <c r="AR647" s="8"/>
      <c r="AS647" s="8"/>
      <c r="AY647" s="8"/>
    </row>
    <row r="648" spans="1:51">
      <c r="A648" s="5" t="str">
        <v>BV</v>
      </c>
      <c r="B648" s="5" t="str">
        <f ca="1"/>
        <v>BV45653</v>
      </c>
      <c r="C648" s="8" t="str">
        <v>Pedido 635</v>
      </c>
      <c r="D648" s="9">
        <v>45653</v>
      </c>
      <c r="E648" s="9">
        <v>45653</v>
      </c>
      <c r="F648" s="8" t="str">
        <v>PedidoF619</v>
      </c>
      <c r="G648" s="2" t="str">
        <v>CódRastreio617</v>
      </c>
      <c r="H648" s="5">
        <v>1</v>
      </c>
      <c r="I648" s="182" t="str">
        <v>CPF 615</v>
      </c>
      <c r="J648" s="2" t="str">
        <v>Nome 615</v>
      </c>
      <c r="K648" s="8" t="str">
        <v>Tel 615</v>
      </c>
      <c r="L648" s="8" t="str">
        <v>Cep 615</v>
      </c>
      <c r="M648" s="8" t="str">
        <v>Rua 615</v>
      </c>
      <c r="N648" s="8" t="str">
        <v>Comp 615</v>
      </c>
      <c r="O648" s="8" t="str">
        <v>Ventilador Preto</v>
      </c>
      <c r="P648" s="8" t="str">
        <v>MU-J80P-95WF</v>
      </c>
      <c r="Q648" s="4">
        <v>45681</v>
      </c>
      <c r="R648" s="109">
        <v>65.599999999999994</v>
      </c>
      <c r="S648" s="11">
        <f ca="1"/>
        <v>65.599999999999994</v>
      </c>
      <c r="T648" s="28">
        <f ca="1"/>
        <v>8.5279999999999987</v>
      </c>
      <c r="U648" s="11">
        <f ca="1"/>
        <v>57.07</v>
      </c>
      <c r="V648" s="11">
        <v>17.399999999999999</v>
      </c>
      <c r="W648" s="11">
        <f ca="1"/>
        <v>0.25</v>
      </c>
      <c r="X648" s="11">
        <f ca="1"/>
        <v>0.39877104377104378</v>
      </c>
      <c r="Y648" s="11">
        <v>0</v>
      </c>
      <c r="Z648" s="11">
        <f ca="1"/>
        <v>39.021228956228953</v>
      </c>
      <c r="AA648" s="11">
        <f ca="1"/>
        <v>19.510614478114476</v>
      </c>
      <c r="AB648" s="4">
        <f ca="1"/>
        <v>45688</v>
      </c>
      <c r="AC648" s="4">
        <v>45688</v>
      </c>
      <c r="AD648" s="9">
        <v>45688</v>
      </c>
      <c r="AE648" s="9">
        <v>45694</v>
      </c>
      <c r="AF648" s="4" t="str">
        <f t="shared" ref="AF648:AF653" ca="1" si="23">_xlfn.CONCAT(PROPER(TEXT(AB648,"aaaa"))," ",PROPER(TEXT(AB648,"mm")))</f>
        <v>2025 01</v>
      </c>
      <c r="AG648" s="8" t="str" cm="1">
        <f t="array" ref="AG648">IFERROR(_xlfn.IFS('Banco de Dados'!#REF!="AG. COMPRA","Em processamento",'Banco de Dados'!#REF!="AG. RASTREIO","Em processamento",'Banco de Dados'!$AE648&lt;&gt;"-","Faturado",'Banco de Dados'!$AD648&lt;&gt;"-","Aguardando Pix",'Banco de Dados'!$AC648&lt;&gt;"-","Pendente"),"Aguardando Liberação")</f>
        <v>Aguardando Liberação</v>
      </c>
      <c r="AH648" s="5" t="str">
        <f>IF('Banco de Dados'!$F648="-",_xlfn.CONCAT(PROPER(TEXT(AK648,"aaaa"))," ",PROPER(TEXT(AK648,"mm"))),_xlfn.CONCAT(PROPER(TEXT(E648,"aaaa"))," ",PROPER(TEXT(E648,"mm"))))</f>
        <v>2024 12</v>
      </c>
      <c r="AI648" s="9" t="str">
        <f ca="1">IF('Banco de Dados'!$AK648&lt;&gt;"-","REEMBOLSO",IFERROR(_xlfn.XLOOKUP(G648,Follow[CODRASTREIO],Follow[STATUS]),"-"))</f>
        <v>ENTREGUE</v>
      </c>
      <c r="AJ648" s="9">
        <f ca="1">IF('Banco de Dados'!$AI648="ENTREGUE",_xlfn.XLOOKUP('Banco de Dados'!$G648,Follow[CODRASTREIO],Follow[DATAATUALIZAÇÃO]),"-")</f>
        <v>45670</v>
      </c>
      <c r="AK648" s="9" t="str">
        <f ca="1"/>
        <v>-</v>
      </c>
      <c r="AL648" s="35"/>
      <c r="AM648" s="109" cm="1">
        <f t="array" aca="1" ref="AM648" ca="1">IF('Banco de Dados'!$AK648&lt;&gt;"-",_xlfn.IFS('Banco de Dados'!$A648="bv",IF('Banco de Dados'!$E648&lt;45641,ROUND(SUM('Banco de Dados'!$R648*_xlfn.XLOOKUP('Banco de Dados'!$P648,Sku!B:B,Sku!#REF!)*20%),2),ROUND(SUM('Banco de Dados'!$R648*_xlfn.XLOOKUP('Banco de Dados'!$P648,Sku!B:B,Sku!H:H)*20%),2)),'Banco de Dados'!$A648="GO",ROUND(_xlfn.XLOOKUP('Banco de Dados'!$P648,Sku!C:C,Sku!H:H),2),'Banco de Dados'!$A648="MEI",ROUND(_xlfn.XLOOKUP('Banco de Dados'!$P648,Sku!D:D,Sku!H:H),2)),0)</f>
        <v>0</v>
      </c>
      <c r="AN648" s="109">
        <f ca="1">IF('Banco de Dados'!$AK648&lt;&gt;"-",IF('Banco de Dados'!$F648&lt;&gt;"-",_xlfn.XLOOKUP(IFERROR(IFERROR(IFERROR(VALUE(SUBSTITUTE(MID(_xlfn.TEXTAFTER('Banco de Dados'!$F648,"Data do Pedido:
",1),1,10),"-","/")),VALUE(SUBSTITUTE(MID(_xlfn.TEXTAFTER('Banco de Dados'!$F648,"Order date:
",1),1,10),"-","/"))),VALUE(SUBSTITUTE(MID(_xlfn.TEXTAFTER('Banco de Dados'!$F648,"Fecha de pedido:
",1),1,10),"-","/"))),"-"),SMS!A:A,SMS!K:K),0),0)</f>
        <v>0</v>
      </c>
      <c r="AO648" s="109">
        <f ca="1">IF('Banco de Dados'!$AK648&lt;&gt;"-",IF('Banco de Dados'!$F648&lt;&gt;"-",IFERROR(_xlfn.XLOOKUP(_xlfn.CONCAT('Banco de Dados'!$A648,IFERROR(IFERROR(VALUE(SUBSTITUTE(MID(_xlfn.TEXTAFTER('Banco de Dados'!$F648,"Data do Pedido:
",1),1,10),"-","/")),VALUE(SUBSTITUTE(MID(_xlfn.TEXTAFTER('Banco de Dados'!$F648,"Order date:
",1),1,10),"-","/"))),0)),ProxyDD[Chave],ProxyDD[Valor por pedido]),PROXY!$P$2),0),0)</f>
        <v>0</v>
      </c>
      <c r="AP648" s="28">
        <f ca="1">IF('Banco de Dados'!$AK648&lt;&gt;"-",IF('Banco de Dados'!$AL648="NÃO",IFERROR(VALUE(SUBSTITUTE(_xlfn.TEXTAFTER('Banco de Dados'!$F648,"BRL ",1),".",",")),0),0),0)</f>
        <v>0</v>
      </c>
      <c r="AQ648" s="28">
        <f ca="1">SUM('Banco de Dados'!$AM648:$AP648)</f>
        <v>0</v>
      </c>
      <c r="AR648" s="8"/>
      <c r="AS648" s="8"/>
      <c r="AY648" s="8"/>
    </row>
    <row r="649" spans="1:51">
      <c r="A649" s="5" t="str">
        <v>BV</v>
      </c>
      <c r="B649" s="5" t="str">
        <f ca="1"/>
        <v>BV45653</v>
      </c>
      <c r="C649" s="8" t="str">
        <v>Pedido 636</v>
      </c>
      <c r="D649" s="9">
        <v>45653</v>
      </c>
      <c r="E649" s="9">
        <v>45653</v>
      </c>
      <c r="F649" s="8" t="str">
        <v>PedidoF620</v>
      </c>
      <c r="G649" s="2" t="str">
        <v>CódRastreio618</v>
      </c>
      <c r="H649" s="5">
        <v>1</v>
      </c>
      <c r="I649" s="182" t="str">
        <v>CPF 616</v>
      </c>
      <c r="J649" s="2" t="str">
        <v>Nome 616</v>
      </c>
      <c r="K649" s="8" t="str">
        <v>Tel 616</v>
      </c>
      <c r="L649" s="8" t="str">
        <v>Cep 616</v>
      </c>
      <c r="M649" s="8" t="str">
        <v>Rua 616</v>
      </c>
      <c r="N649" s="8" t="str">
        <v>Comp 616</v>
      </c>
      <c r="O649" s="8" t="str">
        <v>Adaptador Bluetooph</v>
      </c>
      <c r="P649" s="8" t="str">
        <v>YA-AG3H-SPUK</v>
      </c>
      <c r="Q649" s="4">
        <v>45682</v>
      </c>
      <c r="R649" s="109">
        <v>21.99</v>
      </c>
      <c r="S649" s="11">
        <f ca="1"/>
        <v>21.99</v>
      </c>
      <c r="T649" s="28">
        <f ca="1"/>
        <v>2.6387999999999998</v>
      </c>
      <c r="U649" s="11">
        <f ca="1"/>
        <v>19.350000000000001</v>
      </c>
      <c r="V649" s="11">
        <v>6.99</v>
      </c>
      <c r="W649" s="11">
        <f ca="1"/>
        <v>0.25</v>
      </c>
      <c r="X649" s="11">
        <f ca="1"/>
        <v>0.39877104377104378</v>
      </c>
      <c r="Y649" s="11">
        <v>0</v>
      </c>
      <c r="Z649" s="11">
        <f ca="1"/>
        <v>11.711228956228958</v>
      </c>
      <c r="AA649" s="11">
        <f ca="1"/>
        <v>5.8556144781144788</v>
      </c>
      <c r="AB649" s="4">
        <f ca="1"/>
        <v>45689</v>
      </c>
      <c r="AC649" s="4">
        <v>45689</v>
      </c>
      <c r="AD649" s="9">
        <v>45693</v>
      </c>
      <c r="AE649" s="9">
        <v>45705</v>
      </c>
      <c r="AF649" s="4" t="str">
        <f t="shared" ca="1" si="23"/>
        <v>2025 02</v>
      </c>
      <c r="AG649" s="8" t="str" cm="1">
        <f t="array" ref="AG649">IFERROR(_xlfn.IFS('Banco de Dados'!#REF!="AG. COMPRA","Em processamento",'Banco de Dados'!#REF!="AG. RASTREIO","Em processamento",'Banco de Dados'!$AE649&lt;&gt;"-","Faturado",'Banco de Dados'!$AD649&lt;&gt;"-","Aguardando Pix",'Banco de Dados'!$AC649&lt;&gt;"-","Pendente"),"Aguardando Liberação")</f>
        <v>Aguardando Liberação</v>
      </c>
      <c r="AH649" s="5" t="str">
        <f>IF('Banco de Dados'!$F649="-",_xlfn.CONCAT(PROPER(TEXT(AK649,"aaaa"))," ",PROPER(TEXT(AK649,"mm"))),_xlfn.CONCAT(PROPER(TEXT(E649,"aaaa"))," ",PROPER(TEXT(E649,"mm"))))</f>
        <v>2024 12</v>
      </c>
      <c r="AI649" s="9" t="str">
        <f ca="1">IF('Banco de Dados'!$AK649&lt;&gt;"-","REEMBOLSO",IFERROR(_xlfn.XLOOKUP(G649,Follow[CODRASTREIO],Follow[STATUS]),"-"))</f>
        <v>ENTREGUE</v>
      </c>
      <c r="AJ649" s="9">
        <f ca="1">IF('Banco de Dados'!$AI649="ENTREGUE",_xlfn.XLOOKUP('Banco de Dados'!$G649,Follow[CODRASTREIO],Follow[DATAATUALIZAÇÃO]),"-")</f>
        <v>45665</v>
      </c>
      <c r="AK649" s="9" t="str">
        <f ca="1"/>
        <v>-</v>
      </c>
      <c r="AL649" s="35"/>
      <c r="AM649" s="109" cm="1">
        <f t="array" aca="1" ref="AM649" ca="1">IF('Banco de Dados'!$AK649&lt;&gt;"-",_xlfn.IFS('Banco de Dados'!$A649="bv",IF('Banco de Dados'!$E649&lt;45641,ROUND(SUM('Banco de Dados'!$R649*_xlfn.XLOOKUP('Banco de Dados'!$P649,Sku!B:B,Sku!#REF!)*20%),2),ROUND(SUM('Banco de Dados'!$R649*_xlfn.XLOOKUP('Banco de Dados'!$P649,Sku!B:B,Sku!H:H)*20%),2)),'Banco de Dados'!$A649="GO",ROUND(_xlfn.XLOOKUP('Banco de Dados'!$P649,Sku!C:C,Sku!H:H),2),'Banco de Dados'!$A649="MEI",ROUND(_xlfn.XLOOKUP('Banco de Dados'!$P649,Sku!D:D,Sku!H:H),2)),0)</f>
        <v>0</v>
      </c>
      <c r="AN649" s="109">
        <f ca="1">IF('Banco de Dados'!$AK649&lt;&gt;"-",IF('Banco de Dados'!$F649&lt;&gt;"-",_xlfn.XLOOKUP(IFERROR(IFERROR(IFERROR(VALUE(SUBSTITUTE(MID(_xlfn.TEXTAFTER('Banco de Dados'!$F649,"Data do Pedido:
",1),1,10),"-","/")),VALUE(SUBSTITUTE(MID(_xlfn.TEXTAFTER('Banco de Dados'!$F649,"Order date:
",1),1,10),"-","/"))),VALUE(SUBSTITUTE(MID(_xlfn.TEXTAFTER('Banco de Dados'!$F649,"Fecha de pedido:
",1),1,10),"-","/"))),"-"),SMS!A:A,SMS!K:K),0),0)</f>
        <v>0</v>
      </c>
      <c r="AO649" s="109">
        <f ca="1">IF('Banco de Dados'!$AK649&lt;&gt;"-",IF('Banco de Dados'!$F649&lt;&gt;"-",IFERROR(_xlfn.XLOOKUP(_xlfn.CONCAT('Banco de Dados'!$A649,IFERROR(IFERROR(VALUE(SUBSTITUTE(MID(_xlfn.TEXTAFTER('Banco de Dados'!$F649,"Data do Pedido:
",1),1,10),"-","/")),VALUE(SUBSTITUTE(MID(_xlfn.TEXTAFTER('Banco de Dados'!$F649,"Order date:
",1),1,10),"-","/"))),0)),ProxyDD[Chave],ProxyDD[Valor por pedido]),PROXY!$P$2),0),0)</f>
        <v>0</v>
      </c>
      <c r="AP649" s="28">
        <f ca="1">IF('Banco de Dados'!$AK649&lt;&gt;"-",IF('Banco de Dados'!$AL649="NÃO",IFERROR(VALUE(SUBSTITUTE(_xlfn.TEXTAFTER('Banco de Dados'!$F649,"BRL ",1),".",",")),0),0),0)</f>
        <v>0</v>
      </c>
      <c r="AQ649" s="28">
        <f ca="1">SUM('Banco de Dados'!$AM649:$AP649)</f>
        <v>0</v>
      </c>
      <c r="AR649" s="8"/>
      <c r="AS649" s="8"/>
      <c r="AY649" s="8"/>
    </row>
    <row r="650" spans="1:51">
      <c r="A650" s="5" t="str">
        <v>BV</v>
      </c>
      <c r="B650" s="5" t="str">
        <f ca="1"/>
        <v>BV45653</v>
      </c>
      <c r="C650" s="8" t="str">
        <v>Pedido 637</v>
      </c>
      <c r="D650" s="9">
        <v>45653</v>
      </c>
      <c r="E650" s="9">
        <v>45653</v>
      </c>
      <c r="F650" s="8" t="str">
        <v>PedidoF621</v>
      </c>
      <c r="G650" s="2" t="str">
        <v>CódRastreio619</v>
      </c>
      <c r="H650" s="5">
        <v>1</v>
      </c>
      <c r="I650" s="182" t="str">
        <v>CPF 617</v>
      </c>
      <c r="J650" s="2" t="str">
        <v>Nome 617</v>
      </c>
      <c r="K650" s="8" t="str">
        <v>Tel 617</v>
      </c>
      <c r="L650" s="8" t="str">
        <v>Cep 617</v>
      </c>
      <c r="M650" s="8" t="str">
        <v>Rua 617</v>
      </c>
      <c r="N650" s="8" t="str">
        <v>Comp 617</v>
      </c>
      <c r="O650" s="8" t="str">
        <v>Ventilador Rosa</v>
      </c>
      <c r="P650" s="8" t="str">
        <v>IF-G2ZQ-79FO</v>
      </c>
      <c r="Q650" s="4">
        <v>45682</v>
      </c>
      <c r="R650" s="109">
        <v>49.4</v>
      </c>
      <c r="S650" s="11">
        <f ca="1"/>
        <v>49.4</v>
      </c>
      <c r="T650" s="28">
        <f ca="1"/>
        <v>6.4219999999999997</v>
      </c>
      <c r="U650" s="11">
        <f ca="1"/>
        <v>42.98</v>
      </c>
      <c r="V650" s="11">
        <v>16.809999999999999</v>
      </c>
      <c r="W650" s="11">
        <f ca="1"/>
        <v>0.25</v>
      </c>
      <c r="X650" s="11">
        <f ca="1"/>
        <v>0.39877104377104378</v>
      </c>
      <c r="Y650" s="11">
        <v>0</v>
      </c>
      <c r="Z650" s="11">
        <f ca="1"/>
        <v>25.521228956228953</v>
      </c>
      <c r="AA650" s="11">
        <f ca="1"/>
        <v>12.760614478114476</v>
      </c>
      <c r="AB650" s="4">
        <f ca="1"/>
        <v>45689</v>
      </c>
      <c r="AC650" s="4">
        <v>45689</v>
      </c>
      <c r="AD650" s="9">
        <v>45693</v>
      </c>
      <c r="AE650" s="9">
        <v>45705</v>
      </c>
      <c r="AF650" s="4" t="str">
        <f t="shared" ca="1" si="23"/>
        <v>2025 02</v>
      </c>
      <c r="AG650" s="8" t="str" cm="1">
        <f t="array" ref="AG650">IFERROR(_xlfn.IFS('Banco de Dados'!#REF!="AG. COMPRA","Em processamento",'Banco de Dados'!#REF!="AG. RASTREIO","Em processamento",'Banco de Dados'!$AE650&lt;&gt;"-","Faturado",'Banco de Dados'!$AD650&lt;&gt;"-","Aguardando Pix",'Banco de Dados'!$AC650&lt;&gt;"-","Pendente"),"Aguardando Liberação")</f>
        <v>Aguardando Liberação</v>
      </c>
      <c r="AH650" s="5" t="str">
        <f>IF('Banco de Dados'!$F650="-",_xlfn.CONCAT(PROPER(TEXT(AK650,"aaaa"))," ",PROPER(TEXT(AK650,"mm"))),_xlfn.CONCAT(PROPER(TEXT(E650,"aaaa"))," ",PROPER(TEXT(E650,"mm"))))</f>
        <v>2024 12</v>
      </c>
      <c r="AI650" s="9" t="str">
        <f ca="1">IF('Banco de Dados'!$AK650&lt;&gt;"-","REEMBOLSO",IFERROR(_xlfn.XLOOKUP(G650,Follow[CODRASTREIO],Follow[STATUS]),"-"))</f>
        <v>ENTREGUE</v>
      </c>
      <c r="AJ650" s="9">
        <f ca="1">IF('Banco de Dados'!$AI650="ENTREGUE",_xlfn.XLOOKUP('Banco de Dados'!$G650,Follow[CODRASTREIO],Follow[DATAATUALIZAÇÃO]),"-")</f>
        <v>45665</v>
      </c>
      <c r="AK650" s="9" t="str">
        <f ca="1"/>
        <v>-</v>
      </c>
      <c r="AL650" s="35"/>
      <c r="AM650" s="109" cm="1">
        <f t="array" aca="1" ref="AM650" ca="1">IF('Banco de Dados'!$AK650&lt;&gt;"-",_xlfn.IFS('Banco de Dados'!$A650="bv",IF('Banco de Dados'!$E650&lt;45641,ROUND(SUM('Banco de Dados'!$R650*_xlfn.XLOOKUP('Banco de Dados'!$P650,Sku!B:B,Sku!#REF!)*20%),2),ROUND(SUM('Banco de Dados'!$R650*_xlfn.XLOOKUP('Banco de Dados'!$P650,Sku!B:B,Sku!H:H)*20%),2)),'Banco de Dados'!$A650="GO",ROUND(_xlfn.XLOOKUP('Banco de Dados'!$P650,Sku!C:C,Sku!H:H),2),'Banco de Dados'!$A650="MEI",ROUND(_xlfn.XLOOKUP('Banco de Dados'!$P650,Sku!D:D,Sku!H:H),2)),0)</f>
        <v>0</v>
      </c>
      <c r="AN650" s="109">
        <f ca="1">IF('Banco de Dados'!$AK650&lt;&gt;"-",IF('Banco de Dados'!$F650&lt;&gt;"-",_xlfn.XLOOKUP(IFERROR(IFERROR(IFERROR(VALUE(SUBSTITUTE(MID(_xlfn.TEXTAFTER('Banco de Dados'!$F650,"Data do Pedido:
",1),1,10),"-","/")),VALUE(SUBSTITUTE(MID(_xlfn.TEXTAFTER('Banco de Dados'!$F650,"Order date:
",1),1,10),"-","/"))),VALUE(SUBSTITUTE(MID(_xlfn.TEXTAFTER('Banco de Dados'!$F650,"Fecha de pedido:
",1),1,10),"-","/"))),"-"),SMS!A:A,SMS!K:K),0),0)</f>
        <v>0</v>
      </c>
      <c r="AO650" s="109">
        <f ca="1">IF('Banco de Dados'!$AK650&lt;&gt;"-",IF('Banco de Dados'!$F650&lt;&gt;"-",IFERROR(_xlfn.XLOOKUP(_xlfn.CONCAT('Banco de Dados'!$A650,IFERROR(IFERROR(VALUE(SUBSTITUTE(MID(_xlfn.TEXTAFTER('Banco de Dados'!$F650,"Data do Pedido:
",1),1,10),"-","/")),VALUE(SUBSTITUTE(MID(_xlfn.TEXTAFTER('Banco de Dados'!$F650,"Order date:
",1),1,10),"-","/"))),0)),ProxyDD[Chave],ProxyDD[Valor por pedido]),PROXY!$P$2),0),0)</f>
        <v>0</v>
      </c>
      <c r="AP650" s="28">
        <f ca="1">IF('Banco de Dados'!$AK650&lt;&gt;"-",IF('Banco de Dados'!$AL650="NÃO",IFERROR(VALUE(SUBSTITUTE(_xlfn.TEXTAFTER('Banco de Dados'!$F650,"BRL ",1),".",",")),0),0),0)</f>
        <v>0</v>
      </c>
      <c r="AQ650" s="28">
        <f ca="1">SUM('Banco de Dados'!$AM650:$AP650)</f>
        <v>0</v>
      </c>
      <c r="AR650" s="8"/>
      <c r="AS650" s="8"/>
      <c r="AY650" s="8"/>
    </row>
    <row r="651" spans="1:51">
      <c r="A651" s="5" t="str">
        <v>BV</v>
      </c>
      <c r="B651" s="5" t="str">
        <f ca="1"/>
        <v>BV45653</v>
      </c>
      <c r="C651" s="8" t="str">
        <v>Pedido 638</v>
      </c>
      <c r="D651" s="9">
        <v>45653</v>
      </c>
      <c r="E651" s="9">
        <v>45653</v>
      </c>
      <c r="F651" s="8" t="str">
        <v>PedidoF622</v>
      </c>
      <c r="G651" s="2" t="str">
        <v>CódRastreio620</v>
      </c>
      <c r="H651" s="5">
        <v>1</v>
      </c>
      <c r="I651" s="182" t="str">
        <v>CPF 618</v>
      </c>
      <c r="J651" s="2" t="str">
        <v>Nome 618</v>
      </c>
      <c r="K651" s="8" t="str">
        <v>Tel 618</v>
      </c>
      <c r="L651" s="8" t="str">
        <v>Cep 618</v>
      </c>
      <c r="M651" s="8" t="str">
        <v>Rua 618</v>
      </c>
      <c r="N651" s="8" t="str">
        <v>Comp 618</v>
      </c>
      <c r="O651" s="8" t="str">
        <v>Ventilador Rosa</v>
      </c>
      <c r="P651" s="8" t="str">
        <v>IF-G2ZQ-79FO</v>
      </c>
      <c r="Q651" s="4">
        <v>45682</v>
      </c>
      <c r="R651" s="109">
        <v>49.4</v>
      </c>
      <c r="S651" s="11">
        <f ca="1"/>
        <v>49.4</v>
      </c>
      <c r="T651" s="28">
        <f ca="1"/>
        <v>6.4219999999999997</v>
      </c>
      <c r="U651" s="11">
        <f ca="1"/>
        <v>42.98</v>
      </c>
      <c r="V651" s="11">
        <v>16.809999999999999</v>
      </c>
      <c r="W651" s="11">
        <f ca="1"/>
        <v>0.25</v>
      </c>
      <c r="X651" s="11">
        <f ca="1"/>
        <v>0.39877104377104378</v>
      </c>
      <c r="Y651" s="11">
        <v>0</v>
      </c>
      <c r="Z651" s="11">
        <f ca="1"/>
        <v>25.521228956228953</v>
      </c>
      <c r="AA651" s="11">
        <f ca="1"/>
        <v>12.760614478114476</v>
      </c>
      <c r="AB651" s="4">
        <f ca="1"/>
        <v>45689</v>
      </c>
      <c r="AC651" s="4">
        <v>45689</v>
      </c>
      <c r="AD651" s="9">
        <v>45693</v>
      </c>
      <c r="AE651" s="9">
        <v>45705</v>
      </c>
      <c r="AF651" s="4" t="str">
        <f t="shared" ca="1" si="23"/>
        <v>2025 02</v>
      </c>
      <c r="AG651" s="8" t="str" cm="1">
        <f t="array" ref="AG651">IFERROR(_xlfn.IFS('Banco de Dados'!#REF!="AG. COMPRA","Em processamento",'Banco de Dados'!#REF!="AG. RASTREIO","Em processamento",'Banco de Dados'!$AE651&lt;&gt;"-","Faturado",'Banco de Dados'!$AD651&lt;&gt;"-","Aguardando Pix",'Banco de Dados'!$AC651&lt;&gt;"-","Pendente"),"Aguardando Liberação")</f>
        <v>Aguardando Liberação</v>
      </c>
      <c r="AH651" s="5" t="str">
        <f>IF('Banco de Dados'!$F651="-",_xlfn.CONCAT(PROPER(TEXT(AK651,"aaaa"))," ",PROPER(TEXT(AK651,"mm"))),_xlfn.CONCAT(PROPER(TEXT(E651,"aaaa"))," ",PROPER(TEXT(E651,"mm"))))</f>
        <v>2024 12</v>
      </c>
      <c r="AI651" s="9" t="str">
        <f ca="1">IF('Banco de Dados'!$AK651&lt;&gt;"-","REEMBOLSO",IFERROR(_xlfn.XLOOKUP(G651,Follow[CODRASTREIO],Follow[STATUS]),"-"))</f>
        <v>ENTREGUE</v>
      </c>
      <c r="AJ651" s="9">
        <f ca="1">IF('Banco de Dados'!$AI651="ENTREGUE",_xlfn.XLOOKUP('Banco de Dados'!$G651,Follow[CODRASTREIO],Follow[DATAATUALIZAÇÃO]),"-")</f>
        <v>45665</v>
      </c>
      <c r="AK651" s="9" t="str">
        <f ca="1"/>
        <v>-</v>
      </c>
      <c r="AL651" s="35"/>
      <c r="AM651" s="109" cm="1">
        <f t="array" aca="1" ref="AM651" ca="1">IF('Banco de Dados'!$AK651&lt;&gt;"-",_xlfn.IFS('Banco de Dados'!$A651="bv",IF('Banco de Dados'!$E651&lt;45641,ROUND(SUM('Banco de Dados'!$R651*_xlfn.XLOOKUP('Banco de Dados'!$P651,Sku!B:B,Sku!#REF!)*20%),2),ROUND(SUM('Banco de Dados'!$R651*_xlfn.XLOOKUP('Banco de Dados'!$P651,Sku!B:B,Sku!H:H)*20%),2)),'Banco de Dados'!$A651="GO",ROUND(_xlfn.XLOOKUP('Banco de Dados'!$P651,Sku!C:C,Sku!H:H),2),'Banco de Dados'!$A651="MEI",ROUND(_xlfn.XLOOKUP('Banco de Dados'!$P651,Sku!D:D,Sku!H:H),2)),0)</f>
        <v>0</v>
      </c>
      <c r="AN651" s="109">
        <f ca="1">IF('Banco de Dados'!$AK651&lt;&gt;"-",IF('Banco de Dados'!$F651&lt;&gt;"-",_xlfn.XLOOKUP(IFERROR(IFERROR(IFERROR(VALUE(SUBSTITUTE(MID(_xlfn.TEXTAFTER('Banco de Dados'!$F651,"Data do Pedido:
",1),1,10),"-","/")),VALUE(SUBSTITUTE(MID(_xlfn.TEXTAFTER('Banco de Dados'!$F651,"Order date:
",1),1,10),"-","/"))),VALUE(SUBSTITUTE(MID(_xlfn.TEXTAFTER('Banco de Dados'!$F651,"Fecha de pedido:
",1),1,10),"-","/"))),"-"),SMS!A:A,SMS!K:K),0),0)</f>
        <v>0</v>
      </c>
      <c r="AO651" s="109">
        <f ca="1">IF('Banco de Dados'!$AK651&lt;&gt;"-",IF('Banco de Dados'!$F651&lt;&gt;"-",IFERROR(_xlfn.XLOOKUP(_xlfn.CONCAT('Banco de Dados'!$A651,IFERROR(IFERROR(VALUE(SUBSTITUTE(MID(_xlfn.TEXTAFTER('Banco de Dados'!$F651,"Data do Pedido:
",1),1,10),"-","/")),VALUE(SUBSTITUTE(MID(_xlfn.TEXTAFTER('Banco de Dados'!$F651,"Order date:
",1),1,10),"-","/"))),0)),ProxyDD[Chave],ProxyDD[Valor por pedido]),PROXY!$P$2),0),0)</f>
        <v>0</v>
      </c>
      <c r="AP651" s="28">
        <f ca="1">IF('Banco de Dados'!$AK651&lt;&gt;"-",IF('Banco de Dados'!$AL651="NÃO",IFERROR(VALUE(SUBSTITUTE(_xlfn.TEXTAFTER('Banco de Dados'!$F651,"BRL ",1),".",",")),0),0),0)</f>
        <v>0</v>
      </c>
      <c r="AQ651" s="28">
        <f ca="1">SUM('Banco de Dados'!$AM651:$AP651)</f>
        <v>0</v>
      </c>
      <c r="AR651" s="8"/>
      <c r="AS651" s="8"/>
      <c r="AY651" s="8"/>
    </row>
    <row r="652" spans="1:51">
      <c r="A652" s="5" t="str">
        <v>BV</v>
      </c>
      <c r="B652" s="5" t="str">
        <f ca="1"/>
        <v>BV45653</v>
      </c>
      <c r="C652" s="8" t="str">
        <v>Pedido 639</v>
      </c>
      <c r="D652" s="9">
        <v>45653</v>
      </c>
      <c r="E652" s="9">
        <v>45653</v>
      </c>
      <c r="F652" s="8" t="str">
        <v>PedidoF623</v>
      </c>
      <c r="G652" s="2" t="str">
        <v>CódRastreio621</v>
      </c>
      <c r="H652" s="5">
        <v>1</v>
      </c>
      <c r="I652" s="182" t="str">
        <v>CPF 619</v>
      </c>
      <c r="J652" s="2" t="str">
        <v>Nome 619</v>
      </c>
      <c r="K652" s="8" t="str">
        <v>Tel 619</v>
      </c>
      <c r="L652" s="8" t="str">
        <v>Cep 619</v>
      </c>
      <c r="M652" s="8" t="str">
        <v>Rua 619</v>
      </c>
      <c r="N652" s="8" t="str">
        <v>Comp 619</v>
      </c>
      <c r="O652" s="8" t="str">
        <v>Adaptador Bluetooph</v>
      </c>
      <c r="P652" s="8" t="str">
        <v>YA-AG3H-SPUK</v>
      </c>
      <c r="Q652" s="4">
        <v>45682</v>
      </c>
      <c r="R652" s="109">
        <v>21.99</v>
      </c>
      <c r="S652" s="11">
        <f ca="1"/>
        <v>21.99</v>
      </c>
      <c r="T652" s="28">
        <f ca="1"/>
        <v>2.6387999999999998</v>
      </c>
      <c r="U652" s="11">
        <f ca="1"/>
        <v>19.350000000000001</v>
      </c>
      <c r="V652" s="11">
        <v>6.99</v>
      </c>
      <c r="W652" s="11">
        <f ca="1"/>
        <v>0.25</v>
      </c>
      <c r="X652" s="11">
        <f ca="1"/>
        <v>0.39877104377104378</v>
      </c>
      <c r="Y652" s="11">
        <v>0</v>
      </c>
      <c r="Z652" s="11">
        <f ca="1"/>
        <v>11.711228956228958</v>
      </c>
      <c r="AA652" s="11">
        <f ca="1"/>
        <v>5.8556144781144788</v>
      </c>
      <c r="AB652" s="4">
        <f ca="1"/>
        <v>45689</v>
      </c>
      <c r="AC652" s="4">
        <v>45689</v>
      </c>
      <c r="AD652" s="9">
        <v>45693</v>
      </c>
      <c r="AE652" s="9">
        <v>45705</v>
      </c>
      <c r="AF652" s="4" t="str">
        <f t="shared" ca="1" si="23"/>
        <v>2025 02</v>
      </c>
      <c r="AG652" s="8" t="str" cm="1">
        <f t="array" ref="AG652">IFERROR(_xlfn.IFS('Banco de Dados'!#REF!="AG. COMPRA","Em processamento",'Banco de Dados'!#REF!="AG. RASTREIO","Em processamento",'Banco de Dados'!$AE652&lt;&gt;"-","Faturado",'Banco de Dados'!$AD652&lt;&gt;"-","Aguardando Pix",'Banco de Dados'!$AC652&lt;&gt;"-","Pendente"),"Aguardando Liberação")</f>
        <v>Aguardando Liberação</v>
      </c>
      <c r="AH652" s="5" t="str">
        <f>IF('Banco de Dados'!$F652="-",_xlfn.CONCAT(PROPER(TEXT(AK652,"aaaa"))," ",PROPER(TEXT(AK652,"mm"))),_xlfn.CONCAT(PROPER(TEXT(E652,"aaaa"))," ",PROPER(TEXT(E652,"mm"))))</f>
        <v>2024 12</v>
      </c>
      <c r="AI652" s="9" t="str">
        <f ca="1">IF('Banco de Dados'!$AK652&lt;&gt;"-","REEMBOLSO",IFERROR(_xlfn.XLOOKUP(G652,Follow[CODRASTREIO],Follow[STATUS]),"-"))</f>
        <v>ENTREGUE</v>
      </c>
      <c r="AJ652" s="9">
        <f ca="1">IF('Banco de Dados'!$AI652="ENTREGUE",_xlfn.XLOOKUP('Banco de Dados'!$G652,Follow[CODRASTREIO],Follow[DATAATUALIZAÇÃO]),"-")</f>
        <v>45672</v>
      </c>
      <c r="AK652" s="9" t="str">
        <f ca="1"/>
        <v>-</v>
      </c>
      <c r="AL652" s="35"/>
      <c r="AM652" s="109" cm="1">
        <f t="array" aca="1" ref="AM652" ca="1">IF('Banco de Dados'!$AK652&lt;&gt;"-",_xlfn.IFS('Banco de Dados'!$A652="bv",IF('Banco de Dados'!$E652&lt;45641,ROUND(SUM('Banco de Dados'!$R652*_xlfn.XLOOKUP('Banco de Dados'!$P652,Sku!B:B,Sku!#REF!)*20%),2),ROUND(SUM('Banco de Dados'!$R652*_xlfn.XLOOKUP('Banco de Dados'!$P652,Sku!B:B,Sku!H:H)*20%),2)),'Banco de Dados'!$A652="GO",ROUND(_xlfn.XLOOKUP('Banco de Dados'!$P652,Sku!C:C,Sku!H:H),2),'Banco de Dados'!$A652="MEI",ROUND(_xlfn.XLOOKUP('Banco de Dados'!$P652,Sku!D:D,Sku!H:H),2)),0)</f>
        <v>0</v>
      </c>
      <c r="AN652" s="109">
        <f ca="1">IF('Banco de Dados'!$AK652&lt;&gt;"-",IF('Banco de Dados'!$F652&lt;&gt;"-",_xlfn.XLOOKUP(IFERROR(IFERROR(IFERROR(VALUE(SUBSTITUTE(MID(_xlfn.TEXTAFTER('Banco de Dados'!$F652,"Data do Pedido:
",1),1,10),"-","/")),VALUE(SUBSTITUTE(MID(_xlfn.TEXTAFTER('Banco de Dados'!$F652,"Order date:
",1),1,10),"-","/"))),VALUE(SUBSTITUTE(MID(_xlfn.TEXTAFTER('Banco de Dados'!$F652,"Fecha de pedido:
",1),1,10),"-","/"))),"-"),SMS!A:A,SMS!K:K),0),0)</f>
        <v>0</v>
      </c>
      <c r="AO652" s="109">
        <f ca="1">IF('Banco de Dados'!$AK652&lt;&gt;"-",IF('Banco de Dados'!$F652&lt;&gt;"-",IFERROR(_xlfn.XLOOKUP(_xlfn.CONCAT('Banco de Dados'!$A652,IFERROR(IFERROR(VALUE(SUBSTITUTE(MID(_xlfn.TEXTAFTER('Banco de Dados'!$F652,"Data do Pedido:
",1),1,10),"-","/")),VALUE(SUBSTITUTE(MID(_xlfn.TEXTAFTER('Banco de Dados'!$F652,"Order date:
",1),1,10),"-","/"))),0)),ProxyDD[Chave],ProxyDD[Valor por pedido]),PROXY!$P$2),0),0)</f>
        <v>0</v>
      </c>
      <c r="AP652" s="28">
        <f ca="1">IF('Banco de Dados'!$AK652&lt;&gt;"-",IF('Banco de Dados'!$AL652="NÃO",IFERROR(VALUE(SUBSTITUTE(_xlfn.TEXTAFTER('Banco de Dados'!$F652,"BRL ",1),".",",")),0),0),0)</f>
        <v>0</v>
      </c>
      <c r="AQ652" s="28">
        <f ca="1">SUM('Banco de Dados'!$AM652:$AP652)</f>
        <v>0</v>
      </c>
      <c r="AR652" s="8"/>
      <c r="AS652" s="8"/>
      <c r="AY652" s="8"/>
    </row>
    <row r="653" spans="1:51">
      <c r="A653" s="5" t="str">
        <v>BV</v>
      </c>
      <c r="B653" s="5" t="str">
        <f ca="1"/>
        <v>BV45653</v>
      </c>
      <c r="C653" s="8" t="str">
        <v>Pedido 640</v>
      </c>
      <c r="D653" s="9">
        <v>45653</v>
      </c>
      <c r="E653" s="9">
        <v>45653</v>
      </c>
      <c r="F653" s="8" t="str">
        <v>PedidoF624</v>
      </c>
      <c r="G653" s="2" t="str">
        <v>CódRastreio622</v>
      </c>
      <c r="H653" s="5">
        <v>1</v>
      </c>
      <c r="I653" s="182" t="str">
        <v>CPF 620</v>
      </c>
      <c r="J653" s="2" t="str">
        <v>Nome 620</v>
      </c>
      <c r="K653" s="8" t="str">
        <v>Tel 620</v>
      </c>
      <c r="L653" s="8" t="str">
        <v>Cep 620</v>
      </c>
      <c r="M653" s="8" t="str">
        <v>Rua 620</v>
      </c>
      <c r="N653" s="8" t="str">
        <v>Comp 620</v>
      </c>
      <c r="O653" s="8" t="str">
        <v>Mini Liquidificador</v>
      </c>
      <c r="P653" s="8" t="str">
        <v>CK-YL6M-P5Y6</v>
      </c>
      <c r="Q653" s="4">
        <v>45674</v>
      </c>
      <c r="R653" s="109">
        <v>33.9</v>
      </c>
      <c r="S653" s="11">
        <f ca="1"/>
        <v>33.9</v>
      </c>
      <c r="T653" s="28">
        <f ca="1"/>
        <v>4.407</v>
      </c>
      <c r="U653" s="11">
        <f ca="1"/>
        <v>29.49</v>
      </c>
      <c r="V653" s="11">
        <v>15.99</v>
      </c>
      <c r="W653" s="11">
        <f ca="1"/>
        <v>0.25</v>
      </c>
      <c r="X653" s="11">
        <f ca="1"/>
        <v>0.39877104377104378</v>
      </c>
      <c r="Y653" s="11">
        <v>0</v>
      </c>
      <c r="Z653" s="11">
        <f ca="1"/>
        <v>12.851228956228951</v>
      </c>
      <c r="AA653" s="11">
        <f ca="1"/>
        <v>6.4256144781144755</v>
      </c>
      <c r="AB653" s="4">
        <f ca="1"/>
        <v>45681</v>
      </c>
      <c r="AC653" s="4">
        <v>45681</v>
      </c>
      <c r="AD653" s="9">
        <v>45688</v>
      </c>
      <c r="AE653" s="9">
        <v>45694</v>
      </c>
      <c r="AF653" s="4" t="str">
        <f t="shared" ca="1" si="23"/>
        <v>2025 01</v>
      </c>
      <c r="AG653" s="8" t="str" cm="1">
        <f t="array" ref="AG653">IFERROR(_xlfn.IFS('Banco de Dados'!#REF!="AG. COMPRA","Em processamento",'Banco de Dados'!#REF!="AG. RASTREIO","Em processamento",'Banco de Dados'!$AE653&lt;&gt;"-","Faturado",'Banco de Dados'!$AD653&lt;&gt;"-","Aguardando Pix",'Banco de Dados'!$AC653&lt;&gt;"-","Pendente"),"Aguardando Liberação")</f>
        <v>Aguardando Liberação</v>
      </c>
      <c r="AH653" s="5" t="str">
        <f>IF('Banco de Dados'!$F653="-",_xlfn.CONCAT(PROPER(TEXT(AK653,"aaaa"))," ",PROPER(TEXT(AK653,"mm"))),_xlfn.CONCAT(PROPER(TEXT(E653,"aaaa"))," ",PROPER(TEXT(E653,"mm"))))</f>
        <v>2024 12</v>
      </c>
      <c r="AI653" s="9" t="str">
        <f ca="1">IF('Banco de Dados'!$AK653&lt;&gt;"-","REEMBOLSO",IFERROR(_xlfn.XLOOKUP(G653,Follow[CODRASTREIO],Follow[STATUS]),"-"))</f>
        <v>ENTREGUE</v>
      </c>
      <c r="AJ653" s="9">
        <f ca="1">IF('Banco de Dados'!$AI653="ENTREGUE",_xlfn.XLOOKUP('Banco de Dados'!$G653,Follow[CODRASTREIO],Follow[DATAATUALIZAÇÃO]),"-")</f>
        <v>45665</v>
      </c>
      <c r="AK653" s="9" t="str">
        <f ca="1"/>
        <v>-</v>
      </c>
      <c r="AL653" s="35"/>
      <c r="AM653" s="109" cm="1">
        <f t="array" aca="1" ref="AM653" ca="1">IF('Banco de Dados'!$AK653&lt;&gt;"-",_xlfn.IFS('Banco de Dados'!$A653="bv",IF('Banco de Dados'!$E653&lt;45641,ROUND(SUM('Banco de Dados'!$R653*_xlfn.XLOOKUP('Banco de Dados'!$P653,Sku!B:B,Sku!#REF!)*20%),2),ROUND(SUM('Banco de Dados'!$R653*_xlfn.XLOOKUP('Banco de Dados'!$P653,Sku!B:B,Sku!H:H)*20%),2)),'Banco de Dados'!$A653="GO",ROUND(_xlfn.XLOOKUP('Banco de Dados'!$P653,Sku!C:C,Sku!H:H),2),'Banco de Dados'!$A653="MEI",ROUND(_xlfn.XLOOKUP('Banco de Dados'!$P653,Sku!D:D,Sku!H:H),2)),0)</f>
        <v>0</v>
      </c>
      <c r="AN653" s="109">
        <f ca="1">IF('Banco de Dados'!$AK653&lt;&gt;"-",IF('Banco de Dados'!$F653&lt;&gt;"-",_xlfn.XLOOKUP(IFERROR(IFERROR(IFERROR(VALUE(SUBSTITUTE(MID(_xlfn.TEXTAFTER('Banco de Dados'!$F653,"Data do Pedido:
",1),1,10),"-","/")),VALUE(SUBSTITUTE(MID(_xlfn.TEXTAFTER('Banco de Dados'!$F653,"Order date:
",1),1,10),"-","/"))),VALUE(SUBSTITUTE(MID(_xlfn.TEXTAFTER('Banco de Dados'!$F653,"Fecha de pedido:
",1),1,10),"-","/"))),"-"),SMS!A:A,SMS!K:K),0),0)</f>
        <v>0</v>
      </c>
      <c r="AO653" s="109">
        <f ca="1">IF('Banco de Dados'!$AK653&lt;&gt;"-",IF('Banco de Dados'!$F653&lt;&gt;"-",IFERROR(_xlfn.XLOOKUP(_xlfn.CONCAT('Banco de Dados'!$A653,IFERROR(IFERROR(VALUE(SUBSTITUTE(MID(_xlfn.TEXTAFTER('Banco de Dados'!$F653,"Data do Pedido:
",1),1,10),"-","/")),VALUE(SUBSTITUTE(MID(_xlfn.TEXTAFTER('Banco de Dados'!$F653,"Order date:
",1),1,10),"-","/"))),0)),ProxyDD[Chave],ProxyDD[Valor por pedido]),PROXY!$P$2),0),0)</f>
        <v>0</v>
      </c>
      <c r="AP653" s="28">
        <f ca="1">IF('Banco de Dados'!$AK653&lt;&gt;"-",IF('Banco de Dados'!$AL653="NÃO",IFERROR(VALUE(SUBSTITUTE(_xlfn.TEXTAFTER('Banco de Dados'!$F653,"BRL ",1),".",",")),0),0),0)</f>
        <v>0</v>
      </c>
      <c r="AQ653" s="28">
        <f ca="1">SUM('Banco de Dados'!$AM653:$AP653)</f>
        <v>0</v>
      </c>
      <c r="AR653" s="8"/>
      <c r="AS653" s="8"/>
      <c r="AY653" s="8"/>
    </row>
    <row r="654" spans="1:51">
      <c r="A654" s="5" t="str">
        <v>BV</v>
      </c>
      <c r="B654" s="5" t="str">
        <f ca="1"/>
        <v>BV-</v>
      </c>
      <c r="C654" s="8" t="str">
        <v>Pedido 641</v>
      </c>
      <c r="D654" s="9">
        <v>45627</v>
      </c>
      <c r="E654" s="9" t="str">
        <v>-</v>
      </c>
      <c r="F654" s="8" t="str">
        <v>-</v>
      </c>
      <c r="G654" s="2" t="str">
        <v>-</v>
      </c>
      <c r="H654" s="5">
        <v>1</v>
      </c>
      <c r="I654" s="182" t="str">
        <v>CPF 621</v>
      </c>
      <c r="J654" s="2" t="str">
        <v>Nome 621</v>
      </c>
      <c r="K654" s="8" t="str">
        <v>Tel 621</v>
      </c>
      <c r="L654" s="8" t="str">
        <v>Cep 621</v>
      </c>
      <c r="M654" s="8" t="str">
        <v>Rua 621</v>
      </c>
      <c r="N654" s="8" t="str">
        <v>Comp 621</v>
      </c>
      <c r="O654" s="8" t="str">
        <v>Ventilador Rosa</v>
      </c>
      <c r="P654" s="8" t="str">
        <v>IF-G2ZQ-79FO</v>
      </c>
      <c r="Q654" s="4">
        <v>45682</v>
      </c>
      <c r="R654" s="109">
        <v>49.4</v>
      </c>
      <c r="S654" s="11">
        <f ca="1"/>
        <v>0</v>
      </c>
      <c r="T654" s="28">
        <f ca="1"/>
        <v>0</v>
      </c>
      <c r="U654" s="11">
        <f ca="1"/>
        <v>0</v>
      </c>
      <c r="V654" s="11">
        <v>0</v>
      </c>
      <c r="W654" s="11">
        <f ca="1"/>
        <v>0</v>
      </c>
      <c r="X654" s="11">
        <f ca="1"/>
        <v>0</v>
      </c>
      <c r="Y654" s="11">
        <v>0</v>
      </c>
      <c r="Z654" s="11">
        <f ca="1"/>
        <v>0</v>
      </c>
      <c r="AA654" s="11">
        <f ca="1"/>
        <v>0</v>
      </c>
      <c r="AB654" s="4">
        <f ca="1"/>
        <v>45689</v>
      </c>
      <c r="AC654" s="4">
        <v>45689</v>
      </c>
      <c r="AD654" s="9">
        <v>45693</v>
      </c>
      <c r="AE654" s="9">
        <v>45705</v>
      </c>
      <c r="AF654" s="4" t="str">
        <f ca="1">_xlfn.CONCAT(PROPER(TEXT(AB654,"aaaa"))," ",PROPER(TEXT(AB654,"mm")))</f>
        <v>2025 02</v>
      </c>
      <c r="AG654" s="8" t="str" cm="1">
        <f t="array" ref="AG654">IFERROR(_xlfn.IFS('Banco de Dados'!#REF!="AG. COMPRA","Em processamento",'Banco de Dados'!#REF!="AG. RASTREIO","Em processamento",'Banco de Dados'!$AE654&lt;&gt;"-","Faturado",'Banco de Dados'!$AD654&lt;&gt;"-","Aguardando Pix",'Banco de Dados'!$AC654&lt;&gt;"-","Pendente"),"Aguardando Liberação")</f>
        <v>Aguardando Liberação</v>
      </c>
      <c r="AH654" s="5" t="str">
        <f ca="1">IF('Banco de Dados'!$F654="-",_xlfn.CONCAT(PROPER(TEXT(AK654,"aaaa"))," ",PROPER(TEXT(AK654,"mm"))),_xlfn.CONCAT(PROPER(TEXT(E654,"aaaa"))," ",PROPER(TEXT(E654,"mm"))))</f>
        <v>2024 12</v>
      </c>
      <c r="AI654" s="9" t="str">
        <f ca="1">IF('Banco de Dados'!$AK654&lt;&gt;"-","REEMBOLSO",IFERROR(_xlfn.XLOOKUP(G654,Follow[CODRASTREIO],Follow[STATUS]),"-"))</f>
        <v>REEMBOLSO</v>
      </c>
      <c r="AJ654" s="9" t="str">
        <f ca="1">IF('Banco de Dados'!$AI654="ENTREGUE",_xlfn.XLOOKUP('Banco de Dados'!$G654,Follow[CODRASTREIO],Follow[DATAATUALIZAÇÃO]),"-")</f>
        <v>-</v>
      </c>
      <c r="AK654" s="9">
        <f ca="1"/>
        <v>45656</v>
      </c>
      <c r="AL654" s="35"/>
      <c r="AM654" s="109">
        <v>1.28</v>
      </c>
      <c r="AN654" s="109">
        <f ca="1">IF('Banco de Dados'!$AK654&lt;&gt;"-",IF('Banco de Dados'!$F654&lt;&gt;"-",_xlfn.XLOOKUP(IFERROR(IFERROR(IFERROR(VALUE(SUBSTITUTE(MID(_xlfn.TEXTAFTER('Banco de Dados'!$F654,"Data do Pedido:
",1),1,10),"-","/")),VALUE(SUBSTITUTE(MID(_xlfn.TEXTAFTER('Banco de Dados'!$F654,"Order date:
",1),1,10),"-","/"))),VALUE(SUBSTITUTE(MID(_xlfn.TEXTAFTER('Banco de Dados'!$F654,"Fecha de pedido:
",1),1,10),"-","/"))),"-"),SMS!A:A,SMS!K:K),0),0)</f>
        <v>0</v>
      </c>
      <c r="AO654" s="109">
        <f ca="1">IF('Banco de Dados'!$AK654&lt;&gt;"-",IF('Banco de Dados'!$F654&lt;&gt;"-",IFERROR(_xlfn.XLOOKUP(_xlfn.CONCAT('Banco de Dados'!$A654,IFERROR(IFERROR(VALUE(SUBSTITUTE(MID(_xlfn.TEXTAFTER('Banco de Dados'!$F654,"Data do Pedido:
",1),1,10),"-","/")),VALUE(SUBSTITUTE(MID(_xlfn.TEXTAFTER('Banco de Dados'!$F654,"Order date:
",1),1,10),"-","/"))),0)),ProxyDD[Chave],ProxyDD[Valor por pedido]),PROXY!$P$2),0),0)</f>
        <v>0</v>
      </c>
      <c r="AP654" s="28">
        <f ca="1">IF('Banco de Dados'!$AK654&lt;&gt;"-",IF('Banco de Dados'!$AL654="NÃO",IFERROR(VALUE(SUBSTITUTE(_xlfn.TEXTAFTER('Banco de Dados'!$F654,"BRL ",1),".",",")),0),0),0)</f>
        <v>0</v>
      </c>
      <c r="AQ654" s="28">
        <f ca="1">SUM('Banco de Dados'!$AM654:$AP654)</f>
        <v>1.28</v>
      </c>
      <c r="AR654" s="8"/>
      <c r="AS654" s="8"/>
      <c r="AY654" s="8"/>
    </row>
    <row r="655" spans="1:51">
      <c r="A655" s="5" t="str">
        <v>BV</v>
      </c>
      <c r="B655" s="5" t="str">
        <f ca="1"/>
        <v>BV45656</v>
      </c>
      <c r="C655" s="8" t="str">
        <v>Pedido 642</v>
      </c>
      <c r="D655" s="9">
        <v>45656</v>
      </c>
      <c r="E655" s="9">
        <v>45656</v>
      </c>
      <c r="F655" s="8" t="str">
        <v>PedidoF625</v>
      </c>
      <c r="G655" s="2" t="str">
        <v>CódRastreio623</v>
      </c>
      <c r="H655" s="5">
        <v>1</v>
      </c>
      <c r="I655" s="182" t="str">
        <v>CPF 622</v>
      </c>
      <c r="J655" s="2" t="str">
        <v>Nome 622</v>
      </c>
      <c r="K655" s="8" t="str">
        <v>Tel 622</v>
      </c>
      <c r="L655" s="8" t="str">
        <v>Cep 622</v>
      </c>
      <c r="M655" s="8" t="str">
        <v>Rua 622</v>
      </c>
      <c r="N655" s="8" t="str">
        <v>Comp 622</v>
      </c>
      <c r="O655" s="8" t="str">
        <v>Ventilador Preto</v>
      </c>
      <c r="P655" s="8" t="str">
        <v>MU-J80P-95WF</v>
      </c>
      <c r="Q655" s="4">
        <v>45682</v>
      </c>
      <c r="R655" s="109">
        <v>65.599999999999994</v>
      </c>
      <c r="S655" s="11">
        <f ca="1"/>
        <v>65.599999999999994</v>
      </c>
      <c r="T655" s="28">
        <f ca="1"/>
        <v>8.5279999999999987</v>
      </c>
      <c r="U655" s="11">
        <f ca="1"/>
        <v>57.07</v>
      </c>
      <c r="V655" s="11">
        <v>19.14</v>
      </c>
      <c r="W655" s="11">
        <f ca="1"/>
        <v>0.24</v>
      </c>
      <c r="X655" s="11">
        <f ca="1"/>
        <v>0.39877104377104378</v>
      </c>
      <c r="Y655" s="11">
        <v>0</v>
      </c>
      <c r="Z655" s="11">
        <f ca="1"/>
        <v>37.291228956228956</v>
      </c>
      <c r="AA655" s="11">
        <f ca="1"/>
        <v>18.645614478114478</v>
      </c>
      <c r="AB655" s="4">
        <f ca="1"/>
        <v>45689</v>
      </c>
      <c r="AC655" s="4">
        <v>45689</v>
      </c>
      <c r="AD655" s="9">
        <v>45693</v>
      </c>
      <c r="AE655" s="9">
        <v>45705</v>
      </c>
      <c r="AF655" s="4" t="str">
        <f t="shared" ref="AF655:AF673" ca="1" si="24">_xlfn.CONCAT(PROPER(TEXT(AB655,"aaaa"))," ",PROPER(TEXT(AB655,"mm")))</f>
        <v>2025 02</v>
      </c>
      <c r="AG655" s="8" t="str" cm="1">
        <f t="array" ref="AG655">IFERROR(_xlfn.IFS('Banco de Dados'!#REF!="AG. COMPRA","Em processamento",'Banco de Dados'!#REF!="AG. RASTREIO","Em processamento",'Banco de Dados'!$AE655&lt;&gt;"-","Faturado",'Banco de Dados'!$AD655&lt;&gt;"-","Aguardando Pix",'Banco de Dados'!$AC655&lt;&gt;"-","Pendente"),"Aguardando Liberação")</f>
        <v>Aguardando Liberação</v>
      </c>
      <c r="AH655" s="5" t="str">
        <f>IF('Banco de Dados'!$F655="-",_xlfn.CONCAT(PROPER(TEXT(AK655,"aaaa"))," ",PROPER(TEXT(AK655,"mm"))),_xlfn.CONCAT(PROPER(TEXT(E655,"aaaa"))," ",PROPER(TEXT(E655,"mm"))))</f>
        <v>2024 12</v>
      </c>
      <c r="AI655" s="9" t="str">
        <f ca="1">IF('Banco de Dados'!$AK655&lt;&gt;"-","REEMBOLSO",IFERROR(_xlfn.XLOOKUP(G655,Follow[CODRASTREIO],Follow[STATUS]),"-"))</f>
        <v>ENTREGUE</v>
      </c>
      <c r="AJ655" s="9">
        <f ca="1">IF('Banco de Dados'!$AI655="ENTREGUE",_xlfn.XLOOKUP('Banco de Dados'!$G655,Follow[CODRASTREIO],Follow[DATAATUALIZAÇÃO]),"-")</f>
        <v>45665</v>
      </c>
      <c r="AK655" s="9" t="str">
        <f ca="1"/>
        <v>-</v>
      </c>
      <c r="AL655" s="35"/>
      <c r="AM655" s="109" cm="1">
        <f t="array" aca="1" ref="AM655" ca="1">IF('Banco de Dados'!$AK655&lt;&gt;"-",_xlfn.IFS('Banco de Dados'!$A655="bv",IF('Banco de Dados'!$E655&lt;45641,ROUND(SUM('Banco de Dados'!$R655*_xlfn.XLOOKUP('Banco de Dados'!$P655,Sku!B:B,Sku!#REF!)*20%),2),ROUND(SUM('Banco de Dados'!$R655*_xlfn.XLOOKUP('Banco de Dados'!$P655,Sku!B:B,Sku!H:H)*20%),2)),'Banco de Dados'!$A655="GO",ROUND(_xlfn.XLOOKUP('Banco de Dados'!$P655,Sku!C:C,Sku!H:H),2),'Banco de Dados'!$A655="MEI",ROUND(_xlfn.XLOOKUP('Banco de Dados'!$P655,Sku!D:D,Sku!H:H),2)),0)</f>
        <v>0</v>
      </c>
      <c r="AN655" s="109">
        <f ca="1">IF('Banco de Dados'!$AK655&lt;&gt;"-",IF('Banco de Dados'!$F655&lt;&gt;"-",_xlfn.XLOOKUP(IFERROR(IFERROR(IFERROR(VALUE(SUBSTITUTE(MID(_xlfn.TEXTAFTER('Banco de Dados'!$F655,"Data do Pedido:
",1),1,10),"-","/")),VALUE(SUBSTITUTE(MID(_xlfn.TEXTAFTER('Banco de Dados'!$F655,"Order date:
",1),1,10),"-","/"))),VALUE(SUBSTITUTE(MID(_xlfn.TEXTAFTER('Banco de Dados'!$F655,"Fecha de pedido:
",1),1,10),"-","/"))),"-"),SMS!A:A,SMS!K:K),0),0)</f>
        <v>0</v>
      </c>
      <c r="AO655" s="109">
        <f ca="1">IF('Banco de Dados'!$AK655&lt;&gt;"-",IF('Banco de Dados'!$F655&lt;&gt;"-",IFERROR(_xlfn.XLOOKUP(_xlfn.CONCAT('Banco de Dados'!$A655,IFERROR(IFERROR(VALUE(SUBSTITUTE(MID(_xlfn.TEXTAFTER('Banco de Dados'!$F655,"Data do Pedido:
",1),1,10),"-","/")),VALUE(SUBSTITUTE(MID(_xlfn.TEXTAFTER('Banco de Dados'!$F655,"Order date:
",1),1,10),"-","/"))),0)),ProxyDD[Chave],ProxyDD[Valor por pedido]),PROXY!$P$2),0),0)</f>
        <v>0</v>
      </c>
      <c r="AP655" s="28">
        <f ca="1">IF('Banco de Dados'!$AK655&lt;&gt;"-",IF('Banco de Dados'!$AL655="NÃO",IFERROR(VALUE(SUBSTITUTE(_xlfn.TEXTAFTER('Banco de Dados'!$F655,"BRL ",1),".",",")),0),0),0)</f>
        <v>0</v>
      </c>
      <c r="AQ655" s="28">
        <f ca="1">SUM('Banco de Dados'!$AM655:$AP655)</f>
        <v>0</v>
      </c>
      <c r="AR655" s="8"/>
      <c r="AS655" s="8"/>
      <c r="AY655" s="8"/>
    </row>
    <row r="656" spans="1:51">
      <c r="A656" s="5" t="str">
        <v>BV</v>
      </c>
      <c r="B656" s="5" t="str">
        <f ca="1"/>
        <v>BV45656</v>
      </c>
      <c r="C656" s="8" t="str">
        <v>Pedido 643</v>
      </c>
      <c r="D656" s="9">
        <v>45656</v>
      </c>
      <c r="E656" s="9">
        <v>45656</v>
      </c>
      <c r="F656" s="8" t="str">
        <v>PedidoF626</v>
      </c>
      <c r="G656" s="2" t="str">
        <v>CódRastreio624</v>
      </c>
      <c r="H656" s="5">
        <v>1</v>
      </c>
      <c r="I656" s="182" t="str">
        <v>CPF 623</v>
      </c>
      <c r="J656" s="2" t="str">
        <v>Nome 623</v>
      </c>
      <c r="K656" s="8" t="str">
        <v>Tel 623</v>
      </c>
      <c r="L656" s="8" t="str">
        <v>Cep 623</v>
      </c>
      <c r="M656" s="8" t="str">
        <v>Rua 623</v>
      </c>
      <c r="N656" s="8" t="str">
        <v>Comp 623</v>
      </c>
      <c r="O656" s="8" t="str">
        <v>Garrafa Termica</v>
      </c>
      <c r="P656" s="8" t="str">
        <v>FM-QQ8Y-RZT4</v>
      </c>
      <c r="Q656" s="4">
        <v>45682</v>
      </c>
      <c r="R656" s="109">
        <v>34.9</v>
      </c>
      <c r="S656" s="11">
        <f ca="1"/>
        <v>34.9</v>
      </c>
      <c r="T656" s="28">
        <f ca="1"/>
        <v>4.5369999999999999</v>
      </c>
      <c r="U656" s="11">
        <f ca="1"/>
        <v>30.36</v>
      </c>
      <c r="V656" s="11">
        <v>15.97</v>
      </c>
      <c r="W656" s="11">
        <f ca="1"/>
        <v>0.24</v>
      </c>
      <c r="X656" s="11">
        <f ca="1"/>
        <v>0.39877104377104378</v>
      </c>
      <c r="Y656" s="11">
        <v>0</v>
      </c>
      <c r="Z656" s="11">
        <f ca="1"/>
        <v>13.751228956228953</v>
      </c>
      <c r="AA656" s="11">
        <f ca="1"/>
        <v>6.8756144781144766</v>
      </c>
      <c r="AB656" s="4">
        <f ca="1"/>
        <v>45689</v>
      </c>
      <c r="AC656" s="4">
        <v>45689</v>
      </c>
      <c r="AD656" s="9">
        <v>45693</v>
      </c>
      <c r="AE656" s="9">
        <v>45705</v>
      </c>
      <c r="AF656" s="4" t="str">
        <f t="shared" ca="1" si="24"/>
        <v>2025 02</v>
      </c>
      <c r="AG656" s="8" t="str" cm="1">
        <f t="array" ref="AG656">IFERROR(_xlfn.IFS('Banco de Dados'!#REF!="AG. COMPRA","Em processamento",'Banco de Dados'!#REF!="AG. RASTREIO","Em processamento",'Banco de Dados'!$AE656&lt;&gt;"-","Faturado",'Banco de Dados'!$AD656&lt;&gt;"-","Aguardando Pix",'Banco de Dados'!$AC656&lt;&gt;"-","Pendente"),"Aguardando Liberação")</f>
        <v>Aguardando Liberação</v>
      </c>
      <c r="AH656" s="5" t="str">
        <f>IF('Banco de Dados'!$F656="-",_xlfn.CONCAT(PROPER(TEXT(AK656,"aaaa"))," ",PROPER(TEXT(AK656,"mm"))),_xlfn.CONCAT(PROPER(TEXT(E656,"aaaa"))," ",PROPER(TEXT(E656,"mm"))))</f>
        <v>2024 12</v>
      </c>
      <c r="AI656" s="9" t="str">
        <f ca="1">IF('Banco de Dados'!$AK656&lt;&gt;"-","REEMBOLSO",IFERROR(_xlfn.XLOOKUP(G656,Follow[CODRASTREIO],Follow[STATUS]),"-"))</f>
        <v>ENTREGUE</v>
      </c>
      <c r="AJ656" s="9">
        <f ca="1">IF('Banco de Dados'!$AI656="ENTREGUE",_xlfn.XLOOKUP('Banco de Dados'!$G656,Follow[CODRASTREIO],Follow[DATAATUALIZAÇÃO]),"-")</f>
        <v>45667</v>
      </c>
      <c r="AK656" s="9" t="str">
        <f ca="1"/>
        <v>-</v>
      </c>
      <c r="AL656" s="35"/>
      <c r="AM656" s="109" cm="1">
        <f t="array" aca="1" ref="AM656" ca="1">IF('Banco de Dados'!$AK656&lt;&gt;"-",_xlfn.IFS('Banco de Dados'!$A656="bv",IF('Banco de Dados'!$E656&lt;45641,ROUND(SUM('Banco de Dados'!$R656*_xlfn.XLOOKUP('Banco de Dados'!$P656,Sku!B:B,Sku!#REF!)*20%),2),ROUND(SUM('Banco de Dados'!$R656*_xlfn.XLOOKUP('Banco de Dados'!$P656,Sku!B:B,Sku!H:H)*20%),2)),'Banco de Dados'!$A656="GO",ROUND(_xlfn.XLOOKUP('Banco de Dados'!$P656,Sku!C:C,Sku!H:H),2),'Banco de Dados'!$A656="MEI",ROUND(_xlfn.XLOOKUP('Banco de Dados'!$P656,Sku!D:D,Sku!H:H),2)),0)</f>
        <v>0</v>
      </c>
      <c r="AN656" s="109">
        <f ca="1">IF('Banco de Dados'!$AK656&lt;&gt;"-",IF('Banco de Dados'!$F656&lt;&gt;"-",_xlfn.XLOOKUP(IFERROR(IFERROR(IFERROR(VALUE(SUBSTITUTE(MID(_xlfn.TEXTAFTER('Banco de Dados'!$F656,"Data do Pedido:
",1),1,10),"-","/")),VALUE(SUBSTITUTE(MID(_xlfn.TEXTAFTER('Banco de Dados'!$F656,"Order date:
",1),1,10),"-","/"))),VALUE(SUBSTITUTE(MID(_xlfn.TEXTAFTER('Banco de Dados'!$F656,"Fecha de pedido:
",1),1,10),"-","/"))),"-"),SMS!A:A,SMS!K:K),0),0)</f>
        <v>0</v>
      </c>
      <c r="AO656" s="109">
        <f ca="1">IF('Banco de Dados'!$AK656&lt;&gt;"-",IF('Banco de Dados'!$F656&lt;&gt;"-",IFERROR(_xlfn.XLOOKUP(_xlfn.CONCAT('Banco de Dados'!$A656,IFERROR(IFERROR(VALUE(SUBSTITUTE(MID(_xlfn.TEXTAFTER('Banco de Dados'!$F656,"Data do Pedido:
",1),1,10),"-","/")),VALUE(SUBSTITUTE(MID(_xlfn.TEXTAFTER('Banco de Dados'!$F656,"Order date:
",1),1,10),"-","/"))),0)),ProxyDD[Chave],ProxyDD[Valor por pedido]),PROXY!$P$2),0),0)</f>
        <v>0</v>
      </c>
      <c r="AP656" s="28">
        <f ca="1">IF('Banco de Dados'!$AK656&lt;&gt;"-",IF('Banco de Dados'!$AL656="NÃO",IFERROR(VALUE(SUBSTITUTE(_xlfn.TEXTAFTER('Banco de Dados'!$F656,"BRL ",1),".",",")),0),0),0)</f>
        <v>0</v>
      </c>
      <c r="AQ656" s="28">
        <f ca="1">SUM('Banco de Dados'!$AM656:$AP656)</f>
        <v>0</v>
      </c>
      <c r="AR656" s="8"/>
      <c r="AS656" s="8"/>
      <c r="AY656" s="8"/>
    </row>
    <row r="657" spans="1:51">
      <c r="A657" s="5" t="str">
        <v>BV</v>
      </c>
      <c r="B657" s="5" t="str">
        <f ca="1"/>
        <v>BV45656</v>
      </c>
      <c r="C657" s="8" t="str">
        <v>Pedido 644</v>
      </c>
      <c r="D657" s="9">
        <v>45656</v>
      </c>
      <c r="E657" s="9">
        <v>45656</v>
      </c>
      <c r="F657" s="8" t="str">
        <v>PedidoF627</v>
      </c>
      <c r="G657" s="2" t="str">
        <v>CódRastreio625</v>
      </c>
      <c r="H657" s="5">
        <v>1</v>
      </c>
      <c r="I657" s="182" t="str">
        <v>CPF 624</v>
      </c>
      <c r="J657" s="2" t="str">
        <v>Nome 624</v>
      </c>
      <c r="K657" s="8" t="str">
        <v>Tel 624</v>
      </c>
      <c r="L657" s="8" t="str">
        <v>Cep 624</v>
      </c>
      <c r="M657" s="8" t="str">
        <v>Rua 624</v>
      </c>
      <c r="N657" s="8" t="str">
        <v>Comp 624</v>
      </c>
      <c r="O657" s="8" t="str">
        <v>Adaptador Bluetooph</v>
      </c>
      <c r="P657" s="8" t="str">
        <v>YA-AG3H-SPUK</v>
      </c>
      <c r="Q657" s="4">
        <v>45682</v>
      </c>
      <c r="R657" s="109">
        <v>21.99</v>
      </c>
      <c r="S657" s="11">
        <f ca="1"/>
        <v>21.99</v>
      </c>
      <c r="T657" s="28">
        <f ca="1"/>
        <v>2.6387999999999998</v>
      </c>
      <c r="U657" s="11">
        <f ca="1"/>
        <v>19.350000000000001</v>
      </c>
      <c r="V657" s="11">
        <v>6.99</v>
      </c>
      <c r="W657" s="11">
        <f ca="1"/>
        <v>0.24</v>
      </c>
      <c r="X657" s="11">
        <f ca="1"/>
        <v>0.39877104377104378</v>
      </c>
      <c r="Y657" s="11">
        <v>0</v>
      </c>
      <c r="Z657" s="11">
        <f ca="1"/>
        <v>11.721228956228957</v>
      </c>
      <c r="AA657" s="11">
        <f ca="1"/>
        <v>5.8606144781144787</v>
      </c>
      <c r="AB657" s="4">
        <f ca="1"/>
        <v>45689</v>
      </c>
      <c r="AC657" s="4">
        <v>45689</v>
      </c>
      <c r="AD657" s="9">
        <v>45693</v>
      </c>
      <c r="AE657" s="9">
        <v>45705</v>
      </c>
      <c r="AF657" s="4" t="str">
        <f t="shared" ca="1" si="24"/>
        <v>2025 02</v>
      </c>
      <c r="AG657" s="8" t="str" cm="1">
        <f t="array" ref="AG657">IFERROR(_xlfn.IFS('Banco de Dados'!#REF!="AG. COMPRA","Em processamento",'Banco de Dados'!#REF!="AG. RASTREIO","Em processamento",'Banco de Dados'!$AE657&lt;&gt;"-","Faturado",'Banco de Dados'!$AD657&lt;&gt;"-","Aguardando Pix",'Banco de Dados'!$AC657&lt;&gt;"-","Pendente"),"Aguardando Liberação")</f>
        <v>Aguardando Liberação</v>
      </c>
      <c r="AH657" s="5" t="str">
        <f>IF('Banco de Dados'!$F657="-",_xlfn.CONCAT(PROPER(TEXT(AK657,"aaaa"))," ",PROPER(TEXT(AK657,"mm"))),_xlfn.CONCAT(PROPER(TEXT(E657,"aaaa"))," ",PROPER(TEXT(E657,"mm"))))</f>
        <v>2024 12</v>
      </c>
      <c r="AI657" s="9" t="str">
        <f ca="1">IF('Banco de Dados'!$AK657&lt;&gt;"-","REEMBOLSO",IFERROR(_xlfn.XLOOKUP(G657,Follow[CODRASTREIO],Follow[STATUS]),"-"))</f>
        <v>ENTREGUE</v>
      </c>
      <c r="AJ657" s="9">
        <f ca="1">IF('Banco de Dados'!$AI657="ENTREGUE",_xlfn.XLOOKUP('Banco de Dados'!$G657,Follow[CODRASTREIO],Follow[DATAATUALIZAÇÃO]),"-")</f>
        <v>45673</v>
      </c>
      <c r="AK657" s="9" t="str">
        <f ca="1"/>
        <v>-</v>
      </c>
      <c r="AL657" s="35"/>
      <c r="AM657" s="109" cm="1">
        <f t="array" aca="1" ref="AM657" ca="1">IF('Banco de Dados'!$AK657&lt;&gt;"-",_xlfn.IFS('Banco de Dados'!$A657="bv",IF('Banco de Dados'!$E657&lt;45641,ROUND(SUM('Banco de Dados'!$R657*_xlfn.XLOOKUP('Banco de Dados'!$P657,Sku!B:B,Sku!#REF!)*20%),2),ROUND(SUM('Banco de Dados'!$R657*_xlfn.XLOOKUP('Banco de Dados'!$P657,Sku!B:B,Sku!H:H)*20%),2)),'Banco de Dados'!$A657="GO",ROUND(_xlfn.XLOOKUP('Banco de Dados'!$P657,Sku!C:C,Sku!H:H),2),'Banco de Dados'!$A657="MEI",ROUND(_xlfn.XLOOKUP('Banco de Dados'!$P657,Sku!D:D,Sku!H:H),2)),0)</f>
        <v>0</v>
      </c>
      <c r="AN657" s="109">
        <f ca="1">IF('Banco de Dados'!$AK657&lt;&gt;"-",IF('Banco de Dados'!$F657&lt;&gt;"-",_xlfn.XLOOKUP(IFERROR(IFERROR(IFERROR(VALUE(SUBSTITUTE(MID(_xlfn.TEXTAFTER('Banco de Dados'!$F657,"Data do Pedido:
",1),1,10),"-","/")),VALUE(SUBSTITUTE(MID(_xlfn.TEXTAFTER('Banco de Dados'!$F657,"Order date:
",1),1,10),"-","/"))),VALUE(SUBSTITUTE(MID(_xlfn.TEXTAFTER('Banco de Dados'!$F657,"Fecha de pedido:
",1),1,10),"-","/"))),"-"),SMS!A:A,SMS!K:K),0),0)</f>
        <v>0</v>
      </c>
      <c r="AO657" s="109">
        <f ca="1">IF('Banco de Dados'!$AK657&lt;&gt;"-",IF('Banco de Dados'!$F657&lt;&gt;"-",IFERROR(_xlfn.XLOOKUP(_xlfn.CONCAT('Banco de Dados'!$A657,IFERROR(IFERROR(VALUE(SUBSTITUTE(MID(_xlfn.TEXTAFTER('Banco de Dados'!$F657,"Data do Pedido:
",1),1,10),"-","/")),VALUE(SUBSTITUTE(MID(_xlfn.TEXTAFTER('Banco de Dados'!$F657,"Order date:
",1),1,10),"-","/"))),0)),ProxyDD[Chave],ProxyDD[Valor por pedido]),PROXY!$P$2),0),0)</f>
        <v>0</v>
      </c>
      <c r="AP657" s="28">
        <f ca="1">IF('Banco de Dados'!$AK657&lt;&gt;"-",IF('Banco de Dados'!$AL657="NÃO",IFERROR(VALUE(SUBSTITUTE(_xlfn.TEXTAFTER('Banco de Dados'!$F657,"BRL ",1),".",",")),0),0),0)</f>
        <v>0</v>
      </c>
      <c r="AQ657" s="28">
        <f ca="1">SUM('Banco de Dados'!$AM657:$AP657)</f>
        <v>0</v>
      </c>
      <c r="AR657" s="8"/>
      <c r="AS657" s="8"/>
      <c r="AY657" s="8"/>
    </row>
    <row r="658" spans="1:51">
      <c r="A658" s="5" t="str">
        <v>BV</v>
      </c>
      <c r="B658" s="5" t="str">
        <f ca="1"/>
        <v>BV45659</v>
      </c>
      <c r="C658" s="8" t="str">
        <v>Pedido 645</v>
      </c>
      <c r="D658" s="9">
        <v>45659</v>
      </c>
      <c r="E658" s="9">
        <v>45659</v>
      </c>
      <c r="F658" s="8" t="str">
        <v>PedidoF628</v>
      </c>
      <c r="G658" s="2" t="str">
        <v>CódRastreio626</v>
      </c>
      <c r="H658" s="5">
        <v>1</v>
      </c>
      <c r="I658" s="182" t="str">
        <v>CPF 625</v>
      </c>
      <c r="J658" s="2" t="str">
        <v>Nome 625</v>
      </c>
      <c r="K658" s="8" t="str">
        <v>Tel 625</v>
      </c>
      <c r="L658" s="8" t="str">
        <v>Cep 625</v>
      </c>
      <c r="M658" s="8" t="str">
        <v>Rua 625</v>
      </c>
      <c r="N658" s="8" t="str">
        <v>Comp 625</v>
      </c>
      <c r="O658" s="8" t="str">
        <v>Copo Termico</v>
      </c>
      <c r="P658" s="8" t="str">
        <v>KN-TBQL-K2MM</v>
      </c>
      <c r="Q658" s="4">
        <v>45674</v>
      </c>
      <c r="R658" s="109">
        <v>27.99</v>
      </c>
      <c r="S658" s="11">
        <f ca="1"/>
        <v>0</v>
      </c>
      <c r="T658" s="28">
        <f ca="1"/>
        <v>0</v>
      </c>
      <c r="U658" s="11">
        <f ca="1"/>
        <v>0</v>
      </c>
      <c r="V658" s="11">
        <v>0</v>
      </c>
      <c r="W658" s="11">
        <f ca="1"/>
        <v>0</v>
      </c>
      <c r="X658" s="11">
        <f ca="1"/>
        <v>0.39877104377104378</v>
      </c>
      <c r="Y658" s="11">
        <v>0</v>
      </c>
      <c r="Z658" s="11">
        <f ca="1"/>
        <v>-0.39877104377104378</v>
      </c>
      <c r="AA658" s="11">
        <f ca="1"/>
        <v>-0.19938552188552189</v>
      </c>
      <c r="AB658" s="4">
        <f ca="1"/>
        <v>45681</v>
      </c>
      <c r="AC658" s="4">
        <v>45681</v>
      </c>
      <c r="AD658" s="9">
        <v>45688</v>
      </c>
      <c r="AE658" s="9">
        <v>45694</v>
      </c>
      <c r="AF658" s="4" t="str">
        <f t="shared" ca="1" si="24"/>
        <v>2025 01</v>
      </c>
      <c r="AG658" s="8" t="str" cm="1">
        <f t="array" ref="AG658">IFERROR(_xlfn.IFS('Banco de Dados'!#REF!="AG. COMPRA","Em processamento",'Banco de Dados'!#REF!="AG. RASTREIO","Em processamento",'Banco de Dados'!$AE658&lt;&gt;"-","Faturado",'Banco de Dados'!$AD658&lt;&gt;"-","Aguardando Pix",'Banco de Dados'!$AC658&lt;&gt;"-","Pendente"),"Aguardando Liberação")</f>
        <v>Aguardando Liberação</v>
      </c>
      <c r="AH658" s="5" t="str">
        <f>IF('Banco de Dados'!$F658="-",_xlfn.CONCAT(PROPER(TEXT(AK658,"aaaa"))," ",PROPER(TEXT(AK658,"mm"))),_xlfn.CONCAT(PROPER(TEXT(E658,"aaaa"))," ",PROPER(TEXT(E658,"mm"))))</f>
        <v>2025 01</v>
      </c>
      <c r="AI658" s="9" t="str">
        <f ca="1">IF('Banco de Dados'!$AK658&lt;&gt;"-","REEMBOLSO",IFERROR(_xlfn.XLOOKUP(G658,Follow[CODRASTREIO],Follow[STATUS]),"-"))</f>
        <v>REEMBOLSO</v>
      </c>
      <c r="AJ658" s="9" t="str">
        <f ca="1">IF('Banco de Dados'!$AI658="ENTREGUE",_xlfn.XLOOKUP('Banco de Dados'!$G658,Follow[CODRASTREIO],Follow[DATAATUALIZAÇÃO]),"-")</f>
        <v>-</v>
      </c>
      <c r="AK658" s="9">
        <f ca="1"/>
        <v>45680</v>
      </c>
      <c r="AL658" s="35"/>
      <c r="AM658" s="109">
        <v>0.73</v>
      </c>
      <c r="AN658" s="109" t="e">
        <f ca="1">IF('Banco de Dados'!$AK658&lt;&gt;"-",IF('Banco de Dados'!$F658&lt;&gt;"-",_xlfn.XLOOKUP(IFERROR(IFERROR(IFERROR(VALUE(SUBSTITUTE(MID(_xlfn.TEXTAFTER('Banco de Dados'!$F658,"Data do Pedido:
",1),1,10),"-","/")),VALUE(SUBSTITUTE(MID(_xlfn.TEXTAFTER('Banco de Dados'!$F658,"Order date:
",1),1,10),"-","/"))),VALUE(SUBSTITUTE(MID(_xlfn.TEXTAFTER('Banco de Dados'!$F658,"Fecha de pedido:
",1),1,10),"-","/"))),"-"),SMS!A:A,SMS!K:K),0),0)</f>
        <v>#N/A</v>
      </c>
      <c r="AO658" s="109">
        <f ca="1">IF('Banco de Dados'!$AK658&lt;&gt;"-",IF('Banco de Dados'!$F658&lt;&gt;"-",IFERROR(_xlfn.XLOOKUP(_xlfn.CONCAT('Banco de Dados'!$A658,IFERROR(IFERROR(VALUE(SUBSTITUTE(MID(_xlfn.TEXTAFTER('Banco de Dados'!$F658,"Data do Pedido:
",1),1,10),"-","/")),VALUE(SUBSTITUTE(MID(_xlfn.TEXTAFTER('Banco de Dados'!$F658,"Order date:
",1),1,10),"-","/"))),0)),ProxyDD[Chave],ProxyDD[Valor por pedido]),PROXY!$P$2),0),0)</f>
        <v>0.39877104377104378</v>
      </c>
      <c r="AP658" s="28">
        <f ca="1">IF('Banco de Dados'!$AK658&lt;&gt;"-",IF('Banco de Dados'!$AL658="NÃO",IFERROR(VALUE(SUBSTITUTE(_xlfn.TEXTAFTER('Banco de Dados'!$F658,"BRL ",1),".",",")),0),0),0)</f>
        <v>0</v>
      </c>
      <c r="AQ658" s="28" t="e">
        <f ca="1">SUM('Banco de Dados'!$AM658:$AP658)</f>
        <v>#N/A</v>
      </c>
      <c r="AR658" s="8"/>
      <c r="AS658" s="8"/>
      <c r="AY658" s="8"/>
    </row>
    <row r="659" spans="1:51">
      <c r="A659" s="5" t="str">
        <v>BV</v>
      </c>
      <c r="B659" s="5" t="str">
        <f ca="1"/>
        <v>BV45659</v>
      </c>
      <c r="C659" s="8" t="str">
        <v>Pedido 646</v>
      </c>
      <c r="D659" s="9">
        <v>45659</v>
      </c>
      <c r="E659" s="9">
        <v>45659</v>
      </c>
      <c r="F659" s="8" t="str">
        <v>PedidoF629</v>
      </c>
      <c r="G659" s="2" t="str">
        <v>CódRastreio627</v>
      </c>
      <c r="H659" s="5">
        <v>1</v>
      </c>
      <c r="I659" s="182" t="str">
        <v>CPF 626</v>
      </c>
      <c r="J659" s="2" t="str">
        <v>Nome 626</v>
      </c>
      <c r="K659" s="8" t="str">
        <v>Tel 626</v>
      </c>
      <c r="L659" s="8" t="str">
        <v>Cep 626</v>
      </c>
      <c r="M659" s="8" t="str">
        <v>Rua 626</v>
      </c>
      <c r="N659" s="8" t="str">
        <v>Comp 626</v>
      </c>
      <c r="O659" s="8" t="str">
        <v>Adaptador Bluetooph</v>
      </c>
      <c r="P659" s="8" t="str">
        <v>YA-AG3H-SPUK</v>
      </c>
      <c r="Q659" s="4">
        <v>45678</v>
      </c>
      <c r="R659" s="109">
        <v>21.99</v>
      </c>
      <c r="S659" s="11">
        <f ca="1"/>
        <v>21.99</v>
      </c>
      <c r="T659" s="28">
        <f ca="1"/>
        <v>2.6387999999999998</v>
      </c>
      <c r="U659" s="11">
        <f ca="1"/>
        <v>19.350000000000001</v>
      </c>
      <c r="V659" s="11">
        <v>6.99</v>
      </c>
      <c r="W659" s="11">
        <f ca="1"/>
        <v>0.16</v>
      </c>
      <c r="X659" s="11">
        <f ca="1"/>
        <v>0.39877104377104378</v>
      </c>
      <c r="Y659" s="11">
        <v>0</v>
      </c>
      <c r="Z659" s="11">
        <f ca="1"/>
        <v>11.801228956228957</v>
      </c>
      <c r="AA659" s="11">
        <f ca="1"/>
        <v>5.9006144781144787</v>
      </c>
      <c r="AB659" s="4">
        <f ca="1"/>
        <v>45685</v>
      </c>
      <c r="AC659" s="4">
        <v>45685</v>
      </c>
      <c r="AD659" s="9">
        <v>45688</v>
      </c>
      <c r="AE659" s="9">
        <v>45694</v>
      </c>
      <c r="AF659" s="4" t="str">
        <f t="shared" ca="1" si="24"/>
        <v>2025 01</v>
      </c>
      <c r="AG659" s="8" t="str" cm="1">
        <f t="array" ref="AG659">IFERROR(_xlfn.IFS('Banco de Dados'!#REF!="AG. COMPRA","Em processamento",'Banco de Dados'!#REF!="AG. RASTREIO","Em processamento",'Banco de Dados'!$AE659&lt;&gt;"-","Faturado",'Banco de Dados'!$AD659&lt;&gt;"-","Aguardando Pix",'Banco de Dados'!$AC659&lt;&gt;"-","Pendente"),"Aguardando Liberação")</f>
        <v>Aguardando Liberação</v>
      </c>
      <c r="AH659" s="5" t="str">
        <f>IF('Banco de Dados'!$F659="-",_xlfn.CONCAT(PROPER(TEXT(AK659,"aaaa"))," ",PROPER(TEXT(AK659,"mm"))),_xlfn.CONCAT(PROPER(TEXT(E659,"aaaa"))," ",PROPER(TEXT(E659,"mm"))))</f>
        <v>2025 01</v>
      </c>
      <c r="AI659" s="9" t="str">
        <f ca="1">IF('Banco de Dados'!$AK659&lt;&gt;"-","REEMBOLSO",IFERROR(_xlfn.XLOOKUP(G659,Follow[CODRASTREIO],Follow[STATUS]),"-"))</f>
        <v>ENTREGUE</v>
      </c>
      <c r="AJ659" s="9">
        <f ca="1">IF('Banco de Dados'!$AI659="ENTREGUE",_xlfn.XLOOKUP('Banco de Dados'!$G659,Follow[CODRASTREIO],Follow[DATAATUALIZAÇÃO]),"-")</f>
        <v>45667</v>
      </c>
      <c r="AK659" s="9" t="str">
        <f ca="1"/>
        <v>-</v>
      </c>
      <c r="AL659" s="35"/>
      <c r="AM659" s="109" cm="1">
        <f t="array" aca="1" ref="AM659" ca="1">IF('Banco de Dados'!$AK659&lt;&gt;"-",_xlfn.IFS('Banco de Dados'!$A659="bv",IF('Banco de Dados'!$E659&lt;45641,ROUND(SUM('Banco de Dados'!$R659*_xlfn.XLOOKUP('Banco de Dados'!$P659,Sku!B:B,Sku!#REF!)*20%),2),ROUND(SUM('Banco de Dados'!$R659*_xlfn.XLOOKUP('Banco de Dados'!$P659,Sku!B:B,Sku!H:H)*20%),2)),'Banco de Dados'!$A659="GO",ROUND(_xlfn.XLOOKUP('Banco de Dados'!$P659,Sku!C:C,Sku!H:H),2),'Banco de Dados'!$A659="MEI",ROUND(_xlfn.XLOOKUP('Banco de Dados'!$P659,Sku!D:D,Sku!H:H),2)),0)</f>
        <v>0</v>
      </c>
      <c r="AN659" s="109">
        <f ca="1">IF('Banco de Dados'!$AK659&lt;&gt;"-",IF('Banco de Dados'!$F659&lt;&gt;"-",_xlfn.XLOOKUP(IFERROR(IFERROR(IFERROR(VALUE(SUBSTITUTE(MID(_xlfn.TEXTAFTER('Banco de Dados'!$F659,"Data do Pedido:
",1),1,10),"-","/")),VALUE(SUBSTITUTE(MID(_xlfn.TEXTAFTER('Banco de Dados'!$F659,"Order date:
",1),1,10),"-","/"))),VALUE(SUBSTITUTE(MID(_xlfn.TEXTAFTER('Banco de Dados'!$F659,"Fecha de pedido:
",1),1,10),"-","/"))),"-"),SMS!A:A,SMS!K:K),0),0)</f>
        <v>0</v>
      </c>
      <c r="AO659" s="109">
        <f ca="1">IF('Banco de Dados'!$AK659&lt;&gt;"-",IF('Banco de Dados'!$F659&lt;&gt;"-",IFERROR(_xlfn.XLOOKUP(_xlfn.CONCAT('Banco de Dados'!$A659,IFERROR(IFERROR(VALUE(SUBSTITUTE(MID(_xlfn.TEXTAFTER('Banco de Dados'!$F659,"Data do Pedido:
",1),1,10),"-","/")),VALUE(SUBSTITUTE(MID(_xlfn.TEXTAFTER('Banco de Dados'!$F659,"Order date:
",1),1,10),"-","/"))),0)),ProxyDD[Chave],ProxyDD[Valor por pedido]),PROXY!$P$2),0),0)</f>
        <v>0</v>
      </c>
      <c r="AP659" s="28">
        <f ca="1">IF('Banco de Dados'!$AK659&lt;&gt;"-",IF('Banco de Dados'!$AL659="NÃO",IFERROR(VALUE(SUBSTITUTE(_xlfn.TEXTAFTER('Banco de Dados'!$F659,"BRL ",1),".",",")),0),0),0)</f>
        <v>0</v>
      </c>
      <c r="AQ659" s="28">
        <f ca="1">SUM('Banco de Dados'!$AM659:$AP659)</f>
        <v>0</v>
      </c>
      <c r="AR659" s="8"/>
      <c r="AS659" s="8"/>
      <c r="AY659" s="8"/>
    </row>
    <row r="660" spans="1:51">
      <c r="A660" s="5" t="str">
        <v>BV</v>
      </c>
      <c r="B660" s="5" t="str">
        <f ca="1"/>
        <v>BV45656</v>
      </c>
      <c r="C660" s="8" t="str">
        <v>Pedido 647</v>
      </c>
      <c r="D660" s="9">
        <v>45656</v>
      </c>
      <c r="E660" s="9">
        <v>45656</v>
      </c>
      <c r="F660" s="8" t="str">
        <v>PedidoF630</v>
      </c>
      <c r="G660" s="2" t="str">
        <v>CódRastreio628</v>
      </c>
      <c r="H660" s="5">
        <v>1</v>
      </c>
      <c r="I660" s="182" t="str">
        <v>CPF 627</v>
      </c>
      <c r="J660" s="2" t="str">
        <v>Nome 627</v>
      </c>
      <c r="K660" s="8" t="str">
        <v>Tel 627</v>
      </c>
      <c r="L660" s="8" t="str">
        <v>Cep 627</v>
      </c>
      <c r="M660" s="8" t="str">
        <v>Rua 627</v>
      </c>
      <c r="N660" s="8" t="str">
        <v>Comp 627</v>
      </c>
      <c r="O660" s="8" t="str">
        <v>Ventilador Preto</v>
      </c>
      <c r="P660" s="8" t="str">
        <v>MU-J80P-95WF</v>
      </c>
      <c r="Q660" s="4">
        <v>45678</v>
      </c>
      <c r="R660" s="109">
        <v>65.599999999999994</v>
      </c>
      <c r="S660" s="11">
        <f ca="1"/>
        <v>65.599999999999994</v>
      </c>
      <c r="T660" s="28">
        <f ca="1"/>
        <v>8.5279999999999987</v>
      </c>
      <c r="U660" s="11">
        <f ca="1"/>
        <v>57.07</v>
      </c>
      <c r="V660" s="11">
        <v>19.100000000000001</v>
      </c>
      <c r="W660" s="11">
        <f ca="1"/>
        <v>0.24</v>
      </c>
      <c r="X660" s="11">
        <f ca="1"/>
        <v>0.39877104377104378</v>
      </c>
      <c r="Y660" s="11">
        <v>0</v>
      </c>
      <c r="Z660" s="11">
        <f ca="1"/>
        <v>37.331228956228955</v>
      </c>
      <c r="AA660" s="11">
        <f ca="1"/>
        <v>18.665614478114477</v>
      </c>
      <c r="AB660" s="4">
        <f ca="1"/>
        <v>45685</v>
      </c>
      <c r="AC660" s="4">
        <v>45685</v>
      </c>
      <c r="AD660" s="9">
        <v>45688</v>
      </c>
      <c r="AE660" s="9">
        <v>45694</v>
      </c>
      <c r="AF660" s="4" t="str">
        <f t="shared" ca="1" si="24"/>
        <v>2025 01</v>
      </c>
      <c r="AG660" s="8" t="str" cm="1">
        <f t="array" ref="AG660">IFERROR(_xlfn.IFS('Banco de Dados'!#REF!="AG. COMPRA","Em processamento",'Banco de Dados'!#REF!="AG. RASTREIO","Em processamento",'Banco de Dados'!$AE660&lt;&gt;"-","Faturado",'Banco de Dados'!$AD660&lt;&gt;"-","Aguardando Pix",'Banco de Dados'!$AC660&lt;&gt;"-","Pendente"),"Aguardando Liberação")</f>
        <v>Aguardando Liberação</v>
      </c>
      <c r="AH660" s="5" t="str">
        <f>IF('Banco de Dados'!$F660="-",_xlfn.CONCAT(PROPER(TEXT(AK660,"aaaa"))," ",PROPER(TEXT(AK660,"mm"))),_xlfn.CONCAT(PROPER(TEXT(E660,"aaaa"))," ",PROPER(TEXT(E660,"mm"))))</f>
        <v>2024 12</v>
      </c>
      <c r="AI660" s="9" t="str">
        <f ca="1">IF('Banco de Dados'!$AK660&lt;&gt;"-","REEMBOLSO",IFERROR(_xlfn.XLOOKUP(G660,Follow[CODRASTREIO],Follow[STATUS]),"-"))</f>
        <v>ENTREGUE</v>
      </c>
      <c r="AJ660" s="9">
        <f ca="1">IF('Banco de Dados'!$AI660="ENTREGUE",_xlfn.XLOOKUP('Banco de Dados'!$G660,Follow[CODRASTREIO],Follow[DATAATUALIZAÇÃO]),"-")</f>
        <v>45671</v>
      </c>
      <c r="AK660" s="9" t="str">
        <f ca="1"/>
        <v>-</v>
      </c>
      <c r="AL660" s="35"/>
      <c r="AM660" s="109" cm="1">
        <f t="array" aca="1" ref="AM660" ca="1">IF('Banco de Dados'!$AK660&lt;&gt;"-",_xlfn.IFS('Banco de Dados'!$A660="bv",IF('Banco de Dados'!$E660&lt;45641,ROUND(SUM('Banco de Dados'!$R660*_xlfn.XLOOKUP('Banco de Dados'!$P660,Sku!B:B,Sku!#REF!)*20%),2),ROUND(SUM('Banco de Dados'!$R660*_xlfn.XLOOKUP('Banco de Dados'!$P660,Sku!B:B,Sku!H:H)*20%),2)),'Banco de Dados'!$A660="GO",ROUND(_xlfn.XLOOKUP('Banco de Dados'!$P660,Sku!C:C,Sku!H:H),2),'Banco de Dados'!$A660="MEI",ROUND(_xlfn.XLOOKUP('Banco de Dados'!$P660,Sku!D:D,Sku!H:H),2)),0)</f>
        <v>0</v>
      </c>
      <c r="AN660" s="109">
        <f ca="1">IF('Banco de Dados'!$AK660&lt;&gt;"-",IF('Banco de Dados'!$F660&lt;&gt;"-",_xlfn.XLOOKUP(IFERROR(IFERROR(IFERROR(VALUE(SUBSTITUTE(MID(_xlfn.TEXTAFTER('Banco de Dados'!$F660,"Data do Pedido:
",1),1,10),"-","/")),VALUE(SUBSTITUTE(MID(_xlfn.TEXTAFTER('Banco de Dados'!$F660,"Order date:
",1),1,10),"-","/"))),VALUE(SUBSTITUTE(MID(_xlfn.TEXTAFTER('Banco de Dados'!$F660,"Fecha de pedido:
",1),1,10),"-","/"))),"-"),SMS!A:A,SMS!K:K),0),0)</f>
        <v>0</v>
      </c>
      <c r="AO660" s="109">
        <f ca="1">IF('Banco de Dados'!$AK660&lt;&gt;"-",IF('Banco de Dados'!$F660&lt;&gt;"-",IFERROR(_xlfn.XLOOKUP(_xlfn.CONCAT('Banco de Dados'!$A660,IFERROR(IFERROR(VALUE(SUBSTITUTE(MID(_xlfn.TEXTAFTER('Banco de Dados'!$F660,"Data do Pedido:
",1),1,10),"-","/")),VALUE(SUBSTITUTE(MID(_xlfn.TEXTAFTER('Banco de Dados'!$F660,"Order date:
",1),1,10),"-","/"))),0)),ProxyDD[Chave],ProxyDD[Valor por pedido]),PROXY!$P$2),0),0)</f>
        <v>0</v>
      </c>
      <c r="AP660" s="28">
        <f ca="1">IF('Banco de Dados'!$AK660&lt;&gt;"-",IF('Banco de Dados'!$AL660="NÃO",IFERROR(VALUE(SUBSTITUTE(_xlfn.TEXTAFTER('Banco de Dados'!$F660,"BRL ",1),".",",")),0),0),0)</f>
        <v>0</v>
      </c>
      <c r="AQ660" s="28">
        <f ca="1">SUM('Banco de Dados'!$AM660:$AP660)</f>
        <v>0</v>
      </c>
      <c r="AR660" s="8"/>
      <c r="AS660" s="8"/>
      <c r="AY660" s="8"/>
    </row>
    <row r="661" spans="1:51">
      <c r="A661" s="5" t="str">
        <v>BV</v>
      </c>
      <c r="B661" s="5" t="str">
        <f ca="1"/>
        <v>BV45659</v>
      </c>
      <c r="C661" s="8" t="str">
        <v>Pedido 648</v>
      </c>
      <c r="D661" s="9">
        <v>45659</v>
      </c>
      <c r="E661" s="9">
        <v>45659</v>
      </c>
      <c r="F661" s="8" t="str">
        <v>PedidoF631</v>
      </c>
      <c r="G661" s="2" t="str">
        <v>CódRastreio629</v>
      </c>
      <c r="H661" s="5">
        <v>1</v>
      </c>
      <c r="I661" s="182" t="str">
        <v>CPF 628</v>
      </c>
      <c r="J661" s="2" t="str">
        <v>Nome 628</v>
      </c>
      <c r="K661" s="8" t="str">
        <v>Tel 628</v>
      </c>
      <c r="L661" s="8" t="str">
        <v>Cep 628</v>
      </c>
      <c r="M661" s="8" t="str">
        <v>Rua 628</v>
      </c>
      <c r="N661" s="8" t="str">
        <v>Comp 628</v>
      </c>
      <c r="O661" s="8" t="str">
        <v>Adaptador Bluetooph</v>
      </c>
      <c r="P661" s="8" t="str">
        <v>YA-AG3H-SPUK</v>
      </c>
      <c r="Q661" s="4">
        <v>45678</v>
      </c>
      <c r="R661" s="109">
        <v>21.99</v>
      </c>
      <c r="S661" s="11">
        <f ca="1"/>
        <v>21.99</v>
      </c>
      <c r="T661" s="28">
        <f ca="1"/>
        <v>2.6387999999999998</v>
      </c>
      <c r="U661" s="11">
        <f ca="1"/>
        <v>19.350000000000001</v>
      </c>
      <c r="V661" s="11">
        <v>6.99</v>
      </c>
      <c r="W661" s="11">
        <f ca="1"/>
        <v>0.16</v>
      </c>
      <c r="X661" s="11">
        <f ca="1"/>
        <v>0.39877104377104378</v>
      </c>
      <c r="Y661" s="11">
        <v>0</v>
      </c>
      <c r="Z661" s="11">
        <f ca="1"/>
        <v>11.801228956228957</v>
      </c>
      <c r="AA661" s="11">
        <f ca="1"/>
        <v>5.9006144781144787</v>
      </c>
      <c r="AB661" s="4">
        <f ca="1"/>
        <v>45685</v>
      </c>
      <c r="AC661" s="4">
        <v>45685</v>
      </c>
      <c r="AD661" s="9">
        <v>45688</v>
      </c>
      <c r="AE661" s="9">
        <v>45694</v>
      </c>
      <c r="AF661" s="4" t="str">
        <f t="shared" ca="1" si="24"/>
        <v>2025 01</v>
      </c>
      <c r="AG661" s="8" t="str" cm="1">
        <f t="array" ref="AG661">IFERROR(_xlfn.IFS('Banco de Dados'!#REF!="AG. COMPRA","Em processamento",'Banco de Dados'!#REF!="AG. RASTREIO","Em processamento",'Banco de Dados'!$AE661&lt;&gt;"-","Faturado",'Banco de Dados'!$AD661&lt;&gt;"-","Aguardando Pix",'Banco de Dados'!$AC661&lt;&gt;"-","Pendente"),"Aguardando Liberação")</f>
        <v>Aguardando Liberação</v>
      </c>
      <c r="AH661" s="5" t="str">
        <f>IF('Banco de Dados'!$F661="-",_xlfn.CONCAT(PROPER(TEXT(AK661,"aaaa"))," ",PROPER(TEXT(AK661,"mm"))),_xlfn.CONCAT(PROPER(TEXT(E661,"aaaa"))," ",PROPER(TEXT(E661,"mm"))))</f>
        <v>2025 01</v>
      </c>
      <c r="AI661" s="9" t="str">
        <f ca="1">IF('Banco de Dados'!$AK661&lt;&gt;"-","REEMBOLSO",IFERROR(_xlfn.XLOOKUP(G661,Follow[CODRASTREIO],Follow[STATUS]),"-"))</f>
        <v>ENTREGUE</v>
      </c>
      <c r="AJ661" s="9">
        <f ca="1">IF('Banco de Dados'!$AI661="ENTREGUE",_xlfn.XLOOKUP('Banco de Dados'!$G661,Follow[CODRASTREIO],Follow[DATAATUALIZAÇÃO]),"-")</f>
        <v>45667</v>
      </c>
      <c r="AK661" s="9" t="str">
        <f ca="1"/>
        <v>-</v>
      </c>
      <c r="AL661" s="35"/>
      <c r="AM661" s="109" cm="1">
        <f t="array" aca="1" ref="AM661" ca="1">IF('Banco de Dados'!$AK661&lt;&gt;"-",_xlfn.IFS('Banco de Dados'!$A661="bv",IF('Banco de Dados'!$E661&lt;45641,ROUND(SUM('Banco de Dados'!$R661*_xlfn.XLOOKUP('Banco de Dados'!$P661,Sku!B:B,Sku!#REF!)*20%),2),ROUND(SUM('Banco de Dados'!$R661*_xlfn.XLOOKUP('Banco de Dados'!$P661,Sku!B:B,Sku!H:H)*20%),2)),'Banco de Dados'!$A661="GO",ROUND(_xlfn.XLOOKUP('Banco de Dados'!$P661,Sku!C:C,Sku!H:H),2),'Banco de Dados'!$A661="MEI",ROUND(_xlfn.XLOOKUP('Banco de Dados'!$P661,Sku!D:D,Sku!H:H),2)),0)</f>
        <v>0</v>
      </c>
      <c r="AN661" s="109">
        <f ca="1">IF('Banco de Dados'!$AK661&lt;&gt;"-",IF('Banco de Dados'!$F661&lt;&gt;"-",_xlfn.XLOOKUP(IFERROR(IFERROR(IFERROR(VALUE(SUBSTITUTE(MID(_xlfn.TEXTAFTER('Banco de Dados'!$F661,"Data do Pedido:
",1),1,10),"-","/")),VALUE(SUBSTITUTE(MID(_xlfn.TEXTAFTER('Banco de Dados'!$F661,"Order date:
",1),1,10),"-","/"))),VALUE(SUBSTITUTE(MID(_xlfn.TEXTAFTER('Banco de Dados'!$F661,"Fecha de pedido:
",1),1,10),"-","/"))),"-"),SMS!A:A,SMS!K:K),0),0)</f>
        <v>0</v>
      </c>
      <c r="AO661" s="109">
        <f ca="1">IF('Banco de Dados'!$AK661&lt;&gt;"-",IF('Banco de Dados'!$F661&lt;&gt;"-",IFERROR(_xlfn.XLOOKUP(_xlfn.CONCAT('Banco de Dados'!$A661,IFERROR(IFERROR(VALUE(SUBSTITUTE(MID(_xlfn.TEXTAFTER('Banco de Dados'!$F661,"Data do Pedido:
",1),1,10),"-","/")),VALUE(SUBSTITUTE(MID(_xlfn.TEXTAFTER('Banco de Dados'!$F661,"Order date:
",1),1,10),"-","/"))),0)),ProxyDD[Chave],ProxyDD[Valor por pedido]),PROXY!$P$2),0),0)</f>
        <v>0</v>
      </c>
      <c r="AP661" s="28">
        <f ca="1">IF('Banco de Dados'!$AK661&lt;&gt;"-",IF('Banco de Dados'!$AL661="NÃO",IFERROR(VALUE(SUBSTITUTE(_xlfn.TEXTAFTER('Banco de Dados'!$F661,"BRL ",1),".",",")),0),0),0)</f>
        <v>0</v>
      </c>
      <c r="AQ661" s="28">
        <f ca="1">SUM('Banco de Dados'!$AM661:$AP661)</f>
        <v>0</v>
      </c>
      <c r="AR661" s="8"/>
      <c r="AS661" s="8"/>
      <c r="AY661" s="8"/>
    </row>
    <row r="662" spans="1:51">
      <c r="A662" s="5" t="str">
        <v>BV</v>
      </c>
      <c r="B662" s="5" t="str">
        <f ca="1"/>
        <v>BV45656</v>
      </c>
      <c r="C662" s="8" t="str">
        <v>Pedido 649</v>
      </c>
      <c r="D662" s="9">
        <v>45656</v>
      </c>
      <c r="E662" s="9">
        <v>45656</v>
      </c>
      <c r="F662" s="8" t="str">
        <v>PedidoF632</v>
      </c>
      <c r="G662" s="2" t="str">
        <v>CódRastreio630</v>
      </c>
      <c r="H662" s="5">
        <v>1</v>
      </c>
      <c r="I662" s="182" t="str">
        <v>CPF 629</v>
      </c>
      <c r="J662" s="2" t="str">
        <v>Nome 629</v>
      </c>
      <c r="K662" s="8" t="str">
        <v>Tel 629</v>
      </c>
      <c r="L662" s="8" t="str">
        <v>Cep 629</v>
      </c>
      <c r="M662" s="8" t="str">
        <v>Rua 629</v>
      </c>
      <c r="N662" s="8" t="str">
        <v>Comp 629</v>
      </c>
      <c r="O662" s="8" t="str">
        <v>Ventilador Rosa</v>
      </c>
      <c r="P662" s="8" t="str">
        <v>IF-G2ZQ-79FO</v>
      </c>
      <c r="Q662" s="4">
        <v>45678</v>
      </c>
      <c r="R662" s="109">
        <v>49.4</v>
      </c>
      <c r="S662" s="11">
        <f ca="1"/>
        <v>49.4</v>
      </c>
      <c r="T662" s="28">
        <f ca="1"/>
        <v>6.4219999999999997</v>
      </c>
      <c r="U662" s="11">
        <f ca="1"/>
        <v>42.98</v>
      </c>
      <c r="V662" s="11">
        <v>18.510000000000002</v>
      </c>
      <c r="W662" s="11">
        <f ca="1"/>
        <v>0.24</v>
      </c>
      <c r="X662" s="11">
        <f ca="1"/>
        <v>0.39877104377104378</v>
      </c>
      <c r="Y662" s="11">
        <v>0</v>
      </c>
      <c r="Z662" s="11">
        <f ca="1"/>
        <v>23.831228956228951</v>
      </c>
      <c r="AA662" s="11">
        <f ca="1"/>
        <v>11.915614478114476</v>
      </c>
      <c r="AB662" s="4">
        <f ca="1"/>
        <v>45685</v>
      </c>
      <c r="AC662" s="4">
        <v>45685</v>
      </c>
      <c r="AD662" s="9">
        <v>45688</v>
      </c>
      <c r="AE662" s="9">
        <v>45694</v>
      </c>
      <c r="AF662" s="4" t="str">
        <f t="shared" ca="1" si="24"/>
        <v>2025 01</v>
      </c>
      <c r="AG662" s="8" t="str" cm="1">
        <f t="array" ref="AG662">IFERROR(_xlfn.IFS('Banco de Dados'!#REF!="AG. COMPRA","Em processamento",'Banco de Dados'!#REF!="AG. RASTREIO","Em processamento",'Banco de Dados'!$AE662&lt;&gt;"-","Faturado",'Banco de Dados'!$AD662&lt;&gt;"-","Aguardando Pix",'Banco de Dados'!$AC662&lt;&gt;"-","Pendente"),"Aguardando Liberação")</f>
        <v>Aguardando Liberação</v>
      </c>
      <c r="AH662" s="5" t="str">
        <f>IF('Banco de Dados'!$F662="-",_xlfn.CONCAT(PROPER(TEXT(AK662,"aaaa"))," ",PROPER(TEXT(AK662,"mm"))),_xlfn.CONCAT(PROPER(TEXT(E662,"aaaa"))," ",PROPER(TEXT(E662,"mm"))))</f>
        <v>2024 12</v>
      </c>
      <c r="AI662" s="9" t="str">
        <f ca="1">IF('Banco de Dados'!$AK662&lt;&gt;"-","REEMBOLSO",IFERROR(_xlfn.XLOOKUP(G662,Follow[CODRASTREIO],Follow[STATUS]),"-"))</f>
        <v>ENTREGUE</v>
      </c>
      <c r="AJ662" s="9">
        <f ca="1">IF('Banco de Dados'!$AI662="ENTREGUE",_xlfn.XLOOKUP('Banco de Dados'!$G662,Follow[CODRASTREIO],Follow[DATAATUALIZAÇÃO]),"-")</f>
        <v>45665</v>
      </c>
      <c r="AK662" s="9" t="str">
        <f ca="1"/>
        <v>-</v>
      </c>
      <c r="AL662" s="35"/>
      <c r="AM662" s="109" cm="1">
        <f t="array" aca="1" ref="AM662" ca="1">IF('Banco de Dados'!$AK662&lt;&gt;"-",_xlfn.IFS('Banco de Dados'!$A662="bv",IF('Banco de Dados'!$E662&lt;45641,ROUND(SUM('Banco de Dados'!$R662*_xlfn.XLOOKUP('Banco de Dados'!$P662,Sku!B:B,Sku!#REF!)*20%),2),ROUND(SUM('Banco de Dados'!$R662*_xlfn.XLOOKUP('Banco de Dados'!$P662,Sku!B:B,Sku!H:H)*20%),2)),'Banco de Dados'!$A662="GO",ROUND(_xlfn.XLOOKUP('Banco de Dados'!$P662,Sku!C:C,Sku!H:H),2),'Banco de Dados'!$A662="MEI",ROUND(_xlfn.XLOOKUP('Banco de Dados'!$P662,Sku!D:D,Sku!H:H),2)),0)</f>
        <v>0</v>
      </c>
      <c r="AN662" s="109">
        <f ca="1">IF('Banco de Dados'!$AK662&lt;&gt;"-",IF('Banco de Dados'!$F662&lt;&gt;"-",_xlfn.XLOOKUP(IFERROR(IFERROR(IFERROR(VALUE(SUBSTITUTE(MID(_xlfn.TEXTAFTER('Banco de Dados'!$F662,"Data do Pedido:
",1),1,10),"-","/")),VALUE(SUBSTITUTE(MID(_xlfn.TEXTAFTER('Banco de Dados'!$F662,"Order date:
",1),1,10),"-","/"))),VALUE(SUBSTITUTE(MID(_xlfn.TEXTAFTER('Banco de Dados'!$F662,"Fecha de pedido:
",1),1,10),"-","/"))),"-"),SMS!A:A,SMS!K:K),0),0)</f>
        <v>0</v>
      </c>
      <c r="AO662" s="109">
        <f ca="1">IF('Banco de Dados'!$AK662&lt;&gt;"-",IF('Banco de Dados'!$F662&lt;&gt;"-",IFERROR(_xlfn.XLOOKUP(_xlfn.CONCAT('Banco de Dados'!$A662,IFERROR(IFERROR(VALUE(SUBSTITUTE(MID(_xlfn.TEXTAFTER('Banco de Dados'!$F662,"Data do Pedido:
",1),1,10),"-","/")),VALUE(SUBSTITUTE(MID(_xlfn.TEXTAFTER('Banco de Dados'!$F662,"Order date:
",1),1,10),"-","/"))),0)),ProxyDD[Chave],ProxyDD[Valor por pedido]),PROXY!$P$2),0),0)</f>
        <v>0</v>
      </c>
      <c r="AP662" s="28">
        <f ca="1">IF('Banco de Dados'!$AK662&lt;&gt;"-",IF('Banco de Dados'!$AL662="NÃO",IFERROR(VALUE(SUBSTITUTE(_xlfn.TEXTAFTER('Banco de Dados'!$F662,"BRL ",1),".",",")),0),0),0)</f>
        <v>0</v>
      </c>
      <c r="AQ662" s="28">
        <f ca="1">SUM('Banco de Dados'!$AM662:$AP662)</f>
        <v>0</v>
      </c>
      <c r="AR662" s="8"/>
      <c r="AS662" s="8"/>
      <c r="AY662" s="8"/>
    </row>
    <row r="663" spans="1:51">
      <c r="A663" s="5" t="str">
        <v>BV</v>
      </c>
      <c r="B663" s="5" t="str">
        <f ca="1"/>
        <v>BV45656</v>
      </c>
      <c r="C663" s="8" t="str">
        <v>Pedido 650</v>
      </c>
      <c r="D663" s="9">
        <v>45656</v>
      </c>
      <c r="E663" s="9">
        <v>45656</v>
      </c>
      <c r="F663" s="8" t="str">
        <v>PedidoF633</v>
      </c>
      <c r="G663" s="2" t="str">
        <v>CódRastreio631</v>
      </c>
      <c r="H663" s="5">
        <v>1</v>
      </c>
      <c r="I663" s="182" t="str">
        <v>CPF 630</v>
      </c>
      <c r="J663" s="2" t="str">
        <v>Nome 630</v>
      </c>
      <c r="K663" s="8" t="str">
        <v>Tel 630</v>
      </c>
      <c r="L663" s="8" t="str">
        <v>Cep 630</v>
      </c>
      <c r="M663" s="8" t="str">
        <v>Rua 630</v>
      </c>
      <c r="N663" s="8" t="str">
        <v>Comp 630</v>
      </c>
      <c r="O663" s="8" t="str">
        <v>Ventilador Preto</v>
      </c>
      <c r="P663" s="8" t="str">
        <v>MU-J80P-95WF</v>
      </c>
      <c r="Q663" s="4">
        <v>45678</v>
      </c>
      <c r="R663" s="109">
        <v>65.599999999999994</v>
      </c>
      <c r="S663" s="11">
        <f ca="1"/>
        <v>65.599999999999994</v>
      </c>
      <c r="T663" s="28">
        <f ca="1"/>
        <v>8.5279999999999987</v>
      </c>
      <c r="U663" s="11">
        <f ca="1"/>
        <v>57.07</v>
      </c>
      <c r="V663" s="11">
        <v>19.14</v>
      </c>
      <c r="W663" s="11">
        <f ca="1"/>
        <v>0.24</v>
      </c>
      <c r="X663" s="11">
        <f ca="1"/>
        <v>0.39877104377104378</v>
      </c>
      <c r="Y663" s="11">
        <v>0</v>
      </c>
      <c r="Z663" s="11">
        <f ca="1"/>
        <v>37.291228956228956</v>
      </c>
      <c r="AA663" s="11">
        <f ca="1"/>
        <v>18.645614478114478</v>
      </c>
      <c r="AB663" s="4">
        <f ca="1"/>
        <v>45685</v>
      </c>
      <c r="AC663" s="4">
        <v>45685</v>
      </c>
      <c r="AD663" s="9">
        <v>45688</v>
      </c>
      <c r="AE663" s="9">
        <v>45694</v>
      </c>
      <c r="AF663" s="4" t="str">
        <f t="shared" ca="1" si="24"/>
        <v>2025 01</v>
      </c>
      <c r="AG663" s="8" t="str" cm="1">
        <f t="array" ref="AG663">IFERROR(_xlfn.IFS('Banco de Dados'!#REF!="AG. COMPRA","Em processamento",'Banco de Dados'!#REF!="AG. RASTREIO","Em processamento",'Banco de Dados'!$AE663&lt;&gt;"-","Faturado",'Banco de Dados'!$AD663&lt;&gt;"-","Aguardando Pix",'Banco de Dados'!$AC663&lt;&gt;"-","Pendente"),"Aguardando Liberação")</f>
        <v>Aguardando Liberação</v>
      </c>
      <c r="AH663" s="5" t="str">
        <f>IF('Banco de Dados'!$F663="-",_xlfn.CONCAT(PROPER(TEXT(AK663,"aaaa"))," ",PROPER(TEXT(AK663,"mm"))),_xlfn.CONCAT(PROPER(TEXT(E663,"aaaa"))," ",PROPER(TEXT(E663,"mm"))))</f>
        <v>2024 12</v>
      </c>
      <c r="AI663" s="9" t="str">
        <f ca="1">IF('Banco de Dados'!$AK663&lt;&gt;"-","REEMBOLSO",IFERROR(_xlfn.XLOOKUP(G663,Follow[CODRASTREIO],Follow[STATUS]),"-"))</f>
        <v>ENTREGUE</v>
      </c>
      <c r="AJ663" s="9">
        <f ca="1">IF('Banco de Dados'!$AI663="ENTREGUE",_xlfn.XLOOKUP('Banco de Dados'!$G663,Follow[CODRASTREIO],Follow[DATAATUALIZAÇÃO]),"-")</f>
        <v>45665</v>
      </c>
      <c r="AK663" s="9" t="str">
        <f ca="1"/>
        <v>-</v>
      </c>
      <c r="AL663" s="35"/>
      <c r="AM663" s="109" cm="1">
        <f t="array" aca="1" ref="AM663" ca="1">IF('Banco de Dados'!$AK663&lt;&gt;"-",_xlfn.IFS('Banco de Dados'!$A663="bv",IF('Banco de Dados'!$E663&lt;45641,ROUND(SUM('Banco de Dados'!$R663*_xlfn.XLOOKUP('Banco de Dados'!$P663,Sku!B:B,Sku!#REF!)*20%),2),ROUND(SUM('Banco de Dados'!$R663*_xlfn.XLOOKUP('Banco de Dados'!$P663,Sku!B:B,Sku!H:H)*20%),2)),'Banco de Dados'!$A663="GO",ROUND(_xlfn.XLOOKUP('Banco de Dados'!$P663,Sku!C:C,Sku!H:H),2),'Banco de Dados'!$A663="MEI",ROUND(_xlfn.XLOOKUP('Banco de Dados'!$P663,Sku!D:D,Sku!H:H),2)),0)</f>
        <v>0</v>
      </c>
      <c r="AN663" s="109">
        <f ca="1">IF('Banco de Dados'!$AK663&lt;&gt;"-",IF('Banco de Dados'!$F663&lt;&gt;"-",_xlfn.XLOOKUP(IFERROR(IFERROR(IFERROR(VALUE(SUBSTITUTE(MID(_xlfn.TEXTAFTER('Banco de Dados'!$F663,"Data do Pedido:
",1),1,10),"-","/")),VALUE(SUBSTITUTE(MID(_xlfn.TEXTAFTER('Banco de Dados'!$F663,"Order date:
",1),1,10),"-","/"))),VALUE(SUBSTITUTE(MID(_xlfn.TEXTAFTER('Banco de Dados'!$F663,"Fecha de pedido:
",1),1,10),"-","/"))),"-"),SMS!A:A,SMS!K:K),0),0)</f>
        <v>0</v>
      </c>
      <c r="AO663" s="109">
        <f ca="1">IF('Banco de Dados'!$AK663&lt;&gt;"-",IF('Banco de Dados'!$F663&lt;&gt;"-",IFERROR(_xlfn.XLOOKUP(_xlfn.CONCAT('Banco de Dados'!$A663,IFERROR(IFERROR(VALUE(SUBSTITUTE(MID(_xlfn.TEXTAFTER('Banco de Dados'!$F663,"Data do Pedido:
",1),1,10),"-","/")),VALUE(SUBSTITUTE(MID(_xlfn.TEXTAFTER('Banco de Dados'!$F663,"Order date:
",1),1,10),"-","/"))),0)),ProxyDD[Chave],ProxyDD[Valor por pedido]),PROXY!$P$2),0),0)</f>
        <v>0</v>
      </c>
      <c r="AP663" s="28">
        <f ca="1">IF('Banco de Dados'!$AK663&lt;&gt;"-",IF('Banco de Dados'!$AL663="NÃO",IFERROR(VALUE(SUBSTITUTE(_xlfn.TEXTAFTER('Banco de Dados'!$F663,"BRL ",1),".",",")),0),0),0)</f>
        <v>0</v>
      </c>
      <c r="AQ663" s="28">
        <f ca="1">SUM('Banco de Dados'!$AM663:$AP663)</f>
        <v>0</v>
      </c>
      <c r="AR663" s="8"/>
      <c r="AS663" s="8"/>
      <c r="AY663" s="8"/>
    </row>
    <row r="664" spans="1:51">
      <c r="A664" s="5" t="str">
        <v>BV</v>
      </c>
      <c r="B664" s="5" t="str">
        <f ca="1"/>
        <v>BV45656</v>
      </c>
      <c r="C664" s="8" t="str">
        <v>Pedido 651</v>
      </c>
      <c r="D664" s="9">
        <v>45656</v>
      </c>
      <c r="E664" s="9">
        <v>45656</v>
      </c>
      <c r="F664" s="8" t="str">
        <v>PedidoF634</v>
      </c>
      <c r="G664" s="2" t="str">
        <v>CódRastreio632</v>
      </c>
      <c r="H664" s="5">
        <v>1</v>
      </c>
      <c r="I664" s="182" t="str">
        <v>CPF 631</v>
      </c>
      <c r="J664" s="2" t="str">
        <v>Nome 631</v>
      </c>
      <c r="K664" s="8" t="str">
        <v>Tel 631</v>
      </c>
      <c r="L664" s="8" t="str">
        <v>Cep 631</v>
      </c>
      <c r="M664" s="8" t="str">
        <v>Rua 631</v>
      </c>
      <c r="N664" s="8" t="str">
        <v>Comp 631</v>
      </c>
      <c r="O664" s="8" t="str">
        <v>Ventilador Azul</v>
      </c>
      <c r="P664" s="8" t="str">
        <v>U8-2VWS-OB6M</v>
      </c>
      <c r="Q664" s="4">
        <v>45682</v>
      </c>
      <c r="R664" s="109">
        <v>64.989999999999995</v>
      </c>
      <c r="S664" s="11">
        <f ca="1"/>
        <v>64.989999999999995</v>
      </c>
      <c r="T664" s="28">
        <f ca="1"/>
        <v>8.4486999999999988</v>
      </c>
      <c r="U664" s="11">
        <f ca="1"/>
        <v>56.54</v>
      </c>
      <c r="V664" s="11">
        <v>18.510000000000002</v>
      </c>
      <c r="W664" s="11">
        <f ca="1"/>
        <v>0.24</v>
      </c>
      <c r="X664" s="11">
        <f ca="1"/>
        <v>0.39877104377104378</v>
      </c>
      <c r="Y664" s="11">
        <v>0</v>
      </c>
      <c r="Z664" s="11">
        <f ca="1"/>
        <v>37.391228956228957</v>
      </c>
      <c r="AA664" s="11">
        <f ca="1"/>
        <v>18.695614478114479</v>
      </c>
      <c r="AB664" s="4">
        <f ca="1"/>
        <v>45689</v>
      </c>
      <c r="AC664" s="4">
        <v>45689</v>
      </c>
      <c r="AD664" s="9">
        <v>45693</v>
      </c>
      <c r="AE664" s="9">
        <v>45705</v>
      </c>
      <c r="AF664" s="4" t="str">
        <f t="shared" ca="1" si="24"/>
        <v>2025 02</v>
      </c>
      <c r="AG664" s="8" t="str" cm="1">
        <f t="array" ref="AG664">IFERROR(_xlfn.IFS('Banco de Dados'!#REF!="AG. COMPRA","Em processamento",'Banco de Dados'!#REF!="AG. RASTREIO","Em processamento",'Banco de Dados'!$AE664&lt;&gt;"-","Faturado",'Banco de Dados'!$AD664&lt;&gt;"-","Aguardando Pix",'Banco de Dados'!$AC664&lt;&gt;"-","Pendente"),"Aguardando Liberação")</f>
        <v>Aguardando Liberação</v>
      </c>
      <c r="AH664" s="5" t="str">
        <f>IF('Banco de Dados'!$F664="-",_xlfn.CONCAT(PROPER(TEXT(AK664,"aaaa"))," ",PROPER(TEXT(AK664,"mm"))),_xlfn.CONCAT(PROPER(TEXT(E664,"aaaa"))," ",PROPER(TEXT(E664,"mm"))))</f>
        <v>2024 12</v>
      </c>
      <c r="AI664" s="9" t="str">
        <f ca="1">IF('Banco de Dados'!$AK664&lt;&gt;"-","REEMBOLSO",IFERROR(_xlfn.XLOOKUP(G664,Follow[CODRASTREIO],Follow[STATUS]),"-"))</f>
        <v>ENTREGUE</v>
      </c>
      <c r="AJ664" s="9">
        <f ca="1">IF('Banco de Dados'!$AI664="ENTREGUE",_xlfn.XLOOKUP('Banco de Dados'!$G664,Follow[CODRASTREIO],Follow[DATAATUALIZAÇÃO]),"-")</f>
        <v>45667</v>
      </c>
      <c r="AK664" s="9" t="str">
        <f ca="1"/>
        <v>-</v>
      </c>
      <c r="AL664" s="35"/>
      <c r="AM664" s="109" cm="1">
        <f t="array" aca="1" ref="AM664" ca="1">IF('Banco de Dados'!$AK664&lt;&gt;"-",_xlfn.IFS('Banco de Dados'!$A664="bv",IF('Banco de Dados'!$E664&lt;45641,ROUND(SUM('Banco de Dados'!$R664*_xlfn.XLOOKUP('Banco de Dados'!$P664,Sku!B:B,Sku!#REF!)*20%),2),ROUND(SUM('Banco de Dados'!$R664*_xlfn.XLOOKUP('Banco de Dados'!$P664,Sku!B:B,Sku!H:H)*20%),2)),'Banco de Dados'!$A664="GO",ROUND(_xlfn.XLOOKUP('Banco de Dados'!$P664,Sku!C:C,Sku!H:H),2),'Banco de Dados'!$A664="MEI",ROUND(_xlfn.XLOOKUP('Banco de Dados'!$P664,Sku!D:D,Sku!H:H),2)),0)</f>
        <v>0</v>
      </c>
      <c r="AN664" s="109">
        <f ca="1">IF('Banco de Dados'!$AK664&lt;&gt;"-",IF('Banco de Dados'!$F664&lt;&gt;"-",_xlfn.XLOOKUP(IFERROR(IFERROR(IFERROR(VALUE(SUBSTITUTE(MID(_xlfn.TEXTAFTER('Banco de Dados'!$F664,"Data do Pedido:
",1),1,10),"-","/")),VALUE(SUBSTITUTE(MID(_xlfn.TEXTAFTER('Banco de Dados'!$F664,"Order date:
",1),1,10),"-","/"))),VALUE(SUBSTITUTE(MID(_xlfn.TEXTAFTER('Banco de Dados'!$F664,"Fecha de pedido:
",1),1,10),"-","/"))),"-"),SMS!A:A,SMS!K:K),0),0)</f>
        <v>0</v>
      </c>
      <c r="AO664" s="109">
        <f ca="1">IF('Banco de Dados'!$AK664&lt;&gt;"-",IF('Banco de Dados'!$F664&lt;&gt;"-",IFERROR(_xlfn.XLOOKUP(_xlfn.CONCAT('Banco de Dados'!$A664,IFERROR(IFERROR(VALUE(SUBSTITUTE(MID(_xlfn.TEXTAFTER('Banco de Dados'!$F664,"Data do Pedido:
",1),1,10),"-","/")),VALUE(SUBSTITUTE(MID(_xlfn.TEXTAFTER('Banco de Dados'!$F664,"Order date:
",1),1,10),"-","/"))),0)),ProxyDD[Chave],ProxyDD[Valor por pedido]),PROXY!$P$2),0),0)</f>
        <v>0</v>
      </c>
      <c r="AP664" s="28">
        <f ca="1">IF('Banco de Dados'!$AK664&lt;&gt;"-",IF('Banco de Dados'!$AL664="NÃO",IFERROR(VALUE(SUBSTITUTE(_xlfn.TEXTAFTER('Banco de Dados'!$F664,"BRL ",1),".",",")),0),0),0)</f>
        <v>0</v>
      </c>
      <c r="AQ664" s="28">
        <f ca="1">SUM('Banco de Dados'!$AM664:$AP664)</f>
        <v>0</v>
      </c>
      <c r="AR664" s="8"/>
      <c r="AS664" s="8"/>
      <c r="AY664" s="8"/>
    </row>
    <row r="665" spans="1:51">
      <c r="A665" s="5" t="str">
        <v>BV</v>
      </c>
      <c r="B665" s="5" t="str">
        <f ca="1"/>
        <v>BV45656</v>
      </c>
      <c r="C665" s="8" t="str">
        <v>Pedido 652</v>
      </c>
      <c r="D665" s="9">
        <v>45656</v>
      </c>
      <c r="E665" s="9">
        <v>45656</v>
      </c>
      <c r="F665" s="8" t="str">
        <v>PedidoF635</v>
      </c>
      <c r="G665" s="2" t="str">
        <v>CódRastreio633</v>
      </c>
      <c r="H665" s="5">
        <v>1</v>
      </c>
      <c r="I665" s="182" t="str">
        <v>CPF 632</v>
      </c>
      <c r="J665" s="2" t="str">
        <v>Nome 632</v>
      </c>
      <c r="K665" s="8" t="str">
        <v>Tel 632</v>
      </c>
      <c r="L665" s="8" t="str">
        <v>Cep 632</v>
      </c>
      <c r="M665" s="8" t="str">
        <v>Rua 632</v>
      </c>
      <c r="N665" s="8" t="str">
        <v>Comp 632</v>
      </c>
      <c r="O665" s="8" t="str">
        <v>Ventilador Preto</v>
      </c>
      <c r="P665" s="8" t="str">
        <v>MU-J80P-95WF</v>
      </c>
      <c r="Q665" s="4">
        <v>45678</v>
      </c>
      <c r="R665" s="109">
        <v>65.599999999999994</v>
      </c>
      <c r="S665" s="11">
        <f ca="1"/>
        <v>65.599999999999994</v>
      </c>
      <c r="T665" s="28">
        <f ca="1"/>
        <v>8.5279999999999987</v>
      </c>
      <c r="U665" s="11">
        <f ca="1"/>
        <v>57.07</v>
      </c>
      <c r="V665" s="11">
        <v>19.14</v>
      </c>
      <c r="W665" s="11">
        <f ca="1"/>
        <v>0.24</v>
      </c>
      <c r="X665" s="11">
        <f ca="1"/>
        <v>0.39877104377104378</v>
      </c>
      <c r="Y665" s="11">
        <v>0</v>
      </c>
      <c r="Z665" s="11">
        <f ca="1"/>
        <v>37.291228956228956</v>
      </c>
      <c r="AA665" s="11">
        <f ca="1"/>
        <v>18.645614478114478</v>
      </c>
      <c r="AB665" s="4">
        <f ca="1"/>
        <v>45685</v>
      </c>
      <c r="AC665" s="4">
        <v>45685</v>
      </c>
      <c r="AD665" s="9">
        <v>45688</v>
      </c>
      <c r="AE665" s="9">
        <v>45694</v>
      </c>
      <c r="AF665" s="4" t="str">
        <f t="shared" ca="1" si="24"/>
        <v>2025 01</v>
      </c>
      <c r="AG665" s="8" t="str" cm="1">
        <f t="array" ref="AG665">IFERROR(_xlfn.IFS('Banco de Dados'!#REF!="AG. COMPRA","Em processamento",'Banco de Dados'!#REF!="AG. RASTREIO","Em processamento",'Banco de Dados'!$AE665&lt;&gt;"-","Faturado",'Banco de Dados'!$AD665&lt;&gt;"-","Aguardando Pix",'Banco de Dados'!$AC665&lt;&gt;"-","Pendente"),"Aguardando Liberação")</f>
        <v>Aguardando Liberação</v>
      </c>
      <c r="AH665" s="5" t="str">
        <f>IF('Banco de Dados'!$F665="-",_xlfn.CONCAT(PROPER(TEXT(AK665,"aaaa"))," ",PROPER(TEXT(AK665,"mm"))),_xlfn.CONCAT(PROPER(TEXT(E665,"aaaa"))," ",PROPER(TEXT(E665,"mm"))))</f>
        <v>2024 12</v>
      </c>
      <c r="AI665" s="9" t="str">
        <f ca="1">IF('Banco de Dados'!$AK665&lt;&gt;"-","REEMBOLSO",IFERROR(_xlfn.XLOOKUP(G665,Follow[CODRASTREIO],Follow[STATUS]),"-"))</f>
        <v>ENTREGUE</v>
      </c>
      <c r="AJ665" s="9">
        <f ca="1">IF('Banco de Dados'!$AI665="ENTREGUE",_xlfn.XLOOKUP('Banco de Dados'!$G665,Follow[CODRASTREIO],Follow[DATAATUALIZAÇÃO]),"-")</f>
        <v>45665</v>
      </c>
      <c r="AK665" s="9" t="str">
        <f ca="1"/>
        <v>-</v>
      </c>
      <c r="AL665" s="35"/>
      <c r="AM665" s="109" cm="1">
        <f t="array" aca="1" ref="AM665" ca="1">IF('Banco de Dados'!$AK665&lt;&gt;"-",_xlfn.IFS('Banco de Dados'!$A665="bv",IF('Banco de Dados'!$E665&lt;45641,ROUND(SUM('Banco de Dados'!$R665*_xlfn.XLOOKUP('Banco de Dados'!$P665,Sku!B:B,Sku!#REF!)*20%),2),ROUND(SUM('Banco de Dados'!$R665*_xlfn.XLOOKUP('Banco de Dados'!$P665,Sku!B:B,Sku!H:H)*20%),2)),'Banco de Dados'!$A665="GO",ROUND(_xlfn.XLOOKUP('Banco de Dados'!$P665,Sku!C:C,Sku!H:H),2),'Banco de Dados'!$A665="MEI",ROUND(_xlfn.XLOOKUP('Banco de Dados'!$P665,Sku!D:D,Sku!H:H),2)),0)</f>
        <v>0</v>
      </c>
      <c r="AN665" s="109">
        <f ca="1">IF('Banco de Dados'!$AK665&lt;&gt;"-",IF('Banco de Dados'!$F665&lt;&gt;"-",_xlfn.XLOOKUP(IFERROR(IFERROR(IFERROR(VALUE(SUBSTITUTE(MID(_xlfn.TEXTAFTER('Banco de Dados'!$F665,"Data do Pedido:
",1),1,10),"-","/")),VALUE(SUBSTITUTE(MID(_xlfn.TEXTAFTER('Banco de Dados'!$F665,"Order date:
",1),1,10),"-","/"))),VALUE(SUBSTITUTE(MID(_xlfn.TEXTAFTER('Banco de Dados'!$F665,"Fecha de pedido:
",1),1,10),"-","/"))),"-"),SMS!A:A,SMS!K:K),0),0)</f>
        <v>0</v>
      </c>
      <c r="AO665" s="109">
        <f ca="1">IF('Banco de Dados'!$AK665&lt;&gt;"-",IF('Banco de Dados'!$F665&lt;&gt;"-",IFERROR(_xlfn.XLOOKUP(_xlfn.CONCAT('Banco de Dados'!$A665,IFERROR(IFERROR(VALUE(SUBSTITUTE(MID(_xlfn.TEXTAFTER('Banco de Dados'!$F665,"Data do Pedido:
",1),1,10),"-","/")),VALUE(SUBSTITUTE(MID(_xlfn.TEXTAFTER('Banco de Dados'!$F665,"Order date:
",1),1,10),"-","/"))),0)),ProxyDD[Chave],ProxyDD[Valor por pedido]),PROXY!$P$2),0),0)</f>
        <v>0</v>
      </c>
      <c r="AP665" s="28">
        <f ca="1">IF('Banco de Dados'!$AK665&lt;&gt;"-",IF('Banco de Dados'!$AL665="NÃO",IFERROR(VALUE(SUBSTITUTE(_xlfn.TEXTAFTER('Banco de Dados'!$F665,"BRL ",1),".",",")),0),0),0)</f>
        <v>0</v>
      </c>
      <c r="AQ665" s="28">
        <f ca="1">SUM('Banco de Dados'!$AM665:$AP665)</f>
        <v>0</v>
      </c>
      <c r="AR665" s="8"/>
      <c r="AS665" s="8"/>
      <c r="AY665" s="8"/>
    </row>
    <row r="666" spans="1:51">
      <c r="A666" s="5" t="str">
        <v>BV</v>
      </c>
      <c r="B666" s="5" t="str">
        <f ca="1"/>
        <v>BV45656</v>
      </c>
      <c r="C666" s="8" t="str">
        <v>Pedido 653</v>
      </c>
      <c r="D666" s="9">
        <v>45656</v>
      </c>
      <c r="E666" s="9">
        <v>45656</v>
      </c>
      <c r="F666" s="8" t="str">
        <v>PedidoF636</v>
      </c>
      <c r="G666" s="2" t="str">
        <v>CódRastreio634</v>
      </c>
      <c r="H666" s="5">
        <v>1</v>
      </c>
      <c r="I666" s="182" t="str">
        <v>CPF 633</v>
      </c>
      <c r="J666" s="2" t="str">
        <v>Nome 633</v>
      </c>
      <c r="K666" s="8" t="str">
        <v>Tel 633</v>
      </c>
      <c r="L666" s="8" t="str">
        <v>Cep 633</v>
      </c>
      <c r="M666" s="8" t="str">
        <v>Rua 633</v>
      </c>
      <c r="N666" s="8" t="str">
        <v>Comp 633</v>
      </c>
      <c r="O666" s="8" t="str">
        <v>Ventilador Rosa</v>
      </c>
      <c r="P666" s="8" t="str">
        <v>IF-G2ZQ-79FO</v>
      </c>
      <c r="Q666" s="4">
        <v>45682</v>
      </c>
      <c r="R666" s="109">
        <v>49.4</v>
      </c>
      <c r="S666" s="11">
        <f ca="1"/>
        <v>49.4</v>
      </c>
      <c r="T666" s="28">
        <f ca="1"/>
        <v>6.4219999999999997</v>
      </c>
      <c r="U666" s="11">
        <f ca="1"/>
        <v>42.98</v>
      </c>
      <c r="V666" s="11">
        <v>18.510000000000002</v>
      </c>
      <c r="W666" s="11">
        <f ca="1"/>
        <v>0.24</v>
      </c>
      <c r="X666" s="11">
        <f ca="1"/>
        <v>0.39877104377104378</v>
      </c>
      <c r="Y666" s="11">
        <v>0</v>
      </c>
      <c r="Z666" s="11">
        <f ca="1"/>
        <v>23.831228956228951</v>
      </c>
      <c r="AA666" s="11">
        <f ca="1"/>
        <v>11.915614478114476</v>
      </c>
      <c r="AB666" s="4">
        <f ca="1"/>
        <v>45689</v>
      </c>
      <c r="AC666" s="4">
        <v>45689</v>
      </c>
      <c r="AD666" s="9">
        <v>45693</v>
      </c>
      <c r="AE666" s="9">
        <v>45705</v>
      </c>
      <c r="AF666" s="4" t="str">
        <f t="shared" ca="1" si="24"/>
        <v>2025 02</v>
      </c>
      <c r="AG666" s="8" t="str" cm="1">
        <f t="array" ref="AG666">IFERROR(_xlfn.IFS('Banco de Dados'!#REF!="AG. COMPRA","Em processamento",'Banco de Dados'!#REF!="AG. RASTREIO","Em processamento",'Banco de Dados'!$AE666&lt;&gt;"-","Faturado",'Banco de Dados'!$AD666&lt;&gt;"-","Aguardando Pix",'Banco de Dados'!$AC666&lt;&gt;"-","Pendente"),"Aguardando Liberação")</f>
        <v>Aguardando Liberação</v>
      </c>
      <c r="AH666" s="5" t="str">
        <f>IF('Banco de Dados'!$F666="-",_xlfn.CONCAT(PROPER(TEXT(AK666,"aaaa"))," ",PROPER(TEXT(AK666,"mm"))),_xlfn.CONCAT(PROPER(TEXT(E666,"aaaa"))," ",PROPER(TEXT(E666,"mm"))))</f>
        <v>2024 12</v>
      </c>
      <c r="AI666" s="9" t="str">
        <f ca="1">IF('Banco de Dados'!$AK666&lt;&gt;"-","REEMBOLSO",IFERROR(_xlfn.XLOOKUP(G666,Follow[CODRASTREIO],Follow[STATUS]),"-"))</f>
        <v>ENTREGUE</v>
      </c>
      <c r="AJ666" s="9">
        <f ca="1">IF('Banco de Dados'!$AI666="ENTREGUE",_xlfn.XLOOKUP('Banco de Dados'!$G666,Follow[CODRASTREIO],Follow[DATAATUALIZAÇÃO]),"-")</f>
        <v>45667</v>
      </c>
      <c r="AK666" s="9" t="str">
        <f ca="1"/>
        <v>-</v>
      </c>
      <c r="AL666" s="35"/>
      <c r="AM666" s="109" cm="1">
        <f t="array" aca="1" ref="AM666" ca="1">IF('Banco de Dados'!$AK666&lt;&gt;"-",_xlfn.IFS('Banco de Dados'!$A666="bv",IF('Banco de Dados'!$E666&lt;45641,ROUND(SUM('Banco de Dados'!$R666*_xlfn.XLOOKUP('Banco de Dados'!$P666,Sku!B:B,Sku!#REF!)*20%),2),ROUND(SUM('Banco de Dados'!$R666*_xlfn.XLOOKUP('Banco de Dados'!$P666,Sku!B:B,Sku!H:H)*20%),2)),'Banco de Dados'!$A666="GO",ROUND(_xlfn.XLOOKUP('Banco de Dados'!$P666,Sku!C:C,Sku!H:H),2),'Banco de Dados'!$A666="MEI",ROUND(_xlfn.XLOOKUP('Banco de Dados'!$P666,Sku!D:D,Sku!H:H),2)),0)</f>
        <v>0</v>
      </c>
      <c r="AN666" s="109">
        <f ca="1">IF('Banco de Dados'!$AK666&lt;&gt;"-",IF('Banco de Dados'!$F666&lt;&gt;"-",_xlfn.XLOOKUP(IFERROR(IFERROR(IFERROR(VALUE(SUBSTITUTE(MID(_xlfn.TEXTAFTER('Banco de Dados'!$F666,"Data do Pedido:
",1),1,10),"-","/")),VALUE(SUBSTITUTE(MID(_xlfn.TEXTAFTER('Banco de Dados'!$F666,"Order date:
",1),1,10),"-","/"))),VALUE(SUBSTITUTE(MID(_xlfn.TEXTAFTER('Banco de Dados'!$F666,"Fecha de pedido:
",1),1,10),"-","/"))),"-"),SMS!A:A,SMS!K:K),0),0)</f>
        <v>0</v>
      </c>
      <c r="AO666" s="109">
        <f ca="1">IF('Banco de Dados'!$AK666&lt;&gt;"-",IF('Banco de Dados'!$F666&lt;&gt;"-",IFERROR(_xlfn.XLOOKUP(_xlfn.CONCAT('Banco de Dados'!$A666,IFERROR(IFERROR(VALUE(SUBSTITUTE(MID(_xlfn.TEXTAFTER('Banco de Dados'!$F666,"Data do Pedido:
",1),1,10),"-","/")),VALUE(SUBSTITUTE(MID(_xlfn.TEXTAFTER('Banco de Dados'!$F666,"Order date:
",1),1,10),"-","/"))),0)),ProxyDD[Chave],ProxyDD[Valor por pedido]),PROXY!$P$2),0),0)</f>
        <v>0</v>
      </c>
      <c r="AP666" s="28">
        <f ca="1">IF('Banco de Dados'!$AK666&lt;&gt;"-",IF('Banco de Dados'!$AL666="NÃO",IFERROR(VALUE(SUBSTITUTE(_xlfn.TEXTAFTER('Banco de Dados'!$F666,"BRL ",1),".",",")),0),0),0)</f>
        <v>0</v>
      </c>
      <c r="AQ666" s="28">
        <f ca="1">SUM('Banco de Dados'!$AM666:$AP666)</f>
        <v>0</v>
      </c>
      <c r="AR666" s="8"/>
      <c r="AS666" s="8"/>
      <c r="AY666" s="8"/>
    </row>
    <row r="667" spans="1:51">
      <c r="A667" s="5" t="str">
        <v>BV</v>
      </c>
      <c r="B667" s="5" t="str">
        <f ca="1"/>
        <v>BV-</v>
      </c>
      <c r="C667" s="8" t="str">
        <v>Pedido 654</v>
      </c>
      <c r="D667" s="9">
        <v>45627</v>
      </c>
      <c r="E667" s="9" t="str">
        <v>-</v>
      </c>
      <c r="F667" s="8" t="str">
        <v>-</v>
      </c>
      <c r="G667" s="2" t="str">
        <v>-</v>
      </c>
      <c r="H667" s="5">
        <v>1</v>
      </c>
      <c r="I667" s="182" t="str">
        <v>CPF 634</v>
      </c>
      <c r="J667" s="2" t="str">
        <v>Nome 634</v>
      </c>
      <c r="K667" s="8" t="str">
        <v>Tel 634</v>
      </c>
      <c r="L667" s="8" t="str">
        <v>Cep 634</v>
      </c>
      <c r="M667" s="8" t="str">
        <v>Rua 634</v>
      </c>
      <c r="N667" s="8" t="str">
        <v>Comp 634</v>
      </c>
      <c r="O667" s="8" t="str">
        <v>Karaoke portátil</v>
      </c>
      <c r="P667" s="8" t="str">
        <v>08-PAJ9-YM9P</v>
      </c>
      <c r="Q667" s="4">
        <v>45682</v>
      </c>
      <c r="R667" s="109">
        <v>62.9</v>
      </c>
      <c r="S667" s="11">
        <f ca="1"/>
        <v>0</v>
      </c>
      <c r="T667" s="28">
        <f ca="1"/>
        <v>0</v>
      </c>
      <c r="U667" s="11">
        <f ca="1"/>
        <v>0</v>
      </c>
      <c r="V667" s="11">
        <v>0</v>
      </c>
      <c r="W667" s="11">
        <f ca="1"/>
        <v>0</v>
      </c>
      <c r="X667" s="11">
        <f ca="1"/>
        <v>0</v>
      </c>
      <c r="Y667" s="11">
        <v>0</v>
      </c>
      <c r="Z667" s="11">
        <f ca="1"/>
        <v>0</v>
      </c>
      <c r="AA667" s="11">
        <f ca="1"/>
        <v>0</v>
      </c>
      <c r="AB667" s="4">
        <f ca="1"/>
        <v>45689</v>
      </c>
      <c r="AC667" s="4">
        <v>45689</v>
      </c>
      <c r="AD667" s="9">
        <v>45693</v>
      </c>
      <c r="AE667" s="9">
        <v>45705</v>
      </c>
      <c r="AF667" s="4" t="str">
        <f t="shared" ca="1" si="24"/>
        <v>2025 02</v>
      </c>
      <c r="AG667" s="8" t="str" cm="1">
        <f t="array" ref="AG667">IFERROR(_xlfn.IFS('Banco de Dados'!#REF!="AG. COMPRA","Em processamento",'Banco de Dados'!#REF!="AG. RASTREIO","Em processamento",'Banco de Dados'!$AE667&lt;&gt;"-","Faturado",'Banco de Dados'!$AD667&lt;&gt;"-","Aguardando Pix",'Banco de Dados'!$AC667&lt;&gt;"-","Pendente"),"Aguardando Liberação")</f>
        <v>Aguardando Liberação</v>
      </c>
      <c r="AH667" s="5" t="str">
        <f ca="1">IF('Banco de Dados'!$F667="-",_xlfn.CONCAT(PROPER(TEXT(AK667,"aaaa"))," ",PROPER(TEXT(AK667,"mm"))),_xlfn.CONCAT(PROPER(TEXT(E667,"aaaa"))," ",PROPER(TEXT(E667,"mm"))))</f>
        <v>2025 01</v>
      </c>
      <c r="AI667" s="9" t="str">
        <f ca="1">IF('Banco de Dados'!$AK667&lt;&gt;"-","REEMBOLSO",IFERROR(_xlfn.XLOOKUP(G667,Follow[CODRASTREIO],Follow[STATUS]),"-"))</f>
        <v>REEMBOLSO</v>
      </c>
      <c r="AJ667" s="9" t="str">
        <f ca="1">IF('Banco de Dados'!$AI667="ENTREGUE",_xlfn.XLOOKUP('Banco de Dados'!$G667,Follow[CODRASTREIO],Follow[DATAATUALIZAÇÃO]),"-")</f>
        <v>-</v>
      </c>
      <c r="AK667" s="9">
        <f ca="1"/>
        <v>45659</v>
      </c>
      <c r="AL667" s="35"/>
      <c r="AM667" s="109" cm="1">
        <f t="array" aca="1" ref="AM667" ca="1">IF('Banco de Dados'!$AK667&lt;&gt;"-",_xlfn.IFS('Banco de Dados'!$A667="bv",IF('Banco de Dados'!$E667&lt;45641,ROUND(SUM('Banco de Dados'!$R667*_xlfn.XLOOKUP('Banco de Dados'!$P667,Sku!B:B,Sku!#REF!)*20%),2),ROUND(SUM('Banco de Dados'!$R667*_xlfn.XLOOKUP('Banco de Dados'!$P667,Sku!B:B,Sku!H:H)*20%),2)),'Banco de Dados'!$A667="GO",ROUND(_xlfn.XLOOKUP('Banco de Dados'!$P667,Sku!C:C,Sku!H:H),2),'Banco de Dados'!$A667="MEI",ROUND(_xlfn.XLOOKUP('Banco de Dados'!$P667,Sku!D:D,Sku!H:H),2)),0)</f>
        <v>1.89</v>
      </c>
      <c r="AN667" s="109">
        <f ca="1">IF('Banco de Dados'!$AK667&lt;&gt;"-",IF('Banco de Dados'!$F667&lt;&gt;"-",_xlfn.XLOOKUP(IFERROR(IFERROR(IFERROR(VALUE(SUBSTITUTE(MID(_xlfn.TEXTAFTER('Banco de Dados'!$F667,"Data do Pedido:
",1),1,10),"-","/")),VALUE(SUBSTITUTE(MID(_xlfn.TEXTAFTER('Banco de Dados'!$F667,"Order date:
",1),1,10),"-","/"))),VALUE(SUBSTITUTE(MID(_xlfn.TEXTAFTER('Banco de Dados'!$F667,"Fecha de pedido:
",1),1,10),"-","/"))),"-"),SMS!A:A,SMS!K:K),0),0)</f>
        <v>0</v>
      </c>
      <c r="AO667" s="109">
        <f ca="1">IF('Banco de Dados'!$AK667&lt;&gt;"-",IF('Banco de Dados'!$F667&lt;&gt;"-",IFERROR(_xlfn.XLOOKUP(_xlfn.CONCAT('Banco de Dados'!$A667,IFERROR(IFERROR(VALUE(SUBSTITUTE(MID(_xlfn.TEXTAFTER('Banco de Dados'!$F667,"Data do Pedido:
",1),1,10),"-","/")),VALUE(SUBSTITUTE(MID(_xlfn.TEXTAFTER('Banco de Dados'!$F667,"Order date:
",1),1,10),"-","/"))),0)),ProxyDD[Chave],ProxyDD[Valor por pedido]),PROXY!$P$2),0),0)</f>
        <v>0</v>
      </c>
      <c r="AP667" s="28">
        <f ca="1">IF('Banco de Dados'!$AK667&lt;&gt;"-",IF('Banco de Dados'!$AL667="NÃO",IFERROR(VALUE(SUBSTITUTE(_xlfn.TEXTAFTER('Banco de Dados'!$F667,"BRL ",1),".",",")),0),0),0)</f>
        <v>0</v>
      </c>
      <c r="AQ667" s="28">
        <f ca="1">SUM('Banco de Dados'!$AM667:$AP667)</f>
        <v>1.89</v>
      </c>
      <c r="AR667" s="8"/>
      <c r="AS667" s="8"/>
      <c r="AY667" s="8"/>
    </row>
    <row r="668" spans="1:51">
      <c r="A668" s="5" t="str">
        <v>BV</v>
      </c>
      <c r="B668" s="5" t="str">
        <f ca="1"/>
        <v>BV45656</v>
      </c>
      <c r="C668" s="8" t="str">
        <v>Pedido 655</v>
      </c>
      <c r="D668" s="9">
        <v>45656</v>
      </c>
      <c r="E668" s="9">
        <v>45656</v>
      </c>
      <c r="F668" s="8" t="str">
        <v>PedidoF637</v>
      </c>
      <c r="G668" s="2" t="str">
        <v>CódRastreio635</v>
      </c>
      <c r="H668" s="5">
        <v>1</v>
      </c>
      <c r="I668" s="182" t="str">
        <v>CPF 635</v>
      </c>
      <c r="J668" s="2" t="str">
        <v>Nome 635</v>
      </c>
      <c r="K668" s="8" t="str">
        <v>Tel 635</v>
      </c>
      <c r="L668" s="8" t="str">
        <v>Cep 635</v>
      </c>
      <c r="M668" s="8" t="str">
        <v>Rua 635</v>
      </c>
      <c r="N668" s="8" t="str">
        <v>Comp 635</v>
      </c>
      <c r="O668" s="8" t="str">
        <v>Ventilador Rosa</v>
      </c>
      <c r="P668" s="8" t="str">
        <v>IF-G2ZQ-79FO</v>
      </c>
      <c r="Q668" s="4">
        <v>45682</v>
      </c>
      <c r="R668" s="109">
        <v>49.4</v>
      </c>
      <c r="S668" s="11">
        <f ca="1"/>
        <v>49.4</v>
      </c>
      <c r="T668" s="28">
        <f ca="1"/>
        <v>6.4219999999999997</v>
      </c>
      <c r="U668" s="11">
        <f ca="1"/>
        <v>42.98</v>
      </c>
      <c r="V668" s="11">
        <v>18.510000000000002</v>
      </c>
      <c r="W668" s="11">
        <f ca="1"/>
        <v>0.24</v>
      </c>
      <c r="X668" s="11">
        <f ca="1"/>
        <v>0.39877104377104378</v>
      </c>
      <c r="Y668" s="11">
        <v>0</v>
      </c>
      <c r="Z668" s="11">
        <f ca="1"/>
        <v>23.831228956228951</v>
      </c>
      <c r="AA668" s="11">
        <f ca="1"/>
        <v>11.915614478114476</v>
      </c>
      <c r="AB668" s="4">
        <f ca="1"/>
        <v>45689</v>
      </c>
      <c r="AC668" s="4">
        <v>45689</v>
      </c>
      <c r="AD668" s="9">
        <v>45693</v>
      </c>
      <c r="AE668" s="9">
        <v>45705</v>
      </c>
      <c r="AF668" s="4" t="str">
        <f t="shared" ca="1" si="24"/>
        <v>2025 02</v>
      </c>
      <c r="AG668" s="8" t="str" cm="1">
        <f t="array" ref="AG668">IFERROR(_xlfn.IFS('Banco de Dados'!#REF!="AG. COMPRA","Em processamento",'Banco de Dados'!#REF!="AG. RASTREIO","Em processamento",'Banco de Dados'!$AE668&lt;&gt;"-","Faturado",'Banco de Dados'!$AD668&lt;&gt;"-","Aguardando Pix",'Banco de Dados'!$AC668&lt;&gt;"-","Pendente"),"Aguardando Liberação")</f>
        <v>Aguardando Liberação</v>
      </c>
      <c r="AH668" s="5" t="str">
        <f>IF('Banco de Dados'!$F668="-",_xlfn.CONCAT(PROPER(TEXT(AK668,"aaaa"))," ",PROPER(TEXT(AK668,"mm"))),_xlfn.CONCAT(PROPER(TEXT(E668,"aaaa"))," ",PROPER(TEXT(E668,"mm"))))</f>
        <v>2024 12</v>
      </c>
      <c r="AI668" s="9" t="str">
        <f ca="1">IF('Banco de Dados'!$AK668&lt;&gt;"-","REEMBOLSO",IFERROR(_xlfn.XLOOKUP(G668,Follow[CODRASTREIO],Follow[STATUS]),"-"))</f>
        <v>ENTREGUE</v>
      </c>
      <c r="AJ668" s="9">
        <f ca="1">IF('Banco de Dados'!$AI668="ENTREGUE",_xlfn.XLOOKUP('Banco de Dados'!$G668,Follow[CODRASTREIO],Follow[DATAATUALIZAÇÃO]),"-")</f>
        <v>45665</v>
      </c>
      <c r="AK668" s="9" t="str">
        <f ca="1"/>
        <v>-</v>
      </c>
      <c r="AL668" s="35"/>
      <c r="AM668" s="109" cm="1">
        <f t="array" aca="1" ref="AM668" ca="1">IF('Banco de Dados'!$AK668&lt;&gt;"-",_xlfn.IFS('Banco de Dados'!$A668="bv",IF('Banco de Dados'!$E668&lt;45641,ROUND(SUM('Banco de Dados'!$R668*_xlfn.XLOOKUP('Banco de Dados'!$P668,Sku!B:B,Sku!#REF!)*20%),2),ROUND(SUM('Banco de Dados'!$R668*_xlfn.XLOOKUP('Banco de Dados'!$P668,Sku!B:B,Sku!H:H)*20%),2)),'Banco de Dados'!$A668="GO",ROUND(_xlfn.XLOOKUP('Banco de Dados'!$P668,Sku!C:C,Sku!H:H),2),'Banco de Dados'!$A668="MEI",ROUND(_xlfn.XLOOKUP('Banco de Dados'!$P668,Sku!D:D,Sku!H:H),2)),0)</f>
        <v>0</v>
      </c>
      <c r="AN668" s="109">
        <f ca="1">IF('Banco de Dados'!$AK668&lt;&gt;"-",IF('Banco de Dados'!$F668&lt;&gt;"-",_xlfn.XLOOKUP(IFERROR(IFERROR(IFERROR(VALUE(SUBSTITUTE(MID(_xlfn.TEXTAFTER('Banco de Dados'!$F668,"Data do Pedido:
",1),1,10),"-","/")),VALUE(SUBSTITUTE(MID(_xlfn.TEXTAFTER('Banco de Dados'!$F668,"Order date:
",1),1,10),"-","/"))),VALUE(SUBSTITUTE(MID(_xlfn.TEXTAFTER('Banco de Dados'!$F668,"Fecha de pedido:
",1),1,10),"-","/"))),"-"),SMS!A:A,SMS!K:K),0),0)</f>
        <v>0</v>
      </c>
      <c r="AO668" s="109">
        <f ca="1">IF('Banco de Dados'!$AK668&lt;&gt;"-",IF('Banco de Dados'!$F668&lt;&gt;"-",IFERROR(_xlfn.XLOOKUP(_xlfn.CONCAT('Banco de Dados'!$A668,IFERROR(IFERROR(VALUE(SUBSTITUTE(MID(_xlfn.TEXTAFTER('Banco de Dados'!$F668,"Data do Pedido:
",1),1,10),"-","/")),VALUE(SUBSTITUTE(MID(_xlfn.TEXTAFTER('Banco de Dados'!$F668,"Order date:
",1),1,10),"-","/"))),0)),ProxyDD[Chave],ProxyDD[Valor por pedido]),PROXY!$P$2),0),0)</f>
        <v>0</v>
      </c>
      <c r="AP668" s="28">
        <f ca="1">IF('Banco de Dados'!$AK668&lt;&gt;"-",IF('Banco de Dados'!$AL668="NÃO",IFERROR(VALUE(SUBSTITUTE(_xlfn.TEXTAFTER('Banco de Dados'!$F668,"BRL ",1),".",",")),0),0),0)</f>
        <v>0</v>
      </c>
      <c r="AQ668" s="28">
        <f ca="1">SUM('Banco de Dados'!$AM668:$AP668)</f>
        <v>0</v>
      </c>
      <c r="AR668" s="8"/>
      <c r="AS668" s="8"/>
      <c r="AY668" s="8"/>
    </row>
    <row r="669" spans="1:51">
      <c r="A669" s="5" t="str">
        <v>BV</v>
      </c>
      <c r="B669" s="5" t="str">
        <f ca="1"/>
        <v>BV45656</v>
      </c>
      <c r="C669" s="8" t="str">
        <v>Pedido 656</v>
      </c>
      <c r="D669" s="9">
        <v>45656</v>
      </c>
      <c r="E669" s="9">
        <v>45656</v>
      </c>
      <c r="F669" s="8" t="str">
        <v>PedidoF638</v>
      </c>
      <c r="G669" s="2" t="str">
        <v>CódRastreio636</v>
      </c>
      <c r="H669" s="5">
        <v>1</v>
      </c>
      <c r="I669" s="182" t="str">
        <v>CPF 636</v>
      </c>
      <c r="J669" s="2" t="str">
        <v>Nome 636</v>
      </c>
      <c r="K669" s="8" t="str">
        <v>Tel 636</v>
      </c>
      <c r="L669" s="8" t="str">
        <v>Cep 636</v>
      </c>
      <c r="M669" s="8" t="str">
        <v>Rua 636</v>
      </c>
      <c r="N669" s="8" t="str">
        <v>Comp 636</v>
      </c>
      <c r="O669" s="8" t="str">
        <v>Ventilador Preto</v>
      </c>
      <c r="P669" s="8" t="str">
        <v>MU-J80P-95WF</v>
      </c>
      <c r="Q669" s="4">
        <v>45679</v>
      </c>
      <c r="R669" s="109">
        <v>65.599999999999994</v>
      </c>
      <c r="S669" s="11">
        <f ca="1"/>
        <v>65.599999999999994</v>
      </c>
      <c r="T669" s="28">
        <f ca="1"/>
        <v>8.5279999999999987</v>
      </c>
      <c r="U669" s="11">
        <f ca="1"/>
        <v>57.07</v>
      </c>
      <c r="V669" s="11">
        <v>19.14</v>
      </c>
      <c r="W669" s="11">
        <f ca="1"/>
        <v>0.24</v>
      </c>
      <c r="X669" s="11">
        <f ca="1"/>
        <v>0.39877104377104378</v>
      </c>
      <c r="Y669" s="11">
        <v>0</v>
      </c>
      <c r="Z669" s="11">
        <f ca="1"/>
        <v>37.291228956228956</v>
      </c>
      <c r="AA669" s="11">
        <f ca="1"/>
        <v>18.645614478114478</v>
      </c>
      <c r="AB669" s="4">
        <f ca="1"/>
        <v>45686</v>
      </c>
      <c r="AC669" s="4">
        <v>45686</v>
      </c>
      <c r="AD669" s="9">
        <v>45688</v>
      </c>
      <c r="AE669" s="9">
        <v>45694</v>
      </c>
      <c r="AF669" s="4" t="str">
        <f t="shared" ca="1" si="24"/>
        <v>2025 01</v>
      </c>
      <c r="AG669" s="8" t="str" cm="1">
        <f t="array" ref="AG669">IFERROR(_xlfn.IFS('Banco de Dados'!#REF!="AG. COMPRA","Em processamento",'Banco de Dados'!#REF!="AG. RASTREIO","Em processamento",'Banco de Dados'!$AE669&lt;&gt;"-","Faturado",'Banco de Dados'!$AD669&lt;&gt;"-","Aguardando Pix",'Banco de Dados'!$AC669&lt;&gt;"-","Pendente"),"Aguardando Liberação")</f>
        <v>Aguardando Liberação</v>
      </c>
      <c r="AH669" s="5" t="str">
        <f>IF('Banco de Dados'!$F669="-",_xlfn.CONCAT(PROPER(TEXT(AK669,"aaaa"))," ",PROPER(TEXT(AK669,"mm"))),_xlfn.CONCAT(PROPER(TEXT(E669,"aaaa"))," ",PROPER(TEXT(E669,"mm"))))</f>
        <v>2024 12</v>
      </c>
      <c r="AI669" s="9" t="str">
        <f ca="1">IF('Banco de Dados'!$AK669&lt;&gt;"-","REEMBOLSO",IFERROR(_xlfn.XLOOKUP(G669,Follow[CODRASTREIO],Follow[STATUS]),"-"))</f>
        <v>ENTREGUE</v>
      </c>
      <c r="AJ669" s="9">
        <f ca="1">IF('Banco de Dados'!$AI669="ENTREGUE",_xlfn.XLOOKUP('Banco de Dados'!$G669,Follow[CODRASTREIO],Follow[DATAATUALIZAÇÃO]),"-")</f>
        <v>45665</v>
      </c>
      <c r="AK669" s="9" t="str">
        <f ca="1"/>
        <v>-</v>
      </c>
      <c r="AL669" s="35"/>
      <c r="AM669" s="109" cm="1">
        <f t="array" aca="1" ref="AM669" ca="1">IF('Banco de Dados'!$AK669&lt;&gt;"-",_xlfn.IFS('Banco de Dados'!$A669="bv",IF('Banco de Dados'!$E669&lt;45641,ROUND(SUM('Banco de Dados'!$R669*_xlfn.XLOOKUP('Banco de Dados'!$P669,Sku!B:B,Sku!#REF!)*20%),2),ROUND(SUM('Banco de Dados'!$R669*_xlfn.XLOOKUP('Banco de Dados'!$P669,Sku!B:B,Sku!H:H)*20%),2)),'Banco de Dados'!$A669="GO",ROUND(_xlfn.XLOOKUP('Banco de Dados'!$P669,Sku!C:C,Sku!H:H),2),'Banco de Dados'!$A669="MEI",ROUND(_xlfn.XLOOKUP('Banco de Dados'!$P669,Sku!D:D,Sku!H:H),2)),0)</f>
        <v>0</v>
      </c>
      <c r="AN669" s="109">
        <f ca="1">IF('Banco de Dados'!$AK669&lt;&gt;"-",IF('Banco de Dados'!$F669&lt;&gt;"-",_xlfn.XLOOKUP(IFERROR(IFERROR(IFERROR(VALUE(SUBSTITUTE(MID(_xlfn.TEXTAFTER('Banco de Dados'!$F669,"Data do Pedido:
",1),1,10),"-","/")),VALUE(SUBSTITUTE(MID(_xlfn.TEXTAFTER('Banco de Dados'!$F669,"Order date:
",1),1,10),"-","/"))),VALUE(SUBSTITUTE(MID(_xlfn.TEXTAFTER('Banco de Dados'!$F669,"Fecha de pedido:
",1),1,10),"-","/"))),"-"),SMS!A:A,SMS!K:K),0),0)</f>
        <v>0</v>
      </c>
      <c r="AO669" s="109">
        <f ca="1">IF('Banco de Dados'!$AK669&lt;&gt;"-",IF('Banco de Dados'!$F669&lt;&gt;"-",IFERROR(_xlfn.XLOOKUP(_xlfn.CONCAT('Banco de Dados'!$A669,IFERROR(IFERROR(VALUE(SUBSTITUTE(MID(_xlfn.TEXTAFTER('Banco de Dados'!$F669,"Data do Pedido:
",1),1,10),"-","/")),VALUE(SUBSTITUTE(MID(_xlfn.TEXTAFTER('Banco de Dados'!$F669,"Order date:
",1),1,10),"-","/"))),0)),ProxyDD[Chave],ProxyDD[Valor por pedido]),PROXY!$P$2),0),0)</f>
        <v>0</v>
      </c>
      <c r="AP669" s="28">
        <f ca="1">IF('Banco de Dados'!$AK669&lt;&gt;"-",IF('Banco de Dados'!$AL669="NÃO",IFERROR(VALUE(SUBSTITUTE(_xlfn.TEXTAFTER('Banco de Dados'!$F669,"BRL ",1),".",",")),0),0),0)</f>
        <v>0</v>
      </c>
      <c r="AQ669" s="28">
        <f ca="1">SUM('Banco de Dados'!$AM669:$AP669)</f>
        <v>0</v>
      </c>
      <c r="AR669" s="8"/>
      <c r="AS669" s="8"/>
      <c r="AY669" s="8"/>
    </row>
    <row r="670" spans="1:51">
      <c r="A670" s="5" t="str">
        <v>BV</v>
      </c>
      <c r="B670" s="5" t="str">
        <f ca="1"/>
        <v>BV45656</v>
      </c>
      <c r="C670" s="8" t="str">
        <v>Pedido 657</v>
      </c>
      <c r="D670" s="9">
        <v>45656</v>
      </c>
      <c r="E670" s="9">
        <v>45656</v>
      </c>
      <c r="F670" s="8" t="str">
        <v>PedidoF639</v>
      </c>
      <c r="G670" s="2" t="str">
        <v>CódRastreio637</v>
      </c>
      <c r="H670" s="5">
        <v>1</v>
      </c>
      <c r="I670" s="182" t="str">
        <v>CPF 637</v>
      </c>
      <c r="J670" s="2" t="str">
        <v>Nome 637</v>
      </c>
      <c r="K670" s="8" t="str">
        <v>Tel 637</v>
      </c>
      <c r="L670" s="8" t="str">
        <v>Cep 637</v>
      </c>
      <c r="M670" s="8" t="str">
        <v>Rua 637</v>
      </c>
      <c r="N670" s="8" t="str">
        <v>Comp 637</v>
      </c>
      <c r="O670" s="8" t="str">
        <v>Ventilador de teto</v>
      </c>
      <c r="P670" s="8" t="str">
        <v>BP-NHG2-B8C1</v>
      </c>
      <c r="Q670" s="4">
        <v>45679</v>
      </c>
      <c r="R670" s="109">
        <v>76.989999999999995</v>
      </c>
      <c r="S670" s="11">
        <f ca="1"/>
        <v>76.989999999999995</v>
      </c>
      <c r="T670" s="28">
        <f ca="1"/>
        <v>10.008699999999999</v>
      </c>
      <c r="U670" s="11">
        <f ca="1"/>
        <v>66.98</v>
      </c>
      <c r="V670" s="11">
        <v>34.25</v>
      </c>
      <c r="W670" s="11">
        <f ca="1"/>
        <v>0.24</v>
      </c>
      <c r="X670" s="11">
        <f ca="1"/>
        <v>0.39877104377104378</v>
      </c>
      <c r="Y670" s="11">
        <v>0</v>
      </c>
      <c r="Z670" s="11">
        <f ca="1"/>
        <v>32.09122895622896</v>
      </c>
      <c r="AA670" s="11">
        <f ca="1"/>
        <v>16.04561447811448</v>
      </c>
      <c r="AB670" s="4">
        <f ca="1"/>
        <v>45686</v>
      </c>
      <c r="AC670" s="4">
        <v>45686</v>
      </c>
      <c r="AD670" s="9">
        <v>45688</v>
      </c>
      <c r="AE670" s="9">
        <v>45694</v>
      </c>
      <c r="AF670" s="4" t="str">
        <f t="shared" ca="1" si="24"/>
        <v>2025 01</v>
      </c>
      <c r="AG670" s="8" t="str" cm="1">
        <f t="array" ref="AG670">IFERROR(_xlfn.IFS('Banco de Dados'!#REF!="AG. COMPRA","Em processamento",'Banco de Dados'!#REF!="AG. RASTREIO","Em processamento",'Banco de Dados'!$AE670&lt;&gt;"-","Faturado",'Banco de Dados'!$AD670&lt;&gt;"-","Aguardando Pix",'Banco de Dados'!$AC670&lt;&gt;"-","Pendente"),"Aguardando Liberação")</f>
        <v>Aguardando Liberação</v>
      </c>
      <c r="AH670" s="5" t="str">
        <f>IF('Banco de Dados'!$F670="-",_xlfn.CONCAT(PROPER(TEXT(AK670,"aaaa"))," ",PROPER(TEXT(AK670,"mm"))),_xlfn.CONCAT(PROPER(TEXT(E670,"aaaa"))," ",PROPER(TEXT(E670,"mm"))))</f>
        <v>2024 12</v>
      </c>
      <c r="AI670" s="9" t="str">
        <f ca="1">IF('Banco de Dados'!$AK670&lt;&gt;"-","REEMBOLSO",IFERROR(_xlfn.XLOOKUP(G670,Follow[CODRASTREIO],Follow[STATUS]),"-"))</f>
        <v>ENTREGUE</v>
      </c>
      <c r="AJ670" s="9">
        <f ca="1">IF('Banco de Dados'!$AI670="ENTREGUE",_xlfn.XLOOKUP('Banco de Dados'!$G670,Follow[CODRASTREIO],Follow[DATAATUALIZAÇÃO]),"-")</f>
        <v>45666</v>
      </c>
      <c r="AK670" s="9" t="str">
        <f ca="1"/>
        <v>-</v>
      </c>
      <c r="AL670" s="35"/>
      <c r="AM670" s="109" cm="1">
        <f t="array" aca="1" ref="AM670" ca="1">IF('Banco de Dados'!$AK670&lt;&gt;"-",_xlfn.IFS('Banco de Dados'!$A670="bv",IF('Banco de Dados'!$E670&lt;45641,ROUND(SUM('Banco de Dados'!$R670*_xlfn.XLOOKUP('Banco de Dados'!$P670,Sku!B:B,Sku!#REF!)*20%),2),ROUND(SUM('Banco de Dados'!$R670*_xlfn.XLOOKUP('Banco de Dados'!$P670,Sku!B:B,Sku!H:H)*20%),2)),'Banco de Dados'!$A670="GO",ROUND(_xlfn.XLOOKUP('Banco de Dados'!$P670,Sku!C:C,Sku!H:H),2),'Banco de Dados'!$A670="MEI",ROUND(_xlfn.XLOOKUP('Banco de Dados'!$P670,Sku!D:D,Sku!H:H),2)),0)</f>
        <v>0</v>
      </c>
      <c r="AN670" s="109">
        <f ca="1">IF('Banco de Dados'!$AK670&lt;&gt;"-",IF('Banco de Dados'!$F670&lt;&gt;"-",_xlfn.XLOOKUP(IFERROR(IFERROR(IFERROR(VALUE(SUBSTITUTE(MID(_xlfn.TEXTAFTER('Banco de Dados'!$F670,"Data do Pedido:
",1),1,10),"-","/")),VALUE(SUBSTITUTE(MID(_xlfn.TEXTAFTER('Banco de Dados'!$F670,"Order date:
",1),1,10),"-","/"))),VALUE(SUBSTITUTE(MID(_xlfn.TEXTAFTER('Banco de Dados'!$F670,"Fecha de pedido:
",1),1,10),"-","/"))),"-"),SMS!A:A,SMS!K:K),0),0)</f>
        <v>0</v>
      </c>
      <c r="AO670" s="109">
        <f ca="1">IF('Banco de Dados'!$AK670&lt;&gt;"-",IF('Banco de Dados'!$F670&lt;&gt;"-",IFERROR(_xlfn.XLOOKUP(_xlfn.CONCAT('Banco de Dados'!$A670,IFERROR(IFERROR(VALUE(SUBSTITUTE(MID(_xlfn.TEXTAFTER('Banco de Dados'!$F670,"Data do Pedido:
",1),1,10),"-","/")),VALUE(SUBSTITUTE(MID(_xlfn.TEXTAFTER('Banco de Dados'!$F670,"Order date:
",1),1,10),"-","/"))),0)),ProxyDD[Chave],ProxyDD[Valor por pedido]),PROXY!$P$2),0),0)</f>
        <v>0</v>
      </c>
      <c r="AP670" s="28">
        <f ca="1">IF('Banco de Dados'!$AK670&lt;&gt;"-",IF('Banco de Dados'!$AL670="NÃO",IFERROR(VALUE(SUBSTITUTE(_xlfn.TEXTAFTER('Banco de Dados'!$F670,"BRL ",1),".",",")),0),0),0)</f>
        <v>0</v>
      </c>
      <c r="AQ670" s="28">
        <f ca="1">SUM('Banco de Dados'!$AM670:$AP670)</f>
        <v>0</v>
      </c>
      <c r="AR670" s="8"/>
      <c r="AS670" s="8"/>
      <c r="AY670" s="8"/>
    </row>
    <row r="671" spans="1:51">
      <c r="A671" s="5" t="str">
        <v>BV</v>
      </c>
      <c r="B671" s="5" t="str">
        <f ca="1"/>
        <v>BV45656</v>
      </c>
      <c r="C671" s="8" t="str">
        <v>Pedido 658</v>
      </c>
      <c r="D671" s="9">
        <v>45656</v>
      </c>
      <c r="E671" s="9">
        <v>45656</v>
      </c>
      <c r="F671" s="8" t="str">
        <v>PedidoF640</v>
      </c>
      <c r="G671" s="2" t="str">
        <v>CódRastreio638</v>
      </c>
      <c r="H671" s="5">
        <v>1</v>
      </c>
      <c r="I671" s="182" t="str">
        <v>CPF 638</v>
      </c>
      <c r="J671" s="2" t="str">
        <v>Nome 638</v>
      </c>
      <c r="K671" s="8" t="str">
        <v>Tel 638</v>
      </c>
      <c r="L671" s="8" t="str">
        <v>Cep 638</v>
      </c>
      <c r="M671" s="8" t="str">
        <v>Rua 638</v>
      </c>
      <c r="N671" s="8" t="str">
        <v>Comp 638</v>
      </c>
      <c r="O671" s="8" t="str">
        <v>Ventilador Preto</v>
      </c>
      <c r="P671" s="8" t="str">
        <v>MU-J80P-95WF</v>
      </c>
      <c r="Q671" s="4">
        <v>45685</v>
      </c>
      <c r="R671" s="109">
        <v>65.599999999999994</v>
      </c>
      <c r="S671" s="11">
        <f ca="1"/>
        <v>65.599999999999994</v>
      </c>
      <c r="T671" s="28">
        <f ca="1"/>
        <v>8.5279999999999987</v>
      </c>
      <c r="U671" s="11">
        <f ca="1"/>
        <v>57.07</v>
      </c>
      <c r="V671" s="11">
        <v>19.14</v>
      </c>
      <c r="W671" s="11">
        <f ca="1"/>
        <v>0.24</v>
      </c>
      <c r="X671" s="11">
        <f ca="1"/>
        <v>0.39877104377104378</v>
      </c>
      <c r="Y671" s="11">
        <v>0</v>
      </c>
      <c r="Z671" s="11">
        <f ca="1"/>
        <v>37.291228956228956</v>
      </c>
      <c r="AA671" s="11">
        <f ca="1"/>
        <v>18.645614478114478</v>
      </c>
      <c r="AB671" s="4">
        <f ca="1"/>
        <v>45692</v>
      </c>
      <c r="AC671" s="4">
        <v>45692</v>
      </c>
      <c r="AD671" s="9">
        <v>45693</v>
      </c>
      <c r="AE671" s="9">
        <v>45705</v>
      </c>
      <c r="AF671" s="4" t="str">
        <f t="shared" ca="1" si="24"/>
        <v>2025 02</v>
      </c>
      <c r="AG671" s="8" t="str" cm="1">
        <f t="array" ref="AG671">IFERROR(_xlfn.IFS('Banco de Dados'!#REF!="AG. COMPRA","Em processamento",'Banco de Dados'!#REF!="AG. RASTREIO","Em processamento",'Banco de Dados'!$AE671&lt;&gt;"-","Faturado",'Banco de Dados'!$AD671&lt;&gt;"-","Aguardando Pix",'Banco de Dados'!$AC671&lt;&gt;"-","Pendente"),"Aguardando Liberação")</f>
        <v>Aguardando Liberação</v>
      </c>
      <c r="AH671" s="5" t="str">
        <f>IF('Banco de Dados'!$F671="-",_xlfn.CONCAT(PROPER(TEXT(AK671,"aaaa"))," ",PROPER(TEXT(AK671,"mm"))),_xlfn.CONCAT(PROPER(TEXT(E671,"aaaa"))," ",PROPER(TEXT(E671,"mm"))))</f>
        <v>2024 12</v>
      </c>
      <c r="AI671" s="9" t="str">
        <f ca="1">IF('Banco de Dados'!$AK671&lt;&gt;"-","REEMBOLSO",IFERROR(_xlfn.XLOOKUP(G671,Follow[CODRASTREIO],Follow[STATUS]),"-"))</f>
        <v>ENTREGUE</v>
      </c>
      <c r="AJ671" s="9">
        <f ca="1">IF('Banco de Dados'!$AI671="ENTREGUE",_xlfn.XLOOKUP('Banco de Dados'!$G671,Follow[CODRASTREIO],Follow[DATAATUALIZAÇÃO]),"-")</f>
        <v>45665</v>
      </c>
      <c r="AK671" s="9" t="str">
        <f ca="1"/>
        <v>-</v>
      </c>
      <c r="AL671" s="35"/>
      <c r="AM671" s="109" cm="1">
        <f t="array" aca="1" ref="AM671" ca="1">IF('Banco de Dados'!$AK671&lt;&gt;"-",_xlfn.IFS('Banco de Dados'!$A671="bv",IF('Banco de Dados'!$E671&lt;45641,ROUND(SUM('Banco de Dados'!$R671*_xlfn.XLOOKUP('Banco de Dados'!$P671,Sku!B:B,Sku!#REF!)*20%),2),ROUND(SUM('Banco de Dados'!$R671*_xlfn.XLOOKUP('Banco de Dados'!$P671,Sku!B:B,Sku!H:H)*20%),2)),'Banco de Dados'!$A671="GO",ROUND(_xlfn.XLOOKUP('Banco de Dados'!$P671,Sku!C:C,Sku!H:H),2),'Banco de Dados'!$A671="MEI",ROUND(_xlfn.XLOOKUP('Banco de Dados'!$P671,Sku!D:D,Sku!H:H),2)),0)</f>
        <v>0</v>
      </c>
      <c r="AN671" s="109">
        <f ca="1">IF('Banco de Dados'!$AK671&lt;&gt;"-",IF('Banco de Dados'!$F671&lt;&gt;"-",_xlfn.XLOOKUP(IFERROR(IFERROR(IFERROR(VALUE(SUBSTITUTE(MID(_xlfn.TEXTAFTER('Banco de Dados'!$F671,"Data do Pedido:
",1),1,10),"-","/")),VALUE(SUBSTITUTE(MID(_xlfn.TEXTAFTER('Banco de Dados'!$F671,"Order date:
",1),1,10),"-","/"))),VALUE(SUBSTITUTE(MID(_xlfn.TEXTAFTER('Banco de Dados'!$F671,"Fecha de pedido:
",1),1,10),"-","/"))),"-"),SMS!A:A,SMS!K:K),0),0)</f>
        <v>0</v>
      </c>
      <c r="AO671" s="109">
        <f ca="1">IF('Banco de Dados'!$AK671&lt;&gt;"-",IF('Banco de Dados'!$F671&lt;&gt;"-",IFERROR(_xlfn.XLOOKUP(_xlfn.CONCAT('Banco de Dados'!$A671,IFERROR(IFERROR(VALUE(SUBSTITUTE(MID(_xlfn.TEXTAFTER('Banco de Dados'!$F671,"Data do Pedido:
",1),1,10),"-","/")),VALUE(SUBSTITUTE(MID(_xlfn.TEXTAFTER('Banco de Dados'!$F671,"Order date:
",1),1,10),"-","/"))),0)),ProxyDD[Chave],ProxyDD[Valor por pedido]),PROXY!$P$2),0),0)</f>
        <v>0</v>
      </c>
      <c r="AP671" s="28">
        <f ca="1">IF('Banco de Dados'!$AK671&lt;&gt;"-",IF('Banco de Dados'!$AL671="NÃO",IFERROR(VALUE(SUBSTITUTE(_xlfn.TEXTAFTER('Banco de Dados'!$F671,"BRL ",1),".",",")),0),0),0)</f>
        <v>0</v>
      </c>
      <c r="AQ671" s="28">
        <f ca="1">SUM('Banco de Dados'!$AM671:$AP671)</f>
        <v>0</v>
      </c>
      <c r="AR671" s="8"/>
      <c r="AS671" s="8"/>
      <c r="AY671" s="8"/>
    </row>
    <row r="672" spans="1:51">
      <c r="A672" s="5" t="str">
        <v>BV</v>
      </c>
      <c r="B672" s="5" t="str">
        <f ca="1"/>
        <v>BV45656</v>
      </c>
      <c r="C672" s="8" t="str">
        <v>Pedido 659</v>
      </c>
      <c r="D672" s="9">
        <v>45656</v>
      </c>
      <c r="E672" s="9">
        <v>45656</v>
      </c>
      <c r="F672" s="8" t="str">
        <v>PedidoF641</v>
      </c>
      <c r="G672" s="2" t="str">
        <v>CódRastreio639</v>
      </c>
      <c r="H672" s="5">
        <v>1</v>
      </c>
      <c r="I672" s="182" t="str">
        <v>CPF 639</v>
      </c>
      <c r="J672" s="2" t="str">
        <v>Nome 639</v>
      </c>
      <c r="K672" s="8" t="str">
        <v>Tel 639</v>
      </c>
      <c r="L672" s="8" t="str">
        <v>Cep 639</v>
      </c>
      <c r="M672" s="8" t="str">
        <v>Rua 639</v>
      </c>
      <c r="N672" s="8" t="str">
        <v>Comp 639</v>
      </c>
      <c r="O672" s="8" t="str">
        <v>Ventilador Rosa</v>
      </c>
      <c r="P672" s="8" t="str">
        <v>IF-G2ZQ-79FO</v>
      </c>
      <c r="Q672" s="4">
        <v>45679</v>
      </c>
      <c r="R672" s="109">
        <v>49.4</v>
      </c>
      <c r="S672" s="11">
        <f ca="1"/>
        <v>49.4</v>
      </c>
      <c r="T672" s="28">
        <f ca="1"/>
        <v>6.4219999999999997</v>
      </c>
      <c r="U672" s="11">
        <f ca="1"/>
        <v>42.98</v>
      </c>
      <c r="V672" s="11">
        <v>18.510000000000002</v>
      </c>
      <c r="W672" s="11">
        <f ca="1"/>
        <v>0.24</v>
      </c>
      <c r="X672" s="11">
        <f ca="1"/>
        <v>0.39877104377104378</v>
      </c>
      <c r="Y672" s="11">
        <v>0</v>
      </c>
      <c r="Z672" s="11">
        <f ca="1"/>
        <v>23.831228956228951</v>
      </c>
      <c r="AA672" s="11">
        <f ca="1"/>
        <v>11.915614478114476</v>
      </c>
      <c r="AB672" s="4">
        <f ca="1"/>
        <v>45686</v>
      </c>
      <c r="AC672" s="4">
        <v>45686</v>
      </c>
      <c r="AD672" s="9">
        <v>45688</v>
      </c>
      <c r="AE672" s="9">
        <v>45694</v>
      </c>
      <c r="AF672" s="4" t="str">
        <f t="shared" ca="1" si="24"/>
        <v>2025 01</v>
      </c>
      <c r="AG672" s="8" t="str" cm="1">
        <f t="array" ref="AG672">IFERROR(_xlfn.IFS('Banco de Dados'!#REF!="AG. COMPRA","Em processamento",'Banco de Dados'!#REF!="AG. RASTREIO","Em processamento",'Banco de Dados'!$AE672&lt;&gt;"-","Faturado",'Banco de Dados'!$AD672&lt;&gt;"-","Aguardando Pix",'Banco de Dados'!$AC672&lt;&gt;"-","Pendente"),"Aguardando Liberação")</f>
        <v>Aguardando Liberação</v>
      </c>
      <c r="AH672" s="5" t="str">
        <f>IF('Banco de Dados'!$F672="-",_xlfn.CONCAT(PROPER(TEXT(AK672,"aaaa"))," ",PROPER(TEXT(AK672,"mm"))),_xlfn.CONCAT(PROPER(TEXT(E672,"aaaa"))," ",PROPER(TEXT(E672,"mm"))))</f>
        <v>2024 12</v>
      </c>
      <c r="AI672" s="9" t="str">
        <f ca="1">IF('Banco de Dados'!$AK672&lt;&gt;"-","REEMBOLSO",IFERROR(_xlfn.XLOOKUP(G672,Follow[CODRASTREIO],Follow[STATUS]),"-"))</f>
        <v>ENTREGUE</v>
      </c>
      <c r="AJ672" s="9">
        <f ca="1">IF('Banco de Dados'!$AI672="ENTREGUE",_xlfn.XLOOKUP('Banco de Dados'!$G672,Follow[CODRASTREIO],Follow[DATAATUALIZAÇÃO]),"-")</f>
        <v>45665</v>
      </c>
      <c r="AK672" s="9" t="str">
        <f ca="1"/>
        <v>-</v>
      </c>
      <c r="AL672" s="35"/>
      <c r="AM672" s="109" cm="1">
        <f t="array" aca="1" ref="AM672" ca="1">IF('Banco de Dados'!$AK672&lt;&gt;"-",_xlfn.IFS('Banco de Dados'!$A672="bv",IF('Banco de Dados'!$E672&lt;45641,ROUND(SUM('Banco de Dados'!$R672*_xlfn.XLOOKUP('Banco de Dados'!$P672,Sku!B:B,Sku!#REF!)*20%),2),ROUND(SUM('Banco de Dados'!$R672*_xlfn.XLOOKUP('Banco de Dados'!$P672,Sku!B:B,Sku!H:H)*20%),2)),'Banco de Dados'!$A672="GO",ROUND(_xlfn.XLOOKUP('Banco de Dados'!$P672,Sku!C:C,Sku!H:H),2),'Banco de Dados'!$A672="MEI",ROUND(_xlfn.XLOOKUP('Banco de Dados'!$P672,Sku!D:D,Sku!H:H),2)),0)</f>
        <v>0</v>
      </c>
      <c r="AN672" s="109">
        <f ca="1">IF('Banco de Dados'!$AK672&lt;&gt;"-",IF('Banco de Dados'!$F672&lt;&gt;"-",_xlfn.XLOOKUP(IFERROR(IFERROR(IFERROR(VALUE(SUBSTITUTE(MID(_xlfn.TEXTAFTER('Banco de Dados'!$F672,"Data do Pedido:
",1),1,10),"-","/")),VALUE(SUBSTITUTE(MID(_xlfn.TEXTAFTER('Banco de Dados'!$F672,"Order date:
",1),1,10),"-","/"))),VALUE(SUBSTITUTE(MID(_xlfn.TEXTAFTER('Banco de Dados'!$F672,"Fecha de pedido:
",1),1,10),"-","/"))),"-"),SMS!A:A,SMS!K:K),0),0)</f>
        <v>0</v>
      </c>
      <c r="AO672" s="109">
        <f ca="1">IF('Banco de Dados'!$AK672&lt;&gt;"-",IF('Banco de Dados'!$F672&lt;&gt;"-",IFERROR(_xlfn.XLOOKUP(_xlfn.CONCAT('Banco de Dados'!$A672,IFERROR(IFERROR(VALUE(SUBSTITUTE(MID(_xlfn.TEXTAFTER('Banco de Dados'!$F672,"Data do Pedido:
",1),1,10),"-","/")),VALUE(SUBSTITUTE(MID(_xlfn.TEXTAFTER('Banco de Dados'!$F672,"Order date:
",1),1,10),"-","/"))),0)),ProxyDD[Chave],ProxyDD[Valor por pedido]),PROXY!$P$2),0),0)</f>
        <v>0</v>
      </c>
      <c r="AP672" s="28">
        <f ca="1">IF('Banco de Dados'!$AK672&lt;&gt;"-",IF('Banco de Dados'!$AL672="NÃO",IFERROR(VALUE(SUBSTITUTE(_xlfn.TEXTAFTER('Banco de Dados'!$F672,"BRL ",1),".",",")),0),0),0)</f>
        <v>0</v>
      </c>
      <c r="AQ672" s="28">
        <f ca="1">SUM('Banco de Dados'!$AM672:$AP672)</f>
        <v>0</v>
      </c>
      <c r="AR672" s="8"/>
      <c r="AS672" s="8"/>
      <c r="AY672" s="8"/>
    </row>
    <row r="673" spans="1:51">
      <c r="A673" s="5" t="str">
        <v>BV</v>
      </c>
      <c r="B673" s="5" t="str">
        <f ca="1"/>
        <v>BV45656</v>
      </c>
      <c r="C673" s="8" t="str">
        <v>Pedido 660</v>
      </c>
      <c r="D673" s="9">
        <v>45656</v>
      </c>
      <c r="E673" s="9">
        <v>45656</v>
      </c>
      <c r="F673" s="8" t="str">
        <v>PedidoF642</v>
      </c>
      <c r="G673" s="2" t="str">
        <v>CódRastreio640</v>
      </c>
      <c r="H673" s="5">
        <v>1</v>
      </c>
      <c r="I673" s="182" t="str">
        <v>CPF 640</v>
      </c>
      <c r="J673" s="2" t="str">
        <v>Nome 640</v>
      </c>
      <c r="K673" s="8" t="str">
        <v>Tel 640</v>
      </c>
      <c r="L673" s="8" t="str">
        <v>Cep 640</v>
      </c>
      <c r="M673" s="8" t="str">
        <v>Rua 640</v>
      </c>
      <c r="N673" s="8" t="str">
        <v>Comp 640</v>
      </c>
      <c r="O673" s="8" t="str">
        <v>Ventilador Rosa</v>
      </c>
      <c r="P673" s="8" t="str">
        <v>IF-G2ZQ-79FO</v>
      </c>
      <c r="Q673" s="4">
        <v>45685</v>
      </c>
      <c r="R673" s="109">
        <v>49.4</v>
      </c>
      <c r="S673" s="11">
        <f ca="1"/>
        <v>49.4</v>
      </c>
      <c r="T673" s="28">
        <f ca="1"/>
        <v>6.4219999999999997</v>
      </c>
      <c r="U673" s="11">
        <f ca="1"/>
        <v>42.98</v>
      </c>
      <c r="V673" s="11">
        <v>18.510000000000002</v>
      </c>
      <c r="W673" s="11">
        <f ca="1"/>
        <v>0.24</v>
      </c>
      <c r="X673" s="11">
        <f ca="1"/>
        <v>0.39877104377104378</v>
      </c>
      <c r="Y673" s="11">
        <v>0</v>
      </c>
      <c r="Z673" s="11">
        <f ca="1"/>
        <v>23.831228956228951</v>
      </c>
      <c r="AA673" s="11">
        <f ca="1"/>
        <v>11.915614478114476</v>
      </c>
      <c r="AB673" s="4">
        <f ca="1"/>
        <v>45692</v>
      </c>
      <c r="AC673" s="4">
        <v>45692</v>
      </c>
      <c r="AD673" s="9">
        <v>45693</v>
      </c>
      <c r="AE673" s="9">
        <v>45705</v>
      </c>
      <c r="AF673" s="4" t="str">
        <f t="shared" ca="1" si="24"/>
        <v>2025 02</v>
      </c>
      <c r="AG673" s="8" t="str" cm="1">
        <f t="array" ref="AG673">IFERROR(_xlfn.IFS('Banco de Dados'!#REF!="AG. COMPRA","Em processamento",'Banco de Dados'!#REF!="AG. RASTREIO","Em processamento",'Banco de Dados'!$AE673&lt;&gt;"-","Faturado",'Banco de Dados'!$AD673&lt;&gt;"-","Aguardando Pix",'Banco de Dados'!$AC673&lt;&gt;"-","Pendente"),"Aguardando Liberação")</f>
        <v>Aguardando Liberação</v>
      </c>
      <c r="AH673" s="5" t="str">
        <f>IF('Banco de Dados'!$F673="-",_xlfn.CONCAT(PROPER(TEXT(AK673,"aaaa"))," ",PROPER(TEXT(AK673,"mm"))),_xlfn.CONCAT(PROPER(TEXT(E673,"aaaa"))," ",PROPER(TEXT(E673,"mm"))))</f>
        <v>2024 12</v>
      </c>
      <c r="AI673" s="9" t="str">
        <f ca="1">IF('Banco de Dados'!$AK673&lt;&gt;"-","REEMBOLSO",IFERROR(_xlfn.XLOOKUP(G673,Follow[CODRASTREIO],Follow[STATUS]),"-"))</f>
        <v>ENTREGUE</v>
      </c>
      <c r="AJ673" s="9">
        <f ca="1">IF('Banco de Dados'!$AI673="ENTREGUE",_xlfn.XLOOKUP('Banco de Dados'!$G673,Follow[CODRASTREIO],Follow[DATAATUALIZAÇÃO]),"-")</f>
        <v>45667</v>
      </c>
      <c r="AK673" s="9" t="str">
        <f ca="1"/>
        <v>-</v>
      </c>
      <c r="AL673" s="35"/>
      <c r="AM673" s="109" cm="1">
        <f t="array" aca="1" ref="AM673" ca="1">IF('Banco de Dados'!$AK673&lt;&gt;"-",_xlfn.IFS('Banco de Dados'!$A673="bv",IF('Banco de Dados'!$E673&lt;45641,ROUND(SUM('Banco de Dados'!$R673*_xlfn.XLOOKUP('Banco de Dados'!$P673,Sku!B:B,Sku!#REF!)*20%),2),ROUND(SUM('Banco de Dados'!$R673*_xlfn.XLOOKUP('Banco de Dados'!$P673,Sku!B:B,Sku!H:H)*20%),2)),'Banco de Dados'!$A673="GO",ROUND(_xlfn.XLOOKUP('Banco de Dados'!$P673,Sku!C:C,Sku!H:H),2),'Banco de Dados'!$A673="MEI",ROUND(_xlfn.XLOOKUP('Banco de Dados'!$P673,Sku!D:D,Sku!H:H),2)),0)</f>
        <v>0</v>
      </c>
      <c r="AN673" s="109">
        <f ca="1">IF('Banco de Dados'!$AK673&lt;&gt;"-",IF('Banco de Dados'!$F673&lt;&gt;"-",_xlfn.XLOOKUP(IFERROR(IFERROR(IFERROR(VALUE(SUBSTITUTE(MID(_xlfn.TEXTAFTER('Banco de Dados'!$F673,"Data do Pedido:
",1),1,10),"-","/")),VALUE(SUBSTITUTE(MID(_xlfn.TEXTAFTER('Banco de Dados'!$F673,"Order date:
",1),1,10),"-","/"))),VALUE(SUBSTITUTE(MID(_xlfn.TEXTAFTER('Banco de Dados'!$F673,"Fecha de pedido:
",1),1,10),"-","/"))),"-"),SMS!A:A,SMS!K:K),0),0)</f>
        <v>0</v>
      </c>
      <c r="AO673" s="109">
        <f ca="1">IF('Banco de Dados'!$AK673&lt;&gt;"-",IF('Banco de Dados'!$F673&lt;&gt;"-",IFERROR(_xlfn.XLOOKUP(_xlfn.CONCAT('Banco de Dados'!$A673,IFERROR(IFERROR(VALUE(SUBSTITUTE(MID(_xlfn.TEXTAFTER('Banco de Dados'!$F673,"Data do Pedido:
",1),1,10),"-","/")),VALUE(SUBSTITUTE(MID(_xlfn.TEXTAFTER('Banco de Dados'!$F673,"Order date:
",1),1,10),"-","/"))),0)),ProxyDD[Chave],ProxyDD[Valor por pedido]),PROXY!$P$2),0),0)</f>
        <v>0</v>
      </c>
      <c r="AP673" s="28">
        <f ca="1">IF('Banco de Dados'!$AK673&lt;&gt;"-",IF('Banco de Dados'!$AL673="NÃO",IFERROR(VALUE(SUBSTITUTE(_xlfn.TEXTAFTER('Banco de Dados'!$F673,"BRL ",1),".",",")),0),0),0)</f>
        <v>0</v>
      </c>
      <c r="AQ673" s="28">
        <f ca="1">SUM('Banco de Dados'!$AM673:$AP673)</f>
        <v>0</v>
      </c>
      <c r="AR673" s="8"/>
      <c r="AS673" s="8"/>
      <c r="AY673" s="8"/>
    </row>
    <row r="674" spans="1:51">
      <c r="A674" s="5" t="str">
        <v>BV</v>
      </c>
      <c r="B674" s="5" t="str">
        <f ca="1"/>
        <v>BV45656</v>
      </c>
      <c r="C674" s="8" t="str">
        <v>Pedido 661</v>
      </c>
      <c r="D674" s="9">
        <v>45656</v>
      </c>
      <c r="E674" s="9">
        <v>45656</v>
      </c>
      <c r="F674" s="8" t="str">
        <v>PedidoF643</v>
      </c>
      <c r="G674" s="2" t="str">
        <v>CódRastreio641</v>
      </c>
      <c r="H674" s="5">
        <v>1</v>
      </c>
      <c r="I674" s="182" t="str">
        <v>CPF 641</v>
      </c>
      <c r="J674" s="2" t="str">
        <v>Nome 641</v>
      </c>
      <c r="K674" s="8" t="str">
        <v>Tel 641</v>
      </c>
      <c r="L674" s="8" t="str">
        <v>Cep 641</v>
      </c>
      <c r="M674" s="8" t="str">
        <v>Rua 641</v>
      </c>
      <c r="N674" s="8" t="str">
        <v>Comp 641</v>
      </c>
      <c r="O674" s="8" t="str">
        <v>Lampada Led</v>
      </c>
      <c r="P674" s="8" t="str">
        <v>RB-W251-UXV2</v>
      </c>
      <c r="Q674" s="4">
        <v>45679</v>
      </c>
      <c r="R674" s="109">
        <v>32.4</v>
      </c>
      <c r="S674" s="11">
        <f ca="1"/>
        <v>0</v>
      </c>
      <c r="T674" s="28">
        <f ca="1"/>
        <v>0</v>
      </c>
      <c r="U674" s="11">
        <f ca="1"/>
        <v>0</v>
      </c>
      <c r="V674" s="11">
        <v>0</v>
      </c>
      <c r="W674" s="11">
        <f ca="1"/>
        <v>0</v>
      </c>
      <c r="X674" s="11">
        <f ca="1"/>
        <v>0.39877104377104378</v>
      </c>
      <c r="Y674" s="11">
        <v>0</v>
      </c>
      <c r="Z674" s="11">
        <f ca="1"/>
        <v>-0.39877104377104378</v>
      </c>
      <c r="AA674" s="11">
        <f ca="1"/>
        <v>-0.19938552188552189</v>
      </c>
      <c r="AB674" s="4">
        <f ca="1"/>
        <v>45686</v>
      </c>
      <c r="AC674" s="4">
        <v>45686</v>
      </c>
      <c r="AD674" s="9">
        <v>45688</v>
      </c>
      <c r="AE674" s="9">
        <v>45694</v>
      </c>
      <c r="AF674" s="4" t="str">
        <f ca="1">_xlfn.CONCAT(PROPER(TEXT(AB674,"aaaa"))," ",PROPER(TEXT(AB674,"mm")))</f>
        <v>2025 01</v>
      </c>
      <c r="AG674" s="8" t="str" cm="1">
        <f t="array" ref="AG674">IFERROR(_xlfn.IFS('Banco de Dados'!#REF!="AG. COMPRA","Em processamento",'Banco de Dados'!#REF!="AG. RASTREIO","Em processamento",'Banco de Dados'!$AE674&lt;&gt;"-","Faturado",'Banco de Dados'!$AD674&lt;&gt;"-","Aguardando Pix",'Banco de Dados'!$AC674&lt;&gt;"-","Pendente"),"Aguardando Liberação")</f>
        <v>Aguardando Liberação</v>
      </c>
      <c r="AH674" s="5" t="str">
        <f>IF('Banco de Dados'!$F674="-",_xlfn.CONCAT(PROPER(TEXT(AK674,"aaaa"))," ",PROPER(TEXT(AK674,"mm"))),_xlfn.CONCAT(PROPER(TEXT(E674,"aaaa"))," ",PROPER(TEXT(E674,"mm"))))</f>
        <v>2024 12</v>
      </c>
      <c r="AI674" s="9" t="str">
        <f ca="1">IF('Banco de Dados'!$AK674&lt;&gt;"-","REEMBOLSO",IFERROR(_xlfn.XLOOKUP(G674,Follow[CODRASTREIO],Follow[STATUS]),"-"))</f>
        <v>REEMBOLSO</v>
      </c>
      <c r="AJ674" s="9" t="str">
        <f ca="1">IF('Banco de Dados'!$AI674="ENTREGUE",_xlfn.XLOOKUP('Banco de Dados'!$G674,Follow[CODRASTREIO],Follow[DATAATUALIZAÇÃO]),"-")</f>
        <v>-</v>
      </c>
      <c r="AK674" s="9">
        <f ca="1"/>
        <v>45670</v>
      </c>
      <c r="AL674" s="35"/>
      <c r="AM674" s="109">
        <v>0.84</v>
      </c>
      <c r="AN674" s="109" t="e">
        <f ca="1">IF('Banco de Dados'!$AK674&lt;&gt;"-",IF('Banco de Dados'!$F674&lt;&gt;"-",_xlfn.XLOOKUP(IFERROR(IFERROR(IFERROR(VALUE(SUBSTITUTE(MID(_xlfn.TEXTAFTER('Banco de Dados'!$F674,"Data do Pedido:
",1),1,10),"-","/")),VALUE(SUBSTITUTE(MID(_xlfn.TEXTAFTER('Banco de Dados'!$F674,"Order date:
",1),1,10),"-","/"))),VALUE(SUBSTITUTE(MID(_xlfn.TEXTAFTER('Banco de Dados'!$F674,"Fecha de pedido:
",1),1,10),"-","/"))),"-"),SMS!A:A,SMS!K:K),0),0)</f>
        <v>#N/A</v>
      </c>
      <c r="AO674" s="109">
        <f ca="1">IF('Banco de Dados'!$AK674&lt;&gt;"-",IF('Banco de Dados'!$F674&lt;&gt;"-",IFERROR(_xlfn.XLOOKUP(_xlfn.CONCAT('Banco de Dados'!$A674,IFERROR(IFERROR(VALUE(SUBSTITUTE(MID(_xlfn.TEXTAFTER('Banco de Dados'!$F674,"Data do Pedido:
",1),1,10),"-","/")),VALUE(SUBSTITUTE(MID(_xlfn.TEXTAFTER('Banco de Dados'!$F674,"Order date:
",1),1,10),"-","/"))),0)),ProxyDD[Chave],ProxyDD[Valor por pedido]),PROXY!$P$2),0),0)</f>
        <v>0.39877104377104378</v>
      </c>
      <c r="AP674" s="28">
        <f ca="1">IF('Banco de Dados'!$AK674&lt;&gt;"-",IF('Banco de Dados'!$AL674="NÃO",IFERROR(VALUE(SUBSTITUTE(_xlfn.TEXTAFTER('Banco de Dados'!$F674,"BRL ",1),".",",")),0),0),0)</f>
        <v>0</v>
      </c>
      <c r="AQ674" s="28" t="e">
        <f ca="1">SUM('Banco de Dados'!$AM674:$AP674)</f>
        <v>#N/A</v>
      </c>
      <c r="AR674" s="8"/>
      <c r="AS674" s="8"/>
      <c r="AY674" s="8"/>
    </row>
    <row r="675" spans="1:51">
      <c r="A675" s="5" t="str">
        <v>BV</v>
      </c>
      <c r="B675" s="5" t="str">
        <f ca="1"/>
        <v>BV45659</v>
      </c>
      <c r="C675" s="8" t="str">
        <v>Pedido 662</v>
      </c>
      <c r="D675" s="9">
        <v>45659</v>
      </c>
      <c r="E675" s="9">
        <v>45659</v>
      </c>
      <c r="F675" s="8" t="str">
        <v>PedidoF644</v>
      </c>
      <c r="G675" s="2" t="str">
        <v>CódRastreio642</v>
      </c>
      <c r="H675" s="5">
        <v>1</v>
      </c>
      <c r="I675" s="182" t="str">
        <v>CPF 642</v>
      </c>
      <c r="J675" s="2" t="str">
        <v>Nome 642</v>
      </c>
      <c r="K675" s="8" t="str">
        <v>Tel 642</v>
      </c>
      <c r="L675" s="8" t="str">
        <v>Cep 642</v>
      </c>
      <c r="M675" s="8" t="str">
        <v>Rua 642</v>
      </c>
      <c r="N675" s="8" t="str">
        <v>Comp 642</v>
      </c>
      <c r="O675" s="8" t="str">
        <v>Suporte de Celular Branco</v>
      </c>
      <c r="P675" s="8" t="str">
        <v>16-4EDB-WMZF</v>
      </c>
      <c r="Q675" s="4">
        <v>45685</v>
      </c>
      <c r="R675" s="109">
        <v>21.99</v>
      </c>
      <c r="S675" s="11">
        <f ca="1"/>
        <v>21.99</v>
      </c>
      <c r="T675" s="28">
        <f ca="1"/>
        <v>3.2984999999999998</v>
      </c>
      <c r="U675" s="11">
        <f ca="1"/>
        <v>18.690000000000001</v>
      </c>
      <c r="V675" s="11">
        <v>6.99</v>
      </c>
      <c r="W675" s="11">
        <f ca="1"/>
        <v>0.16</v>
      </c>
      <c r="X675" s="11">
        <f ca="1"/>
        <v>0.39877104377104378</v>
      </c>
      <c r="Y675" s="11">
        <v>0</v>
      </c>
      <c r="Z675" s="11">
        <f ca="1"/>
        <v>11.141228956228957</v>
      </c>
      <c r="AA675" s="11">
        <f ca="1"/>
        <v>5.5706144781144786</v>
      </c>
      <c r="AB675" s="4">
        <f ca="1"/>
        <v>45692</v>
      </c>
      <c r="AC675" s="4">
        <v>45692</v>
      </c>
      <c r="AD675" s="9">
        <v>45693</v>
      </c>
      <c r="AE675" s="9">
        <v>45705</v>
      </c>
      <c r="AF675" s="4" t="str">
        <f t="shared" ref="AF675:AF696" ca="1" si="25">_xlfn.CONCAT(PROPER(TEXT(AB675,"aaaa"))," ",PROPER(TEXT(AB675,"mm")))</f>
        <v>2025 02</v>
      </c>
      <c r="AG675" s="8" t="str" cm="1">
        <f t="array" ref="AG675">IFERROR(_xlfn.IFS('Banco de Dados'!#REF!="AG. COMPRA","Em processamento",'Banco de Dados'!#REF!="AG. RASTREIO","Em processamento",'Banco de Dados'!$AE675&lt;&gt;"-","Faturado",'Banco de Dados'!$AD675&lt;&gt;"-","Aguardando Pix",'Banco de Dados'!$AC675&lt;&gt;"-","Pendente"),"Aguardando Liberação")</f>
        <v>Aguardando Liberação</v>
      </c>
      <c r="AH675" s="5" t="str">
        <f>IF('Banco de Dados'!$F675="-",_xlfn.CONCAT(PROPER(TEXT(AK675,"aaaa"))," ",PROPER(TEXT(AK675,"mm"))),_xlfn.CONCAT(PROPER(TEXT(E675,"aaaa"))," ",PROPER(TEXT(E675,"mm"))))</f>
        <v>2025 01</v>
      </c>
      <c r="AI675" s="9" t="str">
        <f ca="1">IF('Banco de Dados'!$AK675&lt;&gt;"-","REEMBOLSO",IFERROR(_xlfn.XLOOKUP(G675,Follow[CODRASTREIO],Follow[STATUS]),"-"))</f>
        <v>ENTREGUE</v>
      </c>
      <c r="AJ675" s="9">
        <f ca="1">IF('Banco de Dados'!$AI675="ENTREGUE",_xlfn.XLOOKUP('Banco de Dados'!$G675,Follow[CODRASTREIO],Follow[DATAATUALIZAÇÃO]),"-")</f>
        <v>45669</v>
      </c>
      <c r="AK675" s="9" t="str">
        <f ca="1"/>
        <v>-</v>
      </c>
      <c r="AL675" s="35"/>
      <c r="AM675" s="109" cm="1">
        <f t="array" aca="1" ref="AM675" ca="1">IF('Banco de Dados'!$AK675&lt;&gt;"-",_xlfn.IFS('Banco de Dados'!$A675="bv",IF('Banco de Dados'!$E675&lt;45641,ROUND(SUM('Banco de Dados'!$R675*_xlfn.XLOOKUP('Banco de Dados'!$P675,Sku!B:B,Sku!#REF!)*20%),2),ROUND(SUM('Banco de Dados'!$R675*_xlfn.XLOOKUP('Banco de Dados'!$P675,Sku!B:B,Sku!H:H)*20%),2)),'Banco de Dados'!$A675="GO",ROUND(_xlfn.XLOOKUP('Banco de Dados'!$P675,Sku!C:C,Sku!H:H),2),'Banco de Dados'!$A675="MEI",ROUND(_xlfn.XLOOKUP('Banco de Dados'!$P675,Sku!D:D,Sku!H:H),2)),0)</f>
        <v>0</v>
      </c>
      <c r="AN675" s="109">
        <f ca="1">IF('Banco de Dados'!$AK675&lt;&gt;"-",IF('Banco de Dados'!$F675&lt;&gt;"-",_xlfn.XLOOKUP(IFERROR(IFERROR(IFERROR(VALUE(SUBSTITUTE(MID(_xlfn.TEXTAFTER('Banco de Dados'!$F675,"Data do Pedido:
",1),1,10),"-","/")),VALUE(SUBSTITUTE(MID(_xlfn.TEXTAFTER('Banco de Dados'!$F675,"Order date:
",1),1,10),"-","/"))),VALUE(SUBSTITUTE(MID(_xlfn.TEXTAFTER('Banco de Dados'!$F675,"Fecha de pedido:
",1),1,10),"-","/"))),"-"),SMS!A:A,SMS!K:K),0),0)</f>
        <v>0</v>
      </c>
      <c r="AO675" s="109">
        <f ca="1">IF('Banco de Dados'!$AK675&lt;&gt;"-",IF('Banco de Dados'!$F675&lt;&gt;"-",IFERROR(_xlfn.XLOOKUP(_xlfn.CONCAT('Banco de Dados'!$A675,IFERROR(IFERROR(VALUE(SUBSTITUTE(MID(_xlfn.TEXTAFTER('Banco de Dados'!$F675,"Data do Pedido:
",1),1,10),"-","/")),VALUE(SUBSTITUTE(MID(_xlfn.TEXTAFTER('Banco de Dados'!$F675,"Order date:
",1),1,10),"-","/"))),0)),ProxyDD[Chave],ProxyDD[Valor por pedido]),PROXY!$P$2),0),0)</f>
        <v>0</v>
      </c>
      <c r="AP675" s="28">
        <f ca="1">IF('Banco de Dados'!$AK675&lt;&gt;"-",IF('Banco de Dados'!$AL675="NÃO",IFERROR(VALUE(SUBSTITUTE(_xlfn.TEXTAFTER('Banco de Dados'!$F675,"BRL ",1),".",",")),0),0),0)</f>
        <v>0</v>
      </c>
      <c r="AQ675" s="28">
        <f ca="1">SUM('Banco de Dados'!$AM675:$AP675)</f>
        <v>0</v>
      </c>
      <c r="AR675" s="8"/>
      <c r="AS675" s="8"/>
      <c r="AY675" s="8"/>
    </row>
    <row r="676" spans="1:51">
      <c r="A676" s="5" t="str">
        <v>BV</v>
      </c>
      <c r="B676" s="5" t="str">
        <f ca="1"/>
        <v>BV45659</v>
      </c>
      <c r="C676" s="8" t="str">
        <v>Pedido 663</v>
      </c>
      <c r="D676" s="9">
        <v>45659</v>
      </c>
      <c r="E676" s="9">
        <v>45659</v>
      </c>
      <c r="F676" s="8" t="str">
        <v>PedidoF645</v>
      </c>
      <c r="G676" s="2" t="str">
        <v>CódRastreio643</v>
      </c>
      <c r="H676" s="5">
        <v>1</v>
      </c>
      <c r="I676" s="182" t="str">
        <v>CPF 643</v>
      </c>
      <c r="J676" s="2" t="str">
        <v>Nome 643</v>
      </c>
      <c r="K676" s="8" t="str">
        <v>Tel 643</v>
      </c>
      <c r="L676" s="8" t="str">
        <v>Cep 643</v>
      </c>
      <c r="M676" s="8" t="str">
        <v>Rua 643</v>
      </c>
      <c r="N676" s="8" t="str">
        <v>Comp 643</v>
      </c>
      <c r="O676" s="8" t="str">
        <v>Mini Liquidificador</v>
      </c>
      <c r="P676" s="8" t="str">
        <v>CK-YL6M-P5Y6</v>
      </c>
      <c r="Q676" s="4">
        <v>45685</v>
      </c>
      <c r="R676" s="109">
        <v>33.9</v>
      </c>
      <c r="S676" s="11">
        <f ca="1"/>
        <v>33.9</v>
      </c>
      <c r="T676" s="28">
        <f ca="1"/>
        <v>4.407</v>
      </c>
      <c r="U676" s="11">
        <f ca="1"/>
        <v>29.49</v>
      </c>
      <c r="V676" s="11">
        <v>15.99</v>
      </c>
      <c r="W676" s="11">
        <f ca="1"/>
        <v>0.16</v>
      </c>
      <c r="X676" s="11">
        <f ca="1"/>
        <v>0.39877104377104378</v>
      </c>
      <c r="Y676" s="11">
        <v>0</v>
      </c>
      <c r="Z676" s="11">
        <f ca="1"/>
        <v>12.941228956228954</v>
      </c>
      <c r="AA676" s="11">
        <f ca="1"/>
        <v>6.4706144781144772</v>
      </c>
      <c r="AB676" s="4">
        <f ca="1"/>
        <v>45692</v>
      </c>
      <c r="AC676" s="4">
        <v>45692</v>
      </c>
      <c r="AD676" s="9">
        <v>45693</v>
      </c>
      <c r="AE676" s="9">
        <v>45705</v>
      </c>
      <c r="AF676" s="4" t="str">
        <f t="shared" ca="1" si="25"/>
        <v>2025 02</v>
      </c>
      <c r="AG676" s="8" t="str" cm="1">
        <f t="array" ref="AG676">IFERROR(_xlfn.IFS('Banco de Dados'!#REF!="AG. COMPRA","Em processamento",'Banco de Dados'!#REF!="AG. RASTREIO","Em processamento",'Banco de Dados'!$AE676&lt;&gt;"-","Faturado",'Banco de Dados'!$AD676&lt;&gt;"-","Aguardando Pix",'Banco de Dados'!$AC676&lt;&gt;"-","Pendente"),"Aguardando Liberação")</f>
        <v>Aguardando Liberação</v>
      </c>
      <c r="AH676" s="5" t="str">
        <f>IF('Banco de Dados'!$F676="-",_xlfn.CONCAT(PROPER(TEXT(AK676,"aaaa"))," ",PROPER(TEXT(AK676,"mm"))),_xlfn.CONCAT(PROPER(TEXT(E676,"aaaa"))," ",PROPER(TEXT(E676,"mm"))))</f>
        <v>2025 01</v>
      </c>
      <c r="AI676" s="9" t="str">
        <f ca="1">IF('Banco de Dados'!$AK676&lt;&gt;"-","REEMBOLSO",IFERROR(_xlfn.XLOOKUP(G676,Follow[CODRASTREIO],Follow[STATUS]),"-"))</f>
        <v>ENTREGUE</v>
      </c>
      <c r="AJ676" s="9">
        <f ca="1">IF('Banco de Dados'!$AI676="ENTREGUE",_xlfn.XLOOKUP('Banco de Dados'!$G676,Follow[CODRASTREIO],Follow[DATAATUALIZAÇÃO]),"-")</f>
        <v>45670</v>
      </c>
      <c r="AK676" s="9" t="str">
        <f ca="1"/>
        <v>-</v>
      </c>
      <c r="AL676" s="35"/>
      <c r="AM676" s="109" cm="1">
        <f t="array" aca="1" ref="AM676" ca="1">IF('Banco de Dados'!$AK676&lt;&gt;"-",_xlfn.IFS('Banco de Dados'!$A676="bv",IF('Banco de Dados'!$E676&lt;45641,ROUND(SUM('Banco de Dados'!$R676*_xlfn.XLOOKUP('Banco de Dados'!$P676,Sku!B:B,Sku!#REF!)*20%),2),ROUND(SUM('Banco de Dados'!$R676*_xlfn.XLOOKUP('Banco de Dados'!$P676,Sku!B:B,Sku!H:H)*20%),2)),'Banco de Dados'!$A676="GO",ROUND(_xlfn.XLOOKUP('Banco de Dados'!$P676,Sku!C:C,Sku!H:H),2),'Banco de Dados'!$A676="MEI",ROUND(_xlfn.XLOOKUP('Banco de Dados'!$P676,Sku!D:D,Sku!H:H),2)),0)</f>
        <v>0</v>
      </c>
      <c r="AN676" s="109">
        <f ca="1">IF('Banco de Dados'!$AK676&lt;&gt;"-",IF('Banco de Dados'!$F676&lt;&gt;"-",_xlfn.XLOOKUP(IFERROR(IFERROR(IFERROR(VALUE(SUBSTITUTE(MID(_xlfn.TEXTAFTER('Banco de Dados'!$F676,"Data do Pedido:
",1),1,10),"-","/")),VALUE(SUBSTITUTE(MID(_xlfn.TEXTAFTER('Banco de Dados'!$F676,"Order date:
",1),1,10),"-","/"))),VALUE(SUBSTITUTE(MID(_xlfn.TEXTAFTER('Banco de Dados'!$F676,"Fecha de pedido:
",1),1,10),"-","/"))),"-"),SMS!A:A,SMS!K:K),0),0)</f>
        <v>0</v>
      </c>
      <c r="AO676" s="109">
        <f ca="1">IF('Banco de Dados'!$AK676&lt;&gt;"-",IF('Banco de Dados'!$F676&lt;&gt;"-",IFERROR(_xlfn.XLOOKUP(_xlfn.CONCAT('Banco de Dados'!$A676,IFERROR(IFERROR(VALUE(SUBSTITUTE(MID(_xlfn.TEXTAFTER('Banco de Dados'!$F676,"Data do Pedido:
",1),1,10),"-","/")),VALUE(SUBSTITUTE(MID(_xlfn.TEXTAFTER('Banco de Dados'!$F676,"Order date:
",1),1,10),"-","/"))),0)),ProxyDD[Chave],ProxyDD[Valor por pedido]),PROXY!$P$2),0),0)</f>
        <v>0</v>
      </c>
      <c r="AP676" s="28">
        <f ca="1">IF('Banco de Dados'!$AK676&lt;&gt;"-",IF('Banco de Dados'!$AL676="NÃO",IFERROR(VALUE(SUBSTITUTE(_xlfn.TEXTAFTER('Banco de Dados'!$F676,"BRL ",1),".",",")),0),0),0)</f>
        <v>0</v>
      </c>
      <c r="AQ676" s="28">
        <f ca="1">SUM('Banco de Dados'!$AM676:$AP676)</f>
        <v>0</v>
      </c>
      <c r="AR676" s="8"/>
      <c r="AS676" s="8"/>
      <c r="AY676" s="8"/>
    </row>
    <row r="677" spans="1:51">
      <c r="A677" s="5" t="str">
        <v>BV</v>
      </c>
      <c r="B677" s="5" t="str">
        <f ca="1"/>
        <v>BV45659</v>
      </c>
      <c r="C677" s="8" t="str">
        <v>Pedido 664</v>
      </c>
      <c r="D677" s="9">
        <v>45659</v>
      </c>
      <c r="E677" s="9">
        <v>45659</v>
      </c>
      <c r="F677" s="8" t="str">
        <v>PedidoF646</v>
      </c>
      <c r="G677" s="2" t="str">
        <v>CódRastreio644</v>
      </c>
      <c r="H677" s="5">
        <v>1</v>
      </c>
      <c r="I677" s="182" t="str">
        <v>CPF 644</v>
      </c>
      <c r="J677" s="2" t="str">
        <v>Nome 644</v>
      </c>
      <c r="K677" s="8" t="str">
        <v>Tel 644</v>
      </c>
      <c r="L677" s="8" t="str">
        <v>Cep 644</v>
      </c>
      <c r="M677" s="8" t="str">
        <v>Rua 644</v>
      </c>
      <c r="N677" s="8" t="str">
        <v>Comp 644</v>
      </c>
      <c r="O677" s="8" t="str">
        <v>Suporte de Celular Branco</v>
      </c>
      <c r="P677" s="8" t="str">
        <v>16-4EDB-WMZF</v>
      </c>
      <c r="Q677" s="4">
        <v>45685</v>
      </c>
      <c r="R677" s="109">
        <v>21.99</v>
      </c>
      <c r="S677" s="11">
        <f ca="1"/>
        <v>21.99</v>
      </c>
      <c r="T677" s="28">
        <f ca="1"/>
        <v>3.2984999999999998</v>
      </c>
      <c r="U677" s="11">
        <f ca="1"/>
        <v>18.690000000000001</v>
      </c>
      <c r="V677" s="11">
        <v>6.99</v>
      </c>
      <c r="W677" s="11">
        <f ca="1"/>
        <v>0.16</v>
      </c>
      <c r="X677" s="11">
        <f ca="1"/>
        <v>0.39877104377104378</v>
      </c>
      <c r="Y677" s="11">
        <v>0</v>
      </c>
      <c r="Z677" s="11">
        <f ca="1"/>
        <v>11.141228956228957</v>
      </c>
      <c r="AA677" s="11">
        <f ca="1"/>
        <v>5.5706144781144786</v>
      </c>
      <c r="AB677" s="4">
        <f ca="1"/>
        <v>45692</v>
      </c>
      <c r="AC677" s="4">
        <v>45692</v>
      </c>
      <c r="AD677" s="9">
        <v>45693</v>
      </c>
      <c r="AE677" s="9">
        <v>45705</v>
      </c>
      <c r="AF677" s="4" t="str">
        <f t="shared" ca="1" si="25"/>
        <v>2025 02</v>
      </c>
      <c r="AG677" s="8" t="str" cm="1">
        <f t="array" ref="AG677">IFERROR(_xlfn.IFS('Banco de Dados'!#REF!="AG. COMPRA","Em processamento",'Banco de Dados'!#REF!="AG. RASTREIO","Em processamento",'Banco de Dados'!$AE677&lt;&gt;"-","Faturado",'Banco de Dados'!$AD677&lt;&gt;"-","Aguardando Pix",'Banco de Dados'!$AC677&lt;&gt;"-","Pendente"),"Aguardando Liberação")</f>
        <v>Aguardando Liberação</v>
      </c>
      <c r="AH677" s="5" t="str">
        <f>IF('Banco de Dados'!$F677="-",_xlfn.CONCAT(PROPER(TEXT(AK677,"aaaa"))," ",PROPER(TEXT(AK677,"mm"))),_xlfn.CONCAT(PROPER(TEXT(E677,"aaaa"))," ",PROPER(TEXT(E677,"mm"))))</f>
        <v>2025 01</v>
      </c>
      <c r="AI677" s="9" t="str">
        <f ca="1">IF('Banco de Dados'!$AK677&lt;&gt;"-","REEMBOLSO",IFERROR(_xlfn.XLOOKUP(G677,Follow[CODRASTREIO],Follow[STATUS]),"-"))</f>
        <v>ENTREGUE</v>
      </c>
      <c r="AJ677" s="9">
        <f ca="1">IF('Banco de Dados'!$AI677="ENTREGUE",_xlfn.XLOOKUP('Banco de Dados'!$G677,Follow[CODRASTREIO],Follow[DATAATUALIZAÇÃO]),"-")</f>
        <v>45671</v>
      </c>
      <c r="AK677" s="9" t="str">
        <f ca="1"/>
        <v>-</v>
      </c>
      <c r="AL677" s="35"/>
      <c r="AM677" s="109" cm="1">
        <f t="array" aca="1" ref="AM677" ca="1">IF('Banco de Dados'!$AK677&lt;&gt;"-",_xlfn.IFS('Banco de Dados'!$A677="bv",IF('Banco de Dados'!$E677&lt;45641,ROUND(SUM('Banco de Dados'!$R677*_xlfn.XLOOKUP('Banco de Dados'!$P677,Sku!B:B,Sku!#REF!)*20%),2),ROUND(SUM('Banco de Dados'!$R677*_xlfn.XLOOKUP('Banco de Dados'!$P677,Sku!B:B,Sku!H:H)*20%),2)),'Banco de Dados'!$A677="GO",ROUND(_xlfn.XLOOKUP('Banco de Dados'!$P677,Sku!C:C,Sku!H:H),2),'Banco de Dados'!$A677="MEI",ROUND(_xlfn.XLOOKUP('Banco de Dados'!$P677,Sku!D:D,Sku!H:H),2)),0)</f>
        <v>0</v>
      </c>
      <c r="AN677" s="109">
        <f ca="1">IF('Banco de Dados'!$AK677&lt;&gt;"-",IF('Banco de Dados'!$F677&lt;&gt;"-",_xlfn.XLOOKUP(IFERROR(IFERROR(IFERROR(VALUE(SUBSTITUTE(MID(_xlfn.TEXTAFTER('Banco de Dados'!$F677,"Data do Pedido:
",1),1,10),"-","/")),VALUE(SUBSTITUTE(MID(_xlfn.TEXTAFTER('Banco de Dados'!$F677,"Order date:
",1),1,10),"-","/"))),VALUE(SUBSTITUTE(MID(_xlfn.TEXTAFTER('Banco de Dados'!$F677,"Fecha de pedido:
",1),1,10),"-","/"))),"-"),SMS!A:A,SMS!K:K),0),0)</f>
        <v>0</v>
      </c>
      <c r="AO677" s="109">
        <f ca="1">IF('Banco de Dados'!$AK677&lt;&gt;"-",IF('Banco de Dados'!$F677&lt;&gt;"-",IFERROR(_xlfn.XLOOKUP(_xlfn.CONCAT('Banco de Dados'!$A677,IFERROR(IFERROR(VALUE(SUBSTITUTE(MID(_xlfn.TEXTAFTER('Banco de Dados'!$F677,"Data do Pedido:
",1),1,10),"-","/")),VALUE(SUBSTITUTE(MID(_xlfn.TEXTAFTER('Banco de Dados'!$F677,"Order date:
",1),1,10),"-","/"))),0)),ProxyDD[Chave],ProxyDD[Valor por pedido]),PROXY!$P$2),0),0)</f>
        <v>0</v>
      </c>
      <c r="AP677" s="28">
        <f ca="1">IF('Banco de Dados'!$AK677&lt;&gt;"-",IF('Banco de Dados'!$AL677="NÃO",IFERROR(VALUE(SUBSTITUTE(_xlfn.TEXTAFTER('Banco de Dados'!$F677,"BRL ",1),".",",")),0),0),0)</f>
        <v>0</v>
      </c>
      <c r="AQ677" s="28">
        <f ca="1">SUM('Banco de Dados'!$AM677:$AP677)</f>
        <v>0</v>
      </c>
      <c r="AR677" s="8"/>
      <c r="AS677" s="8"/>
      <c r="AY677" s="8"/>
    </row>
    <row r="678" spans="1:51">
      <c r="A678" s="5" t="str">
        <v>BV</v>
      </c>
      <c r="B678" s="5" t="str">
        <f ca="1"/>
        <v>BV45659</v>
      </c>
      <c r="C678" s="8" t="str">
        <v>Pedido 665</v>
      </c>
      <c r="D678" s="9">
        <v>45659</v>
      </c>
      <c r="E678" s="9">
        <v>45659</v>
      </c>
      <c r="F678" s="8" t="str">
        <v>PedidoF647</v>
      </c>
      <c r="G678" s="2" t="str">
        <v>CódRastreio645</v>
      </c>
      <c r="H678" s="5">
        <v>1</v>
      </c>
      <c r="I678" s="182" t="str">
        <v>CPF 645</v>
      </c>
      <c r="J678" s="2" t="str">
        <v>Nome 645</v>
      </c>
      <c r="K678" s="8" t="str">
        <v>Tel 645</v>
      </c>
      <c r="L678" s="8" t="str">
        <v>Cep 645</v>
      </c>
      <c r="M678" s="8" t="str">
        <v>Rua 645</v>
      </c>
      <c r="N678" s="8" t="str">
        <v>Comp 645</v>
      </c>
      <c r="O678" s="8" t="str">
        <v>Karaoke portátil</v>
      </c>
      <c r="P678" s="8" t="str">
        <v>08-PAJ9-YM9P</v>
      </c>
      <c r="Q678" s="4">
        <v>45685</v>
      </c>
      <c r="R678" s="109">
        <v>62.9</v>
      </c>
      <c r="S678" s="11">
        <f ca="1"/>
        <v>62.9</v>
      </c>
      <c r="T678" s="28">
        <f ca="1"/>
        <v>9.4349999999999987</v>
      </c>
      <c r="U678" s="11">
        <f ca="1"/>
        <v>53.47</v>
      </c>
      <c r="V678" s="11">
        <v>16.57</v>
      </c>
      <c r="W678" s="11">
        <f ca="1"/>
        <v>0.16</v>
      </c>
      <c r="X678" s="11">
        <f ca="1"/>
        <v>0.39877104377104378</v>
      </c>
      <c r="Y678" s="11">
        <v>0</v>
      </c>
      <c r="Z678" s="11">
        <f ca="1"/>
        <v>36.341228956228953</v>
      </c>
      <c r="AA678" s="11">
        <f ca="1"/>
        <v>18.170614478114476</v>
      </c>
      <c r="AB678" s="4">
        <f ca="1"/>
        <v>45692</v>
      </c>
      <c r="AC678" s="4">
        <v>45692</v>
      </c>
      <c r="AD678" s="9">
        <v>45693</v>
      </c>
      <c r="AE678" s="9">
        <v>45705</v>
      </c>
      <c r="AF678" s="4" t="str">
        <f t="shared" ca="1" si="25"/>
        <v>2025 02</v>
      </c>
      <c r="AG678" s="8" t="str" cm="1">
        <f t="array" ref="AG678">IFERROR(_xlfn.IFS('Banco de Dados'!#REF!="AG. COMPRA","Em processamento",'Banco de Dados'!#REF!="AG. RASTREIO","Em processamento",'Banco de Dados'!$AE678&lt;&gt;"-","Faturado",'Banco de Dados'!$AD678&lt;&gt;"-","Aguardando Pix",'Banco de Dados'!$AC678&lt;&gt;"-","Pendente"),"Aguardando Liberação")</f>
        <v>Aguardando Liberação</v>
      </c>
      <c r="AH678" s="5" t="str">
        <f>IF('Banco de Dados'!$F678="-",_xlfn.CONCAT(PROPER(TEXT(AK678,"aaaa"))," ",PROPER(TEXT(AK678,"mm"))),_xlfn.CONCAT(PROPER(TEXT(E678,"aaaa"))," ",PROPER(TEXT(E678,"mm"))))</f>
        <v>2025 01</v>
      </c>
      <c r="AI678" s="9" t="str">
        <f ca="1">IF('Banco de Dados'!$AK678&lt;&gt;"-","REEMBOLSO",IFERROR(_xlfn.XLOOKUP(G678,Follow[CODRASTREIO],Follow[STATUS]),"-"))</f>
        <v>ENTREGUE</v>
      </c>
      <c r="AJ678" s="9">
        <f ca="1">IF('Banco de Dados'!$AI678="ENTREGUE",_xlfn.XLOOKUP('Banco de Dados'!$G678,Follow[CODRASTREIO],Follow[DATAATUALIZAÇÃO]),"-")</f>
        <v>45679</v>
      </c>
      <c r="AK678" s="9" t="str">
        <f ca="1"/>
        <v>-</v>
      </c>
      <c r="AL678" s="35"/>
      <c r="AM678" s="109" cm="1">
        <f t="array" aca="1" ref="AM678" ca="1">IF('Banco de Dados'!$AK678&lt;&gt;"-",_xlfn.IFS('Banco de Dados'!$A678="bv",IF('Banco de Dados'!$E678&lt;45641,ROUND(SUM('Banco de Dados'!$R678*_xlfn.XLOOKUP('Banco de Dados'!$P678,Sku!B:B,Sku!#REF!)*20%),2),ROUND(SUM('Banco de Dados'!$R678*_xlfn.XLOOKUP('Banco de Dados'!$P678,Sku!B:B,Sku!H:H)*20%),2)),'Banco de Dados'!$A678="GO",ROUND(_xlfn.XLOOKUP('Banco de Dados'!$P678,Sku!C:C,Sku!H:H),2),'Banco de Dados'!$A678="MEI",ROUND(_xlfn.XLOOKUP('Banco de Dados'!$P678,Sku!D:D,Sku!H:H),2)),0)</f>
        <v>0</v>
      </c>
      <c r="AN678" s="109">
        <f ca="1">IF('Banco de Dados'!$AK678&lt;&gt;"-",IF('Banco de Dados'!$F678&lt;&gt;"-",_xlfn.XLOOKUP(IFERROR(IFERROR(IFERROR(VALUE(SUBSTITUTE(MID(_xlfn.TEXTAFTER('Banco de Dados'!$F678,"Data do Pedido:
",1),1,10),"-","/")),VALUE(SUBSTITUTE(MID(_xlfn.TEXTAFTER('Banco de Dados'!$F678,"Order date:
",1),1,10),"-","/"))),VALUE(SUBSTITUTE(MID(_xlfn.TEXTAFTER('Banco de Dados'!$F678,"Fecha de pedido:
",1),1,10),"-","/"))),"-"),SMS!A:A,SMS!K:K),0),0)</f>
        <v>0</v>
      </c>
      <c r="AO678" s="109">
        <f ca="1">IF('Banco de Dados'!$AK678&lt;&gt;"-",IF('Banco de Dados'!$F678&lt;&gt;"-",IFERROR(_xlfn.XLOOKUP(_xlfn.CONCAT('Banco de Dados'!$A678,IFERROR(IFERROR(VALUE(SUBSTITUTE(MID(_xlfn.TEXTAFTER('Banco de Dados'!$F678,"Data do Pedido:
",1),1,10),"-","/")),VALUE(SUBSTITUTE(MID(_xlfn.TEXTAFTER('Banco de Dados'!$F678,"Order date:
",1),1,10),"-","/"))),0)),ProxyDD[Chave],ProxyDD[Valor por pedido]),PROXY!$P$2),0),0)</f>
        <v>0</v>
      </c>
      <c r="AP678" s="28">
        <f ca="1">IF('Banco de Dados'!$AK678&lt;&gt;"-",IF('Banco de Dados'!$AL678="NÃO",IFERROR(VALUE(SUBSTITUTE(_xlfn.TEXTAFTER('Banco de Dados'!$F678,"BRL ",1),".",",")),0),0),0)</f>
        <v>0</v>
      </c>
      <c r="AQ678" s="28">
        <f ca="1">SUM('Banco de Dados'!$AM678:$AP678)</f>
        <v>0</v>
      </c>
      <c r="AR678" s="8"/>
      <c r="AS678" s="8"/>
      <c r="AY678" s="8"/>
    </row>
    <row r="679" spans="1:51">
      <c r="A679" s="5" t="str">
        <v>BV</v>
      </c>
      <c r="B679" s="5" t="str">
        <f ca="1"/>
        <v>BV45659</v>
      </c>
      <c r="C679" s="8" t="str">
        <v>Pedido 666</v>
      </c>
      <c r="D679" s="9">
        <v>45659</v>
      </c>
      <c r="E679" s="9">
        <v>45659</v>
      </c>
      <c r="F679" s="8" t="str">
        <v>PedidoF648</v>
      </c>
      <c r="G679" s="2" t="str">
        <v>CódRastreio646</v>
      </c>
      <c r="H679" s="5">
        <v>1</v>
      </c>
      <c r="I679" s="182" t="str">
        <v>CPF 646</v>
      </c>
      <c r="J679" s="2" t="str">
        <v>Nome 646</v>
      </c>
      <c r="K679" s="8" t="str">
        <v>Tel 646</v>
      </c>
      <c r="L679" s="8" t="str">
        <v>Cep 646</v>
      </c>
      <c r="M679" s="8" t="str">
        <v>Rua 646</v>
      </c>
      <c r="N679" s="8" t="str">
        <v>Comp 646</v>
      </c>
      <c r="O679" s="8" t="str">
        <v>Ventilador Rosa</v>
      </c>
      <c r="P679" s="8" t="str">
        <v>IF-G2ZQ-79FO</v>
      </c>
      <c r="Q679" s="4">
        <v>45679</v>
      </c>
      <c r="R679" s="109">
        <v>49.4</v>
      </c>
      <c r="S679" s="11">
        <f ca="1"/>
        <v>49.4</v>
      </c>
      <c r="T679" s="28">
        <f ca="1"/>
        <v>6.4219999999999997</v>
      </c>
      <c r="U679" s="11">
        <f ca="1"/>
        <v>42.98</v>
      </c>
      <c r="V679" s="11">
        <v>10.18</v>
      </c>
      <c r="W679" s="11">
        <f ca="1"/>
        <v>0.16</v>
      </c>
      <c r="X679" s="11">
        <f ca="1"/>
        <v>0.39877104377104378</v>
      </c>
      <c r="Y679" s="11">
        <v>0</v>
      </c>
      <c r="Z679" s="11">
        <f ca="1"/>
        <v>32.241228956228952</v>
      </c>
      <c r="AA679" s="11">
        <f ca="1"/>
        <v>16.120614478114476</v>
      </c>
      <c r="AB679" s="4">
        <f ca="1"/>
        <v>45686</v>
      </c>
      <c r="AC679" s="4">
        <v>45686</v>
      </c>
      <c r="AD679" s="9">
        <v>45688</v>
      </c>
      <c r="AE679" s="9">
        <v>45694</v>
      </c>
      <c r="AF679" s="4" t="str">
        <f t="shared" ca="1" si="25"/>
        <v>2025 01</v>
      </c>
      <c r="AG679" s="8" t="str" cm="1">
        <f t="array" ref="AG679">IFERROR(_xlfn.IFS('Banco de Dados'!#REF!="AG. COMPRA","Em processamento",'Banco de Dados'!#REF!="AG. RASTREIO","Em processamento",'Banco de Dados'!$AE679&lt;&gt;"-","Faturado",'Banco de Dados'!$AD679&lt;&gt;"-","Aguardando Pix",'Banco de Dados'!$AC679&lt;&gt;"-","Pendente"),"Aguardando Liberação")</f>
        <v>Aguardando Liberação</v>
      </c>
      <c r="AH679" s="5" t="str">
        <f>IF('Banco de Dados'!$F679="-",_xlfn.CONCAT(PROPER(TEXT(AK679,"aaaa"))," ",PROPER(TEXT(AK679,"mm"))),_xlfn.CONCAT(PROPER(TEXT(E679,"aaaa"))," ",PROPER(TEXT(E679,"mm"))))</f>
        <v>2025 01</v>
      </c>
      <c r="AI679" s="9" t="str">
        <f ca="1">IF('Banco de Dados'!$AK679&lt;&gt;"-","REEMBOLSO",IFERROR(_xlfn.XLOOKUP(G679,Follow[CODRASTREIO],Follow[STATUS]),"-"))</f>
        <v>ENTREGUE</v>
      </c>
      <c r="AJ679" s="9">
        <f ca="1">IF('Banco de Dados'!$AI679="ENTREGUE",_xlfn.XLOOKUP('Banco de Dados'!$G679,Follow[CODRASTREIO],Follow[DATAATUALIZAÇÃO]),"-")</f>
        <v>45667</v>
      </c>
      <c r="AK679" s="9" t="str">
        <f ca="1"/>
        <v>-</v>
      </c>
      <c r="AL679" s="35"/>
      <c r="AM679" s="109" cm="1">
        <f t="array" aca="1" ref="AM679" ca="1">IF('Banco de Dados'!$AK679&lt;&gt;"-",_xlfn.IFS('Banco de Dados'!$A679="bv",IF('Banco de Dados'!$E679&lt;45641,ROUND(SUM('Banco de Dados'!$R679*_xlfn.XLOOKUP('Banco de Dados'!$P679,Sku!B:B,Sku!#REF!)*20%),2),ROUND(SUM('Banco de Dados'!$R679*_xlfn.XLOOKUP('Banco de Dados'!$P679,Sku!B:B,Sku!H:H)*20%),2)),'Banco de Dados'!$A679="GO",ROUND(_xlfn.XLOOKUP('Banco de Dados'!$P679,Sku!C:C,Sku!H:H),2),'Banco de Dados'!$A679="MEI",ROUND(_xlfn.XLOOKUP('Banco de Dados'!$P679,Sku!D:D,Sku!H:H),2)),0)</f>
        <v>0</v>
      </c>
      <c r="AN679" s="109">
        <f ca="1">IF('Banco de Dados'!$AK679&lt;&gt;"-",IF('Banco de Dados'!$F679&lt;&gt;"-",_xlfn.XLOOKUP(IFERROR(IFERROR(IFERROR(VALUE(SUBSTITUTE(MID(_xlfn.TEXTAFTER('Banco de Dados'!$F679,"Data do Pedido:
",1),1,10),"-","/")),VALUE(SUBSTITUTE(MID(_xlfn.TEXTAFTER('Banco de Dados'!$F679,"Order date:
",1),1,10),"-","/"))),VALUE(SUBSTITUTE(MID(_xlfn.TEXTAFTER('Banco de Dados'!$F679,"Fecha de pedido:
",1),1,10),"-","/"))),"-"),SMS!A:A,SMS!K:K),0),0)</f>
        <v>0</v>
      </c>
      <c r="AO679" s="109">
        <f ca="1">IF('Banco de Dados'!$AK679&lt;&gt;"-",IF('Banco de Dados'!$F679&lt;&gt;"-",IFERROR(_xlfn.XLOOKUP(_xlfn.CONCAT('Banco de Dados'!$A679,IFERROR(IFERROR(VALUE(SUBSTITUTE(MID(_xlfn.TEXTAFTER('Banco de Dados'!$F679,"Data do Pedido:
",1),1,10),"-","/")),VALUE(SUBSTITUTE(MID(_xlfn.TEXTAFTER('Banco de Dados'!$F679,"Order date:
",1),1,10),"-","/"))),0)),ProxyDD[Chave],ProxyDD[Valor por pedido]),PROXY!$P$2),0),0)</f>
        <v>0</v>
      </c>
      <c r="AP679" s="28">
        <f ca="1">IF('Banco de Dados'!$AK679&lt;&gt;"-",IF('Banco de Dados'!$AL679="NÃO",IFERROR(VALUE(SUBSTITUTE(_xlfn.TEXTAFTER('Banco de Dados'!$F679,"BRL ",1),".",",")),0),0),0)</f>
        <v>0</v>
      </c>
      <c r="AQ679" s="28">
        <f ca="1">SUM('Banco de Dados'!$AM679:$AP679)</f>
        <v>0</v>
      </c>
      <c r="AR679" s="8"/>
      <c r="AS679" s="8"/>
      <c r="AY679" s="8"/>
    </row>
    <row r="680" spans="1:51">
      <c r="A680" s="5" t="str">
        <v>BV</v>
      </c>
      <c r="B680" s="5" t="str">
        <f ca="1"/>
        <v>BV45659</v>
      </c>
      <c r="C680" s="8" t="str">
        <v>Pedido 667</v>
      </c>
      <c r="D680" s="9">
        <v>45659</v>
      </c>
      <c r="E680" s="9">
        <v>45659</v>
      </c>
      <c r="F680" s="8" t="str">
        <v>PedidoF649</v>
      </c>
      <c r="G680" s="2" t="str">
        <v>CódRastreio647</v>
      </c>
      <c r="H680" s="5">
        <v>1</v>
      </c>
      <c r="I680" s="182" t="str">
        <v>CPF 647</v>
      </c>
      <c r="J680" s="2" t="str">
        <v>Nome 647</v>
      </c>
      <c r="K680" s="8" t="str">
        <v>Tel 647</v>
      </c>
      <c r="L680" s="8" t="str">
        <v>Cep 647</v>
      </c>
      <c r="M680" s="8" t="str">
        <v>Rua 647</v>
      </c>
      <c r="N680" s="8" t="str">
        <v>Comp 647</v>
      </c>
      <c r="O680" s="8" t="str">
        <v>Ventilador Rosa</v>
      </c>
      <c r="P680" s="8" t="str">
        <v>IF-G2ZQ-79FO</v>
      </c>
      <c r="Q680" s="4">
        <v>45679</v>
      </c>
      <c r="R680" s="109">
        <v>49.4</v>
      </c>
      <c r="S680" s="11">
        <f ca="1"/>
        <v>49.4</v>
      </c>
      <c r="T680" s="28">
        <f ca="1"/>
        <v>6.4219999999999997</v>
      </c>
      <c r="U680" s="11">
        <f ca="1"/>
        <v>42.98</v>
      </c>
      <c r="V680" s="11">
        <v>10.18</v>
      </c>
      <c r="W680" s="11">
        <f ca="1"/>
        <v>0.16</v>
      </c>
      <c r="X680" s="11">
        <f ca="1"/>
        <v>0.39877104377104378</v>
      </c>
      <c r="Y680" s="11">
        <v>0</v>
      </c>
      <c r="Z680" s="11">
        <f ca="1"/>
        <v>32.241228956228952</v>
      </c>
      <c r="AA680" s="11">
        <f ca="1"/>
        <v>16.120614478114476</v>
      </c>
      <c r="AB680" s="4">
        <f ca="1"/>
        <v>45686</v>
      </c>
      <c r="AC680" s="4">
        <v>45686</v>
      </c>
      <c r="AD680" s="9">
        <v>45688</v>
      </c>
      <c r="AE680" s="9">
        <v>45694</v>
      </c>
      <c r="AF680" s="4" t="str">
        <f t="shared" ca="1" si="25"/>
        <v>2025 01</v>
      </c>
      <c r="AG680" s="8" t="str" cm="1">
        <f t="array" ref="AG680">IFERROR(_xlfn.IFS('Banco de Dados'!#REF!="AG. COMPRA","Em processamento",'Banco de Dados'!#REF!="AG. RASTREIO","Em processamento",'Banco de Dados'!$AE680&lt;&gt;"-","Faturado",'Banco de Dados'!$AD680&lt;&gt;"-","Aguardando Pix",'Banco de Dados'!$AC680&lt;&gt;"-","Pendente"),"Aguardando Liberação")</f>
        <v>Aguardando Liberação</v>
      </c>
      <c r="AH680" s="5" t="str">
        <f>IF('Banco de Dados'!$F680="-",_xlfn.CONCAT(PROPER(TEXT(AK680,"aaaa"))," ",PROPER(TEXT(AK680,"mm"))),_xlfn.CONCAT(PROPER(TEXT(E680,"aaaa"))," ",PROPER(TEXT(E680,"mm"))))</f>
        <v>2025 01</v>
      </c>
      <c r="AI680" s="9" t="str">
        <f ca="1">IF('Banco de Dados'!$AK680&lt;&gt;"-","REEMBOLSO",IFERROR(_xlfn.XLOOKUP(G680,Follow[CODRASTREIO],Follow[STATUS]),"-"))</f>
        <v>ENTREGUE</v>
      </c>
      <c r="AJ680" s="9">
        <f ca="1">IF('Banco de Dados'!$AI680="ENTREGUE",_xlfn.XLOOKUP('Banco de Dados'!$G680,Follow[CODRASTREIO],Follow[DATAATUALIZAÇÃO]),"-")</f>
        <v>45670</v>
      </c>
      <c r="AK680" s="9" t="str">
        <f ca="1"/>
        <v>-</v>
      </c>
      <c r="AL680" s="35"/>
      <c r="AM680" s="109" cm="1">
        <f t="array" aca="1" ref="AM680" ca="1">IF('Banco de Dados'!$AK680&lt;&gt;"-",_xlfn.IFS('Banco de Dados'!$A680="bv",IF('Banco de Dados'!$E680&lt;45641,ROUND(SUM('Banco de Dados'!$R680*_xlfn.XLOOKUP('Banco de Dados'!$P680,Sku!B:B,Sku!#REF!)*20%),2),ROUND(SUM('Banco de Dados'!$R680*_xlfn.XLOOKUP('Banco de Dados'!$P680,Sku!B:B,Sku!H:H)*20%),2)),'Banco de Dados'!$A680="GO",ROUND(_xlfn.XLOOKUP('Banco de Dados'!$P680,Sku!C:C,Sku!H:H),2),'Banco de Dados'!$A680="MEI",ROUND(_xlfn.XLOOKUP('Banco de Dados'!$P680,Sku!D:D,Sku!H:H),2)),0)</f>
        <v>0</v>
      </c>
      <c r="AN680" s="109">
        <f ca="1">IF('Banco de Dados'!$AK680&lt;&gt;"-",IF('Banco de Dados'!$F680&lt;&gt;"-",_xlfn.XLOOKUP(IFERROR(IFERROR(IFERROR(VALUE(SUBSTITUTE(MID(_xlfn.TEXTAFTER('Banco de Dados'!$F680,"Data do Pedido:
",1),1,10),"-","/")),VALUE(SUBSTITUTE(MID(_xlfn.TEXTAFTER('Banco de Dados'!$F680,"Order date:
",1),1,10),"-","/"))),VALUE(SUBSTITUTE(MID(_xlfn.TEXTAFTER('Banco de Dados'!$F680,"Fecha de pedido:
",1),1,10),"-","/"))),"-"),SMS!A:A,SMS!K:K),0),0)</f>
        <v>0</v>
      </c>
      <c r="AO680" s="109">
        <f ca="1">IF('Banco de Dados'!$AK680&lt;&gt;"-",IF('Banco de Dados'!$F680&lt;&gt;"-",IFERROR(_xlfn.XLOOKUP(_xlfn.CONCAT('Banco de Dados'!$A680,IFERROR(IFERROR(VALUE(SUBSTITUTE(MID(_xlfn.TEXTAFTER('Banco de Dados'!$F680,"Data do Pedido:
",1),1,10),"-","/")),VALUE(SUBSTITUTE(MID(_xlfn.TEXTAFTER('Banco de Dados'!$F680,"Order date:
",1),1,10),"-","/"))),0)),ProxyDD[Chave],ProxyDD[Valor por pedido]),PROXY!$P$2),0),0)</f>
        <v>0</v>
      </c>
      <c r="AP680" s="28">
        <f ca="1">IF('Banco de Dados'!$AK680&lt;&gt;"-",IF('Banco de Dados'!$AL680="NÃO",IFERROR(VALUE(SUBSTITUTE(_xlfn.TEXTAFTER('Banco de Dados'!$F680,"BRL ",1),".",",")),0),0),0)</f>
        <v>0</v>
      </c>
      <c r="AQ680" s="28">
        <f ca="1">SUM('Banco de Dados'!$AM680:$AP680)</f>
        <v>0</v>
      </c>
      <c r="AR680" s="8"/>
      <c r="AS680" s="8"/>
      <c r="AY680" s="8"/>
    </row>
    <row r="681" spans="1:51">
      <c r="A681" s="5" t="str">
        <v>BV</v>
      </c>
      <c r="B681" s="5" t="str">
        <f ca="1"/>
        <v>BV45659</v>
      </c>
      <c r="C681" s="8" t="str">
        <v>Pedido 668</v>
      </c>
      <c r="D681" s="9">
        <v>45659</v>
      </c>
      <c r="E681" s="9">
        <v>45659</v>
      </c>
      <c r="F681" s="8" t="str">
        <v>PedidoF650</v>
      </c>
      <c r="G681" s="2" t="str">
        <v>CódRastreio648</v>
      </c>
      <c r="H681" s="5">
        <v>1</v>
      </c>
      <c r="I681" s="182" t="str">
        <v>CPF 648</v>
      </c>
      <c r="J681" s="2" t="str">
        <v>Nome 648</v>
      </c>
      <c r="K681" s="8" t="str">
        <v>Tel 648</v>
      </c>
      <c r="L681" s="8" t="str">
        <v>Cep 648</v>
      </c>
      <c r="M681" s="8" t="str">
        <v>Rua 648</v>
      </c>
      <c r="N681" s="8" t="str">
        <v>Comp 648</v>
      </c>
      <c r="O681" s="8" t="str">
        <v>Garrafa Termica</v>
      </c>
      <c r="P681" s="8" t="str">
        <v>FM-QQ8Y-RZT4</v>
      </c>
      <c r="Q681" s="4">
        <v>45679</v>
      </c>
      <c r="R681" s="109">
        <v>34.9</v>
      </c>
      <c r="S681" s="11">
        <f ca="1"/>
        <v>34.9</v>
      </c>
      <c r="T681" s="28">
        <f ca="1"/>
        <v>4.5369999999999999</v>
      </c>
      <c r="U681" s="11">
        <f ca="1"/>
        <v>30.36</v>
      </c>
      <c r="V681" s="11">
        <v>6.99</v>
      </c>
      <c r="W681" s="11">
        <f ca="1"/>
        <v>0.16</v>
      </c>
      <c r="X681" s="11">
        <f ca="1"/>
        <v>0.39877104377104378</v>
      </c>
      <c r="Y681" s="11">
        <v>0</v>
      </c>
      <c r="Z681" s="11">
        <f ca="1"/>
        <v>22.811228956228955</v>
      </c>
      <c r="AA681" s="11">
        <f ca="1"/>
        <v>11.405614478114478</v>
      </c>
      <c r="AB681" s="4">
        <f ca="1"/>
        <v>45686</v>
      </c>
      <c r="AC681" s="4">
        <v>45686</v>
      </c>
      <c r="AD681" s="9">
        <v>45688</v>
      </c>
      <c r="AE681" s="9">
        <v>45694</v>
      </c>
      <c r="AF681" s="4" t="str">
        <f t="shared" ca="1" si="25"/>
        <v>2025 01</v>
      </c>
      <c r="AG681" s="8" t="str" cm="1">
        <f t="array" ref="AG681">IFERROR(_xlfn.IFS('Banco de Dados'!#REF!="AG. COMPRA","Em processamento",'Banco de Dados'!#REF!="AG. RASTREIO","Em processamento",'Banco de Dados'!$AE681&lt;&gt;"-","Faturado",'Banco de Dados'!$AD681&lt;&gt;"-","Aguardando Pix",'Banco de Dados'!$AC681&lt;&gt;"-","Pendente"),"Aguardando Liberação")</f>
        <v>Aguardando Liberação</v>
      </c>
      <c r="AH681" s="5" t="str">
        <f>IF('Banco de Dados'!$F681="-",_xlfn.CONCAT(PROPER(TEXT(AK681,"aaaa"))," ",PROPER(TEXT(AK681,"mm"))),_xlfn.CONCAT(PROPER(TEXT(E681,"aaaa"))," ",PROPER(TEXT(E681,"mm"))))</f>
        <v>2025 01</v>
      </c>
      <c r="AI681" s="9" t="str">
        <f ca="1">IF('Banco de Dados'!$AK681&lt;&gt;"-","REEMBOLSO",IFERROR(_xlfn.XLOOKUP(G681,Follow[CODRASTREIO],Follow[STATUS]),"-"))</f>
        <v>ENTREGUE</v>
      </c>
      <c r="AJ681" s="9">
        <f ca="1">IF('Banco de Dados'!$AI681="ENTREGUE",_xlfn.XLOOKUP('Banco de Dados'!$G681,Follow[CODRASTREIO],Follow[DATAATUALIZAÇÃO]),"-")</f>
        <v>45665</v>
      </c>
      <c r="AK681" s="9" t="str">
        <f ca="1"/>
        <v>-</v>
      </c>
      <c r="AL681" s="35"/>
      <c r="AM681" s="109" cm="1">
        <f t="array" aca="1" ref="AM681" ca="1">IF('Banco de Dados'!$AK681&lt;&gt;"-",_xlfn.IFS('Banco de Dados'!$A681="bv",IF('Banco de Dados'!$E681&lt;45641,ROUND(SUM('Banco de Dados'!$R681*_xlfn.XLOOKUP('Banco de Dados'!$P681,Sku!B:B,Sku!#REF!)*20%),2),ROUND(SUM('Banco de Dados'!$R681*_xlfn.XLOOKUP('Banco de Dados'!$P681,Sku!B:B,Sku!H:H)*20%),2)),'Banco de Dados'!$A681="GO",ROUND(_xlfn.XLOOKUP('Banco de Dados'!$P681,Sku!C:C,Sku!H:H),2),'Banco de Dados'!$A681="MEI",ROUND(_xlfn.XLOOKUP('Banco de Dados'!$P681,Sku!D:D,Sku!H:H),2)),0)</f>
        <v>0</v>
      </c>
      <c r="AN681" s="109">
        <f ca="1">IF('Banco de Dados'!$AK681&lt;&gt;"-",IF('Banco de Dados'!$F681&lt;&gt;"-",_xlfn.XLOOKUP(IFERROR(IFERROR(IFERROR(VALUE(SUBSTITUTE(MID(_xlfn.TEXTAFTER('Banco de Dados'!$F681,"Data do Pedido:
",1),1,10),"-","/")),VALUE(SUBSTITUTE(MID(_xlfn.TEXTAFTER('Banco de Dados'!$F681,"Order date:
",1),1,10),"-","/"))),VALUE(SUBSTITUTE(MID(_xlfn.TEXTAFTER('Banco de Dados'!$F681,"Fecha de pedido:
",1),1,10),"-","/"))),"-"),SMS!A:A,SMS!K:K),0),0)</f>
        <v>0</v>
      </c>
      <c r="AO681" s="109">
        <f ca="1">IF('Banco de Dados'!$AK681&lt;&gt;"-",IF('Banco de Dados'!$F681&lt;&gt;"-",IFERROR(_xlfn.XLOOKUP(_xlfn.CONCAT('Banco de Dados'!$A681,IFERROR(IFERROR(VALUE(SUBSTITUTE(MID(_xlfn.TEXTAFTER('Banco de Dados'!$F681,"Data do Pedido:
",1),1,10),"-","/")),VALUE(SUBSTITUTE(MID(_xlfn.TEXTAFTER('Banco de Dados'!$F681,"Order date:
",1),1,10),"-","/"))),0)),ProxyDD[Chave],ProxyDD[Valor por pedido]),PROXY!$P$2),0),0)</f>
        <v>0</v>
      </c>
      <c r="AP681" s="28">
        <f ca="1">IF('Banco de Dados'!$AK681&lt;&gt;"-",IF('Banco de Dados'!$AL681="NÃO",IFERROR(VALUE(SUBSTITUTE(_xlfn.TEXTAFTER('Banco de Dados'!$F681,"BRL ",1),".",",")),0),0),0)</f>
        <v>0</v>
      </c>
      <c r="AQ681" s="28">
        <f ca="1">SUM('Banco de Dados'!$AM681:$AP681)</f>
        <v>0</v>
      </c>
      <c r="AR681" s="8"/>
      <c r="AS681" s="8"/>
      <c r="AY681" s="8"/>
    </row>
    <row r="682" spans="1:51">
      <c r="A682" s="5" t="str">
        <v>BV</v>
      </c>
      <c r="B682" s="5" t="str">
        <f ca="1"/>
        <v>BV45659</v>
      </c>
      <c r="C682" s="8" t="str">
        <v>Pedido 669</v>
      </c>
      <c r="D682" s="9">
        <v>45659</v>
      </c>
      <c r="E682" s="9">
        <v>45659</v>
      </c>
      <c r="F682" s="8" t="str">
        <v>PedidoF651</v>
      </c>
      <c r="G682" s="2" t="str">
        <v>CódRastreio649</v>
      </c>
      <c r="H682" s="5">
        <v>1</v>
      </c>
      <c r="I682" s="182" t="str">
        <v>CPF 649</v>
      </c>
      <c r="J682" s="2" t="str">
        <v>Nome 649</v>
      </c>
      <c r="K682" s="8" t="str">
        <v>Tel 649</v>
      </c>
      <c r="L682" s="8" t="str">
        <v>Cep 649</v>
      </c>
      <c r="M682" s="8" t="str">
        <v>Rua 649</v>
      </c>
      <c r="N682" s="8" t="str">
        <v>Comp 649</v>
      </c>
      <c r="O682" s="8" t="str">
        <v>Mini Liquidificador</v>
      </c>
      <c r="P682" s="8" t="str">
        <v>CK-YL6M-P5Y6</v>
      </c>
      <c r="Q682" s="4">
        <v>45673</v>
      </c>
      <c r="R682" s="109">
        <v>33.9</v>
      </c>
      <c r="S682" s="11">
        <f ca="1"/>
        <v>33.9</v>
      </c>
      <c r="T682" s="28">
        <f ca="1"/>
        <v>4.407</v>
      </c>
      <c r="U682" s="11">
        <f ca="1"/>
        <v>29.49</v>
      </c>
      <c r="V682" s="11">
        <v>15.99</v>
      </c>
      <c r="W682" s="11">
        <f ca="1"/>
        <v>0.16</v>
      </c>
      <c r="X682" s="11">
        <f ca="1"/>
        <v>0.39877104377104378</v>
      </c>
      <c r="Y682" s="11">
        <v>0</v>
      </c>
      <c r="Z682" s="11">
        <f ca="1"/>
        <v>12.941228956228954</v>
      </c>
      <c r="AA682" s="11">
        <f ca="1"/>
        <v>6.4706144781144772</v>
      </c>
      <c r="AB682" s="4">
        <f ca="1"/>
        <v>45680</v>
      </c>
      <c r="AC682" s="4">
        <v>45680</v>
      </c>
      <c r="AD682" s="9">
        <v>45688</v>
      </c>
      <c r="AE682" s="9">
        <v>45694</v>
      </c>
      <c r="AF682" s="4" t="str">
        <f t="shared" ca="1" si="25"/>
        <v>2025 01</v>
      </c>
      <c r="AG682" s="8" t="str" cm="1">
        <f t="array" ref="AG682">IFERROR(_xlfn.IFS('Banco de Dados'!#REF!="AG. COMPRA","Em processamento",'Banco de Dados'!#REF!="AG. RASTREIO","Em processamento",'Banco de Dados'!$AE682&lt;&gt;"-","Faturado",'Banco de Dados'!$AD682&lt;&gt;"-","Aguardando Pix",'Banco de Dados'!$AC682&lt;&gt;"-","Pendente"),"Aguardando Liberação")</f>
        <v>Aguardando Liberação</v>
      </c>
      <c r="AH682" s="5" t="str">
        <f>IF('Banco de Dados'!$F682="-",_xlfn.CONCAT(PROPER(TEXT(AK682,"aaaa"))," ",PROPER(TEXT(AK682,"mm"))),_xlfn.CONCAT(PROPER(TEXT(E682,"aaaa"))," ",PROPER(TEXT(E682,"mm"))))</f>
        <v>2025 01</v>
      </c>
      <c r="AI682" s="9" t="str">
        <f ca="1">IF('Banco de Dados'!$AK682&lt;&gt;"-","REEMBOLSO",IFERROR(_xlfn.XLOOKUP(G682,Follow[CODRASTREIO],Follow[STATUS]),"-"))</f>
        <v>ENTREGUE</v>
      </c>
      <c r="AJ682" s="9">
        <f ca="1">IF('Banco de Dados'!$AI682="ENTREGUE",_xlfn.XLOOKUP('Banco de Dados'!$G682,Follow[CODRASTREIO],Follow[DATAATUALIZAÇÃO]),"-")</f>
        <v>45667</v>
      </c>
      <c r="AK682" s="9" t="str">
        <f ca="1"/>
        <v>-</v>
      </c>
      <c r="AL682" s="35"/>
      <c r="AM682" s="109" cm="1">
        <f t="array" aca="1" ref="AM682" ca="1">IF('Banco de Dados'!$AK682&lt;&gt;"-",_xlfn.IFS('Banco de Dados'!$A682="bv",IF('Banco de Dados'!$E682&lt;45641,ROUND(SUM('Banco de Dados'!$R682*_xlfn.XLOOKUP('Banco de Dados'!$P682,Sku!B:B,Sku!#REF!)*20%),2),ROUND(SUM('Banco de Dados'!$R682*_xlfn.XLOOKUP('Banco de Dados'!$P682,Sku!B:B,Sku!H:H)*20%),2)),'Banco de Dados'!$A682="GO",ROUND(_xlfn.XLOOKUP('Banco de Dados'!$P682,Sku!C:C,Sku!H:H),2),'Banco de Dados'!$A682="MEI",ROUND(_xlfn.XLOOKUP('Banco de Dados'!$P682,Sku!D:D,Sku!H:H),2)),0)</f>
        <v>0</v>
      </c>
      <c r="AN682" s="109">
        <f ca="1">IF('Banco de Dados'!$AK682&lt;&gt;"-",IF('Banco de Dados'!$F682&lt;&gt;"-",_xlfn.XLOOKUP(IFERROR(IFERROR(IFERROR(VALUE(SUBSTITUTE(MID(_xlfn.TEXTAFTER('Banco de Dados'!$F682,"Data do Pedido:
",1),1,10),"-","/")),VALUE(SUBSTITUTE(MID(_xlfn.TEXTAFTER('Banco de Dados'!$F682,"Order date:
",1),1,10),"-","/"))),VALUE(SUBSTITUTE(MID(_xlfn.TEXTAFTER('Banco de Dados'!$F682,"Fecha de pedido:
",1),1,10),"-","/"))),"-"),SMS!A:A,SMS!K:K),0),0)</f>
        <v>0</v>
      </c>
      <c r="AO682" s="109">
        <f ca="1">IF('Banco de Dados'!$AK682&lt;&gt;"-",IF('Banco de Dados'!$F682&lt;&gt;"-",IFERROR(_xlfn.XLOOKUP(_xlfn.CONCAT('Banco de Dados'!$A682,IFERROR(IFERROR(VALUE(SUBSTITUTE(MID(_xlfn.TEXTAFTER('Banco de Dados'!$F682,"Data do Pedido:
",1),1,10),"-","/")),VALUE(SUBSTITUTE(MID(_xlfn.TEXTAFTER('Banco de Dados'!$F682,"Order date:
",1),1,10),"-","/"))),0)),ProxyDD[Chave],ProxyDD[Valor por pedido]),PROXY!$P$2),0),0)</f>
        <v>0</v>
      </c>
      <c r="AP682" s="28">
        <f ca="1">IF('Banco de Dados'!$AK682&lt;&gt;"-",IF('Banco de Dados'!$AL682="NÃO",IFERROR(VALUE(SUBSTITUTE(_xlfn.TEXTAFTER('Banco de Dados'!$F682,"BRL ",1),".",",")),0),0),0)</f>
        <v>0</v>
      </c>
      <c r="AQ682" s="28">
        <f ca="1">SUM('Banco de Dados'!$AM682:$AP682)</f>
        <v>0</v>
      </c>
      <c r="AR682" s="8"/>
      <c r="AS682" s="8"/>
      <c r="AY682" s="8"/>
    </row>
    <row r="683" spans="1:51">
      <c r="A683" s="5" t="str">
        <v>BV</v>
      </c>
      <c r="B683" s="5" t="str">
        <f ca="1"/>
        <v>BV45659</v>
      </c>
      <c r="C683" s="8" t="str">
        <v>Pedido 670</v>
      </c>
      <c r="D683" s="9">
        <v>45659</v>
      </c>
      <c r="E683" s="9">
        <v>45659</v>
      </c>
      <c r="F683" s="8" t="str">
        <v>PedidoF652</v>
      </c>
      <c r="G683" s="2" t="str">
        <v>CódRastreio650</v>
      </c>
      <c r="H683" s="5">
        <v>1</v>
      </c>
      <c r="I683" s="182" t="str">
        <v>CPF 650</v>
      </c>
      <c r="J683" s="2" t="str">
        <v>Nome 650</v>
      </c>
      <c r="K683" s="8" t="str">
        <v>Tel 650</v>
      </c>
      <c r="L683" s="8" t="str">
        <v>Cep 650</v>
      </c>
      <c r="M683" s="8" t="str">
        <v>Rua 650</v>
      </c>
      <c r="N683" s="8" t="str">
        <v>Comp 650</v>
      </c>
      <c r="O683" s="8" t="str">
        <v>Karaoke portátil</v>
      </c>
      <c r="P683" s="8" t="str">
        <v>08-PAJ9-YM9P</v>
      </c>
      <c r="Q683" s="4">
        <v>45679</v>
      </c>
      <c r="R683" s="109">
        <v>62.9</v>
      </c>
      <c r="S683" s="11">
        <f ca="1"/>
        <v>62.9</v>
      </c>
      <c r="T683" s="28">
        <f ca="1"/>
        <v>9.4349999999999987</v>
      </c>
      <c r="U683" s="11">
        <f ca="1"/>
        <v>53.47</v>
      </c>
      <c r="V683" s="11">
        <v>16.57</v>
      </c>
      <c r="W683" s="11">
        <f ca="1"/>
        <v>0.16</v>
      </c>
      <c r="X683" s="11">
        <f ca="1"/>
        <v>0.39877104377104378</v>
      </c>
      <c r="Y683" s="11">
        <v>0</v>
      </c>
      <c r="Z683" s="11">
        <f ca="1"/>
        <v>36.341228956228953</v>
      </c>
      <c r="AA683" s="11">
        <f ca="1"/>
        <v>18.170614478114476</v>
      </c>
      <c r="AB683" s="4">
        <f ca="1"/>
        <v>45686</v>
      </c>
      <c r="AC683" s="4">
        <v>45686</v>
      </c>
      <c r="AD683" s="9">
        <v>45688</v>
      </c>
      <c r="AE683" s="9">
        <v>45694</v>
      </c>
      <c r="AF683" s="4" t="str">
        <f t="shared" ca="1" si="25"/>
        <v>2025 01</v>
      </c>
      <c r="AG683" s="8" t="str" cm="1">
        <f t="array" ref="AG683">IFERROR(_xlfn.IFS('Banco de Dados'!#REF!="AG. COMPRA","Em processamento",'Banco de Dados'!#REF!="AG. RASTREIO","Em processamento",'Banco de Dados'!$AE683&lt;&gt;"-","Faturado",'Banco de Dados'!$AD683&lt;&gt;"-","Aguardando Pix",'Banco de Dados'!$AC683&lt;&gt;"-","Pendente"),"Aguardando Liberação")</f>
        <v>Aguardando Liberação</v>
      </c>
      <c r="AH683" s="5" t="str">
        <f>IF('Banco de Dados'!$F683="-",_xlfn.CONCAT(PROPER(TEXT(AK683,"aaaa"))," ",PROPER(TEXT(AK683,"mm"))),_xlfn.CONCAT(PROPER(TEXT(E683,"aaaa"))," ",PROPER(TEXT(E683,"mm"))))</f>
        <v>2025 01</v>
      </c>
      <c r="AI683" s="9" t="str">
        <f ca="1">IF('Banco de Dados'!$AK683&lt;&gt;"-","REEMBOLSO",IFERROR(_xlfn.XLOOKUP(G683,Follow[CODRASTREIO],Follow[STATUS]),"-"))</f>
        <v>ENTREGUE</v>
      </c>
      <c r="AJ683" s="9">
        <f ca="1">IF('Banco de Dados'!$AI683="ENTREGUE",_xlfn.XLOOKUP('Banco de Dados'!$G683,Follow[CODRASTREIO],Follow[DATAATUALIZAÇÃO]),"-")</f>
        <v>45671</v>
      </c>
      <c r="AK683" s="9" t="str">
        <f ca="1"/>
        <v>-</v>
      </c>
      <c r="AL683" s="35"/>
      <c r="AM683" s="109" cm="1">
        <f t="array" aca="1" ref="AM683" ca="1">IF('Banco de Dados'!$AK683&lt;&gt;"-",_xlfn.IFS('Banco de Dados'!$A683="bv",IF('Banco de Dados'!$E683&lt;45641,ROUND(SUM('Banco de Dados'!$R683*_xlfn.XLOOKUP('Banco de Dados'!$P683,Sku!B:B,Sku!#REF!)*20%),2),ROUND(SUM('Banco de Dados'!$R683*_xlfn.XLOOKUP('Banco de Dados'!$P683,Sku!B:B,Sku!H:H)*20%),2)),'Banco de Dados'!$A683="GO",ROUND(_xlfn.XLOOKUP('Banco de Dados'!$P683,Sku!C:C,Sku!H:H),2),'Banco de Dados'!$A683="MEI",ROUND(_xlfn.XLOOKUP('Banco de Dados'!$P683,Sku!D:D,Sku!H:H),2)),0)</f>
        <v>0</v>
      </c>
      <c r="AN683" s="109">
        <f ca="1">IF('Banco de Dados'!$AK683&lt;&gt;"-",IF('Banco de Dados'!$F683&lt;&gt;"-",_xlfn.XLOOKUP(IFERROR(IFERROR(IFERROR(VALUE(SUBSTITUTE(MID(_xlfn.TEXTAFTER('Banco de Dados'!$F683,"Data do Pedido:
",1),1,10),"-","/")),VALUE(SUBSTITUTE(MID(_xlfn.TEXTAFTER('Banco de Dados'!$F683,"Order date:
",1),1,10),"-","/"))),VALUE(SUBSTITUTE(MID(_xlfn.TEXTAFTER('Banco de Dados'!$F683,"Fecha de pedido:
",1),1,10),"-","/"))),"-"),SMS!A:A,SMS!K:K),0),0)</f>
        <v>0</v>
      </c>
      <c r="AO683" s="109">
        <f ca="1">IF('Banco de Dados'!$AK683&lt;&gt;"-",IF('Banco de Dados'!$F683&lt;&gt;"-",IFERROR(_xlfn.XLOOKUP(_xlfn.CONCAT('Banco de Dados'!$A683,IFERROR(IFERROR(VALUE(SUBSTITUTE(MID(_xlfn.TEXTAFTER('Banco de Dados'!$F683,"Data do Pedido:
",1),1,10),"-","/")),VALUE(SUBSTITUTE(MID(_xlfn.TEXTAFTER('Banco de Dados'!$F683,"Order date:
",1),1,10),"-","/"))),0)),ProxyDD[Chave],ProxyDD[Valor por pedido]),PROXY!$P$2),0),0)</f>
        <v>0</v>
      </c>
      <c r="AP683" s="28">
        <f ca="1">IF('Banco de Dados'!$AK683&lt;&gt;"-",IF('Banco de Dados'!$AL683="NÃO",IFERROR(VALUE(SUBSTITUTE(_xlfn.TEXTAFTER('Banco de Dados'!$F683,"BRL ",1),".",",")),0),0),0)</f>
        <v>0</v>
      </c>
      <c r="AQ683" s="28">
        <f ca="1">SUM('Banco de Dados'!$AM683:$AP683)</f>
        <v>0</v>
      </c>
      <c r="AR683" s="8"/>
      <c r="AS683" s="8"/>
      <c r="AY683" s="8"/>
    </row>
    <row r="684" spans="1:51">
      <c r="A684" s="5" t="str">
        <v>BV</v>
      </c>
      <c r="B684" s="5" t="str">
        <f ca="1"/>
        <v>BV45659</v>
      </c>
      <c r="C684" s="8" t="str">
        <v>Pedido 671</v>
      </c>
      <c r="D684" s="9">
        <v>45659</v>
      </c>
      <c r="E684" s="9">
        <v>45659</v>
      </c>
      <c r="F684" s="8" t="str">
        <v>PedidoF653</v>
      </c>
      <c r="G684" s="2" t="str">
        <v>CódRastreio651</v>
      </c>
      <c r="H684" s="5">
        <v>1</v>
      </c>
      <c r="I684" s="182" t="str">
        <v>CPF 651</v>
      </c>
      <c r="J684" s="2" t="str">
        <v>Nome 651</v>
      </c>
      <c r="K684" s="8" t="str">
        <v>Tel 651</v>
      </c>
      <c r="L684" s="8" t="str">
        <v>Cep 651</v>
      </c>
      <c r="M684" s="8" t="str">
        <v>Rua 651</v>
      </c>
      <c r="N684" s="8" t="str">
        <v>Comp 651</v>
      </c>
      <c r="O684" s="8" t="str">
        <v>Ventilador Preto</v>
      </c>
      <c r="P684" s="8" t="str">
        <v>MU-J80P-95WF</v>
      </c>
      <c r="Q684" s="4">
        <v>45685</v>
      </c>
      <c r="R684" s="109">
        <v>65.599999999999994</v>
      </c>
      <c r="S684" s="11">
        <f ca="1"/>
        <v>65.599999999999994</v>
      </c>
      <c r="T684" s="28">
        <f ca="1"/>
        <v>8.5279999999999987</v>
      </c>
      <c r="U684" s="11">
        <f ca="1"/>
        <v>57.07</v>
      </c>
      <c r="V684" s="11">
        <v>10.18</v>
      </c>
      <c r="W684" s="11">
        <f ca="1"/>
        <v>0.16</v>
      </c>
      <c r="X684" s="11">
        <f ca="1"/>
        <v>0.39877104377104378</v>
      </c>
      <c r="Y684" s="11">
        <v>0</v>
      </c>
      <c r="Z684" s="11">
        <f ca="1"/>
        <v>46.331228956228955</v>
      </c>
      <c r="AA684" s="11">
        <f ca="1"/>
        <v>23.165614478114477</v>
      </c>
      <c r="AB684" s="4">
        <f ca="1"/>
        <v>45692</v>
      </c>
      <c r="AC684" s="4">
        <v>45692</v>
      </c>
      <c r="AD684" s="9">
        <v>45693</v>
      </c>
      <c r="AE684" s="9">
        <v>45705</v>
      </c>
      <c r="AF684" s="4" t="str">
        <f t="shared" ca="1" si="25"/>
        <v>2025 02</v>
      </c>
      <c r="AG684" s="8" t="str" cm="1">
        <f t="array" ref="AG684">IFERROR(_xlfn.IFS('Banco de Dados'!#REF!="AG. COMPRA","Em processamento",'Banco de Dados'!#REF!="AG. RASTREIO","Em processamento",'Banco de Dados'!$AE684&lt;&gt;"-","Faturado",'Banco de Dados'!$AD684&lt;&gt;"-","Aguardando Pix",'Banco de Dados'!$AC684&lt;&gt;"-","Pendente"),"Aguardando Liberação")</f>
        <v>Aguardando Liberação</v>
      </c>
      <c r="AH684" s="5" t="str">
        <f>IF('Banco de Dados'!$F684="-",_xlfn.CONCAT(PROPER(TEXT(AK684,"aaaa"))," ",PROPER(TEXT(AK684,"mm"))),_xlfn.CONCAT(PROPER(TEXT(E684,"aaaa"))," ",PROPER(TEXT(E684,"mm"))))</f>
        <v>2025 01</v>
      </c>
      <c r="AI684" s="9" t="str">
        <f ca="1">IF('Banco de Dados'!$AK684&lt;&gt;"-","REEMBOLSO",IFERROR(_xlfn.XLOOKUP(G684,Follow[CODRASTREIO],Follow[STATUS]),"-"))</f>
        <v>ENTREGUE</v>
      </c>
      <c r="AJ684" s="9">
        <f ca="1">IF('Banco de Dados'!$AI684="ENTREGUE",_xlfn.XLOOKUP('Banco de Dados'!$G684,Follow[CODRASTREIO],Follow[DATAATUALIZAÇÃO]),"-")</f>
        <v>45672</v>
      </c>
      <c r="AK684" s="9" t="str">
        <f ca="1"/>
        <v>-</v>
      </c>
      <c r="AL684" s="35"/>
      <c r="AM684" s="109" cm="1">
        <f t="array" aca="1" ref="AM684" ca="1">IF('Banco de Dados'!$AK684&lt;&gt;"-",_xlfn.IFS('Banco de Dados'!$A684="bv",IF('Banco de Dados'!$E684&lt;45641,ROUND(SUM('Banco de Dados'!$R684*_xlfn.XLOOKUP('Banco de Dados'!$P684,Sku!B:B,Sku!#REF!)*20%),2),ROUND(SUM('Banco de Dados'!$R684*_xlfn.XLOOKUP('Banco de Dados'!$P684,Sku!B:B,Sku!H:H)*20%),2)),'Banco de Dados'!$A684="GO",ROUND(_xlfn.XLOOKUP('Banco de Dados'!$P684,Sku!C:C,Sku!H:H),2),'Banco de Dados'!$A684="MEI",ROUND(_xlfn.XLOOKUP('Banco de Dados'!$P684,Sku!D:D,Sku!H:H),2)),0)</f>
        <v>0</v>
      </c>
      <c r="AN684" s="109">
        <f ca="1">IF('Banco de Dados'!$AK684&lt;&gt;"-",IF('Banco de Dados'!$F684&lt;&gt;"-",_xlfn.XLOOKUP(IFERROR(IFERROR(IFERROR(VALUE(SUBSTITUTE(MID(_xlfn.TEXTAFTER('Banco de Dados'!$F684,"Data do Pedido:
",1),1,10),"-","/")),VALUE(SUBSTITUTE(MID(_xlfn.TEXTAFTER('Banco de Dados'!$F684,"Order date:
",1),1,10),"-","/"))),VALUE(SUBSTITUTE(MID(_xlfn.TEXTAFTER('Banco de Dados'!$F684,"Fecha de pedido:
",1),1,10),"-","/"))),"-"),SMS!A:A,SMS!K:K),0),0)</f>
        <v>0</v>
      </c>
      <c r="AO684" s="109">
        <f ca="1">IF('Banco de Dados'!$AK684&lt;&gt;"-",IF('Banco de Dados'!$F684&lt;&gt;"-",IFERROR(_xlfn.XLOOKUP(_xlfn.CONCAT('Banco de Dados'!$A684,IFERROR(IFERROR(VALUE(SUBSTITUTE(MID(_xlfn.TEXTAFTER('Banco de Dados'!$F684,"Data do Pedido:
",1),1,10),"-","/")),VALUE(SUBSTITUTE(MID(_xlfn.TEXTAFTER('Banco de Dados'!$F684,"Order date:
",1),1,10),"-","/"))),0)),ProxyDD[Chave],ProxyDD[Valor por pedido]),PROXY!$P$2),0),0)</f>
        <v>0</v>
      </c>
      <c r="AP684" s="28">
        <f ca="1">IF('Banco de Dados'!$AK684&lt;&gt;"-",IF('Banco de Dados'!$AL684="NÃO",IFERROR(VALUE(SUBSTITUTE(_xlfn.TEXTAFTER('Banco de Dados'!$F684,"BRL ",1),".",",")),0),0),0)</f>
        <v>0</v>
      </c>
      <c r="AQ684" s="28">
        <f ca="1">SUM('Banco de Dados'!$AM684:$AP684)</f>
        <v>0</v>
      </c>
      <c r="AR684" s="8"/>
      <c r="AS684" s="8"/>
      <c r="AY684" s="8"/>
    </row>
    <row r="685" spans="1:51">
      <c r="A685" s="5" t="str">
        <v>BV</v>
      </c>
      <c r="B685" s="5" t="str">
        <f ca="1"/>
        <v>BV45659</v>
      </c>
      <c r="C685" s="8" t="str">
        <v>Pedido 672</v>
      </c>
      <c r="D685" s="9">
        <v>45659</v>
      </c>
      <c r="E685" s="9">
        <v>45659</v>
      </c>
      <c r="F685" s="8" t="str">
        <v>PedidoF654</v>
      </c>
      <c r="G685" s="2" t="str">
        <v>CódRastreio652</v>
      </c>
      <c r="H685" s="5">
        <v>1</v>
      </c>
      <c r="I685" s="182" t="str">
        <v>CPF 645</v>
      </c>
      <c r="J685" s="2" t="str">
        <v>Nome 645</v>
      </c>
      <c r="K685" s="8" t="str">
        <v>Tel 645</v>
      </c>
      <c r="L685" s="8" t="str">
        <v>Cep 645</v>
      </c>
      <c r="M685" s="8" t="str">
        <v>Rua 645</v>
      </c>
      <c r="N685" s="8" t="str">
        <v>Comp 645</v>
      </c>
      <c r="O685" s="8" t="str">
        <v>Karaoke portátil</v>
      </c>
      <c r="P685" s="8" t="str">
        <v>08-PAJ9-YM9P</v>
      </c>
      <c r="Q685" s="4">
        <v>45685</v>
      </c>
      <c r="R685" s="109">
        <v>62.9</v>
      </c>
      <c r="S685" s="11">
        <f ca="1"/>
        <v>62.9</v>
      </c>
      <c r="T685" s="28">
        <f ca="1"/>
        <v>9.4349999999999987</v>
      </c>
      <c r="U685" s="11">
        <f ca="1"/>
        <v>53.47</v>
      </c>
      <c r="V685" s="11">
        <v>16.57</v>
      </c>
      <c r="W685" s="11">
        <f ca="1"/>
        <v>0.16</v>
      </c>
      <c r="X685" s="11">
        <f ca="1"/>
        <v>0.39877104377104378</v>
      </c>
      <c r="Y685" s="11">
        <v>0</v>
      </c>
      <c r="Z685" s="11">
        <f ca="1"/>
        <v>36.341228956228953</v>
      </c>
      <c r="AA685" s="11">
        <f ca="1"/>
        <v>18.170614478114476</v>
      </c>
      <c r="AB685" s="4">
        <f ca="1"/>
        <v>45692</v>
      </c>
      <c r="AC685" s="4">
        <v>45692</v>
      </c>
      <c r="AD685" s="9">
        <v>45693</v>
      </c>
      <c r="AE685" s="9">
        <v>45705</v>
      </c>
      <c r="AF685" s="4" t="str">
        <f t="shared" ca="1" si="25"/>
        <v>2025 02</v>
      </c>
      <c r="AG685" s="8" t="str" cm="1">
        <f t="array" ref="AG685">IFERROR(_xlfn.IFS('Banco de Dados'!#REF!="AG. COMPRA","Em processamento",'Banco de Dados'!#REF!="AG. RASTREIO","Em processamento",'Banco de Dados'!$AE685&lt;&gt;"-","Faturado",'Banco de Dados'!$AD685&lt;&gt;"-","Aguardando Pix",'Banco de Dados'!$AC685&lt;&gt;"-","Pendente"),"Aguardando Liberação")</f>
        <v>Aguardando Liberação</v>
      </c>
      <c r="AH685" s="5" t="str">
        <f>IF('Banco de Dados'!$F685="-",_xlfn.CONCAT(PROPER(TEXT(AK685,"aaaa"))," ",PROPER(TEXT(AK685,"mm"))),_xlfn.CONCAT(PROPER(TEXT(E685,"aaaa"))," ",PROPER(TEXT(E685,"mm"))))</f>
        <v>2025 01</v>
      </c>
      <c r="AI685" s="9" t="str">
        <f ca="1">IF('Banco de Dados'!$AK685&lt;&gt;"-","REEMBOLSO",IFERROR(_xlfn.XLOOKUP(G685,Follow[CODRASTREIO],Follow[STATUS]),"-"))</f>
        <v>ENTREGUE</v>
      </c>
      <c r="AJ685" s="9">
        <f ca="1">IF('Banco de Dados'!$AI685="ENTREGUE",_xlfn.XLOOKUP('Banco de Dados'!$G685,Follow[CODRASTREIO],Follow[DATAATUALIZAÇÃO]),"-")</f>
        <v>45671</v>
      </c>
      <c r="AK685" s="9" t="str">
        <f ca="1"/>
        <v>-</v>
      </c>
      <c r="AL685" s="35"/>
      <c r="AM685" s="109" cm="1">
        <f t="array" aca="1" ref="AM685" ca="1">IF('Banco de Dados'!$AK685&lt;&gt;"-",_xlfn.IFS('Banco de Dados'!$A685="bv",IF('Banco de Dados'!$E685&lt;45641,ROUND(SUM('Banco de Dados'!$R685*_xlfn.XLOOKUP('Banco de Dados'!$P685,Sku!B:B,Sku!#REF!)*20%),2),ROUND(SUM('Banco de Dados'!$R685*_xlfn.XLOOKUP('Banco de Dados'!$P685,Sku!B:B,Sku!H:H)*20%),2)),'Banco de Dados'!$A685="GO",ROUND(_xlfn.XLOOKUP('Banco de Dados'!$P685,Sku!C:C,Sku!H:H),2),'Banco de Dados'!$A685="MEI",ROUND(_xlfn.XLOOKUP('Banco de Dados'!$P685,Sku!D:D,Sku!H:H),2)),0)</f>
        <v>0</v>
      </c>
      <c r="AN685" s="109">
        <f ca="1">IF('Banco de Dados'!$AK685&lt;&gt;"-",IF('Banco de Dados'!$F685&lt;&gt;"-",_xlfn.XLOOKUP(IFERROR(IFERROR(IFERROR(VALUE(SUBSTITUTE(MID(_xlfn.TEXTAFTER('Banco de Dados'!$F685,"Data do Pedido:
",1),1,10),"-","/")),VALUE(SUBSTITUTE(MID(_xlfn.TEXTAFTER('Banco de Dados'!$F685,"Order date:
",1),1,10),"-","/"))),VALUE(SUBSTITUTE(MID(_xlfn.TEXTAFTER('Banco de Dados'!$F685,"Fecha de pedido:
",1),1,10),"-","/"))),"-"),SMS!A:A,SMS!K:K),0),0)</f>
        <v>0</v>
      </c>
      <c r="AO685" s="109">
        <f ca="1">IF('Banco de Dados'!$AK685&lt;&gt;"-",IF('Banco de Dados'!$F685&lt;&gt;"-",IFERROR(_xlfn.XLOOKUP(_xlfn.CONCAT('Banco de Dados'!$A685,IFERROR(IFERROR(VALUE(SUBSTITUTE(MID(_xlfn.TEXTAFTER('Banco de Dados'!$F685,"Data do Pedido:
",1),1,10),"-","/")),VALUE(SUBSTITUTE(MID(_xlfn.TEXTAFTER('Banco de Dados'!$F685,"Order date:
",1),1,10),"-","/"))),0)),ProxyDD[Chave],ProxyDD[Valor por pedido]),PROXY!$P$2),0),0)</f>
        <v>0</v>
      </c>
      <c r="AP685" s="28">
        <f ca="1">IF('Banco de Dados'!$AK685&lt;&gt;"-",IF('Banco de Dados'!$AL685="NÃO",IFERROR(VALUE(SUBSTITUTE(_xlfn.TEXTAFTER('Banco de Dados'!$F685,"BRL ",1),".",",")),0),0),0)</f>
        <v>0</v>
      </c>
      <c r="AQ685" s="28">
        <f ca="1">SUM('Banco de Dados'!$AM685:$AP685)</f>
        <v>0</v>
      </c>
      <c r="AR685" s="8"/>
      <c r="AS685" s="8"/>
      <c r="AY685" s="8"/>
    </row>
    <row r="686" spans="1:51">
      <c r="A686" s="5" t="str">
        <v>BV</v>
      </c>
      <c r="B686" s="5" t="str">
        <f ca="1"/>
        <v>BV45659</v>
      </c>
      <c r="C686" s="8" t="str">
        <v>Pedido 673</v>
      </c>
      <c r="D686" s="9">
        <v>45659</v>
      </c>
      <c r="E686" s="9">
        <v>45659</v>
      </c>
      <c r="F686" s="8" t="str">
        <v>PedidoF655</v>
      </c>
      <c r="G686" s="2" t="str">
        <v>CódRastreio653</v>
      </c>
      <c r="H686" s="5">
        <v>1</v>
      </c>
      <c r="I686" s="182" t="str">
        <v>CPF 653</v>
      </c>
      <c r="J686" s="2" t="str">
        <v>Nome 653</v>
      </c>
      <c r="K686" s="8" t="str">
        <v>Tel 653</v>
      </c>
      <c r="L686" s="8" t="str">
        <v>Cep 653</v>
      </c>
      <c r="M686" s="8" t="str">
        <v>Rua 653</v>
      </c>
      <c r="N686" s="8" t="str">
        <v>Comp 653</v>
      </c>
      <c r="O686" s="8" t="str">
        <v>Mini Liquidificador</v>
      </c>
      <c r="P686" s="8" t="str">
        <v>CK-YL6M-P5Y6</v>
      </c>
      <c r="Q686" s="4">
        <v>45675</v>
      </c>
      <c r="R686" s="109">
        <v>33.9</v>
      </c>
      <c r="S686" s="11">
        <f ca="1"/>
        <v>33.9</v>
      </c>
      <c r="T686" s="28">
        <f ca="1"/>
        <v>4.407</v>
      </c>
      <c r="U686" s="11">
        <f ca="1"/>
        <v>29.49</v>
      </c>
      <c r="V686" s="11">
        <v>15.99</v>
      </c>
      <c r="W686" s="11">
        <f ca="1"/>
        <v>0.16</v>
      </c>
      <c r="X686" s="11">
        <f ca="1"/>
        <v>0.39877104377104378</v>
      </c>
      <c r="Y686" s="11">
        <v>0</v>
      </c>
      <c r="Z686" s="11">
        <f ca="1"/>
        <v>12.941228956228954</v>
      </c>
      <c r="AA686" s="11">
        <f ca="1"/>
        <v>6.4706144781144772</v>
      </c>
      <c r="AB686" s="4">
        <f ca="1"/>
        <v>45682</v>
      </c>
      <c r="AC686" s="4">
        <v>45682</v>
      </c>
      <c r="AD686" s="9">
        <v>45688</v>
      </c>
      <c r="AE686" s="9">
        <v>45694</v>
      </c>
      <c r="AF686" s="4" t="str">
        <f t="shared" ca="1" si="25"/>
        <v>2025 01</v>
      </c>
      <c r="AG686" s="8" t="str" cm="1">
        <f t="array" ref="AG686">IFERROR(_xlfn.IFS('Banco de Dados'!#REF!="AG. COMPRA","Em processamento",'Banco de Dados'!#REF!="AG. RASTREIO","Em processamento",'Banco de Dados'!$AE686&lt;&gt;"-","Faturado",'Banco de Dados'!$AD686&lt;&gt;"-","Aguardando Pix",'Banco de Dados'!$AC686&lt;&gt;"-","Pendente"),"Aguardando Liberação")</f>
        <v>Aguardando Liberação</v>
      </c>
      <c r="AH686" s="5" t="str">
        <f>IF('Banco de Dados'!$F686="-",_xlfn.CONCAT(PROPER(TEXT(AK686,"aaaa"))," ",PROPER(TEXT(AK686,"mm"))),_xlfn.CONCAT(PROPER(TEXT(E686,"aaaa"))," ",PROPER(TEXT(E686,"mm"))))</f>
        <v>2025 01</v>
      </c>
      <c r="AI686" s="9" t="str">
        <f ca="1">IF('Banco de Dados'!$AK686&lt;&gt;"-","REEMBOLSO",IFERROR(_xlfn.XLOOKUP(G686,Follow[CODRASTREIO],Follow[STATUS]),"-"))</f>
        <v>ENTREGUE</v>
      </c>
      <c r="AJ686" s="9">
        <f ca="1">IF('Banco de Dados'!$AI686="ENTREGUE",_xlfn.XLOOKUP('Banco de Dados'!$G686,Follow[CODRASTREIO],Follow[DATAATUALIZAÇÃO]),"-")</f>
        <v>45667</v>
      </c>
      <c r="AK686" s="9" t="str">
        <f ca="1"/>
        <v>-</v>
      </c>
      <c r="AL686" s="35"/>
      <c r="AM686" s="109" cm="1">
        <f t="array" aca="1" ref="AM686" ca="1">IF('Banco de Dados'!$AK686&lt;&gt;"-",_xlfn.IFS('Banco de Dados'!$A686="bv",IF('Banco de Dados'!$E686&lt;45641,ROUND(SUM('Banco de Dados'!$R686*_xlfn.XLOOKUP('Banco de Dados'!$P686,Sku!B:B,Sku!#REF!)*20%),2),ROUND(SUM('Banco de Dados'!$R686*_xlfn.XLOOKUP('Banco de Dados'!$P686,Sku!B:B,Sku!H:H)*20%),2)),'Banco de Dados'!$A686="GO",ROUND(_xlfn.XLOOKUP('Banco de Dados'!$P686,Sku!C:C,Sku!H:H),2),'Banco de Dados'!$A686="MEI",ROUND(_xlfn.XLOOKUP('Banco de Dados'!$P686,Sku!D:D,Sku!H:H),2)),0)</f>
        <v>0</v>
      </c>
      <c r="AN686" s="109">
        <f ca="1">IF('Banco de Dados'!$AK686&lt;&gt;"-",IF('Banco de Dados'!$F686&lt;&gt;"-",_xlfn.XLOOKUP(IFERROR(IFERROR(IFERROR(VALUE(SUBSTITUTE(MID(_xlfn.TEXTAFTER('Banco de Dados'!$F686,"Data do Pedido:
",1),1,10),"-","/")),VALUE(SUBSTITUTE(MID(_xlfn.TEXTAFTER('Banco de Dados'!$F686,"Order date:
",1),1,10),"-","/"))),VALUE(SUBSTITUTE(MID(_xlfn.TEXTAFTER('Banco de Dados'!$F686,"Fecha de pedido:
",1),1,10),"-","/"))),"-"),SMS!A:A,SMS!K:K),0),0)</f>
        <v>0</v>
      </c>
      <c r="AO686" s="109">
        <f ca="1">IF('Banco de Dados'!$AK686&lt;&gt;"-",IF('Banco de Dados'!$F686&lt;&gt;"-",IFERROR(_xlfn.XLOOKUP(_xlfn.CONCAT('Banco de Dados'!$A686,IFERROR(IFERROR(VALUE(SUBSTITUTE(MID(_xlfn.TEXTAFTER('Banco de Dados'!$F686,"Data do Pedido:
",1),1,10),"-","/")),VALUE(SUBSTITUTE(MID(_xlfn.TEXTAFTER('Banco de Dados'!$F686,"Order date:
",1),1,10),"-","/"))),0)),ProxyDD[Chave],ProxyDD[Valor por pedido]),PROXY!$P$2),0),0)</f>
        <v>0</v>
      </c>
      <c r="AP686" s="28">
        <f ca="1">IF('Banco de Dados'!$AK686&lt;&gt;"-",IF('Banco de Dados'!$AL686="NÃO",IFERROR(VALUE(SUBSTITUTE(_xlfn.TEXTAFTER('Banco de Dados'!$F686,"BRL ",1),".",",")),0),0),0)</f>
        <v>0</v>
      </c>
      <c r="AQ686" s="28">
        <f ca="1">SUM('Banco de Dados'!$AM686:$AP686)</f>
        <v>0</v>
      </c>
      <c r="AR686" s="8"/>
      <c r="AS686" s="8"/>
      <c r="AY686" s="8"/>
    </row>
    <row r="687" spans="1:51">
      <c r="A687" s="5" t="str">
        <v>BV</v>
      </c>
      <c r="B687" s="5" t="str">
        <f ca="1"/>
        <v>BV45659</v>
      </c>
      <c r="C687" s="8" t="str">
        <v>Pedido 674</v>
      </c>
      <c r="D687" s="9">
        <v>45659</v>
      </c>
      <c r="E687" s="9">
        <v>45659</v>
      </c>
      <c r="F687" s="8" t="str">
        <v>PedidoF656</v>
      </c>
      <c r="G687" s="2" t="str">
        <v>CódRastreio654</v>
      </c>
      <c r="H687" s="5">
        <v>1</v>
      </c>
      <c r="I687" s="182" t="str">
        <v>CPF 651</v>
      </c>
      <c r="J687" s="2" t="str">
        <v>Nome 651</v>
      </c>
      <c r="K687" s="8" t="str">
        <v>Tel 651</v>
      </c>
      <c r="L687" s="8" t="str">
        <v>Cep 651</v>
      </c>
      <c r="M687" s="8" t="str">
        <v>Rua 651</v>
      </c>
      <c r="N687" s="8" t="str">
        <v>Comp 651</v>
      </c>
      <c r="O687" s="8" t="str">
        <v>Ventilador Preto</v>
      </c>
      <c r="P687" s="8" t="str">
        <v>MU-J80P-95WF</v>
      </c>
      <c r="Q687" s="4">
        <v>45685</v>
      </c>
      <c r="R687" s="109">
        <v>65.599999999999994</v>
      </c>
      <c r="S687" s="11">
        <f ca="1"/>
        <v>65.599999999999994</v>
      </c>
      <c r="T687" s="28">
        <f ca="1"/>
        <v>8.5279999999999987</v>
      </c>
      <c r="U687" s="11">
        <f ca="1"/>
        <v>57.07</v>
      </c>
      <c r="V687" s="11">
        <v>10.18</v>
      </c>
      <c r="W687" s="11">
        <f ca="1"/>
        <v>0.16</v>
      </c>
      <c r="X687" s="11">
        <f ca="1"/>
        <v>0.39877104377104378</v>
      </c>
      <c r="Y687" s="11">
        <v>0</v>
      </c>
      <c r="Z687" s="11">
        <f ca="1"/>
        <v>46.331228956228955</v>
      </c>
      <c r="AA687" s="11">
        <f ca="1"/>
        <v>23.165614478114477</v>
      </c>
      <c r="AB687" s="4">
        <f ca="1"/>
        <v>45692</v>
      </c>
      <c r="AC687" s="4">
        <v>45692</v>
      </c>
      <c r="AD687" s="9">
        <v>45693</v>
      </c>
      <c r="AE687" s="9">
        <v>45705</v>
      </c>
      <c r="AF687" s="4" t="str">
        <f t="shared" ca="1" si="25"/>
        <v>2025 02</v>
      </c>
      <c r="AG687" s="8" t="str" cm="1">
        <f t="array" ref="AG687">IFERROR(_xlfn.IFS('Banco de Dados'!#REF!="AG. COMPRA","Em processamento",'Banco de Dados'!#REF!="AG. RASTREIO","Em processamento",'Banco de Dados'!$AE687&lt;&gt;"-","Faturado",'Banco de Dados'!$AD687&lt;&gt;"-","Aguardando Pix",'Banco de Dados'!$AC687&lt;&gt;"-","Pendente"),"Aguardando Liberação")</f>
        <v>Aguardando Liberação</v>
      </c>
      <c r="AH687" s="5" t="str">
        <f>IF('Banco de Dados'!$F687="-",_xlfn.CONCAT(PROPER(TEXT(AK687,"aaaa"))," ",PROPER(TEXT(AK687,"mm"))),_xlfn.CONCAT(PROPER(TEXT(E687,"aaaa"))," ",PROPER(TEXT(E687,"mm"))))</f>
        <v>2025 01</v>
      </c>
      <c r="AI687" s="9" t="str">
        <f ca="1">IF('Banco de Dados'!$AK687&lt;&gt;"-","REEMBOLSO",IFERROR(_xlfn.XLOOKUP(G687,Follow[CODRASTREIO],Follow[STATUS]),"-"))</f>
        <v>ENTREGUE</v>
      </c>
      <c r="AJ687" s="9">
        <f ca="1">IF('Banco de Dados'!$AI687="ENTREGUE",_xlfn.XLOOKUP('Banco de Dados'!$G687,Follow[CODRASTREIO],Follow[DATAATUALIZAÇÃO]),"-")</f>
        <v>45672</v>
      </c>
      <c r="AK687" s="9" t="str">
        <f ca="1"/>
        <v>-</v>
      </c>
      <c r="AL687" s="35"/>
      <c r="AM687" s="109" cm="1">
        <f t="array" aca="1" ref="AM687" ca="1">IF('Banco de Dados'!$AK687&lt;&gt;"-",_xlfn.IFS('Banco de Dados'!$A687="bv",IF('Banco de Dados'!$E687&lt;45641,ROUND(SUM('Banco de Dados'!$R687*_xlfn.XLOOKUP('Banco de Dados'!$P687,Sku!B:B,Sku!#REF!)*20%),2),ROUND(SUM('Banco de Dados'!$R687*_xlfn.XLOOKUP('Banco de Dados'!$P687,Sku!B:B,Sku!H:H)*20%),2)),'Banco de Dados'!$A687="GO",ROUND(_xlfn.XLOOKUP('Banco de Dados'!$P687,Sku!C:C,Sku!H:H),2),'Banco de Dados'!$A687="MEI",ROUND(_xlfn.XLOOKUP('Banco de Dados'!$P687,Sku!D:D,Sku!H:H),2)),0)</f>
        <v>0</v>
      </c>
      <c r="AN687" s="109">
        <f ca="1">IF('Banco de Dados'!$AK687&lt;&gt;"-",IF('Banco de Dados'!$F687&lt;&gt;"-",_xlfn.XLOOKUP(IFERROR(IFERROR(IFERROR(VALUE(SUBSTITUTE(MID(_xlfn.TEXTAFTER('Banco de Dados'!$F687,"Data do Pedido:
",1),1,10),"-","/")),VALUE(SUBSTITUTE(MID(_xlfn.TEXTAFTER('Banco de Dados'!$F687,"Order date:
",1),1,10),"-","/"))),VALUE(SUBSTITUTE(MID(_xlfn.TEXTAFTER('Banco de Dados'!$F687,"Fecha de pedido:
",1),1,10),"-","/"))),"-"),SMS!A:A,SMS!K:K),0),0)</f>
        <v>0</v>
      </c>
      <c r="AO687" s="109">
        <f ca="1">IF('Banco de Dados'!$AK687&lt;&gt;"-",IF('Banco de Dados'!$F687&lt;&gt;"-",IFERROR(_xlfn.XLOOKUP(_xlfn.CONCAT('Banco de Dados'!$A687,IFERROR(IFERROR(VALUE(SUBSTITUTE(MID(_xlfn.TEXTAFTER('Banco de Dados'!$F687,"Data do Pedido:
",1),1,10),"-","/")),VALUE(SUBSTITUTE(MID(_xlfn.TEXTAFTER('Banco de Dados'!$F687,"Order date:
",1),1,10),"-","/"))),0)),ProxyDD[Chave],ProxyDD[Valor por pedido]),PROXY!$P$2),0),0)</f>
        <v>0</v>
      </c>
      <c r="AP687" s="28">
        <f ca="1">IF('Banco de Dados'!$AK687&lt;&gt;"-",IF('Banco de Dados'!$AL687="NÃO",IFERROR(VALUE(SUBSTITUTE(_xlfn.TEXTAFTER('Banco de Dados'!$F687,"BRL ",1),".",",")),0),0),0)</f>
        <v>0</v>
      </c>
      <c r="AQ687" s="28">
        <f ca="1">SUM('Banco de Dados'!$AM687:$AP687)</f>
        <v>0</v>
      </c>
      <c r="AR687" s="8"/>
      <c r="AS687" s="8"/>
      <c r="AY687" s="8"/>
    </row>
    <row r="688" spans="1:51">
      <c r="A688" s="5" t="str">
        <v>BV</v>
      </c>
      <c r="B688" s="5" t="str">
        <f ca="1"/>
        <v>BV45659</v>
      </c>
      <c r="C688" s="8" t="str">
        <v>Pedido 675</v>
      </c>
      <c r="D688" s="9">
        <v>45659</v>
      </c>
      <c r="E688" s="9">
        <v>45659</v>
      </c>
      <c r="F688" s="8" t="str">
        <v>PedidoF657</v>
      </c>
      <c r="G688" s="2" t="str">
        <v>CódRastreio655</v>
      </c>
      <c r="H688" s="5">
        <v>1</v>
      </c>
      <c r="I688" s="182" t="str">
        <v>CPF 654</v>
      </c>
      <c r="J688" s="2" t="str">
        <v>Nome 654</v>
      </c>
      <c r="K688" s="8" t="str">
        <v>Tel 654</v>
      </c>
      <c r="L688" s="8" t="str">
        <v>Cep 654</v>
      </c>
      <c r="M688" s="8" t="str">
        <v>Rua 654</v>
      </c>
      <c r="N688" s="8" t="str">
        <v>Comp 654</v>
      </c>
      <c r="O688" s="8" t="str">
        <v>Ventilador Rosa</v>
      </c>
      <c r="P688" s="8" t="str">
        <v>IF-G2ZQ-79FO</v>
      </c>
      <c r="Q688" s="4">
        <v>45679</v>
      </c>
      <c r="R688" s="109">
        <v>49.4</v>
      </c>
      <c r="S688" s="11">
        <f ca="1"/>
        <v>49.4</v>
      </c>
      <c r="T688" s="28">
        <f ca="1"/>
        <v>6.4219999999999997</v>
      </c>
      <c r="U688" s="11">
        <f ca="1"/>
        <v>42.98</v>
      </c>
      <c r="V688" s="11">
        <v>10.18</v>
      </c>
      <c r="W688" s="11">
        <f ca="1"/>
        <v>0.16</v>
      </c>
      <c r="X688" s="11">
        <f ca="1"/>
        <v>0.39877104377104378</v>
      </c>
      <c r="Y688" s="11">
        <v>0</v>
      </c>
      <c r="Z688" s="11">
        <f ca="1"/>
        <v>32.241228956228952</v>
      </c>
      <c r="AA688" s="11">
        <f ca="1"/>
        <v>16.120614478114476</v>
      </c>
      <c r="AB688" s="4">
        <f ca="1"/>
        <v>45686</v>
      </c>
      <c r="AC688" s="4">
        <v>45686</v>
      </c>
      <c r="AD688" s="9">
        <v>45688</v>
      </c>
      <c r="AE688" s="9">
        <v>45694</v>
      </c>
      <c r="AF688" s="4" t="str">
        <f t="shared" ca="1" si="25"/>
        <v>2025 01</v>
      </c>
      <c r="AG688" s="8" t="str" cm="1">
        <f t="array" ref="AG688">IFERROR(_xlfn.IFS('Banco de Dados'!#REF!="AG. COMPRA","Em processamento",'Banco de Dados'!#REF!="AG. RASTREIO","Em processamento",'Banco de Dados'!$AE688&lt;&gt;"-","Faturado",'Banco de Dados'!$AD688&lt;&gt;"-","Aguardando Pix",'Banco de Dados'!$AC688&lt;&gt;"-","Pendente"),"Aguardando Liberação")</f>
        <v>Aguardando Liberação</v>
      </c>
      <c r="AH688" s="5" t="str">
        <f>IF('Banco de Dados'!$F688="-",_xlfn.CONCAT(PROPER(TEXT(AK688,"aaaa"))," ",PROPER(TEXT(AK688,"mm"))),_xlfn.CONCAT(PROPER(TEXT(E688,"aaaa"))," ",PROPER(TEXT(E688,"mm"))))</f>
        <v>2025 01</v>
      </c>
      <c r="AI688" s="9" t="str">
        <f ca="1">IF('Banco de Dados'!$AK688&lt;&gt;"-","REEMBOLSO",IFERROR(_xlfn.XLOOKUP(G688,Follow[CODRASTREIO],Follow[STATUS]),"-"))</f>
        <v>ENTREGUE</v>
      </c>
      <c r="AJ688" s="9">
        <f ca="1">IF('Banco de Dados'!$AI688="ENTREGUE",_xlfn.XLOOKUP('Banco de Dados'!$G688,Follow[CODRASTREIO],Follow[DATAATUALIZAÇÃO]),"-")</f>
        <v>45670</v>
      </c>
      <c r="AK688" s="9" t="str">
        <f ca="1"/>
        <v>-</v>
      </c>
      <c r="AL688" s="35"/>
      <c r="AM688" s="109" cm="1">
        <f t="array" aca="1" ref="AM688" ca="1">IF('Banco de Dados'!$AK688&lt;&gt;"-",_xlfn.IFS('Banco de Dados'!$A688="bv",IF('Banco de Dados'!$E688&lt;45641,ROUND(SUM('Banco de Dados'!$R688*_xlfn.XLOOKUP('Banco de Dados'!$P688,Sku!B:B,Sku!#REF!)*20%),2),ROUND(SUM('Banco de Dados'!$R688*_xlfn.XLOOKUP('Banco de Dados'!$P688,Sku!B:B,Sku!H:H)*20%),2)),'Banco de Dados'!$A688="GO",ROUND(_xlfn.XLOOKUP('Banco de Dados'!$P688,Sku!C:C,Sku!H:H),2),'Banco de Dados'!$A688="MEI",ROUND(_xlfn.XLOOKUP('Banco de Dados'!$P688,Sku!D:D,Sku!H:H),2)),0)</f>
        <v>0</v>
      </c>
      <c r="AN688" s="109">
        <f ca="1">IF('Banco de Dados'!$AK688&lt;&gt;"-",IF('Banco de Dados'!$F688&lt;&gt;"-",_xlfn.XLOOKUP(IFERROR(IFERROR(IFERROR(VALUE(SUBSTITUTE(MID(_xlfn.TEXTAFTER('Banco de Dados'!$F688,"Data do Pedido:
",1),1,10),"-","/")),VALUE(SUBSTITUTE(MID(_xlfn.TEXTAFTER('Banco de Dados'!$F688,"Order date:
",1),1,10),"-","/"))),VALUE(SUBSTITUTE(MID(_xlfn.TEXTAFTER('Banco de Dados'!$F688,"Fecha de pedido:
",1),1,10),"-","/"))),"-"),SMS!A:A,SMS!K:K),0),0)</f>
        <v>0</v>
      </c>
      <c r="AO688" s="109">
        <f ca="1">IF('Banco de Dados'!$AK688&lt;&gt;"-",IF('Banco de Dados'!$F688&lt;&gt;"-",IFERROR(_xlfn.XLOOKUP(_xlfn.CONCAT('Banco de Dados'!$A688,IFERROR(IFERROR(VALUE(SUBSTITUTE(MID(_xlfn.TEXTAFTER('Banco de Dados'!$F688,"Data do Pedido:
",1),1,10),"-","/")),VALUE(SUBSTITUTE(MID(_xlfn.TEXTAFTER('Banco de Dados'!$F688,"Order date:
",1),1,10),"-","/"))),0)),ProxyDD[Chave],ProxyDD[Valor por pedido]),PROXY!$P$2),0),0)</f>
        <v>0</v>
      </c>
      <c r="AP688" s="28">
        <f ca="1">IF('Banco de Dados'!$AK688&lt;&gt;"-",IF('Banco de Dados'!$AL688="NÃO",IFERROR(VALUE(SUBSTITUTE(_xlfn.TEXTAFTER('Banco de Dados'!$F688,"BRL ",1),".",",")),0),0),0)</f>
        <v>0</v>
      </c>
      <c r="AQ688" s="28">
        <f ca="1">SUM('Banco de Dados'!$AM688:$AP688)</f>
        <v>0</v>
      </c>
      <c r="AR688" s="8"/>
      <c r="AS688" s="8"/>
      <c r="AY688" s="8"/>
    </row>
    <row r="689" spans="1:51">
      <c r="A689" s="5" t="str">
        <v>BV</v>
      </c>
      <c r="B689" s="5" t="str">
        <f ca="1"/>
        <v>BV45659</v>
      </c>
      <c r="C689" s="8" t="str">
        <v>Pedido 676</v>
      </c>
      <c r="D689" s="9">
        <v>45659</v>
      </c>
      <c r="E689" s="9">
        <v>45659</v>
      </c>
      <c r="F689" s="8" t="str">
        <v>PedidoF658</v>
      </c>
      <c r="G689" s="2" t="str">
        <v>CódRastreio656</v>
      </c>
      <c r="H689" s="5">
        <v>1</v>
      </c>
      <c r="I689" s="182" t="str">
        <v>CPF 655</v>
      </c>
      <c r="J689" s="2" t="str">
        <v>Nome 655</v>
      </c>
      <c r="K689" s="8" t="str">
        <v>Tel 655</v>
      </c>
      <c r="L689" s="8" t="str">
        <v>Cep 655</v>
      </c>
      <c r="M689" s="8" t="str">
        <v>Rua 655</v>
      </c>
      <c r="N689" s="8" t="str">
        <v>Comp 655</v>
      </c>
      <c r="O689" s="8" t="str">
        <v>Adaptador Bluetooph</v>
      </c>
      <c r="P689" s="8" t="str">
        <v>YA-AG3H-SPUK</v>
      </c>
      <c r="Q689" s="4">
        <v>45685</v>
      </c>
      <c r="R689" s="109">
        <v>21.99</v>
      </c>
      <c r="S689" s="11">
        <f ca="1"/>
        <v>21.99</v>
      </c>
      <c r="T689" s="28">
        <f ca="1"/>
        <v>2.6387999999999998</v>
      </c>
      <c r="U689" s="11">
        <f ca="1"/>
        <v>19.350000000000001</v>
      </c>
      <c r="V689" s="11">
        <v>6.99</v>
      </c>
      <c r="W689" s="11">
        <f ca="1"/>
        <v>0.16</v>
      </c>
      <c r="X689" s="11">
        <f ca="1"/>
        <v>0.39877104377104378</v>
      </c>
      <c r="Y689" s="11">
        <v>0</v>
      </c>
      <c r="Z689" s="11">
        <f ca="1"/>
        <v>11.801228956228957</v>
      </c>
      <c r="AA689" s="11">
        <f ca="1"/>
        <v>5.9006144781144787</v>
      </c>
      <c r="AB689" s="4">
        <f ca="1"/>
        <v>45692</v>
      </c>
      <c r="AC689" s="4">
        <v>45692</v>
      </c>
      <c r="AD689" s="9">
        <v>45693</v>
      </c>
      <c r="AE689" s="9">
        <v>45705</v>
      </c>
      <c r="AF689" s="4" t="str">
        <f t="shared" ca="1" si="25"/>
        <v>2025 02</v>
      </c>
      <c r="AG689" s="8" t="str" cm="1">
        <f t="array" ref="AG689">IFERROR(_xlfn.IFS('Banco de Dados'!#REF!="AG. COMPRA","Em processamento",'Banco de Dados'!#REF!="AG. RASTREIO","Em processamento",'Banco de Dados'!$AE689&lt;&gt;"-","Faturado",'Banco de Dados'!$AD689&lt;&gt;"-","Aguardando Pix",'Banco de Dados'!$AC689&lt;&gt;"-","Pendente"),"Aguardando Liberação")</f>
        <v>Aguardando Liberação</v>
      </c>
      <c r="AH689" s="5" t="str">
        <f>IF('Banco de Dados'!$F689="-",_xlfn.CONCAT(PROPER(TEXT(AK689,"aaaa"))," ",PROPER(TEXT(AK689,"mm"))),_xlfn.CONCAT(PROPER(TEXT(E689,"aaaa"))," ",PROPER(TEXT(E689,"mm"))))</f>
        <v>2025 01</v>
      </c>
      <c r="AI689" s="9" t="str">
        <f ca="1">IF('Banco de Dados'!$AK689&lt;&gt;"-","REEMBOLSO",IFERROR(_xlfn.XLOOKUP(G689,Follow[CODRASTREIO],Follow[STATUS]),"-"))</f>
        <v>ENTREGUE</v>
      </c>
      <c r="AJ689" s="9">
        <f ca="1">IF('Banco de Dados'!$AI689="ENTREGUE",_xlfn.XLOOKUP('Banco de Dados'!$G689,Follow[CODRASTREIO],Follow[DATAATUALIZAÇÃO]),"-")</f>
        <v>45668</v>
      </c>
      <c r="AK689" s="9" t="str">
        <f ca="1"/>
        <v>-</v>
      </c>
      <c r="AL689" s="35"/>
      <c r="AM689" s="109" cm="1">
        <f t="array" aca="1" ref="AM689" ca="1">IF('Banco de Dados'!$AK689&lt;&gt;"-",_xlfn.IFS('Banco de Dados'!$A689="bv",IF('Banco de Dados'!$E689&lt;45641,ROUND(SUM('Banco de Dados'!$R689*_xlfn.XLOOKUP('Banco de Dados'!$P689,Sku!B:B,Sku!#REF!)*20%),2),ROUND(SUM('Banco de Dados'!$R689*_xlfn.XLOOKUP('Banco de Dados'!$P689,Sku!B:B,Sku!H:H)*20%),2)),'Banco de Dados'!$A689="GO",ROUND(_xlfn.XLOOKUP('Banco de Dados'!$P689,Sku!C:C,Sku!H:H),2),'Banco de Dados'!$A689="MEI",ROUND(_xlfn.XLOOKUP('Banco de Dados'!$P689,Sku!D:D,Sku!H:H),2)),0)</f>
        <v>0</v>
      </c>
      <c r="AN689" s="109">
        <f ca="1">IF('Banco de Dados'!$AK689&lt;&gt;"-",IF('Banco de Dados'!$F689&lt;&gt;"-",_xlfn.XLOOKUP(IFERROR(IFERROR(IFERROR(VALUE(SUBSTITUTE(MID(_xlfn.TEXTAFTER('Banco de Dados'!$F689,"Data do Pedido:
",1),1,10),"-","/")),VALUE(SUBSTITUTE(MID(_xlfn.TEXTAFTER('Banco de Dados'!$F689,"Order date:
",1),1,10),"-","/"))),VALUE(SUBSTITUTE(MID(_xlfn.TEXTAFTER('Banco de Dados'!$F689,"Fecha de pedido:
",1),1,10),"-","/"))),"-"),SMS!A:A,SMS!K:K),0),0)</f>
        <v>0</v>
      </c>
      <c r="AO689" s="109">
        <f ca="1">IF('Banco de Dados'!$AK689&lt;&gt;"-",IF('Banco de Dados'!$F689&lt;&gt;"-",IFERROR(_xlfn.XLOOKUP(_xlfn.CONCAT('Banco de Dados'!$A689,IFERROR(IFERROR(VALUE(SUBSTITUTE(MID(_xlfn.TEXTAFTER('Banco de Dados'!$F689,"Data do Pedido:
",1),1,10),"-","/")),VALUE(SUBSTITUTE(MID(_xlfn.TEXTAFTER('Banco de Dados'!$F689,"Order date:
",1),1,10),"-","/"))),0)),ProxyDD[Chave],ProxyDD[Valor por pedido]),PROXY!$P$2),0),0)</f>
        <v>0</v>
      </c>
      <c r="AP689" s="28">
        <f ca="1">IF('Banco de Dados'!$AK689&lt;&gt;"-",IF('Banco de Dados'!$AL689="NÃO",IFERROR(VALUE(SUBSTITUTE(_xlfn.TEXTAFTER('Banco de Dados'!$F689,"BRL ",1),".",",")),0),0),0)</f>
        <v>0</v>
      </c>
      <c r="AQ689" s="28">
        <f ca="1">SUM('Banco de Dados'!$AM689:$AP689)</f>
        <v>0</v>
      </c>
      <c r="AR689" s="8"/>
      <c r="AS689" s="8"/>
      <c r="AY689" s="8"/>
    </row>
    <row r="690" spans="1:51">
      <c r="A690" s="5" t="str">
        <v>BV</v>
      </c>
      <c r="B690" s="5" t="str">
        <f ca="1"/>
        <v>BV45659</v>
      </c>
      <c r="C690" s="8" t="str">
        <v>Pedido 677</v>
      </c>
      <c r="D690" s="9">
        <v>45659</v>
      </c>
      <c r="E690" s="9">
        <v>45659</v>
      </c>
      <c r="F690" s="8" t="str">
        <v>PedidoF659</v>
      </c>
      <c r="G690" s="2" t="str">
        <v>CódRastreio657</v>
      </c>
      <c r="H690" s="5">
        <v>1</v>
      </c>
      <c r="I690" s="182" t="str">
        <v>CPF 656</v>
      </c>
      <c r="J690" s="2" t="str">
        <v>Nome 656</v>
      </c>
      <c r="K690" s="8" t="str">
        <v>Tel 656</v>
      </c>
      <c r="L690" s="8" t="str">
        <v>Cep 656</v>
      </c>
      <c r="M690" s="8" t="str">
        <v>Rua 656</v>
      </c>
      <c r="N690" s="8" t="str">
        <v>Comp 656</v>
      </c>
      <c r="O690" s="8" t="str">
        <v>Adaptador Bluetooph</v>
      </c>
      <c r="P690" s="8" t="str">
        <v>YA-AG3H-SPUK</v>
      </c>
      <c r="Q690" s="4">
        <v>45686</v>
      </c>
      <c r="R690" s="109">
        <v>21.99</v>
      </c>
      <c r="S690" s="11">
        <f ca="1"/>
        <v>21.99</v>
      </c>
      <c r="T690" s="28">
        <f ca="1"/>
        <v>2.6387999999999998</v>
      </c>
      <c r="U690" s="11">
        <f ca="1"/>
        <v>19.350000000000001</v>
      </c>
      <c r="V690" s="11">
        <v>6.99</v>
      </c>
      <c r="W690" s="11">
        <f ca="1"/>
        <v>0.16</v>
      </c>
      <c r="X690" s="11">
        <f ca="1"/>
        <v>0.39877104377104378</v>
      </c>
      <c r="Y690" s="11">
        <v>0</v>
      </c>
      <c r="Z690" s="11">
        <f ca="1"/>
        <v>11.801228956228957</v>
      </c>
      <c r="AA690" s="11">
        <f ca="1"/>
        <v>5.9006144781144787</v>
      </c>
      <c r="AB690" s="4">
        <f ca="1"/>
        <v>45693</v>
      </c>
      <c r="AC690" s="4">
        <v>45693</v>
      </c>
      <c r="AD690" s="9">
        <v>45693</v>
      </c>
      <c r="AE690" s="9">
        <v>45705</v>
      </c>
      <c r="AF690" s="4" t="str">
        <f t="shared" ca="1" si="25"/>
        <v>2025 02</v>
      </c>
      <c r="AG690" s="8" t="str" cm="1">
        <f t="array" ref="AG690">IFERROR(_xlfn.IFS('Banco de Dados'!#REF!="AG. COMPRA","Em processamento",'Banco de Dados'!#REF!="AG. RASTREIO","Em processamento",'Banco de Dados'!$AE690&lt;&gt;"-","Faturado",'Banco de Dados'!$AD690&lt;&gt;"-","Aguardando Pix",'Banco de Dados'!$AC690&lt;&gt;"-","Pendente"),"Aguardando Liberação")</f>
        <v>Aguardando Liberação</v>
      </c>
      <c r="AH690" s="5" t="str">
        <f>IF('Banco de Dados'!$F690="-",_xlfn.CONCAT(PROPER(TEXT(AK690,"aaaa"))," ",PROPER(TEXT(AK690,"mm"))),_xlfn.CONCAT(PROPER(TEXT(E690,"aaaa"))," ",PROPER(TEXT(E690,"mm"))))</f>
        <v>2025 01</v>
      </c>
      <c r="AI690" s="9" t="str">
        <f ca="1">IF('Banco de Dados'!$AK690&lt;&gt;"-","REEMBOLSO",IFERROR(_xlfn.XLOOKUP(G690,Follow[CODRASTREIO],Follow[STATUS]),"-"))</f>
        <v>ENTREGUE</v>
      </c>
      <c r="AJ690" s="9">
        <f ca="1">IF('Banco de Dados'!$AI690="ENTREGUE",_xlfn.XLOOKUP('Banco de Dados'!$G690,Follow[CODRASTREIO],Follow[DATAATUALIZAÇÃO]),"-")</f>
        <v>45673</v>
      </c>
      <c r="AK690" s="9" t="str">
        <f ca="1"/>
        <v>-</v>
      </c>
      <c r="AL690" s="35"/>
      <c r="AM690" s="109" cm="1">
        <f t="array" aca="1" ref="AM690" ca="1">IF('Banco de Dados'!$AK690&lt;&gt;"-",_xlfn.IFS('Banco de Dados'!$A690="bv",IF('Banco de Dados'!$E690&lt;45641,ROUND(SUM('Banco de Dados'!$R690*_xlfn.XLOOKUP('Banco de Dados'!$P690,Sku!B:B,Sku!#REF!)*20%),2),ROUND(SUM('Banco de Dados'!$R690*_xlfn.XLOOKUP('Banco de Dados'!$P690,Sku!B:B,Sku!H:H)*20%),2)),'Banco de Dados'!$A690="GO",ROUND(_xlfn.XLOOKUP('Banco de Dados'!$P690,Sku!C:C,Sku!H:H),2),'Banco de Dados'!$A690="MEI",ROUND(_xlfn.XLOOKUP('Banco de Dados'!$P690,Sku!D:D,Sku!H:H),2)),0)</f>
        <v>0</v>
      </c>
      <c r="AN690" s="109">
        <f ca="1">IF('Banco de Dados'!$AK690&lt;&gt;"-",IF('Banco de Dados'!$F690&lt;&gt;"-",_xlfn.XLOOKUP(IFERROR(IFERROR(IFERROR(VALUE(SUBSTITUTE(MID(_xlfn.TEXTAFTER('Banco de Dados'!$F690,"Data do Pedido:
",1),1,10),"-","/")),VALUE(SUBSTITUTE(MID(_xlfn.TEXTAFTER('Banco de Dados'!$F690,"Order date:
",1),1,10),"-","/"))),VALUE(SUBSTITUTE(MID(_xlfn.TEXTAFTER('Banco de Dados'!$F690,"Fecha de pedido:
",1),1,10),"-","/"))),"-"),SMS!A:A,SMS!K:K),0),0)</f>
        <v>0</v>
      </c>
      <c r="AO690" s="109">
        <f ca="1">IF('Banco de Dados'!$AK690&lt;&gt;"-",IF('Banco de Dados'!$F690&lt;&gt;"-",IFERROR(_xlfn.XLOOKUP(_xlfn.CONCAT('Banco de Dados'!$A690,IFERROR(IFERROR(VALUE(SUBSTITUTE(MID(_xlfn.TEXTAFTER('Banco de Dados'!$F690,"Data do Pedido:
",1),1,10),"-","/")),VALUE(SUBSTITUTE(MID(_xlfn.TEXTAFTER('Banco de Dados'!$F690,"Order date:
",1),1,10),"-","/"))),0)),ProxyDD[Chave],ProxyDD[Valor por pedido]),PROXY!$P$2),0),0)</f>
        <v>0</v>
      </c>
      <c r="AP690" s="28">
        <f ca="1">IF('Banco de Dados'!$AK690&lt;&gt;"-",IF('Banco de Dados'!$AL690="NÃO",IFERROR(VALUE(SUBSTITUTE(_xlfn.TEXTAFTER('Banco de Dados'!$F690,"BRL ",1),".",",")),0),0),0)</f>
        <v>0</v>
      </c>
      <c r="AQ690" s="28">
        <f ca="1">SUM('Banco de Dados'!$AM690:$AP690)</f>
        <v>0</v>
      </c>
      <c r="AR690" s="8"/>
      <c r="AS690" s="8"/>
      <c r="AY690" s="8"/>
    </row>
    <row r="691" spans="1:51">
      <c r="A691" s="5" t="str">
        <v>BV</v>
      </c>
      <c r="B691" s="5" t="str">
        <f ca="1"/>
        <v>BV45659</v>
      </c>
      <c r="C691" s="8" t="str">
        <v>Pedido 678</v>
      </c>
      <c r="D691" s="9">
        <v>45659</v>
      </c>
      <c r="E691" s="9">
        <v>45659</v>
      </c>
      <c r="F691" s="8" t="str">
        <v>PedidoF660</v>
      </c>
      <c r="G691" s="2" t="str">
        <v>CódRastreio658</v>
      </c>
      <c r="H691" s="5">
        <v>1</v>
      </c>
      <c r="I691" s="182" t="str">
        <v>CPF 657</v>
      </c>
      <c r="J691" s="2" t="str">
        <v>Nome 657</v>
      </c>
      <c r="K691" s="8" t="str">
        <v>Tel 657</v>
      </c>
      <c r="L691" s="8" t="str">
        <v>Cep 657</v>
      </c>
      <c r="M691" s="8" t="str">
        <v>Rua 657</v>
      </c>
      <c r="N691" s="8" t="str">
        <v>Comp 657</v>
      </c>
      <c r="O691" s="8" t="str">
        <v>Adaptador Bluetooph</v>
      </c>
      <c r="P691" s="8" t="str">
        <v>YA-AG3H-SPUK</v>
      </c>
      <c r="Q691" s="4">
        <v>45686</v>
      </c>
      <c r="R691" s="109">
        <v>21.99</v>
      </c>
      <c r="S691" s="11">
        <f ca="1"/>
        <v>21.99</v>
      </c>
      <c r="T691" s="28">
        <f ca="1"/>
        <v>2.6387999999999998</v>
      </c>
      <c r="U691" s="11">
        <f ca="1"/>
        <v>19.350000000000001</v>
      </c>
      <c r="V691" s="11">
        <v>6.99</v>
      </c>
      <c r="W691" s="11">
        <f ca="1"/>
        <v>0.16</v>
      </c>
      <c r="X691" s="11">
        <f ca="1"/>
        <v>0.39877104377104378</v>
      </c>
      <c r="Y691" s="11">
        <v>0</v>
      </c>
      <c r="Z691" s="11">
        <f ca="1"/>
        <v>11.801228956228957</v>
      </c>
      <c r="AA691" s="11">
        <f ca="1"/>
        <v>5.9006144781144787</v>
      </c>
      <c r="AB691" s="4">
        <f ca="1"/>
        <v>45693</v>
      </c>
      <c r="AC691" s="4">
        <v>45693</v>
      </c>
      <c r="AD691" s="9">
        <v>45693</v>
      </c>
      <c r="AE691" s="9">
        <v>45705</v>
      </c>
      <c r="AF691" s="4" t="str">
        <f t="shared" ca="1" si="25"/>
        <v>2025 02</v>
      </c>
      <c r="AG691" s="8" t="str" cm="1">
        <f t="array" ref="AG691">IFERROR(_xlfn.IFS('Banco de Dados'!#REF!="AG. COMPRA","Em processamento",'Banco de Dados'!#REF!="AG. RASTREIO","Em processamento",'Banco de Dados'!$AE691&lt;&gt;"-","Faturado",'Banco de Dados'!$AD691&lt;&gt;"-","Aguardando Pix",'Banco de Dados'!$AC691&lt;&gt;"-","Pendente"),"Aguardando Liberação")</f>
        <v>Aguardando Liberação</v>
      </c>
      <c r="AH691" s="5" t="str">
        <f>IF('Banco de Dados'!$F691="-",_xlfn.CONCAT(PROPER(TEXT(AK691,"aaaa"))," ",PROPER(TEXT(AK691,"mm"))),_xlfn.CONCAT(PROPER(TEXT(E691,"aaaa"))," ",PROPER(TEXT(E691,"mm"))))</f>
        <v>2025 01</v>
      </c>
      <c r="AI691" s="9" t="str">
        <f ca="1">IF('Banco de Dados'!$AK691&lt;&gt;"-","REEMBOLSO",IFERROR(_xlfn.XLOOKUP(G691,Follow[CODRASTREIO],Follow[STATUS]),"-"))</f>
        <v>ENTREGUE</v>
      </c>
      <c r="AJ691" s="9">
        <f ca="1">IF('Banco de Dados'!$AI691="ENTREGUE",_xlfn.XLOOKUP('Banco de Dados'!$G691,Follow[CODRASTREIO],Follow[DATAATUALIZAÇÃO]),"-")</f>
        <v>45671</v>
      </c>
      <c r="AK691" s="9" t="str">
        <f ca="1"/>
        <v>-</v>
      </c>
      <c r="AL691" s="35"/>
      <c r="AM691" s="109" cm="1">
        <f t="array" aca="1" ref="AM691" ca="1">IF('Banco de Dados'!$AK691&lt;&gt;"-",_xlfn.IFS('Banco de Dados'!$A691="bv",IF('Banco de Dados'!$E691&lt;45641,ROUND(SUM('Banco de Dados'!$R691*_xlfn.XLOOKUP('Banco de Dados'!$P691,Sku!B:B,Sku!#REF!)*20%),2),ROUND(SUM('Banco de Dados'!$R691*_xlfn.XLOOKUP('Banco de Dados'!$P691,Sku!B:B,Sku!H:H)*20%),2)),'Banco de Dados'!$A691="GO",ROUND(_xlfn.XLOOKUP('Banco de Dados'!$P691,Sku!C:C,Sku!H:H),2),'Banco de Dados'!$A691="MEI",ROUND(_xlfn.XLOOKUP('Banco de Dados'!$P691,Sku!D:D,Sku!H:H),2)),0)</f>
        <v>0</v>
      </c>
      <c r="AN691" s="109">
        <f ca="1">IF('Banco de Dados'!$AK691&lt;&gt;"-",IF('Banco de Dados'!$F691&lt;&gt;"-",_xlfn.XLOOKUP(IFERROR(IFERROR(IFERROR(VALUE(SUBSTITUTE(MID(_xlfn.TEXTAFTER('Banco de Dados'!$F691,"Data do Pedido:
",1),1,10),"-","/")),VALUE(SUBSTITUTE(MID(_xlfn.TEXTAFTER('Banco de Dados'!$F691,"Order date:
",1),1,10),"-","/"))),VALUE(SUBSTITUTE(MID(_xlfn.TEXTAFTER('Banco de Dados'!$F691,"Fecha de pedido:
",1),1,10),"-","/"))),"-"),SMS!A:A,SMS!K:K),0),0)</f>
        <v>0</v>
      </c>
      <c r="AO691" s="109">
        <f ca="1">IF('Banco de Dados'!$AK691&lt;&gt;"-",IF('Banco de Dados'!$F691&lt;&gt;"-",IFERROR(_xlfn.XLOOKUP(_xlfn.CONCAT('Banco de Dados'!$A691,IFERROR(IFERROR(VALUE(SUBSTITUTE(MID(_xlfn.TEXTAFTER('Banco de Dados'!$F691,"Data do Pedido:
",1),1,10),"-","/")),VALUE(SUBSTITUTE(MID(_xlfn.TEXTAFTER('Banco de Dados'!$F691,"Order date:
",1),1,10),"-","/"))),0)),ProxyDD[Chave],ProxyDD[Valor por pedido]),PROXY!$P$2),0),0)</f>
        <v>0</v>
      </c>
      <c r="AP691" s="28">
        <f ca="1">IF('Banco de Dados'!$AK691&lt;&gt;"-",IF('Banco de Dados'!$AL691="NÃO",IFERROR(VALUE(SUBSTITUTE(_xlfn.TEXTAFTER('Banco de Dados'!$F691,"BRL ",1),".",",")),0),0),0)</f>
        <v>0</v>
      </c>
      <c r="AQ691" s="28">
        <f ca="1">SUM('Banco de Dados'!$AM691:$AP691)</f>
        <v>0</v>
      </c>
      <c r="AR691" s="8"/>
      <c r="AS691" s="8"/>
      <c r="AY691" s="8"/>
    </row>
    <row r="692" spans="1:51">
      <c r="A692" s="5" t="str">
        <v>BV</v>
      </c>
      <c r="B692" s="5" t="str">
        <f ca="1"/>
        <v>BV45659</v>
      </c>
      <c r="C692" s="8" t="str">
        <v>Pedido 679</v>
      </c>
      <c r="D692" s="9">
        <v>45659</v>
      </c>
      <c r="E692" s="9">
        <v>45659</v>
      </c>
      <c r="F692" s="8" t="str">
        <v>PedidoF661</v>
      </c>
      <c r="G692" s="2" t="str">
        <v>CódRastreio659</v>
      </c>
      <c r="H692" s="5">
        <v>1</v>
      </c>
      <c r="I692" s="182" t="str">
        <v>CPF 658</v>
      </c>
      <c r="J692" s="2" t="str">
        <v>Nome 658</v>
      </c>
      <c r="K692" s="8" t="str">
        <v>Tel 658</v>
      </c>
      <c r="L692" s="8" t="str">
        <v>Cep 658</v>
      </c>
      <c r="M692" s="8" t="str">
        <v>Rua 658</v>
      </c>
      <c r="N692" s="8" t="str">
        <v>Comp 658</v>
      </c>
      <c r="O692" s="8" t="str">
        <v>Ventilador Rosa</v>
      </c>
      <c r="P692" s="8" t="str">
        <v>IF-G2ZQ-79FO</v>
      </c>
      <c r="Q692" s="4">
        <v>45686</v>
      </c>
      <c r="R692" s="109">
        <v>49.4</v>
      </c>
      <c r="S692" s="11">
        <f ca="1"/>
        <v>49.4</v>
      </c>
      <c r="T692" s="28">
        <f ca="1"/>
        <v>6.4219999999999997</v>
      </c>
      <c r="U692" s="11">
        <f ca="1"/>
        <v>42.98</v>
      </c>
      <c r="V692" s="11">
        <v>10.18</v>
      </c>
      <c r="W692" s="11">
        <f ca="1"/>
        <v>0.16</v>
      </c>
      <c r="X692" s="11">
        <f ca="1"/>
        <v>0.39877104377104378</v>
      </c>
      <c r="Y692" s="11">
        <v>0</v>
      </c>
      <c r="Z692" s="11">
        <f ca="1"/>
        <v>32.241228956228952</v>
      </c>
      <c r="AA692" s="11">
        <f ca="1"/>
        <v>16.120614478114476</v>
      </c>
      <c r="AB692" s="4">
        <f ca="1"/>
        <v>45693</v>
      </c>
      <c r="AC692" s="4">
        <v>45693</v>
      </c>
      <c r="AD692" s="9">
        <v>45693</v>
      </c>
      <c r="AE692" s="9">
        <v>45705</v>
      </c>
      <c r="AF692" s="4" t="str">
        <f t="shared" ca="1" si="25"/>
        <v>2025 02</v>
      </c>
      <c r="AG692" s="8" t="str" cm="1">
        <f t="array" ref="AG692">IFERROR(_xlfn.IFS('Banco de Dados'!#REF!="AG. COMPRA","Em processamento",'Banco de Dados'!#REF!="AG. RASTREIO","Em processamento",'Banco de Dados'!$AE692&lt;&gt;"-","Faturado",'Banco de Dados'!$AD692&lt;&gt;"-","Aguardando Pix",'Banco de Dados'!$AC692&lt;&gt;"-","Pendente"),"Aguardando Liberação")</f>
        <v>Aguardando Liberação</v>
      </c>
      <c r="AH692" s="5" t="str">
        <f>IF('Banco de Dados'!$F692="-",_xlfn.CONCAT(PROPER(TEXT(AK692,"aaaa"))," ",PROPER(TEXT(AK692,"mm"))),_xlfn.CONCAT(PROPER(TEXT(E692,"aaaa"))," ",PROPER(TEXT(E692,"mm"))))</f>
        <v>2025 01</v>
      </c>
      <c r="AI692" s="9" t="str">
        <f ca="1">IF('Banco de Dados'!$AK692&lt;&gt;"-","REEMBOLSO",IFERROR(_xlfn.XLOOKUP(G692,Follow[CODRASTREIO],Follow[STATUS]),"-"))</f>
        <v>ENTREGUE</v>
      </c>
      <c r="AJ692" s="9">
        <f ca="1">IF('Banco de Dados'!$AI692="ENTREGUE",_xlfn.XLOOKUP('Banco de Dados'!$G692,Follow[CODRASTREIO],Follow[DATAATUALIZAÇÃO]),"-")</f>
        <v>45672</v>
      </c>
      <c r="AK692" s="9" t="str">
        <f ca="1"/>
        <v>-</v>
      </c>
      <c r="AL692" s="35"/>
      <c r="AM692" s="109" cm="1">
        <f t="array" aca="1" ref="AM692" ca="1">IF('Banco de Dados'!$AK692&lt;&gt;"-",_xlfn.IFS('Banco de Dados'!$A692="bv",IF('Banco de Dados'!$E692&lt;45641,ROUND(SUM('Banco de Dados'!$R692*_xlfn.XLOOKUP('Banco de Dados'!$P692,Sku!B:B,Sku!#REF!)*20%),2),ROUND(SUM('Banco de Dados'!$R692*_xlfn.XLOOKUP('Banco de Dados'!$P692,Sku!B:B,Sku!H:H)*20%),2)),'Banco de Dados'!$A692="GO",ROUND(_xlfn.XLOOKUP('Banco de Dados'!$P692,Sku!C:C,Sku!H:H),2),'Banco de Dados'!$A692="MEI",ROUND(_xlfn.XLOOKUP('Banco de Dados'!$P692,Sku!D:D,Sku!H:H),2)),0)</f>
        <v>0</v>
      </c>
      <c r="AN692" s="109">
        <f ca="1">IF('Banco de Dados'!$AK692&lt;&gt;"-",IF('Banco de Dados'!$F692&lt;&gt;"-",_xlfn.XLOOKUP(IFERROR(IFERROR(IFERROR(VALUE(SUBSTITUTE(MID(_xlfn.TEXTAFTER('Banco de Dados'!$F692,"Data do Pedido:
",1),1,10),"-","/")),VALUE(SUBSTITUTE(MID(_xlfn.TEXTAFTER('Banco de Dados'!$F692,"Order date:
",1),1,10),"-","/"))),VALUE(SUBSTITUTE(MID(_xlfn.TEXTAFTER('Banco de Dados'!$F692,"Fecha de pedido:
",1),1,10),"-","/"))),"-"),SMS!A:A,SMS!K:K),0),0)</f>
        <v>0</v>
      </c>
      <c r="AO692" s="109">
        <f ca="1">IF('Banco de Dados'!$AK692&lt;&gt;"-",IF('Banco de Dados'!$F692&lt;&gt;"-",IFERROR(_xlfn.XLOOKUP(_xlfn.CONCAT('Banco de Dados'!$A692,IFERROR(IFERROR(VALUE(SUBSTITUTE(MID(_xlfn.TEXTAFTER('Banco de Dados'!$F692,"Data do Pedido:
",1),1,10),"-","/")),VALUE(SUBSTITUTE(MID(_xlfn.TEXTAFTER('Banco de Dados'!$F692,"Order date:
",1),1,10),"-","/"))),0)),ProxyDD[Chave],ProxyDD[Valor por pedido]),PROXY!$P$2),0),0)</f>
        <v>0</v>
      </c>
      <c r="AP692" s="28">
        <f ca="1">IF('Banco de Dados'!$AK692&lt;&gt;"-",IF('Banco de Dados'!$AL692="NÃO",IFERROR(VALUE(SUBSTITUTE(_xlfn.TEXTAFTER('Banco de Dados'!$F692,"BRL ",1),".",",")),0),0),0)</f>
        <v>0</v>
      </c>
      <c r="AQ692" s="28">
        <f ca="1">SUM('Banco de Dados'!$AM692:$AP692)</f>
        <v>0</v>
      </c>
      <c r="AR692" s="8"/>
      <c r="AS692" s="8"/>
      <c r="AY692" s="8"/>
    </row>
    <row r="693" spans="1:51">
      <c r="A693" s="5" t="str">
        <v>BV</v>
      </c>
      <c r="B693" s="5" t="str">
        <f ca="1"/>
        <v>BV45659</v>
      </c>
      <c r="C693" s="8" t="str">
        <v>Pedido 680</v>
      </c>
      <c r="D693" s="9">
        <v>45659</v>
      </c>
      <c r="E693" s="9">
        <v>45659</v>
      </c>
      <c r="F693" s="8" t="str">
        <v>PedidoF662</v>
      </c>
      <c r="G693" s="2" t="str">
        <v>CódRastreio660</v>
      </c>
      <c r="H693" s="5">
        <v>1</v>
      </c>
      <c r="I693" s="182" t="str">
        <v>CPF 659</v>
      </c>
      <c r="J693" s="2" t="str">
        <v>Nome 659</v>
      </c>
      <c r="K693" s="8" t="str">
        <v>Tel 659</v>
      </c>
      <c r="L693" s="8" t="str">
        <v>Cep 659</v>
      </c>
      <c r="M693" s="8" t="str">
        <v>Rua 659</v>
      </c>
      <c r="N693" s="8" t="str">
        <v>Comp 659</v>
      </c>
      <c r="O693" s="8" t="str">
        <v>Ventilador Rosa</v>
      </c>
      <c r="P693" s="8" t="str">
        <v>IF-G2ZQ-79FO</v>
      </c>
      <c r="Q693" s="4">
        <v>45686</v>
      </c>
      <c r="R693" s="109">
        <v>49.4</v>
      </c>
      <c r="S693" s="11">
        <f ca="1"/>
        <v>49.4</v>
      </c>
      <c r="T693" s="28">
        <f ca="1"/>
        <v>6.4219999999999997</v>
      </c>
      <c r="U693" s="11">
        <f ca="1"/>
        <v>42.98</v>
      </c>
      <c r="V693" s="11">
        <v>10.18</v>
      </c>
      <c r="W693" s="11">
        <f ca="1"/>
        <v>0.16</v>
      </c>
      <c r="X693" s="11">
        <f ca="1"/>
        <v>0.39877104377104378</v>
      </c>
      <c r="Y693" s="11">
        <v>0</v>
      </c>
      <c r="Z693" s="11">
        <f ca="1"/>
        <v>32.241228956228952</v>
      </c>
      <c r="AA693" s="11">
        <f ca="1"/>
        <v>16.120614478114476</v>
      </c>
      <c r="AB693" s="4">
        <f ca="1"/>
        <v>45693</v>
      </c>
      <c r="AC693" s="4">
        <v>45693</v>
      </c>
      <c r="AD693" s="9">
        <v>45693</v>
      </c>
      <c r="AE693" s="9">
        <v>45705</v>
      </c>
      <c r="AF693" s="4" t="str">
        <f t="shared" ca="1" si="25"/>
        <v>2025 02</v>
      </c>
      <c r="AG693" s="8" t="str" cm="1">
        <f t="array" ref="AG693">IFERROR(_xlfn.IFS('Banco de Dados'!#REF!="AG. COMPRA","Em processamento",'Banco de Dados'!#REF!="AG. RASTREIO","Em processamento",'Banco de Dados'!$AE693&lt;&gt;"-","Faturado",'Banco de Dados'!$AD693&lt;&gt;"-","Aguardando Pix",'Banco de Dados'!$AC693&lt;&gt;"-","Pendente"),"Aguardando Liberação")</f>
        <v>Aguardando Liberação</v>
      </c>
      <c r="AH693" s="5" t="str">
        <f>IF('Banco de Dados'!$F693="-",_xlfn.CONCAT(PROPER(TEXT(AK693,"aaaa"))," ",PROPER(TEXT(AK693,"mm"))),_xlfn.CONCAT(PROPER(TEXT(E693,"aaaa"))," ",PROPER(TEXT(E693,"mm"))))</f>
        <v>2025 01</v>
      </c>
      <c r="AI693" s="9" t="str">
        <f ca="1">IF('Banco de Dados'!$AK693&lt;&gt;"-","REEMBOLSO",IFERROR(_xlfn.XLOOKUP(G693,Follow[CODRASTREIO],Follow[STATUS]),"-"))</f>
        <v>ENTREGUE</v>
      </c>
      <c r="AJ693" s="9">
        <f ca="1">IF('Banco de Dados'!$AI693="ENTREGUE",_xlfn.XLOOKUP('Banco de Dados'!$G693,Follow[CODRASTREIO],Follow[DATAATUALIZAÇÃO]),"-")</f>
        <v>45673</v>
      </c>
      <c r="AK693" s="9" t="str">
        <f ca="1"/>
        <v>-</v>
      </c>
      <c r="AL693" s="35"/>
      <c r="AM693" s="109" cm="1">
        <f t="array" aca="1" ref="AM693" ca="1">IF('Banco de Dados'!$AK693&lt;&gt;"-",_xlfn.IFS('Banco de Dados'!$A693="bv",IF('Banco de Dados'!$E693&lt;45641,ROUND(SUM('Banco de Dados'!$R693*_xlfn.XLOOKUP('Banco de Dados'!$P693,Sku!B:B,Sku!#REF!)*20%),2),ROUND(SUM('Banco de Dados'!$R693*_xlfn.XLOOKUP('Banco de Dados'!$P693,Sku!B:B,Sku!H:H)*20%),2)),'Banco de Dados'!$A693="GO",ROUND(_xlfn.XLOOKUP('Banco de Dados'!$P693,Sku!C:C,Sku!H:H),2),'Banco de Dados'!$A693="MEI",ROUND(_xlfn.XLOOKUP('Banco de Dados'!$P693,Sku!D:D,Sku!H:H),2)),0)</f>
        <v>0</v>
      </c>
      <c r="AN693" s="109">
        <f ca="1">IF('Banco de Dados'!$AK693&lt;&gt;"-",IF('Banco de Dados'!$F693&lt;&gt;"-",_xlfn.XLOOKUP(IFERROR(IFERROR(IFERROR(VALUE(SUBSTITUTE(MID(_xlfn.TEXTAFTER('Banco de Dados'!$F693,"Data do Pedido:
",1),1,10),"-","/")),VALUE(SUBSTITUTE(MID(_xlfn.TEXTAFTER('Banco de Dados'!$F693,"Order date:
",1),1,10),"-","/"))),VALUE(SUBSTITUTE(MID(_xlfn.TEXTAFTER('Banco de Dados'!$F693,"Fecha de pedido:
",1),1,10),"-","/"))),"-"),SMS!A:A,SMS!K:K),0),0)</f>
        <v>0</v>
      </c>
      <c r="AO693" s="109">
        <f ca="1">IF('Banco de Dados'!$AK693&lt;&gt;"-",IF('Banco de Dados'!$F693&lt;&gt;"-",IFERROR(_xlfn.XLOOKUP(_xlfn.CONCAT('Banco de Dados'!$A693,IFERROR(IFERROR(VALUE(SUBSTITUTE(MID(_xlfn.TEXTAFTER('Banco de Dados'!$F693,"Data do Pedido:
",1),1,10),"-","/")),VALUE(SUBSTITUTE(MID(_xlfn.TEXTAFTER('Banco de Dados'!$F693,"Order date:
",1),1,10),"-","/"))),0)),ProxyDD[Chave],ProxyDD[Valor por pedido]),PROXY!$P$2),0),0)</f>
        <v>0</v>
      </c>
      <c r="AP693" s="28">
        <f ca="1">IF('Banco de Dados'!$AK693&lt;&gt;"-",IF('Banco de Dados'!$AL693="NÃO",IFERROR(VALUE(SUBSTITUTE(_xlfn.TEXTAFTER('Banco de Dados'!$F693,"BRL ",1),".",",")),0),0),0)</f>
        <v>0</v>
      </c>
      <c r="AQ693" s="28">
        <f ca="1">SUM('Banco de Dados'!$AM693:$AP693)</f>
        <v>0</v>
      </c>
      <c r="AR693" s="8"/>
      <c r="AS693" s="8"/>
      <c r="AY693" s="8"/>
    </row>
    <row r="694" spans="1:51">
      <c r="A694" s="5" t="str">
        <v>BV</v>
      </c>
      <c r="B694" s="5" t="str">
        <f ca="1"/>
        <v>BV45659</v>
      </c>
      <c r="C694" s="8" t="str">
        <v>Pedido 681</v>
      </c>
      <c r="D694" s="9">
        <v>45659</v>
      </c>
      <c r="E694" s="9">
        <v>45659</v>
      </c>
      <c r="F694" s="8" t="str">
        <v>PedidoF663</v>
      </c>
      <c r="G694" s="2" t="str">
        <v>CódRastreio661</v>
      </c>
      <c r="H694" s="5">
        <v>1</v>
      </c>
      <c r="I694" s="182" t="str">
        <v>CPF 660</v>
      </c>
      <c r="J694" s="2" t="str">
        <v>Nome 660</v>
      </c>
      <c r="K694" s="8" t="str">
        <v>Tel 660</v>
      </c>
      <c r="L694" s="8" t="str">
        <v>Cep 660</v>
      </c>
      <c r="M694" s="8" t="str">
        <v>Rua 660</v>
      </c>
      <c r="N694" s="8" t="str">
        <v>Comp 660</v>
      </c>
      <c r="O694" s="8" t="str">
        <v>Ventilador Preto</v>
      </c>
      <c r="P694" s="8" t="str">
        <v>MU-J80P-95WF</v>
      </c>
      <c r="Q694" s="4">
        <v>45693</v>
      </c>
      <c r="R694" s="109">
        <v>65.599999999999994</v>
      </c>
      <c r="S694" s="11">
        <f ca="1"/>
        <v>65.599999999999994</v>
      </c>
      <c r="T694" s="28">
        <f ca="1"/>
        <v>8.5279999999999987</v>
      </c>
      <c r="U694" s="11">
        <f ca="1"/>
        <v>57.07</v>
      </c>
      <c r="V694" s="11">
        <v>10.18</v>
      </c>
      <c r="W694" s="11">
        <f ca="1"/>
        <v>0.16</v>
      </c>
      <c r="X694" s="11">
        <f ca="1"/>
        <v>0.39877104377104378</v>
      </c>
      <c r="Y694" s="11">
        <v>0</v>
      </c>
      <c r="Z694" s="11">
        <f ca="1"/>
        <v>46.331228956228955</v>
      </c>
      <c r="AA694" s="11">
        <f ca="1"/>
        <v>23.165614478114477</v>
      </c>
      <c r="AB694" s="4">
        <f ca="1"/>
        <v>45700</v>
      </c>
      <c r="AC694" s="4">
        <v>45700</v>
      </c>
      <c r="AD694" s="9">
        <v>45702</v>
      </c>
      <c r="AE694" s="9">
        <v>45705</v>
      </c>
      <c r="AF694" s="4" t="str">
        <f t="shared" ca="1" si="25"/>
        <v>2025 02</v>
      </c>
      <c r="AG694" s="8" t="str" cm="1">
        <f t="array" ref="AG694">IFERROR(_xlfn.IFS('Banco de Dados'!#REF!="AG. COMPRA","Em processamento",'Banco de Dados'!#REF!="AG. RASTREIO","Em processamento",'Banco de Dados'!$AE694&lt;&gt;"-","Faturado",'Banco de Dados'!$AD694&lt;&gt;"-","Aguardando Pix",'Banco de Dados'!$AC694&lt;&gt;"-","Pendente"),"Aguardando Liberação")</f>
        <v>Aguardando Liberação</v>
      </c>
      <c r="AH694" s="5" t="str">
        <f>IF('Banco de Dados'!$F694="-",_xlfn.CONCAT(PROPER(TEXT(AK694,"aaaa"))," ",PROPER(TEXT(AK694,"mm"))),_xlfn.CONCAT(PROPER(TEXT(E694,"aaaa"))," ",PROPER(TEXT(E694,"mm"))))</f>
        <v>2025 01</v>
      </c>
      <c r="AI694" s="9" t="str">
        <f ca="1">IF('Banco de Dados'!$AK694&lt;&gt;"-","REEMBOLSO",IFERROR(_xlfn.XLOOKUP(G694,Follow[CODRASTREIO],Follow[STATUS]),"-"))</f>
        <v>ENTREGUE</v>
      </c>
      <c r="AJ694" s="9">
        <f ca="1">IF('Banco de Dados'!$AI694="ENTREGUE",_xlfn.XLOOKUP('Banco de Dados'!$G694,Follow[CODRASTREIO],Follow[DATAATUALIZAÇÃO]),"-")</f>
        <v>45682</v>
      </c>
      <c r="AK694" s="9" t="str">
        <f ca="1"/>
        <v>-</v>
      </c>
      <c r="AL694" s="35"/>
      <c r="AM694" s="109" cm="1">
        <f t="array" aca="1" ref="AM694" ca="1">IF('Banco de Dados'!$AK694&lt;&gt;"-",_xlfn.IFS('Banco de Dados'!$A694="bv",IF('Banco de Dados'!$E694&lt;45641,ROUND(SUM('Banco de Dados'!$R694*_xlfn.XLOOKUP('Banco de Dados'!$P694,Sku!B:B,Sku!#REF!)*20%),2),ROUND(SUM('Banco de Dados'!$R694*_xlfn.XLOOKUP('Banco de Dados'!$P694,Sku!B:B,Sku!H:H)*20%),2)),'Banco de Dados'!$A694="GO",ROUND(_xlfn.XLOOKUP('Banco de Dados'!$P694,Sku!C:C,Sku!H:H),2),'Banco de Dados'!$A694="MEI",ROUND(_xlfn.XLOOKUP('Banco de Dados'!$P694,Sku!D:D,Sku!H:H),2)),0)</f>
        <v>0</v>
      </c>
      <c r="AN694" s="109">
        <f ca="1">IF('Banco de Dados'!$AK694&lt;&gt;"-",IF('Banco de Dados'!$F694&lt;&gt;"-",_xlfn.XLOOKUP(IFERROR(IFERROR(IFERROR(VALUE(SUBSTITUTE(MID(_xlfn.TEXTAFTER('Banco de Dados'!$F694,"Data do Pedido:
",1),1,10),"-","/")),VALUE(SUBSTITUTE(MID(_xlfn.TEXTAFTER('Banco de Dados'!$F694,"Order date:
",1),1,10),"-","/"))),VALUE(SUBSTITUTE(MID(_xlfn.TEXTAFTER('Banco de Dados'!$F694,"Fecha de pedido:
",1),1,10),"-","/"))),"-"),SMS!A:A,SMS!K:K),0),0)</f>
        <v>0</v>
      </c>
      <c r="AO694" s="109">
        <f ca="1">IF('Banco de Dados'!$AK694&lt;&gt;"-",IF('Banco de Dados'!$F694&lt;&gt;"-",IFERROR(_xlfn.XLOOKUP(_xlfn.CONCAT('Banco de Dados'!$A694,IFERROR(IFERROR(VALUE(SUBSTITUTE(MID(_xlfn.TEXTAFTER('Banco de Dados'!$F694,"Data do Pedido:
",1),1,10),"-","/")),VALUE(SUBSTITUTE(MID(_xlfn.TEXTAFTER('Banco de Dados'!$F694,"Order date:
",1),1,10),"-","/"))),0)),ProxyDD[Chave],ProxyDD[Valor por pedido]),PROXY!$P$2),0),0)</f>
        <v>0</v>
      </c>
      <c r="AP694" s="28">
        <f ca="1">IF('Banco de Dados'!$AK694&lt;&gt;"-",IF('Banco de Dados'!$AL694="NÃO",IFERROR(VALUE(SUBSTITUTE(_xlfn.TEXTAFTER('Banco de Dados'!$F694,"BRL ",1),".",",")),0),0),0)</f>
        <v>0</v>
      </c>
      <c r="AQ694" s="28">
        <f ca="1">SUM('Banco de Dados'!$AM694:$AP694)</f>
        <v>0</v>
      </c>
      <c r="AR694" s="8"/>
      <c r="AS694" s="8"/>
      <c r="AY694" s="8"/>
    </row>
    <row r="695" spans="1:51">
      <c r="A695" s="5" t="str">
        <v>BV</v>
      </c>
      <c r="B695" s="5" t="str">
        <f ca="1"/>
        <v>BV45659</v>
      </c>
      <c r="C695" s="8" t="str">
        <v>Pedido 682</v>
      </c>
      <c r="D695" s="9">
        <v>45659</v>
      </c>
      <c r="E695" s="9">
        <v>45659</v>
      </c>
      <c r="F695" s="8" t="str">
        <v>PedidoF664</v>
      </c>
      <c r="G695" s="2" t="str">
        <v>CódRastreio662</v>
      </c>
      <c r="H695" s="5">
        <v>1</v>
      </c>
      <c r="I695" s="182" t="str">
        <v>CPF 661</v>
      </c>
      <c r="J695" s="2" t="str">
        <v>Nome 661</v>
      </c>
      <c r="K695" s="8" t="str">
        <v>Tel 661</v>
      </c>
      <c r="L695" s="8" t="str">
        <v>Cep 661</v>
      </c>
      <c r="M695" s="8" t="str">
        <v>Rua 661</v>
      </c>
      <c r="N695" s="8" t="str">
        <v>Comp 661</v>
      </c>
      <c r="O695" s="8" t="str">
        <v>Karaoke portátil</v>
      </c>
      <c r="P695" s="8" t="str">
        <v>08-PAJ9-YM9P</v>
      </c>
      <c r="Q695" s="4">
        <v>45686</v>
      </c>
      <c r="R695" s="109">
        <v>62.9</v>
      </c>
      <c r="S695" s="11">
        <f ca="1"/>
        <v>62.9</v>
      </c>
      <c r="T695" s="28">
        <f ca="1"/>
        <v>9.4349999999999987</v>
      </c>
      <c r="U695" s="11">
        <f ca="1"/>
        <v>53.47</v>
      </c>
      <c r="V695" s="11">
        <v>16.57</v>
      </c>
      <c r="W695" s="11">
        <f ca="1"/>
        <v>0.16</v>
      </c>
      <c r="X695" s="11">
        <f ca="1"/>
        <v>0.39877104377104378</v>
      </c>
      <c r="Y695" s="11">
        <v>0</v>
      </c>
      <c r="Z695" s="11">
        <f ca="1"/>
        <v>36.341228956228953</v>
      </c>
      <c r="AA695" s="11">
        <f ca="1"/>
        <v>18.170614478114476</v>
      </c>
      <c r="AB695" s="4">
        <f ca="1"/>
        <v>45693</v>
      </c>
      <c r="AC695" s="4">
        <v>45693</v>
      </c>
      <c r="AD695" s="9">
        <v>45693</v>
      </c>
      <c r="AE695" s="9">
        <v>45705</v>
      </c>
      <c r="AF695" s="4" t="str">
        <f t="shared" ca="1" si="25"/>
        <v>2025 02</v>
      </c>
      <c r="AG695" s="8" t="str" cm="1">
        <f t="array" ref="AG695">IFERROR(_xlfn.IFS('Banco de Dados'!#REF!="AG. COMPRA","Em processamento",'Banco de Dados'!#REF!="AG. RASTREIO","Em processamento",'Banco de Dados'!$AE695&lt;&gt;"-","Faturado",'Banco de Dados'!$AD695&lt;&gt;"-","Aguardando Pix",'Banco de Dados'!$AC695&lt;&gt;"-","Pendente"),"Aguardando Liberação")</f>
        <v>Aguardando Liberação</v>
      </c>
      <c r="AH695" s="5" t="str">
        <f>IF('Banco de Dados'!$F695="-",_xlfn.CONCAT(PROPER(TEXT(AK695,"aaaa"))," ",PROPER(TEXT(AK695,"mm"))),_xlfn.CONCAT(PROPER(TEXT(E695,"aaaa"))," ",PROPER(TEXT(E695,"mm"))))</f>
        <v>2025 01</v>
      </c>
      <c r="AI695" s="9" t="str">
        <f ca="1">IF('Banco de Dados'!$AK695&lt;&gt;"-","REEMBOLSO",IFERROR(_xlfn.XLOOKUP(G695,Follow[CODRASTREIO],Follow[STATUS]),"-"))</f>
        <v>ENTREGUE</v>
      </c>
      <c r="AJ695" s="9">
        <f ca="1">IF('Banco de Dados'!$AI695="ENTREGUE",_xlfn.XLOOKUP('Banco de Dados'!$G695,Follow[CODRASTREIO],Follow[DATAATUALIZAÇÃO]),"-")</f>
        <v>45674</v>
      </c>
      <c r="AK695" s="9" t="str">
        <f ca="1"/>
        <v>-</v>
      </c>
      <c r="AL695" s="35"/>
      <c r="AM695" s="109" cm="1">
        <f t="array" aca="1" ref="AM695" ca="1">IF('Banco de Dados'!$AK695&lt;&gt;"-",_xlfn.IFS('Banco de Dados'!$A695="bv",IF('Banco de Dados'!$E695&lt;45641,ROUND(SUM('Banco de Dados'!$R695*_xlfn.XLOOKUP('Banco de Dados'!$P695,Sku!B:B,Sku!#REF!)*20%),2),ROUND(SUM('Banco de Dados'!$R695*_xlfn.XLOOKUP('Banco de Dados'!$P695,Sku!B:B,Sku!H:H)*20%),2)),'Banco de Dados'!$A695="GO",ROUND(_xlfn.XLOOKUP('Banco de Dados'!$P695,Sku!C:C,Sku!H:H),2),'Banco de Dados'!$A695="MEI",ROUND(_xlfn.XLOOKUP('Banco de Dados'!$P695,Sku!D:D,Sku!H:H),2)),0)</f>
        <v>0</v>
      </c>
      <c r="AN695" s="109">
        <f ca="1">IF('Banco de Dados'!$AK695&lt;&gt;"-",IF('Banco de Dados'!$F695&lt;&gt;"-",_xlfn.XLOOKUP(IFERROR(IFERROR(IFERROR(VALUE(SUBSTITUTE(MID(_xlfn.TEXTAFTER('Banco de Dados'!$F695,"Data do Pedido:
",1),1,10),"-","/")),VALUE(SUBSTITUTE(MID(_xlfn.TEXTAFTER('Banco de Dados'!$F695,"Order date:
",1),1,10),"-","/"))),VALUE(SUBSTITUTE(MID(_xlfn.TEXTAFTER('Banco de Dados'!$F695,"Fecha de pedido:
",1),1,10),"-","/"))),"-"),SMS!A:A,SMS!K:K),0),0)</f>
        <v>0</v>
      </c>
      <c r="AO695" s="109">
        <f ca="1">IF('Banco de Dados'!$AK695&lt;&gt;"-",IF('Banco de Dados'!$F695&lt;&gt;"-",IFERROR(_xlfn.XLOOKUP(_xlfn.CONCAT('Banco de Dados'!$A695,IFERROR(IFERROR(VALUE(SUBSTITUTE(MID(_xlfn.TEXTAFTER('Banco de Dados'!$F695,"Data do Pedido:
",1),1,10),"-","/")),VALUE(SUBSTITUTE(MID(_xlfn.TEXTAFTER('Banco de Dados'!$F695,"Order date:
",1),1,10),"-","/"))),0)),ProxyDD[Chave],ProxyDD[Valor por pedido]),PROXY!$P$2),0),0)</f>
        <v>0</v>
      </c>
      <c r="AP695" s="28">
        <f ca="1">IF('Banco de Dados'!$AK695&lt;&gt;"-",IF('Banco de Dados'!$AL695="NÃO",IFERROR(VALUE(SUBSTITUTE(_xlfn.TEXTAFTER('Banco de Dados'!$F695,"BRL ",1),".",",")),0),0),0)</f>
        <v>0</v>
      </c>
      <c r="AQ695" s="28">
        <f ca="1">SUM('Banco de Dados'!$AM695:$AP695)</f>
        <v>0</v>
      </c>
      <c r="AR695" s="8"/>
      <c r="AS695" s="8"/>
      <c r="AY695" s="8"/>
    </row>
    <row r="696" spans="1:51">
      <c r="A696" s="5" t="str">
        <v>BV</v>
      </c>
      <c r="B696" s="5" t="str">
        <f ca="1"/>
        <v>BV45659</v>
      </c>
      <c r="C696" s="8" t="str">
        <v>Pedido 683</v>
      </c>
      <c r="D696" s="9">
        <v>45659</v>
      </c>
      <c r="E696" s="9">
        <v>45659</v>
      </c>
      <c r="F696" s="8" t="str">
        <v>PedidoF665</v>
      </c>
      <c r="G696" s="2" t="str">
        <v>CódRastreio663</v>
      </c>
      <c r="H696" s="5">
        <v>1</v>
      </c>
      <c r="I696" s="182" t="str">
        <v>CPF 662</v>
      </c>
      <c r="J696" s="2" t="str">
        <v>Nome 662</v>
      </c>
      <c r="K696" s="8" t="str">
        <v>Tel 662</v>
      </c>
      <c r="L696" s="8" t="str">
        <v>Cep 662</v>
      </c>
      <c r="M696" s="8" t="str">
        <v>Rua 662</v>
      </c>
      <c r="N696" s="8" t="str">
        <v>Comp 662</v>
      </c>
      <c r="O696" s="8" t="str">
        <v>Ventilador Rosa</v>
      </c>
      <c r="P696" s="8" t="str">
        <v>IF-G2ZQ-79FO</v>
      </c>
      <c r="Q696" s="4">
        <v>45686</v>
      </c>
      <c r="R696" s="109">
        <v>49.4</v>
      </c>
      <c r="S696" s="11">
        <f ca="1"/>
        <v>49.4</v>
      </c>
      <c r="T696" s="28">
        <f ca="1"/>
        <v>6.4219999999999997</v>
      </c>
      <c r="U696" s="11">
        <f ca="1"/>
        <v>42.98</v>
      </c>
      <c r="V696" s="11">
        <v>10.18</v>
      </c>
      <c r="W696" s="11">
        <f ca="1"/>
        <v>0.16</v>
      </c>
      <c r="X696" s="11">
        <f ca="1"/>
        <v>0.39877104377104378</v>
      </c>
      <c r="Y696" s="11">
        <v>0</v>
      </c>
      <c r="Z696" s="11">
        <f ca="1"/>
        <v>32.241228956228952</v>
      </c>
      <c r="AA696" s="11">
        <f ca="1"/>
        <v>16.120614478114476</v>
      </c>
      <c r="AB696" s="4">
        <f ca="1"/>
        <v>45693</v>
      </c>
      <c r="AC696" s="4">
        <v>45693</v>
      </c>
      <c r="AD696" s="9">
        <v>45693</v>
      </c>
      <c r="AE696" s="9">
        <v>45705</v>
      </c>
      <c r="AF696" s="4" t="str">
        <f t="shared" ca="1" si="25"/>
        <v>2025 02</v>
      </c>
      <c r="AG696" s="8" t="str" cm="1">
        <f t="array" ref="AG696">IFERROR(_xlfn.IFS('Banco de Dados'!#REF!="AG. COMPRA","Em processamento",'Banco de Dados'!#REF!="AG. RASTREIO","Em processamento",'Banco de Dados'!$AE696&lt;&gt;"-","Faturado",'Banco de Dados'!$AD696&lt;&gt;"-","Aguardando Pix",'Banco de Dados'!$AC696&lt;&gt;"-","Pendente"),"Aguardando Liberação")</f>
        <v>Aguardando Liberação</v>
      </c>
      <c r="AH696" s="5" t="str">
        <f>IF('Banco de Dados'!$F696="-",_xlfn.CONCAT(PROPER(TEXT(AK696,"aaaa"))," ",PROPER(TEXT(AK696,"mm"))),_xlfn.CONCAT(PROPER(TEXT(E696,"aaaa"))," ",PROPER(TEXT(E696,"mm"))))</f>
        <v>2025 01</v>
      </c>
      <c r="AI696" s="9" t="str">
        <f ca="1">IF('Banco de Dados'!$AK696&lt;&gt;"-","REEMBOLSO",IFERROR(_xlfn.XLOOKUP(G696,Follow[CODRASTREIO],Follow[STATUS]),"-"))</f>
        <v>ENTREGUE</v>
      </c>
      <c r="AJ696" s="9">
        <f ca="1">IF('Banco de Dados'!$AI696="ENTREGUE",_xlfn.XLOOKUP('Banco de Dados'!$G696,Follow[CODRASTREIO],Follow[DATAATUALIZAÇÃO]),"-")</f>
        <v>45672</v>
      </c>
      <c r="AK696" s="9" t="str">
        <f ca="1"/>
        <v>-</v>
      </c>
      <c r="AL696" s="35"/>
      <c r="AM696" s="109" cm="1">
        <f t="array" aca="1" ref="AM696" ca="1">IF('Banco de Dados'!$AK696&lt;&gt;"-",_xlfn.IFS('Banco de Dados'!$A696="bv",IF('Banco de Dados'!$E696&lt;45641,ROUND(SUM('Banco de Dados'!$R696*_xlfn.XLOOKUP('Banco de Dados'!$P696,Sku!B:B,Sku!#REF!)*20%),2),ROUND(SUM('Banco de Dados'!$R696*_xlfn.XLOOKUP('Banco de Dados'!$P696,Sku!B:B,Sku!H:H)*20%),2)),'Banco de Dados'!$A696="GO",ROUND(_xlfn.XLOOKUP('Banco de Dados'!$P696,Sku!C:C,Sku!H:H),2),'Banco de Dados'!$A696="MEI",ROUND(_xlfn.XLOOKUP('Banco de Dados'!$P696,Sku!D:D,Sku!H:H),2)),0)</f>
        <v>0</v>
      </c>
      <c r="AN696" s="109">
        <f ca="1">IF('Banco de Dados'!$AK696&lt;&gt;"-",IF('Banco de Dados'!$F696&lt;&gt;"-",_xlfn.XLOOKUP(IFERROR(IFERROR(IFERROR(VALUE(SUBSTITUTE(MID(_xlfn.TEXTAFTER('Banco de Dados'!$F696,"Data do Pedido:
",1),1,10),"-","/")),VALUE(SUBSTITUTE(MID(_xlfn.TEXTAFTER('Banco de Dados'!$F696,"Order date:
",1),1,10),"-","/"))),VALUE(SUBSTITUTE(MID(_xlfn.TEXTAFTER('Banco de Dados'!$F696,"Fecha de pedido:
",1),1,10),"-","/"))),"-"),SMS!A:A,SMS!K:K),0),0)</f>
        <v>0</v>
      </c>
      <c r="AO696" s="109">
        <f ca="1">IF('Banco de Dados'!$AK696&lt;&gt;"-",IF('Banco de Dados'!$F696&lt;&gt;"-",IFERROR(_xlfn.XLOOKUP(_xlfn.CONCAT('Banco de Dados'!$A696,IFERROR(IFERROR(VALUE(SUBSTITUTE(MID(_xlfn.TEXTAFTER('Banco de Dados'!$F696,"Data do Pedido:
",1),1,10),"-","/")),VALUE(SUBSTITUTE(MID(_xlfn.TEXTAFTER('Banco de Dados'!$F696,"Order date:
",1),1,10),"-","/"))),0)),ProxyDD[Chave],ProxyDD[Valor por pedido]),PROXY!$P$2),0),0)</f>
        <v>0</v>
      </c>
      <c r="AP696" s="28">
        <f ca="1">IF('Banco de Dados'!$AK696&lt;&gt;"-",IF('Banco de Dados'!$AL696="NÃO",IFERROR(VALUE(SUBSTITUTE(_xlfn.TEXTAFTER('Banco de Dados'!$F696,"BRL ",1),".",",")),0),0),0)</f>
        <v>0</v>
      </c>
      <c r="AQ696" s="28">
        <f ca="1">SUM('Banco de Dados'!$AM696:$AP696)</f>
        <v>0</v>
      </c>
      <c r="AR696" s="8"/>
      <c r="AS696" s="8"/>
      <c r="AY696" s="8"/>
    </row>
    <row r="697" spans="1:51">
      <c r="A697" s="5" t="str">
        <v>BV</v>
      </c>
      <c r="B697" s="5" t="str">
        <f ca="1"/>
        <v>BV45659</v>
      </c>
      <c r="C697" s="8" t="str">
        <v>Pedido 684</v>
      </c>
      <c r="D697" s="9">
        <v>45659</v>
      </c>
      <c r="E697" s="9">
        <v>45659</v>
      </c>
      <c r="F697" s="8" t="str">
        <v>PedidoF666</v>
      </c>
      <c r="G697" s="2" t="str">
        <v>CódRastreio664</v>
      </c>
      <c r="H697" s="5">
        <v>1</v>
      </c>
      <c r="I697" s="182" t="str">
        <v>CPF 663</v>
      </c>
      <c r="J697" s="2" t="str">
        <v>Nome 663</v>
      </c>
      <c r="K697" s="8" t="str">
        <v>Tel 663</v>
      </c>
      <c r="L697" s="8" t="str">
        <v>Cep 663</v>
      </c>
      <c r="M697" s="8" t="str">
        <v>Rua 663</v>
      </c>
      <c r="N697" s="8" t="str">
        <v>Comp 663</v>
      </c>
      <c r="O697" s="8" t="str">
        <v>Ventilador Preto</v>
      </c>
      <c r="P697" s="8" t="str">
        <v>MU-J80P-95WF</v>
      </c>
      <c r="Q697" s="4">
        <v>45693</v>
      </c>
      <c r="R697" s="109">
        <v>65.599999999999994</v>
      </c>
      <c r="S697" s="11">
        <f ca="1"/>
        <v>65.599999999999994</v>
      </c>
      <c r="T697" s="28">
        <f ca="1"/>
        <v>8.5279999999999987</v>
      </c>
      <c r="U697" s="11">
        <f ca="1"/>
        <v>57.07</v>
      </c>
      <c r="V697" s="11">
        <v>10.18</v>
      </c>
      <c r="W697" s="11">
        <f ca="1"/>
        <v>0.16</v>
      </c>
      <c r="X697" s="11">
        <f ca="1"/>
        <v>0.39877104377104378</v>
      </c>
      <c r="Y697" s="11">
        <v>0</v>
      </c>
      <c r="Z697" s="11">
        <f ca="1"/>
        <v>46.331228956228955</v>
      </c>
      <c r="AA697" s="11">
        <f ca="1"/>
        <v>23.165614478114477</v>
      </c>
      <c r="AB697" s="4">
        <f ca="1"/>
        <v>45700</v>
      </c>
      <c r="AC697" s="4">
        <v>45700</v>
      </c>
      <c r="AD697" s="9">
        <v>45702</v>
      </c>
      <c r="AE697" s="9">
        <v>45705</v>
      </c>
      <c r="AF697" s="4" t="str">
        <f ca="1">_xlfn.CONCAT(PROPER(TEXT(AB697,"aaaa"))," ",PROPER(TEXT(AB697,"mm")))</f>
        <v>2025 02</v>
      </c>
      <c r="AG697" s="8" t="str" cm="1">
        <f t="array" ref="AG697">IFERROR(_xlfn.IFS('Banco de Dados'!#REF!="AG. COMPRA","Em processamento",'Banco de Dados'!#REF!="AG. RASTREIO","Em processamento",'Banco de Dados'!$AE697&lt;&gt;"-","Faturado",'Banco de Dados'!$AD697&lt;&gt;"-","Aguardando Pix",'Banco de Dados'!$AC697&lt;&gt;"-","Pendente"),"Aguardando Liberação")</f>
        <v>Aguardando Liberação</v>
      </c>
      <c r="AH697" s="5" t="str">
        <f>IF('Banco de Dados'!$F697="-",_xlfn.CONCAT(PROPER(TEXT(AK697,"aaaa"))," ",PROPER(TEXT(AK697,"mm"))),_xlfn.CONCAT(PROPER(TEXT(E697,"aaaa"))," ",PROPER(TEXT(E697,"mm"))))</f>
        <v>2025 01</v>
      </c>
      <c r="AI697" s="9" t="str">
        <f ca="1">IF('Banco de Dados'!$AK697&lt;&gt;"-","REEMBOLSO",IFERROR(_xlfn.XLOOKUP(G697,Follow[CODRASTREIO],Follow[STATUS]),"-"))</f>
        <v>ENTREGUE</v>
      </c>
      <c r="AJ697" s="9">
        <f ca="1">IF('Banco de Dados'!$AI697="ENTREGUE",_xlfn.XLOOKUP('Banco de Dados'!$G697,Follow[CODRASTREIO],Follow[DATAATUALIZAÇÃO]),"-")</f>
        <v>45687</v>
      </c>
      <c r="AK697" s="9" t="str">
        <f ca="1"/>
        <v>-</v>
      </c>
      <c r="AL697" s="35"/>
      <c r="AM697" s="109" cm="1">
        <f t="array" aca="1" ref="AM697" ca="1">IF('Banco de Dados'!$AK697&lt;&gt;"-",_xlfn.IFS('Banco de Dados'!$A697="bv",IF('Banco de Dados'!$E697&lt;45641,ROUND(SUM('Banco de Dados'!$R697*_xlfn.XLOOKUP('Banco de Dados'!$P697,Sku!B:B,Sku!#REF!)*20%),2),ROUND(SUM('Banco de Dados'!$R697*_xlfn.XLOOKUP('Banco de Dados'!$P697,Sku!B:B,Sku!H:H)*20%),2)),'Banco de Dados'!$A697="GO",ROUND(_xlfn.XLOOKUP('Banco de Dados'!$P697,Sku!C:C,Sku!H:H),2),'Banco de Dados'!$A697="MEI",ROUND(_xlfn.XLOOKUP('Banco de Dados'!$P697,Sku!D:D,Sku!H:H),2)),0)</f>
        <v>0</v>
      </c>
      <c r="AN697" s="109">
        <f ca="1">IF('Banco de Dados'!$AK697&lt;&gt;"-",IF('Banco de Dados'!$F697&lt;&gt;"-",_xlfn.XLOOKUP(IFERROR(IFERROR(IFERROR(VALUE(SUBSTITUTE(MID(_xlfn.TEXTAFTER('Banco de Dados'!$F697,"Data do Pedido:
",1),1,10),"-","/")),VALUE(SUBSTITUTE(MID(_xlfn.TEXTAFTER('Banco de Dados'!$F697,"Order date:
",1),1,10),"-","/"))),VALUE(SUBSTITUTE(MID(_xlfn.TEXTAFTER('Banco de Dados'!$F697,"Fecha de pedido:
",1),1,10),"-","/"))),"-"),SMS!A:A,SMS!K:K),0),0)</f>
        <v>0</v>
      </c>
      <c r="AO697" s="109">
        <f ca="1">IF('Banco de Dados'!$AK697&lt;&gt;"-",IF('Banco de Dados'!$F697&lt;&gt;"-",IFERROR(_xlfn.XLOOKUP(_xlfn.CONCAT('Banco de Dados'!$A697,IFERROR(IFERROR(VALUE(SUBSTITUTE(MID(_xlfn.TEXTAFTER('Banco de Dados'!$F697,"Data do Pedido:
",1),1,10),"-","/")),VALUE(SUBSTITUTE(MID(_xlfn.TEXTAFTER('Banco de Dados'!$F697,"Order date:
",1),1,10),"-","/"))),0)),ProxyDD[Chave],ProxyDD[Valor por pedido]),PROXY!$P$2),0),0)</f>
        <v>0</v>
      </c>
      <c r="AP697" s="28">
        <f ca="1">IF('Banco de Dados'!$AK697&lt;&gt;"-",IF('Banco de Dados'!$AL697="NÃO",IFERROR(VALUE(SUBSTITUTE(_xlfn.TEXTAFTER('Banco de Dados'!$F697,"BRL ",1),".",",")),0),0),0)</f>
        <v>0</v>
      </c>
      <c r="AQ697" s="28">
        <f ca="1">SUM('Banco de Dados'!$AM697:$AP697)</f>
        <v>0</v>
      </c>
      <c r="AR697" s="8"/>
      <c r="AS697" s="8"/>
      <c r="AY697" s="8"/>
    </row>
    <row r="698" spans="1:51">
      <c r="A698" s="5" t="str">
        <v>BV</v>
      </c>
      <c r="B698" s="5" t="str">
        <f ca="1"/>
        <v>BV45660</v>
      </c>
      <c r="C698" s="8" t="str">
        <v>Pedido 685</v>
      </c>
      <c r="D698" s="9">
        <v>45660</v>
      </c>
      <c r="E698" s="9">
        <v>45660</v>
      </c>
      <c r="F698" s="8" t="str">
        <v>PedidoF667</v>
      </c>
      <c r="G698" s="2" t="str">
        <v>CódRastreio665</v>
      </c>
      <c r="H698" s="5">
        <v>1</v>
      </c>
      <c r="I698" s="182" t="str">
        <v>CPF 664</v>
      </c>
      <c r="J698" s="2" t="str">
        <v>Nome 664</v>
      </c>
      <c r="K698" s="8" t="str">
        <v>Tel 664</v>
      </c>
      <c r="L698" s="8" t="str">
        <v>Cep 664</v>
      </c>
      <c r="M698" s="8" t="str">
        <v>Rua 664</v>
      </c>
      <c r="N698" s="8" t="str">
        <v>Comp 664</v>
      </c>
      <c r="O698" s="8" t="str">
        <v>Ventilador Preto</v>
      </c>
      <c r="P698" s="8" t="str">
        <v>MU-J80P-95WF</v>
      </c>
      <c r="Q698" s="4">
        <v>45680</v>
      </c>
      <c r="R698" s="109">
        <v>65.599999999999994</v>
      </c>
      <c r="S698" s="11">
        <f ca="1"/>
        <v>65.599999999999994</v>
      </c>
      <c r="T698" s="28">
        <f ca="1"/>
        <v>8.5279999999999987</v>
      </c>
      <c r="U698" s="11">
        <f ca="1"/>
        <v>57.07</v>
      </c>
      <c r="V698" s="11">
        <v>10.15</v>
      </c>
      <c r="W698" s="11">
        <f ca="1"/>
        <v>0.23</v>
      </c>
      <c r="X698" s="11">
        <f ca="1"/>
        <v>0.39877104377104378</v>
      </c>
      <c r="Y698" s="11">
        <v>0</v>
      </c>
      <c r="Z698" s="11">
        <f ca="1"/>
        <v>46.291228956228956</v>
      </c>
      <c r="AA698" s="11">
        <f ca="1"/>
        <v>23.145614478114478</v>
      </c>
      <c r="AB698" s="4">
        <f ca="1"/>
        <v>45687</v>
      </c>
      <c r="AC698" s="4">
        <v>45687</v>
      </c>
      <c r="AD698" s="9">
        <v>45688</v>
      </c>
      <c r="AE698" s="9">
        <v>45694</v>
      </c>
      <c r="AF698" s="4" t="str">
        <f t="shared" ref="AF698:AF713" ca="1" si="26">_xlfn.CONCAT(PROPER(TEXT(AB698,"aaaa"))," ",PROPER(TEXT(AB698,"mm")))</f>
        <v>2025 01</v>
      </c>
      <c r="AG698" s="8" t="str" cm="1">
        <f t="array" ref="AG698">IFERROR(_xlfn.IFS('Banco de Dados'!#REF!="AG. COMPRA","Em processamento",'Banco de Dados'!#REF!="AG. RASTREIO","Em processamento",'Banco de Dados'!$AE698&lt;&gt;"-","Faturado",'Banco de Dados'!$AD698&lt;&gt;"-","Aguardando Pix",'Banco de Dados'!$AC698&lt;&gt;"-","Pendente"),"Aguardando Liberação")</f>
        <v>Aguardando Liberação</v>
      </c>
      <c r="AH698" s="5" t="str">
        <f>IF('Banco de Dados'!$F698="-",_xlfn.CONCAT(PROPER(TEXT(AK698,"aaaa"))," ",PROPER(TEXT(AK698,"mm"))),_xlfn.CONCAT(PROPER(TEXT(E698,"aaaa"))," ",PROPER(TEXT(E698,"mm"))))</f>
        <v>2025 01</v>
      </c>
      <c r="AI698" s="9" t="str">
        <f ca="1">IF('Banco de Dados'!$AK698&lt;&gt;"-","REEMBOLSO",IFERROR(_xlfn.XLOOKUP(G698,Follow[CODRASTREIO],Follow[STATUS]),"-"))</f>
        <v>ENTREGUE</v>
      </c>
      <c r="AJ698" s="9">
        <f ca="1">IF('Banco de Dados'!$AI698="ENTREGUE",_xlfn.XLOOKUP('Banco de Dados'!$G698,Follow[CODRASTREIO],Follow[DATAATUALIZAÇÃO]),"-")</f>
        <v>45667</v>
      </c>
      <c r="AK698" s="9" t="str">
        <f ca="1"/>
        <v>-</v>
      </c>
      <c r="AL698" s="35"/>
      <c r="AM698" s="109" cm="1">
        <f t="array" aca="1" ref="AM698" ca="1">IF('Banco de Dados'!$AK698&lt;&gt;"-",_xlfn.IFS('Banco de Dados'!$A698="bv",IF('Banco de Dados'!$E698&lt;45641,ROUND(SUM('Banco de Dados'!$R698*_xlfn.XLOOKUP('Banco de Dados'!$P698,Sku!B:B,Sku!#REF!)*20%),2),ROUND(SUM('Banco de Dados'!$R698*_xlfn.XLOOKUP('Banco de Dados'!$P698,Sku!B:B,Sku!H:H)*20%),2)),'Banco de Dados'!$A698="GO",ROUND(_xlfn.XLOOKUP('Banco de Dados'!$P698,Sku!C:C,Sku!H:H),2),'Banco de Dados'!$A698="MEI",ROUND(_xlfn.XLOOKUP('Banco de Dados'!$P698,Sku!D:D,Sku!H:H),2)),0)</f>
        <v>0</v>
      </c>
      <c r="AN698" s="109">
        <f ca="1">IF('Banco de Dados'!$AK698&lt;&gt;"-",IF('Banco de Dados'!$F698&lt;&gt;"-",_xlfn.XLOOKUP(IFERROR(IFERROR(IFERROR(VALUE(SUBSTITUTE(MID(_xlfn.TEXTAFTER('Banco de Dados'!$F698,"Data do Pedido:
",1),1,10),"-","/")),VALUE(SUBSTITUTE(MID(_xlfn.TEXTAFTER('Banco de Dados'!$F698,"Order date:
",1),1,10),"-","/"))),VALUE(SUBSTITUTE(MID(_xlfn.TEXTAFTER('Banco de Dados'!$F698,"Fecha de pedido:
",1),1,10),"-","/"))),"-"),SMS!A:A,SMS!K:K),0),0)</f>
        <v>0</v>
      </c>
      <c r="AO698" s="109">
        <f ca="1">IF('Banco de Dados'!$AK698&lt;&gt;"-",IF('Banco de Dados'!$F698&lt;&gt;"-",IFERROR(_xlfn.XLOOKUP(_xlfn.CONCAT('Banco de Dados'!$A698,IFERROR(IFERROR(VALUE(SUBSTITUTE(MID(_xlfn.TEXTAFTER('Banco de Dados'!$F698,"Data do Pedido:
",1),1,10),"-","/")),VALUE(SUBSTITUTE(MID(_xlfn.TEXTAFTER('Banco de Dados'!$F698,"Order date:
",1),1,10),"-","/"))),0)),ProxyDD[Chave],ProxyDD[Valor por pedido]),PROXY!$P$2),0),0)</f>
        <v>0</v>
      </c>
      <c r="AP698" s="28">
        <f ca="1">IF('Banco de Dados'!$AK698&lt;&gt;"-",IF('Banco de Dados'!$AL698="NÃO",IFERROR(VALUE(SUBSTITUTE(_xlfn.TEXTAFTER('Banco de Dados'!$F698,"BRL ",1),".",",")),0),0),0)</f>
        <v>0</v>
      </c>
      <c r="AQ698" s="28">
        <f ca="1">SUM('Banco de Dados'!$AM698:$AP698)</f>
        <v>0</v>
      </c>
      <c r="AR698" s="8"/>
      <c r="AS698" s="8"/>
      <c r="AY698" s="8"/>
    </row>
    <row r="699" spans="1:51">
      <c r="A699" s="5" t="str">
        <v>BV</v>
      </c>
      <c r="B699" s="5" t="str">
        <f ca="1"/>
        <v>BV45660</v>
      </c>
      <c r="C699" s="8" t="str">
        <v>Pedido 686</v>
      </c>
      <c r="D699" s="9">
        <v>45660</v>
      </c>
      <c r="E699" s="9">
        <v>45660</v>
      </c>
      <c r="F699" s="8" t="str">
        <v>PedidoF668</v>
      </c>
      <c r="G699" s="2" t="str">
        <v>CódRastreio666</v>
      </c>
      <c r="H699" s="5">
        <v>1</v>
      </c>
      <c r="I699" s="182" t="str">
        <v>CPF 665</v>
      </c>
      <c r="J699" s="2" t="str">
        <v>Nome 665</v>
      </c>
      <c r="K699" s="8" t="str">
        <v>Tel 665</v>
      </c>
      <c r="L699" s="8" t="str">
        <v>Cep 665</v>
      </c>
      <c r="M699" s="8" t="str">
        <v>Rua 665</v>
      </c>
      <c r="N699" s="8" t="str">
        <v>Comp 665</v>
      </c>
      <c r="O699" s="8" t="str">
        <v>Ventilador Rosa</v>
      </c>
      <c r="P699" s="8" t="str">
        <v>IF-G2ZQ-79FO</v>
      </c>
      <c r="Q699" s="4">
        <v>45686</v>
      </c>
      <c r="R699" s="109">
        <v>46.9</v>
      </c>
      <c r="S699" s="11">
        <f ca="1"/>
        <v>46.9</v>
      </c>
      <c r="T699" s="28">
        <f ca="1"/>
        <v>6.0970000000000004</v>
      </c>
      <c r="U699" s="11">
        <f ca="1"/>
        <v>40.799999999999997</v>
      </c>
      <c r="V699" s="11">
        <v>13.25</v>
      </c>
      <c r="W699" s="11">
        <f ca="1"/>
        <v>0.23</v>
      </c>
      <c r="X699" s="11">
        <f ca="1"/>
        <v>0.39877104377104378</v>
      </c>
      <c r="Y699" s="11">
        <v>0</v>
      </c>
      <c r="Z699" s="11">
        <f ca="1"/>
        <v>26.921228956228951</v>
      </c>
      <c r="AA699" s="11">
        <f ca="1"/>
        <v>13.460614478114476</v>
      </c>
      <c r="AB699" s="4">
        <f ca="1"/>
        <v>45693</v>
      </c>
      <c r="AC699" s="4">
        <v>45693</v>
      </c>
      <c r="AD699" s="9">
        <v>45693</v>
      </c>
      <c r="AE699" s="9">
        <v>45705</v>
      </c>
      <c r="AF699" s="4" t="str">
        <f t="shared" ca="1" si="26"/>
        <v>2025 02</v>
      </c>
      <c r="AG699" s="8" t="str" cm="1">
        <f t="array" ref="AG699">IFERROR(_xlfn.IFS('Banco de Dados'!#REF!="AG. COMPRA","Em processamento",'Banco de Dados'!#REF!="AG. RASTREIO","Em processamento",'Banco de Dados'!$AE699&lt;&gt;"-","Faturado",'Banco de Dados'!$AD699&lt;&gt;"-","Aguardando Pix",'Banco de Dados'!$AC699&lt;&gt;"-","Pendente"),"Aguardando Liberação")</f>
        <v>Aguardando Liberação</v>
      </c>
      <c r="AH699" s="5" t="str">
        <f>IF('Banco de Dados'!$F699="-",_xlfn.CONCAT(PROPER(TEXT(AK699,"aaaa"))," ",PROPER(TEXT(AK699,"mm"))),_xlfn.CONCAT(PROPER(TEXT(E699,"aaaa"))," ",PROPER(TEXT(E699,"mm"))))</f>
        <v>2025 01</v>
      </c>
      <c r="AI699" s="9" t="str">
        <f ca="1">IF('Banco de Dados'!$AK699&lt;&gt;"-","REEMBOLSO",IFERROR(_xlfn.XLOOKUP(G699,Follow[CODRASTREIO],Follow[STATUS]),"-"))</f>
        <v>ENTREGUE</v>
      </c>
      <c r="AJ699" s="9">
        <f ca="1">IF('Banco de Dados'!$AI699="ENTREGUE",_xlfn.XLOOKUP('Banco de Dados'!$G699,Follow[CODRASTREIO],Follow[DATAATUALIZAÇÃO]),"-")</f>
        <v>45677</v>
      </c>
      <c r="AK699" s="9" t="str">
        <f ca="1"/>
        <v>-</v>
      </c>
      <c r="AL699" s="35"/>
      <c r="AM699" s="109" cm="1">
        <f t="array" aca="1" ref="AM699" ca="1">IF('Banco de Dados'!$AK699&lt;&gt;"-",_xlfn.IFS('Banco de Dados'!$A699="bv",IF('Banco de Dados'!$E699&lt;45641,ROUND(SUM('Banco de Dados'!$R699*_xlfn.XLOOKUP('Banco de Dados'!$P699,Sku!B:B,Sku!#REF!)*20%),2),ROUND(SUM('Banco de Dados'!$R699*_xlfn.XLOOKUP('Banco de Dados'!$P699,Sku!B:B,Sku!H:H)*20%),2)),'Banco de Dados'!$A699="GO",ROUND(_xlfn.XLOOKUP('Banco de Dados'!$P699,Sku!C:C,Sku!H:H),2),'Banco de Dados'!$A699="MEI",ROUND(_xlfn.XLOOKUP('Banco de Dados'!$P699,Sku!D:D,Sku!H:H),2)),0)</f>
        <v>0</v>
      </c>
      <c r="AN699" s="109">
        <f ca="1">IF('Banco de Dados'!$AK699&lt;&gt;"-",IF('Banco de Dados'!$F699&lt;&gt;"-",_xlfn.XLOOKUP(IFERROR(IFERROR(IFERROR(VALUE(SUBSTITUTE(MID(_xlfn.TEXTAFTER('Banco de Dados'!$F699,"Data do Pedido:
",1),1,10),"-","/")),VALUE(SUBSTITUTE(MID(_xlfn.TEXTAFTER('Banco de Dados'!$F699,"Order date:
",1),1,10),"-","/"))),VALUE(SUBSTITUTE(MID(_xlfn.TEXTAFTER('Banco de Dados'!$F699,"Fecha de pedido:
",1),1,10),"-","/"))),"-"),SMS!A:A,SMS!K:K),0),0)</f>
        <v>0</v>
      </c>
      <c r="AO699" s="109">
        <f ca="1">IF('Banco de Dados'!$AK699&lt;&gt;"-",IF('Banco de Dados'!$F699&lt;&gt;"-",IFERROR(_xlfn.XLOOKUP(_xlfn.CONCAT('Banco de Dados'!$A699,IFERROR(IFERROR(VALUE(SUBSTITUTE(MID(_xlfn.TEXTAFTER('Banco de Dados'!$F699,"Data do Pedido:
",1),1,10),"-","/")),VALUE(SUBSTITUTE(MID(_xlfn.TEXTAFTER('Banco de Dados'!$F699,"Order date:
",1),1,10),"-","/"))),0)),ProxyDD[Chave],ProxyDD[Valor por pedido]),PROXY!$P$2),0),0)</f>
        <v>0</v>
      </c>
      <c r="AP699" s="28">
        <f ca="1">IF('Banco de Dados'!$AK699&lt;&gt;"-",IF('Banco de Dados'!$AL699="NÃO",IFERROR(VALUE(SUBSTITUTE(_xlfn.TEXTAFTER('Banco de Dados'!$F699,"BRL ",1),".",",")),0),0),0)</f>
        <v>0</v>
      </c>
      <c r="AQ699" s="28">
        <f ca="1">SUM('Banco de Dados'!$AM699:$AP699)</f>
        <v>0</v>
      </c>
      <c r="AR699" s="8"/>
      <c r="AS699" s="8"/>
      <c r="AY699" s="8"/>
    </row>
    <row r="700" spans="1:51">
      <c r="A700" s="5" t="str">
        <v>BV</v>
      </c>
      <c r="B700" s="5" t="str">
        <f ca="1"/>
        <v>BV45660</v>
      </c>
      <c r="C700" s="8" t="str">
        <v>Pedido 687</v>
      </c>
      <c r="D700" s="9">
        <v>45660</v>
      </c>
      <c r="E700" s="9">
        <v>45660</v>
      </c>
      <c r="F700" s="8" t="str">
        <v>PedidoF669</v>
      </c>
      <c r="G700" s="2" t="str">
        <v>CódRastreio667</v>
      </c>
      <c r="H700" s="5">
        <v>1</v>
      </c>
      <c r="I700" s="182" t="str">
        <v>CPF 666</v>
      </c>
      <c r="J700" s="2" t="str">
        <v>Nome 666</v>
      </c>
      <c r="K700" s="8" t="str">
        <v>Tel 666</v>
      </c>
      <c r="L700" s="8" t="str">
        <v>Cep 666</v>
      </c>
      <c r="M700" s="8" t="str">
        <v>Rua 666</v>
      </c>
      <c r="N700" s="8" t="str">
        <v>Comp 666</v>
      </c>
      <c r="O700" s="8" t="str">
        <v>Ventilador Preto</v>
      </c>
      <c r="P700" s="8" t="str">
        <v>MU-J80P-95WF</v>
      </c>
      <c r="Q700" s="4">
        <v>45687</v>
      </c>
      <c r="R700" s="109">
        <v>65.599999999999994</v>
      </c>
      <c r="S700" s="11">
        <f ca="1"/>
        <v>65.599999999999994</v>
      </c>
      <c r="T700" s="28">
        <f ca="1"/>
        <v>8.5279999999999987</v>
      </c>
      <c r="U700" s="11">
        <f ca="1"/>
        <v>57.07</v>
      </c>
      <c r="V700" s="11">
        <v>10.15</v>
      </c>
      <c r="W700" s="11">
        <f ca="1"/>
        <v>0.23</v>
      </c>
      <c r="X700" s="11">
        <f ca="1"/>
        <v>0.39877104377104378</v>
      </c>
      <c r="Y700" s="11">
        <v>0</v>
      </c>
      <c r="Z700" s="11">
        <f ca="1"/>
        <v>46.291228956228956</v>
      </c>
      <c r="AA700" s="11">
        <f ca="1"/>
        <v>23.145614478114478</v>
      </c>
      <c r="AB700" s="4">
        <f ca="1"/>
        <v>45694</v>
      </c>
      <c r="AC700" s="4">
        <v>45694</v>
      </c>
      <c r="AD700" s="9">
        <v>45694</v>
      </c>
      <c r="AE700" s="9">
        <v>45705</v>
      </c>
      <c r="AF700" s="4" t="str">
        <f t="shared" ca="1" si="26"/>
        <v>2025 02</v>
      </c>
      <c r="AG700" s="8" t="str" cm="1">
        <f t="array" ref="AG700">IFERROR(_xlfn.IFS('Banco de Dados'!#REF!="AG. COMPRA","Em processamento",'Banco de Dados'!#REF!="AG. RASTREIO","Em processamento",'Banco de Dados'!$AE700&lt;&gt;"-","Faturado",'Banco de Dados'!$AD700&lt;&gt;"-","Aguardando Pix",'Banco de Dados'!$AC700&lt;&gt;"-","Pendente"),"Aguardando Liberação")</f>
        <v>Aguardando Liberação</v>
      </c>
      <c r="AH700" s="5" t="str">
        <f>IF('Banco de Dados'!$F700="-",_xlfn.CONCAT(PROPER(TEXT(AK700,"aaaa"))," ",PROPER(TEXT(AK700,"mm"))),_xlfn.CONCAT(PROPER(TEXT(E700,"aaaa"))," ",PROPER(TEXT(E700,"mm"))))</f>
        <v>2025 01</v>
      </c>
      <c r="AI700" s="9" t="str">
        <f ca="1">IF('Banco de Dados'!$AK700&lt;&gt;"-","REEMBOLSO",IFERROR(_xlfn.XLOOKUP(G700,Follow[CODRASTREIO],Follow[STATUS]),"-"))</f>
        <v>ENTREGUE</v>
      </c>
      <c r="AJ700" s="9">
        <f ca="1">IF('Banco de Dados'!$AI700="ENTREGUE",_xlfn.XLOOKUP('Banco de Dados'!$G700,Follow[CODRASTREIO],Follow[DATAATUALIZAÇÃO]),"-")</f>
        <v>45677</v>
      </c>
      <c r="AK700" s="9" t="str">
        <f ca="1"/>
        <v>-</v>
      </c>
      <c r="AL700" s="35"/>
      <c r="AM700" s="109" cm="1">
        <f t="array" aca="1" ref="AM700" ca="1">IF('Banco de Dados'!$AK700&lt;&gt;"-",_xlfn.IFS('Banco de Dados'!$A700="bv",IF('Banco de Dados'!$E700&lt;45641,ROUND(SUM('Banco de Dados'!$R700*_xlfn.XLOOKUP('Banco de Dados'!$P700,Sku!B:B,Sku!#REF!)*20%),2),ROUND(SUM('Banco de Dados'!$R700*_xlfn.XLOOKUP('Banco de Dados'!$P700,Sku!B:B,Sku!H:H)*20%),2)),'Banco de Dados'!$A700="GO",ROUND(_xlfn.XLOOKUP('Banco de Dados'!$P700,Sku!C:C,Sku!H:H),2),'Banco de Dados'!$A700="MEI",ROUND(_xlfn.XLOOKUP('Banco de Dados'!$P700,Sku!D:D,Sku!H:H),2)),0)</f>
        <v>0</v>
      </c>
      <c r="AN700" s="109">
        <f ca="1">IF('Banco de Dados'!$AK700&lt;&gt;"-",IF('Banco de Dados'!$F700&lt;&gt;"-",_xlfn.XLOOKUP(IFERROR(IFERROR(IFERROR(VALUE(SUBSTITUTE(MID(_xlfn.TEXTAFTER('Banco de Dados'!$F700,"Data do Pedido:
",1),1,10),"-","/")),VALUE(SUBSTITUTE(MID(_xlfn.TEXTAFTER('Banco de Dados'!$F700,"Order date:
",1),1,10),"-","/"))),VALUE(SUBSTITUTE(MID(_xlfn.TEXTAFTER('Banco de Dados'!$F700,"Fecha de pedido:
",1),1,10),"-","/"))),"-"),SMS!A:A,SMS!K:K),0),0)</f>
        <v>0</v>
      </c>
      <c r="AO700" s="109">
        <f ca="1">IF('Banco de Dados'!$AK700&lt;&gt;"-",IF('Banco de Dados'!$F700&lt;&gt;"-",IFERROR(_xlfn.XLOOKUP(_xlfn.CONCAT('Banco de Dados'!$A700,IFERROR(IFERROR(VALUE(SUBSTITUTE(MID(_xlfn.TEXTAFTER('Banco de Dados'!$F700,"Data do Pedido:
",1),1,10),"-","/")),VALUE(SUBSTITUTE(MID(_xlfn.TEXTAFTER('Banco de Dados'!$F700,"Order date:
",1),1,10),"-","/"))),0)),ProxyDD[Chave],ProxyDD[Valor por pedido]),PROXY!$P$2),0),0)</f>
        <v>0</v>
      </c>
      <c r="AP700" s="28">
        <f ca="1">IF('Banco de Dados'!$AK700&lt;&gt;"-",IF('Banco de Dados'!$AL700="NÃO",IFERROR(VALUE(SUBSTITUTE(_xlfn.TEXTAFTER('Banco de Dados'!$F700,"BRL ",1),".",",")),0),0),0)</f>
        <v>0</v>
      </c>
      <c r="AQ700" s="28">
        <f ca="1">SUM('Banco de Dados'!$AM700:$AP700)</f>
        <v>0</v>
      </c>
      <c r="AR700" s="8"/>
      <c r="AS700" s="8"/>
      <c r="AY700" s="8"/>
    </row>
    <row r="701" spans="1:51">
      <c r="A701" s="5" t="str">
        <v>BV</v>
      </c>
      <c r="B701" s="5" t="str">
        <f ca="1"/>
        <v>BV45660</v>
      </c>
      <c r="C701" s="8" t="str">
        <v>Pedido 688</v>
      </c>
      <c r="D701" s="9">
        <v>45660</v>
      </c>
      <c r="E701" s="9">
        <v>45660</v>
      </c>
      <c r="F701" s="8" t="str">
        <v>PedidoF670</v>
      </c>
      <c r="G701" s="2" t="str">
        <v>CódRastreio668</v>
      </c>
      <c r="H701" s="5">
        <v>1</v>
      </c>
      <c r="I701" s="182" t="str">
        <v>CPF 667</v>
      </c>
      <c r="J701" s="2" t="str">
        <v>Nome 667</v>
      </c>
      <c r="K701" s="8" t="str">
        <v>Tel 667</v>
      </c>
      <c r="L701" s="8" t="str">
        <v>Cep 667</v>
      </c>
      <c r="M701" s="8" t="str">
        <v>Rua 667</v>
      </c>
      <c r="N701" s="8" t="str">
        <v>Comp 667</v>
      </c>
      <c r="O701" s="8" t="str">
        <v>Suporte de Celular Branco</v>
      </c>
      <c r="P701" s="8" t="str">
        <v>16-4EDB-WMZF</v>
      </c>
      <c r="Q701" s="4">
        <v>45687</v>
      </c>
      <c r="R701" s="109">
        <v>21.99</v>
      </c>
      <c r="S701" s="11">
        <f ca="1"/>
        <v>21.99</v>
      </c>
      <c r="T701" s="28">
        <f ca="1"/>
        <v>3.2984999999999998</v>
      </c>
      <c r="U701" s="11">
        <f ca="1"/>
        <v>18.690000000000001</v>
      </c>
      <c r="V701" s="11">
        <v>6.99</v>
      </c>
      <c r="W701" s="11">
        <f ca="1"/>
        <v>0.23</v>
      </c>
      <c r="X701" s="11">
        <f ca="1"/>
        <v>0.39877104377104378</v>
      </c>
      <c r="Y701" s="11">
        <v>0</v>
      </c>
      <c r="Z701" s="11">
        <f ca="1"/>
        <v>11.071228956228957</v>
      </c>
      <c r="AA701" s="11">
        <f ca="1"/>
        <v>5.5356144781144785</v>
      </c>
      <c r="AB701" s="4">
        <f ca="1"/>
        <v>45694</v>
      </c>
      <c r="AC701" s="4">
        <v>45694</v>
      </c>
      <c r="AD701" s="9">
        <v>45694</v>
      </c>
      <c r="AE701" s="9">
        <v>45705</v>
      </c>
      <c r="AF701" s="4" t="str">
        <f t="shared" ca="1" si="26"/>
        <v>2025 02</v>
      </c>
      <c r="AG701" s="8" t="str" cm="1">
        <f t="array" ref="AG701">IFERROR(_xlfn.IFS('Banco de Dados'!#REF!="AG. COMPRA","Em processamento",'Banco de Dados'!#REF!="AG. RASTREIO","Em processamento",'Banco de Dados'!$AE701&lt;&gt;"-","Faturado",'Banco de Dados'!$AD701&lt;&gt;"-","Aguardando Pix",'Banco de Dados'!$AC701&lt;&gt;"-","Pendente"),"Aguardando Liberação")</f>
        <v>Aguardando Liberação</v>
      </c>
      <c r="AH701" s="5" t="str">
        <f>IF('Banco de Dados'!$F701="-",_xlfn.CONCAT(PROPER(TEXT(AK701,"aaaa"))," ",PROPER(TEXT(AK701,"mm"))),_xlfn.CONCAT(PROPER(TEXT(E701,"aaaa"))," ",PROPER(TEXT(E701,"mm"))))</f>
        <v>2025 01</v>
      </c>
      <c r="AI701" s="9" t="str">
        <f ca="1">IF('Banco de Dados'!$AK701&lt;&gt;"-","REEMBOLSO",IFERROR(_xlfn.XLOOKUP(G701,Follow[CODRASTREIO],Follow[STATUS]),"-"))</f>
        <v>ENTREGUE</v>
      </c>
      <c r="AJ701" s="9">
        <f ca="1">IF('Banco de Dados'!$AI701="ENTREGUE",_xlfn.XLOOKUP('Banco de Dados'!$G701,Follow[CODRASTREIO],Follow[DATAATUALIZAÇÃO]),"-")</f>
        <v>45672</v>
      </c>
      <c r="AK701" s="9" t="str">
        <f ca="1"/>
        <v>-</v>
      </c>
      <c r="AL701" s="35"/>
      <c r="AM701" s="109" cm="1">
        <f t="array" aca="1" ref="AM701" ca="1">IF('Banco de Dados'!$AK701&lt;&gt;"-",_xlfn.IFS('Banco de Dados'!$A701="bv",IF('Banco de Dados'!$E701&lt;45641,ROUND(SUM('Banco de Dados'!$R701*_xlfn.XLOOKUP('Banco de Dados'!$P701,Sku!B:B,Sku!#REF!)*20%),2),ROUND(SUM('Banco de Dados'!$R701*_xlfn.XLOOKUP('Banco de Dados'!$P701,Sku!B:B,Sku!H:H)*20%),2)),'Banco de Dados'!$A701="GO",ROUND(_xlfn.XLOOKUP('Banco de Dados'!$P701,Sku!C:C,Sku!H:H),2),'Banco de Dados'!$A701="MEI",ROUND(_xlfn.XLOOKUP('Banco de Dados'!$P701,Sku!D:D,Sku!H:H),2)),0)</f>
        <v>0</v>
      </c>
      <c r="AN701" s="109">
        <f ca="1">IF('Banco de Dados'!$AK701&lt;&gt;"-",IF('Banco de Dados'!$F701&lt;&gt;"-",_xlfn.XLOOKUP(IFERROR(IFERROR(IFERROR(VALUE(SUBSTITUTE(MID(_xlfn.TEXTAFTER('Banco de Dados'!$F701,"Data do Pedido:
",1),1,10),"-","/")),VALUE(SUBSTITUTE(MID(_xlfn.TEXTAFTER('Banco de Dados'!$F701,"Order date:
",1),1,10),"-","/"))),VALUE(SUBSTITUTE(MID(_xlfn.TEXTAFTER('Banco de Dados'!$F701,"Fecha de pedido:
",1),1,10),"-","/"))),"-"),SMS!A:A,SMS!K:K),0),0)</f>
        <v>0</v>
      </c>
      <c r="AO701" s="109">
        <f ca="1">IF('Banco de Dados'!$AK701&lt;&gt;"-",IF('Banco de Dados'!$F701&lt;&gt;"-",IFERROR(_xlfn.XLOOKUP(_xlfn.CONCAT('Banco de Dados'!$A701,IFERROR(IFERROR(VALUE(SUBSTITUTE(MID(_xlfn.TEXTAFTER('Banco de Dados'!$F701,"Data do Pedido:
",1),1,10),"-","/")),VALUE(SUBSTITUTE(MID(_xlfn.TEXTAFTER('Banco de Dados'!$F701,"Order date:
",1),1,10),"-","/"))),0)),ProxyDD[Chave],ProxyDD[Valor por pedido]),PROXY!$P$2),0),0)</f>
        <v>0</v>
      </c>
      <c r="AP701" s="28">
        <f ca="1">IF('Banco de Dados'!$AK701&lt;&gt;"-",IF('Banco de Dados'!$AL701="NÃO",IFERROR(VALUE(SUBSTITUTE(_xlfn.TEXTAFTER('Banco de Dados'!$F701,"BRL ",1),".",",")),0),0),0)</f>
        <v>0</v>
      </c>
      <c r="AQ701" s="28">
        <f ca="1">SUM('Banco de Dados'!$AM701:$AP701)</f>
        <v>0</v>
      </c>
      <c r="AR701" s="8"/>
      <c r="AS701" s="8"/>
      <c r="AY701" s="8"/>
    </row>
    <row r="702" spans="1:51">
      <c r="A702" s="5" t="str">
        <v>BV</v>
      </c>
      <c r="B702" s="5" t="str">
        <f ca="1"/>
        <v>BV45660</v>
      </c>
      <c r="C702" s="8" t="str">
        <v>Pedido 689</v>
      </c>
      <c r="D702" s="9">
        <v>45660</v>
      </c>
      <c r="E702" s="9">
        <v>45660</v>
      </c>
      <c r="F702" s="8" t="str">
        <v>PedidoF671</v>
      </c>
      <c r="G702" s="2" t="str">
        <v>CódRastreio669</v>
      </c>
      <c r="H702" s="5">
        <v>1</v>
      </c>
      <c r="I702" s="182" t="str">
        <v>CPF 668</v>
      </c>
      <c r="J702" s="2" t="str">
        <v>Nome 668</v>
      </c>
      <c r="K702" s="8" t="str">
        <v>Tel 668</v>
      </c>
      <c r="L702" s="8" t="str">
        <v>Cep 668</v>
      </c>
      <c r="M702" s="8" t="str">
        <v>Rua 668</v>
      </c>
      <c r="N702" s="8" t="str">
        <v>Comp 668</v>
      </c>
      <c r="O702" s="8" t="str">
        <v>Ventilador Rosa</v>
      </c>
      <c r="P702" s="8" t="str">
        <v>IF-G2ZQ-79FO</v>
      </c>
      <c r="Q702" s="4">
        <v>45687</v>
      </c>
      <c r="R702" s="109">
        <v>46.9</v>
      </c>
      <c r="S702" s="11">
        <f ca="1"/>
        <v>46.9</v>
      </c>
      <c r="T702" s="28">
        <f ca="1"/>
        <v>6.0970000000000004</v>
      </c>
      <c r="U702" s="11">
        <f ca="1"/>
        <v>40.799999999999997</v>
      </c>
      <c r="V702" s="11">
        <v>10.15</v>
      </c>
      <c r="W702" s="11">
        <f ca="1"/>
        <v>0.23</v>
      </c>
      <c r="X702" s="11">
        <f ca="1"/>
        <v>0.39877104377104378</v>
      </c>
      <c r="Y702" s="11">
        <v>0</v>
      </c>
      <c r="Z702" s="11">
        <f ca="1"/>
        <v>30.021228956228953</v>
      </c>
      <c r="AA702" s="11">
        <f ca="1"/>
        <v>15.010614478114476</v>
      </c>
      <c r="AB702" s="4">
        <f ca="1"/>
        <v>45694</v>
      </c>
      <c r="AC702" s="4">
        <v>45694</v>
      </c>
      <c r="AD702" s="9">
        <v>45694</v>
      </c>
      <c r="AE702" s="9">
        <v>45705</v>
      </c>
      <c r="AF702" s="4" t="str">
        <f t="shared" ca="1" si="26"/>
        <v>2025 02</v>
      </c>
      <c r="AG702" s="8" t="str" cm="1">
        <f t="array" ref="AG702">IFERROR(_xlfn.IFS('Banco de Dados'!#REF!="AG. COMPRA","Em processamento",'Banco de Dados'!#REF!="AG. RASTREIO","Em processamento",'Banco de Dados'!$AE702&lt;&gt;"-","Faturado",'Banco de Dados'!$AD702&lt;&gt;"-","Aguardando Pix",'Banco de Dados'!$AC702&lt;&gt;"-","Pendente"),"Aguardando Liberação")</f>
        <v>Aguardando Liberação</v>
      </c>
      <c r="AH702" s="5" t="str">
        <f>IF('Banco de Dados'!$F702="-",_xlfn.CONCAT(PROPER(TEXT(AK702,"aaaa"))," ",PROPER(TEXT(AK702,"mm"))),_xlfn.CONCAT(PROPER(TEXT(E702,"aaaa"))," ",PROPER(TEXT(E702,"mm"))))</f>
        <v>2025 01</v>
      </c>
      <c r="AI702" s="9" t="str">
        <f ca="1">IF('Banco de Dados'!$AK702&lt;&gt;"-","REEMBOLSO",IFERROR(_xlfn.XLOOKUP(G702,Follow[CODRASTREIO],Follow[STATUS]),"-"))</f>
        <v>ENTREGUE</v>
      </c>
      <c r="AJ702" s="9">
        <f ca="1">IF('Banco de Dados'!$AI702="ENTREGUE",_xlfn.XLOOKUP('Banco de Dados'!$G702,Follow[CODRASTREIO],Follow[DATAATUALIZAÇÃO]),"-")</f>
        <v>45665</v>
      </c>
      <c r="AK702" s="9" t="str">
        <f ca="1"/>
        <v>-</v>
      </c>
      <c r="AL702" s="35"/>
      <c r="AM702" s="109" cm="1">
        <f t="array" aca="1" ref="AM702" ca="1">IF('Banco de Dados'!$AK702&lt;&gt;"-",_xlfn.IFS('Banco de Dados'!$A702="bv",IF('Banco de Dados'!$E702&lt;45641,ROUND(SUM('Banco de Dados'!$R702*_xlfn.XLOOKUP('Banco de Dados'!$P702,Sku!B:B,Sku!#REF!)*20%),2),ROUND(SUM('Banco de Dados'!$R702*_xlfn.XLOOKUP('Banco de Dados'!$P702,Sku!B:B,Sku!H:H)*20%),2)),'Banco de Dados'!$A702="GO",ROUND(_xlfn.XLOOKUP('Banco de Dados'!$P702,Sku!C:C,Sku!H:H),2),'Banco de Dados'!$A702="MEI",ROUND(_xlfn.XLOOKUP('Banco de Dados'!$P702,Sku!D:D,Sku!H:H),2)),0)</f>
        <v>0</v>
      </c>
      <c r="AN702" s="109">
        <f ca="1">IF('Banco de Dados'!$AK702&lt;&gt;"-",IF('Banco de Dados'!$F702&lt;&gt;"-",_xlfn.XLOOKUP(IFERROR(IFERROR(IFERROR(VALUE(SUBSTITUTE(MID(_xlfn.TEXTAFTER('Banco de Dados'!$F702,"Data do Pedido:
",1),1,10),"-","/")),VALUE(SUBSTITUTE(MID(_xlfn.TEXTAFTER('Banco de Dados'!$F702,"Order date:
",1),1,10),"-","/"))),VALUE(SUBSTITUTE(MID(_xlfn.TEXTAFTER('Banco de Dados'!$F702,"Fecha de pedido:
",1),1,10),"-","/"))),"-"),SMS!A:A,SMS!K:K),0),0)</f>
        <v>0</v>
      </c>
      <c r="AO702" s="109">
        <f ca="1">IF('Banco de Dados'!$AK702&lt;&gt;"-",IF('Banco de Dados'!$F702&lt;&gt;"-",IFERROR(_xlfn.XLOOKUP(_xlfn.CONCAT('Banco de Dados'!$A702,IFERROR(IFERROR(VALUE(SUBSTITUTE(MID(_xlfn.TEXTAFTER('Banco de Dados'!$F702,"Data do Pedido:
",1),1,10),"-","/")),VALUE(SUBSTITUTE(MID(_xlfn.TEXTAFTER('Banco de Dados'!$F702,"Order date:
",1),1,10),"-","/"))),0)),ProxyDD[Chave],ProxyDD[Valor por pedido]),PROXY!$P$2),0),0)</f>
        <v>0</v>
      </c>
      <c r="AP702" s="28">
        <f ca="1">IF('Banco de Dados'!$AK702&lt;&gt;"-",IF('Banco de Dados'!$AL702="NÃO",IFERROR(VALUE(SUBSTITUTE(_xlfn.TEXTAFTER('Banco de Dados'!$F702,"BRL ",1),".",",")),0),0),0)</f>
        <v>0</v>
      </c>
      <c r="AQ702" s="28">
        <f ca="1">SUM('Banco de Dados'!$AM702:$AP702)</f>
        <v>0</v>
      </c>
      <c r="AR702" s="8"/>
      <c r="AS702" s="8"/>
      <c r="AY702" s="8"/>
    </row>
    <row r="703" spans="1:51">
      <c r="A703" s="5" t="str">
        <v>BV</v>
      </c>
      <c r="B703" s="5" t="str">
        <f ca="1"/>
        <v>BV45660</v>
      </c>
      <c r="C703" s="8" t="str">
        <v>Pedido 690</v>
      </c>
      <c r="D703" s="9">
        <v>45660</v>
      </c>
      <c r="E703" s="9">
        <v>45660</v>
      </c>
      <c r="F703" s="8" t="str">
        <v>PedidoF672</v>
      </c>
      <c r="G703" s="2" t="str">
        <v>CódRastreio670</v>
      </c>
      <c r="H703" s="5">
        <v>1</v>
      </c>
      <c r="I703" s="182" t="str">
        <v>CPF 669</v>
      </c>
      <c r="J703" s="2" t="str">
        <v>Nome 669</v>
      </c>
      <c r="K703" s="8" t="str">
        <v>Tel 669</v>
      </c>
      <c r="L703" s="8" t="str">
        <v>Cep 669</v>
      </c>
      <c r="M703" s="8" t="str">
        <v>Rua 669</v>
      </c>
      <c r="N703" s="8" t="str">
        <v>Comp 669</v>
      </c>
      <c r="O703" s="8" t="str">
        <v>Adaptador Bluetooph</v>
      </c>
      <c r="P703" s="8" t="str">
        <v>YA-AG3H-SPUK</v>
      </c>
      <c r="Q703" s="4">
        <v>45687</v>
      </c>
      <c r="R703" s="109">
        <v>21.99</v>
      </c>
      <c r="S703" s="11">
        <f ca="1"/>
        <v>21.99</v>
      </c>
      <c r="T703" s="28">
        <f ca="1"/>
        <v>2.6387999999999998</v>
      </c>
      <c r="U703" s="11">
        <f ca="1"/>
        <v>19.350000000000001</v>
      </c>
      <c r="V703" s="11">
        <v>6.99</v>
      </c>
      <c r="W703" s="11">
        <f ca="1"/>
        <v>0.23</v>
      </c>
      <c r="X703" s="11">
        <f ca="1"/>
        <v>0.39877104377104378</v>
      </c>
      <c r="Y703" s="11">
        <v>0</v>
      </c>
      <c r="Z703" s="11">
        <f ca="1"/>
        <v>11.731228956228957</v>
      </c>
      <c r="AA703" s="11">
        <f ca="1"/>
        <v>5.8656144781144786</v>
      </c>
      <c r="AB703" s="4">
        <f ca="1"/>
        <v>45694</v>
      </c>
      <c r="AC703" s="4">
        <v>45694</v>
      </c>
      <c r="AD703" s="9">
        <v>45694</v>
      </c>
      <c r="AE703" s="9">
        <v>45705</v>
      </c>
      <c r="AF703" s="4" t="str">
        <f t="shared" ca="1" si="26"/>
        <v>2025 02</v>
      </c>
      <c r="AG703" s="8" t="str" cm="1">
        <f t="array" ref="AG703">IFERROR(_xlfn.IFS('Banco de Dados'!#REF!="AG. COMPRA","Em processamento",'Banco de Dados'!#REF!="AG. RASTREIO","Em processamento",'Banco de Dados'!$AE703&lt;&gt;"-","Faturado",'Banco de Dados'!$AD703&lt;&gt;"-","Aguardando Pix",'Banco de Dados'!$AC703&lt;&gt;"-","Pendente"),"Aguardando Liberação")</f>
        <v>Aguardando Liberação</v>
      </c>
      <c r="AH703" s="5" t="str">
        <f>IF('Banco de Dados'!$F703="-",_xlfn.CONCAT(PROPER(TEXT(AK703,"aaaa"))," ",PROPER(TEXT(AK703,"mm"))),_xlfn.CONCAT(PROPER(TEXT(E703,"aaaa"))," ",PROPER(TEXT(E703,"mm"))))</f>
        <v>2025 01</v>
      </c>
      <c r="AI703" s="9" t="str">
        <f ca="1">IF('Banco de Dados'!$AK703&lt;&gt;"-","REEMBOLSO",IFERROR(_xlfn.XLOOKUP(G703,Follow[CODRASTREIO],Follow[STATUS]),"-"))</f>
        <v>ENTREGUE</v>
      </c>
      <c r="AJ703" s="9">
        <f ca="1">IF('Banco de Dados'!$AI703="ENTREGUE",_xlfn.XLOOKUP('Banco de Dados'!$G703,Follow[CODRASTREIO],Follow[DATAATUALIZAÇÃO]),"-")</f>
        <v>45672</v>
      </c>
      <c r="AK703" s="9" t="str">
        <f ca="1"/>
        <v>-</v>
      </c>
      <c r="AL703" s="35"/>
      <c r="AM703" s="109" cm="1">
        <f t="array" aca="1" ref="AM703" ca="1">IF('Banco de Dados'!$AK703&lt;&gt;"-",_xlfn.IFS('Banco de Dados'!$A703="bv",IF('Banco de Dados'!$E703&lt;45641,ROUND(SUM('Banco de Dados'!$R703*_xlfn.XLOOKUP('Banco de Dados'!$P703,Sku!B:B,Sku!#REF!)*20%),2),ROUND(SUM('Banco de Dados'!$R703*_xlfn.XLOOKUP('Banco de Dados'!$P703,Sku!B:B,Sku!H:H)*20%),2)),'Banco de Dados'!$A703="GO",ROUND(_xlfn.XLOOKUP('Banco de Dados'!$P703,Sku!C:C,Sku!H:H),2),'Banco de Dados'!$A703="MEI",ROUND(_xlfn.XLOOKUP('Banco de Dados'!$P703,Sku!D:D,Sku!H:H),2)),0)</f>
        <v>0</v>
      </c>
      <c r="AN703" s="109">
        <f ca="1">IF('Banco de Dados'!$AK703&lt;&gt;"-",IF('Banco de Dados'!$F703&lt;&gt;"-",_xlfn.XLOOKUP(IFERROR(IFERROR(IFERROR(VALUE(SUBSTITUTE(MID(_xlfn.TEXTAFTER('Banco de Dados'!$F703,"Data do Pedido:
",1),1,10),"-","/")),VALUE(SUBSTITUTE(MID(_xlfn.TEXTAFTER('Banco de Dados'!$F703,"Order date:
",1),1,10),"-","/"))),VALUE(SUBSTITUTE(MID(_xlfn.TEXTAFTER('Banco de Dados'!$F703,"Fecha de pedido:
",1),1,10),"-","/"))),"-"),SMS!A:A,SMS!K:K),0),0)</f>
        <v>0</v>
      </c>
      <c r="AO703" s="109">
        <f ca="1">IF('Banco de Dados'!$AK703&lt;&gt;"-",IF('Banco de Dados'!$F703&lt;&gt;"-",IFERROR(_xlfn.XLOOKUP(_xlfn.CONCAT('Banco de Dados'!$A703,IFERROR(IFERROR(VALUE(SUBSTITUTE(MID(_xlfn.TEXTAFTER('Banco de Dados'!$F703,"Data do Pedido:
",1),1,10),"-","/")),VALUE(SUBSTITUTE(MID(_xlfn.TEXTAFTER('Banco de Dados'!$F703,"Order date:
",1),1,10),"-","/"))),0)),ProxyDD[Chave],ProxyDD[Valor por pedido]),PROXY!$P$2),0),0)</f>
        <v>0</v>
      </c>
      <c r="AP703" s="28">
        <f ca="1">IF('Banco de Dados'!$AK703&lt;&gt;"-",IF('Banco de Dados'!$AL703="NÃO",IFERROR(VALUE(SUBSTITUTE(_xlfn.TEXTAFTER('Banco de Dados'!$F703,"BRL ",1),".",",")),0),0),0)</f>
        <v>0</v>
      </c>
      <c r="AQ703" s="28">
        <f ca="1">SUM('Banco de Dados'!$AM703:$AP703)</f>
        <v>0</v>
      </c>
      <c r="AR703" s="8"/>
      <c r="AS703" s="8"/>
      <c r="AY703" s="8"/>
    </row>
    <row r="704" spans="1:51">
      <c r="A704" s="5" t="str">
        <v>BV</v>
      </c>
      <c r="B704" s="5" t="str">
        <f ca="1"/>
        <v>BV45660</v>
      </c>
      <c r="C704" s="8" t="str">
        <v>Pedido 691</v>
      </c>
      <c r="D704" s="9">
        <v>45660</v>
      </c>
      <c r="E704" s="9">
        <v>45660</v>
      </c>
      <c r="F704" s="8" t="str">
        <v>PedidoF673</v>
      </c>
      <c r="G704" s="2" t="str">
        <v>CódRastreio671</v>
      </c>
      <c r="H704" s="5">
        <v>1</v>
      </c>
      <c r="I704" s="182" t="str">
        <v>CPF 670</v>
      </c>
      <c r="J704" s="2" t="str">
        <v>Nome 670</v>
      </c>
      <c r="K704" s="8" t="str">
        <v>Tel 670</v>
      </c>
      <c r="L704" s="8" t="str">
        <v>Cep 670</v>
      </c>
      <c r="M704" s="8" t="str">
        <v>Rua 670</v>
      </c>
      <c r="N704" s="8" t="str">
        <v>Comp 670</v>
      </c>
      <c r="O704" s="8" t="str">
        <v>Ventilador Rosa</v>
      </c>
      <c r="P704" s="8" t="str">
        <v>IF-G2ZQ-79FO</v>
      </c>
      <c r="Q704" s="4">
        <v>45687</v>
      </c>
      <c r="R704" s="109">
        <v>46.9</v>
      </c>
      <c r="S704" s="11">
        <f ca="1"/>
        <v>46.9</v>
      </c>
      <c r="T704" s="28">
        <f ca="1"/>
        <v>6.0970000000000004</v>
      </c>
      <c r="U704" s="11">
        <f ca="1"/>
        <v>40.799999999999997</v>
      </c>
      <c r="V704" s="11">
        <v>10.15</v>
      </c>
      <c r="W704" s="11">
        <f ca="1"/>
        <v>0.23</v>
      </c>
      <c r="X704" s="11">
        <f ca="1"/>
        <v>0.39877104377104378</v>
      </c>
      <c r="Y704" s="11">
        <v>0</v>
      </c>
      <c r="Z704" s="11">
        <f ca="1"/>
        <v>30.021228956228953</v>
      </c>
      <c r="AA704" s="11">
        <f ca="1"/>
        <v>15.010614478114476</v>
      </c>
      <c r="AB704" s="4">
        <f ca="1"/>
        <v>45694</v>
      </c>
      <c r="AC704" s="4">
        <v>45694</v>
      </c>
      <c r="AD704" s="9">
        <v>45694</v>
      </c>
      <c r="AE704" s="9">
        <v>45705</v>
      </c>
      <c r="AF704" s="4" t="str">
        <f t="shared" ca="1" si="26"/>
        <v>2025 02</v>
      </c>
      <c r="AG704" s="8" t="str" cm="1">
        <f t="array" ref="AG704">IFERROR(_xlfn.IFS('Banco de Dados'!#REF!="AG. COMPRA","Em processamento",'Banco de Dados'!#REF!="AG. RASTREIO","Em processamento",'Banco de Dados'!$AE704&lt;&gt;"-","Faturado",'Banco de Dados'!$AD704&lt;&gt;"-","Aguardando Pix",'Banco de Dados'!$AC704&lt;&gt;"-","Pendente"),"Aguardando Liberação")</f>
        <v>Aguardando Liberação</v>
      </c>
      <c r="AH704" s="5" t="str">
        <f>IF('Banco de Dados'!$F704="-",_xlfn.CONCAT(PROPER(TEXT(AK704,"aaaa"))," ",PROPER(TEXT(AK704,"mm"))),_xlfn.CONCAT(PROPER(TEXT(E704,"aaaa"))," ",PROPER(TEXT(E704,"mm"))))</f>
        <v>2025 01</v>
      </c>
      <c r="AI704" s="9" t="str">
        <f ca="1">IF('Banco de Dados'!$AK704&lt;&gt;"-","REEMBOLSO",IFERROR(_xlfn.XLOOKUP(G704,Follow[CODRASTREIO],Follow[STATUS]),"-"))</f>
        <v>ENTREGUE</v>
      </c>
      <c r="AJ704" s="9">
        <f ca="1">IF('Banco de Dados'!$AI704="ENTREGUE",_xlfn.XLOOKUP('Banco de Dados'!$G704,Follow[CODRASTREIO],Follow[DATAATUALIZAÇÃO]),"-")</f>
        <v>45678</v>
      </c>
      <c r="AK704" s="9" t="str">
        <f ca="1"/>
        <v>-</v>
      </c>
      <c r="AL704" s="35"/>
      <c r="AM704" s="109" cm="1">
        <f t="array" aca="1" ref="AM704" ca="1">IF('Banco de Dados'!$AK704&lt;&gt;"-",_xlfn.IFS('Banco de Dados'!$A704="bv",IF('Banco de Dados'!$E704&lt;45641,ROUND(SUM('Banco de Dados'!$R704*_xlfn.XLOOKUP('Banco de Dados'!$P704,Sku!B:B,Sku!#REF!)*20%),2),ROUND(SUM('Banco de Dados'!$R704*_xlfn.XLOOKUP('Banco de Dados'!$P704,Sku!B:B,Sku!H:H)*20%),2)),'Banco de Dados'!$A704="GO",ROUND(_xlfn.XLOOKUP('Banco de Dados'!$P704,Sku!C:C,Sku!H:H),2),'Banco de Dados'!$A704="MEI",ROUND(_xlfn.XLOOKUP('Banco de Dados'!$P704,Sku!D:D,Sku!H:H),2)),0)</f>
        <v>0</v>
      </c>
      <c r="AN704" s="109">
        <f ca="1">IF('Banco de Dados'!$AK704&lt;&gt;"-",IF('Banco de Dados'!$F704&lt;&gt;"-",_xlfn.XLOOKUP(IFERROR(IFERROR(IFERROR(VALUE(SUBSTITUTE(MID(_xlfn.TEXTAFTER('Banco de Dados'!$F704,"Data do Pedido:
",1),1,10),"-","/")),VALUE(SUBSTITUTE(MID(_xlfn.TEXTAFTER('Banco de Dados'!$F704,"Order date:
",1),1,10),"-","/"))),VALUE(SUBSTITUTE(MID(_xlfn.TEXTAFTER('Banco de Dados'!$F704,"Fecha de pedido:
",1),1,10),"-","/"))),"-"),SMS!A:A,SMS!K:K),0),0)</f>
        <v>0</v>
      </c>
      <c r="AO704" s="109">
        <f ca="1">IF('Banco de Dados'!$AK704&lt;&gt;"-",IF('Banco de Dados'!$F704&lt;&gt;"-",IFERROR(_xlfn.XLOOKUP(_xlfn.CONCAT('Banco de Dados'!$A704,IFERROR(IFERROR(VALUE(SUBSTITUTE(MID(_xlfn.TEXTAFTER('Banco de Dados'!$F704,"Data do Pedido:
",1),1,10),"-","/")),VALUE(SUBSTITUTE(MID(_xlfn.TEXTAFTER('Banco de Dados'!$F704,"Order date:
",1),1,10),"-","/"))),0)),ProxyDD[Chave],ProxyDD[Valor por pedido]),PROXY!$P$2),0),0)</f>
        <v>0</v>
      </c>
      <c r="AP704" s="28">
        <f ca="1">IF('Banco de Dados'!$AK704&lt;&gt;"-",IF('Banco de Dados'!$AL704="NÃO",IFERROR(VALUE(SUBSTITUTE(_xlfn.TEXTAFTER('Banco de Dados'!$F704,"BRL ",1),".",",")),0),0),0)</f>
        <v>0</v>
      </c>
      <c r="AQ704" s="28">
        <f ca="1">SUM('Banco de Dados'!$AM704:$AP704)</f>
        <v>0</v>
      </c>
      <c r="AR704" s="8"/>
      <c r="AS704" s="8"/>
      <c r="AY704" s="8"/>
    </row>
    <row r="705" spans="1:51">
      <c r="A705" s="5" t="str">
        <v>BV</v>
      </c>
      <c r="B705" s="5" t="str">
        <f ca="1"/>
        <v>BV45660</v>
      </c>
      <c r="C705" s="8" t="str">
        <v>Pedido 692</v>
      </c>
      <c r="D705" s="9">
        <v>45660</v>
      </c>
      <c r="E705" s="9">
        <v>45660</v>
      </c>
      <c r="F705" s="8" t="str">
        <v>PedidoF674</v>
      </c>
      <c r="G705" s="2" t="str">
        <v>CódRastreio672</v>
      </c>
      <c r="H705" s="5">
        <v>1</v>
      </c>
      <c r="I705" s="182" t="str">
        <v>CPF 671</v>
      </c>
      <c r="J705" s="2" t="str">
        <v>Nome 671</v>
      </c>
      <c r="K705" s="8" t="str">
        <v>Tel 671</v>
      </c>
      <c r="L705" s="8" t="str">
        <v>Cep 671</v>
      </c>
      <c r="M705" s="8" t="str">
        <v>Rua 671</v>
      </c>
      <c r="N705" s="8" t="str">
        <v>Comp 671</v>
      </c>
      <c r="O705" s="8" t="str">
        <v>Ventilador Rosa</v>
      </c>
      <c r="P705" s="8" t="str">
        <v>IF-G2ZQ-79FO</v>
      </c>
      <c r="Q705" s="4">
        <v>45694</v>
      </c>
      <c r="R705" s="109">
        <v>46.9</v>
      </c>
      <c r="S705" s="11">
        <f ca="1"/>
        <v>46.9</v>
      </c>
      <c r="T705" s="28">
        <f ca="1"/>
        <v>6.0970000000000004</v>
      </c>
      <c r="U705" s="11">
        <f ca="1"/>
        <v>40.799999999999997</v>
      </c>
      <c r="V705" s="11">
        <v>10.15</v>
      </c>
      <c r="W705" s="11">
        <f ca="1"/>
        <v>0.23</v>
      </c>
      <c r="X705" s="11">
        <f ca="1"/>
        <v>0.39877104377104378</v>
      </c>
      <c r="Y705" s="11">
        <v>0</v>
      </c>
      <c r="Z705" s="11">
        <f ca="1"/>
        <v>30.021228956228953</v>
      </c>
      <c r="AA705" s="11">
        <f ca="1"/>
        <v>15.010614478114476</v>
      </c>
      <c r="AB705" s="4">
        <f ca="1"/>
        <v>45701</v>
      </c>
      <c r="AC705" s="4">
        <v>45701</v>
      </c>
      <c r="AD705" s="9">
        <v>45702</v>
      </c>
      <c r="AE705" s="9">
        <v>45705</v>
      </c>
      <c r="AF705" s="4" t="str">
        <f t="shared" ca="1" si="26"/>
        <v>2025 02</v>
      </c>
      <c r="AG705" s="8" t="str" cm="1">
        <f t="array" ref="AG705">IFERROR(_xlfn.IFS('Banco de Dados'!#REF!="AG. COMPRA","Em processamento",'Banco de Dados'!#REF!="AG. RASTREIO","Em processamento",'Banco de Dados'!$AE705&lt;&gt;"-","Faturado",'Banco de Dados'!$AD705&lt;&gt;"-","Aguardando Pix",'Banco de Dados'!$AC705&lt;&gt;"-","Pendente"),"Aguardando Liberação")</f>
        <v>Aguardando Liberação</v>
      </c>
      <c r="AH705" s="5" t="str">
        <f>IF('Banco de Dados'!$F705="-",_xlfn.CONCAT(PROPER(TEXT(AK705,"aaaa"))," ",PROPER(TEXT(AK705,"mm"))),_xlfn.CONCAT(PROPER(TEXT(E705,"aaaa"))," ",PROPER(TEXT(E705,"mm"))))</f>
        <v>2025 01</v>
      </c>
      <c r="AI705" s="9" t="str">
        <f ca="1">IF('Banco de Dados'!$AK705&lt;&gt;"-","REEMBOLSO",IFERROR(_xlfn.XLOOKUP(G705,Follow[CODRASTREIO],Follow[STATUS]),"-"))</f>
        <v>ENTREGUE</v>
      </c>
      <c r="AJ705" s="9">
        <f ca="1">IF('Banco de Dados'!$AI705="ENTREGUE",_xlfn.XLOOKUP('Banco de Dados'!$G705,Follow[CODRASTREIO],Follow[DATAATUALIZAÇÃO]),"-")</f>
        <v>45678</v>
      </c>
      <c r="AK705" s="9" t="str">
        <f ca="1"/>
        <v>-</v>
      </c>
      <c r="AL705" s="35"/>
      <c r="AM705" s="109" cm="1">
        <f t="array" aca="1" ref="AM705" ca="1">IF('Banco de Dados'!$AK705&lt;&gt;"-",_xlfn.IFS('Banco de Dados'!$A705="bv",IF('Banco de Dados'!$E705&lt;45641,ROUND(SUM('Banco de Dados'!$R705*_xlfn.XLOOKUP('Banco de Dados'!$P705,Sku!B:B,Sku!#REF!)*20%),2),ROUND(SUM('Banco de Dados'!$R705*_xlfn.XLOOKUP('Banco de Dados'!$P705,Sku!B:B,Sku!H:H)*20%),2)),'Banco de Dados'!$A705="GO",ROUND(_xlfn.XLOOKUP('Banco de Dados'!$P705,Sku!C:C,Sku!H:H),2),'Banco de Dados'!$A705="MEI",ROUND(_xlfn.XLOOKUP('Banco de Dados'!$P705,Sku!D:D,Sku!H:H),2)),0)</f>
        <v>0</v>
      </c>
      <c r="AN705" s="109">
        <f ca="1">IF('Banco de Dados'!$AK705&lt;&gt;"-",IF('Banco de Dados'!$F705&lt;&gt;"-",_xlfn.XLOOKUP(IFERROR(IFERROR(IFERROR(VALUE(SUBSTITUTE(MID(_xlfn.TEXTAFTER('Banco de Dados'!$F705,"Data do Pedido:
",1),1,10),"-","/")),VALUE(SUBSTITUTE(MID(_xlfn.TEXTAFTER('Banco de Dados'!$F705,"Order date:
",1),1,10),"-","/"))),VALUE(SUBSTITUTE(MID(_xlfn.TEXTAFTER('Banco de Dados'!$F705,"Fecha de pedido:
",1),1,10),"-","/"))),"-"),SMS!A:A,SMS!K:K),0),0)</f>
        <v>0</v>
      </c>
      <c r="AO705" s="109">
        <f ca="1">IF('Banco de Dados'!$AK705&lt;&gt;"-",IF('Banco de Dados'!$F705&lt;&gt;"-",IFERROR(_xlfn.XLOOKUP(_xlfn.CONCAT('Banco de Dados'!$A705,IFERROR(IFERROR(VALUE(SUBSTITUTE(MID(_xlfn.TEXTAFTER('Banco de Dados'!$F705,"Data do Pedido:
",1),1,10),"-","/")),VALUE(SUBSTITUTE(MID(_xlfn.TEXTAFTER('Banco de Dados'!$F705,"Order date:
",1),1,10),"-","/"))),0)),ProxyDD[Chave],ProxyDD[Valor por pedido]),PROXY!$P$2),0),0)</f>
        <v>0</v>
      </c>
      <c r="AP705" s="28">
        <f ca="1">IF('Banco de Dados'!$AK705&lt;&gt;"-",IF('Banco de Dados'!$AL705="NÃO",IFERROR(VALUE(SUBSTITUTE(_xlfn.TEXTAFTER('Banco de Dados'!$F705,"BRL ",1),".",",")),0),0),0)</f>
        <v>0</v>
      </c>
      <c r="AQ705" s="28">
        <f ca="1">SUM('Banco de Dados'!$AM705:$AP705)</f>
        <v>0</v>
      </c>
      <c r="AR705" s="8"/>
      <c r="AS705" s="8"/>
      <c r="AY705" s="8"/>
    </row>
    <row r="706" spans="1:51">
      <c r="A706" s="5" t="str">
        <v>BV</v>
      </c>
      <c r="B706" s="5" t="str">
        <f ca="1"/>
        <v>BV45660</v>
      </c>
      <c r="C706" s="8" t="str">
        <v>Pedido 693</v>
      </c>
      <c r="D706" s="9">
        <v>45660</v>
      </c>
      <c r="E706" s="9">
        <v>45660</v>
      </c>
      <c r="F706" s="8" t="str">
        <v>PedidoF675</v>
      </c>
      <c r="G706" s="2" t="str">
        <v>CódRastreio673</v>
      </c>
      <c r="H706" s="5">
        <v>1</v>
      </c>
      <c r="I706" s="182" t="str">
        <v>CPF 672</v>
      </c>
      <c r="J706" s="2" t="str">
        <v>Nome 672</v>
      </c>
      <c r="K706" s="8" t="str">
        <v>Tel 672</v>
      </c>
      <c r="L706" s="8" t="str">
        <v>Cep 672</v>
      </c>
      <c r="M706" s="8" t="str">
        <v>Rua 672</v>
      </c>
      <c r="N706" s="8" t="str">
        <v>Comp 672</v>
      </c>
      <c r="O706" s="8" t="str">
        <v>Adaptador Bluetooph</v>
      </c>
      <c r="P706" s="8" t="str">
        <v>YA-AG3H-SPUK</v>
      </c>
      <c r="Q706" s="4">
        <v>45681</v>
      </c>
      <c r="R706" s="109">
        <v>21.99</v>
      </c>
      <c r="S706" s="11">
        <f ca="1"/>
        <v>21.99</v>
      </c>
      <c r="T706" s="28">
        <f ca="1"/>
        <v>2.6387999999999998</v>
      </c>
      <c r="U706" s="11">
        <f ca="1"/>
        <v>19.350000000000001</v>
      </c>
      <c r="V706" s="11">
        <v>6.99</v>
      </c>
      <c r="W706" s="11">
        <f ca="1"/>
        <v>0.23</v>
      </c>
      <c r="X706" s="11">
        <f ca="1"/>
        <v>0.39877104377104378</v>
      </c>
      <c r="Y706" s="11">
        <v>0</v>
      </c>
      <c r="Z706" s="11">
        <f ca="1"/>
        <v>11.731228956228957</v>
      </c>
      <c r="AA706" s="11">
        <f ca="1"/>
        <v>5.8656144781144786</v>
      </c>
      <c r="AB706" s="4">
        <f ca="1"/>
        <v>45688</v>
      </c>
      <c r="AC706" s="4">
        <v>45688</v>
      </c>
      <c r="AD706" s="9">
        <v>45688</v>
      </c>
      <c r="AE706" s="9">
        <v>45694</v>
      </c>
      <c r="AF706" s="4" t="str">
        <f t="shared" ca="1" si="26"/>
        <v>2025 01</v>
      </c>
      <c r="AG706" s="8" t="str" cm="1">
        <f t="array" ref="AG706">IFERROR(_xlfn.IFS('Banco de Dados'!#REF!="AG. COMPRA","Em processamento",'Banco de Dados'!#REF!="AG. RASTREIO","Em processamento",'Banco de Dados'!$AE706&lt;&gt;"-","Faturado",'Banco de Dados'!$AD706&lt;&gt;"-","Aguardando Pix",'Banco de Dados'!$AC706&lt;&gt;"-","Pendente"),"Aguardando Liberação")</f>
        <v>Aguardando Liberação</v>
      </c>
      <c r="AH706" s="5" t="str">
        <f>IF('Banco de Dados'!$F706="-",_xlfn.CONCAT(PROPER(TEXT(AK706,"aaaa"))," ",PROPER(TEXT(AK706,"mm"))),_xlfn.CONCAT(PROPER(TEXT(E706,"aaaa"))," ",PROPER(TEXT(E706,"mm"))))</f>
        <v>2025 01</v>
      </c>
      <c r="AI706" s="9" t="str">
        <f ca="1">IF('Banco de Dados'!$AK706&lt;&gt;"-","REEMBOLSO",IFERROR(_xlfn.XLOOKUP(G706,Follow[CODRASTREIO],Follow[STATUS]),"-"))</f>
        <v>ENTREGUE</v>
      </c>
      <c r="AJ706" s="9">
        <f ca="1">IF('Banco de Dados'!$AI706="ENTREGUE",_xlfn.XLOOKUP('Banco de Dados'!$G706,Follow[CODRASTREIO],Follow[DATAATUALIZAÇÃO]),"-")</f>
        <v>45673</v>
      </c>
      <c r="AK706" s="9" t="str">
        <f ca="1"/>
        <v>-</v>
      </c>
      <c r="AL706" s="35"/>
      <c r="AM706" s="109" cm="1">
        <f t="array" aca="1" ref="AM706" ca="1">IF('Banco de Dados'!$AK706&lt;&gt;"-",_xlfn.IFS('Banco de Dados'!$A706="bv",IF('Banco de Dados'!$E706&lt;45641,ROUND(SUM('Banco de Dados'!$R706*_xlfn.XLOOKUP('Banco de Dados'!$P706,Sku!B:B,Sku!#REF!)*20%),2),ROUND(SUM('Banco de Dados'!$R706*_xlfn.XLOOKUP('Banco de Dados'!$P706,Sku!B:B,Sku!H:H)*20%),2)),'Banco de Dados'!$A706="GO",ROUND(_xlfn.XLOOKUP('Banco de Dados'!$P706,Sku!C:C,Sku!H:H),2),'Banco de Dados'!$A706="MEI",ROUND(_xlfn.XLOOKUP('Banco de Dados'!$P706,Sku!D:D,Sku!H:H),2)),0)</f>
        <v>0</v>
      </c>
      <c r="AN706" s="109">
        <f ca="1">IF('Banco de Dados'!$AK706&lt;&gt;"-",IF('Banco de Dados'!$F706&lt;&gt;"-",_xlfn.XLOOKUP(IFERROR(IFERROR(IFERROR(VALUE(SUBSTITUTE(MID(_xlfn.TEXTAFTER('Banco de Dados'!$F706,"Data do Pedido:
",1),1,10),"-","/")),VALUE(SUBSTITUTE(MID(_xlfn.TEXTAFTER('Banco de Dados'!$F706,"Order date:
",1),1,10),"-","/"))),VALUE(SUBSTITUTE(MID(_xlfn.TEXTAFTER('Banco de Dados'!$F706,"Fecha de pedido:
",1),1,10),"-","/"))),"-"),SMS!A:A,SMS!K:K),0),0)</f>
        <v>0</v>
      </c>
      <c r="AO706" s="109">
        <f ca="1">IF('Banco de Dados'!$AK706&lt;&gt;"-",IF('Banco de Dados'!$F706&lt;&gt;"-",IFERROR(_xlfn.XLOOKUP(_xlfn.CONCAT('Banco de Dados'!$A706,IFERROR(IFERROR(VALUE(SUBSTITUTE(MID(_xlfn.TEXTAFTER('Banco de Dados'!$F706,"Data do Pedido:
",1),1,10),"-","/")),VALUE(SUBSTITUTE(MID(_xlfn.TEXTAFTER('Banco de Dados'!$F706,"Order date:
",1),1,10),"-","/"))),0)),ProxyDD[Chave],ProxyDD[Valor por pedido]),PROXY!$P$2),0),0)</f>
        <v>0</v>
      </c>
      <c r="AP706" s="28">
        <f ca="1">IF('Banco de Dados'!$AK706&lt;&gt;"-",IF('Banco de Dados'!$AL706="NÃO",IFERROR(VALUE(SUBSTITUTE(_xlfn.TEXTAFTER('Banco de Dados'!$F706,"BRL ",1),".",",")),0),0),0)</f>
        <v>0</v>
      </c>
      <c r="AQ706" s="28">
        <f ca="1">SUM('Banco de Dados'!$AM706:$AP706)</f>
        <v>0</v>
      </c>
      <c r="AR706" s="8"/>
      <c r="AS706" s="8"/>
      <c r="AY706" s="8"/>
    </row>
    <row r="707" spans="1:51">
      <c r="A707" s="5" t="str">
        <v>BV</v>
      </c>
      <c r="B707" s="5" t="str">
        <f ca="1"/>
        <v>BV45660</v>
      </c>
      <c r="C707" s="8" t="str">
        <v>Pedido 694</v>
      </c>
      <c r="D707" s="9">
        <v>45660</v>
      </c>
      <c r="E707" s="9">
        <v>45660</v>
      </c>
      <c r="F707" s="8" t="str">
        <v>PedidoF676</v>
      </c>
      <c r="G707" s="2" t="str">
        <v>CódRastreio674</v>
      </c>
      <c r="H707" s="5">
        <v>1</v>
      </c>
      <c r="I707" s="182" t="str">
        <v>CPF 673</v>
      </c>
      <c r="J707" s="2" t="str">
        <v>Nome 673</v>
      </c>
      <c r="K707" s="8" t="str">
        <v>Tel 673</v>
      </c>
      <c r="L707" s="8" t="str">
        <v>Cep 673</v>
      </c>
      <c r="M707" s="8" t="str">
        <v>Rua 673</v>
      </c>
      <c r="N707" s="8" t="str">
        <v>Comp 673</v>
      </c>
      <c r="O707" s="8" t="str">
        <v>Adaptador Bluetooph</v>
      </c>
      <c r="P707" s="8" t="str">
        <v>YA-AG3H-SPUK</v>
      </c>
      <c r="Q707" s="4">
        <v>45681</v>
      </c>
      <c r="R707" s="109">
        <v>21.99</v>
      </c>
      <c r="S707" s="11">
        <f ca="1"/>
        <v>21.99</v>
      </c>
      <c r="T707" s="28">
        <f ca="1"/>
        <v>2.6387999999999998</v>
      </c>
      <c r="U707" s="11">
        <f ca="1"/>
        <v>19.350000000000001</v>
      </c>
      <c r="V707" s="11">
        <v>6.99</v>
      </c>
      <c r="W707" s="11">
        <f ca="1"/>
        <v>0.23</v>
      </c>
      <c r="X707" s="11">
        <f ca="1"/>
        <v>0.39877104377104378</v>
      </c>
      <c r="Y707" s="11">
        <v>0</v>
      </c>
      <c r="Z707" s="11">
        <f ca="1"/>
        <v>11.731228956228957</v>
      </c>
      <c r="AA707" s="11">
        <f ca="1"/>
        <v>5.8656144781144786</v>
      </c>
      <c r="AB707" s="4">
        <f ca="1"/>
        <v>45688</v>
      </c>
      <c r="AC707" s="4">
        <v>45688</v>
      </c>
      <c r="AD707" s="9">
        <v>45688</v>
      </c>
      <c r="AE707" s="9">
        <v>45694</v>
      </c>
      <c r="AF707" s="4" t="str">
        <f t="shared" ca="1" si="26"/>
        <v>2025 01</v>
      </c>
      <c r="AG707" s="8" t="str" cm="1">
        <f t="array" ref="AG707">IFERROR(_xlfn.IFS('Banco de Dados'!#REF!="AG. COMPRA","Em processamento",'Banco de Dados'!#REF!="AG. RASTREIO","Em processamento",'Banco de Dados'!$AE707&lt;&gt;"-","Faturado",'Banco de Dados'!$AD707&lt;&gt;"-","Aguardando Pix",'Banco de Dados'!$AC707&lt;&gt;"-","Pendente"),"Aguardando Liberação")</f>
        <v>Aguardando Liberação</v>
      </c>
      <c r="AH707" s="5" t="str">
        <f>IF('Banco de Dados'!$F707="-",_xlfn.CONCAT(PROPER(TEXT(AK707,"aaaa"))," ",PROPER(TEXT(AK707,"mm"))),_xlfn.CONCAT(PROPER(TEXT(E707,"aaaa"))," ",PROPER(TEXT(E707,"mm"))))</f>
        <v>2025 01</v>
      </c>
      <c r="AI707" s="9" t="str">
        <f ca="1">IF('Banco de Dados'!$AK707&lt;&gt;"-","REEMBOLSO",IFERROR(_xlfn.XLOOKUP(G707,Follow[CODRASTREIO],Follow[STATUS]),"-"))</f>
        <v>ENTREGUE</v>
      </c>
      <c r="AJ707" s="9">
        <f ca="1">IF('Banco de Dados'!$AI707="ENTREGUE",_xlfn.XLOOKUP('Banco de Dados'!$G707,Follow[CODRASTREIO],Follow[DATAATUALIZAÇÃO]),"-")</f>
        <v>45673</v>
      </c>
      <c r="AK707" s="9" t="str">
        <f ca="1"/>
        <v>-</v>
      </c>
      <c r="AL707" s="35"/>
      <c r="AM707" s="109" cm="1">
        <f t="array" aca="1" ref="AM707" ca="1">IF('Banco de Dados'!$AK707&lt;&gt;"-",_xlfn.IFS('Banco de Dados'!$A707="bv",IF('Banco de Dados'!$E707&lt;45641,ROUND(SUM('Banco de Dados'!$R707*_xlfn.XLOOKUP('Banco de Dados'!$P707,Sku!B:B,Sku!#REF!)*20%),2),ROUND(SUM('Banco de Dados'!$R707*_xlfn.XLOOKUP('Banco de Dados'!$P707,Sku!B:B,Sku!H:H)*20%),2)),'Banco de Dados'!$A707="GO",ROUND(_xlfn.XLOOKUP('Banco de Dados'!$P707,Sku!C:C,Sku!H:H),2),'Banco de Dados'!$A707="MEI",ROUND(_xlfn.XLOOKUP('Banco de Dados'!$P707,Sku!D:D,Sku!H:H),2)),0)</f>
        <v>0</v>
      </c>
      <c r="AN707" s="109">
        <f ca="1">IF('Banco de Dados'!$AK707&lt;&gt;"-",IF('Banco de Dados'!$F707&lt;&gt;"-",_xlfn.XLOOKUP(IFERROR(IFERROR(IFERROR(VALUE(SUBSTITUTE(MID(_xlfn.TEXTAFTER('Banco de Dados'!$F707,"Data do Pedido:
",1),1,10),"-","/")),VALUE(SUBSTITUTE(MID(_xlfn.TEXTAFTER('Banco de Dados'!$F707,"Order date:
",1),1,10),"-","/"))),VALUE(SUBSTITUTE(MID(_xlfn.TEXTAFTER('Banco de Dados'!$F707,"Fecha de pedido:
",1),1,10),"-","/"))),"-"),SMS!A:A,SMS!K:K),0),0)</f>
        <v>0</v>
      </c>
      <c r="AO707" s="109">
        <f ca="1">IF('Banco de Dados'!$AK707&lt;&gt;"-",IF('Banco de Dados'!$F707&lt;&gt;"-",IFERROR(_xlfn.XLOOKUP(_xlfn.CONCAT('Banco de Dados'!$A707,IFERROR(IFERROR(VALUE(SUBSTITUTE(MID(_xlfn.TEXTAFTER('Banco de Dados'!$F707,"Data do Pedido:
",1),1,10),"-","/")),VALUE(SUBSTITUTE(MID(_xlfn.TEXTAFTER('Banco de Dados'!$F707,"Order date:
",1),1,10),"-","/"))),0)),ProxyDD[Chave],ProxyDD[Valor por pedido]),PROXY!$P$2),0),0)</f>
        <v>0</v>
      </c>
      <c r="AP707" s="28">
        <f ca="1">IF('Banco de Dados'!$AK707&lt;&gt;"-",IF('Banco de Dados'!$AL707="NÃO",IFERROR(VALUE(SUBSTITUTE(_xlfn.TEXTAFTER('Banco de Dados'!$F707,"BRL ",1),".",",")),0),0),0)</f>
        <v>0</v>
      </c>
      <c r="AQ707" s="28">
        <f ca="1">SUM('Banco de Dados'!$AM707:$AP707)</f>
        <v>0</v>
      </c>
      <c r="AR707" s="8"/>
      <c r="AS707" s="8"/>
      <c r="AY707" s="8"/>
    </row>
    <row r="708" spans="1:51">
      <c r="A708" s="5" t="str">
        <v>BV</v>
      </c>
      <c r="B708" s="5" t="str">
        <f ca="1"/>
        <v>BV45660</v>
      </c>
      <c r="C708" s="8" t="str">
        <v>Pedido 695</v>
      </c>
      <c r="D708" s="9">
        <v>45660</v>
      </c>
      <c r="E708" s="9">
        <v>45660</v>
      </c>
      <c r="F708" s="8" t="str">
        <v>PedidoF677</v>
      </c>
      <c r="G708" s="2" t="str">
        <v>CódRastreio675</v>
      </c>
      <c r="H708" s="5">
        <v>1</v>
      </c>
      <c r="I708" s="182" t="str">
        <v>CPF 674</v>
      </c>
      <c r="J708" s="2" t="str">
        <v>Nome 674</v>
      </c>
      <c r="K708" s="8" t="str">
        <v>Tel 674</v>
      </c>
      <c r="L708" s="8" t="str">
        <v>Cep 674</v>
      </c>
      <c r="M708" s="8" t="str">
        <v>Rua 674</v>
      </c>
      <c r="N708" s="8" t="str">
        <v>Comp 674</v>
      </c>
      <c r="O708" s="8" t="str">
        <v>Ventilador Rosa</v>
      </c>
      <c r="P708" s="8" t="str">
        <v>IF-G2ZQ-79FO</v>
      </c>
      <c r="Q708" s="4">
        <v>45687</v>
      </c>
      <c r="R708" s="109">
        <v>46.9</v>
      </c>
      <c r="S708" s="11">
        <f ca="1"/>
        <v>46.9</v>
      </c>
      <c r="T708" s="28">
        <f ca="1"/>
        <v>6.0970000000000004</v>
      </c>
      <c r="U708" s="11">
        <f ca="1"/>
        <v>40.799999999999997</v>
      </c>
      <c r="V708" s="11">
        <v>10.15</v>
      </c>
      <c r="W708" s="11">
        <f ca="1"/>
        <v>0.23</v>
      </c>
      <c r="X708" s="11">
        <f ca="1"/>
        <v>0.39877104377104378</v>
      </c>
      <c r="Y708" s="11">
        <v>0</v>
      </c>
      <c r="Z708" s="11">
        <f ca="1"/>
        <v>30.021228956228953</v>
      </c>
      <c r="AA708" s="11">
        <f ca="1"/>
        <v>15.010614478114476</v>
      </c>
      <c r="AB708" s="4">
        <f ca="1"/>
        <v>45694</v>
      </c>
      <c r="AC708" s="4">
        <v>45694</v>
      </c>
      <c r="AD708" s="9">
        <v>45694</v>
      </c>
      <c r="AE708" s="9">
        <v>45705</v>
      </c>
      <c r="AF708" s="4" t="str">
        <f t="shared" ca="1" si="26"/>
        <v>2025 02</v>
      </c>
      <c r="AG708" s="8" t="str" cm="1">
        <f t="array" ref="AG708">IFERROR(_xlfn.IFS('Banco de Dados'!#REF!="AG. COMPRA","Em processamento",'Banco de Dados'!#REF!="AG. RASTREIO","Em processamento",'Banco de Dados'!$AE708&lt;&gt;"-","Faturado",'Banco de Dados'!$AD708&lt;&gt;"-","Aguardando Pix",'Banco de Dados'!$AC708&lt;&gt;"-","Pendente"),"Aguardando Liberação")</f>
        <v>Aguardando Liberação</v>
      </c>
      <c r="AH708" s="5" t="str">
        <f>IF('Banco de Dados'!$F708="-",_xlfn.CONCAT(PROPER(TEXT(AK708,"aaaa"))," ",PROPER(TEXT(AK708,"mm"))),_xlfn.CONCAT(PROPER(TEXT(E708,"aaaa"))," ",PROPER(TEXT(E708,"mm"))))</f>
        <v>2025 01</v>
      </c>
      <c r="AI708" s="9" t="str">
        <f ca="1">IF('Banco de Dados'!$AK708&lt;&gt;"-","REEMBOLSO",IFERROR(_xlfn.XLOOKUP(G708,Follow[CODRASTREIO],Follow[STATUS]),"-"))</f>
        <v>ENTREGUE</v>
      </c>
      <c r="AJ708" s="9">
        <f ca="1">IF('Banco de Dados'!$AI708="ENTREGUE",_xlfn.XLOOKUP('Banco de Dados'!$G708,Follow[CODRASTREIO],Follow[DATAATUALIZAÇÃO]),"-")</f>
        <v>45680</v>
      </c>
      <c r="AK708" s="9" t="str">
        <f ca="1"/>
        <v>-</v>
      </c>
      <c r="AL708" s="35"/>
      <c r="AM708" s="109" cm="1">
        <f t="array" aca="1" ref="AM708" ca="1">IF('Banco de Dados'!$AK708&lt;&gt;"-",_xlfn.IFS('Banco de Dados'!$A708="bv",IF('Banco de Dados'!$E708&lt;45641,ROUND(SUM('Banco de Dados'!$R708*_xlfn.XLOOKUP('Banco de Dados'!$P708,Sku!B:B,Sku!#REF!)*20%),2),ROUND(SUM('Banco de Dados'!$R708*_xlfn.XLOOKUP('Banco de Dados'!$P708,Sku!B:B,Sku!H:H)*20%),2)),'Banco de Dados'!$A708="GO",ROUND(_xlfn.XLOOKUP('Banco de Dados'!$P708,Sku!C:C,Sku!H:H),2),'Banco de Dados'!$A708="MEI",ROUND(_xlfn.XLOOKUP('Banco de Dados'!$P708,Sku!D:D,Sku!H:H),2)),0)</f>
        <v>0</v>
      </c>
      <c r="AN708" s="109">
        <f ca="1">IF('Banco de Dados'!$AK708&lt;&gt;"-",IF('Banco de Dados'!$F708&lt;&gt;"-",_xlfn.XLOOKUP(IFERROR(IFERROR(IFERROR(VALUE(SUBSTITUTE(MID(_xlfn.TEXTAFTER('Banco de Dados'!$F708,"Data do Pedido:
",1),1,10),"-","/")),VALUE(SUBSTITUTE(MID(_xlfn.TEXTAFTER('Banco de Dados'!$F708,"Order date:
",1),1,10),"-","/"))),VALUE(SUBSTITUTE(MID(_xlfn.TEXTAFTER('Banco de Dados'!$F708,"Fecha de pedido:
",1),1,10),"-","/"))),"-"),SMS!A:A,SMS!K:K),0),0)</f>
        <v>0</v>
      </c>
      <c r="AO708" s="109">
        <f ca="1">IF('Banco de Dados'!$AK708&lt;&gt;"-",IF('Banco de Dados'!$F708&lt;&gt;"-",IFERROR(_xlfn.XLOOKUP(_xlfn.CONCAT('Banco de Dados'!$A708,IFERROR(IFERROR(VALUE(SUBSTITUTE(MID(_xlfn.TEXTAFTER('Banco de Dados'!$F708,"Data do Pedido:
",1),1,10),"-","/")),VALUE(SUBSTITUTE(MID(_xlfn.TEXTAFTER('Banco de Dados'!$F708,"Order date:
",1),1,10),"-","/"))),0)),ProxyDD[Chave],ProxyDD[Valor por pedido]),PROXY!$P$2),0),0)</f>
        <v>0</v>
      </c>
      <c r="AP708" s="28">
        <f ca="1">IF('Banco de Dados'!$AK708&lt;&gt;"-",IF('Banco de Dados'!$AL708="NÃO",IFERROR(VALUE(SUBSTITUTE(_xlfn.TEXTAFTER('Banco de Dados'!$F708,"BRL ",1),".",",")),0),0),0)</f>
        <v>0</v>
      </c>
      <c r="AQ708" s="28">
        <f ca="1">SUM('Banco de Dados'!$AM708:$AP708)</f>
        <v>0</v>
      </c>
      <c r="AR708" s="8"/>
      <c r="AS708" s="8"/>
      <c r="AY708" s="8"/>
    </row>
    <row r="709" spans="1:51">
      <c r="A709" s="5" t="str">
        <v>BV</v>
      </c>
      <c r="B709" s="5" t="str">
        <f ca="1"/>
        <v>BV45660</v>
      </c>
      <c r="C709" s="8" t="str">
        <v>Pedido 696</v>
      </c>
      <c r="D709" s="9">
        <v>45660</v>
      </c>
      <c r="E709" s="9">
        <v>45660</v>
      </c>
      <c r="F709" s="8" t="str">
        <v>PedidoF678</v>
      </c>
      <c r="G709" s="2" t="str">
        <v>CódRastreio676</v>
      </c>
      <c r="H709" s="5">
        <v>1</v>
      </c>
      <c r="I709" s="182" t="str">
        <v>CPF 675</v>
      </c>
      <c r="J709" s="2" t="str">
        <v>Nome 675</v>
      </c>
      <c r="K709" s="8" t="str">
        <v>Tel 675</v>
      </c>
      <c r="L709" s="8" t="str">
        <v>Cep 675</v>
      </c>
      <c r="M709" s="8" t="str">
        <v>Rua 675</v>
      </c>
      <c r="N709" s="8" t="str">
        <v>Comp 675</v>
      </c>
      <c r="O709" s="8" t="str">
        <v>Mini Liquidificador</v>
      </c>
      <c r="P709" s="8" t="str">
        <v>CK-YL6M-P5Y6</v>
      </c>
      <c r="Q709" s="4">
        <v>45675</v>
      </c>
      <c r="R709" s="109">
        <v>33.9</v>
      </c>
      <c r="S709" s="11">
        <f ca="1"/>
        <v>33.9</v>
      </c>
      <c r="T709" s="28">
        <f ca="1"/>
        <v>4.407</v>
      </c>
      <c r="U709" s="11">
        <f ca="1"/>
        <v>29.49</v>
      </c>
      <c r="V709" s="11">
        <v>15.99</v>
      </c>
      <c r="W709" s="11">
        <f ca="1"/>
        <v>0.23</v>
      </c>
      <c r="X709" s="11">
        <f ca="1"/>
        <v>0.39877104377104378</v>
      </c>
      <c r="Y709" s="11">
        <v>0</v>
      </c>
      <c r="Z709" s="11">
        <f ca="1"/>
        <v>12.871228956228954</v>
      </c>
      <c r="AA709" s="11">
        <f ca="1"/>
        <v>6.4356144781144771</v>
      </c>
      <c r="AB709" s="4">
        <f ca="1"/>
        <v>45682</v>
      </c>
      <c r="AC709" s="4">
        <v>45682</v>
      </c>
      <c r="AD709" s="9">
        <v>45688</v>
      </c>
      <c r="AE709" s="9">
        <v>45694</v>
      </c>
      <c r="AF709" s="4" t="str">
        <f t="shared" ca="1" si="26"/>
        <v>2025 01</v>
      </c>
      <c r="AG709" s="8" t="str" cm="1">
        <f t="array" ref="AG709">IFERROR(_xlfn.IFS('Banco de Dados'!#REF!="AG. COMPRA","Em processamento",'Banco de Dados'!#REF!="AG. RASTREIO","Em processamento",'Banco de Dados'!$AE709&lt;&gt;"-","Faturado",'Banco de Dados'!$AD709&lt;&gt;"-","Aguardando Pix",'Banco de Dados'!$AC709&lt;&gt;"-","Pendente"),"Aguardando Liberação")</f>
        <v>Aguardando Liberação</v>
      </c>
      <c r="AH709" s="5" t="str">
        <f>IF('Banco de Dados'!$F709="-",_xlfn.CONCAT(PROPER(TEXT(AK709,"aaaa"))," ",PROPER(TEXT(AK709,"mm"))),_xlfn.CONCAT(PROPER(TEXT(E709,"aaaa"))," ",PROPER(TEXT(E709,"mm"))))</f>
        <v>2025 01</v>
      </c>
      <c r="AI709" s="9" t="str">
        <f ca="1">IF('Banco de Dados'!$AK709&lt;&gt;"-","REEMBOLSO",IFERROR(_xlfn.XLOOKUP(G709,Follow[CODRASTREIO],Follow[STATUS]),"-"))</f>
        <v>ENTREGUE</v>
      </c>
      <c r="AJ709" s="9">
        <f ca="1">IF('Banco de Dados'!$AI709="ENTREGUE",_xlfn.XLOOKUP('Banco de Dados'!$G709,Follow[CODRASTREIO],Follow[DATAATUALIZAÇÃO]),"-")</f>
        <v>45667</v>
      </c>
      <c r="AK709" s="9" t="str">
        <f ca="1"/>
        <v>-</v>
      </c>
      <c r="AL709" s="35"/>
      <c r="AM709" s="109" cm="1">
        <f t="array" aca="1" ref="AM709" ca="1">IF('Banco de Dados'!$AK709&lt;&gt;"-",_xlfn.IFS('Banco de Dados'!$A709="bv",IF('Banco de Dados'!$E709&lt;45641,ROUND(SUM('Banco de Dados'!$R709*_xlfn.XLOOKUP('Banco de Dados'!$P709,Sku!B:B,Sku!#REF!)*20%),2),ROUND(SUM('Banco de Dados'!$R709*_xlfn.XLOOKUP('Banco de Dados'!$P709,Sku!B:B,Sku!H:H)*20%),2)),'Banco de Dados'!$A709="GO",ROUND(_xlfn.XLOOKUP('Banco de Dados'!$P709,Sku!C:C,Sku!H:H),2),'Banco de Dados'!$A709="MEI",ROUND(_xlfn.XLOOKUP('Banco de Dados'!$P709,Sku!D:D,Sku!H:H),2)),0)</f>
        <v>0</v>
      </c>
      <c r="AN709" s="109">
        <f ca="1">IF('Banco de Dados'!$AK709&lt;&gt;"-",IF('Banco de Dados'!$F709&lt;&gt;"-",_xlfn.XLOOKUP(IFERROR(IFERROR(IFERROR(VALUE(SUBSTITUTE(MID(_xlfn.TEXTAFTER('Banco de Dados'!$F709,"Data do Pedido:
",1),1,10),"-","/")),VALUE(SUBSTITUTE(MID(_xlfn.TEXTAFTER('Banco de Dados'!$F709,"Order date:
",1),1,10),"-","/"))),VALUE(SUBSTITUTE(MID(_xlfn.TEXTAFTER('Banco de Dados'!$F709,"Fecha de pedido:
",1),1,10),"-","/"))),"-"),SMS!A:A,SMS!K:K),0),0)</f>
        <v>0</v>
      </c>
      <c r="AO709" s="109">
        <f ca="1">IF('Banco de Dados'!$AK709&lt;&gt;"-",IF('Banco de Dados'!$F709&lt;&gt;"-",IFERROR(_xlfn.XLOOKUP(_xlfn.CONCAT('Banco de Dados'!$A709,IFERROR(IFERROR(VALUE(SUBSTITUTE(MID(_xlfn.TEXTAFTER('Banco de Dados'!$F709,"Data do Pedido:
",1),1,10),"-","/")),VALUE(SUBSTITUTE(MID(_xlfn.TEXTAFTER('Banco de Dados'!$F709,"Order date:
",1),1,10),"-","/"))),0)),ProxyDD[Chave],ProxyDD[Valor por pedido]),PROXY!$P$2),0),0)</f>
        <v>0</v>
      </c>
      <c r="AP709" s="28">
        <f ca="1">IF('Banco de Dados'!$AK709&lt;&gt;"-",IF('Banco de Dados'!$AL709="NÃO",IFERROR(VALUE(SUBSTITUTE(_xlfn.TEXTAFTER('Banco de Dados'!$F709,"BRL ",1),".",",")),0),0),0)</f>
        <v>0</v>
      </c>
      <c r="AQ709" s="28">
        <f ca="1">SUM('Banco de Dados'!$AM709:$AP709)</f>
        <v>0</v>
      </c>
      <c r="AR709" s="8"/>
      <c r="AS709" s="8"/>
      <c r="AY709" s="8"/>
    </row>
    <row r="710" spans="1:51">
      <c r="A710" s="5" t="str">
        <v>BV</v>
      </c>
      <c r="B710" s="5" t="str">
        <f ca="1"/>
        <v>BV45660</v>
      </c>
      <c r="C710" s="8" t="str">
        <v>Pedido 697</v>
      </c>
      <c r="D710" s="9">
        <v>45660</v>
      </c>
      <c r="E710" s="9">
        <v>45660</v>
      </c>
      <c r="F710" s="8" t="str">
        <v>PedidoF679</v>
      </c>
      <c r="G710" s="2" t="str">
        <v>CódRastreio677</v>
      </c>
      <c r="H710" s="5">
        <v>1</v>
      </c>
      <c r="I710" s="182" t="str">
        <v>CPF 676</v>
      </c>
      <c r="J710" s="2" t="str">
        <v>Nome 676</v>
      </c>
      <c r="K710" s="8" t="str">
        <v>Tel 676</v>
      </c>
      <c r="L710" s="8" t="str">
        <v>Cep 676</v>
      </c>
      <c r="M710" s="8" t="str">
        <v>Rua 676</v>
      </c>
      <c r="N710" s="8" t="str">
        <v>Comp 676</v>
      </c>
      <c r="O710" s="8" t="str">
        <v>Adaptador Bluetooph</v>
      </c>
      <c r="P710" s="8" t="str">
        <v>YA-AG3H-SPUK</v>
      </c>
      <c r="Q710" s="4">
        <v>45681</v>
      </c>
      <c r="R710" s="109">
        <v>21.99</v>
      </c>
      <c r="S710" s="11">
        <f ca="1"/>
        <v>21.99</v>
      </c>
      <c r="T710" s="28">
        <f ca="1"/>
        <v>2.6387999999999998</v>
      </c>
      <c r="U710" s="11">
        <f ca="1"/>
        <v>19.350000000000001</v>
      </c>
      <c r="V710" s="11">
        <v>6.99</v>
      </c>
      <c r="W710" s="11">
        <f ca="1"/>
        <v>0.23</v>
      </c>
      <c r="X710" s="11">
        <f ca="1"/>
        <v>0.39877104377104378</v>
      </c>
      <c r="Y710" s="11">
        <v>0</v>
      </c>
      <c r="Z710" s="11">
        <f ca="1"/>
        <v>11.731228956228957</v>
      </c>
      <c r="AA710" s="11">
        <f ca="1"/>
        <v>5.8656144781144786</v>
      </c>
      <c r="AB710" s="4">
        <f ca="1"/>
        <v>45688</v>
      </c>
      <c r="AC710" s="4">
        <v>45688</v>
      </c>
      <c r="AD710" s="9">
        <v>45688</v>
      </c>
      <c r="AE710" s="9">
        <v>45694</v>
      </c>
      <c r="AF710" s="4" t="str">
        <f t="shared" ca="1" si="26"/>
        <v>2025 01</v>
      </c>
      <c r="AG710" s="8" t="str" cm="1">
        <f t="array" ref="AG710">IFERROR(_xlfn.IFS('Banco de Dados'!#REF!="AG. COMPRA","Em processamento",'Banco de Dados'!#REF!="AG. RASTREIO","Em processamento",'Banco de Dados'!$AE710&lt;&gt;"-","Faturado",'Banco de Dados'!$AD710&lt;&gt;"-","Aguardando Pix",'Banco de Dados'!$AC710&lt;&gt;"-","Pendente"),"Aguardando Liberação")</f>
        <v>Aguardando Liberação</v>
      </c>
      <c r="AH710" s="5" t="str">
        <f>IF('Banco de Dados'!$F710="-",_xlfn.CONCAT(PROPER(TEXT(AK710,"aaaa"))," ",PROPER(TEXT(AK710,"mm"))),_xlfn.CONCAT(PROPER(TEXT(E710,"aaaa"))," ",PROPER(TEXT(E710,"mm"))))</f>
        <v>2025 01</v>
      </c>
      <c r="AI710" s="9" t="str">
        <f ca="1">IF('Banco de Dados'!$AK710&lt;&gt;"-","REEMBOLSO",IFERROR(_xlfn.XLOOKUP(G710,Follow[CODRASTREIO],Follow[STATUS]),"-"))</f>
        <v>ENTREGUE</v>
      </c>
      <c r="AJ710" s="9">
        <f ca="1">IF('Banco de Dados'!$AI710="ENTREGUE",_xlfn.XLOOKUP('Banco de Dados'!$G710,Follow[CODRASTREIO],Follow[DATAATUALIZAÇÃO]),"-")</f>
        <v>45668</v>
      </c>
      <c r="AK710" s="9" t="str">
        <f ca="1"/>
        <v>-</v>
      </c>
      <c r="AL710" s="35"/>
      <c r="AM710" s="109" cm="1">
        <f t="array" aca="1" ref="AM710" ca="1">IF('Banco de Dados'!$AK710&lt;&gt;"-",_xlfn.IFS('Banco de Dados'!$A710="bv",IF('Banco de Dados'!$E710&lt;45641,ROUND(SUM('Banco de Dados'!$R710*_xlfn.XLOOKUP('Banco de Dados'!$P710,Sku!B:B,Sku!#REF!)*20%),2),ROUND(SUM('Banco de Dados'!$R710*_xlfn.XLOOKUP('Banco de Dados'!$P710,Sku!B:B,Sku!H:H)*20%),2)),'Banco de Dados'!$A710="GO",ROUND(_xlfn.XLOOKUP('Banco de Dados'!$P710,Sku!C:C,Sku!H:H),2),'Banco de Dados'!$A710="MEI",ROUND(_xlfn.XLOOKUP('Banco de Dados'!$P710,Sku!D:D,Sku!H:H),2)),0)</f>
        <v>0</v>
      </c>
      <c r="AN710" s="109">
        <f ca="1">IF('Banco de Dados'!$AK710&lt;&gt;"-",IF('Banco de Dados'!$F710&lt;&gt;"-",_xlfn.XLOOKUP(IFERROR(IFERROR(IFERROR(VALUE(SUBSTITUTE(MID(_xlfn.TEXTAFTER('Banco de Dados'!$F710,"Data do Pedido:
",1),1,10),"-","/")),VALUE(SUBSTITUTE(MID(_xlfn.TEXTAFTER('Banco de Dados'!$F710,"Order date:
",1),1,10),"-","/"))),VALUE(SUBSTITUTE(MID(_xlfn.TEXTAFTER('Banco de Dados'!$F710,"Fecha de pedido:
",1),1,10),"-","/"))),"-"),SMS!A:A,SMS!K:K),0),0)</f>
        <v>0</v>
      </c>
      <c r="AO710" s="109">
        <f ca="1">IF('Banco de Dados'!$AK710&lt;&gt;"-",IF('Banco de Dados'!$F710&lt;&gt;"-",IFERROR(_xlfn.XLOOKUP(_xlfn.CONCAT('Banco de Dados'!$A710,IFERROR(IFERROR(VALUE(SUBSTITUTE(MID(_xlfn.TEXTAFTER('Banco de Dados'!$F710,"Data do Pedido:
",1),1,10),"-","/")),VALUE(SUBSTITUTE(MID(_xlfn.TEXTAFTER('Banco de Dados'!$F710,"Order date:
",1),1,10),"-","/"))),0)),ProxyDD[Chave],ProxyDD[Valor por pedido]),PROXY!$P$2),0),0)</f>
        <v>0</v>
      </c>
      <c r="AP710" s="28">
        <f ca="1">IF('Banco de Dados'!$AK710&lt;&gt;"-",IF('Banco de Dados'!$AL710="NÃO",IFERROR(VALUE(SUBSTITUTE(_xlfn.TEXTAFTER('Banco de Dados'!$F710,"BRL ",1),".",",")),0),0),0)</f>
        <v>0</v>
      </c>
      <c r="AQ710" s="28">
        <f ca="1">SUM('Banco de Dados'!$AM710:$AP710)</f>
        <v>0</v>
      </c>
      <c r="AR710" s="8"/>
      <c r="AS710" s="8"/>
      <c r="AY710" s="8"/>
    </row>
    <row r="711" spans="1:51">
      <c r="A711" s="5" t="str">
        <v>BV</v>
      </c>
      <c r="B711" s="5" t="str">
        <f ca="1"/>
        <v>BV45660</v>
      </c>
      <c r="C711" s="8" t="str">
        <v>Pedido 698</v>
      </c>
      <c r="D711" s="9">
        <v>45660</v>
      </c>
      <c r="E711" s="9">
        <v>45660</v>
      </c>
      <c r="F711" s="8" t="str">
        <v>PedidoF680</v>
      </c>
      <c r="G711" s="2" t="str">
        <v>CódRastreio678</v>
      </c>
      <c r="H711" s="5">
        <v>1</v>
      </c>
      <c r="I711" s="182" t="str">
        <v>CPF 677</v>
      </c>
      <c r="J711" s="2" t="str">
        <v>Nome 677</v>
      </c>
      <c r="K711" s="8" t="str">
        <v>Tel 677</v>
      </c>
      <c r="L711" s="8" t="str">
        <v>Cep 677</v>
      </c>
      <c r="M711" s="8" t="str">
        <v>Rua 677</v>
      </c>
      <c r="N711" s="8" t="str">
        <v>Comp 677</v>
      </c>
      <c r="O711" s="8" t="str">
        <v>Ventilador Rosa</v>
      </c>
      <c r="P711" s="8" t="str">
        <v>IF-G2ZQ-79FO</v>
      </c>
      <c r="Q711" s="4">
        <v>45681</v>
      </c>
      <c r="R711" s="109">
        <v>46.9</v>
      </c>
      <c r="S711" s="11">
        <f ca="1"/>
        <v>46.9</v>
      </c>
      <c r="T711" s="28">
        <f ca="1"/>
        <v>6.0970000000000004</v>
      </c>
      <c r="U711" s="11">
        <f ca="1"/>
        <v>40.799999999999997</v>
      </c>
      <c r="V711" s="11">
        <v>10.15</v>
      </c>
      <c r="W711" s="11">
        <f ca="1"/>
        <v>0.23</v>
      </c>
      <c r="X711" s="11">
        <f ca="1"/>
        <v>0.39877104377104378</v>
      </c>
      <c r="Y711" s="11">
        <v>0</v>
      </c>
      <c r="Z711" s="11">
        <f ca="1"/>
        <v>30.021228956228953</v>
      </c>
      <c r="AA711" s="11">
        <f ca="1"/>
        <v>15.010614478114476</v>
      </c>
      <c r="AB711" s="4">
        <f ca="1"/>
        <v>45688</v>
      </c>
      <c r="AC711" s="4">
        <v>45688</v>
      </c>
      <c r="AD711" s="9">
        <v>45688</v>
      </c>
      <c r="AE711" s="9">
        <v>45694</v>
      </c>
      <c r="AF711" s="4" t="str">
        <f t="shared" ca="1" si="26"/>
        <v>2025 01</v>
      </c>
      <c r="AG711" s="8" t="str" cm="1">
        <f t="array" ref="AG711">IFERROR(_xlfn.IFS('Banco de Dados'!#REF!="AG. COMPRA","Em processamento",'Banco de Dados'!#REF!="AG. RASTREIO","Em processamento",'Banco de Dados'!$AE711&lt;&gt;"-","Faturado",'Banco de Dados'!$AD711&lt;&gt;"-","Aguardando Pix",'Banco de Dados'!$AC711&lt;&gt;"-","Pendente"),"Aguardando Liberação")</f>
        <v>Aguardando Liberação</v>
      </c>
      <c r="AH711" s="5" t="str">
        <f>IF('Banco de Dados'!$F711="-",_xlfn.CONCAT(PROPER(TEXT(AK711,"aaaa"))," ",PROPER(TEXT(AK711,"mm"))),_xlfn.CONCAT(PROPER(TEXT(E711,"aaaa"))," ",PROPER(TEXT(E711,"mm"))))</f>
        <v>2025 01</v>
      </c>
      <c r="AI711" s="9" t="str">
        <f ca="1">IF('Banco de Dados'!$AK711&lt;&gt;"-","REEMBOLSO",IFERROR(_xlfn.XLOOKUP(G711,Follow[CODRASTREIO],Follow[STATUS]),"-"))</f>
        <v>ENTREGUE</v>
      </c>
      <c r="AJ711" s="9">
        <f ca="1">IF('Banco de Dados'!$AI711="ENTREGUE",_xlfn.XLOOKUP('Banco de Dados'!$G711,Follow[CODRASTREIO],Follow[DATAATUALIZAÇÃO]),"-")</f>
        <v>45667</v>
      </c>
      <c r="AK711" s="9" t="str">
        <f ca="1"/>
        <v>-</v>
      </c>
      <c r="AL711" s="35"/>
      <c r="AM711" s="109" cm="1">
        <f t="array" aca="1" ref="AM711" ca="1">IF('Banco de Dados'!$AK711&lt;&gt;"-",_xlfn.IFS('Banco de Dados'!$A711="bv",IF('Banco de Dados'!$E711&lt;45641,ROUND(SUM('Banco de Dados'!$R711*_xlfn.XLOOKUP('Banco de Dados'!$P711,Sku!B:B,Sku!#REF!)*20%),2),ROUND(SUM('Banco de Dados'!$R711*_xlfn.XLOOKUP('Banco de Dados'!$P711,Sku!B:B,Sku!H:H)*20%),2)),'Banco de Dados'!$A711="GO",ROUND(_xlfn.XLOOKUP('Banco de Dados'!$P711,Sku!C:C,Sku!H:H),2),'Banco de Dados'!$A711="MEI",ROUND(_xlfn.XLOOKUP('Banco de Dados'!$P711,Sku!D:D,Sku!H:H),2)),0)</f>
        <v>0</v>
      </c>
      <c r="AN711" s="109">
        <f ca="1">IF('Banco de Dados'!$AK711&lt;&gt;"-",IF('Banco de Dados'!$F711&lt;&gt;"-",_xlfn.XLOOKUP(IFERROR(IFERROR(IFERROR(VALUE(SUBSTITUTE(MID(_xlfn.TEXTAFTER('Banco de Dados'!$F711,"Data do Pedido:
",1),1,10),"-","/")),VALUE(SUBSTITUTE(MID(_xlfn.TEXTAFTER('Banco de Dados'!$F711,"Order date:
",1),1,10),"-","/"))),VALUE(SUBSTITUTE(MID(_xlfn.TEXTAFTER('Banco de Dados'!$F711,"Fecha de pedido:
",1),1,10),"-","/"))),"-"),SMS!A:A,SMS!K:K),0),0)</f>
        <v>0</v>
      </c>
      <c r="AO711" s="109">
        <f ca="1">IF('Banco de Dados'!$AK711&lt;&gt;"-",IF('Banco de Dados'!$F711&lt;&gt;"-",IFERROR(_xlfn.XLOOKUP(_xlfn.CONCAT('Banco de Dados'!$A711,IFERROR(IFERROR(VALUE(SUBSTITUTE(MID(_xlfn.TEXTAFTER('Banco de Dados'!$F711,"Data do Pedido:
",1),1,10),"-","/")),VALUE(SUBSTITUTE(MID(_xlfn.TEXTAFTER('Banco de Dados'!$F711,"Order date:
",1),1,10),"-","/"))),0)),ProxyDD[Chave],ProxyDD[Valor por pedido]),PROXY!$P$2),0),0)</f>
        <v>0</v>
      </c>
      <c r="AP711" s="28">
        <f ca="1">IF('Banco de Dados'!$AK711&lt;&gt;"-",IF('Banco de Dados'!$AL711="NÃO",IFERROR(VALUE(SUBSTITUTE(_xlfn.TEXTAFTER('Banco de Dados'!$F711,"BRL ",1),".",",")),0),0),0)</f>
        <v>0</v>
      </c>
      <c r="AQ711" s="28">
        <f ca="1">SUM('Banco de Dados'!$AM711:$AP711)</f>
        <v>0</v>
      </c>
      <c r="AR711" s="8"/>
      <c r="AS711" s="8"/>
      <c r="AY711" s="8"/>
    </row>
    <row r="712" spans="1:51">
      <c r="A712" s="5" t="str">
        <v>BV</v>
      </c>
      <c r="B712" s="5" t="str">
        <f ca="1"/>
        <v>BV-</v>
      </c>
      <c r="C712" s="8" t="str">
        <v>Pedido 699</v>
      </c>
      <c r="D712" s="9">
        <v>45627</v>
      </c>
      <c r="E712" s="9" t="str">
        <v>-</v>
      </c>
      <c r="F712" s="186" t="str">
        <v>-</v>
      </c>
      <c r="G712" s="2" t="str">
        <v>-</v>
      </c>
      <c r="H712" s="5">
        <v>1</v>
      </c>
      <c r="I712" s="182" t="str">
        <v>CPF 678</v>
      </c>
      <c r="J712" s="2" t="str">
        <v>Nome 678</v>
      </c>
      <c r="K712" s="8" t="str">
        <v>Tel 678</v>
      </c>
      <c r="L712" s="8" t="str">
        <v>Cep 678</v>
      </c>
      <c r="M712" s="8" t="str">
        <v>Rua 678</v>
      </c>
      <c r="N712" s="8" t="str">
        <v>Comp 678</v>
      </c>
      <c r="O712" s="8" t="str">
        <v>Ventilador Preto</v>
      </c>
      <c r="P712" s="8" t="str">
        <v>MU-J80P-95WF</v>
      </c>
      <c r="Q712" s="4">
        <v>45681</v>
      </c>
      <c r="R712" s="109">
        <v>65.599999999999994</v>
      </c>
      <c r="S712" s="11">
        <f ca="1"/>
        <v>0</v>
      </c>
      <c r="T712" s="28">
        <f ca="1"/>
        <v>0</v>
      </c>
      <c r="U712" s="11">
        <f ca="1"/>
        <v>0</v>
      </c>
      <c r="V712" s="11">
        <v>0</v>
      </c>
      <c r="W712" s="11">
        <f ca="1"/>
        <v>0</v>
      </c>
      <c r="X712" s="11">
        <f ca="1"/>
        <v>0</v>
      </c>
      <c r="Y712" s="11">
        <v>0</v>
      </c>
      <c r="Z712" s="11">
        <f ca="1"/>
        <v>0</v>
      </c>
      <c r="AA712" s="11">
        <f ca="1"/>
        <v>0</v>
      </c>
      <c r="AB712" s="4">
        <f ca="1"/>
        <v>45688</v>
      </c>
      <c r="AC712" s="4">
        <v>45688</v>
      </c>
      <c r="AD712" s="9">
        <v>45688</v>
      </c>
      <c r="AE712" s="9">
        <v>45694</v>
      </c>
      <c r="AF712" s="4" t="str">
        <f t="shared" ca="1" si="26"/>
        <v>2025 01</v>
      </c>
      <c r="AG712" s="8" t="str" cm="1">
        <f t="array" ref="AG712">IFERROR(_xlfn.IFS('Banco de Dados'!#REF!="AG. COMPRA","Em processamento",'Banco de Dados'!#REF!="AG. RASTREIO","Em processamento",'Banco de Dados'!$AE712&lt;&gt;"-","Faturado",'Banco de Dados'!$AD712&lt;&gt;"-","Aguardando Pix",'Banco de Dados'!$AC712&lt;&gt;"-","Pendente"),"Aguardando Liberação")</f>
        <v>Aguardando Liberação</v>
      </c>
      <c r="AH712" s="5" t="str">
        <f ca="1">IF('Banco de Dados'!$F712="-",_xlfn.CONCAT(PROPER(TEXT(AK712,"aaaa"))," ",PROPER(TEXT(AK712,"mm"))),_xlfn.CONCAT(PROPER(TEXT(E712,"aaaa"))," ",PROPER(TEXT(E712,"mm"))))</f>
        <v>2025 01</v>
      </c>
      <c r="AI712" s="9" t="str">
        <f ca="1">IF('Banco de Dados'!$AK712&lt;&gt;"-","REEMBOLSO",IFERROR(_xlfn.XLOOKUP(G712,Follow[CODRASTREIO],Follow[STATUS]),"-"))</f>
        <v>REEMBOLSO</v>
      </c>
      <c r="AJ712" s="9" t="str">
        <f ca="1">IF('Banco de Dados'!$AI712="ENTREGUE",_xlfn.XLOOKUP('Banco de Dados'!$G712,Follow[CODRASTREIO],Follow[DATAATUALIZAÇÃO]),"-")</f>
        <v>-</v>
      </c>
      <c r="AK712" s="9">
        <f ca="1"/>
        <v>45663</v>
      </c>
      <c r="AL712" s="35"/>
      <c r="AM712" s="109">
        <v>1.71</v>
      </c>
      <c r="AN712" s="109">
        <f ca="1">IF('Banco de Dados'!$AK712&lt;&gt;"-",IF('Banco de Dados'!$F712&lt;&gt;"-",_xlfn.XLOOKUP(IFERROR(IFERROR(IFERROR(VALUE(SUBSTITUTE(MID(_xlfn.TEXTAFTER('Banco de Dados'!$F712,"Data do Pedido:
",1),1,10),"-","/")),VALUE(SUBSTITUTE(MID(_xlfn.TEXTAFTER('Banco de Dados'!$F712,"Order date:
",1),1,10),"-","/"))),VALUE(SUBSTITUTE(MID(_xlfn.TEXTAFTER('Banco de Dados'!$F712,"Fecha de pedido:
",1),1,10),"-","/"))),"-"),SMS!A:A,SMS!K:K),0),0)</f>
        <v>0</v>
      </c>
      <c r="AO712" s="109">
        <f ca="1">IF('Banco de Dados'!$AK712&lt;&gt;"-",IF('Banco de Dados'!$F712&lt;&gt;"-",IFERROR(_xlfn.XLOOKUP(_xlfn.CONCAT('Banco de Dados'!$A712,IFERROR(IFERROR(VALUE(SUBSTITUTE(MID(_xlfn.TEXTAFTER('Banco de Dados'!$F712,"Data do Pedido:
",1),1,10),"-","/")),VALUE(SUBSTITUTE(MID(_xlfn.TEXTAFTER('Banco de Dados'!$F712,"Order date:
",1),1,10),"-","/"))),0)),ProxyDD[Chave],ProxyDD[Valor por pedido]),PROXY!$P$2),0),0)</f>
        <v>0</v>
      </c>
      <c r="AP712" s="28">
        <f ca="1">IF('Banco de Dados'!$AK712&lt;&gt;"-",IF('Banco de Dados'!$AL712="NÃO",IFERROR(VALUE(SUBSTITUTE(_xlfn.TEXTAFTER('Banco de Dados'!$F712,"BRL ",1),".",",")),0),0),0)</f>
        <v>0</v>
      </c>
      <c r="AQ712" s="28">
        <f ca="1">SUM('Banco de Dados'!$AM712:$AP712)</f>
        <v>1.71</v>
      </c>
      <c r="AR712" s="8"/>
      <c r="AS712" s="8"/>
      <c r="AY712" s="8"/>
    </row>
    <row r="713" spans="1:51">
      <c r="A713" s="5" t="str">
        <v>BV</v>
      </c>
      <c r="B713" s="5" t="str">
        <f ca="1"/>
        <v>BV45660</v>
      </c>
      <c r="C713" s="8" t="str">
        <v>Pedido 700</v>
      </c>
      <c r="D713" s="9">
        <v>45660</v>
      </c>
      <c r="E713" s="9">
        <v>45660</v>
      </c>
      <c r="F713" s="8" t="str">
        <v>PedidoF681</v>
      </c>
      <c r="G713" s="2" t="str">
        <v>CódRastreio679</v>
      </c>
      <c r="H713" s="5">
        <v>1</v>
      </c>
      <c r="I713" s="182" t="str">
        <v>CPF 679</v>
      </c>
      <c r="J713" s="2" t="str">
        <v>Nome 679</v>
      </c>
      <c r="K713" s="8" t="str">
        <v>Tel 679</v>
      </c>
      <c r="L713" s="8" t="str">
        <v>Cep 679</v>
      </c>
      <c r="M713" s="8" t="str">
        <v>Rua 679</v>
      </c>
      <c r="N713" s="8" t="str">
        <v>Comp 679</v>
      </c>
      <c r="O713" s="8" t="str">
        <v>Mini Liquidificador</v>
      </c>
      <c r="P713" s="8" t="str">
        <v>CK-YL6M-P5Y6</v>
      </c>
      <c r="Q713" s="4">
        <v>45687</v>
      </c>
      <c r="R713" s="109">
        <v>33.9</v>
      </c>
      <c r="S713" s="11">
        <f ca="1"/>
        <v>33.9</v>
      </c>
      <c r="T713" s="28">
        <f ca="1"/>
        <v>4.407</v>
      </c>
      <c r="U713" s="11">
        <f ca="1"/>
        <v>29.49</v>
      </c>
      <c r="V713" s="11">
        <v>15.99</v>
      </c>
      <c r="W713" s="11">
        <f ca="1"/>
        <v>0.23</v>
      </c>
      <c r="X713" s="11">
        <f ca="1"/>
        <v>0.39877104377104378</v>
      </c>
      <c r="Y713" s="11">
        <v>0</v>
      </c>
      <c r="Z713" s="11">
        <f ca="1"/>
        <v>12.871228956228954</v>
      </c>
      <c r="AA713" s="11">
        <f ca="1"/>
        <v>6.4356144781144771</v>
      </c>
      <c r="AB713" s="4">
        <f ca="1"/>
        <v>45694</v>
      </c>
      <c r="AC713" s="4">
        <v>45694</v>
      </c>
      <c r="AD713" s="9">
        <v>45694</v>
      </c>
      <c r="AE713" s="9">
        <v>45705</v>
      </c>
      <c r="AF713" s="4" t="str">
        <f t="shared" ca="1" si="26"/>
        <v>2025 02</v>
      </c>
      <c r="AG713" s="8" t="str" cm="1">
        <f t="array" ref="AG713">IFERROR(_xlfn.IFS('Banco de Dados'!#REF!="AG. COMPRA","Em processamento",'Banco de Dados'!#REF!="AG. RASTREIO","Em processamento",'Banco de Dados'!$AE713&lt;&gt;"-","Faturado",'Banco de Dados'!$AD713&lt;&gt;"-","Aguardando Pix",'Banco de Dados'!$AC713&lt;&gt;"-","Pendente"),"Aguardando Liberação")</f>
        <v>Aguardando Liberação</v>
      </c>
      <c r="AH713" s="5" t="str">
        <f>IF('Banco de Dados'!$F713="-",_xlfn.CONCAT(PROPER(TEXT(AK713,"aaaa"))," ",PROPER(TEXT(AK713,"mm"))),_xlfn.CONCAT(PROPER(TEXT(E713,"aaaa"))," ",PROPER(TEXT(E713,"mm"))))</f>
        <v>2025 01</v>
      </c>
      <c r="AI713" s="9" t="str">
        <f ca="1">IF('Banco de Dados'!$AK713&lt;&gt;"-","REEMBOLSO",IFERROR(_xlfn.XLOOKUP(G713,Follow[CODRASTREIO],Follow[STATUS]),"-"))</f>
        <v>ENTREGUE</v>
      </c>
      <c r="AJ713" s="9">
        <f ca="1">IF('Banco de Dados'!$AI713="ENTREGUE",_xlfn.XLOOKUP('Banco de Dados'!$G713,Follow[CODRASTREIO],Follow[DATAATUALIZAÇÃO]),"-")</f>
        <v>45668</v>
      </c>
      <c r="AK713" s="9" t="str">
        <f ca="1"/>
        <v>-</v>
      </c>
      <c r="AL713" s="35"/>
      <c r="AM713" s="109" cm="1">
        <f t="array" aca="1" ref="AM713" ca="1">IF('Banco de Dados'!$AK713&lt;&gt;"-",_xlfn.IFS('Banco de Dados'!$A713="bv",IF('Banco de Dados'!$E713&lt;45641,ROUND(SUM('Banco de Dados'!$R713*_xlfn.XLOOKUP('Banco de Dados'!$P713,Sku!B:B,Sku!#REF!)*20%),2),ROUND(SUM('Banco de Dados'!$R713*_xlfn.XLOOKUP('Banco de Dados'!$P713,Sku!B:B,Sku!H:H)*20%),2)),'Banco de Dados'!$A713="GO",ROUND(_xlfn.XLOOKUP('Banco de Dados'!$P713,Sku!C:C,Sku!H:H),2),'Banco de Dados'!$A713="MEI",ROUND(_xlfn.XLOOKUP('Banco de Dados'!$P713,Sku!D:D,Sku!H:H),2)),0)</f>
        <v>0</v>
      </c>
      <c r="AN713" s="109">
        <f ca="1">IF('Banco de Dados'!$AK713&lt;&gt;"-",IF('Banco de Dados'!$F713&lt;&gt;"-",_xlfn.XLOOKUP(IFERROR(IFERROR(IFERROR(VALUE(SUBSTITUTE(MID(_xlfn.TEXTAFTER('Banco de Dados'!$F713,"Data do Pedido:
",1),1,10),"-","/")),VALUE(SUBSTITUTE(MID(_xlfn.TEXTAFTER('Banco de Dados'!$F713,"Order date:
",1),1,10),"-","/"))),VALUE(SUBSTITUTE(MID(_xlfn.TEXTAFTER('Banco de Dados'!$F713,"Fecha de pedido:
",1),1,10),"-","/"))),"-"),SMS!A:A,SMS!K:K),0),0)</f>
        <v>0</v>
      </c>
      <c r="AO713" s="109">
        <f ca="1">IF('Banco de Dados'!$AK713&lt;&gt;"-",IF('Banco de Dados'!$F713&lt;&gt;"-",IFERROR(_xlfn.XLOOKUP(_xlfn.CONCAT('Banco de Dados'!$A713,IFERROR(IFERROR(VALUE(SUBSTITUTE(MID(_xlfn.TEXTAFTER('Banco de Dados'!$F713,"Data do Pedido:
",1),1,10),"-","/")),VALUE(SUBSTITUTE(MID(_xlfn.TEXTAFTER('Banco de Dados'!$F713,"Order date:
",1),1,10),"-","/"))),0)),ProxyDD[Chave],ProxyDD[Valor por pedido]),PROXY!$P$2),0),0)</f>
        <v>0</v>
      </c>
      <c r="AP713" s="28">
        <f ca="1">IF('Banco de Dados'!$AK713&lt;&gt;"-",IF('Banco de Dados'!$AL713="NÃO",IFERROR(VALUE(SUBSTITUTE(_xlfn.TEXTAFTER('Banco de Dados'!$F713,"BRL ",1),".",",")),0),0),0)</f>
        <v>0</v>
      </c>
      <c r="AQ713" s="28">
        <f ca="1">SUM('Banco de Dados'!$AM713:$AP713)</f>
        <v>0</v>
      </c>
      <c r="AR713" s="8"/>
      <c r="AS713" s="8"/>
      <c r="AY713" s="8"/>
    </row>
    <row r="714" spans="1:51">
      <c r="A714" s="5" t="str">
        <v>BV</v>
      </c>
      <c r="B714" s="5" t="str">
        <f ca="1"/>
        <v>BV45662</v>
      </c>
      <c r="C714" s="8" t="str">
        <v>Pedido 701</v>
      </c>
      <c r="D714" s="9">
        <v>45662</v>
      </c>
      <c r="E714" s="9">
        <v>45662</v>
      </c>
      <c r="F714" s="8" t="str">
        <v>PedidoF682</v>
      </c>
      <c r="G714" s="2" t="str">
        <v>CódRastreio680</v>
      </c>
      <c r="H714" s="5">
        <v>1</v>
      </c>
      <c r="I714" s="182" t="str">
        <v>CPF 680</v>
      </c>
      <c r="J714" s="2" t="str">
        <v>Nome 680</v>
      </c>
      <c r="K714" s="8" t="str">
        <v>Tel 680</v>
      </c>
      <c r="L714" s="8" t="str">
        <v>Cep 680</v>
      </c>
      <c r="M714" s="8" t="str">
        <v>Rua 680</v>
      </c>
      <c r="N714" s="8" t="str">
        <v>Comp 680</v>
      </c>
      <c r="O714" s="8" t="str">
        <v>Adaptador Bluetooph</v>
      </c>
      <c r="P714" s="8" t="str">
        <v>YA-AG3H-SPUK</v>
      </c>
      <c r="Q714" s="4">
        <v>45675</v>
      </c>
      <c r="R714" s="109">
        <v>21.99</v>
      </c>
      <c r="S714" s="11">
        <f ca="1"/>
        <v>21.99</v>
      </c>
      <c r="T714" s="28">
        <f ca="1"/>
        <v>2.6387999999999998</v>
      </c>
      <c r="U714" s="11">
        <f ca="1"/>
        <v>19.350000000000001</v>
      </c>
      <c r="V714" s="11">
        <v>6.99</v>
      </c>
      <c r="W714" s="11">
        <f ca="1"/>
        <v>0.22</v>
      </c>
      <c r="X714" s="11">
        <f ca="1"/>
        <v>0.39877104377104378</v>
      </c>
      <c r="Y714" s="11">
        <v>0</v>
      </c>
      <c r="Z714" s="11">
        <f ca="1"/>
        <v>11.741228956228959</v>
      </c>
      <c r="AA714" s="11">
        <f ca="1"/>
        <v>5.8706144781144793</v>
      </c>
      <c r="AB714" s="4">
        <f ca="1"/>
        <v>45682</v>
      </c>
      <c r="AC714" s="4">
        <v>45682</v>
      </c>
      <c r="AD714" s="9">
        <v>45688</v>
      </c>
      <c r="AE714" s="9">
        <v>45694</v>
      </c>
      <c r="AF714" s="4" t="str">
        <f t="shared" ref="AF714:AF738" ca="1" si="27">_xlfn.CONCAT(PROPER(TEXT(AB714,"aaaa"))," ",PROPER(TEXT(AB714,"mm")))</f>
        <v>2025 01</v>
      </c>
      <c r="AG714" s="8" t="str" cm="1">
        <f t="array" ref="AG714">IFERROR(_xlfn.IFS('Banco de Dados'!#REF!="AG. COMPRA","Em processamento",'Banco de Dados'!#REF!="AG. RASTREIO","Em processamento",'Banco de Dados'!$AE714&lt;&gt;"-","Faturado",'Banco de Dados'!$AD714&lt;&gt;"-","Aguardando Pix",'Banco de Dados'!$AC714&lt;&gt;"-","Pendente"),"Aguardando Liberação")</f>
        <v>Aguardando Liberação</v>
      </c>
      <c r="AH714" s="5" t="str">
        <f>IF('Banco de Dados'!$F714="-",_xlfn.CONCAT(PROPER(TEXT(AK714,"aaaa"))," ",PROPER(TEXT(AK714,"mm"))),_xlfn.CONCAT(PROPER(TEXT(E714,"aaaa"))," ",PROPER(TEXT(E714,"mm"))))</f>
        <v>2025 01</v>
      </c>
      <c r="AI714" s="9" t="str">
        <f ca="1">IF('Banco de Dados'!$AK714&lt;&gt;"-","REEMBOLSO",IFERROR(_xlfn.XLOOKUP(G714,Follow[CODRASTREIO],Follow[STATUS]),"-"))</f>
        <v>ENTREGUE</v>
      </c>
      <c r="AJ714" s="9">
        <f ca="1">IF('Banco de Dados'!$AI714="ENTREGUE",_xlfn.XLOOKUP('Banco de Dados'!$G714,Follow[CODRASTREIO],Follow[DATAATUALIZAÇÃO]),"-")</f>
        <v>45667</v>
      </c>
      <c r="AK714" s="9" t="str">
        <f ca="1"/>
        <v>-</v>
      </c>
      <c r="AL714" s="35"/>
      <c r="AM714" s="109" cm="1">
        <f t="array" aca="1" ref="AM714" ca="1">IF('Banco de Dados'!$AK714&lt;&gt;"-",_xlfn.IFS('Banco de Dados'!$A714="bv",IF('Banco de Dados'!$E714&lt;45641,ROUND(SUM('Banco de Dados'!$R714*_xlfn.XLOOKUP('Banco de Dados'!$P714,Sku!B:B,Sku!#REF!)*20%),2),ROUND(SUM('Banco de Dados'!$R714*_xlfn.XLOOKUP('Banco de Dados'!$P714,Sku!B:B,Sku!H:H)*20%),2)),'Banco de Dados'!$A714="GO",ROUND(_xlfn.XLOOKUP('Banco de Dados'!$P714,Sku!C:C,Sku!H:H),2),'Banco de Dados'!$A714="MEI",ROUND(_xlfn.XLOOKUP('Banco de Dados'!$P714,Sku!D:D,Sku!H:H),2)),0)</f>
        <v>0</v>
      </c>
      <c r="AN714" s="109">
        <f ca="1">IF('Banco de Dados'!$AK714&lt;&gt;"-",IF('Banco de Dados'!$F714&lt;&gt;"-",_xlfn.XLOOKUP(IFERROR(IFERROR(IFERROR(VALUE(SUBSTITUTE(MID(_xlfn.TEXTAFTER('Banco de Dados'!$F714,"Data do Pedido:
",1),1,10),"-","/")),VALUE(SUBSTITUTE(MID(_xlfn.TEXTAFTER('Banco de Dados'!$F714,"Order date:
",1),1,10),"-","/"))),VALUE(SUBSTITUTE(MID(_xlfn.TEXTAFTER('Banco de Dados'!$F714,"Fecha de pedido:
",1),1,10),"-","/"))),"-"),SMS!A:A,SMS!K:K),0),0)</f>
        <v>0</v>
      </c>
      <c r="AO714" s="109">
        <f ca="1">IF('Banco de Dados'!$AK714&lt;&gt;"-",IF('Banco de Dados'!$F714&lt;&gt;"-",IFERROR(_xlfn.XLOOKUP(_xlfn.CONCAT('Banco de Dados'!$A714,IFERROR(IFERROR(VALUE(SUBSTITUTE(MID(_xlfn.TEXTAFTER('Banco de Dados'!$F714,"Data do Pedido:
",1),1,10),"-","/")),VALUE(SUBSTITUTE(MID(_xlfn.TEXTAFTER('Banco de Dados'!$F714,"Order date:
",1),1,10),"-","/"))),0)),ProxyDD[Chave],ProxyDD[Valor por pedido]),PROXY!$P$2),0),0)</f>
        <v>0</v>
      </c>
      <c r="AP714" s="28">
        <f ca="1">IF('Banco de Dados'!$AK714&lt;&gt;"-",IF('Banco de Dados'!$AL714="NÃO",IFERROR(VALUE(SUBSTITUTE(_xlfn.TEXTAFTER('Banco de Dados'!$F714,"BRL ",1),".",",")),0),0),0)</f>
        <v>0</v>
      </c>
      <c r="AQ714" s="28">
        <f ca="1">SUM('Banco de Dados'!$AM714:$AP714)</f>
        <v>0</v>
      </c>
      <c r="AR714" s="8"/>
      <c r="AS714" s="8"/>
      <c r="AY714" s="8"/>
    </row>
    <row r="715" spans="1:51">
      <c r="A715" s="5" t="str">
        <v>BV</v>
      </c>
      <c r="B715" s="5" t="str">
        <f ca="1"/>
        <v>BV45662</v>
      </c>
      <c r="C715" s="8" t="str">
        <v>Pedido 702</v>
      </c>
      <c r="D715" s="9">
        <v>45662</v>
      </c>
      <c r="E715" s="9">
        <v>45662</v>
      </c>
      <c r="F715" s="8" t="str">
        <v>PedidoF683</v>
      </c>
      <c r="G715" s="2" t="str">
        <v>CódRastreio681</v>
      </c>
      <c r="H715" s="5">
        <v>1</v>
      </c>
      <c r="I715" s="182" t="str">
        <v>CPF 681</v>
      </c>
      <c r="J715" s="2" t="str">
        <v>Nome 681</v>
      </c>
      <c r="K715" s="8" t="str">
        <v>Tel 681</v>
      </c>
      <c r="L715" s="8" t="str">
        <v>Cep 681</v>
      </c>
      <c r="M715" s="8" t="str">
        <v>Rua 681</v>
      </c>
      <c r="N715" s="8" t="str">
        <v>Comp 681</v>
      </c>
      <c r="O715" s="8" t="str">
        <v>Ventilador Rosa</v>
      </c>
      <c r="P715" s="8" t="str">
        <v>IF-G2ZQ-79FO</v>
      </c>
      <c r="Q715" s="4">
        <v>45694</v>
      </c>
      <c r="R715" s="109">
        <v>46.9</v>
      </c>
      <c r="S715" s="11">
        <f ca="1"/>
        <v>46.9</v>
      </c>
      <c r="T715" s="28">
        <f ca="1"/>
        <v>6.0970000000000004</v>
      </c>
      <c r="U715" s="11">
        <f ca="1"/>
        <v>40.799999999999997</v>
      </c>
      <c r="V715" s="11">
        <v>10.15</v>
      </c>
      <c r="W715" s="11">
        <f ca="1"/>
        <v>0.22</v>
      </c>
      <c r="X715" s="11">
        <f ca="1"/>
        <v>0.39877104377104378</v>
      </c>
      <c r="Y715" s="11">
        <v>0</v>
      </c>
      <c r="Z715" s="11">
        <f ca="1"/>
        <v>30.031228956228951</v>
      </c>
      <c r="AA715" s="11">
        <f ca="1"/>
        <v>15.015614478114475</v>
      </c>
      <c r="AB715" s="4">
        <f ca="1"/>
        <v>45701</v>
      </c>
      <c r="AC715" s="4">
        <v>45701</v>
      </c>
      <c r="AD715" s="9">
        <v>45702</v>
      </c>
      <c r="AE715" s="9">
        <v>45705</v>
      </c>
      <c r="AF715" s="4" t="str">
        <f t="shared" ca="1" si="27"/>
        <v>2025 02</v>
      </c>
      <c r="AG715" s="8" t="str" cm="1">
        <f t="array" ref="AG715">IFERROR(_xlfn.IFS('Banco de Dados'!#REF!="AG. COMPRA","Em processamento",'Banco de Dados'!#REF!="AG. RASTREIO","Em processamento",'Banco de Dados'!$AE715&lt;&gt;"-","Faturado",'Banco de Dados'!$AD715&lt;&gt;"-","Aguardando Pix",'Banco de Dados'!$AC715&lt;&gt;"-","Pendente"),"Aguardando Liberação")</f>
        <v>Aguardando Liberação</v>
      </c>
      <c r="AH715" s="5" t="str">
        <f>IF('Banco de Dados'!$F715="-",_xlfn.CONCAT(PROPER(TEXT(AK715,"aaaa"))," ",PROPER(TEXT(AK715,"mm"))),_xlfn.CONCAT(PROPER(TEXT(E715,"aaaa"))," ",PROPER(TEXT(E715,"mm"))))</f>
        <v>2025 01</v>
      </c>
      <c r="AI715" s="9" t="str">
        <f ca="1">IF('Banco de Dados'!$AK715&lt;&gt;"-","REEMBOLSO",IFERROR(_xlfn.XLOOKUP(G715,Follow[CODRASTREIO],Follow[STATUS]),"-"))</f>
        <v>ENTREGUE</v>
      </c>
      <c r="AJ715" s="9">
        <f ca="1">IF('Banco de Dados'!$AI715="ENTREGUE",_xlfn.XLOOKUP('Banco de Dados'!$G715,Follow[CODRASTREIO],Follow[DATAATUALIZAÇÃO]),"-")</f>
        <v>45678</v>
      </c>
      <c r="AK715" s="9" t="str">
        <f ca="1"/>
        <v>-</v>
      </c>
      <c r="AL715" s="35"/>
      <c r="AM715" s="109" cm="1">
        <f t="array" aca="1" ref="AM715" ca="1">IF('Banco de Dados'!$AK715&lt;&gt;"-",_xlfn.IFS('Banco de Dados'!$A715="bv",IF('Banco de Dados'!$E715&lt;45641,ROUND(SUM('Banco de Dados'!$R715*_xlfn.XLOOKUP('Banco de Dados'!$P715,Sku!B:B,Sku!#REF!)*20%),2),ROUND(SUM('Banco de Dados'!$R715*_xlfn.XLOOKUP('Banco de Dados'!$P715,Sku!B:B,Sku!H:H)*20%),2)),'Banco de Dados'!$A715="GO",ROUND(_xlfn.XLOOKUP('Banco de Dados'!$P715,Sku!C:C,Sku!H:H),2),'Banco de Dados'!$A715="MEI",ROUND(_xlfn.XLOOKUP('Banco de Dados'!$P715,Sku!D:D,Sku!H:H),2)),0)</f>
        <v>0</v>
      </c>
      <c r="AN715" s="109">
        <f ca="1">IF('Banco de Dados'!$AK715&lt;&gt;"-",IF('Banco de Dados'!$F715&lt;&gt;"-",_xlfn.XLOOKUP(IFERROR(IFERROR(IFERROR(VALUE(SUBSTITUTE(MID(_xlfn.TEXTAFTER('Banco de Dados'!$F715,"Data do Pedido:
",1),1,10),"-","/")),VALUE(SUBSTITUTE(MID(_xlfn.TEXTAFTER('Banco de Dados'!$F715,"Order date:
",1),1,10),"-","/"))),VALUE(SUBSTITUTE(MID(_xlfn.TEXTAFTER('Banco de Dados'!$F715,"Fecha de pedido:
",1),1,10),"-","/"))),"-"),SMS!A:A,SMS!K:K),0),0)</f>
        <v>0</v>
      </c>
      <c r="AO715" s="109">
        <f ca="1">IF('Banco de Dados'!$AK715&lt;&gt;"-",IF('Banco de Dados'!$F715&lt;&gt;"-",IFERROR(_xlfn.XLOOKUP(_xlfn.CONCAT('Banco de Dados'!$A715,IFERROR(IFERROR(VALUE(SUBSTITUTE(MID(_xlfn.TEXTAFTER('Banco de Dados'!$F715,"Data do Pedido:
",1),1,10),"-","/")),VALUE(SUBSTITUTE(MID(_xlfn.TEXTAFTER('Banco de Dados'!$F715,"Order date:
",1),1,10),"-","/"))),0)),ProxyDD[Chave],ProxyDD[Valor por pedido]),PROXY!$P$2),0),0)</f>
        <v>0</v>
      </c>
      <c r="AP715" s="28">
        <f ca="1">IF('Banco de Dados'!$AK715&lt;&gt;"-",IF('Banco de Dados'!$AL715="NÃO",IFERROR(VALUE(SUBSTITUTE(_xlfn.TEXTAFTER('Banco de Dados'!$F715,"BRL ",1),".",",")),0),0),0)</f>
        <v>0</v>
      </c>
      <c r="AQ715" s="28">
        <f ca="1">SUM('Banco de Dados'!$AM715:$AP715)</f>
        <v>0</v>
      </c>
      <c r="AR715" s="8"/>
      <c r="AS715" s="8"/>
      <c r="AY715" s="8"/>
    </row>
    <row r="716" spans="1:51">
      <c r="A716" s="5" t="str">
        <v>BV</v>
      </c>
      <c r="B716" s="5" t="str">
        <f ca="1"/>
        <v>BV45662</v>
      </c>
      <c r="C716" s="8" t="str">
        <v>Pedido 703</v>
      </c>
      <c r="D716" s="9">
        <v>45662</v>
      </c>
      <c r="E716" s="9">
        <v>45662</v>
      </c>
      <c r="F716" s="8" t="str">
        <v>PedidoF684</v>
      </c>
      <c r="G716" s="2" t="str">
        <v>CódRastreio682</v>
      </c>
      <c r="H716" s="5">
        <v>1</v>
      </c>
      <c r="I716" s="182" t="str">
        <v>CPF 682</v>
      </c>
      <c r="J716" s="2" t="str">
        <v>Nome 682</v>
      </c>
      <c r="K716" s="8" t="str">
        <v>Tel 682</v>
      </c>
      <c r="L716" s="8" t="str">
        <v>Cep 682</v>
      </c>
      <c r="M716" s="8" t="str">
        <v>Rua 682</v>
      </c>
      <c r="N716" s="8" t="str">
        <v>Comp 682</v>
      </c>
      <c r="O716" s="8" t="str">
        <v>Garrafa Termica</v>
      </c>
      <c r="P716" s="8" t="str">
        <v>FM-QQ8Y-RZT4</v>
      </c>
      <c r="Q716" s="4">
        <v>45679</v>
      </c>
      <c r="R716" s="109">
        <v>34.9</v>
      </c>
      <c r="S716" s="11">
        <f ca="1"/>
        <v>34.9</v>
      </c>
      <c r="T716" s="28">
        <f ca="1"/>
        <v>4.5369999999999999</v>
      </c>
      <c r="U716" s="11">
        <f ca="1"/>
        <v>30.36</v>
      </c>
      <c r="V716" s="11">
        <v>6.99</v>
      </c>
      <c r="W716" s="11">
        <f ca="1"/>
        <v>0.22</v>
      </c>
      <c r="X716" s="11">
        <f ca="1"/>
        <v>0.39877104377104378</v>
      </c>
      <c r="Y716" s="11">
        <v>0</v>
      </c>
      <c r="Z716" s="11">
        <f ca="1"/>
        <v>22.751228956228957</v>
      </c>
      <c r="AA716" s="11">
        <f ca="1"/>
        <v>11.375614478114478</v>
      </c>
      <c r="AB716" s="4">
        <f ca="1"/>
        <v>45686</v>
      </c>
      <c r="AC716" s="4">
        <v>45686</v>
      </c>
      <c r="AD716" s="9">
        <v>45688</v>
      </c>
      <c r="AE716" s="9">
        <v>45694</v>
      </c>
      <c r="AF716" s="4" t="str">
        <f t="shared" ca="1" si="27"/>
        <v>2025 01</v>
      </c>
      <c r="AG716" s="8" t="str" cm="1">
        <f t="array" ref="AG716">IFERROR(_xlfn.IFS('Banco de Dados'!#REF!="AG. COMPRA","Em processamento",'Banco de Dados'!#REF!="AG. RASTREIO","Em processamento",'Banco de Dados'!$AE716&lt;&gt;"-","Faturado",'Banco de Dados'!$AD716&lt;&gt;"-","Aguardando Pix",'Banco de Dados'!$AC716&lt;&gt;"-","Pendente"),"Aguardando Liberação")</f>
        <v>Aguardando Liberação</v>
      </c>
      <c r="AH716" s="5" t="str">
        <f>IF('Banco de Dados'!$F716="-",_xlfn.CONCAT(PROPER(TEXT(AK716,"aaaa"))," ",PROPER(TEXT(AK716,"mm"))),_xlfn.CONCAT(PROPER(TEXT(E716,"aaaa"))," ",PROPER(TEXT(E716,"mm"))))</f>
        <v>2025 01</v>
      </c>
      <c r="AI716" s="9" t="str">
        <f ca="1">IF('Banco de Dados'!$AK716&lt;&gt;"-","REEMBOLSO",IFERROR(_xlfn.XLOOKUP(G716,Follow[CODRASTREIO],Follow[STATUS]),"-"))</f>
        <v>ENTREGUE</v>
      </c>
      <c r="AJ716" s="9">
        <f ca="1">IF('Banco de Dados'!$AI716="ENTREGUE",_xlfn.XLOOKUP('Banco de Dados'!$G716,Follow[CODRASTREIO],Follow[DATAATUALIZAÇÃO]),"-")</f>
        <v>45667</v>
      </c>
      <c r="AK716" s="9" t="str">
        <f ca="1"/>
        <v>-</v>
      </c>
      <c r="AL716" s="35"/>
      <c r="AM716" s="109" cm="1">
        <f t="array" aca="1" ref="AM716" ca="1">IF('Banco de Dados'!$AK716&lt;&gt;"-",_xlfn.IFS('Banco de Dados'!$A716="bv",IF('Banco de Dados'!$E716&lt;45641,ROUND(SUM('Banco de Dados'!$R716*_xlfn.XLOOKUP('Banco de Dados'!$P716,Sku!B:B,Sku!#REF!)*20%),2),ROUND(SUM('Banco de Dados'!$R716*_xlfn.XLOOKUP('Banco de Dados'!$P716,Sku!B:B,Sku!H:H)*20%),2)),'Banco de Dados'!$A716="GO",ROUND(_xlfn.XLOOKUP('Banco de Dados'!$P716,Sku!C:C,Sku!H:H),2),'Banco de Dados'!$A716="MEI",ROUND(_xlfn.XLOOKUP('Banco de Dados'!$P716,Sku!D:D,Sku!H:H),2)),0)</f>
        <v>0</v>
      </c>
      <c r="AN716" s="109">
        <f ca="1">IF('Banco de Dados'!$AK716&lt;&gt;"-",IF('Banco de Dados'!$F716&lt;&gt;"-",_xlfn.XLOOKUP(IFERROR(IFERROR(IFERROR(VALUE(SUBSTITUTE(MID(_xlfn.TEXTAFTER('Banco de Dados'!$F716,"Data do Pedido:
",1),1,10),"-","/")),VALUE(SUBSTITUTE(MID(_xlfn.TEXTAFTER('Banco de Dados'!$F716,"Order date:
",1),1,10),"-","/"))),VALUE(SUBSTITUTE(MID(_xlfn.TEXTAFTER('Banco de Dados'!$F716,"Fecha de pedido:
",1),1,10),"-","/"))),"-"),SMS!A:A,SMS!K:K),0),0)</f>
        <v>0</v>
      </c>
      <c r="AO716" s="109">
        <f ca="1">IF('Banco de Dados'!$AK716&lt;&gt;"-",IF('Banco de Dados'!$F716&lt;&gt;"-",IFERROR(_xlfn.XLOOKUP(_xlfn.CONCAT('Banco de Dados'!$A716,IFERROR(IFERROR(VALUE(SUBSTITUTE(MID(_xlfn.TEXTAFTER('Banco de Dados'!$F716,"Data do Pedido:
",1),1,10),"-","/")),VALUE(SUBSTITUTE(MID(_xlfn.TEXTAFTER('Banco de Dados'!$F716,"Order date:
",1),1,10),"-","/"))),0)),ProxyDD[Chave],ProxyDD[Valor por pedido]),PROXY!$P$2),0),0)</f>
        <v>0</v>
      </c>
      <c r="AP716" s="28">
        <f ca="1">IF('Banco de Dados'!$AK716&lt;&gt;"-",IF('Banco de Dados'!$AL716="NÃO",IFERROR(VALUE(SUBSTITUTE(_xlfn.TEXTAFTER('Banco de Dados'!$F716,"BRL ",1),".",",")),0),0),0)</f>
        <v>0</v>
      </c>
      <c r="AQ716" s="28">
        <f ca="1">SUM('Banco de Dados'!$AM716:$AP716)</f>
        <v>0</v>
      </c>
      <c r="AR716" s="8"/>
      <c r="AS716" s="8"/>
      <c r="AY716" s="8"/>
    </row>
    <row r="717" spans="1:51">
      <c r="A717" s="5" t="str">
        <v>BV</v>
      </c>
      <c r="B717" s="5" t="str">
        <f ca="1"/>
        <v>BV45662</v>
      </c>
      <c r="C717" s="8" t="str">
        <v>Pedido 704</v>
      </c>
      <c r="D717" s="9">
        <v>45662</v>
      </c>
      <c r="E717" s="9">
        <v>45662</v>
      </c>
      <c r="F717" s="8" t="str">
        <v>PedidoF685</v>
      </c>
      <c r="G717" s="2" t="str">
        <v>CódRastreio683</v>
      </c>
      <c r="H717" s="5">
        <v>1</v>
      </c>
      <c r="I717" s="182" t="str">
        <v>CPF 683</v>
      </c>
      <c r="J717" s="2" t="str">
        <v>Nome 683</v>
      </c>
      <c r="K717" s="8" t="str">
        <v>Tel 683</v>
      </c>
      <c r="L717" s="8" t="str">
        <v>Cep 683</v>
      </c>
      <c r="M717" s="8" t="str">
        <v>Rua 683</v>
      </c>
      <c r="N717" s="8" t="str">
        <v>Comp 683</v>
      </c>
      <c r="O717" s="8" t="str">
        <v>Ventilador Preto</v>
      </c>
      <c r="P717" s="8" t="str">
        <v>MU-J80P-95WF</v>
      </c>
      <c r="Q717" s="4">
        <v>45681</v>
      </c>
      <c r="R717" s="109">
        <v>65.599999999999994</v>
      </c>
      <c r="S717" s="11">
        <f ca="1"/>
        <v>65.599999999999994</v>
      </c>
      <c r="T717" s="28">
        <f ca="1"/>
        <v>8.5279999999999987</v>
      </c>
      <c r="U717" s="11">
        <f ca="1"/>
        <v>57.07</v>
      </c>
      <c r="V717" s="11">
        <v>10.15</v>
      </c>
      <c r="W717" s="11">
        <f ca="1"/>
        <v>0.22</v>
      </c>
      <c r="X717" s="11">
        <f ca="1"/>
        <v>0.39877104377104378</v>
      </c>
      <c r="Y717" s="11">
        <v>0</v>
      </c>
      <c r="Z717" s="11">
        <f ca="1"/>
        <v>46.301228956228954</v>
      </c>
      <c r="AA717" s="11">
        <f ca="1"/>
        <v>23.150614478114477</v>
      </c>
      <c r="AB717" s="4">
        <f ca="1"/>
        <v>45688</v>
      </c>
      <c r="AC717" s="4">
        <v>45688</v>
      </c>
      <c r="AD717" s="9">
        <v>45688</v>
      </c>
      <c r="AE717" s="9">
        <v>45694</v>
      </c>
      <c r="AF717" s="4" t="str">
        <f t="shared" ca="1" si="27"/>
        <v>2025 01</v>
      </c>
      <c r="AG717" s="8" t="str" cm="1">
        <f t="array" ref="AG717">IFERROR(_xlfn.IFS('Banco de Dados'!#REF!="AG. COMPRA","Em processamento",'Banco de Dados'!#REF!="AG. RASTREIO","Em processamento",'Banco de Dados'!$AE717&lt;&gt;"-","Faturado",'Banco de Dados'!$AD717&lt;&gt;"-","Aguardando Pix",'Banco de Dados'!$AC717&lt;&gt;"-","Pendente"),"Aguardando Liberação")</f>
        <v>Aguardando Liberação</v>
      </c>
      <c r="AH717" s="5" t="str">
        <f>IF('Banco de Dados'!$F717="-",_xlfn.CONCAT(PROPER(TEXT(AK717,"aaaa"))," ",PROPER(TEXT(AK717,"mm"))),_xlfn.CONCAT(PROPER(TEXT(E717,"aaaa"))," ",PROPER(TEXT(E717,"mm"))))</f>
        <v>2025 01</v>
      </c>
      <c r="AI717" s="9" t="str">
        <f ca="1">IF('Banco de Dados'!$AK717&lt;&gt;"-","REEMBOLSO",IFERROR(_xlfn.XLOOKUP(G717,Follow[CODRASTREIO],Follow[STATUS]),"-"))</f>
        <v>ENTREGUE</v>
      </c>
      <c r="AJ717" s="9">
        <f ca="1">IF('Banco de Dados'!$AI717="ENTREGUE",_xlfn.XLOOKUP('Banco de Dados'!$G717,Follow[CODRASTREIO],Follow[DATAATUALIZAÇÃO]),"-")</f>
        <v>45668</v>
      </c>
      <c r="AK717" s="9" t="str">
        <f ca="1"/>
        <v>-</v>
      </c>
      <c r="AL717" s="35"/>
      <c r="AM717" s="109" cm="1">
        <f t="array" aca="1" ref="AM717" ca="1">IF('Banco de Dados'!$AK717&lt;&gt;"-",_xlfn.IFS('Banco de Dados'!$A717="bv",IF('Banco de Dados'!$E717&lt;45641,ROUND(SUM('Banco de Dados'!$R717*_xlfn.XLOOKUP('Banco de Dados'!$P717,Sku!B:B,Sku!#REF!)*20%),2),ROUND(SUM('Banco de Dados'!$R717*_xlfn.XLOOKUP('Banco de Dados'!$P717,Sku!B:B,Sku!H:H)*20%),2)),'Banco de Dados'!$A717="GO",ROUND(_xlfn.XLOOKUP('Banco de Dados'!$P717,Sku!C:C,Sku!H:H),2),'Banco de Dados'!$A717="MEI",ROUND(_xlfn.XLOOKUP('Banco de Dados'!$P717,Sku!D:D,Sku!H:H),2)),0)</f>
        <v>0</v>
      </c>
      <c r="AN717" s="109">
        <f ca="1">IF('Banco de Dados'!$AK717&lt;&gt;"-",IF('Banco de Dados'!$F717&lt;&gt;"-",_xlfn.XLOOKUP(IFERROR(IFERROR(IFERROR(VALUE(SUBSTITUTE(MID(_xlfn.TEXTAFTER('Banco de Dados'!$F717,"Data do Pedido:
",1),1,10),"-","/")),VALUE(SUBSTITUTE(MID(_xlfn.TEXTAFTER('Banco de Dados'!$F717,"Order date:
",1),1,10),"-","/"))),VALUE(SUBSTITUTE(MID(_xlfn.TEXTAFTER('Banco de Dados'!$F717,"Fecha de pedido:
",1),1,10),"-","/"))),"-"),SMS!A:A,SMS!K:K),0),0)</f>
        <v>0</v>
      </c>
      <c r="AO717" s="109">
        <f ca="1">IF('Banco de Dados'!$AK717&lt;&gt;"-",IF('Banco de Dados'!$F717&lt;&gt;"-",IFERROR(_xlfn.XLOOKUP(_xlfn.CONCAT('Banco de Dados'!$A717,IFERROR(IFERROR(VALUE(SUBSTITUTE(MID(_xlfn.TEXTAFTER('Banco de Dados'!$F717,"Data do Pedido:
",1),1,10),"-","/")),VALUE(SUBSTITUTE(MID(_xlfn.TEXTAFTER('Banco de Dados'!$F717,"Order date:
",1),1,10),"-","/"))),0)),ProxyDD[Chave],ProxyDD[Valor por pedido]),PROXY!$P$2),0),0)</f>
        <v>0</v>
      </c>
      <c r="AP717" s="28">
        <f ca="1">IF('Banco de Dados'!$AK717&lt;&gt;"-",IF('Banco de Dados'!$AL717="NÃO",IFERROR(VALUE(SUBSTITUTE(_xlfn.TEXTAFTER('Banco de Dados'!$F717,"BRL ",1),".",",")),0),0),0)</f>
        <v>0</v>
      </c>
      <c r="AQ717" s="28">
        <f ca="1">SUM('Banco de Dados'!$AM717:$AP717)</f>
        <v>0</v>
      </c>
      <c r="AR717" s="8"/>
      <c r="AS717" s="8"/>
      <c r="AY717" s="8"/>
    </row>
    <row r="718" spans="1:51">
      <c r="A718" s="5" t="str">
        <v>BV</v>
      </c>
      <c r="B718" s="5" t="str">
        <f ca="1"/>
        <v>BV45662</v>
      </c>
      <c r="C718" s="8" t="str">
        <v>Pedido 705</v>
      </c>
      <c r="D718" s="9">
        <v>45662</v>
      </c>
      <c r="E718" s="9">
        <v>45662</v>
      </c>
      <c r="F718" s="8" t="str">
        <v>PedidoF686</v>
      </c>
      <c r="G718" s="2" t="str">
        <v>CódRastreio684</v>
      </c>
      <c r="H718" s="5">
        <v>1</v>
      </c>
      <c r="I718" s="182" t="str">
        <v>CPF 684</v>
      </c>
      <c r="J718" s="2" t="str">
        <v>Nome 684</v>
      </c>
      <c r="K718" s="8" t="str">
        <v>Tel 684</v>
      </c>
      <c r="L718" s="8" t="str">
        <v>Cep 684</v>
      </c>
      <c r="M718" s="8" t="str">
        <v>Rua 684</v>
      </c>
      <c r="N718" s="8" t="str">
        <v>Comp 684</v>
      </c>
      <c r="O718" s="8" t="str">
        <v>Adaptador Bluetooph</v>
      </c>
      <c r="P718" s="8" t="str">
        <v>YA-AG3H-SPUK</v>
      </c>
      <c r="Q718" s="4">
        <v>45681</v>
      </c>
      <c r="R718" s="109">
        <v>21.99</v>
      </c>
      <c r="S718" s="11">
        <f ca="1"/>
        <v>21.99</v>
      </c>
      <c r="T718" s="28">
        <f ca="1"/>
        <v>2.6387999999999998</v>
      </c>
      <c r="U718" s="11">
        <f ca="1"/>
        <v>19.350000000000001</v>
      </c>
      <c r="V718" s="11">
        <v>6.99</v>
      </c>
      <c r="W718" s="11">
        <f ca="1"/>
        <v>0.22</v>
      </c>
      <c r="X718" s="11">
        <f ca="1"/>
        <v>0.39877104377104378</v>
      </c>
      <c r="Y718" s="11">
        <v>0</v>
      </c>
      <c r="Z718" s="11">
        <f ca="1"/>
        <v>11.741228956228959</v>
      </c>
      <c r="AA718" s="11">
        <f ca="1"/>
        <v>5.8706144781144793</v>
      </c>
      <c r="AB718" s="4">
        <f ca="1"/>
        <v>45688</v>
      </c>
      <c r="AC718" s="4">
        <v>45688</v>
      </c>
      <c r="AD718" s="9">
        <v>45688</v>
      </c>
      <c r="AE718" s="9">
        <v>45694</v>
      </c>
      <c r="AF718" s="4" t="str">
        <f t="shared" ca="1" si="27"/>
        <v>2025 01</v>
      </c>
      <c r="AG718" s="8" t="str" cm="1">
        <f t="array" ref="AG718">IFERROR(_xlfn.IFS('Banco de Dados'!#REF!="AG. COMPRA","Em processamento",'Banco de Dados'!#REF!="AG. RASTREIO","Em processamento",'Banco de Dados'!$AE718&lt;&gt;"-","Faturado",'Banco de Dados'!$AD718&lt;&gt;"-","Aguardando Pix",'Banco de Dados'!$AC718&lt;&gt;"-","Pendente"),"Aguardando Liberação")</f>
        <v>Aguardando Liberação</v>
      </c>
      <c r="AH718" s="5" t="str">
        <f>IF('Banco de Dados'!$F718="-",_xlfn.CONCAT(PROPER(TEXT(AK718,"aaaa"))," ",PROPER(TEXT(AK718,"mm"))),_xlfn.CONCAT(PROPER(TEXT(E718,"aaaa"))," ",PROPER(TEXT(E718,"mm"))))</f>
        <v>2025 01</v>
      </c>
      <c r="AI718" s="9" t="str">
        <f ca="1">IF('Banco de Dados'!$AK718&lt;&gt;"-","REEMBOLSO",IFERROR(_xlfn.XLOOKUP(G718,Follow[CODRASTREIO],Follow[STATUS]),"-"))</f>
        <v>ENTREGUE</v>
      </c>
      <c r="AJ718" s="9">
        <f ca="1">IF('Banco de Dados'!$AI718="ENTREGUE",_xlfn.XLOOKUP('Banco de Dados'!$G718,Follow[CODRASTREIO],Follow[DATAATUALIZAÇÃO]),"-")</f>
        <v>45670</v>
      </c>
      <c r="AK718" s="9" t="str">
        <f ca="1"/>
        <v>-</v>
      </c>
      <c r="AL718" s="35"/>
      <c r="AM718" s="109" cm="1">
        <f t="array" aca="1" ref="AM718" ca="1">IF('Banco de Dados'!$AK718&lt;&gt;"-",_xlfn.IFS('Banco de Dados'!$A718="bv",IF('Banco de Dados'!$E718&lt;45641,ROUND(SUM('Banco de Dados'!$R718*_xlfn.XLOOKUP('Banco de Dados'!$P718,Sku!B:B,Sku!#REF!)*20%),2),ROUND(SUM('Banco de Dados'!$R718*_xlfn.XLOOKUP('Banco de Dados'!$P718,Sku!B:B,Sku!H:H)*20%),2)),'Banco de Dados'!$A718="GO",ROUND(_xlfn.XLOOKUP('Banco de Dados'!$P718,Sku!C:C,Sku!H:H),2),'Banco de Dados'!$A718="MEI",ROUND(_xlfn.XLOOKUP('Banco de Dados'!$P718,Sku!D:D,Sku!H:H),2)),0)</f>
        <v>0</v>
      </c>
      <c r="AN718" s="109">
        <f ca="1">IF('Banco de Dados'!$AK718&lt;&gt;"-",IF('Banco de Dados'!$F718&lt;&gt;"-",_xlfn.XLOOKUP(IFERROR(IFERROR(IFERROR(VALUE(SUBSTITUTE(MID(_xlfn.TEXTAFTER('Banco de Dados'!$F718,"Data do Pedido:
",1),1,10),"-","/")),VALUE(SUBSTITUTE(MID(_xlfn.TEXTAFTER('Banco de Dados'!$F718,"Order date:
",1),1,10),"-","/"))),VALUE(SUBSTITUTE(MID(_xlfn.TEXTAFTER('Banco de Dados'!$F718,"Fecha de pedido:
",1),1,10),"-","/"))),"-"),SMS!A:A,SMS!K:K),0),0)</f>
        <v>0</v>
      </c>
      <c r="AO718" s="109">
        <f ca="1">IF('Banco de Dados'!$AK718&lt;&gt;"-",IF('Banco de Dados'!$F718&lt;&gt;"-",IFERROR(_xlfn.XLOOKUP(_xlfn.CONCAT('Banco de Dados'!$A718,IFERROR(IFERROR(VALUE(SUBSTITUTE(MID(_xlfn.TEXTAFTER('Banco de Dados'!$F718,"Data do Pedido:
",1),1,10),"-","/")),VALUE(SUBSTITUTE(MID(_xlfn.TEXTAFTER('Banco de Dados'!$F718,"Order date:
",1),1,10),"-","/"))),0)),ProxyDD[Chave],ProxyDD[Valor por pedido]),PROXY!$P$2),0),0)</f>
        <v>0</v>
      </c>
      <c r="AP718" s="28">
        <f ca="1">IF('Banco de Dados'!$AK718&lt;&gt;"-",IF('Banco de Dados'!$AL718="NÃO",IFERROR(VALUE(SUBSTITUTE(_xlfn.TEXTAFTER('Banco de Dados'!$F718,"BRL ",1),".",",")),0),0),0)</f>
        <v>0</v>
      </c>
      <c r="AQ718" s="28">
        <f ca="1">SUM('Banco de Dados'!$AM718:$AP718)</f>
        <v>0</v>
      </c>
      <c r="AR718" s="8"/>
      <c r="AS718" s="8"/>
      <c r="AY718" s="8"/>
    </row>
    <row r="719" spans="1:51">
      <c r="A719" s="5" t="str">
        <v>BV</v>
      </c>
      <c r="B719" s="5" t="str">
        <f ca="1"/>
        <v>BV45662</v>
      </c>
      <c r="C719" s="8" t="str">
        <v>Pedido 706</v>
      </c>
      <c r="D719" s="9">
        <v>45662</v>
      </c>
      <c r="E719" s="9">
        <v>45662</v>
      </c>
      <c r="F719" s="8" t="str">
        <v>PedidoF687</v>
      </c>
      <c r="G719" s="2" t="str">
        <v>CódRastreio685</v>
      </c>
      <c r="H719" s="5">
        <v>1</v>
      </c>
      <c r="I719" s="182" t="str">
        <v>CPF 658</v>
      </c>
      <c r="J719" s="2" t="str">
        <v>Nome 658</v>
      </c>
      <c r="K719" s="8" t="str">
        <v>Tel 658</v>
      </c>
      <c r="L719" s="8" t="str">
        <v>Cep 658</v>
      </c>
      <c r="M719" s="8" t="str">
        <v>Rua 658</v>
      </c>
      <c r="N719" s="8" t="str">
        <v>Comp 658</v>
      </c>
      <c r="O719" s="8" t="str">
        <v>Ventilador Rosa</v>
      </c>
      <c r="P719" s="8" t="str">
        <v>IF-G2ZQ-79FO</v>
      </c>
      <c r="Q719" s="4">
        <v>45687</v>
      </c>
      <c r="R719" s="109">
        <v>49.4</v>
      </c>
      <c r="S719" s="11">
        <f ca="1"/>
        <v>49.4</v>
      </c>
      <c r="T719" s="28">
        <f ca="1"/>
        <v>6.4219999999999997</v>
      </c>
      <c r="U719" s="11">
        <f ca="1"/>
        <v>42.98</v>
      </c>
      <c r="V719" s="11">
        <v>10.15</v>
      </c>
      <c r="W719" s="11">
        <f ca="1"/>
        <v>0.22</v>
      </c>
      <c r="X719" s="11">
        <f ca="1"/>
        <v>0.39877104377104378</v>
      </c>
      <c r="Y719" s="11">
        <v>0</v>
      </c>
      <c r="Z719" s="11">
        <f ca="1"/>
        <v>32.21122895622895</v>
      </c>
      <c r="AA719" s="11">
        <f ca="1"/>
        <v>16.105614478114475</v>
      </c>
      <c r="AB719" s="4">
        <f ca="1"/>
        <v>45694</v>
      </c>
      <c r="AC719" s="4">
        <v>45694</v>
      </c>
      <c r="AD719" s="9">
        <v>45694</v>
      </c>
      <c r="AE719" s="9">
        <v>45705</v>
      </c>
      <c r="AF719" s="4" t="str">
        <f t="shared" ca="1" si="27"/>
        <v>2025 02</v>
      </c>
      <c r="AG719" s="8" t="str" cm="1">
        <f t="array" ref="AG719">IFERROR(_xlfn.IFS('Banco de Dados'!#REF!="AG. COMPRA","Em processamento",'Banco de Dados'!#REF!="AG. RASTREIO","Em processamento",'Banco de Dados'!$AE719&lt;&gt;"-","Faturado",'Banco de Dados'!$AD719&lt;&gt;"-","Aguardando Pix",'Banco de Dados'!$AC719&lt;&gt;"-","Pendente"),"Aguardando Liberação")</f>
        <v>Aguardando Liberação</v>
      </c>
      <c r="AH719" s="5" t="str">
        <f>IF('Banco de Dados'!$F719="-",_xlfn.CONCAT(PROPER(TEXT(AK719,"aaaa"))," ",PROPER(TEXT(AK719,"mm"))),_xlfn.CONCAT(PROPER(TEXT(E719,"aaaa"))," ",PROPER(TEXT(E719,"mm"))))</f>
        <v>2025 01</v>
      </c>
      <c r="AI719" s="9" t="str">
        <f ca="1">IF('Banco de Dados'!$AK719&lt;&gt;"-","REEMBOLSO",IFERROR(_xlfn.XLOOKUP(G719,Follow[CODRASTREIO],Follow[STATUS]),"-"))</f>
        <v>ENTREGUE</v>
      </c>
      <c r="AJ719" s="9">
        <f ca="1">IF('Banco de Dados'!$AI719="ENTREGUE",_xlfn.XLOOKUP('Banco de Dados'!$G719,Follow[CODRASTREIO],Follow[DATAATUALIZAÇÃO]),"-")</f>
        <v>45673</v>
      </c>
      <c r="AK719" s="9" t="str">
        <f ca="1"/>
        <v>-</v>
      </c>
      <c r="AL719" s="35"/>
      <c r="AM719" s="109" cm="1">
        <f t="array" aca="1" ref="AM719" ca="1">IF('Banco de Dados'!$AK719&lt;&gt;"-",_xlfn.IFS('Banco de Dados'!$A719="bv",IF('Banco de Dados'!$E719&lt;45641,ROUND(SUM('Banco de Dados'!$R719*_xlfn.XLOOKUP('Banco de Dados'!$P719,Sku!B:B,Sku!#REF!)*20%),2),ROUND(SUM('Banco de Dados'!$R719*_xlfn.XLOOKUP('Banco de Dados'!$P719,Sku!B:B,Sku!H:H)*20%),2)),'Banco de Dados'!$A719="GO",ROUND(_xlfn.XLOOKUP('Banco de Dados'!$P719,Sku!C:C,Sku!H:H),2),'Banco de Dados'!$A719="MEI",ROUND(_xlfn.XLOOKUP('Banco de Dados'!$P719,Sku!D:D,Sku!H:H),2)),0)</f>
        <v>0</v>
      </c>
      <c r="AN719" s="109">
        <f ca="1">IF('Banco de Dados'!$AK719&lt;&gt;"-",IF('Banco de Dados'!$F719&lt;&gt;"-",_xlfn.XLOOKUP(IFERROR(IFERROR(IFERROR(VALUE(SUBSTITUTE(MID(_xlfn.TEXTAFTER('Banco de Dados'!$F719,"Data do Pedido:
",1),1,10),"-","/")),VALUE(SUBSTITUTE(MID(_xlfn.TEXTAFTER('Banco de Dados'!$F719,"Order date:
",1),1,10),"-","/"))),VALUE(SUBSTITUTE(MID(_xlfn.TEXTAFTER('Banco de Dados'!$F719,"Fecha de pedido:
",1),1,10),"-","/"))),"-"),SMS!A:A,SMS!K:K),0),0)</f>
        <v>0</v>
      </c>
      <c r="AO719" s="109">
        <f ca="1">IF('Banco de Dados'!$AK719&lt;&gt;"-",IF('Banco de Dados'!$F719&lt;&gt;"-",IFERROR(_xlfn.XLOOKUP(_xlfn.CONCAT('Banco de Dados'!$A719,IFERROR(IFERROR(VALUE(SUBSTITUTE(MID(_xlfn.TEXTAFTER('Banco de Dados'!$F719,"Data do Pedido:
",1),1,10),"-","/")),VALUE(SUBSTITUTE(MID(_xlfn.TEXTAFTER('Banco de Dados'!$F719,"Order date:
",1),1,10),"-","/"))),0)),ProxyDD[Chave],ProxyDD[Valor por pedido]),PROXY!$P$2),0),0)</f>
        <v>0</v>
      </c>
      <c r="AP719" s="28">
        <f ca="1">IF('Banco de Dados'!$AK719&lt;&gt;"-",IF('Banco de Dados'!$AL719="NÃO",IFERROR(VALUE(SUBSTITUTE(_xlfn.TEXTAFTER('Banco de Dados'!$F719,"BRL ",1),".",",")),0),0),0)</f>
        <v>0</v>
      </c>
      <c r="AQ719" s="28">
        <f ca="1">SUM('Banco de Dados'!$AM719:$AP719)</f>
        <v>0</v>
      </c>
      <c r="AR719" s="8"/>
      <c r="AS719" s="8"/>
      <c r="AY719" s="8"/>
    </row>
    <row r="720" spans="1:51">
      <c r="A720" s="5" t="str">
        <v>BV</v>
      </c>
      <c r="B720" s="5" t="str">
        <f ca="1"/>
        <v>BV45662</v>
      </c>
      <c r="C720" s="8" t="str">
        <v>Pedido 707</v>
      </c>
      <c r="D720" s="9">
        <v>45662</v>
      </c>
      <c r="E720" s="9">
        <v>45662</v>
      </c>
      <c r="F720" s="8" t="str">
        <v>PedidoF688</v>
      </c>
      <c r="G720" s="2" t="str">
        <v>CódRastreio686</v>
      </c>
      <c r="H720" s="5">
        <v>1</v>
      </c>
      <c r="I720" s="182" t="str">
        <v>CPF 685</v>
      </c>
      <c r="J720" s="2" t="str">
        <v>Nome 685</v>
      </c>
      <c r="K720" s="8" t="str">
        <v>Tel 685</v>
      </c>
      <c r="L720" s="8" t="str">
        <v>Cep 685</v>
      </c>
      <c r="M720" s="8" t="str">
        <v>Rua 685</v>
      </c>
      <c r="N720" s="8" t="str">
        <v>Comp 685</v>
      </c>
      <c r="O720" s="8" t="str">
        <v>Suporte de Celular Branco</v>
      </c>
      <c r="P720" s="8" t="str">
        <v>16-4EDB-WMZF</v>
      </c>
      <c r="Q720" s="4">
        <v>45681</v>
      </c>
      <c r="R720" s="109">
        <v>21.99</v>
      </c>
      <c r="S720" s="11">
        <f ca="1"/>
        <v>21.99</v>
      </c>
      <c r="T720" s="28">
        <f ca="1"/>
        <v>3.2984999999999998</v>
      </c>
      <c r="U720" s="11">
        <f ca="1"/>
        <v>18.690000000000001</v>
      </c>
      <c r="V720" s="11">
        <v>6.99</v>
      </c>
      <c r="W720" s="11">
        <f ca="1"/>
        <v>0.22</v>
      </c>
      <c r="X720" s="11">
        <f ca="1"/>
        <v>0.39877104377104378</v>
      </c>
      <c r="Y720" s="11">
        <v>0</v>
      </c>
      <c r="Z720" s="11">
        <f ca="1"/>
        <v>11.081228956228959</v>
      </c>
      <c r="AA720" s="11">
        <f ca="1"/>
        <v>5.5406144781144793</v>
      </c>
      <c r="AB720" s="4">
        <f ca="1"/>
        <v>45688</v>
      </c>
      <c r="AC720" s="4">
        <v>45688</v>
      </c>
      <c r="AD720" s="9">
        <v>45688</v>
      </c>
      <c r="AE720" s="9">
        <v>45694</v>
      </c>
      <c r="AF720" s="4" t="str">
        <f t="shared" ca="1" si="27"/>
        <v>2025 01</v>
      </c>
      <c r="AG720" s="8" t="str" cm="1">
        <f t="array" ref="AG720">IFERROR(_xlfn.IFS('Banco de Dados'!#REF!="AG. COMPRA","Em processamento",'Banco de Dados'!#REF!="AG. RASTREIO","Em processamento",'Banco de Dados'!$AE720&lt;&gt;"-","Faturado",'Banco de Dados'!$AD720&lt;&gt;"-","Aguardando Pix",'Banco de Dados'!$AC720&lt;&gt;"-","Pendente"),"Aguardando Liberação")</f>
        <v>Aguardando Liberação</v>
      </c>
      <c r="AH720" s="5" t="str">
        <f>IF('Banco de Dados'!$F720="-",_xlfn.CONCAT(PROPER(TEXT(AK720,"aaaa"))," ",PROPER(TEXT(AK720,"mm"))),_xlfn.CONCAT(PROPER(TEXT(E720,"aaaa"))," ",PROPER(TEXT(E720,"mm"))))</f>
        <v>2025 01</v>
      </c>
      <c r="AI720" s="9" t="str">
        <f ca="1">IF('Banco de Dados'!$AK720&lt;&gt;"-","REEMBOLSO",IFERROR(_xlfn.XLOOKUP(G720,Follow[CODRASTREIO],Follow[STATUS]),"-"))</f>
        <v>ENTREGUE</v>
      </c>
      <c r="AJ720" s="9">
        <f ca="1">IF('Banco de Dados'!$AI720="ENTREGUE",_xlfn.XLOOKUP('Banco de Dados'!$G720,Follow[CODRASTREIO],Follow[DATAATUALIZAÇÃO]),"-")</f>
        <v>45672</v>
      </c>
      <c r="AK720" s="9" t="str">
        <f ca="1"/>
        <v>-</v>
      </c>
      <c r="AL720" s="35"/>
      <c r="AM720" s="109" cm="1">
        <f t="array" aca="1" ref="AM720" ca="1">IF('Banco de Dados'!$AK720&lt;&gt;"-",_xlfn.IFS('Banco de Dados'!$A720="bv",IF('Banco de Dados'!$E720&lt;45641,ROUND(SUM('Banco de Dados'!$R720*_xlfn.XLOOKUP('Banco de Dados'!$P720,Sku!B:B,Sku!#REF!)*20%),2),ROUND(SUM('Banco de Dados'!$R720*_xlfn.XLOOKUP('Banco de Dados'!$P720,Sku!B:B,Sku!H:H)*20%),2)),'Banco de Dados'!$A720="GO",ROUND(_xlfn.XLOOKUP('Banco de Dados'!$P720,Sku!C:C,Sku!H:H),2),'Banco de Dados'!$A720="MEI",ROUND(_xlfn.XLOOKUP('Banco de Dados'!$P720,Sku!D:D,Sku!H:H),2)),0)</f>
        <v>0</v>
      </c>
      <c r="AN720" s="109">
        <f ca="1">IF('Banco de Dados'!$AK720&lt;&gt;"-",IF('Banco de Dados'!$F720&lt;&gt;"-",_xlfn.XLOOKUP(IFERROR(IFERROR(IFERROR(VALUE(SUBSTITUTE(MID(_xlfn.TEXTAFTER('Banco de Dados'!$F720,"Data do Pedido:
",1),1,10),"-","/")),VALUE(SUBSTITUTE(MID(_xlfn.TEXTAFTER('Banco de Dados'!$F720,"Order date:
",1),1,10),"-","/"))),VALUE(SUBSTITUTE(MID(_xlfn.TEXTAFTER('Banco de Dados'!$F720,"Fecha de pedido:
",1),1,10),"-","/"))),"-"),SMS!A:A,SMS!K:K),0),0)</f>
        <v>0</v>
      </c>
      <c r="AO720" s="109">
        <f ca="1">IF('Banco de Dados'!$AK720&lt;&gt;"-",IF('Banco de Dados'!$F720&lt;&gt;"-",IFERROR(_xlfn.XLOOKUP(_xlfn.CONCAT('Banco de Dados'!$A720,IFERROR(IFERROR(VALUE(SUBSTITUTE(MID(_xlfn.TEXTAFTER('Banco de Dados'!$F720,"Data do Pedido:
",1),1,10),"-","/")),VALUE(SUBSTITUTE(MID(_xlfn.TEXTAFTER('Banco de Dados'!$F720,"Order date:
",1),1,10),"-","/"))),0)),ProxyDD[Chave],ProxyDD[Valor por pedido]),PROXY!$P$2),0),0)</f>
        <v>0</v>
      </c>
      <c r="AP720" s="28">
        <f ca="1">IF('Banco de Dados'!$AK720&lt;&gt;"-",IF('Banco de Dados'!$AL720="NÃO",IFERROR(VALUE(SUBSTITUTE(_xlfn.TEXTAFTER('Banco de Dados'!$F720,"BRL ",1),".",",")),0),0),0)</f>
        <v>0</v>
      </c>
      <c r="AQ720" s="28">
        <f ca="1">SUM('Banco de Dados'!$AM720:$AP720)</f>
        <v>0</v>
      </c>
      <c r="AR720" s="8"/>
      <c r="AS720" s="8"/>
      <c r="AY720" s="8"/>
    </row>
    <row r="721" spans="1:51">
      <c r="A721" s="5" t="str">
        <v>BV</v>
      </c>
      <c r="B721" s="5" t="str">
        <f ca="1"/>
        <v>BV45662</v>
      </c>
      <c r="C721" s="8" t="str">
        <v>Pedido 708</v>
      </c>
      <c r="D721" s="9">
        <v>45662</v>
      </c>
      <c r="E721" s="9">
        <v>45662</v>
      </c>
      <c r="F721" s="8" t="str">
        <v>PedidoF689</v>
      </c>
      <c r="G721" s="2" t="str">
        <v>CódRastreio687</v>
      </c>
      <c r="H721" s="5">
        <v>1</v>
      </c>
      <c r="I721" s="182" t="str">
        <v>CPF 686</v>
      </c>
      <c r="J721" s="2" t="str">
        <v>Nome 686</v>
      </c>
      <c r="K721" s="8" t="str">
        <v>Tel 686</v>
      </c>
      <c r="L721" s="8" t="str">
        <v>Cep 686</v>
      </c>
      <c r="M721" s="8" t="str">
        <v>Rua 686</v>
      </c>
      <c r="N721" s="8" t="str">
        <v>Comp 686</v>
      </c>
      <c r="O721" s="8" t="str">
        <v>Adaptador Bluetooph</v>
      </c>
      <c r="P721" s="8" t="str">
        <v>YA-AG3H-SPUK</v>
      </c>
      <c r="Q721" s="4">
        <v>45675</v>
      </c>
      <c r="R721" s="109">
        <v>21.99</v>
      </c>
      <c r="S721" s="11">
        <f ca="1"/>
        <v>21.99</v>
      </c>
      <c r="T721" s="28">
        <f ca="1"/>
        <v>2.6387999999999998</v>
      </c>
      <c r="U721" s="11">
        <f ca="1"/>
        <v>19.350000000000001</v>
      </c>
      <c r="V721" s="11">
        <v>6.99</v>
      </c>
      <c r="W721" s="11">
        <f ca="1"/>
        <v>0.22</v>
      </c>
      <c r="X721" s="11">
        <f ca="1"/>
        <v>0.39877104377104378</v>
      </c>
      <c r="Y721" s="11">
        <v>0</v>
      </c>
      <c r="Z721" s="11">
        <f ca="1"/>
        <v>11.741228956228959</v>
      </c>
      <c r="AA721" s="11">
        <f ca="1"/>
        <v>5.8706144781144793</v>
      </c>
      <c r="AB721" s="4">
        <f ca="1"/>
        <v>45682</v>
      </c>
      <c r="AC721" s="4">
        <v>45682</v>
      </c>
      <c r="AD721" s="9">
        <v>45688</v>
      </c>
      <c r="AE721" s="9">
        <v>45694</v>
      </c>
      <c r="AF721" s="4" t="str">
        <f t="shared" ca="1" si="27"/>
        <v>2025 01</v>
      </c>
      <c r="AG721" s="8" t="str" cm="1">
        <f t="array" ref="AG721">IFERROR(_xlfn.IFS('Banco de Dados'!#REF!="AG. COMPRA","Em processamento",'Banco de Dados'!#REF!="AG. RASTREIO","Em processamento",'Banco de Dados'!$AE721&lt;&gt;"-","Faturado",'Banco de Dados'!$AD721&lt;&gt;"-","Aguardando Pix",'Banco de Dados'!$AC721&lt;&gt;"-","Pendente"),"Aguardando Liberação")</f>
        <v>Aguardando Liberação</v>
      </c>
      <c r="AH721" s="5" t="str">
        <f>IF('Banco de Dados'!$F721="-",_xlfn.CONCAT(PROPER(TEXT(AK721,"aaaa"))," ",PROPER(TEXT(AK721,"mm"))),_xlfn.CONCAT(PROPER(TEXT(E721,"aaaa"))," ",PROPER(TEXT(E721,"mm"))))</f>
        <v>2025 01</v>
      </c>
      <c r="AI721" s="9" t="str">
        <f ca="1">IF('Banco de Dados'!$AK721&lt;&gt;"-","REEMBOLSO",IFERROR(_xlfn.XLOOKUP(G721,Follow[CODRASTREIO],Follow[STATUS]),"-"))</f>
        <v>ENTREGUE</v>
      </c>
      <c r="AJ721" s="9">
        <f ca="1">IF('Banco de Dados'!$AI721="ENTREGUE",_xlfn.XLOOKUP('Banco de Dados'!$G721,Follow[CODRASTREIO],Follow[DATAATUALIZAÇÃO]),"-")</f>
        <v>45667</v>
      </c>
      <c r="AK721" s="9" t="str">
        <f ca="1"/>
        <v>-</v>
      </c>
      <c r="AL721" s="35"/>
      <c r="AM721" s="109" cm="1">
        <f t="array" aca="1" ref="AM721" ca="1">IF('Banco de Dados'!$AK721&lt;&gt;"-",_xlfn.IFS('Banco de Dados'!$A721="bv",IF('Banco de Dados'!$E721&lt;45641,ROUND(SUM('Banco de Dados'!$R721*_xlfn.XLOOKUP('Banco de Dados'!$P721,Sku!B:B,Sku!#REF!)*20%),2),ROUND(SUM('Banco de Dados'!$R721*_xlfn.XLOOKUP('Banco de Dados'!$P721,Sku!B:B,Sku!H:H)*20%),2)),'Banco de Dados'!$A721="GO",ROUND(_xlfn.XLOOKUP('Banco de Dados'!$P721,Sku!C:C,Sku!H:H),2),'Banco de Dados'!$A721="MEI",ROUND(_xlfn.XLOOKUP('Banco de Dados'!$P721,Sku!D:D,Sku!H:H),2)),0)</f>
        <v>0</v>
      </c>
      <c r="AN721" s="109">
        <f ca="1">IF('Banco de Dados'!$AK721&lt;&gt;"-",IF('Banco de Dados'!$F721&lt;&gt;"-",_xlfn.XLOOKUP(IFERROR(IFERROR(IFERROR(VALUE(SUBSTITUTE(MID(_xlfn.TEXTAFTER('Banco de Dados'!$F721,"Data do Pedido:
",1),1,10),"-","/")),VALUE(SUBSTITUTE(MID(_xlfn.TEXTAFTER('Banco de Dados'!$F721,"Order date:
",1),1,10),"-","/"))),VALUE(SUBSTITUTE(MID(_xlfn.TEXTAFTER('Banco de Dados'!$F721,"Fecha de pedido:
",1),1,10),"-","/"))),"-"),SMS!A:A,SMS!K:K),0),0)</f>
        <v>0</v>
      </c>
      <c r="AO721" s="109">
        <f ca="1">IF('Banco de Dados'!$AK721&lt;&gt;"-",IF('Banco de Dados'!$F721&lt;&gt;"-",IFERROR(_xlfn.XLOOKUP(_xlfn.CONCAT('Banco de Dados'!$A721,IFERROR(IFERROR(VALUE(SUBSTITUTE(MID(_xlfn.TEXTAFTER('Banco de Dados'!$F721,"Data do Pedido:
",1),1,10),"-","/")),VALUE(SUBSTITUTE(MID(_xlfn.TEXTAFTER('Banco de Dados'!$F721,"Order date:
",1),1,10),"-","/"))),0)),ProxyDD[Chave],ProxyDD[Valor por pedido]),PROXY!$P$2),0),0)</f>
        <v>0</v>
      </c>
      <c r="AP721" s="28">
        <f ca="1">IF('Banco de Dados'!$AK721&lt;&gt;"-",IF('Banco de Dados'!$AL721="NÃO",IFERROR(VALUE(SUBSTITUTE(_xlfn.TEXTAFTER('Banco de Dados'!$F721,"BRL ",1),".",",")),0),0),0)</f>
        <v>0</v>
      </c>
      <c r="AQ721" s="28">
        <f ca="1">SUM('Banco de Dados'!$AM721:$AP721)</f>
        <v>0</v>
      </c>
      <c r="AR721" s="8"/>
      <c r="AS721" s="8"/>
      <c r="AY721" s="8"/>
    </row>
    <row r="722" spans="1:51">
      <c r="A722" s="5" t="str">
        <v>BV</v>
      </c>
      <c r="B722" s="5" t="str">
        <f ca="1"/>
        <v>BV45662</v>
      </c>
      <c r="C722" s="8" t="str">
        <v>Pedido 709</v>
      </c>
      <c r="D722" s="9">
        <v>45662</v>
      </c>
      <c r="E722" s="9">
        <v>45662</v>
      </c>
      <c r="F722" s="8" t="str">
        <v>PedidoF690</v>
      </c>
      <c r="G722" s="2" t="str">
        <v>CódRastreio688</v>
      </c>
      <c r="H722" s="5">
        <v>1</v>
      </c>
      <c r="I722" s="182" t="str">
        <v>CPF 687</v>
      </c>
      <c r="J722" s="2" t="str">
        <v>Nome 687</v>
      </c>
      <c r="K722" s="8" t="str">
        <v>Tel 687</v>
      </c>
      <c r="L722" s="8" t="str">
        <v>Cep 687</v>
      </c>
      <c r="M722" s="8" t="str">
        <v>Rua 687</v>
      </c>
      <c r="N722" s="8" t="str">
        <v>Comp 687</v>
      </c>
      <c r="O722" s="8" t="str">
        <v>Adaptador Bluetooph</v>
      </c>
      <c r="P722" s="8" t="str">
        <v>YA-AG3H-SPUK</v>
      </c>
      <c r="Q722" s="4">
        <v>45681</v>
      </c>
      <c r="R722" s="109">
        <v>21.99</v>
      </c>
      <c r="S722" s="11">
        <f ca="1"/>
        <v>21.99</v>
      </c>
      <c r="T722" s="28">
        <f ca="1"/>
        <v>2.6387999999999998</v>
      </c>
      <c r="U722" s="11">
        <f ca="1"/>
        <v>19.350000000000001</v>
      </c>
      <c r="V722" s="11">
        <v>6.99</v>
      </c>
      <c r="W722" s="11">
        <f ca="1"/>
        <v>0.22</v>
      </c>
      <c r="X722" s="11">
        <f ca="1"/>
        <v>0.39877104377104378</v>
      </c>
      <c r="Y722" s="11">
        <v>0</v>
      </c>
      <c r="Z722" s="11">
        <f ca="1"/>
        <v>11.741228956228959</v>
      </c>
      <c r="AA722" s="11">
        <f ca="1"/>
        <v>5.8706144781144793</v>
      </c>
      <c r="AB722" s="4">
        <f ca="1"/>
        <v>45688</v>
      </c>
      <c r="AC722" s="4">
        <v>45688</v>
      </c>
      <c r="AD722" s="9">
        <v>45688</v>
      </c>
      <c r="AE722" s="9">
        <v>45694</v>
      </c>
      <c r="AF722" s="4" t="str">
        <f t="shared" ca="1" si="27"/>
        <v>2025 01</v>
      </c>
      <c r="AG722" s="8" t="str" cm="1">
        <f t="array" ref="AG722">IFERROR(_xlfn.IFS('Banco de Dados'!#REF!="AG. COMPRA","Em processamento",'Banco de Dados'!#REF!="AG. RASTREIO","Em processamento",'Banco de Dados'!$AE722&lt;&gt;"-","Faturado",'Banco de Dados'!$AD722&lt;&gt;"-","Aguardando Pix",'Banco de Dados'!$AC722&lt;&gt;"-","Pendente"),"Aguardando Liberação")</f>
        <v>Aguardando Liberação</v>
      </c>
      <c r="AH722" s="5" t="str">
        <f>IF('Banco de Dados'!$F722="-",_xlfn.CONCAT(PROPER(TEXT(AK722,"aaaa"))," ",PROPER(TEXT(AK722,"mm"))),_xlfn.CONCAT(PROPER(TEXT(E722,"aaaa"))," ",PROPER(TEXT(E722,"mm"))))</f>
        <v>2025 01</v>
      </c>
      <c r="AI722" s="9" t="str">
        <f ca="1">IF('Banco de Dados'!$AK722&lt;&gt;"-","REEMBOLSO",IFERROR(_xlfn.XLOOKUP(G722,Follow[CODRASTREIO],Follow[STATUS]),"-"))</f>
        <v>ENTREGUE</v>
      </c>
      <c r="AJ722" s="9">
        <f ca="1">IF('Banco de Dados'!$AI722="ENTREGUE",_xlfn.XLOOKUP('Banco de Dados'!$G722,Follow[CODRASTREIO],Follow[DATAATUALIZAÇÃO]),"-")</f>
        <v>45670</v>
      </c>
      <c r="AK722" s="9" t="str">
        <f ca="1"/>
        <v>-</v>
      </c>
      <c r="AL722" s="35"/>
      <c r="AM722" s="109" cm="1">
        <f t="array" aca="1" ref="AM722" ca="1">IF('Banco de Dados'!$AK722&lt;&gt;"-",_xlfn.IFS('Banco de Dados'!$A722="bv",IF('Banco de Dados'!$E722&lt;45641,ROUND(SUM('Banco de Dados'!$R722*_xlfn.XLOOKUP('Banco de Dados'!$P722,Sku!B:B,Sku!#REF!)*20%),2),ROUND(SUM('Banco de Dados'!$R722*_xlfn.XLOOKUP('Banco de Dados'!$P722,Sku!B:B,Sku!H:H)*20%),2)),'Banco de Dados'!$A722="GO",ROUND(_xlfn.XLOOKUP('Banco de Dados'!$P722,Sku!C:C,Sku!H:H),2),'Banco de Dados'!$A722="MEI",ROUND(_xlfn.XLOOKUP('Banco de Dados'!$P722,Sku!D:D,Sku!H:H),2)),0)</f>
        <v>0</v>
      </c>
      <c r="AN722" s="109">
        <f ca="1">IF('Banco de Dados'!$AK722&lt;&gt;"-",IF('Banco de Dados'!$F722&lt;&gt;"-",_xlfn.XLOOKUP(IFERROR(IFERROR(IFERROR(VALUE(SUBSTITUTE(MID(_xlfn.TEXTAFTER('Banco de Dados'!$F722,"Data do Pedido:
",1),1,10),"-","/")),VALUE(SUBSTITUTE(MID(_xlfn.TEXTAFTER('Banco de Dados'!$F722,"Order date:
",1),1,10),"-","/"))),VALUE(SUBSTITUTE(MID(_xlfn.TEXTAFTER('Banco de Dados'!$F722,"Fecha de pedido:
",1),1,10),"-","/"))),"-"),SMS!A:A,SMS!K:K),0),0)</f>
        <v>0</v>
      </c>
      <c r="AO722" s="109">
        <f ca="1">IF('Banco de Dados'!$AK722&lt;&gt;"-",IF('Banco de Dados'!$F722&lt;&gt;"-",IFERROR(_xlfn.XLOOKUP(_xlfn.CONCAT('Banco de Dados'!$A722,IFERROR(IFERROR(VALUE(SUBSTITUTE(MID(_xlfn.TEXTAFTER('Banco de Dados'!$F722,"Data do Pedido:
",1),1,10),"-","/")),VALUE(SUBSTITUTE(MID(_xlfn.TEXTAFTER('Banco de Dados'!$F722,"Order date:
",1),1,10),"-","/"))),0)),ProxyDD[Chave],ProxyDD[Valor por pedido]),PROXY!$P$2),0),0)</f>
        <v>0</v>
      </c>
      <c r="AP722" s="28">
        <f ca="1">IF('Banco de Dados'!$AK722&lt;&gt;"-",IF('Banco de Dados'!$AL722="NÃO",IFERROR(VALUE(SUBSTITUTE(_xlfn.TEXTAFTER('Banco de Dados'!$F722,"BRL ",1),".",",")),0),0),0)</f>
        <v>0</v>
      </c>
      <c r="AQ722" s="28">
        <f ca="1">SUM('Banco de Dados'!$AM722:$AP722)</f>
        <v>0</v>
      </c>
      <c r="AR722" s="8"/>
      <c r="AS722" s="8"/>
      <c r="AY722" s="8"/>
    </row>
    <row r="723" spans="1:51">
      <c r="A723" s="5" t="str">
        <v>BV</v>
      </c>
      <c r="B723" s="5" t="str">
        <f ca="1"/>
        <v>BV45662</v>
      </c>
      <c r="C723" s="8" t="str">
        <v>Pedido 710</v>
      </c>
      <c r="D723" s="9">
        <v>45662</v>
      </c>
      <c r="E723" s="9">
        <v>45662</v>
      </c>
      <c r="F723" s="8" t="str">
        <v>PedidoF691</v>
      </c>
      <c r="G723" s="2" t="str">
        <v>CódRastreio689</v>
      </c>
      <c r="H723" s="5">
        <v>1</v>
      </c>
      <c r="I723" s="182" t="str">
        <v>CPF 688</v>
      </c>
      <c r="J723" s="2" t="str">
        <v>Nome 688</v>
      </c>
      <c r="K723" s="8" t="str">
        <v>Tel 688</v>
      </c>
      <c r="L723" s="8" t="str">
        <v>Cep 688</v>
      </c>
      <c r="M723" s="8" t="str">
        <v>Rua 688</v>
      </c>
      <c r="N723" s="8" t="str">
        <v>Comp 688</v>
      </c>
      <c r="O723" s="8" t="str">
        <v>Ventilador Preto</v>
      </c>
      <c r="P723" s="8" t="str">
        <v>MU-J80P-95WF</v>
      </c>
      <c r="Q723" s="4">
        <v>45681</v>
      </c>
      <c r="R723" s="109">
        <v>65.599999999999994</v>
      </c>
      <c r="S723" s="11">
        <f ca="1"/>
        <v>65.599999999999994</v>
      </c>
      <c r="T723" s="28">
        <f ca="1"/>
        <v>8.5279999999999987</v>
      </c>
      <c r="U723" s="11">
        <f ca="1"/>
        <v>57.07</v>
      </c>
      <c r="V723" s="11">
        <v>10.15</v>
      </c>
      <c r="W723" s="11">
        <f ca="1"/>
        <v>0.22</v>
      </c>
      <c r="X723" s="11">
        <f ca="1"/>
        <v>0.39877104377104378</v>
      </c>
      <c r="Y723" s="11">
        <v>0</v>
      </c>
      <c r="Z723" s="11">
        <f ca="1"/>
        <v>46.301228956228954</v>
      </c>
      <c r="AA723" s="11">
        <f ca="1"/>
        <v>23.150614478114477</v>
      </c>
      <c r="AB723" s="4">
        <f ca="1"/>
        <v>45688</v>
      </c>
      <c r="AC723" s="4">
        <v>45688</v>
      </c>
      <c r="AD723" s="9">
        <v>45688</v>
      </c>
      <c r="AE723" s="9">
        <v>45694</v>
      </c>
      <c r="AF723" s="4" t="str">
        <f t="shared" ca="1" si="27"/>
        <v>2025 01</v>
      </c>
      <c r="AG723" s="8" t="str" cm="1">
        <f t="array" ref="AG723">IFERROR(_xlfn.IFS('Banco de Dados'!#REF!="AG. COMPRA","Em processamento",'Banco de Dados'!#REF!="AG. RASTREIO","Em processamento",'Banco de Dados'!$AE723&lt;&gt;"-","Faturado",'Banco de Dados'!$AD723&lt;&gt;"-","Aguardando Pix",'Banco de Dados'!$AC723&lt;&gt;"-","Pendente"),"Aguardando Liberação")</f>
        <v>Aguardando Liberação</v>
      </c>
      <c r="AH723" s="5" t="str">
        <f>IF('Banco de Dados'!$F723="-",_xlfn.CONCAT(PROPER(TEXT(AK723,"aaaa"))," ",PROPER(TEXT(AK723,"mm"))),_xlfn.CONCAT(PROPER(TEXT(E723,"aaaa"))," ",PROPER(TEXT(E723,"mm"))))</f>
        <v>2025 01</v>
      </c>
      <c r="AI723" s="9" t="str">
        <f ca="1">IF('Banco de Dados'!$AK723&lt;&gt;"-","REEMBOLSO",IFERROR(_xlfn.XLOOKUP(G723,Follow[CODRASTREIO],Follow[STATUS]),"-"))</f>
        <v>ENTREGUE</v>
      </c>
      <c r="AJ723" s="9">
        <f ca="1">IF('Banco de Dados'!$AI723="ENTREGUE",_xlfn.XLOOKUP('Banco de Dados'!$G723,Follow[CODRASTREIO],Follow[DATAATUALIZAÇÃO]),"-")</f>
        <v>45670</v>
      </c>
      <c r="AK723" s="9" t="str">
        <f ca="1"/>
        <v>-</v>
      </c>
      <c r="AL723" s="35"/>
      <c r="AM723" s="109" cm="1">
        <f t="array" aca="1" ref="AM723" ca="1">IF('Banco de Dados'!$AK723&lt;&gt;"-",_xlfn.IFS('Banco de Dados'!$A723="bv",IF('Banco de Dados'!$E723&lt;45641,ROUND(SUM('Banco de Dados'!$R723*_xlfn.XLOOKUP('Banco de Dados'!$P723,Sku!B:B,Sku!#REF!)*20%),2),ROUND(SUM('Banco de Dados'!$R723*_xlfn.XLOOKUP('Banco de Dados'!$P723,Sku!B:B,Sku!H:H)*20%),2)),'Banco de Dados'!$A723="GO",ROUND(_xlfn.XLOOKUP('Banco de Dados'!$P723,Sku!C:C,Sku!H:H),2),'Banco de Dados'!$A723="MEI",ROUND(_xlfn.XLOOKUP('Banco de Dados'!$P723,Sku!D:D,Sku!H:H),2)),0)</f>
        <v>0</v>
      </c>
      <c r="AN723" s="109">
        <f ca="1">IF('Banco de Dados'!$AK723&lt;&gt;"-",IF('Banco de Dados'!$F723&lt;&gt;"-",_xlfn.XLOOKUP(IFERROR(IFERROR(IFERROR(VALUE(SUBSTITUTE(MID(_xlfn.TEXTAFTER('Banco de Dados'!$F723,"Data do Pedido:
",1),1,10),"-","/")),VALUE(SUBSTITUTE(MID(_xlfn.TEXTAFTER('Banco de Dados'!$F723,"Order date:
",1),1,10),"-","/"))),VALUE(SUBSTITUTE(MID(_xlfn.TEXTAFTER('Banco de Dados'!$F723,"Fecha de pedido:
",1),1,10),"-","/"))),"-"),SMS!A:A,SMS!K:K),0),0)</f>
        <v>0</v>
      </c>
      <c r="AO723" s="109">
        <f ca="1">IF('Banco de Dados'!$AK723&lt;&gt;"-",IF('Banco de Dados'!$F723&lt;&gt;"-",IFERROR(_xlfn.XLOOKUP(_xlfn.CONCAT('Banco de Dados'!$A723,IFERROR(IFERROR(VALUE(SUBSTITUTE(MID(_xlfn.TEXTAFTER('Banco de Dados'!$F723,"Data do Pedido:
",1),1,10),"-","/")),VALUE(SUBSTITUTE(MID(_xlfn.TEXTAFTER('Banco de Dados'!$F723,"Order date:
",1),1,10),"-","/"))),0)),ProxyDD[Chave],ProxyDD[Valor por pedido]),PROXY!$P$2),0),0)</f>
        <v>0</v>
      </c>
      <c r="AP723" s="28">
        <f ca="1">IF('Banco de Dados'!$AK723&lt;&gt;"-",IF('Banco de Dados'!$AL723="NÃO",IFERROR(VALUE(SUBSTITUTE(_xlfn.TEXTAFTER('Banco de Dados'!$F723,"BRL ",1),".",",")),0),0),0)</f>
        <v>0</v>
      </c>
      <c r="AQ723" s="28">
        <f ca="1">SUM('Banco de Dados'!$AM723:$AP723)</f>
        <v>0</v>
      </c>
      <c r="AR723" s="8"/>
      <c r="AS723" s="8"/>
      <c r="AY723" s="8"/>
    </row>
    <row r="724" spans="1:51">
      <c r="A724" s="5" t="str">
        <v>BV</v>
      </c>
      <c r="B724" s="5" t="str">
        <f ca="1"/>
        <v>BV45662</v>
      </c>
      <c r="C724" s="8" t="str">
        <v>Pedido 711</v>
      </c>
      <c r="D724" s="9">
        <v>45662</v>
      </c>
      <c r="E724" s="9">
        <v>45662</v>
      </c>
      <c r="F724" s="8" t="str">
        <v>PedidoF692</v>
      </c>
      <c r="G724" s="2" t="str">
        <v>CódRastreio690</v>
      </c>
      <c r="H724" s="5">
        <v>1</v>
      </c>
      <c r="I724" s="182" t="str">
        <v>CPF 689</v>
      </c>
      <c r="J724" s="2" t="str">
        <v>Nome 689</v>
      </c>
      <c r="K724" s="8" t="str">
        <v>Tel 689</v>
      </c>
      <c r="L724" s="8" t="str">
        <v>Cep 689</v>
      </c>
      <c r="M724" s="8" t="str">
        <v>Rua 689</v>
      </c>
      <c r="N724" s="8" t="str">
        <v>Comp 689</v>
      </c>
      <c r="O724" s="8" t="str">
        <v>Ventilador Rosa</v>
      </c>
      <c r="P724" s="8" t="str">
        <v>IF-G2ZQ-79FO</v>
      </c>
      <c r="Q724" s="4">
        <v>45694</v>
      </c>
      <c r="R724" s="109">
        <v>46.9</v>
      </c>
      <c r="S724" s="11">
        <f ca="1"/>
        <v>46.9</v>
      </c>
      <c r="T724" s="28">
        <f ca="1"/>
        <v>6.0970000000000004</v>
      </c>
      <c r="U724" s="11">
        <f ca="1"/>
        <v>40.799999999999997</v>
      </c>
      <c r="V724" s="11">
        <v>10.15</v>
      </c>
      <c r="W724" s="11">
        <f ca="1"/>
        <v>0.22</v>
      </c>
      <c r="X724" s="11">
        <f ca="1"/>
        <v>0.39877104377104378</v>
      </c>
      <c r="Y724" s="11">
        <v>0</v>
      </c>
      <c r="Z724" s="11">
        <f ca="1"/>
        <v>30.031228956228951</v>
      </c>
      <c r="AA724" s="11">
        <f ca="1"/>
        <v>15.015614478114475</v>
      </c>
      <c r="AB724" s="4">
        <f ca="1"/>
        <v>45701</v>
      </c>
      <c r="AC724" s="4">
        <v>45701</v>
      </c>
      <c r="AD724" s="9">
        <v>45702</v>
      </c>
      <c r="AE724" s="9">
        <v>45705</v>
      </c>
      <c r="AF724" s="4" t="str">
        <f t="shared" ca="1" si="27"/>
        <v>2025 02</v>
      </c>
      <c r="AG724" s="8" t="str" cm="1">
        <f t="array" ref="AG724">IFERROR(_xlfn.IFS('Banco de Dados'!#REF!="AG. COMPRA","Em processamento",'Banco de Dados'!#REF!="AG. RASTREIO","Em processamento",'Banco de Dados'!$AE724&lt;&gt;"-","Faturado",'Banco de Dados'!$AD724&lt;&gt;"-","Aguardando Pix",'Banco de Dados'!$AC724&lt;&gt;"-","Pendente"),"Aguardando Liberação")</f>
        <v>Aguardando Liberação</v>
      </c>
      <c r="AH724" s="5" t="str">
        <f>IF('Banco de Dados'!$F724="-",_xlfn.CONCAT(PROPER(TEXT(AK724,"aaaa"))," ",PROPER(TEXT(AK724,"mm"))),_xlfn.CONCAT(PROPER(TEXT(E724,"aaaa"))," ",PROPER(TEXT(E724,"mm"))))</f>
        <v>2025 01</v>
      </c>
      <c r="AI724" s="9" t="str">
        <f ca="1">IF('Banco de Dados'!$AK724&lt;&gt;"-","REEMBOLSO",IFERROR(_xlfn.XLOOKUP(G724,Follow[CODRASTREIO],Follow[STATUS]),"-"))</f>
        <v>ENTREGUE</v>
      </c>
      <c r="AJ724" s="9">
        <f ca="1">IF('Banco de Dados'!$AI724="ENTREGUE",_xlfn.XLOOKUP('Banco de Dados'!$G724,Follow[CODRASTREIO],Follow[DATAATUALIZAÇÃO]),"-")</f>
        <v>45678</v>
      </c>
      <c r="AK724" s="9" t="str">
        <f ca="1"/>
        <v>-</v>
      </c>
      <c r="AL724" s="35"/>
      <c r="AM724" s="109" cm="1">
        <f t="array" aca="1" ref="AM724" ca="1">IF('Banco de Dados'!$AK724&lt;&gt;"-",_xlfn.IFS('Banco de Dados'!$A724="bv",IF('Banco de Dados'!$E724&lt;45641,ROUND(SUM('Banco de Dados'!$R724*_xlfn.XLOOKUP('Banco de Dados'!$P724,Sku!B:B,Sku!#REF!)*20%),2),ROUND(SUM('Banco de Dados'!$R724*_xlfn.XLOOKUP('Banco de Dados'!$P724,Sku!B:B,Sku!H:H)*20%),2)),'Banco de Dados'!$A724="GO",ROUND(_xlfn.XLOOKUP('Banco de Dados'!$P724,Sku!C:C,Sku!H:H),2),'Banco de Dados'!$A724="MEI",ROUND(_xlfn.XLOOKUP('Banco de Dados'!$P724,Sku!D:D,Sku!H:H),2)),0)</f>
        <v>0</v>
      </c>
      <c r="AN724" s="109">
        <f ca="1">IF('Banco de Dados'!$AK724&lt;&gt;"-",IF('Banco de Dados'!$F724&lt;&gt;"-",_xlfn.XLOOKUP(IFERROR(IFERROR(IFERROR(VALUE(SUBSTITUTE(MID(_xlfn.TEXTAFTER('Banco de Dados'!$F724,"Data do Pedido:
",1),1,10),"-","/")),VALUE(SUBSTITUTE(MID(_xlfn.TEXTAFTER('Banco de Dados'!$F724,"Order date:
",1),1,10),"-","/"))),VALUE(SUBSTITUTE(MID(_xlfn.TEXTAFTER('Banco de Dados'!$F724,"Fecha de pedido:
",1),1,10),"-","/"))),"-"),SMS!A:A,SMS!K:K),0),0)</f>
        <v>0</v>
      </c>
      <c r="AO724" s="109">
        <f ca="1">IF('Banco de Dados'!$AK724&lt;&gt;"-",IF('Banco de Dados'!$F724&lt;&gt;"-",IFERROR(_xlfn.XLOOKUP(_xlfn.CONCAT('Banco de Dados'!$A724,IFERROR(IFERROR(VALUE(SUBSTITUTE(MID(_xlfn.TEXTAFTER('Banco de Dados'!$F724,"Data do Pedido:
",1),1,10),"-","/")),VALUE(SUBSTITUTE(MID(_xlfn.TEXTAFTER('Banco de Dados'!$F724,"Order date:
",1),1,10),"-","/"))),0)),ProxyDD[Chave],ProxyDD[Valor por pedido]),PROXY!$P$2),0),0)</f>
        <v>0</v>
      </c>
      <c r="AP724" s="28">
        <f ca="1">IF('Banco de Dados'!$AK724&lt;&gt;"-",IF('Banco de Dados'!$AL724="NÃO",IFERROR(VALUE(SUBSTITUTE(_xlfn.TEXTAFTER('Banco de Dados'!$F724,"BRL ",1),".",",")),0),0),0)</f>
        <v>0</v>
      </c>
      <c r="AQ724" s="28">
        <f ca="1">SUM('Banco de Dados'!$AM724:$AP724)</f>
        <v>0</v>
      </c>
      <c r="AR724" s="8"/>
      <c r="AS724" s="8"/>
      <c r="AY724" s="8"/>
    </row>
    <row r="725" spans="1:51">
      <c r="A725" s="5" t="str">
        <v>BV</v>
      </c>
      <c r="B725" s="5" t="str">
        <f ca="1"/>
        <v>BV45662</v>
      </c>
      <c r="C725" s="8" t="str">
        <v>Pedido 712</v>
      </c>
      <c r="D725" s="9">
        <v>45662</v>
      </c>
      <c r="E725" s="9">
        <v>45662</v>
      </c>
      <c r="F725" s="8" t="str">
        <v>PedidoF693</v>
      </c>
      <c r="G725" s="2" t="str">
        <v>CódRastreio691</v>
      </c>
      <c r="H725" s="5">
        <v>1</v>
      </c>
      <c r="I725" s="182" t="str">
        <v>CPF 690</v>
      </c>
      <c r="J725" s="2" t="str">
        <v>Nome 690</v>
      </c>
      <c r="K725" s="8" t="str">
        <v>Tel 690</v>
      </c>
      <c r="L725" s="8" t="str">
        <v>Cep 690</v>
      </c>
      <c r="M725" s="8" t="str">
        <v>Rua 690</v>
      </c>
      <c r="N725" s="8" t="str">
        <v>Comp 690</v>
      </c>
      <c r="O725" s="8" t="str">
        <v>Bomba d'agua</v>
      </c>
      <c r="P725" s="8" t="str">
        <v>DJ-RO5O-43GF</v>
      </c>
      <c r="Q725" s="4">
        <v>45687</v>
      </c>
      <c r="R725" s="109">
        <v>22.99</v>
      </c>
      <c r="S725" s="11">
        <f ca="1"/>
        <v>22.99</v>
      </c>
      <c r="T725" s="28">
        <f ca="1"/>
        <v>3.2185999999999999</v>
      </c>
      <c r="U725" s="11">
        <f ca="1"/>
        <v>19.77</v>
      </c>
      <c r="V725" s="11">
        <v>6.99</v>
      </c>
      <c r="W725" s="11">
        <f ca="1"/>
        <v>0.22</v>
      </c>
      <c r="X725" s="11">
        <f ca="1"/>
        <v>0.39877104377104378</v>
      </c>
      <c r="Y725" s="11">
        <v>0</v>
      </c>
      <c r="Z725" s="11">
        <f ca="1"/>
        <v>12.161228956228957</v>
      </c>
      <c r="AA725" s="11">
        <f ca="1"/>
        <v>6.0806144781144784</v>
      </c>
      <c r="AB725" s="4">
        <f ca="1"/>
        <v>45694</v>
      </c>
      <c r="AC725" s="4">
        <v>45694</v>
      </c>
      <c r="AD725" s="9">
        <v>45694</v>
      </c>
      <c r="AE725" s="9">
        <v>45705</v>
      </c>
      <c r="AF725" s="4" t="str">
        <f t="shared" ca="1" si="27"/>
        <v>2025 02</v>
      </c>
      <c r="AG725" s="8" t="str" cm="1">
        <f t="array" ref="AG725">IFERROR(_xlfn.IFS('Banco de Dados'!#REF!="AG. COMPRA","Em processamento",'Banco de Dados'!#REF!="AG. RASTREIO","Em processamento",'Banco de Dados'!$AE725&lt;&gt;"-","Faturado",'Banco de Dados'!$AD725&lt;&gt;"-","Aguardando Pix",'Banco de Dados'!$AC725&lt;&gt;"-","Pendente"),"Aguardando Liberação")</f>
        <v>Aguardando Liberação</v>
      </c>
      <c r="AH725" s="5" t="str">
        <f>IF('Banco de Dados'!$F725="-",_xlfn.CONCAT(PROPER(TEXT(AK725,"aaaa"))," ",PROPER(TEXT(AK725,"mm"))),_xlfn.CONCAT(PROPER(TEXT(E725,"aaaa"))," ",PROPER(TEXT(E725,"mm"))))</f>
        <v>2025 01</v>
      </c>
      <c r="AI725" s="9" t="str">
        <f ca="1">IF('Banco de Dados'!$AK725&lt;&gt;"-","REEMBOLSO",IFERROR(_xlfn.XLOOKUP(G725,Follow[CODRASTREIO],Follow[STATUS]),"-"))</f>
        <v>ENTREGUE</v>
      </c>
      <c r="AJ725" s="9">
        <f ca="1">IF('Banco de Dados'!$AI725="ENTREGUE",_xlfn.XLOOKUP('Banco de Dados'!$G725,Follow[CODRASTREIO],Follow[DATAATUALIZAÇÃO]),"-")</f>
        <v>45670</v>
      </c>
      <c r="AK725" s="9" t="str">
        <f ca="1"/>
        <v>-</v>
      </c>
      <c r="AL725" s="35"/>
      <c r="AM725" s="109" cm="1">
        <f t="array" aca="1" ref="AM725" ca="1">IF('Banco de Dados'!$AK725&lt;&gt;"-",_xlfn.IFS('Banco de Dados'!$A725="bv",IF('Banco de Dados'!$E725&lt;45641,ROUND(SUM('Banco de Dados'!$R725*_xlfn.XLOOKUP('Banco de Dados'!$P725,Sku!B:B,Sku!#REF!)*20%),2),ROUND(SUM('Banco de Dados'!$R725*_xlfn.XLOOKUP('Banco de Dados'!$P725,Sku!B:B,Sku!H:H)*20%),2)),'Banco de Dados'!$A725="GO",ROUND(_xlfn.XLOOKUP('Banco de Dados'!$P725,Sku!C:C,Sku!H:H),2),'Banco de Dados'!$A725="MEI",ROUND(_xlfn.XLOOKUP('Banco de Dados'!$P725,Sku!D:D,Sku!H:H),2)),0)</f>
        <v>0</v>
      </c>
      <c r="AN725" s="109">
        <f ca="1">IF('Banco de Dados'!$AK725&lt;&gt;"-",IF('Banco de Dados'!$F725&lt;&gt;"-",_xlfn.XLOOKUP(IFERROR(IFERROR(IFERROR(VALUE(SUBSTITUTE(MID(_xlfn.TEXTAFTER('Banco de Dados'!$F725,"Data do Pedido:
",1),1,10),"-","/")),VALUE(SUBSTITUTE(MID(_xlfn.TEXTAFTER('Banco de Dados'!$F725,"Order date:
",1),1,10),"-","/"))),VALUE(SUBSTITUTE(MID(_xlfn.TEXTAFTER('Banco de Dados'!$F725,"Fecha de pedido:
",1),1,10),"-","/"))),"-"),SMS!A:A,SMS!K:K),0),0)</f>
        <v>0</v>
      </c>
      <c r="AO725" s="109">
        <f ca="1">IF('Banco de Dados'!$AK725&lt;&gt;"-",IF('Banco de Dados'!$F725&lt;&gt;"-",IFERROR(_xlfn.XLOOKUP(_xlfn.CONCAT('Banco de Dados'!$A725,IFERROR(IFERROR(VALUE(SUBSTITUTE(MID(_xlfn.TEXTAFTER('Banco de Dados'!$F725,"Data do Pedido:
",1),1,10),"-","/")),VALUE(SUBSTITUTE(MID(_xlfn.TEXTAFTER('Banco de Dados'!$F725,"Order date:
",1),1,10),"-","/"))),0)),ProxyDD[Chave],ProxyDD[Valor por pedido]),PROXY!$P$2),0),0)</f>
        <v>0</v>
      </c>
      <c r="AP725" s="28">
        <f ca="1">IF('Banco de Dados'!$AK725&lt;&gt;"-",IF('Banco de Dados'!$AL725="NÃO",IFERROR(VALUE(SUBSTITUTE(_xlfn.TEXTAFTER('Banco de Dados'!$F725,"BRL ",1),".",",")),0),0),0)</f>
        <v>0</v>
      </c>
      <c r="AQ725" s="28">
        <f ca="1">SUM('Banco de Dados'!$AM725:$AP725)</f>
        <v>0</v>
      </c>
      <c r="AR725" s="8"/>
      <c r="AS725" s="8"/>
      <c r="AY725" s="8"/>
    </row>
    <row r="726" spans="1:51">
      <c r="A726" s="5" t="str">
        <v>BV</v>
      </c>
      <c r="B726" s="5" t="str">
        <f ca="1"/>
        <v>BV45662</v>
      </c>
      <c r="C726" s="8" t="str">
        <v>Pedido 713</v>
      </c>
      <c r="D726" s="9">
        <v>45662</v>
      </c>
      <c r="E726" s="9">
        <v>45662</v>
      </c>
      <c r="F726" s="8" t="str">
        <v>PedidoF694</v>
      </c>
      <c r="G726" s="2" t="str">
        <v>CódRastreio692</v>
      </c>
      <c r="H726" s="5">
        <v>1</v>
      </c>
      <c r="I726" s="182" t="str">
        <v>CPF 691</v>
      </c>
      <c r="J726" s="2" t="str">
        <v>Nome 691</v>
      </c>
      <c r="K726" s="8" t="str">
        <v>Tel 691</v>
      </c>
      <c r="L726" s="8" t="str">
        <v>Cep 691</v>
      </c>
      <c r="M726" s="8" t="str">
        <v>Rua 691</v>
      </c>
      <c r="N726" s="8" t="str">
        <v>Comp 691</v>
      </c>
      <c r="O726" s="8" t="str">
        <v>Bomba d'agua</v>
      </c>
      <c r="P726" s="8" t="str">
        <v>DJ-RO5O-43GF</v>
      </c>
      <c r="Q726" s="4">
        <v>45687</v>
      </c>
      <c r="R726" s="109">
        <v>22.99</v>
      </c>
      <c r="S726" s="11">
        <f ca="1"/>
        <v>22.99</v>
      </c>
      <c r="T726" s="28">
        <f ca="1"/>
        <v>3.2185999999999999</v>
      </c>
      <c r="U726" s="11">
        <f ca="1"/>
        <v>19.77</v>
      </c>
      <c r="V726" s="11">
        <v>6.99</v>
      </c>
      <c r="W726" s="11">
        <f ca="1"/>
        <v>0.22</v>
      </c>
      <c r="X726" s="11">
        <f ca="1"/>
        <v>0.39877104377104378</v>
      </c>
      <c r="Y726" s="11">
        <v>0</v>
      </c>
      <c r="Z726" s="11">
        <f ca="1"/>
        <v>12.161228956228957</v>
      </c>
      <c r="AA726" s="11">
        <f ca="1"/>
        <v>6.0806144781144784</v>
      </c>
      <c r="AB726" s="4">
        <f ca="1"/>
        <v>45694</v>
      </c>
      <c r="AC726" s="4">
        <v>45694</v>
      </c>
      <c r="AD726" s="9">
        <v>45694</v>
      </c>
      <c r="AE726" s="9">
        <v>45705</v>
      </c>
      <c r="AF726" s="4" t="str">
        <f t="shared" ca="1" si="27"/>
        <v>2025 02</v>
      </c>
      <c r="AG726" s="8" t="str" cm="1">
        <f t="array" ref="AG726">IFERROR(_xlfn.IFS('Banco de Dados'!#REF!="AG. COMPRA","Em processamento",'Banco de Dados'!#REF!="AG. RASTREIO","Em processamento",'Banco de Dados'!$AE726&lt;&gt;"-","Faturado",'Banco de Dados'!$AD726&lt;&gt;"-","Aguardando Pix",'Banco de Dados'!$AC726&lt;&gt;"-","Pendente"),"Aguardando Liberação")</f>
        <v>Aguardando Liberação</v>
      </c>
      <c r="AH726" s="5" t="str">
        <f>IF('Banco de Dados'!$F726="-",_xlfn.CONCAT(PROPER(TEXT(AK726,"aaaa"))," ",PROPER(TEXT(AK726,"mm"))),_xlfn.CONCAT(PROPER(TEXT(E726,"aaaa"))," ",PROPER(TEXT(E726,"mm"))))</f>
        <v>2025 01</v>
      </c>
      <c r="AI726" s="9" t="str">
        <f ca="1">IF('Banco de Dados'!$AK726&lt;&gt;"-","REEMBOLSO",IFERROR(_xlfn.XLOOKUP(G726,Follow[CODRASTREIO],Follow[STATUS]),"-"))</f>
        <v>ENTREGUE</v>
      </c>
      <c r="AJ726" s="9">
        <f ca="1">IF('Banco de Dados'!$AI726="ENTREGUE",_xlfn.XLOOKUP('Banco de Dados'!$G726,Follow[CODRASTREIO],Follow[DATAATUALIZAÇÃO]),"-")</f>
        <v>45670</v>
      </c>
      <c r="AK726" s="9" t="str">
        <f ca="1"/>
        <v>-</v>
      </c>
      <c r="AL726" s="35"/>
      <c r="AM726" s="109" cm="1">
        <f t="array" aca="1" ref="AM726" ca="1">IF('Banco de Dados'!$AK726&lt;&gt;"-",_xlfn.IFS('Banco de Dados'!$A726="bv",IF('Banco de Dados'!$E726&lt;45641,ROUND(SUM('Banco de Dados'!$R726*_xlfn.XLOOKUP('Banco de Dados'!$P726,Sku!B:B,Sku!#REF!)*20%),2),ROUND(SUM('Banco de Dados'!$R726*_xlfn.XLOOKUP('Banco de Dados'!$P726,Sku!B:B,Sku!H:H)*20%),2)),'Banco de Dados'!$A726="GO",ROUND(_xlfn.XLOOKUP('Banco de Dados'!$P726,Sku!C:C,Sku!H:H),2),'Banco de Dados'!$A726="MEI",ROUND(_xlfn.XLOOKUP('Banco de Dados'!$P726,Sku!D:D,Sku!H:H),2)),0)</f>
        <v>0</v>
      </c>
      <c r="AN726" s="109">
        <f ca="1">IF('Banco de Dados'!$AK726&lt;&gt;"-",IF('Banco de Dados'!$F726&lt;&gt;"-",_xlfn.XLOOKUP(IFERROR(IFERROR(IFERROR(VALUE(SUBSTITUTE(MID(_xlfn.TEXTAFTER('Banco de Dados'!$F726,"Data do Pedido:
",1),1,10),"-","/")),VALUE(SUBSTITUTE(MID(_xlfn.TEXTAFTER('Banco de Dados'!$F726,"Order date:
",1),1,10),"-","/"))),VALUE(SUBSTITUTE(MID(_xlfn.TEXTAFTER('Banco de Dados'!$F726,"Fecha de pedido:
",1),1,10),"-","/"))),"-"),SMS!A:A,SMS!K:K),0),0)</f>
        <v>0</v>
      </c>
      <c r="AO726" s="109">
        <f ca="1">IF('Banco de Dados'!$AK726&lt;&gt;"-",IF('Banco de Dados'!$F726&lt;&gt;"-",IFERROR(_xlfn.XLOOKUP(_xlfn.CONCAT('Banco de Dados'!$A726,IFERROR(IFERROR(VALUE(SUBSTITUTE(MID(_xlfn.TEXTAFTER('Banco de Dados'!$F726,"Data do Pedido:
",1),1,10),"-","/")),VALUE(SUBSTITUTE(MID(_xlfn.TEXTAFTER('Banco de Dados'!$F726,"Order date:
",1),1,10),"-","/"))),0)),ProxyDD[Chave],ProxyDD[Valor por pedido]),PROXY!$P$2),0),0)</f>
        <v>0</v>
      </c>
      <c r="AP726" s="28">
        <f ca="1">IF('Banco de Dados'!$AK726&lt;&gt;"-",IF('Banco de Dados'!$AL726="NÃO",IFERROR(VALUE(SUBSTITUTE(_xlfn.TEXTAFTER('Banco de Dados'!$F726,"BRL ",1),".",",")),0),0),0)</f>
        <v>0</v>
      </c>
      <c r="AQ726" s="28">
        <f ca="1">SUM('Banco de Dados'!$AM726:$AP726)</f>
        <v>0</v>
      </c>
      <c r="AR726" s="8"/>
      <c r="AS726" s="8"/>
      <c r="AY726" s="8"/>
    </row>
    <row r="727" spans="1:51">
      <c r="A727" s="5" t="str">
        <v>BV</v>
      </c>
      <c r="B727" s="5" t="str">
        <f ca="1"/>
        <v>BV45662</v>
      </c>
      <c r="C727" s="8" t="str">
        <v>Pedido 714</v>
      </c>
      <c r="D727" s="9">
        <v>45662</v>
      </c>
      <c r="E727" s="9">
        <v>45662</v>
      </c>
      <c r="F727" s="8" t="str">
        <v>PedidoF695</v>
      </c>
      <c r="G727" s="2" t="str">
        <v>CódRastreio693</v>
      </c>
      <c r="H727" s="5">
        <v>1</v>
      </c>
      <c r="I727" s="182" t="str">
        <v>CPF 692</v>
      </c>
      <c r="J727" s="2" t="str">
        <v>Nome 692</v>
      </c>
      <c r="K727" s="8" t="str">
        <v>Tel 692</v>
      </c>
      <c r="L727" s="8" t="str">
        <v>Cep 692</v>
      </c>
      <c r="M727" s="8" t="str">
        <v>Rua 692</v>
      </c>
      <c r="N727" s="8" t="str">
        <v>Comp 692</v>
      </c>
      <c r="O727" s="8" t="str">
        <v>Bomba d'agua</v>
      </c>
      <c r="P727" s="8" t="str">
        <v>DJ-RO5O-43GF</v>
      </c>
      <c r="Q727" s="4">
        <v>45681</v>
      </c>
      <c r="R727" s="109">
        <v>22.99</v>
      </c>
      <c r="S727" s="11">
        <f ca="1"/>
        <v>22.99</v>
      </c>
      <c r="T727" s="28">
        <f ca="1"/>
        <v>3.2185999999999999</v>
      </c>
      <c r="U727" s="11">
        <f ca="1"/>
        <v>19.77</v>
      </c>
      <c r="V727" s="11">
        <v>6.99</v>
      </c>
      <c r="W727" s="11">
        <f ca="1"/>
        <v>0.22</v>
      </c>
      <c r="X727" s="11">
        <f ca="1"/>
        <v>0.39877104377104378</v>
      </c>
      <c r="Y727" s="11">
        <v>0</v>
      </c>
      <c r="Z727" s="11">
        <f ca="1"/>
        <v>12.161228956228957</v>
      </c>
      <c r="AA727" s="11">
        <f ca="1"/>
        <v>6.0806144781144784</v>
      </c>
      <c r="AB727" s="4">
        <f ca="1"/>
        <v>45688</v>
      </c>
      <c r="AC727" s="4">
        <v>45688</v>
      </c>
      <c r="AD727" s="9">
        <v>45688</v>
      </c>
      <c r="AE727" s="9">
        <v>45694</v>
      </c>
      <c r="AF727" s="4" t="str">
        <f t="shared" ca="1" si="27"/>
        <v>2025 01</v>
      </c>
      <c r="AG727" s="8" t="str" cm="1">
        <f t="array" ref="AG727">IFERROR(_xlfn.IFS('Banco de Dados'!#REF!="AG. COMPRA","Em processamento",'Banco de Dados'!#REF!="AG. RASTREIO","Em processamento",'Banco de Dados'!$AE727&lt;&gt;"-","Faturado",'Banco de Dados'!$AD727&lt;&gt;"-","Aguardando Pix",'Banco de Dados'!$AC727&lt;&gt;"-","Pendente"),"Aguardando Liberação")</f>
        <v>Aguardando Liberação</v>
      </c>
      <c r="AH727" s="5" t="str">
        <f>IF('Banco de Dados'!$F727="-",_xlfn.CONCAT(PROPER(TEXT(AK727,"aaaa"))," ",PROPER(TEXT(AK727,"mm"))),_xlfn.CONCAT(PROPER(TEXT(E727,"aaaa"))," ",PROPER(TEXT(E727,"mm"))))</f>
        <v>2025 01</v>
      </c>
      <c r="AI727" s="9" t="str">
        <f ca="1">IF('Banco de Dados'!$AK727&lt;&gt;"-","REEMBOLSO",IFERROR(_xlfn.XLOOKUP(G727,Follow[CODRASTREIO],Follow[STATUS]),"-"))</f>
        <v>ENTREGUE</v>
      </c>
      <c r="AJ727" s="9">
        <f ca="1">IF('Banco de Dados'!$AI727="ENTREGUE",_xlfn.XLOOKUP('Banco de Dados'!$G727,Follow[CODRASTREIO],Follow[DATAATUALIZAÇÃO]),"-")</f>
        <v>45667</v>
      </c>
      <c r="AK727" s="9" t="str">
        <f ca="1"/>
        <v>-</v>
      </c>
      <c r="AL727" s="35"/>
      <c r="AM727" s="109" cm="1">
        <f t="array" aca="1" ref="AM727" ca="1">IF('Banco de Dados'!$AK727&lt;&gt;"-",_xlfn.IFS('Banco de Dados'!$A727="bv",IF('Banco de Dados'!$E727&lt;45641,ROUND(SUM('Banco de Dados'!$R727*_xlfn.XLOOKUP('Banco de Dados'!$P727,Sku!B:B,Sku!#REF!)*20%),2),ROUND(SUM('Banco de Dados'!$R727*_xlfn.XLOOKUP('Banco de Dados'!$P727,Sku!B:B,Sku!H:H)*20%),2)),'Banco de Dados'!$A727="GO",ROUND(_xlfn.XLOOKUP('Banco de Dados'!$P727,Sku!C:C,Sku!H:H),2),'Banco de Dados'!$A727="MEI",ROUND(_xlfn.XLOOKUP('Banco de Dados'!$P727,Sku!D:D,Sku!H:H),2)),0)</f>
        <v>0</v>
      </c>
      <c r="AN727" s="109">
        <f ca="1">IF('Banco de Dados'!$AK727&lt;&gt;"-",IF('Banco de Dados'!$F727&lt;&gt;"-",_xlfn.XLOOKUP(IFERROR(IFERROR(IFERROR(VALUE(SUBSTITUTE(MID(_xlfn.TEXTAFTER('Banco de Dados'!$F727,"Data do Pedido:
",1),1,10),"-","/")),VALUE(SUBSTITUTE(MID(_xlfn.TEXTAFTER('Banco de Dados'!$F727,"Order date:
",1),1,10),"-","/"))),VALUE(SUBSTITUTE(MID(_xlfn.TEXTAFTER('Banco de Dados'!$F727,"Fecha de pedido:
",1),1,10),"-","/"))),"-"),SMS!A:A,SMS!K:K),0),0)</f>
        <v>0</v>
      </c>
      <c r="AO727" s="109">
        <f ca="1">IF('Banco de Dados'!$AK727&lt;&gt;"-",IF('Banco de Dados'!$F727&lt;&gt;"-",IFERROR(_xlfn.XLOOKUP(_xlfn.CONCAT('Banco de Dados'!$A727,IFERROR(IFERROR(VALUE(SUBSTITUTE(MID(_xlfn.TEXTAFTER('Banco de Dados'!$F727,"Data do Pedido:
",1),1,10),"-","/")),VALUE(SUBSTITUTE(MID(_xlfn.TEXTAFTER('Banco de Dados'!$F727,"Order date:
",1),1,10),"-","/"))),0)),ProxyDD[Chave],ProxyDD[Valor por pedido]),PROXY!$P$2),0),0)</f>
        <v>0</v>
      </c>
      <c r="AP727" s="28">
        <f ca="1">IF('Banco de Dados'!$AK727&lt;&gt;"-",IF('Banco de Dados'!$AL727="NÃO",IFERROR(VALUE(SUBSTITUTE(_xlfn.TEXTAFTER('Banco de Dados'!$F727,"BRL ",1),".",",")),0),0),0)</f>
        <v>0</v>
      </c>
      <c r="AQ727" s="28">
        <f ca="1">SUM('Banco de Dados'!$AM727:$AP727)</f>
        <v>0</v>
      </c>
      <c r="AR727" s="8"/>
      <c r="AS727" s="8"/>
      <c r="AY727" s="8"/>
    </row>
    <row r="728" spans="1:51">
      <c r="A728" s="5" t="str">
        <v>BV</v>
      </c>
      <c r="B728" s="5" t="str">
        <f ca="1"/>
        <v>BV45662</v>
      </c>
      <c r="C728" s="8" t="str">
        <v>Pedido 715</v>
      </c>
      <c r="D728" s="9">
        <v>45662</v>
      </c>
      <c r="E728" s="9">
        <v>45662</v>
      </c>
      <c r="F728" s="8" t="str">
        <v>PedidoF696</v>
      </c>
      <c r="G728" s="2" t="str">
        <v>CódRastreio694</v>
      </c>
      <c r="H728" s="5">
        <v>1</v>
      </c>
      <c r="I728" s="182" t="str">
        <v>CPF 693</v>
      </c>
      <c r="J728" s="2" t="str">
        <v>Nome 693</v>
      </c>
      <c r="K728" s="8" t="str">
        <v>Tel 693</v>
      </c>
      <c r="L728" s="8" t="str">
        <v>Cep 693</v>
      </c>
      <c r="M728" s="8" t="str">
        <v>Rua 693</v>
      </c>
      <c r="N728" s="8" t="str">
        <v>Comp 693</v>
      </c>
      <c r="O728" s="8" t="str">
        <v>Bomba d'agua</v>
      </c>
      <c r="P728" s="8" t="str">
        <v>DJ-RO5O-43GF</v>
      </c>
      <c r="Q728" s="4">
        <v>45687</v>
      </c>
      <c r="R728" s="109">
        <v>22.99</v>
      </c>
      <c r="S728" s="11">
        <f ca="1"/>
        <v>22.99</v>
      </c>
      <c r="T728" s="28">
        <f ca="1"/>
        <v>3.2185999999999999</v>
      </c>
      <c r="U728" s="11">
        <f ca="1"/>
        <v>19.77</v>
      </c>
      <c r="V728" s="11">
        <v>6.99</v>
      </c>
      <c r="W728" s="11">
        <f ca="1"/>
        <v>0.22</v>
      </c>
      <c r="X728" s="11">
        <f ca="1"/>
        <v>0.39877104377104378</v>
      </c>
      <c r="Y728" s="11">
        <v>0</v>
      </c>
      <c r="Z728" s="11">
        <f ca="1"/>
        <v>12.161228956228957</v>
      </c>
      <c r="AA728" s="11">
        <f ca="1"/>
        <v>6.0806144781144784</v>
      </c>
      <c r="AB728" s="4">
        <f ca="1"/>
        <v>45694</v>
      </c>
      <c r="AC728" s="4">
        <v>45694</v>
      </c>
      <c r="AD728" s="9">
        <v>45694</v>
      </c>
      <c r="AE728" s="9">
        <v>45705</v>
      </c>
      <c r="AF728" s="4" t="str">
        <f t="shared" ca="1" si="27"/>
        <v>2025 02</v>
      </c>
      <c r="AG728" s="8" t="str" cm="1">
        <f t="array" ref="AG728">IFERROR(_xlfn.IFS('Banco de Dados'!#REF!="AG. COMPRA","Em processamento",'Banco de Dados'!#REF!="AG. RASTREIO","Em processamento",'Banco de Dados'!$AE728&lt;&gt;"-","Faturado",'Banco de Dados'!$AD728&lt;&gt;"-","Aguardando Pix",'Banco de Dados'!$AC728&lt;&gt;"-","Pendente"),"Aguardando Liberação")</f>
        <v>Aguardando Liberação</v>
      </c>
      <c r="AH728" s="5" t="str">
        <f>IF('Banco de Dados'!$F728="-",_xlfn.CONCAT(PROPER(TEXT(AK728,"aaaa"))," ",PROPER(TEXT(AK728,"mm"))),_xlfn.CONCAT(PROPER(TEXT(E728,"aaaa"))," ",PROPER(TEXT(E728,"mm"))))</f>
        <v>2025 01</v>
      </c>
      <c r="AI728" s="9" t="str">
        <f ca="1">IF('Banco de Dados'!$AK728&lt;&gt;"-","REEMBOLSO",IFERROR(_xlfn.XLOOKUP(G728,Follow[CODRASTREIO],Follow[STATUS]),"-"))</f>
        <v>ENTREGUE</v>
      </c>
      <c r="AJ728" s="9">
        <f ca="1">IF('Banco de Dados'!$AI728="ENTREGUE",_xlfn.XLOOKUP('Banco de Dados'!$G728,Follow[CODRASTREIO],Follow[DATAATUALIZAÇÃO]),"-")</f>
        <v>45670</v>
      </c>
      <c r="AK728" s="9" t="str">
        <f ca="1"/>
        <v>-</v>
      </c>
      <c r="AL728" s="35"/>
      <c r="AM728" s="109" cm="1">
        <f t="array" aca="1" ref="AM728" ca="1">IF('Banco de Dados'!$AK728&lt;&gt;"-",_xlfn.IFS('Banco de Dados'!$A728="bv",IF('Banco de Dados'!$E728&lt;45641,ROUND(SUM('Banco de Dados'!$R728*_xlfn.XLOOKUP('Banco de Dados'!$P728,Sku!B:B,Sku!#REF!)*20%),2),ROUND(SUM('Banco de Dados'!$R728*_xlfn.XLOOKUP('Banco de Dados'!$P728,Sku!B:B,Sku!H:H)*20%),2)),'Banco de Dados'!$A728="GO",ROUND(_xlfn.XLOOKUP('Banco de Dados'!$P728,Sku!C:C,Sku!H:H),2),'Banco de Dados'!$A728="MEI",ROUND(_xlfn.XLOOKUP('Banco de Dados'!$P728,Sku!D:D,Sku!H:H),2)),0)</f>
        <v>0</v>
      </c>
      <c r="AN728" s="109">
        <f ca="1">IF('Banco de Dados'!$AK728&lt;&gt;"-",IF('Banco de Dados'!$F728&lt;&gt;"-",_xlfn.XLOOKUP(IFERROR(IFERROR(IFERROR(VALUE(SUBSTITUTE(MID(_xlfn.TEXTAFTER('Banco de Dados'!$F728,"Data do Pedido:
",1),1,10),"-","/")),VALUE(SUBSTITUTE(MID(_xlfn.TEXTAFTER('Banco de Dados'!$F728,"Order date:
",1),1,10),"-","/"))),VALUE(SUBSTITUTE(MID(_xlfn.TEXTAFTER('Banco de Dados'!$F728,"Fecha de pedido:
",1),1,10),"-","/"))),"-"),SMS!A:A,SMS!K:K),0),0)</f>
        <v>0</v>
      </c>
      <c r="AO728" s="109">
        <f ca="1">IF('Banco de Dados'!$AK728&lt;&gt;"-",IF('Banco de Dados'!$F728&lt;&gt;"-",IFERROR(_xlfn.XLOOKUP(_xlfn.CONCAT('Banco de Dados'!$A728,IFERROR(IFERROR(VALUE(SUBSTITUTE(MID(_xlfn.TEXTAFTER('Banco de Dados'!$F728,"Data do Pedido:
",1),1,10),"-","/")),VALUE(SUBSTITUTE(MID(_xlfn.TEXTAFTER('Banco de Dados'!$F728,"Order date:
",1),1,10),"-","/"))),0)),ProxyDD[Chave],ProxyDD[Valor por pedido]),PROXY!$P$2),0),0)</f>
        <v>0</v>
      </c>
      <c r="AP728" s="28">
        <f ca="1">IF('Banco de Dados'!$AK728&lt;&gt;"-",IF('Banco de Dados'!$AL728="NÃO",IFERROR(VALUE(SUBSTITUTE(_xlfn.TEXTAFTER('Banco de Dados'!$F728,"BRL ",1),".",",")),0),0),0)</f>
        <v>0</v>
      </c>
      <c r="AQ728" s="28">
        <f ca="1">SUM('Banco de Dados'!$AM728:$AP728)</f>
        <v>0</v>
      </c>
      <c r="AR728" s="8"/>
      <c r="AS728" s="8"/>
      <c r="AY728" s="8"/>
    </row>
    <row r="729" spans="1:51">
      <c r="A729" s="5" t="str">
        <v>BV</v>
      </c>
      <c r="B729" s="5" t="str">
        <f ca="1"/>
        <v>BV45663</v>
      </c>
      <c r="C729" s="8" t="str">
        <v>Pedido 716</v>
      </c>
      <c r="D729" s="9">
        <v>45663</v>
      </c>
      <c r="E729" s="9">
        <v>45663</v>
      </c>
      <c r="F729" s="8" t="str">
        <v>PedidoF697</v>
      </c>
      <c r="G729" s="2" t="str">
        <v>CódRastreio695</v>
      </c>
      <c r="H729" s="5">
        <v>1</v>
      </c>
      <c r="I729" s="182" t="str">
        <v>CPF 694</v>
      </c>
      <c r="J729" s="2" t="str">
        <v>Nome 694</v>
      </c>
      <c r="K729" s="8" t="str">
        <v>Tel 694</v>
      </c>
      <c r="L729" s="8" t="str">
        <v>Cep 694</v>
      </c>
      <c r="M729" s="8" t="str">
        <v>Rua 694</v>
      </c>
      <c r="N729" s="8" t="str">
        <v>Comp 694</v>
      </c>
      <c r="O729" s="8" t="str">
        <v>Bomba d'agua</v>
      </c>
      <c r="P729" s="8" t="str">
        <v>DJ-RO5O-43GF</v>
      </c>
      <c r="Q729" s="4">
        <v>45687</v>
      </c>
      <c r="R729" s="109">
        <v>22.99</v>
      </c>
      <c r="S729" s="11">
        <f ca="1"/>
        <v>22.99</v>
      </c>
      <c r="T729" s="28">
        <f ca="1"/>
        <v>3.2185999999999999</v>
      </c>
      <c r="U729" s="11">
        <f ca="1"/>
        <v>19.77</v>
      </c>
      <c r="V729" s="11">
        <v>6.99</v>
      </c>
      <c r="W729" s="11">
        <f ca="1"/>
        <v>0.2</v>
      </c>
      <c r="X729" s="11">
        <f ca="1"/>
        <v>0.39877104377104378</v>
      </c>
      <c r="Y729" s="11">
        <v>0</v>
      </c>
      <c r="Z729" s="11">
        <f ca="1"/>
        <v>12.181228956228956</v>
      </c>
      <c r="AA729" s="11">
        <f ca="1"/>
        <v>6.0906144781144782</v>
      </c>
      <c r="AB729" s="4">
        <f ca="1"/>
        <v>45694</v>
      </c>
      <c r="AC729" s="4">
        <v>45694</v>
      </c>
      <c r="AD729" s="9">
        <v>45694</v>
      </c>
      <c r="AE729" s="9">
        <v>45705</v>
      </c>
      <c r="AF729" s="4" t="str">
        <f t="shared" ca="1" si="27"/>
        <v>2025 02</v>
      </c>
      <c r="AG729" s="8" t="str" cm="1">
        <f t="array" ref="AG729">IFERROR(_xlfn.IFS('Banco de Dados'!#REF!="AG. COMPRA","Em processamento",'Banco de Dados'!#REF!="AG. RASTREIO","Em processamento",'Banco de Dados'!$AE729&lt;&gt;"-","Faturado",'Banco de Dados'!$AD729&lt;&gt;"-","Aguardando Pix",'Banco de Dados'!$AC729&lt;&gt;"-","Pendente"),"Aguardando Liberação")</f>
        <v>Aguardando Liberação</v>
      </c>
      <c r="AH729" s="5" t="str">
        <f>IF('Banco de Dados'!$F729="-",_xlfn.CONCAT(PROPER(TEXT(AK729,"aaaa"))," ",PROPER(TEXT(AK729,"mm"))),_xlfn.CONCAT(PROPER(TEXT(E729,"aaaa"))," ",PROPER(TEXT(E729,"mm"))))</f>
        <v>2025 01</v>
      </c>
      <c r="AI729" s="9" t="str">
        <f ca="1">IF('Banco de Dados'!$AK729&lt;&gt;"-","REEMBOLSO",IFERROR(_xlfn.XLOOKUP(G729,Follow[CODRASTREIO],Follow[STATUS]),"-"))</f>
        <v>ENTREGUE</v>
      </c>
      <c r="AJ729" s="9">
        <f ca="1">IF('Banco de Dados'!$AI729="ENTREGUE",_xlfn.XLOOKUP('Banco de Dados'!$G729,Follow[CODRASTREIO],Follow[DATAATUALIZAÇÃO]),"-")</f>
        <v>45670</v>
      </c>
      <c r="AK729" s="9" t="str">
        <f ca="1"/>
        <v>-</v>
      </c>
      <c r="AL729" s="35"/>
      <c r="AM729" s="109" cm="1">
        <f t="array" aca="1" ref="AM729" ca="1">IF('Banco de Dados'!$AK729&lt;&gt;"-",_xlfn.IFS('Banco de Dados'!$A729="bv",IF('Banco de Dados'!$E729&lt;45641,ROUND(SUM('Banco de Dados'!$R729*_xlfn.XLOOKUP('Banco de Dados'!$P729,Sku!B:B,Sku!#REF!)*20%),2),ROUND(SUM('Banco de Dados'!$R729*_xlfn.XLOOKUP('Banco de Dados'!$P729,Sku!B:B,Sku!H:H)*20%),2)),'Banco de Dados'!$A729="GO",ROUND(_xlfn.XLOOKUP('Banco de Dados'!$P729,Sku!C:C,Sku!H:H),2),'Banco de Dados'!$A729="MEI",ROUND(_xlfn.XLOOKUP('Banco de Dados'!$P729,Sku!D:D,Sku!H:H),2)),0)</f>
        <v>0</v>
      </c>
      <c r="AN729" s="109">
        <f ca="1">IF('Banco de Dados'!$AK729&lt;&gt;"-",IF('Banco de Dados'!$F729&lt;&gt;"-",_xlfn.XLOOKUP(IFERROR(IFERROR(IFERROR(VALUE(SUBSTITUTE(MID(_xlfn.TEXTAFTER('Banco de Dados'!$F729,"Data do Pedido:
",1),1,10),"-","/")),VALUE(SUBSTITUTE(MID(_xlfn.TEXTAFTER('Banco de Dados'!$F729,"Order date:
",1),1,10),"-","/"))),VALUE(SUBSTITUTE(MID(_xlfn.TEXTAFTER('Banco de Dados'!$F729,"Fecha de pedido:
",1),1,10),"-","/"))),"-"),SMS!A:A,SMS!K:K),0),0)</f>
        <v>0</v>
      </c>
      <c r="AO729" s="109">
        <f ca="1">IF('Banco de Dados'!$AK729&lt;&gt;"-",IF('Banco de Dados'!$F729&lt;&gt;"-",IFERROR(_xlfn.XLOOKUP(_xlfn.CONCAT('Banco de Dados'!$A729,IFERROR(IFERROR(VALUE(SUBSTITUTE(MID(_xlfn.TEXTAFTER('Banco de Dados'!$F729,"Data do Pedido:
",1),1,10),"-","/")),VALUE(SUBSTITUTE(MID(_xlfn.TEXTAFTER('Banco de Dados'!$F729,"Order date:
",1),1,10),"-","/"))),0)),ProxyDD[Chave],ProxyDD[Valor por pedido]),PROXY!$P$2),0),0)</f>
        <v>0</v>
      </c>
      <c r="AP729" s="28">
        <f ca="1">IF('Banco de Dados'!$AK729&lt;&gt;"-",IF('Banco de Dados'!$AL729="NÃO",IFERROR(VALUE(SUBSTITUTE(_xlfn.TEXTAFTER('Banco de Dados'!$F729,"BRL ",1),".",",")),0),0),0)</f>
        <v>0</v>
      </c>
      <c r="AQ729" s="28">
        <f ca="1">SUM('Banco de Dados'!$AM729:$AP729)</f>
        <v>0</v>
      </c>
      <c r="AR729" s="8"/>
      <c r="AS729" s="8"/>
      <c r="AY729" s="8"/>
    </row>
    <row r="730" spans="1:51">
      <c r="A730" s="5" t="str">
        <v>BV</v>
      </c>
      <c r="B730" s="5" t="str">
        <f ca="1"/>
        <v>BV45662</v>
      </c>
      <c r="C730" s="8" t="str">
        <v>Pedido 717</v>
      </c>
      <c r="D730" s="9">
        <v>45662</v>
      </c>
      <c r="E730" s="9">
        <v>45662</v>
      </c>
      <c r="F730" s="8" t="str">
        <v>PedidoF698</v>
      </c>
      <c r="G730" s="2" t="str">
        <v>CódRastreio696</v>
      </c>
      <c r="H730" s="5">
        <v>1</v>
      </c>
      <c r="I730" s="182" t="str">
        <v>CPF 695</v>
      </c>
      <c r="J730" s="2" t="str">
        <v>Nome 695</v>
      </c>
      <c r="K730" s="8" t="str">
        <v>Tel 695</v>
      </c>
      <c r="L730" s="8" t="str">
        <v>Cep 695</v>
      </c>
      <c r="M730" s="8" t="str">
        <v>Rua 695</v>
      </c>
      <c r="N730" s="8" t="str">
        <v>Comp 695</v>
      </c>
      <c r="O730" s="8" t="str">
        <v>Bomba d'agua</v>
      </c>
      <c r="P730" s="8" t="str">
        <v>DJ-RO5O-43GF</v>
      </c>
      <c r="Q730" s="4">
        <v>45681</v>
      </c>
      <c r="R730" s="109">
        <v>22.99</v>
      </c>
      <c r="S730" s="11">
        <f ca="1"/>
        <v>22.99</v>
      </c>
      <c r="T730" s="28">
        <f ca="1"/>
        <v>3.2185999999999999</v>
      </c>
      <c r="U730" s="11">
        <f ca="1"/>
        <v>19.77</v>
      </c>
      <c r="V730" s="11">
        <v>6.99</v>
      </c>
      <c r="W730" s="11">
        <f ca="1"/>
        <v>0.22</v>
      </c>
      <c r="X730" s="11">
        <f ca="1"/>
        <v>0.39877104377104378</v>
      </c>
      <c r="Y730" s="11">
        <v>0</v>
      </c>
      <c r="Z730" s="11">
        <f ca="1"/>
        <v>12.161228956228957</v>
      </c>
      <c r="AA730" s="11">
        <f ca="1"/>
        <v>6.0806144781144784</v>
      </c>
      <c r="AB730" s="4">
        <f ca="1"/>
        <v>45688</v>
      </c>
      <c r="AC730" s="4">
        <v>45688</v>
      </c>
      <c r="AD730" s="9">
        <v>45688</v>
      </c>
      <c r="AE730" s="9">
        <v>45694</v>
      </c>
      <c r="AF730" s="4" t="str">
        <f t="shared" ca="1" si="27"/>
        <v>2025 01</v>
      </c>
      <c r="AG730" s="8" t="str" cm="1">
        <f t="array" ref="AG730">IFERROR(_xlfn.IFS('Banco de Dados'!#REF!="AG. COMPRA","Em processamento",'Banco de Dados'!#REF!="AG. RASTREIO","Em processamento",'Banco de Dados'!$AE730&lt;&gt;"-","Faturado",'Banco de Dados'!$AD730&lt;&gt;"-","Aguardando Pix",'Banco de Dados'!$AC730&lt;&gt;"-","Pendente"),"Aguardando Liberação")</f>
        <v>Aguardando Liberação</v>
      </c>
      <c r="AH730" s="5" t="str">
        <f>IF('Banco de Dados'!$F730="-",_xlfn.CONCAT(PROPER(TEXT(AK730,"aaaa"))," ",PROPER(TEXT(AK730,"mm"))),_xlfn.CONCAT(PROPER(TEXT(E730,"aaaa"))," ",PROPER(TEXT(E730,"mm"))))</f>
        <v>2025 01</v>
      </c>
      <c r="AI730" s="9" t="str">
        <f ca="1">IF('Banco de Dados'!$AK730&lt;&gt;"-","REEMBOLSO",IFERROR(_xlfn.XLOOKUP(G730,Follow[CODRASTREIO],Follow[STATUS]),"-"))</f>
        <v>ENTREGUE</v>
      </c>
      <c r="AJ730" s="9">
        <f ca="1">IF('Banco de Dados'!$AI730="ENTREGUE",_xlfn.XLOOKUP('Banco de Dados'!$G730,Follow[CODRASTREIO],Follow[DATAATUALIZAÇÃO]),"-")</f>
        <v>45672</v>
      </c>
      <c r="AK730" s="9" t="str">
        <f ca="1"/>
        <v>-</v>
      </c>
      <c r="AL730" s="35"/>
      <c r="AM730" s="109" cm="1">
        <f t="array" aca="1" ref="AM730" ca="1">IF('Banco de Dados'!$AK730&lt;&gt;"-",_xlfn.IFS('Banco de Dados'!$A730="bv",IF('Banco de Dados'!$E730&lt;45641,ROUND(SUM('Banco de Dados'!$R730*_xlfn.XLOOKUP('Banco de Dados'!$P730,Sku!B:B,Sku!#REF!)*20%),2),ROUND(SUM('Banco de Dados'!$R730*_xlfn.XLOOKUP('Banco de Dados'!$P730,Sku!B:B,Sku!H:H)*20%),2)),'Banco de Dados'!$A730="GO",ROUND(_xlfn.XLOOKUP('Banco de Dados'!$P730,Sku!C:C,Sku!H:H),2),'Banco de Dados'!$A730="MEI",ROUND(_xlfn.XLOOKUP('Banco de Dados'!$P730,Sku!D:D,Sku!H:H),2)),0)</f>
        <v>0</v>
      </c>
      <c r="AN730" s="109">
        <f ca="1">IF('Banco de Dados'!$AK730&lt;&gt;"-",IF('Banco de Dados'!$F730&lt;&gt;"-",_xlfn.XLOOKUP(IFERROR(IFERROR(IFERROR(VALUE(SUBSTITUTE(MID(_xlfn.TEXTAFTER('Banco de Dados'!$F730,"Data do Pedido:
",1),1,10),"-","/")),VALUE(SUBSTITUTE(MID(_xlfn.TEXTAFTER('Banco de Dados'!$F730,"Order date:
",1),1,10),"-","/"))),VALUE(SUBSTITUTE(MID(_xlfn.TEXTAFTER('Banco de Dados'!$F730,"Fecha de pedido:
",1),1,10),"-","/"))),"-"),SMS!A:A,SMS!K:K),0),0)</f>
        <v>0</v>
      </c>
      <c r="AO730" s="109">
        <f ca="1">IF('Banco de Dados'!$AK730&lt;&gt;"-",IF('Banco de Dados'!$F730&lt;&gt;"-",IFERROR(_xlfn.XLOOKUP(_xlfn.CONCAT('Banco de Dados'!$A730,IFERROR(IFERROR(VALUE(SUBSTITUTE(MID(_xlfn.TEXTAFTER('Banco de Dados'!$F730,"Data do Pedido:
",1),1,10),"-","/")),VALUE(SUBSTITUTE(MID(_xlfn.TEXTAFTER('Banco de Dados'!$F730,"Order date:
",1),1,10),"-","/"))),0)),ProxyDD[Chave],ProxyDD[Valor por pedido]),PROXY!$P$2),0),0)</f>
        <v>0</v>
      </c>
      <c r="AP730" s="28">
        <f ca="1">IF('Banco de Dados'!$AK730&lt;&gt;"-",IF('Banco de Dados'!$AL730="NÃO",IFERROR(VALUE(SUBSTITUTE(_xlfn.TEXTAFTER('Banco de Dados'!$F730,"BRL ",1),".",",")),0),0),0)</f>
        <v>0</v>
      </c>
      <c r="AQ730" s="28">
        <f ca="1">SUM('Banco de Dados'!$AM730:$AP730)</f>
        <v>0</v>
      </c>
      <c r="AR730" s="8"/>
      <c r="AS730" s="8"/>
      <c r="AY730" s="8"/>
    </row>
    <row r="731" spans="1:51">
      <c r="A731" s="5" t="str">
        <v>BV</v>
      </c>
      <c r="B731" s="5" t="str">
        <f ca="1"/>
        <v>BV45662</v>
      </c>
      <c r="C731" s="8" t="str">
        <v>Pedido 718</v>
      </c>
      <c r="D731" s="9">
        <v>45662</v>
      </c>
      <c r="E731" s="9">
        <v>45662</v>
      </c>
      <c r="F731" s="8" t="str">
        <v>PedidoF699</v>
      </c>
      <c r="G731" s="2" t="str">
        <v>CódRastreio697</v>
      </c>
      <c r="H731" s="5">
        <v>1</v>
      </c>
      <c r="I731" s="182" t="str">
        <v>CPF 696</v>
      </c>
      <c r="J731" s="2" t="str">
        <v>Nome 696</v>
      </c>
      <c r="K731" s="8" t="str">
        <v>Tel 696</v>
      </c>
      <c r="L731" s="8" t="str">
        <v>Cep 696</v>
      </c>
      <c r="M731" s="8" t="str">
        <v>Rua 696</v>
      </c>
      <c r="N731" s="8" t="str">
        <v>Comp 696</v>
      </c>
      <c r="O731" s="8" t="str">
        <v>Bomba d'agua</v>
      </c>
      <c r="P731" s="8" t="str">
        <v>DJ-RO5O-43GF</v>
      </c>
      <c r="Q731" s="4">
        <v>45687</v>
      </c>
      <c r="R731" s="109">
        <v>22.99</v>
      </c>
      <c r="S731" s="11">
        <f ca="1"/>
        <v>22.99</v>
      </c>
      <c r="T731" s="28">
        <f ca="1"/>
        <v>3.2185999999999999</v>
      </c>
      <c r="U731" s="11">
        <f ca="1"/>
        <v>19.77</v>
      </c>
      <c r="V731" s="11">
        <v>6.99</v>
      </c>
      <c r="W731" s="11">
        <f ca="1"/>
        <v>0.22</v>
      </c>
      <c r="X731" s="11">
        <f ca="1"/>
        <v>0.39877104377104378</v>
      </c>
      <c r="Y731" s="11">
        <v>0</v>
      </c>
      <c r="Z731" s="11">
        <f ca="1"/>
        <v>12.161228956228957</v>
      </c>
      <c r="AA731" s="11">
        <f ca="1"/>
        <v>6.0806144781144784</v>
      </c>
      <c r="AB731" s="4">
        <f ca="1"/>
        <v>45694</v>
      </c>
      <c r="AC731" s="4">
        <v>45694</v>
      </c>
      <c r="AD731" s="9">
        <v>45694</v>
      </c>
      <c r="AE731" s="9">
        <v>45705</v>
      </c>
      <c r="AF731" s="4" t="str">
        <f t="shared" ca="1" si="27"/>
        <v>2025 02</v>
      </c>
      <c r="AG731" s="8" t="str" cm="1">
        <f t="array" ref="AG731">IFERROR(_xlfn.IFS('Banco de Dados'!#REF!="AG. COMPRA","Em processamento",'Banco de Dados'!#REF!="AG. RASTREIO","Em processamento",'Banco de Dados'!$AE731&lt;&gt;"-","Faturado",'Banco de Dados'!$AD731&lt;&gt;"-","Aguardando Pix",'Banco de Dados'!$AC731&lt;&gt;"-","Pendente"),"Aguardando Liberação")</f>
        <v>Aguardando Liberação</v>
      </c>
      <c r="AH731" s="5" t="str">
        <f>IF('Banco de Dados'!$F731="-",_xlfn.CONCAT(PROPER(TEXT(AK731,"aaaa"))," ",PROPER(TEXT(AK731,"mm"))),_xlfn.CONCAT(PROPER(TEXT(E731,"aaaa"))," ",PROPER(TEXT(E731,"mm"))))</f>
        <v>2025 01</v>
      </c>
      <c r="AI731" s="9" t="str">
        <f ca="1">IF('Banco de Dados'!$AK731&lt;&gt;"-","REEMBOLSO",IFERROR(_xlfn.XLOOKUP(G731,Follow[CODRASTREIO],Follow[STATUS]),"-"))</f>
        <v>ENTREGUE</v>
      </c>
      <c r="AJ731" s="9">
        <f ca="1">IF('Banco de Dados'!$AI731="ENTREGUE",_xlfn.XLOOKUP('Banco de Dados'!$G731,Follow[CODRASTREIO],Follow[DATAATUALIZAÇÃO]),"-")</f>
        <v>45672</v>
      </c>
      <c r="AK731" s="9" t="str">
        <f ca="1"/>
        <v>-</v>
      </c>
      <c r="AL731" s="35"/>
      <c r="AM731" s="109" cm="1">
        <f t="array" aca="1" ref="AM731" ca="1">IF('Banco de Dados'!$AK731&lt;&gt;"-",_xlfn.IFS('Banco de Dados'!$A731="bv",IF('Banco de Dados'!$E731&lt;45641,ROUND(SUM('Banco de Dados'!$R731*_xlfn.XLOOKUP('Banco de Dados'!$P731,Sku!B:B,Sku!#REF!)*20%),2),ROUND(SUM('Banco de Dados'!$R731*_xlfn.XLOOKUP('Banco de Dados'!$P731,Sku!B:B,Sku!H:H)*20%),2)),'Banco de Dados'!$A731="GO",ROUND(_xlfn.XLOOKUP('Banco de Dados'!$P731,Sku!C:C,Sku!H:H),2),'Banco de Dados'!$A731="MEI",ROUND(_xlfn.XLOOKUP('Banco de Dados'!$P731,Sku!D:D,Sku!H:H),2)),0)</f>
        <v>0</v>
      </c>
      <c r="AN731" s="109">
        <f ca="1">IF('Banco de Dados'!$AK731&lt;&gt;"-",IF('Banco de Dados'!$F731&lt;&gt;"-",_xlfn.XLOOKUP(IFERROR(IFERROR(IFERROR(VALUE(SUBSTITUTE(MID(_xlfn.TEXTAFTER('Banco de Dados'!$F731,"Data do Pedido:
",1),1,10),"-","/")),VALUE(SUBSTITUTE(MID(_xlfn.TEXTAFTER('Banco de Dados'!$F731,"Order date:
",1),1,10),"-","/"))),VALUE(SUBSTITUTE(MID(_xlfn.TEXTAFTER('Banco de Dados'!$F731,"Fecha de pedido:
",1),1,10),"-","/"))),"-"),SMS!A:A,SMS!K:K),0),0)</f>
        <v>0</v>
      </c>
      <c r="AO731" s="109">
        <f ca="1">IF('Banco de Dados'!$AK731&lt;&gt;"-",IF('Banco de Dados'!$F731&lt;&gt;"-",IFERROR(_xlfn.XLOOKUP(_xlfn.CONCAT('Banco de Dados'!$A731,IFERROR(IFERROR(VALUE(SUBSTITUTE(MID(_xlfn.TEXTAFTER('Banco de Dados'!$F731,"Data do Pedido:
",1),1,10),"-","/")),VALUE(SUBSTITUTE(MID(_xlfn.TEXTAFTER('Banco de Dados'!$F731,"Order date:
",1),1,10),"-","/"))),0)),ProxyDD[Chave],ProxyDD[Valor por pedido]),PROXY!$P$2),0),0)</f>
        <v>0</v>
      </c>
      <c r="AP731" s="28">
        <f ca="1">IF('Banco de Dados'!$AK731&lt;&gt;"-",IF('Banco de Dados'!$AL731="NÃO",IFERROR(VALUE(SUBSTITUTE(_xlfn.TEXTAFTER('Banco de Dados'!$F731,"BRL ",1),".",",")),0),0),0)</f>
        <v>0</v>
      </c>
      <c r="AQ731" s="28">
        <f ca="1">SUM('Banco de Dados'!$AM731:$AP731)</f>
        <v>0</v>
      </c>
      <c r="AR731" s="8"/>
      <c r="AS731" s="8"/>
      <c r="AY731" s="8"/>
    </row>
    <row r="732" spans="1:51">
      <c r="A732" s="5" t="str">
        <v>BV</v>
      </c>
      <c r="B732" s="5" t="str">
        <f ca="1"/>
        <v>BV45662</v>
      </c>
      <c r="C732" s="8" t="str">
        <v>Pedido 719</v>
      </c>
      <c r="D732" s="9">
        <v>45662</v>
      </c>
      <c r="E732" s="9">
        <v>45662</v>
      </c>
      <c r="F732" s="8" t="str">
        <v>PedidoF700</v>
      </c>
      <c r="G732" s="2" t="str">
        <v>CódRastreio698</v>
      </c>
      <c r="H732" s="5">
        <v>1</v>
      </c>
      <c r="I732" s="182" t="str">
        <v>CPF 697</v>
      </c>
      <c r="J732" s="2" t="str">
        <v>Nome 697</v>
      </c>
      <c r="K732" s="8" t="str">
        <v>Tel 697</v>
      </c>
      <c r="L732" s="8" t="str">
        <v>Cep 697</v>
      </c>
      <c r="M732" s="8" t="str">
        <v>Rua 697</v>
      </c>
      <c r="N732" s="8" t="str">
        <v>Comp 697</v>
      </c>
      <c r="O732" s="8" t="str">
        <v>Bomba d'agua</v>
      </c>
      <c r="P732" s="8" t="str">
        <v>DJ-RO5O-43GF</v>
      </c>
      <c r="Q732" s="4">
        <v>45687</v>
      </c>
      <c r="R732" s="109">
        <v>22.99</v>
      </c>
      <c r="S732" s="11">
        <f ca="1"/>
        <v>22.99</v>
      </c>
      <c r="T732" s="28">
        <f ca="1"/>
        <v>3.2185999999999999</v>
      </c>
      <c r="U732" s="11">
        <f ca="1"/>
        <v>19.77</v>
      </c>
      <c r="V732" s="11">
        <v>6.99</v>
      </c>
      <c r="W732" s="11">
        <f ca="1"/>
        <v>0.22</v>
      </c>
      <c r="X732" s="11">
        <f ca="1"/>
        <v>0.39877104377104378</v>
      </c>
      <c r="Y732" s="11">
        <v>0</v>
      </c>
      <c r="Z732" s="11">
        <f ca="1"/>
        <v>12.161228956228957</v>
      </c>
      <c r="AA732" s="11">
        <f ca="1"/>
        <v>6.0806144781144784</v>
      </c>
      <c r="AB732" s="4">
        <f ca="1"/>
        <v>45694</v>
      </c>
      <c r="AC732" s="4">
        <v>45694</v>
      </c>
      <c r="AD732" s="9">
        <v>45694</v>
      </c>
      <c r="AE732" s="9">
        <v>45705</v>
      </c>
      <c r="AF732" s="4" t="str">
        <f t="shared" ca="1" si="27"/>
        <v>2025 02</v>
      </c>
      <c r="AG732" s="8" t="str" cm="1">
        <f t="array" ref="AG732">IFERROR(_xlfn.IFS('Banco de Dados'!#REF!="AG. COMPRA","Em processamento",'Banco de Dados'!#REF!="AG. RASTREIO","Em processamento",'Banco de Dados'!$AE732&lt;&gt;"-","Faturado",'Banco de Dados'!$AD732&lt;&gt;"-","Aguardando Pix",'Banco de Dados'!$AC732&lt;&gt;"-","Pendente"),"Aguardando Liberação")</f>
        <v>Aguardando Liberação</v>
      </c>
      <c r="AH732" s="5" t="str">
        <f>IF('Banco de Dados'!$F732="-",_xlfn.CONCAT(PROPER(TEXT(AK732,"aaaa"))," ",PROPER(TEXT(AK732,"mm"))),_xlfn.CONCAT(PROPER(TEXT(E732,"aaaa"))," ",PROPER(TEXT(E732,"mm"))))</f>
        <v>2025 01</v>
      </c>
      <c r="AI732" s="9" t="str">
        <f ca="1">IF('Banco de Dados'!$AK732&lt;&gt;"-","REEMBOLSO",IFERROR(_xlfn.XLOOKUP(G732,Follow[CODRASTREIO],Follow[STATUS]),"-"))</f>
        <v>ENTREGUE</v>
      </c>
      <c r="AJ732" s="9">
        <f ca="1">IF('Banco de Dados'!$AI732="ENTREGUE",_xlfn.XLOOKUP('Banco de Dados'!$G732,Follow[CODRASTREIO],Follow[DATAATUALIZAÇÃO]),"-")</f>
        <v>45672</v>
      </c>
      <c r="AK732" s="9" t="str">
        <f ca="1"/>
        <v>-</v>
      </c>
      <c r="AL732" s="35"/>
      <c r="AM732" s="109" cm="1">
        <f t="array" aca="1" ref="AM732" ca="1">IF('Banco de Dados'!$AK732&lt;&gt;"-",_xlfn.IFS('Banco de Dados'!$A732="bv",IF('Banco de Dados'!$E732&lt;45641,ROUND(SUM('Banco de Dados'!$R732*_xlfn.XLOOKUP('Banco de Dados'!$P732,Sku!B:B,Sku!#REF!)*20%),2),ROUND(SUM('Banco de Dados'!$R732*_xlfn.XLOOKUP('Banco de Dados'!$P732,Sku!B:B,Sku!H:H)*20%),2)),'Banco de Dados'!$A732="GO",ROUND(_xlfn.XLOOKUP('Banco de Dados'!$P732,Sku!C:C,Sku!H:H),2),'Banco de Dados'!$A732="MEI",ROUND(_xlfn.XLOOKUP('Banco de Dados'!$P732,Sku!D:D,Sku!H:H),2)),0)</f>
        <v>0</v>
      </c>
      <c r="AN732" s="109">
        <f ca="1">IF('Banco de Dados'!$AK732&lt;&gt;"-",IF('Banco de Dados'!$F732&lt;&gt;"-",_xlfn.XLOOKUP(IFERROR(IFERROR(IFERROR(VALUE(SUBSTITUTE(MID(_xlfn.TEXTAFTER('Banco de Dados'!$F732,"Data do Pedido:
",1),1,10),"-","/")),VALUE(SUBSTITUTE(MID(_xlfn.TEXTAFTER('Banco de Dados'!$F732,"Order date:
",1),1,10),"-","/"))),VALUE(SUBSTITUTE(MID(_xlfn.TEXTAFTER('Banco de Dados'!$F732,"Fecha de pedido:
",1),1,10),"-","/"))),"-"),SMS!A:A,SMS!K:K),0),0)</f>
        <v>0</v>
      </c>
      <c r="AO732" s="109">
        <f ca="1">IF('Banco de Dados'!$AK732&lt;&gt;"-",IF('Banco de Dados'!$F732&lt;&gt;"-",IFERROR(_xlfn.XLOOKUP(_xlfn.CONCAT('Banco de Dados'!$A732,IFERROR(IFERROR(VALUE(SUBSTITUTE(MID(_xlfn.TEXTAFTER('Banco de Dados'!$F732,"Data do Pedido:
",1),1,10),"-","/")),VALUE(SUBSTITUTE(MID(_xlfn.TEXTAFTER('Banco de Dados'!$F732,"Order date:
",1),1,10),"-","/"))),0)),ProxyDD[Chave],ProxyDD[Valor por pedido]),PROXY!$P$2),0),0)</f>
        <v>0</v>
      </c>
      <c r="AP732" s="28">
        <f ca="1">IF('Banco de Dados'!$AK732&lt;&gt;"-",IF('Banco de Dados'!$AL732="NÃO",IFERROR(VALUE(SUBSTITUTE(_xlfn.TEXTAFTER('Banco de Dados'!$F732,"BRL ",1),".",",")),0),0),0)</f>
        <v>0</v>
      </c>
      <c r="AQ732" s="28">
        <f ca="1">SUM('Banco de Dados'!$AM732:$AP732)</f>
        <v>0</v>
      </c>
      <c r="AR732" s="8"/>
      <c r="AS732" s="8"/>
      <c r="AY732" s="8"/>
    </row>
    <row r="733" spans="1:51">
      <c r="A733" s="5" t="str">
        <v>BV</v>
      </c>
      <c r="B733" s="5" t="str">
        <f ca="1"/>
        <v>BV45662</v>
      </c>
      <c r="C733" s="8" t="str">
        <v>Pedido 720</v>
      </c>
      <c r="D733" s="9">
        <v>45662</v>
      </c>
      <c r="E733" s="9">
        <v>45662</v>
      </c>
      <c r="F733" s="8" t="str">
        <v>PedidoF701</v>
      </c>
      <c r="G733" s="2" t="str">
        <v>CódRastreio699</v>
      </c>
      <c r="H733" s="5">
        <v>1</v>
      </c>
      <c r="I733" s="182" t="str">
        <v>CPF 698</v>
      </c>
      <c r="J733" s="2" t="str">
        <v>Nome 698</v>
      </c>
      <c r="K733" s="8" t="str">
        <v>Tel 698</v>
      </c>
      <c r="L733" s="8" t="str">
        <v>Cep 698</v>
      </c>
      <c r="M733" s="8" t="str">
        <v>Rua 698</v>
      </c>
      <c r="N733" s="8" t="str">
        <v>Comp 698</v>
      </c>
      <c r="O733" s="8" t="str">
        <v>Ventilador Rosa</v>
      </c>
      <c r="P733" s="8" t="str">
        <v>IF-G2ZQ-79FO</v>
      </c>
      <c r="Q733" s="4">
        <v>45681</v>
      </c>
      <c r="R733" s="109">
        <v>46.9</v>
      </c>
      <c r="S733" s="11">
        <f ca="1"/>
        <v>46.9</v>
      </c>
      <c r="T733" s="28">
        <f ca="1"/>
        <v>6.0970000000000004</v>
      </c>
      <c r="U733" s="11">
        <f ca="1"/>
        <v>40.799999999999997</v>
      </c>
      <c r="V733" s="11">
        <v>10.15</v>
      </c>
      <c r="W733" s="11">
        <f ca="1"/>
        <v>0.22</v>
      </c>
      <c r="X733" s="11">
        <f ca="1"/>
        <v>0.39877104377104378</v>
      </c>
      <c r="Y733" s="11">
        <v>0</v>
      </c>
      <c r="Z733" s="11">
        <f ca="1"/>
        <v>30.031228956228951</v>
      </c>
      <c r="AA733" s="11">
        <f ca="1"/>
        <v>15.015614478114475</v>
      </c>
      <c r="AB733" s="4">
        <f ca="1"/>
        <v>45688</v>
      </c>
      <c r="AC733" s="4">
        <v>45688</v>
      </c>
      <c r="AD733" s="9">
        <v>45688</v>
      </c>
      <c r="AE733" s="9">
        <v>45694</v>
      </c>
      <c r="AF733" s="4" t="str">
        <f t="shared" ca="1" si="27"/>
        <v>2025 01</v>
      </c>
      <c r="AG733" s="8" t="str" cm="1">
        <f t="array" ref="AG733">IFERROR(_xlfn.IFS('Banco de Dados'!#REF!="AG. COMPRA","Em processamento",'Banco de Dados'!#REF!="AG. RASTREIO","Em processamento",'Banco de Dados'!$AE733&lt;&gt;"-","Faturado",'Banco de Dados'!$AD733&lt;&gt;"-","Aguardando Pix",'Banco de Dados'!$AC733&lt;&gt;"-","Pendente"),"Aguardando Liberação")</f>
        <v>Aguardando Liberação</v>
      </c>
      <c r="AH733" s="5" t="str">
        <f>IF('Banco de Dados'!$F733="-",_xlfn.CONCAT(PROPER(TEXT(AK733,"aaaa"))," ",PROPER(TEXT(AK733,"mm"))),_xlfn.CONCAT(PROPER(TEXT(E733,"aaaa"))," ",PROPER(TEXT(E733,"mm"))))</f>
        <v>2025 01</v>
      </c>
      <c r="AI733" s="9" t="str">
        <f ca="1">IF('Banco de Dados'!$AK733&lt;&gt;"-","REEMBOLSO",IFERROR(_xlfn.XLOOKUP(G733,Follow[CODRASTREIO],Follow[STATUS]),"-"))</f>
        <v>ENTREGUE</v>
      </c>
      <c r="AJ733" s="9">
        <f ca="1">IF('Banco de Dados'!$AI733="ENTREGUE",_xlfn.XLOOKUP('Banco de Dados'!$G733,Follow[CODRASTREIO],Follow[DATAATUALIZAÇÃO]),"-")</f>
        <v>45668</v>
      </c>
      <c r="AK733" s="9" t="str">
        <f ca="1"/>
        <v>-</v>
      </c>
      <c r="AL733" s="35"/>
      <c r="AM733" s="109" cm="1">
        <f t="array" aca="1" ref="AM733" ca="1">IF('Banco de Dados'!$AK733&lt;&gt;"-",_xlfn.IFS('Banco de Dados'!$A733="bv",IF('Banco de Dados'!$E733&lt;45641,ROUND(SUM('Banco de Dados'!$R733*_xlfn.XLOOKUP('Banco de Dados'!$P733,Sku!B:B,Sku!#REF!)*20%),2),ROUND(SUM('Banco de Dados'!$R733*_xlfn.XLOOKUP('Banco de Dados'!$P733,Sku!B:B,Sku!H:H)*20%),2)),'Banco de Dados'!$A733="GO",ROUND(_xlfn.XLOOKUP('Banco de Dados'!$P733,Sku!C:C,Sku!H:H),2),'Banco de Dados'!$A733="MEI",ROUND(_xlfn.XLOOKUP('Banco de Dados'!$P733,Sku!D:D,Sku!H:H),2)),0)</f>
        <v>0</v>
      </c>
      <c r="AN733" s="109">
        <f ca="1">IF('Banco de Dados'!$AK733&lt;&gt;"-",IF('Banco de Dados'!$F733&lt;&gt;"-",_xlfn.XLOOKUP(IFERROR(IFERROR(IFERROR(VALUE(SUBSTITUTE(MID(_xlfn.TEXTAFTER('Banco de Dados'!$F733,"Data do Pedido:
",1),1,10),"-","/")),VALUE(SUBSTITUTE(MID(_xlfn.TEXTAFTER('Banco de Dados'!$F733,"Order date:
",1),1,10),"-","/"))),VALUE(SUBSTITUTE(MID(_xlfn.TEXTAFTER('Banco de Dados'!$F733,"Fecha de pedido:
",1),1,10),"-","/"))),"-"),SMS!A:A,SMS!K:K),0),0)</f>
        <v>0</v>
      </c>
      <c r="AO733" s="109">
        <f ca="1">IF('Banco de Dados'!$AK733&lt;&gt;"-",IF('Banco de Dados'!$F733&lt;&gt;"-",IFERROR(_xlfn.XLOOKUP(_xlfn.CONCAT('Banco de Dados'!$A733,IFERROR(IFERROR(VALUE(SUBSTITUTE(MID(_xlfn.TEXTAFTER('Banco de Dados'!$F733,"Data do Pedido:
",1),1,10),"-","/")),VALUE(SUBSTITUTE(MID(_xlfn.TEXTAFTER('Banco de Dados'!$F733,"Order date:
",1),1,10),"-","/"))),0)),ProxyDD[Chave],ProxyDD[Valor por pedido]),PROXY!$P$2),0),0)</f>
        <v>0</v>
      </c>
      <c r="AP733" s="28">
        <f ca="1">IF('Banco de Dados'!$AK733&lt;&gt;"-",IF('Banco de Dados'!$AL733="NÃO",IFERROR(VALUE(SUBSTITUTE(_xlfn.TEXTAFTER('Banco de Dados'!$F733,"BRL ",1),".",",")),0),0),0)</f>
        <v>0</v>
      </c>
      <c r="AQ733" s="28">
        <f ca="1">SUM('Banco de Dados'!$AM733:$AP733)</f>
        <v>0</v>
      </c>
      <c r="AR733" s="8"/>
      <c r="AS733" s="8"/>
      <c r="AY733" s="8"/>
    </row>
    <row r="734" spans="1:51">
      <c r="A734" s="5" t="str">
        <v>BV</v>
      </c>
      <c r="B734" s="5" t="str">
        <f ca="1"/>
        <v>BV45666</v>
      </c>
      <c r="C734" s="8" t="str">
        <v>Pedido 721</v>
      </c>
      <c r="D734" s="9">
        <v>45666</v>
      </c>
      <c r="E734" s="9">
        <v>45666</v>
      </c>
      <c r="F734" s="8" t="str">
        <v>PedidoF702</v>
      </c>
      <c r="G734" s="2" t="str">
        <v>CódRastreio700</v>
      </c>
      <c r="H734" s="5">
        <v>1</v>
      </c>
      <c r="I734" s="182" t="str">
        <v>CPF 699</v>
      </c>
      <c r="J734" s="2" t="str">
        <v>Nome 699</v>
      </c>
      <c r="K734" s="8" t="str">
        <v>Tel 699</v>
      </c>
      <c r="L734" s="8" t="str">
        <v>Cep 699</v>
      </c>
      <c r="M734" s="8" t="str">
        <v>Rua 699</v>
      </c>
      <c r="N734" s="8" t="str">
        <v>Comp 699</v>
      </c>
      <c r="O734" s="8" t="str">
        <v>Ventilador Rosa</v>
      </c>
      <c r="P734" s="8" t="str">
        <v>IF-G2ZQ-79FO</v>
      </c>
      <c r="Q734" s="4">
        <v>45687</v>
      </c>
      <c r="R734" s="109">
        <v>46.9</v>
      </c>
      <c r="S734" s="11">
        <f ca="1"/>
        <v>46.9</v>
      </c>
      <c r="T734" s="28">
        <f ca="1"/>
        <v>6.0970000000000004</v>
      </c>
      <c r="U734" s="11">
        <f ca="1"/>
        <v>40.799999999999997</v>
      </c>
      <c r="V734" s="11">
        <v>19.510000000000002</v>
      </c>
      <c r="W734" s="11">
        <f ca="1"/>
        <v>0.66</v>
      </c>
      <c r="X734" s="11">
        <f ca="1"/>
        <v>0.39877104377104378</v>
      </c>
      <c r="Y734" s="11">
        <v>0</v>
      </c>
      <c r="Z734" s="11">
        <f ca="1"/>
        <v>20.23122895622895</v>
      </c>
      <c r="AA734" s="11">
        <f ca="1"/>
        <v>10.115614478114475</v>
      </c>
      <c r="AB734" s="4">
        <f ca="1"/>
        <v>45694</v>
      </c>
      <c r="AC734" s="4">
        <v>45694</v>
      </c>
      <c r="AD734" s="9">
        <v>45694</v>
      </c>
      <c r="AE734" s="9">
        <v>45705</v>
      </c>
      <c r="AF734" s="4" t="str">
        <f t="shared" ca="1" si="27"/>
        <v>2025 02</v>
      </c>
      <c r="AG734" s="8" t="str" cm="1">
        <f t="array" ref="AG734">IFERROR(_xlfn.IFS('Banco de Dados'!#REF!="AG. COMPRA","Em processamento",'Banco de Dados'!#REF!="AG. RASTREIO","Em processamento",'Banco de Dados'!$AE734&lt;&gt;"-","Faturado",'Banco de Dados'!$AD734&lt;&gt;"-","Aguardando Pix",'Banco de Dados'!$AC734&lt;&gt;"-","Pendente"),"Aguardando Liberação")</f>
        <v>Aguardando Liberação</v>
      </c>
      <c r="AH734" s="5" t="str">
        <f>IF('Banco de Dados'!$F734="-",_xlfn.CONCAT(PROPER(TEXT(AK734,"aaaa"))," ",PROPER(TEXT(AK734,"mm"))),_xlfn.CONCAT(PROPER(TEXT(E734,"aaaa"))," ",PROPER(TEXT(E734,"mm"))))</f>
        <v>2025 01</v>
      </c>
      <c r="AI734" s="9" t="str">
        <f ca="1">IF('Banco de Dados'!$AK734&lt;&gt;"-","REEMBOLSO",IFERROR(_xlfn.XLOOKUP(G734,Follow[CODRASTREIO],Follow[STATUS]),"-"))</f>
        <v>ENTREGUE</v>
      </c>
      <c r="AJ734" s="9">
        <f ca="1">IF('Banco de Dados'!$AI734="ENTREGUE",_xlfn.XLOOKUP('Banco de Dados'!$G734,Follow[CODRASTREIO],Follow[DATAATUALIZAÇÃO]),"-")</f>
        <v>45684</v>
      </c>
      <c r="AK734" s="9" t="str">
        <f ca="1"/>
        <v>-</v>
      </c>
      <c r="AL734" s="35"/>
      <c r="AM734" s="109" cm="1">
        <f t="array" aca="1" ref="AM734" ca="1">IF('Banco de Dados'!$AK734&lt;&gt;"-",_xlfn.IFS('Banco de Dados'!$A734="bv",IF('Banco de Dados'!$E734&lt;45641,ROUND(SUM('Banco de Dados'!$R734*_xlfn.XLOOKUP('Banco de Dados'!$P734,Sku!B:B,Sku!#REF!)*20%),2),ROUND(SUM('Banco de Dados'!$R734*_xlfn.XLOOKUP('Banco de Dados'!$P734,Sku!B:B,Sku!H:H)*20%),2)),'Banco de Dados'!$A734="GO",ROUND(_xlfn.XLOOKUP('Banco de Dados'!$P734,Sku!C:C,Sku!H:H),2),'Banco de Dados'!$A734="MEI",ROUND(_xlfn.XLOOKUP('Banco de Dados'!$P734,Sku!D:D,Sku!H:H),2)),0)</f>
        <v>0</v>
      </c>
      <c r="AN734" s="109">
        <f ca="1">IF('Banco de Dados'!$AK734&lt;&gt;"-",IF('Banco de Dados'!$F734&lt;&gt;"-",_xlfn.XLOOKUP(IFERROR(IFERROR(IFERROR(VALUE(SUBSTITUTE(MID(_xlfn.TEXTAFTER('Banco de Dados'!$F734,"Data do Pedido:
",1),1,10),"-","/")),VALUE(SUBSTITUTE(MID(_xlfn.TEXTAFTER('Banco de Dados'!$F734,"Order date:
",1),1,10),"-","/"))),VALUE(SUBSTITUTE(MID(_xlfn.TEXTAFTER('Banco de Dados'!$F734,"Fecha de pedido:
",1),1,10),"-","/"))),"-"),SMS!A:A,SMS!K:K),0),0)</f>
        <v>0</v>
      </c>
      <c r="AO734" s="109">
        <f ca="1">IF('Banco de Dados'!$AK734&lt;&gt;"-",IF('Banco de Dados'!$F734&lt;&gt;"-",IFERROR(_xlfn.XLOOKUP(_xlfn.CONCAT('Banco de Dados'!$A734,IFERROR(IFERROR(VALUE(SUBSTITUTE(MID(_xlfn.TEXTAFTER('Banco de Dados'!$F734,"Data do Pedido:
",1),1,10),"-","/")),VALUE(SUBSTITUTE(MID(_xlfn.TEXTAFTER('Banco de Dados'!$F734,"Order date:
",1),1,10),"-","/"))),0)),ProxyDD[Chave],ProxyDD[Valor por pedido]),PROXY!$P$2),0),0)</f>
        <v>0</v>
      </c>
      <c r="AP734" s="28">
        <f ca="1">IF('Banco de Dados'!$AK734&lt;&gt;"-",IF('Banco de Dados'!$AL734="NÃO",IFERROR(VALUE(SUBSTITUTE(_xlfn.TEXTAFTER('Banco de Dados'!$F734,"BRL ",1),".",",")),0),0),0)</f>
        <v>0</v>
      </c>
      <c r="AQ734" s="28">
        <f ca="1">SUM('Banco de Dados'!$AM734:$AP734)</f>
        <v>0</v>
      </c>
      <c r="AR734" s="8"/>
      <c r="AS734" s="8"/>
      <c r="AY734" s="8"/>
    </row>
    <row r="735" spans="1:51">
      <c r="A735" s="5" t="str">
        <v>BV</v>
      </c>
      <c r="B735" s="5" t="str">
        <f ca="1"/>
        <v>BV45666</v>
      </c>
      <c r="C735" s="8" t="str">
        <v>Pedido 722</v>
      </c>
      <c r="D735" s="9">
        <v>45666</v>
      </c>
      <c r="E735" s="9">
        <v>45666</v>
      </c>
      <c r="F735" s="8" t="str">
        <v>PedidoF703</v>
      </c>
      <c r="G735" s="2" t="str">
        <v>CódRastreio701</v>
      </c>
      <c r="H735" s="5">
        <v>1</v>
      </c>
      <c r="I735" s="182" t="str">
        <v>CPF 700</v>
      </c>
      <c r="J735" s="2" t="str">
        <v>Nome 700</v>
      </c>
      <c r="K735" s="8" t="str">
        <v>Tel 700</v>
      </c>
      <c r="L735" s="8" t="str">
        <v>Cep 700</v>
      </c>
      <c r="M735" s="8" t="str">
        <v>Rua 700</v>
      </c>
      <c r="N735" s="8" t="str">
        <v>Comp 700</v>
      </c>
      <c r="O735" s="8" t="str">
        <v>Ventilador Rosa</v>
      </c>
      <c r="P735" s="8" t="str">
        <v>IF-G2ZQ-79FO</v>
      </c>
      <c r="Q735" s="4">
        <v>45687</v>
      </c>
      <c r="R735" s="109">
        <v>46.9</v>
      </c>
      <c r="S735" s="11">
        <f ca="1"/>
        <v>46.9</v>
      </c>
      <c r="T735" s="28">
        <f ca="1"/>
        <v>6.0970000000000004</v>
      </c>
      <c r="U735" s="11">
        <f ca="1"/>
        <v>40.799999999999997</v>
      </c>
      <c r="V735" s="11">
        <v>19.510000000000002</v>
      </c>
      <c r="W735" s="11">
        <f ca="1"/>
        <v>0.66</v>
      </c>
      <c r="X735" s="11">
        <f ca="1"/>
        <v>0.39877104377104378</v>
      </c>
      <c r="Y735" s="11">
        <v>0</v>
      </c>
      <c r="Z735" s="11">
        <f ca="1"/>
        <v>20.23122895622895</v>
      </c>
      <c r="AA735" s="11">
        <f ca="1"/>
        <v>10.115614478114475</v>
      </c>
      <c r="AB735" s="4">
        <f ca="1"/>
        <v>45694</v>
      </c>
      <c r="AC735" s="4">
        <v>45694</v>
      </c>
      <c r="AD735" s="9">
        <v>45694</v>
      </c>
      <c r="AE735" s="9">
        <v>45705</v>
      </c>
      <c r="AF735" s="4" t="str">
        <f t="shared" ca="1" si="27"/>
        <v>2025 02</v>
      </c>
      <c r="AG735" s="8" t="str" cm="1">
        <f t="array" ref="AG735">IFERROR(_xlfn.IFS('Banco de Dados'!#REF!="AG. COMPRA","Em processamento",'Banco de Dados'!#REF!="AG. RASTREIO","Em processamento",'Banco de Dados'!$AE735&lt;&gt;"-","Faturado",'Banco de Dados'!$AD735&lt;&gt;"-","Aguardando Pix",'Banco de Dados'!$AC735&lt;&gt;"-","Pendente"),"Aguardando Liberação")</f>
        <v>Aguardando Liberação</v>
      </c>
      <c r="AH735" s="5" t="str">
        <f>IF('Banco de Dados'!$F735="-",_xlfn.CONCAT(PROPER(TEXT(AK735,"aaaa"))," ",PROPER(TEXT(AK735,"mm"))),_xlfn.CONCAT(PROPER(TEXT(E735,"aaaa"))," ",PROPER(TEXT(E735,"mm"))))</f>
        <v>2025 01</v>
      </c>
      <c r="AI735" s="9" t="str">
        <f ca="1">IF('Banco de Dados'!$AK735&lt;&gt;"-","REEMBOLSO",IFERROR(_xlfn.XLOOKUP(G735,Follow[CODRASTREIO],Follow[STATUS]),"-"))</f>
        <v>ENTREGUE</v>
      </c>
      <c r="AJ735" s="9">
        <f ca="1">IF('Banco de Dados'!$AI735="ENTREGUE",_xlfn.XLOOKUP('Banco de Dados'!$G735,Follow[CODRASTREIO],Follow[DATAATUALIZAÇÃO]),"-")</f>
        <v>45687</v>
      </c>
      <c r="AK735" s="9" t="str">
        <f ca="1"/>
        <v>-</v>
      </c>
      <c r="AL735" s="35"/>
      <c r="AM735" s="109" cm="1">
        <f t="array" aca="1" ref="AM735" ca="1">IF('Banco de Dados'!$AK735&lt;&gt;"-",_xlfn.IFS('Banco de Dados'!$A735="bv",IF('Banco de Dados'!$E735&lt;45641,ROUND(SUM('Banco de Dados'!$R735*_xlfn.XLOOKUP('Banco de Dados'!$P735,Sku!B:B,Sku!#REF!)*20%),2),ROUND(SUM('Banco de Dados'!$R735*_xlfn.XLOOKUP('Banco de Dados'!$P735,Sku!B:B,Sku!H:H)*20%),2)),'Banco de Dados'!$A735="GO",ROUND(_xlfn.XLOOKUP('Banco de Dados'!$P735,Sku!C:C,Sku!H:H),2),'Banco de Dados'!$A735="MEI",ROUND(_xlfn.XLOOKUP('Banco de Dados'!$P735,Sku!D:D,Sku!H:H),2)),0)</f>
        <v>0</v>
      </c>
      <c r="AN735" s="109">
        <f ca="1">IF('Banco de Dados'!$AK735&lt;&gt;"-",IF('Banco de Dados'!$F735&lt;&gt;"-",_xlfn.XLOOKUP(IFERROR(IFERROR(IFERROR(VALUE(SUBSTITUTE(MID(_xlfn.TEXTAFTER('Banco de Dados'!$F735,"Data do Pedido:
",1),1,10),"-","/")),VALUE(SUBSTITUTE(MID(_xlfn.TEXTAFTER('Banco de Dados'!$F735,"Order date:
",1),1,10),"-","/"))),VALUE(SUBSTITUTE(MID(_xlfn.TEXTAFTER('Banco de Dados'!$F735,"Fecha de pedido:
",1),1,10),"-","/"))),"-"),SMS!A:A,SMS!K:K),0),0)</f>
        <v>0</v>
      </c>
      <c r="AO735" s="109">
        <f ca="1">IF('Banco de Dados'!$AK735&lt;&gt;"-",IF('Banco de Dados'!$F735&lt;&gt;"-",IFERROR(_xlfn.XLOOKUP(_xlfn.CONCAT('Banco de Dados'!$A735,IFERROR(IFERROR(VALUE(SUBSTITUTE(MID(_xlfn.TEXTAFTER('Banco de Dados'!$F735,"Data do Pedido:
",1),1,10),"-","/")),VALUE(SUBSTITUTE(MID(_xlfn.TEXTAFTER('Banco de Dados'!$F735,"Order date:
",1),1,10),"-","/"))),0)),ProxyDD[Chave],ProxyDD[Valor por pedido]),PROXY!$P$2),0),0)</f>
        <v>0</v>
      </c>
      <c r="AP735" s="28">
        <f ca="1">IF('Banco de Dados'!$AK735&lt;&gt;"-",IF('Banco de Dados'!$AL735="NÃO",IFERROR(VALUE(SUBSTITUTE(_xlfn.TEXTAFTER('Banco de Dados'!$F735,"BRL ",1),".",",")),0),0),0)</f>
        <v>0</v>
      </c>
      <c r="AQ735" s="28">
        <f ca="1">SUM('Banco de Dados'!$AM735:$AP735)</f>
        <v>0</v>
      </c>
      <c r="AR735" s="8"/>
      <c r="AS735" s="8"/>
      <c r="AY735" s="8"/>
    </row>
    <row r="736" spans="1:51">
      <c r="A736" s="5" t="str">
        <v>BV</v>
      </c>
      <c r="B736" s="5" t="str">
        <f ca="1"/>
        <v>BV45666</v>
      </c>
      <c r="C736" s="8" t="str">
        <v>Pedido 723</v>
      </c>
      <c r="D736" s="9">
        <v>45666</v>
      </c>
      <c r="E736" s="9">
        <v>45666</v>
      </c>
      <c r="F736" s="8" t="str">
        <v>PedidoF704</v>
      </c>
      <c r="G736" s="2" t="str">
        <v>CódRastreio702</v>
      </c>
      <c r="H736" s="5">
        <v>1</v>
      </c>
      <c r="I736" s="182" t="str">
        <v>CPF 701</v>
      </c>
      <c r="J736" s="2" t="str">
        <v>Nome 701</v>
      </c>
      <c r="K736" s="8" t="str">
        <v>Tel 701</v>
      </c>
      <c r="L736" s="8" t="str">
        <v>Cep 701</v>
      </c>
      <c r="M736" s="8" t="str">
        <v>Rua 701</v>
      </c>
      <c r="N736" s="8" t="str">
        <v>Comp 701</v>
      </c>
      <c r="O736" s="8" t="str">
        <v>Ventilador Rosa</v>
      </c>
      <c r="P736" s="8" t="str">
        <v>IF-G2ZQ-79FO</v>
      </c>
      <c r="Q736" s="4">
        <v>45694</v>
      </c>
      <c r="R736" s="109">
        <v>46.9</v>
      </c>
      <c r="S736" s="11">
        <f ca="1"/>
        <v>46.9</v>
      </c>
      <c r="T736" s="28">
        <f ca="1"/>
        <v>6.0970000000000004</v>
      </c>
      <c r="U736" s="11">
        <f ca="1"/>
        <v>40.799999999999997</v>
      </c>
      <c r="V736" s="11">
        <v>19.510000000000002</v>
      </c>
      <c r="W736" s="11">
        <f ca="1"/>
        <v>0.66</v>
      </c>
      <c r="X736" s="11">
        <f ca="1"/>
        <v>0.39877104377104378</v>
      </c>
      <c r="Y736" s="11">
        <v>0</v>
      </c>
      <c r="Z736" s="11">
        <f ca="1"/>
        <v>20.23122895622895</v>
      </c>
      <c r="AA736" s="11">
        <f ca="1"/>
        <v>10.115614478114475</v>
      </c>
      <c r="AB736" s="4">
        <f ca="1"/>
        <v>45701</v>
      </c>
      <c r="AC736" s="4">
        <v>45701</v>
      </c>
      <c r="AD736" s="9">
        <v>45702</v>
      </c>
      <c r="AE736" s="9">
        <v>45705</v>
      </c>
      <c r="AF736" s="4" t="str">
        <f t="shared" ca="1" si="27"/>
        <v>2025 02</v>
      </c>
      <c r="AG736" s="8" t="str" cm="1">
        <f t="array" ref="AG736">IFERROR(_xlfn.IFS('Banco de Dados'!#REF!="AG. COMPRA","Em processamento",'Banco de Dados'!#REF!="AG. RASTREIO","Em processamento",'Banco de Dados'!$AE736&lt;&gt;"-","Faturado",'Banco de Dados'!$AD736&lt;&gt;"-","Aguardando Pix",'Banco de Dados'!$AC736&lt;&gt;"-","Pendente"),"Aguardando Liberação")</f>
        <v>Aguardando Liberação</v>
      </c>
      <c r="AH736" s="5" t="str">
        <f>IF('Banco de Dados'!$F736="-",_xlfn.CONCAT(PROPER(TEXT(AK736,"aaaa"))," ",PROPER(TEXT(AK736,"mm"))),_xlfn.CONCAT(PROPER(TEXT(E736,"aaaa"))," ",PROPER(TEXT(E736,"mm"))))</f>
        <v>2025 01</v>
      </c>
      <c r="AI736" s="9" t="str">
        <f ca="1">IF('Banco de Dados'!$AK736&lt;&gt;"-","REEMBOLSO",IFERROR(_xlfn.XLOOKUP(G736,Follow[CODRASTREIO],Follow[STATUS]),"-"))</f>
        <v>ENTREGUE</v>
      </c>
      <c r="AJ736" s="9">
        <f ca="1">IF('Banco de Dados'!$AI736="ENTREGUE",_xlfn.XLOOKUP('Banco de Dados'!$G736,Follow[CODRASTREIO],Follow[DATAATUALIZAÇÃO]),"-")</f>
        <v>45695</v>
      </c>
      <c r="AK736" s="9" t="str">
        <f ca="1"/>
        <v>-</v>
      </c>
      <c r="AL736" s="35"/>
      <c r="AM736" s="109" cm="1">
        <f t="array" aca="1" ref="AM736" ca="1">IF('Banco de Dados'!$AK736&lt;&gt;"-",_xlfn.IFS('Banco de Dados'!$A736="bv",IF('Banco de Dados'!$E736&lt;45641,ROUND(SUM('Banco de Dados'!$R736*_xlfn.XLOOKUP('Banco de Dados'!$P736,Sku!B:B,Sku!#REF!)*20%),2),ROUND(SUM('Banco de Dados'!$R736*_xlfn.XLOOKUP('Banco de Dados'!$P736,Sku!B:B,Sku!H:H)*20%),2)),'Banco de Dados'!$A736="GO",ROUND(_xlfn.XLOOKUP('Banco de Dados'!$P736,Sku!C:C,Sku!H:H),2),'Banco de Dados'!$A736="MEI",ROUND(_xlfn.XLOOKUP('Banco de Dados'!$P736,Sku!D:D,Sku!H:H),2)),0)</f>
        <v>0</v>
      </c>
      <c r="AN736" s="109">
        <f ca="1">IF('Banco de Dados'!$AK736&lt;&gt;"-",IF('Banco de Dados'!$F736&lt;&gt;"-",_xlfn.XLOOKUP(IFERROR(IFERROR(IFERROR(VALUE(SUBSTITUTE(MID(_xlfn.TEXTAFTER('Banco de Dados'!$F736,"Data do Pedido:
",1),1,10),"-","/")),VALUE(SUBSTITUTE(MID(_xlfn.TEXTAFTER('Banco de Dados'!$F736,"Order date:
",1),1,10),"-","/"))),VALUE(SUBSTITUTE(MID(_xlfn.TEXTAFTER('Banco de Dados'!$F736,"Fecha de pedido:
",1),1,10),"-","/"))),"-"),SMS!A:A,SMS!K:K),0),0)</f>
        <v>0</v>
      </c>
      <c r="AO736" s="109">
        <f ca="1">IF('Banco de Dados'!$AK736&lt;&gt;"-",IF('Banco de Dados'!$F736&lt;&gt;"-",IFERROR(_xlfn.XLOOKUP(_xlfn.CONCAT('Banco de Dados'!$A736,IFERROR(IFERROR(VALUE(SUBSTITUTE(MID(_xlfn.TEXTAFTER('Banco de Dados'!$F736,"Data do Pedido:
",1),1,10),"-","/")),VALUE(SUBSTITUTE(MID(_xlfn.TEXTAFTER('Banco de Dados'!$F736,"Order date:
",1),1,10),"-","/"))),0)),ProxyDD[Chave],ProxyDD[Valor por pedido]),PROXY!$P$2),0),0)</f>
        <v>0</v>
      </c>
      <c r="AP736" s="28">
        <f ca="1">IF('Banco de Dados'!$AK736&lt;&gt;"-",IF('Banco de Dados'!$AL736="NÃO",IFERROR(VALUE(SUBSTITUTE(_xlfn.TEXTAFTER('Banco de Dados'!$F736,"BRL ",1),".",",")),0),0),0)</f>
        <v>0</v>
      </c>
      <c r="AQ736" s="28">
        <f ca="1">SUM('Banco de Dados'!$AM736:$AP736)</f>
        <v>0</v>
      </c>
      <c r="AR736" s="8"/>
      <c r="AS736" s="8"/>
      <c r="AY736" s="8"/>
    </row>
    <row r="737" spans="1:51">
      <c r="A737" s="5" t="str">
        <v>BV</v>
      </c>
      <c r="B737" s="5" t="str">
        <f ca="1"/>
        <v>BV-</v>
      </c>
      <c r="C737" s="8" t="str">
        <v>Pedido 724</v>
      </c>
      <c r="D737" s="9">
        <v>45627</v>
      </c>
      <c r="E737" s="9" t="str">
        <v>-</v>
      </c>
      <c r="F737" s="8" t="str">
        <v>-</v>
      </c>
      <c r="G737" s="2" t="str">
        <v>-</v>
      </c>
      <c r="H737" s="5">
        <v>1</v>
      </c>
      <c r="I737" s="182" t="str">
        <v>CPF 702</v>
      </c>
      <c r="J737" s="2" t="str">
        <v>Nome 702</v>
      </c>
      <c r="K737" s="8" t="str">
        <v>Tel 702</v>
      </c>
      <c r="L737" s="8" t="str">
        <v>Cep 702</v>
      </c>
      <c r="M737" s="8" t="str">
        <v>Rua 702</v>
      </c>
      <c r="N737" s="8" t="str">
        <v>Comp 702</v>
      </c>
      <c r="O737" s="8" t="str">
        <v>Caixinha de som Preta</v>
      </c>
      <c r="P737" s="8" t="str">
        <v>5D-KKPK-K70I</v>
      </c>
      <c r="Q737" s="4">
        <v>45681</v>
      </c>
      <c r="R737" s="109">
        <v>23.8</v>
      </c>
      <c r="S737" s="11">
        <f ca="1"/>
        <v>0</v>
      </c>
      <c r="T737" s="28">
        <f ca="1"/>
        <v>0</v>
      </c>
      <c r="U737" s="11">
        <f ca="1"/>
        <v>0</v>
      </c>
      <c r="V737" s="11">
        <v>0</v>
      </c>
      <c r="W737" s="11">
        <f ca="1"/>
        <v>0</v>
      </c>
      <c r="X737" s="11">
        <f ca="1"/>
        <v>0</v>
      </c>
      <c r="Y737" s="11">
        <v>0</v>
      </c>
      <c r="Z737" s="11">
        <f ca="1"/>
        <v>0</v>
      </c>
      <c r="AA737" s="11">
        <f ca="1"/>
        <v>0</v>
      </c>
      <c r="AB737" s="4">
        <f ca="1"/>
        <v>45688</v>
      </c>
      <c r="AC737" s="4">
        <v>45688</v>
      </c>
      <c r="AD737" s="9">
        <v>45688</v>
      </c>
      <c r="AE737" s="9">
        <v>45694</v>
      </c>
      <c r="AF737" s="4" t="str">
        <f t="shared" ca="1" si="27"/>
        <v>2025 01</v>
      </c>
      <c r="AG737" s="8" t="str" cm="1">
        <f t="array" ref="AG737">IFERROR(_xlfn.IFS('Banco de Dados'!#REF!="AG. COMPRA","Em processamento",'Banco de Dados'!#REF!="AG. RASTREIO","Em processamento",'Banco de Dados'!$AE737&lt;&gt;"-","Faturado",'Banco de Dados'!$AD737&lt;&gt;"-","Aguardando Pix",'Banco de Dados'!$AC737&lt;&gt;"-","Pendente"),"Aguardando Liberação")</f>
        <v>Aguardando Liberação</v>
      </c>
      <c r="AH737" s="5" t="str">
        <f ca="1">IF('Banco de Dados'!$F737="-",_xlfn.CONCAT(PROPER(TEXT(AK737,"aaaa"))," ",PROPER(TEXT(AK737,"mm"))),_xlfn.CONCAT(PROPER(TEXT(E737,"aaaa"))," ",PROPER(TEXT(E737,"mm"))))</f>
        <v>2025 01</v>
      </c>
      <c r="AI737" s="9" t="str">
        <f ca="1">IF('Banco de Dados'!$AK737&lt;&gt;"-","REEMBOLSO",IFERROR(_xlfn.XLOOKUP(G737,Follow[CODRASTREIO],Follow[STATUS]),"-"))</f>
        <v>REEMBOLSO</v>
      </c>
      <c r="AJ737" s="9" t="str">
        <f ca="1">IF('Banco de Dados'!$AI737="ENTREGUE",_xlfn.XLOOKUP('Banco de Dados'!$G737,Follow[CODRASTREIO],Follow[DATAATUALIZAÇÃO]),"-")</f>
        <v>-</v>
      </c>
      <c r="AK737" s="9">
        <f ca="1"/>
        <v>45665</v>
      </c>
      <c r="AL737" s="35"/>
      <c r="AM737" s="109" cm="1">
        <f t="array" aca="1" ref="AM737" ca="1">IF('Banco de Dados'!$AK737&lt;&gt;"-",_xlfn.IFS('Banco de Dados'!$A737="bv",IF('Banco de Dados'!$E737&lt;45641,ROUND(SUM('Banco de Dados'!$R737*_xlfn.XLOOKUP('Banco de Dados'!$P737,Sku!B:B,Sku!#REF!)*20%),2),ROUND(SUM('Banco de Dados'!$R737*_xlfn.XLOOKUP('Banco de Dados'!$P737,Sku!B:B,Sku!H:H)*20%),2)),'Banco de Dados'!$A737="GO",ROUND(_xlfn.XLOOKUP('Banco de Dados'!$P737,Sku!C:C,Sku!H:H),2),'Banco de Dados'!$A737="MEI",ROUND(_xlfn.XLOOKUP('Banco de Dados'!$P737,Sku!D:D,Sku!H:H),2)),0)</f>
        <v>0.71</v>
      </c>
      <c r="AN737" s="109">
        <f ca="1">IF('Banco de Dados'!$AK737&lt;&gt;"-",IF('Banco de Dados'!$F737&lt;&gt;"-",_xlfn.XLOOKUP(IFERROR(IFERROR(IFERROR(VALUE(SUBSTITUTE(MID(_xlfn.TEXTAFTER('Banco de Dados'!$F737,"Data do Pedido:
",1),1,10),"-","/")),VALUE(SUBSTITUTE(MID(_xlfn.TEXTAFTER('Banco de Dados'!$F737,"Order date:
",1),1,10),"-","/"))),VALUE(SUBSTITUTE(MID(_xlfn.TEXTAFTER('Banco de Dados'!$F737,"Fecha de pedido:
",1),1,10),"-","/"))),"-"),SMS!A:A,SMS!K:K),0),0)</f>
        <v>0</v>
      </c>
      <c r="AO737" s="109">
        <f ca="1">IF('Banco de Dados'!$AK737&lt;&gt;"-",IF('Banco de Dados'!$F737&lt;&gt;"-",IFERROR(_xlfn.XLOOKUP(_xlfn.CONCAT('Banco de Dados'!$A737,IFERROR(IFERROR(VALUE(SUBSTITUTE(MID(_xlfn.TEXTAFTER('Banco de Dados'!$F737,"Data do Pedido:
",1),1,10),"-","/")),VALUE(SUBSTITUTE(MID(_xlfn.TEXTAFTER('Banco de Dados'!$F737,"Order date:
",1),1,10),"-","/"))),0)),ProxyDD[Chave],ProxyDD[Valor por pedido]),PROXY!$P$2),0),0)</f>
        <v>0</v>
      </c>
      <c r="AP737" s="28">
        <f ca="1">IF('Banco de Dados'!$AK737&lt;&gt;"-",IF('Banco de Dados'!$AL737="NÃO",IFERROR(VALUE(SUBSTITUTE(_xlfn.TEXTAFTER('Banco de Dados'!$F737,"BRL ",1),".",",")),0),0),0)</f>
        <v>0</v>
      </c>
      <c r="AQ737" s="28">
        <f ca="1">SUM('Banco de Dados'!$AM737:$AP737)</f>
        <v>0.71</v>
      </c>
      <c r="AR737" s="8"/>
      <c r="AS737" s="8"/>
      <c r="AY737" s="8"/>
    </row>
    <row r="738" spans="1:51">
      <c r="A738" s="5" t="str">
        <v>BV</v>
      </c>
      <c r="B738" s="5" t="str">
        <f ca="1"/>
        <v>BV45666</v>
      </c>
      <c r="C738" s="8" t="str">
        <v>Pedido 725</v>
      </c>
      <c r="D738" s="9">
        <v>45666</v>
      </c>
      <c r="E738" s="9">
        <v>45666</v>
      </c>
      <c r="F738" s="8" t="str">
        <v>PedidoF705</v>
      </c>
      <c r="G738" s="2" t="str">
        <v>CódRastreio703</v>
      </c>
      <c r="H738" s="5">
        <v>1</v>
      </c>
      <c r="I738" s="182" t="str">
        <v>CPF 703</v>
      </c>
      <c r="J738" s="2" t="str">
        <v>Nome 703</v>
      </c>
      <c r="K738" s="8" t="str">
        <v>Tel 703</v>
      </c>
      <c r="L738" s="8" t="str">
        <v>Cep 703</v>
      </c>
      <c r="M738" s="8" t="str">
        <v>Rua 703</v>
      </c>
      <c r="N738" s="8" t="str">
        <v>Comp 703</v>
      </c>
      <c r="O738" s="8" t="str">
        <v>Ventilador Rosa</v>
      </c>
      <c r="P738" s="8" t="str">
        <v>IF-G2ZQ-79FO</v>
      </c>
      <c r="Q738" s="4">
        <v>45694</v>
      </c>
      <c r="R738" s="109">
        <v>46.9</v>
      </c>
      <c r="S738" s="11">
        <f ca="1"/>
        <v>46.9</v>
      </c>
      <c r="T738" s="28">
        <f ca="1"/>
        <v>6.0970000000000004</v>
      </c>
      <c r="U738" s="11">
        <f ca="1"/>
        <v>40.799999999999997</v>
      </c>
      <c r="V738" s="11">
        <v>19.510000000000002</v>
      </c>
      <c r="W738" s="11">
        <f ca="1"/>
        <v>0.66</v>
      </c>
      <c r="X738" s="11">
        <f ca="1"/>
        <v>0.39877104377104378</v>
      </c>
      <c r="Y738" s="11">
        <v>0</v>
      </c>
      <c r="Z738" s="11">
        <f ca="1"/>
        <v>20.23122895622895</v>
      </c>
      <c r="AA738" s="11">
        <f ca="1"/>
        <v>10.115614478114475</v>
      </c>
      <c r="AB738" s="4">
        <f ca="1"/>
        <v>45701</v>
      </c>
      <c r="AC738" s="4">
        <v>45701</v>
      </c>
      <c r="AD738" s="9">
        <v>45702</v>
      </c>
      <c r="AE738" s="9">
        <v>45705</v>
      </c>
      <c r="AF738" s="4" t="str">
        <f t="shared" ca="1" si="27"/>
        <v>2025 02</v>
      </c>
      <c r="AG738" s="8" t="str" cm="1">
        <f t="array" ref="AG738">IFERROR(_xlfn.IFS('Banco de Dados'!#REF!="AG. COMPRA","Em processamento",'Banco de Dados'!#REF!="AG. RASTREIO","Em processamento",'Banco de Dados'!$AE738&lt;&gt;"-","Faturado",'Banco de Dados'!$AD738&lt;&gt;"-","Aguardando Pix",'Banco de Dados'!$AC738&lt;&gt;"-","Pendente"),"Aguardando Liberação")</f>
        <v>Aguardando Liberação</v>
      </c>
      <c r="AH738" s="5" t="str">
        <f>IF('Banco de Dados'!$F738="-",_xlfn.CONCAT(PROPER(TEXT(AK738,"aaaa"))," ",PROPER(TEXT(AK738,"mm"))),_xlfn.CONCAT(PROPER(TEXT(E738,"aaaa"))," ",PROPER(TEXT(E738,"mm"))))</f>
        <v>2025 01</v>
      </c>
      <c r="AI738" s="9" t="str">
        <f ca="1">IF('Banco de Dados'!$AK738&lt;&gt;"-","REEMBOLSO",IFERROR(_xlfn.XLOOKUP(G738,Follow[CODRASTREIO],Follow[STATUS]),"-"))</f>
        <v>ENTREGUE</v>
      </c>
      <c r="AJ738" s="9">
        <f ca="1">IF('Banco de Dados'!$AI738="ENTREGUE",_xlfn.XLOOKUP('Banco de Dados'!$G738,Follow[CODRASTREIO],Follow[DATAATUALIZAÇÃO]),"-")</f>
        <v>45691</v>
      </c>
      <c r="AK738" s="9" t="str">
        <f ca="1"/>
        <v>-</v>
      </c>
      <c r="AL738" s="35"/>
      <c r="AM738" s="109" cm="1">
        <f t="array" aca="1" ref="AM738" ca="1">IF('Banco de Dados'!$AK738&lt;&gt;"-",_xlfn.IFS('Banco de Dados'!$A738="bv",IF('Banco de Dados'!$E738&lt;45641,ROUND(SUM('Banco de Dados'!$R738*_xlfn.XLOOKUP('Banco de Dados'!$P738,Sku!B:B,Sku!#REF!)*20%),2),ROUND(SUM('Banco de Dados'!$R738*_xlfn.XLOOKUP('Banco de Dados'!$P738,Sku!B:B,Sku!H:H)*20%),2)),'Banco de Dados'!$A738="GO",ROUND(_xlfn.XLOOKUP('Banco de Dados'!$P738,Sku!C:C,Sku!H:H),2),'Banco de Dados'!$A738="MEI",ROUND(_xlfn.XLOOKUP('Banco de Dados'!$P738,Sku!D:D,Sku!H:H),2)),0)</f>
        <v>0</v>
      </c>
      <c r="AN738" s="109">
        <f ca="1">IF('Banco de Dados'!$AK738&lt;&gt;"-",IF('Banco de Dados'!$F738&lt;&gt;"-",_xlfn.XLOOKUP(IFERROR(IFERROR(IFERROR(VALUE(SUBSTITUTE(MID(_xlfn.TEXTAFTER('Banco de Dados'!$F738,"Data do Pedido:
",1),1,10),"-","/")),VALUE(SUBSTITUTE(MID(_xlfn.TEXTAFTER('Banco de Dados'!$F738,"Order date:
",1),1,10),"-","/"))),VALUE(SUBSTITUTE(MID(_xlfn.TEXTAFTER('Banco de Dados'!$F738,"Fecha de pedido:
",1),1,10),"-","/"))),"-"),SMS!A:A,SMS!K:K),0),0)</f>
        <v>0</v>
      </c>
      <c r="AO738" s="109">
        <f ca="1">IF('Banco de Dados'!$AK738&lt;&gt;"-",IF('Banco de Dados'!$F738&lt;&gt;"-",IFERROR(_xlfn.XLOOKUP(_xlfn.CONCAT('Banco de Dados'!$A738,IFERROR(IFERROR(VALUE(SUBSTITUTE(MID(_xlfn.TEXTAFTER('Banco de Dados'!$F738,"Data do Pedido:
",1),1,10),"-","/")),VALUE(SUBSTITUTE(MID(_xlfn.TEXTAFTER('Banco de Dados'!$F738,"Order date:
",1),1,10),"-","/"))),0)),ProxyDD[Chave],ProxyDD[Valor por pedido]),PROXY!$P$2),0),0)</f>
        <v>0</v>
      </c>
      <c r="AP738" s="28">
        <f ca="1">IF('Banco de Dados'!$AK738&lt;&gt;"-",IF('Banco de Dados'!$AL738="NÃO",IFERROR(VALUE(SUBSTITUTE(_xlfn.TEXTAFTER('Banco de Dados'!$F738,"BRL ",1),".",",")),0),0),0)</f>
        <v>0</v>
      </c>
      <c r="AQ738" s="28">
        <f ca="1">SUM('Banco de Dados'!$AM738:$AP738)</f>
        <v>0</v>
      </c>
      <c r="AR738" s="8"/>
      <c r="AS738" s="8"/>
      <c r="AY738" s="8"/>
    </row>
    <row r="739" spans="1:51">
      <c r="A739" s="5" t="str">
        <v>BV</v>
      </c>
      <c r="B739" s="5" t="str">
        <f ca="1"/>
        <v>BV-</v>
      </c>
      <c r="C739" s="8" t="str">
        <v>Pedido 726</v>
      </c>
      <c r="D739" s="9">
        <v>45627</v>
      </c>
      <c r="E739" s="9" t="str">
        <v>-</v>
      </c>
      <c r="F739" s="8" t="str">
        <v>-</v>
      </c>
      <c r="G739" s="2" t="str">
        <v>-</v>
      </c>
      <c r="H739" s="5">
        <v>1</v>
      </c>
      <c r="I739" s="182" t="str">
        <v>CPF 704</v>
      </c>
      <c r="J739" s="2" t="str">
        <v>Nome 704</v>
      </c>
      <c r="K739" s="8" t="str">
        <v>Tel 704</v>
      </c>
      <c r="L739" s="8" t="str">
        <v>Cep 704</v>
      </c>
      <c r="M739" s="8" t="str">
        <v>Rua 704</v>
      </c>
      <c r="N739" s="8" t="str">
        <v>Comp 704</v>
      </c>
      <c r="O739" s="8" t="str">
        <v>Ventilador Preto</v>
      </c>
      <c r="P739" s="8" t="str">
        <v>MU-J80P-95WF</v>
      </c>
      <c r="Q739" s="4">
        <v>45694</v>
      </c>
      <c r="R739" s="109">
        <v>65.599999999999994</v>
      </c>
      <c r="S739" s="11">
        <f ca="1"/>
        <v>0</v>
      </c>
      <c r="T739" s="28">
        <f ca="1"/>
        <v>0</v>
      </c>
      <c r="U739" s="11">
        <f ca="1"/>
        <v>0</v>
      </c>
      <c r="V739" s="11">
        <v>0</v>
      </c>
      <c r="W739" s="11">
        <f ca="1"/>
        <v>0</v>
      </c>
      <c r="X739" s="11">
        <f ca="1"/>
        <v>0</v>
      </c>
      <c r="Y739" s="11">
        <v>0</v>
      </c>
      <c r="Z739" s="11">
        <f ca="1"/>
        <v>0</v>
      </c>
      <c r="AA739" s="11">
        <f ca="1"/>
        <v>0</v>
      </c>
      <c r="AB739" s="4">
        <f ca="1"/>
        <v>45701</v>
      </c>
      <c r="AC739" s="4">
        <v>45701</v>
      </c>
      <c r="AD739" s="9">
        <v>45702</v>
      </c>
      <c r="AE739" s="9">
        <v>45705</v>
      </c>
      <c r="AF739" s="4" t="str">
        <f t="shared" ref="AF739:AF746" ca="1" si="28">_xlfn.CONCAT(PROPER(TEXT(AB739,"aaaa"))," ",PROPER(TEXT(AB739,"mm")))</f>
        <v>2025 02</v>
      </c>
      <c r="AG739" s="8" t="str" cm="1">
        <f t="array" ref="AG739">IFERROR(_xlfn.IFS('Banco de Dados'!#REF!="AG. COMPRA","Em processamento",'Banco de Dados'!#REF!="AG. RASTREIO","Em processamento",'Banco de Dados'!$AE739&lt;&gt;"-","Faturado",'Banco de Dados'!$AD739&lt;&gt;"-","Aguardando Pix",'Banco de Dados'!$AC739&lt;&gt;"-","Pendente"),"Aguardando Liberação")</f>
        <v>Aguardando Liberação</v>
      </c>
      <c r="AH739" s="5" t="str">
        <f ca="1">IF('Banco de Dados'!$F739="-",_xlfn.CONCAT(PROPER(TEXT(AK739,"aaaa"))," ",PROPER(TEXT(AK739,"mm"))),_xlfn.CONCAT(PROPER(TEXT(E739,"aaaa"))," ",PROPER(TEXT(E739,"mm"))))</f>
        <v>2025 01</v>
      </c>
      <c r="AI739" s="9" t="str">
        <f ca="1">IF('Banco de Dados'!$AK739&lt;&gt;"-","REEMBOLSO",IFERROR(_xlfn.XLOOKUP(G739,Follow[CODRASTREIO],Follow[STATUS]),"-"))</f>
        <v>REEMBOLSO</v>
      </c>
      <c r="AJ739" s="9" t="str">
        <f ca="1">IF('Banco de Dados'!$AI739="ENTREGUE",_xlfn.XLOOKUP('Banco de Dados'!$G739,Follow[CODRASTREIO],Follow[DATAATUALIZAÇÃO]),"-")</f>
        <v>-</v>
      </c>
      <c r="AK739" s="9">
        <f ca="1"/>
        <v>45667</v>
      </c>
      <c r="AL739" s="35"/>
      <c r="AM739" s="109">
        <v>1.71</v>
      </c>
      <c r="AN739" s="109">
        <f ca="1">IF('Banco de Dados'!$AK739&lt;&gt;"-",IF('Banco de Dados'!$F739&lt;&gt;"-",_xlfn.XLOOKUP(IFERROR(IFERROR(IFERROR(VALUE(SUBSTITUTE(MID(_xlfn.TEXTAFTER('Banco de Dados'!$F739,"Data do Pedido:
",1),1,10),"-","/")),VALUE(SUBSTITUTE(MID(_xlfn.TEXTAFTER('Banco de Dados'!$F739,"Order date:
",1),1,10),"-","/"))),VALUE(SUBSTITUTE(MID(_xlfn.TEXTAFTER('Banco de Dados'!$F739,"Fecha de pedido:
",1),1,10),"-","/"))),"-"),SMS!A:A,SMS!K:K),0),0)</f>
        <v>0</v>
      </c>
      <c r="AO739" s="109">
        <f ca="1">IF('Banco de Dados'!$AK739&lt;&gt;"-",IF('Banco de Dados'!$F739&lt;&gt;"-",IFERROR(_xlfn.XLOOKUP(_xlfn.CONCAT('Banco de Dados'!$A739,IFERROR(IFERROR(VALUE(SUBSTITUTE(MID(_xlfn.TEXTAFTER('Banco de Dados'!$F739,"Data do Pedido:
",1),1,10),"-","/")),VALUE(SUBSTITUTE(MID(_xlfn.TEXTAFTER('Banco de Dados'!$F739,"Order date:
",1),1,10),"-","/"))),0)),ProxyDD[Chave],ProxyDD[Valor por pedido]),PROXY!$P$2),0),0)</f>
        <v>0</v>
      </c>
      <c r="AP739" s="28">
        <f ca="1">IF('Banco de Dados'!$AK739&lt;&gt;"-",IF('Banco de Dados'!$AL739="NÃO",IFERROR(VALUE(SUBSTITUTE(_xlfn.TEXTAFTER('Banco de Dados'!$F739,"BRL ",1),".",",")),0),0),0)</f>
        <v>0</v>
      </c>
      <c r="AQ739" s="28">
        <f ca="1">SUM('Banco de Dados'!$AM739:$AP739)</f>
        <v>1.71</v>
      </c>
      <c r="AR739" s="8"/>
      <c r="AS739" s="8"/>
      <c r="AY739" s="8"/>
    </row>
    <row r="740" spans="1:51">
      <c r="A740" s="5" t="str">
        <v>BV</v>
      </c>
      <c r="B740" s="5" t="str">
        <f ca="1"/>
        <v>BV45666</v>
      </c>
      <c r="C740" s="8" t="str">
        <v>Pedido 727</v>
      </c>
      <c r="D740" s="9">
        <v>45666</v>
      </c>
      <c r="E740" s="9">
        <v>45666</v>
      </c>
      <c r="F740" s="8" t="str">
        <v>PedidoF706</v>
      </c>
      <c r="G740" s="2" t="str">
        <v>CódRastreio704</v>
      </c>
      <c r="H740" s="5">
        <v>1</v>
      </c>
      <c r="I740" s="182" t="str">
        <v>CPF 705</v>
      </c>
      <c r="J740" s="2" t="str">
        <v>Nome 705</v>
      </c>
      <c r="K740" s="8" t="str">
        <v>Tel 705</v>
      </c>
      <c r="L740" s="8" t="str">
        <v>Cep 705</v>
      </c>
      <c r="M740" s="8" t="str">
        <v>Rua 705</v>
      </c>
      <c r="N740" s="8" t="str">
        <v>Comp 705</v>
      </c>
      <c r="O740" s="8" t="str">
        <v>Adaptador Bluetooph</v>
      </c>
      <c r="P740" s="8" t="str">
        <v>YA-AG3H-SPUK</v>
      </c>
      <c r="Q740" s="4">
        <v>45681</v>
      </c>
      <c r="R740" s="109">
        <v>21.99</v>
      </c>
      <c r="S740" s="11">
        <f ca="1"/>
        <v>21.99</v>
      </c>
      <c r="T740" s="28">
        <f ca="1"/>
        <v>2.6387999999999998</v>
      </c>
      <c r="U740" s="11">
        <f ca="1"/>
        <v>19.350000000000001</v>
      </c>
      <c r="V740" s="11">
        <v>11.72</v>
      </c>
      <c r="W740" s="11">
        <f ca="1"/>
        <v>0.66</v>
      </c>
      <c r="X740" s="11">
        <f ca="1"/>
        <v>0.39877104377104378</v>
      </c>
      <c r="Y740" s="11">
        <v>0</v>
      </c>
      <c r="Z740" s="11">
        <f ca="1"/>
        <v>6.571228956228957</v>
      </c>
      <c r="AA740" s="11">
        <f ca="1"/>
        <v>3.2856144781144785</v>
      </c>
      <c r="AB740" s="4">
        <f ca="1"/>
        <v>45688</v>
      </c>
      <c r="AC740" s="4">
        <v>45688</v>
      </c>
      <c r="AD740" s="9">
        <v>45688</v>
      </c>
      <c r="AE740" s="9">
        <v>45694</v>
      </c>
      <c r="AF740" s="4" t="str">
        <f t="shared" ca="1" si="28"/>
        <v>2025 01</v>
      </c>
      <c r="AG740" s="8" t="str" cm="1">
        <f t="array" ref="AG740">IFERROR(_xlfn.IFS('Banco de Dados'!#REF!="AG. COMPRA","Em processamento",'Banco de Dados'!#REF!="AG. RASTREIO","Em processamento",'Banco de Dados'!$AE740&lt;&gt;"-","Faturado",'Banco de Dados'!$AD740&lt;&gt;"-","Aguardando Pix",'Banco de Dados'!$AC740&lt;&gt;"-","Pendente"),"Aguardando Liberação")</f>
        <v>Aguardando Liberação</v>
      </c>
      <c r="AH740" s="5" t="str">
        <f>IF('Banco de Dados'!$F740="-",_xlfn.CONCAT(PROPER(TEXT(AK740,"aaaa"))," ",PROPER(TEXT(AK740,"mm"))),_xlfn.CONCAT(PROPER(TEXT(E740,"aaaa"))," ",PROPER(TEXT(E740,"mm"))))</f>
        <v>2025 01</v>
      </c>
      <c r="AI740" s="9" t="str">
        <f ca="1">IF('Banco de Dados'!$AK740&lt;&gt;"-","REEMBOLSO",IFERROR(_xlfn.XLOOKUP(G740,Follow[CODRASTREIO],Follow[STATUS]),"-"))</f>
        <v>ENTREGUE</v>
      </c>
      <c r="AJ740" s="9">
        <f ca="1">IF('Banco de Dados'!$AI740="ENTREGUE",_xlfn.XLOOKUP('Banco de Dados'!$G740,Follow[CODRASTREIO],Follow[DATAATUALIZAÇÃO]),"-")</f>
        <v>45674</v>
      </c>
      <c r="AK740" s="9" t="str">
        <f ca="1"/>
        <v>-</v>
      </c>
      <c r="AL740" s="35"/>
      <c r="AM740" s="109" cm="1">
        <f t="array" aca="1" ref="AM740" ca="1">IF('Banco de Dados'!$AK740&lt;&gt;"-",_xlfn.IFS('Banco de Dados'!$A740="bv",IF('Banco de Dados'!$E740&lt;45641,ROUND(SUM('Banco de Dados'!$R740*_xlfn.XLOOKUP('Banco de Dados'!$P740,Sku!B:B,Sku!#REF!)*20%),2),ROUND(SUM('Banco de Dados'!$R740*_xlfn.XLOOKUP('Banco de Dados'!$P740,Sku!B:B,Sku!H:H)*20%),2)),'Banco de Dados'!$A740="GO",ROUND(_xlfn.XLOOKUP('Banco de Dados'!$P740,Sku!C:C,Sku!H:H),2),'Banco de Dados'!$A740="MEI",ROUND(_xlfn.XLOOKUP('Banco de Dados'!$P740,Sku!D:D,Sku!H:H),2)),0)</f>
        <v>0</v>
      </c>
      <c r="AN740" s="109">
        <f ca="1">IF('Banco de Dados'!$AK740&lt;&gt;"-",IF('Banco de Dados'!$F740&lt;&gt;"-",_xlfn.XLOOKUP(IFERROR(IFERROR(IFERROR(VALUE(SUBSTITUTE(MID(_xlfn.TEXTAFTER('Banco de Dados'!$F740,"Data do Pedido:
",1),1,10),"-","/")),VALUE(SUBSTITUTE(MID(_xlfn.TEXTAFTER('Banco de Dados'!$F740,"Order date:
",1),1,10),"-","/"))),VALUE(SUBSTITUTE(MID(_xlfn.TEXTAFTER('Banco de Dados'!$F740,"Fecha de pedido:
",1),1,10),"-","/"))),"-"),SMS!A:A,SMS!K:K),0),0)</f>
        <v>0</v>
      </c>
      <c r="AO740" s="109">
        <f ca="1">IF('Banco de Dados'!$AK740&lt;&gt;"-",IF('Banco de Dados'!$F740&lt;&gt;"-",IFERROR(_xlfn.XLOOKUP(_xlfn.CONCAT('Banco de Dados'!$A740,IFERROR(IFERROR(VALUE(SUBSTITUTE(MID(_xlfn.TEXTAFTER('Banco de Dados'!$F740,"Data do Pedido:
",1),1,10),"-","/")),VALUE(SUBSTITUTE(MID(_xlfn.TEXTAFTER('Banco de Dados'!$F740,"Order date:
",1),1,10),"-","/"))),0)),ProxyDD[Chave],ProxyDD[Valor por pedido]),PROXY!$P$2),0),0)</f>
        <v>0</v>
      </c>
      <c r="AP740" s="28">
        <f ca="1">IF('Banco de Dados'!$AK740&lt;&gt;"-",IF('Banco de Dados'!$AL740="NÃO",IFERROR(VALUE(SUBSTITUTE(_xlfn.TEXTAFTER('Banco de Dados'!$F740,"BRL ",1),".",",")),0),0),0)</f>
        <v>0</v>
      </c>
      <c r="AQ740" s="28">
        <f ca="1">SUM('Banco de Dados'!$AM740:$AP740)</f>
        <v>0</v>
      </c>
      <c r="AR740" s="8"/>
      <c r="AS740" s="8"/>
      <c r="AY740" s="8"/>
    </row>
    <row r="741" spans="1:51">
      <c r="A741" s="5" t="str">
        <v>BV</v>
      </c>
      <c r="B741" s="5" t="str">
        <f ca="1"/>
        <v>BV45666</v>
      </c>
      <c r="C741" s="8" t="str">
        <v>Pedido 728</v>
      </c>
      <c r="D741" s="9">
        <v>45666</v>
      </c>
      <c r="E741" s="9">
        <v>45666</v>
      </c>
      <c r="F741" s="8" t="str">
        <v>PedidoF707</v>
      </c>
      <c r="G741" s="2" t="str">
        <v>CódRastreio705</v>
      </c>
      <c r="H741" s="5">
        <v>1</v>
      </c>
      <c r="I741" s="182" t="str">
        <v>CPF 706</v>
      </c>
      <c r="J741" s="2" t="str">
        <v>Nome 706</v>
      </c>
      <c r="K741" s="8" t="str">
        <v>Tel 706</v>
      </c>
      <c r="L741" s="8" t="str">
        <v>Cep 706</v>
      </c>
      <c r="M741" s="8" t="str">
        <v>Rua 706</v>
      </c>
      <c r="N741" s="8" t="str">
        <v>Comp 706</v>
      </c>
      <c r="O741" s="8" t="str">
        <v>Ventilador Rosa</v>
      </c>
      <c r="P741" s="8" t="str">
        <v>IF-G2ZQ-79FO</v>
      </c>
      <c r="Q741" s="4">
        <v>45688</v>
      </c>
      <c r="R741" s="109">
        <v>46.9</v>
      </c>
      <c r="S741" s="11">
        <f ca="1"/>
        <v>46.9</v>
      </c>
      <c r="T741" s="28">
        <f ca="1"/>
        <v>6.0970000000000004</v>
      </c>
      <c r="U741" s="11">
        <f ca="1"/>
        <v>40.799999999999997</v>
      </c>
      <c r="V741" s="11">
        <v>19.510000000000002</v>
      </c>
      <c r="W741" s="11">
        <f ca="1"/>
        <v>0.66</v>
      </c>
      <c r="X741" s="11">
        <f ca="1"/>
        <v>0.39877104377104378</v>
      </c>
      <c r="Y741" s="11">
        <v>0</v>
      </c>
      <c r="Z741" s="11">
        <f ca="1"/>
        <v>20.23122895622895</v>
      </c>
      <c r="AA741" s="11">
        <f ca="1"/>
        <v>10.115614478114475</v>
      </c>
      <c r="AB741" s="4">
        <f ca="1"/>
        <v>45695</v>
      </c>
      <c r="AC741" s="4">
        <v>45695</v>
      </c>
      <c r="AD741" s="9">
        <v>45699</v>
      </c>
      <c r="AE741" s="9">
        <v>45705</v>
      </c>
      <c r="AF741" s="4" t="str">
        <f t="shared" ca="1" si="28"/>
        <v>2025 02</v>
      </c>
      <c r="AG741" s="8" t="str" cm="1">
        <f t="array" ref="AG741">IFERROR(_xlfn.IFS('Banco de Dados'!#REF!="AG. COMPRA","Em processamento",'Banco de Dados'!#REF!="AG. RASTREIO","Em processamento",'Banco de Dados'!$AE741&lt;&gt;"-","Faturado",'Banco de Dados'!$AD741&lt;&gt;"-","Aguardando Pix",'Banco de Dados'!$AC741&lt;&gt;"-","Pendente"),"Aguardando Liberação")</f>
        <v>Aguardando Liberação</v>
      </c>
      <c r="AH741" s="5" t="str">
        <f>IF('Banco de Dados'!$F741="-",_xlfn.CONCAT(PROPER(TEXT(AK741,"aaaa"))," ",PROPER(TEXT(AK741,"mm"))),_xlfn.CONCAT(PROPER(TEXT(E741,"aaaa"))," ",PROPER(TEXT(E741,"mm"))))</f>
        <v>2025 01</v>
      </c>
      <c r="AI741" s="9" t="str">
        <f ca="1">IF('Banco de Dados'!$AK741&lt;&gt;"-","REEMBOLSO",IFERROR(_xlfn.XLOOKUP(G741,Follow[CODRASTREIO],Follow[STATUS]),"-"))</f>
        <v>ENTREGUE</v>
      </c>
      <c r="AJ741" s="9">
        <f ca="1">IF('Banco de Dados'!$AI741="ENTREGUE",_xlfn.XLOOKUP('Banco de Dados'!$G741,Follow[CODRASTREIO],Follow[DATAATUALIZAÇÃO]),"-")</f>
        <v>45684</v>
      </c>
      <c r="AK741" s="9" t="str">
        <f ca="1"/>
        <v>-</v>
      </c>
      <c r="AL741" s="35"/>
      <c r="AM741" s="109" cm="1">
        <f t="array" aca="1" ref="AM741" ca="1">IF('Banco de Dados'!$AK741&lt;&gt;"-",_xlfn.IFS('Banco de Dados'!$A741="bv",IF('Banco de Dados'!$E741&lt;45641,ROUND(SUM('Banco de Dados'!$R741*_xlfn.XLOOKUP('Banco de Dados'!$P741,Sku!B:B,Sku!#REF!)*20%),2),ROUND(SUM('Banco de Dados'!$R741*_xlfn.XLOOKUP('Banco de Dados'!$P741,Sku!B:B,Sku!H:H)*20%),2)),'Banco de Dados'!$A741="GO",ROUND(_xlfn.XLOOKUP('Banco de Dados'!$P741,Sku!C:C,Sku!H:H),2),'Banco de Dados'!$A741="MEI",ROUND(_xlfn.XLOOKUP('Banco de Dados'!$P741,Sku!D:D,Sku!H:H),2)),0)</f>
        <v>0</v>
      </c>
      <c r="AN741" s="109">
        <f ca="1">IF('Banco de Dados'!$AK741&lt;&gt;"-",IF('Banco de Dados'!$F741&lt;&gt;"-",_xlfn.XLOOKUP(IFERROR(IFERROR(IFERROR(VALUE(SUBSTITUTE(MID(_xlfn.TEXTAFTER('Banco de Dados'!$F741,"Data do Pedido:
",1),1,10),"-","/")),VALUE(SUBSTITUTE(MID(_xlfn.TEXTAFTER('Banco de Dados'!$F741,"Order date:
",1),1,10),"-","/"))),VALUE(SUBSTITUTE(MID(_xlfn.TEXTAFTER('Banco de Dados'!$F741,"Fecha de pedido:
",1),1,10),"-","/"))),"-"),SMS!A:A,SMS!K:K),0),0)</f>
        <v>0</v>
      </c>
      <c r="AO741" s="109">
        <f ca="1">IF('Banco de Dados'!$AK741&lt;&gt;"-",IF('Banco de Dados'!$F741&lt;&gt;"-",IFERROR(_xlfn.XLOOKUP(_xlfn.CONCAT('Banco de Dados'!$A741,IFERROR(IFERROR(VALUE(SUBSTITUTE(MID(_xlfn.TEXTAFTER('Banco de Dados'!$F741,"Data do Pedido:
",1),1,10),"-","/")),VALUE(SUBSTITUTE(MID(_xlfn.TEXTAFTER('Banco de Dados'!$F741,"Order date:
",1),1,10),"-","/"))),0)),ProxyDD[Chave],ProxyDD[Valor por pedido]),PROXY!$P$2),0),0)</f>
        <v>0</v>
      </c>
      <c r="AP741" s="28">
        <f ca="1">IF('Banco de Dados'!$AK741&lt;&gt;"-",IF('Banco de Dados'!$AL741="NÃO",IFERROR(VALUE(SUBSTITUTE(_xlfn.TEXTAFTER('Banco de Dados'!$F741,"BRL ",1),".",",")),0),0),0)</f>
        <v>0</v>
      </c>
      <c r="AQ741" s="28">
        <f ca="1">SUM('Banco de Dados'!$AM741:$AP741)</f>
        <v>0</v>
      </c>
      <c r="AR741" s="8"/>
      <c r="AS741" s="8"/>
      <c r="AY741" s="8"/>
    </row>
    <row r="742" spans="1:51">
      <c r="A742" s="5" t="str">
        <v>BV</v>
      </c>
      <c r="B742" s="5" t="str">
        <f ca="1"/>
        <v>BV45666</v>
      </c>
      <c r="C742" s="8" t="str">
        <v>Pedido 729</v>
      </c>
      <c r="D742" s="9">
        <v>45666</v>
      </c>
      <c r="E742" s="9">
        <v>45666</v>
      </c>
      <c r="F742" s="8" t="str">
        <v>PedidoF708</v>
      </c>
      <c r="G742" s="2" t="str">
        <v>CódRastreio706</v>
      </c>
      <c r="H742" s="5">
        <v>1</v>
      </c>
      <c r="I742" s="182" t="str">
        <v>CPF 707</v>
      </c>
      <c r="J742" s="2" t="str">
        <v>Nome 707</v>
      </c>
      <c r="K742" s="8" t="str">
        <v>Tel 707</v>
      </c>
      <c r="L742" s="8" t="str">
        <v>Cep 707</v>
      </c>
      <c r="M742" s="8" t="str">
        <v>Rua 707</v>
      </c>
      <c r="N742" s="8" t="str">
        <v>Comp 707</v>
      </c>
      <c r="O742" s="8" t="str">
        <v>Ventilador Rosa</v>
      </c>
      <c r="P742" s="8" t="str">
        <v>IF-G2ZQ-79FO</v>
      </c>
      <c r="Q742" s="4">
        <v>45682</v>
      </c>
      <c r="R742" s="109">
        <v>46.9</v>
      </c>
      <c r="S742" s="11">
        <f ca="1"/>
        <v>46.9</v>
      </c>
      <c r="T742" s="28">
        <f ca="1"/>
        <v>6.0970000000000004</v>
      </c>
      <c r="U742" s="11">
        <f ca="1"/>
        <v>40.799999999999997</v>
      </c>
      <c r="V742" s="11">
        <v>19.510000000000002</v>
      </c>
      <c r="W742" s="11">
        <f ca="1"/>
        <v>0.66</v>
      </c>
      <c r="X742" s="11">
        <f ca="1"/>
        <v>0.39877104377104378</v>
      </c>
      <c r="Y742" s="11">
        <v>0</v>
      </c>
      <c r="Z742" s="11">
        <f ca="1"/>
        <v>20.23122895622895</v>
      </c>
      <c r="AA742" s="11">
        <f ca="1"/>
        <v>10.115614478114475</v>
      </c>
      <c r="AB742" s="4">
        <f ca="1"/>
        <v>45689</v>
      </c>
      <c r="AC742" s="4">
        <v>45689</v>
      </c>
      <c r="AD742" s="9">
        <v>45693</v>
      </c>
      <c r="AE742" s="9">
        <v>45705</v>
      </c>
      <c r="AF742" s="4" t="str">
        <f t="shared" ca="1" si="28"/>
        <v>2025 02</v>
      </c>
      <c r="AG742" s="8" t="str" cm="1">
        <f t="array" ref="AG742">IFERROR(_xlfn.IFS('Banco de Dados'!#REF!="AG. COMPRA","Em processamento",'Banco de Dados'!#REF!="AG. RASTREIO","Em processamento",'Banco de Dados'!$AE742&lt;&gt;"-","Faturado",'Banco de Dados'!$AD742&lt;&gt;"-","Aguardando Pix",'Banco de Dados'!$AC742&lt;&gt;"-","Pendente"),"Aguardando Liberação")</f>
        <v>Aguardando Liberação</v>
      </c>
      <c r="AH742" s="5" t="str">
        <f>IF('Banco de Dados'!$F742="-",_xlfn.CONCAT(PROPER(TEXT(AK742,"aaaa"))," ",PROPER(TEXT(AK742,"mm"))),_xlfn.CONCAT(PROPER(TEXT(E742,"aaaa"))," ",PROPER(TEXT(E742,"mm"))))</f>
        <v>2025 01</v>
      </c>
      <c r="AI742" s="9" t="str">
        <f ca="1">IF('Banco de Dados'!$AK742&lt;&gt;"-","REEMBOLSO",IFERROR(_xlfn.XLOOKUP(G742,Follow[CODRASTREIO],Follow[STATUS]),"-"))</f>
        <v>ENTREGUE</v>
      </c>
      <c r="AJ742" s="9">
        <f ca="1">IF('Banco de Dados'!$AI742="ENTREGUE",_xlfn.XLOOKUP('Banco de Dados'!$G742,Follow[CODRASTREIO],Follow[DATAATUALIZAÇÃO]),"-")</f>
        <v>45685</v>
      </c>
      <c r="AK742" s="9" t="str">
        <f ca="1"/>
        <v>-</v>
      </c>
      <c r="AL742" s="35"/>
      <c r="AM742" s="109" cm="1">
        <f t="array" aca="1" ref="AM742" ca="1">IF('Banco de Dados'!$AK742&lt;&gt;"-",_xlfn.IFS('Banco de Dados'!$A742="bv",IF('Banco de Dados'!$E742&lt;45641,ROUND(SUM('Banco de Dados'!$R742*_xlfn.XLOOKUP('Banco de Dados'!$P742,Sku!B:B,Sku!#REF!)*20%),2),ROUND(SUM('Banco de Dados'!$R742*_xlfn.XLOOKUP('Banco de Dados'!$P742,Sku!B:B,Sku!H:H)*20%),2)),'Banco de Dados'!$A742="GO",ROUND(_xlfn.XLOOKUP('Banco de Dados'!$P742,Sku!C:C,Sku!H:H),2),'Banco de Dados'!$A742="MEI",ROUND(_xlfn.XLOOKUP('Banco de Dados'!$P742,Sku!D:D,Sku!H:H),2)),0)</f>
        <v>0</v>
      </c>
      <c r="AN742" s="109">
        <f ca="1">IF('Banco de Dados'!$AK742&lt;&gt;"-",IF('Banco de Dados'!$F742&lt;&gt;"-",_xlfn.XLOOKUP(IFERROR(IFERROR(IFERROR(VALUE(SUBSTITUTE(MID(_xlfn.TEXTAFTER('Banco de Dados'!$F742,"Data do Pedido:
",1),1,10),"-","/")),VALUE(SUBSTITUTE(MID(_xlfn.TEXTAFTER('Banco de Dados'!$F742,"Order date:
",1),1,10),"-","/"))),VALUE(SUBSTITUTE(MID(_xlfn.TEXTAFTER('Banco de Dados'!$F742,"Fecha de pedido:
",1),1,10),"-","/"))),"-"),SMS!A:A,SMS!K:K),0),0)</f>
        <v>0</v>
      </c>
      <c r="AO742" s="109">
        <f ca="1">IF('Banco de Dados'!$AK742&lt;&gt;"-",IF('Banco de Dados'!$F742&lt;&gt;"-",IFERROR(_xlfn.XLOOKUP(_xlfn.CONCAT('Banco de Dados'!$A742,IFERROR(IFERROR(VALUE(SUBSTITUTE(MID(_xlfn.TEXTAFTER('Banco de Dados'!$F742,"Data do Pedido:
",1),1,10),"-","/")),VALUE(SUBSTITUTE(MID(_xlfn.TEXTAFTER('Banco de Dados'!$F742,"Order date:
",1),1,10),"-","/"))),0)),ProxyDD[Chave],ProxyDD[Valor por pedido]),PROXY!$P$2),0),0)</f>
        <v>0</v>
      </c>
      <c r="AP742" s="28">
        <f ca="1">IF('Banco de Dados'!$AK742&lt;&gt;"-",IF('Banco de Dados'!$AL742="NÃO",IFERROR(VALUE(SUBSTITUTE(_xlfn.TEXTAFTER('Banco de Dados'!$F742,"BRL ",1),".",",")),0),0),0)</f>
        <v>0</v>
      </c>
      <c r="AQ742" s="28">
        <f ca="1">SUM('Banco de Dados'!$AM742:$AP742)</f>
        <v>0</v>
      </c>
      <c r="AR742" s="8"/>
      <c r="AS742" s="8"/>
      <c r="AY742" s="8"/>
    </row>
    <row r="743" spans="1:51">
      <c r="A743" s="5" t="str">
        <v>BV</v>
      </c>
      <c r="B743" s="5" t="str">
        <f ca="1"/>
        <v>BV45666</v>
      </c>
      <c r="C743" s="8" t="str">
        <v>Pedido 730</v>
      </c>
      <c r="D743" s="9">
        <v>45666</v>
      </c>
      <c r="E743" s="9">
        <v>45666</v>
      </c>
      <c r="F743" s="8" t="str">
        <v>PedidoF709</v>
      </c>
      <c r="G743" s="2" t="str">
        <v>CódRastreio707</v>
      </c>
      <c r="H743" s="5">
        <v>1</v>
      </c>
      <c r="I743" s="182" t="str">
        <v>CPF 708</v>
      </c>
      <c r="J743" s="2" t="str">
        <v>Nome 708</v>
      </c>
      <c r="K743" s="8" t="str">
        <v>Tel 708</v>
      </c>
      <c r="L743" s="8" t="str">
        <v>Cep 708</v>
      </c>
      <c r="M743" s="8" t="str">
        <v>Rua 708</v>
      </c>
      <c r="N743" s="8" t="str">
        <v>Comp 708</v>
      </c>
      <c r="O743" s="8" t="str">
        <v>Ventilador Rosa</v>
      </c>
      <c r="P743" s="8" t="str">
        <v>IF-G2ZQ-79FO</v>
      </c>
      <c r="Q743" s="4">
        <v>45688</v>
      </c>
      <c r="R743" s="109">
        <v>46.9</v>
      </c>
      <c r="S743" s="11">
        <f ca="1"/>
        <v>46.9</v>
      </c>
      <c r="T743" s="28">
        <f ca="1"/>
        <v>6.0970000000000004</v>
      </c>
      <c r="U743" s="11">
        <f ca="1"/>
        <v>40.799999999999997</v>
      </c>
      <c r="V743" s="11">
        <v>19.510000000000002</v>
      </c>
      <c r="W743" s="11">
        <f ca="1"/>
        <v>0.66</v>
      </c>
      <c r="X743" s="11">
        <f ca="1"/>
        <v>0.39877104377104378</v>
      </c>
      <c r="Y743" s="11">
        <v>0</v>
      </c>
      <c r="Z743" s="11">
        <f ca="1"/>
        <v>20.23122895622895</v>
      </c>
      <c r="AA743" s="11">
        <f ca="1"/>
        <v>10.115614478114475</v>
      </c>
      <c r="AB743" s="4">
        <f ca="1"/>
        <v>45695</v>
      </c>
      <c r="AC743" s="4">
        <v>45695</v>
      </c>
      <c r="AD743" s="9">
        <v>45699</v>
      </c>
      <c r="AE743" s="9">
        <v>45705</v>
      </c>
      <c r="AF743" s="4" t="str">
        <f t="shared" ca="1" si="28"/>
        <v>2025 02</v>
      </c>
      <c r="AG743" s="8" t="str" cm="1">
        <f t="array" ref="AG743">IFERROR(_xlfn.IFS('Banco de Dados'!#REF!="AG. COMPRA","Em processamento",'Banco de Dados'!#REF!="AG. RASTREIO","Em processamento",'Banco de Dados'!$AE743&lt;&gt;"-","Faturado",'Banco de Dados'!$AD743&lt;&gt;"-","Aguardando Pix",'Banco de Dados'!$AC743&lt;&gt;"-","Pendente"),"Aguardando Liberação")</f>
        <v>Aguardando Liberação</v>
      </c>
      <c r="AH743" s="5" t="str">
        <f>IF('Banco de Dados'!$F743="-",_xlfn.CONCAT(PROPER(TEXT(AK743,"aaaa"))," ",PROPER(TEXT(AK743,"mm"))),_xlfn.CONCAT(PROPER(TEXT(E743,"aaaa"))," ",PROPER(TEXT(E743,"mm"))))</f>
        <v>2025 01</v>
      </c>
      <c r="AI743" s="9" t="str">
        <f ca="1">IF('Banco de Dados'!$AK743&lt;&gt;"-","REEMBOLSO",IFERROR(_xlfn.XLOOKUP(G743,Follow[CODRASTREIO],Follow[STATUS]),"-"))</f>
        <v>ENTREGUE</v>
      </c>
      <c r="AJ743" s="9">
        <f ca="1">IF('Banco de Dados'!$AI743="ENTREGUE",_xlfn.XLOOKUP('Banco de Dados'!$G743,Follow[CODRASTREIO],Follow[DATAATUALIZAÇÃO]),"-")</f>
        <v>45685</v>
      </c>
      <c r="AK743" s="9" t="str">
        <f ca="1"/>
        <v>-</v>
      </c>
      <c r="AL743" s="35"/>
      <c r="AM743" s="109" cm="1">
        <f t="array" aca="1" ref="AM743" ca="1">IF('Banco de Dados'!$AK743&lt;&gt;"-",_xlfn.IFS('Banco de Dados'!$A743="bv",IF('Banco de Dados'!$E743&lt;45641,ROUND(SUM('Banco de Dados'!$R743*_xlfn.XLOOKUP('Banco de Dados'!$P743,Sku!B:B,Sku!#REF!)*20%),2),ROUND(SUM('Banco de Dados'!$R743*_xlfn.XLOOKUP('Banco de Dados'!$P743,Sku!B:B,Sku!H:H)*20%),2)),'Banco de Dados'!$A743="GO",ROUND(_xlfn.XLOOKUP('Banco de Dados'!$P743,Sku!C:C,Sku!H:H),2),'Banco de Dados'!$A743="MEI",ROUND(_xlfn.XLOOKUP('Banco de Dados'!$P743,Sku!D:D,Sku!H:H),2)),0)</f>
        <v>0</v>
      </c>
      <c r="AN743" s="109">
        <f ca="1">IF('Banco de Dados'!$AK743&lt;&gt;"-",IF('Banco de Dados'!$F743&lt;&gt;"-",_xlfn.XLOOKUP(IFERROR(IFERROR(IFERROR(VALUE(SUBSTITUTE(MID(_xlfn.TEXTAFTER('Banco de Dados'!$F743,"Data do Pedido:
",1),1,10),"-","/")),VALUE(SUBSTITUTE(MID(_xlfn.TEXTAFTER('Banco de Dados'!$F743,"Order date:
",1),1,10),"-","/"))),VALUE(SUBSTITUTE(MID(_xlfn.TEXTAFTER('Banco de Dados'!$F743,"Fecha de pedido:
",1),1,10),"-","/"))),"-"),SMS!A:A,SMS!K:K),0),0)</f>
        <v>0</v>
      </c>
      <c r="AO743" s="109">
        <f ca="1">IF('Banco de Dados'!$AK743&lt;&gt;"-",IF('Banco de Dados'!$F743&lt;&gt;"-",IFERROR(_xlfn.XLOOKUP(_xlfn.CONCAT('Banco de Dados'!$A743,IFERROR(IFERROR(VALUE(SUBSTITUTE(MID(_xlfn.TEXTAFTER('Banco de Dados'!$F743,"Data do Pedido:
",1),1,10),"-","/")),VALUE(SUBSTITUTE(MID(_xlfn.TEXTAFTER('Banco de Dados'!$F743,"Order date:
",1),1,10),"-","/"))),0)),ProxyDD[Chave],ProxyDD[Valor por pedido]),PROXY!$P$2),0),0)</f>
        <v>0</v>
      </c>
      <c r="AP743" s="28">
        <f ca="1">IF('Banco de Dados'!$AK743&lt;&gt;"-",IF('Banco de Dados'!$AL743="NÃO",IFERROR(VALUE(SUBSTITUTE(_xlfn.TEXTAFTER('Banco de Dados'!$F743,"BRL ",1),".",",")),0),0),0)</f>
        <v>0</v>
      </c>
      <c r="AQ743" s="28">
        <f ca="1">SUM('Banco de Dados'!$AM743:$AP743)</f>
        <v>0</v>
      </c>
      <c r="AR743" s="8"/>
      <c r="AS743" s="8"/>
      <c r="AY743" s="8"/>
    </row>
    <row r="744" spans="1:51">
      <c r="A744" s="5" t="str">
        <v>BV</v>
      </c>
      <c r="B744" s="5" t="str">
        <f ca="1"/>
        <v>BV45666</v>
      </c>
      <c r="C744" s="8" t="str">
        <v>Pedido 731</v>
      </c>
      <c r="D744" s="9">
        <v>45666</v>
      </c>
      <c r="E744" s="9">
        <v>45666</v>
      </c>
      <c r="F744" s="8" t="str">
        <v>PedidoF710</v>
      </c>
      <c r="G744" s="2" t="str">
        <v>CódRastreio708</v>
      </c>
      <c r="H744" s="5">
        <v>1</v>
      </c>
      <c r="I744" s="182" t="str">
        <v>CPF 709</v>
      </c>
      <c r="J744" s="2" t="str">
        <v>Nome 709</v>
      </c>
      <c r="K744" s="8" t="str">
        <v>Tel 709</v>
      </c>
      <c r="L744" s="8" t="str">
        <v>Cep 709</v>
      </c>
      <c r="M744" s="8" t="str">
        <v>Rua 709</v>
      </c>
      <c r="N744" s="8" t="str">
        <v>Comp 709</v>
      </c>
      <c r="O744" s="8" t="str">
        <v>Ventilador Rosa</v>
      </c>
      <c r="P744" s="8" t="str">
        <v>IF-G2ZQ-79FO</v>
      </c>
      <c r="Q744" s="4">
        <v>45688</v>
      </c>
      <c r="R744" s="109">
        <v>46.9</v>
      </c>
      <c r="S744" s="11">
        <f ca="1"/>
        <v>46.9</v>
      </c>
      <c r="T744" s="28">
        <f ca="1"/>
        <v>6.0970000000000004</v>
      </c>
      <c r="U744" s="11">
        <f ca="1"/>
        <v>40.799999999999997</v>
      </c>
      <c r="V744" s="11">
        <v>19.510000000000002</v>
      </c>
      <c r="W744" s="11">
        <f ca="1"/>
        <v>0.66</v>
      </c>
      <c r="X744" s="11">
        <f ca="1"/>
        <v>0.39877104377104378</v>
      </c>
      <c r="Y744" s="11">
        <v>0</v>
      </c>
      <c r="Z744" s="11">
        <f ca="1"/>
        <v>20.23122895622895</v>
      </c>
      <c r="AA744" s="11">
        <f ca="1"/>
        <v>10.115614478114475</v>
      </c>
      <c r="AB744" s="4">
        <f ca="1"/>
        <v>45695</v>
      </c>
      <c r="AC744" s="4">
        <v>45695</v>
      </c>
      <c r="AD744" s="9">
        <v>45699</v>
      </c>
      <c r="AE744" s="9">
        <v>45705</v>
      </c>
      <c r="AF744" s="4" t="str">
        <f t="shared" ca="1" si="28"/>
        <v>2025 02</v>
      </c>
      <c r="AG744" s="8" t="str" cm="1">
        <f t="array" ref="AG744">IFERROR(_xlfn.IFS('Banco de Dados'!#REF!="AG. COMPRA","Em processamento",'Banco de Dados'!#REF!="AG. RASTREIO","Em processamento",'Banco de Dados'!$AE744&lt;&gt;"-","Faturado",'Banco de Dados'!$AD744&lt;&gt;"-","Aguardando Pix",'Banco de Dados'!$AC744&lt;&gt;"-","Pendente"),"Aguardando Liberação")</f>
        <v>Aguardando Liberação</v>
      </c>
      <c r="AH744" s="5" t="str">
        <f>IF('Banco de Dados'!$F744="-",_xlfn.CONCAT(PROPER(TEXT(AK744,"aaaa"))," ",PROPER(TEXT(AK744,"mm"))),_xlfn.CONCAT(PROPER(TEXT(E744,"aaaa"))," ",PROPER(TEXT(E744,"mm"))))</f>
        <v>2025 01</v>
      </c>
      <c r="AI744" s="9" t="str">
        <f ca="1">IF('Banco de Dados'!$AK744&lt;&gt;"-","REEMBOLSO",IFERROR(_xlfn.XLOOKUP(G744,Follow[CODRASTREIO],Follow[STATUS]),"-"))</f>
        <v>ENTREGUE</v>
      </c>
      <c r="AJ744" s="9">
        <f ca="1">IF('Banco de Dados'!$AI744="ENTREGUE",_xlfn.XLOOKUP('Banco de Dados'!$G744,Follow[CODRASTREIO],Follow[DATAATUALIZAÇÃO]),"-")</f>
        <v>45685</v>
      </c>
      <c r="AK744" s="9" t="str">
        <f ca="1"/>
        <v>-</v>
      </c>
      <c r="AL744" s="35"/>
      <c r="AM744" s="109" cm="1">
        <f t="array" aca="1" ref="AM744" ca="1">IF('Banco de Dados'!$AK744&lt;&gt;"-",_xlfn.IFS('Banco de Dados'!$A744="bv",IF('Banco de Dados'!$E744&lt;45641,ROUND(SUM('Banco de Dados'!$R744*_xlfn.XLOOKUP('Banco de Dados'!$P744,Sku!B:B,Sku!#REF!)*20%),2),ROUND(SUM('Banco de Dados'!$R744*_xlfn.XLOOKUP('Banco de Dados'!$P744,Sku!B:B,Sku!H:H)*20%),2)),'Banco de Dados'!$A744="GO",ROUND(_xlfn.XLOOKUP('Banco de Dados'!$P744,Sku!C:C,Sku!H:H),2),'Banco de Dados'!$A744="MEI",ROUND(_xlfn.XLOOKUP('Banco de Dados'!$P744,Sku!D:D,Sku!H:H),2)),0)</f>
        <v>0</v>
      </c>
      <c r="AN744" s="109">
        <f ca="1">IF('Banco de Dados'!$AK744&lt;&gt;"-",IF('Banco de Dados'!$F744&lt;&gt;"-",_xlfn.XLOOKUP(IFERROR(IFERROR(IFERROR(VALUE(SUBSTITUTE(MID(_xlfn.TEXTAFTER('Banco de Dados'!$F744,"Data do Pedido:
",1),1,10),"-","/")),VALUE(SUBSTITUTE(MID(_xlfn.TEXTAFTER('Banco de Dados'!$F744,"Order date:
",1),1,10),"-","/"))),VALUE(SUBSTITUTE(MID(_xlfn.TEXTAFTER('Banco de Dados'!$F744,"Fecha de pedido:
",1),1,10),"-","/"))),"-"),SMS!A:A,SMS!K:K),0),0)</f>
        <v>0</v>
      </c>
      <c r="AO744" s="109">
        <f ca="1">IF('Banco de Dados'!$AK744&lt;&gt;"-",IF('Banco de Dados'!$F744&lt;&gt;"-",IFERROR(_xlfn.XLOOKUP(_xlfn.CONCAT('Banco de Dados'!$A744,IFERROR(IFERROR(VALUE(SUBSTITUTE(MID(_xlfn.TEXTAFTER('Banco de Dados'!$F744,"Data do Pedido:
",1),1,10),"-","/")),VALUE(SUBSTITUTE(MID(_xlfn.TEXTAFTER('Banco de Dados'!$F744,"Order date:
",1),1,10),"-","/"))),0)),ProxyDD[Chave],ProxyDD[Valor por pedido]),PROXY!$P$2),0),0)</f>
        <v>0</v>
      </c>
      <c r="AP744" s="28">
        <f ca="1">IF('Banco de Dados'!$AK744&lt;&gt;"-",IF('Banco de Dados'!$AL744="NÃO",IFERROR(VALUE(SUBSTITUTE(_xlfn.TEXTAFTER('Banco de Dados'!$F744,"BRL ",1),".",",")),0),0),0)</f>
        <v>0</v>
      </c>
      <c r="AQ744" s="28">
        <f ca="1">SUM('Banco de Dados'!$AM744:$AP744)</f>
        <v>0</v>
      </c>
      <c r="AR744" s="8"/>
      <c r="AS744" s="8"/>
      <c r="AY744" s="8"/>
    </row>
    <row r="745" spans="1:51">
      <c r="A745" s="5" t="str">
        <v>BV</v>
      </c>
      <c r="B745" s="5" t="str">
        <f ca="1"/>
        <v>BV45667</v>
      </c>
      <c r="C745" s="8" t="str">
        <v>Pedido 732</v>
      </c>
      <c r="D745" s="9">
        <v>45667</v>
      </c>
      <c r="E745" s="9">
        <v>45667</v>
      </c>
      <c r="F745" s="8" t="str">
        <v>PedidoF711</v>
      </c>
      <c r="G745" s="2" t="str">
        <v>CódRastreio709</v>
      </c>
      <c r="H745" s="5">
        <v>1</v>
      </c>
      <c r="I745" s="182" t="str">
        <v>CPF 710</v>
      </c>
      <c r="J745" s="2" t="str">
        <v>Nome 710</v>
      </c>
      <c r="K745" s="8" t="str">
        <v>Tel 710</v>
      </c>
      <c r="L745" s="8" t="str">
        <v>Cep 710</v>
      </c>
      <c r="M745" s="8" t="str">
        <v>Rua 710</v>
      </c>
      <c r="N745" s="8" t="str">
        <v>Comp 710</v>
      </c>
      <c r="O745" s="8" t="str">
        <v>Adaptador Bluetooph</v>
      </c>
      <c r="P745" s="8" t="str">
        <v>YA-AG3H-SPUK</v>
      </c>
      <c r="Q745" s="4">
        <v>45682</v>
      </c>
      <c r="R745" s="109">
        <v>21.99</v>
      </c>
      <c r="S745" s="11">
        <f ca="1"/>
        <v>21.99</v>
      </c>
      <c r="T745" s="28">
        <f ca="1"/>
        <v>2.6387999999999998</v>
      </c>
      <c r="U745" s="11">
        <f ca="1"/>
        <v>19.350000000000001</v>
      </c>
      <c r="V745" s="11">
        <v>11.72</v>
      </c>
      <c r="W745" s="11">
        <f ca="1"/>
        <v>0.21</v>
      </c>
      <c r="X745" s="11">
        <f ca="1"/>
        <v>0.39877104377104378</v>
      </c>
      <c r="Y745" s="11">
        <v>0</v>
      </c>
      <c r="Z745" s="11">
        <f ca="1"/>
        <v>7.0212289562289563</v>
      </c>
      <c r="AA745" s="11">
        <f ca="1"/>
        <v>3.5106144781144781</v>
      </c>
      <c r="AB745" s="4">
        <f ca="1"/>
        <v>45689</v>
      </c>
      <c r="AC745" s="4">
        <v>45689</v>
      </c>
      <c r="AD745" s="9">
        <v>45693</v>
      </c>
      <c r="AE745" s="9">
        <v>45705</v>
      </c>
      <c r="AF745" s="4" t="str">
        <f t="shared" ca="1" si="28"/>
        <v>2025 02</v>
      </c>
      <c r="AG745" s="8" t="str" cm="1">
        <f t="array" ref="AG745">IFERROR(_xlfn.IFS('Banco de Dados'!#REF!="AG. COMPRA","Em processamento",'Banco de Dados'!#REF!="AG. RASTREIO","Em processamento",'Banco de Dados'!$AE745&lt;&gt;"-","Faturado",'Banco de Dados'!$AD745&lt;&gt;"-","Aguardando Pix",'Banco de Dados'!$AC745&lt;&gt;"-","Pendente"),"Aguardando Liberação")</f>
        <v>Aguardando Liberação</v>
      </c>
      <c r="AH745" s="5" t="str">
        <f>IF('Banco de Dados'!$F745="-",_xlfn.CONCAT(PROPER(TEXT(AK745,"aaaa"))," ",PROPER(TEXT(AK745,"mm"))),_xlfn.CONCAT(PROPER(TEXT(E745,"aaaa"))," ",PROPER(TEXT(E745,"mm"))))</f>
        <v>2025 01</v>
      </c>
      <c r="AI745" s="9" t="str">
        <f ca="1">IF('Banco de Dados'!$AK745&lt;&gt;"-","REEMBOLSO",IFERROR(_xlfn.XLOOKUP(G745,Follow[CODRASTREIO],Follow[STATUS]),"-"))</f>
        <v>ENTREGUE</v>
      </c>
      <c r="AJ745" s="9">
        <f ca="1">IF('Banco de Dados'!$AI745="ENTREGUE",_xlfn.XLOOKUP('Banco de Dados'!$G745,Follow[CODRASTREIO],Follow[DATAATUALIZAÇÃO]),"-")</f>
        <v>45673</v>
      </c>
      <c r="AK745" s="9" t="str">
        <f ca="1"/>
        <v>-</v>
      </c>
      <c r="AL745" s="35"/>
      <c r="AM745" s="109" cm="1">
        <f t="array" aca="1" ref="AM745" ca="1">IF('Banco de Dados'!$AK745&lt;&gt;"-",_xlfn.IFS('Banco de Dados'!$A745="bv",IF('Banco de Dados'!$E745&lt;45641,ROUND(SUM('Banco de Dados'!$R745*_xlfn.XLOOKUP('Banco de Dados'!$P745,Sku!B:B,Sku!#REF!)*20%),2),ROUND(SUM('Banco de Dados'!$R745*_xlfn.XLOOKUP('Banco de Dados'!$P745,Sku!B:B,Sku!H:H)*20%),2)),'Banco de Dados'!$A745="GO",ROUND(_xlfn.XLOOKUP('Banco de Dados'!$P745,Sku!C:C,Sku!H:H),2),'Banco de Dados'!$A745="MEI",ROUND(_xlfn.XLOOKUP('Banco de Dados'!$P745,Sku!D:D,Sku!H:H),2)),0)</f>
        <v>0</v>
      </c>
      <c r="AN745" s="109">
        <f ca="1">IF('Banco de Dados'!$AK745&lt;&gt;"-",IF('Banco de Dados'!$F745&lt;&gt;"-",_xlfn.XLOOKUP(IFERROR(IFERROR(IFERROR(VALUE(SUBSTITUTE(MID(_xlfn.TEXTAFTER('Banco de Dados'!$F745,"Data do Pedido:
",1),1,10),"-","/")),VALUE(SUBSTITUTE(MID(_xlfn.TEXTAFTER('Banco de Dados'!$F745,"Order date:
",1),1,10),"-","/"))),VALUE(SUBSTITUTE(MID(_xlfn.TEXTAFTER('Banco de Dados'!$F745,"Fecha de pedido:
",1),1,10),"-","/"))),"-"),SMS!A:A,SMS!K:K),0),0)</f>
        <v>0</v>
      </c>
      <c r="AO745" s="109">
        <f ca="1">IF('Banco de Dados'!$AK745&lt;&gt;"-",IF('Banco de Dados'!$F745&lt;&gt;"-",IFERROR(_xlfn.XLOOKUP(_xlfn.CONCAT('Banco de Dados'!$A745,IFERROR(IFERROR(VALUE(SUBSTITUTE(MID(_xlfn.TEXTAFTER('Banco de Dados'!$F745,"Data do Pedido:
",1),1,10),"-","/")),VALUE(SUBSTITUTE(MID(_xlfn.TEXTAFTER('Banco de Dados'!$F745,"Order date:
",1),1,10),"-","/"))),0)),ProxyDD[Chave],ProxyDD[Valor por pedido]),PROXY!$P$2),0),0)</f>
        <v>0</v>
      </c>
      <c r="AP745" s="28">
        <f ca="1">IF('Banco de Dados'!$AK745&lt;&gt;"-",IF('Banco de Dados'!$AL745="NÃO",IFERROR(VALUE(SUBSTITUTE(_xlfn.TEXTAFTER('Banco de Dados'!$F745,"BRL ",1),".",",")),0),0),0)</f>
        <v>0</v>
      </c>
      <c r="AQ745" s="28">
        <f ca="1">SUM('Banco de Dados'!$AM745:$AP745)</f>
        <v>0</v>
      </c>
      <c r="AR745" s="8"/>
      <c r="AS745" s="8"/>
      <c r="AY745" s="8"/>
    </row>
    <row r="746" spans="1:51">
      <c r="A746" s="5" t="str">
        <v>BV</v>
      </c>
      <c r="B746" s="5" t="str">
        <f ca="1"/>
        <v>BV45667</v>
      </c>
      <c r="C746" s="8" t="str">
        <v>Pedido 733</v>
      </c>
      <c r="D746" s="9">
        <v>45667</v>
      </c>
      <c r="E746" s="9">
        <v>45667</v>
      </c>
      <c r="F746" s="8" t="str">
        <v>PedidoF712</v>
      </c>
      <c r="G746" s="2" t="str">
        <v>CódRastreio710</v>
      </c>
      <c r="H746" s="5">
        <v>1</v>
      </c>
      <c r="I746" s="182" t="str">
        <v>CPF 711</v>
      </c>
      <c r="J746" s="2" t="str">
        <v>Nome 711</v>
      </c>
      <c r="K746" s="8" t="str">
        <v>Tel 711</v>
      </c>
      <c r="L746" s="8" t="str">
        <v>Cep 711</v>
      </c>
      <c r="M746" s="8" t="str">
        <v>Rua 711</v>
      </c>
      <c r="N746" s="8" t="str">
        <v>Comp 711</v>
      </c>
      <c r="O746" s="8" t="str">
        <v>Adaptador Bluetooph</v>
      </c>
      <c r="P746" s="8" t="str">
        <v>YA-AG3H-SPUK</v>
      </c>
      <c r="Q746" s="4">
        <v>45680</v>
      </c>
      <c r="R746" s="109">
        <v>21.99</v>
      </c>
      <c r="S746" s="11">
        <f ca="1"/>
        <v>21.99</v>
      </c>
      <c r="T746" s="28">
        <f ca="1"/>
        <v>2.6387999999999998</v>
      </c>
      <c r="U746" s="11">
        <f ca="1"/>
        <v>19.350000000000001</v>
      </c>
      <c r="V746" s="11">
        <v>11.72</v>
      </c>
      <c r="W746" s="11">
        <f ca="1"/>
        <v>0.21</v>
      </c>
      <c r="X746" s="11">
        <f ca="1"/>
        <v>0.39877104377104378</v>
      </c>
      <c r="Y746" s="11">
        <v>0</v>
      </c>
      <c r="Z746" s="11">
        <f ca="1"/>
        <v>7.0212289562289563</v>
      </c>
      <c r="AA746" s="11">
        <f ca="1"/>
        <v>3.5106144781144781</v>
      </c>
      <c r="AB746" s="4">
        <f ca="1"/>
        <v>45687</v>
      </c>
      <c r="AC746" s="4">
        <v>45687</v>
      </c>
      <c r="AD746" s="9">
        <v>45688</v>
      </c>
      <c r="AE746" s="9">
        <v>45694</v>
      </c>
      <c r="AF746" s="4" t="str">
        <f t="shared" ca="1" si="28"/>
        <v>2025 01</v>
      </c>
      <c r="AG746" s="8" t="str" cm="1">
        <f t="array" ref="AG746">IFERROR(_xlfn.IFS('Banco de Dados'!#REF!="AG. COMPRA","Em processamento",'Banco de Dados'!#REF!="AG. RASTREIO","Em processamento",'Banco de Dados'!$AE746&lt;&gt;"-","Faturado",'Banco de Dados'!$AD746&lt;&gt;"-","Aguardando Pix",'Banco de Dados'!$AC746&lt;&gt;"-","Pendente"),"Aguardando Liberação")</f>
        <v>Aguardando Liberação</v>
      </c>
      <c r="AH746" s="5" t="str">
        <f>IF('Banco de Dados'!$F746="-",_xlfn.CONCAT(PROPER(TEXT(AK746,"aaaa"))," ",PROPER(TEXT(AK746,"mm"))),_xlfn.CONCAT(PROPER(TEXT(E746,"aaaa"))," ",PROPER(TEXT(E746,"mm"))))</f>
        <v>2025 01</v>
      </c>
      <c r="AI746" s="9" t="str">
        <f ca="1">IF('Banco de Dados'!$AK746&lt;&gt;"-","REEMBOLSO",IFERROR(_xlfn.XLOOKUP(G746,Follow[CODRASTREIO],Follow[STATUS]),"-"))</f>
        <v>ENTREGUE</v>
      </c>
      <c r="AJ746" s="9">
        <f ca="1">IF('Banco de Dados'!$AI746="ENTREGUE",_xlfn.XLOOKUP('Banco de Dados'!$G746,Follow[CODRASTREIO],Follow[DATAATUALIZAÇÃO]),"-")</f>
        <v>45673</v>
      </c>
      <c r="AK746" s="9" t="str">
        <f ca="1"/>
        <v>-</v>
      </c>
      <c r="AL746" s="35"/>
      <c r="AM746" s="109" cm="1">
        <f t="array" aca="1" ref="AM746" ca="1">IF('Banco de Dados'!$AK746&lt;&gt;"-",_xlfn.IFS('Banco de Dados'!$A746="bv",IF('Banco de Dados'!$E746&lt;45641,ROUND(SUM('Banco de Dados'!$R746*_xlfn.XLOOKUP('Banco de Dados'!$P746,Sku!B:B,Sku!#REF!)*20%),2),ROUND(SUM('Banco de Dados'!$R746*_xlfn.XLOOKUP('Banco de Dados'!$P746,Sku!B:B,Sku!H:H)*20%),2)),'Banco de Dados'!$A746="GO",ROUND(_xlfn.XLOOKUP('Banco de Dados'!$P746,Sku!C:C,Sku!H:H),2),'Banco de Dados'!$A746="MEI",ROUND(_xlfn.XLOOKUP('Banco de Dados'!$P746,Sku!D:D,Sku!H:H),2)),0)</f>
        <v>0</v>
      </c>
      <c r="AN746" s="109">
        <f ca="1">IF('Banco de Dados'!$AK746&lt;&gt;"-",IF('Banco de Dados'!$F746&lt;&gt;"-",_xlfn.XLOOKUP(IFERROR(IFERROR(IFERROR(VALUE(SUBSTITUTE(MID(_xlfn.TEXTAFTER('Banco de Dados'!$F746,"Data do Pedido:
",1),1,10),"-","/")),VALUE(SUBSTITUTE(MID(_xlfn.TEXTAFTER('Banco de Dados'!$F746,"Order date:
",1),1,10),"-","/"))),VALUE(SUBSTITUTE(MID(_xlfn.TEXTAFTER('Banco de Dados'!$F746,"Fecha de pedido:
",1),1,10),"-","/"))),"-"),SMS!A:A,SMS!K:K),0),0)</f>
        <v>0</v>
      </c>
      <c r="AO746" s="109">
        <f ca="1">IF('Banco de Dados'!$AK746&lt;&gt;"-",IF('Banco de Dados'!$F746&lt;&gt;"-",IFERROR(_xlfn.XLOOKUP(_xlfn.CONCAT('Banco de Dados'!$A746,IFERROR(IFERROR(VALUE(SUBSTITUTE(MID(_xlfn.TEXTAFTER('Banco de Dados'!$F746,"Data do Pedido:
",1),1,10),"-","/")),VALUE(SUBSTITUTE(MID(_xlfn.TEXTAFTER('Banco de Dados'!$F746,"Order date:
",1),1,10),"-","/"))),0)),ProxyDD[Chave],ProxyDD[Valor por pedido]),PROXY!$P$2),0),0)</f>
        <v>0</v>
      </c>
      <c r="AP746" s="28">
        <f ca="1">IF('Banco de Dados'!$AK746&lt;&gt;"-",IF('Banco de Dados'!$AL746="NÃO",IFERROR(VALUE(SUBSTITUTE(_xlfn.TEXTAFTER('Banco de Dados'!$F746,"BRL ",1),".",",")),0),0),0)</f>
        <v>0</v>
      </c>
      <c r="AQ746" s="28">
        <f ca="1">SUM('Banco de Dados'!$AM746:$AP746)</f>
        <v>0</v>
      </c>
      <c r="AR746" s="8"/>
      <c r="AS746" s="8"/>
      <c r="AY746" s="8"/>
    </row>
    <row r="747" spans="1:51">
      <c r="A747" s="5" t="str">
        <v>BV</v>
      </c>
      <c r="B747" s="5" t="str">
        <f ca="1"/>
        <v>BV45667</v>
      </c>
      <c r="C747" s="8" t="str">
        <v>Pedido 734</v>
      </c>
      <c r="D747" s="9">
        <v>45667</v>
      </c>
      <c r="E747" s="9">
        <v>45667</v>
      </c>
      <c r="F747" s="8" t="str">
        <v>PedidoF713</v>
      </c>
      <c r="G747" s="2" t="str">
        <v>CódRastreio711</v>
      </c>
      <c r="H747" s="5">
        <v>1</v>
      </c>
      <c r="I747" s="182" t="str">
        <v>CPF 712</v>
      </c>
      <c r="J747" s="2" t="str">
        <v>Nome 712</v>
      </c>
      <c r="K747" s="8" t="str">
        <v>Tel 712</v>
      </c>
      <c r="L747" s="8" t="str">
        <v>Cep 712</v>
      </c>
      <c r="M747" s="8" t="str">
        <v>Rua 712</v>
      </c>
      <c r="N747" s="8" t="str">
        <v>Comp 712</v>
      </c>
      <c r="O747" s="8" t="str">
        <v>Ventilador Rosa</v>
      </c>
      <c r="P747" s="8" t="str">
        <v>IF-G2ZQ-79FO</v>
      </c>
      <c r="Q747" s="4">
        <v>45688</v>
      </c>
      <c r="R747" s="109">
        <v>46.9</v>
      </c>
      <c r="S747" s="11">
        <f ca="1"/>
        <v>46.9</v>
      </c>
      <c r="T747" s="28">
        <f ca="1"/>
        <v>6.0970000000000004</v>
      </c>
      <c r="U747" s="11">
        <f ca="1"/>
        <v>40.799999999999997</v>
      </c>
      <c r="V747" s="11">
        <v>19.510000000000002</v>
      </c>
      <c r="W747" s="11">
        <f ca="1"/>
        <v>0.21</v>
      </c>
      <c r="X747" s="11">
        <f ca="1"/>
        <v>0.39877104377104378</v>
      </c>
      <c r="Y747" s="11">
        <v>0</v>
      </c>
      <c r="Z747" s="11">
        <f ca="1"/>
        <v>20.681228956228949</v>
      </c>
      <c r="AA747" s="11">
        <f ca="1"/>
        <v>10.340614478114475</v>
      </c>
      <c r="AB747" s="4">
        <f ca="1"/>
        <v>45695</v>
      </c>
      <c r="AC747" s="4">
        <v>45695</v>
      </c>
      <c r="AD747" s="9">
        <v>45699</v>
      </c>
      <c r="AE747" s="9">
        <v>45705</v>
      </c>
      <c r="AF747" s="4" t="str">
        <f t="shared" ref="AF747:AF760" ca="1" si="29">_xlfn.CONCAT(PROPER(TEXT(AB747,"aaaa"))," ",PROPER(TEXT(AB747,"mm")))</f>
        <v>2025 02</v>
      </c>
      <c r="AG747" s="8" t="str" cm="1">
        <f t="array" ref="AG747">IFERROR(_xlfn.IFS('Banco de Dados'!#REF!="AG. COMPRA","Em processamento",'Banco de Dados'!#REF!="AG. RASTREIO","Em processamento",'Banco de Dados'!$AE747&lt;&gt;"-","Faturado",'Banco de Dados'!$AD747&lt;&gt;"-","Aguardando Pix",'Banco de Dados'!$AC747&lt;&gt;"-","Pendente"),"Aguardando Liberação")</f>
        <v>Aguardando Liberação</v>
      </c>
      <c r="AH747" s="5" t="str">
        <f>IF('Banco de Dados'!$F747="-",_xlfn.CONCAT(PROPER(TEXT(AK747,"aaaa"))," ",PROPER(TEXT(AK747,"mm"))),_xlfn.CONCAT(PROPER(TEXT(E747,"aaaa"))," ",PROPER(TEXT(E747,"mm"))))</f>
        <v>2025 01</v>
      </c>
      <c r="AI747" s="9" t="str">
        <f ca="1">IF('Banco de Dados'!$AK747&lt;&gt;"-","REEMBOLSO",IFERROR(_xlfn.XLOOKUP(G747,Follow[CODRASTREIO],Follow[STATUS]),"-"))</f>
        <v>ENTREGUE</v>
      </c>
      <c r="AJ747" s="9">
        <f ca="1">IF('Banco de Dados'!$AI747="ENTREGUE",_xlfn.XLOOKUP('Banco de Dados'!$G747,Follow[CODRASTREIO],Follow[DATAATUALIZAÇÃO]),"-")</f>
        <v>45687</v>
      </c>
      <c r="AK747" s="9" t="str">
        <f ca="1"/>
        <v>-</v>
      </c>
      <c r="AL747" s="35"/>
      <c r="AM747" s="109" cm="1">
        <f t="array" aca="1" ref="AM747" ca="1">IF('Banco de Dados'!$AK747&lt;&gt;"-",_xlfn.IFS('Banco de Dados'!$A747="bv",IF('Banco de Dados'!$E747&lt;45641,ROUND(SUM('Banco de Dados'!$R747*_xlfn.XLOOKUP('Banco de Dados'!$P747,Sku!B:B,Sku!#REF!)*20%),2),ROUND(SUM('Banco de Dados'!$R747*_xlfn.XLOOKUP('Banco de Dados'!$P747,Sku!B:B,Sku!H:H)*20%),2)),'Banco de Dados'!$A747="GO",ROUND(_xlfn.XLOOKUP('Banco de Dados'!$P747,Sku!C:C,Sku!H:H),2),'Banco de Dados'!$A747="MEI",ROUND(_xlfn.XLOOKUP('Banco de Dados'!$P747,Sku!D:D,Sku!H:H),2)),0)</f>
        <v>0</v>
      </c>
      <c r="AN747" s="109">
        <f ca="1">IF('Banco de Dados'!$AK747&lt;&gt;"-",IF('Banco de Dados'!$F747&lt;&gt;"-",_xlfn.XLOOKUP(IFERROR(IFERROR(IFERROR(VALUE(SUBSTITUTE(MID(_xlfn.TEXTAFTER('Banco de Dados'!$F747,"Data do Pedido:
",1),1,10),"-","/")),VALUE(SUBSTITUTE(MID(_xlfn.TEXTAFTER('Banco de Dados'!$F747,"Order date:
",1),1,10),"-","/"))),VALUE(SUBSTITUTE(MID(_xlfn.TEXTAFTER('Banco de Dados'!$F747,"Fecha de pedido:
",1),1,10),"-","/"))),"-"),SMS!A:A,SMS!K:K),0),0)</f>
        <v>0</v>
      </c>
      <c r="AO747" s="109">
        <f ca="1">IF('Banco de Dados'!$AK747&lt;&gt;"-",IF('Banco de Dados'!$F747&lt;&gt;"-",IFERROR(_xlfn.XLOOKUP(_xlfn.CONCAT('Banco de Dados'!$A747,IFERROR(IFERROR(VALUE(SUBSTITUTE(MID(_xlfn.TEXTAFTER('Banco de Dados'!$F747,"Data do Pedido:
",1),1,10),"-","/")),VALUE(SUBSTITUTE(MID(_xlfn.TEXTAFTER('Banco de Dados'!$F747,"Order date:
",1),1,10),"-","/"))),0)),ProxyDD[Chave],ProxyDD[Valor por pedido]),PROXY!$P$2),0),0)</f>
        <v>0</v>
      </c>
      <c r="AP747" s="28">
        <f ca="1">IF('Banco de Dados'!$AK747&lt;&gt;"-",IF('Banco de Dados'!$AL747="NÃO",IFERROR(VALUE(SUBSTITUTE(_xlfn.TEXTAFTER('Banco de Dados'!$F747,"BRL ",1),".",",")),0),0),0)</f>
        <v>0</v>
      </c>
      <c r="AQ747" s="28">
        <f ca="1">SUM('Banco de Dados'!$AM747:$AP747)</f>
        <v>0</v>
      </c>
      <c r="AR747" s="8"/>
      <c r="AS747" s="8"/>
      <c r="AY747" s="8"/>
    </row>
    <row r="748" spans="1:51">
      <c r="A748" s="5" t="str">
        <v>BV</v>
      </c>
      <c r="B748" s="5" t="str">
        <f ca="1"/>
        <v>BV45667</v>
      </c>
      <c r="C748" s="8" t="str">
        <v>Pedido 735</v>
      </c>
      <c r="D748" s="9">
        <v>45667</v>
      </c>
      <c r="E748" s="9">
        <v>45667</v>
      </c>
      <c r="F748" s="8" t="str">
        <v>PedidoF714</v>
      </c>
      <c r="G748" s="2" t="str">
        <v>CódRastreio712</v>
      </c>
      <c r="H748" s="5">
        <v>1</v>
      </c>
      <c r="I748" s="182" t="str">
        <v>CPF 713</v>
      </c>
      <c r="J748" s="2" t="str">
        <v>Nome 713</v>
      </c>
      <c r="K748" s="8" t="str">
        <v>Tel 713</v>
      </c>
      <c r="L748" s="8" t="str">
        <v>Cep 713</v>
      </c>
      <c r="M748" s="8" t="str">
        <v>Rua 713</v>
      </c>
      <c r="N748" s="8" t="str">
        <v>Comp 713</v>
      </c>
      <c r="O748" s="8" t="str">
        <v>Mini Liquidificador</v>
      </c>
      <c r="P748" s="8" t="str">
        <v>CK-YL6M-P5Y6</v>
      </c>
      <c r="Q748" s="4">
        <v>45682</v>
      </c>
      <c r="R748" s="109">
        <v>33.9</v>
      </c>
      <c r="S748" s="11">
        <f ca="1"/>
        <v>33.9</v>
      </c>
      <c r="T748" s="28">
        <f ca="1"/>
        <v>4.407</v>
      </c>
      <c r="U748" s="11">
        <f ca="1"/>
        <v>29.49</v>
      </c>
      <c r="V748" s="11">
        <v>15.99</v>
      </c>
      <c r="W748" s="11">
        <f ca="1"/>
        <v>0.21</v>
      </c>
      <c r="X748" s="11">
        <f ca="1"/>
        <v>0.39877104377104378</v>
      </c>
      <c r="Y748" s="11">
        <v>0</v>
      </c>
      <c r="Z748" s="11">
        <f ca="1"/>
        <v>12.891228956228954</v>
      </c>
      <c r="AA748" s="11">
        <f ca="1"/>
        <v>6.4456144781144769</v>
      </c>
      <c r="AB748" s="4">
        <f ca="1"/>
        <v>45689</v>
      </c>
      <c r="AC748" s="4">
        <v>45689</v>
      </c>
      <c r="AD748" s="9">
        <v>45693</v>
      </c>
      <c r="AE748" s="9">
        <v>45705</v>
      </c>
      <c r="AF748" s="4" t="str">
        <f t="shared" ca="1" si="29"/>
        <v>2025 02</v>
      </c>
      <c r="AG748" s="8" t="str" cm="1">
        <f t="array" ref="AG748">IFERROR(_xlfn.IFS('Banco de Dados'!#REF!="AG. COMPRA","Em processamento",'Banco de Dados'!#REF!="AG. RASTREIO","Em processamento",'Banco de Dados'!$AE748&lt;&gt;"-","Faturado",'Banco de Dados'!$AD748&lt;&gt;"-","Aguardando Pix",'Banco de Dados'!$AC748&lt;&gt;"-","Pendente"),"Aguardando Liberação")</f>
        <v>Aguardando Liberação</v>
      </c>
      <c r="AH748" s="5" t="str">
        <f>IF('Banco de Dados'!$F748="-",_xlfn.CONCAT(PROPER(TEXT(AK748,"aaaa"))," ",PROPER(TEXT(AK748,"mm"))),_xlfn.CONCAT(PROPER(TEXT(E748,"aaaa"))," ",PROPER(TEXT(E748,"mm"))))</f>
        <v>2025 01</v>
      </c>
      <c r="AI748" s="9" t="str">
        <f ca="1">IF('Banco de Dados'!$AK748&lt;&gt;"-","REEMBOLSO",IFERROR(_xlfn.XLOOKUP(G748,Follow[CODRASTREIO],Follow[STATUS]),"-"))</f>
        <v>ENTREGUE</v>
      </c>
      <c r="AJ748" s="9">
        <f ca="1">IF('Banco de Dados'!$AI748="ENTREGUE",_xlfn.XLOOKUP('Banco de Dados'!$G748,Follow[CODRASTREIO],Follow[DATAATUALIZAÇÃO]),"-")</f>
        <v>45674</v>
      </c>
      <c r="AK748" s="9" t="str">
        <f ca="1"/>
        <v>-</v>
      </c>
      <c r="AL748" s="35"/>
      <c r="AM748" s="109" cm="1">
        <f t="array" aca="1" ref="AM748" ca="1">IF('Banco de Dados'!$AK748&lt;&gt;"-",_xlfn.IFS('Banco de Dados'!$A748="bv",IF('Banco de Dados'!$E748&lt;45641,ROUND(SUM('Banco de Dados'!$R748*_xlfn.XLOOKUP('Banco de Dados'!$P748,Sku!B:B,Sku!#REF!)*20%),2),ROUND(SUM('Banco de Dados'!$R748*_xlfn.XLOOKUP('Banco de Dados'!$P748,Sku!B:B,Sku!H:H)*20%),2)),'Banco de Dados'!$A748="GO",ROUND(_xlfn.XLOOKUP('Banco de Dados'!$P748,Sku!C:C,Sku!H:H),2),'Banco de Dados'!$A748="MEI",ROUND(_xlfn.XLOOKUP('Banco de Dados'!$P748,Sku!D:D,Sku!H:H),2)),0)</f>
        <v>0</v>
      </c>
      <c r="AN748" s="109">
        <f ca="1">IF('Banco de Dados'!$AK748&lt;&gt;"-",IF('Banco de Dados'!$F748&lt;&gt;"-",_xlfn.XLOOKUP(IFERROR(IFERROR(IFERROR(VALUE(SUBSTITUTE(MID(_xlfn.TEXTAFTER('Banco de Dados'!$F748,"Data do Pedido:
",1),1,10),"-","/")),VALUE(SUBSTITUTE(MID(_xlfn.TEXTAFTER('Banco de Dados'!$F748,"Order date:
",1),1,10),"-","/"))),VALUE(SUBSTITUTE(MID(_xlfn.TEXTAFTER('Banco de Dados'!$F748,"Fecha de pedido:
",1),1,10),"-","/"))),"-"),SMS!A:A,SMS!K:K),0),0)</f>
        <v>0</v>
      </c>
      <c r="AO748" s="109">
        <f ca="1">IF('Banco de Dados'!$AK748&lt;&gt;"-",IF('Banco de Dados'!$F748&lt;&gt;"-",IFERROR(_xlfn.XLOOKUP(_xlfn.CONCAT('Banco de Dados'!$A748,IFERROR(IFERROR(VALUE(SUBSTITUTE(MID(_xlfn.TEXTAFTER('Banco de Dados'!$F748,"Data do Pedido:
",1),1,10),"-","/")),VALUE(SUBSTITUTE(MID(_xlfn.TEXTAFTER('Banco de Dados'!$F748,"Order date:
",1),1,10),"-","/"))),0)),ProxyDD[Chave],ProxyDD[Valor por pedido]),PROXY!$P$2),0),0)</f>
        <v>0</v>
      </c>
      <c r="AP748" s="28">
        <f ca="1">IF('Banco de Dados'!$AK748&lt;&gt;"-",IF('Banco de Dados'!$AL748="NÃO",IFERROR(VALUE(SUBSTITUTE(_xlfn.TEXTAFTER('Banco de Dados'!$F748,"BRL ",1),".",",")),0),0),0)</f>
        <v>0</v>
      </c>
      <c r="AQ748" s="28">
        <f ca="1">SUM('Banco de Dados'!$AM748:$AP748)</f>
        <v>0</v>
      </c>
      <c r="AR748" s="8"/>
      <c r="AS748" s="8"/>
      <c r="AY748" s="8"/>
    </row>
    <row r="749" spans="1:51">
      <c r="A749" s="5" t="str">
        <v>BV</v>
      </c>
      <c r="B749" s="5" t="str">
        <f ca="1"/>
        <v>BV45667</v>
      </c>
      <c r="C749" s="8" t="str">
        <v>Pedido 736</v>
      </c>
      <c r="D749" s="9">
        <v>45667</v>
      </c>
      <c r="E749" s="9">
        <v>45667</v>
      </c>
      <c r="F749" s="8" t="str">
        <v>PedidoF715</v>
      </c>
      <c r="G749" s="2" t="str">
        <v>CódRastreio713</v>
      </c>
      <c r="H749" s="5">
        <v>1</v>
      </c>
      <c r="I749" s="182" t="str">
        <v>CPF 714</v>
      </c>
      <c r="J749" s="2" t="str">
        <v>Nome 714</v>
      </c>
      <c r="K749" s="8" t="str">
        <v>Tel 714</v>
      </c>
      <c r="L749" s="8" t="str">
        <v>Cep 714</v>
      </c>
      <c r="M749" s="8" t="str">
        <v>Rua 714</v>
      </c>
      <c r="N749" s="8" t="str">
        <v>Comp 714</v>
      </c>
      <c r="O749" s="8" t="str">
        <v>Adaptador Bluetooph</v>
      </c>
      <c r="P749" s="8" t="str">
        <v>YA-AG3H-SPUK</v>
      </c>
      <c r="Q749" s="4">
        <v>45682</v>
      </c>
      <c r="R749" s="109">
        <v>21.99</v>
      </c>
      <c r="S749" s="11">
        <f ca="1"/>
        <v>21.99</v>
      </c>
      <c r="T749" s="28">
        <f ca="1"/>
        <v>2.6387999999999998</v>
      </c>
      <c r="U749" s="11">
        <f ca="1"/>
        <v>19.350000000000001</v>
      </c>
      <c r="V749" s="11">
        <v>11.72</v>
      </c>
      <c r="W749" s="11">
        <f ca="1"/>
        <v>0.21</v>
      </c>
      <c r="X749" s="11">
        <f ca="1"/>
        <v>0.39877104377104378</v>
      </c>
      <c r="Y749" s="11">
        <v>0</v>
      </c>
      <c r="Z749" s="11">
        <f ca="1"/>
        <v>7.0212289562289563</v>
      </c>
      <c r="AA749" s="11">
        <f ca="1"/>
        <v>3.5106144781144781</v>
      </c>
      <c r="AB749" s="4">
        <f ca="1"/>
        <v>45689</v>
      </c>
      <c r="AC749" s="4">
        <v>45689</v>
      </c>
      <c r="AD749" s="9">
        <v>45693</v>
      </c>
      <c r="AE749" s="9">
        <v>45705</v>
      </c>
      <c r="AF749" s="4" t="str">
        <f t="shared" ca="1" si="29"/>
        <v>2025 02</v>
      </c>
      <c r="AG749" s="8" t="str" cm="1">
        <f t="array" ref="AG749">IFERROR(_xlfn.IFS('Banco de Dados'!#REF!="AG. COMPRA","Em processamento",'Banco de Dados'!#REF!="AG. RASTREIO","Em processamento",'Banco de Dados'!$AE749&lt;&gt;"-","Faturado",'Banco de Dados'!$AD749&lt;&gt;"-","Aguardando Pix",'Banco de Dados'!$AC749&lt;&gt;"-","Pendente"),"Aguardando Liberação")</f>
        <v>Aguardando Liberação</v>
      </c>
      <c r="AH749" s="5" t="str">
        <f>IF('Banco de Dados'!$F749="-",_xlfn.CONCAT(PROPER(TEXT(AK749,"aaaa"))," ",PROPER(TEXT(AK749,"mm"))),_xlfn.CONCAT(PROPER(TEXT(E749,"aaaa"))," ",PROPER(TEXT(E749,"mm"))))</f>
        <v>2025 01</v>
      </c>
      <c r="AI749" s="9" t="str">
        <f ca="1">IF('Banco de Dados'!$AK749&lt;&gt;"-","REEMBOLSO",IFERROR(_xlfn.XLOOKUP(G749,Follow[CODRASTREIO],Follow[STATUS]),"-"))</f>
        <v>ENTREGUE</v>
      </c>
      <c r="AJ749" s="9">
        <f ca="1">IF('Banco de Dados'!$AI749="ENTREGUE",_xlfn.XLOOKUP('Banco de Dados'!$G749,Follow[CODRASTREIO],Follow[DATAATUALIZAÇÃO]),"-")</f>
        <v>45678</v>
      </c>
      <c r="AK749" s="9" t="str">
        <f ca="1"/>
        <v>-</v>
      </c>
      <c r="AL749" s="35"/>
      <c r="AM749" s="109" cm="1">
        <f t="array" aca="1" ref="AM749" ca="1">IF('Banco de Dados'!$AK749&lt;&gt;"-",_xlfn.IFS('Banco de Dados'!$A749="bv",IF('Banco de Dados'!$E749&lt;45641,ROUND(SUM('Banco de Dados'!$R749*_xlfn.XLOOKUP('Banco de Dados'!$P749,Sku!B:B,Sku!#REF!)*20%),2),ROUND(SUM('Banco de Dados'!$R749*_xlfn.XLOOKUP('Banco de Dados'!$P749,Sku!B:B,Sku!H:H)*20%),2)),'Banco de Dados'!$A749="GO",ROUND(_xlfn.XLOOKUP('Banco de Dados'!$P749,Sku!C:C,Sku!H:H),2),'Banco de Dados'!$A749="MEI",ROUND(_xlfn.XLOOKUP('Banco de Dados'!$P749,Sku!D:D,Sku!H:H),2)),0)</f>
        <v>0</v>
      </c>
      <c r="AN749" s="109">
        <f ca="1">IF('Banco de Dados'!$AK749&lt;&gt;"-",IF('Banco de Dados'!$F749&lt;&gt;"-",_xlfn.XLOOKUP(IFERROR(IFERROR(IFERROR(VALUE(SUBSTITUTE(MID(_xlfn.TEXTAFTER('Banco de Dados'!$F749,"Data do Pedido:
",1),1,10),"-","/")),VALUE(SUBSTITUTE(MID(_xlfn.TEXTAFTER('Banco de Dados'!$F749,"Order date:
",1),1,10),"-","/"))),VALUE(SUBSTITUTE(MID(_xlfn.TEXTAFTER('Banco de Dados'!$F749,"Fecha de pedido:
",1),1,10),"-","/"))),"-"),SMS!A:A,SMS!K:K),0),0)</f>
        <v>0</v>
      </c>
      <c r="AO749" s="109">
        <f ca="1">IF('Banco de Dados'!$AK749&lt;&gt;"-",IF('Banco de Dados'!$F749&lt;&gt;"-",IFERROR(_xlfn.XLOOKUP(_xlfn.CONCAT('Banco de Dados'!$A749,IFERROR(IFERROR(VALUE(SUBSTITUTE(MID(_xlfn.TEXTAFTER('Banco de Dados'!$F749,"Data do Pedido:
",1),1,10),"-","/")),VALUE(SUBSTITUTE(MID(_xlfn.TEXTAFTER('Banco de Dados'!$F749,"Order date:
",1),1,10),"-","/"))),0)),ProxyDD[Chave],ProxyDD[Valor por pedido]),PROXY!$P$2),0),0)</f>
        <v>0</v>
      </c>
      <c r="AP749" s="28">
        <f ca="1">IF('Banco de Dados'!$AK749&lt;&gt;"-",IF('Banco de Dados'!$AL749="NÃO",IFERROR(VALUE(SUBSTITUTE(_xlfn.TEXTAFTER('Banco de Dados'!$F749,"BRL ",1),".",",")),0),0),0)</f>
        <v>0</v>
      </c>
      <c r="AQ749" s="28">
        <f ca="1">SUM('Banco de Dados'!$AM749:$AP749)</f>
        <v>0</v>
      </c>
      <c r="AR749" s="8"/>
      <c r="AS749" s="8"/>
      <c r="AY749" s="8"/>
    </row>
    <row r="750" spans="1:51">
      <c r="A750" s="5" t="str">
        <v>BV</v>
      </c>
      <c r="B750" s="5" t="str">
        <f ca="1"/>
        <v>BV45667</v>
      </c>
      <c r="C750" s="8" t="str">
        <v>Pedido 737</v>
      </c>
      <c r="D750" s="9">
        <v>45667</v>
      </c>
      <c r="E750" s="9">
        <v>45667</v>
      </c>
      <c r="F750" s="8" t="str">
        <v>PedidoF716</v>
      </c>
      <c r="G750" s="2" t="str">
        <v>CódRastreio714</v>
      </c>
      <c r="H750" s="5">
        <v>1</v>
      </c>
      <c r="I750" s="182" t="str">
        <v>CPF 715</v>
      </c>
      <c r="J750" s="2" t="str">
        <v>Nome 715</v>
      </c>
      <c r="K750" s="8" t="str">
        <v>Tel 715</v>
      </c>
      <c r="L750" s="8" t="str">
        <v>Cep 715</v>
      </c>
      <c r="M750" s="8" t="str">
        <v>Rua 715</v>
      </c>
      <c r="N750" s="8" t="str">
        <v>Comp 715</v>
      </c>
      <c r="O750" s="8" t="str">
        <v>Ventilador Rosa</v>
      </c>
      <c r="P750" s="8" t="str">
        <v>IF-G2ZQ-79FO</v>
      </c>
      <c r="Q750" s="4">
        <v>45688</v>
      </c>
      <c r="R750" s="109">
        <v>46.9</v>
      </c>
      <c r="S750" s="11">
        <f ca="1"/>
        <v>46.9</v>
      </c>
      <c r="T750" s="28">
        <f ca="1"/>
        <v>6.0970000000000004</v>
      </c>
      <c r="U750" s="11">
        <f ca="1"/>
        <v>40.799999999999997</v>
      </c>
      <c r="V750" s="11">
        <v>19.510000000000002</v>
      </c>
      <c r="W750" s="11">
        <f ca="1"/>
        <v>0.21</v>
      </c>
      <c r="X750" s="11">
        <f ca="1"/>
        <v>0.39877104377104378</v>
      </c>
      <c r="Y750" s="11">
        <v>0</v>
      </c>
      <c r="Z750" s="11">
        <f ca="1"/>
        <v>20.681228956228949</v>
      </c>
      <c r="AA750" s="11">
        <f ca="1"/>
        <v>10.340614478114475</v>
      </c>
      <c r="AB750" s="4">
        <f ca="1"/>
        <v>45695</v>
      </c>
      <c r="AC750" s="4">
        <v>45695</v>
      </c>
      <c r="AD750" s="9">
        <v>45699</v>
      </c>
      <c r="AE750" s="9">
        <v>45705</v>
      </c>
      <c r="AF750" s="4" t="str">
        <f t="shared" ca="1" si="29"/>
        <v>2025 02</v>
      </c>
      <c r="AG750" s="8" t="str" cm="1">
        <f t="array" ref="AG750">IFERROR(_xlfn.IFS('Banco de Dados'!#REF!="AG. COMPRA","Em processamento",'Banco de Dados'!#REF!="AG. RASTREIO","Em processamento",'Banco de Dados'!$AE750&lt;&gt;"-","Faturado",'Banco de Dados'!$AD750&lt;&gt;"-","Aguardando Pix",'Banco de Dados'!$AC750&lt;&gt;"-","Pendente"),"Aguardando Liberação")</f>
        <v>Aguardando Liberação</v>
      </c>
      <c r="AH750" s="5" t="str">
        <f>IF('Banco de Dados'!$F750="-",_xlfn.CONCAT(PROPER(TEXT(AK750,"aaaa"))," ",PROPER(TEXT(AK750,"mm"))),_xlfn.CONCAT(PROPER(TEXT(E750,"aaaa"))," ",PROPER(TEXT(E750,"mm"))))</f>
        <v>2025 01</v>
      </c>
      <c r="AI750" s="9" t="str">
        <f ca="1">IF('Banco de Dados'!$AK750&lt;&gt;"-","REEMBOLSO",IFERROR(_xlfn.XLOOKUP(G750,Follow[CODRASTREIO],Follow[STATUS]),"-"))</f>
        <v>ENTREGUE</v>
      </c>
      <c r="AJ750" s="9">
        <f ca="1">IF('Banco de Dados'!$AI750="ENTREGUE",_xlfn.XLOOKUP('Banco de Dados'!$G750,Follow[CODRASTREIO],Follow[DATAATUALIZAÇÃO]),"-")</f>
        <v>45685</v>
      </c>
      <c r="AK750" s="9" t="str">
        <f ca="1"/>
        <v>-</v>
      </c>
      <c r="AL750" s="35"/>
      <c r="AM750" s="109" cm="1">
        <f t="array" aca="1" ref="AM750" ca="1">IF('Banco de Dados'!$AK750&lt;&gt;"-",_xlfn.IFS('Banco de Dados'!$A750="bv",IF('Banco de Dados'!$E750&lt;45641,ROUND(SUM('Banco de Dados'!$R750*_xlfn.XLOOKUP('Banco de Dados'!$P750,Sku!B:B,Sku!#REF!)*20%),2),ROUND(SUM('Banco de Dados'!$R750*_xlfn.XLOOKUP('Banco de Dados'!$P750,Sku!B:B,Sku!H:H)*20%),2)),'Banco de Dados'!$A750="GO",ROUND(_xlfn.XLOOKUP('Banco de Dados'!$P750,Sku!C:C,Sku!H:H),2),'Banco de Dados'!$A750="MEI",ROUND(_xlfn.XLOOKUP('Banco de Dados'!$P750,Sku!D:D,Sku!H:H),2)),0)</f>
        <v>0</v>
      </c>
      <c r="AN750" s="109">
        <f ca="1">IF('Banco de Dados'!$AK750&lt;&gt;"-",IF('Banco de Dados'!$F750&lt;&gt;"-",_xlfn.XLOOKUP(IFERROR(IFERROR(IFERROR(VALUE(SUBSTITUTE(MID(_xlfn.TEXTAFTER('Banco de Dados'!$F750,"Data do Pedido:
",1),1,10),"-","/")),VALUE(SUBSTITUTE(MID(_xlfn.TEXTAFTER('Banco de Dados'!$F750,"Order date:
",1),1,10),"-","/"))),VALUE(SUBSTITUTE(MID(_xlfn.TEXTAFTER('Banco de Dados'!$F750,"Fecha de pedido:
",1),1,10),"-","/"))),"-"),SMS!A:A,SMS!K:K),0),0)</f>
        <v>0</v>
      </c>
      <c r="AO750" s="109">
        <f ca="1">IF('Banco de Dados'!$AK750&lt;&gt;"-",IF('Banco de Dados'!$F750&lt;&gt;"-",IFERROR(_xlfn.XLOOKUP(_xlfn.CONCAT('Banco de Dados'!$A750,IFERROR(IFERROR(VALUE(SUBSTITUTE(MID(_xlfn.TEXTAFTER('Banco de Dados'!$F750,"Data do Pedido:
",1),1,10),"-","/")),VALUE(SUBSTITUTE(MID(_xlfn.TEXTAFTER('Banco de Dados'!$F750,"Order date:
",1),1,10),"-","/"))),0)),ProxyDD[Chave],ProxyDD[Valor por pedido]),PROXY!$P$2),0),0)</f>
        <v>0</v>
      </c>
      <c r="AP750" s="28">
        <f ca="1">IF('Banco de Dados'!$AK750&lt;&gt;"-",IF('Banco de Dados'!$AL750="NÃO",IFERROR(VALUE(SUBSTITUTE(_xlfn.TEXTAFTER('Banco de Dados'!$F750,"BRL ",1),".",",")),0),0),0)</f>
        <v>0</v>
      </c>
      <c r="AQ750" s="28">
        <f ca="1">SUM('Banco de Dados'!$AM750:$AP750)</f>
        <v>0</v>
      </c>
      <c r="AR750" s="8"/>
      <c r="AS750" s="8"/>
      <c r="AY750" s="8"/>
    </row>
    <row r="751" spans="1:51">
      <c r="A751" s="5" t="str">
        <v>BV</v>
      </c>
      <c r="B751" s="5" t="str">
        <f ca="1"/>
        <v>BV45667</v>
      </c>
      <c r="C751" s="8" t="str">
        <v>Pedido 738</v>
      </c>
      <c r="D751" s="9">
        <v>45667</v>
      </c>
      <c r="E751" s="9">
        <v>45667</v>
      </c>
      <c r="F751" s="8" t="str">
        <v>PedidoF717</v>
      </c>
      <c r="G751" s="2" t="str">
        <v>CódRastreio715</v>
      </c>
      <c r="H751" s="5">
        <v>1</v>
      </c>
      <c r="I751" s="182" t="str">
        <v>CPF 716</v>
      </c>
      <c r="J751" s="2" t="str">
        <v>Nome 716</v>
      </c>
      <c r="K751" s="8" t="str">
        <v>Tel 716</v>
      </c>
      <c r="L751" s="8" t="str">
        <v>Cep 716</v>
      </c>
      <c r="M751" s="8" t="str">
        <v>Rua 716</v>
      </c>
      <c r="N751" s="8" t="str">
        <v>Comp 716</v>
      </c>
      <c r="O751" s="8" t="str">
        <v>Adaptador Bluetooph</v>
      </c>
      <c r="P751" s="8" t="str">
        <v>YA-AG3H-SPUK</v>
      </c>
      <c r="Q751" s="4">
        <v>45685</v>
      </c>
      <c r="R751" s="109">
        <v>21.99</v>
      </c>
      <c r="S751" s="11">
        <f ca="1"/>
        <v>21.99</v>
      </c>
      <c r="T751" s="28">
        <f ca="1"/>
        <v>2.6387999999999998</v>
      </c>
      <c r="U751" s="11">
        <f ca="1"/>
        <v>19.350000000000001</v>
      </c>
      <c r="V751" s="11">
        <v>11.72</v>
      </c>
      <c r="W751" s="11">
        <f ca="1"/>
        <v>0.21</v>
      </c>
      <c r="X751" s="11">
        <f ca="1"/>
        <v>0.39877104377104378</v>
      </c>
      <c r="Y751" s="11">
        <v>0</v>
      </c>
      <c r="Z751" s="11">
        <f ca="1"/>
        <v>7.0212289562289563</v>
      </c>
      <c r="AA751" s="11">
        <f ca="1"/>
        <v>3.5106144781144781</v>
      </c>
      <c r="AB751" s="4">
        <f ca="1"/>
        <v>45692</v>
      </c>
      <c r="AC751" s="4">
        <v>45692</v>
      </c>
      <c r="AD751" s="9">
        <v>45693</v>
      </c>
      <c r="AE751" s="9">
        <v>45705</v>
      </c>
      <c r="AF751" s="4" t="str">
        <f t="shared" ca="1" si="29"/>
        <v>2025 02</v>
      </c>
      <c r="AG751" s="8" t="str" cm="1">
        <f t="array" ref="AG751">IFERROR(_xlfn.IFS('Banco de Dados'!#REF!="AG. COMPRA","Em processamento",'Banco de Dados'!#REF!="AG. RASTREIO","Em processamento",'Banco de Dados'!$AE751&lt;&gt;"-","Faturado",'Banco de Dados'!$AD751&lt;&gt;"-","Aguardando Pix",'Banco de Dados'!$AC751&lt;&gt;"-","Pendente"),"Aguardando Liberação")</f>
        <v>Aguardando Liberação</v>
      </c>
      <c r="AH751" s="5" t="str">
        <f>IF('Banco de Dados'!$F751="-",_xlfn.CONCAT(PROPER(TEXT(AK751,"aaaa"))," ",PROPER(TEXT(AK751,"mm"))),_xlfn.CONCAT(PROPER(TEXT(E751,"aaaa"))," ",PROPER(TEXT(E751,"mm"))))</f>
        <v>2025 01</v>
      </c>
      <c r="AI751" s="9" t="str">
        <f ca="1">IF('Banco de Dados'!$AK751&lt;&gt;"-","REEMBOLSO",IFERROR(_xlfn.XLOOKUP(G751,Follow[CODRASTREIO],Follow[STATUS]),"-"))</f>
        <v>ENTREGUE</v>
      </c>
      <c r="AJ751" s="9">
        <f ca="1">IF('Banco de Dados'!$AI751="ENTREGUE",_xlfn.XLOOKUP('Banco de Dados'!$G751,Follow[CODRASTREIO],Follow[DATAATUALIZAÇÃO]),"-")</f>
        <v>45693</v>
      </c>
      <c r="AK751" s="9" t="str">
        <f ca="1"/>
        <v>-</v>
      </c>
      <c r="AL751" s="35"/>
      <c r="AM751" s="109" cm="1">
        <f t="array" aca="1" ref="AM751" ca="1">IF('Banco de Dados'!$AK751&lt;&gt;"-",_xlfn.IFS('Banco de Dados'!$A751="bv",IF('Banco de Dados'!$E751&lt;45641,ROUND(SUM('Banco de Dados'!$R751*_xlfn.XLOOKUP('Banco de Dados'!$P751,Sku!B:B,Sku!#REF!)*20%),2),ROUND(SUM('Banco de Dados'!$R751*_xlfn.XLOOKUP('Banco de Dados'!$P751,Sku!B:B,Sku!H:H)*20%),2)),'Banco de Dados'!$A751="GO",ROUND(_xlfn.XLOOKUP('Banco de Dados'!$P751,Sku!C:C,Sku!H:H),2),'Banco de Dados'!$A751="MEI",ROUND(_xlfn.XLOOKUP('Banco de Dados'!$P751,Sku!D:D,Sku!H:H),2)),0)</f>
        <v>0</v>
      </c>
      <c r="AN751" s="109">
        <f ca="1">IF('Banco de Dados'!$AK751&lt;&gt;"-",IF('Banco de Dados'!$F751&lt;&gt;"-",_xlfn.XLOOKUP(IFERROR(IFERROR(IFERROR(VALUE(SUBSTITUTE(MID(_xlfn.TEXTAFTER('Banco de Dados'!$F751,"Data do Pedido:
",1),1,10),"-","/")),VALUE(SUBSTITUTE(MID(_xlfn.TEXTAFTER('Banco de Dados'!$F751,"Order date:
",1),1,10),"-","/"))),VALUE(SUBSTITUTE(MID(_xlfn.TEXTAFTER('Banco de Dados'!$F751,"Fecha de pedido:
",1),1,10),"-","/"))),"-"),SMS!A:A,SMS!K:K),0),0)</f>
        <v>0</v>
      </c>
      <c r="AO751" s="109">
        <f ca="1">IF('Banco de Dados'!$AK751&lt;&gt;"-",IF('Banco de Dados'!$F751&lt;&gt;"-",IFERROR(_xlfn.XLOOKUP(_xlfn.CONCAT('Banco de Dados'!$A751,IFERROR(IFERROR(VALUE(SUBSTITUTE(MID(_xlfn.TEXTAFTER('Banco de Dados'!$F751,"Data do Pedido:
",1),1,10),"-","/")),VALUE(SUBSTITUTE(MID(_xlfn.TEXTAFTER('Banco de Dados'!$F751,"Order date:
",1),1,10),"-","/"))),0)),ProxyDD[Chave],ProxyDD[Valor por pedido]),PROXY!$P$2),0),0)</f>
        <v>0</v>
      </c>
      <c r="AP751" s="28">
        <f ca="1">IF('Banco de Dados'!$AK751&lt;&gt;"-",IF('Banco de Dados'!$AL751="NÃO",IFERROR(VALUE(SUBSTITUTE(_xlfn.TEXTAFTER('Banco de Dados'!$F751,"BRL ",1),".",",")),0),0),0)</f>
        <v>0</v>
      </c>
      <c r="AQ751" s="28">
        <f ca="1">SUM('Banco de Dados'!$AM751:$AP751)</f>
        <v>0</v>
      </c>
      <c r="AR751" s="8"/>
      <c r="AS751" s="8"/>
      <c r="AY751" s="8"/>
    </row>
    <row r="752" spans="1:51">
      <c r="A752" s="5" t="str">
        <v>BV</v>
      </c>
      <c r="B752" s="5" t="str">
        <f ca="1"/>
        <v>BV45667</v>
      </c>
      <c r="C752" s="8" t="str">
        <v>Pedido 739</v>
      </c>
      <c r="D752" s="9">
        <v>45667</v>
      </c>
      <c r="E752" s="9">
        <v>45667</v>
      </c>
      <c r="F752" s="8" t="str">
        <v>PedidoF718</v>
      </c>
      <c r="G752" s="2" t="str">
        <v>CódRastreio716</v>
      </c>
      <c r="H752" s="5">
        <v>1</v>
      </c>
      <c r="I752" s="182" t="str">
        <v>CPF 717</v>
      </c>
      <c r="J752" s="2" t="str">
        <v>Nome 717</v>
      </c>
      <c r="K752" s="8" t="str">
        <v>Tel 717</v>
      </c>
      <c r="L752" s="8" t="str">
        <v>Cep 717</v>
      </c>
      <c r="M752" s="8" t="str">
        <v>Rua 717</v>
      </c>
      <c r="N752" s="8" t="str">
        <v>Comp 717</v>
      </c>
      <c r="O752" s="8" t="str">
        <v>Ventilador Rosa</v>
      </c>
      <c r="P752" s="8" t="str">
        <v>IF-G2ZQ-79FO</v>
      </c>
      <c r="Q752" s="4">
        <v>45689</v>
      </c>
      <c r="R752" s="109">
        <v>46.9</v>
      </c>
      <c r="S752" s="11">
        <f ca="1"/>
        <v>46.9</v>
      </c>
      <c r="T752" s="28">
        <f ca="1"/>
        <v>6.0970000000000004</v>
      </c>
      <c r="U752" s="11">
        <f ca="1"/>
        <v>40.799999999999997</v>
      </c>
      <c r="V752" s="11">
        <v>19.190000000000001</v>
      </c>
      <c r="W752" s="11">
        <f ca="1"/>
        <v>0.21</v>
      </c>
      <c r="X752" s="11">
        <f ca="1"/>
        <v>0.39877104377104378</v>
      </c>
      <c r="Y752" s="11">
        <v>0</v>
      </c>
      <c r="Z752" s="11">
        <f ca="1"/>
        <v>21.00122895622895</v>
      </c>
      <c r="AA752" s="11">
        <f ca="1"/>
        <v>10.500614478114475</v>
      </c>
      <c r="AB752" s="4">
        <f ca="1"/>
        <v>45696</v>
      </c>
      <c r="AC752" s="4">
        <v>45696</v>
      </c>
      <c r="AD752" s="9">
        <v>45699</v>
      </c>
      <c r="AE752" s="9">
        <v>45705</v>
      </c>
      <c r="AF752" s="4" t="str">
        <f t="shared" ca="1" si="29"/>
        <v>2025 02</v>
      </c>
      <c r="AG752" s="8" t="str" cm="1">
        <f t="array" ref="AG752">IFERROR(_xlfn.IFS('Banco de Dados'!#REF!="AG. COMPRA","Em processamento",'Banco de Dados'!#REF!="AG. RASTREIO","Em processamento",'Banco de Dados'!$AE752&lt;&gt;"-","Faturado",'Banco de Dados'!$AD752&lt;&gt;"-","Aguardando Pix",'Banco de Dados'!$AC752&lt;&gt;"-","Pendente"),"Aguardando Liberação")</f>
        <v>Aguardando Liberação</v>
      </c>
      <c r="AH752" s="5" t="str">
        <f>IF('Banco de Dados'!$F752="-",_xlfn.CONCAT(PROPER(TEXT(AK752,"aaaa"))," ",PROPER(TEXT(AK752,"mm"))),_xlfn.CONCAT(PROPER(TEXT(E752,"aaaa"))," ",PROPER(TEXT(E752,"mm"))))</f>
        <v>2025 01</v>
      </c>
      <c r="AI752" s="9" t="str">
        <f ca="1">IF('Banco de Dados'!$AK752&lt;&gt;"-","REEMBOLSO",IFERROR(_xlfn.XLOOKUP(G752,Follow[CODRASTREIO],Follow[STATUS]),"-"))</f>
        <v>ENTREGUE</v>
      </c>
      <c r="AJ752" s="9">
        <f ca="1">IF('Banco de Dados'!$AI752="ENTREGUE",_xlfn.XLOOKUP('Banco de Dados'!$G752,Follow[CODRASTREIO],Follow[DATAATUALIZAÇÃO]),"-")</f>
        <v>45684</v>
      </c>
      <c r="AK752" s="9" t="str">
        <f ca="1"/>
        <v>-</v>
      </c>
      <c r="AL752" s="35"/>
      <c r="AM752" s="109" cm="1">
        <f t="array" aca="1" ref="AM752" ca="1">IF('Banco de Dados'!$AK752&lt;&gt;"-",_xlfn.IFS('Banco de Dados'!$A752="bv",IF('Banco de Dados'!$E752&lt;45641,ROUND(SUM('Banco de Dados'!$R752*_xlfn.XLOOKUP('Banco de Dados'!$P752,Sku!B:B,Sku!#REF!)*20%),2),ROUND(SUM('Banco de Dados'!$R752*_xlfn.XLOOKUP('Banco de Dados'!$P752,Sku!B:B,Sku!H:H)*20%),2)),'Banco de Dados'!$A752="GO",ROUND(_xlfn.XLOOKUP('Banco de Dados'!$P752,Sku!C:C,Sku!H:H),2),'Banco de Dados'!$A752="MEI",ROUND(_xlfn.XLOOKUP('Banco de Dados'!$P752,Sku!D:D,Sku!H:H),2)),0)</f>
        <v>0</v>
      </c>
      <c r="AN752" s="109">
        <f ca="1">IF('Banco de Dados'!$AK752&lt;&gt;"-",IF('Banco de Dados'!$F752&lt;&gt;"-",_xlfn.XLOOKUP(IFERROR(IFERROR(IFERROR(VALUE(SUBSTITUTE(MID(_xlfn.TEXTAFTER('Banco de Dados'!$F752,"Data do Pedido:
",1),1,10),"-","/")),VALUE(SUBSTITUTE(MID(_xlfn.TEXTAFTER('Banco de Dados'!$F752,"Order date:
",1),1,10),"-","/"))),VALUE(SUBSTITUTE(MID(_xlfn.TEXTAFTER('Banco de Dados'!$F752,"Fecha de pedido:
",1),1,10),"-","/"))),"-"),SMS!A:A,SMS!K:K),0),0)</f>
        <v>0</v>
      </c>
      <c r="AO752" s="109">
        <f ca="1">IF('Banco de Dados'!$AK752&lt;&gt;"-",IF('Banco de Dados'!$F752&lt;&gt;"-",IFERROR(_xlfn.XLOOKUP(_xlfn.CONCAT('Banco de Dados'!$A752,IFERROR(IFERROR(VALUE(SUBSTITUTE(MID(_xlfn.TEXTAFTER('Banco de Dados'!$F752,"Data do Pedido:
",1),1,10),"-","/")),VALUE(SUBSTITUTE(MID(_xlfn.TEXTAFTER('Banco de Dados'!$F752,"Order date:
",1),1,10),"-","/"))),0)),ProxyDD[Chave],ProxyDD[Valor por pedido]),PROXY!$P$2),0),0)</f>
        <v>0</v>
      </c>
      <c r="AP752" s="28">
        <f ca="1">IF('Banco de Dados'!$AK752&lt;&gt;"-",IF('Banco de Dados'!$AL752="NÃO",IFERROR(VALUE(SUBSTITUTE(_xlfn.TEXTAFTER('Banco de Dados'!$F752,"BRL ",1),".",",")),0),0),0)</f>
        <v>0</v>
      </c>
      <c r="AQ752" s="28">
        <f ca="1">SUM('Banco de Dados'!$AM752:$AP752)</f>
        <v>0</v>
      </c>
      <c r="AR752" s="8"/>
      <c r="AS752" s="8"/>
      <c r="AY752" s="8"/>
    </row>
    <row r="753" spans="1:51">
      <c r="A753" s="5" t="str">
        <v>BV</v>
      </c>
      <c r="B753" s="5" t="str">
        <f ca="1"/>
        <v>BV45667</v>
      </c>
      <c r="C753" s="8" t="str">
        <v>Pedido 740</v>
      </c>
      <c r="D753" s="9">
        <v>45667</v>
      </c>
      <c r="E753" s="9">
        <v>45667</v>
      </c>
      <c r="F753" s="8" t="str">
        <v>PedidoF719</v>
      </c>
      <c r="G753" s="2" t="str">
        <v>CódRastreio717</v>
      </c>
      <c r="H753" s="5">
        <v>1</v>
      </c>
      <c r="I753" s="182" t="str">
        <v>CPF 718</v>
      </c>
      <c r="J753" s="2" t="str">
        <v>Nome 718</v>
      </c>
      <c r="K753" s="8" t="str">
        <v>Tel 718</v>
      </c>
      <c r="L753" s="8" t="str">
        <v>Cep 718</v>
      </c>
      <c r="M753" s="8" t="str">
        <v>Rua 718</v>
      </c>
      <c r="N753" s="8" t="str">
        <v>Comp 718</v>
      </c>
      <c r="O753" s="8" t="str">
        <v>Ventilador Preto</v>
      </c>
      <c r="P753" s="8" t="str">
        <v>MU-J80P-95WF</v>
      </c>
      <c r="Q753" s="4">
        <v>45689</v>
      </c>
      <c r="R753" s="109">
        <v>65.599999999999994</v>
      </c>
      <c r="S753" s="11">
        <f ca="1"/>
        <v>65.599999999999994</v>
      </c>
      <c r="T753" s="28">
        <f ca="1"/>
        <v>8.5279999999999987</v>
      </c>
      <c r="U753" s="11">
        <f ca="1"/>
        <v>57.07</v>
      </c>
      <c r="V753" s="11">
        <v>19.64</v>
      </c>
      <c r="W753" s="11">
        <f ca="1"/>
        <v>0.21</v>
      </c>
      <c r="X753" s="11">
        <f ca="1"/>
        <v>0.39877104377104378</v>
      </c>
      <c r="Y753" s="11">
        <v>0</v>
      </c>
      <c r="Z753" s="11">
        <f ca="1"/>
        <v>36.82122895622895</v>
      </c>
      <c r="AA753" s="11">
        <f ca="1"/>
        <v>18.410614478114475</v>
      </c>
      <c r="AB753" s="4">
        <f ca="1"/>
        <v>45696</v>
      </c>
      <c r="AC753" s="4">
        <v>45696</v>
      </c>
      <c r="AD753" s="9">
        <v>45699</v>
      </c>
      <c r="AE753" s="9">
        <v>45705</v>
      </c>
      <c r="AF753" s="4" t="str">
        <f t="shared" ca="1" si="29"/>
        <v>2025 02</v>
      </c>
      <c r="AG753" s="8" t="str" cm="1">
        <f t="array" ref="AG753">IFERROR(_xlfn.IFS('Banco de Dados'!#REF!="AG. COMPRA","Em processamento",'Banco de Dados'!#REF!="AG. RASTREIO","Em processamento",'Banco de Dados'!$AE753&lt;&gt;"-","Faturado",'Banco de Dados'!$AD753&lt;&gt;"-","Aguardando Pix",'Banco de Dados'!$AC753&lt;&gt;"-","Pendente"),"Aguardando Liberação")</f>
        <v>Aguardando Liberação</v>
      </c>
      <c r="AH753" s="5" t="str">
        <f>IF('Banco de Dados'!$F753="-",_xlfn.CONCAT(PROPER(TEXT(AK753,"aaaa"))," ",PROPER(TEXT(AK753,"mm"))),_xlfn.CONCAT(PROPER(TEXT(E753,"aaaa"))," ",PROPER(TEXT(E753,"mm"))))</f>
        <v>2025 01</v>
      </c>
      <c r="AI753" s="9" t="str">
        <f ca="1">IF('Banco de Dados'!$AK753&lt;&gt;"-","REEMBOLSO",IFERROR(_xlfn.XLOOKUP(G753,Follow[CODRASTREIO],Follow[STATUS]),"-"))</f>
        <v>ENTREGUE</v>
      </c>
      <c r="AJ753" s="9">
        <f ca="1">IF('Banco de Dados'!$AI753="ENTREGUE",_xlfn.XLOOKUP('Banco de Dados'!$G753,Follow[CODRASTREIO],Follow[DATAATUALIZAÇÃO]),"-")</f>
        <v>45682</v>
      </c>
      <c r="AK753" s="9" t="str">
        <f ca="1"/>
        <v>-</v>
      </c>
      <c r="AL753" s="35"/>
      <c r="AM753" s="109" cm="1">
        <f t="array" aca="1" ref="AM753" ca="1">IF('Banco de Dados'!$AK753&lt;&gt;"-",_xlfn.IFS('Banco de Dados'!$A753="bv",IF('Banco de Dados'!$E753&lt;45641,ROUND(SUM('Banco de Dados'!$R753*_xlfn.XLOOKUP('Banco de Dados'!$P753,Sku!B:B,Sku!#REF!)*20%),2),ROUND(SUM('Banco de Dados'!$R753*_xlfn.XLOOKUP('Banco de Dados'!$P753,Sku!B:B,Sku!H:H)*20%),2)),'Banco de Dados'!$A753="GO",ROUND(_xlfn.XLOOKUP('Banco de Dados'!$P753,Sku!C:C,Sku!H:H),2),'Banco de Dados'!$A753="MEI",ROUND(_xlfn.XLOOKUP('Banco de Dados'!$P753,Sku!D:D,Sku!H:H),2)),0)</f>
        <v>0</v>
      </c>
      <c r="AN753" s="109">
        <f ca="1">IF('Banco de Dados'!$AK753&lt;&gt;"-",IF('Banco de Dados'!$F753&lt;&gt;"-",_xlfn.XLOOKUP(IFERROR(IFERROR(IFERROR(VALUE(SUBSTITUTE(MID(_xlfn.TEXTAFTER('Banco de Dados'!$F753,"Data do Pedido:
",1),1,10),"-","/")),VALUE(SUBSTITUTE(MID(_xlfn.TEXTAFTER('Banco de Dados'!$F753,"Order date:
",1),1,10),"-","/"))),VALUE(SUBSTITUTE(MID(_xlfn.TEXTAFTER('Banco de Dados'!$F753,"Fecha de pedido:
",1),1,10),"-","/"))),"-"),SMS!A:A,SMS!K:K),0),0)</f>
        <v>0</v>
      </c>
      <c r="AO753" s="109">
        <f ca="1">IF('Banco de Dados'!$AK753&lt;&gt;"-",IF('Banco de Dados'!$F753&lt;&gt;"-",IFERROR(_xlfn.XLOOKUP(_xlfn.CONCAT('Banco de Dados'!$A753,IFERROR(IFERROR(VALUE(SUBSTITUTE(MID(_xlfn.TEXTAFTER('Banco de Dados'!$F753,"Data do Pedido:
",1),1,10),"-","/")),VALUE(SUBSTITUTE(MID(_xlfn.TEXTAFTER('Banco de Dados'!$F753,"Order date:
",1),1,10),"-","/"))),0)),ProxyDD[Chave],ProxyDD[Valor por pedido]),PROXY!$P$2),0),0)</f>
        <v>0</v>
      </c>
      <c r="AP753" s="28">
        <f ca="1">IF('Banco de Dados'!$AK753&lt;&gt;"-",IF('Banco de Dados'!$AL753="NÃO",IFERROR(VALUE(SUBSTITUTE(_xlfn.TEXTAFTER('Banco de Dados'!$F753,"BRL ",1),".",",")),0),0),0)</f>
        <v>0</v>
      </c>
      <c r="AQ753" s="28">
        <f ca="1">SUM('Banco de Dados'!$AM753:$AP753)</f>
        <v>0</v>
      </c>
      <c r="AR753" s="8"/>
      <c r="AS753" s="8"/>
      <c r="AY753" s="8"/>
    </row>
    <row r="754" spans="1:51">
      <c r="A754" s="5" t="str">
        <v>BV</v>
      </c>
      <c r="B754" s="5" t="str">
        <f ca="1"/>
        <v>BV45667</v>
      </c>
      <c r="C754" s="8" t="str">
        <v>Pedido 741</v>
      </c>
      <c r="D754" s="9">
        <v>45667</v>
      </c>
      <c r="E754" s="9">
        <v>45667</v>
      </c>
      <c r="F754" s="8" t="str">
        <v>PedidoF720</v>
      </c>
      <c r="G754" s="2" t="str">
        <v>CódRastreio718</v>
      </c>
      <c r="H754" s="5">
        <v>1</v>
      </c>
      <c r="I754" s="182" t="str">
        <v>CPF 719</v>
      </c>
      <c r="J754" s="2" t="str">
        <v>Nome 719</v>
      </c>
      <c r="K754" s="8" t="str">
        <v>Tel 719</v>
      </c>
      <c r="L754" s="8" t="str">
        <v>Cep 719</v>
      </c>
      <c r="M754" s="8" t="str">
        <v>Rua 719</v>
      </c>
      <c r="N754" s="8" t="str">
        <v>Comp 719</v>
      </c>
      <c r="O754" s="8" t="str">
        <v>Ventilador Rosa</v>
      </c>
      <c r="P754" s="8" t="str">
        <v>IF-G2ZQ-79FO</v>
      </c>
      <c r="Q754" s="4">
        <v>45689</v>
      </c>
      <c r="R754" s="109">
        <v>46.9</v>
      </c>
      <c r="S754" s="11">
        <f ca="1"/>
        <v>46.9</v>
      </c>
      <c r="T754" s="28">
        <f ca="1"/>
        <v>6.0970000000000004</v>
      </c>
      <c r="U754" s="11">
        <f ca="1"/>
        <v>40.799999999999997</v>
      </c>
      <c r="V754" s="11">
        <v>19.510000000000002</v>
      </c>
      <c r="W754" s="11">
        <f ca="1"/>
        <v>0.21</v>
      </c>
      <c r="X754" s="11">
        <f ca="1"/>
        <v>0.39877104377104378</v>
      </c>
      <c r="Y754" s="11">
        <v>0</v>
      </c>
      <c r="Z754" s="11">
        <f ca="1"/>
        <v>20.681228956228949</v>
      </c>
      <c r="AA754" s="11">
        <f ca="1"/>
        <v>10.340614478114475</v>
      </c>
      <c r="AB754" s="4">
        <f ca="1"/>
        <v>45696</v>
      </c>
      <c r="AC754" s="4">
        <v>45696</v>
      </c>
      <c r="AD754" s="9">
        <v>45699</v>
      </c>
      <c r="AE754" s="9">
        <v>45705</v>
      </c>
      <c r="AF754" s="4" t="str">
        <f t="shared" ca="1" si="29"/>
        <v>2025 02</v>
      </c>
      <c r="AG754" s="8" t="str" cm="1">
        <f t="array" ref="AG754">IFERROR(_xlfn.IFS('Banco de Dados'!#REF!="AG. COMPRA","Em processamento",'Banco de Dados'!#REF!="AG. RASTREIO","Em processamento",'Banco de Dados'!$AE754&lt;&gt;"-","Faturado",'Banco de Dados'!$AD754&lt;&gt;"-","Aguardando Pix",'Banco de Dados'!$AC754&lt;&gt;"-","Pendente"),"Aguardando Liberação")</f>
        <v>Aguardando Liberação</v>
      </c>
      <c r="AH754" s="5" t="str">
        <f>IF('Banco de Dados'!$F754="-",_xlfn.CONCAT(PROPER(TEXT(AK754,"aaaa"))," ",PROPER(TEXT(AK754,"mm"))),_xlfn.CONCAT(PROPER(TEXT(E754,"aaaa"))," ",PROPER(TEXT(E754,"mm"))))</f>
        <v>2025 01</v>
      </c>
      <c r="AI754" s="9" t="str">
        <f ca="1">IF('Banco de Dados'!$AK754&lt;&gt;"-","REEMBOLSO",IFERROR(_xlfn.XLOOKUP(G754,Follow[CODRASTREIO],Follow[STATUS]),"-"))</f>
        <v>ENTREGUE</v>
      </c>
      <c r="AJ754" s="9">
        <f ca="1">IF('Banco de Dados'!$AI754="ENTREGUE",_xlfn.XLOOKUP('Banco de Dados'!$G754,Follow[CODRASTREIO],Follow[DATAATUALIZAÇÃO]),"-")</f>
        <v>45686</v>
      </c>
      <c r="AK754" s="9" t="str">
        <f ca="1"/>
        <v>-</v>
      </c>
      <c r="AL754" s="35"/>
      <c r="AM754" s="109" cm="1">
        <f t="array" aca="1" ref="AM754" ca="1">IF('Banco de Dados'!$AK754&lt;&gt;"-",_xlfn.IFS('Banco de Dados'!$A754="bv",IF('Banco de Dados'!$E754&lt;45641,ROUND(SUM('Banco de Dados'!$R754*_xlfn.XLOOKUP('Banco de Dados'!$P754,Sku!B:B,Sku!#REF!)*20%),2),ROUND(SUM('Banco de Dados'!$R754*_xlfn.XLOOKUP('Banco de Dados'!$P754,Sku!B:B,Sku!H:H)*20%),2)),'Banco de Dados'!$A754="GO",ROUND(_xlfn.XLOOKUP('Banco de Dados'!$P754,Sku!C:C,Sku!H:H),2),'Banco de Dados'!$A754="MEI",ROUND(_xlfn.XLOOKUP('Banco de Dados'!$P754,Sku!D:D,Sku!H:H),2)),0)</f>
        <v>0</v>
      </c>
      <c r="AN754" s="109">
        <f ca="1">IF('Banco de Dados'!$AK754&lt;&gt;"-",IF('Banco de Dados'!$F754&lt;&gt;"-",_xlfn.XLOOKUP(IFERROR(IFERROR(IFERROR(VALUE(SUBSTITUTE(MID(_xlfn.TEXTAFTER('Banco de Dados'!$F754,"Data do Pedido:
",1),1,10),"-","/")),VALUE(SUBSTITUTE(MID(_xlfn.TEXTAFTER('Banco de Dados'!$F754,"Order date:
",1),1,10),"-","/"))),VALUE(SUBSTITUTE(MID(_xlfn.TEXTAFTER('Banco de Dados'!$F754,"Fecha de pedido:
",1),1,10),"-","/"))),"-"),SMS!A:A,SMS!K:K),0),0)</f>
        <v>0</v>
      </c>
      <c r="AO754" s="109">
        <f ca="1">IF('Banco de Dados'!$AK754&lt;&gt;"-",IF('Banco de Dados'!$F754&lt;&gt;"-",IFERROR(_xlfn.XLOOKUP(_xlfn.CONCAT('Banco de Dados'!$A754,IFERROR(IFERROR(VALUE(SUBSTITUTE(MID(_xlfn.TEXTAFTER('Banco de Dados'!$F754,"Data do Pedido:
",1),1,10),"-","/")),VALUE(SUBSTITUTE(MID(_xlfn.TEXTAFTER('Banco de Dados'!$F754,"Order date:
",1),1,10),"-","/"))),0)),ProxyDD[Chave],ProxyDD[Valor por pedido]),PROXY!$P$2),0),0)</f>
        <v>0</v>
      </c>
      <c r="AP754" s="28">
        <f ca="1">IF('Banco de Dados'!$AK754&lt;&gt;"-",IF('Banco de Dados'!$AL754="NÃO",IFERROR(VALUE(SUBSTITUTE(_xlfn.TEXTAFTER('Banco de Dados'!$F754,"BRL ",1),".",",")),0),0),0)</f>
        <v>0</v>
      </c>
      <c r="AQ754" s="28">
        <f ca="1">SUM('Banco de Dados'!$AM754:$AP754)</f>
        <v>0</v>
      </c>
      <c r="AR754" s="8"/>
      <c r="AS754" s="8"/>
      <c r="AY754" s="8"/>
    </row>
    <row r="755" spans="1:51">
      <c r="A755" s="5" t="str">
        <v>BV</v>
      </c>
      <c r="B755" s="5" t="str">
        <f ca="1"/>
        <v>BV45667</v>
      </c>
      <c r="C755" s="8" t="str">
        <v>Pedido 742</v>
      </c>
      <c r="D755" s="9">
        <v>45667</v>
      </c>
      <c r="E755" s="9">
        <v>45667</v>
      </c>
      <c r="F755" s="8" t="str">
        <v>PedidoF721</v>
      </c>
      <c r="G755" s="2" t="str">
        <v>CódRastreio719</v>
      </c>
      <c r="H755" s="5">
        <v>1</v>
      </c>
      <c r="I755" s="182" t="str">
        <v>CPF 720</v>
      </c>
      <c r="J755" s="2" t="str">
        <v>Nome 720</v>
      </c>
      <c r="K755" s="8" t="str">
        <v>Tel 720</v>
      </c>
      <c r="L755" s="8" t="str">
        <v>Cep 720</v>
      </c>
      <c r="M755" s="8" t="str">
        <v>Rua 720</v>
      </c>
      <c r="N755" s="8" t="str">
        <v>Comp 720</v>
      </c>
      <c r="O755" s="8" t="str">
        <v>Copo Termico</v>
      </c>
      <c r="P755" s="8" t="str">
        <v>KN-TBQL-K2MM</v>
      </c>
      <c r="Q755" s="4">
        <v>45679</v>
      </c>
      <c r="R755" s="109">
        <v>27.99</v>
      </c>
      <c r="S755" s="11">
        <f ca="1"/>
        <v>27.99</v>
      </c>
      <c r="T755" s="28">
        <f ca="1"/>
        <v>3.6387</v>
      </c>
      <c r="U755" s="11">
        <f ca="1"/>
        <v>24.35</v>
      </c>
      <c r="V755" s="11">
        <v>9.1999999999999993</v>
      </c>
      <c r="W755" s="11">
        <f ca="1"/>
        <v>0.21</v>
      </c>
      <c r="X755" s="11">
        <f ca="1"/>
        <v>0.39877104377104378</v>
      </c>
      <c r="Y755" s="11">
        <v>0</v>
      </c>
      <c r="Z755" s="11">
        <f ca="1"/>
        <v>14.541228956228958</v>
      </c>
      <c r="AA755" s="11">
        <f ca="1"/>
        <v>7.2706144781144788</v>
      </c>
      <c r="AB755" s="4">
        <f ca="1"/>
        <v>45686</v>
      </c>
      <c r="AC755" s="4">
        <v>45686</v>
      </c>
      <c r="AD755" s="9">
        <v>45688</v>
      </c>
      <c r="AE755" s="9">
        <v>45694</v>
      </c>
      <c r="AF755" s="4" t="str">
        <f t="shared" ca="1" si="29"/>
        <v>2025 01</v>
      </c>
      <c r="AG755" s="8" t="str" cm="1">
        <f t="array" ref="AG755">IFERROR(_xlfn.IFS('Banco de Dados'!#REF!="AG. COMPRA","Em processamento",'Banco de Dados'!#REF!="AG. RASTREIO","Em processamento",'Banco de Dados'!$AE755&lt;&gt;"-","Faturado",'Banco de Dados'!$AD755&lt;&gt;"-","Aguardando Pix",'Banco de Dados'!$AC755&lt;&gt;"-","Pendente"),"Aguardando Liberação")</f>
        <v>Aguardando Liberação</v>
      </c>
      <c r="AH755" s="5" t="str">
        <f>IF('Banco de Dados'!$F755="-",_xlfn.CONCAT(PROPER(TEXT(AK755,"aaaa"))," ",PROPER(TEXT(AK755,"mm"))),_xlfn.CONCAT(PROPER(TEXT(E755,"aaaa"))," ",PROPER(TEXT(E755,"mm"))))</f>
        <v>2025 01</v>
      </c>
      <c r="AI755" s="9" t="str">
        <f ca="1">IF('Banco de Dados'!$AK755&lt;&gt;"-","REEMBOLSO",IFERROR(_xlfn.XLOOKUP(G755,Follow[CODRASTREIO],Follow[STATUS]),"-"))</f>
        <v>ENTREGUE</v>
      </c>
      <c r="AJ755" s="9">
        <f ca="1">IF('Banco de Dados'!$AI755="ENTREGUE",_xlfn.XLOOKUP('Banco de Dados'!$G755,Follow[CODRASTREIO],Follow[DATAATUALIZAÇÃO]),"-")</f>
        <v>45671</v>
      </c>
      <c r="AK755" s="9" t="str">
        <f ca="1"/>
        <v>-</v>
      </c>
      <c r="AL755" s="35"/>
      <c r="AM755" s="109" cm="1">
        <f t="array" aca="1" ref="AM755" ca="1">IF('Banco de Dados'!$AK755&lt;&gt;"-",_xlfn.IFS('Banco de Dados'!$A755="bv",IF('Banco de Dados'!$E755&lt;45641,ROUND(SUM('Banco de Dados'!$R755*_xlfn.XLOOKUP('Banco de Dados'!$P755,Sku!B:B,Sku!#REF!)*20%),2),ROUND(SUM('Banco de Dados'!$R755*_xlfn.XLOOKUP('Banco de Dados'!$P755,Sku!B:B,Sku!H:H)*20%),2)),'Banco de Dados'!$A755="GO",ROUND(_xlfn.XLOOKUP('Banco de Dados'!$P755,Sku!C:C,Sku!H:H),2),'Banco de Dados'!$A755="MEI",ROUND(_xlfn.XLOOKUP('Banco de Dados'!$P755,Sku!D:D,Sku!H:H),2)),0)</f>
        <v>0</v>
      </c>
      <c r="AN755" s="109">
        <f ca="1">IF('Banco de Dados'!$AK755&lt;&gt;"-",IF('Banco de Dados'!$F755&lt;&gt;"-",_xlfn.XLOOKUP(IFERROR(IFERROR(IFERROR(VALUE(SUBSTITUTE(MID(_xlfn.TEXTAFTER('Banco de Dados'!$F755,"Data do Pedido:
",1),1,10),"-","/")),VALUE(SUBSTITUTE(MID(_xlfn.TEXTAFTER('Banco de Dados'!$F755,"Order date:
",1),1,10),"-","/"))),VALUE(SUBSTITUTE(MID(_xlfn.TEXTAFTER('Banco de Dados'!$F755,"Fecha de pedido:
",1),1,10),"-","/"))),"-"),SMS!A:A,SMS!K:K),0),0)</f>
        <v>0</v>
      </c>
      <c r="AO755" s="109">
        <f ca="1">IF('Banco de Dados'!$AK755&lt;&gt;"-",IF('Banco de Dados'!$F755&lt;&gt;"-",IFERROR(_xlfn.XLOOKUP(_xlfn.CONCAT('Banco de Dados'!$A755,IFERROR(IFERROR(VALUE(SUBSTITUTE(MID(_xlfn.TEXTAFTER('Banco de Dados'!$F755,"Data do Pedido:
",1),1,10),"-","/")),VALUE(SUBSTITUTE(MID(_xlfn.TEXTAFTER('Banco de Dados'!$F755,"Order date:
",1),1,10),"-","/"))),0)),ProxyDD[Chave],ProxyDD[Valor por pedido]),PROXY!$P$2),0),0)</f>
        <v>0</v>
      </c>
      <c r="AP755" s="28">
        <f ca="1">IF('Banco de Dados'!$AK755&lt;&gt;"-",IF('Banco de Dados'!$AL755="NÃO",IFERROR(VALUE(SUBSTITUTE(_xlfn.TEXTAFTER('Banco de Dados'!$F755,"BRL ",1),".",",")),0),0),0)</f>
        <v>0</v>
      </c>
      <c r="AQ755" s="28">
        <f ca="1">SUM('Banco de Dados'!$AM755:$AP755)</f>
        <v>0</v>
      </c>
      <c r="AR755" s="8"/>
      <c r="AS755" s="8"/>
      <c r="AY755" s="8"/>
    </row>
    <row r="756" spans="1:51">
      <c r="A756" s="5" t="str">
        <v>BV</v>
      </c>
      <c r="B756" s="5" t="str">
        <f ca="1"/>
        <v>BV45667</v>
      </c>
      <c r="C756" s="8" t="str">
        <v>Pedido 743</v>
      </c>
      <c r="D756" s="9">
        <v>45667</v>
      </c>
      <c r="E756" s="9">
        <v>45667</v>
      </c>
      <c r="F756" s="8" t="str">
        <v>PedidoF722</v>
      </c>
      <c r="G756" s="2" t="str">
        <v>CódRastreio720</v>
      </c>
      <c r="H756" s="5">
        <v>1</v>
      </c>
      <c r="I756" s="182" t="str">
        <v>CPF 721</v>
      </c>
      <c r="J756" s="2" t="str">
        <v>Nome 721</v>
      </c>
      <c r="K756" s="8" t="str">
        <v>Tel 721</v>
      </c>
      <c r="L756" s="8" t="str">
        <v>Cep 721</v>
      </c>
      <c r="M756" s="8" t="str">
        <v>Rua 721</v>
      </c>
      <c r="N756" s="8" t="str">
        <v>Comp 721</v>
      </c>
      <c r="O756" s="8" t="str">
        <v>Adaptador Bluetooph</v>
      </c>
      <c r="P756" s="8" t="str">
        <v>YA-AG3H-SPUK</v>
      </c>
      <c r="Q756" s="4">
        <v>45689</v>
      </c>
      <c r="R756" s="109">
        <v>21.99</v>
      </c>
      <c r="S756" s="11">
        <f ca="1"/>
        <v>21.99</v>
      </c>
      <c r="T756" s="28">
        <f ca="1"/>
        <v>2.6387999999999998</v>
      </c>
      <c r="U756" s="11">
        <f ca="1"/>
        <v>19.350000000000001</v>
      </c>
      <c r="V756" s="11">
        <v>11.72</v>
      </c>
      <c r="W756" s="11">
        <f ca="1"/>
        <v>0.21</v>
      </c>
      <c r="X756" s="11">
        <f ca="1"/>
        <v>0.39877104377104378</v>
      </c>
      <c r="Y756" s="11">
        <v>0</v>
      </c>
      <c r="Z756" s="11">
        <f ca="1"/>
        <v>7.0212289562289563</v>
      </c>
      <c r="AA756" s="11">
        <f ca="1"/>
        <v>3.5106144781144781</v>
      </c>
      <c r="AB756" s="4">
        <f ca="1"/>
        <v>45696</v>
      </c>
      <c r="AC756" s="4">
        <v>45696</v>
      </c>
      <c r="AD756" s="9">
        <v>45699</v>
      </c>
      <c r="AE756" s="9">
        <v>45705</v>
      </c>
      <c r="AF756" s="4" t="str">
        <f t="shared" ca="1" si="29"/>
        <v>2025 02</v>
      </c>
      <c r="AG756" s="8" t="str" cm="1">
        <f t="array" ref="AG756">IFERROR(_xlfn.IFS('Banco de Dados'!#REF!="AG. COMPRA","Em processamento",'Banco de Dados'!#REF!="AG. RASTREIO","Em processamento",'Banco de Dados'!$AE756&lt;&gt;"-","Faturado",'Banco de Dados'!$AD756&lt;&gt;"-","Aguardando Pix",'Banco de Dados'!$AC756&lt;&gt;"-","Pendente"),"Aguardando Liberação")</f>
        <v>Aguardando Liberação</v>
      </c>
      <c r="AH756" s="5" t="str">
        <f>IF('Banco de Dados'!$F756="-",_xlfn.CONCAT(PROPER(TEXT(AK756,"aaaa"))," ",PROPER(TEXT(AK756,"mm"))),_xlfn.CONCAT(PROPER(TEXT(E756,"aaaa"))," ",PROPER(TEXT(E756,"mm"))))</f>
        <v>2025 01</v>
      </c>
      <c r="AI756" s="9" t="str">
        <f ca="1">IF('Banco de Dados'!$AK756&lt;&gt;"-","REEMBOLSO",IFERROR(_xlfn.XLOOKUP(G756,Follow[CODRASTREIO],Follow[STATUS]),"-"))</f>
        <v>ENTREGUE</v>
      </c>
      <c r="AJ756" s="9">
        <f ca="1">IF('Banco de Dados'!$AI756="ENTREGUE",_xlfn.XLOOKUP('Banco de Dados'!$G756,Follow[CODRASTREIO],Follow[DATAATUALIZAÇÃO]),"-")</f>
        <v>45674</v>
      </c>
      <c r="AK756" s="9" t="str">
        <f ca="1"/>
        <v>-</v>
      </c>
      <c r="AL756" s="35"/>
      <c r="AM756" s="109" cm="1">
        <f t="array" aca="1" ref="AM756" ca="1">IF('Banco de Dados'!$AK756&lt;&gt;"-",_xlfn.IFS('Banco de Dados'!$A756="bv",IF('Banco de Dados'!$E756&lt;45641,ROUND(SUM('Banco de Dados'!$R756*_xlfn.XLOOKUP('Banco de Dados'!$P756,Sku!B:B,Sku!#REF!)*20%),2),ROUND(SUM('Banco de Dados'!$R756*_xlfn.XLOOKUP('Banco de Dados'!$P756,Sku!B:B,Sku!H:H)*20%),2)),'Banco de Dados'!$A756="GO",ROUND(_xlfn.XLOOKUP('Banco de Dados'!$P756,Sku!C:C,Sku!H:H),2),'Banco de Dados'!$A756="MEI",ROUND(_xlfn.XLOOKUP('Banco de Dados'!$P756,Sku!D:D,Sku!H:H),2)),0)</f>
        <v>0</v>
      </c>
      <c r="AN756" s="109">
        <f ca="1">IF('Banco de Dados'!$AK756&lt;&gt;"-",IF('Banco de Dados'!$F756&lt;&gt;"-",_xlfn.XLOOKUP(IFERROR(IFERROR(IFERROR(VALUE(SUBSTITUTE(MID(_xlfn.TEXTAFTER('Banco de Dados'!$F756,"Data do Pedido:
",1),1,10),"-","/")),VALUE(SUBSTITUTE(MID(_xlfn.TEXTAFTER('Banco de Dados'!$F756,"Order date:
",1),1,10),"-","/"))),VALUE(SUBSTITUTE(MID(_xlfn.TEXTAFTER('Banco de Dados'!$F756,"Fecha de pedido:
",1),1,10),"-","/"))),"-"),SMS!A:A,SMS!K:K),0),0)</f>
        <v>0</v>
      </c>
      <c r="AO756" s="109">
        <f ca="1">IF('Banco de Dados'!$AK756&lt;&gt;"-",IF('Banco de Dados'!$F756&lt;&gt;"-",IFERROR(_xlfn.XLOOKUP(_xlfn.CONCAT('Banco de Dados'!$A756,IFERROR(IFERROR(VALUE(SUBSTITUTE(MID(_xlfn.TEXTAFTER('Banco de Dados'!$F756,"Data do Pedido:
",1),1,10),"-","/")),VALUE(SUBSTITUTE(MID(_xlfn.TEXTAFTER('Banco de Dados'!$F756,"Order date:
",1),1,10),"-","/"))),0)),ProxyDD[Chave],ProxyDD[Valor por pedido]),PROXY!$P$2),0),0)</f>
        <v>0</v>
      </c>
      <c r="AP756" s="28">
        <f ca="1">IF('Banco de Dados'!$AK756&lt;&gt;"-",IF('Banco de Dados'!$AL756="NÃO",IFERROR(VALUE(SUBSTITUTE(_xlfn.TEXTAFTER('Banco de Dados'!$F756,"BRL ",1),".",",")),0),0),0)</f>
        <v>0</v>
      </c>
      <c r="AQ756" s="28">
        <f ca="1">SUM('Banco de Dados'!$AM756:$AP756)</f>
        <v>0</v>
      </c>
      <c r="AR756" s="8"/>
      <c r="AS756" s="8"/>
      <c r="AY756" s="8"/>
    </row>
    <row r="757" spans="1:51">
      <c r="A757" s="5" t="str">
        <v>BV</v>
      </c>
      <c r="B757" s="5" t="str">
        <f ca="1"/>
        <v>BV45667</v>
      </c>
      <c r="C757" s="8" t="str">
        <v>Pedido 744</v>
      </c>
      <c r="D757" s="9">
        <v>45667</v>
      </c>
      <c r="E757" s="9">
        <v>45667</v>
      </c>
      <c r="F757" s="8" t="str">
        <v>PedidoF723</v>
      </c>
      <c r="G757" s="2" t="str">
        <v>CódRastreio721</v>
      </c>
      <c r="H757" s="5">
        <v>1</v>
      </c>
      <c r="I757" s="182" t="str">
        <v>CPF 722</v>
      </c>
      <c r="J757" s="2" t="str">
        <v>Nome 722</v>
      </c>
      <c r="K757" s="8" t="str">
        <v>Tel 722</v>
      </c>
      <c r="L757" s="8" t="str">
        <v>Cep 722</v>
      </c>
      <c r="M757" s="8" t="str">
        <v>Rua 722</v>
      </c>
      <c r="N757" s="8" t="str">
        <v>Comp 722</v>
      </c>
      <c r="O757" s="8" t="str">
        <v>Adaptador Bluetooph</v>
      </c>
      <c r="P757" s="8" t="str">
        <v>YA-AG3H-SPUK</v>
      </c>
      <c r="Q757" s="4">
        <v>45679</v>
      </c>
      <c r="R757" s="109">
        <v>21.99</v>
      </c>
      <c r="S757" s="11">
        <f ca="1"/>
        <v>21.99</v>
      </c>
      <c r="T757" s="28">
        <f ca="1"/>
        <v>2.6387999999999998</v>
      </c>
      <c r="U757" s="11">
        <f ca="1"/>
        <v>19.350000000000001</v>
      </c>
      <c r="V757" s="11">
        <v>11.72</v>
      </c>
      <c r="W757" s="11">
        <f ca="1"/>
        <v>0.21</v>
      </c>
      <c r="X757" s="11">
        <f ca="1"/>
        <v>0.39877104377104378</v>
      </c>
      <c r="Y757" s="11">
        <v>0</v>
      </c>
      <c r="Z757" s="11">
        <f ca="1"/>
        <v>7.0212289562289563</v>
      </c>
      <c r="AA757" s="11">
        <f ca="1"/>
        <v>3.5106144781144781</v>
      </c>
      <c r="AB757" s="4">
        <f ca="1"/>
        <v>45686</v>
      </c>
      <c r="AC757" s="4">
        <v>45686</v>
      </c>
      <c r="AD757" s="9">
        <v>45688</v>
      </c>
      <c r="AE757" s="9">
        <v>45694</v>
      </c>
      <c r="AF757" s="4" t="str">
        <f t="shared" ca="1" si="29"/>
        <v>2025 01</v>
      </c>
      <c r="AG757" s="8" t="str" cm="1">
        <f t="array" ref="AG757">IFERROR(_xlfn.IFS('Banco de Dados'!#REF!="AG. COMPRA","Em processamento",'Banco de Dados'!#REF!="AG. RASTREIO","Em processamento",'Banco de Dados'!$AE757&lt;&gt;"-","Faturado",'Banco de Dados'!$AD757&lt;&gt;"-","Aguardando Pix",'Banco de Dados'!$AC757&lt;&gt;"-","Pendente"),"Aguardando Liberação")</f>
        <v>Aguardando Liberação</v>
      </c>
      <c r="AH757" s="5" t="str">
        <f>IF('Banco de Dados'!$F757="-",_xlfn.CONCAT(PROPER(TEXT(AK757,"aaaa"))," ",PROPER(TEXT(AK757,"mm"))),_xlfn.CONCAT(PROPER(TEXT(E757,"aaaa"))," ",PROPER(TEXT(E757,"mm"))))</f>
        <v>2025 01</v>
      </c>
      <c r="AI757" s="9" t="str">
        <f ca="1">IF('Banco de Dados'!$AK757&lt;&gt;"-","REEMBOLSO",IFERROR(_xlfn.XLOOKUP(G757,Follow[CODRASTREIO],Follow[STATUS]),"-"))</f>
        <v>ENTREGUE</v>
      </c>
      <c r="AJ757" s="9">
        <f ca="1">IF('Banco de Dados'!$AI757="ENTREGUE",_xlfn.XLOOKUP('Banco de Dados'!$G757,Follow[CODRASTREIO],Follow[DATAATUALIZAÇÃO]),"-")</f>
        <v>45671</v>
      </c>
      <c r="AK757" s="9" t="str">
        <f ca="1"/>
        <v>-</v>
      </c>
      <c r="AL757" s="35"/>
      <c r="AM757" s="109" cm="1">
        <f t="array" aca="1" ref="AM757" ca="1">IF('Banco de Dados'!$AK757&lt;&gt;"-",_xlfn.IFS('Banco de Dados'!$A757="bv",IF('Banco de Dados'!$E757&lt;45641,ROUND(SUM('Banco de Dados'!$R757*_xlfn.XLOOKUP('Banco de Dados'!$P757,Sku!B:B,Sku!#REF!)*20%),2),ROUND(SUM('Banco de Dados'!$R757*_xlfn.XLOOKUP('Banco de Dados'!$P757,Sku!B:B,Sku!H:H)*20%),2)),'Banco de Dados'!$A757="GO",ROUND(_xlfn.XLOOKUP('Banco de Dados'!$P757,Sku!C:C,Sku!H:H),2),'Banco de Dados'!$A757="MEI",ROUND(_xlfn.XLOOKUP('Banco de Dados'!$P757,Sku!D:D,Sku!H:H),2)),0)</f>
        <v>0</v>
      </c>
      <c r="AN757" s="109">
        <f ca="1">IF('Banco de Dados'!$AK757&lt;&gt;"-",IF('Banco de Dados'!$F757&lt;&gt;"-",_xlfn.XLOOKUP(IFERROR(IFERROR(IFERROR(VALUE(SUBSTITUTE(MID(_xlfn.TEXTAFTER('Banco de Dados'!$F757,"Data do Pedido:
",1),1,10),"-","/")),VALUE(SUBSTITUTE(MID(_xlfn.TEXTAFTER('Banco de Dados'!$F757,"Order date:
",1),1,10),"-","/"))),VALUE(SUBSTITUTE(MID(_xlfn.TEXTAFTER('Banco de Dados'!$F757,"Fecha de pedido:
",1),1,10),"-","/"))),"-"),SMS!A:A,SMS!K:K),0),0)</f>
        <v>0</v>
      </c>
      <c r="AO757" s="109">
        <f ca="1">IF('Banco de Dados'!$AK757&lt;&gt;"-",IF('Banco de Dados'!$F757&lt;&gt;"-",IFERROR(_xlfn.XLOOKUP(_xlfn.CONCAT('Banco de Dados'!$A757,IFERROR(IFERROR(VALUE(SUBSTITUTE(MID(_xlfn.TEXTAFTER('Banco de Dados'!$F757,"Data do Pedido:
",1),1,10),"-","/")),VALUE(SUBSTITUTE(MID(_xlfn.TEXTAFTER('Banco de Dados'!$F757,"Order date:
",1),1,10),"-","/"))),0)),ProxyDD[Chave],ProxyDD[Valor por pedido]),PROXY!$P$2),0),0)</f>
        <v>0</v>
      </c>
      <c r="AP757" s="28">
        <f ca="1">IF('Banco de Dados'!$AK757&lt;&gt;"-",IF('Banco de Dados'!$AL757="NÃO",IFERROR(VALUE(SUBSTITUTE(_xlfn.TEXTAFTER('Banco de Dados'!$F757,"BRL ",1),".",",")),0),0),0)</f>
        <v>0</v>
      </c>
      <c r="AQ757" s="28">
        <f ca="1">SUM('Banco de Dados'!$AM757:$AP757)</f>
        <v>0</v>
      </c>
      <c r="AR757" s="8"/>
      <c r="AS757" s="8"/>
      <c r="AY757" s="8"/>
    </row>
    <row r="758" spans="1:51">
      <c r="A758" s="5" t="str">
        <v>BV</v>
      </c>
      <c r="B758" s="5" t="str">
        <f ca="1"/>
        <v>BV45667</v>
      </c>
      <c r="C758" s="8" t="str">
        <v>Pedido 745</v>
      </c>
      <c r="D758" s="9">
        <v>45667</v>
      </c>
      <c r="E758" s="9">
        <v>45667</v>
      </c>
      <c r="F758" s="8" t="str">
        <v>PedidoF724</v>
      </c>
      <c r="G758" s="2" t="str">
        <v>CódRastreio722</v>
      </c>
      <c r="H758" s="5">
        <v>1</v>
      </c>
      <c r="I758" s="182" t="str">
        <v>CPF 723</v>
      </c>
      <c r="J758" s="2" t="str">
        <v>Nome 723</v>
      </c>
      <c r="K758" s="8" t="str">
        <v>Tel 723</v>
      </c>
      <c r="L758" s="8" t="str">
        <v>Cep 723</v>
      </c>
      <c r="M758" s="8" t="str">
        <v>Rua 723</v>
      </c>
      <c r="N758" s="8" t="str">
        <v>Comp 723</v>
      </c>
      <c r="O758" s="8" t="str">
        <v>Adaptador Bluetooph</v>
      </c>
      <c r="P758" s="8" t="str">
        <v>YA-AG3H-SPUK</v>
      </c>
      <c r="Q758" s="4">
        <v>45689</v>
      </c>
      <c r="R758" s="109">
        <v>21.99</v>
      </c>
      <c r="S758" s="11">
        <f ca="1"/>
        <v>21.99</v>
      </c>
      <c r="T758" s="28">
        <f ca="1"/>
        <v>2.6387999999999998</v>
      </c>
      <c r="U758" s="11">
        <f ca="1"/>
        <v>19.350000000000001</v>
      </c>
      <c r="V758" s="11">
        <v>11.72</v>
      </c>
      <c r="W758" s="11">
        <f ca="1"/>
        <v>0.21</v>
      </c>
      <c r="X758" s="11">
        <f ca="1"/>
        <v>0.39877104377104378</v>
      </c>
      <c r="Y758" s="11">
        <v>0</v>
      </c>
      <c r="Z758" s="11">
        <f ca="1"/>
        <v>7.0212289562289563</v>
      </c>
      <c r="AA758" s="11">
        <f ca="1"/>
        <v>3.5106144781144781</v>
      </c>
      <c r="AB758" s="4">
        <f ca="1"/>
        <v>45696</v>
      </c>
      <c r="AC758" s="4">
        <v>45696</v>
      </c>
      <c r="AD758" s="9">
        <v>45699</v>
      </c>
      <c r="AE758" s="9">
        <v>45705</v>
      </c>
      <c r="AF758" s="4" t="str">
        <f t="shared" ca="1" si="29"/>
        <v>2025 02</v>
      </c>
      <c r="AG758" s="8" t="str" cm="1">
        <f t="array" ref="AG758">IFERROR(_xlfn.IFS('Banco de Dados'!#REF!="AG. COMPRA","Em processamento",'Banco de Dados'!#REF!="AG. RASTREIO","Em processamento",'Banco de Dados'!$AE758&lt;&gt;"-","Faturado",'Banco de Dados'!$AD758&lt;&gt;"-","Aguardando Pix",'Banco de Dados'!$AC758&lt;&gt;"-","Pendente"),"Aguardando Liberação")</f>
        <v>Aguardando Liberação</v>
      </c>
      <c r="AH758" s="5" t="str">
        <f>IF('Banco de Dados'!$F758="-",_xlfn.CONCAT(PROPER(TEXT(AK758,"aaaa"))," ",PROPER(TEXT(AK758,"mm"))),_xlfn.CONCAT(PROPER(TEXT(E758,"aaaa"))," ",PROPER(TEXT(E758,"mm"))))</f>
        <v>2025 01</v>
      </c>
      <c r="AI758" s="9" t="str">
        <f ca="1">IF('Banco de Dados'!$AK758&lt;&gt;"-","REEMBOLSO",IFERROR(_xlfn.XLOOKUP(G758,Follow[CODRASTREIO],Follow[STATUS]),"-"))</f>
        <v>ENTREGUE</v>
      </c>
      <c r="AJ758" s="9">
        <f ca="1">IF('Banco de Dados'!$AI758="ENTREGUE",_xlfn.XLOOKUP('Banco de Dados'!$G758,Follow[CODRASTREIO],Follow[DATAATUALIZAÇÃO]),"-")</f>
        <v>45674</v>
      </c>
      <c r="AK758" s="9" t="str">
        <f ca="1"/>
        <v>-</v>
      </c>
      <c r="AL758" s="35"/>
      <c r="AM758" s="109" cm="1">
        <f t="array" aca="1" ref="AM758" ca="1">IF('Banco de Dados'!$AK758&lt;&gt;"-",_xlfn.IFS('Banco de Dados'!$A758="bv",IF('Banco de Dados'!$E758&lt;45641,ROUND(SUM('Banco de Dados'!$R758*_xlfn.XLOOKUP('Banco de Dados'!$P758,Sku!B:B,Sku!#REF!)*20%),2),ROUND(SUM('Banco de Dados'!$R758*_xlfn.XLOOKUP('Banco de Dados'!$P758,Sku!B:B,Sku!H:H)*20%),2)),'Banco de Dados'!$A758="GO",ROUND(_xlfn.XLOOKUP('Banco de Dados'!$P758,Sku!C:C,Sku!H:H),2),'Banco de Dados'!$A758="MEI",ROUND(_xlfn.XLOOKUP('Banco de Dados'!$P758,Sku!D:D,Sku!H:H),2)),0)</f>
        <v>0</v>
      </c>
      <c r="AN758" s="109">
        <f ca="1">IF('Banco de Dados'!$AK758&lt;&gt;"-",IF('Banco de Dados'!$F758&lt;&gt;"-",_xlfn.XLOOKUP(IFERROR(IFERROR(IFERROR(VALUE(SUBSTITUTE(MID(_xlfn.TEXTAFTER('Banco de Dados'!$F758,"Data do Pedido:
",1),1,10),"-","/")),VALUE(SUBSTITUTE(MID(_xlfn.TEXTAFTER('Banco de Dados'!$F758,"Order date:
",1),1,10),"-","/"))),VALUE(SUBSTITUTE(MID(_xlfn.TEXTAFTER('Banco de Dados'!$F758,"Fecha de pedido:
",1),1,10),"-","/"))),"-"),SMS!A:A,SMS!K:K),0),0)</f>
        <v>0</v>
      </c>
      <c r="AO758" s="109">
        <f ca="1">IF('Banco de Dados'!$AK758&lt;&gt;"-",IF('Banco de Dados'!$F758&lt;&gt;"-",IFERROR(_xlfn.XLOOKUP(_xlfn.CONCAT('Banco de Dados'!$A758,IFERROR(IFERROR(VALUE(SUBSTITUTE(MID(_xlfn.TEXTAFTER('Banco de Dados'!$F758,"Data do Pedido:
",1),1,10),"-","/")),VALUE(SUBSTITUTE(MID(_xlfn.TEXTAFTER('Banco de Dados'!$F758,"Order date:
",1),1,10),"-","/"))),0)),ProxyDD[Chave],ProxyDD[Valor por pedido]),PROXY!$P$2),0),0)</f>
        <v>0</v>
      </c>
      <c r="AP758" s="28">
        <f ca="1">IF('Banco de Dados'!$AK758&lt;&gt;"-",IF('Banco de Dados'!$AL758="NÃO",IFERROR(VALUE(SUBSTITUTE(_xlfn.TEXTAFTER('Banco de Dados'!$F758,"BRL ",1),".",",")),0),0),0)</f>
        <v>0</v>
      </c>
      <c r="AQ758" s="28">
        <f ca="1">SUM('Banco de Dados'!$AM758:$AP758)</f>
        <v>0</v>
      </c>
      <c r="AR758" s="8"/>
      <c r="AS758" s="8"/>
      <c r="AY758" s="8"/>
    </row>
    <row r="759" spans="1:51">
      <c r="A759" s="5" t="str">
        <v>BV</v>
      </c>
      <c r="B759" s="5" t="str">
        <f ca="1"/>
        <v>BV45667</v>
      </c>
      <c r="C759" s="8" t="str">
        <v>Pedido 746</v>
      </c>
      <c r="D759" s="9">
        <v>45667</v>
      </c>
      <c r="E759" s="9">
        <v>45667</v>
      </c>
      <c r="F759" s="8" t="str">
        <v>PedidoF725</v>
      </c>
      <c r="G759" s="2" t="str">
        <v>CódRastreio723</v>
      </c>
      <c r="H759" s="5">
        <v>1</v>
      </c>
      <c r="I759" s="182" t="str">
        <v>CPF 724</v>
      </c>
      <c r="J759" s="2" t="str">
        <v>Nome 724</v>
      </c>
      <c r="K759" s="8" t="str">
        <v>Tel 724</v>
      </c>
      <c r="L759" s="8" t="str">
        <v>Cep 724</v>
      </c>
      <c r="M759" s="8" t="str">
        <v>Rua 724</v>
      </c>
      <c r="N759" s="8" t="str">
        <v>Comp 724</v>
      </c>
      <c r="O759" s="8" t="str">
        <v>Suporte de Celular Branco</v>
      </c>
      <c r="P759" s="8" t="str">
        <v>16-4EDB-WMZF</v>
      </c>
      <c r="Q759" s="4">
        <v>45689</v>
      </c>
      <c r="R759" s="109">
        <v>21.99</v>
      </c>
      <c r="S759" s="11">
        <f ca="1"/>
        <v>21.99</v>
      </c>
      <c r="T759" s="28">
        <f ca="1"/>
        <v>3.2984999999999998</v>
      </c>
      <c r="U759" s="11">
        <f ca="1"/>
        <v>18.690000000000001</v>
      </c>
      <c r="V759" s="11">
        <v>9.99</v>
      </c>
      <c r="W759" s="11">
        <f ca="1"/>
        <v>0.21</v>
      </c>
      <c r="X759" s="11">
        <f ca="1"/>
        <v>0.39877104377104378</v>
      </c>
      <c r="Y759" s="11">
        <v>0</v>
      </c>
      <c r="Z759" s="11">
        <f ca="1"/>
        <v>8.0912289562289565</v>
      </c>
      <c r="AA759" s="11">
        <f ca="1"/>
        <v>4.0456144781144783</v>
      </c>
      <c r="AB759" s="4">
        <f ca="1"/>
        <v>45696</v>
      </c>
      <c r="AC759" s="4">
        <v>45696</v>
      </c>
      <c r="AD759" s="9">
        <v>45699</v>
      </c>
      <c r="AE759" s="9">
        <v>45705</v>
      </c>
      <c r="AF759" s="4" t="str">
        <f t="shared" ca="1" si="29"/>
        <v>2025 02</v>
      </c>
      <c r="AG759" s="8" t="str" cm="1">
        <f t="array" ref="AG759">IFERROR(_xlfn.IFS('Banco de Dados'!#REF!="AG. COMPRA","Em processamento",'Banco de Dados'!#REF!="AG. RASTREIO","Em processamento",'Banco de Dados'!$AE759&lt;&gt;"-","Faturado",'Banco de Dados'!$AD759&lt;&gt;"-","Aguardando Pix",'Banco de Dados'!$AC759&lt;&gt;"-","Pendente"),"Aguardando Liberação")</f>
        <v>Aguardando Liberação</v>
      </c>
      <c r="AH759" s="5" t="str">
        <f>IF('Banco de Dados'!$F759="-",_xlfn.CONCAT(PROPER(TEXT(AK759,"aaaa"))," ",PROPER(TEXT(AK759,"mm"))),_xlfn.CONCAT(PROPER(TEXT(E759,"aaaa"))," ",PROPER(TEXT(E759,"mm"))))</f>
        <v>2025 01</v>
      </c>
      <c r="AI759" s="9" t="str">
        <f ca="1">IF('Banco de Dados'!$AK759&lt;&gt;"-","REEMBOLSO",IFERROR(_xlfn.XLOOKUP(G759,Follow[CODRASTREIO],Follow[STATUS]),"-"))</f>
        <v>ENTREGUE</v>
      </c>
      <c r="AJ759" s="9">
        <f ca="1">IF('Banco de Dados'!$AI759="ENTREGUE",_xlfn.XLOOKUP('Banco de Dados'!$G759,Follow[CODRASTREIO],Follow[DATAATUALIZAÇÃO]),"-")</f>
        <v>45677</v>
      </c>
      <c r="AK759" s="9" t="str">
        <f ca="1"/>
        <v>-</v>
      </c>
      <c r="AL759" s="35"/>
      <c r="AM759" s="109" cm="1">
        <f t="array" aca="1" ref="AM759" ca="1">IF('Banco de Dados'!$AK759&lt;&gt;"-",_xlfn.IFS('Banco de Dados'!$A759="bv",IF('Banco de Dados'!$E759&lt;45641,ROUND(SUM('Banco de Dados'!$R759*_xlfn.XLOOKUP('Banco de Dados'!$P759,Sku!B:B,Sku!#REF!)*20%),2),ROUND(SUM('Banco de Dados'!$R759*_xlfn.XLOOKUP('Banco de Dados'!$P759,Sku!B:B,Sku!H:H)*20%),2)),'Banco de Dados'!$A759="GO",ROUND(_xlfn.XLOOKUP('Banco de Dados'!$P759,Sku!C:C,Sku!H:H),2),'Banco de Dados'!$A759="MEI",ROUND(_xlfn.XLOOKUP('Banco de Dados'!$P759,Sku!D:D,Sku!H:H),2)),0)</f>
        <v>0</v>
      </c>
      <c r="AN759" s="109">
        <f ca="1">IF('Banco de Dados'!$AK759&lt;&gt;"-",IF('Banco de Dados'!$F759&lt;&gt;"-",_xlfn.XLOOKUP(IFERROR(IFERROR(IFERROR(VALUE(SUBSTITUTE(MID(_xlfn.TEXTAFTER('Banco de Dados'!$F759,"Data do Pedido:
",1),1,10),"-","/")),VALUE(SUBSTITUTE(MID(_xlfn.TEXTAFTER('Banco de Dados'!$F759,"Order date:
",1),1,10),"-","/"))),VALUE(SUBSTITUTE(MID(_xlfn.TEXTAFTER('Banco de Dados'!$F759,"Fecha de pedido:
",1),1,10),"-","/"))),"-"),SMS!A:A,SMS!K:K),0),0)</f>
        <v>0</v>
      </c>
      <c r="AO759" s="109">
        <f ca="1">IF('Banco de Dados'!$AK759&lt;&gt;"-",IF('Banco de Dados'!$F759&lt;&gt;"-",IFERROR(_xlfn.XLOOKUP(_xlfn.CONCAT('Banco de Dados'!$A759,IFERROR(IFERROR(VALUE(SUBSTITUTE(MID(_xlfn.TEXTAFTER('Banco de Dados'!$F759,"Data do Pedido:
",1),1,10),"-","/")),VALUE(SUBSTITUTE(MID(_xlfn.TEXTAFTER('Banco de Dados'!$F759,"Order date:
",1),1,10),"-","/"))),0)),ProxyDD[Chave],ProxyDD[Valor por pedido]),PROXY!$P$2),0),0)</f>
        <v>0</v>
      </c>
      <c r="AP759" s="28">
        <f ca="1">IF('Banco de Dados'!$AK759&lt;&gt;"-",IF('Banco de Dados'!$AL759="NÃO",IFERROR(VALUE(SUBSTITUTE(_xlfn.TEXTAFTER('Banco de Dados'!$F759,"BRL ",1),".",",")),0),0),0)</f>
        <v>0</v>
      </c>
      <c r="AQ759" s="28">
        <f ca="1">SUM('Banco de Dados'!$AM759:$AP759)</f>
        <v>0</v>
      </c>
      <c r="AR759" s="8"/>
      <c r="AS759" s="8"/>
      <c r="AY759" s="8"/>
    </row>
    <row r="760" spans="1:51">
      <c r="A760" s="5" t="str">
        <v>BV</v>
      </c>
      <c r="B760" s="5" t="str">
        <f ca="1"/>
        <v>BV45667</v>
      </c>
      <c r="C760" s="8" t="str">
        <v>Pedido 747</v>
      </c>
      <c r="D760" s="9">
        <v>45667</v>
      </c>
      <c r="E760" s="9">
        <v>45667</v>
      </c>
      <c r="F760" s="8" t="str">
        <v>PedidoF726</v>
      </c>
      <c r="G760" s="2" t="str">
        <v>CódRastreio724</v>
      </c>
      <c r="H760" s="5">
        <v>1</v>
      </c>
      <c r="I760" s="182" t="str">
        <v>CPF 725</v>
      </c>
      <c r="J760" s="2" t="str">
        <v>Nome 725</v>
      </c>
      <c r="K760" s="8" t="str">
        <v>Tel 725</v>
      </c>
      <c r="L760" s="8" t="str">
        <v>Cep 725</v>
      </c>
      <c r="M760" s="8" t="str">
        <v>Rua 725</v>
      </c>
      <c r="N760" s="8" t="str">
        <v>Comp 725</v>
      </c>
      <c r="O760" s="8" t="str">
        <v>Ventilador Preto</v>
      </c>
      <c r="P760" s="8" t="str">
        <v>MU-J80P-95WF</v>
      </c>
      <c r="Q760" s="4">
        <v>45689</v>
      </c>
      <c r="R760" s="109">
        <v>65.599999999999994</v>
      </c>
      <c r="S760" s="11">
        <f ca="1"/>
        <v>65.599999999999994</v>
      </c>
      <c r="T760" s="28">
        <f ca="1"/>
        <v>8.5279999999999987</v>
      </c>
      <c r="U760" s="11">
        <f ca="1"/>
        <v>57.07</v>
      </c>
      <c r="V760" s="11">
        <v>19.64</v>
      </c>
      <c r="W760" s="11">
        <f ca="1"/>
        <v>0.21</v>
      </c>
      <c r="X760" s="11">
        <f ca="1"/>
        <v>0.39877104377104378</v>
      </c>
      <c r="Y760" s="11">
        <v>0</v>
      </c>
      <c r="Z760" s="11">
        <f ca="1"/>
        <v>36.82122895622895</v>
      </c>
      <c r="AA760" s="11">
        <f ca="1"/>
        <v>18.410614478114475</v>
      </c>
      <c r="AB760" s="4">
        <f ca="1"/>
        <v>45696</v>
      </c>
      <c r="AC760" s="4">
        <v>45696</v>
      </c>
      <c r="AD760" s="9">
        <v>45699</v>
      </c>
      <c r="AE760" s="9">
        <v>45705</v>
      </c>
      <c r="AF760" s="4" t="str">
        <f t="shared" ca="1" si="29"/>
        <v>2025 02</v>
      </c>
      <c r="AG760" s="8" t="str" cm="1">
        <f t="array" ref="AG760">IFERROR(_xlfn.IFS('Banco de Dados'!#REF!="AG. COMPRA","Em processamento",'Banco de Dados'!#REF!="AG. RASTREIO","Em processamento",'Banco de Dados'!$AE760&lt;&gt;"-","Faturado",'Banco de Dados'!$AD760&lt;&gt;"-","Aguardando Pix",'Banco de Dados'!$AC760&lt;&gt;"-","Pendente"),"Aguardando Liberação")</f>
        <v>Aguardando Liberação</v>
      </c>
      <c r="AH760" s="5" t="str">
        <f>IF('Banco de Dados'!$F760="-",_xlfn.CONCAT(PROPER(TEXT(AK760,"aaaa"))," ",PROPER(TEXT(AK760,"mm"))),_xlfn.CONCAT(PROPER(TEXT(E760,"aaaa"))," ",PROPER(TEXT(E760,"mm"))))</f>
        <v>2025 01</v>
      </c>
      <c r="AI760" s="9" t="str">
        <f ca="1">IF('Banco de Dados'!$AK760&lt;&gt;"-","REEMBOLSO",IFERROR(_xlfn.XLOOKUP(G760,Follow[CODRASTREIO],Follow[STATUS]),"-"))</f>
        <v>ENTREGUE</v>
      </c>
      <c r="AJ760" s="9">
        <f ca="1">IF('Banco de Dados'!$AI760="ENTREGUE",_xlfn.XLOOKUP('Banco de Dados'!$G760,Follow[CODRASTREIO],Follow[DATAATUALIZAÇÃO]),"-")</f>
        <v>45686</v>
      </c>
      <c r="AK760" s="9" t="str">
        <f ca="1"/>
        <v>-</v>
      </c>
      <c r="AL760" s="35"/>
      <c r="AM760" s="109" cm="1">
        <f t="array" aca="1" ref="AM760" ca="1">IF('Banco de Dados'!$AK760&lt;&gt;"-",_xlfn.IFS('Banco de Dados'!$A760="bv",IF('Banco de Dados'!$E760&lt;45641,ROUND(SUM('Banco de Dados'!$R760*_xlfn.XLOOKUP('Banco de Dados'!$P760,Sku!B:B,Sku!#REF!)*20%),2),ROUND(SUM('Banco de Dados'!$R760*_xlfn.XLOOKUP('Banco de Dados'!$P760,Sku!B:B,Sku!H:H)*20%),2)),'Banco de Dados'!$A760="GO",ROUND(_xlfn.XLOOKUP('Banco de Dados'!$P760,Sku!C:C,Sku!H:H),2),'Banco de Dados'!$A760="MEI",ROUND(_xlfn.XLOOKUP('Banco de Dados'!$P760,Sku!D:D,Sku!H:H),2)),0)</f>
        <v>0</v>
      </c>
      <c r="AN760" s="109">
        <f ca="1">IF('Banco de Dados'!$AK760&lt;&gt;"-",IF('Banco de Dados'!$F760&lt;&gt;"-",_xlfn.XLOOKUP(IFERROR(IFERROR(IFERROR(VALUE(SUBSTITUTE(MID(_xlfn.TEXTAFTER('Banco de Dados'!$F760,"Data do Pedido:
",1),1,10),"-","/")),VALUE(SUBSTITUTE(MID(_xlfn.TEXTAFTER('Banco de Dados'!$F760,"Order date:
",1),1,10),"-","/"))),VALUE(SUBSTITUTE(MID(_xlfn.TEXTAFTER('Banco de Dados'!$F760,"Fecha de pedido:
",1),1,10),"-","/"))),"-"),SMS!A:A,SMS!K:K),0),0)</f>
        <v>0</v>
      </c>
      <c r="AO760" s="109">
        <f ca="1">IF('Banco de Dados'!$AK760&lt;&gt;"-",IF('Banco de Dados'!$F760&lt;&gt;"-",IFERROR(_xlfn.XLOOKUP(_xlfn.CONCAT('Banco de Dados'!$A760,IFERROR(IFERROR(VALUE(SUBSTITUTE(MID(_xlfn.TEXTAFTER('Banco de Dados'!$F760,"Data do Pedido:
",1),1,10),"-","/")),VALUE(SUBSTITUTE(MID(_xlfn.TEXTAFTER('Banco de Dados'!$F760,"Order date:
",1),1,10),"-","/"))),0)),ProxyDD[Chave],ProxyDD[Valor por pedido]),PROXY!$P$2),0),0)</f>
        <v>0</v>
      </c>
      <c r="AP760" s="28">
        <f ca="1">IF('Banco de Dados'!$AK760&lt;&gt;"-",IF('Banco de Dados'!$AL760="NÃO",IFERROR(VALUE(SUBSTITUTE(_xlfn.TEXTAFTER('Banco de Dados'!$F760,"BRL ",1),".",",")),0),0),0)</f>
        <v>0</v>
      </c>
      <c r="AQ760" s="28">
        <f ca="1">SUM('Banco de Dados'!$AM760:$AP760)</f>
        <v>0</v>
      </c>
      <c r="AR760" s="8"/>
      <c r="AS760" s="8"/>
      <c r="AY760" s="8"/>
    </row>
    <row r="761" spans="1:51">
      <c r="A761" s="5" t="str">
        <v>BV</v>
      </c>
      <c r="B761" s="5" t="str">
        <f ca="1"/>
        <v>BV45667</v>
      </c>
      <c r="C761" s="8" t="str">
        <v>Pedido 748</v>
      </c>
      <c r="D761" s="9">
        <v>45667</v>
      </c>
      <c r="E761" s="9">
        <v>45667</v>
      </c>
      <c r="F761" s="8" t="str">
        <v>PedidoF727</v>
      </c>
      <c r="G761" s="2" t="str">
        <v>CódRastreio725</v>
      </c>
      <c r="H761" s="5">
        <v>1</v>
      </c>
      <c r="I761" s="182" t="str">
        <v>CPF 726</v>
      </c>
      <c r="J761" s="2" t="str">
        <v>Nome 726</v>
      </c>
      <c r="K761" s="8" t="str">
        <v>Tel 726</v>
      </c>
      <c r="L761" s="8" t="str">
        <v>Cep 726</v>
      </c>
      <c r="M761" s="8" t="str">
        <v>Rua 726</v>
      </c>
      <c r="N761" s="8" t="str">
        <v>Comp 726</v>
      </c>
      <c r="O761" s="8" t="str">
        <v>Suporte de Celular Branco</v>
      </c>
      <c r="P761" s="8" t="str">
        <v>16-4EDB-WMZF</v>
      </c>
      <c r="Q761" s="4">
        <v>45689</v>
      </c>
      <c r="R761" s="109">
        <v>21.99</v>
      </c>
      <c r="S761" s="11">
        <f ca="1"/>
        <v>21.99</v>
      </c>
      <c r="T761" s="28">
        <f ca="1"/>
        <v>3.2984999999999998</v>
      </c>
      <c r="U761" s="11">
        <f ca="1"/>
        <v>18.690000000000001</v>
      </c>
      <c r="V761" s="11">
        <v>9.99</v>
      </c>
      <c r="W761" s="11">
        <f ca="1"/>
        <v>0.21</v>
      </c>
      <c r="X761" s="11">
        <f ca="1"/>
        <v>0.39877104377104378</v>
      </c>
      <c r="Y761" s="11">
        <v>0</v>
      </c>
      <c r="Z761" s="11">
        <f ca="1"/>
        <v>8.0912289562289565</v>
      </c>
      <c r="AA761" s="11">
        <f ca="1"/>
        <v>4.0456144781144783</v>
      </c>
      <c r="AB761" s="4">
        <f ca="1"/>
        <v>45696</v>
      </c>
      <c r="AC761" s="4">
        <v>45696</v>
      </c>
      <c r="AD761" s="9">
        <v>45699</v>
      </c>
      <c r="AE761" s="9">
        <v>45705</v>
      </c>
      <c r="AF761" s="4" t="str">
        <f t="shared" ref="AF761:AF767" ca="1" si="30">_xlfn.CONCAT(PROPER(TEXT(AB761,"aaaa"))," ",PROPER(TEXT(AB761,"mm")))</f>
        <v>2025 02</v>
      </c>
      <c r="AG761" s="8" t="str" cm="1">
        <f t="array" ref="AG761">IFERROR(_xlfn.IFS('Banco de Dados'!#REF!="AG. COMPRA","Em processamento",'Banco de Dados'!#REF!="AG. RASTREIO","Em processamento",'Banco de Dados'!$AE761&lt;&gt;"-","Faturado",'Banco de Dados'!$AD761&lt;&gt;"-","Aguardando Pix",'Banco de Dados'!$AC761&lt;&gt;"-","Pendente"),"Aguardando Liberação")</f>
        <v>Aguardando Liberação</v>
      </c>
      <c r="AH761" s="5" t="str">
        <f>IF('Banco de Dados'!$F761="-",_xlfn.CONCAT(PROPER(TEXT(AK761,"aaaa"))," ",PROPER(TEXT(AK761,"mm"))),_xlfn.CONCAT(PROPER(TEXT(E761,"aaaa"))," ",PROPER(TEXT(E761,"mm"))))</f>
        <v>2025 01</v>
      </c>
      <c r="AI761" s="9" t="str">
        <f ca="1">IF('Banco de Dados'!$AK761&lt;&gt;"-","REEMBOLSO",IFERROR(_xlfn.XLOOKUP(G761,Follow[CODRASTREIO],Follow[STATUS]),"-"))</f>
        <v>ENTREGUE</v>
      </c>
      <c r="AJ761" s="9">
        <f ca="1">IF('Banco de Dados'!$AI761="ENTREGUE",_xlfn.XLOOKUP('Banco de Dados'!$G761,Follow[CODRASTREIO],Follow[DATAATUALIZAÇÃO]),"-")</f>
        <v>45682</v>
      </c>
      <c r="AK761" s="9" t="str">
        <f ca="1"/>
        <v>-</v>
      </c>
      <c r="AL761" s="35"/>
      <c r="AM761" s="109" cm="1">
        <f t="array" aca="1" ref="AM761" ca="1">IF('Banco de Dados'!$AK761&lt;&gt;"-",_xlfn.IFS('Banco de Dados'!$A761="bv",IF('Banco de Dados'!$E761&lt;45641,ROUND(SUM('Banco de Dados'!$R761*_xlfn.XLOOKUP('Banco de Dados'!$P761,Sku!B:B,Sku!#REF!)*20%),2),ROUND(SUM('Banco de Dados'!$R761*_xlfn.XLOOKUP('Banco de Dados'!$P761,Sku!B:B,Sku!H:H)*20%),2)),'Banco de Dados'!$A761="GO",ROUND(_xlfn.XLOOKUP('Banco de Dados'!$P761,Sku!C:C,Sku!H:H),2),'Banco de Dados'!$A761="MEI",ROUND(_xlfn.XLOOKUP('Banco de Dados'!$P761,Sku!D:D,Sku!H:H),2)),0)</f>
        <v>0</v>
      </c>
      <c r="AN761" s="109">
        <f ca="1">IF('Banco de Dados'!$AK761&lt;&gt;"-",IF('Banco de Dados'!$F761&lt;&gt;"-",_xlfn.XLOOKUP(IFERROR(IFERROR(IFERROR(VALUE(SUBSTITUTE(MID(_xlfn.TEXTAFTER('Banco de Dados'!$F761,"Data do Pedido:
",1),1,10),"-","/")),VALUE(SUBSTITUTE(MID(_xlfn.TEXTAFTER('Banco de Dados'!$F761,"Order date:
",1),1,10),"-","/"))),VALUE(SUBSTITUTE(MID(_xlfn.TEXTAFTER('Banco de Dados'!$F761,"Fecha de pedido:
",1),1,10),"-","/"))),"-"),SMS!A:A,SMS!K:K),0),0)</f>
        <v>0</v>
      </c>
      <c r="AO761" s="109">
        <f ca="1">IF('Banco de Dados'!$AK761&lt;&gt;"-",IF('Banco de Dados'!$F761&lt;&gt;"-",IFERROR(_xlfn.XLOOKUP(_xlfn.CONCAT('Banco de Dados'!$A761,IFERROR(IFERROR(VALUE(SUBSTITUTE(MID(_xlfn.TEXTAFTER('Banco de Dados'!$F761,"Data do Pedido:
",1),1,10),"-","/")),VALUE(SUBSTITUTE(MID(_xlfn.TEXTAFTER('Banco de Dados'!$F761,"Order date:
",1),1,10),"-","/"))),0)),ProxyDD[Chave],ProxyDD[Valor por pedido]),PROXY!$P$2),0),0)</f>
        <v>0</v>
      </c>
      <c r="AP761" s="28">
        <f ca="1">IF('Banco de Dados'!$AK761&lt;&gt;"-",IF('Banco de Dados'!$AL761="NÃO",IFERROR(VALUE(SUBSTITUTE(_xlfn.TEXTAFTER('Banco de Dados'!$F761,"BRL ",1),".",",")),0),0),0)</f>
        <v>0</v>
      </c>
      <c r="AQ761" s="28">
        <f ca="1">SUM('Banco de Dados'!$AM761:$AP761)</f>
        <v>0</v>
      </c>
      <c r="AR761" s="8"/>
      <c r="AS761" s="8"/>
      <c r="AY761" s="8"/>
    </row>
    <row r="762" spans="1:51">
      <c r="A762" s="5" t="str">
        <v>BV</v>
      </c>
      <c r="B762" s="5" t="str">
        <f ca="1"/>
        <v>BV45667</v>
      </c>
      <c r="C762" s="8" t="str">
        <v>Pedido 749</v>
      </c>
      <c r="D762" s="9">
        <v>45667</v>
      </c>
      <c r="E762" s="9">
        <v>45667</v>
      </c>
      <c r="F762" s="8" t="str">
        <v>PedidoF728</v>
      </c>
      <c r="G762" s="2" t="str">
        <v>CódRastreio726</v>
      </c>
      <c r="H762" s="5">
        <v>1</v>
      </c>
      <c r="I762" s="182" t="str">
        <v>CPF 727</v>
      </c>
      <c r="J762" s="2" t="str">
        <v>Nome 727</v>
      </c>
      <c r="K762" s="8" t="str">
        <v>Tel 727</v>
      </c>
      <c r="L762" s="8" t="str">
        <v>Cep 727</v>
      </c>
      <c r="M762" s="8" t="str">
        <v>Rua 727</v>
      </c>
      <c r="N762" s="8" t="str">
        <v>Comp 727</v>
      </c>
      <c r="O762" s="8" t="str">
        <v>Adaptador Bluetooph</v>
      </c>
      <c r="P762" s="8" t="str">
        <v>YA-AG3H-SPUK</v>
      </c>
      <c r="Q762" s="4">
        <v>45685</v>
      </c>
      <c r="R762" s="109">
        <v>21.99</v>
      </c>
      <c r="S762" s="11">
        <f ca="1"/>
        <v>21.99</v>
      </c>
      <c r="T762" s="28">
        <f ca="1"/>
        <v>2.6387999999999998</v>
      </c>
      <c r="U762" s="11">
        <f ca="1"/>
        <v>19.350000000000001</v>
      </c>
      <c r="V762" s="11">
        <v>11.72</v>
      </c>
      <c r="W762" s="11">
        <f ca="1"/>
        <v>0.21</v>
      </c>
      <c r="X762" s="11">
        <f ca="1"/>
        <v>0.39877104377104378</v>
      </c>
      <c r="Y762" s="11">
        <v>0</v>
      </c>
      <c r="Z762" s="11">
        <f ca="1"/>
        <v>7.0212289562289563</v>
      </c>
      <c r="AA762" s="11">
        <f ca="1"/>
        <v>3.5106144781144781</v>
      </c>
      <c r="AB762" s="4">
        <f ca="1"/>
        <v>45692</v>
      </c>
      <c r="AC762" s="4">
        <v>45692</v>
      </c>
      <c r="AD762" s="9">
        <v>45693</v>
      </c>
      <c r="AE762" s="9">
        <v>45705</v>
      </c>
      <c r="AF762" s="4" t="str">
        <f t="shared" ca="1" si="30"/>
        <v>2025 02</v>
      </c>
      <c r="AG762" s="8" t="str" cm="1">
        <f t="array" ref="AG762">IFERROR(_xlfn.IFS('Banco de Dados'!#REF!="AG. COMPRA","Em processamento",'Banco de Dados'!#REF!="AG. RASTREIO","Em processamento",'Banco de Dados'!$AE762&lt;&gt;"-","Faturado",'Banco de Dados'!$AD762&lt;&gt;"-","Aguardando Pix",'Banco de Dados'!$AC762&lt;&gt;"-","Pendente"),"Aguardando Liberação")</f>
        <v>Aguardando Liberação</v>
      </c>
      <c r="AH762" s="5" t="str">
        <f>IF('Banco de Dados'!$F762="-",_xlfn.CONCAT(PROPER(TEXT(AK762,"aaaa"))," ",PROPER(TEXT(AK762,"mm"))),_xlfn.CONCAT(PROPER(TEXT(E762,"aaaa"))," ",PROPER(TEXT(E762,"mm"))))</f>
        <v>2025 01</v>
      </c>
      <c r="AI762" s="9" t="str">
        <f ca="1">IF('Banco de Dados'!$AK762&lt;&gt;"-","REEMBOLSO",IFERROR(_xlfn.XLOOKUP(G762,Follow[CODRASTREIO],Follow[STATUS]),"-"))</f>
        <v>ENTREGUE</v>
      </c>
      <c r="AJ762" s="9">
        <f ca="1">IF('Banco de Dados'!$AI762="ENTREGUE",_xlfn.XLOOKUP('Banco de Dados'!$G762,Follow[CODRASTREIO],Follow[DATAATUALIZAÇÃO]),"-")</f>
        <v>45673</v>
      </c>
      <c r="AK762" s="9" t="str">
        <f ca="1"/>
        <v>-</v>
      </c>
      <c r="AL762" s="35"/>
      <c r="AM762" s="109" cm="1">
        <f t="array" aca="1" ref="AM762" ca="1">IF('Banco de Dados'!$AK762&lt;&gt;"-",_xlfn.IFS('Banco de Dados'!$A762="bv",IF('Banco de Dados'!$E762&lt;45641,ROUND(SUM('Banco de Dados'!$R762*_xlfn.XLOOKUP('Banco de Dados'!$P762,Sku!B:B,Sku!#REF!)*20%),2),ROUND(SUM('Banco de Dados'!$R762*_xlfn.XLOOKUP('Banco de Dados'!$P762,Sku!B:B,Sku!H:H)*20%),2)),'Banco de Dados'!$A762="GO",ROUND(_xlfn.XLOOKUP('Banco de Dados'!$P762,Sku!C:C,Sku!H:H),2),'Banco de Dados'!$A762="MEI",ROUND(_xlfn.XLOOKUP('Banco de Dados'!$P762,Sku!D:D,Sku!H:H),2)),0)</f>
        <v>0</v>
      </c>
      <c r="AN762" s="109">
        <f ca="1">IF('Banco de Dados'!$AK762&lt;&gt;"-",IF('Banco de Dados'!$F762&lt;&gt;"-",_xlfn.XLOOKUP(IFERROR(IFERROR(IFERROR(VALUE(SUBSTITUTE(MID(_xlfn.TEXTAFTER('Banco de Dados'!$F762,"Data do Pedido:
",1),1,10),"-","/")),VALUE(SUBSTITUTE(MID(_xlfn.TEXTAFTER('Banco de Dados'!$F762,"Order date:
",1),1,10),"-","/"))),VALUE(SUBSTITUTE(MID(_xlfn.TEXTAFTER('Banco de Dados'!$F762,"Fecha de pedido:
",1),1,10),"-","/"))),"-"),SMS!A:A,SMS!K:K),0),0)</f>
        <v>0</v>
      </c>
      <c r="AO762" s="109">
        <f ca="1">IF('Banco de Dados'!$AK762&lt;&gt;"-",IF('Banco de Dados'!$F762&lt;&gt;"-",IFERROR(_xlfn.XLOOKUP(_xlfn.CONCAT('Banco de Dados'!$A762,IFERROR(IFERROR(VALUE(SUBSTITUTE(MID(_xlfn.TEXTAFTER('Banco de Dados'!$F762,"Data do Pedido:
",1),1,10),"-","/")),VALUE(SUBSTITUTE(MID(_xlfn.TEXTAFTER('Banco de Dados'!$F762,"Order date:
",1),1,10),"-","/"))),0)),ProxyDD[Chave],ProxyDD[Valor por pedido]),PROXY!$P$2),0),0)</f>
        <v>0</v>
      </c>
      <c r="AP762" s="28">
        <f ca="1">IF('Banco de Dados'!$AK762&lt;&gt;"-",IF('Banco de Dados'!$AL762="NÃO",IFERROR(VALUE(SUBSTITUTE(_xlfn.TEXTAFTER('Banco de Dados'!$F762,"BRL ",1),".",",")),0),0),0)</f>
        <v>0</v>
      </c>
      <c r="AQ762" s="28">
        <f ca="1">SUM('Banco de Dados'!$AM762:$AP762)</f>
        <v>0</v>
      </c>
      <c r="AR762" s="8"/>
      <c r="AS762" s="8"/>
      <c r="AY762" s="8"/>
    </row>
    <row r="763" spans="1:51">
      <c r="A763" s="5" t="str">
        <v>BV</v>
      </c>
      <c r="B763" s="5" t="str">
        <f ca="1"/>
        <v>BV45667</v>
      </c>
      <c r="C763" s="8" t="str">
        <v>Pedido 750</v>
      </c>
      <c r="D763" s="9">
        <v>45667</v>
      </c>
      <c r="E763" s="9">
        <v>45667</v>
      </c>
      <c r="F763" s="8" t="str">
        <v>PedidoF729</v>
      </c>
      <c r="G763" s="2" t="str">
        <v>CódRastreio727</v>
      </c>
      <c r="H763" s="5">
        <v>1</v>
      </c>
      <c r="I763" s="182" t="str">
        <v>CPF 728</v>
      </c>
      <c r="J763" s="2" t="str">
        <v>Nome 728</v>
      </c>
      <c r="K763" s="8" t="str">
        <v>Tel 728</v>
      </c>
      <c r="L763" s="8" t="str">
        <v>Cep 728</v>
      </c>
      <c r="M763" s="8" t="str">
        <v>Rua 728</v>
      </c>
      <c r="N763" s="8" t="str">
        <v>Comp 728</v>
      </c>
      <c r="O763" s="8" t="str">
        <v>Ventilador Preto</v>
      </c>
      <c r="P763" s="8" t="str">
        <v>MU-J80P-95WF</v>
      </c>
      <c r="Q763" s="4">
        <v>45692</v>
      </c>
      <c r="R763" s="109">
        <v>66.989999999999995</v>
      </c>
      <c r="S763" s="11">
        <f ca="1"/>
        <v>0</v>
      </c>
      <c r="T763" s="28">
        <f ca="1"/>
        <v>0</v>
      </c>
      <c r="U763" s="11">
        <f ca="1"/>
        <v>0</v>
      </c>
      <c r="V763" s="11">
        <v>0</v>
      </c>
      <c r="W763" s="11">
        <f ca="1"/>
        <v>0</v>
      </c>
      <c r="X763" s="11">
        <f ca="1"/>
        <v>0.39877104377104378</v>
      </c>
      <c r="Y763" s="11">
        <v>0</v>
      </c>
      <c r="Z763" s="11">
        <f ca="1"/>
        <v>-0.39877104377104378</v>
      </c>
      <c r="AA763" s="11">
        <f ca="1"/>
        <v>-0.19938552188552189</v>
      </c>
      <c r="AB763" s="4">
        <f ca="1"/>
        <v>45699</v>
      </c>
      <c r="AC763" s="4">
        <v>45699</v>
      </c>
      <c r="AD763" s="9">
        <v>45702</v>
      </c>
      <c r="AE763" s="9">
        <v>45705</v>
      </c>
      <c r="AF763" s="4" t="str">
        <f t="shared" ca="1" si="30"/>
        <v>2025 02</v>
      </c>
      <c r="AG763" s="8" t="str" cm="1">
        <f t="array" ref="AG763">IFERROR(_xlfn.IFS('Banco de Dados'!#REF!="AG. COMPRA","Em processamento",'Banco de Dados'!#REF!="AG. RASTREIO","Em processamento",'Banco de Dados'!$AE763&lt;&gt;"-","Faturado",'Banco de Dados'!$AD763&lt;&gt;"-","Aguardando Pix",'Banco de Dados'!$AC763&lt;&gt;"-","Pendente"),"Aguardando Liberação")</f>
        <v>Aguardando Liberação</v>
      </c>
      <c r="AH763" s="5" t="str">
        <f>IF('Banco de Dados'!$F763="-",_xlfn.CONCAT(PROPER(TEXT(AK763,"aaaa"))," ",PROPER(TEXT(AK763,"mm"))),_xlfn.CONCAT(PROPER(TEXT(E763,"aaaa"))," ",PROPER(TEXT(E763,"mm"))))</f>
        <v>2025 01</v>
      </c>
      <c r="AI763" s="9" t="str">
        <f ca="1">IF('Banco de Dados'!$AK763&lt;&gt;"-","REEMBOLSO",IFERROR(_xlfn.XLOOKUP(G763,Follow[CODRASTREIO],Follow[STATUS]),"-"))</f>
        <v>REEMBOLSO</v>
      </c>
      <c r="AJ763" s="9" t="str">
        <f ca="1">IF('Banco de Dados'!$AI763="ENTREGUE",_xlfn.XLOOKUP('Banco de Dados'!$G763,Follow[CODRASTREIO],Follow[DATAATUALIZAÇÃO]),"-")</f>
        <v>-</v>
      </c>
      <c r="AK763" s="9">
        <f ca="1"/>
        <v>45699</v>
      </c>
      <c r="AL763" s="35"/>
      <c r="AM763" s="109">
        <v>1.74</v>
      </c>
      <c r="AN763" s="109" t="e">
        <f ca="1">IF('Banco de Dados'!$AK763&lt;&gt;"-",IF('Banco de Dados'!$F763&lt;&gt;"-",_xlfn.XLOOKUP(IFERROR(IFERROR(IFERROR(VALUE(SUBSTITUTE(MID(_xlfn.TEXTAFTER('Banco de Dados'!$F763,"Data do Pedido:
",1),1,10),"-","/")),VALUE(SUBSTITUTE(MID(_xlfn.TEXTAFTER('Banco de Dados'!$F763,"Order date:
",1),1,10),"-","/"))),VALUE(SUBSTITUTE(MID(_xlfn.TEXTAFTER('Banco de Dados'!$F763,"Fecha de pedido:
",1),1,10),"-","/"))),"-"),SMS!A:A,SMS!K:K),0),0)</f>
        <v>#N/A</v>
      </c>
      <c r="AO763" s="109">
        <f ca="1">IF('Banco de Dados'!$AK763&lt;&gt;"-",IF('Banco de Dados'!$F763&lt;&gt;"-",IFERROR(_xlfn.XLOOKUP(_xlfn.CONCAT('Banco de Dados'!$A763,IFERROR(IFERROR(VALUE(SUBSTITUTE(MID(_xlfn.TEXTAFTER('Banco de Dados'!$F763,"Data do Pedido:
",1),1,10),"-","/")),VALUE(SUBSTITUTE(MID(_xlfn.TEXTAFTER('Banco de Dados'!$F763,"Order date:
",1),1,10),"-","/"))),0)),ProxyDD[Chave],ProxyDD[Valor por pedido]),PROXY!$P$2),0),0)</f>
        <v>0.39877104377104378</v>
      </c>
      <c r="AP763" s="28">
        <f ca="1">IF('Banco de Dados'!$AK763&lt;&gt;"-",IF('Banco de Dados'!$AL763="NÃO",IFERROR(VALUE(SUBSTITUTE(_xlfn.TEXTAFTER('Banco de Dados'!$F763,"BRL ",1),".",",")),0),0),0)</f>
        <v>0</v>
      </c>
      <c r="AQ763" s="28" t="e">
        <f ca="1">SUM('Banco de Dados'!$AM763:$AP763)</f>
        <v>#N/A</v>
      </c>
      <c r="AR763" s="8"/>
      <c r="AS763" s="8"/>
      <c r="AY763" s="8"/>
    </row>
    <row r="764" spans="1:51">
      <c r="A764" s="5" t="str">
        <v>BV</v>
      </c>
      <c r="B764" s="5" t="str">
        <f ca="1"/>
        <v>BV45667</v>
      </c>
      <c r="C764" s="8" t="str">
        <v>Pedido 751</v>
      </c>
      <c r="D764" s="9">
        <v>45667</v>
      </c>
      <c r="E764" s="9">
        <v>45667</v>
      </c>
      <c r="F764" s="8" t="str">
        <v>PedidoF730</v>
      </c>
      <c r="G764" s="2" t="str">
        <v>CódRastreio728</v>
      </c>
      <c r="H764" s="5">
        <v>1</v>
      </c>
      <c r="I764" s="182" t="str">
        <v>CPF 729</v>
      </c>
      <c r="J764" s="2" t="str">
        <v>Nome 729</v>
      </c>
      <c r="K764" s="8" t="str">
        <v>Tel 729</v>
      </c>
      <c r="L764" s="8" t="str">
        <v>Cep 729</v>
      </c>
      <c r="M764" s="8" t="str">
        <v>Rua 729</v>
      </c>
      <c r="N764" s="8" t="str">
        <v>Comp 729</v>
      </c>
      <c r="O764" s="8" t="str">
        <v>Lampada Led</v>
      </c>
      <c r="P764" s="8" t="str">
        <v>RB-W251-UXV2</v>
      </c>
      <c r="Q764" s="4">
        <v>45692</v>
      </c>
      <c r="R764" s="109">
        <v>34.99</v>
      </c>
      <c r="S764" s="11">
        <f ca="1"/>
        <v>34.99</v>
      </c>
      <c r="T764" s="28">
        <f ca="1"/>
        <v>4.5487000000000002</v>
      </c>
      <c r="U764" s="11">
        <f ca="1"/>
        <v>30.44</v>
      </c>
      <c r="V764" s="11">
        <v>15.4</v>
      </c>
      <c r="W764" s="11">
        <f ca="1"/>
        <v>0.21</v>
      </c>
      <c r="X764" s="11">
        <f ca="1"/>
        <v>0.39877104377104378</v>
      </c>
      <c r="Y764" s="11">
        <v>0</v>
      </c>
      <c r="Z764" s="11">
        <f ca="1"/>
        <v>14.431228956228956</v>
      </c>
      <c r="AA764" s="11">
        <f ca="1"/>
        <v>7.2156144781144782</v>
      </c>
      <c r="AB764" s="4">
        <f ca="1"/>
        <v>45699</v>
      </c>
      <c r="AC764" s="4">
        <v>45699</v>
      </c>
      <c r="AD764" s="9">
        <v>45702</v>
      </c>
      <c r="AE764" s="9">
        <v>45705</v>
      </c>
      <c r="AF764" s="4" t="str">
        <f t="shared" ca="1" si="30"/>
        <v>2025 02</v>
      </c>
      <c r="AG764" s="8" t="str" cm="1">
        <f t="array" ref="AG764">IFERROR(_xlfn.IFS('Banco de Dados'!#REF!="AG. COMPRA","Em processamento",'Banco de Dados'!#REF!="AG. RASTREIO","Em processamento",'Banco de Dados'!$AE764&lt;&gt;"-","Faturado",'Banco de Dados'!$AD764&lt;&gt;"-","Aguardando Pix",'Banco de Dados'!$AC764&lt;&gt;"-","Pendente"),"Aguardando Liberação")</f>
        <v>Aguardando Liberação</v>
      </c>
      <c r="AH764" s="5" t="str">
        <f>IF('Banco de Dados'!$F764="-",_xlfn.CONCAT(PROPER(TEXT(AK764,"aaaa"))," ",PROPER(TEXT(AK764,"mm"))),_xlfn.CONCAT(PROPER(TEXT(E764,"aaaa"))," ",PROPER(TEXT(E764,"mm"))))</f>
        <v>2025 01</v>
      </c>
      <c r="AI764" s="9" t="str">
        <f ca="1">IF('Banco de Dados'!$AK764&lt;&gt;"-","REEMBOLSO",IFERROR(_xlfn.XLOOKUP(G764,Follow[CODRASTREIO],Follow[STATUS]),"-"))</f>
        <v>ENTREGUE</v>
      </c>
      <c r="AJ764" s="9">
        <f ca="1">IF('Banco de Dados'!$AI764="ENTREGUE",_xlfn.XLOOKUP('Banco de Dados'!$G764,Follow[CODRASTREIO],Follow[DATAATUALIZAÇÃO]),"-")</f>
        <v>45675</v>
      </c>
      <c r="AK764" s="9" t="str">
        <f ca="1"/>
        <v>-</v>
      </c>
      <c r="AL764" s="35"/>
      <c r="AM764" s="109" cm="1">
        <f t="array" aca="1" ref="AM764" ca="1">IF('Banco de Dados'!$AK764&lt;&gt;"-",_xlfn.IFS('Banco de Dados'!$A764="bv",IF('Banco de Dados'!$E764&lt;45641,ROUND(SUM('Banco de Dados'!$R764*_xlfn.XLOOKUP('Banco de Dados'!$P764,Sku!B:B,Sku!#REF!)*20%),2),ROUND(SUM('Banco de Dados'!$R764*_xlfn.XLOOKUP('Banco de Dados'!$P764,Sku!B:B,Sku!H:H)*20%),2)),'Banco de Dados'!$A764="GO",ROUND(_xlfn.XLOOKUP('Banco de Dados'!$P764,Sku!C:C,Sku!H:H),2),'Banco de Dados'!$A764="MEI",ROUND(_xlfn.XLOOKUP('Banco de Dados'!$P764,Sku!D:D,Sku!H:H),2)),0)</f>
        <v>0</v>
      </c>
      <c r="AN764" s="109">
        <f ca="1">IF('Banco de Dados'!$AK764&lt;&gt;"-",IF('Banco de Dados'!$F764&lt;&gt;"-",_xlfn.XLOOKUP(IFERROR(IFERROR(IFERROR(VALUE(SUBSTITUTE(MID(_xlfn.TEXTAFTER('Banco de Dados'!$F764,"Data do Pedido:
",1),1,10),"-","/")),VALUE(SUBSTITUTE(MID(_xlfn.TEXTAFTER('Banco de Dados'!$F764,"Order date:
",1),1,10),"-","/"))),VALUE(SUBSTITUTE(MID(_xlfn.TEXTAFTER('Banco de Dados'!$F764,"Fecha de pedido:
",1),1,10),"-","/"))),"-"),SMS!A:A,SMS!K:K),0),0)</f>
        <v>0</v>
      </c>
      <c r="AO764" s="109">
        <f ca="1">IF('Banco de Dados'!$AK764&lt;&gt;"-",IF('Banco de Dados'!$F764&lt;&gt;"-",IFERROR(_xlfn.XLOOKUP(_xlfn.CONCAT('Banco de Dados'!$A764,IFERROR(IFERROR(VALUE(SUBSTITUTE(MID(_xlfn.TEXTAFTER('Banco de Dados'!$F764,"Data do Pedido:
",1),1,10),"-","/")),VALUE(SUBSTITUTE(MID(_xlfn.TEXTAFTER('Banco de Dados'!$F764,"Order date:
",1),1,10),"-","/"))),0)),ProxyDD[Chave],ProxyDD[Valor por pedido]),PROXY!$P$2),0),0)</f>
        <v>0</v>
      </c>
      <c r="AP764" s="28">
        <f ca="1">IF('Banco de Dados'!$AK764&lt;&gt;"-",IF('Banco de Dados'!$AL764="NÃO",IFERROR(VALUE(SUBSTITUTE(_xlfn.TEXTAFTER('Banco de Dados'!$F764,"BRL ",1),".",",")),0),0),0)</f>
        <v>0</v>
      </c>
      <c r="AQ764" s="28">
        <f ca="1">SUM('Banco de Dados'!$AM764:$AP764)</f>
        <v>0</v>
      </c>
      <c r="AR764" s="8"/>
      <c r="AS764" s="8"/>
      <c r="AY764" s="8"/>
    </row>
    <row r="765" spans="1:51">
      <c r="A765" s="5" t="str">
        <v>BV</v>
      </c>
      <c r="B765" s="5" t="str">
        <f ca="1"/>
        <v>BV45667</v>
      </c>
      <c r="C765" s="8" t="str">
        <v>Pedido 752</v>
      </c>
      <c r="D765" s="9">
        <v>45667</v>
      </c>
      <c r="E765" s="9">
        <v>45667</v>
      </c>
      <c r="F765" s="8" t="str">
        <v>PedidoF731</v>
      </c>
      <c r="G765" s="2" t="str">
        <v>CódRastreio729</v>
      </c>
      <c r="H765" s="5">
        <v>1</v>
      </c>
      <c r="I765" s="182" t="str">
        <v>CPF 730</v>
      </c>
      <c r="J765" s="2" t="str">
        <v>Nome 730</v>
      </c>
      <c r="K765" s="8" t="str">
        <v>Tel 730</v>
      </c>
      <c r="L765" s="8" t="str">
        <v>Cep 730</v>
      </c>
      <c r="M765" s="8" t="str">
        <v>Rua 730</v>
      </c>
      <c r="N765" s="8" t="str">
        <v>Comp 730</v>
      </c>
      <c r="O765" s="8" t="str">
        <v>Ventilador Preto</v>
      </c>
      <c r="P765" s="8" t="str">
        <v>MU-J80P-95WF</v>
      </c>
      <c r="Q765" s="4">
        <v>45699</v>
      </c>
      <c r="R765" s="109">
        <v>66.989999999999995</v>
      </c>
      <c r="S765" s="11">
        <f ca="1"/>
        <v>66.989999999999995</v>
      </c>
      <c r="T765" s="28">
        <f ca="1"/>
        <v>8.7087000000000003</v>
      </c>
      <c r="U765" s="11">
        <f ca="1"/>
        <v>58.28</v>
      </c>
      <c r="V765" s="11">
        <v>19.64</v>
      </c>
      <c r="W765" s="11">
        <f ca="1"/>
        <v>0.21</v>
      </c>
      <c r="X765" s="11">
        <f ca="1"/>
        <v>0.39877104377104378</v>
      </c>
      <c r="Y765" s="11">
        <v>0</v>
      </c>
      <c r="Z765" s="11">
        <f ca="1"/>
        <v>38.031228956228958</v>
      </c>
      <c r="AA765" s="11">
        <f ca="1"/>
        <v>19.015614478114479</v>
      </c>
      <c r="AB765" s="4">
        <f ca="1"/>
        <v>45706</v>
      </c>
      <c r="AC765" s="4">
        <v>45706</v>
      </c>
      <c r="AD765" s="9">
        <v>45721</v>
      </c>
      <c r="AE765" s="9">
        <v>45721</v>
      </c>
      <c r="AF765" s="4" t="str">
        <f t="shared" ca="1" si="30"/>
        <v>2025 02</v>
      </c>
      <c r="AG765" s="8" t="str" cm="1">
        <f t="array" ref="AG765">IFERROR(_xlfn.IFS('Banco de Dados'!#REF!="AG. COMPRA","Em processamento",'Banco de Dados'!#REF!="AG. RASTREIO","Em processamento",'Banco de Dados'!$AE765&lt;&gt;"-","Faturado",'Banco de Dados'!$AD765&lt;&gt;"-","Aguardando Pix",'Banco de Dados'!$AC765&lt;&gt;"-","Pendente"),"Aguardando Liberação")</f>
        <v>Aguardando Liberação</v>
      </c>
      <c r="AH765" s="5" t="str">
        <f>IF('Banco de Dados'!$F765="-",_xlfn.CONCAT(PROPER(TEXT(AK765,"aaaa"))," ",PROPER(TEXT(AK765,"mm"))),_xlfn.CONCAT(PROPER(TEXT(E765,"aaaa"))," ",PROPER(TEXT(E765,"mm"))))</f>
        <v>2025 01</v>
      </c>
      <c r="AI765" s="9" t="str">
        <f ca="1">IF('Banco de Dados'!$AK765&lt;&gt;"-","REEMBOLSO",IFERROR(_xlfn.XLOOKUP(G765,Follow[CODRASTREIO],Follow[STATUS]),"-"))</f>
        <v>ENTREGUE</v>
      </c>
      <c r="AJ765" s="9">
        <f ca="1">IF('Banco de Dados'!$AI765="ENTREGUE",_xlfn.XLOOKUP('Banco de Dados'!$G765,Follow[CODRASTREIO],Follow[DATAATUALIZAÇÃO]),"-")</f>
        <v>45689</v>
      </c>
      <c r="AK765" s="9" t="str">
        <f ca="1"/>
        <v>-</v>
      </c>
      <c r="AL765" s="35"/>
      <c r="AM765" s="109" cm="1">
        <f t="array" aca="1" ref="AM765" ca="1">IF('Banco de Dados'!$AK765&lt;&gt;"-",_xlfn.IFS('Banco de Dados'!$A765="bv",IF('Banco de Dados'!$E765&lt;45641,ROUND(SUM('Banco de Dados'!$R765*_xlfn.XLOOKUP('Banco de Dados'!$P765,Sku!B:B,Sku!#REF!)*20%),2),ROUND(SUM('Banco de Dados'!$R765*_xlfn.XLOOKUP('Banco de Dados'!$P765,Sku!B:B,Sku!H:H)*20%),2)),'Banco de Dados'!$A765="GO",ROUND(_xlfn.XLOOKUP('Banco de Dados'!$P765,Sku!C:C,Sku!H:H),2),'Banco de Dados'!$A765="MEI",ROUND(_xlfn.XLOOKUP('Banco de Dados'!$P765,Sku!D:D,Sku!H:H),2)),0)</f>
        <v>0</v>
      </c>
      <c r="AN765" s="109">
        <f ca="1">IF('Banco de Dados'!$AK765&lt;&gt;"-",IF('Banco de Dados'!$F765&lt;&gt;"-",_xlfn.XLOOKUP(IFERROR(IFERROR(IFERROR(VALUE(SUBSTITUTE(MID(_xlfn.TEXTAFTER('Banco de Dados'!$F765,"Data do Pedido:
",1),1,10),"-","/")),VALUE(SUBSTITUTE(MID(_xlfn.TEXTAFTER('Banco de Dados'!$F765,"Order date:
",1),1,10),"-","/"))),VALUE(SUBSTITUTE(MID(_xlfn.TEXTAFTER('Banco de Dados'!$F765,"Fecha de pedido:
",1),1,10),"-","/"))),"-"),SMS!A:A,SMS!K:K),0),0)</f>
        <v>0</v>
      </c>
      <c r="AO765" s="109">
        <f ca="1">IF('Banco de Dados'!$AK765&lt;&gt;"-",IF('Banco de Dados'!$F765&lt;&gt;"-",IFERROR(_xlfn.XLOOKUP(_xlfn.CONCAT('Banco de Dados'!$A765,IFERROR(IFERROR(VALUE(SUBSTITUTE(MID(_xlfn.TEXTAFTER('Banco de Dados'!$F765,"Data do Pedido:
",1),1,10),"-","/")),VALUE(SUBSTITUTE(MID(_xlfn.TEXTAFTER('Banco de Dados'!$F765,"Order date:
",1),1,10),"-","/"))),0)),ProxyDD[Chave],ProxyDD[Valor por pedido]),PROXY!$P$2),0),0)</f>
        <v>0</v>
      </c>
      <c r="AP765" s="28">
        <f ca="1">IF('Banco de Dados'!$AK765&lt;&gt;"-",IF('Banco de Dados'!$AL765="NÃO",IFERROR(VALUE(SUBSTITUTE(_xlfn.TEXTAFTER('Banco de Dados'!$F765,"BRL ",1),".",",")),0),0),0)</f>
        <v>0</v>
      </c>
      <c r="AQ765" s="28">
        <f ca="1">SUM('Banco de Dados'!$AM765:$AP765)</f>
        <v>0</v>
      </c>
      <c r="AR765" s="8"/>
      <c r="AS765" s="8"/>
      <c r="AY765" s="8"/>
    </row>
    <row r="766" spans="1:51">
      <c r="A766" s="5" t="str">
        <v>BV</v>
      </c>
      <c r="B766" s="5" t="str">
        <f ca="1"/>
        <v>BV45669</v>
      </c>
      <c r="C766" s="8" t="str">
        <v>Pedido 753</v>
      </c>
      <c r="D766" s="9">
        <v>45669</v>
      </c>
      <c r="E766" s="9">
        <v>45669</v>
      </c>
      <c r="F766" s="8" t="str">
        <v>PedidoF732</v>
      </c>
      <c r="G766" s="2" t="str">
        <v>CódRastreio730</v>
      </c>
      <c r="H766" s="5">
        <v>1</v>
      </c>
      <c r="I766" s="182" t="str">
        <v>CPF 731</v>
      </c>
      <c r="J766" s="2" t="str">
        <v>Nome 731</v>
      </c>
      <c r="K766" s="8" t="str">
        <v>Tel 731</v>
      </c>
      <c r="L766" s="8" t="str">
        <v>Cep 731</v>
      </c>
      <c r="M766" s="8" t="str">
        <v>Rua 731</v>
      </c>
      <c r="N766" s="8" t="str">
        <v>Comp 731</v>
      </c>
      <c r="O766" s="8" t="str">
        <v>Ventilador Azul</v>
      </c>
      <c r="P766" s="8" t="str">
        <v>U8-2VWS-OB6M</v>
      </c>
      <c r="Q766" s="4">
        <v>45693</v>
      </c>
      <c r="R766" s="109">
        <v>66.989999999999995</v>
      </c>
      <c r="S766" s="11">
        <f ca="1"/>
        <v>0</v>
      </c>
      <c r="T766" s="28">
        <f ca="1"/>
        <v>0</v>
      </c>
      <c r="U766" s="11">
        <f ca="1"/>
        <v>0</v>
      </c>
      <c r="V766" s="11">
        <v>0</v>
      </c>
      <c r="W766" s="11">
        <f ca="1"/>
        <v>0</v>
      </c>
      <c r="X766" s="11">
        <f ca="1"/>
        <v>0.39877104377104378</v>
      </c>
      <c r="Y766" s="11">
        <v>0</v>
      </c>
      <c r="Z766" s="11">
        <f ca="1"/>
        <v>-0.39877104377104378</v>
      </c>
      <c r="AA766" s="11">
        <f ca="1"/>
        <v>-0.19938552188552189</v>
      </c>
      <c r="AB766" s="4">
        <f ca="1"/>
        <v>45700</v>
      </c>
      <c r="AC766" s="4">
        <v>45700</v>
      </c>
      <c r="AD766" s="9">
        <v>45702</v>
      </c>
      <c r="AE766" s="9">
        <v>45705</v>
      </c>
      <c r="AF766" s="4" t="str">
        <f t="shared" ca="1" si="30"/>
        <v>2025 02</v>
      </c>
      <c r="AG766" s="8" t="str" cm="1">
        <f t="array" ref="AG766">IFERROR(_xlfn.IFS('Banco de Dados'!#REF!="AG. COMPRA","Em processamento",'Banco de Dados'!#REF!="AG. RASTREIO","Em processamento",'Banco de Dados'!$AE766&lt;&gt;"-","Faturado",'Banco de Dados'!$AD766&lt;&gt;"-","Aguardando Pix",'Banco de Dados'!$AC766&lt;&gt;"-","Pendente"),"Aguardando Liberação")</f>
        <v>Aguardando Liberação</v>
      </c>
      <c r="AH766" s="5" t="str">
        <f>IF('Banco de Dados'!$F766="-",_xlfn.CONCAT(PROPER(TEXT(AK766,"aaaa"))," ",PROPER(TEXT(AK766,"mm"))),_xlfn.CONCAT(PROPER(TEXT(E766,"aaaa"))," ",PROPER(TEXT(E766,"mm"))))</f>
        <v>2025 01</v>
      </c>
      <c r="AI766" s="9" t="str">
        <f ca="1">IF('Banco de Dados'!$AK766&lt;&gt;"-","REEMBOLSO",IFERROR(_xlfn.XLOOKUP(G766,Follow[CODRASTREIO],Follow[STATUS]),"-"))</f>
        <v>REEMBOLSO</v>
      </c>
      <c r="AJ766" s="9" t="str">
        <f ca="1">IF('Banco de Dados'!$AI766="ENTREGUE",_xlfn.XLOOKUP('Banco de Dados'!$G766,Follow[CODRASTREIO],Follow[DATAATUALIZAÇÃO]),"-")</f>
        <v>-</v>
      </c>
      <c r="AK766" s="9">
        <f ca="1"/>
        <v>45700</v>
      </c>
      <c r="AL766" s="35"/>
      <c r="AM766" s="109">
        <v>1.74</v>
      </c>
      <c r="AN766" s="109" t="e">
        <f ca="1">IF('Banco de Dados'!$AK766&lt;&gt;"-",IF('Banco de Dados'!$F766&lt;&gt;"-",_xlfn.XLOOKUP(IFERROR(IFERROR(IFERROR(VALUE(SUBSTITUTE(MID(_xlfn.TEXTAFTER('Banco de Dados'!$F766,"Data do Pedido:
",1),1,10),"-","/")),VALUE(SUBSTITUTE(MID(_xlfn.TEXTAFTER('Banco de Dados'!$F766,"Order date:
",1),1,10),"-","/"))),VALUE(SUBSTITUTE(MID(_xlfn.TEXTAFTER('Banco de Dados'!$F766,"Fecha de pedido:
",1),1,10),"-","/"))),"-"),SMS!A:A,SMS!K:K),0),0)</f>
        <v>#N/A</v>
      </c>
      <c r="AO766" s="109">
        <f ca="1">IF('Banco de Dados'!$AK766&lt;&gt;"-",IF('Banco de Dados'!$F766&lt;&gt;"-",IFERROR(_xlfn.XLOOKUP(_xlfn.CONCAT('Banco de Dados'!$A766,IFERROR(IFERROR(VALUE(SUBSTITUTE(MID(_xlfn.TEXTAFTER('Banco de Dados'!$F766,"Data do Pedido:
",1),1,10),"-","/")),VALUE(SUBSTITUTE(MID(_xlfn.TEXTAFTER('Banco de Dados'!$F766,"Order date:
",1),1,10),"-","/"))),0)),ProxyDD[Chave],ProxyDD[Valor por pedido]),PROXY!$P$2),0),0)</f>
        <v>0.39877104377104378</v>
      </c>
      <c r="AP766" s="28">
        <f ca="1">IF('Banco de Dados'!$AK766&lt;&gt;"-",IF('Banco de Dados'!$AL766="NÃO",IFERROR(VALUE(SUBSTITUTE(_xlfn.TEXTAFTER('Banco de Dados'!$F766,"BRL ",1),".",",")),0),0),0)</f>
        <v>0</v>
      </c>
      <c r="AQ766" s="28" t="e">
        <f ca="1">SUM('Banco de Dados'!$AM766:$AP766)</f>
        <v>#N/A</v>
      </c>
      <c r="AR766" s="8"/>
      <c r="AS766" s="8"/>
      <c r="AY766" s="8"/>
    </row>
    <row r="767" spans="1:51">
      <c r="A767" s="5" t="str">
        <v>BV</v>
      </c>
      <c r="B767" s="5" t="str">
        <f ca="1"/>
        <v>BV45667</v>
      </c>
      <c r="C767" s="8" t="str">
        <v>Pedido 754</v>
      </c>
      <c r="D767" s="9">
        <v>45667</v>
      </c>
      <c r="E767" s="9">
        <v>45667</v>
      </c>
      <c r="F767" s="8" t="str">
        <v>PedidoF733</v>
      </c>
      <c r="G767" s="2" t="str">
        <v>CódRastreio731</v>
      </c>
      <c r="H767" s="5">
        <v>1</v>
      </c>
      <c r="I767" s="182" t="str">
        <v>CPF 732</v>
      </c>
      <c r="J767" s="2" t="str">
        <v>Nome 732</v>
      </c>
      <c r="K767" s="8" t="str">
        <v>Tel 732</v>
      </c>
      <c r="L767" s="8" t="str">
        <v>Cep 732</v>
      </c>
      <c r="M767" s="8" t="str">
        <v>Rua 732</v>
      </c>
      <c r="N767" s="8" t="str">
        <v>Comp 732</v>
      </c>
      <c r="O767" s="8" t="str">
        <v>Ventilador Azul</v>
      </c>
      <c r="P767" s="8" t="str">
        <v>U8-2VWS-OB6M</v>
      </c>
      <c r="Q767" s="4">
        <v>45687</v>
      </c>
      <c r="R767" s="109">
        <v>66.989999999999995</v>
      </c>
      <c r="S767" s="11">
        <f ca="1"/>
        <v>66.989999999999995</v>
      </c>
      <c r="T767" s="28">
        <f ca="1"/>
        <v>8.7087000000000003</v>
      </c>
      <c r="U767" s="11">
        <f ca="1"/>
        <v>58.28</v>
      </c>
      <c r="V767" s="11">
        <v>19.64</v>
      </c>
      <c r="W767" s="11">
        <f ca="1"/>
        <v>0.21</v>
      </c>
      <c r="X767" s="11">
        <f ca="1"/>
        <v>0.39877104377104378</v>
      </c>
      <c r="Y767" s="11">
        <v>0</v>
      </c>
      <c r="Z767" s="11">
        <f ca="1"/>
        <v>38.031228956228958</v>
      </c>
      <c r="AA767" s="11">
        <f ca="1"/>
        <v>19.015614478114479</v>
      </c>
      <c r="AB767" s="4">
        <f ca="1"/>
        <v>45694</v>
      </c>
      <c r="AC767" s="4">
        <v>45694</v>
      </c>
      <c r="AD767" s="9">
        <v>45694</v>
      </c>
      <c r="AE767" s="9">
        <v>45705</v>
      </c>
      <c r="AF767" s="4" t="str">
        <f t="shared" ca="1" si="30"/>
        <v>2025 02</v>
      </c>
      <c r="AG767" s="8" t="str" cm="1">
        <f t="array" ref="AG767">IFERROR(_xlfn.IFS('Banco de Dados'!#REF!="AG. COMPRA","Em processamento",'Banco de Dados'!#REF!="AG. RASTREIO","Em processamento",'Banco de Dados'!$AE767&lt;&gt;"-","Faturado",'Banco de Dados'!$AD767&lt;&gt;"-","Aguardando Pix",'Banco de Dados'!$AC767&lt;&gt;"-","Pendente"),"Aguardando Liberação")</f>
        <v>Aguardando Liberação</v>
      </c>
      <c r="AH767" s="5" t="str">
        <f>IF('Banco de Dados'!$F767="-",_xlfn.CONCAT(PROPER(TEXT(AK767,"aaaa"))," ",PROPER(TEXT(AK767,"mm"))),_xlfn.CONCAT(PROPER(TEXT(E767,"aaaa"))," ",PROPER(TEXT(E767,"mm"))))</f>
        <v>2025 01</v>
      </c>
      <c r="AI767" s="9" t="str">
        <f ca="1">IF('Banco de Dados'!$AK767&lt;&gt;"-","REEMBOLSO",IFERROR(_xlfn.XLOOKUP(G767,Follow[CODRASTREIO],Follow[STATUS]),"-"))</f>
        <v>ENTREGUE</v>
      </c>
      <c r="AJ767" s="9">
        <f ca="1">IF('Banco de Dados'!$AI767="ENTREGUE",_xlfn.XLOOKUP('Banco de Dados'!$G767,Follow[CODRASTREIO],Follow[DATAATUALIZAÇÃO]),"-")</f>
        <v>45680</v>
      </c>
      <c r="AK767" s="9" t="str">
        <f ca="1"/>
        <v>-</v>
      </c>
      <c r="AL767" s="35"/>
      <c r="AM767" s="109" cm="1">
        <f t="array" aca="1" ref="AM767" ca="1">IF('Banco de Dados'!$AK767&lt;&gt;"-",_xlfn.IFS('Banco de Dados'!$A767="bv",IF('Banco de Dados'!$E767&lt;45641,ROUND(SUM('Banco de Dados'!$R767*_xlfn.XLOOKUP('Banco de Dados'!$P767,Sku!B:B,Sku!#REF!)*20%),2),ROUND(SUM('Banco de Dados'!$R767*_xlfn.XLOOKUP('Banco de Dados'!$P767,Sku!B:B,Sku!H:H)*20%),2)),'Banco de Dados'!$A767="GO",ROUND(_xlfn.XLOOKUP('Banco de Dados'!$P767,Sku!C:C,Sku!H:H),2),'Banco de Dados'!$A767="MEI",ROUND(_xlfn.XLOOKUP('Banco de Dados'!$P767,Sku!D:D,Sku!H:H),2)),0)</f>
        <v>0</v>
      </c>
      <c r="AN767" s="109">
        <f ca="1">IF('Banco de Dados'!$AK767&lt;&gt;"-",IF('Banco de Dados'!$F767&lt;&gt;"-",_xlfn.XLOOKUP(IFERROR(IFERROR(IFERROR(VALUE(SUBSTITUTE(MID(_xlfn.TEXTAFTER('Banco de Dados'!$F767,"Data do Pedido:
",1),1,10),"-","/")),VALUE(SUBSTITUTE(MID(_xlfn.TEXTAFTER('Banco de Dados'!$F767,"Order date:
",1),1,10),"-","/"))),VALUE(SUBSTITUTE(MID(_xlfn.TEXTAFTER('Banco de Dados'!$F767,"Fecha de pedido:
",1),1,10),"-","/"))),"-"),SMS!A:A,SMS!K:K),0),0)</f>
        <v>0</v>
      </c>
      <c r="AO767" s="109">
        <f ca="1">IF('Banco de Dados'!$AK767&lt;&gt;"-",IF('Banco de Dados'!$F767&lt;&gt;"-",IFERROR(_xlfn.XLOOKUP(_xlfn.CONCAT('Banco de Dados'!$A767,IFERROR(IFERROR(VALUE(SUBSTITUTE(MID(_xlfn.TEXTAFTER('Banco de Dados'!$F767,"Data do Pedido:
",1),1,10),"-","/")),VALUE(SUBSTITUTE(MID(_xlfn.TEXTAFTER('Banco de Dados'!$F767,"Order date:
",1),1,10),"-","/"))),0)),ProxyDD[Chave],ProxyDD[Valor por pedido]),PROXY!$P$2),0),0)</f>
        <v>0</v>
      </c>
      <c r="AP767" s="28">
        <f ca="1">IF('Banco de Dados'!$AK767&lt;&gt;"-",IF('Banco de Dados'!$AL767="NÃO",IFERROR(VALUE(SUBSTITUTE(_xlfn.TEXTAFTER('Banco de Dados'!$F767,"BRL ",1),".",",")),0),0),0)</f>
        <v>0</v>
      </c>
      <c r="AQ767" s="28">
        <f ca="1">SUM('Banco de Dados'!$AM767:$AP767)</f>
        <v>0</v>
      </c>
      <c r="AR767" s="8"/>
      <c r="AS767" s="8"/>
      <c r="AY767" s="8"/>
    </row>
    <row r="768" spans="1:51">
      <c r="A768" s="5" t="str">
        <v>BV</v>
      </c>
      <c r="B768" s="5" t="str">
        <f ca="1"/>
        <v>BV45668</v>
      </c>
      <c r="C768" s="8" t="str">
        <v>Pedido 755</v>
      </c>
      <c r="D768" s="9">
        <v>45668</v>
      </c>
      <c r="E768" s="9">
        <v>45668</v>
      </c>
      <c r="F768" s="8" t="str">
        <v>PedidoF734</v>
      </c>
      <c r="G768" s="2" t="str">
        <v>CódRastreio732</v>
      </c>
      <c r="H768" s="5">
        <v>1</v>
      </c>
      <c r="I768" s="182" t="str">
        <v>CPF 733</v>
      </c>
      <c r="J768" s="2" t="str">
        <v>Nome 733</v>
      </c>
      <c r="K768" s="8" t="str">
        <v>Tel 733</v>
      </c>
      <c r="L768" s="8" t="str">
        <v>Cep 733</v>
      </c>
      <c r="M768" s="8" t="str">
        <v>Rua 733</v>
      </c>
      <c r="N768" s="8" t="str">
        <v>Comp 733</v>
      </c>
      <c r="O768" s="8" t="str">
        <v>Ventilador Preto</v>
      </c>
      <c r="P768" s="8" t="str">
        <v>MU-J80P-95WF</v>
      </c>
      <c r="Q768" s="4">
        <v>45694</v>
      </c>
      <c r="R768" s="109">
        <v>66.989999999999995</v>
      </c>
      <c r="S768" s="11">
        <f ca="1"/>
        <v>66.989999999999995</v>
      </c>
      <c r="T768" s="28">
        <f ca="1"/>
        <v>8.7087000000000003</v>
      </c>
      <c r="U768" s="11">
        <f ca="1"/>
        <v>58.28</v>
      </c>
      <c r="V768" s="11">
        <v>19.329999999999998</v>
      </c>
      <c r="W768" s="11">
        <f ca="1"/>
        <v>0.4</v>
      </c>
      <c r="X768" s="11">
        <f ca="1"/>
        <v>0.39877104377104378</v>
      </c>
      <c r="Y768" s="11">
        <v>0</v>
      </c>
      <c r="Z768" s="11">
        <f ca="1"/>
        <v>38.151228956228962</v>
      </c>
      <c r="AA768" s="11">
        <f ca="1"/>
        <v>19.075614478114481</v>
      </c>
      <c r="AB768" s="4">
        <f ca="1"/>
        <v>45701</v>
      </c>
      <c r="AC768" s="4">
        <v>45701</v>
      </c>
      <c r="AD768" s="9">
        <v>45702</v>
      </c>
      <c r="AE768" s="9">
        <v>45705</v>
      </c>
      <c r="AF768" s="4" t="str">
        <f ca="1">_xlfn.CONCAT(PROPER(TEXT(AB768,"aaaa"))," ",PROPER(TEXT(AB768,"mm")))</f>
        <v>2025 02</v>
      </c>
      <c r="AG768" s="8" t="str" cm="1">
        <f t="array" ref="AG768">IFERROR(_xlfn.IFS('Banco de Dados'!#REF!="AG. COMPRA","Em processamento",'Banco de Dados'!#REF!="AG. RASTREIO","Em processamento",'Banco de Dados'!$AE768&lt;&gt;"-","Faturado",'Banco de Dados'!$AD768&lt;&gt;"-","Aguardando Pix",'Banco de Dados'!$AC768&lt;&gt;"-","Pendente"),"Aguardando Liberação")</f>
        <v>Aguardando Liberação</v>
      </c>
      <c r="AH768" s="5" t="str">
        <f>IF('Banco de Dados'!$F768="-",_xlfn.CONCAT(PROPER(TEXT(AK768,"aaaa"))," ",PROPER(TEXT(AK768,"mm"))),_xlfn.CONCAT(PROPER(TEXT(E768,"aaaa"))," ",PROPER(TEXT(E768,"mm"))))</f>
        <v>2025 01</v>
      </c>
      <c r="AI768" s="9" t="str">
        <f ca="1">IF('Banco de Dados'!$AK768&lt;&gt;"-","REEMBOLSO",IFERROR(_xlfn.XLOOKUP(G768,Follow[CODRASTREIO],Follow[STATUS]),"-"))</f>
        <v>ENTREGUE</v>
      </c>
      <c r="AJ768" s="9">
        <f ca="1">IF('Banco de Dados'!$AI768="ENTREGUE",_xlfn.XLOOKUP('Banco de Dados'!$G768,Follow[CODRASTREIO],Follow[DATAATUALIZAÇÃO]),"-")</f>
        <v>45687</v>
      </c>
      <c r="AK768" s="9" t="str">
        <f ca="1"/>
        <v>-</v>
      </c>
      <c r="AL768" s="35"/>
      <c r="AM768" s="109" cm="1">
        <f t="array" aca="1" ref="AM768" ca="1">IF('Banco de Dados'!$AK768&lt;&gt;"-",_xlfn.IFS('Banco de Dados'!$A768="bv",IF('Banco de Dados'!$E768&lt;45641,ROUND(SUM('Banco de Dados'!$R768*_xlfn.XLOOKUP('Banco de Dados'!$P768,Sku!B:B,Sku!#REF!)*20%),2),ROUND(SUM('Banco de Dados'!$R768*_xlfn.XLOOKUP('Banco de Dados'!$P768,Sku!B:B,Sku!H:H)*20%),2)),'Banco de Dados'!$A768="GO",ROUND(_xlfn.XLOOKUP('Banco de Dados'!$P768,Sku!C:C,Sku!H:H),2),'Banco de Dados'!$A768="MEI",ROUND(_xlfn.XLOOKUP('Banco de Dados'!$P768,Sku!D:D,Sku!H:H),2)),0)</f>
        <v>0</v>
      </c>
      <c r="AN768" s="109">
        <f ca="1">IF('Banco de Dados'!$AK768&lt;&gt;"-",IF('Banco de Dados'!$F768&lt;&gt;"-",_xlfn.XLOOKUP(IFERROR(IFERROR(IFERROR(VALUE(SUBSTITUTE(MID(_xlfn.TEXTAFTER('Banco de Dados'!$F768,"Data do Pedido:
",1),1,10),"-","/")),VALUE(SUBSTITUTE(MID(_xlfn.TEXTAFTER('Banco de Dados'!$F768,"Order date:
",1),1,10),"-","/"))),VALUE(SUBSTITUTE(MID(_xlfn.TEXTAFTER('Banco de Dados'!$F768,"Fecha de pedido:
",1),1,10),"-","/"))),"-"),SMS!A:A,SMS!K:K),0),0)</f>
        <v>0</v>
      </c>
      <c r="AO768" s="109">
        <f ca="1">IF('Banco de Dados'!$AK768&lt;&gt;"-",IF('Banco de Dados'!$F768&lt;&gt;"-",IFERROR(_xlfn.XLOOKUP(_xlfn.CONCAT('Banco de Dados'!$A768,IFERROR(IFERROR(VALUE(SUBSTITUTE(MID(_xlfn.TEXTAFTER('Banco de Dados'!$F768,"Data do Pedido:
",1),1,10),"-","/")),VALUE(SUBSTITUTE(MID(_xlfn.TEXTAFTER('Banco de Dados'!$F768,"Order date:
",1),1,10),"-","/"))),0)),ProxyDD[Chave],ProxyDD[Valor por pedido]),PROXY!$P$2),0),0)</f>
        <v>0</v>
      </c>
      <c r="AP768" s="28">
        <f ca="1">IF('Banco de Dados'!$AK768&lt;&gt;"-",IF('Banco de Dados'!$AL768="NÃO",IFERROR(VALUE(SUBSTITUTE(_xlfn.TEXTAFTER('Banco de Dados'!$F768,"BRL ",1),".",",")),0),0),0)</f>
        <v>0</v>
      </c>
      <c r="AQ768" s="28">
        <f ca="1">SUM('Banco de Dados'!$AM768:$AP768)</f>
        <v>0</v>
      </c>
      <c r="AR768" s="8"/>
      <c r="AS768" s="8"/>
      <c r="AY768" s="8"/>
    </row>
    <row r="769" spans="1:51">
      <c r="A769" s="5" t="str">
        <v>BV</v>
      </c>
      <c r="B769" s="5" t="str">
        <f ca="1"/>
        <v>BV45669</v>
      </c>
      <c r="C769" s="8" t="str">
        <v>Pedido 756</v>
      </c>
      <c r="D769" s="9">
        <v>45669</v>
      </c>
      <c r="E769" s="9">
        <v>45669</v>
      </c>
      <c r="F769" s="8" t="str">
        <v>PedidoF735</v>
      </c>
      <c r="G769" s="2" t="str">
        <v>CódRastreio733</v>
      </c>
      <c r="H769" s="5">
        <v>1</v>
      </c>
      <c r="I769" s="182" t="str">
        <v>CPF 734</v>
      </c>
      <c r="J769" s="2" t="str">
        <v>Nome 734</v>
      </c>
      <c r="K769" s="8" t="str">
        <v>Tel 734</v>
      </c>
      <c r="L769" s="8" t="str">
        <v>Cep 734</v>
      </c>
      <c r="M769" s="8" t="str">
        <v>Rua 734</v>
      </c>
      <c r="N769" s="8" t="str">
        <v>Comp 734</v>
      </c>
      <c r="O769" s="8" t="str">
        <v>Ventilador de teto</v>
      </c>
      <c r="P769" s="8" t="str">
        <v>BP-NHG2-B8C1</v>
      </c>
      <c r="Q769" s="4">
        <v>45688</v>
      </c>
      <c r="R769" s="109">
        <v>75.989999999999995</v>
      </c>
      <c r="S769" s="11">
        <f ca="1"/>
        <v>75.989999999999995</v>
      </c>
      <c r="T769" s="28">
        <f ca="1"/>
        <v>9.8787000000000003</v>
      </c>
      <c r="U769" s="11">
        <f ca="1"/>
        <v>66.11</v>
      </c>
      <c r="V769" s="11">
        <v>34.39</v>
      </c>
      <c r="W769" s="11">
        <f ca="1"/>
        <v>0.26</v>
      </c>
      <c r="X769" s="11">
        <f ca="1"/>
        <v>0.39877104377104378</v>
      </c>
      <c r="Y769" s="11">
        <v>0</v>
      </c>
      <c r="Z769" s="11">
        <f ca="1"/>
        <v>31.061228956228959</v>
      </c>
      <c r="AA769" s="11">
        <f ca="1"/>
        <v>15.530614478114479</v>
      </c>
      <c r="AB769" s="4">
        <f ca="1"/>
        <v>45695</v>
      </c>
      <c r="AC769" s="4">
        <v>45695</v>
      </c>
      <c r="AD769" s="9">
        <v>45699</v>
      </c>
      <c r="AE769" s="9">
        <v>45705</v>
      </c>
      <c r="AF769" s="4" t="str">
        <f ca="1">_xlfn.CONCAT(PROPER(TEXT(AB769,"aaaa"))," ",PROPER(TEXT(AB769,"mm")))</f>
        <v>2025 02</v>
      </c>
      <c r="AG769" s="8" t="str" cm="1">
        <f t="array" ref="AG769">IFERROR(_xlfn.IFS('Banco de Dados'!#REF!="AG. COMPRA","Em processamento",'Banco de Dados'!#REF!="AG. RASTREIO","Em processamento",'Banco de Dados'!$AE769&lt;&gt;"-","Faturado",'Banco de Dados'!$AD769&lt;&gt;"-","Aguardando Pix",'Banco de Dados'!$AC769&lt;&gt;"-","Pendente"),"Aguardando Liberação")</f>
        <v>Aguardando Liberação</v>
      </c>
      <c r="AH769" s="5" t="str">
        <f>IF('Banco de Dados'!$F769="-",_xlfn.CONCAT(PROPER(TEXT(AK769,"aaaa"))," ",PROPER(TEXT(AK769,"mm"))),_xlfn.CONCAT(PROPER(TEXT(E769,"aaaa"))," ",PROPER(TEXT(E769,"mm"))))</f>
        <v>2025 01</v>
      </c>
      <c r="AI769" s="9" t="str">
        <f ca="1">IF('Banco de Dados'!$AK769&lt;&gt;"-","REEMBOLSO",IFERROR(_xlfn.XLOOKUP(G769,Follow[CODRASTREIO],Follow[STATUS]),"-"))</f>
        <v>ENTREGUE</v>
      </c>
      <c r="AJ769" s="9">
        <f ca="1">IF('Banco de Dados'!$AI769="ENTREGUE",_xlfn.XLOOKUP('Banco de Dados'!$G769,Follow[CODRASTREIO],Follow[DATAATUALIZAÇÃO]),"-")</f>
        <v>45681</v>
      </c>
      <c r="AK769" s="9" t="str">
        <f ca="1"/>
        <v>-</v>
      </c>
      <c r="AL769" s="35"/>
      <c r="AM769" s="109" cm="1">
        <f t="array" aca="1" ref="AM769" ca="1">IF('Banco de Dados'!$AK769&lt;&gt;"-",_xlfn.IFS('Banco de Dados'!$A769="bv",IF('Banco de Dados'!$E769&lt;45641,ROUND(SUM('Banco de Dados'!$R769*_xlfn.XLOOKUP('Banco de Dados'!$P769,Sku!B:B,Sku!#REF!)*20%),2),ROUND(SUM('Banco de Dados'!$R769*_xlfn.XLOOKUP('Banco de Dados'!$P769,Sku!B:B,Sku!H:H)*20%),2)),'Banco de Dados'!$A769="GO",ROUND(_xlfn.XLOOKUP('Banco de Dados'!$P769,Sku!C:C,Sku!H:H),2),'Banco de Dados'!$A769="MEI",ROUND(_xlfn.XLOOKUP('Banco de Dados'!$P769,Sku!D:D,Sku!H:H),2)),0)</f>
        <v>0</v>
      </c>
      <c r="AN769" s="109">
        <f ca="1">IF('Banco de Dados'!$AK769&lt;&gt;"-",IF('Banco de Dados'!$F769&lt;&gt;"-",_xlfn.XLOOKUP(IFERROR(IFERROR(IFERROR(VALUE(SUBSTITUTE(MID(_xlfn.TEXTAFTER('Banco de Dados'!$F769,"Data do Pedido:
",1),1,10),"-","/")),VALUE(SUBSTITUTE(MID(_xlfn.TEXTAFTER('Banco de Dados'!$F769,"Order date:
",1),1,10),"-","/"))),VALUE(SUBSTITUTE(MID(_xlfn.TEXTAFTER('Banco de Dados'!$F769,"Fecha de pedido:
",1),1,10),"-","/"))),"-"),SMS!A:A,SMS!K:K),0),0)</f>
        <v>0</v>
      </c>
      <c r="AO769" s="109">
        <f ca="1">IF('Banco de Dados'!$AK769&lt;&gt;"-",IF('Banco de Dados'!$F769&lt;&gt;"-",IFERROR(_xlfn.XLOOKUP(_xlfn.CONCAT('Banco de Dados'!$A769,IFERROR(IFERROR(VALUE(SUBSTITUTE(MID(_xlfn.TEXTAFTER('Banco de Dados'!$F769,"Data do Pedido:
",1),1,10),"-","/")),VALUE(SUBSTITUTE(MID(_xlfn.TEXTAFTER('Banco de Dados'!$F769,"Order date:
",1),1,10),"-","/"))),0)),ProxyDD[Chave],ProxyDD[Valor por pedido]),PROXY!$P$2),0),0)</f>
        <v>0</v>
      </c>
      <c r="AP769" s="28">
        <f ca="1">IF('Banco de Dados'!$AK769&lt;&gt;"-",IF('Banco de Dados'!$AL769="NÃO",IFERROR(VALUE(SUBSTITUTE(_xlfn.TEXTAFTER('Banco de Dados'!$F769,"BRL ",1),".",",")),0),0),0)</f>
        <v>0</v>
      </c>
      <c r="AQ769" s="28">
        <f ca="1">SUM('Banco de Dados'!$AM769:$AP769)</f>
        <v>0</v>
      </c>
      <c r="AR769" s="8"/>
      <c r="AS769" s="8"/>
      <c r="AY769" s="8"/>
    </row>
    <row r="770" spans="1:51">
      <c r="A770" s="5" t="str">
        <v>BV</v>
      </c>
      <c r="B770" s="5" t="str">
        <f ca="1"/>
        <v>BV45667</v>
      </c>
      <c r="C770" s="8" t="str">
        <v>Pedido 757</v>
      </c>
      <c r="D770" s="9">
        <v>45667</v>
      </c>
      <c r="E770" s="9">
        <v>45667</v>
      </c>
      <c r="F770" s="8" t="str">
        <v>PedidoF736</v>
      </c>
      <c r="G770" s="2" t="str">
        <v>CódRastreio734</v>
      </c>
      <c r="H770" s="5">
        <v>1</v>
      </c>
      <c r="I770" s="182" t="str">
        <v>CPF 735</v>
      </c>
      <c r="J770" s="2" t="str">
        <v>Nome 735</v>
      </c>
      <c r="K770" s="8" t="str">
        <v>Tel 735</v>
      </c>
      <c r="L770" s="8" t="str">
        <v>Cep 735</v>
      </c>
      <c r="M770" s="8" t="str">
        <v>Rua 735</v>
      </c>
      <c r="N770" s="8" t="str">
        <v>Comp 735</v>
      </c>
      <c r="O770" s="8" t="str">
        <v>Lampada Led</v>
      </c>
      <c r="P770" s="8" t="str">
        <v>RB-W251-UXV2</v>
      </c>
      <c r="Q770" s="4">
        <v>45688</v>
      </c>
      <c r="R770" s="109">
        <v>33.99</v>
      </c>
      <c r="S770" s="11">
        <f ca="1"/>
        <v>33.99</v>
      </c>
      <c r="T770" s="28">
        <f ca="1"/>
        <v>4.4187000000000003</v>
      </c>
      <c r="U770" s="11">
        <f ca="1"/>
        <v>29.57</v>
      </c>
      <c r="V770" s="11">
        <v>15.4</v>
      </c>
      <c r="W770" s="11">
        <f ca="1"/>
        <v>0.21</v>
      </c>
      <c r="X770" s="11">
        <f ca="1"/>
        <v>0.39877104377104378</v>
      </c>
      <c r="Y770" s="11">
        <v>0</v>
      </c>
      <c r="Z770" s="11">
        <f ca="1"/>
        <v>13.561228956228955</v>
      </c>
      <c r="AA770" s="11">
        <f ca="1"/>
        <v>6.7806144781144777</v>
      </c>
      <c r="AB770" s="4">
        <f ca="1"/>
        <v>45695</v>
      </c>
      <c r="AC770" s="4">
        <v>45695</v>
      </c>
      <c r="AD770" s="9">
        <v>45699</v>
      </c>
      <c r="AE770" s="9">
        <v>45705</v>
      </c>
      <c r="AF770" s="4" t="str">
        <f ca="1">_xlfn.CONCAT(PROPER(TEXT(AB770,"aaaa"))," ",PROPER(TEXT(AB770,"mm")))</f>
        <v>2025 02</v>
      </c>
      <c r="AG770" s="8" t="str" cm="1">
        <f t="array" ref="AG770">IFERROR(_xlfn.IFS('Banco de Dados'!#REF!="AG. COMPRA","Em processamento",'Banco de Dados'!#REF!="AG. RASTREIO","Em processamento",'Banco de Dados'!$AE770&lt;&gt;"-","Faturado",'Banco de Dados'!$AD770&lt;&gt;"-","Aguardando Pix",'Banco de Dados'!$AC770&lt;&gt;"-","Pendente"),"Aguardando Liberação")</f>
        <v>Aguardando Liberação</v>
      </c>
      <c r="AH770" s="5" t="str">
        <f>IF('Banco de Dados'!$F770="-",_xlfn.CONCAT(PROPER(TEXT(AK770,"aaaa"))," ",PROPER(TEXT(AK770,"mm"))),_xlfn.CONCAT(PROPER(TEXT(E770,"aaaa"))," ",PROPER(TEXT(E770,"mm"))))</f>
        <v>2025 01</v>
      </c>
      <c r="AI770" s="9" t="str">
        <f ca="1">IF('Banco de Dados'!$AK770&lt;&gt;"-","REEMBOLSO",IFERROR(_xlfn.XLOOKUP(G770,Follow[CODRASTREIO],Follow[STATUS]),"-"))</f>
        <v>ENTREGUE</v>
      </c>
      <c r="AJ770" s="9">
        <f ca="1">IF('Banco de Dados'!$AI770="ENTREGUE",_xlfn.XLOOKUP('Banco de Dados'!$G770,Follow[CODRASTREIO],Follow[DATAATUALIZAÇÃO]),"-")</f>
        <v>45674</v>
      </c>
      <c r="AK770" s="9" t="str">
        <f ca="1"/>
        <v>-</v>
      </c>
      <c r="AL770" s="35"/>
      <c r="AM770" s="109" cm="1">
        <f t="array" aca="1" ref="AM770" ca="1">IF('Banco de Dados'!$AK770&lt;&gt;"-",_xlfn.IFS('Banco de Dados'!$A770="bv",IF('Banco de Dados'!$E770&lt;45641,ROUND(SUM('Banco de Dados'!$R770*_xlfn.XLOOKUP('Banco de Dados'!$P770,Sku!B:B,Sku!#REF!)*20%),2),ROUND(SUM('Banco de Dados'!$R770*_xlfn.XLOOKUP('Banco de Dados'!$P770,Sku!B:B,Sku!H:H)*20%),2)),'Banco de Dados'!$A770="GO",ROUND(_xlfn.XLOOKUP('Banco de Dados'!$P770,Sku!C:C,Sku!H:H),2),'Banco de Dados'!$A770="MEI",ROUND(_xlfn.XLOOKUP('Banco de Dados'!$P770,Sku!D:D,Sku!H:H),2)),0)</f>
        <v>0</v>
      </c>
      <c r="AN770" s="109">
        <f ca="1">IF('Banco de Dados'!$AK770&lt;&gt;"-",IF('Banco de Dados'!$F770&lt;&gt;"-",_xlfn.XLOOKUP(IFERROR(IFERROR(IFERROR(VALUE(SUBSTITUTE(MID(_xlfn.TEXTAFTER('Banco de Dados'!$F770,"Data do Pedido:
",1),1,10),"-","/")),VALUE(SUBSTITUTE(MID(_xlfn.TEXTAFTER('Banco de Dados'!$F770,"Order date:
",1),1,10),"-","/"))),VALUE(SUBSTITUTE(MID(_xlfn.TEXTAFTER('Banco de Dados'!$F770,"Fecha de pedido:
",1),1,10),"-","/"))),"-"),SMS!A:A,SMS!K:K),0),0)</f>
        <v>0</v>
      </c>
      <c r="AO770" s="109">
        <f ca="1">IF('Banco de Dados'!$AK770&lt;&gt;"-",IF('Banco de Dados'!$F770&lt;&gt;"-",IFERROR(_xlfn.XLOOKUP(_xlfn.CONCAT('Banco de Dados'!$A770,IFERROR(IFERROR(VALUE(SUBSTITUTE(MID(_xlfn.TEXTAFTER('Banco de Dados'!$F770,"Data do Pedido:
",1),1,10),"-","/")),VALUE(SUBSTITUTE(MID(_xlfn.TEXTAFTER('Banco de Dados'!$F770,"Order date:
",1),1,10),"-","/"))),0)),ProxyDD[Chave],ProxyDD[Valor por pedido]),PROXY!$P$2),0),0)</f>
        <v>0</v>
      </c>
      <c r="AP770" s="28">
        <f ca="1">IF('Banco de Dados'!$AK770&lt;&gt;"-",IF('Banco de Dados'!$AL770="NÃO",IFERROR(VALUE(SUBSTITUTE(_xlfn.TEXTAFTER('Banco de Dados'!$F770,"BRL ",1),".",",")),0),0),0)</f>
        <v>0</v>
      </c>
      <c r="AQ770" s="28">
        <f ca="1">SUM('Banco de Dados'!$AM770:$AP770)</f>
        <v>0</v>
      </c>
      <c r="AR770" s="8"/>
      <c r="AS770" s="8"/>
      <c r="AY770" s="8"/>
    </row>
    <row r="771" spans="1:51">
      <c r="A771" s="5" t="str">
        <v>BV</v>
      </c>
      <c r="B771" s="5" t="str">
        <f ca="1"/>
        <v>BV45668</v>
      </c>
      <c r="C771" s="8" t="str">
        <v>Pedido 758</v>
      </c>
      <c r="D771" s="9">
        <v>45668</v>
      </c>
      <c r="E771" s="9">
        <v>45668</v>
      </c>
      <c r="F771" s="8" t="str">
        <v>PedidoF737</v>
      </c>
      <c r="G771" s="2" t="str">
        <v>CódRastreio735</v>
      </c>
      <c r="H771" s="5">
        <v>1</v>
      </c>
      <c r="I771" s="182" t="str">
        <v>CPF 736</v>
      </c>
      <c r="J771" s="2" t="str">
        <v>Nome 736</v>
      </c>
      <c r="K771" s="8" t="str">
        <v>Tel 736</v>
      </c>
      <c r="L771" s="8" t="str">
        <v>Cep 736</v>
      </c>
      <c r="M771" s="8" t="str">
        <v>Rua 736</v>
      </c>
      <c r="N771" s="8" t="str">
        <v>Comp 736</v>
      </c>
      <c r="O771" s="8" t="str">
        <v>Ventilador Azul</v>
      </c>
      <c r="P771" s="8" t="str">
        <v>U8-2VWS-OB6M</v>
      </c>
      <c r="Q771" s="4">
        <v>45694</v>
      </c>
      <c r="R771" s="109">
        <v>66.989999999999995</v>
      </c>
      <c r="S771" s="11">
        <f ca="1"/>
        <v>66.989999999999995</v>
      </c>
      <c r="T771" s="28">
        <f ca="1"/>
        <v>8.7087000000000003</v>
      </c>
      <c r="U771" s="11">
        <f ca="1"/>
        <v>58.28</v>
      </c>
      <c r="V771" s="11">
        <v>19.329999999999998</v>
      </c>
      <c r="W771" s="11">
        <f ca="1"/>
        <v>0.4</v>
      </c>
      <c r="X771" s="11">
        <f ca="1"/>
        <v>0.39877104377104378</v>
      </c>
      <c r="Y771" s="11">
        <v>0</v>
      </c>
      <c r="Z771" s="11">
        <f ca="1"/>
        <v>38.151228956228962</v>
      </c>
      <c r="AA771" s="11">
        <f ca="1"/>
        <v>19.075614478114481</v>
      </c>
      <c r="AB771" s="4">
        <f ca="1"/>
        <v>45701</v>
      </c>
      <c r="AC771" s="4">
        <v>45701</v>
      </c>
      <c r="AD771" s="9">
        <v>45702</v>
      </c>
      <c r="AE771" s="9">
        <v>45705</v>
      </c>
      <c r="AF771" s="4" t="str">
        <f ca="1">_xlfn.CONCAT(PROPER(TEXT(AB771,"aaaa"))," ",PROPER(TEXT(AB771,"mm")))</f>
        <v>2025 02</v>
      </c>
      <c r="AG771" s="8" t="str" cm="1">
        <f t="array" ref="AG771">IFERROR(_xlfn.IFS('Banco de Dados'!#REF!="AG. COMPRA","Em processamento",'Banco de Dados'!#REF!="AG. RASTREIO","Em processamento",'Banco de Dados'!$AE771&lt;&gt;"-","Faturado",'Banco de Dados'!$AD771&lt;&gt;"-","Aguardando Pix",'Banco de Dados'!$AC771&lt;&gt;"-","Pendente"),"Aguardando Liberação")</f>
        <v>Aguardando Liberação</v>
      </c>
      <c r="AH771" s="5" t="str">
        <f>IF('Banco de Dados'!$F771="-",_xlfn.CONCAT(PROPER(TEXT(AK771,"aaaa"))," ",PROPER(TEXT(AK771,"mm"))),_xlfn.CONCAT(PROPER(TEXT(E771,"aaaa"))," ",PROPER(TEXT(E771,"mm"))))</f>
        <v>2025 01</v>
      </c>
      <c r="AI771" s="9" t="str">
        <f ca="1">IF('Banco de Dados'!$AK771&lt;&gt;"-","REEMBOLSO",IFERROR(_xlfn.XLOOKUP(G771,Follow[CODRASTREIO],Follow[STATUS]),"-"))</f>
        <v>ENTREGUE</v>
      </c>
      <c r="AJ771" s="9">
        <f ca="1">IF('Banco de Dados'!$AI771="ENTREGUE",_xlfn.XLOOKUP('Banco de Dados'!$G771,Follow[CODRASTREIO],Follow[DATAATUALIZAÇÃO]),"-")</f>
        <v>45687</v>
      </c>
      <c r="AK771" s="9" t="str">
        <f ca="1"/>
        <v>-</v>
      </c>
      <c r="AL771" s="35"/>
      <c r="AM771" s="109" cm="1">
        <f t="array" aca="1" ref="AM771" ca="1">IF('Banco de Dados'!$AK771&lt;&gt;"-",_xlfn.IFS('Banco de Dados'!$A771="bv",IF('Banco de Dados'!$E771&lt;45641,ROUND(SUM('Banco de Dados'!$R771*_xlfn.XLOOKUP('Banco de Dados'!$P771,Sku!B:B,Sku!#REF!)*20%),2),ROUND(SUM('Banco de Dados'!$R771*_xlfn.XLOOKUP('Banco de Dados'!$P771,Sku!B:B,Sku!H:H)*20%),2)),'Banco de Dados'!$A771="GO",ROUND(_xlfn.XLOOKUP('Banco de Dados'!$P771,Sku!C:C,Sku!H:H),2),'Banco de Dados'!$A771="MEI",ROUND(_xlfn.XLOOKUP('Banco de Dados'!$P771,Sku!D:D,Sku!H:H),2)),0)</f>
        <v>0</v>
      </c>
      <c r="AN771" s="109">
        <f ca="1">IF('Banco de Dados'!$AK771&lt;&gt;"-",IF('Banco de Dados'!$F771&lt;&gt;"-",_xlfn.XLOOKUP(IFERROR(IFERROR(IFERROR(VALUE(SUBSTITUTE(MID(_xlfn.TEXTAFTER('Banco de Dados'!$F771,"Data do Pedido:
",1),1,10),"-","/")),VALUE(SUBSTITUTE(MID(_xlfn.TEXTAFTER('Banco de Dados'!$F771,"Order date:
",1),1,10),"-","/"))),VALUE(SUBSTITUTE(MID(_xlfn.TEXTAFTER('Banco de Dados'!$F771,"Fecha de pedido:
",1),1,10),"-","/"))),"-"),SMS!A:A,SMS!K:K),0),0)</f>
        <v>0</v>
      </c>
      <c r="AO771" s="109">
        <f ca="1">IF('Banco de Dados'!$AK771&lt;&gt;"-",IF('Banco de Dados'!$F771&lt;&gt;"-",IFERROR(_xlfn.XLOOKUP(_xlfn.CONCAT('Banco de Dados'!$A771,IFERROR(IFERROR(VALUE(SUBSTITUTE(MID(_xlfn.TEXTAFTER('Banco de Dados'!$F771,"Data do Pedido:
",1),1,10),"-","/")),VALUE(SUBSTITUTE(MID(_xlfn.TEXTAFTER('Banco de Dados'!$F771,"Order date:
",1),1,10),"-","/"))),0)),ProxyDD[Chave],ProxyDD[Valor por pedido]),PROXY!$P$2),0),0)</f>
        <v>0</v>
      </c>
      <c r="AP771" s="28">
        <f ca="1">IF('Banco de Dados'!$AK771&lt;&gt;"-",IF('Banco de Dados'!$AL771="NÃO",IFERROR(VALUE(SUBSTITUTE(_xlfn.TEXTAFTER('Banco de Dados'!$F771,"BRL ",1),".",",")),0),0),0)</f>
        <v>0</v>
      </c>
      <c r="AQ771" s="28">
        <f ca="1">SUM('Banco de Dados'!$AM771:$AP771)</f>
        <v>0</v>
      </c>
      <c r="AR771" s="8"/>
      <c r="AS771" s="8"/>
      <c r="AY771" s="8"/>
    </row>
    <row r="772" spans="1:51">
      <c r="A772" s="5" t="str">
        <v>BV</v>
      </c>
      <c r="B772" s="5" t="str">
        <f ca="1"/>
        <v>BV45669</v>
      </c>
      <c r="C772" s="8" t="str">
        <v>Pedido 759</v>
      </c>
      <c r="D772" s="9">
        <v>45669</v>
      </c>
      <c r="E772" s="9">
        <v>45669</v>
      </c>
      <c r="F772" s="8" t="str">
        <v>PedidoF738</v>
      </c>
      <c r="G772" s="2" t="str">
        <v>CódRastreio736</v>
      </c>
      <c r="H772" s="5">
        <v>1</v>
      </c>
      <c r="I772" s="182" t="str">
        <v>CPF 737</v>
      </c>
      <c r="J772" s="2" t="str">
        <v>Nome 737</v>
      </c>
      <c r="K772" s="8" t="str">
        <v>Tel 737</v>
      </c>
      <c r="L772" s="8" t="str">
        <v>Cep 737</v>
      </c>
      <c r="M772" s="8" t="str">
        <v>Rua 737</v>
      </c>
      <c r="N772" s="8" t="str">
        <v>Comp 737</v>
      </c>
      <c r="O772" s="8" t="str">
        <v>Ventilador Preto</v>
      </c>
      <c r="P772" s="8" t="str">
        <v>MU-J80P-95WF</v>
      </c>
      <c r="Q772" s="4">
        <v>45688</v>
      </c>
      <c r="R772" s="109">
        <v>66.989999999999995</v>
      </c>
      <c r="S772" s="11">
        <f ca="1"/>
        <v>66.989999999999995</v>
      </c>
      <c r="T772" s="28">
        <f ca="1"/>
        <v>8.7087000000000003</v>
      </c>
      <c r="U772" s="11">
        <f ca="1"/>
        <v>58.28</v>
      </c>
      <c r="V772" s="11">
        <v>19.2</v>
      </c>
      <c r="W772" s="11">
        <f ca="1"/>
        <v>0.26</v>
      </c>
      <c r="X772" s="11">
        <f ca="1"/>
        <v>0.39877104377104378</v>
      </c>
      <c r="Y772" s="11">
        <v>0</v>
      </c>
      <c r="Z772" s="11">
        <f ca="1"/>
        <v>38.421228956228958</v>
      </c>
      <c r="AA772" s="11">
        <f ca="1"/>
        <v>19.210614478114479</v>
      </c>
      <c r="AB772" s="4">
        <f ca="1"/>
        <v>45695</v>
      </c>
      <c r="AC772" s="4">
        <v>45695</v>
      </c>
      <c r="AD772" s="9">
        <v>45699</v>
      </c>
      <c r="AE772" s="9">
        <v>45705</v>
      </c>
      <c r="AF772" s="4" t="str">
        <f ca="1">_xlfn.CONCAT(PROPER(TEXT(AB772,"aaaa"))," ",PROPER(TEXT(AB772,"mm")))</f>
        <v>2025 02</v>
      </c>
      <c r="AG772" s="8" t="str" cm="1">
        <f t="array" ref="AG772">IFERROR(_xlfn.IFS('Banco de Dados'!#REF!="AG. COMPRA","Em processamento",'Banco de Dados'!#REF!="AG. RASTREIO","Em processamento",'Banco de Dados'!$AE772&lt;&gt;"-","Faturado",'Banco de Dados'!$AD772&lt;&gt;"-","Aguardando Pix",'Banco de Dados'!$AC772&lt;&gt;"-","Pendente"),"Aguardando Liberação")</f>
        <v>Aguardando Liberação</v>
      </c>
      <c r="AH772" s="5" t="str">
        <f>IF('Banco de Dados'!$F772="-",_xlfn.CONCAT(PROPER(TEXT(AK772,"aaaa"))," ",PROPER(TEXT(AK772,"mm"))),_xlfn.CONCAT(PROPER(TEXT(E772,"aaaa"))," ",PROPER(TEXT(E772,"mm"))))</f>
        <v>2025 01</v>
      </c>
      <c r="AI772" s="9" t="str">
        <f ca="1">IF('Banco de Dados'!$AK772&lt;&gt;"-","REEMBOLSO",IFERROR(_xlfn.XLOOKUP(G772,Follow[CODRASTREIO],Follow[STATUS]),"-"))</f>
        <v>ENTREGUE</v>
      </c>
      <c r="AJ772" s="9">
        <f ca="1">IF('Banco de Dados'!$AI772="ENTREGUE",_xlfn.XLOOKUP('Banco de Dados'!$G772,Follow[CODRASTREIO],Follow[DATAATUALIZAÇÃO]),"-")</f>
        <v>45684</v>
      </c>
      <c r="AK772" s="9" t="str">
        <f ca="1"/>
        <v>-</v>
      </c>
      <c r="AL772" s="35"/>
      <c r="AM772" s="109" cm="1">
        <f t="array" aca="1" ref="AM772" ca="1">IF('Banco de Dados'!$AK772&lt;&gt;"-",_xlfn.IFS('Banco de Dados'!$A772="bv",IF('Banco de Dados'!$E772&lt;45641,ROUND(SUM('Banco de Dados'!$R772*_xlfn.XLOOKUP('Banco de Dados'!$P772,Sku!B:B,Sku!#REF!)*20%),2),ROUND(SUM('Banco de Dados'!$R772*_xlfn.XLOOKUP('Banco de Dados'!$P772,Sku!B:B,Sku!H:H)*20%),2)),'Banco de Dados'!$A772="GO",ROUND(_xlfn.XLOOKUP('Banco de Dados'!$P772,Sku!C:C,Sku!H:H),2),'Banco de Dados'!$A772="MEI",ROUND(_xlfn.XLOOKUP('Banco de Dados'!$P772,Sku!D:D,Sku!H:H),2)),0)</f>
        <v>0</v>
      </c>
      <c r="AN772" s="109">
        <f ca="1">IF('Banco de Dados'!$AK772&lt;&gt;"-",IF('Banco de Dados'!$F772&lt;&gt;"-",_xlfn.XLOOKUP(IFERROR(IFERROR(IFERROR(VALUE(SUBSTITUTE(MID(_xlfn.TEXTAFTER('Banco de Dados'!$F772,"Data do Pedido:
",1),1,10),"-","/")),VALUE(SUBSTITUTE(MID(_xlfn.TEXTAFTER('Banco de Dados'!$F772,"Order date:
",1),1,10),"-","/"))),VALUE(SUBSTITUTE(MID(_xlfn.TEXTAFTER('Banco de Dados'!$F772,"Fecha de pedido:
",1),1,10),"-","/"))),"-"),SMS!A:A,SMS!K:K),0),0)</f>
        <v>0</v>
      </c>
      <c r="AO772" s="109">
        <f ca="1">IF('Banco de Dados'!$AK772&lt;&gt;"-",IF('Banco de Dados'!$F772&lt;&gt;"-",IFERROR(_xlfn.XLOOKUP(_xlfn.CONCAT('Banco de Dados'!$A772,IFERROR(IFERROR(VALUE(SUBSTITUTE(MID(_xlfn.TEXTAFTER('Banco de Dados'!$F772,"Data do Pedido:
",1),1,10),"-","/")),VALUE(SUBSTITUTE(MID(_xlfn.TEXTAFTER('Banco de Dados'!$F772,"Order date:
",1),1,10),"-","/"))),0)),ProxyDD[Chave],ProxyDD[Valor por pedido]),PROXY!$P$2),0),0)</f>
        <v>0</v>
      </c>
      <c r="AP772" s="28">
        <f ca="1">IF('Banco de Dados'!$AK772&lt;&gt;"-",IF('Banco de Dados'!$AL772="NÃO",IFERROR(VALUE(SUBSTITUTE(_xlfn.TEXTAFTER('Banco de Dados'!$F772,"BRL ",1),".",",")),0),0),0)</f>
        <v>0</v>
      </c>
      <c r="AQ772" s="28">
        <f ca="1">SUM('Banco de Dados'!$AM772:$AP772)</f>
        <v>0</v>
      </c>
      <c r="AR772" s="8"/>
      <c r="AS772" s="8"/>
      <c r="AY772" s="8"/>
    </row>
    <row r="773" spans="1:51">
      <c r="A773" s="5" t="str">
        <v>BV</v>
      </c>
      <c r="B773" s="5" t="str">
        <f ca="1"/>
        <v>BV45669</v>
      </c>
      <c r="C773" s="8" t="str">
        <v>Pedido 760</v>
      </c>
      <c r="D773" s="9">
        <v>45669</v>
      </c>
      <c r="E773" s="9">
        <v>45669</v>
      </c>
      <c r="F773" s="8" t="str">
        <v>PedidoF739</v>
      </c>
      <c r="G773" s="2" t="str">
        <v>CódRastreio737</v>
      </c>
      <c r="H773" s="5">
        <v>1</v>
      </c>
      <c r="I773" s="182" t="str">
        <v>CPF 738</v>
      </c>
      <c r="J773" s="2" t="str">
        <v>Nome 738</v>
      </c>
      <c r="K773" s="8" t="str">
        <v>Tel 738</v>
      </c>
      <c r="L773" s="8" t="str">
        <v>Cep 738</v>
      </c>
      <c r="M773" s="8" t="str">
        <v>Rua 738</v>
      </c>
      <c r="N773" s="8" t="str">
        <v>Comp 738</v>
      </c>
      <c r="O773" s="8" t="str">
        <v>Ventilador Preto</v>
      </c>
      <c r="P773" s="8" t="str">
        <v>MU-J80P-95WF</v>
      </c>
      <c r="Q773" s="4">
        <v>45701</v>
      </c>
      <c r="R773" s="109">
        <v>66.989999999999995</v>
      </c>
      <c r="S773" s="11">
        <f ca="1"/>
        <v>66.989999999999995</v>
      </c>
      <c r="T773" s="28">
        <f ca="1"/>
        <v>8.7087000000000003</v>
      </c>
      <c r="U773" s="11">
        <f ca="1"/>
        <v>58.28</v>
      </c>
      <c r="V773" s="11">
        <v>19.2</v>
      </c>
      <c r="W773" s="11">
        <f ca="1"/>
        <v>0.26</v>
      </c>
      <c r="X773" s="11">
        <f ca="1"/>
        <v>0.39877104377104378</v>
      </c>
      <c r="Y773" s="11">
        <v>0</v>
      </c>
      <c r="Z773" s="11">
        <f ca="1"/>
        <v>38.421228956228958</v>
      </c>
      <c r="AA773" s="11">
        <f ca="1"/>
        <v>19.210614478114479</v>
      </c>
      <c r="AB773" s="4">
        <f ca="1"/>
        <v>45708</v>
      </c>
      <c r="AC773" s="4">
        <v>45708</v>
      </c>
      <c r="AD773" s="9">
        <v>45721</v>
      </c>
      <c r="AE773" s="9">
        <v>45721</v>
      </c>
      <c r="AF773" s="4" t="str">
        <f t="shared" ref="AF773:AF781" ca="1" si="31">_xlfn.CONCAT(PROPER(TEXT(AB773,"aaaa"))," ",PROPER(TEXT(AB773,"mm")))</f>
        <v>2025 02</v>
      </c>
      <c r="AG773" s="8" t="str" cm="1">
        <f t="array" ref="AG773">IFERROR(_xlfn.IFS('Banco de Dados'!#REF!="AG. COMPRA","Em processamento",'Banco de Dados'!#REF!="AG. RASTREIO","Em processamento",'Banco de Dados'!$AE773&lt;&gt;"-","Faturado",'Banco de Dados'!$AD773&lt;&gt;"-","Aguardando Pix",'Banco de Dados'!$AC773&lt;&gt;"-","Pendente"),"Aguardando Liberação")</f>
        <v>Aguardando Liberação</v>
      </c>
      <c r="AH773" s="5" t="str">
        <f>IF('Banco de Dados'!$F773="-",_xlfn.CONCAT(PROPER(TEXT(AK773,"aaaa"))," ",PROPER(TEXT(AK773,"mm"))),_xlfn.CONCAT(PROPER(TEXT(E773,"aaaa"))," ",PROPER(TEXT(E773,"mm"))))</f>
        <v>2025 01</v>
      </c>
      <c r="AI773" s="9" t="str">
        <f ca="1">IF('Banco de Dados'!$AK773&lt;&gt;"-","REEMBOLSO",IFERROR(_xlfn.XLOOKUP(G773,Follow[CODRASTREIO],Follow[STATUS]),"-"))</f>
        <v>ENTREGUE</v>
      </c>
      <c r="AJ773" s="9">
        <f ca="1">IF('Banco de Dados'!$AI773="ENTREGUE",_xlfn.XLOOKUP('Banco de Dados'!$G773,Follow[CODRASTREIO],Follow[DATAATUALIZAÇÃO]),"-")</f>
        <v>45695</v>
      </c>
      <c r="AK773" s="9" t="str">
        <f ca="1"/>
        <v>-</v>
      </c>
      <c r="AL773" s="35"/>
      <c r="AM773" s="109" cm="1">
        <f t="array" aca="1" ref="AM773" ca="1">IF('Banco de Dados'!$AK773&lt;&gt;"-",_xlfn.IFS('Banco de Dados'!$A773="bv",IF('Banco de Dados'!$E773&lt;45641,ROUND(SUM('Banco de Dados'!$R773*_xlfn.XLOOKUP('Banco de Dados'!$P773,Sku!B:B,Sku!#REF!)*20%),2),ROUND(SUM('Banco de Dados'!$R773*_xlfn.XLOOKUP('Banco de Dados'!$P773,Sku!B:B,Sku!H:H)*20%),2)),'Banco de Dados'!$A773="GO",ROUND(_xlfn.XLOOKUP('Banco de Dados'!$P773,Sku!C:C,Sku!H:H),2),'Banco de Dados'!$A773="MEI",ROUND(_xlfn.XLOOKUP('Banco de Dados'!$P773,Sku!D:D,Sku!H:H),2)),0)</f>
        <v>0</v>
      </c>
      <c r="AN773" s="109">
        <f ca="1">IF('Banco de Dados'!$AK773&lt;&gt;"-",IF('Banco de Dados'!$F773&lt;&gt;"-",_xlfn.XLOOKUP(IFERROR(IFERROR(IFERROR(VALUE(SUBSTITUTE(MID(_xlfn.TEXTAFTER('Banco de Dados'!$F773,"Data do Pedido:
",1),1,10),"-","/")),VALUE(SUBSTITUTE(MID(_xlfn.TEXTAFTER('Banco de Dados'!$F773,"Order date:
",1),1,10),"-","/"))),VALUE(SUBSTITUTE(MID(_xlfn.TEXTAFTER('Banco de Dados'!$F773,"Fecha de pedido:
",1),1,10),"-","/"))),"-"),SMS!A:A,SMS!K:K),0),0)</f>
        <v>0</v>
      </c>
      <c r="AO773" s="109">
        <f ca="1">IF('Banco de Dados'!$AK773&lt;&gt;"-",IF('Banco de Dados'!$F773&lt;&gt;"-",IFERROR(_xlfn.XLOOKUP(_xlfn.CONCAT('Banco de Dados'!$A773,IFERROR(IFERROR(VALUE(SUBSTITUTE(MID(_xlfn.TEXTAFTER('Banco de Dados'!$F773,"Data do Pedido:
",1),1,10),"-","/")),VALUE(SUBSTITUTE(MID(_xlfn.TEXTAFTER('Banco de Dados'!$F773,"Order date:
",1),1,10),"-","/"))),0)),ProxyDD[Chave],ProxyDD[Valor por pedido]),PROXY!$P$2),0),0)</f>
        <v>0</v>
      </c>
      <c r="AP773" s="28">
        <f ca="1">IF('Banco de Dados'!$AK773&lt;&gt;"-",IF('Banco de Dados'!$AL773="NÃO",IFERROR(VALUE(SUBSTITUTE(_xlfn.TEXTAFTER('Banco de Dados'!$F773,"BRL ",1),".",",")),0),0),0)</f>
        <v>0</v>
      </c>
      <c r="AQ773" s="28">
        <f ca="1">SUM('Banco de Dados'!$AM773:$AP773)</f>
        <v>0</v>
      </c>
      <c r="AR773" s="8"/>
      <c r="AS773" s="8"/>
      <c r="AY773" s="8"/>
    </row>
    <row r="774" spans="1:51">
      <c r="A774" s="5" t="str">
        <v>BV</v>
      </c>
      <c r="B774" s="5" t="str">
        <f ca="1"/>
        <v>BV45669</v>
      </c>
      <c r="C774" s="8" t="str">
        <v>Pedido 761</v>
      </c>
      <c r="D774" s="9">
        <v>45669</v>
      </c>
      <c r="E774" s="9">
        <v>45669</v>
      </c>
      <c r="F774" s="8" t="str">
        <v>PedidoF740</v>
      </c>
      <c r="G774" s="2" t="str">
        <v>CódRastreio738</v>
      </c>
      <c r="H774" s="5">
        <v>1</v>
      </c>
      <c r="I774" s="182" t="str">
        <v>CPF 739</v>
      </c>
      <c r="J774" s="2" t="str">
        <v>Nome 739</v>
      </c>
      <c r="K774" s="8" t="str">
        <v>Tel 739</v>
      </c>
      <c r="L774" s="8" t="str">
        <v>Cep 739</v>
      </c>
      <c r="M774" s="8" t="str">
        <v>Rua 739</v>
      </c>
      <c r="N774" s="8" t="str">
        <v>Comp 739</v>
      </c>
      <c r="O774" s="8" t="str">
        <v>Ventilador Azul</v>
      </c>
      <c r="P774" s="8" t="str">
        <v>U8-2VWS-OB6M</v>
      </c>
      <c r="Q774" s="4">
        <v>45694</v>
      </c>
      <c r="R774" s="109">
        <v>66.989999999999995</v>
      </c>
      <c r="S774" s="11">
        <f ca="1"/>
        <v>66.989999999999995</v>
      </c>
      <c r="T774" s="28">
        <f ca="1"/>
        <v>8.7087000000000003</v>
      </c>
      <c r="U774" s="11">
        <f ca="1"/>
        <v>58.28</v>
      </c>
      <c r="V774" s="11">
        <v>19.2</v>
      </c>
      <c r="W774" s="11">
        <f ca="1"/>
        <v>0.26</v>
      </c>
      <c r="X774" s="11">
        <f ca="1"/>
        <v>0.39877104377104378</v>
      </c>
      <c r="Y774" s="11">
        <v>0</v>
      </c>
      <c r="Z774" s="11">
        <f ca="1"/>
        <v>38.421228956228958</v>
      </c>
      <c r="AA774" s="11">
        <f ca="1"/>
        <v>19.210614478114479</v>
      </c>
      <c r="AB774" s="4">
        <f ca="1"/>
        <v>45701</v>
      </c>
      <c r="AC774" s="4">
        <v>45701</v>
      </c>
      <c r="AD774" s="9">
        <v>45702</v>
      </c>
      <c r="AE774" s="9">
        <v>45705</v>
      </c>
      <c r="AF774" s="4" t="str">
        <f t="shared" ca="1" si="31"/>
        <v>2025 02</v>
      </c>
      <c r="AG774" s="8" t="str" cm="1">
        <f t="array" ref="AG774">IFERROR(_xlfn.IFS('Banco de Dados'!#REF!="AG. COMPRA","Em processamento",'Banco de Dados'!#REF!="AG. RASTREIO","Em processamento",'Banco de Dados'!$AE774&lt;&gt;"-","Faturado",'Banco de Dados'!$AD774&lt;&gt;"-","Aguardando Pix",'Banco de Dados'!$AC774&lt;&gt;"-","Pendente"),"Aguardando Liberação")</f>
        <v>Aguardando Liberação</v>
      </c>
      <c r="AH774" s="5" t="str">
        <f>IF('Banco de Dados'!$F774="-",_xlfn.CONCAT(PROPER(TEXT(AK774,"aaaa"))," ",PROPER(TEXT(AK774,"mm"))),_xlfn.CONCAT(PROPER(TEXT(E774,"aaaa"))," ",PROPER(TEXT(E774,"mm"))))</f>
        <v>2025 01</v>
      </c>
      <c r="AI774" s="9" t="str">
        <f ca="1">IF('Banco de Dados'!$AK774&lt;&gt;"-","REEMBOLSO",IFERROR(_xlfn.XLOOKUP(G774,Follow[CODRASTREIO],Follow[STATUS]),"-"))</f>
        <v>ENTREGUE</v>
      </c>
      <c r="AJ774" s="9">
        <f ca="1">IF('Banco de Dados'!$AI774="ENTREGUE",_xlfn.XLOOKUP('Banco de Dados'!$G774,Follow[CODRASTREIO],Follow[DATAATUALIZAÇÃO]),"-")</f>
        <v>45688</v>
      </c>
      <c r="AK774" s="9" t="str">
        <f ca="1"/>
        <v>-</v>
      </c>
      <c r="AL774" s="35"/>
      <c r="AM774" s="109" cm="1">
        <f t="array" aca="1" ref="AM774" ca="1">IF('Banco de Dados'!$AK774&lt;&gt;"-",_xlfn.IFS('Banco de Dados'!$A774="bv",IF('Banco de Dados'!$E774&lt;45641,ROUND(SUM('Banco de Dados'!$R774*_xlfn.XLOOKUP('Banco de Dados'!$P774,Sku!B:B,Sku!#REF!)*20%),2),ROUND(SUM('Banco de Dados'!$R774*_xlfn.XLOOKUP('Banco de Dados'!$P774,Sku!B:B,Sku!H:H)*20%),2)),'Banco de Dados'!$A774="GO",ROUND(_xlfn.XLOOKUP('Banco de Dados'!$P774,Sku!C:C,Sku!H:H),2),'Banco de Dados'!$A774="MEI",ROUND(_xlfn.XLOOKUP('Banco de Dados'!$P774,Sku!D:D,Sku!H:H),2)),0)</f>
        <v>0</v>
      </c>
      <c r="AN774" s="109">
        <f ca="1">IF('Banco de Dados'!$AK774&lt;&gt;"-",IF('Banco de Dados'!$F774&lt;&gt;"-",_xlfn.XLOOKUP(IFERROR(IFERROR(IFERROR(VALUE(SUBSTITUTE(MID(_xlfn.TEXTAFTER('Banco de Dados'!$F774,"Data do Pedido:
",1),1,10),"-","/")),VALUE(SUBSTITUTE(MID(_xlfn.TEXTAFTER('Banco de Dados'!$F774,"Order date:
",1),1,10),"-","/"))),VALUE(SUBSTITUTE(MID(_xlfn.TEXTAFTER('Banco de Dados'!$F774,"Fecha de pedido:
",1),1,10),"-","/"))),"-"),SMS!A:A,SMS!K:K),0),0)</f>
        <v>0</v>
      </c>
      <c r="AO774" s="109">
        <f ca="1">IF('Banco de Dados'!$AK774&lt;&gt;"-",IF('Banco de Dados'!$F774&lt;&gt;"-",IFERROR(_xlfn.XLOOKUP(_xlfn.CONCAT('Banco de Dados'!$A774,IFERROR(IFERROR(VALUE(SUBSTITUTE(MID(_xlfn.TEXTAFTER('Banco de Dados'!$F774,"Data do Pedido:
",1),1,10),"-","/")),VALUE(SUBSTITUTE(MID(_xlfn.TEXTAFTER('Banco de Dados'!$F774,"Order date:
",1),1,10),"-","/"))),0)),ProxyDD[Chave],ProxyDD[Valor por pedido]),PROXY!$P$2),0),0)</f>
        <v>0</v>
      </c>
      <c r="AP774" s="28">
        <f ca="1">IF('Banco de Dados'!$AK774&lt;&gt;"-",IF('Banco de Dados'!$AL774="NÃO",IFERROR(VALUE(SUBSTITUTE(_xlfn.TEXTAFTER('Banco de Dados'!$F774,"BRL ",1),".",",")),0),0),0)</f>
        <v>0</v>
      </c>
      <c r="AQ774" s="28">
        <f ca="1">SUM('Banco de Dados'!$AM774:$AP774)</f>
        <v>0</v>
      </c>
      <c r="AR774" s="8"/>
      <c r="AS774" s="8"/>
      <c r="AY774" s="8"/>
    </row>
    <row r="775" spans="1:51">
      <c r="A775" s="5" t="str">
        <v>BV</v>
      </c>
      <c r="B775" s="5" t="str">
        <f ca="1"/>
        <v>BV45669</v>
      </c>
      <c r="C775" s="8" t="str">
        <v>Pedido 762</v>
      </c>
      <c r="D775" s="9">
        <v>45669</v>
      </c>
      <c r="E775" s="9">
        <v>45669</v>
      </c>
      <c r="F775" s="8" t="str">
        <v>PedidoF741</v>
      </c>
      <c r="G775" s="2" t="str">
        <v>CódRastreio739</v>
      </c>
      <c r="H775" s="5">
        <v>1</v>
      </c>
      <c r="I775" s="182" t="str">
        <v>CPF 740</v>
      </c>
      <c r="J775" s="2" t="str">
        <v>Nome 740</v>
      </c>
      <c r="K775" s="8" t="str">
        <v>Tel 740</v>
      </c>
      <c r="L775" s="8" t="str">
        <v>Cep 740</v>
      </c>
      <c r="M775" s="8" t="str">
        <v>Rua 740</v>
      </c>
      <c r="N775" s="8" t="str">
        <v>Comp 740</v>
      </c>
      <c r="O775" s="8" t="str">
        <v>Mini Liquidificador</v>
      </c>
      <c r="P775" s="8" t="str">
        <v>CK-YL6M-P5Y6</v>
      </c>
      <c r="Q775" s="4">
        <v>45688</v>
      </c>
      <c r="R775" s="109">
        <v>35.99</v>
      </c>
      <c r="S775" s="11">
        <f ca="1"/>
        <v>0</v>
      </c>
      <c r="T775" s="28">
        <f ca="1"/>
        <v>0</v>
      </c>
      <c r="U775" s="11">
        <f ca="1"/>
        <v>0</v>
      </c>
      <c r="V775" s="11">
        <v>0</v>
      </c>
      <c r="W775" s="11">
        <f ca="1"/>
        <v>0</v>
      </c>
      <c r="X775" s="11">
        <f ca="1"/>
        <v>0.39877104377104378</v>
      </c>
      <c r="Y775" s="11">
        <v>0</v>
      </c>
      <c r="Z775" s="11">
        <f ca="1"/>
        <v>-0.39877104377104378</v>
      </c>
      <c r="AA775" s="11">
        <f ca="1"/>
        <v>-0.19938552188552189</v>
      </c>
      <c r="AB775" s="4">
        <f ca="1"/>
        <v>45695</v>
      </c>
      <c r="AC775" s="4">
        <v>45695</v>
      </c>
      <c r="AD775" s="9">
        <v>45699</v>
      </c>
      <c r="AE775" s="9">
        <v>45705</v>
      </c>
      <c r="AF775" s="4" t="str">
        <f t="shared" ca="1" si="31"/>
        <v>2025 02</v>
      </c>
      <c r="AG775" s="8" t="str" cm="1">
        <f t="array" ref="AG775">IFERROR(_xlfn.IFS('Banco de Dados'!#REF!="AG. COMPRA","Em processamento",'Banco de Dados'!#REF!="AG. RASTREIO","Em processamento",'Banco de Dados'!$AE775&lt;&gt;"-","Faturado",'Banco de Dados'!$AD775&lt;&gt;"-","Aguardando Pix",'Banco de Dados'!$AC775&lt;&gt;"-","Pendente"),"Aguardando Liberação")</f>
        <v>Aguardando Liberação</v>
      </c>
      <c r="AH775" s="5" t="str">
        <f>IF('Banco de Dados'!$F775="-",_xlfn.CONCAT(PROPER(TEXT(AK775,"aaaa"))," ",PROPER(TEXT(AK775,"mm"))),_xlfn.CONCAT(PROPER(TEXT(E775,"aaaa"))," ",PROPER(TEXT(E775,"mm"))))</f>
        <v>2025 01</v>
      </c>
      <c r="AI775" s="9" t="str">
        <f ca="1">IF('Banco de Dados'!$AK775&lt;&gt;"-","REEMBOLSO",IFERROR(_xlfn.XLOOKUP(G775,Follow[CODRASTREIO],Follow[STATUS]),"-"))</f>
        <v>REEMBOLSO</v>
      </c>
      <c r="AJ775" s="9" t="str">
        <f ca="1">IF('Banco de Dados'!$AI775="ENTREGUE",_xlfn.XLOOKUP('Banco de Dados'!$G775,Follow[CODRASTREIO],Follow[DATAATUALIZAÇÃO]),"-")</f>
        <v>-</v>
      </c>
      <c r="AK775" s="9">
        <f ca="1"/>
        <v>45692</v>
      </c>
      <c r="AL775" s="35"/>
      <c r="AM775" s="109">
        <v>1.01</v>
      </c>
      <c r="AN775" s="109" t="e">
        <f ca="1">IF('Banco de Dados'!$AK775&lt;&gt;"-",IF('Banco de Dados'!$F775&lt;&gt;"-",_xlfn.XLOOKUP(IFERROR(IFERROR(IFERROR(VALUE(SUBSTITUTE(MID(_xlfn.TEXTAFTER('Banco de Dados'!$F775,"Data do Pedido:
",1),1,10),"-","/")),VALUE(SUBSTITUTE(MID(_xlfn.TEXTAFTER('Banco de Dados'!$F775,"Order date:
",1),1,10),"-","/"))),VALUE(SUBSTITUTE(MID(_xlfn.TEXTAFTER('Banco de Dados'!$F775,"Fecha de pedido:
",1),1,10),"-","/"))),"-"),SMS!A:A,SMS!K:K),0),0)</f>
        <v>#N/A</v>
      </c>
      <c r="AO775" s="109">
        <f ca="1">IF('Banco de Dados'!$AK775&lt;&gt;"-",IF('Banco de Dados'!$F775&lt;&gt;"-",IFERROR(_xlfn.XLOOKUP(_xlfn.CONCAT('Banco de Dados'!$A775,IFERROR(IFERROR(VALUE(SUBSTITUTE(MID(_xlfn.TEXTAFTER('Banco de Dados'!$F775,"Data do Pedido:
",1),1,10),"-","/")),VALUE(SUBSTITUTE(MID(_xlfn.TEXTAFTER('Banco de Dados'!$F775,"Order date:
",1),1,10),"-","/"))),0)),ProxyDD[Chave],ProxyDD[Valor por pedido]),PROXY!$P$2),0),0)</f>
        <v>0.39877104377104378</v>
      </c>
      <c r="AP775" s="28">
        <f ca="1">IF('Banco de Dados'!$AK775&lt;&gt;"-",IF('Banco de Dados'!$AL775="NÃO",IFERROR(VALUE(SUBSTITUTE(_xlfn.TEXTAFTER('Banco de Dados'!$F775,"BRL ",1),".",",")),0),0),0)</f>
        <v>0</v>
      </c>
      <c r="AQ775" s="28" t="e">
        <f ca="1">SUM('Banco de Dados'!$AM775:$AP775)</f>
        <v>#N/A</v>
      </c>
      <c r="AR775" s="8"/>
      <c r="AS775" s="8"/>
      <c r="AY775" s="8"/>
    </row>
    <row r="776" spans="1:51">
      <c r="A776" s="5" t="str">
        <v>BV</v>
      </c>
      <c r="B776" s="5" t="str">
        <f ca="1"/>
        <v>BV45673</v>
      </c>
      <c r="C776" s="8" t="str">
        <v>Pedido 763</v>
      </c>
      <c r="D776" s="9">
        <v>45673</v>
      </c>
      <c r="E776" s="9">
        <v>45673</v>
      </c>
      <c r="F776" s="8" t="str">
        <v>PedidoF742</v>
      </c>
      <c r="G776" s="2" t="str">
        <v>CódRastreio740</v>
      </c>
      <c r="H776" s="5">
        <v>1</v>
      </c>
      <c r="I776" s="182" t="str">
        <v>CPF 741</v>
      </c>
      <c r="J776" s="2" t="str">
        <v>Nome 741</v>
      </c>
      <c r="K776" s="8" t="str">
        <v>Tel 741</v>
      </c>
      <c r="L776" s="8" t="str">
        <v>Cep 741</v>
      </c>
      <c r="M776" s="8" t="str">
        <v>Rua 741</v>
      </c>
      <c r="N776" s="8" t="str">
        <v>Comp 741</v>
      </c>
      <c r="O776" s="8" t="str">
        <v>Ventilador Preto</v>
      </c>
      <c r="P776" s="8" t="str">
        <v>MU-J80P-95WF</v>
      </c>
      <c r="Q776" s="4">
        <v>45688</v>
      </c>
      <c r="R776" s="109">
        <v>66.989999999999995</v>
      </c>
      <c r="S776" s="11">
        <f ca="1"/>
        <v>66.989999999999995</v>
      </c>
      <c r="T776" s="28">
        <f ca="1"/>
        <v>8.7087000000000003</v>
      </c>
      <c r="U776" s="11">
        <f ca="1"/>
        <v>58.28</v>
      </c>
      <c r="V776" s="11">
        <v>0</v>
      </c>
      <c r="W776" s="11">
        <f ca="1"/>
        <v>0.17</v>
      </c>
      <c r="X776" s="11">
        <f ca="1"/>
        <v>0.39877104377104378</v>
      </c>
      <c r="Y776" s="11">
        <v>0</v>
      </c>
      <c r="Z776" s="11">
        <f ca="1"/>
        <v>57.711228956228958</v>
      </c>
      <c r="AA776" s="11">
        <f ca="1"/>
        <v>28.855614478114479</v>
      </c>
      <c r="AB776" s="4">
        <f ca="1"/>
        <v>45695</v>
      </c>
      <c r="AC776" s="4">
        <v>45695</v>
      </c>
      <c r="AD776" s="9">
        <v>45699</v>
      </c>
      <c r="AE776" s="9">
        <v>45705</v>
      </c>
      <c r="AF776" s="4" t="str">
        <f t="shared" ca="1" si="31"/>
        <v>2025 02</v>
      </c>
      <c r="AG776" s="8" t="str" cm="1">
        <f t="array" ref="AG776">IFERROR(_xlfn.IFS('Banco de Dados'!#REF!="AG. COMPRA","Em processamento",'Banco de Dados'!#REF!="AG. RASTREIO","Em processamento",'Banco de Dados'!$AE776&lt;&gt;"-","Faturado",'Banco de Dados'!$AD776&lt;&gt;"-","Aguardando Pix",'Banco de Dados'!$AC776&lt;&gt;"-","Pendente"),"Aguardando Liberação")</f>
        <v>Aguardando Liberação</v>
      </c>
      <c r="AH776" s="5" t="str">
        <f>IF('Banco de Dados'!$F776="-",_xlfn.CONCAT(PROPER(TEXT(AK776,"aaaa"))," ",PROPER(TEXT(AK776,"mm"))),_xlfn.CONCAT(PROPER(TEXT(E776,"aaaa"))," ",PROPER(TEXT(E776,"mm"))))</f>
        <v>2025 01</v>
      </c>
      <c r="AI776" s="9" t="str">
        <f ca="1">IF('Banco de Dados'!$AK776&lt;&gt;"-","REEMBOLSO",IFERROR(_xlfn.XLOOKUP(G776,Follow[CODRASTREIO],Follow[STATUS]),"-"))</f>
        <v>ENTREGUE</v>
      </c>
      <c r="AJ776" s="9">
        <f ca="1">IF('Banco de Dados'!$AI776="ENTREGUE",_xlfn.XLOOKUP('Banco de Dados'!$G776,Follow[CODRASTREIO],Follow[DATAATUALIZAÇÃO]),"-")</f>
        <v>45684</v>
      </c>
      <c r="AK776" s="9" t="str">
        <f ca="1"/>
        <v>-</v>
      </c>
      <c r="AL776" s="35"/>
      <c r="AM776" s="109" cm="1">
        <f t="array" aca="1" ref="AM776" ca="1">IF('Banco de Dados'!$AK776&lt;&gt;"-",_xlfn.IFS('Banco de Dados'!$A776="bv",IF('Banco de Dados'!$E776&lt;45641,ROUND(SUM('Banco de Dados'!$R776*_xlfn.XLOOKUP('Banco de Dados'!$P776,Sku!B:B,Sku!#REF!)*20%),2),ROUND(SUM('Banco de Dados'!$R776*_xlfn.XLOOKUP('Banco de Dados'!$P776,Sku!B:B,Sku!H:H)*20%),2)),'Banco de Dados'!$A776="GO",ROUND(_xlfn.XLOOKUP('Banco de Dados'!$P776,Sku!C:C,Sku!H:H),2),'Banco de Dados'!$A776="MEI",ROUND(_xlfn.XLOOKUP('Banco de Dados'!$P776,Sku!D:D,Sku!H:H),2)),0)</f>
        <v>0</v>
      </c>
      <c r="AN776" s="109">
        <f ca="1">IF('Banco de Dados'!$AK776&lt;&gt;"-",IF('Banco de Dados'!$F776&lt;&gt;"-",_xlfn.XLOOKUP(IFERROR(IFERROR(IFERROR(VALUE(SUBSTITUTE(MID(_xlfn.TEXTAFTER('Banco de Dados'!$F776,"Data do Pedido:
",1),1,10),"-","/")),VALUE(SUBSTITUTE(MID(_xlfn.TEXTAFTER('Banco de Dados'!$F776,"Order date:
",1),1,10),"-","/"))),VALUE(SUBSTITUTE(MID(_xlfn.TEXTAFTER('Banco de Dados'!$F776,"Fecha de pedido:
",1),1,10),"-","/"))),"-"),SMS!A:A,SMS!K:K),0),0)</f>
        <v>0</v>
      </c>
      <c r="AO776" s="109">
        <f ca="1">IF('Banco de Dados'!$AK776&lt;&gt;"-",IF('Banco de Dados'!$F776&lt;&gt;"-",IFERROR(_xlfn.XLOOKUP(_xlfn.CONCAT('Banco de Dados'!$A776,IFERROR(IFERROR(VALUE(SUBSTITUTE(MID(_xlfn.TEXTAFTER('Banco de Dados'!$F776,"Data do Pedido:
",1),1,10),"-","/")),VALUE(SUBSTITUTE(MID(_xlfn.TEXTAFTER('Banco de Dados'!$F776,"Order date:
",1),1,10),"-","/"))),0)),ProxyDD[Chave],ProxyDD[Valor por pedido]),PROXY!$P$2),0),0)</f>
        <v>0</v>
      </c>
      <c r="AP776" s="28">
        <f ca="1">IF('Banco de Dados'!$AK776&lt;&gt;"-",IF('Banco de Dados'!$AL776="NÃO",IFERROR(VALUE(SUBSTITUTE(_xlfn.TEXTAFTER('Banco de Dados'!$F776,"BRL ",1),".",",")),0),0),0)</f>
        <v>0</v>
      </c>
      <c r="AQ776" s="28">
        <f ca="1">SUM('Banco de Dados'!$AM776:$AP776)</f>
        <v>0</v>
      </c>
      <c r="AR776" s="8"/>
      <c r="AS776" s="8"/>
      <c r="AY776" s="8"/>
    </row>
    <row r="777" spans="1:51">
      <c r="A777" s="5" t="str">
        <v>BV</v>
      </c>
      <c r="B777" s="5" t="str">
        <f ca="1"/>
        <v>BV45669</v>
      </c>
      <c r="C777" s="8" t="str">
        <v>Pedido 764</v>
      </c>
      <c r="D777" s="9">
        <v>45669</v>
      </c>
      <c r="E777" s="9">
        <v>45669</v>
      </c>
      <c r="F777" s="8" t="str">
        <v>PedidoF743</v>
      </c>
      <c r="G777" s="2" t="str">
        <v>CódRastreio741</v>
      </c>
      <c r="H777" s="5">
        <v>1</v>
      </c>
      <c r="I777" s="182" t="str">
        <v>CPF 742</v>
      </c>
      <c r="J777" s="2" t="str">
        <v>Nome 742</v>
      </c>
      <c r="K777" s="8" t="str">
        <v>Tel 742</v>
      </c>
      <c r="L777" s="8" t="str">
        <v>Cep 742</v>
      </c>
      <c r="M777" s="8" t="str">
        <v>Rua 742</v>
      </c>
      <c r="N777" s="8" t="str">
        <v>Comp 742</v>
      </c>
      <c r="O777" s="8" t="str">
        <v>Garrafa Termica</v>
      </c>
      <c r="P777" s="8" t="str">
        <v>FM-QQ8Y-RZT4</v>
      </c>
      <c r="Q777" s="4">
        <v>45688</v>
      </c>
      <c r="R777" s="109">
        <v>34.9</v>
      </c>
      <c r="S777" s="11">
        <f ca="1"/>
        <v>34.9</v>
      </c>
      <c r="T777" s="28">
        <f ca="1"/>
        <v>4.5369999999999999</v>
      </c>
      <c r="U777" s="11">
        <f ca="1"/>
        <v>30.36</v>
      </c>
      <c r="V777" s="11">
        <v>14.8</v>
      </c>
      <c r="W777" s="11">
        <f ca="1"/>
        <v>0.26</v>
      </c>
      <c r="X777" s="11">
        <f ca="1"/>
        <v>0.39877104377104378</v>
      </c>
      <c r="Y777" s="11">
        <v>0</v>
      </c>
      <c r="Z777" s="11">
        <f ca="1"/>
        <v>14.901228956228955</v>
      </c>
      <c r="AA777" s="11">
        <f ca="1"/>
        <v>7.4506144781144776</v>
      </c>
      <c r="AB777" s="4">
        <f ca="1"/>
        <v>45695</v>
      </c>
      <c r="AC777" s="4">
        <v>45695</v>
      </c>
      <c r="AD777" s="9">
        <v>45699</v>
      </c>
      <c r="AE777" s="9">
        <v>45705</v>
      </c>
      <c r="AF777" s="4" t="str">
        <f t="shared" ca="1" si="31"/>
        <v>2025 02</v>
      </c>
      <c r="AG777" s="8" t="str" cm="1">
        <f t="array" ref="AG777">IFERROR(_xlfn.IFS('Banco de Dados'!#REF!="AG. COMPRA","Em processamento",'Banco de Dados'!#REF!="AG. RASTREIO","Em processamento",'Banco de Dados'!$AE777&lt;&gt;"-","Faturado",'Banco de Dados'!$AD777&lt;&gt;"-","Aguardando Pix",'Banco de Dados'!$AC777&lt;&gt;"-","Pendente"),"Aguardando Liberação")</f>
        <v>Aguardando Liberação</v>
      </c>
      <c r="AH777" s="5" t="str">
        <f>IF('Banco de Dados'!$F777="-",_xlfn.CONCAT(PROPER(TEXT(AK777,"aaaa"))," ",PROPER(TEXT(AK777,"mm"))),_xlfn.CONCAT(PROPER(TEXT(E777,"aaaa"))," ",PROPER(TEXT(E777,"mm"))))</f>
        <v>2025 01</v>
      </c>
      <c r="AI777" s="9" t="str">
        <f ca="1">IF('Banco de Dados'!$AK777&lt;&gt;"-","REEMBOLSO",IFERROR(_xlfn.XLOOKUP(G777,Follow[CODRASTREIO],Follow[STATUS]),"-"))</f>
        <v>ENTREGUE</v>
      </c>
      <c r="AJ777" s="9">
        <f ca="1">IF('Banco de Dados'!$AI777="ENTREGUE",_xlfn.XLOOKUP('Banco de Dados'!$G777,Follow[CODRASTREIO],Follow[DATAATUALIZAÇÃO]),"-")</f>
        <v>45675</v>
      </c>
      <c r="AK777" s="9" t="str">
        <f ca="1"/>
        <v>-</v>
      </c>
      <c r="AL777" s="35"/>
      <c r="AM777" s="109" cm="1">
        <f t="array" aca="1" ref="AM777" ca="1">IF('Banco de Dados'!$AK777&lt;&gt;"-",_xlfn.IFS('Banco de Dados'!$A777="bv",IF('Banco de Dados'!$E777&lt;45641,ROUND(SUM('Banco de Dados'!$R777*_xlfn.XLOOKUP('Banco de Dados'!$P777,Sku!B:B,Sku!#REF!)*20%),2),ROUND(SUM('Banco de Dados'!$R777*_xlfn.XLOOKUP('Banco de Dados'!$P777,Sku!B:B,Sku!H:H)*20%),2)),'Banco de Dados'!$A777="GO",ROUND(_xlfn.XLOOKUP('Banco de Dados'!$P777,Sku!C:C,Sku!H:H),2),'Banco de Dados'!$A777="MEI",ROUND(_xlfn.XLOOKUP('Banco de Dados'!$P777,Sku!D:D,Sku!H:H),2)),0)</f>
        <v>0</v>
      </c>
      <c r="AN777" s="109">
        <f ca="1">IF('Banco de Dados'!$AK777&lt;&gt;"-",IF('Banco de Dados'!$F777&lt;&gt;"-",_xlfn.XLOOKUP(IFERROR(IFERROR(IFERROR(VALUE(SUBSTITUTE(MID(_xlfn.TEXTAFTER('Banco de Dados'!$F777,"Data do Pedido:
",1),1,10),"-","/")),VALUE(SUBSTITUTE(MID(_xlfn.TEXTAFTER('Banco de Dados'!$F777,"Order date:
",1),1,10),"-","/"))),VALUE(SUBSTITUTE(MID(_xlfn.TEXTAFTER('Banco de Dados'!$F777,"Fecha de pedido:
",1),1,10),"-","/"))),"-"),SMS!A:A,SMS!K:K),0),0)</f>
        <v>0</v>
      </c>
      <c r="AO777" s="109">
        <f ca="1">IF('Banco de Dados'!$AK777&lt;&gt;"-",IF('Banco de Dados'!$F777&lt;&gt;"-",IFERROR(_xlfn.XLOOKUP(_xlfn.CONCAT('Banco de Dados'!$A777,IFERROR(IFERROR(VALUE(SUBSTITUTE(MID(_xlfn.TEXTAFTER('Banco de Dados'!$F777,"Data do Pedido:
",1),1,10),"-","/")),VALUE(SUBSTITUTE(MID(_xlfn.TEXTAFTER('Banco de Dados'!$F777,"Order date:
",1),1,10),"-","/"))),0)),ProxyDD[Chave],ProxyDD[Valor por pedido]),PROXY!$P$2),0),0)</f>
        <v>0</v>
      </c>
      <c r="AP777" s="28">
        <f ca="1">IF('Banco de Dados'!$AK777&lt;&gt;"-",IF('Banco de Dados'!$AL777="NÃO",IFERROR(VALUE(SUBSTITUTE(_xlfn.TEXTAFTER('Banco de Dados'!$F777,"BRL ",1),".",",")),0),0),0)</f>
        <v>0</v>
      </c>
      <c r="AQ777" s="28">
        <f ca="1">SUM('Banco de Dados'!$AM777:$AP777)</f>
        <v>0</v>
      </c>
      <c r="AR777" s="8"/>
      <c r="AS777" s="8"/>
      <c r="AY777" s="8"/>
    </row>
    <row r="778" spans="1:51">
      <c r="A778" s="5" t="str">
        <v>BV</v>
      </c>
      <c r="B778" s="5" t="str">
        <f ca="1"/>
        <v>BV45673</v>
      </c>
      <c r="C778" s="8" t="str">
        <v>Pedido 765</v>
      </c>
      <c r="D778" s="9">
        <v>45673</v>
      </c>
      <c r="E778" s="9">
        <v>45673</v>
      </c>
      <c r="F778" s="8" t="str">
        <v>PedidoF744</v>
      </c>
      <c r="G778" s="2" t="str">
        <v>CódRastreio742</v>
      </c>
      <c r="H778" s="5">
        <v>1</v>
      </c>
      <c r="I778" s="182" t="str">
        <v>CPF 743</v>
      </c>
      <c r="J778" s="2" t="str">
        <v>Nome 743</v>
      </c>
      <c r="K778" s="8" t="str">
        <v>Tel 743</v>
      </c>
      <c r="L778" s="8" t="str">
        <v>Cep 743</v>
      </c>
      <c r="M778" s="8" t="str">
        <v>Rua 743</v>
      </c>
      <c r="N778" s="8" t="str">
        <v>Comp 743</v>
      </c>
      <c r="O778" s="8" t="str">
        <v>Ventilador Preto</v>
      </c>
      <c r="P778" s="8" t="str">
        <v>MU-J80P-95WF</v>
      </c>
      <c r="Q778" s="4">
        <v>45694</v>
      </c>
      <c r="R778" s="109">
        <v>66.989999999999995</v>
      </c>
      <c r="S778" s="11">
        <f ca="1"/>
        <v>66.989999999999995</v>
      </c>
      <c r="T778" s="28">
        <f ca="1"/>
        <v>8.7087000000000003</v>
      </c>
      <c r="U778" s="11">
        <f ca="1"/>
        <v>58.28</v>
      </c>
      <c r="V778" s="11">
        <v>24.93</v>
      </c>
      <c r="W778" s="11">
        <f ca="1"/>
        <v>0.17</v>
      </c>
      <c r="X778" s="11">
        <f ca="1"/>
        <v>0.39877104377104378</v>
      </c>
      <c r="Y778" s="11">
        <v>0</v>
      </c>
      <c r="Z778" s="11">
        <f ca="1"/>
        <v>32.781228956228958</v>
      </c>
      <c r="AA778" s="11">
        <f ca="1"/>
        <v>16.390614478114479</v>
      </c>
      <c r="AB778" s="4">
        <f ca="1"/>
        <v>45701</v>
      </c>
      <c r="AC778" s="4">
        <v>45701</v>
      </c>
      <c r="AD778" s="9">
        <v>45702</v>
      </c>
      <c r="AE778" s="9">
        <v>45705</v>
      </c>
      <c r="AF778" s="4" t="str">
        <f t="shared" ca="1" si="31"/>
        <v>2025 02</v>
      </c>
      <c r="AG778" s="8" t="str" cm="1">
        <f t="array" ref="AG778">IFERROR(_xlfn.IFS('Banco de Dados'!#REF!="AG. COMPRA","Em processamento",'Banco de Dados'!#REF!="AG. RASTREIO","Em processamento",'Banco de Dados'!$AE778&lt;&gt;"-","Faturado",'Banco de Dados'!$AD778&lt;&gt;"-","Aguardando Pix",'Banco de Dados'!$AC778&lt;&gt;"-","Pendente"),"Aguardando Liberação")</f>
        <v>Aguardando Liberação</v>
      </c>
      <c r="AH778" s="5" t="str">
        <f>IF('Banco de Dados'!$F778="-",_xlfn.CONCAT(PROPER(TEXT(AK778,"aaaa"))," ",PROPER(TEXT(AK778,"mm"))),_xlfn.CONCAT(PROPER(TEXT(E778,"aaaa"))," ",PROPER(TEXT(E778,"mm"))))</f>
        <v>2025 01</v>
      </c>
      <c r="AI778" s="9" t="str">
        <f ca="1">IF('Banco de Dados'!$AK778&lt;&gt;"-","REEMBOLSO",IFERROR(_xlfn.XLOOKUP(G778,Follow[CODRASTREIO],Follow[STATUS]),"-"))</f>
        <v>ENTREGUE</v>
      </c>
      <c r="AJ778" s="9">
        <f ca="1">IF('Banco de Dados'!$AI778="ENTREGUE",_xlfn.XLOOKUP('Banco de Dados'!$G778,Follow[CODRASTREIO],Follow[DATAATUALIZAÇÃO]),"-")</f>
        <v>45693</v>
      </c>
      <c r="AK778" s="9" t="str">
        <f ca="1"/>
        <v>-</v>
      </c>
      <c r="AL778" s="35"/>
      <c r="AM778" s="109" cm="1">
        <f t="array" aca="1" ref="AM778" ca="1">IF('Banco de Dados'!$AK778&lt;&gt;"-",_xlfn.IFS('Banco de Dados'!$A778="bv",IF('Banco de Dados'!$E778&lt;45641,ROUND(SUM('Banco de Dados'!$R778*_xlfn.XLOOKUP('Banco de Dados'!$P778,Sku!B:B,Sku!#REF!)*20%),2),ROUND(SUM('Banco de Dados'!$R778*_xlfn.XLOOKUP('Banco de Dados'!$P778,Sku!B:B,Sku!H:H)*20%),2)),'Banco de Dados'!$A778="GO",ROUND(_xlfn.XLOOKUP('Banco de Dados'!$P778,Sku!C:C,Sku!H:H),2),'Banco de Dados'!$A778="MEI",ROUND(_xlfn.XLOOKUP('Banco de Dados'!$P778,Sku!D:D,Sku!H:H),2)),0)</f>
        <v>0</v>
      </c>
      <c r="AN778" s="109">
        <f ca="1">IF('Banco de Dados'!$AK778&lt;&gt;"-",IF('Banco de Dados'!$F778&lt;&gt;"-",_xlfn.XLOOKUP(IFERROR(IFERROR(IFERROR(VALUE(SUBSTITUTE(MID(_xlfn.TEXTAFTER('Banco de Dados'!$F778,"Data do Pedido:
",1),1,10),"-","/")),VALUE(SUBSTITUTE(MID(_xlfn.TEXTAFTER('Banco de Dados'!$F778,"Order date:
",1),1,10),"-","/"))),VALUE(SUBSTITUTE(MID(_xlfn.TEXTAFTER('Banco de Dados'!$F778,"Fecha de pedido:
",1),1,10),"-","/"))),"-"),SMS!A:A,SMS!K:K),0),0)</f>
        <v>0</v>
      </c>
      <c r="AO778" s="109">
        <f ca="1">IF('Banco de Dados'!$AK778&lt;&gt;"-",IF('Banco de Dados'!$F778&lt;&gt;"-",IFERROR(_xlfn.XLOOKUP(_xlfn.CONCAT('Banco de Dados'!$A778,IFERROR(IFERROR(VALUE(SUBSTITUTE(MID(_xlfn.TEXTAFTER('Banco de Dados'!$F778,"Data do Pedido:
",1),1,10),"-","/")),VALUE(SUBSTITUTE(MID(_xlfn.TEXTAFTER('Banco de Dados'!$F778,"Order date:
",1),1,10),"-","/"))),0)),ProxyDD[Chave],ProxyDD[Valor por pedido]),PROXY!$P$2),0),0)</f>
        <v>0</v>
      </c>
      <c r="AP778" s="28">
        <f ca="1">IF('Banco de Dados'!$AK778&lt;&gt;"-",IF('Banco de Dados'!$AL778="NÃO",IFERROR(VALUE(SUBSTITUTE(_xlfn.TEXTAFTER('Banco de Dados'!$F778,"BRL ",1),".",",")),0),0),0)</f>
        <v>0</v>
      </c>
      <c r="AQ778" s="28">
        <f ca="1">SUM('Banco de Dados'!$AM778:$AP778)</f>
        <v>0</v>
      </c>
      <c r="AR778" s="8"/>
      <c r="AS778" s="8"/>
      <c r="AY778" s="8"/>
    </row>
    <row r="779" spans="1:51">
      <c r="A779" s="5" t="str">
        <v>BV</v>
      </c>
      <c r="B779" s="5" t="str">
        <f ca="1"/>
        <v>BV45673</v>
      </c>
      <c r="C779" s="8" t="str">
        <v>Pedido 766</v>
      </c>
      <c r="D779" s="9">
        <v>45669</v>
      </c>
      <c r="E779" s="9">
        <v>45673</v>
      </c>
      <c r="F779" s="8" t="str">
        <v>PedidoF745</v>
      </c>
      <c r="G779" s="2" t="str">
        <v>CódRastreio743</v>
      </c>
      <c r="H779" s="5">
        <v>1</v>
      </c>
      <c r="I779" s="182" t="str">
        <v>CPF 744</v>
      </c>
      <c r="J779" s="2" t="str">
        <v>Nome 744</v>
      </c>
      <c r="K779" s="8" t="str">
        <v>Tel 744</v>
      </c>
      <c r="L779" s="8" t="str">
        <v>Cep 744</v>
      </c>
      <c r="M779" s="8" t="str">
        <v>Rua 744</v>
      </c>
      <c r="N779" s="8" t="str">
        <v>Comp 744</v>
      </c>
      <c r="O779" s="8" t="str">
        <v>Ventilador Preto</v>
      </c>
      <c r="P779" s="8" t="str">
        <v>MU-J80P-95WF</v>
      </c>
      <c r="Q779" s="4">
        <v>45694</v>
      </c>
      <c r="R779" s="109">
        <v>66.989999999999995</v>
      </c>
      <c r="S779" s="11">
        <f ca="1"/>
        <v>66.989999999999995</v>
      </c>
      <c r="T779" s="28">
        <f ca="1"/>
        <v>8.7087000000000003</v>
      </c>
      <c r="U779" s="11">
        <f ca="1"/>
        <v>58.28</v>
      </c>
      <c r="V779" s="11">
        <v>24.93</v>
      </c>
      <c r="W779" s="11">
        <f ca="1"/>
        <v>0.17</v>
      </c>
      <c r="X779" s="11">
        <f ca="1"/>
        <v>0.39877104377104378</v>
      </c>
      <c r="Y779" s="11">
        <v>0</v>
      </c>
      <c r="Z779" s="11">
        <f ca="1"/>
        <v>32.781228956228958</v>
      </c>
      <c r="AA779" s="11">
        <f ca="1"/>
        <v>16.390614478114479</v>
      </c>
      <c r="AB779" s="4">
        <f ca="1"/>
        <v>45701</v>
      </c>
      <c r="AC779" s="4">
        <v>45701</v>
      </c>
      <c r="AD779" s="9">
        <v>45702</v>
      </c>
      <c r="AE779" s="9">
        <v>45705</v>
      </c>
      <c r="AF779" s="4" t="str">
        <f t="shared" ca="1" si="31"/>
        <v>2025 02</v>
      </c>
      <c r="AG779" s="8" t="str" cm="1">
        <f t="array" ref="AG779">IFERROR(_xlfn.IFS('Banco de Dados'!#REF!="AG. COMPRA","Em processamento",'Banco de Dados'!#REF!="AG. RASTREIO","Em processamento",'Banco de Dados'!$AE779&lt;&gt;"-","Faturado",'Banco de Dados'!$AD779&lt;&gt;"-","Aguardando Pix",'Banco de Dados'!$AC779&lt;&gt;"-","Pendente"),"Aguardando Liberação")</f>
        <v>Aguardando Liberação</v>
      </c>
      <c r="AH779" s="5" t="str">
        <f>IF('Banco de Dados'!$F779="-",_xlfn.CONCAT(PROPER(TEXT(AK779,"aaaa"))," ",PROPER(TEXT(AK779,"mm"))),_xlfn.CONCAT(PROPER(TEXT(E779,"aaaa"))," ",PROPER(TEXT(E779,"mm"))))</f>
        <v>2025 01</v>
      </c>
      <c r="AI779" s="9" t="str">
        <f ca="1">IF('Banco de Dados'!$AK779&lt;&gt;"-","REEMBOLSO",IFERROR(_xlfn.XLOOKUP(G779,Follow[CODRASTREIO],Follow[STATUS]),"-"))</f>
        <v>ENTREGUE</v>
      </c>
      <c r="AJ779" s="9">
        <f ca="1">IF('Banco de Dados'!$AI779="ENTREGUE",_xlfn.XLOOKUP('Banco de Dados'!$G779,Follow[CODRASTREIO],Follow[DATAATUALIZAÇÃO]),"-")</f>
        <v>45692</v>
      </c>
      <c r="AK779" s="9" t="str">
        <f ca="1"/>
        <v>-</v>
      </c>
      <c r="AL779" s="35"/>
      <c r="AM779" s="109" cm="1">
        <f t="array" aca="1" ref="AM779" ca="1">IF('Banco de Dados'!$AK779&lt;&gt;"-",_xlfn.IFS('Banco de Dados'!$A779="bv",IF('Banco de Dados'!$E779&lt;45641,ROUND(SUM('Banco de Dados'!$R779*_xlfn.XLOOKUP('Banco de Dados'!$P779,Sku!B:B,Sku!#REF!)*20%),2),ROUND(SUM('Banco de Dados'!$R779*_xlfn.XLOOKUP('Banco de Dados'!$P779,Sku!B:B,Sku!H:H)*20%),2)),'Banco de Dados'!$A779="GO",ROUND(_xlfn.XLOOKUP('Banco de Dados'!$P779,Sku!C:C,Sku!H:H),2),'Banco de Dados'!$A779="MEI",ROUND(_xlfn.XLOOKUP('Banco de Dados'!$P779,Sku!D:D,Sku!H:H),2)),0)</f>
        <v>0</v>
      </c>
      <c r="AN779" s="109">
        <f ca="1">IF('Banco de Dados'!$AK779&lt;&gt;"-",IF('Banco de Dados'!$F779&lt;&gt;"-",_xlfn.XLOOKUP(IFERROR(IFERROR(IFERROR(VALUE(SUBSTITUTE(MID(_xlfn.TEXTAFTER('Banco de Dados'!$F779,"Data do Pedido:
",1),1,10),"-","/")),VALUE(SUBSTITUTE(MID(_xlfn.TEXTAFTER('Banco de Dados'!$F779,"Order date:
",1),1,10),"-","/"))),VALUE(SUBSTITUTE(MID(_xlfn.TEXTAFTER('Banco de Dados'!$F779,"Fecha de pedido:
",1),1,10),"-","/"))),"-"),SMS!A:A,SMS!K:K),0),0)</f>
        <v>0</v>
      </c>
      <c r="AO779" s="109">
        <f ca="1">IF('Banco de Dados'!$AK779&lt;&gt;"-",IF('Banco de Dados'!$F779&lt;&gt;"-",IFERROR(_xlfn.XLOOKUP(_xlfn.CONCAT('Banco de Dados'!$A779,IFERROR(IFERROR(VALUE(SUBSTITUTE(MID(_xlfn.TEXTAFTER('Banco de Dados'!$F779,"Data do Pedido:
",1),1,10),"-","/")),VALUE(SUBSTITUTE(MID(_xlfn.TEXTAFTER('Banco de Dados'!$F779,"Order date:
",1),1,10),"-","/"))),0)),ProxyDD[Chave],ProxyDD[Valor por pedido]),PROXY!$P$2),0),0)</f>
        <v>0</v>
      </c>
      <c r="AP779" s="28">
        <f ca="1">IF('Banco de Dados'!$AK779&lt;&gt;"-",IF('Banco de Dados'!$AL779="NÃO",IFERROR(VALUE(SUBSTITUTE(_xlfn.TEXTAFTER('Banco de Dados'!$F779,"BRL ",1),".",",")),0),0),0)</f>
        <v>0</v>
      </c>
      <c r="AQ779" s="28">
        <f ca="1">SUM('Banco de Dados'!$AM779:$AP779)</f>
        <v>0</v>
      </c>
      <c r="AR779" s="8"/>
      <c r="AS779" s="8"/>
      <c r="AY779" s="8"/>
    </row>
    <row r="780" spans="1:51">
      <c r="A780" s="5" t="str">
        <v>BV</v>
      </c>
      <c r="B780" s="5" t="str">
        <f ca="1"/>
        <v>BV45673</v>
      </c>
      <c r="C780" s="8" t="str">
        <v>Pedido 767</v>
      </c>
      <c r="D780" s="9">
        <v>45669</v>
      </c>
      <c r="E780" s="9">
        <v>45673</v>
      </c>
      <c r="F780" s="8" t="str">
        <v>PedidoF746</v>
      </c>
      <c r="G780" s="2" t="str">
        <v>CódRastreio744</v>
      </c>
      <c r="H780" s="5">
        <v>1</v>
      </c>
      <c r="I780" s="182" t="str">
        <v>CPF 745</v>
      </c>
      <c r="J780" s="2" t="str">
        <v>Nome 745</v>
      </c>
      <c r="K780" s="8" t="str">
        <v>Tel 745</v>
      </c>
      <c r="L780" s="8" t="str">
        <v>Cep 745</v>
      </c>
      <c r="M780" s="8" t="str">
        <v>Rua 745</v>
      </c>
      <c r="N780" s="8" t="str">
        <v>Comp 745</v>
      </c>
      <c r="O780" s="8" t="str">
        <v>Ventilador Preto</v>
      </c>
      <c r="P780" s="8" t="str">
        <v>MU-J80P-95WF</v>
      </c>
      <c r="Q780" s="4">
        <v>45688</v>
      </c>
      <c r="R780" s="109">
        <v>66.989999999999995</v>
      </c>
      <c r="S780" s="11">
        <f ca="1"/>
        <v>0</v>
      </c>
      <c r="T780" s="28">
        <f ca="1"/>
        <v>0</v>
      </c>
      <c r="U780" s="11">
        <f ca="1"/>
        <v>0</v>
      </c>
      <c r="V780" s="11">
        <v>0</v>
      </c>
      <c r="W780" s="11">
        <f ca="1"/>
        <v>0</v>
      </c>
      <c r="X780" s="11">
        <f ca="1"/>
        <v>0.39877104377104378</v>
      </c>
      <c r="Y780" s="11">
        <v>0</v>
      </c>
      <c r="Z780" s="11">
        <f ca="1"/>
        <v>-0.39877104377104378</v>
      </c>
      <c r="AA780" s="11">
        <f ca="1"/>
        <v>-0.19938552188552189</v>
      </c>
      <c r="AB780" s="4">
        <f ca="1"/>
        <v>45695</v>
      </c>
      <c r="AC780" s="4">
        <v>45695</v>
      </c>
      <c r="AD780" s="9">
        <v>45699</v>
      </c>
      <c r="AE780" s="9">
        <v>45705</v>
      </c>
      <c r="AF780" s="4" t="str">
        <f t="shared" ca="1" si="31"/>
        <v>2025 02</v>
      </c>
      <c r="AG780" s="8" t="str" cm="1">
        <f t="array" ref="AG780">IFERROR(_xlfn.IFS('Banco de Dados'!#REF!="AG. COMPRA","Em processamento",'Banco de Dados'!#REF!="AG. RASTREIO","Em processamento",'Banco de Dados'!$AE780&lt;&gt;"-","Faturado",'Banco de Dados'!$AD780&lt;&gt;"-","Aguardando Pix",'Banco de Dados'!$AC780&lt;&gt;"-","Pendente"),"Aguardando Liberação")</f>
        <v>Aguardando Liberação</v>
      </c>
      <c r="AH780" s="5" t="str">
        <f>IF('Banco de Dados'!$F780="-",_xlfn.CONCAT(PROPER(TEXT(AK780,"aaaa"))," ",PROPER(TEXT(AK780,"mm"))),_xlfn.CONCAT(PROPER(TEXT(E780,"aaaa"))," ",PROPER(TEXT(E780,"mm"))))</f>
        <v>2025 01</v>
      </c>
      <c r="AI780" s="9" t="str">
        <f ca="1">IF('Banco de Dados'!$AK780&lt;&gt;"-","REEMBOLSO",IFERROR(_xlfn.XLOOKUP(G780,Follow[CODRASTREIO],Follow[STATUS]),"-"))</f>
        <v>REEMBOLSO</v>
      </c>
      <c r="AJ780" s="9" t="str">
        <f ca="1">IF('Banco de Dados'!$AI780="ENTREGUE",_xlfn.XLOOKUP('Banco de Dados'!$G780,Follow[CODRASTREIO],Follow[DATAATUALIZAÇÃO]),"-")</f>
        <v>-</v>
      </c>
      <c r="AK780" s="9">
        <f ca="1"/>
        <v>45693</v>
      </c>
      <c r="AL780" s="35"/>
      <c r="AM780" s="109">
        <v>1.74</v>
      </c>
      <c r="AN780" s="109" t="e">
        <f ca="1">IF('Banco de Dados'!$AK780&lt;&gt;"-",IF('Banco de Dados'!$F780&lt;&gt;"-",_xlfn.XLOOKUP(IFERROR(IFERROR(IFERROR(VALUE(SUBSTITUTE(MID(_xlfn.TEXTAFTER('Banco de Dados'!$F780,"Data do Pedido:
",1),1,10),"-","/")),VALUE(SUBSTITUTE(MID(_xlfn.TEXTAFTER('Banco de Dados'!$F780,"Order date:
",1),1,10),"-","/"))),VALUE(SUBSTITUTE(MID(_xlfn.TEXTAFTER('Banco de Dados'!$F780,"Fecha de pedido:
",1),1,10),"-","/"))),"-"),SMS!A:A,SMS!K:K),0),0)</f>
        <v>#N/A</v>
      </c>
      <c r="AO780" s="109">
        <f ca="1">IF('Banco de Dados'!$AK780&lt;&gt;"-",IF('Banco de Dados'!$F780&lt;&gt;"-",IFERROR(_xlfn.XLOOKUP(_xlfn.CONCAT('Banco de Dados'!$A780,IFERROR(IFERROR(VALUE(SUBSTITUTE(MID(_xlfn.TEXTAFTER('Banco de Dados'!$F780,"Data do Pedido:
",1),1,10),"-","/")),VALUE(SUBSTITUTE(MID(_xlfn.TEXTAFTER('Banco de Dados'!$F780,"Order date:
",1),1,10),"-","/"))),0)),ProxyDD[Chave],ProxyDD[Valor por pedido]),PROXY!$P$2),0),0)</f>
        <v>0.39877104377104378</v>
      </c>
      <c r="AP780" s="28">
        <f ca="1">IF('Banco de Dados'!$AK780&lt;&gt;"-",IF('Banco de Dados'!$AL780="NÃO",IFERROR(VALUE(SUBSTITUTE(_xlfn.TEXTAFTER('Banco de Dados'!$F780,"BRL ",1),".",",")),0),0),0)</f>
        <v>0</v>
      </c>
      <c r="AQ780" s="28" t="e">
        <f ca="1">SUM('Banco de Dados'!$AM780:$AP780)</f>
        <v>#N/A</v>
      </c>
      <c r="AR780" s="8"/>
      <c r="AS780" s="8"/>
      <c r="AY780" s="8"/>
    </row>
    <row r="781" spans="1:51">
      <c r="A781" s="5" t="str">
        <v>BV</v>
      </c>
      <c r="B781" s="5" t="str">
        <f ca="1"/>
        <v>BV45673</v>
      </c>
      <c r="C781" s="8" t="str">
        <v>Pedido 768</v>
      </c>
      <c r="D781" s="9">
        <v>45669</v>
      </c>
      <c r="E781" s="9">
        <v>45673</v>
      </c>
      <c r="F781" s="8" t="str">
        <v>PedidoF747</v>
      </c>
      <c r="G781" s="2" t="str">
        <v>CódRastreio745</v>
      </c>
      <c r="H781" s="5">
        <v>1</v>
      </c>
      <c r="I781" s="182" t="str">
        <v>CPF 746</v>
      </c>
      <c r="J781" s="2" t="str">
        <v>Nome 746</v>
      </c>
      <c r="K781" s="8" t="str">
        <v>Tel 746</v>
      </c>
      <c r="L781" s="8" t="str">
        <v>Cep 746</v>
      </c>
      <c r="M781" s="8" t="str">
        <v>Rua 746</v>
      </c>
      <c r="N781" s="8" t="str">
        <v>Comp 746</v>
      </c>
      <c r="O781" s="8" t="str">
        <v>Ventilador Azul</v>
      </c>
      <c r="P781" s="8" t="str">
        <v>U8-2VWS-OB6M</v>
      </c>
      <c r="Q781" s="4">
        <v>45701</v>
      </c>
      <c r="R781" s="109">
        <v>66.989999999999995</v>
      </c>
      <c r="S781" s="11">
        <f ca="1"/>
        <v>66.989999999999995</v>
      </c>
      <c r="T781" s="28">
        <f ca="1"/>
        <v>8.7087000000000003</v>
      </c>
      <c r="U781" s="11">
        <f ca="1"/>
        <v>58.28</v>
      </c>
      <c r="V781" s="11">
        <v>24.93</v>
      </c>
      <c r="W781" s="11">
        <f ca="1"/>
        <v>0.17</v>
      </c>
      <c r="X781" s="11">
        <f ca="1"/>
        <v>0.39877104377104378</v>
      </c>
      <c r="Y781" s="11">
        <v>0</v>
      </c>
      <c r="Z781" s="11">
        <f ca="1"/>
        <v>32.781228956228958</v>
      </c>
      <c r="AA781" s="11">
        <f ca="1"/>
        <v>16.390614478114479</v>
      </c>
      <c r="AB781" s="4">
        <f ca="1"/>
        <v>45708</v>
      </c>
      <c r="AC781" s="4">
        <v>45708</v>
      </c>
      <c r="AD781" s="9">
        <v>45721</v>
      </c>
      <c r="AE781" s="9">
        <v>45721</v>
      </c>
      <c r="AF781" s="4" t="str">
        <f t="shared" ca="1" si="31"/>
        <v>2025 02</v>
      </c>
      <c r="AG781" s="8" t="str" cm="1">
        <f t="array" ref="AG781">IFERROR(_xlfn.IFS('Banco de Dados'!#REF!="AG. COMPRA","Em processamento",'Banco de Dados'!#REF!="AG. RASTREIO","Em processamento",'Banco de Dados'!$AE781&lt;&gt;"-","Faturado",'Banco de Dados'!$AD781&lt;&gt;"-","Aguardando Pix",'Banco de Dados'!$AC781&lt;&gt;"-","Pendente"),"Aguardando Liberação")</f>
        <v>Aguardando Liberação</v>
      </c>
      <c r="AH781" s="5" t="str">
        <f>IF('Banco de Dados'!$F781="-",_xlfn.CONCAT(PROPER(TEXT(AK781,"aaaa"))," ",PROPER(TEXT(AK781,"mm"))),_xlfn.CONCAT(PROPER(TEXT(E781,"aaaa"))," ",PROPER(TEXT(E781,"mm"))))</f>
        <v>2025 01</v>
      </c>
      <c r="AI781" s="9" t="str">
        <f ca="1">IF('Banco de Dados'!$AK781&lt;&gt;"-","REEMBOLSO",IFERROR(_xlfn.XLOOKUP(G781,Follow[CODRASTREIO],Follow[STATUS]),"-"))</f>
        <v>ENTREGUE</v>
      </c>
      <c r="AJ781" s="9">
        <f ca="1">IF('Banco de Dados'!$AI781="ENTREGUE",_xlfn.XLOOKUP('Banco de Dados'!$G781,Follow[CODRASTREIO],Follow[DATAATUALIZAÇÃO]),"-")</f>
        <v>45702</v>
      </c>
      <c r="AK781" s="9" t="str">
        <f ca="1"/>
        <v>-</v>
      </c>
      <c r="AL781" s="35"/>
      <c r="AM781" s="109" cm="1">
        <f t="array" aca="1" ref="AM781" ca="1">IF('Banco de Dados'!$AK781&lt;&gt;"-",_xlfn.IFS('Banco de Dados'!$A781="bv",IF('Banco de Dados'!$E781&lt;45641,ROUND(SUM('Banco de Dados'!$R781*_xlfn.XLOOKUP('Banco de Dados'!$P781,Sku!B:B,Sku!#REF!)*20%),2),ROUND(SUM('Banco de Dados'!$R781*_xlfn.XLOOKUP('Banco de Dados'!$P781,Sku!B:B,Sku!H:H)*20%),2)),'Banco de Dados'!$A781="GO",ROUND(_xlfn.XLOOKUP('Banco de Dados'!$P781,Sku!C:C,Sku!H:H),2),'Banco de Dados'!$A781="MEI",ROUND(_xlfn.XLOOKUP('Banco de Dados'!$P781,Sku!D:D,Sku!H:H),2)),0)</f>
        <v>0</v>
      </c>
      <c r="AN781" s="109">
        <f ca="1">IF('Banco de Dados'!$AK781&lt;&gt;"-",IF('Banco de Dados'!$F781&lt;&gt;"-",_xlfn.XLOOKUP(IFERROR(IFERROR(IFERROR(VALUE(SUBSTITUTE(MID(_xlfn.TEXTAFTER('Banco de Dados'!$F781,"Data do Pedido:
",1),1,10),"-","/")),VALUE(SUBSTITUTE(MID(_xlfn.TEXTAFTER('Banco de Dados'!$F781,"Order date:
",1),1,10),"-","/"))),VALUE(SUBSTITUTE(MID(_xlfn.TEXTAFTER('Banco de Dados'!$F781,"Fecha de pedido:
",1),1,10),"-","/"))),"-"),SMS!A:A,SMS!K:K),0),0)</f>
        <v>0</v>
      </c>
      <c r="AO781" s="109">
        <f ca="1">IF('Banco de Dados'!$AK781&lt;&gt;"-",IF('Banco de Dados'!$F781&lt;&gt;"-",IFERROR(_xlfn.XLOOKUP(_xlfn.CONCAT('Banco de Dados'!$A781,IFERROR(IFERROR(VALUE(SUBSTITUTE(MID(_xlfn.TEXTAFTER('Banco de Dados'!$F781,"Data do Pedido:
",1),1,10),"-","/")),VALUE(SUBSTITUTE(MID(_xlfn.TEXTAFTER('Banco de Dados'!$F781,"Order date:
",1),1,10),"-","/"))),0)),ProxyDD[Chave],ProxyDD[Valor por pedido]),PROXY!$P$2),0),0)</f>
        <v>0</v>
      </c>
      <c r="AP781" s="28">
        <f ca="1">IF('Banco de Dados'!$AK781&lt;&gt;"-",IF('Banco de Dados'!$AL781="NÃO",IFERROR(VALUE(SUBSTITUTE(_xlfn.TEXTAFTER('Banco de Dados'!$F781,"BRL ",1),".",",")),0),0),0)</f>
        <v>0</v>
      </c>
      <c r="AQ781" s="28">
        <f ca="1">SUM('Banco de Dados'!$AM781:$AP781)</f>
        <v>0</v>
      </c>
      <c r="AR781" s="8"/>
      <c r="AS781" s="8"/>
      <c r="AY781" s="8"/>
    </row>
    <row r="782" spans="1:51">
      <c r="A782" s="5" t="str">
        <v>BV</v>
      </c>
      <c r="B782" s="5" t="str">
        <f ca="1"/>
        <v>BV45673</v>
      </c>
      <c r="C782" s="8" t="str">
        <v>Pedido 769</v>
      </c>
      <c r="D782" s="9">
        <v>45669</v>
      </c>
      <c r="E782" s="9">
        <v>45673</v>
      </c>
      <c r="F782" s="8" t="str">
        <v>PedidoF748</v>
      </c>
      <c r="G782" s="10" t="str">
        <v>CódRastreio746</v>
      </c>
      <c r="H782" s="5">
        <v>1</v>
      </c>
      <c r="I782" s="182" t="str">
        <v>CPF 747</v>
      </c>
      <c r="J782" s="2" t="str">
        <v>Nome 747</v>
      </c>
      <c r="K782" s="8" t="str">
        <v>Tel 747</v>
      </c>
      <c r="L782" s="8" t="str">
        <v>Cep 747</v>
      </c>
      <c r="M782" s="8" t="str">
        <v>Rua 747</v>
      </c>
      <c r="N782" s="8" t="str">
        <v>Comp 747</v>
      </c>
      <c r="O782" s="8" t="str">
        <v>Ventilador Rosa</v>
      </c>
      <c r="P782" s="8" t="str">
        <v>IF-G2ZQ-79FO</v>
      </c>
      <c r="Q782" s="4">
        <v>45688</v>
      </c>
      <c r="R782" s="109">
        <v>66.989999999999995</v>
      </c>
      <c r="S782" s="11">
        <f ca="1"/>
        <v>66.989999999999995</v>
      </c>
      <c r="T782" s="28">
        <f ca="1"/>
        <v>8.7087000000000003</v>
      </c>
      <c r="U782" s="11">
        <f ca="1"/>
        <v>58.28</v>
      </c>
      <c r="V782" s="11">
        <v>24.8</v>
      </c>
      <c r="W782" s="11">
        <f ca="1"/>
        <v>0.17</v>
      </c>
      <c r="X782" s="11">
        <f ca="1"/>
        <v>0.39877104377104378</v>
      </c>
      <c r="Y782" s="11">
        <v>0</v>
      </c>
      <c r="Z782" s="11">
        <f ca="1"/>
        <v>32.911228956228953</v>
      </c>
      <c r="AA782" s="11">
        <f ca="1"/>
        <v>16.455614478114477</v>
      </c>
      <c r="AB782" s="4">
        <f ca="1"/>
        <v>45695</v>
      </c>
      <c r="AC782" s="4">
        <v>45695</v>
      </c>
      <c r="AD782" s="9">
        <v>45699</v>
      </c>
      <c r="AE782" s="9">
        <v>45705</v>
      </c>
      <c r="AF782" s="4" t="str">
        <f t="shared" ref="AF782:AF796" ca="1" si="32">_xlfn.CONCAT(PROPER(TEXT(AB782,"aaaa"))," ",PROPER(TEXT(AB782,"mm")))</f>
        <v>2025 02</v>
      </c>
      <c r="AG782" s="8" t="str" cm="1">
        <f t="array" ref="AG782">IFERROR(_xlfn.IFS('Banco de Dados'!#REF!="AG. COMPRA","Em processamento",'Banco de Dados'!#REF!="AG. RASTREIO","Em processamento",'Banco de Dados'!$AE782&lt;&gt;"-","Faturado",'Banco de Dados'!$AD782&lt;&gt;"-","Aguardando Pix",'Banco de Dados'!$AC782&lt;&gt;"-","Pendente"),"Aguardando Liberação")</f>
        <v>Aguardando Liberação</v>
      </c>
      <c r="AH782" s="5" t="str">
        <f>IF('Banco de Dados'!$F782="-",_xlfn.CONCAT(PROPER(TEXT(AK782,"aaaa"))," ",PROPER(TEXT(AK782,"mm"))),_xlfn.CONCAT(PROPER(TEXT(E782,"aaaa"))," ",PROPER(TEXT(E782,"mm"))))</f>
        <v>2025 01</v>
      </c>
      <c r="AI782" s="9" t="str">
        <f ca="1">IF('Banco de Dados'!$AK782&lt;&gt;"-","REEMBOLSO",IFERROR(_xlfn.XLOOKUP(G782,Follow[CODRASTREIO],Follow[STATUS]),"-"))</f>
        <v>ENTREGUE</v>
      </c>
      <c r="AJ782" s="9">
        <f ca="1">IF('Banco de Dados'!$AI782="ENTREGUE",_xlfn.XLOOKUP('Banco de Dados'!$G782,Follow[CODRASTREIO],Follow[DATAATUALIZAÇÃO]),"-")</f>
        <v>45692</v>
      </c>
      <c r="AK782" s="9" t="str">
        <f ca="1"/>
        <v>-</v>
      </c>
      <c r="AL782" s="35"/>
      <c r="AM782" s="109" cm="1">
        <f t="array" aca="1" ref="AM782" ca="1">IF('Banco de Dados'!$AK782&lt;&gt;"-",_xlfn.IFS('Banco de Dados'!$A782="bv",IF('Banco de Dados'!$E782&lt;45641,ROUND(SUM('Banco de Dados'!$R782*_xlfn.XLOOKUP('Banco de Dados'!$P782,Sku!B:B,Sku!#REF!)*20%),2),ROUND(SUM('Banco de Dados'!$R782*_xlfn.XLOOKUP('Banco de Dados'!$P782,Sku!B:B,Sku!H:H)*20%),2)),'Banco de Dados'!$A782="GO",ROUND(_xlfn.XLOOKUP('Banco de Dados'!$P782,Sku!C:C,Sku!H:H),2),'Banco de Dados'!$A782="MEI",ROUND(_xlfn.XLOOKUP('Banco de Dados'!$P782,Sku!D:D,Sku!H:H),2)),0)</f>
        <v>0</v>
      </c>
      <c r="AN782" s="109">
        <f ca="1">IF('Banco de Dados'!$AK782&lt;&gt;"-",IF('Banco de Dados'!$F782&lt;&gt;"-",_xlfn.XLOOKUP(IFERROR(IFERROR(IFERROR(VALUE(SUBSTITUTE(MID(_xlfn.TEXTAFTER('Banco de Dados'!$F782,"Data do Pedido:
",1),1,10),"-","/")),VALUE(SUBSTITUTE(MID(_xlfn.TEXTAFTER('Banco de Dados'!$F782,"Order date:
",1),1,10),"-","/"))),VALUE(SUBSTITUTE(MID(_xlfn.TEXTAFTER('Banco de Dados'!$F782,"Fecha de pedido:
",1),1,10),"-","/"))),"-"),SMS!A:A,SMS!K:K),0),0)</f>
        <v>0</v>
      </c>
      <c r="AO782" s="109">
        <f ca="1">IF('Banco de Dados'!$AK782&lt;&gt;"-",IF('Banco de Dados'!$F782&lt;&gt;"-",IFERROR(_xlfn.XLOOKUP(_xlfn.CONCAT('Banco de Dados'!$A782,IFERROR(IFERROR(VALUE(SUBSTITUTE(MID(_xlfn.TEXTAFTER('Banco de Dados'!$F782,"Data do Pedido:
",1),1,10),"-","/")),VALUE(SUBSTITUTE(MID(_xlfn.TEXTAFTER('Banco de Dados'!$F782,"Order date:
",1),1,10),"-","/"))),0)),ProxyDD[Chave],ProxyDD[Valor por pedido]),PROXY!$P$2),0),0)</f>
        <v>0</v>
      </c>
      <c r="AP782" s="28">
        <f ca="1">IF('Banco de Dados'!$AK782&lt;&gt;"-",IF('Banco de Dados'!$AL782="NÃO",IFERROR(VALUE(SUBSTITUTE(_xlfn.TEXTAFTER('Banco de Dados'!$F782,"BRL ",1),".",",")),0),0),0)</f>
        <v>0</v>
      </c>
      <c r="AQ782" s="28">
        <f ca="1">SUM('Banco de Dados'!$AM782:$AP782)</f>
        <v>0</v>
      </c>
      <c r="AR782" s="8"/>
      <c r="AS782" s="8"/>
      <c r="AY782" s="8"/>
    </row>
    <row r="783" spans="1:51">
      <c r="A783" s="5" t="str">
        <v>BV</v>
      </c>
      <c r="B783" s="5" t="str">
        <f ca="1"/>
        <v>BV45673</v>
      </c>
      <c r="C783" s="8" t="str">
        <v>Pedido 770</v>
      </c>
      <c r="D783" s="9">
        <v>45670</v>
      </c>
      <c r="E783" s="9">
        <v>45673</v>
      </c>
      <c r="F783" s="8" t="str">
        <v>PedidoF749</v>
      </c>
      <c r="G783" s="10" t="str">
        <v>CódRastreio747</v>
      </c>
      <c r="H783" s="5">
        <v>1</v>
      </c>
      <c r="I783" s="182" t="str">
        <v>CPF 748</v>
      </c>
      <c r="J783" s="2" t="str">
        <v>Nome 748</v>
      </c>
      <c r="K783" s="8" t="str">
        <v>Tel 748</v>
      </c>
      <c r="L783" s="8" t="str">
        <v>Cep 748</v>
      </c>
      <c r="M783" s="8" t="str">
        <v>Rua 748</v>
      </c>
      <c r="N783" s="8" t="str">
        <v>Comp 748</v>
      </c>
      <c r="O783" s="8" t="str">
        <v>Ventilador Azul</v>
      </c>
      <c r="P783" s="8" t="str">
        <v>U8-2VWS-OB6M</v>
      </c>
      <c r="Q783" s="4">
        <v>45688</v>
      </c>
      <c r="R783" s="109">
        <v>66.989999999999995</v>
      </c>
      <c r="S783" s="11">
        <f ca="1"/>
        <v>66.989999999999995</v>
      </c>
      <c r="T783" s="28">
        <f ca="1"/>
        <v>8.7087000000000003</v>
      </c>
      <c r="U783" s="11">
        <f ca="1"/>
        <v>58.28</v>
      </c>
      <c r="V783" s="11">
        <v>24.93</v>
      </c>
      <c r="W783" s="11">
        <f ca="1"/>
        <v>0.17</v>
      </c>
      <c r="X783" s="11">
        <f ca="1"/>
        <v>0.39877104377104378</v>
      </c>
      <c r="Y783" s="11">
        <v>0</v>
      </c>
      <c r="Z783" s="11">
        <f ca="1"/>
        <v>32.781228956228958</v>
      </c>
      <c r="AA783" s="11">
        <f ca="1"/>
        <v>16.390614478114479</v>
      </c>
      <c r="AB783" s="4">
        <f ca="1"/>
        <v>45695</v>
      </c>
      <c r="AC783" s="4">
        <v>45695</v>
      </c>
      <c r="AD783" s="9">
        <v>45699</v>
      </c>
      <c r="AE783" s="9">
        <v>45705</v>
      </c>
      <c r="AF783" s="4" t="str">
        <f t="shared" ca="1" si="32"/>
        <v>2025 02</v>
      </c>
      <c r="AG783" s="8" t="str" cm="1">
        <f t="array" ref="AG783">IFERROR(_xlfn.IFS('Banco de Dados'!#REF!="AG. COMPRA","Em processamento",'Banco de Dados'!#REF!="AG. RASTREIO","Em processamento",'Banco de Dados'!$AE783&lt;&gt;"-","Faturado",'Banco de Dados'!$AD783&lt;&gt;"-","Aguardando Pix",'Banco de Dados'!$AC783&lt;&gt;"-","Pendente"),"Aguardando Liberação")</f>
        <v>Aguardando Liberação</v>
      </c>
      <c r="AH783" s="5" t="str">
        <f>IF('Banco de Dados'!$F783="-",_xlfn.CONCAT(PROPER(TEXT(AK783,"aaaa"))," ",PROPER(TEXT(AK783,"mm"))),_xlfn.CONCAT(PROPER(TEXT(E783,"aaaa"))," ",PROPER(TEXT(E783,"mm"))))</f>
        <v>2025 01</v>
      </c>
      <c r="AI783" s="9" t="str">
        <f ca="1">IF('Banco de Dados'!$AK783&lt;&gt;"-","REEMBOLSO",IFERROR(_xlfn.XLOOKUP(G783,Follow[CODRASTREIO],Follow[STATUS]),"-"))</f>
        <v>ENTREGUE</v>
      </c>
      <c r="AJ783" s="9">
        <f ca="1">IF('Banco de Dados'!$AI783="ENTREGUE",_xlfn.XLOOKUP('Banco de Dados'!$G783,Follow[CODRASTREIO],Follow[DATAATUALIZAÇÃO]),"-")</f>
        <v>45689</v>
      </c>
      <c r="AK783" s="9" t="str">
        <f ca="1"/>
        <v>-</v>
      </c>
      <c r="AL783" s="35"/>
      <c r="AM783" s="109" cm="1">
        <f t="array" aca="1" ref="AM783" ca="1">IF('Banco de Dados'!$AK783&lt;&gt;"-",_xlfn.IFS('Banco de Dados'!$A783="bv",IF('Banco de Dados'!$E783&lt;45641,ROUND(SUM('Banco de Dados'!$R783*_xlfn.XLOOKUP('Banco de Dados'!$P783,Sku!B:B,Sku!#REF!)*20%),2),ROUND(SUM('Banco de Dados'!$R783*_xlfn.XLOOKUP('Banco de Dados'!$P783,Sku!B:B,Sku!H:H)*20%),2)),'Banco de Dados'!$A783="GO",ROUND(_xlfn.XLOOKUP('Banco de Dados'!$P783,Sku!C:C,Sku!H:H),2),'Banco de Dados'!$A783="MEI",ROUND(_xlfn.XLOOKUP('Banco de Dados'!$P783,Sku!D:D,Sku!H:H),2)),0)</f>
        <v>0</v>
      </c>
      <c r="AN783" s="109">
        <f ca="1">IF('Banco de Dados'!$AK783&lt;&gt;"-",IF('Banco de Dados'!$F783&lt;&gt;"-",_xlfn.XLOOKUP(IFERROR(IFERROR(IFERROR(VALUE(SUBSTITUTE(MID(_xlfn.TEXTAFTER('Banco de Dados'!$F783,"Data do Pedido:
",1),1,10),"-","/")),VALUE(SUBSTITUTE(MID(_xlfn.TEXTAFTER('Banco de Dados'!$F783,"Order date:
",1),1,10),"-","/"))),VALUE(SUBSTITUTE(MID(_xlfn.TEXTAFTER('Banco de Dados'!$F783,"Fecha de pedido:
",1),1,10),"-","/"))),"-"),SMS!A:A,SMS!K:K),0),0)</f>
        <v>0</v>
      </c>
      <c r="AO783" s="109">
        <f ca="1">IF('Banco de Dados'!$AK783&lt;&gt;"-",IF('Banco de Dados'!$F783&lt;&gt;"-",IFERROR(_xlfn.XLOOKUP(_xlfn.CONCAT('Banco de Dados'!$A783,IFERROR(IFERROR(VALUE(SUBSTITUTE(MID(_xlfn.TEXTAFTER('Banco de Dados'!$F783,"Data do Pedido:
",1),1,10),"-","/")),VALUE(SUBSTITUTE(MID(_xlfn.TEXTAFTER('Banco de Dados'!$F783,"Order date:
",1),1,10),"-","/"))),0)),ProxyDD[Chave],ProxyDD[Valor por pedido]),PROXY!$P$2),0),0)</f>
        <v>0</v>
      </c>
      <c r="AP783" s="28">
        <f ca="1">IF('Banco de Dados'!$AK783&lt;&gt;"-",IF('Banco de Dados'!$AL783="NÃO",IFERROR(VALUE(SUBSTITUTE(_xlfn.TEXTAFTER('Banco de Dados'!$F783,"BRL ",1),".",",")),0),0),0)</f>
        <v>0</v>
      </c>
      <c r="AQ783" s="28">
        <f ca="1">SUM('Banco de Dados'!$AM783:$AP783)</f>
        <v>0</v>
      </c>
      <c r="AR783" s="8"/>
      <c r="AS783" s="8"/>
      <c r="AY783" s="8"/>
    </row>
    <row r="784" spans="1:51">
      <c r="A784" s="5" t="str">
        <v>BV</v>
      </c>
      <c r="B784" s="5" t="str">
        <f ca="1"/>
        <v>BV45673</v>
      </c>
      <c r="C784" s="8" t="str">
        <v>Pedido 771</v>
      </c>
      <c r="D784" s="9">
        <v>45670</v>
      </c>
      <c r="E784" s="9">
        <v>45673</v>
      </c>
      <c r="F784" s="8" t="str">
        <v>PedidoF750</v>
      </c>
      <c r="G784" s="182" t="str">
        <v>CódRastreio748</v>
      </c>
      <c r="H784" s="5">
        <v>1</v>
      </c>
      <c r="I784" s="182" t="str">
        <v>CPF 749</v>
      </c>
      <c r="J784" s="2" t="str">
        <v>Nome 749</v>
      </c>
      <c r="K784" s="8" t="str">
        <v>Tel 749</v>
      </c>
      <c r="L784" s="8" t="str">
        <v>Cep 749</v>
      </c>
      <c r="M784" s="8" t="str">
        <v>Rua 749</v>
      </c>
      <c r="N784" s="8" t="str">
        <v>Comp 749</v>
      </c>
      <c r="O784" s="8" t="str">
        <v>Mini Liquidificador</v>
      </c>
      <c r="P784" s="8" t="str">
        <v>CK-YL6M-P5Y6</v>
      </c>
      <c r="Q784" s="4">
        <v>45689</v>
      </c>
      <c r="R784" s="109">
        <v>35.99</v>
      </c>
      <c r="S784" s="11">
        <f ca="1"/>
        <v>35.99</v>
      </c>
      <c r="T784" s="28">
        <f ca="1"/>
        <v>4.6787000000000001</v>
      </c>
      <c r="U784" s="11">
        <f ca="1"/>
        <v>31.31</v>
      </c>
      <c r="V784" s="11">
        <v>19.989999999999998</v>
      </c>
      <c r="W784" s="11">
        <f ca="1"/>
        <v>0.17</v>
      </c>
      <c r="X784" s="11">
        <f ca="1"/>
        <v>0.39877104377104378</v>
      </c>
      <c r="Y784" s="11">
        <v>0</v>
      </c>
      <c r="Z784" s="11">
        <f ca="1"/>
        <v>10.751228956228953</v>
      </c>
      <c r="AA784" s="11">
        <f ca="1"/>
        <v>5.3756144781144766</v>
      </c>
      <c r="AB784" s="4">
        <f ca="1"/>
        <v>45696</v>
      </c>
      <c r="AC784" s="4">
        <v>45696</v>
      </c>
      <c r="AD784" s="9">
        <v>45699</v>
      </c>
      <c r="AE784" s="9">
        <v>45705</v>
      </c>
      <c r="AF784" s="4" t="str">
        <f t="shared" ca="1" si="32"/>
        <v>2025 02</v>
      </c>
      <c r="AG784" s="8" t="str" cm="1">
        <f t="array" ref="AG784">IFERROR(_xlfn.IFS('Banco de Dados'!#REF!="AG. COMPRA","Em processamento",'Banco de Dados'!#REF!="AG. RASTREIO","Em processamento",'Banco de Dados'!$AE784&lt;&gt;"-","Faturado",'Banco de Dados'!$AD784&lt;&gt;"-","Aguardando Pix",'Banco de Dados'!$AC784&lt;&gt;"-","Pendente"),"Aguardando Liberação")</f>
        <v>Aguardando Liberação</v>
      </c>
      <c r="AH784" s="5" t="str">
        <f>IF('Banco de Dados'!$F784="-",_xlfn.CONCAT(PROPER(TEXT(AK784,"aaaa"))," ",PROPER(TEXT(AK784,"mm"))),_xlfn.CONCAT(PROPER(TEXT(E784,"aaaa"))," ",PROPER(TEXT(E784,"mm"))))</f>
        <v>2025 01</v>
      </c>
      <c r="AI784" s="9" t="str">
        <f ca="1">IF('Banco de Dados'!$AK784&lt;&gt;"-","REEMBOLSO",IFERROR(_xlfn.XLOOKUP(G784,Follow[CODRASTREIO],Follow[STATUS]),"-"))</f>
        <v>ENTREGUE</v>
      </c>
      <c r="AJ784" s="9">
        <f ca="1">IF('Banco de Dados'!$AI784="ENTREGUE",_xlfn.XLOOKUP('Banco de Dados'!$G784,Follow[CODRASTREIO],Follow[DATAATUALIZAÇÃO]),"-")</f>
        <v>45679</v>
      </c>
      <c r="AK784" s="9" t="str">
        <f ca="1"/>
        <v>-</v>
      </c>
      <c r="AL784" s="35"/>
      <c r="AM784" s="109" cm="1">
        <f t="array" aca="1" ref="AM784" ca="1">IF('Banco de Dados'!$AK784&lt;&gt;"-",_xlfn.IFS('Banco de Dados'!$A784="bv",IF('Banco de Dados'!$E784&lt;45641,ROUND(SUM('Banco de Dados'!$R784*_xlfn.XLOOKUP('Banco de Dados'!$P784,Sku!B:B,Sku!#REF!)*20%),2),ROUND(SUM('Banco de Dados'!$R784*_xlfn.XLOOKUP('Banco de Dados'!$P784,Sku!B:B,Sku!H:H)*20%),2)),'Banco de Dados'!$A784="GO",ROUND(_xlfn.XLOOKUP('Banco de Dados'!$P784,Sku!C:C,Sku!H:H),2),'Banco de Dados'!$A784="MEI",ROUND(_xlfn.XLOOKUP('Banco de Dados'!$P784,Sku!D:D,Sku!H:H),2)),0)</f>
        <v>0</v>
      </c>
      <c r="AN784" s="109">
        <f ca="1">IF('Banco de Dados'!$AK784&lt;&gt;"-",IF('Banco de Dados'!$F784&lt;&gt;"-",_xlfn.XLOOKUP(IFERROR(IFERROR(IFERROR(VALUE(SUBSTITUTE(MID(_xlfn.TEXTAFTER('Banco de Dados'!$F784,"Data do Pedido:
",1),1,10),"-","/")),VALUE(SUBSTITUTE(MID(_xlfn.TEXTAFTER('Banco de Dados'!$F784,"Order date:
",1),1,10),"-","/"))),VALUE(SUBSTITUTE(MID(_xlfn.TEXTAFTER('Banco de Dados'!$F784,"Fecha de pedido:
",1),1,10),"-","/"))),"-"),SMS!A:A,SMS!K:K),0),0)</f>
        <v>0</v>
      </c>
      <c r="AO784" s="109">
        <f ca="1">IF('Banco de Dados'!$AK784&lt;&gt;"-",IF('Banco de Dados'!$F784&lt;&gt;"-",IFERROR(_xlfn.XLOOKUP(_xlfn.CONCAT('Banco de Dados'!$A784,IFERROR(IFERROR(VALUE(SUBSTITUTE(MID(_xlfn.TEXTAFTER('Banco de Dados'!$F784,"Data do Pedido:
",1),1,10),"-","/")),VALUE(SUBSTITUTE(MID(_xlfn.TEXTAFTER('Banco de Dados'!$F784,"Order date:
",1),1,10),"-","/"))),0)),ProxyDD[Chave],ProxyDD[Valor por pedido]),PROXY!$P$2),0),0)</f>
        <v>0</v>
      </c>
      <c r="AP784" s="28">
        <f ca="1">IF('Banco de Dados'!$AK784&lt;&gt;"-",IF('Banco de Dados'!$AL784="NÃO",IFERROR(VALUE(SUBSTITUTE(_xlfn.TEXTAFTER('Banco de Dados'!$F784,"BRL ",1),".",",")),0),0),0)</f>
        <v>0</v>
      </c>
      <c r="AQ784" s="28">
        <f ca="1">SUM('Banco de Dados'!$AM784:$AP784)</f>
        <v>0</v>
      </c>
      <c r="AR784" s="8"/>
      <c r="AS784" s="8"/>
      <c r="AY784" s="8"/>
    </row>
    <row r="785" spans="1:51">
      <c r="A785" s="5" t="str">
        <v>BV</v>
      </c>
      <c r="B785" s="5" t="str">
        <f ca="1"/>
        <v>BV45673</v>
      </c>
      <c r="C785" s="8" t="str">
        <v>Pedido 772</v>
      </c>
      <c r="D785" s="9">
        <v>45670</v>
      </c>
      <c r="E785" s="9">
        <v>45673</v>
      </c>
      <c r="F785" s="8" t="str">
        <v>PedidoF751</v>
      </c>
      <c r="G785" s="10" t="str">
        <v>CódRastreio749</v>
      </c>
      <c r="H785" s="5">
        <v>1</v>
      </c>
      <c r="I785" s="182" t="str">
        <v>CPF 750</v>
      </c>
      <c r="J785" s="2" t="str">
        <v>Nome 750</v>
      </c>
      <c r="K785" s="8" t="str">
        <v>Tel 750</v>
      </c>
      <c r="L785" s="8" t="str">
        <v>Cep 750</v>
      </c>
      <c r="M785" s="8" t="str">
        <v>Rua 750</v>
      </c>
      <c r="N785" s="8" t="str">
        <v>Comp 750</v>
      </c>
      <c r="O785" s="8" t="str">
        <v>Ventilador Preto</v>
      </c>
      <c r="P785" s="8" t="str">
        <v>MU-J80P-95WF</v>
      </c>
      <c r="Q785" s="4">
        <v>45695</v>
      </c>
      <c r="R785" s="109">
        <v>66.989999999999995</v>
      </c>
      <c r="S785" s="11">
        <f ca="1"/>
        <v>66.989999999999995</v>
      </c>
      <c r="T785" s="28">
        <f ca="1"/>
        <v>8.7087000000000003</v>
      </c>
      <c r="U785" s="11">
        <f ca="1"/>
        <v>58.28</v>
      </c>
      <c r="V785" s="11">
        <v>24.93</v>
      </c>
      <c r="W785" s="11">
        <f ca="1"/>
        <v>0.17</v>
      </c>
      <c r="X785" s="11">
        <f ca="1"/>
        <v>0.39877104377104378</v>
      </c>
      <c r="Y785" s="11">
        <v>0</v>
      </c>
      <c r="Z785" s="11">
        <f ca="1"/>
        <v>32.781228956228958</v>
      </c>
      <c r="AA785" s="11">
        <f ca="1"/>
        <v>16.390614478114479</v>
      </c>
      <c r="AB785" s="4">
        <f ca="1"/>
        <v>45702</v>
      </c>
      <c r="AC785" s="4">
        <v>45702</v>
      </c>
      <c r="AD785" s="9">
        <v>45702</v>
      </c>
      <c r="AE785" s="9">
        <v>45705</v>
      </c>
      <c r="AF785" s="4" t="str">
        <f t="shared" ca="1" si="32"/>
        <v>2025 02</v>
      </c>
      <c r="AG785" s="8" t="str" cm="1">
        <f t="array" ref="AG785">IFERROR(_xlfn.IFS('Banco de Dados'!#REF!="AG. COMPRA","Em processamento",'Banco de Dados'!#REF!="AG. RASTREIO","Em processamento",'Banco de Dados'!$AE785&lt;&gt;"-","Faturado",'Banco de Dados'!$AD785&lt;&gt;"-","Aguardando Pix",'Banco de Dados'!$AC785&lt;&gt;"-","Pendente"),"Aguardando Liberação")</f>
        <v>Aguardando Liberação</v>
      </c>
      <c r="AH785" s="5" t="str">
        <f>IF('Banco de Dados'!$F785="-",_xlfn.CONCAT(PROPER(TEXT(AK785,"aaaa"))," ",PROPER(TEXT(AK785,"mm"))),_xlfn.CONCAT(PROPER(TEXT(E785,"aaaa"))," ",PROPER(TEXT(E785,"mm"))))</f>
        <v>2025 01</v>
      </c>
      <c r="AI785" s="9" t="str">
        <f ca="1">IF('Banco de Dados'!$AK785&lt;&gt;"-","REEMBOLSO",IFERROR(_xlfn.XLOOKUP(G785,Follow[CODRASTREIO],Follow[STATUS]),"-"))</f>
        <v>ENTREGUE</v>
      </c>
      <c r="AJ785" s="9">
        <f ca="1">IF('Banco de Dados'!$AI785="ENTREGUE",_xlfn.XLOOKUP('Banco de Dados'!$G785,Follow[CODRASTREIO],Follow[DATAATUALIZAÇÃO]),"-")</f>
        <v>45693</v>
      </c>
      <c r="AK785" s="9" t="str">
        <f ca="1"/>
        <v>-</v>
      </c>
      <c r="AL785" s="35"/>
      <c r="AM785" s="109" cm="1">
        <f t="array" aca="1" ref="AM785" ca="1">IF('Banco de Dados'!$AK785&lt;&gt;"-",_xlfn.IFS('Banco de Dados'!$A785="bv",IF('Banco de Dados'!$E785&lt;45641,ROUND(SUM('Banco de Dados'!$R785*_xlfn.XLOOKUP('Banco de Dados'!$P785,Sku!B:B,Sku!#REF!)*20%),2),ROUND(SUM('Banco de Dados'!$R785*_xlfn.XLOOKUP('Banco de Dados'!$P785,Sku!B:B,Sku!H:H)*20%),2)),'Banco de Dados'!$A785="GO",ROUND(_xlfn.XLOOKUP('Banco de Dados'!$P785,Sku!C:C,Sku!H:H),2),'Banco de Dados'!$A785="MEI",ROUND(_xlfn.XLOOKUP('Banco de Dados'!$P785,Sku!D:D,Sku!H:H),2)),0)</f>
        <v>0</v>
      </c>
      <c r="AN785" s="109">
        <f ca="1">IF('Banco de Dados'!$AK785&lt;&gt;"-",IF('Banco de Dados'!$F785&lt;&gt;"-",_xlfn.XLOOKUP(IFERROR(IFERROR(IFERROR(VALUE(SUBSTITUTE(MID(_xlfn.TEXTAFTER('Banco de Dados'!$F785,"Data do Pedido:
",1),1,10),"-","/")),VALUE(SUBSTITUTE(MID(_xlfn.TEXTAFTER('Banco de Dados'!$F785,"Order date:
",1),1,10),"-","/"))),VALUE(SUBSTITUTE(MID(_xlfn.TEXTAFTER('Banco de Dados'!$F785,"Fecha de pedido:
",1),1,10),"-","/"))),"-"),SMS!A:A,SMS!K:K),0),0)</f>
        <v>0</v>
      </c>
      <c r="AO785" s="109">
        <f ca="1">IF('Banco de Dados'!$AK785&lt;&gt;"-",IF('Banco de Dados'!$F785&lt;&gt;"-",IFERROR(_xlfn.XLOOKUP(_xlfn.CONCAT('Banco de Dados'!$A785,IFERROR(IFERROR(VALUE(SUBSTITUTE(MID(_xlfn.TEXTAFTER('Banco de Dados'!$F785,"Data do Pedido:
",1),1,10),"-","/")),VALUE(SUBSTITUTE(MID(_xlfn.TEXTAFTER('Banco de Dados'!$F785,"Order date:
",1),1,10),"-","/"))),0)),ProxyDD[Chave],ProxyDD[Valor por pedido]),PROXY!$P$2),0),0)</f>
        <v>0</v>
      </c>
      <c r="AP785" s="28">
        <f ca="1">IF('Banco de Dados'!$AK785&lt;&gt;"-",IF('Banco de Dados'!$AL785="NÃO",IFERROR(VALUE(SUBSTITUTE(_xlfn.TEXTAFTER('Banco de Dados'!$F785,"BRL ",1),".",",")),0),0),0)</f>
        <v>0</v>
      </c>
      <c r="AQ785" s="28">
        <f ca="1">SUM('Banco de Dados'!$AM785:$AP785)</f>
        <v>0</v>
      </c>
      <c r="AR785" s="8"/>
      <c r="AS785" s="8"/>
      <c r="AY785" s="8"/>
    </row>
    <row r="786" spans="1:51">
      <c r="A786" s="5" t="str">
        <v>BV</v>
      </c>
      <c r="B786" s="5" t="str">
        <f ca="1"/>
        <v>BV45673</v>
      </c>
      <c r="C786" s="8" t="str">
        <v>Pedido 773</v>
      </c>
      <c r="D786" s="9">
        <v>45670</v>
      </c>
      <c r="E786" s="9">
        <v>45673</v>
      </c>
      <c r="F786" s="8" t="str">
        <v>PedidoF752</v>
      </c>
      <c r="G786" s="10" t="str">
        <v>CódRastreio750</v>
      </c>
      <c r="H786" s="5">
        <v>1</v>
      </c>
      <c r="I786" s="182" t="str">
        <v>CPF 751</v>
      </c>
      <c r="J786" s="2" t="str">
        <v>Nome 751</v>
      </c>
      <c r="K786" s="8" t="str">
        <v>Tel 751</v>
      </c>
      <c r="L786" s="8" t="str">
        <v>Cep 751</v>
      </c>
      <c r="M786" s="8" t="str">
        <v>Rua 751</v>
      </c>
      <c r="N786" s="8" t="str">
        <v>Comp 751</v>
      </c>
      <c r="O786" s="8" t="str">
        <v>Ventilador Azul</v>
      </c>
      <c r="P786" s="8" t="str">
        <v>U8-2VWS-OB6M</v>
      </c>
      <c r="Q786" s="4">
        <v>45702</v>
      </c>
      <c r="R786" s="109">
        <v>66.989999999999995</v>
      </c>
      <c r="S786" s="11">
        <f ca="1"/>
        <v>66.989999999999995</v>
      </c>
      <c r="T786" s="28">
        <f ca="1"/>
        <v>8.7087000000000003</v>
      </c>
      <c r="U786" s="11">
        <f ca="1"/>
        <v>58.28</v>
      </c>
      <c r="V786" s="11">
        <v>24.93</v>
      </c>
      <c r="W786" s="11">
        <f ca="1"/>
        <v>0.17</v>
      </c>
      <c r="X786" s="11">
        <f ca="1"/>
        <v>0.39877104377104378</v>
      </c>
      <c r="Y786" s="11">
        <v>0</v>
      </c>
      <c r="Z786" s="11">
        <f ca="1"/>
        <v>32.781228956228958</v>
      </c>
      <c r="AA786" s="11">
        <f ca="1"/>
        <v>16.390614478114479</v>
      </c>
      <c r="AB786" s="4">
        <f ca="1"/>
        <v>45709</v>
      </c>
      <c r="AC786" s="4">
        <v>45709</v>
      </c>
      <c r="AD786" s="9">
        <v>45721</v>
      </c>
      <c r="AE786" s="9">
        <v>45721</v>
      </c>
      <c r="AF786" s="4" t="str">
        <f t="shared" ca="1" si="32"/>
        <v>2025 02</v>
      </c>
      <c r="AG786" s="8" t="str" cm="1">
        <f t="array" ref="AG786">IFERROR(_xlfn.IFS('Banco de Dados'!#REF!="AG. COMPRA","Em processamento",'Banco de Dados'!#REF!="AG. RASTREIO","Em processamento",'Banco de Dados'!$AE786&lt;&gt;"-","Faturado",'Banco de Dados'!$AD786&lt;&gt;"-","Aguardando Pix",'Banco de Dados'!$AC786&lt;&gt;"-","Pendente"),"Aguardando Liberação")</f>
        <v>Aguardando Liberação</v>
      </c>
      <c r="AH786" s="5" t="str">
        <f>IF('Banco de Dados'!$F786="-",_xlfn.CONCAT(PROPER(TEXT(AK786,"aaaa"))," ",PROPER(TEXT(AK786,"mm"))),_xlfn.CONCAT(PROPER(TEXT(E786,"aaaa"))," ",PROPER(TEXT(E786,"mm"))))</f>
        <v>2025 01</v>
      </c>
      <c r="AI786" s="9" t="str">
        <f ca="1">IF('Banco de Dados'!$AK786&lt;&gt;"-","REEMBOLSO",IFERROR(_xlfn.XLOOKUP(G786,Follow[CODRASTREIO],Follow[STATUS]),"-"))</f>
        <v>ENTREGUE</v>
      </c>
      <c r="AJ786" s="9">
        <f ca="1">IF('Banco de Dados'!$AI786="ENTREGUE",_xlfn.XLOOKUP('Banco de Dados'!$G786,Follow[CODRASTREIO],Follow[DATAATUALIZAÇÃO]),"-")</f>
        <v>45691</v>
      </c>
      <c r="AK786" s="9" t="str">
        <f ca="1"/>
        <v>-</v>
      </c>
      <c r="AL786" s="35"/>
      <c r="AM786" s="109" cm="1">
        <f t="array" aca="1" ref="AM786" ca="1">IF('Banco de Dados'!$AK786&lt;&gt;"-",_xlfn.IFS('Banco de Dados'!$A786="bv",IF('Banco de Dados'!$E786&lt;45641,ROUND(SUM('Banco de Dados'!$R786*_xlfn.XLOOKUP('Banco de Dados'!$P786,Sku!B:B,Sku!#REF!)*20%),2),ROUND(SUM('Banco de Dados'!$R786*_xlfn.XLOOKUP('Banco de Dados'!$P786,Sku!B:B,Sku!H:H)*20%),2)),'Banco de Dados'!$A786="GO",ROUND(_xlfn.XLOOKUP('Banco de Dados'!$P786,Sku!C:C,Sku!H:H),2),'Banco de Dados'!$A786="MEI",ROUND(_xlfn.XLOOKUP('Banco de Dados'!$P786,Sku!D:D,Sku!H:H),2)),0)</f>
        <v>0</v>
      </c>
      <c r="AN786" s="109">
        <f ca="1">IF('Banco de Dados'!$AK786&lt;&gt;"-",IF('Banco de Dados'!$F786&lt;&gt;"-",_xlfn.XLOOKUP(IFERROR(IFERROR(IFERROR(VALUE(SUBSTITUTE(MID(_xlfn.TEXTAFTER('Banco de Dados'!$F786,"Data do Pedido:
",1),1,10),"-","/")),VALUE(SUBSTITUTE(MID(_xlfn.TEXTAFTER('Banco de Dados'!$F786,"Order date:
",1),1,10),"-","/"))),VALUE(SUBSTITUTE(MID(_xlfn.TEXTAFTER('Banco de Dados'!$F786,"Fecha de pedido:
",1),1,10),"-","/"))),"-"),SMS!A:A,SMS!K:K),0),0)</f>
        <v>0</v>
      </c>
      <c r="AO786" s="109">
        <f ca="1">IF('Banco de Dados'!$AK786&lt;&gt;"-",IF('Banco de Dados'!$F786&lt;&gt;"-",IFERROR(_xlfn.XLOOKUP(_xlfn.CONCAT('Banco de Dados'!$A786,IFERROR(IFERROR(VALUE(SUBSTITUTE(MID(_xlfn.TEXTAFTER('Banco de Dados'!$F786,"Data do Pedido:
",1),1,10),"-","/")),VALUE(SUBSTITUTE(MID(_xlfn.TEXTAFTER('Banco de Dados'!$F786,"Order date:
",1),1,10),"-","/"))),0)),ProxyDD[Chave],ProxyDD[Valor por pedido]),PROXY!$P$2),0),0)</f>
        <v>0</v>
      </c>
      <c r="AP786" s="28">
        <f ca="1">IF('Banco de Dados'!$AK786&lt;&gt;"-",IF('Banco de Dados'!$AL786="NÃO",IFERROR(VALUE(SUBSTITUTE(_xlfn.TEXTAFTER('Banco de Dados'!$F786,"BRL ",1),".",",")),0),0),0)</f>
        <v>0</v>
      </c>
      <c r="AQ786" s="28">
        <f ca="1">SUM('Banco de Dados'!$AM786:$AP786)</f>
        <v>0</v>
      </c>
      <c r="AR786" s="8"/>
      <c r="AS786" s="8"/>
      <c r="AY786" s="8"/>
    </row>
    <row r="787" spans="1:51">
      <c r="A787" s="5" t="str">
        <v>BV</v>
      </c>
      <c r="B787" s="5" t="str">
        <f ca="1"/>
        <v>BV45673</v>
      </c>
      <c r="C787" s="8" t="str">
        <v>Pedido 774</v>
      </c>
      <c r="D787" s="9">
        <v>45670</v>
      </c>
      <c r="E787" s="9">
        <v>45673</v>
      </c>
      <c r="F787" s="8" t="str">
        <v>PedidoF753</v>
      </c>
      <c r="G787" s="2" t="str">
        <v>CódRastreio751</v>
      </c>
      <c r="H787" s="5">
        <v>1</v>
      </c>
      <c r="I787" s="182" t="str">
        <v>CPF 752</v>
      </c>
      <c r="J787" s="2" t="str">
        <v>Nome 752</v>
      </c>
      <c r="K787" s="8" t="str">
        <v>Tel 752</v>
      </c>
      <c r="L787" s="8" t="str">
        <v>Cep 752</v>
      </c>
      <c r="M787" s="8" t="str">
        <v>Rua 752</v>
      </c>
      <c r="N787" s="8" t="str">
        <v>Comp 752</v>
      </c>
      <c r="O787" s="8" t="str">
        <v>Ventilador de teto</v>
      </c>
      <c r="P787" s="8" t="str">
        <v>BP-NHG2-B8C1</v>
      </c>
      <c r="Q787" s="4">
        <v>45695</v>
      </c>
      <c r="R787" s="109">
        <v>75.989999999999995</v>
      </c>
      <c r="S787" s="11">
        <f ca="1"/>
        <v>75.989999999999995</v>
      </c>
      <c r="T787" s="28">
        <f ca="1"/>
        <v>9.8787000000000003</v>
      </c>
      <c r="U787" s="11">
        <f ca="1"/>
        <v>66.11</v>
      </c>
      <c r="V787" s="11">
        <v>39.97</v>
      </c>
      <c r="W787" s="11">
        <f ca="1"/>
        <v>0.17</v>
      </c>
      <c r="X787" s="11">
        <f ca="1"/>
        <v>0.39877104377104378</v>
      </c>
      <c r="Y787" s="11">
        <v>0</v>
      </c>
      <c r="Z787" s="11">
        <f ca="1"/>
        <v>25.571228956228957</v>
      </c>
      <c r="AA787" s="11">
        <f ca="1"/>
        <v>12.785614478114478</v>
      </c>
      <c r="AB787" s="4">
        <f ca="1"/>
        <v>45702</v>
      </c>
      <c r="AC787" s="4">
        <v>45702</v>
      </c>
      <c r="AD787" s="9">
        <v>45702</v>
      </c>
      <c r="AE787" s="9">
        <v>45705</v>
      </c>
      <c r="AF787" s="4" t="str">
        <f t="shared" ca="1" si="32"/>
        <v>2025 02</v>
      </c>
      <c r="AG787" s="8" t="str" cm="1">
        <f t="array" ref="AG787">IFERROR(_xlfn.IFS('Banco de Dados'!#REF!="AG. COMPRA","Em processamento",'Banco de Dados'!#REF!="AG. RASTREIO","Em processamento",'Banco de Dados'!$AE787&lt;&gt;"-","Faturado",'Banco de Dados'!$AD787&lt;&gt;"-","Aguardando Pix",'Banco de Dados'!$AC787&lt;&gt;"-","Pendente"),"Aguardando Liberação")</f>
        <v>Aguardando Liberação</v>
      </c>
      <c r="AH787" s="5" t="str">
        <f>IF('Banco de Dados'!$F787="-",_xlfn.CONCAT(PROPER(TEXT(AK787,"aaaa"))," ",PROPER(TEXT(AK787,"mm"))),_xlfn.CONCAT(PROPER(TEXT(E787,"aaaa"))," ",PROPER(TEXT(E787,"mm"))))</f>
        <v>2025 01</v>
      </c>
      <c r="AI787" s="9" t="str">
        <f ca="1">IF('Banco de Dados'!$AK787&lt;&gt;"-","REEMBOLSO",IFERROR(_xlfn.XLOOKUP(G787,Follow[CODRASTREIO],Follow[STATUS]),"-"))</f>
        <v>ENTREGUE</v>
      </c>
      <c r="AJ787" s="9">
        <f ca="1">IF('Banco de Dados'!$AI787="ENTREGUE",_xlfn.XLOOKUP('Banco de Dados'!$G787,Follow[CODRASTREIO],Follow[DATAATUALIZAÇÃO]),"-")</f>
        <v>45691</v>
      </c>
      <c r="AK787" s="9" t="str">
        <f ca="1"/>
        <v>-</v>
      </c>
      <c r="AL787" s="35"/>
      <c r="AM787" s="109" cm="1">
        <f t="array" aca="1" ref="AM787" ca="1">IF('Banco de Dados'!$AK787&lt;&gt;"-",_xlfn.IFS('Banco de Dados'!$A787="bv",IF('Banco de Dados'!$E787&lt;45641,ROUND(SUM('Banco de Dados'!$R787*_xlfn.XLOOKUP('Banco de Dados'!$P787,Sku!B:B,Sku!#REF!)*20%),2),ROUND(SUM('Banco de Dados'!$R787*_xlfn.XLOOKUP('Banco de Dados'!$P787,Sku!B:B,Sku!H:H)*20%),2)),'Banco de Dados'!$A787="GO",ROUND(_xlfn.XLOOKUP('Banco de Dados'!$P787,Sku!C:C,Sku!H:H),2),'Banco de Dados'!$A787="MEI",ROUND(_xlfn.XLOOKUP('Banco de Dados'!$P787,Sku!D:D,Sku!H:H),2)),0)</f>
        <v>0</v>
      </c>
      <c r="AN787" s="109">
        <f ca="1">IF('Banco de Dados'!$AK787&lt;&gt;"-",IF('Banco de Dados'!$F787&lt;&gt;"-",_xlfn.XLOOKUP(IFERROR(IFERROR(IFERROR(VALUE(SUBSTITUTE(MID(_xlfn.TEXTAFTER('Banco de Dados'!$F787,"Data do Pedido:
",1),1,10),"-","/")),VALUE(SUBSTITUTE(MID(_xlfn.TEXTAFTER('Banco de Dados'!$F787,"Order date:
",1),1,10),"-","/"))),VALUE(SUBSTITUTE(MID(_xlfn.TEXTAFTER('Banco de Dados'!$F787,"Fecha de pedido:
",1),1,10),"-","/"))),"-"),SMS!A:A,SMS!K:K),0),0)</f>
        <v>0</v>
      </c>
      <c r="AO787" s="109">
        <f ca="1">IF('Banco de Dados'!$AK787&lt;&gt;"-",IF('Banco de Dados'!$F787&lt;&gt;"-",IFERROR(_xlfn.XLOOKUP(_xlfn.CONCAT('Banco de Dados'!$A787,IFERROR(IFERROR(VALUE(SUBSTITUTE(MID(_xlfn.TEXTAFTER('Banco de Dados'!$F787,"Data do Pedido:
",1),1,10),"-","/")),VALUE(SUBSTITUTE(MID(_xlfn.TEXTAFTER('Banco de Dados'!$F787,"Order date:
",1),1,10),"-","/"))),0)),ProxyDD[Chave],ProxyDD[Valor por pedido]),PROXY!$P$2),0),0)</f>
        <v>0</v>
      </c>
      <c r="AP787" s="28">
        <f ca="1">IF('Banco de Dados'!$AK787&lt;&gt;"-",IF('Banco de Dados'!$AL787="NÃO",IFERROR(VALUE(SUBSTITUTE(_xlfn.TEXTAFTER('Banco de Dados'!$F787,"BRL ",1),".",",")),0),0),0)</f>
        <v>0</v>
      </c>
      <c r="AQ787" s="28">
        <f ca="1">SUM('Banco de Dados'!$AM787:$AP787)</f>
        <v>0</v>
      </c>
      <c r="AR787" s="8"/>
      <c r="AS787" s="8"/>
      <c r="AY787" s="8"/>
    </row>
    <row r="788" spans="1:51">
      <c r="A788" s="5" t="str">
        <v>BV</v>
      </c>
      <c r="B788" s="5" t="str">
        <f ca="1"/>
        <v>BV45677</v>
      </c>
      <c r="C788" s="8" t="str">
        <v>Pedido 775</v>
      </c>
      <c r="D788" s="9">
        <v>45671</v>
      </c>
      <c r="E788" s="9">
        <v>45677</v>
      </c>
      <c r="F788" s="8" t="str">
        <v>PedidoF754</v>
      </c>
      <c r="G788" s="2" t="str">
        <v>CódRastreio752</v>
      </c>
      <c r="H788" s="5">
        <v>1</v>
      </c>
      <c r="I788" s="182" t="str">
        <v>CPF 753</v>
      </c>
      <c r="J788" s="2" t="str">
        <v>Nome 753</v>
      </c>
      <c r="K788" s="8" t="str">
        <v>Tel 753</v>
      </c>
      <c r="L788" s="8" t="str">
        <v>Cep 753</v>
      </c>
      <c r="M788" s="8" t="str">
        <v>Rua 753</v>
      </c>
      <c r="N788" s="8" t="str">
        <v>Comp 753</v>
      </c>
      <c r="O788" s="8" t="str">
        <v>Ventilador Azul</v>
      </c>
      <c r="P788" s="8" t="str">
        <v>U8-2VWS-OB6M</v>
      </c>
      <c r="Q788" s="4">
        <v>45695</v>
      </c>
      <c r="R788" s="109">
        <v>66.989999999999995</v>
      </c>
      <c r="S788" s="11">
        <f ca="1"/>
        <v>66.989999999999995</v>
      </c>
      <c r="T788" s="28">
        <f ca="1"/>
        <v>8.7087000000000003</v>
      </c>
      <c r="U788" s="11">
        <f ca="1"/>
        <v>58.28</v>
      </c>
      <c r="V788" s="11">
        <v>19.649999999999999</v>
      </c>
      <c r="W788" s="11">
        <f ca="1"/>
        <v>0.19</v>
      </c>
      <c r="X788" s="11">
        <f ca="1"/>
        <v>0.39877104377104378</v>
      </c>
      <c r="Y788" s="11">
        <v>0</v>
      </c>
      <c r="Z788" s="11">
        <f ca="1"/>
        <v>38.041228956228956</v>
      </c>
      <c r="AA788" s="11">
        <f ca="1"/>
        <v>19.020614478114478</v>
      </c>
      <c r="AB788" s="4">
        <f ca="1"/>
        <v>45702</v>
      </c>
      <c r="AC788" s="4">
        <v>45702</v>
      </c>
      <c r="AD788" s="9">
        <v>45702</v>
      </c>
      <c r="AE788" s="9">
        <v>45705</v>
      </c>
      <c r="AF788" s="4" t="str">
        <f t="shared" ca="1" si="32"/>
        <v>2025 02</v>
      </c>
      <c r="AG788" s="8" t="str" cm="1">
        <f t="array" ref="AG788">IFERROR(_xlfn.IFS('Banco de Dados'!#REF!="AG. COMPRA","Em processamento",'Banco de Dados'!#REF!="AG. RASTREIO","Em processamento",'Banco de Dados'!$AE788&lt;&gt;"-","Faturado",'Banco de Dados'!$AD788&lt;&gt;"-","Aguardando Pix",'Banco de Dados'!$AC788&lt;&gt;"-","Pendente"),"Aguardando Liberação")</f>
        <v>Aguardando Liberação</v>
      </c>
      <c r="AH788" s="5" t="str">
        <f>IF('Banco de Dados'!$F788="-",_xlfn.CONCAT(PROPER(TEXT(AK788,"aaaa"))," ",PROPER(TEXT(AK788,"mm"))),_xlfn.CONCAT(PROPER(TEXT(E788,"aaaa"))," ",PROPER(TEXT(E788,"mm"))))</f>
        <v>2025 01</v>
      </c>
      <c r="AI788" s="9" t="str">
        <f ca="1">IF('Banco de Dados'!$AK788&lt;&gt;"-","REEMBOLSO",IFERROR(_xlfn.XLOOKUP(G788,Follow[CODRASTREIO],Follow[STATUS]),"-"))</f>
        <v>ENTREGUE</v>
      </c>
      <c r="AJ788" s="9">
        <f ca="1">IF('Banco de Dados'!$AI788="ENTREGUE",_xlfn.XLOOKUP('Banco de Dados'!$G788,Follow[CODRASTREIO],Follow[DATAATUALIZAÇÃO]),"-")</f>
        <v>45695</v>
      </c>
      <c r="AK788" s="9" t="str">
        <f ca="1"/>
        <v>-</v>
      </c>
      <c r="AL788" s="35"/>
      <c r="AM788" s="109" cm="1">
        <f t="array" aca="1" ref="AM788" ca="1">IF('Banco de Dados'!$AK788&lt;&gt;"-",_xlfn.IFS('Banco de Dados'!$A788="bv",IF('Banco de Dados'!$E788&lt;45641,ROUND(SUM('Banco de Dados'!$R788*_xlfn.XLOOKUP('Banco de Dados'!$P788,Sku!B:B,Sku!#REF!)*20%),2),ROUND(SUM('Banco de Dados'!$R788*_xlfn.XLOOKUP('Banco de Dados'!$P788,Sku!B:B,Sku!H:H)*20%),2)),'Banco de Dados'!$A788="GO",ROUND(_xlfn.XLOOKUP('Banco de Dados'!$P788,Sku!C:C,Sku!H:H),2),'Banco de Dados'!$A788="MEI",ROUND(_xlfn.XLOOKUP('Banco de Dados'!$P788,Sku!D:D,Sku!H:H),2)),0)</f>
        <v>0</v>
      </c>
      <c r="AN788" s="109">
        <f ca="1">IF('Banco de Dados'!$AK788&lt;&gt;"-",IF('Banco de Dados'!$F788&lt;&gt;"-",_xlfn.XLOOKUP(IFERROR(IFERROR(IFERROR(VALUE(SUBSTITUTE(MID(_xlfn.TEXTAFTER('Banco de Dados'!$F788,"Data do Pedido:
",1),1,10),"-","/")),VALUE(SUBSTITUTE(MID(_xlfn.TEXTAFTER('Banco de Dados'!$F788,"Order date:
",1),1,10),"-","/"))),VALUE(SUBSTITUTE(MID(_xlfn.TEXTAFTER('Banco de Dados'!$F788,"Fecha de pedido:
",1),1,10),"-","/"))),"-"),SMS!A:A,SMS!K:K),0),0)</f>
        <v>0</v>
      </c>
      <c r="AO788" s="109">
        <f ca="1">IF('Banco de Dados'!$AK788&lt;&gt;"-",IF('Banco de Dados'!$F788&lt;&gt;"-",IFERROR(_xlfn.XLOOKUP(_xlfn.CONCAT('Banco de Dados'!$A788,IFERROR(IFERROR(VALUE(SUBSTITUTE(MID(_xlfn.TEXTAFTER('Banco de Dados'!$F788,"Data do Pedido:
",1),1,10),"-","/")),VALUE(SUBSTITUTE(MID(_xlfn.TEXTAFTER('Banco de Dados'!$F788,"Order date:
",1),1,10),"-","/"))),0)),ProxyDD[Chave],ProxyDD[Valor por pedido]),PROXY!$P$2),0),0)</f>
        <v>0</v>
      </c>
      <c r="AP788" s="28">
        <f ca="1">IF('Banco de Dados'!$AK788&lt;&gt;"-",IF('Banco de Dados'!$AL788="NÃO",IFERROR(VALUE(SUBSTITUTE(_xlfn.TEXTAFTER('Banco de Dados'!$F788,"BRL ",1),".",",")),0),0),0)</f>
        <v>0</v>
      </c>
      <c r="AQ788" s="28">
        <f ca="1">SUM('Banco de Dados'!$AM788:$AP788)</f>
        <v>0</v>
      </c>
      <c r="AR788" s="8"/>
      <c r="AS788" s="8"/>
      <c r="AY788" s="8"/>
    </row>
    <row r="789" spans="1:51">
      <c r="A789" s="5" t="str">
        <v>BV</v>
      </c>
      <c r="B789" s="5" t="str">
        <f ca="1"/>
        <v>BV45673</v>
      </c>
      <c r="C789" s="8" t="str">
        <v>Pedido 776</v>
      </c>
      <c r="D789" s="9">
        <v>45671</v>
      </c>
      <c r="E789" s="9">
        <v>45673</v>
      </c>
      <c r="F789" s="8" t="str">
        <v>PedidoF755</v>
      </c>
      <c r="G789" s="2" t="str">
        <v>CódRastreio753</v>
      </c>
      <c r="H789" s="5">
        <v>1</v>
      </c>
      <c r="I789" s="182" t="str">
        <v>CPF 754</v>
      </c>
      <c r="J789" s="2" t="str">
        <v>Nome 754</v>
      </c>
      <c r="K789" s="8" t="str">
        <v>Tel 754</v>
      </c>
      <c r="L789" s="8" t="str">
        <v>Cep 754</v>
      </c>
      <c r="M789" s="8" t="str">
        <v>Rua 754</v>
      </c>
      <c r="N789" s="8" t="str">
        <v>Comp 754</v>
      </c>
      <c r="O789" s="8" t="str">
        <v>Garrafa Termica</v>
      </c>
      <c r="P789" s="8" t="str">
        <v>FM-QQ8Y-RZT4</v>
      </c>
      <c r="Q789" s="4">
        <v>45692</v>
      </c>
      <c r="R789" s="109">
        <v>34.9</v>
      </c>
      <c r="S789" s="11">
        <f ca="1"/>
        <v>34.9</v>
      </c>
      <c r="T789" s="28">
        <f ca="1"/>
        <v>4.5369999999999999</v>
      </c>
      <c r="U789" s="11">
        <f ca="1"/>
        <v>30.36</v>
      </c>
      <c r="V789" s="11">
        <v>18.8</v>
      </c>
      <c r="W789" s="11">
        <f ca="1"/>
        <v>0.17</v>
      </c>
      <c r="X789" s="11">
        <f ca="1"/>
        <v>0.39877104377104378</v>
      </c>
      <c r="Y789" s="11">
        <v>0</v>
      </c>
      <c r="Z789" s="11">
        <f ca="1"/>
        <v>10.991228956228952</v>
      </c>
      <c r="AA789" s="11">
        <f ca="1"/>
        <v>5.4956144781144758</v>
      </c>
      <c r="AB789" s="4">
        <f ca="1"/>
        <v>45699</v>
      </c>
      <c r="AC789" s="4">
        <v>45699</v>
      </c>
      <c r="AD789" s="9">
        <v>45702</v>
      </c>
      <c r="AE789" s="9">
        <v>45705</v>
      </c>
      <c r="AF789" s="4" t="str">
        <f t="shared" ca="1" si="32"/>
        <v>2025 02</v>
      </c>
      <c r="AG789" s="8" t="str" cm="1">
        <f t="array" ref="AG789">IFERROR(_xlfn.IFS('Banco de Dados'!#REF!="AG. COMPRA","Em processamento",'Banco de Dados'!#REF!="AG. RASTREIO","Em processamento",'Banco de Dados'!$AE789&lt;&gt;"-","Faturado",'Banco de Dados'!$AD789&lt;&gt;"-","Aguardando Pix",'Banco de Dados'!$AC789&lt;&gt;"-","Pendente"),"Aguardando Liberação")</f>
        <v>Aguardando Liberação</v>
      </c>
      <c r="AH789" s="5" t="str">
        <f>IF('Banco de Dados'!$F789="-",_xlfn.CONCAT(PROPER(TEXT(AK789,"aaaa"))," ",PROPER(TEXT(AK789,"mm"))),_xlfn.CONCAT(PROPER(TEXT(E789,"aaaa"))," ",PROPER(TEXT(E789,"mm"))))</f>
        <v>2025 01</v>
      </c>
      <c r="AI789" s="9" t="str">
        <f ca="1">IF('Banco de Dados'!$AK789&lt;&gt;"-","REEMBOLSO",IFERROR(_xlfn.XLOOKUP(G789,Follow[CODRASTREIO],Follow[STATUS]),"-"))</f>
        <v>ENTREGUE</v>
      </c>
      <c r="AJ789" s="9">
        <f ca="1">IF('Banco de Dados'!$AI789="ENTREGUE",_xlfn.XLOOKUP('Banco de Dados'!$G789,Follow[CODRASTREIO],Follow[DATAATUALIZAÇÃO]),"-")</f>
        <v>45682</v>
      </c>
      <c r="AK789" s="9" t="str">
        <f ca="1"/>
        <v>-</v>
      </c>
      <c r="AL789" s="35"/>
      <c r="AM789" s="109" cm="1">
        <f t="array" aca="1" ref="AM789" ca="1">IF('Banco de Dados'!$AK789&lt;&gt;"-",_xlfn.IFS('Banco de Dados'!$A789="bv",IF('Banco de Dados'!$E789&lt;45641,ROUND(SUM('Banco de Dados'!$R789*_xlfn.XLOOKUP('Banco de Dados'!$P789,Sku!B:B,Sku!#REF!)*20%),2),ROUND(SUM('Banco de Dados'!$R789*_xlfn.XLOOKUP('Banco de Dados'!$P789,Sku!B:B,Sku!H:H)*20%),2)),'Banco de Dados'!$A789="GO",ROUND(_xlfn.XLOOKUP('Banco de Dados'!$P789,Sku!C:C,Sku!H:H),2),'Banco de Dados'!$A789="MEI",ROUND(_xlfn.XLOOKUP('Banco de Dados'!$P789,Sku!D:D,Sku!H:H),2)),0)</f>
        <v>0</v>
      </c>
      <c r="AN789" s="109">
        <f ca="1">IF('Banco de Dados'!$AK789&lt;&gt;"-",IF('Banco de Dados'!$F789&lt;&gt;"-",_xlfn.XLOOKUP(IFERROR(IFERROR(IFERROR(VALUE(SUBSTITUTE(MID(_xlfn.TEXTAFTER('Banco de Dados'!$F789,"Data do Pedido:
",1),1,10),"-","/")),VALUE(SUBSTITUTE(MID(_xlfn.TEXTAFTER('Banco de Dados'!$F789,"Order date:
",1),1,10),"-","/"))),VALUE(SUBSTITUTE(MID(_xlfn.TEXTAFTER('Banco de Dados'!$F789,"Fecha de pedido:
",1),1,10),"-","/"))),"-"),SMS!A:A,SMS!K:K),0),0)</f>
        <v>0</v>
      </c>
      <c r="AO789" s="109">
        <f ca="1">IF('Banco de Dados'!$AK789&lt;&gt;"-",IF('Banco de Dados'!$F789&lt;&gt;"-",IFERROR(_xlfn.XLOOKUP(_xlfn.CONCAT('Banco de Dados'!$A789,IFERROR(IFERROR(VALUE(SUBSTITUTE(MID(_xlfn.TEXTAFTER('Banco de Dados'!$F789,"Data do Pedido:
",1),1,10),"-","/")),VALUE(SUBSTITUTE(MID(_xlfn.TEXTAFTER('Banco de Dados'!$F789,"Order date:
",1),1,10),"-","/"))),0)),ProxyDD[Chave],ProxyDD[Valor por pedido]),PROXY!$P$2),0),0)</f>
        <v>0</v>
      </c>
      <c r="AP789" s="28">
        <f ca="1">IF('Banco de Dados'!$AK789&lt;&gt;"-",IF('Banco de Dados'!$AL789="NÃO",IFERROR(VALUE(SUBSTITUTE(_xlfn.TEXTAFTER('Banco de Dados'!$F789,"BRL ",1),".",",")),0),0),0)</f>
        <v>0</v>
      </c>
      <c r="AQ789" s="28">
        <f ca="1">SUM('Banco de Dados'!$AM789:$AP789)</f>
        <v>0</v>
      </c>
      <c r="AR789" s="8"/>
      <c r="AS789" s="8"/>
      <c r="AY789" s="8"/>
    </row>
    <row r="790" spans="1:51">
      <c r="A790" s="5" t="str">
        <v>BV</v>
      </c>
      <c r="B790" s="5" t="str">
        <f ca="1"/>
        <v>BV45677</v>
      </c>
      <c r="C790" s="8" t="str">
        <v>Pedido 777</v>
      </c>
      <c r="D790" s="9">
        <v>45671</v>
      </c>
      <c r="E790" s="9">
        <v>45677</v>
      </c>
      <c r="F790" s="8" t="str">
        <v>PedidoF756</v>
      </c>
      <c r="G790" s="2" t="str">
        <v>CódRastreio754</v>
      </c>
      <c r="H790" s="5">
        <v>1</v>
      </c>
      <c r="I790" s="182" t="str">
        <v>CPF 755</v>
      </c>
      <c r="J790" s="2" t="str">
        <v>Nome 755</v>
      </c>
      <c r="K790" s="8" t="str">
        <v>Tel 755</v>
      </c>
      <c r="L790" s="8" t="str">
        <v>Cep 755</v>
      </c>
      <c r="M790" s="8" t="str">
        <v>Rua 755</v>
      </c>
      <c r="N790" s="8" t="str">
        <v>Comp 755</v>
      </c>
      <c r="O790" s="8" t="str">
        <v>Ventilador Azul</v>
      </c>
      <c r="P790" s="8" t="str">
        <v>U8-2VWS-OB6M</v>
      </c>
      <c r="Q790" s="4">
        <v>45696</v>
      </c>
      <c r="R790" s="109">
        <v>66.989999999999995</v>
      </c>
      <c r="S790" s="11">
        <f ca="1"/>
        <v>66.989999999999995</v>
      </c>
      <c r="T790" s="28">
        <f ca="1"/>
        <v>8.7087000000000003</v>
      </c>
      <c r="U790" s="11">
        <f ca="1"/>
        <v>58.28</v>
      </c>
      <c r="V790" s="11">
        <v>19.649999999999999</v>
      </c>
      <c r="W790" s="11">
        <f ca="1"/>
        <v>0.19</v>
      </c>
      <c r="X790" s="11">
        <f ca="1"/>
        <v>0.39877104377104378</v>
      </c>
      <c r="Y790" s="11">
        <v>0</v>
      </c>
      <c r="Z790" s="11">
        <f ca="1"/>
        <v>38.041228956228956</v>
      </c>
      <c r="AA790" s="11">
        <f ca="1"/>
        <v>19.020614478114478</v>
      </c>
      <c r="AB790" s="4">
        <f ca="1"/>
        <v>45703</v>
      </c>
      <c r="AC790" s="4">
        <v>45703</v>
      </c>
      <c r="AD790" s="9">
        <v>45721</v>
      </c>
      <c r="AE790" s="9">
        <v>45721</v>
      </c>
      <c r="AF790" s="4" t="str">
        <f t="shared" ca="1" si="32"/>
        <v>2025 02</v>
      </c>
      <c r="AG790" s="8" t="str" cm="1">
        <f t="array" ref="AG790">IFERROR(_xlfn.IFS('Banco de Dados'!#REF!="AG. COMPRA","Em processamento",'Banco de Dados'!#REF!="AG. RASTREIO","Em processamento",'Banco de Dados'!$AE790&lt;&gt;"-","Faturado",'Banco de Dados'!$AD790&lt;&gt;"-","Aguardando Pix",'Banco de Dados'!$AC790&lt;&gt;"-","Pendente"),"Aguardando Liberação")</f>
        <v>Aguardando Liberação</v>
      </c>
      <c r="AH790" s="5" t="str">
        <f>IF('Banco de Dados'!$F790="-",_xlfn.CONCAT(PROPER(TEXT(AK790,"aaaa"))," ",PROPER(TEXT(AK790,"mm"))),_xlfn.CONCAT(PROPER(TEXT(E790,"aaaa"))," ",PROPER(TEXT(E790,"mm"))))</f>
        <v>2025 01</v>
      </c>
      <c r="AI790" s="9" t="str">
        <f ca="1">IF('Banco de Dados'!$AK790&lt;&gt;"-","REEMBOLSO",IFERROR(_xlfn.XLOOKUP(G790,Follow[CODRASTREIO],Follow[STATUS]),"-"))</f>
        <v>ENTREGUE</v>
      </c>
      <c r="AJ790" s="9">
        <f ca="1">IF('Banco de Dados'!$AI790="ENTREGUE",_xlfn.XLOOKUP('Banco de Dados'!$G790,Follow[CODRASTREIO],Follow[DATAATUALIZAÇÃO]),"-")</f>
        <v>45698</v>
      </c>
      <c r="AK790" s="9" t="str">
        <f ca="1"/>
        <v>-</v>
      </c>
      <c r="AL790" s="35"/>
      <c r="AM790" s="109" cm="1">
        <f t="array" aca="1" ref="AM790" ca="1">IF('Banco de Dados'!$AK790&lt;&gt;"-",_xlfn.IFS('Banco de Dados'!$A790="bv",IF('Banco de Dados'!$E790&lt;45641,ROUND(SUM('Banco de Dados'!$R790*_xlfn.XLOOKUP('Banco de Dados'!$P790,Sku!B:B,Sku!#REF!)*20%),2),ROUND(SUM('Banco de Dados'!$R790*_xlfn.XLOOKUP('Banco de Dados'!$P790,Sku!B:B,Sku!H:H)*20%),2)),'Banco de Dados'!$A790="GO",ROUND(_xlfn.XLOOKUP('Banco de Dados'!$P790,Sku!C:C,Sku!H:H),2),'Banco de Dados'!$A790="MEI",ROUND(_xlfn.XLOOKUP('Banco de Dados'!$P790,Sku!D:D,Sku!H:H),2)),0)</f>
        <v>0</v>
      </c>
      <c r="AN790" s="109">
        <f ca="1">IF('Banco de Dados'!$AK790&lt;&gt;"-",IF('Banco de Dados'!$F790&lt;&gt;"-",_xlfn.XLOOKUP(IFERROR(IFERROR(IFERROR(VALUE(SUBSTITUTE(MID(_xlfn.TEXTAFTER('Banco de Dados'!$F790,"Data do Pedido:
",1),1,10),"-","/")),VALUE(SUBSTITUTE(MID(_xlfn.TEXTAFTER('Banco de Dados'!$F790,"Order date:
",1),1,10),"-","/"))),VALUE(SUBSTITUTE(MID(_xlfn.TEXTAFTER('Banco de Dados'!$F790,"Fecha de pedido:
",1),1,10),"-","/"))),"-"),SMS!A:A,SMS!K:K),0),0)</f>
        <v>0</v>
      </c>
      <c r="AO790" s="109">
        <f ca="1">IF('Banco de Dados'!$AK790&lt;&gt;"-",IF('Banco de Dados'!$F790&lt;&gt;"-",IFERROR(_xlfn.XLOOKUP(_xlfn.CONCAT('Banco de Dados'!$A790,IFERROR(IFERROR(VALUE(SUBSTITUTE(MID(_xlfn.TEXTAFTER('Banco de Dados'!$F790,"Data do Pedido:
",1),1,10),"-","/")),VALUE(SUBSTITUTE(MID(_xlfn.TEXTAFTER('Banco de Dados'!$F790,"Order date:
",1),1,10),"-","/"))),0)),ProxyDD[Chave],ProxyDD[Valor por pedido]),PROXY!$P$2),0),0)</f>
        <v>0</v>
      </c>
      <c r="AP790" s="28">
        <f ca="1">IF('Banco de Dados'!$AK790&lt;&gt;"-",IF('Banco de Dados'!$AL790="NÃO",IFERROR(VALUE(SUBSTITUTE(_xlfn.TEXTAFTER('Banco de Dados'!$F790,"BRL ",1),".",",")),0),0),0)</f>
        <v>0</v>
      </c>
      <c r="AQ790" s="28">
        <f ca="1">SUM('Banco de Dados'!$AM790:$AP790)</f>
        <v>0</v>
      </c>
      <c r="AR790" s="8"/>
      <c r="AS790" s="8"/>
      <c r="AY790" s="8"/>
    </row>
    <row r="791" spans="1:51">
      <c r="A791" s="5" t="str">
        <v>BV</v>
      </c>
      <c r="B791" s="5" t="str">
        <f ca="1"/>
        <v>BV45677</v>
      </c>
      <c r="C791" s="8" t="str">
        <v>Pedido 778</v>
      </c>
      <c r="D791" s="9">
        <v>45671</v>
      </c>
      <c r="E791" s="9">
        <v>45677</v>
      </c>
      <c r="F791" s="8" t="str">
        <v>PedidoF757</v>
      </c>
      <c r="G791" s="2" t="str">
        <v>CódRastreio755</v>
      </c>
      <c r="H791" s="5">
        <v>1</v>
      </c>
      <c r="I791" s="182" t="str">
        <v>CPF 756</v>
      </c>
      <c r="J791" s="2" t="str">
        <v>Nome 756</v>
      </c>
      <c r="K791" s="8" t="str">
        <v>Tel 756</v>
      </c>
      <c r="L791" s="8" t="str">
        <v>Cep 756</v>
      </c>
      <c r="M791" s="8" t="str">
        <v>Rua 756</v>
      </c>
      <c r="N791" s="8" t="str">
        <v>Comp 756</v>
      </c>
      <c r="O791" s="8" t="str">
        <v>Ventilador Azul</v>
      </c>
      <c r="P791" s="8" t="str">
        <v>U8-2VWS-OB6M</v>
      </c>
      <c r="Q791" s="4">
        <v>45696</v>
      </c>
      <c r="R791" s="109">
        <v>66.989999999999995</v>
      </c>
      <c r="S791" s="11">
        <f ca="1"/>
        <v>66.989999999999995</v>
      </c>
      <c r="T791" s="28">
        <f ca="1"/>
        <v>8.7087000000000003</v>
      </c>
      <c r="U791" s="11">
        <f ca="1"/>
        <v>58.28</v>
      </c>
      <c r="V791" s="11">
        <v>19.649999999999999</v>
      </c>
      <c r="W791" s="11">
        <f ca="1"/>
        <v>0.19</v>
      </c>
      <c r="X791" s="11">
        <f ca="1"/>
        <v>0.39877104377104378</v>
      </c>
      <c r="Y791" s="11">
        <v>0</v>
      </c>
      <c r="Z791" s="11">
        <f ca="1"/>
        <v>38.041228956228956</v>
      </c>
      <c r="AA791" s="11">
        <f ca="1"/>
        <v>19.020614478114478</v>
      </c>
      <c r="AB791" s="4">
        <f ca="1"/>
        <v>45703</v>
      </c>
      <c r="AC791" s="4">
        <v>45703</v>
      </c>
      <c r="AD791" s="9">
        <v>45721</v>
      </c>
      <c r="AE791" s="9">
        <v>45721</v>
      </c>
      <c r="AF791" s="4" t="str">
        <f t="shared" ca="1" si="32"/>
        <v>2025 02</v>
      </c>
      <c r="AG791" s="8" t="str" cm="1">
        <f t="array" ref="AG791">IFERROR(_xlfn.IFS('Banco de Dados'!#REF!="AG. COMPRA","Em processamento",'Banco de Dados'!#REF!="AG. RASTREIO","Em processamento",'Banco de Dados'!$AE791&lt;&gt;"-","Faturado",'Banco de Dados'!$AD791&lt;&gt;"-","Aguardando Pix",'Banco de Dados'!$AC791&lt;&gt;"-","Pendente"),"Aguardando Liberação")</f>
        <v>Aguardando Liberação</v>
      </c>
      <c r="AH791" s="5" t="str">
        <f>IF('Banco de Dados'!$F791="-",_xlfn.CONCAT(PROPER(TEXT(AK791,"aaaa"))," ",PROPER(TEXT(AK791,"mm"))),_xlfn.CONCAT(PROPER(TEXT(E791,"aaaa"))," ",PROPER(TEXT(E791,"mm"))))</f>
        <v>2025 01</v>
      </c>
      <c r="AI791" s="9" t="str">
        <f ca="1">IF('Banco de Dados'!$AK791&lt;&gt;"-","REEMBOLSO",IFERROR(_xlfn.XLOOKUP(G791,Follow[CODRASTREIO],Follow[STATUS]),"-"))</f>
        <v>ENTREGUE</v>
      </c>
      <c r="AJ791" s="9">
        <f ca="1">IF('Banco de Dados'!$AI791="ENTREGUE",_xlfn.XLOOKUP('Banco de Dados'!$G791,Follow[CODRASTREIO],Follow[DATAATUALIZAÇÃO]),"-")</f>
        <v>45694</v>
      </c>
      <c r="AK791" s="9" t="str">
        <f ca="1"/>
        <v>-</v>
      </c>
      <c r="AL791" s="35"/>
      <c r="AM791" s="109" cm="1">
        <f t="array" aca="1" ref="AM791" ca="1">IF('Banco de Dados'!$AK791&lt;&gt;"-",_xlfn.IFS('Banco de Dados'!$A791="bv",IF('Banco de Dados'!$E791&lt;45641,ROUND(SUM('Banco de Dados'!$R791*_xlfn.XLOOKUP('Banco de Dados'!$P791,Sku!B:B,Sku!#REF!)*20%),2),ROUND(SUM('Banco de Dados'!$R791*_xlfn.XLOOKUP('Banco de Dados'!$P791,Sku!B:B,Sku!H:H)*20%),2)),'Banco de Dados'!$A791="GO",ROUND(_xlfn.XLOOKUP('Banco de Dados'!$P791,Sku!C:C,Sku!H:H),2),'Banco de Dados'!$A791="MEI",ROUND(_xlfn.XLOOKUP('Banco de Dados'!$P791,Sku!D:D,Sku!H:H),2)),0)</f>
        <v>0</v>
      </c>
      <c r="AN791" s="109">
        <f ca="1">IF('Banco de Dados'!$AK791&lt;&gt;"-",IF('Banco de Dados'!$F791&lt;&gt;"-",_xlfn.XLOOKUP(IFERROR(IFERROR(IFERROR(VALUE(SUBSTITUTE(MID(_xlfn.TEXTAFTER('Banco de Dados'!$F791,"Data do Pedido:
",1),1,10),"-","/")),VALUE(SUBSTITUTE(MID(_xlfn.TEXTAFTER('Banco de Dados'!$F791,"Order date:
",1),1,10),"-","/"))),VALUE(SUBSTITUTE(MID(_xlfn.TEXTAFTER('Banco de Dados'!$F791,"Fecha de pedido:
",1),1,10),"-","/"))),"-"),SMS!A:A,SMS!K:K),0),0)</f>
        <v>0</v>
      </c>
      <c r="AO791" s="109">
        <f ca="1">IF('Banco de Dados'!$AK791&lt;&gt;"-",IF('Banco de Dados'!$F791&lt;&gt;"-",IFERROR(_xlfn.XLOOKUP(_xlfn.CONCAT('Banco de Dados'!$A791,IFERROR(IFERROR(VALUE(SUBSTITUTE(MID(_xlfn.TEXTAFTER('Banco de Dados'!$F791,"Data do Pedido:
",1),1,10),"-","/")),VALUE(SUBSTITUTE(MID(_xlfn.TEXTAFTER('Banco de Dados'!$F791,"Order date:
",1),1,10),"-","/"))),0)),ProxyDD[Chave],ProxyDD[Valor por pedido]),PROXY!$P$2),0),0)</f>
        <v>0</v>
      </c>
      <c r="AP791" s="28">
        <f ca="1">IF('Banco de Dados'!$AK791&lt;&gt;"-",IF('Banco de Dados'!$AL791="NÃO",IFERROR(VALUE(SUBSTITUTE(_xlfn.TEXTAFTER('Banco de Dados'!$F791,"BRL ",1),".",",")),0),0),0)</f>
        <v>0</v>
      </c>
      <c r="AQ791" s="28">
        <f ca="1">SUM('Banco de Dados'!$AM791:$AP791)</f>
        <v>0</v>
      </c>
      <c r="AR791" s="8"/>
      <c r="AS791" s="8"/>
      <c r="AY791" s="8"/>
    </row>
    <row r="792" spans="1:51">
      <c r="A792" s="5" t="str">
        <v>BV</v>
      </c>
      <c r="B792" s="5" t="str">
        <f ca="1"/>
        <v>BV45677</v>
      </c>
      <c r="C792" s="8" t="str">
        <v>Pedido 779</v>
      </c>
      <c r="D792" s="9">
        <v>45672</v>
      </c>
      <c r="E792" s="9">
        <v>45677</v>
      </c>
      <c r="F792" s="8" t="str">
        <v>PedidoF758</v>
      </c>
      <c r="G792" s="2" t="str">
        <v>CódRastreio756</v>
      </c>
      <c r="H792" s="5">
        <v>1</v>
      </c>
      <c r="I792" s="182" t="str">
        <v>CPF 757</v>
      </c>
      <c r="J792" s="2" t="str">
        <v>Nome 757</v>
      </c>
      <c r="K792" s="8" t="str">
        <v>Tel 757</v>
      </c>
      <c r="L792" s="8" t="str">
        <v>Cep 757</v>
      </c>
      <c r="M792" s="8" t="str">
        <v>Rua 757</v>
      </c>
      <c r="N792" s="8" t="str">
        <v>Comp 757</v>
      </c>
      <c r="O792" s="8" t="str">
        <v>Lampada Led</v>
      </c>
      <c r="P792" s="8" t="str">
        <v>RB-W251-UXV2</v>
      </c>
      <c r="Q792" s="4">
        <v>45686</v>
      </c>
      <c r="R792" s="109">
        <v>33.99</v>
      </c>
      <c r="S792" s="11">
        <f ca="1"/>
        <v>33.99</v>
      </c>
      <c r="T792" s="28">
        <f ca="1"/>
        <v>4.4187000000000003</v>
      </c>
      <c r="U792" s="11">
        <f ca="1"/>
        <v>29.57</v>
      </c>
      <c r="V792" s="11">
        <v>15.4</v>
      </c>
      <c r="W792" s="11">
        <f ca="1"/>
        <v>0.19</v>
      </c>
      <c r="X792" s="11">
        <f ca="1"/>
        <v>0.39877104377104378</v>
      </c>
      <c r="Y792" s="11">
        <v>0</v>
      </c>
      <c r="Z792" s="11">
        <f ca="1"/>
        <v>13.581228956228957</v>
      </c>
      <c r="AA792" s="11">
        <f ca="1"/>
        <v>6.7906144781144784</v>
      </c>
      <c r="AB792" s="4">
        <f ca="1"/>
        <v>45693</v>
      </c>
      <c r="AC792" s="4">
        <v>45693</v>
      </c>
      <c r="AD792" s="9">
        <v>45693</v>
      </c>
      <c r="AE792" s="9">
        <v>45705</v>
      </c>
      <c r="AF792" s="4" t="str">
        <f t="shared" ca="1" si="32"/>
        <v>2025 02</v>
      </c>
      <c r="AG792" s="8" t="str" cm="1">
        <f t="array" ref="AG792">IFERROR(_xlfn.IFS('Banco de Dados'!#REF!="AG. COMPRA","Em processamento",'Banco de Dados'!#REF!="AG. RASTREIO","Em processamento",'Banco de Dados'!$AE792&lt;&gt;"-","Faturado",'Banco de Dados'!$AD792&lt;&gt;"-","Aguardando Pix",'Banco de Dados'!$AC792&lt;&gt;"-","Pendente"),"Aguardando Liberação")</f>
        <v>Aguardando Liberação</v>
      </c>
      <c r="AH792" s="5" t="str">
        <f>IF('Banco de Dados'!$F792="-",_xlfn.CONCAT(PROPER(TEXT(AK792,"aaaa"))," ",PROPER(TEXT(AK792,"mm"))),_xlfn.CONCAT(PROPER(TEXT(E792,"aaaa"))," ",PROPER(TEXT(E792,"mm"))))</f>
        <v>2025 01</v>
      </c>
      <c r="AI792" s="9" t="str">
        <f ca="1">IF('Banco de Dados'!$AK792&lt;&gt;"-","REEMBOLSO",IFERROR(_xlfn.XLOOKUP(G792,Follow[CODRASTREIO],Follow[STATUS]),"-"))</f>
        <v>ENTREGUE</v>
      </c>
      <c r="AJ792" s="9">
        <f ca="1">IF('Banco de Dados'!$AI792="ENTREGUE",_xlfn.XLOOKUP('Banco de Dados'!$G792,Follow[CODRASTREIO],Follow[DATAATUALIZAÇÃO]),"-")</f>
        <v>45680</v>
      </c>
      <c r="AK792" s="9" t="str">
        <f ca="1"/>
        <v>-</v>
      </c>
      <c r="AL792" s="35"/>
      <c r="AM792" s="109" cm="1">
        <f t="array" aca="1" ref="AM792" ca="1">IF('Banco de Dados'!$AK792&lt;&gt;"-",_xlfn.IFS('Banco de Dados'!$A792="bv",IF('Banco de Dados'!$E792&lt;45641,ROUND(SUM('Banco de Dados'!$R792*_xlfn.XLOOKUP('Banco de Dados'!$P792,Sku!B:B,Sku!#REF!)*20%),2),ROUND(SUM('Banco de Dados'!$R792*_xlfn.XLOOKUP('Banco de Dados'!$P792,Sku!B:B,Sku!H:H)*20%),2)),'Banco de Dados'!$A792="GO",ROUND(_xlfn.XLOOKUP('Banco de Dados'!$P792,Sku!C:C,Sku!H:H),2),'Banco de Dados'!$A792="MEI",ROUND(_xlfn.XLOOKUP('Banco de Dados'!$P792,Sku!D:D,Sku!H:H),2)),0)</f>
        <v>0</v>
      </c>
      <c r="AN792" s="109">
        <f ca="1">IF('Banco de Dados'!$AK792&lt;&gt;"-",IF('Banco de Dados'!$F792&lt;&gt;"-",_xlfn.XLOOKUP(IFERROR(IFERROR(IFERROR(VALUE(SUBSTITUTE(MID(_xlfn.TEXTAFTER('Banco de Dados'!$F792,"Data do Pedido:
",1),1,10),"-","/")),VALUE(SUBSTITUTE(MID(_xlfn.TEXTAFTER('Banco de Dados'!$F792,"Order date:
",1),1,10),"-","/"))),VALUE(SUBSTITUTE(MID(_xlfn.TEXTAFTER('Banco de Dados'!$F792,"Fecha de pedido:
",1),1,10),"-","/"))),"-"),SMS!A:A,SMS!K:K),0),0)</f>
        <v>0</v>
      </c>
      <c r="AO792" s="109">
        <f ca="1">IF('Banco de Dados'!$AK792&lt;&gt;"-",IF('Banco de Dados'!$F792&lt;&gt;"-",IFERROR(_xlfn.XLOOKUP(_xlfn.CONCAT('Banco de Dados'!$A792,IFERROR(IFERROR(VALUE(SUBSTITUTE(MID(_xlfn.TEXTAFTER('Banco de Dados'!$F792,"Data do Pedido:
",1),1,10),"-","/")),VALUE(SUBSTITUTE(MID(_xlfn.TEXTAFTER('Banco de Dados'!$F792,"Order date:
",1),1,10),"-","/"))),0)),ProxyDD[Chave],ProxyDD[Valor por pedido]),PROXY!$P$2),0),0)</f>
        <v>0</v>
      </c>
      <c r="AP792" s="28">
        <f ca="1">IF('Banco de Dados'!$AK792&lt;&gt;"-",IF('Banco de Dados'!$AL792="NÃO",IFERROR(VALUE(SUBSTITUTE(_xlfn.TEXTAFTER('Banco de Dados'!$F792,"BRL ",1),".",",")),0),0),0)</f>
        <v>0</v>
      </c>
      <c r="AQ792" s="28">
        <f ca="1">SUM('Banco de Dados'!$AM792:$AP792)</f>
        <v>0</v>
      </c>
      <c r="AR792" s="8"/>
      <c r="AS792" s="8"/>
      <c r="AY792" s="8"/>
    </row>
    <row r="793" spans="1:51">
      <c r="A793" s="5" t="str">
        <v>BV</v>
      </c>
      <c r="B793" s="5" t="str">
        <f ca="1"/>
        <v>BV45677</v>
      </c>
      <c r="C793" s="8" t="str">
        <v>Pedido 780</v>
      </c>
      <c r="D793" s="9">
        <v>45672</v>
      </c>
      <c r="E793" s="9">
        <v>45677</v>
      </c>
      <c r="F793" s="8" t="str">
        <v>PedidoF759</v>
      </c>
      <c r="G793" s="2" t="str">
        <v>CódRastreio757</v>
      </c>
      <c r="H793" s="5">
        <v>1</v>
      </c>
      <c r="I793" s="182" t="str">
        <v>CPF 758</v>
      </c>
      <c r="J793" s="2" t="str">
        <v>Nome 758</v>
      </c>
      <c r="K793" s="8" t="str">
        <v>Tel 758</v>
      </c>
      <c r="L793" s="8" t="str">
        <v>Cep 758</v>
      </c>
      <c r="M793" s="8" t="str">
        <v>Rua 758</v>
      </c>
      <c r="N793" s="8" t="str">
        <v>Comp 758</v>
      </c>
      <c r="O793" s="8" t="str">
        <v>Ventilador Preto</v>
      </c>
      <c r="P793" s="8" t="str">
        <v>MU-J80P-95WF</v>
      </c>
      <c r="Q793" s="4">
        <v>45699</v>
      </c>
      <c r="R793" s="109">
        <v>66.989999999999995</v>
      </c>
      <c r="S793" s="11">
        <f ca="1"/>
        <v>66.989999999999995</v>
      </c>
      <c r="T793" s="28">
        <f ca="1"/>
        <v>8.7087000000000003</v>
      </c>
      <c r="U793" s="11">
        <f ca="1"/>
        <v>58.28</v>
      </c>
      <c r="V793" s="11">
        <v>14.15</v>
      </c>
      <c r="W793" s="11">
        <f ca="1"/>
        <v>0.19</v>
      </c>
      <c r="X793" s="11">
        <f ca="1"/>
        <v>0.39877104377104378</v>
      </c>
      <c r="Y793" s="11">
        <v>0</v>
      </c>
      <c r="Z793" s="11">
        <f ca="1"/>
        <v>43.541228956228956</v>
      </c>
      <c r="AA793" s="11">
        <f ca="1"/>
        <v>21.770614478114478</v>
      </c>
      <c r="AB793" s="4">
        <f ca="1"/>
        <v>45706</v>
      </c>
      <c r="AC793" s="4">
        <v>45706</v>
      </c>
      <c r="AD793" s="9">
        <v>45721</v>
      </c>
      <c r="AE793" s="9">
        <v>45721</v>
      </c>
      <c r="AF793" s="4" t="str">
        <f t="shared" ca="1" si="32"/>
        <v>2025 02</v>
      </c>
      <c r="AG793" s="8" t="str" cm="1">
        <f t="array" ref="AG793">IFERROR(_xlfn.IFS('Banco de Dados'!#REF!="AG. COMPRA","Em processamento",'Banco de Dados'!#REF!="AG. RASTREIO","Em processamento",'Banco de Dados'!$AE793&lt;&gt;"-","Faturado",'Banco de Dados'!$AD793&lt;&gt;"-","Aguardando Pix",'Banco de Dados'!$AC793&lt;&gt;"-","Pendente"),"Aguardando Liberação")</f>
        <v>Aguardando Liberação</v>
      </c>
      <c r="AH793" s="5" t="str">
        <f>IF('Banco de Dados'!$F793="-",_xlfn.CONCAT(PROPER(TEXT(AK793,"aaaa"))," ",PROPER(TEXT(AK793,"mm"))),_xlfn.CONCAT(PROPER(TEXT(E793,"aaaa"))," ",PROPER(TEXT(E793,"mm"))))</f>
        <v>2025 01</v>
      </c>
      <c r="AI793" s="9" t="str">
        <f ca="1">IF('Banco de Dados'!$AK793&lt;&gt;"-","REEMBOLSO",IFERROR(_xlfn.XLOOKUP(G793,Follow[CODRASTREIO],Follow[STATUS]),"-"))</f>
        <v>ENTREGUE</v>
      </c>
      <c r="AJ793" s="9">
        <f ca="1">IF('Banco de Dados'!$AI793="ENTREGUE",_xlfn.XLOOKUP('Banco de Dados'!$G793,Follow[CODRASTREIO],Follow[DATAATUALIZAÇÃO]),"-")</f>
        <v>45694</v>
      </c>
      <c r="AK793" s="9" t="str">
        <f ca="1"/>
        <v>-</v>
      </c>
      <c r="AL793" s="35"/>
      <c r="AM793" s="109" cm="1">
        <f t="array" aca="1" ref="AM793" ca="1">IF('Banco de Dados'!$AK793&lt;&gt;"-",_xlfn.IFS('Banco de Dados'!$A793="bv",IF('Banco de Dados'!$E793&lt;45641,ROUND(SUM('Banco de Dados'!$R793*_xlfn.XLOOKUP('Banco de Dados'!$P793,Sku!B:B,Sku!#REF!)*20%),2),ROUND(SUM('Banco de Dados'!$R793*_xlfn.XLOOKUP('Banco de Dados'!$P793,Sku!B:B,Sku!H:H)*20%),2)),'Banco de Dados'!$A793="GO",ROUND(_xlfn.XLOOKUP('Banco de Dados'!$P793,Sku!C:C,Sku!H:H),2),'Banco de Dados'!$A793="MEI",ROUND(_xlfn.XLOOKUP('Banco de Dados'!$P793,Sku!D:D,Sku!H:H),2)),0)</f>
        <v>0</v>
      </c>
      <c r="AN793" s="109">
        <f ca="1">IF('Banco de Dados'!$AK793&lt;&gt;"-",IF('Banco de Dados'!$F793&lt;&gt;"-",_xlfn.XLOOKUP(IFERROR(IFERROR(IFERROR(VALUE(SUBSTITUTE(MID(_xlfn.TEXTAFTER('Banco de Dados'!$F793,"Data do Pedido:
",1),1,10),"-","/")),VALUE(SUBSTITUTE(MID(_xlfn.TEXTAFTER('Banco de Dados'!$F793,"Order date:
",1),1,10),"-","/"))),VALUE(SUBSTITUTE(MID(_xlfn.TEXTAFTER('Banco de Dados'!$F793,"Fecha de pedido:
",1),1,10),"-","/"))),"-"),SMS!A:A,SMS!K:K),0),0)</f>
        <v>0</v>
      </c>
      <c r="AO793" s="109">
        <f ca="1">IF('Banco de Dados'!$AK793&lt;&gt;"-",IF('Banco de Dados'!$F793&lt;&gt;"-",IFERROR(_xlfn.XLOOKUP(_xlfn.CONCAT('Banco de Dados'!$A793,IFERROR(IFERROR(VALUE(SUBSTITUTE(MID(_xlfn.TEXTAFTER('Banco de Dados'!$F793,"Data do Pedido:
",1),1,10),"-","/")),VALUE(SUBSTITUTE(MID(_xlfn.TEXTAFTER('Banco de Dados'!$F793,"Order date:
",1),1,10),"-","/"))),0)),ProxyDD[Chave],ProxyDD[Valor por pedido]),PROXY!$P$2),0),0)</f>
        <v>0</v>
      </c>
      <c r="AP793" s="28">
        <f ca="1">IF('Banco de Dados'!$AK793&lt;&gt;"-",IF('Banco de Dados'!$AL793="NÃO",IFERROR(VALUE(SUBSTITUTE(_xlfn.TEXTAFTER('Banco de Dados'!$F793,"BRL ",1),".",",")),0),0),0)</f>
        <v>0</v>
      </c>
      <c r="AQ793" s="28">
        <f ca="1">SUM('Banco de Dados'!$AM793:$AP793)</f>
        <v>0</v>
      </c>
      <c r="AR793" s="8"/>
      <c r="AS793" s="8"/>
      <c r="AY793" s="8"/>
    </row>
    <row r="794" spans="1:51">
      <c r="A794" s="5" t="str">
        <v>BV</v>
      </c>
      <c r="B794" s="5" t="str">
        <f ca="1"/>
        <v>BV45677</v>
      </c>
      <c r="C794" s="8" t="str">
        <v>Pedido 781</v>
      </c>
      <c r="D794" s="9">
        <v>45672</v>
      </c>
      <c r="E794" s="9">
        <v>45677</v>
      </c>
      <c r="F794" s="8" t="str">
        <v>PedidoF760</v>
      </c>
      <c r="G794" s="2" t="str">
        <v>CódRastreio758</v>
      </c>
      <c r="H794" s="5">
        <v>1</v>
      </c>
      <c r="I794" s="182" t="str">
        <v>CPF 759</v>
      </c>
      <c r="J794" s="2" t="str">
        <v>Nome 759</v>
      </c>
      <c r="K794" s="8" t="str">
        <v>Tel 759</v>
      </c>
      <c r="L794" s="8" t="str">
        <v>Cep 759</v>
      </c>
      <c r="M794" s="8" t="str">
        <v>Rua 759</v>
      </c>
      <c r="N794" s="8" t="str">
        <v>Comp 759</v>
      </c>
      <c r="O794" s="8" t="str">
        <v>Ventilador Preto</v>
      </c>
      <c r="P794" s="8" t="str">
        <v>MU-J80P-95WF</v>
      </c>
      <c r="Q794" s="4">
        <v>45693</v>
      </c>
      <c r="R794" s="109">
        <v>66.989999999999995</v>
      </c>
      <c r="S794" s="11">
        <f ca="1"/>
        <v>66.989999999999995</v>
      </c>
      <c r="T794" s="28">
        <f ca="1"/>
        <v>8.7087000000000003</v>
      </c>
      <c r="U794" s="11">
        <f ca="1"/>
        <v>58.28</v>
      </c>
      <c r="V794" s="11">
        <v>14.15</v>
      </c>
      <c r="W794" s="11">
        <f ca="1"/>
        <v>0.19</v>
      </c>
      <c r="X794" s="11">
        <f ca="1"/>
        <v>0.39877104377104378</v>
      </c>
      <c r="Y794" s="11">
        <v>0</v>
      </c>
      <c r="Z794" s="11">
        <f ca="1"/>
        <v>43.541228956228956</v>
      </c>
      <c r="AA794" s="11">
        <f ca="1"/>
        <v>21.770614478114478</v>
      </c>
      <c r="AB794" s="4">
        <f ca="1"/>
        <v>45700</v>
      </c>
      <c r="AC794" s="4">
        <v>45700</v>
      </c>
      <c r="AD794" s="9">
        <v>45702</v>
      </c>
      <c r="AE794" s="9">
        <v>45705</v>
      </c>
      <c r="AF794" s="4" t="str">
        <f t="shared" ca="1" si="32"/>
        <v>2025 02</v>
      </c>
      <c r="AG794" s="8" t="str" cm="1">
        <f t="array" ref="AG794">IFERROR(_xlfn.IFS('Banco de Dados'!#REF!="AG. COMPRA","Em processamento",'Banco de Dados'!#REF!="AG. RASTREIO","Em processamento",'Banco de Dados'!$AE794&lt;&gt;"-","Faturado",'Banco de Dados'!$AD794&lt;&gt;"-","Aguardando Pix",'Banco de Dados'!$AC794&lt;&gt;"-","Pendente"),"Aguardando Liberação")</f>
        <v>Aguardando Liberação</v>
      </c>
      <c r="AH794" s="5" t="str">
        <f>IF('Banco de Dados'!$F794="-",_xlfn.CONCAT(PROPER(TEXT(AK794,"aaaa"))," ",PROPER(TEXT(AK794,"mm"))),_xlfn.CONCAT(PROPER(TEXT(E794,"aaaa"))," ",PROPER(TEXT(E794,"mm"))))</f>
        <v>2025 01</v>
      </c>
      <c r="AI794" s="9" t="str">
        <f ca="1">IF('Banco de Dados'!$AK794&lt;&gt;"-","REEMBOLSO",IFERROR(_xlfn.XLOOKUP(G794,Follow[CODRASTREIO],Follow[STATUS]),"-"))</f>
        <v>ENTREGUE</v>
      </c>
      <c r="AJ794" s="9">
        <f ca="1">IF('Banco de Dados'!$AI794="ENTREGUE",_xlfn.XLOOKUP('Banco de Dados'!$G794,Follow[CODRASTREIO],Follow[DATAATUALIZAÇÃO]),"-")</f>
        <v>45689</v>
      </c>
      <c r="AK794" s="9" t="str">
        <f ca="1"/>
        <v>-</v>
      </c>
      <c r="AL794" s="35"/>
      <c r="AM794" s="109" cm="1">
        <f t="array" aca="1" ref="AM794" ca="1">IF('Banco de Dados'!$AK794&lt;&gt;"-",_xlfn.IFS('Banco de Dados'!$A794="bv",IF('Banco de Dados'!$E794&lt;45641,ROUND(SUM('Banco de Dados'!$R794*_xlfn.XLOOKUP('Banco de Dados'!$P794,Sku!B:B,Sku!#REF!)*20%),2),ROUND(SUM('Banco de Dados'!$R794*_xlfn.XLOOKUP('Banco de Dados'!$P794,Sku!B:B,Sku!H:H)*20%),2)),'Banco de Dados'!$A794="GO",ROUND(_xlfn.XLOOKUP('Banco de Dados'!$P794,Sku!C:C,Sku!H:H),2),'Banco de Dados'!$A794="MEI",ROUND(_xlfn.XLOOKUP('Banco de Dados'!$P794,Sku!D:D,Sku!H:H),2)),0)</f>
        <v>0</v>
      </c>
      <c r="AN794" s="109">
        <f ca="1">IF('Banco de Dados'!$AK794&lt;&gt;"-",IF('Banco de Dados'!$F794&lt;&gt;"-",_xlfn.XLOOKUP(IFERROR(IFERROR(IFERROR(VALUE(SUBSTITUTE(MID(_xlfn.TEXTAFTER('Banco de Dados'!$F794,"Data do Pedido:
",1),1,10),"-","/")),VALUE(SUBSTITUTE(MID(_xlfn.TEXTAFTER('Banco de Dados'!$F794,"Order date:
",1),1,10),"-","/"))),VALUE(SUBSTITUTE(MID(_xlfn.TEXTAFTER('Banco de Dados'!$F794,"Fecha de pedido:
",1),1,10),"-","/"))),"-"),SMS!A:A,SMS!K:K),0),0)</f>
        <v>0</v>
      </c>
      <c r="AO794" s="109">
        <f ca="1">IF('Banco de Dados'!$AK794&lt;&gt;"-",IF('Banco de Dados'!$F794&lt;&gt;"-",IFERROR(_xlfn.XLOOKUP(_xlfn.CONCAT('Banco de Dados'!$A794,IFERROR(IFERROR(VALUE(SUBSTITUTE(MID(_xlfn.TEXTAFTER('Banco de Dados'!$F794,"Data do Pedido:
",1),1,10),"-","/")),VALUE(SUBSTITUTE(MID(_xlfn.TEXTAFTER('Banco de Dados'!$F794,"Order date:
",1),1,10),"-","/"))),0)),ProxyDD[Chave],ProxyDD[Valor por pedido]),PROXY!$P$2),0),0)</f>
        <v>0</v>
      </c>
      <c r="AP794" s="28">
        <f ca="1">IF('Banco de Dados'!$AK794&lt;&gt;"-",IF('Banco de Dados'!$AL794="NÃO",IFERROR(VALUE(SUBSTITUTE(_xlfn.TEXTAFTER('Banco de Dados'!$F794,"BRL ",1),".",",")),0),0),0)</f>
        <v>0</v>
      </c>
      <c r="AQ794" s="28">
        <f ca="1">SUM('Banco de Dados'!$AM794:$AP794)</f>
        <v>0</v>
      </c>
      <c r="AR794" s="8"/>
      <c r="AS794" s="8"/>
      <c r="AY794" s="8"/>
    </row>
    <row r="795" spans="1:51">
      <c r="A795" s="5" t="str">
        <v>BV</v>
      </c>
      <c r="B795" s="5" t="str">
        <f ca="1"/>
        <v>BV45677</v>
      </c>
      <c r="C795" s="8" t="str">
        <v>Pedido 782</v>
      </c>
      <c r="D795" s="9">
        <v>45672</v>
      </c>
      <c r="E795" s="9">
        <v>45677</v>
      </c>
      <c r="F795" s="8" t="str">
        <v>PedidoF761</v>
      </c>
      <c r="G795" s="2" t="str">
        <v>CódRastreio759</v>
      </c>
      <c r="H795" s="5">
        <v>1</v>
      </c>
      <c r="I795" s="182" t="str">
        <v>CPF 760</v>
      </c>
      <c r="J795" s="2" t="str">
        <v>Nome 760</v>
      </c>
      <c r="K795" s="8" t="str">
        <v>Tel 760</v>
      </c>
      <c r="L795" s="8" t="str">
        <v>Cep 760</v>
      </c>
      <c r="M795" s="8" t="str">
        <v>Rua 760</v>
      </c>
      <c r="N795" s="8" t="str">
        <v>Comp 760</v>
      </c>
      <c r="O795" s="8" t="str">
        <v>Mini Liquidificador</v>
      </c>
      <c r="P795" s="8" t="str">
        <v>CK-YL6M-P5Y6</v>
      </c>
      <c r="Q795" s="4">
        <v>45693</v>
      </c>
      <c r="R795" s="109">
        <v>35.99</v>
      </c>
      <c r="S795" s="11">
        <f ca="1"/>
        <v>35.99</v>
      </c>
      <c r="T795" s="28">
        <f ca="1"/>
        <v>4.6787000000000001</v>
      </c>
      <c r="U795" s="11">
        <f ca="1"/>
        <v>31.31</v>
      </c>
      <c r="V795" s="11">
        <v>15.99</v>
      </c>
      <c r="W795" s="11">
        <f ca="1"/>
        <v>0.19</v>
      </c>
      <c r="X795" s="11">
        <f ca="1"/>
        <v>0.39877104377104378</v>
      </c>
      <c r="Y795" s="11">
        <v>0</v>
      </c>
      <c r="Z795" s="11">
        <f ca="1"/>
        <v>14.731228956228954</v>
      </c>
      <c r="AA795" s="11">
        <f ca="1"/>
        <v>7.3656144781144768</v>
      </c>
      <c r="AB795" s="4">
        <f ca="1"/>
        <v>45700</v>
      </c>
      <c r="AC795" s="4">
        <v>45700</v>
      </c>
      <c r="AD795" s="9">
        <v>45702</v>
      </c>
      <c r="AE795" s="9">
        <v>45705</v>
      </c>
      <c r="AF795" s="4" t="str">
        <f t="shared" ca="1" si="32"/>
        <v>2025 02</v>
      </c>
      <c r="AG795" s="8" t="str" cm="1">
        <f t="array" ref="AG795">IFERROR(_xlfn.IFS('Banco de Dados'!#REF!="AG. COMPRA","Em processamento",'Banco de Dados'!#REF!="AG. RASTREIO","Em processamento",'Banco de Dados'!$AE795&lt;&gt;"-","Faturado",'Banco de Dados'!$AD795&lt;&gt;"-","Aguardando Pix",'Banco de Dados'!$AC795&lt;&gt;"-","Pendente"),"Aguardando Liberação")</f>
        <v>Aguardando Liberação</v>
      </c>
      <c r="AH795" s="5" t="str">
        <f>IF('Banco de Dados'!$F795="-",_xlfn.CONCAT(PROPER(TEXT(AK795,"aaaa"))," ",PROPER(TEXT(AK795,"mm"))),_xlfn.CONCAT(PROPER(TEXT(E795,"aaaa"))," ",PROPER(TEXT(E795,"mm"))))</f>
        <v>2025 01</v>
      </c>
      <c r="AI795" s="9" t="str">
        <f ca="1">IF('Banco de Dados'!$AK795&lt;&gt;"-","REEMBOLSO",IFERROR(_xlfn.XLOOKUP(G795,Follow[CODRASTREIO],Follow[STATUS]),"-"))</f>
        <v>ENTREGUE</v>
      </c>
      <c r="AJ795" s="9">
        <f ca="1">IF('Banco de Dados'!$AI795="ENTREGUE",_xlfn.XLOOKUP('Banco de Dados'!$G795,Follow[CODRASTREIO],Follow[DATAATUALIZAÇÃO]),"-")</f>
        <v>45698</v>
      </c>
      <c r="AK795" s="9" t="str">
        <f ca="1"/>
        <v>-</v>
      </c>
      <c r="AL795" s="35"/>
      <c r="AM795" s="109" cm="1">
        <f t="array" aca="1" ref="AM795" ca="1">IF('Banco de Dados'!$AK795&lt;&gt;"-",_xlfn.IFS('Banco de Dados'!$A795="bv",IF('Banco de Dados'!$E795&lt;45641,ROUND(SUM('Banco de Dados'!$R795*_xlfn.XLOOKUP('Banco de Dados'!$P795,Sku!B:B,Sku!#REF!)*20%),2),ROUND(SUM('Banco de Dados'!$R795*_xlfn.XLOOKUP('Banco de Dados'!$P795,Sku!B:B,Sku!H:H)*20%),2)),'Banco de Dados'!$A795="GO",ROUND(_xlfn.XLOOKUP('Banco de Dados'!$P795,Sku!C:C,Sku!H:H),2),'Banco de Dados'!$A795="MEI",ROUND(_xlfn.XLOOKUP('Banco de Dados'!$P795,Sku!D:D,Sku!H:H),2)),0)</f>
        <v>0</v>
      </c>
      <c r="AN795" s="109">
        <f ca="1">IF('Banco de Dados'!$AK795&lt;&gt;"-",IF('Banco de Dados'!$F795&lt;&gt;"-",_xlfn.XLOOKUP(IFERROR(IFERROR(IFERROR(VALUE(SUBSTITUTE(MID(_xlfn.TEXTAFTER('Banco de Dados'!$F795,"Data do Pedido:
",1),1,10),"-","/")),VALUE(SUBSTITUTE(MID(_xlfn.TEXTAFTER('Banco de Dados'!$F795,"Order date:
",1),1,10),"-","/"))),VALUE(SUBSTITUTE(MID(_xlfn.TEXTAFTER('Banco de Dados'!$F795,"Fecha de pedido:
",1),1,10),"-","/"))),"-"),SMS!A:A,SMS!K:K),0),0)</f>
        <v>0</v>
      </c>
      <c r="AO795" s="109">
        <f ca="1">IF('Banco de Dados'!$AK795&lt;&gt;"-",IF('Banco de Dados'!$F795&lt;&gt;"-",IFERROR(_xlfn.XLOOKUP(_xlfn.CONCAT('Banco de Dados'!$A795,IFERROR(IFERROR(VALUE(SUBSTITUTE(MID(_xlfn.TEXTAFTER('Banco de Dados'!$F795,"Data do Pedido:
",1),1,10),"-","/")),VALUE(SUBSTITUTE(MID(_xlfn.TEXTAFTER('Banco de Dados'!$F795,"Order date:
",1),1,10),"-","/"))),0)),ProxyDD[Chave],ProxyDD[Valor por pedido]),PROXY!$P$2),0),0)</f>
        <v>0</v>
      </c>
      <c r="AP795" s="28">
        <f ca="1">IF('Banco de Dados'!$AK795&lt;&gt;"-",IF('Banco de Dados'!$AL795="NÃO",IFERROR(VALUE(SUBSTITUTE(_xlfn.TEXTAFTER('Banco de Dados'!$F795,"BRL ",1),".",",")),0),0),0)</f>
        <v>0</v>
      </c>
      <c r="AQ795" s="28">
        <f ca="1">SUM('Banco de Dados'!$AM795:$AP795)</f>
        <v>0</v>
      </c>
      <c r="AR795" s="8"/>
      <c r="AS795" s="8"/>
      <c r="AY795" s="8"/>
    </row>
    <row r="796" spans="1:51">
      <c r="A796" s="5" t="str">
        <v>BV</v>
      </c>
      <c r="B796" s="5" t="str">
        <f ca="1"/>
        <v>BV45677</v>
      </c>
      <c r="C796" s="8" t="str">
        <v>Pedido 783</v>
      </c>
      <c r="D796" s="9">
        <v>45673</v>
      </c>
      <c r="E796" s="9">
        <v>45677</v>
      </c>
      <c r="F796" s="8" t="str">
        <v>PedidoF762</v>
      </c>
      <c r="G796" s="2" t="str">
        <v>CódRastreio760</v>
      </c>
      <c r="H796" s="5">
        <v>1</v>
      </c>
      <c r="I796" s="182" t="str">
        <v>CPF 761</v>
      </c>
      <c r="J796" s="2" t="str">
        <v>Nome 761</v>
      </c>
      <c r="K796" s="8" t="str">
        <v>Tel 761</v>
      </c>
      <c r="L796" s="8" t="str">
        <v>Cep 761</v>
      </c>
      <c r="M796" s="8" t="str">
        <v>Rua 761</v>
      </c>
      <c r="N796" s="8" t="str">
        <v>Comp 761</v>
      </c>
      <c r="O796" s="8" t="str">
        <v>Ventilador Preto</v>
      </c>
      <c r="P796" s="8" t="str">
        <v>MU-J80P-95WF</v>
      </c>
      <c r="Q796" s="4">
        <v>45694</v>
      </c>
      <c r="R796" s="109">
        <v>66.989999999999995</v>
      </c>
      <c r="S796" s="11">
        <f ca="1"/>
        <v>66.989999999999995</v>
      </c>
      <c r="T796" s="28">
        <f ca="1"/>
        <v>8.7087000000000003</v>
      </c>
      <c r="U796" s="11">
        <f ca="1"/>
        <v>58.28</v>
      </c>
      <c r="V796" s="11">
        <v>14.15</v>
      </c>
      <c r="W796" s="11">
        <f ca="1"/>
        <v>0.19</v>
      </c>
      <c r="X796" s="11">
        <f ca="1"/>
        <v>0.39877104377104378</v>
      </c>
      <c r="Y796" s="11">
        <v>0</v>
      </c>
      <c r="Z796" s="11">
        <f ca="1"/>
        <v>43.541228956228956</v>
      </c>
      <c r="AA796" s="11">
        <f ca="1"/>
        <v>21.770614478114478</v>
      </c>
      <c r="AB796" s="4">
        <f ca="1"/>
        <v>45701</v>
      </c>
      <c r="AC796" s="4">
        <v>45701</v>
      </c>
      <c r="AD796" s="9">
        <v>45702</v>
      </c>
      <c r="AE796" s="9">
        <v>45705</v>
      </c>
      <c r="AF796" s="4" t="str">
        <f t="shared" ca="1" si="32"/>
        <v>2025 02</v>
      </c>
      <c r="AG796" s="8" t="str" cm="1">
        <f t="array" ref="AG796">IFERROR(_xlfn.IFS('Banco de Dados'!#REF!="AG. COMPRA","Em processamento",'Banco de Dados'!#REF!="AG. RASTREIO","Em processamento",'Banco de Dados'!$AE796&lt;&gt;"-","Faturado",'Banco de Dados'!$AD796&lt;&gt;"-","Aguardando Pix",'Banco de Dados'!$AC796&lt;&gt;"-","Pendente"),"Aguardando Liberação")</f>
        <v>Aguardando Liberação</v>
      </c>
      <c r="AH796" s="5" t="str">
        <f>IF('Banco de Dados'!$F796="-",_xlfn.CONCAT(PROPER(TEXT(AK796,"aaaa"))," ",PROPER(TEXT(AK796,"mm"))),_xlfn.CONCAT(PROPER(TEXT(E796,"aaaa"))," ",PROPER(TEXT(E796,"mm"))))</f>
        <v>2025 01</v>
      </c>
      <c r="AI796" s="9" t="str">
        <f ca="1">IF('Banco de Dados'!$AK796&lt;&gt;"-","REEMBOLSO",IFERROR(_xlfn.XLOOKUP(G796,Follow[CODRASTREIO],Follow[STATUS]),"-"))</f>
        <v>ENTREGUE</v>
      </c>
      <c r="AJ796" s="9">
        <f ca="1">IF('Banco de Dados'!$AI796="ENTREGUE",_xlfn.XLOOKUP('Banco de Dados'!$G796,Follow[CODRASTREIO],Follow[DATAATUALIZAÇÃO]),"-")</f>
        <v>45695</v>
      </c>
      <c r="AK796" s="9" t="str">
        <f ca="1"/>
        <v>-</v>
      </c>
      <c r="AL796" s="35"/>
      <c r="AM796" s="109" cm="1">
        <f t="array" aca="1" ref="AM796" ca="1">IF('Banco de Dados'!$AK796&lt;&gt;"-",_xlfn.IFS('Banco de Dados'!$A796="bv",IF('Banco de Dados'!$E796&lt;45641,ROUND(SUM('Banco de Dados'!$R796*_xlfn.XLOOKUP('Banco de Dados'!$P796,Sku!B:B,Sku!#REF!)*20%),2),ROUND(SUM('Banco de Dados'!$R796*_xlfn.XLOOKUP('Banco de Dados'!$P796,Sku!B:B,Sku!H:H)*20%),2)),'Banco de Dados'!$A796="GO",ROUND(_xlfn.XLOOKUP('Banco de Dados'!$P796,Sku!C:C,Sku!H:H),2),'Banco de Dados'!$A796="MEI",ROUND(_xlfn.XLOOKUP('Banco de Dados'!$P796,Sku!D:D,Sku!H:H),2)),0)</f>
        <v>0</v>
      </c>
      <c r="AN796" s="109">
        <f ca="1">IF('Banco de Dados'!$AK796&lt;&gt;"-",IF('Banco de Dados'!$F796&lt;&gt;"-",_xlfn.XLOOKUP(IFERROR(IFERROR(IFERROR(VALUE(SUBSTITUTE(MID(_xlfn.TEXTAFTER('Banco de Dados'!$F796,"Data do Pedido:
",1),1,10),"-","/")),VALUE(SUBSTITUTE(MID(_xlfn.TEXTAFTER('Banco de Dados'!$F796,"Order date:
",1),1,10),"-","/"))),VALUE(SUBSTITUTE(MID(_xlfn.TEXTAFTER('Banco de Dados'!$F796,"Fecha de pedido:
",1),1,10),"-","/"))),"-"),SMS!A:A,SMS!K:K),0),0)</f>
        <v>0</v>
      </c>
      <c r="AO796" s="109">
        <f ca="1">IF('Banco de Dados'!$AK796&lt;&gt;"-",IF('Banco de Dados'!$F796&lt;&gt;"-",IFERROR(_xlfn.XLOOKUP(_xlfn.CONCAT('Banco de Dados'!$A796,IFERROR(IFERROR(VALUE(SUBSTITUTE(MID(_xlfn.TEXTAFTER('Banco de Dados'!$F796,"Data do Pedido:
",1),1,10),"-","/")),VALUE(SUBSTITUTE(MID(_xlfn.TEXTAFTER('Banco de Dados'!$F796,"Order date:
",1),1,10),"-","/"))),0)),ProxyDD[Chave],ProxyDD[Valor por pedido]),PROXY!$P$2),0),0)</f>
        <v>0</v>
      </c>
      <c r="AP796" s="28">
        <f ca="1">IF('Banco de Dados'!$AK796&lt;&gt;"-",IF('Banco de Dados'!$AL796="NÃO",IFERROR(VALUE(SUBSTITUTE(_xlfn.TEXTAFTER('Banco de Dados'!$F796,"BRL ",1),".",",")),0),0),0)</f>
        <v>0</v>
      </c>
      <c r="AQ796" s="28">
        <f ca="1">SUM('Banco de Dados'!$AM796:$AP796)</f>
        <v>0</v>
      </c>
      <c r="AR796" s="8"/>
      <c r="AS796" s="8"/>
      <c r="AY796" s="8"/>
    </row>
    <row r="797" spans="1:51">
      <c r="A797" s="5" t="str">
        <v>BV</v>
      </c>
      <c r="B797" s="5" t="str">
        <f ca="1"/>
        <v>BV45677</v>
      </c>
      <c r="C797" s="8" t="str">
        <v>Pedido 784</v>
      </c>
      <c r="D797" s="9">
        <v>45673</v>
      </c>
      <c r="E797" s="9">
        <v>45677</v>
      </c>
      <c r="F797" s="8" t="str">
        <v>PedidoF763</v>
      </c>
      <c r="G797" s="2" t="str">
        <v>CódRastreio761</v>
      </c>
      <c r="H797" s="5">
        <v>1</v>
      </c>
      <c r="I797" s="182" t="str">
        <v>CPF 762</v>
      </c>
      <c r="J797" s="2" t="str">
        <v>Nome 762</v>
      </c>
      <c r="K797" s="8" t="str">
        <v>Tel 762</v>
      </c>
      <c r="L797" s="8" t="str">
        <v>Cep 762</v>
      </c>
      <c r="M797" s="8" t="str">
        <v>Rua 762</v>
      </c>
      <c r="N797" s="8" t="str">
        <v>Comp 762</v>
      </c>
      <c r="O797" s="8" t="str">
        <v>Lampada Led</v>
      </c>
      <c r="P797" s="8" t="str">
        <v>RB-W251-UXV2</v>
      </c>
      <c r="Q797" s="4">
        <v>45692</v>
      </c>
      <c r="R797" s="109">
        <v>34.99</v>
      </c>
      <c r="S797" s="11">
        <f ca="1"/>
        <v>34.99</v>
      </c>
      <c r="T797" s="28">
        <f ca="1"/>
        <v>4.5487000000000002</v>
      </c>
      <c r="U797" s="11">
        <f ca="1"/>
        <v>30.44</v>
      </c>
      <c r="V797" s="11">
        <v>15.4</v>
      </c>
      <c r="W797" s="11">
        <f ca="1"/>
        <v>0.19</v>
      </c>
      <c r="X797" s="11">
        <f ca="1"/>
        <v>0.39877104377104378</v>
      </c>
      <c r="Y797" s="11">
        <v>0</v>
      </c>
      <c r="Z797" s="11">
        <f ca="1"/>
        <v>14.451228956228958</v>
      </c>
      <c r="AA797" s="11">
        <f ca="1"/>
        <v>7.2256144781144789</v>
      </c>
      <c r="AB797" s="4">
        <f ca="1"/>
        <v>45699</v>
      </c>
      <c r="AC797" s="4">
        <v>45699</v>
      </c>
      <c r="AD797" s="9">
        <v>45702</v>
      </c>
      <c r="AE797" s="9">
        <v>45705</v>
      </c>
      <c r="AF797" s="4" t="str">
        <f t="shared" ref="AF797:AF822" ca="1" si="33">_xlfn.CONCAT(PROPER(TEXT(AB797,"aaaa"))," ",PROPER(TEXT(AB797,"mm")))</f>
        <v>2025 02</v>
      </c>
      <c r="AG797" s="8" t="str" cm="1">
        <f t="array" ref="AG797">IFERROR(_xlfn.IFS('Banco de Dados'!#REF!="AG. COMPRA","Em processamento",'Banco de Dados'!#REF!="AG. RASTREIO","Em processamento",'Banco de Dados'!$AE797&lt;&gt;"-","Faturado",'Banco de Dados'!$AD797&lt;&gt;"-","Aguardando Pix",'Banco de Dados'!$AC797&lt;&gt;"-","Pendente"),"Aguardando Liberação")</f>
        <v>Aguardando Liberação</v>
      </c>
      <c r="AH797" s="5" t="str">
        <f>IF('Banco de Dados'!$F797="-",_xlfn.CONCAT(PROPER(TEXT(AK797,"aaaa"))," ",PROPER(TEXT(AK797,"mm"))),_xlfn.CONCAT(PROPER(TEXT(E797,"aaaa"))," ",PROPER(TEXT(E797,"mm"))))</f>
        <v>2025 01</v>
      </c>
      <c r="AI797" s="9" t="str">
        <f ca="1">IF('Banco de Dados'!$AK797&lt;&gt;"-","REEMBOLSO",IFERROR(_xlfn.XLOOKUP(G797,Follow[CODRASTREIO],Follow[STATUS]),"-"))</f>
        <v>ENTREGUE</v>
      </c>
      <c r="AJ797" s="9">
        <f ca="1">IF('Banco de Dados'!$AI797="ENTREGUE",_xlfn.XLOOKUP('Banco de Dados'!$G797,Follow[CODRASTREIO],Follow[DATAATUALIZAÇÃO]),"-")</f>
        <v>45682</v>
      </c>
      <c r="AK797" s="132" t="str">
        <f ca="1"/>
        <v>-</v>
      </c>
      <c r="AL797" s="35"/>
      <c r="AM797" s="109" cm="1">
        <f t="array" aca="1" ref="AM797" ca="1">IF('Banco de Dados'!$AK797&lt;&gt;"-",_xlfn.IFS('Banco de Dados'!$A797="bv",IF('Banco de Dados'!$E797&lt;45641,ROUND(SUM('Banco de Dados'!$R797*_xlfn.XLOOKUP('Banco de Dados'!$P797,Sku!B:B,Sku!#REF!)*20%),2),ROUND(SUM('Banco de Dados'!$R797*_xlfn.XLOOKUP('Banco de Dados'!$P797,Sku!B:B,Sku!H:H)*20%),2)),'Banco de Dados'!$A797="GO",ROUND(_xlfn.XLOOKUP('Banco de Dados'!$P797,Sku!C:C,Sku!H:H),2),'Banco de Dados'!$A797="MEI",ROUND(_xlfn.XLOOKUP('Banco de Dados'!$P797,Sku!D:D,Sku!H:H),2)),0)</f>
        <v>0</v>
      </c>
      <c r="AN797" s="109">
        <f ca="1">IF('Banco de Dados'!$AK797&lt;&gt;"-",IF('Banco de Dados'!$F797&lt;&gt;"-",_xlfn.XLOOKUP(IFERROR(IFERROR(IFERROR(VALUE(SUBSTITUTE(MID(_xlfn.TEXTAFTER('Banco de Dados'!$F797,"Data do Pedido:
",1),1,10),"-","/")),VALUE(SUBSTITUTE(MID(_xlfn.TEXTAFTER('Banco de Dados'!$F797,"Order date:
",1),1,10),"-","/"))),VALUE(SUBSTITUTE(MID(_xlfn.TEXTAFTER('Banco de Dados'!$F797,"Fecha de pedido:
",1),1,10),"-","/"))),"-"),SMS!A:A,SMS!K:K),0),0)</f>
        <v>0</v>
      </c>
      <c r="AO797" s="109">
        <f ca="1">IF('Banco de Dados'!$AK797&lt;&gt;"-",IF('Banco de Dados'!$F797&lt;&gt;"-",IFERROR(_xlfn.XLOOKUP(_xlfn.CONCAT('Banco de Dados'!$A797,IFERROR(IFERROR(VALUE(SUBSTITUTE(MID(_xlfn.TEXTAFTER('Banco de Dados'!$F797,"Data do Pedido:
",1),1,10),"-","/")),VALUE(SUBSTITUTE(MID(_xlfn.TEXTAFTER('Banco de Dados'!$F797,"Order date:
",1),1,10),"-","/"))),0)),ProxyDD[Chave],ProxyDD[Valor por pedido]),PROXY!$P$2),0),0)</f>
        <v>0</v>
      </c>
      <c r="AP797" s="28">
        <f ca="1">IF('Banco de Dados'!$AK797&lt;&gt;"-",IF('Banco de Dados'!$AL797="NÃO",IFERROR(VALUE(SUBSTITUTE(_xlfn.TEXTAFTER('Banco de Dados'!$F797,"BRL ",1),".",",")),0),0),0)</f>
        <v>0</v>
      </c>
      <c r="AQ797" s="28">
        <f ca="1">SUM('Banco de Dados'!$AM797:$AP797)</f>
        <v>0</v>
      </c>
      <c r="AR797" s="8"/>
      <c r="AS797" s="8"/>
      <c r="AT797"/>
      <c r="AY797" s="8"/>
    </row>
    <row r="798" spans="1:51">
      <c r="A798" s="5" t="str">
        <v>BV</v>
      </c>
      <c r="B798" s="5" t="str">
        <f ca="1"/>
        <v>BV45677</v>
      </c>
      <c r="C798" s="8" t="str">
        <v>Pedido 785</v>
      </c>
      <c r="D798" s="9">
        <v>45674</v>
      </c>
      <c r="E798" s="9">
        <v>45677</v>
      </c>
      <c r="F798" s="8" t="str">
        <v>PedidoF764</v>
      </c>
      <c r="G798" s="2" t="str">
        <v>CódRastreio762</v>
      </c>
      <c r="H798" s="5">
        <v>1</v>
      </c>
      <c r="I798" s="182" t="str">
        <v>CPF 763</v>
      </c>
      <c r="J798" s="2" t="str">
        <v>Nome 763</v>
      </c>
      <c r="K798" s="8" t="str">
        <v>Tel 763</v>
      </c>
      <c r="L798" s="8" t="str">
        <v>Cep 763</v>
      </c>
      <c r="M798" s="8" t="str">
        <v>Rua 763</v>
      </c>
      <c r="N798" s="8" t="str">
        <v>Comp 763</v>
      </c>
      <c r="O798" s="8" t="str">
        <v>Mini Liquidificador</v>
      </c>
      <c r="P798" s="8" t="str">
        <v>CK-YL6M-P5Y6</v>
      </c>
      <c r="Q798" s="4">
        <v>45694</v>
      </c>
      <c r="R798" s="109">
        <v>35.99</v>
      </c>
      <c r="S798" s="11">
        <f ca="1"/>
        <v>35.99</v>
      </c>
      <c r="T798" s="28">
        <f ca="1"/>
        <v>4.6787000000000001</v>
      </c>
      <c r="U798" s="11">
        <f ca="1"/>
        <v>31.31</v>
      </c>
      <c r="V798" s="11">
        <v>15.99</v>
      </c>
      <c r="W798" s="11">
        <f ca="1"/>
        <v>0.19</v>
      </c>
      <c r="X798" s="11">
        <f ca="1"/>
        <v>0.39877104377104378</v>
      </c>
      <c r="Y798" s="11">
        <v>0</v>
      </c>
      <c r="Z798" s="11">
        <f ca="1"/>
        <v>14.731228956228954</v>
      </c>
      <c r="AA798" s="11">
        <f ca="1"/>
        <v>7.3656144781144768</v>
      </c>
      <c r="AB798" s="4">
        <f ca="1"/>
        <v>45701</v>
      </c>
      <c r="AC798" s="4">
        <v>45701</v>
      </c>
      <c r="AD798" s="9">
        <v>45702</v>
      </c>
      <c r="AE798" s="9">
        <v>45705</v>
      </c>
      <c r="AF798" s="4" t="str">
        <f t="shared" ca="1" si="33"/>
        <v>2025 02</v>
      </c>
      <c r="AG798" s="8" t="str" cm="1">
        <f t="array" ref="AG798">IFERROR(_xlfn.IFS('Banco de Dados'!#REF!="AG. COMPRA","Em processamento",'Banco de Dados'!#REF!="AG. RASTREIO","Em processamento",'Banco de Dados'!$AE798&lt;&gt;"-","Faturado",'Banco de Dados'!$AD798&lt;&gt;"-","Aguardando Pix",'Banco de Dados'!$AC798&lt;&gt;"-","Pendente"),"Aguardando Liberação")</f>
        <v>Aguardando Liberação</v>
      </c>
      <c r="AH798" s="5" t="str">
        <f>IF('Banco de Dados'!$F798="-",_xlfn.CONCAT(PROPER(TEXT(AK798,"aaaa"))," ",PROPER(TEXT(AK798,"mm"))),_xlfn.CONCAT(PROPER(TEXT(E798,"aaaa"))," ",PROPER(TEXT(E798,"mm"))))</f>
        <v>2025 01</v>
      </c>
      <c r="AI798" s="9" t="str">
        <f ca="1">IF('Banco de Dados'!$AK798&lt;&gt;"-","REEMBOLSO",IFERROR(_xlfn.XLOOKUP(G798,Follow[CODRASTREIO],Follow[STATUS]),"-"))</f>
        <v>ENTREGUE</v>
      </c>
      <c r="AJ798" s="9">
        <f ca="1">IF('Banco de Dados'!$AI798="ENTREGUE",_xlfn.XLOOKUP('Banco de Dados'!$G798,Follow[CODRASTREIO],Follow[DATAATUALIZAÇÃO]),"-")</f>
        <v>45685</v>
      </c>
      <c r="AK798" s="132" t="str">
        <f ca="1"/>
        <v>-</v>
      </c>
      <c r="AL798" s="35"/>
      <c r="AM798" s="109" cm="1">
        <f t="array" aca="1" ref="AM798" ca="1">IF('Banco de Dados'!$AK798&lt;&gt;"-",_xlfn.IFS('Banco de Dados'!$A798="bv",IF('Banco de Dados'!$E798&lt;45641,ROUND(SUM('Banco de Dados'!$R798*_xlfn.XLOOKUP('Banco de Dados'!$P798,Sku!B:B,Sku!#REF!)*20%),2),ROUND(SUM('Banco de Dados'!$R798*_xlfn.XLOOKUP('Banco de Dados'!$P798,Sku!B:B,Sku!H:H)*20%),2)),'Banco de Dados'!$A798="GO",ROUND(_xlfn.XLOOKUP('Banco de Dados'!$P798,Sku!C:C,Sku!H:H),2),'Banco de Dados'!$A798="MEI",ROUND(_xlfn.XLOOKUP('Banco de Dados'!$P798,Sku!D:D,Sku!H:H),2)),0)</f>
        <v>0</v>
      </c>
      <c r="AN798" s="109">
        <f ca="1">IF('Banco de Dados'!$AK798&lt;&gt;"-",IF('Banco de Dados'!$F798&lt;&gt;"-",_xlfn.XLOOKUP(IFERROR(IFERROR(IFERROR(VALUE(SUBSTITUTE(MID(_xlfn.TEXTAFTER('Banco de Dados'!$F798,"Data do Pedido:
",1),1,10),"-","/")),VALUE(SUBSTITUTE(MID(_xlfn.TEXTAFTER('Banco de Dados'!$F798,"Order date:
",1),1,10),"-","/"))),VALUE(SUBSTITUTE(MID(_xlfn.TEXTAFTER('Banco de Dados'!$F798,"Fecha de pedido:
",1),1,10),"-","/"))),"-"),SMS!A:A,SMS!K:K),0),0)</f>
        <v>0</v>
      </c>
      <c r="AO798" s="109">
        <f ca="1">IF('Banco de Dados'!$AK798&lt;&gt;"-",IF('Banco de Dados'!$F798&lt;&gt;"-",IFERROR(_xlfn.XLOOKUP(_xlfn.CONCAT('Banco de Dados'!$A798,IFERROR(IFERROR(VALUE(SUBSTITUTE(MID(_xlfn.TEXTAFTER('Banco de Dados'!$F798,"Data do Pedido:
",1),1,10),"-","/")),VALUE(SUBSTITUTE(MID(_xlfn.TEXTAFTER('Banco de Dados'!$F798,"Order date:
",1),1,10),"-","/"))),0)),ProxyDD[Chave],ProxyDD[Valor por pedido]),PROXY!$P$2),0),0)</f>
        <v>0</v>
      </c>
      <c r="AP798" s="28">
        <f ca="1">IF('Banco de Dados'!$AK798&lt;&gt;"-",IF('Banco de Dados'!$AL798="NÃO",IFERROR(VALUE(SUBSTITUTE(_xlfn.TEXTAFTER('Banco de Dados'!$F798,"BRL ",1),".",",")),0),0),0)</f>
        <v>0</v>
      </c>
      <c r="AQ798" s="28">
        <f ca="1">SUM('Banco de Dados'!$AM798:$AP798)</f>
        <v>0</v>
      </c>
      <c r="AR798" s="8"/>
      <c r="AS798" s="8"/>
      <c r="AT798"/>
      <c r="AY798" s="8"/>
    </row>
    <row r="799" spans="1:51">
      <c r="A799" s="5" t="str">
        <v>BV</v>
      </c>
      <c r="B799" s="5" t="str">
        <f ca="1"/>
        <v>BV45677</v>
      </c>
      <c r="C799" s="8" t="str">
        <v>Pedido 786</v>
      </c>
      <c r="D799" s="9">
        <v>45674</v>
      </c>
      <c r="E799" s="9">
        <v>45677</v>
      </c>
      <c r="F799" s="8" t="str">
        <v>PedidoF765</v>
      </c>
      <c r="G799" s="2" t="str">
        <v>CódRastreio763</v>
      </c>
      <c r="H799" s="5">
        <v>1</v>
      </c>
      <c r="I799" s="182" t="str">
        <v>CPF 764</v>
      </c>
      <c r="J799" s="2" t="str">
        <v>Nome 764</v>
      </c>
      <c r="K799" s="8" t="str">
        <v>Tel 764</v>
      </c>
      <c r="L799" s="8" t="str">
        <v>Cep 764</v>
      </c>
      <c r="M799" s="8" t="str">
        <v>Rua 764</v>
      </c>
      <c r="N799" s="8" t="str">
        <v>Comp 764</v>
      </c>
      <c r="O799" s="8" t="str">
        <v>Ventilador Preto</v>
      </c>
      <c r="P799" s="8" t="str">
        <v>MU-J80P-95WF</v>
      </c>
      <c r="Q799" s="4">
        <v>45708</v>
      </c>
      <c r="R799" s="109">
        <v>66.989999999999995</v>
      </c>
      <c r="S799" s="11">
        <f ca="1"/>
        <v>66.989999999999995</v>
      </c>
      <c r="T799" s="28">
        <f ca="1"/>
        <v>8.7087000000000003</v>
      </c>
      <c r="U799" s="11">
        <f ca="1"/>
        <v>58.28</v>
      </c>
      <c r="V799" s="11">
        <v>14.15</v>
      </c>
      <c r="W799" s="11">
        <f ca="1"/>
        <v>0.19</v>
      </c>
      <c r="X799" s="11">
        <f ca="1"/>
        <v>0.39877104377104378</v>
      </c>
      <c r="Y799" s="11">
        <v>0</v>
      </c>
      <c r="Z799" s="11">
        <f ca="1"/>
        <v>43.541228956228956</v>
      </c>
      <c r="AA799" s="11">
        <f ca="1"/>
        <v>21.770614478114478</v>
      </c>
      <c r="AB799" s="4">
        <f ca="1"/>
        <v>45715</v>
      </c>
      <c r="AC799" s="4">
        <v>45715</v>
      </c>
      <c r="AD799" s="9">
        <v>45721</v>
      </c>
      <c r="AE799" s="9">
        <v>45721</v>
      </c>
      <c r="AF799" s="4" t="str">
        <f t="shared" ca="1" si="33"/>
        <v>2025 02</v>
      </c>
      <c r="AG799" s="8" t="str" cm="1">
        <f t="array" ref="AG799">IFERROR(_xlfn.IFS('Banco de Dados'!#REF!="AG. COMPRA","Em processamento",'Banco de Dados'!#REF!="AG. RASTREIO","Em processamento",'Banco de Dados'!$AE799&lt;&gt;"-","Faturado",'Banco de Dados'!$AD799&lt;&gt;"-","Aguardando Pix",'Banco de Dados'!$AC799&lt;&gt;"-","Pendente"),"Aguardando Liberação")</f>
        <v>Aguardando Liberação</v>
      </c>
      <c r="AH799" s="5" t="str">
        <f>IF('Banco de Dados'!$F799="-",_xlfn.CONCAT(PROPER(TEXT(AK799,"aaaa"))," ",PROPER(TEXT(AK799,"mm"))),_xlfn.CONCAT(PROPER(TEXT(E799,"aaaa"))," ",PROPER(TEXT(E799,"mm"))))</f>
        <v>2025 01</v>
      </c>
      <c r="AI799" s="9" t="str">
        <f ca="1">IF('Banco de Dados'!$AK799&lt;&gt;"-","REEMBOLSO",IFERROR(_xlfn.XLOOKUP(G799,Follow[CODRASTREIO],Follow[STATUS]),"-"))</f>
        <v>ENTREGUE</v>
      </c>
      <c r="AJ799" s="9">
        <f ca="1">IF('Banco de Dados'!$AI799="ENTREGUE",_xlfn.XLOOKUP('Banco de Dados'!$G799,Follow[CODRASTREIO],Follow[DATAATUALIZAÇÃO]),"-")</f>
        <v>45692</v>
      </c>
      <c r="AK799" s="132" t="str">
        <f ca="1"/>
        <v>-</v>
      </c>
      <c r="AL799" s="35"/>
      <c r="AM799" s="109" cm="1">
        <f t="array" aca="1" ref="AM799" ca="1">IF('Banco de Dados'!$AK799&lt;&gt;"-",_xlfn.IFS('Banco de Dados'!$A799="bv",IF('Banco de Dados'!$E799&lt;45641,ROUND(SUM('Banco de Dados'!$R799*_xlfn.XLOOKUP('Banco de Dados'!$P799,Sku!B:B,Sku!#REF!)*20%),2),ROUND(SUM('Banco de Dados'!$R799*_xlfn.XLOOKUP('Banco de Dados'!$P799,Sku!B:B,Sku!H:H)*20%),2)),'Banco de Dados'!$A799="GO",ROUND(_xlfn.XLOOKUP('Banco de Dados'!$P799,Sku!C:C,Sku!H:H),2),'Banco de Dados'!$A799="MEI",ROUND(_xlfn.XLOOKUP('Banco de Dados'!$P799,Sku!D:D,Sku!H:H),2)),0)</f>
        <v>0</v>
      </c>
      <c r="AN799" s="109">
        <f ca="1">IF('Banco de Dados'!$AK799&lt;&gt;"-",IF('Banco de Dados'!$F799&lt;&gt;"-",_xlfn.XLOOKUP(IFERROR(IFERROR(IFERROR(VALUE(SUBSTITUTE(MID(_xlfn.TEXTAFTER('Banco de Dados'!$F799,"Data do Pedido:
",1),1,10),"-","/")),VALUE(SUBSTITUTE(MID(_xlfn.TEXTAFTER('Banco de Dados'!$F799,"Order date:
",1),1,10),"-","/"))),VALUE(SUBSTITUTE(MID(_xlfn.TEXTAFTER('Banco de Dados'!$F799,"Fecha de pedido:
",1),1,10),"-","/"))),"-"),SMS!A:A,SMS!K:K),0),0)</f>
        <v>0</v>
      </c>
      <c r="AO799" s="109">
        <f ca="1">IF('Banco de Dados'!$AK799&lt;&gt;"-",IF('Banco de Dados'!$F799&lt;&gt;"-",IFERROR(_xlfn.XLOOKUP(_xlfn.CONCAT('Banco de Dados'!$A799,IFERROR(IFERROR(VALUE(SUBSTITUTE(MID(_xlfn.TEXTAFTER('Banco de Dados'!$F799,"Data do Pedido:
",1),1,10),"-","/")),VALUE(SUBSTITUTE(MID(_xlfn.TEXTAFTER('Banco de Dados'!$F799,"Order date:
",1),1,10),"-","/"))),0)),ProxyDD[Chave],ProxyDD[Valor por pedido]),PROXY!$P$2),0),0)</f>
        <v>0</v>
      </c>
      <c r="AP799" s="28">
        <f ca="1">IF('Banco de Dados'!$AK799&lt;&gt;"-",IF('Banco de Dados'!$AL799="NÃO",IFERROR(VALUE(SUBSTITUTE(_xlfn.TEXTAFTER('Banco de Dados'!$F799,"BRL ",1),".",",")),0),0),0)</f>
        <v>0</v>
      </c>
      <c r="AQ799" s="28">
        <f ca="1">SUM('Banco de Dados'!$AM799:$AP799)</f>
        <v>0</v>
      </c>
      <c r="AR799" s="8"/>
      <c r="AS799" s="8"/>
      <c r="AT799"/>
      <c r="AY799" s="8"/>
    </row>
    <row r="800" spans="1:51">
      <c r="A800" s="5" t="str">
        <v>BV</v>
      </c>
      <c r="B800" s="5" t="str">
        <f ca="1"/>
        <v>BV45677</v>
      </c>
      <c r="C800" s="8" t="str">
        <v>Pedido 787</v>
      </c>
      <c r="D800" s="9">
        <v>45674</v>
      </c>
      <c r="E800" s="9">
        <v>45677</v>
      </c>
      <c r="F800" s="8" t="str">
        <v>PedidoF766</v>
      </c>
      <c r="G800" s="2" t="str">
        <v>CódRastreio764</v>
      </c>
      <c r="H800" s="5">
        <v>1</v>
      </c>
      <c r="I800" s="182" t="str">
        <v>CPF 765</v>
      </c>
      <c r="J800" s="2" t="str">
        <v>Nome 765</v>
      </c>
      <c r="K800" s="8" t="str">
        <v>Tel 765</v>
      </c>
      <c r="L800" s="8" t="str">
        <v>Cep 765</v>
      </c>
      <c r="M800" s="8" t="str">
        <v>Rua 765</v>
      </c>
      <c r="N800" s="8" t="str">
        <v>Comp 765</v>
      </c>
      <c r="O800" s="8" t="str">
        <v>Mini Liquidificador</v>
      </c>
      <c r="P800" s="8" t="str">
        <v>CK-YL6M-P5Y6</v>
      </c>
      <c r="Q800" s="4">
        <v>45701</v>
      </c>
      <c r="R800" s="109">
        <v>35.99</v>
      </c>
      <c r="S800" s="11">
        <f ca="1"/>
        <v>35.99</v>
      </c>
      <c r="T800" s="28">
        <f ca="1"/>
        <v>4.6787000000000001</v>
      </c>
      <c r="U800" s="11">
        <f ca="1"/>
        <v>31.31</v>
      </c>
      <c r="V800" s="11">
        <v>15.99</v>
      </c>
      <c r="W800" s="11">
        <f ca="1"/>
        <v>0.19</v>
      </c>
      <c r="X800" s="11">
        <f ca="1"/>
        <v>0.39877104377104378</v>
      </c>
      <c r="Y800" s="11">
        <v>0</v>
      </c>
      <c r="Z800" s="11">
        <f ca="1"/>
        <v>14.731228956228954</v>
      </c>
      <c r="AA800" s="11">
        <f ca="1"/>
        <v>7.3656144781144768</v>
      </c>
      <c r="AB800" s="4">
        <f ca="1"/>
        <v>45708</v>
      </c>
      <c r="AC800" s="4">
        <v>45708</v>
      </c>
      <c r="AD800" s="9">
        <v>45721</v>
      </c>
      <c r="AE800" s="9">
        <v>45721</v>
      </c>
      <c r="AF800" s="4" t="str">
        <f t="shared" ca="1" si="33"/>
        <v>2025 02</v>
      </c>
      <c r="AG800" s="8" t="str" cm="1">
        <f t="array" ref="AG800">IFERROR(_xlfn.IFS('Banco de Dados'!#REF!="AG. COMPRA","Em processamento",'Banco de Dados'!#REF!="AG. RASTREIO","Em processamento",'Banco de Dados'!$AE800&lt;&gt;"-","Faturado",'Banco de Dados'!$AD800&lt;&gt;"-","Aguardando Pix",'Banco de Dados'!$AC800&lt;&gt;"-","Pendente"),"Aguardando Liberação")</f>
        <v>Aguardando Liberação</v>
      </c>
      <c r="AH800" s="5" t="str">
        <f>IF('Banco de Dados'!$F800="-",_xlfn.CONCAT(PROPER(TEXT(AK800,"aaaa"))," ",PROPER(TEXT(AK800,"mm"))),_xlfn.CONCAT(PROPER(TEXT(E800,"aaaa"))," ",PROPER(TEXT(E800,"mm"))))</f>
        <v>2025 01</v>
      </c>
      <c r="AI800" s="9" t="str">
        <f ca="1">IF('Banco de Dados'!$AK800&lt;&gt;"-","REEMBOLSO",IFERROR(_xlfn.XLOOKUP(G800,Follow[CODRASTREIO],Follow[STATUS]),"-"))</f>
        <v>ENTREGUE</v>
      </c>
      <c r="AJ800" s="9">
        <f ca="1">IF('Banco de Dados'!$AI800="ENTREGUE",_xlfn.XLOOKUP('Banco de Dados'!$G800,Follow[CODRASTREIO],Follow[DATAATUALIZAÇÃO]),"-")</f>
        <v>45687</v>
      </c>
      <c r="AK800" s="132" t="str">
        <f ca="1"/>
        <v>-</v>
      </c>
      <c r="AL800" s="35"/>
      <c r="AM800" s="109" cm="1">
        <f t="array" aca="1" ref="AM800" ca="1">IF('Banco de Dados'!$AK800&lt;&gt;"-",_xlfn.IFS('Banco de Dados'!$A800="bv",IF('Banco de Dados'!$E800&lt;45641,ROUND(SUM('Banco de Dados'!$R800*_xlfn.XLOOKUP('Banco de Dados'!$P800,Sku!B:B,Sku!#REF!)*20%),2),ROUND(SUM('Banco de Dados'!$R800*_xlfn.XLOOKUP('Banco de Dados'!$P800,Sku!B:B,Sku!H:H)*20%),2)),'Banco de Dados'!$A800="GO",ROUND(_xlfn.XLOOKUP('Banco de Dados'!$P800,Sku!C:C,Sku!H:H),2),'Banco de Dados'!$A800="MEI",ROUND(_xlfn.XLOOKUP('Banco de Dados'!$P800,Sku!D:D,Sku!H:H),2)),0)</f>
        <v>0</v>
      </c>
      <c r="AN800" s="109">
        <f ca="1">IF('Banco de Dados'!$AK800&lt;&gt;"-",IF('Banco de Dados'!$F800&lt;&gt;"-",_xlfn.XLOOKUP(IFERROR(IFERROR(IFERROR(VALUE(SUBSTITUTE(MID(_xlfn.TEXTAFTER('Banco de Dados'!$F800,"Data do Pedido:
",1),1,10),"-","/")),VALUE(SUBSTITUTE(MID(_xlfn.TEXTAFTER('Banco de Dados'!$F800,"Order date:
",1),1,10),"-","/"))),VALUE(SUBSTITUTE(MID(_xlfn.TEXTAFTER('Banco de Dados'!$F800,"Fecha de pedido:
",1),1,10),"-","/"))),"-"),SMS!A:A,SMS!K:K),0),0)</f>
        <v>0</v>
      </c>
      <c r="AO800" s="109">
        <f ca="1">IF('Banco de Dados'!$AK800&lt;&gt;"-",IF('Banco de Dados'!$F800&lt;&gt;"-",IFERROR(_xlfn.XLOOKUP(_xlfn.CONCAT('Banco de Dados'!$A800,IFERROR(IFERROR(VALUE(SUBSTITUTE(MID(_xlfn.TEXTAFTER('Banco de Dados'!$F800,"Data do Pedido:
",1),1,10),"-","/")),VALUE(SUBSTITUTE(MID(_xlfn.TEXTAFTER('Banco de Dados'!$F800,"Order date:
",1),1,10),"-","/"))),0)),ProxyDD[Chave],ProxyDD[Valor por pedido]),PROXY!$P$2),0),0)</f>
        <v>0</v>
      </c>
      <c r="AP800" s="28">
        <f ca="1">IF('Banco de Dados'!$AK800&lt;&gt;"-",IF('Banco de Dados'!$AL800="NÃO",IFERROR(VALUE(SUBSTITUTE(_xlfn.TEXTAFTER('Banco de Dados'!$F800,"BRL ",1),".",",")),0),0),0)</f>
        <v>0</v>
      </c>
      <c r="AQ800" s="28">
        <f ca="1">SUM('Banco de Dados'!$AM800:$AP800)</f>
        <v>0</v>
      </c>
      <c r="AR800" s="8"/>
      <c r="AS800" s="8"/>
      <c r="AT800"/>
      <c r="AY800" s="8"/>
    </row>
    <row r="801" spans="1:51">
      <c r="A801" s="5" t="str">
        <v>BV</v>
      </c>
      <c r="B801" s="5" t="str">
        <f ca="1"/>
        <v>BV45677</v>
      </c>
      <c r="C801" s="8" t="str">
        <v>Pedido 788</v>
      </c>
      <c r="D801" s="9">
        <v>45675</v>
      </c>
      <c r="E801" s="9">
        <v>45677</v>
      </c>
      <c r="F801" s="8" t="str">
        <v>PedidoF767</v>
      </c>
      <c r="G801" s="2" t="str">
        <v>CódRastreio765</v>
      </c>
      <c r="H801" s="5">
        <v>1</v>
      </c>
      <c r="I801" s="182" t="str">
        <v>CPF 766</v>
      </c>
      <c r="J801" s="2" t="str">
        <v>Nome 766</v>
      </c>
      <c r="K801" s="8" t="str">
        <v>Tel 766</v>
      </c>
      <c r="L801" s="8" t="str">
        <v>Cep 766</v>
      </c>
      <c r="M801" s="8" t="str">
        <v>Rua 766</v>
      </c>
      <c r="N801" s="8" t="str">
        <v>Comp 766</v>
      </c>
      <c r="O801" s="8" t="str">
        <v>Ventilador Preto</v>
      </c>
      <c r="P801" s="8" t="str">
        <v>MU-J80P-95WF</v>
      </c>
      <c r="Q801" s="4">
        <v>45695</v>
      </c>
      <c r="R801" s="109">
        <v>66.989999999999995</v>
      </c>
      <c r="S801" s="11">
        <f ca="1"/>
        <v>66.989999999999995</v>
      </c>
      <c r="T801" s="28">
        <f ca="1"/>
        <v>8.7087000000000003</v>
      </c>
      <c r="U801" s="11">
        <f ca="1"/>
        <v>58.28</v>
      </c>
      <c r="V801" s="11">
        <v>14.15</v>
      </c>
      <c r="W801" s="11">
        <f ca="1"/>
        <v>0.19</v>
      </c>
      <c r="X801" s="11">
        <f ca="1"/>
        <v>0.39877104377104378</v>
      </c>
      <c r="Y801" s="11">
        <v>0</v>
      </c>
      <c r="Z801" s="11">
        <f ca="1"/>
        <v>43.541228956228956</v>
      </c>
      <c r="AA801" s="11">
        <f ca="1"/>
        <v>21.770614478114478</v>
      </c>
      <c r="AB801" s="4">
        <f ca="1"/>
        <v>45702</v>
      </c>
      <c r="AC801" s="4">
        <v>45702</v>
      </c>
      <c r="AD801" s="9">
        <v>45702</v>
      </c>
      <c r="AE801" s="9">
        <v>45705</v>
      </c>
      <c r="AF801" s="4" t="str">
        <f t="shared" ca="1" si="33"/>
        <v>2025 02</v>
      </c>
      <c r="AG801" s="8" t="str" cm="1">
        <f t="array" ref="AG801">IFERROR(_xlfn.IFS('Banco de Dados'!#REF!="AG. COMPRA","Em processamento",'Banco de Dados'!#REF!="AG. RASTREIO","Em processamento",'Banco de Dados'!$AE801&lt;&gt;"-","Faturado",'Banco de Dados'!$AD801&lt;&gt;"-","Aguardando Pix",'Banco de Dados'!$AC801&lt;&gt;"-","Pendente"),"Aguardando Liberação")</f>
        <v>Aguardando Liberação</v>
      </c>
      <c r="AH801" s="5" t="str">
        <f>IF('Banco de Dados'!$F801="-",_xlfn.CONCAT(PROPER(TEXT(AK801,"aaaa"))," ",PROPER(TEXT(AK801,"mm"))),_xlfn.CONCAT(PROPER(TEXT(E801,"aaaa"))," ",PROPER(TEXT(E801,"mm"))))</f>
        <v>2025 01</v>
      </c>
      <c r="AI801" s="9" t="str">
        <f ca="1">IF('Banco de Dados'!$AK801&lt;&gt;"-","REEMBOLSO",IFERROR(_xlfn.XLOOKUP(G801,Follow[CODRASTREIO],Follow[STATUS]),"-"))</f>
        <v>ENTREGUE</v>
      </c>
      <c r="AJ801" s="9">
        <f ca="1">IF('Banco de Dados'!$AI801="ENTREGUE",_xlfn.XLOOKUP('Banco de Dados'!$G801,Follow[CODRASTREIO],Follow[DATAATUALIZAÇÃO]),"-")</f>
        <v>45692</v>
      </c>
      <c r="AK801" s="132" t="str">
        <f ca="1"/>
        <v>-</v>
      </c>
      <c r="AL801" s="35"/>
      <c r="AM801" s="109" cm="1">
        <f t="array" aca="1" ref="AM801" ca="1">IF('Banco de Dados'!$AK801&lt;&gt;"-",_xlfn.IFS('Banco de Dados'!$A801="bv",IF('Banco de Dados'!$E801&lt;45641,ROUND(SUM('Banco de Dados'!$R801*_xlfn.XLOOKUP('Banco de Dados'!$P801,Sku!B:B,Sku!#REF!)*20%),2),ROUND(SUM('Banco de Dados'!$R801*_xlfn.XLOOKUP('Banco de Dados'!$P801,Sku!B:B,Sku!H:H)*20%),2)),'Banco de Dados'!$A801="GO",ROUND(_xlfn.XLOOKUP('Banco de Dados'!$P801,Sku!C:C,Sku!H:H),2),'Banco de Dados'!$A801="MEI",ROUND(_xlfn.XLOOKUP('Banco de Dados'!$P801,Sku!D:D,Sku!H:H),2)),0)</f>
        <v>0</v>
      </c>
      <c r="AN801" s="109">
        <f ca="1">IF('Banco de Dados'!$AK801&lt;&gt;"-",IF('Banco de Dados'!$F801&lt;&gt;"-",_xlfn.XLOOKUP(IFERROR(IFERROR(IFERROR(VALUE(SUBSTITUTE(MID(_xlfn.TEXTAFTER('Banco de Dados'!$F801,"Data do Pedido:
",1),1,10),"-","/")),VALUE(SUBSTITUTE(MID(_xlfn.TEXTAFTER('Banco de Dados'!$F801,"Order date:
",1),1,10),"-","/"))),VALUE(SUBSTITUTE(MID(_xlfn.TEXTAFTER('Banco de Dados'!$F801,"Fecha de pedido:
",1),1,10),"-","/"))),"-"),SMS!A:A,SMS!K:K),0),0)</f>
        <v>0</v>
      </c>
      <c r="AO801" s="109">
        <f ca="1">IF('Banco de Dados'!$AK801&lt;&gt;"-",IF('Banco de Dados'!$F801&lt;&gt;"-",IFERROR(_xlfn.XLOOKUP(_xlfn.CONCAT('Banco de Dados'!$A801,IFERROR(IFERROR(VALUE(SUBSTITUTE(MID(_xlfn.TEXTAFTER('Banco de Dados'!$F801,"Data do Pedido:
",1),1,10),"-","/")),VALUE(SUBSTITUTE(MID(_xlfn.TEXTAFTER('Banco de Dados'!$F801,"Order date:
",1),1,10),"-","/"))),0)),ProxyDD[Chave],ProxyDD[Valor por pedido]),PROXY!$P$2),0),0)</f>
        <v>0</v>
      </c>
      <c r="AP801" s="28">
        <f ca="1">IF('Banco de Dados'!$AK801&lt;&gt;"-",IF('Banco de Dados'!$AL801="NÃO",IFERROR(VALUE(SUBSTITUTE(_xlfn.TEXTAFTER('Banco de Dados'!$F801,"BRL ",1),".",",")),0),0),0)</f>
        <v>0</v>
      </c>
      <c r="AQ801" s="28">
        <f ca="1">SUM('Banco de Dados'!$AM801:$AP801)</f>
        <v>0</v>
      </c>
      <c r="AR801" s="8"/>
      <c r="AS801" s="8"/>
      <c r="AT801"/>
      <c r="AY801" s="8"/>
    </row>
    <row r="802" spans="1:51">
      <c r="A802" s="5" t="str">
        <v>BV</v>
      </c>
      <c r="B802" s="5" t="str">
        <f ca="1"/>
        <v>BV45677</v>
      </c>
      <c r="C802" s="8" t="str">
        <v>Pedido 789</v>
      </c>
      <c r="D802" s="9">
        <v>45675</v>
      </c>
      <c r="E802" s="9">
        <v>45677</v>
      </c>
      <c r="F802" s="8" t="str">
        <v>PedidoF768</v>
      </c>
      <c r="G802" s="2" t="str">
        <v>CódRastreio766</v>
      </c>
      <c r="H802" s="5">
        <v>1</v>
      </c>
      <c r="I802" s="182" t="str">
        <v>CPF 767</v>
      </c>
      <c r="J802" s="2" t="str">
        <v>Nome 767</v>
      </c>
      <c r="K802" s="8" t="str">
        <v>Tel 767</v>
      </c>
      <c r="L802" s="8" t="str">
        <v>Cep 767</v>
      </c>
      <c r="M802" s="8" t="str">
        <v>Rua 767</v>
      </c>
      <c r="N802" s="8" t="str">
        <v>Comp 767</v>
      </c>
      <c r="O802" s="8" t="str">
        <v>Ventilador Preto</v>
      </c>
      <c r="P802" s="8" t="str">
        <v>MU-J80P-95WF</v>
      </c>
      <c r="Q802" s="4">
        <v>45701</v>
      </c>
      <c r="R802" s="109">
        <v>66.989999999999995</v>
      </c>
      <c r="S802" s="11">
        <f ca="1"/>
        <v>66.989999999999995</v>
      </c>
      <c r="T802" s="28">
        <f ca="1"/>
        <v>8.7087000000000003</v>
      </c>
      <c r="U802" s="11">
        <f ca="1"/>
        <v>58.28</v>
      </c>
      <c r="V802" s="11">
        <v>14.15</v>
      </c>
      <c r="W802" s="11">
        <f ca="1"/>
        <v>0.19</v>
      </c>
      <c r="X802" s="11">
        <f ca="1"/>
        <v>0.39877104377104378</v>
      </c>
      <c r="Y802" s="11">
        <v>0</v>
      </c>
      <c r="Z802" s="11">
        <f ca="1"/>
        <v>43.541228956228956</v>
      </c>
      <c r="AA802" s="11">
        <f ca="1"/>
        <v>21.770614478114478</v>
      </c>
      <c r="AB802" s="4">
        <f ca="1"/>
        <v>45708</v>
      </c>
      <c r="AC802" s="4">
        <v>45708</v>
      </c>
      <c r="AD802" s="9">
        <v>45721</v>
      </c>
      <c r="AE802" s="9">
        <v>45721</v>
      </c>
      <c r="AF802" s="4" t="str">
        <f t="shared" ca="1" si="33"/>
        <v>2025 02</v>
      </c>
      <c r="AG802" s="8" t="str" cm="1">
        <f t="array" ref="AG802">IFERROR(_xlfn.IFS('Banco de Dados'!#REF!="AG. COMPRA","Em processamento",'Banco de Dados'!#REF!="AG. RASTREIO","Em processamento",'Banco de Dados'!$AE802&lt;&gt;"-","Faturado",'Banco de Dados'!$AD802&lt;&gt;"-","Aguardando Pix",'Banco de Dados'!$AC802&lt;&gt;"-","Pendente"),"Aguardando Liberação")</f>
        <v>Aguardando Liberação</v>
      </c>
      <c r="AH802" s="5" t="str">
        <f>IF('Banco de Dados'!$F802="-",_xlfn.CONCAT(PROPER(TEXT(AK802,"aaaa"))," ",PROPER(TEXT(AK802,"mm"))),_xlfn.CONCAT(PROPER(TEXT(E802,"aaaa"))," ",PROPER(TEXT(E802,"mm"))))</f>
        <v>2025 01</v>
      </c>
      <c r="AI802" s="9" t="str">
        <f ca="1">IF('Banco de Dados'!$AK802&lt;&gt;"-","REEMBOLSO",IFERROR(_xlfn.XLOOKUP(G802,Follow[CODRASTREIO],Follow[STATUS]),"-"))</f>
        <v>ENTREGUE</v>
      </c>
      <c r="AJ802" s="9">
        <f ca="1">IF('Banco de Dados'!$AI802="ENTREGUE",_xlfn.XLOOKUP('Banco de Dados'!$G802,Follow[CODRASTREIO],Follow[DATAATUALIZAÇÃO]),"-")</f>
        <v>45692</v>
      </c>
      <c r="AK802" s="132" t="str">
        <f ca="1"/>
        <v>-</v>
      </c>
      <c r="AL802" s="35"/>
      <c r="AM802" s="109" cm="1">
        <f t="array" aca="1" ref="AM802" ca="1">IF('Banco de Dados'!$AK802&lt;&gt;"-",_xlfn.IFS('Banco de Dados'!$A802="bv",IF('Banco de Dados'!$E802&lt;45641,ROUND(SUM('Banco de Dados'!$R802*_xlfn.XLOOKUP('Banco de Dados'!$P802,Sku!B:B,Sku!#REF!)*20%),2),ROUND(SUM('Banco de Dados'!$R802*_xlfn.XLOOKUP('Banco de Dados'!$P802,Sku!B:B,Sku!H:H)*20%),2)),'Banco de Dados'!$A802="GO",ROUND(_xlfn.XLOOKUP('Banco de Dados'!$P802,Sku!C:C,Sku!H:H),2),'Banco de Dados'!$A802="MEI",ROUND(_xlfn.XLOOKUP('Banco de Dados'!$P802,Sku!D:D,Sku!H:H),2)),0)</f>
        <v>0</v>
      </c>
      <c r="AN802" s="109">
        <f ca="1">IF('Banco de Dados'!$AK802&lt;&gt;"-",IF('Banco de Dados'!$F802&lt;&gt;"-",_xlfn.XLOOKUP(IFERROR(IFERROR(IFERROR(VALUE(SUBSTITUTE(MID(_xlfn.TEXTAFTER('Banco de Dados'!$F802,"Data do Pedido:
",1),1,10),"-","/")),VALUE(SUBSTITUTE(MID(_xlfn.TEXTAFTER('Banco de Dados'!$F802,"Order date:
",1),1,10),"-","/"))),VALUE(SUBSTITUTE(MID(_xlfn.TEXTAFTER('Banco de Dados'!$F802,"Fecha de pedido:
",1),1,10),"-","/"))),"-"),SMS!A:A,SMS!K:K),0),0)</f>
        <v>0</v>
      </c>
      <c r="AO802" s="109">
        <f ca="1">IF('Banco de Dados'!$AK802&lt;&gt;"-",IF('Banco de Dados'!$F802&lt;&gt;"-",IFERROR(_xlfn.XLOOKUP(_xlfn.CONCAT('Banco de Dados'!$A802,IFERROR(IFERROR(VALUE(SUBSTITUTE(MID(_xlfn.TEXTAFTER('Banco de Dados'!$F802,"Data do Pedido:
",1),1,10),"-","/")),VALUE(SUBSTITUTE(MID(_xlfn.TEXTAFTER('Banco de Dados'!$F802,"Order date:
",1),1,10),"-","/"))),0)),ProxyDD[Chave],ProxyDD[Valor por pedido]),PROXY!$P$2),0),0)</f>
        <v>0</v>
      </c>
      <c r="AP802" s="28">
        <f ca="1">IF('Banco de Dados'!$AK802&lt;&gt;"-",IF('Banco de Dados'!$AL802="NÃO",IFERROR(VALUE(SUBSTITUTE(_xlfn.TEXTAFTER('Banco de Dados'!$F802,"BRL ",1),".",",")),0),0),0)</f>
        <v>0</v>
      </c>
      <c r="AQ802" s="28">
        <f ca="1">SUM('Banco de Dados'!$AM802:$AP802)</f>
        <v>0</v>
      </c>
      <c r="AR802" s="8"/>
      <c r="AS802" s="8"/>
      <c r="AT802"/>
      <c r="AY802" s="8"/>
    </row>
    <row r="803" spans="1:51">
      <c r="A803" s="5" t="str">
        <v>BV</v>
      </c>
      <c r="B803" s="5" t="str">
        <f ca="1"/>
        <v>BV45677</v>
      </c>
      <c r="C803" s="8" t="str">
        <v>Pedido 790</v>
      </c>
      <c r="D803" s="9">
        <v>45675</v>
      </c>
      <c r="E803" s="9">
        <v>45677</v>
      </c>
      <c r="F803" s="8" t="str">
        <v>PedidoF769</v>
      </c>
      <c r="G803" s="2" t="str">
        <v>CódRastreio767</v>
      </c>
      <c r="H803" s="5">
        <v>1</v>
      </c>
      <c r="I803" s="182" t="str">
        <v>CPF 768</v>
      </c>
      <c r="J803" s="2" t="str">
        <v>Nome 768</v>
      </c>
      <c r="K803" s="8" t="str">
        <v>Tel 768</v>
      </c>
      <c r="L803" s="8" t="str">
        <v>Cep 768</v>
      </c>
      <c r="M803" s="8" t="str">
        <v>Rua 768</v>
      </c>
      <c r="N803" s="8" t="str">
        <v>Comp 768</v>
      </c>
      <c r="O803" s="8" t="str">
        <v>Ventilador Preto</v>
      </c>
      <c r="P803" s="8" t="str">
        <v>MU-J80P-95WF</v>
      </c>
      <c r="Q803" s="4">
        <v>45695</v>
      </c>
      <c r="R803" s="109">
        <v>66.989999999999995</v>
      </c>
      <c r="S803" s="11">
        <f ca="1"/>
        <v>66.989999999999995</v>
      </c>
      <c r="T803" s="28">
        <f ca="1"/>
        <v>8.7087000000000003</v>
      </c>
      <c r="U803" s="11">
        <f ca="1"/>
        <v>58.28</v>
      </c>
      <c r="V803" s="11">
        <v>14.15</v>
      </c>
      <c r="W803" s="11">
        <f ca="1"/>
        <v>0.19</v>
      </c>
      <c r="X803" s="11">
        <f ca="1"/>
        <v>0.39877104377104378</v>
      </c>
      <c r="Y803" s="11">
        <v>0</v>
      </c>
      <c r="Z803" s="11">
        <f ca="1"/>
        <v>43.541228956228956</v>
      </c>
      <c r="AA803" s="11">
        <f ca="1"/>
        <v>21.770614478114478</v>
      </c>
      <c r="AB803" s="4">
        <f ca="1"/>
        <v>45702</v>
      </c>
      <c r="AC803" s="4">
        <v>45702</v>
      </c>
      <c r="AD803" s="9">
        <v>45702</v>
      </c>
      <c r="AE803" s="9">
        <v>45705</v>
      </c>
      <c r="AF803" s="4" t="str">
        <f t="shared" ca="1" si="33"/>
        <v>2025 02</v>
      </c>
      <c r="AG803" s="8" t="str" cm="1">
        <f t="array" ref="AG803">IFERROR(_xlfn.IFS('Banco de Dados'!#REF!="AG. COMPRA","Em processamento",'Banco de Dados'!#REF!="AG. RASTREIO","Em processamento",'Banco de Dados'!$AE803&lt;&gt;"-","Faturado",'Banco de Dados'!$AD803&lt;&gt;"-","Aguardando Pix",'Banco de Dados'!$AC803&lt;&gt;"-","Pendente"),"Aguardando Liberação")</f>
        <v>Aguardando Liberação</v>
      </c>
      <c r="AH803" s="5" t="str">
        <f>IF('Banco de Dados'!$F803="-",_xlfn.CONCAT(PROPER(TEXT(AK803,"aaaa"))," ",PROPER(TEXT(AK803,"mm"))),_xlfn.CONCAT(PROPER(TEXT(E803,"aaaa"))," ",PROPER(TEXT(E803,"mm"))))</f>
        <v>2025 01</v>
      </c>
      <c r="AI803" s="9" t="str">
        <f ca="1">IF('Banco de Dados'!$AK803&lt;&gt;"-","REEMBOLSO",IFERROR(_xlfn.XLOOKUP(G803,Follow[CODRASTREIO],Follow[STATUS]),"-"))</f>
        <v>ENTREGUE</v>
      </c>
      <c r="AJ803" s="9">
        <f ca="1">IF('Banco de Dados'!$AI803="ENTREGUE",_xlfn.XLOOKUP('Banco de Dados'!$G803,Follow[CODRASTREIO],Follow[DATAATUALIZAÇÃO]),"-")</f>
        <v>45687</v>
      </c>
      <c r="AK803" s="132" t="str">
        <f ca="1"/>
        <v>-</v>
      </c>
      <c r="AL803" s="35"/>
      <c r="AM803" s="109" cm="1">
        <f t="array" aca="1" ref="AM803" ca="1">IF('Banco de Dados'!$AK803&lt;&gt;"-",_xlfn.IFS('Banco de Dados'!$A803="bv",IF('Banco de Dados'!$E803&lt;45641,ROUND(SUM('Banco de Dados'!$R803*_xlfn.XLOOKUP('Banco de Dados'!$P803,Sku!B:B,Sku!#REF!)*20%),2),ROUND(SUM('Banco de Dados'!$R803*_xlfn.XLOOKUP('Banco de Dados'!$P803,Sku!B:B,Sku!H:H)*20%),2)),'Banco de Dados'!$A803="GO",ROUND(_xlfn.XLOOKUP('Banco de Dados'!$P803,Sku!C:C,Sku!H:H),2),'Banco de Dados'!$A803="MEI",ROUND(_xlfn.XLOOKUP('Banco de Dados'!$P803,Sku!D:D,Sku!H:H),2)),0)</f>
        <v>0</v>
      </c>
      <c r="AN803" s="109">
        <f ca="1">IF('Banco de Dados'!$AK803&lt;&gt;"-",IF('Banco de Dados'!$F803&lt;&gt;"-",_xlfn.XLOOKUP(IFERROR(IFERROR(IFERROR(VALUE(SUBSTITUTE(MID(_xlfn.TEXTAFTER('Banco de Dados'!$F803,"Data do Pedido:
",1),1,10),"-","/")),VALUE(SUBSTITUTE(MID(_xlfn.TEXTAFTER('Banco de Dados'!$F803,"Order date:
",1),1,10),"-","/"))),VALUE(SUBSTITUTE(MID(_xlfn.TEXTAFTER('Banco de Dados'!$F803,"Fecha de pedido:
",1),1,10),"-","/"))),"-"),SMS!A:A,SMS!K:K),0),0)</f>
        <v>0</v>
      </c>
      <c r="AO803" s="109">
        <f ca="1">IF('Banco de Dados'!$AK803&lt;&gt;"-",IF('Banco de Dados'!$F803&lt;&gt;"-",IFERROR(_xlfn.XLOOKUP(_xlfn.CONCAT('Banco de Dados'!$A803,IFERROR(IFERROR(VALUE(SUBSTITUTE(MID(_xlfn.TEXTAFTER('Banco de Dados'!$F803,"Data do Pedido:
",1),1,10),"-","/")),VALUE(SUBSTITUTE(MID(_xlfn.TEXTAFTER('Banco de Dados'!$F803,"Order date:
",1),1,10),"-","/"))),0)),ProxyDD[Chave],ProxyDD[Valor por pedido]),PROXY!$P$2),0),0)</f>
        <v>0</v>
      </c>
      <c r="AP803" s="28">
        <f ca="1">IF('Banco de Dados'!$AK803&lt;&gt;"-",IF('Banco de Dados'!$AL803="NÃO",IFERROR(VALUE(SUBSTITUTE(_xlfn.TEXTAFTER('Banco de Dados'!$F803,"BRL ",1),".",",")),0),0),0)</f>
        <v>0</v>
      </c>
      <c r="AQ803" s="28">
        <f ca="1">SUM('Banco de Dados'!$AM803:$AP803)</f>
        <v>0</v>
      </c>
      <c r="AR803" s="8"/>
      <c r="AS803" s="8"/>
      <c r="AT803"/>
      <c r="AY803" s="8"/>
    </row>
    <row r="804" spans="1:51">
      <c r="A804" s="5" t="str">
        <v>BV</v>
      </c>
      <c r="B804" s="5" t="str">
        <f ca="1"/>
        <v>BV45678</v>
      </c>
      <c r="C804" s="8" t="str">
        <v>Pedido 791</v>
      </c>
      <c r="D804" s="9">
        <v>45675</v>
      </c>
      <c r="E804" s="9">
        <v>45678</v>
      </c>
      <c r="F804" s="8" t="str">
        <v>PedidoF770</v>
      </c>
      <c r="G804" s="2" t="str">
        <v>CódRastreio768</v>
      </c>
      <c r="H804" s="5">
        <v>1</v>
      </c>
      <c r="I804" s="182" t="str">
        <v>CPF 768</v>
      </c>
      <c r="J804" s="2" t="str">
        <v>Nome 768</v>
      </c>
      <c r="K804" s="8" t="str">
        <v>Tel 768</v>
      </c>
      <c r="L804" s="8" t="str">
        <v>Cep 768</v>
      </c>
      <c r="M804" s="8" t="str">
        <v>Rua 768</v>
      </c>
      <c r="N804" s="8" t="str">
        <v>Comp 768</v>
      </c>
      <c r="O804" s="8" t="str">
        <v>Ventilador Preto</v>
      </c>
      <c r="P804" s="8" t="str">
        <v>MU-J80P-95WF</v>
      </c>
      <c r="Q804" s="4">
        <v>45695</v>
      </c>
      <c r="R804" s="109">
        <v>66.989999999999995</v>
      </c>
      <c r="S804" s="11">
        <f ca="1"/>
        <v>66.989999999999995</v>
      </c>
      <c r="T804" s="28">
        <f ca="1"/>
        <v>8.7087000000000003</v>
      </c>
      <c r="U804" s="11">
        <f ca="1"/>
        <v>58.28</v>
      </c>
      <c r="V804" s="11">
        <v>14.11</v>
      </c>
      <c r="W804" s="11">
        <f ca="1"/>
        <v>0.22</v>
      </c>
      <c r="X804" s="11">
        <f ca="1"/>
        <v>0.39877104377104378</v>
      </c>
      <c r="Y804" s="11">
        <v>0</v>
      </c>
      <c r="Z804" s="11">
        <f ca="1"/>
        <v>43.551228956228954</v>
      </c>
      <c r="AA804" s="11">
        <f ca="1"/>
        <v>21.775614478114477</v>
      </c>
      <c r="AB804" s="4">
        <f ca="1"/>
        <v>45702</v>
      </c>
      <c r="AC804" s="4">
        <v>45702</v>
      </c>
      <c r="AD804" s="9">
        <v>45702</v>
      </c>
      <c r="AE804" s="9">
        <v>45705</v>
      </c>
      <c r="AF804" s="4" t="str">
        <f t="shared" ca="1" si="33"/>
        <v>2025 02</v>
      </c>
      <c r="AG804" s="8" t="str" cm="1">
        <f t="array" ref="AG804">IFERROR(_xlfn.IFS('Banco de Dados'!#REF!="AG. COMPRA","Em processamento",'Banco de Dados'!#REF!="AG. RASTREIO","Em processamento",'Banco de Dados'!$AE804&lt;&gt;"-","Faturado",'Banco de Dados'!$AD804&lt;&gt;"-","Aguardando Pix",'Banco de Dados'!$AC804&lt;&gt;"-","Pendente"),"Aguardando Liberação")</f>
        <v>Aguardando Liberação</v>
      </c>
      <c r="AH804" s="5" t="str">
        <f>IF('Banco de Dados'!$F804="-",_xlfn.CONCAT(PROPER(TEXT(AK804,"aaaa"))," ",PROPER(TEXT(AK804,"mm"))),_xlfn.CONCAT(PROPER(TEXT(E804,"aaaa"))," ",PROPER(TEXT(E804,"mm"))))</f>
        <v>2025 01</v>
      </c>
      <c r="AI804" s="9" t="str">
        <f ca="1">IF('Banco de Dados'!$AK804&lt;&gt;"-","REEMBOLSO",IFERROR(_xlfn.XLOOKUP(G804,Follow[CODRASTREIO],Follow[STATUS]),"-"))</f>
        <v>ENTREGUE</v>
      </c>
      <c r="AJ804" s="9">
        <f ca="1">IF('Banco de Dados'!$AI804="ENTREGUE",_xlfn.XLOOKUP('Banco de Dados'!$G804,Follow[CODRASTREIO],Follow[DATAATUALIZAÇÃO]),"-")</f>
        <v>45687</v>
      </c>
      <c r="AK804" s="132" t="str">
        <f ca="1"/>
        <v>-</v>
      </c>
      <c r="AL804" s="35"/>
      <c r="AM804" s="109" cm="1">
        <f t="array" aca="1" ref="AM804" ca="1">IF('Banco de Dados'!$AK804&lt;&gt;"-",_xlfn.IFS('Banco de Dados'!$A804="bv",IF('Banco de Dados'!$E804&lt;45641,ROUND(SUM('Banco de Dados'!$R804*_xlfn.XLOOKUP('Banco de Dados'!$P804,Sku!B:B,Sku!#REF!)*20%),2),ROUND(SUM('Banco de Dados'!$R804*_xlfn.XLOOKUP('Banco de Dados'!$P804,Sku!B:B,Sku!H:H)*20%),2)),'Banco de Dados'!$A804="GO",ROUND(_xlfn.XLOOKUP('Banco de Dados'!$P804,Sku!C:C,Sku!H:H),2),'Banco de Dados'!$A804="MEI",ROUND(_xlfn.XLOOKUP('Banco de Dados'!$P804,Sku!D:D,Sku!H:H),2)),0)</f>
        <v>0</v>
      </c>
      <c r="AN804" s="109">
        <f ca="1">IF('Banco de Dados'!$AK804&lt;&gt;"-",IF('Banco de Dados'!$F804&lt;&gt;"-",_xlfn.XLOOKUP(IFERROR(IFERROR(IFERROR(VALUE(SUBSTITUTE(MID(_xlfn.TEXTAFTER('Banco de Dados'!$F804,"Data do Pedido:
",1),1,10),"-","/")),VALUE(SUBSTITUTE(MID(_xlfn.TEXTAFTER('Banco de Dados'!$F804,"Order date:
",1),1,10),"-","/"))),VALUE(SUBSTITUTE(MID(_xlfn.TEXTAFTER('Banco de Dados'!$F804,"Fecha de pedido:
",1),1,10),"-","/"))),"-"),SMS!A:A,SMS!K:K),0),0)</f>
        <v>0</v>
      </c>
      <c r="AO804" s="109">
        <f ca="1">IF('Banco de Dados'!$AK804&lt;&gt;"-",IF('Banco de Dados'!$F804&lt;&gt;"-",IFERROR(_xlfn.XLOOKUP(_xlfn.CONCAT('Banco de Dados'!$A804,IFERROR(IFERROR(VALUE(SUBSTITUTE(MID(_xlfn.TEXTAFTER('Banco de Dados'!$F804,"Data do Pedido:
",1),1,10),"-","/")),VALUE(SUBSTITUTE(MID(_xlfn.TEXTAFTER('Banco de Dados'!$F804,"Order date:
",1),1,10),"-","/"))),0)),ProxyDD[Chave],ProxyDD[Valor por pedido]),PROXY!$P$2),0),0)</f>
        <v>0</v>
      </c>
      <c r="AP804" s="28">
        <f ca="1">IF('Banco de Dados'!$AK804&lt;&gt;"-",IF('Banco de Dados'!$AL804="NÃO",IFERROR(VALUE(SUBSTITUTE(_xlfn.TEXTAFTER('Banco de Dados'!$F804,"BRL ",1),".",",")),0),0),0)</f>
        <v>0</v>
      </c>
      <c r="AQ804" s="28">
        <f ca="1">SUM('Banco de Dados'!$AM804:$AP804)</f>
        <v>0</v>
      </c>
      <c r="AR804" s="8"/>
      <c r="AS804" s="8"/>
      <c r="AT804"/>
      <c r="AY804" s="8"/>
    </row>
    <row r="805" spans="1:51">
      <c r="A805" s="5" t="str">
        <v>BV</v>
      </c>
      <c r="B805" s="5" t="str">
        <f ca="1"/>
        <v>BV45677</v>
      </c>
      <c r="C805" s="8" t="str">
        <v>Pedido 792</v>
      </c>
      <c r="D805" s="9">
        <v>45675</v>
      </c>
      <c r="E805" s="9">
        <v>45677</v>
      </c>
      <c r="F805" s="8" t="str">
        <v>PedidoF771</v>
      </c>
      <c r="G805" s="2" t="str">
        <v>CódRastreio769</v>
      </c>
      <c r="H805" s="5">
        <v>1</v>
      </c>
      <c r="I805" s="182" t="str">
        <v>CPF 769</v>
      </c>
      <c r="J805" s="2" t="str">
        <v>Nome 769</v>
      </c>
      <c r="K805" s="8" t="str">
        <v>Tel 769</v>
      </c>
      <c r="L805" s="8" t="str">
        <v>Cep 769</v>
      </c>
      <c r="M805" s="8" t="str">
        <v>Rua 769</v>
      </c>
      <c r="N805" s="8" t="str">
        <v>Comp 769</v>
      </c>
      <c r="O805" s="8" t="str">
        <v>Ventilador Preto</v>
      </c>
      <c r="P805" s="8" t="str">
        <v>MU-J80P-95WF</v>
      </c>
      <c r="Q805" s="4">
        <v>45695</v>
      </c>
      <c r="R805" s="109">
        <v>66.989999999999995</v>
      </c>
      <c r="S805" s="11">
        <f ca="1"/>
        <v>66.989999999999995</v>
      </c>
      <c r="T805" s="28">
        <f ca="1"/>
        <v>8.7087000000000003</v>
      </c>
      <c r="U805" s="11">
        <f ca="1"/>
        <v>58.28</v>
      </c>
      <c r="V805" s="11">
        <v>14.15</v>
      </c>
      <c r="W805" s="11">
        <f ca="1"/>
        <v>0.19</v>
      </c>
      <c r="X805" s="11">
        <f ca="1"/>
        <v>0.39877104377104378</v>
      </c>
      <c r="Y805" s="11">
        <v>0</v>
      </c>
      <c r="Z805" s="11">
        <f ca="1"/>
        <v>43.541228956228956</v>
      </c>
      <c r="AA805" s="11">
        <f ca="1"/>
        <v>21.770614478114478</v>
      </c>
      <c r="AB805" s="4">
        <f ca="1"/>
        <v>45702</v>
      </c>
      <c r="AC805" s="4">
        <v>45702</v>
      </c>
      <c r="AD805" s="9">
        <v>45702</v>
      </c>
      <c r="AE805" s="9">
        <v>45705</v>
      </c>
      <c r="AF805" s="4" t="str">
        <f t="shared" ca="1" si="33"/>
        <v>2025 02</v>
      </c>
      <c r="AG805" s="8" t="str" cm="1">
        <f t="array" ref="AG805">IFERROR(_xlfn.IFS('Banco de Dados'!#REF!="AG. COMPRA","Em processamento",'Banco de Dados'!#REF!="AG. RASTREIO","Em processamento",'Banco de Dados'!$AE805&lt;&gt;"-","Faturado",'Banco de Dados'!$AD805&lt;&gt;"-","Aguardando Pix",'Banco de Dados'!$AC805&lt;&gt;"-","Pendente"),"Aguardando Liberação")</f>
        <v>Aguardando Liberação</v>
      </c>
      <c r="AH805" s="5" t="str">
        <f>IF('Banco de Dados'!$F805="-",_xlfn.CONCAT(PROPER(TEXT(AK805,"aaaa"))," ",PROPER(TEXT(AK805,"mm"))),_xlfn.CONCAT(PROPER(TEXT(E805,"aaaa"))," ",PROPER(TEXT(E805,"mm"))))</f>
        <v>2025 01</v>
      </c>
      <c r="AI805" s="9" t="str">
        <f ca="1">IF('Banco de Dados'!$AK805&lt;&gt;"-","REEMBOLSO",IFERROR(_xlfn.XLOOKUP(G805,Follow[CODRASTREIO],Follow[STATUS]),"-"))</f>
        <v>ENTREGUE</v>
      </c>
      <c r="AJ805" s="9">
        <f ca="1">IF('Banco de Dados'!$AI805="ENTREGUE",_xlfn.XLOOKUP('Banco de Dados'!$G805,Follow[CODRASTREIO],Follow[DATAATUALIZAÇÃO]),"-")</f>
        <v>45688</v>
      </c>
      <c r="AK805" s="132" t="str">
        <f ca="1"/>
        <v>-</v>
      </c>
      <c r="AL805" s="35"/>
      <c r="AM805" s="109" cm="1">
        <f t="array" aca="1" ref="AM805" ca="1">IF('Banco de Dados'!$AK805&lt;&gt;"-",_xlfn.IFS('Banco de Dados'!$A805="bv",IF('Banco de Dados'!$E805&lt;45641,ROUND(SUM('Banco de Dados'!$R805*_xlfn.XLOOKUP('Banco de Dados'!$P805,Sku!B:B,Sku!#REF!)*20%),2),ROUND(SUM('Banco de Dados'!$R805*_xlfn.XLOOKUP('Banco de Dados'!$P805,Sku!B:B,Sku!H:H)*20%),2)),'Banco de Dados'!$A805="GO",ROUND(_xlfn.XLOOKUP('Banco de Dados'!$P805,Sku!C:C,Sku!H:H),2),'Banco de Dados'!$A805="MEI",ROUND(_xlfn.XLOOKUP('Banco de Dados'!$P805,Sku!D:D,Sku!H:H),2)),0)</f>
        <v>0</v>
      </c>
      <c r="AN805" s="109">
        <f ca="1">IF('Banco de Dados'!$AK805&lt;&gt;"-",IF('Banco de Dados'!$F805&lt;&gt;"-",_xlfn.XLOOKUP(IFERROR(IFERROR(IFERROR(VALUE(SUBSTITUTE(MID(_xlfn.TEXTAFTER('Banco de Dados'!$F805,"Data do Pedido:
",1),1,10),"-","/")),VALUE(SUBSTITUTE(MID(_xlfn.TEXTAFTER('Banco de Dados'!$F805,"Order date:
",1),1,10),"-","/"))),VALUE(SUBSTITUTE(MID(_xlfn.TEXTAFTER('Banco de Dados'!$F805,"Fecha de pedido:
",1),1,10),"-","/"))),"-"),SMS!A:A,SMS!K:K),0),0)</f>
        <v>0</v>
      </c>
      <c r="AO805" s="109">
        <f ca="1">IF('Banco de Dados'!$AK805&lt;&gt;"-",IF('Banco de Dados'!$F805&lt;&gt;"-",IFERROR(_xlfn.XLOOKUP(_xlfn.CONCAT('Banco de Dados'!$A805,IFERROR(IFERROR(VALUE(SUBSTITUTE(MID(_xlfn.TEXTAFTER('Banco de Dados'!$F805,"Data do Pedido:
",1),1,10),"-","/")),VALUE(SUBSTITUTE(MID(_xlfn.TEXTAFTER('Banco de Dados'!$F805,"Order date:
",1),1,10),"-","/"))),0)),ProxyDD[Chave],ProxyDD[Valor por pedido]),PROXY!$P$2),0),0)</f>
        <v>0</v>
      </c>
      <c r="AP805" s="28">
        <f ca="1">IF('Banco de Dados'!$AK805&lt;&gt;"-",IF('Banco de Dados'!$AL805="NÃO",IFERROR(VALUE(SUBSTITUTE(_xlfn.TEXTAFTER('Banco de Dados'!$F805,"BRL ",1),".",",")),0),0),0)</f>
        <v>0</v>
      </c>
      <c r="AQ805" s="28">
        <f ca="1">SUM('Banco de Dados'!$AM805:$AP805)</f>
        <v>0</v>
      </c>
      <c r="AR805" s="8"/>
      <c r="AS805" s="8"/>
      <c r="AT805"/>
      <c r="AY805" s="8"/>
    </row>
    <row r="806" spans="1:51">
      <c r="A806" s="5" t="str">
        <v>BV</v>
      </c>
      <c r="B806" s="5" t="str">
        <f ca="1"/>
        <v>BV45677</v>
      </c>
      <c r="C806" s="8" t="str">
        <v>Pedido 793</v>
      </c>
      <c r="D806" s="9">
        <v>45675</v>
      </c>
      <c r="E806" s="9">
        <v>45677</v>
      </c>
      <c r="F806" s="8" t="str">
        <v>PedidoF772</v>
      </c>
      <c r="G806" s="2" t="str">
        <v>CódRastreio770</v>
      </c>
      <c r="H806" s="5">
        <v>1</v>
      </c>
      <c r="I806" s="182" t="str">
        <v>CPF 770</v>
      </c>
      <c r="J806" s="2" t="str">
        <v>Nome 770</v>
      </c>
      <c r="K806" s="8" t="str">
        <v>Tel 770</v>
      </c>
      <c r="L806" s="8" t="str">
        <v>Cep 770</v>
      </c>
      <c r="M806" s="8" t="str">
        <v>Rua 770</v>
      </c>
      <c r="N806" s="8" t="str">
        <v>Comp 770</v>
      </c>
      <c r="O806" s="8" t="str">
        <v>Ventilador Preto</v>
      </c>
      <c r="P806" s="8" t="str">
        <v>MU-J80P-95WF</v>
      </c>
      <c r="Q806" s="4">
        <v>45701</v>
      </c>
      <c r="R806" s="109">
        <v>66.989999999999995</v>
      </c>
      <c r="S806" s="11">
        <f ca="1"/>
        <v>66.989999999999995</v>
      </c>
      <c r="T806" s="28">
        <f ca="1"/>
        <v>8.7087000000000003</v>
      </c>
      <c r="U806" s="11">
        <f ca="1"/>
        <v>58.28</v>
      </c>
      <c r="V806" s="11">
        <v>14.15</v>
      </c>
      <c r="W806" s="11">
        <f ca="1"/>
        <v>0.19</v>
      </c>
      <c r="X806" s="11">
        <f ca="1"/>
        <v>0.39877104377104378</v>
      </c>
      <c r="Y806" s="11">
        <v>0</v>
      </c>
      <c r="Z806" s="11">
        <f ca="1"/>
        <v>43.541228956228956</v>
      </c>
      <c r="AA806" s="11">
        <f ca="1"/>
        <v>21.770614478114478</v>
      </c>
      <c r="AB806" s="4">
        <f ca="1"/>
        <v>45708</v>
      </c>
      <c r="AC806" s="4">
        <v>45708</v>
      </c>
      <c r="AD806" s="9">
        <v>45721</v>
      </c>
      <c r="AE806" s="9">
        <v>45721</v>
      </c>
      <c r="AF806" s="4" t="str">
        <f t="shared" ca="1" si="33"/>
        <v>2025 02</v>
      </c>
      <c r="AG806" s="8" t="str" cm="1">
        <f t="array" ref="AG806">IFERROR(_xlfn.IFS('Banco de Dados'!#REF!="AG. COMPRA","Em processamento",'Banco de Dados'!#REF!="AG. RASTREIO","Em processamento",'Banco de Dados'!$AE806&lt;&gt;"-","Faturado",'Banco de Dados'!$AD806&lt;&gt;"-","Aguardando Pix",'Banco de Dados'!$AC806&lt;&gt;"-","Pendente"),"Aguardando Liberação")</f>
        <v>Aguardando Liberação</v>
      </c>
      <c r="AH806" s="5" t="str">
        <f>IF('Banco de Dados'!$F806="-",_xlfn.CONCAT(PROPER(TEXT(AK806,"aaaa"))," ",PROPER(TEXT(AK806,"mm"))),_xlfn.CONCAT(PROPER(TEXT(E806,"aaaa"))," ",PROPER(TEXT(E806,"mm"))))</f>
        <v>2025 01</v>
      </c>
      <c r="AI806" s="9" t="str">
        <f ca="1">IF('Banco de Dados'!$AK806&lt;&gt;"-","REEMBOLSO",IFERROR(_xlfn.XLOOKUP(G806,Follow[CODRASTREIO],Follow[STATUS]),"-"))</f>
        <v>ENTREGUE</v>
      </c>
      <c r="AJ806" s="9">
        <f ca="1">IF('Banco de Dados'!$AI806="ENTREGUE",_xlfn.XLOOKUP('Banco de Dados'!$G806,Follow[CODRASTREIO],Follow[DATAATUALIZAÇÃO]),"-")</f>
        <v>45692</v>
      </c>
      <c r="AK806" s="132" t="str">
        <f ca="1"/>
        <v>-</v>
      </c>
      <c r="AL806" s="35"/>
      <c r="AM806" s="109" cm="1">
        <f t="array" aca="1" ref="AM806" ca="1">IF('Banco de Dados'!$AK806&lt;&gt;"-",_xlfn.IFS('Banco de Dados'!$A806="bv",IF('Banco de Dados'!$E806&lt;45641,ROUND(SUM('Banco de Dados'!$R806*_xlfn.XLOOKUP('Banco de Dados'!$P806,Sku!B:B,Sku!#REF!)*20%),2),ROUND(SUM('Banco de Dados'!$R806*_xlfn.XLOOKUP('Banco de Dados'!$P806,Sku!B:B,Sku!H:H)*20%),2)),'Banco de Dados'!$A806="GO",ROUND(_xlfn.XLOOKUP('Banco de Dados'!$P806,Sku!C:C,Sku!H:H),2),'Banco de Dados'!$A806="MEI",ROUND(_xlfn.XLOOKUP('Banco de Dados'!$P806,Sku!D:D,Sku!H:H),2)),0)</f>
        <v>0</v>
      </c>
      <c r="AN806" s="109">
        <f ca="1">IF('Banco de Dados'!$AK806&lt;&gt;"-",IF('Banco de Dados'!$F806&lt;&gt;"-",_xlfn.XLOOKUP(IFERROR(IFERROR(IFERROR(VALUE(SUBSTITUTE(MID(_xlfn.TEXTAFTER('Banco de Dados'!$F806,"Data do Pedido:
",1),1,10),"-","/")),VALUE(SUBSTITUTE(MID(_xlfn.TEXTAFTER('Banco de Dados'!$F806,"Order date:
",1),1,10),"-","/"))),VALUE(SUBSTITUTE(MID(_xlfn.TEXTAFTER('Banco de Dados'!$F806,"Fecha de pedido:
",1),1,10),"-","/"))),"-"),SMS!A:A,SMS!K:K),0),0)</f>
        <v>0</v>
      </c>
      <c r="AO806" s="109">
        <f ca="1">IF('Banco de Dados'!$AK806&lt;&gt;"-",IF('Banco de Dados'!$F806&lt;&gt;"-",IFERROR(_xlfn.XLOOKUP(_xlfn.CONCAT('Banco de Dados'!$A806,IFERROR(IFERROR(VALUE(SUBSTITUTE(MID(_xlfn.TEXTAFTER('Banco de Dados'!$F806,"Data do Pedido:
",1),1,10),"-","/")),VALUE(SUBSTITUTE(MID(_xlfn.TEXTAFTER('Banco de Dados'!$F806,"Order date:
",1),1,10),"-","/"))),0)),ProxyDD[Chave],ProxyDD[Valor por pedido]),PROXY!$P$2),0),0)</f>
        <v>0</v>
      </c>
      <c r="AP806" s="28">
        <f ca="1">IF('Banco de Dados'!$AK806&lt;&gt;"-",IF('Banco de Dados'!$AL806="NÃO",IFERROR(VALUE(SUBSTITUTE(_xlfn.TEXTAFTER('Banco de Dados'!$F806,"BRL ",1),".",",")),0),0),0)</f>
        <v>0</v>
      </c>
      <c r="AQ806" s="28">
        <f ca="1">SUM('Banco de Dados'!$AM806:$AP806)</f>
        <v>0</v>
      </c>
      <c r="AR806" s="8"/>
      <c r="AS806" s="8"/>
      <c r="AT806"/>
      <c r="AY806" s="8"/>
    </row>
    <row r="807" spans="1:51">
      <c r="A807" s="5" t="str">
        <v>BV</v>
      </c>
      <c r="B807" s="5" t="str">
        <f ca="1"/>
        <v>BV45677</v>
      </c>
      <c r="C807" s="8" t="str">
        <v>Pedido 794</v>
      </c>
      <c r="D807" s="9">
        <v>45676</v>
      </c>
      <c r="E807" s="9">
        <v>45677</v>
      </c>
      <c r="F807" s="8" t="str">
        <v>PedidoF773</v>
      </c>
      <c r="G807" s="2" t="str">
        <v>CódRastreio771</v>
      </c>
      <c r="H807" s="5">
        <v>1</v>
      </c>
      <c r="I807" s="182" t="str">
        <v>CPF 771</v>
      </c>
      <c r="J807" s="2" t="str">
        <v>Nome 771</v>
      </c>
      <c r="K807" s="8" t="str">
        <v>Tel 771</v>
      </c>
      <c r="L807" s="8" t="str">
        <v>Cep 771</v>
      </c>
      <c r="M807" s="8" t="str">
        <v>Rua 771</v>
      </c>
      <c r="N807" s="8" t="str">
        <v>Comp 771</v>
      </c>
      <c r="O807" s="8" t="str">
        <v>Ventilador Preto</v>
      </c>
      <c r="P807" s="8" t="str">
        <v>MU-J80P-95WF</v>
      </c>
      <c r="Q807" s="4">
        <v>45695</v>
      </c>
      <c r="R807" s="109">
        <v>66.989999999999995</v>
      </c>
      <c r="S807" s="11">
        <f ca="1"/>
        <v>66.989999999999995</v>
      </c>
      <c r="T807" s="28">
        <f ca="1"/>
        <v>8.7087000000000003</v>
      </c>
      <c r="U807" s="11">
        <f ca="1"/>
        <v>58.28</v>
      </c>
      <c r="V807" s="11">
        <v>14.15</v>
      </c>
      <c r="W807" s="11">
        <f ca="1"/>
        <v>0.19</v>
      </c>
      <c r="X807" s="11">
        <f ca="1"/>
        <v>0.39877104377104378</v>
      </c>
      <c r="Y807" s="11">
        <v>0</v>
      </c>
      <c r="Z807" s="11">
        <f ca="1"/>
        <v>43.541228956228956</v>
      </c>
      <c r="AA807" s="11">
        <f ca="1"/>
        <v>21.770614478114478</v>
      </c>
      <c r="AB807" s="4">
        <f ca="1"/>
        <v>45702</v>
      </c>
      <c r="AC807" s="4">
        <v>45702</v>
      </c>
      <c r="AD807" s="9">
        <v>45702</v>
      </c>
      <c r="AE807" s="9">
        <v>45705</v>
      </c>
      <c r="AF807" s="4" t="str">
        <f t="shared" ca="1" si="33"/>
        <v>2025 02</v>
      </c>
      <c r="AG807" s="8" t="str" cm="1">
        <f t="array" ref="AG807">IFERROR(_xlfn.IFS('Banco de Dados'!#REF!="AG. COMPRA","Em processamento",'Banco de Dados'!#REF!="AG. RASTREIO","Em processamento",'Banco de Dados'!$AE807&lt;&gt;"-","Faturado",'Banco de Dados'!$AD807&lt;&gt;"-","Aguardando Pix",'Banco de Dados'!$AC807&lt;&gt;"-","Pendente"),"Aguardando Liberação")</f>
        <v>Aguardando Liberação</v>
      </c>
      <c r="AH807" s="5" t="str">
        <f>IF('Banco de Dados'!$F807="-",_xlfn.CONCAT(PROPER(TEXT(AK807,"aaaa"))," ",PROPER(TEXT(AK807,"mm"))),_xlfn.CONCAT(PROPER(TEXT(E807,"aaaa"))," ",PROPER(TEXT(E807,"mm"))))</f>
        <v>2025 01</v>
      </c>
      <c r="AI807" s="9" t="str">
        <f ca="1">IF('Banco de Dados'!$AK807&lt;&gt;"-","REEMBOLSO",IFERROR(_xlfn.XLOOKUP(G807,Follow[CODRASTREIO],Follow[STATUS]),"-"))</f>
        <v>ENTREGUE</v>
      </c>
      <c r="AJ807" s="9">
        <f ca="1">IF('Banco de Dados'!$AI807="ENTREGUE",_xlfn.XLOOKUP('Banco de Dados'!$G807,Follow[CODRASTREIO],Follow[DATAATUALIZAÇÃO]),"-")</f>
        <v>45689</v>
      </c>
      <c r="AK807" s="132" t="str">
        <f ca="1"/>
        <v>-</v>
      </c>
      <c r="AL807" s="35"/>
      <c r="AM807" s="109" cm="1">
        <f t="array" aca="1" ref="AM807" ca="1">IF('Banco de Dados'!$AK807&lt;&gt;"-",_xlfn.IFS('Banco de Dados'!$A807="bv",IF('Banco de Dados'!$E807&lt;45641,ROUND(SUM('Banco de Dados'!$R807*_xlfn.XLOOKUP('Banco de Dados'!$P807,Sku!B:B,Sku!#REF!)*20%),2),ROUND(SUM('Banco de Dados'!$R807*_xlfn.XLOOKUP('Banco de Dados'!$P807,Sku!B:B,Sku!H:H)*20%),2)),'Banco de Dados'!$A807="GO",ROUND(_xlfn.XLOOKUP('Banco de Dados'!$P807,Sku!C:C,Sku!H:H),2),'Banco de Dados'!$A807="MEI",ROUND(_xlfn.XLOOKUP('Banco de Dados'!$P807,Sku!D:D,Sku!H:H),2)),0)</f>
        <v>0</v>
      </c>
      <c r="AN807" s="109">
        <f ca="1">IF('Banco de Dados'!$AK807&lt;&gt;"-",IF('Banco de Dados'!$F807&lt;&gt;"-",_xlfn.XLOOKUP(IFERROR(IFERROR(IFERROR(VALUE(SUBSTITUTE(MID(_xlfn.TEXTAFTER('Banco de Dados'!$F807,"Data do Pedido:
",1),1,10),"-","/")),VALUE(SUBSTITUTE(MID(_xlfn.TEXTAFTER('Banco de Dados'!$F807,"Order date:
",1),1,10),"-","/"))),VALUE(SUBSTITUTE(MID(_xlfn.TEXTAFTER('Banco de Dados'!$F807,"Fecha de pedido:
",1),1,10),"-","/"))),"-"),SMS!A:A,SMS!K:K),0),0)</f>
        <v>0</v>
      </c>
      <c r="AO807" s="109">
        <f ca="1">IF('Banco de Dados'!$AK807&lt;&gt;"-",IF('Banco de Dados'!$F807&lt;&gt;"-",IFERROR(_xlfn.XLOOKUP(_xlfn.CONCAT('Banco de Dados'!$A807,IFERROR(IFERROR(VALUE(SUBSTITUTE(MID(_xlfn.TEXTAFTER('Banco de Dados'!$F807,"Data do Pedido:
",1),1,10),"-","/")),VALUE(SUBSTITUTE(MID(_xlfn.TEXTAFTER('Banco de Dados'!$F807,"Order date:
",1),1,10),"-","/"))),0)),ProxyDD[Chave],ProxyDD[Valor por pedido]),PROXY!$P$2),0),0)</f>
        <v>0</v>
      </c>
      <c r="AP807" s="28">
        <f ca="1">IF('Banco de Dados'!$AK807&lt;&gt;"-",IF('Banco de Dados'!$AL807="NÃO",IFERROR(VALUE(SUBSTITUTE(_xlfn.TEXTAFTER('Banco de Dados'!$F807,"BRL ",1),".",",")),0),0),0)</f>
        <v>0</v>
      </c>
      <c r="AQ807" s="28">
        <f ca="1">SUM('Banco de Dados'!$AM807:$AP807)</f>
        <v>0</v>
      </c>
      <c r="AR807" s="8"/>
      <c r="AS807" s="8"/>
      <c r="AT807"/>
      <c r="AY807" s="8"/>
    </row>
    <row r="808" spans="1:51">
      <c r="A808" s="5" t="str">
        <v>BV</v>
      </c>
      <c r="B808" s="5" t="str">
        <f ca="1"/>
        <v>BV45677</v>
      </c>
      <c r="C808" s="8" t="str">
        <v>Pedido 795</v>
      </c>
      <c r="D808" s="9">
        <v>45676</v>
      </c>
      <c r="E808" s="9">
        <v>45677</v>
      </c>
      <c r="F808" s="8" t="str">
        <v>PedidoF774</v>
      </c>
      <c r="G808" s="2" t="str">
        <v>CódRastreio772</v>
      </c>
      <c r="H808" s="5">
        <v>1</v>
      </c>
      <c r="I808" s="182" t="str">
        <v>CPF 772</v>
      </c>
      <c r="J808" s="2" t="str">
        <v>Nome 772</v>
      </c>
      <c r="K808" s="8" t="str">
        <v>Tel 772</v>
      </c>
      <c r="L808" s="8" t="str">
        <v>Cep 772</v>
      </c>
      <c r="M808" s="8" t="str">
        <v>Rua 772</v>
      </c>
      <c r="N808" s="8" t="str">
        <v>Comp 772</v>
      </c>
      <c r="O808" s="8" t="str">
        <v>Ventilador Preto</v>
      </c>
      <c r="P808" s="8" t="str">
        <v>MU-J80P-95WF</v>
      </c>
      <c r="Q808" s="4">
        <v>45695</v>
      </c>
      <c r="R808" s="109">
        <v>66.989999999999995</v>
      </c>
      <c r="S808" s="11">
        <f ca="1"/>
        <v>66.989999999999995</v>
      </c>
      <c r="T808" s="28">
        <f ca="1"/>
        <v>8.7087000000000003</v>
      </c>
      <c r="U808" s="11">
        <f ca="1"/>
        <v>58.28</v>
      </c>
      <c r="V808" s="11">
        <v>14.15</v>
      </c>
      <c r="W808" s="11">
        <f ca="1"/>
        <v>0.19</v>
      </c>
      <c r="X808" s="11">
        <f ca="1"/>
        <v>0.39877104377104378</v>
      </c>
      <c r="Y808" s="11">
        <v>0</v>
      </c>
      <c r="Z808" s="11">
        <f ca="1"/>
        <v>43.541228956228956</v>
      </c>
      <c r="AA808" s="11">
        <f ca="1"/>
        <v>21.770614478114478</v>
      </c>
      <c r="AB808" s="4">
        <f ca="1"/>
        <v>45702</v>
      </c>
      <c r="AC808" s="4">
        <v>45702</v>
      </c>
      <c r="AD808" s="9">
        <v>45702</v>
      </c>
      <c r="AE808" s="9">
        <v>45705</v>
      </c>
      <c r="AF808" s="4" t="str">
        <f t="shared" ca="1" si="33"/>
        <v>2025 02</v>
      </c>
      <c r="AG808" s="8" t="str" cm="1">
        <f t="array" ref="AG808">IFERROR(_xlfn.IFS('Banco de Dados'!#REF!="AG. COMPRA","Em processamento",'Banco de Dados'!#REF!="AG. RASTREIO","Em processamento",'Banco de Dados'!$AE808&lt;&gt;"-","Faturado",'Banco de Dados'!$AD808&lt;&gt;"-","Aguardando Pix",'Banco de Dados'!$AC808&lt;&gt;"-","Pendente"),"Aguardando Liberação")</f>
        <v>Aguardando Liberação</v>
      </c>
      <c r="AH808" s="5" t="str">
        <f>IF('Banco de Dados'!$F808="-",_xlfn.CONCAT(PROPER(TEXT(AK808,"aaaa"))," ",PROPER(TEXT(AK808,"mm"))),_xlfn.CONCAT(PROPER(TEXT(E808,"aaaa"))," ",PROPER(TEXT(E808,"mm"))))</f>
        <v>2025 01</v>
      </c>
      <c r="AI808" s="9" t="str">
        <f ca="1">IF('Banco de Dados'!$AK808&lt;&gt;"-","REEMBOLSO",IFERROR(_xlfn.XLOOKUP(G808,Follow[CODRASTREIO],Follow[STATUS]),"-"))</f>
        <v>ENTREGUE</v>
      </c>
      <c r="AJ808" s="9">
        <f ca="1">IF('Banco de Dados'!$AI808="ENTREGUE",_xlfn.XLOOKUP('Banco de Dados'!$G808,Follow[CODRASTREIO],Follow[DATAATUALIZAÇÃO]),"-")</f>
        <v>45692</v>
      </c>
      <c r="AK808" s="132" t="str">
        <f ca="1"/>
        <v>-</v>
      </c>
      <c r="AL808" s="35"/>
      <c r="AM808" s="109" cm="1">
        <f t="array" aca="1" ref="AM808" ca="1">IF('Banco de Dados'!$AK808&lt;&gt;"-",_xlfn.IFS('Banco de Dados'!$A808="bv",IF('Banco de Dados'!$E808&lt;45641,ROUND(SUM('Banco de Dados'!$R808*_xlfn.XLOOKUP('Banco de Dados'!$P808,Sku!B:B,Sku!#REF!)*20%),2),ROUND(SUM('Banco de Dados'!$R808*_xlfn.XLOOKUP('Banco de Dados'!$P808,Sku!B:B,Sku!H:H)*20%),2)),'Banco de Dados'!$A808="GO",ROUND(_xlfn.XLOOKUP('Banco de Dados'!$P808,Sku!C:C,Sku!H:H),2),'Banco de Dados'!$A808="MEI",ROUND(_xlfn.XLOOKUP('Banco de Dados'!$P808,Sku!D:D,Sku!H:H),2)),0)</f>
        <v>0</v>
      </c>
      <c r="AN808" s="109">
        <f ca="1">IF('Banco de Dados'!$AK808&lt;&gt;"-",IF('Banco de Dados'!$F808&lt;&gt;"-",_xlfn.XLOOKUP(IFERROR(IFERROR(IFERROR(VALUE(SUBSTITUTE(MID(_xlfn.TEXTAFTER('Banco de Dados'!$F808,"Data do Pedido:
",1),1,10),"-","/")),VALUE(SUBSTITUTE(MID(_xlfn.TEXTAFTER('Banco de Dados'!$F808,"Order date:
",1),1,10),"-","/"))),VALUE(SUBSTITUTE(MID(_xlfn.TEXTAFTER('Banco de Dados'!$F808,"Fecha de pedido:
",1),1,10),"-","/"))),"-"),SMS!A:A,SMS!K:K),0),0)</f>
        <v>0</v>
      </c>
      <c r="AO808" s="109">
        <f ca="1">IF('Banco de Dados'!$AK808&lt;&gt;"-",IF('Banco de Dados'!$F808&lt;&gt;"-",IFERROR(_xlfn.XLOOKUP(_xlfn.CONCAT('Banco de Dados'!$A808,IFERROR(IFERROR(VALUE(SUBSTITUTE(MID(_xlfn.TEXTAFTER('Banco de Dados'!$F808,"Data do Pedido:
",1),1,10),"-","/")),VALUE(SUBSTITUTE(MID(_xlfn.TEXTAFTER('Banco de Dados'!$F808,"Order date:
",1),1,10),"-","/"))),0)),ProxyDD[Chave],ProxyDD[Valor por pedido]),PROXY!$P$2),0),0)</f>
        <v>0</v>
      </c>
      <c r="AP808" s="28">
        <f ca="1">IF('Banco de Dados'!$AK808&lt;&gt;"-",IF('Banco de Dados'!$AL808="NÃO",IFERROR(VALUE(SUBSTITUTE(_xlfn.TEXTAFTER('Banco de Dados'!$F808,"BRL ",1),".",",")),0),0),0)</f>
        <v>0</v>
      </c>
      <c r="AQ808" s="28">
        <f ca="1">SUM('Banco de Dados'!$AM808:$AP808)</f>
        <v>0</v>
      </c>
      <c r="AR808" s="8"/>
      <c r="AS808" s="8"/>
      <c r="AT808"/>
      <c r="AY808" s="8"/>
    </row>
    <row r="809" spans="1:51">
      <c r="A809" s="5" t="str">
        <v>BV</v>
      </c>
      <c r="B809" s="5" t="str">
        <f ca="1"/>
        <v>BV45677</v>
      </c>
      <c r="C809" s="8" t="str">
        <v>Pedido 796</v>
      </c>
      <c r="D809" s="9">
        <v>45676</v>
      </c>
      <c r="E809" s="9">
        <v>45677</v>
      </c>
      <c r="F809" s="8" t="str">
        <v>PedidoF775</v>
      </c>
      <c r="G809" s="2" t="str">
        <v>CódRastreio773</v>
      </c>
      <c r="H809" s="5">
        <v>1</v>
      </c>
      <c r="I809" s="182" t="str">
        <v>CPF 773</v>
      </c>
      <c r="J809" s="2" t="str">
        <v>Nome 773</v>
      </c>
      <c r="K809" s="8" t="str">
        <v>Tel 773</v>
      </c>
      <c r="L809" s="8" t="str">
        <v>Cep 773</v>
      </c>
      <c r="M809" s="8" t="str">
        <v>Rua 773</v>
      </c>
      <c r="N809" s="8" t="str">
        <v>Comp 773</v>
      </c>
      <c r="O809" s="8" t="str">
        <v>Ventilador Preto</v>
      </c>
      <c r="P809" s="8" t="str">
        <v>MU-J80P-95WF</v>
      </c>
      <c r="Q809" s="4">
        <v>45695</v>
      </c>
      <c r="R809" s="109">
        <v>66.989999999999995</v>
      </c>
      <c r="S809" s="11">
        <f ca="1"/>
        <v>66.989999999999995</v>
      </c>
      <c r="T809" s="28">
        <f ca="1"/>
        <v>8.7087000000000003</v>
      </c>
      <c r="U809" s="11">
        <f ca="1"/>
        <v>58.28</v>
      </c>
      <c r="V809" s="11">
        <v>14.15</v>
      </c>
      <c r="W809" s="11">
        <f ca="1"/>
        <v>0.19</v>
      </c>
      <c r="X809" s="11">
        <f ca="1"/>
        <v>0.39877104377104378</v>
      </c>
      <c r="Y809" s="11">
        <v>0</v>
      </c>
      <c r="Z809" s="11">
        <f ca="1"/>
        <v>43.541228956228956</v>
      </c>
      <c r="AA809" s="11">
        <f ca="1"/>
        <v>21.770614478114478</v>
      </c>
      <c r="AB809" s="4">
        <f ca="1"/>
        <v>45702</v>
      </c>
      <c r="AC809" s="4">
        <v>45702</v>
      </c>
      <c r="AD809" s="9">
        <v>45702</v>
      </c>
      <c r="AE809" s="9">
        <v>45705</v>
      </c>
      <c r="AF809" s="4" t="str">
        <f t="shared" ca="1" si="33"/>
        <v>2025 02</v>
      </c>
      <c r="AG809" s="8" t="str" cm="1">
        <f t="array" ref="AG809">IFERROR(_xlfn.IFS('Banco de Dados'!#REF!="AG. COMPRA","Em processamento",'Banco de Dados'!#REF!="AG. RASTREIO","Em processamento",'Banco de Dados'!$AE809&lt;&gt;"-","Faturado",'Banco de Dados'!$AD809&lt;&gt;"-","Aguardando Pix",'Banco de Dados'!$AC809&lt;&gt;"-","Pendente"),"Aguardando Liberação")</f>
        <v>Aguardando Liberação</v>
      </c>
      <c r="AH809" s="5" t="str">
        <f>IF('Banco de Dados'!$F809="-",_xlfn.CONCAT(PROPER(TEXT(AK809,"aaaa"))," ",PROPER(TEXT(AK809,"mm"))),_xlfn.CONCAT(PROPER(TEXT(E809,"aaaa"))," ",PROPER(TEXT(E809,"mm"))))</f>
        <v>2025 01</v>
      </c>
      <c r="AI809" s="9" t="str">
        <f ca="1">IF('Banco de Dados'!$AK809&lt;&gt;"-","REEMBOLSO",IFERROR(_xlfn.XLOOKUP(G809,Follow[CODRASTREIO],Follow[STATUS]),"-"))</f>
        <v>ENTREGUE</v>
      </c>
      <c r="AJ809" s="9">
        <f ca="1">IF('Banco de Dados'!$AI809="ENTREGUE",_xlfn.XLOOKUP('Banco de Dados'!$G809,Follow[CODRASTREIO],Follow[DATAATUALIZAÇÃO]),"-")</f>
        <v>45689</v>
      </c>
      <c r="AK809" s="132" t="str">
        <f ca="1"/>
        <v>-</v>
      </c>
      <c r="AL809" s="35"/>
      <c r="AM809" s="109" cm="1">
        <f t="array" aca="1" ref="AM809" ca="1">IF('Banco de Dados'!$AK809&lt;&gt;"-",_xlfn.IFS('Banco de Dados'!$A809="bv",IF('Banco de Dados'!$E809&lt;45641,ROUND(SUM('Banco de Dados'!$R809*_xlfn.XLOOKUP('Banco de Dados'!$P809,Sku!B:B,Sku!#REF!)*20%),2),ROUND(SUM('Banco de Dados'!$R809*_xlfn.XLOOKUP('Banco de Dados'!$P809,Sku!B:B,Sku!H:H)*20%),2)),'Banco de Dados'!$A809="GO",ROUND(_xlfn.XLOOKUP('Banco de Dados'!$P809,Sku!C:C,Sku!H:H),2),'Banco de Dados'!$A809="MEI",ROUND(_xlfn.XLOOKUP('Banco de Dados'!$P809,Sku!D:D,Sku!H:H),2)),0)</f>
        <v>0</v>
      </c>
      <c r="AN809" s="109">
        <f ca="1">IF('Banco de Dados'!$AK809&lt;&gt;"-",IF('Banco de Dados'!$F809&lt;&gt;"-",_xlfn.XLOOKUP(IFERROR(IFERROR(IFERROR(VALUE(SUBSTITUTE(MID(_xlfn.TEXTAFTER('Banco de Dados'!$F809,"Data do Pedido:
",1),1,10),"-","/")),VALUE(SUBSTITUTE(MID(_xlfn.TEXTAFTER('Banco de Dados'!$F809,"Order date:
",1),1,10),"-","/"))),VALUE(SUBSTITUTE(MID(_xlfn.TEXTAFTER('Banco de Dados'!$F809,"Fecha de pedido:
",1),1,10),"-","/"))),"-"),SMS!A:A,SMS!K:K),0),0)</f>
        <v>0</v>
      </c>
      <c r="AO809" s="109">
        <f ca="1">IF('Banco de Dados'!$AK809&lt;&gt;"-",IF('Banco de Dados'!$F809&lt;&gt;"-",IFERROR(_xlfn.XLOOKUP(_xlfn.CONCAT('Banco de Dados'!$A809,IFERROR(IFERROR(VALUE(SUBSTITUTE(MID(_xlfn.TEXTAFTER('Banco de Dados'!$F809,"Data do Pedido:
",1),1,10),"-","/")),VALUE(SUBSTITUTE(MID(_xlfn.TEXTAFTER('Banco de Dados'!$F809,"Order date:
",1),1,10),"-","/"))),0)),ProxyDD[Chave],ProxyDD[Valor por pedido]),PROXY!$P$2),0),0)</f>
        <v>0</v>
      </c>
      <c r="AP809" s="28">
        <f ca="1">IF('Banco de Dados'!$AK809&lt;&gt;"-",IF('Banco de Dados'!$AL809="NÃO",IFERROR(VALUE(SUBSTITUTE(_xlfn.TEXTAFTER('Banco de Dados'!$F809,"BRL ",1),".",",")),0),0),0)</f>
        <v>0</v>
      </c>
      <c r="AQ809" s="28">
        <f ca="1">SUM('Banco de Dados'!$AM809:$AP809)</f>
        <v>0</v>
      </c>
      <c r="AR809" s="8"/>
      <c r="AS809" s="8"/>
      <c r="AT809"/>
      <c r="AY809" s="8"/>
    </row>
    <row r="810" spans="1:51">
      <c r="A810" s="5" t="str">
        <v>BV</v>
      </c>
      <c r="B810" s="5" t="str">
        <f ca="1"/>
        <v>BV45677</v>
      </c>
      <c r="C810" s="8" t="str">
        <v>Pedido 797</v>
      </c>
      <c r="D810" s="9">
        <v>45676</v>
      </c>
      <c r="E810" s="9">
        <v>45677</v>
      </c>
      <c r="F810" s="8" t="str">
        <v>PedidoF776</v>
      </c>
      <c r="G810" s="2" t="str">
        <v>CódRastreio774</v>
      </c>
      <c r="H810" s="5">
        <v>1</v>
      </c>
      <c r="I810" s="182" t="str">
        <v>CPF 774</v>
      </c>
      <c r="J810" s="2" t="str">
        <v>Nome 774</v>
      </c>
      <c r="K810" s="8" t="str">
        <v>Tel 774</v>
      </c>
      <c r="L810" s="8" t="str">
        <v>Cep 774</v>
      </c>
      <c r="M810" s="8" t="str">
        <v>Rua 774</v>
      </c>
      <c r="N810" s="8" t="str">
        <v>Comp 774</v>
      </c>
      <c r="O810" s="8" t="str">
        <v>Ventilador Preto</v>
      </c>
      <c r="P810" s="8" t="str">
        <v>MU-J80P-95WF</v>
      </c>
      <c r="Q810" s="4">
        <v>45695</v>
      </c>
      <c r="R810" s="109">
        <v>66.989999999999995</v>
      </c>
      <c r="S810" s="11">
        <f ca="1"/>
        <v>66.989999999999995</v>
      </c>
      <c r="T810" s="28">
        <f ca="1"/>
        <v>8.7087000000000003</v>
      </c>
      <c r="U810" s="11">
        <f ca="1"/>
        <v>58.28</v>
      </c>
      <c r="V810" s="11">
        <v>14.15</v>
      </c>
      <c r="W810" s="11">
        <f ca="1"/>
        <v>0.19</v>
      </c>
      <c r="X810" s="11">
        <f ca="1"/>
        <v>0.39877104377104378</v>
      </c>
      <c r="Y810" s="11">
        <v>0</v>
      </c>
      <c r="Z810" s="11">
        <f ca="1"/>
        <v>43.541228956228956</v>
      </c>
      <c r="AA810" s="11">
        <f ca="1"/>
        <v>21.770614478114478</v>
      </c>
      <c r="AB810" s="4">
        <f ca="1"/>
        <v>45702</v>
      </c>
      <c r="AC810" s="4">
        <v>45702</v>
      </c>
      <c r="AD810" s="9">
        <v>45702</v>
      </c>
      <c r="AE810" s="9">
        <v>45705</v>
      </c>
      <c r="AF810" s="4" t="str">
        <f t="shared" ca="1" si="33"/>
        <v>2025 02</v>
      </c>
      <c r="AG810" s="8" t="str" cm="1">
        <f t="array" ref="AG810">IFERROR(_xlfn.IFS('Banco de Dados'!#REF!="AG. COMPRA","Em processamento",'Banco de Dados'!#REF!="AG. RASTREIO","Em processamento",'Banco de Dados'!$AE810&lt;&gt;"-","Faturado",'Banco de Dados'!$AD810&lt;&gt;"-","Aguardando Pix",'Banco de Dados'!$AC810&lt;&gt;"-","Pendente"),"Aguardando Liberação")</f>
        <v>Aguardando Liberação</v>
      </c>
      <c r="AH810" s="5" t="str">
        <f>IF('Banco de Dados'!$F810="-",_xlfn.CONCAT(PROPER(TEXT(AK810,"aaaa"))," ",PROPER(TEXT(AK810,"mm"))),_xlfn.CONCAT(PROPER(TEXT(E810,"aaaa"))," ",PROPER(TEXT(E810,"mm"))))</f>
        <v>2025 01</v>
      </c>
      <c r="AI810" s="9" t="str">
        <f ca="1">IF('Banco de Dados'!$AK810&lt;&gt;"-","REEMBOLSO",IFERROR(_xlfn.XLOOKUP(G810,Follow[CODRASTREIO],Follow[STATUS]),"-"))</f>
        <v>ENTREGUE</v>
      </c>
      <c r="AJ810" s="9">
        <f ca="1">IF('Banco de Dados'!$AI810="ENTREGUE",_xlfn.XLOOKUP('Banco de Dados'!$G810,Follow[CODRASTREIO],Follow[DATAATUALIZAÇÃO]),"-")</f>
        <v>45706</v>
      </c>
      <c r="AK810" s="132" t="str">
        <f ca="1"/>
        <v>-</v>
      </c>
      <c r="AL810" s="35"/>
      <c r="AM810" s="109" cm="1">
        <f t="array" aca="1" ref="AM810" ca="1">IF('Banco de Dados'!$AK810&lt;&gt;"-",_xlfn.IFS('Banco de Dados'!$A810="bv",IF('Banco de Dados'!$E810&lt;45641,ROUND(SUM('Banco de Dados'!$R810*_xlfn.XLOOKUP('Banco de Dados'!$P810,Sku!B:B,Sku!#REF!)*20%),2),ROUND(SUM('Banco de Dados'!$R810*_xlfn.XLOOKUP('Banco de Dados'!$P810,Sku!B:B,Sku!H:H)*20%),2)),'Banco de Dados'!$A810="GO",ROUND(_xlfn.XLOOKUP('Banco de Dados'!$P810,Sku!C:C,Sku!H:H),2),'Banco de Dados'!$A810="MEI",ROUND(_xlfn.XLOOKUP('Banco de Dados'!$P810,Sku!D:D,Sku!H:H),2)),0)</f>
        <v>0</v>
      </c>
      <c r="AN810" s="109">
        <f ca="1">IF('Banco de Dados'!$AK810&lt;&gt;"-",IF('Banco de Dados'!$F810&lt;&gt;"-",_xlfn.XLOOKUP(IFERROR(IFERROR(IFERROR(VALUE(SUBSTITUTE(MID(_xlfn.TEXTAFTER('Banco de Dados'!$F810,"Data do Pedido:
",1),1,10),"-","/")),VALUE(SUBSTITUTE(MID(_xlfn.TEXTAFTER('Banco de Dados'!$F810,"Order date:
",1),1,10),"-","/"))),VALUE(SUBSTITUTE(MID(_xlfn.TEXTAFTER('Banco de Dados'!$F810,"Fecha de pedido:
",1),1,10),"-","/"))),"-"),SMS!A:A,SMS!K:K),0),0)</f>
        <v>0</v>
      </c>
      <c r="AO810" s="109">
        <f ca="1">IF('Banco de Dados'!$AK810&lt;&gt;"-",IF('Banco de Dados'!$F810&lt;&gt;"-",IFERROR(_xlfn.XLOOKUP(_xlfn.CONCAT('Banco de Dados'!$A810,IFERROR(IFERROR(VALUE(SUBSTITUTE(MID(_xlfn.TEXTAFTER('Banco de Dados'!$F810,"Data do Pedido:
",1),1,10),"-","/")),VALUE(SUBSTITUTE(MID(_xlfn.TEXTAFTER('Banco de Dados'!$F810,"Order date:
",1),1,10),"-","/"))),0)),ProxyDD[Chave],ProxyDD[Valor por pedido]),PROXY!$P$2),0),0)</f>
        <v>0</v>
      </c>
      <c r="AP810" s="28">
        <f ca="1">IF('Banco de Dados'!$AK810&lt;&gt;"-",IF('Banco de Dados'!$AL810="NÃO",IFERROR(VALUE(SUBSTITUTE(_xlfn.TEXTAFTER('Banco de Dados'!$F810,"BRL ",1),".",",")),0),0),0)</f>
        <v>0</v>
      </c>
      <c r="AQ810" s="28">
        <f ca="1">SUM('Banco de Dados'!$AM810:$AP810)</f>
        <v>0</v>
      </c>
      <c r="AR810" s="8"/>
      <c r="AS810" s="8"/>
      <c r="AT810"/>
      <c r="AY810" s="8"/>
    </row>
    <row r="811" spans="1:51">
      <c r="A811" s="5" t="str">
        <v>BV</v>
      </c>
      <c r="B811" s="5" t="str">
        <f ca="1"/>
        <v>BV45677</v>
      </c>
      <c r="C811" s="8" t="str">
        <v>Pedido 798</v>
      </c>
      <c r="D811" s="9">
        <v>45676</v>
      </c>
      <c r="E811" s="9">
        <v>45677</v>
      </c>
      <c r="F811" s="8" t="str">
        <v>PedidoF777</v>
      </c>
      <c r="G811" s="2" t="str">
        <v>CódRastreio775</v>
      </c>
      <c r="H811" s="5">
        <v>1</v>
      </c>
      <c r="I811" s="182" t="str">
        <v>CPF 775</v>
      </c>
      <c r="J811" s="2" t="str">
        <v>Nome 775</v>
      </c>
      <c r="K811" s="8" t="str">
        <v>Tel 775</v>
      </c>
      <c r="L811" s="8" t="str">
        <v>Cep 775</v>
      </c>
      <c r="M811" s="8" t="str">
        <v>Rua 775</v>
      </c>
      <c r="N811" s="8" t="str">
        <v>Comp 775</v>
      </c>
      <c r="O811" s="8" t="str">
        <v>Garrafa Termica</v>
      </c>
      <c r="P811" s="8" t="str">
        <v>FM-QQ8Y-RZT4</v>
      </c>
      <c r="Q811" s="4">
        <v>45693</v>
      </c>
      <c r="R811" s="109">
        <v>34.9</v>
      </c>
      <c r="S811" s="11">
        <f ca="1"/>
        <v>34.9</v>
      </c>
      <c r="T811" s="28">
        <f ca="1"/>
        <v>4.5369999999999999</v>
      </c>
      <c r="U811" s="11">
        <f ca="1"/>
        <v>30.36</v>
      </c>
      <c r="V811" s="11">
        <v>14.8</v>
      </c>
      <c r="W811" s="11">
        <f ca="1"/>
        <v>0.19</v>
      </c>
      <c r="X811" s="11">
        <f ca="1"/>
        <v>0.39877104377104378</v>
      </c>
      <c r="Y811" s="11">
        <v>0</v>
      </c>
      <c r="Z811" s="11">
        <f ca="1"/>
        <v>14.971228956228956</v>
      </c>
      <c r="AA811" s="11">
        <f ca="1"/>
        <v>7.4856144781144778</v>
      </c>
      <c r="AB811" s="4">
        <f ca="1"/>
        <v>45700</v>
      </c>
      <c r="AC811" s="4">
        <v>45700</v>
      </c>
      <c r="AD811" s="9">
        <v>45702</v>
      </c>
      <c r="AE811" s="9">
        <v>45705</v>
      </c>
      <c r="AF811" s="4" t="str">
        <f t="shared" ca="1" si="33"/>
        <v>2025 02</v>
      </c>
      <c r="AG811" s="8" t="str" cm="1">
        <f t="array" ref="AG811">IFERROR(_xlfn.IFS('Banco de Dados'!#REF!="AG. COMPRA","Em processamento",'Banco de Dados'!#REF!="AG. RASTREIO","Em processamento",'Banco de Dados'!$AE811&lt;&gt;"-","Faturado",'Banco de Dados'!$AD811&lt;&gt;"-","Aguardando Pix",'Banco de Dados'!$AC811&lt;&gt;"-","Pendente"),"Aguardando Liberação")</f>
        <v>Aguardando Liberação</v>
      </c>
      <c r="AH811" s="5" t="str">
        <f>IF('Banco de Dados'!$F811="-",_xlfn.CONCAT(PROPER(TEXT(AK811,"aaaa"))," ",PROPER(TEXT(AK811,"mm"))),_xlfn.CONCAT(PROPER(TEXT(E811,"aaaa"))," ",PROPER(TEXT(E811,"mm"))))</f>
        <v>2025 01</v>
      </c>
      <c r="AI811" s="9" t="str">
        <f ca="1">IF('Banco de Dados'!$AK811&lt;&gt;"-","REEMBOLSO",IFERROR(_xlfn.XLOOKUP(G811,Follow[CODRASTREIO],Follow[STATUS]),"-"))</f>
        <v>ENTREGUE</v>
      </c>
      <c r="AJ811" s="9">
        <f ca="1">IF('Banco de Dados'!$AI811="ENTREGUE",_xlfn.XLOOKUP('Banco de Dados'!$G811,Follow[CODRASTREIO],Follow[DATAATUALIZAÇÃO]),"-")</f>
        <v>45684</v>
      </c>
      <c r="AK811" s="132" t="str">
        <f ca="1"/>
        <v>-</v>
      </c>
      <c r="AL811" s="35"/>
      <c r="AM811" s="109" cm="1">
        <f t="array" aca="1" ref="AM811" ca="1">IF('Banco de Dados'!$AK811&lt;&gt;"-",_xlfn.IFS('Banco de Dados'!$A811="bv",IF('Banco de Dados'!$E811&lt;45641,ROUND(SUM('Banco de Dados'!$R811*_xlfn.XLOOKUP('Banco de Dados'!$P811,Sku!B:B,Sku!#REF!)*20%),2),ROUND(SUM('Banco de Dados'!$R811*_xlfn.XLOOKUP('Banco de Dados'!$P811,Sku!B:B,Sku!H:H)*20%),2)),'Banco de Dados'!$A811="GO",ROUND(_xlfn.XLOOKUP('Banco de Dados'!$P811,Sku!C:C,Sku!H:H),2),'Banco de Dados'!$A811="MEI",ROUND(_xlfn.XLOOKUP('Banco de Dados'!$P811,Sku!D:D,Sku!H:H),2)),0)</f>
        <v>0</v>
      </c>
      <c r="AN811" s="109">
        <f ca="1">IF('Banco de Dados'!$AK811&lt;&gt;"-",IF('Banco de Dados'!$F811&lt;&gt;"-",_xlfn.XLOOKUP(IFERROR(IFERROR(IFERROR(VALUE(SUBSTITUTE(MID(_xlfn.TEXTAFTER('Banco de Dados'!$F811,"Data do Pedido:
",1),1,10),"-","/")),VALUE(SUBSTITUTE(MID(_xlfn.TEXTAFTER('Banco de Dados'!$F811,"Order date:
",1),1,10),"-","/"))),VALUE(SUBSTITUTE(MID(_xlfn.TEXTAFTER('Banco de Dados'!$F811,"Fecha de pedido:
",1),1,10),"-","/"))),"-"),SMS!A:A,SMS!K:K),0),0)</f>
        <v>0</v>
      </c>
      <c r="AO811" s="109">
        <f ca="1">IF('Banco de Dados'!$AK811&lt;&gt;"-",IF('Banco de Dados'!$F811&lt;&gt;"-",IFERROR(_xlfn.XLOOKUP(_xlfn.CONCAT('Banco de Dados'!$A811,IFERROR(IFERROR(VALUE(SUBSTITUTE(MID(_xlfn.TEXTAFTER('Banco de Dados'!$F811,"Data do Pedido:
",1),1,10),"-","/")),VALUE(SUBSTITUTE(MID(_xlfn.TEXTAFTER('Banco de Dados'!$F811,"Order date:
",1),1,10),"-","/"))),0)),ProxyDD[Chave],ProxyDD[Valor por pedido]),PROXY!$P$2),0),0)</f>
        <v>0</v>
      </c>
      <c r="AP811" s="28">
        <f ca="1">IF('Banco de Dados'!$AK811&lt;&gt;"-",IF('Banco de Dados'!$AL811="NÃO",IFERROR(VALUE(SUBSTITUTE(_xlfn.TEXTAFTER('Banco de Dados'!$F811,"BRL ",1),".",",")),0),0),0)</f>
        <v>0</v>
      </c>
      <c r="AQ811" s="28">
        <f ca="1">SUM('Banco de Dados'!$AM811:$AP811)</f>
        <v>0</v>
      </c>
      <c r="AR811" s="8"/>
      <c r="AS811" s="8"/>
      <c r="AT811"/>
      <c r="AY811" s="8"/>
    </row>
    <row r="812" spans="1:51">
      <c r="A812" s="5" t="str">
        <v>BV</v>
      </c>
      <c r="B812" s="5" t="str">
        <f ca="1"/>
        <v>BV45677</v>
      </c>
      <c r="C812" s="8" t="str">
        <v>Pedido 799</v>
      </c>
      <c r="D812" s="9">
        <v>45676</v>
      </c>
      <c r="E812" s="9">
        <v>45677</v>
      </c>
      <c r="F812" s="8" t="str">
        <v>PedidoF778</v>
      </c>
      <c r="G812" s="2" t="str">
        <v>CódRastreio776</v>
      </c>
      <c r="H812" s="5">
        <v>1</v>
      </c>
      <c r="I812" s="182" t="str">
        <v>CPF 776</v>
      </c>
      <c r="J812" s="2" t="str">
        <v>Nome 776</v>
      </c>
      <c r="K812" s="8" t="str">
        <v>Tel 776</v>
      </c>
      <c r="L812" s="8" t="str">
        <v>Cep 776</v>
      </c>
      <c r="M812" s="8" t="str">
        <v>Rua 776</v>
      </c>
      <c r="N812" s="8" t="str">
        <v>Comp 776</v>
      </c>
      <c r="O812" s="8" t="str">
        <v>Ventilador Preto</v>
      </c>
      <c r="P812" s="8" t="str">
        <v>MU-J80P-95WF</v>
      </c>
      <c r="Q812" s="4">
        <v>45695</v>
      </c>
      <c r="R812" s="109">
        <v>66.989999999999995</v>
      </c>
      <c r="S812" s="11">
        <f ca="1"/>
        <v>66.989999999999995</v>
      </c>
      <c r="T812" s="28">
        <f ca="1"/>
        <v>8.7087000000000003</v>
      </c>
      <c r="U812" s="11">
        <f ca="1"/>
        <v>58.28</v>
      </c>
      <c r="V812" s="11">
        <v>14.15</v>
      </c>
      <c r="W812" s="11">
        <f ca="1"/>
        <v>0.19</v>
      </c>
      <c r="X812" s="11">
        <f ca="1"/>
        <v>0.39877104377104378</v>
      </c>
      <c r="Y812" s="11">
        <v>0</v>
      </c>
      <c r="Z812" s="11">
        <f ca="1"/>
        <v>43.541228956228956</v>
      </c>
      <c r="AA812" s="11">
        <f ca="1"/>
        <v>21.770614478114478</v>
      </c>
      <c r="AB812" s="4">
        <f ca="1"/>
        <v>45702</v>
      </c>
      <c r="AC812" s="4">
        <v>45702</v>
      </c>
      <c r="AD812" s="9">
        <v>45702</v>
      </c>
      <c r="AE812" s="9">
        <v>45705</v>
      </c>
      <c r="AF812" s="4" t="str">
        <f t="shared" ca="1" si="33"/>
        <v>2025 02</v>
      </c>
      <c r="AG812" s="8" t="str" cm="1">
        <f t="array" ref="AG812">IFERROR(_xlfn.IFS('Banco de Dados'!#REF!="AG. COMPRA","Em processamento",'Banco de Dados'!#REF!="AG. RASTREIO","Em processamento",'Banco de Dados'!$AE812&lt;&gt;"-","Faturado",'Banco de Dados'!$AD812&lt;&gt;"-","Aguardando Pix",'Banco de Dados'!$AC812&lt;&gt;"-","Pendente"),"Aguardando Liberação")</f>
        <v>Aguardando Liberação</v>
      </c>
      <c r="AH812" s="5" t="str">
        <f>IF('Banco de Dados'!$F812="-",_xlfn.CONCAT(PROPER(TEXT(AK812,"aaaa"))," ",PROPER(TEXT(AK812,"mm"))),_xlfn.CONCAT(PROPER(TEXT(E812,"aaaa"))," ",PROPER(TEXT(E812,"mm"))))</f>
        <v>2025 01</v>
      </c>
      <c r="AI812" s="9" t="str">
        <f ca="1">IF('Banco de Dados'!$AK812&lt;&gt;"-","REEMBOLSO",IFERROR(_xlfn.XLOOKUP(G812,Follow[CODRASTREIO],Follow[STATUS]),"-"))</f>
        <v>ENTREGUE</v>
      </c>
      <c r="AJ812" s="9">
        <f ca="1">IF('Banco de Dados'!$AI812="ENTREGUE",_xlfn.XLOOKUP('Banco de Dados'!$G812,Follow[CODRASTREIO],Follow[DATAATUALIZAÇÃO]),"-")</f>
        <v>45694</v>
      </c>
      <c r="AK812" s="132" t="str">
        <f ca="1"/>
        <v>-</v>
      </c>
      <c r="AL812" s="35"/>
      <c r="AM812" s="109" cm="1">
        <f t="array" aca="1" ref="AM812" ca="1">IF('Banco de Dados'!$AK812&lt;&gt;"-",_xlfn.IFS('Banco de Dados'!$A812="bv",IF('Banco de Dados'!$E812&lt;45641,ROUND(SUM('Banco de Dados'!$R812*_xlfn.XLOOKUP('Banco de Dados'!$P812,Sku!B:B,Sku!#REF!)*20%),2),ROUND(SUM('Banco de Dados'!$R812*_xlfn.XLOOKUP('Banco de Dados'!$P812,Sku!B:B,Sku!H:H)*20%),2)),'Banco de Dados'!$A812="GO",ROUND(_xlfn.XLOOKUP('Banco de Dados'!$P812,Sku!C:C,Sku!H:H),2),'Banco de Dados'!$A812="MEI",ROUND(_xlfn.XLOOKUP('Banco de Dados'!$P812,Sku!D:D,Sku!H:H),2)),0)</f>
        <v>0</v>
      </c>
      <c r="AN812" s="109">
        <f ca="1">IF('Banco de Dados'!$AK812&lt;&gt;"-",IF('Banco de Dados'!$F812&lt;&gt;"-",_xlfn.XLOOKUP(IFERROR(IFERROR(IFERROR(VALUE(SUBSTITUTE(MID(_xlfn.TEXTAFTER('Banco de Dados'!$F812,"Data do Pedido:
",1),1,10),"-","/")),VALUE(SUBSTITUTE(MID(_xlfn.TEXTAFTER('Banco de Dados'!$F812,"Order date:
",1),1,10),"-","/"))),VALUE(SUBSTITUTE(MID(_xlfn.TEXTAFTER('Banco de Dados'!$F812,"Fecha de pedido:
",1),1,10),"-","/"))),"-"),SMS!A:A,SMS!K:K),0),0)</f>
        <v>0</v>
      </c>
      <c r="AO812" s="109">
        <f ca="1">IF('Banco de Dados'!$AK812&lt;&gt;"-",IF('Banco de Dados'!$F812&lt;&gt;"-",IFERROR(_xlfn.XLOOKUP(_xlfn.CONCAT('Banco de Dados'!$A812,IFERROR(IFERROR(VALUE(SUBSTITUTE(MID(_xlfn.TEXTAFTER('Banco de Dados'!$F812,"Data do Pedido:
",1),1,10),"-","/")),VALUE(SUBSTITUTE(MID(_xlfn.TEXTAFTER('Banco de Dados'!$F812,"Order date:
",1),1,10),"-","/"))),0)),ProxyDD[Chave],ProxyDD[Valor por pedido]),PROXY!$P$2),0),0)</f>
        <v>0</v>
      </c>
      <c r="AP812" s="28">
        <f ca="1">IF('Banco de Dados'!$AK812&lt;&gt;"-",IF('Banco de Dados'!$AL812="NÃO",IFERROR(VALUE(SUBSTITUTE(_xlfn.TEXTAFTER('Banco de Dados'!$F812,"BRL ",1),".",",")),0),0),0)</f>
        <v>0</v>
      </c>
      <c r="AQ812" s="28">
        <f ca="1">SUM('Banco de Dados'!$AM812:$AP812)</f>
        <v>0</v>
      </c>
      <c r="AR812" s="8"/>
      <c r="AS812" s="8"/>
      <c r="AT812"/>
      <c r="AY812" s="8"/>
    </row>
    <row r="813" spans="1:51">
      <c r="A813" s="5" t="str">
        <v>BV</v>
      </c>
      <c r="B813" s="5" t="str">
        <f ca="1"/>
        <v>BV45677</v>
      </c>
      <c r="C813" s="8" t="str">
        <v>Pedido 800</v>
      </c>
      <c r="D813" s="9">
        <v>45676</v>
      </c>
      <c r="E813" s="9">
        <v>45677</v>
      </c>
      <c r="F813" s="8" t="str">
        <v>PedidoF779</v>
      </c>
      <c r="G813" s="2" t="str">
        <v>CódRastreio777</v>
      </c>
      <c r="H813" s="5">
        <v>1</v>
      </c>
      <c r="I813" s="182" t="str">
        <v>CPF 777</v>
      </c>
      <c r="J813" s="2" t="str">
        <v>Nome 777</v>
      </c>
      <c r="K813" s="8" t="str">
        <v>Tel 777</v>
      </c>
      <c r="L813" s="8" t="str">
        <v>Cep 777</v>
      </c>
      <c r="M813" s="8" t="str">
        <v>Rua 777</v>
      </c>
      <c r="N813" s="8" t="str">
        <v>Comp 777</v>
      </c>
      <c r="O813" s="8" t="str">
        <v>Ventilador Preto</v>
      </c>
      <c r="P813" s="8" t="str">
        <v>MU-J80P-95WF</v>
      </c>
      <c r="Q813" s="4">
        <v>45708</v>
      </c>
      <c r="R813" s="109">
        <v>66.989999999999995</v>
      </c>
      <c r="S813" s="11">
        <f ca="1"/>
        <v>66.989999999999995</v>
      </c>
      <c r="T813" s="28">
        <f ca="1"/>
        <v>8.7087000000000003</v>
      </c>
      <c r="U813" s="11">
        <f ca="1"/>
        <v>58.28</v>
      </c>
      <c r="V813" s="11">
        <v>14.15</v>
      </c>
      <c r="W813" s="11">
        <f ca="1"/>
        <v>0.19</v>
      </c>
      <c r="X813" s="11">
        <f ca="1"/>
        <v>0.39877104377104378</v>
      </c>
      <c r="Y813" s="11">
        <v>0</v>
      </c>
      <c r="Z813" s="11">
        <f ca="1"/>
        <v>43.541228956228956</v>
      </c>
      <c r="AA813" s="11">
        <f ca="1"/>
        <v>21.770614478114478</v>
      </c>
      <c r="AB813" s="4">
        <f ca="1"/>
        <v>45715</v>
      </c>
      <c r="AC813" s="4">
        <v>45715</v>
      </c>
      <c r="AD813" s="9">
        <v>45721</v>
      </c>
      <c r="AE813" s="9">
        <v>45721</v>
      </c>
      <c r="AF813" s="4" t="str">
        <f t="shared" ca="1" si="33"/>
        <v>2025 02</v>
      </c>
      <c r="AG813" s="8" t="str" cm="1">
        <f t="array" ref="AG813">IFERROR(_xlfn.IFS('Banco de Dados'!#REF!="AG. COMPRA","Em processamento",'Banco de Dados'!#REF!="AG. RASTREIO","Em processamento",'Banco de Dados'!$AE813&lt;&gt;"-","Faturado",'Banco de Dados'!$AD813&lt;&gt;"-","Aguardando Pix",'Banco de Dados'!$AC813&lt;&gt;"-","Pendente"),"Aguardando Liberação")</f>
        <v>Aguardando Liberação</v>
      </c>
      <c r="AH813" s="5" t="str">
        <f>IF('Banco de Dados'!$F813="-",_xlfn.CONCAT(PROPER(TEXT(AK813,"aaaa"))," ",PROPER(TEXT(AK813,"mm"))),_xlfn.CONCAT(PROPER(TEXT(E813,"aaaa"))," ",PROPER(TEXT(E813,"mm"))))</f>
        <v>2025 01</v>
      </c>
      <c r="AI813" s="9" t="str">
        <f ca="1">IF('Banco de Dados'!$AK813&lt;&gt;"-","REEMBOLSO",IFERROR(_xlfn.XLOOKUP(G813,Follow[CODRASTREIO],Follow[STATUS]),"-"))</f>
        <v>ENTREGUE</v>
      </c>
      <c r="AJ813" s="9">
        <f ca="1">IF('Banco de Dados'!$AI813="ENTREGUE",_xlfn.XLOOKUP('Banco de Dados'!$G813,Follow[CODRASTREIO],Follow[DATAATUALIZAÇÃO]),"-")</f>
        <v>45696</v>
      </c>
      <c r="AK813" s="132" t="str">
        <f ca="1"/>
        <v>-</v>
      </c>
      <c r="AL813" s="35"/>
      <c r="AM813" s="109" cm="1">
        <f t="array" aca="1" ref="AM813" ca="1">IF('Banco de Dados'!$AK813&lt;&gt;"-",_xlfn.IFS('Banco de Dados'!$A813="bv",IF('Banco de Dados'!$E813&lt;45641,ROUND(SUM('Banco de Dados'!$R813*_xlfn.XLOOKUP('Banco de Dados'!$P813,Sku!B:B,Sku!#REF!)*20%),2),ROUND(SUM('Banco de Dados'!$R813*_xlfn.XLOOKUP('Banco de Dados'!$P813,Sku!B:B,Sku!H:H)*20%),2)),'Banco de Dados'!$A813="GO",ROUND(_xlfn.XLOOKUP('Banco de Dados'!$P813,Sku!C:C,Sku!H:H),2),'Banco de Dados'!$A813="MEI",ROUND(_xlfn.XLOOKUP('Banco de Dados'!$P813,Sku!D:D,Sku!H:H),2)),0)</f>
        <v>0</v>
      </c>
      <c r="AN813" s="109">
        <f ca="1">IF('Banco de Dados'!$AK813&lt;&gt;"-",IF('Banco de Dados'!$F813&lt;&gt;"-",_xlfn.XLOOKUP(IFERROR(IFERROR(IFERROR(VALUE(SUBSTITUTE(MID(_xlfn.TEXTAFTER('Banco de Dados'!$F813,"Data do Pedido:
",1),1,10),"-","/")),VALUE(SUBSTITUTE(MID(_xlfn.TEXTAFTER('Banco de Dados'!$F813,"Order date:
",1),1,10),"-","/"))),VALUE(SUBSTITUTE(MID(_xlfn.TEXTAFTER('Banco de Dados'!$F813,"Fecha de pedido:
",1),1,10),"-","/"))),"-"),SMS!A:A,SMS!K:K),0),0)</f>
        <v>0</v>
      </c>
      <c r="AO813" s="109">
        <f ca="1">IF('Banco de Dados'!$AK813&lt;&gt;"-",IF('Banco de Dados'!$F813&lt;&gt;"-",IFERROR(_xlfn.XLOOKUP(_xlfn.CONCAT('Banco de Dados'!$A813,IFERROR(IFERROR(VALUE(SUBSTITUTE(MID(_xlfn.TEXTAFTER('Banco de Dados'!$F813,"Data do Pedido:
",1),1,10),"-","/")),VALUE(SUBSTITUTE(MID(_xlfn.TEXTAFTER('Banco de Dados'!$F813,"Order date:
",1),1,10),"-","/"))),0)),ProxyDD[Chave],ProxyDD[Valor por pedido]),PROXY!$P$2),0),0)</f>
        <v>0</v>
      </c>
      <c r="AP813" s="28">
        <f ca="1">IF('Banco de Dados'!$AK813&lt;&gt;"-",IF('Banco de Dados'!$AL813="NÃO",IFERROR(VALUE(SUBSTITUTE(_xlfn.TEXTAFTER('Banco de Dados'!$F813,"BRL ",1),".",",")),0),0),0)</f>
        <v>0</v>
      </c>
      <c r="AQ813" s="28">
        <f ca="1">SUM('Banco de Dados'!$AM813:$AP813)</f>
        <v>0</v>
      </c>
      <c r="AR813" s="8"/>
      <c r="AS813" s="8"/>
      <c r="AT813"/>
      <c r="AY813" s="8"/>
    </row>
    <row r="814" spans="1:51">
      <c r="A814" s="5" t="str">
        <v>BV</v>
      </c>
      <c r="B814" s="5" t="str">
        <f ca="1"/>
        <v>BV45677</v>
      </c>
      <c r="C814" s="8" t="str">
        <v>Pedido 801</v>
      </c>
      <c r="D814" s="9">
        <v>45677</v>
      </c>
      <c r="E814" s="9">
        <v>45677</v>
      </c>
      <c r="F814" s="8" t="str">
        <v>PedidoF780</v>
      </c>
      <c r="G814" s="2" t="str">
        <v>CódRastreio778</v>
      </c>
      <c r="H814" s="5">
        <v>1</v>
      </c>
      <c r="I814" s="182" t="str">
        <v>CPF 778</v>
      </c>
      <c r="J814" s="2" t="str">
        <v>Nome 778</v>
      </c>
      <c r="K814" s="8" t="str">
        <v>Tel 778</v>
      </c>
      <c r="L814" s="8" t="str">
        <v>Cep 778</v>
      </c>
      <c r="M814" s="8" t="str">
        <v>Rua 778</v>
      </c>
      <c r="N814" s="8" t="str">
        <v>Comp 778</v>
      </c>
      <c r="O814" s="8" t="str">
        <v>Mini Liquidificador</v>
      </c>
      <c r="P814" s="8" t="str">
        <v>CK-YL6M-P5Y6</v>
      </c>
      <c r="Q814" s="4">
        <v>45693</v>
      </c>
      <c r="R814" s="109">
        <v>35.99</v>
      </c>
      <c r="S814" s="11">
        <f ca="1"/>
        <v>35.99</v>
      </c>
      <c r="T814" s="28">
        <f ca="1"/>
        <v>4.6787000000000001</v>
      </c>
      <c r="U814" s="11">
        <f ca="1"/>
        <v>31.31</v>
      </c>
      <c r="V814" s="11">
        <v>15.99</v>
      </c>
      <c r="W814" s="11">
        <f ca="1"/>
        <v>0.19</v>
      </c>
      <c r="X814" s="11">
        <f ca="1"/>
        <v>0.39877104377104378</v>
      </c>
      <c r="Y814" s="11">
        <v>0</v>
      </c>
      <c r="Z814" s="11">
        <f ca="1"/>
        <v>14.731228956228954</v>
      </c>
      <c r="AA814" s="11">
        <f ca="1"/>
        <v>7.3656144781144768</v>
      </c>
      <c r="AB814" s="4">
        <f ca="1"/>
        <v>45700</v>
      </c>
      <c r="AC814" s="4">
        <v>45700</v>
      </c>
      <c r="AD814" s="9">
        <v>45702</v>
      </c>
      <c r="AE814" s="9">
        <v>45705</v>
      </c>
      <c r="AF814" s="4" t="str">
        <f t="shared" ca="1" si="33"/>
        <v>2025 02</v>
      </c>
      <c r="AG814" s="8" t="str" cm="1">
        <f t="array" ref="AG814">IFERROR(_xlfn.IFS('Banco de Dados'!#REF!="AG. COMPRA","Em processamento",'Banco de Dados'!#REF!="AG. RASTREIO","Em processamento",'Banco de Dados'!$AE814&lt;&gt;"-","Faturado",'Banco de Dados'!$AD814&lt;&gt;"-","Aguardando Pix",'Banco de Dados'!$AC814&lt;&gt;"-","Pendente"),"Aguardando Liberação")</f>
        <v>Aguardando Liberação</v>
      </c>
      <c r="AH814" s="5" t="str">
        <f>IF('Banco de Dados'!$F814="-",_xlfn.CONCAT(PROPER(TEXT(AK814,"aaaa"))," ",PROPER(TEXT(AK814,"mm"))),_xlfn.CONCAT(PROPER(TEXT(E814,"aaaa"))," ",PROPER(TEXT(E814,"mm"))))</f>
        <v>2025 01</v>
      </c>
      <c r="AI814" s="9" t="str">
        <f ca="1">IF('Banco de Dados'!$AK814&lt;&gt;"-","REEMBOLSO",IFERROR(_xlfn.XLOOKUP(G814,Follow[CODRASTREIO],Follow[STATUS]),"-"))</f>
        <v>ENTREGUE</v>
      </c>
      <c r="AJ814" s="9">
        <f ca="1">IF('Banco de Dados'!$AI814="ENTREGUE",_xlfn.XLOOKUP('Banco de Dados'!$G814,Follow[CODRASTREIO],Follow[DATAATUALIZAÇÃO]),"-")</f>
        <v>45684</v>
      </c>
      <c r="AK814" s="132" t="str">
        <f ca="1"/>
        <v>-</v>
      </c>
      <c r="AL814" s="35"/>
      <c r="AM814" s="109" cm="1">
        <f t="array" aca="1" ref="AM814" ca="1">IF('Banco de Dados'!$AK814&lt;&gt;"-",_xlfn.IFS('Banco de Dados'!$A814="bv",IF('Banco de Dados'!$E814&lt;45641,ROUND(SUM('Banco de Dados'!$R814*_xlfn.XLOOKUP('Banco de Dados'!$P814,Sku!B:B,Sku!#REF!)*20%),2),ROUND(SUM('Banco de Dados'!$R814*_xlfn.XLOOKUP('Banco de Dados'!$P814,Sku!B:B,Sku!H:H)*20%),2)),'Banco de Dados'!$A814="GO",ROUND(_xlfn.XLOOKUP('Banco de Dados'!$P814,Sku!C:C,Sku!H:H),2),'Banco de Dados'!$A814="MEI",ROUND(_xlfn.XLOOKUP('Banco de Dados'!$P814,Sku!D:D,Sku!H:H),2)),0)</f>
        <v>0</v>
      </c>
      <c r="AN814" s="109">
        <f ca="1">IF('Banco de Dados'!$AK814&lt;&gt;"-",IF('Banco de Dados'!$F814&lt;&gt;"-",_xlfn.XLOOKUP(IFERROR(IFERROR(IFERROR(VALUE(SUBSTITUTE(MID(_xlfn.TEXTAFTER('Banco de Dados'!$F814,"Data do Pedido:
",1),1,10),"-","/")),VALUE(SUBSTITUTE(MID(_xlfn.TEXTAFTER('Banco de Dados'!$F814,"Order date:
",1),1,10),"-","/"))),VALUE(SUBSTITUTE(MID(_xlfn.TEXTAFTER('Banco de Dados'!$F814,"Fecha de pedido:
",1),1,10),"-","/"))),"-"),SMS!A:A,SMS!K:K),0),0)</f>
        <v>0</v>
      </c>
      <c r="AO814" s="109">
        <f ca="1">IF('Banco de Dados'!$AK814&lt;&gt;"-",IF('Banco de Dados'!$F814&lt;&gt;"-",IFERROR(_xlfn.XLOOKUP(_xlfn.CONCAT('Banco de Dados'!$A814,IFERROR(IFERROR(VALUE(SUBSTITUTE(MID(_xlfn.TEXTAFTER('Banco de Dados'!$F814,"Data do Pedido:
",1),1,10),"-","/")),VALUE(SUBSTITUTE(MID(_xlfn.TEXTAFTER('Banco de Dados'!$F814,"Order date:
",1),1,10),"-","/"))),0)),ProxyDD[Chave],ProxyDD[Valor por pedido]),PROXY!$P$2),0),0)</f>
        <v>0</v>
      </c>
      <c r="AP814" s="28">
        <f ca="1">IF('Banco de Dados'!$AK814&lt;&gt;"-",IF('Banco de Dados'!$AL814="NÃO",IFERROR(VALUE(SUBSTITUTE(_xlfn.TEXTAFTER('Banco de Dados'!$F814,"BRL ",1),".",",")),0),0),0)</f>
        <v>0</v>
      </c>
      <c r="AQ814" s="28">
        <f ca="1">SUM('Banco de Dados'!$AM814:$AP814)</f>
        <v>0</v>
      </c>
      <c r="AR814" s="8"/>
      <c r="AS814" s="8"/>
      <c r="AT814"/>
      <c r="AY814" s="8"/>
    </row>
    <row r="815" spans="1:51">
      <c r="A815" s="5" t="str">
        <v>BV</v>
      </c>
      <c r="B815" s="5" t="str">
        <f ca="1"/>
        <v>BV45677</v>
      </c>
      <c r="C815" s="8" t="str">
        <v>Pedido 802</v>
      </c>
      <c r="D815" s="9">
        <v>45677</v>
      </c>
      <c r="E815" s="9">
        <v>45677</v>
      </c>
      <c r="F815" s="8" t="str">
        <v>PedidoF781</v>
      </c>
      <c r="G815" s="2" t="str">
        <v>CódRastreio779</v>
      </c>
      <c r="H815" s="5">
        <v>1</v>
      </c>
      <c r="I815" s="182" t="str">
        <v>CPF 779</v>
      </c>
      <c r="J815" s="2" t="str">
        <v>Nome 779</v>
      </c>
      <c r="K815" s="8" t="str">
        <v>Tel 779</v>
      </c>
      <c r="L815" s="8" t="str">
        <v>Cep 779</v>
      </c>
      <c r="M815" s="8" t="str">
        <v>Rua 779</v>
      </c>
      <c r="N815" s="8" t="str">
        <v>Comp 779</v>
      </c>
      <c r="O815" s="8" t="str">
        <v>Ventilador Preto</v>
      </c>
      <c r="P815" s="8" t="str">
        <v>MU-J80P-95WF</v>
      </c>
      <c r="Q815" s="4">
        <v>45695</v>
      </c>
      <c r="R815" s="109">
        <v>66.989999999999995</v>
      </c>
      <c r="S815" s="11">
        <f ca="1"/>
        <v>66.989999999999995</v>
      </c>
      <c r="T815" s="28">
        <f ca="1"/>
        <v>8.7087000000000003</v>
      </c>
      <c r="U815" s="11">
        <f ca="1"/>
        <v>58.28</v>
      </c>
      <c r="V815" s="11">
        <v>14.15</v>
      </c>
      <c r="W815" s="11">
        <f ca="1"/>
        <v>0.19</v>
      </c>
      <c r="X815" s="11">
        <f ca="1"/>
        <v>0.39877104377104378</v>
      </c>
      <c r="Y815" s="11">
        <v>0</v>
      </c>
      <c r="Z815" s="11">
        <f ca="1"/>
        <v>43.541228956228956</v>
      </c>
      <c r="AA815" s="11">
        <f ca="1"/>
        <v>21.770614478114478</v>
      </c>
      <c r="AB815" s="4">
        <f ca="1"/>
        <v>45702</v>
      </c>
      <c r="AC815" s="4">
        <v>45702</v>
      </c>
      <c r="AD815" s="9">
        <v>45702</v>
      </c>
      <c r="AE815" s="9">
        <v>45705</v>
      </c>
      <c r="AF815" s="4" t="str">
        <f t="shared" ca="1" si="33"/>
        <v>2025 02</v>
      </c>
      <c r="AG815" s="8" t="str" cm="1">
        <f t="array" ref="AG815">IFERROR(_xlfn.IFS('Banco de Dados'!#REF!="AG. COMPRA","Em processamento",'Banco de Dados'!#REF!="AG. RASTREIO","Em processamento",'Banco de Dados'!$AE815&lt;&gt;"-","Faturado",'Banco de Dados'!$AD815&lt;&gt;"-","Aguardando Pix",'Banco de Dados'!$AC815&lt;&gt;"-","Pendente"),"Aguardando Liberação")</f>
        <v>Aguardando Liberação</v>
      </c>
      <c r="AH815" s="5" t="str">
        <f>IF('Banco de Dados'!$F815="-",_xlfn.CONCAT(PROPER(TEXT(AK815,"aaaa"))," ",PROPER(TEXT(AK815,"mm"))),_xlfn.CONCAT(PROPER(TEXT(E815,"aaaa"))," ",PROPER(TEXT(E815,"mm"))))</f>
        <v>2025 01</v>
      </c>
      <c r="AI815" s="9" t="str">
        <f ca="1">IF('Banco de Dados'!$AK815&lt;&gt;"-","REEMBOLSO",IFERROR(_xlfn.XLOOKUP(G815,Follow[CODRASTREIO],Follow[STATUS]),"-"))</f>
        <v>ENTREGUE</v>
      </c>
      <c r="AJ815" s="9">
        <f ca="1">IF('Banco de Dados'!$AI815="ENTREGUE",_xlfn.XLOOKUP('Banco de Dados'!$G815,Follow[CODRASTREIO],Follow[DATAATUALIZAÇÃO]),"-")</f>
        <v>45692</v>
      </c>
      <c r="AK815" s="132" t="str">
        <f ca="1"/>
        <v>-</v>
      </c>
      <c r="AL815" s="35"/>
      <c r="AM815" s="109" cm="1">
        <f t="array" aca="1" ref="AM815" ca="1">IF('Banco de Dados'!$AK815&lt;&gt;"-",_xlfn.IFS('Banco de Dados'!$A815="bv",IF('Banco de Dados'!$E815&lt;45641,ROUND(SUM('Banco de Dados'!$R815*_xlfn.XLOOKUP('Banco de Dados'!$P815,Sku!B:B,Sku!#REF!)*20%),2),ROUND(SUM('Banco de Dados'!$R815*_xlfn.XLOOKUP('Banco de Dados'!$P815,Sku!B:B,Sku!H:H)*20%),2)),'Banco de Dados'!$A815="GO",ROUND(_xlfn.XLOOKUP('Banco de Dados'!$P815,Sku!C:C,Sku!H:H),2),'Banco de Dados'!$A815="MEI",ROUND(_xlfn.XLOOKUP('Banco de Dados'!$P815,Sku!D:D,Sku!H:H),2)),0)</f>
        <v>0</v>
      </c>
      <c r="AN815" s="109">
        <f ca="1">IF('Banco de Dados'!$AK815&lt;&gt;"-",IF('Banco de Dados'!$F815&lt;&gt;"-",_xlfn.XLOOKUP(IFERROR(IFERROR(IFERROR(VALUE(SUBSTITUTE(MID(_xlfn.TEXTAFTER('Banco de Dados'!$F815,"Data do Pedido:
",1),1,10),"-","/")),VALUE(SUBSTITUTE(MID(_xlfn.TEXTAFTER('Banco de Dados'!$F815,"Order date:
",1),1,10),"-","/"))),VALUE(SUBSTITUTE(MID(_xlfn.TEXTAFTER('Banco de Dados'!$F815,"Fecha de pedido:
",1),1,10),"-","/"))),"-"),SMS!A:A,SMS!K:K),0),0)</f>
        <v>0</v>
      </c>
      <c r="AO815" s="109">
        <f ca="1">IF('Banco de Dados'!$AK815&lt;&gt;"-",IF('Banco de Dados'!$F815&lt;&gt;"-",IFERROR(_xlfn.XLOOKUP(_xlfn.CONCAT('Banco de Dados'!$A815,IFERROR(IFERROR(VALUE(SUBSTITUTE(MID(_xlfn.TEXTAFTER('Banco de Dados'!$F815,"Data do Pedido:
",1),1,10),"-","/")),VALUE(SUBSTITUTE(MID(_xlfn.TEXTAFTER('Banco de Dados'!$F815,"Order date:
",1),1,10),"-","/"))),0)),ProxyDD[Chave],ProxyDD[Valor por pedido]),PROXY!$P$2),0),0)</f>
        <v>0</v>
      </c>
      <c r="AP815" s="28">
        <f ca="1">IF('Banco de Dados'!$AK815&lt;&gt;"-",IF('Banco de Dados'!$AL815="NÃO",IFERROR(VALUE(SUBSTITUTE(_xlfn.TEXTAFTER('Banco de Dados'!$F815,"BRL ",1),".",",")),0),0),0)</f>
        <v>0</v>
      </c>
      <c r="AQ815" s="28">
        <f ca="1">SUM('Banco de Dados'!$AM815:$AP815)</f>
        <v>0</v>
      </c>
      <c r="AR815" s="8"/>
      <c r="AS815" s="8"/>
      <c r="AT815"/>
      <c r="AY815" s="8"/>
    </row>
    <row r="816" spans="1:51">
      <c r="A816" s="5" t="str">
        <v>BV</v>
      </c>
      <c r="B816" s="5" t="str">
        <f ca="1"/>
        <v>BV45677</v>
      </c>
      <c r="C816" s="8" t="str">
        <v>Pedido 803</v>
      </c>
      <c r="D816" s="9">
        <v>45677</v>
      </c>
      <c r="E816" s="9">
        <v>45677</v>
      </c>
      <c r="F816" s="8" t="str">
        <v>PedidoF782</v>
      </c>
      <c r="G816" s="2" t="str">
        <v>CódRastreio780</v>
      </c>
      <c r="H816" s="5">
        <v>1</v>
      </c>
      <c r="I816" s="182" t="str">
        <v>CPF 780</v>
      </c>
      <c r="J816" s="2" t="str">
        <v>Nome 780</v>
      </c>
      <c r="K816" s="8" t="str">
        <v>Tel 780</v>
      </c>
      <c r="L816" s="8" t="str">
        <v>Cep 780</v>
      </c>
      <c r="M816" s="8" t="str">
        <v>Rua 780</v>
      </c>
      <c r="N816" s="8" t="str">
        <v>Comp 780</v>
      </c>
      <c r="O816" s="8" t="str">
        <v>Ventilador Rosa</v>
      </c>
      <c r="P816" s="8" t="str">
        <v>IF-G2ZQ-79FO</v>
      </c>
      <c r="Q816" s="4">
        <v>45702</v>
      </c>
      <c r="R816" s="109">
        <v>66.989999999999995</v>
      </c>
      <c r="S816" s="11">
        <f ca="1"/>
        <v>66.989999999999995</v>
      </c>
      <c r="T816" s="28">
        <f ca="1"/>
        <v>8.7087000000000003</v>
      </c>
      <c r="U816" s="11">
        <f ca="1"/>
        <v>58.28</v>
      </c>
      <c r="V816" s="11">
        <v>18.23</v>
      </c>
      <c r="W816" s="11">
        <f ca="1"/>
        <v>0.19</v>
      </c>
      <c r="X816" s="11">
        <f ca="1"/>
        <v>0.39877104377104378</v>
      </c>
      <c r="Y816" s="11">
        <v>0</v>
      </c>
      <c r="Z816" s="11">
        <f ca="1"/>
        <v>39.46122895622895</v>
      </c>
      <c r="AA816" s="11">
        <f ca="1"/>
        <v>19.730614478114475</v>
      </c>
      <c r="AB816" s="4">
        <f ca="1"/>
        <v>45709</v>
      </c>
      <c r="AC816" s="4">
        <v>45709</v>
      </c>
      <c r="AD816" s="9">
        <v>45721</v>
      </c>
      <c r="AE816" s="9">
        <v>45721</v>
      </c>
      <c r="AF816" s="4" t="str">
        <f t="shared" ca="1" si="33"/>
        <v>2025 02</v>
      </c>
      <c r="AG816" s="8" t="str" cm="1">
        <f t="array" ref="AG816">IFERROR(_xlfn.IFS('Banco de Dados'!#REF!="AG. COMPRA","Em processamento",'Banco de Dados'!#REF!="AG. RASTREIO","Em processamento",'Banco de Dados'!$AE816&lt;&gt;"-","Faturado",'Banco de Dados'!$AD816&lt;&gt;"-","Aguardando Pix",'Banco de Dados'!$AC816&lt;&gt;"-","Pendente"),"Aguardando Liberação")</f>
        <v>Aguardando Liberação</v>
      </c>
      <c r="AH816" s="5" t="str">
        <f>IF('Banco de Dados'!$F816="-",_xlfn.CONCAT(PROPER(TEXT(AK816,"aaaa"))," ",PROPER(TEXT(AK816,"mm"))),_xlfn.CONCAT(PROPER(TEXT(E816,"aaaa"))," ",PROPER(TEXT(E816,"mm"))))</f>
        <v>2025 01</v>
      </c>
      <c r="AI816" s="9" t="str">
        <f ca="1">IF('Banco de Dados'!$AK816&lt;&gt;"-","REEMBOLSO",IFERROR(_xlfn.XLOOKUP(G816,Follow[CODRASTREIO],Follow[STATUS]),"-"))</f>
        <v>ENTREGUE</v>
      </c>
      <c r="AJ816" s="9">
        <f ca="1">IF('Banco de Dados'!$AI816="ENTREGUE",_xlfn.XLOOKUP('Banco de Dados'!$G816,Follow[CODRASTREIO],Follow[DATAATUALIZAÇÃO]),"-")</f>
        <v>45694</v>
      </c>
      <c r="AK816" s="132" t="str">
        <f ca="1"/>
        <v>-</v>
      </c>
      <c r="AL816" s="35"/>
      <c r="AM816" s="109" cm="1">
        <f t="array" aca="1" ref="AM816" ca="1">IF('Banco de Dados'!$AK816&lt;&gt;"-",_xlfn.IFS('Banco de Dados'!$A816="bv",IF('Banco de Dados'!$E816&lt;45641,ROUND(SUM('Banco de Dados'!$R816*_xlfn.XLOOKUP('Banco de Dados'!$P816,Sku!B:B,Sku!#REF!)*20%),2),ROUND(SUM('Banco de Dados'!$R816*_xlfn.XLOOKUP('Banco de Dados'!$P816,Sku!B:B,Sku!H:H)*20%),2)),'Banco de Dados'!$A816="GO",ROUND(_xlfn.XLOOKUP('Banco de Dados'!$P816,Sku!C:C,Sku!H:H),2),'Banco de Dados'!$A816="MEI",ROUND(_xlfn.XLOOKUP('Banco de Dados'!$P816,Sku!D:D,Sku!H:H),2)),0)</f>
        <v>0</v>
      </c>
      <c r="AN816" s="109">
        <f ca="1">IF('Banco de Dados'!$AK816&lt;&gt;"-",IF('Banco de Dados'!$F816&lt;&gt;"-",_xlfn.XLOOKUP(IFERROR(IFERROR(IFERROR(VALUE(SUBSTITUTE(MID(_xlfn.TEXTAFTER('Banco de Dados'!$F816,"Data do Pedido:
",1),1,10),"-","/")),VALUE(SUBSTITUTE(MID(_xlfn.TEXTAFTER('Banco de Dados'!$F816,"Order date:
",1),1,10),"-","/"))),VALUE(SUBSTITUTE(MID(_xlfn.TEXTAFTER('Banco de Dados'!$F816,"Fecha de pedido:
",1),1,10),"-","/"))),"-"),SMS!A:A,SMS!K:K),0),0)</f>
        <v>0</v>
      </c>
      <c r="AO816" s="109">
        <f ca="1">IF('Banco de Dados'!$AK816&lt;&gt;"-",IF('Banco de Dados'!$F816&lt;&gt;"-",IFERROR(_xlfn.XLOOKUP(_xlfn.CONCAT('Banco de Dados'!$A816,IFERROR(IFERROR(VALUE(SUBSTITUTE(MID(_xlfn.TEXTAFTER('Banco de Dados'!$F816,"Data do Pedido:
",1),1,10),"-","/")),VALUE(SUBSTITUTE(MID(_xlfn.TEXTAFTER('Banco de Dados'!$F816,"Order date:
",1),1,10),"-","/"))),0)),ProxyDD[Chave],ProxyDD[Valor por pedido]),PROXY!$P$2),0),0)</f>
        <v>0</v>
      </c>
      <c r="AP816" s="28">
        <f ca="1">IF('Banco de Dados'!$AK816&lt;&gt;"-",IF('Banco de Dados'!$AL816="NÃO",IFERROR(VALUE(SUBSTITUTE(_xlfn.TEXTAFTER('Banco de Dados'!$F816,"BRL ",1),".",",")),0),0),0)</f>
        <v>0</v>
      </c>
      <c r="AQ816" s="28">
        <f ca="1">SUM('Banco de Dados'!$AM816:$AP816)</f>
        <v>0</v>
      </c>
      <c r="AR816" s="8"/>
      <c r="AS816" s="8"/>
      <c r="AT816"/>
      <c r="AY816" s="8"/>
    </row>
    <row r="817" spans="1:51">
      <c r="A817" s="5" t="str">
        <v>BV</v>
      </c>
      <c r="B817" s="5" t="str">
        <f ca="1"/>
        <v>BV45677</v>
      </c>
      <c r="C817" s="8" t="str">
        <v>Pedido 804</v>
      </c>
      <c r="D817" s="9">
        <v>45677</v>
      </c>
      <c r="E817" s="9">
        <v>45677</v>
      </c>
      <c r="F817" s="8" t="str">
        <v>PedidoF783</v>
      </c>
      <c r="G817" s="2" t="str">
        <v>CódRastreio781</v>
      </c>
      <c r="H817" s="5">
        <v>1</v>
      </c>
      <c r="I817" s="182" t="str">
        <v>CPF 781</v>
      </c>
      <c r="J817" s="2" t="str">
        <v>Nome 781</v>
      </c>
      <c r="K817" s="8" t="str">
        <v>Tel 781</v>
      </c>
      <c r="L817" s="8" t="str">
        <v>Cep 781</v>
      </c>
      <c r="M817" s="8" t="str">
        <v>Rua 781</v>
      </c>
      <c r="N817" s="8" t="str">
        <v>Comp 781</v>
      </c>
      <c r="O817" s="8" t="str">
        <v>Ventilador Preto</v>
      </c>
      <c r="P817" s="8" t="str">
        <v>MU-J80P-95WF</v>
      </c>
      <c r="Q817" s="4">
        <v>45696</v>
      </c>
      <c r="R817" s="109">
        <v>66.989999999999995</v>
      </c>
      <c r="S817" s="11">
        <f ca="1"/>
        <v>66.989999999999995</v>
      </c>
      <c r="T817" s="28">
        <f ca="1"/>
        <v>8.7087000000000003</v>
      </c>
      <c r="U817" s="11">
        <f ca="1"/>
        <v>58.28</v>
      </c>
      <c r="V817" s="11">
        <v>14.15</v>
      </c>
      <c r="W817" s="11">
        <f ca="1"/>
        <v>0.19</v>
      </c>
      <c r="X817" s="11">
        <f ca="1"/>
        <v>0.39877104377104378</v>
      </c>
      <c r="Y817" s="11">
        <v>0</v>
      </c>
      <c r="Z817" s="11">
        <f ca="1"/>
        <v>43.541228956228956</v>
      </c>
      <c r="AA817" s="11">
        <f ca="1"/>
        <v>21.770614478114478</v>
      </c>
      <c r="AB817" s="4">
        <f ca="1"/>
        <v>45703</v>
      </c>
      <c r="AC817" s="4">
        <v>45703</v>
      </c>
      <c r="AD817" s="9">
        <v>45721</v>
      </c>
      <c r="AE817" s="9">
        <v>45721</v>
      </c>
      <c r="AF817" s="4" t="str">
        <f t="shared" ca="1" si="33"/>
        <v>2025 02</v>
      </c>
      <c r="AG817" s="8" t="str" cm="1">
        <f t="array" ref="AG817">IFERROR(_xlfn.IFS('Banco de Dados'!#REF!="AG. COMPRA","Em processamento",'Banco de Dados'!#REF!="AG. RASTREIO","Em processamento",'Banco de Dados'!$AE817&lt;&gt;"-","Faturado",'Banco de Dados'!$AD817&lt;&gt;"-","Aguardando Pix",'Banco de Dados'!$AC817&lt;&gt;"-","Pendente"),"Aguardando Liberação")</f>
        <v>Aguardando Liberação</v>
      </c>
      <c r="AH817" s="5" t="str">
        <f>IF('Banco de Dados'!$F817="-",_xlfn.CONCAT(PROPER(TEXT(AK817,"aaaa"))," ",PROPER(TEXT(AK817,"mm"))),_xlfn.CONCAT(PROPER(TEXT(E817,"aaaa"))," ",PROPER(TEXT(E817,"mm"))))</f>
        <v>2025 01</v>
      </c>
      <c r="AI817" s="9" t="str">
        <f ca="1">IF('Banco de Dados'!$AK817&lt;&gt;"-","REEMBOLSO",IFERROR(_xlfn.XLOOKUP(G817,Follow[CODRASTREIO],Follow[STATUS]),"-"))</f>
        <v>ENTREGUE</v>
      </c>
      <c r="AJ817" s="9">
        <f ca="1">IF('Banco de Dados'!$AI817="ENTREGUE",_xlfn.XLOOKUP('Banco de Dados'!$G817,Follow[CODRASTREIO],Follow[DATAATUALIZAÇÃO]),"-")</f>
        <v>45689</v>
      </c>
      <c r="AK817" s="132" t="str">
        <f ca="1"/>
        <v>-</v>
      </c>
      <c r="AL817" s="35"/>
      <c r="AM817" s="109" cm="1">
        <f t="array" aca="1" ref="AM817" ca="1">IF('Banco de Dados'!$AK817&lt;&gt;"-",_xlfn.IFS('Banco de Dados'!$A817="bv",IF('Banco de Dados'!$E817&lt;45641,ROUND(SUM('Banco de Dados'!$R817*_xlfn.XLOOKUP('Banco de Dados'!$P817,Sku!B:B,Sku!#REF!)*20%),2),ROUND(SUM('Banco de Dados'!$R817*_xlfn.XLOOKUP('Banco de Dados'!$P817,Sku!B:B,Sku!H:H)*20%),2)),'Banco de Dados'!$A817="GO",ROUND(_xlfn.XLOOKUP('Banco de Dados'!$P817,Sku!C:C,Sku!H:H),2),'Banco de Dados'!$A817="MEI",ROUND(_xlfn.XLOOKUP('Banco de Dados'!$P817,Sku!D:D,Sku!H:H),2)),0)</f>
        <v>0</v>
      </c>
      <c r="AN817" s="109">
        <f ca="1">IF('Banco de Dados'!$AK817&lt;&gt;"-",IF('Banco de Dados'!$F817&lt;&gt;"-",_xlfn.XLOOKUP(IFERROR(IFERROR(IFERROR(VALUE(SUBSTITUTE(MID(_xlfn.TEXTAFTER('Banco de Dados'!$F817,"Data do Pedido:
",1),1,10),"-","/")),VALUE(SUBSTITUTE(MID(_xlfn.TEXTAFTER('Banco de Dados'!$F817,"Order date:
",1),1,10),"-","/"))),VALUE(SUBSTITUTE(MID(_xlfn.TEXTAFTER('Banco de Dados'!$F817,"Fecha de pedido:
",1),1,10),"-","/"))),"-"),SMS!A:A,SMS!K:K),0),0)</f>
        <v>0</v>
      </c>
      <c r="AO817" s="109">
        <f ca="1">IF('Banco de Dados'!$AK817&lt;&gt;"-",IF('Banco de Dados'!$F817&lt;&gt;"-",IFERROR(_xlfn.XLOOKUP(_xlfn.CONCAT('Banco de Dados'!$A817,IFERROR(IFERROR(VALUE(SUBSTITUTE(MID(_xlfn.TEXTAFTER('Banco de Dados'!$F817,"Data do Pedido:
",1),1,10),"-","/")),VALUE(SUBSTITUTE(MID(_xlfn.TEXTAFTER('Banco de Dados'!$F817,"Order date:
",1),1,10),"-","/"))),0)),ProxyDD[Chave],ProxyDD[Valor por pedido]),PROXY!$P$2),0),0)</f>
        <v>0</v>
      </c>
      <c r="AP817" s="28">
        <f ca="1">IF('Banco de Dados'!$AK817&lt;&gt;"-",IF('Banco de Dados'!$AL817="NÃO",IFERROR(VALUE(SUBSTITUTE(_xlfn.TEXTAFTER('Banco de Dados'!$F817,"BRL ",1),".",",")),0),0),0)</f>
        <v>0</v>
      </c>
      <c r="AQ817" s="28">
        <f ca="1">SUM('Banco de Dados'!$AM817:$AP817)</f>
        <v>0</v>
      </c>
      <c r="AR817" s="8"/>
      <c r="AS817" s="8"/>
      <c r="AT817"/>
      <c r="AY817" s="8"/>
    </row>
    <row r="818" spans="1:51">
      <c r="A818" s="5" t="str">
        <v>BV</v>
      </c>
      <c r="B818" s="5" t="str">
        <f ca="1"/>
        <v>BV45677</v>
      </c>
      <c r="C818" s="8" t="str">
        <v>Pedido 805</v>
      </c>
      <c r="D818" s="9">
        <v>45677</v>
      </c>
      <c r="E818" s="9">
        <v>45677</v>
      </c>
      <c r="F818" s="8" t="str">
        <v>PedidoF784</v>
      </c>
      <c r="G818" s="2" t="str">
        <v>CódRastreio782</v>
      </c>
      <c r="H818" s="5">
        <v>1</v>
      </c>
      <c r="I818" s="182" t="str">
        <v>CPF 782</v>
      </c>
      <c r="J818" s="2" t="str">
        <v>Nome 782</v>
      </c>
      <c r="K818" s="8" t="str">
        <v>Tel 782</v>
      </c>
      <c r="L818" s="8" t="str">
        <v>Cep 782</v>
      </c>
      <c r="M818" s="8" t="str">
        <v>Rua 782</v>
      </c>
      <c r="N818" s="8" t="str">
        <v>Comp 782</v>
      </c>
      <c r="O818" s="8" t="str">
        <v>Ventilador Preto</v>
      </c>
      <c r="P818" s="8" t="str">
        <v>MU-J80P-95WF</v>
      </c>
      <c r="Q818" s="4">
        <v>45696</v>
      </c>
      <c r="R818" s="109">
        <v>66.989999999999995</v>
      </c>
      <c r="S818" s="11">
        <f ca="1"/>
        <v>0</v>
      </c>
      <c r="T818" s="28">
        <f ca="1"/>
        <v>0</v>
      </c>
      <c r="U818" s="11">
        <f ca="1"/>
        <v>0</v>
      </c>
      <c r="V818" s="11">
        <v>0</v>
      </c>
      <c r="W818" s="11">
        <f ca="1"/>
        <v>0</v>
      </c>
      <c r="X818" s="11">
        <f ca="1"/>
        <v>0.39877104377104378</v>
      </c>
      <c r="Y818" s="11">
        <v>0</v>
      </c>
      <c r="Z818" s="11">
        <f ca="1"/>
        <v>-0.39877104377104378</v>
      </c>
      <c r="AA818" s="11">
        <f ca="1"/>
        <v>-0.19938552188552189</v>
      </c>
      <c r="AB818" s="4">
        <f ca="1"/>
        <v>45703</v>
      </c>
      <c r="AC818" s="4">
        <v>45703</v>
      </c>
      <c r="AD818" s="9">
        <v>45721</v>
      </c>
      <c r="AE818" s="9">
        <v>45721</v>
      </c>
      <c r="AF818" s="4" t="str">
        <f t="shared" ca="1" si="33"/>
        <v>2025 02</v>
      </c>
      <c r="AG818" s="8" t="str" cm="1">
        <f t="array" ref="AG818">IFERROR(_xlfn.IFS('Banco de Dados'!#REF!="AG. COMPRA","Em processamento",'Banco de Dados'!#REF!="AG. RASTREIO","Em processamento",'Banco de Dados'!$AE818&lt;&gt;"-","Faturado",'Banco de Dados'!$AD818&lt;&gt;"-","Aguardando Pix",'Banco de Dados'!$AC818&lt;&gt;"-","Pendente"),"Aguardando Liberação")</f>
        <v>Aguardando Liberação</v>
      </c>
      <c r="AH818" s="5" t="str">
        <f>IF('Banco de Dados'!$F818="-",_xlfn.CONCAT(PROPER(TEXT(AK818,"aaaa"))," ",PROPER(TEXT(AK818,"mm"))),_xlfn.CONCAT(PROPER(TEXT(E818,"aaaa"))," ",PROPER(TEXT(E818,"mm"))))</f>
        <v>2025 01</v>
      </c>
      <c r="AI818" s="9" t="str">
        <f ca="1">IF('Banco de Dados'!$AK818&lt;&gt;"-","REEMBOLSO",IFERROR(_xlfn.XLOOKUP(G818,Follow[CODRASTREIO],Follow[STATUS]),"-"))</f>
        <v>REEMBOLSO</v>
      </c>
      <c r="AJ818" s="9" t="str">
        <f ca="1">IF('Banco de Dados'!$AI818="ENTREGUE",_xlfn.XLOOKUP('Banco de Dados'!$G818,Follow[CODRASTREIO],Follow[DATAATUALIZAÇÃO]),"-")</f>
        <v>-</v>
      </c>
      <c r="AK818" s="132">
        <f ca="1"/>
        <v>45723</v>
      </c>
      <c r="AL818" s="35"/>
      <c r="AM818" s="109" cm="1">
        <f t="array" aca="1" ref="AM818" ca="1">IF('Banco de Dados'!$AK818&lt;&gt;"-",_xlfn.IFS('Banco de Dados'!$A818="bv",IF('Banco de Dados'!$E818&lt;45641,ROUND(SUM('Banco de Dados'!$R818*_xlfn.XLOOKUP('Banco de Dados'!$P818,Sku!B:B,Sku!#REF!)*20%),2),ROUND(SUM('Banco de Dados'!$R818*_xlfn.XLOOKUP('Banco de Dados'!$P818,Sku!B:B,Sku!H:H)*20%),2)),'Banco de Dados'!$A818="GO",ROUND(_xlfn.XLOOKUP('Banco de Dados'!$P818,Sku!C:C,Sku!H:H),2),'Banco de Dados'!$A818="MEI",ROUND(_xlfn.XLOOKUP('Banco de Dados'!$P818,Sku!D:D,Sku!H:H),2)),0)</f>
        <v>1.74</v>
      </c>
      <c r="AN818" s="109" t="e">
        <f ca="1">IF('Banco de Dados'!$AK818&lt;&gt;"-",IF('Banco de Dados'!$F818&lt;&gt;"-",_xlfn.XLOOKUP(IFERROR(IFERROR(IFERROR(VALUE(SUBSTITUTE(MID(_xlfn.TEXTAFTER('Banco de Dados'!$F818,"Data do Pedido:
",1),1,10),"-","/")),VALUE(SUBSTITUTE(MID(_xlfn.TEXTAFTER('Banco de Dados'!$F818,"Order date:
",1),1,10),"-","/"))),VALUE(SUBSTITUTE(MID(_xlfn.TEXTAFTER('Banco de Dados'!$F818,"Fecha de pedido:
",1),1,10),"-","/"))),"-"),SMS!A:A,SMS!K:K),0),0)</f>
        <v>#N/A</v>
      </c>
      <c r="AO818" s="109">
        <f ca="1">IF('Banco de Dados'!$AK818&lt;&gt;"-",IF('Banco de Dados'!$F818&lt;&gt;"-",IFERROR(_xlfn.XLOOKUP(_xlfn.CONCAT('Banco de Dados'!$A818,IFERROR(IFERROR(VALUE(SUBSTITUTE(MID(_xlfn.TEXTAFTER('Banco de Dados'!$F818,"Data do Pedido:
",1),1,10),"-","/")),VALUE(SUBSTITUTE(MID(_xlfn.TEXTAFTER('Banco de Dados'!$F818,"Order date:
",1),1,10),"-","/"))),0)),ProxyDD[Chave],ProxyDD[Valor por pedido]),PROXY!$P$2),0),0)</f>
        <v>0.39877104377104378</v>
      </c>
      <c r="AP818" s="28">
        <f ca="1">IF('Banco de Dados'!$AK818&lt;&gt;"-",IF('Banco de Dados'!$AL818="NÃO",IFERROR(VALUE(SUBSTITUTE(_xlfn.TEXTAFTER('Banco de Dados'!$F818,"BRL ",1),".",",")),0),0),0)</f>
        <v>0</v>
      </c>
      <c r="AQ818" s="28" t="e">
        <f ca="1">SUM('Banco de Dados'!$AM818:$AP818)</f>
        <v>#N/A</v>
      </c>
      <c r="AR818" s="8"/>
      <c r="AS818" s="8"/>
      <c r="AT818"/>
      <c r="AY818" s="8"/>
    </row>
    <row r="819" spans="1:51">
      <c r="A819" s="5" t="str">
        <v>BV</v>
      </c>
      <c r="B819" s="5" t="str">
        <f ca="1"/>
        <v>BV45677</v>
      </c>
      <c r="C819" s="8" t="str">
        <v>Pedido 806</v>
      </c>
      <c r="D819" s="9">
        <v>45677</v>
      </c>
      <c r="E819" s="9">
        <v>45677</v>
      </c>
      <c r="F819" s="8" t="str">
        <v>PedidoF785</v>
      </c>
      <c r="G819" s="2" t="str">
        <v>CódRastreio783</v>
      </c>
      <c r="H819" s="5">
        <v>1</v>
      </c>
      <c r="I819" s="182" t="str">
        <v>CPF 783</v>
      </c>
      <c r="J819" s="2" t="str">
        <v>Nome 783</v>
      </c>
      <c r="K819" s="8" t="str">
        <v>Tel 783</v>
      </c>
      <c r="L819" s="8" t="str">
        <v>Cep 783</v>
      </c>
      <c r="M819" s="8" t="str">
        <v>Rua 783</v>
      </c>
      <c r="N819" s="8" t="str">
        <v>Comp 783</v>
      </c>
      <c r="O819" s="8" t="str">
        <v>Ventilador Preto</v>
      </c>
      <c r="P819" s="8" t="str">
        <v>MU-J80P-95WF</v>
      </c>
      <c r="Q819" s="4">
        <v>45709</v>
      </c>
      <c r="R819" s="109">
        <v>66.989999999999995</v>
      </c>
      <c r="S819" s="11">
        <f ca="1"/>
        <v>66.989999999999995</v>
      </c>
      <c r="T819" s="28">
        <f ca="1"/>
        <v>8.7087000000000003</v>
      </c>
      <c r="U819" s="11">
        <f ca="1"/>
        <v>58.28</v>
      </c>
      <c r="V819" s="11">
        <v>14.15</v>
      </c>
      <c r="W819" s="11">
        <f ca="1"/>
        <v>0.19</v>
      </c>
      <c r="X819" s="11">
        <f ca="1"/>
        <v>0.39877104377104378</v>
      </c>
      <c r="Y819" s="11">
        <v>0</v>
      </c>
      <c r="Z819" s="11">
        <f ca="1"/>
        <v>43.541228956228956</v>
      </c>
      <c r="AA819" s="11">
        <f ca="1"/>
        <v>21.770614478114478</v>
      </c>
      <c r="AB819" s="4">
        <f ca="1"/>
        <v>45716</v>
      </c>
      <c r="AC819" s="4">
        <v>45716</v>
      </c>
      <c r="AD819" s="9">
        <v>45721</v>
      </c>
      <c r="AE819" s="9">
        <v>45721</v>
      </c>
      <c r="AF819" s="4" t="str">
        <f t="shared" ca="1" si="33"/>
        <v>2025 02</v>
      </c>
      <c r="AG819" s="8" t="str" cm="1">
        <f t="array" ref="AG819">IFERROR(_xlfn.IFS('Banco de Dados'!#REF!="AG. COMPRA","Em processamento",'Banco de Dados'!#REF!="AG. RASTREIO","Em processamento",'Banco de Dados'!$AE819&lt;&gt;"-","Faturado",'Banco de Dados'!$AD819&lt;&gt;"-","Aguardando Pix",'Banco de Dados'!$AC819&lt;&gt;"-","Pendente"),"Aguardando Liberação")</f>
        <v>Aguardando Liberação</v>
      </c>
      <c r="AH819" s="5" t="str">
        <f>IF('Banco de Dados'!$F819="-",_xlfn.CONCAT(PROPER(TEXT(AK819,"aaaa"))," ",PROPER(TEXT(AK819,"mm"))),_xlfn.CONCAT(PROPER(TEXT(E819,"aaaa"))," ",PROPER(TEXT(E819,"mm"))))</f>
        <v>2025 01</v>
      </c>
      <c r="AI819" s="9" t="str">
        <f ca="1">IF('Banco de Dados'!$AK819&lt;&gt;"-","REEMBOLSO",IFERROR(_xlfn.XLOOKUP(G819,Follow[CODRASTREIO],Follow[STATUS]),"-"))</f>
        <v>ENTREGUE</v>
      </c>
      <c r="AJ819" s="9">
        <f ca="1">IF('Banco de Dados'!$AI819="ENTREGUE",_xlfn.XLOOKUP('Banco de Dados'!$G819,Follow[CODRASTREIO],Follow[DATAATUALIZAÇÃO]),"-")</f>
        <v>45694</v>
      </c>
      <c r="AK819" s="132" t="str">
        <f ca="1"/>
        <v>-</v>
      </c>
      <c r="AL819" s="35"/>
      <c r="AM819" s="109" cm="1">
        <f t="array" aca="1" ref="AM819" ca="1">IF('Banco de Dados'!$AK819&lt;&gt;"-",_xlfn.IFS('Banco de Dados'!$A819="bv",IF('Banco de Dados'!$E819&lt;45641,ROUND(SUM('Banco de Dados'!$R819*_xlfn.XLOOKUP('Banco de Dados'!$P819,Sku!B:B,Sku!#REF!)*20%),2),ROUND(SUM('Banco de Dados'!$R819*_xlfn.XLOOKUP('Banco de Dados'!$P819,Sku!B:B,Sku!H:H)*20%),2)),'Banco de Dados'!$A819="GO",ROUND(_xlfn.XLOOKUP('Banco de Dados'!$P819,Sku!C:C,Sku!H:H),2),'Banco de Dados'!$A819="MEI",ROUND(_xlfn.XLOOKUP('Banco de Dados'!$P819,Sku!D:D,Sku!H:H),2)),0)</f>
        <v>0</v>
      </c>
      <c r="AN819" s="109">
        <f ca="1">IF('Banco de Dados'!$AK819&lt;&gt;"-",IF('Banco de Dados'!$F819&lt;&gt;"-",_xlfn.XLOOKUP(IFERROR(IFERROR(IFERROR(VALUE(SUBSTITUTE(MID(_xlfn.TEXTAFTER('Banco de Dados'!$F819,"Data do Pedido:
",1),1,10),"-","/")),VALUE(SUBSTITUTE(MID(_xlfn.TEXTAFTER('Banco de Dados'!$F819,"Order date:
",1),1,10),"-","/"))),VALUE(SUBSTITUTE(MID(_xlfn.TEXTAFTER('Banco de Dados'!$F819,"Fecha de pedido:
",1),1,10),"-","/"))),"-"),SMS!A:A,SMS!K:K),0),0)</f>
        <v>0</v>
      </c>
      <c r="AO819" s="109">
        <f ca="1">IF('Banco de Dados'!$AK819&lt;&gt;"-",IF('Banco de Dados'!$F819&lt;&gt;"-",IFERROR(_xlfn.XLOOKUP(_xlfn.CONCAT('Banco de Dados'!$A819,IFERROR(IFERROR(VALUE(SUBSTITUTE(MID(_xlfn.TEXTAFTER('Banco de Dados'!$F819,"Data do Pedido:
",1),1,10),"-","/")),VALUE(SUBSTITUTE(MID(_xlfn.TEXTAFTER('Banco de Dados'!$F819,"Order date:
",1),1,10),"-","/"))),0)),ProxyDD[Chave],ProxyDD[Valor por pedido]),PROXY!$P$2),0),0)</f>
        <v>0</v>
      </c>
      <c r="AP819" s="28">
        <f ca="1">IF('Banco de Dados'!$AK819&lt;&gt;"-",IF('Banco de Dados'!$AL819="NÃO",IFERROR(VALUE(SUBSTITUTE(_xlfn.TEXTAFTER('Banco de Dados'!$F819,"BRL ",1),".",",")),0),0),0)</f>
        <v>0</v>
      </c>
      <c r="AQ819" s="28">
        <f ca="1">SUM('Banco de Dados'!$AM819:$AP819)</f>
        <v>0</v>
      </c>
      <c r="AR819" s="8"/>
      <c r="AS819" s="8"/>
      <c r="AT819"/>
      <c r="AY819" s="8"/>
    </row>
    <row r="820" spans="1:51">
      <c r="A820" s="5" t="str">
        <v>BV</v>
      </c>
      <c r="B820" s="5" t="str">
        <f ca="1"/>
        <v>BV45677</v>
      </c>
      <c r="C820" s="8" t="str">
        <v>Pedido 807</v>
      </c>
      <c r="D820" s="9">
        <v>45677</v>
      </c>
      <c r="E820" s="9">
        <v>45677</v>
      </c>
      <c r="F820" s="8" t="str">
        <v>PedidoF786</v>
      </c>
      <c r="G820" s="2" t="str">
        <v>CódRastreio784</v>
      </c>
      <c r="H820" s="5">
        <v>1</v>
      </c>
      <c r="I820" s="182" t="str">
        <v>CPF 784</v>
      </c>
      <c r="J820" s="2" t="str">
        <v>Nome 784</v>
      </c>
      <c r="K820" s="8" t="str">
        <v>Tel 784</v>
      </c>
      <c r="L820" s="8" t="str">
        <v>Cep 784</v>
      </c>
      <c r="M820" s="8" t="str">
        <v>Rua 784</v>
      </c>
      <c r="N820" s="8" t="str">
        <v>Comp 784</v>
      </c>
      <c r="O820" s="8" t="str">
        <v>Ventilador Preto</v>
      </c>
      <c r="P820" s="8" t="str">
        <v>MU-J80P-95WF</v>
      </c>
      <c r="Q820" s="4">
        <v>45696</v>
      </c>
      <c r="R820" s="109">
        <v>66.989999999999995</v>
      </c>
      <c r="S820" s="11">
        <f ca="1"/>
        <v>66.989999999999995</v>
      </c>
      <c r="T820" s="28">
        <f ca="1"/>
        <v>8.7087000000000003</v>
      </c>
      <c r="U820" s="11">
        <f ca="1"/>
        <v>58.28</v>
      </c>
      <c r="V820" s="11">
        <v>14.15</v>
      </c>
      <c r="W820" s="11">
        <f ca="1"/>
        <v>0.19</v>
      </c>
      <c r="X820" s="11">
        <f ca="1"/>
        <v>0.39877104377104378</v>
      </c>
      <c r="Y820" s="11">
        <v>0</v>
      </c>
      <c r="Z820" s="11">
        <f ca="1"/>
        <v>43.541228956228956</v>
      </c>
      <c r="AA820" s="11">
        <f ca="1"/>
        <v>21.770614478114478</v>
      </c>
      <c r="AB820" s="4">
        <f ca="1"/>
        <v>45703</v>
      </c>
      <c r="AC820" s="4">
        <v>45703</v>
      </c>
      <c r="AD820" s="9">
        <v>45721</v>
      </c>
      <c r="AE820" s="9">
        <v>45721</v>
      </c>
      <c r="AF820" s="4" t="str">
        <f t="shared" ca="1" si="33"/>
        <v>2025 02</v>
      </c>
      <c r="AG820" s="8" t="str" cm="1">
        <f t="array" ref="AG820">IFERROR(_xlfn.IFS('Banco de Dados'!#REF!="AG. COMPRA","Em processamento",'Banco de Dados'!#REF!="AG. RASTREIO","Em processamento",'Banco de Dados'!$AE820&lt;&gt;"-","Faturado",'Banco de Dados'!$AD820&lt;&gt;"-","Aguardando Pix",'Banco de Dados'!$AC820&lt;&gt;"-","Pendente"),"Aguardando Liberação")</f>
        <v>Aguardando Liberação</v>
      </c>
      <c r="AH820" s="5" t="str">
        <f>IF('Banco de Dados'!$F820="-",_xlfn.CONCAT(PROPER(TEXT(AK820,"aaaa"))," ",PROPER(TEXT(AK820,"mm"))),_xlfn.CONCAT(PROPER(TEXT(E820,"aaaa"))," ",PROPER(TEXT(E820,"mm"))))</f>
        <v>2025 01</v>
      </c>
      <c r="AI820" s="9" t="str">
        <f ca="1">IF('Banco de Dados'!$AK820&lt;&gt;"-","REEMBOLSO",IFERROR(_xlfn.XLOOKUP(G820,Follow[CODRASTREIO],Follow[STATUS]),"-"))</f>
        <v>ENTREGUE</v>
      </c>
      <c r="AJ820" s="9">
        <f ca="1">IF('Banco de Dados'!$AI820="ENTREGUE",_xlfn.XLOOKUP('Banco de Dados'!$G820,Follow[CODRASTREIO],Follow[DATAATUALIZAÇÃO]),"-")</f>
        <v>45687</v>
      </c>
      <c r="AK820" s="132" t="str">
        <f ca="1"/>
        <v>-</v>
      </c>
      <c r="AL820" s="35"/>
      <c r="AM820" s="109" cm="1">
        <f t="array" aca="1" ref="AM820" ca="1">IF('Banco de Dados'!$AK820&lt;&gt;"-",_xlfn.IFS('Banco de Dados'!$A820="bv",IF('Banco de Dados'!$E820&lt;45641,ROUND(SUM('Banco de Dados'!$R820*_xlfn.XLOOKUP('Banco de Dados'!$P820,Sku!B:B,Sku!#REF!)*20%),2),ROUND(SUM('Banco de Dados'!$R820*_xlfn.XLOOKUP('Banco de Dados'!$P820,Sku!B:B,Sku!H:H)*20%),2)),'Banco de Dados'!$A820="GO",ROUND(_xlfn.XLOOKUP('Banco de Dados'!$P820,Sku!C:C,Sku!H:H),2),'Banco de Dados'!$A820="MEI",ROUND(_xlfn.XLOOKUP('Banco de Dados'!$P820,Sku!D:D,Sku!H:H),2)),0)</f>
        <v>0</v>
      </c>
      <c r="AN820" s="109">
        <f ca="1">IF('Banco de Dados'!$AK820&lt;&gt;"-",IF('Banco de Dados'!$F820&lt;&gt;"-",_xlfn.XLOOKUP(IFERROR(IFERROR(IFERROR(VALUE(SUBSTITUTE(MID(_xlfn.TEXTAFTER('Banco de Dados'!$F820,"Data do Pedido:
",1),1,10),"-","/")),VALUE(SUBSTITUTE(MID(_xlfn.TEXTAFTER('Banco de Dados'!$F820,"Order date:
",1),1,10),"-","/"))),VALUE(SUBSTITUTE(MID(_xlfn.TEXTAFTER('Banco de Dados'!$F820,"Fecha de pedido:
",1),1,10),"-","/"))),"-"),SMS!A:A,SMS!K:K),0),0)</f>
        <v>0</v>
      </c>
      <c r="AO820" s="109">
        <f ca="1">IF('Banco de Dados'!$AK820&lt;&gt;"-",IF('Banco de Dados'!$F820&lt;&gt;"-",IFERROR(_xlfn.XLOOKUP(_xlfn.CONCAT('Banco de Dados'!$A820,IFERROR(IFERROR(VALUE(SUBSTITUTE(MID(_xlfn.TEXTAFTER('Banco de Dados'!$F820,"Data do Pedido:
",1),1,10),"-","/")),VALUE(SUBSTITUTE(MID(_xlfn.TEXTAFTER('Banco de Dados'!$F820,"Order date:
",1),1,10),"-","/"))),0)),ProxyDD[Chave],ProxyDD[Valor por pedido]),PROXY!$P$2),0),0)</f>
        <v>0</v>
      </c>
      <c r="AP820" s="28">
        <f ca="1">IF('Banco de Dados'!$AK820&lt;&gt;"-",IF('Banco de Dados'!$AL820="NÃO",IFERROR(VALUE(SUBSTITUTE(_xlfn.TEXTAFTER('Banco de Dados'!$F820,"BRL ",1),".",",")),0),0),0)</f>
        <v>0</v>
      </c>
      <c r="AQ820" s="28">
        <f ca="1">SUM('Banco de Dados'!$AM820:$AP820)</f>
        <v>0</v>
      </c>
      <c r="AR820" s="8"/>
      <c r="AS820" s="8"/>
      <c r="AT820"/>
      <c r="AY820" s="8"/>
    </row>
    <row r="821" spans="1:51">
      <c r="A821" s="5" t="str">
        <v>BV</v>
      </c>
      <c r="B821" s="5" t="str">
        <f ca="1"/>
        <v>BV45677</v>
      </c>
      <c r="C821" s="8" t="str">
        <v>Pedido 808</v>
      </c>
      <c r="D821" s="9">
        <v>45677</v>
      </c>
      <c r="E821" s="9">
        <v>45677</v>
      </c>
      <c r="F821" s="8" t="str">
        <v>PedidoF787</v>
      </c>
      <c r="G821" s="2" t="str">
        <v>CódRastreio785</v>
      </c>
      <c r="H821" s="5">
        <v>1</v>
      </c>
      <c r="I821" s="182" t="str">
        <v>CPF 785</v>
      </c>
      <c r="J821" s="2" t="str">
        <v>Nome 785</v>
      </c>
      <c r="K821" s="8" t="str">
        <v>Tel 785</v>
      </c>
      <c r="L821" s="8" t="str">
        <v>Cep 785</v>
      </c>
      <c r="M821" s="8" t="str">
        <v>Rua 785</v>
      </c>
      <c r="N821" s="8" t="str">
        <v>Comp 785</v>
      </c>
      <c r="O821" s="8" t="str">
        <v>Ventilador Preto</v>
      </c>
      <c r="P821" s="8" t="str">
        <v>MU-J80P-95WF</v>
      </c>
      <c r="Q821" s="4">
        <v>45696</v>
      </c>
      <c r="R821" s="109">
        <v>66.989999999999995</v>
      </c>
      <c r="S821" s="11">
        <f ca="1"/>
        <v>66.989999999999995</v>
      </c>
      <c r="T821" s="28">
        <f ca="1"/>
        <v>8.7087000000000003</v>
      </c>
      <c r="U821" s="11">
        <f ca="1"/>
        <v>58.28</v>
      </c>
      <c r="V821" s="11">
        <v>14.15</v>
      </c>
      <c r="W821" s="11">
        <f ca="1"/>
        <v>0.19</v>
      </c>
      <c r="X821" s="11">
        <f ca="1"/>
        <v>0.39877104377104378</v>
      </c>
      <c r="Y821" s="11">
        <v>0</v>
      </c>
      <c r="Z821" s="11">
        <f ca="1"/>
        <v>43.541228956228956</v>
      </c>
      <c r="AA821" s="11">
        <f ca="1"/>
        <v>21.770614478114478</v>
      </c>
      <c r="AB821" s="4">
        <f ca="1"/>
        <v>45703</v>
      </c>
      <c r="AC821" s="4">
        <v>45703</v>
      </c>
      <c r="AD821" s="9">
        <v>45721</v>
      </c>
      <c r="AE821" s="9">
        <v>45721</v>
      </c>
      <c r="AF821" s="4" t="str">
        <f t="shared" ca="1" si="33"/>
        <v>2025 02</v>
      </c>
      <c r="AG821" s="8" t="str" cm="1">
        <f t="array" ref="AG821">IFERROR(_xlfn.IFS('Banco de Dados'!#REF!="AG. COMPRA","Em processamento",'Banco de Dados'!#REF!="AG. RASTREIO","Em processamento",'Banco de Dados'!$AE821&lt;&gt;"-","Faturado",'Banco de Dados'!$AD821&lt;&gt;"-","Aguardando Pix",'Banco de Dados'!$AC821&lt;&gt;"-","Pendente"),"Aguardando Liberação")</f>
        <v>Aguardando Liberação</v>
      </c>
      <c r="AH821" s="5" t="str">
        <f>IF('Banco de Dados'!$F821="-",_xlfn.CONCAT(PROPER(TEXT(AK821,"aaaa"))," ",PROPER(TEXT(AK821,"mm"))),_xlfn.CONCAT(PROPER(TEXT(E821,"aaaa"))," ",PROPER(TEXT(E821,"mm"))))</f>
        <v>2025 01</v>
      </c>
      <c r="AI821" s="9" t="str">
        <f ca="1">IF('Banco de Dados'!$AK821&lt;&gt;"-","REEMBOLSO",IFERROR(_xlfn.XLOOKUP(G821,Follow[CODRASTREIO],Follow[STATUS]),"-"))</f>
        <v>ENTREGUE</v>
      </c>
      <c r="AJ821" s="9">
        <f ca="1">IF('Banco de Dados'!$AI821="ENTREGUE",_xlfn.XLOOKUP('Banco de Dados'!$G821,Follow[CODRASTREIO],Follow[DATAATUALIZAÇÃO]),"-")</f>
        <v>45689</v>
      </c>
      <c r="AK821" s="132" t="str">
        <f ca="1"/>
        <v>-</v>
      </c>
      <c r="AL821" s="35"/>
      <c r="AM821" s="109" cm="1">
        <f t="array" aca="1" ref="AM821" ca="1">IF('Banco de Dados'!$AK821&lt;&gt;"-",_xlfn.IFS('Banco de Dados'!$A821="bv",IF('Banco de Dados'!$E821&lt;45641,ROUND(SUM('Banco de Dados'!$R821*_xlfn.XLOOKUP('Banco de Dados'!$P821,Sku!B:B,Sku!#REF!)*20%),2),ROUND(SUM('Banco de Dados'!$R821*_xlfn.XLOOKUP('Banco de Dados'!$P821,Sku!B:B,Sku!H:H)*20%),2)),'Banco de Dados'!$A821="GO",ROUND(_xlfn.XLOOKUP('Banco de Dados'!$P821,Sku!C:C,Sku!H:H),2),'Banco de Dados'!$A821="MEI",ROUND(_xlfn.XLOOKUP('Banco de Dados'!$P821,Sku!D:D,Sku!H:H),2)),0)</f>
        <v>0</v>
      </c>
      <c r="AN821" s="109">
        <f ca="1">IF('Banco de Dados'!$AK821&lt;&gt;"-",IF('Banco de Dados'!$F821&lt;&gt;"-",_xlfn.XLOOKUP(IFERROR(IFERROR(IFERROR(VALUE(SUBSTITUTE(MID(_xlfn.TEXTAFTER('Banco de Dados'!$F821,"Data do Pedido:
",1),1,10),"-","/")),VALUE(SUBSTITUTE(MID(_xlfn.TEXTAFTER('Banco de Dados'!$F821,"Order date:
",1),1,10),"-","/"))),VALUE(SUBSTITUTE(MID(_xlfn.TEXTAFTER('Banco de Dados'!$F821,"Fecha de pedido:
",1),1,10),"-","/"))),"-"),SMS!A:A,SMS!K:K),0),0)</f>
        <v>0</v>
      </c>
      <c r="AO821" s="109">
        <f ca="1">IF('Banco de Dados'!$AK821&lt;&gt;"-",IF('Banco de Dados'!$F821&lt;&gt;"-",IFERROR(_xlfn.XLOOKUP(_xlfn.CONCAT('Banco de Dados'!$A821,IFERROR(IFERROR(VALUE(SUBSTITUTE(MID(_xlfn.TEXTAFTER('Banco de Dados'!$F821,"Data do Pedido:
",1),1,10),"-","/")),VALUE(SUBSTITUTE(MID(_xlfn.TEXTAFTER('Banco de Dados'!$F821,"Order date:
",1),1,10),"-","/"))),0)),ProxyDD[Chave],ProxyDD[Valor por pedido]),PROXY!$P$2),0),0)</f>
        <v>0</v>
      </c>
      <c r="AP821" s="28">
        <f ca="1">IF('Banco de Dados'!$AK821&lt;&gt;"-",IF('Banco de Dados'!$AL821="NÃO",IFERROR(VALUE(SUBSTITUTE(_xlfn.TEXTAFTER('Banco de Dados'!$F821,"BRL ",1),".",",")),0),0),0)</f>
        <v>0</v>
      </c>
      <c r="AQ821" s="28">
        <f ca="1">SUM('Banco de Dados'!$AM821:$AP821)</f>
        <v>0</v>
      </c>
      <c r="AR821" s="8"/>
      <c r="AS821" s="8"/>
      <c r="AT821"/>
      <c r="AY821" s="8"/>
    </row>
    <row r="822" spans="1:51">
      <c r="A822" s="5" t="str">
        <v>BV</v>
      </c>
      <c r="B822" s="5" t="str">
        <f ca="1"/>
        <v>BV45677</v>
      </c>
      <c r="C822" s="8" t="str">
        <v>Pedido 809</v>
      </c>
      <c r="D822" s="9">
        <v>45677</v>
      </c>
      <c r="E822" s="9">
        <v>45677</v>
      </c>
      <c r="F822" s="8" t="str">
        <v>PedidoF788</v>
      </c>
      <c r="G822" s="2" t="str">
        <v>CódRastreio786</v>
      </c>
      <c r="H822" s="5">
        <v>1</v>
      </c>
      <c r="I822" s="182" t="str">
        <v>CPF 786</v>
      </c>
      <c r="J822" s="2" t="str">
        <v>Nome 786</v>
      </c>
      <c r="K822" s="8" t="str">
        <v>Tel 786</v>
      </c>
      <c r="L822" s="8" t="str">
        <v>Cep 786</v>
      </c>
      <c r="M822" s="8" t="str">
        <v>Rua 786</v>
      </c>
      <c r="N822" s="8" t="str">
        <v>Comp 786</v>
      </c>
      <c r="O822" s="8" t="str">
        <v>Ventilador Azul</v>
      </c>
      <c r="P822" s="8" t="str">
        <v>U8-2VWS-OB6M</v>
      </c>
      <c r="Q822" s="4">
        <v>45702</v>
      </c>
      <c r="R822" s="109">
        <v>66.989999999999995</v>
      </c>
      <c r="S822" s="11">
        <f ca="1"/>
        <v>66.989999999999995</v>
      </c>
      <c r="T822" s="28">
        <f ca="1"/>
        <v>8.7087000000000003</v>
      </c>
      <c r="U822" s="11">
        <f ca="1"/>
        <v>58.28</v>
      </c>
      <c r="V822" s="11">
        <v>19.649999999999999</v>
      </c>
      <c r="W822" s="11">
        <f ca="1"/>
        <v>0.19</v>
      </c>
      <c r="X822" s="11">
        <f ca="1"/>
        <v>0.39877104377104378</v>
      </c>
      <c r="Y822" s="11">
        <v>0</v>
      </c>
      <c r="Z822" s="11">
        <f ca="1"/>
        <v>38.041228956228956</v>
      </c>
      <c r="AA822" s="11">
        <f ca="1"/>
        <v>19.020614478114478</v>
      </c>
      <c r="AB822" s="4">
        <f ca="1"/>
        <v>45709</v>
      </c>
      <c r="AC822" s="4">
        <v>45709</v>
      </c>
      <c r="AD822" s="9">
        <v>45721</v>
      </c>
      <c r="AE822" s="9">
        <v>45721</v>
      </c>
      <c r="AF822" s="4" t="str">
        <f t="shared" ca="1" si="33"/>
        <v>2025 02</v>
      </c>
      <c r="AG822" s="8" t="str" cm="1">
        <f t="array" ref="AG822">IFERROR(_xlfn.IFS('Banco de Dados'!#REF!="AG. COMPRA","Em processamento",'Banco de Dados'!#REF!="AG. RASTREIO","Em processamento",'Banco de Dados'!$AE822&lt;&gt;"-","Faturado",'Banco de Dados'!$AD822&lt;&gt;"-","Aguardando Pix",'Banco de Dados'!$AC822&lt;&gt;"-","Pendente"),"Aguardando Liberação")</f>
        <v>Aguardando Liberação</v>
      </c>
      <c r="AH822" s="5" t="str">
        <f>IF('Banco de Dados'!$F822="-",_xlfn.CONCAT(PROPER(TEXT(AK822,"aaaa"))," ",PROPER(TEXT(AK822,"mm"))),_xlfn.CONCAT(PROPER(TEXT(E822,"aaaa"))," ",PROPER(TEXT(E822,"mm"))))</f>
        <v>2025 01</v>
      </c>
      <c r="AI822" s="9" t="str">
        <f ca="1">IF('Banco de Dados'!$AK822&lt;&gt;"-","REEMBOLSO",IFERROR(_xlfn.XLOOKUP(G822,Follow[CODRASTREIO],Follow[STATUS]),"-"))</f>
        <v>ENTREGUE</v>
      </c>
      <c r="AJ822" s="9">
        <f ca="1">IF('Banco de Dados'!$AI822="ENTREGUE",_xlfn.XLOOKUP('Banco de Dados'!$G822,Follow[CODRASTREIO],Follow[DATAATUALIZAÇÃO]),"-")</f>
        <v>45693</v>
      </c>
      <c r="AK822" s="132" t="str">
        <f ca="1"/>
        <v>-</v>
      </c>
      <c r="AL822" s="35"/>
      <c r="AM822" s="109" cm="1">
        <f t="array" aca="1" ref="AM822" ca="1">IF('Banco de Dados'!$AK822&lt;&gt;"-",_xlfn.IFS('Banco de Dados'!$A822="bv",IF('Banco de Dados'!$E822&lt;45641,ROUND(SUM('Banco de Dados'!$R822*_xlfn.XLOOKUP('Banco de Dados'!$P822,Sku!B:B,Sku!#REF!)*20%),2),ROUND(SUM('Banco de Dados'!$R822*_xlfn.XLOOKUP('Banco de Dados'!$P822,Sku!B:B,Sku!H:H)*20%),2)),'Banco de Dados'!$A822="GO",ROUND(_xlfn.XLOOKUP('Banco de Dados'!$P822,Sku!C:C,Sku!H:H),2),'Banco de Dados'!$A822="MEI",ROUND(_xlfn.XLOOKUP('Banco de Dados'!$P822,Sku!D:D,Sku!H:H),2)),0)</f>
        <v>0</v>
      </c>
      <c r="AN822" s="109">
        <f ca="1">IF('Banco de Dados'!$AK822&lt;&gt;"-",IF('Banco de Dados'!$F822&lt;&gt;"-",_xlfn.XLOOKUP(IFERROR(IFERROR(IFERROR(VALUE(SUBSTITUTE(MID(_xlfn.TEXTAFTER('Banco de Dados'!$F822,"Data do Pedido:
",1),1,10),"-","/")),VALUE(SUBSTITUTE(MID(_xlfn.TEXTAFTER('Banco de Dados'!$F822,"Order date:
",1),1,10),"-","/"))),VALUE(SUBSTITUTE(MID(_xlfn.TEXTAFTER('Banco de Dados'!$F822,"Fecha de pedido:
",1),1,10),"-","/"))),"-"),SMS!A:A,SMS!K:K),0),0)</f>
        <v>0</v>
      </c>
      <c r="AO822" s="109">
        <f ca="1">IF('Banco de Dados'!$AK822&lt;&gt;"-",IF('Banco de Dados'!$F822&lt;&gt;"-",IFERROR(_xlfn.XLOOKUP(_xlfn.CONCAT('Banco de Dados'!$A822,IFERROR(IFERROR(VALUE(SUBSTITUTE(MID(_xlfn.TEXTAFTER('Banco de Dados'!$F822,"Data do Pedido:
",1),1,10),"-","/")),VALUE(SUBSTITUTE(MID(_xlfn.TEXTAFTER('Banco de Dados'!$F822,"Order date:
",1),1,10),"-","/"))),0)),ProxyDD[Chave],ProxyDD[Valor por pedido]),PROXY!$P$2),0),0)</f>
        <v>0</v>
      </c>
      <c r="AP822" s="28">
        <f ca="1">IF('Banco de Dados'!$AK822&lt;&gt;"-",IF('Banco de Dados'!$AL822="NÃO",IFERROR(VALUE(SUBSTITUTE(_xlfn.TEXTAFTER('Banco de Dados'!$F822,"BRL ",1),".",",")),0),0),0)</f>
        <v>0</v>
      </c>
      <c r="AQ822" s="28">
        <f ca="1">SUM('Banco de Dados'!$AM822:$AP822)</f>
        <v>0</v>
      </c>
      <c r="AR822" s="8"/>
      <c r="AS822" s="8"/>
      <c r="AT822"/>
      <c r="AY822" s="8"/>
    </row>
    <row r="823" spans="1:51">
      <c r="A823" s="5" t="str">
        <v>BV</v>
      </c>
      <c r="B823" s="5" t="str">
        <f ca="1"/>
        <v>BV45678</v>
      </c>
      <c r="C823" s="8" t="str">
        <v>Pedido 810</v>
      </c>
      <c r="D823" s="9">
        <v>45678</v>
      </c>
      <c r="E823" s="9">
        <v>45678</v>
      </c>
      <c r="F823" s="8" t="str">
        <v>PedidoF789</v>
      </c>
      <c r="G823" s="2" t="str">
        <v>CódRastreio787</v>
      </c>
      <c r="H823" s="5">
        <v>1</v>
      </c>
      <c r="I823" s="182" t="str">
        <v>CPF 787</v>
      </c>
      <c r="J823" s="2" t="str">
        <v>Nome 787</v>
      </c>
      <c r="K823" s="8" t="str">
        <v>Tel 787</v>
      </c>
      <c r="L823" s="8" t="str">
        <v>Cep 787</v>
      </c>
      <c r="M823" s="8" t="str">
        <v>Rua 787</v>
      </c>
      <c r="N823" s="8" t="str">
        <v>Comp 787</v>
      </c>
      <c r="O823" s="8" t="str">
        <v>Garrafa Termica</v>
      </c>
      <c r="P823" s="8" t="str">
        <v>FM-QQ8Y-RZT4</v>
      </c>
      <c r="Q823" s="4">
        <v>45694</v>
      </c>
      <c r="R823" s="109">
        <v>34.9</v>
      </c>
      <c r="S823" s="11">
        <f ca="1"/>
        <v>34.9</v>
      </c>
      <c r="T823" s="28">
        <f ca="1"/>
        <v>4.5369999999999999</v>
      </c>
      <c r="U823" s="11">
        <f ca="1"/>
        <v>30.36</v>
      </c>
      <c r="V823" s="11">
        <v>14.8</v>
      </c>
      <c r="W823" s="11">
        <f ca="1"/>
        <v>0.22</v>
      </c>
      <c r="X823" s="11">
        <f ca="1"/>
        <v>0.39877104377104378</v>
      </c>
      <c r="Y823" s="11">
        <v>0</v>
      </c>
      <c r="Z823" s="11">
        <f ca="1"/>
        <v>14.941228956228954</v>
      </c>
      <c r="AA823" s="11">
        <f ca="1"/>
        <v>7.4706144781144772</v>
      </c>
      <c r="AB823" s="4">
        <f ca="1"/>
        <v>45701</v>
      </c>
      <c r="AC823" s="4">
        <v>45701</v>
      </c>
      <c r="AD823" s="9">
        <v>45702</v>
      </c>
      <c r="AE823" s="9">
        <v>45705</v>
      </c>
      <c r="AF823" s="4" t="str">
        <f t="shared" ref="AF823:AF830" ca="1" si="34">_xlfn.CONCAT(PROPER(TEXT(AB823,"aaaa"))," ",PROPER(TEXT(AB823,"mm")))</f>
        <v>2025 02</v>
      </c>
      <c r="AG823" s="8" t="str" cm="1">
        <f t="array" ref="AG823">IFERROR(_xlfn.IFS('Banco de Dados'!#REF!="AG. COMPRA","Em processamento",'Banco de Dados'!#REF!="AG. RASTREIO","Em processamento",'Banco de Dados'!$AE823&lt;&gt;"-","Faturado",'Banco de Dados'!$AD823&lt;&gt;"-","Aguardando Pix",'Banco de Dados'!$AC823&lt;&gt;"-","Pendente"),"Aguardando Liberação")</f>
        <v>Aguardando Liberação</v>
      </c>
      <c r="AH823" s="5" t="str">
        <f>IF('Banco de Dados'!$F823="-",_xlfn.CONCAT(PROPER(TEXT(AK823,"aaaa"))," ",PROPER(TEXT(AK823,"mm"))),_xlfn.CONCAT(PROPER(TEXT(E823,"aaaa"))," ",PROPER(TEXT(E823,"mm"))))</f>
        <v>2025 01</v>
      </c>
      <c r="AI823" s="9" t="str">
        <f ca="1">IF('Banco de Dados'!$AK823&lt;&gt;"-","REEMBOLSO",IFERROR(_xlfn.XLOOKUP(G823,Follow[CODRASTREIO],Follow[STATUS]),"-"))</f>
        <v>ENTREGUE</v>
      </c>
      <c r="AJ823" s="9">
        <f ca="1">IF('Banco de Dados'!$AI823="ENTREGUE",_xlfn.XLOOKUP('Banco de Dados'!$G823,Follow[CODRASTREIO],Follow[DATAATUALIZAÇÃO]),"-")</f>
        <v>45684</v>
      </c>
      <c r="AK823" s="132" t="str">
        <f ca="1"/>
        <v>-</v>
      </c>
      <c r="AL823" s="35"/>
      <c r="AM823" s="109" cm="1">
        <f t="array" aca="1" ref="AM823" ca="1">IF('Banco de Dados'!$AK823&lt;&gt;"-",_xlfn.IFS('Banco de Dados'!$A823="bv",IF('Banco de Dados'!$E823&lt;45641,ROUND(SUM('Banco de Dados'!$R823*_xlfn.XLOOKUP('Banco de Dados'!$P823,Sku!B:B,Sku!#REF!)*20%),2),ROUND(SUM('Banco de Dados'!$R823*_xlfn.XLOOKUP('Banco de Dados'!$P823,Sku!B:B,Sku!H:H)*20%),2)),'Banco de Dados'!$A823="GO",ROUND(_xlfn.XLOOKUP('Banco de Dados'!$P823,Sku!C:C,Sku!H:H),2),'Banco de Dados'!$A823="MEI",ROUND(_xlfn.XLOOKUP('Banco de Dados'!$P823,Sku!D:D,Sku!H:H),2)),0)</f>
        <v>0</v>
      </c>
      <c r="AN823" s="109">
        <f ca="1">IF('Banco de Dados'!$AK823&lt;&gt;"-",IF('Banco de Dados'!$F823&lt;&gt;"-",_xlfn.XLOOKUP(IFERROR(IFERROR(IFERROR(VALUE(SUBSTITUTE(MID(_xlfn.TEXTAFTER('Banco de Dados'!$F823,"Data do Pedido:
",1),1,10),"-","/")),VALUE(SUBSTITUTE(MID(_xlfn.TEXTAFTER('Banco de Dados'!$F823,"Order date:
",1),1,10),"-","/"))),VALUE(SUBSTITUTE(MID(_xlfn.TEXTAFTER('Banco de Dados'!$F823,"Fecha de pedido:
",1),1,10),"-","/"))),"-"),SMS!A:A,SMS!K:K),0),0)</f>
        <v>0</v>
      </c>
      <c r="AO823" s="109">
        <f ca="1">IF('Banco de Dados'!$AK823&lt;&gt;"-",IF('Banco de Dados'!$F823&lt;&gt;"-",IFERROR(_xlfn.XLOOKUP(_xlfn.CONCAT('Banco de Dados'!$A823,IFERROR(IFERROR(VALUE(SUBSTITUTE(MID(_xlfn.TEXTAFTER('Banco de Dados'!$F823,"Data do Pedido:
",1),1,10),"-","/")),VALUE(SUBSTITUTE(MID(_xlfn.TEXTAFTER('Banco de Dados'!$F823,"Order date:
",1),1,10),"-","/"))),0)),ProxyDD[Chave],ProxyDD[Valor por pedido]),PROXY!$P$2),0),0)</f>
        <v>0</v>
      </c>
      <c r="AP823" s="28">
        <f ca="1">IF('Banco de Dados'!$AK823&lt;&gt;"-",IF('Banco de Dados'!$AL823="NÃO",IFERROR(VALUE(SUBSTITUTE(_xlfn.TEXTAFTER('Banco de Dados'!$F823,"BRL ",1),".",",")),0),0),0)</f>
        <v>0</v>
      </c>
      <c r="AQ823" s="28">
        <f ca="1">SUM('Banco de Dados'!$AM823:$AP823)</f>
        <v>0</v>
      </c>
      <c r="AR823" s="8"/>
      <c r="AS823" s="8"/>
      <c r="AT823"/>
      <c r="AY823" s="8"/>
    </row>
    <row r="824" spans="1:51">
      <c r="A824" s="5" t="str">
        <v>BV</v>
      </c>
      <c r="B824" s="5" t="str">
        <f ca="1"/>
        <v>BV45678</v>
      </c>
      <c r="C824" s="8" t="str">
        <v>Pedido 811</v>
      </c>
      <c r="D824" s="9">
        <v>45678</v>
      </c>
      <c r="E824" s="9">
        <v>45678</v>
      </c>
      <c r="F824" s="8" t="str">
        <v>PedidoF790</v>
      </c>
      <c r="G824" s="2" t="str">
        <v>CódRastreio788</v>
      </c>
      <c r="H824" s="5">
        <v>1</v>
      </c>
      <c r="I824" s="182" t="str">
        <v>CPF 788</v>
      </c>
      <c r="J824" s="2" t="str">
        <v>Nome 788</v>
      </c>
      <c r="K824" s="8" t="str">
        <v>Tel 788</v>
      </c>
      <c r="L824" s="8" t="str">
        <v>Cep 788</v>
      </c>
      <c r="M824" s="8" t="str">
        <v>Rua 788</v>
      </c>
      <c r="N824" s="8" t="str">
        <v>Comp 788</v>
      </c>
      <c r="O824" s="8" t="str">
        <v>Ventilador Preto</v>
      </c>
      <c r="P824" s="8" t="str">
        <v>MU-J80P-95WF</v>
      </c>
      <c r="Q824" s="4">
        <v>45702</v>
      </c>
      <c r="R824" s="109">
        <v>66.989999999999995</v>
      </c>
      <c r="S824" s="11">
        <f ca="1"/>
        <v>66.989999999999995</v>
      </c>
      <c r="T824" s="28">
        <f ca="1"/>
        <v>8.7087000000000003</v>
      </c>
      <c r="U824" s="11">
        <f ca="1"/>
        <v>58.28</v>
      </c>
      <c r="V824" s="11">
        <v>14.11</v>
      </c>
      <c r="W824" s="11">
        <f ca="1"/>
        <v>0.22</v>
      </c>
      <c r="X824" s="11">
        <f ca="1"/>
        <v>0.39877104377104378</v>
      </c>
      <c r="Y824" s="11">
        <v>0</v>
      </c>
      <c r="Z824" s="11">
        <f ca="1"/>
        <v>43.551228956228954</v>
      </c>
      <c r="AA824" s="11">
        <f ca="1"/>
        <v>21.775614478114477</v>
      </c>
      <c r="AB824" s="4">
        <f ca="1"/>
        <v>45709</v>
      </c>
      <c r="AC824" s="4">
        <v>45709</v>
      </c>
      <c r="AD824" s="9">
        <v>45721</v>
      </c>
      <c r="AE824" s="9">
        <v>45721</v>
      </c>
      <c r="AF824" s="4" t="str">
        <f t="shared" ca="1" si="34"/>
        <v>2025 02</v>
      </c>
      <c r="AG824" s="8" t="str" cm="1">
        <f t="array" ref="AG824">IFERROR(_xlfn.IFS('Banco de Dados'!#REF!="AG. COMPRA","Em processamento",'Banco de Dados'!#REF!="AG. RASTREIO","Em processamento",'Banco de Dados'!$AE824&lt;&gt;"-","Faturado",'Banco de Dados'!$AD824&lt;&gt;"-","Aguardando Pix",'Banco de Dados'!$AC824&lt;&gt;"-","Pendente"),"Aguardando Liberação")</f>
        <v>Aguardando Liberação</v>
      </c>
      <c r="AH824" s="5" t="str">
        <f>IF('Banco de Dados'!$F824="-",_xlfn.CONCAT(PROPER(TEXT(AK824,"aaaa"))," ",PROPER(TEXT(AK824,"mm"))),_xlfn.CONCAT(PROPER(TEXT(E824,"aaaa"))," ",PROPER(TEXT(E824,"mm"))))</f>
        <v>2025 01</v>
      </c>
      <c r="AI824" s="9" t="str">
        <f ca="1">IF('Banco de Dados'!$AK824&lt;&gt;"-","REEMBOLSO",IFERROR(_xlfn.XLOOKUP(G824,Follow[CODRASTREIO],Follow[STATUS]),"-"))</f>
        <v>ENTREGUE</v>
      </c>
      <c r="AJ824" s="9">
        <f ca="1">IF('Banco de Dados'!$AI824="ENTREGUE",_xlfn.XLOOKUP('Banco de Dados'!$G824,Follow[CODRASTREIO],Follow[DATAATUALIZAÇÃO]),"-")</f>
        <v>45695</v>
      </c>
      <c r="AK824" s="132" t="str">
        <f ca="1"/>
        <v>-</v>
      </c>
      <c r="AL824" s="35"/>
      <c r="AM824" s="109" cm="1">
        <f t="array" aca="1" ref="AM824" ca="1">IF('Banco de Dados'!$AK824&lt;&gt;"-",_xlfn.IFS('Banco de Dados'!$A824="bv",IF('Banco de Dados'!$E824&lt;45641,ROUND(SUM('Banco de Dados'!$R824*_xlfn.XLOOKUP('Banco de Dados'!$P824,Sku!B:B,Sku!#REF!)*20%),2),ROUND(SUM('Banco de Dados'!$R824*_xlfn.XLOOKUP('Banco de Dados'!$P824,Sku!B:B,Sku!H:H)*20%),2)),'Banco de Dados'!$A824="GO",ROUND(_xlfn.XLOOKUP('Banco de Dados'!$P824,Sku!C:C,Sku!H:H),2),'Banco de Dados'!$A824="MEI",ROUND(_xlfn.XLOOKUP('Banco de Dados'!$P824,Sku!D:D,Sku!H:H),2)),0)</f>
        <v>0</v>
      </c>
      <c r="AN824" s="109">
        <f ca="1">IF('Banco de Dados'!$AK824&lt;&gt;"-",IF('Banco de Dados'!$F824&lt;&gt;"-",_xlfn.XLOOKUP(IFERROR(IFERROR(IFERROR(VALUE(SUBSTITUTE(MID(_xlfn.TEXTAFTER('Banco de Dados'!$F824,"Data do Pedido:
",1),1,10),"-","/")),VALUE(SUBSTITUTE(MID(_xlfn.TEXTAFTER('Banco de Dados'!$F824,"Order date:
",1),1,10),"-","/"))),VALUE(SUBSTITUTE(MID(_xlfn.TEXTAFTER('Banco de Dados'!$F824,"Fecha de pedido:
",1),1,10),"-","/"))),"-"),SMS!A:A,SMS!K:K),0),0)</f>
        <v>0</v>
      </c>
      <c r="AO824" s="109">
        <f ca="1">IF('Banco de Dados'!$AK824&lt;&gt;"-",IF('Banco de Dados'!$F824&lt;&gt;"-",IFERROR(_xlfn.XLOOKUP(_xlfn.CONCAT('Banco de Dados'!$A824,IFERROR(IFERROR(VALUE(SUBSTITUTE(MID(_xlfn.TEXTAFTER('Banco de Dados'!$F824,"Data do Pedido:
",1),1,10),"-","/")),VALUE(SUBSTITUTE(MID(_xlfn.TEXTAFTER('Banco de Dados'!$F824,"Order date:
",1),1,10),"-","/"))),0)),ProxyDD[Chave],ProxyDD[Valor por pedido]),PROXY!$P$2),0),0)</f>
        <v>0</v>
      </c>
      <c r="AP824" s="28">
        <f ca="1">IF('Banco de Dados'!$AK824&lt;&gt;"-",IF('Banco de Dados'!$AL824="NÃO",IFERROR(VALUE(SUBSTITUTE(_xlfn.TEXTAFTER('Banco de Dados'!$F824,"BRL ",1),".",",")),0),0),0)</f>
        <v>0</v>
      </c>
      <c r="AQ824" s="28">
        <f ca="1">SUM('Banco de Dados'!$AM824:$AP824)</f>
        <v>0</v>
      </c>
      <c r="AR824" s="8"/>
      <c r="AS824" s="8"/>
      <c r="AT824"/>
      <c r="AY824" s="8"/>
    </row>
    <row r="825" spans="1:51">
      <c r="A825" s="5" t="str">
        <v>BV</v>
      </c>
      <c r="B825" s="5" t="str">
        <f ca="1"/>
        <v>BV45678</v>
      </c>
      <c r="C825" s="8" t="str">
        <v>Pedido 812</v>
      </c>
      <c r="D825" s="9">
        <v>45678</v>
      </c>
      <c r="E825" s="9">
        <v>45678</v>
      </c>
      <c r="F825" s="8" t="str">
        <v>PedidoF791</v>
      </c>
      <c r="G825" s="2" t="str">
        <v>CódRastreio789</v>
      </c>
      <c r="H825" s="5">
        <v>1</v>
      </c>
      <c r="I825" s="182" t="str">
        <v>CPF 789</v>
      </c>
      <c r="J825" s="2" t="str">
        <v>Nome 789</v>
      </c>
      <c r="K825" s="8" t="str">
        <v>Tel 789</v>
      </c>
      <c r="L825" s="8" t="str">
        <v>Cep 789</v>
      </c>
      <c r="M825" s="8" t="str">
        <v>Rua 789</v>
      </c>
      <c r="N825" s="8" t="str">
        <v>Comp 789</v>
      </c>
      <c r="O825" s="8" t="str">
        <v>Ventilador Azul</v>
      </c>
      <c r="P825" s="8" t="str">
        <v>U8-2VWS-OB6M</v>
      </c>
      <c r="Q825" s="4">
        <v>45703</v>
      </c>
      <c r="R825" s="109">
        <v>66.989999999999995</v>
      </c>
      <c r="S825" s="11">
        <f ca="1"/>
        <v>0</v>
      </c>
      <c r="T825" s="28">
        <f ca="1"/>
        <v>0</v>
      </c>
      <c r="U825" s="11">
        <f ca="1"/>
        <v>0</v>
      </c>
      <c r="V825" s="11">
        <v>0</v>
      </c>
      <c r="W825" s="11">
        <f ca="1"/>
        <v>0</v>
      </c>
      <c r="X825" s="11">
        <f ca="1"/>
        <v>0.39877104377104378</v>
      </c>
      <c r="Y825" s="11">
        <v>0</v>
      </c>
      <c r="Z825" s="11">
        <f ca="1"/>
        <v>-0.39877104377104378</v>
      </c>
      <c r="AA825" s="11">
        <f ca="1"/>
        <v>-0.19938552188552189</v>
      </c>
      <c r="AB825" s="4">
        <f ca="1"/>
        <v>45710</v>
      </c>
      <c r="AC825" s="4">
        <v>45710</v>
      </c>
      <c r="AD825" s="9">
        <v>45721</v>
      </c>
      <c r="AE825" s="9">
        <v>45721</v>
      </c>
      <c r="AF825" s="4" t="str">
        <f t="shared" ca="1" si="34"/>
        <v>2025 02</v>
      </c>
      <c r="AG825" s="8" t="str" cm="1">
        <f t="array" ref="AG825">IFERROR(_xlfn.IFS('Banco de Dados'!#REF!="AG. COMPRA","Em processamento",'Banco de Dados'!#REF!="AG. RASTREIO","Em processamento",'Banco de Dados'!$AE825&lt;&gt;"-","Faturado",'Banco de Dados'!$AD825&lt;&gt;"-","Aguardando Pix",'Banco de Dados'!$AC825&lt;&gt;"-","Pendente"),"Aguardando Liberação")</f>
        <v>Aguardando Liberação</v>
      </c>
      <c r="AH825" s="5" t="str">
        <f>IF('Banco de Dados'!$F825="-",_xlfn.CONCAT(PROPER(TEXT(AK825,"aaaa"))," ",PROPER(TEXT(AK825,"mm"))),_xlfn.CONCAT(PROPER(TEXT(E825,"aaaa"))," ",PROPER(TEXT(E825,"mm"))))</f>
        <v>2025 01</v>
      </c>
      <c r="AI825" s="9" t="str">
        <f ca="1">IF('Banco de Dados'!$AK825&lt;&gt;"-","REEMBOLSO",IFERROR(_xlfn.XLOOKUP(G825,Follow[CODRASTREIO],Follow[STATUS]),"-"))</f>
        <v>REEMBOLSO</v>
      </c>
      <c r="AJ825" s="9" t="str">
        <f ca="1">IF('Banco de Dados'!$AI825="ENTREGUE",_xlfn.XLOOKUP('Banco de Dados'!$G825,Follow[CODRASTREIO],Follow[DATAATUALIZAÇÃO]),"-")</f>
        <v>-</v>
      </c>
      <c r="AK825" s="132">
        <f ca="1"/>
        <v>45709</v>
      </c>
      <c r="AL825" s="35"/>
      <c r="AM825" s="109" cm="1">
        <f t="array" aca="1" ref="AM825" ca="1">IF('Banco de Dados'!$AK825&lt;&gt;"-",_xlfn.IFS('Banco de Dados'!$A825="bv",IF('Banco de Dados'!$E825&lt;45641,ROUND(SUM('Banco de Dados'!$R825*_xlfn.XLOOKUP('Banco de Dados'!$P825,Sku!B:B,Sku!#REF!)*20%),2),ROUND(SUM('Banco de Dados'!$R825*_xlfn.XLOOKUP('Banco de Dados'!$P825,Sku!B:B,Sku!H:H)*20%),2)),'Banco de Dados'!$A825="GO",ROUND(_xlfn.XLOOKUP('Banco de Dados'!$P825,Sku!C:C,Sku!H:H),2),'Banco de Dados'!$A825="MEI",ROUND(_xlfn.XLOOKUP('Banco de Dados'!$P825,Sku!D:D,Sku!H:H),2)),0)</f>
        <v>1.74</v>
      </c>
      <c r="AN825" s="109" t="e">
        <f ca="1">IF('Banco de Dados'!$AK825&lt;&gt;"-",IF('Banco de Dados'!$F825&lt;&gt;"-",_xlfn.XLOOKUP(IFERROR(IFERROR(IFERROR(VALUE(SUBSTITUTE(MID(_xlfn.TEXTAFTER('Banco de Dados'!$F825,"Data do Pedido:
",1),1,10),"-","/")),VALUE(SUBSTITUTE(MID(_xlfn.TEXTAFTER('Banco de Dados'!$F825,"Order date:
",1),1,10),"-","/"))),VALUE(SUBSTITUTE(MID(_xlfn.TEXTAFTER('Banco de Dados'!$F825,"Fecha de pedido:
",1),1,10),"-","/"))),"-"),SMS!A:A,SMS!K:K),0),0)</f>
        <v>#N/A</v>
      </c>
      <c r="AO825" s="109">
        <f ca="1">IF('Banco de Dados'!$AK825&lt;&gt;"-",IF('Banco de Dados'!$F825&lt;&gt;"-",IFERROR(_xlfn.XLOOKUP(_xlfn.CONCAT('Banco de Dados'!$A825,IFERROR(IFERROR(VALUE(SUBSTITUTE(MID(_xlfn.TEXTAFTER('Banco de Dados'!$F825,"Data do Pedido:
",1),1,10),"-","/")),VALUE(SUBSTITUTE(MID(_xlfn.TEXTAFTER('Banco de Dados'!$F825,"Order date:
",1),1,10),"-","/"))),0)),ProxyDD[Chave],ProxyDD[Valor por pedido]),PROXY!$P$2),0),0)</f>
        <v>0.39877104377104378</v>
      </c>
      <c r="AP825" s="28">
        <f ca="1">IF('Banco de Dados'!$AK825&lt;&gt;"-",IF('Banco de Dados'!$AL825="NÃO",IFERROR(VALUE(SUBSTITUTE(_xlfn.TEXTAFTER('Banco de Dados'!$F825,"BRL ",1),".",",")),0),0),0)</f>
        <v>0</v>
      </c>
      <c r="AQ825" s="28" t="e">
        <f ca="1">SUM('Banco de Dados'!$AM825:$AP825)</f>
        <v>#N/A</v>
      </c>
      <c r="AR825" s="8"/>
      <c r="AS825" s="8"/>
      <c r="AT825"/>
      <c r="AY825" s="8"/>
    </row>
    <row r="826" spans="1:51">
      <c r="A826" s="5" t="str">
        <v>BV</v>
      </c>
      <c r="B826" s="5" t="str">
        <f ca="1"/>
        <v>BV45678</v>
      </c>
      <c r="C826" s="8" t="str">
        <v>Pedido 813</v>
      </c>
      <c r="D826" s="9">
        <v>45678</v>
      </c>
      <c r="E826" s="9">
        <v>45678</v>
      </c>
      <c r="F826" s="8" t="str">
        <v>PedidoF792</v>
      </c>
      <c r="G826" s="2" t="str">
        <v>CódRastreio790</v>
      </c>
      <c r="H826" s="5">
        <v>1</v>
      </c>
      <c r="I826" s="182" t="str">
        <v>CPF 790</v>
      </c>
      <c r="J826" s="2" t="str">
        <v>Nome 790</v>
      </c>
      <c r="K826" s="8" t="str">
        <v>Tel 790</v>
      </c>
      <c r="L826" s="8" t="str">
        <v>Cep 790</v>
      </c>
      <c r="M826" s="8" t="str">
        <v>Rua 790</v>
      </c>
      <c r="N826" s="8" t="str">
        <v>Comp 790</v>
      </c>
      <c r="O826" s="8" t="str">
        <v>Ventilador Preto</v>
      </c>
      <c r="P826" s="8" t="str">
        <v>MU-J80P-95WF</v>
      </c>
      <c r="Q826" s="4">
        <v>45699</v>
      </c>
      <c r="R826" s="109">
        <v>66.989999999999995</v>
      </c>
      <c r="S826" s="11">
        <f ca="1"/>
        <v>66.989999999999995</v>
      </c>
      <c r="T826" s="28">
        <f ca="1"/>
        <v>8.7087000000000003</v>
      </c>
      <c r="U826" s="11">
        <f ca="1"/>
        <v>58.28</v>
      </c>
      <c r="V826" s="11">
        <v>0</v>
      </c>
      <c r="W826" s="11">
        <f ca="1"/>
        <v>0.22</v>
      </c>
      <c r="X826" s="11">
        <f ca="1"/>
        <v>0.39877104377104378</v>
      </c>
      <c r="Y826" s="11">
        <v>0</v>
      </c>
      <c r="Z826" s="11">
        <f ca="1"/>
        <v>57.66122895622896</v>
      </c>
      <c r="AA826" s="11">
        <f ca="1"/>
        <v>28.83061447811448</v>
      </c>
      <c r="AB826" s="4">
        <f ca="1"/>
        <v>45706</v>
      </c>
      <c r="AC826" s="4">
        <v>45706</v>
      </c>
      <c r="AD826" s="9">
        <v>45721</v>
      </c>
      <c r="AE826" s="9">
        <v>45721</v>
      </c>
      <c r="AF826" s="4" t="str">
        <f t="shared" ca="1" si="34"/>
        <v>2025 02</v>
      </c>
      <c r="AG826" s="8" t="str" cm="1">
        <f t="array" ref="AG826">IFERROR(_xlfn.IFS('Banco de Dados'!#REF!="AG. COMPRA","Em processamento",'Banco de Dados'!#REF!="AG. RASTREIO","Em processamento",'Banco de Dados'!$AE826&lt;&gt;"-","Faturado",'Banco de Dados'!$AD826&lt;&gt;"-","Aguardando Pix",'Banco de Dados'!$AC826&lt;&gt;"-","Pendente"),"Aguardando Liberação")</f>
        <v>Aguardando Liberação</v>
      </c>
      <c r="AH826" s="5" t="str">
        <f>IF('Banco de Dados'!$F826="-",_xlfn.CONCAT(PROPER(TEXT(AK826,"aaaa"))," ",PROPER(TEXT(AK826,"mm"))),_xlfn.CONCAT(PROPER(TEXT(E826,"aaaa"))," ",PROPER(TEXT(E826,"mm"))))</f>
        <v>2025 01</v>
      </c>
      <c r="AI826" s="9" t="str">
        <f ca="1">IF('Banco de Dados'!$AK826&lt;&gt;"-","REEMBOLSO",IFERROR(_xlfn.XLOOKUP(G826,Follow[CODRASTREIO],Follow[STATUS]),"-"))</f>
        <v>ENTREGUE</v>
      </c>
      <c r="AJ826" s="9">
        <f ca="1">IF('Banco de Dados'!$AI826="ENTREGUE",_xlfn.XLOOKUP('Banco de Dados'!$G826,Follow[CODRASTREIO],Follow[DATAATUALIZAÇÃO]),"-")</f>
        <v>45698</v>
      </c>
      <c r="AK826" s="132" t="str">
        <f ca="1"/>
        <v>-</v>
      </c>
      <c r="AL826" s="35"/>
      <c r="AM826" s="109" cm="1">
        <f t="array" aca="1" ref="AM826" ca="1">IF('Banco de Dados'!$AK826&lt;&gt;"-",_xlfn.IFS('Banco de Dados'!$A826="bv",IF('Banco de Dados'!$E826&lt;45641,ROUND(SUM('Banco de Dados'!$R826*_xlfn.XLOOKUP('Banco de Dados'!$P826,Sku!B:B,Sku!#REF!)*20%),2),IF('Banco de Dados'!$E826&lt;Sku!#REF!,ROUND(SUM('Banco de Dados'!$R826*_xlfn.XLOOKUP('Banco de Dados'!$P826,Sku!B:B,Sku!#REF!)*20%),2),ROUND(SUM('Banco de Dados'!$R826*_xlfn.XLOOKUP('Banco de Dados'!$P826,Sku!B:B,Sku!H:H)*20%),2))),'Banco de Dados'!$A826="GO",ROUND(_xlfn.XLOOKUP('Banco de Dados'!$P826,Sku!C:C,Sku!H:H),2),'Banco de Dados'!$A826="MEI",ROUND(_xlfn.XLOOKUP('Banco de Dados'!$P826,Sku!D:D,Sku!H:H),2)),0)</f>
        <v>0</v>
      </c>
      <c r="AN826" s="109">
        <f ca="1">IF('Banco de Dados'!$AK826&lt;&gt;"-",IF('Banco de Dados'!$F826&lt;&gt;"-",_xlfn.XLOOKUP(IFERROR(IFERROR(IFERROR(VALUE(SUBSTITUTE(MID(_xlfn.TEXTAFTER('Banco de Dados'!$F826,"Data do Pedido:
",1),1,10),"-","/")),VALUE(SUBSTITUTE(MID(_xlfn.TEXTAFTER('Banco de Dados'!$F826,"Order date:
",1),1,10),"-","/"))),VALUE(SUBSTITUTE(MID(_xlfn.TEXTAFTER('Banco de Dados'!$F826,"Fecha de pedido:
",1),1,10),"-","/"))),"-"),SMS!A:A,SMS!K:K),0),0)</f>
        <v>0</v>
      </c>
      <c r="AO826" s="109">
        <f ca="1">IF('Banco de Dados'!$AK826&lt;&gt;"-",IF('Banco de Dados'!$F826&lt;&gt;"-",IFERROR(_xlfn.XLOOKUP(_xlfn.CONCAT('Banco de Dados'!$A826,IFERROR(IFERROR(VALUE(SUBSTITUTE(MID(_xlfn.TEXTAFTER('Banco de Dados'!$F826,"Data do Pedido:
",1),1,10),"-","/")),VALUE(SUBSTITUTE(MID(_xlfn.TEXTAFTER('Banco de Dados'!$F826,"Order date:
",1),1,10),"-","/"))),0)),ProxyDD[Chave],ProxyDD[Valor por pedido]),PROXY!$P$2),0),0)</f>
        <v>0</v>
      </c>
      <c r="AP826" s="28">
        <f ca="1">IF('Banco de Dados'!$AK826&lt;&gt;"-",IF('Banco de Dados'!$AL826="NÃO",IFERROR(VALUE(SUBSTITUTE(_xlfn.TEXTAFTER('Banco de Dados'!$F826,"BRL ",1),".",",")),0),0),0)</f>
        <v>0</v>
      </c>
      <c r="AQ826" s="28">
        <f ca="1">SUM('Banco de Dados'!$AM826:$AP826)</f>
        <v>0</v>
      </c>
      <c r="AR826" s="8"/>
      <c r="AS826" s="8"/>
      <c r="AT826"/>
      <c r="AY826" s="8"/>
    </row>
    <row r="827" spans="1:51">
      <c r="A827" s="5" t="str">
        <v>BV</v>
      </c>
      <c r="B827" s="5" t="str">
        <f ca="1"/>
        <v>BV45678</v>
      </c>
      <c r="C827" s="8" t="str">
        <v>Pedido 814</v>
      </c>
      <c r="D827" s="9">
        <v>45678</v>
      </c>
      <c r="E827" s="9">
        <v>45678</v>
      </c>
      <c r="F827" s="8" t="str">
        <v>PedidoF793</v>
      </c>
      <c r="G827" s="2" t="str">
        <v>CódRastreio791</v>
      </c>
      <c r="H827" s="5">
        <v>1</v>
      </c>
      <c r="I827" s="182" t="str">
        <v>CPF 791</v>
      </c>
      <c r="J827" s="2" t="str">
        <v>Nome 791</v>
      </c>
      <c r="K827" s="8" t="str">
        <v>Tel 791</v>
      </c>
      <c r="L827" s="8" t="str">
        <v>Cep 791</v>
      </c>
      <c r="M827" s="8" t="str">
        <v>Rua 791</v>
      </c>
      <c r="N827" s="8" t="str">
        <v>Comp 791</v>
      </c>
      <c r="O827" s="8" t="str">
        <v>Ventilador Preto</v>
      </c>
      <c r="P827" s="8" t="str">
        <v>MU-J80P-95WF</v>
      </c>
      <c r="Q827" s="4">
        <v>45699</v>
      </c>
      <c r="R827" s="109">
        <v>66.989999999999995</v>
      </c>
      <c r="S827" s="11">
        <f ca="1"/>
        <v>66.989999999999995</v>
      </c>
      <c r="T827" s="28">
        <f ca="1"/>
        <v>8.7087000000000003</v>
      </c>
      <c r="U827" s="11">
        <f ca="1"/>
        <v>58.28</v>
      </c>
      <c r="V827" s="11">
        <v>14.11</v>
      </c>
      <c r="W827" s="11">
        <f ca="1"/>
        <v>0.22</v>
      </c>
      <c r="X827" s="11">
        <f ca="1"/>
        <v>0.39877104377104378</v>
      </c>
      <c r="Y827" s="11">
        <v>0</v>
      </c>
      <c r="Z827" s="11">
        <f ca="1"/>
        <v>43.551228956228954</v>
      </c>
      <c r="AA827" s="11">
        <f ca="1"/>
        <v>21.775614478114477</v>
      </c>
      <c r="AB827" s="4">
        <f ca="1"/>
        <v>45706</v>
      </c>
      <c r="AC827" s="4">
        <v>45706</v>
      </c>
      <c r="AD827" s="9">
        <v>45721</v>
      </c>
      <c r="AE827" s="9">
        <v>45721</v>
      </c>
      <c r="AF827" s="4" t="str">
        <f t="shared" ca="1" si="34"/>
        <v>2025 02</v>
      </c>
      <c r="AG827" s="8" t="str" cm="1">
        <f t="array" ref="AG827">IFERROR(_xlfn.IFS('Banco de Dados'!#REF!="AG. COMPRA","Em processamento",'Banco de Dados'!#REF!="AG. RASTREIO","Em processamento",'Banco de Dados'!$AE827&lt;&gt;"-","Faturado",'Banco de Dados'!$AD827&lt;&gt;"-","Aguardando Pix",'Banco de Dados'!$AC827&lt;&gt;"-","Pendente"),"Aguardando Liberação")</f>
        <v>Aguardando Liberação</v>
      </c>
      <c r="AH827" s="5" t="str">
        <f>IF('Banco de Dados'!$F827="-",_xlfn.CONCAT(PROPER(TEXT(AK827,"aaaa"))," ",PROPER(TEXT(AK827,"mm"))),_xlfn.CONCAT(PROPER(TEXT(E827,"aaaa"))," ",PROPER(TEXT(E827,"mm"))))</f>
        <v>2025 01</v>
      </c>
      <c r="AI827" s="9" t="str">
        <f ca="1">IF('Banco de Dados'!$AK827&lt;&gt;"-","REEMBOLSO",IFERROR(_xlfn.XLOOKUP(G827,Follow[CODRASTREIO],Follow[STATUS]),"-"))</f>
        <v>ENTREGUE</v>
      </c>
      <c r="AJ827" s="9">
        <f ca="1">IF('Banco de Dados'!$AI827="ENTREGUE",_xlfn.XLOOKUP('Banco de Dados'!$G827,Follow[CODRASTREIO],Follow[DATAATUALIZAÇÃO]),"-")</f>
        <v>45692</v>
      </c>
      <c r="AK827" s="132" t="str">
        <f ca="1"/>
        <v>-</v>
      </c>
      <c r="AL827" s="35"/>
      <c r="AM827" s="109" cm="1">
        <f t="array" aca="1" ref="AM827" ca="1">IF('Banco de Dados'!$AK827&lt;&gt;"-",_xlfn.IFS('Banco de Dados'!$A827="bv",IF('Banco de Dados'!$E827&lt;45641,ROUND(SUM('Banco de Dados'!$R827*_xlfn.XLOOKUP('Banco de Dados'!$P827,Sku!B:B,Sku!#REF!)*20%),2),ROUND(SUM('Banco de Dados'!$R827*_xlfn.XLOOKUP('Banco de Dados'!$P827,Sku!B:B,Sku!H:H)*20%),2)),'Banco de Dados'!$A827="GO",ROUND(_xlfn.XLOOKUP('Banco de Dados'!$P827,Sku!C:C,Sku!H:H),2),'Banco de Dados'!$A827="MEI",ROUND(_xlfn.XLOOKUP('Banco de Dados'!$P827,Sku!D:D,Sku!H:H),2)),0)</f>
        <v>0</v>
      </c>
      <c r="AN827" s="109">
        <f ca="1">IF('Banco de Dados'!$AK827&lt;&gt;"-",IF('Banco de Dados'!$F827&lt;&gt;"-",_xlfn.XLOOKUP(IFERROR(IFERROR(IFERROR(VALUE(SUBSTITUTE(MID(_xlfn.TEXTAFTER('Banco de Dados'!$F827,"Data do Pedido:
",1),1,10),"-","/")),VALUE(SUBSTITUTE(MID(_xlfn.TEXTAFTER('Banco de Dados'!$F827,"Order date:
",1),1,10),"-","/"))),VALUE(SUBSTITUTE(MID(_xlfn.TEXTAFTER('Banco de Dados'!$F827,"Fecha de pedido:
",1),1,10),"-","/"))),"-"),SMS!A:A,SMS!K:K),0),0)</f>
        <v>0</v>
      </c>
      <c r="AO827" s="109">
        <f ca="1">IF('Banco de Dados'!$AK827&lt;&gt;"-",IF('Banco de Dados'!$F827&lt;&gt;"-",IFERROR(_xlfn.XLOOKUP(_xlfn.CONCAT('Banco de Dados'!$A827,IFERROR(IFERROR(VALUE(SUBSTITUTE(MID(_xlfn.TEXTAFTER('Banco de Dados'!$F827,"Data do Pedido:
",1),1,10),"-","/")),VALUE(SUBSTITUTE(MID(_xlfn.TEXTAFTER('Banco de Dados'!$F827,"Order date:
",1),1,10),"-","/"))),0)),ProxyDD[Chave],ProxyDD[Valor por pedido]),PROXY!$P$2),0),0)</f>
        <v>0</v>
      </c>
      <c r="AP827" s="28">
        <f ca="1">IF('Banco de Dados'!$AK827&lt;&gt;"-",IF('Banco de Dados'!$AL827="NÃO",IFERROR(VALUE(SUBSTITUTE(_xlfn.TEXTAFTER('Banco de Dados'!$F827,"BRL ",1),".",",")),0),0),0)</f>
        <v>0</v>
      </c>
      <c r="AQ827" s="28">
        <f ca="1">SUM('Banco de Dados'!$AM827:$AP827)</f>
        <v>0</v>
      </c>
      <c r="AR827" s="8"/>
      <c r="AS827" s="8"/>
      <c r="AT827"/>
      <c r="AY827" s="8"/>
    </row>
    <row r="828" spans="1:51">
      <c r="A828" s="5" t="str">
        <v>BV</v>
      </c>
      <c r="B828" s="5" t="str">
        <f ca="1"/>
        <v>BV45678</v>
      </c>
      <c r="C828" s="8" t="str">
        <v>Pedido 815</v>
      </c>
      <c r="D828" s="9">
        <v>45678</v>
      </c>
      <c r="E828" s="9">
        <v>45678</v>
      </c>
      <c r="F828" s="8" t="str">
        <v>PedidoF794</v>
      </c>
      <c r="G828" s="2" t="str">
        <v>CódRastreio792</v>
      </c>
      <c r="H828" s="5">
        <v>1</v>
      </c>
      <c r="I828" s="182" t="str">
        <v>CPF 792</v>
      </c>
      <c r="J828" s="2" t="str">
        <v>Nome 792</v>
      </c>
      <c r="K828" s="8" t="str">
        <v>Tel 792</v>
      </c>
      <c r="L828" s="8" t="str">
        <v>Cep 792</v>
      </c>
      <c r="M828" s="8" t="str">
        <v>Rua 792</v>
      </c>
      <c r="N828" s="8" t="str">
        <v>Comp 792</v>
      </c>
      <c r="O828" s="8" t="str">
        <v>Ventilador Preto</v>
      </c>
      <c r="P828" s="8" t="str">
        <v>MU-J80P-95WF</v>
      </c>
      <c r="Q828" s="4">
        <v>45699</v>
      </c>
      <c r="R828" s="109">
        <v>66.989999999999995</v>
      </c>
      <c r="S828" s="11">
        <f ca="1"/>
        <v>66.989999999999995</v>
      </c>
      <c r="T828" s="28">
        <f ca="1"/>
        <v>8.7087000000000003</v>
      </c>
      <c r="U828" s="11">
        <f ca="1"/>
        <v>58.28</v>
      </c>
      <c r="V828" s="11">
        <v>14.11</v>
      </c>
      <c r="W828" s="11">
        <f ca="1"/>
        <v>0.22</v>
      </c>
      <c r="X828" s="11">
        <f ca="1"/>
        <v>0.39877104377104378</v>
      </c>
      <c r="Y828" s="11">
        <v>0</v>
      </c>
      <c r="Z828" s="11">
        <f ca="1"/>
        <v>43.551228956228954</v>
      </c>
      <c r="AA828" s="11">
        <f ca="1"/>
        <v>21.775614478114477</v>
      </c>
      <c r="AB828" s="4">
        <f ca="1"/>
        <v>45706</v>
      </c>
      <c r="AC828" s="4">
        <v>45706</v>
      </c>
      <c r="AD828" s="9">
        <v>45721</v>
      </c>
      <c r="AE828" s="9">
        <v>45721</v>
      </c>
      <c r="AF828" s="4" t="str">
        <f t="shared" ca="1" si="34"/>
        <v>2025 02</v>
      </c>
      <c r="AG828" s="8" t="str" cm="1">
        <f t="array" ref="AG828">IFERROR(_xlfn.IFS('Banco de Dados'!#REF!="AG. COMPRA","Em processamento",'Banco de Dados'!#REF!="AG. RASTREIO","Em processamento",'Banco de Dados'!$AE828&lt;&gt;"-","Faturado",'Banco de Dados'!$AD828&lt;&gt;"-","Aguardando Pix",'Banco de Dados'!$AC828&lt;&gt;"-","Pendente"),"Aguardando Liberação")</f>
        <v>Aguardando Liberação</v>
      </c>
      <c r="AH828" s="5" t="str">
        <f>IF('Banco de Dados'!$F828="-",_xlfn.CONCAT(PROPER(TEXT(AK828,"aaaa"))," ",PROPER(TEXT(AK828,"mm"))),_xlfn.CONCAT(PROPER(TEXT(E828,"aaaa"))," ",PROPER(TEXT(E828,"mm"))))</f>
        <v>2025 01</v>
      </c>
      <c r="AI828" s="9" t="str">
        <f ca="1">IF('Banco de Dados'!$AK828&lt;&gt;"-","REEMBOLSO",IFERROR(_xlfn.XLOOKUP(G828,Follow[CODRASTREIO],Follow[STATUS]),"-"))</f>
        <v>ENTREGUE</v>
      </c>
      <c r="AJ828" s="9">
        <f ca="1">IF('Banco de Dados'!$AI828="ENTREGUE",_xlfn.XLOOKUP('Banco de Dados'!$G828,Follow[CODRASTREIO],Follow[DATAATUALIZAÇÃO]),"-")</f>
        <v>45691</v>
      </c>
      <c r="AK828" s="132" t="str">
        <f ca="1"/>
        <v>-</v>
      </c>
      <c r="AL828" s="35"/>
      <c r="AM828" s="109" cm="1">
        <f t="array" aca="1" ref="AM828" ca="1">IF('Banco de Dados'!$AK828&lt;&gt;"-",_xlfn.IFS('Banco de Dados'!$A828="bv",IF('Banco de Dados'!$E828&lt;45641,ROUND(SUM('Banco de Dados'!$R828*_xlfn.XLOOKUP('Banco de Dados'!$P828,Sku!B:B,Sku!#REF!)*20%),2),ROUND(SUM('Banco de Dados'!$R828*_xlfn.XLOOKUP('Banco de Dados'!$P828,Sku!B:B,Sku!H:H)*20%),2)),'Banco de Dados'!$A828="GO",ROUND(_xlfn.XLOOKUP('Banco de Dados'!$P828,Sku!C:C,Sku!H:H),2),'Banco de Dados'!$A828="MEI",ROUND(_xlfn.XLOOKUP('Banco de Dados'!$P828,Sku!D:D,Sku!H:H),2)),0)</f>
        <v>0</v>
      </c>
      <c r="AN828" s="109">
        <f ca="1">IF('Banco de Dados'!$AK828&lt;&gt;"-",IF('Banco de Dados'!$F828&lt;&gt;"-",_xlfn.XLOOKUP(IFERROR(IFERROR(IFERROR(VALUE(SUBSTITUTE(MID(_xlfn.TEXTAFTER('Banco de Dados'!$F828,"Data do Pedido:
",1),1,10),"-","/")),VALUE(SUBSTITUTE(MID(_xlfn.TEXTAFTER('Banco de Dados'!$F828,"Order date:
",1),1,10),"-","/"))),VALUE(SUBSTITUTE(MID(_xlfn.TEXTAFTER('Banco de Dados'!$F828,"Fecha de pedido:
",1),1,10),"-","/"))),"-"),SMS!A:A,SMS!K:K),0),0)</f>
        <v>0</v>
      </c>
      <c r="AO828" s="109">
        <f ca="1">IF('Banco de Dados'!$AK828&lt;&gt;"-",IF('Banco de Dados'!$F828&lt;&gt;"-",IFERROR(_xlfn.XLOOKUP(_xlfn.CONCAT('Banco de Dados'!$A828,IFERROR(IFERROR(VALUE(SUBSTITUTE(MID(_xlfn.TEXTAFTER('Banco de Dados'!$F828,"Data do Pedido:
",1),1,10),"-","/")),VALUE(SUBSTITUTE(MID(_xlfn.TEXTAFTER('Banco de Dados'!$F828,"Order date:
",1),1,10),"-","/"))),0)),ProxyDD[Chave],ProxyDD[Valor por pedido]),PROXY!$P$2),0),0)</f>
        <v>0</v>
      </c>
      <c r="AP828" s="28">
        <f ca="1">IF('Banco de Dados'!$AK828&lt;&gt;"-",IF('Banco de Dados'!$AL828="NÃO",IFERROR(VALUE(SUBSTITUTE(_xlfn.TEXTAFTER('Banco de Dados'!$F828,"BRL ",1),".",",")),0),0),0)</f>
        <v>0</v>
      </c>
      <c r="AQ828" s="28">
        <f ca="1">SUM('Banco de Dados'!$AM828:$AP828)</f>
        <v>0</v>
      </c>
      <c r="AR828" s="8"/>
      <c r="AS828" s="8"/>
      <c r="AT828"/>
      <c r="AY828" s="8"/>
    </row>
    <row r="829" spans="1:51">
      <c r="A829" s="5" t="str">
        <v>BV</v>
      </c>
      <c r="B829" s="5" t="str">
        <f ca="1"/>
        <v>BV45678</v>
      </c>
      <c r="C829" s="8" t="str">
        <v>Pedido 816</v>
      </c>
      <c r="D829" s="9">
        <v>45678</v>
      </c>
      <c r="E829" s="9">
        <v>45678</v>
      </c>
      <c r="F829" s="8" t="str">
        <v>PedidoF795</v>
      </c>
      <c r="G829" s="2" t="str">
        <v>CódRastreio793</v>
      </c>
      <c r="H829" s="5">
        <v>1</v>
      </c>
      <c r="I829" s="182" t="str">
        <v>CPF 793</v>
      </c>
      <c r="J829" s="2" t="str">
        <v>Nome 793</v>
      </c>
      <c r="K829" s="8" t="str">
        <v>Tel 793</v>
      </c>
      <c r="L829" s="8" t="str">
        <v>Cep 793</v>
      </c>
      <c r="M829" s="8" t="str">
        <v>Rua 793</v>
      </c>
      <c r="N829" s="8" t="str">
        <v>Comp 793</v>
      </c>
      <c r="O829" s="8" t="str">
        <v>Ventilador Azul</v>
      </c>
      <c r="P829" s="8" t="str">
        <v>U8-2VWS-OB6M</v>
      </c>
      <c r="Q829" s="4">
        <v>45699</v>
      </c>
      <c r="R829" s="109">
        <v>66.989999999999995</v>
      </c>
      <c r="S829" s="11">
        <f ca="1"/>
        <v>0</v>
      </c>
      <c r="T829" s="28">
        <f ca="1"/>
        <v>0</v>
      </c>
      <c r="U829" s="11">
        <f ca="1"/>
        <v>0</v>
      </c>
      <c r="V829" s="11">
        <v>0</v>
      </c>
      <c r="W829" s="11">
        <f ca="1"/>
        <v>0</v>
      </c>
      <c r="X829" s="11">
        <f ca="1"/>
        <v>0.39877104377104378</v>
      </c>
      <c r="Y829" s="11">
        <v>0</v>
      </c>
      <c r="Z829" s="11">
        <f ca="1"/>
        <v>-0.39877104377104378</v>
      </c>
      <c r="AA829" s="11">
        <f ca="1"/>
        <v>-0.19938552188552189</v>
      </c>
      <c r="AB829" s="4">
        <f ca="1"/>
        <v>45706</v>
      </c>
      <c r="AC829" s="4">
        <v>45706</v>
      </c>
      <c r="AD829" s="9">
        <v>45721</v>
      </c>
      <c r="AE829" s="9">
        <v>45721</v>
      </c>
      <c r="AF829" s="4" t="str">
        <f t="shared" ca="1" si="34"/>
        <v>2025 02</v>
      </c>
      <c r="AG829" s="8" t="str" cm="1">
        <f t="array" ref="AG829">IFERROR(_xlfn.IFS('Banco de Dados'!#REF!="AG. COMPRA","Em processamento",'Banco de Dados'!#REF!="AG. RASTREIO","Em processamento",'Banco de Dados'!$AE829&lt;&gt;"-","Faturado",'Banco de Dados'!$AD829&lt;&gt;"-","Aguardando Pix",'Banco de Dados'!$AC829&lt;&gt;"-","Pendente"),"Aguardando Liberação")</f>
        <v>Aguardando Liberação</v>
      </c>
      <c r="AH829" s="5" t="str">
        <f>IF('Banco de Dados'!$F829="-",_xlfn.CONCAT(PROPER(TEXT(AK829,"aaaa"))," ",PROPER(TEXT(AK829,"mm"))),_xlfn.CONCAT(PROPER(TEXT(E829,"aaaa"))," ",PROPER(TEXT(E829,"mm"))))</f>
        <v>2025 01</v>
      </c>
      <c r="AI829" s="9" t="str">
        <f ca="1">IF('Banco de Dados'!$AK829&lt;&gt;"-","REEMBOLSO",IFERROR(_xlfn.XLOOKUP(G829,Follow[CODRASTREIO],Follow[STATUS]),"-"))</f>
        <v>REEMBOLSO</v>
      </c>
      <c r="AJ829" s="9" t="str">
        <f ca="1">IF('Banco de Dados'!$AI829="ENTREGUE",_xlfn.XLOOKUP('Banco de Dados'!$G829,Follow[CODRASTREIO],Follow[DATAATUALIZAÇÃO]),"-")</f>
        <v>-</v>
      </c>
      <c r="AK829" s="132">
        <f ca="1"/>
        <v>45697</v>
      </c>
      <c r="AL829" s="35"/>
      <c r="AM829" s="109" cm="1">
        <f t="array" aca="1" ref="AM829" ca="1">IF('Banco de Dados'!$AK829&lt;&gt;"-",_xlfn.IFS('Banco de Dados'!$A829="bv",IF('Banco de Dados'!$E829&lt;45641,ROUND(SUM('Banco de Dados'!$R829*_xlfn.XLOOKUP('Banco de Dados'!$P829,Sku!B:B,Sku!#REF!)*20%),2),ROUND(SUM('Banco de Dados'!$R829*_xlfn.XLOOKUP('Banco de Dados'!$P829,Sku!B:B,Sku!H:H)*20%),2)),'Banco de Dados'!$A829="GO",ROUND(_xlfn.XLOOKUP('Banco de Dados'!$P829,Sku!C:C,Sku!H:H),2),'Banco de Dados'!$A829="MEI",ROUND(_xlfn.XLOOKUP('Banco de Dados'!$P829,Sku!D:D,Sku!H:H),2)),0)</f>
        <v>1.74</v>
      </c>
      <c r="AN829" s="109" t="e">
        <f ca="1">IF('Banco de Dados'!$AK829&lt;&gt;"-",IF('Banco de Dados'!$F829&lt;&gt;"-",_xlfn.XLOOKUP(IFERROR(IFERROR(IFERROR(VALUE(SUBSTITUTE(MID(_xlfn.TEXTAFTER('Banco de Dados'!$F829,"Data do Pedido:
",1),1,10),"-","/")),VALUE(SUBSTITUTE(MID(_xlfn.TEXTAFTER('Banco de Dados'!$F829,"Order date:
",1),1,10),"-","/"))),VALUE(SUBSTITUTE(MID(_xlfn.TEXTAFTER('Banco de Dados'!$F829,"Fecha de pedido:
",1),1,10),"-","/"))),"-"),SMS!A:A,SMS!K:K),0),0)</f>
        <v>#N/A</v>
      </c>
      <c r="AO829" s="109">
        <f ca="1">IF('Banco de Dados'!$AK829&lt;&gt;"-",IF('Banco de Dados'!$F829&lt;&gt;"-",IFERROR(_xlfn.XLOOKUP(_xlfn.CONCAT('Banco de Dados'!$A829,IFERROR(IFERROR(VALUE(SUBSTITUTE(MID(_xlfn.TEXTAFTER('Banco de Dados'!$F829,"Data do Pedido:
",1),1,10),"-","/")),VALUE(SUBSTITUTE(MID(_xlfn.TEXTAFTER('Banco de Dados'!$F829,"Order date:
",1),1,10),"-","/"))),0)),ProxyDD[Chave],ProxyDD[Valor por pedido]),PROXY!$P$2),0),0)</f>
        <v>0.39877104377104378</v>
      </c>
      <c r="AP829" s="28">
        <f ca="1">IF('Banco de Dados'!$AK829&lt;&gt;"-",IF('Banco de Dados'!$AL829="NÃO",IFERROR(VALUE(SUBSTITUTE(_xlfn.TEXTAFTER('Banco de Dados'!$F829,"BRL ",1),".",",")),0),0),0)</f>
        <v>0</v>
      </c>
      <c r="AQ829" s="28" t="e">
        <f ca="1">SUM('Banco de Dados'!$AM829:$AP829)</f>
        <v>#N/A</v>
      </c>
      <c r="AR829" s="8"/>
      <c r="AS829" s="8"/>
      <c r="AT829"/>
      <c r="AY829" s="8"/>
    </row>
    <row r="830" spans="1:51">
      <c r="A830" s="5" t="str">
        <v>BV</v>
      </c>
      <c r="B830" s="5" t="str">
        <f ca="1"/>
        <v>BV45678</v>
      </c>
      <c r="C830" s="8" t="str">
        <v>Pedido 817</v>
      </c>
      <c r="D830" s="9">
        <v>45678</v>
      </c>
      <c r="E830" s="9">
        <v>45678</v>
      </c>
      <c r="F830" s="8" t="str">
        <v>PedidoF796</v>
      </c>
      <c r="G830" s="2" t="str">
        <v>CódRastreio794</v>
      </c>
      <c r="H830" s="5">
        <v>1</v>
      </c>
      <c r="I830" s="182" t="str">
        <v>CPF 794</v>
      </c>
      <c r="J830" s="2" t="str">
        <v>Nome 794</v>
      </c>
      <c r="K830" s="8" t="str">
        <v>Tel 794</v>
      </c>
      <c r="L830" s="8" t="str">
        <v>Cep 794</v>
      </c>
      <c r="M830" s="8" t="str">
        <v>Rua 794</v>
      </c>
      <c r="N830" s="8" t="str">
        <v>Comp 794</v>
      </c>
      <c r="O830" s="8" t="str">
        <v>Ventilador Preto</v>
      </c>
      <c r="P830" s="8" t="str">
        <v>MU-J80P-95WF</v>
      </c>
      <c r="Q830" s="4">
        <v>45699</v>
      </c>
      <c r="R830" s="109">
        <v>66.989999999999995</v>
      </c>
      <c r="S830" s="11">
        <f ca="1"/>
        <v>66.989999999999995</v>
      </c>
      <c r="T830" s="28">
        <f ca="1"/>
        <v>8.7087000000000003</v>
      </c>
      <c r="U830" s="11">
        <f ca="1"/>
        <v>58.28</v>
      </c>
      <c r="V830" s="11">
        <v>14.11</v>
      </c>
      <c r="W830" s="11">
        <f ca="1"/>
        <v>0.22</v>
      </c>
      <c r="X830" s="11">
        <f ca="1"/>
        <v>0.39877104377104378</v>
      </c>
      <c r="Y830" s="11">
        <v>0</v>
      </c>
      <c r="Z830" s="11">
        <f ca="1"/>
        <v>43.551228956228954</v>
      </c>
      <c r="AA830" s="11">
        <f ca="1"/>
        <v>21.775614478114477</v>
      </c>
      <c r="AB830" s="4">
        <f ca="1"/>
        <v>45706</v>
      </c>
      <c r="AC830" s="4">
        <v>45706</v>
      </c>
      <c r="AD830" s="9">
        <v>45721</v>
      </c>
      <c r="AE830" s="9">
        <v>45721</v>
      </c>
      <c r="AF830" s="4" t="str">
        <f t="shared" ca="1" si="34"/>
        <v>2025 02</v>
      </c>
      <c r="AG830" s="8" t="str" cm="1">
        <f t="array" ref="AG830">IFERROR(_xlfn.IFS('Banco de Dados'!#REF!="AG. COMPRA","Em processamento",'Banco de Dados'!#REF!="AG. RASTREIO","Em processamento",'Banco de Dados'!$AE830&lt;&gt;"-","Faturado",'Banco de Dados'!$AD830&lt;&gt;"-","Aguardando Pix",'Banco de Dados'!$AC830&lt;&gt;"-","Pendente"),"Aguardando Liberação")</f>
        <v>Aguardando Liberação</v>
      </c>
      <c r="AH830" s="5" t="str">
        <f>IF('Banco de Dados'!$F830="-",_xlfn.CONCAT(PROPER(TEXT(AK830,"aaaa"))," ",PROPER(TEXT(AK830,"mm"))),_xlfn.CONCAT(PROPER(TEXT(E830,"aaaa"))," ",PROPER(TEXT(E830,"mm"))))</f>
        <v>2025 01</v>
      </c>
      <c r="AI830" s="9" t="str">
        <f ca="1">IF('Banco de Dados'!$AK830&lt;&gt;"-","REEMBOLSO",IFERROR(_xlfn.XLOOKUP(G830,Follow[CODRASTREIO],Follow[STATUS]),"-"))</f>
        <v>ENTREGUE</v>
      </c>
      <c r="AJ830" s="9">
        <f ca="1">IF('Banco de Dados'!$AI830="ENTREGUE",_xlfn.XLOOKUP('Banco de Dados'!$G830,Follow[CODRASTREIO],Follow[DATAATUALIZAÇÃO]),"-")</f>
        <v>45687</v>
      </c>
      <c r="AK830" s="132" t="str">
        <f ca="1"/>
        <v>-</v>
      </c>
      <c r="AL830" s="35"/>
      <c r="AM830" s="109" cm="1">
        <f t="array" aca="1" ref="AM830" ca="1">IF('Banco de Dados'!$AK830&lt;&gt;"-",_xlfn.IFS('Banco de Dados'!$A830="bv",IF('Banco de Dados'!$E830&lt;45641,ROUND(SUM('Banco de Dados'!$R830*_xlfn.XLOOKUP('Banco de Dados'!$P830,Sku!B:B,Sku!#REF!)*20%),2),ROUND(SUM('Banco de Dados'!$R830*_xlfn.XLOOKUP('Banco de Dados'!$P830,Sku!B:B,Sku!H:H)*20%),2)),'Banco de Dados'!$A830="GO",ROUND(_xlfn.XLOOKUP('Banco de Dados'!$P830,Sku!C:C,Sku!H:H),2),'Banco de Dados'!$A830="MEI",ROUND(_xlfn.XLOOKUP('Banco de Dados'!$P830,Sku!D:D,Sku!H:H),2)),0)</f>
        <v>0</v>
      </c>
      <c r="AN830" s="109">
        <f ca="1">IF('Banco de Dados'!$AK830&lt;&gt;"-",IF('Banco de Dados'!$F830&lt;&gt;"-",_xlfn.XLOOKUP(IFERROR(IFERROR(IFERROR(VALUE(SUBSTITUTE(MID(_xlfn.TEXTAFTER('Banco de Dados'!$F830,"Data do Pedido:
",1),1,10),"-","/")),VALUE(SUBSTITUTE(MID(_xlfn.TEXTAFTER('Banco de Dados'!$F830,"Order date:
",1),1,10),"-","/"))),VALUE(SUBSTITUTE(MID(_xlfn.TEXTAFTER('Banco de Dados'!$F830,"Fecha de pedido:
",1),1,10),"-","/"))),"-"),SMS!A:A,SMS!K:K),0),0)</f>
        <v>0</v>
      </c>
      <c r="AO830" s="109">
        <f ca="1">IF('Banco de Dados'!$AK830&lt;&gt;"-",IF('Banco de Dados'!$F830&lt;&gt;"-",IFERROR(_xlfn.XLOOKUP(_xlfn.CONCAT('Banco de Dados'!$A830,IFERROR(IFERROR(VALUE(SUBSTITUTE(MID(_xlfn.TEXTAFTER('Banco de Dados'!$F830,"Data do Pedido:
",1),1,10),"-","/")),VALUE(SUBSTITUTE(MID(_xlfn.TEXTAFTER('Banco de Dados'!$F830,"Order date:
",1),1,10),"-","/"))),0)),ProxyDD[Chave],ProxyDD[Valor por pedido]),PROXY!$P$2),0),0)</f>
        <v>0</v>
      </c>
      <c r="AP830" s="28">
        <f ca="1">IF('Banco de Dados'!$AK830&lt;&gt;"-",IF('Banco de Dados'!$AL830="NÃO",IFERROR(VALUE(SUBSTITUTE(_xlfn.TEXTAFTER('Banco de Dados'!$F830,"BRL ",1),".",",")),0),0),0)</f>
        <v>0</v>
      </c>
      <c r="AQ830" s="28">
        <f ca="1">SUM('Banco de Dados'!$AM830:$AP830)</f>
        <v>0</v>
      </c>
      <c r="AR830" s="8"/>
      <c r="AS830" s="8"/>
      <c r="AT830"/>
      <c r="AY830" s="8"/>
    </row>
    <row r="831" spans="1:51">
      <c r="A831" s="5" t="str">
        <v>BV</v>
      </c>
      <c r="B831" s="5" t="str">
        <f ca="1"/>
        <v>BV45679</v>
      </c>
      <c r="C831" s="8" t="str">
        <v>Pedido 818</v>
      </c>
      <c r="D831" s="9">
        <v>45679</v>
      </c>
      <c r="E831" s="9">
        <v>45679</v>
      </c>
      <c r="F831" s="8" t="str">
        <v>PedidoF797</v>
      </c>
      <c r="G831" s="2" t="str">
        <v>CódRastreio795</v>
      </c>
      <c r="H831" s="5">
        <v>1</v>
      </c>
      <c r="I831" s="182" t="str">
        <v>CPF 795</v>
      </c>
      <c r="J831" s="2" t="str">
        <v>Nome 795</v>
      </c>
      <c r="K831" s="8" t="str">
        <v>Tel 795</v>
      </c>
      <c r="L831" s="8" t="str">
        <v>Cep 795</v>
      </c>
      <c r="M831" s="8" t="str">
        <v>Rua 795</v>
      </c>
      <c r="N831" s="8" t="str">
        <v>Comp 795</v>
      </c>
      <c r="O831" s="8" t="str">
        <v>Ventilador Preto</v>
      </c>
      <c r="P831" s="8" t="str">
        <v>MU-J80P-95WF</v>
      </c>
      <c r="Q831" s="4">
        <v>45700</v>
      </c>
      <c r="R831" s="109">
        <v>66.989999999999995</v>
      </c>
      <c r="S831" s="11">
        <f ca="1"/>
        <v>66.989999999999995</v>
      </c>
      <c r="T831" s="28">
        <f ca="1"/>
        <v>8.7087000000000003</v>
      </c>
      <c r="U831" s="11">
        <f ca="1"/>
        <v>58.28</v>
      </c>
      <c r="V831" s="11">
        <v>13.93</v>
      </c>
      <c r="W831" s="11">
        <f ca="1"/>
        <v>0.2</v>
      </c>
      <c r="X831" s="11">
        <f ca="1"/>
        <v>0.39877104377104378</v>
      </c>
      <c r="Y831" s="11">
        <v>0</v>
      </c>
      <c r="Z831" s="11">
        <f ca="1"/>
        <v>43.751228956228957</v>
      </c>
      <c r="AA831" s="11">
        <f ca="1"/>
        <v>21.875614478114478</v>
      </c>
      <c r="AB831" s="4">
        <f ca="1"/>
        <v>45707</v>
      </c>
      <c r="AC831" s="4">
        <v>45707</v>
      </c>
      <c r="AD831" s="9">
        <v>45721</v>
      </c>
      <c r="AE831" s="9">
        <v>45721</v>
      </c>
      <c r="AF831" s="4" t="str">
        <f t="shared" ref="AF831:AF843" ca="1" si="35">_xlfn.CONCAT(PROPER(TEXT(AB831,"aaaa"))," ",PROPER(TEXT(AB831,"mm")))</f>
        <v>2025 02</v>
      </c>
      <c r="AG831" s="8" t="str" cm="1">
        <f t="array" ref="AG831">IFERROR(_xlfn.IFS('Banco de Dados'!#REF!="AG. COMPRA","Em processamento",'Banco de Dados'!#REF!="AG. RASTREIO","Em processamento",'Banco de Dados'!$AE831&lt;&gt;"-","Faturado",'Banco de Dados'!$AD831&lt;&gt;"-","Aguardando Pix",'Banco de Dados'!$AC831&lt;&gt;"-","Pendente"),"Aguardando Liberação")</f>
        <v>Aguardando Liberação</v>
      </c>
      <c r="AH831" s="5" t="str">
        <f>IF('Banco de Dados'!$F831="-",_xlfn.CONCAT(PROPER(TEXT(AK831,"aaaa"))," ",PROPER(TEXT(AK831,"mm"))),_xlfn.CONCAT(PROPER(TEXT(E831,"aaaa"))," ",PROPER(TEXT(E831,"mm"))))</f>
        <v>2025 01</v>
      </c>
      <c r="AI831" s="9" t="str">
        <f ca="1">IF('Banco de Dados'!$AK831&lt;&gt;"-","REEMBOLSO",IFERROR(_xlfn.XLOOKUP(G831,Follow[CODRASTREIO],Follow[STATUS]),"-"))</f>
        <v>ENTREGUE</v>
      </c>
      <c r="AJ831" s="9">
        <f ca="1">IF('Banco de Dados'!$AI831="ENTREGUE",_xlfn.XLOOKUP('Banco de Dados'!$G831,Follow[CODRASTREIO],Follow[DATAATUALIZAÇÃO]),"-")</f>
        <v>45692</v>
      </c>
      <c r="AK831" s="132" t="str">
        <f ca="1"/>
        <v>-</v>
      </c>
      <c r="AL831" s="35"/>
      <c r="AM831" s="109" cm="1">
        <f t="array" aca="1" ref="AM831" ca="1">IF('Banco de Dados'!$AK831&lt;&gt;"-",_xlfn.IFS('Banco de Dados'!$A831="bv",IF('Banco de Dados'!$E831&lt;45641,ROUND(SUM('Banco de Dados'!$R831*_xlfn.XLOOKUP('Banco de Dados'!$P831,Sku!B:B,Sku!#REF!)*20%),2),ROUND(SUM('Banco de Dados'!$R831*_xlfn.XLOOKUP('Banco de Dados'!$P831,Sku!B:B,Sku!H:H)*20%),2)),'Banco de Dados'!$A831="GO",ROUND(_xlfn.XLOOKUP('Banco de Dados'!$P831,Sku!C:C,Sku!H:H),2),'Banco de Dados'!$A831="MEI",ROUND(_xlfn.XLOOKUP('Banco de Dados'!$P831,Sku!D:D,Sku!H:H),2)),0)</f>
        <v>0</v>
      </c>
      <c r="AN831" s="109">
        <f ca="1">IF('Banco de Dados'!$AK831&lt;&gt;"-",IF('Banco de Dados'!$F831&lt;&gt;"-",_xlfn.XLOOKUP(IFERROR(IFERROR(IFERROR(VALUE(SUBSTITUTE(MID(_xlfn.TEXTAFTER('Banco de Dados'!$F831,"Data do Pedido:
",1),1,10),"-","/")),VALUE(SUBSTITUTE(MID(_xlfn.TEXTAFTER('Banco de Dados'!$F831,"Order date:
",1),1,10),"-","/"))),VALUE(SUBSTITUTE(MID(_xlfn.TEXTAFTER('Banco de Dados'!$F831,"Fecha de pedido:
",1),1,10),"-","/"))),"-"),SMS!A:A,SMS!K:K),0),0)</f>
        <v>0</v>
      </c>
      <c r="AO831" s="109">
        <f ca="1">IF('Banco de Dados'!$AK831&lt;&gt;"-",IF('Banco de Dados'!$F831&lt;&gt;"-",IFERROR(_xlfn.XLOOKUP(_xlfn.CONCAT('Banco de Dados'!$A831,IFERROR(IFERROR(VALUE(SUBSTITUTE(MID(_xlfn.TEXTAFTER('Banco de Dados'!$F831,"Data do Pedido:
",1),1,10),"-","/")),VALUE(SUBSTITUTE(MID(_xlfn.TEXTAFTER('Banco de Dados'!$F831,"Order date:
",1),1,10),"-","/"))),0)),ProxyDD[Chave],ProxyDD[Valor por pedido]),PROXY!$P$2),0),0)</f>
        <v>0</v>
      </c>
      <c r="AP831" s="28">
        <f ca="1">IF('Banco de Dados'!$AK831&lt;&gt;"-",IF('Banco de Dados'!$AL831="NÃO",IFERROR(VALUE(SUBSTITUTE(_xlfn.TEXTAFTER('Banco de Dados'!$F831,"BRL ",1),".",",")),0),0),0)</f>
        <v>0</v>
      </c>
      <c r="AQ831" s="28">
        <f ca="1">SUM('Banco de Dados'!$AM831:$AP831)</f>
        <v>0</v>
      </c>
      <c r="AR831" s="8"/>
      <c r="AS831" s="8"/>
      <c r="AT831"/>
      <c r="AY831" s="8"/>
    </row>
    <row r="832" spans="1:51">
      <c r="A832" s="5" t="str">
        <v>BV</v>
      </c>
      <c r="B832" s="5" t="str">
        <f ca="1"/>
        <v>BV45679</v>
      </c>
      <c r="C832" s="8" t="str">
        <v>Pedido 819</v>
      </c>
      <c r="D832" s="9">
        <v>45679</v>
      </c>
      <c r="E832" s="9">
        <v>45679</v>
      </c>
      <c r="F832" s="8" t="str">
        <v>PedidoF798</v>
      </c>
      <c r="G832" s="2" t="str">
        <v>CódRastreio796</v>
      </c>
      <c r="H832" s="5">
        <v>1</v>
      </c>
      <c r="I832" s="182" t="str">
        <v>CPF 796</v>
      </c>
      <c r="J832" s="2" t="str">
        <v>Nome 796</v>
      </c>
      <c r="K832" s="8" t="str">
        <v>Tel 796</v>
      </c>
      <c r="L832" s="8" t="str">
        <v>Cep 796</v>
      </c>
      <c r="M832" s="8" t="str">
        <v>Rua 796</v>
      </c>
      <c r="N832" s="8" t="str">
        <v>Comp 796</v>
      </c>
      <c r="O832" s="8" t="str">
        <v>Ventilador Azul</v>
      </c>
      <c r="P832" s="8" t="str">
        <v>U8-2VWS-OB6M</v>
      </c>
      <c r="Q832" s="4">
        <v>45706</v>
      </c>
      <c r="R832" s="109">
        <v>66.989999999999995</v>
      </c>
      <c r="S832" s="11">
        <f ca="1"/>
        <v>66.989999999999995</v>
      </c>
      <c r="T832" s="28">
        <f ca="1"/>
        <v>8.7087000000000003</v>
      </c>
      <c r="U832" s="11">
        <f ca="1"/>
        <v>58.28</v>
      </c>
      <c r="V832" s="11">
        <v>19.329999999999998</v>
      </c>
      <c r="W832" s="11">
        <f ca="1"/>
        <v>0.2</v>
      </c>
      <c r="X832" s="11">
        <f ca="1"/>
        <v>0.39877104377104378</v>
      </c>
      <c r="Y832" s="11">
        <v>0</v>
      </c>
      <c r="Z832" s="11">
        <f ca="1"/>
        <v>38.351228956228958</v>
      </c>
      <c r="AA832" s="11">
        <f ca="1"/>
        <v>19.175614478114479</v>
      </c>
      <c r="AB832" s="4">
        <f ca="1"/>
        <v>45713</v>
      </c>
      <c r="AC832" s="4">
        <v>45713</v>
      </c>
      <c r="AD832" s="9">
        <v>45721</v>
      </c>
      <c r="AE832" s="9">
        <v>45721</v>
      </c>
      <c r="AF832" s="4" t="str">
        <f t="shared" ca="1" si="35"/>
        <v>2025 02</v>
      </c>
      <c r="AG832" s="8" t="str" cm="1">
        <f t="array" ref="AG832">IFERROR(_xlfn.IFS('Banco de Dados'!#REF!="AG. COMPRA","Em processamento",'Banco de Dados'!#REF!="AG. RASTREIO","Em processamento",'Banco de Dados'!$AE832&lt;&gt;"-","Faturado",'Banco de Dados'!$AD832&lt;&gt;"-","Aguardando Pix",'Banco de Dados'!$AC832&lt;&gt;"-","Pendente"),"Aguardando Liberação")</f>
        <v>Aguardando Liberação</v>
      </c>
      <c r="AH832" s="5" t="str">
        <f>IF('Banco de Dados'!$F832="-",_xlfn.CONCAT(PROPER(TEXT(AK832,"aaaa"))," ",PROPER(TEXT(AK832,"mm"))),_xlfn.CONCAT(PROPER(TEXT(E832,"aaaa"))," ",PROPER(TEXT(E832,"mm"))))</f>
        <v>2025 01</v>
      </c>
      <c r="AI832" s="9" t="str">
        <f ca="1">IF('Banco de Dados'!$AK832&lt;&gt;"-","REEMBOLSO",IFERROR(_xlfn.XLOOKUP(G832,Follow[CODRASTREIO],Follow[STATUS]),"-"))</f>
        <v>ENTREGUE</v>
      </c>
      <c r="AJ832" s="9">
        <f ca="1">IF('Banco de Dados'!$AI832="ENTREGUE",_xlfn.XLOOKUP('Banco de Dados'!$G832,Follow[CODRASTREIO],Follow[DATAATUALIZAÇÃO]),"-")</f>
        <v>45694</v>
      </c>
      <c r="AK832" s="132" t="str">
        <f ca="1"/>
        <v>-</v>
      </c>
      <c r="AL832" s="35"/>
      <c r="AM832" s="109" cm="1">
        <f t="array" aca="1" ref="AM832" ca="1">IF('Banco de Dados'!$AK832&lt;&gt;"-",_xlfn.IFS('Banco de Dados'!$A832="bv",IF('Banco de Dados'!$E832&lt;45641,ROUND(SUM('Banco de Dados'!$R832*_xlfn.XLOOKUP('Banco de Dados'!$P832,Sku!B:B,Sku!#REF!)*20%),2),ROUND(SUM('Banco de Dados'!$R832*_xlfn.XLOOKUP('Banco de Dados'!$P832,Sku!B:B,Sku!H:H)*20%),2)),'Banco de Dados'!$A832="GO",ROUND(_xlfn.XLOOKUP('Banco de Dados'!$P832,Sku!C:C,Sku!H:H),2),'Banco de Dados'!$A832="MEI",ROUND(_xlfn.XLOOKUP('Banco de Dados'!$P832,Sku!D:D,Sku!H:H),2)),0)</f>
        <v>0</v>
      </c>
      <c r="AN832" s="109">
        <f ca="1">IF('Banco de Dados'!$AK832&lt;&gt;"-",IF('Banco de Dados'!$F832&lt;&gt;"-",_xlfn.XLOOKUP(IFERROR(IFERROR(IFERROR(VALUE(SUBSTITUTE(MID(_xlfn.TEXTAFTER('Banco de Dados'!$F832,"Data do Pedido:
",1),1,10),"-","/")),VALUE(SUBSTITUTE(MID(_xlfn.TEXTAFTER('Banco de Dados'!$F832,"Order date:
",1),1,10),"-","/"))),VALUE(SUBSTITUTE(MID(_xlfn.TEXTAFTER('Banco de Dados'!$F832,"Fecha de pedido:
",1),1,10),"-","/"))),"-"),SMS!A:A,SMS!K:K),0),0)</f>
        <v>0</v>
      </c>
      <c r="AO832" s="109">
        <f ca="1">IF('Banco de Dados'!$AK832&lt;&gt;"-",IF('Banco de Dados'!$F832&lt;&gt;"-",IFERROR(_xlfn.XLOOKUP(_xlfn.CONCAT('Banco de Dados'!$A832,IFERROR(IFERROR(VALUE(SUBSTITUTE(MID(_xlfn.TEXTAFTER('Banco de Dados'!$F832,"Data do Pedido:
",1),1,10),"-","/")),VALUE(SUBSTITUTE(MID(_xlfn.TEXTAFTER('Banco de Dados'!$F832,"Order date:
",1),1,10),"-","/"))),0)),ProxyDD[Chave],ProxyDD[Valor por pedido]),PROXY!$P$2),0),0)</f>
        <v>0</v>
      </c>
      <c r="AP832" s="28">
        <f ca="1">IF('Banco de Dados'!$AK832&lt;&gt;"-",IF('Banco de Dados'!$AL832="NÃO",IFERROR(VALUE(SUBSTITUTE(_xlfn.TEXTAFTER('Banco de Dados'!$F832,"BRL ",1),".",",")),0),0),0)</f>
        <v>0</v>
      </c>
      <c r="AQ832" s="28">
        <f ca="1">SUM('Banco de Dados'!$AM832:$AP832)</f>
        <v>0</v>
      </c>
      <c r="AR832" s="8"/>
      <c r="AS832" s="8"/>
      <c r="AT832"/>
      <c r="AY832" s="8"/>
    </row>
    <row r="833" spans="1:51">
      <c r="A833" s="5" t="str">
        <v>BV</v>
      </c>
      <c r="B833" s="5" t="str">
        <f ca="1"/>
        <v>BV45679</v>
      </c>
      <c r="C833" s="8" t="str">
        <v>Pedido 820</v>
      </c>
      <c r="D833" s="9">
        <v>45679</v>
      </c>
      <c r="E833" s="9">
        <v>45679</v>
      </c>
      <c r="F833" s="8" t="str">
        <v>PedidoF799</v>
      </c>
      <c r="G833" s="2" t="str">
        <v>CódRastreio797</v>
      </c>
      <c r="H833" s="5">
        <v>1</v>
      </c>
      <c r="I833" s="182" t="str">
        <v>CPF 797</v>
      </c>
      <c r="J833" s="2" t="str">
        <v>Nome 797</v>
      </c>
      <c r="K833" s="8" t="str">
        <v>Tel 797</v>
      </c>
      <c r="L833" s="8" t="str">
        <v>Cep 797</v>
      </c>
      <c r="M833" s="8" t="str">
        <v>Rua 797</v>
      </c>
      <c r="N833" s="8" t="str">
        <v>Comp 797</v>
      </c>
      <c r="O833" s="8" t="str">
        <v>Ventilador Preto</v>
      </c>
      <c r="P833" s="8" t="str">
        <v>MU-J80P-95WF</v>
      </c>
      <c r="Q833" s="4">
        <v>45700</v>
      </c>
      <c r="R833" s="109">
        <v>66.989999999999995</v>
      </c>
      <c r="S833" s="11">
        <f ca="1"/>
        <v>0</v>
      </c>
      <c r="T833" s="28">
        <f ca="1"/>
        <v>0</v>
      </c>
      <c r="U833" s="11">
        <f ca="1"/>
        <v>0</v>
      </c>
      <c r="V833" s="11">
        <v>0</v>
      </c>
      <c r="W833" s="11">
        <f ca="1"/>
        <v>0</v>
      </c>
      <c r="X833" s="11">
        <f ca="1"/>
        <v>0.39877104377104378</v>
      </c>
      <c r="Y833" s="11">
        <v>0</v>
      </c>
      <c r="Z833" s="11">
        <f ca="1"/>
        <v>-0.39877104377104378</v>
      </c>
      <c r="AA833" s="11">
        <f ca="1"/>
        <v>-0.19938552188552189</v>
      </c>
      <c r="AB833" s="4">
        <f ca="1"/>
        <v>45707</v>
      </c>
      <c r="AC833" s="4">
        <v>45707</v>
      </c>
      <c r="AD833" s="9">
        <v>45721</v>
      </c>
      <c r="AE833" s="9">
        <v>45721</v>
      </c>
      <c r="AF833" s="4" t="str">
        <f t="shared" ca="1" si="35"/>
        <v>2025 02</v>
      </c>
      <c r="AG833" s="8" t="str" cm="1">
        <f t="array" ref="AG833">IFERROR(_xlfn.IFS('Banco de Dados'!#REF!="AG. COMPRA","Em processamento",'Banco de Dados'!#REF!="AG. RASTREIO","Em processamento",'Banco de Dados'!$AE833&lt;&gt;"-","Faturado",'Banco de Dados'!$AD833&lt;&gt;"-","Aguardando Pix",'Banco de Dados'!$AC833&lt;&gt;"-","Pendente"),"Aguardando Liberação")</f>
        <v>Aguardando Liberação</v>
      </c>
      <c r="AH833" s="5" t="str">
        <f>IF('Banco de Dados'!$F833="-",_xlfn.CONCAT(PROPER(TEXT(AK833,"aaaa"))," ",PROPER(TEXT(AK833,"mm"))),_xlfn.CONCAT(PROPER(TEXT(E833,"aaaa"))," ",PROPER(TEXT(E833,"mm"))))</f>
        <v>2025 01</v>
      </c>
      <c r="AI833" s="9" t="str">
        <f ca="1">IF('Banco de Dados'!$AK833&lt;&gt;"-","REEMBOLSO",IFERROR(_xlfn.XLOOKUP(G833,Follow[CODRASTREIO],Follow[STATUS]),"-"))</f>
        <v>REEMBOLSO</v>
      </c>
      <c r="AJ833" s="9" t="str">
        <f ca="1">IF('Banco de Dados'!$AI833="ENTREGUE",_xlfn.XLOOKUP('Banco de Dados'!$G833,Follow[CODRASTREIO],Follow[DATAATUALIZAÇÃO]),"-")</f>
        <v>-</v>
      </c>
      <c r="AK833" s="132">
        <f ca="1"/>
        <v>45729</v>
      </c>
      <c r="AL833" s="35"/>
      <c r="AM833" s="109" cm="1">
        <f t="array" aca="1" ref="AM833" ca="1">IF('Banco de Dados'!$AK833&lt;&gt;"-",_xlfn.IFS('Banco de Dados'!$A833="bv",IF('Banco de Dados'!$E833&lt;45641,ROUND(SUM('Banco de Dados'!$R833*_xlfn.XLOOKUP('Banco de Dados'!$P833,Sku!B:B,Sku!#REF!)*20%),2),ROUND(SUM('Banco de Dados'!$R833*_xlfn.XLOOKUP('Banco de Dados'!$P833,Sku!B:B,Sku!H:H)*20%),2)),'Banco de Dados'!$A833="GO",ROUND(_xlfn.XLOOKUP('Banco de Dados'!$P833,Sku!C:C,Sku!H:H),2),'Banco de Dados'!$A833="MEI",ROUND(_xlfn.XLOOKUP('Banco de Dados'!$P833,Sku!D:D,Sku!H:H),2)),0)</f>
        <v>1.74</v>
      </c>
      <c r="AN833" s="109" t="e">
        <f ca="1">IF('Banco de Dados'!$AK833&lt;&gt;"-",IF('Banco de Dados'!$F833&lt;&gt;"-",_xlfn.XLOOKUP(IFERROR(IFERROR(IFERROR(VALUE(SUBSTITUTE(MID(_xlfn.TEXTAFTER('Banco de Dados'!$F833,"Data do Pedido:
",1),1,10),"-","/")),VALUE(SUBSTITUTE(MID(_xlfn.TEXTAFTER('Banco de Dados'!$F833,"Order date:
",1),1,10),"-","/"))),VALUE(SUBSTITUTE(MID(_xlfn.TEXTAFTER('Banco de Dados'!$F833,"Fecha de pedido:
",1),1,10),"-","/"))),"-"),SMS!A:A,SMS!K:K),0),0)</f>
        <v>#N/A</v>
      </c>
      <c r="AO833" s="109">
        <f ca="1">IF('Banco de Dados'!$AK833&lt;&gt;"-",IF('Banco de Dados'!$F833&lt;&gt;"-",IFERROR(_xlfn.XLOOKUP(_xlfn.CONCAT('Banco de Dados'!$A833,IFERROR(IFERROR(VALUE(SUBSTITUTE(MID(_xlfn.TEXTAFTER('Banco de Dados'!$F833,"Data do Pedido:
",1),1,10),"-","/")),VALUE(SUBSTITUTE(MID(_xlfn.TEXTAFTER('Banco de Dados'!$F833,"Order date:
",1),1,10),"-","/"))),0)),ProxyDD[Chave],ProxyDD[Valor por pedido]),PROXY!$P$2),0),0)</f>
        <v>0.39877104377104378</v>
      </c>
      <c r="AP833" s="28">
        <f ca="1">IF('Banco de Dados'!$AK833&lt;&gt;"-",IF('Banco de Dados'!$AL833="NÃO",IFERROR(VALUE(SUBSTITUTE(_xlfn.TEXTAFTER('Banco de Dados'!$F833,"BRL ",1),".",",")),0),0),0)</f>
        <v>0</v>
      </c>
      <c r="AQ833" s="28" t="e">
        <f ca="1">SUM('Banco de Dados'!$AM833:$AP833)</f>
        <v>#N/A</v>
      </c>
      <c r="AR833" s="8"/>
      <c r="AS833" s="8"/>
      <c r="AT833"/>
      <c r="AY833" s="8"/>
    </row>
    <row r="834" spans="1:51">
      <c r="A834" s="5" t="str">
        <v>BV</v>
      </c>
      <c r="B834" s="5" t="str">
        <f ca="1"/>
        <v>BV45679</v>
      </c>
      <c r="C834" s="8" t="str">
        <v>Pedido 821</v>
      </c>
      <c r="D834" s="9">
        <v>45679</v>
      </c>
      <c r="E834" s="9">
        <v>45679</v>
      </c>
      <c r="F834" s="8" t="str">
        <v>PedidoF800</v>
      </c>
      <c r="G834" s="2" t="str">
        <v>CódRastreio798</v>
      </c>
      <c r="H834" s="5">
        <v>1</v>
      </c>
      <c r="I834" s="182" t="str">
        <v>CPF 798</v>
      </c>
      <c r="J834" s="2" t="str">
        <v>Nome 798</v>
      </c>
      <c r="K834" s="8" t="str">
        <v>Tel 798</v>
      </c>
      <c r="L834" s="8" t="str">
        <v>Cep 798</v>
      </c>
      <c r="M834" s="8" t="str">
        <v>Rua 798</v>
      </c>
      <c r="N834" s="8" t="str">
        <v>Comp 798</v>
      </c>
      <c r="O834" s="8" t="str">
        <v>Ventilador Preto</v>
      </c>
      <c r="P834" s="8" t="str">
        <v>MU-J80P-95WF</v>
      </c>
      <c r="Q834" s="4">
        <v>45700</v>
      </c>
      <c r="R834" s="109">
        <v>66.989999999999995</v>
      </c>
      <c r="S834" s="11">
        <f ca="1"/>
        <v>0</v>
      </c>
      <c r="T834" s="28">
        <f ca="1"/>
        <v>0</v>
      </c>
      <c r="U834" s="11">
        <f ca="1"/>
        <v>0</v>
      </c>
      <c r="V834" s="11">
        <v>0</v>
      </c>
      <c r="W834" s="11">
        <f ca="1"/>
        <v>0</v>
      </c>
      <c r="X834" s="11">
        <f ca="1"/>
        <v>0.39877104377104378</v>
      </c>
      <c r="Y834" s="11">
        <v>0</v>
      </c>
      <c r="Z834" s="11">
        <f ca="1"/>
        <v>-0.39877104377104378</v>
      </c>
      <c r="AA834" s="11">
        <f ca="1"/>
        <v>-0.19938552188552189</v>
      </c>
      <c r="AB834" s="4">
        <f ca="1"/>
        <v>45707</v>
      </c>
      <c r="AC834" s="4">
        <v>45707</v>
      </c>
      <c r="AD834" s="9">
        <v>45721</v>
      </c>
      <c r="AE834" s="9">
        <v>45721</v>
      </c>
      <c r="AF834" s="4" t="str">
        <f t="shared" ca="1" si="35"/>
        <v>2025 02</v>
      </c>
      <c r="AG834" s="8" t="str" cm="1">
        <f t="array" ref="AG834">IFERROR(_xlfn.IFS('Banco de Dados'!#REF!="AG. COMPRA","Em processamento",'Banco de Dados'!#REF!="AG. RASTREIO","Em processamento",'Banco de Dados'!$AE834&lt;&gt;"-","Faturado",'Banco de Dados'!$AD834&lt;&gt;"-","Aguardando Pix",'Banco de Dados'!$AC834&lt;&gt;"-","Pendente"),"Aguardando Liberação")</f>
        <v>Aguardando Liberação</v>
      </c>
      <c r="AH834" s="5" t="str">
        <f>IF('Banco de Dados'!$F834="-",_xlfn.CONCAT(PROPER(TEXT(AK834,"aaaa"))," ",PROPER(TEXT(AK834,"mm"))),_xlfn.CONCAT(PROPER(TEXT(E834,"aaaa"))," ",PROPER(TEXT(E834,"mm"))))</f>
        <v>2025 01</v>
      </c>
      <c r="AI834" s="9" t="str">
        <f ca="1">IF('Banco de Dados'!$AK834&lt;&gt;"-","REEMBOLSO",IFERROR(_xlfn.XLOOKUP(G834,Follow[CODRASTREIO],Follow[STATUS]),"-"))</f>
        <v>REEMBOLSO</v>
      </c>
      <c r="AJ834" s="9" t="str">
        <f ca="1">IF('Banco de Dados'!$AI834="ENTREGUE",_xlfn.XLOOKUP('Banco de Dados'!$G834,Follow[CODRASTREIO],Follow[DATAATUALIZAÇÃO]),"-")</f>
        <v>-</v>
      </c>
      <c r="AK834" s="132">
        <f ca="1"/>
        <v>45716</v>
      </c>
      <c r="AL834" s="35"/>
      <c r="AM834" s="109" cm="1">
        <f t="array" aca="1" ref="AM834" ca="1">IF('Banco de Dados'!$AK834&lt;&gt;"-",_xlfn.IFS('Banco de Dados'!$A834="bv",IF('Banco de Dados'!$E834&lt;45641,ROUND(SUM('Banco de Dados'!$R834*_xlfn.XLOOKUP('Banco de Dados'!$P834,Sku!B:B,Sku!#REF!)*20%),2),ROUND(SUM('Banco de Dados'!$R834*_xlfn.XLOOKUP('Banco de Dados'!$P834,Sku!B:B,Sku!H:H)*20%),2)),'Banco de Dados'!$A834="GO",ROUND(_xlfn.XLOOKUP('Banco de Dados'!$P834,Sku!C:C,Sku!H:H),2),'Banco de Dados'!$A834="MEI",ROUND(_xlfn.XLOOKUP('Banco de Dados'!$P834,Sku!D:D,Sku!H:H),2)),0)</f>
        <v>1.74</v>
      </c>
      <c r="AN834" s="109" t="e">
        <f ca="1">IF('Banco de Dados'!$AK834&lt;&gt;"-",IF('Banco de Dados'!$F834&lt;&gt;"-",_xlfn.XLOOKUP(IFERROR(IFERROR(IFERROR(VALUE(SUBSTITUTE(MID(_xlfn.TEXTAFTER('Banco de Dados'!$F834,"Data do Pedido:
",1),1,10),"-","/")),VALUE(SUBSTITUTE(MID(_xlfn.TEXTAFTER('Banco de Dados'!$F834,"Order date:
",1),1,10),"-","/"))),VALUE(SUBSTITUTE(MID(_xlfn.TEXTAFTER('Banco de Dados'!$F834,"Fecha de pedido:
",1),1,10),"-","/"))),"-"),SMS!A:A,SMS!K:K),0),0)</f>
        <v>#N/A</v>
      </c>
      <c r="AO834" s="109">
        <f ca="1">IF('Banco de Dados'!$AK834&lt;&gt;"-",IF('Banco de Dados'!$F834&lt;&gt;"-",IFERROR(_xlfn.XLOOKUP(_xlfn.CONCAT('Banco de Dados'!$A834,IFERROR(IFERROR(VALUE(SUBSTITUTE(MID(_xlfn.TEXTAFTER('Banco de Dados'!$F834,"Data do Pedido:
",1),1,10),"-","/")),VALUE(SUBSTITUTE(MID(_xlfn.TEXTAFTER('Banco de Dados'!$F834,"Order date:
",1),1,10),"-","/"))),0)),ProxyDD[Chave],ProxyDD[Valor por pedido]),PROXY!$P$2),0),0)</f>
        <v>0.39877104377104378</v>
      </c>
      <c r="AP834" s="28">
        <f ca="1">IF('Banco de Dados'!$AK834&lt;&gt;"-",IF('Banco de Dados'!$AL834="NÃO",IFERROR(VALUE(SUBSTITUTE(_xlfn.TEXTAFTER('Banco de Dados'!$F834,"BRL ",1),".",",")),0),0),0)</f>
        <v>0</v>
      </c>
      <c r="AQ834" s="28" t="e">
        <f ca="1">SUM('Banco de Dados'!$AM834:$AP834)</f>
        <v>#N/A</v>
      </c>
      <c r="AR834" s="8"/>
      <c r="AS834" s="8"/>
      <c r="AT834"/>
      <c r="AY834" s="8"/>
    </row>
    <row r="835" spans="1:51">
      <c r="A835" s="5" t="str">
        <v>BV</v>
      </c>
      <c r="B835" s="5" t="str">
        <f ca="1"/>
        <v>BV45679</v>
      </c>
      <c r="C835" s="8" t="str">
        <v>Pedido 822</v>
      </c>
      <c r="D835" s="9">
        <v>45679</v>
      </c>
      <c r="E835" s="9">
        <v>45679</v>
      </c>
      <c r="F835" s="8" t="str">
        <v>PedidoF801</v>
      </c>
      <c r="G835" s="2" t="str">
        <v>CódRastreio799</v>
      </c>
      <c r="H835" s="5">
        <v>1</v>
      </c>
      <c r="I835" s="182" t="str">
        <v>CPF 487</v>
      </c>
      <c r="J835" s="2" t="str">
        <v>Nome 487</v>
      </c>
      <c r="K835" s="8" t="str">
        <v>Tel 487</v>
      </c>
      <c r="L835" s="8" t="str">
        <v>Cep 487</v>
      </c>
      <c r="M835" s="8" t="str">
        <v>Rua 487</v>
      </c>
      <c r="N835" s="8" t="str">
        <v>Comp 487</v>
      </c>
      <c r="O835" s="8" t="str">
        <v>Ventilador Azul</v>
      </c>
      <c r="P835" s="8" t="str">
        <v>U8-2VWS-OB6M</v>
      </c>
      <c r="Q835" s="4">
        <v>45700</v>
      </c>
      <c r="R835" s="109">
        <v>66.989999999999995</v>
      </c>
      <c r="S835" s="11">
        <f ca="1"/>
        <v>66.989999999999995</v>
      </c>
      <c r="T835" s="28">
        <f ca="1"/>
        <v>8.7087000000000003</v>
      </c>
      <c r="U835" s="11">
        <f ca="1"/>
        <v>58.28</v>
      </c>
      <c r="V835" s="11">
        <v>19.329999999999998</v>
      </c>
      <c r="W835" s="11">
        <f ca="1"/>
        <v>0.2</v>
      </c>
      <c r="X835" s="11">
        <f ca="1"/>
        <v>0.39877104377104378</v>
      </c>
      <c r="Y835" s="11">
        <v>0</v>
      </c>
      <c r="Z835" s="11">
        <f ca="1"/>
        <v>38.351228956228958</v>
      </c>
      <c r="AA835" s="11">
        <f ca="1"/>
        <v>19.175614478114479</v>
      </c>
      <c r="AB835" s="4">
        <f ca="1"/>
        <v>45707</v>
      </c>
      <c r="AC835" s="4">
        <v>45707</v>
      </c>
      <c r="AD835" s="9">
        <v>45721</v>
      </c>
      <c r="AE835" s="9">
        <v>45721</v>
      </c>
      <c r="AF835" s="4" t="str">
        <f t="shared" ca="1" si="35"/>
        <v>2025 02</v>
      </c>
      <c r="AG835" s="8" t="str" cm="1">
        <f t="array" ref="AG835">IFERROR(_xlfn.IFS('Banco de Dados'!#REF!="AG. COMPRA","Em processamento",'Banco de Dados'!#REF!="AG. RASTREIO","Em processamento",'Banco de Dados'!$AE835&lt;&gt;"-","Faturado",'Banco de Dados'!$AD835&lt;&gt;"-","Aguardando Pix",'Banco de Dados'!$AC835&lt;&gt;"-","Pendente"),"Aguardando Liberação")</f>
        <v>Aguardando Liberação</v>
      </c>
      <c r="AH835" s="5" t="str">
        <f>IF('Banco de Dados'!$F835="-",_xlfn.CONCAT(PROPER(TEXT(AK835,"aaaa"))," ",PROPER(TEXT(AK835,"mm"))),_xlfn.CONCAT(PROPER(TEXT(E835,"aaaa"))," ",PROPER(TEXT(E835,"mm"))))</f>
        <v>2025 01</v>
      </c>
      <c r="AI835" s="9" t="str">
        <f ca="1">IF('Banco de Dados'!$AK835&lt;&gt;"-","REEMBOLSO",IFERROR(_xlfn.XLOOKUP(G835,Follow[CODRASTREIO],Follow[STATUS]),"-"))</f>
        <v>ENTREGUE</v>
      </c>
      <c r="AJ835" s="9">
        <f ca="1">IF('Banco de Dados'!$AI835="ENTREGUE",_xlfn.XLOOKUP('Banco de Dados'!$G835,Follow[CODRASTREIO],Follow[DATAATUALIZAÇÃO]),"-")</f>
        <v>45695</v>
      </c>
      <c r="AK835" s="132" t="str">
        <f ca="1"/>
        <v>-</v>
      </c>
      <c r="AL835" s="35"/>
      <c r="AM835" s="109" cm="1">
        <f t="array" aca="1" ref="AM835" ca="1">IF('Banco de Dados'!$AK835&lt;&gt;"-",_xlfn.IFS('Banco de Dados'!$A835="bv",IF('Banco de Dados'!$E835&lt;45641,ROUND(SUM('Banco de Dados'!$R835*_xlfn.XLOOKUP('Banco de Dados'!$P835,Sku!B:B,Sku!#REF!)*20%),2),ROUND(SUM('Banco de Dados'!$R835*_xlfn.XLOOKUP('Banco de Dados'!$P835,Sku!B:B,Sku!H:H)*20%),2)),'Banco de Dados'!$A835="GO",ROUND(_xlfn.XLOOKUP('Banco de Dados'!$P835,Sku!C:C,Sku!H:H),2),'Banco de Dados'!$A835="MEI",ROUND(_xlfn.XLOOKUP('Banco de Dados'!$P835,Sku!D:D,Sku!H:H),2)),0)</f>
        <v>0</v>
      </c>
      <c r="AN835" s="109">
        <f ca="1">IF('Banco de Dados'!$AK835&lt;&gt;"-",IF('Banco de Dados'!$F835&lt;&gt;"-",_xlfn.XLOOKUP(IFERROR(IFERROR(IFERROR(VALUE(SUBSTITUTE(MID(_xlfn.TEXTAFTER('Banco de Dados'!$F835,"Data do Pedido:
",1),1,10),"-","/")),VALUE(SUBSTITUTE(MID(_xlfn.TEXTAFTER('Banco de Dados'!$F835,"Order date:
",1),1,10),"-","/"))),VALUE(SUBSTITUTE(MID(_xlfn.TEXTAFTER('Banco de Dados'!$F835,"Fecha de pedido:
",1),1,10),"-","/"))),"-"),SMS!A:A,SMS!K:K),0),0)</f>
        <v>0</v>
      </c>
      <c r="AO835" s="109">
        <f ca="1">IF('Banco de Dados'!$AK835&lt;&gt;"-",IF('Banco de Dados'!$F835&lt;&gt;"-",IFERROR(_xlfn.XLOOKUP(_xlfn.CONCAT('Banco de Dados'!$A835,IFERROR(IFERROR(VALUE(SUBSTITUTE(MID(_xlfn.TEXTAFTER('Banco de Dados'!$F835,"Data do Pedido:
",1),1,10),"-","/")),VALUE(SUBSTITUTE(MID(_xlfn.TEXTAFTER('Banco de Dados'!$F835,"Order date:
",1),1,10),"-","/"))),0)),ProxyDD[Chave],ProxyDD[Valor por pedido]),PROXY!$P$2),0),0)</f>
        <v>0</v>
      </c>
      <c r="AP835" s="28">
        <f ca="1">IF('Banco de Dados'!$AK835&lt;&gt;"-",IF('Banco de Dados'!$AL835="NÃO",IFERROR(VALUE(SUBSTITUTE(_xlfn.TEXTAFTER('Banco de Dados'!$F835,"BRL ",1),".",",")),0),0),0)</f>
        <v>0</v>
      </c>
      <c r="AQ835" s="28">
        <f ca="1">SUM('Banco de Dados'!$AM835:$AP835)</f>
        <v>0</v>
      </c>
      <c r="AR835" s="8"/>
      <c r="AS835" s="8"/>
      <c r="AT835"/>
      <c r="AY835" s="8"/>
    </row>
    <row r="836" spans="1:51">
      <c r="A836" s="5" t="str">
        <v>BV</v>
      </c>
      <c r="B836" s="5" t="str">
        <f ca="1"/>
        <v>BV45680</v>
      </c>
      <c r="C836" s="8" t="str">
        <v>Pedido 823</v>
      </c>
      <c r="D836" s="9">
        <v>45680</v>
      </c>
      <c r="E836" s="9">
        <v>45680</v>
      </c>
      <c r="F836" s="8" t="str">
        <v>PedidoF802</v>
      </c>
      <c r="G836" s="2" t="str">
        <v>CódRastreio800</v>
      </c>
      <c r="H836" s="5">
        <v>1</v>
      </c>
      <c r="I836" s="182" t="str">
        <v>CPF 799</v>
      </c>
      <c r="J836" s="2" t="str">
        <v>Nome 799</v>
      </c>
      <c r="K836" s="8" t="str">
        <v>Tel 799</v>
      </c>
      <c r="L836" s="8" t="str">
        <v>Cep 799</v>
      </c>
      <c r="M836" s="8" t="str">
        <v>Rua 799</v>
      </c>
      <c r="N836" s="8" t="str">
        <v>Comp 799</v>
      </c>
      <c r="O836" s="8" t="str">
        <v>Adaptador Bluetooph</v>
      </c>
      <c r="P836" s="8" t="str">
        <v>YA-AG3H-SPUK</v>
      </c>
      <c r="Q836" s="4">
        <v>45694</v>
      </c>
      <c r="R836" s="109">
        <v>22.99</v>
      </c>
      <c r="S836" s="11">
        <f ca="1"/>
        <v>22.99</v>
      </c>
      <c r="T836" s="28">
        <f ca="1"/>
        <v>2.7587999999999999</v>
      </c>
      <c r="U836" s="11">
        <f ca="1"/>
        <v>20.23</v>
      </c>
      <c r="V836" s="11">
        <v>6.99</v>
      </c>
      <c r="W836" s="11">
        <f ca="1"/>
        <v>0.3</v>
      </c>
      <c r="X836" s="11">
        <f ca="1"/>
        <v>0.39877104377104378</v>
      </c>
      <c r="Y836" s="11">
        <v>0</v>
      </c>
      <c r="Z836" s="11">
        <f ca="1"/>
        <v>12.541228956228956</v>
      </c>
      <c r="AA836" s="11">
        <f ca="1"/>
        <v>6.2706144781144779</v>
      </c>
      <c r="AB836" s="4">
        <f ca="1"/>
        <v>45701</v>
      </c>
      <c r="AC836" s="4">
        <v>45701</v>
      </c>
      <c r="AD836" s="9">
        <v>45702</v>
      </c>
      <c r="AE836" s="9">
        <v>45705</v>
      </c>
      <c r="AF836" s="4" t="str">
        <f t="shared" ca="1" si="35"/>
        <v>2025 02</v>
      </c>
      <c r="AG836" s="8" t="str" cm="1">
        <f t="array" ref="AG836">IFERROR(_xlfn.IFS('Banco de Dados'!#REF!="AG. COMPRA","Em processamento",'Banco de Dados'!#REF!="AG. RASTREIO","Em processamento",'Banco de Dados'!$AE836&lt;&gt;"-","Faturado",'Banco de Dados'!$AD836&lt;&gt;"-","Aguardando Pix",'Banco de Dados'!$AC836&lt;&gt;"-","Pendente"),"Aguardando Liberação")</f>
        <v>Aguardando Liberação</v>
      </c>
      <c r="AH836" s="5" t="str">
        <f>IF('Banco de Dados'!$F836="-",_xlfn.CONCAT(PROPER(TEXT(AK836,"aaaa"))," ",PROPER(TEXT(AK836,"mm"))),_xlfn.CONCAT(PROPER(TEXT(E836,"aaaa"))," ",PROPER(TEXT(E836,"mm"))))</f>
        <v>2025 01</v>
      </c>
      <c r="AI836" s="9" t="str">
        <f ca="1">IF('Banco de Dados'!$AK836&lt;&gt;"-","REEMBOLSO",IFERROR(_xlfn.XLOOKUP(G836,Follow[CODRASTREIO],Follow[STATUS]),"-"))</f>
        <v>ENTREGUE</v>
      </c>
      <c r="AJ836" s="9">
        <f ca="1">IF('Banco de Dados'!$AI836="ENTREGUE",_xlfn.XLOOKUP('Banco de Dados'!$G836,Follow[CODRASTREIO],Follow[DATAATUALIZAÇÃO]),"-")</f>
        <v>45684</v>
      </c>
      <c r="AK836" s="132" t="str">
        <f ca="1"/>
        <v>-</v>
      </c>
      <c r="AL836" s="35"/>
      <c r="AM836" s="109" cm="1">
        <f t="array" aca="1" ref="AM836" ca="1">IF('Banco de Dados'!$AK836&lt;&gt;"-",_xlfn.IFS('Banco de Dados'!$A836="bv",IF('Banco de Dados'!$E836&lt;45641,ROUND(SUM('Banco de Dados'!$R836*_xlfn.XLOOKUP('Banco de Dados'!$P836,Sku!B:B,Sku!#REF!)*20%),2),ROUND(SUM('Banco de Dados'!$R836*_xlfn.XLOOKUP('Banco de Dados'!$P836,Sku!B:B,Sku!H:H)*20%),2)),'Banco de Dados'!$A836="GO",ROUND(_xlfn.XLOOKUP('Banco de Dados'!$P836,Sku!C:C,Sku!H:H),2),'Banco de Dados'!$A836="MEI",ROUND(_xlfn.XLOOKUP('Banco de Dados'!$P836,Sku!D:D,Sku!H:H),2)),0)</f>
        <v>0</v>
      </c>
      <c r="AN836" s="109">
        <f ca="1">IF('Banco de Dados'!$AK836&lt;&gt;"-",IF('Banco de Dados'!$F836&lt;&gt;"-",_xlfn.XLOOKUP(IFERROR(IFERROR(IFERROR(VALUE(SUBSTITUTE(MID(_xlfn.TEXTAFTER('Banco de Dados'!$F836,"Data do Pedido:
",1),1,10),"-","/")),VALUE(SUBSTITUTE(MID(_xlfn.TEXTAFTER('Banco de Dados'!$F836,"Order date:
",1),1,10),"-","/"))),VALUE(SUBSTITUTE(MID(_xlfn.TEXTAFTER('Banco de Dados'!$F836,"Fecha de pedido:
",1),1,10),"-","/"))),"-"),SMS!A:A,SMS!K:K),0),0)</f>
        <v>0</v>
      </c>
      <c r="AO836" s="109">
        <f ca="1">IF('Banco de Dados'!$AK836&lt;&gt;"-",IF('Banco de Dados'!$F836&lt;&gt;"-",IFERROR(_xlfn.XLOOKUP(_xlfn.CONCAT('Banco de Dados'!$A836,IFERROR(IFERROR(VALUE(SUBSTITUTE(MID(_xlfn.TEXTAFTER('Banco de Dados'!$F836,"Data do Pedido:
",1),1,10),"-","/")),VALUE(SUBSTITUTE(MID(_xlfn.TEXTAFTER('Banco de Dados'!$F836,"Order date:
",1),1,10),"-","/"))),0)),ProxyDD[Chave],ProxyDD[Valor por pedido]),PROXY!$P$2),0),0)</f>
        <v>0</v>
      </c>
      <c r="AP836" s="28">
        <f ca="1">IF('Banco de Dados'!$AK836&lt;&gt;"-",IF('Banco de Dados'!$AL836="NÃO",IFERROR(VALUE(SUBSTITUTE(_xlfn.TEXTAFTER('Banco de Dados'!$F836,"BRL ",1),".",",")),0),0),0)</f>
        <v>0</v>
      </c>
      <c r="AQ836" s="28">
        <f ca="1">SUM('Banco de Dados'!$AM836:$AP836)</f>
        <v>0</v>
      </c>
      <c r="AR836" s="8"/>
      <c r="AS836" s="8"/>
      <c r="AT836"/>
      <c r="AY836" s="8"/>
    </row>
    <row r="837" spans="1:51">
      <c r="A837" s="5" t="str">
        <v>BV</v>
      </c>
      <c r="B837" s="5" t="str">
        <f ca="1"/>
        <v>BV45680</v>
      </c>
      <c r="C837" s="8" t="str">
        <v>Pedido 824</v>
      </c>
      <c r="D837" s="9">
        <v>45680</v>
      </c>
      <c r="E837" s="9">
        <v>45680</v>
      </c>
      <c r="F837" s="8" t="str">
        <v>PedidoF803</v>
      </c>
      <c r="G837" s="2" t="str">
        <v>CódRastreio801</v>
      </c>
      <c r="H837" s="5">
        <v>1</v>
      </c>
      <c r="I837" s="182" t="str">
        <v>CPF 800</v>
      </c>
      <c r="J837" s="2" t="str">
        <v>Nome 800</v>
      </c>
      <c r="K837" s="8" t="str">
        <v>Tel 800</v>
      </c>
      <c r="L837" s="8" t="str">
        <v>Cep 800</v>
      </c>
      <c r="M837" s="8" t="str">
        <v>Rua 800</v>
      </c>
      <c r="N837" s="8" t="str">
        <v>Comp 800</v>
      </c>
      <c r="O837" s="8" t="str">
        <v>Adaptador Bluetooph</v>
      </c>
      <c r="P837" s="8" t="str">
        <v>YA-AG3H-SPUK</v>
      </c>
      <c r="Q837" s="4">
        <v>45700</v>
      </c>
      <c r="R837" s="109">
        <v>22.99</v>
      </c>
      <c r="S837" s="11">
        <f ca="1"/>
        <v>22.99</v>
      </c>
      <c r="T837" s="28">
        <f ca="1"/>
        <v>2.7587999999999999</v>
      </c>
      <c r="U837" s="11">
        <f ca="1"/>
        <v>20.23</v>
      </c>
      <c r="V837" s="11">
        <v>6.99</v>
      </c>
      <c r="W837" s="11">
        <f ca="1"/>
        <v>0.3</v>
      </c>
      <c r="X837" s="11">
        <f ca="1"/>
        <v>0.39877104377104378</v>
      </c>
      <c r="Y837" s="11">
        <v>0</v>
      </c>
      <c r="Z837" s="11">
        <f ca="1"/>
        <v>12.541228956228956</v>
      </c>
      <c r="AA837" s="11">
        <f ca="1"/>
        <v>6.2706144781144779</v>
      </c>
      <c r="AB837" s="4">
        <f ca="1"/>
        <v>45707</v>
      </c>
      <c r="AC837" s="4">
        <v>45707</v>
      </c>
      <c r="AD837" s="9">
        <v>45721</v>
      </c>
      <c r="AE837" s="9">
        <v>45721</v>
      </c>
      <c r="AF837" s="4" t="str">
        <f t="shared" ca="1" si="35"/>
        <v>2025 02</v>
      </c>
      <c r="AG837" s="8" t="str" cm="1">
        <f t="array" ref="AG837">IFERROR(_xlfn.IFS('Banco de Dados'!#REF!="AG. COMPRA","Em processamento",'Banco de Dados'!#REF!="AG. RASTREIO","Em processamento",'Banco de Dados'!$AE837&lt;&gt;"-","Faturado",'Banco de Dados'!$AD837&lt;&gt;"-","Aguardando Pix",'Banco de Dados'!$AC837&lt;&gt;"-","Pendente"),"Aguardando Liberação")</f>
        <v>Aguardando Liberação</v>
      </c>
      <c r="AH837" s="5" t="str">
        <f>IF('Banco de Dados'!$F837="-",_xlfn.CONCAT(PROPER(TEXT(AK837,"aaaa"))," ",PROPER(TEXT(AK837,"mm"))),_xlfn.CONCAT(PROPER(TEXT(E837,"aaaa"))," ",PROPER(TEXT(E837,"mm"))))</f>
        <v>2025 01</v>
      </c>
      <c r="AI837" s="9" t="str">
        <f ca="1">IF('Banco de Dados'!$AK837&lt;&gt;"-","REEMBOLSO",IFERROR(_xlfn.XLOOKUP(G837,Follow[CODRASTREIO],Follow[STATUS]),"-"))</f>
        <v>ENTREGUE</v>
      </c>
      <c r="AJ837" s="9">
        <f ca="1">IF('Banco de Dados'!$AI837="ENTREGUE",_xlfn.XLOOKUP('Banco de Dados'!$G837,Follow[CODRASTREIO],Follow[DATAATUALIZAÇÃO]),"-")</f>
        <v>45684</v>
      </c>
      <c r="AK837" s="132" t="str">
        <f ca="1"/>
        <v>-</v>
      </c>
      <c r="AL837" s="35"/>
      <c r="AM837" s="109" cm="1">
        <f t="array" aca="1" ref="AM837" ca="1">IF('Banco de Dados'!$AK837&lt;&gt;"-",_xlfn.IFS('Banco de Dados'!$A837="bv",IF('Banco de Dados'!$E837&lt;45641,ROUND(SUM('Banco de Dados'!$R837*_xlfn.XLOOKUP('Banco de Dados'!$P837,Sku!B:B,Sku!#REF!)*20%),2),ROUND(SUM('Banco de Dados'!$R837*_xlfn.XLOOKUP('Banco de Dados'!$P837,Sku!B:B,Sku!H:H)*20%),2)),'Banco de Dados'!$A837="GO",ROUND(_xlfn.XLOOKUP('Banco de Dados'!$P837,Sku!C:C,Sku!H:H),2),'Banco de Dados'!$A837="MEI",ROUND(_xlfn.XLOOKUP('Banco de Dados'!$P837,Sku!D:D,Sku!H:H),2)),0)</f>
        <v>0</v>
      </c>
      <c r="AN837" s="109">
        <f ca="1">IF('Banco de Dados'!$AK837&lt;&gt;"-",IF('Banco de Dados'!$F837&lt;&gt;"-",_xlfn.XLOOKUP(IFERROR(IFERROR(IFERROR(VALUE(SUBSTITUTE(MID(_xlfn.TEXTAFTER('Banco de Dados'!$F837,"Data do Pedido:
",1),1,10),"-","/")),VALUE(SUBSTITUTE(MID(_xlfn.TEXTAFTER('Banco de Dados'!$F837,"Order date:
",1),1,10),"-","/"))),VALUE(SUBSTITUTE(MID(_xlfn.TEXTAFTER('Banco de Dados'!$F837,"Fecha de pedido:
",1),1,10),"-","/"))),"-"),SMS!A:A,SMS!K:K),0),0)</f>
        <v>0</v>
      </c>
      <c r="AO837" s="109">
        <f ca="1">IF('Banco de Dados'!$AK837&lt;&gt;"-",IF('Banco de Dados'!$F837&lt;&gt;"-",IFERROR(_xlfn.XLOOKUP(_xlfn.CONCAT('Banco de Dados'!$A837,IFERROR(IFERROR(VALUE(SUBSTITUTE(MID(_xlfn.TEXTAFTER('Banco de Dados'!$F837,"Data do Pedido:
",1),1,10),"-","/")),VALUE(SUBSTITUTE(MID(_xlfn.TEXTAFTER('Banco de Dados'!$F837,"Order date:
",1),1,10),"-","/"))),0)),ProxyDD[Chave],ProxyDD[Valor por pedido]),PROXY!$P$2),0),0)</f>
        <v>0</v>
      </c>
      <c r="AP837" s="28">
        <f ca="1">IF('Banco de Dados'!$AK837&lt;&gt;"-",IF('Banco de Dados'!$AL837="NÃO",IFERROR(VALUE(SUBSTITUTE(_xlfn.TEXTAFTER('Banco de Dados'!$F837,"BRL ",1),".",",")),0),0),0)</f>
        <v>0</v>
      </c>
      <c r="AQ837" s="28">
        <f ca="1">SUM('Banco de Dados'!$AM837:$AP837)</f>
        <v>0</v>
      </c>
      <c r="AR837" s="8"/>
      <c r="AS837" s="8"/>
      <c r="AT837"/>
      <c r="AY837" s="8"/>
    </row>
    <row r="838" spans="1:51">
      <c r="A838" s="5" t="str">
        <v>BV</v>
      </c>
      <c r="B838" s="5" t="str">
        <f ca="1"/>
        <v>BV45680</v>
      </c>
      <c r="C838" s="8" t="str">
        <v>Pedido 825</v>
      </c>
      <c r="D838" s="9">
        <v>45680</v>
      </c>
      <c r="E838" s="9">
        <v>45680</v>
      </c>
      <c r="F838" s="8" t="str">
        <v>PedidoF804</v>
      </c>
      <c r="G838" s="2" t="str">
        <v>CódRastreio802</v>
      </c>
      <c r="H838" s="5">
        <v>1</v>
      </c>
      <c r="I838" s="182" t="str">
        <v>CPF 801</v>
      </c>
      <c r="J838" s="2" t="str">
        <v>Nome 801</v>
      </c>
      <c r="K838" s="8" t="str">
        <v>Tel 801</v>
      </c>
      <c r="L838" s="8" t="str">
        <v>Cep 801</v>
      </c>
      <c r="M838" s="8" t="str">
        <v>Rua 801</v>
      </c>
      <c r="N838" s="8" t="str">
        <v>Comp 801</v>
      </c>
      <c r="O838" s="8" t="str">
        <v>Mini Liquidificador</v>
      </c>
      <c r="P838" s="8" t="str">
        <v>CK-YL6M-P5Y6</v>
      </c>
      <c r="Q838" s="4">
        <v>45696</v>
      </c>
      <c r="R838" s="109">
        <v>32.99</v>
      </c>
      <c r="S838" s="11">
        <f ca="1"/>
        <v>32.99</v>
      </c>
      <c r="T838" s="28">
        <f ca="1"/>
        <v>4.2887000000000004</v>
      </c>
      <c r="U838" s="11">
        <f ca="1"/>
        <v>28.7</v>
      </c>
      <c r="V838" s="11">
        <v>14.99</v>
      </c>
      <c r="W838" s="11">
        <f ca="1"/>
        <v>0.3</v>
      </c>
      <c r="X838" s="11">
        <f ca="1"/>
        <v>0.39877104377104378</v>
      </c>
      <c r="Y838" s="11">
        <v>0</v>
      </c>
      <c r="Z838" s="11">
        <f ca="1"/>
        <v>13.011228956228955</v>
      </c>
      <c r="AA838" s="11">
        <f ca="1"/>
        <v>6.5056144781144774</v>
      </c>
      <c r="AB838" s="4">
        <f ca="1"/>
        <v>45703</v>
      </c>
      <c r="AC838" s="4">
        <v>45703</v>
      </c>
      <c r="AD838" s="9">
        <v>45721</v>
      </c>
      <c r="AE838" s="9">
        <v>45721</v>
      </c>
      <c r="AF838" s="4" t="str">
        <f t="shared" ca="1" si="35"/>
        <v>2025 02</v>
      </c>
      <c r="AG838" s="8" t="str" cm="1">
        <f t="array" ref="AG838">IFERROR(_xlfn.IFS('Banco de Dados'!#REF!="AG. COMPRA","Em processamento",'Banco de Dados'!#REF!="AG. RASTREIO","Em processamento",'Banco de Dados'!$AE838&lt;&gt;"-","Faturado",'Banco de Dados'!$AD838&lt;&gt;"-","Aguardando Pix",'Banco de Dados'!$AC838&lt;&gt;"-","Pendente"),"Aguardando Liberação")</f>
        <v>Aguardando Liberação</v>
      </c>
      <c r="AH838" s="5" t="str">
        <f>IF('Banco de Dados'!$F838="-",_xlfn.CONCAT(PROPER(TEXT(AK838,"aaaa"))," ",PROPER(TEXT(AK838,"mm"))),_xlfn.CONCAT(PROPER(TEXT(E838,"aaaa"))," ",PROPER(TEXT(E838,"mm"))))</f>
        <v>2025 01</v>
      </c>
      <c r="AI838" s="9" t="str">
        <f ca="1">IF('Banco de Dados'!$AK838&lt;&gt;"-","REEMBOLSO",IFERROR(_xlfn.XLOOKUP(G838,Follow[CODRASTREIO],Follow[STATUS]),"-"))</f>
        <v>ENTREGUE</v>
      </c>
      <c r="AJ838" s="9">
        <f ca="1">IF('Banco de Dados'!$AI838="ENTREGUE",_xlfn.XLOOKUP('Banco de Dados'!$G838,Follow[CODRASTREIO],Follow[DATAATUALIZAÇÃO]),"-")</f>
        <v>45684</v>
      </c>
      <c r="AK838" s="132" t="str">
        <f ca="1"/>
        <v>-</v>
      </c>
      <c r="AL838" s="35"/>
      <c r="AM838" s="109" cm="1">
        <f t="array" aca="1" ref="AM838" ca="1">IF('Banco de Dados'!$AK838&lt;&gt;"-",_xlfn.IFS('Banco de Dados'!$A838="bv",IF('Banco de Dados'!$E838&lt;45641,ROUND(SUM('Banco de Dados'!$R838*_xlfn.XLOOKUP('Banco de Dados'!$P838,Sku!B:B,Sku!#REF!)*20%),2),ROUND(SUM('Banco de Dados'!$R838*_xlfn.XLOOKUP('Banco de Dados'!$P838,Sku!B:B,Sku!H:H)*20%),2)),'Banco de Dados'!$A838="GO",ROUND(_xlfn.XLOOKUP('Banco de Dados'!$P838,Sku!C:C,Sku!H:H),2),'Banco de Dados'!$A838="MEI",ROUND(_xlfn.XLOOKUP('Banco de Dados'!$P838,Sku!D:D,Sku!H:H),2)),0)</f>
        <v>0</v>
      </c>
      <c r="AN838" s="109">
        <f ca="1">IF('Banco de Dados'!$AK838&lt;&gt;"-",IF('Banco de Dados'!$F838&lt;&gt;"-",_xlfn.XLOOKUP(IFERROR(IFERROR(IFERROR(VALUE(SUBSTITUTE(MID(_xlfn.TEXTAFTER('Banco de Dados'!$F838,"Data do Pedido:
",1),1,10),"-","/")),VALUE(SUBSTITUTE(MID(_xlfn.TEXTAFTER('Banco de Dados'!$F838,"Order date:
",1),1,10),"-","/"))),VALUE(SUBSTITUTE(MID(_xlfn.TEXTAFTER('Banco de Dados'!$F838,"Fecha de pedido:
",1),1,10),"-","/"))),"-"),SMS!A:A,SMS!K:K),0),0)</f>
        <v>0</v>
      </c>
      <c r="AO838" s="109">
        <f ca="1">IF('Banco de Dados'!$AK838&lt;&gt;"-",IF('Banco de Dados'!$F838&lt;&gt;"-",IFERROR(_xlfn.XLOOKUP(_xlfn.CONCAT('Banco de Dados'!$A838,IFERROR(IFERROR(VALUE(SUBSTITUTE(MID(_xlfn.TEXTAFTER('Banco de Dados'!$F838,"Data do Pedido:
",1),1,10),"-","/")),VALUE(SUBSTITUTE(MID(_xlfn.TEXTAFTER('Banco de Dados'!$F838,"Order date:
",1),1,10),"-","/"))),0)),ProxyDD[Chave],ProxyDD[Valor por pedido]),PROXY!$P$2),0),0)</f>
        <v>0</v>
      </c>
      <c r="AP838" s="28">
        <f ca="1">IF('Banco de Dados'!$AK838&lt;&gt;"-",IF('Banco de Dados'!$AL838="NÃO",IFERROR(VALUE(SUBSTITUTE(_xlfn.TEXTAFTER('Banco de Dados'!$F838,"BRL ",1),".",",")),0),0),0)</f>
        <v>0</v>
      </c>
      <c r="AQ838" s="28">
        <f ca="1">SUM('Banco de Dados'!$AM838:$AP838)</f>
        <v>0</v>
      </c>
      <c r="AR838" s="8"/>
      <c r="AS838" s="8"/>
      <c r="AT838"/>
      <c r="AY838" s="8"/>
    </row>
    <row r="839" spans="1:51">
      <c r="A839" s="5" t="str">
        <v>BV</v>
      </c>
      <c r="B839" s="5" t="str">
        <f ca="1"/>
        <v>BV45681</v>
      </c>
      <c r="C839" s="8" t="str">
        <v>Pedido 826</v>
      </c>
      <c r="D839" s="9">
        <v>45680</v>
      </c>
      <c r="E839" s="9">
        <v>45681</v>
      </c>
      <c r="F839" s="8" t="str">
        <v>PedidoF805</v>
      </c>
      <c r="G839" s="2" t="str">
        <v>CódRastreio803</v>
      </c>
      <c r="H839" s="5">
        <v>1</v>
      </c>
      <c r="I839" s="182" t="str">
        <v>CPF 802</v>
      </c>
      <c r="J839" s="2" t="str">
        <v>Nome 802</v>
      </c>
      <c r="K839" s="8" t="str">
        <v>Tel 802</v>
      </c>
      <c r="L839" s="8" t="str">
        <v>Cep 802</v>
      </c>
      <c r="M839" s="8" t="str">
        <v>Rua 802</v>
      </c>
      <c r="N839" s="8" t="str">
        <v>Comp 802</v>
      </c>
      <c r="O839" s="8" t="str">
        <v>Ventilador Rosa</v>
      </c>
      <c r="P839" s="8" t="str">
        <v>IF-G2ZQ-79FO</v>
      </c>
      <c r="Q839" s="4">
        <v>45701</v>
      </c>
      <c r="R839" s="109">
        <v>59.8</v>
      </c>
      <c r="S839" s="11">
        <f ca="1"/>
        <v>59.8</v>
      </c>
      <c r="T839" s="28">
        <f ca="1"/>
        <v>7.774</v>
      </c>
      <c r="U839" s="11">
        <f ca="1"/>
        <v>52.03</v>
      </c>
      <c r="V839" s="11">
        <v>18.62</v>
      </c>
      <c r="W839" s="11">
        <f ca="1"/>
        <v>0.23</v>
      </c>
      <c r="X839" s="11">
        <f ca="1"/>
        <v>0.39877104377104378</v>
      </c>
      <c r="Y839" s="11">
        <v>0</v>
      </c>
      <c r="Z839" s="11">
        <f ca="1"/>
        <v>32.781228956228958</v>
      </c>
      <c r="AA839" s="11">
        <f ca="1"/>
        <v>16.390614478114479</v>
      </c>
      <c r="AB839" s="4">
        <f ca="1"/>
        <v>45708</v>
      </c>
      <c r="AC839" s="4">
        <v>45708</v>
      </c>
      <c r="AD839" s="9">
        <v>45721</v>
      </c>
      <c r="AE839" s="9">
        <v>45721</v>
      </c>
      <c r="AF839" s="4" t="str">
        <f t="shared" ca="1" si="35"/>
        <v>2025 02</v>
      </c>
      <c r="AG839" s="8" t="str" cm="1">
        <f t="array" ref="AG839">IFERROR(_xlfn.IFS('Banco de Dados'!#REF!="AG. COMPRA","Em processamento",'Banco de Dados'!#REF!="AG. RASTREIO","Em processamento",'Banco de Dados'!$AE839&lt;&gt;"-","Faturado",'Banco de Dados'!$AD839&lt;&gt;"-","Aguardando Pix",'Banco de Dados'!$AC839&lt;&gt;"-","Pendente"),"Aguardando Liberação")</f>
        <v>Aguardando Liberação</v>
      </c>
      <c r="AH839" s="5" t="str">
        <f>IF('Banco de Dados'!$F839="-",_xlfn.CONCAT(PROPER(TEXT(AK839,"aaaa"))," ",PROPER(TEXT(AK839,"mm"))),_xlfn.CONCAT(PROPER(TEXT(E839,"aaaa"))," ",PROPER(TEXT(E839,"mm"))))</f>
        <v>2025 01</v>
      </c>
      <c r="AI839" s="9" t="str">
        <f ca="1">IF('Banco de Dados'!$AK839&lt;&gt;"-","REEMBOLSO",IFERROR(_xlfn.XLOOKUP(G839,Follow[CODRASTREIO],Follow[STATUS]),"-"))</f>
        <v>ENTREGUE</v>
      </c>
      <c r="AJ839" s="9">
        <f ca="1">IF('Banco de Dados'!$AI839="ENTREGUE",_xlfn.XLOOKUP('Banco de Dados'!$G839,Follow[CODRASTREIO],Follow[DATAATUALIZAÇÃO]),"-")</f>
        <v>45687</v>
      </c>
      <c r="AK839" s="132" t="str">
        <f ca="1"/>
        <v>-</v>
      </c>
      <c r="AL839" s="35"/>
      <c r="AM839" s="109" cm="1">
        <f t="array" aca="1" ref="AM839" ca="1">IF('Banco de Dados'!$AK839&lt;&gt;"-",_xlfn.IFS('Banco de Dados'!$A839="bv",IF('Banco de Dados'!$E839&lt;45641,ROUND(SUM('Banco de Dados'!$R839*_xlfn.XLOOKUP('Banco de Dados'!$P839,Sku!B:B,Sku!#REF!)*20%),2),ROUND(SUM('Banco de Dados'!$R839*_xlfn.XLOOKUP('Banco de Dados'!$P839,Sku!B:B,Sku!H:H)*20%),2)),'Banco de Dados'!$A839="GO",ROUND(_xlfn.XLOOKUP('Banco de Dados'!$P839,Sku!C:C,Sku!H:H),2),'Banco de Dados'!$A839="MEI",ROUND(_xlfn.XLOOKUP('Banco de Dados'!$P839,Sku!D:D,Sku!H:H),2)),0)</f>
        <v>0</v>
      </c>
      <c r="AN839" s="109">
        <f ca="1">IF('Banco de Dados'!$AK839&lt;&gt;"-",IF('Banco de Dados'!$F839&lt;&gt;"-",_xlfn.XLOOKUP(IFERROR(IFERROR(IFERROR(VALUE(SUBSTITUTE(MID(_xlfn.TEXTAFTER('Banco de Dados'!$F839,"Data do Pedido:
",1),1,10),"-","/")),VALUE(SUBSTITUTE(MID(_xlfn.TEXTAFTER('Banco de Dados'!$F839,"Order date:
",1),1,10),"-","/"))),VALUE(SUBSTITUTE(MID(_xlfn.TEXTAFTER('Banco de Dados'!$F839,"Fecha de pedido:
",1),1,10),"-","/"))),"-"),SMS!A:A,SMS!K:K),0),0)</f>
        <v>0</v>
      </c>
      <c r="AO839" s="109">
        <f ca="1">IF('Banco de Dados'!$AK839&lt;&gt;"-",IF('Banco de Dados'!$F839&lt;&gt;"-",IFERROR(_xlfn.XLOOKUP(_xlfn.CONCAT('Banco de Dados'!$A839,IFERROR(IFERROR(VALUE(SUBSTITUTE(MID(_xlfn.TEXTAFTER('Banco de Dados'!$F839,"Data do Pedido:
",1),1,10),"-","/")),VALUE(SUBSTITUTE(MID(_xlfn.TEXTAFTER('Banco de Dados'!$F839,"Order date:
",1),1,10),"-","/"))),0)),ProxyDD[Chave],ProxyDD[Valor por pedido]),PROXY!$P$2),0),0)</f>
        <v>0</v>
      </c>
      <c r="AP839" s="28">
        <f ca="1">IF('Banco de Dados'!$AK839&lt;&gt;"-",IF('Banco de Dados'!$AL839="NÃO",IFERROR(VALUE(SUBSTITUTE(_xlfn.TEXTAFTER('Banco de Dados'!$F839,"BRL ",1),".",",")),0),0),0)</f>
        <v>0</v>
      </c>
      <c r="AQ839" s="28">
        <f ca="1">SUM('Banco de Dados'!$AM839:$AP839)</f>
        <v>0</v>
      </c>
      <c r="AR839" s="8"/>
      <c r="AS839" s="8"/>
      <c r="AT839"/>
      <c r="AY839" s="8"/>
    </row>
    <row r="840" spans="1:51">
      <c r="A840" s="5" t="str">
        <v>BV</v>
      </c>
      <c r="B840" s="5" t="str">
        <f ca="1"/>
        <v>BV45680</v>
      </c>
      <c r="C840" s="8" t="str">
        <v>Pedido 827</v>
      </c>
      <c r="D840" s="9">
        <v>45680</v>
      </c>
      <c r="E840" s="9">
        <v>45680</v>
      </c>
      <c r="F840" s="8" t="str">
        <v>PedidoF806</v>
      </c>
      <c r="G840" s="2" t="str">
        <v>CódRastreio804</v>
      </c>
      <c r="H840" s="5">
        <v>1</v>
      </c>
      <c r="I840" s="182" t="str">
        <v>CPF 803</v>
      </c>
      <c r="J840" s="2" t="str">
        <v>Nome 803</v>
      </c>
      <c r="K840" s="8" t="str">
        <v>Tel 803</v>
      </c>
      <c r="L840" s="8" t="str">
        <v>Cep 803</v>
      </c>
      <c r="M840" s="8" t="str">
        <v>Rua 803</v>
      </c>
      <c r="N840" s="8" t="str">
        <v>Comp 803</v>
      </c>
      <c r="O840" s="8" t="str">
        <v>Ventilador Preto</v>
      </c>
      <c r="P840" s="8" t="str">
        <v>MU-J80P-95WF</v>
      </c>
      <c r="Q840" s="4">
        <v>45707</v>
      </c>
      <c r="R840" s="109">
        <v>65.989999999999995</v>
      </c>
      <c r="S840" s="11">
        <f ca="1"/>
        <v>65.989999999999995</v>
      </c>
      <c r="T840" s="28">
        <f ca="1"/>
        <v>8.5786999999999995</v>
      </c>
      <c r="U840" s="11">
        <f ca="1"/>
        <v>57.41</v>
      </c>
      <c r="V840" s="11">
        <v>17.309999999999999</v>
      </c>
      <c r="W840" s="11">
        <f ca="1"/>
        <v>0.3</v>
      </c>
      <c r="X840" s="11">
        <f ca="1"/>
        <v>0.39877104377104378</v>
      </c>
      <c r="Y840" s="11">
        <v>0</v>
      </c>
      <c r="Z840" s="11">
        <f ca="1"/>
        <v>39.401228956228948</v>
      </c>
      <c r="AA840" s="11">
        <f ca="1"/>
        <v>19.700614478114474</v>
      </c>
      <c r="AB840" s="4">
        <f ca="1"/>
        <v>45714</v>
      </c>
      <c r="AC840" s="4">
        <v>45714</v>
      </c>
      <c r="AD840" s="9">
        <v>45721</v>
      </c>
      <c r="AE840" s="9">
        <v>45721</v>
      </c>
      <c r="AF840" s="4" t="str">
        <f t="shared" ca="1" si="35"/>
        <v>2025 02</v>
      </c>
      <c r="AG840" s="8" t="str" cm="1">
        <f t="array" ref="AG840">IFERROR(_xlfn.IFS('Banco de Dados'!#REF!="AG. COMPRA","Em processamento",'Banco de Dados'!#REF!="AG. RASTREIO","Em processamento",'Banco de Dados'!$AE840&lt;&gt;"-","Faturado",'Banco de Dados'!$AD840&lt;&gt;"-","Aguardando Pix",'Banco de Dados'!$AC840&lt;&gt;"-","Pendente"),"Aguardando Liberação")</f>
        <v>Aguardando Liberação</v>
      </c>
      <c r="AH840" s="5" t="str">
        <f>IF('Banco de Dados'!$F840="-",_xlfn.CONCAT(PROPER(TEXT(AK840,"aaaa"))," ",PROPER(TEXT(AK840,"mm"))),_xlfn.CONCAT(PROPER(TEXT(E840,"aaaa"))," ",PROPER(TEXT(E840,"mm"))))</f>
        <v>2025 01</v>
      </c>
      <c r="AI840" s="9" t="str">
        <f ca="1">IF('Banco de Dados'!$AK840&lt;&gt;"-","REEMBOLSO",IFERROR(_xlfn.XLOOKUP(G840,Follow[CODRASTREIO],Follow[STATUS]),"-"))</f>
        <v>ENTREGUE</v>
      </c>
      <c r="AJ840" s="9">
        <f ca="1">IF('Banco de Dados'!$AI840="ENTREGUE",_xlfn.XLOOKUP('Banco de Dados'!$G840,Follow[CODRASTREIO],Follow[DATAATUALIZAÇÃO]),"-")</f>
        <v>45692</v>
      </c>
      <c r="AK840" s="132" t="str">
        <f ca="1"/>
        <v>-</v>
      </c>
      <c r="AL840" s="35"/>
      <c r="AM840" s="109" cm="1">
        <f t="array" aca="1" ref="AM840" ca="1">IF('Banco de Dados'!$AK840&lt;&gt;"-",_xlfn.IFS('Banco de Dados'!$A840="bv",IF('Banco de Dados'!$E840&lt;45641,ROUND(SUM('Banco de Dados'!$R840*_xlfn.XLOOKUP('Banco de Dados'!$P840,Sku!B:B,Sku!#REF!)*20%),2),ROUND(SUM('Banco de Dados'!$R840*_xlfn.XLOOKUP('Banco de Dados'!$P840,Sku!B:B,Sku!H:H)*20%),2)),'Banco de Dados'!$A840="GO",ROUND(_xlfn.XLOOKUP('Banco de Dados'!$P840,Sku!C:C,Sku!H:H),2),'Banco de Dados'!$A840="MEI",ROUND(_xlfn.XLOOKUP('Banco de Dados'!$P840,Sku!D:D,Sku!H:H),2)),0)</f>
        <v>0</v>
      </c>
      <c r="AN840" s="109">
        <f ca="1">IF('Banco de Dados'!$AK840&lt;&gt;"-",IF('Banco de Dados'!$F840&lt;&gt;"-",_xlfn.XLOOKUP(IFERROR(IFERROR(IFERROR(VALUE(SUBSTITUTE(MID(_xlfn.TEXTAFTER('Banco de Dados'!$F840,"Data do Pedido:
",1),1,10),"-","/")),VALUE(SUBSTITUTE(MID(_xlfn.TEXTAFTER('Banco de Dados'!$F840,"Order date:
",1),1,10),"-","/"))),VALUE(SUBSTITUTE(MID(_xlfn.TEXTAFTER('Banco de Dados'!$F840,"Fecha de pedido:
",1),1,10),"-","/"))),"-"),SMS!A:A,SMS!K:K),0),0)</f>
        <v>0</v>
      </c>
      <c r="AO840" s="109">
        <f ca="1">IF('Banco de Dados'!$AK840&lt;&gt;"-",IF('Banco de Dados'!$F840&lt;&gt;"-",IFERROR(_xlfn.XLOOKUP(_xlfn.CONCAT('Banco de Dados'!$A840,IFERROR(IFERROR(VALUE(SUBSTITUTE(MID(_xlfn.TEXTAFTER('Banco de Dados'!$F840,"Data do Pedido:
",1),1,10),"-","/")),VALUE(SUBSTITUTE(MID(_xlfn.TEXTAFTER('Banco de Dados'!$F840,"Order date:
",1),1,10),"-","/"))),0)),ProxyDD[Chave],ProxyDD[Valor por pedido]),PROXY!$P$2),0),0)</f>
        <v>0</v>
      </c>
      <c r="AP840" s="28">
        <f ca="1">IF('Banco de Dados'!$AK840&lt;&gt;"-",IF('Banco de Dados'!$AL840="NÃO",IFERROR(VALUE(SUBSTITUTE(_xlfn.TEXTAFTER('Banco de Dados'!$F840,"BRL ",1),".",",")),0),0),0)</f>
        <v>0</v>
      </c>
      <c r="AQ840" s="28">
        <f ca="1">SUM('Banco de Dados'!$AM840:$AP840)</f>
        <v>0</v>
      </c>
      <c r="AR840" s="8"/>
      <c r="AS840" s="8"/>
      <c r="AT840"/>
      <c r="AY840" s="8"/>
    </row>
    <row r="841" spans="1:51">
      <c r="A841" s="5" t="str">
        <v>BV</v>
      </c>
      <c r="B841" s="5" t="str">
        <f ca="1"/>
        <v>BV45681</v>
      </c>
      <c r="C841" s="8" t="str">
        <v>Pedido 828</v>
      </c>
      <c r="D841" s="9">
        <v>45681</v>
      </c>
      <c r="E841" s="9">
        <v>45681</v>
      </c>
      <c r="F841" s="8" t="str">
        <v>PedidoF807</v>
      </c>
      <c r="G841" s="2" t="str">
        <v>CódRastreio805</v>
      </c>
      <c r="H841" s="5">
        <v>1</v>
      </c>
      <c r="I841" s="182" t="str">
        <v>CPF 804</v>
      </c>
      <c r="J841" s="2" t="str">
        <v>Nome 804</v>
      </c>
      <c r="K841" s="8" t="str">
        <v>Tel 804</v>
      </c>
      <c r="L841" s="8" t="str">
        <v>Cep 804</v>
      </c>
      <c r="M841" s="8" t="str">
        <v>Rua 804</v>
      </c>
      <c r="N841" s="8" t="str">
        <v>Comp 804</v>
      </c>
      <c r="O841" s="8" t="str">
        <v>Ventilador Azul</v>
      </c>
      <c r="P841" s="8" t="str">
        <v>U8-2VWS-OB6M</v>
      </c>
      <c r="Q841" s="4">
        <v>45702</v>
      </c>
      <c r="R841" s="109">
        <v>66.989999999999995</v>
      </c>
      <c r="S841" s="11">
        <f ca="1"/>
        <v>66.989999999999995</v>
      </c>
      <c r="T841" s="28">
        <f ca="1"/>
        <v>8.7087000000000003</v>
      </c>
      <c r="U841" s="11">
        <f ca="1"/>
        <v>58.28</v>
      </c>
      <c r="V841" s="11">
        <v>17.36</v>
      </c>
      <c r="W841" s="11">
        <f ca="1"/>
        <v>0.23</v>
      </c>
      <c r="X841" s="11">
        <f ca="1"/>
        <v>0.39877104377104378</v>
      </c>
      <c r="Y841" s="11">
        <v>0</v>
      </c>
      <c r="Z841" s="11">
        <f ca="1"/>
        <v>40.291228956228956</v>
      </c>
      <c r="AA841" s="11">
        <f ca="1"/>
        <v>20.145614478114478</v>
      </c>
      <c r="AB841" s="4">
        <f ca="1"/>
        <v>45709</v>
      </c>
      <c r="AC841" s="4">
        <v>45709</v>
      </c>
      <c r="AD841" s="9">
        <v>45721</v>
      </c>
      <c r="AE841" s="9">
        <v>45721</v>
      </c>
      <c r="AF841" s="4" t="str">
        <f t="shared" ca="1" si="35"/>
        <v>2025 02</v>
      </c>
      <c r="AG841" s="8" t="str" cm="1">
        <f t="array" ref="AG841">IFERROR(_xlfn.IFS('Banco de Dados'!#REF!="AG. COMPRA","Em processamento",'Banco de Dados'!#REF!="AG. RASTREIO","Em processamento",'Banco de Dados'!$AE841&lt;&gt;"-","Faturado",'Banco de Dados'!$AD841&lt;&gt;"-","Aguardando Pix",'Banco de Dados'!$AC841&lt;&gt;"-","Pendente"),"Aguardando Liberação")</f>
        <v>Aguardando Liberação</v>
      </c>
      <c r="AH841" s="5" t="str">
        <f>IF('Banco de Dados'!$F841="-",_xlfn.CONCAT(PROPER(TEXT(AK841,"aaaa"))," ",PROPER(TEXT(AK841,"mm"))),_xlfn.CONCAT(PROPER(TEXT(E841,"aaaa"))," ",PROPER(TEXT(E841,"mm"))))</f>
        <v>2025 01</v>
      </c>
      <c r="AI841" s="9" t="str">
        <f ca="1">IF('Banco de Dados'!$AK841&lt;&gt;"-","REEMBOLSO",IFERROR(_xlfn.XLOOKUP(G841,Follow[CODRASTREIO],Follow[STATUS]),"-"))</f>
        <v>ENTREGUE</v>
      </c>
      <c r="AJ841" s="9">
        <f ca="1">IF('Banco de Dados'!$AI841="ENTREGUE",_xlfn.XLOOKUP('Banco de Dados'!$G841,Follow[CODRASTREIO],Follow[DATAATUALIZAÇÃO]),"-")</f>
        <v>45694</v>
      </c>
      <c r="AK841" s="132" t="str">
        <f ca="1"/>
        <v>-</v>
      </c>
      <c r="AL841" s="35"/>
      <c r="AM841" s="109" cm="1">
        <f t="array" aca="1" ref="AM841" ca="1">IF('Banco de Dados'!$AK841&lt;&gt;"-",_xlfn.IFS('Banco de Dados'!$A841="bv",IF('Banco de Dados'!$E841&lt;45641,ROUND(SUM('Banco de Dados'!$R841*_xlfn.XLOOKUP('Banco de Dados'!$P841,Sku!B:B,Sku!#REF!)*20%),2),ROUND(SUM('Banco de Dados'!$R841*_xlfn.XLOOKUP('Banco de Dados'!$P841,Sku!B:B,Sku!H:H)*20%),2)),'Banco de Dados'!$A841="GO",ROUND(_xlfn.XLOOKUP('Banco de Dados'!$P841,Sku!C:C,Sku!H:H),2),'Banco de Dados'!$A841="MEI",ROUND(_xlfn.XLOOKUP('Banco de Dados'!$P841,Sku!D:D,Sku!H:H),2)),0)</f>
        <v>0</v>
      </c>
      <c r="AN841" s="109">
        <f ca="1">IF('Banco de Dados'!$AK841&lt;&gt;"-",IF('Banco de Dados'!$F841&lt;&gt;"-",_xlfn.XLOOKUP(IFERROR(IFERROR(IFERROR(VALUE(SUBSTITUTE(MID(_xlfn.TEXTAFTER('Banco de Dados'!$F841,"Data do Pedido:
",1),1,10),"-","/")),VALUE(SUBSTITUTE(MID(_xlfn.TEXTAFTER('Banco de Dados'!$F841,"Order date:
",1),1,10),"-","/"))),VALUE(SUBSTITUTE(MID(_xlfn.TEXTAFTER('Banco de Dados'!$F841,"Fecha de pedido:
",1),1,10),"-","/"))),"-"),SMS!A:A,SMS!K:K),0),0)</f>
        <v>0</v>
      </c>
      <c r="AO841" s="109">
        <f ca="1">IF('Banco de Dados'!$AK841&lt;&gt;"-",IF('Banco de Dados'!$F841&lt;&gt;"-",IFERROR(_xlfn.XLOOKUP(_xlfn.CONCAT('Banco de Dados'!$A841,IFERROR(IFERROR(VALUE(SUBSTITUTE(MID(_xlfn.TEXTAFTER('Banco de Dados'!$F841,"Data do Pedido:
",1),1,10),"-","/")),VALUE(SUBSTITUTE(MID(_xlfn.TEXTAFTER('Banco de Dados'!$F841,"Order date:
",1),1,10),"-","/"))),0)),ProxyDD[Chave],ProxyDD[Valor por pedido]),PROXY!$P$2),0),0)</f>
        <v>0</v>
      </c>
      <c r="AP841" s="28">
        <f ca="1">IF('Banco de Dados'!$AK841&lt;&gt;"-",IF('Banco de Dados'!$AL841="NÃO",IFERROR(VALUE(SUBSTITUTE(_xlfn.TEXTAFTER('Banco de Dados'!$F841,"BRL ",1),".",",")),0),0),0)</f>
        <v>0</v>
      </c>
      <c r="AQ841" s="28">
        <f ca="1">SUM('Banco de Dados'!$AM841:$AP841)</f>
        <v>0</v>
      </c>
      <c r="AR841" s="8"/>
      <c r="AS841" s="8"/>
      <c r="AT841"/>
      <c r="AY841" s="8"/>
    </row>
    <row r="842" spans="1:51">
      <c r="A842" s="5" t="str">
        <v>BV</v>
      </c>
      <c r="B842" s="5" t="str">
        <f ca="1"/>
        <v>BV45681</v>
      </c>
      <c r="C842" s="8" t="str">
        <v>Pedido 829</v>
      </c>
      <c r="D842" s="9">
        <v>45681</v>
      </c>
      <c r="E842" s="9">
        <v>45681</v>
      </c>
      <c r="F842" s="8" t="str">
        <v>PedidoF808</v>
      </c>
      <c r="G842" s="2" t="str">
        <v>CódRastreio806</v>
      </c>
      <c r="H842" s="5">
        <v>1</v>
      </c>
      <c r="I842" s="182" t="str">
        <v>CPF 805</v>
      </c>
      <c r="J842" s="2" t="str">
        <v>Nome 805</v>
      </c>
      <c r="K842" s="8" t="str">
        <v>Tel 805</v>
      </c>
      <c r="L842" s="8" t="str">
        <v>Cep 805</v>
      </c>
      <c r="M842" s="8" t="str">
        <v>Rua 805</v>
      </c>
      <c r="N842" s="8" t="str">
        <v>Comp 805</v>
      </c>
      <c r="O842" s="8" t="str">
        <v>Ventilador Azul</v>
      </c>
      <c r="P842" s="8" t="str">
        <v>U8-2VWS-OB6M</v>
      </c>
      <c r="Q842" s="4">
        <v>45702</v>
      </c>
      <c r="R842" s="109">
        <v>66.989999999999995</v>
      </c>
      <c r="S842" s="11">
        <f ca="1"/>
        <v>66.989999999999995</v>
      </c>
      <c r="T842" s="28">
        <f ca="1"/>
        <v>8.7087000000000003</v>
      </c>
      <c r="U842" s="11">
        <f ca="1"/>
        <v>58.28</v>
      </c>
      <c r="V842" s="11">
        <v>17.36</v>
      </c>
      <c r="W842" s="11">
        <f ca="1"/>
        <v>0.23</v>
      </c>
      <c r="X842" s="11">
        <f ca="1"/>
        <v>0.39877104377104378</v>
      </c>
      <c r="Y842" s="11">
        <v>0</v>
      </c>
      <c r="Z842" s="11">
        <f ca="1"/>
        <v>40.291228956228956</v>
      </c>
      <c r="AA842" s="11">
        <f ca="1"/>
        <v>20.145614478114478</v>
      </c>
      <c r="AB842" s="4">
        <f ca="1"/>
        <v>45709</v>
      </c>
      <c r="AC842" s="4">
        <v>45709</v>
      </c>
      <c r="AD842" s="9">
        <v>45721</v>
      </c>
      <c r="AE842" s="9">
        <v>45721</v>
      </c>
      <c r="AF842" s="4" t="str">
        <f t="shared" ca="1" si="35"/>
        <v>2025 02</v>
      </c>
      <c r="AG842" s="8" t="str" cm="1">
        <f t="array" ref="AG842">IFERROR(_xlfn.IFS('Banco de Dados'!#REF!="AG. COMPRA","Em processamento",'Banco de Dados'!#REF!="AG. RASTREIO","Em processamento",'Banco de Dados'!$AE842&lt;&gt;"-","Faturado",'Banco de Dados'!$AD842&lt;&gt;"-","Aguardando Pix",'Banco de Dados'!$AC842&lt;&gt;"-","Pendente"),"Aguardando Liberação")</f>
        <v>Aguardando Liberação</v>
      </c>
      <c r="AH842" s="5" t="str">
        <f>IF('Banco de Dados'!$F842="-",_xlfn.CONCAT(PROPER(TEXT(AK842,"aaaa"))," ",PROPER(TEXT(AK842,"mm"))),_xlfn.CONCAT(PROPER(TEXT(E842,"aaaa"))," ",PROPER(TEXT(E842,"mm"))))</f>
        <v>2025 01</v>
      </c>
      <c r="AI842" s="9" t="str">
        <f ca="1">IF('Banco de Dados'!$AK842&lt;&gt;"-","REEMBOLSO",IFERROR(_xlfn.XLOOKUP(G842,Follow[CODRASTREIO],Follow[STATUS]),"-"))</f>
        <v>ENTREGUE</v>
      </c>
      <c r="AJ842" s="9">
        <f ca="1">IF('Banco de Dados'!$AI842="ENTREGUE",_xlfn.XLOOKUP('Banco de Dados'!$G842,Follow[CODRASTREIO],Follow[DATAATUALIZAÇÃO]),"-")</f>
        <v>45693</v>
      </c>
      <c r="AK842" s="132" t="str">
        <f ca="1"/>
        <v>-</v>
      </c>
      <c r="AL842" s="35"/>
      <c r="AM842" s="109" cm="1">
        <f t="array" aca="1" ref="AM842" ca="1">IF('Banco de Dados'!$AK842&lt;&gt;"-",_xlfn.IFS('Banco de Dados'!$A842="bv",IF('Banco de Dados'!$E842&lt;45641,ROUND(SUM('Banco de Dados'!$R842*_xlfn.XLOOKUP('Banco de Dados'!$P842,Sku!B:B,Sku!#REF!)*20%),2),ROUND(SUM('Banco de Dados'!$R842*_xlfn.XLOOKUP('Banco de Dados'!$P842,Sku!B:B,Sku!H:H)*20%),2)),'Banco de Dados'!$A842="GO",ROUND(_xlfn.XLOOKUP('Banco de Dados'!$P842,Sku!C:C,Sku!H:H),2),'Banco de Dados'!$A842="MEI",ROUND(_xlfn.XLOOKUP('Banco de Dados'!$P842,Sku!D:D,Sku!H:H),2)),0)</f>
        <v>0</v>
      </c>
      <c r="AN842" s="109">
        <f ca="1">IF('Banco de Dados'!$AK842&lt;&gt;"-",IF('Banco de Dados'!$F842&lt;&gt;"-",_xlfn.XLOOKUP(IFERROR(IFERROR(IFERROR(VALUE(SUBSTITUTE(MID(_xlfn.TEXTAFTER('Banco de Dados'!$F842,"Data do Pedido:
",1),1,10),"-","/")),VALUE(SUBSTITUTE(MID(_xlfn.TEXTAFTER('Banco de Dados'!$F842,"Order date:
",1),1,10),"-","/"))),VALUE(SUBSTITUTE(MID(_xlfn.TEXTAFTER('Banco de Dados'!$F842,"Fecha de pedido:
",1),1,10),"-","/"))),"-"),SMS!A:A,SMS!K:K),0),0)</f>
        <v>0</v>
      </c>
      <c r="AO842" s="109">
        <f ca="1">IF('Banco de Dados'!$AK842&lt;&gt;"-",IF('Banco de Dados'!$F842&lt;&gt;"-",IFERROR(_xlfn.XLOOKUP(_xlfn.CONCAT('Banco de Dados'!$A842,IFERROR(IFERROR(VALUE(SUBSTITUTE(MID(_xlfn.TEXTAFTER('Banco de Dados'!$F842,"Data do Pedido:
",1),1,10),"-","/")),VALUE(SUBSTITUTE(MID(_xlfn.TEXTAFTER('Banco de Dados'!$F842,"Order date:
",1),1,10),"-","/"))),0)),ProxyDD[Chave],ProxyDD[Valor por pedido]),PROXY!$P$2),0),0)</f>
        <v>0</v>
      </c>
      <c r="AP842" s="28">
        <f ca="1">IF('Banco de Dados'!$AK842&lt;&gt;"-",IF('Banco de Dados'!$AL842="NÃO",IFERROR(VALUE(SUBSTITUTE(_xlfn.TEXTAFTER('Banco de Dados'!$F842,"BRL ",1),".",",")),0),0),0)</f>
        <v>0</v>
      </c>
      <c r="AQ842" s="28">
        <f ca="1">SUM('Banco de Dados'!$AM842:$AP842)</f>
        <v>0</v>
      </c>
      <c r="AR842" s="8"/>
      <c r="AS842" s="8"/>
      <c r="AT842"/>
      <c r="AY842" s="8"/>
    </row>
    <row r="843" spans="1:51">
      <c r="A843" s="5" t="str">
        <v>BV</v>
      </c>
      <c r="B843" s="5" t="str">
        <f ca="1"/>
        <v>BV45681</v>
      </c>
      <c r="C843" s="8" t="str">
        <v>Pedido 830</v>
      </c>
      <c r="D843" s="9">
        <v>45681</v>
      </c>
      <c r="E843" s="9">
        <v>45681</v>
      </c>
      <c r="F843" s="8" t="str">
        <v>PedidoF809</v>
      </c>
      <c r="G843" s="2" t="str">
        <v>CódRastreio807</v>
      </c>
      <c r="H843" s="5">
        <v>1</v>
      </c>
      <c r="I843" s="182" t="str">
        <v>CPF 806</v>
      </c>
      <c r="J843" s="2" t="str">
        <v>Nome 806</v>
      </c>
      <c r="K843" s="8" t="str">
        <v>Tel 806</v>
      </c>
      <c r="L843" s="8" t="str">
        <v>Cep 806</v>
      </c>
      <c r="M843" s="8" t="str">
        <v>Rua 806</v>
      </c>
      <c r="N843" s="8" t="str">
        <v>Comp 806</v>
      </c>
      <c r="O843" s="8" t="str">
        <v>Mini Liquidificador</v>
      </c>
      <c r="P843" s="8" t="str">
        <v>CK-YL6M-P5Y6</v>
      </c>
      <c r="Q843" s="4">
        <v>45696</v>
      </c>
      <c r="R843" s="109">
        <v>32.99</v>
      </c>
      <c r="S843" s="11">
        <f ca="1"/>
        <v>32.99</v>
      </c>
      <c r="T843" s="28">
        <f ca="1"/>
        <v>4.2887000000000004</v>
      </c>
      <c r="U843" s="11">
        <f ca="1"/>
        <v>28.7</v>
      </c>
      <c r="V843" s="11">
        <v>14.99</v>
      </c>
      <c r="W843" s="11">
        <f ca="1"/>
        <v>0.23</v>
      </c>
      <c r="X843" s="11">
        <f ca="1"/>
        <v>0.39877104377104378</v>
      </c>
      <c r="Y843" s="11">
        <v>0</v>
      </c>
      <c r="Z843" s="11">
        <f ca="1"/>
        <v>13.081228956228955</v>
      </c>
      <c r="AA843" s="11">
        <f ca="1"/>
        <v>6.5406144781144775</v>
      </c>
      <c r="AB843" s="4">
        <f ca="1"/>
        <v>45703</v>
      </c>
      <c r="AC843" s="4">
        <v>45703</v>
      </c>
      <c r="AD843" s="9">
        <v>45721</v>
      </c>
      <c r="AE843" s="9">
        <v>45721</v>
      </c>
      <c r="AF843" s="4" t="str">
        <f t="shared" ca="1" si="35"/>
        <v>2025 02</v>
      </c>
      <c r="AG843" s="8" t="str" cm="1">
        <f t="array" ref="AG843">IFERROR(_xlfn.IFS('Banco de Dados'!#REF!="AG. COMPRA","Em processamento",'Banco de Dados'!#REF!="AG. RASTREIO","Em processamento",'Banco de Dados'!$AE843&lt;&gt;"-","Faturado",'Banco de Dados'!$AD843&lt;&gt;"-","Aguardando Pix",'Banco de Dados'!$AC843&lt;&gt;"-","Pendente"),"Aguardando Liberação")</f>
        <v>Aguardando Liberação</v>
      </c>
      <c r="AH843" s="5" t="str">
        <f>IF('Banco de Dados'!$F843="-",_xlfn.CONCAT(PROPER(TEXT(AK843,"aaaa"))," ",PROPER(TEXT(AK843,"mm"))),_xlfn.CONCAT(PROPER(TEXT(E843,"aaaa"))," ",PROPER(TEXT(E843,"mm"))))</f>
        <v>2025 01</v>
      </c>
      <c r="AI843" s="9" t="str">
        <f ca="1">IF('Banco de Dados'!$AK843&lt;&gt;"-","REEMBOLSO",IFERROR(_xlfn.XLOOKUP(G843,Follow[CODRASTREIO],Follow[STATUS]),"-"))</f>
        <v>ENTREGUE</v>
      </c>
      <c r="AJ843" s="9">
        <f ca="1">IF('Banco de Dados'!$AI843="ENTREGUE",_xlfn.XLOOKUP('Banco de Dados'!$G843,Follow[CODRASTREIO],Follow[DATAATUALIZAÇÃO]),"-")</f>
        <v>45686</v>
      </c>
      <c r="AK843" s="132" t="str">
        <f ca="1"/>
        <v>-</v>
      </c>
      <c r="AL843" s="35"/>
      <c r="AM843" s="109" cm="1">
        <f t="array" aca="1" ref="AM843" ca="1">IF('Banco de Dados'!$AK843&lt;&gt;"-",_xlfn.IFS('Banco de Dados'!$A843="bv",IF('Banco de Dados'!$E843&lt;45641,ROUND(SUM('Banco de Dados'!$R843*_xlfn.XLOOKUP('Banco de Dados'!$P843,Sku!B:B,Sku!#REF!)*20%),2),ROUND(SUM('Banco de Dados'!$R843*_xlfn.XLOOKUP('Banco de Dados'!$P843,Sku!B:B,Sku!H:H)*20%),2)),'Banco de Dados'!$A843="GO",ROUND(_xlfn.XLOOKUP('Banco de Dados'!$P843,Sku!C:C,Sku!H:H),2),'Banco de Dados'!$A843="MEI",ROUND(_xlfn.XLOOKUP('Banco de Dados'!$P843,Sku!D:D,Sku!H:H),2)),0)</f>
        <v>0</v>
      </c>
      <c r="AN843" s="109">
        <f ca="1">IF('Banco de Dados'!$AK843&lt;&gt;"-",IF('Banco de Dados'!$F843&lt;&gt;"-",_xlfn.XLOOKUP(IFERROR(IFERROR(IFERROR(VALUE(SUBSTITUTE(MID(_xlfn.TEXTAFTER('Banco de Dados'!$F843,"Data do Pedido:
",1),1,10),"-","/")),VALUE(SUBSTITUTE(MID(_xlfn.TEXTAFTER('Banco de Dados'!$F843,"Order date:
",1),1,10),"-","/"))),VALUE(SUBSTITUTE(MID(_xlfn.TEXTAFTER('Banco de Dados'!$F843,"Fecha de pedido:
",1),1,10),"-","/"))),"-"),SMS!A:A,SMS!K:K),0),0)</f>
        <v>0</v>
      </c>
      <c r="AO843" s="109">
        <f ca="1">IF('Banco de Dados'!$AK843&lt;&gt;"-",IF('Banco de Dados'!$F843&lt;&gt;"-",IFERROR(_xlfn.XLOOKUP(_xlfn.CONCAT('Banco de Dados'!$A843,IFERROR(IFERROR(VALUE(SUBSTITUTE(MID(_xlfn.TEXTAFTER('Banco de Dados'!$F843,"Data do Pedido:
",1),1,10),"-","/")),VALUE(SUBSTITUTE(MID(_xlfn.TEXTAFTER('Banco de Dados'!$F843,"Order date:
",1),1,10),"-","/"))),0)),ProxyDD[Chave],ProxyDD[Valor por pedido]),PROXY!$P$2),0),0)</f>
        <v>0</v>
      </c>
      <c r="AP843" s="28">
        <f ca="1">IF('Banco de Dados'!$AK843&lt;&gt;"-",IF('Banco de Dados'!$AL843="NÃO",IFERROR(VALUE(SUBSTITUTE(_xlfn.TEXTAFTER('Banco de Dados'!$F843,"BRL ",1),".",",")),0),0),0)</f>
        <v>0</v>
      </c>
      <c r="AQ843" s="28">
        <f ca="1">SUM('Banco de Dados'!$AM843:$AP843)</f>
        <v>0</v>
      </c>
      <c r="AR843" s="8"/>
      <c r="AS843" s="8"/>
      <c r="AT843"/>
      <c r="AY843" s="8"/>
    </row>
    <row r="844" spans="1:51">
      <c r="A844" s="5" t="str">
        <v>BV</v>
      </c>
      <c r="B844" s="5" t="str">
        <f ca="1"/>
        <v>BV45684</v>
      </c>
      <c r="C844" s="8" t="str">
        <v>Pedido 831</v>
      </c>
      <c r="D844" s="9">
        <v>45682</v>
      </c>
      <c r="E844" s="9">
        <v>45684</v>
      </c>
      <c r="F844" s="8" t="str">
        <v>PedidoF810</v>
      </c>
      <c r="G844" s="2" t="str">
        <v>CódRastreio808</v>
      </c>
      <c r="H844" s="5">
        <v>1</v>
      </c>
      <c r="I844" s="182" t="str">
        <v>CPF 807</v>
      </c>
      <c r="J844" s="2" t="str">
        <v>Nome 807</v>
      </c>
      <c r="K844" s="8" t="str">
        <v>Tel 807</v>
      </c>
      <c r="L844" s="8" t="str">
        <v>Cep 807</v>
      </c>
      <c r="M844" s="8" t="str">
        <v>Rua 807</v>
      </c>
      <c r="N844" s="8" t="str">
        <v>Comp 807</v>
      </c>
      <c r="O844" s="8" t="str">
        <v>Ventilador Umidificador Preto</v>
      </c>
      <c r="P844" s="8" t="str">
        <v>HF-SI0F-XC7S</v>
      </c>
      <c r="Q844" s="4">
        <v>45702</v>
      </c>
      <c r="R844" s="109">
        <v>64.900000000000006</v>
      </c>
      <c r="S844" s="11">
        <f ca="1"/>
        <v>64.900000000000006</v>
      </c>
      <c r="T844" s="28">
        <f ca="1"/>
        <v>9.0860000000000021</v>
      </c>
      <c r="U844" s="11">
        <f ca="1"/>
        <v>55.81</v>
      </c>
      <c r="V844" s="11">
        <v>19.34</v>
      </c>
      <c r="W844" s="11">
        <f ca="1"/>
        <v>0.2</v>
      </c>
      <c r="X844" s="11">
        <f ca="1"/>
        <v>0.39877104377104378</v>
      </c>
      <c r="Y844" s="11">
        <v>0</v>
      </c>
      <c r="Z844" s="11">
        <f ca="1"/>
        <v>35.871228956228961</v>
      </c>
      <c r="AA844" s="11">
        <f ca="1"/>
        <v>17.935614478114481</v>
      </c>
      <c r="AB844" s="4">
        <f ca="1"/>
        <v>45709</v>
      </c>
      <c r="AC844" s="4">
        <v>45709</v>
      </c>
      <c r="AD844" s="9">
        <v>45721</v>
      </c>
      <c r="AE844" s="9">
        <v>45721</v>
      </c>
      <c r="AF844" s="4" t="str">
        <f t="shared" ref="AF844:AF850" ca="1" si="36">_xlfn.CONCAT(PROPER(TEXT(AB844,"aaaa"))," ",PROPER(TEXT(AB844,"mm")))</f>
        <v>2025 02</v>
      </c>
      <c r="AG844" s="8" t="str" cm="1">
        <f t="array" ref="AG844">IFERROR(_xlfn.IFS('Banco de Dados'!#REF!="AG. COMPRA","Em processamento",'Banco de Dados'!#REF!="AG. RASTREIO","Em processamento",'Banco de Dados'!$AE844&lt;&gt;"-","Faturado",'Banco de Dados'!$AD844&lt;&gt;"-","Aguardando Pix",'Banco de Dados'!$AC844&lt;&gt;"-","Pendente"),"Aguardando Liberação")</f>
        <v>Aguardando Liberação</v>
      </c>
      <c r="AH844" s="5" t="str">
        <f>IF('Banco de Dados'!$F844="-",_xlfn.CONCAT(PROPER(TEXT(AK844,"aaaa"))," ",PROPER(TEXT(AK844,"mm"))),_xlfn.CONCAT(PROPER(TEXT(E844,"aaaa"))," ",PROPER(TEXT(E844,"mm"))))</f>
        <v>2025 01</v>
      </c>
      <c r="AI844" s="9" t="str">
        <f ca="1">IF('Banco de Dados'!$AK844&lt;&gt;"-","REEMBOLSO",IFERROR(_xlfn.XLOOKUP(G844,Follow[CODRASTREIO],Follow[STATUS]),"-"))</f>
        <v>ENTREGUE</v>
      </c>
      <c r="AJ844" s="9">
        <f ca="1">IF('Banco de Dados'!$AI844="ENTREGUE",_xlfn.XLOOKUP('Banco de Dados'!$G844,Follow[CODRASTREIO],Follow[DATAATUALIZAÇÃO]),"-")</f>
        <v>45695</v>
      </c>
      <c r="AK844" s="132" t="str">
        <f ca="1"/>
        <v>-</v>
      </c>
      <c r="AL844" s="35"/>
      <c r="AM844" s="109" cm="1">
        <f t="array" aca="1" ref="AM844" ca="1">IF('Banco de Dados'!$AK844&lt;&gt;"-",_xlfn.IFS('Banco de Dados'!$A844="bv",IF('Banco de Dados'!$E844&lt;45641,ROUND(SUM('Banco de Dados'!$R844*_xlfn.XLOOKUP('Banco de Dados'!$P844,Sku!B:B,Sku!#REF!)*20%),2),ROUND(SUM('Banco de Dados'!$R844*_xlfn.XLOOKUP('Banco de Dados'!$P844,Sku!B:B,Sku!H:H)*20%),2)),'Banco de Dados'!$A844="GO",ROUND(_xlfn.XLOOKUP('Banco de Dados'!$P844,Sku!C:C,Sku!H:H),2),'Banco de Dados'!$A844="MEI",ROUND(_xlfn.XLOOKUP('Banco de Dados'!$P844,Sku!D:D,Sku!H:H),2)),0)</f>
        <v>0</v>
      </c>
      <c r="AN844" s="109">
        <f ca="1">IF('Banco de Dados'!$AK844&lt;&gt;"-",IF('Banco de Dados'!$F844&lt;&gt;"-",_xlfn.XLOOKUP(IFERROR(IFERROR(IFERROR(VALUE(SUBSTITUTE(MID(_xlfn.TEXTAFTER('Banco de Dados'!$F844,"Data do Pedido:
",1),1,10),"-","/")),VALUE(SUBSTITUTE(MID(_xlfn.TEXTAFTER('Banco de Dados'!$F844,"Order date:
",1),1,10),"-","/"))),VALUE(SUBSTITUTE(MID(_xlfn.TEXTAFTER('Banco de Dados'!$F844,"Fecha de pedido:
",1),1,10),"-","/"))),"-"),SMS!A:A,SMS!K:K),0),0)</f>
        <v>0</v>
      </c>
      <c r="AO844" s="109">
        <f ca="1">IF('Banco de Dados'!$AK844&lt;&gt;"-",IF('Banco de Dados'!$F844&lt;&gt;"-",IFERROR(_xlfn.XLOOKUP(_xlfn.CONCAT('Banco de Dados'!$A844,IFERROR(IFERROR(VALUE(SUBSTITUTE(MID(_xlfn.TEXTAFTER('Banco de Dados'!$F844,"Data do Pedido:
",1),1,10),"-","/")),VALUE(SUBSTITUTE(MID(_xlfn.TEXTAFTER('Banco de Dados'!$F844,"Order date:
",1),1,10),"-","/"))),0)),ProxyDD[Chave],ProxyDD[Valor por pedido]),PROXY!$P$2),0),0)</f>
        <v>0</v>
      </c>
      <c r="AP844" s="28">
        <f ca="1">IF('Banco de Dados'!$AK844&lt;&gt;"-",IF('Banco de Dados'!$AL844="NÃO",IFERROR(VALUE(SUBSTITUTE(_xlfn.TEXTAFTER('Banco de Dados'!$F844,"BRL ",1),".",",")),0),0),0)</f>
        <v>0</v>
      </c>
      <c r="AQ844" s="28">
        <f ca="1">SUM('Banco de Dados'!$AM844:$AP844)</f>
        <v>0</v>
      </c>
      <c r="AR844" s="8"/>
      <c r="AS844" s="8"/>
      <c r="AT844"/>
      <c r="AY844" s="8"/>
    </row>
    <row r="845" spans="1:51">
      <c r="A845" s="5" t="str">
        <v>BV</v>
      </c>
      <c r="B845" s="5" t="str">
        <f ca="1"/>
        <v>BV45684</v>
      </c>
      <c r="C845" s="8" t="str">
        <v>Pedido 832</v>
      </c>
      <c r="D845" s="9">
        <v>45682</v>
      </c>
      <c r="E845" s="9">
        <v>45684</v>
      </c>
      <c r="F845" s="8" t="str">
        <v>PedidoF811</v>
      </c>
      <c r="G845" s="2" t="str">
        <v>CódRastreio809</v>
      </c>
      <c r="H845" s="5">
        <v>1</v>
      </c>
      <c r="I845" s="182" t="str">
        <v>CPF 808</v>
      </c>
      <c r="J845" s="2" t="str">
        <v>Nome 808</v>
      </c>
      <c r="K845" s="8" t="str">
        <v>Tel 808</v>
      </c>
      <c r="L845" s="8" t="str">
        <v>Cep 808</v>
      </c>
      <c r="M845" s="8" t="str">
        <v>Rua 808</v>
      </c>
      <c r="N845" s="8" t="str">
        <v>Comp 808</v>
      </c>
      <c r="O845" s="8" t="str">
        <v>Ventilador Azul</v>
      </c>
      <c r="P845" s="8" t="str">
        <v>U8-2VWS-OB6M</v>
      </c>
      <c r="Q845" s="4">
        <v>45702</v>
      </c>
      <c r="R845" s="109">
        <v>66.989999999999995</v>
      </c>
      <c r="S845" s="11">
        <f ca="1"/>
        <v>66.989999999999995</v>
      </c>
      <c r="T845" s="28">
        <f ca="1"/>
        <v>8.7087000000000003</v>
      </c>
      <c r="U845" s="11">
        <f ca="1"/>
        <v>58.28</v>
      </c>
      <c r="V845" s="11">
        <v>17.420000000000002</v>
      </c>
      <c r="W845" s="11">
        <f ca="1"/>
        <v>0.2</v>
      </c>
      <c r="X845" s="11">
        <f ca="1"/>
        <v>0.39877104377104378</v>
      </c>
      <c r="Y845" s="11">
        <v>0</v>
      </c>
      <c r="Z845" s="11">
        <f ca="1"/>
        <v>40.261228956228955</v>
      </c>
      <c r="AA845" s="11">
        <f ca="1"/>
        <v>20.130614478114477</v>
      </c>
      <c r="AB845" s="4">
        <f ca="1"/>
        <v>45709</v>
      </c>
      <c r="AC845" s="4">
        <v>45709</v>
      </c>
      <c r="AD845" s="9">
        <v>45721</v>
      </c>
      <c r="AE845" s="9">
        <v>45721</v>
      </c>
      <c r="AF845" s="4" t="str">
        <f t="shared" ca="1" si="36"/>
        <v>2025 02</v>
      </c>
      <c r="AG845" s="8" t="str" cm="1">
        <f t="array" ref="AG845">IFERROR(_xlfn.IFS('Banco de Dados'!#REF!="AG. COMPRA","Em processamento",'Banco de Dados'!#REF!="AG. RASTREIO","Em processamento",'Banco de Dados'!$AE845&lt;&gt;"-","Faturado",'Banco de Dados'!$AD845&lt;&gt;"-","Aguardando Pix",'Banco de Dados'!$AC845&lt;&gt;"-","Pendente"),"Aguardando Liberação")</f>
        <v>Aguardando Liberação</v>
      </c>
      <c r="AH845" s="5" t="str">
        <f>IF('Banco de Dados'!$F845="-",_xlfn.CONCAT(PROPER(TEXT(AK845,"aaaa"))," ",PROPER(TEXT(AK845,"mm"))),_xlfn.CONCAT(PROPER(TEXT(E845,"aaaa"))," ",PROPER(TEXT(E845,"mm"))))</f>
        <v>2025 01</v>
      </c>
      <c r="AI845" s="9" t="str">
        <f ca="1">IF('Banco de Dados'!$AK845&lt;&gt;"-","REEMBOLSO",IFERROR(_xlfn.XLOOKUP(G845,Follow[CODRASTREIO],Follow[STATUS]),"-"))</f>
        <v>ENTREGUE</v>
      </c>
      <c r="AJ845" s="9">
        <f ca="1">IF('Banco de Dados'!$AI845="ENTREGUE",_xlfn.XLOOKUP('Banco de Dados'!$G845,Follow[CODRASTREIO],Follow[DATAATUALIZAÇÃO]),"-")</f>
        <v>45693</v>
      </c>
      <c r="AK845" s="132" t="str">
        <f ca="1"/>
        <v>-</v>
      </c>
      <c r="AL845" s="35"/>
      <c r="AM845" s="109" cm="1">
        <f t="array" aca="1" ref="AM845" ca="1">IF('Banco de Dados'!$AK845&lt;&gt;"-",_xlfn.IFS('Banco de Dados'!$A845="bv",IF('Banco de Dados'!$E845&lt;45641,ROUND(SUM('Banco de Dados'!$R845*_xlfn.XLOOKUP('Banco de Dados'!$P845,Sku!B:B,Sku!#REF!)*20%),2),ROUND(SUM('Banco de Dados'!$R845*_xlfn.XLOOKUP('Banco de Dados'!$P845,Sku!B:B,Sku!H:H)*20%),2)),'Banco de Dados'!$A845="GO",ROUND(_xlfn.XLOOKUP('Banco de Dados'!$P845,Sku!C:C,Sku!H:H),2),'Banco de Dados'!$A845="MEI",ROUND(_xlfn.XLOOKUP('Banco de Dados'!$P845,Sku!D:D,Sku!H:H),2)),0)</f>
        <v>0</v>
      </c>
      <c r="AN845" s="109">
        <f ca="1">IF('Banco de Dados'!$AK845&lt;&gt;"-",IF('Banco de Dados'!$F845&lt;&gt;"-",_xlfn.XLOOKUP(IFERROR(IFERROR(IFERROR(VALUE(SUBSTITUTE(MID(_xlfn.TEXTAFTER('Banco de Dados'!$F845,"Data do Pedido:
",1),1,10),"-","/")),VALUE(SUBSTITUTE(MID(_xlfn.TEXTAFTER('Banco de Dados'!$F845,"Order date:
",1),1,10),"-","/"))),VALUE(SUBSTITUTE(MID(_xlfn.TEXTAFTER('Banco de Dados'!$F845,"Fecha de pedido:
",1),1,10),"-","/"))),"-"),SMS!A:A,SMS!K:K),0),0)</f>
        <v>0</v>
      </c>
      <c r="AO845" s="109">
        <f ca="1">IF('Banco de Dados'!$AK845&lt;&gt;"-",IF('Banco de Dados'!$F845&lt;&gt;"-",IFERROR(_xlfn.XLOOKUP(_xlfn.CONCAT('Banco de Dados'!$A845,IFERROR(IFERROR(VALUE(SUBSTITUTE(MID(_xlfn.TEXTAFTER('Banco de Dados'!$F845,"Data do Pedido:
",1),1,10),"-","/")),VALUE(SUBSTITUTE(MID(_xlfn.TEXTAFTER('Banco de Dados'!$F845,"Order date:
",1),1,10),"-","/"))),0)),ProxyDD[Chave],ProxyDD[Valor por pedido]),PROXY!$P$2),0),0)</f>
        <v>0</v>
      </c>
      <c r="AP845" s="28">
        <f ca="1">IF('Banco de Dados'!$AK845&lt;&gt;"-",IF('Banco de Dados'!$AL845="NÃO",IFERROR(VALUE(SUBSTITUTE(_xlfn.TEXTAFTER('Banco de Dados'!$F845,"BRL ",1),".",",")),0),0),0)</f>
        <v>0</v>
      </c>
      <c r="AQ845" s="28">
        <f ca="1">SUM('Banco de Dados'!$AM845:$AP845)</f>
        <v>0</v>
      </c>
      <c r="AR845" s="8"/>
      <c r="AS845" s="8"/>
      <c r="AT845"/>
      <c r="AY845" s="8"/>
    </row>
    <row r="846" spans="1:51">
      <c r="A846" s="5" t="str">
        <v>BV</v>
      </c>
      <c r="B846" s="5" t="str">
        <f ca="1"/>
        <v>BV45684</v>
      </c>
      <c r="C846" s="8" t="str">
        <v>Pedido 833</v>
      </c>
      <c r="D846" s="9">
        <v>45678</v>
      </c>
      <c r="E846" s="9">
        <v>45684</v>
      </c>
      <c r="F846" s="8" t="str">
        <v>PedidoF812</v>
      </c>
      <c r="G846" s="2" t="str">
        <v>CódRastreio810</v>
      </c>
      <c r="H846" s="5">
        <v>1</v>
      </c>
      <c r="I846" s="182" t="str">
        <v>CPF 809</v>
      </c>
      <c r="J846" s="2" t="str">
        <v>Nome 809</v>
      </c>
      <c r="K846" s="8" t="str">
        <v>Tel 809</v>
      </c>
      <c r="L846" s="8" t="str">
        <v>Cep 809</v>
      </c>
      <c r="M846" s="8" t="str">
        <v>Rua 809</v>
      </c>
      <c r="N846" s="8" t="str">
        <v>Comp 809</v>
      </c>
      <c r="O846" s="8" t="str">
        <v>Ventilador Preto</v>
      </c>
      <c r="P846" s="8" t="str">
        <v>MU-J80P-95WF</v>
      </c>
      <c r="Q846" s="4">
        <v>45702</v>
      </c>
      <c r="R846" s="109">
        <v>66.989999999999995</v>
      </c>
      <c r="S846" s="11">
        <f ca="1"/>
        <v>66.989999999999995</v>
      </c>
      <c r="T846" s="28">
        <f ca="1"/>
        <v>8.7087000000000003</v>
      </c>
      <c r="U846" s="11">
        <f ca="1"/>
        <v>58.28</v>
      </c>
      <c r="V846" s="11">
        <v>10.61</v>
      </c>
      <c r="W846" s="11">
        <f ca="1"/>
        <v>0.2</v>
      </c>
      <c r="X846" s="11">
        <f ca="1"/>
        <v>0.39877104377104378</v>
      </c>
      <c r="Y846" s="11">
        <v>0</v>
      </c>
      <c r="Z846" s="11">
        <f ca="1"/>
        <v>47.071228956228957</v>
      </c>
      <c r="AA846" s="11">
        <f ca="1"/>
        <v>23.535614478114478</v>
      </c>
      <c r="AB846" s="4">
        <f ca="1"/>
        <v>45709</v>
      </c>
      <c r="AC846" s="4">
        <v>45709</v>
      </c>
      <c r="AD846" s="9">
        <v>45721</v>
      </c>
      <c r="AE846" s="9">
        <v>45721</v>
      </c>
      <c r="AF846" s="4" t="str">
        <f t="shared" ca="1" si="36"/>
        <v>2025 02</v>
      </c>
      <c r="AG846" s="8" t="str" cm="1">
        <f t="array" ref="AG846">IFERROR(_xlfn.IFS('Banco de Dados'!#REF!="AG. COMPRA","Em processamento",'Banco de Dados'!#REF!="AG. RASTREIO","Em processamento",'Banco de Dados'!$AE846&lt;&gt;"-","Faturado",'Banco de Dados'!$AD846&lt;&gt;"-","Aguardando Pix",'Banco de Dados'!$AC846&lt;&gt;"-","Pendente"),"Aguardando Liberação")</f>
        <v>Aguardando Liberação</v>
      </c>
      <c r="AH846" s="5" t="str">
        <f>IF('Banco de Dados'!$F846="-",_xlfn.CONCAT(PROPER(TEXT(AK846,"aaaa"))," ",PROPER(TEXT(AK846,"mm"))),_xlfn.CONCAT(PROPER(TEXT(E846,"aaaa"))," ",PROPER(TEXT(E846,"mm"))))</f>
        <v>2025 01</v>
      </c>
      <c r="AI846" s="9" t="str">
        <f ca="1">IF('Banco de Dados'!$AK846&lt;&gt;"-","REEMBOLSO",IFERROR(_xlfn.XLOOKUP(G846,Follow[CODRASTREIO],Follow[STATUS]),"-"))</f>
        <v>ENTREGUE</v>
      </c>
      <c r="AJ846" s="9">
        <f ca="1">IF('Banco de Dados'!$AI846="ENTREGUE",_xlfn.XLOOKUP('Banco de Dados'!$G846,Follow[CODRASTREIO],Follow[DATAATUALIZAÇÃO]),"-")</f>
        <v>45695</v>
      </c>
      <c r="AK846" s="132" t="str">
        <f ca="1"/>
        <v>-</v>
      </c>
      <c r="AL846" s="35"/>
      <c r="AM846" s="109" cm="1">
        <f t="array" aca="1" ref="AM846" ca="1">IF('Banco de Dados'!$AK846&lt;&gt;"-",_xlfn.IFS('Banco de Dados'!$A846="bv",IF('Banco de Dados'!$E846&lt;45641,ROUND(SUM('Banco de Dados'!$R846*_xlfn.XLOOKUP('Banco de Dados'!$P846,Sku!B:B,Sku!#REF!)*20%),2),ROUND(SUM('Banco de Dados'!$R846*_xlfn.XLOOKUP('Banco de Dados'!$P846,Sku!B:B,Sku!H:H)*20%),2)),'Banco de Dados'!$A846="GO",ROUND(_xlfn.XLOOKUP('Banco de Dados'!$P846,Sku!C:C,Sku!H:H),2),'Banco de Dados'!$A846="MEI",ROUND(_xlfn.XLOOKUP('Banco de Dados'!$P846,Sku!D:D,Sku!H:H),2)),0)</f>
        <v>0</v>
      </c>
      <c r="AN846" s="109">
        <f ca="1">IF('Banco de Dados'!$AK846&lt;&gt;"-",IF('Banco de Dados'!$F846&lt;&gt;"-",_xlfn.XLOOKUP(IFERROR(IFERROR(IFERROR(VALUE(SUBSTITUTE(MID(_xlfn.TEXTAFTER('Banco de Dados'!$F846,"Data do Pedido:
",1),1,10),"-","/")),VALUE(SUBSTITUTE(MID(_xlfn.TEXTAFTER('Banco de Dados'!$F846,"Order date:
",1),1,10),"-","/"))),VALUE(SUBSTITUTE(MID(_xlfn.TEXTAFTER('Banco de Dados'!$F846,"Fecha de pedido:
",1),1,10),"-","/"))),"-"),SMS!A:A,SMS!K:K),0),0)</f>
        <v>0</v>
      </c>
      <c r="AO846" s="109">
        <f ca="1">IF('Banco de Dados'!$AK846&lt;&gt;"-",IF('Banco de Dados'!$F846&lt;&gt;"-",IFERROR(_xlfn.XLOOKUP(_xlfn.CONCAT('Banco de Dados'!$A846,IFERROR(IFERROR(VALUE(SUBSTITUTE(MID(_xlfn.TEXTAFTER('Banco de Dados'!$F846,"Data do Pedido:
",1),1,10),"-","/")),VALUE(SUBSTITUTE(MID(_xlfn.TEXTAFTER('Banco de Dados'!$F846,"Order date:
",1),1,10),"-","/"))),0)),ProxyDD[Chave],ProxyDD[Valor por pedido]),PROXY!$P$2),0),0)</f>
        <v>0</v>
      </c>
      <c r="AP846" s="28">
        <f ca="1">IF('Banco de Dados'!$AK846&lt;&gt;"-",IF('Banco de Dados'!$AL846="NÃO",IFERROR(VALUE(SUBSTITUTE(_xlfn.TEXTAFTER('Banco de Dados'!$F846,"BRL ",1),".",",")),0),0),0)</f>
        <v>0</v>
      </c>
      <c r="AQ846" s="28">
        <f ca="1">SUM('Banco de Dados'!$AM846:$AP846)</f>
        <v>0</v>
      </c>
      <c r="AR846" s="8"/>
      <c r="AS846" s="8"/>
      <c r="AT846"/>
      <c r="AY846" s="8"/>
    </row>
    <row r="847" spans="1:51">
      <c r="A847" s="5" t="str">
        <v>BV</v>
      </c>
      <c r="B847" s="5" t="str">
        <f ca="1"/>
        <v>BV45684</v>
      </c>
      <c r="C847" s="8" t="str">
        <v>Pedido 834</v>
      </c>
      <c r="D847" s="9">
        <v>45683</v>
      </c>
      <c r="E847" s="9">
        <v>45684</v>
      </c>
      <c r="F847" s="8" t="str">
        <v>PedidoF813</v>
      </c>
      <c r="G847" s="2" t="str">
        <v>CódRastreio811</v>
      </c>
      <c r="H847" s="5">
        <v>1</v>
      </c>
      <c r="I847" s="182" t="str">
        <v>CPF 810</v>
      </c>
      <c r="J847" s="2" t="str">
        <v>Nome 810</v>
      </c>
      <c r="K847" s="8" t="str">
        <v>Tel 810</v>
      </c>
      <c r="L847" s="8" t="str">
        <v>Cep 810</v>
      </c>
      <c r="M847" s="8" t="str">
        <v>Rua 810</v>
      </c>
      <c r="N847" s="8" t="str">
        <v>Comp 810</v>
      </c>
      <c r="O847" s="8" t="str">
        <v>Ventilador Umidificador Preto</v>
      </c>
      <c r="P847" s="8" t="str">
        <v>HF-SI0F-XC7S</v>
      </c>
      <c r="Q847" s="4">
        <v>45702</v>
      </c>
      <c r="R847" s="109">
        <v>64.900000000000006</v>
      </c>
      <c r="S847" s="11">
        <f ca="1"/>
        <v>0</v>
      </c>
      <c r="T847" s="28">
        <f ca="1"/>
        <v>0</v>
      </c>
      <c r="U847" s="11">
        <f ca="1"/>
        <v>0</v>
      </c>
      <c r="V847" s="11">
        <v>0</v>
      </c>
      <c r="W847" s="11">
        <f ca="1"/>
        <v>0</v>
      </c>
      <c r="X847" s="11">
        <f ca="1"/>
        <v>0.39877104377104378</v>
      </c>
      <c r="Y847" s="11">
        <v>0</v>
      </c>
      <c r="Z847" s="11">
        <f ca="1"/>
        <v>-0.39877104377104378</v>
      </c>
      <c r="AA847" s="11">
        <f ca="1"/>
        <v>-0.19938552188552189</v>
      </c>
      <c r="AB847" s="4">
        <f ca="1"/>
        <v>45709</v>
      </c>
      <c r="AC847" s="4">
        <v>45709</v>
      </c>
      <c r="AD847" s="9">
        <v>45721</v>
      </c>
      <c r="AE847" s="9">
        <v>45721</v>
      </c>
      <c r="AF847" s="4" t="str">
        <f t="shared" ca="1" si="36"/>
        <v>2025 02</v>
      </c>
      <c r="AG847" s="8" t="str" cm="1">
        <f t="array" ref="AG847">IFERROR(_xlfn.IFS('Banco de Dados'!#REF!="AG. COMPRA","Em processamento",'Banco de Dados'!#REF!="AG. RASTREIO","Em processamento",'Banco de Dados'!$AE847&lt;&gt;"-","Faturado",'Banco de Dados'!$AD847&lt;&gt;"-","Aguardando Pix",'Banco de Dados'!$AC847&lt;&gt;"-","Pendente"),"Aguardando Liberação")</f>
        <v>Aguardando Liberação</v>
      </c>
      <c r="AH847" s="5" t="str">
        <f>IF('Banco de Dados'!$F847="-",_xlfn.CONCAT(PROPER(TEXT(AK847,"aaaa"))," ",PROPER(TEXT(AK847,"mm"))),_xlfn.CONCAT(PROPER(TEXT(E847,"aaaa"))," ",PROPER(TEXT(E847,"mm"))))</f>
        <v>2025 01</v>
      </c>
      <c r="AI847" s="9" t="str">
        <f ca="1">IF('Banco de Dados'!$AK847&lt;&gt;"-","REEMBOLSO",IFERROR(_xlfn.XLOOKUP(G847,Follow[CODRASTREIO],Follow[STATUS]),"-"))</f>
        <v>REEMBOLSO</v>
      </c>
      <c r="AJ847" s="9" t="str">
        <f ca="1">IF('Banco de Dados'!$AI847="ENTREGUE",_xlfn.XLOOKUP('Banco de Dados'!$G847,Follow[CODRASTREIO],Follow[DATAATUALIZAÇÃO]),"-")</f>
        <v>-</v>
      </c>
      <c r="AK847" s="132">
        <f ca="1"/>
        <v>45708</v>
      </c>
      <c r="AL847" s="35"/>
      <c r="AM847" s="109" cm="1">
        <f t="array" aca="1" ref="AM847" ca="1">IF('Banco de Dados'!$AK847&lt;&gt;"-",_xlfn.IFS('Banco de Dados'!$A847="bv",IF('Banco de Dados'!$E847&lt;45641,ROUND(SUM('Banco de Dados'!$R847*_xlfn.XLOOKUP('Banco de Dados'!$P847,Sku!B:B,Sku!#REF!)*20%),2),ROUND(SUM('Banco de Dados'!$R847*_xlfn.XLOOKUP('Banco de Dados'!$P847,Sku!B:B,Sku!H:H)*20%),2)),'Banco de Dados'!$A847="GO",ROUND(_xlfn.XLOOKUP('Banco de Dados'!$P847,Sku!C:C,Sku!H:H),2),'Banco de Dados'!$A847="MEI",ROUND(_xlfn.XLOOKUP('Banco de Dados'!$P847,Sku!D:D,Sku!H:H),2)),0)</f>
        <v>1.82</v>
      </c>
      <c r="AN847" s="109" t="e">
        <f ca="1">IF('Banco de Dados'!$AK847&lt;&gt;"-",IF('Banco de Dados'!$F847&lt;&gt;"-",_xlfn.XLOOKUP(IFERROR(IFERROR(IFERROR(VALUE(SUBSTITUTE(MID(_xlfn.TEXTAFTER('Banco de Dados'!$F847,"Data do Pedido:
",1),1,10),"-","/")),VALUE(SUBSTITUTE(MID(_xlfn.TEXTAFTER('Banco de Dados'!$F847,"Order date:
",1),1,10),"-","/"))),VALUE(SUBSTITUTE(MID(_xlfn.TEXTAFTER('Banco de Dados'!$F847,"Fecha de pedido:
",1),1,10),"-","/"))),"-"),SMS!A:A,SMS!K:K),0),0)</f>
        <v>#N/A</v>
      </c>
      <c r="AO847" s="109">
        <f ca="1">IF('Banco de Dados'!$AK847&lt;&gt;"-",IF('Banco de Dados'!$F847&lt;&gt;"-",IFERROR(_xlfn.XLOOKUP(_xlfn.CONCAT('Banco de Dados'!$A847,IFERROR(IFERROR(VALUE(SUBSTITUTE(MID(_xlfn.TEXTAFTER('Banco de Dados'!$F847,"Data do Pedido:
",1),1,10),"-","/")),VALUE(SUBSTITUTE(MID(_xlfn.TEXTAFTER('Banco de Dados'!$F847,"Order date:
",1),1,10),"-","/"))),0)),ProxyDD[Chave],ProxyDD[Valor por pedido]),PROXY!$P$2),0),0)</f>
        <v>0.39877104377104378</v>
      </c>
      <c r="AP847" s="28">
        <f ca="1">IF('Banco de Dados'!$AK847&lt;&gt;"-",IF('Banco de Dados'!$AL847="NÃO",IFERROR(VALUE(SUBSTITUTE(_xlfn.TEXTAFTER('Banco de Dados'!$F847,"BRL ",1),".",",")),0),0),0)</f>
        <v>0</v>
      </c>
      <c r="AQ847" s="28" t="e">
        <f ca="1">SUM('Banco de Dados'!$AM847:$AP847)</f>
        <v>#N/A</v>
      </c>
      <c r="AR847" s="8"/>
      <c r="AS847" s="8"/>
      <c r="AT847"/>
      <c r="AY847" s="8"/>
    </row>
    <row r="848" spans="1:51">
      <c r="A848" s="5" t="str">
        <v>BV</v>
      </c>
      <c r="B848" s="5" t="str">
        <f ca="1"/>
        <v>BV45684</v>
      </c>
      <c r="C848" s="8" t="str">
        <v>Pedido 835</v>
      </c>
      <c r="D848" s="9">
        <v>45683</v>
      </c>
      <c r="E848" s="9">
        <v>45684</v>
      </c>
      <c r="F848" s="8" t="str">
        <v>PedidoF814</v>
      </c>
      <c r="G848" s="2" t="str">
        <v>CódRastreio812</v>
      </c>
      <c r="H848" s="5">
        <v>1</v>
      </c>
      <c r="I848" s="182" t="str">
        <v>CPF 811</v>
      </c>
      <c r="J848" s="2" t="str">
        <v>Nome 811</v>
      </c>
      <c r="K848" s="8" t="str">
        <v>Tel 811</v>
      </c>
      <c r="L848" s="8" t="str">
        <v>Cep 811</v>
      </c>
      <c r="M848" s="8" t="str">
        <v>Rua 811</v>
      </c>
      <c r="N848" s="8" t="str">
        <v>Comp 811</v>
      </c>
      <c r="O848" s="8" t="str">
        <v>Ventilador Azul</v>
      </c>
      <c r="P848" s="8" t="str">
        <v>U8-2VWS-OB6M</v>
      </c>
      <c r="Q848" s="4">
        <v>45702</v>
      </c>
      <c r="R848" s="109">
        <v>66.989999999999995</v>
      </c>
      <c r="S848" s="11">
        <f ca="1"/>
        <v>66.989999999999995</v>
      </c>
      <c r="T848" s="28">
        <f ca="1"/>
        <v>8.7087000000000003</v>
      </c>
      <c r="U848" s="11">
        <f ca="1"/>
        <v>58.28</v>
      </c>
      <c r="V848" s="11">
        <v>17.420000000000002</v>
      </c>
      <c r="W848" s="11">
        <f ca="1"/>
        <v>0.2</v>
      </c>
      <c r="X848" s="11">
        <f ca="1"/>
        <v>0.39877104377104378</v>
      </c>
      <c r="Y848" s="11">
        <v>0</v>
      </c>
      <c r="Z848" s="11">
        <f ca="1"/>
        <v>40.261228956228955</v>
      </c>
      <c r="AA848" s="11">
        <f ca="1"/>
        <v>20.130614478114477</v>
      </c>
      <c r="AB848" s="4">
        <f ca="1"/>
        <v>45709</v>
      </c>
      <c r="AC848" s="4">
        <v>45709</v>
      </c>
      <c r="AD848" s="9">
        <v>45721</v>
      </c>
      <c r="AE848" s="9">
        <v>45721</v>
      </c>
      <c r="AF848" s="4" t="str">
        <f t="shared" ca="1" si="36"/>
        <v>2025 02</v>
      </c>
      <c r="AG848" s="8" t="str" cm="1">
        <f t="array" ref="AG848">IFERROR(_xlfn.IFS('Banco de Dados'!#REF!="AG. COMPRA","Em processamento",'Banco de Dados'!#REF!="AG. RASTREIO","Em processamento",'Banco de Dados'!$AE848&lt;&gt;"-","Faturado",'Banco de Dados'!$AD848&lt;&gt;"-","Aguardando Pix",'Banco de Dados'!$AC848&lt;&gt;"-","Pendente"),"Aguardando Liberação")</f>
        <v>Aguardando Liberação</v>
      </c>
      <c r="AH848" s="5" t="str">
        <f>IF('Banco de Dados'!$F848="-",_xlfn.CONCAT(PROPER(TEXT(AK848,"aaaa"))," ",PROPER(TEXT(AK848,"mm"))),_xlfn.CONCAT(PROPER(TEXT(E848,"aaaa"))," ",PROPER(TEXT(E848,"mm"))))</f>
        <v>2025 01</v>
      </c>
      <c r="AI848" s="9" t="str">
        <f ca="1">IF('Banco de Dados'!$AK848&lt;&gt;"-","REEMBOLSO",IFERROR(_xlfn.XLOOKUP(G848,Follow[CODRASTREIO],Follow[STATUS]),"-"))</f>
        <v>ENTREGUE</v>
      </c>
      <c r="AJ848" s="9">
        <f ca="1">IF('Banco de Dados'!$AI848="ENTREGUE",_xlfn.XLOOKUP('Banco de Dados'!$G848,Follow[CODRASTREIO],Follow[DATAATUALIZAÇÃO]),"-")</f>
        <v>45698</v>
      </c>
      <c r="AK848" s="132" t="str">
        <f ca="1"/>
        <v>-</v>
      </c>
      <c r="AL848" s="35"/>
      <c r="AM848" s="109" cm="1">
        <f t="array" aca="1" ref="AM848" ca="1">IF('Banco de Dados'!$AK848&lt;&gt;"-",_xlfn.IFS('Banco de Dados'!$A848="bv",IF('Banco de Dados'!$E848&lt;45641,ROUND(SUM('Banco de Dados'!$R848*_xlfn.XLOOKUP('Banco de Dados'!$P848,Sku!B:B,Sku!#REF!)*20%),2),ROUND(SUM('Banco de Dados'!$R848*_xlfn.XLOOKUP('Banco de Dados'!$P848,Sku!B:B,Sku!H:H)*20%),2)),'Banco de Dados'!$A848="GO",ROUND(_xlfn.XLOOKUP('Banco de Dados'!$P848,Sku!C:C,Sku!H:H),2),'Banco de Dados'!$A848="MEI",ROUND(_xlfn.XLOOKUP('Banco de Dados'!$P848,Sku!D:D,Sku!H:H),2)),0)</f>
        <v>0</v>
      </c>
      <c r="AN848" s="109">
        <f ca="1">IF('Banco de Dados'!$AK848&lt;&gt;"-",IF('Banco de Dados'!$F848&lt;&gt;"-",_xlfn.XLOOKUP(IFERROR(IFERROR(IFERROR(VALUE(SUBSTITUTE(MID(_xlfn.TEXTAFTER('Banco de Dados'!$F848,"Data do Pedido:
",1),1,10),"-","/")),VALUE(SUBSTITUTE(MID(_xlfn.TEXTAFTER('Banco de Dados'!$F848,"Order date:
",1),1,10),"-","/"))),VALUE(SUBSTITUTE(MID(_xlfn.TEXTAFTER('Banco de Dados'!$F848,"Fecha de pedido:
",1),1,10),"-","/"))),"-"),SMS!A:A,SMS!K:K),0),0)</f>
        <v>0</v>
      </c>
      <c r="AO848" s="109">
        <f ca="1">IF('Banco de Dados'!$AK848&lt;&gt;"-",IF('Banco de Dados'!$F848&lt;&gt;"-",IFERROR(_xlfn.XLOOKUP(_xlfn.CONCAT('Banco de Dados'!$A848,IFERROR(IFERROR(VALUE(SUBSTITUTE(MID(_xlfn.TEXTAFTER('Banco de Dados'!$F848,"Data do Pedido:
",1),1,10),"-","/")),VALUE(SUBSTITUTE(MID(_xlfn.TEXTAFTER('Banco de Dados'!$F848,"Order date:
",1),1,10),"-","/"))),0)),ProxyDD[Chave],ProxyDD[Valor por pedido]),PROXY!$P$2),0),0)</f>
        <v>0</v>
      </c>
      <c r="AP848" s="28">
        <f ca="1">IF('Banco de Dados'!$AK848&lt;&gt;"-",IF('Banco de Dados'!$AL848="NÃO",IFERROR(VALUE(SUBSTITUTE(_xlfn.TEXTAFTER('Banco de Dados'!$F848,"BRL ",1),".",",")),0),0),0)</f>
        <v>0</v>
      </c>
      <c r="AQ848" s="28">
        <f ca="1">SUM('Banco de Dados'!$AM848:$AP848)</f>
        <v>0</v>
      </c>
      <c r="AR848" s="8"/>
      <c r="AS848" s="8"/>
      <c r="AT848"/>
      <c r="AY848" s="8"/>
    </row>
    <row r="849" spans="1:51">
      <c r="A849" s="5" t="str">
        <v>BV</v>
      </c>
      <c r="B849" s="5" t="str">
        <f ca="1"/>
        <v>BV45684</v>
      </c>
      <c r="C849" s="8" t="str">
        <v>Pedido 836</v>
      </c>
      <c r="D849" s="9">
        <v>45684</v>
      </c>
      <c r="E849" s="9">
        <v>45684</v>
      </c>
      <c r="F849" s="8" t="str">
        <v>PedidoF815</v>
      </c>
      <c r="G849" s="2" t="str">
        <v>CódRastreio813</v>
      </c>
      <c r="H849" s="5">
        <v>1</v>
      </c>
      <c r="I849" s="182" t="str">
        <v>CPF 812</v>
      </c>
      <c r="J849" s="2" t="str">
        <v>Nome 812</v>
      </c>
      <c r="K849" s="8" t="str">
        <v>Tel 812</v>
      </c>
      <c r="L849" s="8" t="str">
        <v>Cep 812</v>
      </c>
      <c r="M849" s="8" t="str">
        <v>Rua 812</v>
      </c>
      <c r="N849" s="8" t="str">
        <v>Comp 812</v>
      </c>
      <c r="O849" s="8" t="str">
        <v>Ventilador Rosa</v>
      </c>
      <c r="P849" s="8" t="str">
        <v>IF-G2ZQ-79FO</v>
      </c>
      <c r="Q849" s="4">
        <v>45709</v>
      </c>
      <c r="R849" s="109">
        <v>59.8</v>
      </c>
      <c r="S849" s="11">
        <f ca="1"/>
        <v>59.8</v>
      </c>
      <c r="T849" s="28">
        <f ca="1"/>
        <v>7.774</v>
      </c>
      <c r="U849" s="11">
        <f ca="1"/>
        <v>52.03</v>
      </c>
      <c r="V849" s="11">
        <v>17.78</v>
      </c>
      <c r="W849" s="11">
        <f ca="1"/>
        <v>0.2</v>
      </c>
      <c r="X849" s="11">
        <f ca="1"/>
        <v>0.39877104377104378</v>
      </c>
      <c r="Y849" s="11">
        <v>0</v>
      </c>
      <c r="Z849" s="11">
        <f ca="1"/>
        <v>33.651228956228955</v>
      </c>
      <c r="AA849" s="11">
        <f ca="1"/>
        <v>16.825614478114478</v>
      </c>
      <c r="AB849" s="4">
        <f ca="1"/>
        <v>45716</v>
      </c>
      <c r="AC849" s="4">
        <v>45716</v>
      </c>
      <c r="AD849" s="9">
        <v>45721</v>
      </c>
      <c r="AE849" s="9">
        <v>45721</v>
      </c>
      <c r="AF849" s="4" t="str">
        <f t="shared" ca="1" si="36"/>
        <v>2025 02</v>
      </c>
      <c r="AG849" s="8" t="str" cm="1">
        <f t="array" ref="AG849">IFERROR(_xlfn.IFS('Banco de Dados'!#REF!="AG. COMPRA","Em processamento",'Banco de Dados'!#REF!="AG. RASTREIO","Em processamento",'Banco de Dados'!$AE849&lt;&gt;"-","Faturado",'Banco de Dados'!$AD849&lt;&gt;"-","Aguardando Pix",'Banco de Dados'!$AC849&lt;&gt;"-","Pendente"),"Aguardando Liberação")</f>
        <v>Aguardando Liberação</v>
      </c>
      <c r="AH849" s="5" t="str">
        <f>IF('Banco de Dados'!$F849="-",_xlfn.CONCAT(PROPER(TEXT(AK849,"aaaa"))," ",PROPER(TEXT(AK849,"mm"))),_xlfn.CONCAT(PROPER(TEXT(E849,"aaaa"))," ",PROPER(TEXT(E849,"mm"))))</f>
        <v>2025 01</v>
      </c>
      <c r="AI849" s="9" t="str">
        <f ca="1">IF('Banco de Dados'!$AK849&lt;&gt;"-","REEMBOLSO",IFERROR(_xlfn.XLOOKUP(G849,Follow[CODRASTREIO],Follow[STATUS]),"-"))</f>
        <v>ENTREGUE</v>
      </c>
      <c r="AJ849" s="9">
        <f ca="1">IF('Banco de Dados'!$AI849="ENTREGUE",_xlfn.XLOOKUP('Banco de Dados'!$G849,Follow[CODRASTREIO],Follow[DATAATUALIZAÇÃO]),"-")</f>
        <v>45700</v>
      </c>
      <c r="AK849" s="132" t="str">
        <f ca="1"/>
        <v>-</v>
      </c>
      <c r="AL849" s="35"/>
      <c r="AM849" s="109" cm="1">
        <f t="array" aca="1" ref="AM849" ca="1">IF('Banco de Dados'!$AK849&lt;&gt;"-",_xlfn.IFS('Banco de Dados'!$A849="bv",IF('Banco de Dados'!$E849&lt;45641,ROUND(SUM('Banco de Dados'!$R849*_xlfn.XLOOKUP('Banco de Dados'!$P849,Sku!B:B,Sku!#REF!)*20%),2),ROUND(SUM('Banco de Dados'!$R849*_xlfn.XLOOKUP('Banco de Dados'!$P849,Sku!B:B,Sku!H:H)*20%),2)),'Banco de Dados'!$A849="GO",ROUND(_xlfn.XLOOKUP('Banco de Dados'!$P849,Sku!C:C,Sku!H:H),2),'Banco de Dados'!$A849="MEI",ROUND(_xlfn.XLOOKUP('Banco de Dados'!$P849,Sku!D:D,Sku!H:H),2)),0)</f>
        <v>0</v>
      </c>
      <c r="AN849" s="109">
        <f ca="1">IF('Banco de Dados'!$AK849&lt;&gt;"-",IF('Banco de Dados'!$F849&lt;&gt;"-",_xlfn.XLOOKUP(IFERROR(IFERROR(IFERROR(VALUE(SUBSTITUTE(MID(_xlfn.TEXTAFTER('Banco de Dados'!$F849,"Data do Pedido:
",1),1,10),"-","/")),VALUE(SUBSTITUTE(MID(_xlfn.TEXTAFTER('Banco de Dados'!$F849,"Order date:
",1),1,10),"-","/"))),VALUE(SUBSTITUTE(MID(_xlfn.TEXTAFTER('Banco de Dados'!$F849,"Fecha de pedido:
",1),1,10),"-","/"))),"-"),SMS!A:A,SMS!K:K),0),0)</f>
        <v>0</v>
      </c>
      <c r="AO849" s="109">
        <f ca="1">IF('Banco de Dados'!$AK849&lt;&gt;"-",IF('Banco de Dados'!$F849&lt;&gt;"-",IFERROR(_xlfn.XLOOKUP(_xlfn.CONCAT('Banco de Dados'!$A849,IFERROR(IFERROR(VALUE(SUBSTITUTE(MID(_xlfn.TEXTAFTER('Banco de Dados'!$F849,"Data do Pedido:
",1),1,10),"-","/")),VALUE(SUBSTITUTE(MID(_xlfn.TEXTAFTER('Banco de Dados'!$F849,"Order date:
",1),1,10),"-","/"))),0)),ProxyDD[Chave],ProxyDD[Valor por pedido]),PROXY!$P$2),0),0)</f>
        <v>0</v>
      </c>
      <c r="AP849" s="28">
        <f ca="1">IF('Banco de Dados'!$AK849&lt;&gt;"-",IF('Banco de Dados'!$AL849="NÃO",IFERROR(VALUE(SUBSTITUTE(_xlfn.TEXTAFTER('Banco de Dados'!$F849,"BRL ",1),".",",")),0),0),0)</f>
        <v>0</v>
      </c>
      <c r="AQ849" s="28">
        <f ca="1">SUM('Banco de Dados'!$AM849:$AP849)</f>
        <v>0</v>
      </c>
      <c r="AR849" s="8"/>
      <c r="AS849" s="8"/>
      <c r="AT849"/>
      <c r="AY849" s="8"/>
    </row>
    <row r="850" spans="1:51">
      <c r="A850" s="5" t="str">
        <v>BV</v>
      </c>
      <c r="B850" s="5" t="str">
        <f ca="1"/>
        <v>BV45684</v>
      </c>
      <c r="C850" s="8" t="str">
        <v>Pedido 837</v>
      </c>
      <c r="D850" s="9">
        <v>45684</v>
      </c>
      <c r="E850" s="9">
        <v>45684</v>
      </c>
      <c r="F850" s="8" t="str">
        <v>PedidoF816</v>
      </c>
      <c r="G850" s="2" t="str">
        <v>CódRastreio814</v>
      </c>
      <c r="H850" s="5">
        <v>1</v>
      </c>
      <c r="I850" s="182" t="str">
        <v>CPF 813</v>
      </c>
      <c r="J850" s="2" t="str">
        <v>Nome 813</v>
      </c>
      <c r="K850" s="8" t="str">
        <v>Tel 813</v>
      </c>
      <c r="L850" s="8" t="str">
        <v>Cep 813</v>
      </c>
      <c r="M850" s="8" t="str">
        <v>Rua 813</v>
      </c>
      <c r="N850" s="8" t="str">
        <v>Comp 813</v>
      </c>
      <c r="O850" s="8" t="str">
        <v>Mini Liquidificador</v>
      </c>
      <c r="P850" s="8" t="str">
        <v>CK-YL6M-P5Y6</v>
      </c>
      <c r="Q850" s="4">
        <v>45709</v>
      </c>
      <c r="R850" s="109">
        <v>32.99</v>
      </c>
      <c r="S850" s="11">
        <f ca="1"/>
        <v>32.99</v>
      </c>
      <c r="T850" s="28">
        <f ca="1"/>
        <v>4.6186000000000007</v>
      </c>
      <c r="U850" s="11">
        <f ca="1"/>
        <v>28.37</v>
      </c>
      <c r="V850" s="11">
        <v>14.99</v>
      </c>
      <c r="W850" s="11">
        <f ca="1"/>
        <v>0.2</v>
      </c>
      <c r="X850" s="11">
        <f ca="1"/>
        <v>0.39877104377104378</v>
      </c>
      <c r="Y850" s="11">
        <v>0</v>
      </c>
      <c r="Z850" s="11">
        <f ca="1"/>
        <v>12.781228956228958</v>
      </c>
      <c r="AA850" s="11">
        <f ca="1"/>
        <v>6.3906144781144789</v>
      </c>
      <c r="AB850" s="4">
        <f ca="1"/>
        <v>45716</v>
      </c>
      <c r="AC850" s="4">
        <v>45716</v>
      </c>
      <c r="AD850" s="9">
        <v>45721</v>
      </c>
      <c r="AE850" s="9">
        <v>45721</v>
      </c>
      <c r="AF850" s="4" t="str">
        <f t="shared" ca="1" si="36"/>
        <v>2025 02</v>
      </c>
      <c r="AG850" s="8" t="str" cm="1">
        <f t="array" ref="AG850">IFERROR(_xlfn.IFS('Banco de Dados'!#REF!="AG. COMPRA","Em processamento",'Banco de Dados'!#REF!="AG. RASTREIO","Em processamento",'Banco de Dados'!$AE850&lt;&gt;"-","Faturado",'Banco de Dados'!$AD850&lt;&gt;"-","Aguardando Pix",'Banco de Dados'!$AC850&lt;&gt;"-","Pendente"),"Aguardando Liberação")</f>
        <v>Aguardando Liberação</v>
      </c>
      <c r="AH850" s="5" t="str">
        <f>IF('Banco de Dados'!$F850="-",_xlfn.CONCAT(PROPER(TEXT(AK850,"aaaa"))," ",PROPER(TEXT(AK850,"mm"))),_xlfn.CONCAT(PROPER(TEXT(E850,"aaaa"))," ",PROPER(TEXT(E850,"mm"))))</f>
        <v>2025 01</v>
      </c>
      <c r="AI850" s="9" t="str">
        <f ca="1">IF('Banco de Dados'!$AK850&lt;&gt;"-","REEMBOLSO",IFERROR(_xlfn.XLOOKUP(G850,Follow[CODRASTREIO],Follow[STATUS]),"-"))</f>
        <v>ENTREGUE</v>
      </c>
      <c r="AJ850" s="9">
        <f ca="1">IF('Banco de Dados'!$AI850="ENTREGUE",_xlfn.XLOOKUP('Banco de Dados'!$G850,Follow[CODRASTREIO],Follow[DATAATUALIZAÇÃO]),"-")</f>
        <v>45692</v>
      </c>
      <c r="AK850" s="132" t="str">
        <f ca="1"/>
        <v>-</v>
      </c>
      <c r="AL850" s="35"/>
      <c r="AM850" s="109" cm="1">
        <f t="array" aca="1" ref="AM850" ca="1">IF('Banco de Dados'!$AK850&lt;&gt;"-",_xlfn.IFS('Banco de Dados'!$A850="bv",IF('Banco de Dados'!$E850&lt;45641,ROUND(SUM('Banco de Dados'!$R850*_xlfn.XLOOKUP('Banco de Dados'!$P850,Sku!B:B,Sku!#REF!)*20%),2),ROUND(SUM('Banco de Dados'!$R850*_xlfn.XLOOKUP('Banco de Dados'!$P850,Sku!B:B,Sku!H:H)*20%),2)),'Banco de Dados'!$A850="GO",ROUND(_xlfn.XLOOKUP('Banco de Dados'!$P850,Sku!C:C,Sku!H:H),2),'Banco de Dados'!$A850="MEI",ROUND(_xlfn.XLOOKUP('Banco de Dados'!$P850,Sku!D:D,Sku!H:H),2)),0)</f>
        <v>0</v>
      </c>
      <c r="AN850" s="109">
        <f ca="1">IF('Banco de Dados'!$AK850&lt;&gt;"-",IF('Banco de Dados'!$F850&lt;&gt;"-",_xlfn.XLOOKUP(IFERROR(IFERROR(IFERROR(VALUE(SUBSTITUTE(MID(_xlfn.TEXTAFTER('Banco de Dados'!$F850,"Data do Pedido:
",1),1,10),"-","/")),VALUE(SUBSTITUTE(MID(_xlfn.TEXTAFTER('Banco de Dados'!$F850,"Order date:
",1),1,10),"-","/"))),VALUE(SUBSTITUTE(MID(_xlfn.TEXTAFTER('Banco de Dados'!$F850,"Fecha de pedido:
",1),1,10),"-","/"))),"-"),SMS!A:A,SMS!K:K),0),0)</f>
        <v>0</v>
      </c>
      <c r="AO850" s="109">
        <f ca="1">IF('Banco de Dados'!$AK850&lt;&gt;"-",IF('Banco de Dados'!$F850&lt;&gt;"-",IFERROR(_xlfn.XLOOKUP(_xlfn.CONCAT('Banco de Dados'!$A850,IFERROR(IFERROR(VALUE(SUBSTITUTE(MID(_xlfn.TEXTAFTER('Banco de Dados'!$F850,"Data do Pedido:
",1),1,10),"-","/")),VALUE(SUBSTITUTE(MID(_xlfn.TEXTAFTER('Banco de Dados'!$F850,"Order date:
",1),1,10),"-","/"))),0)),ProxyDD[Chave],ProxyDD[Valor por pedido]),PROXY!$P$2),0),0)</f>
        <v>0</v>
      </c>
      <c r="AP850" s="28">
        <f ca="1">IF('Banco de Dados'!$AK850&lt;&gt;"-",IF('Banco de Dados'!$AL850="NÃO",IFERROR(VALUE(SUBSTITUTE(_xlfn.TEXTAFTER('Banco de Dados'!$F850,"BRL ",1),".",",")),0),0),0)</f>
        <v>0</v>
      </c>
      <c r="AQ850" s="28">
        <f ca="1">SUM('Banco de Dados'!$AM850:$AP850)</f>
        <v>0</v>
      </c>
      <c r="AR850" s="8"/>
      <c r="AS850" s="8"/>
      <c r="AT850"/>
      <c r="AY850" s="8"/>
    </row>
    <row r="851" spans="1:51" ht="14.25" customHeight="1">
      <c r="A851" s="5" t="str">
        <v>BV</v>
      </c>
      <c r="B851" s="5" t="str">
        <f ca="1"/>
        <v>BV45685</v>
      </c>
      <c r="C851" s="8" t="str">
        <v>Pedido 838</v>
      </c>
      <c r="D851" s="9">
        <v>45685</v>
      </c>
      <c r="E851" s="9">
        <v>45685</v>
      </c>
      <c r="F851" s="8" t="str">
        <v>PedidoF817</v>
      </c>
      <c r="G851" s="2" t="str">
        <v>CódRastreio815</v>
      </c>
      <c r="H851" s="5">
        <v>1</v>
      </c>
      <c r="I851" s="181" t="str">
        <v>CPF 814</v>
      </c>
      <c r="J851" s="2" t="str">
        <v>Nome 814</v>
      </c>
      <c r="K851" s="8" t="str">
        <v>Tel 814</v>
      </c>
      <c r="L851" s="8" t="str">
        <v>Cep 814</v>
      </c>
      <c r="M851" s="8" t="str">
        <v>Rua 814</v>
      </c>
      <c r="N851" s="186" t="str">
        <v>Comp 814</v>
      </c>
      <c r="O851" s="186" t="str">
        <v>Ventilador Azul</v>
      </c>
      <c r="P851" s="8" t="str">
        <v>U8-2VWS-OB6M</v>
      </c>
      <c r="Q851" s="4">
        <v>45716</v>
      </c>
      <c r="R851" s="109">
        <v>66.989999999999995</v>
      </c>
      <c r="S851" s="11">
        <f ca="1"/>
        <v>66.989999999999995</v>
      </c>
      <c r="T851" s="28">
        <f ca="1"/>
        <v>8.7087000000000003</v>
      </c>
      <c r="U851" s="11">
        <f ca="1"/>
        <v>58.28</v>
      </c>
      <c r="V851" s="11">
        <v>17.190000000000001</v>
      </c>
      <c r="W851" s="11">
        <f ca="1"/>
        <v>0.2</v>
      </c>
      <c r="X851" s="11">
        <f ca="1"/>
        <v>0.39877104377104378</v>
      </c>
      <c r="Y851" s="11">
        <v>0</v>
      </c>
      <c r="Z851" s="11">
        <f ca="1"/>
        <v>40.491228956228952</v>
      </c>
      <c r="AA851" s="11">
        <f ca="1"/>
        <v>20.245614478114476</v>
      </c>
      <c r="AB851" s="4">
        <f ca="1"/>
        <v>45723</v>
      </c>
      <c r="AC851" s="4">
        <v>45723</v>
      </c>
      <c r="AD851" s="9">
        <v>45730</v>
      </c>
      <c r="AE851" s="9">
        <v>45733</v>
      </c>
      <c r="AF851" s="4" t="str">
        <f t="shared" ref="AF851:AF856" ca="1" si="37">_xlfn.CONCAT(PROPER(TEXT(AB851,"aaaa"))," ",PROPER(TEXT(AB851,"mm")))</f>
        <v>2025 03</v>
      </c>
      <c r="AG851" s="8" t="str" cm="1">
        <f t="array" ref="AG851">IFERROR(_xlfn.IFS('Banco de Dados'!#REF!="AG. COMPRA","Em processamento",'Banco de Dados'!#REF!="AG. RASTREIO","Em processamento",'Banco de Dados'!$AE851&lt;&gt;"-","Faturado",'Banco de Dados'!$AD851&lt;&gt;"-","Aguardando Pix",'Banco de Dados'!$AC851&lt;&gt;"-","Pendente"),"Aguardando Liberação")</f>
        <v>Aguardando Liberação</v>
      </c>
      <c r="AH851" s="5" t="str">
        <f>IF('Banco de Dados'!$F851="-",_xlfn.CONCAT(PROPER(TEXT(AK851,"aaaa"))," ",PROPER(TEXT(AK851,"mm"))),_xlfn.CONCAT(PROPER(TEXT(E851,"aaaa"))," ",PROPER(TEXT(E851,"mm"))))</f>
        <v>2025 01</v>
      </c>
      <c r="AI851" s="9" t="str">
        <f ca="1">IF('Banco de Dados'!$AK851&lt;&gt;"-","REEMBOLSO",IFERROR(_xlfn.XLOOKUP(G851,Follow[CODRASTREIO],Follow[STATUS]),"-"))</f>
        <v>ENTREGUE</v>
      </c>
      <c r="AJ851" s="9">
        <f ca="1">IF('Banco de Dados'!$AI851="ENTREGUE",_xlfn.XLOOKUP('Banco de Dados'!$G851,Follow[CODRASTREIO],Follow[DATAATUALIZAÇÃO]),"-")</f>
        <v>45709</v>
      </c>
      <c r="AK851" s="132" t="str">
        <f ca="1"/>
        <v>-</v>
      </c>
      <c r="AL851" s="35"/>
      <c r="AM851" s="109" cm="1">
        <f t="array" aca="1" ref="AM851" ca="1">IF('Banco de Dados'!$AK851&lt;&gt;"-",_xlfn.IFS('Banco de Dados'!$A851="bv",IF('Banco de Dados'!$E851&lt;45641,ROUND(SUM('Banco de Dados'!$R851*_xlfn.XLOOKUP('Banco de Dados'!$P851,Sku!B:B,Sku!#REF!)*20%),2),ROUND(SUM('Banco de Dados'!$R851*_xlfn.XLOOKUP('Banco de Dados'!$P851,Sku!B:B,Sku!H:H)*20%),2)),'Banco de Dados'!$A851="GO",ROUND(_xlfn.XLOOKUP('Banco de Dados'!$P851,Sku!C:C,Sku!H:H),2),'Banco de Dados'!$A851="MEI",ROUND(_xlfn.XLOOKUP('Banco de Dados'!$P851,Sku!D:D,Sku!H:H),2)),0)</f>
        <v>0</v>
      </c>
      <c r="AN851" s="109">
        <f ca="1">IF('Banco de Dados'!$AK851&lt;&gt;"-",IF('Banco de Dados'!$F851&lt;&gt;"-",_xlfn.XLOOKUP(IFERROR(IFERROR(IFERROR(VALUE(SUBSTITUTE(MID(_xlfn.TEXTAFTER('Banco de Dados'!$F851,"Data do Pedido:
",1),1,10),"-","/")),VALUE(SUBSTITUTE(MID(_xlfn.TEXTAFTER('Banco de Dados'!$F851,"Order date:
",1),1,10),"-","/"))),VALUE(SUBSTITUTE(MID(_xlfn.TEXTAFTER('Banco de Dados'!$F851,"Fecha de pedido:
",1),1,10),"-","/"))),"-"),SMS!A:A,SMS!K:K),0),0)</f>
        <v>0</v>
      </c>
      <c r="AO851" s="109">
        <f ca="1">IF('Banco de Dados'!$AK851&lt;&gt;"-",IF('Banco de Dados'!$F851&lt;&gt;"-",IFERROR(_xlfn.XLOOKUP(_xlfn.CONCAT('Banco de Dados'!$A851,IFERROR(IFERROR(VALUE(SUBSTITUTE(MID(_xlfn.TEXTAFTER('Banco de Dados'!$F851,"Data do Pedido:
",1),1,10),"-","/")),VALUE(SUBSTITUTE(MID(_xlfn.TEXTAFTER('Banco de Dados'!$F851,"Order date:
",1),1,10),"-","/"))),0)),ProxyDD[Chave],ProxyDD[Valor por pedido]),PROXY!$P$2),0),0)</f>
        <v>0</v>
      </c>
      <c r="AP851" s="28">
        <f ca="1">IF('Banco de Dados'!$AK851&lt;&gt;"-",IF('Banco de Dados'!$AL851="NÃO",IFERROR(VALUE(SUBSTITUTE(_xlfn.TEXTAFTER('Banco de Dados'!$F851,"BRL ",1),".",",")),0),0),0)</f>
        <v>0</v>
      </c>
      <c r="AQ851" s="28">
        <f ca="1">SUM('Banco de Dados'!$AM851:$AP851)</f>
        <v>0</v>
      </c>
      <c r="AR851" s="8"/>
      <c r="AS851" s="8"/>
      <c r="AT851"/>
      <c r="AY851" s="8"/>
    </row>
    <row r="852" spans="1:51">
      <c r="A852" s="5" t="str">
        <v>BV</v>
      </c>
      <c r="B852" s="5" t="str">
        <f ca="1"/>
        <v>BV45686</v>
      </c>
      <c r="C852" s="8" t="str">
        <v>Pedido 839</v>
      </c>
      <c r="D852" s="9">
        <v>45686</v>
      </c>
      <c r="E852" s="9">
        <v>45686</v>
      </c>
      <c r="F852" s="8" t="str">
        <v>PedidoF818</v>
      </c>
      <c r="G852" s="2" t="str">
        <v>CódRastreio816</v>
      </c>
      <c r="H852" s="5">
        <v>1</v>
      </c>
      <c r="I852" s="182" t="str">
        <v>CPF 815</v>
      </c>
      <c r="J852" s="2" t="str">
        <v>Nome 815</v>
      </c>
      <c r="K852" s="8" t="str">
        <v>Tel 815</v>
      </c>
      <c r="L852" s="8" t="str">
        <v>Cep 815</v>
      </c>
      <c r="M852" s="8" t="str">
        <v>Rua 815</v>
      </c>
      <c r="N852" s="8" t="str">
        <v>Comp 815</v>
      </c>
      <c r="O852" s="8" t="str">
        <v>Ventilador Preto</v>
      </c>
      <c r="P852" s="8" t="str">
        <v>MU-J80P-95WF</v>
      </c>
      <c r="Q852" s="4">
        <v>45713</v>
      </c>
      <c r="R852" s="109">
        <v>65.989999999999995</v>
      </c>
      <c r="S852" s="11">
        <f ca="1"/>
        <v>65.989999999999995</v>
      </c>
      <c r="T852" s="28">
        <f ca="1"/>
        <v>8.5786999999999995</v>
      </c>
      <c r="U852" s="11">
        <f ca="1"/>
        <v>57.41</v>
      </c>
      <c r="V852" s="11">
        <v>10.17</v>
      </c>
      <c r="W852" s="11">
        <f ca="1"/>
        <v>0.2</v>
      </c>
      <c r="X852" s="11">
        <f ca="1"/>
        <v>0.39877104377104378</v>
      </c>
      <c r="Y852" s="11">
        <v>0</v>
      </c>
      <c r="Z852" s="11">
        <f ca="1"/>
        <v>46.641228956228957</v>
      </c>
      <c r="AA852" s="11">
        <f ca="1"/>
        <v>23.320614478114479</v>
      </c>
      <c r="AB852" s="4">
        <f ca="1"/>
        <v>45720</v>
      </c>
      <c r="AC852" s="4">
        <v>45720</v>
      </c>
      <c r="AD852" s="9">
        <v>45730</v>
      </c>
      <c r="AE852" s="9">
        <v>45733</v>
      </c>
      <c r="AF852" s="4" t="str">
        <f t="shared" ca="1" si="37"/>
        <v>2025 03</v>
      </c>
      <c r="AG852" s="8" t="str" cm="1">
        <f t="array" ref="AG852">IFERROR(_xlfn.IFS('Banco de Dados'!#REF!="AG. COMPRA","Em processamento",'Banco de Dados'!#REF!="AG. RASTREIO","Em processamento",'Banco de Dados'!$AE852&lt;&gt;"-","Faturado",'Banco de Dados'!$AD852&lt;&gt;"-","Aguardando Pix",'Banco de Dados'!$AC852&lt;&gt;"-","Pendente"),"Aguardando Liberação")</f>
        <v>Aguardando Liberação</v>
      </c>
      <c r="AH852" s="5" t="str">
        <f>IF('Banco de Dados'!$F852="-",_xlfn.CONCAT(PROPER(TEXT(AK852,"aaaa"))," ",PROPER(TEXT(AK852,"mm"))),_xlfn.CONCAT(PROPER(TEXT(E852,"aaaa"))," ",PROPER(TEXT(E852,"mm"))))</f>
        <v>2025 01</v>
      </c>
      <c r="AI852" s="9" t="str">
        <f ca="1">IF('Banco de Dados'!$AK852&lt;&gt;"-","REEMBOLSO",IFERROR(_xlfn.XLOOKUP(G852,Follow[CODRASTREIO],Follow[STATUS]),"-"))</f>
        <v>ENTREGUE</v>
      </c>
      <c r="AJ852" s="9">
        <f ca="1">IF('Banco de Dados'!$AI852="ENTREGUE",_xlfn.XLOOKUP('Banco de Dados'!$G852,Follow[CODRASTREIO],Follow[DATAATUALIZAÇÃO]),"-")</f>
        <v>45701</v>
      </c>
      <c r="AK852" s="132" t="str">
        <f ca="1"/>
        <v>-</v>
      </c>
      <c r="AL852" s="35"/>
      <c r="AM852" s="109" cm="1">
        <f t="array" aca="1" ref="AM852" ca="1">IF('Banco de Dados'!$AK852&lt;&gt;"-",_xlfn.IFS('Banco de Dados'!$A852="bv",IF('Banco de Dados'!$E852&lt;45641,ROUND(SUM('Banco de Dados'!$R852*_xlfn.XLOOKUP('Banco de Dados'!$P852,Sku!B:B,Sku!#REF!)*20%),2),ROUND(SUM('Banco de Dados'!$R852*_xlfn.XLOOKUP('Banco de Dados'!$P852,Sku!B:B,Sku!H:H)*20%),2)),'Banco de Dados'!$A852="GO",ROUND(_xlfn.XLOOKUP('Banco de Dados'!$P852,Sku!C:C,Sku!H:H),2),'Banco de Dados'!$A852="MEI",ROUND(_xlfn.XLOOKUP('Banco de Dados'!$P852,Sku!D:D,Sku!H:H),2)),0)</f>
        <v>0</v>
      </c>
      <c r="AN852" s="109">
        <f ca="1">IF('Banco de Dados'!$AK852&lt;&gt;"-",IF('Banco de Dados'!$F852&lt;&gt;"-",_xlfn.XLOOKUP(IFERROR(IFERROR(IFERROR(VALUE(SUBSTITUTE(MID(_xlfn.TEXTAFTER('Banco de Dados'!$F852,"Data do Pedido:
",1),1,10),"-","/")),VALUE(SUBSTITUTE(MID(_xlfn.TEXTAFTER('Banco de Dados'!$F852,"Order date:
",1),1,10),"-","/"))),VALUE(SUBSTITUTE(MID(_xlfn.TEXTAFTER('Banco de Dados'!$F852,"Fecha de pedido:
",1),1,10),"-","/"))),"-"),SMS!A:A,SMS!K:K),0),0)</f>
        <v>0</v>
      </c>
      <c r="AO852" s="109">
        <f ca="1">IF('Banco de Dados'!$AK852&lt;&gt;"-",IF('Banco de Dados'!$F852&lt;&gt;"-",IFERROR(_xlfn.XLOOKUP(_xlfn.CONCAT('Banco de Dados'!$A852,IFERROR(IFERROR(VALUE(SUBSTITUTE(MID(_xlfn.TEXTAFTER('Banco de Dados'!$F852,"Data do Pedido:
",1),1,10),"-","/")),VALUE(SUBSTITUTE(MID(_xlfn.TEXTAFTER('Banco de Dados'!$F852,"Order date:
",1),1,10),"-","/"))),0)),ProxyDD[Chave],ProxyDD[Valor por pedido]),PROXY!$P$2),0),0)</f>
        <v>0</v>
      </c>
      <c r="AP852" s="28">
        <f ca="1">IF('Banco de Dados'!$AK852&lt;&gt;"-",IF('Banco de Dados'!$AL852="NÃO",IFERROR(VALUE(SUBSTITUTE(_xlfn.TEXTAFTER('Banco de Dados'!$F852,"BRL ",1),".",",")),0),0),0)</f>
        <v>0</v>
      </c>
      <c r="AQ852" s="28">
        <f ca="1">SUM('Banco de Dados'!$AM852:$AP852)</f>
        <v>0</v>
      </c>
      <c r="AR852" s="8"/>
      <c r="AS852" s="8"/>
      <c r="AT852"/>
      <c r="AY852" s="8"/>
    </row>
    <row r="853" spans="1:51">
      <c r="A853" s="5" t="str">
        <v>BV</v>
      </c>
      <c r="B853" s="5" t="str">
        <f ca="1"/>
        <v>BV45686</v>
      </c>
      <c r="C853" s="8" t="str">
        <v>Pedido 840</v>
      </c>
      <c r="D853" s="9">
        <v>45686</v>
      </c>
      <c r="E853" s="9">
        <v>45686</v>
      </c>
      <c r="F853" s="8" t="str">
        <v>PedidoF819</v>
      </c>
      <c r="G853" s="2" t="str">
        <v>CódRastreio817</v>
      </c>
      <c r="H853" s="5">
        <v>1</v>
      </c>
      <c r="I853" s="182" t="str">
        <v>CPF 816</v>
      </c>
      <c r="J853" s="2" t="str">
        <v>Nome 816</v>
      </c>
      <c r="K853" s="8" t="str">
        <v>Tel 816</v>
      </c>
      <c r="L853" s="8" t="str">
        <v>Cep 816</v>
      </c>
      <c r="M853" s="8" t="str">
        <v>Rua 816</v>
      </c>
      <c r="N853" s="8" t="str">
        <v>Comp 816</v>
      </c>
      <c r="O853" s="8" t="str">
        <v>Ventilador de teto</v>
      </c>
      <c r="P853" s="8" t="str">
        <v>BP-NHG2-B8C1</v>
      </c>
      <c r="Q853" s="4">
        <v>45707</v>
      </c>
      <c r="R853" s="109">
        <v>75.989999999999995</v>
      </c>
      <c r="S853" s="11">
        <f ca="1"/>
        <v>0</v>
      </c>
      <c r="T853" s="28">
        <f ca="1"/>
        <v>0</v>
      </c>
      <c r="U853" s="11">
        <f ca="1"/>
        <v>0</v>
      </c>
      <c r="V853" s="11">
        <v>0</v>
      </c>
      <c r="W853" s="11">
        <f ca="1"/>
        <v>0</v>
      </c>
      <c r="X853" s="11">
        <f ca="1"/>
        <v>0.39877104377104378</v>
      </c>
      <c r="Y853" s="11">
        <v>0</v>
      </c>
      <c r="Z853" s="11">
        <f ca="1"/>
        <v>-0.39877104377104378</v>
      </c>
      <c r="AA853" s="11">
        <f ca="1"/>
        <v>-0.19938552188552189</v>
      </c>
      <c r="AB853" s="4">
        <f ca="1"/>
        <v>45714</v>
      </c>
      <c r="AC853" s="4">
        <v>45714</v>
      </c>
      <c r="AD853" s="9">
        <v>45721</v>
      </c>
      <c r="AE853" s="9">
        <v>45721</v>
      </c>
      <c r="AF853" s="4" t="str">
        <f t="shared" ca="1" si="37"/>
        <v>2025 02</v>
      </c>
      <c r="AG853" s="8" t="str" cm="1">
        <f t="array" ref="AG853">IFERROR(_xlfn.IFS('Banco de Dados'!#REF!="AG. COMPRA","Em processamento",'Banco de Dados'!#REF!="AG. RASTREIO","Em processamento",'Banco de Dados'!$AE853&lt;&gt;"-","Faturado",'Banco de Dados'!$AD853&lt;&gt;"-","Aguardando Pix",'Banco de Dados'!$AC853&lt;&gt;"-","Pendente"),"Aguardando Liberação")</f>
        <v>Aguardando Liberação</v>
      </c>
      <c r="AH853" s="5" t="str">
        <f>IF('Banco de Dados'!$F853="-",_xlfn.CONCAT(PROPER(TEXT(AK853,"aaaa"))," ",PROPER(TEXT(AK853,"mm"))),_xlfn.CONCAT(PROPER(TEXT(E853,"aaaa"))," ",PROPER(TEXT(E853,"mm"))))</f>
        <v>2025 01</v>
      </c>
      <c r="AI853" s="9" t="str">
        <f ca="1">IF('Banco de Dados'!$AK853&lt;&gt;"-","REEMBOLSO",IFERROR(_xlfn.XLOOKUP(G853,Follow[CODRASTREIO],Follow[STATUS]),"-"))</f>
        <v>REEMBOLSO</v>
      </c>
      <c r="AJ853" s="9" t="str">
        <f ca="1">IF('Banco de Dados'!$AI853="ENTREGUE",_xlfn.XLOOKUP('Banco de Dados'!$G853,Follow[CODRASTREIO],Follow[DATAATUALIZAÇÃO]),"-")</f>
        <v>-</v>
      </c>
      <c r="AK853" s="132">
        <f ca="1"/>
        <v>45706</v>
      </c>
      <c r="AL853" s="35"/>
      <c r="AM853" s="109">
        <v>1.82</v>
      </c>
      <c r="AN853" s="109" t="e">
        <f ca="1">IF('Banco de Dados'!$AK853&lt;&gt;"-",IF('Banco de Dados'!$F853&lt;&gt;"-",_xlfn.XLOOKUP(IFERROR(IFERROR(IFERROR(VALUE(SUBSTITUTE(MID(_xlfn.TEXTAFTER('Banco de Dados'!$F853,"Data do Pedido:
",1),1,10),"-","/")),VALUE(SUBSTITUTE(MID(_xlfn.TEXTAFTER('Banco de Dados'!$F853,"Order date:
",1),1,10),"-","/"))),VALUE(SUBSTITUTE(MID(_xlfn.TEXTAFTER('Banco de Dados'!$F853,"Fecha de pedido:
",1),1,10),"-","/"))),"-"),SMS!A:A,SMS!K:K),0),0)</f>
        <v>#N/A</v>
      </c>
      <c r="AO853" s="109">
        <f ca="1">IF('Banco de Dados'!$AK853&lt;&gt;"-",IF('Banco de Dados'!$F853&lt;&gt;"-",IFERROR(_xlfn.XLOOKUP(_xlfn.CONCAT('Banco de Dados'!$A853,IFERROR(IFERROR(VALUE(SUBSTITUTE(MID(_xlfn.TEXTAFTER('Banco de Dados'!$F853,"Data do Pedido:
",1),1,10),"-","/")),VALUE(SUBSTITUTE(MID(_xlfn.TEXTAFTER('Banco de Dados'!$F853,"Order date:
",1),1,10),"-","/"))),0)),ProxyDD[Chave],ProxyDD[Valor por pedido]),PROXY!$P$2),0),0)</f>
        <v>0.39877104377104378</v>
      </c>
      <c r="AP853" s="28">
        <f ca="1">IF('Banco de Dados'!$AK853&lt;&gt;"-",IF('Banco de Dados'!$AL853="NÃO",IFERROR(VALUE(SUBSTITUTE(_xlfn.TEXTAFTER('Banco de Dados'!$F853,"BRL ",1),".",",")),0),0),0)</f>
        <v>0</v>
      </c>
      <c r="AQ853" s="28" t="e">
        <f ca="1">SUM('Banco de Dados'!$AM853:$AP853)</f>
        <v>#N/A</v>
      </c>
      <c r="AR853" s="8"/>
      <c r="AS853" s="8"/>
      <c r="AT853"/>
      <c r="AY853" s="8"/>
    </row>
    <row r="854" spans="1:51">
      <c r="A854" s="5" t="str">
        <v>BV</v>
      </c>
      <c r="B854" s="5" t="str">
        <f ca="1"/>
        <v>BV45688</v>
      </c>
      <c r="C854" s="8" t="str">
        <v>Pedido 841</v>
      </c>
      <c r="D854" s="9">
        <v>45687</v>
      </c>
      <c r="E854" s="9">
        <v>45688</v>
      </c>
      <c r="F854" s="8" t="str">
        <v>PedidoF820</v>
      </c>
      <c r="G854" s="2" t="str">
        <v>CódRastreio818</v>
      </c>
      <c r="H854" s="5">
        <v>1</v>
      </c>
      <c r="I854" s="182" t="str">
        <v>CPF 817</v>
      </c>
      <c r="J854" s="2" t="str">
        <v>Nome 817</v>
      </c>
      <c r="K854" s="8" t="str">
        <v>Tel 817</v>
      </c>
      <c r="L854" s="8" t="str">
        <v>Cep 817</v>
      </c>
      <c r="M854" s="8" t="str">
        <v>Rua 817</v>
      </c>
      <c r="N854" s="8" t="str">
        <v>Comp 817</v>
      </c>
      <c r="O854" s="8" t="str">
        <v>Ventilador Preto</v>
      </c>
      <c r="P854" s="8" t="str">
        <v>MU-J80P-95WF</v>
      </c>
      <c r="Q854" s="4">
        <v>45708</v>
      </c>
      <c r="R854" s="109">
        <v>65.989999999999995</v>
      </c>
      <c r="S854" s="11">
        <f ca="1"/>
        <v>65.989999999999995</v>
      </c>
      <c r="T854" s="28">
        <f ca="1"/>
        <v>8.5786999999999995</v>
      </c>
      <c r="U854" s="11">
        <f ca="1"/>
        <v>57.41</v>
      </c>
      <c r="V854" s="11">
        <v>10.18</v>
      </c>
      <c r="W854" s="11">
        <f ca="1"/>
        <v>0.27</v>
      </c>
      <c r="X854" s="11">
        <f ca="1"/>
        <v>0.39877104377104378</v>
      </c>
      <c r="Y854" s="11">
        <v>0</v>
      </c>
      <c r="Z854" s="11">
        <f ca="1"/>
        <v>46.561228956228952</v>
      </c>
      <c r="AA854" s="11">
        <f ca="1"/>
        <v>23.280614478114476</v>
      </c>
      <c r="AB854" s="4">
        <f ca="1"/>
        <v>45715</v>
      </c>
      <c r="AC854" s="4">
        <v>45715</v>
      </c>
      <c r="AD854" s="9">
        <v>45721</v>
      </c>
      <c r="AE854" s="9">
        <v>45721</v>
      </c>
      <c r="AF854" s="4" t="str">
        <f t="shared" ca="1" si="37"/>
        <v>2025 02</v>
      </c>
      <c r="AG854" s="8" t="str" cm="1">
        <f t="array" ref="AG854">IFERROR(_xlfn.IFS('Banco de Dados'!#REF!="AG. COMPRA","Em processamento",'Banco de Dados'!#REF!="AG. RASTREIO","Em processamento",'Banco de Dados'!$AE854&lt;&gt;"-","Faturado",'Banco de Dados'!$AD854&lt;&gt;"-","Aguardando Pix",'Banco de Dados'!$AC854&lt;&gt;"-","Pendente"),"Aguardando Liberação")</f>
        <v>Aguardando Liberação</v>
      </c>
      <c r="AH854" s="5" t="str">
        <f>IF('Banco de Dados'!$F854="-",_xlfn.CONCAT(PROPER(TEXT(AK854,"aaaa"))," ",PROPER(TEXT(AK854,"mm"))),_xlfn.CONCAT(PROPER(TEXT(E854,"aaaa"))," ",PROPER(TEXT(E854,"mm"))))</f>
        <v>2025 01</v>
      </c>
      <c r="AI854" s="9" t="str">
        <f ca="1">IF('Banco de Dados'!$AK854&lt;&gt;"-","REEMBOLSO",IFERROR(_xlfn.XLOOKUP(G854,Follow[CODRASTREIO],Follow[STATUS]),"-"))</f>
        <v>ENTREGUE</v>
      </c>
      <c r="AJ854" s="9">
        <f ca="1">IF('Banco de Dados'!$AI854="ENTREGUE",_xlfn.XLOOKUP('Banco de Dados'!$G854,Follow[CODRASTREIO],Follow[DATAATUALIZAÇÃO]),"-")</f>
        <v>45699</v>
      </c>
      <c r="AK854" s="132" t="str">
        <f ca="1"/>
        <v>-</v>
      </c>
      <c r="AL854" s="35"/>
      <c r="AM854" s="109" cm="1">
        <f t="array" aca="1" ref="AM854" ca="1">IF('Banco de Dados'!$AK854&lt;&gt;"-",_xlfn.IFS('Banco de Dados'!$A854="bv",IF('Banco de Dados'!$E854&lt;45641,ROUND(SUM('Banco de Dados'!$R854*_xlfn.XLOOKUP('Banco de Dados'!$P854,Sku!B:B,Sku!#REF!)*20%),2),ROUND(SUM('Banco de Dados'!$R854*_xlfn.XLOOKUP('Banco de Dados'!$P854,Sku!B:B,Sku!H:H)*20%),2)),'Banco de Dados'!$A854="GO",ROUND(_xlfn.XLOOKUP('Banco de Dados'!$P854,Sku!C:C,Sku!H:H),2),'Banco de Dados'!$A854="MEI",ROUND(_xlfn.XLOOKUP('Banco de Dados'!$P854,Sku!D:D,Sku!H:H),2)),0)</f>
        <v>0</v>
      </c>
      <c r="AN854" s="109">
        <f ca="1">IF('Banco de Dados'!$AK854&lt;&gt;"-",IF('Banco de Dados'!$F854&lt;&gt;"-",_xlfn.XLOOKUP(IFERROR(IFERROR(IFERROR(VALUE(SUBSTITUTE(MID(_xlfn.TEXTAFTER('Banco de Dados'!$F854,"Data do Pedido:
",1),1,10),"-","/")),VALUE(SUBSTITUTE(MID(_xlfn.TEXTAFTER('Banco de Dados'!$F854,"Order date:
",1),1,10),"-","/"))),VALUE(SUBSTITUTE(MID(_xlfn.TEXTAFTER('Banco de Dados'!$F854,"Fecha de pedido:
",1),1,10),"-","/"))),"-"),SMS!A:A,SMS!K:K),0),0)</f>
        <v>0</v>
      </c>
      <c r="AO854" s="109">
        <f ca="1">IF('Banco de Dados'!$AK854&lt;&gt;"-",IF('Banco de Dados'!$F854&lt;&gt;"-",IFERROR(_xlfn.XLOOKUP(_xlfn.CONCAT('Banco de Dados'!$A854,IFERROR(IFERROR(VALUE(SUBSTITUTE(MID(_xlfn.TEXTAFTER('Banco de Dados'!$F854,"Data do Pedido:
",1),1,10),"-","/")),VALUE(SUBSTITUTE(MID(_xlfn.TEXTAFTER('Banco de Dados'!$F854,"Order date:
",1),1,10),"-","/"))),0)),ProxyDD[Chave],ProxyDD[Valor por pedido]),PROXY!$P$2),0),0)</f>
        <v>0</v>
      </c>
      <c r="AP854" s="28">
        <f ca="1">IF('Banco de Dados'!$AK854&lt;&gt;"-",IF('Banco de Dados'!$AL854="NÃO",IFERROR(VALUE(SUBSTITUTE(_xlfn.TEXTAFTER('Banco de Dados'!$F854,"BRL ",1),".",",")),0),0),0)</f>
        <v>0</v>
      </c>
      <c r="AQ854" s="28">
        <f ca="1">SUM('Banco de Dados'!$AM854:$AP854)</f>
        <v>0</v>
      </c>
      <c r="AR854" s="8"/>
      <c r="AS854" s="8"/>
      <c r="AT854"/>
      <c r="AY854" s="8"/>
    </row>
    <row r="855" spans="1:51">
      <c r="A855" s="5" t="str">
        <v>BV</v>
      </c>
      <c r="B855" s="5" t="str">
        <f ca="1"/>
        <v>BV45688</v>
      </c>
      <c r="C855" s="8" t="str">
        <v>Pedido 842</v>
      </c>
      <c r="D855" s="9">
        <v>45687</v>
      </c>
      <c r="E855" s="9">
        <v>45688</v>
      </c>
      <c r="F855" s="8" t="str">
        <v>PedidoF821</v>
      </c>
      <c r="G855" s="2" t="str">
        <v>CódRastreio819</v>
      </c>
      <c r="H855" s="5">
        <v>1</v>
      </c>
      <c r="I855" s="182" t="str">
        <v>CPF 818</v>
      </c>
      <c r="J855" s="2" t="str">
        <v>Nome 818</v>
      </c>
      <c r="K855" s="8" t="str">
        <v>Tel 818</v>
      </c>
      <c r="L855" s="8" t="str">
        <v>Cep 818</v>
      </c>
      <c r="M855" s="8" t="str">
        <v>Rua 818</v>
      </c>
      <c r="N855" s="8" t="str">
        <v>Comp 818</v>
      </c>
      <c r="O855" s="8" t="str">
        <v>Mini Liquidificador</v>
      </c>
      <c r="P855" s="8" t="str">
        <v>CK-YL6M-P5Y6</v>
      </c>
      <c r="Q855" s="4">
        <v>45706</v>
      </c>
      <c r="R855" s="109">
        <v>32.99</v>
      </c>
      <c r="S855" s="11">
        <f ca="1"/>
        <v>32.99</v>
      </c>
      <c r="T855" s="28">
        <f ca="1"/>
        <v>4.6186000000000007</v>
      </c>
      <c r="U855" s="11">
        <f ca="1"/>
        <v>28.37</v>
      </c>
      <c r="V855" s="11">
        <v>14.99</v>
      </c>
      <c r="W855" s="11">
        <f ca="1"/>
        <v>0.27</v>
      </c>
      <c r="X855" s="11">
        <f ca="1"/>
        <v>0.39877104377104378</v>
      </c>
      <c r="Y855" s="11">
        <v>0</v>
      </c>
      <c r="Z855" s="11">
        <f ca="1"/>
        <v>12.711228956228958</v>
      </c>
      <c r="AA855" s="11">
        <f ca="1"/>
        <v>6.3556144781144788</v>
      </c>
      <c r="AB855" s="4">
        <f ca="1"/>
        <v>45713</v>
      </c>
      <c r="AC855" s="4">
        <v>45713</v>
      </c>
      <c r="AD855" s="9">
        <v>45721</v>
      </c>
      <c r="AE855" s="9">
        <v>45721</v>
      </c>
      <c r="AF855" s="4" t="str">
        <f t="shared" ca="1" si="37"/>
        <v>2025 02</v>
      </c>
      <c r="AG855" s="8" t="str" cm="1">
        <f t="array" ref="AG855">IFERROR(_xlfn.IFS('Banco de Dados'!#REF!="AG. COMPRA","Em processamento",'Banco de Dados'!#REF!="AG. RASTREIO","Em processamento",'Banco de Dados'!$AE855&lt;&gt;"-","Faturado",'Banco de Dados'!$AD855&lt;&gt;"-","Aguardando Pix",'Banco de Dados'!$AC855&lt;&gt;"-","Pendente"),"Aguardando Liberação")</f>
        <v>Aguardando Liberação</v>
      </c>
      <c r="AH855" s="5" t="str">
        <f>IF('Banco de Dados'!$F855="-",_xlfn.CONCAT(PROPER(TEXT(AK855,"aaaa"))," ",PROPER(TEXT(AK855,"mm"))),_xlfn.CONCAT(PROPER(TEXT(E855,"aaaa"))," ",PROPER(TEXT(E855,"mm"))))</f>
        <v>2025 01</v>
      </c>
      <c r="AI855" s="9" t="str">
        <f ca="1">IF('Banco de Dados'!$AK855&lt;&gt;"-","REEMBOLSO",IFERROR(_xlfn.XLOOKUP(G855,Follow[CODRASTREIO],Follow[STATUS]),"-"))</f>
        <v>ENTREGUE</v>
      </c>
      <c r="AJ855" s="9">
        <f ca="1">IF('Banco de Dados'!$AI855="ENTREGUE",_xlfn.XLOOKUP('Banco de Dados'!$G855,Follow[CODRASTREIO],Follow[DATAATUALIZAÇÃO]),"-")</f>
        <v>45694</v>
      </c>
      <c r="AK855" s="132" t="str">
        <f ca="1"/>
        <v>-</v>
      </c>
      <c r="AL855" s="35"/>
      <c r="AM855" s="109" cm="1">
        <f t="array" aca="1" ref="AM855" ca="1">IF('Banco de Dados'!$AK855&lt;&gt;"-",_xlfn.IFS('Banco de Dados'!$A855="bv",IF('Banco de Dados'!$E855&lt;45641,ROUND(SUM('Banco de Dados'!$R855*_xlfn.XLOOKUP('Banco de Dados'!$P855,Sku!B:B,Sku!#REF!)*20%),2),ROUND(SUM('Banco de Dados'!$R855*_xlfn.XLOOKUP('Banco de Dados'!$P855,Sku!B:B,Sku!H:H)*20%),2)),'Banco de Dados'!$A855="GO",ROUND(_xlfn.XLOOKUP('Banco de Dados'!$P855,Sku!C:C,Sku!H:H),2),'Banco de Dados'!$A855="MEI",ROUND(_xlfn.XLOOKUP('Banco de Dados'!$P855,Sku!D:D,Sku!H:H),2)),0)</f>
        <v>0</v>
      </c>
      <c r="AN855" s="109">
        <f ca="1">IF('Banco de Dados'!$AK855&lt;&gt;"-",IF('Banco de Dados'!$F855&lt;&gt;"-",_xlfn.XLOOKUP(IFERROR(IFERROR(IFERROR(VALUE(SUBSTITUTE(MID(_xlfn.TEXTAFTER('Banco de Dados'!$F855,"Data do Pedido:
",1),1,10),"-","/")),VALUE(SUBSTITUTE(MID(_xlfn.TEXTAFTER('Banco de Dados'!$F855,"Order date:
",1),1,10),"-","/"))),VALUE(SUBSTITUTE(MID(_xlfn.TEXTAFTER('Banco de Dados'!$F855,"Fecha de pedido:
",1),1,10),"-","/"))),"-"),SMS!A:A,SMS!K:K),0),0)</f>
        <v>0</v>
      </c>
      <c r="AO855" s="109">
        <f ca="1">IF('Banco de Dados'!$AK855&lt;&gt;"-",IF('Banco de Dados'!$F855&lt;&gt;"-",IFERROR(_xlfn.XLOOKUP(_xlfn.CONCAT('Banco de Dados'!$A855,IFERROR(IFERROR(VALUE(SUBSTITUTE(MID(_xlfn.TEXTAFTER('Banco de Dados'!$F855,"Data do Pedido:
",1),1,10),"-","/")),VALUE(SUBSTITUTE(MID(_xlfn.TEXTAFTER('Banco de Dados'!$F855,"Order date:
",1),1,10),"-","/"))),0)),ProxyDD[Chave],ProxyDD[Valor por pedido]),PROXY!$P$2),0),0)</f>
        <v>0</v>
      </c>
      <c r="AP855" s="28">
        <f ca="1">IF('Banco de Dados'!$AK855&lt;&gt;"-",IF('Banco de Dados'!$AL855="NÃO",IFERROR(VALUE(SUBSTITUTE(_xlfn.TEXTAFTER('Banco de Dados'!$F855,"BRL ",1),".",",")),0),0),0)</f>
        <v>0</v>
      </c>
      <c r="AQ855" s="28">
        <f ca="1">SUM('Banco de Dados'!$AM855:$AP855)</f>
        <v>0</v>
      </c>
      <c r="AR855" s="8"/>
      <c r="AS855" s="8"/>
      <c r="AT855"/>
      <c r="AY855" s="8"/>
    </row>
    <row r="856" spans="1:51">
      <c r="A856" s="5" t="str">
        <v>BV</v>
      </c>
      <c r="B856" s="5" t="str">
        <f ca="1"/>
        <v>BV45688</v>
      </c>
      <c r="C856" s="8" t="str">
        <v>Pedido 843</v>
      </c>
      <c r="D856" s="9">
        <v>45688</v>
      </c>
      <c r="E856" s="9">
        <v>45688</v>
      </c>
      <c r="F856" s="8" t="str">
        <v>PedidoF822</v>
      </c>
      <c r="G856" s="2" t="str">
        <v>CódRastreio820</v>
      </c>
      <c r="H856" s="5">
        <v>1</v>
      </c>
      <c r="I856" s="182" t="str">
        <v>CPF 819</v>
      </c>
      <c r="J856" s="2" t="str">
        <v>Nome 819</v>
      </c>
      <c r="K856" s="8" t="str">
        <v>Tel 819</v>
      </c>
      <c r="L856" s="8" t="str">
        <v>Cep 819</v>
      </c>
      <c r="M856" s="8" t="str">
        <v>Rua 819</v>
      </c>
      <c r="N856" s="8" t="str">
        <v>Comp 819</v>
      </c>
      <c r="O856" s="8" t="str">
        <v>Mini Liquidificador</v>
      </c>
      <c r="P856" s="8" t="str">
        <v>CK-YL6M-P5Y6</v>
      </c>
      <c r="Q856" s="4">
        <v>45703</v>
      </c>
      <c r="R856" s="109">
        <v>32.99</v>
      </c>
      <c r="S856" s="11">
        <f ca="1"/>
        <v>32.99</v>
      </c>
      <c r="T856" s="28">
        <f ca="1"/>
        <v>4.6186000000000007</v>
      </c>
      <c r="U856" s="11">
        <f ca="1"/>
        <v>28.37</v>
      </c>
      <c r="V856" s="11">
        <v>14.99</v>
      </c>
      <c r="W856" s="11">
        <f ca="1"/>
        <v>0.27</v>
      </c>
      <c r="X856" s="11">
        <f ca="1"/>
        <v>0.39877104377104378</v>
      </c>
      <c r="Y856" s="11">
        <v>0</v>
      </c>
      <c r="Z856" s="11">
        <f ca="1"/>
        <v>12.711228956228958</v>
      </c>
      <c r="AA856" s="11">
        <f ca="1"/>
        <v>6.3556144781144788</v>
      </c>
      <c r="AB856" s="4">
        <f ca="1"/>
        <v>45710</v>
      </c>
      <c r="AC856" s="4">
        <v>45710</v>
      </c>
      <c r="AD856" s="9">
        <v>45721</v>
      </c>
      <c r="AE856" s="9">
        <v>45721</v>
      </c>
      <c r="AF856" s="4" t="str">
        <f t="shared" ca="1" si="37"/>
        <v>2025 02</v>
      </c>
      <c r="AG856" s="8" t="str" cm="1">
        <f t="array" ref="AG856">IFERROR(_xlfn.IFS('Banco de Dados'!#REF!="AG. COMPRA","Em processamento",'Banco de Dados'!#REF!="AG. RASTREIO","Em processamento",'Banco de Dados'!$AE856&lt;&gt;"-","Faturado",'Banco de Dados'!$AD856&lt;&gt;"-","Aguardando Pix",'Banco de Dados'!$AC856&lt;&gt;"-","Pendente"),"Aguardando Liberação")</f>
        <v>Aguardando Liberação</v>
      </c>
      <c r="AH856" s="5" t="str">
        <f>IF('Banco de Dados'!$F856="-",_xlfn.CONCAT(PROPER(TEXT(AK856,"aaaa"))," ",PROPER(TEXT(AK856,"mm"))),_xlfn.CONCAT(PROPER(TEXT(E856,"aaaa"))," ",PROPER(TEXT(E856,"mm"))))</f>
        <v>2025 01</v>
      </c>
      <c r="AI856" s="9" t="str">
        <f ca="1">IF('Banco de Dados'!$AK856&lt;&gt;"-","REEMBOLSO",IFERROR(_xlfn.XLOOKUP(G856,Follow[CODRASTREIO],Follow[STATUS]),"-"))</f>
        <v>ENTREGUE</v>
      </c>
      <c r="AJ856" s="9">
        <f ca="1">IF('Banco de Dados'!$AI856="ENTREGUE",_xlfn.XLOOKUP('Banco de Dados'!$G856,Follow[CODRASTREIO],Follow[DATAATUALIZAÇÃO]),"-")</f>
        <v>45693</v>
      </c>
      <c r="AK856" s="132" t="str">
        <f ca="1"/>
        <v>-</v>
      </c>
      <c r="AL856" s="35"/>
      <c r="AM856" s="109" cm="1">
        <f t="array" aca="1" ref="AM856" ca="1">IF('Banco de Dados'!$AK856&lt;&gt;"-",_xlfn.IFS('Banco de Dados'!$A856="bv",IF('Banco de Dados'!$E856&lt;45641,ROUND(SUM('Banco de Dados'!$R856*_xlfn.XLOOKUP('Banco de Dados'!$P856,Sku!B:B,Sku!#REF!)*20%),2),ROUND(SUM('Banco de Dados'!$R856*_xlfn.XLOOKUP('Banco de Dados'!$P856,Sku!B:B,Sku!H:H)*20%),2)),'Banco de Dados'!$A856="GO",ROUND(_xlfn.XLOOKUP('Banco de Dados'!$P856,Sku!C:C,Sku!H:H),2),'Banco de Dados'!$A856="MEI",ROUND(_xlfn.XLOOKUP('Banco de Dados'!$P856,Sku!D:D,Sku!H:H),2)),0)</f>
        <v>0</v>
      </c>
      <c r="AN856" s="109">
        <f ca="1">IF('Banco de Dados'!$AK856&lt;&gt;"-",IF('Banco de Dados'!$F856&lt;&gt;"-",_xlfn.XLOOKUP(IFERROR(IFERROR(IFERROR(VALUE(SUBSTITUTE(MID(_xlfn.TEXTAFTER('Banco de Dados'!$F856,"Data do Pedido:
",1),1,10),"-","/")),VALUE(SUBSTITUTE(MID(_xlfn.TEXTAFTER('Banco de Dados'!$F856,"Order date:
",1),1,10),"-","/"))),VALUE(SUBSTITUTE(MID(_xlfn.TEXTAFTER('Banco de Dados'!$F856,"Fecha de pedido:
",1),1,10),"-","/"))),"-"),SMS!A:A,SMS!K:K),0),0)</f>
        <v>0</v>
      </c>
      <c r="AO856" s="109">
        <f ca="1">IF('Banco de Dados'!$AK856&lt;&gt;"-",IF('Banco de Dados'!$F856&lt;&gt;"-",IFERROR(_xlfn.XLOOKUP(_xlfn.CONCAT('Banco de Dados'!$A856,IFERROR(IFERROR(VALUE(SUBSTITUTE(MID(_xlfn.TEXTAFTER('Banco de Dados'!$F856,"Data do Pedido:
",1),1,10),"-","/")),VALUE(SUBSTITUTE(MID(_xlfn.TEXTAFTER('Banco de Dados'!$F856,"Order date:
",1),1,10),"-","/"))),0)),ProxyDD[Chave],ProxyDD[Valor por pedido]),PROXY!$P$2),0),0)</f>
        <v>0</v>
      </c>
      <c r="AP856" s="28">
        <f ca="1">IF('Banco de Dados'!$AK856&lt;&gt;"-",IF('Banco de Dados'!$AL856="NÃO",IFERROR(VALUE(SUBSTITUTE(_xlfn.TEXTAFTER('Banco de Dados'!$F856,"BRL ",1),".",",")),0),0),0)</f>
        <v>0</v>
      </c>
      <c r="AQ856" s="28">
        <f ca="1">SUM('Banco de Dados'!$AM856:$AP856)</f>
        <v>0</v>
      </c>
      <c r="AR856" s="8"/>
      <c r="AS856" s="8"/>
      <c r="AT856"/>
      <c r="AY856" s="8"/>
    </row>
    <row r="857" spans="1:51">
      <c r="A857" s="5" t="str">
        <v>BV</v>
      </c>
      <c r="B857" s="5" t="str">
        <f ca="1"/>
        <v>BV45691</v>
      </c>
      <c r="C857" s="8" t="str">
        <v>Pedido 844</v>
      </c>
      <c r="D857" s="9">
        <v>45689</v>
      </c>
      <c r="E857" s="9">
        <v>45691</v>
      </c>
      <c r="F857" s="8" t="str">
        <v>PedidoF823</v>
      </c>
      <c r="G857" s="2" t="str">
        <v>CódRastreio821</v>
      </c>
      <c r="H857" s="5">
        <v>1</v>
      </c>
      <c r="I857" s="182" t="str">
        <v>CPF 820</v>
      </c>
      <c r="J857" s="2" t="str">
        <v>Nome 820</v>
      </c>
      <c r="K857" s="8" t="str">
        <v>Tel 820</v>
      </c>
      <c r="L857" s="8" t="str">
        <v>Cep 820</v>
      </c>
      <c r="M857" s="8" t="str">
        <v>Rua 820</v>
      </c>
      <c r="N857" s="8" t="str">
        <v>Comp 820</v>
      </c>
      <c r="O857" s="8" t="str">
        <v>Suporte de Celular Branco</v>
      </c>
      <c r="P857" s="8" t="str">
        <v>16-4EDB-WMZF</v>
      </c>
      <c r="Q857" s="4">
        <v>45709</v>
      </c>
      <c r="R857" s="109">
        <v>18.899999999999999</v>
      </c>
      <c r="S857" s="11">
        <f ca="1"/>
        <v>18.899999999999999</v>
      </c>
      <c r="T857" s="28">
        <f ca="1"/>
        <v>2.8349999999999995</v>
      </c>
      <c r="U857" s="11">
        <f ca="1"/>
        <v>16.07</v>
      </c>
      <c r="V857" s="11">
        <v>6.99</v>
      </c>
      <c r="W857" s="11">
        <f ca="1"/>
        <v>0.17</v>
      </c>
      <c r="X857" s="11">
        <f ca="1"/>
        <v>0.39877104377104378</v>
      </c>
      <c r="Y857" s="11">
        <v>0</v>
      </c>
      <c r="Z857" s="11">
        <f ca="1"/>
        <v>8.5112289562289565</v>
      </c>
      <c r="AA857" s="11">
        <f ca="1"/>
        <v>4.2556144781144782</v>
      </c>
      <c r="AB857" s="4">
        <f ca="1"/>
        <v>45716</v>
      </c>
      <c r="AC857" s="4">
        <v>45716</v>
      </c>
      <c r="AD857" s="9">
        <v>45721</v>
      </c>
      <c r="AE857" s="9">
        <v>45721</v>
      </c>
      <c r="AF857" s="4" t="str">
        <f t="shared" ref="AF857:AF871" ca="1" si="38">_xlfn.CONCAT(PROPER(TEXT(AB857,"aaaa"))," ",PROPER(TEXT(AB857,"mm")))</f>
        <v>2025 02</v>
      </c>
      <c r="AG857" s="8" t="str" cm="1">
        <f t="array" ref="AG857">IFERROR(_xlfn.IFS('Banco de Dados'!#REF!="AG. COMPRA","Em processamento",'Banco de Dados'!#REF!="AG. RASTREIO","Em processamento",'Banco de Dados'!$AE857&lt;&gt;"-","Faturado",'Banco de Dados'!$AD857&lt;&gt;"-","Aguardando Pix",'Banco de Dados'!$AC857&lt;&gt;"-","Pendente"),"Aguardando Liberação")</f>
        <v>Aguardando Liberação</v>
      </c>
      <c r="AH857" s="5" t="str">
        <f>IF('Banco de Dados'!$F857="-",_xlfn.CONCAT(PROPER(TEXT(AK857,"aaaa"))," ",PROPER(TEXT(AK857,"mm"))),_xlfn.CONCAT(PROPER(TEXT(E857,"aaaa"))," ",PROPER(TEXT(E857,"mm"))))</f>
        <v>2025 02</v>
      </c>
      <c r="AI857" s="9" t="str">
        <f ca="1">IF('Banco de Dados'!$AK857&lt;&gt;"-","REEMBOLSO",IFERROR(_xlfn.XLOOKUP(G857,Follow[CODRASTREIO],Follow[STATUS]),"-"))</f>
        <v>ENTREGUE</v>
      </c>
      <c r="AJ857" s="9">
        <f ca="1">IF('Banco de Dados'!$AI857="ENTREGUE",_xlfn.XLOOKUP('Banco de Dados'!$G857,Follow[CODRASTREIO],Follow[DATAATUALIZAÇÃO]),"-")</f>
        <v>45694</v>
      </c>
      <c r="AK857" s="132" t="str">
        <f ca="1"/>
        <v>-</v>
      </c>
      <c r="AL857" s="35"/>
      <c r="AM857" s="109" cm="1">
        <f t="array" aca="1" ref="AM857" ca="1">IF('Banco de Dados'!$AK857&lt;&gt;"-",_xlfn.IFS('Banco de Dados'!$A857="bv",IF('Banco de Dados'!$E857&lt;45641,ROUND(SUM('Banco de Dados'!$R857*_xlfn.XLOOKUP('Banco de Dados'!$P857,Sku!B:B,Sku!#REF!)*20%),2),ROUND(SUM('Banco de Dados'!$R857*_xlfn.XLOOKUP('Banco de Dados'!$P857,Sku!B:B,Sku!H:H)*20%),2)),'Banco de Dados'!$A857="GO",ROUND(_xlfn.XLOOKUP('Banco de Dados'!$P857,Sku!C:C,Sku!H:H),2),'Banco de Dados'!$A857="MEI",ROUND(_xlfn.XLOOKUP('Banco de Dados'!$P857,Sku!D:D,Sku!H:H),2)),0)</f>
        <v>0</v>
      </c>
      <c r="AN857" s="109">
        <f ca="1">IF('Banco de Dados'!$AK857&lt;&gt;"-",IF('Banco de Dados'!$F857&lt;&gt;"-",_xlfn.XLOOKUP(IFERROR(IFERROR(IFERROR(VALUE(SUBSTITUTE(MID(_xlfn.TEXTAFTER('Banco de Dados'!$F857,"Data do Pedido:
",1),1,10),"-","/")),VALUE(SUBSTITUTE(MID(_xlfn.TEXTAFTER('Banco de Dados'!$F857,"Order date:
",1),1,10),"-","/"))),VALUE(SUBSTITUTE(MID(_xlfn.TEXTAFTER('Banco de Dados'!$F857,"Fecha de pedido:
",1),1,10),"-","/"))),"-"),SMS!A:A,SMS!K:K),0),0)</f>
        <v>0</v>
      </c>
      <c r="AO857" s="109">
        <f ca="1">IF('Banco de Dados'!$AK857&lt;&gt;"-",IF('Banco de Dados'!$F857&lt;&gt;"-",IFERROR(_xlfn.XLOOKUP(_xlfn.CONCAT('Banco de Dados'!$A857,IFERROR(IFERROR(VALUE(SUBSTITUTE(MID(_xlfn.TEXTAFTER('Banco de Dados'!$F857,"Data do Pedido:
",1),1,10),"-","/")),VALUE(SUBSTITUTE(MID(_xlfn.TEXTAFTER('Banco de Dados'!$F857,"Order date:
",1),1,10),"-","/"))),0)),ProxyDD[Chave],ProxyDD[Valor por pedido]),PROXY!$P$2),0),0)</f>
        <v>0</v>
      </c>
      <c r="AP857" s="28">
        <f ca="1">IF('Banco de Dados'!$AK857&lt;&gt;"-",IF('Banco de Dados'!$AL857="NÃO",IFERROR(VALUE(SUBSTITUTE(_xlfn.TEXTAFTER('Banco de Dados'!$F857,"BRL ",1),".",",")),0),0),0)</f>
        <v>0</v>
      </c>
      <c r="AQ857" s="28">
        <f ca="1">SUM('Banco de Dados'!$AM857:$AP857)</f>
        <v>0</v>
      </c>
      <c r="AR857" s="8"/>
      <c r="AS857" s="8"/>
      <c r="AT857"/>
      <c r="AY857" s="8"/>
    </row>
    <row r="858" spans="1:51">
      <c r="A858" s="5" t="str">
        <v>BV</v>
      </c>
      <c r="B858" s="5" t="str">
        <f ca="1"/>
        <v>BV45691</v>
      </c>
      <c r="C858" s="8" t="str">
        <v>Pedido 845</v>
      </c>
      <c r="D858" s="9">
        <v>45689</v>
      </c>
      <c r="E858" s="9">
        <v>45691</v>
      </c>
      <c r="F858" s="8" t="str">
        <v>PedidoF824</v>
      </c>
      <c r="G858" s="2" t="str">
        <v>CódRastreio822</v>
      </c>
      <c r="H858" s="5">
        <v>1</v>
      </c>
      <c r="I858" s="182" t="str">
        <v>CPF 821</v>
      </c>
      <c r="J858" s="2" t="str">
        <v>Nome 821</v>
      </c>
      <c r="K858" s="8" t="str">
        <v>Tel 821</v>
      </c>
      <c r="L858" s="8" t="str">
        <v>Cep 821</v>
      </c>
      <c r="M858" s="8" t="str">
        <v>Rua 821</v>
      </c>
      <c r="N858" s="8" t="str">
        <v>Comp 821</v>
      </c>
      <c r="O858" s="8" t="str">
        <v>Suporte de Celular Branco</v>
      </c>
      <c r="P858" s="8" t="str">
        <v>16-4EDB-WMZF</v>
      </c>
      <c r="Q858" s="4">
        <v>45709</v>
      </c>
      <c r="R858" s="109">
        <v>18.899999999999999</v>
      </c>
      <c r="S858" s="11">
        <f ca="1"/>
        <v>18.899999999999999</v>
      </c>
      <c r="T858" s="28">
        <f ca="1"/>
        <v>2.8349999999999995</v>
      </c>
      <c r="U858" s="11">
        <f ca="1"/>
        <v>16.07</v>
      </c>
      <c r="V858" s="11">
        <v>6.99</v>
      </c>
      <c r="W858" s="11">
        <f ca="1"/>
        <v>0.17</v>
      </c>
      <c r="X858" s="11">
        <f ca="1"/>
        <v>0.39877104377104378</v>
      </c>
      <c r="Y858" s="11">
        <v>0</v>
      </c>
      <c r="Z858" s="11">
        <f ca="1"/>
        <v>8.5112289562289565</v>
      </c>
      <c r="AA858" s="11">
        <f ca="1"/>
        <v>4.2556144781144782</v>
      </c>
      <c r="AB858" s="4">
        <f ca="1"/>
        <v>45716</v>
      </c>
      <c r="AC858" s="4">
        <v>45716</v>
      </c>
      <c r="AD858" s="9">
        <v>45721</v>
      </c>
      <c r="AE858" s="9">
        <v>45721</v>
      </c>
      <c r="AF858" s="4" t="str">
        <f t="shared" ca="1" si="38"/>
        <v>2025 02</v>
      </c>
      <c r="AG858" s="8" t="str" cm="1">
        <f t="array" ref="AG858">IFERROR(_xlfn.IFS('Banco de Dados'!#REF!="AG. COMPRA","Em processamento",'Banco de Dados'!#REF!="AG. RASTREIO","Em processamento",'Banco de Dados'!$AE858&lt;&gt;"-","Faturado",'Banco de Dados'!$AD858&lt;&gt;"-","Aguardando Pix",'Banco de Dados'!$AC858&lt;&gt;"-","Pendente"),"Aguardando Liberação")</f>
        <v>Aguardando Liberação</v>
      </c>
      <c r="AH858" s="5" t="str">
        <f>IF('Banco de Dados'!$F858="-",_xlfn.CONCAT(PROPER(TEXT(AK858,"aaaa"))," ",PROPER(TEXT(AK858,"mm"))),_xlfn.CONCAT(PROPER(TEXT(E858,"aaaa"))," ",PROPER(TEXT(E858,"mm"))))</f>
        <v>2025 02</v>
      </c>
      <c r="AI858" s="9" t="str">
        <f ca="1">IF('Banco de Dados'!$AK858&lt;&gt;"-","REEMBOLSO",IFERROR(_xlfn.XLOOKUP(G858,Follow[CODRASTREIO],Follow[STATUS]),"-"))</f>
        <v>ENTREGUE</v>
      </c>
      <c r="AJ858" s="9">
        <f ca="1">IF('Banco de Dados'!$AI858="ENTREGUE",_xlfn.XLOOKUP('Banco de Dados'!$G858,Follow[CODRASTREIO],Follow[DATAATUALIZAÇÃO]),"-")</f>
        <v>45694</v>
      </c>
      <c r="AK858" s="132" t="str">
        <f ca="1"/>
        <v>-</v>
      </c>
      <c r="AL858" s="35"/>
      <c r="AM858" s="109" cm="1">
        <f t="array" aca="1" ref="AM858" ca="1">IF('Banco de Dados'!$AK858&lt;&gt;"-",_xlfn.IFS('Banco de Dados'!$A858="bv",IF('Banco de Dados'!$E858&lt;45641,ROUND(SUM('Banco de Dados'!$R858*_xlfn.XLOOKUP('Banco de Dados'!$P858,Sku!B:B,Sku!#REF!)*20%),2),ROUND(SUM('Banco de Dados'!$R858*_xlfn.XLOOKUP('Banco de Dados'!$P858,Sku!B:B,Sku!H:H)*20%),2)),'Banco de Dados'!$A858="GO",ROUND(_xlfn.XLOOKUP('Banco de Dados'!$P858,Sku!C:C,Sku!H:H),2),'Banco de Dados'!$A858="MEI",ROUND(_xlfn.XLOOKUP('Banco de Dados'!$P858,Sku!D:D,Sku!H:H),2)),0)</f>
        <v>0</v>
      </c>
      <c r="AN858" s="109">
        <f ca="1">IF('Banco de Dados'!$AK858&lt;&gt;"-",IF('Banco de Dados'!$F858&lt;&gt;"-",_xlfn.XLOOKUP(IFERROR(IFERROR(IFERROR(VALUE(SUBSTITUTE(MID(_xlfn.TEXTAFTER('Banco de Dados'!$F858,"Data do Pedido:
",1),1,10),"-","/")),VALUE(SUBSTITUTE(MID(_xlfn.TEXTAFTER('Banco de Dados'!$F858,"Order date:
",1),1,10),"-","/"))),VALUE(SUBSTITUTE(MID(_xlfn.TEXTAFTER('Banco de Dados'!$F858,"Fecha de pedido:
",1),1,10),"-","/"))),"-"),SMS!A:A,SMS!K:K),0),0)</f>
        <v>0</v>
      </c>
      <c r="AO858" s="109">
        <f ca="1">IF('Banco de Dados'!$AK858&lt;&gt;"-",IF('Banco de Dados'!$F858&lt;&gt;"-",IFERROR(_xlfn.XLOOKUP(_xlfn.CONCAT('Banco de Dados'!$A858,IFERROR(IFERROR(VALUE(SUBSTITUTE(MID(_xlfn.TEXTAFTER('Banco de Dados'!$F858,"Data do Pedido:
",1),1,10),"-","/")),VALUE(SUBSTITUTE(MID(_xlfn.TEXTAFTER('Banco de Dados'!$F858,"Order date:
",1),1,10),"-","/"))),0)),ProxyDD[Chave],ProxyDD[Valor por pedido]),PROXY!$P$2),0),0)</f>
        <v>0</v>
      </c>
      <c r="AP858" s="28">
        <f ca="1">IF('Banco de Dados'!$AK858&lt;&gt;"-",IF('Banco de Dados'!$AL858="NÃO",IFERROR(VALUE(SUBSTITUTE(_xlfn.TEXTAFTER('Banco de Dados'!$F858,"BRL ",1),".",",")),0),0),0)</f>
        <v>0</v>
      </c>
      <c r="AQ858" s="28">
        <f ca="1">SUM('Banco de Dados'!$AM858:$AP858)</f>
        <v>0</v>
      </c>
      <c r="AR858" s="8"/>
      <c r="AS858" s="8"/>
      <c r="AT858"/>
      <c r="AY858" s="8"/>
    </row>
    <row r="859" spans="1:51">
      <c r="A859" s="5" t="str">
        <v>BV</v>
      </c>
      <c r="B859" s="5" t="str">
        <f ca="1"/>
        <v>BV45691</v>
      </c>
      <c r="C859" s="8" t="str">
        <v>Pedido 846</v>
      </c>
      <c r="D859" s="9">
        <v>45689</v>
      </c>
      <c r="E859" s="9">
        <v>45691</v>
      </c>
      <c r="F859" s="8" t="str">
        <v>PedidoF825</v>
      </c>
      <c r="G859" s="2" t="str">
        <v>CódRastreio823</v>
      </c>
      <c r="H859" s="5">
        <v>1</v>
      </c>
      <c r="I859" s="182" t="str">
        <v>CPF 822</v>
      </c>
      <c r="J859" s="2" t="str">
        <v>Nome 822</v>
      </c>
      <c r="K859" s="8" t="str">
        <v>Tel 822</v>
      </c>
      <c r="L859" s="8" t="str">
        <v>Cep 822</v>
      </c>
      <c r="M859" s="8" t="str">
        <v>Rua 822</v>
      </c>
      <c r="N859" s="8" t="str">
        <v>Comp 822</v>
      </c>
      <c r="O859" s="8" t="str">
        <v>Suporte de Celular Branco</v>
      </c>
      <c r="P859" s="8" t="str">
        <v>16-4EDB-WMZF</v>
      </c>
      <c r="Q859" s="4">
        <v>45709</v>
      </c>
      <c r="R859" s="109">
        <v>18.899999999999999</v>
      </c>
      <c r="S859" s="11">
        <f ca="1"/>
        <v>18.899999999999999</v>
      </c>
      <c r="T859" s="28">
        <f ca="1"/>
        <v>2.8349999999999995</v>
      </c>
      <c r="U859" s="11">
        <f ca="1"/>
        <v>16.07</v>
      </c>
      <c r="V859" s="11">
        <v>6.99</v>
      </c>
      <c r="W859" s="11">
        <f ca="1"/>
        <v>0.17</v>
      </c>
      <c r="X859" s="11">
        <f ca="1"/>
        <v>0.39877104377104378</v>
      </c>
      <c r="Y859" s="11">
        <v>0</v>
      </c>
      <c r="Z859" s="11">
        <f ca="1"/>
        <v>8.5112289562289565</v>
      </c>
      <c r="AA859" s="11">
        <f ca="1"/>
        <v>4.2556144781144782</v>
      </c>
      <c r="AB859" s="4">
        <f ca="1"/>
        <v>45716</v>
      </c>
      <c r="AC859" s="4">
        <v>45716</v>
      </c>
      <c r="AD859" s="9">
        <v>45721</v>
      </c>
      <c r="AE859" s="9">
        <v>45721</v>
      </c>
      <c r="AF859" s="4" t="str">
        <f t="shared" ca="1" si="38"/>
        <v>2025 02</v>
      </c>
      <c r="AG859" s="8" t="str" cm="1">
        <f t="array" ref="AG859">IFERROR(_xlfn.IFS('Banco de Dados'!#REF!="AG. COMPRA","Em processamento",'Banco de Dados'!#REF!="AG. RASTREIO","Em processamento",'Banco de Dados'!$AE859&lt;&gt;"-","Faturado",'Banco de Dados'!$AD859&lt;&gt;"-","Aguardando Pix",'Banco de Dados'!$AC859&lt;&gt;"-","Pendente"),"Aguardando Liberação")</f>
        <v>Aguardando Liberação</v>
      </c>
      <c r="AH859" s="5" t="str">
        <f>IF('Banco de Dados'!$F859="-",_xlfn.CONCAT(PROPER(TEXT(AK859,"aaaa"))," ",PROPER(TEXT(AK859,"mm"))),_xlfn.CONCAT(PROPER(TEXT(E859,"aaaa"))," ",PROPER(TEXT(E859,"mm"))))</f>
        <v>2025 02</v>
      </c>
      <c r="AI859" s="9" t="str">
        <f ca="1">IF('Banco de Dados'!$AK859&lt;&gt;"-","REEMBOLSO",IFERROR(_xlfn.XLOOKUP(G859,Follow[CODRASTREIO],Follow[STATUS]),"-"))</f>
        <v>ENTREGUE</v>
      </c>
      <c r="AJ859" s="9">
        <f ca="1">IF('Banco de Dados'!$AI859="ENTREGUE",_xlfn.XLOOKUP('Banco de Dados'!$G859,Follow[CODRASTREIO],Follow[DATAATUALIZAÇÃO]),"-")</f>
        <v>45694</v>
      </c>
      <c r="AK859" s="132" t="str">
        <f ca="1"/>
        <v>-</v>
      </c>
      <c r="AL859" s="35"/>
      <c r="AM859" s="109" cm="1">
        <f t="array" aca="1" ref="AM859" ca="1">IF('Banco de Dados'!$AK859&lt;&gt;"-",_xlfn.IFS('Banco de Dados'!$A859="bv",IF('Banco de Dados'!$E859&lt;45641,ROUND(SUM('Banco de Dados'!$R859*_xlfn.XLOOKUP('Banco de Dados'!$P859,Sku!B:B,Sku!#REF!)*20%),2),ROUND(SUM('Banco de Dados'!$R859*_xlfn.XLOOKUP('Banco de Dados'!$P859,Sku!B:B,Sku!H:H)*20%),2)),'Banco de Dados'!$A859="GO",ROUND(_xlfn.XLOOKUP('Banco de Dados'!$P859,Sku!C:C,Sku!H:H),2),'Banco de Dados'!$A859="MEI",ROUND(_xlfn.XLOOKUP('Banco de Dados'!$P859,Sku!D:D,Sku!H:H),2)),0)</f>
        <v>0</v>
      </c>
      <c r="AN859" s="109">
        <f ca="1">IF('Banco de Dados'!$AK859&lt;&gt;"-",IF('Banco de Dados'!$F859&lt;&gt;"-",_xlfn.XLOOKUP(IFERROR(IFERROR(IFERROR(VALUE(SUBSTITUTE(MID(_xlfn.TEXTAFTER('Banco de Dados'!$F859,"Data do Pedido:
",1),1,10),"-","/")),VALUE(SUBSTITUTE(MID(_xlfn.TEXTAFTER('Banco de Dados'!$F859,"Order date:
",1),1,10),"-","/"))),VALUE(SUBSTITUTE(MID(_xlfn.TEXTAFTER('Banco de Dados'!$F859,"Fecha de pedido:
",1),1,10),"-","/"))),"-"),SMS!A:A,SMS!K:K),0),0)</f>
        <v>0</v>
      </c>
      <c r="AO859" s="109">
        <f ca="1">IF('Banco de Dados'!$AK859&lt;&gt;"-",IF('Banco de Dados'!$F859&lt;&gt;"-",IFERROR(_xlfn.XLOOKUP(_xlfn.CONCAT('Banco de Dados'!$A859,IFERROR(IFERROR(VALUE(SUBSTITUTE(MID(_xlfn.TEXTAFTER('Banco de Dados'!$F859,"Data do Pedido:
",1),1,10),"-","/")),VALUE(SUBSTITUTE(MID(_xlfn.TEXTAFTER('Banco de Dados'!$F859,"Order date:
",1),1,10),"-","/"))),0)),ProxyDD[Chave],ProxyDD[Valor por pedido]),PROXY!$P$2),0),0)</f>
        <v>0</v>
      </c>
      <c r="AP859" s="28">
        <f ca="1">IF('Banco de Dados'!$AK859&lt;&gt;"-",IF('Banco de Dados'!$AL859="NÃO",IFERROR(VALUE(SUBSTITUTE(_xlfn.TEXTAFTER('Banco de Dados'!$F859,"BRL ",1),".",",")),0),0),0)</f>
        <v>0</v>
      </c>
      <c r="AQ859" s="28">
        <f ca="1">SUM('Banco de Dados'!$AM859:$AP859)</f>
        <v>0</v>
      </c>
      <c r="AR859" s="8"/>
      <c r="AS859" s="8"/>
      <c r="AT859"/>
      <c r="AY859" s="8"/>
    </row>
    <row r="860" spans="1:51">
      <c r="A860" s="5" t="str">
        <v>BV</v>
      </c>
      <c r="B860" s="5" t="str">
        <f ca="1"/>
        <v>BV45691</v>
      </c>
      <c r="C860" s="8" t="str">
        <v>Pedido 847</v>
      </c>
      <c r="D860" s="9">
        <v>45689</v>
      </c>
      <c r="E860" s="9">
        <v>45691</v>
      </c>
      <c r="F860" s="8" t="str">
        <v>PedidoF826</v>
      </c>
      <c r="G860" s="2" t="str">
        <v>CódRastreio824</v>
      </c>
      <c r="H860" s="5">
        <v>1</v>
      </c>
      <c r="I860" s="182" t="str">
        <v>CPF 823</v>
      </c>
      <c r="J860" s="2" t="str">
        <v>Nome 823</v>
      </c>
      <c r="K860" s="8" t="str">
        <v>Tel 823</v>
      </c>
      <c r="L860" s="8" t="str">
        <v>Cep 823</v>
      </c>
      <c r="M860" s="8" t="str">
        <v>Rua 823</v>
      </c>
      <c r="N860" s="8" t="str">
        <v>Comp 823</v>
      </c>
      <c r="O860" s="8" t="str">
        <v>Caixinha de som Preta</v>
      </c>
      <c r="P860" s="8" t="str">
        <v>5D-KKPK-K70I</v>
      </c>
      <c r="Q860" s="4">
        <v>45703</v>
      </c>
      <c r="R860" s="109">
        <v>29.99</v>
      </c>
      <c r="S860" s="11">
        <f ca="1"/>
        <v>29.99</v>
      </c>
      <c r="T860" s="28">
        <f ca="1"/>
        <v>4.4984999999999999</v>
      </c>
      <c r="U860" s="11">
        <f ca="1"/>
        <v>25.49</v>
      </c>
      <c r="V860" s="11">
        <v>13.3</v>
      </c>
      <c r="W860" s="11">
        <f ca="1"/>
        <v>0.17</v>
      </c>
      <c r="X860" s="11">
        <f ca="1"/>
        <v>0.39877104377104378</v>
      </c>
      <c r="Y860" s="11">
        <v>0</v>
      </c>
      <c r="Z860" s="11">
        <f ca="1"/>
        <v>11.621228956228954</v>
      </c>
      <c r="AA860" s="11">
        <f ca="1"/>
        <v>5.8106144781144771</v>
      </c>
      <c r="AB860" s="4">
        <f ca="1"/>
        <v>45710</v>
      </c>
      <c r="AC860" s="4">
        <v>45710</v>
      </c>
      <c r="AD860" s="9">
        <v>45721</v>
      </c>
      <c r="AE860" s="9">
        <v>45721</v>
      </c>
      <c r="AF860" s="4" t="str">
        <f t="shared" ca="1" si="38"/>
        <v>2025 02</v>
      </c>
      <c r="AG860" s="8" t="str" cm="1">
        <f t="array" ref="AG860">IFERROR(_xlfn.IFS('Banco de Dados'!#REF!="AG. COMPRA","Em processamento",'Banco de Dados'!#REF!="AG. RASTREIO","Em processamento",'Banco de Dados'!$AE860&lt;&gt;"-","Faturado",'Banco de Dados'!$AD860&lt;&gt;"-","Aguardando Pix",'Banco de Dados'!$AC860&lt;&gt;"-","Pendente"),"Aguardando Liberação")</f>
        <v>Aguardando Liberação</v>
      </c>
      <c r="AH860" s="5" t="str">
        <f>IF('Banco de Dados'!$F860="-",_xlfn.CONCAT(PROPER(TEXT(AK860,"aaaa"))," ",PROPER(TEXT(AK860,"mm"))),_xlfn.CONCAT(PROPER(TEXT(E860,"aaaa"))," ",PROPER(TEXT(E860,"mm"))))</f>
        <v>2025 02</v>
      </c>
      <c r="AI860" s="9" t="str">
        <f ca="1">IF('Banco de Dados'!$AK860&lt;&gt;"-","REEMBOLSO",IFERROR(_xlfn.XLOOKUP(G860,Follow[CODRASTREIO],Follow[STATUS]),"-"))</f>
        <v>ENTREGUE</v>
      </c>
      <c r="AJ860" s="9">
        <f ca="1">IF('Banco de Dados'!$AI860="ENTREGUE",_xlfn.XLOOKUP('Banco de Dados'!$G860,Follow[CODRASTREIO],Follow[DATAATUALIZAÇÃO]),"-")</f>
        <v>45696</v>
      </c>
      <c r="AK860" s="132" t="str">
        <f ca="1"/>
        <v>-</v>
      </c>
      <c r="AL860" s="35"/>
      <c r="AM860" s="109" cm="1">
        <f t="array" aca="1" ref="AM860" ca="1">IF('Banco de Dados'!$AK860&lt;&gt;"-",_xlfn.IFS('Banco de Dados'!$A860="bv",IF('Banco de Dados'!$E860&lt;45641,ROUND(SUM('Banco de Dados'!$R860*_xlfn.XLOOKUP('Banco de Dados'!$P860,Sku!B:B,Sku!#REF!)*20%),2),ROUND(SUM('Banco de Dados'!$R860*_xlfn.XLOOKUP('Banco de Dados'!$P860,Sku!B:B,Sku!H:H)*20%),2)),'Banco de Dados'!$A860="GO",ROUND(_xlfn.XLOOKUP('Banco de Dados'!$P860,Sku!C:C,Sku!H:H),2),'Banco de Dados'!$A860="MEI",ROUND(_xlfn.XLOOKUP('Banco de Dados'!$P860,Sku!D:D,Sku!H:H),2)),0)</f>
        <v>0</v>
      </c>
      <c r="AN860" s="109">
        <f ca="1">IF('Banco de Dados'!$AK860&lt;&gt;"-",IF('Banco de Dados'!$F860&lt;&gt;"-",_xlfn.XLOOKUP(IFERROR(IFERROR(IFERROR(VALUE(SUBSTITUTE(MID(_xlfn.TEXTAFTER('Banco de Dados'!$F860,"Data do Pedido:
",1),1,10),"-","/")),VALUE(SUBSTITUTE(MID(_xlfn.TEXTAFTER('Banco de Dados'!$F860,"Order date:
",1),1,10),"-","/"))),VALUE(SUBSTITUTE(MID(_xlfn.TEXTAFTER('Banco de Dados'!$F860,"Fecha de pedido:
",1),1,10),"-","/"))),"-"),SMS!A:A,SMS!K:K),0),0)</f>
        <v>0</v>
      </c>
      <c r="AO860" s="109">
        <f ca="1">IF('Banco de Dados'!$AK860&lt;&gt;"-",IF('Banco de Dados'!$F860&lt;&gt;"-",IFERROR(_xlfn.XLOOKUP(_xlfn.CONCAT('Banco de Dados'!$A860,IFERROR(IFERROR(VALUE(SUBSTITUTE(MID(_xlfn.TEXTAFTER('Banco de Dados'!$F860,"Data do Pedido:
",1),1,10),"-","/")),VALUE(SUBSTITUTE(MID(_xlfn.TEXTAFTER('Banco de Dados'!$F860,"Order date:
",1),1,10),"-","/"))),0)),ProxyDD[Chave],ProxyDD[Valor por pedido]),PROXY!$P$2),0),0)</f>
        <v>0</v>
      </c>
      <c r="AP860" s="28">
        <f ca="1">IF('Banco de Dados'!$AK860&lt;&gt;"-",IF('Banco de Dados'!$AL860="NÃO",IFERROR(VALUE(SUBSTITUTE(_xlfn.TEXTAFTER('Banco de Dados'!$F860,"BRL ",1),".",",")),0),0),0)</f>
        <v>0</v>
      </c>
      <c r="AQ860" s="28">
        <f ca="1">SUM('Banco de Dados'!$AM860:$AP860)</f>
        <v>0</v>
      </c>
      <c r="AR860" s="8"/>
      <c r="AS860" s="8"/>
      <c r="AT860"/>
      <c r="AY860" s="8"/>
    </row>
    <row r="861" spans="1:51">
      <c r="A861" s="5" t="str">
        <v>BV</v>
      </c>
      <c r="B861" s="5" t="str">
        <f ca="1"/>
        <v>BV45691</v>
      </c>
      <c r="C861" s="8" t="str">
        <v>Pedido 848</v>
      </c>
      <c r="D861" s="9">
        <v>45689</v>
      </c>
      <c r="E861" s="9">
        <v>45691</v>
      </c>
      <c r="F861" s="8" t="str">
        <v>PedidoF827</v>
      </c>
      <c r="G861" s="2" t="str">
        <v>CódRastreio825</v>
      </c>
      <c r="H861" s="5">
        <v>1</v>
      </c>
      <c r="I861" s="182" t="str">
        <v>CPF 824</v>
      </c>
      <c r="J861" s="2" t="str">
        <v>Nome 824</v>
      </c>
      <c r="K861" s="8" t="str">
        <v>Tel 824</v>
      </c>
      <c r="L861" s="8" t="str">
        <v>Cep 824</v>
      </c>
      <c r="M861" s="8" t="str">
        <v>Rua 824</v>
      </c>
      <c r="N861" s="8" t="str">
        <v>Comp 824</v>
      </c>
      <c r="O861" s="8" t="str">
        <v>Ventilador Rosa</v>
      </c>
      <c r="P861" s="8" t="str">
        <v>IF-G2ZQ-79FO</v>
      </c>
      <c r="Q861" s="4">
        <v>45709</v>
      </c>
      <c r="R861" s="109">
        <v>52.7</v>
      </c>
      <c r="S861" s="11">
        <f ca="1"/>
        <v>52.7</v>
      </c>
      <c r="T861" s="28">
        <f ca="1"/>
        <v>6.8510000000000009</v>
      </c>
      <c r="U861" s="11">
        <f ca="1"/>
        <v>45.85</v>
      </c>
      <c r="V861" s="11">
        <v>16.57</v>
      </c>
      <c r="W861" s="11">
        <f ca="1"/>
        <v>0.17</v>
      </c>
      <c r="X861" s="11">
        <f ca="1"/>
        <v>0.39877104377104378</v>
      </c>
      <c r="Y861" s="11">
        <v>0</v>
      </c>
      <c r="Z861" s="11">
        <f ca="1"/>
        <v>28.711228956228954</v>
      </c>
      <c r="AA861" s="11">
        <f ca="1"/>
        <v>14.355614478114477</v>
      </c>
      <c r="AB861" s="4">
        <f ca="1"/>
        <v>45716</v>
      </c>
      <c r="AC861" s="4">
        <v>45716</v>
      </c>
      <c r="AD861" s="9">
        <v>45721</v>
      </c>
      <c r="AE861" s="9">
        <v>45721</v>
      </c>
      <c r="AF861" s="4" t="str">
        <f t="shared" ca="1" si="38"/>
        <v>2025 02</v>
      </c>
      <c r="AG861" s="8" t="str" cm="1">
        <f t="array" ref="AG861">IFERROR(_xlfn.IFS('Banco de Dados'!#REF!="AG. COMPRA","Em processamento",'Banco de Dados'!#REF!="AG. RASTREIO","Em processamento",'Banco de Dados'!$AE861&lt;&gt;"-","Faturado",'Banco de Dados'!$AD861&lt;&gt;"-","Aguardando Pix",'Banco de Dados'!$AC861&lt;&gt;"-","Pendente"),"Aguardando Liberação")</f>
        <v>Aguardando Liberação</v>
      </c>
      <c r="AH861" s="5" t="str">
        <f>IF('Banco de Dados'!$F861="-",_xlfn.CONCAT(PROPER(TEXT(AK861,"aaaa"))," ",PROPER(TEXT(AK861,"mm"))),_xlfn.CONCAT(PROPER(TEXT(E861,"aaaa"))," ",PROPER(TEXT(E861,"mm"))))</f>
        <v>2025 02</v>
      </c>
      <c r="AI861" s="9" t="str">
        <f ca="1">IF('Banco de Dados'!$AK861&lt;&gt;"-","REEMBOLSO",IFERROR(_xlfn.XLOOKUP(G861,Follow[CODRASTREIO],Follow[STATUS]),"-"))</f>
        <v>ENTREGUE</v>
      </c>
      <c r="AJ861" s="9">
        <f ca="1">IF('Banco de Dados'!$AI861="ENTREGUE",_xlfn.XLOOKUP('Banco de Dados'!$G861,Follow[CODRASTREIO],Follow[DATAATUALIZAÇÃO]),"-")</f>
        <v>45705</v>
      </c>
      <c r="AK861" s="132" t="str">
        <f ca="1"/>
        <v>-</v>
      </c>
      <c r="AL861" s="35"/>
      <c r="AM861" s="109" cm="1">
        <f t="array" aca="1" ref="AM861" ca="1">IF('Banco de Dados'!$AK861&lt;&gt;"-",_xlfn.IFS('Banco de Dados'!$A861="bv",IF('Banco de Dados'!$E861&lt;45641,ROUND(SUM('Banco de Dados'!$R861*_xlfn.XLOOKUP('Banco de Dados'!$P861,Sku!B:B,Sku!#REF!)*20%),2),ROUND(SUM('Banco de Dados'!$R861*_xlfn.XLOOKUP('Banco de Dados'!$P861,Sku!B:B,Sku!H:H)*20%),2)),'Banco de Dados'!$A861="GO",ROUND(_xlfn.XLOOKUP('Banco de Dados'!$P861,Sku!C:C,Sku!H:H),2),'Banco de Dados'!$A861="MEI",ROUND(_xlfn.XLOOKUP('Banco de Dados'!$P861,Sku!D:D,Sku!H:H),2)),0)</f>
        <v>0</v>
      </c>
      <c r="AN861" s="109">
        <f ca="1">IF('Banco de Dados'!$AK861&lt;&gt;"-",IF('Banco de Dados'!$F861&lt;&gt;"-",_xlfn.XLOOKUP(IFERROR(IFERROR(IFERROR(VALUE(SUBSTITUTE(MID(_xlfn.TEXTAFTER('Banco de Dados'!$F861,"Data do Pedido:
",1),1,10),"-","/")),VALUE(SUBSTITUTE(MID(_xlfn.TEXTAFTER('Banco de Dados'!$F861,"Order date:
",1),1,10),"-","/"))),VALUE(SUBSTITUTE(MID(_xlfn.TEXTAFTER('Banco de Dados'!$F861,"Fecha de pedido:
",1),1,10),"-","/"))),"-"),SMS!A:A,SMS!K:K),0),0)</f>
        <v>0</v>
      </c>
      <c r="AO861" s="109">
        <f ca="1">IF('Banco de Dados'!$AK861&lt;&gt;"-",IF('Banco de Dados'!$F861&lt;&gt;"-",IFERROR(_xlfn.XLOOKUP(_xlfn.CONCAT('Banco de Dados'!$A861,IFERROR(IFERROR(VALUE(SUBSTITUTE(MID(_xlfn.TEXTAFTER('Banco de Dados'!$F861,"Data do Pedido:
",1),1,10),"-","/")),VALUE(SUBSTITUTE(MID(_xlfn.TEXTAFTER('Banco de Dados'!$F861,"Order date:
",1),1,10),"-","/"))),0)),ProxyDD[Chave],ProxyDD[Valor por pedido]),PROXY!$P$2),0),0)</f>
        <v>0</v>
      </c>
      <c r="AP861" s="28">
        <f ca="1">IF('Banco de Dados'!$AK861&lt;&gt;"-",IF('Banco de Dados'!$AL861="NÃO",IFERROR(VALUE(SUBSTITUTE(_xlfn.TEXTAFTER('Banco de Dados'!$F861,"BRL ",1),".",",")),0),0),0)</f>
        <v>0</v>
      </c>
      <c r="AQ861" s="28">
        <f ca="1">SUM('Banco de Dados'!$AM861:$AP861)</f>
        <v>0</v>
      </c>
      <c r="AR861" s="8"/>
      <c r="AS861" s="8"/>
      <c r="AT861"/>
      <c r="AY861" s="8"/>
    </row>
    <row r="862" spans="1:51">
      <c r="A862" s="5" t="str">
        <v>BV</v>
      </c>
      <c r="B862" s="5" t="str">
        <f ca="1"/>
        <v>BV45691</v>
      </c>
      <c r="C862" s="8" t="str">
        <v>Pedido 849</v>
      </c>
      <c r="D862" s="9">
        <v>45690</v>
      </c>
      <c r="E862" s="9">
        <v>45691</v>
      </c>
      <c r="F862" s="8" t="str">
        <v>PedidoF828</v>
      </c>
      <c r="G862" s="2" t="str">
        <v>CódRastreio826</v>
      </c>
      <c r="H862" s="5">
        <v>1</v>
      </c>
      <c r="I862" s="182" t="str">
        <v>CPF 825</v>
      </c>
      <c r="J862" s="2" t="str">
        <v>Nome 825</v>
      </c>
      <c r="K862" s="8" t="str">
        <v>Tel 825</v>
      </c>
      <c r="L862" s="8" t="str">
        <v>Cep 825</v>
      </c>
      <c r="M862" s="8" t="str">
        <v>Rua 825</v>
      </c>
      <c r="N862" s="8" t="str">
        <v>Comp 825</v>
      </c>
      <c r="O862" s="8" t="str">
        <v>Lampada Led</v>
      </c>
      <c r="P862" s="8" t="str">
        <v>RB-W251-UXV2</v>
      </c>
      <c r="Q862" s="4">
        <v>45709</v>
      </c>
      <c r="R862" s="109">
        <v>32.99</v>
      </c>
      <c r="S862" s="11">
        <f ca="1"/>
        <v>32.99</v>
      </c>
      <c r="T862" s="28">
        <f ca="1"/>
        <v>4.2887000000000004</v>
      </c>
      <c r="U862" s="11">
        <f ca="1"/>
        <v>28.7</v>
      </c>
      <c r="V862" s="11">
        <v>14.4</v>
      </c>
      <c r="W862" s="11">
        <f ca="1"/>
        <v>0.17</v>
      </c>
      <c r="X862" s="11">
        <f ca="1"/>
        <v>0.39877104377104378</v>
      </c>
      <c r="Y862" s="11">
        <v>0</v>
      </c>
      <c r="Z862" s="11">
        <f ca="1"/>
        <v>13.731228956228955</v>
      </c>
      <c r="AA862" s="11">
        <f ca="1"/>
        <v>6.8656144781144777</v>
      </c>
      <c r="AB862" s="4">
        <f ca="1"/>
        <v>45716</v>
      </c>
      <c r="AC862" s="4">
        <v>45716</v>
      </c>
      <c r="AD862" s="9">
        <v>45721</v>
      </c>
      <c r="AE862" s="9">
        <v>45721</v>
      </c>
      <c r="AF862" s="4" t="str">
        <f t="shared" ca="1" si="38"/>
        <v>2025 02</v>
      </c>
      <c r="AG862" s="8" t="str" cm="1">
        <f t="array" ref="AG862">IFERROR(_xlfn.IFS('Banco de Dados'!#REF!="AG. COMPRA","Em processamento",'Banco de Dados'!#REF!="AG. RASTREIO","Em processamento",'Banco de Dados'!$AE862&lt;&gt;"-","Faturado",'Banco de Dados'!$AD862&lt;&gt;"-","Aguardando Pix",'Banco de Dados'!$AC862&lt;&gt;"-","Pendente"),"Aguardando Liberação")</f>
        <v>Aguardando Liberação</v>
      </c>
      <c r="AH862" s="5" t="str">
        <f>IF('Banco de Dados'!$F862="-",_xlfn.CONCAT(PROPER(TEXT(AK862,"aaaa"))," ",PROPER(TEXT(AK862,"mm"))),_xlfn.CONCAT(PROPER(TEXT(E862,"aaaa"))," ",PROPER(TEXT(E862,"mm"))))</f>
        <v>2025 02</v>
      </c>
      <c r="AI862" s="9" t="str">
        <f ca="1">IF('Banco de Dados'!$AK862&lt;&gt;"-","REEMBOLSO",IFERROR(_xlfn.XLOOKUP(G862,Follow[CODRASTREIO],Follow[STATUS]),"-"))</f>
        <v>ENTREGUE</v>
      </c>
      <c r="AJ862" s="9">
        <f ca="1">IF('Banco de Dados'!$AI862="ENTREGUE",_xlfn.XLOOKUP('Banco de Dados'!$G862,Follow[CODRASTREIO],Follow[DATAATUALIZAÇÃO]),"-")</f>
        <v>45705</v>
      </c>
      <c r="AK862" s="132" t="str">
        <f ca="1"/>
        <v>-</v>
      </c>
      <c r="AL862" s="35"/>
      <c r="AM862" s="109" cm="1">
        <f t="array" aca="1" ref="AM862" ca="1">IF('Banco de Dados'!$AK862&lt;&gt;"-",_xlfn.IFS('Banco de Dados'!$A862="bv",IF('Banco de Dados'!$E862&lt;45641,ROUND(SUM('Banco de Dados'!$R862*_xlfn.XLOOKUP('Banco de Dados'!$P862,Sku!B:B,Sku!#REF!)*20%),2),ROUND(SUM('Banco de Dados'!$R862*_xlfn.XLOOKUP('Banco de Dados'!$P862,Sku!B:B,Sku!H:H)*20%),2)),'Banco de Dados'!$A862="GO",ROUND(_xlfn.XLOOKUP('Banco de Dados'!$P862,Sku!C:C,Sku!H:H),2),'Banco de Dados'!$A862="MEI",ROUND(_xlfn.XLOOKUP('Banco de Dados'!$P862,Sku!D:D,Sku!H:H),2)),0)</f>
        <v>0</v>
      </c>
      <c r="AN862" s="109">
        <f ca="1">IF('Banco de Dados'!$AK862&lt;&gt;"-",IF('Banco de Dados'!$F862&lt;&gt;"-",_xlfn.XLOOKUP(IFERROR(IFERROR(IFERROR(VALUE(SUBSTITUTE(MID(_xlfn.TEXTAFTER('Banco de Dados'!$F862,"Data do Pedido:
",1),1,10),"-","/")),VALUE(SUBSTITUTE(MID(_xlfn.TEXTAFTER('Banco de Dados'!$F862,"Order date:
",1),1,10),"-","/"))),VALUE(SUBSTITUTE(MID(_xlfn.TEXTAFTER('Banco de Dados'!$F862,"Fecha de pedido:
",1),1,10),"-","/"))),"-"),SMS!A:A,SMS!K:K),0),0)</f>
        <v>0</v>
      </c>
      <c r="AO862" s="109">
        <f ca="1">IF('Banco de Dados'!$AK862&lt;&gt;"-",IF('Banco de Dados'!$F862&lt;&gt;"-",IFERROR(_xlfn.XLOOKUP(_xlfn.CONCAT('Banco de Dados'!$A862,IFERROR(IFERROR(VALUE(SUBSTITUTE(MID(_xlfn.TEXTAFTER('Banco de Dados'!$F862,"Data do Pedido:
",1),1,10),"-","/")),VALUE(SUBSTITUTE(MID(_xlfn.TEXTAFTER('Banco de Dados'!$F862,"Order date:
",1),1,10),"-","/"))),0)),ProxyDD[Chave],ProxyDD[Valor por pedido]),PROXY!$P$2),0),0)</f>
        <v>0</v>
      </c>
      <c r="AP862" s="28">
        <f ca="1">IF('Banco de Dados'!$AK862&lt;&gt;"-",IF('Banco de Dados'!$AL862="NÃO",IFERROR(VALUE(SUBSTITUTE(_xlfn.TEXTAFTER('Banco de Dados'!$F862,"BRL ",1),".",",")),0),0),0)</f>
        <v>0</v>
      </c>
      <c r="AQ862" s="28">
        <f ca="1">SUM('Banco de Dados'!$AM862:$AP862)</f>
        <v>0</v>
      </c>
      <c r="AR862" s="8"/>
      <c r="AS862" s="8"/>
      <c r="AT862"/>
      <c r="AY862" s="8"/>
    </row>
    <row r="863" spans="1:51">
      <c r="A863" s="5" t="str">
        <v>BV</v>
      </c>
      <c r="B863" s="5" t="str">
        <f ca="1"/>
        <v>BV45691</v>
      </c>
      <c r="C863" s="8" t="str">
        <v>Pedido 850</v>
      </c>
      <c r="D863" s="9">
        <v>45690</v>
      </c>
      <c r="E863" s="9">
        <v>45691</v>
      </c>
      <c r="F863" s="8" t="str">
        <v>PedidoF829</v>
      </c>
      <c r="G863" s="2" t="str">
        <v>CódRastreio827</v>
      </c>
      <c r="H863" s="5">
        <v>1</v>
      </c>
      <c r="I863" s="182" t="str">
        <v>CPF 826</v>
      </c>
      <c r="J863" s="2" t="str">
        <v>Nome 826</v>
      </c>
      <c r="K863" s="8" t="str">
        <v>Tel 826</v>
      </c>
      <c r="L863" s="8" t="str">
        <v>Cep 826</v>
      </c>
      <c r="M863" s="8" t="str">
        <v>Rua 826</v>
      </c>
      <c r="N863" s="8" t="str">
        <v>Comp 826</v>
      </c>
      <c r="O863" s="8" t="str">
        <v>Ventilador Rosa</v>
      </c>
      <c r="P863" s="8" t="str">
        <v>IF-G2ZQ-79FO</v>
      </c>
      <c r="Q863" s="4">
        <v>45727</v>
      </c>
      <c r="R863" s="109">
        <v>52.7</v>
      </c>
      <c r="S863" s="11">
        <f ca="1"/>
        <v>52.7</v>
      </c>
      <c r="T863" s="28">
        <f ca="1"/>
        <v>6.8510000000000009</v>
      </c>
      <c r="U863" s="11">
        <f ca="1"/>
        <v>45.85</v>
      </c>
      <c r="V863" s="11">
        <v>16.57</v>
      </c>
      <c r="W863" s="11">
        <f ca="1"/>
        <v>0.17</v>
      </c>
      <c r="X863" s="11">
        <f ca="1"/>
        <v>0.39877104377104378</v>
      </c>
      <c r="Y863" s="11">
        <v>0</v>
      </c>
      <c r="Z863" s="11">
        <f ca="1"/>
        <v>28.711228956228954</v>
      </c>
      <c r="AA863" s="11">
        <f ca="1"/>
        <v>14.355614478114477</v>
      </c>
      <c r="AB863" s="4">
        <f ca="1"/>
        <v>45734</v>
      </c>
      <c r="AC863" s="4">
        <v>45734</v>
      </c>
      <c r="AD863" s="9">
        <v>45747</v>
      </c>
      <c r="AE863" s="9">
        <v>45749</v>
      </c>
      <c r="AF863" s="4" t="str">
        <f t="shared" ca="1" si="38"/>
        <v>2025 03</v>
      </c>
      <c r="AG863" s="8" t="str" cm="1">
        <f t="array" ref="AG863">IFERROR(_xlfn.IFS('Banco de Dados'!#REF!="AG. COMPRA","Em processamento",'Banco de Dados'!#REF!="AG. RASTREIO","Em processamento",'Banco de Dados'!$AE863&lt;&gt;"-","Faturado",'Banco de Dados'!$AD863&lt;&gt;"-","Aguardando Pix",'Banco de Dados'!$AC863&lt;&gt;"-","Pendente"),"Aguardando Liberação")</f>
        <v>Aguardando Liberação</v>
      </c>
      <c r="AH863" s="5" t="str">
        <f>IF('Banco de Dados'!$F863="-",_xlfn.CONCAT(PROPER(TEXT(AK863,"aaaa"))," ",PROPER(TEXT(AK863,"mm"))),_xlfn.CONCAT(PROPER(TEXT(E863,"aaaa"))," ",PROPER(TEXT(E863,"mm"))))</f>
        <v>2025 02</v>
      </c>
      <c r="AI863" s="9" t="str">
        <f ca="1">IF('Banco de Dados'!$AK863&lt;&gt;"-","REEMBOLSO",IFERROR(_xlfn.XLOOKUP(G863,Follow[CODRASTREIO],Follow[STATUS]),"-"))</f>
        <v>ENTREGUE</v>
      </c>
      <c r="AJ863" s="9">
        <f ca="1">IF('Banco de Dados'!$AI863="ENTREGUE",_xlfn.XLOOKUP('Banco de Dados'!$G863,Follow[CODRASTREIO],Follow[DATAATUALIZAÇÃO]),"-")</f>
        <v>45710</v>
      </c>
      <c r="AK863" s="132" t="str">
        <f ca="1"/>
        <v>-</v>
      </c>
      <c r="AL863" s="35"/>
      <c r="AM863" s="109" cm="1">
        <f t="array" aca="1" ref="AM863" ca="1">IF('Banco de Dados'!$AK863&lt;&gt;"-",_xlfn.IFS('Banco de Dados'!$A863="bv",IF('Banco de Dados'!$E863&lt;45641,ROUND(SUM('Banco de Dados'!$R863*_xlfn.XLOOKUP('Banco de Dados'!$P863,Sku!B:B,Sku!#REF!)*20%),2),ROUND(SUM('Banco de Dados'!$R863*_xlfn.XLOOKUP('Banco de Dados'!$P863,Sku!B:B,Sku!H:H)*20%),2)),'Banco de Dados'!$A863="GO",ROUND(_xlfn.XLOOKUP('Banco de Dados'!$P863,Sku!C:C,Sku!H:H),2),'Banco de Dados'!$A863="MEI",ROUND(_xlfn.XLOOKUP('Banco de Dados'!$P863,Sku!D:D,Sku!H:H),2)),0)</f>
        <v>0</v>
      </c>
      <c r="AN863" s="109">
        <f ca="1">IF('Banco de Dados'!$AK863&lt;&gt;"-",IF('Banco de Dados'!$F863&lt;&gt;"-",_xlfn.XLOOKUP(IFERROR(IFERROR(IFERROR(VALUE(SUBSTITUTE(MID(_xlfn.TEXTAFTER('Banco de Dados'!$F863,"Data do Pedido:
",1),1,10),"-","/")),VALUE(SUBSTITUTE(MID(_xlfn.TEXTAFTER('Banco de Dados'!$F863,"Order date:
",1),1,10),"-","/"))),VALUE(SUBSTITUTE(MID(_xlfn.TEXTAFTER('Banco de Dados'!$F863,"Fecha de pedido:
",1),1,10),"-","/"))),"-"),SMS!A:A,SMS!K:K),0),0)</f>
        <v>0</v>
      </c>
      <c r="AO863" s="109">
        <f ca="1">IF('Banco de Dados'!$AK863&lt;&gt;"-",IF('Banco de Dados'!$F863&lt;&gt;"-",IFERROR(_xlfn.XLOOKUP(_xlfn.CONCAT('Banco de Dados'!$A863,IFERROR(IFERROR(VALUE(SUBSTITUTE(MID(_xlfn.TEXTAFTER('Banco de Dados'!$F863,"Data do Pedido:
",1),1,10),"-","/")),VALUE(SUBSTITUTE(MID(_xlfn.TEXTAFTER('Banco de Dados'!$F863,"Order date:
",1),1,10),"-","/"))),0)),ProxyDD[Chave],ProxyDD[Valor por pedido]),PROXY!$P$2),0),0)</f>
        <v>0</v>
      </c>
      <c r="AP863" s="28">
        <f ca="1">IF('Banco de Dados'!$AK863&lt;&gt;"-",IF('Banco de Dados'!$AL863="NÃO",IFERROR(VALUE(SUBSTITUTE(_xlfn.TEXTAFTER('Banco de Dados'!$F863,"BRL ",1),".",",")),0),0),0)</f>
        <v>0</v>
      </c>
      <c r="AQ863" s="28">
        <f ca="1">SUM('Banco de Dados'!$AM863:$AP863)</f>
        <v>0</v>
      </c>
      <c r="AR863" s="8"/>
      <c r="AS863" s="8"/>
      <c r="AT863"/>
      <c r="AY863" s="8"/>
    </row>
    <row r="864" spans="1:51">
      <c r="A864" s="5" t="str">
        <v>BV</v>
      </c>
      <c r="B864" s="5" t="str">
        <f ca="1"/>
        <v>BV45691</v>
      </c>
      <c r="C864" s="8" t="str">
        <v>Pedido 851</v>
      </c>
      <c r="D864" s="9">
        <v>45690</v>
      </c>
      <c r="E864" s="9">
        <v>45691</v>
      </c>
      <c r="F864" s="8" t="str">
        <v>PedidoF830</v>
      </c>
      <c r="G864" s="2" t="str">
        <v>CódRastreio828</v>
      </c>
      <c r="H864" s="5">
        <v>1</v>
      </c>
      <c r="I864" s="182" t="str">
        <v>CPF 827</v>
      </c>
      <c r="J864" s="2" t="str">
        <v>Nome 827</v>
      </c>
      <c r="K864" s="8" t="str">
        <v>Tel 827</v>
      </c>
      <c r="L864" s="8" t="str">
        <v>Cep 827</v>
      </c>
      <c r="M864" s="8" t="str">
        <v>Rua 827</v>
      </c>
      <c r="N864" s="8" t="str">
        <v>Comp 827</v>
      </c>
      <c r="O864" s="8" t="str">
        <v>Suporte de Celular Branco</v>
      </c>
      <c r="P864" s="8" t="str">
        <v>16-4EDB-WMZF</v>
      </c>
      <c r="Q864" s="4">
        <v>45709</v>
      </c>
      <c r="R864" s="109">
        <v>18.899999999999999</v>
      </c>
      <c r="S864" s="11">
        <f ca="1"/>
        <v>18.899999999999999</v>
      </c>
      <c r="T864" s="28">
        <f ca="1"/>
        <v>2.8349999999999995</v>
      </c>
      <c r="U864" s="11">
        <f ca="1"/>
        <v>16.07</v>
      </c>
      <c r="V864" s="11">
        <v>6.99</v>
      </c>
      <c r="W864" s="11">
        <f ca="1"/>
        <v>0.17</v>
      </c>
      <c r="X864" s="11">
        <f ca="1"/>
        <v>0.39877104377104378</v>
      </c>
      <c r="Y864" s="11">
        <v>0</v>
      </c>
      <c r="Z864" s="11">
        <f ca="1"/>
        <v>8.5112289562289565</v>
      </c>
      <c r="AA864" s="11">
        <f ca="1"/>
        <v>4.2556144781144782</v>
      </c>
      <c r="AB864" s="4">
        <f ca="1"/>
        <v>45716</v>
      </c>
      <c r="AC864" s="4">
        <v>45716</v>
      </c>
      <c r="AD864" s="9">
        <v>45721</v>
      </c>
      <c r="AE864" s="9">
        <v>45721</v>
      </c>
      <c r="AF864" s="4" t="str">
        <f t="shared" ca="1" si="38"/>
        <v>2025 02</v>
      </c>
      <c r="AG864" s="8" t="str" cm="1">
        <f t="array" ref="AG864">IFERROR(_xlfn.IFS('Banco de Dados'!#REF!="AG. COMPRA","Em processamento",'Banco de Dados'!#REF!="AG. RASTREIO","Em processamento",'Banco de Dados'!$AE864&lt;&gt;"-","Faturado",'Banco de Dados'!$AD864&lt;&gt;"-","Aguardando Pix",'Banco de Dados'!$AC864&lt;&gt;"-","Pendente"),"Aguardando Liberação")</f>
        <v>Aguardando Liberação</v>
      </c>
      <c r="AH864" s="5" t="str">
        <f>IF('Banco de Dados'!$F864="-",_xlfn.CONCAT(PROPER(TEXT(AK864,"aaaa"))," ",PROPER(TEXT(AK864,"mm"))),_xlfn.CONCAT(PROPER(TEXT(E864,"aaaa"))," ",PROPER(TEXT(E864,"mm"))))</f>
        <v>2025 02</v>
      </c>
      <c r="AI864" s="9" t="str">
        <f ca="1">IF('Banco de Dados'!$AK864&lt;&gt;"-","REEMBOLSO",IFERROR(_xlfn.XLOOKUP(G864,Follow[CODRASTREIO],Follow[STATUS]),"-"))</f>
        <v>ENTREGUE</v>
      </c>
      <c r="AJ864" s="9">
        <f ca="1">IF('Banco de Dados'!$AI864="ENTREGUE",_xlfn.XLOOKUP('Banco de Dados'!$G864,Follow[CODRASTREIO],Follow[DATAATUALIZAÇÃO]),"-")</f>
        <v>45695</v>
      </c>
      <c r="AK864" s="132" t="str">
        <f ca="1"/>
        <v>-</v>
      </c>
      <c r="AL864" s="35"/>
      <c r="AM864" s="109" cm="1">
        <f t="array" aca="1" ref="AM864" ca="1">IF('Banco de Dados'!$AK864&lt;&gt;"-",_xlfn.IFS('Banco de Dados'!$A864="bv",IF('Banco de Dados'!$E864&lt;45641,ROUND(SUM('Banco de Dados'!$R864*_xlfn.XLOOKUP('Banco de Dados'!$P864,Sku!B:B,Sku!#REF!)*20%),2),ROUND(SUM('Banco de Dados'!$R864*_xlfn.XLOOKUP('Banco de Dados'!$P864,Sku!B:B,Sku!H:H)*20%),2)),'Banco de Dados'!$A864="GO",ROUND(_xlfn.XLOOKUP('Banco de Dados'!$P864,Sku!C:C,Sku!H:H),2),'Banco de Dados'!$A864="MEI",ROUND(_xlfn.XLOOKUP('Banco de Dados'!$P864,Sku!D:D,Sku!H:H),2)),0)</f>
        <v>0</v>
      </c>
      <c r="AN864" s="109">
        <f ca="1">IF('Banco de Dados'!$AK864&lt;&gt;"-",IF('Banco de Dados'!$F864&lt;&gt;"-",_xlfn.XLOOKUP(IFERROR(IFERROR(IFERROR(VALUE(SUBSTITUTE(MID(_xlfn.TEXTAFTER('Banco de Dados'!$F864,"Data do Pedido:
",1),1,10),"-","/")),VALUE(SUBSTITUTE(MID(_xlfn.TEXTAFTER('Banco de Dados'!$F864,"Order date:
",1),1,10),"-","/"))),VALUE(SUBSTITUTE(MID(_xlfn.TEXTAFTER('Banco de Dados'!$F864,"Fecha de pedido:
",1),1,10),"-","/"))),"-"),SMS!A:A,SMS!K:K),0),0)</f>
        <v>0</v>
      </c>
      <c r="AO864" s="109">
        <f ca="1">IF('Banco de Dados'!$AK864&lt;&gt;"-",IF('Banco de Dados'!$F864&lt;&gt;"-",IFERROR(_xlfn.XLOOKUP(_xlfn.CONCAT('Banco de Dados'!$A864,IFERROR(IFERROR(VALUE(SUBSTITUTE(MID(_xlfn.TEXTAFTER('Banco de Dados'!$F864,"Data do Pedido:
",1),1,10),"-","/")),VALUE(SUBSTITUTE(MID(_xlfn.TEXTAFTER('Banco de Dados'!$F864,"Order date:
",1),1,10),"-","/"))),0)),ProxyDD[Chave],ProxyDD[Valor por pedido]),PROXY!$P$2),0),0)</f>
        <v>0</v>
      </c>
      <c r="AP864" s="28">
        <f ca="1">IF('Banco de Dados'!$AK864&lt;&gt;"-",IF('Banco de Dados'!$AL864="NÃO",IFERROR(VALUE(SUBSTITUTE(_xlfn.TEXTAFTER('Banco de Dados'!$F864,"BRL ",1),".",",")),0),0),0)</f>
        <v>0</v>
      </c>
      <c r="AQ864" s="28">
        <f ca="1">SUM('Banco de Dados'!$AM864:$AP864)</f>
        <v>0</v>
      </c>
      <c r="AR864" s="8"/>
      <c r="AS864" s="8"/>
      <c r="AT864"/>
      <c r="AY864" s="8"/>
    </row>
    <row r="865" spans="1:51">
      <c r="A865" s="5" t="str">
        <v>BV</v>
      </c>
      <c r="B865" s="5" t="str">
        <f ca="1"/>
        <v>BV45691</v>
      </c>
      <c r="C865" s="8" t="str">
        <v>Pedido 852</v>
      </c>
      <c r="D865" s="9">
        <v>45690</v>
      </c>
      <c r="E865" s="9">
        <v>45691</v>
      </c>
      <c r="F865" s="8" t="str">
        <v>PedidoF831</v>
      </c>
      <c r="G865" s="2" t="str">
        <v>CódRastreio829</v>
      </c>
      <c r="H865" s="5">
        <v>1</v>
      </c>
      <c r="I865" s="182" t="str">
        <v>CPF 828</v>
      </c>
      <c r="J865" s="2" t="str">
        <v>Nome 828</v>
      </c>
      <c r="K865" s="8" t="str">
        <v>Tel 828</v>
      </c>
      <c r="L865" s="8" t="str">
        <v>Cep 828</v>
      </c>
      <c r="M865" s="8" t="str">
        <v>Rua 828</v>
      </c>
      <c r="N865" s="8" t="str">
        <v>Comp 828</v>
      </c>
      <c r="O865" s="8" t="str">
        <v>Suporte de Celular Branco</v>
      </c>
      <c r="P865" s="8" t="str">
        <v>16-4EDB-WMZF</v>
      </c>
      <c r="Q865" s="4">
        <v>45715</v>
      </c>
      <c r="R865" s="109">
        <v>18.899999999999999</v>
      </c>
      <c r="S865" s="11">
        <f ca="1"/>
        <v>18.899999999999999</v>
      </c>
      <c r="T865" s="28">
        <f ca="1"/>
        <v>2.8349999999999995</v>
      </c>
      <c r="U865" s="11">
        <f ca="1"/>
        <v>16.07</v>
      </c>
      <c r="V865" s="11">
        <v>6.99</v>
      </c>
      <c r="W865" s="11">
        <f ca="1"/>
        <v>0.17</v>
      </c>
      <c r="X865" s="11">
        <f ca="1"/>
        <v>0.39877104377104378</v>
      </c>
      <c r="Y865" s="11">
        <v>0</v>
      </c>
      <c r="Z865" s="11">
        <f ca="1"/>
        <v>8.5112289562289565</v>
      </c>
      <c r="AA865" s="11">
        <f ca="1"/>
        <v>4.2556144781144782</v>
      </c>
      <c r="AB865" s="4">
        <f ca="1"/>
        <v>45722</v>
      </c>
      <c r="AC865" s="4">
        <v>45722</v>
      </c>
      <c r="AD865" s="9">
        <v>45730</v>
      </c>
      <c r="AE865" s="9">
        <v>45733</v>
      </c>
      <c r="AF865" s="4" t="str">
        <f t="shared" ca="1" si="38"/>
        <v>2025 03</v>
      </c>
      <c r="AG865" s="8" t="str" cm="1">
        <f t="array" ref="AG865">IFERROR(_xlfn.IFS('Banco de Dados'!#REF!="AG. COMPRA","Em processamento",'Banco de Dados'!#REF!="AG. RASTREIO","Em processamento",'Banco de Dados'!$AE865&lt;&gt;"-","Faturado",'Banco de Dados'!$AD865&lt;&gt;"-","Aguardando Pix",'Banco de Dados'!$AC865&lt;&gt;"-","Pendente"),"Aguardando Liberação")</f>
        <v>Aguardando Liberação</v>
      </c>
      <c r="AH865" s="5" t="str">
        <f>IF('Banco de Dados'!$F865="-",_xlfn.CONCAT(PROPER(TEXT(AK865,"aaaa"))," ",PROPER(TEXT(AK865,"mm"))),_xlfn.CONCAT(PROPER(TEXT(E865,"aaaa"))," ",PROPER(TEXT(E865,"mm"))))</f>
        <v>2025 02</v>
      </c>
      <c r="AI865" s="9" t="str">
        <f ca="1">IF('Banco de Dados'!$AK865&lt;&gt;"-","REEMBOLSO",IFERROR(_xlfn.XLOOKUP(G865,Follow[CODRASTREIO],Follow[STATUS]),"-"))</f>
        <v>ENTREGUE</v>
      </c>
      <c r="AJ865" s="9">
        <f ca="1">IF('Banco de Dados'!$AI865="ENTREGUE",_xlfn.XLOOKUP('Banco de Dados'!$G865,Follow[CODRASTREIO],Follow[DATAATUALIZAÇÃO]),"-")</f>
        <v>45696</v>
      </c>
      <c r="AK865" s="132" t="str">
        <f ca="1"/>
        <v>-</v>
      </c>
      <c r="AL865" s="35"/>
      <c r="AM865" s="109" cm="1">
        <f t="array" aca="1" ref="AM865" ca="1">IF('Banco de Dados'!$AK865&lt;&gt;"-",_xlfn.IFS('Banco de Dados'!$A865="bv",IF('Banco de Dados'!$E865&lt;45641,ROUND(SUM('Banco de Dados'!$R865*_xlfn.XLOOKUP('Banco de Dados'!$P865,Sku!B:B,Sku!#REF!)*20%),2),ROUND(SUM('Banco de Dados'!$R865*_xlfn.XLOOKUP('Banco de Dados'!$P865,Sku!B:B,Sku!H:H)*20%),2)),'Banco de Dados'!$A865="GO",ROUND(_xlfn.XLOOKUP('Banco de Dados'!$P865,Sku!C:C,Sku!H:H),2),'Banco de Dados'!$A865="MEI",ROUND(_xlfn.XLOOKUP('Banco de Dados'!$P865,Sku!D:D,Sku!H:H),2)),0)</f>
        <v>0</v>
      </c>
      <c r="AN865" s="109">
        <f ca="1">IF('Banco de Dados'!$AK865&lt;&gt;"-",IF('Banco de Dados'!$F865&lt;&gt;"-",_xlfn.XLOOKUP(IFERROR(IFERROR(IFERROR(VALUE(SUBSTITUTE(MID(_xlfn.TEXTAFTER('Banco de Dados'!$F865,"Data do Pedido:
",1),1,10),"-","/")),VALUE(SUBSTITUTE(MID(_xlfn.TEXTAFTER('Banco de Dados'!$F865,"Order date:
",1),1,10),"-","/"))),VALUE(SUBSTITUTE(MID(_xlfn.TEXTAFTER('Banco de Dados'!$F865,"Fecha de pedido:
",1),1,10),"-","/"))),"-"),SMS!A:A,SMS!K:K),0),0)</f>
        <v>0</v>
      </c>
      <c r="AO865" s="109">
        <f ca="1">IF('Banco de Dados'!$AK865&lt;&gt;"-",IF('Banco de Dados'!$F865&lt;&gt;"-",IFERROR(_xlfn.XLOOKUP(_xlfn.CONCAT('Banco de Dados'!$A865,IFERROR(IFERROR(VALUE(SUBSTITUTE(MID(_xlfn.TEXTAFTER('Banco de Dados'!$F865,"Data do Pedido:
",1),1,10),"-","/")),VALUE(SUBSTITUTE(MID(_xlfn.TEXTAFTER('Banco de Dados'!$F865,"Order date:
",1),1,10),"-","/"))),0)),ProxyDD[Chave],ProxyDD[Valor por pedido]),PROXY!$P$2),0),0)</f>
        <v>0</v>
      </c>
      <c r="AP865" s="28">
        <f ca="1">IF('Banco de Dados'!$AK865&lt;&gt;"-",IF('Banco de Dados'!$AL865="NÃO",IFERROR(VALUE(SUBSTITUTE(_xlfn.TEXTAFTER('Banco de Dados'!$F865,"BRL ",1),".",",")),0),0),0)</f>
        <v>0</v>
      </c>
      <c r="AQ865" s="28">
        <f ca="1">SUM('Banco de Dados'!$AM865:$AP865)</f>
        <v>0</v>
      </c>
      <c r="AR865" s="8"/>
      <c r="AS865" s="8"/>
      <c r="AT865"/>
      <c r="AY865" s="8"/>
    </row>
    <row r="866" spans="1:51">
      <c r="A866" s="5" t="str">
        <v>BV</v>
      </c>
      <c r="B866" s="5" t="str">
        <f ca="1"/>
        <v>BV45691</v>
      </c>
      <c r="C866" s="8" t="str">
        <v>Pedido 853</v>
      </c>
      <c r="D866" s="9">
        <v>45690</v>
      </c>
      <c r="E866" s="9">
        <v>45691</v>
      </c>
      <c r="F866" s="8" t="str">
        <v>PedidoF832</v>
      </c>
      <c r="G866" s="2" t="str">
        <v>CódRastreio830</v>
      </c>
      <c r="H866" s="5">
        <v>1</v>
      </c>
      <c r="I866" s="182" t="str">
        <v>CPF 829</v>
      </c>
      <c r="J866" s="2" t="str">
        <v>Nome 829</v>
      </c>
      <c r="K866" s="8" t="str">
        <v>Tel 829</v>
      </c>
      <c r="L866" s="8" t="str">
        <v>Cep 829</v>
      </c>
      <c r="M866" s="8" t="str">
        <v>Rua 829</v>
      </c>
      <c r="N866" s="8" t="str">
        <v>Comp 829</v>
      </c>
      <c r="O866" s="8" t="str">
        <v>Ventilador Rosa</v>
      </c>
      <c r="P866" s="8" t="str">
        <v>IF-G2ZQ-79FO</v>
      </c>
      <c r="Q866" s="4">
        <v>45709</v>
      </c>
      <c r="R866" s="109">
        <v>52.7</v>
      </c>
      <c r="S866" s="11">
        <f ca="1"/>
        <v>52.7</v>
      </c>
      <c r="T866" s="28">
        <f ca="1"/>
        <v>6.8510000000000009</v>
      </c>
      <c r="U866" s="11">
        <f ca="1"/>
        <v>45.85</v>
      </c>
      <c r="V866" s="11">
        <v>16.57</v>
      </c>
      <c r="W866" s="11">
        <f ca="1"/>
        <v>0.17</v>
      </c>
      <c r="X866" s="11">
        <f ca="1"/>
        <v>0.39877104377104378</v>
      </c>
      <c r="Y866" s="11">
        <v>0</v>
      </c>
      <c r="Z866" s="11">
        <f ca="1"/>
        <v>28.711228956228954</v>
      </c>
      <c r="AA866" s="11">
        <f ca="1"/>
        <v>14.355614478114477</v>
      </c>
      <c r="AB866" s="4">
        <f ca="1"/>
        <v>45716</v>
      </c>
      <c r="AC866" s="4">
        <v>45716</v>
      </c>
      <c r="AD866" s="9">
        <v>45721</v>
      </c>
      <c r="AE866" s="9">
        <v>45721</v>
      </c>
      <c r="AF866" s="4" t="str">
        <f t="shared" ca="1" si="38"/>
        <v>2025 02</v>
      </c>
      <c r="AG866" s="8" t="str" cm="1">
        <f t="array" ref="AG866">IFERROR(_xlfn.IFS('Banco de Dados'!#REF!="AG. COMPRA","Em processamento",'Banco de Dados'!#REF!="AG. RASTREIO","Em processamento",'Banco de Dados'!$AE866&lt;&gt;"-","Faturado",'Banco de Dados'!$AD866&lt;&gt;"-","Aguardando Pix",'Banco de Dados'!$AC866&lt;&gt;"-","Pendente"),"Aguardando Liberação")</f>
        <v>Aguardando Liberação</v>
      </c>
      <c r="AH866" s="5" t="str">
        <f>IF('Banco de Dados'!$F866="-",_xlfn.CONCAT(PROPER(TEXT(AK866,"aaaa"))," ",PROPER(TEXT(AK866,"mm"))),_xlfn.CONCAT(PROPER(TEXT(E866,"aaaa"))," ",PROPER(TEXT(E866,"mm"))))</f>
        <v>2025 02</v>
      </c>
      <c r="AI866" s="9" t="str">
        <f ca="1">IF('Banco de Dados'!$AK866&lt;&gt;"-","REEMBOLSO",IFERROR(_xlfn.XLOOKUP(G866,Follow[CODRASTREIO],Follow[STATUS]),"-"))</f>
        <v>ENTREGUE</v>
      </c>
      <c r="AJ866" s="9">
        <f ca="1">IF('Banco de Dados'!$AI866="ENTREGUE",_xlfn.XLOOKUP('Banco de Dados'!$G866,Follow[CODRASTREIO],Follow[DATAATUALIZAÇÃO]),"-")</f>
        <v>45702</v>
      </c>
      <c r="AK866" s="132" t="str">
        <f ca="1"/>
        <v>-</v>
      </c>
      <c r="AL866" s="35"/>
      <c r="AM866" s="109" cm="1">
        <f t="array" aca="1" ref="AM866" ca="1">IF('Banco de Dados'!$AK866&lt;&gt;"-",_xlfn.IFS('Banco de Dados'!$A866="bv",IF('Banco de Dados'!$E866&lt;45641,ROUND(SUM('Banco de Dados'!$R866*_xlfn.XLOOKUP('Banco de Dados'!$P866,Sku!B:B,Sku!#REF!)*20%),2),ROUND(SUM('Banco de Dados'!$R866*_xlfn.XLOOKUP('Banco de Dados'!$P866,Sku!B:B,Sku!H:H)*20%),2)),'Banco de Dados'!$A866="GO",ROUND(_xlfn.XLOOKUP('Banco de Dados'!$P866,Sku!C:C,Sku!H:H),2),'Banco de Dados'!$A866="MEI",ROUND(_xlfn.XLOOKUP('Banco de Dados'!$P866,Sku!D:D,Sku!H:H),2)),0)</f>
        <v>0</v>
      </c>
      <c r="AN866" s="109">
        <f ca="1">IF('Banco de Dados'!$AK866&lt;&gt;"-",IF('Banco de Dados'!$F866&lt;&gt;"-",_xlfn.XLOOKUP(IFERROR(IFERROR(IFERROR(VALUE(SUBSTITUTE(MID(_xlfn.TEXTAFTER('Banco de Dados'!$F866,"Data do Pedido:
",1),1,10),"-","/")),VALUE(SUBSTITUTE(MID(_xlfn.TEXTAFTER('Banco de Dados'!$F866,"Order date:
",1),1,10),"-","/"))),VALUE(SUBSTITUTE(MID(_xlfn.TEXTAFTER('Banco de Dados'!$F866,"Fecha de pedido:
",1),1,10),"-","/"))),"-"),SMS!A:A,SMS!K:K),0),0)</f>
        <v>0</v>
      </c>
      <c r="AO866" s="109">
        <f ca="1">IF('Banco de Dados'!$AK866&lt;&gt;"-",IF('Banco de Dados'!$F866&lt;&gt;"-",IFERROR(_xlfn.XLOOKUP(_xlfn.CONCAT('Banco de Dados'!$A866,IFERROR(IFERROR(VALUE(SUBSTITUTE(MID(_xlfn.TEXTAFTER('Banco de Dados'!$F866,"Data do Pedido:
",1),1,10),"-","/")),VALUE(SUBSTITUTE(MID(_xlfn.TEXTAFTER('Banco de Dados'!$F866,"Order date:
",1),1,10),"-","/"))),0)),ProxyDD[Chave],ProxyDD[Valor por pedido]),PROXY!$P$2),0),0)</f>
        <v>0</v>
      </c>
      <c r="AP866" s="28">
        <f ca="1">IF('Banco de Dados'!$AK866&lt;&gt;"-",IF('Banco de Dados'!$AL866="NÃO",IFERROR(VALUE(SUBSTITUTE(_xlfn.TEXTAFTER('Banco de Dados'!$F866,"BRL ",1),".",",")),0),0),0)</f>
        <v>0</v>
      </c>
      <c r="AQ866" s="28">
        <f ca="1">SUM('Banco de Dados'!$AM866:$AP866)</f>
        <v>0</v>
      </c>
      <c r="AR866" s="8"/>
      <c r="AS866" s="8"/>
      <c r="AT866"/>
      <c r="AY866" s="8"/>
    </row>
    <row r="867" spans="1:51">
      <c r="A867" s="5" t="str">
        <v>BV</v>
      </c>
      <c r="B867" s="5" t="str">
        <f ca="1"/>
        <v>BV45691</v>
      </c>
      <c r="C867" s="8" t="str">
        <v>Pedido 854</v>
      </c>
      <c r="D867" s="9">
        <v>45690</v>
      </c>
      <c r="E867" s="9">
        <v>45691</v>
      </c>
      <c r="F867" s="8" t="str">
        <v>PedidoF833</v>
      </c>
      <c r="G867" s="2" t="str">
        <v>CódRastreio831</v>
      </c>
      <c r="H867" s="5">
        <v>1</v>
      </c>
      <c r="I867" s="182" t="str">
        <v>CPF 830</v>
      </c>
      <c r="J867" s="2" t="str">
        <v>Nome 830</v>
      </c>
      <c r="K867" s="8" t="str">
        <v>Tel 830</v>
      </c>
      <c r="L867" s="8" t="str">
        <v>Cep 830</v>
      </c>
      <c r="M867" s="8" t="str">
        <v>Rua 830</v>
      </c>
      <c r="N867" s="8" t="str">
        <v>Comp 830</v>
      </c>
      <c r="O867" s="8" t="str">
        <v>Mini Liquidificador</v>
      </c>
      <c r="P867" s="8" t="str">
        <v>CK-YL6M-P5Y6</v>
      </c>
      <c r="Q867" s="4">
        <v>45707</v>
      </c>
      <c r="R867" s="109">
        <v>32.99</v>
      </c>
      <c r="S867" s="11">
        <f ca="1"/>
        <v>32.99</v>
      </c>
      <c r="T867" s="28">
        <f ca="1"/>
        <v>4.6186000000000007</v>
      </c>
      <c r="U867" s="11">
        <f ca="1"/>
        <v>28.37</v>
      </c>
      <c r="V867" s="11">
        <v>14.99</v>
      </c>
      <c r="W867" s="11">
        <f ca="1"/>
        <v>0.17</v>
      </c>
      <c r="X867" s="11">
        <f ca="1"/>
        <v>0.39877104377104378</v>
      </c>
      <c r="Y867" s="11">
        <v>0</v>
      </c>
      <c r="Z867" s="11">
        <f ca="1"/>
        <v>12.811228956228957</v>
      </c>
      <c r="AA867" s="11">
        <f ca="1"/>
        <v>6.4056144781144786</v>
      </c>
      <c r="AB867" s="4">
        <f ca="1"/>
        <v>45714</v>
      </c>
      <c r="AC867" s="4">
        <v>45714</v>
      </c>
      <c r="AD867" s="9">
        <v>45721</v>
      </c>
      <c r="AE867" s="9">
        <v>45721</v>
      </c>
      <c r="AF867" s="4" t="str">
        <f t="shared" ca="1" si="38"/>
        <v>2025 02</v>
      </c>
      <c r="AG867" s="8" t="str" cm="1">
        <f t="array" ref="AG867">IFERROR(_xlfn.IFS('Banco de Dados'!#REF!="AG. COMPRA","Em processamento",'Banco de Dados'!#REF!="AG. RASTREIO","Em processamento",'Banco de Dados'!$AE867&lt;&gt;"-","Faturado",'Banco de Dados'!$AD867&lt;&gt;"-","Aguardando Pix",'Banco de Dados'!$AC867&lt;&gt;"-","Pendente"),"Aguardando Liberação")</f>
        <v>Aguardando Liberação</v>
      </c>
      <c r="AH867" s="5" t="str">
        <f>IF('Banco de Dados'!$F867="-",_xlfn.CONCAT(PROPER(TEXT(AK867,"aaaa"))," ",PROPER(TEXT(AK867,"mm"))),_xlfn.CONCAT(PROPER(TEXT(E867,"aaaa"))," ",PROPER(TEXT(E867,"mm"))))</f>
        <v>2025 02</v>
      </c>
      <c r="AI867" s="9" t="str">
        <f ca="1">IF('Banco de Dados'!$AK867&lt;&gt;"-","REEMBOLSO",IFERROR(_xlfn.XLOOKUP(G867,Follow[CODRASTREIO],Follow[STATUS]),"-"))</f>
        <v>ENTREGUE</v>
      </c>
      <c r="AJ867" s="9">
        <f ca="1">IF('Banco de Dados'!$AI867="ENTREGUE",_xlfn.XLOOKUP('Banco de Dados'!$G867,Follow[CODRASTREIO],Follow[DATAATUALIZAÇÃO]),"-")</f>
        <v>45699</v>
      </c>
      <c r="AK867" s="132" t="str">
        <f ca="1"/>
        <v>-</v>
      </c>
      <c r="AL867" s="35"/>
      <c r="AM867" s="109" cm="1">
        <f t="array" aca="1" ref="AM867" ca="1">IF('Banco de Dados'!$AK867&lt;&gt;"-",_xlfn.IFS('Banco de Dados'!$A867="bv",IF('Banco de Dados'!$E867&lt;45641,ROUND(SUM('Banco de Dados'!$R867*_xlfn.XLOOKUP('Banco de Dados'!$P867,Sku!B:B,Sku!#REF!)*20%),2),ROUND(SUM('Banco de Dados'!$R867*_xlfn.XLOOKUP('Banco de Dados'!$P867,Sku!B:B,Sku!H:H)*20%),2)),'Banco de Dados'!$A867="GO",ROUND(_xlfn.XLOOKUP('Banco de Dados'!$P867,Sku!C:C,Sku!H:H),2),'Banco de Dados'!$A867="MEI",ROUND(_xlfn.XLOOKUP('Banco de Dados'!$P867,Sku!D:D,Sku!H:H),2)),0)</f>
        <v>0</v>
      </c>
      <c r="AN867" s="109">
        <f ca="1">IF('Banco de Dados'!$AK867&lt;&gt;"-",IF('Banco de Dados'!$F867&lt;&gt;"-",_xlfn.XLOOKUP(IFERROR(IFERROR(IFERROR(VALUE(SUBSTITUTE(MID(_xlfn.TEXTAFTER('Banco de Dados'!$F867,"Data do Pedido:
",1),1,10),"-","/")),VALUE(SUBSTITUTE(MID(_xlfn.TEXTAFTER('Banco de Dados'!$F867,"Order date:
",1),1,10),"-","/"))),VALUE(SUBSTITUTE(MID(_xlfn.TEXTAFTER('Banco de Dados'!$F867,"Fecha de pedido:
",1),1,10),"-","/"))),"-"),SMS!A:A,SMS!K:K),0),0)</f>
        <v>0</v>
      </c>
      <c r="AO867" s="109">
        <f ca="1">IF('Banco de Dados'!$AK867&lt;&gt;"-",IF('Banco de Dados'!$F867&lt;&gt;"-",IFERROR(_xlfn.XLOOKUP(_xlfn.CONCAT('Banco de Dados'!$A867,IFERROR(IFERROR(VALUE(SUBSTITUTE(MID(_xlfn.TEXTAFTER('Banco de Dados'!$F867,"Data do Pedido:
",1),1,10),"-","/")),VALUE(SUBSTITUTE(MID(_xlfn.TEXTAFTER('Banco de Dados'!$F867,"Order date:
",1),1,10),"-","/"))),0)),ProxyDD[Chave],ProxyDD[Valor por pedido]),PROXY!$P$2),0),0)</f>
        <v>0</v>
      </c>
      <c r="AP867" s="28">
        <f ca="1">IF('Banco de Dados'!$AK867&lt;&gt;"-",IF('Banco de Dados'!$AL867="NÃO",IFERROR(VALUE(SUBSTITUTE(_xlfn.TEXTAFTER('Banco de Dados'!$F867,"BRL ",1),".",",")),0),0),0)</f>
        <v>0</v>
      </c>
      <c r="AQ867" s="28">
        <f ca="1">SUM('Banco de Dados'!$AM867:$AP867)</f>
        <v>0</v>
      </c>
      <c r="AR867" s="8"/>
      <c r="AS867" s="8"/>
      <c r="AT867"/>
      <c r="AY867" s="8"/>
    </row>
    <row r="868" spans="1:51">
      <c r="A868" s="5" t="str">
        <v>BV</v>
      </c>
      <c r="B868" s="5" t="str">
        <f ca="1"/>
        <v>BV45691</v>
      </c>
      <c r="C868" s="8" t="str">
        <v>Pedido 855</v>
      </c>
      <c r="D868" s="9">
        <v>45690</v>
      </c>
      <c r="E868" s="9">
        <v>45691</v>
      </c>
      <c r="F868" s="8" t="str">
        <v>PedidoF834</v>
      </c>
      <c r="G868" s="2" t="str">
        <v>CódRastreio832</v>
      </c>
      <c r="H868" s="5">
        <v>1</v>
      </c>
      <c r="I868" s="182" t="str">
        <v>CPF 831</v>
      </c>
      <c r="J868" s="2" t="str">
        <v>Nome 831</v>
      </c>
      <c r="K868" s="8" t="str">
        <v>Tel 831</v>
      </c>
      <c r="L868" s="8" t="str">
        <v>Cep 831</v>
      </c>
      <c r="M868" s="8" t="str">
        <v>Rua 831</v>
      </c>
      <c r="N868" s="8" t="str">
        <v>Comp 831</v>
      </c>
      <c r="O868" s="8" t="str">
        <v>Ventilador de teto</v>
      </c>
      <c r="P868" s="8" t="str">
        <v>BP-NHG2-B8C1</v>
      </c>
      <c r="Q868" s="4">
        <v>45709</v>
      </c>
      <c r="R868" s="109">
        <v>74.989999999999995</v>
      </c>
      <c r="S868" s="11">
        <f ca="1"/>
        <v>0</v>
      </c>
      <c r="T868" s="28">
        <f ca="1"/>
        <v>0</v>
      </c>
      <c r="U868" s="11">
        <f ca="1"/>
        <v>0</v>
      </c>
      <c r="V868" s="11">
        <v>0</v>
      </c>
      <c r="W868" s="11">
        <f ca="1"/>
        <v>0</v>
      </c>
      <c r="X868" s="11">
        <f ca="1"/>
        <v>0.39877104377104378</v>
      </c>
      <c r="Y868" s="11">
        <v>0</v>
      </c>
      <c r="Z868" s="11">
        <f ca="1"/>
        <v>-0.39877104377104378</v>
      </c>
      <c r="AA868" s="11">
        <f ca="1"/>
        <v>-0.19938552188552189</v>
      </c>
      <c r="AB868" s="4">
        <f ca="1"/>
        <v>45716</v>
      </c>
      <c r="AC868" s="4">
        <v>45716</v>
      </c>
      <c r="AD868" s="9">
        <v>45721</v>
      </c>
      <c r="AE868" s="9">
        <v>45721</v>
      </c>
      <c r="AF868" s="4" t="str">
        <f t="shared" ca="1" si="38"/>
        <v>2025 02</v>
      </c>
      <c r="AG868" s="8" t="str" cm="1">
        <f t="array" ref="AG868">IFERROR(_xlfn.IFS('Banco de Dados'!#REF!="AG. COMPRA","Em processamento",'Banco de Dados'!#REF!="AG. RASTREIO","Em processamento",'Banco de Dados'!$AE868&lt;&gt;"-","Faturado",'Banco de Dados'!$AD868&lt;&gt;"-","Aguardando Pix",'Banco de Dados'!$AC868&lt;&gt;"-","Pendente"),"Aguardando Liberação")</f>
        <v>Aguardando Liberação</v>
      </c>
      <c r="AH868" s="5" t="str">
        <f>IF('Banco de Dados'!$F868="-",_xlfn.CONCAT(PROPER(TEXT(AK868,"aaaa"))," ",PROPER(TEXT(AK868,"mm"))),_xlfn.CONCAT(PROPER(TEXT(E868,"aaaa"))," ",PROPER(TEXT(E868,"mm"))))</f>
        <v>2025 02</v>
      </c>
      <c r="AI868" s="9" t="str">
        <f ca="1">IF('Banco de Dados'!$AK868&lt;&gt;"-","REEMBOLSO",IFERROR(_xlfn.XLOOKUP(G868,Follow[CODRASTREIO],Follow[STATUS]),"-"))</f>
        <v>REEMBOLSO</v>
      </c>
      <c r="AJ868" s="9" t="str">
        <f ca="1">IF('Banco de Dados'!$AI868="ENTREGUE",_xlfn.XLOOKUP('Banco de Dados'!$G868,Follow[CODRASTREIO],Follow[DATAATUALIZAÇÃO]),"-")</f>
        <v>-</v>
      </c>
      <c r="AK868" s="132">
        <f ca="1"/>
        <v>45716</v>
      </c>
      <c r="AL868" s="35"/>
      <c r="AM868" s="109" cm="1">
        <f t="array" aca="1" ref="AM868" ca="1">IF('Banco de Dados'!$AK868&lt;&gt;"-",_xlfn.IFS('Banco de Dados'!$A868="bv",IF('Banco de Dados'!$E868&lt;45641,ROUND(SUM('Banco de Dados'!$R868*_xlfn.XLOOKUP('Banco de Dados'!$P868,Sku!B:B,Sku!#REF!)*20%),2),ROUND(SUM('Banco de Dados'!$R868*_xlfn.XLOOKUP('Banco de Dados'!$P868,Sku!B:B,Sku!H:H)*20%),2)),'Banco de Dados'!$A868="GO",ROUND(_xlfn.XLOOKUP('Banco de Dados'!$P868,Sku!C:C,Sku!H:H),2),'Banco de Dados'!$A868="MEI",ROUND(_xlfn.XLOOKUP('Banco de Dados'!$P868,Sku!D:D,Sku!H:H),2)),0)</f>
        <v>1.95</v>
      </c>
      <c r="AN868" s="109" t="e">
        <f ca="1">IF('Banco de Dados'!$AK868&lt;&gt;"-",IF('Banco de Dados'!$F868&lt;&gt;"-",_xlfn.XLOOKUP(IFERROR(IFERROR(IFERROR(VALUE(SUBSTITUTE(MID(_xlfn.TEXTAFTER('Banco de Dados'!$F868,"Data do Pedido:
",1),1,10),"-","/")),VALUE(SUBSTITUTE(MID(_xlfn.TEXTAFTER('Banco de Dados'!$F868,"Order date:
",1),1,10),"-","/"))),VALUE(SUBSTITUTE(MID(_xlfn.TEXTAFTER('Banco de Dados'!$F868,"Fecha de pedido:
",1),1,10),"-","/"))),"-"),SMS!A:A,SMS!K:K),0),0)</f>
        <v>#N/A</v>
      </c>
      <c r="AO868" s="109">
        <f ca="1">IF('Banco de Dados'!$AK868&lt;&gt;"-",IF('Banco de Dados'!$F868&lt;&gt;"-",IFERROR(_xlfn.XLOOKUP(_xlfn.CONCAT('Banco de Dados'!$A868,IFERROR(IFERROR(VALUE(SUBSTITUTE(MID(_xlfn.TEXTAFTER('Banco de Dados'!$F868,"Data do Pedido:
",1),1,10),"-","/")),VALUE(SUBSTITUTE(MID(_xlfn.TEXTAFTER('Banco de Dados'!$F868,"Order date:
",1),1,10),"-","/"))),0)),ProxyDD[Chave],ProxyDD[Valor por pedido]),PROXY!$P$2),0),0)</f>
        <v>0.39877104377104378</v>
      </c>
      <c r="AP868" s="28">
        <f ca="1">IF('Banco de Dados'!$AK868&lt;&gt;"-",IF('Banco de Dados'!$AL868="NÃO",IFERROR(VALUE(SUBSTITUTE(_xlfn.TEXTAFTER('Banco de Dados'!$F868,"BRL ",1),".",",")),0),0),0)</f>
        <v>0</v>
      </c>
      <c r="AQ868" s="28" t="e">
        <f ca="1">SUM('Banco de Dados'!$AM868:$AP868)</f>
        <v>#N/A</v>
      </c>
      <c r="AR868" s="8"/>
      <c r="AS868" s="8"/>
      <c r="AT868"/>
      <c r="AY868" s="8"/>
    </row>
    <row r="869" spans="1:51">
      <c r="A869" s="5" t="str">
        <v>BV</v>
      </c>
      <c r="B869" s="5" t="str">
        <f ca="1"/>
        <v>BV45691</v>
      </c>
      <c r="C869" s="8" t="str">
        <v>Pedido 856</v>
      </c>
      <c r="D869" s="9">
        <v>45690</v>
      </c>
      <c r="E869" s="9">
        <v>45691</v>
      </c>
      <c r="F869" s="8" t="str">
        <v>PedidoF835</v>
      </c>
      <c r="G869" s="2" t="str">
        <v>CódRastreio833</v>
      </c>
      <c r="H869" s="5">
        <v>1</v>
      </c>
      <c r="I869" s="182" t="str">
        <v>CPF 832</v>
      </c>
      <c r="J869" s="2" t="str">
        <v>Nome 832</v>
      </c>
      <c r="K869" s="8" t="str">
        <v>Tel 832</v>
      </c>
      <c r="L869" s="8" t="str">
        <v>Cep 832</v>
      </c>
      <c r="M869" s="8" t="str">
        <v>Rua 832</v>
      </c>
      <c r="N869" s="8" t="str">
        <v>Comp 832</v>
      </c>
      <c r="O869" s="8" t="str">
        <v>Suporte de Celular Branco</v>
      </c>
      <c r="P869" s="8" t="str">
        <v>16-4EDB-WMZF</v>
      </c>
      <c r="Q869" s="4">
        <v>45715</v>
      </c>
      <c r="R869" s="109">
        <v>18.899999999999999</v>
      </c>
      <c r="S869" s="11">
        <f ca="1"/>
        <v>18.899999999999999</v>
      </c>
      <c r="T869" s="28">
        <f ca="1"/>
        <v>2.8349999999999995</v>
      </c>
      <c r="U869" s="11">
        <f ca="1"/>
        <v>16.07</v>
      </c>
      <c r="V869" s="11">
        <v>6.99</v>
      </c>
      <c r="W869" s="11">
        <f ca="1"/>
        <v>0.17</v>
      </c>
      <c r="X869" s="11">
        <f ca="1"/>
        <v>0.39877104377104378</v>
      </c>
      <c r="Y869" s="11">
        <v>0</v>
      </c>
      <c r="Z869" s="11">
        <f ca="1"/>
        <v>8.5112289562289565</v>
      </c>
      <c r="AA869" s="11">
        <f ca="1"/>
        <v>4.2556144781144782</v>
      </c>
      <c r="AB869" s="4">
        <f ca="1"/>
        <v>45722</v>
      </c>
      <c r="AC869" s="4">
        <v>45722</v>
      </c>
      <c r="AD869" s="9">
        <v>45730</v>
      </c>
      <c r="AE869" s="9">
        <v>45733</v>
      </c>
      <c r="AF869" s="4" t="str">
        <f t="shared" ca="1" si="38"/>
        <v>2025 03</v>
      </c>
      <c r="AG869" s="8" t="str" cm="1">
        <f t="array" ref="AG869">IFERROR(_xlfn.IFS('Banco de Dados'!#REF!="AG. COMPRA","Em processamento",'Banco de Dados'!#REF!="AG. RASTREIO","Em processamento",'Banco de Dados'!$AE869&lt;&gt;"-","Faturado",'Banco de Dados'!$AD869&lt;&gt;"-","Aguardando Pix",'Banco de Dados'!$AC869&lt;&gt;"-","Pendente"),"Aguardando Liberação")</f>
        <v>Aguardando Liberação</v>
      </c>
      <c r="AH869" s="5" t="str">
        <f>IF('Banco de Dados'!$F869="-",_xlfn.CONCAT(PROPER(TEXT(AK869,"aaaa"))," ",PROPER(TEXT(AK869,"mm"))),_xlfn.CONCAT(PROPER(TEXT(E869,"aaaa"))," ",PROPER(TEXT(E869,"mm"))))</f>
        <v>2025 02</v>
      </c>
      <c r="AI869" s="9" t="str">
        <f ca="1">IF('Banco de Dados'!$AK869&lt;&gt;"-","REEMBOLSO",IFERROR(_xlfn.XLOOKUP(G869,Follow[CODRASTREIO],Follow[STATUS]),"-"))</f>
        <v>ENTREGUE</v>
      </c>
      <c r="AJ869" s="9">
        <f ca="1">IF('Banco de Dados'!$AI869="ENTREGUE",_xlfn.XLOOKUP('Banco de Dados'!$G869,Follow[CODRASTREIO],Follow[DATAATUALIZAÇÃO]),"-")</f>
        <v>45706</v>
      </c>
      <c r="AK869" s="132" t="str">
        <f ca="1"/>
        <v>-</v>
      </c>
      <c r="AL869" s="35"/>
      <c r="AM869" s="109" cm="1">
        <f t="array" aca="1" ref="AM869" ca="1">IF('Banco de Dados'!$AK869&lt;&gt;"-",_xlfn.IFS('Banco de Dados'!$A869="bv",IF('Banco de Dados'!$E869&lt;45641,ROUND(SUM('Banco de Dados'!$R869*_xlfn.XLOOKUP('Banco de Dados'!$P869,Sku!B:B,Sku!#REF!)*20%),2),ROUND(SUM('Banco de Dados'!$R869*_xlfn.XLOOKUP('Banco de Dados'!$P869,Sku!B:B,Sku!H:H)*20%),2)),'Banco de Dados'!$A869="GO",ROUND(_xlfn.XLOOKUP('Banco de Dados'!$P869,Sku!C:C,Sku!H:H),2),'Banco de Dados'!$A869="MEI",ROUND(_xlfn.XLOOKUP('Banco de Dados'!$P869,Sku!D:D,Sku!H:H),2)),0)</f>
        <v>0</v>
      </c>
      <c r="AN869" s="109">
        <f ca="1">IF('Banco de Dados'!$AK869&lt;&gt;"-",IF('Banco de Dados'!$F869&lt;&gt;"-",_xlfn.XLOOKUP(IFERROR(IFERROR(IFERROR(VALUE(SUBSTITUTE(MID(_xlfn.TEXTAFTER('Banco de Dados'!$F869,"Data do Pedido:
",1),1,10),"-","/")),VALUE(SUBSTITUTE(MID(_xlfn.TEXTAFTER('Banco de Dados'!$F869,"Order date:
",1),1,10),"-","/"))),VALUE(SUBSTITUTE(MID(_xlfn.TEXTAFTER('Banco de Dados'!$F869,"Fecha de pedido:
",1),1,10),"-","/"))),"-"),SMS!A:A,SMS!K:K),0),0)</f>
        <v>0</v>
      </c>
      <c r="AO869" s="109">
        <f ca="1">IF('Banco de Dados'!$AK869&lt;&gt;"-",IF('Banco de Dados'!$F869&lt;&gt;"-",IFERROR(_xlfn.XLOOKUP(_xlfn.CONCAT('Banco de Dados'!$A869,IFERROR(IFERROR(VALUE(SUBSTITUTE(MID(_xlfn.TEXTAFTER('Banco de Dados'!$F869,"Data do Pedido:
",1),1,10),"-","/")),VALUE(SUBSTITUTE(MID(_xlfn.TEXTAFTER('Banco de Dados'!$F869,"Order date:
",1),1,10),"-","/"))),0)),ProxyDD[Chave],ProxyDD[Valor por pedido]),PROXY!$P$2),0),0)</f>
        <v>0</v>
      </c>
      <c r="AP869" s="28">
        <f ca="1">IF('Banco de Dados'!$AK869&lt;&gt;"-",IF('Banco de Dados'!$AL869="NÃO",IFERROR(VALUE(SUBSTITUTE(_xlfn.TEXTAFTER('Banco de Dados'!$F869,"BRL ",1),".",",")),0),0),0)</f>
        <v>0</v>
      </c>
      <c r="AQ869" s="28">
        <f ca="1">SUM('Banco de Dados'!$AM869:$AP869)</f>
        <v>0</v>
      </c>
      <c r="AR869" s="8"/>
      <c r="AS869" s="8"/>
      <c r="AT869"/>
      <c r="AY869" s="8"/>
    </row>
    <row r="870" spans="1:51">
      <c r="A870" s="5" t="str">
        <v>BV</v>
      </c>
      <c r="B870" s="5" t="str">
        <f ca="1"/>
        <v>BV45691</v>
      </c>
      <c r="C870" s="8" t="str">
        <v>Pedido 857</v>
      </c>
      <c r="D870" s="9">
        <v>45691</v>
      </c>
      <c r="E870" s="9">
        <v>45691</v>
      </c>
      <c r="F870" s="8" t="str">
        <v>PedidoF836</v>
      </c>
      <c r="G870" s="2" t="str">
        <v>CódRastreio834</v>
      </c>
      <c r="H870" s="5">
        <v>1</v>
      </c>
      <c r="I870" s="182" t="str">
        <v>CPF 833</v>
      </c>
      <c r="J870" s="2" t="str">
        <v>Nome 833</v>
      </c>
      <c r="K870" s="8" t="str">
        <v>Tel 833</v>
      </c>
      <c r="L870" s="8" t="str">
        <v>Cep 833</v>
      </c>
      <c r="M870" s="8" t="str">
        <v>Rua 833</v>
      </c>
      <c r="N870" s="8" t="str">
        <v>Comp 833</v>
      </c>
      <c r="O870" s="8" t="str">
        <v>Garrafa Termica</v>
      </c>
      <c r="P870" s="8" t="str">
        <v>FM-QQ8Y-RZT4</v>
      </c>
      <c r="Q870" s="4">
        <v>45715</v>
      </c>
      <c r="R870" s="109">
        <v>34.5</v>
      </c>
      <c r="S870" s="11">
        <f ca="1"/>
        <v>34.5</v>
      </c>
      <c r="T870" s="28">
        <f ca="1"/>
        <v>4.4850000000000003</v>
      </c>
      <c r="U870" s="11">
        <f ca="1"/>
        <v>30.02</v>
      </c>
      <c r="V870" s="11">
        <v>17</v>
      </c>
      <c r="W870" s="11">
        <f ca="1"/>
        <v>0.17</v>
      </c>
      <c r="X870" s="11">
        <f ca="1"/>
        <v>0.39877104377104378</v>
      </c>
      <c r="Y870" s="11">
        <v>0</v>
      </c>
      <c r="Z870" s="11">
        <f ca="1"/>
        <v>12.451228956228952</v>
      </c>
      <c r="AA870" s="11">
        <f ca="1"/>
        <v>6.2256144781144762</v>
      </c>
      <c r="AB870" s="4">
        <f ca="1"/>
        <v>45722</v>
      </c>
      <c r="AC870" s="4">
        <v>45722</v>
      </c>
      <c r="AD870" s="9">
        <v>45730</v>
      </c>
      <c r="AE870" s="9">
        <v>45733</v>
      </c>
      <c r="AF870" s="4" t="str">
        <f t="shared" ca="1" si="38"/>
        <v>2025 03</v>
      </c>
      <c r="AG870" s="8" t="str" cm="1">
        <f t="array" ref="AG870">IFERROR(_xlfn.IFS('Banco de Dados'!#REF!="AG. COMPRA","Em processamento",'Banco de Dados'!#REF!="AG. RASTREIO","Em processamento",'Banco de Dados'!$AE870&lt;&gt;"-","Faturado",'Banco de Dados'!$AD870&lt;&gt;"-","Aguardando Pix",'Banco de Dados'!$AC870&lt;&gt;"-","Pendente"),"Aguardando Liberação")</f>
        <v>Aguardando Liberação</v>
      </c>
      <c r="AH870" s="5" t="str">
        <f>IF('Banco de Dados'!$F870="-",_xlfn.CONCAT(PROPER(TEXT(AK870,"aaaa"))," ",PROPER(TEXT(AK870,"mm"))),_xlfn.CONCAT(PROPER(TEXT(E870,"aaaa"))," ",PROPER(TEXT(E870,"mm"))))</f>
        <v>2025 02</v>
      </c>
      <c r="AI870" s="9" t="str">
        <f ca="1">IF('Banco de Dados'!$AK870&lt;&gt;"-","REEMBOLSO",IFERROR(_xlfn.XLOOKUP(G870,Follow[CODRASTREIO],Follow[STATUS]),"-"))</f>
        <v>ENTREGUE</v>
      </c>
      <c r="AJ870" s="9">
        <f ca="1">IF('Banco de Dados'!$AI870="ENTREGUE",_xlfn.XLOOKUP('Banco de Dados'!$G870,Follow[CODRASTREIO],Follow[DATAATUALIZAÇÃO]),"-")</f>
        <v>45700</v>
      </c>
      <c r="AK870" s="132" t="str">
        <f ca="1"/>
        <v>-</v>
      </c>
      <c r="AL870" s="35"/>
      <c r="AM870" s="109" cm="1">
        <f t="array" aca="1" ref="AM870" ca="1">IF('Banco de Dados'!$AK870&lt;&gt;"-",_xlfn.IFS('Banco de Dados'!$A870="bv",IF('Banco de Dados'!$E870&lt;45641,ROUND(SUM('Banco de Dados'!$R870*_xlfn.XLOOKUP('Banco de Dados'!$P870,Sku!B:B,Sku!#REF!)*20%),2),ROUND(SUM('Banco de Dados'!$R870*_xlfn.XLOOKUP('Banco de Dados'!$P870,Sku!B:B,Sku!H:H)*20%),2)),'Banco de Dados'!$A870="GO",ROUND(_xlfn.XLOOKUP('Banco de Dados'!$P870,Sku!C:C,Sku!H:H),2),'Banco de Dados'!$A870="MEI",ROUND(_xlfn.XLOOKUP('Banco de Dados'!$P870,Sku!D:D,Sku!H:H),2)),0)</f>
        <v>0</v>
      </c>
      <c r="AN870" s="109">
        <f ca="1">IF('Banco de Dados'!$AK870&lt;&gt;"-",IF('Banco de Dados'!$F870&lt;&gt;"-",_xlfn.XLOOKUP(IFERROR(IFERROR(IFERROR(VALUE(SUBSTITUTE(MID(_xlfn.TEXTAFTER('Banco de Dados'!$F870,"Data do Pedido:
",1),1,10),"-","/")),VALUE(SUBSTITUTE(MID(_xlfn.TEXTAFTER('Banco de Dados'!$F870,"Order date:
",1),1,10),"-","/"))),VALUE(SUBSTITUTE(MID(_xlfn.TEXTAFTER('Banco de Dados'!$F870,"Fecha de pedido:
",1),1,10),"-","/"))),"-"),SMS!A:A,SMS!K:K),0),0)</f>
        <v>0</v>
      </c>
      <c r="AO870" s="109">
        <f ca="1">IF('Banco de Dados'!$AK870&lt;&gt;"-",IF('Banco de Dados'!$F870&lt;&gt;"-",IFERROR(_xlfn.XLOOKUP(_xlfn.CONCAT('Banco de Dados'!$A870,IFERROR(IFERROR(VALUE(SUBSTITUTE(MID(_xlfn.TEXTAFTER('Banco de Dados'!$F870,"Data do Pedido:
",1),1,10),"-","/")),VALUE(SUBSTITUTE(MID(_xlfn.TEXTAFTER('Banco de Dados'!$F870,"Order date:
",1),1,10),"-","/"))),0)),ProxyDD[Chave],ProxyDD[Valor por pedido]),PROXY!$P$2),0),0)</f>
        <v>0</v>
      </c>
      <c r="AP870" s="28">
        <f ca="1">IF('Banco de Dados'!$AK870&lt;&gt;"-",IF('Banco de Dados'!$AL870="NÃO",IFERROR(VALUE(SUBSTITUTE(_xlfn.TEXTAFTER('Banco de Dados'!$F870,"BRL ",1),".",",")),0),0),0)</f>
        <v>0</v>
      </c>
      <c r="AQ870" s="28">
        <f ca="1">SUM('Banco de Dados'!$AM870:$AP870)</f>
        <v>0</v>
      </c>
      <c r="AR870" s="8"/>
      <c r="AS870" s="8"/>
      <c r="AT870"/>
      <c r="AY870" s="8"/>
    </row>
    <row r="871" spans="1:51">
      <c r="A871" s="5" t="str">
        <v>BV</v>
      </c>
      <c r="B871" s="5" t="str">
        <f ca="1"/>
        <v>BV45691</v>
      </c>
      <c r="C871" s="8" t="str">
        <v>Pedido 858</v>
      </c>
      <c r="D871" s="9">
        <v>45691</v>
      </c>
      <c r="E871" s="9">
        <v>45691</v>
      </c>
      <c r="F871" s="8" t="str">
        <v>PedidoF837</v>
      </c>
      <c r="G871" s="2" t="str">
        <v>CódRastreio835</v>
      </c>
      <c r="H871" s="5">
        <v>1</v>
      </c>
      <c r="I871" s="182" t="str">
        <v>CPF 834</v>
      </c>
      <c r="J871" s="2" t="str">
        <v>Nome 834</v>
      </c>
      <c r="K871" s="8" t="str">
        <v>Tel 834</v>
      </c>
      <c r="L871" s="8" t="str">
        <v>Cep 834</v>
      </c>
      <c r="M871" s="8" t="str">
        <v>Rua 834</v>
      </c>
      <c r="N871" s="8" t="str">
        <v>Comp 834</v>
      </c>
      <c r="O871" s="8" t="str">
        <v>Suporte de Celular Branco</v>
      </c>
      <c r="P871" s="8" t="str">
        <v>16-4EDB-WMZF</v>
      </c>
      <c r="Q871" s="4">
        <v>45709</v>
      </c>
      <c r="R871" s="109">
        <v>18.899999999999999</v>
      </c>
      <c r="S871" s="11">
        <f ca="1"/>
        <v>18.899999999999999</v>
      </c>
      <c r="T871" s="28">
        <f ca="1"/>
        <v>2.8349999999999995</v>
      </c>
      <c r="U871" s="11">
        <f ca="1"/>
        <v>16.07</v>
      </c>
      <c r="V871" s="11">
        <v>6.99</v>
      </c>
      <c r="W871" s="11">
        <f ca="1"/>
        <v>0.17</v>
      </c>
      <c r="X871" s="11">
        <f ca="1"/>
        <v>0.39877104377104378</v>
      </c>
      <c r="Y871" s="11">
        <v>0</v>
      </c>
      <c r="Z871" s="11">
        <f ca="1"/>
        <v>8.5112289562289565</v>
      </c>
      <c r="AA871" s="11">
        <f ca="1"/>
        <v>4.2556144781144782</v>
      </c>
      <c r="AB871" s="4">
        <f ca="1"/>
        <v>45716</v>
      </c>
      <c r="AC871" s="4">
        <v>45716</v>
      </c>
      <c r="AD871" s="9">
        <v>45721</v>
      </c>
      <c r="AE871" s="9">
        <v>45721</v>
      </c>
      <c r="AF871" s="4" t="str">
        <f t="shared" ca="1" si="38"/>
        <v>2025 02</v>
      </c>
      <c r="AG871" s="8" t="str" cm="1">
        <f t="array" ref="AG871">IFERROR(_xlfn.IFS('Banco de Dados'!#REF!="AG. COMPRA","Em processamento",'Banco de Dados'!#REF!="AG. RASTREIO","Em processamento",'Banco de Dados'!$AE871&lt;&gt;"-","Faturado",'Banco de Dados'!$AD871&lt;&gt;"-","Aguardando Pix",'Banco de Dados'!$AC871&lt;&gt;"-","Pendente"),"Aguardando Liberação")</f>
        <v>Aguardando Liberação</v>
      </c>
      <c r="AH871" s="5" t="str">
        <f>IF('Banco de Dados'!$F871="-",_xlfn.CONCAT(PROPER(TEXT(AK871,"aaaa"))," ",PROPER(TEXT(AK871,"mm"))),_xlfn.CONCAT(PROPER(TEXT(E871,"aaaa"))," ",PROPER(TEXT(E871,"mm"))))</f>
        <v>2025 02</v>
      </c>
      <c r="AI871" s="9" t="str">
        <f ca="1">IF('Banco de Dados'!$AK871&lt;&gt;"-","REEMBOLSO",IFERROR(_xlfn.XLOOKUP(G871,Follow[CODRASTREIO],Follow[STATUS]),"-"))</f>
        <v>ENTREGUE</v>
      </c>
      <c r="AJ871" s="9">
        <f ca="1">IF('Banco de Dados'!$AI871="ENTREGUE",_xlfn.XLOOKUP('Banco de Dados'!$G871,Follow[CODRASTREIO],Follow[DATAATUALIZAÇÃO]),"-")</f>
        <v>45694</v>
      </c>
      <c r="AK871" s="132" t="str">
        <f ca="1"/>
        <v>-</v>
      </c>
      <c r="AL871" s="35"/>
      <c r="AM871" s="109" cm="1">
        <f t="array" aca="1" ref="AM871" ca="1">IF('Banco de Dados'!$AK871&lt;&gt;"-",_xlfn.IFS('Banco de Dados'!$A871="bv",IF('Banco de Dados'!$E871&lt;45641,ROUND(SUM('Banco de Dados'!$R871*_xlfn.XLOOKUP('Banco de Dados'!$P871,Sku!B:B,Sku!#REF!)*20%),2),ROUND(SUM('Banco de Dados'!$R871*_xlfn.XLOOKUP('Banco de Dados'!$P871,Sku!B:B,Sku!H:H)*20%),2)),'Banco de Dados'!$A871="GO",ROUND(_xlfn.XLOOKUP('Banco de Dados'!$P871,Sku!C:C,Sku!H:H),2),'Banco de Dados'!$A871="MEI",ROUND(_xlfn.XLOOKUP('Banco de Dados'!$P871,Sku!D:D,Sku!H:H),2)),0)</f>
        <v>0</v>
      </c>
      <c r="AN871" s="109">
        <f ca="1">IF('Banco de Dados'!$AK871&lt;&gt;"-",IF('Banco de Dados'!$F871&lt;&gt;"-",_xlfn.XLOOKUP(IFERROR(IFERROR(IFERROR(VALUE(SUBSTITUTE(MID(_xlfn.TEXTAFTER('Banco de Dados'!$F871,"Data do Pedido:
",1),1,10),"-","/")),VALUE(SUBSTITUTE(MID(_xlfn.TEXTAFTER('Banco de Dados'!$F871,"Order date:
",1),1,10),"-","/"))),VALUE(SUBSTITUTE(MID(_xlfn.TEXTAFTER('Banco de Dados'!$F871,"Fecha de pedido:
",1),1,10),"-","/"))),"-"),SMS!A:A,SMS!K:K),0),0)</f>
        <v>0</v>
      </c>
      <c r="AO871" s="109">
        <f ca="1">IF('Banco de Dados'!$AK871&lt;&gt;"-",IF('Banco de Dados'!$F871&lt;&gt;"-",IFERROR(_xlfn.XLOOKUP(_xlfn.CONCAT('Banco de Dados'!$A871,IFERROR(IFERROR(VALUE(SUBSTITUTE(MID(_xlfn.TEXTAFTER('Banco de Dados'!$F871,"Data do Pedido:
",1),1,10),"-","/")),VALUE(SUBSTITUTE(MID(_xlfn.TEXTAFTER('Banco de Dados'!$F871,"Order date:
",1),1,10),"-","/"))),0)),ProxyDD[Chave],ProxyDD[Valor por pedido]),PROXY!$P$2),0),0)</f>
        <v>0</v>
      </c>
      <c r="AP871" s="28">
        <f ca="1">IF('Banco de Dados'!$AK871&lt;&gt;"-",IF('Banco de Dados'!$AL871="NÃO",IFERROR(VALUE(SUBSTITUTE(_xlfn.TEXTAFTER('Banco de Dados'!$F871,"BRL ",1),".",",")),0),0),0)</f>
        <v>0</v>
      </c>
      <c r="AQ871" s="28">
        <f ca="1">SUM('Banco de Dados'!$AM871:$AP871)</f>
        <v>0</v>
      </c>
      <c r="AR871" s="8"/>
      <c r="AS871" s="8"/>
      <c r="AT871"/>
      <c r="AY871" s="8"/>
    </row>
    <row r="872" spans="1:51">
      <c r="A872" s="5" t="str">
        <v>BV</v>
      </c>
      <c r="B872" s="5" t="str">
        <f ca="1"/>
        <v>BV45691</v>
      </c>
      <c r="C872" s="8" t="str">
        <v>Pedido 859</v>
      </c>
      <c r="D872" s="9">
        <v>45691</v>
      </c>
      <c r="E872" s="9">
        <v>45691</v>
      </c>
      <c r="F872" s="8" t="str">
        <v>PedidoF838</v>
      </c>
      <c r="G872" s="2" t="str">
        <v>CódRastreio836</v>
      </c>
      <c r="H872" s="5">
        <v>1</v>
      </c>
      <c r="I872" s="182" t="str">
        <v>CPF 835</v>
      </c>
      <c r="J872" s="2" t="str">
        <v>Nome 835</v>
      </c>
      <c r="K872" s="8" t="str">
        <v>Tel 835</v>
      </c>
      <c r="L872" s="8" t="str">
        <v>Cep 835</v>
      </c>
      <c r="M872" s="8" t="str">
        <v>Rua 835</v>
      </c>
      <c r="N872" s="8" t="str">
        <v>Comp 835</v>
      </c>
      <c r="O872" s="8" t="str">
        <v>Mini Liquidificador</v>
      </c>
      <c r="P872" s="8" t="str">
        <v>CK-YL6M-P5Y6</v>
      </c>
      <c r="Q872" s="4">
        <v>45716</v>
      </c>
      <c r="R872" s="109">
        <v>32.99</v>
      </c>
      <c r="S872" s="11">
        <f ca="1"/>
        <v>32.99</v>
      </c>
      <c r="T872" s="28">
        <f ca="1"/>
        <v>4.6186000000000007</v>
      </c>
      <c r="U872" s="11">
        <f ca="1"/>
        <v>28.37</v>
      </c>
      <c r="V872" s="11">
        <v>14.99</v>
      </c>
      <c r="W872" s="11">
        <f ca="1"/>
        <v>0.17</v>
      </c>
      <c r="X872" s="11">
        <f ca="1"/>
        <v>0.39877104377104378</v>
      </c>
      <c r="Y872" s="11">
        <v>0</v>
      </c>
      <c r="Z872" s="11">
        <f ca="1"/>
        <v>12.811228956228957</v>
      </c>
      <c r="AA872" s="11">
        <f ca="1"/>
        <v>6.4056144781144786</v>
      </c>
      <c r="AB872" s="4">
        <f ca="1"/>
        <v>45723</v>
      </c>
      <c r="AC872" s="4">
        <v>45723</v>
      </c>
      <c r="AD872" s="9">
        <v>45730</v>
      </c>
      <c r="AE872" s="9">
        <v>45733</v>
      </c>
      <c r="AF872" s="4" t="str">
        <f t="shared" ref="AF872:AF877" ca="1" si="39">_xlfn.CONCAT(PROPER(TEXT(AB872,"aaaa"))," ",PROPER(TEXT(AB872,"mm")))</f>
        <v>2025 03</v>
      </c>
      <c r="AG872" s="8" t="str" cm="1">
        <f t="array" ref="AG872">IFERROR(_xlfn.IFS('Banco de Dados'!#REF!="AG. COMPRA","Em processamento",'Banco de Dados'!#REF!="AG. RASTREIO","Em processamento",'Banco de Dados'!$AE872&lt;&gt;"-","Faturado",'Banco de Dados'!$AD872&lt;&gt;"-","Aguardando Pix",'Banco de Dados'!$AC872&lt;&gt;"-","Pendente"),"Aguardando Liberação")</f>
        <v>Aguardando Liberação</v>
      </c>
      <c r="AH872" s="5" t="str">
        <f>IF('Banco de Dados'!$F872="-",_xlfn.CONCAT(PROPER(TEXT(AK872,"aaaa"))," ",PROPER(TEXT(AK872,"mm"))),_xlfn.CONCAT(PROPER(TEXT(E872,"aaaa"))," ",PROPER(TEXT(E872,"mm"))))</f>
        <v>2025 02</v>
      </c>
      <c r="AI872" s="9" t="str">
        <f ca="1">IF('Banco de Dados'!$AK872&lt;&gt;"-","REEMBOLSO",IFERROR(_xlfn.XLOOKUP(G872,Follow[CODRASTREIO],Follow[STATUS]),"-"))</f>
        <v>ENTREGUE</v>
      </c>
      <c r="AJ872" s="9">
        <f ca="1">IF('Banco de Dados'!$AI872="ENTREGUE",_xlfn.XLOOKUP('Banco de Dados'!$G872,Follow[CODRASTREIO],Follow[DATAATUALIZAÇÃO]),"-")</f>
        <v>45699</v>
      </c>
      <c r="AK872" s="132" t="str">
        <f ca="1"/>
        <v>-</v>
      </c>
      <c r="AL872" s="35"/>
      <c r="AM872" s="109" cm="1">
        <f t="array" aca="1" ref="AM872" ca="1">IF('Banco de Dados'!$AK872&lt;&gt;"-",_xlfn.IFS('Banco de Dados'!$A872="bv",IF('Banco de Dados'!$E872&lt;45641,ROUND(SUM('Banco de Dados'!$R872*_xlfn.XLOOKUP('Banco de Dados'!$P872,Sku!B:B,Sku!#REF!)*20%),2),ROUND(SUM('Banco de Dados'!$R872*_xlfn.XLOOKUP('Banco de Dados'!$P872,Sku!B:B,Sku!H:H)*20%),2)),'Banco de Dados'!$A872="GO",ROUND(_xlfn.XLOOKUP('Banco de Dados'!$P872,Sku!C:C,Sku!H:H),2),'Banco de Dados'!$A872="MEI",ROUND(_xlfn.XLOOKUP('Banco de Dados'!$P872,Sku!D:D,Sku!H:H),2)),0)</f>
        <v>0</v>
      </c>
      <c r="AN872" s="109">
        <f ca="1">IF('Banco de Dados'!$AK872&lt;&gt;"-",IF('Banco de Dados'!$F872&lt;&gt;"-",_xlfn.XLOOKUP(IFERROR(IFERROR(IFERROR(VALUE(SUBSTITUTE(MID(_xlfn.TEXTAFTER('Banco de Dados'!$F872,"Data do Pedido:
",1),1,10),"-","/")),VALUE(SUBSTITUTE(MID(_xlfn.TEXTAFTER('Banco de Dados'!$F872,"Order date:
",1),1,10),"-","/"))),VALUE(SUBSTITUTE(MID(_xlfn.TEXTAFTER('Banco de Dados'!$F872,"Fecha de pedido:
",1),1,10),"-","/"))),"-"),SMS!A:A,SMS!K:K),0),0)</f>
        <v>0</v>
      </c>
      <c r="AO872" s="109">
        <f ca="1">IF('Banco de Dados'!$AK872&lt;&gt;"-",IF('Banco de Dados'!$F872&lt;&gt;"-",IFERROR(_xlfn.XLOOKUP(_xlfn.CONCAT('Banco de Dados'!$A872,IFERROR(IFERROR(VALUE(SUBSTITUTE(MID(_xlfn.TEXTAFTER('Banco de Dados'!$F872,"Data do Pedido:
",1),1,10),"-","/")),VALUE(SUBSTITUTE(MID(_xlfn.TEXTAFTER('Banco de Dados'!$F872,"Order date:
",1),1,10),"-","/"))),0)),ProxyDD[Chave],ProxyDD[Valor por pedido]),PROXY!$P$2),0),0)</f>
        <v>0</v>
      </c>
      <c r="AP872" s="28">
        <f ca="1">IF('Banco de Dados'!$AK872&lt;&gt;"-",IF('Banco de Dados'!$AL872="NÃO",IFERROR(VALUE(SUBSTITUTE(_xlfn.TEXTAFTER('Banco de Dados'!$F872,"BRL ",1),".",",")),0),0),0)</f>
        <v>0</v>
      </c>
      <c r="AQ872" s="28">
        <f ca="1">SUM('Banco de Dados'!$AM872:$AP872)</f>
        <v>0</v>
      </c>
      <c r="AR872" s="8"/>
      <c r="AS872" s="8"/>
      <c r="AT872"/>
      <c r="AY872" s="8"/>
    </row>
    <row r="873" spans="1:51">
      <c r="A873" s="5" t="str">
        <v>BV</v>
      </c>
      <c r="B873" s="5" t="str">
        <f ca="1"/>
        <v>BV45691</v>
      </c>
      <c r="C873" s="8" t="str">
        <v>Pedido 860</v>
      </c>
      <c r="D873" s="9">
        <v>45691</v>
      </c>
      <c r="E873" s="9">
        <v>45691</v>
      </c>
      <c r="F873" s="8" t="str">
        <v>PedidoF839</v>
      </c>
      <c r="G873" s="2" t="str">
        <v>CódRastreio837</v>
      </c>
      <c r="H873" s="5">
        <v>1</v>
      </c>
      <c r="I873" s="182" t="str">
        <v>CPF 836</v>
      </c>
      <c r="J873" s="2" t="str">
        <v>Nome 836</v>
      </c>
      <c r="K873" s="8" t="str">
        <v>Tel 836</v>
      </c>
      <c r="L873" s="8" t="str">
        <v>Cep 836</v>
      </c>
      <c r="M873" s="8" t="str">
        <v>Rua 836</v>
      </c>
      <c r="N873" s="8" t="str">
        <v>Comp 836</v>
      </c>
      <c r="O873" s="8" t="str">
        <v>Suporte de Celular Branco</v>
      </c>
      <c r="P873" s="8" t="str">
        <v>16-4EDB-WMZF</v>
      </c>
      <c r="Q873" s="4">
        <v>45710</v>
      </c>
      <c r="R873" s="109">
        <v>18.899999999999999</v>
      </c>
      <c r="S873" s="11">
        <f ca="1"/>
        <v>18.899999999999999</v>
      </c>
      <c r="T873" s="28">
        <f ca="1"/>
        <v>2.8349999999999995</v>
      </c>
      <c r="U873" s="11">
        <f ca="1"/>
        <v>16.07</v>
      </c>
      <c r="V873" s="11">
        <v>6.99</v>
      </c>
      <c r="W873" s="11">
        <f ca="1"/>
        <v>0.17</v>
      </c>
      <c r="X873" s="11">
        <f ca="1"/>
        <v>0.39877104377104378</v>
      </c>
      <c r="Y873" s="11">
        <v>0</v>
      </c>
      <c r="Z873" s="11">
        <f ca="1"/>
        <v>8.5112289562289565</v>
      </c>
      <c r="AA873" s="11">
        <f ca="1"/>
        <v>4.2556144781144782</v>
      </c>
      <c r="AB873" s="4">
        <f ca="1"/>
        <v>45717</v>
      </c>
      <c r="AC873" s="4">
        <v>45717</v>
      </c>
      <c r="AD873" s="9">
        <v>45730</v>
      </c>
      <c r="AE873" s="9">
        <v>45733</v>
      </c>
      <c r="AF873" s="4" t="str">
        <f t="shared" ca="1" si="39"/>
        <v>2025 03</v>
      </c>
      <c r="AG873" s="8" t="str" cm="1">
        <f t="array" ref="AG873">IFERROR(_xlfn.IFS('Banco de Dados'!#REF!="AG. COMPRA","Em processamento",'Banco de Dados'!#REF!="AG. RASTREIO","Em processamento",'Banco de Dados'!$AE873&lt;&gt;"-","Faturado",'Banco de Dados'!$AD873&lt;&gt;"-","Aguardando Pix",'Banco de Dados'!$AC873&lt;&gt;"-","Pendente"),"Aguardando Liberação")</f>
        <v>Aguardando Liberação</v>
      </c>
      <c r="AH873" s="5" t="str">
        <f>IF('Banco de Dados'!$F873="-",_xlfn.CONCAT(PROPER(TEXT(AK873,"aaaa"))," ",PROPER(TEXT(AK873,"mm"))),_xlfn.CONCAT(PROPER(TEXT(E873,"aaaa"))," ",PROPER(TEXT(E873,"mm"))))</f>
        <v>2025 02</v>
      </c>
      <c r="AI873" s="9" t="str">
        <f ca="1">IF('Banco de Dados'!$AK873&lt;&gt;"-","REEMBOLSO",IFERROR(_xlfn.XLOOKUP(G873,Follow[CODRASTREIO],Follow[STATUS]),"-"))</f>
        <v>ENTREGUE</v>
      </c>
      <c r="AJ873" s="9">
        <f ca="1">IF('Banco de Dados'!$AI873="ENTREGUE",_xlfn.XLOOKUP('Banco de Dados'!$G873,Follow[CODRASTREIO],Follow[DATAATUALIZAÇÃO]),"-")</f>
        <v>45695</v>
      </c>
      <c r="AK873" s="132" t="str">
        <f ca="1"/>
        <v>-</v>
      </c>
      <c r="AL873" s="35"/>
      <c r="AM873" s="109" cm="1">
        <f t="array" aca="1" ref="AM873" ca="1">IF('Banco de Dados'!$AK873&lt;&gt;"-",_xlfn.IFS('Banco de Dados'!$A873="bv",IF('Banco de Dados'!$E873&lt;45641,ROUND(SUM('Banco de Dados'!$R873*_xlfn.XLOOKUP('Banco de Dados'!$P873,Sku!B:B,Sku!#REF!)*20%),2),ROUND(SUM('Banco de Dados'!$R873*_xlfn.XLOOKUP('Banco de Dados'!$P873,Sku!B:B,Sku!H:H)*20%),2)),'Banco de Dados'!$A873="GO",ROUND(_xlfn.XLOOKUP('Banco de Dados'!$P873,Sku!C:C,Sku!H:H),2),'Banco de Dados'!$A873="MEI",ROUND(_xlfn.XLOOKUP('Banco de Dados'!$P873,Sku!D:D,Sku!H:H),2)),0)</f>
        <v>0</v>
      </c>
      <c r="AN873" s="109">
        <f ca="1">IF('Banco de Dados'!$AK873&lt;&gt;"-",IF('Banco de Dados'!$F873&lt;&gt;"-",_xlfn.XLOOKUP(IFERROR(IFERROR(IFERROR(VALUE(SUBSTITUTE(MID(_xlfn.TEXTAFTER('Banco de Dados'!$F873,"Data do Pedido:
",1),1,10),"-","/")),VALUE(SUBSTITUTE(MID(_xlfn.TEXTAFTER('Banco de Dados'!$F873,"Order date:
",1),1,10),"-","/"))),VALUE(SUBSTITUTE(MID(_xlfn.TEXTAFTER('Banco de Dados'!$F873,"Fecha de pedido:
",1),1,10),"-","/"))),"-"),SMS!A:A,SMS!K:K),0),0)</f>
        <v>0</v>
      </c>
      <c r="AO873" s="109">
        <f ca="1">IF('Banco de Dados'!$AK873&lt;&gt;"-",IF('Banco de Dados'!$F873&lt;&gt;"-",IFERROR(_xlfn.XLOOKUP(_xlfn.CONCAT('Banco de Dados'!$A873,IFERROR(IFERROR(VALUE(SUBSTITUTE(MID(_xlfn.TEXTAFTER('Banco de Dados'!$F873,"Data do Pedido:
",1),1,10),"-","/")),VALUE(SUBSTITUTE(MID(_xlfn.TEXTAFTER('Banco de Dados'!$F873,"Order date:
",1),1,10),"-","/"))),0)),ProxyDD[Chave],ProxyDD[Valor por pedido]),PROXY!$P$2),0),0)</f>
        <v>0</v>
      </c>
      <c r="AP873" s="28">
        <f ca="1">IF('Banco de Dados'!$AK873&lt;&gt;"-",IF('Banco de Dados'!$AL873="NÃO",IFERROR(VALUE(SUBSTITUTE(_xlfn.TEXTAFTER('Banco de Dados'!$F873,"BRL ",1),".",",")),0),0),0)</f>
        <v>0</v>
      </c>
      <c r="AQ873" s="28">
        <f ca="1">SUM('Banco de Dados'!$AM873:$AP873)</f>
        <v>0</v>
      </c>
      <c r="AR873" s="8"/>
      <c r="AS873" s="8"/>
      <c r="AT873"/>
      <c r="AY873" s="8"/>
    </row>
    <row r="874" spans="1:51">
      <c r="A874" s="5" t="str">
        <v>BV</v>
      </c>
      <c r="B874" s="5" t="str">
        <f ca="1"/>
        <v>BV45691</v>
      </c>
      <c r="C874" s="8" t="str">
        <v>Pedido 861</v>
      </c>
      <c r="D874" s="9">
        <v>45691</v>
      </c>
      <c r="E874" s="9">
        <v>45691</v>
      </c>
      <c r="F874" s="8" t="str">
        <v>PedidoF840</v>
      </c>
      <c r="G874" s="2" t="str">
        <v>CódRastreio838</v>
      </c>
      <c r="H874" s="5">
        <v>1</v>
      </c>
      <c r="I874" s="182" t="str">
        <v>CPF 837</v>
      </c>
      <c r="J874" s="2" t="str">
        <v>Nome 837</v>
      </c>
      <c r="K874" s="8" t="str">
        <v>Tel 837</v>
      </c>
      <c r="L874" s="8" t="str">
        <v>Cep 837</v>
      </c>
      <c r="M874" s="8" t="str">
        <v>Rua 837</v>
      </c>
      <c r="N874" s="8" t="str">
        <v>Comp 837</v>
      </c>
      <c r="O874" s="8" t="str">
        <v>Mini Liquidificador</v>
      </c>
      <c r="P874" s="8" t="str">
        <v>CK-YL6M-P5Y6</v>
      </c>
      <c r="Q874" s="4">
        <v>45708</v>
      </c>
      <c r="R874" s="109">
        <v>32.99</v>
      </c>
      <c r="S874" s="11">
        <f ca="1"/>
        <v>32.99</v>
      </c>
      <c r="T874" s="28">
        <f ca="1"/>
        <v>4.6186000000000007</v>
      </c>
      <c r="U874" s="11">
        <f ca="1"/>
        <v>28.37</v>
      </c>
      <c r="V874" s="11">
        <v>14.99</v>
      </c>
      <c r="W874" s="11">
        <f ca="1"/>
        <v>0.17</v>
      </c>
      <c r="X874" s="11">
        <f ca="1"/>
        <v>0.39877104377104378</v>
      </c>
      <c r="Y874" s="11">
        <v>0</v>
      </c>
      <c r="Z874" s="11">
        <f ca="1"/>
        <v>12.811228956228957</v>
      </c>
      <c r="AA874" s="11">
        <f ca="1"/>
        <v>6.4056144781144786</v>
      </c>
      <c r="AB874" s="4">
        <f ca="1"/>
        <v>45715</v>
      </c>
      <c r="AC874" s="4">
        <v>45715</v>
      </c>
      <c r="AD874" s="9">
        <v>45721</v>
      </c>
      <c r="AE874" s="9">
        <v>45721</v>
      </c>
      <c r="AF874" s="4" t="str">
        <f t="shared" ca="1" si="39"/>
        <v>2025 02</v>
      </c>
      <c r="AG874" s="8" t="str" cm="1">
        <f t="array" ref="AG874">IFERROR(_xlfn.IFS('Banco de Dados'!#REF!="AG. COMPRA","Em processamento",'Banco de Dados'!#REF!="AG. RASTREIO","Em processamento",'Banco de Dados'!$AE874&lt;&gt;"-","Faturado",'Banco de Dados'!$AD874&lt;&gt;"-","Aguardando Pix",'Banco de Dados'!$AC874&lt;&gt;"-","Pendente"),"Aguardando Liberação")</f>
        <v>Aguardando Liberação</v>
      </c>
      <c r="AH874" s="5" t="str">
        <f>IF('Banco de Dados'!$F874="-",_xlfn.CONCAT(PROPER(TEXT(AK874,"aaaa"))," ",PROPER(TEXT(AK874,"mm"))),_xlfn.CONCAT(PROPER(TEXT(E874,"aaaa"))," ",PROPER(TEXT(E874,"mm"))))</f>
        <v>2025 02</v>
      </c>
      <c r="AI874" s="9" t="str">
        <f ca="1">IF('Banco de Dados'!$AK874&lt;&gt;"-","REEMBOLSO",IFERROR(_xlfn.XLOOKUP(G874,Follow[CODRASTREIO],Follow[STATUS]),"-"))</f>
        <v>ENTREGUE</v>
      </c>
      <c r="AJ874" s="9">
        <f ca="1">IF('Banco de Dados'!$AI874="ENTREGUE",_xlfn.XLOOKUP('Banco de Dados'!$G874,Follow[CODRASTREIO],Follow[DATAATUALIZAÇÃO]),"-")</f>
        <v>45695</v>
      </c>
      <c r="AK874" s="132" t="str">
        <f ca="1"/>
        <v>-</v>
      </c>
      <c r="AL874" s="35"/>
      <c r="AM874" s="109" cm="1">
        <f t="array" aca="1" ref="AM874" ca="1">IF('Banco de Dados'!$AK874&lt;&gt;"-",_xlfn.IFS('Banco de Dados'!$A874="bv",IF('Banco de Dados'!$E874&lt;45641,ROUND(SUM('Banco de Dados'!$R874*_xlfn.XLOOKUP('Banco de Dados'!$P874,Sku!B:B,Sku!#REF!)*20%),2),ROUND(SUM('Banco de Dados'!$R874*_xlfn.XLOOKUP('Banco de Dados'!$P874,Sku!B:B,Sku!H:H)*20%),2)),'Banco de Dados'!$A874="GO",ROUND(_xlfn.XLOOKUP('Banco de Dados'!$P874,Sku!C:C,Sku!H:H),2),'Banco de Dados'!$A874="MEI",ROUND(_xlfn.XLOOKUP('Banco de Dados'!$P874,Sku!D:D,Sku!H:H),2)),0)</f>
        <v>0</v>
      </c>
      <c r="AN874" s="109">
        <f ca="1">IF('Banco de Dados'!$AK874&lt;&gt;"-",IF('Banco de Dados'!$F874&lt;&gt;"-",_xlfn.XLOOKUP(IFERROR(IFERROR(IFERROR(VALUE(SUBSTITUTE(MID(_xlfn.TEXTAFTER('Banco de Dados'!$F874,"Data do Pedido:
",1),1,10),"-","/")),VALUE(SUBSTITUTE(MID(_xlfn.TEXTAFTER('Banco de Dados'!$F874,"Order date:
",1),1,10),"-","/"))),VALUE(SUBSTITUTE(MID(_xlfn.TEXTAFTER('Banco de Dados'!$F874,"Fecha de pedido:
",1),1,10),"-","/"))),"-"),SMS!A:A,SMS!K:K),0),0)</f>
        <v>0</v>
      </c>
      <c r="AO874" s="109">
        <f ca="1">IF('Banco de Dados'!$AK874&lt;&gt;"-",IF('Banco de Dados'!$F874&lt;&gt;"-",IFERROR(_xlfn.XLOOKUP(_xlfn.CONCAT('Banco de Dados'!$A874,IFERROR(IFERROR(VALUE(SUBSTITUTE(MID(_xlfn.TEXTAFTER('Banco de Dados'!$F874,"Data do Pedido:
",1),1,10),"-","/")),VALUE(SUBSTITUTE(MID(_xlfn.TEXTAFTER('Banco de Dados'!$F874,"Order date:
",1),1,10),"-","/"))),0)),ProxyDD[Chave],ProxyDD[Valor por pedido]),PROXY!$P$2),0),0)</f>
        <v>0</v>
      </c>
      <c r="AP874" s="28">
        <f ca="1">IF('Banco de Dados'!$AK874&lt;&gt;"-",IF('Banco de Dados'!$AL874="NÃO",IFERROR(VALUE(SUBSTITUTE(_xlfn.TEXTAFTER('Banco de Dados'!$F874,"BRL ",1),".",",")),0),0),0)</f>
        <v>0</v>
      </c>
      <c r="AQ874" s="28">
        <f ca="1">SUM('Banco de Dados'!$AM874:$AP874)</f>
        <v>0</v>
      </c>
      <c r="AR874" s="8"/>
      <c r="AS874" s="8"/>
      <c r="AT874"/>
      <c r="AY874" s="8"/>
    </row>
    <row r="875" spans="1:51">
      <c r="A875" s="5" t="str">
        <v>BV</v>
      </c>
      <c r="B875" s="5" t="str">
        <f ca="1"/>
        <v>BV45691</v>
      </c>
      <c r="C875" s="8" t="str">
        <v>Pedido 862</v>
      </c>
      <c r="D875" s="9">
        <v>45691</v>
      </c>
      <c r="E875" s="9">
        <v>45691</v>
      </c>
      <c r="F875" s="8" t="str">
        <v>PedidoF841</v>
      </c>
      <c r="G875" s="2" t="str">
        <v>CódRastreio839</v>
      </c>
      <c r="H875" s="5">
        <v>1</v>
      </c>
      <c r="I875" s="182" t="str">
        <v>CPF 838</v>
      </c>
      <c r="J875" s="2" t="str">
        <v>Nome 838</v>
      </c>
      <c r="K875" s="8" t="str">
        <v>Tel 838</v>
      </c>
      <c r="L875" s="8" t="str">
        <v>Cep 838</v>
      </c>
      <c r="M875" s="8" t="str">
        <v>Rua 838</v>
      </c>
      <c r="N875" s="8" t="str">
        <v>Comp 838</v>
      </c>
      <c r="O875" s="8" t="str">
        <v>Ventilador Preto</v>
      </c>
      <c r="P875" s="8" t="str">
        <v>MU-J80P-95WF</v>
      </c>
      <c r="Q875" s="4">
        <v>45710</v>
      </c>
      <c r="R875" s="109">
        <v>65.989999999999995</v>
      </c>
      <c r="S875" s="11">
        <f ca="1"/>
        <v>65.989999999999995</v>
      </c>
      <c r="T875" s="28">
        <f ca="1"/>
        <v>8.5786999999999995</v>
      </c>
      <c r="U875" s="11">
        <f ca="1"/>
        <v>57.41</v>
      </c>
      <c r="V875" s="11">
        <v>10.19</v>
      </c>
      <c r="W875" s="11">
        <f ca="1"/>
        <v>0.17</v>
      </c>
      <c r="X875" s="11">
        <f ca="1"/>
        <v>0.39877104377104378</v>
      </c>
      <c r="Y875" s="11">
        <v>0</v>
      </c>
      <c r="Z875" s="11">
        <f ca="1"/>
        <v>46.651228956228955</v>
      </c>
      <c r="AA875" s="11">
        <f ca="1"/>
        <v>23.325614478114478</v>
      </c>
      <c r="AB875" s="4">
        <f ca="1"/>
        <v>45717</v>
      </c>
      <c r="AC875" s="4">
        <v>45717</v>
      </c>
      <c r="AD875" s="9">
        <v>45730</v>
      </c>
      <c r="AE875" s="9">
        <v>45733</v>
      </c>
      <c r="AF875" s="4" t="str">
        <f t="shared" ca="1" si="39"/>
        <v>2025 03</v>
      </c>
      <c r="AG875" s="8" t="str" cm="1">
        <f t="array" ref="AG875">IFERROR(_xlfn.IFS('Banco de Dados'!#REF!="AG. COMPRA","Em processamento",'Banco de Dados'!#REF!="AG. RASTREIO","Em processamento",'Banco de Dados'!$AE875&lt;&gt;"-","Faturado",'Banco de Dados'!$AD875&lt;&gt;"-","Aguardando Pix",'Banco de Dados'!$AC875&lt;&gt;"-","Pendente"),"Aguardando Liberação")</f>
        <v>Aguardando Liberação</v>
      </c>
      <c r="AH875" s="5" t="str">
        <f>IF('Banco de Dados'!$F875="-",_xlfn.CONCAT(PROPER(TEXT(AK875,"aaaa"))," ",PROPER(TEXT(AK875,"mm"))),_xlfn.CONCAT(PROPER(TEXT(E875,"aaaa"))," ",PROPER(TEXT(E875,"mm"))))</f>
        <v>2025 02</v>
      </c>
      <c r="AI875" s="9" t="str">
        <f ca="1">IF('Banco de Dados'!$AK875&lt;&gt;"-","REEMBOLSO",IFERROR(_xlfn.XLOOKUP(G875,Follow[CODRASTREIO],Follow[STATUS]),"-"))</f>
        <v>ENTREGUE</v>
      </c>
      <c r="AJ875" s="9">
        <f ca="1">IF('Banco de Dados'!$AI875="ENTREGUE",_xlfn.XLOOKUP('Banco de Dados'!$G875,Follow[CODRASTREIO],Follow[DATAATUALIZAÇÃO]),"-")</f>
        <v>45698</v>
      </c>
      <c r="AK875" s="132" t="str">
        <f ca="1"/>
        <v>-</v>
      </c>
      <c r="AL875" s="35"/>
      <c r="AM875" s="109" cm="1">
        <f t="array" aca="1" ref="AM875" ca="1">IF('Banco de Dados'!$AK875&lt;&gt;"-",_xlfn.IFS('Banco de Dados'!$A875="bv",IF('Banco de Dados'!$E875&lt;45641,ROUND(SUM('Banco de Dados'!$R875*_xlfn.XLOOKUP('Banco de Dados'!$P875,Sku!B:B,Sku!#REF!)*20%),2),ROUND(SUM('Banco de Dados'!$R875*_xlfn.XLOOKUP('Banco de Dados'!$P875,Sku!B:B,Sku!H:H)*20%),2)),'Banco de Dados'!$A875="GO",ROUND(_xlfn.XLOOKUP('Banco de Dados'!$P875,Sku!C:C,Sku!H:H),2),'Banco de Dados'!$A875="MEI",ROUND(_xlfn.XLOOKUP('Banco de Dados'!$P875,Sku!D:D,Sku!H:H),2)),0)</f>
        <v>0</v>
      </c>
      <c r="AN875" s="109">
        <f ca="1">IF('Banco de Dados'!$AK875&lt;&gt;"-",IF('Banco de Dados'!$F875&lt;&gt;"-",_xlfn.XLOOKUP(IFERROR(IFERROR(IFERROR(VALUE(SUBSTITUTE(MID(_xlfn.TEXTAFTER('Banco de Dados'!$F875,"Data do Pedido:
",1),1,10),"-","/")),VALUE(SUBSTITUTE(MID(_xlfn.TEXTAFTER('Banco de Dados'!$F875,"Order date:
",1),1,10),"-","/"))),VALUE(SUBSTITUTE(MID(_xlfn.TEXTAFTER('Banco de Dados'!$F875,"Fecha de pedido:
",1),1,10),"-","/"))),"-"),SMS!A:A,SMS!K:K),0),0)</f>
        <v>0</v>
      </c>
      <c r="AO875" s="109">
        <f ca="1">IF('Banco de Dados'!$AK875&lt;&gt;"-",IF('Banco de Dados'!$F875&lt;&gt;"-",IFERROR(_xlfn.XLOOKUP(_xlfn.CONCAT('Banco de Dados'!$A875,IFERROR(IFERROR(VALUE(SUBSTITUTE(MID(_xlfn.TEXTAFTER('Banco de Dados'!$F875,"Data do Pedido:
",1),1,10),"-","/")),VALUE(SUBSTITUTE(MID(_xlfn.TEXTAFTER('Banco de Dados'!$F875,"Order date:
",1),1,10),"-","/"))),0)),ProxyDD[Chave],ProxyDD[Valor por pedido]),PROXY!$P$2),0),0)</f>
        <v>0</v>
      </c>
      <c r="AP875" s="28">
        <f ca="1">IF('Banco de Dados'!$AK875&lt;&gt;"-",IF('Banco de Dados'!$AL875="NÃO",IFERROR(VALUE(SUBSTITUTE(_xlfn.TEXTAFTER('Banco de Dados'!$F875,"BRL ",1),".",",")),0),0),0)</f>
        <v>0</v>
      </c>
      <c r="AQ875" s="28">
        <f ca="1">SUM('Banco de Dados'!$AM875:$AP875)</f>
        <v>0</v>
      </c>
      <c r="AR875" s="8"/>
      <c r="AS875" s="8"/>
      <c r="AT875"/>
      <c r="AY875" s="8"/>
    </row>
    <row r="876" spans="1:51">
      <c r="A876" s="5" t="str">
        <v>BV</v>
      </c>
      <c r="B876" s="5" t="str">
        <f ca="1"/>
        <v>BV45691</v>
      </c>
      <c r="C876" s="8" t="str">
        <v>Pedido 863</v>
      </c>
      <c r="D876" s="9">
        <v>45691</v>
      </c>
      <c r="E876" s="9">
        <v>45691</v>
      </c>
      <c r="F876" s="8" t="str">
        <v>PedidoF842</v>
      </c>
      <c r="G876" s="2" t="str">
        <v>CódRastreio840</v>
      </c>
      <c r="H876" s="5">
        <v>1</v>
      </c>
      <c r="I876" s="182" t="str">
        <v>CPF 839</v>
      </c>
      <c r="J876" s="2" t="str">
        <v>Nome 839</v>
      </c>
      <c r="K876" s="8" t="str">
        <v>Tel 839</v>
      </c>
      <c r="L876" s="8" t="str">
        <v>Cep 839</v>
      </c>
      <c r="M876" s="8" t="str">
        <v>Rua 839</v>
      </c>
      <c r="N876" s="8" t="str">
        <v>Comp 839</v>
      </c>
      <c r="O876" s="8" t="str">
        <v>Suporte de Celular Branco</v>
      </c>
      <c r="P876" s="8" t="str">
        <v>16-4EDB-WMZF</v>
      </c>
      <c r="Q876" s="4">
        <v>45710</v>
      </c>
      <c r="R876" s="109">
        <v>18.899999999999999</v>
      </c>
      <c r="S876" s="11">
        <f ca="1"/>
        <v>18.899999999999999</v>
      </c>
      <c r="T876" s="28">
        <f ca="1"/>
        <v>2.8349999999999995</v>
      </c>
      <c r="U876" s="11">
        <f ca="1"/>
        <v>16.07</v>
      </c>
      <c r="V876" s="11">
        <v>6.99</v>
      </c>
      <c r="W876" s="11">
        <f ca="1"/>
        <v>0.17</v>
      </c>
      <c r="X876" s="11">
        <f ca="1"/>
        <v>0.39877104377104378</v>
      </c>
      <c r="Y876" s="11">
        <v>0</v>
      </c>
      <c r="Z876" s="11">
        <f ca="1"/>
        <v>8.5112289562289565</v>
      </c>
      <c r="AA876" s="11">
        <f ca="1"/>
        <v>4.2556144781144782</v>
      </c>
      <c r="AB876" s="4">
        <f ca="1"/>
        <v>45717</v>
      </c>
      <c r="AC876" s="4">
        <v>45717</v>
      </c>
      <c r="AD876" s="9">
        <v>45730</v>
      </c>
      <c r="AE876" s="9">
        <v>45733</v>
      </c>
      <c r="AF876" s="4" t="str">
        <f t="shared" ca="1" si="39"/>
        <v>2025 03</v>
      </c>
      <c r="AG876" s="8" t="str" cm="1">
        <f t="array" ref="AG876">IFERROR(_xlfn.IFS('Banco de Dados'!#REF!="AG. COMPRA","Em processamento",'Banco de Dados'!#REF!="AG. RASTREIO","Em processamento",'Banco de Dados'!$AE876&lt;&gt;"-","Faturado",'Banco de Dados'!$AD876&lt;&gt;"-","Aguardando Pix",'Banco de Dados'!$AC876&lt;&gt;"-","Pendente"),"Aguardando Liberação")</f>
        <v>Aguardando Liberação</v>
      </c>
      <c r="AH876" s="5" t="str">
        <f>IF('Banco de Dados'!$F876="-",_xlfn.CONCAT(PROPER(TEXT(AK876,"aaaa"))," ",PROPER(TEXT(AK876,"mm"))),_xlfn.CONCAT(PROPER(TEXT(E876,"aaaa"))," ",PROPER(TEXT(E876,"mm"))))</f>
        <v>2025 02</v>
      </c>
      <c r="AI876" s="9" t="str">
        <f ca="1">IF('Banco de Dados'!$AK876&lt;&gt;"-","REEMBOLSO",IFERROR(_xlfn.XLOOKUP(G876,Follow[CODRASTREIO],Follow[STATUS]),"-"))</f>
        <v>ENTREGUE</v>
      </c>
      <c r="AJ876" s="9">
        <f ca="1">IF('Banco de Dados'!$AI876="ENTREGUE",_xlfn.XLOOKUP('Banco de Dados'!$G876,Follow[CODRASTREIO],Follow[DATAATUALIZAÇÃO]),"-")</f>
        <v>45698</v>
      </c>
      <c r="AK876" s="132" t="str">
        <f ca="1"/>
        <v>-</v>
      </c>
      <c r="AL876" s="35"/>
      <c r="AM876" s="109" cm="1">
        <f t="array" aca="1" ref="AM876" ca="1">IF('Banco de Dados'!$AK876&lt;&gt;"-",_xlfn.IFS('Banco de Dados'!$A876="bv",IF('Banco de Dados'!$E876&lt;45641,ROUND(SUM('Banco de Dados'!$R876*_xlfn.XLOOKUP('Banco de Dados'!$P876,Sku!B:B,Sku!#REF!)*20%),2),ROUND(SUM('Banco de Dados'!$R876*_xlfn.XLOOKUP('Banco de Dados'!$P876,Sku!B:B,Sku!H:H)*20%),2)),'Banco de Dados'!$A876="GO",ROUND(_xlfn.XLOOKUP('Banco de Dados'!$P876,Sku!C:C,Sku!H:H),2),'Banco de Dados'!$A876="MEI",ROUND(_xlfn.XLOOKUP('Banco de Dados'!$P876,Sku!D:D,Sku!H:H),2)),0)</f>
        <v>0</v>
      </c>
      <c r="AN876" s="109">
        <f ca="1">IF('Banco de Dados'!$AK876&lt;&gt;"-",IF('Banco de Dados'!$F876&lt;&gt;"-",_xlfn.XLOOKUP(IFERROR(IFERROR(IFERROR(VALUE(SUBSTITUTE(MID(_xlfn.TEXTAFTER('Banco de Dados'!$F876,"Data do Pedido:
",1),1,10),"-","/")),VALUE(SUBSTITUTE(MID(_xlfn.TEXTAFTER('Banco de Dados'!$F876,"Order date:
",1),1,10),"-","/"))),VALUE(SUBSTITUTE(MID(_xlfn.TEXTAFTER('Banco de Dados'!$F876,"Fecha de pedido:
",1),1,10),"-","/"))),"-"),SMS!A:A,SMS!K:K),0),0)</f>
        <v>0</v>
      </c>
      <c r="AO876" s="109">
        <f ca="1">IF('Banco de Dados'!$AK876&lt;&gt;"-",IF('Banco de Dados'!$F876&lt;&gt;"-",IFERROR(_xlfn.XLOOKUP(_xlfn.CONCAT('Banco de Dados'!$A876,IFERROR(IFERROR(VALUE(SUBSTITUTE(MID(_xlfn.TEXTAFTER('Banco de Dados'!$F876,"Data do Pedido:
",1),1,10),"-","/")),VALUE(SUBSTITUTE(MID(_xlfn.TEXTAFTER('Banco de Dados'!$F876,"Order date:
",1),1,10),"-","/"))),0)),ProxyDD[Chave],ProxyDD[Valor por pedido]),PROXY!$P$2),0),0)</f>
        <v>0</v>
      </c>
      <c r="AP876" s="28">
        <f ca="1">IF('Banco de Dados'!$AK876&lt;&gt;"-",IF('Banco de Dados'!$AL876="NÃO",IFERROR(VALUE(SUBSTITUTE(_xlfn.TEXTAFTER('Banco de Dados'!$F876,"BRL ",1),".",",")),0),0),0)</f>
        <v>0</v>
      </c>
      <c r="AQ876" s="28">
        <f ca="1">SUM('Banco de Dados'!$AM876:$AP876)</f>
        <v>0</v>
      </c>
      <c r="AR876" s="8"/>
      <c r="AS876" s="8"/>
      <c r="AT876"/>
      <c r="AY876" s="8"/>
    </row>
    <row r="877" spans="1:51">
      <c r="A877" s="5" t="str">
        <v>BV</v>
      </c>
      <c r="B877" s="5" t="str">
        <f ca="1"/>
        <v>BV45691</v>
      </c>
      <c r="C877" s="8" t="str">
        <v>Pedido 864</v>
      </c>
      <c r="D877" s="9">
        <v>45691</v>
      </c>
      <c r="E877" s="9">
        <v>45691</v>
      </c>
      <c r="F877" s="8" t="str">
        <v>PedidoF843</v>
      </c>
      <c r="G877" s="2" t="str">
        <v>CódRastreio841</v>
      </c>
      <c r="H877" s="5">
        <v>1</v>
      </c>
      <c r="I877" s="182" t="str">
        <v>CPF 840</v>
      </c>
      <c r="J877" s="2" t="str">
        <v>Nome 840</v>
      </c>
      <c r="K877" s="8" t="str">
        <v>Tel 840</v>
      </c>
      <c r="L877" s="8" t="str">
        <v>Cep 840</v>
      </c>
      <c r="M877" s="8" t="str">
        <v>Rua 840</v>
      </c>
      <c r="N877" s="8" t="str">
        <v>Comp 840</v>
      </c>
      <c r="O877" s="8" t="str">
        <v>Suporte de Celular Branco</v>
      </c>
      <c r="P877" s="8" t="str">
        <v>16-4EDB-WMZF</v>
      </c>
      <c r="Q877" s="4">
        <v>45716</v>
      </c>
      <c r="R877" s="109">
        <v>18.899999999999999</v>
      </c>
      <c r="S877" s="11">
        <f ca="1"/>
        <v>18.899999999999999</v>
      </c>
      <c r="T877" s="28">
        <f ca="1"/>
        <v>2.8349999999999995</v>
      </c>
      <c r="U877" s="11">
        <f ca="1"/>
        <v>16.07</v>
      </c>
      <c r="V877" s="11">
        <v>6.99</v>
      </c>
      <c r="W877" s="11">
        <f ca="1"/>
        <v>0.17</v>
      </c>
      <c r="X877" s="11">
        <f ca="1"/>
        <v>0.39877104377104378</v>
      </c>
      <c r="Y877" s="11">
        <v>0</v>
      </c>
      <c r="Z877" s="11">
        <f ca="1"/>
        <v>8.5112289562289565</v>
      </c>
      <c r="AA877" s="11">
        <f ca="1"/>
        <v>4.2556144781144782</v>
      </c>
      <c r="AB877" s="4">
        <f ca="1"/>
        <v>45723</v>
      </c>
      <c r="AC877" s="4">
        <v>45723</v>
      </c>
      <c r="AD877" s="9">
        <v>45730</v>
      </c>
      <c r="AE877" s="9">
        <v>45733</v>
      </c>
      <c r="AF877" s="4" t="str">
        <f t="shared" ca="1" si="39"/>
        <v>2025 03</v>
      </c>
      <c r="AG877" s="8" t="str" cm="1">
        <f t="array" ref="AG877">IFERROR(_xlfn.IFS('Banco de Dados'!#REF!="AG. COMPRA","Em processamento",'Banco de Dados'!#REF!="AG. RASTREIO","Em processamento",'Banco de Dados'!$AE877&lt;&gt;"-","Faturado",'Banco de Dados'!$AD877&lt;&gt;"-","Aguardando Pix",'Banco de Dados'!$AC877&lt;&gt;"-","Pendente"),"Aguardando Liberação")</f>
        <v>Aguardando Liberação</v>
      </c>
      <c r="AH877" s="5" t="str">
        <f>IF('Banco de Dados'!$F877="-",_xlfn.CONCAT(PROPER(TEXT(AK877,"aaaa"))," ",PROPER(TEXT(AK877,"mm"))),_xlfn.CONCAT(PROPER(TEXT(E877,"aaaa"))," ",PROPER(TEXT(E877,"mm"))))</f>
        <v>2025 02</v>
      </c>
      <c r="AI877" s="9" t="str">
        <f ca="1">IF('Banco de Dados'!$AK877&lt;&gt;"-","REEMBOLSO",IFERROR(_xlfn.XLOOKUP(G877,Follow[CODRASTREIO],Follow[STATUS]),"-"))</f>
        <v>ENTREGUE</v>
      </c>
      <c r="AJ877" s="9">
        <f ca="1">IF('Banco de Dados'!$AI877="ENTREGUE",_xlfn.XLOOKUP('Banco de Dados'!$G877,Follow[CODRASTREIO],Follow[DATAATUALIZAÇÃO]),"-")</f>
        <v>45698</v>
      </c>
      <c r="AK877" s="132" t="str">
        <f ca="1"/>
        <v>-</v>
      </c>
      <c r="AL877" s="35"/>
      <c r="AM877" s="109" cm="1">
        <f t="array" aca="1" ref="AM877" ca="1">IF('Banco de Dados'!$AK877&lt;&gt;"-",_xlfn.IFS('Banco de Dados'!$A877="bv",IF('Banco de Dados'!$E877&lt;45641,ROUND(SUM('Banco de Dados'!$R877*_xlfn.XLOOKUP('Banco de Dados'!$P877,Sku!B:B,Sku!#REF!)*20%),2),ROUND(SUM('Banco de Dados'!$R877*_xlfn.XLOOKUP('Banco de Dados'!$P877,Sku!B:B,Sku!H:H)*20%),2)),'Banco de Dados'!$A877="GO",ROUND(_xlfn.XLOOKUP('Banco de Dados'!$P877,Sku!C:C,Sku!H:H),2),'Banco de Dados'!$A877="MEI",ROUND(_xlfn.XLOOKUP('Banco de Dados'!$P877,Sku!D:D,Sku!H:H),2)),0)</f>
        <v>0</v>
      </c>
      <c r="AN877" s="109">
        <f ca="1">IF('Banco de Dados'!$AK877&lt;&gt;"-",IF('Banco de Dados'!$F877&lt;&gt;"-",_xlfn.XLOOKUP(IFERROR(IFERROR(IFERROR(VALUE(SUBSTITUTE(MID(_xlfn.TEXTAFTER('Banco de Dados'!$F877,"Data do Pedido:
",1),1,10),"-","/")),VALUE(SUBSTITUTE(MID(_xlfn.TEXTAFTER('Banco de Dados'!$F877,"Order date:
",1),1,10),"-","/"))),VALUE(SUBSTITUTE(MID(_xlfn.TEXTAFTER('Banco de Dados'!$F877,"Fecha de pedido:
",1),1,10),"-","/"))),"-"),SMS!A:A,SMS!K:K),0),0)</f>
        <v>0</v>
      </c>
      <c r="AO877" s="109">
        <f ca="1">IF('Banco de Dados'!$AK877&lt;&gt;"-",IF('Banco de Dados'!$F877&lt;&gt;"-",IFERROR(_xlfn.XLOOKUP(_xlfn.CONCAT('Banco de Dados'!$A877,IFERROR(IFERROR(VALUE(SUBSTITUTE(MID(_xlfn.TEXTAFTER('Banco de Dados'!$F877,"Data do Pedido:
",1),1,10),"-","/")),VALUE(SUBSTITUTE(MID(_xlfn.TEXTAFTER('Banco de Dados'!$F877,"Order date:
",1),1,10),"-","/"))),0)),ProxyDD[Chave],ProxyDD[Valor por pedido]),PROXY!$P$2),0),0)</f>
        <v>0</v>
      </c>
      <c r="AP877" s="28">
        <f ca="1">IF('Banco de Dados'!$AK877&lt;&gt;"-",IF('Banco de Dados'!$AL877="NÃO",IFERROR(VALUE(SUBSTITUTE(_xlfn.TEXTAFTER('Banco de Dados'!$F877,"BRL ",1),".",",")),0),0),0)</f>
        <v>0</v>
      </c>
      <c r="AQ877" s="28">
        <f ca="1">SUM('Banco de Dados'!$AM877:$AP877)</f>
        <v>0</v>
      </c>
      <c r="AR877" s="8"/>
      <c r="AS877" s="8"/>
      <c r="AT877"/>
      <c r="AY877" s="8"/>
    </row>
    <row r="878" spans="1:51">
      <c r="A878" s="5" t="str">
        <v>BV</v>
      </c>
      <c r="B878" s="5" t="str">
        <f ca="1"/>
        <v>BV45692</v>
      </c>
      <c r="C878" s="8" t="str">
        <v>Pedido 865</v>
      </c>
      <c r="D878" s="9">
        <v>45692</v>
      </c>
      <c r="E878" s="9">
        <v>45692</v>
      </c>
      <c r="F878" s="8" t="str">
        <v>PedidoF844</v>
      </c>
      <c r="G878" s="2" t="str">
        <v>CódRastreio842</v>
      </c>
      <c r="H878" s="5">
        <v>1</v>
      </c>
      <c r="I878" s="182" t="str">
        <v>CPF 841</v>
      </c>
      <c r="J878" s="2" t="str">
        <v>Nome 841</v>
      </c>
      <c r="K878" s="8" t="str">
        <v>Tel 841</v>
      </c>
      <c r="L878" s="8" t="str">
        <v>Cep 841</v>
      </c>
      <c r="M878" s="8" t="str">
        <v>Rua 841</v>
      </c>
      <c r="N878" s="8" t="str">
        <v>Comp 841</v>
      </c>
      <c r="O878" s="8" t="str">
        <v>Suporte de Celular Branco</v>
      </c>
      <c r="P878" s="8" t="str">
        <v>16-4EDB-WMZF</v>
      </c>
      <c r="Q878" s="4">
        <v>45710</v>
      </c>
      <c r="R878" s="109">
        <v>18.899999999999999</v>
      </c>
      <c r="S878" s="11">
        <f ca="1"/>
        <v>18.899999999999999</v>
      </c>
      <c r="T878" s="28">
        <f ca="1"/>
        <v>2.8349999999999995</v>
      </c>
      <c r="U878" s="11">
        <f ca="1"/>
        <v>16.07</v>
      </c>
      <c r="V878" s="11">
        <v>6.99</v>
      </c>
      <c r="W878" s="11">
        <f ca="1"/>
        <v>0.19</v>
      </c>
      <c r="X878" s="11">
        <f ca="1"/>
        <v>0.39877104377104378</v>
      </c>
      <c r="Y878" s="11">
        <v>0</v>
      </c>
      <c r="Z878" s="11">
        <f ca="1"/>
        <v>8.4912289562289551</v>
      </c>
      <c r="AA878" s="11">
        <f ca="1"/>
        <v>4.2456144781144776</v>
      </c>
      <c r="AB878" s="4">
        <f ca="1"/>
        <v>45717</v>
      </c>
      <c r="AC878" s="4">
        <v>45717</v>
      </c>
      <c r="AD878" s="9">
        <v>45730</v>
      </c>
      <c r="AE878" s="9">
        <v>45733</v>
      </c>
      <c r="AF878" s="4" t="str">
        <f t="shared" ref="AF878:AF885" ca="1" si="40">_xlfn.CONCAT(PROPER(TEXT(AB878,"aaaa"))," ",PROPER(TEXT(AB878,"mm")))</f>
        <v>2025 03</v>
      </c>
      <c r="AG878" s="8" t="str" cm="1">
        <f t="array" ref="AG878">IFERROR(_xlfn.IFS('Banco de Dados'!#REF!="AG. COMPRA","Em processamento",'Banco de Dados'!#REF!="AG. RASTREIO","Em processamento",'Banco de Dados'!$AE878&lt;&gt;"-","Faturado",'Banco de Dados'!$AD878&lt;&gt;"-","Aguardando Pix",'Banco de Dados'!$AC878&lt;&gt;"-","Pendente"),"Aguardando Liberação")</f>
        <v>Aguardando Liberação</v>
      </c>
      <c r="AH878" s="5" t="str">
        <f>IF('Banco de Dados'!$F878="-",_xlfn.CONCAT(PROPER(TEXT(AK878,"aaaa"))," ",PROPER(TEXT(AK878,"mm"))),_xlfn.CONCAT(PROPER(TEXT(E878,"aaaa"))," ",PROPER(TEXT(E878,"mm"))))</f>
        <v>2025 02</v>
      </c>
      <c r="AI878" s="9" t="str">
        <f ca="1">IF('Banco de Dados'!$AK878&lt;&gt;"-","REEMBOLSO",IFERROR(_xlfn.XLOOKUP(G878,Follow[CODRASTREIO],Follow[STATUS]),"-"))</f>
        <v>ENTREGUE</v>
      </c>
      <c r="AJ878" s="9">
        <f ca="1">IF('Banco de Dados'!$AI878="ENTREGUE",_xlfn.XLOOKUP('Banco de Dados'!$G878,Follow[CODRASTREIO],Follow[DATAATUALIZAÇÃO]),"-")</f>
        <v>45698</v>
      </c>
      <c r="AK878" s="132" t="str">
        <f ca="1"/>
        <v>-</v>
      </c>
      <c r="AL878" s="35"/>
      <c r="AM878" s="109" cm="1">
        <f t="array" aca="1" ref="AM878" ca="1">IF('Banco de Dados'!$AK878&lt;&gt;"-",_xlfn.IFS('Banco de Dados'!$A878="bv",IF('Banco de Dados'!$E878&lt;45641,ROUND(SUM('Banco de Dados'!$R878*_xlfn.XLOOKUP('Banco de Dados'!$P878,Sku!B:B,Sku!#REF!)*20%),2),ROUND(SUM('Banco de Dados'!$R878*_xlfn.XLOOKUP('Banco de Dados'!$P878,Sku!B:B,Sku!H:H)*20%),2)),'Banco de Dados'!$A878="GO",ROUND(_xlfn.XLOOKUP('Banco de Dados'!$P878,Sku!C:C,Sku!H:H),2),'Banco de Dados'!$A878="MEI",ROUND(_xlfn.XLOOKUP('Banco de Dados'!$P878,Sku!D:D,Sku!H:H),2)),0)</f>
        <v>0</v>
      </c>
      <c r="AN878" s="109">
        <f ca="1">IF('Banco de Dados'!$AK878&lt;&gt;"-",IF('Banco de Dados'!$F878&lt;&gt;"-",_xlfn.XLOOKUP(IFERROR(IFERROR(IFERROR(VALUE(SUBSTITUTE(MID(_xlfn.TEXTAFTER('Banco de Dados'!$F878,"Data do Pedido:
",1),1,10),"-","/")),VALUE(SUBSTITUTE(MID(_xlfn.TEXTAFTER('Banco de Dados'!$F878,"Order date:
",1),1,10),"-","/"))),VALUE(SUBSTITUTE(MID(_xlfn.TEXTAFTER('Banco de Dados'!$F878,"Fecha de pedido:
",1),1,10),"-","/"))),"-"),SMS!A:A,SMS!K:K),0),0)</f>
        <v>0</v>
      </c>
      <c r="AO878" s="109">
        <f ca="1">IF('Banco de Dados'!$AK878&lt;&gt;"-",IF('Banco de Dados'!$F878&lt;&gt;"-",IFERROR(_xlfn.XLOOKUP(_xlfn.CONCAT('Banco de Dados'!$A878,IFERROR(IFERROR(VALUE(SUBSTITUTE(MID(_xlfn.TEXTAFTER('Banco de Dados'!$F878,"Data do Pedido:
",1),1,10),"-","/")),VALUE(SUBSTITUTE(MID(_xlfn.TEXTAFTER('Banco de Dados'!$F878,"Order date:
",1),1,10),"-","/"))),0)),ProxyDD[Chave],ProxyDD[Valor por pedido]),PROXY!$P$2),0),0)</f>
        <v>0</v>
      </c>
      <c r="AP878" s="28">
        <f ca="1">IF('Banco de Dados'!$AK878&lt;&gt;"-",IF('Banco de Dados'!$AL878="NÃO",IFERROR(VALUE(SUBSTITUTE(_xlfn.TEXTAFTER('Banco de Dados'!$F878,"BRL ",1),".",",")),0),0),0)</f>
        <v>0</v>
      </c>
      <c r="AQ878" s="28">
        <f ca="1">SUM('Banco de Dados'!$AM878:$AP878)</f>
        <v>0</v>
      </c>
      <c r="AR878" s="8"/>
      <c r="AS878" s="8"/>
      <c r="AT878"/>
      <c r="AY878" s="8"/>
    </row>
    <row r="879" spans="1:51">
      <c r="A879" s="5" t="str">
        <v>BV</v>
      </c>
      <c r="B879" s="5" t="str">
        <f ca="1"/>
        <v>BV45692</v>
      </c>
      <c r="C879" s="8" t="str">
        <v>Pedido 866</v>
      </c>
      <c r="D879" s="9">
        <v>45692</v>
      </c>
      <c r="E879" s="9">
        <v>45692</v>
      </c>
      <c r="F879" s="8" t="str">
        <v>PedidoF845</v>
      </c>
      <c r="G879" s="2" t="str">
        <v>CódRastreio843</v>
      </c>
      <c r="H879" s="5">
        <v>1</v>
      </c>
      <c r="I879" s="182" t="str">
        <v>CPF 842</v>
      </c>
      <c r="J879" s="2" t="str">
        <v>Nome 842</v>
      </c>
      <c r="K879" s="8" t="str">
        <v>Tel 842</v>
      </c>
      <c r="L879" s="8" t="str">
        <v>Cep 842</v>
      </c>
      <c r="M879" s="8" t="str">
        <v>Rua 842</v>
      </c>
      <c r="N879" s="8" t="str">
        <v>Comp 842</v>
      </c>
      <c r="O879" s="8" t="str">
        <v>Suporte de Celular Branco</v>
      </c>
      <c r="P879" s="8" t="str">
        <v>16-4EDB-WMZF</v>
      </c>
      <c r="Q879" s="4">
        <v>45710</v>
      </c>
      <c r="R879" s="109">
        <v>18.899999999999999</v>
      </c>
      <c r="S879" s="11">
        <f ca="1"/>
        <v>18.899999999999999</v>
      </c>
      <c r="T879" s="28">
        <f ca="1"/>
        <v>2.8349999999999995</v>
      </c>
      <c r="U879" s="11">
        <f ca="1"/>
        <v>16.07</v>
      </c>
      <c r="V879" s="11">
        <v>6.99</v>
      </c>
      <c r="W879" s="11">
        <f ca="1"/>
        <v>0.19</v>
      </c>
      <c r="X879" s="11">
        <f ca="1"/>
        <v>0.39877104377104378</v>
      </c>
      <c r="Y879" s="11">
        <v>0</v>
      </c>
      <c r="Z879" s="11">
        <f ca="1"/>
        <v>8.4912289562289551</v>
      </c>
      <c r="AA879" s="11">
        <f ca="1"/>
        <v>4.2456144781144776</v>
      </c>
      <c r="AB879" s="4">
        <f ca="1"/>
        <v>45717</v>
      </c>
      <c r="AC879" s="4">
        <v>45717</v>
      </c>
      <c r="AD879" s="9">
        <v>45730</v>
      </c>
      <c r="AE879" s="9">
        <v>45733</v>
      </c>
      <c r="AF879" s="4" t="str">
        <f t="shared" ca="1" si="40"/>
        <v>2025 03</v>
      </c>
      <c r="AG879" s="8" t="str" cm="1">
        <f t="array" ref="AG879">IFERROR(_xlfn.IFS('Banco de Dados'!#REF!="AG. COMPRA","Em processamento",'Banco de Dados'!#REF!="AG. RASTREIO","Em processamento",'Banco de Dados'!$AE879&lt;&gt;"-","Faturado",'Banco de Dados'!$AD879&lt;&gt;"-","Aguardando Pix",'Banco de Dados'!$AC879&lt;&gt;"-","Pendente"),"Aguardando Liberação")</f>
        <v>Aguardando Liberação</v>
      </c>
      <c r="AH879" s="5" t="str">
        <f>IF('Banco de Dados'!$F879="-",_xlfn.CONCAT(PROPER(TEXT(AK879,"aaaa"))," ",PROPER(TEXT(AK879,"mm"))),_xlfn.CONCAT(PROPER(TEXT(E879,"aaaa"))," ",PROPER(TEXT(E879,"mm"))))</f>
        <v>2025 02</v>
      </c>
      <c r="AI879" s="9" t="str">
        <f ca="1">IF('Banco de Dados'!$AK879&lt;&gt;"-","REEMBOLSO",IFERROR(_xlfn.XLOOKUP(G879,Follow[CODRASTREIO],Follow[STATUS]),"-"))</f>
        <v>ENTREGUE</v>
      </c>
      <c r="AJ879" s="9">
        <f ca="1">IF('Banco de Dados'!$AI879="ENTREGUE",_xlfn.XLOOKUP('Banco de Dados'!$G879,Follow[CODRASTREIO],Follow[DATAATUALIZAÇÃO]),"-")</f>
        <v>45696</v>
      </c>
      <c r="AK879" s="132" t="str">
        <f ca="1"/>
        <v>-</v>
      </c>
      <c r="AL879" s="35"/>
      <c r="AM879" s="109" cm="1">
        <f t="array" aca="1" ref="AM879" ca="1">IF('Banco de Dados'!$AK879&lt;&gt;"-",_xlfn.IFS('Banco de Dados'!$A879="bv",IF('Banco de Dados'!$E879&lt;45641,ROUND(SUM('Banco de Dados'!$R879*_xlfn.XLOOKUP('Banco de Dados'!$P879,Sku!B:B,Sku!#REF!)*20%),2),ROUND(SUM('Banco de Dados'!$R879*_xlfn.XLOOKUP('Banco de Dados'!$P879,Sku!B:B,Sku!H:H)*20%),2)),'Banco de Dados'!$A879="GO",ROUND(_xlfn.XLOOKUP('Banco de Dados'!$P879,Sku!C:C,Sku!H:H),2),'Banco de Dados'!$A879="MEI",ROUND(_xlfn.XLOOKUP('Banco de Dados'!$P879,Sku!D:D,Sku!H:H),2)),0)</f>
        <v>0</v>
      </c>
      <c r="AN879" s="109">
        <f ca="1">IF('Banco de Dados'!$AK879&lt;&gt;"-",IF('Banco de Dados'!$F879&lt;&gt;"-",_xlfn.XLOOKUP(IFERROR(IFERROR(IFERROR(VALUE(SUBSTITUTE(MID(_xlfn.TEXTAFTER('Banco de Dados'!$F879,"Data do Pedido:
",1),1,10),"-","/")),VALUE(SUBSTITUTE(MID(_xlfn.TEXTAFTER('Banco de Dados'!$F879,"Order date:
",1),1,10),"-","/"))),VALUE(SUBSTITUTE(MID(_xlfn.TEXTAFTER('Banco de Dados'!$F879,"Fecha de pedido:
",1),1,10),"-","/"))),"-"),SMS!A:A,SMS!K:K),0),0)</f>
        <v>0</v>
      </c>
      <c r="AO879" s="109">
        <f ca="1">IF('Banco de Dados'!$AK879&lt;&gt;"-",IF('Banco de Dados'!$F879&lt;&gt;"-",IFERROR(_xlfn.XLOOKUP(_xlfn.CONCAT('Banco de Dados'!$A879,IFERROR(IFERROR(VALUE(SUBSTITUTE(MID(_xlfn.TEXTAFTER('Banco de Dados'!$F879,"Data do Pedido:
",1),1,10),"-","/")),VALUE(SUBSTITUTE(MID(_xlfn.TEXTAFTER('Banco de Dados'!$F879,"Order date:
",1),1,10),"-","/"))),0)),ProxyDD[Chave],ProxyDD[Valor por pedido]),PROXY!$P$2),0),0)</f>
        <v>0</v>
      </c>
      <c r="AP879" s="28">
        <f ca="1">IF('Banco de Dados'!$AK879&lt;&gt;"-",IF('Banco de Dados'!$AL879="NÃO",IFERROR(VALUE(SUBSTITUTE(_xlfn.TEXTAFTER('Banco de Dados'!$F879,"BRL ",1),".",",")),0),0),0)</f>
        <v>0</v>
      </c>
      <c r="AQ879" s="28">
        <f ca="1">SUM('Banco de Dados'!$AM879:$AP879)</f>
        <v>0</v>
      </c>
      <c r="AR879" s="8"/>
      <c r="AS879" s="8"/>
      <c r="AT879"/>
      <c r="AY879" s="8"/>
    </row>
    <row r="880" spans="1:51">
      <c r="A880" s="5" t="str">
        <v>BV</v>
      </c>
      <c r="B880" s="5" t="str">
        <f ca="1"/>
        <v>BV45692</v>
      </c>
      <c r="C880" s="8" t="str">
        <v>Pedido 867</v>
      </c>
      <c r="D880" s="9">
        <v>45692</v>
      </c>
      <c r="E880" s="9">
        <v>45692</v>
      </c>
      <c r="F880" s="8" t="str">
        <v>PedidoF846</v>
      </c>
      <c r="G880" s="2" t="str">
        <v>CódRastreio844</v>
      </c>
      <c r="H880" s="5">
        <v>1</v>
      </c>
      <c r="I880" s="182" t="str">
        <v>CPF 843</v>
      </c>
      <c r="J880" s="2" t="str">
        <v>Nome 843</v>
      </c>
      <c r="K880" s="8" t="str">
        <v>Tel 843</v>
      </c>
      <c r="L880" s="8" t="str">
        <v>Cep 843</v>
      </c>
      <c r="M880" s="8" t="str">
        <v>Rua 843</v>
      </c>
      <c r="N880" s="8" t="str">
        <v>Comp 843</v>
      </c>
      <c r="O880" s="8" t="str">
        <v>Ventilador Rosa</v>
      </c>
      <c r="P880" s="8" t="str">
        <v>IF-G2ZQ-79FO</v>
      </c>
      <c r="Q880" s="4">
        <v>45717</v>
      </c>
      <c r="R880" s="109">
        <v>52.7</v>
      </c>
      <c r="S880" s="11">
        <f ca="1"/>
        <v>52.7</v>
      </c>
      <c r="T880" s="28">
        <f ca="1"/>
        <v>6.8510000000000009</v>
      </c>
      <c r="U880" s="11">
        <f ca="1"/>
        <v>45.85</v>
      </c>
      <c r="V880" s="11">
        <v>16.440000000000001</v>
      </c>
      <c r="W880" s="11">
        <f ca="1"/>
        <v>0.19</v>
      </c>
      <c r="X880" s="11">
        <f ca="1"/>
        <v>0.39877104377104378</v>
      </c>
      <c r="Y880" s="11">
        <v>0</v>
      </c>
      <c r="Z880" s="11">
        <f ca="1"/>
        <v>28.821228956228953</v>
      </c>
      <c r="AA880" s="11">
        <f ca="1"/>
        <v>14.410614478114477</v>
      </c>
      <c r="AB880" s="4">
        <f ca="1"/>
        <v>45724</v>
      </c>
      <c r="AC880" s="4">
        <v>45724</v>
      </c>
      <c r="AD880" s="9">
        <v>45730</v>
      </c>
      <c r="AE880" s="9">
        <v>45733</v>
      </c>
      <c r="AF880" s="4" t="str">
        <f t="shared" ca="1" si="40"/>
        <v>2025 03</v>
      </c>
      <c r="AG880" s="8" t="str" cm="1">
        <f t="array" ref="AG880">IFERROR(_xlfn.IFS('Banco de Dados'!#REF!="AG. COMPRA","Em processamento",'Banco de Dados'!#REF!="AG. RASTREIO","Em processamento",'Banco de Dados'!$AE880&lt;&gt;"-","Faturado",'Banco de Dados'!$AD880&lt;&gt;"-","Aguardando Pix",'Banco de Dados'!$AC880&lt;&gt;"-","Pendente"),"Aguardando Liberação")</f>
        <v>Aguardando Liberação</v>
      </c>
      <c r="AH880" s="5" t="str">
        <f>IF('Banco de Dados'!$F880="-",_xlfn.CONCAT(PROPER(TEXT(AK880,"aaaa"))," ",PROPER(TEXT(AK880,"mm"))),_xlfn.CONCAT(PROPER(TEXT(E880,"aaaa"))," ",PROPER(TEXT(E880,"mm"))))</f>
        <v>2025 02</v>
      </c>
      <c r="AI880" s="9" t="str">
        <f ca="1">IF('Banco de Dados'!$AK880&lt;&gt;"-","REEMBOLSO",IFERROR(_xlfn.XLOOKUP(G880,Follow[CODRASTREIO],Follow[STATUS]),"-"))</f>
        <v>ENTREGUE</v>
      </c>
      <c r="AJ880" s="9">
        <f ca="1">IF('Banco de Dados'!$AI880="ENTREGUE",_xlfn.XLOOKUP('Banco de Dados'!$G880,Follow[CODRASTREIO],Follow[DATAATUALIZAÇÃO]),"-")</f>
        <v>45708</v>
      </c>
      <c r="AK880" s="132" t="str">
        <f ca="1"/>
        <v>-</v>
      </c>
      <c r="AL880" s="35"/>
      <c r="AM880" s="109" cm="1">
        <f t="array" aca="1" ref="AM880" ca="1">IF('Banco de Dados'!$AK880&lt;&gt;"-",_xlfn.IFS('Banco de Dados'!$A880="bv",IF('Banco de Dados'!$E880&lt;45641,ROUND(SUM('Banco de Dados'!$R880*_xlfn.XLOOKUP('Banco de Dados'!$P880,Sku!B:B,Sku!#REF!)*20%),2),ROUND(SUM('Banco de Dados'!$R880*_xlfn.XLOOKUP('Banco de Dados'!$P880,Sku!B:B,Sku!H:H)*20%),2)),'Banco de Dados'!$A880="GO",ROUND(_xlfn.XLOOKUP('Banco de Dados'!$P880,Sku!C:C,Sku!H:H),2),'Banco de Dados'!$A880="MEI",ROUND(_xlfn.XLOOKUP('Banco de Dados'!$P880,Sku!D:D,Sku!H:H),2)),0)</f>
        <v>0</v>
      </c>
      <c r="AN880" s="109">
        <f ca="1">IF('Banco de Dados'!$AK880&lt;&gt;"-",IF('Banco de Dados'!$F880&lt;&gt;"-",_xlfn.XLOOKUP(IFERROR(IFERROR(IFERROR(VALUE(SUBSTITUTE(MID(_xlfn.TEXTAFTER('Banco de Dados'!$F880,"Data do Pedido:
",1),1,10),"-","/")),VALUE(SUBSTITUTE(MID(_xlfn.TEXTAFTER('Banco de Dados'!$F880,"Order date:
",1),1,10),"-","/"))),VALUE(SUBSTITUTE(MID(_xlfn.TEXTAFTER('Banco de Dados'!$F880,"Fecha de pedido:
",1),1,10),"-","/"))),"-"),SMS!A:A,SMS!K:K),0),0)</f>
        <v>0</v>
      </c>
      <c r="AO880" s="109">
        <f ca="1">IF('Banco de Dados'!$AK880&lt;&gt;"-",IF('Banco de Dados'!$F880&lt;&gt;"-",IFERROR(_xlfn.XLOOKUP(_xlfn.CONCAT('Banco de Dados'!$A880,IFERROR(IFERROR(VALUE(SUBSTITUTE(MID(_xlfn.TEXTAFTER('Banco de Dados'!$F880,"Data do Pedido:
",1),1,10),"-","/")),VALUE(SUBSTITUTE(MID(_xlfn.TEXTAFTER('Banco de Dados'!$F880,"Order date:
",1),1,10),"-","/"))),0)),ProxyDD[Chave],ProxyDD[Valor por pedido]),PROXY!$P$2),0),0)</f>
        <v>0</v>
      </c>
      <c r="AP880" s="28">
        <f ca="1">IF('Banco de Dados'!$AK880&lt;&gt;"-",IF('Banco de Dados'!$AL880="NÃO",IFERROR(VALUE(SUBSTITUTE(_xlfn.TEXTAFTER('Banco de Dados'!$F880,"BRL ",1),".",",")),0),0),0)</f>
        <v>0</v>
      </c>
      <c r="AQ880" s="28">
        <f ca="1">SUM('Banco de Dados'!$AM880:$AP880)</f>
        <v>0</v>
      </c>
      <c r="AR880" s="8"/>
      <c r="AS880" s="8"/>
      <c r="AT880"/>
      <c r="AY880" s="8"/>
    </row>
    <row r="881" spans="1:51">
      <c r="A881" s="5" t="str">
        <v>BV</v>
      </c>
      <c r="B881" s="5" t="str">
        <f ca="1"/>
        <v>BV45692</v>
      </c>
      <c r="C881" s="8" t="str">
        <v>Pedido 868</v>
      </c>
      <c r="D881" s="9">
        <v>45692</v>
      </c>
      <c r="E881" s="9">
        <v>45692</v>
      </c>
      <c r="F881" s="8" t="str">
        <v>PedidoF847</v>
      </c>
      <c r="G881" s="2" t="str">
        <v>CódRastreio845</v>
      </c>
      <c r="H881" s="5">
        <v>1</v>
      </c>
      <c r="I881" s="182" t="str">
        <v>CPF 844</v>
      </c>
      <c r="J881" s="2" t="str">
        <v>Nome 844</v>
      </c>
      <c r="K881" s="8" t="str">
        <v>Tel 844</v>
      </c>
      <c r="L881" s="8" t="str">
        <v>Cep 844</v>
      </c>
      <c r="M881" s="8" t="str">
        <v>Rua 844</v>
      </c>
      <c r="N881" s="8" t="str">
        <v>Comp 844</v>
      </c>
      <c r="O881" s="8" t="str">
        <v>Mini Liquidificador</v>
      </c>
      <c r="P881" s="8" t="str">
        <v>CK-YL6M-P5Y6</v>
      </c>
      <c r="Q881" s="4">
        <v>45709</v>
      </c>
      <c r="R881" s="109">
        <v>33.99</v>
      </c>
      <c r="S881" s="11">
        <f ca="1"/>
        <v>33.99</v>
      </c>
      <c r="T881" s="28">
        <f ca="1"/>
        <v>4.7586000000000004</v>
      </c>
      <c r="U881" s="11">
        <f ca="1"/>
        <v>29.23</v>
      </c>
      <c r="V881" s="11">
        <v>14.99</v>
      </c>
      <c r="W881" s="11">
        <f ca="1"/>
        <v>0.19</v>
      </c>
      <c r="X881" s="11">
        <f ca="1"/>
        <v>0.39877104377104378</v>
      </c>
      <c r="Y881" s="11">
        <v>0</v>
      </c>
      <c r="Z881" s="11">
        <f ca="1"/>
        <v>13.651228956228957</v>
      </c>
      <c r="AA881" s="11">
        <f ca="1"/>
        <v>6.8256144781144785</v>
      </c>
      <c r="AB881" s="4">
        <f ca="1"/>
        <v>45716</v>
      </c>
      <c r="AC881" s="4">
        <v>45716</v>
      </c>
      <c r="AD881" s="9">
        <v>45721</v>
      </c>
      <c r="AE881" s="9">
        <v>45721</v>
      </c>
      <c r="AF881" s="4" t="str">
        <f t="shared" ca="1" si="40"/>
        <v>2025 02</v>
      </c>
      <c r="AG881" s="8" t="str" cm="1">
        <f t="array" ref="AG881">IFERROR(_xlfn.IFS('Banco de Dados'!#REF!="AG. COMPRA","Em processamento",'Banco de Dados'!#REF!="AG. RASTREIO","Em processamento",'Banco de Dados'!$AE881&lt;&gt;"-","Faturado",'Banco de Dados'!$AD881&lt;&gt;"-","Aguardando Pix",'Banco de Dados'!$AC881&lt;&gt;"-","Pendente"),"Aguardando Liberação")</f>
        <v>Aguardando Liberação</v>
      </c>
      <c r="AH881" s="5" t="str">
        <f>IF('Banco de Dados'!$F881="-",_xlfn.CONCAT(PROPER(TEXT(AK881,"aaaa"))," ",PROPER(TEXT(AK881,"mm"))),_xlfn.CONCAT(PROPER(TEXT(E881,"aaaa"))," ",PROPER(TEXT(E881,"mm"))))</f>
        <v>2025 02</v>
      </c>
      <c r="AI881" s="9" t="str">
        <f ca="1">IF('Banco de Dados'!$AK881&lt;&gt;"-","REEMBOLSO",IFERROR(_xlfn.XLOOKUP(G881,Follow[CODRASTREIO],Follow[STATUS]),"-"))</f>
        <v>ENTREGUE</v>
      </c>
      <c r="AJ881" s="9">
        <f ca="1">IF('Banco de Dados'!$AI881="ENTREGUE",_xlfn.XLOOKUP('Banco de Dados'!$G881,Follow[CODRASTREIO],Follow[DATAATUALIZAÇÃO]),"-")</f>
        <v>45698</v>
      </c>
      <c r="AK881" s="132" t="str">
        <f ca="1"/>
        <v>-</v>
      </c>
      <c r="AL881" s="35"/>
      <c r="AM881" s="109" cm="1">
        <f t="array" aca="1" ref="AM881" ca="1">IF('Banco de Dados'!$AK881&lt;&gt;"-",_xlfn.IFS('Banco de Dados'!$A881="bv",IF('Banco de Dados'!$E881&lt;45641,ROUND(SUM('Banco de Dados'!$R881*_xlfn.XLOOKUP('Banco de Dados'!$P881,Sku!B:B,Sku!#REF!)*20%),2),ROUND(SUM('Banco de Dados'!$R881*_xlfn.XLOOKUP('Banco de Dados'!$P881,Sku!B:B,Sku!H:H)*20%),2)),'Banco de Dados'!$A881="GO",ROUND(_xlfn.XLOOKUP('Banco de Dados'!$P881,Sku!C:C,Sku!H:H),2),'Banco de Dados'!$A881="MEI",ROUND(_xlfn.XLOOKUP('Banco de Dados'!$P881,Sku!D:D,Sku!H:H),2)),0)</f>
        <v>0</v>
      </c>
      <c r="AN881" s="109">
        <f ca="1">IF('Banco de Dados'!$AK881&lt;&gt;"-",IF('Banco de Dados'!$F881&lt;&gt;"-",_xlfn.XLOOKUP(IFERROR(IFERROR(IFERROR(VALUE(SUBSTITUTE(MID(_xlfn.TEXTAFTER('Banco de Dados'!$F881,"Data do Pedido:
",1),1,10),"-","/")),VALUE(SUBSTITUTE(MID(_xlfn.TEXTAFTER('Banco de Dados'!$F881,"Order date:
",1),1,10),"-","/"))),VALUE(SUBSTITUTE(MID(_xlfn.TEXTAFTER('Banco de Dados'!$F881,"Fecha de pedido:
",1),1,10),"-","/"))),"-"),SMS!A:A,SMS!K:K),0),0)</f>
        <v>0</v>
      </c>
      <c r="AO881" s="109">
        <f ca="1">IF('Banco de Dados'!$AK881&lt;&gt;"-",IF('Banco de Dados'!$F881&lt;&gt;"-",IFERROR(_xlfn.XLOOKUP(_xlfn.CONCAT('Banco de Dados'!$A881,IFERROR(IFERROR(VALUE(SUBSTITUTE(MID(_xlfn.TEXTAFTER('Banco de Dados'!$F881,"Data do Pedido:
",1),1,10),"-","/")),VALUE(SUBSTITUTE(MID(_xlfn.TEXTAFTER('Banco de Dados'!$F881,"Order date:
",1),1,10),"-","/"))),0)),ProxyDD[Chave],ProxyDD[Valor por pedido]),PROXY!$P$2),0),0)</f>
        <v>0</v>
      </c>
      <c r="AP881" s="28">
        <f ca="1">IF('Banco de Dados'!$AK881&lt;&gt;"-",IF('Banco de Dados'!$AL881="NÃO",IFERROR(VALUE(SUBSTITUTE(_xlfn.TEXTAFTER('Banco de Dados'!$F881,"BRL ",1),".",",")),0),0),0)</f>
        <v>0</v>
      </c>
      <c r="AQ881" s="28">
        <f ca="1">SUM('Banco de Dados'!$AM881:$AP881)</f>
        <v>0</v>
      </c>
      <c r="AR881" s="8"/>
      <c r="AS881" s="8"/>
      <c r="AT881"/>
      <c r="AY881" s="8"/>
    </row>
    <row r="882" spans="1:51">
      <c r="A882" s="5" t="str">
        <v>BV</v>
      </c>
      <c r="B882" s="5" t="str">
        <f ca="1"/>
        <v>BV45692</v>
      </c>
      <c r="C882" s="8" t="str">
        <v>Pedido 869</v>
      </c>
      <c r="D882" s="9">
        <v>45692</v>
      </c>
      <c r="E882" s="9">
        <v>45692</v>
      </c>
      <c r="F882" s="8" t="str">
        <v>PedidoF848</v>
      </c>
      <c r="G882" s="2" t="str">
        <v>CódRastreio846</v>
      </c>
      <c r="H882" s="5">
        <v>1</v>
      </c>
      <c r="I882" s="182" t="str">
        <v>CPF 845</v>
      </c>
      <c r="J882" s="2" t="str">
        <v>Nome 845</v>
      </c>
      <c r="K882" s="8" t="str">
        <v>Tel 845</v>
      </c>
      <c r="L882" s="8" t="str">
        <v>Cep 845</v>
      </c>
      <c r="M882" s="8" t="str">
        <v>Rua 845</v>
      </c>
      <c r="N882" s="8" t="str">
        <v>Comp 845</v>
      </c>
      <c r="O882" s="8" t="str">
        <v>Suporte de Celular Branco</v>
      </c>
      <c r="P882" s="8" t="str">
        <v>16-4EDB-WMZF</v>
      </c>
      <c r="Q882" s="4">
        <v>45717</v>
      </c>
      <c r="R882" s="109">
        <v>19.600000000000001</v>
      </c>
      <c r="S882" s="11">
        <f ca="1"/>
        <v>19.600000000000001</v>
      </c>
      <c r="T882" s="28">
        <f ca="1"/>
        <v>2.94</v>
      </c>
      <c r="U882" s="11">
        <f ca="1"/>
        <v>16.66</v>
      </c>
      <c r="V882" s="11">
        <v>6.99</v>
      </c>
      <c r="W882" s="11">
        <f ca="1"/>
        <v>0.19</v>
      </c>
      <c r="X882" s="11">
        <f ca="1"/>
        <v>0.39877104377104378</v>
      </c>
      <c r="Y882" s="11">
        <v>0</v>
      </c>
      <c r="Z882" s="11">
        <f ca="1"/>
        <v>9.081228956228955</v>
      </c>
      <c r="AA882" s="11">
        <f ca="1"/>
        <v>4.5406144781144775</v>
      </c>
      <c r="AB882" s="4">
        <f ca="1"/>
        <v>45724</v>
      </c>
      <c r="AC882" s="4">
        <v>45724</v>
      </c>
      <c r="AD882" s="9">
        <v>45730</v>
      </c>
      <c r="AE882" s="9">
        <v>45733</v>
      </c>
      <c r="AF882" s="4" t="str">
        <f t="shared" ca="1" si="40"/>
        <v>2025 03</v>
      </c>
      <c r="AG882" s="8" t="str" cm="1">
        <f t="array" ref="AG882">IFERROR(_xlfn.IFS('Banco de Dados'!#REF!="AG. COMPRA","Em processamento",'Banco de Dados'!#REF!="AG. RASTREIO","Em processamento",'Banco de Dados'!$AE882&lt;&gt;"-","Faturado",'Banco de Dados'!$AD882&lt;&gt;"-","Aguardando Pix",'Banco de Dados'!$AC882&lt;&gt;"-","Pendente"),"Aguardando Liberação")</f>
        <v>Aguardando Liberação</v>
      </c>
      <c r="AH882" s="5" t="str">
        <f>IF('Banco de Dados'!$F882="-",_xlfn.CONCAT(PROPER(TEXT(AK882,"aaaa"))," ",PROPER(TEXT(AK882,"mm"))),_xlfn.CONCAT(PROPER(TEXT(E882,"aaaa"))," ",PROPER(TEXT(E882,"mm"))))</f>
        <v>2025 02</v>
      </c>
      <c r="AI882" s="9" t="str">
        <f ca="1">IF('Banco de Dados'!$AK882&lt;&gt;"-","REEMBOLSO",IFERROR(_xlfn.XLOOKUP(G882,Follow[CODRASTREIO],Follow[STATUS]),"-"))</f>
        <v>ENTREGUE</v>
      </c>
      <c r="AJ882" s="9">
        <f ca="1">IF('Banco de Dados'!$AI882="ENTREGUE",_xlfn.XLOOKUP('Banco de Dados'!$G882,Follow[CODRASTREIO],Follow[DATAATUALIZAÇÃO]),"-")</f>
        <v>45700</v>
      </c>
      <c r="AK882" s="132" t="str">
        <f ca="1"/>
        <v>-</v>
      </c>
      <c r="AL882" s="35"/>
      <c r="AM882" s="109" cm="1">
        <f t="array" aca="1" ref="AM882" ca="1">IF('Banco de Dados'!$AK882&lt;&gt;"-",_xlfn.IFS('Banco de Dados'!$A882="bv",IF('Banco de Dados'!$E882&lt;45641,ROUND(SUM('Banco de Dados'!$R882*_xlfn.XLOOKUP('Banco de Dados'!$P882,Sku!B:B,Sku!#REF!)*20%),2),ROUND(SUM('Banco de Dados'!$R882*_xlfn.XLOOKUP('Banco de Dados'!$P882,Sku!B:B,Sku!H:H)*20%),2)),'Banco de Dados'!$A882="GO",ROUND(_xlfn.XLOOKUP('Banco de Dados'!$P882,Sku!C:C,Sku!H:H),2),'Banco de Dados'!$A882="MEI",ROUND(_xlfn.XLOOKUP('Banco de Dados'!$P882,Sku!D:D,Sku!H:H),2)),0)</f>
        <v>0</v>
      </c>
      <c r="AN882" s="109">
        <f ca="1">IF('Banco de Dados'!$AK882&lt;&gt;"-",IF('Banco de Dados'!$F882&lt;&gt;"-",_xlfn.XLOOKUP(IFERROR(IFERROR(IFERROR(VALUE(SUBSTITUTE(MID(_xlfn.TEXTAFTER('Banco de Dados'!$F882,"Data do Pedido:
",1),1,10),"-","/")),VALUE(SUBSTITUTE(MID(_xlfn.TEXTAFTER('Banco de Dados'!$F882,"Order date:
",1),1,10),"-","/"))),VALUE(SUBSTITUTE(MID(_xlfn.TEXTAFTER('Banco de Dados'!$F882,"Fecha de pedido:
",1),1,10),"-","/"))),"-"),SMS!A:A,SMS!K:K),0),0)</f>
        <v>0</v>
      </c>
      <c r="AO882" s="109">
        <f ca="1">IF('Banco de Dados'!$AK882&lt;&gt;"-",IF('Banco de Dados'!$F882&lt;&gt;"-",IFERROR(_xlfn.XLOOKUP(_xlfn.CONCAT('Banco de Dados'!$A882,IFERROR(IFERROR(VALUE(SUBSTITUTE(MID(_xlfn.TEXTAFTER('Banco de Dados'!$F882,"Data do Pedido:
",1),1,10),"-","/")),VALUE(SUBSTITUTE(MID(_xlfn.TEXTAFTER('Banco de Dados'!$F882,"Order date:
",1),1,10),"-","/"))),0)),ProxyDD[Chave],ProxyDD[Valor por pedido]),PROXY!$P$2),0),0)</f>
        <v>0</v>
      </c>
      <c r="AP882" s="28">
        <f ca="1">IF('Banco de Dados'!$AK882&lt;&gt;"-",IF('Banco de Dados'!$AL882="NÃO",IFERROR(VALUE(SUBSTITUTE(_xlfn.TEXTAFTER('Banco de Dados'!$F882,"BRL ",1),".",",")),0),0),0)</f>
        <v>0</v>
      </c>
      <c r="AQ882" s="28">
        <f ca="1">SUM('Banco de Dados'!$AM882:$AP882)</f>
        <v>0</v>
      </c>
      <c r="AR882" s="8"/>
      <c r="AS882" s="8"/>
      <c r="AT882"/>
      <c r="AY882" s="8"/>
    </row>
    <row r="883" spans="1:51">
      <c r="A883" s="5" t="str">
        <v>BV</v>
      </c>
      <c r="B883" s="5" t="str">
        <f ca="1"/>
        <v>BV45692</v>
      </c>
      <c r="C883" s="8" t="str">
        <v>Pedido 870</v>
      </c>
      <c r="D883" s="9">
        <v>45692</v>
      </c>
      <c r="E883" s="9">
        <v>45692</v>
      </c>
      <c r="F883" s="8" t="str">
        <v>PedidoF849</v>
      </c>
      <c r="G883" s="2" t="str">
        <v>CódRastreio847</v>
      </c>
      <c r="H883" s="5">
        <v>1</v>
      </c>
      <c r="I883" s="182" t="str">
        <v>CPF 846</v>
      </c>
      <c r="J883" s="2" t="str">
        <v>Nome 846</v>
      </c>
      <c r="K883" s="8" t="str">
        <v>Tel 846</v>
      </c>
      <c r="L883" s="8" t="str">
        <v>Cep 846</v>
      </c>
      <c r="M883" s="8" t="str">
        <v>Rua 846</v>
      </c>
      <c r="N883" s="8" t="str">
        <v>Comp 846</v>
      </c>
      <c r="O883" s="8" t="str">
        <v>Suporte de Celular Branco</v>
      </c>
      <c r="P883" s="8" t="str">
        <v>16-4EDB-WMZF</v>
      </c>
      <c r="Q883" s="4">
        <v>45713</v>
      </c>
      <c r="R883" s="109">
        <v>19.600000000000001</v>
      </c>
      <c r="S883" s="11">
        <f ca="1"/>
        <v>19.600000000000001</v>
      </c>
      <c r="T883" s="28">
        <f ca="1"/>
        <v>2.94</v>
      </c>
      <c r="U883" s="11">
        <f ca="1"/>
        <v>16.66</v>
      </c>
      <c r="V883" s="11">
        <v>6.99</v>
      </c>
      <c r="W883" s="11">
        <f ca="1"/>
        <v>0.19</v>
      </c>
      <c r="X883" s="11">
        <f ca="1"/>
        <v>0.39877104377104378</v>
      </c>
      <c r="Y883" s="11">
        <v>0</v>
      </c>
      <c r="Z883" s="11">
        <f ca="1"/>
        <v>9.081228956228955</v>
      </c>
      <c r="AA883" s="11">
        <f ca="1"/>
        <v>4.5406144781144775</v>
      </c>
      <c r="AB883" s="4">
        <f ca="1"/>
        <v>45720</v>
      </c>
      <c r="AC883" s="4">
        <v>45720</v>
      </c>
      <c r="AD883" s="9">
        <v>45730</v>
      </c>
      <c r="AE883" s="9">
        <v>45733</v>
      </c>
      <c r="AF883" s="4" t="str">
        <f t="shared" ca="1" si="40"/>
        <v>2025 03</v>
      </c>
      <c r="AG883" s="8" t="str" cm="1">
        <f t="array" ref="AG883">IFERROR(_xlfn.IFS('Banco de Dados'!#REF!="AG. COMPRA","Em processamento",'Banco de Dados'!#REF!="AG. RASTREIO","Em processamento",'Banco de Dados'!$AE883&lt;&gt;"-","Faturado",'Banco de Dados'!$AD883&lt;&gt;"-","Aguardando Pix",'Banco de Dados'!$AC883&lt;&gt;"-","Pendente"),"Aguardando Liberação")</f>
        <v>Aguardando Liberação</v>
      </c>
      <c r="AH883" s="5" t="str">
        <f>IF('Banco de Dados'!$F883="-",_xlfn.CONCAT(PROPER(TEXT(AK883,"aaaa"))," ",PROPER(TEXT(AK883,"mm"))),_xlfn.CONCAT(PROPER(TEXT(E883,"aaaa"))," ",PROPER(TEXT(E883,"mm"))))</f>
        <v>2025 02</v>
      </c>
      <c r="AI883" s="9" t="str">
        <f ca="1">IF('Banco de Dados'!$AK883&lt;&gt;"-","REEMBOLSO",IFERROR(_xlfn.XLOOKUP(G883,Follow[CODRASTREIO],Follow[STATUS]),"-"))</f>
        <v>ENTREGUE</v>
      </c>
      <c r="AJ883" s="9">
        <f ca="1">IF('Banco de Dados'!$AI883="ENTREGUE",_xlfn.XLOOKUP('Banco de Dados'!$G883,Follow[CODRASTREIO],Follow[DATAATUALIZAÇÃO]),"-")</f>
        <v>45712</v>
      </c>
      <c r="AK883" s="132" t="str">
        <f ca="1"/>
        <v>-</v>
      </c>
      <c r="AL883" s="35"/>
      <c r="AM883" s="109" cm="1">
        <f t="array" aca="1" ref="AM883" ca="1">IF('Banco de Dados'!$AK883&lt;&gt;"-",_xlfn.IFS('Banco de Dados'!$A883="bv",IF('Banco de Dados'!$E883&lt;45641,ROUND(SUM('Banco de Dados'!$R883*_xlfn.XLOOKUP('Banco de Dados'!$P883,Sku!B:B,Sku!#REF!)*20%),2),ROUND(SUM('Banco de Dados'!$R883*_xlfn.XLOOKUP('Banco de Dados'!$P883,Sku!B:B,Sku!H:H)*20%),2)),'Banco de Dados'!$A883="GO",ROUND(_xlfn.XLOOKUP('Banco de Dados'!$P883,Sku!C:C,Sku!H:H),2),'Banco de Dados'!$A883="MEI",ROUND(_xlfn.XLOOKUP('Banco de Dados'!$P883,Sku!D:D,Sku!H:H),2)),0)</f>
        <v>0</v>
      </c>
      <c r="AN883" s="109">
        <f ca="1">IF('Banco de Dados'!$AK883&lt;&gt;"-",IF('Banco de Dados'!$F883&lt;&gt;"-",_xlfn.XLOOKUP(IFERROR(IFERROR(IFERROR(VALUE(SUBSTITUTE(MID(_xlfn.TEXTAFTER('Banco de Dados'!$F883,"Data do Pedido:
",1),1,10),"-","/")),VALUE(SUBSTITUTE(MID(_xlfn.TEXTAFTER('Banco de Dados'!$F883,"Order date:
",1),1,10),"-","/"))),VALUE(SUBSTITUTE(MID(_xlfn.TEXTAFTER('Banco de Dados'!$F883,"Fecha de pedido:
",1),1,10),"-","/"))),"-"),SMS!A:A,SMS!K:K),0),0)</f>
        <v>0</v>
      </c>
      <c r="AO883" s="109">
        <f ca="1">IF('Banco de Dados'!$AK883&lt;&gt;"-",IF('Banco de Dados'!$F883&lt;&gt;"-",IFERROR(_xlfn.XLOOKUP(_xlfn.CONCAT('Banco de Dados'!$A883,IFERROR(IFERROR(VALUE(SUBSTITUTE(MID(_xlfn.TEXTAFTER('Banco de Dados'!$F883,"Data do Pedido:
",1),1,10),"-","/")),VALUE(SUBSTITUTE(MID(_xlfn.TEXTAFTER('Banco de Dados'!$F883,"Order date:
",1),1,10),"-","/"))),0)),ProxyDD[Chave],ProxyDD[Valor por pedido]),PROXY!$P$2),0),0)</f>
        <v>0</v>
      </c>
      <c r="AP883" s="28">
        <f ca="1">IF('Banco de Dados'!$AK883&lt;&gt;"-",IF('Banco de Dados'!$AL883="NÃO",IFERROR(VALUE(SUBSTITUTE(_xlfn.TEXTAFTER('Banco de Dados'!$F883,"BRL ",1),".",",")),0),0),0)</f>
        <v>0</v>
      </c>
      <c r="AQ883" s="28">
        <f ca="1">SUM('Banco de Dados'!$AM883:$AP883)</f>
        <v>0</v>
      </c>
      <c r="AR883" s="8"/>
      <c r="AS883" s="8"/>
      <c r="AT883"/>
      <c r="AY883" s="8"/>
    </row>
    <row r="884" spans="1:51">
      <c r="A884" s="5" t="str">
        <v>BV</v>
      </c>
      <c r="B884" s="5" t="str">
        <f ca="1"/>
        <v>BV45692</v>
      </c>
      <c r="C884" s="8" t="str">
        <v>Pedido 871</v>
      </c>
      <c r="D884" s="9">
        <v>45692</v>
      </c>
      <c r="E884" s="9">
        <v>45692</v>
      </c>
      <c r="F884" s="8" t="str">
        <v>PedidoF850</v>
      </c>
      <c r="G884" s="2" t="str">
        <v>CódRastreio848</v>
      </c>
      <c r="H884" s="5">
        <v>1</v>
      </c>
      <c r="I884" s="182" t="str">
        <v>CPF 847</v>
      </c>
      <c r="J884" s="2" t="str">
        <v>Nome 847</v>
      </c>
      <c r="K884" s="8" t="str">
        <v>Tel 847</v>
      </c>
      <c r="L884" s="8" t="str">
        <v>Cep 847</v>
      </c>
      <c r="M884" s="8" t="str">
        <v>Rua 847</v>
      </c>
      <c r="N884" s="8" t="str">
        <v>Comp 847</v>
      </c>
      <c r="O884" s="8" t="str">
        <v>Ventilador Preto</v>
      </c>
      <c r="P884" s="8" t="str">
        <v>MU-J80P-95WF</v>
      </c>
      <c r="Q884" s="4">
        <v>45713</v>
      </c>
      <c r="R884" s="109">
        <v>65.989999999999995</v>
      </c>
      <c r="S884" s="11">
        <f ca="1"/>
        <v>65.989999999999995</v>
      </c>
      <c r="T884" s="28">
        <f ca="1"/>
        <v>8.5786999999999995</v>
      </c>
      <c r="U884" s="11">
        <f ca="1"/>
        <v>57.41</v>
      </c>
      <c r="V884" s="11">
        <v>10.16</v>
      </c>
      <c r="W884" s="11">
        <f ca="1"/>
        <v>0.19</v>
      </c>
      <c r="X884" s="11">
        <f ca="1"/>
        <v>0.39877104377104378</v>
      </c>
      <c r="Y884" s="11">
        <v>0</v>
      </c>
      <c r="Z884" s="11">
        <f ca="1"/>
        <v>46.661228956228953</v>
      </c>
      <c r="AA884" s="11">
        <f ca="1"/>
        <v>23.330614478114477</v>
      </c>
      <c r="AB884" s="4">
        <f ca="1"/>
        <v>45720</v>
      </c>
      <c r="AC884" s="4">
        <v>45720</v>
      </c>
      <c r="AD884" s="9">
        <v>45730</v>
      </c>
      <c r="AE884" s="9">
        <v>45733</v>
      </c>
      <c r="AF884" s="4" t="str">
        <f t="shared" ca="1" si="40"/>
        <v>2025 03</v>
      </c>
      <c r="AG884" s="8" t="str" cm="1">
        <f t="array" ref="AG884">IFERROR(_xlfn.IFS('Banco de Dados'!#REF!="AG. COMPRA","Em processamento",'Banco de Dados'!#REF!="AG. RASTREIO","Em processamento",'Banco de Dados'!$AE884&lt;&gt;"-","Faturado",'Banco de Dados'!$AD884&lt;&gt;"-","Aguardando Pix",'Banco de Dados'!$AC884&lt;&gt;"-","Pendente"),"Aguardando Liberação")</f>
        <v>Aguardando Liberação</v>
      </c>
      <c r="AH884" s="5" t="str">
        <f>IF('Banco de Dados'!$F884="-",_xlfn.CONCAT(PROPER(TEXT(AK884,"aaaa"))," ",PROPER(TEXT(AK884,"mm"))),_xlfn.CONCAT(PROPER(TEXT(E884,"aaaa"))," ",PROPER(TEXT(E884,"mm"))))</f>
        <v>2025 02</v>
      </c>
      <c r="AI884" s="9" t="str">
        <f ca="1">IF('Banco de Dados'!$AK884&lt;&gt;"-","REEMBOLSO",IFERROR(_xlfn.XLOOKUP(G884,Follow[CODRASTREIO],Follow[STATUS]),"-"))</f>
        <v>ENTREGUE</v>
      </c>
      <c r="AJ884" s="9">
        <f ca="1">IF('Banco de Dados'!$AI884="ENTREGUE",_xlfn.XLOOKUP('Banco de Dados'!$G884,Follow[CODRASTREIO],Follow[DATAATUALIZAÇÃO]),"-")</f>
        <v>45706</v>
      </c>
      <c r="AK884" s="132" t="str">
        <f ca="1"/>
        <v>-</v>
      </c>
      <c r="AL884" s="35"/>
      <c r="AM884" s="109" cm="1">
        <f t="array" aca="1" ref="AM884" ca="1">IF('Banco de Dados'!$AK884&lt;&gt;"-",_xlfn.IFS('Banco de Dados'!$A884="bv",IF('Banco de Dados'!$E884&lt;45641,ROUND(SUM('Banco de Dados'!$R884*_xlfn.XLOOKUP('Banco de Dados'!$P884,Sku!B:B,Sku!#REF!)*20%),2),ROUND(SUM('Banco de Dados'!$R884*_xlfn.XLOOKUP('Banco de Dados'!$P884,Sku!B:B,Sku!H:H)*20%),2)),'Banco de Dados'!$A884="GO",ROUND(_xlfn.XLOOKUP('Banco de Dados'!$P884,Sku!C:C,Sku!H:H),2),'Banco de Dados'!$A884="MEI",ROUND(_xlfn.XLOOKUP('Banco de Dados'!$P884,Sku!D:D,Sku!H:H),2)),0)</f>
        <v>0</v>
      </c>
      <c r="AN884" s="109">
        <f ca="1">IF('Banco de Dados'!$AK884&lt;&gt;"-",IF('Banco de Dados'!$F884&lt;&gt;"-",_xlfn.XLOOKUP(IFERROR(IFERROR(IFERROR(VALUE(SUBSTITUTE(MID(_xlfn.TEXTAFTER('Banco de Dados'!$F884,"Data do Pedido:
",1),1,10),"-","/")),VALUE(SUBSTITUTE(MID(_xlfn.TEXTAFTER('Banco de Dados'!$F884,"Order date:
",1),1,10),"-","/"))),VALUE(SUBSTITUTE(MID(_xlfn.TEXTAFTER('Banco de Dados'!$F884,"Fecha de pedido:
",1),1,10),"-","/"))),"-"),SMS!A:A,SMS!K:K),0),0)</f>
        <v>0</v>
      </c>
      <c r="AO884" s="109">
        <f ca="1">IF('Banco de Dados'!$AK884&lt;&gt;"-",IF('Banco de Dados'!$F884&lt;&gt;"-",IFERROR(_xlfn.XLOOKUP(_xlfn.CONCAT('Banco de Dados'!$A884,IFERROR(IFERROR(VALUE(SUBSTITUTE(MID(_xlfn.TEXTAFTER('Banco de Dados'!$F884,"Data do Pedido:
",1),1,10),"-","/")),VALUE(SUBSTITUTE(MID(_xlfn.TEXTAFTER('Banco de Dados'!$F884,"Order date:
",1),1,10),"-","/"))),0)),ProxyDD[Chave],ProxyDD[Valor por pedido]),PROXY!$P$2),0),0)</f>
        <v>0</v>
      </c>
      <c r="AP884" s="28">
        <f ca="1">IF('Banco de Dados'!$AK884&lt;&gt;"-",IF('Banco de Dados'!$AL884="NÃO",IFERROR(VALUE(SUBSTITUTE(_xlfn.TEXTAFTER('Banco de Dados'!$F884,"BRL ",1),".",",")),0),0),0)</f>
        <v>0</v>
      </c>
      <c r="AQ884" s="28">
        <f ca="1">SUM('Banco de Dados'!$AM884:$AP884)</f>
        <v>0</v>
      </c>
      <c r="AR884" s="8"/>
      <c r="AS884" s="8"/>
      <c r="AT884"/>
      <c r="AY884" s="8"/>
    </row>
    <row r="885" spans="1:51">
      <c r="A885" s="5" t="str">
        <v>BV</v>
      </c>
      <c r="B885" s="5" t="str">
        <f ca="1"/>
        <v>BV45692</v>
      </c>
      <c r="C885" s="8" t="str">
        <v>Pedido 872</v>
      </c>
      <c r="D885" s="9">
        <v>45692</v>
      </c>
      <c r="E885" s="9">
        <v>45692</v>
      </c>
      <c r="F885" s="8" t="str">
        <v>PedidoF851</v>
      </c>
      <c r="G885" s="2" t="str">
        <v>CódRastreio849</v>
      </c>
      <c r="H885" s="5">
        <v>1</v>
      </c>
      <c r="I885" s="182" t="str">
        <v>CPF 848</v>
      </c>
      <c r="J885" s="2" t="str">
        <v>Nome 848</v>
      </c>
      <c r="K885" s="8" t="str">
        <v>Tel 848</v>
      </c>
      <c r="L885" s="8" t="str">
        <v>Cep 848</v>
      </c>
      <c r="M885" s="8" t="str">
        <v>Rua 848</v>
      </c>
      <c r="N885" s="8" t="str">
        <v>Comp 848</v>
      </c>
      <c r="O885" s="8" t="str">
        <v>Ventilador Preto</v>
      </c>
      <c r="P885" s="8" t="str">
        <v>MU-J80P-95WF</v>
      </c>
      <c r="Q885" s="4">
        <v>45713</v>
      </c>
      <c r="R885" s="109">
        <v>65.989999999999995</v>
      </c>
      <c r="S885" s="11">
        <f ca="1"/>
        <v>65.989999999999995</v>
      </c>
      <c r="T885" s="28">
        <f ca="1"/>
        <v>8.5786999999999995</v>
      </c>
      <c r="U885" s="11">
        <f ca="1"/>
        <v>57.41</v>
      </c>
      <c r="V885" s="11">
        <v>10.16</v>
      </c>
      <c r="W885" s="11">
        <f ca="1"/>
        <v>0.19</v>
      </c>
      <c r="X885" s="11">
        <f ca="1"/>
        <v>0.39877104377104378</v>
      </c>
      <c r="Y885" s="11">
        <v>0</v>
      </c>
      <c r="Z885" s="11">
        <f ca="1"/>
        <v>46.661228956228953</v>
      </c>
      <c r="AA885" s="11">
        <f ca="1"/>
        <v>23.330614478114477</v>
      </c>
      <c r="AB885" s="4">
        <f ca="1"/>
        <v>45720</v>
      </c>
      <c r="AC885" s="4">
        <v>45720</v>
      </c>
      <c r="AD885" s="9">
        <v>45730</v>
      </c>
      <c r="AE885" s="9">
        <v>45733</v>
      </c>
      <c r="AF885" s="4" t="str">
        <f t="shared" ca="1" si="40"/>
        <v>2025 03</v>
      </c>
      <c r="AG885" s="8" t="str" cm="1">
        <f t="array" ref="AG885">IFERROR(_xlfn.IFS('Banco de Dados'!#REF!="AG. COMPRA","Em processamento",'Banco de Dados'!#REF!="AG. RASTREIO","Em processamento",'Banco de Dados'!$AE885&lt;&gt;"-","Faturado",'Banco de Dados'!$AD885&lt;&gt;"-","Aguardando Pix",'Banco de Dados'!$AC885&lt;&gt;"-","Pendente"),"Aguardando Liberação")</f>
        <v>Aguardando Liberação</v>
      </c>
      <c r="AH885" s="5" t="str">
        <f>IF('Banco de Dados'!$F885="-",_xlfn.CONCAT(PROPER(TEXT(AK885,"aaaa"))," ",PROPER(TEXT(AK885,"mm"))),_xlfn.CONCAT(PROPER(TEXT(E885,"aaaa"))," ",PROPER(TEXT(E885,"mm"))))</f>
        <v>2025 02</v>
      </c>
      <c r="AI885" s="9" t="str">
        <f ca="1">IF('Banco de Dados'!$AK885&lt;&gt;"-","REEMBOLSO",IFERROR(_xlfn.XLOOKUP(G885,Follow[CODRASTREIO],Follow[STATUS]),"-"))</f>
        <v>ENTREGUE</v>
      </c>
      <c r="AJ885" s="9">
        <f ca="1">IF('Banco de Dados'!$AI885="ENTREGUE",_xlfn.XLOOKUP('Banco de Dados'!$G885,Follow[CODRASTREIO],Follow[DATAATUALIZAÇÃO]),"-")</f>
        <v>45700</v>
      </c>
      <c r="AK885" s="132" t="str">
        <f ca="1"/>
        <v>-</v>
      </c>
      <c r="AL885" s="35"/>
      <c r="AM885" s="109" cm="1">
        <f t="array" aca="1" ref="AM885" ca="1">IF('Banco de Dados'!$AK885&lt;&gt;"-",_xlfn.IFS('Banco de Dados'!$A885="bv",IF('Banco de Dados'!$E885&lt;45641,ROUND(SUM('Banco de Dados'!$R885*_xlfn.XLOOKUP('Banco de Dados'!$P885,Sku!B:B,Sku!#REF!)*20%),2),ROUND(SUM('Banco de Dados'!$R885*_xlfn.XLOOKUP('Banco de Dados'!$P885,Sku!B:B,Sku!H:H)*20%),2)),'Banco de Dados'!$A885="GO",ROUND(_xlfn.XLOOKUP('Banco de Dados'!$P885,Sku!C:C,Sku!H:H),2),'Banco de Dados'!$A885="MEI",ROUND(_xlfn.XLOOKUP('Banco de Dados'!$P885,Sku!D:D,Sku!H:H),2)),0)</f>
        <v>0</v>
      </c>
      <c r="AN885" s="109">
        <f ca="1">IF('Banco de Dados'!$AK885&lt;&gt;"-",IF('Banco de Dados'!$F885&lt;&gt;"-",_xlfn.XLOOKUP(IFERROR(IFERROR(IFERROR(VALUE(SUBSTITUTE(MID(_xlfn.TEXTAFTER('Banco de Dados'!$F885,"Data do Pedido:
",1),1,10),"-","/")),VALUE(SUBSTITUTE(MID(_xlfn.TEXTAFTER('Banco de Dados'!$F885,"Order date:
",1),1,10),"-","/"))),VALUE(SUBSTITUTE(MID(_xlfn.TEXTAFTER('Banco de Dados'!$F885,"Fecha de pedido:
",1),1,10),"-","/"))),"-"),SMS!A:A,SMS!K:K),0),0)</f>
        <v>0</v>
      </c>
      <c r="AO885" s="109">
        <f ca="1">IF('Banco de Dados'!$AK885&lt;&gt;"-",IF('Banco de Dados'!$F885&lt;&gt;"-",IFERROR(_xlfn.XLOOKUP(_xlfn.CONCAT('Banco de Dados'!$A885,IFERROR(IFERROR(VALUE(SUBSTITUTE(MID(_xlfn.TEXTAFTER('Banco de Dados'!$F885,"Data do Pedido:
",1),1,10),"-","/")),VALUE(SUBSTITUTE(MID(_xlfn.TEXTAFTER('Banco de Dados'!$F885,"Order date:
",1),1,10),"-","/"))),0)),ProxyDD[Chave],ProxyDD[Valor por pedido]),PROXY!$P$2),0),0)</f>
        <v>0</v>
      </c>
      <c r="AP885" s="28">
        <f ca="1">IF('Banco de Dados'!$AK885&lt;&gt;"-",IF('Banco de Dados'!$AL885="NÃO",IFERROR(VALUE(SUBSTITUTE(_xlfn.TEXTAFTER('Banco de Dados'!$F885,"BRL ",1),".",",")),0),0),0)</f>
        <v>0</v>
      </c>
      <c r="AQ885" s="28">
        <f ca="1">SUM('Banco de Dados'!$AM885:$AP885)</f>
        <v>0</v>
      </c>
      <c r="AR885" s="8"/>
      <c r="AS885" s="8"/>
      <c r="AT885"/>
      <c r="AY885" s="8"/>
    </row>
    <row r="886" spans="1:51">
      <c r="A886" s="5" t="str">
        <v>BV</v>
      </c>
      <c r="B886" s="5" t="str">
        <f ca="1"/>
        <v>BV45695</v>
      </c>
      <c r="C886" s="8" t="str">
        <v>Pedido 873</v>
      </c>
      <c r="D886" s="9">
        <v>45693</v>
      </c>
      <c r="E886" s="9">
        <v>45695</v>
      </c>
      <c r="F886" s="8" t="str">
        <v>PedidoF852</v>
      </c>
      <c r="G886" s="2" t="str">
        <v>CódRastreio850</v>
      </c>
      <c r="H886" s="5">
        <v>1</v>
      </c>
      <c r="I886" s="182" t="str">
        <v>CPF 849</v>
      </c>
      <c r="J886" s="2" t="str">
        <v>Nome 849</v>
      </c>
      <c r="K886" s="8" t="str">
        <v>Tel 849</v>
      </c>
      <c r="L886" s="8" t="str">
        <v>Cep 849</v>
      </c>
      <c r="M886" s="8" t="str">
        <v>Rua 849</v>
      </c>
      <c r="N886" s="8" t="str">
        <v>Comp 849</v>
      </c>
      <c r="O886" s="8" t="str">
        <v>Ventilador Preto</v>
      </c>
      <c r="P886" s="8" t="str">
        <v>MU-J80P-95WF</v>
      </c>
      <c r="Q886" s="4">
        <v>45717</v>
      </c>
      <c r="R886" s="109">
        <v>75.989999999999995</v>
      </c>
      <c r="S886" s="11">
        <f ca="1"/>
        <v>75.989999999999995</v>
      </c>
      <c r="T886" s="28">
        <f ca="1"/>
        <v>9.8787000000000003</v>
      </c>
      <c r="U886" s="11">
        <f ca="1"/>
        <v>66.11</v>
      </c>
      <c r="V886" s="11">
        <v>14.65</v>
      </c>
      <c r="W886" s="11">
        <f ca="1"/>
        <v>0.2</v>
      </c>
      <c r="X886" s="11">
        <f ca="1"/>
        <v>0.39877104377104378</v>
      </c>
      <c r="Y886" s="11">
        <v>0</v>
      </c>
      <c r="Z886" s="11">
        <f ca="1"/>
        <v>50.861228956228956</v>
      </c>
      <c r="AA886" s="11">
        <f ca="1"/>
        <v>25.430614478114478</v>
      </c>
      <c r="AB886" s="4">
        <f ca="1"/>
        <v>45724</v>
      </c>
      <c r="AC886" s="4">
        <v>45724</v>
      </c>
      <c r="AD886" s="9">
        <v>45730</v>
      </c>
      <c r="AE886" s="9">
        <v>45733</v>
      </c>
      <c r="AF886" s="4" t="str">
        <f t="shared" ref="AF886:AF889" ca="1" si="41">_xlfn.CONCAT(PROPER(TEXT(AB886,"aaaa"))," ",PROPER(TEXT(AB886,"mm")))</f>
        <v>2025 03</v>
      </c>
      <c r="AG886" s="8" t="str" cm="1">
        <f t="array" ref="AG886">IFERROR(_xlfn.IFS('Banco de Dados'!#REF!="AG. COMPRA","Em processamento",'Banco de Dados'!#REF!="AG. RASTREIO","Em processamento",'Banco de Dados'!$AE886&lt;&gt;"-","Faturado",'Banco de Dados'!$AD886&lt;&gt;"-","Aguardando Pix",'Banco de Dados'!$AC886&lt;&gt;"-","Pendente"),"Aguardando Liberação")</f>
        <v>Aguardando Liberação</v>
      </c>
      <c r="AH886" s="5" t="str">
        <f>IF('Banco de Dados'!$F886="-",_xlfn.CONCAT(PROPER(TEXT(AK886,"aaaa"))," ",PROPER(TEXT(AK886,"mm"))),_xlfn.CONCAT(PROPER(TEXT(E886,"aaaa"))," ",PROPER(TEXT(E886,"mm"))))</f>
        <v>2025 02</v>
      </c>
      <c r="AI886" s="9" t="str">
        <f ca="1">IF('Banco de Dados'!$AK886&lt;&gt;"-","REEMBOLSO",IFERROR(_xlfn.XLOOKUP(G886,Follow[CODRASTREIO],Follow[STATUS]),"-"))</f>
        <v>ENTREGUE</v>
      </c>
      <c r="AJ886" s="9">
        <f ca="1">IF('Banco de Dados'!$AI886="ENTREGUE",_xlfn.XLOOKUP('Banco de Dados'!$G886,Follow[CODRASTREIO],Follow[DATAATUALIZAÇÃO]),"-")</f>
        <v>45708</v>
      </c>
      <c r="AK886" s="132" t="str">
        <f ca="1"/>
        <v>-</v>
      </c>
      <c r="AL886" s="35"/>
      <c r="AM886" s="109" cm="1">
        <f t="array" aca="1" ref="AM886" ca="1">IF('Banco de Dados'!$AK886&lt;&gt;"-",_xlfn.IFS('Banco de Dados'!$A886="bv",IF('Banco de Dados'!$E886&lt;45641,ROUND(SUM('Banco de Dados'!$R886*_xlfn.XLOOKUP('Banco de Dados'!$P886,Sku!B:B,Sku!#REF!)*20%),2),ROUND(SUM('Banco de Dados'!$R886*_xlfn.XLOOKUP('Banco de Dados'!$P886,Sku!B:B,Sku!H:H)*20%),2)),'Banco de Dados'!$A886="GO",ROUND(_xlfn.XLOOKUP('Banco de Dados'!$P886,Sku!C:C,Sku!H:H),2),'Banco de Dados'!$A886="MEI",ROUND(_xlfn.XLOOKUP('Banco de Dados'!$P886,Sku!D:D,Sku!H:H),2)),0)</f>
        <v>0</v>
      </c>
      <c r="AN886" s="109">
        <f ca="1">IF('Banco de Dados'!$AK886&lt;&gt;"-",IF('Banco de Dados'!$F886&lt;&gt;"-",_xlfn.XLOOKUP(IFERROR(IFERROR(IFERROR(VALUE(SUBSTITUTE(MID(_xlfn.TEXTAFTER('Banco de Dados'!$F886,"Data do Pedido:
",1),1,10),"-","/")),VALUE(SUBSTITUTE(MID(_xlfn.TEXTAFTER('Banco de Dados'!$F886,"Order date:
",1),1,10),"-","/"))),VALUE(SUBSTITUTE(MID(_xlfn.TEXTAFTER('Banco de Dados'!$F886,"Fecha de pedido:
",1),1,10),"-","/"))),"-"),SMS!A:A,SMS!K:K),0),0)</f>
        <v>0</v>
      </c>
      <c r="AO886" s="109">
        <f ca="1">IF('Banco de Dados'!$AK886&lt;&gt;"-",IF('Banco de Dados'!$F886&lt;&gt;"-",IFERROR(_xlfn.XLOOKUP(_xlfn.CONCAT('Banco de Dados'!$A886,IFERROR(IFERROR(VALUE(SUBSTITUTE(MID(_xlfn.TEXTAFTER('Banco de Dados'!$F886,"Data do Pedido:
",1),1,10),"-","/")),VALUE(SUBSTITUTE(MID(_xlfn.TEXTAFTER('Banco de Dados'!$F886,"Order date:
",1),1,10),"-","/"))),0)),ProxyDD[Chave],ProxyDD[Valor por pedido]),PROXY!$P$2),0),0)</f>
        <v>0</v>
      </c>
      <c r="AP886" s="28">
        <f ca="1">IF('Banco de Dados'!$AK886&lt;&gt;"-",IF('Banco de Dados'!$AL886="NÃO",IFERROR(VALUE(SUBSTITUTE(_xlfn.TEXTAFTER('Banco de Dados'!$F886,"BRL ",1),".",",")),0),0),0)</f>
        <v>0</v>
      </c>
      <c r="AQ886" s="28">
        <f ca="1">SUM('Banco de Dados'!$AM886:$AP886)</f>
        <v>0</v>
      </c>
      <c r="AR886" s="8"/>
      <c r="AS886" s="8"/>
      <c r="AT886"/>
      <c r="AY886" s="8"/>
    </row>
    <row r="887" spans="1:51">
      <c r="A887" s="5" t="str">
        <v>BV</v>
      </c>
      <c r="B887" s="5" t="str">
        <f ca="1"/>
        <v>BV45693</v>
      </c>
      <c r="C887" s="8" t="str">
        <v>Pedido 874</v>
      </c>
      <c r="D887" s="9">
        <v>45693</v>
      </c>
      <c r="E887" s="9">
        <v>45693</v>
      </c>
      <c r="F887" s="8" t="str">
        <v>PedidoF853</v>
      </c>
      <c r="G887" s="2" t="str">
        <v>CódRastreio851</v>
      </c>
      <c r="H887" s="5">
        <v>1</v>
      </c>
      <c r="I887" s="182" t="str">
        <v>CPF 850</v>
      </c>
      <c r="J887" s="2" t="str">
        <v>Nome 850</v>
      </c>
      <c r="K887" s="8" t="str">
        <v>Tel 850</v>
      </c>
      <c r="L887" s="8" t="str">
        <v>Cep 850</v>
      </c>
      <c r="M887" s="8" t="str">
        <v>Rua 850</v>
      </c>
      <c r="N887" s="8" t="str">
        <v>Comp 850</v>
      </c>
      <c r="O887" s="8" t="str">
        <v>Ventilador Azul</v>
      </c>
      <c r="P887" s="8" t="str">
        <v>U8-2VWS-OB6M</v>
      </c>
      <c r="Q887" s="4">
        <v>45723</v>
      </c>
      <c r="R887" s="109">
        <v>65.989999999999995</v>
      </c>
      <c r="S887" s="11">
        <f ca="1"/>
        <v>65.989999999999995</v>
      </c>
      <c r="T887" s="28">
        <f ca="1"/>
        <v>8.5786999999999995</v>
      </c>
      <c r="U887" s="11">
        <f ca="1"/>
        <v>57.41</v>
      </c>
      <c r="V887" s="11">
        <v>10.68</v>
      </c>
      <c r="W887" s="11">
        <f ca="1"/>
        <v>0.24</v>
      </c>
      <c r="X887" s="11">
        <f ca="1"/>
        <v>0.39877104377104378</v>
      </c>
      <c r="Y887" s="11">
        <v>0</v>
      </c>
      <c r="Z887" s="11">
        <f ca="1"/>
        <v>46.091228956228953</v>
      </c>
      <c r="AA887" s="11">
        <f ca="1"/>
        <v>23.045614478114476</v>
      </c>
      <c r="AB887" s="4">
        <f ca="1"/>
        <v>45730</v>
      </c>
      <c r="AC887" s="4">
        <v>45730</v>
      </c>
      <c r="AD887" s="9">
        <v>45730</v>
      </c>
      <c r="AE887" s="9">
        <v>45733</v>
      </c>
      <c r="AF887" s="4" t="str">
        <f t="shared" ca="1" si="41"/>
        <v>2025 03</v>
      </c>
      <c r="AG887" s="8" t="str" cm="1">
        <f t="array" ref="AG887">IFERROR(_xlfn.IFS('Banco de Dados'!#REF!="AG. COMPRA","Em processamento",'Banco de Dados'!#REF!="AG. RASTREIO","Em processamento",'Banco de Dados'!$AE887&lt;&gt;"-","Faturado",'Banco de Dados'!$AD887&lt;&gt;"-","Aguardando Pix",'Banco de Dados'!$AC887&lt;&gt;"-","Pendente"),"Aguardando Liberação")</f>
        <v>Aguardando Liberação</v>
      </c>
      <c r="AH887" s="5" t="str">
        <f>IF('Banco de Dados'!$F887="-",_xlfn.CONCAT(PROPER(TEXT(AK887,"aaaa"))," ",PROPER(TEXT(AK887,"mm"))),_xlfn.CONCAT(PROPER(TEXT(E887,"aaaa"))," ",PROPER(TEXT(E887,"mm"))))</f>
        <v>2025 02</v>
      </c>
      <c r="AI887" s="9" t="str">
        <f ca="1">IF('Banco de Dados'!$AK887&lt;&gt;"-","REEMBOLSO",IFERROR(_xlfn.XLOOKUP(G887,Follow[CODRASTREIO],Follow[STATUS]),"-"))</f>
        <v>ENTREGUE</v>
      </c>
      <c r="AJ887" s="9">
        <f ca="1">IF('Banco de Dados'!$AI887="ENTREGUE",_xlfn.XLOOKUP('Banco de Dados'!$G887,Follow[CODRASTREIO],Follow[DATAATUALIZAÇÃO]),"-")</f>
        <v>45705</v>
      </c>
      <c r="AK887" s="132" t="str">
        <f ca="1"/>
        <v>-</v>
      </c>
      <c r="AL887" s="35"/>
      <c r="AM887" s="109" cm="1">
        <f t="array" aca="1" ref="AM887" ca="1">IF('Banco de Dados'!$AK887&lt;&gt;"-",_xlfn.IFS('Banco de Dados'!$A887="bv",IF('Banco de Dados'!$E887&lt;45641,ROUND(SUM('Banco de Dados'!$R887*_xlfn.XLOOKUP('Banco de Dados'!$P887,Sku!B:B,Sku!#REF!)*20%),2),ROUND(SUM('Banco de Dados'!$R887*_xlfn.XLOOKUP('Banco de Dados'!$P887,Sku!B:B,Sku!H:H)*20%),2)),'Banco de Dados'!$A887="GO",ROUND(_xlfn.XLOOKUP('Banco de Dados'!$P887,Sku!C:C,Sku!H:H),2),'Banco de Dados'!$A887="MEI",ROUND(_xlfn.XLOOKUP('Banco de Dados'!$P887,Sku!D:D,Sku!H:H),2)),0)</f>
        <v>0</v>
      </c>
      <c r="AN887" s="109">
        <f ca="1">IF('Banco de Dados'!$AK887&lt;&gt;"-",IF('Banco de Dados'!$F887&lt;&gt;"-",_xlfn.XLOOKUP(IFERROR(IFERROR(IFERROR(VALUE(SUBSTITUTE(MID(_xlfn.TEXTAFTER('Banco de Dados'!$F887,"Data do Pedido:
",1),1,10),"-","/")),VALUE(SUBSTITUTE(MID(_xlfn.TEXTAFTER('Banco de Dados'!$F887,"Order date:
",1),1,10),"-","/"))),VALUE(SUBSTITUTE(MID(_xlfn.TEXTAFTER('Banco de Dados'!$F887,"Fecha de pedido:
",1),1,10),"-","/"))),"-"),SMS!A:A,SMS!K:K),0),0)</f>
        <v>0</v>
      </c>
      <c r="AO887" s="109">
        <f ca="1">IF('Banco de Dados'!$AK887&lt;&gt;"-",IF('Banco de Dados'!$F887&lt;&gt;"-",IFERROR(_xlfn.XLOOKUP(_xlfn.CONCAT('Banco de Dados'!$A887,IFERROR(IFERROR(VALUE(SUBSTITUTE(MID(_xlfn.TEXTAFTER('Banco de Dados'!$F887,"Data do Pedido:
",1),1,10),"-","/")),VALUE(SUBSTITUTE(MID(_xlfn.TEXTAFTER('Banco de Dados'!$F887,"Order date:
",1),1,10),"-","/"))),0)),ProxyDD[Chave],ProxyDD[Valor por pedido]),PROXY!$P$2),0),0)</f>
        <v>0</v>
      </c>
      <c r="AP887" s="28">
        <f ca="1">IF('Banco de Dados'!$AK887&lt;&gt;"-",IF('Banco de Dados'!$AL887="NÃO",IFERROR(VALUE(SUBSTITUTE(_xlfn.TEXTAFTER('Banco de Dados'!$F887,"BRL ",1),".",",")),0),0),0)</f>
        <v>0</v>
      </c>
      <c r="AQ887" s="28">
        <f ca="1">SUM('Banco de Dados'!$AM887:$AP887)</f>
        <v>0</v>
      </c>
      <c r="AR887" s="8"/>
      <c r="AS887" s="8"/>
      <c r="AT887"/>
      <c r="AY887" s="8"/>
    </row>
    <row r="888" spans="1:51">
      <c r="A888" s="5" t="str">
        <v>BV</v>
      </c>
      <c r="B888" s="5" t="str">
        <f ca="1"/>
        <v>BV45693</v>
      </c>
      <c r="C888" s="8" t="str">
        <v>Pedido 875</v>
      </c>
      <c r="D888" s="9">
        <v>45693</v>
      </c>
      <c r="E888" s="9">
        <v>45693</v>
      </c>
      <c r="F888" s="8" t="str">
        <v>PedidoF854</v>
      </c>
      <c r="G888" s="2" t="str">
        <v>CódRastreio852</v>
      </c>
      <c r="H888" s="5">
        <v>1</v>
      </c>
      <c r="I888" s="182" t="str">
        <v>CPF 851</v>
      </c>
      <c r="J888" s="2" t="str">
        <v>Nome 851</v>
      </c>
      <c r="K888" s="8" t="str">
        <v>Tel 851</v>
      </c>
      <c r="L888" s="8" t="str">
        <v>Cep 851</v>
      </c>
      <c r="M888" s="8" t="str">
        <v>Rua 851</v>
      </c>
      <c r="N888" s="8" t="str">
        <v>Comp 851</v>
      </c>
      <c r="O888" s="8" t="str">
        <v>Mini Liquidificador</v>
      </c>
      <c r="P888" s="8" t="str">
        <v>CK-YL6M-P5Y6</v>
      </c>
      <c r="Q888" s="4">
        <v>45710</v>
      </c>
      <c r="R888" s="109">
        <v>33.99</v>
      </c>
      <c r="S888" s="11">
        <f ca="1"/>
        <v>33.99</v>
      </c>
      <c r="T888" s="28">
        <f ca="1"/>
        <v>4.7586000000000004</v>
      </c>
      <c r="U888" s="11">
        <f ca="1"/>
        <v>29.23</v>
      </c>
      <c r="V888" s="11">
        <v>14.99</v>
      </c>
      <c r="W888" s="11">
        <f ca="1"/>
        <v>0.24</v>
      </c>
      <c r="X888" s="11">
        <f ca="1"/>
        <v>0.39877104377104378</v>
      </c>
      <c r="Y888" s="11">
        <v>0</v>
      </c>
      <c r="Z888" s="11">
        <f ca="1"/>
        <v>13.601228956228956</v>
      </c>
      <c r="AA888" s="11">
        <f ca="1"/>
        <v>6.8006144781144782</v>
      </c>
      <c r="AB888" s="4">
        <f ca="1"/>
        <v>45717</v>
      </c>
      <c r="AC888" s="4">
        <v>45717</v>
      </c>
      <c r="AD888" s="9">
        <v>45730</v>
      </c>
      <c r="AE888" s="9">
        <v>45733</v>
      </c>
      <c r="AF888" s="4" t="str">
        <f t="shared" ca="1" si="41"/>
        <v>2025 03</v>
      </c>
      <c r="AG888" s="8" t="str" cm="1">
        <f t="array" ref="AG888">IFERROR(_xlfn.IFS('Banco de Dados'!#REF!="AG. COMPRA","Em processamento",'Banco de Dados'!#REF!="AG. RASTREIO","Em processamento",'Banco de Dados'!$AE888&lt;&gt;"-","Faturado",'Banco de Dados'!$AD888&lt;&gt;"-","Aguardando Pix",'Banco de Dados'!$AC888&lt;&gt;"-","Pendente"),"Aguardando Liberação")</f>
        <v>Aguardando Liberação</v>
      </c>
      <c r="AH888" s="5" t="str">
        <f>IF('Banco de Dados'!$F888="-",_xlfn.CONCAT(PROPER(TEXT(AK888,"aaaa"))," ",PROPER(TEXT(AK888,"mm"))),_xlfn.CONCAT(PROPER(TEXT(E888,"aaaa"))," ",PROPER(TEXT(E888,"mm"))))</f>
        <v>2025 02</v>
      </c>
      <c r="AI888" s="9" t="str">
        <f ca="1">IF('Banco de Dados'!$AK888&lt;&gt;"-","REEMBOLSO",IFERROR(_xlfn.XLOOKUP(G888,Follow[CODRASTREIO],Follow[STATUS]),"-"))</f>
        <v>ENTREGUE</v>
      </c>
      <c r="AJ888" s="9">
        <f ca="1">IF('Banco de Dados'!$AI888="ENTREGUE",_xlfn.XLOOKUP('Banco de Dados'!$G888,Follow[CODRASTREIO],Follow[DATAATUALIZAÇÃO]),"-")</f>
        <v>45698</v>
      </c>
      <c r="AK888" s="132" t="str">
        <f ca="1"/>
        <v>-</v>
      </c>
      <c r="AL888" s="35"/>
      <c r="AM888" s="109" cm="1">
        <f t="array" aca="1" ref="AM888" ca="1">IF('Banco de Dados'!$AK888&lt;&gt;"-",_xlfn.IFS('Banco de Dados'!$A888="bv",IF('Banco de Dados'!$E888&lt;45641,ROUND(SUM('Banco de Dados'!$R888*_xlfn.XLOOKUP('Banco de Dados'!$P888,Sku!B:B,Sku!#REF!)*20%),2),ROUND(SUM('Banco de Dados'!$R888*_xlfn.XLOOKUP('Banco de Dados'!$P888,Sku!B:B,Sku!H:H)*20%),2)),'Banco de Dados'!$A888="GO",ROUND(_xlfn.XLOOKUP('Banco de Dados'!$P888,Sku!C:C,Sku!H:H),2),'Banco de Dados'!$A888="MEI",ROUND(_xlfn.XLOOKUP('Banco de Dados'!$P888,Sku!D:D,Sku!H:H),2)),0)</f>
        <v>0</v>
      </c>
      <c r="AN888" s="109">
        <f ca="1">IF('Banco de Dados'!$AK888&lt;&gt;"-",IF('Banco de Dados'!$F888&lt;&gt;"-",_xlfn.XLOOKUP(IFERROR(IFERROR(IFERROR(VALUE(SUBSTITUTE(MID(_xlfn.TEXTAFTER('Banco de Dados'!$F888,"Data do Pedido:
",1),1,10),"-","/")),VALUE(SUBSTITUTE(MID(_xlfn.TEXTAFTER('Banco de Dados'!$F888,"Order date:
",1),1,10),"-","/"))),VALUE(SUBSTITUTE(MID(_xlfn.TEXTAFTER('Banco de Dados'!$F888,"Fecha de pedido:
",1),1,10),"-","/"))),"-"),SMS!A:A,SMS!K:K),0),0)</f>
        <v>0</v>
      </c>
      <c r="AO888" s="109">
        <f ca="1">IF('Banco de Dados'!$AK888&lt;&gt;"-",IF('Banco de Dados'!$F888&lt;&gt;"-",IFERROR(_xlfn.XLOOKUP(_xlfn.CONCAT('Banco de Dados'!$A888,IFERROR(IFERROR(VALUE(SUBSTITUTE(MID(_xlfn.TEXTAFTER('Banco de Dados'!$F888,"Data do Pedido:
",1),1,10),"-","/")),VALUE(SUBSTITUTE(MID(_xlfn.TEXTAFTER('Banco de Dados'!$F888,"Order date:
",1),1,10),"-","/"))),0)),ProxyDD[Chave],ProxyDD[Valor por pedido]),PROXY!$P$2),0),0)</f>
        <v>0</v>
      </c>
      <c r="AP888" s="28">
        <f ca="1">IF('Banco de Dados'!$AK888&lt;&gt;"-",IF('Banco de Dados'!$AL888="NÃO",IFERROR(VALUE(SUBSTITUTE(_xlfn.TEXTAFTER('Banco de Dados'!$F888,"BRL ",1),".",",")),0),0),0)</f>
        <v>0</v>
      </c>
      <c r="AQ888" s="28">
        <f ca="1">SUM('Banco de Dados'!$AM888:$AP888)</f>
        <v>0</v>
      </c>
      <c r="AR888" s="8"/>
      <c r="AS888" s="8"/>
      <c r="AT888"/>
      <c r="AY888" s="8"/>
    </row>
    <row r="889" spans="1:51">
      <c r="A889" s="5" t="str">
        <v>BV</v>
      </c>
      <c r="B889" s="5" t="str">
        <f ca="1"/>
        <v>BV45693</v>
      </c>
      <c r="C889" s="8" t="str">
        <v>Pedido 876</v>
      </c>
      <c r="D889" s="9">
        <v>45693</v>
      </c>
      <c r="E889" s="9">
        <v>45693</v>
      </c>
      <c r="F889" s="8" t="str">
        <v>PedidoF855</v>
      </c>
      <c r="G889" s="2" t="str">
        <v>CódRastreio853</v>
      </c>
      <c r="H889" s="5">
        <v>1</v>
      </c>
      <c r="I889" s="182" t="str">
        <v>CPF 852</v>
      </c>
      <c r="J889" s="2" t="str">
        <v>Nome 852</v>
      </c>
      <c r="K889" s="8" t="str">
        <v>Tel 852</v>
      </c>
      <c r="L889" s="8" t="str">
        <v>Cep 852</v>
      </c>
      <c r="M889" s="8" t="str">
        <v>Rua 852</v>
      </c>
      <c r="N889" s="8" t="str">
        <v>Comp 852</v>
      </c>
      <c r="O889" s="8" t="str">
        <v>Ventilador de teto</v>
      </c>
      <c r="P889" s="8" t="str">
        <v>BP-NHG2-B8C1</v>
      </c>
      <c r="Q889" s="4">
        <v>45714</v>
      </c>
      <c r="R889" s="109">
        <v>74.989999999999995</v>
      </c>
      <c r="S889" s="11">
        <f ca="1"/>
        <v>74.989999999999995</v>
      </c>
      <c r="T889" s="28">
        <f ca="1"/>
        <v>9.7486999999999995</v>
      </c>
      <c r="U889" s="11">
        <f ca="1"/>
        <v>65.239999999999995</v>
      </c>
      <c r="V889" s="11">
        <v>27.94</v>
      </c>
      <c r="W889" s="11">
        <f ca="1"/>
        <v>0.24</v>
      </c>
      <c r="X889" s="11">
        <f ca="1"/>
        <v>0.39877104377104378</v>
      </c>
      <c r="Y889" s="11">
        <v>0</v>
      </c>
      <c r="Z889" s="11">
        <f ca="1"/>
        <v>36.661228956228953</v>
      </c>
      <c r="AA889" s="11">
        <f ca="1"/>
        <v>18.330614478114477</v>
      </c>
      <c r="AB889" s="4">
        <f ca="1"/>
        <v>45721</v>
      </c>
      <c r="AC889" s="4">
        <v>45721</v>
      </c>
      <c r="AD889" s="9">
        <v>45730</v>
      </c>
      <c r="AE889" s="9">
        <v>45733</v>
      </c>
      <c r="AF889" s="4" t="str">
        <f t="shared" ca="1" si="41"/>
        <v>2025 03</v>
      </c>
      <c r="AG889" s="8" t="str" cm="1">
        <f t="array" ref="AG889">IFERROR(_xlfn.IFS('Banco de Dados'!#REF!="AG. COMPRA","Em processamento",'Banco de Dados'!#REF!="AG. RASTREIO","Em processamento",'Banco de Dados'!$AE889&lt;&gt;"-","Faturado",'Banco de Dados'!$AD889&lt;&gt;"-","Aguardando Pix",'Banco de Dados'!$AC889&lt;&gt;"-","Pendente"),"Aguardando Liberação")</f>
        <v>Aguardando Liberação</v>
      </c>
      <c r="AH889" s="5" t="str">
        <f>IF('Banco de Dados'!$F889="-",_xlfn.CONCAT(PROPER(TEXT(AK889,"aaaa"))," ",PROPER(TEXT(AK889,"mm"))),_xlfn.CONCAT(PROPER(TEXT(E889,"aaaa"))," ",PROPER(TEXT(E889,"mm"))))</f>
        <v>2025 02</v>
      </c>
      <c r="AI889" s="9" t="str">
        <f ca="1">IF('Banco de Dados'!$AK889&lt;&gt;"-","REEMBOLSO",IFERROR(_xlfn.XLOOKUP(G889,Follow[CODRASTREIO],Follow[STATUS]),"-"))</f>
        <v>ENTREGUE</v>
      </c>
      <c r="AJ889" s="9">
        <f ca="1">IF('Banco de Dados'!$AI889="ENTREGUE",_xlfn.XLOOKUP('Banco de Dados'!$G889,Follow[CODRASTREIO],Follow[DATAATUALIZAÇÃO]),"-")</f>
        <v>45701</v>
      </c>
      <c r="AK889" s="132" t="str">
        <f ca="1"/>
        <v>-</v>
      </c>
      <c r="AL889" s="35"/>
      <c r="AM889" s="109" cm="1">
        <f t="array" aca="1" ref="AM889" ca="1">IF('Banco de Dados'!$AK889&lt;&gt;"-",_xlfn.IFS('Banco de Dados'!$A889="bv",IF('Banco de Dados'!$E889&lt;45641,ROUND(SUM('Banco de Dados'!$R889*_xlfn.XLOOKUP('Banco de Dados'!$P889,Sku!B:B,Sku!#REF!)*20%),2),ROUND(SUM('Banco de Dados'!$R889*_xlfn.XLOOKUP('Banco de Dados'!$P889,Sku!B:B,Sku!H:H)*20%),2)),'Banco de Dados'!$A889="GO",ROUND(_xlfn.XLOOKUP('Banco de Dados'!$P889,Sku!C:C,Sku!H:H),2),'Banco de Dados'!$A889="MEI",ROUND(_xlfn.XLOOKUP('Banco de Dados'!$P889,Sku!D:D,Sku!H:H),2)),0)</f>
        <v>0</v>
      </c>
      <c r="AN889" s="109">
        <f ca="1">IF('Banco de Dados'!$AK889&lt;&gt;"-",IF('Banco de Dados'!$F889&lt;&gt;"-",_xlfn.XLOOKUP(IFERROR(IFERROR(IFERROR(VALUE(SUBSTITUTE(MID(_xlfn.TEXTAFTER('Banco de Dados'!$F889,"Data do Pedido:
",1),1,10),"-","/")),VALUE(SUBSTITUTE(MID(_xlfn.TEXTAFTER('Banco de Dados'!$F889,"Order date:
",1),1,10),"-","/"))),VALUE(SUBSTITUTE(MID(_xlfn.TEXTAFTER('Banco de Dados'!$F889,"Fecha de pedido:
",1),1,10),"-","/"))),"-"),SMS!A:A,SMS!K:K),0),0)</f>
        <v>0</v>
      </c>
      <c r="AO889" s="109">
        <f ca="1">IF('Banco de Dados'!$AK889&lt;&gt;"-",IF('Banco de Dados'!$F889&lt;&gt;"-",IFERROR(_xlfn.XLOOKUP(_xlfn.CONCAT('Banco de Dados'!$A889,IFERROR(IFERROR(VALUE(SUBSTITUTE(MID(_xlfn.TEXTAFTER('Banco de Dados'!$F889,"Data do Pedido:
",1),1,10),"-","/")),VALUE(SUBSTITUTE(MID(_xlfn.TEXTAFTER('Banco de Dados'!$F889,"Order date:
",1),1,10),"-","/"))),0)),ProxyDD[Chave],ProxyDD[Valor por pedido]),PROXY!$P$2),0),0)</f>
        <v>0</v>
      </c>
      <c r="AP889" s="28">
        <f ca="1">IF('Banco de Dados'!$AK889&lt;&gt;"-",IF('Banco de Dados'!$AL889="NÃO",IFERROR(VALUE(SUBSTITUTE(_xlfn.TEXTAFTER('Banco de Dados'!$F889,"BRL ",1),".",",")),0),0),0)</f>
        <v>0</v>
      </c>
      <c r="AQ889" s="28">
        <f ca="1">SUM('Banco de Dados'!$AM889:$AP889)</f>
        <v>0</v>
      </c>
      <c r="AR889" s="8"/>
      <c r="AS889" s="8"/>
      <c r="AT889"/>
      <c r="AY889" s="8"/>
    </row>
    <row r="890" spans="1:51">
      <c r="A890" s="5" t="str">
        <v>BV</v>
      </c>
      <c r="B890" s="5" t="str">
        <f ca="1"/>
        <v>BV45693</v>
      </c>
      <c r="C890" s="8" t="str">
        <v>Pedido 877</v>
      </c>
      <c r="D890" s="9">
        <v>45693</v>
      </c>
      <c r="E890" s="9">
        <v>45693</v>
      </c>
      <c r="F890" s="8" t="str">
        <v>PedidoF856</v>
      </c>
      <c r="G890" s="2" t="str">
        <v>CódRastreio854</v>
      </c>
      <c r="H890" s="5">
        <v>1</v>
      </c>
      <c r="I890" s="182" t="str">
        <v>CPF 853</v>
      </c>
      <c r="J890" s="2" t="str">
        <v>Nome 853</v>
      </c>
      <c r="K890" s="8" t="str">
        <v>Tel 853</v>
      </c>
      <c r="L890" s="8" t="str">
        <v>Cep 853</v>
      </c>
      <c r="M890" s="8" t="str">
        <v>Rua 853</v>
      </c>
      <c r="N890" s="8" t="str">
        <v>Comp 853</v>
      </c>
      <c r="O890" s="8" t="str">
        <v>Ventilador Azul</v>
      </c>
      <c r="P890" s="8" t="str">
        <v>U8-2VWS-OB6M</v>
      </c>
      <c r="Q890" s="4">
        <v>45714</v>
      </c>
      <c r="R890" s="109">
        <v>65.989999999999995</v>
      </c>
      <c r="S890" s="11">
        <f ca="1"/>
        <v>65.989999999999995</v>
      </c>
      <c r="T890" s="28">
        <f ca="1"/>
        <v>8.5786999999999995</v>
      </c>
      <c r="U890" s="11">
        <f ca="1"/>
        <v>57.41</v>
      </c>
      <c r="V890" s="11">
        <v>10.68</v>
      </c>
      <c r="W890" s="11">
        <f ca="1"/>
        <v>0.24</v>
      </c>
      <c r="X890" s="11">
        <f ca="1"/>
        <v>0.39877104377104378</v>
      </c>
      <c r="Y890" s="11">
        <v>0</v>
      </c>
      <c r="Z890" s="11">
        <f ca="1"/>
        <v>46.091228956228953</v>
      </c>
      <c r="AA890" s="11">
        <f ca="1"/>
        <v>23.045614478114476</v>
      </c>
      <c r="AB890" s="4">
        <f ca="1"/>
        <v>45721</v>
      </c>
      <c r="AC890" s="4">
        <v>45721</v>
      </c>
      <c r="AD890" s="9">
        <v>45730</v>
      </c>
      <c r="AE890" s="9">
        <v>45733</v>
      </c>
      <c r="AF890" s="4" t="str">
        <f ca="1">_xlfn.CONCAT(PROPER(TEXT(AB890,"aaaa"))," ",PROPER(TEXT(AB890,"mm")))</f>
        <v>2025 03</v>
      </c>
      <c r="AG890" s="8" t="str" cm="1">
        <f t="array" ref="AG890">IFERROR(_xlfn.IFS('Banco de Dados'!#REF!="AG. COMPRA","Em processamento",'Banco de Dados'!#REF!="AG. RASTREIO","Em processamento",'Banco de Dados'!$AE890&lt;&gt;"-","Faturado",'Banco de Dados'!$AD890&lt;&gt;"-","Aguardando Pix",'Banco de Dados'!$AC890&lt;&gt;"-","Pendente"),"Aguardando Liberação")</f>
        <v>Aguardando Liberação</v>
      </c>
      <c r="AH890" s="5" t="str">
        <f>IF('Banco de Dados'!$F890="-",_xlfn.CONCAT(PROPER(TEXT(AK890,"aaaa"))," ",PROPER(TEXT(AK890,"mm"))),_xlfn.CONCAT(PROPER(TEXT(E890,"aaaa"))," ",PROPER(TEXT(E890,"mm"))))</f>
        <v>2025 02</v>
      </c>
      <c r="AI890" s="9" t="str">
        <f ca="1">IF('Banco de Dados'!$AK890&lt;&gt;"-","REEMBOLSO",IFERROR(_xlfn.XLOOKUP(G890,Follow[CODRASTREIO],Follow[STATUS]),"-"))</f>
        <v>ENTREGUE</v>
      </c>
      <c r="AJ890" s="9">
        <f ca="1">IF('Banco de Dados'!$AI890="ENTREGUE",_xlfn.XLOOKUP('Banco de Dados'!$G890,Follow[CODRASTREIO],Follow[DATAATUALIZAÇÃO]),"-")</f>
        <v>45705</v>
      </c>
      <c r="AK890" s="132" t="str">
        <f ca="1"/>
        <v>-</v>
      </c>
      <c r="AL890" s="35"/>
      <c r="AM890" s="109" cm="1">
        <f t="array" aca="1" ref="AM890" ca="1">IF('Banco de Dados'!$AK890&lt;&gt;"-",_xlfn.IFS('Banco de Dados'!$A890="bv",IF('Banco de Dados'!$E890&lt;45641,ROUND(SUM('Banco de Dados'!$R890*_xlfn.XLOOKUP('Banco de Dados'!$P890,Sku!B:B,Sku!#REF!)*20%),2),ROUND(SUM('Banco de Dados'!$R890*_xlfn.XLOOKUP('Banco de Dados'!$P890,Sku!B:B,Sku!H:H)*20%),2)),'Banco de Dados'!$A890="GO",ROUND(_xlfn.XLOOKUP('Banco de Dados'!$P890,Sku!C:C,Sku!H:H),2),'Banco de Dados'!$A890="MEI",ROUND(_xlfn.XLOOKUP('Banco de Dados'!$P890,Sku!D:D,Sku!H:H),2)),0)</f>
        <v>0</v>
      </c>
      <c r="AN890" s="109">
        <f ca="1">IF('Banco de Dados'!$AK890&lt;&gt;"-",IF('Banco de Dados'!$F890&lt;&gt;"-",_xlfn.XLOOKUP(IFERROR(IFERROR(IFERROR(VALUE(SUBSTITUTE(MID(_xlfn.TEXTAFTER('Banco de Dados'!$F890,"Data do Pedido:
",1),1,10),"-","/")),VALUE(SUBSTITUTE(MID(_xlfn.TEXTAFTER('Banco de Dados'!$F890,"Order date:
",1),1,10),"-","/"))),VALUE(SUBSTITUTE(MID(_xlfn.TEXTAFTER('Banco de Dados'!$F890,"Fecha de pedido:
",1),1,10),"-","/"))),"-"),SMS!A:A,SMS!K:K),0),0)</f>
        <v>0</v>
      </c>
      <c r="AO890" s="109">
        <f ca="1">IF('Banco de Dados'!$AK890&lt;&gt;"-",IF('Banco de Dados'!$F890&lt;&gt;"-",IFERROR(_xlfn.XLOOKUP(_xlfn.CONCAT('Banco de Dados'!$A890,IFERROR(IFERROR(VALUE(SUBSTITUTE(MID(_xlfn.TEXTAFTER('Banco de Dados'!$F890,"Data do Pedido:
",1),1,10),"-","/")),VALUE(SUBSTITUTE(MID(_xlfn.TEXTAFTER('Banco de Dados'!$F890,"Order date:
",1),1,10),"-","/"))),0)),ProxyDD[Chave],ProxyDD[Valor por pedido]),PROXY!$P$2),0),0)</f>
        <v>0</v>
      </c>
      <c r="AP890" s="28">
        <f ca="1">IF('Banco de Dados'!$AK890&lt;&gt;"-",IF('Banco de Dados'!$AL890="NÃO",IFERROR(VALUE(SUBSTITUTE(_xlfn.TEXTAFTER('Banco de Dados'!$F890,"BRL ",1),".",",")),0),0),0)</f>
        <v>0</v>
      </c>
      <c r="AQ890" s="28">
        <f ca="1">SUM('Banco de Dados'!$AM890:$AP890)</f>
        <v>0</v>
      </c>
      <c r="AR890" s="8"/>
      <c r="AS890" s="8"/>
      <c r="AT890"/>
      <c r="AY890" s="8"/>
    </row>
    <row r="891" spans="1:51">
      <c r="A891" s="5" t="str">
        <v>GO</v>
      </c>
      <c r="B891" s="5" t="str">
        <f ca="1"/>
        <v>GO45672</v>
      </c>
      <c r="C891" s="8" t="str">
        <v>Pedido 878</v>
      </c>
      <c r="D891" s="187">
        <v>45672</v>
      </c>
      <c r="E891" s="9">
        <v>45672</v>
      </c>
      <c r="F891" s="8" t="str">
        <v>PedidoF857</v>
      </c>
      <c r="G891" s="2" t="str">
        <v>CódRastreio855</v>
      </c>
      <c r="H891" s="5">
        <v>1</v>
      </c>
      <c r="I891" s="2" t="str">
        <v>CPF 854</v>
      </c>
      <c r="J891" s="2" t="str">
        <v>Nome 854</v>
      </c>
      <c r="K891" s="8" t="str">
        <v>Tel 854</v>
      </c>
      <c r="L891" s="8" t="str">
        <v>Cep 854</v>
      </c>
      <c r="M891" s="8" t="str">
        <v>Rua 854</v>
      </c>
      <c r="N891" s="8" t="str">
        <v>Comp 854</v>
      </c>
      <c r="O891" s="8" t="str">
        <v>Suporte de Celular Preto</v>
      </c>
      <c r="P891" s="8" t="str">
        <v>K0-RMF0-V1YC</v>
      </c>
      <c r="Q891" s="4">
        <v>45691</v>
      </c>
      <c r="R891" s="109">
        <v>19.78</v>
      </c>
      <c r="S891" s="11">
        <f ca="1"/>
        <v>19.78</v>
      </c>
      <c r="T891" s="28">
        <f ca="1"/>
        <v>2.9670000000000001</v>
      </c>
      <c r="U891" s="11">
        <f ca="1"/>
        <v>16.809999999999999</v>
      </c>
      <c r="V891" s="11">
        <v>11.99</v>
      </c>
      <c r="W891" s="11">
        <f ca="1"/>
        <v>0.2</v>
      </c>
      <c r="X891" s="11">
        <f ca="1"/>
        <v>0.39877104377104378</v>
      </c>
      <c r="Y891" s="11">
        <v>0</v>
      </c>
      <c r="Z891" s="11">
        <f ca="1"/>
        <v>4.2212289562289556</v>
      </c>
      <c r="AA891" s="11">
        <f ca="1"/>
        <v>4.2212289562289556</v>
      </c>
      <c r="AB891" s="4">
        <f ca="1"/>
        <v>45698</v>
      </c>
      <c r="AC891" s="4">
        <v>45698</v>
      </c>
      <c r="AD891" s="9">
        <v>45702</v>
      </c>
      <c r="AE891" s="9">
        <v>45705</v>
      </c>
      <c r="AF891" s="4" t="str">
        <f t="shared" ref="AF891:AF914" ca="1" si="42">_xlfn.CONCAT(PROPER(TEXT(AB891,"aaaa"))," ",PROPER(TEXT(AB891,"mm")))</f>
        <v>2025 02</v>
      </c>
      <c r="AG891" s="8" t="str" cm="1">
        <f t="array" ref="AG891">IFERROR(_xlfn.IFS('Banco de Dados'!#REF!="AG. COMPRA","Em processamento",'Banco de Dados'!#REF!="AG. RASTREIO","Em processamento",'Banco de Dados'!$AE891&lt;&gt;"-","Faturado",'Banco de Dados'!$AD891&lt;&gt;"-","Aguardando Pix",'Banco de Dados'!$AC891&lt;&gt;"-","Pendente"),"Aguardando Liberação")</f>
        <v>Aguardando Liberação</v>
      </c>
      <c r="AH891" s="5" t="str">
        <f>IF('Banco de Dados'!$F891="-",_xlfn.CONCAT(PROPER(TEXT(AK891,"aaaa"))," ",PROPER(TEXT(AK891,"mm"))),_xlfn.CONCAT(PROPER(TEXT(E891,"aaaa"))," ",PROPER(TEXT(E891,"mm"))))</f>
        <v>2025 01</v>
      </c>
      <c r="AI891" s="9" t="str">
        <f ca="1">IF('Banco de Dados'!$AK891&lt;&gt;"-","REEMBOLSO",IFERROR(_xlfn.XLOOKUP(G891,Follow[CODRASTREIO],Follow[STATUS]),"-"))</f>
        <v>ENTREGUE</v>
      </c>
      <c r="AJ891" s="9">
        <f ca="1">IF('Banco de Dados'!$AI891="ENTREGUE",_xlfn.XLOOKUP('Banco de Dados'!$G891,Follow[CODRASTREIO],Follow[DATAATUALIZAÇÃO]),"-")</f>
        <v>45678</v>
      </c>
      <c r="AK891" s="132" t="str">
        <f ca="1"/>
        <v>-</v>
      </c>
      <c r="AL891" s="35"/>
      <c r="AM891" s="109" cm="1">
        <f t="array" aca="1" ref="AM891" ca="1">IF('Banco de Dados'!$AK891&lt;&gt;"-",_xlfn.IFS('Banco de Dados'!$A891="bv",IF('Banco de Dados'!$E891&lt;45641,ROUND(SUM('Banco de Dados'!$R891*_xlfn.XLOOKUP('Banco de Dados'!$P891,Sku!B:B,Sku!#REF!)*20%),2),ROUND(SUM('Banco de Dados'!$R891*_xlfn.XLOOKUP('Banco de Dados'!$P891,Sku!B:B,Sku!H:H)*20%),2)),'Banco de Dados'!$A891="GO",ROUND(SUM('Banco de Dados'!$R891*_xlfn.XLOOKUP('Banco de Dados'!$P891,Sku!C:C,Sku!H:H)*20%),2),'Banco de Dados'!$A891="MEI",ROUND(SUM('Banco de Dados'!$R891*_xlfn.XLOOKUP('Banco de Dados'!$P891,Sku!D:D,Sku!H:H)*20%),2)),0)</f>
        <v>0</v>
      </c>
      <c r="AN891" s="109">
        <f ca="1">IF('Banco de Dados'!$AK891&lt;&gt;"-",IF('Banco de Dados'!$F891&lt;&gt;"-",_xlfn.XLOOKUP(IFERROR(IFERROR(IFERROR(VALUE(SUBSTITUTE(MID(_xlfn.TEXTAFTER('Banco de Dados'!$F891,"Data do Pedido:
",1),1,10),"-","/")),VALUE(SUBSTITUTE(MID(_xlfn.TEXTAFTER('Banco de Dados'!$F891,"Order date:
",1),1,10),"-","/"))),VALUE(SUBSTITUTE(MID(_xlfn.TEXTAFTER('Banco de Dados'!$F891,"Fecha de pedido:
",1),1,10),"-","/"))),"-"),SMS!A:A,SMS!K:K),0),0)</f>
        <v>0</v>
      </c>
      <c r="AO891" s="109">
        <f ca="1">IF('Banco de Dados'!$AK891&lt;&gt;"-",IF('Banco de Dados'!$F891&lt;&gt;"-",IFERROR(_xlfn.XLOOKUP(_xlfn.CONCAT('Banco de Dados'!$A891,IFERROR(IFERROR(VALUE(SUBSTITUTE(MID(_xlfn.TEXTAFTER('Banco de Dados'!$F891,"Data do Pedido:
",1),1,10),"-","/")),VALUE(SUBSTITUTE(MID(_xlfn.TEXTAFTER('Banco de Dados'!$F891,"Order date:
",1),1,10),"-","/"))),0)),ProxyDD[Chave],ProxyDD[Valor por pedido]),PROXY!$P$2),0),0)</f>
        <v>0</v>
      </c>
      <c r="AP891" s="28">
        <f ca="1">IF('Banco de Dados'!$AK891&lt;&gt;"-",IF('Banco de Dados'!$AL891="NÃO",IFERROR(VALUE(SUBSTITUTE(_xlfn.TEXTAFTER('Banco de Dados'!$F891,"BRL ",1),".",",")),0),0),0)</f>
        <v>0</v>
      </c>
      <c r="AQ891" s="28">
        <f ca="1">SUM('Banco de Dados'!$AM891:$AP891)</f>
        <v>0</v>
      </c>
      <c r="AR891" s="8"/>
      <c r="AY891" s="8"/>
    </row>
    <row r="892" spans="1:51">
      <c r="A892" s="5" t="str">
        <v>GO</v>
      </c>
      <c r="B892" s="5" t="str">
        <f ca="1"/>
        <v>GO45678</v>
      </c>
      <c r="C892" s="8" t="str">
        <v>Pedido 879</v>
      </c>
      <c r="D892" s="187">
        <v>45678</v>
      </c>
      <c r="E892" s="9">
        <v>45678</v>
      </c>
      <c r="F892" s="8" t="str">
        <v>PedidoF858</v>
      </c>
      <c r="G892" s="2" t="str">
        <v>CódRastreio856</v>
      </c>
      <c r="H892" s="5">
        <v>1</v>
      </c>
      <c r="I892" s="2" t="str">
        <v>CPF 855</v>
      </c>
      <c r="J892" s="2" t="str">
        <v>Nome 855</v>
      </c>
      <c r="K892" s="8" t="str">
        <v>Tel 855</v>
      </c>
      <c r="L892" s="8" t="str">
        <v>Cep 855</v>
      </c>
      <c r="M892" s="8" t="str">
        <v>Rua 855</v>
      </c>
      <c r="N892" s="8" t="str">
        <v>Comp 855</v>
      </c>
      <c r="O892" s="8" t="str">
        <v>Escova Multifuncional</v>
      </c>
      <c r="P892" s="8" t="str">
        <v>E7-FW3C-EHOL</v>
      </c>
      <c r="Q892" s="4">
        <v>45699</v>
      </c>
      <c r="R892" s="109">
        <v>41.4</v>
      </c>
      <c r="S892" s="11">
        <f ca="1"/>
        <v>41.4</v>
      </c>
      <c r="T892" s="28">
        <f ca="1"/>
        <v>6.21</v>
      </c>
      <c r="U892" s="11">
        <f ca="1"/>
        <v>35.19</v>
      </c>
      <c r="V892" s="11">
        <v>21.89</v>
      </c>
      <c r="W892" s="11">
        <f ca="1"/>
        <v>0.2</v>
      </c>
      <c r="X892" s="11">
        <f ca="1"/>
        <v>0.39877104377104378</v>
      </c>
      <c r="Y892" s="11">
        <v>0</v>
      </c>
      <c r="Z892" s="11">
        <f ca="1"/>
        <v>12.701228956228952</v>
      </c>
      <c r="AA892" s="11">
        <f ca="1"/>
        <v>12.701228956228952</v>
      </c>
      <c r="AB892" s="4">
        <f ca="1"/>
        <v>45706</v>
      </c>
      <c r="AC892" s="4">
        <v>45706</v>
      </c>
      <c r="AD892" s="9">
        <v>45721</v>
      </c>
      <c r="AE892" s="9">
        <v>45733</v>
      </c>
      <c r="AF892" s="4" t="str">
        <f t="shared" ca="1" si="42"/>
        <v>2025 02</v>
      </c>
      <c r="AG892" s="8" t="str" cm="1">
        <f t="array" ref="AG892">IFERROR(_xlfn.IFS('Banco de Dados'!#REF!="AG. COMPRA","Em processamento",'Banco de Dados'!#REF!="AG. RASTREIO","Em processamento",'Banco de Dados'!$AE892&lt;&gt;"-","Faturado",'Banco de Dados'!$AD892&lt;&gt;"-","Aguardando Pix",'Banco de Dados'!$AC892&lt;&gt;"-","Pendente"),"Aguardando Liberação")</f>
        <v>Aguardando Liberação</v>
      </c>
      <c r="AH892" s="5" t="str">
        <f>IF('Banco de Dados'!$F892="-",_xlfn.CONCAT(PROPER(TEXT(AK892,"aaaa"))," ",PROPER(TEXT(AK892,"mm"))),_xlfn.CONCAT(PROPER(TEXT(E892,"aaaa"))," ",PROPER(TEXT(E892,"mm"))))</f>
        <v>2025 01</v>
      </c>
      <c r="AI892" s="9" t="str">
        <f ca="1">IF('Banco de Dados'!$AK892&lt;&gt;"-","REEMBOLSO",IFERROR(_xlfn.XLOOKUP(G892,Follow[CODRASTREIO],Follow[STATUS]),"-"))</f>
        <v>ENTREGUE</v>
      </c>
      <c r="AJ892" s="9">
        <f ca="1">IF('Banco de Dados'!$AI892="ENTREGUE",_xlfn.XLOOKUP('Banco de Dados'!$G892,Follow[CODRASTREIO],Follow[DATAATUALIZAÇÃO]),"-")</f>
        <v>45694</v>
      </c>
      <c r="AK892" s="132" t="str">
        <f ca="1"/>
        <v>-</v>
      </c>
      <c r="AL892" s="35"/>
      <c r="AM892" s="109" cm="1">
        <f t="array" aca="1" ref="AM892" ca="1">IF('Banco de Dados'!$AK892&lt;&gt;"-",_xlfn.IFS('Banco de Dados'!$A892="bv",IF('Banco de Dados'!$E892&lt;45641,ROUND(SUM('Banco de Dados'!$R892*_xlfn.XLOOKUP('Banco de Dados'!$P892,Sku!B:B,Sku!#REF!)*20%),2),ROUND(SUM('Banco de Dados'!$R892*_xlfn.XLOOKUP('Banco de Dados'!$P892,Sku!B:B,Sku!H:H)*20%),2)),'Banco de Dados'!$A892="GO",ROUND(SUM('Banco de Dados'!$R892*_xlfn.XLOOKUP('Banco de Dados'!$P892,Sku!C:C,Sku!H:H)*20%),2),'Banco de Dados'!$A892="MEI",ROUND(SUM('Banco de Dados'!$R892*_xlfn.XLOOKUP('Banco de Dados'!$P892,Sku!D:D,Sku!H:H)*20%),2)),0)</f>
        <v>0</v>
      </c>
      <c r="AN892" s="109">
        <f ca="1">IF('Banco de Dados'!$AK892&lt;&gt;"-",IF('Banco de Dados'!$F892&lt;&gt;"-",_xlfn.XLOOKUP(IFERROR(IFERROR(IFERROR(VALUE(SUBSTITUTE(MID(_xlfn.TEXTAFTER('Banco de Dados'!$F892,"Data do Pedido:
",1),1,10),"-","/")),VALUE(SUBSTITUTE(MID(_xlfn.TEXTAFTER('Banco de Dados'!$F892,"Order date:
",1),1,10),"-","/"))),VALUE(SUBSTITUTE(MID(_xlfn.TEXTAFTER('Banco de Dados'!$F892,"Fecha de pedido:
",1),1,10),"-","/"))),"-"),SMS!A:A,SMS!K:K),0),0)</f>
        <v>0</v>
      </c>
      <c r="AO892" s="109">
        <f ca="1">IF('Banco de Dados'!$AK892&lt;&gt;"-",IF('Banco de Dados'!$F892&lt;&gt;"-",IFERROR(_xlfn.XLOOKUP(_xlfn.CONCAT('Banco de Dados'!$A892,IFERROR(IFERROR(VALUE(SUBSTITUTE(MID(_xlfn.TEXTAFTER('Banco de Dados'!$F892,"Data do Pedido:
",1),1,10),"-","/")),VALUE(SUBSTITUTE(MID(_xlfn.TEXTAFTER('Banco de Dados'!$F892,"Order date:
",1),1,10),"-","/"))),0)),ProxyDD[Chave],ProxyDD[Valor por pedido]),PROXY!$P$2),0),0)</f>
        <v>0</v>
      </c>
      <c r="AP892" s="28">
        <f ca="1">IF('Banco de Dados'!$AK892&lt;&gt;"-",IF('Banco de Dados'!$AL892="NÃO",IFERROR(VALUE(SUBSTITUTE(_xlfn.TEXTAFTER('Banco de Dados'!$F892,"BRL ",1),".",",")),0),0),0)</f>
        <v>0</v>
      </c>
      <c r="AQ892" s="28">
        <f ca="1">SUM('Banco de Dados'!$AM892:$AP892)</f>
        <v>0</v>
      </c>
      <c r="AR892" s="8"/>
      <c r="AY892" s="8"/>
    </row>
    <row r="893" spans="1:51">
      <c r="A893" s="5" t="str">
        <v>GO</v>
      </c>
      <c r="B893" s="5" t="str">
        <f ca="1"/>
        <v>GO45681</v>
      </c>
      <c r="C893" s="8" t="str">
        <v>Pedido 880</v>
      </c>
      <c r="D893" s="187">
        <v>45681</v>
      </c>
      <c r="E893" s="9">
        <v>45681</v>
      </c>
      <c r="F893" s="8" t="str">
        <v>PedidoF859</v>
      </c>
      <c r="G893" s="2" t="str">
        <v>CódRastreio857</v>
      </c>
      <c r="H893" s="5">
        <v>1</v>
      </c>
      <c r="I893" s="2" t="str">
        <v>CPF 856</v>
      </c>
      <c r="J893" s="2" t="str">
        <v>Nome 856</v>
      </c>
      <c r="K893" s="8" t="str">
        <v>Tel 856</v>
      </c>
      <c r="L893" s="8" t="str">
        <v>Cep 856</v>
      </c>
      <c r="M893" s="8" t="str">
        <v>Rua 856</v>
      </c>
      <c r="N893" s="8" t="str">
        <v>Comp 856</v>
      </c>
      <c r="O893" s="8" t="str">
        <v>Ventilador Preto</v>
      </c>
      <c r="P893" s="8" t="str">
        <v>EP-9PIR-BWXH</v>
      </c>
      <c r="Q893" s="4">
        <v>45702</v>
      </c>
      <c r="R893" s="109">
        <v>64</v>
      </c>
      <c r="S893" s="11">
        <f ca="1"/>
        <v>64</v>
      </c>
      <c r="T893" s="28">
        <f ca="1"/>
        <v>8.32</v>
      </c>
      <c r="U893" s="11">
        <f ca="1"/>
        <v>55.68</v>
      </c>
      <c r="V893" s="11">
        <v>17.02</v>
      </c>
      <c r="W893" s="11">
        <f ca="1"/>
        <v>0.15</v>
      </c>
      <c r="X893" s="11">
        <f ca="1"/>
        <v>0.39877104377104378</v>
      </c>
      <c r="Y893" s="11">
        <v>0</v>
      </c>
      <c r="Z893" s="11">
        <f ca="1"/>
        <v>38.111228956228956</v>
      </c>
      <c r="AA893" s="11">
        <f ca="1"/>
        <v>38.111228956228956</v>
      </c>
      <c r="AB893" s="4">
        <f ca="1"/>
        <v>45709</v>
      </c>
      <c r="AC893" s="4">
        <v>45709</v>
      </c>
      <c r="AD893" s="9">
        <v>45721</v>
      </c>
      <c r="AE893" s="9">
        <v>45733</v>
      </c>
      <c r="AF893" s="4" t="str">
        <f t="shared" ca="1" si="42"/>
        <v>2025 02</v>
      </c>
      <c r="AG893" s="8" t="str" cm="1">
        <f t="array" ref="AG893">IFERROR(_xlfn.IFS('Banco de Dados'!#REF!="AG. COMPRA","Em processamento",'Banco de Dados'!#REF!="AG. RASTREIO","Em processamento",'Banco de Dados'!$AE893&lt;&gt;"-","Faturado",'Banco de Dados'!$AD893&lt;&gt;"-","Aguardando Pix",'Banco de Dados'!$AC893&lt;&gt;"-","Pendente"),"Aguardando Liberação")</f>
        <v>Aguardando Liberação</v>
      </c>
      <c r="AH893" s="5" t="str">
        <f>IF('Banco de Dados'!$F893="-",_xlfn.CONCAT(PROPER(TEXT(AK893,"aaaa"))," ",PROPER(TEXT(AK893,"mm"))),_xlfn.CONCAT(PROPER(TEXT(E893,"aaaa"))," ",PROPER(TEXT(E893,"mm"))))</f>
        <v>2025 01</v>
      </c>
      <c r="AI893" s="9" t="str">
        <f ca="1">IF('Banco de Dados'!$AK893&lt;&gt;"-","REEMBOLSO",IFERROR(_xlfn.XLOOKUP(G893,Follow[CODRASTREIO],Follow[STATUS]),"-"))</f>
        <v>ENTREGUE</v>
      </c>
      <c r="AJ893" s="9">
        <f ca="1">IF('Banco de Dados'!$AI893="ENTREGUE",_xlfn.XLOOKUP('Banco de Dados'!$G893,Follow[CODRASTREIO],Follow[DATAATUALIZAÇÃO]),"-")</f>
        <v>45693</v>
      </c>
      <c r="AK893" s="132" t="str">
        <f ca="1"/>
        <v>-</v>
      </c>
      <c r="AL893" s="35"/>
      <c r="AM893" s="109" cm="1">
        <f t="array" aca="1" ref="AM893" ca="1">IF('Banco de Dados'!$AK893&lt;&gt;"-",_xlfn.IFS('Banco de Dados'!$A893="bv",IF('Banco de Dados'!$E893&lt;45641,ROUND(SUM('Banco de Dados'!$R893*_xlfn.XLOOKUP('Banco de Dados'!$P893,Sku!B:B,Sku!#REF!)*20%),2),ROUND(SUM('Banco de Dados'!$R893*_xlfn.XLOOKUP('Banco de Dados'!$P893,Sku!B:B,Sku!H:H)*20%),2)),'Banco de Dados'!$A893="GO",ROUND(SUM('Banco de Dados'!$R893*_xlfn.XLOOKUP('Banco de Dados'!$P893,Sku!C:C,Sku!H:H)*20%),2),'Banco de Dados'!$A893="MEI",ROUND(SUM('Banco de Dados'!$R893*_xlfn.XLOOKUP('Banco de Dados'!$P893,Sku!D:D,Sku!H:H)*20%),2)),0)</f>
        <v>0</v>
      </c>
      <c r="AN893" s="109">
        <f ca="1">IF('Banco de Dados'!$AK893&lt;&gt;"-",IF('Banco de Dados'!$F893&lt;&gt;"-",_xlfn.XLOOKUP(IFERROR(IFERROR(IFERROR(VALUE(SUBSTITUTE(MID(_xlfn.TEXTAFTER('Banco de Dados'!$F893,"Data do Pedido:
",1),1,10),"-","/")),VALUE(SUBSTITUTE(MID(_xlfn.TEXTAFTER('Banco de Dados'!$F893,"Order date:
",1),1,10),"-","/"))),VALUE(SUBSTITUTE(MID(_xlfn.TEXTAFTER('Banco de Dados'!$F893,"Fecha de pedido:
",1),1,10),"-","/"))),"-"),SMS!A:A,SMS!K:K),0),0)</f>
        <v>0</v>
      </c>
      <c r="AO893" s="109">
        <f ca="1">IF('Banco de Dados'!$AK893&lt;&gt;"-",IF('Banco de Dados'!$F893&lt;&gt;"-",IFERROR(_xlfn.XLOOKUP(_xlfn.CONCAT('Banco de Dados'!$A893,IFERROR(IFERROR(VALUE(SUBSTITUTE(MID(_xlfn.TEXTAFTER('Banco de Dados'!$F893,"Data do Pedido:
",1),1,10),"-","/")),VALUE(SUBSTITUTE(MID(_xlfn.TEXTAFTER('Banco de Dados'!$F893,"Order date:
",1),1,10),"-","/"))),0)),ProxyDD[Chave],ProxyDD[Valor por pedido]),PROXY!$P$2),0),0)</f>
        <v>0</v>
      </c>
      <c r="AP893" s="28">
        <f ca="1">IF('Banco de Dados'!$AK893&lt;&gt;"-",IF('Banco de Dados'!$AL893="NÃO",IFERROR(VALUE(SUBSTITUTE(_xlfn.TEXTAFTER('Banco de Dados'!$F893,"BRL ",1),".",",")),0),0),0)</f>
        <v>0</v>
      </c>
      <c r="AQ893" s="28">
        <f ca="1">SUM('Banco de Dados'!$AM893:$AP893)</f>
        <v>0</v>
      </c>
      <c r="AR893" s="8"/>
      <c r="AY893" s="8"/>
    </row>
    <row r="894" spans="1:51">
      <c r="A894" s="5" t="str">
        <v>GO</v>
      </c>
      <c r="B894" s="5" t="str">
        <f ca="1"/>
        <v>GO45681</v>
      </c>
      <c r="C894" s="8" t="str">
        <v>Pedido 881</v>
      </c>
      <c r="D894" s="187">
        <v>45681</v>
      </c>
      <c r="E894" s="9">
        <v>45681</v>
      </c>
      <c r="F894" s="8" t="str">
        <v>PedidoF860</v>
      </c>
      <c r="G894" s="2" t="str">
        <v>CódRastreio858</v>
      </c>
      <c r="H894" s="5">
        <v>1</v>
      </c>
      <c r="I894" s="2" t="str">
        <v>CPF 857</v>
      </c>
      <c r="J894" s="2" t="str">
        <v>Nome 857</v>
      </c>
      <c r="K894" s="8" t="str">
        <v>Tel 857</v>
      </c>
      <c r="L894" s="8" t="str">
        <v>Cep 857</v>
      </c>
      <c r="M894" s="8" t="str">
        <v>Rua 857</v>
      </c>
      <c r="N894" s="8" t="str">
        <v>Comp 857</v>
      </c>
      <c r="O894" s="8" t="str">
        <v>Ventilador Preto</v>
      </c>
      <c r="P894" s="8" t="str">
        <v>EP-9PIR-BWXH</v>
      </c>
      <c r="Q894" s="4">
        <v>45702</v>
      </c>
      <c r="R894" s="109">
        <v>64</v>
      </c>
      <c r="S894" s="11">
        <f ca="1"/>
        <v>64</v>
      </c>
      <c r="T894" s="28">
        <f ca="1"/>
        <v>8.32</v>
      </c>
      <c r="U894" s="11">
        <f ca="1"/>
        <v>55.68</v>
      </c>
      <c r="V894" s="11">
        <v>17.02</v>
      </c>
      <c r="W894" s="11">
        <f ca="1"/>
        <v>0.15</v>
      </c>
      <c r="X894" s="11">
        <f ca="1"/>
        <v>0.39877104377104378</v>
      </c>
      <c r="Y894" s="11">
        <v>0</v>
      </c>
      <c r="Z894" s="11">
        <f ca="1"/>
        <v>38.111228956228956</v>
      </c>
      <c r="AA894" s="11">
        <f ca="1"/>
        <v>38.111228956228956</v>
      </c>
      <c r="AB894" s="4">
        <f ca="1"/>
        <v>45709</v>
      </c>
      <c r="AC894" s="4">
        <v>45709</v>
      </c>
      <c r="AD894" s="9">
        <v>45721</v>
      </c>
      <c r="AE894" s="9">
        <v>45733</v>
      </c>
      <c r="AF894" s="4" t="str">
        <f t="shared" ca="1" si="42"/>
        <v>2025 02</v>
      </c>
      <c r="AG894" s="8" t="str" cm="1">
        <f t="array" ref="AG894">IFERROR(_xlfn.IFS('Banco de Dados'!#REF!="AG. COMPRA","Em processamento",'Banco de Dados'!#REF!="AG. RASTREIO","Em processamento",'Banco de Dados'!$AE894&lt;&gt;"-","Faturado",'Banco de Dados'!$AD894&lt;&gt;"-","Aguardando Pix",'Banco de Dados'!$AC894&lt;&gt;"-","Pendente"),"Aguardando Liberação")</f>
        <v>Aguardando Liberação</v>
      </c>
      <c r="AH894" s="5" t="str">
        <f>IF('Banco de Dados'!$F894="-",_xlfn.CONCAT(PROPER(TEXT(AK894,"aaaa"))," ",PROPER(TEXT(AK894,"mm"))),_xlfn.CONCAT(PROPER(TEXT(E894,"aaaa"))," ",PROPER(TEXT(E894,"mm"))))</f>
        <v>2025 01</v>
      </c>
      <c r="AI894" s="9" t="str">
        <f ca="1">IF('Banco de Dados'!$AK894&lt;&gt;"-","REEMBOLSO",IFERROR(_xlfn.XLOOKUP(G894,Follow[CODRASTREIO],Follow[STATUS]),"-"))</f>
        <v>ENTREGUE</v>
      </c>
      <c r="AJ894" s="9">
        <f ca="1">IF('Banco de Dados'!$AI894="ENTREGUE",_xlfn.XLOOKUP('Banco de Dados'!$G894,Follow[CODRASTREIO],Follow[DATAATUALIZAÇÃO]),"-")</f>
        <v>45696</v>
      </c>
      <c r="AK894" s="132" t="str">
        <f ca="1"/>
        <v>-</v>
      </c>
      <c r="AL894" s="35"/>
      <c r="AM894" s="109" cm="1">
        <f t="array" aca="1" ref="AM894" ca="1">IF('Banco de Dados'!$AK894&lt;&gt;"-",_xlfn.IFS('Banco de Dados'!$A894="bv",IF('Banco de Dados'!$E894&lt;45641,ROUND(SUM('Banco de Dados'!$R894*_xlfn.XLOOKUP('Banco de Dados'!$P894,Sku!B:B,Sku!#REF!)*20%),2),ROUND(SUM('Banco de Dados'!$R894*_xlfn.XLOOKUP('Banco de Dados'!$P894,Sku!B:B,Sku!H:H)*20%),2)),'Banco de Dados'!$A894="GO",ROUND(SUM('Banco de Dados'!$R894*_xlfn.XLOOKUP('Banco de Dados'!$P894,Sku!C:C,Sku!H:H)*20%),2),'Banco de Dados'!$A894="MEI",ROUND(SUM('Banco de Dados'!$R894*_xlfn.XLOOKUP('Banco de Dados'!$P894,Sku!D:D,Sku!H:H)*20%),2)),0)</f>
        <v>0</v>
      </c>
      <c r="AN894" s="109">
        <f ca="1">IF('Banco de Dados'!$AK894&lt;&gt;"-",IF('Banco de Dados'!$F894&lt;&gt;"-",_xlfn.XLOOKUP(IFERROR(IFERROR(IFERROR(VALUE(SUBSTITUTE(MID(_xlfn.TEXTAFTER('Banco de Dados'!$F894,"Data do Pedido:
",1),1,10),"-","/")),VALUE(SUBSTITUTE(MID(_xlfn.TEXTAFTER('Banco de Dados'!$F894,"Order date:
",1),1,10),"-","/"))),VALUE(SUBSTITUTE(MID(_xlfn.TEXTAFTER('Banco de Dados'!$F894,"Fecha de pedido:
",1),1,10),"-","/"))),"-"),SMS!A:A,SMS!K:K),0),0)</f>
        <v>0</v>
      </c>
      <c r="AO894" s="109">
        <f ca="1">IF('Banco de Dados'!$AK894&lt;&gt;"-",IF('Banco de Dados'!$F894&lt;&gt;"-",IFERROR(_xlfn.XLOOKUP(_xlfn.CONCAT('Banco de Dados'!$A894,IFERROR(IFERROR(VALUE(SUBSTITUTE(MID(_xlfn.TEXTAFTER('Banco de Dados'!$F894,"Data do Pedido:
",1),1,10),"-","/")),VALUE(SUBSTITUTE(MID(_xlfn.TEXTAFTER('Banco de Dados'!$F894,"Order date:
",1),1,10),"-","/"))),0)),ProxyDD[Chave],ProxyDD[Valor por pedido]),PROXY!$P$2),0),0)</f>
        <v>0</v>
      </c>
      <c r="AP894" s="28">
        <f ca="1">IF('Banco de Dados'!$AK894&lt;&gt;"-",IF('Banco de Dados'!$AL894="NÃO",IFERROR(VALUE(SUBSTITUTE(_xlfn.TEXTAFTER('Banco de Dados'!$F894,"BRL ",1),".",",")),0),0),0)</f>
        <v>0</v>
      </c>
      <c r="AQ894" s="28">
        <f ca="1">SUM('Banco de Dados'!$AM894:$AP894)</f>
        <v>0</v>
      </c>
      <c r="AR894" s="8"/>
      <c r="AY894" s="8"/>
    </row>
    <row r="895" spans="1:51">
      <c r="A895" s="5" t="str">
        <v>GO</v>
      </c>
      <c r="B895" s="5" t="str">
        <f ca="1"/>
        <v>GO45684</v>
      </c>
      <c r="C895" s="8" t="str">
        <v>Pedido 882</v>
      </c>
      <c r="D895" s="187">
        <v>45682</v>
      </c>
      <c r="E895" s="9">
        <v>45684</v>
      </c>
      <c r="F895" s="8" t="str">
        <v>PedidoF861</v>
      </c>
      <c r="G895" s="2" t="str">
        <v>CódRastreio859</v>
      </c>
      <c r="H895" s="5">
        <v>1</v>
      </c>
      <c r="I895" s="2" t="str">
        <v>CPF 858</v>
      </c>
      <c r="J895" s="2" t="str">
        <v>Nome 858</v>
      </c>
      <c r="K895" s="8" t="str">
        <v>Tel 858</v>
      </c>
      <c r="L895" s="8" t="str">
        <v>Cep 858</v>
      </c>
      <c r="M895" s="8" t="str">
        <v>Rua 858</v>
      </c>
      <c r="N895" s="8" t="str">
        <v>Comp 858</v>
      </c>
      <c r="O895" s="8" t="str">
        <v>Ventilador Preto</v>
      </c>
      <c r="P895" s="8" t="str">
        <v>EP-9PIR-BWXH</v>
      </c>
      <c r="Q895" s="4">
        <v>45708</v>
      </c>
      <c r="R895" s="109">
        <v>64</v>
      </c>
      <c r="S895" s="11">
        <f ca="1"/>
        <v>64</v>
      </c>
      <c r="T895" s="28">
        <f ca="1"/>
        <v>8.32</v>
      </c>
      <c r="U895" s="11">
        <f ca="1"/>
        <v>55.68</v>
      </c>
      <c r="V895" s="11">
        <v>17.329999999999998</v>
      </c>
      <c r="W895" s="11">
        <f ca="1"/>
        <v>0.2</v>
      </c>
      <c r="X895" s="11">
        <f ca="1"/>
        <v>0.39877104377104378</v>
      </c>
      <c r="Y895" s="11">
        <v>0</v>
      </c>
      <c r="Z895" s="11">
        <f ca="1"/>
        <v>37.751228956228957</v>
      </c>
      <c r="AA895" s="11">
        <f ca="1"/>
        <v>37.751228956228957</v>
      </c>
      <c r="AB895" s="4">
        <f ca="1"/>
        <v>45715</v>
      </c>
      <c r="AC895" s="4">
        <v>45715</v>
      </c>
      <c r="AD895" s="9">
        <v>45721</v>
      </c>
      <c r="AE895" s="9">
        <v>45733</v>
      </c>
      <c r="AF895" s="4" t="str">
        <f t="shared" ca="1" si="42"/>
        <v>2025 02</v>
      </c>
      <c r="AG895" s="8" t="str" cm="1">
        <f t="array" ref="AG895">IFERROR(_xlfn.IFS('Banco de Dados'!#REF!="AG. COMPRA","Em processamento",'Banco de Dados'!#REF!="AG. RASTREIO","Em processamento",'Banco de Dados'!$AE895&lt;&gt;"-","Faturado",'Banco de Dados'!$AD895&lt;&gt;"-","Aguardando Pix",'Banco de Dados'!$AC895&lt;&gt;"-","Pendente"),"Aguardando Liberação")</f>
        <v>Aguardando Liberação</v>
      </c>
      <c r="AH895" s="5" t="str">
        <f>IF('Banco de Dados'!$F895="-",_xlfn.CONCAT(PROPER(TEXT(AK895,"aaaa"))," ",PROPER(TEXT(AK895,"mm"))),_xlfn.CONCAT(PROPER(TEXT(E895,"aaaa"))," ",PROPER(TEXT(E895,"mm"))))</f>
        <v>2025 01</v>
      </c>
      <c r="AI895" s="9" t="str">
        <f ca="1">IF('Banco de Dados'!$AK895&lt;&gt;"-","REEMBOLSO",IFERROR(_xlfn.XLOOKUP(G895,Follow[CODRASTREIO],Follow[STATUS]),"-"))</f>
        <v>ENTREGUE</v>
      </c>
      <c r="AJ895" s="9">
        <f ca="1">IF('Banco de Dados'!$AI895="ENTREGUE",_xlfn.XLOOKUP('Banco de Dados'!$G895,Follow[CODRASTREIO],Follow[DATAATUALIZAÇÃO]),"-")</f>
        <v>45701</v>
      </c>
      <c r="AK895" s="132" t="str">
        <f ca="1"/>
        <v>-</v>
      </c>
      <c r="AL895" s="35"/>
      <c r="AM895" s="109" cm="1">
        <f t="array" aca="1" ref="AM895" ca="1">IF('Banco de Dados'!$AK895&lt;&gt;"-",_xlfn.IFS('Banco de Dados'!$A895="bv",IF('Banco de Dados'!$E895&lt;45641,ROUND(SUM('Banco de Dados'!$R895*_xlfn.XLOOKUP('Banco de Dados'!$P895,Sku!B:B,Sku!#REF!)*20%),2),ROUND(SUM('Banco de Dados'!$R895*_xlfn.XLOOKUP('Banco de Dados'!$P895,Sku!B:B,Sku!H:H)*20%),2)),'Banco de Dados'!$A895="GO",ROUND(SUM('Banco de Dados'!$R895*_xlfn.XLOOKUP('Banco de Dados'!$P895,Sku!C:C,Sku!H:H)*20%),2),'Banco de Dados'!$A895="MEI",ROUND(SUM('Banco de Dados'!$R895*_xlfn.XLOOKUP('Banco de Dados'!$P895,Sku!D:D,Sku!H:H)*20%),2)),0)</f>
        <v>0</v>
      </c>
      <c r="AN895" s="109">
        <f ca="1">IF('Banco de Dados'!$AK895&lt;&gt;"-",IF('Banco de Dados'!$F895&lt;&gt;"-",_xlfn.XLOOKUP(IFERROR(IFERROR(IFERROR(VALUE(SUBSTITUTE(MID(_xlfn.TEXTAFTER('Banco de Dados'!$F895,"Data do Pedido:
",1),1,10),"-","/")),VALUE(SUBSTITUTE(MID(_xlfn.TEXTAFTER('Banco de Dados'!$F895,"Order date:
",1),1,10),"-","/"))),VALUE(SUBSTITUTE(MID(_xlfn.TEXTAFTER('Banco de Dados'!$F895,"Fecha de pedido:
",1),1,10),"-","/"))),"-"),SMS!A:A,SMS!K:K),0),0)</f>
        <v>0</v>
      </c>
      <c r="AO895" s="109">
        <f ca="1">IF('Banco de Dados'!$AK895&lt;&gt;"-",IF('Banco de Dados'!$F895&lt;&gt;"-",IFERROR(_xlfn.XLOOKUP(_xlfn.CONCAT('Banco de Dados'!$A895,IFERROR(IFERROR(VALUE(SUBSTITUTE(MID(_xlfn.TEXTAFTER('Banco de Dados'!$F895,"Data do Pedido:
",1),1,10),"-","/")),VALUE(SUBSTITUTE(MID(_xlfn.TEXTAFTER('Banco de Dados'!$F895,"Order date:
",1),1,10),"-","/"))),0)),ProxyDD[Chave],ProxyDD[Valor por pedido]),PROXY!$P$2),0),0)</f>
        <v>0</v>
      </c>
      <c r="AP895" s="28">
        <f ca="1">IF('Banco de Dados'!$AK895&lt;&gt;"-",IF('Banco de Dados'!$AL895="NÃO",IFERROR(VALUE(SUBSTITUTE(_xlfn.TEXTAFTER('Banco de Dados'!$F895,"BRL ",1),".",",")),0),0),0)</f>
        <v>0</v>
      </c>
      <c r="AQ895" s="28">
        <f ca="1">SUM('Banco de Dados'!$AM895:$AP895)</f>
        <v>0</v>
      </c>
      <c r="AR895" s="8"/>
      <c r="AY895" s="8"/>
    </row>
    <row r="896" spans="1:51">
      <c r="A896" s="5" t="str">
        <v>GO</v>
      </c>
      <c r="B896" s="5" t="str">
        <f ca="1"/>
        <v>GO45684</v>
      </c>
      <c r="C896" s="8" t="str">
        <v>Pedido 883</v>
      </c>
      <c r="D896" s="187">
        <v>45682</v>
      </c>
      <c r="E896" s="9">
        <v>45684</v>
      </c>
      <c r="F896" s="8" t="str">
        <v>PedidoF862</v>
      </c>
      <c r="G896" s="2" t="str">
        <v>CódRastreio860</v>
      </c>
      <c r="H896" s="5">
        <v>1</v>
      </c>
      <c r="I896" s="2" t="str">
        <v>CPF 859</v>
      </c>
      <c r="J896" s="2" t="str">
        <v>Nome 859</v>
      </c>
      <c r="K896" s="8" t="str">
        <v>Tel 859</v>
      </c>
      <c r="L896" s="8" t="str">
        <v>Cep 859</v>
      </c>
      <c r="M896" s="8" t="str">
        <v>Rua 859</v>
      </c>
      <c r="N896" s="8" t="str">
        <v>Comp 859</v>
      </c>
      <c r="O896" s="8" t="str">
        <v>Ventilador Preto</v>
      </c>
      <c r="P896" s="8" t="str">
        <v>EP-9PIR-BWXH</v>
      </c>
      <c r="Q896" s="4">
        <v>45702</v>
      </c>
      <c r="R896" s="109">
        <v>64</v>
      </c>
      <c r="S896" s="11">
        <f ca="1"/>
        <v>64</v>
      </c>
      <c r="T896" s="28">
        <f ca="1"/>
        <v>8.32</v>
      </c>
      <c r="U896" s="11">
        <f ca="1"/>
        <v>55.68</v>
      </c>
      <c r="V896" s="11">
        <v>17.329999999999998</v>
      </c>
      <c r="W896" s="11">
        <f ca="1"/>
        <v>0.2</v>
      </c>
      <c r="X896" s="11">
        <f ca="1"/>
        <v>0.39877104377104378</v>
      </c>
      <c r="Y896" s="11">
        <v>0</v>
      </c>
      <c r="Z896" s="11">
        <f ca="1"/>
        <v>37.751228956228957</v>
      </c>
      <c r="AA896" s="11">
        <f ca="1"/>
        <v>37.751228956228957</v>
      </c>
      <c r="AB896" s="4">
        <f ca="1"/>
        <v>45709</v>
      </c>
      <c r="AC896" s="4">
        <v>45709</v>
      </c>
      <c r="AD896" s="9">
        <v>45721</v>
      </c>
      <c r="AE896" s="9">
        <v>45733</v>
      </c>
      <c r="AF896" s="4" t="str">
        <f t="shared" ca="1" si="42"/>
        <v>2025 02</v>
      </c>
      <c r="AG896" s="8" t="str" cm="1">
        <f t="array" ref="AG896">IFERROR(_xlfn.IFS('Banco de Dados'!#REF!="AG. COMPRA","Em processamento",'Banco de Dados'!#REF!="AG. RASTREIO","Em processamento",'Banco de Dados'!$AE896&lt;&gt;"-","Faturado",'Banco de Dados'!$AD896&lt;&gt;"-","Aguardando Pix",'Banco de Dados'!$AC896&lt;&gt;"-","Pendente"),"Aguardando Liberação")</f>
        <v>Aguardando Liberação</v>
      </c>
      <c r="AH896" s="5" t="str">
        <f>IF('Banco de Dados'!$F896="-",_xlfn.CONCAT(PROPER(TEXT(AK896,"aaaa"))," ",PROPER(TEXT(AK896,"mm"))),_xlfn.CONCAT(PROPER(TEXT(E896,"aaaa"))," ",PROPER(TEXT(E896,"mm"))))</f>
        <v>2025 01</v>
      </c>
      <c r="AI896" s="9" t="str">
        <f ca="1">IF('Banco de Dados'!$AK896&lt;&gt;"-","REEMBOLSO",IFERROR(_xlfn.XLOOKUP(G896,Follow[CODRASTREIO],Follow[STATUS]),"-"))</f>
        <v>ENTREGUE</v>
      </c>
      <c r="AJ896" s="9">
        <f ca="1">IF('Banco de Dados'!$AI896="ENTREGUE",_xlfn.XLOOKUP('Banco de Dados'!$G896,Follow[CODRASTREIO],Follow[DATAATUALIZAÇÃO]),"-")</f>
        <v>45695</v>
      </c>
      <c r="AK896" s="132" t="str">
        <f ca="1"/>
        <v>-</v>
      </c>
      <c r="AL896" s="35"/>
      <c r="AM896" s="109" cm="1">
        <f t="array" aca="1" ref="AM896" ca="1">IF('Banco de Dados'!$AK896&lt;&gt;"-",_xlfn.IFS('Banco de Dados'!$A896="bv",IF('Banco de Dados'!$E896&lt;45641,ROUND(SUM('Banco de Dados'!$R896*_xlfn.XLOOKUP('Banco de Dados'!$P896,Sku!B:B,Sku!#REF!)*20%),2),ROUND(SUM('Banco de Dados'!$R896*_xlfn.XLOOKUP('Banco de Dados'!$P896,Sku!B:B,Sku!H:H)*20%),2)),'Banco de Dados'!$A896="GO",ROUND(SUM('Banco de Dados'!$R896*_xlfn.XLOOKUP('Banco de Dados'!$P896,Sku!C:C,Sku!H:H)*20%),2),'Banco de Dados'!$A896="MEI",ROUND(SUM('Banco de Dados'!$R896*_xlfn.XLOOKUP('Banco de Dados'!$P896,Sku!D:D,Sku!H:H)*20%),2)),0)</f>
        <v>0</v>
      </c>
      <c r="AN896" s="109">
        <f ca="1">IF('Banco de Dados'!$AK896&lt;&gt;"-",IF('Banco de Dados'!$F896&lt;&gt;"-",_xlfn.XLOOKUP(IFERROR(IFERROR(IFERROR(VALUE(SUBSTITUTE(MID(_xlfn.TEXTAFTER('Banco de Dados'!$F896,"Data do Pedido:
",1),1,10),"-","/")),VALUE(SUBSTITUTE(MID(_xlfn.TEXTAFTER('Banco de Dados'!$F896,"Order date:
",1),1,10),"-","/"))),VALUE(SUBSTITUTE(MID(_xlfn.TEXTAFTER('Banco de Dados'!$F896,"Fecha de pedido:
",1),1,10),"-","/"))),"-"),SMS!A:A,SMS!K:K),0),0)</f>
        <v>0</v>
      </c>
      <c r="AO896" s="109">
        <f ca="1">IF('Banco de Dados'!$AK896&lt;&gt;"-",IF('Banco de Dados'!$F896&lt;&gt;"-",IFERROR(_xlfn.XLOOKUP(_xlfn.CONCAT('Banco de Dados'!$A896,IFERROR(IFERROR(VALUE(SUBSTITUTE(MID(_xlfn.TEXTAFTER('Banco de Dados'!$F896,"Data do Pedido:
",1),1,10),"-","/")),VALUE(SUBSTITUTE(MID(_xlfn.TEXTAFTER('Banco de Dados'!$F896,"Order date:
",1),1,10),"-","/"))),0)),ProxyDD[Chave],ProxyDD[Valor por pedido]),PROXY!$P$2),0),0)</f>
        <v>0</v>
      </c>
      <c r="AP896" s="28">
        <f ca="1">IF('Banco de Dados'!$AK896&lt;&gt;"-",IF('Banco de Dados'!$AL896="NÃO",IFERROR(VALUE(SUBSTITUTE(_xlfn.TEXTAFTER('Banco de Dados'!$F896,"BRL ",1),".",",")),0),0),0)</f>
        <v>0</v>
      </c>
      <c r="AQ896" s="28">
        <f ca="1">SUM('Banco de Dados'!$AM896:$AP896)</f>
        <v>0</v>
      </c>
      <c r="AR896" s="8"/>
      <c r="AY896" s="8"/>
    </row>
    <row r="897" spans="1:51">
      <c r="A897" s="5" t="str">
        <v>GO</v>
      </c>
      <c r="B897" s="5" t="str">
        <f ca="1"/>
        <v>GO45684</v>
      </c>
      <c r="C897" s="8" t="str">
        <v>Pedido 884</v>
      </c>
      <c r="D897" s="187">
        <v>45683</v>
      </c>
      <c r="E897" s="9">
        <v>45684</v>
      </c>
      <c r="F897" s="8" t="str">
        <v>PedidoF863</v>
      </c>
      <c r="G897" s="2" t="str">
        <v>CódRastreio861</v>
      </c>
      <c r="H897" s="5">
        <v>1</v>
      </c>
      <c r="I897" s="2" t="str">
        <v>CPF 860</v>
      </c>
      <c r="J897" s="2" t="str">
        <v>Nome 860</v>
      </c>
      <c r="K897" s="8" t="str">
        <v>Tel 860</v>
      </c>
      <c r="L897" s="8" t="str">
        <v>Cep 860</v>
      </c>
      <c r="M897" s="8" t="str">
        <v>Rua 860</v>
      </c>
      <c r="N897" s="8" t="str">
        <v>Comp 860</v>
      </c>
      <c r="O897" s="8" t="str">
        <v>Ventilador Preto</v>
      </c>
      <c r="P897" s="8" t="str">
        <v>EP-9PIR-BWXH</v>
      </c>
      <c r="Q897" s="4">
        <v>45702</v>
      </c>
      <c r="R897" s="109">
        <v>63.6</v>
      </c>
      <c r="S897" s="11">
        <f ca="1"/>
        <v>63.6</v>
      </c>
      <c r="T897" s="28">
        <f ca="1"/>
        <v>8.2680000000000007</v>
      </c>
      <c r="U897" s="11">
        <f ca="1"/>
        <v>55.33</v>
      </c>
      <c r="V897" s="11">
        <v>17.329999999999998</v>
      </c>
      <c r="W897" s="11">
        <f ca="1"/>
        <v>0.2</v>
      </c>
      <c r="X897" s="11">
        <f ca="1"/>
        <v>0.39877104377104378</v>
      </c>
      <c r="Y897" s="11">
        <v>0</v>
      </c>
      <c r="Z897" s="11">
        <f ca="1"/>
        <v>37.401228956228955</v>
      </c>
      <c r="AA897" s="11">
        <f ca="1"/>
        <v>37.401228956228955</v>
      </c>
      <c r="AB897" s="4">
        <f ca="1"/>
        <v>45709</v>
      </c>
      <c r="AC897" s="4">
        <v>45709</v>
      </c>
      <c r="AD897" s="9">
        <v>45721</v>
      </c>
      <c r="AE897" s="9">
        <v>45733</v>
      </c>
      <c r="AF897" s="4" t="str">
        <f t="shared" ca="1" si="42"/>
        <v>2025 02</v>
      </c>
      <c r="AG897" s="8" t="str" cm="1">
        <f t="array" ref="AG897">IFERROR(_xlfn.IFS('Banco de Dados'!#REF!="AG. COMPRA","Em processamento",'Banco de Dados'!#REF!="AG. RASTREIO","Em processamento",'Banco de Dados'!$AE897&lt;&gt;"-","Faturado",'Banco de Dados'!$AD897&lt;&gt;"-","Aguardando Pix",'Banco de Dados'!$AC897&lt;&gt;"-","Pendente"),"Aguardando Liberação")</f>
        <v>Aguardando Liberação</v>
      </c>
      <c r="AH897" s="5" t="str">
        <f>IF('Banco de Dados'!$F897="-",_xlfn.CONCAT(PROPER(TEXT(AK897,"aaaa"))," ",PROPER(TEXT(AK897,"mm"))),_xlfn.CONCAT(PROPER(TEXT(E897,"aaaa"))," ",PROPER(TEXT(E897,"mm"))))</f>
        <v>2025 01</v>
      </c>
      <c r="AI897" s="9" t="str">
        <f ca="1">IF('Banco de Dados'!$AK897&lt;&gt;"-","REEMBOLSO",IFERROR(_xlfn.XLOOKUP(G897,Follow[CODRASTREIO],Follow[STATUS]),"-"))</f>
        <v>ENTREGUE</v>
      </c>
      <c r="AJ897" s="9">
        <f ca="1">IF('Banco de Dados'!$AI897="ENTREGUE",_xlfn.XLOOKUP('Banco de Dados'!$G897,Follow[CODRASTREIO],Follow[DATAATUALIZAÇÃO]),"-")</f>
        <v>45694</v>
      </c>
      <c r="AK897" s="132" t="str">
        <f ca="1"/>
        <v>-</v>
      </c>
      <c r="AL897" s="35"/>
      <c r="AM897" s="109" cm="1">
        <f t="array" aca="1" ref="AM897" ca="1">IF('Banco de Dados'!$AK897&lt;&gt;"-",_xlfn.IFS('Banco de Dados'!$A897="bv",IF('Banco de Dados'!$E897&lt;45641,ROUND(SUM('Banco de Dados'!$R897*_xlfn.XLOOKUP('Banco de Dados'!$P897,Sku!B:B,Sku!#REF!)*20%),2),ROUND(SUM('Banco de Dados'!$R897*_xlfn.XLOOKUP('Banco de Dados'!$P897,Sku!B:B,Sku!H:H)*20%),2)),'Banco de Dados'!$A897="GO",ROUND(SUM('Banco de Dados'!$R897*_xlfn.XLOOKUP('Banco de Dados'!$P897,Sku!C:C,Sku!H:H)*20%),2),'Banco de Dados'!$A897="MEI",ROUND(SUM('Banco de Dados'!$R897*_xlfn.XLOOKUP('Banco de Dados'!$P897,Sku!D:D,Sku!H:H)*20%),2)),0)</f>
        <v>0</v>
      </c>
      <c r="AN897" s="109">
        <f ca="1">IF('Banco de Dados'!$AK897&lt;&gt;"-",IF('Banco de Dados'!$F897&lt;&gt;"-",_xlfn.XLOOKUP(IFERROR(IFERROR(IFERROR(VALUE(SUBSTITUTE(MID(_xlfn.TEXTAFTER('Banco de Dados'!$F897,"Data do Pedido:
",1),1,10),"-","/")),VALUE(SUBSTITUTE(MID(_xlfn.TEXTAFTER('Banco de Dados'!$F897,"Order date:
",1),1,10),"-","/"))),VALUE(SUBSTITUTE(MID(_xlfn.TEXTAFTER('Banco de Dados'!$F897,"Fecha de pedido:
",1),1,10),"-","/"))),"-"),SMS!A:A,SMS!K:K),0),0)</f>
        <v>0</v>
      </c>
      <c r="AO897" s="109">
        <f ca="1">IF('Banco de Dados'!$AK897&lt;&gt;"-",IF('Banco de Dados'!$F897&lt;&gt;"-",IFERROR(_xlfn.XLOOKUP(_xlfn.CONCAT('Banco de Dados'!$A897,IFERROR(IFERROR(VALUE(SUBSTITUTE(MID(_xlfn.TEXTAFTER('Banco de Dados'!$F897,"Data do Pedido:
",1),1,10),"-","/")),VALUE(SUBSTITUTE(MID(_xlfn.TEXTAFTER('Banco de Dados'!$F897,"Order date:
",1),1,10),"-","/"))),0)),ProxyDD[Chave],ProxyDD[Valor por pedido]),PROXY!$P$2),0),0)</f>
        <v>0</v>
      </c>
      <c r="AP897" s="28">
        <f ca="1">IF('Banco de Dados'!$AK897&lt;&gt;"-",IF('Banco de Dados'!$AL897="NÃO",IFERROR(VALUE(SUBSTITUTE(_xlfn.TEXTAFTER('Banco de Dados'!$F897,"BRL ",1),".",",")),0),0),0)</f>
        <v>0</v>
      </c>
      <c r="AQ897" s="28">
        <f ca="1">SUM('Banco de Dados'!$AM897:$AP897)</f>
        <v>0</v>
      </c>
      <c r="AR897" s="8"/>
      <c r="AY897" s="8"/>
    </row>
    <row r="898" spans="1:51">
      <c r="A898" s="5" t="str">
        <v>GO</v>
      </c>
      <c r="B898" s="5" t="str">
        <f ca="1"/>
        <v>GO45684</v>
      </c>
      <c r="C898" s="8" t="str">
        <v>Pedido 885</v>
      </c>
      <c r="D898" s="187">
        <v>45683</v>
      </c>
      <c r="E898" s="9">
        <v>45684</v>
      </c>
      <c r="F898" s="8" t="str">
        <v>PedidoF864</v>
      </c>
      <c r="G898" s="2" t="str">
        <v>CódRastreio862</v>
      </c>
      <c r="H898" s="5">
        <v>1</v>
      </c>
      <c r="I898" s="2" t="str">
        <v>CPF 861</v>
      </c>
      <c r="J898" s="2" t="str">
        <v>Nome 861</v>
      </c>
      <c r="K898" s="8" t="str">
        <v>Tel 861</v>
      </c>
      <c r="L898" s="8" t="str">
        <v>Cep 861</v>
      </c>
      <c r="M898" s="8" t="str">
        <v>Rua 861</v>
      </c>
      <c r="N898" s="8" t="str">
        <v>Comp 861</v>
      </c>
      <c r="O898" s="8" t="str">
        <v>Ventilador Preto</v>
      </c>
      <c r="P898" s="8" t="str">
        <v>EP-9PIR-BWXH</v>
      </c>
      <c r="Q898" s="4">
        <v>45708</v>
      </c>
      <c r="R898" s="109">
        <v>63.6</v>
      </c>
      <c r="S898" s="11">
        <f ca="1"/>
        <v>63.6</v>
      </c>
      <c r="T898" s="28">
        <f ca="1"/>
        <v>8.2680000000000007</v>
      </c>
      <c r="U898" s="11">
        <f ca="1"/>
        <v>55.33</v>
      </c>
      <c r="V898" s="11">
        <v>17.329999999999998</v>
      </c>
      <c r="W898" s="11">
        <f ca="1"/>
        <v>0.2</v>
      </c>
      <c r="X898" s="11">
        <f ca="1"/>
        <v>0.39877104377104378</v>
      </c>
      <c r="Y898" s="11">
        <v>0</v>
      </c>
      <c r="Z898" s="11">
        <f ca="1"/>
        <v>37.401228956228955</v>
      </c>
      <c r="AA898" s="11">
        <f ca="1"/>
        <v>37.401228956228955</v>
      </c>
      <c r="AB898" s="4">
        <f ca="1"/>
        <v>45715</v>
      </c>
      <c r="AC898" s="4">
        <v>45715</v>
      </c>
      <c r="AD898" s="9">
        <v>45721</v>
      </c>
      <c r="AE898" s="9">
        <v>45733</v>
      </c>
      <c r="AF898" s="4" t="str">
        <f t="shared" ca="1" si="42"/>
        <v>2025 02</v>
      </c>
      <c r="AG898" s="8" t="str" cm="1">
        <f t="array" ref="AG898">IFERROR(_xlfn.IFS('Banco de Dados'!#REF!="AG. COMPRA","Em processamento",'Banco de Dados'!#REF!="AG. RASTREIO","Em processamento",'Banco de Dados'!$AE898&lt;&gt;"-","Faturado",'Banco de Dados'!$AD898&lt;&gt;"-","Aguardando Pix",'Banco de Dados'!$AC898&lt;&gt;"-","Pendente"),"Aguardando Liberação")</f>
        <v>Aguardando Liberação</v>
      </c>
      <c r="AH898" s="5" t="str">
        <f>IF('Banco de Dados'!$F898="-",_xlfn.CONCAT(PROPER(TEXT(AK898,"aaaa"))," ",PROPER(TEXT(AK898,"mm"))),_xlfn.CONCAT(PROPER(TEXT(E898,"aaaa"))," ",PROPER(TEXT(E898,"mm"))))</f>
        <v>2025 01</v>
      </c>
      <c r="AI898" s="9" t="str">
        <f ca="1">IF('Banco de Dados'!$AK898&lt;&gt;"-","REEMBOLSO",IFERROR(_xlfn.XLOOKUP(G898,Follow[CODRASTREIO],Follow[STATUS]),"-"))</f>
        <v>ENTREGUE</v>
      </c>
      <c r="AJ898" s="9">
        <f ca="1">IF('Banco de Dados'!$AI898="ENTREGUE",_xlfn.XLOOKUP('Banco de Dados'!$G898,Follow[CODRASTREIO],Follow[DATAATUALIZAÇÃO]),"-")</f>
        <v>45696</v>
      </c>
      <c r="AK898" s="132" t="str">
        <f ca="1"/>
        <v>-</v>
      </c>
      <c r="AL898" s="35"/>
      <c r="AM898" s="109" cm="1">
        <f t="array" aca="1" ref="AM898" ca="1">IF('Banco de Dados'!$AK898&lt;&gt;"-",_xlfn.IFS('Banco de Dados'!$A898="bv",IF('Banco de Dados'!$E898&lt;45641,ROUND(SUM('Banco de Dados'!$R898*_xlfn.XLOOKUP('Banco de Dados'!$P898,Sku!B:B,Sku!#REF!)*20%),2),ROUND(SUM('Banco de Dados'!$R898*_xlfn.XLOOKUP('Banco de Dados'!$P898,Sku!B:B,Sku!H:H)*20%),2)),'Banco de Dados'!$A898="GO",ROUND(SUM('Banco de Dados'!$R898*_xlfn.XLOOKUP('Banco de Dados'!$P898,Sku!C:C,Sku!H:H)*20%),2),'Banco de Dados'!$A898="MEI",ROUND(SUM('Banco de Dados'!$R898*_xlfn.XLOOKUP('Banco de Dados'!$P898,Sku!D:D,Sku!H:H)*20%),2)),0)</f>
        <v>0</v>
      </c>
      <c r="AN898" s="109">
        <f ca="1">IF('Banco de Dados'!$AK898&lt;&gt;"-",IF('Banco de Dados'!$F898&lt;&gt;"-",_xlfn.XLOOKUP(IFERROR(IFERROR(IFERROR(VALUE(SUBSTITUTE(MID(_xlfn.TEXTAFTER('Banco de Dados'!$F898,"Data do Pedido:
",1),1,10),"-","/")),VALUE(SUBSTITUTE(MID(_xlfn.TEXTAFTER('Banco de Dados'!$F898,"Order date:
",1),1,10),"-","/"))),VALUE(SUBSTITUTE(MID(_xlfn.TEXTAFTER('Banco de Dados'!$F898,"Fecha de pedido:
",1),1,10),"-","/"))),"-"),SMS!A:A,SMS!K:K),0),0)</f>
        <v>0</v>
      </c>
      <c r="AO898" s="109">
        <f ca="1">IF('Banco de Dados'!$AK898&lt;&gt;"-",IF('Banco de Dados'!$F898&lt;&gt;"-",IFERROR(_xlfn.XLOOKUP(_xlfn.CONCAT('Banco de Dados'!$A898,IFERROR(IFERROR(VALUE(SUBSTITUTE(MID(_xlfn.TEXTAFTER('Banco de Dados'!$F898,"Data do Pedido:
",1),1,10),"-","/")),VALUE(SUBSTITUTE(MID(_xlfn.TEXTAFTER('Banco de Dados'!$F898,"Order date:
",1),1,10),"-","/"))),0)),ProxyDD[Chave],ProxyDD[Valor por pedido]),PROXY!$P$2),0),0)</f>
        <v>0</v>
      </c>
      <c r="AP898" s="28">
        <f ca="1">IF('Banco de Dados'!$AK898&lt;&gt;"-",IF('Banco de Dados'!$AL898="NÃO",IFERROR(VALUE(SUBSTITUTE(_xlfn.TEXTAFTER('Banco de Dados'!$F898,"BRL ",1),".",",")),0),0),0)</f>
        <v>0</v>
      </c>
      <c r="AQ898" s="28">
        <f ca="1">SUM('Banco de Dados'!$AM898:$AP898)</f>
        <v>0</v>
      </c>
      <c r="AR898" s="8"/>
      <c r="AY898" s="8"/>
    </row>
    <row r="899" spans="1:51">
      <c r="A899" s="5" t="str">
        <v>GO</v>
      </c>
      <c r="B899" s="5" t="str">
        <f ca="1"/>
        <v>GO45684</v>
      </c>
      <c r="C899" s="8" t="str">
        <v>Pedido 886</v>
      </c>
      <c r="D899" s="187">
        <v>45683</v>
      </c>
      <c r="E899" s="9">
        <v>45684</v>
      </c>
      <c r="F899" s="8" t="str">
        <v>PedidoF865</v>
      </c>
      <c r="G899" s="2" t="str">
        <v>CódRastreio863</v>
      </c>
      <c r="H899" s="5">
        <v>1</v>
      </c>
      <c r="I899" s="2" t="str">
        <v>CPF 862</v>
      </c>
      <c r="J899" s="2" t="str">
        <v>Nome 862</v>
      </c>
      <c r="K899" s="8" t="str">
        <v>Tel 862</v>
      </c>
      <c r="L899" s="8" t="str">
        <v>Cep 862</v>
      </c>
      <c r="M899" s="8" t="str">
        <v>Rua 862</v>
      </c>
      <c r="N899" s="8" t="str">
        <v>Comp 862</v>
      </c>
      <c r="O899" s="8" t="str">
        <v>Ventilador Preto</v>
      </c>
      <c r="P899" s="8" t="str">
        <v>EP-9PIR-BWXH</v>
      </c>
      <c r="Q899" s="4">
        <v>45708</v>
      </c>
      <c r="R899" s="109">
        <v>63.6</v>
      </c>
      <c r="S899" s="11">
        <f ca="1"/>
        <v>63.6</v>
      </c>
      <c r="T899" s="28">
        <f ca="1"/>
        <v>8.2680000000000007</v>
      </c>
      <c r="U899" s="11">
        <f ca="1"/>
        <v>55.33</v>
      </c>
      <c r="V899" s="11">
        <v>10.61</v>
      </c>
      <c r="W899" s="11">
        <f ca="1"/>
        <v>0.2</v>
      </c>
      <c r="X899" s="11">
        <f ca="1"/>
        <v>0.39877104377104378</v>
      </c>
      <c r="Y899" s="11">
        <v>0</v>
      </c>
      <c r="Z899" s="11">
        <f ca="1"/>
        <v>44.121228956228954</v>
      </c>
      <c r="AA899" s="11">
        <f ca="1"/>
        <v>44.121228956228954</v>
      </c>
      <c r="AB899" s="4">
        <f ca="1"/>
        <v>45715</v>
      </c>
      <c r="AC899" s="4">
        <v>45715</v>
      </c>
      <c r="AD899" s="9">
        <v>45721</v>
      </c>
      <c r="AE899" s="9">
        <v>45733</v>
      </c>
      <c r="AF899" s="4" t="str">
        <f t="shared" ca="1" si="42"/>
        <v>2025 02</v>
      </c>
      <c r="AG899" s="8" t="str" cm="1">
        <f t="array" ref="AG899">IFERROR(_xlfn.IFS('Banco de Dados'!#REF!="AG. COMPRA","Em processamento",'Banco de Dados'!#REF!="AG. RASTREIO","Em processamento",'Banco de Dados'!$AE899&lt;&gt;"-","Faturado",'Banco de Dados'!$AD899&lt;&gt;"-","Aguardando Pix",'Banco de Dados'!$AC899&lt;&gt;"-","Pendente"),"Aguardando Liberação")</f>
        <v>Aguardando Liberação</v>
      </c>
      <c r="AH899" s="5" t="str">
        <f>IF('Banco de Dados'!$F899="-",_xlfn.CONCAT(PROPER(TEXT(AK899,"aaaa"))," ",PROPER(TEXT(AK899,"mm"))),_xlfn.CONCAT(PROPER(TEXT(E899,"aaaa"))," ",PROPER(TEXT(E899,"mm"))))</f>
        <v>2025 01</v>
      </c>
      <c r="AI899" s="9" t="str">
        <f ca="1">IF('Banco de Dados'!$AK899&lt;&gt;"-","REEMBOLSO",IFERROR(_xlfn.XLOOKUP(G899,Follow[CODRASTREIO],Follow[STATUS]),"-"))</f>
        <v>ENTREGUE</v>
      </c>
      <c r="AJ899" s="9">
        <f ca="1">IF('Banco de Dados'!$AI899="ENTREGUE",_xlfn.XLOOKUP('Banco de Dados'!$G899,Follow[CODRASTREIO],Follow[DATAATUALIZAÇÃO]),"-")</f>
        <v>45695</v>
      </c>
      <c r="AK899" s="132" t="str">
        <f ca="1"/>
        <v>-</v>
      </c>
      <c r="AL899" s="35"/>
      <c r="AM899" s="109" cm="1">
        <f t="array" aca="1" ref="AM899" ca="1">IF('Banco de Dados'!$AK899&lt;&gt;"-",_xlfn.IFS('Banco de Dados'!$A899="bv",IF('Banco de Dados'!$E899&lt;45641,ROUND(SUM('Banco de Dados'!$R899*_xlfn.XLOOKUP('Banco de Dados'!$P899,Sku!B:B,Sku!#REF!)*20%),2),ROUND(SUM('Banco de Dados'!$R899*_xlfn.XLOOKUP('Banco de Dados'!$P899,Sku!B:B,Sku!H:H)*20%),2)),'Banco de Dados'!$A899="GO",ROUND(SUM('Banco de Dados'!$R899*_xlfn.XLOOKUP('Banco de Dados'!$P899,Sku!C:C,Sku!H:H)*20%),2),'Banco de Dados'!$A899="MEI",ROUND(SUM('Banco de Dados'!$R899*_xlfn.XLOOKUP('Banco de Dados'!$P899,Sku!D:D,Sku!H:H)*20%),2)),0)</f>
        <v>0</v>
      </c>
      <c r="AN899" s="109">
        <f ca="1">IF('Banco de Dados'!$AK899&lt;&gt;"-",IF('Banco de Dados'!$F899&lt;&gt;"-",_xlfn.XLOOKUP(IFERROR(IFERROR(IFERROR(VALUE(SUBSTITUTE(MID(_xlfn.TEXTAFTER('Banco de Dados'!$F899,"Data do Pedido:
",1),1,10),"-","/")),VALUE(SUBSTITUTE(MID(_xlfn.TEXTAFTER('Banco de Dados'!$F899,"Order date:
",1),1,10),"-","/"))),VALUE(SUBSTITUTE(MID(_xlfn.TEXTAFTER('Banco de Dados'!$F899,"Fecha de pedido:
",1),1,10),"-","/"))),"-"),SMS!A:A,SMS!K:K),0),0)</f>
        <v>0</v>
      </c>
      <c r="AO899" s="109">
        <f ca="1">IF('Banco de Dados'!$AK899&lt;&gt;"-",IF('Banco de Dados'!$F899&lt;&gt;"-",IFERROR(_xlfn.XLOOKUP(_xlfn.CONCAT('Banco de Dados'!$A899,IFERROR(IFERROR(VALUE(SUBSTITUTE(MID(_xlfn.TEXTAFTER('Banco de Dados'!$F899,"Data do Pedido:
",1),1,10),"-","/")),VALUE(SUBSTITUTE(MID(_xlfn.TEXTAFTER('Banco de Dados'!$F899,"Order date:
",1),1,10),"-","/"))),0)),ProxyDD[Chave],ProxyDD[Valor por pedido]),PROXY!$P$2),0),0)</f>
        <v>0</v>
      </c>
      <c r="AP899" s="28">
        <f ca="1">IF('Banco de Dados'!$AK899&lt;&gt;"-",IF('Banco de Dados'!$AL899="NÃO",IFERROR(VALUE(SUBSTITUTE(_xlfn.TEXTAFTER('Banco de Dados'!$F899,"BRL ",1),".",",")),0),0),0)</f>
        <v>0</v>
      </c>
      <c r="AQ899" s="28">
        <f ca="1">SUM('Banco de Dados'!$AM899:$AP899)</f>
        <v>0</v>
      </c>
      <c r="AR899" s="8"/>
      <c r="AY899" s="8"/>
    </row>
    <row r="900" spans="1:51">
      <c r="A900" s="5" t="str">
        <v>GO</v>
      </c>
      <c r="B900" s="5" t="str">
        <f ca="1"/>
        <v>GO45684</v>
      </c>
      <c r="C900" s="8" t="str">
        <v>Pedido 887</v>
      </c>
      <c r="D900" s="187">
        <v>45683</v>
      </c>
      <c r="E900" s="9">
        <v>45684</v>
      </c>
      <c r="F900" s="8" t="str">
        <v>PedidoF866</v>
      </c>
      <c r="G900" s="2" t="str">
        <v>CódRastreio864</v>
      </c>
      <c r="H900" s="5">
        <v>1</v>
      </c>
      <c r="I900" s="2" t="str">
        <v>CPF 863</v>
      </c>
      <c r="J900" s="2" t="str">
        <v>Nome 863</v>
      </c>
      <c r="K900" s="8" t="str">
        <v>Tel 863</v>
      </c>
      <c r="L900" s="8" t="str">
        <v>Cep 863</v>
      </c>
      <c r="M900" s="8" t="str">
        <v>Rua 863</v>
      </c>
      <c r="N900" s="8" t="str">
        <v>Comp 863</v>
      </c>
      <c r="O900" s="8" t="str">
        <v>Ventilador Preto</v>
      </c>
      <c r="P900" s="8" t="str">
        <v>EP-9PIR-BWXH</v>
      </c>
      <c r="Q900" s="4">
        <v>45702</v>
      </c>
      <c r="R900" s="109">
        <v>63.6</v>
      </c>
      <c r="S900" s="11">
        <f ca="1"/>
        <v>63.6</v>
      </c>
      <c r="T900" s="28">
        <f ca="1"/>
        <v>8.2680000000000007</v>
      </c>
      <c r="U900" s="11">
        <f ca="1"/>
        <v>55.33</v>
      </c>
      <c r="V900" s="11">
        <v>10.61</v>
      </c>
      <c r="W900" s="11">
        <f ca="1"/>
        <v>0.2</v>
      </c>
      <c r="X900" s="11">
        <f ca="1"/>
        <v>0.39877104377104378</v>
      </c>
      <c r="Y900" s="11">
        <v>0</v>
      </c>
      <c r="Z900" s="11">
        <f ca="1"/>
        <v>44.121228956228954</v>
      </c>
      <c r="AA900" s="11">
        <f ca="1"/>
        <v>44.121228956228954</v>
      </c>
      <c r="AB900" s="4">
        <f ca="1"/>
        <v>45709</v>
      </c>
      <c r="AC900" s="4">
        <v>45709</v>
      </c>
      <c r="AD900" s="9">
        <v>45721</v>
      </c>
      <c r="AE900" s="9">
        <v>45733</v>
      </c>
      <c r="AF900" s="4" t="str">
        <f t="shared" ca="1" si="42"/>
        <v>2025 02</v>
      </c>
      <c r="AG900" s="8" t="str" cm="1">
        <f t="array" ref="AG900">IFERROR(_xlfn.IFS('Banco de Dados'!#REF!="AG. COMPRA","Em processamento",'Banco de Dados'!#REF!="AG. RASTREIO","Em processamento",'Banco de Dados'!$AE900&lt;&gt;"-","Faturado",'Banco de Dados'!$AD900&lt;&gt;"-","Aguardando Pix",'Banco de Dados'!$AC900&lt;&gt;"-","Pendente"),"Aguardando Liberação")</f>
        <v>Aguardando Liberação</v>
      </c>
      <c r="AH900" s="5" t="str">
        <f>IF('Banco de Dados'!$F900="-",_xlfn.CONCAT(PROPER(TEXT(AK900,"aaaa"))," ",PROPER(TEXT(AK900,"mm"))),_xlfn.CONCAT(PROPER(TEXT(E900,"aaaa"))," ",PROPER(TEXT(E900,"mm"))))</f>
        <v>2025 01</v>
      </c>
      <c r="AI900" s="9" t="str">
        <f ca="1">IF('Banco de Dados'!$AK900&lt;&gt;"-","REEMBOLSO",IFERROR(_xlfn.XLOOKUP(G900,Follow[CODRASTREIO],Follow[STATUS]),"-"))</f>
        <v>ENTREGUE</v>
      </c>
      <c r="AJ900" s="9">
        <f ca="1">IF('Banco de Dados'!$AI900="ENTREGUE",_xlfn.XLOOKUP('Banco de Dados'!$G900,Follow[CODRASTREIO],Follow[DATAATUALIZAÇÃO]),"-")</f>
        <v>45695</v>
      </c>
      <c r="AK900" s="132" t="str">
        <f ca="1"/>
        <v>-</v>
      </c>
      <c r="AL900" s="35"/>
      <c r="AM900" s="109" cm="1">
        <f t="array" aca="1" ref="AM900" ca="1">IF('Banco de Dados'!$AK900&lt;&gt;"-",_xlfn.IFS('Banco de Dados'!$A900="bv",IF('Banco de Dados'!$E900&lt;45641,ROUND(SUM('Banco de Dados'!$R900*_xlfn.XLOOKUP('Banco de Dados'!$P900,Sku!B:B,Sku!#REF!)*20%),2),ROUND(SUM('Banco de Dados'!$R900*_xlfn.XLOOKUP('Banco de Dados'!$P900,Sku!B:B,Sku!H:H)*20%),2)),'Banco de Dados'!$A900="GO",ROUND(SUM('Banco de Dados'!$R900*_xlfn.XLOOKUP('Banco de Dados'!$P900,Sku!C:C,Sku!H:H)*20%),2),'Banco de Dados'!$A900="MEI",ROUND(SUM('Banco de Dados'!$R900*_xlfn.XLOOKUP('Banco de Dados'!$P900,Sku!D:D,Sku!H:H)*20%),2)),0)</f>
        <v>0</v>
      </c>
      <c r="AN900" s="109">
        <f ca="1">IF('Banco de Dados'!$AK900&lt;&gt;"-",IF('Banco de Dados'!$F900&lt;&gt;"-",_xlfn.XLOOKUP(IFERROR(IFERROR(IFERROR(VALUE(SUBSTITUTE(MID(_xlfn.TEXTAFTER('Banco de Dados'!$F900,"Data do Pedido:
",1),1,10),"-","/")),VALUE(SUBSTITUTE(MID(_xlfn.TEXTAFTER('Banco de Dados'!$F900,"Order date:
",1),1,10),"-","/"))),VALUE(SUBSTITUTE(MID(_xlfn.TEXTAFTER('Banco de Dados'!$F900,"Fecha de pedido:
",1),1,10),"-","/"))),"-"),SMS!A:A,SMS!K:K),0),0)</f>
        <v>0</v>
      </c>
      <c r="AO900" s="109">
        <f ca="1">IF('Banco de Dados'!$AK900&lt;&gt;"-",IF('Banco de Dados'!$F900&lt;&gt;"-",IFERROR(_xlfn.XLOOKUP(_xlfn.CONCAT('Banco de Dados'!$A900,IFERROR(IFERROR(VALUE(SUBSTITUTE(MID(_xlfn.TEXTAFTER('Banco de Dados'!$F900,"Data do Pedido:
",1),1,10),"-","/")),VALUE(SUBSTITUTE(MID(_xlfn.TEXTAFTER('Banco de Dados'!$F900,"Order date:
",1),1,10),"-","/"))),0)),ProxyDD[Chave],ProxyDD[Valor por pedido]),PROXY!$P$2),0),0)</f>
        <v>0</v>
      </c>
      <c r="AP900" s="28">
        <f ca="1">IF('Banco de Dados'!$AK900&lt;&gt;"-",IF('Banco de Dados'!$AL900="NÃO",IFERROR(VALUE(SUBSTITUTE(_xlfn.TEXTAFTER('Banco de Dados'!$F900,"BRL ",1),".",",")),0),0),0)</f>
        <v>0</v>
      </c>
      <c r="AQ900" s="28">
        <f ca="1">SUM('Banco de Dados'!$AM900:$AP900)</f>
        <v>0</v>
      </c>
      <c r="AR900" s="8"/>
      <c r="AY900" s="8"/>
    </row>
    <row r="901" spans="1:51">
      <c r="A901" s="5" t="str">
        <v>GO</v>
      </c>
      <c r="B901" s="5" t="str">
        <f ca="1"/>
        <v>GO45684</v>
      </c>
      <c r="C901" s="8" t="str">
        <v>Pedido 888</v>
      </c>
      <c r="D901" s="187">
        <v>45683</v>
      </c>
      <c r="E901" s="9">
        <v>45684</v>
      </c>
      <c r="F901" s="8" t="str">
        <v>PedidoF867</v>
      </c>
      <c r="G901" s="2" t="str">
        <v>CódRastreio865</v>
      </c>
      <c r="H901" s="5">
        <v>1</v>
      </c>
      <c r="I901" s="2" t="str">
        <v>CPF 864</v>
      </c>
      <c r="J901" s="2" t="str">
        <v>Nome 864</v>
      </c>
      <c r="K901" s="8" t="str">
        <v>Tel 864</v>
      </c>
      <c r="L901" s="8" t="str">
        <v>Cep 864</v>
      </c>
      <c r="M901" s="8" t="str">
        <v>Rua 864</v>
      </c>
      <c r="N901" s="8" t="str">
        <v>Comp 864</v>
      </c>
      <c r="O901" s="8" t="str">
        <v>Ventilador Preto</v>
      </c>
      <c r="P901" s="8" t="str">
        <v>EP-9PIR-BWXH</v>
      </c>
      <c r="Q901" s="4">
        <v>45702</v>
      </c>
      <c r="R901" s="109">
        <v>63.6</v>
      </c>
      <c r="S901" s="11">
        <f ca="1"/>
        <v>63.6</v>
      </c>
      <c r="T901" s="28">
        <f ca="1"/>
        <v>8.2680000000000007</v>
      </c>
      <c r="U901" s="11">
        <f ca="1"/>
        <v>55.33</v>
      </c>
      <c r="V901" s="11">
        <v>10.61</v>
      </c>
      <c r="W901" s="11">
        <f ca="1"/>
        <v>0.2</v>
      </c>
      <c r="X901" s="11">
        <f ca="1"/>
        <v>0.39877104377104378</v>
      </c>
      <c r="Y901" s="11">
        <v>0</v>
      </c>
      <c r="Z901" s="11">
        <f ca="1"/>
        <v>44.121228956228954</v>
      </c>
      <c r="AA901" s="11">
        <f ca="1"/>
        <v>44.121228956228954</v>
      </c>
      <c r="AB901" s="4">
        <f ca="1"/>
        <v>45709</v>
      </c>
      <c r="AC901" s="4">
        <v>45709</v>
      </c>
      <c r="AD901" s="9">
        <v>45721</v>
      </c>
      <c r="AE901" s="9">
        <v>45733</v>
      </c>
      <c r="AF901" s="4" t="str">
        <f t="shared" ca="1" si="42"/>
        <v>2025 02</v>
      </c>
      <c r="AG901" s="8" t="str" cm="1">
        <f t="array" ref="AG901">IFERROR(_xlfn.IFS('Banco de Dados'!#REF!="AG. COMPRA","Em processamento",'Banco de Dados'!#REF!="AG. RASTREIO","Em processamento",'Banco de Dados'!$AE901&lt;&gt;"-","Faturado",'Banco de Dados'!$AD901&lt;&gt;"-","Aguardando Pix",'Banco de Dados'!$AC901&lt;&gt;"-","Pendente"),"Aguardando Liberação")</f>
        <v>Aguardando Liberação</v>
      </c>
      <c r="AH901" s="5" t="str">
        <f>IF('Banco de Dados'!$F901="-",_xlfn.CONCAT(PROPER(TEXT(AK901,"aaaa"))," ",PROPER(TEXT(AK901,"mm"))),_xlfn.CONCAT(PROPER(TEXT(E901,"aaaa"))," ",PROPER(TEXT(E901,"mm"))))</f>
        <v>2025 01</v>
      </c>
      <c r="AI901" s="9" t="str">
        <f ca="1">IF('Banco de Dados'!$AK901&lt;&gt;"-","REEMBOLSO",IFERROR(_xlfn.XLOOKUP(G901,Follow[CODRASTREIO],Follow[STATUS]),"-"))</f>
        <v>ENTREGUE</v>
      </c>
      <c r="AJ901" s="9">
        <f ca="1">IF('Banco de Dados'!$AI901="ENTREGUE",_xlfn.XLOOKUP('Banco de Dados'!$G901,Follow[CODRASTREIO],Follow[DATAATUALIZAÇÃO]),"-")</f>
        <v>45692</v>
      </c>
      <c r="AK901" s="132" t="str">
        <f ca="1"/>
        <v>-</v>
      </c>
      <c r="AL901" s="35"/>
      <c r="AM901" s="109" cm="1">
        <f t="array" aca="1" ref="AM901" ca="1">IF('Banco de Dados'!$AK901&lt;&gt;"-",_xlfn.IFS('Banco de Dados'!$A901="bv",IF('Banco de Dados'!$E901&lt;45641,ROUND(SUM('Banco de Dados'!$R901*_xlfn.XLOOKUP('Banco de Dados'!$P901,Sku!B:B,Sku!#REF!)*20%),2),ROUND(SUM('Banco de Dados'!$R901*_xlfn.XLOOKUP('Banco de Dados'!$P901,Sku!B:B,Sku!H:H)*20%),2)),'Banco de Dados'!$A901="GO",ROUND(SUM('Banco de Dados'!$R901*_xlfn.XLOOKUP('Banco de Dados'!$P901,Sku!C:C,Sku!H:H)*20%),2),'Banco de Dados'!$A901="MEI",ROUND(SUM('Banco de Dados'!$R901*_xlfn.XLOOKUP('Banco de Dados'!$P901,Sku!D:D,Sku!H:H)*20%),2)),0)</f>
        <v>0</v>
      </c>
      <c r="AN901" s="109">
        <f ca="1">IF('Banco de Dados'!$AK901&lt;&gt;"-",IF('Banco de Dados'!$F901&lt;&gt;"-",_xlfn.XLOOKUP(IFERROR(IFERROR(IFERROR(VALUE(SUBSTITUTE(MID(_xlfn.TEXTAFTER('Banco de Dados'!$F901,"Data do Pedido:
",1),1,10),"-","/")),VALUE(SUBSTITUTE(MID(_xlfn.TEXTAFTER('Banco de Dados'!$F901,"Order date:
",1),1,10),"-","/"))),VALUE(SUBSTITUTE(MID(_xlfn.TEXTAFTER('Banco de Dados'!$F901,"Fecha de pedido:
",1),1,10),"-","/"))),"-"),SMS!A:A,SMS!K:K),0),0)</f>
        <v>0</v>
      </c>
      <c r="AO901" s="109">
        <f ca="1">IF('Banco de Dados'!$AK901&lt;&gt;"-",IF('Banco de Dados'!$F901&lt;&gt;"-",IFERROR(_xlfn.XLOOKUP(_xlfn.CONCAT('Banco de Dados'!$A901,IFERROR(IFERROR(VALUE(SUBSTITUTE(MID(_xlfn.TEXTAFTER('Banco de Dados'!$F901,"Data do Pedido:
",1),1,10),"-","/")),VALUE(SUBSTITUTE(MID(_xlfn.TEXTAFTER('Banco de Dados'!$F901,"Order date:
",1),1,10),"-","/"))),0)),ProxyDD[Chave],ProxyDD[Valor por pedido]),PROXY!$P$2),0),0)</f>
        <v>0</v>
      </c>
      <c r="AP901" s="28">
        <f ca="1">IF('Banco de Dados'!$AK901&lt;&gt;"-",IF('Banco de Dados'!$AL901="NÃO",IFERROR(VALUE(SUBSTITUTE(_xlfn.TEXTAFTER('Banco de Dados'!$F901,"BRL ",1),".",",")),0),0),0)</f>
        <v>0</v>
      </c>
      <c r="AQ901" s="28">
        <f ca="1">SUM('Banco de Dados'!$AM901:$AP901)</f>
        <v>0</v>
      </c>
      <c r="AR901" s="8"/>
      <c r="AY901" s="8"/>
    </row>
    <row r="902" spans="1:51">
      <c r="A902" s="5" t="str">
        <v>GO</v>
      </c>
      <c r="B902" s="5" t="str">
        <f ca="1"/>
        <v>GO45684</v>
      </c>
      <c r="C902" s="8" t="str">
        <v>Pedido 889</v>
      </c>
      <c r="D902" s="187">
        <v>45684</v>
      </c>
      <c r="E902" s="9">
        <v>45684</v>
      </c>
      <c r="F902" s="8" t="str">
        <v>PedidoF868</v>
      </c>
      <c r="G902" s="2" t="str">
        <v>CódRastreio866</v>
      </c>
      <c r="H902" s="5">
        <v>1</v>
      </c>
      <c r="I902" s="2" t="str">
        <v>CPF 865</v>
      </c>
      <c r="J902" s="2" t="str">
        <v>Nome 865</v>
      </c>
      <c r="K902" s="8" t="str">
        <v>Tel 865</v>
      </c>
      <c r="L902" s="8" t="str">
        <v>Cep 865</v>
      </c>
      <c r="M902" s="8" t="str">
        <v>Rua 865</v>
      </c>
      <c r="N902" s="8" t="str">
        <v>Comp 865</v>
      </c>
      <c r="O902" s="8" t="str">
        <v>Ventilador Preto</v>
      </c>
      <c r="P902" s="8" t="str">
        <v>EP-9PIR-BWXH</v>
      </c>
      <c r="Q902" s="4">
        <v>45709</v>
      </c>
      <c r="R902" s="109">
        <v>63.6</v>
      </c>
      <c r="S902" s="11">
        <f ca="1"/>
        <v>63.6</v>
      </c>
      <c r="T902" s="28">
        <f ca="1"/>
        <v>8.2680000000000007</v>
      </c>
      <c r="U902" s="11">
        <f ca="1"/>
        <v>55.33</v>
      </c>
      <c r="V902" s="11">
        <v>10.61</v>
      </c>
      <c r="W902" s="11">
        <f ca="1"/>
        <v>0.2</v>
      </c>
      <c r="X902" s="11">
        <f ca="1"/>
        <v>0.39877104377104378</v>
      </c>
      <c r="Y902" s="11">
        <v>0</v>
      </c>
      <c r="Z902" s="11">
        <f ca="1"/>
        <v>44.121228956228954</v>
      </c>
      <c r="AA902" s="11">
        <f ca="1"/>
        <v>44.121228956228954</v>
      </c>
      <c r="AB902" s="4">
        <f ca="1"/>
        <v>45716</v>
      </c>
      <c r="AC902" s="4">
        <v>45716</v>
      </c>
      <c r="AD902" s="9">
        <v>45721</v>
      </c>
      <c r="AE902" s="9">
        <v>45733</v>
      </c>
      <c r="AF902" s="4" t="str">
        <f t="shared" ca="1" si="42"/>
        <v>2025 02</v>
      </c>
      <c r="AG902" s="8" t="str" cm="1">
        <f t="array" ref="AG902">IFERROR(_xlfn.IFS('Banco de Dados'!#REF!="AG. COMPRA","Em processamento",'Banco de Dados'!#REF!="AG. RASTREIO","Em processamento",'Banco de Dados'!$AE902&lt;&gt;"-","Faturado",'Banco de Dados'!$AD902&lt;&gt;"-","Aguardando Pix",'Banco de Dados'!$AC902&lt;&gt;"-","Pendente"),"Aguardando Liberação")</f>
        <v>Aguardando Liberação</v>
      </c>
      <c r="AH902" s="5" t="str">
        <f>IF('Banco de Dados'!$F902="-",_xlfn.CONCAT(PROPER(TEXT(AK902,"aaaa"))," ",PROPER(TEXT(AK902,"mm"))),_xlfn.CONCAT(PROPER(TEXT(E902,"aaaa"))," ",PROPER(TEXT(E902,"mm"))))</f>
        <v>2025 01</v>
      </c>
      <c r="AI902" s="9" t="str">
        <f ca="1">IF('Banco de Dados'!$AK902&lt;&gt;"-","REEMBOLSO",IFERROR(_xlfn.XLOOKUP(G902,Follow[CODRASTREIO],Follow[STATUS]),"-"))</f>
        <v>ENTREGUE</v>
      </c>
      <c r="AJ902" s="9">
        <f ca="1">IF('Banco de Dados'!$AI902="ENTREGUE",_xlfn.XLOOKUP('Banco de Dados'!$G902,Follow[CODRASTREIO],Follow[DATAATUALIZAÇÃO]),"-")</f>
        <v>45699</v>
      </c>
      <c r="AK902" s="132" t="str">
        <f ca="1"/>
        <v>-</v>
      </c>
      <c r="AL902" s="35"/>
      <c r="AM902" s="109" cm="1">
        <f t="array" aca="1" ref="AM902" ca="1">IF('Banco de Dados'!$AK902&lt;&gt;"-",_xlfn.IFS('Banco de Dados'!$A902="bv",IF('Banco de Dados'!$E902&lt;45641,ROUND(SUM('Banco de Dados'!$R902*_xlfn.XLOOKUP('Banco de Dados'!$P902,Sku!B:B,Sku!#REF!)*20%),2),ROUND(SUM('Banco de Dados'!$R902*_xlfn.XLOOKUP('Banco de Dados'!$P902,Sku!B:B,Sku!H:H)*20%),2)),'Banco de Dados'!$A902="GO",ROUND(SUM('Banco de Dados'!$R902*_xlfn.XLOOKUP('Banco de Dados'!$P902,Sku!C:C,Sku!H:H)*20%),2),'Banco de Dados'!$A902="MEI",ROUND(SUM('Banco de Dados'!$R902*_xlfn.XLOOKUP('Banco de Dados'!$P902,Sku!D:D,Sku!H:H)*20%),2)),0)</f>
        <v>0</v>
      </c>
      <c r="AN902" s="109">
        <f ca="1">IF('Banco de Dados'!$AK902&lt;&gt;"-",IF('Banco de Dados'!$F902&lt;&gt;"-",_xlfn.XLOOKUP(IFERROR(IFERROR(IFERROR(VALUE(SUBSTITUTE(MID(_xlfn.TEXTAFTER('Banco de Dados'!$F902,"Data do Pedido:
",1),1,10),"-","/")),VALUE(SUBSTITUTE(MID(_xlfn.TEXTAFTER('Banco de Dados'!$F902,"Order date:
",1),1,10),"-","/"))),VALUE(SUBSTITUTE(MID(_xlfn.TEXTAFTER('Banco de Dados'!$F902,"Fecha de pedido:
",1),1,10),"-","/"))),"-"),SMS!A:A,SMS!K:K),0),0)</f>
        <v>0</v>
      </c>
      <c r="AO902" s="109">
        <f ca="1">IF('Banco de Dados'!$AK902&lt;&gt;"-",IF('Banco de Dados'!$F902&lt;&gt;"-",IFERROR(_xlfn.XLOOKUP(_xlfn.CONCAT('Banco de Dados'!$A902,IFERROR(IFERROR(VALUE(SUBSTITUTE(MID(_xlfn.TEXTAFTER('Banco de Dados'!$F902,"Data do Pedido:
",1),1,10),"-","/")),VALUE(SUBSTITUTE(MID(_xlfn.TEXTAFTER('Banco de Dados'!$F902,"Order date:
",1),1,10),"-","/"))),0)),ProxyDD[Chave],ProxyDD[Valor por pedido]),PROXY!$P$2),0),0)</f>
        <v>0</v>
      </c>
      <c r="AP902" s="28">
        <f ca="1">IF('Banco de Dados'!$AK902&lt;&gt;"-",IF('Banco de Dados'!$AL902="NÃO",IFERROR(VALUE(SUBSTITUTE(_xlfn.TEXTAFTER('Banco de Dados'!$F902,"BRL ",1),".",",")),0),0),0)</f>
        <v>0</v>
      </c>
      <c r="AQ902" s="28">
        <f ca="1">SUM('Banco de Dados'!$AM902:$AP902)</f>
        <v>0</v>
      </c>
      <c r="AR902" s="8"/>
      <c r="AY902" s="8"/>
    </row>
    <row r="903" spans="1:51">
      <c r="A903" s="5" t="str">
        <v>GO</v>
      </c>
      <c r="B903" s="5" t="str">
        <f ca="1"/>
        <v>GO45684</v>
      </c>
      <c r="C903" s="8" t="str">
        <v>Pedido 890</v>
      </c>
      <c r="D903" s="187">
        <v>45684</v>
      </c>
      <c r="E903" s="9">
        <v>45684</v>
      </c>
      <c r="F903" s="8" t="str">
        <v>PedidoF869</v>
      </c>
      <c r="G903" s="2" t="str">
        <v>CódRastreio867</v>
      </c>
      <c r="H903" s="5">
        <v>1</v>
      </c>
      <c r="I903" s="2" t="str">
        <v>CPF 866</v>
      </c>
      <c r="J903" s="2" t="str">
        <v>Nome 866</v>
      </c>
      <c r="K903" s="8" t="str">
        <v>Tel 866</v>
      </c>
      <c r="L903" s="8" t="str">
        <v>Cep 866</v>
      </c>
      <c r="M903" s="8" t="str">
        <v>Rua 866</v>
      </c>
      <c r="N903" s="8" t="str">
        <v>Comp 866</v>
      </c>
      <c r="O903" s="8" t="str">
        <v>Ventilador Preto</v>
      </c>
      <c r="P903" s="8" t="str">
        <v>EP-9PIR-BWXH</v>
      </c>
      <c r="Q903" s="4">
        <v>45703</v>
      </c>
      <c r="R903" s="109">
        <v>63.6</v>
      </c>
      <c r="S903" s="11">
        <f ca="1"/>
        <v>63.6</v>
      </c>
      <c r="T903" s="28">
        <f ca="1"/>
        <v>8.2680000000000007</v>
      </c>
      <c r="U903" s="11">
        <f ca="1"/>
        <v>55.33</v>
      </c>
      <c r="V903" s="11">
        <v>10.61</v>
      </c>
      <c r="W903" s="11">
        <f ca="1"/>
        <v>0.2</v>
      </c>
      <c r="X903" s="11">
        <f ca="1"/>
        <v>0.39877104377104378</v>
      </c>
      <c r="Y903" s="11">
        <v>0</v>
      </c>
      <c r="Z903" s="11">
        <f ca="1"/>
        <v>44.121228956228954</v>
      </c>
      <c r="AA903" s="11">
        <f ca="1"/>
        <v>44.121228956228954</v>
      </c>
      <c r="AB903" s="4">
        <f ca="1"/>
        <v>45710</v>
      </c>
      <c r="AC903" s="4">
        <v>45710</v>
      </c>
      <c r="AD903" s="9">
        <v>45721</v>
      </c>
      <c r="AE903" s="9">
        <v>45733</v>
      </c>
      <c r="AF903" s="4" t="str">
        <f t="shared" ca="1" si="42"/>
        <v>2025 02</v>
      </c>
      <c r="AG903" s="8" t="str" cm="1">
        <f t="array" ref="AG903">IFERROR(_xlfn.IFS('Banco de Dados'!#REF!="AG. COMPRA","Em processamento",'Banco de Dados'!#REF!="AG. RASTREIO","Em processamento",'Banco de Dados'!$AE903&lt;&gt;"-","Faturado",'Banco de Dados'!$AD903&lt;&gt;"-","Aguardando Pix",'Banco de Dados'!$AC903&lt;&gt;"-","Pendente"),"Aguardando Liberação")</f>
        <v>Aguardando Liberação</v>
      </c>
      <c r="AH903" s="5" t="str">
        <f>IF('Banco de Dados'!$F903="-",_xlfn.CONCAT(PROPER(TEXT(AK903,"aaaa"))," ",PROPER(TEXT(AK903,"mm"))),_xlfn.CONCAT(PROPER(TEXT(E903,"aaaa"))," ",PROPER(TEXT(E903,"mm"))))</f>
        <v>2025 01</v>
      </c>
      <c r="AI903" s="9" t="str">
        <f ca="1">IF('Banco de Dados'!$AK903&lt;&gt;"-","REEMBOLSO",IFERROR(_xlfn.XLOOKUP(G903,Follow[CODRASTREIO],Follow[STATUS]),"-"))</f>
        <v>ENTREGUE</v>
      </c>
      <c r="AJ903" s="9">
        <f ca="1">IF('Banco de Dados'!$AI903="ENTREGUE",_xlfn.XLOOKUP('Banco de Dados'!$G903,Follow[CODRASTREIO],Follow[DATAATUALIZAÇÃO]),"-")</f>
        <v>45695</v>
      </c>
      <c r="AK903" s="132" t="str">
        <f ca="1"/>
        <v>-</v>
      </c>
      <c r="AL903" s="35"/>
      <c r="AM903" s="109" cm="1">
        <f t="array" aca="1" ref="AM903" ca="1">IF('Banco de Dados'!$AK903&lt;&gt;"-",_xlfn.IFS('Banco de Dados'!$A903="bv",IF('Banco de Dados'!$E903&lt;45641,ROUND(SUM('Banco de Dados'!$R903*_xlfn.XLOOKUP('Banco de Dados'!$P903,Sku!B:B,Sku!#REF!)*20%),2),ROUND(SUM('Banco de Dados'!$R903*_xlfn.XLOOKUP('Banco de Dados'!$P903,Sku!B:B,Sku!H:H)*20%),2)),'Banco de Dados'!$A903="GO",ROUND(SUM('Banco de Dados'!$R903*_xlfn.XLOOKUP('Banco de Dados'!$P903,Sku!C:C,Sku!H:H)*20%),2),'Banco de Dados'!$A903="MEI",ROUND(SUM('Banco de Dados'!$R903*_xlfn.XLOOKUP('Banco de Dados'!$P903,Sku!D:D,Sku!H:H)*20%),2)),0)</f>
        <v>0</v>
      </c>
      <c r="AN903" s="109">
        <f ca="1">IF('Banco de Dados'!$AK903&lt;&gt;"-",IF('Banco de Dados'!$F903&lt;&gt;"-",_xlfn.XLOOKUP(IFERROR(IFERROR(IFERROR(VALUE(SUBSTITUTE(MID(_xlfn.TEXTAFTER('Banco de Dados'!$F903,"Data do Pedido:
",1),1,10),"-","/")),VALUE(SUBSTITUTE(MID(_xlfn.TEXTAFTER('Banco de Dados'!$F903,"Order date:
",1),1,10),"-","/"))),VALUE(SUBSTITUTE(MID(_xlfn.TEXTAFTER('Banco de Dados'!$F903,"Fecha de pedido:
",1),1,10),"-","/"))),"-"),SMS!A:A,SMS!K:K),0),0)</f>
        <v>0</v>
      </c>
      <c r="AO903" s="109">
        <f ca="1">IF('Banco de Dados'!$AK903&lt;&gt;"-",IF('Banco de Dados'!$F903&lt;&gt;"-",IFERROR(_xlfn.XLOOKUP(_xlfn.CONCAT('Banco de Dados'!$A903,IFERROR(IFERROR(VALUE(SUBSTITUTE(MID(_xlfn.TEXTAFTER('Banco de Dados'!$F903,"Data do Pedido:
",1),1,10),"-","/")),VALUE(SUBSTITUTE(MID(_xlfn.TEXTAFTER('Banco de Dados'!$F903,"Order date:
",1),1,10),"-","/"))),0)),ProxyDD[Chave],ProxyDD[Valor por pedido]),PROXY!$P$2),0),0)</f>
        <v>0</v>
      </c>
      <c r="AP903" s="28">
        <f ca="1">IF('Banco de Dados'!$AK903&lt;&gt;"-",IF('Banco de Dados'!$AL903="NÃO",IFERROR(VALUE(SUBSTITUTE(_xlfn.TEXTAFTER('Banco de Dados'!$F903,"BRL ",1),".",",")),0),0),0)</f>
        <v>0</v>
      </c>
      <c r="AQ903" s="28">
        <f ca="1">SUM('Banco de Dados'!$AM903:$AP903)</f>
        <v>0</v>
      </c>
      <c r="AR903" s="8"/>
      <c r="AY903" s="8"/>
    </row>
    <row r="904" spans="1:51">
      <c r="A904" s="5" t="str">
        <v>GO</v>
      </c>
      <c r="B904" s="5" t="str">
        <f ca="1"/>
        <v>GO45685</v>
      </c>
      <c r="C904" s="8" t="str">
        <v>Pedido 891</v>
      </c>
      <c r="D904" s="187">
        <v>45685</v>
      </c>
      <c r="E904" s="9">
        <v>45685</v>
      </c>
      <c r="F904" s="8" t="str">
        <v>PedidoF870</v>
      </c>
      <c r="G904" s="2" t="str">
        <v>CódRastreio868</v>
      </c>
      <c r="H904" s="5">
        <v>1</v>
      </c>
      <c r="I904" s="2" t="str">
        <v>CPF 867</v>
      </c>
      <c r="J904" s="2" t="str">
        <v>Nome 867</v>
      </c>
      <c r="K904" s="8" t="str">
        <v>Tel 867</v>
      </c>
      <c r="L904" s="8" t="str">
        <v>Cep 867</v>
      </c>
      <c r="M904" s="8" t="str">
        <v>Rua 867</v>
      </c>
      <c r="N904" s="8" t="str">
        <v>Comp 867</v>
      </c>
      <c r="O904" s="8" t="str">
        <v>Ventilador Preto</v>
      </c>
      <c r="P904" s="8" t="str">
        <v>EP-9PIR-BWXH</v>
      </c>
      <c r="Q904" s="4">
        <v>45706</v>
      </c>
      <c r="R904" s="109">
        <v>65.900000000000006</v>
      </c>
      <c r="S904" s="11">
        <f ca="1"/>
        <v>65.900000000000006</v>
      </c>
      <c r="T904" s="28">
        <f ca="1"/>
        <v>8.5670000000000002</v>
      </c>
      <c r="U904" s="11">
        <f ca="1"/>
        <v>57.33</v>
      </c>
      <c r="V904" s="11">
        <v>10.4</v>
      </c>
      <c r="W904" s="11">
        <f ca="1"/>
        <v>0.2</v>
      </c>
      <c r="X904" s="11">
        <f ca="1"/>
        <v>0.39877104377104378</v>
      </c>
      <c r="Y904" s="11">
        <v>0</v>
      </c>
      <c r="Z904" s="11">
        <f ca="1"/>
        <v>46.331228956228955</v>
      </c>
      <c r="AA904" s="11">
        <f ca="1"/>
        <v>46.331228956228955</v>
      </c>
      <c r="AB904" s="4">
        <f ca="1"/>
        <v>45713</v>
      </c>
      <c r="AC904" s="4">
        <v>45713</v>
      </c>
      <c r="AD904" s="9">
        <v>45721</v>
      </c>
      <c r="AE904" s="9">
        <v>45733</v>
      </c>
      <c r="AF904" s="4" t="str">
        <f t="shared" ca="1" si="42"/>
        <v>2025 02</v>
      </c>
      <c r="AG904" s="8" t="str" cm="1">
        <f t="array" ref="AG904">IFERROR(_xlfn.IFS('Banco de Dados'!#REF!="AG. COMPRA","Em processamento",'Banco de Dados'!#REF!="AG. RASTREIO","Em processamento",'Banco de Dados'!$AE904&lt;&gt;"-","Faturado",'Banco de Dados'!$AD904&lt;&gt;"-","Aguardando Pix",'Banco de Dados'!$AC904&lt;&gt;"-","Pendente"),"Aguardando Liberação")</f>
        <v>Aguardando Liberação</v>
      </c>
      <c r="AH904" s="5" t="str">
        <f>IF('Banco de Dados'!$F904="-",_xlfn.CONCAT(PROPER(TEXT(AK904,"aaaa"))," ",PROPER(TEXT(AK904,"mm"))),_xlfn.CONCAT(PROPER(TEXT(E904,"aaaa"))," ",PROPER(TEXT(E904,"mm"))))</f>
        <v>2025 01</v>
      </c>
      <c r="AI904" s="9" t="str">
        <f ca="1">IF('Banco de Dados'!$AK904&lt;&gt;"-","REEMBOLSO",IFERROR(_xlfn.XLOOKUP(G904,Follow[CODRASTREIO],Follow[STATUS]),"-"))</f>
        <v>ENTREGUE</v>
      </c>
      <c r="AJ904" s="9">
        <f ca="1">IF('Banco de Dados'!$AI904="ENTREGUE",_xlfn.XLOOKUP('Banco de Dados'!$G904,Follow[CODRASTREIO],Follow[DATAATUALIZAÇÃO]),"-")</f>
        <v>45695</v>
      </c>
      <c r="AK904" s="132" t="str">
        <f ca="1"/>
        <v>-</v>
      </c>
      <c r="AL904" s="35"/>
      <c r="AM904" s="109" cm="1">
        <f t="array" aca="1" ref="AM904" ca="1">IF('Banco de Dados'!$AK904&lt;&gt;"-",_xlfn.IFS('Banco de Dados'!$A904="bv",IF('Banco de Dados'!$E904&lt;45641,ROUND(SUM('Banco de Dados'!$R904*_xlfn.XLOOKUP('Banco de Dados'!$P904,Sku!B:B,Sku!#REF!)*20%),2),ROUND(SUM('Banco de Dados'!$R904*_xlfn.XLOOKUP('Banco de Dados'!$P904,Sku!B:B,Sku!H:H)*20%),2)),'Banco de Dados'!$A904="GO",ROUND(SUM('Banco de Dados'!$R904*_xlfn.XLOOKUP('Banco de Dados'!$P904,Sku!C:C,Sku!H:H)*20%),2),'Banco de Dados'!$A904="MEI",ROUND(SUM('Banco de Dados'!$R904*_xlfn.XLOOKUP('Banco de Dados'!$P904,Sku!D:D,Sku!H:H)*20%),2)),0)</f>
        <v>0</v>
      </c>
      <c r="AN904" s="109">
        <f ca="1">IF('Banco de Dados'!$AK904&lt;&gt;"-",IF('Banco de Dados'!$F904&lt;&gt;"-",_xlfn.XLOOKUP(IFERROR(IFERROR(IFERROR(VALUE(SUBSTITUTE(MID(_xlfn.TEXTAFTER('Banco de Dados'!$F904,"Data do Pedido:
",1),1,10),"-","/")),VALUE(SUBSTITUTE(MID(_xlfn.TEXTAFTER('Banco de Dados'!$F904,"Order date:
",1),1,10),"-","/"))),VALUE(SUBSTITUTE(MID(_xlfn.TEXTAFTER('Banco de Dados'!$F904,"Fecha de pedido:
",1),1,10),"-","/"))),"-"),SMS!A:A,SMS!K:K),0),0)</f>
        <v>0</v>
      </c>
      <c r="AO904" s="109">
        <f ca="1">IF('Banco de Dados'!$AK904&lt;&gt;"-",IF('Banco de Dados'!$F904&lt;&gt;"-",IFERROR(_xlfn.XLOOKUP(_xlfn.CONCAT('Banco de Dados'!$A904,IFERROR(IFERROR(VALUE(SUBSTITUTE(MID(_xlfn.TEXTAFTER('Banco de Dados'!$F904,"Data do Pedido:
",1),1,10),"-","/")),VALUE(SUBSTITUTE(MID(_xlfn.TEXTAFTER('Banco de Dados'!$F904,"Order date:
",1),1,10),"-","/"))),0)),ProxyDD[Chave],ProxyDD[Valor por pedido]),PROXY!$P$2),0),0)</f>
        <v>0</v>
      </c>
      <c r="AP904" s="28">
        <f ca="1">IF('Banco de Dados'!$AK904&lt;&gt;"-",IF('Banco de Dados'!$AL904="NÃO",IFERROR(VALUE(SUBSTITUTE(_xlfn.TEXTAFTER('Banco de Dados'!$F904,"BRL ",1),".",",")),0),0),0)</f>
        <v>0</v>
      </c>
      <c r="AQ904" s="28">
        <f ca="1">SUM('Banco de Dados'!$AM904:$AP904)</f>
        <v>0</v>
      </c>
      <c r="AR904" s="8"/>
      <c r="AY904" s="8"/>
    </row>
    <row r="905" spans="1:51">
      <c r="A905" s="5" t="str">
        <v>GO</v>
      </c>
      <c r="B905" s="5" t="str">
        <f ca="1"/>
        <v>GO45685</v>
      </c>
      <c r="C905" s="8" t="str">
        <v>Pedido 892</v>
      </c>
      <c r="D905" s="187">
        <v>45685</v>
      </c>
      <c r="E905" s="9">
        <v>45685</v>
      </c>
      <c r="F905" s="8" t="str">
        <v>PedidoF871</v>
      </c>
      <c r="G905" s="2" t="str">
        <v>CódRastreio869</v>
      </c>
      <c r="H905" s="5">
        <v>1</v>
      </c>
      <c r="I905" s="2" t="str">
        <v>CPF 868</v>
      </c>
      <c r="J905" s="2" t="str">
        <v>Nome 868</v>
      </c>
      <c r="K905" s="8" t="str">
        <v>Tel 868</v>
      </c>
      <c r="L905" s="8" t="str">
        <v>Cep 868</v>
      </c>
      <c r="M905" s="8" t="str">
        <v>Rua 868</v>
      </c>
      <c r="N905" s="8" t="str">
        <v>Comp 868</v>
      </c>
      <c r="O905" s="8" t="str">
        <v>Ventilador Preto</v>
      </c>
      <c r="P905" s="8" t="str">
        <v>EP-9PIR-BWXH</v>
      </c>
      <c r="Q905" s="4">
        <v>45710</v>
      </c>
      <c r="R905" s="109">
        <v>65.900000000000006</v>
      </c>
      <c r="S905" s="11">
        <f ca="1"/>
        <v>0</v>
      </c>
      <c r="T905" s="28">
        <f ca="1"/>
        <v>0</v>
      </c>
      <c r="U905" s="11">
        <f ca="1"/>
        <v>0</v>
      </c>
      <c r="V905" s="11">
        <v>0</v>
      </c>
      <c r="W905" s="11">
        <f ca="1"/>
        <v>0</v>
      </c>
      <c r="X905" s="11">
        <f ca="1"/>
        <v>0.39877104377104378</v>
      </c>
      <c r="Y905" s="11">
        <v>0</v>
      </c>
      <c r="Z905" s="11">
        <f ca="1"/>
        <v>-0.39877104377104378</v>
      </c>
      <c r="AA905" s="11">
        <f ca="1"/>
        <v>-0.39877104377104378</v>
      </c>
      <c r="AB905" s="4">
        <f ca="1"/>
        <v>45717</v>
      </c>
      <c r="AC905" s="4">
        <v>45717</v>
      </c>
      <c r="AD905" s="9">
        <v>45730</v>
      </c>
      <c r="AE905" s="9">
        <v>45733</v>
      </c>
      <c r="AF905" s="4" t="str">
        <f t="shared" ca="1" si="42"/>
        <v>2025 03</v>
      </c>
      <c r="AG905" s="8" t="str" cm="1">
        <f t="array" ref="AG905">IFERROR(_xlfn.IFS('Banco de Dados'!#REF!="AG. COMPRA","Em processamento",'Banco de Dados'!#REF!="AG. RASTREIO","Em processamento",'Banco de Dados'!$AE905&lt;&gt;"-","Faturado",'Banco de Dados'!$AD905&lt;&gt;"-","Aguardando Pix",'Banco de Dados'!$AC905&lt;&gt;"-","Pendente"),"Aguardando Liberação")</f>
        <v>Aguardando Liberação</v>
      </c>
      <c r="AH905" s="5" t="str">
        <f>IF('Banco de Dados'!$F905="-",_xlfn.CONCAT(PROPER(TEXT(AK905,"aaaa"))," ",PROPER(TEXT(AK905,"mm"))),_xlfn.CONCAT(PROPER(TEXT(E905,"aaaa"))," ",PROPER(TEXT(E905,"mm"))))</f>
        <v>2025 01</v>
      </c>
      <c r="AI905" s="9" t="str">
        <f ca="1">IF('Banco de Dados'!$AK905&lt;&gt;"-","REEMBOLSO",IFERROR(_xlfn.XLOOKUP(G905,Follow[CODRASTREIO],Follow[STATUS]),"-"))</f>
        <v>REEMBOLSO</v>
      </c>
      <c r="AJ905" s="9" t="str">
        <f ca="1">IF('Banco de Dados'!$AI905="ENTREGUE",_xlfn.XLOOKUP('Banco de Dados'!$G905,Follow[CODRASTREIO],Follow[DATAATUALIZAÇÃO]),"-")</f>
        <v>-</v>
      </c>
      <c r="AK905" s="132">
        <f ca="1"/>
        <v>45716</v>
      </c>
      <c r="AL905" s="35"/>
      <c r="AM905" s="109" cm="1">
        <f t="array" aca="1" ref="AM905" ca="1">IF('Banco de Dados'!$AK905&lt;&gt;"-",_xlfn.IFS('Banco de Dados'!$A905="bv",IF('Banco de Dados'!$E905&lt;45641,ROUND(SUM('Banco de Dados'!$R905*_xlfn.XLOOKUP('Banco de Dados'!$P905,Sku!B:B,Sku!#REF!)*20%),2),ROUND(SUM('Banco de Dados'!$R905*_xlfn.XLOOKUP('Banco de Dados'!$P905,Sku!B:B,Sku!H:H)*20%),2)),'Banco de Dados'!$A905="GO",ROUND(SUM('Banco de Dados'!$R905*_xlfn.XLOOKUP('Banco de Dados'!$P905,Sku!C:C,Sku!H:H)*20%),2),'Banco de Dados'!$A905="MEI",ROUND(SUM('Banco de Dados'!$R905*_xlfn.XLOOKUP('Banco de Dados'!$P905,Sku!D:D,Sku!H:H)*20%),2)),0)</f>
        <v>1.71</v>
      </c>
      <c r="AN905" s="109" t="e">
        <f ca="1">IF('Banco de Dados'!$AK905&lt;&gt;"-",IF('Banco de Dados'!$F905&lt;&gt;"-",_xlfn.XLOOKUP(IFERROR(IFERROR(IFERROR(VALUE(SUBSTITUTE(MID(_xlfn.TEXTAFTER('Banco de Dados'!$F905,"Data do Pedido:
",1),1,10),"-","/")),VALUE(SUBSTITUTE(MID(_xlfn.TEXTAFTER('Banco de Dados'!$F905,"Order date:
",1),1,10),"-","/"))),VALUE(SUBSTITUTE(MID(_xlfn.TEXTAFTER('Banco de Dados'!$F905,"Fecha de pedido:
",1),1,10),"-","/"))),"-"),SMS!A:A,SMS!K:K),0),0)</f>
        <v>#N/A</v>
      </c>
      <c r="AO905" s="109">
        <f ca="1">IF('Banco de Dados'!$AK905&lt;&gt;"-",IF('Banco de Dados'!$F905&lt;&gt;"-",IFERROR(_xlfn.XLOOKUP(_xlfn.CONCAT('Banco de Dados'!$A905,IFERROR(IFERROR(VALUE(SUBSTITUTE(MID(_xlfn.TEXTAFTER('Banco de Dados'!$F905,"Data do Pedido:
",1),1,10),"-","/")),VALUE(SUBSTITUTE(MID(_xlfn.TEXTAFTER('Banco de Dados'!$F905,"Order date:
",1),1,10),"-","/"))),0)),ProxyDD[Chave],ProxyDD[Valor por pedido]),PROXY!$P$2),0),0)</f>
        <v>0.39877104377104378</v>
      </c>
      <c r="AP905" s="28">
        <f ca="1">IF('Banco de Dados'!$AK905&lt;&gt;"-",IF('Banco de Dados'!$AL905="NÃO",IFERROR(VALUE(SUBSTITUTE(_xlfn.TEXTAFTER('Banco de Dados'!$F905,"BRL ",1),".",",")),0),0),0)</f>
        <v>0</v>
      </c>
      <c r="AQ905" s="28" t="e">
        <f ca="1">SUM('Banco de Dados'!$AM905:$AP905)</f>
        <v>#N/A</v>
      </c>
      <c r="AR905" s="8"/>
      <c r="AY905" s="8"/>
    </row>
    <row r="906" spans="1:51">
      <c r="A906" s="5" t="str">
        <v>GO</v>
      </c>
      <c r="B906" s="5" t="str">
        <f ca="1"/>
        <v>GO45685</v>
      </c>
      <c r="C906" s="8" t="str">
        <v>Pedido 893</v>
      </c>
      <c r="D906" s="187">
        <v>45685</v>
      </c>
      <c r="E906" s="9">
        <v>45685</v>
      </c>
      <c r="F906" s="8" t="str">
        <v>PedidoF872</v>
      </c>
      <c r="G906" s="2" t="str">
        <v>CódRastreio870</v>
      </c>
      <c r="H906" s="5">
        <v>1</v>
      </c>
      <c r="I906" s="2" t="str">
        <v>CPF 869</v>
      </c>
      <c r="J906" s="2" t="str">
        <v>Nome 869</v>
      </c>
      <c r="K906" s="8" t="str">
        <v>Tel 869</v>
      </c>
      <c r="L906" s="8" t="str">
        <v>Cep 869</v>
      </c>
      <c r="M906" s="8" t="str">
        <v>Rua 869</v>
      </c>
      <c r="N906" s="8" t="str">
        <v>Comp 869</v>
      </c>
      <c r="O906" s="8" t="str">
        <v>Ventilador Preto</v>
      </c>
      <c r="P906" s="8" t="str">
        <v>EP-9PIR-BWXH</v>
      </c>
      <c r="Q906" s="4">
        <v>45706</v>
      </c>
      <c r="R906" s="109">
        <v>65.900000000000006</v>
      </c>
      <c r="S906" s="11">
        <f ca="1"/>
        <v>65.900000000000006</v>
      </c>
      <c r="T906" s="28">
        <f ca="1"/>
        <v>8.5670000000000002</v>
      </c>
      <c r="U906" s="11">
        <f ca="1"/>
        <v>57.33</v>
      </c>
      <c r="V906" s="11">
        <v>10.4</v>
      </c>
      <c r="W906" s="11">
        <f ca="1"/>
        <v>0.2</v>
      </c>
      <c r="X906" s="11">
        <f ca="1"/>
        <v>0.39877104377104378</v>
      </c>
      <c r="Y906" s="11">
        <v>0</v>
      </c>
      <c r="Z906" s="11">
        <f ca="1"/>
        <v>46.331228956228955</v>
      </c>
      <c r="AA906" s="11">
        <f ca="1"/>
        <v>46.331228956228955</v>
      </c>
      <c r="AB906" s="4">
        <f ca="1"/>
        <v>45713</v>
      </c>
      <c r="AC906" s="4">
        <v>45713</v>
      </c>
      <c r="AD906" s="9">
        <v>45721</v>
      </c>
      <c r="AE906" s="9">
        <v>45733</v>
      </c>
      <c r="AF906" s="4" t="str">
        <f t="shared" ca="1" si="42"/>
        <v>2025 02</v>
      </c>
      <c r="AG906" s="8" t="str" cm="1">
        <f t="array" ref="AG906">IFERROR(_xlfn.IFS('Banco de Dados'!#REF!="AG. COMPRA","Em processamento",'Banco de Dados'!#REF!="AG. RASTREIO","Em processamento",'Banco de Dados'!$AE906&lt;&gt;"-","Faturado",'Banco de Dados'!$AD906&lt;&gt;"-","Aguardando Pix",'Banco de Dados'!$AC906&lt;&gt;"-","Pendente"),"Aguardando Liberação")</f>
        <v>Aguardando Liberação</v>
      </c>
      <c r="AH906" s="5" t="str">
        <f>IF('Banco de Dados'!$F906="-",_xlfn.CONCAT(PROPER(TEXT(AK906,"aaaa"))," ",PROPER(TEXT(AK906,"mm"))),_xlfn.CONCAT(PROPER(TEXT(E906,"aaaa"))," ",PROPER(TEXT(E906,"mm"))))</f>
        <v>2025 01</v>
      </c>
      <c r="AI906" s="9" t="str">
        <f ca="1">IF('Banco de Dados'!$AK906&lt;&gt;"-","REEMBOLSO",IFERROR(_xlfn.XLOOKUP(G906,Follow[CODRASTREIO],Follow[STATUS]),"-"))</f>
        <v>ENTREGUE</v>
      </c>
      <c r="AJ906" s="9">
        <f ca="1">IF('Banco de Dados'!$AI906="ENTREGUE",_xlfn.XLOOKUP('Banco de Dados'!$G906,Follow[CODRASTREIO],Follow[DATAATUALIZAÇÃO]),"-")</f>
        <v>45698</v>
      </c>
      <c r="AK906" s="132" t="str">
        <f ca="1"/>
        <v>-</v>
      </c>
      <c r="AL906" s="35"/>
      <c r="AM906" s="109" cm="1">
        <f t="array" aca="1" ref="AM906" ca="1">IF('Banco de Dados'!$AK906&lt;&gt;"-",_xlfn.IFS('Banco de Dados'!$A906="bv",IF('Banco de Dados'!$E906&lt;45641,ROUND(SUM('Banco de Dados'!$R906*_xlfn.XLOOKUP('Banco de Dados'!$P906,Sku!B:B,Sku!#REF!)*20%),2),ROUND(SUM('Banco de Dados'!$R906*_xlfn.XLOOKUP('Banco de Dados'!$P906,Sku!B:B,Sku!H:H)*20%),2)),'Banco de Dados'!$A906="GO",ROUND(SUM('Banco de Dados'!$R906*_xlfn.XLOOKUP('Banco de Dados'!$P906,Sku!C:C,Sku!H:H)*20%),2),'Banco de Dados'!$A906="MEI",ROUND(SUM('Banco de Dados'!$R906*_xlfn.XLOOKUP('Banco de Dados'!$P906,Sku!D:D,Sku!H:H)*20%),2)),0)</f>
        <v>0</v>
      </c>
      <c r="AN906" s="109">
        <f ca="1">IF('Banco de Dados'!$AK906&lt;&gt;"-",IF('Banco de Dados'!$F906&lt;&gt;"-",_xlfn.XLOOKUP(IFERROR(IFERROR(IFERROR(VALUE(SUBSTITUTE(MID(_xlfn.TEXTAFTER('Banco de Dados'!$F906,"Data do Pedido:
",1),1,10),"-","/")),VALUE(SUBSTITUTE(MID(_xlfn.TEXTAFTER('Banco de Dados'!$F906,"Order date:
",1),1,10),"-","/"))),VALUE(SUBSTITUTE(MID(_xlfn.TEXTAFTER('Banco de Dados'!$F906,"Fecha de pedido:
",1),1,10),"-","/"))),"-"),SMS!A:A,SMS!K:K),0),0)</f>
        <v>0</v>
      </c>
      <c r="AO906" s="109">
        <f ca="1">IF('Banco de Dados'!$AK906&lt;&gt;"-",IF('Banco de Dados'!$F906&lt;&gt;"-",IFERROR(_xlfn.XLOOKUP(_xlfn.CONCAT('Banco de Dados'!$A906,IFERROR(IFERROR(VALUE(SUBSTITUTE(MID(_xlfn.TEXTAFTER('Banco de Dados'!$F906,"Data do Pedido:
",1),1,10),"-","/")),VALUE(SUBSTITUTE(MID(_xlfn.TEXTAFTER('Banco de Dados'!$F906,"Order date:
",1),1,10),"-","/"))),0)),ProxyDD[Chave],ProxyDD[Valor por pedido]),PROXY!$P$2),0),0)</f>
        <v>0</v>
      </c>
      <c r="AP906" s="28">
        <f ca="1">IF('Banco de Dados'!$AK906&lt;&gt;"-",IF('Banco de Dados'!$AL906="NÃO",IFERROR(VALUE(SUBSTITUTE(_xlfn.TEXTAFTER('Banco de Dados'!$F906,"BRL ",1),".",",")),0),0),0)</f>
        <v>0</v>
      </c>
      <c r="AQ906" s="28">
        <f ca="1">SUM('Banco de Dados'!$AM906:$AP906)</f>
        <v>0</v>
      </c>
      <c r="AR906" s="8"/>
      <c r="AY906" s="8"/>
    </row>
    <row r="907" spans="1:51">
      <c r="A907" s="5" t="str">
        <v>GO</v>
      </c>
      <c r="B907" s="5" t="str">
        <f ca="1"/>
        <v>GO45686</v>
      </c>
      <c r="C907" s="8" t="str">
        <v>Pedido 894</v>
      </c>
      <c r="D907" s="187">
        <v>45686</v>
      </c>
      <c r="E907" s="9">
        <v>45686</v>
      </c>
      <c r="F907" s="8" t="str">
        <v>PedidoF873</v>
      </c>
      <c r="G907" s="2" t="str">
        <v>CódRastreio871</v>
      </c>
      <c r="H907" s="5">
        <v>1</v>
      </c>
      <c r="I907" s="2" t="str">
        <v>CPF 870</v>
      </c>
      <c r="J907" s="2" t="str">
        <v>Nome 870</v>
      </c>
      <c r="K907" s="8" t="str">
        <v>Tel 870</v>
      </c>
      <c r="L907" s="8" t="str">
        <v>Cep 870</v>
      </c>
      <c r="M907" s="8" t="str">
        <v>Rua 870</v>
      </c>
      <c r="N907" s="8" t="str">
        <v>Comp 870</v>
      </c>
      <c r="O907" s="8" t="str">
        <v>Ventilador Preto</v>
      </c>
      <c r="P907" s="8" t="str">
        <v>EP-9PIR-BWXH</v>
      </c>
      <c r="Q907" s="4">
        <v>45707</v>
      </c>
      <c r="R907" s="109">
        <v>64.989999999999995</v>
      </c>
      <c r="S907" s="11">
        <f ca="1"/>
        <v>64.989999999999995</v>
      </c>
      <c r="T907" s="28">
        <f ca="1"/>
        <v>8.4486999999999988</v>
      </c>
      <c r="U907" s="11">
        <f ca="1"/>
        <v>56.54</v>
      </c>
      <c r="V907" s="11">
        <v>10.17</v>
      </c>
      <c r="W907" s="11">
        <f ca="1"/>
        <v>0.2</v>
      </c>
      <c r="X907" s="11">
        <f ca="1"/>
        <v>0.39877104377104378</v>
      </c>
      <c r="Y907" s="11">
        <v>0</v>
      </c>
      <c r="Z907" s="11">
        <f ca="1"/>
        <v>45.771228956228953</v>
      </c>
      <c r="AA907" s="11">
        <f ca="1"/>
        <v>45.771228956228953</v>
      </c>
      <c r="AB907" s="4">
        <f ca="1"/>
        <v>45714</v>
      </c>
      <c r="AC907" s="4">
        <v>45714</v>
      </c>
      <c r="AD907" s="9">
        <v>45721</v>
      </c>
      <c r="AE907" s="9">
        <v>45733</v>
      </c>
      <c r="AF907" s="4" t="str">
        <f t="shared" ca="1" si="42"/>
        <v>2025 02</v>
      </c>
      <c r="AG907" s="8" t="str" cm="1">
        <f t="array" ref="AG907">IFERROR(_xlfn.IFS('Banco de Dados'!#REF!="AG. COMPRA","Em processamento",'Banco de Dados'!#REF!="AG. RASTREIO","Em processamento",'Banco de Dados'!$AE907&lt;&gt;"-","Faturado",'Banco de Dados'!$AD907&lt;&gt;"-","Aguardando Pix",'Banco de Dados'!$AC907&lt;&gt;"-","Pendente"),"Aguardando Liberação")</f>
        <v>Aguardando Liberação</v>
      </c>
      <c r="AH907" s="5" t="str">
        <f>IF('Banco de Dados'!$F907="-",_xlfn.CONCAT(PROPER(TEXT(AK907,"aaaa"))," ",PROPER(TEXT(AK907,"mm"))),_xlfn.CONCAT(PROPER(TEXT(E907,"aaaa"))," ",PROPER(TEXT(E907,"mm"))))</f>
        <v>2025 01</v>
      </c>
      <c r="AI907" s="9" t="str">
        <f ca="1">IF('Banco de Dados'!$AK907&lt;&gt;"-","REEMBOLSO",IFERROR(_xlfn.XLOOKUP(G907,Follow[CODRASTREIO],Follow[STATUS]),"-"))</f>
        <v>ENTREGUE</v>
      </c>
      <c r="AJ907" s="9">
        <f ca="1">IF('Banco de Dados'!$AI907="ENTREGUE",_xlfn.XLOOKUP('Banco de Dados'!$G907,Follow[CODRASTREIO],Follow[DATAATUALIZAÇÃO]),"-")</f>
        <v>45698</v>
      </c>
      <c r="AK907" s="132" t="str">
        <f ca="1"/>
        <v>-</v>
      </c>
      <c r="AL907" s="35"/>
      <c r="AM907" s="109" cm="1">
        <f t="array" aca="1" ref="AM907" ca="1">IF('Banco de Dados'!$AK907&lt;&gt;"-",_xlfn.IFS('Banco de Dados'!$A907="bv",IF('Banco de Dados'!$E907&lt;45641,ROUND(SUM('Banco de Dados'!$R907*_xlfn.XLOOKUP('Banco de Dados'!$P907,Sku!B:B,Sku!#REF!)*20%),2),ROUND(SUM('Banco de Dados'!$R907*_xlfn.XLOOKUP('Banco de Dados'!$P907,Sku!B:B,Sku!H:H)*20%),2)),'Banco de Dados'!$A907="GO",ROUND(SUM('Banco de Dados'!$R907*_xlfn.XLOOKUP('Banco de Dados'!$P907,Sku!C:C,Sku!H:H)*20%),2),'Banco de Dados'!$A907="MEI",ROUND(SUM('Banco de Dados'!$R907*_xlfn.XLOOKUP('Banco de Dados'!$P907,Sku!D:D,Sku!H:H)*20%),2)),0)</f>
        <v>0</v>
      </c>
      <c r="AN907" s="109">
        <f ca="1">IF('Banco de Dados'!$AK907&lt;&gt;"-",IF('Banco de Dados'!$F907&lt;&gt;"-",_xlfn.XLOOKUP(IFERROR(IFERROR(IFERROR(VALUE(SUBSTITUTE(MID(_xlfn.TEXTAFTER('Banco de Dados'!$F907,"Data do Pedido:
",1),1,10),"-","/")),VALUE(SUBSTITUTE(MID(_xlfn.TEXTAFTER('Banco de Dados'!$F907,"Order date:
",1),1,10),"-","/"))),VALUE(SUBSTITUTE(MID(_xlfn.TEXTAFTER('Banco de Dados'!$F907,"Fecha de pedido:
",1),1,10),"-","/"))),"-"),SMS!A:A,SMS!K:K),0),0)</f>
        <v>0</v>
      </c>
      <c r="AO907" s="109">
        <f ca="1">IF('Banco de Dados'!$AK907&lt;&gt;"-",IF('Banco de Dados'!$F907&lt;&gt;"-",IFERROR(_xlfn.XLOOKUP(_xlfn.CONCAT('Banco de Dados'!$A907,IFERROR(IFERROR(VALUE(SUBSTITUTE(MID(_xlfn.TEXTAFTER('Banco de Dados'!$F907,"Data do Pedido:
",1),1,10),"-","/")),VALUE(SUBSTITUTE(MID(_xlfn.TEXTAFTER('Banco de Dados'!$F907,"Order date:
",1),1,10),"-","/"))),0)),ProxyDD[Chave],ProxyDD[Valor por pedido]),PROXY!$P$2),0),0)</f>
        <v>0</v>
      </c>
      <c r="AP907" s="28">
        <f ca="1">IF('Banco de Dados'!$AK907&lt;&gt;"-",IF('Banco de Dados'!$AL907="NÃO",IFERROR(VALUE(SUBSTITUTE(_xlfn.TEXTAFTER('Banco de Dados'!$F907,"BRL ",1),".",",")),0),0),0)</f>
        <v>0</v>
      </c>
      <c r="AQ907" s="28">
        <f ca="1">SUM('Banco de Dados'!$AM907:$AP907)</f>
        <v>0</v>
      </c>
      <c r="AR907" s="8"/>
      <c r="AY907" s="8"/>
    </row>
    <row r="908" spans="1:51">
      <c r="A908" s="5" t="str">
        <v>GO</v>
      </c>
      <c r="B908" s="5" t="str">
        <f ca="1"/>
        <v>GO45688</v>
      </c>
      <c r="C908" s="8" t="str">
        <v>Pedido 895</v>
      </c>
      <c r="D908" s="187">
        <v>45687</v>
      </c>
      <c r="E908" s="9">
        <v>45688</v>
      </c>
      <c r="F908" s="8" t="str">
        <v>PedidoF874</v>
      </c>
      <c r="G908" s="2" t="str">
        <v>CódRastreio872</v>
      </c>
      <c r="H908" s="5">
        <v>1</v>
      </c>
      <c r="I908" s="2" t="str">
        <v>CPF 871</v>
      </c>
      <c r="J908" s="2" t="str">
        <v>Nome 871</v>
      </c>
      <c r="K908" s="8" t="str">
        <v>Tel 871</v>
      </c>
      <c r="L908" s="8" t="str">
        <v>Cep 871</v>
      </c>
      <c r="M908" s="8" t="str">
        <v>Rua 871</v>
      </c>
      <c r="N908" s="8" t="str">
        <v>Comp 871</v>
      </c>
      <c r="O908" s="8" t="str">
        <v>Ventilador Preto</v>
      </c>
      <c r="P908" s="8" t="str">
        <v>EP-9PIR-BWXH</v>
      </c>
      <c r="Q908" s="4">
        <v>45708</v>
      </c>
      <c r="R908" s="109">
        <v>64.989999999999995</v>
      </c>
      <c r="S908" s="11">
        <f ca="1"/>
        <v>64.989999999999995</v>
      </c>
      <c r="T908" s="28">
        <f ca="1"/>
        <v>8.4486999999999988</v>
      </c>
      <c r="U908" s="11">
        <f ca="1"/>
        <v>56.54</v>
      </c>
      <c r="V908" s="11">
        <v>10.18</v>
      </c>
      <c r="W908" s="11">
        <f ca="1"/>
        <v>0.3</v>
      </c>
      <c r="X908" s="11">
        <f ca="1"/>
        <v>0.39877104377104378</v>
      </c>
      <c r="Y908" s="11">
        <v>0</v>
      </c>
      <c r="Z908" s="11">
        <f ca="1"/>
        <v>45.661228956228953</v>
      </c>
      <c r="AA908" s="11">
        <f ca="1"/>
        <v>45.661228956228953</v>
      </c>
      <c r="AB908" s="4">
        <f ca="1"/>
        <v>45715</v>
      </c>
      <c r="AC908" s="4">
        <v>45715</v>
      </c>
      <c r="AD908" s="9">
        <v>45721</v>
      </c>
      <c r="AE908" s="9">
        <v>45733</v>
      </c>
      <c r="AF908" s="4" t="str">
        <f t="shared" ca="1" si="42"/>
        <v>2025 02</v>
      </c>
      <c r="AG908" s="8" t="str" cm="1">
        <f t="array" ref="AG908">IFERROR(_xlfn.IFS('Banco de Dados'!#REF!="AG. COMPRA","Em processamento",'Banco de Dados'!#REF!="AG. RASTREIO","Em processamento",'Banco de Dados'!$AE908&lt;&gt;"-","Faturado",'Banco de Dados'!$AD908&lt;&gt;"-","Aguardando Pix",'Banco de Dados'!$AC908&lt;&gt;"-","Pendente"),"Aguardando Liberação")</f>
        <v>Aguardando Liberação</v>
      </c>
      <c r="AH908" s="5" t="str">
        <f>IF('Banco de Dados'!$F908="-",_xlfn.CONCAT(PROPER(TEXT(AK908,"aaaa"))," ",PROPER(TEXT(AK908,"mm"))),_xlfn.CONCAT(PROPER(TEXT(E908,"aaaa"))," ",PROPER(TEXT(E908,"mm"))))</f>
        <v>2025 01</v>
      </c>
      <c r="AI908" s="9" t="str">
        <f ca="1">IF('Banco de Dados'!$AK908&lt;&gt;"-","REEMBOLSO",IFERROR(_xlfn.XLOOKUP(G908,Follow[CODRASTREIO],Follow[STATUS]),"-"))</f>
        <v>ENTREGUE</v>
      </c>
      <c r="AJ908" s="9">
        <f ca="1">IF('Banco de Dados'!$AI908="ENTREGUE",_xlfn.XLOOKUP('Banco de Dados'!$G908,Follow[CODRASTREIO],Follow[DATAATUALIZAÇÃO]),"-")</f>
        <v>45700</v>
      </c>
      <c r="AK908" s="132" t="str">
        <f ca="1"/>
        <v>-</v>
      </c>
      <c r="AL908" s="35"/>
      <c r="AM908" s="109" cm="1">
        <f t="array" aca="1" ref="AM908" ca="1">IF('Banco de Dados'!$AK908&lt;&gt;"-",_xlfn.IFS('Banco de Dados'!$A908="bv",IF('Banco de Dados'!$E908&lt;45641,ROUND(SUM('Banco de Dados'!$R908*_xlfn.XLOOKUP('Banco de Dados'!$P908,Sku!B:B,Sku!#REF!)*20%),2),ROUND(SUM('Banco de Dados'!$R908*_xlfn.XLOOKUP('Banco de Dados'!$P908,Sku!B:B,Sku!H:H)*20%),2)),'Banco de Dados'!$A908="GO",ROUND(SUM('Banco de Dados'!$R908*_xlfn.XLOOKUP('Banco de Dados'!$P908,Sku!C:C,Sku!H:H)*20%),2),'Banco de Dados'!$A908="MEI",ROUND(SUM('Banco de Dados'!$R908*_xlfn.XLOOKUP('Banco de Dados'!$P908,Sku!D:D,Sku!H:H)*20%),2)),0)</f>
        <v>0</v>
      </c>
      <c r="AN908" s="109">
        <f ca="1">IF('Banco de Dados'!$AK908&lt;&gt;"-",IF('Banco de Dados'!$F908&lt;&gt;"-",_xlfn.XLOOKUP(IFERROR(IFERROR(IFERROR(VALUE(SUBSTITUTE(MID(_xlfn.TEXTAFTER('Banco de Dados'!$F908,"Data do Pedido:
",1),1,10),"-","/")),VALUE(SUBSTITUTE(MID(_xlfn.TEXTAFTER('Banco de Dados'!$F908,"Order date:
",1),1,10),"-","/"))),VALUE(SUBSTITUTE(MID(_xlfn.TEXTAFTER('Banco de Dados'!$F908,"Fecha de pedido:
",1),1,10),"-","/"))),"-"),SMS!A:A,SMS!K:K),0),0)</f>
        <v>0</v>
      </c>
      <c r="AO908" s="109">
        <f ca="1">IF('Banco de Dados'!$AK908&lt;&gt;"-",IF('Banco de Dados'!$F908&lt;&gt;"-",IFERROR(_xlfn.XLOOKUP(_xlfn.CONCAT('Banco de Dados'!$A908,IFERROR(IFERROR(VALUE(SUBSTITUTE(MID(_xlfn.TEXTAFTER('Banco de Dados'!$F908,"Data do Pedido:
",1),1,10),"-","/")),VALUE(SUBSTITUTE(MID(_xlfn.TEXTAFTER('Banco de Dados'!$F908,"Order date:
",1),1,10),"-","/"))),0)),ProxyDD[Chave],ProxyDD[Valor por pedido]),PROXY!$P$2),0),0)</f>
        <v>0</v>
      </c>
      <c r="AP908" s="28">
        <f ca="1">IF('Banco de Dados'!$AK908&lt;&gt;"-",IF('Banco de Dados'!$AL908="NÃO",IFERROR(VALUE(SUBSTITUTE(_xlfn.TEXTAFTER('Banco de Dados'!$F908,"BRL ",1),".",",")),0),0),0)</f>
        <v>0</v>
      </c>
      <c r="AQ908" s="28">
        <f ca="1">SUM('Banco de Dados'!$AM908:$AP908)</f>
        <v>0</v>
      </c>
      <c r="AR908" s="8"/>
      <c r="AY908" s="8"/>
    </row>
    <row r="909" spans="1:51">
      <c r="A909" s="5" t="str">
        <v>GO</v>
      </c>
      <c r="B909" s="5" t="str">
        <f ca="1"/>
        <v>GO45688</v>
      </c>
      <c r="C909" s="8" t="str">
        <v>Pedido 896</v>
      </c>
      <c r="D909" s="187">
        <v>45688</v>
      </c>
      <c r="E909" s="9">
        <v>45688</v>
      </c>
      <c r="F909" s="8" t="str">
        <v>PedidoF875</v>
      </c>
      <c r="G909" s="2" t="str">
        <v>CódRastreio873</v>
      </c>
      <c r="H909" s="5">
        <v>1</v>
      </c>
      <c r="I909" s="2" t="str">
        <v>CPF 872</v>
      </c>
      <c r="J909" s="2" t="str">
        <v>Nome 872</v>
      </c>
      <c r="K909" s="8" t="str">
        <v>Tel 872</v>
      </c>
      <c r="L909" s="8" t="str">
        <v>Cep 872</v>
      </c>
      <c r="M909" s="8" t="str">
        <v>Rua 872</v>
      </c>
      <c r="N909" s="8" t="str">
        <v>Comp 872</v>
      </c>
      <c r="O909" s="8" t="str">
        <v>Ventilador Preto</v>
      </c>
      <c r="P909" s="8" t="str">
        <v>EP-9PIR-BWXH</v>
      </c>
      <c r="Q909" s="4">
        <v>45709</v>
      </c>
      <c r="R909" s="109">
        <v>64.989999999999995</v>
      </c>
      <c r="S909" s="11">
        <f ca="1"/>
        <v>64.989999999999995</v>
      </c>
      <c r="T909" s="28">
        <f ca="1"/>
        <v>8.4486999999999988</v>
      </c>
      <c r="U909" s="11">
        <f ca="1"/>
        <v>56.54</v>
      </c>
      <c r="V909" s="11">
        <v>10.18</v>
      </c>
      <c r="W909" s="11">
        <f ca="1"/>
        <v>0.3</v>
      </c>
      <c r="X909" s="11">
        <f ca="1"/>
        <v>0.39877104377104378</v>
      </c>
      <c r="Y909" s="11">
        <v>0</v>
      </c>
      <c r="Z909" s="11">
        <f ca="1"/>
        <v>45.661228956228953</v>
      </c>
      <c r="AA909" s="11">
        <f ca="1"/>
        <v>45.661228956228953</v>
      </c>
      <c r="AB909" s="4">
        <f ca="1"/>
        <v>45716</v>
      </c>
      <c r="AC909" s="4">
        <v>45716</v>
      </c>
      <c r="AD909" s="9">
        <v>45721</v>
      </c>
      <c r="AE909" s="9">
        <v>45733</v>
      </c>
      <c r="AF909" s="4" t="str">
        <f t="shared" ca="1" si="42"/>
        <v>2025 02</v>
      </c>
      <c r="AG909" s="8" t="str" cm="1">
        <f t="array" ref="AG909">IFERROR(_xlfn.IFS('Banco de Dados'!#REF!="AG. COMPRA","Em processamento",'Banco de Dados'!#REF!="AG. RASTREIO","Em processamento",'Banco de Dados'!$AE909&lt;&gt;"-","Faturado",'Banco de Dados'!$AD909&lt;&gt;"-","Aguardando Pix",'Banco de Dados'!$AC909&lt;&gt;"-","Pendente"),"Aguardando Liberação")</f>
        <v>Aguardando Liberação</v>
      </c>
      <c r="AH909" s="5" t="str">
        <f>IF('Banco de Dados'!$F909="-",_xlfn.CONCAT(PROPER(TEXT(AK909,"aaaa"))," ",PROPER(TEXT(AK909,"mm"))),_xlfn.CONCAT(PROPER(TEXT(E909,"aaaa"))," ",PROPER(TEXT(E909,"mm"))))</f>
        <v>2025 01</v>
      </c>
      <c r="AI909" s="9" t="str">
        <f ca="1">IF('Banco de Dados'!$AK909&lt;&gt;"-","REEMBOLSO",IFERROR(_xlfn.XLOOKUP(G909,Follow[CODRASTREIO],Follow[STATUS]),"-"))</f>
        <v>ENTREGUE</v>
      </c>
      <c r="AJ909" s="9">
        <f ca="1">IF('Banco de Dados'!$AI909="ENTREGUE",_xlfn.XLOOKUP('Banco de Dados'!$G909,Follow[CODRASTREIO],Follow[DATAATUALIZAÇÃO]),"-")</f>
        <v>45706</v>
      </c>
      <c r="AK909" s="132" t="str">
        <f ca="1"/>
        <v>-</v>
      </c>
      <c r="AL909" s="35"/>
      <c r="AM909" s="109" cm="1">
        <f t="array" aca="1" ref="AM909" ca="1">IF('Banco de Dados'!$AK909&lt;&gt;"-",_xlfn.IFS('Banco de Dados'!$A909="bv",IF('Banco de Dados'!$E909&lt;45641,ROUND(SUM('Banco de Dados'!$R909*_xlfn.XLOOKUP('Banco de Dados'!$P909,Sku!B:B,Sku!#REF!)*20%),2),ROUND(SUM('Banco de Dados'!$R909*_xlfn.XLOOKUP('Banco de Dados'!$P909,Sku!B:B,Sku!H:H)*20%),2)),'Banco de Dados'!$A909="GO",ROUND(SUM('Banco de Dados'!$R909*_xlfn.XLOOKUP('Banco de Dados'!$P909,Sku!C:C,Sku!H:H)*20%),2),'Banco de Dados'!$A909="MEI",ROUND(SUM('Banco de Dados'!$R909*_xlfn.XLOOKUP('Banco de Dados'!$P909,Sku!D:D,Sku!H:H)*20%),2)),0)</f>
        <v>0</v>
      </c>
      <c r="AN909" s="109">
        <f ca="1">IF('Banco de Dados'!$AK909&lt;&gt;"-",IF('Banco de Dados'!$F909&lt;&gt;"-",_xlfn.XLOOKUP(IFERROR(IFERROR(IFERROR(VALUE(SUBSTITUTE(MID(_xlfn.TEXTAFTER('Banco de Dados'!$F909,"Data do Pedido:
",1),1,10),"-","/")),VALUE(SUBSTITUTE(MID(_xlfn.TEXTAFTER('Banco de Dados'!$F909,"Order date:
",1),1,10),"-","/"))),VALUE(SUBSTITUTE(MID(_xlfn.TEXTAFTER('Banco de Dados'!$F909,"Fecha de pedido:
",1),1,10),"-","/"))),"-"),SMS!A:A,SMS!K:K),0),0)</f>
        <v>0</v>
      </c>
      <c r="AO909" s="109">
        <f ca="1">IF('Banco de Dados'!$AK909&lt;&gt;"-",IF('Banco de Dados'!$F909&lt;&gt;"-",IFERROR(_xlfn.XLOOKUP(_xlfn.CONCAT('Banco de Dados'!$A909,IFERROR(IFERROR(VALUE(SUBSTITUTE(MID(_xlfn.TEXTAFTER('Banco de Dados'!$F909,"Data do Pedido:
",1),1,10),"-","/")),VALUE(SUBSTITUTE(MID(_xlfn.TEXTAFTER('Banco de Dados'!$F909,"Order date:
",1),1,10),"-","/"))),0)),ProxyDD[Chave],ProxyDD[Valor por pedido]),PROXY!$P$2),0),0)</f>
        <v>0</v>
      </c>
      <c r="AP909" s="28">
        <f ca="1">IF('Banco de Dados'!$AK909&lt;&gt;"-",IF('Banco de Dados'!$AL909="NÃO",IFERROR(VALUE(SUBSTITUTE(_xlfn.TEXTAFTER('Banco de Dados'!$F909,"BRL ",1),".",",")),0),0),0)</f>
        <v>0</v>
      </c>
      <c r="AQ909" s="28">
        <f ca="1">SUM('Banco de Dados'!$AM909:$AP909)</f>
        <v>0</v>
      </c>
      <c r="AR909" s="8"/>
      <c r="AY909" s="8"/>
    </row>
    <row r="910" spans="1:51">
      <c r="A910" s="5" t="str">
        <v>GO</v>
      </c>
      <c r="B910" s="5" t="str">
        <f ca="1"/>
        <v>GO45691</v>
      </c>
      <c r="C910" s="8" t="str">
        <v>Pedido 897</v>
      </c>
      <c r="D910" s="187">
        <v>45688</v>
      </c>
      <c r="E910" s="9">
        <v>45691</v>
      </c>
      <c r="F910" s="8" t="str">
        <v>PedidoF876</v>
      </c>
      <c r="G910" s="2" t="str">
        <v>CódRastreio874</v>
      </c>
      <c r="H910" s="5">
        <v>1</v>
      </c>
      <c r="I910" s="2" t="str">
        <v>CPF 872</v>
      </c>
      <c r="J910" s="2" t="str">
        <v>Nome 872</v>
      </c>
      <c r="K910" s="8" t="str">
        <v>Tel 872</v>
      </c>
      <c r="L910" s="8" t="str">
        <v>Cep 872</v>
      </c>
      <c r="M910" s="8" t="str">
        <v>Rua 872</v>
      </c>
      <c r="N910" s="8" t="str">
        <v>Comp 872</v>
      </c>
      <c r="O910" s="8" t="str">
        <v>Ventilador Preto</v>
      </c>
      <c r="P910" s="8" t="str">
        <v>EP-9PIR-BWXH</v>
      </c>
      <c r="Q910" s="4">
        <v>45709</v>
      </c>
      <c r="R910" s="109">
        <v>64.989999999999995</v>
      </c>
      <c r="S910" s="11">
        <f ca="1"/>
        <v>64.989999999999995</v>
      </c>
      <c r="T910" s="28">
        <f ca="1"/>
        <v>8.4486999999999988</v>
      </c>
      <c r="U910" s="11">
        <f ca="1"/>
        <v>56.54</v>
      </c>
      <c r="V910" s="11">
        <v>10.199999999999999</v>
      </c>
      <c r="W910" s="11">
        <f ca="1"/>
        <v>0.18</v>
      </c>
      <c r="X910" s="11">
        <f ca="1"/>
        <v>0.39877104377104378</v>
      </c>
      <c r="Y910" s="11">
        <v>0</v>
      </c>
      <c r="Z910" s="11">
        <f ca="1"/>
        <v>45.761228956228955</v>
      </c>
      <c r="AA910" s="11">
        <f ca="1"/>
        <v>45.761228956228955</v>
      </c>
      <c r="AB910" s="4">
        <f ca="1"/>
        <v>45716</v>
      </c>
      <c r="AC910" s="4">
        <v>45716</v>
      </c>
      <c r="AD910" s="9">
        <v>45721</v>
      </c>
      <c r="AE910" s="9">
        <v>45733</v>
      </c>
      <c r="AF910" s="4" t="str">
        <f t="shared" ca="1" si="42"/>
        <v>2025 02</v>
      </c>
      <c r="AG910" s="8" t="str" cm="1">
        <f t="array" ref="AG910">IFERROR(_xlfn.IFS('Banco de Dados'!#REF!="AG. COMPRA","Em processamento",'Banco de Dados'!#REF!="AG. RASTREIO","Em processamento",'Banco de Dados'!$AE910&lt;&gt;"-","Faturado",'Banco de Dados'!$AD910&lt;&gt;"-","Aguardando Pix",'Banco de Dados'!$AC910&lt;&gt;"-","Pendente"),"Aguardando Liberação")</f>
        <v>Aguardando Liberação</v>
      </c>
      <c r="AH910" s="5" t="str">
        <f>IF('Banco de Dados'!$F910="-",_xlfn.CONCAT(PROPER(TEXT(AK910,"aaaa"))," ",PROPER(TEXT(AK910,"mm"))),_xlfn.CONCAT(PROPER(TEXT(E910,"aaaa"))," ",PROPER(TEXT(E910,"mm"))))</f>
        <v>2025 02</v>
      </c>
      <c r="AI910" s="9" t="str">
        <f ca="1">IF('Banco de Dados'!$AK910&lt;&gt;"-","REEMBOLSO",IFERROR(_xlfn.XLOOKUP(G910,Follow[CODRASTREIO],Follow[STATUS]),"-"))</f>
        <v>ENTREGUE</v>
      </c>
      <c r="AJ910" s="9">
        <f ca="1">IF('Banco de Dados'!$AI910="ENTREGUE",_xlfn.XLOOKUP('Banco de Dados'!$G910,Follow[CODRASTREIO],Follow[DATAATUALIZAÇÃO]),"-")</f>
        <v>45698</v>
      </c>
      <c r="AK910" s="132" t="str">
        <f ca="1"/>
        <v>-</v>
      </c>
      <c r="AL910" s="35"/>
      <c r="AM910" s="109" cm="1">
        <f t="array" aca="1" ref="AM910" ca="1">IF('Banco de Dados'!$AK910&lt;&gt;"-",_xlfn.IFS('Banco de Dados'!$A910="bv",IF('Banco de Dados'!$E910&lt;45641,ROUND(SUM('Banco de Dados'!$R910*_xlfn.XLOOKUP('Banco de Dados'!$P910,Sku!B:B,Sku!#REF!)*20%),2),ROUND(SUM('Banco de Dados'!$R910*_xlfn.XLOOKUP('Banco de Dados'!$P910,Sku!B:B,Sku!H:H)*20%),2)),'Banco de Dados'!$A910="GO",ROUND(SUM('Banco de Dados'!$R910*_xlfn.XLOOKUP('Banco de Dados'!$P910,Sku!C:C,Sku!H:H)*20%),2),'Banco de Dados'!$A910="MEI",ROUND(SUM('Banco de Dados'!$R910*_xlfn.XLOOKUP('Banco de Dados'!$P910,Sku!D:D,Sku!H:H)*20%),2)),0)</f>
        <v>0</v>
      </c>
      <c r="AN910" s="109">
        <f ca="1">IF('Banco de Dados'!$AK910&lt;&gt;"-",IF('Banco de Dados'!$F910&lt;&gt;"-",_xlfn.XLOOKUP(IFERROR(IFERROR(IFERROR(VALUE(SUBSTITUTE(MID(_xlfn.TEXTAFTER('Banco de Dados'!$F910,"Data do Pedido:
",1),1,10),"-","/")),VALUE(SUBSTITUTE(MID(_xlfn.TEXTAFTER('Banco de Dados'!$F910,"Order date:
",1),1,10),"-","/"))),VALUE(SUBSTITUTE(MID(_xlfn.TEXTAFTER('Banco de Dados'!$F910,"Fecha de pedido:
",1),1,10),"-","/"))),"-"),SMS!A:A,SMS!K:K),0),0)</f>
        <v>0</v>
      </c>
      <c r="AO910" s="109">
        <f ca="1">IF('Banco de Dados'!$AK910&lt;&gt;"-",IF('Banco de Dados'!$F910&lt;&gt;"-",IFERROR(_xlfn.XLOOKUP(_xlfn.CONCAT('Banco de Dados'!$A910,IFERROR(IFERROR(VALUE(SUBSTITUTE(MID(_xlfn.TEXTAFTER('Banco de Dados'!$F910,"Data do Pedido:
",1),1,10),"-","/")),VALUE(SUBSTITUTE(MID(_xlfn.TEXTAFTER('Banco de Dados'!$F910,"Order date:
",1),1,10),"-","/"))),0)),ProxyDD[Chave],ProxyDD[Valor por pedido]),PROXY!$P$2),0),0)</f>
        <v>0</v>
      </c>
      <c r="AP910" s="28">
        <f ca="1">IF('Banco de Dados'!$AK910&lt;&gt;"-",IF('Banco de Dados'!$AL910="NÃO",IFERROR(VALUE(SUBSTITUTE(_xlfn.TEXTAFTER('Banco de Dados'!$F910,"BRL ",1),".",",")),0),0),0)</f>
        <v>0</v>
      </c>
      <c r="AQ910" s="28">
        <f ca="1">SUM('Banco de Dados'!$AM910:$AP910)</f>
        <v>0</v>
      </c>
      <c r="AR910" s="8"/>
      <c r="AY910" s="8"/>
    </row>
    <row r="911" spans="1:51">
      <c r="A911" s="5" t="str">
        <v>GO</v>
      </c>
      <c r="B911" s="5" t="str">
        <f ca="1"/>
        <v>GO45691</v>
      </c>
      <c r="C911" s="8" t="str">
        <v>Pedido 898</v>
      </c>
      <c r="D911" s="187">
        <v>45689</v>
      </c>
      <c r="E911" s="9">
        <v>45691</v>
      </c>
      <c r="F911" s="8" t="str">
        <v>PedidoF877</v>
      </c>
      <c r="G911" s="2" t="str">
        <v>CódRastreio875</v>
      </c>
      <c r="H911" s="5">
        <v>1</v>
      </c>
      <c r="I911" s="2" t="str">
        <v>CPF 873</v>
      </c>
      <c r="J911" s="2" t="str">
        <v>Nome 873</v>
      </c>
      <c r="K911" s="8" t="str">
        <v>Tel 873</v>
      </c>
      <c r="L911" s="8" t="str">
        <v>Cep 873</v>
      </c>
      <c r="M911" s="8" t="str">
        <v>Rua 873</v>
      </c>
      <c r="N911" s="8" t="str">
        <v>Comp 873</v>
      </c>
      <c r="O911" s="8" t="str">
        <v>Ventilador Preto</v>
      </c>
      <c r="P911" s="8" t="str">
        <v>EP-9PIR-BWXH</v>
      </c>
      <c r="Q911" s="4">
        <v>45709</v>
      </c>
      <c r="R911" s="109">
        <v>64.989999999999995</v>
      </c>
      <c r="S911" s="11">
        <f ca="1"/>
        <v>64.989999999999995</v>
      </c>
      <c r="T911" s="28">
        <f ca="1"/>
        <v>8.4486999999999988</v>
      </c>
      <c r="U911" s="11">
        <f ca="1"/>
        <v>56.54</v>
      </c>
      <c r="V911" s="11">
        <v>10.199999999999999</v>
      </c>
      <c r="W911" s="11">
        <f ca="1"/>
        <v>0.18</v>
      </c>
      <c r="X911" s="11">
        <f ca="1"/>
        <v>0.39877104377104378</v>
      </c>
      <c r="Y911" s="11">
        <v>0</v>
      </c>
      <c r="Z911" s="11">
        <f ca="1"/>
        <v>45.761228956228955</v>
      </c>
      <c r="AA911" s="11">
        <f ca="1"/>
        <v>45.761228956228955</v>
      </c>
      <c r="AB911" s="4">
        <f ca="1"/>
        <v>45716</v>
      </c>
      <c r="AC911" s="4">
        <v>45716</v>
      </c>
      <c r="AD911" s="9">
        <v>45721</v>
      </c>
      <c r="AE911" s="9">
        <v>45733</v>
      </c>
      <c r="AF911" s="4" t="str">
        <f t="shared" ca="1" si="42"/>
        <v>2025 02</v>
      </c>
      <c r="AG911" s="8" t="str" cm="1">
        <f t="array" ref="AG911">IFERROR(_xlfn.IFS('Banco de Dados'!#REF!="AG. COMPRA","Em processamento",'Banco de Dados'!#REF!="AG. RASTREIO","Em processamento",'Banco de Dados'!$AE911&lt;&gt;"-","Faturado",'Banco de Dados'!$AD911&lt;&gt;"-","Aguardando Pix",'Banco de Dados'!$AC911&lt;&gt;"-","Pendente"),"Aguardando Liberação")</f>
        <v>Aguardando Liberação</v>
      </c>
      <c r="AH911" s="5" t="str">
        <f>IF('Banco de Dados'!$F911="-",_xlfn.CONCAT(PROPER(TEXT(AK911,"aaaa"))," ",PROPER(TEXT(AK911,"mm"))),_xlfn.CONCAT(PROPER(TEXT(E911,"aaaa"))," ",PROPER(TEXT(E911,"mm"))))</f>
        <v>2025 02</v>
      </c>
      <c r="AI911" s="9" t="str">
        <f ca="1">IF('Banco de Dados'!$AK911&lt;&gt;"-","REEMBOLSO",IFERROR(_xlfn.XLOOKUP(G911,Follow[CODRASTREIO],Follow[STATUS]),"-"))</f>
        <v>ENTREGUE</v>
      </c>
      <c r="AJ911" s="9">
        <f ca="1">IF('Banco de Dados'!$AI911="ENTREGUE",_xlfn.XLOOKUP('Banco de Dados'!$G911,Follow[CODRASTREIO],Follow[DATAATUALIZAÇÃO]),"-")</f>
        <v>45700</v>
      </c>
      <c r="AK911" s="132" t="str">
        <f ca="1"/>
        <v>-</v>
      </c>
      <c r="AL911" s="35"/>
      <c r="AM911" s="109" cm="1">
        <f t="array" aca="1" ref="AM911" ca="1">IF('Banco de Dados'!$AK911&lt;&gt;"-",_xlfn.IFS('Banco de Dados'!$A911="bv",IF('Banco de Dados'!$E911&lt;45641,ROUND(SUM('Banco de Dados'!$R911*_xlfn.XLOOKUP('Banco de Dados'!$P911,Sku!B:B,Sku!#REF!)*20%),2),ROUND(SUM('Banco de Dados'!$R911*_xlfn.XLOOKUP('Banco de Dados'!$P911,Sku!B:B,Sku!H:H)*20%),2)),'Banco de Dados'!$A911="GO",ROUND(SUM('Banco de Dados'!$R911*_xlfn.XLOOKUP('Banco de Dados'!$P911,Sku!C:C,Sku!H:H)*20%),2),'Banco de Dados'!$A911="MEI",ROUND(SUM('Banco de Dados'!$R911*_xlfn.XLOOKUP('Banco de Dados'!$P911,Sku!D:D,Sku!H:H)*20%),2)),0)</f>
        <v>0</v>
      </c>
      <c r="AN911" s="109">
        <f ca="1">IF('Banco de Dados'!$AK911&lt;&gt;"-",IF('Banco de Dados'!$F911&lt;&gt;"-",_xlfn.XLOOKUP(IFERROR(IFERROR(IFERROR(VALUE(SUBSTITUTE(MID(_xlfn.TEXTAFTER('Banco de Dados'!$F911,"Data do Pedido:
",1),1,10),"-","/")),VALUE(SUBSTITUTE(MID(_xlfn.TEXTAFTER('Banco de Dados'!$F911,"Order date:
",1),1,10),"-","/"))),VALUE(SUBSTITUTE(MID(_xlfn.TEXTAFTER('Banco de Dados'!$F911,"Fecha de pedido:
",1),1,10),"-","/"))),"-"),SMS!A:A,SMS!K:K),0),0)</f>
        <v>0</v>
      </c>
      <c r="AO911" s="109">
        <f ca="1">IF('Banco de Dados'!$AK911&lt;&gt;"-",IF('Banco de Dados'!$F911&lt;&gt;"-",IFERROR(_xlfn.XLOOKUP(_xlfn.CONCAT('Banco de Dados'!$A911,IFERROR(IFERROR(VALUE(SUBSTITUTE(MID(_xlfn.TEXTAFTER('Banco de Dados'!$F911,"Data do Pedido:
",1),1,10),"-","/")),VALUE(SUBSTITUTE(MID(_xlfn.TEXTAFTER('Banco de Dados'!$F911,"Order date:
",1),1,10),"-","/"))),0)),ProxyDD[Chave],ProxyDD[Valor por pedido]),PROXY!$P$2),0),0)</f>
        <v>0</v>
      </c>
      <c r="AP911" s="28">
        <f ca="1">IF('Banco de Dados'!$AK911&lt;&gt;"-",IF('Banco de Dados'!$AL911="NÃO",IFERROR(VALUE(SUBSTITUTE(_xlfn.TEXTAFTER('Banco de Dados'!$F911,"BRL ",1),".",",")),0),0),0)</f>
        <v>0</v>
      </c>
      <c r="AQ911" s="28">
        <f ca="1">SUM('Banco de Dados'!$AM911:$AP911)</f>
        <v>0</v>
      </c>
      <c r="AR911" s="8"/>
      <c r="AY911" s="8"/>
    </row>
    <row r="912" spans="1:51">
      <c r="A912" s="5" t="str">
        <v>GO</v>
      </c>
      <c r="B912" s="5" t="str">
        <f ca="1"/>
        <v>GO45691</v>
      </c>
      <c r="C912" s="8" t="str">
        <v>Pedido 899</v>
      </c>
      <c r="D912" s="187">
        <v>45689</v>
      </c>
      <c r="E912" s="9">
        <v>45691</v>
      </c>
      <c r="F912" s="8" t="str">
        <v>PedidoF878</v>
      </c>
      <c r="G912" s="2" t="str">
        <v>CódRastreio876</v>
      </c>
      <c r="H912" s="5">
        <v>1</v>
      </c>
      <c r="I912" s="2" t="str">
        <v>CPF 874</v>
      </c>
      <c r="J912" s="2" t="str">
        <v>Nome 874</v>
      </c>
      <c r="K912" s="8" t="str">
        <v>Tel 874</v>
      </c>
      <c r="L912" s="8" t="str">
        <v>Cep 874</v>
      </c>
      <c r="M912" s="8" t="str">
        <v>Rua 874</v>
      </c>
      <c r="N912" s="8" t="str">
        <v>Comp 874</v>
      </c>
      <c r="O912" s="8" t="str">
        <v>Ventilador Preto</v>
      </c>
      <c r="P912" s="8" t="str">
        <v>EP-9PIR-BWXH</v>
      </c>
      <c r="Q912" s="4">
        <v>45709</v>
      </c>
      <c r="R912" s="109">
        <v>64.989999999999995</v>
      </c>
      <c r="S912" s="11">
        <f ca="1"/>
        <v>64.989999999999995</v>
      </c>
      <c r="T912" s="28">
        <f ca="1"/>
        <v>8.4486999999999988</v>
      </c>
      <c r="U912" s="11">
        <f ca="1"/>
        <v>56.54</v>
      </c>
      <c r="V912" s="11">
        <v>10.199999999999999</v>
      </c>
      <c r="W912" s="11">
        <f ca="1"/>
        <v>0.18</v>
      </c>
      <c r="X912" s="11">
        <f ca="1"/>
        <v>0.39877104377104378</v>
      </c>
      <c r="Y912" s="11">
        <v>0</v>
      </c>
      <c r="Z912" s="11">
        <f ca="1"/>
        <v>45.761228956228955</v>
      </c>
      <c r="AA912" s="11">
        <f ca="1"/>
        <v>45.761228956228955</v>
      </c>
      <c r="AB912" s="4">
        <f ca="1"/>
        <v>45716</v>
      </c>
      <c r="AC912" s="4">
        <v>45716</v>
      </c>
      <c r="AD912" s="9">
        <v>45721</v>
      </c>
      <c r="AE912" s="9">
        <v>45733</v>
      </c>
      <c r="AF912" s="4" t="str">
        <f t="shared" ca="1" si="42"/>
        <v>2025 02</v>
      </c>
      <c r="AG912" s="8" t="str" cm="1">
        <f t="array" ref="AG912">IFERROR(_xlfn.IFS('Banco de Dados'!#REF!="AG. COMPRA","Em processamento",'Banco de Dados'!#REF!="AG. RASTREIO","Em processamento",'Banco de Dados'!$AE912&lt;&gt;"-","Faturado",'Banco de Dados'!$AD912&lt;&gt;"-","Aguardando Pix",'Banco de Dados'!$AC912&lt;&gt;"-","Pendente"),"Aguardando Liberação")</f>
        <v>Aguardando Liberação</v>
      </c>
      <c r="AH912" s="5" t="str">
        <f>IF('Banco de Dados'!$F912="-",_xlfn.CONCAT(PROPER(TEXT(AK912,"aaaa"))," ",PROPER(TEXT(AK912,"mm"))),_xlfn.CONCAT(PROPER(TEXT(E912,"aaaa"))," ",PROPER(TEXT(E912,"mm"))))</f>
        <v>2025 02</v>
      </c>
      <c r="AI912" s="9" t="str">
        <f ca="1">IF('Banco de Dados'!$AK912&lt;&gt;"-","REEMBOLSO",IFERROR(_xlfn.XLOOKUP(G912,Follow[CODRASTREIO],Follow[STATUS]),"-"))</f>
        <v>ENTREGUE</v>
      </c>
      <c r="AJ912" s="9">
        <f ca="1">IF('Banco de Dados'!$AI912="ENTREGUE",_xlfn.XLOOKUP('Banco de Dados'!$G912,Follow[CODRASTREIO],Follow[DATAATUALIZAÇÃO]),"-")</f>
        <v>45698</v>
      </c>
      <c r="AK912" s="132" t="str">
        <f ca="1"/>
        <v>-</v>
      </c>
      <c r="AL912" s="35"/>
      <c r="AM912" s="109" cm="1">
        <f t="array" aca="1" ref="AM912" ca="1">IF('Banco de Dados'!$AK912&lt;&gt;"-",_xlfn.IFS('Banco de Dados'!$A912="bv",IF('Banco de Dados'!$E912&lt;45641,ROUND(SUM('Banco de Dados'!$R912*_xlfn.XLOOKUP('Banco de Dados'!$P912,Sku!B:B,Sku!#REF!)*20%),2),ROUND(SUM('Banco de Dados'!$R912*_xlfn.XLOOKUP('Banco de Dados'!$P912,Sku!B:B,Sku!H:H)*20%),2)),'Banco de Dados'!$A912="GO",ROUND(SUM('Banco de Dados'!$R912*_xlfn.XLOOKUP('Banco de Dados'!$P912,Sku!C:C,Sku!H:H)*20%),2),'Banco de Dados'!$A912="MEI",ROUND(SUM('Banco de Dados'!$R912*_xlfn.XLOOKUP('Banco de Dados'!$P912,Sku!D:D,Sku!H:H)*20%),2)),0)</f>
        <v>0</v>
      </c>
      <c r="AN912" s="109">
        <f ca="1">IF('Banco de Dados'!$AK912&lt;&gt;"-",IF('Banco de Dados'!$F912&lt;&gt;"-",_xlfn.XLOOKUP(IFERROR(IFERROR(IFERROR(VALUE(SUBSTITUTE(MID(_xlfn.TEXTAFTER('Banco de Dados'!$F912,"Data do Pedido:
",1),1,10),"-","/")),VALUE(SUBSTITUTE(MID(_xlfn.TEXTAFTER('Banco de Dados'!$F912,"Order date:
",1),1,10),"-","/"))),VALUE(SUBSTITUTE(MID(_xlfn.TEXTAFTER('Banco de Dados'!$F912,"Fecha de pedido:
",1),1,10),"-","/"))),"-"),SMS!A:A,SMS!K:K),0),0)</f>
        <v>0</v>
      </c>
      <c r="AO912" s="109">
        <f ca="1">IF('Banco de Dados'!$AK912&lt;&gt;"-",IF('Banco de Dados'!$F912&lt;&gt;"-",IFERROR(_xlfn.XLOOKUP(_xlfn.CONCAT('Banco de Dados'!$A912,IFERROR(IFERROR(VALUE(SUBSTITUTE(MID(_xlfn.TEXTAFTER('Banco de Dados'!$F912,"Data do Pedido:
",1),1,10),"-","/")),VALUE(SUBSTITUTE(MID(_xlfn.TEXTAFTER('Banco de Dados'!$F912,"Order date:
",1),1,10),"-","/"))),0)),ProxyDD[Chave],ProxyDD[Valor por pedido]),PROXY!$P$2),0),0)</f>
        <v>0</v>
      </c>
      <c r="AP912" s="28">
        <f ca="1">IF('Banco de Dados'!$AK912&lt;&gt;"-",IF('Banco de Dados'!$AL912="NÃO",IFERROR(VALUE(SUBSTITUTE(_xlfn.TEXTAFTER('Banco de Dados'!$F912,"BRL ",1),".",",")),0),0),0)</f>
        <v>0</v>
      </c>
      <c r="AQ912" s="28">
        <f ca="1">SUM('Banco de Dados'!$AM912:$AP912)</f>
        <v>0</v>
      </c>
      <c r="AR912" s="8"/>
      <c r="AY912" s="8"/>
    </row>
    <row r="913" spans="1:51">
      <c r="A913" s="5" t="str">
        <v>GO</v>
      </c>
      <c r="B913" s="5" t="str">
        <f ca="1"/>
        <v>GO45693</v>
      </c>
      <c r="C913" s="8" t="str">
        <v>Pedido 900</v>
      </c>
      <c r="D913" s="187">
        <v>45693</v>
      </c>
      <c r="E913" s="9">
        <v>45693</v>
      </c>
      <c r="F913" s="8" t="str">
        <v>PedidoF879</v>
      </c>
      <c r="G913" s="2" t="str">
        <v>CódRastreio877</v>
      </c>
      <c r="H913" s="5">
        <v>1</v>
      </c>
      <c r="I913" s="2" t="str">
        <v>CPF 875</v>
      </c>
      <c r="J913" s="2" t="str">
        <v>Nome 875</v>
      </c>
      <c r="K913" s="8" t="str">
        <v>Tel 875</v>
      </c>
      <c r="L913" s="8" t="str">
        <v>Cep 875</v>
      </c>
      <c r="M913" s="8" t="str">
        <v>Rua 875</v>
      </c>
      <c r="N913" s="8" t="str">
        <v>Comp 875</v>
      </c>
      <c r="O913" s="8" t="str">
        <v>Ventilador Preto</v>
      </c>
      <c r="P913" s="8" t="str">
        <v>EP-9PIR-BWXH</v>
      </c>
      <c r="Q913" s="4">
        <v>45723</v>
      </c>
      <c r="R913" s="109">
        <v>65.989999999999995</v>
      </c>
      <c r="S913" s="11">
        <f ca="1"/>
        <v>65.989999999999995</v>
      </c>
      <c r="T913" s="28">
        <f ca="1"/>
        <v>8.5786999999999995</v>
      </c>
      <c r="U913" s="11">
        <f ca="1"/>
        <v>57.41</v>
      </c>
      <c r="V913" s="11">
        <v>10.210000000000001</v>
      </c>
      <c r="W913" s="11">
        <f ca="1"/>
        <v>0.25</v>
      </c>
      <c r="X913" s="11">
        <f ca="1"/>
        <v>0.39877104377104378</v>
      </c>
      <c r="Y913" s="11">
        <v>0</v>
      </c>
      <c r="Z913" s="11">
        <f ca="1"/>
        <v>46.551228956228954</v>
      </c>
      <c r="AA913" s="11">
        <f ca="1"/>
        <v>46.551228956228954</v>
      </c>
      <c r="AB913" s="4">
        <f ca="1"/>
        <v>45730</v>
      </c>
      <c r="AC913" s="4">
        <v>45730</v>
      </c>
      <c r="AD913" s="9">
        <v>45730</v>
      </c>
      <c r="AE913" s="9">
        <v>45733</v>
      </c>
      <c r="AF913" s="4" t="str">
        <f t="shared" ca="1" si="42"/>
        <v>2025 03</v>
      </c>
      <c r="AG913" s="8" t="str" cm="1">
        <f t="array" ref="AG913">IFERROR(_xlfn.IFS('Banco de Dados'!#REF!="AG. COMPRA","Em processamento",'Banco de Dados'!#REF!="AG. RASTREIO","Em processamento",'Banco de Dados'!$AE913&lt;&gt;"-","Faturado",'Banco de Dados'!$AD913&lt;&gt;"-","Aguardando Pix",'Banco de Dados'!$AC913&lt;&gt;"-","Pendente"),"Aguardando Liberação")</f>
        <v>Aguardando Liberação</v>
      </c>
      <c r="AH913" s="5" t="str">
        <f>IF('Banco de Dados'!$F913="-",_xlfn.CONCAT(PROPER(TEXT(AK913,"aaaa"))," ",PROPER(TEXT(AK913,"mm"))),_xlfn.CONCAT(PROPER(TEXT(E913,"aaaa"))," ",PROPER(TEXT(E913,"mm"))))</f>
        <v>2025 02</v>
      </c>
      <c r="AI913" s="9" t="str">
        <f ca="1">IF('Banco de Dados'!$AK913&lt;&gt;"-","REEMBOLSO",IFERROR(_xlfn.XLOOKUP(G913,Follow[CODRASTREIO],Follow[STATUS]),"-"))</f>
        <v>ENTREGUE</v>
      </c>
      <c r="AJ913" s="9">
        <f ca="1">IF('Banco de Dados'!$AI913="ENTREGUE",_xlfn.XLOOKUP('Banco de Dados'!$G913,Follow[CODRASTREIO],Follow[DATAATUALIZAÇÃO]),"-")</f>
        <v>45701</v>
      </c>
      <c r="AK913" s="132" t="str">
        <f ca="1"/>
        <v>-</v>
      </c>
      <c r="AL913" s="35"/>
      <c r="AM913" s="109" cm="1">
        <f t="array" aca="1" ref="AM913" ca="1">IF('Banco de Dados'!$AK913&lt;&gt;"-",_xlfn.IFS('Banco de Dados'!$A913="bv",IF('Banco de Dados'!$E913&lt;45641,ROUND(SUM('Banco de Dados'!$R913*_xlfn.XLOOKUP('Banco de Dados'!$P913,Sku!B:B,Sku!#REF!)*20%),2),ROUND(SUM('Banco de Dados'!$R913*_xlfn.XLOOKUP('Banco de Dados'!$P913,Sku!B:B,Sku!H:H)*20%),2)),'Banco de Dados'!$A913="GO",ROUND(SUM('Banco de Dados'!$R913*_xlfn.XLOOKUP('Banco de Dados'!$P913,Sku!C:C,Sku!H:H)*20%),2),'Banco de Dados'!$A913="MEI",ROUND(SUM('Banco de Dados'!$R913*_xlfn.XLOOKUP('Banco de Dados'!$P913,Sku!D:D,Sku!H:H)*20%),2)),0)</f>
        <v>0</v>
      </c>
      <c r="AN913" s="109">
        <f ca="1">IF('Banco de Dados'!$AK913&lt;&gt;"-",IF('Banco de Dados'!$F913&lt;&gt;"-",_xlfn.XLOOKUP(IFERROR(IFERROR(IFERROR(VALUE(SUBSTITUTE(MID(_xlfn.TEXTAFTER('Banco de Dados'!$F913,"Data do Pedido:
",1),1,10),"-","/")),VALUE(SUBSTITUTE(MID(_xlfn.TEXTAFTER('Banco de Dados'!$F913,"Order date:
",1),1,10),"-","/"))),VALUE(SUBSTITUTE(MID(_xlfn.TEXTAFTER('Banco de Dados'!$F913,"Fecha de pedido:
",1),1,10),"-","/"))),"-"),SMS!A:A,SMS!K:K),0),0)</f>
        <v>0</v>
      </c>
      <c r="AO913" s="109">
        <f ca="1">IF('Banco de Dados'!$AK913&lt;&gt;"-",IF('Banco de Dados'!$F913&lt;&gt;"-",IFERROR(_xlfn.XLOOKUP(_xlfn.CONCAT('Banco de Dados'!$A913,IFERROR(IFERROR(VALUE(SUBSTITUTE(MID(_xlfn.TEXTAFTER('Banco de Dados'!$F913,"Data do Pedido:
",1),1,10),"-","/")),VALUE(SUBSTITUTE(MID(_xlfn.TEXTAFTER('Banco de Dados'!$F913,"Order date:
",1),1,10),"-","/"))),0)),ProxyDD[Chave],ProxyDD[Valor por pedido]),PROXY!$P$2),0),0)</f>
        <v>0</v>
      </c>
      <c r="AP913" s="28">
        <f ca="1">IF('Banco de Dados'!$AK913&lt;&gt;"-",IF('Banco de Dados'!$AL913="NÃO",IFERROR(VALUE(SUBSTITUTE(_xlfn.TEXTAFTER('Banco de Dados'!$F913,"BRL ",1),".",",")),0),0),0)</f>
        <v>0</v>
      </c>
      <c r="AQ913" s="28">
        <f ca="1">SUM('Banco de Dados'!$AM913:$AP913)</f>
        <v>0</v>
      </c>
      <c r="AR913" s="8"/>
      <c r="AY913" s="8"/>
    </row>
    <row r="914" spans="1:51">
      <c r="A914" s="5" t="str">
        <v>GO</v>
      </c>
      <c r="B914" s="5" t="str">
        <f ca="1"/>
        <v>GO45693</v>
      </c>
      <c r="C914" s="8" t="str">
        <v>Pedido 901</v>
      </c>
      <c r="D914" s="187">
        <v>45694</v>
      </c>
      <c r="E914" s="9">
        <v>45693</v>
      </c>
      <c r="F914" s="8" t="str">
        <v>PedidoF880</v>
      </c>
      <c r="G914" s="2" t="str">
        <v>CódRastreio878</v>
      </c>
      <c r="H914" s="5">
        <v>1</v>
      </c>
      <c r="I914" s="2" t="str">
        <v>CPF 674</v>
      </c>
      <c r="J914" s="2" t="str">
        <v>Nome 674</v>
      </c>
      <c r="K914" s="8" t="str">
        <v>Tel 674</v>
      </c>
      <c r="L914" s="8" t="str">
        <v>Cep 674</v>
      </c>
      <c r="M914" s="8" t="str">
        <v>Rua 674</v>
      </c>
      <c r="N914" s="8" t="str">
        <v>Comp 674</v>
      </c>
      <c r="O914" s="8" t="str">
        <v>Ventilador Preto</v>
      </c>
      <c r="P914" s="8" t="str">
        <v>EP-9PIR-BWXH</v>
      </c>
      <c r="Q914" s="4">
        <v>45723</v>
      </c>
      <c r="R914" s="109">
        <v>65.989999999999995</v>
      </c>
      <c r="S914" s="11">
        <f ca="1"/>
        <v>65.989999999999995</v>
      </c>
      <c r="T914" s="28">
        <f ca="1"/>
        <v>8.5786999999999995</v>
      </c>
      <c r="U914" s="11">
        <f ca="1"/>
        <v>57.41</v>
      </c>
      <c r="V914" s="11">
        <v>16.510000000000002</v>
      </c>
      <c r="W914" s="11">
        <f ca="1"/>
        <v>0.25</v>
      </c>
      <c r="X914" s="11">
        <f ca="1"/>
        <v>0.39877104377104378</v>
      </c>
      <c r="Y914" s="11">
        <v>0</v>
      </c>
      <c r="Z914" s="11">
        <f ca="1"/>
        <v>40.25122895622895</v>
      </c>
      <c r="AA914" s="11">
        <f ca="1"/>
        <v>40.25122895622895</v>
      </c>
      <c r="AB914" s="4">
        <f ca="1"/>
        <v>45730</v>
      </c>
      <c r="AC914" s="4">
        <v>45730</v>
      </c>
      <c r="AD914" s="9">
        <v>45730</v>
      </c>
      <c r="AE914" s="9">
        <v>45733</v>
      </c>
      <c r="AF914" s="4" t="str">
        <f t="shared" ca="1" si="42"/>
        <v>2025 03</v>
      </c>
      <c r="AG914" s="8" t="str" cm="1">
        <f t="array" ref="AG914">IFERROR(_xlfn.IFS('Banco de Dados'!#REF!="AG. COMPRA","Em processamento",'Banco de Dados'!#REF!="AG. RASTREIO","Em processamento",'Banco de Dados'!$AE914&lt;&gt;"-","Faturado",'Banco de Dados'!$AD914&lt;&gt;"-","Aguardando Pix",'Banco de Dados'!$AC914&lt;&gt;"-","Pendente"),"Aguardando Liberação")</f>
        <v>Aguardando Liberação</v>
      </c>
      <c r="AH914" s="5" t="str">
        <f>IF('Banco de Dados'!$F914="-",_xlfn.CONCAT(PROPER(TEXT(AK914,"aaaa"))," ",PROPER(TEXT(AK914,"mm"))),_xlfn.CONCAT(PROPER(TEXT(E914,"aaaa"))," ",PROPER(TEXT(E914,"mm"))))</f>
        <v>2025 02</v>
      </c>
      <c r="AI914" s="9" t="str">
        <f ca="1">IF('Banco de Dados'!$AK914&lt;&gt;"-","REEMBOLSO",IFERROR(_xlfn.XLOOKUP(G914,Follow[CODRASTREIO],Follow[STATUS]),"-"))</f>
        <v>ENTREGUE</v>
      </c>
      <c r="AJ914" s="9">
        <f ca="1">IF('Banco de Dados'!$AI914="ENTREGUE",_xlfn.XLOOKUP('Banco de Dados'!$G914,Follow[CODRASTREIO],Follow[DATAATUALIZAÇÃO]),"-")</f>
        <v>45713</v>
      </c>
      <c r="AK914" s="132" t="str">
        <f ca="1"/>
        <v>-</v>
      </c>
      <c r="AL914" s="35"/>
      <c r="AM914" s="109" cm="1">
        <f t="array" aca="1" ref="AM914" ca="1">IF('Banco de Dados'!$AK914&lt;&gt;"-",_xlfn.IFS('Banco de Dados'!$A914="bv",IF('Banco de Dados'!$E914&lt;45641,ROUND(SUM('Banco de Dados'!$R914*_xlfn.XLOOKUP('Banco de Dados'!$P914,Sku!B:B,Sku!#REF!)*20%),2),ROUND(SUM('Banco de Dados'!$R914*_xlfn.XLOOKUP('Banco de Dados'!$P914,Sku!B:B,Sku!H:H)*20%),2)),'Banco de Dados'!$A914="GO",ROUND(SUM('Banco de Dados'!$R914*_xlfn.XLOOKUP('Banco de Dados'!$P914,Sku!C:C,Sku!H:H)*20%),2),'Banco de Dados'!$A914="MEI",ROUND(SUM('Banco de Dados'!$R914*_xlfn.XLOOKUP('Banco de Dados'!$P914,Sku!D:D,Sku!H:H)*20%),2)),0)</f>
        <v>0</v>
      </c>
      <c r="AN914" s="109">
        <f ca="1">IF('Banco de Dados'!$AK914&lt;&gt;"-",IF('Banco de Dados'!$F914&lt;&gt;"-",_xlfn.XLOOKUP(IFERROR(IFERROR(IFERROR(VALUE(SUBSTITUTE(MID(_xlfn.TEXTAFTER('Banco de Dados'!$F914,"Data do Pedido:
",1),1,10),"-","/")),VALUE(SUBSTITUTE(MID(_xlfn.TEXTAFTER('Banco de Dados'!$F914,"Order date:
",1),1,10),"-","/"))),VALUE(SUBSTITUTE(MID(_xlfn.TEXTAFTER('Banco de Dados'!$F914,"Fecha de pedido:
",1),1,10),"-","/"))),"-"),SMS!A:A,SMS!K:K),0),0)</f>
        <v>0</v>
      </c>
      <c r="AO914" s="109">
        <f ca="1">IF('Banco de Dados'!$AK914&lt;&gt;"-",IF('Banco de Dados'!$F914&lt;&gt;"-",IFERROR(_xlfn.XLOOKUP(_xlfn.CONCAT('Banco de Dados'!$A914,IFERROR(IFERROR(VALUE(SUBSTITUTE(MID(_xlfn.TEXTAFTER('Banco de Dados'!$F914,"Data do Pedido:
",1),1,10),"-","/")),VALUE(SUBSTITUTE(MID(_xlfn.TEXTAFTER('Banco de Dados'!$F914,"Order date:
",1),1,10),"-","/"))),0)),ProxyDD[Chave],ProxyDD[Valor por pedido]),PROXY!$P$2),0),0)</f>
        <v>0</v>
      </c>
      <c r="AP914" s="28">
        <f ca="1">IF('Banco de Dados'!$AK914&lt;&gt;"-",IF('Banco de Dados'!$AL914="NÃO",IFERROR(VALUE(SUBSTITUTE(_xlfn.TEXTAFTER('Banco de Dados'!$F914,"BRL ",1),".",",")),0),0),0)</f>
        <v>0</v>
      </c>
      <c r="AQ914" s="28">
        <f ca="1">SUM('Banco de Dados'!$AM914:$AP914)</f>
        <v>0</v>
      </c>
      <c r="AR914" s="8"/>
      <c r="AY914" s="8"/>
    </row>
    <row r="915" spans="1:51">
      <c r="A915" s="5" t="str">
        <v>MEI</v>
      </c>
      <c r="B915" s="5" t="str">
        <f ca="1"/>
        <v>MEI45694</v>
      </c>
      <c r="C915" s="8" t="str">
        <v>Pedido 902</v>
      </c>
      <c r="D915" s="187">
        <v>45693</v>
      </c>
      <c r="E915" s="9">
        <v>45694</v>
      </c>
      <c r="F915" s="8" t="str">
        <v>PedidoF881</v>
      </c>
      <c r="G915" s="2" t="str">
        <v>CódRastreio879</v>
      </c>
      <c r="H915" s="5">
        <v>1</v>
      </c>
      <c r="I915" s="2" t="str">
        <v>CPF 876</v>
      </c>
      <c r="J915" s="2" t="str">
        <v>Nome 876</v>
      </c>
      <c r="K915" s="8" t="str">
        <v>Tel 876</v>
      </c>
      <c r="L915" s="8" t="str">
        <v>Cep 876</v>
      </c>
      <c r="M915" s="8" t="str">
        <v>Rua 876</v>
      </c>
      <c r="N915" s="8" t="str">
        <v>Comp 876</v>
      </c>
      <c r="O915" s="8" t="str">
        <v>Kit Forma de Gelo c/ Tampa 4 un</v>
      </c>
      <c r="P915" s="8" t="str">
        <v>MZ-PGT3-IKGF</v>
      </c>
      <c r="Q915" s="4">
        <v>45714</v>
      </c>
      <c r="R915" s="109">
        <v>34.99</v>
      </c>
      <c r="S915" s="11">
        <f ca="1"/>
        <v>34.99</v>
      </c>
      <c r="T915" s="28">
        <f ca="1"/>
        <v>4.1988000000000003</v>
      </c>
      <c r="U915" s="11">
        <f ca="1"/>
        <v>30.79</v>
      </c>
      <c r="V915" s="11">
        <v>30.4</v>
      </c>
      <c r="W915" s="11">
        <f ca="1"/>
        <v>0.2</v>
      </c>
      <c r="X915" s="11">
        <f ca="1"/>
        <v>0.39877104377104378</v>
      </c>
      <c r="Y915" s="11">
        <v>0</v>
      </c>
      <c r="Z915" s="11">
        <f ca="1"/>
        <v>-0.20877104377104416</v>
      </c>
      <c r="AA915" s="11">
        <f ca="1"/>
        <v>-0.10438552188552208</v>
      </c>
      <c r="AB915" s="4">
        <f ca="1"/>
        <v>45721</v>
      </c>
      <c r="AC915" s="4">
        <v>45721</v>
      </c>
      <c r="AD915" s="9">
        <v>45730</v>
      </c>
      <c r="AE915" s="9">
        <v>45733</v>
      </c>
      <c r="AF915" s="4" t="str">
        <f t="shared" ref="AF915:AF930" ca="1" si="43">_xlfn.CONCAT(PROPER(TEXT(AB915,"aaaa"))," ",PROPER(TEXT(AB915,"mm")))</f>
        <v>2025 03</v>
      </c>
      <c r="AG915" s="8" t="str" cm="1">
        <f t="array" ref="AG915">IFERROR(_xlfn.IFS('Banco de Dados'!#REF!="AG. COMPRA","Em processamento",'Banco de Dados'!#REF!="AG. RASTREIO","Em processamento",'Banco de Dados'!$AE915&lt;&gt;"-","Faturado",'Banco de Dados'!$AD915&lt;&gt;"-","Aguardando Pix",'Banco de Dados'!$AC915&lt;&gt;"-","Pendente"),"Aguardando Liberação")</f>
        <v>Aguardando Liberação</v>
      </c>
      <c r="AH915" s="5" t="str">
        <f>IF('Banco de Dados'!$F915="-",_xlfn.CONCAT(PROPER(TEXT(AK915,"aaaa"))," ",PROPER(TEXT(AK915,"mm"))),_xlfn.CONCAT(PROPER(TEXT(E915,"aaaa"))," ",PROPER(TEXT(E915,"mm"))))</f>
        <v>2025 02</v>
      </c>
      <c r="AI915" s="9" t="str">
        <f ca="1">IF('Banco de Dados'!$AK915&lt;&gt;"-","REEMBOLSO",IFERROR(_xlfn.XLOOKUP(G915,Follow[CODRASTREIO],Follow[STATUS]),"-"))</f>
        <v>ENTREGUE</v>
      </c>
      <c r="AJ915" s="9">
        <f ca="1">IF('Banco de Dados'!$AI915="ENTREGUE",_xlfn.XLOOKUP('Banco de Dados'!$G915,Follow[CODRASTREIO],Follow[DATAATUALIZAÇÃO]),"-")</f>
        <v>45707</v>
      </c>
      <c r="AK915" s="132" t="str">
        <f ca="1"/>
        <v>-</v>
      </c>
      <c r="AL915" s="35"/>
      <c r="AM915" s="109" cm="1">
        <f t="array" aca="1" ref="AM915" ca="1">IF('Banco de Dados'!$AK915&lt;&gt;"-",_xlfn.IFS('Banco de Dados'!$A915="bv",IF('Banco de Dados'!$E915&lt;45641,ROUND(SUM('Banco de Dados'!$R915*_xlfn.XLOOKUP('Banco de Dados'!$P915,Sku!B:B,Sku!#REF!)*20%),2),ROUND(SUM('Banco de Dados'!$R915*_xlfn.XLOOKUP('Banco de Dados'!$P915,Sku!B:B,Sku!H:H)*20%),2)),'Banco de Dados'!$A915="GO",ROUND(SUM('Banco de Dados'!$R915*_xlfn.XLOOKUP('Banco de Dados'!$P915,Sku!C:C,Sku!H:H)*20%),2),'Banco de Dados'!$A915="MEI",ROUND(SUM('Banco de Dados'!$R915*_xlfn.XLOOKUP('Banco de Dados'!$P915,Sku!D:D,Sku!H:H)*20%),2)),0)</f>
        <v>0</v>
      </c>
      <c r="AN915" s="109">
        <f ca="1">IF('Banco de Dados'!$AK915&lt;&gt;"-",IF('Banco de Dados'!$F915&lt;&gt;"-",_xlfn.XLOOKUP(IFERROR(IFERROR(IFERROR(VALUE(SUBSTITUTE(MID(_xlfn.TEXTAFTER('Banco de Dados'!$F915,"Data do Pedido:
",1),1,10),"-","/")),VALUE(SUBSTITUTE(MID(_xlfn.TEXTAFTER('Banco de Dados'!$F915,"Order date:
",1),1,10),"-","/"))),VALUE(SUBSTITUTE(MID(_xlfn.TEXTAFTER('Banco de Dados'!$F915,"Fecha de pedido:
",1),1,10),"-","/"))),"-"),SMS!A:A,SMS!K:K),0),0)</f>
        <v>0</v>
      </c>
      <c r="AO915" s="109">
        <f ca="1">IF('Banco de Dados'!$AK915&lt;&gt;"-",IF('Banco de Dados'!$F915&lt;&gt;"-",IFERROR(_xlfn.XLOOKUP(_xlfn.CONCAT('Banco de Dados'!$A915,IFERROR(IFERROR(VALUE(SUBSTITUTE(MID(_xlfn.TEXTAFTER('Banco de Dados'!$F915,"Data do Pedido:
",1),1,10),"-","/")),VALUE(SUBSTITUTE(MID(_xlfn.TEXTAFTER('Banco de Dados'!$F915,"Order date:
",1),1,10),"-","/"))),0)),ProxyDD[Chave],ProxyDD[Valor por pedido]),PROXY!$P$2),0),0)</f>
        <v>0</v>
      </c>
      <c r="AP915" s="28">
        <f ca="1">IF('Banco de Dados'!$AK915&lt;&gt;"-",IF('Banco de Dados'!$AL915="NÃO",IFERROR(VALUE(SUBSTITUTE(_xlfn.TEXTAFTER('Banco de Dados'!$F915,"BRL ",1),".",",")),0),0),0)</f>
        <v>0</v>
      </c>
      <c r="AQ915" s="28">
        <f ca="1">SUM('Banco de Dados'!$AM915:$AP915)</f>
        <v>0</v>
      </c>
      <c r="AR915" s="8"/>
      <c r="AY915" s="8"/>
    </row>
    <row r="916" spans="1:51">
      <c r="A916" s="5" t="str">
        <v>MEI</v>
      </c>
      <c r="B916" s="5" t="str">
        <f ca="1"/>
        <v>MEI45694</v>
      </c>
      <c r="C916" s="8" t="str">
        <v>Pedido 903</v>
      </c>
      <c r="D916" s="187">
        <v>45693</v>
      </c>
      <c r="E916" s="9">
        <v>45694</v>
      </c>
      <c r="F916" s="8" t="str">
        <v>PedidoF882</v>
      </c>
      <c r="G916" s="2" t="str">
        <v>CódRastreio880</v>
      </c>
      <c r="H916" s="5">
        <v>1</v>
      </c>
      <c r="I916" s="2" t="str">
        <v>CPF 877</v>
      </c>
      <c r="J916" s="2" t="str">
        <v>Nome 877</v>
      </c>
      <c r="K916" s="8" t="str">
        <v>Tel 877</v>
      </c>
      <c r="L916" s="8" t="str">
        <v>Cep 877</v>
      </c>
      <c r="M916" s="8" t="str">
        <v>Rua 877</v>
      </c>
      <c r="N916" s="8" t="str">
        <v>Comp 877</v>
      </c>
      <c r="O916" s="8" t="str">
        <v>Kit Forma de Gelo c/ Tampa 4 un</v>
      </c>
      <c r="P916" s="8" t="str">
        <v>MZ-PGT3-IKGF</v>
      </c>
      <c r="Q916" s="4">
        <v>45714</v>
      </c>
      <c r="R916" s="109">
        <v>34.99</v>
      </c>
      <c r="S916" s="11">
        <f ca="1"/>
        <v>34.99</v>
      </c>
      <c r="T916" s="28">
        <f ca="1"/>
        <v>4.1988000000000003</v>
      </c>
      <c r="U916" s="11">
        <f ca="1"/>
        <v>30.79</v>
      </c>
      <c r="V916" s="11">
        <v>30.4</v>
      </c>
      <c r="W916" s="11">
        <f ca="1"/>
        <v>0.2</v>
      </c>
      <c r="X916" s="11">
        <f ca="1"/>
        <v>0.39877104377104378</v>
      </c>
      <c r="Y916" s="11">
        <v>0</v>
      </c>
      <c r="Z916" s="11">
        <f ca="1"/>
        <v>-0.20877104377104416</v>
      </c>
      <c r="AA916" s="11">
        <f ca="1"/>
        <v>-0.10438552188552208</v>
      </c>
      <c r="AB916" s="4">
        <f ca="1"/>
        <v>45721</v>
      </c>
      <c r="AC916" s="4">
        <v>45721</v>
      </c>
      <c r="AD916" s="9">
        <v>45730</v>
      </c>
      <c r="AE916" s="9">
        <v>45733</v>
      </c>
      <c r="AF916" s="4" t="str">
        <f t="shared" ca="1" si="43"/>
        <v>2025 03</v>
      </c>
      <c r="AG916" s="8" t="str" cm="1">
        <f t="array" ref="AG916">IFERROR(_xlfn.IFS('Banco de Dados'!#REF!="AG. COMPRA","Em processamento",'Banco de Dados'!#REF!="AG. RASTREIO","Em processamento",'Banco de Dados'!$AE916&lt;&gt;"-","Faturado",'Banco de Dados'!$AD916&lt;&gt;"-","Aguardando Pix",'Banco de Dados'!$AC916&lt;&gt;"-","Pendente"),"Aguardando Liberação")</f>
        <v>Aguardando Liberação</v>
      </c>
      <c r="AH916" s="5" t="str">
        <f>IF('Banco de Dados'!$F916="-",_xlfn.CONCAT(PROPER(TEXT(AK916,"aaaa"))," ",PROPER(TEXT(AK916,"mm"))),_xlfn.CONCAT(PROPER(TEXT(E916,"aaaa"))," ",PROPER(TEXT(E916,"mm"))))</f>
        <v>2025 02</v>
      </c>
      <c r="AI916" s="9" t="str">
        <f ca="1">IF('Banco de Dados'!$AK916&lt;&gt;"-","REEMBOLSO",IFERROR(_xlfn.XLOOKUP(G916,Follow[CODRASTREIO],Follow[STATUS]),"-"))</f>
        <v>ENTREGUE</v>
      </c>
      <c r="AJ916" s="9">
        <f ca="1">IF('Banco de Dados'!$AI916="ENTREGUE",_xlfn.XLOOKUP('Banco de Dados'!$G916,Follow[CODRASTREIO],Follow[DATAATUALIZAÇÃO]),"-")</f>
        <v>45708</v>
      </c>
      <c r="AK916" s="132" t="str">
        <f ca="1"/>
        <v>-</v>
      </c>
      <c r="AL916" s="35"/>
      <c r="AM916" s="109" cm="1">
        <f t="array" aca="1" ref="AM916" ca="1">IF('Banco de Dados'!$AK916&lt;&gt;"-",_xlfn.IFS('Banco de Dados'!$A916="bv",IF('Banco de Dados'!$E916&lt;45641,ROUND(SUM('Banco de Dados'!$R916*_xlfn.XLOOKUP('Banco de Dados'!$P916,Sku!B:B,Sku!#REF!)*20%),2),ROUND(SUM('Banco de Dados'!$R916*_xlfn.XLOOKUP('Banco de Dados'!$P916,Sku!B:B,Sku!H:H)*20%),2)),'Banco de Dados'!$A916="GO",ROUND(SUM('Banco de Dados'!$R916*_xlfn.XLOOKUP('Banco de Dados'!$P916,Sku!C:C,Sku!H:H)*20%),2),'Banco de Dados'!$A916="MEI",ROUND(SUM('Banco de Dados'!$R916*_xlfn.XLOOKUP('Banco de Dados'!$P916,Sku!D:D,Sku!H:H)*20%),2)),0)</f>
        <v>0</v>
      </c>
      <c r="AN916" s="109">
        <f ca="1">IF('Banco de Dados'!$AK916&lt;&gt;"-",IF('Banco de Dados'!$F916&lt;&gt;"-",_xlfn.XLOOKUP(IFERROR(IFERROR(IFERROR(VALUE(SUBSTITUTE(MID(_xlfn.TEXTAFTER('Banco de Dados'!$F916,"Data do Pedido:
",1),1,10),"-","/")),VALUE(SUBSTITUTE(MID(_xlfn.TEXTAFTER('Banco de Dados'!$F916,"Order date:
",1),1,10),"-","/"))),VALUE(SUBSTITUTE(MID(_xlfn.TEXTAFTER('Banco de Dados'!$F916,"Fecha de pedido:
",1),1,10),"-","/"))),"-"),SMS!A:A,SMS!K:K),0),0)</f>
        <v>0</v>
      </c>
      <c r="AO916" s="109">
        <f ca="1">IF('Banco de Dados'!$AK916&lt;&gt;"-",IF('Banco de Dados'!$F916&lt;&gt;"-",IFERROR(_xlfn.XLOOKUP(_xlfn.CONCAT('Banco de Dados'!$A916,IFERROR(IFERROR(VALUE(SUBSTITUTE(MID(_xlfn.TEXTAFTER('Banco de Dados'!$F916,"Data do Pedido:
",1),1,10),"-","/")),VALUE(SUBSTITUTE(MID(_xlfn.TEXTAFTER('Banco de Dados'!$F916,"Order date:
",1),1,10),"-","/"))),0)),ProxyDD[Chave],ProxyDD[Valor por pedido]),PROXY!$P$2),0),0)</f>
        <v>0</v>
      </c>
      <c r="AP916" s="28">
        <f ca="1">IF('Banco de Dados'!$AK916&lt;&gt;"-",IF('Banco de Dados'!$AL916="NÃO",IFERROR(VALUE(SUBSTITUTE(_xlfn.TEXTAFTER('Banco de Dados'!$F916,"BRL ",1),".",",")),0),0),0)</f>
        <v>0</v>
      </c>
      <c r="AQ916" s="28">
        <f ca="1">SUM('Banco de Dados'!$AM916:$AP916)</f>
        <v>0</v>
      </c>
      <c r="AR916" s="8"/>
      <c r="AY916" s="8"/>
    </row>
    <row r="917" spans="1:51">
      <c r="A917" s="5" t="str">
        <v>MEI</v>
      </c>
      <c r="B917" s="5" t="str">
        <f ca="1"/>
        <v>MEI45694</v>
      </c>
      <c r="C917" s="8" t="str">
        <v>Pedido 904</v>
      </c>
      <c r="D917" s="187">
        <v>45693</v>
      </c>
      <c r="E917" s="9">
        <v>45694</v>
      </c>
      <c r="F917" s="8" t="str">
        <v>PedidoF883</v>
      </c>
      <c r="G917" s="2" t="str">
        <v>CódRastreio881</v>
      </c>
      <c r="H917" s="5">
        <v>1</v>
      </c>
      <c r="I917" s="2" t="str">
        <v>CPF 878</v>
      </c>
      <c r="J917" s="2" t="str">
        <v>Nome 878</v>
      </c>
      <c r="K917" s="8" t="str">
        <v>Tel 878</v>
      </c>
      <c r="L917" s="8" t="str">
        <v>Cep 878</v>
      </c>
      <c r="M917" s="8" t="str">
        <v>Rua 878</v>
      </c>
      <c r="N917" s="8" t="str">
        <v>Comp 878</v>
      </c>
      <c r="O917" s="8" t="str">
        <v>Kit Forma de Gelo c/ Tampa 4 un</v>
      </c>
      <c r="P917" s="8" t="str">
        <v>MZ-PGT3-IKGF</v>
      </c>
      <c r="Q917" s="4">
        <v>45714</v>
      </c>
      <c r="R917" s="109">
        <v>34.99</v>
      </c>
      <c r="S917" s="11">
        <f ca="1"/>
        <v>34.99</v>
      </c>
      <c r="T917" s="28">
        <f ca="1"/>
        <v>4.1988000000000003</v>
      </c>
      <c r="U917" s="11">
        <f ca="1"/>
        <v>30.79</v>
      </c>
      <c r="V917" s="11">
        <v>30.4</v>
      </c>
      <c r="W917" s="11">
        <f ca="1"/>
        <v>0.2</v>
      </c>
      <c r="X917" s="11">
        <f ca="1"/>
        <v>0.39877104377104378</v>
      </c>
      <c r="Y917" s="11">
        <v>0</v>
      </c>
      <c r="Z917" s="11">
        <f ca="1"/>
        <v>-0.20877104377104416</v>
      </c>
      <c r="AA917" s="11">
        <f ca="1"/>
        <v>-0.10438552188552208</v>
      </c>
      <c r="AB917" s="4">
        <f ca="1"/>
        <v>45721</v>
      </c>
      <c r="AC917" s="4">
        <v>45721</v>
      </c>
      <c r="AD917" s="9">
        <v>45730</v>
      </c>
      <c r="AE917" s="9">
        <v>45733</v>
      </c>
      <c r="AF917" s="4" t="str">
        <f t="shared" ca="1" si="43"/>
        <v>2025 03</v>
      </c>
      <c r="AG917" s="8" t="str" cm="1">
        <f t="array" ref="AG917">IFERROR(_xlfn.IFS('Banco de Dados'!#REF!="AG. COMPRA","Em processamento",'Banco de Dados'!#REF!="AG. RASTREIO","Em processamento",'Banco de Dados'!$AE917&lt;&gt;"-","Faturado",'Banco de Dados'!$AD917&lt;&gt;"-","Aguardando Pix",'Banco de Dados'!$AC917&lt;&gt;"-","Pendente"),"Aguardando Liberação")</f>
        <v>Aguardando Liberação</v>
      </c>
      <c r="AH917" s="5" t="str">
        <f>IF('Banco de Dados'!$F917="-",_xlfn.CONCAT(PROPER(TEXT(AK917,"aaaa"))," ",PROPER(TEXT(AK917,"mm"))),_xlfn.CONCAT(PROPER(TEXT(E917,"aaaa"))," ",PROPER(TEXT(E917,"mm"))))</f>
        <v>2025 02</v>
      </c>
      <c r="AI917" s="9" t="str">
        <f ca="1">IF('Banco de Dados'!$AK917&lt;&gt;"-","REEMBOLSO",IFERROR(_xlfn.XLOOKUP(G917,Follow[CODRASTREIO],Follow[STATUS]),"-"))</f>
        <v>ENTREGUE</v>
      </c>
      <c r="AJ917" s="9">
        <f ca="1">IF('Banco de Dados'!$AI917="ENTREGUE",_xlfn.XLOOKUP('Banco de Dados'!$G917,Follow[CODRASTREIO],Follow[DATAATUALIZAÇÃO]),"-")</f>
        <v>45710</v>
      </c>
      <c r="AK917" s="132" t="str">
        <f ca="1"/>
        <v>-</v>
      </c>
      <c r="AL917" s="35"/>
      <c r="AM917" s="109" cm="1">
        <f t="array" aca="1" ref="AM917" ca="1">IF('Banco de Dados'!$AK917&lt;&gt;"-",_xlfn.IFS('Banco de Dados'!$A917="bv",IF('Banco de Dados'!$E917&lt;45641,ROUND(SUM('Banco de Dados'!$R917*_xlfn.XLOOKUP('Banco de Dados'!$P917,Sku!B:B,Sku!#REF!)*20%),2),ROUND(SUM('Banco de Dados'!$R917*_xlfn.XLOOKUP('Banco de Dados'!$P917,Sku!B:B,Sku!H:H)*20%),2)),'Banco de Dados'!$A917="GO",ROUND(SUM('Banco de Dados'!$R917*_xlfn.XLOOKUP('Banco de Dados'!$P917,Sku!C:C,Sku!H:H)*20%),2),'Banco de Dados'!$A917="MEI",ROUND(SUM('Banco de Dados'!$R917*_xlfn.XLOOKUP('Banco de Dados'!$P917,Sku!D:D,Sku!H:H)*20%),2)),0)</f>
        <v>0</v>
      </c>
      <c r="AN917" s="109">
        <f ca="1">IF('Banco de Dados'!$AK917&lt;&gt;"-",IF('Banco de Dados'!$F917&lt;&gt;"-",_xlfn.XLOOKUP(IFERROR(IFERROR(IFERROR(VALUE(SUBSTITUTE(MID(_xlfn.TEXTAFTER('Banco de Dados'!$F917,"Data do Pedido:
",1),1,10),"-","/")),VALUE(SUBSTITUTE(MID(_xlfn.TEXTAFTER('Banco de Dados'!$F917,"Order date:
",1),1,10),"-","/"))),VALUE(SUBSTITUTE(MID(_xlfn.TEXTAFTER('Banco de Dados'!$F917,"Fecha de pedido:
",1),1,10),"-","/"))),"-"),SMS!A:A,SMS!K:K),0),0)</f>
        <v>0</v>
      </c>
      <c r="AO917" s="109">
        <f ca="1">IF('Banco de Dados'!$AK917&lt;&gt;"-",IF('Banco de Dados'!$F917&lt;&gt;"-",IFERROR(_xlfn.XLOOKUP(_xlfn.CONCAT('Banco de Dados'!$A917,IFERROR(IFERROR(VALUE(SUBSTITUTE(MID(_xlfn.TEXTAFTER('Banco de Dados'!$F917,"Data do Pedido:
",1),1,10),"-","/")),VALUE(SUBSTITUTE(MID(_xlfn.TEXTAFTER('Banco de Dados'!$F917,"Order date:
",1),1,10),"-","/"))),0)),ProxyDD[Chave],ProxyDD[Valor por pedido]),PROXY!$P$2),0),0)</f>
        <v>0</v>
      </c>
      <c r="AP917" s="28">
        <f ca="1">IF('Banco de Dados'!$AK917&lt;&gt;"-",IF('Banco de Dados'!$AL917="NÃO",IFERROR(VALUE(SUBSTITUTE(_xlfn.TEXTAFTER('Banco de Dados'!$F917,"BRL ",1),".",",")),0),0),0)</f>
        <v>0</v>
      </c>
      <c r="AQ917" s="28">
        <f ca="1">SUM('Banco de Dados'!$AM917:$AP917)</f>
        <v>0</v>
      </c>
      <c r="AR917" s="8"/>
      <c r="AY917" s="8"/>
    </row>
    <row r="918" spans="1:51">
      <c r="A918" s="5" t="str">
        <v>MEI</v>
      </c>
      <c r="B918" s="5" t="str">
        <f ca="1"/>
        <v>MEI45694</v>
      </c>
      <c r="C918" s="8" t="str">
        <v>Pedido 905</v>
      </c>
      <c r="D918" s="187">
        <v>45693</v>
      </c>
      <c r="E918" s="9">
        <v>45694</v>
      </c>
      <c r="F918" s="8" t="str">
        <v>PedidoF884</v>
      </c>
      <c r="G918" s="2" t="str">
        <v>CódRastreio882</v>
      </c>
      <c r="H918" s="5">
        <v>1</v>
      </c>
      <c r="I918" s="2" t="str">
        <v>CPF 879</v>
      </c>
      <c r="J918" s="2" t="str">
        <v>Nome 879</v>
      </c>
      <c r="K918" s="8" t="str">
        <v>Tel 879</v>
      </c>
      <c r="L918" s="8" t="str">
        <v>Cep 879</v>
      </c>
      <c r="M918" s="8" t="str">
        <v>Rua 879</v>
      </c>
      <c r="N918" s="8" t="str">
        <v>Comp 879</v>
      </c>
      <c r="O918" s="8" t="str">
        <v>Kit Forma de Gelo c/ Tampa 4 un</v>
      </c>
      <c r="P918" s="8" t="str">
        <v>MZ-PGT3-IKGF</v>
      </c>
      <c r="Q918" s="4">
        <v>45723</v>
      </c>
      <c r="R918" s="109">
        <v>34.99</v>
      </c>
      <c r="S918" s="11">
        <f ca="1"/>
        <v>34.99</v>
      </c>
      <c r="T918" s="28">
        <f ca="1"/>
        <v>4.1988000000000003</v>
      </c>
      <c r="U918" s="11">
        <f ca="1"/>
        <v>30.79</v>
      </c>
      <c r="V918" s="11">
        <v>30.4</v>
      </c>
      <c r="W918" s="11">
        <f ca="1"/>
        <v>0.2</v>
      </c>
      <c r="X918" s="11">
        <f ca="1"/>
        <v>0.39877104377104378</v>
      </c>
      <c r="Y918" s="11">
        <v>0</v>
      </c>
      <c r="Z918" s="11">
        <f ca="1"/>
        <v>-0.20877104377104416</v>
      </c>
      <c r="AA918" s="11">
        <f ca="1"/>
        <v>-0.10438552188552208</v>
      </c>
      <c r="AB918" s="4">
        <f ca="1"/>
        <v>45730</v>
      </c>
      <c r="AC918" s="4">
        <v>45730</v>
      </c>
      <c r="AD918" s="9">
        <v>45730</v>
      </c>
      <c r="AE918" s="9">
        <v>45733</v>
      </c>
      <c r="AF918" s="4" t="str">
        <f t="shared" ca="1" si="43"/>
        <v>2025 03</v>
      </c>
      <c r="AG918" s="8" t="str" cm="1">
        <f t="array" ref="AG918">IFERROR(_xlfn.IFS('Banco de Dados'!#REF!="AG. COMPRA","Em processamento",'Banco de Dados'!#REF!="AG. RASTREIO","Em processamento",'Banco de Dados'!$AE918&lt;&gt;"-","Faturado",'Banco de Dados'!$AD918&lt;&gt;"-","Aguardando Pix",'Banco de Dados'!$AC918&lt;&gt;"-","Pendente"),"Aguardando Liberação")</f>
        <v>Aguardando Liberação</v>
      </c>
      <c r="AH918" s="5" t="str">
        <f>IF('Banco de Dados'!$F918="-",_xlfn.CONCAT(PROPER(TEXT(AK918,"aaaa"))," ",PROPER(TEXT(AK918,"mm"))),_xlfn.CONCAT(PROPER(TEXT(E918,"aaaa"))," ",PROPER(TEXT(E918,"mm"))))</f>
        <v>2025 02</v>
      </c>
      <c r="AI918" s="9" t="str">
        <f ca="1">IF('Banco de Dados'!$AK918&lt;&gt;"-","REEMBOLSO",IFERROR(_xlfn.XLOOKUP(G918,Follow[CODRASTREIO],Follow[STATUS]),"-"))</f>
        <v>ENTREGUE</v>
      </c>
      <c r="AJ918" s="9">
        <f ca="1">IF('Banco de Dados'!$AI918="ENTREGUE",_xlfn.XLOOKUP('Banco de Dados'!$G918,Follow[CODRASTREIO],Follow[DATAATUALIZAÇÃO]),"-")</f>
        <v>45714</v>
      </c>
      <c r="AK918" s="132" t="str">
        <f ca="1"/>
        <v>-</v>
      </c>
      <c r="AL918" s="35"/>
      <c r="AM918" s="109" cm="1">
        <f t="array" aca="1" ref="AM918" ca="1">IF('Banco de Dados'!$AK918&lt;&gt;"-",_xlfn.IFS('Banco de Dados'!$A918="bv",IF('Banco de Dados'!$E918&lt;45641,ROUND(SUM('Banco de Dados'!$R918*_xlfn.XLOOKUP('Banco de Dados'!$P918,Sku!B:B,Sku!#REF!)*20%),2),ROUND(SUM('Banco de Dados'!$R918*_xlfn.XLOOKUP('Banco de Dados'!$P918,Sku!B:B,Sku!H:H)*20%),2)),'Banco de Dados'!$A918="GO",ROUND(SUM('Banco de Dados'!$R918*_xlfn.XLOOKUP('Banco de Dados'!$P918,Sku!C:C,Sku!H:H)*20%),2),'Banco de Dados'!$A918="MEI",ROUND(SUM('Banco de Dados'!$R918*_xlfn.XLOOKUP('Banco de Dados'!$P918,Sku!D:D,Sku!H:H)*20%),2)),0)</f>
        <v>0</v>
      </c>
      <c r="AN918" s="109">
        <f ca="1">IF('Banco de Dados'!$AK918&lt;&gt;"-",IF('Banco de Dados'!$F918&lt;&gt;"-",_xlfn.XLOOKUP(IFERROR(IFERROR(IFERROR(VALUE(SUBSTITUTE(MID(_xlfn.TEXTAFTER('Banco de Dados'!$F918,"Data do Pedido:
",1),1,10),"-","/")),VALUE(SUBSTITUTE(MID(_xlfn.TEXTAFTER('Banco de Dados'!$F918,"Order date:
",1),1,10),"-","/"))),VALUE(SUBSTITUTE(MID(_xlfn.TEXTAFTER('Banco de Dados'!$F918,"Fecha de pedido:
",1),1,10),"-","/"))),"-"),SMS!A:A,SMS!K:K),0),0)</f>
        <v>0</v>
      </c>
      <c r="AO918" s="109">
        <f ca="1">IF('Banco de Dados'!$AK918&lt;&gt;"-",IF('Banco de Dados'!$F918&lt;&gt;"-",IFERROR(_xlfn.XLOOKUP(_xlfn.CONCAT('Banco de Dados'!$A918,IFERROR(IFERROR(VALUE(SUBSTITUTE(MID(_xlfn.TEXTAFTER('Banco de Dados'!$F918,"Data do Pedido:
",1),1,10),"-","/")),VALUE(SUBSTITUTE(MID(_xlfn.TEXTAFTER('Banco de Dados'!$F918,"Order date:
",1),1,10),"-","/"))),0)),ProxyDD[Chave],ProxyDD[Valor por pedido]),PROXY!$P$2),0),0)</f>
        <v>0</v>
      </c>
      <c r="AP918" s="28">
        <f ca="1">IF('Banco de Dados'!$AK918&lt;&gt;"-",IF('Banco de Dados'!$AL918="NÃO",IFERROR(VALUE(SUBSTITUTE(_xlfn.TEXTAFTER('Banco de Dados'!$F918,"BRL ",1),".",",")),0),0),0)</f>
        <v>0</v>
      </c>
      <c r="AQ918" s="28">
        <f ca="1">SUM('Banco de Dados'!$AM918:$AP918)</f>
        <v>0</v>
      </c>
      <c r="AR918" s="8"/>
      <c r="AY918" s="8"/>
    </row>
    <row r="919" spans="1:51">
      <c r="A919" s="5" t="str">
        <v>MEI</v>
      </c>
      <c r="B919" s="5" t="str">
        <f ca="1"/>
        <v>MEI45694</v>
      </c>
      <c r="C919" s="8" t="str">
        <v>Pedido 906</v>
      </c>
      <c r="D919" s="187">
        <v>45693</v>
      </c>
      <c r="E919" s="9">
        <v>45694</v>
      </c>
      <c r="F919" s="8" t="str">
        <v>PedidoF885</v>
      </c>
      <c r="G919" s="2" t="str">
        <v>CódRastreio883</v>
      </c>
      <c r="H919" s="5">
        <v>1</v>
      </c>
      <c r="I919" s="2" t="str">
        <v>CPF 880</v>
      </c>
      <c r="J919" s="2" t="str">
        <v>Nome 880</v>
      </c>
      <c r="K919" s="8" t="str">
        <v>Tel 880</v>
      </c>
      <c r="L919" s="8" t="str">
        <v>Cep 880</v>
      </c>
      <c r="M919" s="8" t="str">
        <v>Rua 880</v>
      </c>
      <c r="N919" s="8" t="str">
        <v>Comp 880</v>
      </c>
      <c r="O919" s="8" t="str">
        <v>Kit Forma de Gelo c/ Tampa 4 un</v>
      </c>
      <c r="P919" s="8" t="str">
        <v>MZ-PGT3-IKGF</v>
      </c>
      <c r="Q919" s="4">
        <v>45714</v>
      </c>
      <c r="R919" s="109">
        <v>34.99</v>
      </c>
      <c r="S919" s="11">
        <f ca="1"/>
        <v>34.99</v>
      </c>
      <c r="T919" s="28">
        <f ca="1"/>
        <v>4.1988000000000003</v>
      </c>
      <c r="U919" s="11">
        <f ca="1"/>
        <v>30.79</v>
      </c>
      <c r="V919" s="11">
        <v>30.4</v>
      </c>
      <c r="W919" s="11">
        <f ca="1"/>
        <v>0.2</v>
      </c>
      <c r="X919" s="11">
        <f ca="1"/>
        <v>0.39877104377104378</v>
      </c>
      <c r="Y919" s="11">
        <v>0</v>
      </c>
      <c r="Z919" s="11">
        <f ca="1"/>
        <v>-0.20877104377104416</v>
      </c>
      <c r="AA919" s="11">
        <f ca="1"/>
        <v>-0.10438552188552208</v>
      </c>
      <c r="AB919" s="4">
        <f ca="1"/>
        <v>45721</v>
      </c>
      <c r="AC919" s="4">
        <v>45721</v>
      </c>
      <c r="AD919" s="9">
        <v>45730</v>
      </c>
      <c r="AE919" s="9">
        <v>45733</v>
      </c>
      <c r="AF919" s="4" t="str">
        <f t="shared" ca="1" si="43"/>
        <v>2025 03</v>
      </c>
      <c r="AG919" s="8" t="str" cm="1">
        <f t="array" ref="AG919">IFERROR(_xlfn.IFS('Banco de Dados'!#REF!="AG. COMPRA","Em processamento",'Banco de Dados'!#REF!="AG. RASTREIO","Em processamento",'Banco de Dados'!$AE919&lt;&gt;"-","Faturado",'Banco de Dados'!$AD919&lt;&gt;"-","Aguardando Pix",'Banco de Dados'!$AC919&lt;&gt;"-","Pendente"),"Aguardando Liberação")</f>
        <v>Aguardando Liberação</v>
      </c>
      <c r="AH919" s="5" t="str">
        <f>IF('Banco de Dados'!$F919="-",_xlfn.CONCAT(PROPER(TEXT(AK919,"aaaa"))," ",PROPER(TEXT(AK919,"mm"))),_xlfn.CONCAT(PROPER(TEXT(E919,"aaaa"))," ",PROPER(TEXT(E919,"mm"))))</f>
        <v>2025 02</v>
      </c>
      <c r="AI919" s="9" t="str">
        <f ca="1">IF('Banco de Dados'!$AK919&lt;&gt;"-","REEMBOLSO",IFERROR(_xlfn.XLOOKUP(G919,Follow[CODRASTREIO],Follow[STATUS]),"-"))</f>
        <v>ENTREGUE</v>
      </c>
      <c r="AJ919" s="9">
        <f ca="1">IF('Banco de Dados'!$AI919="ENTREGUE",_xlfn.XLOOKUP('Banco de Dados'!$G919,Follow[CODRASTREIO],Follow[DATAATUALIZAÇÃO]),"-")</f>
        <v>45709</v>
      </c>
      <c r="AK919" s="132" t="str">
        <f ca="1"/>
        <v>-</v>
      </c>
      <c r="AL919" s="35"/>
      <c r="AM919" s="109" cm="1">
        <f t="array" aca="1" ref="AM919" ca="1">IF('Banco de Dados'!$AK919&lt;&gt;"-",_xlfn.IFS('Banco de Dados'!$A919="bv",IF('Banco de Dados'!$E919&lt;45641,ROUND(SUM('Banco de Dados'!$R919*_xlfn.XLOOKUP('Banco de Dados'!$P919,Sku!B:B,Sku!#REF!)*20%),2),ROUND(SUM('Banco de Dados'!$R919*_xlfn.XLOOKUP('Banco de Dados'!$P919,Sku!B:B,Sku!H:H)*20%),2)),'Banco de Dados'!$A919="GO",ROUND(SUM('Banco de Dados'!$R919*_xlfn.XLOOKUP('Banco de Dados'!$P919,Sku!C:C,Sku!H:H)*20%),2),'Banco de Dados'!$A919="MEI",ROUND(SUM('Banco de Dados'!$R919*_xlfn.XLOOKUP('Banco de Dados'!$P919,Sku!D:D,Sku!H:H)*20%),2)),0)</f>
        <v>0</v>
      </c>
      <c r="AN919" s="109">
        <f ca="1">IF('Banco de Dados'!$AK919&lt;&gt;"-",IF('Banco de Dados'!$F919&lt;&gt;"-",_xlfn.XLOOKUP(IFERROR(IFERROR(IFERROR(VALUE(SUBSTITUTE(MID(_xlfn.TEXTAFTER('Banco de Dados'!$F919,"Data do Pedido:
",1),1,10),"-","/")),VALUE(SUBSTITUTE(MID(_xlfn.TEXTAFTER('Banco de Dados'!$F919,"Order date:
",1),1,10),"-","/"))),VALUE(SUBSTITUTE(MID(_xlfn.TEXTAFTER('Banco de Dados'!$F919,"Fecha de pedido:
",1),1,10),"-","/"))),"-"),SMS!A:A,SMS!K:K),0),0)</f>
        <v>0</v>
      </c>
      <c r="AO919" s="109">
        <f ca="1">IF('Banco de Dados'!$AK919&lt;&gt;"-",IF('Banco de Dados'!$F919&lt;&gt;"-",IFERROR(_xlfn.XLOOKUP(_xlfn.CONCAT('Banco de Dados'!$A919,IFERROR(IFERROR(VALUE(SUBSTITUTE(MID(_xlfn.TEXTAFTER('Banco de Dados'!$F919,"Data do Pedido:
",1),1,10),"-","/")),VALUE(SUBSTITUTE(MID(_xlfn.TEXTAFTER('Banco de Dados'!$F919,"Order date:
",1),1,10),"-","/"))),0)),ProxyDD[Chave],ProxyDD[Valor por pedido]),PROXY!$P$2),0),0)</f>
        <v>0</v>
      </c>
      <c r="AP919" s="28">
        <f ca="1">IF('Banco de Dados'!$AK919&lt;&gt;"-",IF('Banco de Dados'!$AL919="NÃO",IFERROR(VALUE(SUBSTITUTE(_xlfn.TEXTAFTER('Banco de Dados'!$F919,"BRL ",1),".",",")),0),0),0)</f>
        <v>0</v>
      </c>
      <c r="AQ919" s="28">
        <f ca="1">SUM('Banco de Dados'!$AM919:$AP919)</f>
        <v>0</v>
      </c>
      <c r="AR919" s="8"/>
      <c r="AY919" s="8"/>
    </row>
    <row r="920" spans="1:51">
      <c r="A920" s="5" t="str">
        <v>MEI</v>
      </c>
      <c r="B920" s="5" t="str">
        <f ca="1"/>
        <v>MEI45694</v>
      </c>
      <c r="C920" s="8" t="str">
        <v>Pedido 907</v>
      </c>
      <c r="D920" s="187">
        <v>45693</v>
      </c>
      <c r="E920" s="9">
        <v>45694</v>
      </c>
      <c r="F920" s="8" t="str">
        <v>PedidoF886</v>
      </c>
      <c r="G920" s="2" t="str">
        <v>CódRastreio884</v>
      </c>
      <c r="H920" s="5">
        <v>1</v>
      </c>
      <c r="I920" s="2" t="str">
        <v>CPF 881</v>
      </c>
      <c r="J920" s="2" t="str">
        <v>Nome 881</v>
      </c>
      <c r="K920" s="8" t="str">
        <v>Tel 881</v>
      </c>
      <c r="L920" s="8" t="str">
        <v>Cep 881</v>
      </c>
      <c r="M920" s="8" t="str">
        <v>Rua 881</v>
      </c>
      <c r="N920" s="8" t="str">
        <v>Comp 881</v>
      </c>
      <c r="O920" s="8" t="str">
        <v>Kit Forma de Gelo c/ Tampa 4 un</v>
      </c>
      <c r="P920" s="8" t="str">
        <v>MZ-PGT3-IKGF</v>
      </c>
      <c r="Q920" s="4">
        <v>45723</v>
      </c>
      <c r="R920" s="109">
        <v>34.99</v>
      </c>
      <c r="S920" s="11">
        <f ca="1"/>
        <v>34.99</v>
      </c>
      <c r="T920" s="28">
        <f ca="1"/>
        <v>4.1988000000000003</v>
      </c>
      <c r="U920" s="11">
        <f ca="1"/>
        <v>30.79</v>
      </c>
      <c r="V920" s="11">
        <v>30.4</v>
      </c>
      <c r="W920" s="11">
        <f ca="1"/>
        <v>0.2</v>
      </c>
      <c r="X920" s="11">
        <f ca="1"/>
        <v>0.39877104377104378</v>
      </c>
      <c r="Y920" s="11">
        <v>0</v>
      </c>
      <c r="Z920" s="11">
        <f ca="1"/>
        <v>-0.20877104377104416</v>
      </c>
      <c r="AA920" s="11">
        <f ca="1"/>
        <v>-0.10438552188552208</v>
      </c>
      <c r="AB920" s="4">
        <f ca="1"/>
        <v>45730</v>
      </c>
      <c r="AC920" s="4">
        <v>45730</v>
      </c>
      <c r="AD920" s="9">
        <v>45730</v>
      </c>
      <c r="AE920" s="9">
        <v>45733</v>
      </c>
      <c r="AF920" s="4" t="str">
        <f t="shared" ca="1" si="43"/>
        <v>2025 03</v>
      </c>
      <c r="AG920" s="8" t="str" cm="1">
        <f t="array" ref="AG920">IFERROR(_xlfn.IFS('Banco de Dados'!#REF!="AG. COMPRA","Em processamento",'Banco de Dados'!#REF!="AG. RASTREIO","Em processamento",'Banco de Dados'!$AE920&lt;&gt;"-","Faturado",'Banco de Dados'!$AD920&lt;&gt;"-","Aguardando Pix",'Banco de Dados'!$AC920&lt;&gt;"-","Pendente"),"Aguardando Liberação")</f>
        <v>Aguardando Liberação</v>
      </c>
      <c r="AH920" s="5" t="str">
        <f>IF('Banco de Dados'!$F920="-",_xlfn.CONCAT(PROPER(TEXT(AK920,"aaaa"))," ",PROPER(TEXT(AK920,"mm"))),_xlfn.CONCAT(PROPER(TEXT(E920,"aaaa"))," ",PROPER(TEXT(E920,"mm"))))</f>
        <v>2025 02</v>
      </c>
      <c r="AI920" s="9" t="str">
        <f ca="1">IF('Banco de Dados'!$AK920&lt;&gt;"-","REEMBOLSO",IFERROR(_xlfn.XLOOKUP(G920,Follow[CODRASTREIO],Follow[STATUS]),"-"))</f>
        <v>ENTREGUE</v>
      </c>
      <c r="AJ920" s="9">
        <f ca="1">IF('Banco de Dados'!$AI920="ENTREGUE",_xlfn.XLOOKUP('Banco de Dados'!$G920,Follow[CODRASTREIO],Follow[DATAATUALIZAÇÃO]),"-")</f>
        <v>45712</v>
      </c>
      <c r="AK920" s="132" t="str">
        <f ca="1"/>
        <v>-</v>
      </c>
      <c r="AL920" s="35"/>
      <c r="AM920" s="109" cm="1">
        <f t="array" aca="1" ref="AM920" ca="1">IF('Banco de Dados'!$AK920&lt;&gt;"-",_xlfn.IFS('Banco de Dados'!$A920="bv",IF('Banco de Dados'!$E920&lt;45641,ROUND(SUM('Banco de Dados'!$R920*_xlfn.XLOOKUP('Banco de Dados'!$P920,Sku!B:B,Sku!#REF!)*20%),2),ROUND(SUM('Banco de Dados'!$R920*_xlfn.XLOOKUP('Banco de Dados'!$P920,Sku!B:B,Sku!H:H)*20%),2)),'Banco de Dados'!$A920="GO",ROUND(SUM('Banco de Dados'!$R920*_xlfn.XLOOKUP('Banco de Dados'!$P920,Sku!C:C,Sku!H:H)*20%),2),'Banco de Dados'!$A920="MEI",ROUND(SUM('Banco de Dados'!$R920*_xlfn.XLOOKUP('Banco de Dados'!$P920,Sku!D:D,Sku!H:H)*20%),2)),0)</f>
        <v>0</v>
      </c>
      <c r="AN920" s="109">
        <f ca="1">IF('Banco de Dados'!$AK920&lt;&gt;"-",IF('Banco de Dados'!$F920&lt;&gt;"-",_xlfn.XLOOKUP(IFERROR(IFERROR(IFERROR(VALUE(SUBSTITUTE(MID(_xlfn.TEXTAFTER('Banco de Dados'!$F920,"Data do Pedido:
",1),1,10),"-","/")),VALUE(SUBSTITUTE(MID(_xlfn.TEXTAFTER('Banco de Dados'!$F920,"Order date:
",1),1,10),"-","/"))),VALUE(SUBSTITUTE(MID(_xlfn.TEXTAFTER('Banco de Dados'!$F920,"Fecha de pedido:
",1),1,10),"-","/"))),"-"),SMS!A:A,SMS!K:K),0),0)</f>
        <v>0</v>
      </c>
      <c r="AO920" s="109">
        <f ca="1">IF('Banco de Dados'!$AK920&lt;&gt;"-",IF('Banco de Dados'!$F920&lt;&gt;"-",IFERROR(_xlfn.XLOOKUP(_xlfn.CONCAT('Banco de Dados'!$A920,IFERROR(IFERROR(VALUE(SUBSTITUTE(MID(_xlfn.TEXTAFTER('Banco de Dados'!$F920,"Data do Pedido:
",1),1,10),"-","/")),VALUE(SUBSTITUTE(MID(_xlfn.TEXTAFTER('Banco de Dados'!$F920,"Order date:
",1),1,10),"-","/"))),0)),ProxyDD[Chave],ProxyDD[Valor por pedido]),PROXY!$P$2),0),0)</f>
        <v>0</v>
      </c>
      <c r="AP920" s="28">
        <f ca="1">IF('Banco de Dados'!$AK920&lt;&gt;"-",IF('Banco de Dados'!$AL920="NÃO",IFERROR(VALUE(SUBSTITUTE(_xlfn.TEXTAFTER('Banco de Dados'!$F920,"BRL ",1),".",",")),0),0),0)</f>
        <v>0</v>
      </c>
      <c r="AQ920" s="28">
        <f ca="1">SUM('Banco de Dados'!$AM920:$AP920)</f>
        <v>0</v>
      </c>
      <c r="AR920" s="8"/>
      <c r="AY920" s="8"/>
    </row>
    <row r="921" spans="1:51">
      <c r="A921" s="5" t="str">
        <v>MEI</v>
      </c>
      <c r="B921" s="5" t="str">
        <f ca="1"/>
        <v>MEI45694</v>
      </c>
      <c r="C921" s="8" t="str">
        <v>Pedido 908</v>
      </c>
      <c r="D921" s="187">
        <v>45693</v>
      </c>
      <c r="E921" s="9">
        <v>45694</v>
      </c>
      <c r="F921" s="8" t="str">
        <v>PedidoF887</v>
      </c>
      <c r="G921" s="2" t="str">
        <v>CódRastreio885</v>
      </c>
      <c r="H921" s="5">
        <v>1</v>
      </c>
      <c r="I921" s="2" t="str">
        <v>CPF 882</v>
      </c>
      <c r="J921" s="2" t="str">
        <v>Nome 882</v>
      </c>
      <c r="K921" s="8" t="str">
        <v>Tel 882</v>
      </c>
      <c r="L921" s="8" t="str">
        <v>Cep 882</v>
      </c>
      <c r="M921" s="8" t="str">
        <v>Rua 882</v>
      </c>
      <c r="N921" s="8" t="str">
        <v>Comp 882</v>
      </c>
      <c r="O921" s="8" t="str">
        <v>Kit Forma de Gelo c/ Tampa 4 un</v>
      </c>
      <c r="P921" s="8" t="str">
        <v>MZ-PGT3-IKGF</v>
      </c>
      <c r="Q921" s="4">
        <v>45723</v>
      </c>
      <c r="R921" s="109">
        <v>34.99</v>
      </c>
      <c r="S921" s="11">
        <f ca="1"/>
        <v>34.99</v>
      </c>
      <c r="T921" s="28">
        <f ca="1"/>
        <v>4.1988000000000003</v>
      </c>
      <c r="U921" s="11">
        <f ca="1"/>
        <v>30.79</v>
      </c>
      <c r="V921" s="11">
        <v>30.4</v>
      </c>
      <c r="W921" s="11">
        <f ca="1"/>
        <v>0.2</v>
      </c>
      <c r="X921" s="11">
        <f ca="1"/>
        <v>0.39877104377104378</v>
      </c>
      <c r="Y921" s="11">
        <v>0</v>
      </c>
      <c r="Z921" s="11">
        <f ca="1"/>
        <v>-0.20877104377104416</v>
      </c>
      <c r="AA921" s="11">
        <f ca="1"/>
        <v>-0.10438552188552208</v>
      </c>
      <c r="AB921" s="4">
        <f ca="1"/>
        <v>45730</v>
      </c>
      <c r="AC921" s="4">
        <v>45730</v>
      </c>
      <c r="AD921" s="9">
        <v>45730</v>
      </c>
      <c r="AE921" s="9">
        <v>45733</v>
      </c>
      <c r="AF921" s="4" t="str">
        <f t="shared" ca="1" si="43"/>
        <v>2025 03</v>
      </c>
      <c r="AG921" s="8" t="str" cm="1">
        <f t="array" ref="AG921">IFERROR(_xlfn.IFS('Banco de Dados'!#REF!="AG. COMPRA","Em processamento",'Banco de Dados'!#REF!="AG. RASTREIO","Em processamento",'Banco de Dados'!$AE921&lt;&gt;"-","Faturado",'Banco de Dados'!$AD921&lt;&gt;"-","Aguardando Pix",'Banco de Dados'!$AC921&lt;&gt;"-","Pendente"),"Aguardando Liberação")</f>
        <v>Aguardando Liberação</v>
      </c>
      <c r="AH921" s="5" t="str">
        <f>IF('Banco de Dados'!$F921="-",_xlfn.CONCAT(PROPER(TEXT(AK921,"aaaa"))," ",PROPER(TEXT(AK921,"mm"))),_xlfn.CONCAT(PROPER(TEXT(E921,"aaaa"))," ",PROPER(TEXT(E921,"mm"))))</f>
        <v>2025 02</v>
      </c>
      <c r="AI921" s="9" t="str">
        <f ca="1">IF('Banco de Dados'!$AK921&lt;&gt;"-","REEMBOLSO",IFERROR(_xlfn.XLOOKUP(G921,Follow[CODRASTREIO],Follow[STATUS]),"-"))</f>
        <v>ENTREGUE</v>
      </c>
      <c r="AJ921" s="9">
        <f ca="1">IF('Banco de Dados'!$AI921="ENTREGUE",_xlfn.XLOOKUP('Banco de Dados'!$G921,Follow[CODRASTREIO],Follow[DATAATUALIZAÇÃO]),"-")</f>
        <v>45712</v>
      </c>
      <c r="AK921" s="132" t="str">
        <f ca="1"/>
        <v>-</v>
      </c>
      <c r="AL921" s="35"/>
      <c r="AM921" s="109" cm="1">
        <f t="array" aca="1" ref="AM921" ca="1">IF('Banco de Dados'!$AK921&lt;&gt;"-",_xlfn.IFS('Banco de Dados'!$A921="bv",IF('Banco de Dados'!$E921&lt;45641,ROUND(SUM('Banco de Dados'!$R921*_xlfn.XLOOKUP('Banco de Dados'!$P921,Sku!B:B,Sku!#REF!)*20%),2),ROUND(SUM('Banco de Dados'!$R921*_xlfn.XLOOKUP('Banco de Dados'!$P921,Sku!B:B,Sku!H:H)*20%),2)),'Banco de Dados'!$A921="GO",ROUND(SUM('Banco de Dados'!$R921*_xlfn.XLOOKUP('Banco de Dados'!$P921,Sku!C:C,Sku!H:H)*20%),2),'Banco de Dados'!$A921="MEI",ROUND(SUM('Banco de Dados'!$R921*_xlfn.XLOOKUP('Banco de Dados'!$P921,Sku!D:D,Sku!H:H)*20%),2)),0)</f>
        <v>0</v>
      </c>
      <c r="AN921" s="109">
        <f ca="1">IF('Banco de Dados'!$AK921&lt;&gt;"-",IF('Banco de Dados'!$F921&lt;&gt;"-",_xlfn.XLOOKUP(IFERROR(IFERROR(IFERROR(VALUE(SUBSTITUTE(MID(_xlfn.TEXTAFTER('Banco de Dados'!$F921,"Data do Pedido:
",1),1,10),"-","/")),VALUE(SUBSTITUTE(MID(_xlfn.TEXTAFTER('Banco de Dados'!$F921,"Order date:
",1),1,10),"-","/"))),VALUE(SUBSTITUTE(MID(_xlfn.TEXTAFTER('Banco de Dados'!$F921,"Fecha de pedido:
",1),1,10),"-","/"))),"-"),SMS!A:A,SMS!K:K),0),0)</f>
        <v>0</v>
      </c>
      <c r="AO921" s="109">
        <f ca="1">IF('Banco de Dados'!$AK921&lt;&gt;"-",IF('Banco de Dados'!$F921&lt;&gt;"-",IFERROR(_xlfn.XLOOKUP(_xlfn.CONCAT('Banco de Dados'!$A921,IFERROR(IFERROR(VALUE(SUBSTITUTE(MID(_xlfn.TEXTAFTER('Banco de Dados'!$F921,"Data do Pedido:
",1),1,10),"-","/")),VALUE(SUBSTITUTE(MID(_xlfn.TEXTAFTER('Banco de Dados'!$F921,"Order date:
",1),1,10),"-","/"))),0)),ProxyDD[Chave],ProxyDD[Valor por pedido]),PROXY!$P$2),0),0)</f>
        <v>0</v>
      </c>
      <c r="AP921" s="28">
        <f ca="1">IF('Banco de Dados'!$AK921&lt;&gt;"-",IF('Banco de Dados'!$AL921="NÃO",IFERROR(VALUE(SUBSTITUTE(_xlfn.TEXTAFTER('Banco de Dados'!$F921,"BRL ",1),".",",")),0),0),0)</f>
        <v>0</v>
      </c>
      <c r="AQ921" s="28">
        <f ca="1">SUM('Banco de Dados'!$AM921:$AP921)</f>
        <v>0</v>
      </c>
      <c r="AR921" s="8"/>
      <c r="AY921" s="8"/>
    </row>
    <row r="922" spans="1:51">
      <c r="A922" s="5" t="str">
        <v>MEI</v>
      </c>
      <c r="B922" s="5" t="str">
        <f ca="1"/>
        <v>MEI45694</v>
      </c>
      <c r="C922" s="8" t="str">
        <v>Pedido 909</v>
      </c>
      <c r="D922" s="187">
        <v>45693</v>
      </c>
      <c r="E922" s="9">
        <v>45694</v>
      </c>
      <c r="F922" s="8" t="str">
        <v>PedidoF888</v>
      </c>
      <c r="G922" s="2" t="str">
        <v>CódRastreio886</v>
      </c>
      <c r="H922" s="5">
        <v>1</v>
      </c>
      <c r="I922" s="2" t="str">
        <v>CPF 883</v>
      </c>
      <c r="J922" s="2" t="str">
        <v>Nome 883</v>
      </c>
      <c r="K922" s="8" t="str">
        <v>Tel 883</v>
      </c>
      <c r="L922" s="8" t="str">
        <v>Cep 883</v>
      </c>
      <c r="M922" s="8" t="str">
        <v>Rua 883</v>
      </c>
      <c r="N922" s="8" t="str">
        <v>Comp 883</v>
      </c>
      <c r="O922" s="8" t="str">
        <v>Kit Forma de Gelo c/ Tampa 4 un</v>
      </c>
      <c r="P922" s="8" t="str">
        <v>MZ-PGT3-IKGF</v>
      </c>
      <c r="Q922" s="4">
        <v>45714</v>
      </c>
      <c r="R922" s="109">
        <v>34.99</v>
      </c>
      <c r="S922" s="11">
        <f ca="1"/>
        <v>34.99</v>
      </c>
      <c r="T922" s="28">
        <f ca="1"/>
        <v>4.1988000000000003</v>
      </c>
      <c r="U922" s="11">
        <f ca="1"/>
        <v>30.79</v>
      </c>
      <c r="V922" s="11">
        <v>30.4</v>
      </c>
      <c r="W922" s="11">
        <f ca="1"/>
        <v>0.2</v>
      </c>
      <c r="X922" s="11">
        <f ca="1"/>
        <v>0.39877104377104378</v>
      </c>
      <c r="Y922" s="11">
        <v>0</v>
      </c>
      <c r="Z922" s="11">
        <f ca="1"/>
        <v>-0.20877104377104416</v>
      </c>
      <c r="AA922" s="11">
        <f ca="1"/>
        <v>-0.10438552188552208</v>
      </c>
      <c r="AB922" s="4">
        <f ca="1"/>
        <v>45721</v>
      </c>
      <c r="AC922" s="4">
        <v>45721</v>
      </c>
      <c r="AD922" s="9">
        <v>45730</v>
      </c>
      <c r="AE922" s="9">
        <v>45733</v>
      </c>
      <c r="AF922" s="4" t="str">
        <f t="shared" ca="1" si="43"/>
        <v>2025 03</v>
      </c>
      <c r="AG922" s="8" t="str" cm="1">
        <f t="array" ref="AG922">IFERROR(_xlfn.IFS('Banco de Dados'!#REF!="AG. COMPRA","Em processamento",'Banco de Dados'!#REF!="AG. RASTREIO","Em processamento",'Banco de Dados'!$AE922&lt;&gt;"-","Faturado",'Banco de Dados'!$AD922&lt;&gt;"-","Aguardando Pix",'Banco de Dados'!$AC922&lt;&gt;"-","Pendente"),"Aguardando Liberação")</f>
        <v>Aguardando Liberação</v>
      </c>
      <c r="AH922" s="5" t="str">
        <f>IF('Banco de Dados'!$F922="-",_xlfn.CONCAT(PROPER(TEXT(AK922,"aaaa"))," ",PROPER(TEXT(AK922,"mm"))),_xlfn.CONCAT(PROPER(TEXT(E922,"aaaa"))," ",PROPER(TEXT(E922,"mm"))))</f>
        <v>2025 02</v>
      </c>
      <c r="AI922" s="9" t="str">
        <f ca="1">IF('Banco de Dados'!$AK922&lt;&gt;"-","REEMBOLSO",IFERROR(_xlfn.XLOOKUP(G922,Follow[CODRASTREIO],Follow[STATUS]),"-"))</f>
        <v>ENTREGUE</v>
      </c>
      <c r="AJ922" s="9">
        <f ca="1">IF('Banco de Dados'!$AI922="ENTREGUE",_xlfn.XLOOKUP('Banco de Dados'!$G922,Follow[CODRASTREIO],Follow[DATAATUALIZAÇÃO]),"-")</f>
        <v>45712</v>
      </c>
      <c r="AK922" s="132" t="str">
        <f ca="1"/>
        <v>-</v>
      </c>
      <c r="AL922" s="35"/>
      <c r="AM922" s="109" cm="1">
        <f t="array" aca="1" ref="AM922" ca="1">IF('Banco de Dados'!$AK922&lt;&gt;"-",_xlfn.IFS('Banco de Dados'!$A922="bv",IF('Banco de Dados'!$E922&lt;45641,ROUND(SUM('Banco de Dados'!$R922*_xlfn.XLOOKUP('Banco de Dados'!$P922,Sku!B:B,Sku!#REF!)*20%),2),ROUND(SUM('Banco de Dados'!$R922*_xlfn.XLOOKUP('Banco de Dados'!$P922,Sku!B:B,Sku!H:H)*20%),2)),'Banco de Dados'!$A922="GO",ROUND(SUM('Banco de Dados'!$R922*_xlfn.XLOOKUP('Banco de Dados'!$P922,Sku!C:C,Sku!H:H)*20%),2),'Banco de Dados'!$A922="MEI",ROUND(SUM('Banco de Dados'!$R922*_xlfn.XLOOKUP('Banco de Dados'!$P922,Sku!D:D,Sku!H:H)*20%),2)),0)</f>
        <v>0</v>
      </c>
      <c r="AN922" s="109">
        <f ca="1">IF('Banco de Dados'!$AK922&lt;&gt;"-",IF('Banco de Dados'!$F922&lt;&gt;"-",_xlfn.XLOOKUP(IFERROR(IFERROR(IFERROR(VALUE(SUBSTITUTE(MID(_xlfn.TEXTAFTER('Banco de Dados'!$F922,"Data do Pedido:
",1),1,10),"-","/")),VALUE(SUBSTITUTE(MID(_xlfn.TEXTAFTER('Banco de Dados'!$F922,"Order date:
",1),1,10),"-","/"))),VALUE(SUBSTITUTE(MID(_xlfn.TEXTAFTER('Banco de Dados'!$F922,"Fecha de pedido:
",1),1,10),"-","/"))),"-"),SMS!A:A,SMS!K:K),0),0)</f>
        <v>0</v>
      </c>
      <c r="AO922" s="109">
        <f ca="1">IF('Banco de Dados'!$AK922&lt;&gt;"-",IF('Banco de Dados'!$F922&lt;&gt;"-",IFERROR(_xlfn.XLOOKUP(_xlfn.CONCAT('Banco de Dados'!$A922,IFERROR(IFERROR(VALUE(SUBSTITUTE(MID(_xlfn.TEXTAFTER('Banco de Dados'!$F922,"Data do Pedido:
",1),1,10),"-","/")),VALUE(SUBSTITUTE(MID(_xlfn.TEXTAFTER('Banco de Dados'!$F922,"Order date:
",1),1,10),"-","/"))),0)),ProxyDD[Chave],ProxyDD[Valor por pedido]),PROXY!$P$2),0),0)</f>
        <v>0</v>
      </c>
      <c r="AP922" s="28">
        <f ca="1">IF('Banco de Dados'!$AK922&lt;&gt;"-",IF('Banco de Dados'!$AL922="NÃO",IFERROR(VALUE(SUBSTITUTE(_xlfn.TEXTAFTER('Banco de Dados'!$F922,"BRL ",1),".",",")),0),0),0)</f>
        <v>0</v>
      </c>
      <c r="AQ922" s="28">
        <f ca="1">SUM('Banco de Dados'!$AM922:$AP922)</f>
        <v>0</v>
      </c>
      <c r="AR922" s="8"/>
      <c r="AY922" s="8"/>
    </row>
    <row r="923" spans="1:51">
      <c r="A923" s="5" t="str">
        <v>MEI</v>
      </c>
      <c r="B923" s="5" t="str">
        <f ca="1"/>
        <v>MEI45694</v>
      </c>
      <c r="C923" s="8" t="str">
        <v>Pedido 910</v>
      </c>
      <c r="D923" s="187">
        <v>45693</v>
      </c>
      <c r="E923" s="9">
        <v>45694</v>
      </c>
      <c r="F923" s="8" t="str">
        <v>PedidoF889</v>
      </c>
      <c r="G923" s="2" t="str">
        <v>CódRastreio887</v>
      </c>
      <c r="H923" s="5">
        <v>1</v>
      </c>
      <c r="I923" s="2" t="str">
        <v>CPF 884</v>
      </c>
      <c r="J923" s="2" t="str">
        <v>Nome 884</v>
      </c>
      <c r="K923" s="8" t="str">
        <v>Tel 884</v>
      </c>
      <c r="L923" s="8" t="str">
        <v>Cep 884</v>
      </c>
      <c r="M923" s="8" t="str">
        <v>Rua 884</v>
      </c>
      <c r="N923" s="8" t="str">
        <v>Comp 884</v>
      </c>
      <c r="O923" s="8" t="str">
        <v>Kit Forma de Gelo c/ Tampa 4 un</v>
      </c>
      <c r="P923" s="8" t="str">
        <v>MZ-PGT3-IKGF</v>
      </c>
      <c r="Q923" s="4">
        <v>45723</v>
      </c>
      <c r="R923" s="109">
        <v>34.99</v>
      </c>
      <c r="S923" s="11">
        <f ca="1"/>
        <v>34.99</v>
      </c>
      <c r="T923" s="28">
        <f ca="1"/>
        <v>4.1988000000000003</v>
      </c>
      <c r="U923" s="11">
        <f ca="1"/>
        <v>30.79</v>
      </c>
      <c r="V923" s="11">
        <v>30.4</v>
      </c>
      <c r="W923" s="11">
        <f ca="1"/>
        <v>0.2</v>
      </c>
      <c r="X923" s="11">
        <f ca="1"/>
        <v>0.39877104377104378</v>
      </c>
      <c r="Y923" s="11">
        <v>0</v>
      </c>
      <c r="Z923" s="11">
        <f ca="1"/>
        <v>-0.20877104377104416</v>
      </c>
      <c r="AA923" s="11">
        <f ca="1"/>
        <v>-0.10438552188552208</v>
      </c>
      <c r="AB923" s="4">
        <f ca="1"/>
        <v>45730</v>
      </c>
      <c r="AC923" s="4">
        <v>45730</v>
      </c>
      <c r="AD923" s="9">
        <v>45730</v>
      </c>
      <c r="AE923" s="9">
        <v>45733</v>
      </c>
      <c r="AF923" s="4" t="str">
        <f t="shared" ca="1" si="43"/>
        <v>2025 03</v>
      </c>
      <c r="AG923" s="8" t="str" cm="1">
        <f t="array" ref="AG923">IFERROR(_xlfn.IFS('Banco de Dados'!#REF!="AG. COMPRA","Em processamento",'Banco de Dados'!#REF!="AG. RASTREIO","Em processamento",'Banco de Dados'!$AE923&lt;&gt;"-","Faturado",'Banco de Dados'!$AD923&lt;&gt;"-","Aguardando Pix",'Banco de Dados'!$AC923&lt;&gt;"-","Pendente"),"Aguardando Liberação")</f>
        <v>Aguardando Liberação</v>
      </c>
      <c r="AH923" s="5" t="str">
        <f>IF('Banco de Dados'!$F923="-",_xlfn.CONCAT(PROPER(TEXT(AK923,"aaaa"))," ",PROPER(TEXT(AK923,"mm"))),_xlfn.CONCAT(PROPER(TEXT(E923,"aaaa"))," ",PROPER(TEXT(E923,"mm"))))</f>
        <v>2025 02</v>
      </c>
      <c r="AI923" s="9" t="str">
        <f ca="1">IF('Banco de Dados'!$AK923&lt;&gt;"-","REEMBOLSO",IFERROR(_xlfn.XLOOKUP(G923,Follow[CODRASTREIO],Follow[STATUS]),"-"))</f>
        <v>ENTREGUE</v>
      </c>
      <c r="AJ923" s="9">
        <f ca="1">IF('Banco de Dados'!$AI923="ENTREGUE",_xlfn.XLOOKUP('Banco de Dados'!$G923,Follow[CODRASTREIO],Follow[DATAATUALIZAÇÃO]),"-")</f>
        <v>45715</v>
      </c>
      <c r="AK923" s="132" t="str">
        <f ca="1"/>
        <v>-</v>
      </c>
      <c r="AL923" s="35"/>
      <c r="AM923" s="109" cm="1">
        <f t="array" aca="1" ref="AM923" ca="1">IF('Banco de Dados'!$AK923&lt;&gt;"-",_xlfn.IFS('Banco de Dados'!$A923="bv",IF('Banco de Dados'!$E923&lt;45641,ROUND(SUM('Banco de Dados'!$R923*_xlfn.XLOOKUP('Banco de Dados'!$P923,Sku!B:B,Sku!#REF!)*20%),2),ROUND(SUM('Banco de Dados'!$R923*_xlfn.XLOOKUP('Banco de Dados'!$P923,Sku!B:B,Sku!H:H)*20%),2)),'Banco de Dados'!$A923="GO",ROUND(SUM('Banco de Dados'!$R923*_xlfn.XLOOKUP('Banco de Dados'!$P923,Sku!C:C,Sku!H:H)*20%),2),'Banco de Dados'!$A923="MEI",ROUND(SUM('Banco de Dados'!$R923*_xlfn.XLOOKUP('Banco de Dados'!$P923,Sku!D:D,Sku!H:H)*20%),2)),0)</f>
        <v>0</v>
      </c>
      <c r="AN923" s="109">
        <f ca="1">IF('Banco de Dados'!$AK923&lt;&gt;"-",IF('Banco de Dados'!$F923&lt;&gt;"-",_xlfn.XLOOKUP(IFERROR(IFERROR(IFERROR(VALUE(SUBSTITUTE(MID(_xlfn.TEXTAFTER('Banco de Dados'!$F923,"Data do Pedido:
",1),1,10),"-","/")),VALUE(SUBSTITUTE(MID(_xlfn.TEXTAFTER('Banco de Dados'!$F923,"Order date:
",1),1,10),"-","/"))),VALUE(SUBSTITUTE(MID(_xlfn.TEXTAFTER('Banco de Dados'!$F923,"Fecha de pedido:
",1),1,10),"-","/"))),"-"),SMS!A:A,SMS!K:K),0),0)</f>
        <v>0</v>
      </c>
      <c r="AO923" s="109">
        <f ca="1">IF('Banco de Dados'!$AK923&lt;&gt;"-",IF('Banco de Dados'!$F923&lt;&gt;"-",IFERROR(_xlfn.XLOOKUP(_xlfn.CONCAT('Banco de Dados'!$A923,IFERROR(IFERROR(VALUE(SUBSTITUTE(MID(_xlfn.TEXTAFTER('Banco de Dados'!$F923,"Data do Pedido:
",1),1,10),"-","/")),VALUE(SUBSTITUTE(MID(_xlfn.TEXTAFTER('Banco de Dados'!$F923,"Order date:
",1),1,10),"-","/"))),0)),ProxyDD[Chave],ProxyDD[Valor por pedido]),PROXY!$P$2),0),0)</f>
        <v>0</v>
      </c>
      <c r="AP923" s="28">
        <f ca="1">IF('Banco de Dados'!$AK923&lt;&gt;"-",IF('Banco de Dados'!$AL923="NÃO",IFERROR(VALUE(SUBSTITUTE(_xlfn.TEXTAFTER('Banco de Dados'!$F923,"BRL ",1),".",",")),0),0),0)</f>
        <v>0</v>
      </c>
      <c r="AQ923" s="28">
        <f ca="1">SUM('Banco de Dados'!$AM923:$AP923)</f>
        <v>0</v>
      </c>
      <c r="AR923" s="8"/>
      <c r="AY923" s="8"/>
    </row>
    <row r="924" spans="1:51">
      <c r="A924" s="5" t="str">
        <v>MEI</v>
      </c>
      <c r="B924" s="5" t="str">
        <f ca="1"/>
        <v>MEI45694</v>
      </c>
      <c r="C924" s="8" t="str">
        <v>Pedido 911</v>
      </c>
      <c r="D924" s="187">
        <v>45693</v>
      </c>
      <c r="E924" s="9">
        <v>45694</v>
      </c>
      <c r="F924" s="8" t="str">
        <v>PedidoF890</v>
      </c>
      <c r="G924" s="2" t="str">
        <v>CódRastreio888</v>
      </c>
      <c r="H924" s="5">
        <v>1</v>
      </c>
      <c r="I924" s="2" t="str">
        <v>CPF 885</v>
      </c>
      <c r="J924" s="2" t="str">
        <v>Nome 885</v>
      </c>
      <c r="K924" s="8" t="str">
        <v>Tel 885</v>
      </c>
      <c r="L924" s="8" t="str">
        <v>Cep 885</v>
      </c>
      <c r="M924" s="8" t="str">
        <v>Rua 885</v>
      </c>
      <c r="N924" s="8" t="str">
        <v>Comp 885</v>
      </c>
      <c r="O924" s="8" t="str">
        <v>Kit Forma de Gelo c/ Tampa 4 un</v>
      </c>
      <c r="P924" s="8" t="str">
        <v>MZ-PGT3-IKGF</v>
      </c>
      <c r="Q924" s="4">
        <v>45730</v>
      </c>
      <c r="R924" s="109">
        <v>34.99</v>
      </c>
      <c r="S924" s="11">
        <f ca="1"/>
        <v>34.99</v>
      </c>
      <c r="T924" s="28">
        <f ca="1"/>
        <v>4.1988000000000003</v>
      </c>
      <c r="U924" s="11">
        <f ca="1"/>
        <v>30.79</v>
      </c>
      <c r="V924" s="11">
        <v>30.4</v>
      </c>
      <c r="W924" s="11">
        <f ca="1"/>
        <v>0.2</v>
      </c>
      <c r="X924" s="11">
        <f ca="1"/>
        <v>0.39877104377104378</v>
      </c>
      <c r="Y924" s="11">
        <v>0</v>
      </c>
      <c r="Z924" s="11">
        <f ca="1"/>
        <v>-0.20877104377104416</v>
      </c>
      <c r="AA924" s="11">
        <f ca="1"/>
        <v>-0.10438552188552208</v>
      </c>
      <c r="AB924" s="4">
        <f ca="1"/>
        <v>45737</v>
      </c>
      <c r="AC924" s="4">
        <v>45737</v>
      </c>
      <c r="AD924" s="9">
        <v>45747</v>
      </c>
      <c r="AE924" s="9">
        <v>45749</v>
      </c>
      <c r="AF924" s="4" t="str">
        <f t="shared" ca="1" si="43"/>
        <v>2025 03</v>
      </c>
      <c r="AG924" s="8" t="str" cm="1">
        <f t="array" ref="AG924">IFERROR(_xlfn.IFS('Banco de Dados'!#REF!="AG. COMPRA","Em processamento",'Banco de Dados'!#REF!="AG. RASTREIO","Em processamento",'Banco de Dados'!$AE924&lt;&gt;"-","Faturado",'Banco de Dados'!$AD924&lt;&gt;"-","Aguardando Pix",'Banco de Dados'!$AC924&lt;&gt;"-","Pendente"),"Aguardando Liberação")</f>
        <v>Aguardando Liberação</v>
      </c>
      <c r="AH924" s="5" t="str">
        <f>IF('Banco de Dados'!$F924="-",_xlfn.CONCAT(PROPER(TEXT(AK924,"aaaa"))," ",PROPER(TEXT(AK924,"mm"))),_xlfn.CONCAT(PROPER(TEXT(E924,"aaaa"))," ",PROPER(TEXT(E924,"mm"))))</f>
        <v>2025 02</v>
      </c>
      <c r="AI924" s="9" t="str">
        <f ca="1">IF('Banco de Dados'!$AK924&lt;&gt;"-","REEMBOLSO",IFERROR(_xlfn.XLOOKUP(G924,Follow[CODRASTREIO],Follow[STATUS]),"-"))</f>
        <v>ENTREGUE</v>
      </c>
      <c r="AJ924" s="9">
        <f ca="1">IF('Banco de Dados'!$AI924="ENTREGUE",_xlfn.XLOOKUP('Banco de Dados'!$G924,Follow[CODRASTREIO],Follow[DATAATUALIZAÇÃO]),"-")</f>
        <v>45709</v>
      </c>
      <c r="AK924" s="132" t="str">
        <f ca="1"/>
        <v>-</v>
      </c>
      <c r="AL924" s="35"/>
      <c r="AM924" s="109" cm="1">
        <f t="array" aca="1" ref="AM924" ca="1">IF('Banco de Dados'!$AK924&lt;&gt;"-",_xlfn.IFS('Banco de Dados'!$A924="bv",IF('Banco de Dados'!$E924&lt;45641,ROUND(SUM('Banco de Dados'!$R924*_xlfn.XLOOKUP('Banco de Dados'!$P924,Sku!B:B,Sku!#REF!)*20%),2),ROUND(SUM('Banco de Dados'!$R924*_xlfn.XLOOKUP('Banco de Dados'!$P924,Sku!B:B,Sku!H:H)*20%),2)),'Banco de Dados'!$A924="GO",ROUND(SUM('Banco de Dados'!$R924*_xlfn.XLOOKUP('Banco de Dados'!$P924,Sku!C:C,Sku!H:H)*20%),2),'Banco de Dados'!$A924="MEI",ROUND(SUM('Banco de Dados'!$R924*_xlfn.XLOOKUP('Banco de Dados'!$P924,Sku!D:D,Sku!H:H)*20%),2)),0)</f>
        <v>0</v>
      </c>
      <c r="AN924" s="109">
        <f ca="1">IF('Banco de Dados'!$AK924&lt;&gt;"-",IF('Banco de Dados'!$F924&lt;&gt;"-",_xlfn.XLOOKUP(IFERROR(IFERROR(IFERROR(VALUE(SUBSTITUTE(MID(_xlfn.TEXTAFTER('Banco de Dados'!$F924,"Data do Pedido:
",1),1,10),"-","/")),VALUE(SUBSTITUTE(MID(_xlfn.TEXTAFTER('Banco de Dados'!$F924,"Order date:
",1),1,10),"-","/"))),VALUE(SUBSTITUTE(MID(_xlfn.TEXTAFTER('Banco de Dados'!$F924,"Fecha de pedido:
",1),1,10),"-","/"))),"-"),SMS!A:A,SMS!K:K),0),0)</f>
        <v>0</v>
      </c>
      <c r="AO924" s="109">
        <f ca="1">IF('Banco de Dados'!$AK924&lt;&gt;"-",IF('Banco de Dados'!$F924&lt;&gt;"-",IFERROR(_xlfn.XLOOKUP(_xlfn.CONCAT('Banco de Dados'!$A924,IFERROR(IFERROR(VALUE(SUBSTITUTE(MID(_xlfn.TEXTAFTER('Banco de Dados'!$F924,"Data do Pedido:
",1),1,10),"-","/")),VALUE(SUBSTITUTE(MID(_xlfn.TEXTAFTER('Banco de Dados'!$F924,"Order date:
",1),1,10),"-","/"))),0)),ProxyDD[Chave],ProxyDD[Valor por pedido]),PROXY!$P$2),0),0)</f>
        <v>0</v>
      </c>
      <c r="AP924" s="28">
        <f ca="1">IF('Banco de Dados'!$AK924&lt;&gt;"-",IF('Banco de Dados'!$AL924="NÃO",IFERROR(VALUE(SUBSTITUTE(_xlfn.TEXTAFTER('Banco de Dados'!$F924,"BRL ",1),".",",")),0),0),0)</f>
        <v>0</v>
      </c>
      <c r="AQ924" s="28">
        <f ca="1">SUM('Banco de Dados'!$AM924:$AP924)</f>
        <v>0</v>
      </c>
      <c r="AR924" s="8"/>
      <c r="AY924" s="8"/>
    </row>
    <row r="925" spans="1:51">
      <c r="A925" s="5" t="str">
        <v>MEI</v>
      </c>
      <c r="B925" s="5" t="str">
        <f ca="1"/>
        <v>MEI45694</v>
      </c>
      <c r="C925" s="8" t="str">
        <v>Pedido 912</v>
      </c>
      <c r="D925" s="187">
        <v>45693</v>
      </c>
      <c r="E925" s="9">
        <v>45694</v>
      </c>
      <c r="F925" s="8" t="str">
        <v>PedidoF891</v>
      </c>
      <c r="G925" s="2" t="str">
        <v>CódRastreio889</v>
      </c>
      <c r="H925" s="5">
        <v>1</v>
      </c>
      <c r="I925" s="2" t="str">
        <v>CPF 886</v>
      </c>
      <c r="J925" s="2" t="str">
        <v>Nome 886</v>
      </c>
      <c r="K925" s="8" t="str">
        <v>Tel 886</v>
      </c>
      <c r="L925" s="8" t="str">
        <v>Cep 886</v>
      </c>
      <c r="M925" s="8" t="str">
        <v>Rua 886</v>
      </c>
      <c r="N925" s="8" t="str">
        <v>Comp 886</v>
      </c>
      <c r="O925" s="8" t="str">
        <v>Kit Forma de Gelo c/ Tampa 4 un</v>
      </c>
      <c r="P925" s="8" t="str">
        <v>MZ-PGT3-IKGF</v>
      </c>
      <c r="Q925" s="4">
        <v>45714</v>
      </c>
      <c r="R925" s="109">
        <v>34.99</v>
      </c>
      <c r="S925" s="11">
        <f ca="1"/>
        <v>34.99</v>
      </c>
      <c r="T925" s="28">
        <f ca="1"/>
        <v>4.1988000000000003</v>
      </c>
      <c r="U925" s="11">
        <f ca="1"/>
        <v>30.79</v>
      </c>
      <c r="V925" s="11">
        <v>30.4</v>
      </c>
      <c r="W925" s="11">
        <f ca="1"/>
        <v>0.2</v>
      </c>
      <c r="X925" s="11">
        <f ca="1"/>
        <v>0.39877104377104378</v>
      </c>
      <c r="Y925" s="11">
        <v>0</v>
      </c>
      <c r="Z925" s="11">
        <f ca="1"/>
        <v>-0.20877104377104416</v>
      </c>
      <c r="AA925" s="11">
        <f ca="1"/>
        <v>-0.10438552188552208</v>
      </c>
      <c r="AB925" s="4">
        <f ca="1"/>
        <v>45721</v>
      </c>
      <c r="AC925" s="4">
        <v>45721</v>
      </c>
      <c r="AD925" s="9">
        <v>45730</v>
      </c>
      <c r="AE925" s="9">
        <v>45733</v>
      </c>
      <c r="AF925" s="4" t="str">
        <f t="shared" ca="1" si="43"/>
        <v>2025 03</v>
      </c>
      <c r="AG925" s="8" t="str" cm="1">
        <f t="array" ref="AG925">IFERROR(_xlfn.IFS('Banco de Dados'!#REF!="AG. COMPRA","Em processamento",'Banco de Dados'!#REF!="AG. RASTREIO","Em processamento",'Banco de Dados'!$AE925&lt;&gt;"-","Faturado",'Banco de Dados'!$AD925&lt;&gt;"-","Aguardando Pix",'Banco de Dados'!$AC925&lt;&gt;"-","Pendente"),"Aguardando Liberação")</f>
        <v>Aguardando Liberação</v>
      </c>
      <c r="AH925" s="5" t="str">
        <f>IF('Banco de Dados'!$F925="-",_xlfn.CONCAT(PROPER(TEXT(AK925,"aaaa"))," ",PROPER(TEXT(AK925,"mm"))),_xlfn.CONCAT(PROPER(TEXT(E925,"aaaa"))," ",PROPER(TEXT(E925,"mm"))))</f>
        <v>2025 02</v>
      </c>
      <c r="AI925" s="9" t="str">
        <f ca="1">IF('Banco de Dados'!$AK925&lt;&gt;"-","REEMBOLSO",IFERROR(_xlfn.XLOOKUP(G925,Follow[CODRASTREIO],Follow[STATUS]),"-"))</f>
        <v>ENTREGUE</v>
      </c>
      <c r="AJ925" s="9">
        <f ca="1">IF('Banco de Dados'!$AI925="ENTREGUE",_xlfn.XLOOKUP('Banco de Dados'!$G925,Follow[CODRASTREIO],Follow[DATAATUALIZAÇÃO]),"-")</f>
        <v>45705</v>
      </c>
      <c r="AK925" s="132" t="str">
        <f ca="1"/>
        <v>-</v>
      </c>
      <c r="AL925" s="35"/>
      <c r="AM925" s="109" cm="1">
        <f t="array" aca="1" ref="AM925" ca="1">IF('Banco de Dados'!$AK925&lt;&gt;"-",_xlfn.IFS('Banco de Dados'!$A925="bv",IF('Banco de Dados'!$E925&lt;45641,ROUND(SUM('Banco de Dados'!$R925*_xlfn.XLOOKUP('Banco de Dados'!$P925,Sku!B:B,Sku!#REF!)*20%),2),ROUND(SUM('Banco de Dados'!$R925*_xlfn.XLOOKUP('Banco de Dados'!$P925,Sku!B:B,Sku!H:H)*20%),2)),'Banco de Dados'!$A925="GO",ROUND(SUM('Banco de Dados'!$R925*_xlfn.XLOOKUP('Banco de Dados'!$P925,Sku!C:C,Sku!H:H)*20%),2),'Banco de Dados'!$A925="MEI",ROUND(SUM('Banco de Dados'!$R925*_xlfn.XLOOKUP('Banco de Dados'!$P925,Sku!D:D,Sku!H:H)*20%),2)),0)</f>
        <v>0</v>
      </c>
      <c r="AN925" s="109">
        <f ca="1">IF('Banco de Dados'!$AK925&lt;&gt;"-",IF('Banco de Dados'!$F925&lt;&gt;"-",_xlfn.XLOOKUP(IFERROR(IFERROR(IFERROR(VALUE(SUBSTITUTE(MID(_xlfn.TEXTAFTER('Banco de Dados'!$F925,"Data do Pedido:
",1),1,10),"-","/")),VALUE(SUBSTITUTE(MID(_xlfn.TEXTAFTER('Banco de Dados'!$F925,"Order date:
",1),1,10),"-","/"))),VALUE(SUBSTITUTE(MID(_xlfn.TEXTAFTER('Banco de Dados'!$F925,"Fecha de pedido:
",1),1,10),"-","/"))),"-"),SMS!A:A,SMS!K:K),0),0)</f>
        <v>0</v>
      </c>
      <c r="AO925" s="109">
        <f ca="1">IF('Banco de Dados'!$AK925&lt;&gt;"-",IF('Banco de Dados'!$F925&lt;&gt;"-",IFERROR(_xlfn.XLOOKUP(_xlfn.CONCAT('Banco de Dados'!$A925,IFERROR(IFERROR(VALUE(SUBSTITUTE(MID(_xlfn.TEXTAFTER('Banco de Dados'!$F925,"Data do Pedido:
",1),1,10),"-","/")),VALUE(SUBSTITUTE(MID(_xlfn.TEXTAFTER('Banco de Dados'!$F925,"Order date:
",1),1,10),"-","/"))),0)),ProxyDD[Chave],ProxyDD[Valor por pedido]),PROXY!$P$2),0),0)</f>
        <v>0</v>
      </c>
      <c r="AP925" s="28">
        <f ca="1">IF('Banco de Dados'!$AK925&lt;&gt;"-",IF('Banco de Dados'!$AL925="NÃO",IFERROR(VALUE(SUBSTITUTE(_xlfn.TEXTAFTER('Banco de Dados'!$F925,"BRL ",1),".",",")),0),0),0)</f>
        <v>0</v>
      </c>
      <c r="AQ925" s="28">
        <f ca="1">SUM('Banco de Dados'!$AM925:$AP925)</f>
        <v>0</v>
      </c>
      <c r="AR925" s="8"/>
      <c r="AY925" s="8"/>
    </row>
    <row r="926" spans="1:51">
      <c r="A926" s="5" t="str">
        <v>MEI</v>
      </c>
      <c r="B926" s="5" t="str">
        <f ca="1"/>
        <v>MEI45694</v>
      </c>
      <c r="C926" s="8" t="str">
        <v>Pedido 913</v>
      </c>
      <c r="D926" s="187">
        <v>45694</v>
      </c>
      <c r="E926" s="9">
        <v>45694</v>
      </c>
      <c r="F926" s="8" t="str">
        <v>PedidoF892</v>
      </c>
      <c r="G926" s="2" t="str">
        <v>CódRastreio890</v>
      </c>
      <c r="H926" s="5">
        <v>1</v>
      </c>
      <c r="I926" s="2" t="str">
        <v>CPF 887</v>
      </c>
      <c r="J926" s="2" t="str">
        <v>Nome 887</v>
      </c>
      <c r="K926" s="8" t="str">
        <v>Tel 887</v>
      </c>
      <c r="L926" s="8" t="str">
        <v>Cep 887</v>
      </c>
      <c r="M926" s="8" t="str">
        <v>Rua 887</v>
      </c>
      <c r="N926" s="8" t="str">
        <v>Comp 887</v>
      </c>
      <c r="O926" s="8" t="str">
        <v>Kit Forma de Gelo c/ Tampa 4 un</v>
      </c>
      <c r="P926" s="8" t="str">
        <v>MZ-PGT3-IKGF</v>
      </c>
      <c r="Q926" s="4">
        <v>45730</v>
      </c>
      <c r="R926" s="109">
        <v>34.99</v>
      </c>
      <c r="S926" s="11">
        <f ca="1"/>
        <v>34.99</v>
      </c>
      <c r="T926" s="28">
        <f ca="1"/>
        <v>4.1988000000000003</v>
      </c>
      <c r="U926" s="11">
        <f ca="1"/>
        <v>30.79</v>
      </c>
      <c r="V926" s="11">
        <v>30.4</v>
      </c>
      <c r="W926" s="11">
        <f ca="1"/>
        <v>0.2</v>
      </c>
      <c r="X926" s="11">
        <f ca="1"/>
        <v>0.39877104377104378</v>
      </c>
      <c r="Y926" s="11">
        <v>0</v>
      </c>
      <c r="Z926" s="11">
        <f ca="1"/>
        <v>-0.20877104377104416</v>
      </c>
      <c r="AA926" s="11">
        <f ca="1"/>
        <v>-0.10438552188552208</v>
      </c>
      <c r="AB926" s="4">
        <f ca="1"/>
        <v>45737</v>
      </c>
      <c r="AC926" s="4">
        <v>45737</v>
      </c>
      <c r="AD926" s="9">
        <v>45747</v>
      </c>
      <c r="AE926" s="9">
        <v>45749</v>
      </c>
      <c r="AF926" s="4" t="str">
        <f t="shared" ca="1" si="43"/>
        <v>2025 03</v>
      </c>
      <c r="AG926" s="8" t="str" cm="1">
        <f t="array" ref="AG926">IFERROR(_xlfn.IFS('Banco de Dados'!#REF!="AG. COMPRA","Em processamento",'Banco de Dados'!#REF!="AG. RASTREIO","Em processamento",'Banco de Dados'!$AE926&lt;&gt;"-","Faturado",'Banco de Dados'!$AD926&lt;&gt;"-","Aguardando Pix",'Banco de Dados'!$AC926&lt;&gt;"-","Pendente"),"Aguardando Liberação")</f>
        <v>Aguardando Liberação</v>
      </c>
      <c r="AH926" s="5" t="str">
        <f>IF('Banco de Dados'!$F926="-",_xlfn.CONCAT(PROPER(TEXT(AK926,"aaaa"))," ",PROPER(TEXT(AK926,"mm"))),_xlfn.CONCAT(PROPER(TEXT(E926,"aaaa"))," ",PROPER(TEXT(E926,"mm"))))</f>
        <v>2025 02</v>
      </c>
      <c r="AI926" s="9" t="str">
        <f ca="1">IF('Banco de Dados'!$AK926&lt;&gt;"-","REEMBOLSO",IFERROR(_xlfn.XLOOKUP(G926,Follow[CODRASTREIO],Follow[STATUS]),"-"))</f>
        <v>ENTREGUE</v>
      </c>
      <c r="AJ926" s="9">
        <f ca="1">IF('Banco de Dados'!$AI926="ENTREGUE",_xlfn.XLOOKUP('Banco de Dados'!$G926,Follow[CODRASTREIO],Follow[DATAATUALIZAÇÃO]),"-")</f>
        <v>45729</v>
      </c>
      <c r="AK926" s="132" t="str">
        <f ca="1"/>
        <v>-</v>
      </c>
      <c r="AL926" s="35"/>
      <c r="AM926" s="109" cm="1">
        <f t="array" aca="1" ref="AM926" ca="1">IF('Banco de Dados'!$AK926&lt;&gt;"-",_xlfn.IFS('Banco de Dados'!$A926="bv",IF('Banco de Dados'!$E926&lt;45641,ROUND(SUM('Banco de Dados'!$R926*_xlfn.XLOOKUP('Banco de Dados'!$P926,Sku!B:B,Sku!#REF!)*20%),2),ROUND(SUM('Banco de Dados'!$R926*_xlfn.XLOOKUP('Banco de Dados'!$P926,Sku!B:B,Sku!H:H)*20%),2)),'Banco de Dados'!$A926="GO",ROUND(SUM('Banco de Dados'!$R926*_xlfn.XLOOKUP('Banco de Dados'!$P926,Sku!C:C,Sku!H:H)*20%),2),'Banco de Dados'!$A926="MEI",ROUND(SUM('Banco de Dados'!$R926*_xlfn.XLOOKUP('Banco de Dados'!$P926,Sku!D:D,Sku!H:H)*20%),2)),0)</f>
        <v>0</v>
      </c>
      <c r="AN926" s="109">
        <f ca="1">IF('Banco de Dados'!$AK926&lt;&gt;"-",IF('Banco de Dados'!$F926&lt;&gt;"-",_xlfn.XLOOKUP(IFERROR(IFERROR(IFERROR(VALUE(SUBSTITUTE(MID(_xlfn.TEXTAFTER('Banco de Dados'!$F926,"Data do Pedido:
",1),1,10),"-","/")),VALUE(SUBSTITUTE(MID(_xlfn.TEXTAFTER('Banco de Dados'!$F926,"Order date:
",1),1,10),"-","/"))),VALUE(SUBSTITUTE(MID(_xlfn.TEXTAFTER('Banco de Dados'!$F926,"Fecha de pedido:
",1),1,10),"-","/"))),"-"),SMS!A:A,SMS!K:K),0),0)</f>
        <v>0</v>
      </c>
      <c r="AO926" s="109">
        <f ca="1">IF('Banco de Dados'!$AK926&lt;&gt;"-",IF('Banco de Dados'!$F926&lt;&gt;"-",IFERROR(_xlfn.XLOOKUP(_xlfn.CONCAT('Banco de Dados'!$A926,IFERROR(IFERROR(VALUE(SUBSTITUTE(MID(_xlfn.TEXTAFTER('Banco de Dados'!$F926,"Data do Pedido:
",1),1,10),"-","/")),VALUE(SUBSTITUTE(MID(_xlfn.TEXTAFTER('Banco de Dados'!$F926,"Order date:
",1),1,10),"-","/"))),0)),ProxyDD[Chave],ProxyDD[Valor por pedido]),PROXY!$P$2),0),0)</f>
        <v>0</v>
      </c>
      <c r="AP926" s="28">
        <f ca="1">IF('Banco de Dados'!$AK926&lt;&gt;"-",IF('Banco de Dados'!$AL926="NÃO",IFERROR(VALUE(SUBSTITUTE(_xlfn.TEXTAFTER('Banco de Dados'!$F926,"BRL ",1),".",",")),0),0),0)</f>
        <v>0</v>
      </c>
      <c r="AQ926" s="28">
        <f ca="1">SUM('Banco de Dados'!$AM926:$AP926)</f>
        <v>0</v>
      </c>
      <c r="AR926" s="8"/>
      <c r="AY926" s="8"/>
    </row>
    <row r="927" spans="1:51">
      <c r="A927" s="5" t="str">
        <v>MEI</v>
      </c>
      <c r="B927" s="5" t="str">
        <f ca="1"/>
        <v>MEI45694</v>
      </c>
      <c r="C927" s="8" t="str">
        <v>Pedido 914</v>
      </c>
      <c r="D927" s="187">
        <v>45694</v>
      </c>
      <c r="E927" s="9">
        <v>45694</v>
      </c>
      <c r="F927" s="8" t="str">
        <v>PedidoF893</v>
      </c>
      <c r="G927" s="2" t="str">
        <v>CódRastreio891</v>
      </c>
      <c r="H927" s="5">
        <v>1</v>
      </c>
      <c r="I927" s="2" t="str">
        <v>CPF 888</v>
      </c>
      <c r="J927" s="2" t="str">
        <v>Nome 888</v>
      </c>
      <c r="K927" s="8" t="str">
        <v>Tel 888</v>
      </c>
      <c r="L927" s="8" t="str">
        <v>Cep 888</v>
      </c>
      <c r="M927" s="8" t="str">
        <v>Rua 888</v>
      </c>
      <c r="N927" s="8" t="str">
        <v>Comp 888</v>
      </c>
      <c r="O927" s="8" t="str">
        <v>Kit Forma de Gelo c/ Tampa 4 un</v>
      </c>
      <c r="P927" s="8" t="str">
        <v>MZ-PGT3-IKGF</v>
      </c>
      <c r="Q927" s="4">
        <v>45714</v>
      </c>
      <c r="R927" s="109">
        <v>34.99</v>
      </c>
      <c r="S927" s="11">
        <f ca="1"/>
        <v>34.99</v>
      </c>
      <c r="T927" s="28">
        <f ca="1"/>
        <v>4.1988000000000003</v>
      </c>
      <c r="U927" s="11">
        <f ca="1"/>
        <v>30.79</v>
      </c>
      <c r="V927" s="11">
        <v>30.4</v>
      </c>
      <c r="W927" s="11">
        <f ca="1"/>
        <v>0.2</v>
      </c>
      <c r="X927" s="11">
        <f ca="1"/>
        <v>0.39877104377104378</v>
      </c>
      <c r="Y927" s="11">
        <v>0</v>
      </c>
      <c r="Z927" s="11">
        <f ca="1"/>
        <v>-0.20877104377104416</v>
      </c>
      <c r="AA927" s="11">
        <f ca="1"/>
        <v>-0.10438552188552208</v>
      </c>
      <c r="AB927" s="4">
        <f ca="1"/>
        <v>45721</v>
      </c>
      <c r="AC927" s="4">
        <v>45721</v>
      </c>
      <c r="AD927" s="9">
        <v>45730</v>
      </c>
      <c r="AE927" s="9">
        <v>45733</v>
      </c>
      <c r="AF927" s="4" t="str">
        <f t="shared" ca="1" si="43"/>
        <v>2025 03</v>
      </c>
      <c r="AG927" s="8" t="str" cm="1">
        <f t="array" ref="AG927">IFERROR(_xlfn.IFS('Banco de Dados'!#REF!="AG. COMPRA","Em processamento",'Banco de Dados'!#REF!="AG. RASTREIO","Em processamento",'Banco de Dados'!$AE927&lt;&gt;"-","Faturado",'Banco de Dados'!$AD927&lt;&gt;"-","Aguardando Pix",'Banco de Dados'!$AC927&lt;&gt;"-","Pendente"),"Aguardando Liberação")</f>
        <v>Aguardando Liberação</v>
      </c>
      <c r="AH927" s="5" t="str">
        <f>IF('Banco de Dados'!$F927="-",_xlfn.CONCAT(PROPER(TEXT(AK927,"aaaa"))," ",PROPER(TEXT(AK927,"mm"))),_xlfn.CONCAT(PROPER(TEXT(E927,"aaaa"))," ",PROPER(TEXT(E927,"mm"))))</f>
        <v>2025 02</v>
      </c>
      <c r="AI927" s="9" t="str">
        <f ca="1">IF('Banco de Dados'!$AK927&lt;&gt;"-","REEMBOLSO",IFERROR(_xlfn.XLOOKUP(G927,Follow[CODRASTREIO],Follow[STATUS]),"-"))</f>
        <v>ENTREGUE</v>
      </c>
      <c r="AJ927" s="9">
        <f ca="1">IF('Banco de Dados'!$AI927="ENTREGUE",_xlfn.XLOOKUP('Banco de Dados'!$G927,Follow[CODRASTREIO],Follow[DATAATUALIZAÇÃO]),"-")</f>
        <v>45705</v>
      </c>
      <c r="AK927" s="132" t="str">
        <f ca="1"/>
        <v>-</v>
      </c>
      <c r="AL927" s="35"/>
      <c r="AM927" s="109" cm="1">
        <f t="array" aca="1" ref="AM927" ca="1">IF('Banco de Dados'!$AK927&lt;&gt;"-",_xlfn.IFS('Banco de Dados'!$A927="bv",IF('Banco de Dados'!$E927&lt;45641,ROUND(SUM('Banco de Dados'!$R927*_xlfn.XLOOKUP('Banco de Dados'!$P927,Sku!B:B,Sku!#REF!)*20%),2),ROUND(SUM('Banco de Dados'!$R927*_xlfn.XLOOKUP('Banco de Dados'!$P927,Sku!B:B,Sku!H:H)*20%),2)),'Banco de Dados'!$A927="GO",ROUND(SUM('Banco de Dados'!$R927*_xlfn.XLOOKUP('Banco de Dados'!$P927,Sku!C:C,Sku!H:H)*20%),2),'Banco de Dados'!$A927="MEI",ROUND(SUM('Banco de Dados'!$R927*_xlfn.XLOOKUP('Banco de Dados'!$P927,Sku!D:D,Sku!H:H)*20%),2)),0)</f>
        <v>0</v>
      </c>
      <c r="AN927" s="109">
        <f ca="1">IF('Banco de Dados'!$AK927&lt;&gt;"-",IF('Banco de Dados'!$F927&lt;&gt;"-",_xlfn.XLOOKUP(IFERROR(IFERROR(IFERROR(VALUE(SUBSTITUTE(MID(_xlfn.TEXTAFTER('Banco de Dados'!$F927,"Data do Pedido:
",1),1,10),"-","/")),VALUE(SUBSTITUTE(MID(_xlfn.TEXTAFTER('Banco de Dados'!$F927,"Order date:
",1),1,10),"-","/"))),VALUE(SUBSTITUTE(MID(_xlfn.TEXTAFTER('Banco de Dados'!$F927,"Fecha de pedido:
",1),1,10),"-","/"))),"-"),SMS!A:A,SMS!K:K),0),0)</f>
        <v>0</v>
      </c>
      <c r="AO927" s="109">
        <f ca="1">IF('Banco de Dados'!$AK927&lt;&gt;"-",IF('Banco de Dados'!$F927&lt;&gt;"-",IFERROR(_xlfn.XLOOKUP(_xlfn.CONCAT('Banco de Dados'!$A927,IFERROR(IFERROR(VALUE(SUBSTITUTE(MID(_xlfn.TEXTAFTER('Banco de Dados'!$F927,"Data do Pedido:
",1),1,10),"-","/")),VALUE(SUBSTITUTE(MID(_xlfn.TEXTAFTER('Banco de Dados'!$F927,"Order date:
",1),1,10),"-","/"))),0)),ProxyDD[Chave],ProxyDD[Valor por pedido]),PROXY!$P$2),0),0)</f>
        <v>0</v>
      </c>
      <c r="AP927" s="28">
        <f ca="1">IF('Banco de Dados'!$AK927&lt;&gt;"-",IF('Banco de Dados'!$AL927="NÃO",IFERROR(VALUE(SUBSTITUTE(_xlfn.TEXTAFTER('Banco de Dados'!$F927,"BRL ",1),".",",")),0),0),0)</f>
        <v>0</v>
      </c>
      <c r="AQ927" s="28">
        <f ca="1">SUM('Banco de Dados'!$AM927:$AP927)</f>
        <v>0</v>
      </c>
      <c r="AR927" s="8"/>
      <c r="AY927" s="8"/>
    </row>
    <row r="928" spans="1:51">
      <c r="A928" s="5" t="str">
        <v>MEI</v>
      </c>
      <c r="B928" s="5" t="str">
        <f ca="1"/>
        <v>MEI45694</v>
      </c>
      <c r="C928" s="8" t="str">
        <v>Pedido 915</v>
      </c>
      <c r="D928" s="187">
        <v>45694</v>
      </c>
      <c r="E928" s="9">
        <v>45694</v>
      </c>
      <c r="F928" s="8" t="str">
        <v>PedidoF894</v>
      </c>
      <c r="G928" s="2" t="str">
        <v>CódRastreio892</v>
      </c>
      <c r="H928" s="5">
        <v>1</v>
      </c>
      <c r="I928" s="2" t="str">
        <v>CPF 889</v>
      </c>
      <c r="J928" s="2" t="str">
        <v>Nome 889</v>
      </c>
      <c r="K928" s="8" t="str">
        <v>Tel 889</v>
      </c>
      <c r="L928" s="8" t="str">
        <v>Cep 889</v>
      </c>
      <c r="M928" s="8" t="str">
        <v>Rua 889</v>
      </c>
      <c r="N928" s="8" t="str">
        <v>Comp 889</v>
      </c>
      <c r="O928" s="8" t="str">
        <v>Kit Forma de Gelo c/ Tampa 4 un</v>
      </c>
      <c r="P928" s="8" t="str">
        <v>MZ-PGT3-IKGF</v>
      </c>
      <c r="Q928" s="4">
        <v>45723</v>
      </c>
      <c r="R928" s="109">
        <v>34.99</v>
      </c>
      <c r="S928" s="11">
        <f ca="1"/>
        <v>0</v>
      </c>
      <c r="T928" s="28">
        <f ca="1"/>
        <v>0</v>
      </c>
      <c r="U928" s="11">
        <f ca="1"/>
        <v>0</v>
      </c>
      <c r="V928" s="11">
        <v>0</v>
      </c>
      <c r="W928" s="11">
        <f ca="1"/>
        <v>0</v>
      </c>
      <c r="X928" s="11">
        <f ca="1"/>
        <v>0.39877104377104378</v>
      </c>
      <c r="Y928" s="11">
        <v>0</v>
      </c>
      <c r="Z928" s="11">
        <f ca="1"/>
        <v>-0.39877104377104378</v>
      </c>
      <c r="AA928" s="11">
        <f ca="1"/>
        <v>-0.19938552188552189</v>
      </c>
      <c r="AB928" s="4">
        <f ca="1"/>
        <v>45730</v>
      </c>
      <c r="AC928" s="4">
        <v>45730</v>
      </c>
      <c r="AD928" s="9">
        <v>45730</v>
      </c>
      <c r="AE928" s="9">
        <v>45733</v>
      </c>
      <c r="AF928" s="4" t="str">
        <f t="shared" ca="1" si="43"/>
        <v>2025 03</v>
      </c>
      <c r="AG928" s="8" t="str" cm="1">
        <f t="array" ref="AG928">IFERROR(_xlfn.IFS('Banco de Dados'!#REF!="AG. COMPRA","Em processamento",'Banco de Dados'!#REF!="AG. RASTREIO","Em processamento",'Banco de Dados'!$AE928&lt;&gt;"-","Faturado",'Banco de Dados'!$AD928&lt;&gt;"-","Aguardando Pix",'Banco de Dados'!$AC928&lt;&gt;"-","Pendente"),"Aguardando Liberação")</f>
        <v>Aguardando Liberação</v>
      </c>
      <c r="AH928" s="5" t="str">
        <f>IF('Banco de Dados'!$F928="-",_xlfn.CONCAT(PROPER(TEXT(AK928,"aaaa"))," ",PROPER(TEXT(AK928,"mm"))),_xlfn.CONCAT(PROPER(TEXT(E928,"aaaa"))," ",PROPER(TEXT(E928,"mm"))))</f>
        <v>2025 02</v>
      </c>
      <c r="AI928" s="9" t="str">
        <f ca="1">IF('Banco de Dados'!$AK928&lt;&gt;"-","REEMBOLSO",IFERROR(_xlfn.XLOOKUP(G928,Follow[CODRASTREIO],Follow[STATUS]),"-"))</f>
        <v>REEMBOLSO</v>
      </c>
      <c r="AJ928" s="9" t="str">
        <f ca="1">IF('Banco de Dados'!$AI928="ENTREGUE",_xlfn.XLOOKUP('Banco de Dados'!$G928,Follow[CODRASTREIO],Follow[DATAATUALIZAÇÃO]),"-")</f>
        <v>-</v>
      </c>
      <c r="AK928" s="132">
        <f ca="1"/>
        <v>45728</v>
      </c>
      <c r="AL928" s="35"/>
      <c r="AM928" s="109" cm="1">
        <f t="array" aca="1" ref="AM928" ca="1">IF('Banco de Dados'!$AK928&lt;&gt;"-",_xlfn.IFS('Banco de Dados'!$A928="bv",IF('Banco de Dados'!$E928&lt;45641,ROUND(SUM('Banco de Dados'!$R928*_xlfn.XLOOKUP('Banco de Dados'!$P928,Sku!B:B,Sku!#REF!)*20%),2),ROUND(SUM('Banco de Dados'!$R928*_xlfn.XLOOKUP('Banco de Dados'!$P928,Sku!B:B,Sku!H:H)*20%),2)),'Banco de Dados'!$A928="GO",ROUND(SUM('Banco de Dados'!$R928*_xlfn.XLOOKUP('Banco de Dados'!$P928,Sku!C:C,Sku!H:H)*20%),2),'Banco de Dados'!$A928="MEI",ROUND(SUM('Banco de Dados'!$R928*_xlfn.XLOOKUP('Banco de Dados'!$P928,Sku!D:D,Sku!H:H)*20%),2)),0)</f>
        <v>0.84</v>
      </c>
      <c r="AN928" s="109" t="e">
        <f ca="1">IF('Banco de Dados'!$AK928&lt;&gt;"-",IF('Banco de Dados'!$F928&lt;&gt;"-",_xlfn.XLOOKUP(IFERROR(IFERROR(IFERROR(VALUE(SUBSTITUTE(MID(_xlfn.TEXTAFTER('Banco de Dados'!$F928,"Data do Pedido:
",1),1,10),"-","/")),VALUE(SUBSTITUTE(MID(_xlfn.TEXTAFTER('Banco de Dados'!$F928,"Order date:
",1),1,10),"-","/"))),VALUE(SUBSTITUTE(MID(_xlfn.TEXTAFTER('Banco de Dados'!$F928,"Fecha de pedido:
",1),1,10),"-","/"))),"-"),SMS!A:A,SMS!K:K),0),0)</f>
        <v>#N/A</v>
      </c>
      <c r="AO928" s="109">
        <f ca="1">IF('Banco de Dados'!$AK928&lt;&gt;"-",IF('Banco de Dados'!$F928&lt;&gt;"-",IFERROR(_xlfn.XLOOKUP(_xlfn.CONCAT('Banco de Dados'!$A928,IFERROR(IFERROR(VALUE(SUBSTITUTE(MID(_xlfn.TEXTAFTER('Banco de Dados'!$F928,"Data do Pedido:
",1),1,10),"-","/")),VALUE(SUBSTITUTE(MID(_xlfn.TEXTAFTER('Banco de Dados'!$F928,"Order date:
",1),1,10),"-","/"))),0)),ProxyDD[Chave],ProxyDD[Valor por pedido]),PROXY!$P$2),0),0)</f>
        <v>0.39877104377104378</v>
      </c>
      <c r="AP928" s="28">
        <f ca="1">IF('Banco de Dados'!$AK928&lt;&gt;"-",IF('Banco de Dados'!$AL928="NÃO",IFERROR(VALUE(SUBSTITUTE(_xlfn.TEXTAFTER('Banco de Dados'!$F928,"BRL ",1),".",",")),0),0),0)</f>
        <v>0</v>
      </c>
      <c r="AQ928" s="28" t="e">
        <f ca="1">SUM('Banco de Dados'!$AM928:$AP928)</f>
        <v>#N/A</v>
      </c>
      <c r="AR928" s="8"/>
      <c r="AY928" s="8"/>
    </row>
    <row r="929" spans="1:51">
      <c r="A929" s="5" t="str">
        <v>MEI</v>
      </c>
      <c r="B929" s="5" t="str">
        <f ca="1"/>
        <v>MEI45694</v>
      </c>
      <c r="C929" s="8" t="str">
        <v>Pedido 916</v>
      </c>
      <c r="D929" s="187">
        <v>45694</v>
      </c>
      <c r="E929" s="9">
        <v>45694</v>
      </c>
      <c r="F929" s="8" t="str">
        <v>PedidoF895</v>
      </c>
      <c r="G929" s="2" t="str">
        <v>CódRastreio893</v>
      </c>
      <c r="H929" s="5">
        <v>1</v>
      </c>
      <c r="I929" s="2" t="str">
        <v>CPF 890</v>
      </c>
      <c r="J929" s="2" t="str">
        <v>Nome 890</v>
      </c>
      <c r="K929" s="8" t="str">
        <v>Tel 890</v>
      </c>
      <c r="L929" s="8" t="str">
        <v>Cep 890</v>
      </c>
      <c r="M929" s="8" t="str">
        <v>Rua 890</v>
      </c>
      <c r="N929" s="8" t="str">
        <v>Comp 890</v>
      </c>
      <c r="O929" s="8" t="str">
        <v>Kit Forma de Gelo c/ Tampa 4 un</v>
      </c>
      <c r="P929" s="8" t="str">
        <v>MZ-PGT3-IKGF</v>
      </c>
      <c r="Q929" s="4">
        <v>45723</v>
      </c>
      <c r="R929" s="109">
        <v>34.99</v>
      </c>
      <c r="S929" s="11">
        <f ca="1"/>
        <v>34.99</v>
      </c>
      <c r="T929" s="28">
        <f ca="1"/>
        <v>4.1988000000000003</v>
      </c>
      <c r="U929" s="11">
        <f ca="1"/>
        <v>30.79</v>
      </c>
      <c r="V929" s="11">
        <v>30.4</v>
      </c>
      <c r="W929" s="11">
        <f ca="1"/>
        <v>0.2</v>
      </c>
      <c r="X929" s="11">
        <f ca="1"/>
        <v>0.39877104377104378</v>
      </c>
      <c r="Y929" s="11">
        <v>0</v>
      </c>
      <c r="Z929" s="11">
        <f ca="1"/>
        <v>-0.20877104377104416</v>
      </c>
      <c r="AA929" s="11">
        <f ca="1"/>
        <v>-0.10438552188552208</v>
      </c>
      <c r="AB929" s="4">
        <f ca="1"/>
        <v>45730</v>
      </c>
      <c r="AC929" s="4">
        <v>45730</v>
      </c>
      <c r="AD929" s="9">
        <v>45730</v>
      </c>
      <c r="AE929" s="9">
        <v>45733</v>
      </c>
      <c r="AF929" s="4" t="str">
        <f t="shared" ca="1" si="43"/>
        <v>2025 03</v>
      </c>
      <c r="AG929" s="8" t="str" cm="1">
        <f t="array" ref="AG929">IFERROR(_xlfn.IFS('Banco de Dados'!#REF!="AG. COMPRA","Em processamento",'Banco de Dados'!#REF!="AG. RASTREIO","Em processamento",'Banco de Dados'!$AE929&lt;&gt;"-","Faturado",'Banco de Dados'!$AD929&lt;&gt;"-","Aguardando Pix",'Banco de Dados'!$AC929&lt;&gt;"-","Pendente"),"Aguardando Liberação")</f>
        <v>Aguardando Liberação</v>
      </c>
      <c r="AH929" s="5" t="str">
        <f>IF('Banco de Dados'!$F929="-",_xlfn.CONCAT(PROPER(TEXT(AK929,"aaaa"))," ",PROPER(TEXT(AK929,"mm"))),_xlfn.CONCAT(PROPER(TEXT(E929,"aaaa"))," ",PROPER(TEXT(E929,"mm"))))</f>
        <v>2025 02</v>
      </c>
      <c r="AI929" s="9" t="str">
        <f ca="1">IF('Banco de Dados'!$AK929&lt;&gt;"-","REEMBOLSO",IFERROR(_xlfn.XLOOKUP(G929,Follow[CODRASTREIO],Follow[STATUS]),"-"))</f>
        <v>ENTREGUE</v>
      </c>
      <c r="AJ929" s="9">
        <f ca="1">IF('Banco de Dados'!$AI929="ENTREGUE",_xlfn.XLOOKUP('Banco de Dados'!$G929,Follow[CODRASTREIO],Follow[DATAATUALIZAÇÃO]),"-")</f>
        <v>45708</v>
      </c>
      <c r="AK929" s="132" t="str">
        <f ca="1"/>
        <v>-</v>
      </c>
      <c r="AL929" s="35"/>
      <c r="AM929" s="109" cm="1">
        <f t="array" aca="1" ref="AM929" ca="1">IF('Banco de Dados'!$AK929&lt;&gt;"-",_xlfn.IFS('Banco de Dados'!$A929="bv",IF('Banco de Dados'!$E929&lt;45641,ROUND(SUM('Banco de Dados'!$R929*_xlfn.XLOOKUP('Banco de Dados'!$P929,Sku!B:B,Sku!#REF!)*20%),2),ROUND(SUM('Banco de Dados'!$R929*_xlfn.XLOOKUP('Banco de Dados'!$P929,Sku!B:B,Sku!H:H)*20%),2)),'Banco de Dados'!$A929="GO",ROUND(SUM('Banco de Dados'!$R929*_xlfn.XLOOKUP('Banco de Dados'!$P929,Sku!C:C,Sku!H:H)*20%),2),'Banco de Dados'!$A929="MEI",ROUND(SUM('Banco de Dados'!$R929*_xlfn.XLOOKUP('Banco de Dados'!$P929,Sku!D:D,Sku!H:H)*20%),2)),0)</f>
        <v>0</v>
      </c>
      <c r="AN929" s="109">
        <f ca="1">IF('Banco de Dados'!$AK929&lt;&gt;"-",IF('Banco de Dados'!$F929&lt;&gt;"-",_xlfn.XLOOKUP(IFERROR(IFERROR(IFERROR(VALUE(SUBSTITUTE(MID(_xlfn.TEXTAFTER('Banco de Dados'!$F929,"Data do Pedido:
",1),1,10),"-","/")),VALUE(SUBSTITUTE(MID(_xlfn.TEXTAFTER('Banco de Dados'!$F929,"Order date:
",1),1,10),"-","/"))),VALUE(SUBSTITUTE(MID(_xlfn.TEXTAFTER('Banco de Dados'!$F929,"Fecha de pedido:
",1),1,10),"-","/"))),"-"),SMS!A:A,SMS!K:K),0),0)</f>
        <v>0</v>
      </c>
      <c r="AO929" s="109">
        <f ca="1">IF('Banco de Dados'!$AK929&lt;&gt;"-",IF('Banco de Dados'!$F929&lt;&gt;"-",IFERROR(_xlfn.XLOOKUP(_xlfn.CONCAT('Banco de Dados'!$A929,IFERROR(IFERROR(VALUE(SUBSTITUTE(MID(_xlfn.TEXTAFTER('Banco de Dados'!$F929,"Data do Pedido:
",1),1,10),"-","/")),VALUE(SUBSTITUTE(MID(_xlfn.TEXTAFTER('Banco de Dados'!$F929,"Order date:
",1),1,10),"-","/"))),0)),ProxyDD[Chave],ProxyDD[Valor por pedido]),PROXY!$P$2),0),0)</f>
        <v>0</v>
      </c>
      <c r="AP929" s="28">
        <f ca="1">IF('Banco de Dados'!$AK929&lt;&gt;"-",IF('Banco de Dados'!$AL929="NÃO",IFERROR(VALUE(SUBSTITUTE(_xlfn.TEXTAFTER('Banco de Dados'!$F929,"BRL ",1),".",",")),0),0),0)</f>
        <v>0</v>
      </c>
      <c r="AQ929" s="28">
        <f ca="1">SUM('Banco de Dados'!$AM929:$AP929)</f>
        <v>0</v>
      </c>
      <c r="AR929" s="8"/>
      <c r="AY929" s="8"/>
    </row>
    <row r="930" spans="1:51">
      <c r="A930" s="5" t="str">
        <v>MEI</v>
      </c>
      <c r="B930" s="5" t="str">
        <f ca="1"/>
        <v>MEI45694</v>
      </c>
      <c r="C930" s="8" t="str">
        <v>Pedido 917</v>
      </c>
      <c r="D930" s="187">
        <v>45694</v>
      </c>
      <c r="E930" s="9">
        <v>45694</v>
      </c>
      <c r="F930" s="8" t="str">
        <v>PedidoF896</v>
      </c>
      <c r="G930" s="2" t="str">
        <v>CódRastreio894</v>
      </c>
      <c r="H930" s="5">
        <v>1</v>
      </c>
      <c r="I930" s="2" t="str">
        <v>CPF 891</v>
      </c>
      <c r="J930" s="2" t="str">
        <v>Nome 891</v>
      </c>
      <c r="K930" s="8" t="str">
        <v>Tel 891</v>
      </c>
      <c r="L930" s="8" t="str">
        <v>Cep 891</v>
      </c>
      <c r="M930" s="8" t="str">
        <v>Rua 891</v>
      </c>
      <c r="N930" s="8" t="str">
        <v>Comp 891</v>
      </c>
      <c r="O930" s="8" t="str">
        <v>Kit Forma de Gelo c/ Tampa 4 un</v>
      </c>
      <c r="P930" s="8" t="str">
        <v>MZ-PGT3-IKGF</v>
      </c>
      <c r="Q930" s="4">
        <v>45723</v>
      </c>
      <c r="R930" s="109">
        <v>34.99</v>
      </c>
      <c r="S930" s="11">
        <f ca="1"/>
        <v>34.99</v>
      </c>
      <c r="T930" s="28">
        <f ca="1"/>
        <v>4.1988000000000003</v>
      </c>
      <c r="U930" s="11">
        <f ca="1"/>
        <v>30.79</v>
      </c>
      <c r="V930" s="11">
        <v>30.4</v>
      </c>
      <c r="W930" s="11">
        <f ca="1"/>
        <v>0.2</v>
      </c>
      <c r="X930" s="11">
        <f ca="1"/>
        <v>0.39877104377104378</v>
      </c>
      <c r="Y930" s="11">
        <v>0</v>
      </c>
      <c r="Z930" s="11">
        <f ca="1"/>
        <v>-0.20877104377104416</v>
      </c>
      <c r="AA930" s="11">
        <f ca="1"/>
        <v>-0.10438552188552208</v>
      </c>
      <c r="AB930" s="4">
        <f ca="1"/>
        <v>45730</v>
      </c>
      <c r="AC930" s="4">
        <v>45730</v>
      </c>
      <c r="AD930" s="9">
        <v>45730</v>
      </c>
      <c r="AE930" s="9">
        <v>45733</v>
      </c>
      <c r="AF930" s="4" t="str">
        <f t="shared" ca="1" si="43"/>
        <v>2025 03</v>
      </c>
      <c r="AG930" s="8" t="str" cm="1">
        <f t="array" ref="AG930">IFERROR(_xlfn.IFS('Banco de Dados'!#REF!="AG. COMPRA","Em processamento",'Banco de Dados'!#REF!="AG. RASTREIO","Em processamento",'Banco de Dados'!$AE930&lt;&gt;"-","Faturado",'Banco de Dados'!$AD930&lt;&gt;"-","Aguardando Pix",'Banco de Dados'!$AC930&lt;&gt;"-","Pendente"),"Aguardando Liberação")</f>
        <v>Aguardando Liberação</v>
      </c>
      <c r="AH930" s="5" t="str">
        <f>IF('Banco de Dados'!$F930="-",_xlfn.CONCAT(PROPER(TEXT(AK930,"aaaa"))," ",PROPER(TEXT(AK930,"mm"))),_xlfn.CONCAT(PROPER(TEXT(E930,"aaaa"))," ",PROPER(TEXT(E930,"mm"))))</f>
        <v>2025 02</v>
      </c>
      <c r="AI930" s="9" t="str">
        <f ca="1">IF('Banco de Dados'!$AK930&lt;&gt;"-","REEMBOLSO",IFERROR(_xlfn.XLOOKUP(G930,Follow[CODRASTREIO],Follow[STATUS]),"-"))</f>
        <v>ENTREGUE</v>
      </c>
      <c r="AJ930" s="9">
        <f ca="1">IF('Banco de Dados'!$AI930="ENTREGUE",_xlfn.XLOOKUP('Banco de Dados'!$G930,Follow[CODRASTREIO],Follow[DATAATUALIZAÇÃO]),"-")</f>
        <v>45705</v>
      </c>
      <c r="AK930" s="132" t="str">
        <f ca="1"/>
        <v>-</v>
      </c>
      <c r="AL930" s="35"/>
      <c r="AM930" s="109" cm="1">
        <f t="array" aca="1" ref="AM930" ca="1">IF('Banco de Dados'!$AK930&lt;&gt;"-",_xlfn.IFS('Banco de Dados'!$A930="bv",IF('Banco de Dados'!$E930&lt;45641,ROUND(SUM('Banco de Dados'!$R930*_xlfn.XLOOKUP('Banco de Dados'!$P930,Sku!B:B,Sku!#REF!)*20%),2),ROUND(SUM('Banco de Dados'!$R930*_xlfn.XLOOKUP('Banco de Dados'!$P930,Sku!B:B,Sku!H:H)*20%),2)),'Banco de Dados'!$A930="GO",ROUND(SUM('Banco de Dados'!$R930*_xlfn.XLOOKUP('Banco de Dados'!$P930,Sku!C:C,Sku!H:H)*20%),2),'Banco de Dados'!$A930="MEI",ROUND(SUM('Banco de Dados'!$R930*_xlfn.XLOOKUP('Banco de Dados'!$P930,Sku!D:D,Sku!H:H)*20%),2)),0)</f>
        <v>0</v>
      </c>
      <c r="AN930" s="109">
        <f ca="1">IF('Banco de Dados'!$AK930&lt;&gt;"-",IF('Banco de Dados'!$F930&lt;&gt;"-",_xlfn.XLOOKUP(IFERROR(IFERROR(IFERROR(VALUE(SUBSTITUTE(MID(_xlfn.TEXTAFTER('Banco de Dados'!$F930,"Data do Pedido:
",1),1,10),"-","/")),VALUE(SUBSTITUTE(MID(_xlfn.TEXTAFTER('Banco de Dados'!$F930,"Order date:
",1),1,10),"-","/"))),VALUE(SUBSTITUTE(MID(_xlfn.TEXTAFTER('Banco de Dados'!$F930,"Fecha de pedido:
",1),1,10),"-","/"))),"-"),SMS!A:A,SMS!K:K),0),0)</f>
        <v>0</v>
      </c>
      <c r="AO930" s="109">
        <f ca="1">IF('Banco de Dados'!$AK930&lt;&gt;"-",IF('Banco de Dados'!$F930&lt;&gt;"-",IFERROR(_xlfn.XLOOKUP(_xlfn.CONCAT('Banco de Dados'!$A930,IFERROR(IFERROR(VALUE(SUBSTITUTE(MID(_xlfn.TEXTAFTER('Banco de Dados'!$F930,"Data do Pedido:
",1),1,10),"-","/")),VALUE(SUBSTITUTE(MID(_xlfn.TEXTAFTER('Banco de Dados'!$F930,"Order date:
",1),1,10),"-","/"))),0)),ProxyDD[Chave],ProxyDD[Valor por pedido]),PROXY!$P$2),0),0)</f>
        <v>0</v>
      </c>
      <c r="AP930" s="28">
        <f ca="1">IF('Banco de Dados'!$AK930&lt;&gt;"-",IF('Banco de Dados'!$AL930="NÃO",IFERROR(VALUE(SUBSTITUTE(_xlfn.TEXTAFTER('Banco de Dados'!$F930,"BRL ",1),".",",")),0),0),0)</f>
        <v>0</v>
      </c>
      <c r="AQ930" s="28">
        <f ca="1">SUM('Banco de Dados'!$AM930:$AP930)</f>
        <v>0</v>
      </c>
      <c r="AR930" s="8"/>
      <c r="AY930" s="8"/>
    </row>
    <row r="931" spans="1:51">
      <c r="A931" s="5" t="str">
        <v>MEI</v>
      </c>
      <c r="B931" s="5" t="str">
        <f ca="1"/>
        <v>MEI45694</v>
      </c>
      <c r="C931" s="8" t="str">
        <v>Pedido 918</v>
      </c>
      <c r="D931" s="187">
        <v>45694</v>
      </c>
      <c r="E931" s="9">
        <v>45694</v>
      </c>
      <c r="F931" s="8" t="str">
        <v>PedidoF897</v>
      </c>
      <c r="G931" s="2" t="str">
        <v>CódRastreio895</v>
      </c>
      <c r="H931" s="5">
        <v>1</v>
      </c>
      <c r="I931" s="2" t="str">
        <v>CPF 892</v>
      </c>
      <c r="J931" s="2" t="str">
        <v>Nome 892</v>
      </c>
      <c r="K931" s="8" t="str">
        <v>Tel 892</v>
      </c>
      <c r="L931" s="8" t="str">
        <v>Cep 892</v>
      </c>
      <c r="M931" s="8" t="str">
        <v>Rua 892</v>
      </c>
      <c r="N931" s="8" t="str">
        <v>Comp 892</v>
      </c>
      <c r="O931" s="8" t="str">
        <v>Kit Forma de Gelo c/ Tampa 4 un</v>
      </c>
      <c r="P931" s="8" t="str">
        <v>MZ-PGT3-IKGF</v>
      </c>
      <c r="Q931" s="4">
        <v>45714</v>
      </c>
      <c r="R931" s="109">
        <v>34.99</v>
      </c>
      <c r="S931" s="11">
        <f ca="1"/>
        <v>34.99</v>
      </c>
      <c r="T931" s="28">
        <f ca="1"/>
        <v>4.1988000000000003</v>
      </c>
      <c r="U931" s="11">
        <f ca="1"/>
        <v>30.79</v>
      </c>
      <c r="V931" s="11">
        <v>30.4</v>
      </c>
      <c r="W931" s="11">
        <f ca="1"/>
        <v>0.2</v>
      </c>
      <c r="X931" s="11">
        <f ca="1"/>
        <v>0.39877104377104378</v>
      </c>
      <c r="Y931" s="11">
        <v>0</v>
      </c>
      <c r="Z931" s="11">
        <f ca="1"/>
        <v>-0.20877104377104416</v>
      </c>
      <c r="AA931" s="11">
        <f ca="1"/>
        <v>-0.10438552188552208</v>
      </c>
      <c r="AB931" s="4">
        <f ca="1"/>
        <v>45721</v>
      </c>
      <c r="AC931" s="4">
        <v>45721</v>
      </c>
      <c r="AD931" s="9">
        <v>45730</v>
      </c>
      <c r="AE931" s="9">
        <v>45733</v>
      </c>
      <c r="AF931" s="4" t="str">
        <f t="shared" ref="AF931:AF933" ca="1" si="44">_xlfn.CONCAT(PROPER(TEXT(AB931,"aaaa"))," ",PROPER(TEXT(AB931,"mm")))</f>
        <v>2025 03</v>
      </c>
      <c r="AG931" s="8" t="str" cm="1">
        <f t="array" ref="AG931">IFERROR(_xlfn.IFS('Banco de Dados'!#REF!="AG. COMPRA","Em processamento",'Banco de Dados'!#REF!="AG. RASTREIO","Em processamento",'Banco de Dados'!$AE931&lt;&gt;"-","Faturado",'Banco de Dados'!$AD931&lt;&gt;"-","Aguardando Pix",'Banco de Dados'!$AC931&lt;&gt;"-","Pendente"),"Aguardando Liberação")</f>
        <v>Aguardando Liberação</v>
      </c>
      <c r="AH931" s="5" t="str">
        <f>IF('Banco de Dados'!$F931="-",_xlfn.CONCAT(PROPER(TEXT(AK931,"aaaa"))," ",PROPER(TEXT(AK931,"mm"))),_xlfn.CONCAT(PROPER(TEXT(E931,"aaaa"))," ",PROPER(TEXT(E931,"mm"))))</f>
        <v>2025 02</v>
      </c>
      <c r="AI931" s="9" t="str">
        <f ca="1">IF('Banco de Dados'!$AK931&lt;&gt;"-","REEMBOLSO",IFERROR(_xlfn.XLOOKUP(G931,Follow[CODRASTREIO],Follow[STATUS]),"-"))</f>
        <v>ENTREGUE</v>
      </c>
      <c r="AJ931" s="9">
        <f ca="1">IF('Banco de Dados'!$AI931="ENTREGUE",_xlfn.XLOOKUP('Banco de Dados'!$G931,Follow[CODRASTREIO],Follow[DATAATUALIZAÇÃO]),"-")</f>
        <v>45706</v>
      </c>
      <c r="AK931" s="132" t="str">
        <f ca="1"/>
        <v>-</v>
      </c>
      <c r="AL931" s="35"/>
      <c r="AM931" s="109" cm="1">
        <f t="array" aca="1" ref="AM931" ca="1">IF('Banco de Dados'!$AK931&lt;&gt;"-",_xlfn.IFS('Banco de Dados'!$A931="bv",IF('Banco de Dados'!$E931&lt;45641,ROUND(SUM('Banco de Dados'!$R931*_xlfn.XLOOKUP('Banco de Dados'!$P931,Sku!B:B,Sku!#REF!)*20%),2),ROUND(SUM('Banco de Dados'!$R931*_xlfn.XLOOKUP('Banco de Dados'!$P931,Sku!B:B,Sku!H:H)*20%),2)),'Banco de Dados'!$A931="GO",ROUND(SUM('Banco de Dados'!$R931*_xlfn.XLOOKUP('Banco de Dados'!$P931,Sku!C:C,Sku!H:H)*20%),2),'Banco de Dados'!$A931="MEI",ROUND(SUM('Banco de Dados'!$R931*_xlfn.XLOOKUP('Banco de Dados'!$P931,Sku!D:D,Sku!H:H)*20%),2)),0)</f>
        <v>0</v>
      </c>
      <c r="AN931" s="109">
        <f ca="1">IF('Banco de Dados'!$AK931&lt;&gt;"-",IF('Banco de Dados'!$F931&lt;&gt;"-",_xlfn.XLOOKUP(IFERROR(IFERROR(IFERROR(VALUE(SUBSTITUTE(MID(_xlfn.TEXTAFTER('Banco de Dados'!$F931,"Data do Pedido:
",1),1,10),"-","/")),VALUE(SUBSTITUTE(MID(_xlfn.TEXTAFTER('Banco de Dados'!$F931,"Order date:
",1),1,10),"-","/"))),VALUE(SUBSTITUTE(MID(_xlfn.TEXTAFTER('Banco de Dados'!$F931,"Fecha de pedido:
",1),1,10),"-","/"))),"-"),SMS!A:A,SMS!K:K),0),0)</f>
        <v>0</v>
      </c>
      <c r="AO931" s="109">
        <f ca="1">IF('Banco de Dados'!$AK931&lt;&gt;"-",IF('Banco de Dados'!$F931&lt;&gt;"-",IFERROR(_xlfn.XLOOKUP(_xlfn.CONCAT('Banco de Dados'!$A931,IFERROR(IFERROR(VALUE(SUBSTITUTE(MID(_xlfn.TEXTAFTER('Banco de Dados'!$F931,"Data do Pedido:
",1),1,10),"-","/")),VALUE(SUBSTITUTE(MID(_xlfn.TEXTAFTER('Banco de Dados'!$F931,"Order date:
",1),1,10),"-","/"))),0)),ProxyDD[Chave],ProxyDD[Valor por pedido]),PROXY!$P$2),0),0)</f>
        <v>0</v>
      </c>
      <c r="AP931" s="28">
        <f ca="1">IF('Banco de Dados'!$AK931&lt;&gt;"-",IF('Banco de Dados'!$AL931="NÃO",IFERROR(VALUE(SUBSTITUTE(_xlfn.TEXTAFTER('Banco de Dados'!$F931,"BRL ",1),".",",")),0),0),0)</f>
        <v>0</v>
      </c>
      <c r="AQ931" s="28">
        <f ca="1">SUM('Banco de Dados'!$AM931:$AP931)</f>
        <v>0</v>
      </c>
      <c r="AR931" s="8"/>
      <c r="AY931" s="8"/>
    </row>
    <row r="932" spans="1:51">
      <c r="A932" s="5" t="str">
        <v>MEI</v>
      </c>
      <c r="B932" s="5" t="str">
        <f ca="1"/>
        <v>MEI45694</v>
      </c>
      <c r="C932" s="8" t="str">
        <v>Pedido 919</v>
      </c>
      <c r="D932" s="187">
        <v>45694</v>
      </c>
      <c r="E932" s="9">
        <v>45694</v>
      </c>
      <c r="F932" s="8" t="str">
        <v>PedidoF898</v>
      </c>
      <c r="G932" s="2" t="str">
        <v>CódRastreio896</v>
      </c>
      <c r="H932" s="5">
        <v>1</v>
      </c>
      <c r="I932" s="2" t="str">
        <v>CPF 893</v>
      </c>
      <c r="J932" s="2" t="str">
        <v>Nome 893</v>
      </c>
      <c r="K932" s="8" t="str">
        <v>Tel 893</v>
      </c>
      <c r="L932" s="8" t="str">
        <v>Cep 893</v>
      </c>
      <c r="M932" s="8" t="str">
        <v>Rua 893</v>
      </c>
      <c r="N932" s="8" t="str">
        <v>Comp 893</v>
      </c>
      <c r="O932" s="8" t="str">
        <v>Kit Forma de Gelo c/ Tampa 4 un</v>
      </c>
      <c r="P932" s="8" t="str">
        <v>MZ-PGT3-IKGF</v>
      </c>
      <c r="Q932" s="4">
        <v>45715</v>
      </c>
      <c r="R932" s="109">
        <v>65.989999999999995</v>
      </c>
      <c r="S932" s="11">
        <f ca="1"/>
        <v>65.989999999999995</v>
      </c>
      <c r="T932" s="28">
        <f ca="1"/>
        <v>7.9187999999999992</v>
      </c>
      <c r="U932" s="11">
        <f ca="1"/>
        <v>58.07</v>
      </c>
      <c r="V932" s="11">
        <v>30.4</v>
      </c>
      <c r="W932" s="11">
        <f ca="1"/>
        <v>0.2</v>
      </c>
      <c r="X932" s="11">
        <f ca="1"/>
        <v>0.39877104377104378</v>
      </c>
      <c r="Y932" s="11">
        <v>0</v>
      </c>
      <c r="Z932" s="11">
        <f ca="1"/>
        <v>27.071228956228957</v>
      </c>
      <c r="AA932" s="11">
        <f ca="1"/>
        <v>13.535614478114478</v>
      </c>
      <c r="AB932" s="4">
        <f ca="1"/>
        <v>45722</v>
      </c>
      <c r="AC932" s="4">
        <v>45722</v>
      </c>
      <c r="AD932" s="9">
        <v>45730</v>
      </c>
      <c r="AE932" s="9">
        <v>45733</v>
      </c>
      <c r="AF932" s="4" t="str">
        <f t="shared" ca="1" si="44"/>
        <v>2025 03</v>
      </c>
      <c r="AG932" s="8" t="str" cm="1">
        <f t="array" ref="AG932">IFERROR(_xlfn.IFS('Banco de Dados'!#REF!="AG. COMPRA","Em processamento",'Banco de Dados'!#REF!="AG. RASTREIO","Em processamento",'Banco de Dados'!$AE932&lt;&gt;"-","Faturado",'Banco de Dados'!$AD932&lt;&gt;"-","Aguardando Pix",'Banco de Dados'!$AC932&lt;&gt;"-","Pendente"),"Aguardando Liberação")</f>
        <v>Aguardando Liberação</v>
      </c>
      <c r="AH932" s="5" t="str">
        <f>IF('Banco de Dados'!$F932="-",_xlfn.CONCAT(PROPER(TEXT(AK932,"aaaa"))," ",PROPER(TEXT(AK932,"mm"))),_xlfn.CONCAT(PROPER(TEXT(E932,"aaaa"))," ",PROPER(TEXT(E932,"mm"))))</f>
        <v>2025 02</v>
      </c>
      <c r="AI932" s="9" t="str">
        <f ca="1">IF('Banco de Dados'!$AK932&lt;&gt;"-","REEMBOLSO",IFERROR(_xlfn.XLOOKUP(G932,Follow[CODRASTREIO],Follow[STATUS]),"-"))</f>
        <v>ENTREGUE</v>
      </c>
      <c r="AJ932" s="9">
        <f ca="1">IF('Banco de Dados'!$AI932="ENTREGUE",_xlfn.XLOOKUP('Banco de Dados'!$G932,Follow[CODRASTREIO],Follow[DATAATUALIZAÇÃO]),"-")</f>
        <v>45701</v>
      </c>
      <c r="AK932" s="132" t="str">
        <f ca="1"/>
        <v>-</v>
      </c>
      <c r="AL932" s="35"/>
      <c r="AM932" s="109" cm="1">
        <f t="array" aca="1" ref="AM932" ca="1">IF('Banco de Dados'!$AK932&lt;&gt;"-",_xlfn.IFS('Banco de Dados'!$A932="bv",IF('Banco de Dados'!$E932&lt;45641,ROUND(SUM('Banco de Dados'!$R932*_xlfn.XLOOKUP('Banco de Dados'!$P932,Sku!B:B,Sku!#REF!)*20%),2),ROUND(SUM('Banco de Dados'!$R932*_xlfn.XLOOKUP('Banco de Dados'!$P932,Sku!B:B,Sku!H:H)*20%),2)),'Banco de Dados'!$A932="GO",ROUND(SUM('Banco de Dados'!$R932*_xlfn.XLOOKUP('Banco de Dados'!$P932,Sku!C:C,Sku!H:H)*20%),2),'Banco de Dados'!$A932="MEI",ROUND(SUM('Banco de Dados'!$R932*_xlfn.XLOOKUP('Banco de Dados'!$P932,Sku!D:D,Sku!H:H)*20%),2)),0)</f>
        <v>0</v>
      </c>
      <c r="AN932" s="109">
        <f ca="1">IF('Banco de Dados'!$AK932&lt;&gt;"-",IF('Banco de Dados'!$F932&lt;&gt;"-",_xlfn.XLOOKUP(IFERROR(IFERROR(IFERROR(VALUE(SUBSTITUTE(MID(_xlfn.TEXTAFTER('Banco de Dados'!$F932,"Data do Pedido:
",1),1,10),"-","/")),VALUE(SUBSTITUTE(MID(_xlfn.TEXTAFTER('Banco de Dados'!$F932,"Order date:
",1),1,10),"-","/"))),VALUE(SUBSTITUTE(MID(_xlfn.TEXTAFTER('Banco de Dados'!$F932,"Fecha de pedido:
",1),1,10),"-","/"))),"-"),SMS!A:A,SMS!K:K),0),0)</f>
        <v>0</v>
      </c>
      <c r="AO932" s="109">
        <f ca="1">IF('Banco de Dados'!$AK932&lt;&gt;"-",IF('Banco de Dados'!$F932&lt;&gt;"-",IFERROR(_xlfn.XLOOKUP(_xlfn.CONCAT('Banco de Dados'!$A932,IFERROR(IFERROR(VALUE(SUBSTITUTE(MID(_xlfn.TEXTAFTER('Banco de Dados'!$F932,"Data do Pedido:
",1),1,10),"-","/")),VALUE(SUBSTITUTE(MID(_xlfn.TEXTAFTER('Banco de Dados'!$F932,"Order date:
",1),1,10),"-","/"))),0)),ProxyDD[Chave],ProxyDD[Valor por pedido]),PROXY!$P$2),0),0)</f>
        <v>0</v>
      </c>
      <c r="AP932" s="28">
        <f ca="1">IF('Banco de Dados'!$AK932&lt;&gt;"-",IF('Banco de Dados'!$AL932="NÃO",IFERROR(VALUE(SUBSTITUTE(_xlfn.TEXTAFTER('Banco de Dados'!$F932,"BRL ",1),".",",")),0),0),0)</f>
        <v>0</v>
      </c>
      <c r="AQ932" s="28">
        <f ca="1">SUM('Banco de Dados'!$AM932:$AP932)</f>
        <v>0</v>
      </c>
      <c r="AR932" s="8"/>
      <c r="AY932" s="8"/>
    </row>
    <row r="933" spans="1:51">
      <c r="A933" s="5" t="str">
        <v>MEI</v>
      </c>
      <c r="B933" s="5" t="str">
        <f ca="1"/>
        <v>MEI45694</v>
      </c>
      <c r="C933" s="8" t="str">
        <v>Pedido 920</v>
      </c>
      <c r="D933" s="187">
        <v>45694</v>
      </c>
      <c r="E933" s="9">
        <v>45694</v>
      </c>
      <c r="F933" s="8" t="str">
        <v>PedidoF899</v>
      </c>
      <c r="G933" s="2" t="str">
        <v>CódRastreio897</v>
      </c>
      <c r="H933" s="5">
        <v>1</v>
      </c>
      <c r="I933" s="2" t="str">
        <v>CPF 894</v>
      </c>
      <c r="J933" s="2" t="str">
        <v>Nome 894</v>
      </c>
      <c r="K933" s="8" t="str">
        <v>Tel 894</v>
      </c>
      <c r="L933" s="8" t="str">
        <v>Cep 894</v>
      </c>
      <c r="M933" s="8" t="str">
        <v>Rua 894</v>
      </c>
      <c r="N933" s="8" t="str">
        <v>Comp 894</v>
      </c>
      <c r="O933" s="8" t="str">
        <v>Kit Forma de Gelo c/ Tampa 4 un</v>
      </c>
      <c r="P933" s="8" t="str">
        <v>MZ-PGT3-IKGF</v>
      </c>
      <c r="Q933" s="4">
        <v>45715</v>
      </c>
      <c r="R933" s="109">
        <v>65.989999999999995</v>
      </c>
      <c r="S933" s="11">
        <f ca="1"/>
        <v>65.989999999999995</v>
      </c>
      <c r="T933" s="28">
        <f ca="1"/>
        <v>7.9187999999999992</v>
      </c>
      <c r="U933" s="11">
        <f ca="1"/>
        <v>58.07</v>
      </c>
      <c r="V933" s="11">
        <v>30.4</v>
      </c>
      <c r="W933" s="11">
        <f ca="1"/>
        <v>0.2</v>
      </c>
      <c r="X933" s="11">
        <f ca="1"/>
        <v>0.39877104377104378</v>
      </c>
      <c r="Y933" s="11">
        <v>0</v>
      </c>
      <c r="Z933" s="11">
        <f ca="1"/>
        <v>27.071228956228957</v>
      </c>
      <c r="AA933" s="11">
        <f ca="1"/>
        <v>13.535614478114478</v>
      </c>
      <c r="AB933" s="4">
        <f ca="1"/>
        <v>45722</v>
      </c>
      <c r="AC933" s="4">
        <v>45722</v>
      </c>
      <c r="AD933" s="9">
        <v>45730</v>
      </c>
      <c r="AE933" s="9">
        <v>45733</v>
      </c>
      <c r="AF933" s="4" t="str">
        <f t="shared" ca="1" si="44"/>
        <v>2025 03</v>
      </c>
      <c r="AG933" s="8" t="str" cm="1">
        <f t="array" ref="AG933">IFERROR(_xlfn.IFS('Banco de Dados'!#REF!="AG. COMPRA","Em processamento",'Banco de Dados'!#REF!="AG. RASTREIO","Em processamento",'Banco de Dados'!$AE933&lt;&gt;"-","Faturado",'Banco de Dados'!$AD933&lt;&gt;"-","Aguardando Pix",'Banco de Dados'!$AC933&lt;&gt;"-","Pendente"),"Aguardando Liberação")</f>
        <v>Aguardando Liberação</v>
      </c>
      <c r="AH933" s="5" t="str">
        <f>IF('Banco de Dados'!$F933="-",_xlfn.CONCAT(PROPER(TEXT(AK933,"aaaa"))," ",PROPER(TEXT(AK933,"mm"))),_xlfn.CONCAT(PROPER(TEXT(E933,"aaaa"))," ",PROPER(TEXT(E933,"mm"))))</f>
        <v>2025 02</v>
      </c>
      <c r="AI933" s="9" t="str">
        <f ca="1">IF('Banco de Dados'!$AK933&lt;&gt;"-","REEMBOLSO",IFERROR(_xlfn.XLOOKUP(G933,Follow[CODRASTREIO],Follow[STATUS]),"-"))</f>
        <v>ENTREGUE</v>
      </c>
      <c r="AJ933" s="9">
        <f ca="1">IF('Banco de Dados'!$AI933="ENTREGUE",_xlfn.XLOOKUP('Banco de Dados'!$G933,Follow[CODRASTREIO],Follow[DATAATUALIZAÇÃO]),"-")</f>
        <v>45708</v>
      </c>
      <c r="AK933" s="132" t="str">
        <f ca="1"/>
        <v>-</v>
      </c>
      <c r="AL933" s="35"/>
      <c r="AM933" s="109" cm="1">
        <f t="array" aca="1" ref="AM933" ca="1">IF('Banco de Dados'!$AK933&lt;&gt;"-",_xlfn.IFS('Banco de Dados'!$A933="bv",IF('Banco de Dados'!$E933&lt;45641,ROUND(SUM('Banco de Dados'!$R933*_xlfn.XLOOKUP('Banco de Dados'!$P933,Sku!B:B,Sku!#REF!)*20%),2),ROUND(SUM('Banco de Dados'!$R933*_xlfn.XLOOKUP('Banco de Dados'!$P933,Sku!B:B,Sku!H:H)*20%),2)),'Banco de Dados'!$A933="GO",ROUND(SUM('Banco de Dados'!$R933*_xlfn.XLOOKUP('Banco de Dados'!$P933,Sku!C:C,Sku!H:H)*20%),2),'Banco de Dados'!$A933="MEI",ROUND(SUM('Banco de Dados'!$R933*_xlfn.XLOOKUP('Banco de Dados'!$P933,Sku!D:D,Sku!H:H)*20%),2)),0)</f>
        <v>0</v>
      </c>
      <c r="AN933" s="109">
        <f ca="1">IF('Banco de Dados'!$AK933&lt;&gt;"-",IF('Banco de Dados'!$F933&lt;&gt;"-",_xlfn.XLOOKUP(IFERROR(IFERROR(IFERROR(VALUE(SUBSTITUTE(MID(_xlfn.TEXTAFTER('Banco de Dados'!$F933,"Data do Pedido:
",1),1,10),"-","/")),VALUE(SUBSTITUTE(MID(_xlfn.TEXTAFTER('Banco de Dados'!$F933,"Order date:
",1),1,10),"-","/"))),VALUE(SUBSTITUTE(MID(_xlfn.TEXTAFTER('Banco de Dados'!$F933,"Fecha de pedido:
",1),1,10),"-","/"))),"-"),SMS!A:A,SMS!K:K),0),0)</f>
        <v>0</v>
      </c>
      <c r="AO933" s="109">
        <f ca="1">IF('Banco de Dados'!$AK933&lt;&gt;"-",IF('Banco de Dados'!$F933&lt;&gt;"-",IFERROR(_xlfn.XLOOKUP(_xlfn.CONCAT('Banco de Dados'!$A933,IFERROR(IFERROR(VALUE(SUBSTITUTE(MID(_xlfn.TEXTAFTER('Banco de Dados'!$F933,"Data do Pedido:
",1),1,10),"-","/")),VALUE(SUBSTITUTE(MID(_xlfn.TEXTAFTER('Banco de Dados'!$F933,"Order date:
",1),1,10),"-","/"))),0)),ProxyDD[Chave],ProxyDD[Valor por pedido]),PROXY!$P$2),0),0)</f>
        <v>0</v>
      </c>
      <c r="AP933" s="28">
        <f ca="1">IF('Banco de Dados'!$AK933&lt;&gt;"-",IF('Banco de Dados'!$AL933="NÃO",IFERROR(VALUE(SUBSTITUTE(_xlfn.TEXTAFTER('Banco de Dados'!$F933,"BRL ",1),".",",")),0),0),0)</f>
        <v>0</v>
      </c>
      <c r="AQ933" s="28">
        <f ca="1">SUM('Banco de Dados'!$AM933:$AP933)</f>
        <v>0</v>
      </c>
      <c r="AR933" s="8"/>
      <c r="AY933" s="8"/>
    </row>
    <row r="934" spans="1:51">
      <c r="A934" s="5" t="str">
        <v>BV</v>
      </c>
      <c r="B934" s="5" t="str">
        <f ca="1"/>
        <v>BV45695</v>
      </c>
      <c r="C934" s="8" t="str">
        <v>Pedido 921</v>
      </c>
      <c r="D934" s="9">
        <v>45695</v>
      </c>
      <c r="E934" s="9">
        <v>45695</v>
      </c>
      <c r="F934" s="8" t="str">
        <v>PedidoF900</v>
      </c>
      <c r="G934" s="2" t="str">
        <v>CódRastreio898</v>
      </c>
      <c r="H934" s="5">
        <v>1</v>
      </c>
      <c r="I934" s="2" t="str">
        <v>CPF 895</v>
      </c>
      <c r="J934" s="2" t="str">
        <v>Nome 895</v>
      </c>
      <c r="K934" s="8" t="str">
        <v>Tel 895</v>
      </c>
      <c r="L934" s="8" t="str">
        <v>Cep 895</v>
      </c>
      <c r="M934" s="8" t="str">
        <v>Rua 895</v>
      </c>
      <c r="N934" s="8" t="str">
        <v>Comp 895</v>
      </c>
      <c r="O934" s="8" t="str">
        <v>Suporte de Celular Branco</v>
      </c>
      <c r="P934" s="8" t="str">
        <v>16-4EDB-WMZF</v>
      </c>
      <c r="Q934" s="4">
        <v>45715</v>
      </c>
      <c r="R934" s="109">
        <v>19.600000000000001</v>
      </c>
      <c r="S934" s="11">
        <f ca="1"/>
        <v>19.600000000000001</v>
      </c>
      <c r="T934" s="28">
        <f ca="1"/>
        <v>2.94</v>
      </c>
      <c r="U934" s="11">
        <f ca="1"/>
        <v>16.66</v>
      </c>
      <c r="V934" s="11">
        <v>6.99</v>
      </c>
      <c r="W934" s="11">
        <f ca="1"/>
        <v>0.2</v>
      </c>
      <c r="X934" s="11">
        <f ca="1"/>
        <v>0.39877104377104378</v>
      </c>
      <c r="Y934" s="11">
        <v>0</v>
      </c>
      <c r="Z934" s="11">
        <f ca="1"/>
        <v>9.071228956228957</v>
      </c>
      <c r="AA934" s="11">
        <f ca="1"/>
        <v>4.5356144781144785</v>
      </c>
      <c r="AB934" s="4">
        <f ca="1"/>
        <v>45722</v>
      </c>
      <c r="AC934" s="4">
        <v>45722</v>
      </c>
      <c r="AD934" s="9">
        <v>45730</v>
      </c>
      <c r="AE934" s="9">
        <v>45733</v>
      </c>
      <c r="AF934" s="4" t="str">
        <f t="shared" ref="AF934:AF938" ca="1" si="45">_xlfn.CONCAT(PROPER(TEXT(AB934,"aaaa"))," ",PROPER(TEXT(AB934,"mm")))</f>
        <v>2025 03</v>
      </c>
      <c r="AG934" s="8" t="str" cm="1">
        <f t="array" ref="AG934">IFERROR(_xlfn.IFS('Banco de Dados'!#REF!="AG. COMPRA","Em processamento",'Banco de Dados'!#REF!="AG. RASTREIO","Em processamento",'Banco de Dados'!$AE934&lt;&gt;"-","Faturado",'Banco de Dados'!$AD934&lt;&gt;"-","Aguardando Pix",'Banco de Dados'!$AC934&lt;&gt;"-","Pendente"),"Aguardando Liberação")</f>
        <v>Aguardando Liberação</v>
      </c>
      <c r="AH934" s="5" t="str">
        <f>IF('Banco de Dados'!$F934="-",_xlfn.CONCAT(PROPER(TEXT(AK934,"aaaa"))," ",PROPER(TEXT(AK934,"mm"))),_xlfn.CONCAT(PROPER(TEXT(E934,"aaaa"))," ",PROPER(TEXT(E934,"mm"))))</f>
        <v>2025 02</v>
      </c>
      <c r="AI934" s="9" t="str">
        <f ca="1">IF('Banco de Dados'!$AK934&lt;&gt;"-","REEMBOLSO",IFERROR(_xlfn.XLOOKUP(G934,Follow[CODRASTREIO],Follow[STATUS]),"-"))</f>
        <v>ENTREGUE</v>
      </c>
      <c r="AJ934" s="9">
        <f ca="1">IF('Banco de Dados'!$AI934="ENTREGUE",_xlfn.XLOOKUP('Banco de Dados'!$G934,Follow[CODRASTREIO],Follow[DATAATUALIZAÇÃO]),"-")</f>
        <v>45701</v>
      </c>
      <c r="AK934" s="132" t="str">
        <f ca="1"/>
        <v>-</v>
      </c>
      <c r="AL934" s="35"/>
      <c r="AM934" s="109" cm="1">
        <f t="array" aca="1" ref="AM934" ca="1">IF('Banco de Dados'!$AK934&lt;&gt;"-",_xlfn.IFS('Banco de Dados'!$A934="bv",IF('Banco de Dados'!$E934&lt;45641,ROUND(SUM('Banco de Dados'!$R934*_xlfn.XLOOKUP('Banco de Dados'!$P934,Sku!B:B,Sku!#REF!)*20%),2),ROUND(SUM('Banco de Dados'!$R934*_xlfn.XLOOKUP('Banco de Dados'!$P934,Sku!B:B,Sku!H:H)*20%),2)),'Banco de Dados'!$A934="GO",ROUND(_xlfn.XLOOKUP('Banco de Dados'!$P934,Sku!C:C,Sku!H:H),2),'Banco de Dados'!$A934="MEI",ROUND(_xlfn.XLOOKUP('Banco de Dados'!$P934,Sku!D:D,Sku!H:H),2)),0)</f>
        <v>0</v>
      </c>
      <c r="AN934" s="109">
        <f ca="1">IF('Banco de Dados'!$AK934&lt;&gt;"-",IF('Banco de Dados'!$F934&lt;&gt;"-",_xlfn.XLOOKUP(IFERROR(IFERROR(IFERROR(VALUE(SUBSTITUTE(MID(_xlfn.TEXTAFTER('Banco de Dados'!$F934,"Data do Pedido:
",1),1,10),"-","/")),VALUE(SUBSTITUTE(MID(_xlfn.TEXTAFTER('Banco de Dados'!$F934,"Order date:
",1),1,10),"-","/"))),VALUE(SUBSTITUTE(MID(_xlfn.TEXTAFTER('Banco de Dados'!$F934,"Fecha de pedido:
",1),1,10),"-","/"))),"-"),SMS!A:A,SMS!K:K),0),0)</f>
        <v>0</v>
      </c>
      <c r="AO934" s="109">
        <f ca="1">IF('Banco de Dados'!$AK934&lt;&gt;"-",IF('Banco de Dados'!$F934&lt;&gt;"-",IFERROR(_xlfn.XLOOKUP(_xlfn.CONCAT('Banco de Dados'!$A934,IFERROR(IFERROR(VALUE(SUBSTITUTE(MID(_xlfn.TEXTAFTER('Banco de Dados'!$F934,"Data do Pedido:
",1),1,10),"-","/")),VALUE(SUBSTITUTE(MID(_xlfn.TEXTAFTER('Banco de Dados'!$F934,"Order date:
",1),1,10),"-","/"))),0)),ProxyDD[Chave],ProxyDD[Valor por pedido]),PROXY!$P$2),0),0)</f>
        <v>0</v>
      </c>
      <c r="AP934" s="28">
        <f ca="1">IF('Banco de Dados'!$AK934&lt;&gt;"-",IF('Banco de Dados'!$AL934="NÃO",IFERROR(VALUE(SUBSTITUTE(_xlfn.TEXTAFTER('Banco de Dados'!$F934,"BRL ",1),".",",")),0),0),0)</f>
        <v>0</v>
      </c>
      <c r="AQ934" s="28">
        <f ca="1">SUM('Banco de Dados'!$AM934:$AP934)</f>
        <v>0</v>
      </c>
      <c r="AR934" s="8"/>
      <c r="AY934" s="8"/>
    </row>
    <row r="935" spans="1:51">
      <c r="A935" s="5" t="str">
        <v>BV</v>
      </c>
      <c r="B935" s="5" t="str">
        <f ca="1"/>
        <v>BV45695</v>
      </c>
      <c r="C935" s="8" t="str">
        <v>Pedido 922</v>
      </c>
      <c r="D935" s="9">
        <v>45695</v>
      </c>
      <c r="E935" s="9">
        <v>45695</v>
      </c>
      <c r="F935" s="8" t="str">
        <v>PedidoF901</v>
      </c>
      <c r="G935" s="2" t="str">
        <v>CódRastreio899</v>
      </c>
      <c r="H935" s="5">
        <v>1</v>
      </c>
      <c r="I935" s="2" t="str">
        <v>CPF 896</v>
      </c>
      <c r="J935" s="2" t="str">
        <v>Nome 896</v>
      </c>
      <c r="K935" s="8" t="str">
        <v>Tel 896</v>
      </c>
      <c r="L935" s="8" t="str">
        <v>Cep 896</v>
      </c>
      <c r="M935" s="8" t="str">
        <v>Rua 896</v>
      </c>
      <c r="N935" s="8" t="str">
        <v>Comp 896</v>
      </c>
      <c r="O935" s="8" t="str">
        <v>Ventilador Rosa</v>
      </c>
      <c r="P935" s="8" t="str">
        <v>IF-G2ZQ-79FO</v>
      </c>
      <c r="Q935" s="4">
        <v>45715</v>
      </c>
      <c r="R935" s="109">
        <v>52.7</v>
      </c>
      <c r="S935" s="11">
        <f ca="1"/>
        <v>52.7</v>
      </c>
      <c r="T935" s="28">
        <f ca="1"/>
        <v>6.8510000000000009</v>
      </c>
      <c r="U935" s="11">
        <f ca="1"/>
        <v>45.85</v>
      </c>
      <c r="V935" s="11">
        <v>16.16</v>
      </c>
      <c r="W935" s="11">
        <f ca="1"/>
        <v>0.2</v>
      </c>
      <c r="X935" s="11">
        <f ca="1"/>
        <v>0.39877104377104378</v>
      </c>
      <c r="Y935" s="11">
        <v>0</v>
      </c>
      <c r="Z935" s="11">
        <f ca="1"/>
        <v>29.091228956228957</v>
      </c>
      <c r="AA935" s="11">
        <f ca="1"/>
        <v>14.545614478114478</v>
      </c>
      <c r="AB935" s="4">
        <f ca="1"/>
        <v>45722</v>
      </c>
      <c r="AC935" s="4">
        <v>45722</v>
      </c>
      <c r="AD935" s="9">
        <v>45730</v>
      </c>
      <c r="AE935" s="9">
        <v>45733</v>
      </c>
      <c r="AF935" s="4" t="str">
        <f t="shared" ca="1" si="45"/>
        <v>2025 03</v>
      </c>
      <c r="AG935" s="8" t="str" cm="1">
        <f t="array" ref="AG935">IFERROR(_xlfn.IFS('Banco de Dados'!#REF!="AG. COMPRA","Em processamento",'Banco de Dados'!#REF!="AG. RASTREIO","Em processamento",'Banco de Dados'!$AE935&lt;&gt;"-","Faturado",'Banco de Dados'!$AD935&lt;&gt;"-","Aguardando Pix",'Banco de Dados'!$AC935&lt;&gt;"-","Pendente"),"Aguardando Liberação")</f>
        <v>Aguardando Liberação</v>
      </c>
      <c r="AH935" s="5" t="str">
        <f>IF('Banco de Dados'!$F935="-",_xlfn.CONCAT(PROPER(TEXT(AK935,"aaaa"))," ",PROPER(TEXT(AK935,"mm"))),_xlfn.CONCAT(PROPER(TEXT(E935,"aaaa"))," ",PROPER(TEXT(E935,"mm"))))</f>
        <v>2025 02</v>
      </c>
      <c r="AI935" s="9" t="str">
        <f ca="1">IF('Banco de Dados'!$AK935&lt;&gt;"-","REEMBOLSO",IFERROR(_xlfn.XLOOKUP(G935,Follow[CODRASTREIO],Follow[STATUS]),"-"))</f>
        <v>ENTREGUE</v>
      </c>
      <c r="AJ935" s="9">
        <f ca="1">IF('Banco de Dados'!$AI935="ENTREGUE",_xlfn.XLOOKUP('Banco de Dados'!$G935,Follow[CODRASTREIO],Follow[DATAATUALIZAÇÃO]),"-")</f>
        <v>45708</v>
      </c>
      <c r="AK935" s="132" t="str">
        <f ca="1"/>
        <v>-</v>
      </c>
      <c r="AL935" s="35"/>
      <c r="AM935" s="109" cm="1">
        <f t="array" aca="1" ref="AM935" ca="1">IF('Banco de Dados'!$AK935&lt;&gt;"-",_xlfn.IFS('Banco de Dados'!$A935="bv",IF('Banco de Dados'!$E935&lt;45641,ROUND(SUM('Banco de Dados'!$R935*_xlfn.XLOOKUP('Banco de Dados'!$P935,Sku!B:B,Sku!#REF!)*20%),2),ROUND(SUM('Banco de Dados'!$R935*_xlfn.XLOOKUP('Banco de Dados'!$P935,Sku!B:B,Sku!H:H)*20%),2)),'Banco de Dados'!$A935="GO",ROUND(_xlfn.XLOOKUP('Banco de Dados'!$P935,Sku!C:C,Sku!H:H),2),'Banco de Dados'!$A935="MEI",ROUND(_xlfn.XLOOKUP('Banco de Dados'!$P935,Sku!D:D,Sku!H:H),2)),0)</f>
        <v>0</v>
      </c>
      <c r="AN935" s="109">
        <f ca="1">IF('Banco de Dados'!$AK935&lt;&gt;"-",IF('Banco de Dados'!$F935&lt;&gt;"-",_xlfn.XLOOKUP(IFERROR(IFERROR(IFERROR(VALUE(SUBSTITUTE(MID(_xlfn.TEXTAFTER('Banco de Dados'!$F935,"Data do Pedido:
",1),1,10),"-","/")),VALUE(SUBSTITUTE(MID(_xlfn.TEXTAFTER('Banco de Dados'!$F935,"Order date:
",1),1,10),"-","/"))),VALUE(SUBSTITUTE(MID(_xlfn.TEXTAFTER('Banco de Dados'!$F935,"Fecha de pedido:
",1),1,10),"-","/"))),"-"),SMS!A:A,SMS!K:K),0),0)</f>
        <v>0</v>
      </c>
      <c r="AO935" s="109">
        <f ca="1">IF('Banco de Dados'!$AK935&lt;&gt;"-",IF('Banco de Dados'!$F935&lt;&gt;"-",IFERROR(_xlfn.XLOOKUP(_xlfn.CONCAT('Banco de Dados'!$A935,IFERROR(IFERROR(VALUE(SUBSTITUTE(MID(_xlfn.TEXTAFTER('Banco de Dados'!$F935,"Data do Pedido:
",1),1,10),"-","/")),VALUE(SUBSTITUTE(MID(_xlfn.TEXTAFTER('Banco de Dados'!$F935,"Order date:
",1),1,10),"-","/"))),0)),ProxyDD[Chave],ProxyDD[Valor por pedido]),PROXY!$P$2),0),0)</f>
        <v>0</v>
      </c>
      <c r="AP935" s="28">
        <f ca="1">IF('Banco de Dados'!$AK935&lt;&gt;"-",IF('Banco de Dados'!$AL935="NÃO",IFERROR(VALUE(SUBSTITUTE(_xlfn.TEXTAFTER('Banco de Dados'!$F935,"BRL ",1),".",",")),0),0),0)</f>
        <v>0</v>
      </c>
      <c r="AQ935" s="28">
        <f ca="1">SUM('Banco de Dados'!$AM935:$AP935)</f>
        <v>0</v>
      </c>
      <c r="AR935" s="8"/>
      <c r="AY935" s="8"/>
    </row>
    <row r="936" spans="1:51">
      <c r="A936" s="5" t="str">
        <v>BV</v>
      </c>
      <c r="B936" s="5" t="str">
        <f ca="1"/>
        <v>BV45695</v>
      </c>
      <c r="C936" s="8" t="str">
        <v>Pedido 923</v>
      </c>
      <c r="D936" s="9">
        <v>45695</v>
      </c>
      <c r="E936" s="9">
        <v>45695</v>
      </c>
      <c r="F936" s="8" t="str">
        <v>PedidoF902</v>
      </c>
      <c r="G936" s="2" t="str">
        <v>CódRastreio900</v>
      </c>
      <c r="H936" s="5">
        <v>1</v>
      </c>
      <c r="I936" s="2" t="str">
        <v>CPF 897</v>
      </c>
      <c r="J936" s="2" t="str">
        <v>Nome 897</v>
      </c>
      <c r="K936" s="8" t="str">
        <v>Tel 897</v>
      </c>
      <c r="L936" s="8" t="str">
        <v>Cep 897</v>
      </c>
      <c r="M936" s="8" t="str">
        <v>Rua 897</v>
      </c>
      <c r="N936" s="8" t="str">
        <v>Comp 897</v>
      </c>
      <c r="O936" s="8" t="str">
        <v>Ventilador Rosa</v>
      </c>
      <c r="P936" s="8" t="str">
        <v>IF-G2ZQ-79FO</v>
      </c>
      <c r="Q936" s="4">
        <v>45716</v>
      </c>
      <c r="R936" s="109">
        <v>52.7</v>
      </c>
      <c r="S936" s="11">
        <f ca="1"/>
        <v>52.7</v>
      </c>
      <c r="T936" s="28">
        <f ca="1"/>
        <v>6.8510000000000009</v>
      </c>
      <c r="U936" s="11">
        <f ca="1"/>
        <v>45.85</v>
      </c>
      <c r="V936" s="11">
        <v>16.16</v>
      </c>
      <c r="W936" s="11">
        <f ca="1"/>
        <v>0.2</v>
      </c>
      <c r="X936" s="11">
        <f ca="1"/>
        <v>0.39877104377104378</v>
      </c>
      <c r="Y936" s="11">
        <v>0</v>
      </c>
      <c r="Z936" s="11">
        <f ca="1"/>
        <v>29.091228956228957</v>
      </c>
      <c r="AA936" s="11">
        <f ca="1"/>
        <v>14.545614478114478</v>
      </c>
      <c r="AB936" s="4">
        <f ca="1"/>
        <v>45723</v>
      </c>
      <c r="AC936" s="4">
        <v>45723</v>
      </c>
      <c r="AD936" s="9">
        <v>45730</v>
      </c>
      <c r="AE936" s="9">
        <v>45733</v>
      </c>
      <c r="AF936" s="4" t="str">
        <f t="shared" ca="1" si="45"/>
        <v>2025 03</v>
      </c>
      <c r="AG936" s="8" t="str" cm="1">
        <f t="array" ref="AG936">IFERROR(_xlfn.IFS('Banco de Dados'!#REF!="AG. COMPRA","Em processamento",'Banco de Dados'!#REF!="AG. RASTREIO","Em processamento",'Banco de Dados'!$AE936&lt;&gt;"-","Faturado",'Banco de Dados'!$AD936&lt;&gt;"-","Aguardando Pix",'Banco de Dados'!$AC936&lt;&gt;"-","Pendente"),"Aguardando Liberação")</f>
        <v>Aguardando Liberação</v>
      </c>
      <c r="AH936" s="5" t="str">
        <f>IF('Banco de Dados'!$F936="-",_xlfn.CONCAT(PROPER(TEXT(AK936,"aaaa"))," ",PROPER(TEXT(AK936,"mm"))),_xlfn.CONCAT(PROPER(TEXT(E936,"aaaa"))," ",PROPER(TEXT(E936,"mm"))))</f>
        <v>2025 02</v>
      </c>
      <c r="AI936" s="9" t="str">
        <f ca="1">IF('Banco de Dados'!$AK936&lt;&gt;"-","REEMBOLSO",IFERROR(_xlfn.XLOOKUP(G936,Follow[CODRASTREIO],Follow[STATUS]),"-"))</f>
        <v>ENTREGUE</v>
      </c>
      <c r="AJ936" s="9">
        <f ca="1">IF('Banco de Dados'!$AI936="ENTREGUE",_xlfn.XLOOKUP('Banco de Dados'!$G936,Follow[CODRASTREIO],Follow[DATAATUALIZAÇÃO]),"-")</f>
        <v>45706</v>
      </c>
      <c r="AK936" s="132" t="str">
        <f ca="1"/>
        <v>-</v>
      </c>
      <c r="AL936" s="35"/>
      <c r="AM936" s="109" cm="1">
        <f t="array" aca="1" ref="AM936" ca="1">IF('Banco de Dados'!$AK936&lt;&gt;"-",_xlfn.IFS('Banco de Dados'!$A936="bv",IF('Banco de Dados'!$E936&lt;45641,ROUND(SUM('Banco de Dados'!$R936*_xlfn.XLOOKUP('Banco de Dados'!$P936,Sku!B:B,Sku!#REF!)*20%),2),ROUND(SUM('Banco de Dados'!$R936*_xlfn.XLOOKUP('Banco de Dados'!$P936,Sku!B:B,Sku!H:H)*20%),2)),'Banco de Dados'!$A936="GO",ROUND(_xlfn.XLOOKUP('Banco de Dados'!$P936,Sku!C:C,Sku!H:H),2),'Banco de Dados'!$A936="MEI",ROUND(_xlfn.XLOOKUP('Banco de Dados'!$P936,Sku!D:D,Sku!H:H),2)),0)</f>
        <v>0</v>
      </c>
      <c r="AN936" s="109">
        <f ca="1">IF('Banco de Dados'!$AK936&lt;&gt;"-",IF('Banco de Dados'!$F936&lt;&gt;"-",_xlfn.XLOOKUP(IFERROR(IFERROR(IFERROR(VALUE(SUBSTITUTE(MID(_xlfn.TEXTAFTER('Banco de Dados'!$F936,"Data do Pedido:
",1),1,10),"-","/")),VALUE(SUBSTITUTE(MID(_xlfn.TEXTAFTER('Banco de Dados'!$F936,"Order date:
",1),1,10),"-","/"))),VALUE(SUBSTITUTE(MID(_xlfn.TEXTAFTER('Banco de Dados'!$F936,"Fecha de pedido:
",1),1,10),"-","/"))),"-"),SMS!A:A,SMS!K:K),0),0)</f>
        <v>0</v>
      </c>
      <c r="AO936" s="109">
        <f ca="1">IF('Banco de Dados'!$AK936&lt;&gt;"-",IF('Banco de Dados'!$F936&lt;&gt;"-",IFERROR(_xlfn.XLOOKUP(_xlfn.CONCAT('Banco de Dados'!$A936,IFERROR(IFERROR(VALUE(SUBSTITUTE(MID(_xlfn.TEXTAFTER('Banco de Dados'!$F936,"Data do Pedido:
",1),1,10),"-","/")),VALUE(SUBSTITUTE(MID(_xlfn.TEXTAFTER('Banco de Dados'!$F936,"Order date:
",1),1,10),"-","/"))),0)),ProxyDD[Chave],ProxyDD[Valor por pedido]),PROXY!$P$2),0),0)</f>
        <v>0</v>
      </c>
      <c r="AP936" s="28">
        <f ca="1">IF('Banco de Dados'!$AK936&lt;&gt;"-",IF('Banco de Dados'!$AL936="NÃO",IFERROR(VALUE(SUBSTITUTE(_xlfn.TEXTAFTER('Banco de Dados'!$F936,"BRL ",1),".",",")),0),0),0)</f>
        <v>0</v>
      </c>
      <c r="AQ936" s="28">
        <f ca="1">SUM('Banco de Dados'!$AM936:$AP936)</f>
        <v>0</v>
      </c>
      <c r="AR936" s="8"/>
      <c r="AY936" s="8"/>
    </row>
    <row r="937" spans="1:51">
      <c r="A937" s="5" t="str">
        <v>BV</v>
      </c>
      <c r="B937" s="5" t="str">
        <f ca="1"/>
        <v>BV45695</v>
      </c>
      <c r="C937" s="8" t="str">
        <v>Pedido 924</v>
      </c>
      <c r="D937" s="9">
        <v>45695</v>
      </c>
      <c r="E937" s="9">
        <v>45695</v>
      </c>
      <c r="F937" s="8" t="str">
        <v>PedidoF903</v>
      </c>
      <c r="G937" s="2" t="str">
        <v>CódRastreio901</v>
      </c>
      <c r="H937" s="5">
        <v>1</v>
      </c>
      <c r="I937" s="2" t="str">
        <v>CPF 898</v>
      </c>
      <c r="J937" s="2" t="str">
        <v>Nome 898</v>
      </c>
      <c r="K937" s="8" t="str">
        <v>Tel 898</v>
      </c>
      <c r="L937" s="8" t="str">
        <v>Cep 898</v>
      </c>
      <c r="M937" s="8" t="str">
        <v>Rua 898</v>
      </c>
      <c r="N937" s="8" t="str">
        <v>Comp 898</v>
      </c>
      <c r="O937" s="8" t="str">
        <v>Mini Liquidificador</v>
      </c>
      <c r="P937" s="8" t="str">
        <v>CK-YL6M-P5Y6</v>
      </c>
      <c r="Q937" s="4">
        <v>45716</v>
      </c>
      <c r="R937" s="109">
        <v>33.99</v>
      </c>
      <c r="S937" s="11">
        <f ca="1"/>
        <v>33.99</v>
      </c>
      <c r="T937" s="28">
        <f ca="1"/>
        <v>4.7586000000000004</v>
      </c>
      <c r="U937" s="11">
        <f ca="1"/>
        <v>29.23</v>
      </c>
      <c r="V937" s="11">
        <v>14.99</v>
      </c>
      <c r="W937" s="11">
        <f ca="1"/>
        <v>0.2</v>
      </c>
      <c r="X937" s="11">
        <f ca="1"/>
        <v>0.39877104377104378</v>
      </c>
      <c r="Y937" s="11">
        <v>0</v>
      </c>
      <c r="Z937" s="11">
        <f ca="1"/>
        <v>13.641228956228957</v>
      </c>
      <c r="AA937" s="11">
        <f ca="1"/>
        <v>6.8206144781144786</v>
      </c>
      <c r="AB937" s="4">
        <f ca="1"/>
        <v>45723</v>
      </c>
      <c r="AC937" s="4">
        <v>45723</v>
      </c>
      <c r="AD937" s="9">
        <v>45730</v>
      </c>
      <c r="AE937" s="9">
        <v>45733</v>
      </c>
      <c r="AF937" s="4" t="str">
        <f t="shared" ca="1" si="45"/>
        <v>2025 03</v>
      </c>
      <c r="AG937" s="8" t="str" cm="1">
        <f t="array" ref="AG937">IFERROR(_xlfn.IFS('Banco de Dados'!#REF!="AG. COMPRA","Em processamento",'Banco de Dados'!#REF!="AG. RASTREIO","Em processamento",'Banco de Dados'!$AE937&lt;&gt;"-","Faturado",'Banco de Dados'!$AD937&lt;&gt;"-","Aguardando Pix",'Banco de Dados'!$AC937&lt;&gt;"-","Pendente"),"Aguardando Liberação")</f>
        <v>Aguardando Liberação</v>
      </c>
      <c r="AH937" s="5" t="str">
        <f>IF('Banco de Dados'!$F937="-",_xlfn.CONCAT(PROPER(TEXT(AK937,"aaaa"))," ",PROPER(TEXT(AK937,"mm"))),_xlfn.CONCAT(PROPER(TEXT(E937,"aaaa"))," ",PROPER(TEXT(E937,"mm"))))</f>
        <v>2025 02</v>
      </c>
      <c r="AI937" s="9" t="str">
        <f ca="1">IF('Banco de Dados'!$AK937&lt;&gt;"-","REEMBOLSO",IFERROR(_xlfn.XLOOKUP(G937,Follow[CODRASTREIO],Follow[STATUS]),"-"))</f>
        <v>ENTREGUE</v>
      </c>
      <c r="AJ937" s="9">
        <f ca="1">IF('Banco de Dados'!$AI937="ENTREGUE",_xlfn.XLOOKUP('Banco de Dados'!$G937,Follow[CODRASTREIO],Follow[DATAATUALIZAÇÃO]),"-")</f>
        <v>45712</v>
      </c>
      <c r="AK937" s="132" t="str">
        <f ca="1"/>
        <v>-</v>
      </c>
      <c r="AL937" s="35"/>
      <c r="AM937" s="109" cm="1">
        <f t="array" aca="1" ref="AM937" ca="1">IF('Banco de Dados'!$AK937&lt;&gt;"-",_xlfn.IFS('Banco de Dados'!$A937="bv",IF('Banco de Dados'!$E937&lt;45641,ROUND(SUM('Banco de Dados'!$R937*_xlfn.XLOOKUP('Banco de Dados'!$P937,Sku!B:B,Sku!#REF!)*20%),2),ROUND(SUM('Banco de Dados'!$R937*_xlfn.XLOOKUP('Banco de Dados'!$P937,Sku!B:B,Sku!H:H)*20%),2)),'Banco de Dados'!$A937="GO",ROUND(_xlfn.XLOOKUP('Banco de Dados'!$P937,Sku!C:C,Sku!H:H),2),'Banco de Dados'!$A937="MEI",ROUND(_xlfn.XLOOKUP('Banco de Dados'!$P937,Sku!D:D,Sku!H:H),2)),0)</f>
        <v>0</v>
      </c>
      <c r="AN937" s="109">
        <f ca="1">IF('Banco de Dados'!$AK937&lt;&gt;"-",IF('Banco de Dados'!$F937&lt;&gt;"-",_xlfn.XLOOKUP(IFERROR(IFERROR(IFERROR(VALUE(SUBSTITUTE(MID(_xlfn.TEXTAFTER('Banco de Dados'!$F937,"Data do Pedido:
",1),1,10),"-","/")),VALUE(SUBSTITUTE(MID(_xlfn.TEXTAFTER('Banco de Dados'!$F937,"Order date:
",1),1,10),"-","/"))),VALUE(SUBSTITUTE(MID(_xlfn.TEXTAFTER('Banco de Dados'!$F937,"Fecha de pedido:
",1),1,10),"-","/"))),"-"),SMS!A:A,SMS!K:K),0),0)</f>
        <v>0</v>
      </c>
      <c r="AO937" s="109">
        <f ca="1">IF('Banco de Dados'!$AK937&lt;&gt;"-",IF('Banco de Dados'!$F937&lt;&gt;"-",IFERROR(_xlfn.XLOOKUP(_xlfn.CONCAT('Banco de Dados'!$A937,IFERROR(IFERROR(VALUE(SUBSTITUTE(MID(_xlfn.TEXTAFTER('Banco de Dados'!$F937,"Data do Pedido:
",1),1,10),"-","/")),VALUE(SUBSTITUTE(MID(_xlfn.TEXTAFTER('Banco de Dados'!$F937,"Order date:
",1),1,10),"-","/"))),0)),ProxyDD[Chave],ProxyDD[Valor por pedido]),PROXY!$P$2),0),0)</f>
        <v>0</v>
      </c>
      <c r="AP937" s="28">
        <f ca="1">IF('Banco de Dados'!$AK937&lt;&gt;"-",IF('Banco de Dados'!$AL937="NÃO",IFERROR(VALUE(SUBSTITUTE(_xlfn.TEXTAFTER('Banco de Dados'!$F937,"BRL ",1),".",",")),0),0),0)</f>
        <v>0</v>
      </c>
      <c r="AQ937" s="28">
        <f ca="1">SUM('Banco de Dados'!$AM937:$AP937)</f>
        <v>0</v>
      </c>
      <c r="AR937" s="8"/>
      <c r="AY937" s="8"/>
    </row>
    <row r="938" spans="1:51">
      <c r="A938" s="5" t="str">
        <v>BV</v>
      </c>
      <c r="B938" s="5" t="str">
        <f ca="1"/>
        <v>BV45695</v>
      </c>
      <c r="C938" s="8" t="str">
        <v>Pedido 925</v>
      </c>
      <c r="D938" s="9">
        <v>45695</v>
      </c>
      <c r="E938" s="9">
        <v>45695</v>
      </c>
      <c r="F938" s="8" t="str">
        <v>PedidoF904</v>
      </c>
      <c r="G938" s="2" t="str">
        <v>CódRastreio902</v>
      </c>
      <c r="H938" s="5">
        <v>1</v>
      </c>
      <c r="I938" s="2" t="str">
        <v>CPF 899</v>
      </c>
      <c r="J938" s="2" t="str">
        <v>Nome 899</v>
      </c>
      <c r="K938" s="8" t="str">
        <v>Tel 899</v>
      </c>
      <c r="L938" s="8" t="str">
        <v>Cep 899</v>
      </c>
      <c r="M938" s="8" t="str">
        <v>Rua 899</v>
      </c>
      <c r="N938" s="8" t="str">
        <v>Comp 899</v>
      </c>
      <c r="O938" s="8" t="str">
        <v>Ventilador Rosa</v>
      </c>
      <c r="P938" s="8" t="str">
        <v>IF-G2ZQ-79FO</v>
      </c>
      <c r="Q938" s="4">
        <v>45716</v>
      </c>
      <c r="R938" s="109">
        <v>52.7</v>
      </c>
      <c r="S938" s="11">
        <f ca="1"/>
        <v>52.7</v>
      </c>
      <c r="T938" s="28">
        <f ca="1"/>
        <v>6.8510000000000009</v>
      </c>
      <c r="U938" s="11">
        <f ca="1"/>
        <v>45.85</v>
      </c>
      <c r="V938" s="11">
        <v>16.16</v>
      </c>
      <c r="W938" s="11">
        <f ca="1"/>
        <v>0.2</v>
      </c>
      <c r="X938" s="11">
        <f ca="1"/>
        <v>0.39877104377104378</v>
      </c>
      <c r="Y938" s="11">
        <v>0</v>
      </c>
      <c r="Z938" s="11">
        <f ca="1"/>
        <v>29.091228956228957</v>
      </c>
      <c r="AA938" s="11">
        <f ca="1"/>
        <v>14.545614478114478</v>
      </c>
      <c r="AB938" s="4">
        <f ca="1"/>
        <v>45723</v>
      </c>
      <c r="AC938" s="4">
        <v>45723</v>
      </c>
      <c r="AD938" s="9">
        <v>45730</v>
      </c>
      <c r="AE938" s="9">
        <v>45733</v>
      </c>
      <c r="AF938" s="4" t="str">
        <f t="shared" ca="1" si="45"/>
        <v>2025 03</v>
      </c>
      <c r="AG938" s="8" t="str" cm="1">
        <f t="array" ref="AG938">IFERROR(_xlfn.IFS('Banco de Dados'!#REF!="AG. COMPRA","Em processamento",'Banco de Dados'!#REF!="AG. RASTREIO","Em processamento",'Banco de Dados'!$AE938&lt;&gt;"-","Faturado",'Banco de Dados'!$AD938&lt;&gt;"-","Aguardando Pix",'Banco de Dados'!$AC938&lt;&gt;"-","Pendente"),"Aguardando Liberação")</f>
        <v>Aguardando Liberação</v>
      </c>
      <c r="AH938" s="5" t="str">
        <f>IF('Banco de Dados'!$F938="-",_xlfn.CONCAT(PROPER(TEXT(AK938,"aaaa"))," ",PROPER(TEXT(AK938,"mm"))),_xlfn.CONCAT(PROPER(TEXT(E938,"aaaa"))," ",PROPER(TEXT(E938,"mm"))))</f>
        <v>2025 02</v>
      </c>
      <c r="AI938" s="9" t="str">
        <f ca="1">IF('Banco de Dados'!$AK938&lt;&gt;"-","REEMBOLSO",IFERROR(_xlfn.XLOOKUP(G938,Follow[CODRASTREIO],Follow[STATUS]),"-"))</f>
        <v>ENTREGUE</v>
      </c>
      <c r="AJ938" s="9">
        <f ca="1">IF('Banco de Dados'!$AI938="ENTREGUE",_xlfn.XLOOKUP('Banco de Dados'!$G938,Follow[CODRASTREIO],Follow[DATAATUALIZAÇÃO]),"-")</f>
        <v>45708</v>
      </c>
      <c r="AK938" s="132" t="str">
        <f ca="1"/>
        <v>-</v>
      </c>
      <c r="AL938" s="35"/>
      <c r="AM938" s="109" cm="1">
        <f t="array" aca="1" ref="AM938" ca="1">IF('Banco de Dados'!$AK938&lt;&gt;"-",_xlfn.IFS('Banco de Dados'!$A938="bv",IF('Banco de Dados'!$E938&lt;45641,ROUND(SUM('Banco de Dados'!$R938*_xlfn.XLOOKUP('Banco de Dados'!$P938,Sku!B:B,Sku!#REF!)*20%),2),ROUND(SUM('Banco de Dados'!$R938*_xlfn.XLOOKUP('Banco de Dados'!$P938,Sku!B:B,Sku!H:H)*20%),2)),'Banco de Dados'!$A938="GO",ROUND(_xlfn.XLOOKUP('Banco de Dados'!$P938,Sku!C:C,Sku!H:H),2),'Banco de Dados'!$A938="MEI",ROUND(_xlfn.XLOOKUP('Banco de Dados'!$P938,Sku!D:D,Sku!H:H),2)),0)</f>
        <v>0</v>
      </c>
      <c r="AN938" s="109">
        <f ca="1">IF('Banco de Dados'!$AK938&lt;&gt;"-",IF('Banco de Dados'!$F938&lt;&gt;"-",_xlfn.XLOOKUP(IFERROR(IFERROR(IFERROR(VALUE(SUBSTITUTE(MID(_xlfn.TEXTAFTER('Banco de Dados'!$F938,"Data do Pedido:
",1),1,10),"-","/")),VALUE(SUBSTITUTE(MID(_xlfn.TEXTAFTER('Banco de Dados'!$F938,"Order date:
",1),1,10),"-","/"))),VALUE(SUBSTITUTE(MID(_xlfn.TEXTAFTER('Banco de Dados'!$F938,"Fecha de pedido:
",1),1,10),"-","/"))),"-"),SMS!A:A,SMS!K:K),0),0)</f>
        <v>0</v>
      </c>
      <c r="AO938" s="109">
        <f ca="1">IF('Banco de Dados'!$AK938&lt;&gt;"-",IF('Banco de Dados'!$F938&lt;&gt;"-",IFERROR(_xlfn.XLOOKUP(_xlfn.CONCAT('Banco de Dados'!$A938,IFERROR(IFERROR(VALUE(SUBSTITUTE(MID(_xlfn.TEXTAFTER('Banco de Dados'!$F938,"Data do Pedido:
",1),1,10),"-","/")),VALUE(SUBSTITUTE(MID(_xlfn.TEXTAFTER('Banco de Dados'!$F938,"Order date:
",1),1,10),"-","/"))),0)),ProxyDD[Chave],ProxyDD[Valor por pedido]),PROXY!$P$2),0),0)</f>
        <v>0</v>
      </c>
      <c r="AP938" s="28">
        <f ca="1">IF('Banco de Dados'!$AK938&lt;&gt;"-",IF('Banco de Dados'!$AL938="NÃO",IFERROR(VALUE(SUBSTITUTE(_xlfn.TEXTAFTER('Banco de Dados'!$F938,"BRL ",1),".",",")),0),0),0)</f>
        <v>0</v>
      </c>
      <c r="AQ938" s="28">
        <f ca="1">SUM('Banco de Dados'!$AM938:$AP938)</f>
        <v>0</v>
      </c>
      <c r="AR938" s="8"/>
      <c r="AY938" s="8"/>
    </row>
    <row r="939" spans="1:51">
      <c r="A939" s="5" t="str">
        <v>MEI</v>
      </c>
      <c r="B939" s="5" t="str">
        <f ca="1"/>
        <v>MEI45695</v>
      </c>
      <c r="C939" s="8" t="str">
        <v>Pedido 926</v>
      </c>
      <c r="D939" s="187">
        <v>45695</v>
      </c>
      <c r="E939" s="9">
        <v>45695</v>
      </c>
      <c r="F939" s="8" t="str">
        <v>PedidoF905</v>
      </c>
      <c r="G939" s="2" t="str">
        <v>CódRastreio903</v>
      </c>
      <c r="H939" s="5">
        <v>1</v>
      </c>
      <c r="I939" s="2" t="str">
        <v>CPF 900</v>
      </c>
      <c r="J939" s="2" t="str">
        <v>Nome 900</v>
      </c>
      <c r="K939" s="8" t="str">
        <v>Tel 900</v>
      </c>
      <c r="L939" s="8" t="str">
        <v>Cep 900</v>
      </c>
      <c r="M939" s="8" t="str">
        <v>Rua 900</v>
      </c>
      <c r="N939" s="8" t="str">
        <v>Comp 900</v>
      </c>
      <c r="O939" s="8" t="str">
        <v>Mini Liquidificador</v>
      </c>
      <c r="P939" s="8" t="str">
        <v>A4-5W51-K3HF</v>
      </c>
      <c r="Q939" s="4">
        <v>45710</v>
      </c>
      <c r="R939" s="109">
        <v>32.99</v>
      </c>
      <c r="S939" s="11">
        <f ca="1"/>
        <v>32.99</v>
      </c>
      <c r="T939" s="28">
        <f ca="1"/>
        <v>4.6186000000000007</v>
      </c>
      <c r="U939" s="11">
        <f ca="1"/>
        <v>28.37</v>
      </c>
      <c r="V939" s="11">
        <v>14.99</v>
      </c>
      <c r="W939" s="11">
        <f ca="1"/>
        <v>0.2</v>
      </c>
      <c r="X939" s="11">
        <f ca="1"/>
        <v>0.39877104377104378</v>
      </c>
      <c r="Y939" s="11">
        <v>0</v>
      </c>
      <c r="Z939" s="11">
        <f ca="1"/>
        <v>12.781228956228958</v>
      </c>
      <c r="AA939" s="11">
        <f ca="1"/>
        <v>6.3906144781144789</v>
      </c>
      <c r="AB939" s="4">
        <f ca="1"/>
        <v>45717</v>
      </c>
      <c r="AC939" s="4">
        <v>45717</v>
      </c>
      <c r="AD939" s="9">
        <v>45730</v>
      </c>
      <c r="AE939" s="9">
        <v>45733</v>
      </c>
      <c r="AF939" s="4" t="str">
        <f t="shared" ref="AF939:AF940" ca="1" si="46">_xlfn.CONCAT(PROPER(TEXT(AB939,"aaaa"))," ",PROPER(TEXT(AB939,"mm")))</f>
        <v>2025 03</v>
      </c>
      <c r="AG939" s="8" t="str" cm="1">
        <f t="array" ref="AG939">IFERROR(_xlfn.IFS('Banco de Dados'!#REF!="AG. COMPRA","Em processamento",'Banco de Dados'!#REF!="AG. RASTREIO","Em processamento",'Banco de Dados'!$AE939&lt;&gt;"-","Faturado",'Banco de Dados'!$AD939&lt;&gt;"-","Aguardando Pix",'Banco de Dados'!$AC939&lt;&gt;"-","Pendente"),"Aguardando Liberação")</f>
        <v>Aguardando Liberação</v>
      </c>
      <c r="AH939" s="5" t="str">
        <f>IF('Banco de Dados'!$F939="-",_xlfn.CONCAT(PROPER(TEXT(AK939,"aaaa"))," ",PROPER(TEXT(AK939,"mm"))),_xlfn.CONCAT(PROPER(TEXT(E939,"aaaa"))," ",PROPER(TEXT(E939,"mm"))))</f>
        <v>2025 02</v>
      </c>
      <c r="AI939" s="9" t="str">
        <f ca="1">IF('Banco de Dados'!$AK939&lt;&gt;"-","REEMBOLSO",IFERROR(_xlfn.XLOOKUP(G939,Follow[CODRASTREIO],Follow[STATUS]),"-"))</f>
        <v>ENTREGUE</v>
      </c>
      <c r="AJ939" s="9">
        <f ca="1">IF('Banco de Dados'!$AI939="ENTREGUE",_xlfn.XLOOKUP('Banco de Dados'!$G939,Follow[CODRASTREIO],Follow[DATAATUALIZAÇÃO]),"-")</f>
        <v>45701</v>
      </c>
      <c r="AK939" s="132" t="str">
        <f ca="1"/>
        <v>-</v>
      </c>
      <c r="AL939" s="35"/>
      <c r="AM939" s="109" cm="1">
        <f t="array" aca="1" ref="AM939" ca="1">IF('Banco de Dados'!$AK939&lt;&gt;"-",_xlfn.IFS('Banco de Dados'!$A939="bv",IF('Banco de Dados'!$E939&lt;45641,ROUND(SUM('Banco de Dados'!$R939*_xlfn.XLOOKUP('Banco de Dados'!$P939,Sku!B:B,Sku!#REF!)*20%),2),ROUND(SUM('Banco de Dados'!$R939*_xlfn.XLOOKUP('Banco de Dados'!$P939,Sku!B:B,Sku!H:H)*20%),2)),'Banco de Dados'!$A939="GO",ROUND(SUM('Banco de Dados'!$R939*_xlfn.XLOOKUP('Banco de Dados'!$P939,Sku!C:C,Sku!H:H)*20%),2),'Banco de Dados'!$A939="MEI",ROUND(SUM('Banco de Dados'!$R939*_xlfn.XLOOKUP('Banco de Dados'!$P939,Sku!D:D,Sku!H:H)*20%),2)),0)</f>
        <v>0</v>
      </c>
      <c r="AN939" s="109">
        <f ca="1">IF('Banco de Dados'!$AK939&lt;&gt;"-",IF('Banco de Dados'!$F939&lt;&gt;"-",_xlfn.XLOOKUP(IFERROR(IFERROR(IFERROR(VALUE(SUBSTITUTE(MID(_xlfn.TEXTAFTER('Banco de Dados'!$F939,"Data do Pedido:
",1),1,10),"-","/")),VALUE(SUBSTITUTE(MID(_xlfn.TEXTAFTER('Banco de Dados'!$F939,"Order date:
",1),1,10),"-","/"))),VALUE(SUBSTITUTE(MID(_xlfn.TEXTAFTER('Banco de Dados'!$F939,"Fecha de pedido:
",1),1,10),"-","/"))),"-"),SMS!A:A,SMS!K:K),0),0)</f>
        <v>0</v>
      </c>
      <c r="AO939" s="109">
        <f ca="1">IF('Banco de Dados'!$AK939&lt;&gt;"-",IF('Banco de Dados'!$F939&lt;&gt;"-",IFERROR(_xlfn.XLOOKUP(_xlfn.CONCAT('Banco de Dados'!$A939,IFERROR(IFERROR(VALUE(SUBSTITUTE(MID(_xlfn.TEXTAFTER('Banco de Dados'!$F939,"Data do Pedido:
",1),1,10),"-","/")),VALUE(SUBSTITUTE(MID(_xlfn.TEXTAFTER('Banco de Dados'!$F939,"Order date:
",1),1,10),"-","/"))),0)),ProxyDD[Chave],ProxyDD[Valor por pedido]),PROXY!$P$2),0),0)</f>
        <v>0</v>
      </c>
      <c r="AP939" s="28">
        <f ca="1">IF('Banco de Dados'!$AK939&lt;&gt;"-",IF('Banco de Dados'!$AL939="NÃO",IFERROR(VALUE(SUBSTITUTE(_xlfn.TEXTAFTER('Banco de Dados'!$F939,"BRL ",1),".",",")),0),0),0)</f>
        <v>0</v>
      </c>
      <c r="AQ939" s="28">
        <f ca="1">SUM('Banco de Dados'!$AM939:$AP939)</f>
        <v>0</v>
      </c>
      <c r="AR939" s="8"/>
      <c r="AY939" s="8"/>
    </row>
    <row r="940" spans="1:51">
      <c r="A940" s="5" t="str">
        <v>MEI</v>
      </c>
      <c r="B940" s="5" t="str">
        <f ca="1"/>
        <v>MEI45695</v>
      </c>
      <c r="C940" s="8" t="str">
        <v>Pedido 927</v>
      </c>
      <c r="D940" s="187">
        <v>45696</v>
      </c>
      <c r="E940" s="9">
        <v>45695</v>
      </c>
      <c r="F940" s="8" t="str">
        <v>PedidoF906</v>
      </c>
      <c r="G940" s="2" t="str">
        <v>CódRastreio904</v>
      </c>
      <c r="H940" s="5">
        <v>1</v>
      </c>
      <c r="I940" s="2" t="str">
        <v>CPF 901</v>
      </c>
      <c r="J940" s="2" t="str">
        <v>Nome 901</v>
      </c>
      <c r="K940" s="8" t="str">
        <v>Tel 901</v>
      </c>
      <c r="L940" s="8" t="str">
        <v>Cep 901</v>
      </c>
      <c r="M940" s="8" t="str">
        <v>Rua 901</v>
      </c>
      <c r="N940" s="8" t="str">
        <v>Comp 901</v>
      </c>
      <c r="O940" s="8" t="str">
        <v>Mini Liquidificador</v>
      </c>
      <c r="P940" s="8" t="str">
        <v>A4-5W51-K3HF</v>
      </c>
      <c r="Q940" s="4">
        <v>45716</v>
      </c>
      <c r="R940" s="109">
        <v>32.99</v>
      </c>
      <c r="S940" s="11">
        <f ca="1"/>
        <v>32.99</v>
      </c>
      <c r="T940" s="28">
        <f ca="1"/>
        <v>4.6186000000000007</v>
      </c>
      <c r="U940" s="11">
        <f ca="1"/>
        <v>28.37</v>
      </c>
      <c r="V940" s="11">
        <v>14.99</v>
      </c>
      <c r="W940" s="11">
        <f ca="1"/>
        <v>0.2</v>
      </c>
      <c r="X940" s="11">
        <f ca="1"/>
        <v>0.39877104377104378</v>
      </c>
      <c r="Y940" s="11">
        <v>0</v>
      </c>
      <c r="Z940" s="11">
        <f ca="1"/>
        <v>12.781228956228958</v>
      </c>
      <c r="AA940" s="11">
        <f ca="1"/>
        <v>6.3906144781144789</v>
      </c>
      <c r="AB940" s="4">
        <f ca="1"/>
        <v>45723</v>
      </c>
      <c r="AC940" s="4">
        <v>45723</v>
      </c>
      <c r="AD940" s="9">
        <v>45730</v>
      </c>
      <c r="AE940" s="9">
        <v>45733</v>
      </c>
      <c r="AF940" s="4" t="str">
        <f t="shared" ca="1" si="46"/>
        <v>2025 03</v>
      </c>
      <c r="AG940" s="8" t="str" cm="1">
        <f t="array" ref="AG940">IFERROR(_xlfn.IFS('Banco de Dados'!#REF!="AG. COMPRA","Em processamento",'Banco de Dados'!#REF!="AG. RASTREIO","Em processamento",'Banco de Dados'!$AE940&lt;&gt;"-","Faturado",'Banco de Dados'!$AD940&lt;&gt;"-","Aguardando Pix",'Banco de Dados'!$AC940&lt;&gt;"-","Pendente"),"Aguardando Liberação")</f>
        <v>Aguardando Liberação</v>
      </c>
      <c r="AH940" s="5" t="str">
        <f>IF('Banco de Dados'!$F940="-",_xlfn.CONCAT(PROPER(TEXT(AK940,"aaaa"))," ",PROPER(TEXT(AK940,"mm"))),_xlfn.CONCAT(PROPER(TEXT(E940,"aaaa"))," ",PROPER(TEXT(E940,"mm"))))</f>
        <v>2025 02</v>
      </c>
      <c r="AI940" s="9" t="str">
        <f ca="1">IF('Banco de Dados'!$AK940&lt;&gt;"-","REEMBOLSO",IFERROR(_xlfn.XLOOKUP(G940,Follow[CODRASTREIO],Follow[STATUS]),"-"))</f>
        <v>ENTREGUE</v>
      </c>
      <c r="AJ940" s="9">
        <f ca="1">IF('Banco de Dados'!$AI940="ENTREGUE",_xlfn.XLOOKUP('Banco de Dados'!$G940,Follow[CODRASTREIO],Follow[DATAATUALIZAÇÃO]),"-")</f>
        <v>45702</v>
      </c>
      <c r="AK940" s="132" t="str">
        <f ca="1"/>
        <v>-</v>
      </c>
      <c r="AL940" s="35"/>
      <c r="AM940" s="109" cm="1">
        <f t="array" aca="1" ref="AM940" ca="1">IF('Banco de Dados'!$AK940&lt;&gt;"-",_xlfn.IFS('Banco de Dados'!$A940="bv",IF('Banco de Dados'!$E940&lt;45641,ROUND(SUM('Banco de Dados'!$R940*_xlfn.XLOOKUP('Banco de Dados'!$P940,Sku!B:B,Sku!#REF!)*20%),2),ROUND(SUM('Banco de Dados'!$R940*_xlfn.XLOOKUP('Banco de Dados'!$P940,Sku!B:B,Sku!H:H)*20%),2)),'Banco de Dados'!$A940="GO",ROUND(SUM('Banco de Dados'!$R940*_xlfn.XLOOKUP('Banco de Dados'!$P940,Sku!C:C,Sku!H:H)*20%),2),'Banco de Dados'!$A940="MEI",ROUND(SUM('Banco de Dados'!$R940*_xlfn.XLOOKUP('Banco de Dados'!$P940,Sku!D:D,Sku!H:H)*20%),2)),0)</f>
        <v>0</v>
      </c>
      <c r="AN940" s="109">
        <f ca="1">IF('Banco de Dados'!$AK940&lt;&gt;"-",IF('Banco de Dados'!$F940&lt;&gt;"-",_xlfn.XLOOKUP(IFERROR(IFERROR(IFERROR(VALUE(SUBSTITUTE(MID(_xlfn.TEXTAFTER('Banco de Dados'!$F940,"Data do Pedido:
",1),1,10),"-","/")),VALUE(SUBSTITUTE(MID(_xlfn.TEXTAFTER('Banco de Dados'!$F940,"Order date:
",1),1,10),"-","/"))),VALUE(SUBSTITUTE(MID(_xlfn.TEXTAFTER('Banco de Dados'!$F940,"Fecha de pedido:
",1),1,10),"-","/"))),"-"),SMS!A:A,SMS!K:K),0),0)</f>
        <v>0</v>
      </c>
      <c r="AO940" s="109">
        <f ca="1">IF('Banco de Dados'!$AK940&lt;&gt;"-",IF('Banco de Dados'!$F940&lt;&gt;"-",IFERROR(_xlfn.XLOOKUP(_xlfn.CONCAT('Banco de Dados'!$A940,IFERROR(IFERROR(VALUE(SUBSTITUTE(MID(_xlfn.TEXTAFTER('Banco de Dados'!$F940,"Data do Pedido:
",1),1,10),"-","/")),VALUE(SUBSTITUTE(MID(_xlfn.TEXTAFTER('Banco de Dados'!$F940,"Order date:
",1),1,10),"-","/"))),0)),ProxyDD[Chave],ProxyDD[Valor por pedido]),PROXY!$P$2),0),0)</f>
        <v>0</v>
      </c>
      <c r="AP940" s="28">
        <f ca="1">IF('Banco de Dados'!$AK940&lt;&gt;"-",IF('Banco de Dados'!$AL940="NÃO",IFERROR(VALUE(SUBSTITUTE(_xlfn.TEXTAFTER('Banco de Dados'!$F940,"BRL ",1),".",",")),0),0),0)</f>
        <v>0</v>
      </c>
      <c r="AQ940" s="28">
        <f ca="1">SUM('Banco de Dados'!$AM940:$AP940)</f>
        <v>0</v>
      </c>
      <c r="AR940" s="8"/>
      <c r="AY940" s="8"/>
    </row>
    <row r="941" spans="1:51">
      <c r="A941" s="5" t="str">
        <v>BV</v>
      </c>
      <c r="B941" s="5" t="str">
        <f ca="1"/>
        <v>BV45697</v>
      </c>
      <c r="C941" s="8" t="str">
        <v>Pedido 928</v>
      </c>
      <c r="D941" s="9">
        <v>45696</v>
      </c>
      <c r="E941" s="9">
        <v>45697</v>
      </c>
      <c r="F941" s="8" t="str">
        <v>PedidoF907</v>
      </c>
      <c r="G941" s="2" t="str">
        <v>CódRastreio905</v>
      </c>
      <c r="H941" s="5">
        <v>1</v>
      </c>
      <c r="I941" s="2" t="str">
        <v>CPF 902</v>
      </c>
      <c r="J941" s="2" t="str">
        <v>Nome 902</v>
      </c>
      <c r="K941" s="8" t="str">
        <v>Tel 902</v>
      </c>
      <c r="L941" s="8" t="str">
        <v>Cep 902</v>
      </c>
      <c r="M941" s="8" t="str">
        <v>Rua 902</v>
      </c>
      <c r="N941" s="8" t="str">
        <v>Comp 902</v>
      </c>
      <c r="O941" s="8" t="str">
        <v>Suporte de Celular Branco</v>
      </c>
      <c r="P941" s="8" t="str">
        <v>16-4EDB-WMZF</v>
      </c>
      <c r="Q941" s="4">
        <v>45714</v>
      </c>
      <c r="R941" s="109">
        <v>24.99</v>
      </c>
      <c r="S941" s="11">
        <f ca="1"/>
        <v>24.99</v>
      </c>
      <c r="T941" s="28">
        <f ca="1"/>
        <v>3.7484999999999995</v>
      </c>
      <c r="U941" s="11">
        <f ca="1"/>
        <v>21.24</v>
      </c>
      <c r="V941" s="11">
        <v>6.99</v>
      </c>
      <c r="W941" s="11">
        <f ca="1"/>
        <v>0.26</v>
      </c>
      <c r="X941" s="11">
        <f ca="1"/>
        <v>0.39877104377104378</v>
      </c>
      <c r="Y941" s="11">
        <v>0</v>
      </c>
      <c r="Z941" s="11">
        <f ca="1"/>
        <v>13.591228956228955</v>
      </c>
      <c r="AA941" s="11">
        <f ca="1"/>
        <v>6.7956144781144774</v>
      </c>
      <c r="AB941" s="4">
        <f ca="1"/>
        <v>45721</v>
      </c>
      <c r="AC941" s="4">
        <v>45721</v>
      </c>
      <c r="AD941" s="9">
        <v>45730</v>
      </c>
      <c r="AE941" s="9">
        <v>45733</v>
      </c>
      <c r="AF941" s="4" t="str">
        <f t="shared" ref="AF941:AF949" ca="1" si="47">_xlfn.CONCAT(PROPER(TEXT(AB941,"aaaa"))," ",PROPER(TEXT(AB941,"mm")))</f>
        <v>2025 03</v>
      </c>
      <c r="AG941" s="8" t="str" cm="1">
        <f t="array" ref="AG941">IFERROR(_xlfn.IFS('Banco de Dados'!#REF!="AG. COMPRA","Em processamento",'Banco de Dados'!#REF!="AG. RASTREIO","Em processamento",'Banco de Dados'!$AE941&lt;&gt;"-","Faturado",'Banco de Dados'!$AD941&lt;&gt;"-","Aguardando Pix",'Banco de Dados'!$AC941&lt;&gt;"-","Pendente"),"Aguardando Liberação")</f>
        <v>Aguardando Liberação</v>
      </c>
      <c r="AH941" s="5" t="str">
        <f>IF('Banco de Dados'!$F941="-",_xlfn.CONCAT(PROPER(TEXT(AK941,"aaaa"))," ",PROPER(TEXT(AK941,"mm"))),_xlfn.CONCAT(PROPER(TEXT(E941,"aaaa"))," ",PROPER(TEXT(E941,"mm"))))</f>
        <v>2025 02</v>
      </c>
      <c r="AI941" s="9" t="str">
        <f ca="1">IF('Banco de Dados'!$AK941&lt;&gt;"-","REEMBOLSO",IFERROR(_xlfn.XLOOKUP(G941,Follow[CODRASTREIO],Follow[STATUS]),"-"))</f>
        <v>ENTREGUE</v>
      </c>
      <c r="AJ941" s="9">
        <f ca="1">IF('Banco de Dados'!$AI941="ENTREGUE",_xlfn.XLOOKUP('Banco de Dados'!$G941,Follow[CODRASTREIO],Follow[DATAATUALIZAÇÃO]),"-")</f>
        <v>45705</v>
      </c>
      <c r="AK941" s="132" t="str">
        <f ca="1"/>
        <v>-</v>
      </c>
      <c r="AL941" s="35"/>
      <c r="AM941" s="109" cm="1">
        <f t="array" aca="1" ref="AM941" ca="1">IF('Banco de Dados'!$AK941&lt;&gt;"-",_xlfn.IFS('Banco de Dados'!$A941="bv",IF('Banco de Dados'!$E941&lt;45641,ROUND(SUM('Banco de Dados'!$R941*_xlfn.XLOOKUP('Banco de Dados'!$P941,Sku!B:B,Sku!#REF!)*20%),2),ROUND(SUM('Banco de Dados'!$R941*_xlfn.XLOOKUP('Banco de Dados'!$P941,Sku!B:B,Sku!H:H)*20%),2)),'Banco de Dados'!$A941="GO",ROUND(_xlfn.XLOOKUP('Banco de Dados'!$P941,Sku!C:C,Sku!H:H),2),'Banco de Dados'!$A941="MEI",ROUND(_xlfn.XLOOKUP('Banco de Dados'!$P941,Sku!D:D,Sku!H:H),2)),0)</f>
        <v>0</v>
      </c>
      <c r="AN941" s="109">
        <f ca="1">IF('Banco de Dados'!$AK941&lt;&gt;"-",IF('Banco de Dados'!$F941&lt;&gt;"-",_xlfn.XLOOKUP(IFERROR(IFERROR(IFERROR(VALUE(SUBSTITUTE(MID(_xlfn.TEXTAFTER('Banco de Dados'!$F941,"Data do Pedido:
",1),1,10),"-","/")),VALUE(SUBSTITUTE(MID(_xlfn.TEXTAFTER('Banco de Dados'!$F941,"Order date:
",1),1,10),"-","/"))),VALUE(SUBSTITUTE(MID(_xlfn.TEXTAFTER('Banco de Dados'!$F941,"Fecha de pedido:
",1),1,10),"-","/"))),"-"),SMS!A:A,SMS!K:K),0),0)</f>
        <v>0</v>
      </c>
      <c r="AO941" s="109">
        <f ca="1">IF('Banco de Dados'!$AK941&lt;&gt;"-",IF('Banco de Dados'!$F941&lt;&gt;"-",IFERROR(_xlfn.XLOOKUP(_xlfn.CONCAT('Banco de Dados'!$A941,IFERROR(IFERROR(VALUE(SUBSTITUTE(MID(_xlfn.TEXTAFTER('Banco de Dados'!$F941,"Data do Pedido:
",1),1,10),"-","/")),VALUE(SUBSTITUTE(MID(_xlfn.TEXTAFTER('Banco de Dados'!$F941,"Order date:
",1),1,10),"-","/"))),0)),ProxyDD[Chave],ProxyDD[Valor por pedido]),PROXY!$P$2),0),0)</f>
        <v>0</v>
      </c>
      <c r="AP941" s="28">
        <f ca="1">IF('Banco de Dados'!$AK941&lt;&gt;"-",IF('Banco de Dados'!$AL941="NÃO",IFERROR(VALUE(SUBSTITUTE(_xlfn.TEXTAFTER('Banco de Dados'!$F941,"BRL ",1),".",",")),0),0),0)</f>
        <v>0</v>
      </c>
      <c r="AQ941" s="28">
        <f ca="1">SUM('Banco de Dados'!$AM941:$AP941)</f>
        <v>0</v>
      </c>
      <c r="AR941" s="8"/>
      <c r="AY941" s="8"/>
    </row>
    <row r="942" spans="1:51">
      <c r="A942" s="5" t="str">
        <v>BV</v>
      </c>
      <c r="B942" s="5" t="str">
        <f ca="1"/>
        <v>BV45697</v>
      </c>
      <c r="C942" s="8" t="str">
        <v>Pedido 929</v>
      </c>
      <c r="D942" s="9">
        <v>45696</v>
      </c>
      <c r="E942" s="9">
        <v>45697</v>
      </c>
      <c r="F942" s="8" t="str">
        <v>PedidoF908</v>
      </c>
      <c r="G942" s="2" t="str">
        <v>CódRastreio906</v>
      </c>
      <c r="H942" s="5">
        <v>1</v>
      </c>
      <c r="I942" s="2" t="str">
        <v>CPF 903</v>
      </c>
      <c r="J942" s="2" t="str">
        <v>Nome 903</v>
      </c>
      <c r="K942" s="8" t="str">
        <v>Tel 903</v>
      </c>
      <c r="L942" s="8" t="str">
        <v>Cep 903</v>
      </c>
      <c r="M942" s="8" t="str">
        <v>Rua 903</v>
      </c>
      <c r="N942" s="8" t="str">
        <v>Comp 903</v>
      </c>
      <c r="O942" s="8" t="str">
        <v>Ventilador Azul</v>
      </c>
      <c r="P942" s="8" t="str">
        <v>U8-2VWS-OB6M</v>
      </c>
      <c r="Q942" s="4">
        <v>45716</v>
      </c>
      <c r="R942" s="109">
        <v>61.99</v>
      </c>
      <c r="S942" s="11">
        <f ca="1"/>
        <v>0</v>
      </c>
      <c r="T942" s="28">
        <f ca="1"/>
        <v>0</v>
      </c>
      <c r="U942" s="11">
        <f ca="1"/>
        <v>0</v>
      </c>
      <c r="V942" s="11">
        <v>0</v>
      </c>
      <c r="W942" s="11">
        <f ca="1"/>
        <v>0</v>
      </c>
      <c r="X942" s="11">
        <f ca="1"/>
        <v>0.39877104377104378</v>
      </c>
      <c r="Y942" s="11">
        <v>0</v>
      </c>
      <c r="Z942" s="11">
        <f ca="1"/>
        <v>-0.39877104377104378</v>
      </c>
      <c r="AA942" s="11">
        <f ca="1"/>
        <v>-0.19938552188552189</v>
      </c>
      <c r="AB942" s="4">
        <f ca="1"/>
        <v>45723</v>
      </c>
      <c r="AC942" s="4">
        <v>45723</v>
      </c>
      <c r="AD942" s="9">
        <v>45730</v>
      </c>
      <c r="AE942" s="9">
        <v>45733</v>
      </c>
      <c r="AF942" s="4" t="str">
        <f t="shared" ca="1" si="47"/>
        <v>2025 03</v>
      </c>
      <c r="AG942" s="8" t="str" cm="1">
        <f t="array" ref="AG942">IFERROR(_xlfn.IFS('Banco de Dados'!#REF!="AG. COMPRA","Em processamento",'Banco de Dados'!#REF!="AG. RASTREIO","Em processamento",'Banco de Dados'!$AE942&lt;&gt;"-","Faturado",'Banco de Dados'!$AD942&lt;&gt;"-","Aguardando Pix",'Banco de Dados'!$AC942&lt;&gt;"-","Pendente"),"Aguardando Liberação")</f>
        <v>Aguardando Liberação</v>
      </c>
      <c r="AH942" s="5" t="str">
        <f>IF('Banco de Dados'!$F942="-",_xlfn.CONCAT(PROPER(TEXT(AK942,"aaaa"))," ",PROPER(TEXT(AK942,"mm"))),_xlfn.CONCAT(PROPER(TEXT(E942,"aaaa"))," ",PROPER(TEXT(E942,"mm"))))</f>
        <v>2025 02</v>
      </c>
      <c r="AI942" s="9" t="str">
        <f ca="1">IF('Banco de Dados'!$AK942&lt;&gt;"-","REEMBOLSO",IFERROR(_xlfn.XLOOKUP(G942,Follow[CODRASTREIO],Follow[STATUS]),"-"))</f>
        <v>REEMBOLSO</v>
      </c>
      <c r="AJ942" s="9" t="str">
        <f ca="1">IF('Banco de Dados'!$AI942="ENTREGUE",_xlfn.XLOOKUP('Banco de Dados'!$G942,Follow[CODRASTREIO],Follow[DATAATUALIZAÇÃO]),"-")</f>
        <v>-</v>
      </c>
      <c r="AK942" s="132">
        <f ca="1"/>
        <v>45722</v>
      </c>
      <c r="AL942" s="35"/>
      <c r="AM942" s="109" cm="1">
        <f t="array" aca="1" ref="AM942" ca="1">IF('Banco de Dados'!$AK942&lt;&gt;"-",_xlfn.IFS('Banco de Dados'!$A942="bv",IF('Banco de Dados'!$E942&lt;45641,ROUND(SUM('Banco de Dados'!$R942*_xlfn.XLOOKUP('Banco de Dados'!$P942,Sku!B:B,Sku!#REF!)*20%),2),ROUND(SUM('Banco de Dados'!$R942*_xlfn.XLOOKUP('Banco de Dados'!$P942,Sku!B:B,Sku!H:H)*20%),2)),'Banco de Dados'!$A942="GO",ROUND(_xlfn.XLOOKUP('Banco de Dados'!$P942,Sku!C:C,Sku!H:H),2),'Banco de Dados'!$A942="MEI",ROUND(_xlfn.XLOOKUP('Banco de Dados'!$P942,Sku!D:D,Sku!H:H),2)),0)</f>
        <v>1.61</v>
      </c>
      <c r="AN942" s="109" t="e">
        <f ca="1">IF('Banco de Dados'!$AK942&lt;&gt;"-",IF('Banco de Dados'!$F942&lt;&gt;"-",_xlfn.XLOOKUP(IFERROR(IFERROR(IFERROR(VALUE(SUBSTITUTE(MID(_xlfn.TEXTAFTER('Banco de Dados'!$F942,"Data do Pedido:
",1),1,10),"-","/")),VALUE(SUBSTITUTE(MID(_xlfn.TEXTAFTER('Banco de Dados'!$F942,"Order date:
",1),1,10),"-","/"))),VALUE(SUBSTITUTE(MID(_xlfn.TEXTAFTER('Banco de Dados'!$F942,"Fecha de pedido:
",1),1,10),"-","/"))),"-"),SMS!A:A,SMS!K:K),0),0)</f>
        <v>#N/A</v>
      </c>
      <c r="AO942" s="109">
        <f ca="1">IF('Banco de Dados'!$AK942&lt;&gt;"-",IF('Banco de Dados'!$F942&lt;&gt;"-",IFERROR(_xlfn.XLOOKUP(_xlfn.CONCAT('Banco de Dados'!$A942,IFERROR(IFERROR(VALUE(SUBSTITUTE(MID(_xlfn.TEXTAFTER('Banco de Dados'!$F942,"Data do Pedido:
",1),1,10),"-","/")),VALUE(SUBSTITUTE(MID(_xlfn.TEXTAFTER('Banco de Dados'!$F942,"Order date:
",1),1,10),"-","/"))),0)),ProxyDD[Chave],ProxyDD[Valor por pedido]),PROXY!$P$2),0),0)</f>
        <v>0.39877104377104378</v>
      </c>
      <c r="AP942" s="28">
        <f ca="1">IF('Banco de Dados'!$AK942&lt;&gt;"-",IF('Banco de Dados'!$AL942="NÃO",IFERROR(VALUE(SUBSTITUTE(_xlfn.TEXTAFTER('Banco de Dados'!$F942,"BRL ",1),".",",")),0),0),0)</f>
        <v>0</v>
      </c>
      <c r="AQ942" s="28" t="e">
        <f ca="1">SUM('Banco de Dados'!$AM942:$AP942)</f>
        <v>#N/A</v>
      </c>
      <c r="AR942" s="8"/>
      <c r="AY942" s="8"/>
    </row>
    <row r="943" spans="1:51">
      <c r="A943" s="5" t="str">
        <v>BV</v>
      </c>
      <c r="B943" s="5" t="str">
        <f ca="1"/>
        <v>BV45697</v>
      </c>
      <c r="C943" s="8" t="str">
        <v>Pedido 930</v>
      </c>
      <c r="D943" s="9">
        <v>45696</v>
      </c>
      <c r="E943" s="9">
        <v>45697</v>
      </c>
      <c r="F943" s="8" t="str">
        <v>PedidoF909</v>
      </c>
      <c r="G943" s="2" t="str">
        <v>CódRastreio907</v>
      </c>
      <c r="H943" s="5">
        <v>1</v>
      </c>
      <c r="I943" s="2" t="str">
        <v>CPF 904</v>
      </c>
      <c r="J943" s="2" t="str">
        <v>Nome 904</v>
      </c>
      <c r="K943" s="8" t="str">
        <v>Tel 904</v>
      </c>
      <c r="L943" s="8" t="str">
        <v>Cep 904</v>
      </c>
      <c r="M943" s="8" t="str">
        <v>Rua 904</v>
      </c>
      <c r="N943" s="8" t="str">
        <v>Comp 904</v>
      </c>
      <c r="O943" s="8" t="str">
        <v>Ventilador Preto</v>
      </c>
      <c r="P943" s="8" t="str">
        <v>MU-J80P-95WF</v>
      </c>
      <c r="Q943" s="4">
        <v>45716</v>
      </c>
      <c r="R943" s="109">
        <v>66.989999999999995</v>
      </c>
      <c r="S943" s="11">
        <f ca="1"/>
        <v>66.989999999999995</v>
      </c>
      <c r="T943" s="28">
        <f ca="1"/>
        <v>8.7087000000000003</v>
      </c>
      <c r="U943" s="11">
        <f ca="1"/>
        <v>58.28</v>
      </c>
      <c r="V943" s="11">
        <v>16.260000000000002</v>
      </c>
      <c r="W943" s="11">
        <f ca="1"/>
        <v>0.26</v>
      </c>
      <c r="X943" s="11">
        <f ca="1"/>
        <v>0.39877104377104378</v>
      </c>
      <c r="Y943" s="11">
        <v>0</v>
      </c>
      <c r="Z943" s="11">
        <f ca="1"/>
        <v>41.361228956228956</v>
      </c>
      <c r="AA943" s="11">
        <f ca="1"/>
        <v>20.680614478114478</v>
      </c>
      <c r="AB943" s="4">
        <f ca="1"/>
        <v>45723</v>
      </c>
      <c r="AC943" s="4">
        <v>45723</v>
      </c>
      <c r="AD943" s="9">
        <v>45730</v>
      </c>
      <c r="AE943" s="9">
        <v>45733</v>
      </c>
      <c r="AF943" s="4" t="str">
        <f t="shared" ca="1" si="47"/>
        <v>2025 03</v>
      </c>
      <c r="AG943" s="8" t="str" cm="1">
        <f t="array" ref="AG943">IFERROR(_xlfn.IFS('Banco de Dados'!#REF!="AG. COMPRA","Em processamento",'Banco de Dados'!#REF!="AG. RASTREIO","Em processamento",'Banco de Dados'!$AE943&lt;&gt;"-","Faturado",'Banco de Dados'!$AD943&lt;&gt;"-","Aguardando Pix",'Banco de Dados'!$AC943&lt;&gt;"-","Pendente"),"Aguardando Liberação")</f>
        <v>Aguardando Liberação</v>
      </c>
      <c r="AH943" s="5" t="str">
        <f>IF('Banco de Dados'!$F943="-",_xlfn.CONCAT(PROPER(TEXT(AK943,"aaaa"))," ",PROPER(TEXT(AK943,"mm"))),_xlfn.CONCAT(PROPER(TEXT(E943,"aaaa"))," ",PROPER(TEXT(E943,"mm"))))</f>
        <v>2025 02</v>
      </c>
      <c r="AI943" s="9" t="str">
        <f ca="1">IF('Banco de Dados'!$AK943&lt;&gt;"-","REEMBOLSO",IFERROR(_xlfn.XLOOKUP(G943,Follow[CODRASTREIO],Follow[STATUS]),"-"))</f>
        <v>ENTREGUE</v>
      </c>
      <c r="AJ943" s="9">
        <f ca="1">IF('Banco de Dados'!$AI943="ENTREGUE",_xlfn.XLOOKUP('Banco de Dados'!$G943,Follow[CODRASTREIO],Follow[DATAATUALIZAÇÃO]),"-")</f>
        <v>45709</v>
      </c>
      <c r="AK943" s="132" t="str">
        <f ca="1"/>
        <v>-</v>
      </c>
      <c r="AL943" s="35"/>
      <c r="AM943" s="109" cm="1">
        <f t="array" aca="1" ref="AM943" ca="1">IF('Banco de Dados'!$AK943&lt;&gt;"-",_xlfn.IFS('Banco de Dados'!$A943="bv",IF('Banco de Dados'!$E943&lt;45641,ROUND(SUM('Banco de Dados'!$R943*_xlfn.XLOOKUP('Banco de Dados'!$P943,Sku!B:B,Sku!#REF!)*20%),2),ROUND(SUM('Banco de Dados'!$R943*_xlfn.XLOOKUP('Banco de Dados'!$P943,Sku!B:B,Sku!H:H)*20%),2)),'Banco de Dados'!$A943="GO",ROUND(_xlfn.XLOOKUP('Banco de Dados'!$P943,Sku!C:C,Sku!H:H),2),'Banco de Dados'!$A943="MEI",ROUND(_xlfn.XLOOKUP('Banco de Dados'!$P943,Sku!D:D,Sku!H:H),2)),0)</f>
        <v>0</v>
      </c>
      <c r="AN943" s="109">
        <f ca="1">IF('Banco de Dados'!$AK943&lt;&gt;"-",IF('Banco de Dados'!$F943&lt;&gt;"-",_xlfn.XLOOKUP(IFERROR(IFERROR(IFERROR(VALUE(SUBSTITUTE(MID(_xlfn.TEXTAFTER('Banco de Dados'!$F943,"Data do Pedido:
",1),1,10),"-","/")),VALUE(SUBSTITUTE(MID(_xlfn.TEXTAFTER('Banco de Dados'!$F943,"Order date:
",1),1,10),"-","/"))),VALUE(SUBSTITUTE(MID(_xlfn.TEXTAFTER('Banco de Dados'!$F943,"Fecha de pedido:
",1),1,10),"-","/"))),"-"),SMS!A:A,SMS!K:K),0),0)</f>
        <v>0</v>
      </c>
      <c r="AO943" s="109">
        <f ca="1">IF('Banco de Dados'!$AK943&lt;&gt;"-",IF('Banco de Dados'!$F943&lt;&gt;"-",IFERROR(_xlfn.XLOOKUP(_xlfn.CONCAT('Banco de Dados'!$A943,IFERROR(IFERROR(VALUE(SUBSTITUTE(MID(_xlfn.TEXTAFTER('Banco de Dados'!$F943,"Data do Pedido:
",1),1,10),"-","/")),VALUE(SUBSTITUTE(MID(_xlfn.TEXTAFTER('Banco de Dados'!$F943,"Order date:
",1),1,10),"-","/"))),0)),ProxyDD[Chave],ProxyDD[Valor por pedido]),PROXY!$P$2),0),0)</f>
        <v>0</v>
      </c>
      <c r="AP943" s="28">
        <f ca="1">IF('Banco de Dados'!$AK943&lt;&gt;"-",IF('Banco de Dados'!$AL943="NÃO",IFERROR(VALUE(SUBSTITUTE(_xlfn.TEXTAFTER('Banco de Dados'!$F943,"BRL ",1),".",",")),0),0),0)</f>
        <v>0</v>
      </c>
      <c r="AQ943" s="28">
        <f ca="1">SUM('Banco de Dados'!$AM943:$AP943)</f>
        <v>0</v>
      </c>
      <c r="AR943" s="8"/>
      <c r="AY943" s="8"/>
    </row>
    <row r="944" spans="1:51">
      <c r="A944" s="5" t="str">
        <v>BV</v>
      </c>
      <c r="B944" s="5" t="str">
        <f ca="1"/>
        <v>BV45697</v>
      </c>
      <c r="C944" s="8" t="str">
        <v>Pedido 931</v>
      </c>
      <c r="D944" s="9">
        <v>45697</v>
      </c>
      <c r="E944" s="9">
        <v>45697</v>
      </c>
      <c r="F944" s="8" t="str">
        <v>PedidoF910</v>
      </c>
      <c r="G944" s="2" t="str">
        <v>CódRastreio908</v>
      </c>
      <c r="H944" s="5">
        <v>1</v>
      </c>
      <c r="I944" s="2" t="str">
        <v>CPF 905</v>
      </c>
      <c r="J944" s="2" t="str">
        <v>Nome 905</v>
      </c>
      <c r="K944" s="8" t="str">
        <v>Tel 905</v>
      </c>
      <c r="L944" s="8" t="str">
        <v>Cep 905</v>
      </c>
      <c r="M944" s="8" t="str">
        <v>Rua 905</v>
      </c>
      <c r="N944" s="8" t="str">
        <v>Comp 905</v>
      </c>
      <c r="O944" s="8" t="str">
        <v>Adaptador Bluetooph</v>
      </c>
      <c r="P944" s="8" t="str">
        <v>YA-AG3H-SPUK</v>
      </c>
      <c r="Q944" s="4">
        <v>45710</v>
      </c>
      <c r="R944" s="109">
        <v>19.989999999999998</v>
      </c>
      <c r="S944" s="11">
        <f ca="1"/>
        <v>19.989999999999998</v>
      </c>
      <c r="T944" s="28">
        <f ca="1"/>
        <v>2.3987999999999996</v>
      </c>
      <c r="U944" s="11">
        <f ca="1"/>
        <v>17.59</v>
      </c>
      <c r="V944" s="11">
        <v>6.99</v>
      </c>
      <c r="W944" s="11">
        <f ca="1"/>
        <v>0.26</v>
      </c>
      <c r="X944" s="11">
        <f ca="1"/>
        <v>0.39877104377104378</v>
      </c>
      <c r="Y944" s="11">
        <v>0</v>
      </c>
      <c r="Z944" s="11">
        <f ca="1"/>
        <v>9.9412289562289562</v>
      </c>
      <c r="AA944" s="11">
        <f ca="1"/>
        <v>4.9706144781144781</v>
      </c>
      <c r="AB944" s="4">
        <f ca="1"/>
        <v>45717</v>
      </c>
      <c r="AC944" s="4">
        <v>45717</v>
      </c>
      <c r="AD944" s="9">
        <v>45730</v>
      </c>
      <c r="AE944" s="9">
        <v>45733</v>
      </c>
      <c r="AF944" s="4" t="str">
        <f t="shared" ca="1" si="47"/>
        <v>2025 03</v>
      </c>
      <c r="AG944" s="8" t="str" cm="1">
        <f t="array" ref="AG944">IFERROR(_xlfn.IFS('Banco de Dados'!#REF!="AG. COMPRA","Em processamento",'Banco de Dados'!#REF!="AG. RASTREIO","Em processamento",'Banco de Dados'!$AE944&lt;&gt;"-","Faturado",'Banco de Dados'!$AD944&lt;&gt;"-","Aguardando Pix",'Banco de Dados'!$AC944&lt;&gt;"-","Pendente"),"Aguardando Liberação")</f>
        <v>Aguardando Liberação</v>
      </c>
      <c r="AH944" s="5" t="str">
        <f>IF('Banco de Dados'!$F944="-",_xlfn.CONCAT(PROPER(TEXT(AK944,"aaaa"))," ",PROPER(TEXT(AK944,"mm"))),_xlfn.CONCAT(PROPER(TEXT(E944,"aaaa"))," ",PROPER(TEXT(E944,"mm"))))</f>
        <v>2025 02</v>
      </c>
      <c r="AI944" s="9" t="str">
        <f ca="1">IF('Banco de Dados'!$AK944&lt;&gt;"-","REEMBOLSO",IFERROR(_xlfn.XLOOKUP(G944,Follow[CODRASTREIO],Follow[STATUS]),"-"))</f>
        <v>ENTREGUE</v>
      </c>
      <c r="AJ944" s="9">
        <f ca="1">IF('Banco de Dados'!$AI944="ENTREGUE",_xlfn.XLOOKUP('Banco de Dados'!$G944,Follow[CODRASTREIO],Follow[DATAATUALIZAÇÃO]),"-")</f>
        <v>45702</v>
      </c>
      <c r="AK944" s="132" t="str">
        <f ca="1"/>
        <v>-</v>
      </c>
      <c r="AL944" s="35"/>
      <c r="AM944" s="109" cm="1">
        <f t="array" aca="1" ref="AM944" ca="1">IF('Banco de Dados'!$AK944&lt;&gt;"-",_xlfn.IFS('Banco de Dados'!$A944="bv",IF('Banco de Dados'!$E944&lt;45641,ROUND(SUM('Banco de Dados'!$R944*_xlfn.XLOOKUP('Banco de Dados'!$P944,Sku!B:B,Sku!#REF!)*20%),2),ROUND(SUM('Banco de Dados'!$R944*_xlfn.XLOOKUP('Banco de Dados'!$P944,Sku!B:B,Sku!H:H)*20%),2)),'Banco de Dados'!$A944="GO",ROUND(_xlfn.XLOOKUP('Banco de Dados'!$P944,Sku!C:C,Sku!H:H),2),'Banco de Dados'!$A944="MEI",ROUND(_xlfn.XLOOKUP('Banco de Dados'!$P944,Sku!D:D,Sku!H:H),2)),0)</f>
        <v>0</v>
      </c>
      <c r="AN944" s="109">
        <f ca="1">IF('Banco de Dados'!$AK944&lt;&gt;"-",IF('Banco de Dados'!$F944&lt;&gt;"-",_xlfn.XLOOKUP(IFERROR(IFERROR(IFERROR(VALUE(SUBSTITUTE(MID(_xlfn.TEXTAFTER('Banco de Dados'!$F944,"Data do Pedido:
",1),1,10),"-","/")),VALUE(SUBSTITUTE(MID(_xlfn.TEXTAFTER('Banco de Dados'!$F944,"Order date:
",1),1,10),"-","/"))),VALUE(SUBSTITUTE(MID(_xlfn.TEXTAFTER('Banco de Dados'!$F944,"Fecha de pedido:
",1),1,10),"-","/"))),"-"),SMS!A:A,SMS!K:K),0),0)</f>
        <v>0</v>
      </c>
      <c r="AO944" s="109">
        <f ca="1">IF('Banco de Dados'!$AK944&lt;&gt;"-",IF('Banco de Dados'!$F944&lt;&gt;"-",IFERROR(_xlfn.XLOOKUP(_xlfn.CONCAT('Banco de Dados'!$A944,IFERROR(IFERROR(VALUE(SUBSTITUTE(MID(_xlfn.TEXTAFTER('Banco de Dados'!$F944,"Data do Pedido:
",1),1,10),"-","/")),VALUE(SUBSTITUTE(MID(_xlfn.TEXTAFTER('Banco de Dados'!$F944,"Order date:
",1),1,10),"-","/"))),0)),ProxyDD[Chave],ProxyDD[Valor por pedido]),PROXY!$P$2),0),0)</f>
        <v>0</v>
      </c>
      <c r="AP944" s="28">
        <f ca="1">IF('Banco de Dados'!$AK944&lt;&gt;"-",IF('Banco de Dados'!$AL944="NÃO",IFERROR(VALUE(SUBSTITUTE(_xlfn.TEXTAFTER('Banco de Dados'!$F944,"BRL ",1),".",",")),0),0),0)</f>
        <v>0</v>
      </c>
      <c r="AQ944" s="28">
        <f ca="1">SUM('Banco de Dados'!$AM944:$AP944)</f>
        <v>0</v>
      </c>
      <c r="AR944" s="8"/>
      <c r="AY944" s="8"/>
    </row>
    <row r="945" spans="1:51">
      <c r="A945" s="5" t="str">
        <v>BV</v>
      </c>
      <c r="B945" s="5" t="str">
        <f ca="1"/>
        <v>BV45698</v>
      </c>
      <c r="C945" s="8" t="str">
        <v>Pedido 932</v>
      </c>
      <c r="D945" s="9">
        <v>45697</v>
      </c>
      <c r="E945" s="9">
        <v>45698</v>
      </c>
      <c r="F945" s="8" t="str">
        <v>PedidoF911</v>
      </c>
      <c r="G945" s="2" t="str">
        <v>CódRastreio909</v>
      </c>
      <c r="H945" s="5">
        <v>1</v>
      </c>
      <c r="I945" s="2" t="str">
        <v>CPF 906</v>
      </c>
      <c r="J945" s="2" t="str">
        <v>Nome 906</v>
      </c>
      <c r="K945" s="8" t="str">
        <v>Tel 906</v>
      </c>
      <c r="L945" s="8" t="str">
        <v>Cep 906</v>
      </c>
      <c r="M945" s="8" t="str">
        <v>Rua 906</v>
      </c>
      <c r="N945" s="8" t="str">
        <v>Comp 906</v>
      </c>
      <c r="O945" s="8" t="str">
        <v>Ventilador Azul</v>
      </c>
      <c r="P945" s="8" t="str">
        <v>U8-2VWS-OB6M</v>
      </c>
      <c r="Q945" s="4">
        <v>45727</v>
      </c>
      <c r="R945" s="109">
        <v>61.99</v>
      </c>
      <c r="S945" s="11">
        <f ca="1"/>
        <v>61.99</v>
      </c>
      <c r="T945" s="28">
        <f ca="1"/>
        <v>8.0587</v>
      </c>
      <c r="U945" s="11">
        <f ca="1"/>
        <v>53.93</v>
      </c>
      <c r="V945" s="11">
        <v>16.64</v>
      </c>
      <c r="W945" s="11">
        <f ca="1"/>
        <v>0.18</v>
      </c>
      <c r="X945" s="11">
        <f ca="1"/>
        <v>0.39877104377104378</v>
      </c>
      <c r="Y945" s="11">
        <v>0</v>
      </c>
      <c r="Z945" s="11">
        <f ca="1"/>
        <v>36.71122895622895</v>
      </c>
      <c r="AA945" s="11">
        <f ca="1"/>
        <v>18.355614478114475</v>
      </c>
      <c r="AB945" s="4">
        <f ca="1"/>
        <v>45734</v>
      </c>
      <c r="AC945" s="4">
        <v>45734</v>
      </c>
      <c r="AD945" s="9">
        <v>45747</v>
      </c>
      <c r="AE945" s="9">
        <v>45749</v>
      </c>
      <c r="AF945" s="4" t="str">
        <f t="shared" ca="1" si="47"/>
        <v>2025 03</v>
      </c>
      <c r="AG945" s="8" t="str" cm="1">
        <f t="array" ref="AG945">IFERROR(_xlfn.IFS('Banco de Dados'!#REF!="AG. COMPRA","Em processamento",'Banco de Dados'!#REF!="AG. RASTREIO","Em processamento",'Banco de Dados'!$AE945&lt;&gt;"-","Faturado",'Banco de Dados'!$AD945&lt;&gt;"-","Aguardando Pix",'Banco de Dados'!$AC945&lt;&gt;"-","Pendente"),"Aguardando Liberação")</f>
        <v>Aguardando Liberação</v>
      </c>
      <c r="AH945" s="5" t="str">
        <f>IF('Banco de Dados'!$F945="-",_xlfn.CONCAT(PROPER(TEXT(AK945,"aaaa"))," ",PROPER(TEXT(AK945,"mm"))),_xlfn.CONCAT(PROPER(TEXT(E945,"aaaa"))," ",PROPER(TEXT(E945,"mm"))))</f>
        <v>2025 02</v>
      </c>
      <c r="AI945" s="9" t="str">
        <f ca="1">IF('Banco de Dados'!$AK945&lt;&gt;"-","REEMBOLSO",IFERROR(_xlfn.XLOOKUP(G945,Follow[CODRASTREIO],Follow[STATUS]),"-"))</f>
        <v>ENTREGUE</v>
      </c>
      <c r="AJ945" s="9">
        <f ca="1">IF('Banco de Dados'!$AI945="ENTREGUE",_xlfn.XLOOKUP('Banco de Dados'!$G945,Follow[CODRASTREIO],Follow[DATAATUALIZAÇÃO]),"-")</f>
        <v>45710</v>
      </c>
      <c r="AK945" s="132" t="str">
        <f ca="1"/>
        <v>-</v>
      </c>
      <c r="AL945" s="35"/>
      <c r="AM945" s="109" cm="1">
        <f t="array" aca="1" ref="AM945" ca="1">IF('Banco de Dados'!$AK945&lt;&gt;"-",_xlfn.IFS('Banco de Dados'!$A945="bv",IF('Banco de Dados'!$E945&lt;45641,ROUND(SUM('Banco de Dados'!$R945*_xlfn.XLOOKUP('Banco de Dados'!$P945,Sku!B:B,Sku!#REF!)*20%),2),ROUND(SUM('Banco de Dados'!$R945*_xlfn.XLOOKUP('Banco de Dados'!$P945,Sku!B:B,Sku!H:H)*20%),2)),'Banco de Dados'!$A945="GO",ROUND(_xlfn.XLOOKUP('Banco de Dados'!$P945,Sku!C:C,Sku!H:H),2),'Banco de Dados'!$A945="MEI",ROUND(_xlfn.XLOOKUP('Banco de Dados'!$P945,Sku!D:D,Sku!H:H),2)),0)</f>
        <v>0</v>
      </c>
      <c r="AN945" s="109">
        <f ca="1">IF('Banco de Dados'!$AK945&lt;&gt;"-",IF('Banco de Dados'!$F945&lt;&gt;"-",_xlfn.XLOOKUP(IFERROR(IFERROR(IFERROR(VALUE(SUBSTITUTE(MID(_xlfn.TEXTAFTER('Banco de Dados'!$F945,"Data do Pedido:
",1),1,10),"-","/")),VALUE(SUBSTITUTE(MID(_xlfn.TEXTAFTER('Banco de Dados'!$F945,"Order date:
",1),1,10),"-","/"))),VALUE(SUBSTITUTE(MID(_xlfn.TEXTAFTER('Banco de Dados'!$F945,"Fecha de pedido:
",1),1,10),"-","/"))),"-"),SMS!A:A,SMS!K:K),0),0)</f>
        <v>0</v>
      </c>
      <c r="AO945" s="109">
        <f ca="1">IF('Banco de Dados'!$AK945&lt;&gt;"-",IF('Banco de Dados'!$F945&lt;&gt;"-",IFERROR(_xlfn.XLOOKUP(_xlfn.CONCAT('Banco de Dados'!$A945,IFERROR(IFERROR(VALUE(SUBSTITUTE(MID(_xlfn.TEXTAFTER('Banco de Dados'!$F945,"Data do Pedido:
",1),1,10),"-","/")),VALUE(SUBSTITUTE(MID(_xlfn.TEXTAFTER('Banco de Dados'!$F945,"Order date:
",1),1,10),"-","/"))),0)),ProxyDD[Chave],ProxyDD[Valor por pedido]),PROXY!$P$2),0),0)</f>
        <v>0</v>
      </c>
      <c r="AP945" s="28">
        <f ca="1">IF('Banco de Dados'!$AK945&lt;&gt;"-",IF('Banco de Dados'!$AL945="NÃO",IFERROR(VALUE(SUBSTITUTE(_xlfn.TEXTAFTER('Banco de Dados'!$F945,"BRL ",1),".",",")),0),0),0)</f>
        <v>0</v>
      </c>
      <c r="AQ945" s="28">
        <f ca="1">SUM('Banco de Dados'!$AM945:$AP945)</f>
        <v>0</v>
      </c>
      <c r="AR945" s="8"/>
      <c r="AY945" s="8"/>
    </row>
    <row r="946" spans="1:51">
      <c r="A946" s="5" t="str">
        <v>BV</v>
      </c>
      <c r="B946" s="5" t="str">
        <f ca="1"/>
        <v>BV45697</v>
      </c>
      <c r="C946" s="8" t="str">
        <v>Pedido 933</v>
      </c>
      <c r="D946" s="9">
        <v>45697</v>
      </c>
      <c r="E946" s="9">
        <v>45697</v>
      </c>
      <c r="F946" s="8" t="str">
        <v>PedidoF912</v>
      </c>
      <c r="G946" s="2" t="str">
        <v>CódRastreio910</v>
      </c>
      <c r="H946" s="5">
        <v>1</v>
      </c>
      <c r="I946" s="2" t="str">
        <v>CPF 907</v>
      </c>
      <c r="J946" s="2" t="str">
        <v>Nome 907</v>
      </c>
      <c r="K946" s="8" t="str">
        <v>Tel 907</v>
      </c>
      <c r="L946" s="8" t="str">
        <v>Cep 907</v>
      </c>
      <c r="M946" s="8" t="str">
        <v>Rua 907</v>
      </c>
      <c r="N946" s="8" t="str">
        <v>Comp 907</v>
      </c>
      <c r="O946" s="8" t="str">
        <v>Ventilador Rosa</v>
      </c>
      <c r="P946" s="8" t="str">
        <v>IF-G2ZQ-79FO</v>
      </c>
      <c r="Q946" s="4">
        <v>45716</v>
      </c>
      <c r="R946" s="109">
        <v>55.99</v>
      </c>
      <c r="S946" s="11">
        <f ca="1"/>
        <v>55.99</v>
      </c>
      <c r="T946" s="28">
        <f ca="1"/>
        <v>7.2787000000000006</v>
      </c>
      <c r="U946" s="11">
        <f ca="1"/>
        <v>48.71</v>
      </c>
      <c r="V946" s="11">
        <v>16.899999999999999</v>
      </c>
      <c r="W946" s="11">
        <f ca="1"/>
        <v>0.26</v>
      </c>
      <c r="X946" s="11">
        <f ca="1"/>
        <v>0.39877104377104378</v>
      </c>
      <c r="Y946" s="11">
        <v>0</v>
      </c>
      <c r="Z946" s="11">
        <f ca="1"/>
        <v>31.151228956228955</v>
      </c>
      <c r="AA946" s="11">
        <f ca="1"/>
        <v>15.575614478114478</v>
      </c>
      <c r="AB946" s="4">
        <f ca="1"/>
        <v>45723</v>
      </c>
      <c r="AC946" s="4">
        <v>45723</v>
      </c>
      <c r="AD946" s="9">
        <v>45730</v>
      </c>
      <c r="AE946" s="9">
        <v>45733</v>
      </c>
      <c r="AF946" s="4" t="str">
        <f t="shared" ca="1" si="47"/>
        <v>2025 03</v>
      </c>
      <c r="AG946" s="8" t="str" cm="1">
        <f t="array" ref="AG946">IFERROR(_xlfn.IFS('Banco de Dados'!#REF!="AG. COMPRA","Em processamento",'Banco de Dados'!#REF!="AG. RASTREIO","Em processamento",'Banco de Dados'!$AE946&lt;&gt;"-","Faturado",'Banco de Dados'!$AD946&lt;&gt;"-","Aguardando Pix",'Banco de Dados'!$AC946&lt;&gt;"-","Pendente"),"Aguardando Liberação")</f>
        <v>Aguardando Liberação</v>
      </c>
      <c r="AH946" s="5" t="str">
        <f>IF('Banco de Dados'!$F946="-",_xlfn.CONCAT(PROPER(TEXT(AK946,"aaaa"))," ",PROPER(TEXT(AK946,"mm"))),_xlfn.CONCAT(PROPER(TEXT(E946,"aaaa"))," ",PROPER(TEXT(E946,"mm"))))</f>
        <v>2025 02</v>
      </c>
      <c r="AI946" s="9" t="str">
        <f ca="1">IF('Banco de Dados'!$AK946&lt;&gt;"-","REEMBOLSO",IFERROR(_xlfn.XLOOKUP(G946,Follow[CODRASTREIO],Follow[STATUS]),"-"))</f>
        <v>ENTREGUE</v>
      </c>
      <c r="AJ946" s="9">
        <f ca="1">IF('Banco de Dados'!$AI946="ENTREGUE",_xlfn.XLOOKUP('Banco de Dados'!$G946,Follow[CODRASTREIO],Follow[DATAATUALIZAÇÃO]),"-")</f>
        <v>45705</v>
      </c>
      <c r="AK946" s="132" t="str">
        <f ca="1"/>
        <v>-</v>
      </c>
      <c r="AL946" s="35"/>
      <c r="AM946" s="109" cm="1">
        <f t="array" aca="1" ref="AM946" ca="1">IF('Banco de Dados'!$AK946&lt;&gt;"-",_xlfn.IFS('Banco de Dados'!$A946="bv",IF('Banco de Dados'!$E946&lt;45641,ROUND(SUM('Banco de Dados'!$R946*_xlfn.XLOOKUP('Banco de Dados'!$P946,Sku!B:B,Sku!#REF!)*20%),2),ROUND(SUM('Banco de Dados'!$R946*_xlfn.XLOOKUP('Banco de Dados'!$P946,Sku!B:B,Sku!H:H)*20%),2)),'Banco de Dados'!$A946="GO",ROUND(_xlfn.XLOOKUP('Banco de Dados'!$P946,Sku!C:C,Sku!H:H),2),'Banco de Dados'!$A946="MEI",ROUND(_xlfn.XLOOKUP('Banco de Dados'!$P946,Sku!D:D,Sku!H:H),2)),0)</f>
        <v>0</v>
      </c>
      <c r="AN946" s="109">
        <f ca="1">IF('Banco de Dados'!$AK946&lt;&gt;"-",IF('Banco de Dados'!$F946&lt;&gt;"-",_xlfn.XLOOKUP(IFERROR(IFERROR(IFERROR(VALUE(SUBSTITUTE(MID(_xlfn.TEXTAFTER('Banco de Dados'!$F946,"Data do Pedido:
",1),1,10),"-","/")),VALUE(SUBSTITUTE(MID(_xlfn.TEXTAFTER('Banco de Dados'!$F946,"Order date:
",1),1,10),"-","/"))),VALUE(SUBSTITUTE(MID(_xlfn.TEXTAFTER('Banco de Dados'!$F946,"Fecha de pedido:
",1),1,10),"-","/"))),"-"),SMS!A:A,SMS!K:K),0),0)</f>
        <v>0</v>
      </c>
      <c r="AO946" s="109">
        <f ca="1">IF('Banco de Dados'!$AK946&lt;&gt;"-",IF('Banco de Dados'!$F946&lt;&gt;"-",IFERROR(_xlfn.XLOOKUP(_xlfn.CONCAT('Banco de Dados'!$A946,IFERROR(IFERROR(VALUE(SUBSTITUTE(MID(_xlfn.TEXTAFTER('Banco de Dados'!$F946,"Data do Pedido:
",1),1,10),"-","/")),VALUE(SUBSTITUTE(MID(_xlfn.TEXTAFTER('Banco de Dados'!$F946,"Order date:
",1),1,10),"-","/"))),0)),ProxyDD[Chave],ProxyDD[Valor por pedido]),PROXY!$P$2),0),0)</f>
        <v>0</v>
      </c>
      <c r="AP946" s="28">
        <f ca="1">IF('Banco de Dados'!$AK946&lt;&gt;"-",IF('Banco de Dados'!$AL946="NÃO",IFERROR(VALUE(SUBSTITUTE(_xlfn.TEXTAFTER('Banco de Dados'!$F946,"BRL ",1),".",",")),0),0),0)</f>
        <v>0</v>
      </c>
      <c r="AQ946" s="28">
        <f ca="1">SUM('Banco de Dados'!$AM946:$AP946)</f>
        <v>0</v>
      </c>
      <c r="AR946" s="8"/>
      <c r="AY946" s="8"/>
    </row>
    <row r="947" spans="1:51">
      <c r="A947" s="5" t="str">
        <v>BV</v>
      </c>
      <c r="B947" s="5" t="str">
        <f ca="1"/>
        <v>BV45697</v>
      </c>
      <c r="C947" s="8" t="str">
        <v>Pedido 934</v>
      </c>
      <c r="D947" s="9">
        <v>45697</v>
      </c>
      <c r="E947" s="9">
        <v>45697</v>
      </c>
      <c r="F947" s="8" t="str">
        <v>PedidoF913</v>
      </c>
      <c r="G947" s="2" t="str">
        <v>CódRastreio911</v>
      </c>
      <c r="H947" s="5">
        <v>1</v>
      </c>
      <c r="I947" s="2" t="str">
        <v>CPF 908</v>
      </c>
      <c r="J947" s="2" t="str">
        <v>Nome 908</v>
      </c>
      <c r="K947" s="8" t="str">
        <v>Tel 908</v>
      </c>
      <c r="L947" s="8" t="str">
        <v>Cep 908</v>
      </c>
      <c r="M947" s="8" t="str">
        <v>Rua 908</v>
      </c>
      <c r="N947" s="8" t="str">
        <v>Comp 908</v>
      </c>
      <c r="O947" s="8" t="str">
        <v>Ventilador Rosa</v>
      </c>
      <c r="P947" s="8" t="str">
        <v>IF-G2ZQ-79FO</v>
      </c>
      <c r="Q947" s="4">
        <v>45716</v>
      </c>
      <c r="R947" s="109">
        <v>55.99</v>
      </c>
      <c r="S947" s="11">
        <f ca="1"/>
        <v>55.99</v>
      </c>
      <c r="T947" s="28">
        <f ca="1"/>
        <v>7.2787000000000006</v>
      </c>
      <c r="U947" s="11">
        <f ca="1"/>
        <v>48.71</v>
      </c>
      <c r="V947" s="11">
        <v>16.899999999999999</v>
      </c>
      <c r="W947" s="11">
        <f ca="1"/>
        <v>0.26</v>
      </c>
      <c r="X947" s="11">
        <f ca="1"/>
        <v>0.39877104377104378</v>
      </c>
      <c r="Y947" s="11">
        <v>0</v>
      </c>
      <c r="Z947" s="11">
        <f ca="1"/>
        <v>31.151228956228955</v>
      </c>
      <c r="AA947" s="11">
        <f ca="1"/>
        <v>15.575614478114478</v>
      </c>
      <c r="AB947" s="4">
        <f ca="1"/>
        <v>45723</v>
      </c>
      <c r="AC947" s="4">
        <v>45723</v>
      </c>
      <c r="AD947" s="9">
        <v>45730</v>
      </c>
      <c r="AE947" s="9">
        <v>45733</v>
      </c>
      <c r="AF947" s="4" t="str">
        <f t="shared" ca="1" si="47"/>
        <v>2025 03</v>
      </c>
      <c r="AG947" s="8" t="str" cm="1">
        <f t="array" ref="AG947">IFERROR(_xlfn.IFS('Banco de Dados'!#REF!="AG. COMPRA","Em processamento",'Banco de Dados'!#REF!="AG. RASTREIO","Em processamento",'Banco de Dados'!$AE947&lt;&gt;"-","Faturado",'Banco de Dados'!$AD947&lt;&gt;"-","Aguardando Pix",'Banco de Dados'!$AC947&lt;&gt;"-","Pendente"),"Aguardando Liberação")</f>
        <v>Aguardando Liberação</v>
      </c>
      <c r="AH947" s="5" t="str">
        <f>IF('Banco de Dados'!$F947="-",_xlfn.CONCAT(PROPER(TEXT(AK947,"aaaa"))," ",PROPER(TEXT(AK947,"mm"))),_xlfn.CONCAT(PROPER(TEXT(E947,"aaaa"))," ",PROPER(TEXT(E947,"mm"))))</f>
        <v>2025 02</v>
      </c>
      <c r="AI947" s="9" t="str">
        <f ca="1">IF('Banco de Dados'!$AK947&lt;&gt;"-","REEMBOLSO",IFERROR(_xlfn.XLOOKUP(G947,Follow[CODRASTREIO],Follow[STATUS]),"-"))</f>
        <v>ENTREGUE</v>
      </c>
      <c r="AJ947" s="9">
        <f ca="1">IF('Banco de Dados'!$AI947="ENTREGUE",_xlfn.XLOOKUP('Banco de Dados'!$G947,Follow[CODRASTREIO],Follow[DATAATUALIZAÇÃO]),"-")</f>
        <v>45705</v>
      </c>
      <c r="AK947" s="132" t="str">
        <f ca="1"/>
        <v>-</v>
      </c>
      <c r="AL947" s="35"/>
      <c r="AM947" s="109" cm="1">
        <f t="array" aca="1" ref="AM947" ca="1">IF('Banco de Dados'!$AK947&lt;&gt;"-",_xlfn.IFS('Banco de Dados'!$A947="bv",IF('Banco de Dados'!$E947&lt;45641,ROUND(SUM('Banco de Dados'!$R947*_xlfn.XLOOKUP('Banco de Dados'!$P947,Sku!B:B,Sku!#REF!)*20%),2),ROUND(SUM('Banco de Dados'!$R947*_xlfn.XLOOKUP('Banco de Dados'!$P947,Sku!B:B,Sku!H:H)*20%),2)),'Banco de Dados'!$A947="GO",ROUND(_xlfn.XLOOKUP('Banco de Dados'!$P947,Sku!C:C,Sku!H:H),2),'Banco de Dados'!$A947="MEI",ROUND(_xlfn.XLOOKUP('Banco de Dados'!$P947,Sku!D:D,Sku!H:H),2)),0)</f>
        <v>0</v>
      </c>
      <c r="AN947" s="109">
        <f ca="1">IF('Banco de Dados'!$AK947&lt;&gt;"-",IF('Banco de Dados'!$F947&lt;&gt;"-",_xlfn.XLOOKUP(IFERROR(IFERROR(IFERROR(VALUE(SUBSTITUTE(MID(_xlfn.TEXTAFTER('Banco de Dados'!$F947,"Data do Pedido:
",1),1,10),"-","/")),VALUE(SUBSTITUTE(MID(_xlfn.TEXTAFTER('Banco de Dados'!$F947,"Order date:
",1),1,10),"-","/"))),VALUE(SUBSTITUTE(MID(_xlfn.TEXTAFTER('Banco de Dados'!$F947,"Fecha de pedido:
",1),1,10),"-","/"))),"-"),SMS!A:A,SMS!K:K),0),0)</f>
        <v>0</v>
      </c>
      <c r="AO947" s="109">
        <f ca="1">IF('Banco de Dados'!$AK947&lt;&gt;"-",IF('Banco de Dados'!$F947&lt;&gt;"-",IFERROR(_xlfn.XLOOKUP(_xlfn.CONCAT('Banco de Dados'!$A947,IFERROR(IFERROR(VALUE(SUBSTITUTE(MID(_xlfn.TEXTAFTER('Banco de Dados'!$F947,"Data do Pedido:
",1),1,10),"-","/")),VALUE(SUBSTITUTE(MID(_xlfn.TEXTAFTER('Banco de Dados'!$F947,"Order date:
",1),1,10),"-","/"))),0)),ProxyDD[Chave],ProxyDD[Valor por pedido]),PROXY!$P$2),0),0)</f>
        <v>0</v>
      </c>
      <c r="AP947" s="28">
        <f ca="1">IF('Banco de Dados'!$AK947&lt;&gt;"-",IF('Banco de Dados'!$AL947="NÃO",IFERROR(VALUE(SUBSTITUTE(_xlfn.TEXTAFTER('Banco de Dados'!$F947,"BRL ",1),".",",")),0),0),0)</f>
        <v>0</v>
      </c>
      <c r="AQ947" s="28">
        <f ca="1">SUM('Banco de Dados'!$AM947:$AP947)</f>
        <v>0</v>
      </c>
      <c r="AR947" s="8"/>
      <c r="AY947" s="8"/>
    </row>
    <row r="948" spans="1:51">
      <c r="A948" s="5" t="str">
        <v>BV</v>
      </c>
      <c r="B948" s="5" t="str">
        <f ca="1"/>
        <v>BV45697</v>
      </c>
      <c r="C948" s="8" t="str">
        <v>Pedido 935</v>
      </c>
      <c r="D948" s="9">
        <v>45698</v>
      </c>
      <c r="E948" s="9">
        <v>45697</v>
      </c>
      <c r="F948" s="8" t="str">
        <v>PedidoF914</v>
      </c>
      <c r="G948" s="2" t="str">
        <v>CódRastreio912</v>
      </c>
      <c r="H948" s="5">
        <v>1</v>
      </c>
      <c r="I948" s="2" t="str">
        <v>CPF 909</v>
      </c>
      <c r="J948" s="2" t="str">
        <v>Nome 909</v>
      </c>
      <c r="K948" s="8" t="str">
        <v>Tel 909</v>
      </c>
      <c r="L948" s="8" t="str">
        <v>Cep 909</v>
      </c>
      <c r="M948" s="8" t="str">
        <v>Rua 909</v>
      </c>
      <c r="N948" s="8" t="str">
        <v>Comp 909</v>
      </c>
      <c r="O948" s="8" t="str">
        <v>Ventilador Rosa</v>
      </c>
      <c r="P948" s="8" t="str">
        <v>IF-G2ZQ-79FO</v>
      </c>
      <c r="Q948" s="4">
        <v>45716</v>
      </c>
      <c r="R948" s="109">
        <v>55.99</v>
      </c>
      <c r="S948" s="11">
        <f ca="1"/>
        <v>55.99</v>
      </c>
      <c r="T948" s="28">
        <f ca="1"/>
        <v>7.2787000000000006</v>
      </c>
      <c r="U948" s="11">
        <f ca="1"/>
        <v>48.71</v>
      </c>
      <c r="V948" s="11">
        <v>16.899999999999999</v>
      </c>
      <c r="W948" s="11">
        <f ca="1"/>
        <v>0.26</v>
      </c>
      <c r="X948" s="11">
        <f ca="1"/>
        <v>0.39877104377104378</v>
      </c>
      <c r="Y948" s="11">
        <v>0</v>
      </c>
      <c r="Z948" s="11">
        <f ca="1"/>
        <v>31.151228956228955</v>
      </c>
      <c r="AA948" s="11">
        <f ca="1"/>
        <v>15.575614478114478</v>
      </c>
      <c r="AB948" s="4">
        <f ca="1"/>
        <v>45723</v>
      </c>
      <c r="AC948" s="4">
        <v>45723</v>
      </c>
      <c r="AD948" s="9">
        <v>45730</v>
      </c>
      <c r="AE948" s="9">
        <v>45733</v>
      </c>
      <c r="AF948" s="4" t="str">
        <f t="shared" ca="1" si="47"/>
        <v>2025 03</v>
      </c>
      <c r="AG948" s="8" t="str" cm="1">
        <f t="array" ref="AG948">IFERROR(_xlfn.IFS('Banco de Dados'!#REF!="AG. COMPRA","Em processamento",'Banco de Dados'!#REF!="AG. RASTREIO","Em processamento",'Banco de Dados'!$AE948&lt;&gt;"-","Faturado",'Banco de Dados'!$AD948&lt;&gt;"-","Aguardando Pix",'Banco de Dados'!$AC948&lt;&gt;"-","Pendente"),"Aguardando Liberação")</f>
        <v>Aguardando Liberação</v>
      </c>
      <c r="AH948" s="5" t="str">
        <f>IF('Banco de Dados'!$F948="-",_xlfn.CONCAT(PROPER(TEXT(AK948,"aaaa"))," ",PROPER(TEXT(AK948,"mm"))),_xlfn.CONCAT(PROPER(TEXT(E948,"aaaa"))," ",PROPER(TEXT(E948,"mm"))))</f>
        <v>2025 02</v>
      </c>
      <c r="AI948" s="9" t="str">
        <f ca="1">IF('Banco de Dados'!$AK948&lt;&gt;"-","REEMBOLSO",IFERROR(_xlfn.XLOOKUP(G948,Follow[CODRASTREIO],Follow[STATUS]),"-"))</f>
        <v>ENTREGUE</v>
      </c>
      <c r="AJ948" s="9">
        <f ca="1">IF('Banco de Dados'!$AI948="ENTREGUE",_xlfn.XLOOKUP('Banco de Dados'!$G948,Follow[CODRASTREIO],Follow[DATAATUALIZAÇÃO]),"-")</f>
        <v>45706</v>
      </c>
      <c r="AK948" s="132" t="str">
        <f ca="1"/>
        <v>-</v>
      </c>
      <c r="AL948" s="35"/>
      <c r="AM948" s="109" cm="1">
        <f t="array" aca="1" ref="AM948" ca="1">IF('Banco de Dados'!$AK948&lt;&gt;"-",_xlfn.IFS('Banco de Dados'!$A948="bv",IF('Banco de Dados'!$E948&lt;45641,ROUND(SUM('Banco de Dados'!$R948*_xlfn.XLOOKUP('Banco de Dados'!$P948,Sku!B:B,Sku!#REF!)*20%),2),ROUND(SUM('Banco de Dados'!$R948*_xlfn.XLOOKUP('Banco de Dados'!$P948,Sku!B:B,Sku!H:H)*20%),2)),'Banco de Dados'!$A948="GO",ROUND(_xlfn.XLOOKUP('Banco de Dados'!$P948,Sku!C:C,Sku!H:H),2),'Banco de Dados'!$A948="MEI",ROUND(_xlfn.XLOOKUP('Banco de Dados'!$P948,Sku!D:D,Sku!H:H),2)),0)</f>
        <v>0</v>
      </c>
      <c r="AN948" s="109">
        <f ca="1">IF('Banco de Dados'!$AK948&lt;&gt;"-",IF('Banco de Dados'!$F948&lt;&gt;"-",_xlfn.XLOOKUP(IFERROR(IFERROR(IFERROR(VALUE(SUBSTITUTE(MID(_xlfn.TEXTAFTER('Banco de Dados'!$F948,"Data do Pedido:
",1),1,10),"-","/")),VALUE(SUBSTITUTE(MID(_xlfn.TEXTAFTER('Banco de Dados'!$F948,"Order date:
",1),1,10),"-","/"))),VALUE(SUBSTITUTE(MID(_xlfn.TEXTAFTER('Banco de Dados'!$F948,"Fecha de pedido:
",1),1,10),"-","/"))),"-"),SMS!A:A,SMS!K:K),0),0)</f>
        <v>0</v>
      </c>
      <c r="AO948" s="109">
        <f ca="1">IF('Banco de Dados'!$AK948&lt;&gt;"-",IF('Banco de Dados'!$F948&lt;&gt;"-",IFERROR(_xlfn.XLOOKUP(_xlfn.CONCAT('Banco de Dados'!$A948,IFERROR(IFERROR(VALUE(SUBSTITUTE(MID(_xlfn.TEXTAFTER('Banco de Dados'!$F948,"Data do Pedido:
",1),1,10),"-","/")),VALUE(SUBSTITUTE(MID(_xlfn.TEXTAFTER('Banco de Dados'!$F948,"Order date:
",1),1,10),"-","/"))),0)),ProxyDD[Chave],ProxyDD[Valor por pedido]),PROXY!$P$2),0),0)</f>
        <v>0</v>
      </c>
      <c r="AP948" s="28">
        <f ca="1">IF('Banco de Dados'!$AK948&lt;&gt;"-",IF('Banco de Dados'!$AL948="NÃO",IFERROR(VALUE(SUBSTITUTE(_xlfn.TEXTAFTER('Banco de Dados'!$F948,"BRL ",1),".",",")),0),0),0)</f>
        <v>0</v>
      </c>
      <c r="AQ948" s="28">
        <f ca="1">SUM('Banco de Dados'!$AM948:$AP948)</f>
        <v>0</v>
      </c>
      <c r="AR948" s="8"/>
      <c r="AY948" s="8"/>
    </row>
    <row r="949" spans="1:51">
      <c r="A949" s="5" t="str">
        <v>BV</v>
      </c>
      <c r="B949" s="5" t="str">
        <f ca="1"/>
        <v>BV45698</v>
      </c>
      <c r="C949" s="8" t="str">
        <v>Pedido 936</v>
      </c>
      <c r="D949" s="9">
        <v>45698</v>
      </c>
      <c r="E949" s="9">
        <v>45698</v>
      </c>
      <c r="F949" s="8" t="str">
        <v>PedidoF915</v>
      </c>
      <c r="G949" s="2" t="str">
        <v>CódRastreio913</v>
      </c>
      <c r="H949" s="5">
        <v>1</v>
      </c>
      <c r="I949" s="2" t="str">
        <v>CPF 910</v>
      </c>
      <c r="J949" s="2" t="str">
        <v>Nome 910</v>
      </c>
      <c r="K949" s="8" t="str">
        <v>Tel 910</v>
      </c>
      <c r="L949" s="8" t="str">
        <v>Cep 910</v>
      </c>
      <c r="M949" s="8" t="str">
        <v>Rua 910</v>
      </c>
      <c r="N949" s="8" t="str">
        <v>Comp 910</v>
      </c>
      <c r="O949" s="8" t="str">
        <v>Ventilador Azul</v>
      </c>
      <c r="P949" s="8" t="str">
        <v>U8-2VWS-OB6M</v>
      </c>
      <c r="Q949" s="4">
        <v>45734</v>
      </c>
      <c r="R949" s="109">
        <v>61.99</v>
      </c>
      <c r="S949" s="11">
        <f ca="1"/>
        <v>61.99</v>
      </c>
      <c r="T949" s="28">
        <f ca="1"/>
        <v>8.0587</v>
      </c>
      <c r="U949" s="11">
        <f ca="1"/>
        <v>53.93</v>
      </c>
      <c r="V949" s="11">
        <v>16.64</v>
      </c>
      <c r="W949" s="11">
        <f ca="1"/>
        <v>0.18</v>
      </c>
      <c r="X949" s="11">
        <f ca="1"/>
        <v>0.39877104377104378</v>
      </c>
      <c r="Y949" s="11">
        <v>0</v>
      </c>
      <c r="Z949" s="11">
        <f ca="1"/>
        <v>36.71122895622895</v>
      </c>
      <c r="AA949" s="11">
        <f ca="1"/>
        <v>18.355614478114475</v>
      </c>
      <c r="AB949" s="4">
        <f ca="1"/>
        <v>45741</v>
      </c>
      <c r="AC949" s="4">
        <v>45741</v>
      </c>
      <c r="AD949" s="9">
        <v>45747</v>
      </c>
      <c r="AE949" s="9">
        <v>45749</v>
      </c>
      <c r="AF949" s="4" t="str">
        <f t="shared" ca="1" si="47"/>
        <v>2025 03</v>
      </c>
      <c r="AG949" s="8" t="str" cm="1">
        <f t="array" ref="AG949">IFERROR(_xlfn.IFS('Banco de Dados'!#REF!="AG. COMPRA","Em processamento",'Banco de Dados'!#REF!="AG. RASTREIO","Em processamento",'Banco de Dados'!$AE949&lt;&gt;"-","Faturado",'Banco de Dados'!$AD949&lt;&gt;"-","Aguardando Pix",'Banco de Dados'!$AC949&lt;&gt;"-","Pendente"),"Aguardando Liberação")</f>
        <v>Aguardando Liberação</v>
      </c>
      <c r="AH949" s="5" t="str">
        <f>IF('Banco de Dados'!$F949="-",_xlfn.CONCAT(PROPER(TEXT(AK949,"aaaa"))," ",PROPER(TEXT(AK949,"mm"))),_xlfn.CONCAT(PROPER(TEXT(E949,"aaaa"))," ",PROPER(TEXT(E949,"mm"))))</f>
        <v>2025 02</v>
      </c>
      <c r="AI949" s="9" t="str">
        <f ca="1">IF('Banco de Dados'!$AK949&lt;&gt;"-","REEMBOLSO",IFERROR(_xlfn.XLOOKUP(G949,Follow[CODRASTREIO],Follow[STATUS]),"-"))</f>
        <v>ENTREGUE</v>
      </c>
      <c r="AJ949" s="9">
        <f ca="1">IF('Banco de Dados'!$AI949="ENTREGUE",_xlfn.XLOOKUP('Banco de Dados'!$G949,Follow[CODRASTREIO],Follow[DATAATUALIZAÇÃO]),"-")</f>
        <v>45717</v>
      </c>
      <c r="AK949" s="132" t="str">
        <f ca="1"/>
        <v>-</v>
      </c>
      <c r="AL949" s="35"/>
      <c r="AM949" s="109" cm="1">
        <f t="array" aca="1" ref="AM949" ca="1">IF('Banco de Dados'!$AK949&lt;&gt;"-",_xlfn.IFS('Banco de Dados'!$A949="bv",IF('Banco de Dados'!$E949&lt;45641,ROUND(SUM('Banco de Dados'!$R949*_xlfn.XLOOKUP('Banco de Dados'!$P949,Sku!B:B,Sku!#REF!)*20%),2),ROUND(SUM('Banco de Dados'!$R949*_xlfn.XLOOKUP('Banco de Dados'!$P949,Sku!B:B,Sku!H:H)*20%),2)),'Banco de Dados'!$A949="GO",ROUND(_xlfn.XLOOKUP('Banco de Dados'!$P949,Sku!C:C,Sku!H:H),2),'Banco de Dados'!$A949="MEI",ROUND(_xlfn.XLOOKUP('Banco de Dados'!$P949,Sku!D:D,Sku!H:H),2)),0)</f>
        <v>0</v>
      </c>
      <c r="AN949" s="109">
        <f ca="1">IF('Banco de Dados'!$AK949&lt;&gt;"-",IF('Banco de Dados'!$F949&lt;&gt;"-",_xlfn.XLOOKUP(IFERROR(IFERROR(IFERROR(VALUE(SUBSTITUTE(MID(_xlfn.TEXTAFTER('Banco de Dados'!$F949,"Data do Pedido:
",1),1,10),"-","/")),VALUE(SUBSTITUTE(MID(_xlfn.TEXTAFTER('Banco de Dados'!$F949,"Order date:
",1),1,10),"-","/"))),VALUE(SUBSTITUTE(MID(_xlfn.TEXTAFTER('Banco de Dados'!$F949,"Fecha de pedido:
",1),1,10),"-","/"))),"-"),SMS!A:A,SMS!K:K),0),0)</f>
        <v>0</v>
      </c>
      <c r="AO949" s="109">
        <f ca="1">IF('Banco de Dados'!$AK949&lt;&gt;"-",IF('Banco de Dados'!$F949&lt;&gt;"-",IFERROR(_xlfn.XLOOKUP(_xlfn.CONCAT('Banco de Dados'!$A949,IFERROR(IFERROR(VALUE(SUBSTITUTE(MID(_xlfn.TEXTAFTER('Banco de Dados'!$F949,"Data do Pedido:
",1),1,10),"-","/")),VALUE(SUBSTITUTE(MID(_xlfn.TEXTAFTER('Banco de Dados'!$F949,"Order date:
",1),1,10),"-","/"))),0)),ProxyDD[Chave],ProxyDD[Valor por pedido]),PROXY!$P$2),0),0)</f>
        <v>0</v>
      </c>
      <c r="AP949" s="28">
        <f ca="1">IF('Banco de Dados'!$AK949&lt;&gt;"-",IF('Banco de Dados'!$AL949="NÃO",IFERROR(VALUE(SUBSTITUTE(_xlfn.TEXTAFTER('Banco de Dados'!$F949,"BRL ",1),".",",")),0),0),0)</f>
        <v>0</v>
      </c>
      <c r="AQ949" s="28">
        <f ca="1">SUM('Banco de Dados'!$AM949:$AP949)</f>
        <v>0</v>
      </c>
      <c r="AR949" s="8"/>
      <c r="AY949" s="8"/>
    </row>
    <row r="950" spans="1:51">
      <c r="A950" s="5" t="str">
        <v>GO</v>
      </c>
      <c r="B950" s="5" t="str">
        <f ca="1"/>
        <v>GO45697</v>
      </c>
      <c r="C950" s="8" t="str">
        <v>Pedido 937</v>
      </c>
      <c r="D950" s="187">
        <v>45696</v>
      </c>
      <c r="E950" s="9">
        <v>45697</v>
      </c>
      <c r="F950" s="8" t="str">
        <v>PedidoF916</v>
      </c>
      <c r="G950" s="2" t="str">
        <v>CódRastreio914</v>
      </c>
      <c r="H950" s="5">
        <v>1</v>
      </c>
      <c r="I950" s="2" t="str">
        <v>CPF 856</v>
      </c>
      <c r="J950" s="2" t="str">
        <v>Nome 856</v>
      </c>
      <c r="K950" s="8" t="str">
        <v>Tel 856</v>
      </c>
      <c r="L950" s="8" t="str">
        <v>Cep 856</v>
      </c>
      <c r="M950" s="8" t="str">
        <v>Rua 856</v>
      </c>
      <c r="N950" s="8" t="str">
        <v>Comp 856</v>
      </c>
      <c r="O950" s="8" t="str">
        <v>Ventilador Preto</v>
      </c>
      <c r="P950" s="8" t="str">
        <v>EP-9PIR-BWXH</v>
      </c>
      <c r="Q950" s="4">
        <v>45716</v>
      </c>
      <c r="R950" s="109">
        <v>61.99</v>
      </c>
      <c r="S950" s="11">
        <f ca="1"/>
        <v>61.99</v>
      </c>
      <c r="T950" s="28">
        <f ca="1"/>
        <v>8.0587</v>
      </c>
      <c r="U950" s="11">
        <f ca="1"/>
        <v>53.93</v>
      </c>
      <c r="V950" s="11">
        <v>12.96</v>
      </c>
      <c r="W950" s="11">
        <f ca="1"/>
        <v>0.2</v>
      </c>
      <c r="X950" s="11">
        <f ca="1"/>
        <v>0.39877104377104378</v>
      </c>
      <c r="Y950" s="11">
        <v>0</v>
      </c>
      <c r="Z950" s="11">
        <f ca="1"/>
        <v>40.371228956228954</v>
      </c>
      <c r="AA950" s="11">
        <f ca="1"/>
        <v>40.371228956228954</v>
      </c>
      <c r="AB950" s="4">
        <f ca="1"/>
        <v>45723</v>
      </c>
      <c r="AC950" s="4">
        <v>45723</v>
      </c>
      <c r="AD950" s="9">
        <v>45730</v>
      </c>
      <c r="AE950" s="9">
        <v>45733</v>
      </c>
      <c r="AF950" s="4" t="str">
        <f t="shared" ref="AF950:AF959" ca="1" si="48">_xlfn.CONCAT(PROPER(TEXT(AB950,"aaaa"))," ",PROPER(TEXT(AB950,"mm")))</f>
        <v>2025 03</v>
      </c>
      <c r="AG950" s="8" t="str" cm="1">
        <f t="array" ref="AG950">IFERROR(_xlfn.IFS('Banco de Dados'!#REF!="AG. COMPRA","Em processamento",'Banco de Dados'!#REF!="AG. RASTREIO","Em processamento",'Banco de Dados'!$AE950&lt;&gt;"-","Faturado",'Banco de Dados'!$AD950&lt;&gt;"-","Aguardando Pix",'Banco de Dados'!$AC950&lt;&gt;"-","Pendente"),"Aguardando Liberação")</f>
        <v>Aguardando Liberação</v>
      </c>
      <c r="AH950" s="5" t="str">
        <f>IF('Banco de Dados'!$F950="-",_xlfn.CONCAT(PROPER(TEXT(AK950,"aaaa"))," ",PROPER(TEXT(AK950,"mm"))),_xlfn.CONCAT(PROPER(TEXT(E950,"aaaa"))," ",PROPER(TEXT(E950,"mm"))))</f>
        <v>2025 02</v>
      </c>
      <c r="AI950" s="9" t="str">
        <f ca="1">IF('Banco de Dados'!$AK950&lt;&gt;"-","REEMBOLSO",IFERROR(_xlfn.XLOOKUP(G950,Follow[CODRASTREIO],Follow[STATUS]),"-"))</f>
        <v>ENTREGUE</v>
      </c>
      <c r="AJ950" s="9">
        <f ca="1">IF('Banco de Dados'!$AI950="ENTREGUE",_xlfn.XLOOKUP('Banco de Dados'!$G950,Follow[CODRASTREIO],Follow[DATAATUALIZAÇÃO]),"-")</f>
        <v>45705</v>
      </c>
      <c r="AK950" s="132" t="str">
        <f ca="1"/>
        <v>-</v>
      </c>
      <c r="AL950" s="35"/>
      <c r="AM950" s="109" cm="1">
        <f t="array" aca="1" ref="AM950" ca="1">IF('Banco de Dados'!$AK950&lt;&gt;"-",_xlfn.IFS('Banco de Dados'!$A950="bv",IF('Banco de Dados'!$E950&lt;45641,ROUND(SUM('Banco de Dados'!$R950*_xlfn.XLOOKUP('Banco de Dados'!$P950,Sku!B:B,Sku!#REF!)*20%),2),ROUND(SUM('Banco de Dados'!$R950*_xlfn.XLOOKUP('Banco de Dados'!$P950,Sku!B:B,Sku!H:H)*20%),2)),'Banco de Dados'!$A950="GO",ROUND(SUM('Banco de Dados'!$R950*_xlfn.XLOOKUP('Banco de Dados'!$P950,Sku!C:C,Sku!H:H)*20%),2),'Banco de Dados'!$A950="MEI",ROUND(SUM('Banco de Dados'!$R950*_xlfn.XLOOKUP('Banco de Dados'!$P950,Sku!D:D,Sku!H:H)*20%),2)),0)</f>
        <v>0</v>
      </c>
      <c r="AN950" s="109">
        <f ca="1">IF('Banco de Dados'!$AK950&lt;&gt;"-",IF('Banco de Dados'!$F950&lt;&gt;"-",_xlfn.XLOOKUP(IFERROR(IFERROR(IFERROR(VALUE(SUBSTITUTE(MID(_xlfn.TEXTAFTER('Banco de Dados'!$F950,"Data do Pedido:
",1),1,10),"-","/")),VALUE(SUBSTITUTE(MID(_xlfn.TEXTAFTER('Banco de Dados'!$F950,"Order date:
",1),1,10),"-","/"))),VALUE(SUBSTITUTE(MID(_xlfn.TEXTAFTER('Banco de Dados'!$F950,"Fecha de pedido:
",1),1,10),"-","/"))),"-"),SMS!A:A,SMS!K:K),0),0)</f>
        <v>0</v>
      </c>
      <c r="AO950" s="109">
        <f ca="1">IF('Banco de Dados'!$AK950&lt;&gt;"-",IF('Banco de Dados'!$F950&lt;&gt;"-",IFERROR(_xlfn.XLOOKUP(_xlfn.CONCAT('Banco de Dados'!$A950,IFERROR(IFERROR(VALUE(SUBSTITUTE(MID(_xlfn.TEXTAFTER('Banco de Dados'!$F950,"Data do Pedido:
",1),1,10),"-","/")),VALUE(SUBSTITUTE(MID(_xlfn.TEXTAFTER('Banco de Dados'!$F950,"Order date:
",1),1,10),"-","/"))),0)),ProxyDD[Chave],ProxyDD[Valor por pedido]),PROXY!$P$2),0),0)</f>
        <v>0</v>
      </c>
      <c r="AP950" s="28">
        <f ca="1">IF('Banco de Dados'!$AK950&lt;&gt;"-",IF('Banco de Dados'!$AL950="NÃO",IFERROR(VALUE(SUBSTITUTE(_xlfn.TEXTAFTER('Banco de Dados'!$F950,"BRL ",1),".",",")),0),0),0)</f>
        <v>0</v>
      </c>
      <c r="AQ950" s="28">
        <f ca="1">SUM('Banco de Dados'!$AM950:$AP950)</f>
        <v>0</v>
      </c>
      <c r="AR950" s="8"/>
      <c r="AY950" s="8"/>
    </row>
    <row r="951" spans="1:51">
      <c r="A951" s="5" t="str">
        <v>GO</v>
      </c>
      <c r="B951" s="5" t="str">
        <f ca="1"/>
        <v>GO45697</v>
      </c>
      <c r="C951" s="8" t="str">
        <v>Pedido 938</v>
      </c>
      <c r="D951" s="187">
        <v>45696</v>
      </c>
      <c r="E951" s="9">
        <v>45697</v>
      </c>
      <c r="F951" s="8" t="str">
        <v>PedidoF917</v>
      </c>
      <c r="G951" s="2" t="str">
        <v>CódRastreio915</v>
      </c>
      <c r="H951" s="5">
        <v>1</v>
      </c>
      <c r="I951" s="2" t="str">
        <v>CPF 912</v>
      </c>
      <c r="J951" s="2" t="str">
        <v>Nome 912</v>
      </c>
      <c r="K951" s="8" t="str">
        <v>Tel 912</v>
      </c>
      <c r="L951" s="8" t="str">
        <v>Cep 912</v>
      </c>
      <c r="M951" s="8" t="str">
        <v>Rua 912</v>
      </c>
      <c r="N951" s="8" t="str">
        <v>Comp 912</v>
      </c>
      <c r="O951" s="8" t="str">
        <v>Ventilador Preto</v>
      </c>
      <c r="P951" s="8" t="str">
        <v>EP-9PIR-BWXH</v>
      </c>
      <c r="Q951" s="4">
        <v>45734</v>
      </c>
      <c r="R951" s="109">
        <v>61.99</v>
      </c>
      <c r="S951" s="11">
        <f ca="1"/>
        <v>61.99</v>
      </c>
      <c r="T951" s="28">
        <f ca="1"/>
        <v>8.0587</v>
      </c>
      <c r="U951" s="11">
        <f ca="1"/>
        <v>53.93</v>
      </c>
      <c r="V951" s="11">
        <v>12.96</v>
      </c>
      <c r="W951" s="11">
        <f ca="1"/>
        <v>0.2</v>
      </c>
      <c r="X951" s="11">
        <f ca="1"/>
        <v>0.39877104377104378</v>
      </c>
      <c r="Y951" s="11">
        <v>0</v>
      </c>
      <c r="Z951" s="11">
        <f ca="1"/>
        <v>40.371228956228954</v>
      </c>
      <c r="AA951" s="11">
        <f ca="1"/>
        <v>40.371228956228954</v>
      </c>
      <c r="AB951" s="4">
        <f ca="1"/>
        <v>45741</v>
      </c>
      <c r="AC951" s="4">
        <v>45741</v>
      </c>
      <c r="AD951" s="9">
        <v>45747</v>
      </c>
      <c r="AE951" s="9">
        <v>45749</v>
      </c>
      <c r="AF951" s="4" t="str">
        <f t="shared" ca="1" si="48"/>
        <v>2025 03</v>
      </c>
      <c r="AG951" s="8" t="str" cm="1">
        <f t="array" ref="AG951">IFERROR(_xlfn.IFS('Banco de Dados'!#REF!="AG. COMPRA","Em processamento",'Banco de Dados'!#REF!="AG. RASTREIO","Em processamento",'Banco de Dados'!$AE951&lt;&gt;"-","Faturado",'Banco de Dados'!$AD951&lt;&gt;"-","Aguardando Pix",'Banco de Dados'!$AC951&lt;&gt;"-","Pendente"),"Aguardando Liberação")</f>
        <v>Aguardando Liberação</v>
      </c>
      <c r="AH951" s="5" t="str">
        <f>IF('Banco de Dados'!$F951="-",_xlfn.CONCAT(PROPER(TEXT(AK951,"aaaa"))," ",PROPER(TEXT(AK951,"mm"))),_xlfn.CONCAT(PROPER(TEXT(E951,"aaaa"))," ",PROPER(TEXT(E951,"mm"))))</f>
        <v>2025 02</v>
      </c>
      <c r="AI951" s="9" t="str">
        <f ca="1">IF('Banco de Dados'!$AK951&lt;&gt;"-","REEMBOLSO",IFERROR(_xlfn.XLOOKUP(G951,Follow[CODRASTREIO],Follow[STATUS]),"-"))</f>
        <v>ENTREGUE</v>
      </c>
      <c r="AJ951" s="9">
        <f ca="1">IF('Banco de Dados'!$AI951="ENTREGUE",_xlfn.XLOOKUP('Banco de Dados'!$G951,Follow[CODRASTREIO],Follow[DATAATUALIZAÇÃO]),"-")</f>
        <v>45727</v>
      </c>
      <c r="AK951" s="132" t="str">
        <f ca="1"/>
        <v>-</v>
      </c>
      <c r="AL951" s="35"/>
      <c r="AM951" s="109" cm="1">
        <f t="array" aca="1" ref="AM951" ca="1">IF('Banco de Dados'!$AK951&lt;&gt;"-",_xlfn.IFS('Banco de Dados'!$A951="bv",IF('Banco de Dados'!$E951&lt;45641,ROUND(SUM('Banco de Dados'!$R951*_xlfn.XLOOKUP('Banco de Dados'!$P951,Sku!B:B,Sku!#REF!)*20%),2),ROUND(SUM('Banco de Dados'!$R951*_xlfn.XLOOKUP('Banco de Dados'!$P951,Sku!B:B,Sku!H:H)*20%),2)),'Banco de Dados'!$A951="GO",ROUND(SUM('Banco de Dados'!$R951*_xlfn.XLOOKUP('Banco de Dados'!$P951,Sku!C:C,Sku!H:H)*20%),2),'Banco de Dados'!$A951="MEI",ROUND(SUM('Banco de Dados'!$R951*_xlfn.XLOOKUP('Banco de Dados'!$P951,Sku!D:D,Sku!H:H)*20%),2)),0)</f>
        <v>0</v>
      </c>
      <c r="AN951" s="109">
        <f ca="1">IF('Banco de Dados'!$AK951&lt;&gt;"-",IF('Banco de Dados'!$F951&lt;&gt;"-",_xlfn.XLOOKUP(IFERROR(IFERROR(IFERROR(VALUE(SUBSTITUTE(MID(_xlfn.TEXTAFTER('Banco de Dados'!$F951,"Data do Pedido:
",1),1,10),"-","/")),VALUE(SUBSTITUTE(MID(_xlfn.TEXTAFTER('Banco de Dados'!$F951,"Order date:
",1),1,10),"-","/"))),VALUE(SUBSTITUTE(MID(_xlfn.TEXTAFTER('Banco de Dados'!$F951,"Fecha de pedido:
",1),1,10),"-","/"))),"-"),SMS!A:A,SMS!K:K),0),0)</f>
        <v>0</v>
      </c>
      <c r="AO951" s="109">
        <f ca="1">IF('Banco de Dados'!$AK951&lt;&gt;"-",IF('Banco de Dados'!$F951&lt;&gt;"-",IFERROR(_xlfn.XLOOKUP(_xlfn.CONCAT('Banco de Dados'!$A951,IFERROR(IFERROR(VALUE(SUBSTITUTE(MID(_xlfn.TEXTAFTER('Banco de Dados'!$F951,"Data do Pedido:
",1),1,10),"-","/")),VALUE(SUBSTITUTE(MID(_xlfn.TEXTAFTER('Banco de Dados'!$F951,"Order date:
",1),1,10),"-","/"))),0)),ProxyDD[Chave],ProxyDD[Valor por pedido]),PROXY!$P$2),0),0)</f>
        <v>0</v>
      </c>
      <c r="AP951" s="28">
        <f ca="1">IF('Banco de Dados'!$AK951&lt;&gt;"-",IF('Banco de Dados'!$AL951="NÃO",IFERROR(VALUE(SUBSTITUTE(_xlfn.TEXTAFTER('Banco de Dados'!$F951,"BRL ",1),".",",")),0),0),0)</f>
        <v>0</v>
      </c>
      <c r="AQ951" s="28">
        <f ca="1">SUM('Banco de Dados'!$AM951:$AP951)</f>
        <v>0</v>
      </c>
      <c r="AR951" s="8"/>
      <c r="AY951" s="8"/>
    </row>
    <row r="952" spans="1:51">
      <c r="A952" s="5" t="str">
        <v>GO</v>
      </c>
      <c r="B952" s="5" t="str">
        <f ca="1"/>
        <v>GO45697</v>
      </c>
      <c r="C952" s="8" t="str">
        <v>Pedido 939</v>
      </c>
      <c r="D952" s="187">
        <v>45696</v>
      </c>
      <c r="E952" s="9">
        <v>45697</v>
      </c>
      <c r="F952" s="8" t="str">
        <v>PedidoF918</v>
      </c>
      <c r="G952" s="2" t="str">
        <v>CódRastreio916</v>
      </c>
      <c r="H952" s="5">
        <v>1</v>
      </c>
      <c r="I952" s="2" t="str">
        <v>CPF 913</v>
      </c>
      <c r="J952" s="2" t="str">
        <v>Nome 913</v>
      </c>
      <c r="K952" s="8" t="str">
        <v>Tel 913</v>
      </c>
      <c r="L952" s="8" t="str">
        <v>Cep 913</v>
      </c>
      <c r="M952" s="8" t="str">
        <v>Rua 913</v>
      </c>
      <c r="N952" s="8" t="str">
        <v>Comp 913</v>
      </c>
      <c r="O952" s="8" t="str">
        <v>Ventilador Preto</v>
      </c>
      <c r="P952" s="8" t="str">
        <v>EP-9PIR-BWXH</v>
      </c>
      <c r="Q952" s="4">
        <v>45716</v>
      </c>
      <c r="R952" s="109">
        <v>61.99</v>
      </c>
      <c r="S952" s="11">
        <f ca="1"/>
        <v>61.99</v>
      </c>
      <c r="T952" s="28">
        <f ca="1"/>
        <v>8.0587</v>
      </c>
      <c r="U952" s="11">
        <f ca="1"/>
        <v>53.93</v>
      </c>
      <c r="V952" s="11">
        <v>12.96</v>
      </c>
      <c r="W952" s="11">
        <f ca="1"/>
        <v>0.2</v>
      </c>
      <c r="X952" s="11">
        <f ca="1"/>
        <v>0.39877104377104378</v>
      </c>
      <c r="Y952" s="11">
        <v>0</v>
      </c>
      <c r="Z952" s="11">
        <f ca="1"/>
        <v>40.371228956228954</v>
      </c>
      <c r="AA952" s="11">
        <f ca="1"/>
        <v>40.371228956228954</v>
      </c>
      <c r="AB952" s="4">
        <f ca="1"/>
        <v>45723</v>
      </c>
      <c r="AC952" s="4">
        <v>45723</v>
      </c>
      <c r="AD952" s="9">
        <v>45730</v>
      </c>
      <c r="AE952" s="9">
        <v>45733</v>
      </c>
      <c r="AF952" s="4" t="str">
        <f t="shared" ca="1" si="48"/>
        <v>2025 03</v>
      </c>
      <c r="AG952" s="8" t="str" cm="1">
        <f t="array" ref="AG952">IFERROR(_xlfn.IFS('Banco de Dados'!#REF!="AG. COMPRA","Em processamento",'Banco de Dados'!#REF!="AG. RASTREIO","Em processamento",'Banco de Dados'!$AE952&lt;&gt;"-","Faturado",'Banco de Dados'!$AD952&lt;&gt;"-","Aguardando Pix",'Banco de Dados'!$AC952&lt;&gt;"-","Pendente"),"Aguardando Liberação")</f>
        <v>Aguardando Liberação</v>
      </c>
      <c r="AH952" s="5" t="str">
        <f>IF('Banco de Dados'!$F952="-",_xlfn.CONCAT(PROPER(TEXT(AK952,"aaaa"))," ",PROPER(TEXT(AK952,"mm"))),_xlfn.CONCAT(PROPER(TEXT(E952,"aaaa"))," ",PROPER(TEXT(E952,"mm"))))</f>
        <v>2025 02</v>
      </c>
      <c r="AI952" s="9" t="str">
        <f ca="1">IF('Banco de Dados'!$AK952&lt;&gt;"-","REEMBOLSO",IFERROR(_xlfn.XLOOKUP(G952,Follow[CODRASTREIO],Follow[STATUS]),"-"))</f>
        <v>ENTREGUE</v>
      </c>
      <c r="AJ952" s="9">
        <f ca="1">IF('Banco de Dados'!$AI952="ENTREGUE",_xlfn.XLOOKUP('Banco de Dados'!$G952,Follow[CODRASTREIO],Follow[DATAATUALIZAÇÃO]),"-")</f>
        <v>45705</v>
      </c>
      <c r="AK952" s="132" t="str">
        <f ca="1"/>
        <v>-</v>
      </c>
      <c r="AL952" s="35"/>
      <c r="AM952" s="109" cm="1">
        <f t="array" aca="1" ref="AM952" ca="1">IF('Banco de Dados'!$AK952&lt;&gt;"-",_xlfn.IFS('Banco de Dados'!$A952="bv",IF('Banco de Dados'!$E952&lt;45641,ROUND(SUM('Banco de Dados'!$R952*_xlfn.XLOOKUP('Banco de Dados'!$P952,Sku!B:B,Sku!#REF!)*20%),2),ROUND(SUM('Banco de Dados'!$R952*_xlfn.XLOOKUP('Banco de Dados'!$P952,Sku!B:B,Sku!H:H)*20%),2)),'Banco de Dados'!$A952="GO",ROUND(SUM('Banco de Dados'!$R952*_xlfn.XLOOKUP('Banco de Dados'!$P952,Sku!C:C,Sku!H:H)*20%),2),'Banco de Dados'!$A952="MEI",ROUND(SUM('Banco de Dados'!$R952*_xlfn.XLOOKUP('Banco de Dados'!$P952,Sku!D:D,Sku!H:H)*20%),2)),0)</f>
        <v>0</v>
      </c>
      <c r="AN952" s="109">
        <f ca="1">IF('Banco de Dados'!$AK952&lt;&gt;"-",IF('Banco de Dados'!$F952&lt;&gt;"-",_xlfn.XLOOKUP(IFERROR(IFERROR(IFERROR(VALUE(SUBSTITUTE(MID(_xlfn.TEXTAFTER('Banco de Dados'!$F952,"Data do Pedido:
",1),1,10),"-","/")),VALUE(SUBSTITUTE(MID(_xlfn.TEXTAFTER('Banco de Dados'!$F952,"Order date:
",1),1,10),"-","/"))),VALUE(SUBSTITUTE(MID(_xlfn.TEXTAFTER('Banco de Dados'!$F952,"Fecha de pedido:
",1),1,10),"-","/"))),"-"),SMS!A:A,SMS!K:K),0),0)</f>
        <v>0</v>
      </c>
      <c r="AO952" s="109">
        <f ca="1">IF('Banco de Dados'!$AK952&lt;&gt;"-",IF('Banco de Dados'!$F952&lt;&gt;"-",IFERROR(_xlfn.XLOOKUP(_xlfn.CONCAT('Banco de Dados'!$A952,IFERROR(IFERROR(VALUE(SUBSTITUTE(MID(_xlfn.TEXTAFTER('Banco de Dados'!$F952,"Data do Pedido:
",1),1,10),"-","/")),VALUE(SUBSTITUTE(MID(_xlfn.TEXTAFTER('Banco de Dados'!$F952,"Order date:
",1),1,10),"-","/"))),0)),ProxyDD[Chave],ProxyDD[Valor por pedido]),PROXY!$P$2),0),0)</f>
        <v>0</v>
      </c>
      <c r="AP952" s="28">
        <f ca="1">IF('Banco de Dados'!$AK952&lt;&gt;"-",IF('Banco de Dados'!$AL952="NÃO",IFERROR(VALUE(SUBSTITUTE(_xlfn.TEXTAFTER('Banco de Dados'!$F952,"BRL ",1),".",",")),0),0),0)</f>
        <v>0</v>
      </c>
      <c r="AQ952" s="28">
        <f ca="1">SUM('Banco de Dados'!$AM952:$AP952)</f>
        <v>0</v>
      </c>
      <c r="AR952" s="8"/>
      <c r="AY952" s="8"/>
    </row>
    <row r="953" spans="1:51">
      <c r="A953" s="5" t="str">
        <v>GO</v>
      </c>
      <c r="B953" s="5" t="str">
        <f ca="1"/>
        <v>GO45697</v>
      </c>
      <c r="C953" s="8" t="str">
        <v>Pedido 940</v>
      </c>
      <c r="D953" s="187">
        <v>45696</v>
      </c>
      <c r="E953" s="9">
        <v>45697</v>
      </c>
      <c r="F953" s="8" t="str">
        <v>PedidoF919</v>
      </c>
      <c r="G953" s="2" t="str">
        <v>CódRastreio917</v>
      </c>
      <c r="H953" s="5">
        <v>1</v>
      </c>
      <c r="I953" s="2" t="str">
        <v>CPF 914</v>
      </c>
      <c r="J953" s="2" t="str">
        <v>Nome 914</v>
      </c>
      <c r="K953" s="8" t="str">
        <v>Tel 914</v>
      </c>
      <c r="L953" s="8" t="str">
        <v>Cep 914</v>
      </c>
      <c r="M953" s="8" t="str">
        <v>Rua 914</v>
      </c>
      <c r="N953" s="8" t="str">
        <v>Comp 914</v>
      </c>
      <c r="O953" s="8" t="str">
        <v>Ventilador Preto</v>
      </c>
      <c r="P953" s="8" t="str">
        <v>EP-9PIR-BWXH</v>
      </c>
      <c r="Q953" s="4">
        <v>45734</v>
      </c>
      <c r="R953" s="109">
        <v>61.99</v>
      </c>
      <c r="S953" s="11">
        <f ca="1"/>
        <v>61.99</v>
      </c>
      <c r="T953" s="28">
        <f ca="1"/>
        <v>8.0587</v>
      </c>
      <c r="U953" s="11">
        <f ca="1"/>
        <v>53.93</v>
      </c>
      <c r="V953" s="11">
        <v>16.760000000000002</v>
      </c>
      <c r="W953" s="11">
        <f ca="1"/>
        <v>0.2</v>
      </c>
      <c r="X953" s="11">
        <f ca="1"/>
        <v>0.39877104377104378</v>
      </c>
      <c r="Y953" s="11">
        <v>0</v>
      </c>
      <c r="Z953" s="11">
        <f ca="1"/>
        <v>36.57122895622895</v>
      </c>
      <c r="AA953" s="11">
        <f ca="1"/>
        <v>36.57122895622895</v>
      </c>
      <c r="AB953" s="4">
        <f ca="1"/>
        <v>45741</v>
      </c>
      <c r="AC953" s="4">
        <v>45741</v>
      </c>
      <c r="AD953" s="9">
        <v>45747</v>
      </c>
      <c r="AE953" s="9">
        <v>45749</v>
      </c>
      <c r="AF953" s="4" t="str">
        <f t="shared" ca="1" si="48"/>
        <v>2025 03</v>
      </c>
      <c r="AG953" s="8" t="str" cm="1">
        <f t="array" ref="AG953">IFERROR(_xlfn.IFS('Banco de Dados'!#REF!="AG. COMPRA","Em processamento",'Banco de Dados'!#REF!="AG. RASTREIO","Em processamento",'Banco de Dados'!$AE953&lt;&gt;"-","Faturado",'Banco de Dados'!$AD953&lt;&gt;"-","Aguardando Pix",'Banco de Dados'!$AC953&lt;&gt;"-","Pendente"),"Aguardando Liberação")</f>
        <v>Aguardando Liberação</v>
      </c>
      <c r="AH953" s="5" t="str">
        <f>IF('Banco de Dados'!$F953="-",_xlfn.CONCAT(PROPER(TEXT(AK953,"aaaa"))," ",PROPER(TEXT(AK953,"mm"))),_xlfn.CONCAT(PROPER(TEXT(E953,"aaaa"))," ",PROPER(TEXT(E953,"mm"))))</f>
        <v>2025 02</v>
      </c>
      <c r="AI953" s="9" t="str">
        <f ca="1">IF('Banco de Dados'!$AK953&lt;&gt;"-","REEMBOLSO",IFERROR(_xlfn.XLOOKUP(G953,Follow[CODRASTREIO],Follow[STATUS]),"-"))</f>
        <v>ENTREGUE</v>
      </c>
      <c r="AJ953" s="9">
        <f ca="1">IF('Banco de Dados'!$AI953="ENTREGUE",_xlfn.XLOOKUP('Banco de Dados'!$G953,Follow[CODRASTREIO],Follow[DATAATUALIZAÇÃO]),"-")</f>
        <v>45712</v>
      </c>
      <c r="AK953" s="132" t="str">
        <f ca="1"/>
        <v>-</v>
      </c>
      <c r="AL953" s="35"/>
      <c r="AM953" s="109" cm="1">
        <f t="array" aca="1" ref="AM953" ca="1">IF('Banco de Dados'!$AK953&lt;&gt;"-",_xlfn.IFS('Banco de Dados'!$A953="bv",IF('Banco de Dados'!$E953&lt;45641,ROUND(SUM('Banco de Dados'!$R953*_xlfn.XLOOKUP('Banco de Dados'!$P953,Sku!B:B,Sku!#REF!)*20%),2),ROUND(SUM('Banco de Dados'!$R953*_xlfn.XLOOKUP('Banco de Dados'!$P953,Sku!B:B,Sku!H:H)*20%),2)),'Banco de Dados'!$A953="GO",ROUND(SUM('Banco de Dados'!$R953*_xlfn.XLOOKUP('Banco de Dados'!$P953,Sku!C:C,Sku!H:H)*20%),2),'Banco de Dados'!$A953="MEI",ROUND(SUM('Banco de Dados'!$R953*_xlfn.XLOOKUP('Banco de Dados'!$P953,Sku!D:D,Sku!H:H)*20%),2)),0)</f>
        <v>0</v>
      </c>
      <c r="AN953" s="109">
        <f ca="1">IF('Banco de Dados'!$AK953&lt;&gt;"-",IF('Banco de Dados'!$F953&lt;&gt;"-",_xlfn.XLOOKUP(IFERROR(IFERROR(IFERROR(VALUE(SUBSTITUTE(MID(_xlfn.TEXTAFTER('Banco de Dados'!$F953,"Data do Pedido:
",1),1,10),"-","/")),VALUE(SUBSTITUTE(MID(_xlfn.TEXTAFTER('Banco de Dados'!$F953,"Order date:
",1),1,10),"-","/"))),VALUE(SUBSTITUTE(MID(_xlfn.TEXTAFTER('Banco de Dados'!$F953,"Fecha de pedido:
",1),1,10),"-","/"))),"-"),SMS!A:A,SMS!K:K),0),0)</f>
        <v>0</v>
      </c>
      <c r="AO953" s="109">
        <f ca="1">IF('Banco de Dados'!$AK953&lt;&gt;"-",IF('Banco de Dados'!$F953&lt;&gt;"-",IFERROR(_xlfn.XLOOKUP(_xlfn.CONCAT('Banco de Dados'!$A953,IFERROR(IFERROR(VALUE(SUBSTITUTE(MID(_xlfn.TEXTAFTER('Banco de Dados'!$F953,"Data do Pedido:
",1),1,10),"-","/")),VALUE(SUBSTITUTE(MID(_xlfn.TEXTAFTER('Banco de Dados'!$F953,"Order date:
",1),1,10),"-","/"))),0)),ProxyDD[Chave],ProxyDD[Valor por pedido]),PROXY!$P$2),0),0)</f>
        <v>0</v>
      </c>
      <c r="AP953" s="28">
        <f ca="1">IF('Banco de Dados'!$AK953&lt;&gt;"-",IF('Banco de Dados'!$AL953="NÃO",IFERROR(VALUE(SUBSTITUTE(_xlfn.TEXTAFTER('Banco de Dados'!$F953,"BRL ",1),".",",")),0),0),0)</f>
        <v>0</v>
      </c>
      <c r="AQ953" s="28">
        <f ca="1">SUM('Banco de Dados'!$AM953:$AP953)</f>
        <v>0</v>
      </c>
      <c r="AR953" s="8"/>
      <c r="AY953" s="8"/>
    </row>
    <row r="954" spans="1:51">
      <c r="A954" s="5" t="str">
        <v>GO</v>
      </c>
      <c r="B954" s="5" t="str">
        <f ca="1"/>
        <v>GO45697</v>
      </c>
      <c r="C954" s="8" t="str">
        <v>Pedido 941</v>
      </c>
      <c r="D954" s="187">
        <v>45696</v>
      </c>
      <c r="E954" s="9">
        <v>45697</v>
      </c>
      <c r="F954" s="8" t="str">
        <v>PedidoF920</v>
      </c>
      <c r="G954" s="2" t="str">
        <v>CódRastreio918</v>
      </c>
      <c r="H954" s="5">
        <v>1</v>
      </c>
      <c r="I954" s="2" t="str">
        <v>CPF 915</v>
      </c>
      <c r="J954" s="2" t="str">
        <v>Nome 915</v>
      </c>
      <c r="K954" s="8" t="str">
        <v>Tel 915</v>
      </c>
      <c r="L954" s="8" t="str">
        <v>Cep 915</v>
      </c>
      <c r="M954" s="8" t="str">
        <v>Rua 915</v>
      </c>
      <c r="N954" s="8" t="str">
        <v>Comp 915</v>
      </c>
      <c r="O954" s="8" t="str">
        <v>Ventilador Preto</v>
      </c>
      <c r="P954" s="8" t="str">
        <v>EP-9PIR-BWXH</v>
      </c>
      <c r="Q954" s="4">
        <v>45727</v>
      </c>
      <c r="R954" s="109">
        <v>61.99</v>
      </c>
      <c r="S954" s="11">
        <f ca="1"/>
        <v>61.99</v>
      </c>
      <c r="T954" s="28">
        <f ca="1"/>
        <v>8.0587</v>
      </c>
      <c r="U954" s="11">
        <f ca="1"/>
        <v>53.93</v>
      </c>
      <c r="V954" s="11">
        <v>16.760000000000002</v>
      </c>
      <c r="W954" s="11">
        <f ca="1"/>
        <v>0.2</v>
      </c>
      <c r="X954" s="11">
        <f ca="1"/>
        <v>0.39877104377104378</v>
      </c>
      <c r="Y954" s="11">
        <v>0</v>
      </c>
      <c r="Z954" s="11">
        <f ca="1"/>
        <v>36.57122895622895</v>
      </c>
      <c r="AA954" s="11">
        <f ca="1"/>
        <v>36.57122895622895</v>
      </c>
      <c r="AB954" s="4">
        <f ca="1"/>
        <v>45734</v>
      </c>
      <c r="AC954" s="4">
        <v>45734</v>
      </c>
      <c r="AD954" s="9">
        <v>45747</v>
      </c>
      <c r="AE954" s="9">
        <v>45749</v>
      </c>
      <c r="AF954" s="4" t="str">
        <f t="shared" ca="1" si="48"/>
        <v>2025 03</v>
      </c>
      <c r="AG954" s="8" t="str" cm="1">
        <f t="array" ref="AG954">IFERROR(_xlfn.IFS('Banco de Dados'!#REF!="AG. COMPRA","Em processamento",'Banco de Dados'!#REF!="AG. RASTREIO","Em processamento",'Banco de Dados'!$AE954&lt;&gt;"-","Faturado",'Banco de Dados'!$AD954&lt;&gt;"-","Aguardando Pix",'Banco de Dados'!$AC954&lt;&gt;"-","Pendente"),"Aguardando Liberação")</f>
        <v>Aguardando Liberação</v>
      </c>
      <c r="AH954" s="5" t="str">
        <f>IF('Banco de Dados'!$F954="-",_xlfn.CONCAT(PROPER(TEXT(AK954,"aaaa"))," ",PROPER(TEXT(AK954,"mm"))),_xlfn.CONCAT(PROPER(TEXT(E954,"aaaa"))," ",PROPER(TEXT(E954,"mm"))))</f>
        <v>2025 02</v>
      </c>
      <c r="AI954" s="9" t="str">
        <f ca="1">IF('Banco de Dados'!$AK954&lt;&gt;"-","REEMBOLSO",IFERROR(_xlfn.XLOOKUP(G954,Follow[CODRASTREIO],Follow[STATUS]),"-"))</f>
        <v>ENTREGUE</v>
      </c>
      <c r="AJ954" s="9">
        <f ca="1">IF('Banco de Dados'!$AI954="ENTREGUE",_xlfn.XLOOKUP('Banco de Dados'!$G954,Follow[CODRASTREIO],Follow[DATAATUALIZAÇÃO]),"-")</f>
        <v>45708</v>
      </c>
      <c r="AK954" s="132" t="str">
        <f ca="1"/>
        <v>-</v>
      </c>
      <c r="AL954" s="35"/>
      <c r="AM954" s="109" cm="1">
        <f t="array" aca="1" ref="AM954" ca="1">IF('Banco de Dados'!$AK954&lt;&gt;"-",_xlfn.IFS('Banco de Dados'!$A954="bv",IF('Banco de Dados'!$E954&lt;45641,ROUND(SUM('Banco de Dados'!$R954*_xlfn.XLOOKUP('Banco de Dados'!$P954,Sku!B:B,Sku!#REF!)*20%),2),ROUND(SUM('Banco de Dados'!$R954*_xlfn.XLOOKUP('Banco de Dados'!$P954,Sku!B:B,Sku!H:H)*20%),2)),'Banco de Dados'!$A954="GO",ROUND(SUM('Banco de Dados'!$R954*_xlfn.XLOOKUP('Banco de Dados'!$P954,Sku!C:C,Sku!H:H)*20%),2),'Banco de Dados'!$A954="MEI",ROUND(SUM('Banco de Dados'!$R954*_xlfn.XLOOKUP('Banco de Dados'!$P954,Sku!D:D,Sku!H:H)*20%),2)),0)</f>
        <v>0</v>
      </c>
      <c r="AN954" s="109">
        <f ca="1">IF('Banco de Dados'!$AK954&lt;&gt;"-",IF('Banco de Dados'!$F954&lt;&gt;"-",_xlfn.XLOOKUP(IFERROR(IFERROR(IFERROR(VALUE(SUBSTITUTE(MID(_xlfn.TEXTAFTER('Banco de Dados'!$F954,"Data do Pedido:
",1),1,10),"-","/")),VALUE(SUBSTITUTE(MID(_xlfn.TEXTAFTER('Banco de Dados'!$F954,"Order date:
",1),1,10),"-","/"))),VALUE(SUBSTITUTE(MID(_xlfn.TEXTAFTER('Banco de Dados'!$F954,"Fecha de pedido:
",1),1,10),"-","/"))),"-"),SMS!A:A,SMS!K:K),0),0)</f>
        <v>0</v>
      </c>
      <c r="AO954" s="109">
        <f ca="1">IF('Banco de Dados'!$AK954&lt;&gt;"-",IF('Banco de Dados'!$F954&lt;&gt;"-",IFERROR(_xlfn.XLOOKUP(_xlfn.CONCAT('Banco de Dados'!$A954,IFERROR(IFERROR(VALUE(SUBSTITUTE(MID(_xlfn.TEXTAFTER('Banco de Dados'!$F954,"Data do Pedido:
",1),1,10),"-","/")),VALUE(SUBSTITUTE(MID(_xlfn.TEXTAFTER('Banco de Dados'!$F954,"Order date:
",1),1,10),"-","/"))),0)),ProxyDD[Chave],ProxyDD[Valor por pedido]),PROXY!$P$2),0),0)</f>
        <v>0</v>
      </c>
      <c r="AP954" s="28">
        <f ca="1">IF('Banco de Dados'!$AK954&lt;&gt;"-",IF('Banco de Dados'!$AL954="NÃO",IFERROR(VALUE(SUBSTITUTE(_xlfn.TEXTAFTER('Banco de Dados'!$F954,"BRL ",1),".",",")),0),0),0)</f>
        <v>0</v>
      </c>
      <c r="AQ954" s="28">
        <f ca="1">SUM('Banco de Dados'!$AM954:$AP954)</f>
        <v>0</v>
      </c>
      <c r="AR954" s="8"/>
      <c r="AY954" s="8"/>
    </row>
    <row r="955" spans="1:51">
      <c r="A955" s="5" t="str">
        <v>GO</v>
      </c>
      <c r="B955" s="5" t="str">
        <f ca="1"/>
        <v>GO45697</v>
      </c>
      <c r="C955" s="8" t="str">
        <v>Pedido 942</v>
      </c>
      <c r="D955" s="187">
        <v>45697</v>
      </c>
      <c r="E955" s="9">
        <v>45697</v>
      </c>
      <c r="F955" s="8" t="str">
        <v>PedidoF921</v>
      </c>
      <c r="G955" s="2" t="str">
        <v>CódRastreio919</v>
      </c>
      <c r="H955" s="5">
        <v>1</v>
      </c>
      <c r="I955" s="2" t="str">
        <v>CPF 916</v>
      </c>
      <c r="J955" s="2" t="str">
        <v>Nome 916</v>
      </c>
      <c r="K955" s="8" t="str">
        <v>Tel 916</v>
      </c>
      <c r="L955" s="8" t="str">
        <v>Cep 916</v>
      </c>
      <c r="M955" s="8" t="str">
        <v>Rua 916</v>
      </c>
      <c r="N955" s="8" t="str">
        <v>Comp 916</v>
      </c>
      <c r="O955" s="8" t="str">
        <v>Ventilador Preto</v>
      </c>
      <c r="P955" s="8" t="str">
        <v>EP-9PIR-BWXH</v>
      </c>
      <c r="Q955" s="4">
        <v>45727</v>
      </c>
      <c r="R955" s="109">
        <v>61.99</v>
      </c>
      <c r="S955" s="11">
        <f ca="1"/>
        <v>61.99</v>
      </c>
      <c r="T955" s="28">
        <f ca="1"/>
        <v>8.0587</v>
      </c>
      <c r="U955" s="11">
        <f ca="1"/>
        <v>53.93</v>
      </c>
      <c r="V955" s="11">
        <v>16.760000000000002</v>
      </c>
      <c r="W955" s="11">
        <f ca="1"/>
        <v>0.2</v>
      </c>
      <c r="X955" s="11">
        <f ca="1"/>
        <v>0.39877104377104378</v>
      </c>
      <c r="Y955" s="11">
        <v>0</v>
      </c>
      <c r="Z955" s="11">
        <f ca="1"/>
        <v>36.57122895622895</v>
      </c>
      <c r="AA955" s="11">
        <f ca="1"/>
        <v>36.57122895622895</v>
      </c>
      <c r="AB955" s="4">
        <f ca="1"/>
        <v>45734</v>
      </c>
      <c r="AC955" s="4">
        <v>45734</v>
      </c>
      <c r="AD955" s="9">
        <v>45747</v>
      </c>
      <c r="AE955" s="9">
        <v>45749</v>
      </c>
      <c r="AF955" s="4" t="str">
        <f t="shared" ca="1" si="48"/>
        <v>2025 03</v>
      </c>
      <c r="AG955" s="8" t="str" cm="1">
        <f t="array" ref="AG955">IFERROR(_xlfn.IFS('Banco de Dados'!#REF!="AG. COMPRA","Em processamento",'Banco de Dados'!#REF!="AG. RASTREIO","Em processamento",'Banco de Dados'!$AE955&lt;&gt;"-","Faturado",'Banco de Dados'!$AD955&lt;&gt;"-","Aguardando Pix",'Banco de Dados'!$AC955&lt;&gt;"-","Pendente"),"Aguardando Liberação")</f>
        <v>Aguardando Liberação</v>
      </c>
      <c r="AH955" s="5" t="str">
        <f>IF('Banco de Dados'!$F955="-",_xlfn.CONCAT(PROPER(TEXT(AK955,"aaaa"))," ",PROPER(TEXT(AK955,"mm"))),_xlfn.CONCAT(PROPER(TEXT(E955,"aaaa"))," ",PROPER(TEXT(E955,"mm"))))</f>
        <v>2025 02</v>
      </c>
      <c r="AI955" s="9" t="str">
        <f ca="1">IF('Banco de Dados'!$AK955&lt;&gt;"-","REEMBOLSO",IFERROR(_xlfn.XLOOKUP(G955,Follow[CODRASTREIO],Follow[STATUS]),"-"))</f>
        <v>ENTREGUE</v>
      </c>
      <c r="AJ955" s="9">
        <f ca="1">IF('Banco de Dados'!$AI955="ENTREGUE",_xlfn.XLOOKUP('Banco de Dados'!$G955,Follow[CODRASTREIO],Follow[DATAATUALIZAÇÃO]),"-")</f>
        <v>45712</v>
      </c>
      <c r="AK955" s="132" t="str">
        <f ca="1"/>
        <v>-</v>
      </c>
      <c r="AL955" s="35"/>
      <c r="AM955" s="109" cm="1">
        <f t="array" aca="1" ref="AM955" ca="1">IF('Banco de Dados'!$AK955&lt;&gt;"-",_xlfn.IFS('Banco de Dados'!$A955="bv",IF('Banco de Dados'!$E955&lt;45641,ROUND(SUM('Banco de Dados'!$R955*_xlfn.XLOOKUP('Banco de Dados'!$P955,Sku!B:B,Sku!#REF!)*20%),2),ROUND(SUM('Banco de Dados'!$R955*_xlfn.XLOOKUP('Banco de Dados'!$P955,Sku!B:B,Sku!H:H)*20%),2)),'Banco de Dados'!$A955="GO",ROUND(SUM('Banco de Dados'!$R955*_xlfn.XLOOKUP('Banco de Dados'!$P955,Sku!C:C,Sku!H:H)*20%),2),'Banco de Dados'!$A955="MEI",ROUND(SUM('Banco de Dados'!$R955*_xlfn.XLOOKUP('Banco de Dados'!$P955,Sku!D:D,Sku!H:H)*20%),2)),0)</f>
        <v>0</v>
      </c>
      <c r="AN955" s="109">
        <f ca="1">IF('Banco de Dados'!$AK955&lt;&gt;"-",IF('Banco de Dados'!$F955&lt;&gt;"-",_xlfn.XLOOKUP(IFERROR(IFERROR(IFERROR(VALUE(SUBSTITUTE(MID(_xlfn.TEXTAFTER('Banco de Dados'!$F955,"Data do Pedido:
",1),1,10),"-","/")),VALUE(SUBSTITUTE(MID(_xlfn.TEXTAFTER('Banco de Dados'!$F955,"Order date:
",1),1,10),"-","/"))),VALUE(SUBSTITUTE(MID(_xlfn.TEXTAFTER('Banco de Dados'!$F955,"Fecha de pedido:
",1),1,10),"-","/"))),"-"),SMS!A:A,SMS!K:K),0),0)</f>
        <v>0</v>
      </c>
      <c r="AO955" s="109">
        <f ca="1">IF('Banco de Dados'!$AK955&lt;&gt;"-",IF('Banco de Dados'!$F955&lt;&gt;"-",IFERROR(_xlfn.XLOOKUP(_xlfn.CONCAT('Banco de Dados'!$A955,IFERROR(IFERROR(VALUE(SUBSTITUTE(MID(_xlfn.TEXTAFTER('Banco de Dados'!$F955,"Data do Pedido:
",1),1,10),"-","/")),VALUE(SUBSTITUTE(MID(_xlfn.TEXTAFTER('Banco de Dados'!$F955,"Order date:
",1),1,10),"-","/"))),0)),ProxyDD[Chave],ProxyDD[Valor por pedido]),PROXY!$P$2),0),0)</f>
        <v>0</v>
      </c>
      <c r="AP955" s="28">
        <f ca="1">IF('Banco de Dados'!$AK955&lt;&gt;"-",IF('Banco de Dados'!$AL955="NÃO",IFERROR(VALUE(SUBSTITUTE(_xlfn.TEXTAFTER('Banco de Dados'!$F955,"BRL ",1),".",",")),0),0),0)</f>
        <v>0</v>
      </c>
      <c r="AQ955" s="28">
        <f ca="1">SUM('Banco de Dados'!$AM955:$AP955)</f>
        <v>0</v>
      </c>
      <c r="AR955" s="8"/>
      <c r="AY955" s="8"/>
    </row>
    <row r="956" spans="1:51">
      <c r="A956" s="5" t="str">
        <v>GO</v>
      </c>
      <c r="B956" s="5" t="str">
        <f ca="1"/>
        <v>GO45697</v>
      </c>
      <c r="C956" s="8" t="str">
        <v>Pedido 943</v>
      </c>
      <c r="D956" s="187">
        <v>45697</v>
      </c>
      <c r="E956" s="9">
        <v>45697</v>
      </c>
      <c r="F956" s="8" t="str">
        <v>PedidoF922</v>
      </c>
      <c r="G956" s="2" t="str">
        <v>CódRastreio920</v>
      </c>
      <c r="H956" s="5">
        <v>1</v>
      </c>
      <c r="I956" s="2" t="str">
        <v>CPF 917</v>
      </c>
      <c r="J956" s="2" t="str">
        <v>Nome 917</v>
      </c>
      <c r="K956" s="8" t="str">
        <v>Tel 917</v>
      </c>
      <c r="L956" s="8" t="str">
        <v>Cep 917</v>
      </c>
      <c r="M956" s="8" t="str">
        <v>Rua 917</v>
      </c>
      <c r="N956" s="8" t="str">
        <v>Comp 917</v>
      </c>
      <c r="O956" s="8" t="str">
        <v>Ventilador Preto</v>
      </c>
      <c r="P956" s="8" t="str">
        <v>EP-9PIR-BWXH</v>
      </c>
      <c r="Q956" s="4">
        <v>45716</v>
      </c>
      <c r="R956" s="109">
        <v>61.99</v>
      </c>
      <c r="S956" s="11">
        <f ca="1"/>
        <v>61.99</v>
      </c>
      <c r="T956" s="28">
        <f ca="1"/>
        <v>8.0587</v>
      </c>
      <c r="U956" s="11">
        <f ca="1"/>
        <v>53.93</v>
      </c>
      <c r="V956" s="11">
        <v>16.760000000000002</v>
      </c>
      <c r="W956" s="11">
        <f ca="1"/>
        <v>0.2</v>
      </c>
      <c r="X956" s="11">
        <f ca="1"/>
        <v>0.39877104377104378</v>
      </c>
      <c r="Y956" s="11">
        <v>0</v>
      </c>
      <c r="Z956" s="11">
        <f ca="1"/>
        <v>36.57122895622895</v>
      </c>
      <c r="AA956" s="11">
        <f ca="1"/>
        <v>36.57122895622895</v>
      </c>
      <c r="AB956" s="4">
        <f ca="1"/>
        <v>45723</v>
      </c>
      <c r="AC956" s="4">
        <v>45723</v>
      </c>
      <c r="AD956" s="9">
        <v>45730</v>
      </c>
      <c r="AE956" s="9">
        <v>45733</v>
      </c>
      <c r="AF956" s="4" t="str">
        <f t="shared" ca="1" si="48"/>
        <v>2025 03</v>
      </c>
      <c r="AG956" s="8" t="str" cm="1">
        <f t="array" ref="AG956">IFERROR(_xlfn.IFS('Banco de Dados'!#REF!="AG. COMPRA","Em processamento",'Banco de Dados'!#REF!="AG. RASTREIO","Em processamento",'Banco de Dados'!$AE956&lt;&gt;"-","Faturado",'Banco de Dados'!$AD956&lt;&gt;"-","Aguardando Pix",'Banco de Dados'!$AC956&lt;&gt;"-","Pendente"),"Aguardando Liberação")</f>
        <v>Aguardando Liberação</v>
      </c>
      <c r="AH956" s="5" t="str">
        <f>IF('Banco de Dados'!$F956="-",_xlfn.CONCAT(PROPER(TEXT(AK956,"aaaa"))," ",PROPER(TEXT(AK956,"mm"))),_xlfn.CONCAT(PROPER(TEXT(E956,"aaaa"))," ",PROPER(TEXT(E956,"mm"))))</f>
        <v>2025 02</v>
      </c>
      <c r="AI956" s="9" t="str">
        <f ca="1">IF('Banco de Dados'!$AK956&lt;&gt;"-","REEMBOLSO",IFERROR(_xlfn.XLOOKUP(G956,Follow[CODRASTREIO],Follow[STATUS]),"-"))</f>
        <v>ENTREGUE</v>
      </c>
      <c r="AJ956" s="9">
        <f ca="1">IF('Banco de Dados'!$AI956="ENTREGUE",_xlfn.XLOOKUP('Banco de Dados'!$G956,Follow[CODRASTREIO],Follow[DATAATUALIZAÇÃO]),"-")</f>
        <v>45706</v>
      </c>
      <c r="AK956" s="132" t="str">
        <f ca="1"/>
        <v>-</v>
      </c>
      <c r="AL956" s="35"/>
      <c r="AM956" s="109" cm="1">
        <f t="array" aca="1" ref="AM956" ca="1">IF('Banco de Dados'!$AK956&lt;&gt;"-",_xlfn.IFS('Banco de Dados'!$A956="bv",IF('Banco de Dados'!$E956&lt;45641,ROUND(SUM('Banco de Dados'!$R956*_xlfn.XLOOKUP('Banco de Dados'!$P956,Sku!B:B,Sku!#REF!)*20%),2),ROUND(SUM('Banco de Dados'!$R956*_xlfn.XLOOKUP('Banco de Dados'!$P956,Sku!B:B,Sku!H:H)*20%),2)),'Banco de Dados'!$A956="GO",ROUND(SUM('Banco de Dados'!$R956*_xlfn.XLOOKUP('Banco de Dados'!$P956,Sku!C:C,Sku!H:H)*20%),2),'Banco de Dados'!$A956="MEI",ROUND(SUM('Banco de Dados'!$R956*_xlfn.XLOOKUP('Banco de Dados'!$P956,Sku!D:D,Sku!H:H)*20%),2)),0)</f>
        <v>0</v>
      </c>
      <c r="AN956" s="109">
        <f ca="1">IF('Banco de Dados'!$AK956&lt;&gt;"-",IF('Banco de Dados'!$F956&lt;&gt;"-",_xlfn.XLOOKUP(IFERROR(IFERROR(IFERROR(VALUE(SUBSTITUTE(MID(_xlfn.TEXTAFTER('Banco de Dados'!$F956,"Data do Pedido:
",1),1,10),"-","/")),VALUE(SUBSTITUTE(MID(_xlfn.TEXTAFTER('Banco de Dados'!$F956,"Order date:
",1),1,10),"-","/"))),VALUE(SUBSTITUTE(MID(_xlfn.TEXTAFTER('Banco de Dados'!$F956,"Fecha de pedido:
",1),1,10),"-","/"))),"-"),SMS!A:A,SMS!K:K),0),0)</f>
        <v>0</v>
      </c>
      <c r="AO956" s="109">
        <f ca="1">IF('Banco de Dados'!$AK956&lt;&gt;"-",IF('Banco de Dados'!$F956&lt;&gt;"-",IFERROR(_xlfn.XLOOKUP(_xlfn.CONCAT('Banco de Dados'!$A956,IFERROR(IFERROR(VALUE(SUBSTITUTE(MID(_xlfn.TEXTAFTER('Banco de Dados'!$F956,"Data do Pedido:
",1),1,10),"-","/")),VALUE(SUBSTITUTE(MID(_xlfn.TEXTAFTER('Banco de Dados'!$F956,"Order date:
",1),1,10),"-","/"))),0)),ProxyDD[Chave],ProxyDD[Valor por pedido]),PROXY!$P$2),0),0)</f>
        <v>0</v>
      </c>
      <c r="AP956" s="28">
        <f ca="1">IF('Banco de Dados'!$AK956&lt;&gt;"-",IF('Banco de Dados'!$AL956="NÃO",IFERROR(VALUE(SUBSTITUTE(_xlfn.TEXTAFTER('Banco de Dados'!$F956,"BRL ",1),".",",")),0),0),0)</f>
        <v>0</v>
      </c>
      <c r="AQ956" s="28">
        <f ca="1">SUM('Banco de Dados'!$AM956:$AP956)</f>
        <v>0</v>
      </c>
      <c r="AR956" s="8"/>
      <c r="AY956" s="8"/>
    </row>
    <row r="957" spans="1:51">
      <c r="A957" s="5" t="str">
        <v>GO</v>
      </c>
      <c r="B957" s="5" t="str">
        <f ca="1"/>
        <v>GO45698</v>
      </c>
      <c r="C957" s="8" t="str">
        <v>Pedido 944</v>
      </c>
      <c r="D957" s="187">
        <v>45698</v>
      </c>
      <c r="E957" s="9">
        <v>45698</v>
      </c>
      <c r="F957" s="8" t="str">
        <v>PedidoF923</v>
      </c>
      <c r="G957" s="2" t="str">
        <v>CódRastreio921</v>
      </c>
      <c r="H957" s="5">
        <v>1</v>
      </c>
      <c r="I957" s="2" t="str">
        <v>CPF 918</v>
      </c>
      <c r="J957" s="2" t="str">
        <v>Nome 918</v>
      </c>
      <c r="K957" s="8" t="str">
        <v>Tel 918</v>
      </c>
      <c r="L957" s="8" t="str">
        <v>Cep 918</v>
      </c>
      <c r="M957" s="8" t="str">
        <v>Rua 918</v>
      </c>
      <c r="N957" s="8" t="str">
        <v>Comp 918</v>
      </c>
      <c r="O957" s="8" t="str">
        <v>Ventilador Preto</v>
      </c>
      <c r="P957" s="8" t="str">
        <v>EP-9PIR-BWXH</v>
      </c>
      <c r="Q957" s="4">
        <v>45727</v>
      </c>
      <c r="R957" s="109">
        <v>61.99</v>
      </c>
      <c r="S957" s="11">
        <f ca="1"/>
        <v>61.99</v>
      </c>
      <c r="T957" s="28">
        <f ca="1"/>
        <v>8.0587</v>
      </c>
      <c r="U957" s="11">
        <f ca="1"/>
        <v>53.93</v>
      </c>
      <c r="V957" s="11">
        <v>16.34</v>
      </c>
      <c r="W957" s="11">
        <f ca="1"/>
        <v>0.23</v>
      </c>
      <c r="X957" s="11">
        <f ca="1"/>
        <v>0.39877104377104378</v>
      </c>
      <c r="Y957" s="11">
        <v>0</v>
      </c>
      <c r="Z957" s="11">
        <f ca="1"/>
        <v>36.96122895622895</v>
      </c>
      <c r="AA957" s="11">
        <f ca="1"/>
        <v>36.96122895622895</v>
      </c>
      <c r="AB957" s="4">
        <f ca="1"/>
        <v>45734</v>
      </c>
      <c r="AC957" s="4">
        <v>45734</v>
      </c>
      <c r="AD957" s="9">
        <v>45747</v>
      </c>
      <c r="AE957" s="9">
        <v>45749</v>
      </c>
      <c r="AF957" s="4" t="str">
        <f t="shared" ca="1" si="48"/>
        <v>2025 03</v>
      </c>
      <c r="AG957" s="8" t="str" cm="1">
        <f t="array" ref="AG957">IFERROR(_xlfn.IFS('Banco de Dados'!#REF!="AG. COMPRA","Em processamento",'Banco de Dados'!#REF!="AG. RASTREIO","Em processamento",'Banco de Dados'!$AE957&lt;&gt;"-","Faturado",'Banco de Dados'!$AD957&lt;&gt;"-","Aguardando Pix",'Banco de Dados'!$AC957&lt;&gt;"-","Pendente"),"Aguardando Liberação")</f>
        <v>Aguardando Liberação</v>
      </c>
      <c r="AH957" s="5" t="str">
        <f>IF('Banco de Dados'!$F957="-",_xlfn.CONCAT(PROPER(TEXT(AK957,"aaaa"))," ",PROPER(TEXT(AK957,"mm"))),_xlfn.CONCAT(PROPER(TEXT(E957,"aaaa"))," ",PROPER(TEXT(E957,"mm"))))</f>
        <v>2025 02</v>
      </c>
      <c r="AI957" s="9" t="str">
        <f ca="1">IF('Banco de Dados'!$AK957&lt;&gt;"-","REEMBOLSO",IFERROR(_xlfn.XLOOKUP(G957,Follow[CODRASTREIO],Follow[STATUS]),"-"))</f>
        <v>ENTREGUE</v>
      </c>
      <c r="AJ957" s="9">
        <f ca="1">IF('Banco de Dados'!$AI957="ENTREGUE",_xlfn.XLOOKUP('Banco de Dados'!$G957,Follow[CODRASTREIO],Follow[DATAATUALIZAÇÃO]),"-")</f>
        <v>45724</v>
      </c>
      <c r="AK957" s="132" t="str">
        <f ca="1"/>
        <v>-</v>
      </c>
      <c r="AL957" s="35"/>
      <c r="AM957" s="109" cm="1">
        <f t="array" aca="1" ref="AM957" ca="1">IF('Banco de Dados'!$AK957&lt;&gt;"-",_xlfn.IFS('Banco de Dados'!$A957="bv",IF('Banco de Dados'!$E957&lt;45641,ROUND(SUM('Banco de Dados'!$R957*_xlfn.XLOOKUP('Banco de Dados'!$P957,Sku!B:B,Sku!#REF!)*20%),2),ROUND(SUM('Banco de Dados'!$R957*_xlfn.XLOOKUP('Banco de Dados'!$P957,Sku!B:B,Sku!H:H)*20%),2)),'Banco de Dados'!$A957="GO",ROUND(SUM('Banco de Dados'!$R957*_xlfn.XLOOKUP('Banco de Dados'!$P957,Sku!C:C,Sku!H:H)*20%),2),'Banco de Dados'!$A957="MEI",ROUND(SUM('Banco de Dados'!$R957*_xlfn.XLOOKUP('Banco de Dados'!$P957,Sku!D:D,Sku!H:H)*20%),2)),0)</f>
        <v>0</v>
      </c>
      <c r="AN957" s="109">
        <f ca="1">IF('Banco de Dados'!$AK957&lt;&gt;"-",IF('Banco de Dados'!$F957&lt;&gt;"-",_xlfn.XLOOKUP(IFERROR(IFERROR(IFERROR(VALUE(SUBSTITUTE(MID(_xlfn.TEXTAFTER('Banco de Dados'!$F957,"Data do Pedido:
",1),1,10),"-","/")),VALUE(SUBSTITUTE(MID(_xlfn.TEXTAFTER('Banco de Dados'!$F957,"Order date:
",1),1,10),"-","/"))),VALUE(SUBSTITUTE(MID(_xlfn.TEXTAFTER('Banco de Dados'!$F957,"Fecha de pedido:
",1),1,10),"-","/"))),"-"),SMS!A:A,SMS!K:K),0),0)</f>
        <v>0</v>
      </c>
      <c r="AO957" s="109">
        <f ca="1">IF('Banco de Dados'!$AK957&lt;&gt;"-",IF('Banco de Dados'!$F957&lt;&gt;"-",IFERROR(_xlfn.XLOOKUP(_xlfn.CONCAT('Banco de Dados'!$A957,IFERROR(IFERROR(VALUE(SUBSTITUTE(MID(_xlfn.TEXTAFTER('Banco de Dados'!$F957,"Data do Pedido:
",1),1,10),"-","/")),VALUE(SUBSTITUTE(MID(_xlfn.TEXTAFTER('Banco de Dados'!$F957,"Order date:
",1),1,10),"-","/"))),0)),ProxyDD[Chave],ProxyDD[Valor por pedido]),PROXY!$P$2),0),0)</f>
        <v>0</v>
      </c>
      <c r="AP957" s="28">
        <f ca="1">IF('Banco de Dados'!$AK957&lt;&gt;"-",IF('Banco de Dados'!$AL957="NÃO",IFERROR(VALUE(SUBSTITUTE(_xlfn.TEXTAFTER('Banco de Dados'!$F957,"BRL ",1),".",",")),0),0),0)</f>
        <v>0</v>
      </c>
      <c r="AQ957" s="28">
        <f ca="1">SUM('Banco de Dados'!$AM957:$AP957)</f>
        <v>0</v>
      </c>
      <c r="AR957" s="8"/>
      <c r="AY957" s="8"/>
    </row>
    <row r="958" spans="1:51">
      <c r="A958" s="5" t="str">
        <v>GO</v>
      </c>
      <c r="B958" s="5" t="str">
        <f ca="1"/>
        <v>GO45698</v>
      </c>
      <c r="C958" s="8" t="str">
        <v>Pedido 945</v>
      </c>
      <c r="D958" s="187">
        <v>45698</v>
      </c>
      <c r="E958" s="9">
        <v>45698</v>
      </c>
      <c r="F958" s="8" t="str">
        <v>PedidoF924</v>
      </c>
      <c r="G958" s="2" t="str">
        <v>CódRastreio922</v>
      </c>
      <c r="H958" s="5">
        <v>1</v>
      </c>
      <c r="I958" s="2" t="str">
        <v>CPF 683</v>
      </c>
      <c r="J958" s="2" t="str">
        <v>Nome 683</v>
      </c>
      <c r="K958" s="8" t="str">
        <v>Tel 683</v>
      </c>
      <c r="L958" s="8" t="str">
        <v>Cep 683</v>
      </c>
      <c r="M958" s="8" t="str">
        <v>Rua 683</v>
      </c>
      <c r="N958" s="8" t="str">
        <v>Comp 683</v>
      </c>
      <c r="O958" s="8" t="str">
        <v>Ventilador Preto</v>
      </c>
      <c r="P958" s="8" t="str">
        <v>EP-9PIR-BWXH</v>
      </c>
      <c r="Q958" s="4">
        <v>45716</v>
      </c>
      <c r="R958" s="109">
        <v>61.99</v>
      </c>
      <c r="S958" s="11">
        <f ca="1"/>
        <v>61.99</v>
      </c>
      <c r="T958" s="28">
        <f ca="1"/>
        <v>8.0587</v>
      </c>
      <c r="U958" s="11">
        <f ca="1"/>
        <v>53.93</v>
      </c>
      <c r="V958" s="11">
        <v>16.34</v>
      </c>
      <c r="W958" s="11">
        <f ca="1"/>
        <v>0.23</v>
      </c>
      <c r="X958" s="11">
        <f ca="1"/>
        <v>0.39877104377104378</v>
      </c>
      <c r="Y958" s="11">
        <v>0</v>
      </c>
      <c r="Z958" s="11">
        <f ca="1"/>
        <v>36.96122895622895</v>
      </c>
      <c r="AA958" s="11">
        <f ca="1"/>
        <v>36.96122895622895</v>
      </c>
      <c r="AB958" s="4">
        <f ca="1"/>
        <v>45723</v>
      </c>
      <c r="AC958" s="4">
        <v>45723</v>
      </c>
      <c r="AD958" s="9">
        <v>45730</v>
      </c>
      <c r="AE958" s="9">
        <v>45733</v>
      </c>
      <c r="AF958" s="4" t="str">
        <f t="shared" ca="1" si="48"/>
        <v>2025 03</v>
      </c>
      <c r="AG958" s="8" t="str" cm="1">
        <f t="array" ref="AG958">IFERROR(_xlfn.IFS('Banco de Dados'!#REF!="AG. COMPRA","Em processamento",'Banco de Dados'!#REF!="AG. RASTREIO","Em processamento",'Banco de Dados'!$AE958&lt;&gt;"-","Faturado",'Banco de Dados'!$AD958&lt;&gt;"-","Aguardando Pix",'Banco de Dados'!$AC958&lt;&gt;"-","Pendente"),"Aguardando Liberação")</f>
        <v>Aguardando Liberação</v>
      </c>
      <c r="AH958" s="5" t="str">
        <f>IF('Banco de Dados'!$F958="-",_xlfn.CONCAT(PROPER(TEXT(AK958,"aaaa"))," ",PROPER(TEXT(AK958,"mm"))),_xlfn.CONCAT(PROPER(TEXT(E958,"aaaa"))," ",PROPER(TEXT(E958,"mm"))))</f>
        <v>2025 02</v>
      </c>
      <c r="AI958" s="9" t="str">
        <f ca="1">IF('Banco de Dados'!$AK958&lt;&gt;"-","REEMBOLSO",IFERROR(_xlfn.XLOOKUP(G958,Follow[CODRASTREIO],Follow[STATUS]),"-"))</f>
        <v>ENTREGUE</v>
      </c>
      <c r="AJ958" s="9">
        <f ca="1">IF('Banco de Dados'!$AI958="ENTREGUE",_xlfn.XLOOKUP('Banco de Dados'!$G958,Follow[CODRASTREIO],Follow[DATAATUALIZAÇÃO]),"-")</f>
        <v>45712</v>
      </c>
      <c r="AK958" s="132" t="str">
        <f ca="1"/>
        <v>-</v>
      </c>
      <c r="AL958" s="35"/>
      <c r="AM958" s="109" cm="1">
        <f t="array" aca="1" ref="AM958" ca="1">IF('Banco de Dados'!$AK958&lt;&gt;"-",_xlfn.IFS('Banco de Dados'!$A958="bv",IF('Banco de Dados'!$E958&lt;45641,ROUND(SUM('Banco de Dados'!$R958*_xlfn.XLOOKUP('Banco de Dados'!$P958,Sku!B:B,Sku!#REF!)*20%),2),ROUND(SUM('Banco de Dados'!$R958*_xlfn.XLOOKUP('Banco de Dados'!$P958,Sku!B:B,Sku!H:H)*20%),2)),'Banco de Dados'!$A958="GO",ROUND(SUM('Banco de Dados'!$R958*_xlfn.XLOOKUP('Banco de Dados'!$P958,Sku!C:C,Sku!H:H)*20%),2),'Banco de Dados'!$A958="MEI",ROUND(SUM('Banco de Dados'!$R958*_xlfn.XLOOKUP('Banco de Dados'!$P958,Sku!D:D,Sku!H:H)*20%),2)),0)</f>
        <v>0</v>
      </c>
      <c r="AN958" s="109">
        <f ca="1">IF('Banco de Dados'!$AK958&lt;&gt;"-",IF('Banco de Dados'!$F958&lt;&gt;"-",_xlfn.XLOOKUP(IFERROR(IFERROR(IFERROR(VALUE(SUBSTITUTE(MID(_xlfn.TEXTAFTER('Banco de Dados'!$F958,"Data do Pedido:
",1),1,10),"-","/")),VALUE(SUBSTITUTE(MID(_xlfn.TEXTAFTER('Banco de Dados'!$F958,"Order date:
",1),1,10),"-","/"))),VALUE(SUBSTITUTE(MID(_xlfn.TEXTAFTER('Banco de Dados'!$F958,"Fecha de pedido:
",1),1,10),"-","/"))),"-"),SMS!A:A,SMS!K:K),0),0)</f>
        <v>0</v>
      </c>
      <c r="AO958" s="109">
        <f ca="1">IF('Banco de Dados'!$AK958&lt;&gt;"-",IF('Banco de Dados'!$F958&lt;&gt;"-",IFERROR(_xlfn.XLOOKUP(_xlfn.CONCAT('Banco de Dados'!$A958,IFERROR(IFERROR(VALUE(SUBSTITUTE(MID(_xlfn.TEXTAFTER('Banco de Dados'!$F958,"Data do Pedido:
",1),1,10),"-","/")),VALUE(SUBSTITUTE(MID(_xlfn.TEXTAFTER('Banco de Dados'!$F958,"Order date:
",1),1,10),"-","/"))),0)),ProxyDD[Chave],ProxyDD[Valor por pedido]),PROXY!$P$2),0),0)</f>
        <v>0</v>
      </c>
      <c r="AP958" s="28">
        <f ca="1">IF('Banco de Dados'!$AK958&lt;&gt;"-",IF('Banco de Dados'!$AL958="NÃO",IFERROR(VALUE(SUBSTITUTE(_xlfn.TEXTAFTER('Banco de Dados'!$F958,"BRL ",1),".",",")),0),0),0)</f>
        <v>0</v>
      </c>
      <c r="AQ958" s="28">
        <f ca="1">SUM('Banco de Dados'!$AM958:$AP958)</f>
        <v>0</v>
      </c>
      <c r="AR958" s="8"/>
      <c r="AY958" s="8"/>
    </row>
    <row r="959" spans="1:51">
      <c r="A959" s="5" t="str">
        <v>GO</v>
      </c>
      <c r="B959" s="5" t="str">
        <f ca="1"/>
        <v>GO45698</v>
      </c>
      <c r="C959" s="8" t="str">
        <v>Pedido 946</v>
      </c>
      <c r="D959" s="187">
        <v>45698</v>
      </c>
      <c r="E959" s="9">
        <v>45698</v>
      </c>
      <c r="F959" s="8" t="str">
        <v>PedidoF925</v>
      </c>
      <c r="G959" s="2" t="str">
        <v>CódRastreio923</v>
      </c>
      <c r="H959" s="5">
        <v>1</v>
      </c>
      <c r="I959" s="2" t="str">
        <v>CPF 920</v>
      </c>
      <c r="J959" s="2" t="str">
        <v>Nome 920</v>
      </c>
      <c r="K959" s="8" t="str">
        <v>Tel 920</v>
      </c>
      <c r="L959" s="8" t="str">
        <v>Cep 920</v>
      </c>
      <c r="M959" s="8" t="str">
        <v>Rua 920</v>
      </c>
      <c r="N959" s="8" t="str">
        <v>Comp 920</v>
      </c>
      <c r="O959" s="8" t="str">
        <v>Ventilador Preto</v>
      </c>
      <c r="P959" s="8" t="str">
        <v>EP-9PIR-BWXH</v>
      </c>
      <c r="Q959" s="4">
        <v>45716</v>
      </c>
      <c r="R959" s="109">
        <v>61.99</v>
      </c>
      <c r="S959" s="11">
        <f ca="1"/>
        <v>61.99</v>
      </c>
      <c r="T959" s="28">
        <f ca="1"/>
        <v>8.0587</v>
      </c>
      <c r="U959" s="11">
        <f ca="1"/>
        <v>53.93</v>
      </c>
      <c r="V959" s="11">
        <v>16.34</v>
      </c>
      <c r="W959" s="11">
        <f ca="1"/>
        <v>0.23</v>
      </c>
      <c r="X959" s="11">
        <f ca="1"/>
        <v>0.39877104377104378</v>
      </c>
      <c r="Y959" s="11">
        <v>0</v>
      </c>
      <c r="Z959" s="11">
        <f ca="1"/>
        <v>36.96122895622895</v>
      </c>
      <c r="AA959" s="11">
        <f ca="1"/>
        <v>36.96122895622895</v>
      </c>
      <c r="AB959" s="4">
        <f ca="1"/>
        <v>45723</v>
      </c>
      <c r="AC959" s="4">
        <v>45723</v>
      </c>
      <c r="AD959" s="9">
        <v>45730</v>
      </c>
      <c r="AE959" s="9">
        <v>45733</v>
      </c>
      <c r="AF959" s="4" t="str">
        <f t="shared" ca="1" si="48"/>
        <v>2025 03</v>
      </c>
      <c r="AG959" s="8" t="str" cm="1">
        <f t="array" ref="AG959">IFERROR(_xlfn.IFS('Banco de Dados'!#REF!="AG. COMPRA","Em processamento",'Banco de Dados'!#REF!="AG. RASTREIO","Em processamento",'Banco de Dados'!$AE959&lt;&gt;"-","Faturado",'Banco de Dados'!$AD959&lt;&gt;"-","Aguardando Pix",'Banco de Dados'!$AC959&lt;&gt;"-","Pendente"),"Aguardando Liberação")</f>
        <v>Aguardando Liberação</v>
      </c>
      <c r="AH959" s="5" t="str">
        <f>IF('Banco de Dados'!$F959="-",_xlfn.CONCAT(PROPER(TEXT(AK959,"aaaa"))," ",PROPER(TEXT(AK959,"mm"))),_xlfn.CONCAT(PROPER(TEXT(E959,"aaaa"))," ",PROPER(TEXT(E959,"mm"))))</f>
        <v>2025 02</v>
      </c>
      <c r="AI959" s="9" t="str">
        <f ca="1">IF('Banco de Dados'!$AK959&lt;&gt;"-","REEMBOLSO",IFERROR(_xlfn.XLOOKUP(G959,Follow[CODRASTREIO],Follow[STATUS]),"-"))</f>
        <v>ENTREGUE</v>
      </c>
      <c r="AJ959" s="9">
        <f ca="1">IF('Banco de Dados'!$AI959="ENTREGUE",_xlfn.XLOOKUP('Banco de Dados'!$G959,Follow[CODRASTREIO],Follow[DATAATUALIZAÇÃO]),"-")</f>
        <v>45712</v>
      </c>
      <c r="AK959" s="132" t="str">
        <f ca="1"/>
        <v>-</v>
      </c>
      <c r="AL959" s="35"/>
      <c r="AM959" s="109" cm="1">
        <f t="array" aca="1" ref="AM959" ca="1">IF('Banco de Dados'!$AK959&lt;&gt;"-",_xlfn.IFS('Banco de Dados'!$A959="bv",IF('Banco de Dados'!$E959&lt;45641,ROUND(SUM('Banco de Dados'!$R959*_xlfn.XLOOKUP('Banco de Dados'!$P959,Sku!B:B,Sku!#REF!)*20%),2),ROUND(SUM('Banco de Dados'!$R959*_xlfn.XLOOKUP('Banco de Dados'!$P959,Sku!B:B,Sku!H:H)*20%),2)),'Banco de Dados'!$A959="GO",ROUND(SUM('Banco de Dados'!$R959*_xlfn.XLOOKUP('Banco de Dados'!$P959,Sku!C:C,Sku!H:H)*20%),2),'Banco de Dados'!$A959="MEI",ROUND(SUM('Banco de Dados'!$R959*_xlfn.XLOOKUP('Banco de Dados'!$P959,Sku!D:D,Sku!H:H)*20%),2)),0)</f>
        <v>0</v>
      </c>
      <c r="AN959" s="109">
        <f ca="1">IF('Banco de Dados'!$AK959&lt;&gt;"-",IF('Banco de Dados'!$F959&lt;&gt;"-",_xlfn.XLOOKUP(IFERROR(IFERROR(IFERROR(VALUE(SUBSTITUTE(MID(_xlfn.TEXTAFTER('Banco de Dados'!$F959,"Data do Pedido:
",1),1,10),"-","/")),VALUE(SUBSTITUTE(MID(_xlfn.TEXTAFTER('Banco de Dados'!$F959,"Order date:
",1),1,10),"-","/"))),VALUE(SUBSTITUTE(MID(_xlfn.TEXTAFTER('Banco de Dados'!$F959,"Fecha de pedido:
",1),1,10),"-","/"))),"-"),SMS!A:A,SMS!K:K),0),0)</f>
        <v>0</v>
      </c>
      <c r="AO959" s="109">
        <f ca="1">IF('Banco de Dados'!$AK959&lt;&gt;"-",IF('Banco de Dados'!$F959&lt;&gt;"-",IFERROR(_xlfn.XLOOKUP(_xlfn.CONCAT('Banco de Dados'!$A959,IFERROR(IFERROR(VALUE(SUBSTITUTE(MID(_xlfn.TEXTAFTER('Banco de Dados'!$F959,"Data do Pedido:
",1),1,10),"-","/")),VALUE(SUBSTITUTE(MID(_xlfn.TEXTAFTER('Banco de Dados'!$F959,"Order date:
",1),1,10),"-","/"))),0)),ProxyDD[Chave],ProxyDD[Valor por pedido]),PROXY!$P$2),0),0)</f>
        <v>0</v>
      </c>
      <c r="AP959" s="28">
        <f ca="1">IF('Banco de Dados'!$AK959&lt;&gt;"-",IF('Banco de Dados'!$AL959="NÃO",IFERROR(VALUE(SUBSTITUTE(_xlfn.TEXTAFTER('Banco de Dados'!$F959,"BRL ",1),".",",")),0),0),0)</f>
        <v>0</v>
      </c>
      <c r="AQ959" s="28">
        <f ca="1">SUM('Banco de Dados'!$AM959:$AP959)</f>
        <v>0</v>
      </c>
      <c r="AR959" s="8"/>
      <c r="AY959" s="8"/>
    </row>
    <row r="960" spans="1:51">
      <c r="A960" s="5" t="str">
        <v>BV</v>
      </c>
      <c r="B960" s="5" t="str">
        <f ca="1"/>
        <v>BV45698</v>
      </c>
      <c r="C960" s="8" t="str">
        <v>Pedido 947</v>
      </c>
      <c r="D960" s="9">
        <v>45698</v>
      </c>
      <c r="E960" s="9">
        <v>45698</v>
      </c>
      <c r="F960" s="8" t="str">
        <v>PedidoF926</v>
      </c>
      <c r="G960" s="2" t="str">
        <v>CódRastreio924</v>
      </c>
      <c r="H960" s="5">
        <v>1</v>
      </c>
      <c r="I960" s="2" t="str">
        <v>CPF 921</v>
      </c>
      <c r="J960" s="2" t="str">
        <v>Nome 921</v>
      </c>
      <c r="K960" s="8" t="str">
        <v>Tel 921</v>
      </c>
      <c r="L960" s="8" t="str">
        <v>Cep 921</v>
      </c>
      <c r="M960" s="8" t="str">
        <v>Rua 921</v>
      </c>
      <c r="N960" s="8" t="str">
        <v>Comp 921</v>
      </c>
      <c r="O960" s="8" t="str">
        <v>Ventilador Rosa</v>
      </c>
      <c r="P960" s="8" t="str">
        <v>IF-G2ZQ-79FO</v>
      </c>
      <c r="Q960" s="4">
        <v>45717</v>
      </c>
      <c r="R960" s="109">
        <v>55.99</v>
      </c>
      <c r="S960" s="11">
        <f ca="1"/>
        <v>55.99</v>
      </c>
      <c r="T960" s="28">
        <f ca="1"/>
        <v>7.2787000000000006</v>
      </c>
      <c r="U960" s="11">
        <f ca="1"/>
        <v>48.71</v>
      </c>
      <c r="V960" s="11">
        <v>16.989999999999998</v>
      </c>
      <c r="W960" s="11">
        <f ca="1"/>
        <v>0.18</v>
      </c>
      <c r="X960" s="11">
        <f ca="1"/>
        <v>0.39877104377104378</v>
      </c>
      <c r="Y960" s="11">
        <v>0</v>
      </c>
      <c r="Z960" s="11">
        <f ca="1"/>
        <v>31.141228956228957</v>
      </c>
      <c r="AA960" s="11">
        <f ca="1"/>
        <v>15.570614478114479</v>
      </c>
      <c r="AB960" s="4">
        <f ca="1"/>
        <v>45724</v>
      </c>
      <c r="AC960" s="4">
        <v>45724</v>
      </c>
      <c r="AD960" s="9">
        <v>45730</v>
      </c>
      <c r="AE960" s="9">
        <v>45733</v>
      </c>
      <c r="AF960" s="4" t="str">
        <f t="shared" ref="AF960:AF965" ca="1" si="49">_xlfn.CONCAT(PROPER(TEXT(AB960,"aaaa"))," ",PROPER(TEXT(AB960,"mm")))</f>
        <v>2025 03</v>
      </c>
      <c r="AG960" s="8" t="str" cm="1">
        <f t="array" ref="AG960">IFERROR(_xlfn.IFS('Banco de Dados'!#REF!="AG. COMPRA","Em processamento",'Banco de Dados'!#REF!="AG. RASTREIO","Em processamento",'Banco de Dados'!$AE960&lt;&gt;"-","Faturado",'Banco de Dados'!$AD960&lt;&gt;"-","Aguardando Pix",'Banco de Dados'!$AC960&lt;&gt;"-","Pendente"),"Aguardando Liberação")</f>
        <v>Aguardando Liberação</v>
      </c>
      <c r="AH960" s="5" t="str">
        <f>IF('Banco de Dados'!$F960="-",_xlfn.CONCAT(PROPER(TEXT(AK960,"aaaa"))," ",PROPER(TEXT(AK960,"mm"))),_xlfn.CONCAT(PROPER(TEXT(E960,"aaaa"))," ",PROPER(TEXT(E960,"mm"))))</f>
        <v>2025 02</v>
      </c>
      <c r="AI960" s="9" t="str">
        <f ca="1">IF('Banco de Dados'!$AK960&lt;&gt;"-","REEMBOLSO",IFERROR(_xlfn.XLOOKUP(G960,Follow[CODRASTREIO],Follow[STATUS]),"-"))</f>
        <v>ENTREGUE</v>
      </c>
      <c r="AJ960" s="9">
        <f ca="1">IF('Banco de Dados'!$AI960="ENTREGUE",_xlfn.XLOOKUP('Banco de Dados'!$G960,Follow[CODRASTREIO],Follow[DATAATUALIZAÇÃO]),"-")</f>
        <v>45710</v>
      </c>
      <c r="AK960" s="132" t="str">
        <f ca="1"/>
        <v>-</v>
      </c>
      <c r="AL960" s="35"/>
      <c r="AM960" s="109" cm="1">
        <f t="array" aca="1" ref="AM960" ca="1">IF('Banco de Dados'!$AK960&lt;&gt;"-",_xlfn.IFS('Banco de Dados'!$A960="bv",IF('Banco de Dados'!$E960&lt;45641,ROUND(SUM('Banco de Dados'!$R960*_xlfn.XLOOKUP('Banco de Dados'!$P960,Sku!B:B,Sku!#REF!)*20%),2),ROUND(SUM('Banco de Dados'!$R960*_xlfn.XLOOKUP('Banco de Dados'!$P960,Sku!B:B,Sku!H:H)*20%),2)),'Banco de Dados'!$A960="GO",ROUND(_xlfn.XLOOKUP('Banco de Dados'!$P960,Sku!C:C,Sku!H:H),2),'Banco de Dados'!$A960="MEI",ROUND(_xlfn.XLOOKUP('Banco de Dados'!$P960,Sku!D:D,Sku!H:H),2)),0)</f>
        <v>0</v>
      </c>
      <c r="AN960" s="109">
        <f ca="1">IF('Banco de Dados'!$AK960&lt;&gt;"-",IF('Banco de Dados'!$F960&lt;&gt;"-",_xlfn.XLOOKUP(IFERROR(IFERROR(IFERROR(VALUE(SUBSTITUTE(MID(_xlfn.TEXTAFTER('Banco de Dados'!$F960,"Data do Pedido:
",1),1,10),"-","/")),VALUE(SUBSTITUTE(MID(_xlfn.TEXTAFTER('Banco de Dados'!$F960,"Order date:
",1),1,10),"-","/"))),VALUE(SUBSTITUTE(MID(_xlfn.TEXTAFTER('Banco de Dados'!$F960,"Fecha de pedido:
",1),1,10),"-","/"))),"-"),SMS!A:A,SMS!K:K),0),0)</f>
        <v>0</v>
      </c>
      <c r="AO960" s="109">
        <f ca="1">IF('Banco de Dados'!$AK960&lt;&gt;"-",IF('Banco de Dados'!$F960&lt;&gt;"-",IFERROR(_xlfn.XLOOKUP(_xlfn.CONCAT('Banco de Dados'!$A960,IFERROR(IFERROR(VALUE(SUBSTITUTE(MID(_xlfn.TEXTAFTER('Banco de Dados'!$F960,"Data do Pedido:
",1),1,10),"-","/")),VALUE(SUBSTITUTE(MID(_xlfn.TEXTAFTER('Banco de Dados'!$F960,"Order date:
",1),1,10),"-","/"))),0)),ProxyDD[Chave],ProxyDD[Valor por pedido]),PROXY!$P$2),0),0)</f>
        <v>0</v>
      </c>
      <c r="AP960" s="28">
        <f ca="1">IF('Banco de Dados'!$AK960&lt;&gt;"-",IF('Banco de Dados'!$AL960="NÃO",IFERROR(VALUE(SUBSTITUTE(_xlfn.TEXTAFTER('Banco de Dados'!$F960,"BRL ",1),".",",")),0),0),0)</f>
        <v>0</v>
      </c>
      <c r="AQ960" s="28">
        <f ca="1">SUM('Banco de Dados'!$AM960:$AP960)</f>
        <v>0</v>
      </c>
      <c r="AR960" s="8"/>
      <c r="AY960" s="8"/>
    </row>
    <row r="961" spans="1:51">
      <c r="A961" s="5" t="str">
        <v>BV</v>
      </c>
      <c r="B961" s="5" t="str">
        <f ca="1"/>
        <v>BV45698</v>
      </c>
      <c r="C961" s="8" t="str">
        <v>Pedido 948</v>
      </c>
      <c r="D961" s="9">
        <v>45698</v>
      </c>
      <c r="E961" s="9">
        <v>45698</v>
      </c>
      <c r="F961" s="8" t="str">
        <v>PedidoF927</v>
      </c>
      <c r="G961" s="2" t="str">
        <v>CódRastreio925</v>
      </c>
      <c r="H961" s="5">
        <v>1</v>
      </c>
      <c r="I961" s="2" t="str">
        <v>CPF 922</v>
      </c>
      <c r="J961" s="2" t="str">
        <v>Nome 922</v>
      </c>
      <c r="K961" s="8" t="str">
        <v>Tel 922</v>
      </c>
      <c r="L961" s="8" t="str">
        <v>Cep 922</v>
      </c>
      <c r="M961" s="8" t="str">
        <v>Rua 922</v>
      </c>
      <c r="N961" s="8" t="str">
        <v>Comp 922</v>
      </c>
      <c r="O961" s="8" t="str">
        <v>Ventilador Rosa</v>
      </c>
      <c r="P961" s="8" t="str">
        <v>IF-G2ZQ-79FO</v>
      </c>
      <c r="Q961" s="4">
        <v>45728</v>
      </c>
      <c r="R961" s="109">
        <v>55.99</v>
      </c>
      <c r="S961" s="11">
        <f ca="1"/>
        <v>55.99</v>
      </c>
      <c r="T961" s="28">
        <f ca="1"/>
        <v>7.2787000000000006</v>
      </c>
      <c r="U961" s="11">
        <f ca="1"/>
        <v>48.71</v>
      </c>
      <c r="V961" s="11">
        <v>16.989999999999998</v>
      </c>
      <c r="W961" s="11">
        <f ca="1"/>
        <v>0.18</v>
      </c>
      <c r="X961" s="11">
        <f ca="1"/>
        <v>0.39877104377104378</v>
      </c>
      <c r="Y961" s="11">
        <v>0</v>
      </c>
      <c r="Z961" s="11">
        <f ca="1"/>
        <v>31.141228956228957</v>
      </c>
      <c r="AA961" s="11">
        <f ca="1"/>
        <v>15.570614478114479</v>
      </c>
      <c r="AB961" s="4">
        <f ca="1"/>
        <v>45735</v>
      </c>
      <c r="AC961" s="4">
        <v>45735</v>
      </c>
      <c r="AD961" s="9">
        <v>45747</v>
      </c>
      <c r="AE961" s="9">
        <v>45749</v>
      </c>
      <c r="AF961" s="4" t="str">
        <f t="shared" ca="1" si="49"/>
        <v>2025 03</v>
      </c>
      <c r="AG961" s="8" t="str" cm="1">
        <f t="array" ref="AG961">IFERROR(_xlfn.IFS('Banco de Dados'!#REF!="AG. COMPRA","Em processamento",'Banco de Dados'!#REF!="AG. RASTREIO","Em processamento",'Banco de Dados'!$AE961&lt;&gt;"-","Faturado",'Banco de Dados'!$AD961&lt;&gt;"-","Aguardando Pix",'Banco de Dados'!$AC961&lt;&gt;"-","Pendente"),"Aguardando Liberação")</f>
        <v>Aguardando Liberação</v>
      </c>
      <c r="AH961" s="5" t="str">
        <f>IF('Banco de Dados'!$F961="-",_xlfn.CONCAT(PROPER(TEXT(AK961,"aaaa"))," ",PROPER(TEXT(AK961,"mm"))),_xlfn.CONCAT(PROPER(TEXT(E961,"aaaa"))," ",PROPER(TEXT(E961,"mm"))))</f>
        <v>2025 02</v>
      </c>
      <c r="AI961" s="9" t="str">
        <f ca="1">IF('Banco de Dados'!$AK961&lt;&gt;"-","REEMBOLSO",IFERROR(_xlfn.XLOOKUP(G961,Follow[CODRASTREIO],Follow[STATUS]),"-"))</f>
        <v>ENTREGUE</v>
      </c>
      <c r="AJ961" s="9">
        <f ca="1">IF('Banco de Dados'!$AI961="ENTREGUE",_xlfn.XLOOKUP('Banco de Dados'!$G961,Follow[CODRASTREIO],Follow[DATAATUALIZAÇÃO]),"-")</f>
        <v>45714</v>
      </c>
      <c r="AK961" s="132" t="str">
        <f ca="1"/>
        <v>-</v>
      </c>
      <c r="AL961" s="35"/>
      <c r="AM961" s="109" cm="1">
        <f t="array" aca="1" ref="AM961" ca="1">IF('Banco de Dados'!$AK961&lt;&gt;"-",_xlfn.IFS('Banco de Dados'!$A961="bv",IF('Banco de Dados'!$E961&lt;45641,ROUND(SUM('Banco de Dados'!$R961*_xlfn.XLOOKUP('Banco de Dados'!$P961,Sku!B:B,Sku!#REF!)*20%),2),ROUND(SUM('Banco de Dados'!$R961*_xlfn.XLOOKUP('Banco de Dados'!$P961,Sku!B:B,Sku!H:H)*20%),2)),'Banco de Dados'!$A961="GO",ROUND(_xlfn.XLOOKUP('Banco de Dados'!$P961,Sku!C:C,Sku!H:H),2),'Banco de Dados'!$A961="MEI",ROUND(_xlfn.XLOOKUP('Banco de Dados'!$P961,Sku!D:D,Sku!H:H),2)),0)</f>
        <v>0</v>
      </c>
      <c r="AN961" s="109">
        <f ca="1">IF('Banco de Dados'!$AK961&lt;&gt;"-",IF('Banco de Dados'!$F961&lt;&gt;"-",_xlfn.XLOOKUP(IFERROR(IFERROR(IFERROR(VALUE(SUBSTITUTE(MID(_xlfn.TEXTAFTER('Banco de Dados'!$F961,"Data do Pedido:
",1),1,10),"-","/")),VALUE(SUBSTITUTE(MID(_xlfn.TEXTAFTER('Banco de Dados'!$F961,"Order date:
",1),1,10),"-","/"))),VALUE(SUBSTITUTE(MID(_xlfn.TEXTAFTER('Banco de Dados'!$F961,"Fecha de pedido:
",1),1,10),"-","/"))),"-"),SMS!A:A,SMS!K:K),0),0)</f>
        <v>0</v>
      </c>
      <c r="AO961" s="109">
        <f ca="1">IF('Banco de Dados'!$AK961&lt;&gt;"-",IF('Banco de Dados'!$F961&lt;&gt;"-",IFERROR(_xlfn.XLOOKUP(_xlfn.CONCAT('Banco de Dados'!$A961,IFERROR(IFERROR(VALUE(SUBSTITUTE(MID(_xlfn.TEXTAFTER('Banco de Dados'!$F961,"Data do Pedido:
",1),1,10),"-","/")),VALUE(SUBSTITUTE(MID(_xlfn.TEXTAFTER('Banco de Dados'!$F961,"Order date:
",1),1,10),"-","/"))),0)),ProxyDD[Chave],ProxyDD[Valor por pedido]),PROXY!$P$2),0),0)</f>
        <v>0</v>
      </c>
      <c r="AP961" s="28">
        <f ca="1">IF('Banco de Dados'!$AK961&lt;&gt;"-",IF('Banco de Dados'!$AL961="NÃO",IFERROR(VALUE(SUBSTITUTE(_xlfn.TEXTAFTER('Banco de Dados'!$F961,"BRL ",1),".",",")),0),0),0)</f>
        <v>0</v>
      </c>
      <c r="AQ961" s="28">
        <f ca="1">SUM('Banco de Dados'!$AM961:$AP961)</f>
        <v>0</v>
      </c>
      <c r="AR961" s="8"/>
      <c r="AY961" s="8"/>
    </row>
    <row r="962" spans="1:51">
      <c r="A962" s="5" t="str">
        <v>BV</v>
      </c>
      <c r="B962" s="5" t="str">
        <f ca="1"/>
        <v>BV45698</v>
      </c>
      <c r="C962" s="8" t="str">
        <v>Pedido 949</v>
      </c>
      <c r="D962" s="9">
        <v>45698</v>
      </c>
      <c r="E962" s="9">
        <v>45698</v>
      </c>
      <c r="F962" s="8" t="str">
        <v>PedidoF928</v>
      </c>
      <c r="G962" s="2" t="str">
        <v>CódRastreio926</v>
      </c>
      <c r="H962" s="5">
        <v>1</v>
      </c>
      <c r="I962" s="2" t="str">
        <v>CPF 923</v>
      </c>
      <c r="J962" s="2" t="str">
        <v>Nome 923</v>
      </c>
      <c r="K962" s="8" t="str">
        <v>Tel 923</v>
      </c>
      <c r="L962" s="8" t="str">
        <v>Cep 923</v>
      </c>
      <c r="M962" s="8" t="str">
        <v>Rua 923</v>
      </c>
      <c r="N962" s="8" t="str">
        <v>Comp 923</v>
      </c>
      <c r="O962" s="8" t="str">
        <v>Ventilador Rosa</v>
      </c>
      <c r="P962" s="8" t="str">
        <v>IF-G2ZQ-79FO</v>
      </c>
      <c r="Q962" s="4">
        <v>45717</v>
      </c>
      <c r="R962" s="109">
        <v>55.99</v>
      </c>
      <c r="S962" s="11">
        <f ca="1"/>
        <v>55.99</v>
      </c>
      <c r="T962" s="28">
        <f ca="1"/>
        <v>7.2787000000000006</v>
      </c>
      <c r="U962" s="11">
        <f ca="1"/>
        <v>48.71</v>
      </c>
      <c r="V962" s="11">
        <v>16.989999999999998</v>
      </c>
      <c r="W962" s="11">
        <f ca="1"/>
        <v>0.18</v>
      </c>
      <c r="X962" s="11">
        <f ca="1"/>
        <v>0.39877104377104378</v>
      </c>
      <c r="Y962" s="11">
        <v>0</v>
      </c>
      <c r="Z962" s="11">
        <f ca="1"/>
        <v>31.141228956228957</v>
      </c>
      <c r="AA962" s="11">
        <f ca="1"/>
        <v>15.570614478114479</v>
      </c>
      <c r="AB962" s="4">
        <f ca="1"/>
        <v>45724</v>
      </c>
      <c r="AC962" s="4">
        <v>45724</v>
      </c>
      <c r="AD962" s="9">
        <v>45730</v>
      </c>
      <c r="AE962" s="9">
        <v>45733</v>
      </c>
      <c r="AF962" s="4" t="str">
        <f t="shared" ca="1" si="49"/>
        <v>2025 03</v>
      </c>
      <c r="AG962" s="8" t="str" cm="1">
        <f t="array" ref="AG962">IFERROR(_xlfn.IFS('Banco de Dados'!#REF!="AG. COMPRA","Em processamento",'Banco de Dados'!#REF!="AG. RASTREIO","Em processamento",'Banco de Dados'!$AE962&lt;&gt;"-","Faturado",'Banco de Dados'!$AD962&lt;&gt;"-","Aguardando Pix",'Banco de Dados'!$AC962&lt;&gt;"-","Pendente"),"Aguardando Liberação")</f>
        <v>Aguardando Liberação</v>
      </c>
      <c r="AH962" s="5" t="str">
        <f>IF('Banco de Dados'!$F962="-",_xlfn.CONCAT(PROPER(TEXT(AK962,"aaaa"))," ",PROPER(TEXT(AK962,"mm"))),_xlfn.CONCAT(PROPER(TEXT(E962,"aaaa"))," ",PROPER(TEXT(E962,"mm"))))</f>
        <v>2025 02</v>
      </c>
      <c r="AI962" s="9" t="str">
        <f ca="1">IF('Banco de Dados'!$AK962&lt;&gt;"-","REEMBOLSO",IFERROR(_xlfn.XLOOKUP(G962,Follow[CODRASTREIO],Follow[STATUS]),"-"))</f>
        <v>ENTREGUE</v>
      </c>
      <c r="AJ962" s="9">
        <f ca="1">IF('Banco de Dados'!$AI962="ENTREGUE",_xlfn.XLOOKUP('Banco de Dados'!$G962,Follow[CODRASTREIO],Follow[DATAATUALIZAÇÃO]),"-")</f>
        <v>45722</v>
      </c>
      <c r="AK962" s="132" t="str">
        <f ca="1"/>
        <v>-</v>
      </c>
      <c r="AL962" s="35"/>
      <c r="AM962" s="109" cm="1">
        <f t="array" aca="1" ref="AM962" ca="1">IF('Banco de Dados'!$AK962&lt;&gt;"-",_xlfn.IFS('Banco de Dados'!$A962="bv",IF('Banco de Dados'!$E962&lt;45641,ROUND(SUM('Banco de Dados'!$R962*_xlfn.XLOOKUP('Banco de Dados'!$P962,Sku!B:B,Sku!#REF!)*20%),2),ROUND(SUM('Banco de Dados'!$R962*_xlfn.XLOOKUP('Banco de Dados'!$P962,Sku!B:B,Sku!H:H)*20%),2)),'Banco de Dados'!$A962="GO",ROUND(_xlfn.XLOOKUP('Banco de Dados'!$P962,Sku!C:C,Sku!H:H),2),'Banco de Dados'!$A962="MEI",ROUND(_xlfn.XLOOKUP('Banco de Dados'!$P962,Sku!D:D,Sku!H:H),2)),0)</f>
        <v>0</v>
      </c>
      <c r="AN962" s="109">
        <f ca="1">IF('Banco de Dados'!$AK962&lt;&gt;"-",IF('Banco de Dados'!$F962&lt;&gt;"-",_xlfn.XLOOKUP(IFERROR(IFERROR(IFERROR(VALUE(SUBSTITUTE(MID(_xlfn.TEXTAFTER('Banco de Dados'!$F962,"Data do Pedido:
",1),1,10),"-","/")),VALUE(SUBSTITUTE(MID(_xlfn.TEXTAFTER('Banco de Dados'!$F962,"Order date:
",1),1,10),"-","/"))),VALUE(SUBSTITUTE(MID(_xlfn.TEXTAFTER('Banco de Dados'!$F962,"Fecha de pedido:
",1),1,10),"-","/"))),"-"),SMS!A:A,SMS!K:K),0),0)</f>
        <v>0</v>
      </c>
      <c r="AO962" s="109">
        <f ca="1">IF('Banco de Dados'!$AK962&lt;&gt;"-",IF('Banco de Dados'!$F962&lt;&gt;"-",IFERROR(_xlfn.XLOOKUP(_xlfn.CONCAT('Banco de Dados'!$A962,IFERROR(IFERROR(VALUE(SUBSTITUTE(MID(_xlfn.TEXTAFTER('Banco de Dados'!$F962,"Data do Pedido:
",1),1,10),"-","/")),VALUE(SUBSTITUTE(MID(_xlfn.TEXTAFTER('Banco de Dados'!$F962,"Order date:
",1),1,10),"-","/"))),0)),ProxyDD[Chave],ProxyDD[Valor por pedido]),PROXY!$P$2),0),0)</f>
        <v>0</v>
      </c>
      <c r="AP962" s="28">
        <f ca="1">IF('Banco de Dados'!$AK962&lt;&gt;"-",IF('Banco de Dados'!$AL962="NÃO",IFERROR(VALUE(SUBSTITUTE(_xlfn.TEXTAFTER('Banco de Dados'!$F962,"BRL ",1),".",",")),0),0),0)</f>
        <v>0</v>
      </c>
      <c r="AQ962" s="28">
        <f ca="1">SUM('Banco de Dados'!$AM962:$AP962)</f>
        <v>0</v>
      </c>
      <c r="AR962" s="8"/>
      <c r="AY962" s="8"/>
    </row>
    <row r="963" spans="1:51">
      <c r="A963" s="5" t="str">
        <v>BV</v>
      </c>
      <c r="B963" s="5" t="str">
        <f ca="1"/>
        <v>BV45698</v>
      </c>
      <c r="C963" s="8" t="str">
        <v>Pedido 950</v>
      </c>
      <c r="D963" s="9">
        <v>45698</v>
      </c>
      <c r="E963" s="9">
        <v>45698</v>
      </c>
      <c r="F963" s="8" t="str">
        <v>PedidoF929</v>
      </c>
      <c r="G963" s="2" t="str">
        <v>CódRastreio927</v>
      </c>
      <c r="H963" s="5">
        <v>1</v>
      </c>
      <c r="I963" s="2" t="str">
        <v>CPF 924</v>
      </c>
      <c r="J963" s="2" t="str">
        <v>Nome 924</v>
      </c>
      <c r="K963" s="8" t="str">
        <v>Tel 924</v>
      </c>
      <c r="L963" s="8" t="str">
        <v>Cep 924</v>
      </c>
      <c r="M963" s="8" t="str">
        <v>Rua 924</v>
      </c>
      <c r="N963" s="8" t="str">
        <v>Comp 924</v>
      </c>
      <c r="O963" s="8" t="str">
        <v>Ventilador Azul</v>
      </c>
      <c r="P963" s="8" t="str">
        <v>U8-2VWS-OB6M</v>
      </c>
      <c r="Q963" s="4">
        <v>45728</v>
      </c>
      <c r="R963" s="109">
        <v>61.99</v>
      </c>
      <c r="S963" s="11">
        <f ca="1"/>
        <v>61.99</v>
      </c>
      <c r="T963" s="28">
        <f ca="1"/>
        <v>8.0587</v>
      </c>
      <c r="U963" s="11">
        <f ca="1"/>
        <v>53.93</v>
      </c>
      <c r="V963" s="11">
        <v>16.64</v>
      </c>
      <c r="W963" s="11">
        <f ca="1"/>
        <v>0.18</v>
      </c>
      <c r="X963" s="11">
        <f ca="1"/>
        <v>0.39877104377104378</v>
      </c>
      <c r="Y963" s="11">
        <v>0</v>
      </c>
      <c r="Z963" s="11">
        <f ca="1"/>
        <v>36.71122895622895</v>
      </c>
      <c r="AA963" s="11">
        <f ca="1"/>
        <v>18.355614478114475</v>
      </c>
      <c r="AB963" s="4">
        <f ca="1"/>
        <v>45735</v>
      </c>
      <c r="AC963" s="4">
        <v>45735</v>
      </c>
      <c r="AD963" s="9">
        <v>45747</v>
      </c>
      <c r="AE963" s="9">
        <v>45749</v>
      </c>
      <c r="AF963" s="4" t="str">
        <f t="shared" ca="1" si="49"/>
        <v>2025 03</v>
      </c>
      <c r="AG963" s="8" t="str" cm="1">
        <f t="array" ref="AG963">IFERROR(_xlfn.IFS('Banco de Dados'!#REF!="AG. COMPRA","Em processamento",'Banco de Dados'!#REF!="AG. RASTREIO","Em processamento",'Banco de Dados'!$AE963&lt;&gt;"-","Faturado",'Banco de Dados'!$AD963&lt;&gt;"-","Aguardando Pix",'Banco de Dados'!$AC963&lt;&gt;"-","Pendente"),"Aguardando Liberação")</f>
        <v>Aguardando Liberação</v>
      </c>
      <c r="AH963" s="5" t="str">
        <f>IF('Banco de Dados'!$F963="-",_xlfn.CONCAT(PROPER(TEXT(AK963,"aaaa"))," ",PROPER(TEXT(AK963,"mm"))),_xlfn.CONCAT(PROPER(TEXT(E963,"aaaa"))," ",PROPER(TEXT(E963,"mm"))))</f>
        <v>2025 02</v>
      </c>
      <c r="AI963" s="9" t="str">
        <f ca="1">IF('Banco de Dados'!$AK963&lt;&gt;"-","REEMBOLSO",IFERROR(_xlfn.XLOOKUP(G963,Follow[CODRASTREIO],Follow[STATUS]),"-"))</f>
        <v>ENTREGUE</v>
      </c>
      <c r="AJ963" s="9">
        <f ca="1">IF('Banco de Dados'!$AI963="ENTREGUE",_xlfn.XLOOKUP('Banco de Dados'!$G963,Follow[CODRASTREIO],Follow[DATAATUALIZAÇÃO]),"-")</f>
        <v>45712</v>
      </c>
      <c r="AK963" s="132" t="str">
        <f ca="1"/>
        <v>-</v>
      </c>
      <c r="AL963" s="35"/>
      <c r="AM963" s="109" cm="1">
        <f t="array" aca="1" ref="AM963" ca="1">IF('Banco de Dados'!$AK963&lt;&gt;"-",_xlfn.IFS('Banco de Dados'!$A963="bv",IF('Banco de Dados'!$E963&lt;45641,ROUND(SUM('Banco de Dados'!$R963*_xlfn.XLOOKUP('Banco de Dados'!$P963,Sku!B:B,Sku!#REF!)*20%),2),ROUND(SUM('Banco de Dados'!$R963*_xlfn.XLOOKUP('Banco de Dados'!$P963,Sku!B:B,Sku!H:H)*20%),2)),'Banco de Dados'!$A963="GO",ROUND(_xlfn.XLOOKUP('Banco de Dados'!$P963,Sku!C:C,Sku!H:H),2),'Banco de Dados'!$A963="MEI",ROUND(_xlfn.XLOOKUP('Banco de Dados'!$P963,Sku!D:D,Sku!H:H),2)),0)</f>
        <v>0</v>
      </c>
      <c r="AN963" s="109">
        <f ca="1">IF('Banco de Dados'!$AK963&lt;&gt;"-",IF('Banco de Dados'!$F963&lt;&gt;"-",_xlfn.XLOOKUP(IFERROR(IFERROR(IFERROR(VALUE(SUBSTITUTE(MID(_xlfn.TEXTAFTER('Banco de Dados'!$F963,"Data do Pedido:
",1),1,10),"-","/")),VALUE(SUBSTITUTE(MID(_xlfn.TEXTAFTER('Banco de Dados'!$F963,"Order date:
",1),1,10),"-","/"))),VALUE(SUBSTITUTE(MID(_xlfn.TEXTAFTER('Banco de Dados'!$F963,"Fecha de pedido:
",1),1,10),"-","/"))),"-"),SMS!A:A,SMS!K:K),0),0)</f>
        <v>0</v>
      </c>
      <c r="AO963" s="109">
        <f ca="1">IF('Banco de Dados'!$AK963&lt;&gt;"-",IF('Banco de Dados'!$F963&lt;&gt;"-",IFERROR(_xlfn.XLOOKUP(_xlfn.CONCAT('Banco de Dados'!$A963,IFERROR(IFERROR(VALUE(SUBSTITUTE(MID(_xlfn.TEXTAFTER('Banco de Dados'!$F963,"Data do Pedido:
",1),1,10),"-","/")),VALUE(SUBSTITUTE(MID(_xlfn.TEXTAFTER('Banco de Dados'!$F963,"Order date:
",1),1,10),"-","/"))),0)),ProxyDD[Chave],ProxyDD[Valor por pedido]),PROXY!$P$2),0),0)</f>
        <v>0</v>
      </c>
      <c r="AP963" s="28">
        <f ca="1">IF('Banco de Dados'!$AK963&lt;&gt;"-",IF('Banco de Dados'!$AL963="NÃO",IFERROR(VALUE(SUBSTITUTE(_xlfn.TEXTAFTER('Banco de Dados'!$F963,"BRL ",1),".",",")),0),0),0)</f>
        <v>0</v>
      </c>
      <c r="AQ963" s="28">
        <f ca="1">SUM('Banco de Dados'!$AM963:$AP963)</f>
        <v>0</v>
      </c>
      <c r="AR963" s="8"/>
      <c r="AY963" s="8"/>
    </row>
    <row r="964" spans="1:51">
      <c r="A964" s="5" t="str">
        <v>BV</v>
      </c>
      <c r="B964" s="5" t="str">
        <f ca="1"/>
        <v>BV45698</v>
      </c>
      <c r="C964" s="8" t="str">
        <v>Pedido 951</v>
      </c>
      <c r="D964" s="9">
        <v>45698</v>
      </c>
      <c r="E964" s="9">
        <v>45698</v>
      </c>
      <c r="F964" s="8" t="str">
        <v>PedidoF930</v>
      </c>
      <c r="G964" s="2" t="str">
        <v>CódRastreio928</v>
      </c>
      <c r="H964" s="5">
        <v>1</v>
      </c>
      <c r="I964" s="2" t="str">
        <v>CPF 925</v>
      </c>
      <c r="J964" s="2" t="str">
        <v>Nome 925</v>
      </c>
      <c r="K964" s="8" t="str">
        <v>Tel 925</v>
      </c>
      <c r="L964" s="8" t="str">
        <v>Cep 925</v>
      </c>
      <c r="M964" s="8" t="str">
        <v>Rua 925</v>
      </c>
      <c r="N964" s="8" t="str">
        <v>Comp 925</v>
      </c>
      <c r="O964" s="8" t="str">
        <v>Ventilador Azul</v>
      </c>
      <c r="P964" s="8" t="str">
        <v>U8-2VWS-OB6M</v>
      </c>
      <c r="Q964" s="4">
        <v>45717</v>
      </c>
      <c r="R964" s="109">
        <v>61.99</v>
      </c>
      <c r="S964" s="11">
        <f ca="1"/>
        <v>61.99</v>
      </c>
      <c r="T964" s="28">
        <f ca="1"/>
        <v>8.0587</v>
      </c>
      <c r="U964" s="11">
        <f ca="1"/>
        <v>53.93</v>
      </c>
      <c r="V964" s="11">
        <v>16.64</v>
      </c>
      <c r="W964" s="11">
        <f ca="1"/>
        <v>0.18</v>
      </c>
      <c r="X964" s="11">
        <f ca="1"/>
        <v>0.39877104377104378</v>
      </c>
      <c r="Y964" s="11">
        <v>0</v>
      </c>
      <c r="Z964" s="11">
        <f ca="1"/>
        <v>36.71122895622895</v>
      </c>
      <c r="AA964" s="11">
        <f ca="1"/>
        <v>18.355614478114475</v>
      </c>
      <c r="AB964" s="4">
        <f ca="1"/>
        <v>45724</v>
      </c>
      <c r="AC964" s="4">
        <v>45724</v>
      </c>
      <c r="AD964" s="9">
        <v>45730</v>
      </c>
      <c r="AE964" s="9">
        <v>45733</v>
      </c>
      <c r="AF964" s="4" t="str">
        <f t="shared" ca="1" si="49"/>
        <v>2025 03</v>
      </c>
      <c r="AG964" s="8" t="str" cm="1">
        <f t="array" ref="AG964">IFERROR(_xlfn.IFS('Banco de Dados'!#REF!="AG. COMPRA","Em processamento",'Banco de Dados'!#REF!="AG. RASTREIO","Em processamento",'Banco de Dados'!$AE964&lt;&gt;"-","Faturado",'Banco de Dados'!$AD964&lt;&gt;"-","Aguardando Pix",'Banco de Dados'!$AC964&lt;&gt;"-","Pendente"),"Aguardando Liberação")</f>
        <v>Aguardando Liberação</v>
      </c>
      <c r="AH964" s="5" t="str">
        <f>IF('Banco de Dados'!$F964="-",_xlfn.CONCAT(PROPER(TEXT(AK964,"aaaa"))," ",PROPER(TEXT(AK964,"mm"))),_xlfn.CONCAT(PROPER(TEXT(E964,"aaaa"))," ",PROPER(TEXT(E964,"mm"))))</f>
        <v>2025 02</v>
      </c>
      <c r="AI964" s="9" t="str">
        <f ca="1">IF('Banco de Dados'!$AK964&lt;&gt;"-","REEMBOLSO",IFERROR(_xlfn.XLOOKUP(G964,Follow[CODRASTREIO],Follow[STATUS]),"-"))</f>
        <v>ENTREGUE</v>
      </c>
      <c r="AJ964" s="9">
        <f ca="1">IF('Banco de Dados'!$AI964="ENTREGUE",_xlfn.XLOOKUP('Banco de Dados'!$G964,Follow[CODRASTREIO],Follow[DATAATUALIZAÇÃO]),"-")</f>
        <v>45709</v>
      </c>
      <c r="AK964" s="132" t="str">
        <f ca="1"/>
        <v>-</v>
      </c>
      <c r="AL964" s="35"/>
      <c r="AM964" s="109" cm="1">
        <f t="array" aca="1" ref="AM964" ca="1">IF('Banco de Dados'!$AK964&lt;&gt;"-",_xlfn.IFS('Banco de Dados'!$A964="bv",IF('Banco de Dados'!$E964&lt;45641,ROUND(SUM('Banco de Dados'!$R964*_xlfn.XLOOKUP('Banco de Dados'!$P964,Sku!B:B,Sku!#REF!)*20%),2),ROUND(SUM('Banco de Dados'!$R964*_xlfn.XLOOKUP('Banco de Dados'!$P964,Sku!B:B,Sku!H:H)*20%),2)),'Banco de Dados'!$A964="GO",ROUND(_xlfn.XLOOKUP('Banco de Dados'!$P964,Sku!C:C,Sku!H:H),2),'Banco de Dados'!$A964="MEI",ROUND(_xlfn.XLOOKUP('Banco de Dados'!$P964,Sku!D:D,Sku!H:H),2)),0)</f>
        <v>0</v>
      </c>
      <c r="AN964" s="109">
        <f ca="1">IF('Banco de Dados'!$AK964&lt;&gt;"-",IF('Banco de Dados'!$F964&lt;&gt;"-",_xlfn.XLOOKUP(IFERROR(IFERROR(IFERROR(VALUE(SUBSTITUTE(MID(_xlfn.TEXTAFTER('Banco de Dados'!$F964,"Data do Pedido:
",1),1,10),"-","/")),VALUE(SUBSTITUTE(MID(_xlfn.TEXTAFTER('Banco de Dados'!$F964,"Order date:
",1),1,10),"-","/"))),VALUE(SUBSTITUTE(MID(_xlfn.TEXTAFTER('Banco de Dados'!$F964,"Fecha de pedido:
",1),1,10),"-","/"))),"-"),SMS!A:A,SMS!K:K),0),0)</f>
        <v>0</v>
      </c>
      <c r="AO964" s="109">
        <f ca="1">IF('Banco de Dados'!$AK964&lt;&gt;"-",IF('Banco de Dados'!$F964&lt;&gt;"-",IFERROR(_xlfn.XLOOKUP(_xlfn.CONCAT('Banco de Dados'!$A964,IFERROR(IFERROR(VALUE(SUBSTITUTE(MID(_xlfn.TEXTAFTER('Banco de Dados'!$F964,"Data do Pedido:
",1),1,10),"-","/")),VALUE(SUBSTITUTE(MID(_xlfn.TEXTAFTER('Banco de Dados'!$F964,"Order date:
",1),1,10),"-","/"))),0)),ProxyDD[Chave],ProxyDD[Valor por pedido]),PROXY!$P$2),0),0)</f>
        <v>0</v>
      </c>
      <c r="AP964" s="28">
        <f ca="1">IF('Banco de Dados'!$AK964&lt;&gt;"-",IF('Banco de Dados'!$AL964="NÃO",IFERROR(VALUE(SUBSTITUTE(_xlfn.TEXTAFTER('Banco de Dados'!$F964,"BRL ",1),".",",")),0),0),0)</f>
        <v>0</v>
      </c>
      <c r="AQ964" s="28">
        <f ca="1">SUM('Banco de Dados'!$AM964:$AP964)</f>
        <v>0</v>
      </c>
      <c r="AR964" s="8"/>
      <c r="AY964" s="8"/>
    </row>
    <row r="965" spans="1:51">
      <c r="A965" s="5" t="str">
        <v>BV</v>
      </c>
      <c r="B965" s="5" t="str">
        <f ca="1"/>
        <v>BV45698</v>
      </c>
      <c r="C965" s="8" t="str">
        <v>Pedido 952</v>
      </c>
      <c r="D965" s="9">
        <v>45698</v>
      </c>
      <c r="E965" s="9">
        <v>45698</v>
      </c>
      <c r="F965" s="8" t="str">
        <v>PedidoF931</v>
      </c>
      <c r="G965" s="2" t="str">
        <v>CódRastreio929</v>
      </c>
      <c r="H965" s="5">
        <v>1</v>
      </c>
      <c r="I965" s="2" t="str">
        <v>CPF 925</v>
      </c>
      <c r="J965" s="2" t="str">
        <v>Nome 925</v>
      </c>
      <c r="K965" s="8" t="str">
        <v>Tel 925</v>
      </c>
      <c r="L965" s="8" t="str">
        <v>Cep 925</v>
      </c>
      <c r="M965" s="8" t="str">
        <v>Rua 925</v>
      </c>
      <c r="N965" s="8" t="str">
        <v>Comp 925</v>
      </c>
      <c r="O965" s="8" t="str">
        <v>Ventilador Azul</v>
      </c>
      <c r="P965" s="8" t="str">
        <v>U8-2VWS-OB6M</v>
      </c>
      <c r="Q965" s="4">
        <v>45717</v>
      </c>
      <c r="R965" s="109">
        <v>61.99</v>
      </c>
      <c r="S965" s="11">
        <f ca="1"/>
        <v>61.99</v>
      </c>
      <c r="T965" s="28">
        <f ca="1"/>
        <v>8.0587</v>
      </c>
      <c r="U965" s="11">
        <f ca="1"/>
        <v>53.93</v>
      </c>
      <c r="V965" s="11">
        <v>16.64</v>
      </c>
      <c r="W965" s="11">
        <f ca="1"/>
        <v>0.18</v>
      </c>
      <c r="X965" s="11">
        <f ca="1"/>
        <v>0.39877104377104378</v>
      </c>
      <c r="Y965" s="11">
        <v>0</v>
      </c>
      <c r="Z965" s="11">
        <f ca="1"/>
        <v>36.71122895622895</v>
      </c>
      <c r="AA965" s="11">
        <f ca="1"/>
        <v>18.355614478114475</v>
      </c>
      <c r="AB965" s="4">
        <f ca="1"/>
        <v>45724</v>
      </c>
      <c r="AC965" s="4">
        <v>45724</v>
      </c>
      <c r="AD965" s="9">
        <v>45730</v>
      </c>
      <c r="AE965" s="9">
        <v>45733</v>
      </c>
      <c r="AF965" s="4" t="str">
        <f t="shared" ca="1" si="49"/>
        <v>2025 03</v>
      </c>
      <c r="AG965" s="8" t="str" cm="1">
        <f t="array" ref="AG965">IFERROR(_xlfn.IFS('Banco de Dados'!#REF!="AG. COMPRA","Em processamento",'Banco de Dados'!#REF!="AG. RASTREIO","Em processamento",'Banco de Dados'!$AE965&lt;&gt;"-","Faturado",'Banco de Dados'!$AD965&lt;&gt;"-","Aguardando Pix",'Banco de Dados'!$AC965&lt;&gt;"-","Pendente"),"Aguardando Liberação")</f>
        <v>Aguardando Liberação</v>
      </c>
      <c r="AH965" s="5" t="str">
        <f>IF('Banco de Dados'!$F965="-",_xlfn.CONCAT(PROPER(TEXT(AK965,"aaaa"))," ",PROPER(TEXT(AK965,"mm"))),_xlfn.CONCAT(PROPER(TEXT(E965,"aaaa"))," ",PROPER(TEXT(E965,"mm"))))</f>
        <v>2025 02</v>
      </c>
      <c r="AI965" s="9" t="str">
        <f ca="1">IF('Banco de Dados'!$AK965&lt;&gt;"-","REEMBOLSO",IFERROR(_xlfn.XLOOKUP(G965,Follow[CODRASTREIO],Follow[STATUS]),"-"))</f>
        <v>ENTREGUE</v>
      </c>
      <c r="AJ965" s="9">
        <f ca="1">IF('Banco de Dados'!$AI965="ENTREGUE",_xlfn.XLOOKUP('Banco de Dados'!$G965,Follow[CODRASTREIO],Follow[DATAATUALIZAÇÃO]),"-")</f>
        <v>45708</v>
      </c>
      <c r="AK965" s="132" t="str">
        <f ca="1"/>
        <v>-</v>
      </c>
      <c r="AL965" s="35"/>
      <c r="AM965" s="109" cm="1">
        <f t="array" aca="1" ref="AM965" ca="1">IF('Banco de Dados'!$AK965&lt;&gt;"-",_xlfn.IFS('Banco de Dados'!$A965="bv",IF('Banco de Dados'!$E965&lt;45641,ROUND(SUM('Banco de Dados'!$R965*_xlfn.XLOOKUP('Banco de Dados'!$P965,Sku!B:B,Sku!#REF!)*20%),2),ROUND(SUM('Banco de Dados'!$R965*_xlfn.XLOOKUP('Banco de Dados'!$P965,Sku!B:B,Sku!H:H)*20%),2)),'Banco de Dados'!$A965="GO",ROUND(_xlfn.XLOOKUP('Banco de Dados'!$P965,Sku!C:C,Sku!H:H),2),'Banco de Dados'!$A965="MEI",ROUND(_xlfn.XLOOKUP('Banco de Dados'!$P965,Sku!D:D,Sku!H:H),2)),0)</f>
        <v>0</v>
      </c>
      <c r="AN965" s="109">
        <f ca="1">IF('Banco de Dados'!$AK965&lt;&gt;"-",IF('Banco de Dados'!$F965&lt;&gt;"-",_xlfn.XLOOKUP(IFERROR(IFERROR(IFERROR(VALUE(SUBSTITUTE(MID(_xlfn.TEXTAFTER('Banco de Dados'!$F965,"Data do Pedido:
",1),1,10),"-","/")),VALUE(SUBSTITUTE(MID(_xlfn.TEXTAFTER('Banco de Dados'!$F965,"Order date:
",1),1,10),"-","/"))),VALUE(SUBSTITUTE(MID(_xlfn.TEXTAFTER('Banco de Dados'!$F965,"Fecha de pedido:
",1),1,10),"-","/"))),"-"),SMS!A:A,SMS!K:K),0),0)</f>
        <v>0</v>
      </c>
      <c r="AO965" s="109">
        <f ca="1">IF('Banco de Dados'!$AK965&lt;&gt;"-",IF('Banco de Dados'!$F965&lt;&gt;"-",IFERROR(_xlfn.XLOOKUP(_xlfn.CONCAT('Banco de Dados'!$A965,IFERROR(IFERROR(VALUE(SUBSTITUTE(MID(_xlfn.TEXTAFTER('Banco de Dados'!$F965,"Data do Pedido:
",1),1,10),"-","/")),VALUE(SUBSTITUTE(MID(_xlfn.TEXTAFTER('Banco de Dados'!$F965,"Order date:
",1),1,10),"-","/"))),0)),ProxyDD[Chave],ProxyDD[Valor por pedido]),PROXY!$P$2),0),0)</f>
        <v>0</v>
      </c>
      <c r="AP965" s="28">
        <f ca="1">IF('Banco de Dados'!$AK965&lt;&gt;"-",IF('Banco de Dados'!$AL965="NÃO",IFERROR(VALUE(SUBSTITUTE(_xlfn.TEXTAFTER('Banco de Dados'!$F965,"BRL ",1),".",",")),0),0),0)</f>
        <v>0</v>
      </c>
      <c r="AQ965" s="28">
        <f ca="1">SUM('Banco de Dados'!$AM965:$AP965)</f>
        <v>0</v>
      </c>
      <c r="AR965" s="8"/>
      <c r="AY965" s="8"/>
    </row>
    <row r="966" spans="1:51">
      <c r="A966" s="5" t="str">
        <v>GO</v>
      </c>
      <c r="B966" s="5" t="str">
        <f ca="1"/>
        <v>GO45698</v>
      </c>
      <c r="C966" s="8" t="str">
        <v>Pedido 953</v>
      </c>
      <c r="D966" s="187">
        <v>45698</v>
      </c>
      <c r="E966" s="9">
        <v>45698</v>
      </c>
      <c r="F966" s="8" t="str">
        <v>PedidoF932</v>
      </c>
      <c r="G966" s="2" t="str">
        <v>CódRastreio930</v>
      </c>
      <c r="H966" s="5">
        <v>1</v>
      </c>
      <c r="I966" s="2" t="str">
        <v>CPF 927</v>
      </c>
      <c r="J966" s="2" t="str">
        <v>Nome 927</v>
      </c>
      <c r="K966" s="8" t="str">
        <v>Tel 927</v>
      </c>
      <c r="L966" s="8" t="str">
        <v>Cep 927</v>
      </c>
      <c r="M966" s="8" t="str">
        <v>Rua 927</v>
      </c>
      <c r="N966" s="8" t="str">
        <v>Comp 927</v>
      </c>
      <c r="O966" s="8" t="str">
        <v>Ventilador Preto</v>
      </c>
      <c r="P966" s="8" t="str">
        <v>EP-9PIR-BWXH</v>
      </c>
      <c r="Q966" s="4">
        <v>45728</v>
      </c>
      <c r="R966" s="109">
        <v>61.99</v>
      </c>
      <c r="S966" s="11">
        <f ca="1"/>
        <v>61.99</v>
      </c>
      <c r="T966" s="28">
        <f ca="1"/>
        <v>8.0587</v>
      </c>
      <c r="U966" s="11">
        <f ca="1"/>
        <v>53.93</v>
      </c>
      <c r="V966" s="11">
        <v>16.34</v>
      </c>
      <c r="W966" s="11">
        <f ca="1"/>
        <v>0.23</v>
      </c>
      <c r="X966" s="11">
        <f ca="1"/>
        <v>0.39877104377104378</v>
      </c>
      <c r="Y966" s="11">
        <v>0</v>
      </c>
      <c r="Z966" s="11">
        <f ca="1"/>
        <v>36.96122895622895</v>
      </c>
      <c r="AA966" s="11">
        <f ca="1"/>
        <v>36.96122895622895</v>
      </c>
      <c r="AB966" s="4">
        <f ca="1"/>
        <v>45735</v>
      </c>
      <c r="AC966" s="4">
        <v>45735</v>
      </c>
      <c r="AD966" s="9">
        <v>45747</v>
      </c>
      <c r="AE966" s="9">
        <v>45749</v>
      </c>
      <c r="AF966" s="4" t="str">
        <f t="shared" ref="AF966:AF969" ca="1" si="50">_xlfn.CONCAT(PROPER(TEXT(AB966,"aaaa"))," ",PROPER(TEXT(AB966,"mm")))</f>
        <v>2025 03</v>
      </c>
      <c r="AG966" s="8" t="str" cm="1">
        <f t="array" ref="AG966">IFERROR(_xlfn.IFS('Banco de Dados'!#REF!="AG. COMPRA","Em processamento",'Banco de Dados'!#REF!="AG. RASTREIO","Em processamento",'Banco de Dados'!$AE966&lt;&gt;"-","Faturado",'Banco de Dados'!$AD966&lt;&gt;"-","Aguardando Pix",'Banco de Dados'!$AC966&lt;&gt;"-","Pendente"),"Aguardando Liberação")</f>
        <v>Aguardando Liberação</v>
      </c>
      <c r="AH966" s="5" t="str">
        <f>IF('Banco de Dados'!$F966="-",_xlfn.CONCAT(PROPER(TEXT(AK966,"aaaa"))," ",PROPER(TEXT(AK966,"mm"))),_xlfn.CONCAT(PROPER(TEXT(E966,"aaaa"))," ",PROPER(TEXT(E966,"mm"))))</f>
        <v>2025 02</v>
      </c>
      <c r="AI966" s="9" t="str">
        <f ca="1">IF('Banco de Dados'!$AK966&lt;&gt;"-","REEMBOLSO",IFERROR(_xlfn.XLOOKUP(G966,Follow[CODRASTREIO],Follow[STATUS]),"-"))</f>
        <v>ENTREGUE</v>
      </c>
      <c r="AJ966" s="9">
        <f ca="1">IF('Banco de Dados'!$AI966="ENTREGUE",_xlfn.XLOOKUP('Banco de Dados'!$G966,Follow[CODRASTREIO],Follow[DATAATUALIZAÇÃO]),"-")</f>
        <v>45713</v>
      </c>
      <c r="AK966" s="132" t="str">
        <f ca="1"/>
        <v>-</v>
      </c>
      <c r="AL966" s="35"/>
      <c r="AM966" s="109" cm="1">
        <f t="array" aca="1" ref="AM966" ca="1">IF('Banco de Dados'!$AK966&lt;&gt;"-",_xlfn.IFS('Banco de Dados'!$A966="bv",IF('Banco de Dados'!$E966&lt;45641,ROUND(SUM('Banco de Dados'!$R966*_xlfn.XLOOKUP('Banco de Dados'!$P966,Sku!B:B,Sku!#REF!)*20%),2),ROUND(SUM('Banco de Dados'!$R966*_xlfn.XLOOKUP('Banco de Dados'!$P966,Sku!B:B,Sku!H:H)*20%),2)),'Banco de Dados'!$A966="GO",ROUND(SUM('Banco de Dados'!$R966*_xlfn.XLOOKUP('Banco de Dados'!$P966,Sku!C:C,Sku!H:H)*20%),2),'Banco de Dados'!$A966="MEI",ROUND(SUM('Banco de Dados'!$R966*_xlfn.XLOOKUP('Banco de Dados'!$P966,Sku!D:D,Sku!H:H)*20%),2)),0)</f>
        <v>0</v>
      </c>
      <c r="AN966" s="109">
        <f ca="1">IF('Banco de Dados'!$AK966&lt;&gt;"-",IF('Banco de Dados'!$F966&lt;&gt;"-",_xlfn.XLOOKUP(IFERROR(IFERROR(IFERROR(VALUE(SUBSTITUTE(MID(_xlfn.TEXTAFTER('Banco de Dados'!$F966,"Data do Pedido:
",1),1,10),"-","/")),VALUE(SUBSTITUTE(MID(_xlfn.TEXTAFTER('Banco de Dados'!$F966,"Order date:
",1),1,10),"-","/"))),VALUE(SUBSTITUTE(MID(_xlfn.TEXTAFTER('Banco de Dados'!$F966,"Fecha de pedido:
",1),1,10),"-","/"))),"-"),SMS!A:A,SMS!K:K),0),0)</f>
        <v>0</v>
      </c>
      <c r="AO966" s="109">
        <f ca="1">IF('Banco de Dados'!$AK966&lt;&gt;"-",IF('Banco de Dados'!$F966&lt;&gt;"-",IFERROR(_xlfn.XLOOKUP(_xlfn.CONCAT('Banco de Dados'!$A966,IFERROR(IFERROR(VALUE(SUBSTITUTE(MID(_xlfn.TEXTAFTER('Banco de Dados'!$F966,"Data do Pedido:
",1),1,10),"-","/")),VALUE(SUBSTITUTE(MID(_xlfn.TEXTAFTER('Banco de Dados'!$F966,"Order date:
",1),1,10),"-","/"))),0)),ProxyDD[Chave],ProxyDD[Valor por pedido]),PROXY!$P$2),0),0)</f>
        <v>0</v>
      </c>
      <c r="AP966" s="28">
        <f ca="1">IF('Banco de Dados'!$AK966&lt;&gt;"-",IF('Banco de Dados'!$AL966="NÃO",IFERROR(VALUE(SUBSTITUTE(_xlfn.TEXTAFTER('Banco de Dados'!$F966,"BRL ",1),".",",")),0),0),0)</f>
        <v>0</v>
      </c>
      <c r="AQ966" s="28">
        <f ca="1">SUM('Banco de Dados'!$AM966:$AP966)</f>
        <v>0</v>
      </c>
      <c r="AR966" s="8"/>
      <c r="AY966" s="8"/>
    </row>
    <row r="967" spans="1:51">
      <c r="A967" s="5" t="str">
        <v>GO</v>
      </c>
      <c r="B967" s="5" t="str">
        <f ca="1"/>
        <v>GO45698</v>
      </c>
      <c r="C967" s="8" t="str">
        <v>Pedido 954</v>
      </c>
      <c r="D967" s="187">
        <v>45698</v>
      </c>
      <c r="E967" s="9">
        <v>45698</v>
      </c>
      <c r="F967" s="8" t="str">
        <v>PedidoF933</v>
      </c>
      <c r="G967" s="2" t="str">
        <v>CódRastreio931</v>
      </c>
      <c r="H967" s="5">
        <v>1</v>
      </c>
      <c r="I967" s="2" t="str">
        <v>CPF 928</v>
      </c>
      <c r="J967" s="2" t="str">
        <v>Nome 928</v>
      </c>
      <c r="K967" s="8" t="str">
        <v>Tel 928</v>
      </c>
      <c r="L967" s="8" t="str">
        <v>Cep 928</v>
      </c>
      <c r="M967" s="8" t="str">
        <v>Rua 928</v>
      </c>
      <c r="N967" s="8" t="str">
        <v>Comp 928</v>
      </c>
      <c r="O967" s="8" t="str">
        <v>Ventilador Preto</v>
      </c>
      <c r="P967" s="8" t="str">
        <v>EP-9PIR-BWXH</v>
      </c>
      <c r="Q967" s="4">
        <v>45717</v>
      </c>
      <c r="R967" s="109">
        <v>61.99</v>
      </c>
      <c r="S967" s="11">
        <f ca="1"/>
        <v>61.99</v>
      </c>
      <c r="T967" s="28">
        <f ca="1"/>
        <v>8.0587</v>
      </c>
      <c r="U967" s="11">
        <f ca="1"/>
        <v>53.93</v>
      </c>
      <c r="V967" s="11">
        <v>16.34</v>
      </c>
      <c r="W967" s="11">
        <f ca="1"/>
        <v>0.23</v>
      </c>
      <c r="X967" s="11">
        <f ca="1"/>
        <v>0.39877104377104378</v>
      </c>
      <c r="Y967" s="11">
        <v>0</v>
      </c>
      <c r="Z967" s="11">
        <f ca="1"/>
        <v>36.96122895622895</v>
      </c>
      <c r="AA967" s="11">
        <f ca="1"/>
        <v>36.96122895622895</v>
      </c>
      <c r="AB967" s="4">
        <f ca="1"/>
        <v>45724</v>
      </c>
      <c r="AC967" s="4">
        <v>45724</v>
      </c>
      <c r="AD967" s="9">
        <v>45730</v>
      </c>
      <c r="AE967" s="9">
        <v>45733</v>
      </c>
      <c r="AF967" s="4" t="str">
        <f t="shared" ca="1" si="50"/>
        <v>2025 03</v>
      </c>
      <c r="AG967" s="8" t="str" cm="1">
        <f t="array" ref="AG967">IFERROR(_xlfn.IFS('Banco de Dados'!#REF!="AG. COMPRA","Em processamento",'Banco de Dados'!#REF!="AG. RASTREIO","Em processamento",'Banco de Dados'!$AE967&lt;&gt;"-","Faturado",'Banco de Dados'!$AD967&lt;&gt;"-","Aguardando Pix",'Banco de Dados'!$AC967&lt;&gt;"-","Pendente"),"Aguardando Liberação")</f>
        <v>Aguardando Liberação</v>
      </c>
      <c r="AH967" s="5" t="str">
        <f>IF('Banco de Dados'!$F967="-",_xlfn.CONCAT(PROPER(TEXT(AK967,"aaaa"))," ",PROPER(TEXT(AK967,"mm"))),_xlfn.CONCAT(PROPER(TEXT(E967,"aaaa"))," ",PROPER(TEXT(E967,"mm"))))</f>
        <v>2025 02</v>
      </c>
      <c r="AI967" s="9" t="str">
        <f ca="1">IF('Banco de Dados'!$AK967&lt;&gt;"-","REEMBOLSO",IFERROR(_xlfn.XLOOKUP(G967,Follow[CODRASTREIO],Follow[STATUS]),"-"))</f>
        <v>ENTREGUE</v>
      </c>
      <c r="AJ967" s="9">
        <f ca="1">IF('Banco de Dados'!$AI967="ENTREGUE",_xlfn.XLOOKUP('Banco de Dados'!$G967,Follow[CODRASTREIO],Follow[DATAATUALIZAÇÃO]),"-")</f>
        <v>45723</v>
      </c>
      <c r="AK967" s="132" t="str">
        <f ca="1"/>
        <v>-</v>
      </c>
      <c r="AL967" s="35"/>
      <c r="AM967" s="109" cm="1">
        <f t="array" aca="1" ref="AM967" ca="1">IF('Banco de Dados'!$AK967&lt;&gt;"-",_xlfn.IFS('Banco de Dados'!$A967="bv",IF('Banco de Dados'!$E967&lt;45641,ROUND(SUM('Banco de Dados'!$R967*_xlfn.XLOOKUP('Banco de Dados'!$P967,Sku!B:B,Sku!#REF!)*20%),2),ROUND(SUM('Banco de Dados'!$R967*_xlfn.XLOOKUP('Banco de Dados'!$P967,Sku!B:B,Sku!H:H)*20%),2)),'Banco de Dados'!$A967="GO",ROUND(SUM('Banco de Dados'!$R967*_xlfn.XLOOKUP('Banco de Dados'!$P967,Sku!C:C,Sku!H:H)*20%),2),'Banco de Dados'!$A967="MEI",ROUND(SUM('Banco de Dados'!$R967*_xlfn.XLOOKUP('Banco de Dados'!$P967,Sku!D:D,Sku!H:H)*20%),2)),0)</f>
        <v>0</v>
      </c>
      <c r="AN967" s="109">
        <f ca="1">IF('Banco de Dados'!$AK967&lt;&gt;"-",IF('Banco de Dados'!$F967&lt;&gt;"-",_xlfn.XLOOKUP(IFERROR(IFERROR(IFERROR(VALUE(SUBSTITUTE(MID(_xlfn.TEXTAFTER('Banco de Dados'!$F967,"Data do Pedido:
",1),1,10),"-","/")),VALUE(SUBSTITUTE(MID(_xlfn.TEXTAFTER('Banco de Dados'!$F967,"Order date:
",1),1,10),"-","/"))),VALUE(SUBSTITUTE(MID(_xlfn.TEXTAFTER('Banco de Dados'!$F967,"Fecha de pedido:
",1),1,10),"-","/"))),"-"),SMS!A:A,SMS!K:K),0),0)</f>
        <v>0</v>
      </c>
      <c r="AO967" s="109">
        <f ca="1">IF('Banco de Dados'!$AK967&lt;&gt;"-",IF('Banco de Dados'!$F967&lt;&gt;"-",IFERROR(_xlfn.XLOOKUP(_xlfn.CONCAT('Banco de Dados'!$A967,IFERROR(IFERROR(VALUE(SUBSTITUTE(MID(_xlfn.TEXTAFTER('Banco de Dados'!$F967,"Data do Pedido:
",1),1,10),"-","/")),VALUE(SUBSTITUTE(MID(_xlfn.TEXTAFTER('Banco de Dados'!$F967,"Order date:
",1),1,10),"-","/"))),0)),ProxyDD[Chave],ProxyDD[Valor por pedido]),PROXY!$P$2),0),0)</f>
        <v>0</v>
      </c>
      <c r="AP967" s="28">
        <f ca="1">IF('Banco de Dados'!$AK967&lt;&gt;"-",IF('Banco de Dados'!$AL967="NÃO",IFERROR(VALUE(SUBSTITUTE(_xlfn.TEXTAFTER('Banco de Dados'!$F967,"BRL ",1),".",",")),0),0),0)</f>
        <v>0</v>
      </c>
      <c r="AQ967" s="28">
        <f ca="1">SUM('Banco de Dados'!$AM967:$AP967)</f>
        <v>0</v>
      </c>
      <c r="AR967" s="8"/>
      <c r="AY967" s="8"/>
    </row>
    <row r="968" spans="1:51">
      <c r="A968" s="5" t="str">
        <v>GO</v>
      </c>
      <c r="B968" s="5" t="str">
        <f ca="1"/>
        <v>GO45698</v>
      </c>
      <c r="C968" s="8" t="str">
        <v>Pedido 955</v>
      </c>
      <c r="D968" s="187">
        <v>45698</v>
      </c>
      <c r="E968" s="9">
        <v>45698</v>
      </c>
      <c r="F968" s="8" t="str">
        <v>PedidoF934</v>
      </c>
      <c r="G968" s="2" t="str">
        <v>CódRastreio932</v>
      </c>
      <c r="H968" s="5">
        <v>1</v>
      </c>
      <c r="I968" s="2" t="str">
        <v>CPF 929</v>
      </c>
      <c r="J968" s="2" t="str">
        <v>Nome 929</v>
      </c>
      <c r="K968" s="8" t="str">
        <v>Tel 929</v>
      </c>
      <c r="L968" s="8" t="str">
        <v>Cep 929</v>
      </c>
      <c r="M968" s="8" t="str">
        <v>Rua 929</v>
      </c>
      <c r="N968" s="8" t="str">
        <v>Comp 929</v>
      </c>
      <c r="O968" s="8" t="str">
        <v>Ventilador Preto</v>
      </c>
      <c r="P968" s="8" t="str">
        <v>EP-9PIR-BWXH</v>
      </c>
      <c r="Q968" s="4">
        <v>45735</v>
      </c>
      <c r="R968" s="109">
        <v>61.99</v>
      </c>
      <c r="S968" s="11">
        <f ca="1"/>
        <v>61.99</v>
      </c>
      <c r="T968" s="28">
        <f ca="1"/>
        <v>8.0587</v>
      </c>
      <c r="U968" s="11">
        <f ca="1"/>
        <v>53.93</v>
      </c>
      <c r="V968" s="11">
        <v>18.82</v>
      </c>
      <c r="W968" s="11">
        <f ca="1"/>
        <v>0.23</v>
      </c>
      <c r="X968" s="11">
        <f ca="1"/>
        <v>0.39877104377104378</v>
      </c>
      <c r="Y968" s="11">
        <v>0</v>
      </c>
      <c r="Z968" s="11">
        <f ca="1"/>
        <v>34.481228956228954</v>
      </c>
      <c r="AA968" s="11">
        <f ca="1"/>
        <v>34.481228956228954</v>
      </c>
      <c r="AB968" s="4">
        <f ca="1"/>
        <v>45742</v>
      </c>
      <c r="AC968" s="4">
        <v>45742</v>
      </c>
      <c r="AD968" s="9">
        <v>45747</v>
      </c>
      <c r="AE968" s="9">
        <v>45749</v>
      </c>
      <c r="AF968" s="4" t="str">
        <f t="shared" ca="1" si="50"/>
        <v>2025 03</v>
      </c>
      <c r="AG968" s="8" t="str" cm="1">
        <f t="array" ref="AG968">IFERROR(_xlfn.IFS('Banco de Dados'!#REF!="AG. COMPRA","Em processamento",'Banco de Dados'!#REF!="AG. RASTREIO","Em processamento",'Banco de Dados'!$AE968&lt;&gt;"-","Faturado",'Banco de Dados'!$AD968&lt;&gt;"-","Aguardando Pix",'Banco de Dados'!$AC968&lt;&gt;"-","Pendente"),"Aguardando Liberação")</f>
        <v>Aguardando Liberação</v>
      </c>
      <c r="AH968" s="5" t="str">
        <f>IF('Banco de Dados'!$F968="-",_xlfn.CONCAT(PROPER(TEXT(AK968,"aaaa"))," ",PROPER(TEXT(AK968,"mm"))),_xlfn.CONCAT(PROPER(TEXT(E968,"aaaa"))," ",PROPER(TEXT(E968,"mm"))))</f>
        <v>2025 02</v>
      </c>
      <c r="AI968" s="9" t="str">
        <f ca="1">IF('Banco de Dados'!$AK968&lt;&gt;"-","REEMBOLSO",IFERROR(_xlfn.XLOOKUP(G968,Follow[CODRASTREIO],Follow[STATUS]),"-"))</f>
        <v>ENTREGUE</v>
      </c>
      <c r="AJ968" s="9">
        <f ca="1">IF('Banco de Dados'!$AI968="ENTREGUE",_xlfn.XLOOKUP('Banco de Dados'!$G968,Follow[CODRASTREIO],Follow[DATAATUALIZAÇÃO]),"-")</f>
        <v>45713</v>
      </c>
      <c r="AK968" s="132" t="str">
        <f ca="1"/>
        <v>-</v>
      </c>
      <c r="AL968" s="35"/>
      <c r="AM968" s="109" cm="1">
        <f t="array" aca="1" ref="AM968" ca="1">IF('Banco de Dados'!$AK968&lt;&gt;"-",_xlfn.IFS('Banco de Dados'!$A968="bv",IF('Banco de Dados'!$E968&lt;45641,ROUND(SUM('Banco de Dados'!$R968*_xlfn.XLOOKUP('Banco de Dados'!$P968,Sku!B:B,Sku!#REF!)*20%),2),ROUND(SUM('Banco de Dados'!$R968*_xlfn.XLOOKUP('Banco de Dados'!$P968,Sku!B:B,Sku!H:H)*20%),2)),'Banco de Dados'!$A968="GO",ROUND(SUM('Banco de Dados'!$R968*_xlfn.XLOOKUP('Banco de Dados'!$P968,Sku!C:C,Sku!H:H)*20%),2),'Banco de Dados'!$A968="MEI",ROUND(SUM('Banco de Dados'!$R968*_xlfn.XLOOKUP('Banco de Dados'!$P968,Sku!D:D,Sku!H:H)*20%),2)),0)</f>
        <v>0</v>
      </c>
      <c r="AN968" s="109">
        <f ca="1">IF('Banco de Dados'!$AK968&lt;&gt;"-",IF('Banco de Dados'!$F968&lt;&gt;"-",_xlfn.XLOOKUP(IFERROR(IFERROR(IFERROR(VALUE(SUBSTITUTE(MID(_xlfn.TEXTAFTER('Banco de Dados'!$F968,"Data do Pedido:
",1),1,10),"-","/")),VALUE(SUBSTITUTE(MID(_xlfn.TEXTAFTER('Banco de Dados'!$F968,"Order date:
",1),1,10),"-","/"))),VALUE(SUBSTITUTE(MID(_xlfn.TEXTAFTER('Banco de Dados'!$F968,"Fecha de pedido:
",1),1,10),"-","/"))),"-"),SMS!A:A,SMS!K:K),0),0)</f>
        <v>0</v>
      </c>
      <c r="AO968" s="109">
        <f ca="1">IF('Banco de Dados'!$AK968&lt;&gt;"-",IF('Banco de Dados'!$F968&lt;&gt;"-",IFERROR(_xlfn.XLOOKUP(_xlfn.CONCAT('Banco de Dados'!$A968,IFERROR(IFERROR(VALUE(SUBSTITUTE(MID(_xlfn.TEXTAFTER('Banco de Dados'!$F968,"Data do Pedido:
",1),1,10),"-","/")),VALUE(SUBSTITUTE(MID(_xlfn.TEXTAFTER('Banco de Dados'!$F968,"Order date:
",1),1,10),"-","/"))),0)),ProxyDD[Chave],ProxyDD[Valor por pedido]),PROXY!$P$2),0),0)</f>
        <v>0</v>
      </c>
      <c r="AP968" s="28">
        <f ca="1">IF('Banco de Dados'!$AK968&lt;&gt;"-",IF('Banco de Dados'!$AL968="NÃO",IFERROR(VALUE(SUBSTITUTE(_xlfn.TEXTAFTER('Banco de Dados'!$F968,"BRL ",1),".",",")),0),0),0)</f>
        <v>0</v>
      </c>
      <c r="AQ968" s="28">
        <f ca="1">SUM('Banco de Dados'!$AM968:$AP968)</f>
        <v>0</v>
      </c>
      <c r="AR968" s="8"/>
      <c r="AY968" s="8"/>
    </row>
    <row r="969" spans="1:51">
      <c r="A969" s="5" t="str">
        <v>GO</v>
      </c>
      <c r="B969" s="5" t="str">
        <f ca="1"/>
        <v>GO45698</v>
      </c>
      <c r="C969" s="8" t="str">
        <v>Pedido 956</v>
      </c>
      <c r="D969" s="187">
        <v>45698</v>
      </c>
      <c r="E969" s="9">
        <v>45698</v>
      </c>
      <c r="F969" s="8" t="str">
        <v>PedidoF935</v>
      </c>
      <c r="G969" s="2" t="str">
        <v>CódRastreio933</v>
      </c>
      <c r="H969" s="5">
        <v>1</v>
      </c>
      <c r="I969" s="2" t="str">
        <v>CPF 930</v>
      </c>
      <c r="J969" s="2" t="str">
        <v>Nome 930</v>
      </c>
      <c r="K969" s="8" t="str">
        <v>Tel 930</v>
      </c>
      <c r="L969" s="8" t="str">
        <v>Cep 930</v>
      </c>
      <c r="M969" s="8" t="str">
        <v>Rua 930</v>
      </c>
      <c r="N969" s="8" t="str">
        <v>Comp 930</v>
      </c>
      <c r="O969" s="8" t="str">
        <v>Ventilador Preto</v>
      </c>
      <c r="P969" s="8" t="str">
        <v>EP-9PIR-BWXH</v>
      </c>
      <c r="Q969" s="4">
        <v>45735</v>
      </c>
      <c r="R969" s="109">
        <v>66.989999999999995</v>
      </c>
      <c r="S969" s="11">
        <f ca="1"/>
        <v>66.989999999999995</v>
      </c>
      <c r="T969" s="28">
        <f ca="1"/>
        <v>8.7087000000000003</v>
      </c>
      <c r="U969" s="11">
        <f ca="1"/>
        <v>58.28</v>
      </c>
      <c r="V969" s="11">
        <v>18.82</v>
      </c>
      <c r="W969" s="11">
        <f ca="1"/>
        <v>0.23</v>
      </c>
      <c r="X969" s="11">
        <f ca="1"/>
        <v>0.39877104377104378</v>
      </c>
      <c r="Y969" s="11">
        <v>0</v>
      </c>
      <c r="Z969" s="11">
        <f ca="1"/>
        <v>38.831228956228955</v>
      </c>
      <c r="AA969" s="11">
        <f ca="1"/>
        <v>38.831228956228955</v>
      </c>
      <c r="AB969" s="4">
        <f ca="1"/>
        <v>45742</v>
      </c>
      <c r="AC969" s="4">
        <v>45742</v>
      </c>
      <c r="AD969" s="9">
        <v>45747</v>
      </c>
      <c r="AE969" s="9">
        <v>45749</v>
      </c>
      <c r="AF969" s="4" t="str">
        <f t="shared" ca="1" si="50"/>
        <v>2025 03</v>
      </c>
      <c r="AG969" s="8" t="str" cm="1">
        <f t="array" ref="AG969">IFERROR(_xlfn.IFS('Banco de Dados'!#REF!="AG. COMPRA","Em processamento",'Banco de Dados'!#REF!="AG. RASTREIO","Em processamento",'Banco de Dados'!$AE969&lt;&gt;"-","Faturado",'Banco de Dados'!$AD969&lt;&gt;"-","Aguardando Pix",'Banco de Dados'!$AC969&lt;&gt;"-","Pendente"),"Aguardando Liberação")</f>
        <v>Aguardando Liberação</v>
      </c>
      <c r="AH969" s="5" t="str">
        <f>IF('Banco de Dados'!$F969="-",_xlfn.CONCAT(PROPER(TEXT(AK969,"aaaa"))," ",PROPER(TEXT(AK969,"mm"))),_xlfn.CONCAT(PROPER(TEXT(E969,"aaaa"))," ",PROPER(TEXT(E969,"mm"))))</f>
        <v>2025 02</v>
      </c>
      <c r="AI969" s="9" t="str">
        <f ca="1">IF('Banco de Dados'!$AK969&lt;&gt;"-","REEMBOLSO",IFERROR(_xlfn.XLOOKUP(G969,Follow[CODRASTREIO],Follow[STATUS]),"-"))</f>
        <v>ENTREGUE</v>
      </c>
      <c r="AJ969" s="9">
        <f ca="1">IF('Banco de Dados'!$AI969="ENTREGUE",_xlfn.XLOOKUP('Banco de Dados'!$G969,Follow[CODRASTREIO],Follow[DATAATUALIZAÇÃO]),"-")</f>
        <v>45726</v>
      </c>
      <c r="AK969" s="132" t="str">
        <f ca="1"/>
        <v>-</v>
      </c>
      <c r="AL969" s="35"/>
      <c r="AM969" s="109" cm="1">
        <f t="array" aca="1" ref="AM969" ca="1">IF('Banco de Dados'!$AK969&lt;&gt;"-",_xlfn.IFS('Banco de Dados'!$A969="bv",IF('Banco de Dados'!$E969&lt;45641,ROUND(SUM('Banco de Dados'!$R969*_xlfn.XLOOKUP('Banco de Dados'!$P969,Sku!B:B,Sku!#REF!)*20%),2),ROUND(SUM('Banco de Dados'!$R969*_xlfn.XLOOKUP('Banco de Dados'!$P969,Sku!B:B,Sku!H:H)*20%),2)),'Banco de Dados'!$A969="GO",ROUND(SUM('Banco de Dados'!$R969*_xlfn.XLOOKUP('Banco de Dados'!$P969,Sku!C:C,Sku!H:H)*20%),2),'Banco de Dados'!$A969="MEI",ROUND(SUM('Banco de Dados'!$R969*_xlfn.XLOOKUP('Banco de Dados'!$P969,Sku!D:D,Sku!H:H)*20%),2)),0)</f>
        <v>0</v>
      </c>
      <c r="AN969" s="109">
        <f ca="1">IF('Banco de Dados'!$AK969&lt;&gt;"-",IF('Banco de Dados'!$F969&lt;&gt;"-",_xlfn.XLOOKUP(IFERROR(IFERROR(IFERROR(VALUE(SUBSTITUTE(MID(_xlfn.TEXTAFTER('Banco de Dados'!$F969,"Data do Pedido:
",1),1,10),"-","/")),VALUE(SUBSTITUTE(MID(_xlfn.TEXTAFTER('Banco de Dados'!$F969,"Order date:
",1),1,10),"-","/"))),VALUE(SUBSTITUTE(MID(_xlfn.TEXTAFTER('Banco de Dados'!$F969,"Fecha de pedido:
",1),1,10),"-","/"))),"-"),SMS!A:A,SMS!K:K),0),0)</f>
        <v>0</v>
      </c>
      <c r="AO969" s="109">
        <f ca="1">IF('Banco de Dados'!$AK969&lt;&gt;"-",IF('Banco de Dados'!$F969&lt;&gt;"-",IFERROR(_xlfn.XLOOKUP(_xlfn.CONCAT('Banco de Dados'!$A969,IFERROR(IFERROR(VALUE(SUBSTITUTE(MID(_xlfn.TEXTAFTER('Banco de Dados'!$F969,"Data do Pedido:
",1),1,10),"-","/")),VALUE(SUBSTITUTE(MID(_xlfn.TEXTAFTER('Banco de Dados'!$F969,"Order date:
",1),1,10),"-","/"))),0)),ProxyDD[Chave],ProxyDD[Valor por pedido]),PROXY!$P$2),0),0)</f>
        <v>0</v>
      </c>
      <c r="AP969" s="28">
        <f ca="1">IF('Banco de Dados'!$AK969&lt;&gt;"-",IF('Banco de Dados'!$AL969="NÃO",IFERROR(VALUE(SUBSTITUTE(_xlfn.TEXTAFTER('Banco de Dados'!$F969,"BRL ",1),".",",")),0),0),0)</f>
        <v>0</v>
      </c>
      <c r="AQ969" s="28">
        <f ca="1">SUM('Banco de Dados'!$AM969:$AP969)</f>
        <v>0</v>
      </c>
      <c r="AR969" s="8"/>
      <c r="AY969" s="8"/>
    </row>
    <row r="970" spans="1:51">
      <c r="A970" s="5" t="str">
        <v>BV</v>
      </c>
      <c r="B970" s="5" t="str">
        <f ca="1"/>
        <v>BV45699</v>
      </c>
      <c r="C970" s="8" t="str">
        <v>Pedido 957</v>
      </c>
      <c r="D970" s="9">
        <v>45699</v>
      </c>
      <c r="E970" s="9">
        <v>45699</v>
      </c>
      <c r="F970" s="8" t="str">
        <v>PedidoF936</v>
      </c>
      <c r="G970" s="2" t="str">
        <v>CódRastreio934</v>
      </c>
      <c r="H970" s="5">
        <v>1</v>
      </c>
      <c r="I970" s="2" t="str">
        <v>CPF 931</v>
      </c>
      <c r="J970" s="2" t="str">
        <v>Nome 931</v>
      </c>
      <c r="K970" s="8" t="str">
        <v>Tel 931</v>
      </c>
      <c r="L970" s="8" t="str">
        <v>Cep 931</v>
      </c>
      <c r="M970" s="8" t="str">
        <v>Rua 931</v>
      </c>
      <c r="N970" s="8" t="str">
        <v>Comp 931</v>
      </c>
      <c r="O970" s="8" t="str">
        <v>Ventilador Rosa</v>
      </c>
      <c r="P970" s="8" t="str">
        <v>IF-G2ZQ-79FO</v>
      </c>
      <c r="Q970" s="4">
        <v>45723</v>
      </c>
      <c r="R970" s="109">
        <v>55.99</v>
      </c>
      <c r="S970" s="11">
        <f ca="1"/>
        <v>55.99</v>
      </c>
      <c r="T970" s="28">
        <f ca="1"/>
        <v>7.2787000000000006</v>
      </c>
      <c r="U970" s="11">
        <f ca="1"/>
        <v>48.71</v>
      </c>
      <c r="V970" s="11">
        <v>16.97</v>
      </c>
      <c r="W970" s="11">
        <f ca="1"/>
        <v>0.2</v>
      </c>
      <c r="X970" s="11">
        <f ca="1"/>
        <v>0.39877104377104378</v>
      </c>
      <c r="Y970" s="11">
        <v>0</v>
      </c>
      <c r="Z970" s="11">
        <f ca="1"/>
        <v>31.141228956228957</v>
      </c>
      <c r="AA970" s="11">
        <f ca="1"/>
        <v>15.570614478114479</v>
      </c>
      <c r="AB970" s="4">
        <f ca="1"/>
        <v>45730</v>
      </c>
      <c r="AC970" s="4">
        <v>45730</v>
      </c>
      <c r="AD970" s="9">
        <v>45730</v>
      </c>
      <c r="AE970" s="9">
        <v>45733</v>
      </c>
      <c r="AF970" s="4" t="str">
        <f ca="1">_xlfn.CONCAT(PROPER(TEXT(AB970,"aaaa"))," ",PROPER(TEXT(AB970,"mm")))</f>
        <v>2025 03</v>
      </c>
      <c r="AG970" s="8" t="str" cm="1">
        <f t="array" ref="AG970">IFERROR(_xlfn.IFS('Banco de Dados'!#REF!="AG. COMPRA","Em processamento",'Banco de Dados'!#REF!="AG. RASTREIO","Em processamento",'Banco de Dados'!$AE970&lt;&gt;"-","Faturado",'Banco de Dados'!$AD970&lt;&gt;"-","Aguardando Pix",'Banco de Dados'!$AC970&lt;&gt;"-","Pendente"),"Aguardando Liberação")</f>
        <v>Aguardando Liberação</v>
      </c>
      <c r="AH970" s="5" t="str">
        <f>IF('Banco de Dados'!$F970="-",_xlfn.CONCAT(PROPER(TEXT(AK970,"aaaa"))," ",PROPER(TEXT(AK970,"mm"))),_xlfn.CONCAT(PROPER(TEXT(E970,"aaaa"))," ",PROPER(TEXT(E970,"mm"))))</f>
        <v>2025 02</v>
      </c>
      <c r="AI970" s="9" t="str">
        <f ca="1">IF('Banco de Dados'!$AK970&lt;&gt;"-","REEMBOLSO",IFERROR(_xlfn.XLOOKUP(G970,Follow[CODRASTREIO],Follow[STATUS]),"-"))</f>
        <v>ENTREGUE</v>
      </c>
      <c r="AJ970" s="9">
        <f ca="1">IF('Banco de Dados'!$AI970="ENTREGUE",_xlfn.XLOOKUP('Banco de Dados'!$G970,Follow[CODRASTREIO],Follow[DATAATUALIZAÇÃO]),"-")</f>
        <v>45720</v>
      </c>
      <c r="AK970" s="132" t="str">
        <f ca="1"/>
        <v>-</v>
      </c>
      <c r="AL970" s="35"/>
      <c r="AM970" s="109" cm="1">
        <f t="array" aca="1" ref="AM970" ca="1">IF('Banco de Dados'!$AK970&lt;&gt;"-",_xlfn.IFS('Banco de Dados'!$A970="bv",IF('Banco de Dados'!$E970&lt;45641,ROUND(SUM('Banco de Dados'!$R970*_xlfn.XLOOKUP('Banco de Dados'!$P970,Sku!B:B,Sku!#REF!)*20%),2),ROUND(SUM('Banco de Dados'!$R970*_xlfn.XLOOKUP('Banco de Dados'!$P970,Sku!B:B,Sku!H:H)*20%),2)),'Banco de Dados'!$A970="GO",ROUND(_xlfn.XLOOKUP('Banco de Dados'!$P970,Sku!C:C,Sku!H:H),2),'Banco de Dados'!$A970="MEI",ROUND(_xlfn.XLOOKUP('Banco de Dados'!$P970,Sku!D:D,Sku!H:H),2)),0)</f>
        <v>0</v>
      </c>
      <c r="AN970" s="109">
        <f ca="1">IF('Banco de Dados'!$AK970&lt;&gt;"-",IF('Banco de Dados'!$F970&lt;&gt;"-",_xlfn.XLOOKUP(IFERROR(IFERROR(IFERROR(VALUE(SUBSTITUTE(MID(_xlfn.TEXTAFTER('Banco de Dados'!$F970,"Data do Pedido:
",1),1,10),"-","/")),VALUE(SUBSTITUTE(MID(_xlfn.TEXTAFTER('Banco de Dados'!$F970,"Order date:
",1),1,10),"-","/"))),VALUE(SUBSTITUTE(MID(_xlfn.TEXTAFTER('Banco de Dados'!$F970,"Fecha de pedido:
",1),1,10),"-","/"))),"-"),SMS!A:A,SMS!K:K),0),0)</f>
        <v>0</v>
      </c>
      <c r="AO970" s="109">
        <f ca="1">IF('Banco de Dados'!$AK970&lt;&gt;"-",IF('Banco de Dados'!$F970&lt;&gt;"-",IFERROR(_xlfn.XLOOKUP(_xlfn.CONCAT('Banco de Dados'!$A970,IFERROR(IFERROR(VALUE(SUBSTITUTE(MID(_xlfn.TEXTAFTER('Banco de Dados'!$F970,"Data do Pedido:
",1),1,10),"-","/")),VALUE(SUBSTITUTE(MID(_xlfn.TEXTAFTER('Banco de Dados'!$F970,"Order date:
",1),1,10),"-","/"))),0)),ProxyDD[Chave],ProxyDD[Valor por pedido]),PROXY!$P$2),0),0)</f>
        <v>0</v>
      </c>
      <c r="AP970" s="28">
        <f ca="1">IF('Banco de Dados'!$AK970&lt;&gt;"-",IF('Banco de Dados'!$AL970="NÃO",IFERROR(VALUE(SUBSTITUTE(_xlfn.TEXTAFTER('Banco de Dados'!$F970,"BRL ",1),".",",")),0),0),0)</f>
        <v>0</v>
      </c>
      <c r="AQ970" s="28">
        <f ca="1">SUM('Banco de Dados'!$AM970:$AP970)</f>
        <v>0</v>
      </c>
      <c r="AR970" s="8"/>
      <c r="AY970" s="8"/>
    </row>
    <row r="971" spans="1:51">
      <c r="A971" s="5" t="str">
        <v>MEI</v>
      </c>
      <c r="B971" s="5" t="str">
        <f ca="1"/>
        <v>MEI45699</v>
      </c>
      <c r="C971" s="8" t="str">
        <v>Pedido 958</v>
      </c>
      <c r="D971" s="187">
        <v>45699</v>
      </c>
      <c r="E971" s="9">
        <v>45699</v>
      </c>
      <c r="F971" s="8" t="str">
        <v>PedidoF937</v>
      </c>
      <c r="G971" s="2" t="str">
        <v>CódRastreio935</v>
      </c>
      <c r="H971" s="5">
        <v>1</v>
      </c>
      <c r="I971" s="2" t="str">
        <v>CPF 932</v>
      </c>
      <c r="J971" s="2" t="str">
        <v>Nome 932</v>
      </c>
      <c r="K971" s="8" t="str">
        <v>Tel 932</v>
      </c>
      <c r="L971" s="8" t="str">
        <v>Cep 932</v>
      </c>
      <c r="M971" s="8" t="str">
        <v>Rua 932</v>
      </c>
      <c r="N971" s="8" t="str">
        <v>Comp 932</v>
      </c>
      <c r="O971" s="8" t="str">
        <v>Ventilador Preto</v>
      </c>
      <c r="P971" s="8" t="str">
        <v>WU-SS4J-LFOH</v>
      </c>
      <c r="Q971" s="4">
        <v>45723</v>
      </c>
      <c r="R971" s="109">
        <v>61.99</v>
      </c>
      <c r="S971" s="11">
        <f ca="1"/>
        <v>61.99</v>
      </c>
      <c r="T971" s="28">
        <f ca="1"/>
        <v>8.0587</v>
      </c>
      <c r="U971" s="11">
        <f ca="1"/>
        <v>53.93</v>
      </c>
      <c r="V971" s="11">
        <v>16.829999999999998</v>
      </c>
      <c r="W971" s="11">
        <f ca="1"/>
        <v>0.3</v>
      </c>
      <c r="X971" s="11">
        <f ca="1"/>
        <v>0.39877104377104378</v>
      </c>
      <c r="Y971" s="11">
        <v>0</v>
      </c>
      <c r="Z971" s="11">
        <f ca="1"/>
        <v>36.401228956228955</v>
      </c>
      <c r="AA971" s="11">
        <f ca="1"/>
        <v>18.200614478114478</v>
      </c>
      <c r="AB971" s="4">
        <f ca="1"/>
        <v>45730</v>
      </c>
      <c r="AC971" s="4">
        <v>45730</v>
      </c>
      <c r="AD971" s="9">
        <v>45730</v>
      </c>
      <c r="AE971" s="9">
        <v>45733</v>
      </c>
      <c r="AF971" s="4" t="str">
        <f t="shared" ref="AF971:AF979" ca="1" si="51">_xlfn.CONCAT(PROPER(TEXT(AB971,"aaaa"))," ",PROPER(TEXT(AB971,"mm")))</f>
        <v>2025 03</v>
      </c>
      <c r="AG971" s="8" t="str" cm="1">
        <f t="array" ref="AG971">IFERROR(_xlfn.IFS('Banco de Dados'!#REF!="AG. COMPRA","Em processamento",'Banco de Dados'!#REF!="AG. RASTREIO","Em processamento",'Banco de Dados'!$AE971&lt;&gt;"-","Faturado",'Banco de Dados'!$AD971&lt;&gt;"-","Aguardando Pix",'Banco de Dados'!$AC971&lt;&gt;"-","Pendente"),"Aguardando Liberação")</f>
        <v>Aguardando Liberação</v>
      </c>
      <c r="AH971" s="5" t="str">
        <f>IF('Banco de Dados'!$F971="-",_xlfn.CONCAT(PROPER(TEXT(AK971,"aaaa"))," ",PROPER(TEXT(AK971,"mm"))),_xlfn.CONCAT(PROPER(TEXT(E971,"aaaa"))," ",PROPER(TEXT(E971,"mm"))))</f>
        <v>2025 02</v>
      </c>
      <c r="AI971" s="9" t="str">
        <f ca="1">IF('Banco de Dados'!$AK971&lt;&gt;"-","REEMBOLSO",IFERROR(_xlfn.XLOOKUP(G971,Follow[CODRASTREIO],Follow[STATUS]),"-"))</f>
        <v>ENTREGUE</v>
      </c>
      <c r="AJ971" s="9">
        <f ca="1">IF('Banco de Dados'!$AI971="ENTREGUE",_xlfn.XLOOKUP('Banco de Dados'!$G971,Follow[CODRASTREIO],Follow[DATAATUALIZAÇÃO]),"-")</f>
        <v>45712</v>
      </c>
      <c r="AK971" s="132" t="str">
        <f ca="1"/>
        <v>-</v>
      </c>
      <c r="AL971" s="35"/>
      <c r="AM971" s="109" cm="1">
        <f t="array" aca="1" ref="AM971" ca="1">IF('Banco de Dados'!$AK971&lt;&gt;"-",_xlfn.IFS('Banco de Dados'!$A971="bv",IF('Banco de Dados'!$E971&lt;45641,ROUND(SUM('Banco de Dados'!$R971*_xlfn.XLOOKUP('Banco de Dados'!$P971,Sku!B:B,Sku!#REF!)*20%),2),ROUND(SUM('Banco de Dados'!$R971*_xlfn.XLOOKUP('Banco de Dados'!$P971,Sku!B:B,Sku!H:H)*20%),2)),'Banco de Dados'!$A971="GO",ROUND(SUM('Banco de Dados'!$R971*_xlfn.XLOOKUP('Banco de Dados'!$P971,Sku!C:C,Sku!H:H)*20%),2),'Banco de Dados'!$A971="MEI",ROUND(SUM('Banco de Dados'!$R971*_xlfn.XLOOKUP('Banco de Dados'!$P971,Sku!D:D,Sku!H:H)*20%),2)),0)</f>
        <v>0</v>
      </c>
      <c r="AN971" s="109">
        <f ca="1">IF('Banco de Dados'!$AK971&lt;&gt;"-",IF('Banco de Dados'!$F971&lt;&gt;"-",_xlfn.XLOOKUP(IFERROR(IFERROR(IFERROR(VALUE(SUBSTITUTE(MID(_xlfn.TEXTAFTER('Banco de Dados'!$F971,"Data do Pedido:
",1),1,10),"-","/")),VALUE(SUBSTITUTE(MID(_xlfn.TEXTAFTER('Banco de Dados'!$F971,"Order date:
",1),1,10),"-","/"))),VALUE(SUBSTITUTE(MID(_xlfn.TEXTAFTER('Banco de Dados'!$F971,"Fecha de pedido:
",1),1,10),"-","/"))),"-"),SMS!A:A,SMS!K:K),0),0)</f>
        <v>0</v>
      </c>
      <c r="AO971" s="109">
        <f ca="1">IF('Banco de Dados'!$AK971&lt;&gt;"-",IF('Banco de Dados'!$F971&lt;&gt;"-",IFERROR(_xlfn.XLOOKUP(_xlfn.CONCAT('Banco de Dados'!$A971,IFERROR(IFERROR(VALUE(SUBSTITUTE(MID(_xlfn.TEXTAFTER('Banco de Dados'!$F971,"Data do Pedido:
",1),1,10),"-","/")),VALUE(SUBSTITUTE(MID(_xlfn.TEXTAFTER('Banco de Dados'!$F971,"Order date:
",1),1,10),"-","/"))),0)),ProxyDD[Chave],ProxyDD[Valor por pedido]),PROXY!$P$2),0),0)</f>
        <v>0</v>
      </c>
      <c r="AP971" s="28">
        <f ca="1">IF('Banco de Dados'!$AK971&lt;&gt;"-",IF('Banco de Dados'!$AL971="NÃO",IFERROR(VALUE(SUBSTITUTE(_xlfn.TEXTAFTER('Banco de Dados'!$F971,"BRL ",1),".",",")),0),0),0)</f>
        <v>0</v>
      </c>
      <c r="AQ971" s="28">
        <f ca="1">SUM('Banco de Dados'!$AM971:$AP971)</f>
        <v>0</v>
      </c>
      <c r="AR971" s="8"/>
      <c r="AY971" s="8"/>
    </row>
    <row r="972" spans="1:51">
      <c r="A972" s="5" t="str">
        <v>MEI</v>
      </c>
      <c r="B972" s="5" t="str">
        <f ca="1"/>
        <v>MEI45699</v>
      </c>
      <c r="C972" s="8" t="str">
        <v>Pedido 959</v>
      </c>
      <c r="D972" s="187">
        <v>45699</v>
      </c>
      <c r="E972" s="9">
        <v>45699</v>
      </c>
      <c r="F972" s="8" t="str">
        <v>PedidoF938</v>
      </c>
      <c r="G972" s="2" t="str">
        <v>CódRastreio936</v>
      </c>
      <c r="H972" s="5">
        <v>1</v>
      </c>
      <c r="I972" s="2" t="str">
        <v>CPF 933</v>
      </c>
      <c r="J972" s="2" t="str">
        <v>Nome 933</v>
      </c>
      <c r="K972" s="8" t="str">
        <v>Tel 933</v>
      </c>
      <c r="L972" s="8" t="str">
        <v>Cep 933</v>
      </c>
      <c r="M972" s="8" t="str">
        <v>Rua 933</v>
      </c>
      <c r="N972" s="8" t="str">
        <v>Comp 933</v>
      </c>
      <c r="O972" s="8" t="str">
        <v>Ventilador Preto</v>
      </c>
      <c r="P972" s="8" t="str">
        <v>WU-SS4J-LFOH</v>
      </c>
      <c r="Q972" s="4">
        <v>45723</v>
      </c>
      <c r="R972" s="109">
        <v>61.99</v>
      </c>
      <c r="S972" s="11">
        <f ca="1"/>
        <v>61.99</v>
      </c>
      <c r="T972" s="28">
        <f ca="1"/>
        <v>8.0587</v>
      </c>
      <c r="U972" s="11">
        <f ca="1"/>
        <v>53.93</v>
      </c>
      <c r="V972" s="11">
        <v>16.829999999999998</v>
      </c>
      <c r="W972" s="11">
        <f ca="1"/>
        <v>0.3</v>
      </c>
      <c r="X972" s="11">
        <f ca="1"/>
        <v>0.39877104377104378</v>
      </c>
      <c r="Y972" s="11">
        <v>0</v>
      </c>
      <c r="Z972" s="11">
        <f ca="1"/>
        <v>36.401228956228955</v>
      </c>
      <c r="AA972" s="11">
        <f ca="1"/>
        <v>18.200614478114478</v>
      </c>
      <c r="AB972" s="4">
        <f ca="1"/>
        <v>45730</v>
      </c>
      <c r="AC972" s="4">
        <v>45730</v>
      </c>
      <c r="AD972" s="9">
        <v>45730</v>
      </c>
      <c r="AE972" s="9">
        <v>45733</v>
      </c>
      <c r="AF972" s="4" t="str">
        <f t="shared" ca="1" si="51"/>
        <v>2025 03</v>
      </c>
      <c r="AG972" s="8" t="str" cm="1">
        <f t="array" ref="AG972">IFERROR(_xlfn.IFS('Banco de Dados'!#REF!="AG. COMPRA","Em processamento",'Banco de Dados'!#REF!="AG. RASTREIO","Em processamento",'Banco de Dados'!$AE972&lt;&gt;"-","Faturado",'Banco de Dados'!$AD972&lt;&gt;"-","Aguardando Pix",'Banco de Dados'!$AC972&lt;&gt;"-","Pendente"),"Aguardando Liberação")</f>
        <v>Aguardando Liberação</v>
      </c>
      <c r="AH972" s="5" t="str">
        <f>IF('Banco de Dados'!$F972="-",_xlfn.CONCAT(PROPER(TEXT(AK972,"aaaa"))," ",PROPER(TEXT(AK972,"mm"))),_xlfn.CONCAT(PROPER(TEXT(E972,"aaaa"))," ",PROPER(TEXT(E972,"mm"))))</f>
        <v>2025 02</v>
      </c>
      <c r="AI972" s="9" t="str">
        <f ca="1">IF('Banco de Dados'!$AK972&lt;&gt;"-","REEMBOLSO",IFERROR(_xlfn.XLOOKUP(G972,Follow[CODRASTREIO],Follow[STATUS]),"-"))</f>
        <v>ENTREGUE</v>
      </c>
      <c r="AJ972" s="9">
        <f ca="1">IF('Banco de Dados'!$AI972="ENTREGUE",_xlfn.XLOOKUP('Banco de Dados'!$G972,Follow[CODRASTREIO],Follow[DATAATUALIZAÇÃO]),"-")</f>
        <v>45712</v>
      </c>
      <c r="AK972" s="132" t="str">
        <f ca="1"/>
        <v>-</v>
      </c>
      <c r="AL972" s="35"/>
      <c r="AM972" s="109" cm="1">
        <f t="array" aca="1" ref="AM972" ca="1">IF('Banco de Dados'!$AK972&lt;&gt;"-",_xlfn.IFS('Banco de Dados'!$A972="bv",IF('Banco de Dados'!$E972&lt;45641,ROUND(SUM('Banco de Dados'!$R972*_xlfn.XLOOKUP('Banco de Dados'!$P972,Sku!B:B,Sku!#REF!)*20%),2),ROUND(SUM('Banco de Dados'!$R972*_xlfn.XLOOKUP('Banco de Dados'!$P972,Sku!B:B,Sku!H:H)*20%),2)),'Banco de Dados'!$A972="GO",ROUND(SUM('Banco de Dados'!$R972*_xlfn.XLOOKUP('Banco de Dados'!$P972,Sku!C:C,Sku!H:H)*20%),2),'Banco de Dados'!$A972="MEI",ROUND(SUM('Banco de Dados'!$R972*_xlfn.XLOOKUP('Banco de Dados'!$P972,Sku!D:D,Sku!H:H)*20%),2)),0)</f>
        <v>0</v>
      </c>
      <c r="AN972" s="109">
        <f ca="1">IF('Banco de Dados'!$AK972&lt;&gt;"-",IF('Banco de Dados'!$F972&lt;&gt;"-",_xlfn.XLOOKUP(IFERROR(IFERROR(IFERROR(VALUE(SUBSTITUTE(MID(_xlfn.TEXTAFTER('Banco de Dados'!$F972,"Data do Pedido:
",1),1,10),"-","/")),VALUE(SUBSTITUTE(MID(_xlfn.TEXTAFTER('Banco de Dados'!$F972,"Order date:
",1),1,10),"-","/"))),VALUE(SUBSTITUTE(MID(_xlfn.TEXTAFTER('Banco de Dados'!$F972,"Fecha de pedido:
",1),1,10),"-","/"))),"-"),SMS!A:A,SMS!K:K),0),0)</f>
        <v>0</v>
      </c>
      <c r="AO972" s="109">
        <f ca="1">IF('Banco de Dados'!$AK972&lt;&gt;"-",IF('Banco de Dados'!$F972&lt;&gt;"-",IFERROR(_xlfn.XLOOKUP(_xlfn.CONCAT('Banco de Dados'!$A972,IFERROR(IFERROR(VALUE(SUBSTITUTE(MID(_xlfn.TEXTAFTER('Banco de Dados'!$F972,"Data do Pedido:
",1),1,10),"-","/")),VALUE(SUBSTITUTE(MID(_xlfn.TEXTAFTER('Banco de Dados'!$F972,"Order date:
",1),1,10),"-","/"))),0)),ProxyDD[Chave],ProxyDD[Valor por pedido]),PROXY!$P$2),0),0)</f>
        <v>0</v>
      </c>
      <c r="AP972" s="28">
        <f ca="1">IF('Banco de Dados'!$AK972&lt;&gt;"-",IF('Banco de Dados'!$AL972="NÃO",IFERROR(VALUE(SUBSTITUTE(_xlfn.TEXTAFTER('Banco de Dados'!$F972,"BRL ",1),".",",")),0),0),0)</f>
        <v>0</v>
      </c>
      <c r="AQ972" s="28">
        <f ca="1">SUM('Banco de Dados'!$AM972:$AP972)</f>
        <v>0</v>
      </c>
      <c r="AR972" s="8"/>
      <c r="AY972" s="8"/>
    </row>
    <row r="973" spans="1:51">
      <c r="A973" s="5" t="str">
        <v>MEI</v>
      </c>
      <c r="B973" s="5" t="str">
        <f ca="1"/>
        <v>MEI45699</v>
      </c>
      <c r="C973" s="8" t="str">
        <v>Pedido 960</v>
      </c>
      <c r="D973" s="187">
        <v>45699</v>
      </c>
      <c r="E973" s="9">
        <v>45699</v>
      </c>
      <c r="F973" s="8" t="str">
        <v>PedidoF939</v>
      </c>
      <c r="G973" s="2" t="str">
        <v>CódRastreio937</v>
      </c>
      <c r="H973" s="5">
        <v>1</v>
      </c>
      <c r="I973" s="2" t="str">
        <v>CPF 934</v>
      </c>
      <c r="J973" s="2" t="str">
        <v>Nome 934</v>
      </c>
      <c r="K973" s="8" t="str">
        <v>Tel 934</v>
      </c>
      <c r="L973" s="8" t="str">
        <v>Cep 934</v>
      </c>
      <c r="M973" s="8" t="str">
        <v>Rua 934</v>
      </c>
      <c r="N973" s="8" t="str">
        <v>Comp 934</v>
      </c>
      <c r="O973" s="8" t="str">
        <v>Mini Liquidificador</v>
      </c>
      <c r="P973" s="8" t="str">
        <v>A4-5W51-K3HF</v>
      </c>
      <c r="Q973" s="4">
        <v>45714</v>
      </c>
      <c r="R973" s="109">
        <v>30.99</v>
      </c>
      <c r="S973" s="11">
        <f ca="1"/>
        <v>30.99</v>
      </c>
      <c r="T973" s="28">
        <f ca="1"/>
        <v>4.3386000000000005</v>
      </c>
      <c r="U973" s="11">
        <f ca="1"/>
        <v>26.65</v>
      </c>
      <c r="V973" s="11">
        <v>14.99</v>
      </c>
      <c r="W973" s="11">
        <f ca="1"/>
        <v>0.3</v>
      </c>
      <c r="X973" s="11">
        <f ca="1"/>
        <v>0.39877104377104378</v>
      </c>
      <c r="Y973" s="11">
        <v>0</v>
      </c>
      <c r="Z973" s="11">
        <f ca="1"/>
        <v>10.961228956228954</v>
      </c>
      <c r="AA973" s="11">
        <f ca="1"/>
        <v>5.480614478114477</v>
      </c>
      <c r="AB973" s="4">
        <f ca="1"/>
        <v>45721</v>
      </c>
      <c r="AC973" s="4">
        <v>45721</v>
      </c>
      <c r="AD973" s="9">
        <v>45730</v>
      </c>
      <c r="AE973" s="9">
        <v>45733</v>
      </c>
      <c r="AF973" s="4" t="str">
        <f t="shared" ca="1" si="51"/>
        <v>2025 03</v>
      </c>
      <c r="AG973" s="8" t="str" cm="1">
        <f t="array" ref="AG973">IFERROR(_xlfn.IFS('Banco de Dados'!#REF!="AG. COMPRA","Em processamento",'Banco de Dados'!#REF!="AG. RASTREIO","Em processamento",'Banco de Dados'!$AE973&lt;&gt;"-","Faturado",'Banco de Dados'!$AD973&lt;&gt;"-","Aguardando Pix",'Banco de Dados'!$AC973&lt;&gt;"-","Pendente"),"Aguardando Liberação")</f>
        <v>Aguardando Liberação</v>
      </c>
      <c r="AH973" s="5" t="str">
        <f>IF('Banco de Dados'!$F973="-",_xlfn.CONCAT(PROPER(TEXT(AK973,"aaaa"))," ",PROPER(TEXT(AK973,"mm"))),_xlfn.CONCAT(PROPER(TEXT(E973,"aaaa"))," ",PROPER(TEXT(E973,"mm"))))</f>
        <v>2025 02</v>
      </c>
      <c r="AI973" s="9" t="str">
        <f ca="1">IF('Banco de Dados'!$AK973&lt;&gt;"-","REEMBOLSO",IFERROR(_xlfn.XLOOKUP(G973,Follow[CODRASTREIO],Follow[STATUS]),"-"))</f>
        <v>ENTREGUE</v>
      </c>
      <c r="AJ973" s="9">
        <f ca="1">IF('Banco de Dados'!$AI973="ENTREGUE",_xlfn.XLOOKUP('Banco de Dados'!$G973,Follow[CODRASTREIO],Follow[DATAATUALIZAÇÃO]),"-")</f>
        <v>45702</v>
      </c>
      <c r="AK973" s="132" t="str">
        <f ca="1"/>
        <v>-</v>
      </c>
      <c r="AL973" s="35"/>
      <c r="AM973" s="109" cm="1">
        <f t="array" aca="1" ref="AM973" ca="1">IF('Banco de Dados'!$AK973&lt;&gt;"-",_xlfn.IFS('Banco de Dados'!$A973="bv",IF('Banco de Dados'!$E973&lt;45641,ROUND(SUM('Banco de Dados'!$R973*_xlfn.XLOOKUP('Banco de Dados'!$P973,Sku!B:B,Sku!#REF!)*20%),2),ROUND(SUM('Banco de Dados'!$R973*_xlfn.XLOOKUP('Banco de Dados'!$P973,Sku!B:B,Sku!H:H)*20%),2)),'Banco de Dados'!$A973="GO",ROUND(SUM('Banco de Dados'!$R973*_xlfn.XLOOKUP('Banco de Dados'!$P973,Sku!C:C,Sku!H:H)*20%),2),'Banco de Dados'!$A973="MEI",ROUND(SUM('Banco de Dados'!$R973*_xlfn.XLOOKUP('Banco de Dados'!$P973,Sku!D:D,Sku!H:H)*20%),2)),0)</f>
        <v>0</v>
      </c>
      <c r="AN973" s="109">
        <f ca="1">IF('Banco de Dados'!$AK973&lt;&gt;"-",IF('Banco de Dados'!$F973&lt;&gt;"-",_xlfn.XLOOKUP(IFERROR(IFERROR(IFERROR(VALUE(SUBSTITUTE(MID(_xlfn.TEXTAFTER('Banco de Dados'!$F973,"Data do Pedido:
",1),1,10),"-","/")),VALUE(SUBSTITUTE(MID(_xlfn.TEXTAFTER('Banco de Dados'!$F973,"Order date:
",1),1,10),"-","/"))),VALUE(SUBSTITUTE(MID(_xlfn.TEXTAFTER('Banco de Dados'!$F973,"Fecha de pedido:
",1),1,10),"-","/"))),"-"),SMS!A:A,SMS!K:K),0),0)</f>
        <v>0</v>
      </c>
      <c r="AO973" s="109">
        <f ca="1">IF('Banco de Dados'!$AK973&lt;&gt;"-",IF('Banco de Dados'!$F973&lt;&gt;"-",IFERROR(_xlfn.XLOOKUP(_xlfn.CONCAT('Banco de Dados'!$A973,IFERROR(IFERROR(VALUE(SUBSTITUTE(MID(_xlfn.TEXTAFTER('Banco de Dados'!$F973,"Data do Pedido:
",1),1,10),"-","/")),VALUE(SUBSTITUTE(MID(_xlfn.TEXTAFTER('Banco de Dados'!$F973,"Order date:
",1),1,10),"-","/"))),0)),ProxyDD[Chave],ProxyDD[Valor por pedido]),PROXY!$P$2),0),0)</f>
        <v>0</v>
      </c>
      <c r="AP973" s="28">
        <f ca="1">IF('Banco de Dados'!$AK973&lt;&gt;"-",IF('Banco de Dados'!$AL973="NÃO",IFERROR(VALUE(SUBSTITUTE(_xlfn.TEXTAFTER('Banco de Dados'!$F973,"BRL ",1),".",",")),0),0),0)</f>
        <v>0</v>
      </c>
      <c r="AQ973" s="28">
        <f ca="1">SUM('Banco de Dados'!$AM973:$AP973)</f>
        <v>0</v>
      </c>
      <c r="AR973" s="8"/>
      <c r="AY973" s="8"/>
    </row>
    <row r="974" spans="1:51">
      <c r="A974" s="5" t="str">
        <v>MEI</v>
      </c>
      <c r="B974" s="5" t="str">
        <f ca="1"/>
        <v>MEI45699</v>
      </c>
      <c r="C974" s="8" t="str">
        <v>Pedido 961</v>
      </c>
      <c r="D974" s="187">
        <v>45699</v>
      </c>
      <c r="E974" s="9">
        <v>45699</v>
      </c>
      <c r="F974" s="8" t="str">
        <v>PedidoF940</v>
      </c>
      <c r="G974" s="2" t="str">
        <v>CódRastreio938</v>
      </c>
      <c r="H974" s="5">
        <v>1</v>
      </c>
      <c r="I974" s="2" t="str">
        <v>CPF 935</v>
      </c>
      <c r="J974" s="2" t="str">
        <v>Nome 935</v>
      </c>
      <c r="K974" s="8" t="str">
        <v>Tel 935</v>
      </c>
      <c r="L974" s="8" t="str">
        <v>Cep 935</v>
      </c>
      <c r="M974" s="8" t="str">
        <v>Rua 935</v>
      </c>
      <c r="N974" s="8" t="str">
        <v>Comp 935</v>
      </c>
      <c r="O974" s="8" t="str">
        <v>Mini Liquidificador</v>
      </c>
      <c r="P974" s="8" t="str">
        <v>A4-5W51-K3HF</v>
      </c>
      <c r="Q974" s="4">
        <v>45716</v>
      </c>
      <c r="R974" s="109">
        <v>30.99</v>
      </c>
      <c r="S974" s="11">
        <f ca="1"/>
        <v>30.99</v>
      </c>
      <c r="T974" s="28">
        <f ca="1"/>
        <v>4.3386000000000005</v>
      </c>
      <c r="U974" s="11">
        <f ca="1"/>
        <v>26.65</v>
      </c>
      <c r="V974" s="11">
        <v>14.99</v>
      </c>
      <c r="W974" s="11">
        <f ca="1"/>
        <v>0.3</v>
      </c>
      <c r="X974" s="11">
        <f ca="1"/>
        <v>0.39877104377104378</v>
      </c>
      <c r="Y974" s="11">
        <v>0</v>
      </c>
      <c r="Z974" s="11">
        <f ca="1"/>
        <v>10.961228956228954</v>
      </c>
      <c r="AA974" s="11">
        <f ca="1"/>
        <v>5.480614478114477</v>
      </c>
      <c r="AB974" s="4">
        <f ca="1"/>
        <v>45723</v>
      </c>
      <c r="AC974" s="4">
        <v>45723</v>
      </c>
      <c r="AD974" s="9">
        <v>45730</v>
      </c>
      <c r="AE974" s="9">
        <v>45733</v>
      </c>
      <c r="AF974" s="4" t="str">
        <f t="shared" ca="1" si="51"/>
        <v>2025 03</v>
      </c>
      <c r="AG974" s="8" t="str" cm="1">
        <f t="array" ref="AG974">IFERROR(_xlfn.IFS('Banco de Dados'!#REF!="AG. COMPRA","Em processamento",'Banco de Dados'!#REF!="AG. RASTREIO","Em processamento",'Banco de Dados'!$AE974&lt;&gt;"-","Faturado",'Banco de Dados'!$AD974&lt;&gt;"-","Aguardando Pix",'Banco de Dados'!$AC974&lt;&gt;"-","Pendente"),"Aguardando Liberação")</f>
        <v>Aguardando Liberação</v>
      </c>
      <c r="AH974" s="5" t="str">
        <f>IF('Banco de Dados'!$F974="-",_xlfn.CONCAT(PROPER(TEXT(AK974,"aaaa"))," ",PROPER(TEXT(AK974,"mm"))),_xlfn.CONCAT(PROPER(TEXT(E974,"aaaa"))," ",PROPER(TEXT(E974,"mm"))))</f>
        <v>2025 02</v>
      </c>
      <c r="AI974" s="9" t="str">
        <f ca="1">IF('Banco de Dados'!$AK974&lt;&gt;"-","REEMBOLSO",IFERROR(_xlfn.XLOOKUP(G974,Follow[CODRASTREIO],Follow[STATUS]),"-"))</f>
        <v>ENTREGUE</v>
      </c>
      <c r="AJ974" s="9">
        <f ca="1">IF('Banco de Dados'!$AI974="ENTREGUE",_xlfn.XLOOKUP('Banco de Dados'!$G974,Follow[CODRASTREIO],Follow[DATAATUALIZAÇÃO]),"-")</f>
        <v>45703</v>
      </c>
      <c r="AK974" s="132" t="str">
        <f ca="1"/>
        <v>-</v>
      </c>
      <c r="AL974" s="35"/>
      <c r="AM974" s="109" cm="1">
        <f t="array" aca="1" ref="AM974" ca="1">IF('Banco de Dados'!$AK974&lt;&gt;"-",_xlfn.IFS('Banco de Dados'!$A974="bv",IF('Banco de Dados'!$E974&lt;45641,ROUND(SUM('Banco de Dados'!$R974*_xlfn.XLOOKUP('Banco de Dados'!$P974,Sku!B:B,Sku!#REF!)*20%),2),ROUND(SUM('Banco de Dados'!$R974*_xlfn.XLOOKUP('Banco de Dados'!$P974,Sku!B:B,Sku!H:H)*20%),2)),'Banco de Dados'!$A974="GO",ROUND(SUM('Banco de Dados'!$R974*_xlfn.XLOOKUP('Banco de Dados'!$P974,Sku!C:C,Sku!H:H)*20%),2),'Banco de Dados'!$A974="MEI",ROUND(SUM('Banco de Dados'!$R974*_xlfn.XLOOKUP('Banco de Dados'!$P974,Sku!D:D,Sku!H:H)*20%),2)),0)</f>
        <v>0</v>
      </c>
      <c r="AN974" s="109">
        <f ca="1">IF('Banco de Dados'!$AK974&lt;&gt;"-",IF('Banco de Dados'!$F974&lt;&gt;"-",_xlfn.XLOOKUP(IFERROR(IFERROR(IFERROR(VALUE(SUBSTITUTE(MID(_xlfn.TEXTAFTER('Banco de Dados'!$F974,"Data do Pedido:
",1),1,10),"-","/")),VALUE(SUBSTITUTE(MID(_xlfn.TEXTAFTER('Banco de Dados'!$F974,"Order date:
",1),1,10),"-","/"))),VALUE(SUBSTITUTE(MID(_xlfn.TEXTAFTER('Banco de Dados'!$F974,"Fecha de pedido:
",1),1,10),"-","/"))),"-"),SMS!A:A,SMS!K:K),0),0)</f>
        <v>0</v>
      </c>
      <c r="AO974" s="109">
        <f ca="1">IF('Banco de Dados'!$AK974&lt;&gt;"-",IF('Banco de Dados'!$F974&lt;&gt;"-",IFERROR(_xlfn.XLOOKUP(_xlfn.CONCAT('Banco de Dados'!$A974,IFERROR(IFERROR(VALUE(SUBSTITUTE(MID(_xlfn.TEXTAFTER('Banco de Dados'!$F974,"Data do Pedido:
",1),1,10),"-","/")),VALUE(SUBSTITUTE(MID(_xlfn.TEXTAFTER('Banco de Dados'!$F974,"Order date:
",1),1,10),"-","/"))),0)),ProxyDD[Chave],ProxyDD[Valor por pedido]),PROXY!$P$2),0),0)</f>
        <v>0</v>
      </c>
      <c r="AP974" s="28">
        <f ca="1">IF('Banco de Dados'!$AK974&lt;&gt;"-",IF('Banco de Dados'!$AL974="NÃO",IFERROR(VALUE(SUBSTITUTE(_xlfn.TEXTAFTER('Banco de Dados'!$F974,"BRL ",1),".",",")),0),0),0)</f>
        <v>0</v>
      </c>
      <c r="AQ974" s="28">
        <f ca="1">SUM('Banco de Dados'!$AM974:$AP974)</f>
        <v>0</v>
      </c>
      <c r="AR974" s="8"/>
      <c r="AY974" s="8"/>
    </row>
    <row r="975" spans="1:51">
      <c r="A975" s="5" t="str">
        <v>MEI</v>
      </c>
      <c r="B975" s="5" t="str">
        <f ca="1"/>
        <v>MEI45699</v>
      </c>
      <c r="C975" s="8" t="str">
        <v>Pedido 962</v>
      </c>
      <c r="D975" s="187">
        <v>45699</v>
      </c>
      <c r="E975" s="9">
        <v>45699</v>
      </c>
      <c r="F975" s="8" t="str">
        <v>PedidoF941</v>
      </c>
      <c r="G975" s="2" t="str">
        <v>CódRastreio939</v>
      </c>
      <c r="H975" s="5">
        <v>1</v>
      </c>
      <c r="I975" s="2" t="str">
        <v>CPF 936</v>
      </c>
      <c r="J975" s="2" t="str">
        <v>Nome 936</v>
      </c>
      <c r="K975" s="8" t="str">
        <v>Tel 936</v>
      </c>
      <c r="L975" s="8" t="str">
        <v>Cep 936</v>
      </c>
      <c r="M975" s="8" t="str">
        <v>Rua 936</v>
      </c>
      <c r="N975" s="8" t="str">
        <v>Comp 936</v>
      </c>
      <c r="O975" s="8" t="str">
        <v>Mini Liquidificador</v>
      </c>
      <c r="P975" s="8" t="str">
        <v>A4-5W51-K3HF</v>
      </c>
      <c r="Q975" s="4">
        <v>45714</v>
      </c>
      <c r="R975" s="109">
        <v>30.99</v>
      </c>
      <c r="S975" s="11">
        <f ca="1"/>
        <v>0</v>
      </c>
      <c r="T975" s="28">
        <f ca="1"/>
        <v>0</v>
      </c>
      <c r="U975" s="11">
        <f ca="1"/>
        <v>0</v>
      </c>
      <c r="V975" s="11">
        <v>0</v>
      </c>
      <c r="W975" s="11">
        <f ca="1"/>
        <v>0</v>
      </c>
      <c r="X975" s="11">
        <f ca="1"/>
        <v>0.39877104377104378</v>
      </c>
      <c r="Y975" s="11">
        <v>0</v>
      </c>
      <c r="Z975" s="11">
        <f ca="1"/>
        <v>-0.39877104377104378</v>
      </c>
      <c r="AA975" s="11">
        <f ca="1"/>
        <v>-0.19938552188552189</v>
      </c>
      <c r="AB975" s="4">
        <f ca="1"/>
        <v>45721</v>
      </c>
      <c r="AC975" s="4">
        <v>45721</v>
      </c>
      <c r="AD975" s="9">
        <v>45730</v>
      </c>
      <c r="AE975" s="9">
        <v>45733</v>
      </c>
      <c r="AF975" s="4" t="str">
        <f t="shared" ca="1" si="51"/>
        <v>2025 03</v>
      </c>
      <c r="AG975" s="8" t="str" cm="1">
        <f t="array" ref="AG975">IFERROR(_xlfn.IFS('Banco de Dados'!#REF!="AG. COMPRA","Em processamento",'Banco de Dados'!#REF!="AG. RASTREIO","Em processamento",'Banco de Dados'!$AE975&lt;&gt;"-","Faturado",'Banco de Dados'!$AD975&lt;&gt;"-","Aguardando Pix",'Banco de Dados'!$AC975&lt;&gt;"-","Pendente"),"Aguardando Liberação")</f>
        <v>Aguardando Liberação</v>
      </c>
      <c r="AH975" s="5" t="str">
        <f>IF('Banco de Dados'!$F975="-",_xlfn.CONCAT(PROPER(TEXT(AK975,"aaaa"))," ",PROPER(TEXT(AK975,"mm"))),_xlfn.CONCAT(PROPER(TEXT(E975,"aaaa"))," ",PROPER(TEXT(E975,"mm"))))</f>
        <v>2025 02</v>
      </c>
      <c r="AI975" s="9" t="str">
        <f ca="1">IF('Banco de Dados'!$AK975&lt;&gt;"-","REEMBOLSO",IFERROR(_xlfn.XLOOKUP(G975,Follow[CODRASTREIO],Follow[STATUS]),"-"))</f>
        <v>REEMBOLSO</v>
      </c>
      <c r="AJ975" s="9" t="str">
        <f ca="1">IF('Banco de Dados'!$AI975="ENTREGUE",_xlfn.XLOOKUP('Banco de Dados'!$G975,Follow[CODRASTREIO],Follow[DATAATUALIZAÇÃO]),"-")</f>
        <v>-</v>
      </c>
      <c r="AK975" s="132">
        <f ca="1"/>
        <v>45709</v>
      </c>
      <c r="AL975" s="35"/>
      <c r="AM975" s="109" cm="1">
        <f t="array" aca="1" ref="AM975" ca="1">IF('Banco de Dados'!$AK975&lt;&gt;"-",_xlfn.IFS('Banco de Dados'!$A975="bv",IF('Banco de Dados'!$E975&lt;45641,ROUND(SUM('Banco de Dados'!$R975*_xlfn.XLOOKUP('Banco de Dados'!$P975,Sku!B:B,Sku!#REF!)*20%),2),ROUND(SUM('Banco de Dados'!$R975*_xlfn.XLOOKUP('Banco de Dados'!$P975,Sku!B:B,Sku!H:H)*20%),2)),'Banco de Dados'!$A975="GO",ROUND(SUM('Banco de Dados'!$R975*_xlfn.XLOOKUP('Banco de Dados'!$P975,Sku!C:C,Sku!H:H)*20%),2),'Banco de Dados'!$A975="MEI",ROUND(SUM('Banco de Dados'!$R975*_xlfn.XLOOKUP('Banco de Dados'!$P975,Sku!D:D,Sku!H:H)*20%),2)),0)</f>
        <v>0.81</v>
      </c>
      <c r="AN975" s="109" t="e">
        <f ca="1">IF('Banco de Dados'!$AK975&lt;&gt;"-",IF('Banco de Dados'!$F975&lt;&gt;"-",_xlfn.XLOOKUP(IFERROR(IFERROR(IFERROR(VALUE(SUBSTITUTE(MID(_xlfn.TEXTAFTER('Banco de Dados'!$F975,"Data do Pedido:
",1),1,10),"-","/")),VALUE(SUBSTITUTE(MID(_xlfn.TEXTAFTER('Banco de Dados'!$F975,"Order date:
",1),1,10),"-","/"))),VALUE(SUBSTITUTE(MID(_xlfn.TEXTAFTER('Banco de Dados'!$F975,"Fecha de pedido:
",1),1,10),"-","/"))),"-"),SMS!A:A,SMS!K:K),0),0)</f>
        <v>#N/A</v>
      </c>
      <c r="AO975" s="109">
        <f ca="1">IF('Banco de Dados'!$AK975&lt;&gt;"-",IF('Banco de Dados'!$F975&lt;&gt;"-",IFERROR(_xlfn.XLOOKUP(_xlfn.CONCAT('Banco de Dados'!$A975,IFERROR(IFERROR(VALUE(SUBSTITUTE(MID(_xlfn.TEXTAFTER('Banco de Dados'!$F975,"Data do Pedido:
",1),1,10),"-","/")),VALUE(SUBSTITUTE(MID(_xlfn.TEXTAFTER('Banco de Dados'!$F975,"Order date:
",1),1,10),"-","/"))),0)),ProxyDD[Chave],ProxyDD[Valor por pedido]),PROXY!$P$2),0),0)</f>
        <v>0.39877104377104378</v>
      </c>
      <c r="AP975" s="28">
        <f ca="1">IF('Banco de Dados'!$AK975&lt;&gt;"-",IF('Banco de Dados'!$AL975="NÃO",IFERROR(VALUE(SUBSTITUTE(_xlfn.TEXTAFTER('Banco de Dados'!$F975,"BRL ",1),".",",")),0),0),0)</f>
        <v>0</v>
      </c>
      <c r="AQ975" s="28" t="e">
        <f ca="1">SUM('Banco de Dados'!$AM975:$AP975)</f>
        <v>#N/A</v>
      </c>
      <c r="AR975" s="8"/>
      <c r="AY975" s="8"/>
    </row>
    <row r="976" spans="1:51">
      <c r="A976" s="5" t="str">
        <v>MEI</v>
      </c>
      <c r="B976" s="5" t="str">
        <f ca="1"/>
        <v>MEI45699</v>
      </c>
      <c r="C976" s="8" t="str">
        <v>Pedido 963</v>
      </c>
      <c r="D976" s="187">
        <v>45699</v>
      </c>
      <c r="E976" s="9">
        <v>45699</v>
      </c>
      <c r="F976" s="8" t="str">
        <v>PedidoF942</v>
      </c>
      <c r="G976" s="2" t="str">
        <v>CódRastreio940</v>
      </c>
      <c r="H976" s="5">
        <v>1</v>
      </c>
      <c r="I976" s="2" t="str">
        <v>CPF 937</v>
      </c>
      <c r="J976" s="2" t="str">
        <v>Nome 937</v>
      </c>
      <c r="K976" s="8" t="str">
        <v>Tel 937</v>
      </c>
      <c r="L976" s="8" t="str">
        <v>Cep 937</v>
      </c>
      <c r="M976" s="8" t="str">
        <v>Rua 937</v>
      </c>
      <c r="N976" s="8" t="str">
        <v>Comp 937</v>
      </c>
      <c r="O976" s="8" t="str">
        <v>Ventilador Preto</v>
      </c>
      <c r="P976" s="8" t="str">
        <v>WU-SS4J-LFOH</v>
      </c>
      <c r="Q976" s="4">
        <v>45729</v>
      </c>
      <c r="R976" s="109">
        <v>61.99</v>
      </c>
      <c r="S976" s="11">
        <f ca="1"/>
        <v>61.99</v>
      </c>
      <c r="T976" s="28">
        <f ca="1"/>
        <v>8.0587</v>
      </c>
      <c r="U976" s="11">
        <f ca="1"/>
        <v>53.93</v>
      </c>
      <c r="V976" s="11">
        <v>16.829999999999998</v>
      </c>
      <c r="W976" s="11">
        <f ca="1"/>
        <v>0.3</v>
      </c>
      <c r="X976" s="11">
        <f ca="1"/>
        <v>0.39877104377104378</v>
      </c>
      <c r="Y976" s="11">
        <v>0</v>
      </c>
      <c r="Z976" s="11">
        <f ca="1"/>
        <v>36.401228956228955</v>
      </c>
      <c r="AA976" s="11">
        <f ca="1"/>
        <v>18.200614478114478</v>
      </c>
      <c r="AB976" s="4">
        <f ca="1"/>
        <v>45736</v>
      </c>
      <c r="AC976" s="4">
        <v>45736</v>
      </c>
      <c r="AD976" s="9">
        <v>45747</v>
      </c>
      <c r="AE976" s="9">
        <v>45749</v>
      </c>
      <c r="AF976" s="4" t="str">
        <f t="shared" ca="1" si="51"/>
        <v>2025 03</v>
      </c>
      <c r="AG976" s="8" t="str" cm="1">
        <f t="array" ref="AG976">IFERROR(_xlfn.IFS('Banco de Dados'!#REF!="AG. COMPRA","Em processamento",'Banco de Dados'!#REF!="AG. RASTREIO","Em processamento",'Banco de Dados'!$AE976&lt;&gt;"-","Faturado",'Banco de Dados'!$AD976&lt;&gt;"-","Aguardando Pix",'Banco de Dados'!$AC976&lt;&gt;"-","Pendente"),"Aguardando Liberação")</f>
        <v>Aguardando Liberação</v>
      </c>
      <c r="AH976" s="5" t="str">
        <f>IF('Banco de Dados'!$F976="-",_xlfn.CONCAT(PROPER(TEXT(AK976,"aaaa"))," ",PROPER(TEXT(AK976,"mm"))),_xlfn.CONCAT(PROPER(TEXT(E976,"aaaa"))," ",PROPER(TEXT(E976,"mm"))))</f>
        <v>2025 02</v>
      </c>
      <c r="AI976" s="9" t="str">
        <f ca="1">IF('Banco de Dados'!$AK976&lt;&gt;"-","REEMBOLSO",IFERROR(_xlfn.XLOOKUP(G976,Follow[CODRASTREIO],Follow[STATUS]),"-"))</f>
        <v>ENTREGUE</v>
      </c>
      <c r="AJ976" s="9">
        <f ca="1">IF('Banco de Dados'!$AI976="ENTREGUE",_xlfn.XLOOKUP('Banco de Dados'!$G976,Follow[CODRASTREIO],Follow[DATAATUALIZAÇÃO]),"-")</f>
        <v>45714</v>
      </c>
      <c r="AK976" s="132" t="str">
        <f ca="1"/>
        <v>-</v>
      </c>
      <c r="AL976" s="35"/>
      <c r="AM976" s="109" cm="1">
        <f t="array" aca="1" ref="AM976" ca="1">IF('Banco de Dados'!$AK976&lt;&gt;"-",_xlfn.IFS('Banco de Dados'!$A976="bv",IF('Banco de Dados'!$E976&lt;45641,ROUND(SUM('Banco de Dados'!$R976*_xlfn.XLOOKUP('Banco de Dados'!$P976,Sku!B:B,Sku!#REF!)*20%),2),ROUND(SUM('Banco de Dados'!$R976*_xlfn.XLOOKUP('Banco de Dados'!$P976,Sku!B:B,Sku!H:H)*20%),2)),'Banco de Dados'!$A976="GO",ROUND(SUM('Banco de Dados'!$R976*_xlfn.XLOOKUP('Banco de Dados'!$P976,Sku!C:C,Sku!H:H)*20%),2),'Banco de Dados'!$A976="MEI",ROUND(SUM('Banco de Dados'!$R976*_xlfn.XLOOKUP('Banco de Dados'!$P976,Sku!D:D,Sku!H:H)*20%),2)),0)</f>
        <v>0</v>
      </c>
      <c r="AN976" s="109">
        <f ca="1">IF('Banco de Dados'!$AK976&lt;&gt;"-",IF('Banco de Dados'!$F976&lt;&gt;"-",_xlfn.XLOOKUP(IFERROR(IFERROR(IFERROR(VALUE(SUBSTITUTE(MID(_xlfn.TEXTAFTER('Banco de Dados'!$F976,"Data do Pedido:
",1),1,10),"-","/")),VALUE(SUBSTITUTE(MID(_xlfn.TEXTAFTER('Banco de Dados'!$F976,"Order date:
",1),1,10),"-","/"))),VALUE(SUBSTITUTE(MID(_xlfn.TEXTAFTER('Banco de Dados'!$F976,"Fecha de pedido:
",1),1,10),"-","/"))),"-"),SMS!A:A,SMS!K:K),0),0)</f>
        <v>0</v>
      </c>
      <c r="AO976" s="109">
        <f ca="1">IF('Banco de Dados'!$AK976&lt;&gt;"-",IF('Banco de Dados'!$F976&lt;&gt;"-",IFERROR(_xlfn.XLOOKUP(_xlfn.CONCAT('Banco de Dados'!$A976,IFERROR(IFERROR(VALUE(SUBSTITUTE(MID(_xlfn.TEXTAFTER('Banco de Dados'!$F976,"Data do Pedido:
",1),1,10),"-","/")),VALUE(SUBSTITUTE(MID(_xlfn.TEXTAFTER('Banco de Dados'!$F976,"Order date:
",1),1,10),"-","/"))),0)),ProxyDD[Chave],ProxyDD[Valor por pedido]),PROXY!$P$2),0),0)</f>
        <v>0</v>
      </c>
      <c r="AP976" s="28">
        <f ca="1">IF('Banco de Dados'!$AK976&lt;&gt;"-",IF('Banco de Dados'!$AL976="NÃO",IFERROR(VALUE(SUBSTITUTE(_xlfn.TEXTAFTER('Banco de Dados'!$F976,"BRL ",1),".",",")),0),0),0)</f>
        <v>0</v>
      </c>
      <c r="AQ976" s="28">
        <f ca="1">SUM('Banco de Dados'!$AM976:$AP976)</f>
        <v>0</v>
      </c>
      <c r="AR976" s="8"/>
      <c r="AY976" s="8"/>
    </row>
    <row r="977" spans="1:51">
      <c r="A977" s="5" t="str">
        <v>MEI</v>
      </c>
      <c r="B977" s="5" t="str">
        <f ca="1"/>
        <v>MEI45699</v>
      </c>
      <c r="C977" s="8" t="str">
        <v>Pedido 964</v>
      </c>
      <c r="D977" s="187">
        <v>45699</v>
      </c>
      <c r="E977" s="9">
        <v>45699</v>
      </c>
      <c r="F977" s="8" t="str">
        <v>PedidoF943</v>
      </c>
      <c r="G977" s="2" t="str">
        <v>CódRastreio941</v>
      </c>
      <c r="H977" s="5">
        <v>1</v>
      </c>
      <c r="I977" s="2" t="str">
        <v>CPF 938</v>
      </c>
      <c r="J977" s="2" t="str">
        <v>Nome 938</v>
      </c>
      <c r="K977" s="8" t="str">
        <v>Tel 938</v>
      </c>
      <c r="L977" s="8" t="str">
        <v>Cep 938</v>
      </c>
      <c r="M977" s="8" t="str">
        <v>Rua 938</v>
      </c>
      <c r="N977" s="8" t="str">
        <v>Comp 938</v>
      </c>
      <c r="O977" s="8" t="str">
        <v>Ventilador Preto</v>
      </c>
      <c r="P977" s="8" t="str">
        <v>WU-SS4J-LFOH</v>
      </c>
      <c r="Q977" s="4">
        <v>45723</v>
      </c>
      <c r="R977" s="109">
        <v>61.99</v>
      </c>
      <c r="S977" s="11">
        <f ca="1"/>
        <v>61.99</v>
      </c>
      <c r="T977" s="28">
        <f ca="1"/>
        <v>8.0587</v>
      </c>
      <c r="U977" s="11">
        <f ca="1"/>
        <v>53.93</v>
      </c>
      <c r="V977" s="11">
        <v>16.829999999999998</v>
      </c>
      <c r="W977" s="11">
        <f ca="1"/>
        <v>0.3</v>
      </c>
      <c r="X977" s="11">
        <f ca="1"/>
        <v>0.39877104377104378</v>
      </c>
      <c r="Y977" s="11">
        <v>0</v>
      </c>
      <c r="Z977" s="11">
        <f ca="1"/>
        <v>36.401228956228955</v>
      </c>
      <c r="AA977" s="11">
        <f ca="1"/>
        <v>18.200614478114478</v>
      </c>
      <c r="AB977" s="4">
        <f ca="1"/>
        <v>45730</v>
      </c>
      <c r="AC977" s="4">
        <v>45730</v>
      </c>
      <c r="AD977" s="9">
        <v>45730</v>
      </c>
      <c r="AE977" s="9">
        <v>45733</v>
      </c>
      <c r="AF977" s="4" t="str">
        <f t="shared" ca="1" si="51"/>
        <v>2025 03</v>
      </c>
      <c r="AG977" s="8" t="str" cm="1">
        <f t="array" ref="AG977">IFERROR(_xlfn.IFS('Banco de Dados'!#REF!="AG. COMPRA","Em processamento",'Banco de Dados'!#REF!="AG. RASTREIO","Em processamento",'Banco de Dados'!$AE977&lt;&gt;"-","Faturado",'Banco de Dados'!$AD977&lt;&gt;"-","Aguardando Pix",'Banco de Dados'!$AC977&lt;&gt;"-","Pendente"),"Aguardando Liberação")</f>
        <v>Aguardando Liberação</v>
      </c>
      <c r="AH977" s="5" t="str">
        <f>IF('Banco de Dados'!$F977="-",_xlfn.CONCAT(PROPER(TEXT(AK977,"aaaa"))," ",PROPER(TEXT(AK977,"mm"))),_xlfn.CONCAT(PROPER(TEXT(E977,"aaaa"))," ",PROPER(TEXT(E977,"mm"))))</f>
        <v>2025 02</v>
      </c>
      <c r="AI977" s="9" t="str">
        <f ca="1">IF('Banco de Dados'!$AK977&lt;&gt;"-","REEMBOLSO",IFERROR(_xlfn.XLOOKUP(G977,Follow[CODRASTREIO],Follow[STATUS]),"-"))</f>
        <v>ENTREGUE</v>
      </c>
      <c r="AJ977" s="9">
        <f ca="1">IF('Banco de Dados'!$AI977="ENTREGUE",_xlfn.XLOOKUP('Banco de Dados'!$G977,Follow[CODRASTREIO],Follow[DATAATUALIZAÇÃO]),"-")</f>
        <v>45713</v>
      </c>
      <c r="AK977" s="132" t="str">
        <f ca="1"/>
        <v>-</v>
      </c>
      <c r="AL977" s="35"/>
      <c r="AM977" s="109" cm="1">
        <f t="array" aca="1" ref="AM977" ca="1">IF('Banco de Dados'!$AK977&lt;&gt;"-",_xlfn.IFS('Banco de Dados'!$A977="bv",IF('Banco de Dados'!$E977&lt;45641,ROUND(SUM('Banco de Dados'!$R977*_xlfn.XLOOKUP('Banco de Dados'!$P977,Sku!B:B,Sku!#REF!)*20%),2),ROUND(SUM('Banco de Dados'!$R977*_xlfn.XLOOKUP('Banco de Dados'!$P977,Sku!B:B,Sku!H:H)*20%),2)),'Banco de Dados'!$A977="GO",ROUND(SUM('Banco de Dados'!$R977*_xlfn.XLOOKUP('Banco de Dados'!$P977,Sku!C:C,Sku!H:H)*20%),2),'Banco de Dados'!$A977="MEI",ROUND(SUM('Banco de Dados'!$R977*_xlfn.XLOOKUP('Banco de Dados'!$P977,Sku!D:D,Sku!H:H)*20%),2)),0)</f>
        <v>0</v>
      </c>
      <c r="AN977" s="109">
        <f ca="1">IF('Banco de Dados'!$AK977&lt;&gt;"-",IF('Banco de Dados'!$F977&lt;&gt;"-",_xlfn.XLOOKUP(IFERROR(IFERROR(IFERROR(VALUE(SUBSTITUTE(MID(_xlfn.TEXTAFTER('Banco de Dados'!$F977,"Data do Pedido:
",1),1,10),"-","/")),VALUE(SUBSTITUTE(MID(_xlfn.TEXTAFTER('Banco de Dados'!$F977,"Order date:
",1),1,10),"-","/"))),VALUE(SUBSTITUTE(MID(_xlfn.TEXTAFTER('Banco de Dados'!$F977,"Fecha de pedido:
",1),1,10),"-","/"))),"-"),SMS!A:A,SMS!K:K),0),0)</f>
        <v>0</v>
      </c>
      <c r="AO977" s="109">
        <f ca="1">IF('Banco de Dados'!$AK977&lt;&gt;"-",IF('Banco de Dados'!$F977&lt;&gt;"-",IFERROR(_xlfn.XLOOKUP(_xlfn.CONCAT('Banco de Dados'!$A977,IFERROR(IFERROR(VALUE(SUBSTITUTE(MID(_xlfn.TEXTAFTER('Banco de Dados'!$F977,"Data do Pedido:
",1),1,10),"-","/")),VALUE(SUBSTITUTE(MID(_xlfn.TEXTAFTER('Banco de Dados'!$F977,"Order date:
",1),1,10),"-","/"))),0)),ProxyDD[Chave],ProxyDD[Valor por pedido]),PROXY!$P$2),0),0)</f>
        <v>0</v>
      </c>
      <c r="AP977" s="28">
        <f ca="1">IF('Banco de Dados'!$AK977&lt;&gt;"-",IF('Banco de Dados'!$AL977="NÃO",IFERROR(VALUE(SUBSTITUTE(_xlfn.TEXTAFTER('Banco de Dados'!$F977,"BRL ",1),".",",")),0),0),0)</f>
        <v>0</v>
      </c>
      <c r="AQ977" s="28">
        <f ca="1">SUM('Banco de Dados'!$AM977:$AP977)</f>
        <v>0</v>
      </c>
      <c r="AR977" s="8"/>
      <c r="AY977" s="8"/>
    </row>
    <row r="978" spans="1:51">
      <c r="A978" s="5" t="str">
        <v>MEI</v>
      </c>
      <c r="B978" s="5" t="str">
        <f ca="1"/>
        <v>MEI45699</v>
      </c>
      <c r="C978" s="8" t="str">
        <v>Pedido 965</v>
      </c>
      <c r="D978" s="187">
        <v>45699</v>
      </c>
      <c r="E978" s="9">
        <v>45699</v>
      </c>
      <c r="F978" s="8" t="str">
        <v>PedidoF944</v>
      </c>
      <c r="G978" s="2" t="str">
        <v>CódRastreio942</v>
      </c>
      <c r="H978" s="5">
        <v>1</v>
      </c>
      <c r="I978" s="2" t="str">
        <v>CPF 939</v>
      </c>
      <c r="J978" s="2" t="str">
        <v>Nome 939</v>
      </c>
      <c r="K978" s="8" t="str">
        <v>Tel 939</v>
      </c>
      <c r="L978" s="8" t="str">
        <v>Cep 939</v>
      </c>
      <c r="M978" s="8" t="str">
        <v>Rua 939</v>
      </c>
      <c r="N978" s="8" t="str">
        <v>Comp 939</v>
      </c>
      <c r="O978" s="8" t="str">
        <v>Mini Liquidificador</v>
      </c>
      <c r="P978" s="8" t="str">
        <v>A4-5W51-K3HF</v>
      </c>
      <c r="Q978" s="4">
        <v>45723</v>
      </c>
      <c r="R978" s="109">
        <v>30.99</v>
      </c>
      <c r="S978" s="11">
        <f ca="1"/>
        <v>30.99</v>
      </c>
      <c r="T978" s="28">
        <f ca="1"/>
        <v>4.3386000000000005</v>
      </c>
      <c r="U978" s="11">
        <f ca="1"/>
        <v>26.65</v>
      </c>
      <c r="V978" s="11">
        <v>14.99</v>
      </c>
      <c r="W978" s="11">
        <f ca="1"/>
        <v>0.3</v>
      </c>
      <c r="X978" s="11">
        <f ca="1"/>
        <v>0.39877104377104378</v>
      </c>
      <c r="Y978" s="11">
        <v>0</v>
      </c>
      <c r="Z978" s="11">
        <f ca="1"/>
        <v>10.961228956228954</v>
      </c>
      <c r="AA978" s="11">
        <f ca="1"/>
        <v>5.480614478114477</v>
      </c>
      <c r="AB978" s="4">
        <f ca="1"/>
        <v>45730</v>
      </c>
      <c r="AC978" s="4">
        <v>45730</v>
      </c>
      <c r="AD978" s="9">
        <v>45730</v>
      </c>
      <c r="AE978" s="9">
        <v>45733</v>
      </c>
      <c r="AF978" s="4" t="str">
        <f t="shared" ca="1" si="51"/>
        <v>2025 03</v>
      </c>
      <c r="AG978" s="8" t="str" cm="1">
        <f t="array" ref="AG978">IFERROR(_xlfn.IFS('Banco de Dados'!#REF!="AG. COMPRA","Em processamento",'Banco de Dados'!#REF!="AG. RASTREIO","Em processamento",'Banco de Dados'!$AE978&lt;&gt;"-","Faturado",'Banco de Dados'!$AD978&lt;&gt;"-","Aguardando Pix",'Banco de Dados'!$AC978&lt;&gt;"-","Pendente"),"Aguardando Liberação")</f>
        <v>Aguardando Liberação</v>
      </c>
      <c r="AH978" s="5" t="str">
        <f>IF('Banco de Dados'!$F978="-",_xlfn.CONCAT(PROPER(TEXT(AK978,"aaaa"))," ",PROPER(TEXT(AK978,"mm"))),_xlfn.CONCAT(PROPER(TEXT(E978,"aaaa"))," ",PROPER(TEXT(E978,"mm"))))</f>
        <v>2025 02</v>
      </c>
      <c r="AI978" s="9" t="str">
        <f ca="1">IF('Banco de Dados'!$AK978&lt;&gt;"-","REEMBOLSO",IFERROR(_xlfn.XLOOKUP(G978,Follow[CODRASTREIO],Follow[STATUS]),"-"))</f>
        <v>ENTREGUE</v>
      </c>
      <c r="AJ978" s="9">
        <f ca="1">IF('Banco de Dados'!$AI978="ENTREGUE",_xlfn.XLOOKUP('Banco de Dados'!$G978,Follow[CODRASTREIO],Follow[DATAATUALIZAÇÃO]),"-")</f>
        <v>45703</v>
      </c>
      <c r="AK978" s="132" t="str">
        <f ca="1"/>
        <v>-</v>
      </c>
      <c r="AL978" s="35"/>
      <c r="AM978" s="109" cm="1">
        <f t="array" aca="1" ref="AM978" ca="1">IF('Banco de Dados'!$AK978&lt;&gt;"-",_xlfn.IFS('Banco de Dados'!$A978="bv",IF('Banco de Dados'!$E978&lt;45641,ROUND(SUM('Banco de Dados'!$R978*_xlfn.XLOOKUP('Banco de Dados'!$P978,Sku!B:B,Sku!#REF!)*20%),2),ROUND(SUM('Banco de Dados'!$R978*_xlfn.XLOOKUP('Banco de Dados'!$P978,Sku!B:B,Sku!H:H)*20%),2)),'Banco de Dados'!$A978="GO",ROUND(SUM('Banco de Dados'!$R978*_xlfn.XLOOKUP('Banco de Dados'!$P978,Sku!C:C,Sku!H:H)*20%),2),'Banco de Dados'!$A978="MEI",ROUND(SUM('Banco de Dados'!$R978*_xlfn.XLOOKUP('Banco de Dados'!$P978,Sku!D:D,Sku!H:H)*20%),2)),0)</f>
        <v>0</v>
      </c>
      <c r="AN978" s="109">
        <f ca="1">IF('Banco de Dados'!$AK978&lt;&gt;"-",IF('Banco de Dados'!$F978&lt;&gt;"-",_xlfn.XLOOKUP(IFERROR(IFERROR(IFERROR(VALUE(SUBSTITUTE(MID(_xlfn.TEXTAFTER('Banco de Dados'!$F978,"Data do Pedido:
",1),1,10),"-","/")),VALUE(SUBSTITUTE(MID(_xlfn.TEXTAFTER('Banco de Dados'!$F978,"Order date:
",1),1,10),"-","/"))),VALUE(SUBSTITUTE(MID(_xlfn.TEXTAFTER('Banco de Dados'!$F978,"Fecha de pedido:
",1),1,10),"-","/"))),"-"),SMS!A:A,SMS!K:K),0),0)</f>
        <v>0</v>
      </c>
      <c r="AO978" s="109">
        <f ca="1">IF('Banco de Dados'!$AK978&lt;&gt;"-",IF('Banco de Dados'!$F978&lt;&gt;"-",IFERROR(_xlfn.XLOOKUP(_xlfn.CONCAT('Banco de Dados'!$A978,IFERROR(IFERROR(VALUE(SUBSTITUTE(MID(_xlfn.TEXTAFTER('Banco de Dados'!$F978,"Data do Pedido:
",1),1,10),"-","/")),VALUE(SUBSTITUTE(MID(_xlfn.TEXTAFTER('Banco de Dados'!$F978,"Order date:
",1),1,10),"-","/"))),0)),ProxyDD[Chave],ProxyDD[Valor por pedido]),PROXY!$P$2),0),0)</f>
        <v>0</v>
      </c>
      <c r="AP978" s="28">
        <f ca="1">IF('Banco de Dados'!$AK978&lt;&gt;"-",IF('Banco de Dados'!$AL978="NÃO",IFERROR(VALUE(SUBSTITUTE(_xlfn.TEXTAFTER('Banco de Dados'!$F978,"BRL ",1),".",",")),0),0),0)</f>
        <v>0</v>
      </c>
      <c r="AQ978" s="28">
        <f ca="1">SUM('Banco de Dados'!$AM978:$AP978)</f>
        <v>0</v>
      </c>
      <c r="AR978" s="8"/>
      <c r="AY978" s="8"/>
    </row>
    <row r="979" spans="1:51">
      <c r="A979" s="5" t="str">
        <v>MEI</v>
      </c>
      <c r="B979" s="5" t="str">
        <f ca="1"/>
        <v>MEI45700</v>
      </c>
      <c r="C979" s="8" t="str">
        <v>Pedido 966</v>
      </c>
      <c r="D979" s="187">
        <v>45699</v>
      </c>
      <c r="E979" s="9">
        <v>45700</v>
      </c>
      <c r="F979" s="8" t="str">
        <v>PedidoF945</v>
      </c>
      <c r="G979" s="2" t="str">
        <v>CódRastreio943</v>
      </c>
      <c r="H979" s="5">
        <v>1</v>
      </c>
      <c r="I979" s="2" t="str">
        <v>CPF 940</v>
      </c>
      <c r="J979" s="2" t="str">
        <v>Nome 940</v>
      </c>
      <c r="K979" s="8" t="str">
        <v>Tel 940</v>
      </c>
      <c r="L979" s="8" t="str">
        <v>Cep 940</v>
      </c>
      <c r="M979" s="8" t="str">
        <v>Rua 940</v>
      </c>
      <c r="N979" s="8" t="str">
        <v>Comp 940</v>
      </c>
      <c r="O979" s="8" t="str">
        <v>Ventilador Preto</v>
      </c>
      <c r="P979" s="8" t="str">
        <v>WU-SS4J-LFOH</v>
      </c>
      <c r="Q979" s="4">
        <v>45723</v>
      </c>
      <c r="R979" s="109">
        <v>61.99</v>
      </c>
      <c r="S979" s="11">
        <f ca="1"/>
        <v>61.99</v>
      </c>
      <c r="T979" s="28">
        <f ca="1"/>
        <v>8.0587</v>
      </c>
      <c r="U979" s="11">
        <f ca="1"/>
        <v>53.93</v>
      </c>
      <c r="V979" s="11">
        <v>16.64</v>
      </c>
      <c r="W979" s="11">
        <f ca="1"/>
        <v>0.26</v>
      </c>
      <c r="X979" s="11">
        <f ca="1"/>
        <v>0.39877104377104378</v>
      </c>
      <c r="Y979" s="11">
        <v>0</v>
      </c>
      <c r="Z979" s="11">
        <f ca="1"/>
        <v>36.631228956228952</v>
      </c>
      <c r="AA979" s="11">
        <f ca="1"/>
        <v>18.315614478114476</v>
      </c>
      <c r="AB979" s="4">
        <f ca="1"/>
        <v>45730</v>
      </c>
      <c r="AC979" s="4">
        <v>45730</v>
      </c>
      <c r="AD979" s="9">
        <v>45730</v>
      </c>
      <c r="AE979" s="9">
        <v>45733</v>
      </c>
      <c r="AF979" s="4" t="str">
        <f t="shared" ca="1" si="51"/>
        <v>2025 03</v>
      </c>
      <c r="AG979" s="8" t="str" cm="1">
        <f t="array" ref="AG979">IFERROR(_xlfn.IFS('Banco de Dados'!#REF!="AG. COMPRA","Em processamento",'Banco de Dados'!#REF!="AG. RASTREIO","Em processamento",'Banco de Dados'!$AE979&lt;&gt;"-","Faturado",'Banco de Dados'!$AD979&lt;&gt;"-","Aguardando Pix",'Banco de Dados'!$AC979&lt;&gt;"-","Pendente"),"Aguardando Liberação")</f>
        <v>Aguardando Liberação</v>
      </c>
      <c r="AH979" s="5" t="str">
        <f>IF('Banco de Dados'!$F979="-",_xlfn.CONCAT(PROPER(TEXT(AK979,"aaaa"))," ",PROPER(TEXT(AK979,"mm"))),_xlfn.CONCAT(PROPER(TEXT(E979,"aaaa"))," ",PROPER(TEXT(E979,"mm"))))</f>
        <v>2025 02</v>
      </c>
      <c r="AI979" s="9" t="str">
        <f ca="1">IF('Banco de Dados'!$AK979&lt;&gt;"-","REEMBOLSO",IFERROR(_xlfn.XLOOKUP(G979,Follow[CODRASTREIO],Follow[STATUS]),"-"))</f>
        <v>ENTREGUE</v>
      </c>
      <c r="AJ979" s="9">
        <f ca="1">IF('Banco de Dados'!$AI979="ENTREGUE",_xlfn.XLOOKUP('Banco de Dados'!$G979,Follow[CODRASTREIO],Follow[DATAATUALIZAÇÃO]),"-")</f>
        <v>45711</v>
      </c>
      <c r="AK979" s="132" t="str">
        <f ca="1"/>
        <v>-</v>
      </c>
      <c r="AL979" s="35"/>
      <c r="AM979" s="109" cm="1">
        <f t="array" aca="1" ref="AM979" ca="1">IF('Banco de Dados'!$AK979&lt;&gt;"-",_xlfn.IFS('Banco de Dados'!$A979="bv",IF('Banco de Dados'!$E979&lt;45641,ROUND(SUM('Banco de Dados'!$R979*_xlfn.XLOOKUP('Banco de Dados'!$P979,Sku!B:B,Sku!#REF!)*20%),2),ROUND(SUM('Banco de Dados'!$R979*_xlfn.XLOOKUP('Banco de Dados'!$P979,Sku!B:B,Sku!H:H)*20%),2)),'Banco de Dados'!$A979="GO",ROUND(SUM('Banco de Dados'!$R979*_xlfn.XLOOKUP('Banco de Dados'!$P979,Sku!C:C,Sku!H:H)*20%),2),'Banco de Dados'!$A979="MEI",ROUND(SUM('Banco de Dados'!$R979*_xlfn.XLOOKUP('Banco de Dados'!$P979,Sku!D:D,Sku!H:H)*20%),2)),0)</f>
        <v>0</v>
      </c>
      <c r="AN979" s="109">
        <f ca="1">IF('Banco de Dados'!$AK979&lt;&gt;"-",IF('Banco de Dados'!$F979&lt;&gt;"-",_xlfn.XLOOKUP(IFERROR(IFERROR(IFERROR(VALUE(SUBSTITUTE(MID(_xlfn.TEXTAFTER('Banco de Dados'!$F979,"Data do Pedido:
",1),1,10),"-","/")),VALUE(SUBSTITUTE(MID(_xlfn.TEXTAFTER('Banco de Dados'!$F979,"Order date:
",1),1,10),"-","/"))),VALUE(SUBSTITUTE(MID(_xlfn.TEXTAFTER('Banco de Dados'!$F979,"Fecha de pedido:
",1),1,10),"-","/"))),"-"),SMS!A:A,SMS!K:K),0),0)</f>
        <v>0</v>
      </c>
      <c r="AO979" s="109">
        <f ca="1">IF('Banco de Dados'!$AK979&lt;&gt;"-",IF('Banco de Dados'!$F979&lt;&gt;"-",IFERROR(_xlfn.XLOOKUP(_xlfn.CONCAT('Banco de Dados'!$A979,IFERROR(IFERROR(VALUE(SUBSTITUTE(MID(_xlfn.TEXTAFTER('Banco de Dados'!$F979,"Data do Pedido:
",1),1,10),"-","/")),VALUE(SUBSTITUTE(MID(_xlfn.TEXTAFTER('Banco de Dados'!$F979,"Order date:
",1),1,10),"-","/"))),0)),ProxyDD[Chave],ProxyDD[Valor por pedido]),PROXY!$P$2),0),0)</f>
        <v>0</v>
      </c>
      <c r="AP979" s="28">
        <f ca="1">IF('Banco de Dados'!$AK979&lt;&gt;"-",IF('Banco de Dados'!$AL979="NÃO",IFERROR(VALUE(SUBSTITUTE(_xlfn.TEXTAFTER('Banco de Dados'!$F979,"BRL ",1),".",",")),0),0),0)</f>
        <v>0</v>
      </c>
      <c r="AQ979" s="28">
        <f ca="1">SUM('Banco de Dados'!$AM979:$AP979)</f>
        <v>0</v>
      </c>
      <c r="AR979" s="8"/>
      <c r="AY979" s="8"/>
    </row>
    <row r="980" spans="1:51">
      <c r="A980" s="5" t="str">
        <v>GO</v>
      </c>
      <c r="B980" s="5" t="str">
        <f ca="1"/>
        <v>GO45700</v>
      </c>
      <c r="C980" s="8" t="str">
        <v>Pedido 967</v>
      </c>
      <c r="D980" s="187">
        <v>45699</v>
      </c>
      <c r="E980" s="9">
        <v>45700</v>
      </c>
      <c r="F980" s="8" t="str">
        <v>PedidoF946</v>
      </c>
      <c r="G980" s="2" t="str">
        <v>CódRastreio944</v>
      </c>
      <c r="H980" s="5">
        <v>1</v>
      </c>
      <c r="I980" s="2" t="str">
        <v>CPF 941</v>
      </c>
      <c r="J980" s="2" t="str">
        <v>Nome 941</v>
      </c>
      <c r="K980" s="8" t="str">
        <v>Tel 941</v>
      </c>
      <c r="L980" s="8" t="str">
        <v>Cep 941</v>
      </c>
      <c r="M980" s="8" t="str">
        <v>Rua 941</v>
      </c>
      <c r="N980" s="8" t="str">
        <v>Comp 941</v>
      </c>
      <c r="O980" s="8" t="str">
        <v>Ventilador Preto</v>
      </c>
      <c r="P980" s="8" t="str">
        <v>EP-9PIR-BWXH</v>
      </c>
      <c r="Q980" s="4">
        <v>45723</v>
      </c>
      <c r="R980" s="109">
        <v>66.989999999999995</v>
      </c>
      <c r="S980" s="11">
        <f ca="1"/>
        <v>66.989999999999995</v>
      </c>
      <c r="T980" s="28">
        <f ca="1"/>
        <v>8.7087000000000003</v>
      </c>
      <c r="U980" s="11">
        <f ca="1"/>
        <v>58.28</v>
      </c>
      <c r="V980" s="11">
        <v>16.64</v>
      </c>
      <c r="W980" s="11">
        <f ca="1"/>
        <v>0.2</v>
      </c>
      <c r="X980" s="11">
        <f ca="1"/>
        <v>0.39877104377104378</v>
      </c>
      <c r="Y980" s="11">
        <v>0</v>
      </c>
      <c r="Z980" s="11">
        <f ca="1"/>
        <v>41.041228956228956</v>
      </c>
      <c r="AA980" s="11">
        <f ca="1"/>
        <v>41.041228956228956</v>
      </c>
      <c r="AB980" s="4">
        <f ca="1"/>
        <v>45730</v>
      </c>
      <c r="AC980" s="4">
        <v>45730</v>
      </c>
      <c r="AD980" s="9">
        <v>45730</v>
      </c>
      <c r="AE980" s="9">
        <v>45733</v>
      </c>
      <c r="AF980" s="4" t="str">
        <f t="shared" ref="AF980:AF981" ca="1" si="52">_xlfn.CONCAT(PROPER(TEXT(AB980,"aaaa"))," ",PROPER(TEXT(AB980,"mm")))</f>
        <v>2025 03</v>
      </c>
      <c r="AG980" s="8" t="str" cm="1">
        <f t="array" ref="AG980">IFERROR(_xlfn.IFS('Banco de Dados'!#REF!="AG. COMPRA","Em processamento",'Banco de Dados'!#REF!="AG. RASTREIO","Em processamento",'Banco de Dados'!$AE980&lt;&gt;"-","Faturado",'Banco de Dados'!$AD980&lt;&gt;"-","Aguardando Pix",'Banco de Dados'!$AC980&lt;&gt;"-","Pendente"),"Aguardando Liberação")</f>
        <v>Aguardando Liberação</v>
      </c>
      <c r="AH980" s="5" t="str">
        <f>IF('Banco de Dados'!$F980="-",_xlfn.CONCAT(PROPER(TEXT(AK980,"aaaa"))," ",PROPER(TEXT(AK980,"mm"))),_xlfn.CONCAT(PROPER(TEXT(E980,"aaaa"))," ",PROPER(TEXT(E980,"mm"))))</f>
        <v>2025 02</v>
      </c>
      <c r="AI980" s="9" t="str">
        <f ca="1">IF('Banco de Dados'!$AK980&lt;&gt;"-","REEMBOLSO",IFERROR(_xlfn.XLOOKUP(G980,Follow[CODRASTREIO],Follow[STATUS]),"-"))</f>
        <v>ENTREGUE</v>
      </c>
      <c r="AJ980" s="9">
        <f ca="1">IF('Banco de Dados'!$AI980="ENTREGUE",_xlfn.XLOOKUP('Banco de Dados'!$G980,Follow[CODRASTREIO],Follow[DATAATUALIZAÇÃO]),"-")</f>
        <v>45712</v>
      </c>
      <c r="AK980" s="132" t="str">
        <f ca="1"/>
        <v>-</v>
      </c>
      <c r="AL980" s="35"/>
      <c r="AM980" s="109" cm="1">
        <f t="array" aca="1" ref="AM980" ca="1">IF('Banco de Dados'!$AK980&lt;&gt;"-",_xlfn.IFS('Banco de Dados'!$A980="bv",IF('Banco de Dados'!$E980&lt;45641,ROUND(SUM('Banco de Dados'!$R980*_xlfn.XLOOKUP('Banco de Dados'!$P980,Sku!B:B,Sku!#REF!)*20%),2),ROUND(SUM('Banco de Dados'!$R980*_xlfn.XLOOKUP('Banco de Dados'!$P980,Sku!B:B,Sku!H:H)*20%),2)),'Banco de Dados'!$A980="GO",ROUND(SUM('Banco de Dados'!$R980*_xlfn.XLOOKUP('Banco de Dados'!$P980,Sku!C:C,Sku!H:H)*20%),2),'Banco de Dados'!$A980="MEI",ROUND(SUM('Banco de Dados'!$R980*_xlfn.XLOOKUP('Banco de Dados'!$P980,Sku!D:D,Sku!H:H)*20%),2)),0)</f>
        <v>0</v>
      </c>
      <c r="AN980" s="109">
        <f ca="1">IF('Banco de Dados'!$AK980&lt;&gt;"-",IF('Banco de Dados'!$F980&lt;&gt;"-",_xlfn.XLOOKUP(IFERROR(IFERROR(IFERROR(VALUE(SUBSTITUTE(MID(_xlfn.TEXTAFTER('Banco de Dados'!$F980,"Data do Pedido:
",1),1,10),"-","/")),VALUE(SUBSTITUTE(MID(_xlfn.TEXTAFTER('Banco de Dados'!$F980,"Order date:
",1),1,10),"-","/"))),VALUE(SUBSTITUTE(MID(_xlfn.TEXTAFTER('Banco de Dados'!$F980,"Fecha de pedido:
",1),1,10),"-","/"))),"-"),SMS!A:A,SMS!K:K),0),0)</f>
        <v>0</v>
      </c>
      <c r="AO980" s="109">
        <f ca="1">IF('Banco de Dados'!$AK980&lt;&gt;"-",IF('Banco de Dados'!$F980&lt;&gt;"-",IFERROR(_xlfn.XLOOKUP(_xlfn.CONCAT('Banco de Dados'!$A980,IFERROR(IFERROR(VALUE(SUBSTITUTE(MID(_xlfn.TEXTAFTER('Banco de Dados'!$F980,"Data do Pedido:
",1),1,10),"-","/")),VALUE(SUBSTITUTE(MID(_xlfn.TEXTAFTER('Banco de Dados'!$F980,"Order date:
",1),1,10),"-","/"))),0)),ProxyDD[Chave],ProxyDD[Valor por pedido]),PROXY!$P$2),0),0)</f>
        <v>0</v>
      </c>
      <c r="AP980" s="28">
        <f ca="1">IF('Banco de Dados'!$AK980&lt;&gt;"-",IF('Banco de Dados'!$AL980="NÃO",IFERROR(VALUE(SUBSTITUTE(_xlfn.TEXTAFTER('Banco de Dados'!$F980,"BRL ",1),".",",")),0),0),0)</f>
        <v>0</v>
      </c>
      <c r="AQ980" s="28">
        <f ca="1">SUM('Banco de Dados'!$AM980:$AP980)</f>
        <v>0</v>
      </c>
      <c r="AR980" s="8"/>
      <c r="AY980" s="8"/>
    </row>
    <row r="981" spans="1:51">
      <c r="A981" s="5" t="str">
        <v>GO</v>
      </c>
      <c r="B981" s="5" t="str">
        <f ca="1"/>
        <v>GO45699</v>
      </c>
      <c r="C981" s="8" t="str">
        <v>Pedido 968</v>
      </c>
      <c r="D981" s="187">
        <v>45699</v>
      </c>
      <c r="E981" s="9">
        <v>45699</v>
      </c>
      <c r="F981" s="8" t="str">
        <v>PedidoF947</v>
      </c>
      <c r="G981" s="2" t="str">
        <v>CódRastreio945</v>
      </c>
      <c r="H981" s="5">
        <v>1</v>
      </c>
      <c r="I981" s="2" t="str">
        <v>CPF 942</v>
      </c>
      <c r="J981" s="2" t="str">
        <v>Nome 942</v>
      </c>
      <c r="K981" s="8" t="str">
        <v>Tel 942</v>
      </c>
      <c r="L981" s="8" t="str">
        <v>Cep 942</v>
      </c>
      <c r="M981" s="8" t="str">
        <v>Rua 942</v>
      </c>
      <c r="N981" s="8" t="str">
        <v>Comp 942</v>
      </c>
      <c r="O981" s="8" t="str">
        <v>Ventilador Preto</v>
      </c>
      <c r="P981" s="8" t="str">
        <v>EP-9PIR-BWXH</v>
      </c>
      <c r="Q981" s="4">
        <v>45729</v>
      </c>
      <c r="R981" s="109">
        <v>66.989999999999995</v>
      </c>
      <c r="S981" s="11">
        <f ca="1"/>
        <v>66.989999999999995</v>
      </c>
      <c r="T981" s="28">
        <f ca="1"/>
        <v>8.7087000000000003</v>
      </c>
      <c r="U981" s="11">
        <f ca="1"/>
        <v>58.28</v>
      </c>
      <c r="V981" s="11">
        <v>16.829999999999998</v>
      </c>
      <c r="W981" s="11">
        <f ca="1"/>
        <v>0.6</v>
      </c>
      <c r="X981" s="11">
        <f ca="1"/>
        <v>0.39877104377104378</v>
      </c>
      <c r="Y981" s="11">
        <v>0</v>
      </c>
      <c r="Z981" s="11">
        <f ca="1"/>
        <v>40.45122895622896</v>
      </c>
      <c r="AA981" s="11">
        <f ca="1"/>
        <v>40.45122895622896</v>
      </c>
      <c r="AB981" s="4">
        <f ca="1"/>
        <v>45736</v>
      </c>
      <c r="AC981" s="4">
        <v>45736</v>
      </c>
      <c r="AD981" s="9">
        <v>45747</v>
      </c>
      <c r="AE981" s="9">
        <v>45749</v>
      </c>
      <c r="AF981" s="4" t="str">
        <f t="shared" ca="1" si="52"/>
        <v>2025 03</v>
      </c>
      <c r="AG981" s="8" t="str" cm="1">
        <f t="array" ref="AG981">IFERROR(_xlfn.IFS('Banco de Dados'!#REF!="AG. COMPRA","Em processamento",'Banco de Dados'!#REF!="AG. RASTREIO","Em processamento",'Banco de Dados'!$AE981&lt;&gt;"-","Faturado",'Banco de Dados'!$AD981&lt;&gt;"-","Aguardando Pix",'Banco de Dados'!$AC981&lt;&gt;"-","Pendente"),"Aguardando Liberação")</f>
        <v>Aguardando Liberação</v>
      </c>
      <c r="AH981" s="5" t="str">
        <f>IF('Banco de Dados'!$F981="-",_xlfn.CONCAT(PROPER(TEXT(AK981,"aaaa"))," ",PROPER(TEXT(AK981,"mm"))),_xlfn.CONCAT(PROPER(TEXT(E981,"aaaa"))," ",PROPER(TEXT(E981,"mm"))))</f>
        <v>2025 02</v>
      </c>
      <c r="AI981" s="9" t="str">
        <f ca="1">IF('Banco de Dados'!$AK981&lt;&gt;"-","REEMBOLSO",IFERROR(_xlfn.XLOOKUP(G981,Follow[CODRASTREIO],Follow[STATUS]),"-"))</f>
        <v>ENTREGUE</v>
      </c>
      <c r="AJ981" s="9">
        <f ca="1">IF('Banco de Dados'!$AI981="ENTREGUE",_xlfn.XLOOKUP('Banco de Dados'!$G981,Follow[CODRASTREIO],Follow[DATAATUALIZAÇÃO]),"-")</f>
        <v>45712</v>
      </c>
      <c r="AK981" s="132" t="str">
        <f ca="1"/>
        <v>-</v>
      </c>
      <c r="AL981" s="35"/>
      <c r="AM981" s="109" cm="1">
        <f t="array" aca="1" ref="AM981" ca="1">IF('Banco de Dados'!$AK981&lt;&gt;"-",_xlfn.IFS('Banco de Dados'!$A981="bv",IF('Banco de Dados'!$E981&lt;45641,ROUND(SUM('Banco de Dados'!$R981*_xlfn.XLOOKUP('Banco de Dados'!$P981,Sku!B:B,Sku!#REF!)*20%),2),ROUND(SUM('Banco de Dados'!$R981*_xlfn.XLOOKUP('Banco de Dados'!$P981,Sku!B:B,Sku!H:H)*20%),2)),'Banco de Dados'!$A981="GO",ROUND(SUM('Banco de Dados'!$R981*_xlfn.XLOOKUP('Banco de Dados'!$P981,Sku!C:C,Sku!H:H)*20%),2),'Banco de Dados'!$A981="MEI",ROUND(SUM('Banco de Dados'!$R981*_xlfn.XLOOKUP('Banco de Dados'!$P981,Sku!D:D,Sku!H:H)*20%),2)),0)</f>
        <v>0</v>
      </c>
      <c r="AN981" s="109">
        <f ca="1">IF('Banco de Dados'!$AK981&lt;&gt;"-",IF('Banco de Dados'!$F981&lt;&gt;"-",_xlfn.XLOOKUP(IFERROR(IFERROR(IFERROR(VALUE(SUBSTITUTE(MID(_xlfn.TEXTAFTER('Banco de Dados'!$F981,"Data do Pedido:
",1),1,10),"-","/")),VALUE(SUBSTITUTE(MID(_xlfn.TEXTAFTER('Banco de Dados'!$F981,"Order date:
",1),1,10),"-","/"))),VALUE(SUBSTITUTE(MID(_xlfn.TEXTAFTER('Banco de Dados'!$F981,"Fecha de pedido:
",1),1,10),"-","/"))),"-"),SMS!A:A,SMS!K:K),0),0)</f>
        <v>0</v>
      </c>
      <c r="AO981" s="109">
        <f ca="1">IF('Banco de Dados'!$AK981&lt;&gt;"-",IF('Banco de Dados'!$F981&lt;&gt;"-",IFERROR(_xlfn.XLOOKUP(_xlfn.CONCAT('Banco de Dados'!$A981,IFERROR(IFERROR(VALUE(SUBSTITUTE(MID(_xlfn.TEXTAFTER('Banco de Dados'!$F981,"Data do Pedido:
",1),1,10),"-","/")),VALUE(SUBSTITUTE(MID(_xlfn.TEXTAFTER('Banco de Dados'!$F981,"Order date:
",1),1,10),"-","/"))),0)),ProxyDD[Chave],ProxyDD[Valor por pedido]),PROXY!$P$2),0),0)</f>
        <v>0</v>
      </c>
      <c r="AP981" s="28">
        <f ca="1">IF('Banco de Dados'!$AK981&lt;&gt;"-",IF('Banco de Dados'!$AL981="NÃO",IFERROR(VALUE(SUBSTITUTE(_xlfn.TEXTAFTER('Banco de Dados'!$F981,"BRL ",1),".",",")),0),0),0)</f>
        <v>0</v>
      </c>
      <c r="AQ981" s="28">
        <f ca="1">SUM('Banco de Dados'!$AM981:$AP981)</f>
        <v>0</v>
      </c>
      <c r="AR981" s="8"/>
      <c r="AY981" s="8"/>
    </row>
    <row r="982" spans="1:51">
      <c r="A982" s="5" t="str">
        <v>BV</v>
      </c>
      <c r="B982" s="5" t="str">
        <f ca="1"/>
        <v>BV45700</v>
      </c>
      <c r="C982" s="8" t="str">
        <v>Pedido 969</v>
      </c>
      <c r="D982" s="9">
        <v>45700</v>
      </c>
      <c r="E982" s="9">
        <v>45700</v>
      </c>
      <c r="F982" s="8" t="str">
        <v>PedidoF948</v>
      </c>
      <c r="G982" s="2" t="str">
        <v>CódRastreio946</v>
      </c>
      <c r="H982" s="5">
        <v>1</v>
      </c>
      <c r="I982" s="2" t="str">
        <v>CPF 943</v>
      </c>
      <c r="J982" s="2" t="str">
        <v>Nome 943</v>
      </c>
      <c r="K982" s="8" t="str">
        <v>Tel 943</v>
      </c>
      <c r="L982" s="8" t="str">
        <v>Cep 943</v>
      </c>
      <c r="M982" s="8" t="str">
        <v>Rua 943</v>
      </c>
      <c r="N982" s="8" t="str">
        <v>Comp 943</v>
      </c>
      <c r="O982" s="8" t="str">
        <v>Ventilador Rosa</v>
      </c>
      <c r="P982" s="8" t="str">
        <v>IF-G2ZQ-79FO</v>
      </c>
      <c r="Q982" s="4">
        <v>45730</v>
      </c>
      <c r="R982" s="109">
        <v>55.99</v>
      </c>
      <c r="S982" s="11">
        <f ca="1"/>
        <v>55.99</v>
      </c>
      <c r="T982" s="28">
        <f ca="1"/>
        <v>7.2787000000000006</v>
      </c>
      <c r="U982" s="11">
        <f ca="1"/>
        <v>48.71</v>
      </c>
      <c r="V982" s="11">
        <v>16.86</v>
      </c>
      <c r="W982" s="11">
        <f ca="1"/>
        <v>0.26</v>
      </c>
      <c r="X982" s="11">
        <f ca="1"/>
        <v>0.39877104377104378</v>
      </c>
      <c r="Y982" s="11">
        <v>0</v>
      </c>
      <c r="Z982" s="11">
        <f ca="1"/>
        <v>31.191228956228954</v>
      </c>
      <c r="AA982" s="11">
        <f ca="1"/>
        <v>15.595614478114477</v>
      </c>
      <c r="AB982" s="4">
        <f ca="1"/>
        <v>45737</v>
      </c>
      <c r="AC982" s="4">
        <v>45737</v>
      </c>
      <c r="AD982" s="9">
        <v>45747</v>
      </c>
      <c r="AE982" s="9">
        <v>45749</v>
      </c>
      <c r="AF982" s="4" t="str">
        <f t="shared" ref="AF982:AF986" ca="1" si="53">_xlfn.CONCAT(PROPER(TEXT(AB982,"aaaa"))," ",PROPER(TEXT(AB982,"mm")))</f>
        <v>2025 03</v>
      </c>
      <c r="AG982" s="8" t="str" cm="1">
        <f t="array" ref="AG982">IFERROR(_xlfn.IFS('Banco de Dados'!#REF!="AG. COMPRA","Em processamento",'Banco de Dados'!#REF!="AG. RASTREIO","Em processamento",'Banco de Dados'!$AE982&lt;&gt;"-","Faturado",'Banco de Dados'!$AD982&lt;&gt;"-","Aguardando Pix",'Banco de Dados'!$AC982&lt;&gt;"-","Pendente"),"Aguardando Liberação")</f>
        <v>Aguardando Liberação</v>
      </c>
      <c r="AH982" s="5" t="str">
        <f>IF('Banco de Dados'!$F982="-",_xlfn.CONCAT(PROPER(TEXT(AK982,"aaaa"))," ",PROPER(TEXT(AK982,"mm"))),_xlfn.CONCAT(PROPER(TEXT(E982,"aaaa"))," ",PROPER(TEXT(E982,"mm"))))</f>
        <v>2025 02</v>
      </c>
      <c r="AI982" s="9" t="str">
        <f ca="1">IF('Banco de Dados'!$AK982&lt;&gt;"-","REEMBOLSO",IFERROR(_xlfn.XLOOKUP(G982,Follow[CODRASTREIO],Follow[STATUS]),"-"))</f>
        <v>ENTREGUE</v>
      </c>
      <c r="AJ982" s="9">
        <f ca="1">IF('Banco de Dados'!$AI982="ENTREGUE",_xlfn.XLOOKUP('Banco de Dados'!$G982,Follow[CODRASTREIO],Follow[DATAATUALIZAÇÃO]),"-")</f>
        <v>45712</v>
      </c>
      <c r="AK982" s="132" t="str">
        <f ca="1"/>
        <v>-</v>
      </c>
      <c r="AL982" s="35"/>
      <c r="AM982" s="109" cm="1">
        <f t="array" aca="1" ref="AM982" ca="1">IF('Banco de Dados'!$AK982&lt;&gt;"-",_xlfn.IFS('Banco de Dados'!$A982="bv",IF('Banco de Dados'!$E982&lt;45641,ROUND(SUM('Banco de Dados'!$R982*_xlfn.XLOOKUP('Banco de Dados'!$P982,Sku!B:B,Sku!#REF!)*20%),2),ROUND(SUM('Banco de Dados'!$R982*_xlfn.XLOOKUP('Banco de Dados'!$P982,Sku!B:B,Sku!H:H)*20%),2)),'Banco de Dados'!$A982="GO",ROUND(_xlfn.XLOOKUP('Banco de Dados'!$P982,Sku!C:C,Sku!H:H),2),'Banco de Dados'!$A982="MEI",ROUND(_xlfn.XLOOKUP('Banco de Dados'!$P982,Sku!D:D,Sku!H:H),2)),0)</f>
        <v>0</v>
      </c>
      <c r="AN982" s="109">
        <f ca="1">IF('Banco de Dados'!$AK982&lt;&gt;"-",IF('Banco de Dados'!$F982&lt;&gt;"-",_xlfn.XLOOKUP(IFERROR(IFERROR(IFERROR(VALUE(SUBSTITUTE(MID(_xlfn.TEXTAFTER('Banco de Dados'!$F982,"Data do Pedido:
",1),1,10),"-","/")),VALUE(SUBSTITUTE(MID(_xlfn.TEXTAFTER('Banco de Dados'!$F982,"Order date:
",1),1,10),"-","/"))),VALUE(SUBSTITUTE(MID(_xlfn.TEXTAFTER('Banco de Dados'!$F982,"Fecha de pedido:
",1),1,10),"-","/"))),"-"),SMS!A:A,SMS!K:K),0),0)</f>
        <v>0</v>
      </c>
      <c r="AO982" s="109">
        <f ca="1">IF('Banco de Dados'!$AK982&lt;&gt;"-",IF('Banco de Dados'!$F982&lt;&gt;"-",IFERROR(_xlfn.XLOOKUP(_xlfn.CONCAT('Banco de Dados'!$A982,IFERROR(IFERROR(VALUE(SUBSTITUTE(MID(_xlfn.TEXTAFTER('Banco de Dados'!$F982,"Data do Pedido:
",1),1,10),"-","/")),VALUE(SUBSTITUTE(MID(_xlfn.TEXTAFTER('Banco de Dados'!$F982,"Order date:
",1),1,10),"-","/"))),0)),ProxyDD[Chave],ProxyDD[Valor por pedido]),PROXY!$P$2),0),0)</f>
        <v>0</v>
      </c>
      <c r="AP982" s="28">
        <f ca="1">IF('Banco de Dados'!$AK982&lt;&gt;"-",IF('Banco de Dados'!$AL982="NÃO",IFERROR(VALUE(SUBSTITUTE(_xlfn.TEXTAFTER('Banco de Dados'!$F982,"BRL ",1),".",",")),0),0),0)</f>
        <v>0</v>
      </c>
      <c r="AQ982" s="28">
        <f ca="1">SUM('Banco de Dados'!$AM982:$AP982)</f>
        <v>0</v>
      </c>
      <c r="AR982" s="8"/>
      <c r="AY982" s="8"/>
    </row>
    <row r="983" spans="1:51">
      <c r="A983" s="5" t="str">
        <v>BV</v>
      </c>
      <c r="B983" s="5" t="str">
        <f ca="1"/>
        <v>BV45700</v>
      </c>
      <c r="C983" s="8" t="str">
        <v>Pedido 970</v>
      </c>
      <c r="D983" s="9">
        <v>45700</v>
      </c>
      <c r="E983" s="9">
        <v>45700</v>
      </c>
      <c r="F983" s="8" t="str">
        <v>PedidoF949</v>
      </c>
      <c r="G983" s="2" t="str">
        <v>CódRastreio947</v>
      </c>
      <c r="H983" s="5">
        <v>1</v>
      </c>
      <c r="I983" s="2" t="str">
        <v>CPF 944</v>
      </c>
      <c r="J983" s="2" t="str">
        <v>Nome 944</v>
      </c>
      <c r="K983" s="8" t="str">
        <v>Tel 944</v>
      </c>
      <c r="L983" s="8" t="str">
        <v>Cep 944</v>
      </c>
      <c r="M983" s="8" t="str">
        <v>Rua 944</v>
      </c>
      <c r="N983" s="8" t="str">
        <v>Comp 944</v>
      </c>
      <c r="O983" s="8" t="str">
        <v>Ventilador Rosa</v>
      </c>
      <c r="P983" s="8" t="str">
        <v>IF-G2ZQ-79FO</v>
      </c>
      <c r="Q983" s="4">
        <v>45724</v>
      </c>
      <c r="R983" s="109">
        <v>55.99</v>
      </c>
      <c r="S983" s="11">
        <f ca="1"/>
        <v>55.99</v>
      </c>
      <c r="T983" s="28">
        <f ca="1"/>
        <v>7.2787000000000006</v>
      </c>
      <c r="U983" s="11">
        <f ca="1"/>
        <v>48.71</v>
      </c>
      <c r="V983" s="11">
        <v>16.86</v>
      </c>
      <c r="W983" s="11">
        <f ca="1"/>
        <v>0.26</v>
      </c>
      <c r="X983" s="11">
        <f ca="1"/>
        <v>0.39877104377104378</v>
      </c>
      <c r="Y983" s="11">
        <v>0</v>
      </c>
      <c r="Z983" s="11">
        <f ca="1"/>
        <v>31.191228956228954</v>
      </c>
      <c r="AA983" s="11">
        <f ca="1"/>
        <v>15.595614478114477</v>
      </c>
      <c r="AB983" s="4">
        <f ca="1"/>
        <v>45731</v>
      </c>
      <c r="AC983" s="4">
        <v>45731</v>
      </c>
      <c r="AD983" s="9">
        <v>45731</v>
      </c>
      <c r="AE983" s="9">
        <v>45733</v>
      </c>
      <c r="AF983" s="4" t="str">
        <f t="shared" ca="1" si="53"/>
        <v>2025 03</v>
      </c>
      <c r="AG983" s="8" t="str" cm="1">
        <f t="array" ref="AG983">IFERROR(_xlfn.IFS('Banco de Dados'!#REF!="AG. COMPRA","Em processamento",'Banco de Dados'!#REF!="AG. RASTREIO","Em processamento",'Banco de Dados'!$AE983&lt;&gt;"-","Faturado",'Banco de Dados'!$AD983&lt;&gt;"-","Aguardando Pix",'Banco de Dados'!$AC983&lt;&gt;"-","Pendente"),"Aguardando Liberação")</f>
        <v>Aguardando Liberação</v>
      </c>
      <c r="AH983" s="5" t="str">
        <f>IF('Banco de Dados'!$F983="-",_xlfn.CONCAT(PROPER(TEXT(AK983,"aaaa"))," ",PROPER(TEXT(AK983,"mm"))),_xlfn.CONCAT(PROPER(TEXT(E983,"aaaa"))," ",PROPER(TEXT(E983,"mm"))))</f>
        <v>2025 02</v>
      </c>
      <c r="AI983" s="9" t="str">
        <f ca="1">IF('Banco de Dados'!$AK983&lt;&gt;"-","REEMBOLSO",IFERROR(_xlfn.XLOOKUP(G983,Follow[CODRASTREIO],Follow[STATUS]),"-"))</f>
        <v>ENTREGUE</v>
      </c>
      <c r="AJ983" s="9">
        <f ca="1">IF('Banco de Dados'!$AI983="ENTREGUE",_xlfn.XLOOKUP('Banco de Dados'!$G983,Follow[CODRASTREIO],Follow[DATAATUALIZAÇÃO]),"-")</f>
        <v>45710</v>
      </c>
      <c r="AK983" s="132" t="str">
        <f ca="1"/>
        <v>-</v>
      </c>
      <c r="AL983" s="35"/>
      <c r="AM983" s="109" cm="1">
        <f t="array" aca="1" ref="AM983" ca="1">IF('Banco de Dados'!$AK983&lt;&gt;"-",_xlfn.IFS('Banco de Dados'!$A983="bv",IF('Banco de Dados'!$E983&lt;45641,ROUND(SUM('Banco de Dados'!$R983*_xlfn.XLOOKUP('Banco de Dados'!$P983,Sku!B:B,Sku!#REF!)*20%),2),ROUND(SUM('Banco de Dados'!$R983*_xlfn.XLOOKUP('Banco de Dados'!$P983,Sku!B:B,Sku!H:H)*20%),2)),'Banco de Dados'!$A983="GO",ROUND(_xlfn.XLOOKUP('Banco de Dados'!$P983,Sku!C:C,Sku!H:H),2),'Banco de Dados'!$A983="MEI",ROUND(_xlfn.XLOOKUP('Banco de Dados'!$P983,Sku!D:D,Sku!H:H),2)),0)</f>
        <v>0</v>
      </c>
      <c r="AN983" s="109">
        <f ca="1">IF('Banco de Dados'!$AK983&lt;&gt;"-",IF('Banco de Dados'!$F983&lt;&gt;"-",_xlfn.XLOOKUP(IFERROR(IFERROR(IFERROR(VALUE(SUBSTITUTE(MID(_xlfn.TEXTAFTER('Banco de Dados'!$F983,"Data do Pedido:
",1),1,10),"-","/")),VALUE(SUBSTITUTE(MID(_xlfn.TEXTAFTER('Banco de Dados'!$F983,"Order date:
",1),1,10),"-","/"))),VALUE(SUBSTITUTE(MID(_xlfn.TEXTAFTER('Banco de Dados'!$F983,"Fecha de pedido:
",1),1,10),"-","/"))),"-"),SMS!A:A,SMS!K:K),0),0)</f>
        <v>0</v>
      </c>
      <c r="AO983" s="109">
        <f ca="1">IF('Banco de Dados'!$AK983&lt;&gt;"-",IF('Banco de Dados'!$F983&lt;&gt;"-",IFERROR(_xlfn.XLOOKUP(_xlfn.CONCAT('Banco de Dados'!$A983,IFERROR(IFERROR(VALUE(SUBSTITUTE(MID(_xlfn.TEXTAFTER('Banco de Dados'!$F983,"Data do Pedido:
",1),1,10),"-","/")),VALUE(SUBSTITUTE(MID(_xlfn.TEXTAFTER('Banco de Dados'!$F983,"Order date:
",1),1,10),"-","/"))),0)),ProxyDD[Chave],ProxyDD[Valor por pedido]),PROXY!$P$2),0),0)</f>
        <v>0</v>
      </c>
      <c r="AP983" s="28">
        <f ca="1">IF('Banco de Dados'!$AK983&lt;&gt;"-",IF('Banco de Dados'!$AL983="NÃO",IFERROR(VALUE(SUBSTITUTE(_xlfn.TEXTAFTER('Banco de Dados'!$F983,"BRL ",1),".",",")),0),0),0)</f>
        <v>0</v>
      </c>
      <c r="AQ983" s="28">
        <f ca="1">SUM('Banco de Dados'!$AM983:$AP983)</f>
        <v>0</v>
      </c>
      <c r="AR983" s="8"/>
      <c r="AY983" s="8"/>
    </row>
    <row r="984" spans="1:51">
      <c r="A984" s="5" t="str">
        <v>BV</v>
      </c>
      <c r="B984" s="5" t="str">
        <f ca="1"/>
        <v>BV45700</v>
      </c>
      <c r="C984" s="8" t="str">
        <v>Pedido 971</v>
      </c>
      <c r="D984" s="9">
        <v>45700</v>
      </c>
      <c r="E984" s="9">
        <v>45700</v>
      </c>
      <c r="F984" s="8" t="str">
        <v>PedidoF950</v>
      </c>
      <c r="G984" s="2" t="str">
        <v>CódRastreio948</v>
      </c>
      <c r="H984" s="5">
        <v>1</v>
      </c>
      <c r="I984" s="2" t="str">
        <v>CPF 945</v>
      </c>
      <c r="J984" s="2" t="str">
        <v>Nome 945</v>
      </c>
      <c r="K984" s="8" t="str">
        <v>Tel 945</v>
      </c>
      <c r="L984" s="8" t="str">
        <v>Cep 945</v>
      </c>
      <c r="M984" s="8" t="str">
        <v>Rua 945</v>
      </c>
      <c r="N984" s="8" t="str">
        <v>Comp 945</v>
      </c>
      <c r="O984" s="8" t="str">
        <v>Ventilador Azul</v>
      </c>
      <c r="P984" s="8" t="str">
        <v>U8-2VWS-OB6M</v>
      </c>
      <c r="Q984" s="4">
        <v>45730</v>
      </c>
      <c r="R984" s="109">
        <v>61.99</v>
      </c>
      <c r="S984" s="11">
        <f ca="1"/>
        <v>61.99</v>
      </c>
      <c r="T984" s="28">
        <f ca="1"/>
        <v>8.0587</v>
      </c>
      <c r="U984" s="11">
        <f ca="1"/>
        <v>53.93</v>
      </c>
      <c r="V984" s="11">
        <v>17.649999999999999</v>
      </c>
      <c r="W984" s="11">
        <f ca="1"/>
        <v>0.26</v>
      </c>
      <c r="X984" s="11">
        <f ca="1"/>
        <v>0.39877104377104378</v>
      </c>
      <c r="Y984" s="11">
        <v>0</v>
      </c>
      <c r="Z984" s="11">
        <f ca="1"/>
        <v>35.621228956228954</v>
      </c>
      <c r="AA984" s="11">
        <f ca="1"/>
        <v>17.810614478114477</v>
      </c>
      <c r="AB984" s="4">
        <f ca="1"/>
        <v>45737</v>
      </c>
      <c r="AC984" s="4">
        <v>45737</v>
      </c>
      <c r="AD984" s="9">
        <v>45747</v>
      </c>
      <c r="AE984" s="9">
        <v>45749</v>
      </c>
      <c r="AF984" s="4" t="str">
        <f t="shared" ca="1" si="53"/>
        <v>2025 03</v>
      </c>
      <c r="AG984" s="8" t="str" cm="1">
        <f t="array" ref="AG984">IFERROR(_xlfn.IFS('Banco de Dados'!#REF!="AG. COMPRA","Em processamento",'Banco de Dados'!#REF!="AG. RASTREIO","Em processamento",'Banco de Dados'!$AE984&lt;&gt;"-","Faturado",'Banco de Dados'!$AD984&lt;&gt;"-","Aguardando Pix",'Banco de Dados'!$AC984&lt;&gt;"-","Pendente"),"Aguardando Liberação")</f>
        <v>Aguardando Liberação</v>
      </c>
      <c r="AH984" s="5" t="str">
        <f>IF('Banco de Dados'!$F984="-",_xlfn.CONCAT(PROPER(TEXT(AK984,"aaaa"))," ",PROPER(TEXT(AK984,"mm"))),_xlfn.CONCAT(PROPER(TEXT(E984,"aaaa"))," ",PROPER(TEXT(E984,"mm"))))</f>
        <v>2025 02</v>
      </c>
      <c r="AI984" s="9" t="str">
        <f ca="1">IF('Banco de Dados'!$AK984&lt;&gt;"-","REEMBOLSO",IFERROR(_xlfn.XLOOKUP(G984,Follow[CODRASTREIO],Follow[STATUS]),"-"))</f>
        <v>ENTREGUE</v>
      </c>
      <c r="AJ984" s="9">
        <f ca="1">IF('Banco de Dados'!$AI984="ENTREGUE",_xlfn.XLOOKUP('Banco de Dados'!$G984,Follow[CODRASTREIO],Follow[DATAATUALIZAÇÃO]),"-")</f>
        <v>45712</v>
      </c>
      <c r="AK984" s="132" t="str">
        <f ca="1"/>
        <v>-</v>
      </c>
      <c r="AL984" s="35"/>
      <c r="AM984" s="109" cm="1">
        <f t="array" aca="1" ref="AM984" ca="1">IF('Banco de Dados'!$AK984&lt;&gt;"-",_xlfn.IFS('Banco de Dados'!$A984="bv",IF('Banco de Dados'!$E984&lt;45641,ROUND(SUM('Banco de Dados'!$R984*_xlfn.XLOOKUP('Banco de Dados'!$P984,Sku!B:B,Sku!#REF!)*20%),2),ROUND(SUM('Banco de Dados'!$R984*_xlfn.XLOOKUP('Banco de Dados'!$P984,Sku!B:B,Sku!H:H)*20%),2)),'Banco de Dados'!$A984="GO",ROUND(_xlfn.XLOOKUP('Banco de Dados'!$P984,Sku!C:C,Sku!H:H),2),'Banco de Dados'!$A984="MEI",ROUND(_xlfn.XLOOKUP('Banco de Dados'!$P984,Sku!D:D,Sku!H:H),2)),0)</f>
        <v>0</v>
      </c>
      <c r="AN984" s="109">
        <f ca="1">IF('Banco de Dados'!$AK984&lt;&gt;"-",IF('Banco de Dados'!$F984&lt;&gt;"-",_xlfn.XLOOKUP(IFERROR(IFERROR(IFERROR(VALUE(SUBSTITUTE(MID(_xlfn.TEXTAFTER('Banco de Dados'!$F984,"Data do Pedido:
",1),1,10),"-","/")),VALUE(SUBSTITUTE(MID(_xlfn.TEXTAFTER('Banco de Dados'!$F984,"Order date:
",1),1,10),"-","/"))),VALUE(SUBSTITUTE(MID(_xlfn.TEXTAFTER('Banco de Dados'!$F984,"Fecha de pedido:
",1),1,10),"-","/"))),"-"),SMS!A:A,SMS!K:K),0),0)</f>
        <v>0</v>
      </c>
      <c r="AO984" s="109">
        <f ca="1">IF('Banco de Dados'!$AK984&lt;&gt;"-",IF('Banco de Dados'!$F984&lt;&gt;"-",IFERROR(_xlfn.XLOOKUP(_xlfn.CONCAT('Banco de Dados'!$A984,IFERROR(IFERROR(VALUE(SUBSTITUTE(MID(_xlfn.TEXTAFTER('Banco de Dados'!$F984,"Data do Pedido:
",1),1,10),"-","/")),VALUE(SUBSTITUTE(MID(_xlfn.TEXTAFTER('Banco de Dados'!$F984,"Order date:
",1),1,10),"-","/"))),0)),ProxyDD[Chave],ProxyDD[Valor por pedido]),PROXY!$P$2),0),0)</f>
        <v>0</v>
      </c>
      <c r="AP984" s="28">
        <f ca="1">IF('Banco de Dados'!$AK984&lt;&gt;"-",IF('Banco de Dados'!$AL984="NÃO",IFERROR(VALUE(SUBSTITUTE(_xlfn.TEXTAFTER('Banco de Dados'!$F984,"BRL ",1),".",",")),0),0),0)</f>
        <v>0</v>
      </c>
      <c r="AQ984" s="28">
        <f ca="1">SUM('Banco de Dados'!$AM984:$AP984)</f>
        <v>0</v>
      </c>
      <c r="AR984" s="8"/>
      <c r="AY984" s="8"/>
    </row>
    <row r="985" spans="1:51">
      <c r="A985" s="5" t="str">
        <v>BV</v>
      </c>
      <c r="B985" s="5" t="str">
        <f ca="1"/>
        <v>BV45700</v>
      </c>
      <c r="C985" s="8" t="str">
        <v>Pedido 972</v>
      </c>
      <c r="D985" s="9">
        <v>45700</v>
      </c>
      <c r="E985" s="9">
        <v>45700</v>
      </c>
      <c r="F985" s="8" t="str">
        <v>PedidoF951</v>
      </c>
      <c r="G985" s="2" t="str">
        <v>CódRastreio949</v>
      </c>
      <c r="H985" s="5">
        <v>1</v>
      </c>
      <c r="I985" s="2" t="str">
        <v>CPF 946</v>
      </c>
      <c r="J985" s="2" t="str">
        <v>Nome 946</v>
      </c>
      <c r="K985" s="8" t="str">
        <v>Tel 946</v>
      </c>
      <c r="L985" s="8" t="str">
        <v>Cep 946</v>
      </c>
      <c r="M985" s="8" t="str">
        <v>Rua 946</v>
      </c>
      <c r="N985" s="8" t="str">
        <v>Comp 946</v>
      </c>
      <c r="O985" s="8" t="str">
        <v>Ventilador de teto</v>
      </c>
      <c r="P985" s="8" t="str">
        <v>BP-NHG2-B8C1</v>
      </c>
      <c r="Q985" s="4">
        <v>45724</v>
      </c>
      <c r="R985" s="109">
        <v>74.989999999999995</v>
      </c>
      <c r="S985" s="11">
        <f ca="1"/>
        <v>74.989999999999995</v>
      </c>
      <c r="T985" s="28">
        <f ca="1"/>
        <v>9.7486999999999995</v>
      </c>
      <c r="U985" s="11">
        <f ca="1"/>
        <v>65.239999999999995</v>
      </c>
      <c r="V985" s="11">
        <v>45</v>
      </c>
      <c r="W985" s="11">
        <f ca="1"/>
        <v>0.26</v>
      </c>
      <c r="X985" s="11">
        <f ca="1"/>
        <v>0.39877104377104378</v>
      </c>
      <c r="Y985" s="11">
        <v>0</v>
      </c>
      <c r="Z985" s="11">
        <f ca="1"/>
        <v>19.581228956228955</v>
      </c>
      <c r="AA985" s="11">
        <f ca="1"/>
        <v>9.7906144781144775</v>
      </c>
      <c r="AB985" s="4">
        <f ca="1"/>
        <v>45731</v>
      </c>
      <c r="AC985" s="4">
        <v>45731</v>
      </c>
      <c r="AD985" s="9">
        <v>45731</v>
      </c>
      <c r="AE985" s="9">
        <v>45733</v>
      </c>
      <c r="AF985" s="4" t="str">
        <f t="shared" ca="1" si="53"/>
        <v>2025 03</v>
      </c>
      <c r="AG985" s="8" t="str" cm="1">
        <f t="array" ref="AG985">IFERROR(_xlfn.IFS('Banco de Dados'!#REF!="AG. COMPRA","Em processamento",'Banco de Dados'!#REF!="AG. RASTREIO","Em processamento",'Banco de Dados'!$AE985&lt;&gt;"-","Faturado",'Banco de Dados'!$AD985&lt;&gt;"-","Aguardando Pix",'Banco de Dados'!$AC985&lt;&gt;"-","Pendente"),"Aguardando Liberação")</f>
        <v>Aguardando Liberação</v>
      </c>
      <c r="AH985" s="5" t="str">
        <f>IF('Banco de Dados'!$F985="-",_xlfn.CONCAT(PROPER(TEXT(AK985,"aaaa"))," ",PROPER(TEXT(AK985,"mm"))),_xlfn.CONCAT(PROPER(TEXT(E985,"aaaa"))," ",PROPER(TEXT(E985,"mm"))))</f>
        <v>2025 02</v>
      </c>
      <c r="AI985" s="9" t="str">
        <f ca="1">IF('Banco de Dados'!$AK985&lt;&gt;"-","REEMBOLSO",IFERROR(_xlfn.XLOOKUP(G985,Follow[CODRASTREIO],Follow[STATUS]),"-"))</f>
        <v>ENTREGUE</v>
      </c>
      <c r="AJ985" s="9">
        <f ca="1">IF('Banco de Dados'!$AI985="ENTREGUE",_xlfn.XLOOKUP('Banco de Dados'!$G985,Follow[CODRASTREIO],Follow[DATAATUALIZAÇÃO]),"-")</f>
        <v>45712</v>
      </c>
      <c r="AK985" s="132" t="str">
        <f ca="1"/>
        <v>-</v>
      </c>
      <c r="AL985" s="35"/>
      <c r="AM985" s="109" cm="1">
        <f t="array" aca="1" ref="AM985" ca="1">IF('Banco de Dados'!$AK985&lt;&gt;"-",_xlfn.IFS('Banco de Dados'!$A985="bv",IF('Banco de Dados'!$E985&lt;45641,ROUND(SUM('Banco de Dados'!$R985*_xlfn.XLOOKUP('Banco de Dados'!$P985,Sku!B:B,Sku!#REF!)*20%),2),ROUND(SUM('Banco de Dados'!$R985*_xlfn.XLOOKUP('Banco de Dados'!$P985,Sku!B:B,Sku!H:H)*20%),2)),'Banco de Dados'!$A985="GO",ROUND(_xlfn.XLOOKUP('Banco de Dados'!$P985,Sku!C:C,Sku!H:H),2),'Banco de Dados'!$A985="MEI",ROUND(_xlfn.XLOOKUP('Banco de Dados'!$P985,Sku!D:D,Sku!H:H),2)),0)</f>
        <v>0</v>
      </c>
      <c r="AN985" s="109">
        <f ca="1">IF('Banco de Dados'!$AK985&lt;&gt;"-",IF('Banco de Dados'!$F985&lt;&gt;"-",_xlfn.XLOOKUP(IFERROR(IFERROR(IFERROR(VALUE(SUBSTITUTE(MID(_xlfn.TEXTAFTER('Banco de Dados'!$F985,"Data do Pedido:
",1),1,10),"-","/")),VALUE(SUBSTITUTE(MID(_xlfn.TEXTAFTER('Banco de Dados'!$F985,"Order date:
",1),1,10),"-","/"))),VALUE(SUBSTITUTE(MID(_xlfn.TEXTAFTER('Banco de Dados'!$F985,"Fecha de pedido:
",1),1,10),"-","/"))),"-"),SMS!A:A,SMS!K:K),0),0)</f>
        <v>0</v>
      </c>
      <c r="AO985" s="109">
        <f ca="1">IF('Banco de Dados'!$AK985&lt;&gt;"-",IF('Banco de Dados'!$F985&lt;&gt;"-",IFERROR(_xlfn.XLOOKUP(_xlfn.CONCAT('Banco de Dados'!$A985,IFERROR(IFERROR(VALUE(SUBSTITUTE(MID(_xlfn.TEXTAFTER('Banco de Dados'!$F985,"Data do Pedido:
",1),1,10),"-","/")),VALUE(SUBSTITUTE(MID(_xlfn.TEXTAFTER('Banco de Dados'!$F985,"Order date:
",1),1,10),"-","/"))),0)),ProxyDD[Chave],ProxyDD[Valor por pedido]),PROXY!$P$2),0),0)</f>
        <v>0</v>
      </c>
      <c r="AP985" s="28">
        <f ca="1">IF('Banco de Dados'!$AK985&lt;&gt;"-",IF('Banco de Dados'!$AL985="NÃO",IFERROR(VALUE(SUBSTITUTE(_xlfn.TEXTAFTER('Banco de Dados'!$F985,"BRL ",1),".",",")),0),0),0)</f>
        <v>0</v>
      </c>
      <c r="AQ985" s="28">
        <f ca="1">SUM('Banco de Dados'!$AM985:$AP985)</f>
        <v>0</v>
      </c>
      <c r="AR985" s="8"/>
      <c r="AY985" s="8"/>
    </row>
    <row r="986" spans="1:51">
      <c r="A986" s="5" t="str">
        <v>BV</v>
      </c>
      <c r="B986" s="5" t="str">
        <f ca="1"/>
        <v>BV45700</v>
      </c>
      <c r="C986" s="8" t="str">
        <v>Pedido 973</v>
      </c>
      <c r="D986" s="9">
        <v>45700</v>
      </c>
      <c r="E986" s="9">
        <v>45700</v>
      </c>
      <c r="F986" s="8" t="str">
        <v>PedidoF952</v>
      </c>
      <c r="G986" s="2" t="str">
        <v>CódRastreio950</v>
      </c>
      <c r="H986" s="5">
        <v>1</v>
      </c>
      <c r="I986" s="2" t="str">
        <v>CPF 947</v>
      </c>
      <c r="J986" s="2" t="str">
        <v>Nome 947</v>
      </c>
      <c r="K986" s="8" t="str">
        <v>Tel 947</v>
      </c>
      <c r="L986" s="8" t="str">
        <v>Cep 947</v>
      </c>
      <c r="M986" s="8" t="str">
        <v>Rua 947</v>
      </c>
      <c r="N986" s="8" t="str">
        <v>Comp 947</v>
      </c>
      <c r="O986" s="8" t="str">
        <v>Ventilador Azul</v>
      </c>
      <c r="P986" s="8" t="str">
        <v>U8-2VWS-OB6M</v>
      </c>
      <c r="Q986" s="4">
        <v>45724</v>
      </c>
      <c r="R986" s="109">
        <v>61.99</v>
      </c>
      <c r="S986" s="11">
        <f ca="1"/>
        <v>61.99</v>
      </c>
      <c r="T986" s="28">
        <f ca="1"/>
        <v>8.0587</v>
      </c>
      <c r="U986" s="11">
        <f ca="1"/>
        <v>53.93</v>
      </c>
      <c r="V986" s="11">
        <v>17.649999999999999</v>
      </c>
      <c r="W986" s="11">
        <f ca="1"/>
        <v>0.26</v>
      </c>
      <c r="X986" s="11">
        <f ca="1"/>
        <v>0.39877104377104378</v>
      </c>
      <c r="Y986" s="11">
        <v>0</v>
      </c>
      <c r="Z986" s="11">
        <f ca="1"/>
        <v>35.621228956228954</v>
      </c>
      <c r="AA986" s="11">
        <f ca="1"/>
        <v>17.810614478114477</v>
      </c>
      <c r="AB986" s="4">
        <f ca="1"/>
        <v>45731</v>
      </c>
      <c r="AC986" s="4">
        <v>45731</v>
      </c>
      <c r="AD986" s="9">
        <v>45731</v>
      </c>
      <c r="AE986" s="9">
        <v>45733</v>
      </c>
      <c r="AF986" s="4" t="str">
        <f t="shared" ca="1" si="53"/>
        <v>2025 03</v>
      </c>
      <c r="AG986" s="8" t="str" cm="1">
        <f t="array" ref="AG986">IFERROR(_xlfn.IFS('Banco de Dados'!#REF!="AG. COMPRA","Em processamento",'Banco de Dados'!#REF!="AG. RASTREIO","Em processamento",'Banco de Dados'!$AE986&lt;&gt;"-","Faturado",'Banco de Dados'!$AD986&lt;&gt;"-","Aguardando Pix",'Banco de Dados'!$AC986&lt;&gt;"-","Pendente"),"Aguardando Liberação")</f>
        <v>Aguardando Liberação</v>
      </c>
      <c r="AH986" s="5" t="str">
        <f>IF('Banco de Dados'!$F986="-",_xlfn.CONCAT(PROPER(TEXT(AK986,"aaaa"))," ",PROPER(TEXT(AK986,"mm"))),_xlfn.CONCAT(PROPER(TEXT(E986,"aaaa"))," ",PROPER(TEXT(E986,"mm"))))</f>
        <v>2025 02</v>
      </c>
      <c r="AI986" s="9" t="str">
        <f ca="1">IF('Banco de Dados'!$AK986&lt;&gt;"-","REEMBOLSO",IFERROR(_xlfn.XLOOKUP(G986,Follow[CODRASTREIO],Follow[STATUS]),"-"))</f>
        <v>ENTREGUE</v>
      </c>
      <c r="AJ986" s="9">
        <f ca="1">IF('Banco de Dados'!$AI986="ENTREGUE",_xlfn.XLOOKUP('Banco de Dados'!$G986,Follow[CODRASTREIO],Follow[DATAATUALIZAÇÃO]),"-")</f>
        <v>45713</v>
      </c>
      <c r="AK986" s="132" t="str">
        <f ca="1"/>
        <v>-</v>
      </c>
      <c r="AL986" s="35"/>
      <c r="AM986" s="109" cm="1">
        <f t="array" aca="1" ref="AM986" ca="1">IF('Banco de Dados'!$AK986&lt;&gt;"-",_xlfn.IFS('Banco de Dados'!$A986="bv",IF('Banco de Dados'!$E986&lt;45641,ROUND(SUM('Banco de Dados'!$R986*_xlfn.XLOOKUP('Banco de Dados'!$P986,Sku!B:B,Sku!#REF!)*20%),2),ROUND(SUM('Banco de Dados'!$R986*_xlfn.XLOOKUP('Banco de Dados'!$P986,Sku!B:B,Sku!H:H)*20%),2)),'Banco de Dados'!$A986="GO",ROUND(_xlfn.XLOOKUP('Banco de Dados'!$P986,Sku!C:C,Sku!H:H),2),'Banco de Dados'!$A986="MEI",ROUND(_xlfn.XLOOKUP('Banco de Dados'!$P986,Sku!D:D,Sku!H:H),2)),0)</f>
        <v>0</v>
      </c>
      <c r="AN986" s="109">
        <f ca="1">IF('Banco de Dados'!$AK986&lt;&gt;"-",IF('Banco de Dados'!$F986&lt;&gt;"-",_xlfn.XLOOKUP(IFERROR(IFERROR(IFERROR(VALUE(SUBSTITUTE(MID(_xlfn.TEXTAFTER('Banco de Dados'!$F986,"Data do Pedido:
",1),1,10),"-","/")),VALUE(SUBSTITUTE(MID(_xlfn.TEXTAFTER('Banco de Dados'!$F986,"Order date:
",1),1,10),"-","/"))),VALUE(SUBSTITUTE(MID(_xlfn.TEXTAFTER('Banco de Dados'!$F986,"Fecha de pedido:
",1),1,10),"-","/"))),"-"),SMS!A:A,SMS!K:K),0),0)</f>
        <v>0</v>
      </c>
      <c r="AO986" s="109">
        <f ca="1">IF('Banco de Dados'!$AK986&lt;&gt;"-",IF('Banco de Dados'!$F986&lt;&gt;"-",IFERROR(_xlfn.XLOOKUP(_xlfn.CONCAT('Banco de Dados'!$A986,IFERROR(IFERROR(VALUE(SUBSTITUTE(MID(_xlfn.TEXTAFTER('Banco de Dados'!$F986,"Data do Pedido:
",1),1,10),"-","/")),VALUE(SUBSTITUTE(MID(_xlfn.TEXTAFTER('Banco de Dados'!$F986,"Order date:
",1),1,10),"-","/"))),0)),ProxyDD[Chave],ProxyDD[Valor por pedido]),PROXY!$P$2),0),0)</f>
        <v>0</v>
      </c>
      <c r="AP986" s="28">
        <f ca="1">IF('Banco de Dados'!$AK986&lt;&gt;"-",IF('Banco de Dados'!$AL986="NÃO",IFERROR(VALUE(SUBSTITUTE(_xlfn.TEXTAFTER('Banco de Dados'!$F986,"BRL ",1),".",",")),0),0),0)</f>
        <v>0</v>
      </c>
      <c r="AQ986" s="28">
        <f ca="1">SUM('Banco de Dados'!$AM986:$AP986)</f>
        <v>0</v>
      </c>
      <c r="AR986" s="8"/>
      <c r="AY986" s="8"/>
    </row>
    <row r="987" spans="1:51">
      <c r="A987" s="5" t="str">
        <v>MEI</v>
      </c>
      <c r="B987" s="5" t="str">
        <f ca="1"/>
        <v>MEI45700</v>
      </c>
      <c r="C987" s="8" t="str">
        <v>Pedido 974</v>
      </c>
      <c r="D987" s="187">
        <v>45700</v>
      </c>
      <c r="E987" s="9">
        <v>45700</v>
      </c>
      <c r="F987" s="8" t="str">
        <v>PedidoF953</v>
      </c>
      <c r="G987" s="2" t="str">
        <v>CódRastreio951</v>
      </c>
      <c r="H987" s="5">
        <v>1</v>
      </c>
      <c r="I987" s="2" t="str">
        <v>CPF 948</v>
      </c>
      <c r="J987" s="2" t="str">
        <v>Nome 948</v>
      </c>
      <c r="K987" s="8" t="str">
        <v>Tel 948</v>
      </c>
      <c r="L987" s="8" t="str">
        <v>Cep 948</v>
      </c>
      <c r="M987" s="8" t="str">
        <v>Rua 948</v>
      </c>
      <c r="N987" s="8" t="str">
        <v>Comp 948</v>
      </c>
      <c r="O987" s="8" t="str">
        <v>Ventilador Preto</v>
      </c>
      <c r="P987" s="8" t="str">
        <v>WU-SS4J-LFOH</v>
      </c>
      <c r="Q987" s="4">
        <v>45724</v>
      </c>
      <c r="R987" s="109">
        <v>61.99</v>
      </c>
      <c r="S987" s="11">
        <f ca="1"/>
        <v>61.99</v>
      </c>
      <c r="T987" s="28">
        <f ca="1"/>
        <v>8.0587</v>
      </c>
      <c r="U987" s="11">
        <f ca="1"/>
        <v>53.93</v>
      </c>
      <c r="V987" s="11">
        <v>16.64</v>
      </c>
      <c r="W987" s="11">
        <f ca="1"/>
        <v>0.26</v>
      </c>
      <c r="X987" s="11">
        <f ca="1"/>
        <v>0.39877104377104378</v>
      </c>
      <c r="Y987" s="11">
        <v>0</v>
      </c>
      <c r="Z987" s="11">
        <f ca="1"/>
        <v>36.631228956228952</v>
      </c>
      <c r="AA987" s="11">
        <f ca="1"/>
        <v>18.315614478114476</v>
      </c>
      <c r="AB987" s="4">
        <f ca="1"/>
        <v>45731</v>
      </c>
      <c r="AC987" s="4">
        <v>45731</v>
      </c>
      <c r="AD987" s="9">
        <v>45731</v>
      </c>
      <c r="AE987" s="9">
        <v>45733</v>
      </c>
      <c r="AF987" s="4" t="str">
        <f t="shared" ref="AF987:AF988" ca="1" si="54">_xlfn.CONCAT(PROPER(TEXT(AB987,"aaaa"))," ",PROPER(TEXT(AB987,"mm")))</f>
        <v>2025 03</v>
      </c>
      <c r="AG987" s="8" t="str" cm="1">
        <f t="array" ref="AG987">IFERROR(_xlfn.IFS('Banco de Dados'!#REF!="AG. COMPRA","Em processamento",'Banco de Dados'!#REF!="AG. RASTREIO","Em processamento",'Banco de Dados'!$AE987&lt;&gt;"-","Faturado",'Banco de Dados'!$AD987&lt;&gt;"-","Aguardando Pix",'Banco de Dados'!$AC987&lt;&gt;"-","Pendente"),"Aguardando Liberação")</f>
        <v>Aguardando Liberação</v>
      </c>
      <c r="AH987" s="5" t="str">
        <f>IF('Banco de Dados'!$F987="-",_xlfn.CONCAT(PROPER(TEXT(AK987,"aaaa"))," ",PROPER(TEXT(AK987,"mm"))),_xlfn.CONCAT(PROPER(TEXT(E987,"aaaa"))," ",PROPER(TEXT(E987,"mm"))))</f>
        <v>2025 02</v>
      </c>
      <c r="AI987" s="9" t="str">
        <f ca="1">IF('Banco de Dados'!$AK987&lt;&gt;"-","REEMBOLSO",IFERROR(_xlfn.XLOOKUP(G987,Follow[CODRASTREIO],Follow[STATUS]),"-"))</f>
        <v>ENTREGUE</v>
      </c>
      <c r="AJ987" s="9">
        <f ca="1">IF('Banco de Dados'!$AI987="ENTREGUE",_xlfn.XLOOKUP('Banco de Dados'!$G987,Follow[CODRASTREIO],Follow[DATAATUALIZAÇÃO]),"-")</f>
        <v>45710</v>
      </c>
      <c r="AK987" s="132" t="str">
        <f ca="1"/>
        <v>-</v>
      </c>
      <c r="AL987" s="35"/>
      <c r="AM987" s="109" cm="1">
        <f t="array" aca="1" ref="AM987" ca="1">IF('Banco de Dados'!$AK987&lt;&gt;"-",_xlfn.IFS('Banco de Dados'!$A987="bv",IF('Banco de Dados'!$E987&lt;45641,ROUND(SUM('Banco de Dados'!$R987*_xlfn.XLOOKUP('Banco de Dados'!$P987,Sku!B:B,Sku!#REF!)*20%),2),ROUND(SUM('Banco de Dados'!$R987*_xlfn.XLOOKUP('Banco de Dados'!$P987,Sku!B:B,Sku!H:H)*20%),2)),'Banco de Dados'!$A987="GO",ROUND(SUM('Banco de Dados'!$R987*_xlfn.XLOOKUP('Banco de Dados'!$P987,Sku!C:C,Sku!H:H)*20%),2),'Banco de Dados'!$A987="MEI",ROUND(SUM('Banco de Dados'!$R987*_xlfn.XLOOKUP('Banco de Dados'!$P987,Sku!D:D,Sku!H:H)*20%),2)),0)</f>
        <v>0</v>
      </c>
      <c r="AN987" s="109">
        <f ca="1">IF('Banco de Dados'!$AK987&lt;&gt;"-",IF('Banco de Dados'!$F987&lt;&gt;"-",_xlfn.XLOOKUP(IFERROR(IFERROR(IFERROR(VALUE(SUBSTITUTE(MID(_xlfn.TEXTAFTER('Banco de Dados'!$F987,"Data do Pedido:
",1),1,10),"-","/")),VALUE(SUBSTITUTE(MID(_xlfn.TEXTAFTER('Banco de Dados'!$F987,"Order date:
",1),1,10),"-","/"))),VALUE(SUBSTITUTE(MID(_xlfn.TEXTAFTER('Banco de Dados'!$F987,"Fecha de pedido:
",1),1,10),"-","/"))),"-"),SMS!A:A,SMS!K:K),0),0)</f>
        <v>0</v>
      </c>
      <c r="AO987" s="109">
        <f ca="1">IF('Banco de Dados'!$AK987&lt;&gt;"-",IF('Banco de Dados'!$F987&lt;&gt;"-",IFERROR(_xlfn.XLOOKUP(_xlfn.CONCAT('Banco de Dados'!$A987,IFERROR(IFERROR(VALUE(SUBSTITUTE(MID(_xlfn.TEXTAFTER('Banco de Dados'!$F987,"Data do Pedido:
",1),1,10),"-","/")),VALUE(SUBSTITUTE(MID(_xlfn.TEXTAFTER('Banco de Dados'!$F987,"Order date:
",1),1,10),"-","/"))),0)),ProxyDD[Chave],ProxyDD[Valor por pedido]),PROXY!$P$2),0),0)</f>
        <v>0</v>
      </c>
      <c r="AP987" s="28">
        <f ca="1">IF('Banco de Dados'!$AK987&lt;&gt;"-",IF('Banco de Dados'!$AL987="NÃO",IFERROR(VALUE(SUBSTITUTE(_xlfn.TEXTAFTER('Banco de Dados'!$F987,"BRL ",1),".",",")),0),0),0)</f>
        <v>0</v>
      </c>
      <c r="AQ987" s="28">
        <f ca="1">SUM('Banco de Dados'!$AM987:$AP987)</f>
        <v>0</v>
      </c>
      <c r="AR987" s="8"/>
      <c r="AY987" s="8"/>
    </row>
    <row r="988" spans="1:51">
      <c r="A988" s="5" t="str">
        <v>MEI</v>
      </c>
      <c r="B988" s="5" t="str">
        <f ca="1"/>
        <v>MEI45701</v>
      </c>
      <c r="C988" s="8" t="str">
        <v>Pedido 975</v>
      </c>
      <c r="D988" s="187">
        <v>45700</v>
      </c>
      <c r="E988" s="9">
        <v>45701</v>
      </c>
      <c r="F988" s="8" t="str">
        <v>PedidoF954</v>
      </c>
      <c r="G988" s="2" t="str">
        <v>CódRastreio952</v>
      </c>
      <c r="H988" s="5">
        <v>1</v>
      </c>
      <c r="I988" s="2" t="str">
        <v>CPF 949</v>
      </c>
      <c r="J988" s="2" t="str">
        <v>Nome 949</v>
      </c>
      <c r="K988" s="8" t="str">
        <v>Tel 949</v>
      </c>
      <c r="L988" s="8" t="str">
        <v>Cep 949</v>
      </c>
      <c r="M988" s="8" t="str">
        <v>Rua 949</v>
      </c>
      <c r="N988" s="8" t="str">
        <v>Comp 949</v>
      </c>
      <c r="O988" s="8" t="str">
        <v>Mini Liquidificador</v>
      </c>
      <c r="P988" s="8" t="str">
        <v>A4-5W51-K3HF</v>
      </c>
      <c r="Q988" s="4">
        <v>45730</v>
      </c>
      <c r="R988" s="109">
        <v>30.99</v>
      </c>
      <c r="S988" s="11">
        <f ca="1"/>
        <v>30.99</v>
      </c>
      <c r="T988" s="28">
        <f ca="1"/>
        <v>4.3386000000000005</v>
      </c>
      <c r="U988" s="11">
        <f ca="1"/>
        <v>26.65</v>
      </c>
      <c r="V988" s="11">
        <v>14.99</v>
      </c>
      <c r="W988" s="11">
        <f ca="1"/>
        <v>0.15</v>
      </c>
      <c r="X988" s="11">
        <f ca="1"/>
        <v>0.39877104377104378</v>
      </c>
      <c r="Y988" s="11">
        <v>0</v>
      </c>
      <c r="Z988" s="11">
        <f ca="1"/>
        <v>11.111228956228954</v>
      </c>
      <c r="AA988" s="11">
        <f ca="1"/>
        <v>5.5556144781144772</v>
      </c>
      <c r="AB988" s="4">
        <f ca="1"/>
        <v>45737</v>
      </c>
      <c r="AC988" s="4">
        <v>45737</v>
      </c>
      <c r="AD988" s="9">
        <v>45747</v>
      </c>
      <c r="AE988" s="9">
        <v>45749</v>
      </c>
      <c r="AF988" s="4" t="str">
        <f t="shared" ca="1" si="54"/>
        <v>2025 03</v>
      </c>
      <c r="AG988" s="8" t="str" cm="1">
        <f t="array" ref="AG988">IFERROR(_xlfn.IFS('Banco de Dados'!#REF!="AG. COMPRA","Em processamento",'Banco de Dados'!#REF!="AG. RASTREIO","Em processamento",'Banco de Dados'!$AE988&lt;&gt;"-","Faturado",'Banco de Dados'!$AD988&lt;&gt;"-","Aguardando Pix",'Banco de Dados'!$AC988&lt;&gt;"-","Pendente"),"Aguardando Liberação")</f>
        <v>Aguardando Liberação</v>
      </c>
      <c r="AH988" s="5" t="str">
        <f>IF('Banco de Dados'!$F988="-",_xlfn.CONCAT(PROPER(TEXT(AK988,"aaaa"))," ",PROPER(TEXT(AK988,"mm"))),_xlfn.CONCAT(PROPER(TEXT(E988,"aaaa"))," ",PROPER(TEXT(E988,"mm"))))</f>
        <v>2025 02</v>
      </c>
      <c r="AI988" s="9" t="str">
        <f ca="1">IF('Banco de Dados'!$AK988&lt;&gt;"-","REEMBOLSO",IFERROR(_xlfn.XLOOKUP(G988,Follow[CODRASTREIO],Follow[STATUS]),"-"))</f>
        <v>ENTREGUE</v>
      </c>
      <c r="AJ988" s="9">
        <f ca="1">IF('Banco de Dados'!$AI988="ENTREGUE",_xlfn.XLOOKUP('Banco de Dados'!$G988,Follow[CODRASTREIO],Follow[DATAATUALIZAÇÃO]),"-")</f>
        <v>45710</v>
      </c>
      <c r="AK988" s="132" t="str">
        <f ca="1"/>
        <v>-</v>
      </c>
      <c r="AL988" s="35"/>
      <c r="AM988" s="109" cm="1">
        <f t="array" aca="1" ref="AM988" ca="1">IF('Banco de Dados'!$AK988&lt;&gt;"-",_xlfn.IFS('Banco de Dados'!$A988="bv",IF('Banco de Dados'!$E988&lt;45641,ROUND(SUM('Banco de Dados'!$R988*_xlfn.XLOOKUP('Banco de Dados'!$P988,Sku!B:B,Sku!#REF!)*20%),2),ROUND(SUM('Banco de Dados'!$R988*_xlfn.XLOOKUP('Banco de Dados'!$P988,Sku!B:B,Sku!H:H)*20%),2)),'Banco de Dados'!$A988="GO",ROUND(SUM('Banco de Dados'!$R988*_xlfn.XLOOKUP('Banco de Dados'!$P988,Sku!C:C,Sku!H:H)*20%),2),'Banco de Dados'!$A988="MEI",ROUND(SUM('Banco de Dados'!$R988*_xlfn.XLOOKUP('Banco de Dados'!$P988,Sku!D:D,Sku!H:H)*20%),2)),0)</f>
        <v>0</v>
      </c>
      <c r="AN988" s="109">
        <f ca="1">IF('Banco de Dados'!$AK988&lt;&gt;"-",IF('Banco de Dados'!$F988&lt;&gt;"-",_xlfn.XLOOKUP(IFERROR(IFERROR(IFERROR(VALUE(SUBSTITUTE(MID(_xlfn.TEXTAFTER('Banco de Dados'!$F988,"Data do Pedido:
",1),1,10),"-","/")),VALUE(SUBSTITUTE(MID(_xlfn.TEXTAFTER('Banco de Dados'!$F988,"Order date:
",1),1,10),"-","/"))),VALUE(SUBSTITUTE(MID(_xlfn.TEXTAFTER('Banco de Dados'!$F988,"Fecha de pedido:
",1),1,10),"-","/"))),"-"),SMS!A:A,SMS!K:K),0),0)</f>
        <v>0</v>
      </c>
      <c r="AO988" s="109">
        <f ca="1">IF('Banco de Dados'!$AK988&lt;&gt;"-",IF('Banco de Dados'!$F988&lt;&gt;"-",IFERROR(_xlfn.XLOOKUP(_xlfn.CONCAT('Banco de Dados'!$A988,IFERROR(IFERROR(VALUE(SUBSTITUTE(MID(_xlfn.TEXTAFTER('Banco de Dados'!$F988,"Data do Pedido:
",1),1,10),"-","/")),VALUE(SUBSTITUTE(MID(_xlfn.TEXTAFTER('Banco de Dados'!$F988,"Order date:
",1),1,10),"-","/"))),0)),ProxyDD[Chave],ProxyDD[Valor por pedido]),PROXY!$P$2),0),0)</f>
        <v>0</v>
      </c>
      <c r="AP988" s="28">
        <f ca="1">IF('Banco de Dados'!$AK988&lt;&gt;"-",IF('Banco de Dados'!$AL988="NÃO",IFERROR(VALUE(SUBSTITUTE(_xlfn.TEXTAFTER('Banco de Dados'!$F988,"BRL ",1),".",",")),0),0),0)</f>
        <v>0</v>
      </c>
      <c r="AQ988" s="28">
        <f ca="1">SUM('Banco de Dados'!$AM988:$AP988)</f>
        <v>0</v>
      </c>
      <c r="AR988" s="8"/>
      <c r="AY988" s="8"/>
    </row>
    <row r="989" spans="1:51">
      <c r="A989" s="5" t="str">
        <v>BV</v>
      </c>
      <c r="B989" s="5" t="str">
        <f ca="1"/>
        <v>BV45701</v>
      </c>
      <c r="C989" s="8" t="str">
        <v>Pedido 976</v>
      </c>
      <c r="D989" s="9">
        <v>45701</v>
      </c>
      <c r="E989" s="9">
        <v>45701</v>
      </c>
      <c r="F989" s="8" t="str">
        <v>PedidoF955</v>
      </c>
      <c r="G989" s="2" t="str">
        <v>CódRastreio953</v>
      </c>
      <c r="H989" s="5">
        <v>1</v>
      </c>
      <c r="I989" s="2" t="str">
        <v>CPF 950</v>
      </c>
      <c r="J989" s="2" t="str">
        <v>Nome 950</v>
      </c>
      <c r="K989" s="8" t="str">
        <v>Tel 950</v>
      </c>
      <c r="L989" s="8" t="str">
        <v>Cep 950</v>
      </c>
      <c r="M989" s="8" t="str">
        <v>Rua 950</v>
      </c>
      <c r="N989" s="8" t="str">
        <v>Comp 950</v>
      </c>
      <c r="O989" s="8" t="str">
        <v>Ventilador Azul</v>
      </c>
      <c r="P989" s="8" t="str">
        <v>U8-2VWS-OB6M</v>
      </c>
      <c r="Q989" s="4">
        <v>45731</v>
      </c>
      <c r="R989" s="109">
        <v>61.99</v>
      </c>
      <c r="S989" s="11">
        <f ca="1"/>
        <v>61.99</v>
      </c>
      <c r="T989" s="28">
        <f ca="1"/>
        <v>8.0587</v>
      </c>
      <c r="U989" s="11">
        <f ca="1"/>
        <v>53.93</v>
      </c>
      <c r="V989" s="11">
        <v>13.69</v>
      </c>
      <c r="W989" s="11">
        <f ca="1"/>
        <v>0.25</v>
      </c>
      <c r="X989" s="11">
        <f ca="1"/>
        <v>0.39877104377104378</v>
      </c>
      <c r="Y989" s="11">
        <v>0</v>
      </c>
      <c r="Z989" s="11">
        <f ca="1"/>
        <v>39.59122895622896</v>
      </c>
      <c r="AA989" s="11">
        <f ca="1"/>
        <v>19.79561447811448</v>
      </c>
      <c r="AB989" s="4">
        <f ca="1"/>
        <v>45738</v>
      </c>
      <c r="AC989" s="4">
        <v>45738</v>
      </c>
      <c r="AD989" s="9">
        <v>45747</v>
      </c>
      <c r="AE989" s="9">
        <v>45749</v>
      </c>
      <c r="AF989" s="4" t="str">
        <f t="shared" ref="AF989:AF992" ca="1" si="55">_xlfn.CONCAT(PROPER(TEXT(AB989,"aaaa"))," ",PROPER(TEXT(AB989,"mm")))</f>
        <v>2025 03</v>
      </c>
      <c r="AG989" s="8" t="str" cm="1">
        <f t="array" ref="AG989">IFERROR(_xlfn.IFS('Banco de Dados'!#REF!="AG. COMPRA","Em processamento",'Banco de Dados'!#REF!="AG. RASTREIO","Em processamento",'Banco de Dados'!$AE989&lt;&gt;"-","Faturado",'Banco de Dados'!$AD989&lt;&gt;"-","Aguardando Pix",'Banco de Dados'!$AC989&lt;&gt;"-","Pendente"),"Aguardando Liberação")</f>
        <v>Aguardando Liberação</v>
      </c>
      <c r="AH989" s="5" t="str">
        <f>IF('Banco de Dados'!$F989="-",_xlfn.CONCAT(PROPER(TEXT(AK989,"aaaa"))," ",PROPER(TEXT(AK989,"mm"))),_xlfn.CONCAT(PROPER(TEXT(E989,"aaaa"))," ",PROPER(TEXT(E989,"mm"))))</f>
        <v>2025 02</v>
      </c>
      <c r="AI989" s="9" t="str">
        <f ca="1">IF('Banco de Dados'!$AK989&lt;&gt;"-","REEMBOLSO",IFERROR(_xlfn.XLOOKUP(G989,Follow[CODRASTREIO],Follow[STATUS]),"-"))</f>
        <v>ENTREGUE</v>
      </c>
      <c r="AJ989" s="9">
        <f ca="1">IF('Banco de Dados'!$AI989="ENTREGUE",_xlfn.XLOOKUP('Banco de Dados'!$G989,Follow[CODRASTREIO],Follow[DATAATUALIZAÇÃO]),"-")</f>
        <v>45714</v>
      </c>
      <c r="AK989" s="132" t="str">
        <f ca="1"/>
        <v>-</v>
      </c>
      <c r="AL989" s="35"/>
      <c r="AM989" s="109" cm="1">
        <f t="array" aca="1" ref="AM989" ca="1">IF('Banco de Dados'!$AK989&lt;&gt;"-",_xlfn.IFS('Banco de Dados'!$A989="bv",IF('Banco de Dados'!$E989&lt;45641,ROUND(SUM('Banco de Dados'!$R989*_xlfn.XLOOKUP('Banco de Dados'!$P989,Sku!B:B,Sku!#REF!)*20%),2),ROUND(SUM('Banco de Dados'!$R989*_xlfn.XLOOKUP('Banco de Dados'!$P989,Sku!B:B,Sku!H:H)*20%),2)),'Banco de Dados'!$A989="GO",ROUND(_xlfn.XLOOKUP('Banco de Dados'!$P989,Sku!C:C,Sku!H:H),2),'Banco de Dados'!$A989="MEI",ROUND(_xlfn.XLOOKUP('Banco de Dados'!$P989,Sku!D:D,Sku!H:H),2)),0)</f>
        <v>0</v>
      </c>
      <c r="AN989" s="109">
        <f ca="1">IF('Banco de Dados'!$AK989&lt;&gt;"-",IF('Banco de Dados'!$F989&lt;&gt;"-",_xlfn.XLOOKUP(IFERROR(IFERROR(IFERROR(VALUE(SUBSTITUTE(MID(_xlfn.TEXTAFTER('Banco de Dados'!$F989,"Data do Pedido:
",1),1,10),"-","/")),VALUE(SUBSTITUTE(MID(_xlfn.TEXTAFTER('Banco de Dados'!$F989,"Order date:
",1),1,10),"-","/"))),VALUE(SUBSTITUTE(MID(_xlfn.TEXTAFTER('Banco de Dados'!$F989,"Fecha de pedido:
",1),1,10),"-","/"))),"-"),SMS!A:A,SMS!K:K),0),0)</f>
        <v>0</v>
      </c>
      <c r="AO989" s="109">
        <f ca="1">IF('Banco de Dados'!$AK989&lt;&gt;"-",IF('Banco de Dados'!$F989&lt;&gt;"-",IFERROR(_xlfn.XLOOKUP(_xlfn.CONCAT('Banco de Dados'!$A989,IFERROR(IFERROR(VALUE(SUBSTITUTE(MID(_xlfn.TEXTAFTER('Banco de Dados'!$F989,"Data do Pedido:
",1),1,10),"-","/")),VALUE(SUBSTITUTE(MID(_xlfn.TEXTAFTER('Banco de Dados'!$F989,"Order date:
",1),1,10),"-","/"))),0)),ProxyDD[Chave],ProxyDD[Valor por pedido]),PROXY!$P$2),0),0)</f>
        <v>0</v>
      </c>
      <c r="AP989" s="28">
        <f ca="1">IF('Banco de Dados'!$AK989&lt;&gt;"-",IF('Banco de Dados'!$AL989="NÃO",IFERROR(VALUE(SUBSTITUTE(_xlfn.TEXTAFTER('Banco de Dados'!$F989,"BRL ",1),".",",")),0),0),0)</f>
        <v>0</v>
      </c>
      <c r="AQ989" s="28">
        <f ca="1">SUM('Banco de Dados'!$AM989:$AP989)</f>
        <v>0</v>
      </c>
      <c r="AR989" s="8"/>
      <c r="AY989" s="8"/>
    </row>
    <row r="990" spans="1:51">
      <c r="A990" s="5" t="str">
        <v>BV</v>
      </c>
      <c r="B990" s="5" t="str">
        <f ca="1"/>
        <v>BV45701</v>
      </c>
      <c r="C990" s="8" t="str">
        <v>Pedido 977</v>
      </c>
      <c r="D990" s="9">
        <v>45701</v>
      </c>
      <c r="E990" s="9">
        <v>45701</v>
      </c>
      <c r="F990" s="8" t="str">
        <v>PedidoF956</v>
      </c>
      <c r="G990" s="2" t="str">
        <v>CódRastreio954</v>
      </c>
      <c r="H990" s="5">
        <v>1</v>
      </c>
      <c r="I990" s="2" t="str">
        <v>CPF 951</v>
      </c>
      <c r="J990" s="2" t="str">
        <v>Nome 951</v>
      </c>
      <c r="K990" s="8" t="str">
        <v>Tel 951</v>
      </c>
      <c r="L990" s="8" t="str">
        <v>Cep 951</v>
      </c>
      <c r="M990" s="8" t="str">
        <v>Rua 951</v>
      </c>
      <c r="N990" s="8" t="str">
        <v>Comp 951</v>
      </c>
      <c r="O990" s="8" t="str">
        <v>Ventilador Rosa</v>
      </c>
      <c r="P990" s="8" t="str">
        <v>IF-G2ZQ-79FO</v>
      </c>
      <c r="Q990" s="4">
        <v>45727</v>
      </c>
      <c r="R990" s="109">
        <v>55.99</v>
      </c>
      <c r="S990" s="11">
        <f ca="1"/>
        <v>55.99</v>
      </c>
      <c r="T990" s="28">
        <f ca="1"/>
        <v>7.2787000000000006</v>
      </c>
      <c r="U990" s="11">
        <f ca="1"/>
        <v>48.71</v>
      </c>
      <c r="V990" s="11">
        <v>13.69</v>
      </c>
      <c r="W990" s="11">
        <f ca="1"/>
        <v>0.25</v>
      </c>
      <c r="X990" s="11">
        <f ca="1"/>
        <v>0.39877104377104378</v>
      </c>
      <c r="Y990" s="11">
        <v>0</v>
      </c>
      <c r="Z990" s="11">
        <f ca="1"/>
        <v>34.371228956228961</v>
      </c>
      <c r="AA990" s="11">
        <f ca="1"/>
        <v>17.185614478114481</v>
      </c>
      <c r="AB990" s="4">
        <f ca="1"/>
        <v>45734</v>
      </c>
      <c r="AC990" s="4">
        <v>45734</v>
      </c>
      <c r="AD990" s="9">
        <v>45747</v>
      </c>
      <c r="AE990" s="9">
        <v>45749</v>
      </c>
      <c r="AF990" s="4" t="str">
        <f t="shared" ca="1" si="55"/>
        <v>2025 03</v>
      </c>
      <c r="AG990" s="8" t="str" cm="1">
        <f t="array" ref="AG990">IFERROR(_xlfn.IFS('Banco de Dados'!#REF!="AG. COMPRA","Em processamento",'Banco de Dados'!#REF!="AG. RASTREIO","Em processamento",'Banco de Dados'!$AE990&lt;&gt;"-","Faturado",'Banco de Dados'!$AD990&lt;&gt;"-","Aguardando Pix",'Banco de Dados'!$AC990&lt;&gt;"-","Pendente"),"Aguardando Liberação")</f>
        <v>Aguardando Liberação</v>
      </c>
      <c r="AH990" s="5" t="str">
        <f>IF('Banco de Dados'!$F990="-",_xlfn.CONCAT(PROPER(TEXT(AK990,"aaaa"))," ",PROPER(TEXT(AK990,"mm"))),_xlfn.CONCAT(PROPER(TEXT(E990,"aaaa"))," ",PROPER(TEXT(E990,"mm"))))</f>
        <v>2025 02</v>
      </c>
      <c r="AI990" s="9" t="str">
        <f ca="1">IF('Banco de Dados'!$AK990&lt;&gt;"-","REEMBOLSO",IFERROR(_xlfn.XLOOKUP(G990,Follow[CODRASTREIO],Follow[STATUS]),"-"))</f>
        <v>ENTREGUE</v>
      </c>
      <c r="AJ990" s="9">
        <f ca="1">IF('Banco de Dados'!$AI990="ENTREGUE",_xlfn.XLOOKUP('Banco de Dados'!$G990,Follow[CODRASTREIO],Follow[DATAATUALIZAÇÃO]),"-")</f>
        <v>45715</v>
      </c>
      <c r="AK990" s="132" t="str">
        <f ca="1"/>
        <v>-</v>
      </c>
      <c r="AL990" s="35"/>
      <c r="AM990" s="109" cm="1">
        <f t="array" aca="1" ref="AM990" ca="1">IF('Banco de Dados'!$AK990&lt;&gt;"-",_xlfn.IFS('Banco de Dados'!$A990="bv",IF('Banco de Dados'!$E990&lt;45641,ROUND(SUM('Banco de Dados'!$R990*_xlfn.XLOOKUP('Banco de Dados'!$P990,Sku!B:B,Sku!#REF!)*20%),2),ROUND(SUM('Banco de Dados'!$R990*_xlfn.XLOOKUP('Banco de Dados'!$P990,Sku!B:B,Sku!H:H)*20%),2)),'Banco de Dados'!$A990="GO",ROUND(_xlfn.XLOOKUP('Banco de Dados'!$P990,Sku!C:C,Sku!H:H),2),'Banco de Dados'!$A990="MEI",ROUND(_xlfn.XLOOKUP('Banco de Dados'!$P990,Sku!D:D,Sku!H:H),2)),0)</f>
        <v>0</v>
      </c>
      <c r="AN990" s="109">
        <f ca="1">IF('Banco de Dados'!$AK990&lt;&gt;"-",IF('Banco de Dados'!$F990&lt;&gt;"-",_xlfn.XLOOKUP(IFERROR(IFERROR(IFERROR(VALUE(SUBSTITUTE(MID(_xlfn.TEXTAFTER('Banco de Dados'!$F990,"Data do Pedido:
",1),1,10),"-","/")),VALUE(SUBSTITUTE(MID(_xlfn.TEXTAFTER('Banco de Dados'!$F990,"Order date:
",1),1,10),"-","/"))),VALUE(SUBSTITUTE(MID(_xlfn.TEXTAFTER('Banco de Dados'!$F990,"Fecha de pedido:
",1),1,10),"-","/"))),"-"),SMS!A:A,SMS!K:K),0),0)</f>
        <v>0</v>
      </c>
      <c r="AO990" s="109">
        <f ca="1">IF('Banco de Dados'!$AK990&lt;&gt;"-",IF('Banco de Dados'!$F990&lt;&gt;"-",IFERROR(_xlfn.XLOOKUP(_xlfn.CONCAT('Banco de Dados'!$A990,IFERROR(IFERROR(VALUE(SUBSTITUTE(MID(_xlfn.TEXTAFTER('Banco de Dados'!$F990,"Data do Pedido:
",1),1,10),"-","/")),VALUE(SUBSTITUTE(MID(_xlfn.TEXTAFTER('Banco de Dados'!$F990,"Order date:
",1),1,10),"-","/"))),0)),ProxyDD[Chave],ProxyDD[Valor por pedido]),PROXY!$P$2),0),0)</f>
        <v>0</v>
      </c>
      <c r="AP990" s="28">
        <f ca="1">IF('Banco de Dados'!$AK990&lt;&gt;"-",IF('Banco de Dados'!$AL990="NÃO",IFERROR(VALUE(SUBSTITUTE(_xlfn.TEXTAFTER('Banco de Dados'!$F990,"BRL ",1),".",",")),0),0),0)</f>
        <v>0</v>
      </c>
      <c r="AQ990" s="28">
        <f ca="1">SUM('Banco de Dados'!$AM990:$AP990)</f>
        <v>0</v>
      </c>
      <c r="AR990" s="8"/>
      <c r="AY990" s="8"/>
    </row>
    <row r="991" spans="1:51">
      <c r="A991" s="5" t="str">
        <v>BV</v>
      </c>
      <c r="B991" s="5" t="str">
        <f ca="1"/>
        <v>BV45701</v>
      </c>
      <c r="C991" s="8" t="str">
        <v>Pedido 978</v>
      </c>
      <c r="D991" s="9">
        <v>45701</v>
      </c>
      <c r="E991" s="9">
        <v>45701</v>
      </c>
      <c r="F991" s="8" t="str">
        <v>PedidoF957</v>
      </c>
      <c r="G991" s="2" t="str">
        <v>CódRastreio955</v>
      </c>
      <c r="H991" s="5">
        <v>1</v>
      </c>
      <c r="I991" s="2" t="str">
        <v>CPF 952</v>
      </c>
      <c r="J991" s="2" t="str">
        <v>Nome 952</v>
      </c>
      <c r="K991" s="8" t="str">
        <v>Tel 952</v>
      </c>
      <c r="L991" s="8" t="str">
        <v>Cep 952</v>
      </c>
      <c r="M991" s="8" t="str">
        <v>Rua 952</v>
      </c>
      <c r="N991" s="8" t="str">
        <v>Comp 952</v>
      </c>
      <c r="O991" s="8" t="str">
        <v>Ventilador Azul</v>
      </c>
      <c r="P991" s="8" t="str">
        <v>U8-2VWS-OB6M</v>
      </c>
      <c r="Q991" s="4">
        <v>45727</v>
      </c>
      <c r="R991" s="109">
        <v>61.99</v>
      </c>
      <c r="S991" s="11">
        <f ca="1"/>
        <v>61.99</v>
      </c>
      <c r="T991" s="28">
        <f ca="1"/>
        <v>8.0587</v>
      </c>
      <c r="U991" s="11">
        <f ca="1"/>
        <v>53.93</v>
      </c>
      <c r="V991" s="11">
        <v>13.69</v>
      </c>
      <c r="W991" s="11">
        <f ca="1"/>
        <v>0.25</v>
      </c>
      <c r="X991" s="11">
        <f ca="1"/>
        <v>0.39877104377104378</v>
      </c>
      <c r="Y991" s="11">
        <v>0</v>
      </c>
      <c r="Z991" s="11">
        <f ca="1"/>
        <v>39.59122895622896</v>
      </c>
      <c r="AA991" s="11">
        <f ca="1"/>
        <v>19.79561447811448</v>
      </c>
      <c r="AB991" s="4">
        <f ca="1"/>
        <v>45734</v>
      </c>
      <c r="AC991" s="4">
        <v>45734</v>
      </c>
      <c r="AD991" s="9">
        <v>45747</v>
      </c>
      <c r="AE991" s="9">
        <v>45749</v>
      </c>
      <c r="AF991" s="4" t="str">
        <f t="shared" ca="1" si="55"/>
        <v>2025 03</v>
      </c>
      <c r="AG991" s="8" t="str" cm="1">
        <f t="array" ref="AG991">IFERROR(_xlfn.IFS('Banco de Dados'!#REF!="AG. COMPRA","Em processamento",'Banco de Dados'!#REF!="AG. RASTREIO","Em processamento",'Banco de Dados'!$AE991&lt;&gt;"-","Faturado",'Banco de Dados'!$AD991&lt;&gt;"-","Aguardando Pix",'Banco de Dados'!$AC991&lt;&gt;"-","Pendente"),"Aguardando Liberação")</f>
        <v>Aguardando Liberação</v>
      </c>
      <c r="AH991" s="5" t="str">
        <f>IF('Banco de Dados'!$F991="-",_xlfn.CONCAT(PROPER(TEXT(AK991,"aaaa"))," ",PROPER(TEXT(AK991,"mm"))),_xlfn.CONCAT(PROPER(TEXT(E991,"aaaa"))," ",PROPER(TEXT(E991,"mm"))))</f>
        <v>2025 02</v>
      </c>
      <c r="AI991" s="9" t="str">
        <f ca="1">IF('Banco de Dados'!$AK991&lt;&gt;"-","REEMBOLSO",IFERROR(_xlfn.XLOOKUP(G991,Follow[CODRASTREIO],Follow[STATUS]),"-"))</f>
        <v>ENTREGUE</v>
      </c>
      <c r="AJ991" s="9">
        <f ca="1">IF('Banco de Dados'!$AI991="ENTREGUE",_xlfn.XLOOKUP('Banco de Dados'!$G991,Follow[CODRASTREIO],Follow[DATAATUALIZAÇÃO]),"-")</f>
        <v>45715</v>
      </c>
      <c r="AK991" s="132" t="str">
        <f ca="1"/>
        <v>-</v>
      </c>
      <c r="AL991" s="35"/>
      <c r="AM991" s="109" cm="1">
        <f t="array" aca="1" ref="AM991" ca="1">IF('Banco de Dados'!$AK991&lt;&gt;"-",_xlfn.IFS('Banco de Dados'!$A991="bv",IF('Banco de Dados'!$E991&lt;45641,ROUND(SUM('Banco de Dados'!$R991*_xlfn.XLOOKUP('Banco de Dados'!$P991,Sku!B:B,Sku!#REF!)*20%),2),ROUND(SUM('Banco de Dados'!$R991*_xlfn.XLOOKUP('Banco de Dados'!$P991,Sku!B:B,Sku!H:H)*20%),2)),'Banco de Dados'!$A991="GO",ROUND(_xlfn.XLOOKUP('Banco de Dados'!$P991,Sku!C:C,Sku!H:H),2),'Banco de Dados'!$A991="MEI",ROUND(_xlfn.XLOOKUP('Banco de Dados'!$P991,Sku!D:D,Sku!H:H),2)),0)</f>
        <v>0</v>
      </c>
      <c r="AN991" s="109">
        <f ca="1">IF('Banco de Dados'!$AK991&lt;&gt;"-",IF('Banco de Dados'!$F991&lt;&gt;"-",_xlfn.XLOOKUP(IFERROR(IFERROR(IFERROR(VALUE(SUBSTITUTE(MID(_xlfn.TEXTAFTER('Banco de Dados'!$F991,"Data do Pedido:
",1),1,10),"-","/")),VALUE(SUBSTITUTE(MID(_xlfn.TEXTAFTER('Banco de Dados'!$F991,"Order date:
",1),1,10),"-","/"))),VALUE(SUBSTITUTE(MID(_xlfn.TEXTAFTER('Banco de Dados'!$F991,"Fecha de pedido:
",1),1,10),"-","/"))),"-"),SMS!A:A,SMS!K:K),0),0)</f>
        <v>0</v>
      </c>
      <c r="AO991" s="109">
        <f ca="1">IF('Banco de Dados'!$AK991&lt;&gt;"-",IF('Banco de Dados'!$F991&lt;&gt;"-",IFERROR(_xlfn.XLOOKUP(_xlfn.CONCAT('Banco de Dados'!$A991,IFERROR(IFERROR(VALUE(SUBSTITUTE(MID(_xlfn.TEXTAFTER('Banco de Dados'!$F991,"Data do Pedido:
",1),1,10),"-","/")),VALUE(SUBSTITUTE(MID(_xlfn.TEXTAFTER('Banco de Dados'!$F991,"Order date:
",1),1,10),"-","/"))),0)),ProxyDD[Chave],ProxyDD[Valor por pedido]),PROXY!$P$2),0),0)</f>
        <v>0</v>
      </c>
      <c r="AP991" s="28">
        <f ca="1">IF('Banco de Dados'!$AK991&lt;&gt;"-",IF('Banco de Dados'!$AL991="NÃO",IFERROR(VALUE(SUBSTITUTE(_xlfn.TEXTAFTER('Banco de Dados'!$F991,"BRL ",1),".",",")),0),0),0)</f>
        <v>0</v>
      </c>
      <c r="AQ991" s="28">
        <f ca="1">SUM('Banco de Dados'!$AM991:$AP991)</f>
        <v>0</v>
      </c>
      <c r="AR991" s="8"/>
      <c r="AY991" s="8"/>
    </row>
    <row r="992" spans="1:51">
      <c r="A992" s="5" t="str">
        <v>BV</v>
      </c>
      <c r="B992" s="5" t="str">
        <f ca="1"/>
        <v>BV45701</v>
      </c>
      <c r="C992" s="8" t="str">
        <v>Pedido 979</v>
      </c>
      <c r="D992" s="9">
        <v>45701</v>
      </c>
      <c r="E992" s="9">
        <v>45701</v>
      </c>
      <c r="F992" s="8" t="str">
        <v>PedidoF958</v>
      </c>
      <c r="G992" s="2" t="str">
        <v>CódRastreio956</v>
      </c>
      <c r="H992" s="5">
        <v>1</v>
      </c>
      <c r="I992" s="2" t="str">
        <v>CPF 953</v>
      </c>
      <c r="J992" s="2" t="str">
        <v>Nome 953</v>
      </c>
      <c r="K992" s="8" t="str">
        <v>Tel 953</v>
      </c>
      <c r="L992" s="8" t="str">
        <v>Cep 953</v>
      </c>
      <c r="M992" s="8" t="str">
        <v>Rua 953</v>
      </c>
      <c r="N992" s="8" t="str">
        <v>Comp 953</v>
      </c>
      <c r="O992" s="8" t="str">
        <v>Ventilador Rosa</v>
      </c>
      <c r="P992" s="8" t="str">
        <v>IF-G2ZQ-79FO</v>
      </c>
      <c r="Q992" s="4">
        <v>45727</v>
      </c>
      <c r="R992" s="109">
        <v>55.99</v>
      </c>
      <c r="S992" s="11">
        <f ca="1"/>
        <v>55.99</v>
      </c>
      <c r="T992" s="28">
        <f ca="1"/>
        <v>7.2787000000000006</v>
      </c>
      <c r="U992" s="11">
        <f ca="1"/>
        <v>48.71</v>
      </c>
      <c r="V992" s="11">
        <v>13.69</v>
      </c>
      <c r="W992" s="11">
        <f ca="1"/>
        <v>0.25</v>
      </c>
      <c r="X992" s="11">
        <f ca="1"/>
        <v>0.39877104377104378</v>
      </c>
      <c r="Y992" s="11">
        <v>0</v>
      </c>
      <c r="Z992" s="11">
        <f ca="1"/>
        <v>34.371228956228961</v>
      </c>
      <c r="AA992" s="11">
        <f ca="1"/>
        <v>17.185614478114481</v>
      </c>
      <c r="AB992" s="4">
        <f ca="1"/>
        <v>45734</v>
      </c>
      <c r="AC992" s="4">
        <v>45734</v>
      </c>
      <c r="AD992" s="9">
        <v>45747</v>
      </c>
      <c r="AE992" s="9">
        <v>45749</v>
      </c>
      <c r="AF992" s="4" t="str">
        <f t="shared" ca="1" si="55"/>
        <v>2025 03</v>
      </c>
      <c r="AG992" s="8" t="str" cm="1">
        <f t="array" ref="AG992">IFERROR(_xlfn.IFS('Banco de Dados'!#REF!="AG. COMPRA","Em processamento",'Banco de Dados'!#REF!="AG. RASTREIO","Em processamento",'Banco de Dados'!$AE992&lt;&gt;"-","Faturado",'Banco de Dados'!$AD992&lt;&gt;"-","Aguardando Pix",'Banco de Dados'!$AC992&lt;&gt;"-","Pendente"),"Aguardando Liberação")</f>
        <v>Aguardando Liberação</v>
      </c>
      <c r="AH992" s="5" t="str">
        <f>IF('Banco de Dados'!$F992="-",_xlfn.CONCAT(PROPER(TEXT(AK992,"aaaa"))," ",PROPER(TEXT(AK992,"mm"))),_xlfn.CONCAT(PROPER(TEXT(E992,"aaaa"))," ",PROPER(TEXT(E992,"mm"))))</f>
        <v>2025 02</v>
      </c>
      <c r="AI992" s="9" t="str">
        <f ca="1">IF('Banco de Dados'!$AK992&lt;&gt;"-","REEMBOLSO",IFERROR(_xlfn.XLOOKUP(G992,Follow[CODRASTREIO],Follow[STATUS]),"-"))</f>
        <v>ENTREGUE</v>
      </c>
      <c r="AJ992" s="9">
        <f ca="1">IF('Banco de Dados'!$AI992="ENTREGUE",_xlfn.XLOOKUP('Banco de Dados'!$G992,Follow[CODRASTREIO],Follow[DATAATUALIZAÇÃO]),"-")</f>
        <v>45712</v>
      </c>
      <c r="AK992" s="132" t="str">
        <f ca="1"/>
        <v>-</v>
      </c>
      <c r="AL992" s="35"/>
      <c r="AM992" s="109" cm="1">
        <f t="array" aca="1" ref="AM992" ca="1">IF('Banco de Dados'!$AK992&lt;&gt;"-",_xlfn.IFS('Banco de Dados'!$A992="bv",IF('Banco de Dados'!$E992&lt;45641,ROUND(SUM('Banco de Dados'!$R992*_xlfn.XLOOKUP('Banco de Dados'!$P992,Sku!B:B,Sku!#REF!)*20%),2),ROUND(SUM('Banco de Dados'!$R992*_xlfn.XLOOKUP('Banco de Dados'!$P992,Sku!B:B,Sku!H:H)*20%),2)),'Banco de Dados'!$A992="GO",ROUND(_xlfn.XLOOKUP('Banco de Dados'!$P992,Sku!C:C,Sku!H:H),2),'Banco de Dados'!$A992="MEI",ROUND(_xlfn.XLOOKUP('Banco de Dados'!$P992,Sku!D:D,Sku!H:H),2)),0)</f>
        <v>0</v>
      </c>
      <c r="AN992" s="109">
        <f ca="1">IF('Banco de Dados'!$AK992&lt;&gt;"-",IF('Banco de Dados'!$F992&lt;&gt;"-",_xlfn.XLOOKUP(IFERROR(IFERROR(IFERROR(VALUE(SUBSTITUTE(MID(_xlfn.TEXTAFTER('Banco de Dados'!$F992,"Data do Pedido:
",1),1,10),"-","/")),VALUE(SUBSTITUTE(MID(_xlfn.TEXTAFTER('Banco de Dados'!$F992,"Order date:
",1),1,10),"-","/"))),VALUE(SUBSTITUTE(MID(_xlfn.TEXTAFTER('Banco de Dados'!$F992,"Fecha de pedido:
",1),1,10),"-","/"))),"-"),SMS!A:A,SMS!K:K),0),0)</f>
        <v>0</v>
      </c>
      <c r="AO992" s="109">
        <f ca="1">IF('Banco de Dados'!$AK992&lt;&gt;"-",IF('Banco de Dados'!$F992&lt;&gt;"-",IFERROR(_xlfn.XLOOKUP(_xlfn.CONCAT('Banco de Dados'!$A992,IFERROR(IFERROR(VALUE(SUBSTITUTE(MID(_xlfn.TEXTAFTER('Banco de Dados'!$F992,"Data do Pedido:
",1),1,10),"-","/")),VALUE(SUBSTITUTE(MID(_xlfn.TEXTAFTER('Banco de Dados'!$F992,"Order date:
",1),1,10),"-","/"))),0)),ProxyDD[Chave],ProxyDD[Valor por pedido]),PROXY!$P$2),0),0)</f>
        <v>0</v>
      </c>
      <c r="AP992" s="28">
        <f ca="1">IF('Banco de Dados'!$AK992&lt;&gt;"-",IF('Banco de Dados'!$AL992="NÃO",IFERROR(VALUE(SUBSTITUTE(_xlfn.TEXTAFTER('Banco de Dados'!$F992,"BRL ",1),".",",")),0),0),0)</f>
        <v>0</v>
      </c>
      <c r="AQ992" s="28">
        <f ca="1">SUM('Banco de Dados'!$AM992:$AP992)</f>
        <v>0</v>
      </c>
      <c r="AR992" s="8"/>
      <c r="AY992" s="8"/>
    </row>
    <row r="993" spans="1:51">
      <c r="A993" s="5" t="str">
        <v>MEI</v>
      </c>
      <c r="B993" s="5" t="str">
        <f ca="1"/>
        <v>MEI45701</v>
      </c>
      <c r="C993" s="8" t="str">
        <v>Pedido 980</v>
      </c>
      <c r="D993" s="187">
        <v>45701</v>
      </c>
      <c r="E993" s="9">
        <v>45701</v>
      </c>
      <c r="F993" s="8" t="str">
        <v>PedidoF959</v>
      </c>
      <c r="G993" s="2" t="str">
        <v>CódRastreio957</v>
      </c>
      <c r="H993" s="5">
        <v>1</v>
      </c>
      <c r="I993" s="2" t="str">
        <v>CPF 954</v>
      </c>
      <c r="J993" s="2" t="str">
        <v>Nome 954</v>
      </c>
      <c r="K993" s="8" t="str">
        <v>Tel 954</v>
      </c>
      <c r="L993" s="8" t="str">
        <v>Cep 954</v>
      </c>
      <c r="M993" s="8" t="str">
        <v>Rua 954</v>
      </c>
      <c r="N993" s="8" t="str">
        <v>Comp 954</v>
      </c>
      <c r="O993" s="8" t="str">
        <v>Mini Liquidificador</v>
      </c>
      <c r="P993" s="8" t="str">
        <v>A4-5W51-K3HF</v>
      </c>
      <c r="Q993" s="4">
        <v>45724</v>
      </c>
      <c r="R993" s="109">
        <v>30.99</v>
      </c>
      <c r="S993" s="11">
        <f ca="1"/>
        <v>30.99</v>
      </c>
      <c r="T993" s="28">
        <f ca="1"/>
        <v>4.3386000000000005</v>
      </c>
      <c r="U993" s="11">
        <f ca="1"/>
        <v>26.65</v>
      </c>
      <c r="V993" s="11">
        <v>14.99</v>
      </c>
      <c r="W993" s="11">
        <f ca="1"/>
        <v>0.15</v>
      </c>
      <c r="X993" s="11">
        <f ca="1"/>
        <v>0.39877104377104378</v>
      </c>
      <c r="Y993" s="11">
        <v>0</v>
      </c>
      <c r="Z993" s="11">
        <f ca="1"/>
        <v>11.111228956228954</v>
      </c>
      <c r="AA993" s="11">
        <f ca="1"/>
        <v>5.5556144781144772</v>
      </c>
      <c r="AB993" s="4">
        <f ca="1"/>
        <v>45731</v>
      </c>
      <c r="AC993" s="4">
        <v>45731</v>
      </c>
      <c r="AD993" s="9">
        <v>45731</v>
      </c>
      <c r="AE993" s="9">
        <v>45733</v>
      </c>
      <c r="AF993" s="4" t="str">
        <f t="shared" ref="AF993:AF995" ca="1" si="56">_xlfn.CONCAT(PROPER(TEXT(AB993,"aaaa"))," ",PROPER(TEXT(AB993,"mm")))</f>
        <v>2025 03</v>
      </c>
      <c r="AG993" s="8" t="str" cm="1">
        <f t="array" ref="AG993">IFERROR(_xlfn.IFS('Banco de Dados'!#REF!="AG. COMPRA","Em processamento",'Banco de Dados'!#REF!="AG. RASTREIO","Em processamento",'Banco de Dados'!$AE993&lt;&gt;"-","Faturado",'Banco de Dados'!$AD993&lt;&gt;"-","Aguardando Pix",'Banco de Dados'!$AC993&lt;&gt;"-","Pendente"),"Aguardando Liberação")</f>
        <v>Aguardando Liberação</v>
      </c>
      <c r="AH993" s="5" t="str">
        <f>IF('Banco de Dados'!$F993="-",_xlfn.CONCAT(PROPER(TEXT(AK993,"aaaa"))," ",PROPER(TEXT(AK993,"mm"))),_xlfn.CONCAT(PROPER(TEXT(E993,"aaaa"))," ",PROPER(TEXT(E993,"mm"))))</f>
        <v>2025 02</v>
      </c>
      <c r="AI993" s="9" t="str">
        <f ca="1">IF('Banco de Dados'!$AK993&lt;&gt;"-","REEMBOLSO",IFERROR(_xlfn.XLOOKUP(G993,Follow[CODRASTREIO],Follow[STATUS]),"-"))</f>
        <v>ENTREGUE</v>
      </c>
      <c r="AJ993" s="9">
        <f ca="1">IF('Banco de Dados'!$AI993="ENTREGUE",_xlfn.XLOOKUP('Banco de Dados'!$G993,Follow[CODRASTREIO],Follow[DATAATUALIZAÇÃO]),"-")</f>
        <v>45712</v>
      </c>
      <c r="AK993" s="132" t="str">
        <f ca="1"/>
        <v>-</v>
      </c>
      <c r="AL993" s="35"/>
      <c r="AM993" s="109" cm="1">
        <f t="array" aca="1" ref="AM993" ca="1">IF('Banco de Dados'!$AK993&lt;&gt;"-",_xlfn.IFS('Banco de Dados'!$A993="bv",IF('Banco de Dados'!$E993&lt;45641,ROUND(SUM('Banco de Dados'!$R993*_xlfn.XLOOKUP('Banco de Dados'!$P993,Sku!B:B,Sku!#REF!)*20%),2),ROUND(SUM('Banco de Dados'!$R993*_xlfn.XLOOKUP('Banco de Dados'!$P993,Sku!B:B,Sku!H:H)*20%),2)),'Banco de Dados'!$A993="GO",ROUND(SUM('Banco de Dados'!$R993*_xlfn.XLOOKUP('Banco de Dados'!$P993,Sku!C:C,Sku!H:H)*20%),2),'Banco de Dados'!$A993="MEI",ROUND(SUM('Banco de Dados'!$R993*_xlfn.XLOOKUP('Banco de Dados'!$P993,Sku!D:D,Sku!H:H)*20%),2)),0)</f>
        <v>0</v>
      </c>
      <c r="AN993" s="109">
        <f ca="1">IF('Banco de Dados'!$AK993&lt;&gt;"-",IF('Banco de Dados'!$F993&lt;&gt;"-",_xlfn.XLOOKUP(IFERROR(IFERROR(IFERROR(VALUE(SUBSTITUTE(MID(_xlfn.TEXTAFTER('Banco de Dados'!$F993,"Data do Pedido:
",1),1,10),"-","/")),VALUE(SUBSTITUTE(MID(_xlfn.TEXTAFTER('Banco de Dados'!$F993,"Order date:
",1),1,10),"-","/"))),VALUE(SUBSTITUTE(MID(_xlfn.TEXTAFTER('Banco de Dados'!$F993,"Fecha de pedido:
",1),1,10),"-","/"))),"-"),SMS!A:A,SMS!K:K),0),0)</f>
        <v>0</v>
      </c>
      <c r="AO993" s="109">
        <f ca="1">IF('Banco de Dados'!$AK993&lt;&gt;"-",IF('Banco de Dados'!$F993&lt;&gt;"-",IFERROR(_xlfn.XLOOKUP(_xlfn.CONCAT('Banco de Dados'!$A993,IFERROR(IFERROR(VALUE(SUBSTITUTE(MID(_xlfn.TEXTAFTER('Banco de Dados'!$F993,"Data do Pedido:
",1),1,10),"-","/")),VALUE(SUBSTITUTE(MID(_xlfn.TEXTAFTER('Banco de Dados'!$F993,"Order date:
",1),1,10),"-","/"))),0)),ProxyDD[Chave],ProxyDD[Valor por pedido]),PROXY!$P$2),0),0)</f>
        <v>0</v>
      </c>
      <c r="AP993" s="28">
        <f ca="1">IF('Banco de Dados'!$AK993&lt;&gt;"-",IF('Banco de Dados'!$AL993="NÃO",IFERROR(VALUE(SUBSTITUTE(_xlfn.TEXTAFTER('Banco de Dados'!$F993,"BRL ",1),".",",")),0),0),0)</f>
        <v>0</v>
      </c>
      <c r="AQ993" s="28">
        <f ca="1">SUM('Banco de Dados'!$AM993:$AP993)</f>
        <v>0</v>
      </c>
      <c r="AR993" s="8"/>
      <c r="AY993" s="8"/>
    </row>
    <row r="994" spans="1:51">
      <c r="A994" s="5" t="str">
        <v>MEI</v>
      </c>
      <c r="B994" s="5" t="str">
        <f ca="1"/>
        <v>MEI45701</v>
      </c>
      <c r="C994" s="8" t="str">
        <v>Pedido 981</v>
      </c>
      <c r="D994" s="187">
        <v>45701</v>
      </c>
      <c r="E994" s="9">
        <v>45701</v>
      </c>
      <c r="F994" s="8" t="str">
        <v>PedidoF960</v>
      </c>
      <c r="G994" s="2" t="str">
        <v>CódRastreio958</v>
      </c>
      <c r="H994" s="5">
        <v>1</v>
      </c>
      <c r="I994" s="2" t="str">
        <v>CPF 955</v>
      </c>
      <c r="J994" s="2" t="str">
        <v>Nome 955</v>
      </c>
      <c r="K994" s="8" t="str">
        <v>Tel 955</v>
      </c>
      <c r="L994" s="8" t="str">
        <v>Cep 955</v>
      </c>
      <c r="M994" s="8" t="str">
        <v>Rua 955</v>
      </c>
      <c r="N994" s="8" t="str">
        <v>Comp 955</v>
      </c>
      <c r="O994" s="8" t="str">
        <v>Mini Liquidificador</v>
      </c>
      <c r="P994" s="8" t="str">
        <v>A4-5W51-K3HF</v>
      </c>
      <c r="Q994" s="4">
        <v>45731</v>
      </c>
      <c r="R994" s="109">
        <v>30.99</v>
      </c>
      <c r="S994" s="11">
        <f ca="1"/>
        <v>0</v>
      </c>
      <c r="T994" s="28">
        <f ca="1"/>
        <v>0</v>
      </c>
      <c r="U994" s="11">
        <f ca="1"/>
        <v>0</v>
      </c>
      <c r="V994" s="11">
        <v>0</v>
      </c>
      <c r="W994" s="11">
        <f ca="1"/>
        <v>0</v>
      </c>
      <c r="X994" s="11">
        <f ca="1"/>
        <v>0.39877104377104378</v>
      </c>
      <c r="Y994" s="11">
        <v>0</v>
      </c>
      <c r="Z994" s="11">
        <f ca="1"/>
        <v>-0.39877104377104378</v>
      </c>
      <c r="AA994" s="11">
        <f ca="1"/>
        <v>-0.19938552188552189</v>
      </c>
      <c r="AB994" s="4">
        <f ca="1"/>
        <v>45738</v>
      </c>
      <c r="AC994" s="4">
        <v>45738</v>
      </c>
      <c r="AD994" s="9">
        <v>45747</v>
      </c>
      <c r="AE994" s="9">
        <v>45749</v>
      </c>
      <c r="AF994" s="4" t="str">
        <f t="shared" ca="1" si="56"/>
        <v>2025 03</v>
      </c>
      <c r="AG994" s="8" t="str" cm="1">
        <f t="array" ref="AG994">IFERROR(_xlfn.IFS('Banco de Dados'!#REF!="AG. COMPRA","Em processamento",'Banco de Dados'!#REF!="AG. RASTREIO","Em processamento",'Banco de Dados'!$AE994&lt;&gt;"-","Faturado",'Banco de Dados'!$AD994&lt;&gt;"-","Aguardando Pix",'Banco de Dados'!$AC994&lt;&gt;"-","Pendente"),"Aguardando Liberação")</f>
        <v>Aguardando Liberação</v>
      </c>
      <c r="AH994" s="5" t="str">
        <f>IF('Banco de Dados'!$F994="-",_xlfn.CONCAT(PROPER(TEXT(AK994,"aaaa"))," ",PROPER(TEXT(AK994,"mm"))),_xlfn.CONCAT(PROPER(TEXT(E994,"aaaa"))," ",PROPER(TEXT(E994,"mm"))))</f>
        <v>2025 02</v>
      </c>
      <c r="AI994" s="9" t="str">
        <f ca="1">IF('Banco de Dados'!$AK994&lt;&gt;"-","REEMBOLSO",IFERROR(_xlfn.XLOOKUP(G994,Follow[CODRASTREIO],Follow[STATUS]),"-"))</f>
        <v>REEMBOLSO</v>
      </c>
      <c r="AJ994" s="9" t="str">
        <f ca="1">IF('Banco de Dados'!$AI994="ENTREGUE",_xlfn.XLOOKUP('Banco de Dados'!$G994,Follow[CODRASTREIO],Follow[DATAATUALIZAÇÃO]),"-")</f>
        <v>-</v>
      </c>
      <c r="AK994" s="132">
        <f ca="1"/>
        <v>45737</v>
      </c>
      <c r="AL994" s="35"/>
      <c r="AM994" s="109" cm="1">
        <f t="array" aca="1" ref="AM994" ca="1">IF('Banco de Dados'!$AK994&lt;&gt;"-",_xlfn.IFS('Banco de Dados'!$A994="bv",IF('Banco de Dados'!$E994&lt;45641,ROUND(SUM('Banco de Dados'!$R994*_xlfn.XLOOKUP('Banco de Dados'!$P994,Sku!B:B,Sku!#REF!)*20%),2),ROUND(SUM('Banco de Dados'!$R994*_xlfn.XLOOKUP('Banco de Dados'!$P994,Sku!B:B,Sku!H:H)*20%),2)),'Banco de Dados'!$A994="GO",ROUND(SUM('Banco de Dados'!$R994*_xlfn.XLOOKUP('Banco de Dados'!$P994,Sku!C:C,Sku!H:H)*20%),2),'Banco de Dados'!$A994="MEI",ROUND(SUM('Banco de Dados'!$R994*_xlfn.XLOOKUP('Banco de Dados'!$P994,Sku!D:D,Sku!H:H)*20%),2)),0)</f>
        <v>0.81</v>
      </c>
      <c r="AN994" s="109" t="e">
        <f ca="1">IF('Banco de Dados'!$AK994&lt;&gt;"-",IF('Banco de Dados'!$F994&lt;&gt;"-",_xlfn.XLOOKUP(IFERROR(IFERROR(IFERROR(VALUE(SUBSTITUTE(MID(_xlfn.TEXTAFTER('Banco de Dados'!$F994,"Data do Pedido:
",1),1,10),"-","/")),VALUE(SUBSTITUTE(MID(_xlfn.TEXTAFTER('Banco de Dados'!$F994,"Order date:
",1),1,10),"-","/"))),VALUE(SUBSTITUTE(MID(_xlfn.TEXTAFTER('Banco de Dados'!$F994,"Fecha de pedido:
",1),1,10),"-","/"))),"-"),SMS!A:A,SMS!K:K),0),0)</f>
        <v>#N/A</v>
      </c>
      <c r="AO994" s="109">
        <f ca="1">IF('Banco de Dados'!$AK994&lt;&gt;"-",IF('Banco de Dados'!$F994&lt;&gt;"-",IFERROR(_xlfn.XLOOKUP(_xlfn.CONCAT('Banco de Dados'!$A994,IFERROR(IFERROR(VALUE(SUBSTITUTE(MID(_xlfn.TEXTAFTER('Banco de Dados'!$F994,"Data do Pedido:
",1),1,10),"-","/")),VALUE(SUBSTITUTE(MID(_xlfn.TEXTAFTER('Banco de Dados'!$F994,"Order date:
",1),1,10),"-","/"))),0)),ProxyDD[Chave],ProxyDD[Valor por pedido]),PROXY!$P$2),0),0)</f>
        <v>0.39877104377104378</v>
      </c>
      <c r="AP994" s="28">
        <f ca="1">IF('Banco de Dados'!$AK994&lt;&gt;"-",IF('Banco de Dados'!$AL994="NÃO",IFERROR(VALUE(SUBSTITUTE(_xlfn.TEXTAFTER('Banco de Dados'!$F994,"BRL ",1),".",",")),0),0),0)</f>
        <v>0</v>
      </c>
      <c r="AQ994" s="28" t="e">
        <f ca="1">SUM('Banco de Dados'!$AM994:$AP994)</f>
        <v>#N/A</v>
      </c>
      <c r="AR994" s="8"/>
      <c r="AY994" s="8"/>
    </row>
    <row r="995" spans="1:51">
      <c r="A995" s="5" t="str">
        <v>MEI</v>
      </c>
      <c r="B995" s="5" t="str">
        <f ca="1"/>
        <v>MEI45701</v>
      </c>
      <c r="C995" s="8" t="str">
        <v>Pedido 982</v>
      </c>
      <c r="D995" s="187">
        <v>45701</v>
      </c>
      <c r="E995" s="9">
        <v>45701</v>
      </c>
      <c r="F995" s="8" t="str">
        <v>PedidoF961</v>
      </c>
      <c r="G995" s="2" t="str">
        <v>CódRastreio959</v>
      </c>
      <c r="H995" s="5">
        <v>1</v>
      </c>
      <c r="I995" s="2" t="str">
        <v>CPF 956</v>
      </c>
      <c r="J995" s="2" t="str">
        <v>Nome 956</v>
      </c>
      <c r="K995" s="8" t="str">
        <v>Tel 956</v>
      </c>
      <c r="L995" s="8" t="str">
        <v>Cep 956</v>
      </c>
      <c r="M995" s="8" t="str">
        <v>Rua 956</v>
      </c>
      <c r="N995" s="8" t="str">
        <v>Comp 956</v>
      </c>
      <c r="O995" s="8" t="str">
        <v>Mini Liquidificador</v>
      </c>
      <c r="P995" s="8" t="str">
        <v>A4-5W51-K3HF</v>
      </c>
      <c r="Q995" s="4">
        <v>45727</v>
      </c>
      <c r="R995" s="109">
        <v>30.99</v>
      </c>
      <c r="S995" s="11">
        <f ca="1"/>
        <v>30.99</v>
      </c>
      <c r="T995" s="28">
        <f ca="1"/>
        <v>4.3386000000000005</v>
      </c>
      <c r="U995" s="11">
        <f ca="1"/>
        <v>26.65</v>
      </c>
      <c r="V995" s="11">
        <v>14.99</v>
      </c>
      <c r="W995" s="11">
        <f ca="1"/>
        <v>0.15</v>
      </c>
      <c r="X995" s="11">
        <f ca="1"/>
        <v>0.39877104377104378</v>
      </c>
      <c r="Y995" s="11">
        <v>0</v>
      </c>
      <c r="Z995" s="11">
        <f ca="1"/>
        <v>11.111228956228954</v>
      </c>
      <c r="AA995" s="11">
        <f ca="1"/>
        <v>5.5556144781144772</v>
      </c>
      <c r="AB995" s="4">
        <f ca="1"/>
        <v>45734</v>
      </c>
      <c r="AC995" s="4">
        <v>45734</v>
      </c>
      <c r="AD995" s="9">
        <v>45747</v>
      </c>
      <c r="AE995" s="9">
        <v>45749</v>
      </c>
      <c r="AF995" s="4" t="str">
        <f t="shared" ca="1" si="56"/>
        <v>2025 03</v>
      </c>
      <c r="AG995" s="8" t="str" cm="1">
        <f t="array" ref="AG995">IFERROR(_xlfn.IFS('Banco de Dados'!#REF!="AG. COMPRA","Em processamento",'Banco de Dados'!#REF!="AG. RASTREIO","Em processamento",'Banco de Dados'!$AE995&lt;&gt;"-","Faturado",'Banco de Dados'!$AD995&lt;&gt;"-","Aguardando Pix",'Banco de Dados'!$AC995&lt;&gt;"-","Pendente"),"Aguardando Liberação")</f>
        <v>Aguardando Liberação</v>
      </c>
      <c r="AH995" s="5" t="str">
        <f>IF('Banco de Dados'!$F995="-",_xlfn.CONCAT(PROPER(TEXT(AK995,"aaaa"))," ",PROPER(TEXT(AK995,"mm"))),_xlfn.CONCAT(PROPER(TEXT(E995,"aaaa"))," ",PROPER(TEXT(E995,"mm"))))</f>
        <v>2025 02</v>
      </c>
      <c r="AI995" s="9" t="str">
        <f ca="1">IF('Banco de Dados'!$AK995&lt;&gt;"-","REEMBOLSO",IFERROR(_xlfn.XLOOKUP(G995,Follow[CODRASTREIO],Follow[STATUS]),"-"))</f>
        <v>ENTREGUE</v>
      </c>
      <c r="AJ995" s="9">
        <f ca="1">IF('Banco de Dados'!$AI995="ENTREGUE",_xlfn.XLOOKUP('Banco de Dados'!$G995,Follow[CODRASTREIO],Follow[DATAATUALIZAÇÃO]),"-")</f>
        <v>45708</v>
      </c>
      <c r="AK995" s="132" t="str">
        <f ca="1"/>
        <v>-</v>
      </c>
      <c r="AL995" s="35"/>
      <c r="AM995" s="109" cm="1">
        <f t="array" aca="1" ref="AM995" ca="1">IF('Banco de Dados'!$AK995&lt;&gt;"-",_xlfn.IFS('Banco de Dados'!$A995="bv",IF('Banco de Dados'!$E995&lt;45641,ROUND(SUM('Banco de Dados'!$R995*_xlfn.XLOOKUP('Banco de Dados'!$P995,Sku!B:B,Sku!#REF!)*20%),2),ROUND(SUM('Banco de Dados'!$R995*_xlfn.XLOOKUP('Banco de Dados'!$P995,Sku!B:B,Sku!H:H)*20%),2)),'Banco de Dados'!$A995="GO",ROUND(SUM('Banco de Dados'!$R995*_xlfn.XLOOKUP('Banco de Dados'!$P995,Sku!C:C,Sku!H:H)*20%),2),'Banco de Dados'!$A995="MEI",ROUND(SUM('Banco de Dados'!$R995*_xlfn.XLOOKUP('Banco de Dados'!$P995,Sku!D:D,Sku!H:H)*20%),2)),0)</f>
        <v>0</v>
      </c>
      <c r="AN995" s="109">
        <f ca="1">IF('Banco de Dados'!$AK995&lt;&gt;"-",IF('Banco de Dados'!$F995&lt;&gt;"-",_xlfn.XLOOKUP(IFERROR(IFERROR(IFERROR(VALUE(SUBSTITUTE(MID(_xlfn.TEXTAFTER('Banco de Dados'!$F995,"Data do Pedido:
",1),1,10),"-","/")),VALUE(SUBSTITUTE(MID(_xlfn.TEXTAFTER('Banco de Dados'!$F995,"Order date:
",1),1,10),"-","/"))),VALUE(SUBSTITUTE(MID(_xlfn.TEXTAFTER('Banco de Dados'!$F995,"Fecha de pedido:
",1),1,10),"-","/"))),"-"),SMS!A:A,SMS!K:K),0),0)</f>
        <v>0</v>
      </c>
      <c r="AO995" s="109">
        <f ca="1">IF('Banco de Dados'!$AK995&lt;&gt;"-",IF('Banco de Dados'!$F995&lt;&gt;"-",IFERROR(_xlfn.XLOOKUP(_xlfn.CONCAT('Banco de Dados'!$A995,IFERROR(IFERROR(VALUE(SUBSTITUTE(MID(_xlfn.TEXTAFTER('Banco de Dados'!$F995,"Data do Pedido:
",1),1,10),"-","/")),VALUE(SUBSTITUTE(MID(_xlfn.TEXTAFTER('Banco de Dados'!$F995,"Order date:
",1),1,10),"-","/"))),0)),ProxyDD[Chave],ProxyDD[Valor por pedido]),PROXY!$P$2),0),0)</f>
        <v>0</v>
      </c>
      <c r="AP995" s="28">
        <f ca="1">IF('Banco de Dados'!$AK995&lt;&gt;"-",IF('Banco de Dados'!$AL995="NÃO",IFERROR(VALUE(SUBSTITUTE(_xlfn.TEXTAFTER('Banco de Dados'!$F995,"BRL ",1),".",",")),0),0),0)</f>
        <v>0</v>
      </c>
      <c r="AQ995" s="28">
        <f ca="1">SUM('Banco de Dados'!$AM995:$AP995)</f>
        <v>0</v>
      </c>
      <c r="AR995" s="8"/>
      <c r="AY995" s="8"/>
    </row>
    <row r="996" spans="1:51">
      <c r="A996" s="5" t="str">
        <v>BV</v>
      </c>
      <c r="B996" s="5" t="str">
        <f ca="1"/>
        <v>BV45702</v>
      </c>
      <c r="C996" s="8" t="str">
        <v>Pedido 983</v>
      </c>
      <c r="D996" s="9">
        <v>45702</v>
      </c>
      <c r="E996" s="9">
        <v>45702</v>
      </c>
      <c r="F996" s="8" t="str">
        <v>PedidoF962</v>
      </c>
      <c r="G996" s="2" t="str">
        <v>CódRastreio960</v>
      </c>
      <c r="H996" s="5">
        <v>1</v>
      </c>
      <c r="I996" s="2" t="str">
        <v>CPF 957</v>
      </c>
      <c r="J996" s="2" t="str">
        <v>Nome 957</v>
      </c>
      <c r="K996" s="8" t="str">
        <v>Tel 957</v>
      </c>
      <c r="L996" s="8" t="str">
        <v>Cep 957</v>
      </c>
      <c r="M996" s="8" t="str">
        <v>Rua 957</v>
      </c>
      <c r="N996" s="8" t="str">
        <v>Comp 957</v>
      </c>
      <c r="O996" s="8" t="str">
        <v>Adaptador Bluetooph</v>
      </c>
      <c r="P996" s="8" t="str">
        <v>YA-AG3H-SPUK</v>
      </c>
      <c r="Q996" s="4">
        <v>45728</v>
      </c>
      <c r="R996" s="109">
        <v>19.989999999999998</v>
      </c>
      <c r="S996" s="11">
        <f ca="1"/>
        <v>19.989999999999998</v>
      </c>
      <c r="T996" s="28">
        <f ca="1"/>
        <v>2.3987999999999996</v>
      </c>
      <c r="U996" s="11">
        <f ca="1"/>
        <v>17.59</v>
      </c>
      <c r="V996" s="11">
        <v>6.99</v>
      </c>
      <c r="W996" s="11">
        <f ca="1"/>
        <v>0.2</v>
      </c>
      <c r="X996" s="11">
        <f ca="1"/>
        <v>0.39877104377104378</v>
      </c>
      <c r="Y996" s="11">
        <v>0</v>
      </c>
      <c r="Z996" s="11">
        <f ca="1"/>
        <v>10.001228956228957</v>
      </c>
      <c r="AA996" s="11">
        <f ca="1"/>
        <v>5.0006144781144783</v>
      </c>
      <c r="AB996" s="4">
        <f ca="1"/>
        <v>45735</v>
      </c>
      <c r="AC996" s="4">
        <v>45735</v>
      </c>
      <c r="AD996" s="9">
        <v>45747</v>
      </c>
      <c r="AE996" s="9">
        <v>45749</v>
      </c>
      <c r="AF996" s="4" t="str">
        <f t="shared" ref="AF996:AF997" ca="1" si="57">_xlfn.CONCAT(PROPER(TEXT(AB996,"aaaa"))," ",PROPER(TEXT(AB996,"mm")))</f>
        <v>2025 03</v>
      </c>
      <c r="AG996" s="8" t="str" cm="1">
        <f t="array" ref="AG996">IFERROR(_xlfn.IFS('Banco de Dados'!#REF!="AG. COMPRA","Em processamento",'Banco de Dados'!#REF!="AG. RASTREIO","Em processamento",'Banco de Dados'!$AE996&lt;&gt;"-","Faturado",'Banco de Dados'!$AD996&lt;&gt;"-","Aguardando Pix",'Banco de Dados'!$AC996&lt;&gt;"-","Pendente"),"Aguardando Liberação")</f>
        <v>Aguardando Liberação</v>
      </c>
      <c r="AH996" s="5" t="str">
        <f>IF('Banco de Dados'!$F996="-",_xlfn.CONCAT(PROPER(TEXT(AK996,"aaaa"))," ",PROPER(TEXT(AK996,"mm"))),_xlfn.CONCAT(PROPER(TEXT(E996,"aaaa"))," ",PROPER(TEXT(E996,"mm"))))</f>
        <v>2025 02</v>
      </c>
      <c r="AI996" s="9" t="str">
        <f ca="1">IF('Banco de Dados'!$AK996&lt;&gt;"-","REEMBOLSO",IFERROR(_xlfn.XLOOKUP(G996,Follow[CODRASTREIO],Follow[STATUS]),"-"))</f>
        <v>ENTREGUE</v>
      </c>
      <c r="AJ996" s="9">
        <f ca="1">IF('Banco de Dados'!$AI996="ENTREGUE",_xlfn.XLOOKUP('Banco de Dados'!$G996,Follow[CODRASTREIO],Follow[DATAATUALIZAÇÃO]),"-")</f>
        <v>45709</v>
      </c>
      <c r="AK996" s="132" t="str">
        <f ca="1"/>
        <v>-</v>
      </c>
      <c r="AL996" s="35"/>
      <c r="AM996" s="109" cm="1">
        <f t="array" aca="1" ref="AM996" ca="1">IF('Banco de Dados'!$AK996&lt;&gt;"-",_xlfn.IFS('Banco de Dados'!$A996="bv",IF('Banco de Dados'!$E996&lt;45641,ROUND(SUM('Banco de Dados'!$R996*_xlfn.XLOOKUP('Banco de Dados'!$P996,Sku!B:B,Sku!#REF!)*20%),2),ROUND(SUM('Banco de Dados'!$R996*_xlfn.XLOOKUP('Banco de Dados'!$P996,Sku!B:B,Sku!H:H)*20%),2)),'Banco de Dados'!$A996="GO",ROUND(_xlfn.XLOOKUP('Banco de Dados'!$P996,Sku!C:C,Sku!H:H),2),'Banco de Dados'!$A996="MEI",ROUND(_xlfn.XLOOKUP('Banco de Dados'!$P996,Sku!D:D,Sku!H:H),2)),0)</f>
        <v>0</v>
      </c>
      <c r="AN996" s="109">
        <f ca="1">IF('Banco de Dados'!$AK996&lt;&gt;"-",IF('Banco de Dados'!$F996&lt;&gt;"-",_xlfn.XLOOKUP(IFERROR(IFERROR(IFERROR(VALUE(SUBSTITUTE(MID(_xlfn.TEXTAFTER('Banco de Dados'!$F996,"Data do Pedido:
",1),1,10),"-","/")),VALUE(SUBSTITUTE(MID(_xlfn.TEXTAFTER('Banco de Dados'!$F996,"Order date:
",1),1,10),"-","/"))),VALUE(SUBSTITUTE(MID(_xlfn.TEXTAFTER('Banco de Dados'!$F996,"Fecha de pedido:
",1),1,10),"-","/"))),"-"),SMS!A:A,SMS!K:K),0),0)</f>
        <v>0</v>
      </c>
      <c r="AO996" s="109">
        <f ca="1">IF('Banco de Dados'!$AK996&lt;&gt;"-",IF('Banco de Dados'!$F996&lt;&gt;"-",IFERROR(_xlfn.XLOOKUP(_xlfn.CONCAT('Banco de Dados'!$A996,IFERROR(IFERROR(VALUE(SUBSTITUTE(MID(_xlfn.TEXTAFTER('Banco de Dados'!$F996,"Data do Pedido:
",1),1,10),"-","/")),VALUE(SUBSTITUTE(MID(_xlfn.TEXTAFTER('Banco de Dados'!$F996,"Order date:
",1),1,10),"-","/"))),0)),ProxyDD[Chave],ProxyDD[Valor por pedido]),PROXY!$P$2),0),0)</f>
        <v>0</v>
      </c>
      <c r="AP996" s="28">
        <f ca="1">IF('Banco de Dados'!$AK996&lt;&gt;"-",IF('Banco de Dados'!$AL996="NÃO",IFERROR(VALUE(SUBSTITUTE(_xlfn.TEXTAFTER('Banco de Dados'!$F996,"BRL ",1),".",",")),0),0),0)</f>
        <v>0</v>
      </c>
      <c r="AQ996" s="28">
        <f ca="1">SUM('Banco de Dados'!$AM996:$AP996)</f>
        <v>0</v>
      </c>
      <c r="AR996" s="8"/>
      <c r="AY996" s="8"/>
    </row>
    <row r="997" spans="1:51">
      <c r="A997" s="5" t="str">
        <v>BV</v>
      </c>
      <c r="B997" s="5" t="str">
        <f ca="1"/>
        <v>BV45702</v>
      </c>
      <c r="C997" s="8" t="str">
        <v>Pedido 984</v>
      </c>
      <c r="D997" s="9">
        <v>45702</v>
      </c>
      <c r="E997" s="9">
        <v>45702</v>
      </c>
      <c r="F997" s="8" t="str">
        <v>PedidoF963</v>
      </c>
      <c r="G997" s="2" t="str">
        <v>CódRastreio961</v>
      </c>
      <c r="H997" s="5">
        <v>1</v>
      </c>
      <c r="I997" s="2" t="str">
        <v>CPF 958</v>
      </c>
      <c r="J997" s="2" t="str">
        <v>Nome 958</v>
      </c>
      <c r="K997" s="8" t="str">
        <v>Tel 958</v>
      </c>
      <c r="L997" s="8" t="str">
        <v>Cep 958</v>
      </c>
      <c r="M997" s="8" t="str">
        <v>Rua 958</v>
      </c>
      <c r="N997" s="8" t="str">
        <v>Comp 958</v>
      </c>
      <c r="O997" s="8" t="str">
        <v>Ventilador de teto</v>
      </c>
      <c r="P997" s="8" t="str">
        <v>BP-NHG2-B8C1</v>
      </c>
      <c r="Q997" s="4">
        <v>45728</v>
      </c>
      <c r="R997" s="109">
        <v>74.989999999999995</v>
      </c>
      <c r="S997" s="11">
        <f ca="1"/>
        <v>74.989999999999995</v>
      </c>
      <c r="T997" s="28">
        <f ca="1"/>
        <v>9.7486999999999995</v>
      </c>
      <c r="U997" s="11">
        <f ca="1"/>
        <v>65.239999999999995</v>
      </c>
      <c r="V997" s="11">
        <v>45.11</v>
      </c>
      <c r="W997" s="11">
        <f ca="1"/>
        <v>0.2</v>
      </c>
      <c r="X997" s="11">
        <f ca="1"/>
        <v>0.39877104377104378</v>
      </c>
      <c r="Y997" s="11">
        <v>0</v>
      </c>
      <c r="Z997" s="11">
        <f ca="1"/>
        <v>19.531228956228951</v>
      </c>
      <c r="AA997" s="11">
        <f ca="1"/>
        <v>9.7656144781144754</v>
      </c>
      <c r="AB997" s="4">
        <f ca="1"/>
        <v>45735</v>
      </c>
      <c r="AC997" s="4">
        <v>45735</v>
      </c>
      <c r="AD997" s="9">
        <v>45747</v>
      </c>
      <c r="AE997" s="9">
        <v>45749</v>
      </c>
      <c r="AF997" s="4" t="str">
        <f t="shared" ca="1" si="57"/>
        <v>2025 03</v>
      </c>
      <c r="AG997" s="8" t="str" cm="1">
        <f t="array" ref="AG997">IFERROR(_xlfn.IFS('Banco de Dados'!#REF!="AG. COMPRA","Em processamento",'Banco de Dados'!#REF!="AG. RASTREIO","Em processamento",'Banco de Dados'!$AE997&lt;&gt;"-","Faturado",'Banco de Dados'!$AD997&lt;&gt;"-","Aguardando Pix",'Banco de Dados'!$AC997&lt;&gt;"-","Pendente"),"Aguardando Liberação")</f>
        <v>Aguardando Liberação</v>
      </c>
      <c r="AH997" s="5" t="str">
        <f>IF('Banco de Dados'!$F997="-",_xlfn.CONCAT(PROPER(TEXT(AK997,"aaaa"))," ",PROPER(TEXT(AK997,"mm"))),_xlfn.CONCAT(PROPER(TEXT(E997,"aaaa"))," ",PROPER(TEXT(E997,"mm"))))</f>
        <v>2025 02</v>
      </c>
      <c r="AI997" s="9" t="str">
        <f ca="1">IF('Banco de Dados'!$AK997&lt;&gt;"-","REEMBOLSO",IFERROR(_xlfn.XLOOKUP(G997,Follow[CODRASTREIO],Follow[STATUS]),"-"))</f>
        <v>ENTREGUE</v>
      </c>
      <c r="AJ997" s="9">
        <f ca="1">IF('Banco de Dados'!$AI997="ENTREGUE",_xlfn.XLOOKUP('Banco de Dados'!$G997,Follow[CODRASTREIO],Follow[DATAATUALIZAÇÃO]),"-")</f>
        <v>45715</v>
      </c>
      <c r="AK997" s="132" t="str">
        <f ca="1"/>
        <v>-</v>
      </c>
      <c r="AL997" s="35"/>
      <c r="AM997" s="109" cm="1">
        <f t="array" aca="1" ref="AM997" ca="1">IF('Banco de Dados'!$AK997&lt;&gt;"-",_xlfn.IFS('Banco de Dados'!$A997="bv",IF('Banco de Dados'!$E997&lt;45641,ROUND(SUM('Banco de Dados'!$R997*_xlfn.XLOOKUP('Banco de Dados'!$P997,Sku!B:B,Sku!#REF!)*20%),2),ROUND(SUM('Banco de Dados'!$R997*_xlfn.XLOOKUP('Banco de Dados'!$P997,Sku!B:B,Sku!H:H)*20%),2)),'Banco de Dados'!$A997="GO",ROUND(_xlfn.XLOOKUP('Banco de Dados'!$P997,Sku!C:C,Sku!H:H),2),'Banco de Dados'!$A997="MEI",ROUND(_xlfn.XLOOKUP('Banco de Dados'!$P997,Sku!D:D,Sku!H:H),2)),0)</f>
        <v>0</v>
      </c>
      <c r="AN997" s="109">
        <f ca="1">IF('Banco de Dados'!$AK997&lt;&gt;"-",IF('Banco de Dados'!$F997&lt;&gt;"-",_xlfn.XLOOKUP(IFERROR(IFERROR(IFERROR(VALUE(SUBSTITUTE(MID(_xlfn.TEXTAFTER('Banco de Dados'!$F997,"Data do Pedido:
",1),1,10),"-","/")),VALUE(SUBSTITUTE(MID(_xlfn.TEXTAFTER('Banco de Dados'!$F997,"Order date:
",1),1,10),"-","/"))),VALUE(SUBSTITUTE(MID(_xlfn.TEXTAFTER('Banco de Dados'!$F997,"Fecha de pedido:
",1),1,10),"-","/"))),"-"),SMS!A:A,SMS!K:K),0),0)</f>
        <v>0</v>
      </c>
      <c r="AO997" s="109">
        <f ca="1">IF('Banco de Dados'!$AK997&lt;&gt;"-",IF('Banco de Dados'!$F997&lt;&gt;"-",IFERROR(_xlfn.XLOOKUP(_xlfn.CONCAT('Banco de Dados'!$A997,IFERROR(IFERROR(VALUE(SUBSTITUTE(MID(_xlfn.TEXTAFTER('Banco de Dados'!$F997,"Data do Pedido:
",1),1,10),"-","/")),VALUE(SUBSTITUTE(MID(_xlfn.TEXTAFTER('Banco de Dados'!$F997,"Order date:
",1),1,10),"-","/"))),0)),ProxyDD[Chave],ProxyDD[Valor por pedido]),PROXY!$P$2),0),0)</f>
        <v>0</v>
      </c>
      <c r="AP997" s="28">
        <f ca="1">IF('Banco de Dados'!$AK997&lt;&gt;"-",IF('Banco de Dados'!$AL997="NÃO",IFERROR(VALUE(SUBSTITUTE(_xlfn.TEXTAFTER('Banco de Dados'!$F997,"BRL ",1),".",",")),0),0),0)</f>
        <v>0</v>
      </c>
      <c r="AQ997" s="28">
        <f ca="1">SUM('Banco de Dados'!$AM997:$AP997)</f>
        <v>0</v>
      </c>
      <c r="AR997" s="8"/>
      <c r="AY997" s="8"/>
    </row>
    <row r="998" spans="1:51">
      <c r="A998" s="5" t="str">
        <v>MEI</v>
      </c>
      <c r="B998" s="5" t="str">
        <f ca="1"/>
        <v>MEI45702</v>
      </c>
      <c r="C998" s="8" t="str">
        <v>Pedido 985</v>
      </c>
      <c r="D998" s="187">
        <v>45702</v>
      </c>
      <c r="E998" s="9">
        <v>45702</v>
      </c>
      <c r="F998" s="8" t="str">
        <v>PedidoF964</v>
      </c>
      <c r="G998" s="2" t="str">
        <v>CódRastreio962</v>
      </c>
      <c r="H998" s="5">
        <v>1</v>
      </c>
      <c r="I998" s="2" t="str">
        <v>CPF 959</v>
      </c>
      <c r="J998" s="2" t="str">
        <v>Nome 959</v>
      </c>
      <c r="K998" s="8" t="str">
        <v>Tel 959</v>
      </c>
      <c r="L998" s="8" t="str">
        <v>Cep 959</v>
      </c>
      <c r="M998" s="8" t="str">
        <v>Rua 959</v>
      </c>
      <c r="N998" s="8" t="str">
        <v>Comp 959</v>
      </c>
      <c r="O998" s="8" t="str">
        <v>Ventilador Preto</v>
      </c>
      <c r="P998" s="8" t="str">
        <v>WU-SS4J-LFOH</v>
      </c>
      <c r="Q998" s="4">
        <v>45738</v>
      </c>
      <c r="R998" s="109">
        <v>61.99</v>
      </c>
      <c r="S998" s="11">
        <f ca="1"/>
        <v>61.99</v>
      </c>
      <c r="T998" s="28">
        <f ca="1"/>
        <v>8.0587</v>
      </c>
      <c r="U998" s="11">
        <f ca="1"/>
        <v>53.93</v>
      </c>
      <c r="V998" s="11">
        <v>35.83</v>
      </c>
      <c r="W998" s="11">
        <f ca="1"/>
        <v>0.2</v>
      </c>
      <c r="X998" s="11">
        <f ca="1"/>
        <v>0.39877104377104378</v>
      </c>
      <c r="Y998" s="11">
        <v>0</v>
      </c>
      <c r="Z998" s="11">
        <f ca="1"/>
        <v>17.501228956228957</v>
      </c>
      <c r="AA998" s="11">
        <f ca="1"/>
        <v>8.7506144781144783</v>
      </c>
      <c r="AB998" s="4">
        <f ca="1"/>
        <v>45745</v>
      </c>
      <c r="AC998" s="4">
        <v>45745</v>
      </c>
      <c r="AD998" s="9">
        <v>45747</v>
      </c>
      <c r="AE998" s="9">
        <v>45749</v>
      </c>
      <c r="AF998" s="4" t="str">
        <f t="shared" ref="AF998:AF1002" ca="1" si="58">_xlfn.CONCAT(PROPER(TEXT(AB998,"aaaa"))," ",PROPER(TEXT(AB998,"mm")))</f>
        <v>2025 03</v>
      </c>
      <c r="AG998" s="8" t="str" cm="1">
        <f t="array" ref="AG998">IFERROR(_xlfn.IFS('Banco de Dados'!#REF!="AG. COMPRA","Em processamento",'Banco de Dados'!#REF!="AG. RASTREIO","Em processamento",'Banco de Dados'!$AE998&lt;&gt;"-","Faturado",'Banco de Dados'!$AD998&lt;&gt;"-","Aguardando Pix",'Banco de Dados'!$AC998&lt;&gt;"-","Pendente"),"Aguardando Liberação")</f>
        <v>Aguardando Liberação</v>
      </c>
      <c r="AH998" s="5" t="str">
        <f>IF('Banco de Dados'!$F998="-",_xlfn.CONCAT(PROPER(TEXT(AK998,"aaaa"))," ",PROPER(TEXT(AK998,"mm"))),_xlfn.CONCAT(PROPER(TEXT(E998,"aaaa"))," ",PROPER(TEXT(E998,"mm"))))</f>
        <v>2025 02</v>
      </c>
      <c r="AI998" s="9" t="str">
        <f ca="1">IF('Banco de Dados'!$AK998&lt;&gt;"-","REEMBOLSO",IFERROR(_xlfn.XLOOKUP(G998,Follow[CODRASTREIO],Follow[STATUS]),"-"))</f>
        <v>ENTREGUE</v>
      </c>
      <c r="AJ998" s="9">
        <f ca="1">IF('Banco de Dados'!$AI998="ENTREGUE",_xlfn.XLOOKUP('Banco de Dados'!$G998,Follow[CODRASTREIO],Follow[DATAATUALIZAÇÃO]),"-")</f>
        <v>45715</v>
      </c>
      <c r="AK998" s="132" t="str">
        <f ca="1"/>
        <v>-</v>
      </c>
      <c r="AL998" s="35"/>
      <c r="AM998" s="109" cm="1">
        <f t="array" aca="1" ref="AM998" ca="1">IF('Banco de Dados'!$AK998&lt;&gt;"-",_xlfn.IFS('Banco de Dados'!$A998="bv",IF('Banco de Dados'!$E998&lt;45641,ROUND(SUM('Banco de Dados'!$R998*_xlfn.XLOOKUP('Banco de Dados'!$P998,Sku!B:B,Sku!#REF!)*20%),2),ROUND(SUM('Banco de Dados'!$R998*_xlfn.XLOOKUP('Banco de Dados'!$P998,Sku!B:B,Sku!H:H)*20%),2)),'Banco de Dados'!$A998="GO",ROUND(SUM('Banco de Dados'!$R998*_xlfn.XLOOKUP('Banco de Dados'!$P998,Sku!C:C,Sku!H:H)*20%),2),'Banco de Dados'!$A998="MEI",ROUND(SUM('Banco de Dados'!$R998*_xlfn.XLOOKUP('Banco de Dados'!$P998,Sku!D:D,Sku!H:H)*20%),2)),0)</f>
        <v>0</v>
      </c>
      <c r="AN998" s="109">
        <f ca="1">IF('Banco de Dados'!$AK998&lt;&gt;"-",IF('Banco de Dados'!$F998&lt;&gt;"-",_xlfn.XLOOKUP(IFERROR(IFERROR(IFERROR(VALUE(SUBSTITUTE(MID(_xlfn.TEXTAFTER('Banco de Dados'!$F998,"Data do Pedido:
",1),1,10),"-","/")),VALUE(SUBSTITUTE(MID(_xlfn.TEXTAFTER('Banco de Dados'!$F998,"Order date:
",1),1,10),"-","/"))),VALUE(SUBSTITUTE(MID(_xlfn.TEXTAFTER('Banco de Dados'!$F998,"Fecha de pedido:
",1),1,10),"-","/"))),"-"),SMS!A:A,SMS!K:K),0),0)</f>
        <v>0</v>
      </c>
      <c r="AO998" s="109">
        <f ca="1">IF('Banco de Dados'!$AK998&lt;&gt;"-",IF('Banco de Dados'!$F998&lt;&gt;"-",IFERROR(_xlfn.XLOOKUP(_xlfn.CONCAT('Banco de Dados'!$A998,IFERROR(IFERROR(VALUE(SUBSTITUTE(MID(_xlfn.TEXTAFTER('Banco de Dados'!$F998,"Data do Pedido:
",1),1,10),"-","/")),VALUE(SUBSTITUTE(MID(_xlfn.TEXTAFTER('Banco de Dados'!$F998,"Order date:
",1),1,10),"-","/"))),0)),ProxyDD[Chave],ProxyDD[Valor por pedido]),PROXY!$P$2),0),0)</f>
        <v>0</v>
      </c>
      <c r="AP998" s="28">
        <f ca="1">IF('Banco de Dados'!$AK998&lt;&gt;"-",IF('Banco de Dados'!$AL998="NÃO",IFERROR(VALUE(SUBSTITUTE(_xlfn.TEXTAFTER('Banco de Dados'!$F998,"BRL ",1),".",",")),0),0),0)</f>
        <v>0</v>
      </c>
      <c r="AQ998" s="28">
        <f ca="1">SUM('Banco de Dados'!$AM998:$AP998)</f>
        <v>0</v>
      </c>
      <c r="AR998" s="8"/>
      <c r="AY998" s="8"/>
    </row>
    <row r="999" spans="1:51">
      <c r="A999" s="5" t="str">
        <v>MEI</v>
      </c>
      <c r="B999" s="5" t="str">
        <f ca="1"/>
        <v>MEI45702</v>
      </c>
      <c r="C999" s="8" t="str">
        <v>Pedido 986</v>
      </c>
      <c r="D999" s="187">
        <v>45702</v>
      </c>
      <c r="E999" s="9">
        <v>45702</v>
      </c>
      <c r="F999" s="8" t="str">
        <v>PedidoF965</v>
      </c>
      <c r="G999" s="2" t="str">
        <v>CódRastreio963</v>
      </c>
      <c r="H999" s="5">
        <v>1</v>
      </c>
      <c r="I999" s="2" t="str">
        <v>CPF 960</v>
      </c>
      <c r="J999" s="2" t="str">
        <v>Nome 960</v>
      </c>
      <c r="K999" s="8" t="str">
        <v>Tel 960</v>
      </c>
      <c r="L999" s="8" t="str">
        <v>Cep 960</v>
      </c>
      <c r="M999" s="8" t="str">
        <v>Rua 960</v>
      </c>
      <c r="N999" s="8" t="str">
        <v>Comp 960</v>
      </c>
      <c r="O999" s="8" t="str">
        <v>Mini Liquidificador</v>
      </c>
      <c r="P999" s="8" t="str">
        <v>A4-5W51-K3HF</v>
      </c>
      <c r="Q999" s="4">
        <v>45728</v>
      </c>
      <c r="R999" s="109">
        <v>30.99</v>
      </c>
      <c r="S999" s="11">
        <f ca="1"/>
        <v>30.99</v>
      </c>
      <c r="T999" s="28">
        <f ca="1"/>
        <v>4.3386000000000005</v>
      </c>
      <c r="U999" s="11">
        <f ca="1"/>
        <v>26.65</v>
      </c>
      <c r="V999" s="11">
        <v>14.99</v>
      </c>
      <c r="W999" s="11">
        <f ca="1"/>
        <v>0.2</v>
      </c>
      <c r="X999" s="11">
        <f ca="1"/>
        <v>0.39877104377104378</v>
      </c>
      <c r="Y999" s="11">
        <v>0</v>
      </c>
      <c r="Z999" s="11">
        <f ca="1"/>
        <v>11.061228956228955</v>
      </c>
      <c r="AA999" s="11">
        <f ca="1"/>
        <v>5.5306144781144777</v>
      </c>
      <c r="AB999" s="4">
        <f ca="1"/>
        <v>45735</v>
      </c>
      <c r="AC999" s="4">
        <v>45735</v>
      </c>
      <c r="AD999" s="9">
        <v>45747</v>
      </c>
      <c r="AE999" s="9">
        <v>45749</v>
      </c>
      <c r="AF999" s="4" t="str">
        <f t="shared" ca="1" si="58"/>
        <v>2025 03</v>
      </c>
      <c r="AG999" s="8" t="str" cm="1">
        <f t="array" ref="AG999">IFERROR(_xlfn.IFS('Banco de Dados'!#REF!="AG. COMPRA","Em processamento",'Banco de Dados'!#REF!="AG. RASTREIO","Em processamento",'Banco de Dados'!$AE999&lt;&gt;"-","Faturado",'Banco de Dados'!$AD999&lt;&gt;"-","Aguardando Pix",'Banco de Dados'!$AC999&lt;&gt;"-","Pendente"),"Aguardando Liberação")</f>
        <v>Aguardando Liberação</v>
      </c>
      <c r="AH999" s="5" t="str">
        <f>IF('Banco de Dados'!$F999="-",_xlfn.CONCAT(PROPER(TEXT(AK999,"aaaa"))," ",PROPER(TEXT(AK999,"mm"))),_xlfn.CONCAT(PROPER(TEXT(E999,"aaaa"))," ",PROPER(TEXT(E999,"mm"))))</f>
        <v>2025 02</v>
      </c>
      <c r="AI999" s="9" t="str">
        <f ca="1">IF('Banco de Dados'!$AK999&lt;&gt;"-","REEMBOLSO",IFERROR(_xlfn.XLOOKUP(G999,Follow[CODRASTREIO],Follow[STATUS]),"-"))</f>
        <v>ENTREGUE</v>
      </c>
      <c r="AJ999" s="9">
        <f ca="1">IF('Banco de Dados'!$AI999="ENTREGUE",_xlfn.XLOOKUP('Banco de Dados'!$G999,Follow[CODRASTREIO],Follow[DATAATUALIZAÇÃO]),"-")</f>
        <v>45709</v>
      </c>
      <c r="AK999" s="132" t="str">
        <f ca="1"/>
        <v>-</v>
      </c>
      <c r="AL999" s="35"/>
      <c r="AM999" s="109" cm="1">
        <f t="array" aca="1" ref="AM999" ca="1">IF('Banco de Dados'!$AK999&lt;&gt;"-",_xlfn.IFS('Banco de Dados'!$A999="bv",IF('Banco de Dados'!$E999&lt;45641,ROUND(SUM('Banco de Dados'!$R999*_xlfn.XLOOKUP('Banco de Dados'!$P999,Sku!B:B,Sku!#REF!)*20%),2),ROUND(SUM('Banco de Dados'!$R999*_xlfn.XLOOKUP('Banco de Dados'!$P999,Sku!B:B,Sku!H:H)*20%),2)),'Banco de Dados'!$A999="GO",ROUND(SUM('Banco de Dados'!$R999*_xlfn.XLOOKUP('Banco de Dados'!$P999,Sku!C:C,Sku!H:H)*20%),2),'Banco de Dados'!$A999="MEI",ROUND(SUM('Banco de Dados'!$R999*_xlfn.XLOOKUP('Banco de Dados'!$P999,Sku!D:D,Sku!H:H)*20%),2)),0)</f>
        <v>0</v>
      </c>
      <c r="AN999" s="109">
        <f ca="1">IF('Banco de Dados'!$AK999&lt;&gt;"-",IF('Banco de Dados'!$F999&lt;&gt;"-",_xlfn.XLOOKUP(IFERROR(IFERROR(IFERROR(VALUE(SUBSTITUTE(MID(_xlfn.TEXTAFTER('Banco de Dados'!$F999,"Data do Pedido:
",1),1,10),"-","/")),VALUE(SUBSTITUTE(MID(_xlfn.TEXTAFTER('Banco de Dados'!$F999,"Order date:
",1),1,10),"-","/"))),VALUE(SUBSTITUTE(MID(_xlfn.TEXTAFTER('Banco de Dados'!$F999,"Fecha de pedido:
",1),1,10),"-","/"))),"-"),SMS!A:A,SMS!K:K),0),0)</f>
        <v>0</v>
      </c>
      <c r="AO999" s="109">
        <f ca="1">IF('Banco de Dados'!$AK999&lt;&gt;"-",IF('Banco de Dados'!$F999&lt;&gt;"-",IFERROR(_xlfn.XLOOKUP(_xlfn.CONCAT('Banco de Dados'!$A999,IFERROR(IFERROR(VALUE(SUBSTITUTE(MID(_xlfn.TEXTAFTER('Banco de Dados'!$F999,"Data do Pedido:
",1),1,10),"-","/")),VALUE(SUBSTITUTE(MID(_xlfn.TEXTAFTER('Banco de Dados'!$F999,"Order date:
",1),1,10),"-","/"))),0)),ProxyDD[Chave],ProxyDD[Valor por pedido]),PROXY!$P$2),0),0)</f>
        <v>0</v>
      </c>
      <c r="AP999" s="28">
        <f ca="1">IF('Banco de Dados'!$AK999&lt;&gt;"-",IF('Banco de Dados'!$AL999="NÃO",IFERROR(VALUE(SUBSTITUTE(_xlfn.TEXTAFTER('Banco de Dados'!$F999,"BRL ",1),".",",")),0),0),0)</f>
        <v>0</v>
      </c>
      <c r="AQ999" s="28">
        <f ca="1">SUM('Banco de Dados'!$AM999:$AP999)</f>
        <v>0</v>
      </c>
      <c r="AR999" s="8"/>
      <c r="AY999" s="8"/>
    </row>
    <row r="1000" spans="1:51">
      <c r="A1000" s="5" t="str">
        <v>MEI</v>
      </c>
      <c r="B1000" s="5" t="str">
        <f ca="1"/>
        <v>MEI45702</v>
      </c>
      <c r="C1000" s="8" t="str">
        <v>Pedido 987</v>
      </c>
      <c r="D1000" s="187">
        <v>45702</v>
      </c>
      <c r="E1000" s="9">
        <v>45702</v>
      </c>
      <c r="F1000" s="8" t="str">
        <v>PedidoF966</v>
      </c>
      <c r="G1000" s="2" t="str">
        <v>CódRastreio964</v>
      </c>
      <c r="H1000" s="5">
        <v>1</v>
      </c>
      <c r="I1000" s="2" t="str">
        <v>CPF 961</v>
      </c>
      <c r="J1000" s="2" t="str">
        <v>Nome 961</v>
      </c>
      <c r="K1000" s="8" t="str">
        <v>Tel 961</v>
      </c>
      <c r="L1000" s="8" t="str">
        <v>Cep 961</v>
      </c>
      <c r="M1000" s="8" t="str">
        <v>Rua 961</v>
      </c>
      <c r="N1000" s="8" t="str">
        <v>Comp 961</v>
      </c>
      <c r="O1000" s="8" t="str">
        <v>Ventilador Preto</v>
      </c>
      <c r="P1000" s="8" t="str">
        <v>WU-SS4J-LFOH</v>
      </c>
      <c r="Q1000" s="4">
        <v>45741</v>
      </c>
      <c r="R1000" s="109">
        <v>59.99</v>
      </c>
      <c r="S1000" s="11">
        <f ca="1"/>
        <v>59.99</v>
      </c>
      <c r="T1000" s="28">
        <f ca="1"/>
        <v>7.7987000000000002</v>
      </c>
      <c r="U1000" s="11">
        <f ca="1"/>
        <v>52.19</v>
      </c>
      <c r="V1000" s="11">
        <v>36.68</v>
      </c>
      <c r="W1000" s="11">
        <f ca="1"/>
        <v>0.2</v>
      </c>
      <c r="X1000" s="11">
        <f ca="1"/>
        <v>0.39877104377104378</v>
      </c>
      <c r="Y1000" s="11">
        <v>0</v>
      </c>
      <c r="Z1000" s="11">
        <f ca="1"/>
        <v>14.911228956228953</v>
      </c>
      <c r="AA1000" s="11">
        <f ca="1"/>
        <v>7.4556144781144766</v>
      </c>
      <c r="AB1000" s="4">
        <f ca="1"/>
        <v>45748</v>
      </c>
      <c r="AC1000" s="4">
        <v>45748</v>
      </c>
      <c r="AD1000" s="9">
        <v>45762</v>
      </c>
      <c r="AE1000" s="9">
        <v>45763</v>
      </c>
      <c r="AF1000" s="4" t="str">
        <f t="shared" ca="1" si="58"/>
        <v>2025 04</v>
      </c>
      <c r="AG1000" s="8" t="str" cm="1">
        <f t="array" ref="AG1000">IFERROR(_xlfn.IFS('Banco de Dados'!#REF!="AG. COMPRA","Em processamento",'Banco de Dados'!#REF!="AG. RASTREIO","Em processamento",'Banco de Dados'!$AE1000&lt;&gt;"-","Faturado",'Banco de Dados'!$AD1000&lt;&gt;"-","Aguardando Pix",'Banco de Dados'!$AC1000&lt;&gt;"-","Pendente"),"Aguardando Liberação")</f>
        <v>Aguardando Liberação</v>
      </c>
      <c r="AH1000" s="5" t="str">
        <f>IF('Banco de Dados'!$F1000="-",_xlfn.CONCAT(PROPER(TEXT(AK1000,"aaaa"))," ",PROPER(TEXT(AK1000,"mm"))),_xlfn.CONCAT(PROPER(TEXT(E1000,"aaaa"))," ",PROPER(TEXT(E1000,"mm"))))</f>
        <v>2025 02</v>
      </c>
      <c r="AI1000" s="9" t="str">
        <f ca="1">IF('Banco de Dados'!$AK1000&lt;&gt;"-","REEMBOLSO",IFERROR(_xlfn.XLOOKUP(G1000,Follow[CODRASTREIO],Follow[STATUS]),"-"))</f>
        <v>ENTREGUE</v>
      </c>
      <c r="AJ1000" s="9">
        <f ca="1">IF('Banco de Dados'!$AI1000="ENTREGUE",_xlfn.XLOOKUP('Banco de Dados'!$G1000,Follow[CODRASTREIO],Follow[DATAATUALIZAÇÃO]),"-")</f>
        <v>45728.600092592591</v>
      </c>
      <c r="AK1000" s="132" t="str">
        <f ca="1"/>
        <v>-</v>
      </c>
      <c r="AL1000" s="35"/>
      <c r="AM1000" s="109" cm="1">
        <f t="array" aca="1" ref="AM1000" ca="1">IF('Banco de Dados'!$AK1000&lt;&gt;"-",_xlfn.IFS('Banco de Dados'!$A1000="bv",IF('Banco de Dados'!$E1000&lt;45641,ROUND(SUM('Banco de Dados'!$R1000*_xlfn.XLOOKUP('Banco de Dados'!$P1000,Sku!B:B,Sku!#REF!)*20%),2),ROUND(SUM('Banco de Dados'!$R1000*_xlfn.XLOOKUP('Banco de Dados'!$P1000,Sku!B:B,Sku!H:H)*20%),2)),'Banco de Dados'!$A1000="GO",ROUND(SUM('Banco de Dados'!$R1000*_xlfn.XLOOKUP('Banco de Dados'!$P1000,Sku!C:C,Sku!H:H)*20%),2),'Banco de Dados'!$A1000="MEI",ROUND(SUM('Banco de Dados'!$R1000*_xlfn.XLOOKUP('Banco de Dados'!$P1000,Sku!D:D,Sku!H:H)*20%),2)),0)</f>
        <v>0</v>
      </c>
      <c r="AN1000" s="109">
        <f ca="1">IF('Banco de Dados'!$AK1000&lt;&gt;"-",IF('Banco de Dados'!$F1000&lt;&gt;"-",_xlfn.XLOOKUP(IFERROR(IFERROR(IFERROR(VALUE(SUBSTITUTE(MID(_xlfn.TEXTAFTER('Banco de Dados'!$F1000,"Data do Pedido:
",1),1,10),"-","/")),VALUE(SUBSTITUTE(MID(_xlfn.TEXTAFTER('Banco de Dados'!$F1000,"Order date:
",1),1,10),"-","/"))),VALUE(SUBSTITUTE(MID(_xlfn.TEXTAFTER('Banco de Dados'!$F1000,"Fecha de pedido:
",1),1,10),"-","/"))),"-"),SMS!A:A,SMS!K:K),0),0)</f>
        <v>0</v>
      </c>
      <c r="AO1000" s="109">
        <f ca="1">IF('Banco de Dados'!$AK1000&lt;&gt;"-",IF('Banco de Dados'!$F1000&lt;&gt;"-",IFERROR(_xlfn.XLOOKUP(_xlfn.CONCAT('Banco de Dados'!$A1000,IFERROR(IFERROR(VALUE(SUBSTITUTE(MID(_xlfn.TEXTAFTER('Banco de Dados'!$F1000,"Data do Pedido:
",1),1,10),"-","/")),VALUE(SUBSTITUTE(MID(_xlfn.TEXTAFTER('Banco de Dados'!$F1000,"Order date:
",1),1,10),"-","/"))),0)),ProxyDD[Chave],ProxyDD[Valor por pedido]),PROXY!$P$2),0),0)</f>
        <v>0</v>
      </c>
      <c r="AP1000" s="28">
        <f ca="1">IF('Banco de Dados'!$AK1000&lt;&gt;"-",IF('Banco de Dados'!$AL1000="NÃO",IFERROR(VALUE(SUBSTITUTE(_xlfn.TEXTAFTER('Banco de Dados'!$F1000,"BRL ",1),".",",")),0),0),0)</f>
        <v>0</v>
      </c>
      <c r="AQ1000" s="28">
        <f ca="1">SUM('Banco de Dados'!$AM1000:$AP1000)</f>
        <v>0</v>
      </c>
      <c r="AR1000" s="8"/>
      <c r="AY1000" s="8"/>
    </row>
    <row r="1001" spans="1:51">
      <c r="A1001" s="5" t="str">
        <v>MEI</v>
      </c>
      <c r="B1001" s="5" t="str">
        <f ca="1"/>
        <v>MEI45705</v>
      </c>
      <c r="C1001" s="8" t="str">
        <v>Pedido 988</v>
      </c>
      <c r="D1001" s="187">
        <v>45702</v>
      </c>
      <c r="E1001" s="9">
        <v>45705</v>
      </c>
      <c r="F1001" s="8" t="str">
        <v>PedidoF967</v>
      </c>
      <c r="G1001" s="2" t="str">
        <v>CódRastreio965</v>
      </c>
      <c r="H1001" s="5">
        <v>1</v>
      </c>
      <c r="I1001" s="2" t="str">
        <v>CPF 962</v>
      </c>
      <c r="J1001" s="2" t="str">
        <v>Nome 962</v>
      </c>
      <c r="K1001" s="8" t="str">
        <v>Tel 962</v>
      </c>
      <c r="L1001" s="8" t="str">
        <v>Cep 962</v>
      </c>
      <c r="M1001" s="8" t="str">
        <v>Rua 962</v>
      </c>
      <c r="N1001" s="8" t="str">
        <v>Comp 962</v>
      </c>
      <c r="O1001" s="8" t="str">
        <v>Ventilador Preto</v>
      </c>
      <c r="P1001" s="8" t="str">
        <v>WU-SS4J-LFOH</v>
      </c>
      <c r="Q1001" s="4">
        <v>45728</v>
      </c>
      <c r="R1001" s="109">
        <v>59.99</v>
      </c>
      <c r="S1001" s="11">
        <f ca="1"/>
        <v>59.99</v>
      </c>
      <c r="T1001" s="28">
        <f ca="1"/>
        <v>7.7987000000000002</v>
      </c>
      <c r="U1001" s="11">
        <f ca="1"/>
        <v>52.19</v>
      </c>
      <c r="V1001" s="11">
        <v>13.21</v>
      </c>
      <c r="W1001" s="11">
        <f ca="1"/>
        <v>0.2</v>
      </c>
      <c r="X1001" s="11">
        <f ca="1"/>
        <v>0.39877104377104378</v>
      </c>
      <c r="Y1001" s="11">
        <v>0</v>
      </c>
      <c r="Z1001" s="11">
        <f ca="1"/>
        <v>38.381228956228952</v>
      </c>
      <c r="AA1001" s="11">
        <f ca="1"/>
        <v>19.190614478114476</v>
      </c>
      <c r="AB1001" s="4">
        <f ca="1"/>
        <v>45735</v>
      </c>
      <c r="AC1001" s="4">
        <v>45735</v>
      </c>
      <c r="AD1001" s="9">
        <v>45747</v>
      </c>
      <c r="AE1001" s="9">
        <v>45749</v>
      </c>
      <c r="AF1001" s="4" t="str">
        <f t="shared" ca="1" si="58"/>
        <v>2025 03</v>
      </c>
      <c r="AG1001" s="8" t="str" cm="1">
        <f t="array" ref="AG1001">IFERROR(_xlfn.IFS('Banco de Dados'!#REF!="AG. COMPRA","Em processamento",'Banco de Dados'!#REF!="AG. RASTREIO","Em processamento",'Banco de Dados'!$AE1001&lt;&gt;"-","Faturado",'Banco de Dados'!$AD1001&lt;&gt;"-","Aguardando Pix",'Banco de Dados'!$AC1001&lt;&gt;"-","Pendente"),"Aguardando Liberação")</f>
        <v>Aguardando Liberação</v>
      </c>
      <c r="AH1001" s="5" t="str">
        <f>IF('Banco de Dados'!$F1001="-",_xlfn.CONCAT(PROPER(TEXT(AK1001,"aaaa"))," ",PROPER(TEXT(AK1001,"mm"))),_xlfn.CONCAT(PROPER(TEXT(E1001,"aaaa"))," ",PROPER(TEXT(E1001,"mm"))))</f>
        <v>2025 02</v>
      </c>
      <c r="AI1001" s="9" t="str">
        <f ca="1">IF('Banco de Dados'!$AK1001&lt;&gt;"-","REEMBOLSO",IFERROR(_xlfn.XLOOKUP(G1001,Follow[CODRASTREIO],Follow[STATUS]),"-"))</f>
        <v>ENTREGUE</v>
      </c>
      <c r="AJ1001" s="9">
        <f ca="1">IF('Banco de Dados'!$AI1001="ENTREGUE",_xlfn.XLOOKUP('Banco de Dados'!$G1001,Follow[CODRASTREIO],Follow[DATAATUALIZAÇÃO]),"-")</f>
        <v>45716</v>
      </c>
      <c r="AK1001" s="132" t="str">
        <f ca="1"/>
        <v>-</v>
      </c>
      <c r="AL1001" s="35"/>
      <c r="AM1001" s="109" cm="1">
        <f t="array" aca="1" ref="AM1001" ca="1">IF('Banco de Dados'!$AK1001&lt;&gt;"-",_xlfn.IFS('Banco de Dados'!$A1001="bv",IF('Banco de Dados'!$E1001&lt;45641,ROUND(SUM('Banco de Dados'!$R1001*_xlfn.XLOOKUP('Banco de Dados'!$P1001,Sku!B:B,Sku!#REF!)*20%),2),ROUND(SUM('Banco de Dados'!$R1001*_xlfn.XLOOKUP('Banco de Dados'!$P1001,Sku!B:B,Sku!H:H)*20%),2)),'Banco de Dados'!$A1001="GO",ROUND(SUM('Banco de Dados'!$R1001*_xlfn.XLOOKUP('Banco de Dados'!$P1001,Sku!C:C,Sku!H:H)*20%),2),'Banco de Dados'!$A1001="MEI",ROUND(SUM('Banco de Dados'!$R1001*_xlfn.XLOOKUP('Banco de Dados'!$P1001,Sku!D:D,Sku!H:H)*20%),2)),0)</f>
        <v>0</v>
      </c>
      <c r="AN1001" s="109">
        <f ca="1">IF('Banco de Dados'!$AK1001&lt;&gt;"-",IF('Banco de Dados'!$F1001&lt;&gt;"-",_xlfn.XLOOKUP(IFERROR(IFERROR(IFERROR(VALUE(SUBSTITUTE(MID(_xlfn.TEXTAFTER('Banco de Dados'!$F1001,"Data do Pedido:
",1),1,10),"-","/")),VALUE(SUBSTITUTE(MID(_xlfn.TEXTAFTER('Banco de Dados'!$F1001,"Order date:
",1),1,10),"-","/"))),VALUE(SUBSTITUTE(MID(_xlfn.TEXTAFTER('Banco de Dados'!$F1001,"Fecha de pedido:
",1),1,10),"-","/"))),"-"),SMS!A:A,SMS!K:K),0),0)</f>
        <v>0</v>
      </c>
      <c r="AO1001" s="109">
        <f ca="1">IF('Banco de Dados'!$AK1001&lt;&gt;"-",IF('Banco de Dados'!$F1001&lt;&gt;"-",IFERROR(_xlfn.XLOOKUP(_xlfn.CONCAT('Banco de Dados'!$A1001,IFERROR(IFERROR(VALUE(SUBSTITUTE(MID(_xlfn.TEXTAFTER('Banco de Dados'!$F1001,"Data do Pedido:
",1),1,10),"-","/")),VALUE(SUBSTITUTE(MID(_xlfn.TEXTAFTER('Banco de Dados'!$F1001,"Order date:
",1),1,10),"-","/"))),0)),ProxyDD[Chave],ProxyDD[Valor por pedido]),PROXY!$P$2),0),0)</f>
        <v>0</v>
      </c>
      <c r="AP1001" s="28">
        <f ca="1">IF('Banco de Dados'!$AK1001&lt;&gt;"-",IF('Banco de Dados'!$AL1001="NÃO",IFERROR(VALUE(SUBSTITUTE(_xlfn.TEXTAFTER('Banco de Dados'!$F1001,"BRL ",1),".",",")),0),0),0)</f>
        <v>0</v>
      </c>
      <c r="AQ1001" s="28">
        <f ca="1">SUM('Banco de Dados'!$AM1001:$AP1001)</f>
        <v>0</v>
      </c>
      <c r="AR1001" s="8"/>
      <c r="AY1001" s="8"/>
    </row>
    <row r="1002" spans="1:51">
      <c r="A1002" s="5" t="str">
        <v>MEI</v>
      </c>
      <c r="B1002" s="5" t="str">
        <f ca="1"/>
        <v>MEI45705</v>
      </c>
      <c r="C1002" s="8" t="str">
        <v>Pedido 989</v>
      </c>
      <c r="D1002" s="187">
        <v>45702</v>
      </c>
      <c r="E1002" s="9">
        <v>45705</v>
      </c>
      <c r="F1002" s="8" t="str">
        <v>PedidoF968</v>
      </c>
      <c r="G1002" s="2" t="str">
        <v>CódRastreio966</v>
      </c>
      <c r="H1002" s="5">
        <v>1</v>
      </c>
      <c r="I1002" s="2" t="str">
        <v>CPF 963</v>
      </c>
      <c r="J1002" s="2" t="str">
        <v>Nome 963</v>
      </c>
      <c r="K1002" s="8" t="str">
        <v>Tel 963</v>
      </c>
      <c r="L1002" s="8" t="str">
        <v>Cep 963</v>
      </c>
      <c r="M1002" s="8" t="str">
        <v>Rua 963</v>
      </c>
      <c r="N1002" s="8" t="str">
        <v>Comp 963</v>
      </c>
      <c r="O1002" s="8" t="str">
        <v>Ventilador Preto</v>
      </c>
      <c r="P1002" s="8" t="str">
        <v>WU-SS4J-LFOH</v>
      </c>
      <c r="Q1002" s="4">
        <v>45728</v>
      </c>
      <c r="R1002" s="109">
        <v>59.99</v>
      </c>
      <c r="S1002" s="11">
        <f ca="1"/>
        <v>59.99</v>
      </c>
      <c r="T1002" s="28">
        <f ca="1"/>
        <v>7.7987000000000002</v>
      </c>
      <c r="U1002" s="11">
        <f ca="1"/>
        <v>52.19</v>
      </c>
      <c r="V1002" s="11">
        <v>13.21</v>
      </c>
      <c r="W1002" s="11">
        <f ca="1"/>
        <v>0.2</v>
      </c>
      <c r="X1002" s="11">
        <f ca="1"/>
        <v>0.39877104377104378</v>
      </c>
      <c r="Y1002" s="11">
        <v>0</v>
      </c>
      <c r="Z1002" s="11">
        <f ca="1"/>
        <v>38.381228956228952</v>
      </c>
      <c r="AA1002" s="11">
        <f ca="1"/>
        <v>19.190614478114476</v>
      </c>
      <c r="AB1002" s="4">
        <f ca="1"/>
        <v>45735</v>
      </c>
      <c r="AC1002" s="4">
        <v>45735</v>
      </c>
      <c r="AD1002" s="9">
        <v>45747</v>
      </c>
      <c r="AE1002" s="9">
        <v>45749</v>
      </c>
      <c r="AF1002" s="4" t="str">
        <f t="shared" ca="1" si="58"/>
        <v>2025 03</v>
      </c>
      <c r="AG1002" s="8" t="str" cm="1">
        <f t="array" ref="AG1002">IFERROR(_xlfn.IFS('Banco de Dados'!#REF!="AG. COMPRA","Em processamento",'Banco de Dados'!#REF!="AG. RASTREIO","Em processamento",'Banco de Dados'!$AE1002&lt;&gt;"-","Faturado",'Banco de Dados'!$AD1002&lt;&gt;"-","Aguardando Pix",'Banco de Dados'!$AC1002&lt;&gt;"-","Pendente"),"Aguardando Liberação")</f>
        <v>Aguardando Liberação</v>
      </c>
      <c r="AH1002" s="5" t="str">
        <f>IF('Banco de Dados'!$F1002="-",_xlfn.CONCAT(PROPER(TEXT(AK1002,"aaaa"))," ",PROPER(TEXT(AK1002,"mm"))),_xlfn.CONCAT(PROPER(TEXT(E1002,"aaaa"))," ",PROPER(TEXT(E1002,"mm"))))</f>
        <v>2025 02</v>
      </c>
      <c r="AI1002" s="9" t="str">
        <f ca="1">IF('Banco de Dados'!$AK1002&lt;&gt;"-","REEMBOLSO",IFERROR(_xlfn.XLOOKUP(G1002,Follow[CODRASTREIO],Follow[STATUS]),"-"))</f>
        <v>ENTREGUE</v>
      </c>
      <c r="AJ1002" s="9">
        <f ca="1">IF('Banco de Dados'!$AI1002="ENTREGUE",_xlfn.XLOOKUP('Banco de Dados'!$G1002,Follow[CODRASTREIO],Follow[DATAATUALIZAÇÃO]),"-")</f>
        <v>45722</v>
      </c>
      <c r="AK1002" s="132" t="str">
        <f ca="1"/>
        <v>-</v>
      </c>
      <c r="AL1002" s="35"/>
      <c r="AM1002" s="109" cm="1">
        <f t="array" aca="1" ref="AM1002" ca="1">IF('Banco de Dados'!$AK1002&lt;&gt;"-",_xlfn.IFS('Banco de Dados'!$A1002="bv",IF('Banco de Dados'!$E1002&lt;45641,ROUND(SUM('Banco de Dados'!$R1002*_xlfn.XLOOKUP('Banco de Dados'!$P1002,Sku!B:B,Sku!#REF!)*20%),2),ROUND(SUM('Banco de Dados'!$R1002*_xlfn.XLOOKUP('Banco de Dados'!$P1002,Sku!B:B,Sku!H:H)*20%),2)),'Banco de Dados'!$A1002="GO",ROUND(SUM('Banco de Dados'!$R1002*_xlfn.XLOOKUP('Banco de Dados'!$P1002,Sku!C:C,Sku!H:H)*20%),2),'Banco de Dados'!$A1002="MEI",ROUND(SUM('Banco de Dados'!$R1002*_xlfn.XLOOKUP('Banco de Dados'!$P1002,Sku!D:D,Sku!H:H)*20%),2)),0)</f>
        <v>0</v>
      </c>
      <c r="AN1002" s="109">
        <f ca="1">IF('Banco de Dados'!$AK1002&lt;&gt;"-",IF('Banco de Dados'!$F1002&lt;&gt;"-",_xlfn.XLOOKUP(IFERROR(IFERROR(IFERROR(VALUE(SUBSTITUTE(MID(_xlfn.TEXTAFTER('Banco de Dados'!$F1002,"Data do Pedido:
",1),1,10),"-","/")),VALUE(SUBSTITUTE(MID(_xlfn.TEXTAFTER('Banco de Dados'!$F1002,"Order date:
",1),1,10),"-","/"))),VALUE(SUBSTITUTE(MID(_xlfn.TEXTAFTER('Banco de Dados'!$F1002,"Fecha de pedido:
",1),1,10),"-","/"))),"-"),SMS!A:A,SMS!K:K),0),0)</f>
        <v>0</v>
      </c>
      <c r="AO1002" s="109">
        <f ca="1">IF('Banco de Dados'!$AK1002&lt;&gt;"-",IF('Banco de Dados'!$F1002&lt;&gt;"-",IFERROR(_xlfn.XLOOKUP(_xlfn.CONCAT('Banco de Dados'!$A1002,IFERROR(IFERROR(VALUE(SUBSTITUTE(MID(_xlfn.TEXTAFTER('Banco de Dados'!$F1002,"Data do Pedido:
",1),1,10),"-","/")),VALUE(SUBSTITUTE(MID(_xlfn.TEXTAFTER('Banco de Dados'!$F1002,"Order date:
",1),1,10),"-","/"))),0)),ProxyDD[Chave],ProxyDD[Valor por pedido]),PROXY!$P$2),0),0)</f>
        <v>0</v>
      </c>
      <c r="AP1002" s="28">
        <f ca="1">IF('Banco de Dados'!$AK1002&lt;&gt;"-",IF('Banco de Dados'!$AL1002="NÃO",IFERROR(VALUE(SUBSTITUTE(_xlfn.TEXTAFTER('Banco de Dados'!$F1002,"BRL ",1),".",",")),0),0),0)</f>
        <v>0</v>
      </c>
      <c r="AQ1002" s="28">
        <f ca="1">SUM('Banco de Dados'!$AM1002:$AP1002)</f>
        <v>0</v>
      </c>
      <c r="AR1002" s="8"/>
      <c r="AY1002" s="8"/>
    </row>
    <row r="1003" spans="1:51">
      <c r="A1003" s="5" t="str">
        <v>BV</v>
      </c>
      <c r="B1003" s="5" t="str">
        <f ca="1"/>
        <v>BV45705</v>
      </c>
      <c r="C1003" s="8" t="str">
        <v>Pedido 990</v>
      </c>
      <c r="D1003" s="9">
        <v>45703</v>
      </c>
      <c r="E1003" s="9">
        <v>45705</v>
      </c>
      <c r="F1003" s="8" t="str">
        <v>PedidoF969</v>
      </c>
      <c r="G1003" s="2" t="str">
        <v>CódRastreio967</v>
      </c>
      <c r="H1003" s="5">
        <v>1</v>
      </c>
      <c r="I1003" s="2" t="str">
        <v>CPF 964</v>
      </c>
      <c r="J1003" s="2" t="str">
        <v>Nome 964</v>
      </c>
      <c r="K1003" s="8" t="str">
        <v>Tel 964</v>
      </c>
      <c r="L1003" s="8" t="str">
        <v>Cep 964</v>
      </c>
      <c r="M1003" s="8" t="str">
        <v>Rua 964</v>
      </c>
      <c r="N1003" s="8" t="str">
        <v>Comp 964</v>
      </c>
      <c r="O1003" s="8" t="str">
        <v>Ventilador de teto</v>
      </c>
      <c r="P1003" s="8" t="str">
        <v>BP-NHG2-B8C1</v>
      </c>
      <c r="Q1003" s="4">
        <v>45734</v>
      </c>
      <c r="R1003" s="109">
        <v>74.989999999999995</v>
      </c>
      <c r="S1003" s="11">
        <f ca="1"/>
        <v>74.989999999999995</v>
      </c>
      <c r="T1003" s="28">
        <f ca="1"/>
        <v>9.7486999999999995</v>
      </c>
      <c r="U1003" s="11">
        <f ca="1"/>
        <v>65.239999999999995</v>
      </c>
      <c r="V1003" s="11">
        <v>26.37</v>
      </c>
      <c r="W1003" s="11">
        <f ca="1"/>
        <v>0.24</v>
      </c>
      <c r="X1003" s="11">
        <f ca="1"/>
        <v>0.39877104377104378</v>
      </c>
      <c r="Y1003" s="11">
        <v>0</v>
      </c>
      <c r="Z1003" s="11">
        <f ca="1"/>
        <v>38.231228956228946</v>
      </c>
      <c r="AA1003" s="11">
        <f ca="1"/>
        <v>19.115614478114473</v>
      </c>
      <c r="AB1003" s="4">
        <f ca="1"/>
        <v>45741</v>
      </c>
      <c r="AC1003" s="4">
        <v>45741</v>
      </c>
      <c r="AD1003" s="9">
        <v>45747</v>
      </c>
      <c r="AE1003" s="9">
        <v>45749</v>
      </c>
      <c r="AF1003" s="4" t="str">
        <f t="shared" ref="AF1003:AF1013" ca="1" si="59">_xlfn.CONCAT(PROPER(TEXT(AB1003,"aaaa"))," ",PROPER(TEXT(AB1003,"mm")))</f>
        <v>2025 03</v>
      </c>
      <c r="AG1003" s="8" t="str" cm="1">
        <f t="array" ref="AG1003">IFERROR(_xlfn.IFS('Banco de Dados'!#REF!="AG. COMPRA","Em processamento",'Banco de Dados'!#REF!="AG. RASTREIO","Em processamento",'Banco de Dados'!$AE1003&lt;&gt;"-","Faturado",'Banco de Dados'!$AD1003&lt;&gt;"-","Aguardando Pix",'Banco de Dados'!$AC1003&lt;&gt;"-","Pendente"),"Aguardando Liberação")</f>
        <v>Aguardando Liberação</v>
      </c>
      <c r="AH1003" s="5" t="str">
        <f>IF('Banco de Dados'!$F1003="-",_xlfn.CONCAT(PROPER(TEXT(AK1003,"aaaa"))," ",PROPER(TEXT(AK1003,"mm"))),_xlfn.CONCAT(PROPER(TEXT(E1003,"aaaa"))," ",PROPER(TEXT(E1003,"mm"))))</f>
        <v>2025 02</v>
      </c>
      <c r="AI1003" s="9" t="str">
        <f ca="1">IF('Banco de Dados'!$AK1003&lt;&gt;"-","REEMBOLSO",IFERROR(_xlfn.XLOOKUP(G1003,Follow[CODRASTREIO],Follow[STATUS]),"-"))</f>
        <v>ENTREGUE</v>
      </c>
      <c r="AJ1003" s="9">
        <f ca="1">IF('Banco de Dados'!$AI1003="ENTREGUE",_xlfn.XLOOKUP('Banco de Dados'!$G1003,Follow[CODRASTREIO],Follow[DATAATUALIZAÇÃO]),"-")</f>
        <v>45726</v>
      </c>
      <c r="AK1003" s="132" t="str">
        <f ca="1"/>
        <v>-</v>
      </c>
      <c r="AL1003" s="35"/>
      <c r="AM1003" s="109" cm="1">
        <f t="array" aca="1" ref="AM1003" ca="1">IF('Banco de Dados'!$AK1003&lt;&gt;"-",_xlfn.IFS('Banco de Dados'!$A1003="bv",IF('Banco de Dados'!$E1003&lt;45641,ROUND(SUM('Banco de Dados'!$R1003*_xlfn.XLOOKUP('Banco de Dados'!$P1003,Sku!B:B,Sku!#REF!)*20%),2),ROUND(SUM('Banco de Dados'!$R1003*_xlfn.XLOOKUP('Banco de Dados'!$P1003,Sku!B:B,Sku!H:H)*20%),2)),'Banco de Dados'!$A1003="GO",ROUND(_xlfn.XLOOKUP('Banco de Dados'!$P1003,Sku!C:C,Sku!H:H),2),'Banco de Dados'!$A1003="MEI",ROUND(_xlfn.XLOOKUP('Banco de Dados'!$P1003,Sku!D:D,Sku!H:H),2)),0)</f>
        <v>0</v>
      </c>
      <c r="AN1003" s="109">
        <f ca="1">IF('Banco de Dados'!$AK1003&lt;&gt;"-",IF('Banco de Dados'!$F1003&lt;&gt;"-",_xlfn.XLOOKUP(IFERROR(IFERROR(IFERROR(VALUE(SUBSTITUTE(MID(_xlfn.TEXTAFTER('Banco de Dados'!$F1003,"Data do Pedido:
",1),1,10),"-","/")),VALUE(SUBSTITUTE(MID(_xlfn.TEXTAFTER('Banco de Dados'!$F1003,"Order date:
",1),1,10),"-","/"))),VALUE(SUBSTITUTE(MID(_xlfn.TEXTAFTER('Banco de Dados'!$F1003,"Fecha de pedido:
",1),1,10),"-","/"))),"-"),SMS!A:A,SMS!K:K),0),0)</f>
        <v>0</v>
      </c>
      <c r="AO1003" s="109">
        <f ca="1">IF('Banco de Dados'!$AK1003&lt;&gt;"-",IF('Banco de Dados'!$F1003&lt;&gt;"-",IFERROR(_xlfn.XLOOKUP(_xlfn.CONCAT('Banco de Dados'!$A1003,IFERROR(IFERROR(VALUE(SUBSTITUTE(MID(_xlfn.TEXTAFTER('Banco de Dados'!$F1003,"Data do Pedido:
",1),1,10),"-","/")),VALUE(SUBSTITUTE(MID(_xlfn.TEXTAFTER('Banco de Dados'!$F1003,"Order date:
",1),1,10),"-","/"))),0)),ProxyDD[Chave],ProxyDD[Valor por pedido]),PROXY!$P$2),0),0)</f>
        <v>0</v>
      </c>
      <c r="AP1003" s="28">
        <f ca="1">IF('Banco de Dados'!$AK1003&lt;&gt;"-",IF('Banco de Dados'!$AL1003="NÃO",IFERROR(VALUE(SUBSTITUTE(_xlfn.TEXTAFTER('Banco de Dados'!$F1003,"BRL ",1),".",",")),0),0),0)</f>
        <v>0</v>
      </c>
      <c r="AQ1003" s="28">
        <f ca="1">SUM('Banco de Dados'!$AM1003:$AP1003)</f>
        <v>0</v>
      </c>
      <c r="AR1003" s="8"/>
      <c r="AY1003" s="8"/>
    </row>
    <row r="1004" spans="1:51">
      <c r="A1004" s="5" t="str">
        <v>BV</v>
      </c>
      <c r="B1004" s="5" t="str">
        <f ca="1"/>
        <v>BV45705</v>
      </c>
      <c r="C1004" s="8" t="str">
        <v>Pedido 991</v>
      </c>
      <c r="D1004" s="9">
        <v>45703</v>
      </c>
      <c r="E1004" s="9">
        <v>45705</v>
      </c>
      <c r="F1004" s="8" t="str">
        <v>PedidoF970</v>
      </c>
      <c r="G1004" s="2" t="str">
        <v>CódRastreio968</v>
      </c>
      <c r="H1004" s="5">
        <v>1</v>
      </c>
      <c r="I1004" s="2" t="str">
        <v>CPF 965</v>
      </c>
      <c r="J1004" s="2" t="str">
        <v>Nome 965</v>
      </c>
      <c r="K1004" s="8" t="str">
        <v>Tel 965</v>
      </c>
      <c r="L1004" s="8" t="str">
        <v>Cep 965</v>
      </c>
      <c r="M1004" s="8" t="str">
        <v>Rua 965</v>
      </c>
      <c r="N1004" s="8" t="str">
        <v>Comp 965</v>
      </c>
      <c r="O1004" s="8" t="str">
        <v>Adaptador Bluetooph</v>
      </c>
      <c r="P1004" s="8" t="str">
        <v>YA-AG3H-SPUK</v>
      </c>
      <c r="Q1004" s="4">
        <v>45717</v>
      </c>
      <c r="R1004" s="109">
        <v>19.989999999999998</v>
      </c>
      <c r="S1004" s="11">
        <f ca="1"/>
        <v>19.989999999999998</v>
      </c>
      <c r="T1004" s="28">
        <f ca="1"/>
        <v>2.3987999999999996</v>
      </c>
      <c r="U1004" s="11">
        <f ca="1"/>
        <v>17.59</v>
      </c>
      <c r="V1004" s="11">
        <v>6.99</v>
      </c>
      <c r="W1004" s="11">
        <f ca="1"/>
        <v>0.24</v>
      </c>
      <c r="X1004" s="11">
        <f ca="1"/>
        <v>0.39877104377104378</v>
      </c>
      <c r="Y1004" s="11">
        <v>0</v>
      </c>
      <c r="Z1004" s="11">
        <f ca="1"/>
        <v>9.9612289562289558</v>
      </c>
      <c r="AA1004" s="11">
        <f ca="1"/>
        <v>4.9806144781144779</v>
      </c>
      <c r="AB1004" s="4">
        <f ca="1"/>
        <v>45724</v>
      </c>
      <c r="AC1004" s="4">
        <v>45724</v>
      </c>
      <c r="AD1004" s="9">
        <v>45730</v>
      </c>
      <c r="AE1004" s="9">
        <v>45733</v>
      </c>
      <c r="AF1004" s="4" t="str">
        <f t="shared" ca="1" si="59"/>
        <v>2025 03</v>
      </c>
      <c r="AG1004" s="8" t="str" cm="1">
        <f t="array" ref="AG1004">IFERROR(_xlfn.IFS('Banco de Dados'!#REF!="AG. COMPRA","Em processamento",'Banco de Dados'!#REF!="AG. RASTREIO","Em processamento",'Banco de Dados'!$AE1004&lt;&gt;"-","Faturado",'Banco de Dados'!$AD1004&lt;&gt;"-","Aguardando Pix",'Banco de Dados'!$AC1004&lt;&gt;"-","Pendente"),"Aguardando Liberação")</f>
        <v>Aguardando Liberação</v>
      </c>
      <c r="AH1004" s="5" t="str">
        <f>IF('Banco de Dados'!$F1004="-",_xlfn.CONCAT(PROPER(TEXT(AK1004,"aaaa"))," ",PROPER(TEXT(AK1004,"mm"))),_xlfn.CONCAT(PROPER(TEXT(E1004,"aaaa"))," ",PROPER(TEXT(E1004,"mm"))))</f>
        <v>2025 02</v>
      </c>
      <c r="AI1004" s="9" t="str">
        <f ca="1">IF('Banco de Dados'!$AK1004&lt;&gt;"-","REEMBOLSO",IFERROR(_xlfn.XLOOKUP(G1004,Follow[CODRASTREIO],Follow[STATUS]),"-"))</f>
        <v>ENTREGUE</v>
      </c>
      <c r="AJ1004" s="9">
        <f ca="1">IF('Banco de Dados'!$AI1004="ENTREGUE",_xlfn.XLOOKUP('Banco de Dados'!$G1004,Follow[CODRASTREIO],Follow[DATAATUALIZAÇÃO]),"-")</f>
        <v>45708</v>
      </c>
      <c r="AK1004" s="132" t="str">
        <f ca="1"/>
        <v>-</v>
      </c>
      <c r="AL1004" s="35"/>
      <c r="AM1004" s="109" cm="1">
        <f t="array" aca="1" ref="AM1004" ca="1">IF('Banco de Dados'!$AK1004&lt;&gt;"-",_xlfn.IFS('Banco de Dados'!$A1004="bv",IF('Banco de Dados'!$E1004&lt;45641,ROUND(SUM('Banco de Dados'!$R1004*_xlfn.XLOOKUP('Banco de Dados'!$P1004,Sku!B:B,Sku!#REF!)*20%),2),ROUND(SUM('Banco de Dados'!$R1004*_xlfn.XLOOKUP('Banco de Dados'!$P1004,Sku!B:B,Sku!H:H)*20%),2)),'Banco de Dados'!$A1004="GO",ROUND(_xlfn.XLOOKUP('Banco de Dados'!$P1004,Sku!C:C,Sku!H:H),2),'Banco de Dados'!$A1004="MEI",ROUND(_xlfn.XLOOKUP('Banco de Dados'!$P1004,Sku!D:D,Sku!H:H),2)),0)</f>
        <v>0</v>
      </c>
      <c r="AN1004" s="109">
        <f ca="1">IF('Banco de Dados'!$AK1004&lt;&gt;"-",IF('Banco de Dados'!$F1004&lt;&gt;"-",_xlfn.XLOOKUP(IFERROR(IFERROR(IFERROR(VALUE(SUBSTITUTE(MID(_xlfn.TEXTAFTER('Banco de Dados'!$F1004,"Data do Pedido:
",1),1,10),"-","/")),VALUE(SUBSTITUTE(MID(_xlfn.TEXTAFTER('Banco de Dados'!$F1004,"Order date:
",1),1,10),"-","/"))),VALUE(SUBSTITUTE(MID(_xlfn.TEXTAFTER('Banco de Dados'!$F1004,"Fecha de pedido:
",1),1,10),"-","/"))),"-"),SMS!A:A,SMS!K:K),0),0)</f>
        <v>0</v>
      </c>
      <c r="AO1004" s="109">
        <f ca="1">IF('Banco de Dados'!$AK1004&lt;&gt;"-",IF('Banco de Dados'!$F1004&lt;&gt;"-",IFERROR(_xlfn.XLOOKUP(_xlfn.CONCAT('Banco de Dados'!$A1004,IFERROR(IFERROR(VALUE(SUBSTITUTE(MID(_xlfn.TEXTAFTER('Banco de Dados'!$F1004,"Data do Pedido:
",1),1,10),"-","/")),VALUE(SUBSTITUTE(MID(_xlfn.TEXTAFTER('Banco de Dados'!$F1004,"Order date:
",1),1,10),"-","/"))),0)),ProxyDD[Chave],ProxyDD[Valor por pedido]),PROXY!$P$2),0),0)</f>
        <v>0</v>
      </c>
      <c r="AP1004" s="28">
        <f ca="1">IF('Banco de Dados'!$AK1004&lt;&gt;"-",IF('Banco de Dados'!$AL1004="NÃO",IFERROR(VALUE(SUBSTITUTE(_xlfn.TEXTAFTER('Banco de Dados'!$F1004,"BRL ",1),".",",")),0),0),0)</f>
        <v>0</v>
      </c>
      <c r="AQ1004" s="28">
        <f ca="1">SUM('Banco de Dados'!$AM1004:$AP1004)</f>
        <v>0</v>
      </c>
      <c r="AR1004" s="8"/>
      <c r="AY1004" s="8"/>
    </row>
    <row r="1005" spans="1:51">
      <c r="A1005" s="5" t="str">
        <v>BV</v>
      </c>
      <c r="B1005" s="5" t="str">
        <f ca="1"/>
        <v>BV45705</v>
      </c>
      <c r="C1005" s="8" t="str">
        <v>Pedido 992</v>
      </c>
      <c r="D1005" s="9">
        <v>45703</v>
      </c>
      <c r="E1005" s="9">
        <v>45705</v>
      </c>
      <c r="F1005" s="8" t="str">
        <v>PedidoF971</v>
      </c>
      <c r="G1005" s="2" t="str">
        <v>CódRastreio969</v>
      </c>
      <c r="H1005" s="5">
        <v>1</v>
      </c>
      <c r="I1005" s="2" t="str">
        <v>CPF 966</v>
      </c>
      <c r="J1005" s="2" t="str">
        <v>Nome 966</v>
      </c>
      <c r="K1005" s="8" t="str">
        <v>Tel 966</v>
      </c>
      <c r="L1005" s="8" t="str">
        <v>Cep 966</v>
      </c>
      <c r="M1005" s="8" t="str">
        <v>Rua 966</v>
      </c>
      <c r="N1005" s="8" t="str">
        <v>Comp 966</v>
      </c>
      <c r="O1005" s="8" t="str">
        <v>Adaptador Bluetooph</v>
      </c>
      <c r="P1005" s="8" t="str">
        <v>YA-AG3H-SPUK</v>
      </c>
      <c r="Q1005" s="4">
        <v>45728</v>
      </c>
      <c r="R1005" s="109">
        <v>19.989999999999998</v>
      </c>
      <c r="S1005" s="11">
        <f ca="1"/>
        <v>19.989999999999998</v>
      </c>
      <c r="T1005" s="28">
        <f ca="1"/>
        <v>2.3987999999999996</v>
      </c>
      <c r="U1005" s="11">
        <f ca="1"/>
        <v>17.59</v>
      </c>
      <c r="V1005" s="11">
        <v>6.99</v>
      </c>
      <c r="W1005" s="11">
        <f ca="1"/>
        <v>0.24</v>
      </c>
      <c r="X1005" s="11">
        <f ca="1"/>
        <v>0.39877104377104378</v>
      </c>
      <c r="Y1005" s="11">
        <v>0</v>
      </c>
      <c r="Z1005" s="11">
        <f ca="1"/>
        <v>9.9612289562289558</v>
      </c>
      <c r="AA1005" s="11">
        <f ca="1"/>
        <v>4.9806144781144779</v>
      </c>
      <c r="AB1005" s="4">
        <f ca="1"/>
        <v>45735</v>
      </c>
      <c r="AC1005" s="4">
        <v>45735</v>
      </c>
      <c r="AD1005" s="9">
        <v>45747</v>
      </c>
      <c r="AE1005" s="9">
        <v>45749</v>
      </c>
      <c r="AF1005" s="4" t="str">
        <f t="shared" ca="1" si="59"/>
        <v>2025 03</v>
      </c>
      <c r="AG1005" s="8" t="str" cm="1">
        <f t="array" ref="AG1005">IFERROR(_xlfn.IFS('Banco de Dados'!#REF!="AG. COMPRA","Em processamento",'Banco de Dados'!#REF!="AG. RASTREIO","Em processamento",'Banco de Dados'!$AE1005&lt;&gt;"-","Faturado",'Banco de Dados'!$AD1005&lt;&gt;"-","Aguardando Pix",'Banco de Dados'!$AC1005&lt;&gt;"-","Pendente"),"Aguardando Liberação")</f>
        <v>Aguardando Liberação</v>
      </c>
      <c r="AH1005" s="5" t="str">
        <f>IF('Banco de Dados'!$F1005="-",_xlfn.CONCAT(PROPER(TEXT(AK1005,"aaaa"))," ",PROPER(TEXT(AK1005,"mm"))),_xlfn.CONCAT(PROPER(TEXT(E1005,"aaaa"))," ",PROPER(TEXT(E1005,"mm"))))</f>
        <v>2025 02</v>
      </c>
      <c r="AI1005" s="9" t="str">
        <f ca="1">IF('Banco de Dados'!$AK1005&lt;&gt;"-","REEMBOLSO",IFERROR(_xlfn.XLOOKUP(G1005,Follow[CODRASTREIO],Follow[STATUS]),"-"))</f>
        <v>ENTREGUE</v>
      </c>
      <c r="AJ1005" s="9">
        <f ca="1">IF('Banco de Dados'!$AI1005="ENTREGUE",_xlfn.XLOOKUP('Banco de Dados'!$G1005,Follow[CODRASTREIO],Follow[DATAATUALIZAÇÃO]),"-")</f>
        <v>45712</v>
      </c>
      <c r="AK1005" s="132" t="str">
        <f ca="1"/>
        <v>-</v>
      </c>
      <c r="AL1005" s="35"/>
      <c r="AM1005" s="109" cm="1">
        <f t="array" aca="1" ref="AM1005" ca="1">IF('Banco de Dados'!$AK1005&lt;&gt;"-",_xlfn.IFS('Banco de Dados'!$A1005="bv",IF('Banco de Dados'!$E1005&lt;45641,ROUND(SUM('Banco de Dados'!$R1005*_xlfn.XLOOKUP('Banco de Dados'!$P1005,Sku!B:B,Sku!#REF!)*20%),2),ROUND(SUM('Banco de Dados'!$R1005*_xlfn.XLOOKUP('Banco de Dados'!$P1005,Sku!B:B,Sku!H:H)*20%),2)),'Banco de Dados'!$A1005="GO",ROUND(_xlfn.XLOOKUP('Banco de Dados'!$P1005,Sku!C:C,Sku!H:H),2),'Banco de Dados'!$A1005="MEI",ROUND(_xlfn.XLOOKUP('Banco de Dados'!$P1005,Sku!D:D,Sku!H:H),2)),0)</f>
        <v>0</v>
      </c>
      <c r="AN1005" s="109">
        <f ca="1">IF('Banco de Dados'!$AK1005&lt;&gt;"-",IF('Banco de Dados'!$F1005&lt;&gt;"-",_xlfn.XLOOKUP(IFERROR(IFERROR(IFERROR(VALUE(SUBSTITUTE(MID(_xlfn.TEXTAFTER('Banco de Dados'!$F1005,"Data do Pedido:
",1),1,10),"-","/")),VALUE(SUBSTITUTE(MID(_xlfn.TEXTAFTER('Banco de Dados'!$F1005,"Order date:
",1),1,10),"-","/"))),VALUE(SUBSTITUTE(MID(_xlfn.TEXTAFTER('Banco de Dados'!$F1005,"Fecha de pedido:
",1),1,10),"-","/"))),"-"),SMS!A:A,SMS!K:K),0),0)</f>
        <v>0</v>
      </c>
      <c r="AO1005" s="109">
        <f ca="1">IF('Banco de Dados'!$AK1005&lt;&gt;"-",IF('Banco de Dados'!$F1005&lt;&gt;"-",IFERROR(_xlfn.XLOOKUP(_xlfn.CONCAT('Banco de Dados'!$A1005,IFERROR(IFERROR(VALUE(SUBSTITUTE(MID(_xlfn.TEXTAFTER('Banco de Dados'!$F1005,"Data do Pedido:
",1),1,10),"-","/")),VALUE(SUBSTITUTE(MID(_xlfn.TEXTAFTER('Banco de Dados'!$F1005,"Order date:
",1),1,10),"-","/"))),0)),ProxyDD[Chave],ProxyDD[Valor por pedido]),PROXY!$P$2),0),0)</f>
        <v>0</v>
      </c>
      <c r="AP1005" s="28">
        <f ca="1">IF('Banco de Dados'!$AK1005&lt;&gt;"-",IF('Banco de Dados'!$AL1005="NÃO",IFERROR(VALUE(SUBSTITUTE(_xlfn.TEXTAFTER('Banco de Dados'!$F1005,"BRL ",1),".",",")),0),0),0)</f>
        <v>0</v>
      </c>
      <c r="AQ1005" s="28">
        <f ca="1">SUM('Banco de Dados'!$AM1005:$AP1005)</f>
        <v>0</v>
      </c>
      <c r="AR1005" s="8"/>
      <c r="AY1005" s="8"/>
    </row>
    <row r="1006" spans="1:51">
      <c r="A1006" s="5" t="str">
        <v>BV</v>
      </c>
      <c r="B1006" s="5" t="str">
        <f ca="1"/>
        <v>BV45705</v>
      </c>
      <c r="C1006" s="8" t="str">
        <v>Pedido 993</v>
      </c>
      <c r="D1006" s="9">
        <v>45703</v>
      </c>
      <c r="E1006" s="9">
        <v>45705</v>
      </c>
      <c r="F1006" s="8" t="str">
        <v>PedidoF972</v>
      </c>
      <c r="G1006" s="2" t="str">
        <v>CódRastreio970</v>
      </c>
      <c r="H1006" s="5">
        <v>1</v>
      </c>
      <c r="I1006" s="2" t="str">
        <v>CPF 967</v>
      </c>
      <c r="J1006" s="2" t="str">
        <v>Nome 967</v>
      </c>
      <c r="K1006" s="8" t="str">
        <v>Tel 967</v>
      </c>
      <c r="L1006" s="8" t="str">
        <v>Cep 967</v>
      </c>
      <c r="M1006" s="8" t="str">
        <v>Rua 967</v>
      </c>
      <c r="N1006" s="8" t="str">
        <v>Comp 967</v>
      </c>
      <c r="O1006" s="8" t="str">
        <v>Adaptador Bluetooph</v>
      </c>
      <c r="P1006" s="8" t="str">
        <v>YA-AG3H-SPUK</v>
      </c>
      <c r="Q1006" s="4">
        <v>45728</v>
      </c>
      <c r="R1006" s="109">
        <v>19.989999999999998</v>
      </c>
      <c r="S1006" s="11">
        <f ca="1"/>
        <v>19.989999999999998</v>
      </c>
      <c r="T1006" s="28">
        <f ca="1"/>
        <v>2.3987999999999996</v>
      </c>
      <c r="U1006" s="11">
        <f ca="1"/>
        <v>17.59</v>
      </c>
      <c r="V1006" s="11">
        <v>6.99</v>
      </c>
      <c r="W1006" s="11">
        <f ca="1"/>
        <v>0.24</v>
      </c>
      <c r="X1006" s="11">
        <f ca="1"/>
        <v>0.39877104377104378</v>
      </c>
      <c r="Y1006" s="11">
        <v>0</v>
      </c>
      <c r="Z1006" s="11">
        <f ca="1"/>
        <v>9.9612289562289558</v>
      </c>
      <c r="AA1006" s="11">
        <f ca="1"/>
        <v>4.9806144781144779</v>
      </c>
      <c r="AB1006" s="4">
        <f ca="1"/>
        <v>45735</v>
      </c>
      <c r="AC1006" s="4">
        <v>45735</v>
      </c>
      <c r="AD1006" s="9">
        <v>45747</v>
      </c>
      <c r="AE1006" s="9">
        <v>45749</v>
      </c>
      <c r="AF1006" s="4" t="str">
        <f t="shared" ca="1" si="59"/>
        <v>2025 03</v>
      </c>
      <c r="AG1006" s="8" t="str" cm="1">
        <f t="array" ref="AG1006">IFERROR(_xlfn.IFS('Banco de Dados'!#REF!="AG. COMPRA","Em processamento",'Banco de Dados'!#REF!="AG. RASTREIO","Em processamento",'Banco de Dados'!$AE1006&lt;&gt;"-","Faturado",'Banco de Dados'!$AD1006&lt;&gt;"-","Aguardando Pix",'Banco de Dados'!$AC1006&lt;&gt;"-","Pendente"),"Aguardando Liberação")</f>
        <v>Aguardando Liberação</v>
      </c>
      <c r="AH1006" s="5" t="str">
        <f>IF('Banco de Dados'!$F1006="-",_xlfn.CONCAT(PROPER(TEXT(AK1006,"aaaa"))," ",PROPER(TEXT(AK1006,"mm"))),_xlfn.CONCAT(PROPER(TEXT(E1006,"aaaa"))," ",PROPER(TEXT(E1006,"mm"))))</f>
        <v>2025 02</v>
      </c>
      <c r="AI1006" s="9" t="str">
        <f ca="1">IF('Banco de Dados'!$AK1006&lt;&gt;"-","REEMBOLSO",IFERROR(_xlfn.XLOOKUP(G1006,Follow[CODRASTREIO],Follow[STATUS]),"-"))</f>
        <v>ENTREGUE</v>
      </c>
      <c r="AJ1006" s="9">
        <f ca="1">IF('Banco de Dados'!$AI1006="ENTREGUE",_xlfn.XLOOKUP('Banco de Dados'!$G1006,Follow[CODRASTREIO],Follow[DATAATUALIZAÇÃO]),"-")</f>
        <v>45712</v>
      </c>
      <c r="AK1006" s="132" t="str">
        <f ca="1"/>
        <v>-</v>
      </c>
      <c r="AL1006" s="35"/>
      <c r="AM1006" s="109" cm="1">
        <f t="array" aca="1" ref="AM1006" ca="1">IF('Banco de Dados'!$AK1006&lt;&gt;"-",_xlfn.IFS('Banco de Dados'!$A1006="bv",IF('Banco de Dados'!$E1006&lt;45641,ROUND(SUM('Banco de Dados'!$R1006*_xlfn.XLOOKUP('Banco de Dados'!$P1006,Sku!B:B,Sku!#REF!)*20%),2),ROUND(SUM('Banco de Dados'!$R1006*_xlfn.XLOOKUP('Banco de Dados'!$P1006,Sku!B:B,Sku!H:H)*20%),2)),'Banco de Dados'!$A1006="GO",ROUND(_xlfn.XLOOKUP('Banco de Dados'!$P1006,Sku!C:C,Sku!H:H),2),'Banco de Dados'!$A1006="MEI",ROUND(_xlfn.XLOOKUP('Banco de Dados'!$P1006,Sku!D:D,Sku!H:H),2)),0)</f>
        <v>0</v>
      </c>
      <c r="AN1006" s="109">
        <f ca="1">IF('Banco de Dados'!$AK1006&lt;&gt;"-",IF('Banco de Dados'!$F1006&lt;&gt;"-",_xlfn.XLOOKUP(IFERROR(IFERROR(IFERROR(VALUE(SUBSTITUTE(MID(_xlfn.TEXTAFTER('Banco de Dados'!$F1006,"Data do Pedido:
",1),1,10),"-","/")),VALUE(SUBSTITUTE(MID(_xlfn.TEXTAFTER('Banco de Dados'!$F1006,"Order date:
",1),1,10),"-","/"))),VALUE(SUBSTITUTE(MID(_xlfn.TEXTAFTER('Banco de Dados'!$F1006,"Fecha de pedido:
",1),1,10),"-","/"))),"-"),SMS!A:A,SMS!K:K),0),0)</f>
        <v>0</v>
      </c>
      <c r="AO1006" s="109">
        <f ca="1">IF('Banco de Dados'!$AK1006&lt;&gt;"-",IF('Banco de Dados'!$F1006&lt;&gt;"-",IFERROR(_xlfn.XLOOKUP(_xlfn.CONCAT('Banco de Dados'!$A1006,IFERROR(IFERROR(VALUE(SUBSTITUTE(MID(_xlfn.TEXTAFTER('Banco de Dados'!$F1006,"Data do Pedido:
",1),1,10),"-","/")),VALUE(SUBSTITUTE(MID(_xlfn.TEXTAFTER('Banco de Dados'!$F1006,"Order date:
",1),1,10),"-","/"))),0)),ProxyDD[Chave],ProxyDD[Valor por pedido]),PROXY!$P$2),0),0)</f>
        <v>0</v>
      </c>
      <c r="AP1006" s="28">
        <f ca="1">IF('Banco de Dados'!$AK1006&lt;&gt;"-",IF('Banco de Dados'!$AL1006="NÃO",IFERROR(VALUE(SUBSTITUTE(_xlfn.TEXTAFTER('Banco de Dados'!$F1006,"BRL ",1),".",",")),0),0),0)</f>
        <v>0</v>
      </c>
      <c r="AQ1006" s="28">
        <f ca="1">SUM('Banco de Dados'!$AM1006:$AP1006)</f>
        <v>0</v>
      </c>
      <c r="AR1006" s="8"/>
      <c r="AY1006" s="8"/>
    </row>
    <row r="1007" spans="1:51">
      <c r="A1007" s="5" t="str">
        <v>BV</v>
      </c>
      <c r="B1007" s="5" t="str">
        <f ca="1"/>
        <v>BV45705</v>
      </c>
      <c r="C1007" s="8" t="str">
        <v>Pedido 994</v>
      </c>
      <c r="D1007" s="9">
        <v>45703</v>
      </c>
      <c r="E1007" s="9">
        <v>45705</v>
      </c>
      <c r="F1007" s="8" t="str">
        <v>PedidoF973</v>
      </c>
      <c r="G1007" s="2" t="str">
        <v>CódRastreio971</v>
      </c>
      <c r="H1007" s="5">
        <v>1</v>
      </c>
      <c r="I1007" s="2" t="str">
        <v>CPF 968</v>
      </c>
      <c r="J1007" s="2" t="str">
        <v>Nome 968</v>
      </c>
      <c r="K1007" s="8" t="str">
        <v>Tel 968</v>
      </c>
      <c r="L1007" s="8" t="str">
        <v>Cep 968</v>
      </c>
      <c r="M1007" s="8" t="str">
        <v>Rua 968</v>
      </c>
      <c r="N1007" s="8" t="str">
        <v>Comp 968</v>
      </c>
      <c r="O1007" s="8" t="str">
        <v>Adaptador Bluetooph</v>
      </c>
      <c r="P1007" s="8" t="str">
        <v>YA-AG3H-SPUK</v>
      </c>
      <c r="Q1007" s="4">
        <v>45728</v>
      </c>
      <c r="R1007" s="109">
        <v>19.989999999999998</v>
      </c>
      <c r="S1007" s="11">
        <f ca="1"/>
        <v>19.989999999999998</v>
      </c>
      <c r="T1007" s="28">
        <f ca="1"/>
        <v>2.3987999999999996</v>
      </c>
      <c r="U1007" s="11">
        <f ca="1"/>
        <v>17.59</v>
      </c>
      <c r="V1007" s="11">
        <v>6.99</v>
      </c>
      <c r="W1007" s="11">
        <f ca="1"/>
        <v>0.24</v>
      </c>
      <c r="X1007" s="11">
        <f ca="1"/>
        <v>0.39877104377104378</v>
      </c>
      <c r="Y1007" s="11">
        <v>0</v>
      </c>
      <c r="Z1007" s="11">
        <f ca="1"/>
        <v>9.9612289562289558</v>
      </c>
      <c r="AA1007" s="11">
        <f ca="1"/>
        <v>4.9806144781144779</v>
      </c>
      <c r="AB1007" s="4">
        <f ca="1"/>
        <v>45735</v>
      </c>
      <c r="AC1007" s="4">
        <v>45735</v>
      </c>
      <c r="AD1007" s="9">
        <v>45747</v>
      </c>
      <c r="AE1007" s="9">
        <v>45749</v>
      </c>
      <c r="AF1007" s="4" t="str">
        <f t="shared" ca="1" si="59"/>
        <v>2025 03</v>
      </c>
      <c r="AG1007" s="8" t="str" cm="1">
        <f t="array" ref="AG1007">IFERROR(_xlfn.IFS('Banco de Dados'!#REF!="AG. COMPRA","Em processamento",'Banco de Dados'!#REF!="AG. RASTREIO","Em processamento",'Banco de Dados'!$AE1007&lt;&gt;"-","Faturado",'Banco de Dados'!$AD1007&lt;&gt;"-","Aguardando Pix",'Banco de Dados'!$AC1007&lt;&gt;"-","Pendente"),"Aguardando Liberação")</f>
        <v>Aguardando Liberação</v>
      </c>
      <c r="AH1007" s="5" t="str">
        <f>IF('Banco de Dados'!$F1007="-",_xlfn.CONCAT(PROPER(TEXT(AK1007,"aaaa"))," ",PROPER(TEXT(AK1007,"mm"))),_xlfn.CONCAT(PROPER(TEXT(E1007,"aaaa"))," ",PROPER(TEXT(E1007,"mm"))))</f>
        <v>2025 02</v>
      </c>
      <c r="AI1007" s="9" t="str">
        <f ca="1">IF('Banco de Dados'!$AK1007&lt;&gt;"-","REEMBOLSO",IFERROR(_xlfn.XLOOKUP(G1007,Follow[CODRASTREIO],Follow[STATUS]),"-"))</f>
        <v>ENTREGUE</v>
      </c>
      <c r="AJ1007" s="9">
        <f ca="1">IF('Banco de Dados'!$AI1007="ENTREGUE",_xlfn.XLOOKUP('Banco de Dados'!$G1007,Follow[CODRASTREIO],Follow[DATAATUALIZAÇÃO]),"-")</f>
        <v>45710</v>
      </c>
      <c r="AK1007" s="132" t="str">
        <f ca="1"/>
        <v>-</v>
      </c>
      <c r="AL1007" s="35"/>
      <c r="AM1007" s="109" cm="1">
        <f t="array" aca="1" ref="AM1007" ca="1">IF('Banco de Dados'!$AK1007&lt;&gt;"-",_xlfn.IFS('Banco de Dados'!$A1007="bv",IF('Banco de Dados'!$E1007&lt;45641,ROUND(SUM('Banco de Dados'!$R1007*_xlfn.XLOOKUP('Banco de Dados'!$P1007,Sku!B:B,Sku!#REF!)*20%),2),ROUND(SUM('Banco de Dados'!$R1007*_xlfn.XLOOKUP('Banco de Dados'!$P1007,Sku!B:B,Sku!H:H)*20%),2)),'Banco de Dados'!$A1007="GO",ROUND(_xlfn.XLOOKUP('Banco de Dados'!$P1007,Sku!C:C,Sku!H:H),2),'Banco de Dados'!$A1007="MEI",ROUND(_xlfn.XLOOKUP('Banco de Dados'!$P1007,Sku!D:D,Sku!H:H),2)),0)</f>
        <v>0</v>
      </c>
      <c r="AN1007" s="109">
        <f ca="1">IF('Banco de Dados'!$AK1007&lt;&gt;"-",IF('Banco de Dados'!$F1007&lt;&gt;"-",_xlfn.XLOOKUP(IFERROR(IFERROR(IFERROR(VALUE(SUBSTITUTE(MID(_xlfn.TEXTAFTER('Banco de Dados'!$F1007,"Data do Pedido:
",1),1,10),"-","/")),VALUE(SUBSTITUTE(MID(_xlfn.TEXTAFTER('Banco de Dados'!$F1007,"Order date:
",1),1,10),"-","/"))),VALUE(SUBSTITUTE(MID(_xlfn.TEXTAFTER('Banco de Dados'!$F1007,"Fecha de pedido:
",1),1,10),"-","/"))),"-"),SMS!A:A,SMS!K:K),0),0)</f>
        <v>0</v>
      </c>
      <c r="AO1007" s="109">
        <f ca="1">IF('Banco de Dados'!$AK1007&lt;&gt;"-",IF('Banco de Dados'!$F1007&lt;&gt;"-",IFERROR(_xlfn.XLOOKUP(_xlfn.CONCAT('Banco de Dados'!$A1007,IFERROR(IFERROR(VALUE(SUBSTITUTE(MID(_xlfn.TEXTAFTER('Banco de Dados'!$F1007,"Data do Pedido:
",1),1,10),"-","/")),VALUE(SUBSTITUTE(MID(_xlfn.TEXTAFTER('Banco de Dados'!$F1007,"Order date:
",1),1,10),"-","/"))),0)),ProxyDD[Chave],ProxyDD[Valor por pedido]),PROXY!$P$2),0),0)</f>
        <v>0</v>
      </c>
      <c r="AP1007" s="28">
        <f ca="1">IF('Banco de Dados'!$AK1007&lt;&gt;"-",IF('Banco de Dados'!$AL1007="NÃO",IFERROR(VALUE(SUBSTITUTE(_xlfn.TEXTAFTER('Banco de Dados'!$F1007,"BRL ",1),".",",")),0),0),0)</f>
        <v>0</v>
      </c>
      <c r="AQ1007" s="28">
        <f ca="1">SUM('Banco de Dados'!$AM1007:$AP1007)</f>
        <v>0</v>
      </c>
      <c r="AR1007" s="8"/>
      <c r="AY1007" s="8"/>
    </row>
    <row r="1008" spans="1:51">
      <c r="A1008" s="5" t="str">
        <v>BV</v>
      </c>
      <c r="B1008" s="5" t="str">
        <f ca="1"/>
        <v>BV45705</v>
      </c>
      <c r="C1008" s="8" t="str">
        <v>Pedido 995</v>
      </c>
      <c r="D1008" s="9">
        <v>45703</v>
      </c>
      <c r="E1008" s="9">
        <v>45705</v>
      </c>
      <c r="F1008" s="8" t="str">
        <v>PedidoF974</v>
      </c>
      <c r="G1008" s="2" t="str">
        <v>CódRastreio972</v>
      </c>
      <c r="H1008" s="5">
        <v>1</v>
      </c>
      <c r="I1008" s="2" t="str">
        <v>CPF 969</v>
      </c>
      <c r="J1008" s="2" t="str">
        <v>Nome 969</v>
      </c>
      <c r="K1008" s="8" t="str">
        <v>Tel 969</v>
      </c>
      <c r="L1008" s="8" t="str">
        <v>Cep 969</v>
      </c>
      <c r="M1008" s="8" t="str">
        <v>Rua 969</v>
      </c>
      <c r="N1008" s="8" t="str">
        <v>Comp 969</v>
      </c>
      <c r="O1008" s="8" t="str">
        <v>Suporte de Celular com Regulagem</v>
      </c>
      <c r="P1008" s="8" t="str">
        <v>1H-DC27-8GP7</v>
      </c>
      <c r="Q1008" s="4">
        <v>45728</v>
      </c>
      <c r="R1008" s="109">
        <v>21.99</v>
      </c>
      <c r="S1008" s="11">
        <f ca="1"/>
        <v>21.99</v>
      </c>
      <c r="T1008" s="28">
        <f ca="1"/>
        <v>3.2984999999999998</v>
      </c>
      <c r="U1008" s="11">
        <f ca="1"/>
        <v>18.690000000000001</v>
      </c>
      <c r="V1008" s="11">
        <v>6.99</v>
      </c>
      <c r="W1008" s="11">
        <f ca="1"/>
        <v>0.24</v>
      </c>
      <c r="X1008" s="11">
        <f ca="1"/>
        <v>0.39877104377104378</v>
      </c>
      <c r="Y1008" s="11">
        <v>0</v>
      </c>
      <c r="Z1008" s="11">
        <f ca="1"/>
        <v>11.061228956228957</v>
      </c>
      <c r="AA1008" s="11">
        <f ca="1"/>
        <v>5.5306144781144786</v>
      </c>
      <c r="AB1008" s="4">
        <f ca="1"/>
        <v>45735</v>
      </c>
      <c r="AC1008" s="4">
        <v>45735</v>
      </c>
      <c r="AD1008" s="9">
        <v>45747</v>
      </c>
      <c r="AE1008" s="9">
        <v>45749</v>
      </c>
      <c r="AF1008" s="4" t="str">
        <f t="shared" ca="1" si="59"/>
        <v>2025 03</v>
      </c>
      <c r="AG1008" s="8" t="str" cm="1">
        <f t="array" ref="AG1008">IFERROR(_xlfn.IFS('Banco de Dados'!#REF!="AG. COMPRA","Em processamento",'Banco de Dados'!#REF!="AG. RASTREIO","Em processamento",'Banco de Dados'!$AE1008&lt;&gt;"-","Faturado",'Banco de Dados'!$AD1008&lt;&gt;"-","Aguardando Pix",'Banco de Dados'!$AC1008&lt;&gt;"-","Pendente"),"Aguardando Liberação")</f>
        <v>Aguardando Liberação</v>
      </c>
      <c r="AH1008" s="5" t="str">
        <f>IF('Banco de Dados'!$F1008="-",_xlfn.CONCAT(PROPER(TEXT(AK1008,"aaaa"))," ",PROPER(TEXT(AK1008,"mm"))),_xlfn.CONCAT(PROPER(TEXT(E1008,"aaaa"))," ",PROPER(TEXT(E1008,"mm"))))</f>
        <v>2025 02</v>
      </c>
      <c r="AI1008" s="9" t="str">
        <f ca="1">IF('Banco de Dados'!$AK1008&lt;&gt;"-","REEMBOLSO",IFERROR(_xlfn.XLOOKUP(G1008,Follow[CODRASTREIO],Follow[STATUS]),"-"))</f>
        <v>ENTREGUE</v>
      </c>
      <c r="AJ1008" s="9">
        <f ca="1">IF('Banco de Dados'!$AI1008="ENTREGUE",_xlfn.XLOOKUP('Banco de Dados'!$G1008,Follow[CODRASTREIO],Follow[DATAATUALIZAÇÃO]),"-")</f>
        <v>45712</v>
      </c>
      <c r="AK1008" s="132" t="str">
        <f ca="1"/>
        <v>-</v>
      </c>
      <c r="AL1008" s="35"/>
      <c r="AM1008" s="109" cm="1">
        <f t="array" aca="1" ref="AM1008" ca="1">IF('Banco de Dados'!$AK1008&lt;&gt;"-",_xlfn.IFS('Banco de Dados'!$A1008="bv",IF('Banco de Dados'!$E1008&lt;45641,ROUND(SUM('Banco de Dados'!$R1008*_xlfn.XLOOKUP('Banco de Dados'!$P1008,Sku!B:B,Sku!#REF!)*20%),2),ROUND(SUM('Banco de Dados'!$R1008*_xlfn.XLOOKUP('Banco de Dados'!$P1008,Sku!B:B,Sku!H:H)*20%),2)),'Banco de Dados'!$A1008="GO",ROUND(_xlfn.XLOOKUP('Banco de Dados'!$P1008,Sku!C:C,Sku!H:H),2),'Banco de Dados'!$A1008="MEI",ROUND(_xlfn.XLOOKUP('Banco de Dados'!$P1008,Sku!D:D,Sku!H:H),2)),0)</f>
        <v>0</v>
      </c>
      <c r="AN1008" s="109">
        <f ca="1">IF('Banco de Dados'!$AK1008&lt;&gt;"-",IF('Banco de Dados'!$F1008&lt;&gt;"-",_xlfn.XLOOKUP(IFERROR(IFERROR(IFERROR(VALUE(SUBSTITUTE(MID(_xlfn.TEXTAFTER('Banco de Dados'!$F1008,"Data do Pedido:
",1),1,10),"-","/")),VALUE(SUBSTITUTE(MID(_xlfn.TEXTAFTER('Banco de Dados'!$F1008,"Order date:
",1),1,10),"-","/"))),VALUE(SUBSTITUTE(MID(_xlfn.TEXTAFTER('Banco de Dados'!$F1008,"Fecha de pedido:
",1),1,10),"-","/"))),"-"),SMS!A:A,SMS!K:K),0),0)</f>
        <v>0</v>
      </c>
      <c r="AO1008" s="109">
        <f ca="1">IF('Banco de Dados'!$AK1008&lt;&gt;"-",IF('Banco de Dados'!$F1008&lt;&gt;"-",IFERROR(_xlfn.XLOOKUP(_xlfn.CONCAT('Banco de Dados'!$A1008,IFERROR(IFERROR(VALUE(SUBSTITUTE(MID(_xlfn.TEXTAFTER('Banco de Dados'!$F1008,"Data do Pedido:
",1),1,10),"-","/")),VALUE(SUBSTITUTE(MID(_xlfn.TEXTAFTER('Banco de Dados'!$F1008,"Order date:
",1),1,10),"-","/"))),0)),ProxyDD[Chave],ProxyDD[Valor por pedido]),PROXY!$P$2),0),0)</f>
        <v>0</v>
      </c>
      <c r="AP1008" s="28">
        <f ca="1">IF('Banco de Dados'!$AK1008&lt;&gt;"-",IF('Banco de Dados'!$AL1008="NÃO",IFERROR(VALUE(SUBSTITUTE(_xlfn.TEXTAFTER('Banco de Dados'!$F1008,"BRL ",1),".",",")),0),0),0)</f>
        <v>0</v>
      </c>
      <c r="AQ1008" s="28">
        <f ca="1">SUM('Banco de Dados'!$AM1008:$AP1008)</f>
        <v>0</v>
      </c>
      <c r="AR1008" s="8"/>
      <c r="AY1008" s="8"/>
    </row>
    <row r="1009" spans="1:51">
      <c r="A1009" s="5" t="str">
        <v>BV</v>
      </c>
      <c r="B1009" s="5" t="str">
        <f ca="1"/>
        <v>BV45705</v>
      </c>
      <c r="C1009" s="8" t="str">
        <v>Pedido 996</v>
      </c>
      <c r="D1009" s="9">
        <v>45703</v>
      </c>
      <c r="E1009" s="9">
        <v>45705</v>
      </c>
      <c r="F1009" s="8" t="str">
        <v>PedidoF975</v>
      </c>
      <c r="G1009" s="2" t="str">
        <v>CódRastreio973</v>
      </c>
      <c r="H1009" s="5">
        <v>1</v>
      </c>
      <c r="I1009" s="2" t="str">
        <v>CPF 970</v>
      </c>
      <c r="J1009" s="2" t="str">
        <v>Nome 970</v>
      </c>
      <c r="K1009" s="8" t="str">
        <v>Tel 970</v>
      </c>
      <c r="L1009" s="8" t="str">
        <v>Cep 970</v>
      </c>
      <c r="M1009" s="8" t="str">
        <v>Rua 970</v>
      </c>
      <c r="N1009" s="8" t="str">
        <v>Comp 970</v>
      </c>
      <c r="O1009" s="8" t="str">
        <v>Ventilador Rosa</v>
      </c>
      <c r="P1009" s="8" t="str">
        <v>IF-G2ZQ-79FO</v>
      </c>
      <c r="Q1009" s="4">
        <v>45728</v>
      </c>
      <c r="R1009" s="109">
        <v>78.989999999999995</v>
      </c>
      <c r="S1009" s="11">
        <f ca="1"/>
        <v>78.989999999999995</v>
      </c>
      <c r="T1009" s="28">
        <f ca="1"/>
        <v>10.268699999999999</v>
      </c>
      <c r="U1009" s="11">
        <f ca="1"/>
        <v>68.72</v>
      </c>
      <c r="V1009" s="11">
        <v>13.5</v>
      </c>
      <c r="W1009" s="11">
        <f ca="1"/>
        <v>0.24</v>
      </c>
      <c r="X1009" s="11">
        <f ca="1"/>
        <v>0.39877104377104378</v>
      </c>
      <c r="Y1009" s="11">
        <v>0</v>
      </c>
      <c r="Z1009" s="11">
        <f ca="1"/>
        <v>54.581228956228955</v>
      </c>
      <c r="AA1009" s="11">
        <f ca="1"/>
        <v>27.290614478114477</v>
      </c>
      <c r="AB1009" s="4">
        <f ca="1"/>
        <v>45735</v>
      </c>
      <c r="AC1009" s="4">
        <v>45735</v>
      </c>
      <c r="AD1009" s="9">
        <v>45747</v>
      </c>
      <c r="AE1009" s="9">
        <v>45749</v>
      </c>
      <c r="AF1009" s="4" t="str">
        <f t="shared" ca="1" si="59"/>
        <v>2025 03</v>
      </c>
      <c r="AG1009" s="8" t="str" cm="1">
        <f t="array" ref="AG1009">IFERROR(_xlfn.IFS('Banco de Dados'!#REF!="AG. COMPRA","Em processamento",'Banco de Dados'!#REF!="AG. RASTREIO","Em processamento",'Banco de Dados'!$AE1009&lt;&gt;"-","Faturado",'Banco de Dados'!$AD1009&lt;&gt;"-","Aguardando Pix",'Banco de Dados'!$AC1009&lt;&gt;"-","Pendente"),"Aguardando Liberação")</f>
        <v>Aguardando Liberação</v>
      </c>
      <c r="AH1009" s="5" t="str">
        <f>IF('Banco de Dados'!$F1009="-",_xlfn.CONCAT(PROPER(TEXT(AK1009,"aaaa"))," ",PROPER(TEXT(AK1009,"mm"))),_xlfn.CONCAT(PROPER(TEXT(E1009,"aaaa"))," ",PROPER(TEXT(E1009,"mm"))))</f>
        <v>2025 02</v>
      </c>
      <c r="AI1009" s="9" t="str">
        <f ca="1">IF('Banco de Dados'!$AK1009&lt;&gt;"-","REEMBOLSO",IFERROR(_xlfn.XLOOKUP(G1009,Follow[CODRASTREIO],Follow[STATUS]),"-"))</f>
        <v>ENTREGUE</v>
      </c>
      <c r="AJ1009" s="9">
        <f ca="1">IF('Banco de Dados'!$AI1009="ENTREGUE",_xlfn.XLOOKUP('Banco de Dados'!$G1009,Follow[CODRASTREIO],Follow[DATAATUALIZAÇÃO]),"-")</f>
        <v>45715</v>
      </c>
      <c r="AK1009" s="132" t="str">
        <f ca="1"/>
        <v>-</v>
      </c>
      <c r="AL1009" s="35"/>
      <c r="AM1009" s="109" cm="1">
        <f t="array" aca="1" ref="AM1009" ca="1">IF('Banco de Dados'!$AK1009&lt;&gt;"-",_xlfn.IFS('Banco de Dados'!$A1009="bv",IF('Banco de Dados'!$E1009&lt;45641,ROUND(SUM('Banco de Dados'!$R1009*_xlfn.XLOOKUP('Banco de Dados'!$P1009,Sku!B:B,Sku!#REF!)*20%),2),ROUND(SUM('Banco de Dados'!$R1009*_xlfn.XLOOKUP('Banco de Dados'!$P1009,Sku!B:B,Sku!H:H)*20%),2)),'Banco de Dados'!$A1009="GO",ROUND(_xlfn.XLOOKUP('Banco de Dados'!$P1009,Sku!C:C,Sku!H:H),2),'Banco de Dados'!$A1009="MEI",ROUND(_xlfn.XLOOKUP('Banco de Dados'!$P1009,Sku!D:D,Sku!H:H),2)),0)</f>
        <v>0</v>
      </c>
      <c r="AN1009" s="109">
        <f ca="1">IF('Banco de Dados'!$AK1009&lt;&gt;"-",IF('Banco de Dados'!$F1009&lt;&gt;"-",_xlfn.XLOOKUP(IFERROR(IFERROR(IFERROR(VALUE(SUBSTITUTE(MID(_xlfn.TEXTAFTER('Banco de Dados'!$F1009,"Data do Pedido:
",1),1,10),"-","/")),VALUE(SUBSTITUTE(MID(_xlfn.TEXTAFTER('Banco de Dados'!$F1009,"Order date:
",1),1,10),"-","/"))),VALUE(SUBSTITUTE(MID(_xlfn.TEXTAFTER('Banco de Dados'!$F1009,"Fecha de pedido:
",1),1,10),"-","/"))),"-"),SMS!A:A,SMS!K:K),0),0)</f>
        <v>0</v>
      </c>
      <c r="AO1009" s="109">
        <f ca="1">IF('Banco de Dados'!$AK1009&lt;&gt;"-",IF('Banco de Dados'!$F1009&lt;&gt;"-",IFERROR(_xlfn.XLOOKUP(_xlfn.CONCAT('Banco de Dados'!$A1009,IFERROR(IFERROR(VALUE(SUBSTITUTE(MID(_xlfn.TEXTAFTER('Banco de Dados'!$F1009,"Data do Pedido:
",1),1,10),"-","/")),VALUE(SUBSTITUTE(MID(_xlfn.TEXTAFTER('Banco de Dados'!$F1009,"Order date:
",1),1,10),"-","/"))),0)),ProxyDD[Chave],ProxyDD[Valor por pedido]),PROXY!$P$2),0),0)</f>
        <v>0</v>
      </c>
      <c r="AP1009" s="28">
        <f ca="1">IF('Banco de Dados'!$AK1009&lt;&gt;"-",IF('Banco de Dados'!$AL1009="NÃO",IFERROR(VALUE(SUBSTITUTE(_xlfn.TEXTAFTER('Banco de Dados'!$F1009,"BRL ",1),".",",")),0),0),0)</f>
        <v>0</v>
      </c>
      <c r="AQ1009" s="28">
        <f ca="1">SUM('Banco de Dados'!$AM1009:$AP1009)</f>
        <v>0</v>
      </c>
      <c r="AR1009" s="8"/>
      <c r="AY1009" s="8"/>
    </row>
    <row r="1010" spans="1:51">
      <c r="A1010" s="5" t="str">
        <v>BV</v>
      </c>
      <c r="B1010" s="5" t="str">
        <f ca="1"/>
        <v>BV45705</v>
      </c>
      <c r="C1010" s="8" t="str">
        <v>Pedido 997</v>
      </c>
      <c r="D1010" s="9">
        <v>45704</v>
      </c>
      <c r="E1010" s="9">
        <v>45705</v>
      </c>
      <c r="F1010" s="8" t="str">
        <v>PedidoF976</v>
      </c>
      <c r="G1010" s="2" t="str">
        <v>CódRastreio974</v>
      </c>
      <c r="H1010" s="5">
        <v>1</v>
      </c>
      <c r="I1010" s="2" t="str">
        <v>CPF 971</v>
      </c>
      <c r="J1010" s="2" t="str">
        <v>Nome 971</v>
      </c>
      <c r="K1010" s="8" t="str">
        <v>Tel 971</v>
      </c>
      <c r="L1010" s="8" t="str">
        <v>Cep 971</v>
      </c>
      <c r="M1010" s="8" t="str">
        <v>Rua 971</v>
      </c>
      <c r="N1010" s="8" t="str">
        <v>Comp 971</v>
      </c>
      <c r="O1010" s="8" t="str">
        <v>Adaptador Bluetooph</v>
      </c>
      <c r="P1010" s="8" t="str">
        <v>YA-AG3H-SPUK</v>
      </c>
      <c r="Q1010" s="4">
        <v>45734</v>
      </c>
      <c r="R1010" s="109">
        <v>19.989999999999998</v>
      </c>
      <c r="S1010" s="11">
        <f ca="1"/>
        <v>19.989999999999998</v>
      </c>
      <c r="T1010" s="28">
        <f ca="1"/>
        <v>2.3987999999999996</v>
      </c>
      <c r="U1010" s="11">
        <f ca="1"/>
        <v>17.59</v>
      </c>
      <c r="V1010" s="11">
        <v>6.99</v>
      </c>
      <c r="W1010" s="11">
        <f ca="1"/>
        <v>0.24</v>
      </c>
      <c r="X1010" s="11">
        <f ca="1"/>
        <v>0.39877104377104378</v>
      </c>
      <c r="Y1010" s="11">
        <v>0</v>
      </c>
      <c r="Z1010" s="11">
        <f ca="1"/>
        <v>9.9612289562289558</v>
      </c>
      <c r="AA1010" s="11">
        <f ca="1"/>
        <v>4.9806144781144779</v>
      </c>
      <c r="AB1010" s="4">
        <f ca="1"/>
        <v>45741</v>
      </c>
      <c r="AC1010" s="4">
        <v>45741</v>
      </c>
      <c r="AD1010" s="9">
        <v>45747</v>
      </c>
      <c r="AE1010" s="9">
        <v>45749</v>
      </c>
      <c r="AF1010" s="4" t="str">
        <f t="shared" ca="1" si="59"/>
        <v>2025 03</v>
      </c>
      <c r="AG1010" s="8" t="str" cm="1">
        <f t="array" ref="AG1010">IFERROR(_xlfn.IFS('Banco de Dados'!#REF!="AG. COMPRA","Em processamento",'Banco de Dados'!#REF!="AG. RASTREIO","Em processamento",'Banco de Dados'!$AE1010&lt;&gt;"-","Faturado",'Banco de Dados'!$AD1010&lt;&gt;"-","Aguardando Pix",'Banco de Dados'!$AC1010&lt;&gt;"-","Pendente"),"Aguardando Liberação")</f>
        <v>Aguardando Liberação</v>
      </c>
      <c r="AH1010" s="5" t="str">
        <f>IF('Banco de Dados'!$F1010="-",_xlfn.CONCAT(PROPER(TEXT(AK1010,"aaaa"))," ",PROPER(TEXT(AK1010,"mm"))),_xlfn.CONCAT(PROPER(TEXT(E1010,"aaaa"))," ",PROPER(TEXT(E1010,"mm"))))</f>
        <v>2025 02</v>
      </c>
      <c r="AI1010" s="9" t="str">
        <f ca="1">IF('Banco de Dados'!$AK1010&lt;&gt;"-","REEMBOLSO",IFERROR(_xlfn.XLOOKUP(G1010,Follow[CODRASTREIO],Follow[STATUS]),"-"))</f>
        <v>ENTREGUE</v>
      </c>
      <c r="AJ1010" s="9">
        <f ca="1">IF('Banco de Dados'!$AI1010="ENTREGUE",_xlfn.XLOOKUP('Banco de Dados'!$G1010,Follow[CODRASTREIO],Follow[DATAATUALIZAÇÃO]),"-")</f>
        <v>45714</v>
      </c>
      <c r="AK1010" s="132" t="str">
        <f ca="1"/>
        <v>-</v>
      </c>
      <c r="AL1010" s="35"/>
      <c r="AM1010" s="109" cm="1">
        <f t="array" aca="1" ref="AM1010" ca="1">IF('Banco de Dados'!$AK1010&lt;&gt;"-",_xlfn.IFS('Banco de Dados'!$A1010="bv",IF('Banco de Dados'!$E1010&lt;45641,ROUND(SUM('Banco de Dados'!$R1010*_xlfn.XLOOKUP('Banco de Dados'!$P1010,Sku!B:B,Sku!#REF!)*20%),2),ROUND(SUM('Banco de Dados'!$R1010*_xlfn.XLOOKUP('Banco de Dados'!$P1010,Sku!B:B,Sku!H:H)*20%),2)),'Banco de Dados'!$A1010="GO",ROUND(_xlfn.XLOOKUP('Banco de Dados'!$P1010,Sku!C:C,Sku!H:H),2),'Banco de Dados'!$A1010="MEI",ROUND(_xlfn.XLOOKUP('Banco de Dados'!$P1010,Sku!D:D,Sku!H:H),2)),0)</f>
        <v>0</v>
      </c>
      <c r="AN1010" s="109">
        <f ca="1">IF('Banco de Dados'!$AK1010&lt;&gt;"-",IF('Banco de Dados'!$F1010&lt;&gt;"-",_xlfn.XLOOKUP(IFERROR(IFERROR(IFERROR(VALUE(SUBSTITUTE(MID(_xlfn.TEXTAFTER('Banco de Dados'!$F1010,"Data do Pedido:
",1),1,10),"-","/")),VALUE(SUBSTITUTE(MID(_xlfn.TEXTAFTER('Banco de Dados'!$F1010,"Order date:
",1),1,10),"-","/"))),VALUE(SUBSTITUTE(MID(_xlfn.TEXTAFTER('Banco de Dados'!$F1010,"Fecha de pedido:
",1),1,10),"-","/"))),"-"),SMS!A:A,SMS!K:K),0),0)</f>
        <v>0</v>
      </c>
      <c r="AO1010" s="109">
        <f ca="1">IF('Banco de Dados'!$AK1010&lt;&gt;"-",IF('Banco de Dados'!$F1010&lt;&gt;"-",IFERROR(_xlfn.XLOOKUP(_xlfn.CONCAT('Banco de Dados'!$A1010,IFERROR(IFERROR(VALUE(SUBSTITUTE(MID(_xlfn.TEXTAFTER('Banco de Dados'!$F1010,"Data do Pedido:
",1),1,10),"-","/")),VALUE(SUBSTITUTE(MID(_xlfn.TEXTAFTER('Banco de Dados'!$F1010,"Order date:
",1),1,10),"-","/"))),0)),ProxyDD[Chave],ProxyDD[Valor por pedido]),PROXY!$P$2),0),0)</f>
        <v>0</v>
      </c>
      <c r="AP1010" s="28">
        <f ca="1">IF('Banco de Dados'!$AK1010&lt;&gt;"-",IF('Banco de Dados'!$AL1010="NÃO",IFERROR(VALUE(SUBSTITUTE(_xlfn.TEXTAFTER('Banco de Dados'!$F1010,"BRL ",1),".",",")),0),0),0)</f>
        <v>0</v>
      </c>
      <c r="AQ1010" s="28">
        <f ca="1">SUM('Banco de Dados'!$AM1010:$AP1010)</f>
        <v>0</v>
      </c>
      <c r="AR1010" s="8"/>
      <c r="AY1010" s="8"/>
    </row>
    <row r="1011" spans="1:51">
      <c r="A1011" s="5" t="str">
        <v>BV</v>
      </c>
      <c r="B1011" s="5" t="str">
        <f ca="1"/>
        <v>BV45705</v>
      </c>
      <c r="C1011" s="8" t="str">
        <v>Pedido 998</v>
      </c>
      <c r="D1011" s="9">
        <v>45704</v>
      </c>
      <c r="E1011" s="9">
        <v>45705</v>
      </c>
      <c r="F1011" s="8" t="str">
        <v>PedidoF977</v>
      </c>
      <c r="G1011" s="2" t="str">
        <v>CódRastreio975</v>
      </c>
      <c r="H1011" s="5">
        <v>1</v>
      </c>
      <c r="I1011" s="2" t="str">
        <v>CPF 972</v>
      </c>
      <c r="J1011" s="2" t="str">
        <v>Nome 972</v>
      </c>
      <c r="K1011" s="8" t="str">
        <v>Tel 972</v>
      </c>
      <c r="L1011" s="8" t="str">
        <v>Cep 972</v>
      </c>
      <c r="M1011" s="8" t="str">
        <v>Rua 972</v>
      </c>
      <c r="N1011" s="8" t="str">
        <v>Comp 972</v>
      </c>
      <c r="O1011" s="8" t="str">
        <v>Garrafa Termica</v>
      </c>
      <c r="P1011" s="8" t="str">
        <v>FM-QQ8Y-RZT4</v>
      </c>
      <c r="Q1011" s="4">
        <v>45728</v>
      </c>
      <c r="R1011" s="109">
        <v>33.99</v>
      </c>
      <c r="S1011" s="11">
        <f ca="1"/>
        <v>33.99</v>
      </c>
      <c r="T1011" s="28">
        <f ca="1"/>
        <v>4.4187000000000003</v>
      </c>
      <c r="U1011" s="11">
        <f ca="1"/>
        <v>29.57</v>
      </c>
      <c r="V1011" s="11">
        <v>13.8</v>
      </c>
      <c r="W1011" s="11">
        <f ca="1"/>
        <v>0.24</v>
      </c>
      <c r="X1011" s="11">
        <f ca="1"/>
        <v>0.39877104377104378</v>
      </c>
      <c r="Y1011" s="11">
        <v>0</v>
      </c>
      <c r="Z1011" s="11">
        <f ca="1"/>
        <v>15.131228956228956</v>
      </c>
      <c r="AA1011" s="11">
        <f ca="1"/>
        <v>7.5656144781144778</v>
      </c>
      <c r="AB1011" s="4">
        <f ca="1"/>
        <v>45735</v>
      </c>
      <c r="AC1011" s="4">
        <v>45735</v>
      </c>
      <c r="AD1011" s="9">
        <v>45747</v>
      </c>
      <c r="AE1011" s="9">
        <v>45749</v>
      </c>
      <c r="AF1011" s="4" t="str">
        <f t="shared" ca="1" si="59"/>
        <v>2025 03</v>
      </c>
      <c r="AG1011" s="8" t="str" cm="1">
        <f t="array" ref="AG1011">IFERROR(_xlfn.IFS('Banco de Dados'!#REF!="AG. COMPRA","Em processamento",'Banco de Dados'!#REF!="AG. RASTREIO","Em processamento",'Banco de Dados'!$AE1011&lt;&gt;"-","Faturado",'Banco de Dados'!$AD1011&lt;&gt;"-","Aguardando Pix",'Banco de Dados'!$AC1011&lt;&gt;"-","Pendente"),"Aguardando Liberação")</f>
        <v>Aguardando Liberação</v>
      </c>
      <c r="AH1011" s="5" t="str">
        <f>IF('Banco de Dados'!$F1011="-",_xlfn.CONCAT(PROPER(TEXT(AK1011,"aaaa"))," ",PROPER(TEXT(AK1011,"mm"))),_xlfn.CONCAT(PROPER(TEXT(E1011,"aaaa"))," ",PROPER(TEXT(E1011,"mm"))))</f>
        <v>2025 02</v>
      </c>
      <c r="AI1011" s="9" t="str">
        <f ca="1">IF('Banco de Dados'!$AK1011&lt;&gt;"-","REEMBOLSO",IFERROR(_xlfn.XLOOKUP(G1011,Follow[CODRASTREIO],Follow[STATUS]),"-"))</f>
        <v>ENTREGUE</v>
      </c>
      <c r="AJ1011" s="9">
        <f ca="1">IF('Banco de Dados'!$AI1011="ENTREGUE",_xlfn.XLOOKUP('Banco de Dados'!$G1011,Follow[CODRASTREIO],Follow[DATAATUALIZAÇÃO]),"-")</f>
        <v>45712</v>
      </c>
      <c r="AK1011" s="132" t="str">
        <f ca="1"/>
        <v>-</v>
      </c>
      <c r="AL1011" s="35"/>
      <c r="AM1011" s="109" cm="1">
        <f t="array" aca="1" ref="AM1011" ca="1">IF('Banco de Dados'!$AK1011&lt;&gt;"-",_xlfn.IFS('Banco de Dados'!$A1011="bv",IF('Banco de Dados'!$E1011&lt;45641,ROUND(SUM('Banco de Dados'!$R1011*_xlfn.XLOOKUP('Banco de Dados'!$P1011,Sku!B:B,Sku!#REF!)*20%),2),ROUND(SUM('Banco de Dados'!$R1011*_xlfn.XLOOKUP('Banco de Dados'!$P1011,Sku!B:B,Sku!H:H)*20%),2)),'Banco de Dados'!$A1011="GO",ROUND(_xlfn.XLOOKUP('Banco de Dados'!$P1011,Sku!C:C,Sku!H:H),2),'Banco de Dados'!$A1011="MEI",ROUND(_xlfn.XLOOKUP('Banco de Dados'!$P1011,Sku!D:D,Sku!H:H),2)),0)</f>
        <v>0</v>
      </c>
      <c r="AN1011" s="109">
        <f ca="1">IF('Banco de Dados'!$AK1011&lt;&gt;"-",IF('Banco de Dados'!$F1011&lt;&gt;"-",_xlfn.XLOOKUP(IFERROR(IFERROR(IFERROR(VALUE(SUBSTITUTE(MID(_xlfn.TEXTAFTER('Banco de Dados'!$F1011,"Data do Pedido:
",1),1,10),"-","/")),VALUE(SUBSTITUTE(MID(_xlfn.TEXTAFTER('Banco de Dados'!$F1011,"Order date:
",1),1,10),"-","/"))),VALUE(SUBSTITUTE(MID(_xlfn.TEXTAFTER('Banco de Dados'!$F1011,"Fecha de pedido:
",1),1,10),"-","/"))),"-"),SMS!A:A,SMS!K:K),0),0)</f>
        <v>0</v>
      </c>
      <c r="AO1011" s="109">
        <f ca="1">IF('Banco de Dados'!$AK1011&lt;&gt;"-",IF('Banco de Dados'!$F1011&lt;&gt;"-",IFERROR(_xlfn.XLOOKUP(_xlfn.CONCAT('Banco de Dados'!$A1011,IFERROR(IFERROR(VALUE(SUBSTITUTE(MID(_xlfn.TEXTAFTER('Banco de Dados'!$F1011,"Data do Pedido:
",1),1,10),"-","/")),VALUE(SUBSTITUTE(MID(_xlfn.TEXTAFTER('Banco de Dados'!$F1011,"Order date:
",1),1,10),"-","/"))),0)),ProxyDD[Chave],ProxyDD[Valor por pedido]),PROXY!$P$2),0),0)</f>
        <v>0</v>
      </c>
      <c r="AP1011" s="28">
        <f ca="1">IF('Banco de Dados'!$AK1011&lt;&gt;"-",IF('Banco de Dados'!$AL1011="NÃO",IFERROR(VALUE(SUBSTITUTE(_xlfn.TEXTAFTER('Banco de Dados'!$F1011,"BRL ",1),".",",")),0),0),0)</f>
        <v>0</v>
      </c>
      <c r="AQ1011" s="28">
        <f ca="1">SUM('Banco de Dados'!$AM1011:$AP1011)</f>
        <v>0</v>
      </c>
      <c r="AR1011" s="8"/>
      <c r="AY1011" s="8"/>
    </row>
    <row r="1012" spans="1:51">
      <c r="A1012" s="5" t="str">
        <v>BV</v>
      </c>
      <c r="B1012" s="5" t="str">
        <f ca="1"/>
        <v>BV45705</v>
      </c>
      <c r="C1012" s="8" t="str">
        <v>Pedido 999</v>
      </c>
      <c r="D1012" s="9">
        <v>45704</v>
      </c>
      <c r="E1012" s="9">
        <v>45705</v>
      </c>
      <c r="F1012" s="8" t="str">
        <v>PedidoF978</v>
      </c>
      <c r="G1012" s="2" t="str">
        <v>CódRastreio976</v>
      </c>
      <c r="H1012" s="5">
        <v>1</v>
      </c>
      <c r="I1012" s="2" t="str">
        <v>CPF 973</v>
      </c>
      <c r="J1012" s="2" t="str">
        <v>Nome 973</v>
      </c>
      <c r="K1012" s="8" t="str">
        <v>Tel 973</v>
      </c>
      <c r="L1012" s="8" t="str">
        <v>Cep 973</v>
      </c>
      <c r="M1012" s="8" t="str">
        <v>Rua 973</v>
      </c>
      <c r="N1012" s="8" t="str">
        <v>Comp 973</v>
      </c>
      <c r="O1012" s="8" t="str">
        <v>Ventilador Rosa</v>
      </c>
      <c r="P1012" s="8" t="str">
        <v>IF-G2ZQ-79FO</v>
      </c>
      <c r="Q1012" s="4">
        <v>45734</v>
      </c>
      <c r="R1012" s="109">
        <v>78.989999999999995</v>
      </c>
      <c r="S1012" s="11">
        <f ca="1"/>
        <v>78.989999999999995</v>
      </c>
      <c r="T1012" s="28">
        <f ca="1"/>
        <v>10.268699999999999</v>
      </c>
      <c r="U1012" s="11">
        <f ca="1"/>
        <v>68.72</v>
      </c>
      <c r="V1012" s="11">
        <v>13.5</v>
      </c>
      <c r="W1012" s="11">
        <f ca="1"/>
        <v>0.24</v>
      </c>
      <c r="X1012" s="11">
        <f ca="1"/>
        <v>0.39877104377104378</v>
      </c>
      <c r="Y1012" s="11">
        <v>0</v>
      </c>
      <c r="Z1012" s="11">
        <f ca="1"/>
        <v>54.581228956228955</v>
      </c>
      <c r="AA1012" s="11">
        <f ca="1"/>
        <v>27.290614478114477</v>
      </c>
      <c r="AB1012" s="4">
        <f ca="1"/>
        <v>45741</v>
      </c>
      <c r="AC1012" s="4">
        <v>45741</v>
      </c>
      <c r="AD1012" s="9">
        <v>45747</v>
      </c>
      <c r="AE1012" s="9">
        <v>45749</v>
      </c>
      <c r="AF1012" s="4" t="str">
        <f t="shared" ca="1" si="59"/>
        <v>2025 03</v>
      </c>
      <c r="AG1012" s="8" t="str" cm="1">
        <f t="array" ref="AG1012">IFERROR(_xlfn.IFS('Banco de Dados'!#REF!="AG. COMPRA","Em processamento",'Banco de Dados'!#REF!="AG. RASTREIO","Em processamento",'Banco de Dados'!$AE1012&lt;&gt;"-","Faturado",'Banco de Dados'!$AD1012&lt;&gt;"-","Aguardando Pix",'Banco de Dados'!$AC1012&lt;&gt;"-","Pendente"),"Aguardando Liberação")</f>
        <v>Aguardando Liberação</v>
      </c>
      <c r="AH1012" s="5" t="str">
        <f>IF('Banco de Dados'!$F1012="-",_xlfn.CONCAT(PROPER(TEXT(AK1012,"aaaa"))," ",PROPER(TEXT(AK1012,"mm"))),_xlfn.CONCAT(PROPER(TEXT(E1012,"aaaa"))," ",PROPER(TEXT(E1012,"mm"))))</f>
        <v>2025 02</v>
      </c>
      <c r="AI1012" s="9" t="str">
        <f ca="1">IF('Banco de Dados'!$AK1012&lt;&gt;"-","REEMBOLSO",IFERROR(_xlfn.XLOOKUP(G1012,Follow[CODRASTREIO],Follow[STATUS]),"-"))</f>
        <v>ENTREGUE</v>
      </c>
      <c r="AJ1012" s="9">
        <f ca="1">IF('Banco de Dados'!$AI1012="ENTREGUE",_xlfn.XLOOKUP('Banco de Dados'!$G1012,Follow[CODRASTREIO],Follow[DATAATUALIZAÇÃO]),"-")</f>
        <v>45717</v>
      </c>
      <c r="AK1012" s="132" t="str">
        <f ca="1"/>
        <v>-</v>
      </c>
      <c r="AL1012" s="35"/>
      <c r="AM1012" s="109" cm="1">
        <f t="array" aca="1" ref="AM1012" ca="1">IF('Banco de Dados'!$AK1012&lt;&gt;"-",_xlfn.IFS('Banco de Dados'!$A1012="bv",IF('Banco de Dados'!$E1012&lt;45641,ROUND(SUM('Banco de Dados'!$R1012*_xlfn.XLOOKUP('Banco de Dados'!$P1012,Sku!B:B,Sku!#REF!)*20%),2),ROUND(SUM('Banco de Dados'!$R1012*_xlfn.XLOOKUP('Banco de Dados'!$P1012,Sku!B:B,Sku!H:H)*20%),2)),'Banco de Dados'!$A1012="GO",ROUND(_xlfn.XLOOKUP('Banco de Dados'!$P1012,Sku!C:C,Sku!H:H),2),'Banco de Dados'!$A1012="MEI",ROUND(_xlfn.XLOOKUP('Banco de Dados'!$P1012,Sku!D:D,Sku!H:H),2)),0)</f>
        <v>0</v>
      </c>
      <c r="AN1012" s="109">
        <f ca="1">IF('Banco de Dados'!$AK1012&lt;&gt;"-",IF('Banco de Dados'!$F1012&lt;&gt;"-",_xlfn.XLOOKUP(IFERROR(IFERROR(IFERROR(VALUE(SUBSTITUTE(MID(_xlfn.TEXTAFTER('Banco de Dados'!$F1012,"Data do Pedido:
",1),1,10),"-","/")),VALUE(SUBSTITUTE(MID(_xlfn.TEXTAFTER('Banco de Dados'!$F1012,"Order date:
",1),1,10),"-","/"))),VALUE(SUBSTITUTE(MID(_xlfn.TEXTAFTER('Banco de Dados'!$F1012,"Fecha de pedido:
",1),1,10),"-","/"))),"-"),SMS!A:A,SMS!K:K),0),0)</f>
        <v>0</v>
      </c>
      <c r="AO1012" s="109">
        <f ca="1">IF('Banco de Dados'!$AK1012&lt;&gt;"-",IF('Banco de Dados'!$F1012&lt;&gt;"-",IFERROR(_xlfn.XLOOKUP(_xlfn.CONCAT('Banco de Dados'!$A1012,IFERROR(IFERROR(VALUE(SUBSTITUTE(MID(_xlfn.TEXTAFTER('Banco de Dados'!$F1012,"Data do Pedido:
",1),1,10),"-","/")),VALUE(SUBSTITUTE(MID(_xlfn.TEXTAFTER('Banco de Dados'!$F1012,"Order date:
",1),1,10),"-","/"))),0)),ProxyDD[Chave],ProxyDD[Valor por pedido]),PROXY!$P$2),0),0)</f>
        <v>0</v>
      </c>
      <c r="AP1012" s="28">
        <f ca="1">IF('Banco de Dados'!$AK1012&lt;&gt;"-",IF('Banco de Dados'!$AL1012="NÃO",IFERROR(VALUE(SUBSTITUTE(_xlfn.TEXTAFTER('Banco de Dados'!$F1012,"BRL ",1),".",",")),0),0),0)</f>
        <v>0</v>
      </c>
      <c r="AQ1012" s="28">
        <f ca="1">SUM('Banco de Dados'!$AM1012:$AP1012)</f>
        <v>0</v>
      </c>
      <c r="AR1012" s="8"/>
      <c r="AY1012" s="8"/>
    </row>
    <row r="1013" spans="1:51">
      <c r="A1013" s="5" t="str">
        <v>BV</v>
      </c>
      <c r="B1013" s="5" t="str">
        <f ca="1"/>
        <v>BV45705</v>
      </c>
      <c r="C1013" s="8" t="str">
        <v>Pedido 1000</v>
      </c>
      <c r="D1013" s="9">
        <v>45704</v>
      </c>
      <c r="E1013" s="9">
        <v>45705</v>
      </c>
      <c r="F1013" s="8" t="str">
        <v>PedidoF979</v>
      </c>
      <c r="G1013" s="2" t="str">
        <v>CódRastreio977</v>
      </c>
      <c r="H1013" s="5">
        <v>1</v>
      </c>
      <c r="I1013" s="2" t="str">
        <v>CPF 974</v>
      </c>
      <c r="J1013" s="2" t="str">
        <v>Nome 974</v>
      </c>
      <c r="K1013" s="8" t="str">
        <v>Tel 974</v>
      </c>
      <c r="L1013" s="8" t="str">
        <v>Cep 974</v>
      </c>
      <c r="M1013" s="8" t="str">
        <v>Rua 974</v>
      </c>
      <c r="N1013" s="8" t="str">
        <v>Comp 974</v>
      </c>
      <c r="O1013" s="8" t="str">
        <v>Lampada Led</v>
      </c>
      <c r="P1013" s="8" t="str">
        <v>RB-W251-UXV2</v>
      </c>
      <c r="Q1013" s="4">
        <v>45717</v>
      </c>
      <c r="R1013" s="109">
        <v>30.99</v>
      </c>
      <c r="S1013" s="11">
        <f ca="1"/>
        <v>30.99</v>
      </c>
      <c r="T1013" s="28">
        <f ca="1"/>
        <v>4.0286999999999997</v>
      </c>
      <c r="U1013" s="11">
        <f ca="1"/>
        <v>26.96</v>
      </c>
      <c r="V1013" s="11">
        <v>13.2</v>
      </c>
      <c r="W1013" s="11">
        <f ca="1"/>
        <v>0.24</v>
      </c>
      <c r="X1013" s="11">
        <f ca="1"/>
        <v>0.39877104377104378</v>
      </c>
      <c r="Y1013" s="11">
        <v>0</v>
      </c>
      <c r="Z1013" s="11">
        <f ca="1"/>
        <v>13.121228956228958</v>
      </c>
      <c r="AA1013" s="11">
        <f ca="1"/>
        <v>6.5606144781144788</v>
      </c>
      <c r="AB1013" s="4">
        <f ca="1"/>
        <v>45724</v>
      </c>
      <c r="AC1013" s="4">
        <v>45724</v>
      </c>
      <c r="AD1013" s="9">
        <v>45730</v>
      </c>
      <c r="AE1013" s="9">
        <v>45733</v>
      </c>
      <c r="AF1013" s="4" t="str">
        <f t="shared" ca="1" si="59"/>
        <v>2025 03</v>
      </c>
      <c r="AG1013" s="8" t="str" cm="1">
        <f t="array" ref="AG1013">IFERROR(_xlfn.IFS('Banco de Dados'!#REF!="AG. COMPRA","Em processamento",'Banco de Dados'!#REF!="AG. RASTREIO","Em processamento",'Banco de Dados'!$AE1013&lt;&gt;"-","Faturado",'Banco de Dados'!$AD1013&lt;&gt;"-","Aguardando Pix",'Banco de Dados'!$AC1013&lt;&gt;"-","Pendente"),"Aguardando Liberação")</f>
        <v>Aguardando Liberação</v>
      </c>
      <c r="AH1013" s="5" t="str">
        <f>IF('Banco de Dados'!$F1013="-",_xlfn.CONCAT(PROPER(TEXT(AK1013,"aaaa"))," ",PROPER(TEXT(AK1013,"mm"))),_xlfn.CONCAT(PROPER(TEXT(E1013,"aaaa"))," ",PROPER(TEXT(E1013,"mm"))))</f>
        <v>2025 02</v>
      </c>
      <c r="AI1013" s="9" t="str">
        <f ca="1">IF('Banco de Dados'!$AK1013&lt;&gt;"-","REEMBOLSO",IFERROR(_xlfn.XLOOKUP(G1013,Follow[CODRASTREIO],Follow[STATUS]),"-"))</f>
        <v>ENTREGUE</v>
      </c>
      <c r="AJ1013" s="9">
        <f ca="1">IF('Banco de Dados'!$AI1013="ENTREGUE",_xlfn.XLOOKUP('Banco de Dados'!$G1013,Follow[CODRASTREIO],Follow[DATAATUALIZAÇÃO]),"-")</f>
        <v>45709</v>
      </c>
      <c r="AK1013" s="132" t="str">
        <f ca="1"/>
        <v>-</v>
      </c>
      <c r="AL1013" s="35"/>
      <c r="AM1013" s="109" cm="1">
        <f t="array" aca="1" ref="AM1013" ca="1">IF('Banco de Dados'!$AK1013&lt;&gt;"-",_xlfn.IFS('Banco de Dados'!$A1013="bv",IF('Banco de Dados'!$E1013&lt;45641,ROUND(SUM('Banco de Dados'!$R1013*_xlfn.XLOOKUP('Banco de Dados'!$P1013,Sku!B:B,Sku!#REF!)*20%),2),ROUND(SUM('Banco de Dados'!$R1013*_xlfn.XLOOKUP('Banco de Dados'!$P1013,Sku!B:B,Sku!H:H)*20%),2)),'Banco de Dados'!$A1013="GO",ROUND(_xlfn.XLOOKUP('Banco de Dados'!$P1013,Sku!C:C,Sku!H:H),2),'Banco de Dados'!$A1013="MEI",ROUND(_xlfn.XLOOKUP('Banco de Dados'!$P1013,Sku!D:D,Sku!H:H),2)),0)</f>
        <v>0</v>
      </c>
      <c r="AN1013" s="109">
        <f ca="1">IF('Banco de Dados'!$AK1013&lt;&gt;"-",IF('Banco de Dados'!$F1013&lt;&gt;"-",_xlfn.XLOOKUP(IFERROR(IFERROR(IFERROR(VALUE(SUBSTITUTE(MID(_xlfn.TEXTAFTER('Banco de Dados'!$F1013,"Data do Pedido:
",1),1,10),"-","/")),VALUE(SUBSTITUTE(MID(_xlfn.TEXTAFTER('Banco de Dados'!$F1013,"Order date:
",1),1,10),"-","/"))),VALUE(SUBSTITUTE(MID(_xlfn.TEXTAFTER('Banco de Dados'!$F1013,"Fecha de pedido:
",1),1,10),"-","/"))),"-"),SMS!A:A,SMS!K:K),0),0)</f>
        <v>0</v>
      </c>
      <c r="AO1013" s="109">
        <f ca="1">IF('Banco de Dados'!$AK1013&lt;&gt;"-",IF('Banco de Dados'!$F1013&lt;&gt;"-",IFERROR(_xlfn.XLOOKUP(_xlfn.CONCAT('Banco de Dados'!$A1013,IFERROR(IFERROR(VALUE(SUBSTITUTE(MID(_xlfn.TEXTAFTER('Banco de Dados'!$F1013,"Data do Pedido:
",1),1,10),"-","/")),VALUE(SUBSTITUTE(MID(_xlfn.TEXTAFTER('Banco de Dados'!$F1013,"Order date:
",1),1,10),"-","/"))),0)),ProxyDD[Chave],ProxyDD[Valor por pedido]),PROXY!$P$2),0),0)</f>
        <v>0</v>
      </c>
      <c r="AP1013" s="28">
        <f ca="1">IF('Banco de Dados'!$AK1013&lt;&gt;"-",IF('Banco de Dados'!$AL1013="NÃO",IFERROR(VALUE(SUBSTITUTE(_xlfn.TEXTAFTER('Banco de Dados'!$F1013,"BRL ",1),".",",")),0),0),0)</f>
        <v>0</v>
      </c>
      <c r="AQ1013" s="28">
        <f ca="1">SUM('Banco de Dados'!$AM1013:$AP1013)</f>
        <v>0</v>
      </c>
      <c r="AR1013" s="8"/>
      <c r="AY1013" s="8"/>
    </row>
    <row r="1014" spans="1:51">
      <c r="A1014" s="5" t="str">
        <v>MEI</v>
      </c>
      <c r="B1014" s="5" t="str">
        <f ca="1"/>
        <v>MEI45705</v>
      </c>
      <c r="C1014" s="8" t="str">
        <v>Pedido 1001</v>
      </c>
      <c r="D1014" s="187">
        <v>45703</v>
      </c>
      <c r="E1014" s="9">
        <v>45705</v>
      </c>
      <c r="F1014" s="8" t="str">
        <v>PedidoF980</v>
      </c>
      <c r="G1014" s="2" t="str">
        <v>CódRastreio978</v>
      </c>
      <c r="H1014" s="5">
        <v>1</v>
      </c>
      <c r="I1014" s="2" t="str">
        <v>CPF 975</v>
      </c>
      <c r="J1014" s="2" t="str">
        <v>Nome 975</v>
      </c>
      <c r="K1014" s="8" t="str">
        <v>Tel 975</v>
      </c>
      <c r="L1014" s="8" t="str">
        <v>Cep 975</v>
      </c>
      <c r="M1014" s="8" t="str">
        <v>Rua 975</v>
      </c>
      <c r="N1014" s="8" t="str">
        <v>Comp 975</v>
      </c>
      <c r="O1014" s="8" t="str">
        <v>Ventilador Preto</v>
      </c>
      <c r="P1014" s="8" t="str">
        <v>WU-SS4J-LFOH</v>
      </c>
      <c r="Q1014" s="4">
        <v>45728</v>
      </c>
      <c r="R1014" s="109">
        <v>65.989999999999995</v>
      </c>
      <c r="S1014" s="11">
        <f ca="1"/>
        <v>65.989999999999995</v>
      </c>
      <c r="T1014" s="28">
        <f ca="1"/>
        <v>8.5786999999999995</v>
      </c>
      <c r="U1014" s="11">
        <f ca="1"/>
        <v>57.41</v>
      </c>
      <c r="V1014" s="11">
        <v>13.21</v>
      </c>
      <c r="W1014" s="11">
        <f ca="1"/>
        <v>0.2</v>
      </c>
      <c r="X1014" s="11">
        <f ca="1"/>
        <v>0.39877104377104378</v>
      </c>
      <c r="Y1014" s="11">
        <v>0</v>
      </c>
      <c r="Z1014" s="11">
        <f ca="1"/>
        <v>43.601228956228951</v>
      </c>
      <c r="AA1014" s="11">
        <f ca="1"/>
        <v>21.800614478114476</v>
      </c>
      <c r="AB1014" s="4">
        <f ca="1"/>
        <v>45735</v>
      </c>
      <c r="AC1014" s="4">
        <v>45735</v>
      </c>
      <c r="AD1014" s="9">
        <v>45747</v>
      </c>
      <c r="AE1014" s="9">
        <v>45749</v>
      </c>
      <c r="AF1014" s="4" t="str">
        <f t="shared" ref="AF1014:AF1025" ca="1" si="60">_xlfn.CONCAT(PROPER(TEXT(AB1014,"aaaa"))," ",PROPER(TEXT(AB1014,"mm")))</f>
        <v>2025 03</v>
      </c>
      <c r="AG1014" s="8" t="str" cm="1">
        <f t="array" ref="AG1014">IFERROR(_xlfn.IFS('Banco de Dados'!#REF!="AG. COMPRA","Em processamento",'Banco de Dados'!#REF!="AG. RASTREIO","Em processamento",'Banco de Dados'!$AE1014&lt;&gt;"-","Faturado",'Banco de Dados'!$AD1014&lt;&gt;"-","Aguardando Pix",'Banco de Dados'!$AC1014&lt;&gt;"-","Pendente"),"Aguardando Liberação")</f>
        <v>Aguardando Liberação</v>
      </c>
      <c r="AH1014" s="5" t="str">
        <f>IF('Banco de Dados'!$F1014="-",_xlfn.CONCAT(PROPER(TEXT(AK1014,"aaaa"))," ",PROPER(TEXT(AK1014,"mm"))),_xlfn.CONCAT(PROPER(TEXT(E1014,"aaaa"))," ",PROPER(TEXT(E1014,"mm"))))</f>
        <v>2025 02</v>
      </c>
      <c r="AI1014" s="9" t="str">
        <f ca="1">IF('Banco de Dados'!$AK1014&lt;&gt;"-","REEMBOLSO",IFERROR(_xlfn.XLOOKUP(G1014,Follow[CODRASTREIO],Follow[STATUS]),"-"))</f>
        <v>ENTREGUE</v>
      </c>
      <c r="AJ1014" s="9">
        <f ca="1">IF('Banco de Dados'!$AI1014="ENTREGUE",_xlfn.XLOOKUP('Banco de Dados'!$G1014,Follow[CODRASTREIO],Follow[DATAATUALIZAÇÃO]),"-")</f>
        <v>45722</v>
      </c>
      <c r="AK1014" s="132" t="str">
        <f ca="1"/>
        <v>-</v>
      </c>
      <c r="AL1014" s="35"/>
      <c r="AM1014" s="109" cm="1">
        <f t="array" aca="1" ref="AM1014" ca="1">IF('Banco de Dados'!$AK1014&lt;&gt;"-",_xlfn.IFS('Banco de Dados'!$A1014="bv",IF('Banco de Dados'!$E1014&lt;45641,ROUND(SUM('Banco de Dados'!$R1014*_xlfn.XLOOKUP('Banco de Dados'!$P1014,Sku!B:B,Sku!#REF!)*20%),2),ROUND(SUM('Banco de Dados'!$R1014*_xlfn.XLOOKUP('Banco de Dados'!$P1014,Sku!B:B,Sku!H:H)*20%),2)),'Banco de Dados'!$A1014="GO",ROUND(SUM('Banco de Dados'!$R1014*_xlfn.XLOOKUP('Banco de Dados'!$P1014,Sku!C:C,Sku!H:H)*20%),2),'Banco de Dados'!$A1014="MEI",ROUND(SUM('Banco de Dados'!$R1014*_xlfn.XLOOKUP('Banco de Dados'!$P1014,Sku!D:D,Sku!H:H)*20%),2)),0)</f>
        <v>0</v>
      </c>
      <c r="AN1014" s="109">
        <f ca="1">IF('Banco de Dados'!$AK1014&lt;&gt;"-",IF('Banco de Dados'!$F1014&lt;&gt;"-",_xlfn.XLOOKUP(IFERROR(IFERROR(IFERROR(VALUE(SUBSTITUTE(MID(_xlfn.TEXTAFTER('Banco de Dados'!$F1014,"Data do Pedido:
",1),1,10),"-","/")),VALUE(SUBSTITUTE(MID(_xlfn.TEXTAFTER('Banco de Dados'!$F1014,"Order date:
",1),1,10),"-","/"))),VALUE(SUBSTITUTE(MID(_xlfn.TEXTAFTER('Banco de Dados'!$F1014,"Fecha de pedido:
",1),1,10),"-","/"))),"-"),SMS!A:A,SMS!K:K),0),0)</f>
        <v>0</v>
      </c>
      <c r="AO1014" s="109">
        <f ca="1">IF('Banco de Dados'!$AK1014&lt;&gt;"-",IF('Banco de Dados'!$F1014&lt;&gt;"-",IFERROR(_xlfn.XLOOKUP(_xlfn.CONCAT('Banco de Dados'!$A1014,IFERROR(IFERROR(VALUE(SUBSTITUTE(MID(_xlfn.TEXTAFTER('Banco de Dados'!$F1014,"Data do Pedido:
",1),1,10),"-","/")),VALUE(SUBSTITUTE(MID(_xlfn.TEXTAFTER('Banco de Dados'!$F1014,"Order date:
",1),1,10),"-","/"))),0)),ProxyDD[Chave],ProxyDD[Valor por pedido]),PROXY!$P$2),0),0)</f>
        <v>0</v>
      </c>
      <c r="AP1014" s="28">
        <f ca="1">IF('Banco de Dados'!$AK1014&lt;&gt;"-",IF('Banco de Dados'!$AL1014="NÃO",IFERROR(VALUE(SUBSTITUTE(_xlfn.TEXTAFTER('Banco de Dados'!$F1014,"BRL ",1),".",",")),0),0),0)</f>
        <v>0</v>
      </c>
      <c r="AQ1014" s="28">
        <f ca="1">SUM('Banco de Dados'!$AM1014:$AP1014)</f>
        <v>0</v>
      </c>
      <c r="AR1014" s="8"/>
      <c r="AY1014" s="8"/>
    </row>
    <row r="1015" spans="1:51">
      <c r="A1015" s="5" t="str">
        <v>MEI</v>
      </c>
      <c r="B1015" s="5" t="str">
        <f ca="1"/>
        <v>MEI45705</v>
      </c>
      <c r="C1015" s="8" t="str">
        <v>Pedido 1002</v>
      </c>
      <c r="D1015" s="187">
        <v>45703</v>
      </c>
      <c r="E1015" s="9">
        <v>45705</v>
      </c>
      <c r="F1015" s="8" t="str">
        <v>PedidoF981</v>
      </c>
      <c r="G1015" s="2" t="str">
        <v>CódRastreio979</v>
      </c>
      <c r="H1015" s="5">
        <v>1</v>
      </c>
      <c r="I1015" s="2" t="str">
        <v>CPF 976</v>
      </c>
      <c r="J1015" s="2" t="str">
        <v>Nome 976</v>
      </c>
      <c r="K1015" s="8" t="str">
        <v>Tel 976</v>
      </c>
      <c r="L1015" s="8" t="str">
        <v>Cep 976</v>
      </c>
      <c r="M1015" s="8" t="str">
        <v>Rua 976</v>
      </c>
      <c r="N1015" s="8" t="str">
        <v>Comp 976</v>
      </c>
      <c r="O1015" s="8" t="str">
        <v>Ventilador Preto</v>
      </c>
      <c r="P1015" s="8" t="str">
        <v>WU-SS4J-LFOH</v>
      </c>
      <c r="Q1015" s="4">
        <v>45728</v>
      </c>
      <c r="R1015" s="109">
        <v>65.989999999999995</v>
      </c>
      <c r="S1015" s="11">
        <f ca="1"/>
        <v>0</v>
      </c>
      <c r="T1015" s="28">
        <f ca="1"/>
        <v>0</v>
      </c>
      <c r="U1015" s="11">
        <f ca="1"/>
        <v>0</v>
      </c>
      <c r="V1015" s="11">
        <v>0</v>
      </c>
      <c r="W1015" s="11">
        <f ca="1"/>
        <v>0</v>
      </c>
      <c r="X1015" s="11">
        <f ca="1"/>
        <v>0.39877104377104378</v>
      </c>
      <c r="Y1015" s="11">
        <v>0</v>
      </c>
      <c r="Z1015" s="11">
        <f ca="1"/>
        <v>-0.39877104377104378</v>
      </c>
      <c r="AA1015" s="11">
        <f ca="1"/>
        <v>-0.19938552188552189</v>
      </c>
      <c r="AB1015" s="4">
        <f ca="1"/>
        <v>45735</v>
      </c>
      <c r="AC1015" s="4">
        <v>45735</v>
      </c>
      <c r="AD1015" s="9">
        <v>45747</v>
      </c>
      <c r="AE1015" s="9">
        <v>45749</v>
      </c>
      <c r="AF1015" s="4" t="str">
        <f t="shared" ca="1" si="60"/>
        <v>2025 03</v>
      </c>
      <c r="AG1015" s="8" t="str" cm="1">
        <f t="array" ref="AG1015">IFERROR(_xlfn.IFS('Banco de Dados'!#REF!="AG. COMPRA","Em processamento",'Banco de Dados'!#REF!="AG. RASTREIO","Em processamento",'Banco de Dados'!$AE1015&lt;&gt;"-","Faturado",'Banco de Dados'!$AD1015&lt;&gt;"-","Aguardando Pix",'Banco de Dados'!$AC1015&lt;&gt;"-","Pendente"),"Aguardando Liberação")</f>
        <v>Aguardando Liberação</v>
      </c>
      <c r="AH1015" s="5" t="str">
        <f>IF('Banco de Dados'!$F1015="-",_xlfn.CONCAT(PROPER(TEXT(AK1015,"aaaa"))," ",PROPER(TEXT(AK1015,"mm"))),_xlfn.CONCAT(PROPER(TEXT(E1015,"aaaa"))," ",PROPER(TEXT(E1015,"mm"))))</f>
        <v>2025 02</v>
      </c>
      <c r="AI1015" s="9" t="str">
        <f ca="1">IF('Banco de Dados'!$AK1015&lt;&gt;"-","REEMBOLSO",IFERROR(_xlfn.XLOOKUP(G1015,Follow[CODRASTREIO],Follow[STATUS]),"-"))</f>
        <v>REEMBOLSO</v>
      </c>
      <c r="AJ1015" s="9" t="str">
        <f ca="1">IF('Banco de Dados'!$AI1015="ENTREGUE",_xlfn.XLOOKUP('Banco de Dados'!$G1015,Follow[CODRASTREIO],Follow[DATAATUALIZAÇÃO]),"-")</f>
        <v>-</v>
      </c>
      <c r="AK1015" s="132">
        <f ca="1"/>
        <v>45723</v>
      </c>
      <c r="AL1015" s="35"/>
      <c r="AM1015" s="109" cm="1">
        <f t="array" aca="1" ref="AM1015" ca="1">IF('Banco de Dados'!$AK1015&lt;&gt;"-",_xlfn.IFS('Banco de Dados'!$A1015="bv",IF('Banco de Dados'!$E1015&lt;45641,ROUND(SUM('Banco de Dados'!$R1015*_xlfn.XLOOKUP('Banco de Dados'!$P1015,Sku!B:B,Sku!#REF!)*20%),2),ROUND(SUM('Banco de Dados'!$R1015*_xlfn.XLOOKUP('Banco de Dados'!$P1015,Sku!B:B,Sku!H:H)*20%),2)),'Banco de Dados'!$A1015="GO",ROUND(SUM('Banco de Dados'!$R1015*_xlfn.XLOOKUP('Banco de Dados'!$P1015,Sku!C:C,Sku!H:H)*20%),2),'Banco de Dados'!$A1015="MEI",ROUND(SUM('Banco de Dados'!$R1015*_xlfn.XLOOKUP('Banco de Dados'!$P1015,Sku!D:D,Sku!H:H)*20%),2)),0)</f>
        <v>1.72</v>
      </c>
      <c r="AN1015" s="109" t="e">
        <f ca="1">IF('Banco de Dados'!$AK1015&lt;&gt;"-",IF('Banco de Dados'!$F1015&lt;&gt;"-",_xlfn.XLOOKUP(IFERROR(IFERROR(IFERROR(VALUE(SUBSTITUTE(MID(_xlfn.TEXTAFTER('Banco de Dados'!$F1015,"Data do Pedido:
",1),1,10),"-","/")),VALUE(SUBSTITUTE(MID(_xlfn.TEXTAFTER('Banco de Dados'!$F1015,"Order date:
",1),1,10),"-","/"))),VALUE(SUBSTITUTE(MID(_xlfn.TEXTAFTER('Banco de Dados'!$F1015,"Fecha de pedido:
",1),1,10),"-","/"))),"-"),SMS!A:A,SMS!K:K),0),0)</f>
        <v>#N/A</v>
      </c>
      <c r="AO1015" s="109">
        <f ca="1">IF('Banco de Dados'!$AK1015&lt;&gt;"-",IF('Banco de Dados'!$F1015&lt;&gt;"-",IFERROR(_xlfn.XLOOKUP(_xlfn.CONCAT('Banco de Dados'!$A1015,IFERROR(IFERROR(VALUE(SUBSTITUTE(MID(_xlfn.TEXTAFTER('Banco de Dados'!$F1015,"Data do Pedido:
",1),1,10),"-","/")),VALUE(SUBSTITUTE(MID(_xlfn.TEXTAFTER('Banco de Dados'!$F1015,"Order date:
",1),1,10),"-","/"))),0)),ProxyDD[Chave],ProxyDD[Valor por pedido]),PROXY!$P$2),0),0)</f>
        <v>0.39877104377104378</v>
      </c>
      <c r="AP1015" s="28">
        <f ca="1">IF('Banco de Dados'!$AK1015&lt;&gt;"-",IF('Banco de Dados'!$AL1015="NÃO",IFERROR(VALUE(SUBSTITUTE(_xlfn.TEXTAFTER('Banco de Dados'!$F1015,"BRL ",1),".",",")),0),0),0)</f>
        <v>0</v>
      </c>
      <c r="AQ1015" s="28" t="e">
        <f ca="1">SUM('Banco de Dados'!$AM1015:$AP1015)</f>
        <v>#N/A</v>
      </c>
      <c r="AR1015" s="8"/>
      <c r="AY1015" s="8"/>
    </row>
    <row r="1016" spans="1:51">
      <c r="A1016" s="5" t="str">
        <v>MEI</v>
      </c>
      <c r="B1016" s="5" t="str">
        <f ca="1"/>
        <v>MEI45705</v>
      </c>
      <c r="C1016" s="8" t="str">
        <v>Pedido 1003</v>
      </c>
      <c r="D1016" s="187">
        <v>45703</v>
      </c>
      <c r="E1016" s="9">
        <v>45705</v>
      </c>
      <c r="F1016" s="8" t="str">
        <v>PedidoF982</v>
      </c>
      <c r="G1016" s="2" t="str">
        <v>CódRastreio980</v>
      </c>
      <c r="H1016" s="5">
        <v>1</v>
      </c>
      <c r="I1016" s="2" t="str">
        <v>CPF 977</v>
      </c>
      <c r="J1016" s="2" t="str">
        <v>Nome 977</v>
      </c>
      <c r="K1016" s="8" t="str">
        <v>Tel 977</v>
      </c>
      <c r="L1016" s="8" t="str">
        <v>Cep 977</v>
      </c>
      <c r="M1016" s="8" t="str">
        <v>Rua 977</v>
      </c>
      <c r="N1016" s="8" t="str">
        <v>Comp 977</v>
      </c>
      <c r="O1016" s="8" t="str">
        <v>Ventilador Preto</v>
      </c>
      <c r="P1016" s="8" t="str">
        <v>WU-SS4J-LFOH</v>
      </c>
      <c r="Q1016" s="4">
        <v>45734</v>
      </c>
      <c r="R1016" s="109">
        <v>65.989999999999995</v>
      </c>
      <c r="S1016" s="11">
        <f ca="1"/>
        <v>65.989999999999995</v>
      </c>
      <c r="T1016" s="28">
        <f ca="1"/>
        <v>8.5786999999999995</v>
      </c>
      <c r="U1016" s="11">
        <f ca="1"/>
        <v>57.41</v>
      </c>
      <c r="V1016" s="11">
        <v>13.21</v>
      </c>
      <c r="W1016" s="11">
        <f ca="1"/>
        <v>0.2</v>
      </c>
      <c r="X1016" s="11">
        <f ca="1"/>
        <v>0.39877104377104378</v>
      </c>
      <c r="Y1016" s="11">
        <v>0</v>
      </c>
      <c r="Z1016" s="11">
        <f ca="1"/>
        <v>43.601228956228951</v>
      </c>
      <c r="AA1016" s="11">
        <f ca="1"/>
        <v>21.800614478114476</v>
      </c>
      <c r="AB1016" s="4">
        <f ca="1"/>
        <v>45741</v>
      </c>
      <c r="AC1016" s="4">
        <v>45741</v>
      </c>
      <c r="AD1016" s="9">
        <v>45747</v>
      </c>
      <c r="AE1016" s="9">
        <v>45749</v>
      </c>
      <c r="AF1016" s="4" t="str">
        <f t="shared" ca="1" si="60"/>
        <v>2025 03</v>
      </c>
      <c r="AG1016" s="8" t="str" cm="1">
        <f t="array" ref="AG1016">IFERROR(_xlfn.IFS('Banco de Dados'!#REF!="AG. COMPRA","Em processamento",'Banco de Dados'!#REF!="AG. RASTREIO","Em processamento",'Banco de Dados'!$AE1016&lt;&gt;"-","Faturado",'Banco de Dados'!$AD1016&lt;&gt;"-","Aguardando Pix",'Banco de Dados'!$AC1016&lt;&gt;"-","Pendente"),"Aguardando Liberação")</f>
        <v>Aguardando Liberação</v>
      </c>
      <c r="AH1016" s="5" t="str">
        <f>IF('Banco de Dados'!$F1016="-",_xlfn.CONCAT(PROPER(TEXT(AK1016,"aaaa"))," ",PROPER(TEXT(AK1016,"mm"))),_xlfn.CONCAT(PROPER(TEXT(E1016,"aaaa"))," ",PROPER(TEXT(E1016,"mm"))))</f>
        <v>2025 02</v>
      </c>
      <c r="AI1016" s="9" t="str">
        <f ca="1">IF('Banco de Dados'!$AK1016&lt;&gt;"-","REEMBOLSO",IFERROR(_xlfn.XLOOKUP(G1016,Follow[CODRASTREIO],Follow[STATUS]),"-"))</f>
        <v>ENTREGUE</v>
      </c>
      <c r="AJ1016" s="9">
        <f ca="1">IF('Banco de Dados'!$AI1016="ENTREGUE",_xlfn.XLOOKUP('Banco de Dados'!$G1016,Follow[CODRASTREIO],Follow[DATAATUALIZAÇÃO]),"-")</f>
        <v>45730</v>
      </c>
      <c r="AK1016" s="132" t="str">
        <f ca="1"/>
        <v>-</v>
      </c>
      <c r="AL1016" s="35"/>
      <c r="AM1016" s="109" cm="1">
        <f t="array" aca="1" ref="AM1016" ca="1">IF('Banco de Dados'!$AK1016&lt;&gt;"-",_xlfn.IFS('Banco de Dados'!$A1016="bv",IF('Banco de Dados'!$E1016&lt;45641,ROUND(SUM('Banco de Dados'!$R1016*_xlfn.XLOOKUP('Banco de Dados'!$P1016,Sku!B:B,Sku!#REF!)*20%),2),ROUND(SUM('Banco de Dados'!$R1016*_xlfn.XLOOKUP('Banco de Dados'!$P1016,Sku!B:B,Sku!H:H)*20%),2)),'Banco de Dados'!$A1016="GO",ROUND(SUM('Banco de Dados'!$R1016*_xlfn.XLOOKUP('Banco de Dados'!$P1016,Sku!C:C,Sku!H:H)*20%),2),'Banco de Dados'!$A1016="MEI",ROUND(SUM('Banco de Dados'!$R1016*_xlfn.XLOOKUP('Banco de Dados'!$P1016,Sku!D:D,Sku!H:H)*20%),2)),0)</f>
        <v>0</v>
      </c>
      <c r="AN1016" s="109">
        <f ca="1">IF('Banco de Dados'!$AK1016&lt;&gt;"-",IF('Banco de Dados'!$F1016&lt;&gt;"-",_xlfn.XLOOKUP(IFERROR(IFERROR(IFERROR(VALUE(SUBSTITUTE(MID(_xlfn.TEXTAFTER('Banco de Dados'!$F1016,"Data do Pedido:
",1),1,10),"-","/")),VALUE(SUBSTITUTE(MID(_xlfn.TEXTAFTER('Banco de Dados'!$F1016,"Order date:
",1),1,10),"-","/"))),VALUE(SUBSTITUTE(MID(_xlfn.TEXTAFTER('Banco de Dados'!$F1016,"Fecha de pedido:
",1),1,10),"-","/"))),"-"),SMS!A:A,SMS!K:K),0),0)</f>
        <v>0</v>
      </c>
      <c r="AO1016" s="109">
        <f ca="1">IF('Banco de Dados'!$AK1016&lt;&gt;"-",IF('Banco de Dados'!$F1016&lt;&gt;"-",IFERROR(_xlfn.XLOOKUP(_xlfn.CONCAT('Banco de Dados'!$A1016,IFERROR(IFERROR(VALUE(SUBSTITUTE(MID(_xlfn.TEXTAFTER('Banco de Dados'!$F1016,"Data do Pedido:
",1),1,10),"-","/")),VALUE(SUBSTITUTE(MID(_xlfn.TEXTAFTER('Banco de Dados'!$F1016,"Order date:
",1),1,10),"-","/"))),0)),ProxyDD[Chave],ProxyDD[Valor por pedido]),PROXY!$P$2),0),0)</f>
        <v>0</v>
      </c>
      <c r="AP1016" s="28">
        <f ca="1">IF('Banco de Dados'!$AK1016&lt;&gt;"-",IF('Banco de Dados'!$AL1016="NÃO",IFERROR(VALUE(SUBSTITUTE(_xlfn.TEXTAFTER('Banco de Dados'!$F1016,"BRL ",1),".",",")),0),0),0)</f>
        <v>0</v>
      </c>
      <c r="AQ1016" s="28">
        <f ca="1">SUM('Banco de Dados'!$AM1016:$AP1016)</f>
        <v>0</v>
      </c>
      <c r="AR1016" s="8"/>
      <c r="AY1016" s="8"/>
    </row>
    <row r="1017" spans="1:51">
      <c r="A1017" s="5" t="str">
        <v>MEI</v>
      </c>
      <c r="B1017" s="5" t="str">
        <f ca="1"/>
        <v>MEI45705</v>
      </c>
      <c r="C1017" s="8" t="str">
        <v>Pedido 1004</v>
      </c>
      <c r="D1017" s="187">
        <v>45703</v>
      </c>
      <c r="E1017" s="9">
        <v>45705</v>
      </c>
      <c r="F1017" s="8" t="str">
        <v>PedidoF983</v>
      </c>
      <c r="G1017" s="2" t="str">
        <v>CódRastreio981</v>
      </c>
      <c r="H1017" s="5">
        <v>1</v>
      </c>
      <c r="I1017" s="2" t="str">
        <v>CPF 978</v>
      </c>
      <c r="J1017" s="2" t="str">
        <v>Nome 978</v>
      </c>
      <c r="K1017" s="8" t="str">
        <v>Tel 978</v>
      </c>
      <c r="L1017" s="8" t="str">
        <v>Cep 978</v>
      </c>
      <c r="M1017" s="8" t="str">
        <v>Rua 978</v>
      </c>
      <c r="N1017" s="8" t="str">
        <v>Comp 978</v>
      </c>
      <c r="O1017" s="8" t="str">
        <v>Ventilador Preto</v>
      </c>
      <c r="P1017" s="8" t="str">
        <v>WU-SS4J-LFOH</v>
      </c>
      <c r="Q1017" s="4">
        <v>45734</v>
      </c>
      <c r="R1017" s="109">
        <v>65.989999999999995</v>
      </c>
      <c r="S1017" s="11">
        <f ca="1"/>
        <v>65.989999999999995</v>
      </c>
      <c r="T1017" s="28">
        <f ca="1"/>
        <v>8.5786999999999995</v>
      </c>
      <c r="U1017" s="11">
        <f ca="1"/>
        <v>57.41</v>
      </c>
      <c r="V1017" s="11">
        <v>13.21</v>
      </c>
      <c r="W1017" s="11">
        <f ca="1"/>
        <v>0.2</v>
      </c>
      <c r="X1017" s="11">
        <f ca="1"/>
        <v>0.39877104377104378</v>
      </c>
      <c r="Y1017" s="11">
        <v>0</v>
      </c>
      <c r="Z1017" s="11">
        <f ca="1"/>
        <v>43.601228956228951</v>
      </c>
      <c r="AA1017" s="11">
        <f ca="1"/>
        <v>21.800614478114476</v>
      </c>
      <c r="AB1017" s="4">
        <f ca="1"/>
        <v>45741</v>
      </c>
      <c r="AC1017" s="4">
        <v>45741</v>
      </c>
      <c r="AD1017" s="9">
        <v>45747</v>
      </c>
      <c r="AE1017" s="9">
        <v>45749</v>
      </c>
      <c r="AF1017" s="4" t="str">
        <f t="shared" ca="1" si="60"/>
        <v>2025 03</v>
      </c>
      <c r="AG1017" s="8" t="str" cm="1">
        <f t="array" ref="AG1017">IFERROR(_xlfn.IFS('Banco de Dados'!#REF!="AG. COMPRA","Em processamento",'Banco de Dados'!#REF!="AG. RASTREIO","Em processamento",'Banco de Dados'!$AE1017&lt;&gt;"-","Faturado",'Banco de Dados'!$AD1017&lt;&gt;"-","Aguardando Pix",'Banco de Dados'!$AC1017&lt;&gt;"-","Pendente"),"Aguardando Liberação")</f>
        <v>Aguardando Liberação</v>
      </c>
      <c r="AH1017" s="5" t="str">
        <f>IF('Banco de Dados'!$F1017="-",_xlfn.CONCAT(PROPER(TEXT(AK1017,"aaaa"))," ",PROPER(TEXT(AK1017,"mm"))),_xlfn.CONCAT(PROPER(TEXT(E1017,"aaaa"))," ",PROPER(TEXT(E1017,"mm"))))</f>
        <v>2025 02</v>
      </c>
      <c r="AI1017" s="9" t="str">
        <f ca="1">IF('Banco de Dados'!$AK1017&lt;&gt;"-","REEMBOLSO",IFERROR(_xlfn.XLOOKUP(G1017,Follow[CODRASTREIO],Follow[STATUS]),"-"))</f>
        <v>ENTREGUE</v>
      </c>
      <c r="AJ1017" s="9">
        <f ca="1">IF('Banco de Dados'!$AI1017="ENTREGUE",_xlfn.XLOOKUP('Banco de Dados'!$G1017,Follow[CODRASTREIO],Follow[DATAATUALIZAÇÃO]),"-")</f>
        <v>45717</v>
      </c>
      <c r="AK1017" s="132" t="str">
        <f ca="1"/>
        <v>-</v>
      </c>
      <c r="AL1017" s="35"/>
      <c r="AM1017" s="109" cm="1">
        <f t="array" aca="1" ref="AM1017" ca="1">IF('Banco de Dados'!$AK1017&lt;&gt;"-",_xlfn.IFS('Banco de Dados'!$A1017="bv",IF('Banco de Dados'!$E1017&lt;45641,ROUND(SUM('Banco de Dados'!$R1017*_xlfn.XLOOKUP('Banco de Dados'!$P1017,Sku!B:B,Sku!#REF!)*20%),2),ROUND(SUM('Banco de Dados'!$R1017*_xlfn.XLOOKUP('Banco de Dados'!$P1017,Sku!B:B,Sku!H:H)*20%),2)),'Banco de Dados'!$A1017="GO",ROUND(SUM('Banco de Dados'!$R1017*_xlfn.XLOOKUP('Banco de Dados'!$P1017,Sku!C:C,Sku!H:H)*20%),2),'Banco de Dados'!$A1017="MEI",ROUND(SUM('Banco de Dados'!$R1017*_xlfn.XLOOKUP('Banco de Dados'!$P1017,Sku!D:D,Sku!H:H)*20%),2)),0)</f>
        <v>0</v>
      </c>
      <c r="AN1017" s="109">
        <f ca="1">IF('Banco de Dados'!$AK1017&lt;&gt;"-",IF('Banco de Dados'!$F1017&lt;&gt;"-",_xlfn.XLOOKUP(IFERROR(IFERROR(IFERROR(VALUE(SUBSTITUTE(MID(_xlfn.TEXTAFTER('Banco de Dados'!$F1017,"Data do Pedido:
",1),1,10),"-","/")),VALUE(SUBSTITUTE(MID(_xlfn.TEXTAFTER('Banco de Dados'!$F1017,"Order date:
",1),1,10),"-","/"))),VALUE(SUBSTITUTE(MID(_xlfn.TEXTAFTER('Banco de Dados'!$F1017,"Fecha de pedido:
",1),1,10),"-","/"))),"-"),SMS!A:A,SMS!K:K),0),0)</f>
        <v>0</v>
      </c>
      <c r="AO1017" s="109">
        <f ca="1">IF('Banco de Dados'!$AK1017&lt;&gt;"-",IF('Banco de Dados'!$F1017&lt;&gt;"-",IFERROR(_xlfn.XLOOKUP(_xlfn.CONCAT('Banco de Dados'!$A1017,IFERROR(IFERROR(VALUE(SUBSTITUTE(MID(_xlfn.TEXTAFTER('Banco de Dados'!$F1017,"Data do Pedido:
",1),1,10),"-","/")),VALUE(SUBSTITUTE(MID(_xlfn.TEXTAFTER('Banco de Dados'!$F1017,"Order date:
",1),1,10),"-","/"))),0)),ProxyDD[Chave],ProxyDD[Valor por pedido]),PROXY!$P$2),0),0)</f>
        <v>0</v>
      </c>
      <c r="AP1017" s="28">
        <f ca="1">IF('Banco de Dados'!$AK1017&lt;&gt;"-",IF('Banco de Dados'!$AL1017="NÃO",IFERROR(VALUE(SUBSTITUTE(_xlfn.TEXTAFTER('Banco de Dados'!$F1017,"BRL ",1),".",",")),0),0),0)</f>
        <v>0</v>
      </c>
      <c r="AQ1017" s="28">
        <f ca="1">SUM('Banco de Dados'!$AM1017:$AP1017)</f>
        <v>0</v>
      </c>
      <c r="AR1017" s="8"/>
      <c r="AY1017" s="8"/>
    </row>
    <row r="1018" spans="1:51">
      <c r="A1018" s="5" t="str">
        <v>MEI</v>
      </c>
      <c r="B1018" s="5" t="str">
        <f ca="1"/>
        <v>MEI45707</v>
      </c>
      <c r="C1018" s="8" t="str">
        <v>Pedido 1005</v>
      </c>
      <c r="D1018" s="187">
        <v>45703</v>
      </c>
      <c r="E1018" s="9">
        <v>45707</v>
      </c>
      <c r="F1018" s="8" t="str">
        <v>PedidoF984</v>
      </c>
      <c r="G1018" s="2" t="str">
        <v>CódRastreio982</v>
      </c>
      <c r="H1018" s="5">
        <v>1</v>
      </c>
      <c r="I1018" s="2" t="str">
        <v>CPF 978</v>
      </c>
      <c r="J1018" s="2" t="str">
        <v>Nome 978</v>
      </c>
      <c r="K1018" s="8" t="str">
        <v>Tel 978</v>
      </c>
      <c r="L1018" s="8" t="str">
        <v>Cep 978</v>
      </c>
      <c r="M1018" s="8" t="str">
        <v>Rua 978</v>
      </c>
      <c r="N1018" s="8" t="str">
        <v>Comp 978</v>
      </c>
      <c r="O1018" s="8" t="str">
        <v>Ventilador Preto</v>
      </c>
      <c r="P1018" s="8" t="str">
        <v>WU-SS4J-LFOH</v>
      </c>
      <c r="Q1018" s="4">
        <v>45734</v>
      </c>
      <c r="R1018" s="109">
        <v>65.989999999999995</v>
      </c>
      <c r="S1018" s="11">
        <f ca="1"/>
        <v>65.989999999999995</v>
      </c>
      <c r="T1018" s="28">
        <f ca="1"/>
        <v>8.5786999999999995</v>
      </c>
      <c r="U1018" s="11">
        <f ca="1"/>
        <v>57.41</v>
      </c>
      <c r="V1018" s="11">
        <v>14.35</v>
      </c>
      <c r="W1018" s="11">
        <f ca="1"/>
        <v>0.25</v>
      </c>
      <c r="X1018" s="11">
        <f ca="1"/>
        <v>0.39877104377104378</v>
      </c>
      <c r="Y1018" s="11">
        <v>0</v>
      </c>
      <c r="Z1018" s="11">
        <f ca="1"/>
        <v>42.411228956228953</v>
      </c>
      <c r="AA1018" s="11">
        <f ca="1"/>
        <v>21.205614478114477</v>
      </c>
      <c r="AB1018" s="4">
        <f ca="1"/>
        <v>45741</v>
      </c>
      <c r="AC1018" s="4">
        <v>45741</v>
      </c>
      <c r="AD1018" s="9">
        <v>45747</v>
      </c>
      <c r="AE1018" s="9">
        <v>45749</v>
      </c>
      <c r="AF1018" s="4" t="str">
        <f t="shared" ca="1" si="60"/>
        <v>2025 03</v>
      </c>
      <c r="AG1018" s="8" t="str" cm="1">
        <f t="array" ref="AG1018">IFERROR(_xlfn.IFS('Banco de Dados'!#REF!="AG. COMPRA","Em processamento",'Banco de Dados'!#REF!="AG. RASTREIO","Em processamento",'Banco de Dados'!$AE1018&lt;&gt;"-","Faturado",'Banco de Dados'!$AD1018&lt;&gt;"-","Aguardando Pix",'Banco de Dados'!$AC1018&lt;&gt;"-","Pendente"),"Aguardando Liberação")</f>
        <v>Aguardando Liberação</v>
      </c>
      <c r="AH1018" s="5" t="str">
        <f>IF('Banco de Dados'!$F1018="-",_xlfn.CONCAT(PROPER(TEXT(AK1018,"aaaa"))," ",PROPER(TEXT(AK1018,"mm"))),_xlfn.CONCAT(PROPER(TEXT(E1018,"aaaa"))," ",PROPER(TEXT(E1018,"mm"))))</f>
        <v>2025 02</v>
      </c>
      <c r="AI1018" s="9" t="str">
        <f ca="1">IF('Banco de Dados'!$AK1018&lt;&gt;"-","REEMBOLSO",IFERROR(_xlfn.XLOOKUP(G1018,Follow[CODRASTREIO],Follow[STATUS]),"-"))</f>
        <v>ENTREGUE</v>
      </c>
      <c r="AJ1018" s="9">
        <f ca="1">IF('Banco de Dados'!$AI1018="ENTREGUE",_xlfn.XLOOKUP('Banco de Dados'!$G1018,Follow[CODRASTREIO],Follow[DATAATUALIZAÇÃO]),"-")</f>
        <v>45723</v>
      </c>
      <c r="AK1018" s="132" t="str">
        <f ca="1"/>
        <v>-</v>
      </c>
      <c r="AL1018" s="35"/>
      <c r="AM1018" s="109" cm="1">
        <f t="array" aca="1" ref="AM1018" ca="1">IF('Banco de Dados'!$AK1018&lt;&gt;"-",_xlfn.IFS('Banco de Dados'!$A1018="bv",IF('Banco de Dados'!$E1018&lt;45641,ROUND(SUM('Banco de Dados'!$R1018*_xlfn.XLOOKUP('Banco de Dados'!$P1018,Sku!B:B,Sku!#REF!)*20%),2),ROUND(SUM('Banco de Dados'!$R1018*_xlfn.XLOOKUP('Banco de Dados'!$P1018,Sku!B:B,Sku!H:H)*20%),2)),'Banco de Dados'!$A1018="GO",ROUND(SUM('Banco de Dados'!$R1018*_xlfn.XLOOKUP('Banco de Dados'!$P1018,Sku!C:C,Sku!H:H)*20%),2),'Banco de Dados'!$A1018="MEI",ROUND(SUM('Banco de Dados'!$R1018*_xlfn.XLOOKUP('Banco de Dados'!$P1018,Sku!D:D,Sku!H:H)*20%),2)),0)</f>
        <v>0</v>
      </c>
      <c r="AN1018" s="109">
        <f ca="1">IF('Banco de Dados'!$AK1018&lt;&gt;"-",IF('Banco de Dados'!$F1018&lt;&gt;"-",_xlfn.XLOOKUP(IFERROR(IFERROR(IFERROR(VALUE(SUBSTITUTE(MID(_xlfn.TEXTAFTER('Banco de Dados'!$F1018,"Data do Pedido:
",1),1,10),"-","/")),VALUE(SUBSTITUTE(MID(_xlfn.TEXTAFTER('Banco de Dados'!$F1018,"Order date:
",1),1,10),"-","/"))),VALUE(SUBSTITUTE(MID(_xlfn.TEXTAFTER('Banco de Dados'!$F1018,"Fecha de pedido:
",1),1,10),"-","/"))),"-"),SMS!A:A,SMS!K:K),0),0)</f>
        <v>0</v>
      </c>
      <c r="AO1018" s="109">
        <f ca="1">IF('Banco de Dados'!$AK1018&lt;&gt;"-",IF('Banco de Dados'!$F1018&lt;&gt;"-",IFERROR(_xlfn.XLOOKUP(_xlfn.CONCAT('Banco de Dados'!$A1018,IFERROR(IFERROR(VALUE(SUBSTITUTE(MID(_xlfn.TEXTAFTER('Banco de Dados'!$F1018,"Data do Pedido:
",1),1,10),"-","/")),VALUE(SUBSTITUTE(MID(_xlfn.TEXTAFTER('Banco de Dados'!$F1018,"Order date:
",1),1,10),"-","/"))),0)),ProxyDD[Chave],ProxyDD[Valor por pedido]),PROXY!$P$2),0),0)</f>
        <v>0</v>
      </c>
      <c r="AP1018" s="28">
        <f ca="1">IF('Banco de Dados'!$AK1018&lt;&gt;"-",IF('Banco de Dados'!$AL1018="NÃO",IFERROR(VALUE(SUBSTITUTE(_xlfn.TEXTAFTER('Banco de Dados'!$F1018,"BRL ",1),".",",")),0),0),0)</f>
        <v>0</v>
      </c>
      <c r="AQ1018" s="28">
        <f ca="1">SUM('Banco de Dados'!$AM1018:$AP1018)</f>
        <v>0</v>
      </c>
      <c r="AR1018" s="8"/>
      <c r="AY1018" s="8"/>
    </row>
    <row r="1019" spans="1:51">
      <c r="A1019" s="5" t="str">
        <v>MEI</v>
      </c>
      <c r="B1019" s="5" t="str">
        <f ca="1"/>
        <v>MEI45705</v>
      </c>
      <c r="C1019" s="8" t="str">
        <v>Pedido 1006</v>
      </c>
      <c r="D1019" s="187">
        <v>45703</v>
      </c>
      <c r="E1019" s="9">
        <v>45705</v>
      </c>
      <c r="F1019" s="8" t="str">
        <v>PedidoF985</v>
      </c>
      <c r="G1019" s="2" t="str">
        <v>CódRastreio983</v>
      </c>
      <c r="H1019" s="5">
        <v>1</v>
      </c>
      <c r="I1019" s="2" t="str">
        <v>CPF 979</v>
      </c>
      <c r="J1019" s="2" t="str">
        <v>Nome 979</v>
      </c>
      <c r="K1019" s="8" t="str">
        <v>Tel 979</v>
      </c>
      <c r="L1019" s="8" t="str">
        <v>Cep 979</v>
      </c>
      <c r="M1019" s="8" t="str">
        <v>Rua 979</v>
      </c>
      <c r="N1019" s="8" t="str">
        <v>Comp 979</v>
      </c>
      <c r="O1019" s="8" t="str">
        <v>Ventilador Preto</v>
      </c>
      <c r="P1019" s="8" t="str">
        <v>WU-SS4J-LFOH</v>
      </c>
      <c r="Q1019" s="4">
        <v>45734</v>
      </c>
      <c r="R1019" s="109">
        <v>65.989999999999995</v>
      </c>
      <c r="S1019" s="11">
        <f ca="1"/>
        <v>65.989999999999995</v>
      </c>
      <c r="T1019" s="28">
        <f ca="1"/>
        <v>8.5786999999999995</v>
      </c>
      <c r="U1019" s="11">
        <f ca="1"/>
        <v>57.41</v>
      </c>
      <c r="V1019" s="11">
        <v>13.21</v>
      </c>
      <c r="W1019" s="11">
        <f ca="1"/>
        <v>0.2</v>
      </c>
      <c r="X1019" s="11">
        <f ca="1"/>
        <v>0.39877104377104378</v>
      </c>
      <c r="Y1019" s="11">
        <v>0</v>
      </c>
      <c r="Z1019" s="11">
        <f ca="1"/>
        <v>43.601228956228951</v>
      </c>
      <c r="AA1019" s="11">
        <f ca="1"/>
        <v>21.800614478114476</v>
      </c>
      <c r="AB1019" s="4">
        <f ca="1"/>
        <v>45741</v>
      </c>
      <c r="AC1019" s="4">
        <v>45741</v>
      </c>
      <c r="AD1019" s="9">
        <v>45747</v>
      </c>
      <c r="AE1019" s="9">
        <v>45749</v>
      </c>
      <c r="AF1019" s="4" t="str">
        <f t="shared" ca="1" si="60"/>
        <v>2025 03</v>
      </c>
      <c r="AG1019" s="8" t="str" cm="1">
        <f t="array" ref="AG1019">IFERROR(_xlfn.IFS('Banco de Dados'!#REF!="AG. COMPRA","Em processamento",'Banco de Dados'!#REF!="AG. RASTREIO","Em processamento",'Banco de Dados'!$AE1019&lt;&gt;"-","Faturado",'Banco de Dados'!$AD1019&lt;&gt;"-","Aguardando Pix",'Banco de Dados'!$AC1019&lt;&gt;"-","Pendente"),"Aguardando Liberação")</f>
        <v>Aguardando Liberação</v>
      </c>
      <c r="AH1019" s="5" t="str">
        <f>IF('Banco de Dados'!$F1019="-",_xlfn.CONCAT(PROPER(TEXT(AK1019,"aaaa"))," ",PROPER(TEXT(AK1019,"mm"))),_xlfn.CONCAT(PROPER(TEXT(E1019,"aaaa"))," ",PROPER(TEXT(E1019,"mm"))))</f>
        <v>2025 02</v>
      </c>
      <c r="AI1019" s="9" t="str">
        <f ca="1">IF('Banco de Dados'!$AK1019&lt;&gt;"-","REEMBOLSO",IFERROR(_xlfn.XLOOKUP(G1019,Follow[CODRASTREIO],Follow[STATUS]),"-"))</f>
        <v>ENTREGUE</v>
      </c>
      <c r="AJ1019" s="9">
        <f ca="1">IF('Banco de Dados'!$AI1019="ENTREGUE",_xlfn.XLOOKUP('Banco de Dados'!$G1019,Follow[CODRASTREIO],Follow[DATAATUALIZAÇÃO]),"-")</f>
        <v>45722</v>
      </c>
      <c r="AK1019" s="132" t="str">
        <f ca="1"/>
        <v>-</v>
      </c>
      <c r="AL1019" s="35"/>
      <c r="AM1019" s="109" cm="1">
        <f t="array" aca="1" ref="AM1019" ca="1">IF('Banco de Dados'!$AK1019&lt;&gt;"-",_xlfn.IFS('Banco de Dados'!$A1019="bv",IF('Banco de Dados'!$E1019&lt;45641,ROUND(SUM('Banco de Dados'!$R1019*_xlfn.XLOOKUP('Banco de Dados'!$P1019,Sku!B:B,Sku!#REF!)*20%),2),ROUND(SUM('Banco de Dados'!$R1019*_xlfn.XLOOKUP('Banco de Dados'!$P1019,Sku!B:B,Sku!H:H)*20%),2)),'Banco de Dados'!$A1019="GO",ROUND(SUM('Banco de Dados'!$R1019*_xlfn.XLOOKUP('Banco de Dados'!$P1019,Sku!C:C,Sku!H:H)*20%),2),'Banco de Dados'!$A1019="MEI",ROUND(SUM('Banco de Dados'!$R1019*_xlfn.XLOOKUP('Banco de Dados'!$P1019,Sku!D:D,Sku!H:H)*20%),2)),0)</f>
        <v>0</v>
      </c>
      <c r="AN1019" s="109">
        <f ca="1">IF('Banco de Dados'!$AK1019&lt;&gt;"-",IF('Banco de Dados'!$F1019&lt;&gt;"-",_xlfn.XLOOKUP(IFERROR(IFERROR(IFERROR(VALUE(SUBSTITUTE(MID(_xlfn.TEXTAFTER('Banco de Dados'!$F1019,"Data do Pedido:
",1),1,10),"-","/")),VALUE(SUBSTITUTE(MID(_xlfn.TEXTAFTER('Banco de Dados'!$F1019,"Order date:
",1),1,10),"-","/"))),VALUE(SUBSTITUTE(MID(_xlfn.TEXTAFTER('Banco de Dados'!$F1019,"Fecha de pedido:
",1),1,10),"-","/"))),"-"),SMS!A:A,SMS!K:K),0),0)</f>
        <v>0</v>
      </c>
      <c r="AO1019" s="109">
        <f ca="1">IF('Banco de Dados'!$AK1019&lt;&gt;"-",IF('Banco de Dados'!$F1019&lt;&gt;"-",IFERROR(_xlfn.XLOOKUP(_xlfn.CONCAT('Banco de Dados'!$A1019,IFERROR(IFERROR(VALUE(SUBSTITUTE(MID(_xlfn.TEXTAFTER('Banco de Dados'!$F1019,"Data do Pedido:
",1),1,10),"-","/")),VALUE(SUBSTITUTE(MID(_xlfn.TEXTAFTER('Banco de Dados'!$F1019,"Order date:
",1),1,10),"-","/"))),0)),ProxyDD[Chave],ProxyDD[Valor por pedido]),PROXY!$P$2),0),0)</f>
        <v>0</v>
      </c>
      <c r="AP1019" s="28">
        <f ca="1">IF('Banco de Dados'!$AK1019&lt;&gt;"-",IF('Banco de Dados'!$AL1019="NÃO",IFERROR(VALUE(SUBSTITUTE(_xlfn.TEXTAFTER('Banco de Dados'!$F1019,"BRL ",1),".",",")),0),0),0)</f>
        <v>0</v>
      </c>
      <c r="AQ1019" s="28">
        <f ca="1">SUM('Banco de Dados'!$AM1019:$AP1019)</f>
        <v>0</v>
      </c>
      <c r="AR1019" s="8"/>
      <c r="AY1019" s="8"/>
    </row>
    <row r="1020" spans="1:51">
      <c r="A1020" s="5" t="str">
        <v>MEI</v>
      </c>
      <c r="B1020" s="5" t="str">
        <f ca="1"/>
        <v>MEI45705</v>
      </c>
      <c r="C1020" s="8" t="str">
        <v>Pedido 1007</v>
      </c>
      <c r="D1020" s="187">
        <v>45704</v>
      </c>
      <c r="E1020" s="9">
        <v>45705</v>
      </c>
      <c r="F1020" s="8" t="str">
        <v>PedidoF986</v>
      </c>
      <c r="G1020" s="2" t="str">
        <v>CódRastreio984</v>
      </c>
      <c r="H1020" s="5">
        <v>1</v>
      </c>
      <c r="I1020" s="2" t="str">
        <v>CPF 408</v>
      </c>
      <c r="J1020" s="2" t="str">
        <v>Nome 408</v>
      </c>
      <c r="K1020" s="8" t="str">
        <v>Tel 408</v>
      </c>
      <c r="L1020" s="8" t="str">
        <v>Cep 408</v>
      </c>
      <c r="M1020" s="8" t="str">
        <v>Rua 408</v>
      </c>
      <c r="N1020" s="8" t="str">
        <v>Comp 408</v>
      </c>
      <c r="O1020" s="8" t="str">
        <v>Ventilador Preto</v>
      </c>
      <c r="P1020" s="8" t="str">
        <v>WU-SS4J-LFOH</v>
      </c>
      <c r="Q1020" s="4">
        <v>45728</v>
      </c>
      <c r="R1020" s="109">
        <v>65.989999999999995</v>
      </c>
      <c r="S1020" s="11">
        <f ca="1"/>
        <v>65.989999999999995</v>
      </c>
      <c r="T1020" s="28">
        <f ca="1"/>
        <v>8.5786999999999995</v>
      </c>
      <c r="U1020" s="11">
        <f ca="1"/>
        <v>57.41</v>
      </c>
      <c r="V1020" s="11">
        <v>13.21</v>
      </c>
      <c r="W1020" s="11">
        <f ca="1"/>
        <v>0.2</v>
      </c>
      <c r="X1020" s="11">
        <f ca="1"/>
        <v>0.39877104377104378</v>
      </c>
      <c r="Y1020" s="11">
        <v>0</v>
      </c>
      <c r="Z1020" s="11">
        <f ca="1"/>
        <v>43.601228956228951</v>
      </c>
      <c r="AA1020" s="11">
        <f ca="1"/>
        <v>21.800614478114476</v>
      </c>
      <c r="AB1020" s="4">
        <f ca="1"/>
        <v>45735</v>
      </c>
      <c r="AC1020" s="4">
        <v>45735</v>
      </c>
      <c r="AD1020" s="9">
        <v>45747</v>
      </c>
      <c r="AE1020" s="9">
        <v>45749</v>
      </c>
      <c r="AF1020" s="4" t="str">
        <f t="shared" ca="1" si="60"/>
        <v>2025 03</v>
      </c>
      <c r="AG1020" s="8" t="str" cm="1">
        <f t="array" ref="AG1020">IFERROR(_xlfn.IFS('Banco de Dados'!#REF!="AG. COMPRA","Em processamento",'Banco de Dados'!#REF!="AG. RASTREIO","Em processamento",'Banco de Dados'!$AE1020&lt;&gt;"-","Faturado",'Banco de Dados'!$AD1020&lt;&gt;"-","Aguardando Pix",'Banco de Dados'!$AC1020&lt;&gt;"-","Pendente"),"Aguardando Liberação")</f>
        <v>Aguardando Liberação</v>
      </c>
      <c r="AH1020" s="5" t="str">
        <f>IF('Banco de Dados'!$F1020="-",_xlfn.CONCAT(PROPER(TEXT(AK1020,"aaaa"))," ",PROPER(TEXT(AK1020,"mm"))),_xlfn.CONCAT(PROPER(TEXT(E1020,"aaaa"))," ",PROPER(TEXT(E1020,"mm"))))</f>
        <v>2025 02</v>
      </c>
      <c r="AI1020" s="9" t="str">
        <f ca="1">IF('Banco de Dados'!$AK1020&lt;&gt;"-","REEMBOLSO",IFERROR(_xlfn.XLOOKUP(G1020,Follow[CODRASTREIO],Follow[STATUS]),"-"))</f>
        <v>ENTREGUE</v>
      </c>
      <c r="AJ1020" s="9">
        <f ca="1">IF('Banco de Dados'!$AI1020="ENTREGUE",_xlfn.XLOOKUP('Banco de Dados'!$G1020,Follow[CODRASTREIO],Follow[DATAATUALIZAÇÃO]),"-")</f>
        <v>45721</v>
      </c>
      <c r="AK1020" s="132" t="str">
        <f ca="1"/>
        <v>-</v>
      </c>
      <c r="AL1020" s="35"/>
      <c r="AM1020" s="109" cm="1">
        <f t="array" aca="1" ref="AM1020" ca="1">IF('Banco de Dados'!$AK1020&lt;&gt;"-",_xlfn.IFS('Banco de Dados'!$A1020="bv",IF('Banco de Dados'!$E1020&lt;45641,ROUND(SUM('Banco de Dados'!$R1020*_xlfn.XLOOKUP('Banco de Dados'!$P1020,Sku!B:B,Sku!#REF!)*20%),2),ROUND(SUM('Banco de Dados'!$R1020*_xlfn.XLOOKUP('Banco de Dados'!$P1020,Sku!B:B,Sku!H:H)*20%),2)),'Banco de Dados'!$A1020="GO",ROUND(SUM('Banco de Dados'!$R1020*_xlfn.XLOOKUP('Banco de Dados'!$P1020,Sku!C:C,Sku!H:H)*20%),2),'Banco de Dados'!$A1020="MEI",ROUND(SUM('Banco de Dados'!$R1020*_xlfn.XLOOKUP('Banco de Dados'!$P1020,Sku!D:D,Sku!H:H)*20%),2)),0)</f>
        <v>0</v>
      </c>
      <c r="AN1020" s="109">
        <f ca="1">IF('Banco de Dados'!$AK1020&lt;&gt;"-",IF('Banco de Dados'!$F1020&lt;&gt;"-",_xlfn.XLOOKUP(IFERROR(IFERROR(IFERROR(VALUE(SUBSTITUTE(MID(_xlfn.TEXTAFTER('Banco de Dados'!$F1020,"Data do Pedido:
",1),1,10),"-","/")),VALUE(SUBSTITUTE(MID(_xlfn.TEXTAFTER('Banco de Dados'!$F1020,"Order date:
",1),1,10),"-","/"))),VALUE(SUBSTITUTE(MID(_xlfn.TEXTAFTER('Banco de Dados'!$F1020,"Fecha de pedido:
",1),1,10),"-","/"))),"-"),SMS!A:A,SMS!K:K),0),0)</f>
        <v>0</v>
      </c>
      <c r="AO1020" s="109">
        <f ca="1">IF('Banco de Dados'!$AK1020&lt;&gt;"-",IF('Banco de Dados'!$F1020&lt;&gt;"-",IFERROR(_xlfn.XLOOKUP(_xlfn.CONCAT('Banco de Dados'!$A1020,IFERROR(IFERROR(VALUE(SUBSTITUTE(MID(_xlfn.TEXTAFTER('Banco de Dados'!$F1020,"Data do Pedido:
",1),1,10),"-","/")),VALUE(SUBSTITUTE(MID(_xlfn.TEXTAFTER('Banco de Dados'!$F1020,"Order date:
",1),1,10),"-","/"))),0)),ProxyDD[Chave],ProxyDD[Valor por pedido]),PROXY!$P$2),0),0)</f>
        <v>0</v>
      </c>
      <c r="AP1020" s="28">
        <f ca="1">IF('Banco de Dados'!$AK1020&lt;&gt;"-",IF('Banco de Dados'!$AL1020="NÃO",IFERROR(VALUE(SUBSTITUTE(_xlfn.TEXTAFTER('Banco de Dados'!$F1020,"BRL ",1),".",",")),0),0),0)</f>
        <v>0</v>
      </c>
      <c r="AQ1020" s="28">
        <f ca="1">SUM('Banco de Dados'!$AM1020:$AP1020)</f>
        <v>0</v>
      </c>
      <c r="AR1020" s="8"/>
      <c r="AY1020" s="8"/>
    </row>
    <row r="1021" spans="1:51">
      <c r="A1021" s="5" t="str">
        <v>MEI</v>
      </c>
      <c r="B1021" s="5" t="str">
        <f ca="1"/>
        <v>MEI45705</v>
      </c>
      <c r="C1021" s="8" t="str">
        <v>Pedido 1008</v>
      </c>
      <c r="D1021" s="187">
        <v>45704</v>
      </c>
      <c r="E1021" s="9">
        <v>45705</v>
      </c>
      <c r="F1021" s="8" t="str">
        <v>PedidoF987</v>
      </c>
      <c r="G1021" s="2" t="str">
        <v>CódRastreio985</v>
      </c>
      <c r="H1021" s="5">
        <v>1</v>
      </c>
      <c r="I1021" s="2" t="str">
        <v>CPF 980</v>
      </c>
      <c r="J1021" s="2" t="str">
        <v>Nome 980</v>
      </c>
      <c r="K1021" s="8" t="str">
        <v>Tel 980</v>
      </c>
      <c r="L1021" s="8" t="str">
        <v>Cep 980</v>
      </c>
      <c r="M1021" s="8" t="str">
        <v>Rua 980</v>
      </c>
      <c r="N1021" s="8" t="str">
        <v>Comp 980</v>
      </c>
      <c r="O1021" s="8" t="str">
        <v>Ventilador Preto</v>
      </c>
      <c r="P1021" s="8" t="str">
        <v>WU-SS4J-LFOH</v>
      </c>
      <c r="Q1021" s="4">
        <v>45734</v>
      </c>
      <c r="R1021" s="109">
        <v>65.989999999999995</v>
      </c>
      <c r="S1021" s="11">
        <f ca="1"/>
        <v>65.989999999999995</v>
      </c>
      <c r="T1021" s="28">
        <f ca="1"/>
        <v>8.5786999999999995</v>
      </c>
      <c r="U1021" s="11">
        <f ca="1"/>
        <v>57.41</v>
      </c>
      <c r="V1021" s="11">
        <v>13.21</v>
      </c>
      <c r="W1021" s="11">
        <f ca="1"/>
        <v>0.2</v>
      </c>
      <c r="X1021" s="11">
        <f ca="1"/>
        <v>0.39877104377104378</v>
      </c>
      <c r="Y1021" s="11">
        <v>0</v>
      </c>
      <c r="Z1021" s="11">
        <f ca="1"/>
        <v>43.601228956228951</v>
      </c>
      <c r="AA1021" s="11">
        <f ca="1"/>
        <v>21.800614478114476</v>
      </c>
      <c r="AB1021" s="4">
        <f ca="1"/>
        <v>45741</v>
      </c>
      <c r="AC1021" s="4">
        <v>45741</v>
      </c>
      <c r="AD1021" s="9">
        <v>45747</v>
      </c>
      <c r="AE1021" s="9">
        <v>45749</v>
      </c>
      <c r="AF1021" s="4" t="str">
        <f t="shared" ca="1" si="60"/>
        <v>2025 03</v>
      </c>
      <c r="AG1021" s="8" t="str" cm="1">
        <f t="array" ref="AG1021">IFERROR(_xlfn.IFS('Banco de Dados'!#REF!="AG. COMPRA","Em processamento",'Banco de Dados'!#REF!="AG. RASTREIO","Em processamento",'Banco de Dados'!$AE1021&lt;&gt;"-","Faturado",'Banco de Dados'!$AD1021&lt;&gt;"-","Aguardando Pix",'Banco de Dados'!$AC1021&lt;&gt;"-","Pendente"),"Aguardando Liberação")</f>
        <v>Aguardando Liberação</v>
      </c>
      <c r="AH1021" s="5" t="str">
        <f>IF('Banco de Dados'!$F1021="-",_xlfn.CONCAT(PROPER(TEXT(AK1021,"aaaa"))," ",PROPER(TEXT(AK1021,"mm"))),_xlfn.CONCAT(PROPER(TEXT(E1021,"aaaa"))," ",PROPER(TEXT(E1021,"mm"))))</f>
        <v>2025 02</v>
      </c>
      <c r="AI1021" s="9" t="str">
        <f ca="1">IF('Banco de Dados'!$AK1021&lt;&gt;"-","REEMBOLSO",IFERROR(_xlfn.XLOOKUP(G1021,Follow[CODRASTREIO],Follow[STATUS]),"-"))</f>
        <v>ENTREGUE</v>
      </c>
      <c r="AJ1021" s="9">
        <f ca="1">IF('Banco de Dados'!$AI1021="ENTREGUE",_xlfn.XLOOKUP('Banco de Dados'!$G1021,Follow[CODRASTREIO],Follow[DATAATUALIZAÇÃO]),"-")</f>
        <v>45720</v>
      </c>
      <c r="AK1021" s="132" t="str">
        <f ca="1"/>
        <v>-</v>
      </c>
      <c r="AL1021" s="35"/>
      <c r="AM1021" s="109" cm="1">
        <f t="array" aca="1" ref="AM1021" ca="1">IF('Banco de Dados'!$AK1021&lt;&gt;"-",_xlfn.IFS('Banco de Dados'!$A1021="bv",IF('Banco de Dados'!$E1021&lt;45641,ROUND(SUM('Banco de Dados'!$R1021*_xlfn.XLOOKUP('Banco de Dados'!$P1021,Sku!B:B,Sku!#REF!)*20%),2),ROUND(SUM('Banco de Dados'!$R1021*_xlfn.XLOOKUP('Banco de Dados'!$P1021,Sku!B:B,Sku!H:H)*20%),2)),'Banco de Dados'!$A1021="GO",ROUND(SUM('Banco de Dados'!$R1021*_xlfn.XLOOKUP('Banco de Dados'!$P1021,Sku!C:C,Sku!H:H)*20%),2),'Banco de Dados'!$A1021="MEI",ROUND(SUM('Banco de Dados'!$R1021*_xlfn.XLOOKUP('Banco de Dados'!$P1021,Sku!D:D,Sku!H:H)*20%),2)),0)</f>
        <v>0</v>
      </c>
      <c r="AN1021" s="109">
        <f ca="1">IF('Banco de Dados'!$AK1021&lt;&gt;"-",IF('Banco de Dados'!$F1021&lt;&gt;"-",_xlfn.XLOOKUP(IFERROR(IFERROR(IFERROR(VALUE(SUBSTITUTE(MID(_xlfn.TEXTAFTER('Banco de Dados'!$F1021,"Data do Pedido:
",1),1,10),"-","/")),VALUE(SUBSTITUTE(MID(_xlfn.TEXTAFTER('Banco de Dados'!$F1021,"Order date:
",1),1,10),"-","/"))),VALUE(SUBSTITUTE(MID(_xlfn.TEXTAFTER('Banco de Dados'!$F1021,"Fecha de pedido:
",1),1,10),"-","/"))),"-"),SMS!A:A,SMS!K:K),0),0)</f>
        <v>0</v>
      </c>
      <c r="AO1021" s="109">
        <f ca="1">IF('Banco de Dados'!$AK1021&lt;&gt;"-",IF('Banco de Dados'!$F1021&lt;&gt;"-",IFERROR(_xlfn.XLOOKUP(_xlfn.CONCAT('Banco de Dados'!$A1021,IFERROR(IFERROR(VALUE(SUBSTITUTE(MID(_xlfn.TEXTAFTER('Banco de Dados'!$F1021,"Data do Pedido:
",1),1,10),"-","/")),VALUE(SUBSTITUTE(MID(_xlfn.TEXTAFTER('Banco de Dados'!$F1021,"Order date:
",1),1,10),"-","/"))),0)),ProxyDD[Chave],ProxyDD[Valor por pedido]),PROXY!$P$2),0),0)</f>
        <v>0</v>
      </c>
      <c r="AP1021" s="28">
        <f ca="1">IF('Banco de Dados'!$AK1021&lt;&gt;"-",IF('Banco de Dados'!$AL1021="NÃO",IFERROR(VALUE(SUBSTITUTE(_xlfn.TEXTAFTER('Banco de Dados'!$F1021,"BRL ",1),".",",")),0),0),0)</f>
        <v>0</v>
      </c>
      <c r="AQ1021" s="28">
        <f ca="1">SUM('Banco de Dados'!$AM1021:$AP1021)</f>
        <v>0</v>
      </c>
      <c r="AR1021" s="8"/>
      <c r="AY1021" s="8"/>
    </row>
    <row r="1022" spans="1:51">
      <c r="A1022" s="5" t="str">
        <v>MEI</v>
      </c>
      <c r="B1022" s="5" t="str">
        <f ca="1"/>
        <v>MEI45705</v>
      </c>
      <c r="C1022" s="8" t="str">
        <v>Pedido 1009</v>
      </c>
      <c r="D1022" s="187">
        <v>45704</v>
      </c>
      <c r="E1022" s="9">
        <v>45705</v>
      </c>
      <c r="F1022" s="8" t="str">
        <v>PedidoF988</v>
      </c>
      <c r="G1022" s="2" t="str">
        <v>CódRastreio986</v>
      </c>
      <c r="H1022" s="5">
        <v>1</v>
      </c>
      <c r="I1022" s="2" t="str">
        <v>CPF 981</v>
      </c>
      <c r="J1022" s="2" t="str">
        <v>Nome 981</v>
      </c>
      <c r="K1022" s="8" t="str">
        <v>Tel 981</v>
      </c>
      <c r="L1022" s="8" t="str">
        <v>Cep 981</v>
      </c>
      <c r="M1022" s="8" t="str">
        <v>Rua 981</v>
      </c>
      <c r="N1022" s="8" t="str">
        <v>Comp 981</v>
      </c>
      <c r="O1022" s="8" t="str">
        <v>Ventilador Preto</v>
      </c>
      <c r="P1022" s="8" t="str">
        <v>WU-SS4J-LFOH</v>
      </c>
      <c r="Q1022" s="4">
        <v>45728</v>
      </c>
      <c r="R1022" s="109">
        <v>65.989999999999995</v>
      </c>
      <c r="S1022" s="11">
        <f ca="1"/>
        <v>65.989999999999995</v>
      </c>
      <c r="T1022" s="28">
        <f ca="1"/>
        <v>8.5786999999999995</v>
      </c>
      <c r="U1022" s="11">
        <f ca="1"/>
        <v>57.41</v>
      </c>
      <c r="V1022" s="11">
        <v>13.21</v>
      </c>
      <c r="W1022" s="11">
        <f ca="1"/>
        <v>0.2</v>
      </c>
      <c r="X1022" s="11">
        <f ca="1"/>
        <v>0.39877104377104378</v>
      </c>
      <c r="Y1022" s="11">
        <v>0</v>
      </c>
      <c r="Z1022" s="11">
        <f ca="1"/>
        <v>43.601228956228951</v>
      </c>
      <c r="AA1022" s="11">
        <f ca="1"/>
        <v>21.800614478114476</v>
      </c>
      <c r="AB1022" s="4">
        <f ca="1"/>
        <v>45735</v>
      </c>
      <c r="AC1022" s="4">
        <v>45735</v>
      </c>
      <c r="AD1022" s="9">
        <v>45747</v>
      </c>
      <c r="AE1022" s="9">
        <v>45749</v>
      </c>
      <c r="AF1022" s="4" t="str">
        <f t="shared" ca="1" si="60"/>
        <v>2025 03</v>
      </c>
      <c r="AG1022" s="8" t="str" cm="1">
        <f t="array" ref="AG1022">IFERROR(_xlfn.IFS('Banco de Dados'!#REF!="AG. COMPRA","Em processamento",'Banco de Dados'!#REF!="AG. RASTREIO","Em processamento",'Banco de Dados'!$AE1022&lt;&gt;"-","Faturado",'Banco de Dados'!$AD1022&lt;&gt;"-","Aguardando Pix",'Banco de Dados'!$AC1022&lt;&gt;"-","Pendente"),"Aguardando Liberação")</f>
        <v>Aguardando Liberação</v>
      </c>
      <c r="AH1022" s="5" t="str">
        <f>IF('Banco de Dados'!$F1022="-",_xlfn.CONCAT(PROPER(TEXT(AK1022,"aaaa"))," ",PROPER(TEXT(AK1022,"mm"))),_xlfn.CONCAT(PROPER(TEXT(E1022,"aaaa"))," ",PROPER(TEXT(E1022,"mm"))))</f>
        <v>2025 02</v>
      </c>
      <c r="AI1022" s="9" t="str">
        <f ca="1">IF('Banco de Dados'!$AK1022&lt;&gt;"-","REEMBOLSO",IFERROR(_xlfn.XLOOKUP(G1022,Follow[CODRASTREIO],Follow[STATUS]),"-"))</f>
        <v>ENTREGUE</v>
      </c>
      <c r="AJ1022" s="9">
        <f ca="1">IF('Banco de Dados'!$AI1022="ENTREGUE",_xlfn.XLOOKUP('Banco de Dados'!$G1022,Follow[CODRASTREIO],Follow[DATAATUALIZAÇÃO]),"-")</f>
        <v>45716</v>
      </c>
      <c r="AK1022" s="132" t="str">
        <f ca="1"/>
        <v>-</v>
      </c>
      <c r="AL1022" s="35"/>
      <c r="AM1022" s="109" cm="1">
        <f t="array" aca="1" ref="AM1022" ca="1">IF('Banco de Dados'!$AK1022&lt;&gt;"-",_xlfn.IFS('Banco de Dados'!$A1022="bv",IF('Banco de Dados'!$E1022&lt;45641,ROUND(SUM('Banco de Dados'!$R1022*_xlfn.XLOOKUP('Banco de Dados'!$P1022,Sku!B:B,Sku!#REF!)*20%),2),ROUND(SUM('Banco de Dados'!$R1022*_xlfn.XLOOKUP('Banco de Dados'!$P1022,Sku!B:B,Sku!H:H)*20%),2)),'Banco de Dados'!$A1022="GO",ROUND(SUM('Banco de Dados'!$R1022*_xlfn.XLOOKUP('Banco de Dados'!$P1022,Sku!C:C,Sku!H:H)*20%),2),'Banco de Dados'!$A1022="MEI",ROUND(SUM('Banco de Dados'!$R1022*_xlfn.XLOOKUP('Banco de Dados'!$P1022,Sku!D:D,Sku!H:H)*20%),2)),0)</f>
        <v>0</v>
      </c>
      <c r="AN1022" s="109">
        <f ca="1">IF('Banco de Dados'!$AK1022&lt;&gt;"-",IF('Banco de Dados'!$F1022&lt;&gt;"-",_xlfn.XLOOKUP(IFERROR(IFERROR(IFERROR(VALUE(SUBSTITUTE(MID(_xlfn.TEXTAFTER('Banco de Dados'!$F1022,"Data do Pedido:
",1),1,10),"-","/")),VALUE(SUBSTITUTE(MID(_xlfn.TEXTAFTER('Banco de Dados'!$F1022,"Order date:
",1),1,10),"-","/"))),VALUE(SUBSTITUTE(MID(_xlfn.TEXTAFTER('Banco de Dados'!$F1022,"Fecha de pedido:
",1),1,10),"-","/"))),"-"),SMS!A:A,SMS!K:K),0),0)</f>
        <v>0</v>
      </c>
      <c r="AO1022" s="109">
        <f ca="1">IF('Banco de Dados'!$AK1022&lt;&gt;"-",IF('Banco de Dados'!$F1022&lt;&gt;"-",IFERROR(_xlfn.XLOOKUP(_xlfn.CONCAT('Banco de Dados'!$A1022,IFERROR(IFERROR(VALUE(SUBSTITUTE(MID(_xlfn.TEXTAFTER('Banco de Dados'!$F1022,"Data do Pedido:
",1),1,10),"-","/")),VALUE(SUBSTITUTE(MID(_xlfn.TEXTAFTER('Banco de Dados'!$F1022,"Order date:
",1),1,10),"-","/"))),0)),ProxyDD[Chave],ProxyDD[Valor por pedido]),PROXY!$P$2),0),0)</f>
        <v>0</v>
      </c>
      <c r="AP1022" s="28">
        <f ca="1">IF('Banco de Dados'!$AK1022&lt;&gt;"-",IF('Banco de Dados'!$AL1022="NÃO",IFERROR(VALUE(SUBSTITUTE(_xlfn.TEXTAFTER('Banco de Dados'!$F1022,"BRL ",1),".",",")),0),0),0)</f>
        <v>0</v>
      </c>
      <c r="AQ1022" s="28">
        <f ca="1">SUM('Banco de Dados'!$AM1022:$AP1022)</f>
        <v>0</v>
      </c>
      <c r="AR1022" s="8"/>
      <c r="AY1022" s="8"/>
    </row>
    <row r="1023" spans="1:51">
      <c r="A1023" s="5" t="str">
        <v>MEI</v>
      </c>
      <c r="B1023" s="5" t="str">
        <f ca="1"/>
        <v>MEI45705</v>
      </c>
      <c r="C1023" s="8" t="str">
        <v>Pedido 1010</v>
      </c>
      <c r="D1023" s="187">
        <v>45704</v>
      </c>
      <c r="E1023" s="9">
        <v>45705</v>
      </c>
      <c r="F1023" s="8" t="str">
        <v>PedidoF989</v>
      </c>
      <c r="G1023" s="2" t="str">
        <v>CódRastreio987</v>
      </c>
      <c r="H1023" s="5">
        <v>1</v>
      </c>
      <c r="I1023" s="2" t="str">
        <v>CPF 982</v>
      </c>
      <c r="J1023" s="2" t="str">
        <v>Nome 982</v>
      </c>
      <c r="K1023" s="8" t="str">
        <v>Tel 982</v>
      </c>
      <c r="L1023" s="8" t="str">
        <v>Cep 982</v>
      </c>
      <c r="M1023" s="8" t="str">
        <v>Rua 982</v>
      </c>
      <c r="N1023" s="8" t="str">
        <v>Comp 982</v>
      </c>
      <c r="O1023" s="8" t="str">
        <v>Ventilador Preto</v>
      </c>
      <c r="P1023" s="8" t="str">
        <v>WU-SS4J-LFOH</v>
      </c>
      <c r="Q1023" s="4">
        <v>45728</v>
      </c>
      <c r="R1023" s="109">
        <v>65.989999999999995</v>
      </c>
      <c r="S1023" s="11">
        <f ca="1"/>
        <v>65.989999999999995</v>
      </c>
      <c r="T1023" s="28">
        <f ca="1"/>
        <v>8.5786999999999995</v>
      </c>
      <c r="U1023" s="11">
        <f ca="1"/>
        <v>57.41</v>
      </c>
      <c r="V1023" s="11">
        <v>13.21</v>
      </c>
      <c r="W1023" s="11">
        <f ca="1"/>
        <v>0.2</v>
      </c>
      <c r="X1023" s="11">
        <f ca="1"/>
        <v>0.39877104377104378</v>
      </c>
      <c r="Y1023" s="11">
        <v>0</v>
      </c>
      <c r="Z1023" s="11">
        <f ca="1"/>
        <v>43.601228956228951</v>
      </c>
      <c r="AA1023" s="11">
        <f ca="1"/>
        <v>21.800614478114476</v>
      </c>
      <c r="AB1023" s="4">
        <f ca="1"/>
        <v>45735</v>
      </c>
      <c r="AC1023" s="4">
        <v>45735</v>
      </c>
      <c r="AD1023" s="9">
        <v>45747</v>
      </c>
      <c r="AE1023" s="9">
        <v>45749</v>
      </c>
      <c r="AF1023" s="4" t="str">
        <f t="shared" ca="1" si="60"/>
        <v>2025 03</v>
      </c>
      <c r="AG1023" s="8" t="str" cm="1">
        <f t="array" ref="AG1023">IFERROR(_xlfn.IFS('Banco de Dados'!#REF!="AG. COMPRA","Em processamento",'Banco de Dados'!#REF!="AG. RASTREIO","Em processamento",'Banco de Dados'!$AE1023&lt;&gt;"-","Faturado",'Banco de Dados'!$AD1023&lt;&gt;"-","Aguardando Pix",'Banco de Dados'!$AC1023&lt;&gt;"-","Pendente"),"Aguardando Liberação")</f>
        <v>Aguardando Liberação</v>
      </c>
      <c r="AH1023" s="5" t="str">
        <f>IF('Banco de Dados'!$F1023="-",_xlfn.CONCAT(PROPER(TEXT(AK1023,"aaaa"))," ",PROPER(TEXT(AK1023,"mm"))),_xlfn.CONCAT(PROPER(TEXT(E1023,"aaaa"))," ",PROPER(TEXT(E1023,"mm"))))</f>
        <v>2025 02</v>
      </c>
      <c r="AI1023" s="9" t="str">
        <f ca="1">IF('Banco de Dados'!$AK1023&lt;&gt;"-","REEMBOLSO",IFERROR(_xlfn.XLOOKUP(G1023,Follow[CODRASTREIO],Follow[STATUS]),"-"))</f>
        <v>ENTREGUE</v>
      </c>
      <c r="AJ1023" s="9">
        <f ca="1">IF('Banco de Dados'!$AI1023="ENTREGUE",_xlfn.XLOOKUP('Banco de Dados'!$G1023,Follow[CODRASTREIO],Follow[DATAATUALIZAÇÃO]),"-")</f>
        <v>45716</v>
      </c>
      <c r="AK1023" s="132" t="str">
        <f ca="1"/>
        <v>-</v>
      </c>
      <c r="AL1023" s="35"/>
      <c r="AM1023" s="109" cm="1">
        <f t="array" aca="1" ref="AM1023" ca="1">IF('Banco de Dados'!$AK1023&lt;&gt;"-",_xlfn.IFS('Banco de Dados'!$A1023="bv",IF('Banco de Dados'!$E1023&lt;45641,ROUND(SUM('Banco de Dados'!$R1023*_xlfn.XLOOKUP('Banco de Dados'!$P1023,Sku!B:B,Sku!#REF!)*20%),2),ROUND(SUM('Banco de Dados'!$R1023*_xlfn.XLOOKUP('Banco de Dados'!$P1023,Sku!B:B,Sku!H:H)*20%),2)),'Banco de Dados'!$A1023="GO",ROUND(SUM('Banco de Dados'!$R1023*_xlfn.XLOOKUP('Banco de Dados'!$P1023,Sku!C:C,Sku!H:H)*20%),2),'Banco de Dados'!$A1023="MEI",ROUND(SUM('Banco de Dados'!$R1023*_xlfn.XLOOKUP('Banco de Dados'!$P1023,Sku!D:D,Sku!H:H)*20%),2)),0)</f>
        <v>0</v>
      </c>
      <c r="AN1023" s="109">
        <f ca="1">IF('Banco de Dados'!$AK1023&lt;&gt;"-",IF('Banco de Dados'!$F1023&lt;&gt;"-",_xlfn.XLOOKUP(IFERROR(IFERROR(IFERROR(VALUE(SUBSTITUTE(MID(_xlfn.TEXTAFTER('Banco de Dados'!$F1023,"Data do Pedido:
",1),1,10),"-","/")),VALUE(SUBSTITUTE(MID(_xlfn.TEXTAFTER('Banco de Dados'!$F1023,"Order date:
",1),1,10),"-","/"))),VALUE(SUBSTITUTE(MID(_xlfn.TEXTAFTER('Banco de Dados'!$F1023,"Fecha de pedido:
",1),1,10),"-","/"))),"-"),SMS!A:A,SMS!K:K),0),0)</f>
        <v>0</v>
      </c>
      <c r="AO1023" s="109">
        <f ca="1">IF('Banco de Dados'!$AK1023&lt;&gt;"-",IF('Banco de Dados'!$F1023&lt;&gt;"-",IFERROR(_xlfn.XLOOKUP(_xlfn.CONCAT('Banco de Dados'!$A1023,IFERROR(IFERROR(VALUE(SUBSTITUTE(MID(_xlfn.TEXTAFTER('Banco de Dados'!$F1023,"Data do Pedido:
",1),1,10),"-","/")),VALUE(SUBSTITUTE(MID(_xlfn.TEXTAFTER('Banco de Dados'!$F1023,"Order date:
",1),1,10),"-","/"))),0)),ProxyDD[Chave],ProxyDD[Valor por pedido]),PROXY!$P$2),0),0)</f>
        <v>0</v>
      </c>
      <c r="AP1023" s="28">
        <f ca="1">IF('Banco de Dados'!$AK1023&lt;&gt;"-",IF('Banco de Dados'!$AL1023="NÃO",IFERROR(VALUE(SUBSTITUTE(_xlfn.TEXTAFTER('Banco de Dados'!$F1023,"BRL ",1),".",",")),0),0),0)</f>
        <v>0</v>
      </c>
      <c r="AQ1023" s="28">
        <f ca="1">SUM('Banco de Dados'!$AM1023:$AP1023)</f>
        <v>0</v>
      </c>
      <c r="AR1023" s="8"/>
      <c r="AY1023" s="8"/>
    </row>
    <row r="1024" spans="1:51">
      <c r="A1024" s="5" t="str">
        <v>MEI</v>
      </c>
      <c r="B1024" s="5" t="str">
        <f ca="1"/>
        <v>MEI45705</v>
      </c>
      <c r="C1024" s="8" t="str">
        <v>Pedido 1011</v>
      </c>
      <c r="D1024" s="187">
        <v>45704</v>
      </c>
      <c r="E1024" s="9">
        <v>45705</v>
      </c>
      <c r="F1024" s="8" t="str">
        <v>PedidoF990</v>
      </c>
      <c r="G1024" s="2" t="str">
        <v>CódRastreio988</v>
      </c>
      <c r="H1024" s="5">
        <v>1</v>
      </c>
      <c r="I1024" s="2" t="str">
        <v>CPF 983</v>
      </c>
      <c r="J1024" s="2" t="str">
        <v>Nome 983</v>
      </c>
      <c r="K1024" s="8" t="str">
        <v>Tel 983</v>
      </c>
      <c r="L1024" s="8" t="str">
        <v>Cep 983</v>
      </c>
      <c r="M1024" s="8" t="str">
        <v>Rua 983</v>
      </c>
      <c r="N1024" s="8" t="str">
        <v>Comp 983</v>
      </c>
      <c r="O1024" s="8" t="str">
        <v>Mini Liquidificador</v>
      </c>
      <c r="P1024" s="8" t="str">
        <v>A4-5W51-K3HF</v>
      </c>
      <c r="Q1024" s="4">
        <v>45728</v>
      </c>
      <c r="R1024" s="109">
        <v>30.99</v>
      </c>
      <c r="S1024" s="11">
        <f ca="1"/>
        <v>30.99</v>
      </c>
      <c r="T1024" s="28">
        <f ca="1"/>
        <v>4.3386000000000005</v>
      </c>
      <c r="U1024" s="11">
        <f ca="1"/>
        <v>26.65</v>
      </c>
      <c r="V1024" s="11">
        <v>14.99</v>
      </c>
      <c r="W1024" s="11">
        <f ca="1"/>
        <v>0.2</v>
      </c>
      <c r="X1024" s="11">
        <f ca="1"/>
        <v>0.39877104377104378</v>
      </c>
      <c r="Y1024" s="11">
        <v>0</v>
      </c>
      <c r="Z1024" s="11">
        <f ca="1"/>
        <v>11.061228956228955</v>
      </c>
      <c r="AA1024" s="11">
        <f ca="1"/>
        <v>5.5306144781144777</v>
      </c>
      <c r="AB1024" s="4">
        <f ca="1"/>
        <v>45735</v>
      </c>
      <c r="AC1024" s="4">
        <v>45735</v>
      </c>
      <c r="AD1024" s="9">
        <v>45747</v>
      </c>
      <c r="AE1024" s="9">
        <v>45749</v>
      </c>
      <c r="AF1024" s="4" t="str">
        <f t="shared" ca="1" si="60"/>
        <v>2025 03</v>
      </c>
      <c r="AG1024" s="8" t="str" cm="1">
        <f t="array" ref="AG1024">IFERROR(_xlfn.IFS('Banco de Dados'!#REF!="AG. COMPRA","Em processamento",'Banco de Dados'!#REF!="AG. RASTREIO","Em processamento",'Banco de Dados'!$AE1024&lt;&gt;"-","Faturado",'Banco de Dados'!$AD1024&lt;&gt;"-","Aguardando Pix",'Banco de Dados'!$AC1024&lt;&gt;"-","Pendente"),"Aguardando Liberação")</f>
        <v>Aguardando Liberação</v>
      </c>
      <c r="AH1024" s="5" t="str">
        <f>IF('Banco de Dados'!$F1024="-",_xlfn.CONCAT(PROPER(TEXT(AK1024,"aaaa"))," ",PROPER(TEXT(AK1024,"mm"))),_xlfn.CONCAT(PROPER(TEXT(E1024,"aaaa"))," ",PROPER(TEXT(E1024,"mm"))))</f>
        <v>2025 02</v>
      </c>
      <c r="AI1024" s="9" t="str">
        <f ca="1">IF('Banco de Dados'!$AK1024&lt;&gt;"-","REEMBOLSO",IFERROR(_xlfn.XLOOKUP(G1024,Follow[CODRASTREIO],Follow[STATUS]),"-"))</f>
        <v>ENTREGUE</v>
      </c>
      <c r="AJ1024" s="9">
        <f ca="1">IF('Banco de Dados'!$AI1024="ENTREGUE",_xlfn.XLOOKUP('Banco de Dados'!$G1024,Follow[CODRASTREIO],Follow[DATAATUALIZAÇÃO]),"-")</f>
        <v>45716</v>
      </c>
      <c r="AK1024" s="132" t="str">
        <f ca="1"/>
        <v>-</v>
      </c>
      <c r="AL1024" s="35"/>
      <c r="AM1024" s="109" cm="1">
        <f t="array" aca="1" ref="AM1024" ca="1">IF('Banco de Dados'!$AK1024&lt;&gt;"-",_xlfn.IFS('Banco de Dados'!$A1024="bv",IF('Banco de Dados'!$E1024&lt;45641,ROUND(SUM('Banco de Dados'!$R1024*_xlfn.XLOOKUP('Banco de Dados'!$P1024,Sku!B:B,Sku!#REF!)*20%),2),ROUND(SUM('Banco de Dados'!$R1024*_xlfn.XLOOKUP('Banco de Dados'!$P1024,Sku!B:B,Sku!H:H)*20%),2)),'Banco de Dados'!$A1024="GO",ROUND(SUM('Banco de Dados'!$R1024*_xlfn.XLOOKUP('Banco de Dados'!$P1024,Sku!C:C,Sku!H:H)*20%),2),'Banco de Dados'!$A1024="MEI",ROUND(SUM('Banco de Dados'!$R1024*_xlfn.XLOOKUP('Banco de Dados'!$P1024,Sku!D:D,Sku!H:H)*20%),2)),0)</f>
        <v>0</v>
      </c>
      <c r="AN1024" s="109">
        <f ca="1">IF('Banco de Dados'!$AK1024&lt;&gt;"-",IF('Banco de Dados'!$F1024&lt;&gt;"-",_xlfn.XLOOKUP(IFERROR(IFERROR(IFERROR(VALUE(SUBSTITUTE(MID(_xlfn.TEXTAFTER('Banco de Dados'!$F1024,"Data do Pedido:
",1),1,10),"-","/")),VALUE(SUBSTITUTE(MID(_xlfn.TEXTAFTER('Banco de Dados'!$F1024,"Order date:
",1),1,10),"-","/"))),VALUE(SUBSTITUTE(MID(_xlfn.TEXTAFTER('Banco de Dados'!$F1024,"Fecha de pedido:
",1),1,10),"-","/"))),"-"),SMS!A:A,SMS!K:K),0),0)</f>
        <v>0</v>
      </c>
      <c r="AO1024" s="109">
        <f ca="1">IF('Banco de Dados'!$AK1024&lt;&gt;"-",IF('Banco de Dados'!$F1024&lt;&gt;"-",IFERROR(_xlfn.XLOOKUP(_xlfn.CONCAT('Banco de Dados'!$A1024,IFERROR(IFERROR(VALUE(SUBSTITUTE(MID(_xlfn.TEXTAFTER('Banco de Dados'!$F1024,"Data do Pedido:
",1),1,10),"-","/")),VALUE(SUBSTITUTE(MID(_xlfn.TEXTAFTER('Banco de Dados'!$F1024,"Order date:
",1),1,10),"-","/"))),0)),ProxyDD[Chave],ProxyDD[Valor por pedido]),PROXY!$P$2),0),0)</f>
        <v>0</v>
      </c>
      <c r="AP1024" s="28">
        <f ca="1">IF('Banco de Dados'!$AK1024&lt;&gt;"-",IF('Banco de Dados'!$AL1024="NÃO",IFERROR(VALUE(SUBSTITUTE(_xlfn.TEXTAFTER('Banco de Dados'!$F1024,"BRL ",1),".",",")),0),0),0)</f>
        <v>0</v>
      </c>
      <c r="AQ1024" s="28">
        <f ca="1">SUM('Banco de Dados'!$AM1024:$AP1024)</f>
        <v>0</v>
      </c>
      <c r="AR1024" s="8"/>
      <c r="AY1024" s="8"/>
    </row>
    <row r="1025" spans="1:51">
      <c r="A1025" s="5" t="str">
        <v>MEI</v>
      </c>
      <c r="B1025" s="5" t="str">
        <f ca="1"/>
        <v>MEI45705</v>
      </c>
      <c r="C1025" s="8" t="str">
        <v>Pedido 1012</v>
      </c>
      <c r="D1025" s="187">
        <v>45705</v>
      </c>
      <c r="E1025" s="9">
        <v>45705</v>
      </c>
      <c r="F1025" s="8" t="str">
        <v>PedidoF991</v>
      </c>
      <c r="G1025" s="2" t="str">
        <v>CódRastreio989</v>
      </c>
      <c r="H1025" s="5">
        <v>1</v>
      </c>
      <c r="I1025" s="2" t="str">
        <v>CPF 984</v>
      </c>
      <c r="J1025" s="2" t="str">
        <v>Nome 984</v>
      </c>
      <c r="K1025" s="8" t="str">
        <v>Tel 984</v>
      </c>
      <c r="L1025" s="8" t="str">
        <v>Cep 984</v>
      </c>
      <c r="M1025" s="8" t="str">
        <v>Rua 984</v>
      </c>
      <c r="N1025" s="8" t="str">
        <v>Comp 984</v>
      </c>
      <c r="O1025" s="8" t="str">
        <v>Ventilador Preto</v>
      </c>
      <c r="P1025" s="8" t="str">
        <v>WU-SS4J-LFOH</v>
      </c>
      <c r="Q1025" s="4">
        <v>45729</v>
      </c>
      <c r="R1025" s="109">
        <v>65.989999999999995</v>
      </c>
      <c r="S1025" s="11">
        <f ca="1"/>
        <v>0</v>
      </c>
      <c r="T1025" s="28">
        <f ca="1"/>
        <v>0</v>
      </c>
      <c r="U1025" s="11">
        <f ca="1"/>
        <v>0</v>
      </c>
      <c r="V1025" s="11">
        <v>0</v>
      </c>
      <c r="W1025" s="11">
        <f ca="1"/>
        <v>0</v>
      </c>
      <c r="X1025" s="11">
        <f ca="1"/>
        <v>0.39877104377104378</v>
      </c>
      <c r="Y1025" s="11">
        <v>0</v>
      </c>
      <c r="Z1025" s="11">
        <f ca="1"/>
        <v>-0.39877104377104378</v>
      </c>
      <c r="AA1025" s="11">
        <f ca="1"/>
        <v>-0.19938552188552189</v>
      </c>
      <c r="AB1025" s="4">
        <f ca="1"/>
        <v>45736</v>
      </c>
      <c r="AC1025" s="4">
        <v>45736</v>
      </c>
      <c r="AD1025" s="9">
        <v>45747</v>
      </c>
      <c r="AE1025" s="9">
        <v>45749</v>
      </c>
      <c r="AF1025" s="4" t="str">
        <f t="shared" ca="1" si="60"/>
        <v>2025 03</v>
      </c>
      <c r="AG1025" s="8" t="str" cm="1">
        <f t="array" ref="AG1025">IFERROR(_xlfn.IFS('Banco de Dados'!#REF!="AG. COMPRA","Em processamento",'Banco de Dados'!#REF!="AG. RASTREIO","Em processamento",'Banco de Dados'!$AE1025&lt;&gt;"-","Faturado",'Banco de Dados'!$AD1025&lt;&gt;"-","Aguardando Pix",'Banco de Dados'!$AC1025&lt;&gt;"-","Pendente"),"Aguardando Liberação")</f>
        <v>Aguardando Liberação</v>
      </c>
      <c r="AH1025" s="5" t="str">
        <f>IF('Banco de Dados'!$F1025="-",_xlfn.CONCAT(PROPER(TEXT(AK1025,"aaaa"))," ",PROPER(TEXT(AK1025,"mm"))),_xlfn.CONCAT(PROPER(TEXT(E1025,"aaaa"))," ",PROPER(TEXT(E1025,"mm"))))</f>
        <v>2025 02</v>
      </c>
      <c r="AI1025" s="9" t="str">
        <f ca="1">IF('Banco de Dados'!$AK1025&lt;&gt;"-","REEMBOLSO",IFERROR(_xlfn.XLOOKUP(G1025,Follow[CODRASTREIO],Follow[STATUS]),"-"))</f>
        <v>REEMBOLSO</v>
      </c>
      <c r="AJ1025" s="9" t="str">
        <f ca="1">IF('Banco de Dados'!$AI1025="ENTREGUE",_xlfn.XLOOKUP('Banco de Dados'!$G1025,Follow[CODRASTREIO],Follow[DATAATUALIZAÇÃO]),"-")</f>
        <v>-</v>
      </c>
      <c r="AK1025" s="132">
        <f ca="1"/>
        <v>45736</v>
      </c>
      <c r="AL1025" s="35"/>
      <c r="AM1025" s="109" cm="1">
        <f t="array" aca="1" ref="AM1025" ca="1">IF('Banco de Dados'!$AK1025&lt;&gt;"-",_xlfn.IFS('Banco de Dados'!$A1025="bv",IF('Banco de Dados'!$E1025&lt;45641,ROUND(SUM('Banco de Dados'!$R1025*_xlfn.XLOOKUP('Banco de Dados'!$P1025,Sku!B:B,Sku!#REF!)*20%),2),ROUND(SUM('Banco de Dados'!$R1025*_xlfn.XLOOKUP('Banco de Dados'!$P1025,Sku!B:B,Sku!H:H)*20%),2)),'Banco de Dados'!$A1025="GO",ROUND(SUM('Banco de Dados'!$R1025*_xlfn.XLOOKUP('Banco de Dados'!$P1025,Sku!C:C,Sku!H:H)*20%),2),'Banco de Dados'!$A1025="MEI",ROUND(SUM('Banco de Dados'!$R1025*_xlfn.XLOOKUP('Banco de Dados'!$P1025,Sku!D:D,Sku!H:H)*20%),2)),0)</f>
        <v>1.72</v>
      </c>
      <c r="AN1025" s="109" t="e">
        <f ca="1">IF('Banco de Dados'!$AK1025&lt;&gt;"-",IF('Banco de Dados'!$F1025&lt;&gt;"-",_xlfn.XLOOKUP(IFERROR(IFERROR(IFERROR(VALUE(SUBSTITUTE(MID(_xlfn.TEXTAFTER('Banco de Dados'!$F1025,"Data do Pedido:
",1),1,10),"-","/")),VALUE(SUBSTITUTE(MID(_xlfn.TEXTAFTER('Banco de Dados'!$F1025,"Order date:
",1),1,10),"-","/"))),VALUE(SUBSTITUTE(MID(_xlfn.TEXTAFTER('Banco de Dados'!$F1025,"Fecha de pedido:
",1),1,10),"-","/"))),"-"),SMS!A:A,SMS!K:K),0),0)</f>
        <v>#N/A</v>
      </c>
      <c r="AO1025" s="109">
        <f ca="1">IF('Banco de Dados'!$AK1025&lt;&gt;"-",IF('Banco de Dados'!$F1025&lt;&gt;"-",IFERROR(_xlfn.XLOOKUP(_xlfn.CONCAT('Banco de Dados'!$A1025,IFERROR(IFERROR(VALUE(SUBSTITUTE(MID(_xlfn.TEXTAFTER('Banco de Dados'!$F1025,"Data do Pedido:
",1),1,10),"-","/")),VALUE(SUBSTITUTE(MID(_xlfn.TEXTAFTER('Banco de Dados'!$F1025,"Order date:
",1),1,10),"-","/"))),0)),ProxyDD[Chave],ProxyDD[Valor por pedido]),PROXY!$P$2),0),0)</f>
        <v>0.39877104377104378</v>
      </c>
      <c r="AP1025" s="28">
        <f ca="1">IF('Banco de Dados'!$AK1025&lt;&gt;"-",IF('Banco de Dados'!$AL1025="NÃO",IFERROR(VALUE(SUBSTITUTE(_xlfn.TEXTAFTER('Banco de Dados'!$F1025,"BRL ",1),".",",")),0),0),0)</f>
        <v>0</v>
      </c>
      <c r="AQ1025" s="28" t="e">
        <f ca="1">SUM('Banco de Dados'!$AM1025:$AP1025)</f>
        <v>#N/A</v>
      </c>
      <c r="AR1025" s="8"/>
      <c r="AY1025" s="8"/>
    </row>
    <row r="1026" spans="1:51">
      <c r="A1026" s="5" t="str">
        <v>BV</v>
      </c>
      <c r="B1026" s="5" t="str">
        <f ca="1"/>
        <v>BV45706</v>
      </c>
      <c r="C1026" s="8" t="str">
        <v>Pedido 1013</v>
      </c>
      <c r="D1026" s="9">
        <v>45705</v>
      </c>
      <c r="E1026" s="9">
        <v>45706</v>
      </c>
      <c r="F1026" s="8" t="str">
        <v>PedidoF992</v>
      </c>
      <c r="G1026" s="2" t="str">
        <v>CódRastreio990</v>
      </c>
      <c r="H1026" s="5">
        <v>1</v>
      </c>
      <c r="I1026" s="2" t="str">
        <v>CPF 985</v>
      </c>
      <c r="J1026" s="2" t="str">
        <v>Nome 985</v>
      </c>
      <c r="K1026" s="8" t="str">
        <v>Tel 985</v>
      </c>
      <c r="L1026" s="8" t="str">
        <v>Cep 985</v>
      </c>
      <c r="M1026" s="8" t="str">
        <v>Rua 985</v>
      </c>
      <c r="N1026" s="8" t="str">
        <v>Comp 985</v>
      </c>
      <c r="O1026" s="8" t="str">
        <v>Ventilador Rosa</v>
      </c>
      <c r="P1026" s="8" t="str">
        <v>IF-G2ZQ-79FO</v>
      </c>
      <c r="Q1026" s="4">
        <v>45735</v>
      </c>
      <c r="R1026" s="109">
        <v>78.989999999999995</v>
      </c>
      <c r="S1026" s="11">
        <f ca="1"/>
        <v>78.989999999999995</v>
      </c>
      <c r="T1026" s="28">
        <f ca="1"/>
        <v>10.268699999999999</v>
      </c>
      <c r="U1026" s="11">
        <f ca="1"/>
        <v>68.72</v>
      </c>
      <c r="V1026" s="11">
        <v>13.29</v>
      </c>
      <c r="W1026" s="11">
        <f ca="1"/>
        <v>0.2</v>
      </c>
      <c r="X1026" s="11">
        <f ca="1"/>
        <v>0.39877104377104378</v>
      </c>
      <c r="Y1026" s="11">
        <v>0</v>
      </c>
      <c r="Z1026" s="11">
        <f ca="1"/>
        <v>54.831228956228955</v>
      </c>
      <c r="AA1026" s="11">
        <f ca="1"/>
        <v>27.415614478114477</v>
      </c>
      <c r="AB1026" s="4">
        <f ca="1"/>
        <v>45742</v>
      </c>
      <c r="AC1026" s="4">
        <v>45742</v>
      </c>
      <c r="AD1026" s="9">
        <v>45747</v>
      </c>
      <c r="AE1026" s="9">
        <v>45749</v>
      </c>
      <c r="AF1026" s="4" t="str">
        <f t="shared" ref="AF1026:AF1032" ca="1" si="61">_xlfn.CONCAT(PROPER(TEXT(AB1026,"aaaa"))," ",PROPER(TEXT(AB1026,"mm")))</f>
        <v>2025 03</v>
      </c>
      <c r="AG1026" s="8" t="str" cm="1">
        <f t="array" ref="AG1026">IFERROR(_xlfn.IFS('Banco de Dados'!#REF!="AG. COMPRA","Em processamento",'Banco de Dados'!#REF!="AG. RASTREIO","Em processamento",'Banco de Dados'!$AE1026&lt;&gt;"-","Faturado",'Banco de Dados'!$AD1026&lt;&gt;"-","Aguardando Pix",'Banco de Dados'!$AC1026&lt;&gt;"-","Pendente"),"Aguardando Liberação")</f>
        <v>Aguardando Liberação</v>
      </c>
      <c r="AH1026" s="5" t="str">
        <f>IF('Banco de Dados'!$F1026="-",_xlfn.CONCAT(PROPER(TEXT(AK1026,"aaaa"))," ",PROPER(TEXT(AK1026,"mm"))),_xlfn.CONCAT(PROPER(TEXT(E1026,"aaaa"))," ",PROPER(TEXT(E1026,"mm"))))</f>
        <v>2025 02</v>
      </c>
      <c r="AI1026" s="9" t="str">
        <f ca="1">IF('Banco de Dados'!$AK1026&lt;&gt;"-","REEMBOLSO",IFERROR(_xlfn.XLOOKUP(G1026,Follow[CODRASTREIO],Follow[STATUS]),"-"))</f>
        <v>ENTREGUE</v>
      </c>
      <c r="AJ1026" s="9">
        <f ca="1">IF('Banco de Dados'!$AI1026="ENTREGUE",_xlfn.XLOOKUP('Banco de Dados'!$G1026,Follow[CODRASTREIO],Follow[DATAATUALIZAÇÃO]),"-")</f>
        <v>45723</v>
      </c>
      <c r="AK1026" s="132" t="str">
        <f ca="1"/>
        <v>-</v>
      </c>
      <c r="AL1026" s="35"/>
      <c r="AM1026" s="109" cm="1">
        <f t="array" aca="1" ref="AM1026" ca="1">IF('Banco de Dados'!$AK1026&lt;&gt;"-",_xlfn.IFS('Banco de Dados'!$A1026="bv",IF('Banco de Dados'!$E1026&lt;45641,ROUND(SUM('Banco de Dados'!$R1026*_xlfn.XLOOKUP('Banco de Dados'!$P1026,Sku!B:B,Sku!#REF!)*20%),2),ROUND(SUM('Banco de Dados'!$R1026*_xlfn.XLOOKUP('Banco de Dados'!$P1026,Sku!B:B,Sku!H:H)*20%),2)),'Banco de Dados'!$A1026="GO",ROUND(_xlfn.XLOOKUP('Banco de Dados'!$P1026,Sku!C:C,Sku!H:H),2),'Banco de Dados'!$A1026="MEI",ROUND(_xlfn.XLOOKUP('Banco de Dados'!$P1026,Sku!D:D,Sku!H:H),2)),0)</f>
        <v>0</v>
      </c>
      <c r="AN1026" s="109">
        <f ca="1">IF('Banco de Dados'!$AK1026&lt;&gt;"-",IF('Banco de Dados'!$F1026&lt;&gt;"-",_xlfn.XLOOKUP(IFERROR(IFERROR(IFERROR(VALUE(SUBSTITUTE(MID(_xlfn.TEXTAFTER('Banco de Dados'!$F1026,"Data do Pedido:
",1),1,10),"-","/")),VALUE(SUBSTITUTE(MID(_xlfn.TEXTAFTER('Banco de Dados'!$F1026,"Order date:
",1),1,10),"-","/"))),VALUE(SUBSTITUTE(MID(_xlfn.TEXTAFTER('Banco de Dados'!$F1026,"Fecha de pedido:
",1),1,10),"-","/"))),"-"),SMS!A:A,SMS!K:K),0),0)</f>
        <v>0</v>
      </c>
      <c r="AO1026" s="109">
        <f ca="1">IF('Banco de Dados'!$AK1026&lt;&gt;"-",IF('Banco de Dados'!$F1026&lt;&gt;"-",IFERROR(_xlfn.XLOOKUP(_xlfn.CONCAT('Banco de Dados'!$A1026,IFERROR(IFERROR(VALUE(SUBSTITUTE(MID(_xlfn.TEXTAFTER('Banco de Dados'!$F1026,"Data do Pedido:
",1),1,10),"-","/")),VALUE(SUBSTITUTE(MID(_xlfn.TEXTAFTER('Banco de Dados'!$F1026,"Order date:
",1),1,10),"-","/"))),0)),ProxyDD[Chave],ProxyDD[Valor por pedido]),PROXY!$P$2),0),0)</f>
        <v>0</v>
      </c>
      <c r="AP1026" s="28">
        <f ca="1">IF('Banco de Dados'!$AK1026&lt;&gt;"-",IF('Banco de Dados'!$AL1026="NÃO",IFERROR(VALUE(SUBSTITUTE(_xlfn.TEXTAFTER('Banco de Dados'!$F1026,"BRL ",1),".",",")),0),0),0)</f>
        <v>0</v>
      </c>
      <c r="AQ1026" s="28">
        <f ca="1">SUM('Banco de Dados'!$AM1026:$AP1026)</f>
        <v>0</v>
      </c>
      <c r="AR1026" s="8"/>
      <c r="AY1026" s="8"/>
    </row>
    <row r="1027" spans="1:51">
      <c r="A1027" s="5" t="str">
        <v>MEI</v>
      </c>
      <c r="B1027" s="5" t="str">
        <f ca="1"/>
        <v>MEI45706</v>
      </c>
      <c r="C1027" s="8" t="str">
        <v>Pedido 1014</v>
      </c>
      <c r="D1027" s="187">
        <v>45705</v>
      </c>
      <c r="E1027" s="9">
        <v>45706</v>
      </c>
      <c r="F1027" s="8" t="str">
        <v>PedidoF993</v>
      </c>
      <c r="G1027" s="2" t="str">
        <v>CódRastreio991</v>
      </c>
      <c r="H1027" s="5">
        <v>1</v>
      </c>
      <c r="I1027" s="2" t="str">
        <v>CPF 986</v>
      </c>
      <c r="J1027" s="2" t="str">
        <v>Nome 986</v>
      </c>
      <c r="K1027" s="8" t="str">
        <v>Tel 986</v>
      </c>
      <c r="L1027" s="8" t="str">
        <v>Cep 986</v>
      </c>
      <c r="M1027" s="8" t="str">
        <v>Rua 986</v>
      </c>
      <c r="N1027" s="8" t="str">
        <v>Comp 986</v>
      </c>
      <c r="O1027" s="8" t="str">
        <v>Ventilador Preto</v>
      </c>
      <c r="P1027" s="8" t="str">
        <v>WU-SS4J-LFOH</v>
      </c>
      <c r="Q1027" s="4">
        <v>45735</v>
      </c>
      <c r="R1027" s="109">
        <v>65.989999999999995</v>
      </c>
      <c r="S1027" s="11">
        <f ca="1"/>
        <v>65.989999999999995</v>
      </c>
      <c r="T1027" s="28">
        <f ca="1"/>
        <v>8.5786999999999995</v>
      </c>
      <c r="U1027" s="11">
        <f ca="1"/>
        <v>57.41</v>
      </c>
      <c r="V1027" s="11">
        <v>10.15</v>
      </c>
      <c r="W1027" s="11">
        <f ca="1"/>
        <v>0.2</v>
      </c>
      <c r="X1027" s="11">
        <f ca="1"/>
        <v>0.39877104377104378</v>
      </c>
      <c r="Y1027" s="11">
        <v>0</v>
      </c>
      <c r="Z1027" s="11">
        <f ca="1"/>
        <v>46.661228956228953</v>
      </c>
      <c r="AA1027" s="11">
        <f ca="1"/>
        <v>23.330614478114477</v>
      </c>
      <c r="AB1027" s="4">
        <f ca="1"/>
        <v>45742</v>
      </c>
      <c r="AC1027" s="4">
        <v>45742</v>
      </c>
      <c r="AD1027" s="9">
        <v>45747</v>
      </c>
      <c r="AE1027" s="9">
        <v>45749</v>
      </c>
      <c r="AF1027" s="4" t="str">
        <f t="shared" ca="1" si="61"/>
        <v>2025 03</v>
      </c>
      <c r="AG1027" s="8" t="str" cm="1">
        <f t="array" ref="AG1027">IFERROR(_xlfn.IFS('Banco de Dados'!#REF!="AG. COMPRA","Em processamento",'Banco de Dados'!#REF!="AG. RASTREIO","Em processamento",'Banco de Dados'!$AE1027&lt;&gt;"-","Faturado",'Banco de Dados'!$AD1027&lt;&gt;"-","Aguardando Pix",'Banco de Dados'!$AC1027&lt;&gt;"-","Pendente"),"Aguardando Liberação")</f>
        <v>Aguardando Liberação</v>
      </c>
      <c r="AH1027" s="5" t="str">
        <f>IF('Banco de Dados'!$F1027="-",_xlfn.CONCAT(PROPER(TEXT(AK1027,"aaaa"))," ",PROPER(TEXT(AK1027,"mm"))),_xlfn.CONCAT(PROPER(TEXT(E1027,"aaaa"))," ",PROPER(TEXT(E1027,"mm"))))</f>
        <v>2025 02</v>
      </c>
      <c r="AI1027" s="9" t="str">
        <f ca="1">IF('Banco de Dados'!$AK1027&lt;&gt;"-","REEMBOLSO",IFERROR(_xlfn.XLOOKUP(G1027,Follow[CODRASTREIO],Follow[STATUS]),"-"))</f>
        <v>ENTREGUE</v>
      </c>
      <c r="AJ1027" s="9">
        <f ca="1">IF('Banco de Dados'!$AI1027="ENTREGUE",_xlfn.XLOOKUP('Banco de Dados'!$G1027,Follow[CODRASTREIO],Follow[DATAATUALIZAÇÃO]),"-")</f>
        <v>45724</v>
      </c>
      <c r="AK1027" s="132" t="str">
        <f ca="1"/>
        <v>-</v>
      </c>
      <c r="AL1027" s="35"/>
      <c r="AM1027" s="109" cm="1">
        <f t="array" aca="1" ref="AM1027" ca="1">IF('Banco de Dados'!$AK1027&lt;&gt;"-",_xlfn.IFS('Banco de Dados'!$A1027="bv",IF('Banco de Dados'!$E1027&lt;45641,ROUND(SUM('Banco de Dados'!$R1027*_xlfn.XLOOKUP('Banco de Dados'!$P1027,Sku!B:B,Sku!#REF!)*20%),2),ROUND(SUM('Banco de Dados'!$R1027*_xlfn.XLOOKUP('Banco de Dados'!$P1027,Sku!B:B,Sku!H:H)*20%),2)),'Banco de Dados'!$A1027="GO",ROUND(SUM('Banco de Dados'!$R1027*_xlfn.XLOOKUP('Banco de Dados'!$P1027,Sku!C:C,Sku!H:H)*20%),2),'Banco de Dados'!$A1027="MEI",ROUND(SUM('Banco de Dados'!$R1027*_xlfn.XLOOKUP('Banco de Dados'!$P1027,Sku!D:D,Sku!H:H)*20%),2)),0)</f>
        <v>0</v>
      </c>
      <c r="AN1027" s="109">
        <f ca="1">IF('Banco de Dados'!$AK1027&lt;&gt;"-",IF('Banco de Dados'!$F1027&lt;&gt;"-",_xlfn.XLOOKUP(IFERROR(IFERROR(IFERROR(VALUE(SUBSTITUTE(MID(_xlfn.TEXTAFTER('Banco de Dados'!$F1027,"Data do Pedido:
",1),1,10),"-","/")),VALUE(SUBSTITUTE(MID(_xlfn.TEXTAFTER('Banco de Dados'!$F1027,"Order date:
",1),1,10),"-","/"))),VALUE(SUBSTITUTE(MID(_xlfn.TEXTAFTER('Banco de Dados'!$F1027,"Fecha de pedido:
",1),1,10),"-","/"))),"-"),SMS!A:A,SMS!K:K),0),0)</f>
        <v>0</v>
      </c>
      <c r="AO1027" s="109">
        <f ca="1">IF('Banco de Dados'!$AK1027&lt;&gt;"-",IF('Banco de Dados'!$F1027&lt;&gt;"-",IFERROR(_xlfn.XLOOKUP(_xlfn.CONCAT('Banco de Dados'!$A1027,IFERROR(IFERROR(VALUE(SUBSTITUTE(MID(_xlfn.TEXTAFTER('Banco de Dados'!$F1027,"Data do Pedido:
",1),1,10),"-","/")),VALUE(SUBSTITUTE(MID(_xlfn.TEXTAFTER('Banco de Dados'!$F1027,"Order date:
",1),1,10),"-","/"))),0)),ProxyDD[Chave],ProxyDD[Valor por pedido]),PROXY!$P$2),0),0)</f>
        <v>0</v>
      </c>
      <c r="AP1027" s="28">
        <f ca="1">IF('Banco de Dados'!$AK1027&lt;&gt;"-",IF('Banco de Dados'!$AL1027="NÃO",IFERROR(VALUE(SUBSTITUTE(_xlfn.TEXTAFTER('Banco de Dados'!$F1027,"BRL ",1),".",",")),0),0),0)</f>
        <v>0</v>
      </c>
      <c r="AQ1027" s="28">
        <f ca="1">SUM('Banco de Dados'!$AM1027:$AP1027)</f>
        <v>0</v>
      </c>
      <c r="AR1027" s="8"/>
      <c r="AY1027" s="8"/>
    </row>
    <row r="1028" spans="1:51">
      <c r="A1028" s="5" t="str">
        <v>MEI</v>
      </c>
      <c r="B1028" s="5" t="str">
        <f ca="1"/>
        <v>MEI45706</v>
      </c>
      <c r="C1028" s="8" t="str">
        <v>Pedido 1015</v>
      </c>
      <c r="D1028" s="187">
        <v>45705</v>
      </c>
      <c r="E1028" s="9">
        <v>45706</v>
      </c>
      <c r="F1028" s="8" t="str">
        <v>PedidoF994</v>
      </c>
      <c r="G1028" s="2" t="str">
        <v>CódRastreio992</v>
      </c>
      <c r="H1028" s="5">
        <v>1</v>
      </c>
      <c r="I1028" s="2" t="str">
        <v>CPF 987</v>
      </c>
      <c r="J1028" s="2" t="str">
        <v>Nome 987</v>
      </c>
      <c r="K1028" s="8" t="str">
        <v>Tel 987</v>
      </c>
      <c r="L1028" s="8" t="str">
        <v>Cep 987</v>
      </c>
      <c r="M1028" s="8" t="str">
        <v>Rua 987</v>
      </c>
      <c r="N1028" s="8" t="str">
        <v>Comp 987</v>
      </c>
      <c r="O1028" s="8" t="str">
        <v>Mini Liquidificador</v>
      </c>
      <c r="P1028" s="8" t="str">
        <v>A4-5W51-K3HF</v>
      </c>
      <c r="Q1028" s="4">
        <v>45735</v>
      </c>
      <c r="R1028" s="109">
        <v>30.99</v>
      </c>
      <c r="S1028" s="11">
        <f ca="1"/>
        <v>30.99</v>
      </c>
      <c r="T1028" s="28">
        <f ca="1"/>
        <v>4.3386000000000005</v>
      </c>
      <c r="U1028" s="11">
        <f ca="1"/>
        <v>26.65</v>
      </c>
      <c r="V1028" s="11">
        <v>14.99</v>
      </c>
      <c r="W1028" s="11">
        <f ca="1"/>
        <v>0.2</v>
      </c>
      <c r="X1028" s="11">
        <f ca="1"/>
        <v>0.39877104377104378</v>
      </c>
      <c r="Y1028" s="11">
        <v>0</v>
      </c>
      <c r="Z1028" s="11">
        <f ca="1"/>
        <v>11.061228956228955</v>
      </c>
      <c r="AA1028" s="11">
        <f ca="1"/>
        <v>5.5306144781144777</v>
      </c>
      <c r="AB1028" s="4">
        <f ca="1"/>
        <v>45742</v>
      </c>
      <c r="AC1028" s="4">
        <v>45742</v>
      </c>
      <c r="AD1028" s="9">
        <v>45747</v>
      </c>
      <c r="AE1028" s="9">
        <v>45749</v>
      </c>
      <c r="AF1028" s="4" t="str">
        <f t="shared" ca="1" si="61"/>
        <v>2025 03</v>
      </c>
      <c r="AG1028" s="8" t="str" cm="1">
        <f t="array" ref="AG1028">IFERROR(_xlfn.IFS('Banco de Dados'!#REF!="AG. COMPRA","Em processamento",'Banco de Dados'!#REF!="AG. RASTREIO","Em processamento",'Banco de Dados'!$AE1028&lt;&gt;"-","Faturado",'Banco de Dados'!$AD1028&lt;&gt;"-","Aguardando Pix",'Banco de Dados'!$AC1028&lt;&gt;"-","Pendente"),"Aguardando Liberação")</f>
        <v>Aguardando Liberação</v>
      </c>
      <c r="AH1028" s="5" t="str">
        <f>IF('Banco de Dados'!$F1028="-",_xlfn.CONCAT(PROPER(TEXT(AK1028,"aaaa"))," ",PROPER(TEXT(AK1028,"mm"))),_xlfn.CONCAT(PROPER(TEXT(E1028,"aaaa"))," ",PROPER(TEXT(E1028,"mm"))))</f>
        <v>2025 02</v>
      </c>
      <c r="AI1028" s="9" t="str">
        <f ca="1">IF('Banco de Dados'!$AK1028&lt;&gt;"-","REEMBOLSO",IFERROR(_xlfn.XLOOKUP(G1028,Follow[CODRASTREIO],Follow[STATUS]),"-"))</f>
        <v>ENTREGUE</v>
      </c>
      <c r="AJ1028" s="9">
        <f ca="1">IF('Banco de Dados'!$AI1028="ENTREGUE",_xlfn.XLOOKUP('Banco de Dados'!$G1028,Follow[CODRASTREIO],Follow[DATAATUALIZAÇÃO]),"-")</f>
        <v>45715</v>
      </c>
      <c r="AK1028" s="132" t="str">
        <f ca="1"/>
        <v>-</v>
      </c>
      <c r="AL1028" s="35"/>
      <c r="AM1028" s="109" cm="1">
        <f t="array" aca="1" ref="AM1028" ca="1">IF('Banco de Dados'!$AK1028&lt;&gt;"-",_xlfn.IFS('Banco de Dados'!$A1028="bv",IF('Banco de Dados'!$E1028&lt;45641,ROUND(SUM('Banco de Dados'!$R1028*_xlfn.XLOOKUP('Banco de Dados'!$P1028,Sku!B:B,Sku!#REF!)*20%),2),ROUND(SUM('Banco de Dados'!$R1028*_xlfn.XLOOKUP('Banco de Dados'!$P1028,Sku!B:B,Sku!H:H)*20%),2)),'Banco de Dados'!$A1028="GO",ROUND(SUM('Banco de Dados'!$R1028*_xlfn.XLOOKUP('Banco de Dados'!$P1028,Sku!C:C,Sku!H:H)*20%),2),'Banco de Dados'!$A1028="MEI",ROUND(SUM('Banco de Dados'!$R1028*_xlfn.XLOOKUP('Banco de Dados'!$P1028,Sku!D:D,Sku!H:H)*20%),2)),0)</f>
        <v>0</v>
      </c>
      <c r="AN1028" s="109">
        <f ca="1">IF('Banco de Dados'!$AK1028&lt;&gt;"-",IF('Banco de Dados'!$F1028&lt;&gt;"-",_xlfn.XLOOKUP(IFERROR(IFERROR(IFERROR(VALUE(SUBSTITUTE(MID(_xlfn.TEXTAFTER('Banco de Dados'!$F1028,"Data do Pedido:
",1),1,10),"-","/")),VALUE(SUBSTITUTE(MID(_xlfn.TEXTAFTER('Banco de Dados'!$F1028,"Order date:
",1),1,10),"-","/"))),VALUE(SUBSTITUTE(MID(_xlfn.TEXTAFTER('Banco de Dados'!$F1028,"Fecha de pedido:
",1),1,10),"-","/"))),"-"),SMS!A:A,SMS!K:K),0),0)</f>
        <v>0</v>
      </c>
      <c r="AO1028" s="109">
        <f ca="1">IF('Banco de Dados'!$AK1028&lt;&gt;"-",IF('Banco de Dados'!$F1028&lt;&gt;"-",IFERROR(_xlfn.XLOOKUP(_xlfn.CONCAT('Banco de Dados'!$A1028,IFERROR(IFERROR(VALUE(SUBSTITUTE(MID(_xlfn.TEXTAFTER('Banco de Dados'!$F1028,"Data do Pedido:
",1),1,10),"-","/")),VALUE(SUBSTITUTE(MID(_xlfn.TEXTAFTER('Banco de Dados'!$F1028,"Order date:
",1),1,10),"-","/"))),0)),ProxyDD[Chave],ProxyDD[Valor por pedido]),PROXY!$P$2),0),0)</f>
        <v>0</v>
      </c>
      <c r="AP1028" s="28">
        <f ca="1">IF('Banco de Dados'!$AK1028&lt;&gt;"-",IF('Banco de Dados'!$AL1028="NÃO",IFERROR(VALUE(SUBSTITUTE(_xlfn.TEXTAFTER('Banco de Dados'!$F1028,"BRL ",1),".",",")),0),0),0)</f>
        <v>0</v>
      </c>
      <c r="AQ1028" s="28">
        <f ca="1">SUM('Banco de Dados'!$AM1028:$AP1028)</f>
        <v>0</v>
      </c>
      <c r="AR1028" s="8"/>
      <c r="AY1028" s="8"/>
    </row>
    <row r="1029" spans="1:51">
      <c r="A1029" s="5" t="str">
        <v>MEI</v>
      </c>
      <c r="B1029" s="5" t="str">
        <f ca="1"/>
        <v>MEI45706</v>
      </c>
      <c r="C1029" s="8" t="str">
        <v>Pedido 1016</v>
      </c>
      <c r="D1029" s="187">
        <v>45705</v>
      </c>
      <c r="E1029" s="9">
        <v>45706</v>
      </c>
      <c r="F1029" s="8" t="str">
        <v>PedidoF995</v>
      </c>
      <c r="G1029" s="2" t="str">
        <v>CódRastreio993</v>
      </c>
      <c r="H1029" s="5">
        <v>1</v>
      </c>
      <c r="I1029" s="2" t="str">
        <v>CPF 988</v>
      </c>
      <c r="J1029" s="2" t="str">
        <v>Nome 988</v>
      </c>
      <c r="K1029" s="8" t="str">
        <v>Tel 988</v>
      </c>
      <c r="L1029" s="8" t="str">
        <v>Cep 988</v>
      </c>
      <c r="M1029" s="8" t="str">
        <v>Rua 988</v>
      </c>
      <c r="N1029" s="8" t="str">
        <v>Comp 988</v>
      </c>
      <c r="O1029" s="8" t="str">
        <v>Mini Liquidificador</v>
      </c>
      <c r="P1029" s="8" t="str">
        <v>A4-5W51-K3HF</v>
      </c>
      <c r="Q1029" s="4">
        <v>45729</v>
      </c>
      <c r="R1029" s="109">
        <v>30.99</v>
      </c>
      <c r="S1029" s="11">
        <f ca="1"/>
        <v>30.99</v>
      </c>
      <c r="T1029" s="28">
        <f ca="1"/>
        <v>4.3386000000000005</v>
      </c>
      <c r="U1029" s="11">
        <f ca="1"/>
        <v>26.65</v>
      </c>
      <c r="V1029" s="11">
        <v>14.99</v>
      </c>
      <c r="W1029" s="11">
        <f ca="1"/>
        <v>0.2</v>
      </c>
      <c r="X1029" s="11">
        <f ca="1"/>
        <v>0.39877104377104378</v>
      </c>
      <c r="Y1029" s="11">
        <v>0</v>
      </c>
      <c r="Z1029" s="11">
        <f ca="1"/>
        <v>11.061228956228955</v>
      </c>
      <c r="AA1029" s="11">
        <f ca="1"/>
        <v>5.5306144781144777</v>
      </c>
      <c r="AB1029" s="4">
        <f ca="1"/>
        <v>45736</v>
      </c>
      <c r="AC1029" s="4">
        <v>45736</v>
      </c>
      <c r="AD1029" s="9">
        <v>45747</v>
      </c>
      <c r="AE1029" s="9">
        <v>45749</v>
      </c>
      <c r="AF1029" s="4" t="str">
        <f t="shared" ca="1" si="61"/>
        <v>2025 03</v>
      </c>
      <c r="AG1029" s="8" t="str" cm="1">
        <f t="array" ref="AG1029">IFERROR(_xlfn.IFS('Banco de Dados'!#REF!="AG. COMPRA","Em processamento",'Banco de Dados'!#REF!="AG. RASTREIO","Em processamento",'Banco de Dados'!$AE1029&lt;&gt;"-","Faturado",'Banco de Dados'!$AD1029&lt;&gt;"-","Aguardando Pix",'Banco de Dados'!$AC1029&lt;&gt;"-","Pendente"),"Aguardando Liberação")</f>
        <v>Aguardando Liberação</v>
      </c>
      <c r="AH1029" s="5" t="str">
        <f>IF('Banco de Dados'!$F1029="-",_xlfn.CONCAT(PROPER(TEXT(AK1029,"aaaa"))," ",PROPER(TEXT(AK1029,"mm"))),_xlfn.CONCAT(PROPER(TEXT(E1029,"aaaa"))," ",PROPER(TEXT(E1029,"mm"))))</f>
        <v>2025 02</v>
      </c>
      <c r="AI1029" s="9" t="str">
        <f ca="1">IF('Banco de Dados'!$AK1029&lt;&gt;"-","REEMBOLSO",IFERROR(_xlfn.XLOOKUP(G1029,Follow[CODRASTREIO],Follow[STATUS]),"-"))</f>
        <v>ENTREGUE</v>
      </c>
      <c r="AJ1029" s="9">
        <f ca="1">IF('Banco de Dados'!$AI1029="ENTREGUE",_xlfn.XLOOKUP('Banco de Dados'!$G1029,Follow[CODRASTREIO],Follow[DATAATUALIZAÇÃO]),"-")</f>
        <v>45712</v>
      </c>
      <c r="AK1029" s="132" t="str">
        <f ca="1"/>
        <v>-</v>
      </c>
      <c r="AL1029" s="35"/>
      <c r="AM1029" s="109" cm="1">
        <f t="array" aca="1" ref="AM1029" ca="1">IF('Banco de Dados'!$AK1029&lt;&gt;"-",_xlfn.IFS('Banco de Dados'!$A1029="bv",IF('Banco de Dados'!$E1029&lt;45641,ROUND(SUM('Banco de Dados'!$R1029*_xlfn.XLOOKUP('Banco de Dados'!$P1029,Sku!B:B,Sku!#REF!)*20%),2),ROUND(SUM('Banco de Dados'!$R1029*_xlfn.XLOOKUP('Banco de Dados'!$P1029,Sku!B:B,Sku!H:H)*20%),2)),'Banco de Dados'!$A1029="GO",ROUND(SUM('Banco de Dados'!$R1029*_xlfn.XLOOKUP('Banco de Dados'!$P1029,Sku!C:C,Sku!H:H)*20%),2),'Banco de Dados'!$A1029="MEI",ROUND(SUM('Banco de Dados'!$R1029*_xlfn.XLOOKUP('Banco de Dados'!$P1029,Sku!D:D,Sku!H:H)*20%),2)),0)</f>
        <v>0</v>
      </c>
      <c r="AN1029" s="109">
        <f ca="1">IF('Banco de Dados'!$AK1029&lt;&gt;"-",IF('Banco de Dados'!$F1029&lt;&gt;"-",_xlfn.XLOOKUP(IFERROR(IFERROR(IFERROR(VALUE(SUBSTITUTE(MID(_xlfn.TEXTAFTER('Banco de Dados'!$F1029,"Data do Pedido:
",1),1,10),"-","/")),VALUE(SUBSTITUTE(MID(_xlfn.TEXTAFTER('Banco de Dados'!$F1029,"Order date:
",1),1,10),"-","/"))),VALUE(SUBSTITUTE(MID(_xlfn.TEXTAFTER('Banco de Dados'!$F1029,"Fecha de pedido:
",1),1,10),"-","/"))),"-"),SMS!A:A,SMS!K:K),0),0)</f>
        <v>0</v>
      </c>
      <c r="AO1029" s="109">
        <f ca="1">IF('Banco de Dados'!$AK1029&lt;&gt;"-",IF('Banco de Dados'!$F1029&lt;&gt;"-",IFERROR(_xlfn.XLOOKUP(_xlfn.CONCAT('Banco de Dados'!$A1029,IFERROR(IFERROR(VALUE(SUBSTITUTE(MID(_xlfn.TEXTAFTER('Banco de Dados'!$F1029,"Data do Pedido:
",1),1,10),"-","/")),VALUE(SUBSTITUTE(MID(_xlfn.TEXTAFTER('Banco de Dados'!$F1029,"Order date:
",1),1,10),"-","/"))),0)),ProxyDD[Chave],ProxyDD[Valor por pedido]),PROXY!$P$2),0),0)</f>
        <v>0</v>
      </c>
      <c r="AP1029" s="28">
        <f ca="1">IF('Banco de Dados'!$AK1029&lt;&gt;"-",IF('Banco de Dados'!$AL1029="NÃO",IFERROR(VALUE(SUBSTITUTE(_xlfn.TEXTAFTER('Banco de Dados'!$F1029,"BRL ",1),".",",")),0),0),0)</f>
        <v>0</v>
      </c>
      <c r="AQ1029" s="28">
        <f ca="1">SUM('Banco de Dados'!$AM1029:$AP1029)</f>
        <v>0</v>
      </c>
      <c r="AR1029" s="8"/>
      <c r="AY1029" s="8"/>
    </row>
    <row r="1030" spans="1:51">
      <c r="A1030" s="5" t="str">
        <v>MEI</v>
      </c>
      <c r="B1030" s="5" t="str">
        <f ca="1"/>
        <v>MEI45706</v>
      </c>
      <c r="C1030" s="8" t="str">
        <v>Pedido 1017</v>
      </c>
      <c r="D1030" s="187">
        <v>45705</v>
      </c>
      <c r="E1030" s="9">
        <v>45706</v>
      </c>
      <c r="F1030" s="8" t="str">
        <v>PedidoF996</v>
      </c>
      <c r="G1030" s="2" t="str">
        <v>CódRastreio994</v>
      </c>
      <c r="H1030" s="5">
        <v>1</v>
      </c>
      <c r="I1030" s="2" t="str">
        <v>CPF 989</v>
      </c>
      <c r="J1030" s="2" t="str">
        <v>Nome 989</v>
      </c>
      <c r="K1030" s="8" t="str">
        <v>Tel 989</v>
      </c>
      <c r="L1030" s="8" t="str">
        <v>Cep 989</v>
      </c>
      <c r="M1030" s="8" t="str">
        <v>Rua 989</v>
      </c>
      <c r="N1030" s="8" t="str">
        <v>Comp 989</v>
      </c>
      <c r="O1030" s="8" t="str">
        <v>Mini Liquidificador</v>
      </c>
      <c r="P1030" s="8" t="str">
        <v>A4-5W51-K3HF</v>
      </c>
      <c r="Q1030" s="4">
        <v>45729</v>
      </c>
      <c r="R1030" s="109">
        <v>30.99</v>
      </c>
      <c r="S1030" s="11">
        <f ca="1"/>
        <v>30.99</v>
      </c>
      <c r="T1030" s="28">
        <f ca="1"/>
        <v>4.3386000000000005</v>
      </c>
      <c r="U1030" s="11">
        <f ca="1"/>
        <v>26.65</v>
      </c>
      <c r="V1030" s="11">
        <v>14.99</v>
      </c>
      <c r="W1030" s="11">
        <f ca="1"/>
        <v>0.2</v>
      </c>
      <c r="X1030" s="11">
        <f ca="1"/>
        <v>0.39877104377104378</v>
      </c>
      <c r="Y1030" s="11">
        <v>0</v>
      </c>
      <c r="Z1030" s="11">
        <f ca="1"/>
        <v>11.061228956228955</v>
      </c>
      <c r="AA1030" s="11">
        <f ca="1"/>
        <v>5.5306144781144777</v>
      </c>
      <c r="AB1030" s="4">
        <f ca="1"/>
        <v>45736</v>
      </c>
      <c r="AC1030" s="4">
        <v>45736</v>
      </c>
      <c r="AD1030" s="9">
        <v>45747</v>
      </c>
      <c r="AE1030" s="9">
        <v>45749</v>
      </c>
      <c r="AF1030" s="4" t="str">
        <f t="shared" ca="1" si="61"/>
        <v>2025 03</v>
      </c>
      <c r="AG1030" s="8" t="str" cm="1">
        <f t="array" ref="AG1030">IFERROR(_xlfn.IFS('Banco de Dados'!#REF!="AG. COMPRA","Em processamento",'Banco de Dados'!#REF!="AG. RASTREIO","Em processamento",'Banco de Dados'!$AE1030&lt;&gt;"-","Faturado",'Banco de Dados'!$AD1030&lt;&gt;"-","Aguardando Pix",'Banco de Dados'!$AC1030&lt;&gt;"-","Pendente"),"Aguardando Liberação")</f>
        <v>Aguardando Liberação</v>
      </c>
      <c r="AH1030" s="5" t="str">
        <f>IF('Banco de Dados'!$F1030="-",_xlfn.CONCAT(PROPER(TEXT(AK1030,"aaaa"))," ",PROPER(TEXT(AK1030,"mm"))),_xlfn.CONCAT(PROPER(TEXT(E1030,"aaaa"))," ",PROPER(TEXT(E1030,"mm"))))</f>
        <v>2025 02</v>
      </c>
      <c r="AI1030" s="9" t="str">
        <f ca="1">IF('Banco de Dados'!$AK1030&lt;&gt;"-","REEMBOLSO",IFERROR(_xlfn.XLOOKUP(G1030,Follow[CODRASTREIO],Follow[STATUS]),"-"))</f>
        <v>ENTREGUE</v>
      </c>
      <c r="AJ1030" s="9">
        <f ca="1">IF('Banco de Dados'!$AI1030="ENTREGUE",_xlfn.XLOOKUP('Banco de Dados'!$G1030,Follow[CODRASTREIO],Follow[DATAATUALIZAÇÃO]),"-")</f>
        <v>45710</v>
      </c>
      <c r="AK1030" s="132" t="str">
        <f ca="1"/>
        <v>-</v>
      </c>
      <c r="AL1030" s="35"/>
      <c r="AM1030" s="109" cm="1">
        <f t="array" aca="1" ref="AM1030" ca="1">IF('Banco de Dados'!$AK1030&lt;&gt;"-",_xlfn.IFS('Banco de Dados'!$A1030="bv",IF('Banco de Dados'!$E1030&lt;45641,ROUND(SUM('Banco de Dados'!$R1030*_xlfn.XLOOKUP('Banco de Dados'!$P1030,Sku!B:B,Sku!#REF!)*20%),2),ROUND(SUM('Banco de Dados'!$R1030*_xlfn.XLOOKUP('Banco de Dados'!$P1030,Sku!B:B,Sku!H:H)*20%),2)),'Banco de Dados'!$A1030="GO",ROUND(SUM('Banco de Dados'!$R1030*_xlfn.XLOOKUP('Banco de Dados'!$P1030,Sku!C:C,Sku!H:H)*20%),2),'Banco de Dados'!$A1030="MEI",ROUND(SUM('Banco de Dados'!$R1030*_xlfn.XLOOKUP('Banco de Dados'!$P1030,Sku!D:D,Sku!H:H)*20%),2)),0)</f>
        <v>0</v>
      </c>
      <c r="AN1030" s="109">
        <f ca="1">IF('Banco de Dados'!$AK1030&lt;&gt;"-",IF('Banco de Dados'!$F1030&lt;&gt;"-",_xlfn.XLOOKUP(IFERROR(IFERROR(IFERROR(VALUE(SUBSTITUTE(MID(_xlfn.TEXTAFTER('Banco de Dados'!$F1030,"Data do Pedido:
",1),1,10),"-","/")),VALUE(SUBSTITUTE(MID(_xlfn.TEXTAFTER('Banco de Dados'!$F1030,"Order date:
",1),1,10),"-","/"))),VALUE(SUBSTITUTE(MID(_xlfn.TEXTAFTER('Banco de Dados'!$F1030,"Fecha de pedido:
",1),1,10),"-","/"))),"-"),SMS!A:A,SMS!K:K),0),0)</f>
        <v>0</v>
      </c>
      <c r="AO1030" s="109">
        <f ca="1">IF('Banco de Dados'!$AK1030&lt;&gt;"-",IF('Banco de Dados'!$F1030&lt;&gt;"-",IFERROR(_xlfn.XLOOKUP(_xlfn.CONCAT('Banco de Dados'!$A1030,IFERROR(IFERROR(VALUE(SUBSTITUTE(MID(_xlfn.TEXTAFTER('Banco de Dados'!$F1030,"Data do Pedido:
",1),1,10),"-","/")),VALUE(SUBSTITUTE(MID(_xlfn.TEXTAFTER('Banco de Dados'!$F1030,"Order date:
",1),1,10),"-","/"))),0)),ProxyDD[Chave],ProxyDD[Valor por pedido]),PROXY!$P$2),0),0)</f>
        <v>0</v>
      </c>
      <c r="AP1030" s="28">
        <f ca="1">IF('Banco de Dados'!$AK1030&lt;&gt;"-",IF('Banco de Dados'!$AL1030="NÃO",IFERROR(VALUE(SUBSTITUTE(_xlfn.TEXTAFTER('Banco de Dados'!$F1030,"BRL ",1),".",",")),0),0),0)</f>
        <v>0</v>
      </c>
      <c r="AQ1030" s="28">
        <f ca="1">SUM('Banco de Dados'!$AM1030:$AP1030)</f>
        <v>0</v>
      </c>
      <c r="AR1030" s="8"/>
      <c r="AY1030" s="8"/>
    </row>
    <row r="1031" spans="1:51">
      <c r="A1031" s="5" t="str">
        <v>MEI</v>
      </c>
      <c r="B1031" s="5" t="str">
        <f ca="1"/>
        <v>MEI45706</v>
      </c>
      <c r="C1031" s="8" t="str">
        <v>Pedido 1018</v>
      </c>
      <c r="D1031" s="187">
        <v>45706</v>
      </c>
      <c r="E1031" s="9">
        <v>45706</v>
      </c>
      <c r="F1031" s="8" t="str">
        <v>PedidoF997</v>
      </c>
      <c r="G1031" s="2" t="str">
        <v>CódRastreio995</v>
      </c>
      <c r="H1031" s="5">
        <v>1</v>
      </c>
      <c r="I1031" s="2" t="str">
        <v>CPF 990</v>
      </c>
      <c r="J1031" s="2" t="str">
        <v>Nome 990</v>
      </c>
      <c r="K1031" s="8" t="str">
        <v>Tel 990</v>
      </c>
      <c r="L1031" s="8" t="str">
        <v>Cep 990</v>
      </c>
      <c r="M1031" s="8" t="str">
        <v>Rua 990</v>
      </c>
      <c r="N1031" s="8" t="str">
        <v>Comp 990</v>
      </c>
      <c r="O1031" s="8" t="str">
        <v>Ventilador Preto</v>
      </c>
      <c r="P1031" s="8" t="str">
        <v>WU-SS4J-LFOH</v>
      </c>
      <c r="Q1031" s="4">
        <v>45729</v>
      </c>
      <c r="R1031" s="109">
        <v>65.989999999999995</v>
      </c>
      <c r="S1031" s="11">
        <f ca="1"/>
        <v>65.989999999999995</v>
      </c>
      <c r="T1031" s="28">
        <f ca="1"/>
        <v>8.5786999999999995</v>
      </c>
      <c r="U1031" s="11">
        <f ca="1"/>
        <v>57.41</v>
      </c>
      <c r="V1031" s="11">
        <v>10.15</v>
      </c>
      <c r="W1031" s="11">
        <f ca="1"/>
        <v>0.2</v>
      </c>
      <c r="X1031" s="11">
        <f ca="1"/>
        <v>0.39877104377104378</v>
      </c>
      <c r="Y1031" s="11">
        <v>0</v>
      </c>
      <c r="Z1031" s="11">
        <f ca="1"/>
        <v>46.661228956228953</v>
      </c>
      <c r="AA1031" s="11">
        <f ca="1"/>
        <v>23.330614478114477</v>
      </c>
      <c r="AB1031" s="4">
        <f ca="1"/>
        <v>45736</v>
      </c>
      <c r="AC1031" s="4">
        <v>45736</v>
      </c>
      <c r="AD1031" s="9">
        <v>45747</v>
      </c>
      <c r="AE1031" s="9">
        <v>45749</v>
      </c>
      <c r="AF1031" s="4" t="str">
        <f t="shared" ca="1" si="61"/>
        <v>2025 03</v>
      </c>
      <c r="AG1031" s="8" t="str" cm="1">
        <f t="array" ref="AG1031">IFERROR(_xlfn.IFS('Banco de Dados'!#REF!="AG. COMPRA","Em processamento",'Banco de Dados'!#REF!="AG. RASTREIO","Em processamento",'Banco de Dados'!$AE1031&lt;&gt;"-","Faturado",'Banco de Dados'!$AD1031&lt;&gt;"-","Aguardando Pix",'Banco de Dados'!$AC1031&lt;&gt;"-","Pendente"),"Aguardando Liberação")</f>
        <v>Aguardando Liberação</v>
      </c>
      <c r="AH1031" s="5" t="str">
        <f>IF('Banco de Dados'!$F1031="-",_xlfn.CONCAT(PROPER(TEXT(AK1031,"aaaa"))," ",PROPER(TEXT(AK1031,"mm"))),_xlfn.CONCAT(PROPER(TEXT(E1031,"aaaa"))," ",PROPER(TEXT(E1031,"mm"))))</f>
        <v>2025 02</v>
      </c>
      <c r="AI1031" s="9" t="str">
        <f ca="1">IF('Banco de Dados'!$AK1031&lt;&gt;"-","REEMBOLSO",IFERROR(_xlfn.XLOOKUP(G1031,Follow[CODRASTREIO],Follow[STATUS]),"-"))</f>
        <v>ENTREGUE</v>
      </c>
      <c r="AJ1031" s="9">
        <f ca="1">IF('Banco de Dados'!$AI1031="ENTREGUE",_xlfn.XLOOKUP('Banco de Dados'!$G1031,Follow[CODRASTREIO],Follow[DATAATUALIZAÇÃO]),"-")</f>
        <v>45722</v>
      </c>
      <c r="AK1031" s="132" t="str">
        <f ca="1"/>
        <v>-</v>
      </c>
      <c r="AL1031" s="35"/>
      <c r="AM1031" s="109" cm="1">
        <f t="array" aca="1" ref="AM1031" ca="1">IF('Banco de Dados'!$AK1031&lt;&gt;"-",_xlfn.IFS('Banco de Dados'!$A1031="bv",IF('Banco de Dados'!$E1031&lt;45641,ROUND(SUM('Banco de Dados'!$R1031*_xlfn.XLOOKUP('Banco de Dados'!$P1031,Sku!B:B,Sku!#REF!)*20%),2),ROUND(SUM('Banco de Dados'!$R1031*_xlfn.XLOOKUP('Banco de Dados'!$P1031,Sku!B:B,Sku!H:H)*20%),2)),'Banco de Dados'!$A1031="GO",ROUND(SUM('Banco de Dados'!$R1031*_xlfn.XLOOKUP('Banco de Dados'!$P1031,Sku!C:C,Sku!H:H)*20%),2),'Banco de Dados'!$A1031="MEI",ROUND(SUM('Banco de Dados'!$R1031*_xlfn.XLOOKUP('Banco de Dados'!$P1031,Sku!D:D,Sku!H:H)*20%),2)),0)</f>
        <v>0</v>
      </c>
      <c r="AN1031" s="109">
        <f ca="1">IF('Banco de Dados'!$AK1031&lt;&gt;"-",IF('Banco de Dados'!$F1031&lt;&gt;"-",_xlfn.XLOOKUP(IFERROR(IFERROR(IFERROR(VALUE(SUBSTITUTE(MID(_xlfn.TEXTAFTER('Banco de Dados'!$F1031,"Data do Pedido:
",1),1,10),"-","/")),VALUE(SUBSTITUTE(MID(_xlfn.TEXTAFTER('Banco de Dados'!$F1031,"Order date:
",1),1,10),"-","/"))),VALUE(SUBSTITUTE(MID(_xlfn.TEXTAFTER('Banco de Dados'!$F1031,"Fecha de pedido:
",1),1,10),"-","/"))),"-"),SMS!A:A,SMS!K:K),0),0)</f>
        <v>0</v>
      </c>
      <c r="AO1031" s="109">
        <f ca="1">IF('Banco de Dados'!$AK1031&lt;&gt;"-",IF('Banco de Dados'!$F1031&lt;&gt;"-",IFERROR(_xlfn.XLOOKUP(_xlfn.CONCAT('Banco de Dados'!$A1031,IFERROR(IFERROR(VALUE(SUBSTITUTE(MID(_xlfn.TEXTAFTER('Banco de Dados'!$F1031,"Data do Pedido:
",1),1,10),"-","/")),VALUE(SUBSTITUTE(MID(_xlfn.TEXTAFTER('Banco de Dados'!$F1031,"Order date:
",1),1,10),"-","/"))),0)),ProxyDD[Chave],ProxyDD[Valor por pedido]),PROXY!$P$2),0),0)</f>
        <v>0</v>
      </c>
      <c r="AP1031" s="28">
        <f ca="1">IF('Banco de Dados'!$AK1031&lt;&gt;"-",IF('Banco de Dados'!$AL1031="NÃO",IFERROR(VALUE(SUBSTITUTE(_xlfn.TEXTAFTER('Banco de Dados'!$F1031,"BRL ",1),".",",")),0),0),0)</f>
        <v>0</v>
      </c>
      <c r="AQ1031" s="28">
        <f ca="1">SUM('Banco de Dados'!$AM1031:$AP1031)</f>
        <v>0</v>
      </c>
      <c r="AR1031" s="8"/>
      <c r="AY1031" s="8"/>
    </row>
    <row r="1032" spans="1:51">
      <c r="A1032" s="5" t="str">
        <v>MEI</v>
      </c>
      <c r="B1032" s="5" t="str">
        <f ca="1"/>
        <v>MEI45706</v>
      </c>
      <c r="C1032" s="8" t="str">
        <v>Pedido 1019</v>
      </c>
      <c r="D1032" s="187">
        <v>45706</v>
      </c>
      <c r="E1032" s="9">
        <v>45706</v>
      </c>
      <c r="F1032" s="8" t="str">
        <v>PedidoF998</v>
      </c>
      <c r="G1032" s="2" t="str">
        <v>CódRastreio996</v>
      </c>
      <c r="H1032" s="5">
        <v>1</v>
      </c>
      <c r="I1032" s="2" t="str">
        <v>CPF 991</v>
      </c>
      <c r="J1032" s="2" t="str">
        <v>Nome 991</v>
      </c>
      <c r="K1032" s="8" t="str">
        <v>Tel 991</v>
      </c>
      <c r="L1032" s="8" t="str">
        <v>Cep 991</v>
      </c>
      <c r="M1032" s="8" t="str">
        <v>Rua 991</v>
      </c>
      <c r="N1032" s="8" t="str">
        <v>Comp 991</v>
      </c>
      <c r="O1032" s="8" t="str">
        <v>Mini Liquidificador</v>
      </c>
      <c r="P1032" s="8" t="str">
        <v>A4-5W51-K3HF</v>
      </c>
      <c r="Q1032" s="4">
        <v>45730</v>
      </c>
      <c r="R1032" s="109">
        <v>30.99</v>
      </c>
      <c r="S1032" s="11">
        <f ca="1"/>
        <v>30.99</v>
      </c>
      <c r="T1032" s="28">
        <f ca="1"/>
        <v>4.3386000000000005</v>
      </c>
      <c r="U1032" s="11">
        <f ca="1"/>
        <v>26.65</v>
      </c>
      <c r="V1032" s="11">
        <v>14.99</v>
      </c>
      <c r="W1032" s="11">
        <f ca="1"/>
        <v>0.2</v>
      </c>
      <c r="X1032" s="11">
        <f ca="1"/>
        <v>0.39877104377104378</v>
      </c>
      <c r="Y1032" s="11">
        <v>0</v>
      </c>
      <c r="Z1032" s="11">
        <f ca="1"/>
        <v>11.061228956228955</v>
      </c>
      <c r="AA1032" s="11">
        <f ca="1"/>
        <v>5.5306144781144777</v>
      </c>
      <c r="AB1032" s="4">
        <f ca="1"/>
        <v>45737</v>
      </c>
      <c r="AC1032" s="4">
        <v>45737</v>
      </c>
      <c r="AD1032" s="9">
        <v>45747</v>
      </c>
      <c r="AE1032" s="9">
        <v>45749</v>
      </c>
      <c r="AF1032" s="4" t="str">
        <f t="shared" ca="1" si="61"/>
        <v>2025 03</v>
      </c>
      <c r="AG1032" s="8" t="str" cm="1">
        <f t="array" ref="AG1032">IFERROR(_xlfn.IFS('Banco de Dados'!#REF!="AG. COMPRA","Em processamento",'Banco de Dados'!#REF!="AG. RASTREIO","Em processamento",'Banco de Dados'!$AE1032&lt;&gt;"-","Faturado",'Banco de Dados'!$AD1032&lt;&gt;"-","Aguardando Pix",'Banco de Dados'!$AC1032&lt;&gt;"-","Pendente"),"Aguardando Liberação")</f>
        <v>Aguardando Liberação</v>
      </c>
      <c r="AH1032" s="5" t="str">
        <f>IF('Banco de Dados'!$F1032="-",_xlfn.CONCAT(PROPER(TEXT(AK1032,"aaaa"))," ",PROPER(TEXT(AK1032,"mm"))),_xlfn.CONCAT(PROPER(TEXT(E1032,"aaaa"))," ",PROPER(TEXT(E1032,"mm"))))</f>
        <v>2025 02</v>
      </c>
      <c r="AI1032" s="9" t="str">
        <f ca="1">IF('Banco de Dados'!$AK1032&lt;&gt;"-","REEMBOLSO",IFERROR(_xlfn.XLOOKUP(G1032,Follow[CODRASTREIO],Follow[STATUS]),"-"))</f>
        <v>ENTREGUE</v>
      </c>
      <c r="AJ1032" s="9">
        <f ca="1">IF('Banco de Dados'!$AI1032="ENTREGUE",_xlfn.XLOOKUP('Banco de Dados'!$G1032,Follow[CODRASTREIO],Follow[DATAATUALIZAÇÃO]),"-")</f>
        <v>45710</v>
      </c>
      <c r="AK1032" s="132" t="str">
        <f ca="1"/>
        <v>-</v>
      </c>
      <c r="AL1032" s="35"/>
      <c r="AM1032" s="109" cm="1">
        <f t="array" aca="1" ref="AM1032" ca="1">IF('Banco de Dados'!$AK1032&lt;&gt;"-",_xlfn.IFS('Banco de Dados'!$A1032="bv",IF('Banco de Dados'!$E1032&lt;45641,ROUND(SUM('Banco de Dados'!$R1032*_xlfn.XLOOKUP('Banco de Dados'!$P1032,Sku!B:B,Sku!#REF!)*20%),2),ROUND(SUM('Banco de Dados'!$R1032*_xlfn.XLOOKUP('Banco de Dados'!$P1032,Sku!B:B,Sku!H:H)*20%),2)),'Banco de Dados'!$A1032="GO",ROUND(SUM('Banco de Dados'!$R1032*_xlfn.XLOOKUP('Banco de Dados'!$P1032,Sku!C:C,Sku!H:H)*20%),2),'Banco de Dados'!$A1032="MEI",ROUND(SUM('Banco de Dados'!$R1032*_xlfn.XLOOKUP('Banco de Dados'!$P1032,Sku!D:D,Sku!H:H)*20%),2)),0)</f>
        <v>0</v>
      </c>
      <c r="AN1032" s="109">
        <f ca="1">IF('Banco de Dados'!$AK1032&lt;&gt;"-",IF('Banco de Dados'!$F1032&lt;&gt;"-",_xlfn.XLOOKUP(IFERROR(IFERROR(IFERROR(VALUE(SUBSTITUTE(MID(_xlfn.TEXTAFTER('Banco de Dados'!$F1032,"Data do Pedido:
",1),1,10),"-","/")),VALUE(SUBSTITUTE(MID(_xlfn.TEXTAFTER('Banco de Dados'!$F1032,"Order date:
",1),1,10),"-","/"))),VALUE(SUBSTITUTE(MID(_xlfn.TEXTAFTER('Banco de Dados'!$F1032,"Fecha de pedido:
",1),1,10),"-","/"))),"-"),SMS!A:A,SMS!K:K),0),0)</f>
        <v>0</v>
      </c>
      <c r="AO1032" s="109">
        <f ca="1">IF('Banco de Dados'!$AK1032&lt;&gt;"-",IF('Banco de Dados'!$F1032&lt;&gt;"-",IFERROR(_xlfn.XLOOKUP(_xlfn.CONCAT('Banco de Dados'!$A1032,IFERROR(IFERROR(VALUE(SUBSTITUTE(MID(_xlfn.TEXTAFTER('Banco de Dados'!$F1032,"Data do Pedido:
",1),1,10),"-","/")),VALUE(SUBSTITUTE(MID(_xlfn.TEXTAFTER('Banco de Dados'!$F1032,"Order date:
",1),1,10),"-","/"))),0)),ProxyDD[Chave],ProxyDD[Valor por pedido]),PROXY!$P$2),0),0)</f>
        <v>0</v>
      </c>
      <c r="AP1032" s="28">
        <f ca="1">IF('Banco de Dados'!$AK1032&lt;&gt;"-",IF('Banco de Dados'!$AL1032="NÃO",IFERROR(VALUE(SUBSTITUTE(_xlfn.TEXTAFTER('Banco de Dados'!$F1032,"BRL ",1),".",",")),0),0),0)</f>
        <v>0</v>
      </c>
      <c r="AQ1032" s="28">
        <f ca="1">SUM('Banco de Dados'!$AM1032:$AP1032)</f>
        <v>0</v>
      </c>
      <c r="AR1032" s="8"/>
      <c r="AY1032" s="8"/>
    </row>
    <row r="1033" spans="1:51">
      <c r="A1033" s="5" t="str">
        <v>BV</v>
      </c>
      <c r="B1033" s="5" t="str">
        <f ca="1"/>
        <v>BV45707</v>
      </c>
      <c r="C1033" s="8" t="str">
        <v>Pedido 1020</v>
      </c>
      <c r="D1033" s="9">
        <v>45707</v>
      </c>
      <c r="E1033" s="9">
        <v>45707</v>
      </c>
      <c r="F1033" s="8" t="str">
        <v>PedidoF999</v>
      </c>
      <c r="G1033" s="2" t="str">
        <v>CódRastreio997</v>
      </c>
      <c r="H1033" s="5">
        <v>1</v>
      </c>
      <c r="I1033" s="2" t="str">
        <v>CPF 992</v>
      </c>
      <c r="J1033" s="2" t="str">
        <v>Nome 992</v>
      </c>
      <c r="K1033" s="8" t="str">
        <v>Tel 992</v>
      </c>
      <c r="L1033" s="8" t="str">
        <v>Cep 992</v>
      </c>
      <c r="M1033" s="8" t="str">
        <v>Rua 992</v>
      </c>
      <c r="N1033" s="8" t="str">
        <v>Comp 992</v>
      </c>
      <c r="O1033" s="8" t="str">
        <v>Garrafa Termica</v>
      </c>
      <c r="P1033" s="8" t="str">
        <v>FM-QQ8Y-RZT4</v>
      </c>
      <c r="Q1033" s="4">
        <v>45730</v>
      </c>
      <c r="R1033" s="109">
        <v>33.99</v>
      </c>
      <c r="S1033" s="11">
        <f ca="1"/>
        <v>33.99</v>
      </c>
      <c r="T1033" s="28">
        <f ca="1"/>
        <v>4.4187000000000003</v>
      </c>
      <c r="U1033" s="11">
        <f ca="1"/>
        <v>29.57</v>
      </c>
      <c r="V1033" s="11">
        <v>13.8</v>
      </c>
      <c r="W1033" s="11">
        <f ca="1"/>
        <v>0.2</v>
      </c>
      <c r="X1033" s="11">
        <f ca="1"/>
        <v>0.39877104377104378</v>
      </c>
      <c r="Y1033" s="11">
        <v>0</v>
      </c>
      <c r="Z1033" s="11">
        <f ca="1"/>
        <v>15.171228956228957</v>
      </c>
      <c r="AA1033" s="11">
        <f ca="1"/>
        <v>7.5856144781144783</v>
      </c>
      <c r="AB1033" s="4">
        <f ca="1"/>
        <v>45737</v>
      </c>
      <c r="AC1033" s="4">
        <v>45737</v>
      </c>
      <c r="AD1033" s="9">
        <v>45747</v>
      </c>
      <c r="AE1033" s="9">
        <v>45749</v>
      </c>
      <c r="AF1033" s="4" t="str">
        <f t="shared" ref="AF1033:AF1038" ca="1" si="62">_xlfn.CONCAT(PROPER(TEXT(AB1033,"aaaa"))," ",PROPER(TEXT(AB1033,"mm")))</f>
        <v>2025 03</v>
      </c>
      <c r="AG1033" s="8" t="str" cm="1">
        <f t="array" ref="AG1033">IFERROR(_xlfn.IFS('Banco de Dados'!#REF!="AG. COMPRA","Em processamento",'Banco de Dados'!#REF!="AG. RASTREIO","Em processamento",'Banco de Dados'!$AE1033&lt;&gt;"-","Faturado",'Banco de Dados'!$AD1033&lt;&gt;"-","Aguardando Pix",'Banco de Dados'!$AC1033&lt;&gt;"-","Pendente"),"Aguardando Liberação")</f>
        <v>Aguardando Liberação</v>
      </c>
      <c r="AH1033" s="5" t="str">
        <f>IF('Banco de Dados'!$F1033="-",_xlfn.CONCAT(PROPER(TEXT(AK1033,"aaaa"))," ",PROPER(TEXT(AK1033,"mm"))),_xlfn.CONCAT(PROPER(TEXT(E1033,"aaaa"))," ",PROPER(TEXT(E1033,"mm"))))</f>
        <v>2025 02</v>
      </c>
      <c r="AI1033" s="9" t="str">
        <f ca="1">IF('Banco de Dados'!$AK1033&lt;&gt;"-","REEMBOLSO",IFERROR(_xlfn.XLOOKUP(G1033,Follow[CODRASTREIO],Follow[STATUS]),"-"))</f>
        <v>ENTREGUE</v>
      </c>
      <c r="AJ1033" s="9">
        <f ca="1">IF('Banco de Dados'!$AI1033="ENTREGUE",_xlfn.XLOOKUP('Banco de Dados'!$G1033,Follow[CODRASTREIO],Follow[DATAATUALIZAÇÃO]),"-")</f>
        <v>45712</v>
      </c>
      <c r="AK1033" s="132" t="str">
        <f ca="1"/>
        <v>-</v>
      </c>
      <c r="AL1033" s="35"/>
      <c r="AM1033" s="109" cm="1">
        <f t="array" aca="1" ref="AM1033" ca="1">IF('Banco de Dados'!$AK1033&lt;&gt;"-",_xlfn.IFS('Banco de Dados'!$A1033="bv",IF('Banco de Dados'!$E1033&lt;45641,ROUND(SUM('Banco de Dados'!$R1033*_xlfn.XLOOKUP('Banco de Dados'!$P1033,Sku!B:B,Sku!#REF!)*20%),2),ROUND(SUM('Banco de Dados'!$R1033*_xlfn.XLOOKUP('Banco de Dados'!$P1033,Sku!B:B,Sku!H:H)*20%),2)),'Banco de Dados'!$A1033="GO",ROUND(_xlfn.XLOOKUP('Banco de Dados'!$P1033,Sku!C:C,Sku!H:H),2),'Banco de Dados'!$A1033="MEI",ROUND(_xlfn.XLOOKUP('Banco de Dados'!$P1033,Sku!D:D,Sku!H:H),2)),0)</f>
        <v>0</v>
      </c>
      <c r="AN1033" s="109">
        <f ca="1">IF('Banco de Dados'!$AK1033&lt;&gt;"-",IF('Banco de Dados'!$F1033&lt;&gt;"-",_xlfn.XLOOKUP(IFERROR(IFERROR(IFERROR(VALUE(SUBSTITUTE(MID(_xlfn.TEXTAFTER('Banco de Dados'!$F1033,"Data do Pedido:
",1),1,10),"-","/")),VALUE(SUBSTITUTE(MID(_xlfn.TEXTAFTER('Banco de Dados'!$F1033,"Order date:
",1),1,10),"-","/"))),VALUE(SUBSTITUTE(MID(_xlfn.TEXTAFTER('Banco de Dados'!$F1033,"Fecha de pedido:
",1),1,10),"-","/"))),"-"),SMS!A:A,SMS!K:K),0),0)</f>
        <v>0</v>
      </c>
      <c r="AO1033" s="109">
        <f ca="1">IF('Banco de Dados'!$AK1033&lt;&gt;"-",IF('Banco de Dados'!$F1033&lt;&gt;"-",IFERROR(_xlfn.XLOOKUP(_xlfn.CONCAT('Banco de Dados'!$A1033,IFERROR(IFERROR(VALUE(SUBSTITUTE(MID(_xlfn.TEXTAFTER('Banco de Dados'!$F1033,"Data do Pedido:
",1),1,10),"-","/")),VALUE(SUBSTITUTE(MID(_xlfn.TEXTAFTER('Banco de Dados'!$F1033,"Order date:
",1),1,10),"-","/"))),0)),ProxyDD[Chave],ProxyDD[Valor por pedido]),PROXY!$P$2),0),0)</f>
        <v>0</v>
      </c>
      <c r="AP1033" s="28">
        <f ca="1">IF('Banco de Dados'!$AK1033&lt;&gt;"-",IF('Banco de Dados'!$AL1033="NÃO",IFERROR(VALUE(SUBSTITUTE(_xlfn.TEXTAFTER('Banco de Dados'!$F1033,"BRL ",1),".",",")),0),0),0)</f>
        <v>0</v>
      </c>
      <c r="AQ1033" s="28">
        <f ca="1">SUM('Banco de Dados'!$AM1033:$AP1033)</f>
        <v>0</v>
      </c>
      <c r="AR1033" s="8"/>
      <c r="AY1033" s="8"/>
    </row>
    <row r="1034" spans="1:51">
      <c r="A1034" s="5" t="str">
        <v>BV</v>
      </c>
      <c r="B1034" s="5" t="str">
        <f ca="1"/>
        <v>BV45707</v>
      </c>
      <c r="C1034" s="8" t="str">
        <v>Pedido 1021</v>
      </c>
      <c r="D1034" s="9">
        <v>45707</v>
      </c>
      <c r="E1034" s="9">
        <v>45707</v>
      </c>
      <c r="F1034" s="8" t="str">
        <v>PedidoF1000</v>
      </c>
      <c r="G1034" s="2" t="str">
        <v>CódRastreio998</v>
      </c>
      <c r="H1034" s="5">
        <v>1</v>
      </c>
      <c r="I1034" s="2" t="str">
        <v>CPF 993</v>
      </c>
      <c r="J1034" s="2" t="str">
        <v>Nome 993</v>
      </c>
      <c r="K1034" s="8" t="str">
        <v>Tel 993</v>
      </c>
      <c r="L1034" s="8" t="str">
        <v>Cep 993</v>
      </c>
      <c r="M1034" s="8" t="str">
        <v>Rua 993</v>
      </c>
      <c r="N1034" s="8" t="str">
        <v>Comp 993</v>
      </c>
      <c r="O1034" s="8" t="str">
        <v>Ventilador Rosa</v>
      </c>
      <c r="P1034" s="8" t="str">
        <v>IF-G2ZQ-79FO</v>
      </c>
      <c r="Q1034" s="4">
        <v>45731</v>
      </c>
      <c r="R1034" s="109">
        <v>78.989999999999995</v>
      </c>
      <c r="S1034" s="11">
        <f ca="1"/>
        <v>78.989999999999995</v>
      </c>
      <c r="T1034" s="28">
        <f ca="1"/>
        <v>10.268699999999999</v>
      </c>
      <c r="U1034" s="11">
        <f ca="1"/>
        <v>68.72</v>
      </c>
      <c r="V1034" s="11">
        <v>13.43</v>
      </c>
      <c r="W1034" s="11">
        <f ca="1"/>
        <v>0.2</v>
      </c>
      <c r="X1034" s="11">
        <f ca="1"/>
        <v>0.39877104377104378</v>
      </c>
      <c r="Y1034" s="11">
        <v>0</v>
      </c>
      <c r="Z1034" s="11">
        <f ca="1"/>
        <v>54.691228956228954</v>
      </c>
      <c r="AA1034" s="11">
        <f ca="1"/>
        <v>27.345614478114477</v>
      </c>
      <c r="AB1034" s="4">
        <f ca="1"/>
        <v>45738</v>
      </c>
      <c r="AC1034" s="4">
        <v>45738</v>
      </c>
      <c r="AD1034" s="9">
        <v>45747</v>
      </c>
      <c r="AE1034" s="9">
        <v>45749</v>
      </c>
      <c r="AF1034" s="4" t="str">
        <f t="shared" ca="1" si="62"/>
        <v>2025 03</v>
      </c>
      <c r="AG1034" s="8" t="str" cm="1">
        <f t="array" ref="AG1034">IFERROR(_xlfn.IFS('Banco de Dados'!#REF!="AG. COMPRA","Em processamento",'Banco de Dados'!#REF!="AG. RASTREIO","Em processamento",'Banco de Dados'!$AE1034&lt;&gt;"-","Faturado",'Banco de Dados'!$AD1034&lt;&gt;"-","Aguardando Pix",'Banco de Dados'!$AC1034&lt;&gt;"-","Pendente"),"Aguardando Liberação")</f>
        <v>Aguardando Liberação</v>
      </c>
      <c r="AH1034" s="5" t="str">
        <f>IF('Banco de Dados'!$F1034="-",_xlfn.CONCAT(PROPER(TEXT(AK1034,"aaaa"))," ",PROPER(TEXT(AK1034,"mm"))),_xlfn.CONCAT(PROPER(TEXT(E1034,"aaaa"))," ",PROPER(TEXT(E1034,"mm"))))</f>
        <v>2025 02</v>
      </c>
      <c r="AI1034" s="9" t="str">
        <f ca="1">IF('Banco de Dados'!$AK1034&lt;&gt;"-","REEMBOLSO",IFERROR(_xlfn.XLOOKUP(G1034,Follow[CODRASTREIO],Follow[STATUS]),"-"))</f>
        <v>ENTREGUE</v>
      </c>
      <c r="AJ1034" s="9">
        <f ca="1">IF('Banco de Dados'!$AI1034="ENTREGUE",_xlfn.XLOOKUP('Banco de Dados'!$G1034,Follow[CODRASTREIO],Follow[DATAATUALIZAÇÃO]),"-")</f>
        <v>45722</v>
      </c>
      <c r="AK1034" s="132" t="str">
        <f ca="1"/>
        <v>-</v>
      </c>
      <c r="AL1034" s="35"/>
      <c r="AM1034" s="109" cm="1">
        <f t="array" aca="1" ref="AM1034" ca="1">IF('Banco de Dados'!$AK1034&lt;&gt;"-",_xlfn.IFS('Banco de Dados'!$A1034="bv",IF('Banco de Dados'!$E1034&lt;45641,ROUND(SUM('Banco de Dados'!$R1034*_xlfn.XLOOKUP('Banco de Dados'!$P1034,Sku!B:B,Sku!#REF!)*20%),2),ROUND(SUM('Banco de Dados'!$R1034*_xlfn.XLOOKUP('Banco de Dados'!$P1034,Sku!B:B,Sku!H:H)*20%),2)),'Banco de Dados'!$A1034="GO",ROUND(_xlfn.XLOOKUP('Banco de Dados'!$P1034,Sku!C:C,Sku!H:H),2),'Banco de Dados'!$A1034="MEI",ROUND(_xlfn.XLOOKUP('Banco de Dados'!$P1034,Sku!D:D,Sku!H:H),2)),0)</f>
        <v>0</v>
      </c>
      <c r="AN1034" s="109">
        <f ca="1">IF('Banco de Dados'!$AK1034&lt;&gt;"-",IF('Banco de Dados'!$F1034&lt;&gt;"-",_xlfn.XLOOKUP(IFERROR(IFERROR(IFERROR(VALUE(SUBSTITUTE(MID(_xlfn.TEXTAFTER('Banco de Dados'!$F1034,"Data do Pedido:
",1),1,10),"-","/")),VALUE(SUBSTITUTE(MID(_xlfn.TEXTAFTER('Banco de Dados'!$F1034,"Order date:
",1),1,10),"-","/"))),VALUE(SUBSTITUTE(MID(_xlfn.TEXTAFTER('Banco de Dados'!$F1034,"Fecha de pedido:
",1),1,10),"-","/"))),"-"),SMS!A:A,SMS!K:K),0),0)</f>
        <v>0</v>
      </c>
      <c r="AO1034" s="109">
        <f ca="1">IF('Banco de Dados'!$AK1034&lt;&gt;"-",IF('Banco de Dados'!$F1034&lt;&gt;"-",IFERROR(_xlfn.XLOOKUP(_xlfn.CONCAT('Banco de Dados'!$A1034,IFERROR(IFERROR(VALUE(SUBSTITUTE(MID(_xlfn.TEXTAFTER('Banco de Dados'!$F1034,"Data do Pedido:
",1),1,10),"-","/")),VALUE(SUBSTITUTE(MID(_xlfn.TEXTAFTER('Banco de Dados'!$F1034,"Order date:
",1),1,10),"-","/"))),0)),ProxyDD[Chave],ProxyDD[Valor por pedido]),PROXY!$P$2),0),0)</f>
        <v>0</v>
      </c>
      <c r="AP1034" s="28">
        <f ca="1">IF('Banco de Dados'!$AK1034&lt;&gt;"-",IF('Banco de Dados'!$AL1034="NÃO",IFERROR(VALUE(SUBSTITUTE(_xlfn.TEXTAFTER('Banco de Dados'!$F1034,"BRL ",1),".",",")),0),0),0)</f>
        <v>0</v>
      </c>
      <c r="AQ1034" s="28">
        <f ca="1">SUM('Banco de Dados'!$AM1034:$AP1034)</f>
        <v>0</v>
      </c>
      <c r="AR1034" s="8"/>
      <c r="AY1034" s="8"/>
    </row>
    <row r="1035" spans="1:51">
      <c r="A1035" s="5" t="str">
        <v>MEI</v>
      </c>
      <c r="B1035" s="5" t="str">
        <f ca="1"/>
        <v>MEI45707</v>
      </c>
      <c r="C1035" s="8" t="str">
        <v>Pedido 1022</v>
      </c>
      <c r="D1035" s="187">
        <v>45707</v>
      </c>
      <c r="E1035" s="9">
        <v>45707</v>
      </c>
      <c r="F1035" s="8" t="str">
        <v>PedidoF1001</v>
      </c>
      <c r="G1035" s="2" t="str">
        <v>CódRastreio999</v>
      </c>
      <c r="H1035" s="5">
        <v>1</v>
      </c>
      <c r="I1035" s="2" t="str">
        <v>CPF 994</v>
      </c>
      <c r="J1035" s="2" t="str">
        <v>Nome 994</v>
      </c>
      <c r="K1035" s="8" t="str">
        <v>Tel 994</v>
      </c>
      <c r="L1035" s="8" t="str">
        <v>Cep 994</v>
      </c>
      <c r="M1035" s="8" t="str">
        <v>Rua 994</v>
      </c>
      <c r="N1035" s="8" t="str">
        <v>Comp 994</v>
      </c>
      <c r="O1035" s="8" t="str">
        <v>Ventilador Preto</v>
      </c>
      <c r="P1035" s="8" t="str">
        <v>WU-SS4J-LFOH</v>
      </c>
      <c r="Q1035" s="4">
        <v>45730</v>
      </c>
      <c r="R1035" s="109">
        <v>65.989999999999995</v>
      </c>
      <c r="S1035" s="11">
        <f ca="1"/>
        <v>0</v>
      </c>
      <c r="T1035" s="28">
        <f ca="1"/>
        <v>0</v>
      </c>
      <c r="U1035" s="11">
        <f ca="1"/>
        <v>0</v>
      </c>
      <c r="V1035" s="11">
        <v>0</v>
      </c>
      <c r="W1035" s="11">
        <f ca="1"/>
        <v>0</v>
      </c>
      <c r="X1035" s="11">
        <f ca="1"/>
        <v>0.39877104377104378</v>
      </c>
      <c r="Y1035" s="11">
        <v>0</v>
      </c>
      <c r="Z1035" s="11">
        <f ca="1"/>
        <v>-0.39877104377104378</v>
      </c>
      <c r="AA1035" s="11">
        <f ca="1"/>
        <v>-0.19938552188552189</v>
      </c>
      <c r="AB1035" s="4">
        <f ca="1"/>
        <v>45737</v>
      </c>
      <c r="AC1035" s="4">
        <v>45737</v>
      </c>
      <c r="AD1035" s="9">
        <v>45747</v>
      </c>
      <c r="AE1035" s="9">
        <v>45749</v>
      </c>
      <c r="AF1035" s="4" t="str">
        <f t="shared" ca="1" si="62"/>
        <v>2025 03</v>
      </c>
      <c r="AG1035" s="8" t="str" cm="1">
        <f t="array" ref="AG1035">IFERROR(_xlfn.IFS('Banco de Dados'!#REF!="AG. COMPRA","Em processamento",'Banco de Dados'!#REF!="AG. RASTREIO","Em processamento",'Banco de Dados'!$AE1035&lt;&gt;"-","Faturado",'Banco de Dados'!$AD1035&lt;&gt;"-","Aguardando Pix",'Banco de Dados'!$AC1035&lt;&gt;"-","Pendente"),"Aguardando Liberação")</f>
        <v>Aguardando Liberação</v>
      </c>
      <c r="AH1035" s="5" t="str">
        <f>IF('Banco de Dados'!$F1035="-",_xlfn.CONCAT(PROPER(TEXT(AK1035,"aaaa"))," ",PROPER(TEXT(AK1035,"mm"))),_xlfn.CONCAT(PROPER(TEXT(E1035,"aaaa"))," ",PROPER(TEXT(E1035,"mm"))))</f>
        <v>2025 02</v>
      </c>
      <c r="AI1035" s="9" t="str">
        <f ca="1">IF('Banco de Dados'!$AK1035&lt;&gt;"-","REEMBOLSO",IFERROR(_xlfn.XLOOKUP(G1035,Follow[CODRASTREIO],Follow[STATUS]),"-"))</f>
        <v>REEMBOLSO</v>
      </c>
      <c r="AJ1035" s="9" t="str">
        <f ca="1">IF('Banco de Dados'!$AI1035="ENTREGUE",_xlfn.XLOOKUP('Banco de Dados'!$G1035,Follow[CODRASTREIO],Follow[DATAATUALIZAÇÃO]),"-")</f>
        <v>-</v>
      </c>
      <c r="AK1035" s="132">
        <f ca="1"/>
        <v>45734</v>
      </c>
      <c r="AL1035" s="35"/>
      <c r="AM1035" s="109" cm="1">
        <f t="array" aca="1" ref="AM1035" ca="1">IF('Banco de Dados'!$AK1035&lt;&gt;"-",_xlfn.IFS('Banco de Dados'!$A1035="bv",IF('Banco de Dados'!$E1035&lt;45641,ROUND(SUM('Banco de Dados'!$R1035*_xlfn.XLOOKUP('Banco de Dados'!$P1035,Sku!B:B,Sku!#REF!)*20%),2),ROUND(SUM('Banco de Dados'!$R1035*_xlfn.XLOOKUP('Banco de Dados'!$P1035,Sku!B:B,Sku!H:H)*20%),2)),'Banco de Dados'!$A1035="GO",ROUND(SUM('Banco de Dados'!$R1035*_xlfn.XLOOKUP('Banco de Dados'!$P1035,Sku!C:C,Sku!H:H)*20%),2),'Banco de Dados'!$A1035="MEI",ROUND(SUM('Banco de Dados'!$R1035*_xlfn.XLOOKUP('Banco de Dados'!$P1035,Sku!D:D,Sku!H:H)*20%),2)),0)</f>
        <v>1.72</v>
      </c>
      <c r="AN1035" s="109" t="e">
        <f ca="1">IF('Banco de Dados'!$AK1035&lt;&gt;"-",IF('Banco de Dados'!$F1035&lt;&gt;"-",_xlfn.XLOOKUP(IFERROR(IFERROR(IFERROR(VALUE(SUBSTITUTE(MID(_xlfn.TEXTAFTER('Banco de Dados'!$F1035,"Data do Pedido:
",1),1,10),"-","/")),VALUE(SUBSTITUTE(MID(_xlfn.TEXTAFTER('Banco de Dados'!$F1035,"Order date:
",1),1,10),"-","/"))),VALUE(SUBSTITUTE(MID(_xlfn.TEXTAFTER('Banco de Dados'!$F1035,"Fecha de pedido:
",1),1,10),"-","/"))),"-"),SMS!A:A,SMS!K:K),0),0)</f>
        <v>#N/A</v>
      </c>
      <c r="AO1035" s="109">
        <f ca="1">IF('Banco de Dados'!$AK1035&lt;&gt;"-",IF('Banco de Dados'!$F1035&lt;&gt;"-",IFERROR(_xlfn.XLOOKUP(_xlfn.CONCAT('Banco de Dados'!$A1035,IFERROR(IFERROR(VALUE(SUBSTITUTE(MID(_xlfn.TEXTAFTER('Banco de Dados'!$F1035,"Data do Pedido:
",1),1,10),"-","/")),VALUE(SUBSTITUTE(MID(_xlfn.TEXTAFTER('Banco de Dados'!$F1035,"Order date:
",1),1,10),"-","/"))),0)),ProxyDD[Chave],ProxyDD[Valor por pedido]),PROXY!$P$2),0),0)</f>
        <v>0.39877104377104378</v>
      </c>
      <c r="AP1035" s="28">
        <f ca="1">IF('Banco de Dados'!$AK1035&lt;&gt;"-",IF('Banco de Dados'!$AL1035="NÃO",IFERROR(VALUE(SUBSTITUTE(_xlfn.TEXTAFTER('Banco de Dados'!$F1035,"BRL ",1),".",",")),0),0),0)</f>
        <v>0</v>
      </c>
      <c r="AQ1035" s="28" t="e">
        <f ca="1">SUM('Banco de Dados'!$AM1035:$AP1035)</f>
        <v>#N/A</v>
      </c>
      <c r="AR1035" s="8"/>
      <c r="AY1035" s="8"/>
    </row>
    <row r="1036" spans="1:51">
      <c r="A1036" s="5" t="str">
        <v>MEI</v>
      </c>
      <c r="B1036" s="5" t="str">
        <f ca="1"/>
        <v>MEI45707</v>
      </c>
      <c r="C1036" s="8" t="str">
        <v>Pedido 1023</v>
      </c>
      <c r="D1036" s="187">
        <v>45707</v>
      </c>
      <c r="E1036" s="9">
        <v>45707</v>
      </c>
      <c r="F1036" s="8" t="str">
        <v>PedidoF1002</v>
      </c>
      <c r="G1036" s="2" t="str">
        <v>CódRastreio1000</v>
      </c>
      <c r="H1036" s="5">
        <v>1</v>
      </c>
      <c r="I1036" s="2" t="str">
        <v>CPF 995</v>
      </c>
      <c r="J1036" s="2" t="str">
        <v>Nome 995</v>
      </c>
      <c r="K1036" s="8" t="str">
        <v>Tel 995</v>
      </c>
      <c r="L1036" s="8" t="str">
        <v>Cep 995</v>
      </c>
      <c r="M1036" s="8" t="str">
        <v>Rua 995</v>
      </c>
      <c r="N1036" s="8" t="str">
        <v>Comp 995</v>
      </c>
      <c r="O1036" s="8" t="str">
        <v>Ventilador Preto</v>
      </c>
      <c r="P1036" s="8" t="str">
        <v>WU-SS4J-LFOH</v>
      </c>
      <c r="Q1036" s="4">
        <v>45736</v>
      </c>
      <c r="R1036" s="109">
        <v>65.989999999999995</v>
      </c>
      <c r="S1036" s="11">
        <f ca="1"/>
        <v>65.989999999999995</v>
      </c>
      <c r="T1036" s="28">
        <f ca="1"/>
        <v>8.5786999999999995</v>
      </c>
      <c r="U1036" s="11">
        <f ca="1"/>
        <v>57.41</v>
      </c>
      <c r="V1036" s="11">
        <v>14.35</v>
      </c>
      <c r="W1036" s="11">
        <f ca="1"/>
        <v>0.25</v>
      </c>
      <c r="X1036" s="11">
        <f ca="1"/>
        <v>0.39877104377104378</v>
      </c>
      <c r="Y1036" s="11">
        <v>0</v>
      </c>
      <c r="Z1036" s="11">
        <f ca="1"/>
        <v>42.411228956228953</v>
      </c>
      <c r="AA1036" s="11">
        <f ca="1"/>
        <v>21.205614478114477</v>
      </c>
      <c r="AB1036" s="4">
        <f ca="1"/>
        <v>45743</v>
      </c>
      <c r="AC1036" s="4">
        <v>45743</v>
      </c>
      <c r="AD1036" s="9">
        <v>45747</v>
      </c>
      <c r="AE1036" s="9">
        <v>45749</v>
      </c>
      <c r="AF1036" s="4" t="str">
        <f t="shared" ca="1" si="62"/>
        <v>2025 03</v>
      </c>
      <c r="AG1036" s="8" t="str" cm="1">
        <f t="array" ref="AG1036">IFERROR(_xlfn.IFS('Banco de Dados'!#REF!="AG. COMPRA","Em processamento",'Banco de Dados'!#REF!="AG. RASTREIO","Em processamento",'Banco de Dados'!$AE1036&lt;&gt;"-","Faturado",'Banco de Dados'!$AD1036&lt;&gt;"-","Aguardando Pix",'Banco de Dados'!$AC1036&lt;&gt;"-","Pendente"),"Aguardando Liberação")</f>
        <v>Aguardando Liberação</v>
      </c>
      <c r="AH1036" s="5" t="str">
        <f>IF('Banco de Dados'!$F1036="-",_xlfn.CONCAT(PROPER(TEXT(AK1036,"aaaa"))," ",PROPER(TEXT(AK1036,"mm"))),_xlfn.CONCAT(PROPER(TEXT(E1036,"aaaa"))," ",PROPER(TEXT(E1036,"mm"))))</f>
        <v>2025 02</v>
      </c>
      <c r="AI1036" s="9" t="str">
        <f ca="1">IF('Banco de Dados'!$AK1036&lt;&gt;"-","REEMBOLSO",IFERROR(_xlfn.XLOOKUP(G1036,Follow[CODRASTREIO],Follow[STATUS]),"-"))</f>
        <v>ENTREGUE</v>
      </c>
      <c r="AJ1036" s="9">
        <f ca="1">IF('Banco de Dados'!$AI1036="ENTREGUE",_xlfn.XLOOKUP('Banco de Dados'!$G1036,Follow[CODRASTREIO],Follow[DATAATUALIZAÇÃO]),"-")</f>
        <v>45729</v>
      </c>
      <c r="AK1036" s="132" t="str">
        <f ca="1"/>
        <v>-</v>
      </c>
      <c r="AL1036" s="35"/>
      <c r="AM1036" s="109" cm="1">
        <f t="array" aca="1" ref="AM1036" ca="1">IF('Banco de Dados'!$AK1036&lt;&gt;"-",_xlfn.IFS('Banco de Dados'!$A1036="bv",IF('Banco de Dados'!$E1036&lt;45641,ROUND(SUM('Banco de Dados'!$R1036*_xlfn.XLOOKUP('Banco de Dados'!$P1036,Sku!B:B,Sku!#REF!)*20%),2),ROUND(SUM('Banco de Dados'!$R1036*_xlfn.XLOOKUP('Banco de Dados'!$P1036,Sku!B:B,Sku!H:H)*20%),2)),'Banco de Dados'!$A1036="GO",ROUND(SUM('Banco de Dados'!$R1036*_xlfn.XLOOKUP('Banco de Dados'!$P1036,Sku!C:C,Sku!H:H)*20%),2),'Banco de Dados'!$A1036="MEI",ROUND(SUM('Banco de Dados'!$R1036*_xlfn.XLOOKUP('Banco de Dados'!$P1036,Sku!D:D,Sku!H:H)*20%),2)),0)</f>
        <v>0</v>
      </c>
      <c r="AN1036" s="109">
        <f ca="1">IF('Banco de Dados'!$AK1036&lt;&gt;"-",IF('Banco de Dados'!$F1036&lt;&gt;"-",_xlfn.XLOOKUP(IFERROR(IFERROR(IFERROR(VALUE(SUBSTITUTE(MID(_xlfn.TEXTAFTER('Banco de Dados'!$F1036,"Data do Pedido:
",1),1,10),"-","/")),VALUE(SUBSTITUTE(MID(_xlfn.TEXTAFTER('Banco de Dados'!$F1036,"Order date:
",1),1,10),"-","/"))),VALUE(SUBSTITUTE(MID(_xlfn.TEXTAFTER('Banco de Dados'!$F1036,"Fecha de pedido:
",1),1,10),"-","/"))),"-"),SMS!A:A,SMS!K:K),0),0)</f>
        <v>0</v>
      </c>
      <c r="AO1036" s="109">
        <f ca="1">IF('Banco de Dados'!$AK1036&lt;&gt;"-",IF('Banco de Dados'!$F1036&lt;&gt;"-",IFERROR(_xlfn.XLOOKUP(_xlfn.CONCAT('Banco de Dados'!$A1036,IFERROR(IFERROR(VALUE(SUBSTITUTE(MID(_xlfn.TEXTAFTER('Banco de Dados'!$F1036,"Data do Pedido:
",1),1,10),"-","/")),VALUE(SUBSTITUTE(MID(_xlfn.TEXTAFTER('Banco de Dados'!$F1036,"Order date:
",1),1,10),"-","/"))),0)),ProxyDD[Chave],ProxyDD[Valor por pedido]),PROXY!$P$2),0),0)</f>
        <v>0</v>
      </c>
      <c r="AP1036" s="28">
        <f ca="1">IF('Banco de Dados'!$AK1036&lt;&gt;"-",IF('Banco de Dados'!$AL1036="NÃO",IFERROR(VALUE(SUBSTITUTE(_xlfn.TEXTAFTER('Banco de Dados'!$F1036,"BRL ",1),".",",")),0),0),0)</f>
        <v>0</v>
      </c>
      <c r="AQ1036" s="28">
        <f ca="1">SUM('Banco de Dados'!$AM1036:$AP1036)</f>
        <v>0</v>
      </c>
      <c r="AR1036" s="8"/>
      <c r="AY1036" s="8"/>
    </row>
    <row r="1037" spans="1:51">
      <c r="A1037" s="5" t="str">
        <v>MEI</v>
      </c>
      <c r="B1037" s="5" t="str">
        <f ca="1"/>
        <v>MEI45708</v>
      </c>
      <c r="C1037" s="8" t="str">
        <v>Pedido 1024</v>
      </c>
      <c r="D1037" s="187">
        <v>45707</v>
      </c>
      <c r="E1037" s="9">
        <v>45708</v>
      </c>
      <c r="F1037" s="8" t="str">
        <v>PedidoF1003</v>
      </c>
      <c r="G1037" s="2" t="str">
        <v>CódRastreio1001</v>
      </c>
      <c r="H1037" s="5">
        <v>1</v>
      </c>
      <c r="I1037" s="2" t="str">
        <v>CPF 996</v>
      </c>
      <c r="J1037" s="2" t="str">
        <v>Nome 996</v>
      </c>
      <c r="K1037" s="8" t="str">
        <v>Tel 996</v>
      </c>
      <c r="L1037" s="8" t="str">
        <v>Cep 996</v>
      </c>
      <c r="M1037" s="8" t="str">
        <v>Rua 996</v>
      </c>
      <c r="N1037" s="8" t="str">
        <v>Comp 996</v>
      </c>
      <c r="O1037" s="8" t="str">
        <v>Ventilador Preto</v>
      </c>
      <c r="P1037" s="8" t="str">
        <v>WU-SS4J-LFOH</v>
      </c>
      <c r="Q1037" s="4">
        <v>45730</v>
      </c>
      <c r="R1037" s="109">
        <v>65.989999999999995</v>
      </c>
      <c r="S1037" s="11">
        <f ca="1"/>
        <v>0</v>
      </c>
      <c r="T1037" s="28">
        <f ca="1"/>
        <v>0</v>
      </c>
      <c r="U1037" s="11">
        <f ca="1"/>
        <v>0</v>
      </c>
      <c r="V1037" s="11">
        <v>0</v>
      </c>
      <c r="W1037" s="11">
        <f ca="1"/>
        <v>0</v>
      </c>
      <c r="X1037" s="11">
        <f ca="1"/>
        <v>0.39877104377104378</v>
      </c>
      <c r="Y1037" s="11">
        <v>0</v>
      </c>
      <c r="Z1037" s="11">
        <f ca="1"/>
        <v>-0.39877104377104378</v>
      </c>
      <c r="AA1037" s="11">
        <f ca="1"/>
        <v>-0.19938552188552189</v>
      </c>
      <c r="AB1037" s="4">
        <f ca="1"/>
        <v>45737</v>
      </c>
      <c r="AC1037" s="4">
        <v>45737</v>
      </c>
      <c r="AD1037" s="9">
        <v>45747</v>
      </c>
      <c r="AE1037" s="9">
        <v>45749</v>
      </c>
      <c r="AF1037" s="4" t="str">
        <f t="shared" ca="1" si="62"/>
        <v>2025 03</v>
      </c>
      <c r="AG1037" s="8" t="str" cm="1">
        <f t="array" ref="AG1037">IFERROR(_xlfn.IFS('Banco de Dados'!#REF!="AG. COMPRA","Em processamento",'Banco de Dados'!#REF!="AG. RASTREIO","Em processamento",'Banco de Dados'!$AE1037&lt;&gt;"-","Faturado",'Banco de Dados'!$AD1037&lt;&gt;"-","Aguardando Pix",'Banco de Dados'!$AC1037&lt;&gt;"-","Pendente"),"Aguardando Liberação")</f>
        <v>Aguardando Liberação</v>
      </c>
      <c r="AH1037" s="5" t="str">
        <f>IF('Banco de Dados'!$F1037="-",_xlfn.CONCAT(PROPER(TEXT(AK1037,"aaaa"))," ",PROPER(TEXT(AK1037,"mm"))),_xlfn.CONCAT(PROPER(TEXT(E1037,"aaaa"))," ",PROPER(TEXT(E1037,"mm"))))</f>
        <v>2025 02</v>
      </c>
      <c r="AI1037" s="9" t="str">
        <f ca="1">IF('Banco de Dados'!$AK1037&lt;&gt;"-","REEMBOLSO",IFERROR(_xlfn.XLOOKUP(G1037,Follow[CODRASTREIO],Follow[STATUS]),"-"))</f>
        <v>REEMBOLSO</v>
      </c>
      <c r="AJ1037" s="9" t="str">
        <f ca="1">IF('Banco de Dados'!$AI1037="ENTREGUE",_xlfn.XLOOKUP('Banco de Dados'!$G1037,Follow[CODRASTREIO],Follow[DATAATUALIZAÇÃO]),"-")</f>
        <v>-</v>
      </c>
      <c r="AK1037" s="132">
        <f ca="1"/>
        <v>45742</v>
      </c>
      <c r="AL1037" s="35"/>
      <c r="AM1037" s="109" cm="1">
        <f t="array" aca="1" ref="AM1037" ca="1">IF('Banco de Dados'!$AK1037&lt;&gt;"-",_xlfn.IFS('Banco de Dados'!$A1037="bv",IF('Banco de Dados'!$E1037&lt;45641,ROUND(SUM('Banco de Dados'!$R1037*_xlfn.XLOOKUP('Banco de Dados'!$P1037,Sku!B:B,Sku!#REF!)*20%),2),ROUND(SUM('Banco de Dados'!$R1037*_xlfn.XLOOKUP('Banco de Dados'!$P1037,Sku!B:B,Sku!H:H)*20%),2)),'Banco de Dados'!$A1037="GO",ROUND(SUM('Banco de Dados'!$R1037*_xlfn.XLOOKUP('Banco de Dados'!$P1037,Sku!C:C,Sku!H:H)*20%),2),'Banco de Dados'!$A1037="MEI",ROUND(SUM('Banco de Dados'!$R1037*_xlfn.XLOOKUP('Banco de Dados'!$P1037,Sku!D:D,Sku!H:H)*20%),2)),0)</f>
        <v>1.72</v>
      </c>
      <c r="AN1037" s="109" t="e">
        <f ca="1">IF('Banco de Dados'!$AK1037&lt;&gt;"-",IF('Banco de Dados'!$F1037&lt;&gt;"-",_xlfn.XLOOKUP(IFERROR(IFERROR(IFERROR(VALUE(SUBSTITUTE(MID(_xlfn.TEXTAFTER('Banco de Dados'!$F1037,"Data do Pedido:
",1),1,10),"-","/")),VALUE(SUBSTITUTE(MID(_xlfn.TEXTAFTER('Banco de Dados'!$F1037,"Order date:
",1),1,10),"-","/"))),VALUE(SUBSTITUTE(MID(_xlfn.TEXTAFTER('Banco de Dados'!$F1037,"Fecha de pedido:
",1),1,10),"-","/"))),"-"),SMS!A:A,SMS!K:K),0),0)</f>
        <v>#N/A</v>
      </c>
      <c r="AO1037" s="109">
        <f ca="1">IF('Banco de Dados'!$AK1037&lt;&gt;"-",IF('Banco de Dados'!$F1037&lt;&gt;"-",IFERROR(_xlfn.XLOOKUP(_xlfn.CONCAT('Banco de Dados'!$A1037,IFERROR(IFERROR(VALUE(SUBSTITUTE(MID(_xlfn.TEXTAFTER('Banco de Dados'!$F1037,"Data do Pedido:
",1),1,10),"-","/")),VALUE(SUBSTITUTE(MID(_xlfn.TEXTAFTER('Banco de Dados'!$F1037,"Order date:
",1),1,10),"-","/"))),0)),ProxyDD[Chave],ProxyDD[Valor por pedido]),PROXY!$P$2),0),0)</f>
        <v>0.39877104377104378</v>
      </c>
      <c r="AP1037" s="28">
        <f ca="1">IF('Banco de Dados'!$AK1037&lt;&gt;"-",IF('Banco de Dados'!$AL1037="NÃO",IFERROR(VALUE(SUBSTITUTE(_xlfn.TEXTAFTER('Banco de Dados'!$F1037,"BRL ",1),".",",")),0),0),0)</f>
        <v>0</v>
      </c>
      <c r="AQ1037" s="28" t="e">
        <f ca="1">SUM('Banco de Dados'!$AM1037:$AP1037)</f>
        <v>#N/A</v>
      </c>
      <c r="AR1037" s="8"/>
      <c r="AY1037" s="8"/>
    </row>
    <row r="1038" spans="1:51">
      <c r="A1038" s="5" t="str">
        <v>MEI</v>
      </c>
      <c r="B1038" s="5" t="str">
        <f ca="1"/>
        <v>MEI45707</v>
      </c>
      <c r="C1038" s="8" t="str">
        <v>Pedido 1025</v>
      </c>
      <c r="D1038" s="187">
        <v>45707</v>
      </c>
      <c r="E1038" s="9">
        <v>45707</v>
      </c>
      <c r="F1038" s="8" t="str">
        <v>PedidoF1004</v>
      </c>
      <c r="G1038" s="2" t="str">
        <v>CódRastreio1002</v>
      </c>
      <c r="H1038" s="5">
        <v>1</v>
      </c>
      <c r="I1038" s="2" t="str">
        <v>CPF 997</v>
      </c>
      <c r="J1038" s="2" t="str">
        <v>Nome 997</v>
      </c>
      <c r="K1038" s="8" t="str">
        <v>Tel 997</v>
      </c>
      <c r="L1038" s="8" t="str">
        <v>Cep 997</v>
      </c>
      <c r="M1038" s="8" t="str">
        <v>Rua 997</v>
      </c>
      <c r="N1038" s="8" t="str">
        <v>Comp 997</v>
      </c>
      <c r="O1038" s="8" t="str">
        <v>Ventilador Preto</v>
      </c>
      <c r="P1038" s="8" t="str">
        <v>WU-SS4J-LFOH</v>
      </c>
      <c r="Q1038" s="4">
        <v>45731</v>
      </c>
      <c r="R1038" s="109">
        <v>65.989999999999995</v>
      </c>
      <c r="S1038" s="11">
        <f ca="1"/>
        <v>65.989999999999995</v>
      </c>
      <c r="T1038" s="28">
        <f ca="1"/>
        <v>8.5786999999999995</v>
      </c>
      <c r="U1038" s="11">
        <f ca="1"/>
        <v>57.41</v>
      </c>
      <c r="V1038" s="11">
        <v>14.35</v>
      </c>
      <c r="W1038" s="11">
        <f ca="1"/>
        <v>0.25</v>
      </c>
      <c r="X1038" s="11">
        <f ca="1"/>
        <v>0.39877104377104378</v>
      </c>
      <c r="Y1038" s="11">
        <v>0</v>
      </c>
      <c r="Z1038" s="11">
        <f ca="1"/>
        <v>42.411228956228953</v>
      </c>
      <c r="AA1038" s="11">
        <f ca="1"/>
        <v>21.205614478114477</v>
      </c>
      <c r="AB1038" s="4">
        <f ca="1"/>
        <v>45738</v>
      </c>
      <c r="AC1038" s="4">
        <v>45738</v>
      </c>
      <c r="AD1038" s="9">
        <v>45747</v>
      </c>
      <c r="AE1038" s="9">
        <v>45749</v>
      </c>
      <c r="AF1038" s="4" t="str">
        <f t="shared" ca="1" si="62"/>
        <v>2025 03</v>
      </c>
      <c r="AG1038" s="8" t="str" cm="1">
        <f t="array" ref="AG1038">IFERROR(_xlfn.IFS('Banco de Dados'!#REF!="AG. COMPRA","Em processamento",'Banco de Dados'!#REF!="AG. RASTREIO","Em processamento",'Banco de Dados'!$AE1038&lt;&gt;"-","Faturado",'Banco de Dados'!$AD1038&lt;&gt;"-","Aguardando Pix",'Banco de Dados'!$AC1038&lt;&gt;"-","Pendente"),"Aguardando Liberação")</f>
        <v>Aguardando Liberação</v>
      </c>
      <c r="AH1038" s="5" t="str">
        <f>IF('Banco de Dados'!$F1038="-",_xlfn.CONCAT(PROPER(TEXT(AK1038,"aaaa"))," ",PROPER(TEXT(AK1038,"mm"))),_xlfn.CONCAT(PROPER(TEXT(E1038,"aaaa"))," ",PROPER(TEXT(E1038,"mm"))))</f>
        <v>2025 02</v>
      </c>
      <c r="AI1038" s="9" t="str">
        <f ca="1">IF('Banco de Dados'!$AK1038&lt;&gt;"-","REEMBOLSO",IFERROR(_xlfn.XLOOKUP(G1038,Follow[CODRASTREIO],Follow[STATUS]),"-"))</f>
        <v>ENTREGUE</v>
      </c>
      <c r="AJ1038" s="9">
        <f ca="1">IF('Banco de Dados'!$AI1038="ENTREGUE",_xlfn.XLOOKUP('Banco de Dados'!$G1038,Follow[CODRASTREIO],Follow[DATAATUALIZAÇÃO]),"-")</f>
        <v>45721</v>
      </c>
      <c r="AK1038" s="132" t="str">
        <f ca="1"/>
        <v>-</v>
      </c>
      <c r="AL1038" s="35"/>
      <c r="AM1038" s="109" cm="1">
        <f t="array" aca="1" ref="AM1038" ca="1">IF('Banco de Dados'!$AK1038&lt;&gt;"-",_xlfn.IFS('Banco de Dados'!$A1038="bv",IF('Banco de Dados'!$E1038&lt;45641,ROUND(SUM('Banco de Dados'!$R1038*_xlfn.XLOOKUP('Banco de Dados'!$P1038,Sku!B:B,Sku!#REF!)*20%),2),ROUND(SUM('Banco de Dados'!$R1038*_xlfn.XLOOKUP('Banco de Dados'!$P1038,Sku!B:B,Sku!H:H)*20%),2)),'Banco de Dados'!$A1038="GO",ROUND(SUM('Banco de Dados'!$R1038*_xlfn.XLOOKUP('Banco de Dados'!$P1038,Sku!C:C,Sku!H:H)*20%),2),'Banco de Dados'!$A1038="MEI",ROUND(SUM('Banco de Dados'!$R1038*_xlfn.XLOOKUP('Banco de Dados'!$P1038,Sku!D:D,Sku!H:H)*20%),2)),0)</f>
        <v>0</v>
      </c>
      <c r="AN1038" s="109">
        <f ca="1">IF('Banco de Dados'!$AK1038&lt;&gt;"-",IF('Banco de Dados'!$F1038&lt;&gt;"-",_xlfn.XLOOKUP(IFERROR(IFERROR(IFERROR(VALUE(SUBSTITUTE(MID(_xlfn.TEXTAFTER('Banco de Dados'!$F1038,"Data do Pedido:
",1),1,10),"-","/")),VALUE(SUBSTITUTE(MID(_xlfn.TEXTAFTER('Banco de Dados'!$F1038,"Order date:
",1),1,10),"-","/"))),VALUE(SUBSTITUTE(MID(_xlfn.TEXTAFTER('Banco de Dados'!$F1038,"Fecha de pedido:
",1),1,10),"-","/"))),"-"),SMS!A:A,SMS!K:K),0),0)</f>
        <v>0</v>
      </c>
      <c r="AO1038" s="109">
        <f ca="1">IF('Banco de Dados'!$AK1038&lt;&gt;"-",IF('Banco de Dados'!$F1038&lt;&gt;"-",IFERROR(_xlfn.XLOOKUP(_xlfn.CONCAT('Banco de Dados'!$A1038,IFERROR(IFERROR(VALUE(SUBSTITUTE(MID(_xlfn.TEXTAFTER('Banco de Dados'!$F1038,"Data do Pedido:
",1),1,10),"-","/")),VALUE(SUBSTITUTE(MID(_xlfn.TEXTAFTER('Banco de Dados'!$F1038,"Order date:
",1),1,10),"-","/"))),0)),ProxyDD[Chave],ProxyDD[Valor por pedido]),PROXY!$P$2),0),0)</f>
        <v>0</v>
      </c>
      <c r="AP1038" s="28">
        <f ca="1">IF('Banco de Dados'!$AK1038&lt;&gt;"-",IF('Banco de Dados'!$AL1038="NÃO",IFERROR(VALUE(SUBSTITUTE(_xlfn.TEXTAFTER('Banco de Dados'!$F1038,"BRL ",1),".",",")),0),0),0)</f>
        <v>0</v>
      </c>
      <c r="AQ1038" s="28">
        <f ca="1">SUM('Banco de Dados'!$AM1038:$AP1038)</f>
        <v>0</v>
      </c>
      <c r="AR1038" s="8"/>
      <c r="AY1038" s="8"/>
    </row>
    <row r="1039" spans="1:51">
      <c r="A1039" s="5" t="str">
        <v>BV</v>
      </c>
      <c r="B1039" s="5" t="str">
        <f ca="1"/>
        <v>BV45708</v>
      </c>
      <c r="C1039" s="8" t="str">
        <v>Pedido 1026</v>
      </c>
      <c r="D1039" s="9">
        <v>45708</v>
      </c>
      <c r="E1039" s="9">
        <v>45708</v>
      </c>
      <c r="F1039" s="8" t="str">
        <v>PedidoF1005</v>
      </c>
      <c r="G1039" s="2" t="str">
        <v>CódRastreio1003</v>
      </c>
      <c r="H1039" s="5">
        <v>1</v>
      </c>
      <c r="I1039" s="2" t="str">
        <v>CPF 998</v>
      </c>
      <c r="J1039" s="2" t="str">
        <v>Nome 998</v>
      </c>
      <c r="K1039" s="8" t="str">
        <v>Tel 998</v>
      </c>
      <c r="L1039" s="8" t="str">
        <v>Cep 998</v>
      </c>
      <c r="M1039" s="8" t="str">
        <v>Rua 998</v>
      </c>
      <c r="N1039" s="8" t="str">
        <v>Comp 998</v>
      </c>
      <c r="O1039" s="8" t="str">
        <v>Ventilador Rosa</v>
      </c>
      <c r="P1039" s="8" t="str">
        <v>IF-G2ZQ-79FO</v>
      </c>
      <c r="Q1039" s="4">
        <v>45738</v>
      </c>
      <c r="R1039" s="109">
        <v>65.989999999999995</v>
      </c>
      <c r="S1039" s="11">
        <f ca="1"/>
        <v>65.989999999999995</v>
      </c>
      <c r="T1039" s="28">
        <f ca="1"/>
        <v>8.5786999999999995</v>
      </c>
      <c r="U1039" s="11">
        <f ca="1"/>
        <v>57.41</v>
      </c>
      <c r="V1039" s="11">
        <v>13.47</v>
      </c>
      <c r="W1039" s="11">
        <f ca="1"/>
        <v>0.4</v>
      </c>
      <c r="X1039" s="11">
        <f ca="1"/>
        <v>0.39877104377104378</v>
      </c>
      <c r="Y1039" s="11">
        <v>0</v>
      </c>
      <c r="Z1039" s="11">
        <f ca="1"/>
        <v>43.14122895622895</v>
      </c>
      <c r="AA1039" s="11">
        <f ca="1"/>
        <v>21.570614478114475</v>
      </c>
      <c r="AB1039" s="4">
        <f ca="1"/>
        <v>45745</v>
      </c>
      <c r="AC1039" s="4">
        <v>45745</v>
      </c>
      <c r="AD1039" s="9">
        <v>45747</v>
      </c>
      <c r="AE1039" s="9">
        <v>45749</v>
      </c>
      <c r="AF1039" s="4" t="str">
        <f t="shared" ref="AF1039:AF1040" ca="1" si="63">_xlfn.CONCAT(PROPER(TEXT(AB1039,"aaaa"))," ",PROPER(TEXT(AB1039,"mm")))</f>
        <v>2025 03</v>
      </c>
      <c r="AG1039" s="8" t="str" cm="1">
        <f t="array" ref="AG1039">IFERROR(_xlfn.IFS('Banco de Dados'!#REF!="AG. COMPRA","Em processamento",'Banco de Dados'!#REF!="AG. RASTREIO","Em processamento",'Banco de Dados'!$AE1039&lt;&gt;"-","Faturado",'Banco de Dados'!$AD1039&lt;&gt;"-","Aguardando Pix",'Banco de Dados'!$AC1039&lt;&gt;"-","Pendente"),"Aguardando Liberação")</f>
        <v>Aguardando Liberação</v>
      </c>
      <c r="AH1039" s="5" t="str">
        <f>IF('Banco de Dados'!$F1039="-",_xlfn.CONCAT(PROPER(TEXT(AK1039,"aaaa"))," ",PROPER(TEXT(AK1039,"mm"))),_xlfn.CONCAT(PROPER(TEXT(E1039,"aaaa"))," ",PROPER(TEXT(E1039,"mm"))))</f>
        <v>2025 02</v>
      </c>
      <c r="AI1039" s="9" t="str">
        <f ca="1">IF('Banco de Dados'!$AK1039&lt;&gt;"-","REEMBOLSO",IFERROR(_xlfn.XLOOKUP(G1039,Follow[CODRASTREIO],Follow[STATUS]),"-"))</f>
        <v>ENTREGUE</v>
      </c>
      <c r="AJ1039" s="9">
        <f ca="1">IF('Banco de Dados'!$AI1039="ENTREGUE",_xlfn.XLOOKUP('Banco de Dados'!$G1039,Follow[CODRASTREIO],Follow[DATAATUALIZAÇÃO]),"-")</f>
        <v>45723</v>
      </c>
      <c r="AK1039" s="132" t="str">
        <f ca="1"/>
        <v>-</v>
      </c>
      <c r="AL1039" s="35"/>
      <c r="AM1039" s="109" cm="1">
        <f t="array" aca="1" ref="AM1039" ca="1">IF('Banco de Dados'!$AK1039&lt;&gt;"-",_xlfn.IFS('Banco de Dados'!$A1039="bv",IF('Banco de Dados'!$E1039&lt;45641,ROUND(SUM('Banco de Dados'!$R1039*_xlfn.XLOOKUP('Banco de Dados'!$P1039,Sku!B:B,Sku!#REF!)*20%),2),ROUND(SUM('Banco de Dados'!$R1039*_xlfn.XLOOKUP('Banco de Dados'!$P1039,Sku!B:B,Sku!H:H)*20%),2)),'Banco de Dados'!$A1039="GO",ROUND(_xlfn.XLOOKUP('Banco de Dados'!$P1039,Sku!C:C,Sku!H:H),2),'Banco de Dados'!$A1039="MEI",ROUND(_xlfn.XLOOKUP('Banco de Dados'!$P1039,Sku!D:D,Sku!H:H),2)),0)</f>
        <v>0</v>
      </c>
      <c r="AN1039" s="109">
        <f ca="1">IF('Banco de Dados'!$AK1039&lt;&gt;"-",IF('Banco de Dados'!$F1039&lt;&gt;"-",_xlfn.XLOOKUP(IFERROR(IFERROR(IFERROR(VALUE(SUBSTITUTE(MID(_xlfn.TEXTAFTER('Banco de Dados'!$F1039,"Data do Pedido:
",1),1,10),"-","/")),VALUE(SUBSTITUTE(MID(_xlfn.TEXTAFTER('Banco de Dados'!$F1039,"Order date:
",1),1,10),"-","/"))),VALUE(SUBSTITUTE(MID(_xlfn.TEXTAFTER('Banco de Dados'!$F1039,"Fecha de pedido:
",1),1,10),"-","/"))),"-"),SMS!A:A,SMS!K:K),0),0)</f>
        <v>0</v>
      </c>
      <c r="AO1039" s="109">
        <f ca="1">IF('Banco de Dados'!$AK1039&lt;&gt;"-",IF('Banco de Dados'!$F1039&lt;&gt;"-",IFERROR(_xlfn.XLOOKUP(_xlfn.CONCAT('Banco de Dados'!$A1039,IFERROR(IFERROR(VALUE(SUBSTITUTE(MID(_xlfn.TEXTAFTER('Banco de Dados'!$F1039,"Data do Pedido:
",1),1,10),"-","/")),VALUE(SUBSTITUTE(MID(_xlfn.TEXTAFTER('Banco de Dados'!$F1039,"Order date:
",1),1,10),"-","/"))),0)),ProxyDD[Chave],ProxyDD[Valor por pedido]),PROXY!$P$2),0),0)</f>
        <v>0</v>
      </c>
      <c r="AP1039" s="28">
        <f ca="1">IF('Banco de Dados'!$AK1039&lt;&gt;"-",IF('Banco de Dados'!$AL1039="NÃO",IFERROR(VALUE(SUBSTITUTE(_xlfn.TEXTAFTER('Banco de Dados'!$F1039,"BRL ",1),".",",")),0),0),0)</f>
        <v>0</v>
      </c>
      <c r="AQ1039" s="28">
        <f ca="1">SUM('Banco de Dados'!$AM1039:$AP1039)</f>
        <v>0</v>
      </c>
      <c r="AR1039" s="8"/>
      <c r="AY1039" s="8"/>
    </row>
    <row r="1040" spans="1:51">
      <c r="A1040" s="5" t="str">
        <v>MEI</v>
      </c>
      <c r="B1040" s="5" t="str">
        <f ca="1"/>
        <v>MEI45710</v>
      </c>
      <c r="C1040" s="8" t="str">
        <v>Pedido 1027</v>
      </c>
      <c r="D1040" s="187">
        <v>45708</v>
      </c>
      <c r="E1040" s="9">
        <v>45710</v>
      </c>
      <c r="F1040" s="8" t="str">
        <v>PedidoF1006</v>
      </c>
      <c r="G1040" s="2" t="str">
        <v>CódRastreio1004</v>
      </c>
      <c r="H1040" s="5">
        <v>1</v>
      </c>
      <c r="I1040" s="2" t="str">
        <v>CPF 999</v>
      </c>
      <c r="J1040" s="2" t="str">
        <v>Nome 999</v>
      </c>
      <c r="K1040" s="8" t="str">
        <v>Tel 999</v>
      </c>
      <c r="L1040" s="184" t="str">
        <v>Cep 999</v>
      </c>
      <c r="M1040" s="8" t="str">
        <v>Rua 999</v>
      </c>
      <c r="N1040" s="8" t="str">
        <v>Comp 999</v>
      </c>
      <c r="O1040" s="8" t="str">
        <v>Ventilador Preto</v>
      </c>
      <c r="P1040" s="8" t="str">
        <v>WU-SS4J-LFOH</v>
      </c>
      <c r="Q1040" s="4">
        <v>45734</v>
      </c>
      <c r="R1040" s="109">
        <v>65.989999999999995</v>
      </c>
      <c r="S1040" s="11">
        <f ca="1"/>
        <v>65.989999999999995</v>
      </c>
      <c r="T1040" s="28">
        <f ca="1"/>
        <v>8.5786999999999995</v>
      </c>
      <c r="U1040" s="11">
        <f ca="1"/>
        <v>57.41</v>
      </c>
      <c r="V1040" s="11">
        <v>16.05</v>
      </c>
      <c r="W1040" s="11">
        <f ca="1"/>
        <v>0.2</v>
      </c>
      <c r="X1040" s="11">
        <f ca="1"/>
        <v>0.39877104377104378</v>
      </c>
      <c r="Y1040" s="11">
        <v>0</v>
      </c>
      <c r="Z1040" s="11">
        <f ca="1"/>
        <v>40.761228956228948</v>
      </c>
      <c r="AA1040" s="11">
        <f ca="1"/>
        <v>20.380614478114474</v>
      </c>
      <c r="AB1040" s="4">
        <f ca="1"/>
        <v>45741</v>
      </c>
      <c r="AC1040" s="4">
        <v>45741</v>
      </c>
      <c r="AD1040" s="9">
        <v>45747</v>
      </c>
      <c r="AE1040" s="9">
        <v>45749</v>
      </c>
      <c r="AF1040" s="4" t="str">
        <f t="shared" ca="1" si="63"/>
        <v>2025 03</v>
      </c>
      <c r="AG1040" s="8" t="str" cm="1">
        <f t="array" ref="AG1040">IFERROR(_xlfn.IFS('Banco de Dados'!#REF!="AG. COMPRA","Em processamento",'Banco de Dados'!#REF!="AG. RASTREIO","Em processamento",'Banco de Dados'!$AE1040&lt;&gt;"-","Faturado",'Banco de Dados'!$AD1040&lt;&gt;"-","Aguardando Pix",'Banco de Dados'!$AC1040&lt;&gt;"-","Pendente"),"Aguardando Liberação")</f>
        <v>Aguardando Liberação</v>
      </c>
      <c r="AH1040" s="5" t="str">
        <f>IF('Banco de Dados'!$F1040="-",_xlfn.CONCAT(PROPER(TEXT(AK1040,"aaaa"))," ",PROPER(TEXT(AK1040,"mm"))),_xlfn.CONCAT(PROPER(TEXT(E1040,"aaaa"))," ",PROPER(TEXT(E1040,"mm"))))</f>
        <v>2025 02</v>
      </c>
      <c r="AI1040" s="9" t="str">
        <f ca="1">IF('Banco de Dados'!$AK1040&lt;&gt;"-","REEMBOLSO",IFERROR(_xlfn.XLOOKUP(G1040,Follow[CODRASTREIO],Follow[STATUS]),"-"))</f>
        <v>ENTREGUE</v>
      </c>
      <c r="AJ1040" s="9">
        <f ca="1">IF('Banco de Dados'!$AI1040="ENTREGUE",_xlfn.XLOOKUP('Banco de Dados'!$G1040,Follow[CODRASTREIO],Follow[DATAATUALIZAÇÃO]),"-")</f>
        <v>45716</v>
      </c>
      <c r="AK1040" s="132" t="str">
        <f ca="1"/>
        <v>-</v>
      </c>
      <c r="AL1040" s="35"/>
      <c r="AM1040" s="109" cm="1">
        <f t="array" aca="1" ref="AM1040" ca="1">IF('Banco de Dados'!$AK1040&lt;&gt;"-",_xlfn.IFS('Banco de Dados'!$A1040="bv",IF('Banco de Dados'!$E1040&lt;45641,ROUND(SUM('Banco de Dados'!$R1040*_xlfn.XLOOKUP('Banco de Dados'!$P1040,Sku!B:B,Sku!#REF!)*20%),2),ROUND(SUM('Banco de Dados'!$R1040*_xlfn.XLOOKUP('Banco de Dados'!$P1040,Sku!B:B,Sku!H:H)*20%),2)),'Banco de Dados'!$A1040="GO",ROUND(SUM('Banco de Dados'!$R1040*_xlfn.XLOOKUP('Banco de Dados'!$P1040,Sku!C:C,Sku!H:H)*20%),2),'Banco de Dados'!$A1040="MEI",ROUND(SUM('Banco de Dados'!$R1040*_xlfn.XLOOKUP('Banco de Dados'!$P1040,Sku!D:D,Sku!H:H)*20%),2)),0)</f>
        <v>0</v>
      </c>
      <c r="AN1040" s="109">
        <f ca="1">IF('Banco de Dados'!$AK1040&lt;&gt;"-",IF('Banco de Dados'!$F1040&lt;&gt;"-",_xlfn.XLOOKUP(IFERROR(IFERROR(IFERROR(VALUE(SUBSTITUTE(MID(_xlfn.TEXTAFTER('Banco de Dados'!$F1040,"Data do Pedido:
",1),1,10),"-","/")),VALUE(SUBSTITUTE(MID(_xlfn.TEXTAFTER('Banco de Dados'!$F1040,"Order date:
",1),1,10),"-","/"))),VALUE(SUBSTITUTE(MID(_xlfn.TEXTAFTER('Banco de Dados'!$F1040,"Fecha de pedido:
",1),1,10),"-","/"))),"-"),SMS!A:A,SMS!K:K),0),0)</f>
        <v>0</v>
      </c>
      <c r="AO1040" s="109">
        <f ca="1">IF('Banco de Dados'!$AK1040&lt;&gt;"-",IF('Banco de Dados'!$F1040&lt;&gt;"-",IFERROR(_xlfn.XLOOKUP(_xlfn.CONCAT('Banco de Dados'!$A1040,IFERROR(IFERROR(VALUE(SUBSTITUTE(MID(_xlfn.TEXTAFTER('Banco de Dados'!$F1040,"Data do Pedido:
",1),1,10),"-","/")),VALUE(SUBSTITUTE(MID(_xlfn.TEXTAFTER('Banco de Dados'!$F1040,"Order date:
",1),1,10),"-","/"))),0)),ProxyDD[Chave],ProxyDD[Valor por pedido]),PROXY!$P$2),0),0)</f>
        <v>0</v>
      </c>
      <c r="AP1040" s="28">
        <f ca="1">IF('Banco de Dados'!$AK1040&lt;&gt;"-",IF('Banco de Dados'!$AL1040="NÃO",IFERROR(VALUE(SUBSTITUTE(_xlfn.TEXTAFTER('Banco de Dados'!$F1040,"BRL ",1),".",",")),0),0),0)</f>
        <v>0</v>
      </c>
      <c r="AQ1040" s="28">
        <f ca="1">SUM('Banco de Dados'!$AM1040:$AP1040)</f>
        <v>0</v>
      </c>
      <c r="AR1040" s="8"/>
      <c r="AY1040" s="8"/>
    </row>
    <row r="1041" spans="1:51">
      <c r="A1041" s="5" t="str">
        <v>BV</v>
      </c>
      <c r="B1041" s="5" t="str">
        <f ca="1"/>
        <v>BV45710</v>
      </c>
      <c r="C1041" s="8" t="str">
        <v>Pedido 1028</v>
      </c>
      <c r="D1041" s="9">
        <v>45708</v>
      </c>
      <c r="E1041" s="9">
        <v>45710</v>
      </c>
      <c r="F1041" s="8" t="str">
        <v>PedidoF1007</v>
      </c>
      <c r="G1041" s="2" t="str">
        <v>CódRastreio1005</v>
      </c>
      <c r="H1041" s="5">
        <v>1</v>
      </c>
      <c r="I1041" s="2" t="str">
        <v>CPF 1000</v>
      </c>
      <c r="J1041" s="2" t="str">
        <v>Nome 1000</v>
      </c>
      <c r="K1041" s="8" t="str">
        <v>Tel 1000</v>
      </c>
      <c r="L1041" s="8" t="str">
        <v>Cep 1000</v>
      </c>
      <c r="M1041" s="8" t="str">
        <v>Rua 1000</v>
      </c>
      <c r="N1041" s="8" t="str">
        <v>Comp 1000</v>
      </c>
      <c r="O1041" s="8" t="str">
        <v>Garrafa Termica</v>
      </c>
      <c r="P1041" s="8" t="str">
        <v>FM-QQ8Y-RZT4</v>
      </c>
      <c r="Q1041" s="4">
        <v>45728</v>
      </c>
      <c r="R1041" s="109">
        <v>23.5</v>
      </c>
      <c r="S1041" s="11">
        <f ca="1"/>
        <v>23.5</v>
      </c>
      <c r="T1041" s="28">
        <f ca="1"/>
        <v>3.0550000000000002</v>
      </c>
      <c r="U1041" s="11">
        <f ca="1"/>
        <v>20.45</v>
      </c>
      <c r="V1041" s="11">
        <v>6.99</v>
      </c>
      <c r="W1041" s="11">
        <f ca="1"/>
        <v>0.2</v>
      </c>
      <c r="X1041" s="11">
        <f ca="1"/>
        <v>0.39877104377104378</v>
      </c>
      <c r="Y1041" s="11">
        <v>0</v>
      </c>
      <c r="Z1041" s="11">
        <f ca="1"/>
        <v>12.861228956228956</v>
      </c>
      <c r="AA1041" s="11">
        <f ca="1"/>
        <v>6.4306144781144781</v>
      </c>
      <c r="AB1041" s="4">
        <f ca="1"/>
        <v>45735</v>
      </c>
      <c r="AC1041" s="4">
        <v>45735</v>
      </c>
      <c r="AD1041" s="9">
        <v>45747</v>
      </c>
      <c r="AE1041" s="9">
        <v>45749</v>
      </c>
      <c r="AF1041" s="4" t="str">
        <f t="shared" ref="AF1041:AF1047" ca="1" si="64">_xlfn.CONCAT(PROPER(TEXT(AB1041,"aaaa"))," ",PROPER(TEXT(AB1041,"mm")))</f>
        <v>2025 03</v>
      </c>
      <c r="AG1041" s="8" t="str" cm="1">
        <f t="array" ref="AG1041">IFERROR(_xlfn.IFS('Banco de Dados'!#REF!="AG. COMPRA","Em processamento",'Banco de Dados'!#REF!="AG. RASTREIO","Em processamento",'Banco de Dados'!$AE1041&lt;&gt;"-","Faturado",'Banco de Dados'!$AD1041&lt;&gt;"-","Aguardando Pix",'Banco de Dados'!$AC1041&lt;&gt;"-","Pendente"),"Aguardando Liberação")</f>
        <v>Aguardando Liberação</v>
      </c>
      <c r="AH1041" s="5" t="str">
        <f>IF('Banco de Dados'!$F1041="-",_xlfn.CONCAT(PROPER(TEXT(AK1041,"aaaa"))," ",PROPER(TEXT(AK1041,"mm"))),_xlfn.CONCAT(PROPER(TEXT(E1041,"aaaa"))," ",PROPER(TEXT(E1041,"mm"))))</f>
        <v>2025 02</v>
      </c>
      <c r="AI1041" s="9" t="str">
        <f ca="1">IF('Banco de Dados'!$AK1041&lt;&gt;"-","REEMBOLSO",IFERROR(_xlfn.XLOOKUP(G1041,Follow[CODRASTREIO],Follow[STATUS]),"-"))</f>
        <v>ENTREGUE</v>
      </c>
      <c r="AJ1041" s="9">
        <f ca="1">IF('Banco de Dados'!$AI1041="ENTREGUE",_xlfn.XLOOKUP('Banco de Dados'!$G1041,Follow[CODRASTREIO],Follow[DATAATUALIZAÇÃO]),"-")</f>
        <v>45715</v>
      </c>
      <c r="AK1041" s="132" t="str">
        <f ca="1"/>
        <v>-</v>
      </c>
      <c r="AL1041" s="35"/>
      <c r="AM1041" s="109" cm="1">
        <f t="array" aca="1" ref="AM1041" ca="1">IF('Banco de Dados'!$AK1041&lt;&gt;"-",_xlfn.IFS('Banco de Dados'!$A1041="bv",IF('Banco de Dados'!$E1041&lt;45641,ROUND(SUM('Banco de Dados'!$R1041*_xlfn.XLOOKUP('Banco de Dados'!$P1041,Sku!B:B,Sku!#REF!)*20%),2),ROUND(SUM('Banco de Dados'!$R1041*_xlfn.XLOOKUP('Banco de Dados'!$P1041,Sku!B:B,Sku!H:H)*20%),2)),'Banco de Dados'!$A1041="GO",ROUND(_xlfn.XLOOKUP('Banco de Dados'!$P1041,Sku!C:C,Sku!H:H),2),'Banco de Dados'!$A1041="MEI",ROUND(_xlfn.XLOOKUP('Banco de Dados'!$P1041,Sku!D:D,Sku!H:H),2)),0)</f>
        <v>0</v>
      </c>
      <c r="AN1041" s="109">
        <f ca="1">IF('Banco de Dados'!$AK1041&lt;&gt;"-",IF('Banco de Dados'!$F1041&lt;&gt;"-",_xlfn.XLOOKUP(IFERROR(IFERROR(IFERROR(VALUE(SUBSTITUTE(MID(_xlfn.TEXTAFTER('Banco de Dados'!$F1041,"Data do Pedido:
",1),1,10),"-","/")),VALUE(SUBSTITUTE(MID(_xlfn.TEXTAFTER('Banco de Dados'!$F1041,"Order date:
",1),1,10),"-","/"))),VALUE(SUBSTITUTE(MID(_xlfn.TEXTAFTER('Banco de Dados'!$F1041,"Fecha de pedido:
",1),1,10),"-","/"))),"-"),SMS!A:A,SMS!K:K),0),0)</f>
        <v>0</v>
      </c>
      <c r="AO1041" s="109">
        <f ca="1">IF('Banco de Dados'!$AK1041&lt;&gt;"-",IF('Banco de Dados'!$F1041&lt;&gt;"-",IFERROR(_xlfn.XLOOKUP(_xlfn.CONCAT('Banco de Dados'!$A1041,IFERROR(IFERROR(VALUE(SUBSTITUTE(MID(_xlfn.TEXTAFTER('Banco de Dados'!$F1041,"Data do Pedido:
",1),1,10),"-","/")),VALUE(SUBSTITUTE(MID(_xlfn.TEXTAFTER('Banco de Dados'!$F1041,"Order date:
",1),1,10),"-","/"))),0)),ProxyDD[Chave],ProxyDD[Valor por pedido]),PROXY!$P$2),0),0)</f>
        <v>0</v>
      </c>
      <c r="AP1041" s="28">
        <f ca="1">IF('Banco de Dados'!$AK1041&lt;&gt;"-",IF('Banco de Dados'!$AL1041="NÃO",IFERROR(VALUE(SUBSTITUTE(_xlfn.TEXTAFTER('Banco de Dados'!$F1041,"BRL ",1),".",",")),0),0),0)</f>
        <v>0</v>
      </c>
      <c r="AQ1041" s="28">
        <f ca="1">SUM('Banco de Dados'!$AM1041:$AP1041)</f>
        <v>0</v>
      </c>
      <c r="AR1041" s="8"/>
      <c r="AY1041" s="8"/>
    </row>
    <row r="1042" spans="1:51">
      <c r="A1042" s="5" t="str">
        <v>BV</v>
      </c>
      <c r="B1042" s="5" t="str">
        <f ca="1"/>
        <v>BV45710</v>
      </c>
      <c r="C1042" s="8" t="str">
        <v>Pedido 1029</v>
      </c>
      <c r="D1042" s="9">
        <v>45708</v>
      </c>
      <c r="E1042" s="9">
        <v>45710</v>
      </c>
      <c r="F1042" s="8" t="str">
        <v>PedidoF1008</v>
      </c>
      <c r="G1042" s="2" t="str">
        <v>CódRastreio1006</v>
      </c>
      <c r="H1042" s="5">
        <v>1</v>
      </c>
      <c r="I1042" s="2" t="str">
        <v>CPF 1001</v>
      </c>
      <c r="J1042" s="2" t="str">
        <v>Nome 1001</v>
      </c>
      <c r="K1042" s="8" t="str">
        <v>Tel 1001</v>
      </c>
      <c r="L1042" s="8" t="str">
        <v>Cep 1001</v>
      </c>
      <c r="M1042" s="8" t="str">
        <v>Rua 1001</v>
      </c>
      <c r="N1042" s="8" t="str">
        <v>Comp 1001</v>
      </c>
      <c r="O1042" s="8" t="str">
        <v>Ventilador Rosa</v>
      </c>
      <c r="P1042" s="8" t="str">
        <v>IF-G2ZQ-79FO</v>
      </c>
      <c r="Q1042" s="4">
        <v>45734</v>
      </c>
      <c r="R1042" s="109">
        <v>65.989999999999995</v>
      </c>
      <c r="S1042" s="11">
        <f ca="1"/>
        <v>65.989999999999995</v>
      </c>
      <c r="T1042" s="28">
        <f ca="1"/>
        <v>8.5786999999999995</v>
      </c>
      <c r="U1042" s="11">
        <f ca="1"/>
        <v>57.41</v>
      </c>
      <c r="V1042" s="11">
        <v>15.28</v>
      </c>
      <c r="W1042" s="11">
        <f ca="1"/>
        <v>0.2</v>
      </c>
      <c r="X1042" s="11">
        <f ca="1"/>
        <v>0.39877104377104378</v>
      </c>
      <c r="Y1042" s="11">
        <v>0</v>
      </c>
      <c r="Z1042" s="11">
        <f ca="1"/>
        <v>41.531228956228958</v>
      </c>
      <c r="AA1042" s="11">
        <f ca="1"/>
        <v>20.765614478114479</v>
      </c>
      <c r="AB1042" s="4">
        <f ca="1"/>
        <v>45741</v>
      </c>
      <c r="AC1042" s="4">
        <v>45741</v>
      </c>
      <c r="AD1042" s="9">
        <v>45747</v>
      </c>
      <c r="AE1042" s="9">
        <v>45749</v>
      </c>
      <c r="AF1042" s="4" t="str">
        <f t="shared" ca="1" si="64"/>
        <v>2025 03</v>
      </c>
      <c r="AG1042" s="8" t="str" cm="1">
        <f t="array" ref="AG1042">IFERROR(_xlfn.IFS('Banco de Dados'!#REF!="AG. COMPRA","Em processamento",'Banco de Dados'!#REF!="AG. RASTREIO","Em processamento",'Banco de Dados'!$AE1042&lt;&gt;"-","Faturado",'Banco de Dados'!$AD1042&lt;&gt;"-","Aguardando Pix",'Banco de Dados'!$AC1042&lt;&gt;"-","Pendente"),"Aguardando Liberação")</f>
        <v>Aguardando Liberação</v>
      </c>
      <c r="AH1042" s="5" t="str">
        <f>IF('Banco de Dados'!$F1042="-",_xlfn.CONCAT(PROPER(TEXT(AK1042,"aaaa"))," ",PROPER(TEXT(AK1042,"mm"))),_xlfn.CONCAT(PROPER(TEXT(E1042,"aaaa"))," ",PROPER(TEXT(E1042,"mm"))))</f>
        <v>2025 02</v>
      </c>
      <c r="AI1042" s="9" t="str">
        <f ca="1">IF('Banco de Dados'!$AK1042&lt;&gt;"-","REEMBOLSO",IFERROR(_xlfn.XLOOKUP(G1042,Follow[CODRASTREIO],Follow[STATUS]),"-"))</f>
        <v>ENTREGUE</v>
      </c>
      <c r="AJ1042" s="9">
        <f ca="1">IF('Banco de Dados'!$AI1042="ENTREGUE",_xlfn.XLOOKUP('Banco de Dados'!$G1042,Follow[CODRASTREIO],Follow[DATAATUALIZAÇÃO]),"-")</f>
        <v>45722</v>
      </c>
      <c r="AK1042" s="132" t="str">
        <f ca="1"/>
        <v>-</v>
      </c>
      <c r="AL1042" s="35"/>
      <c r="AM1042" s="109" cm="1">
        <f t="array" aca="1" ref="AM1042" ca="1">IF('Banco de Dados'!$AK1042&lt;&gt;"-",_xlfn.IFS('Banco de Dados'!$A1042="bv",IF('Banco de Dados'!$E1042&lt;45641,ROUND(SUM('Banco de Dados'!$R1042*_xlfn.XLOOKUP('Banco de Dados'!$P1042,Sku!B:B,Sku!#REF!)*20%),2),ROUND(SUM('Banco de Dados'!$R1042*_xlfn.XLOOKUP('Banco de Dados'!$P1042,Sku!B:B,Sku!H:H)*20%),2)),'Banco de Dados'!$A1042="GO",ROUND(_xlfn.XLOOKUP('Banco de Dados'!$P1042,Sku!C:C,Sku!H:H),2),'Banco de Dados'!$A1042="MEI",ROUND(_xlfn.XLOOKUP('Banco de Dados'!$P1042,Sku!D:D,Sku!H:H),2)),0)</f>
        <v>0</v>
      </c>
      <c r="AN1042" s="109">
        <f ca="1">IF('Banco de Dados'!$AK1042&lt;&gt;"-",IF('Banco de Dados'!$F1042&lt;&gt;"-",_xlfn.XLOOKUP(IFERROR(IFERROR(IFERROR(VALUE(SUBSTITUTE(MID(_xlfn.TEXTAFTER('Banco de Dados'!$F1042,"Data do Pedido:
",1),1,10),"-","/")),VALUE(SUBSTITUTE(MID(_xlfn.TEXTAFTER('Banco de Dados'!$F1042,"Order date:
",1),1,10),"-","/"))),VALUE(SUBSTITUTE(MID(_xlfn.TEXTAFTER('Banco de Dados'!$F1042,"Fecha de pedido:
",1),1,10),"-","/"))),"-"),SMS!A:A,SMS!K:K),0),0)</f>
        <v>0</v>
      </c>
      <c r="AO1042" s="109">
        <f ca="1">IF('Banco de Dados'!$AK1042&lt;&gt;"-",IF('Banco de Dados'!$F1042&lt;&gt;"-",IFERROR(_xlfn.XLOOKUP(_xlfn.CONCAT('Banco de Dados'!$A1042,IFERROR(IFERROR(VALUE(SUBSTITUTE(MID(_xlfn.TEXTAFTER('Banco de Dados'!$F1042,"Data do Pedido:
",1),1,10),"-","/")),VALUE(SUBSTITUTE(MID(_xlfn.TEXTAFTER('Banco de Dados'!$F1042,"Order date:
",1),1,10),"-","/"))),0)),ProxyDD[Chave],ProxyDD[Valor por pedido]),PROXY!$P$2),0),0)</f>
        <v>0</v>
      </c>
      <c r="AP1042" s="28">
        <f ca="1">IF('Banco de Dados'!$AK1042&lt;&gt;"-",IF('Banco de Dados'!$AL1042="NÃO",IFERROR(VALUE(SUBSTITUTE(_xlfn.TEXTAFTER('Banco de Dados'!$F1042,"BRL ",1),".",",")),0),0),0)</f>
        <v>0</v>
      </c>
      <c r="AQ1042" s="28">
        <f ca="1">SUM('Banco de Dados'!$AM1042:$AP1042)</f>
        <v>0</v>
      </c>
      <c r="AR1042" s="8"/>
      <c r="AY1042" s="8"/>
    </row>
    <row r="1043" spans="1:51">
      <c r="A1043" s="5" t="str">
        <v>BV</v>
      </c>
      <c r="B1043" s="5" t="str">
        <f ca="1"/>
        <v>BV45710</v>
      </c>
      <c r="C1043" s="8" t="str">
        <v>Pedido 1030</v>
      </c>
      <c r="D1043" s="9">
        <v>45709</v>
      </c>
      <c r="E1043" s="9">
        <v>45710</v>
      </c>
      <c r="F1043" s="8" t="str">
        <v>PedidoF1009</v>
      </c>
      <c r="G1043" s="2" t="str">
        <v>CódRastreio1007</v>
      </c>
      <c r="H1043" s="5">
        <v>1</v>
      </c>
      <c r="I1043" s="2" t="str">
        <v>CPF 1002</v>
      </c>
      <c r="J1043" s="2" t="str">
        <v>Nome 1002</v>
      </c>
      <c r="K1043" s="8" t="str">
        <v>Tel 1002</v>
      </c>
      <c r="L1043" s="8" t="str">
        <v>Cep 1002</v>
      </c>
      <c r="M1043" s="8" t="str">
        <v>Rua 1002</v>
      </c>
      <c r="N1043" s="8" t="str">
        <v>Comp 1002</v>
      </c>
      <c r="O1043" s="8" t="str">
        <v>Caixinha de som Preta</v>
      </c>
      <c r="P1043" s="8" t="str">
        <v>5D-KKPK-K70I</v>
      </c>
      <c r="Q1043" s="4">
        <v>45741</v>
      </c>
      <c r="R1043" s="109">
        <v>25.99</v>
      </c>
      <c r="S1043" s="11">
        <f ca="1"/>
        <v>25.99</v>
      </c>
      <c r="T1043" s="28">
        <f ca="1"/>
        <v>3.8984999999999994</v>
      </c>
      <c r="U1043" s="11">
        <f ca="1"/>
        <v>22.09</v>
      </c>
      <c r="V1043" s="11">
        <v>12.05</v>
      </c>
      <c r="W1043" s="11">
        <f ca="1"/>
        <v>0.2</v>
      </c>
      <c r="X1043" s="11">
        <f ca="1"/>
        <v>0.39877104377104378</v>
      </c>
      <c r="Y1043" s="11">
        <v>0</v>
      </c>
      <c r="Z1043" s="11">
        <f ca="1"/>
        <v>9.4412289562289562</v>
      </c>
      <c r="AA1043" s="11">
        <f ca="1"/>
        <v>4.7206144781144781</v>
      </c>
      <c r="AB1043" s="4">
        <f ca="1"/>
        <v>45748</v>
      </c>
      <c r="AC1043" s="4">
        <v>45748</v>
      </c>
      <c r="AD1043" s="9">
        <v>45762</v>
      </c>
      <c r="AE1043" s="9">
        <v>45763</v>
      </c>
      <c r="AF1043" s="4" t="str">
        <f t="shared" ca="1" si="64"/>
        <v>2025 04</v>
      </c>
      <c r="AG1043" s="8" t="str" cm="1">
        <f t="array" ref="AG1043">IFERROR(_xlfn.IFS('Banco de Dados'!#REF!="AG. COMPRA","Em processamento",'Banco de Dados'!#REF!="AG. RASTREIO","Em processamento",'Banco de Dados'!$AE1043&lt;&gt;"-","Faturado",'Banco de Dados'!$AD1043&lt;&gt;"-","Aguardando Pix",'Banco de Dados'!$AC1043&lt;&gt;"-","Pendente"),"Aguardando Liberação")</f>
        <v>Aguardando Liberação</v>
      </c>
      <c r="AH1043" s="5" t="str">
        <f>IF('Banco de Dados'!$F1043="-",_xlfn.CONCAT(PROPER(TEXT(AK1043,"aaaa"))," ",PROPER(TEXT(AK1043,"mm"))),_xlfn.CONCAT(PROPER(TEXT(E1043,"aaaa"))," ",PROPER(TEXT(E1043,"mm"))))</f>
        <v>2025 02</v>
      </c>
      <c r="AI1043" s="9" t="str">
        <f ca="1">IF('Banco de Dados'!$AK1043&lt;&gt;"-","REEMBOLSO",IFERROR(_xlfn.XLOOKUP(G1043,Follow[CODRASTREIO],Follow[STATUS]),"-"))</f>
        <v>ENTREGUE</v>
      </c>
      <c r="AJ1043" s="9">
        <f ca="1">IF('Banco de Dados'!$AI1043="ENTREGUE",_xlfn.XLOOKUP('Banco de Dados'!$G1043,Follow[CODRASTREIO],Follow[DATAATUALIZAÇÃO]),"-")</f>
        <v>45734</v>
      </c>
      <c r="AK1043" s="132" t="str">
        <f ca="1"/>
        <v>-</v>
      </c>
      <c r="AL1043" s="35"/>
      <c r="AM1043" s="109" cm="1">
        <f t="array" aca="1" ref="AM1043" ca="1">IF('Banco de Dados'!$AK1043&lt;&gt;"-",_xlfn.IFS('Banco de Dados'!$A1043="bv",IF('Banco de Dados'!$E1043&lt;45641,ROUND(SUM('Banco de Dados'!$R1043*_xlfn.XLOOKUP('Banco de Dados'!$P1043,Sku!B:B,Sku!#REF!)*20%),2),ROUND(SUM('Banco de Dados'!$R1043*_xlfn.XLOOKUP('Banco de Dados'!$P1043,Sku!B:B,Sku!H:H)*20%),2)),'Banco de Dados'!$A1043="GO",ROUND(_xlfn.XLOOKUP('Banco de Dados'!$P1043,Sku!C:C,Sku!H:H),2),'Banco de Dados'!$A1043="MEI",ROUND(_xlfn.XLOOKUP('Banco de Dados'!$P1043,Sku!D:D,Sku!H:H),2)),0)</f>
        <v>0</v>
      </c>
      <c r="AN1043" s="109">
        <f ca="1">IF('Banco de Dados'!$AK1043&lt;&gt;"-",IF('Banco de Dados'!$F1043&lt;&gt;"-",_xlfn.XLOOKUP(IFERROR(IFERROR(IFERROR(VALUE(SUBSTITUTE(MID(_xlfn.TEXTAFTER('Banco de Dados'!$F1043,"Data do Pedido:
",1),1,10),"-","/")),VALUE(SUBSTITUTE(MID(_xlfn.TEXTAFTER('Banco de Dados'!$F1043,"Order date:
",1),1,10),"-","/"))),VALUE(SUBSTITUTE(MID(_xlfn.TEXTAFTER('Banco de Dados'!$F1043,"Fecha de pedido:
",1),1,10),"-","/"))),"-"),SMS!A:A,SMS!K:K),0),0)</f>
        <v>0</v>
      </c>
      <c r="AO1043" s="109">
        <f ca="1">IF('Banco de Dados'!$AK1043&lt;&gt;"-",IF('Banco de Dados'!$F1043&lt;&gt;"-",IFERROR(_xlfn.XLOOKUP(_xlfn.CONCAT('Banco de Dados'!$A1043,IFERROR(IFERROR(VALUE(SUBSTITUTE(MID(_xlfn.TEXTAFTER('Banco de Dados'!$F1043,"Data do Pedido:
",1),1,10),"-","/")),VALUE(SUBSTITUTE(MID(_xlfn.TEXTAFTER('Banco de Dados'!$F1043,"Order date:
",1),1,10),"-","/"))),0)),ProxyDD[Chave],ProxyDD[Valor por pedido]),PROXY!$P$2),0),0)</f>
        <v>0</v>
      </c>
      <c r="AP1043" s="28">
        <f ca="1">IF('Banco de Dados'!$AK1043&lt;&gt;"-",IF('Banco de Dados'!$AL1043="NÃO",IFERROR(VALUE(SUBSTITUTE(_xlfn.TEXTAFTER('Banco de Dados'!$F1043,"BRL ",1),".",",")),0),0),0)</f>
        <v>0</v>
      </c>
      <c r="AQ1043" s="28">
        <f ca="1">SUM('Banco de Dados'!$AM1043:$AP1043)</f>
        <v>0</v>
      </c>
      <c r="AR1043" s="8"/>
      <c r="AY1043" s="8"/>
    </row>
    <row r="1044" spans="1:51">
      <c r="A1044" s="5" t="str">
        <v>BV</v>
      </c>
      <c r="B1044" s="5" t="str">
        <f ca="1"/>
        <v>BV45710</v>
      </c>
      <c r="C1044" s="8" t="str">
        <v>Pedido 1031</v>
      </c>
      <c r="D1044" s="9">
        <v>45709</v>
      </c>
      <c r="E1044" s="9">
        <v>45710</v>
      </c>
      <c r="F1044" s="8" t="str">
        <v>PedidoF1010</v>
      </c>
      <c r="G1044" s="2" t="str">
        <v>CódRastreio1008</v>
      </c>
      <c r="H1044" s="5">
        <v>1</v>
      </c>
      <c r="I1044" s="2" t="str">
        <v>CPF 1003</v>
      </c>
      <c r="J1044" s="2" t="str">
        <v>Nome 1003</v>
      </c>
      <c r="K1044" s="8" t="str">
        <v>Tel 1003</v>
      </c>
      <c r="L1044" s="8" t="str">
        <v>Cep 1003</v>
      </c>
      <c r="M1044" s="8" t="str">
        <v>Rua 1003</v>
      </c>
      <c r="N1044" s="8" t="str">
        <v>Comp 1003</v>
      </c>
      <c r="O1044" s="8" t="str">
        <v>Garrafa Termica</v>
      </c>
      <c r="P1044" s="8" t="str">
        <v>FM-QQ8Y-RZT4</v>
      </c>
      <c r="Q1044" s="4">
        <v>45729</v>
      </c>
      <c r="R1044" s="109">
        <v>23.5</v>
      </c>
      <c r="S1044" s="11">
        <f ca="1"/>
        <v>23.5</v>
      </c>
      <c r="T1044" s="28">
        <f ca="1"/>
        <v>3.0550000000000002</v>
      </c>
      <c r="U1044" s="11">
        <f ca="1"/>
        <v>20.45</v>
      </c>
      <c r="V1044" s="11">
        <v>6.99</v>
      </c>
      <c r="W1044" s="11">
        <f ca="1"/>
        <v>0.2</v>
      </c>
      <c r="X1044" s="11">
        <f ca="1"/>
        <v>0.39877104377104378</v>
      </c>
      <c r="Y1044" s="11">
        <v>0</v>
      </c>
      <c r="Z1044" s="11">
        <f ca="1"/>
        <v>12.861228956228956</v>
      </c>
      <c r="AA1044" s="11">
        <f ca="1"/>
        <v>6.4306144781144781</v>
      </c>
      <c r="AB1044" s="4">
        <f ca="1"/>
        <v>45736</v>
      </c>
      <c r="AC1044" s="4">
        <v>45736</v>
      </c>
      <c r="AD1044" s="9">
        <v>45747</v>
      </c>
      <c r="AE1044" s="9">
        <v>45749</v>
      </c>
      <c r="AF1044" s="4" t="str">
        <f t="shared" ca="1" si="64"/>
        <v>2025 03</v>
      </c>
      <c r="AG1044" s="8" t="str" cm="1">
        <f t="array" ref="AG1044">IFERROR(_xlfn.IFS('Banco de Dados'!#REF!="AG. COMPRA","Em processamento",'Banco de Dados'!#REF!="AG. RASTREIO","Em processamento",'Banco de Dados'!$AE1044&lt;&gt;"-","Faturado",'Banco de Dados'!$AD1044&lt;&gt;"-","Aguardando Pix",'Banco de Dados'!$AC1044&lt;&gt;"-","Pendente"),"Aguardando Liberação")</f>
        <v>Aguardando Liberação</v>
      </c>
      <c r="AH1044" s="5" t="str">
        <f>IF('Banco de Dados'!$F1044="-",_xlfn.CONCAT(PROPER(TEXT(AK1044,"aaaa"))," ",PROPER(TEXT(AK1044,"mm"))),_xlfn.CONCAT(PROPER(TEXT(E1044,"aaaa"))," ",PROPER(TEXT(E1044,"mm"))))</f>
        <v>2025 02</v>
      </c>
      <c r="AI1044" s="9" t="str">
        <f ca="1">IF('Banco de Dados'!$AK1044&lt;&gt;"-","REEMBOLSO",IFERROR(_xlfn.XLOOKUP(G1044,Follow[CODRASTREIO],Follow[STATUS]),"-"))</f>
        <v>ENTREGUE</v>
      </c>
      <c r="AJ1044" s="9">
        <f ca="1">IF('Banco de Dados'!$AI1044="ENTREGUE",_xlfn.XLOOKUP('Banco de Dados'!$G1044,Follow[CODRASTREIO],Follow[DATAATUALIZAÇÃO]),"-")</f>
        <v>45714</v>
      </c>
      <c r="AK1044" s="132" t="str">
        <f ca="1"/>
        <v>-</v>
      </c>
      <c r="AL1044" s="35"/>
      <c r="AM1044" s="109" cm="1">
        <f t="array" aca="1" ref="AM1044" ca="1">IF('Banco de Dados'!$AK1044&lt;&gt;"-",_xlfn.IFS('Banco de Dados'!$A1044="bv",IF('Banco de Dados'!$E1044&lt;45641,ROUND(SUM('Banco de Dados'!$R1044*_xlfn.XLOOKUP('Banco de Dados'!$P1044,Sku!B:B,Sku!#REF!)*20%),2),ROUND(SUM('Banco de Dados'!$R1044*_xlfn.XLOOKUP('Banco de Dados'!$P1044,Sku!B:B,Sku!H:H)*20%),2)),'Banco de Dados'!$A1044="GO",ROUND(_xlfn.XLOOKUP('Banco de Dados'!$P1044,Sku!C:C,Sku!H:H),2),'Banco de Dados'!$A1044="MEI",ROUND(_xlfn.XLOOKUP('Banco de Dados'!$P1044,Sku!D:D,Sku!H:H),2)),0)</f>
        <v>0</v>
      </c>
      <c r="AN1044" s="109">
        <f ca="1">IF('Banco de Dados'!$AK1044&lt;&gt;"-",IF('Banco de Dados'!$F1044&lt;&gt;"-",_xlfn.XLOOKUP(IFERROR(IFERROR(IFERROR(VALUE(SUBSTITUTE(MID(_xlfn.TEXTAFTER('Banco de Dados'!$F1044,"Data do Pedido:
",1),1,10),"-","/")),VALUE(SUBSTITUTE(MID(_xlfn.TEXTAFTER('Banco de Dados'!$F1044,"Order date:
",1),1,10),"-","/"))),VALUE(SUBSTITUTE(MID(_xlfn.TEXTAFTER('Banco de Dados'!$F1044,"Fecha de pedido:
",1),1,10),"-","/"))),"-"),SMS!A:A,SMS!K:K),0),0)</f>
        <v>0</v>
      </c>
      <c r="AO1044" s="109">
        <f ca="1">IF('Banco de Dados'!$AK1044&lt;&gt;"-",IF('Banco de Dados'!$F1044&lt;&gt;"-",IFERROR(_xlfn.XLOOKUP(_xlfn.CONCAT('Banco de Dados'!$A1044,IFERROR(IFERROR(VALUE(SUBSTITUTE(MID(_xlfn.TEXTAFTER('Banco de Dados'!$F1044,"Data do Pedido:
",1),1,10),"-","/")),VALUE(SUBSTITUTE(MID(_xlfn.TEXTAFTER('Banco de Dados'!$F1044,"Order date:
",1),1,10),"-","/"))),0)),ProxyDD[Chave],ProxyDD[Valor por pedido]),PROXY!$P$2),0),0)</f>
        <v>0</v>
      </c>
      <c r="AP1044" s="28">
        <f ca="1">IF('Banco de Dados'!$AK1044&lt;&gt;"-",IF('Banco de Dados'!$AL1044="NÃO",IFERROR(VALUE(SUBSTITUTE(_xlfn.TEXTAFTER('Banco de Dados'!$F1044,"BRL ",1),".",",")),0),0),0)</f>
        <v>0</v>
      </c>
      <c r="AQ1044" s="28">
        <f ca="1">SUM('Banco de Dados'!$AM1044:$AP1044)</f>
        <v>0</v>
      </c>
      <c r="AR1044" s="8"/>
      <c r="AY1044" s="8"/>
    </row>
    <row r="1045" spans="1:51">
      <c r="A1045" s="5" t="str">
        <v>BV</v>
      </c>
      <c r="B1045" s="5" t="str">
        <f ca="1"/>
        <v>BV45710</v>
      </c>
      <c r="C1045" s="8" t="str">
        <v>Pedido 1032</v>
      </c>
      <c r="D1045" s="9">
        <v>45709</v>
      </c>
      <c r="E1045" s="9">
        <v>45710</v>
      </c>
      <c r="F1045" s="8" t="str">
        <v>PedidoF1011</v>
      </c>
      <c r="G1045" s="2" t="str">
        <v>CódRastreio1009</v>
      </c>
      <c r="H1045" s="5">
        <v>1</v>
      </c>
      <c r="I1045" s="2" t="str">
        <v>CPF 1004</v>
      </c>
      <c r="J1045" s="2" t="str">
        <v>Nome 1004</v>
      </c>
      <c r="K1045" s="8" t="str">
        <v>Tel 1004</v>
      </c>
      <c r="L1045" s="8" t="str">
        <v>Cep 1004</v>
      </c>
      <c r="M1045" s="8" t="str">
        <v>Rua 1004</v>
      </c>
      <c r="N1045" s="8" t="str">
        <v>Comp 1004</v>
      </c>
      <c r="O1045" s="8" t="str">
        <v>Multi Processador USB 3 Laminas</v>
      </c>
      <c r="P1045" s="8" t="str">
        <v>QH-IFCI-7SW7</v>
      </c>
      <c r="Q1045" s="4">
        <v>45727</v>
      </c>
      <c r="R1045" s="109">
        <v>26.99</v>
      </c>
      <c r="S1045" s="11">
        <f ca="1"/>
        <v>26.99</v>
      </c>
      <c r="T1045" s="28">
        <f ca="1"/>
        <v>3.5086999999999997</v>
      </c>
      <c r="U1045" s="11">
        <f ca="1"/>
        <v>23.48</v>
      </c>
      <c r="V1045" s="11">
        <v>10.5</v>
      </c>
      <c r="W1045" s="11">
        <f ca="1"/>
        <v>0.2</v>
      </c>
      <c r="X1045" s="11">
        <f ca="1"/>
        <v>0.39877104377104378</v>
      </c>
      <c r="Y1045" s="11">
        <v>0</v>
      </c>
      <c r="Z1045" s="11">
        <f ca="1"/>
        <v>12.381228956228957</v>
      </c>
      <c r="AA1045" s="11">
        <f ca="1"/>
        <v>6.1906144781144787</v>
      </c>
      <c r="AB1045" s="4">
        <f ca="1"/>
        <v>45734</v>
      </c>
      <c r="AC1045" s="4">
        <v>45734</v>
      </c>
      <c r="AD1045" s="9">
        <v>45747</v>
      </c>
      <c r="AE1045" s="9">
        <v>45749</v>
      </c>
      <c r="AF1045" s="4" t="str">
        <f t="shared" ca="1" si="64"/>
        <v>2025 03</v>
      </c>
      <c r="AG1045" s="8" t="str" cm="1">
        <f t="array" ref="AG1045">IFERROR(_xlfn.IFS('Banco de Dados'!#REF!="AG. COMPRA","Em processamento",'Banco de Dados'!#REF!="AG. RASTREIO","Em processamento",'Banco de Dados'!$AE1045&lt;&gt;"-","Faturado",'Banco de Dados'!$AD1045&lt;&gt;"-","Aguardando Pix",'Banco de Dados'!$AC1045&lt;&gt;"-","Pendente"),"Aguardando Liberação")</f>
        <v>Aguardando Liberação</v>
      </c>
      <c r="AH1045" s="5" t="str">
        <f>IF('Banco de Dados'!$F1045="-",_xlfn.CONCAT(PROPER(TEXT(AK1045,"aaaa"))," ",PROPER(TEXT(AK1045,"mm"))),_xlfn.CONCAT(PROPER(TEXT(E1045,"aaaa"))," ",PROPER(TEXT(E1045,"mm"))))</f>
        <v>2025 02</v>
      </c>
      <c r="AI1045" s="9" t="str">
        <f ca="1">IF('Banco de Dados'!$AK1045&lt;&gt;"-","REEMBOLSO",IFERROR(_xlfn.XLOOKUP(G1045,Follow[CODRASTREIO],Follow[STATUS]),"-"))</f>
        <v>ENTREGUE</v>
      </c>
      <c r="AJ1045" s="9">
        <f ca="1">IF('Banco de Dados'!$AI1045="ENTREGUE",_xlfn.XLOOKUP('Banco de Dados'!$G1045,Follow[CODRASTREIO],Follow[DATAATUALIZAÇÃO]),"-")</f>
        <v>45714</v>
      </c>
      <c r="AK1045" s="132" t="str">
        <f ca="1"/>
        <v>-</v>
      </c>
      <c r="AL1045" s="35"/>
      <c r="AM1045" s="109" cm="1">
        <f t="array" aca="1" ref="AM1045" ca="1">IF('Banco de Dados'!$AK1045&lt;&gt;"-",_xlfn.IFS('Banco de Dados'!$A1045="bv",IF('Banco de Dados'!$E1045&lt;45641,ROUND(SUM('Banco de Dados'!$R1045*_xlfn.XLOOKUP('Banco de Dados'!$P1045,Sku!B:B,Sku!#REF!)*20%),2),ROUND(SUM('Banco de Dados'!$R1045*_xlfn.XLOOKUP('Banco de Dados'!$P1045,Sku!B:B,Sku!H:H)*20%),2)),'Banco de Dados'!$A1045="GO",ROUND(_xlfn.XLOOKUP('Banco de Dados'!$P1045,Sku!C:C,Sku!H:H),2),'Banco de Dados'!$A1045="MEI",ROUND(_xlfn.XLOOKUP('Banco de Dados'!$P1045,Sku!D:D,Sku!H:H),2)),0)</f>
        <v>0</v>
      </c>
      <c r="AN1045" s="109">
        <f ca="1">IF('Banco de Dados'!$AK1045&lt;&gt;"-",IF('Banco de Dados'!$F1045&lt;&gt;"-",_xlfn.XLOOKUP(IFERROR(IFERROR(IFERROR(VALUE(SUBSTITUTE(MID(_xlfn.TEXTAFTER('Banco de Dados'!$F1045,"Data do Pedido:
",1),1,10),"-","/")),VALUE(SUBSTITUTE(MID(_xlfn.TEXTAFTER('Banco de Dados'!$F1045,"Order date:
",1),1,10),"-","/"))),VALUE(SUBSTITUTE(MID(_xlfn.TEXTAFTER('Banco de Dados'!$F1045,"Fecha de pedido:
",1),1,10),"-","/"))),"-"),SMS!A:A,SMS!K:K),0),0)</f>
        <v>0</v>
      </c>
      <c r="AO1045" s="109">
        <f ca="1">IF('Banco de Dados'!$AK1045&lt;&gt;"-",IF('Banco de Dados'!$F1045&lt;&gt;"-",IFERROR(_xlfn.XLOOKUP(_xlfn.CONCAT('Banco de Dados'!$A1045,IFERROR(IFERROR(VALUE(SUBSTITUTE(MID(_xlfn.TEXTAFTER('Banco de Dados'!$F1045,"Data do Pedido:
",1),1,10),"-","/")),VALUE(SUBSTITUTE(MID(_xlfn.TEXTAFTER('Banco de Dados'!$F1045,"Order date:
",1),1,10),"-","/"))),0)),ProxyDD[Chave],ProxyDD[Valor por pedido]),PROXY!$P$2),0),0)</f>
        <v>0</v>
      </c>
      <c r="AP1045" s="28">
        <f ca="1">IF('Banco de Dados'!$AK1045&lt;&gt;"-",IF('Banco de Dados'!$AL1045="NÃO",IFERROR(VALUE(SUBSTITUTE(_xlfn.TEXTAFTER('Banco de Dados'!$F1045,"BRL ",1),".",",")),0),0),0)</f>
        <v>0</v>
      </c>
      <c r="AQ1045" s="28">
        <f ca="1">SUM('Banco de Dados'!$AM1045:$AP1045)</f>
        <v>0</v>
      </c>
      <c r="AR1045" s="8"/>
      <c r="AY1045" s="8"/>
    </row>
    <row r="1046" spans="1:51">
      <c r="A1046" s="5" t="str">
        <v>BV</v>
      </c>
      <c r="B1046" s="5" t="str">
        <f ca="1"/>
        <v>BV45710</v>
      </c>
      <c r="C1046" s="8" t="str">
        <v>Pedido 1033</v>
      </c>
      <c r="D1046" s="9">
        <v>45709</v>
      </c>
      <c r="E1046" s="9">
        <v>45710</v>
      </c>
      <c r="F1046" s="8" t="str">
        <v>PedidoF1012</v>
      </c>
      <c r="G1046" s="2" t="str">
        <v>CódRastreio1010</v>
      </c>
      <c r="H1046" s="5">
        <v>1</v>
      </c>
      <c r="I1046" s="2" t="str">
        <v>CPF 1005</v>
      </c>
      <c r="J1046" s="2" t="str">
        <v>Nome 1005</v>
      </c>
      <c r="K1046" s="8" t="str">
        <v>Tel 1005</v>
      </c>
      <c r="L1046" s="8" t="str">
        <v>Cep 1005</v>
      </c>
      <c r="M1046" s="8" t="str">
        <v>Rua 1005</v>
      </c>
      <c r="N1046" s="8" t="str">
        <v>Comp 1005</v>
      </c>
      <c r="O1046" s="8" t="str">
        <v>Garrafa Termica</v>
      </c>
      <c r="P1046" s="8" t="str">
        <v>FM-QQ8Y-RZT4</v>
      </c>
      <c r="Q1046" s="4">
        <v>45735</v>
      </c>
      <c r="R1046" s="109">
        <v>23.5</v>
      </c>
      <c r="S1046" s="11">
        <f ca="1"/>
        <v>23.5</v>
      </c>
      <c r="T1046" s="28">
        <f ca="1"/>
        <v>3.0550000000000002</v>
      </c>
      <c r="U1046" s="11">
        <f ca="1"/>
        <v>20.45</v>
      </c>
      <c r="V1046" s="11">
        <v>29.01</v>
      </c>
      <c r="W1046" s="11">
        <f ca="1"/>
        <v>0.2</v>
      </c>
      <c r="X1046" s="11">
        <f ca="1"/>
        <v>0.39877104377104378</v>
      </c>
      <c r="Y1046" s="11">
        <v>0</v>
      </c>
      <c r="Z1046" s="11">
        <f ca="1"/>
        <v>-9.158771043771047</v>
      </c>
      <c r="AA1046" s="11">
        <f ca="1"/>
        <v>-4.5793855218855235</v>
      </c>
      <c r="AB1046" s="4">
        <f ca="1"/>
        <v>45742</v>
      </c>
      <c r="AC1046" s="4">
        <v>45742</v>
      </c>
      <c r="AD1046" s="9">
        <v>45747</v>
      </c>
      <c r="AE1046" s="9">
        <v>45749</v>
      </c>
      <c r="AF1046" s="4" t="str">
        <f t="shared" ca="1" si="64"/>
        <v>2025 03</v>
      </c>
      <c r="AG1046" s="8" t="str" cm="1">
        <f t="array" ref="AG1046">IFERROR(_xlfn.IFS('Banco de Dados'!#REF!="AG. COMPRA","Em processamento",'Banco de Dados'!#REF!="AG. RASTREIO","Em processamento",'Banco de Dados'!$AE1046&lt;&gt;"-","Faturado",'Banco de Dados'!$AD1046&lt;&gt;"-","Aguardando Pix",'Banco de Dados'!$AC1046&lt;&gt;"-","Pendente"),"Aguardando Liberação")</f>
        <v>Aguardando Liberação</v>
      </c>
      <c r="AH1046" s="5" t="str">
        <f>IF('Banco de Dados'!$F1046="-",_xlfn.CONCAT(PROPER(TEXT(AK1046,"aaaa"))," ",PROPER(TEXT(AK1046,"mm"))),_xlfn.CONCAT(PROPER(TEXT(E1046,"aaaa"))," ",PROPER(TEXT(E1046,"mm"))))</f>
        <v>2025 02</v>
      </c>
      <c r="AI1046" s="9" t="str">
        <f ca="1">IF('Banco de Dados'!$AK1046&lt;&gt;"-","REEMBOLSO",IFERROR(_xlfn.XLOOKUP(G1046,Follow[CODRASTREIO],Follow[STATUS]),"-"))</f>
        <v>ENTREGUE</v>
      </c>
      <c r="AJ1046" s="9">
        <f ca="1">IF('Banco de Dados'!$AI1046="ENTREGUE",_xlfn.XLOOKUP('Banco de Dados'!$G1046,Follow[CODRASTREIO],Follow[DATAATUALIZAÇÃO]),"-")</f>
        <v>45721</v>
      </c>
      <c r="AK1046" s="132" t="str">
        <f ca="1"/>
        <v>-</v>
      </c>
      <c r="AL1046" s="35"/>
      <c r="AM1046" s="109" cm="1">
        <f t="array" aca="1" ref="AM1046" ca="1">IF('Banco de Dados'!$AK1046&lt;&gt;"-",_xlfn.IFS('Banco de Dados'!$A1046="bv",IF('Banco de Dados'!$E1046&lt;45641,ROUND(SUM('Banco de Dados'!$R1046*_xlfn.XLOOKUP('Banco de Dados'!$P1046,Sku!B:B,Sku!#REF!)*20%),2),ROUND(SUM('Banco de Dados'!$R1046*_xlfn.XLOOKUP('Banco de Dados'!$P1046,Sku!B:B,Sku!H:H)*20%),2)),'Banco de Dados'!$A1046="GO",ROUND(_xlfn.XLOOKUP('Banco de Dados'!$P1046,Sku!C:C,Sku!H:H),2),'Banco de Dados'!$A1046="MEI",ROUND(_xlfn.XLOOKUP('Banco de Dados'!$P1046,Sku!D:D,Sku!H:H),2)),0)</f>
        <v>0</v>
      </c>
      <c r="AN1046" s="109">
        <f ca="1">IF('Banco de Dados'!$AK1046&lt;&gt;"-",IF('Banco de Dados'!$F1046&lt;&gt;"-",_xlfn.XLOOKUP(IFERROR(IFERROR(IFERROR(VALUE(SUBSTITUTE(MID(_xlfn.TEXTAFTER('Banco de Dados'!$F1046,"Data do Pedido:
",1),1,10),"-","/")),VALUE(SUBSTITUTE(MID(_xlfn.TEXTAFTER('Banco de Dados'!$F1046,"Order date:
",1),1,10),"-","/"))),VALUE(SUBSTITUTE(MID(_xlfn.TEXTAFTER('Banco de Dados'!$F1046,"Fecha de pedido:
",1),1,10),"-","/"))),"-"),SMS!A:A,SMS!K:K),0),0)</f>
        <v>0</v>
      </c>
      <c r="AO1046" s="109">
        <f ca="1">IF('Banco de Dados'!$AK1046&lt;&gt;"-",IF('Banco de Dados'!$F1046&lt;&gt;"-",IFERROR(_xlfn.XLOOKUP(_xlfn.CONCAT('Banco de Dados'!$A1046,IFERROR(IFERROR(VALUE(SUBSTITUTE(MID(_xlfn.TEXTAFTER('Banco de Dados'!$F1046,"Data do Pedido:
",1),1,10),"-","/")),VALUE(SUBSTITUTE(MID(_xlfn.TEXTAFTER('Banco de Dados'!$F1046,"Order date:
",1),1,10),"-","/"))),0)),ProxyDD[Chave],ProxyDD[Valor por pedido]),PROXY!$P$2),0),0)</f>
        <v>0</v>
      </c>
      <c r="AP1046" s="28">
        <f ca="1">IF('Banco de Dados'!$AK1046&lt;&gt;"-",IF('Banco de Dados'!$AL1046="NÃO",IFERROR(VALUE(SUBSTITUTE(_xlfn.TEXTAFTER('Banco de Dados'!$F1046,"BRL ",1),".",",")),0),0),0)</f>
        <v>0</v>
      </c>
      <c r="AQ1046" s="28">
        <f ca="1">SUM('Banco de Dados'!$AM1046:$AP1046)</f>
        <v>0</v>
      </c>
      <c r="AR1046" s="8"/>
      <c r="AY1046" s="8"/>
    </row>
    <row r="1047" spans="1:51">
      <c r="A1047" s="5" t="str">
        <v>GO</v>
      </c>
      <c r="B1047" s="5" t="str">
        <f ca="1"/>
        <v>GO45710</v>
      </c>
      <c r="C1047" s="8" t="str">
        <v>Pedido 1034</v>
      </c>
      <c r="D1047" s="187">
        <v>45709</v>
      </c>
      <c r="E1047" s="9">
        <v>45710</v>
      </c>
      <c r="F1047" s="8" t="str">
        <v>PedidoF1013</v>
      </c>
      <c r="G1047" s="2" t="str">
        <v>CódRastreio1011</v>
      </c>
      <c r="H1047" s="5">
        <v>1</v>
      </c>
      <c r="I1047" s="2" t="str">
        <v>CPF 1006</v>
      </c>
      <c r="J1047" s="2" t="str">
        <v>Nome 1006</v>
      </c>
      <c r="K1047" s="8" t="str">
        <v>Tel 1006</v>
      </c>
      <c r="L1047" s="8" t="str">
        <v>Cep 1006</v>
      </c>
      <c r="M1047" s="8" t="str">
        <v>Rua 1006</v>
      </c>
      <c r="N1047" s="8" t="str">
        <v>Comp 1006</v>
      </c>
      <c r="O1047" s="8" t="str">
        <v>Webcam</v>
      </c>
      <c r="P1047" s="8" t="str">
        <v>HL-E4X9-IHLB</v>
      </c>
      <c r="Q1047" s="4">
        <v>45741</v>
      </c>
      <c r="R1047" s="109">
        <v>51.99</v>
      </c>
      <c r="S1047" s="11">
        <f ca="1"/>
        <v>51.99</v>
      </c>
      <c r="T1047" s="28">
        <f ca="1"/>
        <v>7.7984999999999998</v>
      </c>
      <c r="U1047" s="11">
        <f ca="1"/>
        <v>44.19</v>
      </c>
      <c r="V1047" s="11">
        <v>21.75</v>
      </c>
      <c r="W1047" s="11">
        <f ca="1"/>
        <v>0.2</v>
      </c>
      <c r="X1047" s="11">
        <f ca="1"/>
        <v>0.39877104377104378</v>
      </c>
      <c r="Y1047" s="11">
        <v>0</v>
      </c>
      <c r="Z1047" s="11">
        <f ca="1"/>
        <v>21.841228956228953</v>
      </c>
      <c r="AA1047" s="11">
        <f ca="1"/>
        <v>21.841228956228953</v>
      </c>
      <c r="AB1047" s="4">
        <f ca="1"/>
        <v>45748</v>
      </c>
      <c r="AC1047" s="4">
        <v>45748</v>
      </c>
      <c r="AD1047" s="9">
        <v>45762</v>
      </c>
      <c r="AE1047" s="9">
        <v>45763</v>
      </c>
      <c r="AF1047" s="4" t="str">
        <f t="shared" ca="1" si="64"/>
        <v>2025 04</v>
      </c>
      <c r="AG1047" s="8" t="str" cm="1">
        <f t="array" ref="AG1047">IFERROR(_xlfn.IFS('Banco de Dados'!#REF!="AG. COMPRA","Em processamento",'Banco de Dados'!#REF!="AG. RASTREIO","Em processamento",'Banco de Dados'!$AE1047&lt;&gt;"-","Faturado",'Banco de Dados'!$AD1047&lt;&gt;"-","Aguardando Pix",'Banco de Dados'!$AC1047&lt;&gt;"-","Pendente"),"Aguardando Liberação")</f>
        <v>Aguardando Liberação</v>
      </c>
      <c r="AH1047" s="5" t="str">
        <f>IF('Banco de Dados'!$F1047="-",_xlfn.CONCAT(PROPER(TEXT(AK1047,"aaaa"))," ",PROPER(TEXT(AK1047,"mm"))),_xlfn.CONCAT(PROPER(TEXT(E1047,"aaaa"))," ",PROPER(TEXT(E1047,"mm"))))</f>
        <v>2025 02</v>
      </c>
      <c r="AI1047" s="9" t="str">
        <f ca="1">IF('Banco de Dados'!$AK1047&lt;&gt;"-","REEMBOLSO",IFERROR(_xlfn.XLOOKUP(G1047,Follow[CODRASTREIO],Follow[STATUS]),"-"))</f>
        <v>ENTREGUE</v>
      </c>
      <c r="AJ1047" s="9">
        <f ca="1">IF('Banco de Dados'!$AI1047="ENTREGUE",_xlfn.XLOOKUP('Banco de Dados'!$G1047,Follow[CODRASTREIO],Follow[DATAATUALIZAÇÃO]),"-")</f>
        <v>45723</v>
      </c>
      <c r="AK1047" s="132" t="str">
        <f ca="1"/>
        <v>-</v>
      </c>
      <c r="AL1047" s="35"/>
      <c r="AM1047" s="109" cm="1">
        <f t="array" aca="1" ref="AM1047" ca="1">IF('Banco de Dados'!$AK1047&lt;&gt;"-",_xlfn.IFS('Banco de Dados'!$A1047="bv",IF('Banco de Dados'!$E1047&lt;45641,ROUND(SUM('Banco de Dados'!$R1047*_xlfn.XLOOKUP('Banco de Dados'!$P1047,Sku!B:B,Sku!#REF!)*20%),2),ROUND(SUM('Banco de Dados'!$R1047*_xlfn.XLOOKUP('Banco de Dados'!$P1047,Sku!B:B,Sku!H:H)*20%),2)),'Banco de Dados'!$A1047="GO",ROUND(SUM('Banco de Dados'!$R1047*_xlfn.XLOOKUP('Banco de Dados'!$P1047,Sku!C:C,Sku!H:H)*20%),2),'Banco de Dados'!$A1047="MEI",ROUND(SUM('Banco de Dados'!$R1047*_xlfn.XLOOKUP('Banco de Dados'!$P1047,Sku!D:D,Sku!H:H)*20%),2)),0)</f>
        <v>0</v>
      </c>
      <c r="AN1047" s="109">
        <f ca="1">IF('Banco de Dados'!$AK1047&lt;&gt;"-",IF('Banco de Dados'!$F1047&lt;&gt;"-",_xlfn.XLOOKUP(IFERROR(IFERROR(IFERROR(VALUE(SUBSTITUTE(MID(_xlfn.TEXTAFTER('Banco de Dados'!$F1047,"Data do Pedido:
",1),1,10),"-","/")),VALUE(SUBSTITUTE(MID(_xlfn.TEXTAFTER('Banco de Dados'!$F1047,"Order date:
",1),1,10),"-","/"))),VALUE(SUBSTITUTE(MID(_xlfn.TEXTAFTER('Banco de Dados'!$F1047,"Fecha de pedido:
",1),1,10),"-","/"))),"-"),SMS!A:A,SMS!K:K),0),0)</f>
        <v>0</v>
      </c>
      <c r="AO1047" s="109">
        <f ca="1">IF('Banco de Dados'!$AK1047&lt;&gt;"-",IF('Banco de Dados'!$F1047&lt;&gt;"-",IFERROR(_xlfn.XLOOKUP(_xlfn.CONCAT('Banco de Dados'!$A1047,IFERROR(IFERROR(VALUE(SUBSTITUTE(MID(_xlfn.TEXTAFTER('Banco de Dados'!$F1047,"Data do Pedido:
",1),1,10),"-","/")),VALUE(SUBSTITUTE(MID(_xlfn.TEXTAFTER('Banco de Dados'!$F1047,"Order date:
",1),1,10),"-","/"))),0)),ProxyDD[Chave],ProxyDD[Valor por pedido]),PROXY!$P$2),0),0)</f>
        <v>0</v>
      </c>
      <c r="AP1047" s="28">
        <f ca="1">IF('Banco de Dados'!$AK1047&lt;&gt;"-",IF('Banco de Dados'!$AL1047="NÃO",IFERROR(VALUE(SUBSTITUTE(_xlfn.TEXTAFTER('Banco de Dados'!$F1047,"BRL ",1),".",",")),0),0),0)</f>
        <v>0</v>
      </c>
      <c r="AQ1047" s="28">
        <f ca="1">SUM('Banco de Dados'!$AM1047:$AP1047)</f>
        <v>0</v>
      </c>
      <c r="AR1047" s="8"/>
      <c r="AY1047" s="8"/>
    </row>
    <row r="1048" spans="1:51">
      <c r="A1048" s="5" t="str">
        <v>BV</v>
      </c>
      <c r="B1048" s="5" t="str">
        <f ca="1"/>
        <v>BV45712</v>
      </c>
      <c r="C1048" s="8" t="str">
        <v>Pedido 1035</v>
      </c>
      <c r="D1048" s="9">
        <v>45710</v>
      </c>
      <c r="E1048" s="9">
        <v>45712</v>
      </c>
      <c r="F1048" s="8" t="str">
        <v>PedidoF1014</v>
      </c>
      <c r="G1048" s="2" t="str">
        <v>CódRastreio1012</v>
      </c>
      <c r="H1048" s="5">
        <v>1</v>
      </c>
      <c r="I1048" s="2" t="str">
        <v>CPF 1007</v>
      </c>
      <c r="J1048" s="2" t="str">
        <v>Nome 1007</v>
      </c>
      <c r="K1048" s="8" t="str">
        <v>Tel 1007</v>
      </c>
      <c r="L1048" s="8" t="str">
        <v>Cep 1007</v>
      </c>
      <c r="M1048" s="8" t="str">
        <v>Rua 1007</v>
      </c>
      <c r="N1048" s="8" t="str">
        <v>Comp 1007</v>
      </c>
      <c r="O1048" s="8" t="str">
        <v>Copo Termico</v>
      </c>
      <c r="P1048" s="8" t="str">
        <v>KN-TBQL-K2MM</v>
      </c>
      <c r="Q1048" s="4">
        <v>45729</v>
      </c>
      <c r="R1048" s="109">
        <v>23.9</v>
      </c>
      <c r="S1048" s="11">
        <f ca="1"/>
        <v>23.9</v>
      </c>
      <c r="T1048" s="28">
        <f ca="1"/>
        <v>3.1069999999999998</v>
      </c>
      <c r="U1048" s="11">
        <f ca="1"/>
        <v>20.79</v>
      </c>
      <c r="V1048" s="11">
        <v>6.99</v>
      </c>
      <c r="W1048" s="11">
        <f ca="1"/>
        <v>0.23</v>
      </c>
      <c r="X1048" s="11">
        <f ca="1"/>
        <v>0.39877104377104378</v>
      </c>
      <c r="Y1048" s="11">
        <v>0</v>
      </c>
      <c r="Z1048" s="11">
        <f ca="1"/>
        <v>13.171228956228955</v>
      </c>
      <c r="AA1048" s="11">
        <f ca="1"/>
        <v>6.5856144781144774</v>
      </c>
      <c r="AB1048" s="4">
        <f ca="1"/>
        <v>45736</v>
      </c>
      <c r="AC1048" s="4">
        <v>45736</v>
      </c>
      <c r="AD1048" s="9">
        <v>45747</v>
      </c>
      <c r="AE1048" s="9">
        <v>45749</v>
      </c>
      <c r="AF1048" s="4" t="str">
        <f t="shared" ref="AF1048:AF1062" ca="1" si="65">_xlfn.CONCAT(PROPER(TEXT(AB1048,"aaaa"))," ",PROPER(TEXT(AB1048,"mm")))</f>
        <v>2025 03</v>
      </c>
      <c r="AG1048" s="8" t="str" cm="1">
        <f t="array" ref="AG1048">IFERROR(_xlfn.IFS('Banco de Dados'!#REF!="AG. COMPRA","Em processamento",'Banco de Dados'!#REF!="AG. RASTREIO","Em processamento",'Banco de Dados'!$AE1048&lt;&gt;"-","Faturado",'Banco de Dados'!$AD1048&lt;&gt;"-","Aguardando Pix",'Banco de Dados'!$AC1048&lt;&gt;"-","Pendente"),"Aguardando Liberação")</f>
        <v>Aguardando Liberação</v>
      </c>
      <c r="AH1048" s="5" t="str">
        <f>IF('Banco de Dados'!$F1048="-",_xlfn.CONCAT(PROPER(TEXT(AK1048,"aaaa"))," ",PROPER(TEXT(AK1048,"mm"))),_xlfn.CONCAT(PROPER(TEXT(E1048,"aaaa"))," ",PROPER(TEXT(E1048,"mm"))))</f>
        <v>2025 02</v>
      </c>
      <c r="AI1048" s="9" t="str">
        <f ca="1">IF('Banco de Dados'!$AK1048&lt;&gt;"-","REEMBOLSO",IFERROR(_xlfn.XLOOKUP(G1048,Follow[CODRASTREIO],Follow[STATUS]),"-"))</f>
        <v>ENTREGUE</v>
      </c>
      <c r="AJ1048" s="9">
        <f ca="1">IF('Banco de Dados'!$AI1048="ENTREGUE",_xlfn.XLOOKUP('Banco de Dados'!$G1048,Follow[CODRASTREIO],Follow[DATAATUALIZAÇÃO]),"-")</f>
        <v>45723</v>
      </c>
      <c r="AK1048" s="132" t="str">
        <f ca="1"/>
        <v>-</v>
      </c>
      <c r="AL1048" s="35"/>
      <c r="AM1048" s="109" cm="1">
        <f t="array" aca="1" ref="AM1048" ca="1">IF('Banco de Dados'!$AK1048&lt;&gt;"-",_xlfn.IFS('Banco de Dados'!$A1048="bv",IF('Banco de Dados'!$E1048&lt;45641,ROUND(SUM('Banco de Dados'!$R1048*_xlfn.XLOOKUP('Banco de Dados'!$P1048,Sku!B:B,Sku!#REF!)*20%),2),ROUND(SUM('Banco de Dados'!$R1048*_xlfn.XLOOKUP('Banco de Dados'!$P1048,Sku!B:B,Sku!H:H)*20%),2)),'Banco de Dados'!$A1048="GO",ROUND(_xlfn.XLOOKUP('Banco de Dados'!$P1048,Sku!C:C,Sku!H:H),2),'Banco de Dados'!$A1048="MEI",ROUND(_xlfn.XLOOKUP('Banco de Dados'!$P1048,Sku!D:D,Sku!H:H),2)),0)</f>
        <v>0</v>
      </c>
      <c r="AN1048" s="109">
        <f ca="1">IF('Banco de Dados'!$AK1048&lt;&gt;"-",IF('Banco de Dados'!$F1048&lt;&gt;"-",_xlfn.XLOOKUP(IFERROR(IFERROR(IFERROR(VALUE(SUBSTITUTE(MID(_xlfn.TEXTAFTER('Banco de Dados'!$F1048,"Data do Pedido:
",1),1,10),"-","/")),VALUE(SUBSTITUTE(MID(_xlfn.TEXTAFTER('Banco de Dados'!$F1048,"Order date:
",1),1,10),"-","/"))),VALUE(SUBSTITUTE(MID(_xlfn.TEXTAFTER('Banco de Dados'!$F1048,"Fecha de pedido:
",1),1,10),"-","/"))),"-"),SMS!A:A,SMS!K:K),0),0)</f>
        <v>0</v>
      </c>
      <c r="AO1048" s="109">
        <f ca="1">IF('Banco de Dados'!$AK1048&lt;&gt;"-",IF('Banco de Dados'!$F1048&lt;&gt;"-",IFERROR(_xlfn.XLOOKUP(_xlfn.CONCAT('Banco de Dados'!$A1048,IFERROR(IFERROR(VALUE(SUBSTITUTE(MID(_xlfn.TEXTAFTER('Banco de Dados'!$F1048,"Data do Pedido:
",1),1,10),"-","/")),VALUE(SUBSTITUTE(MID(_xlfn.TEXTAFTER('Banco de Dados'!$F1048,"Order date:
",1),1,10),"-","/"))),0)),ProxyDD[Chave],ProxyDD[Valor por pedido]),PROXY!$P$2),0),0)</f>
        <v>0</v>
      </c>
      <c r="AP1048" s="28">
        <f ca="1">IF('Banco de Dados'!$AK1048&lt;&gt;"-",IF('Banco de Dados'!$AL1048="NÃO",IFERROR(VALUE(SUBSTITUTE(_xlfn.TEXTAFTER('Banco de Dados'!$F1048,"BRL ",1),".",",")),0),0),0)</f>
        <v>0</v>
      </c>
      <c r="AQ1048" s="28">
        <f ca="1">SUM('Banco de Dados'!$AM1048:$AP1048)</f>
        <v>0</v>
      </c>
      <c r="AR1048" s="8"/>
      <c r="AY1048" s="8"/>
    </row>
    <row r="1049" spans="1:51">
      <c r="A1049" s="5" t="str">
        <v>BV</v>
      </c>
      <c r="B1049" s="5" t="str">
        <f ca="1"/>
        <v>BV45712</v>
      </c>
      <c r="C1049" s="8" t="str">
        <v>Pedido 1036</v>
      </c>
      <c r="D1049" s="9">
        <v>45711</v>
      </c>
      <c r="E1049" s="9">
        <v>45712</v>
      </c>
      <c r="F1049" s="8" t="str">
        <v>PedidoF1015</v>
      </c>
      <c r="G1049" s="2" t="str">
        <v>CódRastreio1013</v>
      </c>
      <c r="H1049" s="5">
        <v>1</v>
      </c>
      <c r="I1049" s="2" t="str">
        <v>CPF 1008</v>
      </c>
      <c r="J1049" s="2" t="str">
        <v>Nome 1008</v>
      </c>
      <c r="K1049" s="8" t="str">
        <v>Tel 1008</v>
      </c>
      <c r="L1049" s="8" t="str">
        <v>Cep 1008</v>
      </c>
      <c r="M1049" s="8" t="str">
        <v>Rua 1008</v>
      </c>
      <c r="N1049" s="8" t="str">
        <v>Comp 1008</v>
      </c>
      <c r="O1049" s="8" t="str">
        <v>Suporte de Celular Branco</v>
      </c>
      <c r="P1049" s="8" t="str">
        <v>16-4EDB-WMZF</v>
      </c>
      <c r="Q1049" s="4">
        <v>45735</v>
      </c>
      <c r="R1049" s="109">
        <v>24.99</v>
      </c>
      <c r="S1049" s="11">
        <f ca="1"/>
        <v>0</v>
      </c>
      <c r="T1049" s="28">
        <f ca="1"/>
        <v>0</v>
      </c>
      <c r="U1049" s="11">
        <f ca="1"/>
        <v>0</v>
      </c>
      <c r="V1049" s="11">
        <v>0</v>
      </c>
      <c r="W1049" s="11">
        <f ca="1"/>
        <v>0</v>
      </c>
      <c r="X1049" s="11">
        <f ca="1"/>
        <v>0.39877104377104378</v>
      </c>
      <c r="Y1049" s="11">
        <v>0</v>
      </c>
      <c r="Z1049" s="11">
        <f ca="1"/>
        <v>-0.39877104377104378</v>
      </c>
      <c r="AA1049" s="11">
        <f ca="1"/>
        <v>-0.19938552188552189</v>
      </c>
      <c r="AB1049" s="4">
        <f ca="1"/>
        <v>45742</v>
      </c>
      <c r="AC1049" s="4">
        <v>45742</v>
      </c>
      <c r="AD1049" s="9">
        <v>45747</v>
      </c>
      <c r="AE1049" s="9">
        <v>45749</v>
      </c>
      <c r="AF1049" s="4" t="str">
        <f t="shared" ca="1" si="65"/>
        <v>2025 03</v>
      </c>
      <c r="AG1049" s="8" t="str" cm="1">
        <f t="array" ref="AG1049">IFERROR(_xlfn.IFS('Banco de Dados'!#REF!="AG. COMPRA","Em processamento",'Banco de Dados'!#REF!="AG. RASTREIO","Em processamento",'Banco de Dados'!$AE1049&lt;&gt;"-","Faturado",'Banco de Dados'!$AD1049&lt;&gt;"-","Aguardando Pix",'Banco de Dados'!$AC1049&lt;&gt;"-","Pendente"),"Aguardando Liberação")</f>
        <v>Aguardando Liberação</v>
      </c>
      <c r="AH1049" s="5" t="str">
        <f>IF('Banco de Dados'!$F1049="-",_xlfn.CONCAT(PROPER(TEXT(AK1049,"aaaa"))," ",PROPER(TEXT(AK1049,"mm"))),_xlfn.CONCAT(PROPER(TEXT(E1049,"aaaa"))," ",PROPER(TEXT(E1049,"mm"))))</f>
        <v>2025 02</v>
      </c>
      <c r="AI1049" s="9" t="str">
        <f ca="1">IF('Banco de Dados'!$AK1049&lt;&gt;"-","REEMBOLSO",IFERROR(_xlfn.XLOOKUP(G1049,Follow[CODRASTREIO],Follow[STATUS]),"-"))</f>
        <v>REEMBOLSO</v>
      </c>
      <c r="AJ1049" s="9" t="str">
        <f ca="1">IF('Banco de Dados'!$AI1049="ENTREGUE",_xlfn.XLOOKUP('Banco de Dados'!$G1049,Follow[CODRASTREIO],Follow[DATAATUALIZAÇÃO]),"-")</f>
        <v>-</v>
      </c>
      <c r="AK1049" s="132">
        <f ca="1"/>
        <v>45747</v>
      </c>
      <c r="AL1049" s="35"/>
      <c r="AM1049" s="109" cm="1">
        <f t="array" aca="1" ref="AM1049" ca="1">IF('Banco de Dados'!$AK1049&lt;&gt;"-",_xlfn.IFS('Banco de Dados'!$A1049="bv",IF('Banco de Dados'!$E1049&lt;45641,ROUND(SUM('Banco de Dados'!$R1049*_xlfn.XLOOKUP('Banco de Dados'!$P1049,Sku!B:B,Sku!#REF!)*20%),2),ROUND(SUM('Banco de Dados'!$R1049*_xlfn.XLOOKUP('Banco de Dados'!$P1049,Sku!B:B,Sku!H:H)*20%),2)),'Banco de Dados'!$A1049="GO",ROUND(_xlfn.XLOOKUP('Banco de Dados'!$P1049,Sku!C:C,Sku!H:H),2),'Banco de Dados'!$A1049="MEI",ROUND(_xlfn.XLOOKUP('Banco de Dados'!$P1049,Sku!D:D,Sku!H:H),2)),0)</f>
        <v>0.75</v>
      </c>
      <c r="AN1049" s="109" t="e">
        <f ca="1">IF('Banco de Dados'!$AK1049&lt;&gt;"-",IF('Banco de Dados'!$F1049&lt;&gt;"-",_xlfn.XLOOKUP(IFERROR(IFERROR(IFERROR(VALUE(SUBSTITUTE(MID(_xlfn.TEXTAFTER('Banco de Dados'!$F1049,"Data do Pedido:
",1),1,10),"-","/")),VALUE(SUBSTITUTE(MID(_xlfn.TEXTAFTER('Banco de Dados'!$F1049,"Order date:
",1),1,10),"-","/"))),VALUE(SUBSTITUTE(MID(_xlfn.TEXTAFTER('Banco de Dados'!$F1049,"Fecha de pedido:
",1),1,10),"-","/"))),"-"),SMS!A:A,SMS!K:K),0),0)</f>
        <v>#N/A</v>
      </c>
      <c r="AO1049" s="109">
        <f ca="1">IF('Banco de Dados'!$AK1049&lt;&gt;"-",IF('Banco de Dados'!$F1049&lt;&gt;"-",IFERROR(_xlfn.XLOOKUP(_xlfn.CONCAT('Banco de Dados'!$A1049,IFERROR(IFERROR(VALUE(SUBSTITUTE(MID(_xlfn.TEXTAFTER('Banco de Dados'!$F1049,"Data do Pedido:
",1),1,10),"-","/")),VALUE(SUBSTITUTE(MID(_xlfn.TEXTAFTER('Banco de Dados'!$F1049,"Order date:
",1),1,10),"-","/"))),0)),ProxyDD[Chave],ProxyDD[Valor por pedido]),PROXY!$P$2),0),0)</f>
        <v>0.39877104377104378</v>
      </c>
      <c r="AP1049" s="28">
        <f ca="1">IF('Banco de Dados'!$AK1049&lt;&gt;"-",IF('Banco de Dados'!$AL1049="NÃO",IFERROR(VALUE(SUBSTITUTE(_xlfn.TEXTAFTER('Banco de Dados'!$F1049,"BRL ",1),".",",")),0),0),0)</f>
        <v>0</v>
      </c>
      <c r="AQ1049" s="28" t="e">
        <f ca="1">SUM('Banco de Dados'!$AM1049:$AP1049)</f>
        <v>#N/A</v>
      </c>
      <c r="AR1049" s="8"/>
      <c r="AY1049" s="8"/>
    </row>
    <row r="1050" spans="1:51">
      <c r="A1050" s="5" t="str">
        <v>BV</v>
      </c>
      <c r="B1050" s="5" t="str">
        <f ca="1"/>
        <v>BV45712</v>
      </c>
      <c r="C1050" s="8" t="str">
        <v>Pedido 1037</v>
      </c>
      <c r="D1050" s="9">
        <v>45711</v>
      </c>
      <c r="E1050" s="9">
        <v>45712</v>
      </c>
      <c r="F1050" s="8" t="str">
        <v>PedidoF1016</v>
      </c>
      <c r="G1050" s="2" t="str">
        <v>CódRastreio1014</v>
      </c>
      <c r="H1050" s="5">
        <v>1</v>
      </c>
      <c r="I1050" s="2" t="str">
        <v>CPF 1009</v>
      </c>
      <c r="J1050" s="2" t="str">
        <v>Nome 1009</v>
      </c>
      <c r="K1050" s="8" t="str">
        <v>Tel 1009</v>
      </c>
      <c r="L1050" s="8" t="str">
        <v>Cep 1009</v>
      </c>
      <c r="M1050" s="8" t="str">
        <v>Rua 1009</v>
      </c>
      <c r="N1050" s="8" t="str">
        <v>Comp 1009</v>
      </c>
      <c r="O1050" s="8" t="str">
        <v>Garrafa Termica</v>
      </c>
      <c r="P1050" s="8" t="str">
        <v>FM-QQ8Y-RZT4</v>
      </c>
      <c r="Q1050" s="4">
        <v>45735</v>
      </c>
      <c r="R1050" s="109">
        <v>23.5</v>
      </c>
      <c r="S1050" s="11">
        <f ca="1"/>
        <v>23.5</v>
      </c>
      <c r="T1050" s="28">
        <f ca="1"/>
        <v>3.0550000000000002</v>
      </c>
      <c r="U1050" s="11">
        <f ca="1"/>
        <v>20.45</v>
      </c>
      <c r="V1050" s="11">
        <v>15.8</v>
      </c>
      <c r="W1050" s="11">
        <f ca="1"/>
        <v>0.23</v>
      </c>
      <c r="X1050" s="11">
        <f ca="1"/>
        <v>0.39877104377104378</v>
      </c>
      <c r="Y1050" s="11">
        <v>0</v>
      </c>
      <c r="Z1050" s="11">
        <f ca="1"/>
        <v>4.0212289562289527</v>
      </c>
      <c r="AA1050" s="11">
        <f ca="1"/>
        <v>2.0106144781144764</v>
      </c>
      <c r="AB1050" s="4">
        <f ca="1"/>
        <v>45742</v>
      </c>
      <c r="AC1050" s="4">
        <v>45742</v>
      </c>
      <c r="AD1050" s="9">
        <v>45747</v>
      </c>
      <c r="AE1050" s="9">
        <v>45749</v>
      </c>
      <c r="AF1050" s="4" t="str">
        <f t="shared" ca="1" si="65"/>
        <v>2025 03</v>
      </c>
      <c r="AG1050" s="8" t="str" cm="1">
        <f t="array" ref="AG1050">IFERROR(_xlfn.IFS('Banco de Dados'!#REF!="AG. COMPRA","Em processamento",'Banco de Dados'!#REF!="AG. RASTREIO","Em processamento",'Banco de Dados'!$AE1050&lt;&gt;"-","Faturado",'Banco de Dados'!$AD1050&lt;&gt;"-","Aguardando Pix",'Banco de Dados'!$AC1050&lt;&gt;"-","Pendente"),"Aguardando Liberação")</f>
        <v>Aguardando Liberação</v>
      </c>
      <c r="AH1050" s="5" t="str">
        <f>IF('Banco de Dados'!$F1050="-",_xlfn.CONCAT(PROPER(TEXT(AK1050,"aaaa"))," ",PROPER(TEXT(AK1050,"mm"))),_xlfn.CONCAT(PROPER(TEXT(E1050,"aaaa"))," ",PROPER(TEXT(E1050,"mm"))))</f>
        <v>2025 02</v>
      </c>
      <c r="AI1050" s="9" t="str">
        <f ca="1">IF('Banco de Dados'!$AK1050&lt;&gt;"-","REEMBOLSO",IFERROR(_xlfn.XLOOKUP(G1050,Follow[CODRASTREIO],Follow[STATUS]),"-"))</f>
        <v>ENTREGUE</v>
      </c>
      <c r="AJ1050" s="9">
        <f ca="1">IF('Banco de Dados'!$AI1050="ENTREGUE",_xlfn.XLOOKUP('Banco de Dados'!$G1050,Follow[CODRASTREIO],Follow[DATAATUALIZAÇÃO]),"-")</f>
        <v>45717</v>
      </c>
      <c r="AK1050" s="132" t="str">
        <f ca="1"/>
        <v>-</v>
      </c>
      <c r="AL1050" s="35"/>
      <c r="AM1050" s="109" cm="1">
        <f t="array" aca="1" ref="AM1050" ca="1">IF('Banco de Dados'!$AK1050&lt;&gt;"-",_xlfn.IFS('Banco de Dados'!$A1050="bv",IF('Banco de Dados'!$E1050&lt;45641,ROUND(SUM('Banco de Dados'!$R1050*_xlfn.XLOOKUP('Banco de Dados'!$P1050,Sku!B:B,Sku!#REF!)*20%),2),ROUND(SUM('Banco de Dados'!$R1050*_xlfn.XLOOKUP('Banco de Dados'!$P1050,Sku!B:B,Sku!H:H)*20%),2)),'Banco de Dados'!$A1050="GO",ROUND(_xlfn.XLOOKUP('Banco de Dados'!$P1050,Sku!C:C,Sku!H:H),2),'Banco de Dados'!$A1050="MEI",ROUND(_xlfn.XLOOKUP('Banco de Dados'!$P1050,Sku!D:D,Sku!H:H),2)),0)</f>
        <v>0</v>
      </c>
      <c r="AN1050" s="109">
        <f ca="1">IF('Banco de Dados'!$AK1050&lt;&gt;"-",IF('Banco de Dados'!$F1050&lt;&gt;"-",_xlfn.XLOOKUP(IFERROR(IFERROR(IFERROR(VALUE(SUBSTITUTE(MID(_xlfn.TEXTAFTER('Banco de Dados'!$F1050,"Data do Pedido:
",1),1,10),"-","/")),VALUE(SUBSTITUTE(MID(_xlfn.TEXTAFTER('Banco de Dados'!$F1050,"Order date:
",1),1,10),"-","/"))),VALUE(SUBSTITUTE(MID(_xlfn.TEXTAFTER('Banco de Dados'!$F1050,"Fecha de pedido:
",1),1,10),"-","/"))),"-"),SMS!A:A,SMS!K:K),0),0)</f>
        <v>0</v>
      </c>
      <c r="AO1050" s="109">
        <f ca="1">IF('Banco de Dados'!$AK1050&lt;&gt;"-",IF('Banco de Dados'!$F1050&lt;&gt;"-",IFERROR(_xlfn.XLOOKUP(_xlfn.CONCAT('Banco de Dados'!$A1050,IFERROR(IFERROR(VALUE(SUBSTITUTE(MID(_xlfn.TEXTAFTER('Banco de Dados'!$F1050,"Data do Pedido:
",1),1,10),"-","/")),VALUE(SUBSTITUTE(MID(_xlfn.TEXTAFTER('Banco de Dados'!$F1050,"Order date:
",1),1,10),"-","/"))),0)),ProxyDD[Chave],ProxyDD[Valor por pedido]),PROXY!$P$2),0),0)</f>
        <v>0</v>
      </c>
      <c r="AP1050" s="28">
        <f ca="1">IF('Banco de Dados'!$AK1050&lt;&gt;"-",IF('Banco de Dados'!$AL1050="NÃO",IFERROR(VALUE(SUBSTITUTE(_xlfn.TEXTAFTER('Banco de Dados'!$F1050,"BRL ",1),".",",")),0),0),0)</f>
        <v>0</v>
      </c>
      <c r="AQ1050" s="28">
        <f ca="1">SUM('Banco de Dados'!$AM1050:$AP1050)</f>
        <v>0</v>
      </c>
      <c r="AR1050" s="8"/>
      <c r="AY1050" s="8"/>
    </row>
    <row r="1051" spans="1:51">
      <c r="A1051" s="5" t="str">
        <v>BV</v>
      </c>
      <c r="B1051" s="5" t="str">
        <f ca="1"/>
        <v>BV45716</v>
      </c>
      <c r="C1051" s="8" t="str">
        <v>Pedido 1038</v>
      </c>
      <c r="D1051" s="9">
        <v>45711</v>
      </c>
      <c r="E1051" s="9">
        <v>45716</v>
      </c>
      <c r="F1051" s="8" t="str">
        <v>PedidoF1017</v>
      </c>
      <c r="G1051" s="2" t="str">
        <v>CódRastreio1015</v>
      </c>
      <c r="H1051" s="5">
        <v>1</v>
      </c>
      <c r="I1051" s="2" t="str">
        <v>CPF 1010</v>
      </c>
      <c r="J1051" s="2" t="str">
        <v>Nome 1010</v>
      </c>
      <c r="K1051" s="8" t="str">
        <v>Tel 1010</v>
      </c>
      <c r="L1051" s="8" t="str">
        <v>Cep 1010</v>
      </c>
      <c r="M1051" s="8" t="str">
        <v>Rua 1010</v>
      </c>
      <c r="N1051" s="8" t="str">
        <v>Comp 1010</v>
      </c>
      <c r="O1051" s="8" t="str">
        <v>Ventilador Umidificador Branco</v>
      </c>
      <c r="P1051" s="8" t="str">
        <v>IA-LLX9-MRV1</v>
      </c>
      <c r="Q1051" s="4">
        <v>45748</v>
      </c>
      <c r="R1051" s="109">
        <v>65.989999999999995</v>
      </c>
      <c r="S1051" s="11">
        <f ca="1"/>
        <v>65.989999999999995</v>
      </c>
      <c r="T1051" s="28">
        <f ca="1"/>
        <v>9.2385999999999999</v>
      </c>
      <c r="U1051" s="11">
        <f ca="1"/>
        <v>56.75</v>
      </c>
      <c r="V1051" s="11">
        <v>36.869999999999997</v>
      </c>
      <c r="W1051" s="11">
        <f ca="1"/>
        <v>0.2</v>
      </c>
      <c r="X1051" s="11">
        <f ca="1"/>
        <v>0.39877104377104378</v>
      </c>
      <c r="Y1051" s="11">
        <v>0</v>
      </c>
      <c r="Z1051" s="11">
        <f ca="1"/>
        <v>19.281228956228958</v>
      </c>
      <c r="AA1051" s="11">
        <f ca="1"/>
        <v>9.6406144781144789</v>
      </c>
      <c r="AB1051" s="4">
        <f ca="1"/>
        <v>45755</v>
      </c>
      <c r="AC1051" s="4">
        <v>45755</v>
      </c>
      <c r="AD1051" s="9">
        <v>45762</v>
      </c>
      <c r="AE1051" s="9">
        <v>45763</v>
      </c>
      <c r="AF1051" s="4" t="str">
        <f t="shared" ca="1" si="65"/>
        <v>2025 04</v>
      </c>
      <c r="AG1051" s="8" t="str" cm="1">
        <f t="array" ref="AG1051">IFERROR(_xlfn.IFS('Banco de Dados'!#REF!="AG. COMPRA","Em processamento",'Banco de Dados'!#REF!="AG. RASTREIO","Em processamento",'Banco de Dados'!$AE1051&lt;&gt;"-","Faturado",'Banco de Dados'!$AD1051&lt;&gt;"-","Aguardando Pix",'Banco de Dados'!$AC1051&lt;&gt;"-","Pendente"),"Aguardando Liberação")</f>
        <v>Aguardando Liberação</v>
      </c>
      <c r="AH1051" s="5" t="str">
        <f>IF('Banco de Dados'!$F1051="-",_xlfn.CONCAT(PROPER(TEXT(AK1051,"aaaa"))," ",PROPER(TEXT(AK1051,"mm"))),_xlfn.CONCAT(PROPER(TEXT(E1051,"aaaa"))," ",PROPER(TEXT(E1051,"mm"))))</f>
        <v>2025 02</v>
      </c>
      <c r="AI1051" s="9" t="str">
        <f ca="1">IF('Banco de Dados'!$AK1051&lt;&gt;"-","REEMBOLSO",IFERROR(_xlfn.XLOOKUP(G1051,Follow[CODRASTREIO],Follow[STATUS]),"-"))</f>
        <v>ENTREGUE</v>
      </c>
      <c r="AJ1051" s="9">
        <f ca="1">IF('Banco de Dados'!$AI1051="ENTREGUE",_xlfn.XLOOKUP('Banco de Dados'!$G1051,Follow[CODRASTREIO],Follow[DATAATUALIZAÇÃO]),"-")</f>
        <v>45750</v>
      </c>
      <c r="AK1051" s="132" t="str">
        <f ca="1"/>
        <v>-</v>
      </c>
      <c r="AL1051" s="35"/>
      <c r="AM1051" s="109" cm="1">
        <f t="array" aca="1" ref="AM1051" ca="1">IF('Banco de Dados'!$AK1051&lt;&gt;"-",_xlfn.IFS('Banco de Dados'!$A1051="bv",IF('Banco de Dados'!$E1051&lt;45641,ROUND(SUM('Banco de Dados'!$R1051*_xlfn.XLOOKUP('Banco de Dados'!$P1051,Sku!B:B,Sku!#REF!)*20%),2),ROUND(SUM('Banco de Dados'!$R1051*_xlfn.XLOOKUP('Banco de Dados'!$P1051,Sku!B:B,Sku!H:H)*20%),2)),'Banco de Dados'!$A1051="GO",ROUND(_xlfn.XLOOKUP('Banco de Dados'!$P1051,Sku!C:C,Sku!H:H),2),'Banco de Dados'!$A1051="MEI",ROUND(_xlfn.XLOOKUP('Banco de Dados'!$P1051,Sku!D:D,Sku!H:H),2)),0)</f>
        <v>0</v>
      </c>
      <c r="AN1051" s="109">
        <f ca="1">IF('Banco de Dados'!$AK1051&lt;&gt;"-",IF('Banco de Dados'!$F1051&lt;&gt;"-",_xlfn.XLOOKUP(IFERROR(IFERROR(IFERROR(VALUE(SUBSTITUTE(MID(_xlfn.TEXTAFTER('Banco de Dados'!$F1051,"Data do Pedido:
",1),1,10),"-","/")),VALUE(SUBSTITUTE(MID(_xlfn.TEXTAFTER('Banco de Dados'!$F1051,"Order date:
",1),1,10),"-","/"))),VALUE(SUBSTITUTE(MID(_xlfn.TEXTAFTER('Banco de Dados'!$F1051,"Fecha de pedido:
",1),1,10),"-","/"))),"-"),SMS!A:A,SMS!K:K),0),0)</f>
        <v>0</v>
      </c>
      <c r="AO1051" s="109">
        <f ca="1">IF('Banco de Dados'!$AK1051&lt;&gt;"-",IF('Banco de Dados'!$F1051&lt;&gt;"-",IFERROR(_xlfn.XLOOKUP(_xlfn.CONCAT('Banco de Dados'!$A1051,IFERROR(IFERROR(VALUE(SUBSTITUTE(MID(_xlfn.TEXTAFTER('Banco de Dados'!$F1051,"Data do Pedido:
",1),1,10),"-","/")),VALUE(SUBSTITUTE(MID(_xlfn.TEXTAFTER('Banco de Dados'!$F1051,"Order date:
",1),1,10),"-","/"))),0)),ProxyDD[Chave],ProxyDD[Valor por pedido]),PROXY!$P$2),0),0)</f>
        <v>0</v>
      </c>
      <c r="AP1051" s="28">
        <f ca="1">IF('Banco de Dados'!$AK1051&lt;&gt;"-",IF('Banco de Dados'!$AL1051="NÃO",IFERROR(VALUE(SUBSTITUTE(_xlfn.TEXTAFTER('Banco de Dados'!$F1051,"BRL ",1),".",",")),0),0),0)</f>
        <v>0</v>
      </c>
      <c r="AQ1051" s="28">
        <f ca="1">SUM('Banco de Dados'!$AM1051:$AP1051)</f>
        <v>0</v>
      </c>
      <c r="AR1051" s="8"/>
      <c r="AY1051" s="8"/>
    </row>
    <row r="1052" spans="1:51">
      <c r="A1052" s="5" t="str">
        <v>BV</v>
      </c>
      <c r="B1052" s="5" t="str">
        <f ca="1"/>
        <v>BV45712</v>
      </c>
      <c r="C1052" s="8" t="str">
        <v>Pedido 1039</v>
      </c>
      <c r="D1052" s="9">
        <v>45712</v>
      </c>
      <c r="E1052" s="9">
        <v>45712</v>
      </c>
      <c r="F1052" s="8" t="str">
        <v>PedidoF1018</v>
      </c>
      <c r="G1052" s="2" t="str">
        <v>CódRastreio1016</v>
      </c>
      <c r="H1052" s="5">
        <v>1</v>
      </c>
      <c r="I1052" s="2" t="str">
        <v>CPF 1011</v>
      </c>
      <c r="J1052" s="2" t="str">
        <v>Nome 1011</v>
      </c>
      <c r="K1052" s="8" t="str">
        <v>Tel 1011</v>
      </c>
      <c r="L1052" s="184" t="str">
        <v>Cep 1011</v>
      </c>
      <c r="M1052" s="8" t="str">
        <v>Rua 1011</v>
      </c>
      <c r="N1052" s="8" t="str">
        <v>Comp 1011</v>
      </c>
      <c r="O1052" s="8" t="str">
        <v>Copo Termico</v>
      </c>
      <c r="P1052" s="8" t="str">
        <v>KN-TBQL-K2MM</v>
      </c>
      <c r="Q1052" s="4">
        <v>45729</v>
      </c>
      <c r="R1052" s="109">
        <v>23.9</v>
      </c>
      <c r="S1052" s="11">
        <f ca="1"/>
        <v>23.9</v>
      </c>
      <c r="T1052" s="28">
        <f ca="1"/>
        <v>3.1069999999999998</v>
      </c>
      <c r="U1052" s="11">
        <f ca="1"/>
        <v>20.79</v>
      </c>
      <c r="V1052" s="11">
        <v>6.99</v>
      </c>
      <c r="W1052" s="11">
        <f ca="1"/>
        <v>0.23</v>
      </c>
      <c r="X1052" s="11">
        <f ca="1"/>
        <v>0.39877104377104378</v>
      </c>
      <c r="Y1052" s="11">
        <v>0</v>
      </c>
      <c r="Z1052" s="11">
        <f ca="1"/>
        <v>13.171228956228955</v>
      </c>
      <c r="AA1052" s="11">
        <f ca="1"/>
        <v>6.5856144781144774</v>
      </c>
      <c r="AB1052" s="4">
        <f ca="1"/>
        <v>45736</v>
      </c>
      <c r="AC1052" s="4">
        <v>45736</v>
      </c>
      <c r="AD1052" s="9">
        <v>45747</v>
      </c>
      <c r="AE1052" s="9">
        <v>45749</v>
      </c>
      <c r="AF1052" s="4" t="str">
        <f t="shared" ca="1" si="65"/>
        <v>2025 03</v>
      </c>
      <c r="AG1052" s="8" t="str" cm="1">
        <f t="array" ref="AG1052">IFERROR(_xlfn.IFS('Banco de Dados'!#REF!="AG. COMPRA","Em processamento",'Banco de Dados'!#REF!="AG. RASTREIO","Em processamento",'Banco de Dados'!$AE1052&lt;&gt;"-","Faturado",'Banco de Dados'!$AD1052&lt;&gt;"-","Aguardando Pix",'Banco de Dados'!$AC1052&lt;&gt;"-","Pendente"),"Aguardando Liberação")</f>
        <v>Aguardando Liberação</v>
      </c>
      <c r="AH1052" s="5" t="str">
        <f>IF('Banco de Dados'!$F1052="-",_xlfn.CONCAT(PROPER(TEXT(AK1052,"aaaa"))," ",PROPER(TEXT(AK1052,"mm"))),_xlfn.CONCAT(PROPER(TEXT(E1052,"aaaa"))," ",PROPER(TEXT(E1052,"mm"))))</f>
        <v>2025 02</v>
      </c>
      <c r="AI1052" s="9" t="str">
        <f ca="1">IF('Banco de Dados'!$AK1052&lt;&gt;"-","REEMBOLSO",IFERROR(_xlfn.XLOOKUP(G1052,Follow[CODRASTREIO],Follow[STATUS]),"-"))</f>
        <v>ENTREGUE</v>
      </c>
      <c r="AJ1052" s="9">
        <f ca="1">IF('Banco de Dados'!$AI1052="ENTREGUE",_xlfn.XLOOKUP('Banco de Dados'!$G1052,Follow[CODRASTREIO],Follow[DATAATUALIZAÇÃO]),"-")</f>
        <v>45714</v>
      </c>
      <c r="AK1052" s="132" t="str">
        <f ca="1"/>
        <v>-</v>
      </c>
      <c r="AL1052" s="35"/>
      <c r="AM1052" s="109" cm="1">
        <f t="array" aca="1" ref="AM1052" ca="1">IF('Banco de Dados'!$AK1052&lt;&gt;"-",_xlfn.IFS('Banco de Dados'!$A1052="bv",IF('Banco de Dados'!$E1052&lt;45641,ROUND(SUM('Banco de Dados'!$R1052*_xlfn.XLOOKUP('Banco de Dados'!$P1052,Sku!B:B,Sku!#REF!)*20%),2),ROUND(SUM('Banco de Dados'!$R1052*_xlfn.XLOOKUP('Banco de Dados'!$P1052,Sku!B:B,Sku!H:H)*20%),2)),'Banco de Dados'!$A1052="GO",ROUND(_xlfn.XLOOKUP('Banco de Dados'!$P1052,Sku!C:C,Sku!H:H),2),'Banco de Dados'!$A1052="MEI",ROUND(_xlfn.XLOOKUP('Banco de Dados'!$P1052,Sku!D:D,Sku!H:H),2)),0)</f>
        <v>0</v>
      </c>
      <c r="AN1052" s="109">
        <f ca="1">IF('Banco de Dados'!$AK1052&lt;&gt;"-",IF('Banco de Dados'!$F1052&lt;&gt;"-",_xlfn.XLOOKUP(IFERROR(IFERROR(IFERROR(VALUE(SUBSTITUTE(MID(_xlfn.TEXTAFTER('Banco de Dados'!$F1052,"Data do Pedido:
",1),1,10),"-","/")),VALUE(SUBSTITUTE(MID(_xlfn.TEXTAFTER('Banco de Dados'!$F1052,"Order date:
",1),1,10),"-","/"))),VALUE(SUBSTITUTE(MID(_xlfn.TEXTAFTER('Banco de Dados'!$F1052,"Fecha de pedido:
",1),1,10),"-","/"))),"-"),SMS!A:A,SMS!K:K),0),0)</f>
        <v>0</v>
      </c>
      <c r="AO1052" s="109">
        <f ca="1">IF('Banco de Dados'!$AK1052&lt;&gt;"-",IF('Banco de Dados'!$F1052&lt;&gt;"-",IFERROR(_xlfn.XLOOKUP(_xlfn.CONCAT('Banco de Dados'!$A1052,IFERROR(IFERROR(VALUE(SUBSTITUTE(MID(_xlfn.TEXTAFTER('Banco de Dados'!$F1052,"Data do Pedido:
",1),1,10),"-","/")),VALUE(SUBSTITUTE(MID(_xlfn.TEXTAFTER('Banco de Dados'!$F1052,"Order date:
",1),1,10),"-","/"))),0)),ProxyDD[Chave],ProxyDD[Valor por pedido]),PROXY!$P$2),0),0)</f>
        <v>0</v>
      </c>
      <c r="AP1052" s="28">
        <f ca="1">IF('Banco de Dados'!$AK1052&lt;&gt;"-",IF('Banco de Dados'!$AL1052="NÃO",IFERROR(VALUE(SUBSTITUTE(_xlfn.TEXTAFTER('Banco de Dados'!$F1052,"BRL ",1),".",",")),0),0),0)</f>
        <v>0</v>
      </c>
      <c r="AQ1052" s="28">
        <f ca="1">SUM('Banco de Dados'!$AM1052:$AP1052)</f>
        <v>0</v>
      </c>
      <c r="AR1052" s="8"/>
      <c r="AY1052" s="8"/>
    </row>
    <row r="1053" spans="1:51">
      <c r="A1053" s="5" t="str">
        <v>BV</v>
      </c>
      <c r="B1053" s="5" t="str">
        <f ca="1"/>
        <v>BV45712</v>
      </c>
      <c r="C1053" s="8" t="str">
        <v>Pedido 1040</v>
      </c>
      <c r="D1053" s="9">
        <v>45712</v>
      </c>
      <c r="E1053" s="9">
        <v>45712</v>
      </c>
      <c r="F1053" s="8" t="str">
        <v>PedidoF1019</v>
      </c>
      <c r="G1053" s="2" t="str">
        <v>CódRastreio1017</v>
      </c>
      <c r="H1053" s="5">
        <v>1</v>
      </c>
      <c r="I1053" s="2" t="str">
        <v>CPF 1012</v>
      </c>
      <c r="J1053" s="2" t="str">
        <v>Nome 1012</v>
      </c>
      <c r="K1053" s="8" t="str">
        <v>Tel 1012</v>
      </c>
      <c r="L1053" s="8" t="str">
        <v>Cep 1012</v>
      </c>
      <c r="M1053" s="8" t="str">
        <v>Rua 1012</v>
      </c>
      <c r="N1053" s="8" t="str">
        <v>Comp 1012</v>
      </c>
      <c r="O1053" s="8" t="str">
        <v>Copo Termico</v>
      </c>
      <c r="P1053" s="8" t="str">
        <v>KN-TBQL-K2MM</v>
      </c>
      <c r="Q1053" s="4">
        <v>45742</v>
      </c>
      <c r="R1053" s="109">
        <v>23.9</v>
      </c>
      <c r="S1053" s="11">
        <f ca="1"/>
        <v>23.9</v>
      </c>
      <c r="T1053" s="28">
        <f ca="1"/>
        <v>3.1069999999999998</v>
      </c>
      <c r="U1053" s="11">
        <f ca="1"/>
        <v>20.79</v>
      </c>
      <c r="V1053" s="11">
        <v>16.989999999999998</v>
      </c>
      <c r="W1053" s="11">
        <f ca="1"/>
        <v>0.23</v>
      </c>
      <c r="X1053" s="11">
        <f ca="1"/>
        <v>0.39877104377104378</v>
      </c>
      <c r="Y1053" s="11">
        <v>0</v>
      </c>
      <c r="Z1053" s="11">
        <f ca="1"/>
        <v>3.1712289562289548</v>
      </c>
      <c r="AA1053" s="11">
        <f ca="1"/>
        <v>1.5856144781144774</v>
      </c>
      <c r="AB1053" s="4">
        <f ca="1"/>
        <v>45749</v>
      </c>
      <c r="AC1053" s="4">
        <v>45749</v>
      </c>
      <c r="AD1053" s="9">
        <v>45762</v>
      </c>
      <c r="AE1053" s="9">
        <v>45763</v>
      </c>
      <c r="AF1053" s="4" t="str">
        <f t="shared" ca="1" si="65"/>
        <v>2025 04</v>
      </c>
      <c r="AG1053" s="8" t="str" cm="1">
        <f t="array" ref="AG1053">IFERROR(_xlfn.IFS('Banco de Dados'!#REF!="AG. COMPRA","Em processamento",'Banco de Dados'!#REF!="AG. RASTREIO","Em processamento",'Banco de Dados'!$AE1053&lt;&gt;"-","Faturado",'Banco de Dados'!$AD1053&lt;&gt;"-","Aguardando Pix",'Banco de Dados'!$AC1053&lt;&gt;"-","Pendente"),"Aguardando Liberação")</f>
        <v>Aguardando Liberação</v>
      </c>
      <c r="AH1053" s="5" t="str">
        <f>IF('Banco de Dados'!$F1053="-",_xlfn.CONCAT(PROPER(TEXT(AK1053,"aaaa"))," ",PROPER(TEXT(AK1053,"mm"))),_xlfn.CONCAT(PROPER(TEXT(E1053,"aaaa"))," ",PROPER(TEXT(E1053,"mm"))))</f>
        <v>2025 02</v>
      </c>
      <c r="AI1053" s="9" t="str">
        <f ca="1">IF('Banco de Dados'!$AK1053&lt;&gt;"-","REEMBOLSO",IFERROR(_xlfn.XLOOKUP(G1053,Follow[CODRASTREIO],Follow[STATUS]),"-"))</f>
        <v>ENTREGUE</v>
      </c>
      <c r="AJ1053" s="9">
        <f ca="1">IF('Banco de Dados'!$AI1053="ENTREGUE",_xlfn.XLOOKUP('Banco de Dados'!$G1053,Follow[CODRASTREIO],Follow[DATAATUALIZAÇÃO]),"-")</f>
        <v>45719</v>
      </c>
      <c r="AK1053" s="132" t="str">
        <f ca="1"/>
        <v>-</v>
      </c>
      <c r="AL1053" s="35"/>
      <c r="AM1053" s="109" cm="1">
        <f t="array" aca="1" ref="AM1053" ca="1">IF('Banco de Dados'!$AK1053&lt;&gt;"-",_xlfn.IFS('Banco de Dados'!$A1053="bv",IF('Banco de Dados'!$E1053&lt;45641,ROUND(SUM('Banco de Dados'!$R1053*_xlfn.XLOOKUP('Banco de Dados'!$P1053,Sku!B:B,Sku!#REF!)*20%),2),ROUND(SUM('Banco de Dados'!$R1053*_xlfn.XLOOKUP('Banco de Dados'!$P1053,Sku!B:B,Sku!H:H)*20%),2)),'Banco de Dados'!$A1053="GO",ROUND(_xlfn.XLOOKUP('Banco de Dados'!$P1053,Sku!C:C,Sku!H:H),2),'Banco de Dados'!$A1053="MEI",ROUND(_xlfn.XLOOKUP('Banco de Dados'!$P1053,Sku!D:D,Sku!H:H),2)),0)</f>
        <v>0</v>
      </c>
      <c r="AN1053" s="109">
        <f ca="1">IF('Banco de Dados'!$AK1053&lt;&gt;"-",IF('Banco de Dados'!$F1053&lt;&gt;"-",_xlfn.XLOOKUP(IFERROR(IFERROR(IFERROR(VALUE(SUBSTITUTE(MID(_xlfn.TEXTAFTER('Banco de Dados'!$F1053,"Data do Pedido:
",1),1,10),"-","/")),VALUE(SUBSTITUTE(MID(_xlfn.TEXTAFTER('Banco de Dados'!$F1053,"Order date:
",1),1,10),"-","/"))),VALUE(SUBSTITUTE(MID(_xlfn.TEXTAFTER('Banco de Dados'!$F1053,"Fecha de pedido:
",1),1,10),"-","/"))),"-"),SMS!A:A,SMS!K:K),0),0)</f>
        <v>0</v>
      </c>
      <c r="AO1053" s="109">
        <f ca="1">IF('Banco de Dados'!$AK1053&lt;&gt;"-",IF('Banco de Dados'!$F1053&lt;&gt;"-",IFERROR(_xlfn.XLOOKUP(_xlfn.CONCAT('Banco de Dados'!$A1053,IFERROR(IFERROR(VALUE(SUBSTITUTE(MID(_xlfn.TEXTAFTER('Banco de Dados'!$F1053,"Data do Pedido:
",1),1,10),"-","/")),VALUE(SUBSTITUTE(MID(_xlfn.TEXTAFTER('Banco de Dados'!$F1053,"Order date:
",1),1,10),"-","/"))),0)),ProxyDD[Chave],ProxyDD[Valor por pedido]),PROXY!$P$2),0),0)</f>
        <v>0</v>
      </c>
      <c r="AP1053" s="28">
        <f ca="1">IF('Banco de Dados'!$AK1053&lt;&gt;"-",IF('Banco de Dados'!$AL1053="NÃO",IFERROR(VALUE(SUBSTITUTE(_xlfn.TEXTAFTER('Banco de Dados'!$F1053,"BRL ",1),".",",")),0),0),0)</f>
        <v>0</v>
      </c>
      <c r="AQ1053" s="28">
        <f ca="1">SUM('Banco de Dados'!$AM1053:$AP1053)</f>
        <v>0</v>
      </c>
      <c r="AR1053" s="8"/>
      <c r="AY1053" s="8"/>
    </row>
    <row r="1054" spans="1:51">
      <c r="A1054" s="5" t="str">
        <v>BV</v>
      </c>
      <c r="B1054" s="5" t="str">
        <f ca="1"/>
        <v>BV45712</v>
      </c>
      <c r="C1054" s="8" t="str">
        <v>Pedido 1041</v>
      </c>
      <c r="D1054" s="9">
        <v>45712</v>
      </c>
      <c r="E1054" s="9">
        <v>45712</v>
      </c>
      <c r="F1054" s="8" t="str">
        <v>PedidoF1020</v>
      </c>
      <c r="G1054" s="2" t="str">
        <v>CódRastreio1018</v>
      </c>
      <c r="H1054" s="5">
        <v>1</v>
      </c>
      <c r="I1054" s="2" t="str">
        <v>CPF 1013</v>
      </c>
      <c r="J1054" s="2" t="str">
        <v>Nome 1013</v>
      </c>
      <c r="K1054" s="8" t="str">
        <v>Tel 1013</v>
      </c>
      <c r="L1054" s="184" t="str">
        <v>Cep 1013</v>
      </c>
      <c r="M1054" s="8" t="str">
        <v>Rua 1013</v>
      </c>
      <c r="N1054" s="8" t="str">
        <v>Comp 1013</v>
      </c>
      <c r="O1054" s="8" t="str">
        <v>Copo Termico</v>
      </c>
      <c r="P1054" s="8" t="str">
        <v>KN-TBQL-K2MM</v>
      </c>
      <c r="Q1054" s="4">
        <v>45730</v>
      </c>
      <c r="R1054" s="109">
        <v>23.9</v>
      </c>
      <c r="S1054" s="11">
        <f ca="1"/>
        <v>23.9</v>
      </c>
      <c r="T1054" s="28">
        <f ca="1"/>
        <v>3.1069999999999998</v>
      </c>
      <c r="U1054" s="11">
        <f ca="1"/>
        <v>20.79</v>
      </c>
      <c r="V1054" s="11">
        <v>13.63</v>
      </c>
      <c r="W1054" s="11">
        <f ca="1"/>
        <v>0.23</v>
      </c>
      <c r="X1054" s="11">
        <f ca="1"/>
        <v>0.39877104377104378</v>
      </c>
      <c r="Y1054" s="11">
        <v>0</v>
      </c>
      <c r="Z1054" s="11">
        <f ca="1"/>
        <v>6.5312289562289543</v>
      </c>
      <c r="AA1054" s="11">
        <f ca="1"/>
        <v>3.2656144781144771</v>
      </c>
      <c r="AB1054" s="4">
        <f ca="1"/>
        <v>45737</v>
      </c>
      <c r="AC1054" s="4">
        <v>45737</v>
      </c>
      <c r="AD1054" s="9">
        <v>45747</v>
      </c>
      <c r="AE1054" s="9">
        <v>45749</v>
      </c>
      <c r="AF1054" s="4" t="str">
        <f t="shared" ca="1" si="65"/>
        <v>2025 03</v>
      </c>
      <c r="AG1054" s="8" t="str" cm="1">
        <f t="array" ref="AG1054">IFERROR(_xlfn.IFS('Banco de Dados'!#REF!="AG. COMPRA","Em processamento",'Banco de Dados'!#REF!="AG. RASTREIO","Em processamento",'Banco de Dados'!$AE1054&lt;&gt;"-","Faturado",'Banco de Dados'!$AD1054&lt;&gt;"-","Aguardando Pix",'Banco de Dados'!$AC1054&lt;&gt;"-","Pendente"),"Aguardando Liberação")</f>
        <v>Aguardando Liberação</v>
      </c>
      <c r="AH1054" s="5" t="str">
        <f>IF('Banco de Dados'!$F1054="-",_xlfn.CONCAT(PROPER(TEXT(AK1054,"aaaa"))," ",PROPER(TEXT(AK1054,"mm"))),_xlfn.CONCAT(PROPER(TEXT(E1054,"aaaa"))," ",PROPER(TEXT(E1054,"mm"))))</f>
        <v>2025 02</v>
      </c>
      <c r="AI1054" s="9" t="str">
        <f ca="1">IF('Banco de Dados'!$AK1054&lt;&gt;"-","REEMBOLSO",IFERROR(_xlfn.XLOOKUP(G1054,Follow[CODRASTREIO],Follow[STATUS]),"-"))</f>
        <v>ENTREGUE</v>
      </c>
      <c r="AJ1054" s="9">
        <f ca="1">IF('Banco de Dados'!$AI1054="ENTREGUE",_xlfn.XLOOKUP('Banco de Dados'!$G1054,Follow[CODRASTREIO],Follow[DATAATUALIZAÇÃO]),"-")</f>
        <v>45723</v>
      </c>
      <c r="AK1054" s="132" t="str">
        <f ca="1"/>
        <v>-</v>
      </c>
      <c r="AL1054" s="35"/>
      <c r="AM1054" s="109" cm="1">
        <f t="array" aca="1" ref="AM1054" ca="1">IF('Banco de Dados'!$AK1054&lt;&gt;"-",_xlfn.IFS('Banco de Dados'!$A1054="bv",IF('Banco de Dados'!$E1054&lt;45641,ROUND(SUM('Banco de Dados'!$R1054*_xlfn.XLOOKUP('Banco de Dados'!$P1054,Sku!B:B,Sku!#REF!)*20%),2),ROUND(SUM('Banco de Dados'!$R1054*_xlfn.XLOOKUP('Banco de Dados'!$P1054,Sku!B:B,Sku!H:H)*20%),2)),'Banco de Dados'!$A1054="GO",ROUND(_xlfn.XLOOKUP('Banco de Dados'!$P1054,Sku!C:C,Sku!H:H),2),'Banco de Dados'!$A1054="MEI",ROUND(_xlfn.XLOOKUP('Banco de Dados'!$P1054,Sku!D:D,Sku!H:H),2)),0)</f>
        <v>0</v>
      </c>
      <c r="AN1054" s="109">
        <f ca="1">IF('Banco de Dados'!$AK1054&lt;&gt;"-",IF('Banco de Dados'!$F1054&lt;&gt;"-",_xlfn.XLOOKUP(IFERROR(IFERROR(IFERROR(VALUE(SUBSTITUTE(MID(_xlfn.TEXTAFTER('Banco de Dados'!$F1054,"Data do Pedido:
",1),1,10),"-","/")),VALUE(SUBSTITUTE(MID(_xlfn.TEXTAFTER('Banco de Dados'!$F1054,"Order date:
",1),1,10),"-","/"))),VALUE(SUBSTITUTE(MID(_xlfn.TEXTAFTER('Banco de Dados'!$F1054,"Fecha de pedido:
",1),1,10),"-","/"))),"-"),SMS!A:A,SMS!K:K),0),0)</f>
        <v>0</v>
      </c>
      <c r="AO1054" s="109">
        <f ca="1">IF('Banco de Dados'!$AK1054&lt;&gt;"-",IF('Banco de Dados'!$F1054&lt;&gt;"-",IFERROR(_xlfn.XLOOKUP(_xlfn.CONCAT('Banco de Dados'!$A1054,IFERROR(IFERROR(VALUE(SUBSTITUTE(MID(_xlfn.TEXTAFTER('Banco de Dados'!$F1054,"Data do Pedido:
",1),1,10),"-","/")),VALUE(SUBSTITUTE(MID(_xlfn.TEXTAFTER('Banco de Dados'!$F1054,"Order date:
",1),1,10),"-","/"))),0)),ProxyDD[Chave],ProxyDD[Valor por pedido]),PROXY!$P$2),0),0)</f>
        <v>0</v>
      </c>
      <c r="AP1054" s="28">
        <f ca="1">IF('Banco de Dados'!$AK1054&lt;&gt;"-",IF('Banco de Dados'!$AL1054="NÃO",IFERROR(VALUE(SUBSTITUTE(_xlfn.TEXTAFTER('Banco de Dados'!$F1054,"BRL ",1),".",",")),0),0),0)</f>
        <v>0</v>
      </c>
      <c r="AQ1054" s="28">
        <f ca="1">SUM('Banco de Dados'!$AM1054:$AP1054)</f>
        <v>0</v>
      </c>
      <c r="AR1054" s="8"/>
      <c r="AY1054" s="8"/>
    </row>
    <row r="1055" spans="1:51">
      <c r="A1055" s="5" t="str">
        <v>BV</v>
      </c>
      <c r="B1055" s="5" t="str">
        <f ca="1"/>
        <v>BV45712</v>
      </c>
      <c r="C1055" s="8" t="str">
        <v>Pedido 1042</v>
      </c>
      <c r="D1055" s="9">
        <v>45712</v>
      </c>
      <c r="E1055" s="9">
        <v>45712</v>
      </c>
      <c r="F1055" s="8" t="str">
        <v>PedidoF1021</v>
      </c>
      <c r="G1055" s="2" t="str">
        <v>CódRastreio1019</v>
      </c>
      <c r="H1055" s="5">
        <v>1</v>
      </c>
      <c r="I1055" s="2" t="str">
        <v>CPF 1014</v>
      </c>
      <c r="J1055" s="2" t="str">
        <v>Nome 1014</v>
      </c>
      <c r="K1055" s="8" t="str">
        <v>Tel 1014</v>
      </c>
      <c r="L1055" s="184" t="str">
        <v>Cep 1014</v>
      </c>
      <c r="M1055" s="8" t="str">
        <v>Rua 1014</v>
      </c>
      <c r="N1055" s="8" t="str">
        <v>Comp 1014</v>
      </c>
      <c r="O1055" s="8" t="str">
        <v>Ventilador Rosa</v>
      </c>
      <c r="P1055" s="8" t="str">
        <v>IF-G2ZQ-79FO</v>
      </c>
      <c r="Q1055" s="4">
        <v>45736</v>
      </c>
      <c r="R1055" s="109">
        <v>65.989999999999995</v>
      </c>
      <c r="S1055" s="11">
        <f ca="1"/>
        <v>65.989999999999995</v>
      </c>
      <c r="T1055" s="28">
        <f ca="1"/>
        <v>8.5786999999999995</v>
      </c>
      <c r="U1055" s="11">
        <f ca="1"/>
        <v>57.41</v>
      </c>
      <c r="V1055" s="11">
        <v>14.53</v>
      </c>
      <c r="W1055" s="11">
        <f ca="1"/>
        <v>0.23</v>
      </c>
      <c r="X1055" s="11">
        <f ca="1"/>
        <v>0.39877104377104378</v>
      </c>
      <c r="Y1055" s="11">
        <v>0</v>
      </c>
      <c r="Z1055" s="11">
        <f ca="1"/>
        <v>42.251228956228957</v>
      </c>
      <c r="AA1055" s="11">
        <f ca="1"/>
        <v>21.125614478114478</v>
      </c>
      <c r="AB1055" s="4">
        <f ca="1"/>
        <v>45743</v>
      </c>
      <c r="AC1055" s="4">
        <v>45743</v>
      </c>
      <c r="AD1055" s="9">
        <v>45747</v>
      </c>
      <c r="AE1055" s="9">
        <v>45749</v>
      </c>
      <c r="AF1055" s="4" t="str">
        <f t="shared" ca="1" si="65"/>
        <v>2025 03</v>
      </c>
      <c r="AG1055" s="8" t="str" cm="1">
        <f t="array" ref="AG1055">IFERROR(_xlfn.IFS('Banco de Dados'!#REF!="AG. COMPRA","Em processamento",'Banco de Dados'!#REF!="AG. RASTREIO","Em processamento",'Banco de Dados'!$AE1055&lt;&gt;"-","Faturado",'Banco de Dados'!$AD1055&lt;&gt;"-","Aguardando Pix",'Banco de Dados'!$AC1055&lt;&gt;"-","Pendente"),"Aguardando Liberação")</f>
        <v>Aguardando Liberação</v>
      </c>
      <c r="AH1055" s="5" t="str">
        <f>IF('Banco de Dados'!$F1055="-",_xlfn.CONCAT(PROPER(TEXT(AK1055,"aaaa"))," ",PROPER(TEXT(AK1055,"mm"))),_xlfn.CONCAT(PROPER(TEXT(E1055,"aaaa"))," ",PROPER(TEXT(E1055,"mm"))))</f>
        <v>2025 02</v>
      </c>
      <c r="AI1055" s="9" t="str">
        <f ca="1">IF('Banco de Dados'!$AK1055&lt;&gt;"-","REEMBOLSO",IFERROR(_xlfn.XLOOKUP(G1055,Follow[CODRASTREIO],Follow[STATUS]),"-"))</f>
        <v>ENTREGUE</v>
      </c>
      <c r="AJ1055" s="9">
        <f ca="1">IF('Banco de Dados'!$AI1055="ENTREGUE",_xlfn.XLOOKUP('Banco de Dados'!$G1055,Follow[CODRASTREIO],Follow[DATAATUALIZAÇÃO]),"-")</f>
        <v>45726</v>
      </c>
      <c r="AK1055" s="132" t="str">
        <f ca="1"/>
        <v>-</v>
      </c>
      <c r="AL1055" s="35"/>
      <c r="AM1055" s="109" cm="1">
        <f t="array" aca="1" ref="AM1055" ca="1">IF('Banco de Dados'!$AK1055&lt;&gt;"-",_xlfn.IFS('Banco de Dados'!$A1055="bv",IF('Banco de Dados'!$E1055&lt;45641,ROUND(SUM('Banco de Dados'!$R1055*_xlfn.XLOOKUP('Banco de Dados'!$P1055,Sku!B:B,Sku!#REF!)*20%),2),ROUND(SUM('Banco de Dados'!$R1055*_xlfn.XLOOKUP('Banco de Dados'!$P1055,Sku!B:B,Sku!H:H)*20%),2)),'Banco de Dados'!$A1055="GO",ROUND(_xlfn.XLOOKUP('Banco de Dados'!$P1055,Sku!C:C,Sku!H:H),2),'Banco de Dados'!$A1055="MEI",ROUND(_xlfn.XLOOKUP('Banco de Dados'!$P1055,Sku!D:D,Sku!H:H),2)),0)</f>
        <v>0</v>
      </c>
      <c r="AN1055" s="109">
        <f ca="1">IF('Banco de Dados'!$AK1055&lt;&gt;"-",IF('Banco de Dados'!$F1055&lt;&gt;"-",_xlfn.XLOOKUP(IFERROR(IFERROR(IFERROR(VALUE(SUBSTITUTE(MID(_xlfn.TEXTAFTER('Banco de Dados'!$F1055,"Data do Pedido:
",1),1,10),"-","/")),VALUE(SUBSTITUTE(MID(_xlfn.TEXTAFTER('Banco de Dados'!$F1055,"Order date:
",1),1,10),"-","/"))),VALUE(SUBSTITUTE(MID(_xlfn.TEXTAFTER('Banco de Dados'!$F1055,"Fecha de pedido:
",1),1,10),"-","/"))),"-"),SMS!A:A,SMS!K:K),0),0)</f>
        <v>0</v>
      </c>
      <c r="AO1055" s="109">
        <f ca="1">IF('Banco de Dados'!$AK1055&lt;&gt;"-",IF('Banco de Dados'!$F1055&lt;&gt;"-",IFERROR(_xlfn.XLOOKUP(_xlfn.CONCAT('Banco de Dados'!$A1055,IFERROR(IFERROR(VALUE(SUBSTITUTE(MID(_xlfn.TEXTAFTER('Banco de Dados'!$F1055,"Data do Pedido:
",1),1,10),"-","/")),VALUE(SUBSTITUTE(MID(_xlfn.TEXTAFTER('Banco de Dados'!$F1055,"Order date:
",1),1,10),"-","/"))),0)),ProxyDD[Chave],ProxyDD[Valor por pedido]),PROXY!$P$2),0),0)</f>
        <v>0</v>
      </c>
      <c r="AP1055" s="28">
        <f ca="1">IF('Banco de Dados'!$AK1055&lt;&gt;"-",IF('Banco de Dados'!$AL1055="NÃO",IFERROR(VALUE(SUBSTITUTE(_xlfn.TEXTAFTER('Banco de Dados'!$F1055,"BRL ",1),".",",")),0),0),0)</f>
        <v>0</v>
      </c>
      <c r="AQ1055" s="28">
        <f ca="1">SUM('Banco de Dados'!$AM1055:$AP1055)</f>
        <v>0</v>
      </c>
      <c r="AR1055" s="8"/>
      <c r="AY1055" s="8"/>
    </row>
    <row r="1056" spans="1:51">
      <c r="A1056" s="5" t="str">
        <v>MEI</v>
      </c>
      <c r="B1056" s="5" t="str">
        <f ca="1"/>
        <v>MEI45712</v>
      </c>
      <c r="C1056" s="8" t="str">
        <v>Pedido 1043</v>
      </c>
      <c r="D1056" s="187">
        <v>45710</v>
      </c>
      <c r="E1056" s="9">
        <v>45712</v>
      </c>
      <c r="F1056" s="8" t="str">
        <v>PedidoF1022</v>
      </c>
      <c r="G1056" s="2" t="str">
        <v>CódRastreio1020</v>
      </c>
      <c r="H1056" s="5">
        <v>1</v>
      </c>
      <c r="I1056" s="2" t="str">
        <v>CPF 408</v>
      </c>
      <c r="J1056" s="2" t="str">
        <v>Nome 408</v>
      </c>
      <c r="K1056" s="8" t="str">
        <v>Tel 408</v>
      </c>
      <c r="L1056" s="8" t="str">
        <v>Cep 408</v>
      </c>
      <c r="M1056" s="8" t="str">
        <v>Rua 408</v>
      </c>
      <c r="N1056" s="8" t="str">
        <v>Comp 408</v>
      </c>
      <c r="O1056" s="8" t="str">
        <v>Ventilador Preto</v>
      </c>
      <c r="P1056" s="8" t="str">
        <v>WU-SS4J-LFOH</v>
      </c>
      <c r="Q1056" s="4">
        <v>45735</v>
      </c>
      <c r="R1056" s="109">
        <v>65.75</v>
      </c>
      <c r="S1056" s="11">
        <f ca="1"/>
        <v>65.75</v>
      </c>
      <c r="T1056" s="28">
        <f ca="1"/>
        <v>8.5474999999999994</v>
      </c>
      <c r="U1056" s="11">
        <f ca="1"/>
        <v>57.2</v>
      </c>
      <c r="V1056" s="11">
        <v>12.08</v>
      </c>
      <c r="W1056" s="11">
        <f ca="1"/>
        <v>0.2</v>
      </c>
      <c r="X1056" s="11">
        <f ca="1"/>
        <v>0.39877104377104378</v>
      </c>
      <c r="Y1056" s="11">
        <v>0</v>
      </c>
      <c r="Z1056" s="11">
        <f ca="1"/>
        <v>44.52122895622896</v>
      </c>
      <c r="AA1056" s="11">
        <f ca="1"/>
        <v>22.26061447811448</v>
      </c>
      <c r="AB1056" s="4">
        <f ca="1"/>
        <v>45742</v>
      </c>
      <c r="AC1056" s="4">
        <v>45742</v>
      </c>
      <c r="AD1056" s="9">
        <v>45747</v>
      </c>
      <c r="AE1056" s="9">
        <v>45749</v>
      </c>
      <c r="AF1056" s="4" t="str">
        <f t="shared" ca="1" si="65"/>
        <v>2025 03</v>
      </c>
      <c r="AG1056" s="8" t="str" cm="1">
        <f t="array" ref="AG1056">IFERROR(_xlfn.IFS('Banco de Dados'!#REF!="AG. COMPRA","Em processamento",'Banco de Dados'!#REF!="AG. RASTREIO","Em processamento",'Banco de Dados'!$AE1056&lt;&gt;"-","Faturado",'Banco de Dados'!$AD1056&lt;&gt;"-","Aguardando Pix",'Banco de Dados'!$AC1056&lt;&gt;"-","Pendente"),"Aguardando Liberação")</f>
        <v>Aguardando Liberação</v>
      </c>
      <c r="AH1056" s="5" t="str">
        <f>IF('Banco de Dados'!$F1056="-",_xlfn.CONCAT(PROPER(TEXT(AK1056,"aaaa"))," ",PROPER(TEXT(AK1056,"mm"))),_xlfn.CONCAT(PROPER(TEXT(E1056,"aaaa"))," ",PROPER(TEXT(E1056,"mm"))))</f>
        <v>2025 02</v>
      </c>
      <c r="AI1056" s="9" t="str">
        <f ca="1">IF('Banco de Dados'!$AK1056&lt;&gt;"-","REEMBOLSO",IFERROR(_xlfn.XLOOKUP(G1056,Follow[CODRASTREIO],Follow[STATUS]),"-"))</f>
        <v>ENTREGUE</v>
      </c>
      <c r="AJ1056" s="9">
        <f ca="1">IF('Banco de Dados'!$AI1056="ENTREGUE",_xlfn.XLOOKUP('Banco de Dados'!$G1056,Follow[CODRASTREIO],Follow[DATAATUALIZAÇÃO]),"-")</f>
        <v>45722</v>
      </c>
      <c r="AK1056" s="132" t="str">
        <f ca="1"/>
        <v>-</v>
      </c>
      <c r="AL1056" s="35"/>
      <c r="AM1056" s="109" cm="1">
        <f t="array" aca="1" ref="AM1056" ca="1">IF('Banco de Dados'!$AK1056&lt;&gt;"-",_xlfn.IFS('Banco de Dados'!$A1056="bv",IF('Banco de Dados'!$E1056&lt;45641,ROUND(SUM('Banco de Dados'!$R1056*_xlfn.XLOOKUP('Banco de Dados'!$P1056,Sku!B:B,Sku!#REF!)*20%),2),ROUND(SUM('Banco de Dados'!$R1056*_xlfn.XLOOKUP('Banco de Dados'!$P1056,Sku!B:B,Sku!H:H)*20%),2)),'Banco de Dados'!$A1056="GO",ROUND(SUM('Banco de Dados'!$R1056*_xlfn.XLOOKUP('Banco de Dados'!$P1056,Sku!C:C,Sku!H:H)*20%),2),'Banco de Dados'!$A1056="MEI",ROUND(SUM('Banco de Dados'!$R1056*_xlfn.XLOOKUP('Banco de Dados'!$P1056,Sku!D:D,Sku!H:H)*20%),2)),0)</f>
        <v>0</v>
      </c>
      <c r="AN1056" s="109">
        <f ca="1">IF('Banco de Dados'!$AK1056&lt;&gt;"-",IF('Banco de Dados'!$F1056&lt;&gt;"-",_xlfn.XLOOKUP(IFERROR(IFERROR(IFERROR(VALUE(SUBSTITUTE(MID(_xlfn.TEXTAFTER('Banco de Dados'!$F1056,"Data do Pedido:
",1),1,10),"-","/")),VALUE(SUBSTITUTE(MID(_xlfn.TEXTAFTER('Banco de Dados'!$F1056,"Order date:
",1),1,10),"-","/"))),VALUE(SUBSTITUTE(MID(_xlfn.TEXTAFTER('Banco de Dados'!$F1056,"Fecha de pedido:
",1),1,10),"-","/"))),"-"),SMS!A:A,SMS!K:K),0),0)</f>
        <v>0</v>
      </c>
      <c r="AO1056" s="109">
        <f ca="1">IF('Banco de Dados'!$AK1056&lt;&gt;"-",IF('Banco de Dados'!$F1056&lt;&gt;"-",IFERROR(_xlfn.XLOOKUP(_xlfn.CONCAT('Banco de Dados'!$A1056,IFERROR(IFERROR(VALUE(SUBSTITUTE(MID(_xlfn.TEXTAFTER('Banco de Dados'!$F1056,"Data do Pedido:
",1),1,10),"-","/")),VALUE(SUBSTITUTE(MID(_xlfn.TEXTAFTER('Banco de Dados'!$F1056,"Order date:
",1),1,10),"-","/"))),0)),ProxyDD[Chave],ProxyDD[Valor por pedido]),PROXY!$P$2),0),0)</f>
        <v>0</v>
      </c>
      <c r="AP1056" s="28">
        <f ca="1">IF('Banco de Dados'!$AK1056&lt;&gt;"-",IF('Banco de Dados'!$AL1056="NÃO",IFERROR(VALUE(SUBSTITUTE(_xlfn.TEXTAFTER('Banco de Dados'!$F1056,"BRL ",1),".",",")),0),0),0)</f>
        <v>0</v>
      </c>
      <c r="AQ1056" s="28">
        <f ca="1">SUM('Banco de Dados'!$AM1056:$AP1056)</f>
        <v>0</v>
      </c>
      <c r="AR1056" s="8"/>
      <c r="AY1056" s="8"/>
    </row>
    <row r="1057" spans="1:51">
      <c r="A1057" s="5" t="str">
        <v>MEI</v>
      </c>
      <c r="B1057" s="5" t="str">
        <f ca="1"/>
        <v>MEI45712</v>
      </c>
      <c r="C1057" s="8" t="str">
        <v>Pedido 1044</v>
      </c>
      <c r="D1057" s="187">
        <v>45710</v>
      </c>
      <c r="E1057" s="9">
        <v>45712</v>
      </c>
      <c r="F1057" s="8" t="str">
        <v>PedidoF1023</v>
      </c>
      <c r="G1057" s="2" t="str">
        <v>CódRastreio1021</v>
      </c>
      <c r="H1057" s="5">
        <v>1</v>
      </c>
      <c r="I1057" s="2" t="str">
        <v>CPF 1015</v>
      </c>
      <c r="J1057" s="2" t="str">
        <v>Nome 1015</v>
      </c>
      <c r="K1057" s="8" t="str">
        <v>Tel 1015</v>
      </c>
      <c r="L1057" s="8" t="str">
        <v>Cep 1015</v>
      </c>
      <c r="M1057" s="8" t="str">
        <v>Rua 1015</v>
      </c>
      <c r="N1057" s="8" t="str">
        <v>Comp 1015</v>
      </c>
      <c r="O1057" s="8" t="str">
        <v>Ventilador Preto</v>
      </c>
      <c r="P1057" s="8" t="str">
        <v>WU-SS4J-LFOH</v>
      </c>
      <c r="Q1057" s="4">
        <v>45735</v>
      </c>
      <c r="R1057" s="109">
        <v>65.75</v>
      </c>
      <c r="S1057" s="11">
        <f ca="1"/>
        <v>65.75</v>
      </c>
      <c r="T1057" s="28">
        <f ca="1"/>
        <v>8.5474999999999994</v>
      </c>
      <c r="U1057" s="11">
        <f ca="1"/>
        <v>57.2</v>
      </c>
      <c r="V1057" s="11">
        <v>12.08</v>
      </c>
      <c r="W1057" s="11">
        <f ca="1"/>
        <v>0.2</v>
      </c>
      <c r="X1057" s="11">
        <f ca="1"/>
        <v>0.39877104377104378</v>
      </c>
      <c r="Y1057" s="11">
        <v>0</v>
      </c>
      <c r="Z1057" s="11">
        <f ca="1"/>
        <v>44.52122895622896</v>
      </c>
      <c r="AA1057" s="11">
        <f ca="1"/>
        <v>22.26061447811448</v>
      </c>
      <c r="AB1057" s="4">
        <f ca="1"/>
        <v>45742</v>
      </c>
      <c r="AC1057" s="4">
        <v>45742</v>
      </c>
      <c r="AD1057" s="9">
        <v>45747</v>
      </c>
      <c r="AE1057" s="9">
        <v>45749</v>
      </c>
      <c r="AF1057" s="4" t="str">
        <f t="shared" ca="1" si="65"/>
        <v>2025 03</v>
      </c>
      <c r="AG1057" s="8" t="str" cm="1">
        <f t="array" ref="AG1057">IFERROR(_xlfn.IFS('Banco de Dados'!#REF!="AG. COMPRA","Em processamento",'Banco de Dados'!#REF!="AG. RASTREIO","Em processamento",'Banco de Dados'!$AE1057&lt;&gt;"-","Faturado",'Banco de Dados'!$AD1057&lt;&gt;"-","Aguardando Pix",'Banco de Dados'!$AC1057&lt;&gt;"-","Pendente"),"Aguardando Liberação")</f>
        <v>Aguardando Liberação</v>
      </c>
      <c r="AH1057" s="5" t="str">
        <f>IF('Banco de Dados'!$F1057="-",_xlfn.CONCAT(PROPER(TEXT(AK1057,"aaaa"))," ",PROPER(TEXT(AK1057,"mm"))),_xlfn.CONCAT(PROPER(TEXT(E1057,"aaaa"))," ",PROPER(TEXT(E1057,"mm"))))</f>
        <v>2025 02</v>
      </c>
      <c r="AI1057" s="9" t="str">
        <f ca="1">IF('Banco de Dados'!$AK1057&lt;&gt;"-","REEMBOLSO",IFERROR(_xlfn.XLOOKUP(G1057,Follow[CODRASTREIO],Follow[STATUS]),"-"))</f>
        <v>ENTREGUE</v>
      </c>
      <c r="AJ1057" s="9">
        <f ca="1">IF('Banco de Dados'!$AI1057="ENTREGUE",_xlfn.XLOOKUP('Banco de Dados'!$G1057,Follow[CODRASTREIO],Follow[DATAATUALIZAÇÃO]),"-")</f>
        <v>45722</v>
      </c>
      <c r="AK1057" s="132" t="str">
        <f ca="1"/>
        <v>-</v>
      </c>
      <c r="AL1057" s="35"/>
      <c r="AM1057" s="109" cm="1">
        <f t="array" aca="1" ref="AM1057" ca="1">IF('Banco de Dados'!$AK1057&lt;&gt;"-",_xlfn.IFS('Banco de Dados'!$A1057="bv",IF('Banco de Dados'!$E1057&lt;45641,ROUND(SUM('Banco de Dados'!$R1057*_xlfn.XLOOKUP('Banco de Dados'!$P1057,Sku!B:B,Sku!#REF!)*20%),2),ROUND(SUM('Banco de Dados'!$R1057*_xlfn.XLOOKUP('Banco de Dados'!$P1057,Sku!B:B,Sku!H:H)*20%),2)),'Banco de Dados'!$A1057="GO",ROUND(SUM('Banco de Dados'!$R1057*_xlfn.XLOOKUP('Banco de Dados'!$P1057,Sku!C:C,Sku!H:H)*20%),2),'Banco de Dados'!$A1057="MEI",ROUND(SUM('Banco de Dados'!$R1057*_xlfn.XLOOKUP('Banco de Dados'!$P1057,Sku!D:D,Sku!H:H)*20%),2)),0)</f>
        <v>0</v>
      </c>
      <c r="AN1057" s="109">
        <f ca="1">IF('Banco de Dados'!$AK1057&lt;&gt;"-",IF('Banco de Dados'!$F1057&lt;&gt;"-",_xlfn.XLOOKUP(IFERROR(IFERROR(IFERROR(VALUE(SUBSTITUTE(MID(_xlfn.TEXTAFTER('Banco de Dados'!$F1057,"Data do Pedido:
",1),1,10),"-","/")),VALUE(SUBSTITUTE(MID(_xlfn.TEXTAFTER('Banco de Dados'!$F1057,"Order date:
",1),1,10),"-","/"))),VALUE(SUBSTITUTE(MID(_xlfn.TEXTAFTER('Banco de Dados'!$F1057,"Fecha de pedido:
",1),1,10),"-","/"))),"-"),SMS!A:A,SMS!K:K),0),0)</f>
        <v>0</v>
      </c>
      <c r="AO1057" s="109">
        <f ca="1">IF('Banco de Dados'!$AK1057&lt;&gt;"-",IF('Banco de Dados'!$F1057&lt;&gt;"-",IFERROR(_xlfn.XLOOKUP(_xlfn.CONCAT('Banco de Dados'!$A1057,IFERROR(IFERROR(VALUE(SUBSTITUTE(MID(_xlfn.TEXTAFTER('Banco de Dados'!$F1057,"Data do Pedido:
",1),1,10),"-","/")),VALUE(SUBSTITUTE(MID(_xlfn.TEXTAFTER('Banco de Dados'!$F1057,"Order date:
",1),1,10),"-","/"))),0)),ProxyDD[Chave],ProxyDD[Valor por pedido]),PROXY!$P$2),0),0)</f>
        <v>0</v>
      </c>
      <c r="AP1057" s="28">
        <f ca="1">IF('Banco de Dados'!$AK1057&lt;&gt;"-",IF('Banco de Dados'!$AL1057="NÃO",IFERROR(VALUE(SUBSTITUTE(_xlfn.TEXTAFTER('Banco de Dados'!$F1057,"BRL ",1),".",",")),0),0),0)</f>
        <v>0</v>
      </c>
      <c r="AQ1057" s="28">
        <f ca="1">SUM('Banco de Dados'!$AM1057:$AP1057)</f>
        <v>0</v>
      </c>
      <c r="AR1057" s="8"/>
      <c r="AY1057" s="8"/>
    </row>
    <row r="1058" spans="1:51">
      <c r="A1058" s="5" t="str">
        <v>MEI</v>
      </c>
      <c r="B1058" s="5" t="str">
        <f ca="1"/>
        <v>MEI45712</v>
      </c>
      <c r="C1058" s="8" t="str">
        <v>Pedido 1045</v>
      </c>
      <c r="D1058" s="187">
        <v>45710</v>
      </c>
      <c r="E1058" s="9">
        <v>45712</v>
      </c>
      <c r="F1058" s="8" t="str">
        <v>PedidoF1024</v>
      </c>
      <c r="G1058" s="2" t="str">
        <v>CódRastreio1022</v>
      </c>
      <c r="H1058" s="5">
        <v>1</v>
      </c>
      <c r="I1058" s="2" t="str">
        <v>CPF 1016</v>
      </c>
      <c r="J1058" s="2" t="str">
        <v>Nome 1016</v>
      </c>
      <c r="K1058" s="8" t="str">
        <v>Tel 1016</v>
      </c>
      <c r="L1058" s="8" t="str">
        <v>Cep 1016</v>
      </c>
      <c r="M1058" s="8" t="str">
        <v>Rua 1016</v>
      </c>
      <c r="N1058" s="8" t="str">
        <v>Comp 1016</v>
      </c>
      <c r="O1058" s="8" t="str">
        <v>Ventilador Preto</v>
      </c>
      <c r="P1058" s="8" t="str">
        <v>WU-SS4J-LFOH</v>
      </c>
      <c r="Q1058" s="4">
        <v>45735</v>
      </c>
      <c r="R1058" s="109">
        <v>65.75</v>
      </c>
      <c r="S1058" s="11">
        <f ca="1"/>
        <v>65.75</v>
      </c>
      <c r="T1058" s="28">
        <f ca="1"/>
        <v>8.5474999999999994</v>
      </c>
      <c r="U1058" s="11">
        <f ca="1"/>
        <v>57.2</v>
      </c>
      <c r="V1058" s="11">
        <v>12.08</v>
      </c>
      <c r="W1058" s="11">
        <f ca="1"/>
        <v>0.2</v>
      </c>
      <c r="X1058" s="11">
        <f ca="1"/>
        <v>0.39877104377104378</v>
      </c>
      <c r="Y1058" s="11">
        <v>0</v>
      </c>
      <c r="Z1058" s="11">
        <f ca="1"/>
        <v>44.52122895622896</v>
      </c>
      <c r="AA1058" s="11">
        <f ca="1"/>
        <v>22.26061447811448</v>
      </c>
      <c r="AB1058" s="4">
        <f ca="1"/>
        <v>45742</v>
      </c>
      <c r="AC1058" s="4">
        <v>45742</v>
      </c>
      <c r="AD1058" s="9">
        <v>45747</v>
      </c>
      <c r="AE1058" s="9">
        <v>45749</v>
      </c>
      <c r="AF1058" s="4" t="str">
        <f t="shared" ca="1" si="65"/>
        <v>2025 03</v>
      </c>
      <c r="AG1058" s="8" t="str" cm="1">
        <f t="array" ref="AG1058">IFERROR(_xlfn.IFS('Banco de Dados'!#REF!="AG. COMPRA","Em processamento",'Banco de Dados'!#REF!="AG. RASTREIO","Em processamento",'Banco de Dados'!$AE1058&lt;&gt;"-","Faturado",'Banco de Dados'!$AD1058&lt;&gt;"-","Aguardando Pix",'Banco de Dados'!$AC1058&lt;&gt;"-","Pendente"),"Aguardando Liberação")</f>
        <v>Aguardando Liberação</v>
      </c>
      <c r="AH1058" s="5" t="str">
        <f>IF('Banco de Dados'!$F1058="-",_xlfn.CONCAT(PROPER(TEXT(AK1058,"aaaa"))," ",PROPER(TEXT(AK1058,"mm"))),_xlfn.CONCAT(PROPER(TEXT(E1058,"aaaa"))," ",PROPER(TEXT(E1058,"mm"))))</f>
        <v>2025 02</v>
      </c>
      <c r="AI1058" s="9" t="str">
        <f ca="1">IF('Banco de Dados'!$AK1058&lt;&gt;"-","REEMBOLSO",IFERROR(_xlfn.XLOOKUP(G1058,Follow[CODRASTREIO],Follow[STATUS]),"-"))</f>
        <v>ENTREGUE</v>
      </c>
      <c r="AJ1058" s="9">
        <f ca="1">IF('Banco de Dados'!$AI1058="ENTREGUE",_xlfn.XLOOKUP('Banco de Dados'!$G1058,Follow[CODRASTREIO],Follow[DATAATUALIZAÇÃO]),"-")</f>
        <v>45722</v>
      </c>
      <c r="AK1058" s="132" t="str">
        <f ca="1"/>
        <v>-</v>
      </c>
      <c r="AL1058" s="35"/>
      <c r="AM1058" s="109" cm="1">
        <f t="array" aca="1" ref="AM1058" ca="1">IF('Banco de Dados'!$AK1058&lt;&gt;"-",_xlfn.IFS('Banco de Dados'!$A1058="bv",IF('Banco de Dados'!$E1058&lt;45641,ROUND(SUM('Banco de Dados'!$R1058*_xlfn.XLOOKUP('Banco de Dados'!$P1058,Sku!B:B,Sku!#REF!)*20%),2),ROUND(SUM('Banco de Dados'!$R1058*_xlfn.XLOOKUP('Banco de Dados'!$P1058,Sku!B:B,Sku!H:H)*20%),2)),'Banco de Dados'!$A1058="GO",ROUND(SUM('Banco de Dados'!$R1058*_xlfn.XLOOKUP('Banco de Dados'!$P1058,Sku!C:C,Sku!H:H)*20%),2),'Banco de Dados'!$A1058="MEI",ROUND(SUM('Banco de Dados'!$R1058*_xlfn.XLOOKUP('Banco de Dados'!$P1058,Sku!D:D,Sku!H:H)*20%),2)),0)</f>
        <v>0</v>
      </c>
      <c r="AN1058" s="109">
        <f ca="1">IF('Banco de Dados'!$AK1058&lt;&gt;"-",IF('Banco de Dados'!$F1058&lt;&gt;"-",_xlfn.XLOOKUP(IFERROR(IFERROR(IFERROR(VALUE(SUBSTITUTE(MID(_xlfn.TEXTAFTER('Banco de Dados'!$F1058,"Data do Pedido:
",1),1,10),"-","/")),VALUE(SUBSTITUTE(MID(_xlfn.TEXTAFTER('Banco de Dados'!$F1058,"Order date:
",1),1,10),"-","/"))),VALUE(SUBSTITUTE(MID(_xlfn.TEXTAFTER('Banco de Dados'!$F1058,"Fecha de pedido:
",1),1,10),"-","/"))),"-"),SMS!A:A,SMS!K:K),0),0)</f>
        <v>0</v>
      </c>
      <c r="AO1058" s="109">
        <f ca="1">IF('Banco de Dados'!$AK1058&lt;&gt;"-",IF('Banco de Dados'!$F1058&lt;&gt;"-",IFERROR(_xlfn.XLOOKUP(_xlfn.CONCAT('Banco de Dados'!$A1058,IFERROR(IFERROR(VALUE(SUBSTITUTE(MID(_xlfn.TEXTAFTER('Banco de Dados'!$F1058,"Data do Pedido:
",1),1,10),"-","/")),VALUE(SUBSTITUTE(MID(_xlfn.TEXTAFTER('Banco de Dados'!$F1058,"Order date:
",1),1,10),"-","/"))),0)),ProxyDD[Chave],ProxyDD[Valor por pedido]),PROXY!$P$2),0),0)</f>
        <v>0</v>
      </c>
      <c r="AP1058" s="28">
        <f ca="1">IF('Banco de Dados'!$AK1058&lt;&gt;"-",IF('Banco de Dados'!$AL1058="NÃO",IFERROR(VALUE(SUBSTITUTE(_xlfn.TEXTAFTER('Banco de Dados'!$F1058,"BRL ",1),".",",")),0),0),0)</f>
        <v>0</v>
      </c>
      <c r="AQ1058" s="28">
        <f ca="1">SUM('Banco de Dados'!$AM1058:$AP1058)</f>
        <v>0</v>
      </c>
      <c r="AR1058" s="8"/>
      <c r="AY1058" s="8"/>
    </row>
    <row r="1059" spans="1:51">
      <c r="A1059" s="5" t="str">
        <v>MEI</v>
      </c>
      <c r="B1059" s="5" t="str">
        <f ca="1"/>
        <v>MEI45712</v>
      </c>
      <c r="C1059" s="8" t="str">
        <v>Pedido 1046</v>
      </c>
      <c r="D1059" s="187">
        <v>45712</v>
      </c>
      <c r="E1059" s="9">
        <v>45712</v>
      </c>
      <c r="F1059" s="8" t="str">
        <v>PedidoF1025</v>
      </c>
      <c r="G1059" s="2" t="str">
        <v>CódRastreio1023</v>
      </c>
      <c r="H1059" s="5">
        <v>1</v>
      </c>
      <c r="I1059" s="2" t="str">
        <v>CPF 1017</v>
      </c>
      <c r="J1059" s="2" t="str">
        <v>Nome 1017</v>
      </c>
      <c r="K1059" s="8" t="str">
        <v>Tel 1017</v>
      </c>
      <c r="L1059" s="8" t="str">
        <v>Cep 1017</v>
      </c>
      <c r="M1059" s="8" t="str">
        <v>Rua 1017</v>
      </c>
      <c r="N1059" s="8" t="str">
        <v>Comp 1017</v>
      </c>
      <c r="O1059" s="8" t="str">
        <v>Ventilador Preto</v>
      </c>
      <c r="P1059" s="8" t="str">
        <v>WU-SS4J-LFOH</v>
      </c>
      <c r="Q1059" s="4">
        <v>45741</v>
      </c>
      <c r="R1059" s="109">
        <v>65.75</v>
      </c>
      <c r="S1059" s="11">
        <f ca="1"/>
        <v>65.75</v>
      </c>
      <c r="T1059" s="28">
        <f ca="1"/>
        <v>8.5474999999999994</v>
      </c>
      <c r="U1059" s="11">
        <f ca="1"/>
        <v>57.2</v>
      </c>
      <c r="V1059" s="11">
        <v>12.08</v>
      </c>
      <c r="W1059" s="11">
        <f ca="1"/>
        <v>0.2</v>
      </c>
      <c r="X1059" s="11">
        <f ca="1"/>
        <v>0.39877104377104378</v>
      </c>
      <c r="Y1059" s="11">
        <v>0</v>
      </c>
      <c r="Z1059" s="11">
        <f ca="1"/>
        <v>44.52122895622896</v>
      </c>
      <c r="AA1059" s="11">
        <f ca="1"/>
        <v>22.26061447811448</v>
      </c>
      <c r="AB1059" s="4">
        <f ca="1"/>
        <v>45748</v>
      </c>
      <c r="AC1059" s="4">
        <v>45748</v>
      </c>
      <c r="AD1059" s="9">
        <v>45762</v>
      </c>
      <c r="AE1059" s="9">
        <v>45763</v>
      </c>
      <c r="AF1059" s="4" t="str">
        <f t="shared" ca="1" si="65"/>
        <v>2025 04</v>
      </c>
      <c r="AG1059" s="8" t="str" cm="1">
        <f t="array" ref="AG1059">IFERROR(_xlfn.IFS('Banco de Dados'!#REF!="AG. COMPRA","Em processamento",'Banco de Dados'!#REF!="AG. RASTREIO","Em processamento",'Banco de Dados'!$AE1059&lt;&gt;"-","Faturado",'Banco de Dados'!$AD1059&lt;&gt;"-","Aguardando Pix",'Banco de Dados'!$AC1059&lt;&gt;"-","Pendente"),"Aguardando Liberação")</f>
        <v>Aguardando Liberação</v>
      </c>
      <c r="AH1059" s="5" t="str">
        <f>IF('Banco de Dados'!$F1059="-",_xlfn.CONCAT(PROPER(TEXT(AK1059,"aaaa"))," ",PROPER(TEXT(AK1059,"mm"))),_xlfn.CONCAT(PROPER(TEXT(E1059,"aaaa"))," ",PROPER(TEXT(E1059,"mm"))))</f>
        <v>2025 02</v>
      </c>
      <c r="AI1059" s="9" t="str">
        <f ca="1">IF('Banco de Dados'!$AK1059&lt;&gt;"-","REEMBOLSO",IFERROR(_xlfn.XLOOKUP(G1059,Follow[CODRASTREIO],Follow[STATUS]),"-"))</f>
        <v>ENTREGUE</v>
      </c>
      <c r="AJ1059" s="9">
        <f ca="1">IF('Banco de Dados'!$AI1059="ENTREGUE",_xlfn.XLOOKUP('Banco de Dados'!$G1059,Follow[CODRASTREIO],Follow[DATAATUALIZAÇÃO]),"-")</f>
        <v>45730</v>
      </c>
      <c r="AK1059" s="132" t="str">
        <f ca="1"/>
        <v>-</v>
      </c>
      <c r="AL1059" s="35"/>
      <c r="AM1059" s="109" cm="1">
        <f t="array" aca="1" ref="AM1059" ca="1">IF('Banco de Dados'!$AK1059&lt;&gt;"-",_xlfn.IFS('Banco de Dados'!$A1059="bv",IF('Banco de Dados'!$E1059&lt;45641,ROUND(SUM('Banco de Dados'!$R1059*_xlfn.XLOOKUP('Banco de Dados'!$P1059,Sku!B:B,Sku!#REF!)*20%),2),ROUND(SUM('Banco de Dados'!$R1059*_xlfn.XLOOKUP('Banco de Dados'!$P1059,Sku!B:B,Sku!H:H)*20%),2)),'Banco de Dados'!$A1059="GO",ROUND(SUM('Banco de Dados'!$R1059*_xlfn.XLOOKUP('Banco de Dados'!$P1059,Sku!C:C,Sku!H:H)*20%),2),'Banco de Dados'!$A1059="MEI",ROUND(SUM('Banco de Dados'!$R1059*_xlfn.XLOOKUP('Banco de Dados'!$P1059,Sku!D:D,Sku!H:H)*20%),2)),0)</f>
        <v>0</v>
      </c>
      <c r="AN1059" s="109">
        <f ca="1">IF('Banco de Dados'!$AK1059&lt;&gt;"-",IF('Banco de Dados'!$F1059&lt;&gt;"-",_xlfn.XLOOKUP(IFERROR(IFERROR(IFERROR(VALUE(SUBSTITUTE(MID(_xlfn.TEXTAFTER('Banco de Dados'!$F1059,"Data do Pedido:
",1),1,10),"-","/")),VALUE(SUBSTITUTE(MID(_xlfn.TEXTAFTER('Banco de Dados'!$F1059,"Order date:
",1),1,10),"-","/"))),VALUE(SUBSTITUTE(MID(_xlfn.TEXTAFTER('Banco de Dados'!$F1059,"Fecha de pedido:
",1),1,10),"-","/"))),"-"),SMS!A:A,SMS!K:K),0),0)</f>
        <v>0</v>
      </c>
      <c r="AO1059" s="109">
        <f ca="1">IF('Banco de Dados'!$AK1059&lt;&gt;"-",IF('Banco de Dados'!$F1059&lt;&gt;"-",IFERROR(_xlfn.XLOOKUP(_xlfn.CONCAT('Banco de Dados'!$A1059,IFERROR(IFERROR(VALUE(SUBSTITUTE(MID(_xlfn.TEXTAFTER('Banco de Dados'!$F1059,"Data do Pedido:
",1),1,10),"-","/")),VALUE(SUBSTITUTE(MID(_xlfn.TEXTAFTER('Banco de Dados'!$F1059,"Order date:
",1),1,10),"-","/"))),0)),ProxyDD[Chave],ProxyDD[Valor por pedido]),PROXY!$P$2),0),0)</f>
        <v>0</v>
      </c>
      <c r="AP1059" s="28">
        <f ca="1">IF('Banco de Dados'!$AK1059&lt;&gt;"-",IF('Banco de Dados'!$AL1059="NÃO",IFERROR(VALUE(SUBSTITUTE(_xlfn.TEXTAFTER('Banco de Dados'!$F1059,"BRL ",1),".",",")),0),0),0)</f>
        <v>0</v>
      </c>
      <c r="AQ1059" s="28">
        <f ca="1">SUM('Banco de Dados'!$AM1059:$AP1059)</f>
        <v>0</v>
      </c>
      <c r="AR1059" s="8"/>
      <c r="AY1059" s="8"/>
    </row>
    <row r="1060" spans="1:51">
      <c r="A1060" s="5" t="str">
        <v>MEI</v>
      </c>
      <c r="B1060" s="5" t="str">
        <f ca="1"/>
        <v>MEI45712</v>
      </c>
      <c r="C1060" s="8" t="str">
        <v>Pedido 1047</v>
      </c>
      <c r="D1060" s="187">
        <v>45712</v>
      </c>
      <c r="E1060" s="9">
        <v>45712</v>
      </c>
      <c r="F1060" s="8" t="str">
        <v>PedidoF1026</v>
      </c>
      <c r="G1060" s="2" t="str">
        <v>CódRastreio1024</v>
      </c>
      <c r="H1060" s="5">
        <v>1</v>
      </c>
      <c r="I1060" s="2" t="str">
        <v>CPF 1018</v>
      </c>
      <c r="J1060" s="2" t="str">
        <v>Nome 1018</v>
      </c>
      <c r="K1060" s="8" t="str">
        <v>Tel 1018</v>
      </c>
      <c r="L1060" s="8" t="str">
        <v>Cep 1018</v>
      </c>
      <c r="M1060" s="8" t="str">
        <v>Rua 1018</v>
      </c>
      <c r="N1060" s="8" t="str">
        <v>Comp 1018</v>
      </c>
      <c r="O1060" s="8" t="str">
        <v>Ventilador Preto</v>
      </c>
      <c r="P1060" s="8" t="str">
        <v>WU-SS4J-LFOH</v>
      </c>
      <c r="Q1060" s="4">
        <v>45736</v>
      </c>
      <c r="R1060" s="109">
        <v>65.75</v>
      </c>
      <c r="S1060" s="11">
        <f ca="1"/>
        <v>65.75</v>
      </c>
      <c r="T1060" s="28">
        <f ca="1"/>
        <v>8.5474999999999994</v>
      </c>
      <c r="U1060" s="11">
        <f ca="1"/>
        <v>57.2</v>
      </c>
      <c r="V1060" s="11">
        <v>12.08</v>
      </c>
      <c r="W1060" s="11">
        <f ca="1"/>
        <v>0.2</v>
      </c>
      <c r="X1060" s="11">
        <f ca="1"/>
        <v>0.39877104377104378</v>
      </c>
      <c r="Y1060" s="11">
        <v>0</v>
      </c>
      <c r="Z1060" s="11">
        <f ca="1"/>
        <v>44.52122895622896</v>
      </c>
      <c r="AA1060" s="11">
        <f ca="1"/>
        <v>22.26061447811448</v>
      </c>
      <c r="AB1060" s="4">
        <f ca="1"/>
        <v>45743</v>
      </c>
      <c r="AC1060" s="4">
        <v>45743</v>
      </c>
      <c r="AD1060" s="9">
        <v>45747</v>
      </c>
      <c r="AE1060" s="9">
        <v>45749</v>
      </c>
      <c r="AF1060" s="4" t="str">
        <f t="shared" ca="1" si="65"/>
        <v>2025 03</v>
      </c>
      <c r="AG1060" s="8" t="str" cm="1">
        <f t="array" ref="AG1060">IFERROR(_xlfn.IFS('Banco de Dados'!#REF!="AG. COMPRA","Em processamento",'Banco de Dados'!#REF!="AG. RASTREIO","Em processamento",'Banco de Dados'!$AE1060&lt;&gt;"-","Faturado",'Banco de Dados'!$AD1060&lt;&gt;"-","Aguardando Pix",'Banco de Dados'!$AC1060&lt;&gt;"-","Pendente"),"Aguardando Liberação")</f>
        <v>Aguardando Liberação</v>
      </c>
      <c r="AH1060" s="5" t="str">
        <f>IF('Banco de Dados'!$F1060="-",_xlfn.CONCAT(PROPER(TEXT(AK1060,"aaaa"))," ",PROPER(TEXT(AK1060,"mm"))),_xlfn.CONCAT(PROPER(TEXT(E1060,"aaaa"))," ",PROPER(TEXT(E1060,"mm"))))</f>
        <v>2025 02</v>
      </c>
      <c r="AI1060" s="9" t="str">
        <f ca="1">IF('Banco de Dados'!$AK1060&lt;&gt;"-","REEMBOLSO",IFERROR(_xlfn.XLOOKUP(G1060,Follow[CODRASTREIO],Follow[STATUS]),"-"))</f>
        <v>ENTREGUE</v>
      </c>
      <c r="AJ1060" s="9">
        <f ca="1">IF('Banco de Dados'!$AI1060="ENTREGUE",_xlfn.XLOOKUP('Banco de Dados'!$G1060,Follow[CODRASTREIO],Follow[DATAATUALIZAÇÃO]),"-")</f>
        <v>45722</v>
      </c>
      <c r="AK1060" s="132" t="str">
        <f ca="1"/>
        <v>-</v>
      </c>
      <c r="AL1060" s="35"/>
      <c r="AM1060" s="109" cm="1">
        <f t="array" aca="1" ref="AM1060" ca="1">IF('Banco de Dados'!$AK1060&lt;&gt;"-",_xlfn.IFS('Banco de Dados'!$A1060="bv",IF('Banco de Dados'!$E1060&lt;45641,ROUND(SUM('Banco de Dados'!$R1060*_xlfn.XLOOKUP('Banco de Dados'!$P1060,Sku!B:B,Sku!#REF!)*20%),2),ROUND(SUM('Banco de Dados'!$R1060*_xlfn.XLOOKUP('Banco de Dados'!$P1060,Sku!B:B,Sku!H:H)*20%),2)),'Banco de Dados'!$A1060="GO",ROUND(SUM('Banco de Dados'!$R1060*_xlfn.XLOOKUP('Banco de Dados'!$P1060,Sku!C:C,Sku!H:H)*20%),2),'Banco de Dados'!$A1060="MEI",ROUND(SUM('Banco de Dados'!$R1060*_xlfn.XLOOKUP('Banco de Dados'!$P1060,Sku!D:D,Sku!H:H)*20%),2)),0)</f>
        <v>0</v>
      </c>
      <c r="AN1060" s="109">
        <f ca="1">IF('Banco de Dados'!$AK1060&lt;&gt;"-",IF('Banco de Dados'!$F1060&lt;&gt;"-",_xlfn.XLOOKUP(IFERROR(IFERROR(IFERROR(VALUE(SUBSTITUTE(MID(_xlfn.TEXTAFTER('Banco de Dados'!$F1060,"Data do Pedido:
",1),1,10),"-","/")),VALUE(SUBSTITUTE(MID(_xlfn.TEXTAFTER('Banco de Dados'!$F1060,"Order date:
",1),1,10),"-","/"))),VALUE(SUBSTITUTE(MID(_xlfn.TEXTAFTER('Banco de Dados'!$F1060,"Fecha de pedido:
",1),1,10),"-","/"))),"-"),SMS!A:A,SMS!K:K),0),0)</f>
        <v>0</v>
      </c>
      <c r="AO1060" s="109">
        <f ca="1">IF('Banco de Dados'!$AK1060&lt;&gt;"-",IF('Banco de Dados'!$F1060&lt;&gt;"-",IFERROR(_xlfn.XLOOKUP(_xlfn.CONCAT('Banco de Dados'!$A1060,IFERROR(IFERROR(VALUE(SUBSTITUTE(MID(_xlfn.TEXTAFTER('Banco de Dados'!$F1060,"Data do Pedido:
",1),1,10),"-","/")),VALUE(SUBSTITUTE(MID(_xlfn.TEXTAFTER('Banco de Dados'!$F1060,"Order date:
",1),1,10),"-","/"))),0)),ProxyDD[Chave],ProxyDD[Valor por pedido]),PROXY!$P$2),0),0)</f>
        <v>0</v>
      </c>
      <c r="AP1060" s="28">
        <f ca="1">IF('Banco de Dados'!$AK1060&lt;&gt;"-",IF('Banco de Dados'!$AL1060="NÃO",IFERROR(VALUE(SUBSTITUTE(_xlfn.TEXTAFTER('Banco de Dados'!$F1060,"BRL ",1),".",",")),0),0),0)</f>
        <v>0</v>
      </c>
      <c r="AQ1060" s="28">
        <f ca="1">SUM('Banco de Dados'!$AM1060:$AP1060)</f>
        <v>0</v>
      </c>
      <c r="AR1060" s="8"/>
      <c r="AY1060" s="8"/>
    </row>
    <row r="1061" spans="1:51">
      <c r="A1061" s="5" t="str">
        <v>MEI</v>
      </c>
      <c r="B1061" s="5" t="str">
        <f ca="1"/>
        <v>MEI45712</v>
      </c>
      <c r="C1061" s="8" t="str">
        <v>Pedido 1048</v>
      </c>
      <c r="D1061" s="187">
        <v>45712</v>
      </c>
      <c r="E1061" s="9">
        <v>45712</v>
      </c>
      <c r="F1061" s="8" t="str">
        <v>PedidoF1027</v>
      </c>
      <c r="G1061" s="2" t="str">
        <v>CódRastreio1025</v>
      </c>
      <c r="H1061" s="5">
        <v>1</v>
      </c>
      <c r="I1061" s="2" t="str">
        <v>CPF 1019</v>
      </c>
      <c r="J1061" s="2" t="str">
        <v>Nome 1019</v>
      </c>
      <c r="K1061" s="8" t="str">
        <v>Tel 1019</v>
      </c>
      <c r="L1061" s="8" t="str">
        <v>Cep 1019</v>
      </c>
      <c r="M1061" s="8" t="str">
        <v>Rua 1019</v>
      </c>
      <c r="N1061" s="8" t="str">
        <v>Comp 1019</v>
      </c>
      <c r="O1061" s="8" t="str">
        <v>Ventilador Preto</v>
      </c>
      <c r="P1061" s="8" t="str">
        <v>WU-SS4J-LFOH</v>
      </c>
      <c r="Q1061" s="4">
        <v>45736</v>
      </c>
      <c r="R1061" s="109">
        <v>65.75</v>
      </c>
      <c r="S1061" s="11">
        <f ca="1"/>
        <v>65.75</v>
      </c>
      <c r="T1061" s="28">
        <f ca="1"/>
        <v>8.5474999999999994</v>
      </c>
      <c r="U1061" s="11">
        <f ca="1"/>
        <v>57.2</v>
      </c>
      <c r="V1061" s="11">
        <v>12.08</v>
      </c>
      <c r="W1061" s="11">
        <f ca="1"/>
        <v>0.2</v>
      </c>
      <c r="X1061" s="11">
        <f ca="1"/>
        <v>0.39877104377104378</v>
      </c>
      <c r="Y1061" s="11">
        <v>0</v>
      </c>
      <c r="Z1061" s="11">
        <f ca="1"/>
        <v>44.52122895622896</v>
      </c>
      <c r="AA1061" s="11">
        <f ca="1"/>
        <v>22.26061447811448</v>
      </c>
      <c r="AB1061" s="4">
        <f ca="1"/>
        <v>45743</v>
      </c>
      <c r="AC1061" s="4">
        <v>45743</v>
      </c>
      <c r="AD1061" s="9">
        <v>45747</v>
      </c>
      <c r="AE1061" s="9">
        <v>45749</v>
      </c>
      <c r="AF1061" s="4" t="str">
        <f t="shared" ca="1" si="65"/>
        <v>2025 03</v>
      </c>
      <c r="AG1061" s="8" t="str" cm="1">
        <f t="array" ref="AG1061">IFERROR(_xlfn.IFS('Banco de Dados'!#REF!="AG. COMPRA","Em processamento",'Banco de Dados'!#REF!="AG. RASTREIO","Em processamento",'Banco de Dados'!$AE1061&lt;&gt;"-","Faturado",'Banco de Dados'!$AD1061&lt;&gt;"-","Aguardando Pix",'Banco de Dados'!$AC1061&lt;&gt;"-","Pendente"),"Aguardando Liberação")</f>
        <v>Aguardando Liberação</v>
      </c>
      <c r="AH1061" s="5" t="str">
        <f>IF('Banco de Dados'!$F1061="-",_xlfn.CONCAT(PROPER(TEXT(AK1061,"aaaa"))," ",PROPER(TEXT(AK1061,"mm"))),_xlfn.CONCAT(PROPER(TEXT(E1061,"aaaa"))," ",PROPER(TEXT(E1061,"mm"))))</f>
        <v>2025 02</v>
      </c>
      <c r="AI1061" s="9" t="str">
        <f ca="1">IF('Banco de Dados'!$AK1061&lt;&gt;"-","REEMBOLSO",IFERROR(_xlfn.XLOOKUP(G1061,Follow[CODRASTREIO],Follow[STATUS]),"-"))</f>
        <v>ENTREGUE</v>
      </c>
      <c r="AJ1061" s="9">
        <f ca="1">IF('Banco de Dados'!$AI1061="ENTREGUE",_xlfn.XLOOKUP('Banco de Dados'!$G1061,Follow[CODRASTREIO],Follow[DATAATUALIZAÇÃO]),"-")</f>
        <v>45726</v>
      </c>
      <c r="AK1061" s="132" t="str">
        <f ca="1"/>
        <v>-</v>
      </c>
      <c r="AL1061" s="35"/>
      <c r="AM1061" s="109" cm="1">
        <f t="array" aca="1" ref="AM1061" ca="1">IF('Banco de Dados'!$AK1061&lt;&gt;"-",_xlfn.IFS('Banco de Dados'!$A1061="bv",IF('Banco de Dados'!$E1061&lt;45641,ROUND(SUM('Banco de Dados'!$R1061*_xlfn.XLOOKUP('Banco de Dados'!$P1061,Sku!B:B,Sku!#REF!)*20%),2),ROUND(SUM('Banco de Dados'!$R1061*_xlfn.XLOOKUP('Banco de Dados'!$P1061,Sku!B:B,Sku!H:H)*20%),2)),'Banco de Dados'!$A1061="GO",ROUND(SUM('Banco de Dados'!$R1061*_xlfn.XLOOKUP('Banco de Dados'!$P1061,Sku!C:C,Sku!H:H)*20%),2),'Banco de Dados'!$A1061="MEI",ROUND(SUM('Banco de Dados'!$R1061*_xlfn.XLOOKUP('Banco de Dados'!$P1061,Sku!D:D,Sku!H:H)*20%),2)),0)</f>
        <v>0</v>
      </c>
      <c r="AN1061" s="109">
        <f ca="1">IF('Banco de Dados'!$AK1061&lt;&gt;"-",IF('Banco de Dados'!$F1061&lt;&gt;"-",_xlfn.XLOOKUP(IFERROR(IFERROR(IFERROR(VALUE(SUBSTITUTE(MID(_xlfn.TEXTAFTER('Banco de Dados'!$F1061,"Data do Pedido:
",1),1,10),"-","/")),VALUE(SUBSTITUTE(MID(_xlfn.TEXTAFTER('Banco de Dados'!$F1061,"Order date:
",1),1,10),"-","/"))),VALUE(SUBSTITUTE(MID(_xlfn.TEXTAFTER('Banco de Dados'!$F1061,"Fecha de pedido:
",1),1,10),"-","/"))),"-"),SMS!A:A,SMS!K:K),0),0)</f>
        <v>0</v>
      </c>
      <c r="AO1061" s="109">
        <f ca="1">IF('Banco de Dados'!$AK1061&lt;&gt;"-",IF('Banco de Dados'!$F1061&lt;&gt;"-",IFERROR(_xlfn.XLOOKUP(_xlfn.CONCAT('Banco de Dados'!$A1061,IFERROR(IFERROR(VALUE(SUBSTITUTE(MID(_xlfn.TEXTAFTER('Banco de Dados'!$F1061,"Data do Pedido:
",1),1,10),"-","/")),VALUE(SUBSTITUTE(MID(_xlfn.TEXTAFTER('Banco de Dados'!$F1061,"Order date:
",1),1,10),"-","/"))),0)),ProxyDD[Chave],ProxyDD[Valor por pedido]),PROXY!$P$2),0),0)</f>
        <v>0</v>
      </c>
      <c r="AP1061" s="28">
        <f ca="1">IF('Banco de Dados'!$AK1061&lt;&gt;"-",IF('Banco de Dados'!$AL1061="NÃO",IFERROR(VALUE(SUBSTITUTE(_xlfn.TEXTAFTER('Banco de Dados'!$F1061,"BRL ",1),".",",")),0),0),0)</f>
        <v>0</v>
      </c>
      <c r="AQ1061" s="28">
        <f ca="1">SUM('Banco de Dados'!$AM1061:$AP1061)</f>
        <v>0</v>
      </c>
      <c r="AR1061" s="8"/>
      <c r="AY1061" s="8"/>
    </row>
    <row r="1062" spans="1:51">
      <c r="A1062" s="5" t="str">
        <v>MEI</v>
      </c>
      <c r="B1062" s="5" t="str">
        <f ca="1"/>
        <v>MEI45712</v>
      </c>
      <c r="C1062" s="8" t="str">
        <v>Pedido 1049</v>
      </c>
      <c r="D1062" s="187">
        <v>45712</v>
      </c>
      <c r="E1062" s="9">
        <v>45712</v>
      </c>
      <c r="F1062" s="8" t="str">
        <v>PedidoF1028</v>
      </c>
      <c r="G1062" s="2" t="str">
        <v>CódRastreio1026</v>
      </c>
      <c r="H1062" s="5">
        <v>1</v>
      </c>
      <c r="I1062" s="2" t="str">
        <v>CPF 1020</v>
      </c>
      <c r="J1062" s="2" t="str">
        <v>Nome 1020</v>
      </c>
      <c r="K1062" s="8" t="str">
        <v>Tel 1020</v>
      </c>
      <c r="L1062" s="8" t="str">
        <v>Cep 1020</v>
      </c>
      <c r="M1062" s="8" t="str">
        <v>Rua 1020</v>
      </c>
      <c r="N1062" s="8" t="str">
        <v>Comp 1020</v>
      </c>
      <c r="O1062" s="8" t="str">
        <v>Ventilador Preto</v>
      </c>
      <c r="P1062" s="8" t="str">
        <v>WU-SS4J-LFOH</v>
      </c>
      <c r="Q1062" s="4">
        <v>45736</v>
      </c>
      <c r="R1062" s="109">
        <v>65.75</v>
      </c>
      <c r="S1062" s="11">
        <f ca="1"/>
        <v>65.75</v>
      </c>
      <c r="T1062" s="28">
        <f ca="1"/>
        <v>8.5474999999999994</v>
      </c>
      <c r="U1062" s="11">
        <f ca="1"/>
        <v>57.2</v>
      </c>
      <c r="V1062" s="11">
        <v>12.08</v>
      </c>
      <c r="W1062" s="11">
        <f ca="1"/>
        <v>0.2</v>
      </c>
      <c r="X1062" s="11">
        <f ca="1"/>
        <v>0.39877104377104378</v>
      </c>
      <c r="Y1062" s="11">
        <v>0</v>
      </c>
      <c r="Z1062" s="11">
        <f ca="1"/>
        <v>44.52122895622896</v>
      </c>
      <c r="AA1062" s="11">
        <f ca="1"/>
        <v>22.26061447811448</v>
      </c>
      <c r="AB1062" s="4">
        <f ca="1"/>
        <v>45743</v>
      </c>
      <c r="AC1062" s="4">
        <v>45743</v>
      </c>
      <c r="AD1062" s="9">
        <v>45747</v>
      </c>
      <c r="AE1062" s="9">
        <v>45749</v>
      </c>
      <c r="AF1062" s="4" t="str">
        <f t="shared" ca="1" si="65"/>
        <v>2025 03</v>
      </c>
      <c r="AG1062" s="8" t="str" cm="1">
        <f t="array" ref="AG1062">IFERROR(_xlfn.IFS('Banco de Dados'!#REF!="AG. COMPRA","Em processamento",'Banco de Dados'!#REF!="AG. RASTREIO","Em processamento",'Banco de Dados'!$AE1062&lt;&gt;"-","Faturado",'Banco de Dados'!$AD1062&lt;&gt;"-","Aguardando Pix",'Banco de Dados'!$AC1062&lt;&gt;"-","Pendente"),"Aguardando Liberação")</f>
        <v>Aguardando Liberação</v>
      </c>
      <c r="AH1062" s="5" t="str">
        <f>IF('Banco de Dados'!$F1062="-",_xlfn.CONCAT(PROPER(TEXT(AK1062,"aaaa"))," ",PROPER(TEXT(AK1062,"mm"))),_xlfn.CONCAT(PROPER(TEXT(E1062,"aaaa"))," ",PROPER(TEXT(E1062,"mm"))))</f>
        <v>2025 02</v>
      </c>
      <c r="AI1062" s="9" t="str">
        <f ca="1">IF('Banco de Dados'!$AK1062&lt;&gt;"-","REEMBOLSO",IFERROR(_xlfn.XLOOKUP(G1062,Follow[CODRASTREIO],Follow[STATUS]),"-"))</f>
        <v>ENTREGUE</v>
      </c>
      <c r="AJ1062" s="9">
        <f ca="1">IF('Banco de Dados'!$AI1062="ENTREGUE",_xlfn.XLOOKUP('Banco de Dados'!$G1062,Follow[CODRASTREIO],Follow[DATAATUALIZAÇÃO]),"-")</f>
        <v>45722</v>
      </c>
      <c r="AK1062" s="132" t="str">
        <f ca="1"/>
        <v>-</v>
      </c>
      <c r="AL1062" s="35"/>
      <c r="AM1062" s="109" cm="1">
        <f t="array" aca="1" ref="AM1062" ca="1">IF('Banco de Dados'!$AK1062&lt;&gt;"-",_xlfn.IFS('Banco de Dados'!$A1062="bv",IF('Banco de Dados'!$E1062&lt;45641,ROUND(SUM('Banco de Dados'!$R1062*_xlfn.XLOOKUP('Banco de Dados'!$P1062,Sku!B:B,Sku!#REF!)*20%),2),ROUND(SUM('Banco de Dados'!$R1062*_xlfn.XLOOKUP('Banco de Dados'!$P1062,Sku!B:B,Sku!H:H)*20%),2)),'Banco de Dados'!$A1062="GO",ROUND(SUM('Banco de Dados'!$R1062*_xlfn.XLOOKUP('Banco de Dados'!$P1062,Sku!C:C,Sku!H:H)*20%),2),'Banco de Dados'!$A1062="MEI",ROUND(SUM('Banco de Dados'!$R1062*_xlfn.XLOOKUP('Banco de Dados'!$P1062,Sku!D:D,Sku!H:H)*20%),2)),0)</f>
        <v>0</v>
      </c>
      <c r="AN1062" s="109">
        <f ca="1">IF('Banco de Dados'!$AK1062&lt;&gt;"-",IF('Banco de Dados'!$F1062&lt;&gt;"-",_xlfn.XLOOKUP(IFERROR(IFERROR(IFERROR(VALUE(SUBSTITUTE(MID(_xlfn.TEXTAFTER('Banco de Dados'!$F1062,"Data do Pedido:
",1),1,10),"-","/")),VALUE(SUBSTITUTE(MID(_xlfn.TEXTAFTER('Banco de Dados'!$F1062,"Order date:
",1),1,10),"-","/"))),VALUE(SUBSTITUTE(MID(_xlfn.TEXTAFTER('Banco de Dados'!$F1062,"Fecha de pedido:
",1),1,10),"-","/"))),"-"),SMS!A:A,SMS!K:K),0),0)</f>
        <v>0</v>
      </c>
      <c r="AO1062" s="109">
        <f ca="1">IF('Banco de Dados'!$AK1062&lt;&gt;"-",IF('Banco de Dados'!$F1062&lt;&gt;"-",IFERROR(_xlfn.XLOOKUP(_xlfn.CONCAT('Banco de Dados'!$A1062,IFERROR(IFERROR(VALUE(SUBSTITUTE(MID(_xlfn.TEXTAFTER('Banco de Dados'!$F1062,"Data do Pedido:
",1),1,10),"-","/")),VALUE(SUBSTITUTE(MID(_xlfn.TEXTAFTER('Banco de Dados'!$F1062,"Order date:
",1),1,10),"-","/"))),0)),ProxyDD[Chave],ProxyDD[Valor por pedido]),PROXY!$P$2),0),0)</f>
        <v>0</v>
      </c>
      <c r="AP1062" s="28">
        <f ca="1">IF('Banco de Dados'!$AK1062&lt;&gt;"-",IF('Banco de Dados'!$AL1062="NÃO",IFERROR(VALUE(SUBSTITUTE(_xlfn.TEXTAFTER('Banco de Dados'!$F1062,"BRL ",1),".",",")),0),0),0)</f>
        <v>0</v>
      </c>
      <c r="AQ1062" s="28">
        <f ca="1">SUM('Banco de Dados'!$AM1062:$AP1062)</f>
        <v>0</v>
      </c>
      <c r="AR1062" s="8"/>
      <c r="AY1062" s="8"/>
    </row>
    <row r="1063" spans="1:51">
      <c r="A1063" s="5" t="str">
        <v>BV</v>
      </c>
      <c r="B1063" s="5" t="str">
        <f ca="1"/>
        <v>BV45715</v>
      </c>
      <c r="C1063" s="8" t="str">
        <v>Pedido 1050</v>
      </c>
      <c r="D1063" s="9">
        <v>45713</v>
      </c>
      <c r="E1063" s="9">
        <v>45715</v>
      </c>
      <c r="F1063" s="8" t="str">
        <v>PedidoF1029</v>
      </c>
      <c r="G1063" s="2" t="str">
        <v>CódRastreio1027</v>
      </c>
      <c r="H1063" s="5">
        <v>1</v>
      </c>
      <c r="I1063" s="2" t="str">
        <v>CPF 1021</v>
      </c>
      <c r="J1063" s="2" t="str">
        <v>Nome 1021</v>
      </c>
      <c r="K1063" s="8" t="str">
        <v>Tel 1021</v>
      </c>
      <c r="L1063" s="8" t="str">
        <v>Cep 1021</v>
      </c>
      <c r="M1063" s="8" t="str">
        <v>Rua 1021</v>
      </c>
      <c r="N1063" s="8" t="str">
        <v>Comp 1021</v>
      </c>
      <c r="O1063" s="8" t="str">
        <v>Garrafa Termica</v>
      </c>
      <c r="P1063" s="8" t="str">
        <v>FM-QQ8Y-RZT4</v>
      </c>
      <c r="Q1063" s="4">
        <v>45736</v>
      </c>
      <c r="R1063" s="109">
        <v>23.5</v>
      </c>
      <c r="S1063" s="11">
        <f ca="1"/>
        <v>23.5</v>
      </c>
      <c r="T1063" s="28">
        <f ca="1"/>
        <v>3.0550000000000002</v>
      </c>
      <c r="U1063" s="11">
        <f ca="1"/>
        <v>20.45</v>
      </c>
      <c r="V1063" s="11">
        <v>13.8</v>
      </c>
      <c r="W1063" s="11">
        <f ca="1"/>
        <v>0.31</v>
      </c>
      <c r="X1063" s="11">
        <f ca="1"/>
        <v>0.39877104377104378</v>
      </c>
      <c r="Y1063" s="11">
        <v>0</v>
      </c>
      <c r="Z1063" s="11">
        <f ca="1"/>
        <v>5.9412289562289544</v>
      </c>
      <c r="AA1063" s="11">
        <f ca="1"/>
        <v>2.9706144781144772</v>
      </c>
      <c r="AB1063" s="4">
        <f ca="1"/>
        <v>45743</v>
      </c>
      <c r="AC1063" s="4">
        <v>45743</v>
      </c>
      <c r="AD1063" s="9">
        <v>45747</v>
      </c>
      <c r="AE1063" s="9">
        <v>45749</v>
      </c>
      <c r="AF1063" s="4" t="str">
        <f t="shared" ref="AF1063:AF1071" ca="1" si="66">_xlfn.CONCAT(PROPER(TEXT(AB1063,"aaaa"))," ",PROPER(TEXT(AB1063,"mm")))</f>
        <v>2025 03</v>
      </c>
      <c r="AG1063" s="8" t="str" cm="1">
        <f t="array" ref="AG1063">IFERROR(_xlfn.IFS('Banco de Dados'!#REF!="AG. COMPRA","Em processamento",'Banco de Dados'!#REF!="AG. RASTREIO","Em processamento",'Banco de Dados'!$AE1063&lt;&gt;"-","Faturado",'Banco de Dados'!$AD1063&lt;&gt;"-","Aguardando Pix",'Banco de Dados'!$AC1063&lt;&gt;"-","Pendente"),"Aguardando Liberação")</f>
        <v>Aguardando Liberação</v>
      </c>
      <c r="AH1063" s="5" t="str">
        <f>IF('Banco de Dados'!$F1063="-",_xlfn.CONCAT(PROPER(TEXT(AK1063,"aaaa"))," ",PROPER(TEXT(AK1063,"mm"))),_xlfn.CONCAT(PROPER(TEXT(E1063,"aaaa"))," ",PROPER(TEXT(E1063,"mm"))))</f>
        <v>2025 02</v>
      </c>
      <c r="AI1063" s="9" t="str">
        <f ca="1">IF('Banco de Dados'!$AK1063&lt;&gt;"-","REEMBOLSO",IFERROR(_xlfn.XLOOKUP(G1063,Follow[CODRASTREIO],Follow[STATUS]),"-"))</f>
        <v>ENTREGUE</v>
      </c>
      <c r="AJ1063" s="9">
        <f ca="1">IF('Banco de Dados'!$AI1063="ENTREGUE",_xlfn.XLOOKUP('Banco de Dados'!$G1063,Follow[CODRASTREIO],Follow[DATAATUALIZAÇÃO]),"-")</f>
        <v>45726</v>
      </c>
      <c r="AK1063" s="132" t="str">
        <f ca="1"/>
        <v>-</v>
      </c>
      <c r="AL1063" s="35"/>
      <c r="AM1063" s="109" cm="1">
        <f t="array" aca="1" ref="AM1063" ca="1">IF('Banco de Dados'!$AK1063&lt;&gt;"-",_xlfn.IFS('Banco de Dados'!$A1063="bv",IF('Banco de Dados'!$E1063&lt;45641,ROUND(SUM('Banco de Dados'!$R1063*_xlfn.XLOOKUP('Banco de Dados'!$P1063,Sku!B:B,Sku!#REF!)*20%),2),ROUND(SUM('Banco de Dados'!$R1063*_xlfn.XLOOKUP('Banco de Dados'!$P1063,Sku!B:B,Sku!H:H)*20%),2)),'Banco de Dados'!$A1063="GO",ROUND(_xlfn.XLOOKUP('Banco de Dados'!$P1063,Sku!C:C,Sku!H:H),2),'Banco de Dados'!$A1063="MEI",ROUND(_xlfn.XLOOKUP('Banco de Dados'!$P1063,Sku!D:D,Sku!H:H),2)),0)</f>
        <v>0</v>
      </c>
      <c r="AN1063" s="109">
        <f ca="1">IF('Banco de Dados'!$AK1063&lt;&gt;"-",IF('Banco de Dados'!$F1063&lt;&gt;"-",_xlfn.XLOOKUP(IFERROR(IFERROR(IFERROR(VALUE(SUBSTITUTE(MID(_xlfn.TEXTAFTER('Banco de Dados'!$F1063,"Data do Pedido:
",1),1,10),"-","/")),VALUE(SUBSTITUTE(MID(_xlfn.TEXTAFTER('Banco de Dados'!$F1063,"Order date:
",1),1,10),"-","/"))),VALUE(SUBSTITUTE(MID(_xlfn.TEXTAFTER('Banco de Dados'!$F1063,"Fecha de pedido:
",1),1,10),"-","/"))),"-"),SMS!A:A,SMS!K:K),0),0)</f>
        <v>0</v>
      </c>
      <c r="AO1063" s="109">
        <f ca="1">IF('Banco de Dados'!$AK1063&lt;&gt;"-",IF('Banco de Dados'!$F1063&lt;&gt;"-",IFERROR(_xlfn.XLOOKUP(_xlfn.CONCAT('Banco de Dados'!$A1063,IFERROR(IFERROR(VALUE(SUBSTITUTE(MID(_xlfn.TEXTAFTER('Banco de Dados'!$F1063,"Data do Pedido:
",1),1,10),"-","/")),VALUE(SUBSTITUTE(MID(_xlfn.TEXTAFTER('Banco de Dados'!$F1063,"Order date:
",1),1,10),"-","/"))),0)),ProxyDD[Chave],ProxyDD[Valor por pedido]),PROXY!$P$2),0),0)</f>
        <v>0</v>
      </c>
      <c r="AP1063" s="28">
        <f ca="1">IF('Banco de Dados'!$AK1063&lt;&gt;"-",IF('Banco de Dados'!$AL1063="NÃO",IFERROR(VALUE(SUBSTITUTE(_xlfn.TEXTAFTER('Banco de Dados'!$F1063,"BRL ",1),".",",")),0),0),0)</f>
        <v>0</v>
      </c>
      <c r="AQ1063" s="28">
        <f ca="1">SUM('Banco de Dados'!$AM1063:$AP1063)</f>
        <v>0</v>
      </c>
      <c r="AR1063" s="8"/>
      <c r="AY1063" s="8"/>
    </row>
    <row r="1064" spans="1:51">
      <c r="A1064" s="5" t="str">
        <v>BV</v>
      </c>
      <c r="B1064" s="5" t="str">
        <f ca="1"/>
        <v>BV45714</v>
      </c>
      <c r="C1064" s="8" t="str">
        <v>Pedido 1051</v>
      </c>
      <c r="D1064" s="9">
        <v>45713</v>
      </c>
      <c r="E1064" s="9">
        <v>45714</v>
      </c>
      <c r="F1064" s="8" t="str">
        <v>PedidoF1030</v>
      </c>
      <c r="G1064" s="2" t="str">
        <v>CódRastreio1028</v>
      </c>
      <c r="H1064" s="5">
        <v>1</v>
      </c>
      <c r="I1064" s="2" t="str">
        <v>CPF 1022</v>
      </c>
      <c r="J1064" s="2" t="str">
        <v>Nome 1022</v>
      </c>
      <c r="K1064" s="8" t="str">
        <v>Tel 1022</v>
      </c>
      <c r="L1064" s="8" t="str">
        <v>Cep 1022</v>
      </c>
      <c r="M1064" s="8" t="str">
        <v>Rua 1022</v>
      </c>
      <c r="N1064" s="8" t="str">
        <v>Comp 1022</v>
      </c>
      <c r="O1064" s="8" t="str">
        <v>Copo Termico</v>
      </c>
      <c r="P1064" s="8" t="str">
        <v>KN-TBQL-K2MM</v>
      </c>
      <c r="Q1064" s="4">
        <v>45731</v>
      </c>
      <c r="R1064" s="109">
        <v>23.9</v>
      </c>
      <c r="S1064" s="11">
        <f ca="1"/>
        <v>23.9</v>
      </c>
      <c r="T1064" s="28">
        <f ca="1"/>
        <v>3.1069999999999998</v>
      </c>
      <c r="U1064" s="11">
        <f ca="1"/>
        <v>20.79</v>
      </c>
      <c r="V1064" s="11">
        <v>6.99</v>
      </c>
      <c r="W1064" s="11">
        <f ca="1"/>
        <v>0.25</v>
      </c>
      <c r="X1064" s="11">
        <f ca="1"/>
        <v>0.39877104377104378</v>
      </c>
      <c r="Y1064" s="11">
        <v>0</v>
      </c>
      <c r="Z1064" s="11">
        <f ca="1"/>
        <v>13.151228956228955</v>
      </c>
      <c r="AA1064" s="11">
        <f ca="1"/>
        <v>6.5756144781144776</v>
      </c>
      <c r="AB1064" s="4">
        <f ca="1"/>
        <v>45738</v>
      </c>
      <c r="AC1064" s="4">
        <v>45738</v>
      </c>
      <c r="AD1064" s="9">
        <v>45747</v>
      </c>
      <c r="AE1064" s="9">
        <v>45749</v>
      </c>
      <c r="AF1064" s="4" t="str">
        <f t="shared" ca="1" si="66"/>
        <v>2025 03</v>
      </c>
      <c r="AG1064" s="8" t="str" cm="1">
        <f t="array" ref="AG1064">IFERROR(_xlfn.IFS('Banco de Dados'!#REF!="AG. COMPRA","Em processamento",'Banco de Dados'!#REF!="AG. RASTREIO","Em processamento",'Banco de Dados'!$AE1064&lt;&gt;"-","Faturado",'Banco de Dados'!$AD1064&lt;&gt;"-","Aguardando Pix",'Banco de Dados'!$AC1064&lt;&gt;"-","Pendente"),"Aguardando Liberação")</f>
        <v>Aguardando Liberação</v>
      </c>
      <c r="AH1064" s="5" t="str">
        <f>IF('Banco de Dados'!$F1064="-",_xlfn.CONCAT(PROPER(TEXT(AK1064,"aaaa"))," ",PROPER(TEXT(AK1064,"mm"))),_xlfn.CONCAT(PROPER(TEXT(E1064,"aaaa"))," ",PROPER(TEXT(E1064,"mm"))))</f>
        <v>2025 02</v>
      </c>
      <c r="AI1064" s="9" t="str">
        <f ca="1">IF('Banco de Dados'!$AK1064&lt;&gt;"-","REEMBOLSO",IFERROR(_xlfn.XLOOKUP(G1064,Follow[CODRASTREIO],Follow[STATUS]),"-"))</f>
        <v>ENTREGUE</v>
      </c>
      <c r="AJ1064" s="9">
        <f ca="1">IF('Banco de Dados'!$AI1064="ENTREGUE",_xlfn.XLOOKUP('Banco de Dados'!$G1064,Follow[CODRASTREIO],Follow[DATAATUALIZAÇÃO]),"-")</f>
        <v>45716</v>
      </c>
      <c r="AK1064" s="132" t="str">
        <f ca="1"/>
        <v>-</v>
      </c>
      <c r="AL1064" s="35"/>
      <c r="AM1064" s="109" cm="1">
        <f t="array" aca="1" ref="AM1064" ca="1">IF('Banco de Dados'!$AK1064&lt;&gt;"-",_xlfn.IFS('Banco de Dados'!$A1064="bv",IF('Banco de Dados'!$E1064&lt;45641,ROUND(SUM('Banco de Dados'!$R1064*_xlfn.XLOOKUP('Banco de Dados'!$P1064,Sku!B:B,Sku!#REF!)*20%),2),ROUND(SUM('Banco de Dados'!$R1064*_xlfn.XLOOKUP('Banco de Dados'!$P1064,Sku!B:B,Sku!H:H)*20%),2)),'Banco de Dados'!$A1064="GO",ROUND(_xlfn.XLOOKUP('Banco de Dados'!$P1064,Sku!C:C,Sku!H:H),2),'Banco de Dados'!$A1064="MEI",ROUND(_xlfn.XLOOKUP('Banco de Dados'!$P1064,Sku!D:D,Sku!H:H),2)),0)</f>
        <v>0</v>
      </c>
      <c r="AN1064" s="109">
        <f ca="1">IF('Banco de Dados'!$AK1064&lt;&gt;"-",IF('Banco de Dados'!$F1064&lt;&gt;"-",_xlfn.XLOOKUP(IFERROR(IFERROR(IFERROR(VALUE(SUBSTITUTE(MID(_xlfn.TEXTAFTER('Banco de Dados'!$F1064,"Data do Pedido:
",1),1,10),"-","/")),VALUE(SUBSTITUTE(MID(_xlfn.TEXTAFTER('Banco de Dados'!$F1064,"Order date:
",1),1,10),"-","/"))),VALUE(SUBSTITUTE(MID(_xlfn.TEXTAFTER('Banco de Dados'!$F1064,"Fecha de pedido:
",1),1,10),"-","/"))),"-"),SMS!A:A,SMS!K:K),0),0)</f>
        <v>0</v>
      </c>
      <c r="AO1064" s="109">
        <f ca="1">IF('Banco de Dados'!$AK1064&lt;&gt;"-",IF('Banco de Dados'!$F1064&lt;&gt;"-",IFERROR(_xlfn.XLOOKUP(_xlfn.CONCAT('Banco de Dados'!$A1064,IFERROR(IFERROR(VALUE(SUBSTITUTE(MID(_xlfn.TEXTAFTER('Banco de Dados'!$F1064,"Data do Pedido:
",1),1,10),"-","/")),VALUE(SUBSTITUTE(MID(_xlfn.TEXTAFTER('Banco de Dados'!$F1064,"Order date:
",1),1,10),"-","/"))),0)),ProxyDD[Chave],ProxyDD[Valor por pedido]),PROXY!$P$2),0),0)</f>
        <v>0</v>
      </c>
      <c r="AP1064" s="28">
        <f ca="1">IF('Banco de Dados'!$AK1064&lt;&gt;"-",IF('Banco de Dados'!$AL1064="NÃO",IFERROR(VALUE(SUBSTITUTE(_xlfn.TEXTAFTER('Banco de Dados'!$F1064,"BRL ",1),".",",")),0),0),0)</f>
        <v>0</v>
      </c>
      <c r="AQ1064" s="28">
        <f ca="1">SUM('Banco de Dados'!$AM1064:$AP1064)</f>
        <v>0</v>
      </c>
      <c r="AR1064" s="8"/>
      <c r="AY1064" s="8"/>
    </row>
    <row r="1065" spans="1:51">
      <c r="A1065" s="5" t="str">
        <v>BV</v>
      </c>
      <c r="B1065" s="5" t="str">
        <f ca="1"/>
        <v>BV45714</v>
      </c>
      <c r="C1065" s="8" t="str">
        <v>Pedido 1052</v>
      </c>
      <c r="D1065" s="9">
        <v>45713</v>
      </c>
      <c r="E1065" s="9">
        <v>45714</v>
      </c>
      <c r="F1065" s="8" t="str">
        <v>PedidoF1031</v>
      </c>
      <c r="G1065" s="2" t="str">
        <v>CódRastreio1029</v>
      </c>
      <c r="H1065" s="5">
        <v>1</v>
      </c>
      <c r="I1065" s="2" t="str">
        <v>CPF 1023</v>
      </c>
      <c r="J1065" s="2" t="str">
        <v>Nome 1023</v>
      </c>
      <c r="K1065" s="8" t="str">
        <v>Tel 1023</v>
      </c>
      <c r="L1065" s="8" t="str">
        <v>Cep 1023</v>
      </c>
      <c r="M1065" s="8" t="str">
        <v>Rua 1023</v>
      </c>
      <c r="N1065" s="8" t="str">
        <v>Comp 1023</v>
      </c>
      <c r="O1065" s="8" t="str">
        <v>Lampada Led</v>
      </c>
      <c r="P1065" s="8" t="str">
        <v>RB-W251-UXV2</v>
      </c>
      <c r="Q1065" s="4">
        <v>45731</v>
      </c>
      <c r="R1065" s="109">
        <v>26.99</v>
      </c>
      <c r="S1065" s="11">
        <f ca="1"/>
        <v>26.99</v>
      </c>
      <c r="T1065" s="28">
        <f ca="1"/>
        <v>3.5086999999999997</v>
      </c>
      <c r="U1065" s="11">
        <f ca="1"/>
        <v>23.48</v>
      </c>
      <c r="V1065" s="11">
        <v>14.4</v>
      </c>
      <c r="W1065" s="11">
        <f ca="1"/>
        <v>0.25</v>
      </c>
      <c r="X1065" s="11">
        <f ca="1"/>
        <v>0.39877104377104378</v>
      </c>
      <c r="Y1065" s="11">
        <v>0</v>
      </c>
      <c r="Z1065" s="11">
        <f ca="1"/>
        <v>8.4312289562289564</v>
      </c>
      <c r="AA1065" s="11">
        <f ca="1"/>
        <v>4.2156144781144782</v>
      </c>
      <c r="AB1065" s="4">
        <f ca="1"/>
        <v>45738</v>
      </c>
      <c r="AC1065" s="4">
        <v>45738</v>
      </c>
      <c r="AD1065" s="9">
        <v>45747</v>
      </c>
      <c r="AE1065" s="9">
        <v>45749</v>
      </c>
      <c r="AF1065" s="4" t="str">
        <f t="shared" ca="1" si="66"/>
        <v>2025 03</v>
      </c>
      <c r="AG1065" s="8" t="str" cm="1">
        <f t="array" ref="AG1065">IFERROR(_xlfn.IFS('Banco de Dados'!#REF!="AG. COMPRA","Em processamento",'Banco de Dados'!#REF!="AG. RASTREIO","Em processamento",'Banco de Dados'!$AE1065&lt;&gt;"-","Faturado",'Banco de Dados'!$AD1065&lt;&gt;"-","Aguardando Pix",'Banco de Dados'!$AC1065&lt;&gt;"-","Pendente"),"Aguardando Liberação")</f>
        <v>Aguardando Liberação</v>
      </c>
      <c r="AH1065" s="5" t="str">
        <f>IF('Banco de Dados'!$F1065="-",_xlfn.CONCAT(PROPER(TEXT(AK1065,"aaaa"))," ",PROPER(TEXT(AK1065,"mm"))),_xlfn.CONCAT(PROPER(TEXT(E1065,"aaaa"))," ",PROPER(TEXT(E1065,"mm"))))</f>
        <v>2025 02</v>
      </c>
      <c r="AI1065" s="9" t="str">
        <f ca="1">IF('Banco de Dados'!$AK1065&lt;&gt;"-","REEMBOLSO",IFERROR(_xlfn.XLOOKUP(G1065,Follow[CODRASTREIO],Follow[STATUS]),"-"))</f>
        <v>ENTREGUE</v>
      </c>
      <c r="AJ1065" s="9">
        <f ca="1">IF('Banco de Dados'!$AI1065="ENTREGUE",_xlfn.XLOOKUP('Banco de Dados'!$G1065,Follow[CODRASTREIO],Follow[DATAATUALIZAÇÃO]),"-")</f>
        <v>45722</v>
      </c>
      <c r="AK1065" s="132" t="str">
        <f ca="1"/>
        <v>-</v>
      </c>
      <c r="AL1065" s="35"/>
      <c r="AM1065" s="109" cm="1">
        <f t="array" aca="1" ref="AM1065" ca="1">IF('Banco de Dados'!$AK1065&lt;&gt;"-",_xlfn.IFS('Banco de Dados'!$A1065="bv",IF('Banco de Dados'!$E1065&lt;45641,ROUND(SUM('Banco de Dados'!$R1065*_xlfn.XLOOKUP('Banco de Dados'!$P1065,Sku!B:B,Sku!#REF!)*20%),2),ROUND(SUM('Banco de Dados'!$R1065*_xlfn.XLOOKUP('Banco de Dados'!$P1065,Sku!B:B,Sku!H:H)*20%),2)),'Banco de Dados'!$A1065="GO",ROUND(_xlfn.XLOOKUP('Banco de Dados'!$P1065,Sku!C:C,Sku!H:H),2),'Banco de Dados'!$A1065="MEI",ROUND(_xlfn.XLOOKUP('Banco de Dados'!$P1065,Sku!D:D,Sku!H:H),2)),0)</f>
        <v>0</v>
      </c>
      <c r="AN1065" s="109">
        <f ca="1">IF('Banco de Dados'!$AK1065&lt;&gt;"-",IF('Banco de Dados'!$F1065&lt;&gt;"-",_xlfn.XLOOKUP(IFERROR(IFERROR(IFERROR(VALUE(SUBSTITUTE(MID(_xlfn.TEXTAFTER('Banco de Dados'!$F1065,"Data do Pedido:
",1),1,10),"-","/")),VALUE(SUBSTITUTE(MID(_xlfn.TEXTAFTER('Banco de Dados'!$F1065,"Order date:
",1),1,10),"-","/"))),VALUE(SUBSTITUTE(MID(_xlfn.TEXTAFTER('Banco de Dados'!$F1065,"Fecha de pedido:
",1),1,10),"-","/"))),"-"),SMS!A:A,SMS!K:K),0),0)</f>
        <v>0</v>
      </c>
      <c r="AO1065" s="109">
        <f ca="1">IF('Banco de Dados'!$AK1065&lt;&gt;"-",IF('Banco de Dados'!$F1065&lt;&gt;"-",IFERROR(_xlfn.XLOOKUP(_xlfn.CONCAT('Banco de Dados'!$A1065,IFERROR(IFERROR(VALUE(SUBSTITUTE(MID(_xlfn.TEXTAFTER('Banco de Dados'!$F1065,"Data do Pedido:
",1),1,10),"-","/")),VALUE(SUBSTITUTE(MID(_xlfn.TEXTAFTER('Banco de Dados'!$F1065,"Order date:
",1),1,10),"-","/"))),0)),ProxyDD[Chave],ProxyDD[Valor por pedido]),PROXY!$P$2),0),0)</f>
        <v>0</v>
      </c>
      <c r="AP1065" s="28">
        <f ca="1">IF('Banco de Dados'!$AK1065&lt;&gt;"-",IF('Banco de Dados'!$AL1065="NÃO",IFERROR(VALUE(SUBSTITUTE(_xlfn.TEXTAFTER('Banco de Dados'!$F1065,"BRL ",1),".",",")),0),0),0)</f>
        <v>0</v>
      </c>
      <c r="AQ1065" s="28">
        <f ca="1">SUM('Banco de Dados'!$AM1065:$AP1065)</f>
        <v>0</v>
      </c>
      <c r="AR1065" s="8"/>
      <c r="AY1065" s="8"/>
    </row>
    <row r="1066" spans="1:51">
      <c r="A1066" s="5" t="str">
        <v>BV</v>
      </c>
      <c r="B1066" s="5" t="str">
        <f ca="1"/>
        <v>BV45714</v>
      </c>
      <c r="C1066" s="8" t="str">
        <v>Pedido 1053</v>
      </c>
      <c r="D1066" s="9">
        <v>45714</v>
      </c>
      <c r="E1066" s="9">
        <v>45714</v>
      </c>
      <c r="F1066" s="8" t="str">
        <v>PedidoF1032</v>
      </c>
      <c r="G1066" s="2" t="str">
        <v>CódRastreio1030</v>
      </c>
      <c r="H1066" s="5">
        <v>1</v>
      </c>
      <c r="I1066" s="2" t="str">
        <v>CPF 1024</v>
      </c>
      <c r="J1066" s="2" t="str">
        <v>Nome 1024</v>
      </c>
      <c r="K1066" s="8" t="str">
        <v>Tel 1024</v>
      </c>
      <c r="L1066" s="8" t="str">
        <v>Cep 1024</v>
      </c>
      <c r="M1066" s="8" t="str">
        <v>Rua 1024</v>
      </c>
      <c r="N1066" s="8" t="str">
        <v>Comp 1024</v>
      </c>
      <c r="O1066" s="8" t="str">
        <v>Ventilador de teto</v>
      </c>
      <c r="P1066" s="8" t="str">
        <v>BP-NHG2-B8C1</v>
      </c>
      <c r="Q1066" s="4">
        <v>45738</v>
      </c>
      <c r="R1066" s="109">
        <v>70.5</v>
      </c>
      <c r="S1066" s="11">
        <f ca="1"/>
        <v>70.5</v>
      </c>
      <c r="T1066" s="28">
        <f ca="1"/>
        <v>9.1650000000000009</v>
      </c>
      <c r="U1066" s="11">
        <f ca="1"/>
        <v>61.34</v>
      </c>
      <c r="V1066" s="11">
        <v>31.47</v>
      </c>
      <c r="W1066" s="11">
        <f ca="1"/>
        <v>0.25</v>
      </c>
      <c r="X1066" s="11">
        <f ca="1"/>
        <v>0.39877104377104378</v>
      </c>
      <c r="Y1066" s="11">
        <v>0</v>
      </c>
      <c r="Z1066" s="11">
        <f ca="1"/>
        <v>29.221228956228963</v>
      </c>
      <c r="AA1066" s="11">
        <f ca="1"/>
        <v>14.610614478114481</v>
      </c>
      <c r="AB1066" s="4">
        <f ca="1"/>
        <v>45745</v>
      </c>
      <c r="AC1066" s="4">
        <v>45745</v>
      </c>
      <c r="AD1066" s="9">
        <v>45747</v>
      </c>
      <c r="AE1066" s="9">
        <v>45749</v>
      </c>
      <c r="AF1066" s="4" t="str">
        <f t="shared" ca="1" si="66"/>
        <v>2025 03</v>
      </c>
      <c r="AG1066" s="8" t="str" cm="1">
        <f t="array" ref="AG1066">IFERROR(_xlfn.IFS('Banco de Dados'!#REF!="AG. COMPRA","Em processamento",'Banco de Dados'!#REF!="AG. RASTREIO","Em processamento",'Banco de Dados'!$AE1066&lt;&gt;"-","Faturado",'Banco de Dados'!$AD1066&lt;&gt;"-","Aguardando Pix",'Banco de Dados'!$AC1066&lt;&gt;"-","Pendente"),"Aguardando Liberação")</f>
        <v>Aguardando Liberação</v>
      </c>
      <c r="AH1066" s="5" t="str">
        <f>IF('Banco de Dados'!$F1066="-",_xlfn.CONCAT(PROPER(TEXT(AK1066,"aaaa"))," ",PROPER(TEXT(AK1066,"mm"))),_xlfn.CONCAT(PROPER(TEXT(E1066,"aaaa"))," ",PROPER(TEXT(E1066,"mm"))))</f>
        <v>2025 02</v>
      </c>
      <c r="AI1066" s="9" t="str">
        <f ca="1">IF('Banco de Dados'!$AK1066&lt;&gt;"-","REEMBOLSO",IFERROR(_xlfn.XLOOKUP(G1066,Follow[CODRASTREIO],Follow[STATUS]),"-"))</f>
        <v>ENTREGUE</v>
      </c>
      <c r="AJ1066" s="9">
        <f ca="1">IF('Banco de Dados'!$AI1066="ENTREGUE",_xlfn.XLOOKUP('Banco de Dados'!$G1066,Follow[CODRASTREIO],Follow[DATAATUALIZAÇÃO]),"-")</f>
        <v>45729</v>
      </c>
      <c r="AK1066" s="132" t="str">
        <f ca="1"/>
        <v>-</v>
      </c>
      <c r="AL1066" s="35"/>
      <c r="AM1066" s="109" cm="1">
        <f t="array" aca="1" ref="AM1066" ca="1">IF('Banco de Dados'!$AK1066&lt;&gt;"-",_xlfn.IFS('Banco de Dados'!$A1066="bv",IF('Banco de Dados'!$E1066&lt;45641,ROUND(SUM('Banco de Dados'!$R1066*_xlfn.XLOOKUP('Banco de Dados'!$P1066,Sku!B:B,Sku!#REF!)*20%),2),ROUND(SUM('Banco de Dados'!$R1066*_xlfn.XLOOKUP('Banco de Dados'!$P1066,Sku!B:B,Sku!H:H)*20%),2)),'Banco de Dados'!$A1066="GO",ROUND(_xlfn.XLOOKUP('Banco de Dados'!$P1066,Sku!C:C,Sku!H:H),2),'Banco de Dados'!$A1066="MEI",ROUND(_xlfn.XLOOKUP('Banco de Dados'!$P1066,Sku!D:D,Sku!H:H),2)),0)</f>
        <v>0</v>
      </c>
      <c r="AN1066" s="109">
        <f ca="1">IF('Banco de Dados'!$AK1066&lt;&gt;"-",IF('Banco de Dados'!$F1066&lt;&gt;"-",_xlfn.XLOOKUP(IFERROR(IFERROR(IFERROR(VALUE(SUBSTITUTE(MID(_xlfn.TEXTAFTER('Banco de Dados'!$F1066,"Data do Pedido:
",1),1,10),"-","/")),VALUE(SUBSTITUTE(MID(_xlfn.TEXTAFTER('Banco de Dados'!$F1066,"Order date:
",1),1,10),"-","/"))),VALUE(SUBSTITUTE(MID(_xlfn.TEXTAFTER('Banco de Dados'!$F1066,"Fecha de pedido:
",1),1,10),"-","/"))),"-"),SMS!A:A,SMS!K:K),0),0)</f>
        <v>0</v>
      </c>
      <c r="AO1066" s="109">
        <f ca="1">IF('Banco de Dados'!$AK1066&lt;&gt;"-",IF('Banco de Dados'!$F1066&lt;&gt;"-",IFERROR(_xlfn.XLOOKUP(_xlfn.CONCAT('Banco de Dados'!$A1066,IFERROR(IFERROR(VALUE(SUBSTITUTE(MID(_xlfn.TEXTAFTER('Banco de Dados'!$F1066,"Data do Pedido:
",1),1,10),"-","/")),VALUE(SUBSTITUTE(MID(_xlfn.TEXTAFTER('Banco de Dados'!$F1066,"Order date:
",1),1,10),"-","/"))),0)),ProxyDD[Chave],ProxyDD[Valor por pedido]),PROXY!$P$2),0),0)</f>
        <v>0</v>
      </c>
      <c r="AP1066" s="28">
        <f ca="1">IF('Banco de Dados'!$AK1066&lt;&gt;"-",IF('Banco de Dados'!$AL1066="NÃO",IFERROR(VALUE(SUBSTITUTE(_xlfn.TEXTAFTER('Banco de Dados'!$F1066,"BRL ",1),".",",")),0),0),0)</f>
        <v>0</v>
      </c>
      <c r="AQ1066" s="28">
        <f ca="1">SUM('Banco de Dados'!$AM1066:$AP1066)</f>
        <v>0</v>
      </c>
      <c r="AR1066" s="8"/>
      <c r="AY1066" s="8"/>
    </row>
    <row r="1067" spans="1:51">
      <c r="A1067" s="5" t="str">
        <v>BV</v>
      </c>
      <c r="B1067" s="5" t="str">
        <f ca="1"/>
        <v>BV45714</v>
      </c>
      <c r="C1067" s="8" t="str">
        <v>Pedido 1054</v>
      </c>
      <c r="D1067" s="9">
        <v>45714</v>
      </c>
      <c r="E1067" s="9">
        <v>45714</v>
      </c>
      <c r="F1067" s="8" t="str">
        <v>PedidoF1033</v>
      </c>
      <c r="G1067" s="2" t="str">
        <v>CódRastreio1031</v>
      </c>
      <c r="H1067" s="5">
        <v>1</v>
      </c>
      <c r="I1067" s="2" t="str">
        <v>CPF 1025</v>
      </c>
      <c r="J1067" s="2" t="str">
        <v>Nome 1025</v>
      </c>
      <c r="K1067" s="8" t="str">
        <v>Tel 1025</v>
      </c>
      <c r="L1067" s="8" t="str">
        <v>Cep 1025</v>
      </c>
      <c r="M1067" s="8" t="str">
        <v>Rua 1025</v>
      </c>
      <c r="N1067" s="8" t="str">
        <v>Comp 1025</v>
      </c>
      <c r="O1067" s="8" t="str">
        <v>Ventilador Rosa</v>
      </c>
      <c r="P1067" s="8" t="str">
        <v>IF-G2ZQ-79FO</v>
      </c>
      <c r="Q1067" s="4">
        <v>45738</v>
      </c>
      <c r="R1067" s="109">
        <v>61.8</v>
      </c>
      <c r="S1067" s="11">
        <f ca="1"/>
        <v>61.8</v>
      </c>
      <c r="T1067" s="28">
        <f ca="1"/>
        <v>8.0340000000000007</v>
      </c>
      <c r="U1067" s="11">
        <f ca="1"/>
        <v>53.77</v>
      </c>
      <c r="V1067" s="11">
        <v>13.16</v>
      </c>
      <c r="W1067" s="11">
        <f ca="1"/>
        <v>0.25</v>
      </c>
      <c r="X1067" s="11">
        <f ca="1"/>
        <v>0.39877104377104378</v>
      </c>
      <c r="Y1067" s="11">
        <v>0</v>
      </c>
      <c r="Z1067" s="11">
        <f ca="1"/>
        <v>39.961228956228958</v>
      </c>
      <c r="AA1067" s="11">
        <f ca="1"/>
        <v>19.980614478114479</v>
      </c>
      <c r="AB1067" s="4">
        <f ca="1"/>
        <v>45745</v>
      </c>
      <c r="AC1067" s="4">
        <v>45745</v>
      </c>
      <c r="AD1067" s="9">
        <v>45747</v>
      </c>
      <c r="AE1067" s="9">
        <v>45749</v>
      </c>
      <c r="AF1067" s="4" t="str">
        <f t="shared" ca="1" si="66"/>
        <v>2025 03</v>
      </c>
      <c r="AG1067" s="8" t="str" cm="1">
        <f t="array" ref="AG1067">IFERROR(_xlfn.IFS('Banco de Dados'!#REF!="AG. COMPRA","Em processamento",'Banco de Dados'!#REF!="AG. RASTREIO","Em processamento",'Banco de Dados'!$AE1067&lt;&gt;"-","Faturado",'Banco de Dados'!$AD1067&lt;&gt;"-","Aguardando Pix",'Banco de Dados'!$AC1067&lt;&gt;"-","Pendente"),"Aguardando Liberação")</f>
        <v>Aguardando Liberação</v>
      </c>
      <c r="AH1067" s="5" t="str">
        <f>IF('Banco de Dados'!$F1067="-",_xlfn.CONCAT(PROPER(TEXT(AK1067,"aaaa"))," ",PROPER(TEXT(AK1067,"mm"))),_xlfn.CONCAT(PROPER(TEXT(E1067,"aaaa"))," ",PROPER(TEXT(E1067,"mm"))))</f>
        <v>2025 02</v>
      </c>
      <c r="AI1067" s="9" t="str">
        <f ca="1">IF('Banco de Dados'!$AK1067&lt;&gt;"-","REEMBOLSO",IFERROR(_xlfn.XLOOKUP(G1067,Follow[CODRASTREIO],Follow[STATUS]),"-"))</f>
        <v>ENTREGUE</v>
      </c>
      <c r="AJ1067" s="9">
        <f ca="1">IF('Banco de Dados'!$AI1067="ENTREGUE",_xlfn.XLOOKUP('Banco de Dados'!$G1067,Follow[CODRASTREIO],Follow[DATAATUALIZAÇÃO]),"-")</f>
        <v>45728.609050925923</v>
      </c>
      <c r="AK1067" s="132" t="str">
        <f ca="1"/>
        <v>-</v>
      </c>
      <c r="AL1067" s="35"/>
      <c r="AM1067" s="109" cm="1">
        <f t="array" aca="1" ref="AM1067" ca="1">IF('Banco de Dados'!$AK1067&lt;&gt;"-",_xlfn.IFS('Banco de Dados'!$A1067="bv",IF('Banco de Dados'!$E1067&lt;45641,ROUND(SUM('Banco de Dados'!$R1067*_xlfn.XLOOKUP('Banco de Dados'!$P1067,Sku!B:B,Sku!#REF!)*20%),2),ROUND(SUM('Banco de Dados'!$R1067*_xlfn.XLOOKUP('Banco de Dados'!$P1067,Sku!B:B,Sku!H:H)*20%),2)),'Banco de Dados'!$A1067="GO",ROUND(_xlfn.XLOOKUP('Banco de Dados'!$P1067,Sku!C:C,Sku!H:H),2),'Banco de Dados'!$A1067="MEI",ROUND(_xlfn.XLOOKUP('Banco de Dados'!$P1067,Sku!D:D,Sku!H:H),2)),0)</f>
        <v>0</v>
      </c>
      <c r="AN1067" s="109">
        <f ca="1">IF('Banco de Dados'!$AK1067&lt;&gt;"-",IF('Banco de Dados'!$F1067&lt;&gt;"-",_xlfn.XLOOKUP(IFERROR(IFERROR(IFERROR(VALUE(SUBSTITUTE(MID(_xlfn.TEXTAFTER('Banco de Dados'!$F1067,"Data do Pedido:
",1),1,10),"-","/")),VALUE(SUBSTITUTE(MID(_xlfn.TEXTAFTER('Banco de Dados'!$F1067,"Order date:
",1),1,10),"-","/"))),VALUE(SUBSTITUTE(MID(_xlfn.TEXTAFTER('Banco de Dados'!$F1067,"Fecha de pedido:
",1),1,10),"-","/"))),"-"),SMS!A:A,SMS!K:K),0),0)</f>
        <v>0</v>
      </c>
      <c r="AO1067" s="109">
        <f ca="1">IF('Banco de Dados'!$AK1067&lt;&gt;"-",IF('Banco de Dados'!$F1067&lt;&gt;"-",IFERROR(_xlfn.XLOOKUP(_xlfn.CONCAT('Banco de Dados'!$A1067,IFERROR(IFERROR(VALUE(SUBSTITUTE(MID(_xlfn.TEXTAFTER('Banco de Dados'!$F1067,"Data do Pedido:
",1),1,10),"-","/")),VALUE(SUBSTITUTE(MID(_xlfn.TEXTAFTER('Banco de Dados'!$F1067,"Order date:
",1),1,10),"-","/"))),0)),ProxyDD[Chave],ProxyDD[Valor por pedido]),PROXY!$P$2),0),0)</f>
        <v>0</v>
      </c>
      <c r="AP1067" s="28">
        <f ca="1">IF('Banco de Dados'!$AK1067&lt;&gt;"-",IF('Banco de Dados'!$AL1067="NÃO",IFERROR(VALUE(SUBSTITUTE(_xlfn.TEXTAFTER('Banco de Dados'!$F1067,"BRL ",1),".",",")),0),0),0)</f>
        <v>0</v>
      </c>
      <c r="AQ1067" s="28">
        <f ca="1">SUM('Banco de Dados'!$AM1067:$AP1067)</f>
        <v>0</v>
      </c>
      <c r="AR1067" s="8"/>
      <c r="AY1067" s="8"/>
    </row>
    <row r="1068" spans="1:51">
      <c r="A1068" s="5" t="str">
        <v>MEI</v>
      </c>
      <c r="B1068" s="5" t="str">
        <f ca="1"/>
        <v>MEI45714</v>
      </c>
      <c r="C1068" s="8" t="str">
        <v>Pedido 1055</v>
      </c>
      <c r="D1068" s="187">
        <v>45714</v>
      </c>
      <c r="E1068" s="9">
        <v>45714</v>
      </c>
      <c r="F1068" s="8" t="str">
        <v>PedidoF1034</v>
      </c>
      <c r="G1068" s="2" t="str">
        <v>CódRastreio1032</v>
      </c>
      <c r="H1068" s="5">
        <v>1</v>
      </c>
      <c r="I1068" s="2" t="str">
        <v>CPF 1026</v>
      </c>
      <c r="J1068" s="2" t="str">
        <v>Nome 1026</v>
      </c>
      <c r="K1068" s="8" t="str">
        <v>Tel 1026</v>
      </c>
      <c r="L1068" s="8" t="str">
        <v>Cep 1026</v>
      </c>
      <c r="M1068" s="8" t="str">
        <v>Rua 1026</v>
      </c>
      <c r="N1068" s="8" t="str">
        <v>Comp 1026</v>
      </c>
      <c r="O1068" s="8" t="str">
        <v>Mini Liquidificador</v>
      </c>
      <c r="P1068" s="8" t="str">
        <v>A4-5W51-K3HF</v>
      </c>
      <c r="Q1068" s="4">
        <v>45731</v>
      </c>
      <c r="R1068" s="109">
        <v>30.95</v>
      </c>
      <c r="S1068" s="11">
        <f ca="1"/>
        <v>30.95</v>
      </c>
      <c r="T1068" s="28">
        <f ca="1"/>
        <v>4.3330000000000002</v>
      </c>
      <c r="U1068" s="11">
        <f ca="1"/>
        <v>26.62</v>
      </c>
      <c r="V1068" s="11">
        <v>14.99</v>
      </c>
      <c r="W1068" s="11">
        <f ca="1"/>
        <v>0.25</v>
      </c>
      <c r="X1068" s="11">
        <f ca="1"/>
        <v>0.39877104377104378</v>
      </c>
      <c r="Y1068" s="11">
        <v>0</v>
      </c>
      <c r="Z1068" s="11">
        <f ca="1"/>
        <v>10.981228956228957</v>
      </c>
      <c r="AA1068" s="11">
        <f ca="1"/>
        <v>5.4906144781144786</v>
      </c>
      <c r="AB1068" s="4">
        <f ca="1"/>
        <v>45738</v>
      </c>
      <c r="AC1068" s="4">
        <v>45738</v>
      </c>
      <c r="AD1068" s="9">
        <v>45747</v>
      </c>
      <c r="AE1068" s="9">
        <v>45749</v>
      </c>
      <c r="AF1068" s="4" t="str">
        <f t="shared" ca="1" si="66"/>
        <v>2025 03</v>
      </c>
      <c r="AG1068" s="8" t="str" cm="1">
        <f t="array" ref="AG1068">IFERROR(_xlfn.IFS('Banco de Dados'!#REF!="AG. COMPRA","Em processamento",'Banco de Dados'!#REF!="AG. RASTREIO","Em processamento",'Banco de Dados'!$AE1068&lt;&gt;"-","Faturado",'Banco de Dados'!$AD1068&lt;&gt;"-","Aguardando Pix",'Banco de Dados'!$AC1068&lt;&gt;"-","Pendente"),"Aguardando Liberação")</f>
        <v>Aguardando Liberação</v>
      </c>
      <c r="AH1068" s="5" t="str">
        <f>IF('Banco de Dados'!$F1068="-",_xlfn.CONCAT(PROPER(TEXT(AK1068,"aaaa"))," ",PROPER(TEXT(AK1068,"mm"))),_xlfn.CONCAT(PROPER(TEXT(E1068,"aaaa"))," ",PROPER(TEXT(E1068,"mm"))))</f>
        <v>2025 02</v>
      </c>
      <c r="AI1068" s="9" t="str">
        <f ca="1">IF('Banco de Dados'!$AK1068&lt;&gt;"-","REEMBOLSO",IFERROR(_xlfn.XLOOKUP(G1068,Follow[CODRASTREIO],Follow[STATUS]),"-"))</f>
        <v>ENTREGUE</v>
      </c>
      <c r="AJ1068" s="9">
        <f ca="1">IF('Banco de Dados'!$AI1068="ENTREGUE",_xlfn.XLOOKUP('Banco de Dados'!$G1068,Follow[CODRASTREIO],Follow[DATAATUALIZAÇÃO]),"-")</f>
        <v>45716</v>
      </c>
      <c r="AK1068" s="132" t="str">
        <f ca="1"/>
        <v>-</v>
      </c>
      <c r="AL1068" s="35"/>
      <c r="AM1068" s="109" cm="1">
        <f t="array" aca="1" ref="AM1068" ca="1">IF('Banco de Dados'!$AK1068&lt;&gt;"-",_xlfn.IFS('Banco de Dados'!$A1068="bv",IF('Banco de Dados'!$E1068&lt;45641,ROUND(SUM('Banco de Dados'!$R1068*_xlfn.XLOOKUP('Banco de Dados'!$P1068,Sku!B:B,Sku!#REF!)*20%),2),ROUND(SUM('Banco de Dados'!$R1068*_xlfn.XLOOKUP('Banco de Dados'!$P1068,Sku!B:B,Sku!H:H)*20%),2)),'Banco de Dados'!$A1068="GO",ROUND(SUM('Banco de Dados'!$R1068*_xlfn.XLOOKUP('Banco de Dados'!$P1068,Sku!C:C,Sku!H:H)*20%),2),'Banco de Dados'!$A1068="MEI",ROUND(SUM('Banco de Dados'!$R1068*_xlfn.XLOOKUP('Banco de Dados'!$P1068,Sku!D:D,Sku!H:H)*20%),2)),0)</f>
        <v>0</v>
      </c>
      <c r="AN1068" s="109">
        <f ca="1">IF('Banco de Dados'!$AK1068&lt;&gt;"-",IF('Banco de Dados'!$F1068&lt;&gt;"-",_xlfn.XLOOKUP(IFERROR(IFERROR(IFERROR(VALUE(SUBSTITUTE(MID(_xlfn.TEXTAFTER('Banco de Dados'!$F1068,"Data do Pedido:
",1),1,10),"-","/")),VALUE(SUBSTITUTE(MID(_xlfn.TEXTAFTER('Banco de Dados'!$F1068,"Order date:
",1),1,10),"-","/"))),VALUE(SUBSTITUTE(MID(_xlfn.TEXTAFTER('Banco de Dados'!$F1068,"Fecha de pedido:
",1),1,10),"-","/"))),"-"),SMS!A:A,SMS!K:K),0),0)</f>
        <v>0</v>
      </c>
      <c r="AO1068" s="109">
        <f ca="1">IF('Banco de Dados'!$AK1068&lt;&gt;"-",IF('Banco de Dados'!$F1068&lt;&gt;"-",IFERROR(_xlfn.XLOOKUP(_xlfn.CONCAT('Banco de Dados'!$A1068,IFERROR(IFERROR(VALUE(SUBSTITUTE(MID(_xlfn.TEXTAFTER('Banco de Dados'!$F1068,"Data do Pedido:
",1),1,10),"-","/")),VALUE(SUBSTITUTE(MID(_xlfn.TEXTAFTER('Banco de Dados'!$F1068,"Order date:
",1),1,10),"-","/"))),0)),ProxyDD[Chave],ProxyDD[Valor por pedido]),PROXY!$P$2),0),0)</f>
        <v>0</v>
      </c>
      <c r="AP1068" s="28">
        <f ca="1">IF('Banco de Dados'!$AK1068&lt;&gt;"-",IF('Banco de Dados'!$AL1068="NÃO",IFERROR(VALUE(SUBSTITUTE(_xlfn.TEXTAFTER('Banco de Dados'!$F1068,"BRL ",1),".",",")),0),0),0)</f>
        <v>0</v>
      </c>
      <c r="AQ1068" s="28">
        <f ca="1">SUM('Banco de Dados'!$AM1068:$AP1068)</f>
        <v>0</v>
      </c>
      <c r="AR1068" s="8"/>
      <c r="AY1068" s="8"/>
    </row>
    <row r="1069" spans="1:51">
      <c r="A1069" s="5" t="str">
        <v>MEI</v>
      </c>
      <c r="B1069" s="5" t="str">
        <f ca="1"/>
        <v>MEI45714</v>
      </c>
      <c r="C1069" s="8" t="str">
        <v>Pedido 1056</v>
      </c>
      <c r="D1069" s="187">
        <v>45714</v>
      </c>
      <c r="E1069" s="9">
        <v>45714</v>
      </c>
      <c r="F1069" s="8" t="str">
        <v>PedidoF1035</v>
      </c>
      <c r="G1069" s="2" t="str">
        <v>CódRastreio1033</v>
      </c>
      <c r="H1069" s="5">
        <v>1</v>
      </c>
      <c r="I1069" s="2" t="str">
        <v>CPF 1027</v>
      </c>
      <c r="J1069" s="2" t="str">
        <v>Nome 1027</v>
      </c>
      <c r="K1069" s="8" t="str">
        <v>Tel 1027</v>
      </c>
      <c r="L1069" s="8" t="str">
        <v>Cep 1027</v>
      </c>
      <c r="M1069" s="8" t="str">
        <v>Rua 1027</v>
      </c>
      <c r="N1069" s="8" t="str">
        <v>Comp 1027</v>
      </c>
      <c r="O1069" s="8" t="str">
        <v>Mini Liquidificador</v>
      </c>
      <c r="P1069" s="8" t="str">
        <v>A4-5W51-K3HF</v>
      </c>
      <c r="Q1069" s="4">
        <v>45744</v>
      </c>
      <c r="R1069" s="109">
        <v>30.95</v>
      </c>
      <c r="S1069" s="11">
        <f ca="1"/>
        <v>30.95</v>
      </c>
      <c r="T1069" s="28">
        <f ca="1"/>
        <v>4.3330000000000002</v>
      </c>
      <c r="U1069" s="11">
        <f ca="1"/>
        <v>26.62</v>
      </c>
      <c r="V1069" s="11">
        <v>14.99</v>
      </c>
      <c r="W1069" s="11">
        <f ca="1"/>
        <v>0.25</v>
      </c>
      <c r="X1069" s="11">
        <f ca="1"/>
        <v>0.39877104377104378</v>
      </c>
      <c r="Y1069" s="11">
        <v>0</v>
      </c>
      <c r="Z1069" s="11">
        <f ca="1"/>
        <v>10.981228956228957</v>
      </c>
      <c r="AA1069" s="11">
        <f ca="1"/>
        <v>5.4906144781144786</v>
      </c>
      <c r="AB1069" s="4">
        <f ca="1"/>
        <v>45751</v>
      </c>
      <c r="AC1069" s="4">
        <v>45751</v>
      </c>
      <c r="AD1069" s="9">
        <v>45762</v>
      </c>
      <c r="AE1069" s="9">
        <v>45763</v>
      </c>
      <c r="AF1069" s="4" t="str">
        <f t="shared" ca="1" si="66"/>
        <v>2025 04</v>
      </c>
      <c r="AG1069" s="8" t="str" cm="1">
        <f t="array" ref="AG1069">IFERROR(_xlfn.IFS('Banco de Dados'!#REF!="AG. COMPRA","Em processamento",'Banco de Dados'!#REF!="AG. RASTREIO","Em processamento",'Banco de Dados'!$AE1069&lt;&gt;"-","Faturado",'Banco de Dados'!$AD1069&lt;&gt;"-","Aguardando Pix",'Banco de Dados'!$AC1069&lt;&gt;"-","Pendente"),"Aguardando Liberação")</f>
        <v>Aguardando Liberação</v>
      </c>
      <c r="AH1069" s="5" t="str">
        <f>IF('Banco de Dados'!$F1069="-",_xlfn.CONCAT(PROPER(TEXT(AK1069,"aaaa"))," ",PROPER(TEXT(AK1069,"mm"))),_xlfn.CONCAT(PROPER(TEXT(E1069,"aaaa"))," ",PROPER(TEXT(E1069,"mm"))))</f>
        <v>2025 02</v>
      </c>
      <c r="AI1069" s="9" t="str">
        <f ca="1">IF('Banco de Dados'!$AK1069&lt;&gt;"-","REEMBOLSO",IFERROR(_xlfn.XLOOKUP(G1069,Follow[CODRASTREIO],Follow[STATUS]),"-"))</f>
        <v>ENTREGUE</v>
      </c>
      <c r="AJ1069" s="9">
        <f ca="1">IF('Banco de Dados'!$AI1069="ENTREGUE",_xlfn.XLOOKUP('Banco de Dados'!$G1069,Follow[CODRASTREIO],Follow[DATAATUALIZAÇÃO]),"-")</f>
        <v>45721</v>
      </c>
      <c r="AK1069" s="132" t="str">
        <f ca="1"/>
        <v>-</v>
      </c>
      <c r="AL1069" s="35"/>
      <c r="AM1069" s="109" cm="1">
        <f t="array" aca="1" ref="AM1069" ca="1">IF('Banco de Dados'!$AK1069&lt;&gt;"-",_xlfn.IFS('Banco de Dados'!$A1069="bv",IF('Banco de Dados'!$E1069&lt;45641,ROUND(SUM('Banco de Dados'!$R1069*_xlfn.XLOOKUP('Banco de Dados'!$P1069,Sku!B:B,Sku!#REF!)*20%),2),ROUND(SUM('Banco de Dados'!$R1069*_xlfn.XLOOKUP('Banco de Dados'!$P1069,Sku!B:B,Sku!H:H)*20%),2)),'Banco de Dados'!$A1069="GO",ROUND(SUM('Banco de Dados'!$R1069*_xlfn.XLOOKUP('Banco de Dados'!$P1069,Sku!C:C,Sku!H:H)*20%),2),'Banco de Dados'!$A1069="MEI",ROUND(SUM('Banco de Dados'!$R1069*_xlfn.XLOOKUP('Banco de Dados'!$P1069,Sku!D:D,Sku!H:H)*20%),2)),0)</f>
        <v>0</v>
      </c>
      <c r="AN1069" s="109">
        <f ca="1">IF('Banco de Dados'!$AK1069&lt;&gt;"-",IF('Banco de Dados'!$F1069&lt;&gt;"-",_xlfn.XLOOKUP(IFERROR(IFERROR(IFERROR(VALUE(SUBSTITUTE(MID(_xlfn.TEXTAFTER('Banco de Dados'!$F1069,"Data do Pedido:
",1),1,10),"-","/")),VALUE(SUBSTITUTE(MID(_xlfn.TEXTAFTER('Banco de Dados'!$F1069,"Order date:
",1),1,10),"-","/"))),VALUE(SUBSTITUTE(MID(_xlfn.TEXTAFTER('Banco de Dados'!$F1069,"Fecha de pedido:
",1),1,10),"-","/"))),"-"),SMS!A:A,SMS!K:K),0),0)</f>
        <v>0</v>
      </c>
      <c r="AO1069" s="109">
        <f ca="1">IF('Banco de Dados'!$AK1069&lt;&gt;"-",IF('Banco de Dados'!$F1069&lt;&gt;"-",IFERROR(_xlfn.XLOOKUP(_xlfn.CONCAT('Banco de Dados'!$A1069,IFERROR(IFERROR(VALUE(SUBSTITUTE(MID(_xlfn.TEXTAFTER('Banco de Dados'!$F1069,"Data do Pedido:
",1),1,10),"-","/")),VALUE(SUBSTITUTE(MID(_xlfn.TEXTAFTER('Banco de Dados'!$F1069,"Order date:
",1),1,10),"-","/"))),0)),ProxyDD[Chave],ProxyDD[Valor por pedido]),PROXY!$P$2),0),0)</f>
        <v>0</v>
      </c>
      <c r="AP1069" s="28">
        <f ca="1">IF('Banco de Dados'!$AK1069&lt;&gt;"-",IF('Banco de Dados'!$AL1069="NÃO",IFERROR(VALUE(SUBSTITUTE(_xlfn.TEXTAFTER('Banco de Dados'!$F1069,"BRL ",1),".",",")),0),0),0)</f>
        <v>0</v>
      </c>
      <c r="AQ1069" s="28">
        <f ca="1">SUM('Banco de Dados'!$AM1069:$AP1069)</f>
        <v>0</v>
      </c>
      <c r="AR1069" s="8"/>
      <c r="AY1069" s="8"/>
    </row>
    <row r="1070" spans="1:51">
      <c r="A1070" s="5" t="str">
        <v>MEI</v>
      </c>
      <c r="B1070" s="5" t="str">
        <f ca="1"/>
        <v>MEI45714</v>
      </c>
      <c r="C1070" s="8" t="str">
        <v>Pedido 1057</v>
      </c>
      <c r="D1070" s="187">
        <v>45714</v>
      </c>
      <c r="E1070" s="9">
        <v>45714</v>
      </c>
      <c r="F1070" s="8" t="str">
        <v>PedidoF1036</v>
      </c>
      <c r="G1070" s="2" t="str">
        <v>CódRastreio1034</v>
      </c>
      <c r="H1070" s="5">
        <v>1</v>
      </c>
      <c r="I1070" s="2" t="str">
        <v>CPF 1028</v>
      </c>
      <c r="J1070" s="2" t="str">
        <v>Nome 1028</v>
      </c>
      <c r="K1070" s="8" t="str">
        <v>Tel 1028</v>
      </c>
      <c r="L1070" s="8" t="str">
        <v>Cep 1028</v>
      </c>
      <c r="M1070" s="8" t="str">
        <v>Rua 1028</v>
      </c>
      <c r="N1070" s="8" t="str">
        <v>Comp 1028</v>
      </c>
      <c r="O1070" s="8" t="str">
        <v>Mini Liquidificador</v>
      </c>
      <c r="P1070" s="8" t="str">
        <v>A4-5W51-K3HF</v>
      </c>
      <c r="Q1070" s="4">
        <v>45744</v>
      </c>
      <c r="R1070" s="109">
        <v>30.95</v>
      </c>
      <c r="S1070" s="11">
        <f ca="1"/>
        <v>30.95</v>
      </c>
      <c r="T1070" s="28">
        <f ca="1"/>
        <v>4.3330000000000002</v>
      </c>
      <c r="U1070" s="11">
        <f ca="1"/>
        <v>26.62</v>
      </c>
      <c r="V1070" s="11">
        <v>14.99</v>
      </c>
      <c r="W1070" s="11">
        <f ca="1"/>
        <v>0.25</v>
      </c>
      <c r="X1070" s="11">
        <f ca="1"/>
        <v>0.39877104377104378</v>
      </c>
      <c r="Y1070" s="11">
        <v>0</v>
      </c>
      <c r="Z1070" s="11">
        <f ca="1"/>
        <v>10.981228956228957</v>
      </c>
      <c r="AA1070" s="11">
        <f ca="1"/>
        <v>5.4906144781144786</v>
      </c>
      <c r="AB1070" s="4">
        <f ca="1"/>
        <v>45751</v>
      </c>
      <c r="AC1070" s="4">
        <v>45751</v>
      </c>
      <c r="AD1070" s="9">
        <v>45762</v>
      </c>
      <c r="AE1070" s="9">
        <v>45763</v>
      </c>
      <c r="AF1070" s="4" t="str">
        <f t="shared" ca="1" si="66"/>
        <v>2025 04</v>
      </c>
      <c r="AG1070" s="8" t="str" cm="1">
        <f t="array" ref="AG1070">IFERROR(_xlfn.IFS('Banco de Dados'!#REF!="AG. COMPRA","Em processamento",'Banco de Dados'!#REF!="AG. RASTREIO","Em processamento",'Banco de Dados'!$AE1070&lt;&gt;"-","Faturado",'Banco de Dados'!$AD1070&lt;&gt;"-","Aguardando Pix",'Banco de Dados'!$AC1070&lt;&gt;"-","Pendente"),"Aguardando Liberação")</f>
        <v>Aguardando Liberação</v>
      </c>
      <c r="AH1070" s="5" t="str">
        <f>IF('Banco de Dados'!$F1070="-",_xlfn.CONCAT(PROPER(TEXT(AK1070,"aaaa"))," ",PROPER(TEXT(AK1070,"mm"))),_xlfn.CONCAT(PROPER(TEXT(E1070,"aaaa"))," ",PROPER(TEXT(E1070,"mm"))))</f>
        <v>2025 02</v>
      </c>
      <c r="AI1070" s="9" t="str">
        <f ca="1">IF('Banco de Dados'!$AK1070&lt;&gt;"-","REEMBOLSO",IFERROR(_xlfn.XLOOKUP(G1070,Follow[CODRASTREIO],Follow[STATUS]),"-"))</f>
        <v>ENTREGUE</v>
      </c>
      <c r="AJ1070" s="9">
        <f ca="1">IF('Banco de Dados'!$AI1070="ENTREGUE",_xlfn.XLOOKUP('Banco de Dados'!$G1070,Follow[CODRASTREIO],Follow[DATAATUALIZAÇÃO]),"-")</f>
        <v>45730</v>
      </c>
      <c r="AK1070" s="132" t="str">
        <f ca="1"/>
        <v>-</v>
      </c>
      <c r="AL1070" s="35"/>
      <c r="AM1070" s="109" cm="1">
        <f t="array" aca="1" ref="AM1070" ca="1">IF('Banco de Dados'!$AK1070&lt;&gt;"-",_xlfn.IFS('Banco de Dados'!$A1070="bv",IF('Banco de Dados'!$E1070&lt;45641,ROUND(SUM('Banco de Dados'!$R1070*_xlfn.XLOOKUP('Banco de Dados'!$P1070,Sku!B:B,Sku!#REF!)*20%),2),ROUND(SUM('Banco de Dados'!$R1070*_xlfn.XLOOKUP('Banco de Dados'!$P1070,Sku!B:B,Sku!H:H)*20%),2)),'Banco de Dados'!$A1070="GO",ROUND(SUM('Banco de Dados'!$R1070*_xlfn.XLOOKUP('Banco de Dados'!$P1070,Sku!C:C,Sku!H:H)*20%),2),'Banco de Dados'!$A1070="MEI",ROUND(SUM('Banco de Dados'!$R1070*_xlfn.XLOOKUP('Banco de Dados'!$P1070,Sku!D:D,Sku!H:H)*20%),2)),0)</f>
        <v>0</v>
      </c>
      <c r="AN1070" s="109">
        <f ca="1">IF('Banco de Dados'!$AK1070&lt;&gt;"-",IF('Banco de Dados'!$F1070&lt;&gt;"-",_xlfn.XLOOKUP(IFERROR(IFERROR(IFERROR(VALUE(SUBSTITUTE(MID(_xlfn.TEXTAFTER('Banco de Dados'!$F1070,"Data do Pedido:
",1),1,10),"-","/")),VALUE(SUBSTITUTE(MID(_xlfn.TEXTAFTER('Banco de Dados'!$F1070,"Order date:
",1),1,10),"-","/"))),VALUE(SUBSTITUTE(MID(_xlfn.TEXTAFTER('Banco de Dados'!$F1070,"Fecha de pedido:
",1),1,10),"-","/"))),"-"),SMS!A:A,SMS!K:K),0),0)</f>
        <v>0</v>
      </c>
      <c r="AO1070" s="109">
        <f ca="1">IF('Banco de Dados'!$AK1070&lt;&gt;"-",IF('Banco de Dados'!$F1070&lt;&gt;"-",IFERROR(_xlfn.XLOOKUP(_xlfn.CONCAT('Banco de Dados'!$A1070,IFERROR(IFERROR(VALUE(SUBSTITUTE(MID(_xlfn.TEXTAFTER('Banco de Dados'!$F1070,"Data do Pedido:
",1),1,10),"-","/")),VALUE(SUBSTITUTE(MID(_xlfn.TEXTAFTER('Banco de Dados'!$F1070,"Order date:
",1),1,10),"-","/"))),0)),ProxyDD[Chave],ProxyDD[Valor por pedido]),PROXY!$P$2),0),0)</f>
        <v>0</v>
      </c>
      <c r="AP1070" s="28">
        <f ca="1">IF('Banco de Dados'!$AK1070&lt;&gt;"-",IF('Banco de Dados'!$AL1070="NÃO",IFERROR(VALUE(SUBSTITUTE(_xlfn.TEXTAFTER('Banco de Dados'!$F1070,"BRL ",1),".",",")),0),0),0)</f>
        <v>0</v>
      </c>
      <c r="AQ1070" s="28">
        <f ca="1">SUM('Banco de Dados'!$AM1070:$AP1070)</f>
        <v>0</v>
      </c>
      <c r="AR1070" s="8"/>
      <c r="AY1070" s="8"/>
    </row>
    <row r="1071" spans="1:51">
      <c r="A1071" s="5" t="str">
        <v>MEI</v>
      </c>
      <c r="B1071" s="5" t="str">
        <f ca="1"/>
        <v>MEI45714</v>
      </c>
      <c r="C1071" s="8" t="str">
        <v>Pedido 1058</v>
      </c>
      <c r="D1071" s="187">
        <v>45714</v>
      </c>
      <c r="E1071" s="9">
        <v>45714</v>
      </c>
      <c r="F1071" s="8" t="str">
        <v>PedidoF1037</v>
      </c>
      <c r="G1071" s="2" t="str">
        <v>CódRastreio1035</v>
      </c>
      <c r="H1071" s="5">
        <v>1</v>
      </c>
      <c r="I1071" s="2" t="str">
        <v>CPF 1029</v>
      </c>
      <c r="J1071" s="2" t="str">
        <v>Nome 1029</v>
      </c>
      <c r="K1071" s="8" t="str">
        <v>Tel 1029</v>
      </c>
      <c r="L1071" s="8" t="str">
        <v>Cep 1029</v>
      </c>
      <c r="M1071" s="8" t="str">
        <v>Rua 1029</v>
      </c>
      <c r="N1071" s="8" t="str">
        <v>Comp 1029</v>
      </c>
      <c r="O1071" s="8" t="str">
        <v>Mini Liquidificador</v>
      </c>
      <c r="P1071" s="8" t="str">
        <v>A4-5W51-K3HF</v>
      </c>
      <c r="Q1071" s="4">
        <v>45734</v>
      </c>
      <c r="R1071" s="109">
        <v>30.95</v>
      </c>
      <c r="S1071" s="11">
        <f ca="1"/>
        <v>30.95</v>
      </c>
      <c r="T1071" s="28">
        <f ca="1"/>
        <v>4.3330000000000002</v>
      </c>
      <c r="U1071" s="11">
        <f ca="1"/>
        <v>26.62</v>
      </c>
      <c r="V1071" s="11">
        <v>14.99</v>
      </c>
      <c r="W1071" s="11">
        <f ca="1"/>
        <v>0.25</v>
      </c>
      <c r="X1071" s="11">
        <f ca="1"/>
        <v>0.39877104377104378</v>
      </c>
      <c r="Y1071" s="11">
        <v>0</v>
      </c>
      <c r="Z1071" s="11">
        <f ca="1"/>
        <v>10.981228956228957</v>
      </c>
      <c r="AA1071" s="11">
        <f ca="1"/>
        <v>5.4906144781144786</v>
      </c>
      <c r="AB1071" s="4">
        <f ca="1"/>
        <v>45741</v>
      </c>
      <c r="AC1071" s="4">
        <v>45741</v>
      </c>
      <c r="AD1071" s="9">
        <v>45747</v>
      </c>
      <c r="AE1071" s="9">
        <v>45749</v>
      </c>
      <c r="AF1071" s="4" t="str">
        <f t="shared" ca="1" si="66"/>
        <v>2025 03</v>
      </c>
      <c r="AG1071" s="8" t="str" cm="1">
        <f t="array" ref="AG1071">IFERROR(_xlfn.IFS('Banco de Dados'!#REF!="AG. COMPRA","Em processamento",'Banco de Dados'!#REF!="AG. RASTREIO","Em processamento",'Banco de Dados'!$AE1071&lt;&gt;"-","Faturado",'Banco de Dados'!$AD1071&lt;&gt;"-","Aguardando Pix",'Banco de Dados'!$AC1071&lt;&gt;"-","Pendente"),"Aguardando Liberação")</f>
        <v>Aguardando Liberação</v>
      </c>
      <c r="AH1071" s="5" t="str">
        <f>IF('Banco de Dados'!$F1071="-",_xlfn.CONCAT(PROPER(TEXT(AK1071,"aaaa"))," ",PROPER(TEXT(AK1071,"mm"))),_xlfn.CONCAT(PROPER(TEXT(E1071,"aaaa"))," ",PROPER(TEXT(E1071,"mm"))))</f>
        <v>2025 02</v>
      </c>
      <c r="AI1071" s="9" t="str">
        <f ca="1">IF('Banco de Dados'!$AK1071&lt;&gt;"-","REEMBOLSO",IFERROR(_xlfn.XLOOKUP(G1071,Follow[CODRASTREIO],Follow[STATUS]),"-"))</f>
        <v>ENTREGUE</v>
      </c>
      <c r="AJ1071" s="9">
        <f ca="1">IF('Banco de Dados'!$AI1071="ENTREGUE",_xlfn.XLOOKUP('Banco de Dados'!$G1071,Follow[CODRASTREIO],Follow[DATAATUALIZAÇÃO]),"-")</f>
        <v>45722</v>
      </c>
      <c r="AK1071" s="132" t="str">
        <f ca="1"/>
        <v>-</v>
      </c>
      <c r="AL1071" s="35"/>
      <c r="AM1071" s="109" cm="1">
        <f t="array" aca="1" ref="AM1071" ca="1">IF('Banco de Dados'!$AK1071&lt;&gt;"-",_xlfn.IFS('Banco de Dados'!$A1071="bv",IF('Banco de Dados'!$E1071&lt;45641,ROUND(SUM('Banco de Dados'!$R1071*_xlfn.XLOOKUP('Banco de Dados'!$P1071,Sku!B:B,Sku!#REF!)*20%),2),ROUND(SUM('Banco de Dados'!$R1071*_xlfn.XLOOKUP('Banco de Dados'!$P1071,Sku!B:B,Sku!H:H)*20%),2)),'Banco de Dados'!$A1071="GO",ROUND(SUM('Banco de Dados'!$R1071*_xlfn.XLOOKUP('Banco de Dados'!$P1071,Sku!C:C,Sku!H:H)*20%),2),'Banco de Dados'!$A1071="MEI",ROUND(SUM('Banco de Dados'!$R1071*_xlfn.XLOOKUP('Banco de Dados'!$P1071,Sku!D:D,Sku!H:H)*20%),2)),0)</f>
        <v>0</v>
      </c>
      <c r="AN1071" s="109">
        <f ca="1">IF('Banco de Dados'!$AK1071&lt;&gt;"-",IF('Banco de Dados'!$F1071&lt;&gt;"-",_xlfn.XLOOKUP(IFERROR(IFERROR(IFERROR(VALUE(SUBSTITUTE(MID(_xlfn.TEXTAFTER('Banco de Dados'!$F1071,"Data do Pedido:
",1),1,10),"-","/")),VALUE(SUBSTITUTE(MID(_xlfn.TEXTAFTER('Banco de Dados'!$F1071,"Order date:
",1),1,10),"-","/"))),VALUE(SUBSTITUTE(MID(_xlfn.TEXTAFTER('Banco de Dados'!$F1071,"Fecha de pedido:
",1),1,10),"-","/"))),"-"),SMS!A:A,SMS!K:K),0),0)</f>
        <v>0</v>
      </c>
      <c r="AO1071" s="109">
        <f ca="1">IF('Banco de Dados'!$AK1071&lt;&gt;"-",IF('Banco de Dados'!$F1071&lt;&gt;"-",IFERROR(_xlfn.XLOOKUP(_xlfn.CONCAT('Banco de Dados'!$A1071,IFERROR(IFERROR(VALUE(SUBSTITUTE(MID(_xlfn.TEXTAFTER('Banco de Dados'!$F1071,"Data do Pedido:
",1),1,10),"-","/")),VALUE(SUBSTITUTE(MID(_xlfn.TEXTAFTER('Banco de Dados'!$F1071,"Order date:
",1),1,10),"-","/"))),0)),ProxyDD[Chave],ProxyDD[Valor por pedido]),PROXY!$P$2),0),0)</f>
        <v>0</v>
      </c>
      <c r="AP1071" s="28">
        <f ca="1">IF('Banco de Dados'!$AK1071&lt;&gt;"-",IF('Banco de Dados'!$AL1071="NÃO",IFERROR(VALUE(SUBSTITUTE(_xlfn.TEXTAFTER('Banco de Dados'!$F1071,"BRL ",1),".",",")),0),0),0)</f>
        <v>0</v>
      </c>
      <c r="AQ1071" s="28">
        <f ca="1">SUM('Banco de Dados'!$AM1071:$AP1071)</f>
        <v>0</v>
      </c>
      <c r="AR1071" s="8"/>
      <c r="AY1071" s="8"/>
    </row>
    <row r="1072" spans="1:51">
      <c r="A1072" s="5" t="str">
        <v>BV</v>
      </c>
      <c r="B1072" s="5" t="str">
        <f ca="1"/>
        <v>BV45715</v>
      </c>
      <c r="C1072" s="8" t="str">
        <v>Pedido 1059</v>
      </c>
      <c r="D1072" s="9">
        <v>45715</v>
      </c>
      <c r="E1072" s="9">
        <v>45715</v>
      </c>
      <c r="F1072" s="8" t="str">
        <v>PedidoF1038</v>
      </c>
      <c r="G1072" s="2" t="str">
        <v>CódRastreio1036</v>
      </c>
      <c r="H1072" s="5">
        <v>1</v>
      </c>
      <c r="I1072" s="2" t="str">
        <v>CPF 1030</v>
      </c>
      <c r="J1072" s="2" t="str">
        <v>Nome 1030</v>
      </c>
      <c r="K1072" s="8" t="str">
        <v>Tel 1030</v>
      </c>
      <c r="L1072" s="8" t="str">
        <v>Cep 1030</v>
      </c>
      <c r="M1072" s="8" t="str">
        <v>Rua 1030</v>
      </c>
      <c r="N1072" s="8" t="str">
        <v>Comp 1030</v>
      </c>
      <c r="O1072" s="8" t="str">
        <v>Ventilador Preto</v>
      </c>
      <c r="P1072" s="8" t="str">
        <v>MU-J80P-95WF</v>
      </c>
      <c r="Q1072" s="4">
        <v>45741</v>
      </c>
      <c r="R1072" s="109">
        <v>70.989999999999995</v>
      </c>
      <c r="S1072" s="11">
        <f ca="1"/>
        <v>70.989999999999995</v>
      </c>
      <c r="T1072" s="28">
        <f ca="1"/>
        <v>9.2286999999999999</v>
      </c>
      <c r="U1072" s="11">
        <f ca="1"/>
        <v>61.76</v>
      </c>
      <c r="V1072" s="11">
        <v>12.59</v>
      </c>
      <c r="W1072" s="11">
        <f ca="1"/>
        <v>0.31</v>
      </c>
      <c r="X1072" s="11">
        <f ca="1"/>
        <v>0.39877104377104378</v>
      </c>
      <c r="Y1072" s="11">
        <v>0</v>
      </c>
      <c r="Z1072" s="11">
        <f ca="1"/>
        <v>48.46122895622895</v>
      </c>
      <c r="AA1072" s="11">
        <f ca="1"/>
        <v>24.230614478114475</v>
      </c>
      <c r="AB1072" s="4">
        <f ca="1"/>
        <v>45748</v>
      </c>
      <c r="AC1072" s="4">
        <v>45748</v>
      </c>
      <c r="AD1072" s="9">
        <v>45762</v>
      </c>
      <c r="AE1072" s="9">
        <v>45763</v>
      </c>
      <c r="AF1072" s="4" t="str">
        <f t="shared" ref="AF1072:AF1078" ca="1" si="67">_xlfn.CONCAT(PROPER(TEXT(AB1072,"aaaa"))," ",PROPER(TEXT(AB1072,"mm")))</f>
        <v>2025 04</v>
      </c>
      <c r="AG1072" s="8" t="str" cm="1">
        <f t="array" ref="AG1072">IFERROR(_xlfn.IFS('Banco de Dados'!#REF!="AG. COMPRA","Em processamento",'Banco de Dados'!#REF!="AG. RASTREIO","Em processamento",'Banco de Dados'!$AE1072&lt;&gt;"-","Faturado",'Banco de Dados'!$AD1072&lt;&gt;"-","Aguardando Pix",'Banco de Dados'!$AC1072&lt;&gt;"-","Pendente"),"Aguardando Liberação")</f>
        <v>Aguardando Liberação</v>
      </c>
      <c r="AH1072" s="5" t="str">
        <f>IF('Banco de Dados'!$F1072="-",_xlfn.CONCAT(PROPER(TEXT(AK1072,"aaaa"))," ",PROPER(TEXT(AK1072,"mm"))),_xlfn.CONCAT(PROPER(TEXT(E1072,"aaaa"))," ",PROPER(TEXT(E1072,"mm"))))</f>
        <v>2025 02</v>
      </c>
      <c r="AI1072" s="9" t="str">
        <f ca="1">IF('Banco de Dados'!$AK1072&lt;&gt;"-","REEMBOLSO",IFERROR(_xlfn.XLOOKUP(G1072,Follow[CODRASTREIO],Follow[STATUS]),"-"))</f>
        <v>ENTREGUE</v>
      </c>
      <c r="AJ1072" s="9">
        <f ca="1">IF('Banco de Dados'!$AI1072="ENTREGUE",_xlfn.XLOOKUP('Banco de Dados'!$G1072,Follow[CODRASTREIO],Follow[DATAATUALIZAÇÃO]),"-")</f>
        <v>45727</v>
      </c>
      <c r="AK1072" s="132" t="str">
        <f ca="1"/>
        <v>-</v>
      </c>
      <c r="AL1072" s="35"/>
      <c r="AM1072" s="109" cm="1">
        <f t="array" aca="1" ref="AM1072" ca="1">IF('Banco de Dados'!$AK1072&lt;&gt;"-",_xlfn.IFS('Banco de Dados'!$A1072="bv",IF('Banco de Dados'!$E1072&lt;45641,ROUND(SUM('Banco de Dados'!$R1072*_xlfn.XLOOKUP('Banco de Dados'!$P1072,Sku!B:B,Sku!#REF!)*20%),2),ROUND(SUM('Banco de Dados'!$R1072*_xlfn.XLOOKUP('Banco de Dados'!$P1072,Sku!B:B,Sku!H:H)*20%),2)),'Banco de Dados'!$A1072="GO",ROUND(_xlfn.XLOOKUP('Banco de Dados'!$P1072,Sku!C:C,Sku!H:H),2),'Banco de Dados'!$A1072="MEI",ROUND(_xlfn.XLOOKUP('Banco de Dados'!$P1072,Sku!D:D,Sku!H:H),2)),0)</f>
        <v>0</v>
      </c>
      <c r="AN1072" s="109">
        <f ca="1">IF('Banco de Dados'!$AK1072&lt;&gt;"-",IF('Banco de Dados'!$F1072&lt;&gt;"-",_xlfn.XLOOKUP(IFERROR(IFERROR(IFERROR(VALUE(SUBSTITUTE(MID(_xlfn.TEXTAFTER('Banco de Dados'!$F1072,"Data do Pedido:
",1),1,10),"-","/")),VALUE(SUBSTITUTE(MID(_xlfn.TEXTAFTER('Banco de Dados'!$F1072,"Order date:
",1),1,10),"-","/"))),VALUE(SUBSTITUTE(MID(_xlfn.TEXTAFTER('Banco de Dados'!$F1072,"Fecha de pedido:
",1),1,10),"-","/"))),"-"),SMS!A:A,SMS!K:K),0),0)</f>
        <v>0</v>
      </c>
      <c r="AO1072" s="109">
        <f ca="1">IF('Banco de Dados'!$AK1072&lt;&gt;"-",IF('Banco de Dados'!$F1072&lt;&gt;"-",IFERROR(_xlfn.XLOOKUP(_xlfn.CONCAT('Banco de Dados'!$A1072,IFERROR(IFERROR(VALUE(SUBSTITUTE(MID(_xlfn.TEXTAFTER('Banco de Dados'!$F1072,"Data do Pedido:
",1),1,10),"-","/")),VALUE(SUBSTITUTE(MID(_xlfn.TEXTAFTER('Banco de Dados'!$F1072,"Order date:
",1),1,10),"-","/"))),0)),ProxyDD[Chave],ProxyDD[Valor por pedido]),PROXY!$P$2),0),0)</f>
        <v>0</v>
      </c>
      <c r="AP1072" s="28">
        <f ca="1">IF('Banco de Dados'!$AK1072&lt;&gt;"-",IF('Banco de Dados'!$AL1072="NÃO",IFERROR(VALUE(SUBSTITUTE(_xlfn.TEXTAFTER('Banco de Dados'!$F1072,"BRL ",1),".",",")),0),0),0)</f>
        <v>0</v>
      </c>
      <c r="AQ1072" s="28">
        <f ca="1">SUM('Banco de Dados'!$AM1072:$AP1072)</f>
        <v>0</v>
      </c>
      <c r="AR1072" s="8"/>
      <c r="AY1072" s="8"/>
    </row>
    <row r="1073" spans="1:51">
      <c r="A1073" s="5" t="str">
        <v>BV</v>
      </c>
      <c r="B1073" s="5" t="str">
        <f ca="1"/>
        <v>BV45715</v>
      </c>
      <c r="C1073" s="8" t="str">
        <v>Pedido 1060</v>
      </c>
      <c r="D1073" s="9">
        <v>45715</v>
      </c>
      <c r="E1073" s="9">
        <v>45715</v>
      </c>
      <c r="F1073" s="8" t="str">
        <v>PedidoF1039</v>
      </c>
      <c r="G1073" s="2" t="str">
        <v>CódRastreio1037</v>
      </c>
      <c r="H1073" s="5">
        <v>1</v>
      </c>
      <c r="I1073" s="2" t="str">
        <v>CPF 1031</v>
      </c>
      <c r="J1073" s="2" t="str">
        <v>Nome 1031</v>
      </c>
      <c r="K1073" s="8" t="str">
        <v>Tel 1031</v>
      </c>
      <c r="L1073" s="8" t="str">
        <v>Cep 1031</v>
      </c>
      <c r="M1073" s="8" t="str">
        <v>Rua 1031</v>
      </c>
      <c r="N1073" s="8" t="str">
        <v>Comp 1031</v>
      </c>
      <c r="O1073" s="8" t="str">
        <v>Garrafa Termica</v>
      </c>
      <c r="P1073" s="8" t="str">
        <v>FM-QQ8Y-RZT4</v>
      </c>
      <c r="Q1073" s="4">
        <v>45745</v>
      </c>
      <c r="R1073" s="109">
        <v>23.5</v>
      </c>
      <c r="S1073" s="11">
        <f ca="1"/>
        <v>0</v>
      </c>
      <c r="T1073" s="28">
        <f ca="1"/>
        <v>0</v>
      </c>
      <c r="U1073" s="11">
        <f ca="1"/>
        <v>0</v>
      </c>
      <c r="V1073" s="11">
        <v>0</v>
      </c>
      <c r="W1073" s="11">
        <f ca="1"/>
        <v>0</v>
      </c>
      <c r="X1073" s="11">
        <f ca="1"/>
        <v>0.39877104377104378</v>
      </c>
      <c r="Y1073" s="11">
        <v>0</v>
      </c>
      <c r="Z1073" s="11">
        <f ca="1"/>
        <v>-0.39877104377104378</v>
      </c>
      <c r="AA1073" s="11">
        <f ca="1"/>
        <v>-0.19938552188552189</v>
      </c>
      <c r="AB1073" s="4">
        <f ca="1"/>
        <v>45752</v>
      </c>
      <c r="AC1073" s="4">
        <v>45752</v>
      </c>
      <c r="AD1073" s="9">
        <v>45762</v>
      </c>
      <c r="AE1073" s="9">
        <v>45763</v>
      </c>
      <c r="AF1073" s="4" t="str">
        <f t="shared" ca="1" si="67"/>
        <v>2025 04</v>
      </c>
      <c r="AG1073" s="8" t="str" cm="1">
        <f t="array" ref="AG1073">IFERROR(_xlfn.IFS('Banco de Dados'!#REF!="AG. COMPRA","Em processamento",'Banco de Dados'!#REF!="AG. RASTREIO","Em processamento",'Banco de Dados'!$AE1073&lt;&gt;"-","Faturado",'Banco de Dados'!$AD1073&lt;&gt;"-","Aguardando Pix",'Banco de Dados'!$AC1073&lt;&gt;"-","Pendente"),"Aguardando Liberação")</f>
        <v>Aguardando Liberação</v>
      </c>
      <c r="AH1073" s="5" t="str">
        <f>IF('Banco de Dados'!$F1073="-",_xlfn.CONCAT(PROPER(TEXT(AK1073,"aaaa"))," ",PROPER(TEXT(AK1073,"mm"))),_xlfn.CONCAT(PROPER(TEXT(E1073,"aaaa"))," ",PROPER(TEXT(E1073,"mm"))))</f>
        <v>2025 02</v>
      </c>
      <c r="AI1073" s="9" t="str">
        <f ca="1">IF('Banco de Dados'!$AK1073&lt;&gt;"-","REEMBOLSO",IFERROR(_xlfn.XLOOKUP(G1073,Follow[CODRASTREIO],Follow[STATUS]),"-"))</f>
        <v>REEMBOLSO</v>
      </c>
      <c r="AJ1073" s="9" t="str">
        <f ca="1">IF('Banco de Dados'!$AI1073="ENTREGUE",_xlfn.XLOOKUP('Banco de Dados'!$G1073,Follow[CODRASTREIO],Follow[DATAATUALIZAÇÃO]),"-")</f>
        <v>-</v>
      </c>
      <c r="AK1073" s="132">
        <f ca="1"/>
        <v>45748</v>
      </c>
      <c r="AL1073" s="35"/>
      <c r="AM1073" s="109" cm="1">
        <f t="array" aca="1" ref="AM1073" ca="1">IF('Banco de Dados'!$AK1073&lt;&gt;"-",_xlfn.IFS('Banco de Dados'!$A1073="bv",IF('Banco de Dados'!$E1073&lt;45641,ROUND(SUM('Banco de Dados'!$R1073*_xlfn.XLOOKUP('Banco de Dados'!$P1073,Sku!B:B,Sku!#REF!)*20%),2),ROUND(SUM('Banco de Dados'!$R1073*_xlfn.XLOOKUP('Banco de Dados'!$P1073,Sku!B:B,Sku!H:H)*20%),2)),'Banco de Dados'!$A1073="GO",ROUND(_xlfn.XLOOKUP('Banco de Dados'!$P1073,Sku!C:C,Sku!H:H),2),'Banco de Dados'!$A1073="MEI",ROUND(_xlfn.XLOOKUP('Banco de Dados'!$P1073,Sku!D:D,Sku!H:H),2)),0)</f>
        <v>0.61</v>
      </c>
      <c r="AN1073" s="109" t="e">
        <f ca="1">IF('Banco de Dados'!$AK1073&lt;&gt;"-",IF('Banco de Dados'!$F1073&lt;&gt;"-",_xlfn.XLOOKUP(IFERROR(IFERROR(IFERROR(VALUE(SUBSTITUTE(MID(_xlfn.TEXTAFTER('Banco de Dados'!$F1073,"Data do Pedido:
",1),1,10),"-","/")),VALUE(SUBSTITUTE(MID(_xlfn.TEXTAFTER('Banco de Dados'!$F1073,"Order date:
",1),1,10),"-","/"))),VALUE(SUBSTITUTE(MID(_xlfn.TEXTAFTER('Banco de Dados'!$F1073,"Fecha de pedido:
",1),1,10),"-","/"))),"-"),SMS!A:A,SMS!K:K),0),0)</f>
        <v>#N/A</v>
      </c>
      <c r="AO1073" s="109">
        <f ca="1">IF('Banco de Dados'!$AK1073&lt;&gt;"-",IF('Banco de Dados'!$F1073&lt;&gt;"-",IFERROR(_xlfn.XLOOKUP(_xlfn.CONCAT('Banco de Dados'!$A1073,IFERROR(IFERROR(VALUE(SUBSTITUTE(MID(_xlfn.TEXTAFTER('Banco de Dados'!$F1073,"Data do Pedido:
",1),1,10),"-","/")),VALUE(SUBSTITUTE(MID(_xlfn.TEXTAFTER('Banco de Dados'!$F1073,"Order date:
",1),1,10),"-","/"))),0)),ProxyDD[Chave],ProxyDD[Valor por pedido]),PROXY!$P$2),0),0)</f>
        <v>0.39877104377104378</v>
      </c>
      <c r="AP1073" s="28">
        <f ca="1">IF('Banco de Dados'!$AK1073&lt;&gt;"-",IF('Banco de Dados'!$AL1073="NÃO",IFERROR(VALUE(SUBSTITUTE(_xlfn.TEXTAFTER('Banco de Dados'!$F1073,"BRL ",1),".",",")),0),0),0)</f>
        <v>0</v>
      </c>
      <c r="AQ1073" s="28" t="e">
        <f ca="1">SUM('Banco de Dados'!$AM1073:$AP1073)</f>
        <v>#N/A</v>
      </c>
      <c r="AR1073" s="8"/>
      <c r="AY1073" s="8"/>
    </row>
    <row r="1074" spans="1:51">
      <c r="A1074" s="5" t="str">
        <v>BV</v>
      </c>
      <c r="B1074" s="5" t="str">
        <f ca="1"/>
        <v>BV45716</v>
      </c>
      <c r="C1074" s="8" t="str">
        <v>Pedido 1061</v>
      </c>
      <c r="D1074" s="9">
        <v>45715</v>
      </c>
      <c r="E1074" s="9">
        <v>45716</v>
      </c>
      <c r="F1074" s="8" t="str">
        <v>PedidoF1040</v>
      </c>
      <c r="G1074" s="2" t="str">
        <v>CódRastreio1038</v>
      </c>
      <c r="H1074" s="5">
        <v>1</v>
      </c>
      <c r="I1074" s="2" t="str">
        <v>CPF 1032</v>
      </c>
      <c r="J1074" s="2" t="str">
        <v>Nome 1032</v>
      </c>
      <c r="K1074" s="8" t="str">
        <v>Tel 1032</v>
      </c>
      <c r="L1074" s="8" t="str">
        <v>Cep 1032</v>
      </c>
      <c r="M1074" s="8" t="str">
        <v>Rua 1032</v>
      </c>
      <c r="N1074" s="8" t="str">
        <v>Comp 1032</v>
      </c>
      <c r="O1074" s="8" t="str">
        <v>Garrafa Termica</v>
      </c>
      <c r="P1074" s="8" t="str">
        <v>FM-QQ8Y-RZT4</v>
      </c>
      <c r="Q1074" s="4">
        <v>45741</v>
      </c>
      <c r="R1074" s="109">
        <v>23.5</v>
      </c>
      <c r="S1074" s="11">
        <f ca="1"/>
        <v>23.5</v>
      </c>
      <c r="T1074" s="28">
        <f ca="1"/>
        <v>3.0550000000000002</v>
      </c>
      <c r="U1074" s="11">
        <f ca="1"/>
        <v>20.45</v>
      </c>
      <c r="V1074" s="11">
        <v>13.8</v>
      </c>
      <c r="W1074" s="11">
        <f ca="1"/>
        <v>0.2</v>
      </c>
      <c r="X1074" s="11">
        <f ca="1"/>
        <v>0.39877104377104378</v>
      </c>
      <c r="Y1074" s="11">
        <v>0</v>
      </c>
      <c r="Z1074" s="11">
        <f ca="1"/>
        <v>6.0512289562289556</v>
      </c>
      <c r="AA1074" s="11">
        <f ca="1"/>
        <v>3.0256144781144778</v>
      </c>
      <c r="AB1074" s="4">
        <f ca="1"/>
        <v>45748</v>
      </c>
      <c r="AC1074" s="4">
        <v>45748</v>
      </c>
      <c r="AD1074" s="9">
        <v>45762</v>
      </c>
      <c r="AE1074" s="9">
        <v>45763</v>
      </c>
      <c r="AF1074" s="4" t="str">
        <f t="shared" ca="1" si="67"/>
        <v>2025 04</v>
      </c>
      <c r="AG1074" s="8" t="str" cm="1">
        <f t="array" ref="AG1074">IFERROR(_xlfn.IFS('Banco de Dados'!#REF!="AG. COMPRA","Em processamento",'Banco de Dados'!#REF!="AG. RASTREIO","Em processamento",'Banco de Dados'!$AE1074&lt;&gt;"-","Faturado",'Banco de Dados'!$AD1074&lt;&gt;"-","Aguardando Pix",'Banco de Dados'!$AC1074&lt;&gt;"-","Pendente"),"Aguardando Liberação")</f>
        <v>Aguardando Liberação</v>
      </c>
      <c r="AH1074" s="5" t="str">
        <f>IF('Banco de Dados'!$F1074="-",_xlfn.CONCAT(PROPER(TEXT(AK1074,"aaaa"))," ",PROPER(TEXT(AK1074,"mm"))),_xlfn.CONCAT(PROPER(TEXT(E1074,"aaaa"))," ",PROPER(TEXT(E1074,"mm"))))</f>
        <v>2025 02</v>
      </c>
      <c r="AI1074" s="9" t="str">
        <f ca="1">IF('Banco de Dados'!$AK1074&lt;&gt;"-","REEMBOLSO",IFERROR(_xlfn.XLOOKUP(G1074,Follow[CODRASTREIO],Follow[STATUS]),"-"))</f>
        <v>ENTREGUE</v>
      </c>
      <c r="AJ1074" s="9">
        <f ca="1">IF('Banco de Dados'!$AI1074="ENTREGUE",_xlfn.XLOOKUP('Banco de Dados'!$G1074,Follow[CODRASTREIO],Follow[DATAATUALIZAÇÃO]),"-")</f>
        <v>45729</v>
      </c>
      <c r="AK1074" s="132" t="str">
        <f ca="1"/>
        <v>-</v>
      </c>
      <c r="AL1074" s="35"/>
      <c r="AM1074" s="109" cm="1">
        <f t="array" aca="1" ref="AM1074" ca="1">IF('Banco de Dados'!$AK1074&lt;&gt;"-",_xlfn.IFS('Banco de Dados'!$A1074="bv",IF('Banco de Dados'!$E1074&lt;45641,ROUND(SUM('Banco de Dados'!$R1074*_xlfn.XLOOKUP('Banco de Dados'!$P1074,Sku!B:B,Sku!#REF!)*20%),2),ROUND(SUM('Banco de Dados'!$R1074*_xlfn.XLOOKUP('Banco de Dados'!$P1074,Sku!B:B,Sku!H:H)*20%),2)),'Banco de Dados'!$A1074="GO",ROUND(_xlfn.XLOOKUP('Banco de Dados'!$P1074,Sku!C:C,Sku!H:H),2),'Banco de Dados'!$A1074="MEI",ROUND(_xlfn.XLOOKUP('Banco de Dados'!$P1074,Sku!D:D,Sku!H:H),2)),0)</f>
        <v>0</v>
      </c>
      <c r="AN1074" s="109">
        <f ca="1">IF('Banco de Dados'!$AK1074&lt;&gt;"-",IF('Banco de Dados'!$F1074&lt;&gt;"-",_xlfn.XLOOKUP(IFERROR(IFERROR(IFERROR(VALUE(SUBSTITUTE(MID(_xlfn.TEXTAFTER('Banco de Dados'!$F1074,"Data do Pedido:
",1),1,10),"-","/")),VALUE(SUBSTITUTE(MID(_xlfn.TEXTAFTER('Banco de Dados'!$F1074,"Order date:
",1),1,10),"-","/"))),VALUE(SUBSTITUTE(MID(_xlfn.TEXTAFTER('Banco de Dados'!$F1074,"Fecha de pedido:
",1),1,10),"-","/"))),"-"),SMS!A:A,SMS!K:K),0),0)</f>
        <v>0</v>
      </c>
      <c r="AO1074" s="109">
        <f ca="1">IF('Banco de Dados'!$AK1074&lt;&gt;"-",IF('Banco de Dados'!$F1074&lt;&gt;"-",IFERROR(_xlfn.XLOOKUP(_xlfn.CONCAT('Banco de Dados'!$A1074,IFERROR(IFERROR(VALUE(SUBSTITUTE(MID(_xlfn.TEXTAFTER('Banco de Dados'!$F1074,"Data do Pedido:
",1),1,10),"-","/")),VALUE(SUBSTITUTE(MID(_xlfn.TEXTAFTER('Banco de Dados'!$F1074,"Order date:
",1),1,10),"-","/"))),0)),ProxyDD[Chave],ProxyDD[Valor por pedido]),PROXY!$P$2),0),0)</f>
        <v>0</v>
      </c>
      <c r="AP1074" s="28">
        <f ca="1">IF('Banco de Dados'!$AK1074&lt;&gt;"-",IF('Banco de Dados'!$AL1074="NÃO",IFERROR(VALUE(SUBSTITUTE(_xlfn.TEXTAFTER('Banco de Dados'!$F1074,"BRL ",1),".",",")),0),0),0)</f>
        <v>0</v>
      </c>
      <c r="AQ1074" s="28">
        <f ca="1">SUM('Banco de Dados'!$AM1074:$AP1074)</f>
        <v>0</v>
      </c>
      <c r="AR1074" s="8"/>
      <c r="AY1074" s="8"/>
    </row>
    <row r="1075" spans="1:51">
      <c r="A1075" s="5" t="str">
        <v>BV</v>
      </c>
      <c r="B1075" s="5" t="str">
        <f ca="1"/>
        <v>BV45715</v>
      </c>
      <c r="C1075" s="8" t="str">
        <v>Pedido 1062</v>
      </c>
      <c r="D1075" s="9">
        <v>45715</v>
      </c>
      <c r="E1075" s="9">
        <v>45715</v>
      </c>
      <c r="F1075" s="8" t="str">
        <v>PedidoF1041</v>
      </c>
      <c r="G1075" s="2" t="str">
        <v>CódRastreio1039</v>
      </c>
      <c r="H1075" s="5">
        <v>1</v>
      </c>
      <c r="I1075" s="2" t="str">
        <v>CPF 1033</v>
      </c>
      <c r="J1075" s="2" t="str">
        <v>Nome 1033</v>
      </c>
      <c r="K1075" s="8" t="str">
        <v>Tel 1033</v>
      </c>
      <c r="L1075" s="184" t="str">
        <v>Cep 1033</v>
      </c>
      <c r="M1075" s="8" t="str">
        <v>Rua 1033</v>
      </c>
      <c r="N1075" s="8" t="str">
        <v>Comp 1033</v>
      </c>
      <c r="O1075" s="8" t="str">
        <v>Garrafa Termica</v>
      </c>
      <c r="P1075" s="8" t="str">
        <v>FM-QQ8Y-RZT4</v>
      </c>
      <c r="Q1075" s="4">
        <v>45735</v>
      </c>
      <c r="R1075" s="109">
        <v>23.5</v>
      </c>
      <c r="S1075" s="11">
        <f ca="1"/>
        <v>0</v>
      </c>
      <c r="T1075" s="28">
        <f ca="1"/>
        <v>0</v>
      </c>
      <c r="U1075" s="11">
        <f ca="1"/>
        <v>0</v>
      </c>
      <c r="V1075" s="11">
        <v>0</v>
      </c>
      <c r="W1075" s="11">
        <f ca="1"/>
        <v>0</v>
      </c>
      <c r="X1075" s="11">
        <f ca="1"/>
        <v>0.39877104377104378</v>
      </c>
      <c r="Y1075" s="11">
        <v>0</v>
      </c>
      <c r="Z1075" s="11">
        <f ca="1"/>
        <v>-0.39877104377104378</v>
      </c>
      <c r="AA1075" s="11">
        <f ca="1"/>
        <v>-0.19938552188552189</v>
      </c>
      <c r="AB1075" s="4">
        <f ca="1"/>
        <v>45742</v>
      </c>
      <c r="AC1075" s="4">
        <v>45742</v>
      </c>
      <c r="AD1075" s="9">
        <v>45747</v>
      </c>
      <c r="AE1075" s="9">
        <v>45749</v>
      </c>
      <c r="AF1075" s="4" t="str">
        <f t="shared" ca="1" si="67"/>
        <v>2025 03</v>
      </c>
      <c r="AG1075" s="8" t="str" cm="1">
        <f t="array" ref="AG1075">IFERROR(_xlfn.IFS('Banco de Dados'!#REF!="AG. COMPRA","Em processamento",'Banco de Dados'!#REF!="AG. RASTREIO","Em processamento",'Banco de Dados'!$AE1075&lt;&gt;"-","Faturado",'Banco de Dados'!$AD1075&lt;&gt;"-","Aguardando Pix",'Banco de Dados'!$AC1075&lt;&gt;"-","Pendente"),"Aguardando Liberação")</f>
        <v>Aguardando Liberação</v>
      </c>
      <c r="AH1075" s="5" t="str">
        <f>IF('Banco de Dados'!$F1075="-",_xlfn.CONCAT(PROPER(TEXT(AK1075,"aaaa"))," ",PROPER(TEXT(AK1075,"mm"))),_xlfn.CONCAT(PROPER(TEXT(E1075,"aaaa"))," ",PROPER(TEXT(E1075,"mm"))))</f>
        <v>2025 02</v>
      </c>
      <c r="AI1075" s="9" t="str">
        <f ca="1">IF('Banco de Dados'!$AK1075&lt;&gt;"-","REEMBOLSO",IFERROR(_xlfn.XLOOKUP(G1075,Follow[CODRASTREIO],Follow[STATUS]),"-"))</f>
        <v>REEMBOLSO</v>
      </c>
      <c r="AJ1075" s="9" t="str">
        <f ca="1">IF('Banco de Dados'!$AI1075="ENTREGUE",_xlfn.XLOOKUP('Banco de Dados'!$G1075,Follow[CODRASTREIO],Follow[DATAATUALIZAÇÃO]),"-")</f>
        <v>-</v>
      </c>
      <c r="AK1075" s="132">
        <f ca="1"/>
        <v>45740</v>
      </c>
      <c r="AL1075" s="35"/>
      <c r="AM1075" s="109" cm="1">
        <f t="array" aca="1" ref="AM1075" ca="1">IF('Banco de Dados'!$AK1075&lt;&gt;"-",_xlfn.IFS('Banco de Dados'!$A1075="bv",IF('Banco de Dados'!$E1075&lt;45641,ROUND(SUM('Banco de Dados'!$R1075*_xlfn.XLOOKUP('Banco de Dados'!$P1075,Sku!B:B,Sku!#REF!)*20%),2),ROUND(SUM('Banco de Dados'!$R1075*_xlfn.XLOOKUP('Banco de Dados'!$P1075,Sku!B:B,Sku!H:H)*20%),2)),'Banco de Dados'!$A1075="GO",ROUND(_xlfn.XLOOKUP('Banco de Dados'!$P1075,Sku!C:C,Sku!H:H),2),'Banco de Dados'!$A1075="MEI",ROUND(_xlfn.XLOOKUP('Banco de Dados'!$P1075,Sku!D:D,Sku!H:H),2)),0)</f>
        <v>0.61</v>
      </c>
      <c r="AN1075" s="109" t="e">
        <f ca="1">IF('Banco de Dados'!$AK1075&lt;&gt;"-",IF('Banco de Dados'!$F1075&lt;&gt;"-",_xlfn.XLOOKUP(IFERROR(IFERROR(IFERROR(VALUE(SUBSTITUTE(MID(_xlfn.TEXTAFTER('Banco de Dados'!$F1075,"Data do Pedido:
",1),1,10),"-","/")),VALUE(SUBSTITUTE(MID(_xlfn.TEXTAFTER('Banco de Dados'!$F1075,"Order date:
",1),1,10),"-","/"))),VALUE(SUBSTITUTE(MID(_xlfn.TEXTAFTER('Banco de Dados'!$F1075,"Fecha de pedido:
",1),1,10),"-","/"))),"-"),SMS!A:A,SMS!K:K),0),0)</f>
        <v>#N/A</v>
      </c>
      <c r="AO1075" s="109">
        <f ca="1">IF('Banco de Dados'!$AK1075&lt;&gt;"-",IF('Banco de Dados'!$F1075&lt;&gt;"-",IFERROR(_xlfn.XLOOKUP(_xlfn.CONCAT('Banco de Dados'!$A1075,IFERROR(IFERROR(VALUE(SUBSTITUTE(MID(_xlfn.TEXTAFTER('Banco de Dados'!$F1075,"Data do Pedido:
",1),1,10),"-","/")),VALUE(SUBSTITUTE(MID(_xlfn.TEXTAFTER('Banco de Dados'!$F1075,"Order date:
",1),1,10),"-","/"))),0)),ProxyDD[Chave],ProxyDD[Valor por pedido]),PROXY!$P$2),0),0)</f>
        <v>0.39877104377104378</v>
      </c>
      <c r="AP1075" s="28">
        <f ca="1">IF('Banco de Dados'!$AK1075&lt;&gt;"-",IF('Banco de Dados'!$AL1075="NÃO",IFERROR(VALUE(SUBSTITUTE(_xlfn.TEXTAFTER('Banco de Dados'!$F1075,"BRL ",1),".",",")),0),0),0)</f>
        <v>0</v>
      </c>
      <c r="AQ1075" s="28" t="e">
        <f ca="1">SUM('Banco de Dados'!$AM1075:$AP1075)</f>
        <v>#N/A</v>
      </c>
      <c r="AR1075" s="8"/>
      <c r="AY1075" s="8"/>
    </row>
    <row r="1076" spans="1:51">
      <c r="A1076" s="5" t="str">
        <v>BV</v>
      </c>
      <c r="B1076" s="5" t="str">
        <f ca="1"/>
        <v>BV45716</v>
      </c>
      <c r="C1076" s="8" t="str">
        <v>Pedido 1063</v>
      </c>
      <c r="D1076" s="9">
        <v>45715</v>
      </c>
      <c r="E1076" s="9">
        <v>45716</v>
      </c>
      <c r="F1076" s="8" t="str">
        <v>PedidoF1042</v>
      </c>
      <c r="G1076" s="2" t="str">
        <v>CódRastreio1040</v>
      </c>
      <c r="H1076" s="5">
        <v>1</v>
      </c>
      <c r="I1076" s="2" t="str">
        <v>CPF 1034</v>
      </c>
      <c r="J1076" s="2" t="str">
        <v>Nome 1034</v>
      </c>
      <c r="K1076" s="8" t="str">
        <v>Tel 1034</v>
      </c>
      <c r="L1076" s="8" t="str">
        <v>Cep 1034</v>
      </c>
      <c r="M1076" s="8" t="str">
        <v>Rua 1034</v>
      </c>
      <c r="N1076" s="8" t="str">
        <v>Comp 1034</v>
      </c>
      <c r="O1076" s="8" t="str">
        <v>Caixinha de som Preta</v>
      </c>
      <c r="P1076" s="8" t="str">
        <v>5D-KKPK-K70I</v>
      </c>
      <c r="Q1076" s="4">
        <v>45745</v>
      </c>
      <c r="R1076" s="109">
        <v>25.99</v>
      </c>
      <c r="S1076" s="11">
        <f ca="1"/>
        <v>25.99</v>
      </c>
      <c r="T1076" s="28">
        <f ca="1"/>
        <v>3.8984999999999994</v>
      </c>
      <c r="U1076" s="11">
        <f ca="1"/>
        <v>22.09</v>
      </c>
      <c r="V1076" s="11">
        <v>13.3</v>
      </c>
      <c r="W1076" s="11">
        <f ca="1"/>
        <v>0.2</v>
      </c>
      <c r="X1076" s="11">
        <f ca="1"/>
        <v>0.39877104377104378</v>
      </c>
      <c r="Y1076" s="11">
        <v>0</v>
      </c>
      <c r="Z1076" s="11">
        <f ca="1"/>
        <v>8.1912289562289562</v>
      </c>
      <c r="AA1076" s="11">
        <f ca="1"/>
        <v>4.0956144781144781</v>
      </c>
      <c r="AB1076" s="4">
        <f ca="1"/>
        <v>45752</v>
      </c>
      <c r="AC1076" s="4">
        <v>45752</v>
      </c>
      <c r="AD1076" s="9">
        <v>45762</v>
      </c>
      <c r="AE1076" s="9">
        <v>45763</v>
      </c>
      <c r="AF1076" s="4" t="str">
        <f t="shared" ca="1" si="67"/>
        <v>2025 04</v>
      </c>
      <c r="AG1076" s="8" t="str" cm="1">
        <f t="array" ref="AG1076">IFERROR(_xlfn.IFS('Banco de Dados'!#REF!="AG. COMPRA","Em processamento",'Banco de Dados'!#REF!="AG. RASTREIO","Em processamento",'Banco de Dados'!$AE1076&lt;&gt;"-","Faturado",'Banco de Dados'!$AD1076&lt;&gt;"-","Aguardando Pix",'Banco de Dados'!$AC1076&lt;&gt;"-","Pendente"),"Aguardando Liberação")</f>
        <v>Aguardando Liberação</v>
      </c>
      <c r="AH1076" s="5" t="str">
        <f>IF('Banco de Dados'!$F1076="-",_xlfn.CONCAT(PROPER(TEXT(AK1076,"aaaa"))," ",PROPER(TEXT(AK1076,"mm"))),_xlfn.CONCAT(PROPER(TEXT(E1076,"aaaa"))," ",PROPER(TEXT(E1076,"mm"))))</f>
        <v>2025 02</v>
      </c>
      <c r="AI1076" s="9" t="str">
        <f ca="1">IF('Banco de Dados'!$AK1076&lt;&gt;"-","REEMBOLSO",IFERROR(_xlfn.XLOOKUP(G1076,Follow[CODRASTREIO],Follow[STATUS]),"-"))</f>
        <v>ENTREGUE</v>
      </c>
      <c r="AJ1076" s="9">
        <f ca="1">IF('Banco de Dados'!$AI1076="ENTREGUE",_xlfn.XLOOKUP('Banco de Dados'!$G1076,Follow[CODRASTREIO],Follow[DATAATUALIZAÇÃO]),"-")</f>
        <v>45728.822685185187</v>
      </c>
      <c r="AK1076" s="132" t="str">
        <f ca="1"/>
        <v>-</v>
      </c>
      <c r="AL1076" s="35"/>
      <c r="AM1076" s="109" cm="1">
        <f t="array" aca="1" ref="AM1076" ca="1">IF('Banco de Dados'!$AK1076&lt;&gt;"-",_xlfn.IFS('Banco de Dados'!$A1076="bv",IF('Banco de Dados'!$E1076&lt;45641,ROUND(SUM('Banco de Dados'!$R1076*_xlfn.XLOOKUP('Banco de Dados'!$P1076,Sku!B:B,Sku!#REF!)*20%),2),ROUND(SUM('Banco de Dados'!$R1076*_xlfn.XLOOKUP('Banco de Dados'!$P1076,Sku!B:B,Sku!H:H)*20%),2)),'Banco de Dados'!$A1076="GO",ROUND(_xlfn.XLOOKUP('Banco de Dados'!$P1076,Sku!C:C,Sku!H:H),2),'Banco de Dados'!$A1076="MEI",ROUND(_xlfn.XLOOKUP('Banco de Dados'!$P1076,Sku!D:D,Sku!H:H),2)),0)</f>
        <v>0</v>
      </c>
      <c r="AN1076" s="109">
        <f ca="1">IF('Banco de Dados'!$AK1076&lt;&gt;"-",IF('Banco de Dados'!$F1076&lt;&gt;"-",_xlfn.XLOOKUP(IFERROR(IFERROR(IFERROR(VALUE(SUBSTITUTE(MID(_xlfn.TEXTAFTER('Banco de Dados'!$F1076,"Data do Pedido:
",1),1,10),"-","/")),VALUE(SUBSTITUTE(MID(_xlfn.TEXTAFTER('Banco de Dados'!$F1076,"Order date:
",1),1,10),"-","/"))),VALUE(SUBSTITUTE(MID(_xlfn.TEXTAFTER('Banco de Dados'!$F1076,"Fecha de pedido:
",1),1,10),"-","/"))),"-"),SMS!A:A,SMS!K:K),0),0)</f>
        <v>0</v>
      </c>
      <c r="AO1076" s="109">
        <f ca="1">IF('Banco de Dados'!$AK1076&lt;&gt;"-",IF('Banco de Dados'!$F1076&lt;&gt;"-",IFERROR(_xlfn.XLOOKUP(_xlfn.CONCAT('Banco de Dados'!$A1076,IFERROR(IFERROR(VALUE(SUBSTITUTE(MID(_xlfn.TEXTAFTER('Banco de Dados'!$F1076,"Data do Pedido:
",1),1,10),"-","/")),VALUE(SUBSTITUTE(MID(_xlfn.TEXTAFTER('Banco de Dados'!$F1076,"Order date:
",1),1,10),"-","/"))),0)),ProxyDD[Chave],ProxyDD[Valor por pedido]),PROXY!$P$2),0),0)</f>
        <v>0</v>
      </c>
      <c r="AP1076" s="28">
        <f ca="1">IF('Banco de Dados'!$AK1076&lt;&gt;"-",IF('Banco de Dados'!$AL1076="NÃO",IFERROR(VALUE(SUBSTITUTE(_xlfn.TEXTAFTER('Banco de Dados'!$F1076,"BRL ",1),".",",")),0),0),0)</f>
        <v>0</v>
      </c>
      <c r="AQ1076" s="28">
        <f ca="1">SUM('Banco de Dados'!$AM1076:$AP1076)</f>
        <v>0</v>
      </c>
      <c r="AR1076" s="8"/>
      <c r="AY1076" s="8"/>
    </row>
    <row r="1077" spans="1:51">
      <c r="A1077" s="5" t="str">
        <v>BV</v>
      </c>
      <c r="B1077" s="5" t="str">
        <f ca="1"/>
        <v>BV45715</v>
      </c>
      <c r="C1077" s="8" t="str">
        <v>Pedido 1064</v>
      </c>
      <c r="D1077" s="9">
        <v>45715</v>
      </c>
      <c r="E1077" s="9">
        <v>45715</v>
      </c>
      <c r="F1077" s="8" t="str">
        <v>PedidoF1043</v>
      </c>
      <c r="G1077" s="2" t="str">
        <v>CódRastreio1041</v>
      </c>
      <c r="H1077" s="5">
        <v>1</v>
      </c>
      <c r="I1077" s="2" t="str">
        <v>CPF 1035</v>
      </c>
      <c r="J1077" s="2" t="str">
        <v>Nome 1035</v>
      </c>
      <c r="K1077" s="8" t="str">
        <v>Tel 1035</v>
      </c>
      <c r="L1077" s="8" t="str">
        <v>Cep 1035</v>
      </c>
      <c r="M1077" s="8" t="str">
        <v>Rua 1035</v>
      </c>
      <c r="N1077" s="8" t="str">
        <v>Comp 1035</v>
      </c>
      <c r="O1077" s="8" t="str">
        <v>Ventilador Preto</v>
      </c>
      <c r="P1077" s="8" t="str">
        <v>MU-J80P-95WF</v>
      </c>
      <c r="Q1077" s="4">
        <v>45741</v>
      </c>
      <c r="R1077" s="109">
        <v>65.599999999999994</v>
      </c>
      <c r="S1077" s="11">
        <f ca="1"/>
        <v>65.599999999999994</v>
      </c>
      <c r="T1077" s="28">
        <f ca="1"/>
        <v>8.5279999999999987</v>
      </c>
      <c r="U1077" s="11">
        <f ca="1"/>
        <v>57.07</v>
      </c>
      <c r="V1077" s="11">
        <v>12.54</v>
      </c>
      <c r="W1077" s="11">
        <f ca="1"/>
        <v>0.31</v>
      </c>
      <c r="X1077" s="11">
        <f ca="1"/>
        <v>0.39877104377104378</v>
      </c>
      <c r="Y1077" s="11">
        <v>0</v>
      </c>
      <c r="Z1077" s="11">
        <f ca="1"/>
        <v>43.821228956228957</v>
      </c>
      <c r="AA1077" s="11">
        <f ca="1"/>
        <v>21.910614478114478</v>
      </c>
      <c r="AB1077" s="4">
        <f ca="1"/>
        <v>45748</v>
      </c>
      <c r="AC1077" s="4">
        <v>45748</v>
      </c>
      <c r="AD1077" s="9">
        <v>45762</v>
      </c>
      <c r="AE1077" s="9">
        <v>45763</v>
      </c>
      <c r="AF1077" s="4" t="str">
        <f t="shared" ca="1" si="67"/>
        <v>2025 04</v>
      </c>
      <c r="AG1077" s="8" t="str" cm="1">
        <f t="array" ref="AG1077">IFERROR(_xlfn.IFS('Banco de Dados'!#REF!="AG. COMPRA","Em processamento",'Banco de Dados'!#REF!="AG. RASTREIO","Em processamento",'Banco de Dados'!$AE1077&lt;&gt;"-","Faturado",'Banco de Dados'!$AD1077&lt;&gt;"-","Aguardando Pix",'Banco de Dados'!$AC1077&lt;&gt;"-","Pendente"),"Aguardando Liberação")</f>
        <v>Aguardando Liberação</v>
      </c>
      <c r="AH1077" s="5" t="str">
        <f>IF('Banco de Dados'!$F1077="-",_xlfn.CONCAT(PROPER(TEXT(AK1077,"aaaa"))," ",PROPER(TEXT(AK1077,"mm"))),_xlfn.CONCAT(PROPER(TEXT(E1077,"aaaa"))," ",PROPER(TEXT(E1077,"mm"))))</f>
        <v>2025 02</v>
      </c>
      <c r="AI1077" s="9" t="str">
        <f ca="1">IF('Banco de Dados'!$AK1077&lt;&gt;"-","REEMBOLSO",IFERROR(_xlfn.XLOOKUP(G1077,Follow[CODRASTREIO],Follow[STATUS]),"-"))</f>
        <v>ENTREGUE</v>
      </c>
      <c r="AJ1077" s="9">
        <f ca="1">IF('Banco de Dados'!$AI1077="ENTREGUE",_xlfn.XLOOKUP('Banco de Dados'!$G1077,Follow[CODRASTREIO],Follow[DATAATUALIZAÇÃO]),"-")</f>
        <v>45723</v>
      </c>
      <c r="AK1077" s="132" t="str">
        <f ca="1"/>
        <v>-</v>
      </c>
      <c r="AL1077" s="35"/>
      <c r="AM1077" s="109" cm="1">
        <f t="array" aca="1" ref="AM1077" ca="1">IF('Banco de Dados'!$AK1077&lt;&gt;"-",_xlfn.IFS('Banco de Dados'!$A1077="bv",IF('Banco de Dados'!$E1077&lt;45641,ROUND(SUM('Banco de Dados'!$R1077*_xlfn.XLOOKUP('Banco de Dados'!$P1077,Sku!B:B,Sku!#REF!)*20%),2),ROUND(SUM('Banco de Dados'!$R1077*_xlfn.XLOOKUP('Banco de Dados'!$P1077,Sku!B:B,Sku!H:H)*20%),2)),'Banco de Dados'!$A1077="GO",ROUND(_xlfn.XLOOKUP('Banco de Dados'!$P1077,Sku!C:C,Sku!H:H),2),'Banco de Dados'!$A1077="MEI",ROUND(_xlfn.XLOOKUP('Banco de Dados'!$P1077,Sku!D:D,Sku!H:H),2)),0)</f>
        <v>0</v>
      </c>
      <c r="AN1077" s="109">
        <f ca="1">IF('Banco de Dados'!$AK1077&lt;&gt;"-",IF('Banco de Dados'!$F1077&lt;&gt;"-",_xlfn.XLOOKUP(IFERROR(IFERROR(IFERROR(VALUE(SUBSTITUTE(MID(_xlfn.TEXTAFTER('Banco de Dados'!$F1077,"Data do Pedido:
",1),1,10),"-","/")),VALUE(SUBSTITUTE(MID(_xlfn.TEXTAFTER('Banco de Dados'!$F1077,"Order date:
",1),1,10),"-","/"))),VALUE(SUBSTITUTE(MID(_xlfn.TEXTAFTER('Banco de Dados'!$F1077,"Fecha de pedido:
",1),1,10),"-","/"))),"-"),SMS!A:A,SMS!K:K),0),0)</f>
        <v>0</v>
      </c>
      <c r="AO1077" s="109">
        <f ca="1">IF('Banco de Dados'!$AK1077&lt;&gt;"-",IF('Banco de Dados'!$F1077&lt;&gt;"-",IFERROR(_xlfn.XLOOKUP(_xlfn.CONCAT('Banco de Dados'!$A1077,IFERROR(IFERROR(VALUE(SUBSTITUTE(MID(_xlfn.TEXTAFTER('Banco de Dados'!$F1077,"Data do Pedido:
",1),1,10),"-","/")),VALUE(SUBSTITUTE(MID(_xlfn.TEXTAFTER('Banco de Dados'!$F1077,"Order date:
",1),1,10),"-","/"))),0)),ProxyDD[Chave],ProxyDD[Valor por pedido]),PROXY!$P$2),0),0)</f>
        <v>0</v>
      </c>
      <c r="AP1077" s="28">
        <f ca="1">IF('Banco de Dados'!$AK1077&lt;&gt;"-",IF('Banco de Dados'!$AL1077="NÃO",IFERROR(VALUE(SUBSTITUTE(_xlfn.TEXTAFTER('Banco de Dados'!$F1077,"BRL ",1),".",",")),0),0),0)</f>
        <v>0</v>
      </c>
      <c r="AQ1077" s="28">
        <f ca="1">SUM('Banco de Dados'!$AM1077:$AP1077)</f>
        <v>0</v>
      </c>
      <c r="AR1077" s="8"/>
      <c r="AY1077" s="8"/>
    </row>
    <row r="1078" spans="1:51">
      <c r="A1078" s="5" t="str">
        <v>GO</v>
      </c>
      <c r="B1078" s="5" t="str">
        <f ca="1"/>
        <v>GO45715</v>
      </c>
      <c r="C1078" s="8" t="str">
        <v>Pedido 1065</v>
      </c>
      <c r="D1078" s="187">
        <v>45715</v>
      </c>
      <c r="E1078" s="9">
        <v>45715</v>
      </c>
      <c r="F1078" s="8" t="str">
        <v>PedidoF1044</v>
      </c>
      <c r="G1078" s="2" t="str">
        <v>CódRastreio1042</v>
      </c>
      <c r="H1078" s="5">
        <v>1</v>
      </c>
      <c r="I1078" s="2" t="str">
        <v>CPF 1036</v>
      </c>
      <c r="J1078" s="2" t="str">
        <v>Nome 1036</v>
      </c>
      <c r="K1078" s="8" t="str">
        <v>Tel 1036</v>
      </c>
      <c r="L1078" s="8" t="str">
        <v>Cep 1036</v>
      </c>
      <c r="M1078" s="8" t="str">
        <v>Rua 1036</v>
      </c>
      <c r="N1078" s="8" t="str">
        <v>Comp 1036</v>
      </c>
      <c r="O1078" s="8" t="str">
        <v>Escova Multifuncional</v>
      </c>
      <c r="P1078" s="8" t="str">
        <v>E7-FW3C-EHOL</v>
      </c>
      <c r="Q1078" s="4">
        <v>45735</v>
      </c>
      <c r="R1078" s="109">
        <v>35.99</v>
      </c>
      <c r="S1078" s="11">
        <f ca="1"/>
        <v>35.99</v>
      </c>
      <c r="T1078" s="28">
        <f ca="1"/>
        <v>5.3985000000000003</v>
      </c>
      <c r="U1078" s="11">
        <f ca="1"/>
        <v>30.59</v>
      </c>
      <c r="V1078" s="11">
        <v>22.2</v>
      </c>
      <c r="W1078" s="11">
        <f ca="1"/>
        <v>0.2</v>
      </c>
      <c r="X1078" s="11">
        <f ca="1"/>
        <v>0.39877104377104378</v>
      </c>
      <c r="Y1078" s="11">
        <v>0</v>
      </c>
      <c r="Z1078" s="11">
        <f ca="1"/>
        <v>7.7912289562289558</v>
      </c>
      <c r="AA1078" s="11">
        <f ca="1"/>
        <v>7.7912289562289558</v>
      </c>
      <c r="AB1078" s="4">
        <f ca="1"/>
        <v>45742</v>
      </c>
      <c r="AC1078" s="4">
        <v>45742</v>
      </c>
      <c r="AD1078" s="9">
        <v>45747</v>
      </c>
      <c r="AE1078" s="9">
        <v>45749</v>
      </c>
      <c r="AF1078" s="4" t="str">
        <f t="shared" ca="1" si="67"/>
        <v>2025 03</v>
      </c>
      <c r="AG1078" s="8" t="str" cm="1">
        <f t="array" ref="AG1078">IFERROR(_xlfn.IFS('Banco de Dados'!#REF!="AG. COMPRA","Em processamento",'Banco de Dados'!#REF!="AG. RASTREIO","Em processamento",'Banco de Dados'!$AE1078&lt;&gt;"-","Faturado",'Banco de Dados'!$AD1078&lt;&gt;"-","Aguardando Pix",'Banco de Dados'!$AC1078&lt;&gt;"-","Pendente"),"Aguardando Liberação")</f>
        <v>Aguardando Liberação</v>
      </c>
      <c r="AH1078" s="5" t="str">
        <f>IF('Banco de Dados'!$F1078="-",_xlfn.CONCAT(PROPER(TEXT(AK1078,"aaaa"))," ",PROPER(TEXT(AK1078,"mm"))),_xlfn.CONCAT(PROPER(TEXT(E1078,"aaaa"))," ",PROPER(TEXT(E1078,"mm"))))</f>
        <v>2025 02</v>
      </c>
      <c r="AI1078" s="9" t="str">
        <f ca="1">IF('Banco de Dados'!$AK1078&lt;&gt;"-","REEMBOLSO",IFERROR(_xlfn.XLOOKUP(G1078,Follow[CODRASTREIO],Follow[STATUS]),"-"))</f>
        <v>ENTREGUE</v>
      </c>
      <c r="AJ1078" s="9">
        <f ca="1">IF('Banco de Dados'!$AI1078="ENTREGUE",_xlfn.XLOOKUP('Banco de Dados'!$G1078,Follow[CODRASTREIO],Follow[DATAATUALIZAÇÃO]),"-")</f>
        <v>45733</v>
      </c>
      <c r="AK1078" s="132" t="str">
        <f ca="1"/>
        <v>-</v>
      </c>
      <c r="AL1078" s="35"/>
      <c r="AM1078" s="109" cm="1">
        <f t="array" aca="1" ref="AM1078" ca="1">IF('Banco de Dados'!$AK1078&lt;&gt;"-",_xlfn.IFS('Banco de Dados'!$A1078="bv",IF('Banco de Dados'!$E1078&lt;45641,ROUND(SUM('Banco de Dados'!$R1078*_xlfn.XLOOKUP('Banco de Dados'!$P1078,Sku!B:B,Sku!#REF!)*20%),2),ROUND(SUM('Banco de Dados'!$R1078*_xlfn.XLOOKUP('Banco de Dados'!$P1078,Sku!B:B,Sku!H:H)*20%),2)),'Banco de Dados'!$A1078="GO",ROUND(SUM('Banco de Dados'!$R1078*_xlfn.XLOOKUP('Banco de Dados'!$P1078,Sku!C:C,Sku!H:H)*20%),2),'Banco de Dados'!$A1078="MEI",ROUND(SUM('Banco de Dados'!$R1078*_xlfn.XLOOKUP('Banco de Dados'!$P1078,Sku!D:D,Sku!H:H)*20%),2)),0)</f>
        <v>0</v>
      </c>
      <c r="AN1078" s="109">
        <f ca="1">IF('Banco de Dados'!$AK1078&lt;&gt;"-",IF('Banco de Dados'!$F1078&lt;&gt;"-",_xlfn.XLOOKUP(IFERROR(IFERROR(IFERROR(VALUE(SUBSTITUTE(MID(_xlfn.TEXTAFTER('Banco de Dados'!$F1078,"Data do Pedido:
",1),1,10),"-","/")),VALUE(SUBSTITUTE(MID(_xlfn.TEXTAFTER('Banco de Dados'!$F1078,"Order date:
",1),1,10),"-","/"))),VALUE(SUBSTITUTE(MID(_xlfn.TEXTAFTER('Banco de Dados'!$F1078,"Fecha de pedido:
",1),1,10),"-","/"))),"-"),SMS!A:A,SMS!K:K),0),0)</f>
        <v>0</v>
      </c>
      <c r="AO1078" s="109">
        <f ca="1">IF('Banco de Dados'!$AK1078&lt;&gt;"-",IF('Banco de Dados'!$F1078&lt;&gt;"-",IFERROR(_xlfn.XLOOKUP(_xlfn.CONCAT('Banco de Dados'!$A1078,IFERROR(IFERROR(VALUE(SUBSTITUTE(MID(_xlfn.TEXTAFTER('Banco de Dados'!$F1078,"Data do Pedido:
",1),1,10),"-","/")),VALUE(SUBSTITUTE(MID(_xlfn.TEXTAFTER('Banco de Dados'!$F1078,"Order date:
",1),1,10),"-","/"))),0)),ProxyDD[Chave],ProxyDD[Valor por pedido]),PROXY!$P$2),0),0)</f>
        <v>0</v>
      </c>
      <c r="AP1078" s="28">
        <f ca="1">IF('Banco de Dados'!$AK1078&lt;&gt;"-",IF('Banco de Dados'!$AL1078="NÃO",IFERROR(VALUE(SUBSTITUTE(_xlfn.TEXTAFTER('Banco de Dados'!$F1078,"BRL ",1),".",",")),0),0),0)</f>
        <v>0</v>
      </c>
      <c r="AQ1078" s="28">
        <f ca="1">SUM('Banco de Dados'!$AM1078:$AP1078)</f>
        <v>0</v>
      </c>
      <c r="AR1078" s="8"/>
      <c r="AY1078" s="8"/>
    </row>
    <row r="1079" spans="1:51">
      <c r="A1079" s="5" t="str">
        <v>BV</v>
      </c>
      <c r="B1079" s="5" t="str">
        <f ca="1"/>
        <v>BV45716</v>
      </c>
      <c r="C1079" s="8" t="str">
        <v>Pedido 1066</v>
      </c>
      <c r="D1079" s="9">
        <v>45716</v>
      </c>
      <c r="E1079" s="9">
        <v>45716</v>
      </c>
      <c r="F1079" s="8" t="str">
        <v>PedidoF1045</v>
      </c>
      <c r="G1079" s="2" t="str">
        <v>CódRastreio1043</v>
      </c>
      <c r="H1079" s="5">
        <v>1</v>
      </c>
      <c r="I1079" s="2" t="str">
        <v>CPF 1037</v>
      </c>
      <c r="J1079" s="2" t="str">
        <v>Nome 1037</v>
      </c>
      <c r="K1079" s="8" t="str">
        <v>Tel 1037</v>
      </c>
      <c r="L1079" s="8" t="str">
        <v>Cep 1037</v>
      </c>
      <c r="M1079" s="8" t="str">
        <v>Rua 1037</v>
      </c>
      <c r="N1079" s="8" t="str">
        <v>Comp 1037</v>
      </c>
      <c r="O1079" s="8" t="str">
        <v>Ventilador Preto</v>
      </c>
      <c r="P1079" s="8" t="str">
        <v>MU-J80P-95WF</v>
      </c>
      <c r="Q1079" s="4">
        <v>45741</v>
      </c>
      <c r="R1079" s="109">
        <v>65.599999999999994</v>
      </c>
      <c r="S1079" s="11">
        <f ca="1"/>
        <v>65.599999999999994</v>
      </c>
      <c r="T1079" s="28">
        <f ca="1"/>
        <v>8.5279999999999987</v>
      </c>
      <c r="U1079" s="11">
        <f ca="1"/>
        <v>57.07</v>
      </c>
      <c r="V1079" s="11">
        <v>14.26</v>
      </c>
      <c r="W1079" s="11">
        <f ca="1"/>
        <v>0.2</v>
      </c>
      <c r="X1079" s="11">
        <f ca="1"/>
        <v>0.39877104377104378</v>
      </c>
      <c r="Y1079" s="11">
        <v>0</v>
      </c>
      <c r="Z1079" s="11">
        <f ca="1"/>
        <v>42.211228956228958</v>
      </c>
      <c r="AA1079" s="11">
        <f ca="1"/>
        <v>21.105614478114479</v>
      </c>
      <c r="AB1079" s="4">
        <f ca="1"/>
        <v>45748</v>
      </c>
      <c r="AC1079" s="4">
        <v>45748</v>
      </c>
      <c r="AD1079" s="9">
        <v>45762</v>
      </c>
      <c r="AE1079" s="9">
        <v>45763</v>
      </c>
      <c r="AF1079" s="4" t="str">
        <f t="shared" ref="AF1079:AF1085" ca="1" si="68">_xlfn.CONCAT(PROPER(TEXT(AB1079,"aaaa"))," ",PROPER(TEXT(AB1079,"mm")))</f>
        <v>2025 04</v>
      </c>
      <c r="AG1079" s="8" t="str" cm="1">
        <f t="array" ref="AG1079">IFERROR(_xlfn.IFS('Banco de Dados'!#REF!="AG. COMPRA","Em processamento",'Banco de Dados'!#REF!="AG. RASTREIO","Em processamento",'Banco de Dados'!$AE1079&lt;&gt;"-","Faturado",'Banco de Dados'!$AD1079&lt;&gt;"-","Aguardando Pix",'Banco de Dados'!$AC1079&lt;&gt;"-","Pendente"),"Aguardando Liberação")</f>
        <v>Aguardando Liberação</v>
      </c>
      <c r="AH1079" s="5" t="str">
        <f>IF('Banco de Dados'!$F1079="-",_xlfn.CONCAT(PROPER(TEXT(AK1079,"aaaa"))," ",PROPER(TEXT(AK1079,"mm"))),_xlfn.CONCAT(PROPER(TEXT(E1079,"aaaa"))," ",PROPER(TEXT(E1079,"mm"))))</f>
        <v>2025 02</v>
      </c>
      <c r="AI1079" s="9" t="str">
        <f ca="1">IF('Banco de Dados'!$AK1079&lt;&gt;"-","REEMBOLSO",IFERROR(_xlfn.XLOOKUP(G1079,Follow[CODRASTREIO],Follow[STATUS]),"-"))</f>
        <v>ENTREGUE</v>
      </c>
      <c r="AJ1079" s="9">
        <f ca="1">IF('Banco de Dados'!$AI1079="ENTREGUE",_xlfn.XLOOKUP('Banco de Dados'!$G1079,Follow[CODRASTREIO],Follow[DATAATUALIZAÇÃO]),"-")</f>
        <v>45726</v>
      </c>
      <c r="AK1079" s="132" t="str">
        <f ca="1"/>
        <v>-</v>
      </c>
      <c r="AL1079" s="35"/>
      <c r="AM1079" s="109" cm="1">
        <f t="array" aca="1" ref="AM1079" ca="1">IF('Banco de Dados'!$AK1079&lt;&gt;"-",_xlfn.IFS('Banco de Dados'!$A1079="bv",IF('Banco de Dados'!$E1079&lt;45641,ROUND(SUM('Banco de Dados'!$R1079*_xlfn.XLOOKUP('Banco de Dados'!$P1079,Sku!B:B,Sku!#REF!)*20%),2),ROUND(SUM('Banco de Dados'!$R1079*_xlfn.XLOOKUP('Banco de Dados'!$P1079,Sku!B:B,Sku!H:H)*20%),2)),'Banco de Dados'!$A1079="GO",ROUND(_xlfn.XLOOKUP('Banco de Dados'!$P1079,Sku!C:C,Sku!H:H),2),'Banco de Dados'!$A1079="MEI",ROUND(_xlfn.XLOOKUP('Banco de Dados'!$P1079,Sku!D:D,Sku!H:H),2)),0)</f>
        <v>0</v>
      </c>
      <c r="AN1079" s="109">
        <f ca="1">IF('Banco de Dados'!$AK1079&lt;&gt;"-",IF('Banco de Dados'!$F1079&lt;&gt;"-",_xlfn.XLOOKUP(IFERROR(IFERROR(IFERROR(VALUE(SUBSTITUTE(MID(_xlfn.TEXTAFTER('Banco de Dados'!$F1079,"Data do Pedido:
",1),1,10),"-","/")),VALUE(SUBSTITUTE(MID(_xlfn.TEXTAFTER('Banco de Dados'!$F1079,"Order date:
",1),1,10),"-","/"))),VALUE(SUBSTITUTE(MID(_xlfn.TEXTAFTER('Banco de Dados'!$F1079,"Fecha de pedido:
",1),1,10),"-","/"))),"-"),SMS!A:A,SMS!K:K),0),0)</f>
        <v>0</v>
      </c>
      <c r="AO1079" s="109">
        <f ca="1">IF('Banco de Dados'!$AK1079&lt;&gt;"-",IF('Banco de Dados'!$F1079&lt;&gt;"-",IFERROR(_xlfn.XLOOKUP(_xlfn.CONCAT('Banco de Dados'!$A1079,IFERROR(IFERROR(VALUE(SUBSTITUTE(MID(_xlfn.TEXTAFTER('Banco de Dados'!$F1079,"Data do Pedido:
",1),1,10),"-","/")),VALUE(SUBSTITUTE(MID(_xlfn.TEXTAFTER('Banco de Dados'!$F1079,"Order date:
",1),1,10),"-","/"))),0)),ProxyDD[Chave],ProxyDD[Valor por pedido]),PROXY!$P$2),0),0)</f>
        <v>0</v>
      </c>
      <c r="AP1079" s="28">
        <f ca="1">IF('Banco de Dados'!$AK1079&lt;&gt;"-",IF('Banco de Dados'!$AL1079="NÃO",IFERROR(VALUE(SUBSTITUTE(_xlfn.TEXTAFTER('Banco de Dados'!$F1079,"BRL ",1),".",",")),0),0),0)</f>
        <v>0</v>
      </c>
      <c r="AQ1079" s="28">
        <f ca="1">SUM('Banco de Dados'!$AM1079:$AP1079)</f>
        <v>0</v>
      </c>
      <c r="AR1079" s="8"/>
      <c r="AY1079" s="8"/>
    </row>
    <row r="1080" spans="1:51">
      <c r="A1080" s="5" t="str">
        <v>BV</v>
      </c>
      <c r="B1080" s="5" t="str">
        <f ca="1"/>
        <v>BV45716</v>
      </c>
      <c r="C1080" s="8" t="str">
        <v>Pedido 1067</v>
      </c>
      <c r="D1080" s="9">
        <v>45716</v>
      </c>
      <c r="E1080" s="9">
        <v>45716</v>
      </c>
      <c r="F1080" s="8" t="str">
        <v>PedidoF1046</v>
      </c>
      <c r="G1080" s="2" t="str">
        <v>CódRastreio1044</v>
      </c>
      <c r="H1080" s="5">
        <v>1</v>
      </c>
      <c r="I1080" s="2" t="str">
        <v>CPF 1038</v>
      </c>
      <c r="J1080" s="2" t="str">
        <v>Nome 1038</v>
      </c>
      <c r="K1080" s="8" t="str">
        <v>Tel 1038</v>
      </c>
      <c r="L1080" s="8" t="str">
        <v>Cep 1038</v>
      </c>
      <c r="M1080" s="8" t="str">
        <v>Rua 1038</v>
      </c>
      <c r="N1080" s="8" t="str">
        <v>Comp 1038</v>
      </c>
      <c r="O1080" s="8" t="str">
        <v>Ventilador Preto</v>
      </c>
      <c r="P1080" s="8" t="str">
        <v>MU-J80P-95WF</v>
      </c>
      <c r="Q1080" s="4">
        <v>45742</v>
      </c>
      <c r="R1080" s="109">
        <v>65.599999999999994</v>
      </c>
      <c r="S1080" s="11">
        <f ca="1"/>
        <v>65.599999999999994</v>
      </c>
      <c r="T1080" s="28">
        <f ca="1"/>
        <v>8.5279999999999987</v>
      </c>
      <c r="U1080" s="11">
        <f ca="1"/>
        <v>57.07</v>
      </c>
      <c r="V1080" s="11">
        <v>14.26</v>
      </c>
      <c r="W1080" s="11">
        <f ca="1"/>
        <v>0.2</v>
      </c>
      <c r="X1080" s="11">
        <f ca="1"/>
        <v>0.39877104377104378</v>
      </c>
      <c r="Y1080" s="11">
        <v>0</v>
      </c>
      <c r="Z1080" s="11">
        <f ca="1"/>
        <v>42.211228956228958</v>
      </c>
      <c r="AA1080" s="11">
        <f ca="1"/>
        <v>21.105614478114479</v>
      </c>
      <c r="AB1080" s="4">
        <f ca="1"/>
        <v>45749</v>
      </c>
      <c r="AC1080" s="4">
        <v>45749</v>
      </c>
      <c r="AD1080" s="9">
        <v>45762</v>
      </c>
      <c r="AE1080" s="9">
        <v>45763</v>
      </c>
      <c r="AF1080" s="4" t="str">
        <f t="shared" ca="1" si="68"/>
        <v>2025 04</v>
      </c>
      <c r="AG1080" s="8" t="str" cm="1">
        <f t="array" ref="AG1080">IFERROR(_xlfn.IFS('Banco de Dados'!#REF!="AG. COMPRA","Em processamento",'Banco de Dados'!#REF!="AG. RASTREIO","Em processamento",'Banco de Dados'!$AE1080&lt;&gt;"-","Faturado",'Banco de Dados'!$AD1080&lt;&gt;"-","Aguardando Pix",'Banco de Dados'!$AC1080&lt;&gt;"-","Pendente"),"Aguardando Liberação")</f>
        <v>Aguardando Liberação</v>
      </c>
      <c r="AH1080" s="5" t="str">
        <f>IF('Banco de Dados'!$F1080="-",_xlfn.CONCAT(PROPER(TEXT(AK1080,"aaaa"))," ",PROPER(TEXT(AK1080,"mm"))),_xlfn.CONCAT(PROPER(TEXT(E1080,"aaaa"))," ",PROPER(TEXT(E1080,"mm"))))</f>
        <v>2025 02</v>
      </c>
      <c r="AI1080" s="9" t="str">
        <f ca="1">IF('Banco de Dados'!$AK1080&lt;&gt;"-","REEMBOLSO",IFERROR(_xlfn.XLOOKUP(G1080,Follow[CODRASTREIO],Follow[STATUS]),"-"))</f>
        <v>ENTREGUE</v>
      </c>
      <c r="AJ1080" s="9">
        <f ca="1">IF('Banco de Dados'!$AI1080="ENTREGUE",_xlfn.XLOOKUP('Banco de Dados'!$G1080,Follow[CODRASTREIO],Follow[DATAATUALIZAÇÃO]),"-")</f>
        <v>45726</v>
      </c>
      <c r="AK1080" s="132" t="str">
        <f ca="1"/>
        <v>-</v>
      </c>
      <c r="AL1080" s="35"/>
      <c r="AM1080" s="109" cm="1">
        <f t="array" aca="1" ref="AM1080" ca="1">IF('Banco de Dados'!$AK1080&lt;&gt;"-",_xlfn.IFS('Banco de Dados'!$A1080="bv",IF('Banco de Dados'!$E1080&lt;45641,ROUND(SUM('Banco de Dados'!$R1080*_xlfn.XLOOKUP('Banco de Dados'!$P1080,Sku!B:B,Sku!#REF!)*20%),2),ROUND(SUM('Banco de Dados'!$R1080*_xlfn.XLOOKUP('Banco de Dados'!$P1080,Sku!B:B,Sku!H:H)*20%),2)),'Banco de Dados'!$A1080="GO",ROUND(_xlfn.XLOOKUP('Banco de Dados'!$P1080,Sku!C:C,Sku!H:H),2),'Banco de Dados'!$A1080="MEI",ROUND(_xlfn.XLOOKUP('Banco de Dados'!$P1080,Sku!D:D,Sku!H:H),2)),0)</f>
        <v>0</v>
      </c>
      <c r="AN1080" s="109">
        <f ca="1">IF('Banco de Dados'!$AK1080&lt;&gt;"-",IF('Banco de Dados'!$F1080&lt;&gt;"-",_xlfn.XLOOKUP(IFERROR(IFERROR(IFERROR(VALUE(SUBSTITUTE(MID(_xlfn.TEXTAFTER('Banco de Dados'!$F1080,"Data do Pedido:
",1),1,10),"-","/")),VALUE(SUBSTITUTE(MID(_xlfn.TEXTAFTER('Banco de Dados'!$F1080,"Order date:
",1),1,10),"-","/"))),VALUE(SUBSTITUTE(MID(_xlfn.TEXTAFTER('Banco de Dados'!$F1080,"Fecha de pedido:
",1),1,10),"-","/"))),"-"),SMS!A:A,SMS!K:K),0),0)</f>
        <v>0</v>
      </c>
      <c r="AO1080" s="109">
        <f ca="1">IF('Banco de Dados'!$AK1080&lt;&gt;"-",IF('Banco de Dados'!$F1080&lt;&gt;"-",IFERROR(_xlfn.XLOOKUP(_xlfn.CONCAT('Banco de Dados'!$A1080,IFERROR(IFERROR(VALUE(SUBSTITUTE(MID(_xlfn.TEXTAFTER('Banco de Dados'!$F1080,"Data do Pedido:
",1),1,10),"-","/")),VALUE(SUBSTITUTE(MID(_xlfn.TEXTAFTER('Banco de Dados'!$F1080,"Order date:
",1),1,10),"-","/"))),0)),ProxyDD[Chave],ProxyDD[Valor por pedido]),PROXY!$P$2),0),0)</f>
        <v>0</v>
      </c>
      <c r="AP1080" s="28">
        <f ca="1">IF('Banco de Dados'!$AK1080&lt;&gt;"-",IF('Banco de Dados'!$AL1080="NÃO",IFERROR(VALUE(SUBSTITUTE(_xlfn.TEXTAFTER('Banco de Dados'!$F1080,"BRL ",1),".",",")),0),0),0)</f>
        <v>0</v>
      </c>
      <c r="AQ1080" s="28">
        <f ca="1">SUM('Banco de Dados'!$AM1080:$AP1080)</f>
        <v>0</v>
      </c>
      <c r="AR1080" s="8"/>
      <c r="AY1080" s="8"/>
    </row>
    <row r="1081" spans="1:51">
      <c r="A1081" s="5" t="str">
        <v>BV</v>
      </c>
      <c r="B1081" s="5" t="str">
        <f ca="1"/>
        <v>BV45716</v>
      </c>
      <c r="C1081" s="8" t="str">
        <v>Pedido 1068</v>
      </c>
      <c r="D1081" s="9">
        <v>45716</v>
      </c>
      <c r="E1081" s="9">
        <v>45716</v>
      </c>
      <c r="F1081" s="8" t="str">
        <v>PedidoF1047</v>
      </c>
      <c r="G1081" s="2" t="str">
        <v>CódRastreio1045</v>
      </c>
      <c r="H1081" s="5">
        <v>1</v>
      </c>
      <c r="I1081" s="2" t="str">
        <v>CPF 1039</v>
      </c>
      <c r="J1081" s="2" t="str">
        <v>Nome 1039</v>
      </c>
      <c r="K1081" s="8" t="str">
        <v>Tel 1039</v>
      </c>
      <c r="L1081" s="8" t="str">
        <v>Cep 1039</v>
      </c>
      <c r="M1081" s="8" t="str">
        <v>Rua 1039</v>
      </c>
      <c r="N1081" s="8" t="str">
        <v>Comp 1039</v>
      </c>
      <c r="O1081" s="8" t="str">
        <v>Garrafa Termica</v>
      </c>
      <c r="P1081" s="8" t="str">
        <v>FM-QQ8Y-RZT4</v>
      </c>
      <c r="Q1081" s="4">
        <v>45742</v>
      </c>
      <c r="R1081" s="109">
        <v>23.5</v>
      </c>
      <c r="S1081" s="11">
        <f ca="1"/>
        <v>23.5</v>
      </c>
      <c r="T1081" s="28">
        <f ca="1"/>
        <v>3.0550000000000002</v>
      </c>
      <c r="U1081" s="11">
        <f ca="1"/>
        <v>20.45</v>
      </c>
      <c r="V1081" s="11">
        <v>13.8</v>
      </c>
      <c r="W1081" s="11">
        <f ca="1"/>
        <v>0.2</v>
      </c>
      <c r="X1081" s="11">
        <f ca="1"/>
        <v>0.39877104377104378</v>
      </c>
      <c r="Y1081" s="11">
        <v>0</v>
      </c>
      <c r="Z1081" s="11">
        <f ca="1"/>
        <v>6.0512289562289556</v>
      </c>
      <c r="AA1081" s="11">
        <f ca="1"/>
        <v>3.0256144781144778</v>
      </c>
      <c r="AB1081" s="4">
        <f ca="1"/>
        <v>45749</v>
      </c>
      <c r="AC1081" s="4">
        <v>45749</v>
      </c>
      <c r="AD1081" s="9">
        <v>45762</v>
      </c>
      <c r="AE1081" s="9">
        <v>45763</v>
      </c>
      <c r="AF1081" s="4" t="str">
        <f t="shared" ca="1" si="68"/>
        <v>2025 04</v>
      </c>
      <c r="AG1081" s="8" t="str" cm="1">
        <f t="array" ref="AG1081">IFERROR(_xlfn.IFS('Banco de Dados'!#REF!="AG. COMPRA","Em processamento",'Banco de Dados'!#REF!="AG. RASTREIO","Em processamento",'Banco de Dados'!$AE1081&lt;&gt;"-","Faturado",'Banco de Dados'!$AD1081&lt;&gt;"-","Aguardando Pix",'Banco de Dados'!$AC1081&lt;&gt;"-","Pendente"),"Aguardando Liberação")</f>
        <v>Aguardando Liberação</v>
      </c>
      <c r="AH1081" s="5" t="str">
        <f>IF('Banco de Dados'!$F1081="-",_xlfn.CONCAT(PROPER(TEXT(AK1081,"aaaa"))," ",PROPER(TEXT(AK1081,"mm"))),_xlfn.CONCAT(PROPER(TEXT(E1081,"aaaa"))," ",PROPER(TEXT(E1081,"mm"))))</f>
        <v>2025 02</v>
      </c>
      <c r="AI1081" s="9" t="str">
        <f ca="1">IF('Banco de Dados'!$AK1081&lt;&gt;"-","REEMBOLSO",IFERROR(_xlfn.XLOOKUP(G1081,Follow[CODRASTREIO],Follow[STATUS]),"-"))</f>
        <v>ENTREGUE</v>
      </c>
      <c r="AJ1081" s="9">
        <f ca="1">IF('Banco de Dados'!$AI1081="ENTREGUE",_xlfn.XLOOKUP('Banco de Dados'!$G1081,Follow[CODRASTREIO],Follow[DATAATUALIZAÇÃO]),"-")</f>
        <v>45730</v>
      </c>
      <c r="AK1081" s="132" t="str">
        <f ca="1"/>
        <v>-</v>
      </c>
      <c r="AL1081" s="35"/>
      <c r="AM1081" s="109" cm="1">
        <f t="array" aca="1" ref="AM1081" ca="1">IF('Banco de Dados'!$AK1081&lt;&gt;"-",_xlfn.IFS('Banco de Dados'!$A1081="bv",IF('Banco de Dados'!$E1081&lt;45641,ROUND(SUM('Banco de Dados'!$R1081*_xlfn.XLOOKUP('Banco de Dados'!$P1081,Sku!B:B,Sku!#REF!)*20%),2),ROUND(SUM('Banco de Dados'!$R1081*_xlfn.XLOOKUP('Banco de Dados'!$P1081,Sku!B:B,Sku!H:H)*20%),2)),'Banco de Dados'!$A1081="GO",ROUND(_xlfn.XLOOKUP('Banco de Dados'!$P1081,Sku!C:C,Sku!H:H),2),'Banco de Dados'!$A1081="MEI",ROUND(_xlfn.XLOOKUP('Banco de Dados'!$P1081,Sku!D:D,Sku!H:H),2)),0)</f>
        <v>0</v>
      </c>
      <c r="AN1081" s="109">
        <f ca="1">IF('Banco de Dados'!$AK1081&lt;&gt;"-",IF('Banco de Dados'!$F1081&lt;&gt;"-",_xlfn.XLOOKUP(IFERROR(IFERROR(IFERROR(VALUE(SUBSTITUTE(MID(_xlfn.TEXTAFTER('Banco de Dados'!$F1081,"Data do Pedido:
",1),1,10),"-","/")),VALUE(SUBSTITUTE(MID(_xlfn.TEXTAFTER('Banco de Dados'!$F1081,"Order date:
",1),1,10),"-","/"))),VALUE(SUBSTITUTE(MID(_xlfn.TEXTAFTER('Banco de Dados'!$F1081,"Fecha de pedido:
",1),1,10),"-","/"))),"-"),SMS!A:A,SMS!K:K),0),0)</f>
        <v>0</v>
      </c>
      <c r="AO1081" s="109">
        <f ca="1">IF('Banco de Dados'!$AK1081&lt;&gt;"-",IF('Banco de Dados'!$F1081&lt;&gt;"-",IFERROR(_xlfn.XLOOKUP(_xlfn.CONCAT('Banco de Dados'!$A1081,IFERROR(IFERROR(VALUE(SUBSTITUTE(MID(_xlfn.TEXTAFTER('Banco de Dados'!$F1081,"Data do Pedido:
",1),1,10),"-","/")),VALUE(SUBSTITUTE(MID(_xlfn.TEXTAFTER('Banco de Dados'!$F1081,"Order date:
",1),1,10),"-","/"))),0)),ProxyDD[Chave],ProxyDD[Valor por pedido]),PROXY!$P$2),0),0)</f>
        <v>0</v>
      </c>
      <c r="AP1081" s="28">
        <f ca="1">IF('Banco de Dados'!$AK1081&lt;&gt;"-",IF('Banco de Dados'!$AL1081="NÃO",IFERROR(VALUE(SUBSTITUTE(_xlfn.TEXTAFTER('Banco de Dados'!$F1081,"BRL ",1),".",",")),0),0),0)</f>
        <v>0</v>
      </c>
      <c r="AQ1081" s="28">
        <f ca="1">SUM('Banco de Dados'!$AM1081:$AP1081)</f>
        <v>0</v>
      </c>
      <c r="AR1081" s="8"/>
      <c r="AY1081" s="8"/>
    </row>
    <row r="1082" spans="1:51">
      <c r="A1082" s="5" t="str">
        <v>BV</v>
      </c>
      <c r="B1082" s="5" t="str">
        <f ca="1"/>
        <v>BV45716</v>
      </c>
      <c r="C1082" s="8" t="str">
        <v>Pedido 1069</v>
      </c>
      <c r="D1082" s="9">
        <v>45716</v>
      </c>
      <c r="E1082" s="9">
        <v>45716</v>
      </c>
      <c r="F1082" s="8" t="str">
        <v>PedidoF1048</v>
      </c>
      <c r="G1082" s="2" t="str">
        <v>CódRastreio1046</v>
      </c>
      <c r="H1082" s="5">
        <v>1</v>
      </c>
      <c r="I1082" s="2" t="str">
        <v>CPF 1040</v>
      </c>
      <c r="J1082" s="2" t="str">
        <v>Nome 1040</v>
      </c>
      <c r="K1082" s="8" t="str">
        <v>Tel 1040</v>
      </c>
      <c r="L1082" s="8" t="str">
        <v>Cep 1040</v>
      </c>
      <c r="M1082" s="8" t="str">
        <v>Rua 1040</v>
      </c>
      <c r="N1082" s="8" t="str">
        <v>Comp 1040</v>
      </c>
      <c r="O1082" s="8" t="str">
        <v>Karaoke portátil</v>
      </c>
      <c r="P1082" s="8" t="str">
        <v>08-PAJ9-YM9P</v>
      </c>
      <c r="Q1082" s="4">
        <v>45748</v>
      </c>
      <c r="R1082" s="109">
        <v>55.99</v>
      </c>
      <c r="S1082" s="11">
        <f ca="1"/>
        <v>0</v>
      </c>
      <c r="T1082" s="28">
        <f ca="1"/>
        <v>0</v>
      </c>
      <c r="U1082" s="11">
        <f ca="1"/>
        <v>0</v>
      </c>
      <c r="V1082" s="11">
        <v>0</v>
      </c>
      <c r="W1082" s="11">
        <f ca="1"/>
        <v>0</v>
      </c>
      <c r="X1082" s="11">
        <f ca="1"/>
        <v>0.39877104377104378</v>
      </c>
      <c r="Y1082" s="11">
        <v>0</v>
      </c>
      <c r="Z1082" s="11">
        <f ca="1"/>
        <v>-0.39877104377104378</v>
      </c>
      <c r="AA1082" s="11">
        <f ca="1"/>
        <v>-0.19938552188552189</v>
      </c>
      <c r="AB1082" s="4">
        <f ca="1"/>
        <v>45755</v>
      </c>
      <c r="AC1082" s="4">
        <v>45755</v>
      </c>
      <c r="AD1082" s="9">
        <v>45762</v>
      </c>
      <c r="AE1082" s="9">
        <v>45763</v>
      </c>
      <c r="AF1082" s="4" t="str">
        <f t="shared" ca="1" si="68"/>
        <v>2025 04</v>
      </c>
      <c r="AG1082" s="8" t="str" cm="1">
        <f t="array" ref="AG1082">IFERROR(_xlfn.IFS('Banco de Dados'!#REF!="AG. COMPRA","Em processamento",'Banco de Dados'!#REF!="AG. RASTREIO","Em processamento",'Banco de Dados'!$AE1082&lt;&gt;"-","Faturado",'Banco de Dados'!$AD1082&lt;&gt;"-","Aguardando Pix",'Banco de Dados'!$AC1082&lt;&gt;"-","Pendente"),"Aguardando Liberação")</f>
        <v>Aguardando Liberação</v>
      </c>
      <c r="AH1082" s="5" t="str">
        <f>IF('Banco de Dados'!$F1082="-",_xlfn.CONCAT(PROPER(TEXT(AK1082,"aaaa"))," ",PROPER(TEXT(AK1082,"mm"))),_xlfn.CONCAT(PROPER(TEXT(E1082,"aaaa"))," ",PROPER(TEXT(E1082,"mm"))))</f>
        <v>2025 02</v>
      </c>
      <c r="AI1082" s="9" t="str">
        <f ca="1">IF('Banco de Dados'!$AK1082&lt;&gt;"-","REEMBOLSO",IFERROR(_xlfn.XLOOKUP(G1082,Follow[CODRASTREIO],Follow[STATUS]),"-"))</f>
        <v>REEMBOLSO</v>
      </c>
      <c r="AJ1082" s="9" t="str">
        <f ca="1">IF('Banco de Dados'!$AI1082="ENTREGUE",_xlfn.XLOOKUP('Banco de Dados'!$G1082,Follow[CODRASTREIO],Follow[DATAATUALIZAÇÃO]),"-")</f>
        <v>-</v>
      </c>
      <c r="AK1082" s="132">
        <f ca="1"/>
        <v>45749</v>
      </c>
      <c r="AL1082" s="35"/>
      <c r="AM1082" s="109" cm="1">
        <f t="array" aca="1" ref="AM1082" ca="1">IF('Banco de Dados'!$AK1082&lt;&gt;"-",_xlfn.IFS('Banco de Dados'!$A1082="bv",IF('Banco de Dados'!$E1082&lt;45641,ROUND(SUM('Banco de Dados'!$R1082*_xlfn.XLOOKUP('Banco de Dados'!$P1082,Sku!B:B,Sku!#REF!)*20%),2),ROUND(SUM('Banco de Dados'!$R1082*_xlfn.XLOOKUP('Banco de Dados'!$P1082,Sku!B:B,Sku!H:H)*20%),2)),'Banco de Dados'!$A1082="GO",ROUND(_xlfn.XLOOKUP('Banco de Dados'!$P1082,Sku!C:C,Sku!H:H),2),'Banco de Dados'!$A1082="MEI",ROUND(_xlfn.XLOOKUP('Banco de Dados'!$P1082,Sku!D:D,Sku!H:H),2)),0)</f>
        <v>1.68</v>
      </c>
      <c r="AN1082" s="109" t="e">
        <f ca="1">IF('Banco de Dados'!$AK1082&lt;&gt;"-",IF('Banco de Dados'!$F1082&lt;&gt;"-",_xlfn.XLOOKUP(IFERROR(IFERROR(IFERROR(VALUE(SUBSTITUTE(MID(_xlfn.TEXTAFTER('Banco de Dados'!$F1082,"Data do Pedido:
",1),1,10),"-","/")),VALUE(SUBSTITUTE(MID(_xlfn.TEXTAFTER('Banco de Dados'!$F1082,"Order date:
",1),1,10),"-","/"))),VALUE(SUBSTITUTE(MID(_xlfn.TEXTAFTER('Banco de Dados'!$F1082,"Fecha de pedido:
",1),1,10),"-","/"))),"-"),SMS!A:A,SMS!K:K),0),0)</f>
        <v>#N/A</v>
      </c>
      <c r="AO1082" s="109">
        <f ca="1">IF('Banco de Dados'!$AK1082&lt;&gt;"-",IF('Banco de Dados'!$F1082&lt;&gt;"-",IFERROR(_xlfn.XLOOKUP(_xlfn.CONCAT('Banco de Dados'!$A1082,IFERROR(IFERROR(VALUE(SUBSTITUTE(MID(_xlfn.TEXTAFTER('Banco de Dados'!$F1082,"Data do Pedido:
",1),1,10),"-","/")),VALUE(SUBSTITUTE(MID(_xlfn.TEXTAFTER('Banco de Dados'!$F1082,"Order date:
",1),1,10),"-","/"))),0)),ProxyDD[Chave],ProxyDD[Valor por pedido]),PROXY!$P$2),0),0)</f>
        <v>0.39877104377104378</v>
      </c>
      <c r="AP1082" s="28">
        <f ca="1">IF('Banco de Dados'!$AK1082&lt;&gt;"-",IF('Banco de Dados'!$AL1082="NÃO",IFERROR(VALUE(SUBSTITUTE(_xlfn.TEXTAFTER('Banco de Dados'!$F1082,"BRL ",1),".",",")),0),0),0)</f>
        <v>0</v>
      </c>
      <c r="AQ1082" s="28" t="e">
        <f ca="1">SUM('Banco de Dados'!$AM1082:$AP1082)</f>
        <v>#N/A</v>
      </c>
      <c r="AR1082" s="8"/>
      <c r="AY1082" s="8"/>
    </row>
    <row r="1083" spans="1:51">
      <c r="A1083" s="5" t="str">
        <v>BV</v>
      </c>
      <c r="B1083" s="5" t="str">
        <f ca="1"/>
        <v>BV45716</v>
      </c>
      <c r="C1083" s="8" t="str">
        <v>Pedido 1070</v>
      </c>
      <c r="D1083" s="9">
        <v>45716</v>
      </c>
      <c r="E1083" s="9">
        <v>45716</v>
      </c>
      <c r="F1083" s="8" t="str">
        <v>PedidoF1049</v>
      </c>
      <c r="G1083" s="2" t="str">
        <v>CódRastreio1047</v>
      </c>
      <c r="H1083" s="5">
        <v>1</v>
      </c>
      <c r="I1083" s="2" t="str">
        <v>CPF 1041</v>
      </c>
      <c r="J1083" s="2" t="str">
        <v>Nome 1041</v>
      </c>
      <c r="K1083" s="8" t="str">
        <v>Tel 1041</v>
      </c>
      <c r="L1083" s="8" t="str">
        <v>Cep 1041</v>
      </c>
      <c r="M1083" s="8" t="str">
        <v>Rua 1041</v>
      </c>
      <c r="N1083" s="8" t="str">
        <v>Comp 1041</v>
      </c>
      <c r="O1083" s="8" t="str">
        <v>Ventilador Preto</v>
      </c>
      <c r="P1083" s="8" t="str">
        <v>MU-J80P-95WF</v>
      </c>
      <c r="Q1083" s="4">
        <v>45748</v>
      </c>
      <c r="R1083" s="109">
        <v>65.599999999999994</v>
      </c>
      <c r="S1083" s="11">
        <f ca="1"/>
        <v>65.599999999999994</v>
      </c>
      <c r="T1083" s="28">
        <f ca="1"/>
        <v>8.5279999999999987</v>
      </c>
      <c r="U1083" s="11">
        <f ca="1"/>
        <v>57.07</v>
      </c>
      <c r="V1083" s="11">
        <v>14.8</v>
      </c>
      <c r="W1083" s="11">
        <f ca="1"/>
        <v>0.2</v>
      </c>
      <c r="X1083" s="11">
        <f ca="1"/>
        <v>0.39877104377104378</v>
      </c>
      <c r="Y1083" s="11">
        <v>0</v>
      </c>
      <c r="Z1083" s="11">
        <f ca="1"/>
        <v>41.671228956228958</v>
      </c>
      <c r="AA1083" s="11">
        <f ca="1"/>
        <v>20.835614478114479</v>
      </c>
      <c r="AB1083" s="4">
        <f ca="1"/>
        <v>45755</v>
      </c>
      <c r="AC1083" s="4">
        <v>45755</v>
      </c>
      <c r="AD1083" s="9">
        <v>45762</v>
      </c>
      <c r="AE1083" s="9">
        <v>45763</v>
      </c>
      <c r="AF1083" s="4" t="str">
        <f t="shared" ca="1" si="68"/>
        <v>2025 04</v>
      </c>
      <c r="AG1083" s="8" t="str" cm="1">
        <f t="array" ref="AG1083">IFERROR(_xlfn.IFS('Banco de Dados'!#REF!="AG. COMPRA","Em processamento",'Banco de Dados'!#REF!="AG. RASTREIO","Em processamento",'Banco de Dados'!$AE1083&lt;&gt;"-","Faturado",'Banco de Dados'!$AD1083&lt;&gt;"-","Aguardando Pix",'Banco de Dados'!$AC1083&lt;&gt;"-","Pendente"),"Aguardando Liberação")</f>
        <v>Aguardando Liberação</v>
      </c>
      <c r="AH1083" s="5" t="str">
        <f>IF('Banco de Dados'!$F1083="-",_xlfn.CONCAT(PROPER(TEXT(AK1083,"aaaa"))," ",PROPER(TEXT(AK1083,"mm"))),_xlfn.CONCAT(PROPER(TEXT(E1083,"aaaa"))," ",PROPER(TEXT(E1083,"mm"))))</f>
        <v>2025 02</v>
      </c>
      <c r="AI1083" s="9" t="str">
        <f ca="1">IF('Banco de Dados'!$AK1083&lt;&gt;"-","REEMBOLSO",IFERROR(_xlfn.XLOOKUP(G1083,Follow[CODRASTREIO],Follow[STATUS]),"-"))</f>
        <v>ENTREGUE</v>
      </c>
      <c r="AJ1083" s="9">
        <f ca="1">IF('Banco de Dados'!$AI1083="ENTREGUE",_xlfn.XLOOKUP('Banco de Dados'!$G1083,Follow[CODRASTREIO],Follow[DATAATUALIZAÇÃO]),"-")</f>
        <v>45736</v>
      </c>
      <c r="AK1083" s="132" t="str">
        <f ca="1"/>
        <v>-</v>
      </c>
      <c r="AL1083" s="35"/>
      <c r="AM1083" s="109" cm="1">
        <f t="array" aca="1" ref="AM1083" ca="1">IF('Banco de Dados'!$AK1083&lt;&gt;"-",_xlfn.IFS('Banco de Dados'!$A1083="bv",IF('Banco de Dados'!$E1083&lt;45641,ROUND(SUM('Banco de Dados'!$R1083*_xlfn.XLOOKUP('Banco de Dados'!$P1083,Sku!B:B,Sku!#REF!)*20%),2),ROUND(SUM('Banco de Dados'!$R1083*_xlfn.XLOOKUP('Banco de Dados'!$P1083,Sku!B:B,Sku!H:H)*20%),2)),'Banco de Dados'!$A1083="GO",ROUND(_xlfn.XLOOKUP('Banco de Dados'!$P1083,Sku!C:C,Sku!H:H),2),'Banco de Dados'!$A1083="MEI",ROUND(_xlfn.XLOOKUP('Banco de Dados'!$P1083,Sku!D:D,Sku!H:H),2)),0)</f>
        <v>0</v>
      </c>
      <c r="AN1083" s="109">
        <f ca="1">IF('Banco de Dados'!$AK1083&lt;&gt;"-",IF('Banco de Dados'!$F1083&lt;&gt;"-",_xlfn.XLOOKUP(IFERROR(IFERROR(IFERROR(VALUE(SUBSTITUTE(MID(_xlfn.TEXTAFTER('Banco de Dados'!$F1083,"Data do Pedido:
",1),1,10),"-","/")),VALUE(SUBSTITUTE(MID(_xlfn.TEXTAFTER('Banco de Dados'!$F1083,"Order date:
",1),1,10),"-","/"))),VALUE(SUBSTITUTE(MID(_xlfn.TEXTAFTER('Banco de Dados'!$F1083,"Fecha de pedido:
",1),1,10),"-","/"))),"-"),SMS!A:A,SMS!K:K),0),0)</f>
        <v>0</v>
      </c>
      <c r="AO1083" s="109">
        <f ca="1">IF('Banco de Dados'!$AK1083&lt;&gt;"-",IF('Banco de Dados'!$F1083&lt;&gt;"-",IFERROR(_xlfn.XLOOKUP(_xlfn.CONCAT('Banco de Dados'!$A1083,IFERROR(IFERROR(VALUE(SUBSTITUTE(MID(_xlfn.TEXTAFTER('Banco de Dados'!$F1083,"Data do Pedido:
",1),1,10),"-","/")),VALUE(SUBSTITUTE(MID(_xlfn.TEXTAFTER('Banco de Dados'!$F1083,"Order date:
",1),1,10),"-","/"))),0)),ProxyDD[Chave],ProxyDD[Valor por pedido]),PROXY!$P$2),0),0)</f>
        <v>0</v>
      </c>
      <c r="AP1083" s="28">
        <f ca="1">IF('Banco de Dados'!$AK1083&lt;&gt;"-",IF('Banco de Dados'!$AL1083="NÃO",IFERROR(VALUE(SUBSTITUTE(_xlfn.TEXTAFTER('Banco de Dados'!$F1083,"BRL ",1),".",",")),0),0),0)</f>
        <v>0</v>
      </c>
      <c r="AQ1083" s="28">
        <f ca="1">SUM('Banco de Dados'!$AM1083:$AP1083)</f>
        <v>0</v>
      </c>
      <c r="AR1083" s="8"/>
      <c r="AY1083" s="8"/>
    </row>
    <row r="1084" spans="1:51">
      <c r="A1084" s="5" t="str">
        <v>BV</v>
      </c>
      <c r="B1084" s="5" t="str">
        <f ca="1"/>
        <v>BV45716</v>
      </c>
      <c r="C1084" s="8" t="str">
        <v>Pedido 1071</v>
      </c>
      <c r="D1084" s="9">
        <v>45716</v>
      </c>
      <c r="E1084" s="9">
        <v>45716</v>
      </c>
      <c r="F1084" s="8" t="str">
        <v>PedidoF1050</v>
      </c>
      <c r="G1084" s="2" t="str">
        <v>CódRastreio1048</v>
      </c>
      <c r="H1084" s="5">
        <v>1</v>
      </c>
      <c r="I1084" s="2" t="str">
        <v>CPF 1042</v>
      </c>
      <c r="J1084" s="2" t="str">
        <v>Nome 1042</v>
      </c>
      <c r="K1084" s="8" t="str">
        <v>Tel 1042</v>
      </c>
      <c r="L1084" s="8" t="str">
        <v>Cep 1042</v>
      </c>
      <c r="M1084" s="8" t="str">
        <v>Rua 1042</v>
      </c>
      <c r="N1084" s="8" t="str">
        <v>Comp 1042</v>
      </c>
      <c r="O1084" s="8" t="str">
        <v>Garrafa Termica</v>
      </c>
      <c r="P1084" s="8" t="str">
        <v>FM-QQ8Y-RZT4</v>
      </c>
      <c r="Q1084" s="4">
        <v>45748</v>
      </c>
      <c r="R1084" s="109">
        <v>23.5</v>
      </c>
      <c r="S1084" s="11">
        <f ca="1"/>
        <v>23.5</v>
      </c>
      <c r="T1084" s="28">
        <f ca="1"/>
        <v>3.0550000000000002</v>
      </c>
      <c r="U1084" s="11">
        <f ca="1"/>
        <v>20.45</v>
      </c>
      <c r="V1084" s="11">
        <v>13.8</v>
      </c>
      <c r="W1084" s="11">
        <f ca="1"/>
        <v>0.2</v>
      </c>
      <c r="X1084" s="11">
        <f ca="1"/>
        <v>0.39877104377104378</v>
      </c>
      <c r="Y1084" s="11">
        <v>0</v>
      </c>
      <c r="Z1084" s="11">
        <f ca="1"/>
        <v>6.0512289562289556</v>
      </c>
      <c r="AA1084" s="11">
        <f ca="1"/>
        <v>3.0256144781144778</v>
      </c>
      <c r="AB1084" s="4">
        <f ca="1"/>
        <v>45755</v>
      </c>
      <c r="AC1084" s="4">
        <v>45755</v>
      </c>
      <c r="AD1084" s="9">
        <v>45762</v>
      </c>
      <c r="AE1084" s="9">
        <v>45763</v>
      </c>
      <c r="AF1084" s="4" t="str">
        <f t="shared" ca="1" si="68"/>
        <v>2025 04</v>
      </c>
      <c r="AG1084" s="8" t="str" cm="1">
        <f t="array" ref="AG1084">IFERROR(_xlfn.IFS('Banco de Dados'!#REF!="AG. COMPRA","Em processamento",'Banco de Dados'!#REF!="AG. RASTREIO","Em processamento",'Banco de Dados'!$AE1084&lt;&gt;"-","Faturado",'Banco de Dados'!$AD1084&lt;&gt;"-","Aguardando Pix",'Banco de Dados'!$AC1084&lt;&gt;"-","Pendente"),"Aguardando Liberação")</f>
        <v>Aguardando Liberação</v>
      </c>
      <c r="AH1084" s="5" t="str">
        <f>IF('Banco de Dados'!$F1084="-",_xlfn.CONCAT(PROPER(TEXT(AK1084,"aaaa"))," ",PROPER(TEXT(AK1084,"mm"))),_xlfn.CONCAT(PROPER(TEXT(E1084,"aaaa"))," ",PROPER(TEXT(E1084,"mm"))))</f>
        <v>2025 02</v>
      </c>
      <c r="AI1084" s="9" t="str">
        <f ca="1">IF('Banco de Dados'!$AK1084&lt;&gt;"-","REEMBOLSO",IFERROR(_xlfn.XLOOKUP(G1084,Follow[CODRASTREIO],Follow[STATUS]),"-"))</f>
        <v>ENTREGUE</v>
      </c>
      <c r="AJ1084" s="9">
        <f ca="1">IF('Banco de Dados'!$AI1084="ENTREGUE",_xlfn.XLOOKUP('Banco de Dados'!$G1084,Follow[CODRASTREIO],Follow[DATAATUALIZAÇÃO]),"-")</f>
        <v>45731</v>
      </c>
      <c r="AK1084" s="132" t="str">
        <f ca="1"/>
        <v>-</v>
      </c>
      <c r="AL1084" s="35"/>
      <c r="AM1084" s="109" cm="1">
        <f t="array" aca="1" ref="AM1084" ca="1">IF('Banco de Dados'!$AK1084&lt;&gt;"-",_xlfn.IFS('Banco de Dados'!$A1084="bv",IF('Banco de Dados'!$E1084&lt;45641,ROUND(SUM('Banco de Dados'!$R1084*_xlfn.XLOOKUP('Banco de Dados'!$P1084,Sku!B:B,Sku!#REF!)*20%),2),ROUND(SUM('Banco de Dados'!$R1084*_xlfn.XLOOKUP('Banco de Dados'!$P1084,Sku!B:B,Sku!H:H)*20%),2)),'Banco de Dados'!$A1084="GO",ROUND(_xlfn.XLOOKUP('Banco de Dados'!$P1084,Sku!C:C,Sku!H:H),2),'Banco de Dados'!$A1084="MEI",ROUND(_xlfn.XLOOKUP('Banco de Dados'!$P1084,Sku!D:D,Sku!H:H),2)),0)</f>
        <v>0</v>
      </c>
      <c r="AN1084" s="109">
        <f ca="1">IF('Banco de Dados'!$AK1084&lt;&gt;"-",IF('Banco de Dados'!$F1084&lt;&gt;"-",_xlfn.XLOOKUP(IFERROR(IFERROR(IFERROR(VALUE(SUBSTITUTE(MID(_xlfn.TEXTAFTER('Banco de Dados'!$F1084,"Data do Pedido:
",1),1,10),"-","/")),VALUE(SUBSTITUTE(MID(_xlfn.TEXTAFTER('Banco de Dados'!$F1084,"Order date:
",1),1,10),"-","/"))),VALUE(SUBSTITUTE(MID(_xlfn.TEXTAFTER('Banco de Dados'!$F1084,"Fecha de pedido:
",1),1,10),"-","/"))),"-"),SMS!A:A,SMS!K:K),0),0)</f>
        <v>0</v>
      </c>
      <c r="AO1084" s="109">
        <f ca="1">IF('Banco de Dados'!$AK1084&lt;&gt;"-",IF('Banco de Dados'!$F1084&lt;&gt;"-",IFERROR(_xlfn.XLOOKUP(_xlfn.CONCAT('Banco de Dados'!$A1084,IFERROR(IFERROR(VALUE(SUBSTITUTE(MID(_xlfn.TEXTAFTER('Banco de Dados'!$F1084,"Data do Pedido:
",1),1,10),"-","/")),VALUE(SUBSTITUTE(MID(_xlfn.TEXTAFTER('Banco de Dados'!$F1084,"Order date:
",1),1,10),"-","/"))),0)),ProxyDD[Chave],ProxyDD[Valor por pedido]),PROXY!$P$2),0),0)</f>
        <v>0</v>
      </c>
      <c r="AP1084" s="28">
        <f ca="1">IF('Banco de Dados'!$AK1084&lt;&gt;"-",IF('Banco de Dados'!$AL1084="NÃO",IFERROR(VALUE(SUBSTITUTE(_xlfn.TEXTAFTER('Banco de Dados'!$F1084,"BRL ",1),".",",")),0),0),0)</f>
        <v>0</v>
      </c>
      <c r="AQ1084" s="28">
        <f ca="1">SUM('Banco de Dados'!$AM1084:$AP1084)</f>
        <v>0</v>
      </c>
      <c r="AR1084" s="8"/>
      <c r="AY1084" s="8"/>
    </row>
    <row r="1085" spans="1:51">
      <c r="A1085" s="5" t="str">
        <v>BV</v>
      </c>
      <c r="B1085" s="5" t="str">
        <f ca="1"/>
        <v>BV45716</v>
      </c>
      <c r="C1085" s="8" t="str">
        <v>Pedido 1072</v>
      </c>
      <c r="D1085" s="9">
        <v>45716</v>
      </c>
      <c r="E1085" s="9">
        <v>45716</v>
      </c>
      <c r="F1085" s="8" t="str">
        <v>PedidoF1051</v>
      </c>
      <c r="G1085" s="2" t="str">
        <v>CódRastreio1049</v>
      </c>
      <c r="H1085" s="5">
        <v>1</v>
      </c>
      <c r="I1085" s="2" t="str">
        <v>CPF 1043</v>
      </c>
      <c r="J1085" s="2" t="str">
        <v>Nome 1043</v>
      </c>
      <c r="K1085" s="8" t="str">
        <v>Tel 1043</v>
      </c>
      <c r="L1085" s="8" t="str">
        <v>Cep 1043</v>
      </c>
      <c r="M1085" s="8" t="str">
        <v>Rua 1043</v>
      </c>
      <c r="N1085" s="8" t="str">
        <v>Comp 1043</v>
      </c>
      <c r="O1085" s="8" t="str">
        <v>Karaoke portátil</v>
      </c>
      <c r="P1085" s="8" t="str">
        <v>08-PAJ9-YM9P</v>
      </c>
      <c r="Q1085" s="4">
        <v>45742</v>
      </c>
      <c r="R1085" s="109">
        <v>55.99</v>
      </c>
      <c r="S1085" s="11">
        <f ca="1"/>
        <v>55.99</v>
      </c>
      <c r="T1085" s="28">
        <f ca="1"/>
        <v>8.3985000000000003</v>
      </c>
      <c r="U1085" s="11">
        <f ca="1"/>
        <v>47.59</v>
      </c>
      <c r="V1085" s="11">
        <v>18.25</v>
      </c>
      <c r="W1085" s="11">
        <f ca="1"/>
        <v>0.2</v>
      </c>
      <c r="X1085" s="11">
        <f ca="1"/>
        <v>0.39877104377104378</v>
      </c>
      <c r="Y1085" s="11">
        <v>0</v>
      </c>
      <c r="Z1085" s="11">
        <f ca="1"/>
        <v>28.741228956228959</v>
      </c>
      <c r="AA1085" s="11">
        <f ca="1"/>
        <v>14.370614478114479</v>
      </c>
      <c r="AB1085" s="4">
        <f ca="1"/>
        <v>45749</v>
      </c>
      <c r="AC1085" s="4">
        <v>45749</v>
      </c>
      <c r="AD1085" s="9">
        <v>45762</v>
      </c>
      <c r="AE1085" s="9">
        <v>45763</v>
      </c>
      <c r="AF1085" s="4" t="str">
        <f t="shared" ca="1" si="68"/>
        <v>2025 04</v>
      </c>
      <c r="AG1085" s="8" t="str" cm="1">
        <f t="array" ref="AG1085">IFERROR(_xlfn.IFS('Banco de Dados'!#REF!="AG. COMPRA","Em processamento",'Banco de Dados'!#REF!="AG. RASTREIO","Em processamento",'Banco de Dados'!$AE1085&lt;&gt;"-","Faturado",'Banco de Dados'!$AD1085&lt;&gt;"-","Aguardando Pix",'Banco de Dados'!$AC1085&lt;&gt;"-","Pendente"),"Aguardando Liberação")</f>
        <v>Aguardando Liberação</v>
      </c>
      <c r="AH1085" s="5" t="str">
        <f>IF('Banco de Dados'!$F1085="-",_xlfn.CONCAT(PROPER(TEXT(AK1085,"aaaa"))," ",PROPER(TEXT(AK1085,"mm"))),_xlfn.CONCAT(PROPER(TEXT(E1085,"aaaa"))," ",PROPER(TEXT(E1085,"mm"))))</f>
        <v>2025 02</v>
      </c>
      <c r="AI1085" s="9" t="str">
        <f ca="1">IF('Banco de Dados'!$AK1085&lt;&gt;"-","REEMBOLSO",IFERROR(_xlfn.XLOOKUP(G1085,Follow[CODRASTREIO],Follow[STATUS]),"-"))</f>
        <v>ENTREGUE</v>
      </c>
      <c r="AJ1085" s="9">
        <f ca="1">IF('Banco de Dados'!$AI1085="ENTREGUE",_xlfn.XLOOKUP('Banco de Dados'!$G1085,Follow[CODRASTREIO],Follow[DATAATUALIZAÇÃO]),"-")</f>
        <v>45726</v>
      </c>
      <c r="AK1085" s="132" t="str">
        <f ca="1"/>
        <v>-</v>
      </c>
      <c r="AL1085" s="35"/>
      <c r="AM1085" s="109" cm="1">
        <f t="array" aca="1" ref="AM1085" ca="1">IF('Banco de Dados'!$AK1085&lt;&gt;"-",_xlfn.IFS('Banco de Dados'!$A1085="bv",IF('Banco de Dados'!$E1085&lt;45641,ROUND(SUM('Banco de Dados'!$R1085*_xlfn.XLOOKUP('Banco de Dados'!$P1085,Sku!B:B,Sku!#REF!)*20%),2),ROUND(SUM('Banco de Dados'!$R1085*_xlfn.XLOOKUP('Banco de Dados'!$P1085,Sku!B:B,Sku!H:H)*20%),2)),'Banco de Dados'!$A1085="GO",ROUND(_xlfn.XLOOKUP('Banco de Dados'!$P1085,Sku!C:C,Sku!H:H),2),'Banco de Dados'!$A1085="MEI",ROUND(_xlfn.XLOOKUP('Banco de Dados'!$P1085,Sku!D:D,Sku!H:H),2)),0)</f>
        <v>0</v>
      </c>
      <c r="AN1085" s="109">
        <f ca="1">IF('Banco de Dados'!$AK1085&lt;&gt;"-",IF('Banco de Dados'!$F1085&lt;&gt;"-",_xlfn.XLOOKUP(IFERROR(IFERROR(IFERROR(VALUE(SUBSTITUTE(MID(_xlfn.TEXTAFTER('Banco de Dados'!$F1085,"Data do Pedido:
",1),1,10),"-","/")),VALUE(SUBSTITUTE(MID(_xlfn.TEXTAFTER('Banco de Dados'!$F1085,"Order date:
",1),1,10),"-","/"))),VALUE(SUBSTITUTE(MID(_xlfn.TEXTAFTER('Banco de Dados'!$F1085,"Fecha de pedido:
",1),1,10),"-","/"))),"-"),SMS!A:A,SMS!K:K),0),0)</f>
        <v>0</v>
      </c>
      <c r="AO1085" s="109">
        <f ca="1">IF('Banco de Dados'!$AK1085&lt;&gt;"-",IF('Banco de Dados'!$F1085&lt;&gt;"-",IFERROR(_xlfn.XLOOKUP(_xlfn.CONCAT('Banco de Dados'!$A1085,IFERROR(IFERROR(VALUE(SUBSTITUTE(MID(_xlfn.TEXTAFTER('Banco de Dados'!$F1085,"Data do Pedido:
",1),1,10),"-","/")),VALUE(SUBSTITUTE(MID(_xlfn.TEXTAFTER('Banco de Dados'!$F1085,"Order date:
",1),1,10),"-","/"))),0)),ProxyDD[Chave],ProxyDD[Valor por pedido]),PROXY!$P$2),0),0)</f>
        <v>0</v>
      </c>
      <c r="AP1085" s="28">
        <f ca="1">IF('Banco de Dados'!$AK1085&lt;&gt;"-",IF('Banco de Dados'!$AL1085="NÃO",IFERROR(VALUE(SUBSTITUTE(_xlfn.TEXTAFTER('Banco de Dados'!$F1085,"BRL ",1),".",",")),0),0),0)</f>
        <v>0</v>
      </c>
      <c r="AQ1085" s="28">
        <f ca="1">SUM('Banco de Dados'!$AM1085:$AP1085)</f>
        <v>0</v>
      </c>
      <c r="AR1085" s="8"/>
      <c r="AY1085" s="8"/>
    </row>
    <row r="1086" spans="1:51">
      <c r="A1086" s="5" t="str">
        <v>BV</v>
      </c>
      <c r="B1086" s="5" t="str">
        <f ca="1"/>
        <v>BV45718</v>
      </c>
      <c r="C1086" s="8" t="str">
        <v>Pedido 1073</v>
      </c>
      <c r="D1086" s="9">
        <v>45717</v>
      </c>
      <c r="E1086" s="9">
        <v>45718</v>
      </c>
      <c r="F1086" s="8" t="str">
        <v>PedidoF1052</v>
      </c>
      <c r="G1086" s="2" t="str">
        <v>CódRastreio1050</v>
      </c>
      <c r="H1086" s="5">
        <v>1</v>
      </c>
      <c r="I1086" s="2" t="str">
        <v>CPF 1044</v>
      </c>
      <c r="J1086" s="2" t="str">
        <v>Nome 1044</v>
      </c>
      <c r="K1086" s="8" t="str">
        <v>Tel 1044</v>
      </c>
      <c r="L1086" s="8" t="str">
        <v>Cep 1044</v>
      </c>
      <c r="M1086" s="8" t="str">
        <v>Rua 1044</v>
      </c>
      <c r="N1086" s="8" t="str">
        <v>Comp 1044</v>
      </c>
      <c r="O1086" s="8" t="str">
        <v>Karaoke portátil</v>
      </c>
      <c r="P1086" s="8" t="str">
        <v>08-PAJ9-YM9P</v>
      </c>
      <c r="Q1086" s="4">
        <v>45748</v>
      </c>
      <c r="R1086" s="109">
        <v>55.99</v>
      </c>
      <c r="S1086" s="11">
        <f ca="1"/>
        <v>0</v>
      </c>
      <c r="T1086" s="28">
        <f ca="1"/>
        <v>0</v>
      </c>
      <c r="U1086" s="11">
        <f ca="1"/>
        <v>0</v>
      </c>
      <c r="V1086" s="11">
        <v>0</v>
      </c>
      <c r="W1086" s="11">
        <f ca="1"/>
        <v>0</v>
      </c>
      <c r="X1086" s="11">
        <f ca="1"/>
        <v>0.39877104377104378</v>
      </c>
      <c r="Y1086" s="11">
        <v>0</v>
      </c>
      <c r="Z1086" s="11">
        <f ca="1"/>
        <v>-0.39877104377104378</v>
      </c>
      <c r="AA1086" s="11">
        <f ca="1"/>
        <v>-0.19938552188552189</v>
      </c>
      <c r="AB1086" s="4">
        <f ca="1"/>
        <v>45755</v>
      </c>
      <c r="AC1086" s="4">
        <v>45755</v>
      </c>
      <c r="AD1086" s="9">
        <v>45762</v>
      </c>
      <c r="AE1086" s="9">
        <v>45763</v>
      </c>
      <c r="AF1086" s="4" t="str">
        <f t="shared" ref="AF1086:AF1102" ca="1" si="69">_xlfn.CONCAT(PROPER(TEXT(AB1086,"aaaa"))," ",PROPER(TEXT(AB1086,"mm")))</f>
        <v>2025 04</v>
      </c>
      <c r="AG1086" s="8" t="str" cm="1">
        <f t="array" ref="AG1086">IFERROR(_xlfn.IFS('Banco de Dados'!#REF!="AG. COMPRA","Em processamento",'Banco de Dados'!#REF!="AG. RASTREIO","Em processamento",'Banco de Dados'!$AE1086&lt;&gt;"-","Faturado",'Banco de Dados'!$AD1086&lt;&gt;"-","Aguardando Pix",'Banco de Dados'!$AC1086&lt;&gt;"-","Pendente"),"Aguardando Liberação")</f>
        <v>Aguardando Liberação</v>
      </c>
      <c r="AH1086" s="5" t="str">
        <f>IF('Banco de Dados'!$F1086="-",_xlfn.CONCAT(PROPER(TEXT(AK1086,"aaaa"))," ",PROPER(TEXT(AK1086,"mm"))),_xlfn.CONCAT(PROPER(TEXT(E1086,"aaaa"))," ",PROPER(TEXT(E1086,"mm"))))</f>
        <v>2025 03</v>
      </c>
      <c r="AI1086" s="9" t="str">
        <f ca="1">IF('Banco de Dados'!$AK1086&lt;&gt;"-","REEMBOLSO",IFERROR(_xlfn.XLOOKUP(G1086,Follow[CODRASTREIO],Follow[STATUS]),"-"))</f>
        <v>REEMBOLSO</v>
      </c>
      <c r="AJ1086" s="9" t="str">
        <f ca="1">IF('Banco de Dados'!$AI1086="ENTREGUE",_xlfn.XLOOKUP('Banco de Dados'!$G1086,Follow[CODRASTREIO],Follow[DATAATUALIZAÇÃO]),"-")</f>
        <v>-</v>
      </c>
      <c r="AK1086" s="132">
        <f ca="1"/>
        <v>45768</v>
      </c>
      <c r="AL1086" s="35"/>
      <c r="AM1086" s="109" cm="1">
        <f t="array" aca="1" ref="AM1086" ca="1">IF('Banco de Dados'!$AK1086&lt;&gt;"-",_xlfn.IFS('Banco de Dados'!$A1086="bv",IF('Banco de Dados'!$E1086&lt;45641,ROUND(SUM('Banco de Dados'!$R1086*_xlfn.XLOOKUP('Banco de Dados'!$P1086,Sku!B:B,Sku!#REF!)*20%),2),ROUND(SUM('Banco de Dados'!$R1086*_xlfn.XLOOKUP('Banco de Dados'!$P1086,Sku!B:B,Sku!H:H)*20%),2)),'Banco de Dados'!$A1086="GO",ROUND(_xlfn.XLOOKUP('Banco de Dados'!$P1086,Sku!C:C,Sku!H:H),2),'Banco de Dados'!$A1086="MEI",ROUND(_xlfn.XLOOKUP('Banco de Dados'!$P1086,Sku!D:D,Sku!H:H),2)),0)</f>
        <v>1.68</v>
      </c>
      <c r="AN1086" s="109" t="e">
        <f ca="1">IF('Banco de Dados'!$AK1086&lt;&gt;"-",IF('Banco de Dados'!$F1086&lt;&gt;"-",_xlfn.XLOOKUP(IFERROR(IFERROR(IFERROR(VALUE(SUBSTITUTE(MID(_xlfn.TEXTAFTER('Banco de Dados'!$F1086,"Data do Pedido:
",1),1,10),"-","/")),VALUE(SUBSTITUTE(MID(_xlfn.TEXTAFTER('Banco de Dados'!$F1086,"Order date:
",1),1,10),"-","/"))),VALUE(SUBSTITUTE(MID(_xlfn.TEXTAFTER('Banco de Dados'!$F1086,"Fecha de pedido:
",1),1,10),"-","/"))),"-"),SMS!A:A,SMS!K:K),0),0)</f>
        <v>#N/A</v>
      </c>
      <c r="AO1086" s="109">
        <f ca="1">IF('Banco de Dados'!$AK1086&lt;&gt;"-",IF('Banco de Dados'!$F1086&lt;&gt;"-",IFERROR(_xlfn.XLOOKUP(_xlfn.CONCAT('Banco de Dados'!$A1086,IFERROR(IFERROR(VALUE(SUBSTITUTE(MID(_xlfn.TEXTAFTER('Banco de Dados'!$F1086,"Data do Pedido:
",1),1,10),"-","/")),VALUE(SUBSTITUTE(MID(_xlfn.TEXTAFTER('Banco de Dados'!$F1086,"Order date:
",1),1,10),"-","/"))),0)),ProxyDD[Chave],ProxyDD[Valor por pedido]),PROXY!$P$2),0),0)</f>
        <v>0.39877104377104378</v>
      </c>
      <c r="AP1086" s="28">
        <f ca="1">IF('Banco de Dados'!$AK1086&lt;&gt;"-",IF('Banco de Dados'!$AL1086="NÃO",IFERROR(VALUE(SUBSTITUTE(_xlfn.TEXTAFTER('Banco de Dados'!$F1086,"BRL ",1),".",",")),0),0),0)</f>
        <v>0</v>
      </c>
      <c r="AQ1086" s="28" t="e">
        <f ca="1">SUM('Banco de Dados'!$AM1086:$AP1086)</f>
        <v>#N/A</v>
      </c>
      <c r="AR1086" s="8"/>
      <c r="AY1086" s="8"/>
    </row>
    <row r="1087" spans="1:51">
      <c r="A1087" s="5" t="str">
        <v>BV</v>
      </c>
      <c r="B1087" s="5" t="str">
        <f ca="1"/>
        <v>BV45722</v>
      </c>
      <c r="C1087" s="8" t="str">
        <v>Pedido 1074</v>
      </c>
      <c r="D1087" s="9">
        <v>45717</v>
      </c>
      <c r="E1087" s="9">
        <v>45722</v>
      </c>
      <c r="F1087" s="8" t="str">
        <v>PedidoF1053</v>
      </c>
      <c r="G1087" s="2" t="str">
        <v>CódRastreio1051</v>
      </c>
      <c r="H1087" s="5">
        <v>1</v>
      </c>
      <c r="I1087" s="2" t="str">
        <v>CPF 1045</v>
      </c>
      <c r="J1087" s="2" t="str">
        <v>Nome 1045</v>
      </c>
      <c r="K1087" s="8" t="str">
        <v>Tel 1045</v>
      </c>
      <c r="L1087" s="8" t="str">
        <v>Cep 1045</v>
      </c>
      <c r="M1087" s="8" t="str">
        <v>Rua 1045</v>
      </c>
      <c r="N1087" s="8" t="str">
        <v>Comp 1045</v>
      </c>
      <c r="O1087" s="8" t="str">
        <v>Garrafa Termica</v>
      </c>
      <c r="P1087" s="8" t="str">
        <v>FM-QQ8Y-RZT4</v>
      </c>
      <c r="Q1087" s="4">
        <v>45736</v>
      </c>
      <c r="R1087" s="109">
        <v>23.5</v>
      </c>
      <c r="S1087" s="11">
        <f ca="1"/>
        <v>23.5</v>
      </c>
      <c r="T1087" s="28">
        <f ca="1"/>
        <v>3.0550000000000002</v>
      </c>
      <c r="U1087" s="11">
        <f ca="1"/>
        <v>20.45</v>
      </c>
      <c r="V1087" s="11">
        <v>12.8</v>
      </c>
      <c r="W1087" s="11">
        <f ca="1"/>
        <v>0.19</v>
      </c>
      <c r="X1087" s="11">
        <f ca="1"/>
        <v>0.39877104377104378</v>
      </c>
      <c r="Y1087" s="11">
        <v>0</v>
      </c>
      <c r="Z1087" s="11">
        <f ca="1"/>
        <v>7.0612289562289554</v>
      </c>
      <c r="AA1087" s="11">
        <f ca="1"/>
        <v>3.5306144781144777</v>
      </c>
      <c r="AB1087" s="4">
        <f ca="1"/>
        <v>45743</v>
      </c>
      <c r="AC1087" s="4">
        <v>45743</v>
      </c>
      <c r="AD1087" s="9">
        <v>45747</v>
      </c>
      <c r="AE1087" s="9">
        <v>45749</v>
      </c>
      <c r="AF1087" s="4" t="str">
        <f t="shared" ca="1" si="69"/>
        <v>2025 03</v>
      </c>
      <c r="AG1087" s="8" t="str" cm="1">
        <f t="array" ref="AG1087">IFERROR(_xlfn.IFS('Banco de Dados'!#REF!="AG. COMPRA","Em processamento",'Banco de Dados'!#REF!="AG. RASTREIO","Em processamento",'Banco de Dados'!$AE1087&lt;&gt;"-","Faturado",'Banco de Dados'!$AD1087&lt;&gt;"-","Aguardando Pix",'Banco de Dados'!$AC1087&lt;&gt;"-","Pendente"),"Aguardando Liberação")</f>
        <v>Aguardando Liberação</v>
      </c>
      <c r="AH1087" s="5" t="str">
        <f>IF('Banco de Dados'!$F1087="-",_xlfn.CONCAT(PROPER(TEXT(AK1087,"aaaa"))," ",PROPER(TEXT(AK1087,"mm"))),_xlfn.CONCAT(PROPER(TEXT(E1087,"aaaa"))," ",PROPER(TEXT(E1087,"mm"))))</f>
        <v>2025 03</v>
      </c>
      <c r="AI1087" s="9" t="str">
        <f ca="1">IF('Banco de Dados'!$AK1087&lt;&gt;"-","REEMBOLSO",IFERROR(_xlfn.XLOOKUP(G1087,Follow[CODRASTREIO],Follow[STATUS]),"-"))</f>
        <v>ENTREGUE</v>
      </c>
      <c r="AJ1087" s="9">
        <f ca="1">IF('Banco de Dados'!$AI1087="ENTREGUE",_xlfn.XLOOKUP('Banco de Dados'!$G1087,Follow[CODRASTREIO],Follow[DATAATUALIZAÇÃO]),"-")</f>
        <v>45729</v>
      </c>
      <c r="AK1087" s="132" t="str">
        <f ca="1"/>
        <v>-</v>
      </c>
      <c r="AL1087" s="35"/>
      <c r="AM1087" s="109" cm="1">
        <f t="array" aca="1" ref="AM1087" ca="1">IF('Banco de Dados'!$AK1087&lt;&gt;"-",_xlfn.IFS('Banco de Dados'!$A1087="bv",IF('Banco de Dados'!$E1087&lt;45641,ROUND(SUM('Banco de Dados'!$R1087*_xlfn.XLOOKUP('Banco de Dados'!$P1087,Sku!B:B,Sku!#REF!)*20%),2),ROUND(SUM('Banco de Dados'!$R1087*_xlfn.XLOOKUP('Banco de Dados'!$P1087,Sku!B:B,Sku!H:H)*20%),2)),'Banco de Dados'!$A1087="GO",ROUND(_xlfn.XLOOKUP('Banco de Dados'!$P1087,Sku!C:C,Sku!H:H),2),'Banco de Dados'!$A1087="MEI",ROUND(_xlfn.XLOOKUP('Banco de Dados'!$P1087,Sku!D:D,Sku!H:H),2)),0)</f>
        <v>0</v>
      </c>
      <c r="AN1087" s="109">
        <f ca="1">IF('Banco de Dados'!$AK1087&lt;&gt;"-",IF('Banco de Dados'!$F1087&lt;&gt;"-",_xlfn.XLOOKUP(IFERROR(IFERROR(IFERROR(VALUE(SUBSTITUTE(MID(_xlfn.TEXTAFTER('Banco de Dados'!$F1087,"Data do Pedido:
",1),1,10),"-","/")),VALUE(SUBSTITUTE(MID(_xlfn.TEXTAFTER('Banco de Dados'!$F1087,"Order date:
",1),1,10),"-","/"))),VALUE(SUBSTITUTE(MID(_xlfn.TEXTAFTER('Banco de Dados'!$F1087,"Fecha de pedido:
",1),1,10),"-","/"))),"-"),SMS!A:A,SMS!K:K),0),0)</f>
        <v>0</v>
      </c>
      <c r="AO1087" s="109">
        <f ca="1">IF('Banco de Dados'!$AK1087&lt;&gt;"-",IF('Banco de Dados'!$F1087&lt;&gt;"-",IFERROR(_xlfn.XLOOKUP(_xlfn.CONCAT('Banco de Dados'!$A1087,IFERROR(IFERROR(VALUE(SUBSTITUTE(MID(_xlfn.TEXTAFTER('Banco de Dados'!$F1087,"Data do Pedido:
",1),1,10),"-","/")),VALUE(SUBSTITUTE(MID(_xlfn.TEXTAFTER('Banco de Dados'!$F1087,"Order date:
",1),1,10),"-","/"))),0)),ProxyDD[Chave],ProxyDD[Valor por pedido]),PROXY!$P$2),0),0)</f>
        <v>0</v>
      </c>
      <c r="AP1087" s="28">
        <f ca="1">IF('Banco de Dados'!$AK1087&lt;&gt;"-",IF('Banco de Dados'!$AL1087="NÃO",IFERROR(VALUE(SUBSTITUTE(_xlfn.TEXTAFTER('Banco de Dados'!$F1087,"BRL ",1),".",",")),0),0),0)</f>
        <v>0</v>
      </c>
      <c r="AQ1087" s="28">
        <f ca="1">SUM('Banco de Dados'!$AM1087:$AP1087)</f>
        <v>0</v>
      </c>
      <c r="AR1087" s="8"/>
      <c r="AY1087" s="8"/>
    </row>
    <row r="1088" spans="1:51">
      <c r="A1088" s="5" t="str">
        <v>BV</v>
      </c>
      <c r="B1088" s="5" t="str">
        <f ca="1"/>
        <v>BV45718</v>
      </c>
      <c r="C1088" s="8" t="str">
        <v>Pedido 1075</v>
      </c>
      <c r="D1088" s="9">
        <v>45717</v>
      </c>
      <c r="E1088" s="9">
        <v>45718</v>
      </c>
      <c r="F1088" s="8" t="str">
        <v>PedidoF1054</v>
      </c>
      <c r="G1088" s="2" t="str">
        <v>CódRastreio1052</v>
      </c>
      <c r="H1088" s="5">
        <v>1</v>
      </c>
      <c r="I1088" s="2" t="str">
        <v>CPF 1046</v>
      </c>
      <c r="J1088" s="2" t="str">
        <v>Nome 1046</v>
      </c>
      <c r="K1088" s="8" t="str">
        <v>Tel 1046</v>
      </c>
      <c r="L1088" s="8" t="str">
        <v>Cep 1046</v>
      </c>
      <c r="M1088" s="8" t="str">
        <v>Rua 1046</v>
      </c>
      <c r="N1088" s="8" t="str">
        <v>Comp 1046</v>
      </c>
      <c r="O1088" s="8" t="str">
        <v>Caixinha de som Preta</v>
      </c>
      <c r="P1088" s="8" t="str">
        <v>5D-KKPK-K70I</v>
      </c>
      <c r="Q1088" s="4">
        <v>45748</v>
      </c>
      <c r="R1088" s="109">
        <v>25.99</v>
      </c>
      <c r="S1088" s="11">
        <f ca="1"/>
        <v>25.99</v>
      </c>
      <c r="T1088" s="28">
        <f ca="1"/>
        <v>3.8984999999999994</v>
      </c>
      <c r="U1088" s="11">
        <f ca="1"/>
        <v>22.09</v>
      </c>
      <c r="V1088" s="11">
        <v>13.3</v>
      </c>
      <c r="W1088" s="11">
        <f ca="1"/>
        <v>0.28000000000000003</v>
      </c>
      <c r="X1088" s="11">
        <f ca="1"/>
        <v>0.39877104377104378</v>
      </c>
      <c r="Y1088" s="11">
        <v>0</v>
      </c>
      <c r="Z1088" s="11">
        <f ca="1"/>
        <v>8.1112289562289561</v>
      </c>
      <c r="AA1088" s="11">
        <f ca="1"/>
        <v>4.0556144781144781</v>
      </c>
      <c r="AB1088" s="4">
        <f ca="1"/>
        <v>45755</v>
      </c>
      <c r="AC1088" s="4">
        <v>45755</v>
      </c>
      <c r="AD1088" s="9">
        <v>45762</v>
      </c>
      <c r="AE1088" s="9">
        <v>45763</v>
      </c>
      <c r="AF1088" s="4" t="str">
        <f t="shared" ca="1" si="69"/>
        <v>2025 04</v>
      </c>
      <c r="AG1088" s="8" t="str" cm="1">
        <f t="array" ref="AG1088">IFERROR(_xlfn.IFS('Banco de Dados'!#REF!="AG. COMPRA","Em processamento",'Banco de Dados'!#REF!="AG. RASTREIO","Em processamento",'Banco de Dados'!$AE1088&lt;&gt;"-","Faturado",'Banco de Dados'!$AD1088&lt;&gt;"-","Aguardando Pix",'Banco de Dados'!$AC1088&lt;&gt;"-","Pendente"),"Aguardando Liberação")</f>
        <v>Aguardando Liberação</v>
      </c>
      <c r="AH1088" s="5" t="str">
        <f>IF('Banco de Dados'!$F1088="-",_xlfn.CONCAT(PROPER(TEXT(AK1088,"aaaa"))," ",PROPER(TEXT(AK1088,"mm"))),_xlfn.CONCAT(PROPER(TEXT(E1088,"aaaa"))," ",PROPER(TEXT(E1088,"mm"))))</f>
        <v>2025 03</v>
      </c>
      <c r="AI1088" s="9" t="str">
        <f ca="1">IF('Banco de Dados'!$AK1088&lt;&gt;"-","REEMBOLSO",IFERROR(_xlfn.XLOOKUP(G1088,Follow[CODRASTREIO],Follow[STATUS]),"-"))</f>
        <v>ENTREGUE</v>
      </c>
      <c r="AJ1088" s="9">
        <f ca="1">IF('Banco de Dados'!$AI1088="ENTREGUE",_xlfn.XLOOKUP('Banco de Dados'!$G1088,Follow[CODRASTREIO],Follow[DATAATUALIZAÇÃO]),"-")</f>
        <v>45729</v>
      </c>
      <c r="AK1088" s="132" t="str">
        <f ca="1"/>
        <v>-</v>
      </c>
      <c r="AL1088" s="35"/>
      <c r="AM1088" s="109" cm="1">
        <f t="array" aca="1" ref="AM1088" ca="1">IF('Banco de Dados'!$AK1088&lt;&gt;"-",_xlfn.IFS('Banco de Dados'!$A1088="bv",IF('Banco de Dados'!$E1088&lt;45641,ROUND(SUM('Banco de Dados'!$R1088*_xlfn.XLOOKUP('Banco de Dados'!$P1088,Sku!B:B,Sku!#REF!)*20%),2),ROUND(SUM('Banco de Dados'!$R1088*_xlfn.XLOOKUP('Banco de Dados'!$P1088,Sku!B:B,Sku!H:H)*20%),2)),'Banco de Dados'!$A1088="GO",ROUND(_xlfn.XLOOKUP('Banco de Dados'!$P1088,Sku!C:C,Sku!H:H),2),'Banco de Dados'!$A1088="MEI",ROUND(_xlfn.XLOOKUP('Banco de Dados'!$P1088,Sku!D:D,Sku!H:H),2)),0)</f>
        <v>0</v>
      </c>
      <c r="AN1088" s="109">
        <f ca="1">IF('Banco de Dados'!$AK1088&lt;&gt;"-",IF('Banco de Dados'!$F1088&lt;&gt;"-",_xlfn.XLOOKUP(IFERROR(IFERROR(IFERROR(VALUE(SUBSTITUTE(MID(_xlfn.TEXTAFTER('Banco de Dados'!$F1088,"Data do Pedido:
",1),1,10),"-","/")),VALUE(SUBSTITUTE(MID(_xlfn.TEXTAFTER('Banco de Dados'!$F1088,"Order date:
",1),1,10),"-","/"))),VALUE(SUBSTITUTE(MID(_xlfn.TEXTAFTER('Banco de Dados'!$F1088,"Fecha de pedido:
",1),1,10),"-","/"))),"-"),SMS!A:A,SMS!K:K),0),0)</f>
        <v>0</v>
      </c>
      <c r="AO1088" s="109">
        <f ca="1">IF('Banco de Dados'!$AK1088&lt;&gt;"-",IF('Banco de Dados'!$F1088&lt;&gt;"-",IFERROR(_xlfn.XLOOKUP(_xlfn.CONCAT('Banco de Dados'!$A1088,IFERROR(IFERROR(VALUE(SUBSTITUTE(MID(_xlfn.TEXTAFTER('Banco de Dados'!$F1088,"Data do Pedido:
",1),1,10),"-","/")),VALUE(SUBSTITUTE(MID(_xlfn.TEXTAFTER('Banco de Dados'!$F1088,"Order date:
",1),1,10),"-","/"))),0)),ProxyDD[Chave],ProxyDD[Valor por pedido]),PROXY!$P$2),0),0)</f>
        <v>0</v>
      </c>
      <c r="AP1088" s="28">
        <f ca="1">IF('Banco de Dados'!$AK1088&lt;&gt;"-",IF('Banco de Dados'!$AL1088="NÃO",IFERROR(VALUE(SUBSTITUTE(_xlfn.TEXTAFTER('Banco de Dados'!$F1088,"BRL ",1),".",",")),0),0),0)</f>
        <v>0</v>
      </c>
      <c r="AQ1088" s="28">
        <f ca="1">SUM('Banco de Dados'!$AM1088:$AP1088)</f>
        <v>0</v>
      </c>
      <c r="AR1088" s="8"/>
      <c r="AY1088" s="8"/>
    </row>
    <row r="1089" spans="1:51">
      <c r="A1089" s="5" t="str">
        <v>BV</v>
      </c>
      <c r="B1089" s="5" t="str">
        <f ca="1"/>
        <v>BV45718</v>
      </c>
      <c r="C1089" s="8" t="str">
        <v>Pedido 1076</v>
      </c>
      <c r="D1089" s="9">
        <v>45717</v>
      </c>
      <c r="E1089" s="9">
        <v>45718</v>
      </c>
      <c r="F1089" s="8" t="str">
        <v>PedidoF1055</v>
      </c>
      <c r="G1089" s="2" t="str">
        <v>CódRastreio1053</v>
      </c>
      <c r="H1089" s="5">
        <v>1</v>
      </c>
      <c r="I1089" s="2" t="str">
        <v>CPF 1047</v>
      </c>
      <c r="J1089" s="2" t="str">
        <v>Nome 1047</v>
      </c>
      <c r="K1089" s="8" t="str">
        <v>Tel 1047</v>
      </c>
      <c r="L1089" s="8" t="str">
        <v>Cep 1047</v>
      </c>
      <c r="M1089" s="8" t="str">
        <v>Rua 1047</v>
      </c>
      <c r="N1089" s="8" t="str">
        <v>Comp 1047</v>
      </c>
      <c r="O1089" s="8" t="str">
        <v>Ventilador de teto</v>
      </c>
      <c r="P1089" s="8" t="str">
        <v>BP-NHG2-B8C1</v>
      </c>
      <c r="Q1089" s="4">
        <v>45748</v>
      </c>
      <c r="R1089" s="109">
        <v>70.5</v>
      </c>
      <c r="S1089" s="11">
        <f ca="1"/>
        <v>70.5</v>
      </c>
      <c r="T1089" s="28">
        <f ca="1"/>
        <v>9.1650000000000009</v>
      </c>
      <c r="U1089" s="11">
        <f ca="1"/>
        <v>61.34</v>
      </c>
      <c r="V1089" s="11">
        <v>28.91</v>
      </c>
      <c r="W1089" s="11">
        <f ca="1"/>
        <v>0.28000000000000003</v>
      </c>
      <c r="X1089" s="11">
        <f ca="1"/>
        <v>0.39877104377104378</v>
      </c>
      <c r="Y1089" s="11">
        <v>0</v>
      </c>
      <c r="Z1089" s="11">
        <f ca="1"/>
        <v>31.751228956228957</v>
      </c>
      <c r="AA1089" s="11">
        <f ca="1"/>
        <v>15.875614478114478</v>
      </c>
      <c r="AB1089" s="4">
        <f ca="1"/>
        <v>45755</v>
      </c>
      <c r="AC1089" s="4">
        <v>45755</v>
      </c>
      <c r="AD1089" s="9">
        <v>45762</v>
      </c>
      <c r="AE1089" s="9">
        <v>45763</v>
      </c>
      <c r="AF1089" s="4" t="str">
        <f t="shared" ca="1" si="69"/>
        <v>2025 04</v>
      </c>
      <c r="AG1089" s="8" t="str" cm="1">
        <f t="array" ref="AG1089">IFERROR(_xlfn.IFS('Banco de Dados'!#REF!="AG. COMPRA","Em processamento",'Banco de Dados'!#REF!="AG. RASTREIO","Em processamento",'Banco de Dados'!$AE1089&lt;&gt;"-","Faturado",'Banco de Dados'!$AD1089&lt;&gt;"-","Aguardando Pix",'Banco de Dados'!$AC1089&lt;&gt;"-","Pendente"),"Aguardando Liberação")</f>
        <v>Aguardando Liberação</v>
      </c>
      <c r="AH1089" s="5" t="str">
        <f>IF('Banco de Dados'!$F1089="-",_xlfn.CONCAT(PROPER(TEXT(AK1089,"aaaa"))," ",PROPER(TEXT(AK1089,"mm"))),_xlfn.CONCAT(PROPER(TEXT(E1089,"aaaa"))," ",PROPER(TEXT(E1089,"mm"))))</f>
        <v>2025 03</v>
      </c>
      <c r="AI1089" s="9" t="str">
        <f ca="1">IF('Banco de Dados'!$AK1089&lt;&gt;"-","REEMBOLSO",IFERROR(_xlfn.XLOOKUP(G1089,Follow[CODRASTREIO],Follow[STATUS]),"-"))</f>
        <v>ENTREGUE</v>
      </c>
      <c r="AJ1089" s="9">
        <f ca="1">IF('Banco de Dados'!$AI1089="ENTREGUE",_xlfn.XLOOKUP('Banco de Dados'!$G1089,Follow[CODRASTREIO],Follow[DATAATUALIZAÇÃO]),"-")</f>
        <v>45728.666400462964</v>
      </c>
      <c r="AK1089" s="132" t="str">
        <f ca="1"/>
        <v>-</v>
      </c>
      <c r="AL1089" s="35"/>
      <c r="AM1089" s="109" cm="1">
        <f t="array" aca="1" ref="AM1089" ca="1">IF('Banco de Dados'!$AK1089&lt;&gt;"-",_xlfn.IFS('Banco de Dados'!$A1089="bv",IF('Banco de Dados'!$E1089&lt;45641,ROUND(SUM('Banco de Dados'!$R1089*_xlfn.XLOOKUP('Banco de Dados'!$P1089,Sku!B:B,Sku!#REF!)*20%),2),ROUND(SUM('Banco de Dados'!$R1089*_xlfn.XLOOKUP('Banco de Dados'!$P1089,Sku!B:B,Sku!H:H)*20%),2)),'Banco de Dados'!$A1089="GO",ROUND(_xlfn.XLOOKUP('Banco de Dados'!$P1089,Sku!C:C,Sku!H:H),2),'Banco de Dados'!$A1089="MEI",ROUND(_xlfn.XLOOKUP('Banco de Dados'!$P1089,Sku!D:D,Sku!H:H),2)),0)</f>
        <v>0</v>
      </c>
      <c r="AN1089" s="109">
        <f ca="1">IF('Banco de Dados'!$AK1089&lt;&gt;"-",IF('Banco de Dados'!$F1089&lt;&gt;"-",_xlfn.XLOOKUP(IFERROR(IFERROR(IFERROR(VALUE(SUBSTITUTE(MID(_xlfn.TEXTAFTER('Banco de Dados'!$F1089,"Data do Pedido:
",1),1,10),"-","/")),VALUE(SUBSTITUTE(MID(_xlfn.TEXTAFTER('Banco de Dados'!$F1089,"Order date:
",1),1,10),"-","/"))),VALUE(SUBSTITUTE(MID(_xlfn.TEXTAFTER('Banco de Dados'!$F1089,"Fecha de pedido:
",1),1,10),"-","/"))),"-"),SMS!A:A,SMS!K:K),0),0)</f>
        <v>0</v>
      </c>
      <c r="AO1089" s="109">
        <f ca="1">IF('Banco de Dados'!$AK1089&lt;&gt;"-",IF('Banco de Dados'!$F1089&lt;&gt;"-",IFERROR(_xlfn.XLOOKUP(_xlfn.CONCAT('Banco de Dados'!$A1089,IFERROR(IFERROR(VALUE(SUBSTITUTE(MID(_xlfn.TEXTAFTER('Banco de Dados'!$F1089,"Data do Pedido:
",1),1,10),"-","/")),VALUE(SUBSTITUTE(MID(_xlfn.TEXTAFTER('Banco de Dados'!$F1089,"Order date:
",1),1,10),"-","/"))),0)),ProxyDD[Chave],ProxyDD[Valor por pedido]),PROXY!$P$2),0),0)</f>
        <v>0</v>
      </c>
      <c r="AP1089" s="28">
        <f ca="1">IF('Banco de Dados'!$AK1089&lt;&gt;"-",IF('Banco de Dados'!$AL1089="NÃO",IFERROR(VALUE(SUBSTITUTE(_xlfn.TEXTAFTER('Banco de Dados'!$F1089,"BRL ",1),".",",")),0),0),0)</f>
        <v>0</v>
      </c>
      <c r="AQ1089" s="28">
        <f ca="1">SUM('Banco de Dados'!$AM1089:$AP1089)</f>
        <v>0</v>
      </c>
      <c r="AR1089" s="8"/>
      <c r="AY1089" s="8"/>
    </row>
    <row r="1090" spans="1:51">
      <c r="A1090" s="5" t="str">
        <v>BV</v>
      </c>
      <c r="B1090" s="5" t="str">
        <f ca="1"/>
        <v>BV45718</v>
      </c>
      <c r="C1090" s="8" t="str">
        <v>Pedido 1077</v>
      </c>
      <c r="D1090" s="9">
        <v>45717</v>
      </c>
      <c r="E1090" s="9">
        <v>45718</v>
      </c>
      <c r="F1090" s="8" t="str">
        <v>PedidoF1056</v>
      </c>
      <c r="G1090" s="2" t="str">
        <v>CódRastreio1054</v>
      </c>
      <c r="H1090" s="5">
        <v>1</v>
      </c>
      <c r="I1090" s="2" t="str">
        <v>CPF 1048</v>
      </c>
      <c r="J1090" s="2" t="str">
        <v>Nome 1048</v>
      </c>
      <c r="K1090" s="8" t="str">
        <v>Tel 1048</v>
      </c>
      <c r="L1090" s="8" t="str">
        <v>Cep 1048</v>
      </c>
      <c r="M1090" s="8" t="str">
        <v>Rua 1048</v>
      </c>
      <c r="N1090" s="8" t="str">
        <v>Comp 1048</v>
      </c>
      <c r="O1090" s="8" t="str">
        <v>Ventilador Preto</v>
      </c>
      <c r="P1090" s="8" t="str">
        <v>MU-J80P-95WF</v>
      </c>
      <c r="Q1090" s="4">
        <v>45748</v>
      </c>
      <c r="R1090" s="109">
        <v>65.599999999999994</v>
      </c>
      <c r="S1090" s="11">
        <f ca="1"/>
        <v>65.599999999999994</v>
      </c>
      <c r="T1090" s="28">
        <f ca="1"/>
        <v>8.5279999999999987</v>
      </c>
      <c r="U1090" s="11">
        <f ca="1"/>
        <v>57.07</v>
      </c>
      <c r="V1090" s="11">
        <v>10.17</v>
      </c>
      <c r="W1090" s="11">
        <f ca="1"/>
        <v>0.28000000000000003</v>
      </c>
      <c r="X1090" s="11">
        <f ca="1"/>
        <v>0.39877104377104378</v>
      </c>
      <c r="Y1090" s="11">
        <v>0</v>
      </c>
      <c r="Z1090" s="11">
        <f ca="1"/>
        <v>46.221228956228956</v>
      </c>
      <c r="AA1090" s="11">
        <f ca="1"/>
        <v>23.110614478114478</v>
      </c>
      <c r="AB1090" s="4">
        <f ca="1"/>
        <v>45755</v>
      </c>
      <c r="AC1090" s="4">
        <v>45755</v>
      </c>
      <c r="AD1090" s="9">
        <v>45762</v>
      </c>
      <c r="AE1090" s="9">
        <v>45763</v>
      </c>
      <c r="AF1090" s="4" t="str">
        <f t="shared" ca="1" si="69"/>
        <v>2025 04</v>
      </c>
      <c r="AG1090" s="8" t="str" cm="1">
        <f t="array" ref="AG1090">IFERROR(_xlfn.IFS('Banco de Dados'!#REF!="AG. COMPRA","Em processamento",'Banco de Dados'!#REF!="AG. RASTREIO","Em processamento",'Banco de Dados'!$AE1090&lt;&gt;"-","Faturado",'Banco de Dados'!$AD1090&lt;&gt;"-","Aguardando Pix",'Banco de Dados'!$AC1090&lt;&gt;"-","Pendente"),"Aguardando Liberação")</f>
        <v>Aguardando Liberação</v>
      </c>
      <c r="AH1090" s="5" t="str">
        <f>IF('Banco de Dados'!$F1090="-",_xlfn.CONCAT(PROPER(TEXT(AK1090,"aaaa"))," ",PROPER(TEXT(AK1090,"mm"))),_xlfn.CONCAT(PROPER(TEXT(E1090,"aaaa"))," ",PROPER(TEXT(E1090,"mm"))))</f>
        <v>2025 03</v>
      </c>
      <c r="AI1090" s="9" t="str">
        <f ca="1">IF('Banco de Dados'!$AK1090&lt;&gt;"-","REEMBOLSO",IFERROR(_xlfn.XLOOKUP(G1090,Follow[CODRASTREIO],Follow[STATUS]),"-"))</f>
        <v>ENTREGUE</v>
      </c>
      <c r="AJ1090" s="9">
        <f ca="1">IF('Banco de Dados'!$AI1090="ENTREGUE",_xlfn.XLOOKUP('Banco de Dados'!$G1090,Follow[CODRASTREIO],Follow[DATAATUALIZAÇÃO]),"-")</f>
        <v>45733</v>
      </c>
      <c r="AK1090" s="132" t="str">
        <f ca="1"/>
        <v>-</v>
      </c>
      <c r="AL1090" s="35"/>
      <c r="AM1090" s="109" cm="1">
        <f t="array" aca="1" ref="AM1090" ca="1">IF('Banco de Dados'!$AK1090&lt;&gt;"-",_xlfn.IFS('Banco de Dados'!$A1090="bv",IF('Banco de Dados'!$E1090&lt;45641,ROUND(SUM('Banco de Dados'!$R1090*_xlfn.XLOOKUP('Banco de Dados'!$P1090,Sku!B:B,Sku!#REF!)*20%),2),ROUND(SUM('Banco de Dados'!$R1090*_xlfn.XLOOKUP('Banco de Dados'!$P1090,Sku!B:B,Sku!H:H)*20%),2)),'Banco de Dados'!$A1090="GO",ROUND(_xlfn.XLOOKUP('Banco de Dados'!$P1090,Sku!C:C,Sku!H:H),2),'Banco de Dados'!$A1090="MEI",ROUND(_xlfn.XLOOKUP('Banco de Dados'!$P1090,Sku!D:D,Sku!H:H),2)),0)</f>
        <v>0</v>
      </c>
      <c r="AN1090" s="109">
        <f ca="1">IF('Banco de Dados'!$AK1090&lt;&gt;"-",IF('Banco de Dados'!$F1090&lt;&gt;"-",_xlfn.XLOOKUP(IFERROR(IFERROR(IFERROR(VALUE(SUBSTITUTE(MID(_xlfn.TEXTAFTER('Banco de Dados'!$F1090,"Data do Pedido:
",1),1,10),"-","/")),VALUE(SUBSTITUTE(MID(_xlfn.TEXTAFTER('Banco de Dados'!$F1090,"Order date:
",1),1,10),"-","/"))),VALUE(SUBSTITUTE(MID(_xlfn.TEXTAFTER('Banco de Dados'!$F1090,"Fecha de pedido:
",1),1,10),"-","/"))),"-"),SMS!A:A,SMS!K:K),0),0)</f>
        <v>0</v>
      </c>
      <c r="AO1090" s="109">
        <f ca="1">IF('Banco de Dados'!$AK1090&lt;&gt;"-",IF('Banco de Dados'!$F1090&lt;&gt;"-",IFERROR(_xlfn.XLOOKUP(_xlfn.CONCAT('Banco de Dados'!$A1090,IFERROR(IFERROR(VALUE(SUBSTITUTE(MID(_xlfn.TEXTAFTER('Banco de Dados'!$F1090,"Data do Pedido:
",1),1,10),"-","/")),VALUE(SUBSTITUTE(MID(_xlfn.TEXTAFTER('Banco de Dados'!$F1090,"Order date:
",1),1,10),"-","/"))),0)),ProxyDD[Chave],ProxyDD[Valor por pedido]),PROXY!$P$2),0),0)</f>
        <v>0</v>
      </c>
      <c r="AP1090" s="28">
        <f ca="1">IF('Banco de Dados'!$AK1090&lt;&gt;"-",IF('Banco de Dados'!$AL1090="NÃO",IFERROR(VALUE(SUBSTITUTE(_xlfn.TEXTAFTER('Banco de Dados'!$F1090,"BRL ",1),".",",")),0),0),0)</f>
        <v>0</v>
      </c>
      <c r="AQ1090" s="28">
        <f ca="1">SUM('Banco de Dados'!$AM1090:$AP1090)</f>
        <v>0</v>
      </c>
      <c r="AR1090" s="8"/>
      <c r="AY1090" s="8"/>
    </row>
    <row r="1091" spans="1:51">
      <c r="A1091" s="5" t="str">
        <v>BV</v>
      </c>
      <c r="B1091" s="5" t="str">
        <f ca="1"/>
        <v>BV45722</v>
      </c>
      <c r="C1091" s="8" t="str">
        <v>Pedido 1078</v>
      </c>
      <c r="D1091" s="9">
        <v>45717</v>
      </c>
      <c r="E1091" s="9">
        <v>45722</v>
      </c>
      <c r="F1091" s="8" t="str">
        <v>PedidoF1057</v>
      </c>
      <c r="G1091" s="2" t="str">
        <v>CódRastreio1055</v>
      </c>
      <c r="H1091" s="5">
        <v>1</v>
      </c>
      <c r="I1091" s="2" t="str">
        <v>CPF 1049</v>
      </c>
      <c r="J1091" s="2" t="str">
        <v>Nome 1049</v>
      </c>
      <c r="K1091" s="8" t="str">
        <v>Tel 1049</v>
      </c>
      <c r="L1091" s="8" t="str">
        <v>Cep 1049</v>
      </c>
      <c r="M1091" s="8" t="str">
        <v>Rua 1049</v>
      </c>
      <c r="N1091" s="8" t="str">
        <v>Comp 1049</v>
      </c>
      <c r="O1091" s="8" t="str">
        <v>Garrafa Termica</v>
      </c>
      <c r="P1091" s="8" t="str">
        <v>FM-QQ8Y-RZT4</v>
      </c>
      <c r="Q1091" s="4">
        <v>45736</v>
      </c>
      <c r="R1091" s="109">
        <v>23.5</v>
      </c>
      <c r="S1091" s="11">
        <f ca="1"/>
        <v>0</v>
      </c>
      <c r="T1091" s="28">
        <f ca="1"/>
        <v>0</v>
      </c>
      <c r="U1091" s="11">
        <f ca="1"/>
        <v>0</v>
      </c>
      <c r="V1091" s="11">
        <v>0</v>
      </c>
      <c r="W1091" s="11">
        <f ca="1"/>
        <v>0</v>
      </c>
      <c r="X1091" s="11">
        <f ca="1"/>
        <v>0.39877104377104378</v>
      </c>
      <c r="Y1091" s="11">
        <v>0</v>
      </c>
      <c r="Z1091" s="11">
        <f ca="1"/>
        <v>-0.39877104377104378</v>
      </c>
      <c r="AA1091" s="11">
        <f ca="1"/>
        <v>-0.19938552188552189</v>
      </c>
      <c r="AB1091" s="4">
        <f ca="1"/>
        <v>45743</v>
      </c>
      <c r="AC1091" s="4">
        <v>45743</v>
      </c>
      <c r="AD1091" s="9">
        <v>45747</v>
      </c>
      <c r="AE1091" s="9">
        <v>45749</v>
      </c>
      <c r="AF1091" s="4" t="str">
        <f t="shared" ca="1" si="69"/>
        <v>2025 03</v>
      </c>
      <c r="AG1091" s="8" t="str" cm="1">
        <f t="array" ref="AG1091">IFERROR(_xlfn.IFS('Banco de Dados'!#REF!="AG. COMPRA","Em processamento",'Banco de Dados'!#REF!="AG. RASTREIO","Em processamento",'Banco de Dados'!$AE1091&lt;&gt;"-","Faturado",'Banco de Dados'!$AD1091&lt;&gt;"-","Aguardando Pix",'Banco de Dados'!$AC1091&lt;&gt;"-","Pendente"),"Aguardando Liberação")</f>
        <v>Aguardando Liberação</v>
      </c>
      <c r="AH1091" s="5" t="str">
        <f>IF('Banco de Dados'!$F1091="-",_xlfn.CONCAT(PROPER(TEXT(AK1091,"aaaa"))," ",PROPER(TEXT(AK1091,"mm"))),_xlfn.CONCAT(PROPER(TEXT(E1091,"aaaa"))," ",PROPER(TEXT(E1091,"mm"))))</f>
        <v>2025 03</v>
      </c>
      <c r="AI1091" s="9" t="str">
        <f ca="1">IF('Banco de Dados'!$AK1091&lt;&gt;"-","REEMBOLSO",IFERROR(_xlfn.XLOOKUP(G1091,Follow[CODRASTREIO],Follow[STATUS]),"-"))</f>
        <v>REEMBOLSO</v>
      </c>
      <c r="AJ1091" s="9" t="str">
        <f ca="1">IF('Banco de Dados'!$AI1091="ENTREGUE",_xlfn.XLOOKUP('Banco de Dados'!$G1091,Follow[CODRASTREIO],Follow[DATAATUALIZAÇÃO]),"-")</f>
        <v>-</v>
      </c>
      <c r="AK1091" s="132">
        <f ca="1"/>
        <v>45740</v>
      </c>
      <c r="AL1091" s="35"/>
      <c r="AM1091" s="109">
        <v>22.56</v>
      </c>
      <c r="AN1091" s="109" t="e">
        <f ca="1">IF('Banco de Dados'!$AK1091&lt;&gt;"-",IF('Banco de Dados'!$F1091&lt;&gt;"-",_xlfn.XLOOKUP(IFERROR(IFERROR(IFERROR(VALUE(SUBSTITUTE(MID(_xlfn.TEXTAFTER('Banco de Dados'!$F1091,"Data do Pedido:
",1),1,10),"-","/")),VALUE(SUBSTITUTE(MID(_xlfn.TEXTAFTER('Banco de Dados'!$F1091,"Order date:
",1),1,10),"-","/"))),VALUE(SUBSTITUTE(MID(_xlfn.TEXTAFTER('Banco de Dados'!$F1091,"Fecha de pedido:
",1),1,10),"-","/"))),"-"),SMS!A:A,SMS!K:K),0),0)</f>
        <v>#N/A</v>
      </c>
      <c r="AO1091" s="109">
        <f ca="1">IF('Banco de Dados'!$AK1091&lt;&gt;"-",IF('Banco de Dados'!$F1091&lt;&gt;"-",IFERROR(_xlfn.XLOOKUP(_xlfn.CONCAT('Banco de Dados'!$A1091,IFERROR(IFERROR(VALUE(SUBSTITUTE(MID(_xlfn.TEXTAFTER('Banco de Dados'!$F1091,"Data do Pedido:
",1),1,10),"-","/")),VALUE(SUBSTITUTE(MID(_xlfn.TEXTAFTER('Banco de Dados'!$F1091,"Order date:
",1),1,10),"-","/"))),0)),ProxyDD[Chave],ProxyDD[Valor por pedido]),PROXY!$P$2),0),0)</f>
        <v>0.39877104377104378</v>
      </c>
      <c r="AP1091" s="28">
        <f ca="1">IF('Banco de Dados'!$AK1091&lt;&gt;"-",IF('Banco de Dados'!$AL1091="NÃO",IFERROR(VALUE(SUBSTITUTE(_xlfn.TEXTAFTER('Banco de Dados'!$F1091,"BRL ",1),".",",")),0),0),0)</f>
        <v>0</v>
      </c>
      <c r="AQ1091" s="28" t="e">
        <f ca="1">SUM('Banco de Dados'!$AM1091:$AP1091)</f>
        <v>#N/A</v>
      </c>
      <c r="AR1091" s="8"/>
      <c r="AY1091" s="8"/>
    </row>
    <row r="1092" spans="1:51">
      <c r="A1092" s="5" t="str">
        <v>BV</v>
      </c>
      <c r="B1092" s="5" t="str">
        <f ca="1"/>
        <v>BV45718</v>
      </c>
      <c r="C1092" s="8" t="str">
        <v>Pedido 1079</v>
      </c>
      <c r="D1092" s="9">
        <v>45717</v>
      </c>
      <c r="E1092" s="9">
        <v>45718</v>
      </c>
      <c r="F1092" s="8" t="str">
        <v>PedidoF1058</v>
      </c>
      <c r="G1092" s="2" t="str">
        <v>CódRastreio1056</v>
      </c>
      <c r="H1092" s="5">
        <v>1</v>
      </c>
      <c r="I1092" s="2" t="str">
        <v>CPF 1050</v>
      </c>
      <c r="J1092" s="2" t="str">
        <v>Nome 1050</v>
      </c>
      <c r="K1092" s="8" t="str">
        <v>Tel 1050</v>
      </c>
      <c r="L1092" s="8" t="str">
        <v>Cep 1050</v>
      </c>
      <c r="M1092" s="8" t="str">
        <v>Rua 1050</v>
      </c>
      <c r="N1092" s="8" t="str">
        <v>Comp 1050</v>
      </c>
      <c r="O1092" s="8" t="str">
        <v>Ventilador Preto</v>
      </c>
      <c r="P1092" s="8" t="str">
        <v>MU-J80P-95WF</v>
      </c>
      <c r="Q1092" s="4">
        <v>45748</v>
      </c>
      <c r="R1092" s="109">
        <v>65.599999999999994</v>
      </c>
      <c r="S1092" s="11">
        <f ca="1"/>
        <v>65.599999999999994</v>
      </c>
      <c r="T1092" s="28">
        <f ca="1"/>
        <v>8.5279999999999987</v>
      </c>
      <c r="U1092" s="11">
        <f ca="1"/>
        <v>57.07</v>
      </c>
      <c r="V1092" s="11">
        <v>10.17</v>
      </c>
      <c r="W1092" s="11">
        <f ca="1"/>
        <v>0.28000000000000003</v>
      </c>
      <c r="X1092" s="11">
        <f ca="1"/>
        <v>0.39877104377104378</v>
      </c>
      <c r="Y1092" s="11">
        <v>0</v>
      </c>
      <c r="Z1092" s="11">
        <f ca="1"/>
        <v>46.221228956228956</v>
      </c>
      <c r="AA1092" s="11">
        <f ca="1"/>
        <v>23.110614478114478</v>
      </c>
      <c r="AB1092" s="4">
        <f ca="1"/>
        <v>45755</v>
      </c>
      <c r="AC1092" s="4">
        <v>45755</v>
      </c>
      <c r="AD1092" s="9">
        <v>45762</v>
      </c>
      <c r="AE1092" s="9">
        <v>45763</v>
      </c>
      <c r="AF1092" s="4" t="str">
        <f t="shared" ca="1" si="69"/>
        <v>2025 04</v>
      </c>
      <c r="AG1092" s="8" t="str" cm="1">
        <f t="array" ref="AG1092">IFERROR(_xlfn.IFS('Banco de Dados'!#REF!="AG. COMPRA","Em processamento",'Banco de Dados'!#REF!="AG. RASTREIO","Em processamento",'Banco de Dados'!$AE1092&lt;&gt;"-","Faturado",'Banco de Dados'!$AD1092&lt;&gt;"-","Aguardando Pix",'Banco de Dados'!$AC1092&lt;&gt;"-","Pendente"),"Aguardando Liberação")</f>
        <v>Aguardando Liberação</v>
      </c>
      <c r="AH1092" s="5" t="str">
        <f>IF('Banco de Dados'!$F1092="-",_xlfn.CONCAT(PROPER(TEXT(AK1092,"aaaa"))," ",PROPER(TEXT(AK1092,"mm"))),_xlfn.CONCAT(PROPER(TEXT(E1092,"aaaa"))," ",PROPER(TEXT(E1092,"mm"))))</f>
        <v>2025 03</v>
      </c>
      <c r="AI1092" s="9" t="str">
        <f ca="1">IF('Banco de Dados'!$AK1092&lt;&gt;"-","REEMBOLSO",IFERROR(_xlfn.XLOOKUP(G1092,Follow[CODRASTREIO],Follow[STATUS]),"-"))</f>
        <v>ENTREGUE</v>
      </c>
      <c r="AJ1092" s="9">
        <f ca="1">IF('Banco de Dados'!$AI1092="ENTREGUE",_xlfn.XLOOKUP('Banco de Dados'!$G1092,Follow[CODRASTREIO],Follow[DATAATUALIZAÇÃO]),"-")</f>
        <v>45734</v>
      </c>
      <c r="AK1092" s="132" t="str">
        <f ca="1"/>
        <v>-</v>
      </c>
      <c r="AL1092" s="35"/>
      <c r="AM1092" s="109" cm="1">
        <f t="array" aca="1" ref="AM1092" ca="1">IF('Banco de Dados'!$AK1092&lt;&gt;"-",_xlfn.IFS('Banco de Dados'!$A1092="bv",IF('Banco de Dados'!$E1092&lt;45641,ROUND(SUM('Banco de Dados'!$R1092*_xlfn.XLOOKUP('Banco de Dados'!$P1092,Sku!B:B,Sku!#REF!)*20%),2),ROUND(SUM('Banco de Dados'!$R1092*_xlfn.XLOOKUP('Banco de Dados'!$P1092,Sku!B:B,Sku!H:H)*20%),2)),'Banco de Dados'!$A1092="GO",ROUND(_xlfn.XLOOKUP('Banco de Dados'!$P1092,Sku!C:C,Sku!H:H),2),'Banco de Dados'!$A1092="MEI",ROUND(_xlfn.XLOOKUP('Banco de Dados'!$P1092,Sku!D:D,Sku!H:H),2)),0)</f>
        <v>0</v>
      </c>
      <c r="AN1092" s="109">
        <f ca="1">IF('Banco de Dados'!$AK1092&lt;&gt;"-",IF('Banco de Dados'!$F1092&lt;&gt;"-",_xlfn.XLOOKUP(IFERROR(IFERROR(IFERROR(VALUE(SUBSTITUTE(MID(_xlfn.TEXTAFTER('Banco de Dados'!$F1092,"Data do Pedido:
",1),1,10),"-","/")),VALUE(SUBSTITUTE(MID(_xlfn.TEXTAFTER('Banco de Dados'!$F1092,"Order date:
",1),1,10),"-","/"))),VALUE(SUBSTITUTE(MID(_xlfn.TEXTAFTER('Banco de Dados'!$F1092,"Fecha de pedido:
",1),1,10),"-","/"))),"-"),SMS!A:A,SMS!K:K),0),0)</f>
        <v>0</v>
      </c>
      <c r="AO1092" s="109">
        <f ca="1">IF('Banco de Dados'!$AK1092&lt;&gt;"-",IF('Banco de Dados'!$F1092&lt;&gt;"-",IFERROR(_xlfn.XLOOKUP(_xlfn.CONCAT('Banco de Dados'!$A1092,IFERROR(IFERROR(VALUE(SUBSTITUTE(MID(_xlfn.TEXTAFTER('Banco de Dados'!$F1092,"Data do Pedido:
",1),1,10),"-","/")),VALUE(SUBSTITUTE(MID(_xlfn.TEXTAFTER('Banco de Dados'!$F1092,"Order date:
",1),1,10),"-","/"))),0)),ProxyDD[Chave],ProxyDD[Valor por pedido]),PROXY!$P$2),0),0)</f>
        <v>0</v>
      </c>
      <c r="AP1092" s="28">
        <f ca="1">IF('Banco de Dados'!$AK1092&lt;&gt;"-",IF('Banco de Dados'!$AL1092="NÃO",IFERROR(VALUE(SUBSTITUTE(_xlfn.TEXTAFTER('Banco de Dados'!$F1092,"BRL ",1),".",",")),0),0),0)</f>
        <v>0</v>
      </c>
      <c r="AQ1092" s="28">
        <f ca="1">SUM('Banco de Dados'!$AM1092:$AP1092)</f>
        <v>0</v>
      </c>
      <c r="AR1092" s="8"/>
      <c r="AY1092" s="8"/>
    </row>
    <row r="1093" spans="1:51">
      <c r="A1093" s="5" t="str">
        <v>BV</v>
      </c>
      <c r="B1093" s="5" t="str">
        <f ca="1"/>
        <v>BV45720</v>
      </c>
      <c r="C1093" s="8" t="str">
        <v>Pedido 1080</v>
      </c>
      <c r="D1093" s="9">
        <v>45717</v>
      </c>
      <c r="E1093" s="9">
        <v>45720</v>
      </c>
      <c r="F1093" s="8" t="str">
        <v>PedidoF1059</v>
      </c>
      <c r="G1093" s="2" t="str">
        <v>CódRastreio1057</v>
      </c>
      <c r="H1093" s="5">
        <v>1</v>
      </c>
      <c r="I1093" s="2" t="str">
        <v>CPF 1050</v>
      </c>
      <c r="J1093" s="2" t="str">
        <v>Nome 1050</v>
      </c>
      <c r="K1093" s="8" t="str">
        <v>Tel 1050</v>
      </c>
      <c r="L1093" s="8" t="str">
        <v>Cep 1050</v>
      </c>
      <c r="M1093" s="8" t="str">
        <v>Rua 1050</v>
      </c>
      <c r="N1093" s="8" t="str">
        <v>Comp 1050</v>
      </c>
      <c r="O1093" s="8" t="str">
        <v>Ventilador Preto</v>
      </c>
      <c r="P1093" s="8" t="str">
        <v>MU-J80P-95WF</v>
      </c>
      <c r="Q1093" s="4">
        <v>45748</v>
      </c>
      <c r="R1093" s="109">
        <v>65.599999999999994</v>
      </c>
      <c r="S1093" s="11">
        <f ca="1"/>
        <v>65.599999999999994</v>
      </c>
      <c r="T1093" s="28">
        <f ca="1"/>
        <v>8.5279999999999987</v>
      </c>
      <c r="U1093" s="11">
        <f ca="1"/>
        <v>57.07</v>
      </c>
      <c r="V1093" s="11">
        <v>10.52</v>
      </c>
      <c r="W1093" s="11">
        <f ca="1"/>
        <v>0.25</v>
      </c>
      <c r="X1093" s="11">
        <f ca="1"/>
        <v>0.39877104377104378</v>
      </c>
      <c r="Y1093" s="11">
        <v>0</v>
      </c>
      <c r="Z1093" s="11">
        <f ca="1"/>
        <v>45.901228956228955</v>
      </c>
      <c r="AA1093" s="11">
        <f ca="1"/>
        <v>22.950614478114478</v>
      </c>
      <c r="AB1093" s="4">
        <f ca="1"/>
        <v>45755</v>
      </c>
      <c r="AC1093" s="4">
        <v>45755</v>
      </c>
      <c r="AD1093" s="9">
        <v>45762</v>
      </c>
      <c r="AE1093" s="9">
        <v>45763</v>
      </c>
      <c r="AF1093" s="4" t="str">
        <f t="shared" ca="1" si="69"/>
        <v>2025 04</v>
      </c>
      <c r="AG1093" s="8" t="str" cm="1">
        <f t="array" ref="AG1093">IFERROR(_xlfn.IFS('Banco de Dados'!#REF!="AG. COMPRA","Em processamento",'Banco de Dados'!#REF!="AG. RASTREIO","Em processamento",'Banco de Dados'!$AE1093&lt;&gt;"-","Faturado",'Banco de Dados'!$AD1093&lt;&gt;"-","Aguardando Pix",'Banco de Dados'!$AC1093&lt;&gt;"-","Pendente"),"Aguardando Liberação")</f>
        <v>Aguardando Liberação</v>
      </c>
      <c r="AH1093" s="5" t="str">
        <f>IF('Banco de Dados'!$F1093="-",_xlfn.CONCAT(PROPER(TEXT(AK1093,"aaaa"))," ",PROPER(TEXT(AK1093,"mm"))),_xlfn.CONCAT(PROPER(TEXT(E1093,"aaaa"))," ",PROPER(TEXT(E1093,"mm"))))</f>
        <v>2025 03</v>
      </c>
      <c r="AI1093" s="9" t="str">
        <f ca="1">IF('Banco de Dados'!$AK1093&lt;&gt;"-","REEMBOLSO",IFERROR(_xlfn.XLOOKUP(G1093,Follow[CODRASTREIO],Follow[STATUS]),"-"))</f>
        <v>ENTREGUE</v>
      </c>
      <c r="AJ1093" s="9">
        <f ca="1">IF('Banco de Dados'!$AI1093="ENTREGUE",_xlfn.XLOOKUP('Banco de Dados'!$G1093,Follow[CODRASTREIO],Follow[DATAATUALIZAÇÃO]),"-")</f>
        <v>45736</v>
      </c>
      <c r="AK1093" s="132" t="str">
        <f ca="1"/>
        <v>-</v>
      </c>
      <c r="AL1093" s="35"/>
      <c r="AM1093" s="109" cm="1">
        <f t="array" aca="1" ref="AM1093" ca="1">IF('Banco de Dados'!$AK1093&lt;&gt;"-",_xlfn.IFS('Banco de Dados'!$A1093="bv",IF('Banco de Dados'!$E1093&lt;45641,ROUND(SUM('Banco de Dados'!$R1093*_xlfn.XLOOKUP('Banco de Dados'!$P1093,Sku!B:B,Sku!#REF!)*20%),2),ROUND(SUM('Banco de Dados'!$R1093*_xlfn.XLOOKUP('Banco de Dados'!$P1093,Sku!B:B,Sku!H:H)*20%),2)),'Banco de Dados'!$A1093="GO",ROUND(_xlfn.XLOOKUP('Banco de Dados'!$P1093,Sku!C:C,Sku!H:H),2),'Banco de Dados'!$A1093="MEI",ROUND(_xlfn.XLOOKUP('Banco de Dados'!$P1093,Sku!D:D,Sku!H:H),2)),0)</f>
        <v>0</v>
      </c>
      <c r="AN1093" s="109">
        <f ca="1">IF('Banco de Dados'!$AK1093&lt;&gt;"-",IF('Banco de Dados'!$F1093&lt;&gt;"-",_xlfn.XLOOKUP(IFERROR(IFERROR(IFERROR(VALUE(SUBSTITUTE(MID(_xlfn.TEXTAFTER('Banco de Dados'!$F1093,"Data do Pedido:
",1),1,10),"-","/")),VALUE(SUBSTITUTE(MID(_xlfn.TEXTAFTER('Banco de Dados'!$F1093,"Order date:
",1),1,10),"-","/"))),VALUE(SUBSTITUTE(MID(_xlfn.TEXTAFTER('Banco de Dados'!$F1093,"Fecha de pedido:
",1),1,10),"-","/"))),"-"),SMS!A:A,SMS!K:K),0),0)</f>
        <v>0</v>
      </c>
      <c r="AO1093" s="109">
        <f ca="1">IF('Banco de Dados'!$AK1093&lt;&gt;"-",IF('Banco de Dados'!$F1093&lt;&gt;"-",IFERROR(_xlfn.XLOOKUP(_xlfn.CONCAT('Banco de Dados'!$A1093,IFERROR(IFERROR(VALUE(SUBSTITUTE(MID(_xlfn.TEXTAFTER('Banco de Dados'!$F1093,"Data do Pedido:
",1),1,10),"-","/")),VALUE(SUBSTITUTE(MID(_xlfn.TEXTAFTER('Banco de Dados'!$F1093,"Order date:
",1),1,10),"-","/"))),0)),ProxyDD[Chave],ProxyDD[Valor por pedido]),PROXY!$P$2),0),0)</f>
        <v>0</v>
      </c>
      <c r="AP1093" s="28">
        <f ca="1">IF('Banco de Dados'!$AK1093&lt;&gt;"-",IF('Banco de Dados'!$AL1093="NÃO",IFERROR(VALUE(SUBSTITUTE(_xlfn.TEXTAFTER('Banco de Dados'!$F1093,"BRL ",1),".",",")),0),0),0)</f>
        <v>0</v>
      </c>
      <c r="AQ1093" s="28">
        <f ca="1">SUM('Banco de Dados'!$AM1093:$AP1093)</f>
        <v>0</v>
      </c>
      <c r="AR1093" s="8"/>
      <c r="AY1093" s="8"/>
    </row>
    <row r="1094" spans="1:51">
      <c r="A1094" s="5" t="str">
        <v>BV</v>
      </c>
      <c r="B1094" s="5" t="str">
        <f ca="1"/>
        <v>BV45718</v>
      </c>
      <c r="C1094" s="8" t="str">
        <v>Pedido 1081</v>
      </c>
      <c r="D1094" s="9">
        <v>45717</v>
      </c>
      <c r="E1094" s="9">
        <v>45718</v>
      </c>
      <c r="F1094" s="8" t="str">
        <v>PedidoF1060</v>
      </c>
      <c r="G1094" s="2" t="str">
        <v>CódRastreio1058</v>
      </c>
      <c r="H1094" s="5">
        <v>1</v>
      </c>
      <c r="I1094" s="2" t="str">
        <v>CPF 1051</v>
      </c>
      <c r="J1094" s="2" t="str">
        <v>Nome 1051</v>
      </c>
      <c r="K1094" s="8" t="str">
        <v>Tel 1051</v>
      </c>
      <c r="L1094" s="8" t="str">
        <v>Cep 1051</v>
      </c>
      <c r="M1094" s="8" t="str">
        <v>Rua 1051</v>
      </c>
      <c r="N1094" s="8" t="str">
        <v>Comp 1051</v>
      </c>
      <c r="O1094" s="8" t="str">
        <v>Karaoke portátil</v>
      </c>
      <c r="P1094" s="8" t="str">
        <v>08-PAJ9-YM9P</v>
      </c>
      <c r="Q1094" s="4">
        <v>45748</v>
      </c>
      <c r="R1094" s="109">
        <v>55.99</v>
      </c>
      <c r="S1094" s="11">
        <f ca="1"/>
        <v>55.99</v>
      </c>
      <c r="T1094" s="28">
        <f ca="1"/>
        <v>8.3985000000000003</v>
      </c>
      <c r="U1094" s="11">
        <f ca="1"/>
        <v>47.59</v>
      </c>
      <c r="V1094" s="11">
        <v>12.77</v>
      </c>
      <c r="W1094" s="11">
        <f ca="1"/>
        <v>0.28000000000000003</v>
      </c>
      <c r="X1094" s="11">
        <f ca="1"/>
        <v>0.39877104377104378</v>
      </c>
      <c r="Y1094" s="11">
        <v>0</v>
      </c>
      <c r="Z1094" s="11">
        <f ca="1"/>
        <v>34.141228956228957</v>
      </c>
      <c r="AA1094" s="11">
        <f ca="1"/>
        <v>17.070614478114479</v>
      </c>
      <c r="AB1094" s="4">
        <f ca="1"/>
        <v>45755</v>
      </c>
      <c r="AC1094" s="4">
        <v>45755</v>
      </c>
      <c r="AD1094" s="9">
        <v>45762</v>
      </c>
      <c r="AE1094" s="9">
        <v>45763</v>
      </c>
      <c r="AF1094" s="4" t="str">
        <f t="shared" ca="1" si="69"/>
        <v>2025 04</v>
      </c>
      <c r="AG1094" s="8" t="str" cm="1">
        <f t="array" ref="AG1094">IFERROR(_xlfn.IFS('Banco de Dados'!#REF!="AG. COMPRA","Em processamento",'Banco de Dados'!#REF!="AG. RASTREIO","Em processamento",'Banco de Dados'!$AE1094&lt;&gt;"-","Faturado",'Banco de Dados'!$AD1094&lt;&gt;"-","Aguardando Pix",'Banco de Dados'!$AC1094&lt;&gt;"-","Pendente"),"Aguardando Liberação")</f>
        <v>Aguardando Liberação</v>
      </c>
      <c r="AH1094" s="5" t="str">
        <f>IF('Banco de Dados'!$F1094="-",_xlfn.CONCAT(PROPER(TEXT(AK1094,"aaaa"))," ",PROPER(TEXT(AK1094,"mm"))),_xlfn.CONCAT(PROPER(TEXT(E1094,"aaaa"))," ",PROPER(TEXT(E1094,"mm"))))</f>
        <v>2025 03</v>
      </c>
      <c r="AI1094" s="9" t="str">
        <f ca="1">IF('Banco de Dados'!$AK1094&lt;&gt;"-","REEMBOLSO",IFERROR(_xlfn.XLOOKUP(G1094,Follow[CODRASTREIO],Follow[STATUS]),"-"))</f>
        <v>ENTREGUE</v>
      </c>
      <c r="AJ1094" s="9">
        <f ca="1">IF('Banco de Dados'!$AI1094="ENTREGUE",_xlfn.XLOOKUP('Banco de Dados'!$G1094,Follow[CODRASTREIO],Follow[DATAATUALIZAÇÃO]),"-")</f>
        <v>45730</v>
      </c>
      <c r="AK1094" s="132" t="str">
        <f ca="1"/>
        <v>-</v>
      </c>
      <c r="AL1094" s="35"/>
      <c r="AM1094" s="109" cm="1">
        <f t="array" aca="1" ref="AM1094" ca="1">IF('Banco de Dados'!$AK1094&lt;&gt;"-",_xlfn.IFS('Banco de Dados'!$A1094="bv",IF('Banco de Dados'!$E1094&lt;45641,ROUND(SUM('Banco de Dados'!$R1094*_xlfn.XLOOKUP('Banco de Dados'!$P1094,Sku!B:B,Sku!#REF!)*20%),2),ROUND(SUM('Banco de Dados'!$R1094*_xlfn.XLOOKUP('Banco de Dados'!$P1094,Sku!B:B,Sku!H:H)*20%),2)),'Banco de Dados'!$A1094="GO",ROUND(_xlfn.XLOOKUP('Banco de Dados'!$P1094,Sku!C:C,Sku!H:H),2),'Banco de Dados'!$A1094="MEI",ROUND(_xlfn.XLOOKUP('Banco de Dados'!$P1094,Sku!D:D,Sku!H:H),2)),0)</f>
        <v>0</v>
      </c>
      <c r="AN1094" s="109">
        <f ca="1">IF('Banco de Dados'!$AK1094&lt;&gt;"-",IF('Banco de Dados'!$F1094&lt;&gt;"-",_xlfn.XLOOKUP(IFERROR(IFERROR(IFERROR(VALUE(SUBSTITUTE(MID(_xlfn.TEXTAFTER('Banco de Dados'!$F1094,"Data do Pedido:
",1),1,10),"-","/")),VALUE(SUBSTITUTE(MID(_xlfn.TEXTAFTER('Banco de Dados'!$F1094,"Order date:
",1),1,10),"-","/"))),VALUE(SUBSTITUTE(MID(_xlfn.TEXTAFTER('Banco de Dados'!$F1094,"Fecha de pedido:
",1),1,10),"-","/"))),"-"),SMS!A:A,SMS!K:K),0),0)</f>
        <v>0</v>
      </c>
      <c r="AO1094" s="109">
        <f ca="1">IF('Banco de Dados'!$AK1094&lt;&gt;"-",IF('Banco de Dados'!$F1094&lt;&gt;"-",IFERROR(_xlfn.XLOOKUP(_xlfn.CONCAT('Banco de Dados'!$A1094,IFERROR(IFERROR(VALUE(SUBSTITUTE(MID(_xlfn.TEXTAFTER('Banco de Dados'!$F1094,"Data do Pedido:
",1),1,10),"-","/")),VALUE(SUBSTITUTE(MID(_xlfn.TEXTAFTER('Banco de Dados'!$F1094,"Order date:
",1),1,10),"-","/"))),0)),ProxyDD[Chave],ProxyDD[Valor por pedido]),PROXY!$P$2),0),0)</f>
        <v>0</v>
      </c>
      <c r="AP1094" s="28">
        <f ca="1">IF('Banco de Dados'!$AK1094&lt;&gt;"-",IF('Banco de Dados'!$AL1094="NÃO",IFERROR(VALUE(SUBSTITUTE(_xlfn.TEXTAFTER('Banco de Dados'!$F1094,"BRL ",1),".",",")),0),0),0)</f>
        <v>0</v>
      </c>
      <c r="AQ1094" s="28">
        <f ca="1">SUM('Banco de Dados'!$AM1094:$AP1094)</f>
        <v>0</v>
      </c>
      <c r="AR1094" s="8"/>
      <c r="AY1094" s="8"/>
    </row>
    <row r="1095" spans="1:51">
      <c r="A1095" s="5" t="str">
        <v>BV</v>
      </c>
      <c r="B1095" s="5" t="str">
        <f ca="1"/>
        <v>BV45720</v>
      </c>
      <c r="C1095" s="8" t="str">
        <v>Pedido 1082</v>
      </c>
      <c r="D1095" s="9">
        <v>45718</v>
      </c>
      <c r="E1095" s="9">
        <v>45720</v>
      </c>
      <c r="F1095" s="8" t="str">
        <v>PedidoF1061</v>
      </c>
      <c r="G1095" s="2" t="str">
        <v>CódRastreio1059</v>
      </c>
      <c r="H1095" s="5">
        <v>1</v>
      </c>
      <c r="I1095" s="2" t="str">
        <v>CPF 1052</v>
      </c>
      <c r="J1095" s="2" t="str">
        <v>Nome 1052</v>
      </c>
      <c r="K1095" s="8" t="str">
        <v>Tel 1052</v>
      </c>
      <c r="L1095" s="8" t="str">
        <v>Cep 1052</v>
      </c>
      <c r="M1095" s="8" t="str">
        <v>Rua 1052</v>
      </c>
      <c r="N1095" s="8" t="str">
        <v>Comp 1052</v>
      </c>
      <c r="O1095" s="8" t="str">
        <v>Copo Termico</v>
      </c>
      <c r="P1095" s="8" t="str">
        <v>KN-TBQL-K2MM</v>
      </c>
      <c r="Q1095" s="4">
        <v>45736</v>
      </c>
      <c r="R1095" s="109">
        <v>23.9</v>
      </c>
      <c r="S1095" s="11">
        <f ca="1"/>
        <v>23.9</v>
      </c>
      <c r="T1095" s="28">
        <f ca="1"/>
        <v>3.1069999999999998</v>
      </c>
      <c r="U1095" s="11">
        <f ca="1"/>
        <v>20.79</v>
      </c>
      <c r="V1095" s="11">
        <v>6.99</v>
      </c>
      <c r="W1095" s="11">
        <f ca="1"/>
        <v>0.25</v>
      </c>
      <c r="X1095" s="11">
        <f ca="1"/>
        <v>0.39877104377104378</v>
      </c>
      <c r="Y1095" s="11">
        <v>0</v>
      </c>
      <c r="Z1095" s="11">
        <f ca="1"/>
        <v>13.151228956228955</v>
      </c>
      <c r="AA1095" s="11">
        <f ca="1"/>
        <v>6.5756144781144776</v>
      </c>
      <c r="AB1095" s="4">
        <f ca="1"/>
        <v>45743</v>
      </c>
      <c r="AC1095" s="4">
        <v>45743</v>
      </c>
      <c r="AD1095" s="9">
        <v>45747</v>
      </c>
      <c r="AE1095" s="9">
        <v>45749</v>
      </c>
      <c r="AF1095" s="4" t="str">
        <f t="shared" ca="1" si="69"/>
        <v>2025 03</v>
      </c>
      <c r="AG1095" s="8" t="str" cm="1">
        <f t="array" ref="AG1095">IFERROR(_xlfn.IFS('Banco de Dados'!#REF!="AG. COMPRA","Em processamento",'Banco de Dados'!#REF!="AG. RASTREIO","Em processamento",'Banco de Dados'!$AE1095&lt;&gt;"-","Faturado",'Banco de Dados'!$AD1095&lt;&gt;"-","Aguardando Pix",'Banco de Dados'!$AC1095&lt;&gt;"-","Pendente"),"Aguardando Liberação")</f>
        <v>Aguardando Liberação</v>
      </c>
      <c r="AH1095" s="5" t="str">
        <f>IF('Banco de Dados'!$F1095="-",_xlfn.CONCAT(PROPER(TEXT(AK1095,"aaaa"))," ",PROPER(TEXT(AK1095,"mm"))),_xlfn.CONCAT(PROPER(TEXT(E1095,"aaaa"))," ",PROPER(TEXT(E1095,"mm"))))</f>
        <v>2025 03</v>
      </c>
      <c r="AI1095" s="9" t="str">
        <f ca="1">IF('Banco de Dados'!$AK1095&lt;&gt;"-","REEMBOLSO",IFERROR(_xlfn.XLOOKUP(G1095,Follow[CODRASTREIO],Follow[STATUS]),"-"))</f>
        <v>ENTREGUE</v>
      </c>
      <c r="AJ1095" s="9">
        <f ca="1">IF('Banco de Dados'!$AI1095="ENTREGUE",_xlfn.XLOOKUP('Banco de Dados'!$G1095,Follow[CODRASTREIO],Follow[DATAATUALIZAÇÃO]),"-")</f>
        <v>45723</v>
      </c>
      <c r="AK1095" s="132" t="str">
        <f ca="1"/>
        <v>-</v>
      </c>
      <c r="AL1095" s="35"/>
      <c r="AM1095" s="109" cm="1">
        <f t="array" aca="1" ref="AM1095" ca="1">IF('Banco de Dados'!$AK1095&lt;&gt;"-",_xlfn.IFS('Banco de Dados'!$A1095="bv",IF('Banco de Dados'!$E1095&lt;45641,ROUND(SUM('Banco de Dados'!$R1095*_xlfn.XLOOKUP('Banco de Dados'!$P1095,Sku!B:B,Sku!#REF!)*20%),2),ROUND(SUM('Banco de Dados'!$R1095*_xlfn.XLOOKUP('Banco de Dados'!$P1095,Sku!B:B,Sku!H:H)*20%),2)),'Banco de Dados'!$A1095="GO",ROUND(_xlfn.XLOOKUP('Banco de Dados'!$P1095,Sku!C:C,Sku!H:H),2),'Banco de Dados'!$A1095="MEI",ROUND(_xlfn.XLOOKUP('Banco de Dados'!$P1095,Sku!D:D,Sku!H:H),2)),0)</f>
        <v>0</v>
      </c>
      <c r="AN1095" s="109">
        <f ca="1">IF('Banco de Dados'!$AK1095&lt;&gt;"-",IF('Banco de Dados'!$F1095&lt;&gt;"-",_xlfn.XLOOKUP(IFERROR(IFERROR(IFERROR(VALUE(SUBSTITUTE(MID(_xlfn.TEXTAFTER('Banco de Dados'!$F1095,"Data do Pedido:
",1),1,10),"-","/")),VALUE(SUBSTITUTE(MID(_xlfn.TEXTAFTER('Banco de Dados'!$F1095,"Order date:
",1),1,10),"-","/"))),VALUE(SUBSTITUTE(MID(_xlfn.TEXTAFTER('Banco de Dados'!$F1095,"Fecha de pedido:
",1),1,10),"-","/"))),"-"),SMS!A:A,SMS!K:K),0),0)</f>
        <v>0</v>
      </c>
      <c r="AO1095" s="109">
        <f ca="1">IF('Banco de Dados'!$AK1095&lt;&gt;"-",IF('Banco de Dados'!$F1095&lt;&gt;"-",IFERROR(_xlfn.XLOOKUP(_xlfn.CONCAT('Banco de Dados'!$A1095,IFERROR(IFERROR(VALUE(SUBSTITUTE(MID(_xlfn.TEXTAFTER('Banco de Dados'!$F1095,"Data do Pedido:
",1),1,10),"-","/")),VALUE(SUBSTITUTE(MID(_xlfn.TEXTAFTER('Banco de Dados'!$F1095,"Order date:
",1),1,10),"-","/"))),0)),ProxyDD[Chave],ProxyDD[Valor por pedido]),PROXY!$P$2),0),0)</f>
        <v>0</v>
      </c>
      <c r="AP1095" s="28">
        <f ca="1">IF('Banco de Dados'!$AK1095&lt;&gt;"-",IF('Banco de Dados'!$AL1095="NÃO",IFERROR(VALUE(SUBSTITUTE(_xlfn.TEXTAFTER('Banco de Dados'!$F1095,"BRL ",1),".",",")),0),0),0)</f>
        <v>0</v>
      </c>
      <c r="AQ1095" s="28">
        <f ca="1">SUM('Banco de Dados'!$AM1095:$AP1095)</f>
        <v>0</v>
      </c>
      <c r="AR1095" s="8"/>
      <c r="AY1095" s="8"/>
    </row>
    <row r="1096" spans="1:51">
      <c r="A1096" s="5" t="str">
        <v>BV</v>
      </c>
      <c r="B1096" s="5" t="str">
        <f ca="1"/>
        <v>BV45718</v>
      </c>
      <c r="C1096" s="8" t="str">
        <v>Pedido 1083</v>
      </c>
      <c r="D1096" s="9">
        <v>45718</v>
      </c>
      <c r="E1096" s="9">
        <v>45718</v>
      </c>
      <c r="F1096" s="8" t="str">
        <v>PedidoF1062</v>
      </c>
      <c r="G1096" s="2" t="str">
        <v>CódRastreio1060</v>
      </c>
      <c r="H1096" s="5">
        <v>1</v>
      </c>
      <c r="I1096" s="2" t="str">
        <v>CPF 1022</v>
      </c>
      <c r="J1096" s="2" t="str">
        <v>Nome 1022</v>
      </c>
      <c r="K1096" s="8" t="str">
        <v>Tel 1022</v>
      </c>
      <c r="L1096" s="8" t="str">
        <v>Cep 1022</v>
      </c>
      <c r="M1096" s="8" t="str">
        <v>Rua 1022</v>
      </c>
      <c r="N1096" s="8" t="str">
        <v>Comp 1022</v>
      </c>
      <c r="O1096" s="8" t="str">
        <v>Copo Termico</v>
      </c>
      <c r="P1096" s="8" t="str">
        <v>KN-TBQL-K2MM</v>
      </c>
      <c r="Q1096" s="4">
        <v>45736</v>
      </c>
      <c r="R1096" s="109">
        <v>23.9</v>
      </c>
      <c r="S1096" s="11">
        <f ca="1"/>
        <v>23.9</v>
      </c>
      <c r="T1096" s="28">
        <f ca="1"/>
        <v>3.1069999999999998</v>
      </c>
      <c r="U1096" s="11">
        <f ca="1"/>
        <v>20.79</v>
      </c>
      <c r="V1096" s="11">
        <v>6.99</v>
      </c>
      <c r="W1096" s="11">
        <f ca="1"/>
        <v>0.28000000000000003</v>
      </c>
      <c r="X1096" s="11">
        <f ca="1"/>
        <v>0.39877104377104378</v>
      </c>
      <c r="Y1096" s="11">
        <v>0</v>
      </c>
      <c r="Z1096" s="11">
        <f ca="1"/>
        <v>13.121228956228954</v>
      </c>
      <c r="AA1096" s="11">
        <f ca="1"/>
        <v>6.5606144781144771</v>
      </c>
      <c r="AB1096" s="4">
        <f ca="1"/>
        <v>45743</v>
      </c>
      <c r="AC1096" s="4">
        <v>45743</v>
      </c>
      <c r="AD1096" s="9">
        <v>45747</v>
      </c>
      <c r="AE1096" s="9">
        <v>45749</v>
      </c>
      <c r="AF1096" s="4" t="str">
        <f t="shared" ca="1" si="69"/>
        <v>2025 03</v>
      </c>
      <c r="AG1096" s="8" t="str" cm="1">
        <f t="array" ref="AG1096">IFERROR(_xlfn.IFS('Banco de Dados'!#REF!="AG. COMPRA","Em processamento",'Banco de Dados'!#REF!="AG. RASTREIO","Em processamento",'Banco de Dados'!$AE1096&lt;&gt;"-","Faturado",'Banco de Dados'!$AD1096&lt;&gt;"-","Aguardando Pix",'Banco de Dados'!$AC1096&lt;&gt;"-","Pendente"),"Aguardando Liberação")</f>
        <v>Aguardando Liberação</v>
      </c>
      <c r="AH1096" s="5" t="str">
        <f>IF('Banco de Dados'!$F1096="-",_xlfn.CONCAT(PROPER(TEXT(AK1096,"aaaa"))," ",PROPER(TEXT(AK1096,"mm"))),_xlfn.CONCAT(PROPER(TEXT(E1096,"aaaa"))," ",PROPER(TEXT(E1096,"mm"))))</f>
        <v>2025 03</v>
      </c>
      <c r="AI1096" s="9" t="str">
        <f ca="1">IF('Banco de Dados'!$AK1096&lt;&gt;"-","REEMBOLSO",IFERROR(_xlfn.XLOOKUP(G1096,Follow[CODRASTREIO],Follow[STATUS]),"-"))</f>
        <v>ENTREGUE</v>
      </c>
      <c r="AJ1096" s="9">
        <f ca="1">IF('Banco de Dados'!$AI1096="ENTREGUE",_xlfn.XLOOKUP('Banco de Dados'!$G1096,Follow[CODRASTREIO],Follow[DATAATUALIZAÇÃO]),"-")</f>
        <v>45722</v>
      </c>
      <c r="AK1096" s="132" t="str">
        <f ca="1"/>
        <v>-</v>
      </c>
      <c r="AL1096" s="35"/>
      <c r="AM1096" s="109" cm="1">
        <f t="array" aca="1" ref="AM1096" ca="1">IF('Banco de Dados'!$AK1096&lt;&gt;"-",_xlfn.IFS('Banco de Dados'!$A1096="bv",IF('Banco de Dados'!$E1096&lt;45641,ROUND(SUM('Banco de Dados'!$R1096*_xlfn.XLOOKUP('Banco de Dados'!$P1096,Sku!B:B,Sku!#REF!)*20%),2),ROUND(SUM('Banco de Dados'!$R1096*_xlfn.XLOOKUP('Banco de Dados'!$P1096,Sku!B:B,Sku!H:H)*20%),2)),'Banco de Dados'!$A1096="GO",ROUND(_xlfn.XLOOKUP('Banco de Dados'!$P1096,Sku!C:C,Sku!H:H),2),'Banco de Dados'!$A1096="MEI",ROUND(_xlfn.XLOOKUP('Banco de Dados'!$P1096,Sku!D:D,Sku!H:H),2)),0)</f>
        <v>0</v>
      </c>
      <c r="AN1096" s="109">
        <f ca="1">IF('Banco de Dados'!$AK1096&lt;&gt;"-",IF('Banco de Dados'!$F1096&lt;&gt;"-",_xlfn.XLOOKUP(IFERROR(IFERROR(IFERROR(VALUE(SUBSTITUTE(MID(_xlfn.TEXTAFTER('Banco de Dados'!$F1096,"Data do Pedido:
",1),1,10),"-","/")),VALUE(SUBSTITUTE(MID(_xlfn.TEXTAFTER('Banco de Dados'!$F1096,"Order date:
",1),1,10),"-","/"))),VALUE(SUBSTITUTE(MID(_xlfn.TEXTAFTER('Banco de Dados'!$F1096,"Fecha de pedido:
",1),1,10),"-","/"))),"-"),SMS!A:A,SMS!K:K),0),0)</f>
        <v>0</v>
      </c>
      <c r="AO1096" s="109">
        <f ca="1">IF('Banco de Dados'!$AK1096&lt;&gt;"-",IF('Banco de Dados'!$F1096&lt;&gt;"-",IFERROR(_xlfn.XLOOKUP(_xlfn.CONCAT('Banco de Dados'!$A1096,IFERROR(IFERROR(VALUE(SUBSTITUTE(MID(_xlfn.TEXTAFTER('Banco de Dados'!$F1096,"Data do Pedido:
",1),1,10),"-","/")),VALUE(SUBSTITUTE(MID(_xlfn.TEXTAFTER('Banco de Dados'!$F1096,"Order date:
",1),1,10),"-","/"))),0)),ProxyDD[Chave],ProxyDD[Valor por pedido]),PROXY!$P$2),0),0)</f>
        <v>0</v>
      </c>
      <c r="AP1096" s="28">
        <f ca="1">IF('Banco de Dados'!$AK1096&lt;&gt;"-",IF('Banco de Dados'!$AL1096="NÃO",IFERROR(VALUE(SUBSTITUTE(_xlfn.TEXTAFTER('Banco de Dados'!$F1096,"BRL ",1),".",",")),0),0),0)</f>
        <v>0</v>
      </c>
      <c r="AQ1096" s="28">
        <f ca="1">SUM('Banco de Dados'!$AM1096:$AP1096)</f>
        <v>0</v>
      </c>
      <c r="AR1096" s="8"/>
      <c r="AY1096" s="8"/>
    </row>
    <row r="1097" spans="1:51">
      <c r="A1097" s="5" t="str">
        <v>BV</v>
      </c>
      <c r="B1097" s="5" t="str">
        <f ca="1"/>
        <v>BV45718</v>
      </c>
      <c r="C1097" s="8" t="str">
        <v>Pedido 1084</v>
      </c>
      <c r="D1097" s="9">
        <v>45718</v>
      </c>
      <c r="E1097" s="9">
        <v>45718</v>
      </c>
      <c r="F1097" s="8" t="str">
        <v>PedidoF1063</v>
      </c>
      <c r="G1097" s="2" t="str">
        <v>CódRastreio1061</v>
      </c>
      <c r="H1097" s="5">
        <v>1</v>
      </c>
      <c r="I1097" s="2" t="str">
        <v>CPF 1054</v>
      </c>
      <c r="J1097" s="2" t="str">
        <v>Nome 1054</v>
      </c>
      <c r="K1097" s="8" t="str">
        <v>Tel 1054</v>
      </c>
      <c r="L1097" s="8" t="str">
        <v>Cep 1054</v>
      </c>
      <c r="M1097" s="8" t="str">
        <v>Rua 1054</v>
      </c>
      <c r="N1097" s="8" t="str">
        <v>Comp 1054</v>
      </c>
      <c r="O1097" s="8" t="str">
        <v>Ventilador Preto</v>
      </c>
      <c r="P1097" s="8" t="str">
        <v>MU-J80P-95WF</v>
      </c>
      <c r="Q1097" s="4">
        <v>45755</v>
      </c>
      <c r="R1097" s="109">
        <v>65.599999999999994</v>
      </c>
      <c r="S1097" s="11">
        <f ca="1"/>
        <v>65.599999999999994</v>
      </c>
      <c r="T1097" s="28">
        <f ca="1"/>
        <v>8.5279999999999987</v>
      </c>
      <c r="U1097" s="11">
        <f ca="1"/>
        <v>57.07</v>
      </c>
      <c r="V1097" s="11">
        <v>12.69</v>
      </c>
      <c r="W1097" s="11">
        <f ca="1"/>
        <v>0.28000000000000003</v>
      </c>
      <c r="X1097" s="11">
        <f ca="1"/>
        <v>0.39877104377104378</v>
      </c>
      <c r="Y1097" s="11">
        <v>0</v>
      </c>
      <c r="Z1097" s="11">
        <f ca="1"/>
        <v>43.70122895622896</v>
      </c>
      <c r="AA1097" s="11">
        <f ca="1"/>
        <v>21.85061447811448</v>
      </c>
      <c r="AB1097" s="4">
        <f ca="1"/>
        <v>45762</v>
      </c>
      <c r="AC1097" s="4">
        <v>45762</v>
      </c>
      <c r="AD1097" s="9">
        <v>45762</v>
      </c>
      <c r="AE1097" s="9">
        <v>45763</v>
      </c>
      <c r="AF1097" s="4" t="str">
        <f t="shared" ca="1" si="69"/>
        <v>2025 04</v>
      </c>
      <c r="AG1097" s="8" t="str" cm="1">
        <f t="array" ref="AG1097">IFERROR(_xlfn.IFS('Banco de Dados'!#REF!="AG. COMPRA","Em processamento",'Banco de Dados'!#REF!="AG. RASTREIO","Em processamento",'Banco de Dados'!$AE1097&lt;&gt;"-","Faturado",'Banco de Dados'!$AD1097&lt;&gt;"-","Aguardando Pix",'Banco de Dados'!$AC1097&lt;&gt;"-","Pendente"),"Aguardando Liberação")</f>
        <v>Aguardando Liberação</v>
      </c>
      <c r="AH1097" s="5" t="str">
        <f>IF('Banco de Dados'!$F1097="-",_xlfn.CONCAT(PROPER(TEXT(AK1097,"aaaa"))," ",PROPER(TEXT(AK1097,"mm"))),_xlfn.CONCAT(PROPER(TEXT(E1097,"aaaa"))," ",PROPER(TEXT(E1097,"mm"))))</f>
        <v>2025 03</v>
      </c>
      <c r="AI1097" s="9" t="str">
        <f ca="1">IF('Banco de Dados'!$AK1097&lt;&gt;"-","REEMBOLSO",IFERROR(_xlfn.XLOOKUP(G1097,Follow[CODRASTREIO],Follow[STATUS]),"-"))</f>
        <v>ENTREGUE</v>
      </c>
      <c r="AJ1097" s="9">
        <f ca="1">IF('Banco de Dados'!$AI1097="ENTREGUE",_xlfn.XLOOKUP('Banco de Dados'!$G1097,Follow[CODRASTREIO],Follow[DATAATUALIZAÇÃO]),"-")</f>
        <v>45733</v>
      </c>
      <c r="AK1097" s="132" t="str">
        <f ca="1"/>
        <v>-</v>
      </c>
      <c r="AL1097" s="35"/>
      <c r="AM1097" s="109" cm="1">
        <f t="array" aca="1" ref="AM1097" ca="1">IF('Banco de Dados'!$AK1097&lt;&gt;"-",_xlfn.IFS('Banco de Dados'!$A1097="bv",IF('Banco de Dados'!$E1097&lt;45641,ROUND(SUM('Banco de Dados'!$R1097*_xlfn.XLOOKUP('Banco de Dados'!$P1097,Sku!B:B,Sku!#REF!)*20%),2),ROUND(SUM('Banco de Dados'!$R1097*_xlfn.XLOOKUP('Banco de Dados'!$P1097,Sku!B:B,Sku!H:H)*20%),2)),'Banco de Dados'!$A1097="GO",ROUND(_xlfn.XLOOKUP('Banco de Dados'!$P1097,Sku!C:C,Sku!H:H),2),'Banco de Dados'!$A1097="MEI",ROUND(_xlfn.XLOOKUP('Banco de Dados'!$P1097,Sku!D:D,Sku!H:H),2)),0)</f>
        <v>0</v>
      </c>
      <c r="AN1097" s="109">
        <f ca="1">IF('Banco de Dados'!$AK1097&lt;&gt;"-",IF('Banco de Dados'!$F1097&lt;&gt;"-",_xlfn.XLOOKUP(IFERROR(IFERROR(IFERROR(VALUE(SUBSTITUTE(MID(_xlfn.TEXTAFTER('Banco de Dados'!$F1097,"Data do Pedido:
",1),1,10),"-","/")),VALUE(SUBSTITUTE(MID(_xlfn.TEXTAFTER('Banco de Dados'!$F1097,"Order date:
",1),1,10),"-","/"))),VALUE(SUBSTITUTE(MID(_xlfn.TEXTAFTER('Banco de Dados'!$F1097,"Fecha de pedido:
",1),1,10),"-","/"))),"-"),SMS!A:A,SMS!K:K),0),0)</f>
        <v>0</v>
      </c>
      <c r="AO1097" s="109">
        <f ca="1">IF('Banco de Dados'!$AK1097&lt;&gt;"-",IF('Banco de Dados'!$F1097&lt;&gt;"-",IFERROR(_xlfn.XLOOKUP(_xlfn.CONCAT('Banco de Dados'!$A1097,IFERROR(IFERROR(VALUE(SUBSTITUTE(MID(_xlfn.TEXTAFTER('Banco de Dados'!$F1097,"Data do Pedido:
",1),1,10),"-","/")),VALUE(SUBSTITUTE(MID(_xlfn.TEXTAFTER('Banco de Dados'!$F1097,"Order date:
",1),1,10),"-","/"))),0)),ProxyDD[Chave],ProxyDD[Valor por pedido]),PROXY!$P$2),0),0)</f>
        <v>0</v>
      </c>
      <c r="AP1097" s="28">
        <f ca="1">IF('Banco de Dados'!$AK1097&lt;&gt;"-",IF('Banco de Dados'!$AL1097="NÃO",IFERROR(VALUE(SUBSTITUTE(_xlfn.TEXTAFTER('Banco de Dados'!$F1097,"BRL ",1),".",",")),0),0),0)</f>
        <v>0</v>
      </c>
      <c r="AQ1097" s="28">
        <f ca="1">SUM('Banco de Dados'!$AM1097:$AP1097)</f>
        <v>0</v>
      </c>
      <c r="AR1097" s="8"/>
      <c r="AY1097" s="8"/>
    </row>
    <row r="1098" spans="1:51">
      <c r="A1098" s="5" t="str">
        <v>MEI</v>
      </c>
      <c r="B1098" s="5" t="str">
        <f ca="1"/>
        <v>MEI45718</v>
      </c>
      <c r="C1098" s="8" t="str">
        <v>Pedido 1085</v>
      </c>
      <c r="D1098" s="187">
        <v>45717</v>
      </c>
      <c r="E1098" s="9">
        <v>45718</v>
      </c>
      <c r="F1098" s="8" t="str">
        <v>PedidoF1064</v>
      </c>
      <c r="G1098" s="2" t="str">
        <v>CódRastreio1062</v>
      </c>
      <c r="H1098" s="5">
        <v>1</v>
      </c>
      <c r="I1098" s="2" t="str">
        <v>CPF 1055</v>
      </c>
      <c r="J1098" s="2" t="str">
        <v>Nome 1055</v>
      </c>
      <c r="K1098" s="8" t="str">
        <v>Tel 1055</v>
      </c>
      <c r="L1098" s="8" t="str">
        <v>Cep 1055</v>
      </c>
      <c r="M1098" s="8" t="str">
        <v>Rua 1055</v>
      </c>
      <c r="N1098" s="8" t="str">
        <v>Comp 1055</v>
      </c>
      <c r="O1098" s="8" t="str">
        <v>Mini Liquidificador</v>
      </c>
      <c r="P1098" s="8" t="str">
        <v>A4-5W51-K3HF</v>
      </c>
      <c r="Q1098" s="4">
        <v>45742</v>
      </c>
      <c r="R1098" s="109">
        <v>30.95</v>
      </c>
      <c r="S1098" s="11">
        <f ca="1"/>
        <v>30.95</v>
      </c>
      <c r="T1098" s="28">
        <f ca="1"/>
        <v>4.3330000000000002</v>
      </c>
      <c r="U1098" s="11">
        <f ca="1"/>
        <v>26.62</v>
      </c>
      <c r="V1098" s="11">
        <v>14.99</v>
      </c>
      <c r="W1098" s="11">
        <f ca="1"/>
        <v>0.2</v>
      </c>
      <c r="X1098" s="11">
        <f ca="1"/>
        <v>0.39877104377104378</v>
      </c>
      <c r="Y1098" s="11">
        <v>0</v>
      </c>
      <c r="Z1098" s="11">
        <f ca="1"/>
        <v>11.031228956228958</v>
      </c>
      <c r="AA1098" s="11">
        <f ca="1"/>
        <v>5.5156144781144789</v>
      </c>
      <c r="AB1098" s="4">
        <f ca="1"/>
        <v>45749</v>
      </c>
      <c r="AC1098" s="4">
        <v>45749</v>
      </c>
      <c r="AD1098" s="9">
        <v>45762</v>
      </c>
      <c r="AE1098" s="9">
        <v>45763</v>
      </c>
      <c r="AF1098" s="4" t="str">
        <f t="shared" ca="1" si="69"/>
        <v>2025 04</v>
      </c>
      <c r="AG1098" s="8" t="str" cm="1">
        <f t="array" ref="AG1098">IFERROR(_xlfn.IFS('Banco de Dados'!#REF!="AG. COMPRA","Em processamento",'Banco de Dados'!#REF!="AG. RASTREIO","Em processamento",'Banco de Dados'!$AE1098&lt;&gt;"-","Faturado",'Banco de Dados'!$AD1098&lt;&gt;"-","Aguardando Pix",'Banco de Dados'!$AC1098&lt;&gt;"-","Pendente"),"Aguardando Liberação")</f>
        <v>Aguardando Liberação</v>
      </c>
      <c r="AH1098" s="5" t="str">
        <f>IF('Banco de Dados'!$F1098="-",_xlfn.CONCAT(PROPER(TEXT(AK1098,"aaaa"))," ",PROPER(TEXT(AK1098,"mm"))),_xlfn.CONCAT(PROPER(TEXT(E1098,"aaaa"))," ",PROPER(TEXT(E1098,"mm"))))</f>
        <v>2025 03</v>
      </c>
      <c r="AI1098" s="9" t="str">
        <f ca="1">IF('Banco de Dados'!$AK1098&lt;&gt;"-","REEMBOLSO",IFERROR(_xlfn.XLOOKUP(G1098,Follow[CODRASTREIO],Follow[STATUS]),"-"))</f>
        <v>ENTREGUE</v>
      </c>
      <c r="AJ1098" s="9">
        <f ca="1">IF('Banco de Dados'!$AI1098="ENTREGUE",_xlfn.XLOOKUP('Banco de Dados'!$G1098,Follow[CODRASTREIO],Follow[DATAATUALIZAÇÃO]),"-")</f>
        <v>45727</v>
      </c>
      <c r="AK1098" s="132" t="str">
        <f ca="1"/>
        <v>-</v>
      </c>
      <c r="AL1098" s="35"/>
      <c r="AM1098" s="109" cm="1">
        <f t="array" aca="1" ref="AM1098" ca="1">IF('Banco de Dados'!$AK1098&lt;&gt;"-",_xlfn.IFS('Banco de Dados'!$A1098="bv",IF('Banco de Dados'!$E1098&lt;45641,ROUND(SUM('Banco de Dados'!$R1098*_xlfn.XLOOKUP('Banco de Dados'!$P1098,Sku!B:B,Sku!#REF!)*20%),2),ROUND(SUM('Banco de Dados'!$R1098*_xlfn.XLOOKUP('Banco de Dados'!$P1098,Sku!B:B,Sku!H:H)*20%),2)),'Banco de Dados'!$A1098="GO",ROUND(SUM('Banco de Dados'!$R1098*_xlfn.XLOOKUP('Banco de Dados'!$P1098,Sku!C:C,Sku!H:H)*20%),2),'Banco de Dados'!$A1098="MEI",ROUND(SUM('Banco de Dados'!$R1098*_xlfn.XLOOKUP('Banco de Dados'!$P1098,Sku!D:D,Sku!H:H)*20%),2)),0)</f>
        <v>0</v>
      </c>
      <c r="AN1098" s="109">
        <f ca="1">IF('Banco de Dados'!$AK1098&lt;&gt;"-",IF('Banco de Dados'!$F1098&lt;&gt;"-",_xlfn.XLOOKUP(IFERROR(IFERROR(IFERROR(VALUE(SUBSTITUTE(MID(_xlfn.TEXTAFTER('Banco de Dados'!$F1098,"Data do Pedido:
",1),1,10),"-","/")),VALUE(SUBSTITUTE(MID(_xlfn.TEXTAFTER('Banco de Dados'!$F1098,"Order date:
",1),1,10),"-","/"))),VALUE(SUBSTITUTE(MID(_xlfn.TEXTAFTER('Banco de Dados'!$F1098,"Fecha de pedido:
",1),1,10),"-","/"))),"-"),SMS!A:A,SMS!K:K),0),0)</f>
        <v>0</v>
      </c>
      <c r="AO1098" s="109">
        <f ca="1">IF('Banco de Dados'!$AK1098&lt;&gt;"-",IF('Banco de Dados'!$F1098&lt;&gt;"-",IFERROR(_xlfn.XLOOKUP(_xlfn.CONCAT('Banco de Dados'!$A1098,IFERROR(IFERROR(VALUE(SUBSTITUTE(MID(_xlfn.TEXTAFTER('Banco de Dados'!$F1098,"Data do Pedido:
",1),1,10),"-","/")),VALUE(SUBSTITUTE(MID(_xlfn.TEXTAFTER('Banco de Dados'!$F1098,"Order date:
",1),1,10),"-","/"))),0)),ProxyDD[Chave],ProxyDD[Valor por pedido]),PROXY!$P$2),0),0)</f>
        <v>0</v>
      </c>
      <c r="AP1098" s="28">
        <f ca="1">IF('Banco de Dados'!$AK1098&lt;&gt;"-",IF('Banco de Dados'!$AL1098="NÃO",IFERROR(VALUE(SUBSTITUTE(_xlfn.TEXTAFTER('Banco de Dados'!$F1098,"BRL ",1),".",",")),0),0),0)</f>
        <v>0</v>
      </c>
      <c r="AQ1098" s="28">
        <f ca="1">SUM('Banco de Dados'!$AM1098:$AP1098)</f>
        <v>0</v>
      </c>
      <c r="AR1098" s="8"/>
      <c r="AY1098" s="8"/>
    </row>
    <row r="1099" spans="1:51">
      <c r="A1099" s="5" t="str">
        <v>MEI</v>
      </c>
      <c r="B1099" s="5" t="str">
        <f ca="1"/>
        <v>MEI45718</v>
      </c>
      <c r="C1099" s="8" t="str">
        <v>Pedido 1086</v>
      </c>
      <c r="D1099" s="187">
        <v>45717</v>
      </c>
      <c r="E1099" s="9">
        <v>45718</v>
      </c>
      <c r="F1099" s="8" t="str">
        <v>PedidoF1065</v>
      </c>
      <c r="G1099" s="2" t="str">
        <v>CódRastreio1063</v>
      </c>
      <c r="H1099" s="5">
        <v>1</v>
      </c>
      <c r="I1099" s="2" t="str">
        <v>CPF 1056</v>
      </c>
      <c r="J1099" s="2" t="str">
        <v>Nome 1056</v>
      </c>
      <c r="K1099" s="8" t="str">
        <v>Tel 1056</v>
      </c>
      <c r="L1099" s="8" t="str">
        <v>Cep 1056</v>
      </c>
      <c r="M1099" s="8" t="str">
        <v>Rua 1056</v>
      </c>
      <c r="N1099" s="8" t="str">
        <v>Comp 1056</v>
      </c>
      <c r="O1099" s="8" t="str">
        <v>Mini Liquidificador</v>
      </c>
      <c r="P1099" s="8" t="str">
        <v>A4-5W51-K3HF</v>
      </c>
      <c r="Q1099" s="4">
        <v>45736</v>
      </c>
      <c r="R1099" s="109">
        <v>30.95</v>
      </c>
      <c r="S1099" s="11">
        <f ca="1"/>
        <v>30.95</v>
      </c>
      <c r="T1099" s="28">
        <f ca="1"/>
        <v>4.3330000000000002</v>
      </c>
      <c r="U1099" s="11">
        <f ca="1"/>
        <v>26.62</v>
      </c>
      <c r="V1099" s="11">
        <v>14.99</v>
      </c>
      <c r="W1099" s="11">
        <f ca="1"/>
        <v>0.2</v>
      </c>
      <c r="X1099" s="11">
        <f ca="1"/>
        <v>0.39877104377104378</v>
      </c>
      <c r="Y1099" s="11">
        <v>0</v>
      </c>
      <c r="Z1099" s="11">
        <f ca="1"/>
        <v>11.031228956228958</v>
      </c>
      <c r="AA1099" s="11">
        <f ca="1"/>
        <v>5.5156144781144789</v>
      </c>
      <c r="AB1099" s="4">
        <f ca="1"/>
        <v>45743</v>
      </c>
      <c r="AC1099" s="4">
        <v>45743</v>
      </c>
      <c r="AD1099" s="9">
        <v>45747</v>
      </c>
      <c r="AE1099" s="9">
        <v>45749</v>
      </c>
      <c r="AF1099" s="4" t="str">
        <f t="shared" ca="1" si="69"/>
        <v>2025 03</v>
      </c>
      <c r="AG1099" s="8" t="str" cm="1">
        <f t="array" ref="AG1099">IFERROR(_xlfn.IFS('Banco de Dados'!#REF!="AG. COMPRA","Em processamento",'Banco de Dados'!#REF!="AG. RASTREIO","Em processamento",'Banco de Dados'!$AE1099&lt;&gt;"-","Faturado",'Banco de Dados'!$AD1099&lt;&gt;"-","Aguardando Pix",'Banco de Dados'!$AC1099&lt;&gt;"-","Pendente"),"Aguardando Liberação")</f>
        <v>Aguardando Liberação</v>
      </c>
      <c r="AH1099" s="5" t="str">
        <f>IF('Banco de Dados'!$F1099="-",_xlfn.CONCAT(PROPER(TEXT(AK1099,"aaaa"))," ",PROPER(TEXT(AK1099,"mm"))),_xlfn.CONCAT(PROPER(TEXT(E1099,"aaaa"))," ",PROPER(TEXT(E1099,"mm"))))</f>
        <v>2025 03</v>
      </c>
      <c r="AI1099" s="9" t="str">
        <f ca="1">IF('Banco de Dados'!$AK1099&lt;&gt;"-","REEMBOLSO",IFERROR(_xlfn.XLOOKUP(G1099,Follow[CODRASTREIO],Follow[STATUS]),"-"))</f>
        <v>ENTREGUE</v>
      </c>
      <c r="AJ1099" s="9">
        <f ca="1">IF('Banco de Dados'!$AI1099="ENTREGUE",_xlfn.XLOOKUP('Banco de Dados'!$G1099,Follow[CODRASTREIO],Follow[DATAATUALIZAÇÃO]),"-")</f>
        <v>45723</v>
      </c>
      <c r="AK1099" s="132" t="str">
        <f ca="1"/>
        <v>-</v>
      </c>
      <c r="AL1099" s="35"/>
      <c r="AM1099" s="109" cm="1">
        <f t="array" aca="1" ref="AM1099" ca="1">IF('Banco de Dados'!$AK1099&lt;&gt;"-",_xlfn.IFS('Banco de Dados'!$A1099="bv",IF('Banco de Dados'!$E1099&lt;45641,ROUND(SUM('Banco de Dados'!$R1099*_xlfn.XLOOKUP('Banco de Dados'!$P1099,Sku!B:B,Sku!#REF!)*20%),2),ROUND(SUM('Banco de Dados'!$R1099*_xlfn.XLOOKUP('Banco de Dados'!$P1099,Sku!B:B,Sku!H:H)*20%),2)),'Banco de Dados'!$A1099="GO",ROUND(SUM('Banco de Dados'!$R1099*_xlfn.XLOOKUP('Banco de Dados'!$P1099,Sku!C:C,Sku!H:H)*20%),2),'Banco de Dados'!$A1099="MEI",ROUND(SUM('Banco de Dados'!$R1099*_xlfn.XLOOKUP('Banco de Dados'!$P1099,Sku!D:D,Sku!H:H)*20%),2)),0)</f>
        <v>0</v>
      </c>
      <c r="AN1099" s="109">
        <f ca="1">IF('Banco de Dados'!$AK1099&lt;&gt;"-",IF('Banco de Dados'!$F1099&lt;&gt;"-",_xlfn.XLOOKUP(IFERROR(IFERROR(IFERROR(VALUE(SUBSTITUTE(MID(_xlfn.TEXTAFTER('Banco de Dados'!$F1099,"Data do Pedido:
",1),1,10),"-","/")),VALUE(SUBSTITUTE(MID(_xlfn.TEXTAFTER('Banco de Dados'!$F1099,"Order date:
",1),1,10),"-","/"))),VALUE(SUBSTITUTE(MID(_xlfn.TEXTAFTER('Banco de Dados'!$F1099,"Fecha de pedido:
",1),1,10),"-","/"))),"-"),SMS!A:A,SMS!K:K),0),0)</f>
        <v>0</v>
      </c>
      <c r="AO1099" s="109">
        <f ca="1">IF('Banco de Dados'!$AK1099&lt;&gt;"-",IF('Banco de Dados'!$F1099&lt;&gt;"-",IFERROR(_xlfn.XLOOKUP(_xlfn.CONCAT('Banco de Dados'!$A1099,IFERROR(IFERROR(VALUE(SUBSTITUTE(MID(_xlfn.TEXTAFTER('Banco de Dados'!$F1099,"Data do Pedido:
",1),1,10),"-","/")),VALUE(SUBSTITUTE(MID(_xlfn.TEXTAFTER('Banco de Dados'!$F1099,"Order date:
",1),1,10),"-","/"))),0)),ProxyDD[Chave],ProxyDD[Valor por pedido]),PROXY!$P$2),0),0)</f>
        <v>0</v>
      </c>
      <c r="AP1099" s="28">
        <f ca="1">IF('Banco de Dados'!$AK1099&lt;&gt;"-",IF('Banco de Dados'!$AL1099="NÃO",IFERROR(VALUE(SUBSTITUTE(_xlfn.TEXTAFTER('Banco de Dados'!$F1099,"BRL ",1),".",",")),0),0),0)</f>
        <v>0</v>
      </c>
      <c r="AQ1099" s="28">
        <f ca="1">SUM('Banco de Dados'!$AM1099:$AP1099)</f>
        <v>0</v>
      </c>
      <c r="AR1099" s="8"/>
      <c r="AY1099" s="8"/>
    </row>
    <row r="1100" spans="1:51">
      <c r="A1100" s="5" t="str">
        <v>MEI</v>
      </c>
      <c r="B1100" s="5" t="str">
        <f ca="1"/>
        <v>MEI45718</v>
      </c>
      <c r="C1100" s="8" t="str">
        <v>Pedido 1087</v>
      </c>
      <c r="D1100" s="187">
        <v>45717</v>
      </c>
      <c r="E1100" s="9">
        <v>45718</v>
      </c>
      <c r="F1100" s="8" t="str">
        <v>PedidoF1066</v>
      </c>
      <c r="G1100" s="2" t="str">
        <v>CódRastreio1064</v>
      </c>
      <c r="H1100" s="5">
        <v>1</v>
      </c>
      <c r="I1100" s="2" t="str">
        <v>CPF 1057</v>
      </c>
      <c r="J1100" s="2" t="str">
        <v>Nome 1057</v>
      </c>
      <c r="K1100" s="8" t="str">
        <v>Tel 1057</v>
      </c>
      <c r="L1100" s="8" t="str">
        <v>Cep 1057</v>
      </c>
      <c r="M1100" s="8" t="str">
        <v>Rua 1057</v>
      </c>
      <c r="N1100" s="8" t="str">
        <v>Comp 1057</v>
      </c>
      <c r="O1100" s="8" t="str">
        <v>Mini Liquidificador</v>
      </c>
      <c r="P1100" s="8" t="str">
        <v>A4-5W51-K3HF</v>
      </c>
      <c r="Q1100" s="4">
        <v>45736</v>
      </c>
      <c r="R1100" s="109">
        <v>30.95</v>
      </c>
      <c r="S1100" s="11">
        <f ca="1"/>
        <v>30.95</v>
      </c>
      <c r="T1100" s="28">
        <f ca="1"/>
        <v>4.3330000000000002</v>
      </c>
      <c r="U1100" s="11">
        <f ca="1"/>
        <v>26.62</v>
      </c>
      <c r="V1100" s="11">
        <v>14.99</v>
      </c>
      <c r="W1100" s="11">
        <f ca="1"/>
        <v>0.2</v>
      </c>
      <c r="X1100" s="11">
        <f ca="1"/>
        <v>0.39877104377104378</v>
      </c>
      <c r="Y1100" s="11">
        <v>0</v>
      </c>
      <c r="Z1100" s="11">
        <f ca="1"/>
        <v>11.031228956228958</v>
      </c>
      <c r="AA1100" s="11">
        <f ca="1"/>
        <v>5.5156144781144789</v>
      </c>
      <c r="AB1100" s="4">
        <f ca="1"/>
        <v>45743</v>
      </c>
      <c r="AC1100" s="4">
        <v>45743</v>
      </c>
      <c r="AD1100" s="9">
        <v>45747</v>
      </c>
      <c r="AE1100" s="9">
        <v>45749</v>
      </c>
      <c r="AF1100" s="4" t="str">
        <f t="shared" ca="1" si="69"/>
        <v>2025 03</v>
      </c>
      <c r="AG1100" s="8" t="str" cm="1">
        <f t="array" ref="AG1100">IFERROR(_xlfn.IFS('Banco de Dados'!#REF!="AG. COMPRA","Em processamento",'Banco de Dados'!#REF!="AG. RASTREIO","Em processamento",'Banco de Dados'!$AE1100&lt;&gt;"-","Faturado",'Banco de Dados'!$AD1100&lt;&gt;"-","Aguardando Pix",'Banco de Dados'!$AC1100&lt;&gt;"-","Pendente"),"Aguardando Liberação")</f>
        <v>Aguardando Liberação</v>
      </c>
      <c r="AH1100" s="5" t="str">
        <f>IF('Banco de Dados'!$F1100="-",_xlfn.CONCAT(PROPER(TEXT(AK1100,"aaaa"))," ",PROPER(TEXT(AK1100,"mm"))),_xlfn.CONCAT(PROPER(TEXT(E1100,"aaaa"))," ",PROPER(TEXT(E1100,"mm"))))</f>
        <v>2025 03</v>
      </c>
      <c r="AI1100" s="9" t="str">
        <f ca="1">IF('Banco de Dados'!$AK1100&lt;&gt;"-","REEMBOLSO",IFERROR(_xlfn.XLOOKUP(G1100,Follow[CODRASTREIO],Follow[STATUS]),"-"))</f>
        <v>ENTREGUE</v>
      </c>
      <c r="AJ1100" s="9">
        <f ca="1">IF('Banco de Dados'!$AI1100="ENTREGUE",_xlfn.XLOOKUP('Banco de Dados'!$G1100,Follow[CODRASTREIO],Follow[DATAATUALIZAÇÃO]),"-")</f>
        <v>45723</v>
      </c>
      <c r="AK1100" s="132" t="str">
        <f ca="1"/>
        <v>-</v>
      </c>
      <c r="AL1100" s="35"/>
      <c r="AM1100" s="109" cm="1">
        <f t="array" aca="1" ref="AM1100" ca="1">IF('Banco de Dados'!$AK1100&lt;&gt;"-",_xlfn.IFS('Banco de Dados'!$A1100="bv",IF('Banco de Dados'!$E1100&lt;45641,ROUND(SUM('Banco de Dados'!$R1100*_xlfn.XLOOKUP('Banco de Dados'!$P1100,Sku!B:B,Sku!#REF!)*20%),2),ROUND(SUM('Banco de Dados'!$R1100*_xlfn.XLOOKUP('Banco de Dados'!$P1100,Sku!B:B,Sku!H:H)*20%),2)),'Banco de Dados'!$A1100="GO",ROUND(SUM('Banco de Dados'!$R1100*_xlfn.XLOOKUP('Banco de Dados'!$P1100,Sku!C:C,Sku!H:H)*20%),2),'Banco de Dados'!$A1100="MEI",ROUND(SUM('Banco de Dados'!$R1100*_xlfn.XLOOKUP('Banco de Dados'!$P1100,Sku!D:D,Sku!H:H)*20%),2)),0)</f>
        <v>0</v>
      </c>
      <c r="AN1100" s="109">
        <f ca="1">IF('Banco de Dados'!$AK1100&lt;&gt;"-",IF('Banco de Dados'!$F1100&lt;&gt;"-",_xlfn.XLOOKUP(IFERROR(IFERROR(IFERROR(VALUE(SUBSTITUTE(MID(_xlfn.TEXTAFTER('Banco de Dados'!$F1100,"Data do Pedido:
",1),1,10),"-","/")),VALUE(SUBSTITUTE(MID(_xlfn.TEXTAFTER('Banco de Dados'!$F1100,"Order date:
",1),1,10),"-","/"))),VALUE(SUBSTITUTE(MID(_xlfn.TEXTAFTER('Banco de Dados'!$F1100,"Fecha de pedido:
",1),1,10),"-","/"))),"-"),SMS!A:A,SMS!K:K),0),0)</f>
        <v>0</v>
      </c>
      <c r="AO1100" s="109">
        <f ca="1">IF('Banco de Dados'!$AK1100&lt;&gt;"-",IF('Banco de Dados'!$F1100&lt;&gt;"-",IFERROR(_xlfn.XLOOKUP(_xlfn.CONCAT('Banco de Dados'!$A1100,IFERROR(IFERROR(VALUE(SUBSTITUTE(MID(_xlfn.TEXTAFTER('Banco de Dados'!$F1100,"Data do Pedido:
",1),1,10),"-","/")),VALUE(SUBSTITUTE(MID(_xlfn.TEXTAFTER('Banco de Dados'!$F1100,"Order date:
",1),1,10),"-","/"))),0)),ProxyDD[Chave],ProxyDD[Valor por pedido]),PROXY!$P$2),0),0)</f>
        <v>0</v>
      </c>
      <c r="AP1100" s="28">
        <f ca="1">IF('Banco de Dados'!$AK1100&lt;&gt;"-",IF('Banco de Dados'!$AL1100="NÃO",IFERROR(VALUE(SUBSTITUTE(_xlfn.TEXTAFTER('Banco de Dados'!$F1100,"BRL ",1),".",",")),0),0),0)</f>
        <v>0</v>
      </c>
      <c r="AQ1100" s="28">
        <f ca="1">SUM('Banco de Dados'!$AM1100:$AP1100)</f>
        <v>0</v>
      </c>
      <c r="AR1100" s="8"/>
      <c r="AY1100" s="8"/>
    </row>
    <row r="1101" spans="1:51">
      <c r="A1101" s="5" t="str">
        <v>MEI</v>
      </c>
      <c r="B1101" s="5" t="str">
        <f ca="1"/>
        <v>MEI45718</v>
      </c>
      <c r="C1101" s="8" t="str">
        <v>Pedido 1088</v>
      </c>
      <c r="D1101" s="187">
        <v>45718</v>
      </c>
      <c r="E1101" s="9">
        <v>45718</v>
      </c>
      <c r="F1101" s="8" t="str">
        <v>PedidoF1067</v>
      </c>
      <c r="G1101" s="2" t="str">
        <v>CódRastreio1065</v>
      </c>
      <c r="H1101" s="5">
        <v>1</v>
      </c>
      <c r="I1101" s="2" t="str">
        <v>CPF 1058</v>
      </c>
      <c r="J1101" s="2" t="str">
        <v>Nome 1058</v>
      </c>
      <c r="K1101" s="8" t="str">
        <v>Tel 1058</v>
      </c>
      <c r="L1101" s="8" t="str">
        <v>Cep 1058</v>
      </c>
      <c r="M1101" s="8" t="str">
        <v>Rua 1058</v>
      </c>
      <c r="N1101" s="8" t="str">
        <v>Comp 1058</v>
      </c>
      <c r="O1101" s="8" t="str">
        <v>Ventilador Preto</v>
      </c>
      <c r="P1101" s="8" t="str">
        <v>WU-SS4J-LFOH</v>
      </c>
      <c r="Q1101" s="4">
        <v>45748</v>
      </c>
      <c r="R1101" s="109">
        <v>65.599999999999994</v>
      </c>
      <c r="S1101" s="11">
        <f ca="1"/>
        <v>65.599999999999994</v>
      </c>
      <c r="T1101" s="28">
        <f ca="1"/>
        <v>8.5279999999999987</v>
      </c>
      <c r="U1101" s="11">
        <f ca="1"/>
        <v>57.07</v>
      </c>
      <c r="V1101" s="11">
        <v>10.17</v>
      </c>
      <c r="W1101" s="11">
        <f ca="1"/>
        <v>0.2</v>
      </c>
      <c r="X1101" s="11">
        <f ca="1"/>
        <v>0.39877104377104378</v>
      </c>
      <c r="Y1101" s="11">
        <v>0</v>
      </c>
      <c r="Z1101" s="11">
        <f ca="1"/>
        <v>46.301228956228954</v>
      </c>
      <c r="AA1101" s="11">
        <f ca="1"/>
        <v>23.150614478114477</v>
      </c>
      <c r="AB1101" s="4">
        <f ca="1"/>
        <v>45755</v>
      </c>
      <c r="AC1101" s="4">
        <v>45755</v>
      </c>
      <c r="AD1101" s="9">
        <v>45762</v>
      </c>
      <c r="AE1101" s="9">
        <v>45763</v>
      </c>
      <c r="AF1101" s="4" t="str">
        <f t="shared" ca="1" si="69"/>
        <v>2025 04</v>
      </c>
      <c r="AG1101" s="8" t="str" cm="1">
        <f t="array" ref="AG1101">IFERROR(_xlfn.IFS('Banco de Dados'!#REF!="AG. COMPRA","Em processamento",'Banco de Dados'!#REF!="AG. RASTREIO","Em processamento",'Banco de Dados'!$AE1101&lt;&gt;"-","Faturado",'Banco de Dados'!$AD1101&lt;&gt;"-","Aguardando Pix",'Banco de Dados'!$AC1101&lt;&gt;"-","Pendente"),"Aguardando Liberação")</f>
        <v>Aguardando Liberação</v>
      </c>
      <c r="AH1101" s="5" t="str">
        <f>IF('Banco de Dados'!$F1101="-",_xlfn.CONCAT(PROPER(TEXT(AK1101,"aaaa"))," ",PROPER(TEXT(AK1101,"mm"))),_xlfn.CONCAT(PROPER(TEXT(E1101,"aaaa"))," ",PROPER(TEXT(E1101,"mm"))))</f>
        <v>2025 03</v>
      </c>
      <c r="AI1101" s="9" t="str">
        <f ca="1">IF('Banco de Dados'!$AK1101&lt;&gt;"-","REEMBOLSO",IFERROR(_xlfn.XLOOKUP(G1101,Follow[CODRASTREIO],Follow[STATUS]),"-"))</f>
        <v>ENTREGUE</v>
      </c>
      <c r="AJ1101" s="9">
        <f ca="1">IF('Banco de Dados'!$AI1101="ENTREGUE",_xlfn.XLOOKUP('Banco de Dados'!$G1101,Follow[CODRASTREIO],Follow[DATAATUALIZAÇÃO]),"-")</f>
        <v>45729</v>
      </c>
      <c r="AK1101" s="132" t="str">
        <f ca="1"/>
        <v>-</v>
      </c>
      <c r="AL1101" s="35"/>
      <c r="AM1101" s="109" cm="1">
        <f t="array" aca="1" ref="AM1101" ca="1">IF('Banco de Dados'!$AK1101&lt;&gt;"-",_xlfn.IFS('Banco de Dados'!$A1101="bv",IF('Banco de Dados'!$E1101&lt;45641,ROUND(SUM('Banco de Dados'!$R1101*_xlfn.XLOOKUP('Banco de Dados'!$P1101,Sku!B:B,Sku!#REF!)*20%),2),ROUND(SUM('Banco de Dados'!$R1101*_xlfn.XLOOKUP('Banco de Dados'!$P1101,Sku!B:B,Sku!H:H)*20%),2)),'Banco de Dados'!$A1101="GO",ROUND(SUM('Banco de Dados'!$R1101*_xlfn.XLOOKUP('Banco de Dados'!$P1101,Sku!C:C,Sku!H:H)*20%),2),'Banco de Dados'!$A1101="MEI",ROUND(SUM('Banco de Dados'!$R1101*_xlfn.XLOOKUP('Banco de Dados'!$P1101,Sku!D:D,Sku!H:H)*20%),2)),0)</f>
        <v>0</v>
      </c>
      <c r="AN1101" s="109">
        <f ca="1">IF('Banco de Dados'!$AK1101&lt;&gt;"-",IF('Banco de Dados'!$F1101&lt;&gt;"-",_xlfn.XLOOKUP(IFERROR(IFERROR(IFERROR(VALUE(SUBSTITUTE(MID(_xlfn.TEXTAFTER('Banco de Dados'!$F1101,"Data do Pedido:
",1),1,10),"-","/")),VALUE(SUBSTITUTE(MID(_xlfn.TEXTAFTER('Banco de Dados'!$F1101,"Order date:
",1),1,10),"-","/"))),VALUE(SUBSTITUTE(MID(_xlfn.TEXTAFTER('Banco de Dados'!$F1101,"Fecha de pedido:
",1),1,10),"-","/"))),"-"),SMS!A:A,SMS!K:K),0),0)</f>
        <v>0</v>
      </c>
      <c r="AO1101" s="109">
        <f ca="1">IF('Banco de Dados'!$AK1101&lt;&gt;"-",IF('Banco de Dados'!$F1101&lt;&gt;"-",IFERROR(_xlfn.XLOOKUP(_xlfn.CONCAT('Banco de Dados'!$A1101,IFERROR(IFERROR(VALUE(SUBSTITUTE(MID(_xlfn.TEXTAFTER('Banco de Dados'!$F1101,"Data do Pedido:
",1),1,10),"-","/")),VALUE(SUBSTITUTE(MID(_xlfn.TEXTAFTER('Banco de Dados'!$F1101,"Order date:
",1),1,10),"-","/"))),0)),ProxyDD[Chave],ProxyDD[Valor por pedido]),PROXY!$P$2),0),0)</f>
        <v>0</v>
      </c>
      <c r="AP1101" s="28">
        <f ca="1">IF('Banco de Dados'!$AK1101&lt;&gt;"-",IF('Banco de Dados'!$AL1101="NÃO",IFERROR(VALUE(SUBSTITUTE(_xlfn.TEXTAFTER('Banco de Dados'!$F1101,"BRL ",1),".",",")),0),0),0)</f>
        <v>0</v>
      </c>
      <c r="AQ1101" s="28">
        <f ca="1">SUM('Banco de Dados'!$AM1101:$AP1101)</f>
        <v>0</v>
      </c>
      <c r="AR1101" s="8"/>
      <c r="AY1101" s="8"/>
    </row>
    <row r="1102" spans="1:51">
      <c r="A1102" s="5" t="str">
        <v>GO</v>
      </c>
      <c r="B1102" s="5" t="str">
        <f ca="1"/>
        <v>GO45718</v>
      </c>
      <c r="C1102" s="8" t="str">
        <v>Pedido 1089</v>
      </c>
      <c r="D1102" s="187">
        <v>45718</v>
      </c>
      <c r="E1102" s="9">
        <v>45718</v>
      </c>
      <c r="F1102" s="8" t="str">
        <v>PedidoF1068</v>
      </c>
      <c r="G1102" s="2" t="str">
        <v>CódRastreio1066</v>
      </c>
      <c r="H1102" s="5">
        <v>1</v>
      </c>
      <c r="I1102" s="2" t="str">
        <v>CPF 1059</v>
      </c>
      <c r="J1102" s="2" t="str">
        <v>Nome 1059</v>
      </c>
      <c r="K1102" s="8" t="str">
        <v>Tel 1059</v>
      </c>
      <c r="L1102" s="8" t="str">
        <v>Cep 1059</v>
      </c>
      <c r="M1102" s="8" t="str">
        <v>Rua 1059</v>
      </c>
      <c r="N1102" s="8" t="str">
        <v>Comp 1059</v>
      </c>
      <c r="O1102" s="8" t="str">
        <v>Ventilador Preto</v>
      </c>
      <c r="P1102" s="8" t="str">
        <v>EP-9PIR-BWXH</v>
      </c>
      <c r="Q1102" s="4">
        <v>45742</v>
      </c>
      <c r="R1102" s="109">
        <v>70.989999999999995</v>
      </c>
      <c r="S1102" s="11">
        <f ca="1"/>
        <v>70.989999999999995</v>
      </c>
      <c r="T1102" s="28">
        <f ca="1"/>
        <v>9.2286999999999999</v>
      </c>
      <c r="U1102" s="11">
        <f ca="1"/>
        <v>61.76</v>
      </c>
      <c r="V1102" s="11">
        <v>10.17</v>
      </c>
      <c r="W1102" s="11">
        <f ca="1"/>
        <v>0.2</v>
      </c>
      <c r="X1102" s="11">
        <f ca="1"/>
        <v>0.39877104377104378</v>
      </c>
      <c r="Y1102" s="11">
        <v>0</v>
      </c>
      <c r="Z1102" s="11">
        <f ca="1"/>
        <v>50.991228956228952</v>
      </c>
      <c r="AA1102" s="11">
        <f ca="1"/>
        <v>50.991228956228952</v>
      </c>
      <c r="AB1102" s="4">
        <f ca="1"/>
        <v>45749</v>
      </c>
      <c r="AC1102" s="4">
        <v>45749</v>
      </c>
      <c r="AD1102" s="9">
        <v>45762</v>
      </c>
      <c r="AE1102" s="9">
        <v>45763</v>
      </c>
      <c r="AF1102" s="4" t="str">
        <f t="shared" ca="1" si="69"/>
        <v>2025 04</v>
      </c>
      <c r="AG1102" s="8" t="str" cm="1">
        <f t="array" ref="AG1102">IFERROR(_xlfn.IFS('Banco de Dados'!#REF!="AG. COMPRA","Em processamento",'Banco de Dados'!#REF!="AG. RASTREIO","Em processamento",'Banco de Dados'!$AE1102&lt;&gt;"-","Faturado",'Banco de Dados'!$AD1102&lt;&gt;"-","Aguardando Pix",'Banco de Dados'!$AC1102&lt;&gt;"-","Pendente"),"Aguardando Liberação")</f>
        <v>Aguardando Liberação</v>
      </c>
      <c r="AH1102" s="5" t="str">
        <f>IF('Banco de Dados'!$F1102="-",_xlfn.CONCAT(PROPER(TEXT(AK1102,"aaaa"))," ",PROPER(TEXT(AK1102,"mm"))),_xlfn.CONCAT(PROPER(TEXT(E1102,"aaaa"))," ",PROPER(TEXT(E1102,"mm"))))</f>
        <v>2025 03</v>
      </c>
      <c r="AI1102" s="9" t="str">
        <f ca="1">IF('Banco de Dados'!$AK1102&lt;&gt;"-","REEMBOLSO",IFERROR(_xlfn.XLOOKUP(G1102,Follow[CODRASTREIO],Follow[STATUS]),"-"))</f>
        <v>ENTREGUE</v>
      </c>
      <c r="AJ1102" s="9">
        <f ca="1">IF('Banco de Dados'!$AI1102="ENTREGUE",_xlfn.XLOOKUP('Banco de Dados'!$G1102,Follow[CODRASTREIO],Follow[DATAATUALIZAÇÃO]),"-")</f>
        <v>45726</v>
      </c>
      <c r="AK1102" s="132" t="str">
        <f ca="1"/>
        <v>-</v>
      </c>
      <c r="AL1102" s="35"/>
      <c r="AM1102" s="109" cm="1">
        <f t="array" aca="1" ref="AM1102" ca="1">IF('Banco de Dados'!$AK1102&lt;&gt;"-",_xlfn.IFS('Banco de Dados'!$A1102="bv",IF('Banco de Dados'!$E1102&lt;45641,ROUND(SUM('Banco de Dados'!$R1102*_xlfn.XLOOKUP('Banco de Dados'!$P1102,Sku!B:B,Sku!#REF!)*20%),2),ROUND(SUM('Banco de Dados'!$R1102*_xlfn.XLOOKUP('Banco de Dados'!$P1102,Sku!B:B,Sku!H:H)*20%),2)),'Banco de Dados'!$A1102="GO",ROUND(SUM('Banco de Dados'!$R1102*_xlfn.XLOOKUP('Banco de Dados'!$P1102,Sku!C:C,Sku!H:H)*20%),2),'Banco de Dados'!$A1102="MEI",ROUND(SUM('Banco de Dados'!$R1102*_xlfn.XLOOKUP('Banco de Dados'!$P1102,Sku!D:D,Sku!H:H)*20%),2)),0)</f>
        <v>0</v>
      </c>
      <c r="AN1102" s="109">
        <f ca="1">IF('Banco de Dados'!$AK1102&lt;&gt;"-",IF('Banco de Dados'!$F1102&lt;&gt;"-",_xlfn.XLOOKUP(IFERROR(IFERROR(IFERROR(VALUE(SUBSTITUTE(MID(_xlfn.TEXTAFTER('Banco de Dados'!$F1102,"Data do Pedido:
",1),1,10),"-","/")),VALUE(SUBSTITUTE(MID(_xlfn.TEXTAFTER('Banco de Dados'!$F1102,"Order date:
",1),1,10),"-","/"))),VALUE(SUBSTITUTE(MID(_xlfn.TEXTAFTER('Banco de Dados'!$F1102,"Fecha de pedido:
",1),1,10),"-","/"))),"-"),SMS!A:A,SMS!K:K),0),0)</f>
        <v>0</v>
      </c>
      <c r="AO1102" s="109">
        <f ca="1">IF('Banco de Dados'!$AK1102&lt;&gt;"-",IF('Banco de Dados'!$F1102&lt;&gt;"-",IFERROR(_xlfn.XLOOKUP(_xlfn.CONCAT('Banco de Dados'!$A1102,IFERROR(IFERROR(VALUE(SUBSTITUTE(MID(_xlfn.TEXTAFTER('Banco de Dados'!$F1102,"Data do Pedido:
",1),1,10),"-","/")),VALUE(SUBSTITUTE(MID(_xlfn.TEXTAFTER('Banco de Dados'!$F1102,"Order date:
",1),1,10),"-","/"))),0)),ProxyDD[Chave],ProxyDD[Valor por pedido]),PROXY!$P$2),0),0)</f>
        <v>0</v>
      </c>
      <c r="AP1102" s="28">
        <f ca="1">IF('Banco de Dados'!$AK1102&lt;&gt;"-",IF('Banco de Dados'!$AL1102="NÃO",IFERROR(VALUE(SUBSTITUTE(_xlfn.TEXTAFTER('Banco de Dados'!$F1102,"BRL ",1),".",",")),0),0),0)</f>
        <v>0</v>
      </c>
      <c r="AQ1102" s="28">
        <f ca="1">SUM('Banco de Dados'!$AM1102:$AP1102)</f>
        <v>0</v>
      </c>
      <c r="AR1102" s="8"/>
      <c r="AY1102" s="8"/>
    </row>
    <row r="1103" spans="1:51">
      <c r="A1103" s="5" t="str">
        <v>BV</v>
      </c>
      <c r="B1103" s="5" t="str">
        <f ca="1"/>
        <v>BV45721</v>
      </c>
      <c r="C1103" s="8" t="str">
        <v>Pedido 1090</v>
      </c>
      <c r="D1103" s="9">
        <v>45718</v>
      </c>
      <c r="E1103" s="9">
        <v>45721</v>
      </c>
      <c r="F1103" s="8" t="str">
        <v>PedidoF1069</v>
      </c>
      <c r="G1103" s="2" t="str">
        <v>CódRastreio1067</v>
      </c>
      <c r="H1103" s="5">
        <v>1</v>
      </c>
      <c r="I1103" s="2" t="str">
        <v>CPF 1060</v>
      </c>
      <c r="J1103" s="2" t="str">
        <v>Nome 1060</v>
      </c>
      <c r="K1103" s="8" t="str">
        <v>Tel 1060</v>
      </c>
      <c r="L1103" s="8" t="str">
        <v>Cep 1060</v>
      </c>
      <c r="M1103" s="8" t="str">
        <v>Rua 1060</v>
      </c>
      <c r="N1103" s="8" t="str">
        <v>Comp 1060</v>
      </c>
      <c r="O1103" s="8" t="str">
        <v>Garrafa Termica</v>
      </c>
      <c r="P1103" s="8" t="str">
        <v>FM-QQ8Y-RZT4</v>
      </c>
      <c r="Q1103" s="4">
        <v>45742</v>
      </c>
      <c r="R1103" s="109">
        <v>23.5</v>
      </c>
      <c r="S1103" s="11">
        <f ca="1"/>
        <v>23.5</v>
      </c>
      <c r="T1103" s="28">
        <f ca="1"/>
        <v>3.0550000000000002</v>
      </c>
      <c r="U1103" s="11">
        <f ca="1"/>
        <v>20.45</v>
      </c>
      <c r="V1103" s="11">
        <v>12.8</v>
      </c>
      <c r="W1103" s="11">
        <f ca="1"/>
        <v>0.2</v>
      </c>
      <c r="X1103" s="11">
        <f ca="1"/>
        <v>0.39877104377104378</v>
      </c>
      <c r="Y1103" s="11">
        <v>0</v>
      </c>
      <c r="Z1103" s="11">
        <f ca="1"/>
        <v>7.0512289562289556</v>
      </c>
      <c r="AA1103" s="11">
        <f ca="1"/>
        <v>3.5256144781144778</v>
      </c>
      <c r="AB1103" s="4">
        <f ca="1"/>
        <v>45749</v>
      </c>
      <c r="AC1103" s="4">
        <v>45749</v>
      </c>
      <c r="AD1103" s="9">
        <v>45762</v>
      </c>
      <c r="AE1103" s="9">
        <v>45763</v>
      </c>
      <c r="AF1103" s="4" t="str">
        <f t="shared" ref="AF1103:AF1105" ca="1" si="70">_xlfn.CONCAT(PROPER(TEXT(AB1103,"aaaa"))," ",PROPER(TEXT(AB1103,"mm")))</f>
        <v>2025 04</v>
      </c>
      <c r="AG1103" s="8" t="str" cm="1">
        <f t="array" ref="AG1103">IFERROR(_xlfn.IFS('Banco de Dados'!#REF!="AG. COMPRA","Em processamento",'Banco de Dados'!#REF!="AG. RASTREIO","Em processamento",'Banco de Dados'!$AE1103&lt;&gt;"-","Faturado",'Banco de Dados'!$AD1103&lt;&gt;"-","Aguardando Pix",'Banco de Dados'!$AC1103&lt;&gt;"-","Pendente"),"Aguardando Liberação")</f>
        <v>Aguardando Liberação</v>
      </c>
      <c r="AH1103" s="5" t="str">
        <f>IF('Banco de Dados'!$F1103="-",_xlfn.CONCAT(PROPER(TEXT(AK1103,"aaaa"))," ",PROPER(TEXT(AK1103,"mm"))),_xlfn.CONCAT(PROPER(TEXT(E1103,"aaaa"))," ",PROPER(TEXT(E1103,"mm"))))</f>
        <v>2025 03</v>
      </c>
      <c r="AI1103" s="9" t="str">
        <f ca="1">IF('Banco de Dados'!$AK1103&lt;&gt;"-","REEMBOLSO",IFERROR(_xlfn.XLOOKUP(G1103,Follow[CODRASTREIO],Follow[STATUS]),"-"))</f>
        <v>ENTREGUE</v>
      </c>
      <c r="AJ1103" s="9">
        <f ca="1">IF('Banco de Dados'!$AI1103="ENTREGUE",_xlfn.XLOOKUP('Banco de Dados'!$G1103,Follow[CODRASTREIO],Follow[DATAATUALIZAÇÃO]),"-")</f>
        <v>45735</v>
      </c>
      <c r="AK1103" s="132" t="str">
        <f ca="1"/>
        <v>-</v>
      </c>
      <c r="AL1103" s="35"/>
      <c r="AM1103" s="109" cm="1">
        <f t="array" aca="1" ref="AM1103" ca="1">IF('Banco de Dados'!$AK1103&lt;&gt;"-",_xlfn.IFS('Banco de Dados'!$A1103="bv",IF('Banco de Dados'!$E1103&lt;45641,ROUND(SUM('Banco de Dados'!$R1103*_xlfn.XLOOKUP('Banco de Dados'!$P1103,Sku!B:B,Sku!#REF!)*20%),2),ROUND(SUM('Banco de Dados'!$R1103*_xlfn.XLOOKUP('Banco de Dados'!$P1103,Sku!B:B,Sku!H:H)*20%),2)),'Banco de Dados'!$A1103="GO",ROUND(_xlfn.XLOOKUP('Banco de Dados'!$P1103,Sku!C:C,Sku!H:H),2),'Banco de Dados'!$A1103="MEI",ROUND(_xlfn.XLOOKUP('Banco de Dados'!$P1103,Sku!D:D,Sku!H:H),2)),0)</f>
        <v>0</v>
      </c>
      <c r="AN1103" s="109">
        <f ca="1">IF('Banco de Dados'!$AK1103&lt;&gt;"-",IF('Banco de Dados'!$F1103&lt;&gt;"-",_xlfn.XLOOKUP(IFERROR(IFERROR(IFERROR(VALUE(SUBSTITUTE(MID(_xlfn.TEXTAFTER('Banco de Dados'!$F1103,"Data do Pedido:
",1),1,10),"-","/")),VALUE(SUBSTITUTE(MID(_xlfn.TEXTAFTER('Banco de Dados'!$F1103,"Order date:
",1),1,10),"-","/"))),VALUE(SUBSTITUTE(MID(_xlfn.TEXTAFTER('Banco de Dados'!$F1103,"Fecha de pedido:
",1),1,10),"-","/"))),"-"),SMS!A:A,SMS!K:K),0),0)</f>
        <v>0</v>
      </c>
      <c r="AO1103" s="109">
        <f ca="1">IF('Banco de Dados'!$AK1103&lt;&gt;"-",IF('Banco de Dados'!$F1103&lt;&gt;"-",IFERROR(_xlfn.XLOOKUP(_xlfn.CONCAT('Banco de Dados'!$A1103,IFERROR(IFERROR(VALUE(SUBSTITUTE(MID(_xlfn.TEXTAFTER('Banco de Dados'!$F1103,"Data do Pedido:
",1),1,10),"-","/")),VALUE(SUBSTITUTE(MID(_xlfn.TEXTAFTER('Banco de Dados'!$F1103,"Order date:
",1),1,10),"-","/"))),0)),ProxyDD[Chave],ProxyDD[Valor por pedido]),PROXY!$P$2),0),0)</f>
        <v>0</v>
      </c>
      <c r="AP1103" s="28">
        <f ca="1">IF('Banco de Dados'!$AK1103&lt;&gt;"-",IF('Banco de Dados'!$AL1103="NÃO",IFERROR(VALUE(SUBSTITUTE(_xlfn.TEXTAFTER('Banco de Dados'!$F1103,"BRL ",1),".",",")),0),0),0)</f>
        <v>0</v>
      </c>
      <c r="AQ1103" s="28">
        <f ca="1">SUM('Banco de Dados'!$AM1103:$AP1103)</f>
        <v>0</v>
      </c>
      <c r="AR1103" s="8"/>
      <c r="AY1103" s="8"/>
    </row>
    <row r="1104" spans="1:51">
      <c r="A1104" s="5" t="str">
        <v>BV</v>
      </c>
      <c r="B1104" s="5" t="str">
        <f ca="1"/>
        <v>BV45720</v>
      </c>
      <c r="C1104" s="8" t="str">
        <v>Pedido 1091</v>
      </c>
      <c r="D1104" s="9">
        <v>45719</v>
      </c>
      <c r="E1104" s="9">
        <v>45720</v>
      </c>
      <c r="F1104" s="8" t="str">
        <v>PedidoF1070</v>
      </c>
      <c r="G1104" s="2" t="str">
        <v>CódRastreio1068</v>
      </c>
      <c r="H1104" s="5">
        <v>1</v>
      </c>
      <c r="I1104" s="2" t="str">
        <v>CPF 1061</v>
      </c>
      <c r="J1104" s="2" t="str">
        <v>Nome 1061</v>
      </c>
      <c r="K1104" s="8" t="str">
        <v>Tel 1061</v>
      </c>
      <c r="L1104" s="8" t="str">
        <v>Cep 1061</v>
      </c>
      <c r="M1104" s="8" t="str">
        <v>Rua 1061</v>
      </c>
      <c r="N1104" s="8" t="str">
        <v>Comp 1061</v>
      </c>
      <c r="O1104" s="8" t="str">
        <v>Copo Termico</v>
      </c>
      <c r="P1104" s="8" t="str">
        <v>KN-TBQL-K2MM</v>
      </c>
      <c r="Q1104" s="4">
        <v>45736</v>
      </c>
      <c r="R1104" s="109">
        <v>23.9</v>
      </c>
      <c r="S1104" s="11">
        <f ca="1"/>
        <v>23.9</v>
      </c>
      <c r="T1104" s="28">
        <f ca="1"/>
        <v>3.1069999999999998</v>
      </c>
      <c r="U1104" s="11">
        <f ca="1"/>
        <v>20.79</v>
      </c>
      <c r="V1104" s="11">
        <v>6.99</v>
      </c>
      <c r="W1104" s="11">
        <f ca="1"/>
        <v>0.25</v>
      </c>
      <c r="X1104" s="11">
        <f ca="1"/>
        <v>0.39877104377104378</v>
      </c>
      <c r="Y1104" s="11">
        <v>0</v>
      </c>
      <c r="Z1104" s="11">
        <f ca="1"/>
        <v>13.151228956228955</v>
      </c>
      <c r="AA1104" s="11">
        <f ca="1"/>
        <v>6.5756144781144776</v>
      </c>
      <c r="AB1104" s="4">
        <f ca="1"/>
        <v>45743</v>
      </c>
      <c r="AC1104" s="4">
        <v>45743</v>
      </c>
      <c r="AD1104" s="9">
        <v>45747</v>
      </c>
      <c r="AE1104" s="9">
        <v>45749</v>
      </c>
      <c r="AF1104" s="4" t="str">
        <f t="shared" ca="1" si="70"/>
        <v>2025 03</v>
      </c>
      <c r="AG1104" s="8" t="str" cm="1">
        <f t="array" ref="AG1104">IFERROR(_xlfn.IFS('Banco de Dados'!#REF!="AG. COMPRA","Em processamento",'Banco de Dados'!#REF!="AG. RASTREIO","Em processamento",'Banco de Dados'!$AE1104&lt;&gt;"-","Faturado",'Banco de Dados'!$AD1104&lt;&gt;"-","Aguardando Pix",'Banco de Dados'!$AC1104&lt;&gt;"-","Pendente"),"Aguardando Liberação")</f>
        <v>Aguardando Liberação</v>
      </c>
      <c r="AH1104" s="5" t="str">
        <f>IF('Banco de Dados'!$F1104="-",_xlfn.CONCAT(PROPER(TEXT(AK1104,"aaaa"))," ",PROPER(TEXT(AK1104,"mm"))),_xlfn.CONCAT(PROPER(TEXT(E1104,"aaaa"))," ",PROPER(TEXT(E1104,"mm"))))</f>
        <v>2025 03</v>
      </c>
      <c r="AI1104" s="9" t="str">
        <f ca="1">IF('Banco de Dados'!$AK1104&lt;&gt;"-","REEMBOLSO",IFERROR(_xlfn.XLOOKUP(G1104,Follow[CODRASTREIO],Follow[STATUS]),"-"))</f>
        <v>ENTREGUE</v>
      </c>
      <c r="AJ1104" s="9">
        <f ca="1">IF('Banco de Dados'!$AI1104="ENTREGUE",_xlfn.XLOOKUP('Banco de Dados'!$G1104,Follow[CODRASTREIO],Follow[DATAATUALIZAÇÃO]),"-")</f>
        <v>45729</v>
      </c>
      <c r="AK1104" s="132" t="str">
        <f ca="1"/>
        <v>-</v>
      </c>
      <c r="AL1104" s="35"/>
      <c r="AM1104" s="109" cm="1">
        <f t="array" aca="1" ref="AM1104" ca="1">IF('Banco de Dados'!$AK1104&lt;&gt;"-",_xlfn.IFS('Banco de Dados'!$A1104="bv",IF('Banco de Dados'!$E1104&lt;45641,ROUND(SUM('Banco de Dados'!$R1104*_xlfn.XLOOKUP('Banco de Dados'!$P1104,Sku!B:B,Sku!#REF!)*20%),2),ROUND(SUM('Banco de Dados'!$R1104*_xlfn.XLOOKUP('Banco de Dados'!$P1104,Sku!B:B,Sku!H:H)*20%),2)),'Banco de Dados'!$A1104="GO",ROUND(_xlfn.XLOOKUP('Banco de Dados'!$P1104,Sku!C:C,Sku!H:H),2),'Banco de Dados'!$A1104="MEI",ROUND(_xlfn.XLOOKUP('Banco de Dados'!$P1104,Sku!D:D,Sku!H:H),2)),0)</f>
        <v>0</v>
      </c>
      <c r="AN1104" s="109">
        <f ca="1">IF('Banco de Dados'!$AK1104&lt;&gt;"-",IF('Banco de Dados'!$F1104&lt;&gt;"-",_xlfn.XLOOKUP(IFERROR(IFERROR(IFERROR(VALUE(SUBSTITUTE(MID(_xlfn.TEXTAFTER('Banco de Dados'!$F1104,"Data do Pedido:
",1),1,10),"-","/")),VALUE(SUBSTITUTE(MID(_xlfn.TEXTAFTER('Banco de Dados'!$F1104,"Order date:
",1),1,10),"-","/"))),VALUE(SUBSTITUTE(MID(_xlfn.TEXTAFTER('Banco de Dados'!$F1104,"Fecha de pedido:
",1),1,10),"-","/"))),"-"),SMS!A:A,SMS!K:K),0),0)</f>
        <v>0</v>
      </c>
      <c r="AO1104" s="109">
        <f ca="1">IF('Banco de Dados'!$AK1104&lt;&gt;"-",IF('Banco de Dados'!$F1104&lt;&gt;"-",IFERROR(_xlfn.XLOOKUP(_xlfn.CONCAT('Banco de Dados'!$A1104,IFERROR(IFERROR(VALUE(SUBSTITUTE(MID(_xlfn.TEXTAFTER('Banco de Dados'!$F1104,"Data do Pedido:
",1),1,10),"-","/")),VALUE(SUBSTITUTE(MID(_xlfn.TEXTAFTER('Banco de Dados'!$F1104,"Order date:
",1),1,10),"-","/"))),0)),ProxyDD[Chave],ProxyDD[Valor por pedido]),PROXY!$P$2),0),0)</f>
        <v>0</v>
      </c>
      <c r="AP1104" s="28">
        <f ca="1">IF('Banco de Dados'!$AK1104&lt;&gt;"-",IF('Banco de Dados'!$AL1104="NÃO",IFERROR(VALUE(SUBSTITUTE(_xlfn.TEXTAFTER('Banco de Dados'!$F1104,"BRL ",1),".",",")),0),0),0)</f>
        <v>0</v>
      </c>
      <c r="AQ1104" s="28">
        <f ca="1">SUM('Banco de Dados'!$AM1104:$AP1104)</f>
        <v>0</v>
      </c>
      <c r="AR1104" s="8"/>
      <c r="AY1104" s="8"/>
    </row>
    <row r="1105" spans="1:51">
      <c r="A1105" s="5" t="str">
        <v>BV</v>
      </c>
      <c r="B1105" s="5" t="str">
        <f ca="1"/>
        <v>BV45720</v>
      </c>
      <c r="C1105" s="8" t="str">
        <v>Pedido 1092</v>
      </c>
      <c r="D1105" s="9">
        <v>45719</v>
      </c>
      <c r="E1105" s="9">
        <v>45720</v>
      </c>
      <c r="F1105" s="8" t="str">
        <v>PedidoF1071</v>
      </c>
      <c r="G1105" s="2" t="str">
        <v>CódRastreio1069</v>
      </c>
      <c r="H1105" s="5">
        <v>1</v>
      </c>
      <c r="I1105" s="2" t="str">
        <v>CPF 1062</v>
      </c>
      <c r="J1105" s="2" t="str">
        <v>Nome 1062</v>
      </c>
      <c r="K1105" s="8" t="str">
        <v>Tel 1062</v>
      </c>
      <c r="L1105" s="8" t="str">
        <v>Cep 1062</v>
      </c>
      <c r="M1105" s="8" t="str">
        <v>Rua 1062</v>
      </c>
      <c r="N1105" s="8" t="str">
        <v>Comp 1062</v>
      </c>
      <c r="O1105" s="8" t="str">
        <v>Copo Termico</v>
      </c>
      <c r="P1105" s="8" t="str">
        <v>KN-TBQL-K2MM</v>
      </c>
      <c r="Q1105" s="4">
        <v>45736</v>
      </c>
      <c r="R1105" s="109">
        <v>23.9</v>
      </c>
      <c r="S1105" s="11">
        <f ca="1"/>
        <v>23.9</v>
      </c>
      <c r="T1105" s="28">
        <f ca="1"/>
        <v>3.1069999999999998</v>
      </c>
      <c r="U1105" s="11">
        <f ca="1"/>
        <v>20.79</v>
      </c>
      <c r="V1105" s="11">
        <v>6.99</v>
      </c>
      <c r="W1105" s="11">
        <f ca="1"/>
        <v>0.25</v>
      </c>
      <c r="X1105" s="11">
        <f ca="1"/>
        <v>0.39877104377104378</v>
      </c>
      <c r="Y1105" s="11">
        <v>0</v>
      </c>
      <c r="Z1105" s="11">
        <f ca="1"/>
        <v>13.151228956228955</v>
      </c>
      <c r="AA1105" s="11">
        <f ca="1"/>
        <v>6.5756144781144776</v>
      </c>
      <c r="AB1105" s="4">
        <f ca="1"/>
        <v>45743</v>
      </c>
      <c r="AC1105" s="4">
        <v>45743</v>
      </c>
      <c r="AD1105" s="9">
        <v>45747</v>
      </c>
      <c r="AE1105" s="9">
        <v>45749</v>
      </c>
      <c r="AF1105" s="4" t="str">
        <f t="shared" ca="1" si="70"/>
        <v>2025 03</v>
      </c>
      <c r="AG1105" s="8" t="str" cm="1">
        <f t="array" ref="AG1105">IFERROR(_xlfn.IFS('Banco de Dados'!#REF!="AG. COMPRA","Em processamento",'Banco de Dados'!#REF!="AG. RASTREIO","Em processamento",'Banco de Dados'!$AE1105&lt;&gt;"-","Faturado",'Banco de Dados'!$AD1105&lt;&gt;"-","Aguardando Pix",'Banco de Dados'!$AC1105&lt;&gt;"-","Pendente"),"Aguardando Liberação")</f>
        <v>Aguardando Liberação</v>
      </c>
      <c r="AH1105" s="5" t="str">
        <f>IF('Banco de Dados'!$F1105="-",_xlfn.CONCAT(PROPER(TEXT(AK1105,"aaaa"))," ",PROPER(TEXT(AK1105,"mm"))),_xlfn.CONCAT(PROPER(TEXT(E1105,"aaaa"))," ",PROPER(TEXT(E1105,"mm"))))</f>
        <v>2025 03</v>
      </c>
      <c r="AI1105" s="9" t="str">
        <f ca="1">IF('Banco de Dados'!$AK1105&lt;&gt;"-","REEMBOLSO",IFERROR(_xlfn.XLOOKUP(G1105,Follow[CODRASTREIO],Follow[STATUS]),"-"))</f>
        <v>ENTREGUE</v>
      </c>
      <c r="AJ1105" s="9">
        <f ca="1">IF('Banco de Dados'!$AI1105="ENTREGUE",_xlfn.XLOOKUP('Banco de Dados'!$G1105,Follow[CODRASTREIO],Follow[DATAATUALIZAÇÃO]),"-")</f>
        <v>45722</v>
      </c>
      <c r="AK1105" s="132" t="str">
        <f ca="1"/>
        <v>-</v>
      </c>
      <c r="AL1105" s="35"/>
      <c r="AM1105" s="109" cm="1">
        <f t="array" aca="1" ref="AM1105" ca="1">IF('Banco de Dados'!$AK1105&lt;&gt;"-",_xlfn.IFS('Banco de Dados'!$A1105="bv",IF('Banco de Dados'!$E1105&lt;45641,ROUND(SUM('Banco de Dados'!$R1105*_xlfn.XLOOKUP('Banco de Dados'!$P1105,Sku!B:B,Sku!#REF!)*20%),2),ROUND(SUM('Banco de Dados'!$R1105*_xlfn.XLOOKUP('Banco de Dados'!$P1105,Sku!B:B,Sku!H:H)*20%),2)),'Banco de Dados'!$A1105="GO",ROUND(_xlfn.XLOOKUP('Banco de Dados'!$P1105,Sku!C:C,Sku!H:H),2),'Banco de Dados'!$A1105="MEI",ROUND(_xlfn.XLOOKUP('Banco de Dados'!$P1105,Sku!D:D,Sku!H:H),2)),0)</f>
        <v>0</v>
      </c>
      <c r="AN1105" s="109">
        <f ca="1">IF('Banco de Dados'!$AK1105&lt;&gt;"-",IF('Banco de Dados'!$F1105&lt;&gt;"-",_xlfn.XLOOKUP(IFERROR(IFERROR(IFERROR(VALUE(SUBSTITUTE(MID(_xlfn.TEXTAFTER('Banco de Dados'!$F1105,"Data do Pedido:
",1),1,10),"-","/")),VALUE(SUBSTITUTE(MID(_xlfn.TEXTAFTER('Banco de Dados'!$F1105,"Order date:
",1),1,10),"-","/"))),VALUE(SUBSTITUTE(MID(_xlfn.TEXTAFTER('Banco de Dados'!$F1105,"Fecha de pedido:
",1),1,10),"-","/"))),"-"),SMS!A:A,SMS!K:K),0),0)</f>
        <v>0</v>
      </c>
      <c r="AO1105" s="109">
        <f ca="1">IF('Banco de Dados'!$AK1105&lt;&gt;"-",IF('Banco de Dados'!$F1105&lt;&gt;"-",IFERROR(_xlfn.XLOOKUP(_xlfn.CONCAT('Banco de Dados'!$A1105,IFERROR(IFERROR(VALUE(SUBSTITUTE(MID(_xlfn.TEXTAFTER('Banco de Dados'!$F1105,"Data do Pedido:
",1),1,10),"-","/")),VALUE(SUBSTITUTE(MID(_xlfn.TEXTAFTER('Banco de Dados'!$F1105,"Order date:
",1),1,10),"-","/"))),0)),ProxyDD[Chave],ProxyDD[Valor por pedido]),PROXY!$P$2),0),0)</f>
        <v>0</v>
      </c>
      <c r="AP1105" s="28">
        <f ca="1">IF('Banco de Dados'!$AK1105&lt;&gt;"-",IF('Banco de Dados'!$AL1105="NÃO",IFERROR(VALUE(SUBSTITUTE(_xlfn.TEXTAFTER('Banco de Dados'!$F1105,"BRL ",1),".",",")),0),0),0)</f>
        <v>0</v>
      </c>
      <c r="AQ1105" s="28">
        <f ca="1">SUM('Banco de Dados'!$AM1105:$AP1105)</f>
        <v>0</v>
      </c>
      <c r="AR1105" s="8"/>
      <c r="AY1105" s="8"/>
    </row>
    <row r="1106" spans="1:51">
      <c r="A1106" s="5" t="str">
        <v>BV</v>
      </c>
      <c r="B1106" s="5" t="str">
        <f ca="1"/>
        <v>BV45720</v>
      </c>
      <c r="C1106" s="8" t="str">
        <v>Pedido 1093</v>
      </c>
      <c r="D1106" s="9">
        <v>45719</v>
      </c>
      <c r="E1106" s="9">
        <v>45720</v>
      </c>
      <c r="F1106" s="8" t="str">
        <v>PedidoF1072</v>
      </c>
      <c r="G1106" s="2" t="str">
        <v>CódRastreio1070</v>
      </c>
      <c r="H1106" s="5">
        <v>1</v>
      </c>
      <c r="I1106" s="2" t="str">
        <v>CPF 1063</v>
      </c>
      <c r="J1106" s="2" t="str">
        <v>Nome 1063</v>
      </c>
      <c r="K1106" s="8" t="str">
        <v>Tel 1063</v>
      </c>
      <c r="L1106" s="8" t="str">
        <v>Cep 1063</v>
      </c>
      <c r="M1106" s="8" t="str">
        <v>Rua 1063</v>
      </c>
      <c r="N1106" s="8" t="str">
        <v>Comp 1063</v>
      </c>
      <c r="O1106" s="8" t="str">
        <v>Karaoke portátil</v>
      </c>
      <c r="P1106" s="8" t="str">
        <v>08-PAJ9-YM9P</v>
      </c>
      <c r="Q1106" s="4">
        <v>45755</v>
      </c>
      <c r="R1106" s="109">
        <v>55.99</v>
      </c>
      <c r="S1106" s="11">
        <f ca="1"/>
        <v>0</v>
      </c>
      <c r="T1106" s="28">
        <f ca="1"/>
        <v>0</v>
      </c>
      <c r="U1106" s="11">
        <f ca="1"/>
        <v>0</v>
      </c>
      <c r="V1106" s="11">
        <v>0</v>
      </c>
      <c r="W1106" s="11">
        <f ca="1"/>
        <v>0</v>
      </c>
      <c r="X1106" s="11">
        <f ca="1"/>
        <v>0.39877104377104378</v>
      </c>
      <c r="Y1106" s="11">
        <v>0</v>
      </c>
      <c r="Z1106" s="11">
        <f ca="1"/>
        <v>-0.39877104377104378</v>
      </c>
      <c r="AA1106" s="11">
        <f ca="1"/>
        <v>-0.19938552188552189</v>
      </c>
      <c r="AB1106" s="4">
        <f ca="1"/>
        <v>45762</v>
      </c>
      <c r="AC1106" s="4">
        <v>45762</v>
      </c>
      <c r="AD1106" s="9">
        <v>45762</v>
      </c>
      <c r="AE1106" s="9">
        <v>45763</v>
      </c>
      <c r="AF1106" s="4" t="str">
        <f t="shared" ref="AF1106:AF1114" ca="1" si="71">_xlfn.CONCAT(PROPER(TEXT(AB1106,"aaaa"))," ",PROPER(TEXT(AB1106,"mm")))</f>
        <v>2025 04</v>
      </c>
      <c r="AG1106" s="8" t="str" cm="1">
        <f t="array" ref="AG1106">IFERROR(_xlfn.IFS('Banco de Dados'!#REF!="AG. COMPRA","Em processamento",'Banco de Dados'!#REF!="AG. RASTREIO","Em processamento",'Banco de Dados'!$AE1106&lt;&gt;"-","Faturado",'Banco de Dados'!$AD1106&lt;&gt;"-","Aguardando Pix",'Banco de Dados'!$AC1106&lt;&gt;"-","Pendente"),"Aguardando Liberação")</f>
        <v>Aguardando Liberação</v>
      </c>
      <c r="AH1106" s="5" t="str">
        <f>IF('Banco de Dados'!$F1106="-",_xlfn.CONCAT(PROPER(TEXT(AK1106,"aaaa"))," ",PROPER(TEXT(AK1106,"mm"))),_xlfn.CONCAT(PROPER(TEXT(E1106,"aaaa"))," ",PROPER(TEXT(E1106,"mm"))))</f>
        <v>2025 03</v>
      </c>
      <c r="AI1106" s="9" t="str">
        <f ca="1">IF('Banco de Dados'!$AK1106&lt;&gt;"-","REEMBOLSO",IFERROR(_xlfn.XLOOKUP(G1106,Follow[CODRASTREIO],Follow[STATUS]),"-"))</f>
        <v>REEMBOLSO</v>
      </c>
      <c r="AJ1106" s="9" t="str">
        <f ca="1">IF('Banco de Dados'!$AI1106="ENTREGUE",_xlfn.XLOOKUP('Banco de Dados'!$G1106,Follow[CODRASTREIO],Follow[DATAATUALIZAÇÃO]),"-")</f>
        <v>-</v>
      </c>
      <c r="AK1106" s="132">
        <f ca="1"/>
        <v>45762</v>
      </c>
      <c r="AL1106" s="35"/>
      <c r="AM1106" s="109" cm="1">
        <f t="array" aca="1" ref="AM1106" ca="1">IF('Banco de Dados'!$AK1106&lt;&gt;"-",_xlfn.IFS('Banco de Dados'!$A1106="bv",IF('Banco de Dados'!$E1106&lt;45641,ROUND(SUM('Banco de Dados'!$R1106*_xlfn.XLOOKUP('Banco de Dados'!$P1106,Sku!B:B,Sku!#REF!)*20%),2),ROUND(SUM('Banco de Dados'!$R1106*_xlfn.XLOOKUP('Banco de Dados'!$P1106,Sku!B:B,Sku!H:H)*20%),2)),'Banco de Dados'!$A1106="GO",ROUND(_xlfn.XLOOKUP('Banco de Dados'!$P1106,Sku!C:C,Sku!H:H),2),'Banco de Dados'!$A1106="MEI",ROUND(_xlfn.XLOOKUP('Banco de Dados'!$P1106,Sku!D:D,Sku!H:H),2)),0)</f>
        <v>1.68</v>
      </c>
      <c r="AN1106" s="109" t="e">
        <f ca="1">IF('Banco de Dados'!$AK1106&lt;&gt;"-",IF('Banco de Dados'!$F1106&lt;&gt;"-",_xlfn.XLOOKUP(IFERROR(IFERROR(IFERROR(VALUE(SUBSTITUTE(MID(_xlfn.TEXTAFTER('Banco de Dados'!$F1106,"Data do Pedido:
",1),1,10),"-","/")),VALUE(SUBSTITUTE(MID(_xlfn.TEXTAFTER('Banco de Dados'!$F1106,"Order date:
",1),1,10),"-","/"))),VALUE(SUBSTITUTE(MID(_xlfn.TEXTAFTER('Banco de Dados'!$F1106,"Fecha de pedido:
",1),1,10),"-","/"))),"-"),SMS!A:A,SMS!K:K),0),0)</f>
        <v>#N/A</v>
      </c>
      <c r="AO1106" s="109">
        <f ca="1">IF('Banco de Dados'!$AK1106&lt;&gt;"-",IF('Banco de Dados'!$F1106&lt;&gt;"-",IFERROR(_xlfn.XLOOKUP(_xlfn.CONCAT('Banco de Dados'!$A1106,IFERROR(IFERROR(VALUE(SUBSTITUTE(MID(_xlfn.TEXTAFTER('Banco de Dados'!$F1106,"Data do Pedido:
",1),1,10),"-","/")),VALUE(SUBSTITUTE(MID(_xlfn.TEXTAFTER('Banco de Dados'!$F1106,"Order date:
",1),1,10),"-","/"))),0)),ProxyDD[Chave],ProxyDD[Valor por pedido]),PROXY!$P$2),0),0)</f>
        <v>0.39877104377104378</v>
      </c>
      <c r="AP1106" s="28">
        <f ca="1">IF('Banco de Dados'!$AK1106&lt;&gt;"-",IF('Banco de Dados'!$AL1106="NÃO",IFERROR(VALUE(SUBSTITUTE(_xlfn.TEXTAFTER('Banco de Dados'!$F1106,"BRL ",1),".",",")),0),0),0)</f>
        <v>0</v>
      </c>
      <c r="AQ1106" s="28" t="e">
        <f ca="1">SUM('Banco de Dados'!$AM1106:$AP1106)</f>
        <v>#N/A</v>
      </c>
      <c r="AR1106" s="8"/>
      <c r="AY1106" s="8"/>
    </row>
    <row r="1107" spans="1:51">
      <c r="A1107" s="5" t="str">
        <v>BV</v>
      </c>
      <c r="B1107" s="5" t="str">
        <f ca="1"/>
        <v>BV45720</v>
      </c>
      <c r="C1107" s="8" t="str">
        <v>Pedido 1094</v>
      </c>
      <c r="D1107" s="9">
        <v>45720</v>
      </c>
      <c r="E1107" s="9">
        <v>45720</v>
      </c>
      <c r="F1107" s="8" t="str">
        <v>PedidoF1073</v>
      </c>
      <c r="G1107" s="2" t="str">
        <v>CódRastreio1071</v>
      </c>
      <c r="H1107" s="5">
        <v>1</v>
      </c>
      <c r="I1107" s="2" t="str">
        <v>CPF 1064</v>
      </c>
      <c r="J1107" s="2" t="str">
        <v>Nome 1064</v>
      </c>
      <c r="K1107" s="8" t="str">
        <v>Tel 1064</v>
      </c>
      <c r="L1107" s="8" t="str">
        <v>Cep 1064</v>
      </c>
      <c r="M1107" s="8" t="str">
        <v>Rua 1064</v>
      </c>
      <c r="N1107" s="8" t="str">
        <v>Comp 1064</v>
      </c>
      <c r="O1107" s="8" t="str">
        <v>Ventilador Preto</v>
      </c>
      <c r="P1107" s="8" t="str">
        <v>MU-J80P-95WF</v>
      </c>
      <c r="Q1107" s="4">
        <v>45748</v>
      </c>
      <c r="R1107" s="109">
        <v>65.599999999999994</v>
      </c>
      <c r="S1107" s="11">
        <f ca="1"/>
        <v>65.599999999999994</v>
      </c>
      <c r="T1107" s="28">
        <f ca="1"/>
        <v>8.5279999999999987</v>
      </c>
      <c r="U1107" s="11">
        <f ca="1"/>
        <v>57.07</v>
      </c>
      <c r="V1107" s="11">
        <v>10.52</v>
      </c>
      <c r="W1107" s="11">
        <f ca="1"/>
        <v>0.25</v>
      </c>
      <c r="X1107" s="11">
        <f ca="1"/>
        <v>0.39877104377104378</v>
      </c>
      <c r="Y1107" s="11">
        <v>0</v>
      </c>
      <c r="Z1107" s="11">
        <f ca="1"/>
        <v>45.901228956228955</v>
      </c>
      <c r="AA1107" s="11">
        <f ca="1"/>
        <v>22.950614478114478</v>
      </c>
      <c r="AB1107" s="4">
        <f ca="1"/>
        <v>45755</v>
      </c>
      <c r="AC1107" s="4">
        <v>45755</v>
      </c>
      <c r="AD1107" s="9">
        <v>45762</v>
      </c>
      <c r="AE1107" s="9">
        <v>45763</v>
      </c>
      <c r="AF1107" s="4" t="str">
        <f t="shared" ca="1" si="71"/>
        <v>2025 04</v>
      </c>
      <c r="AG1107" s="8" t="str" cm="1">
        <f t="array" ref="AG1107">IFERROR(_xlfn.IFS('Banco de Dados'!#REF!="AG. COMPRA","Em processamento",'Banco de Dados'!#REF!="AG. RASTREIO","Em processamento",'Banco de Dados'!$AE1107&lt;&gt;"-","Faturado",'Banco de Dados'!$AD1107&lt;&gt;"-","Aguardando Pix",'Banco de Dados'!$AC1107&lt;&gt;"-","Pendente"),"Aguardando Liberação")</f>
        <v>Aguardando Liberação</v>
      </c>
      <c r="AH1107" s="5" t="str">
        <f>IF('Banco de Dados'!$F1107="-",_xlfn.CONCAT(PROPER(TEXT(AK1107,"aaaa"))," ",PROPER(TEXT(AK1107,"mm"))),_xlfn.CONCAT(PROPER(TEXT(E1107,"aaaa"))," ",PROPER(TEXT(E1107,"mm"))))</f>
        <v>2025 03</v>
      </c>
      <c r="AI1107" s="9" t="str">
        <f ca="1">IF('Banco de Dados'!$AK1107&lt;&gt;"-","REEMBOLSO",IFERROR(_xlfn.XLOOKUP(G1107,Follow[CODRASTREIO],Follow[STATUS]),"-"))</f>
        <v>ENTREGUE</v>
      </c>
      <c r="AJ1107" s="9">
        <f ca="1">IF('Banco de Dados'!$AI1107="ENTREGUE",_xlfn.XLOOKUP('Banco de Dados'!$G1107,Follow[CODRASTREIO],Follow[DATAATUALIZAÇÃO]),"-")</f>
        <v>45737</v>
      </c>
      <c r="AK1107" s="132" t="str">
        <f ca="1"/>
        <v>-</v>
      </c>
      <c r="AL1107" s="35"/>
      <c r="AM1107" s="109" cm="1">
        <f t="array" aca="1" ref="AM1107" ca="1">IF('Banco de Dados'!$AK1107&lt;&gt;"-",_xlfn.IFS('Banco de Dados'!$A1107="bv",IF('Banco de Dados'!$E1107&lt;45641,ROUND(SUM('Banco de Dados'!$R1107*_xlfn.XLOOKUP('Banco de Dados'!$P1107,Sku!B:B,Sku!#REF!)*20%),2),ROUND(SUM('Banco de Dados'!$R1107*_xlfn.XLOOKUP('Banco de Dados'!$P1107,Sku!B:B,Sku!H:H)*20%),2)),'Banco de Dados'!$A1107="GO",ROUND(_xlfn.XLOOKUP('Banco de Dados'!$P1107,Sku!C:C,Sku!H:H),2),'Banco de Dados'!$A1107="MEI",ROUND(_xlfn.XLOOKUP('Banco de Dados'!$P1107,Sku!D:D,Sku!H:H),2)),0)</f>
        <v>0</v>
      </c>
      <c r="AN1107" s="109">
        <f ca="1">IF('Banco de Dados'!$AK1107&lt;&gt;"-",IF('Banco de Dados'!$F1107&lt;&gt;"-",_xlfn.XLOOKUP(IFERROR(IFERROR(IFERROR(VALUE(SUBSTITUTE(MID(_xlfn.TEXTAFTER('Banco de Dados'!$F1107,"Data do Pedido:
",1),1,10),"-","/")),VALUE(SUBSTITUTE(MID(_xlfn.TEXTAFTER('Banco de Dados'!$F1107,"Order date:
",1),1,10),"-","/"))),VALUE(SUBSTITUTE(MID(_xlfn.TEXTAFTER('Banco de Dados'!$F1107,"Fecha de pedido:
",1),1,10),"-","/"))),"-"),SMS!A:A,SMS!K:K),0),0)</f>
        <v>0</v>
      </c>
      <c r="AO1107" s="109">
        <f ca="1">IF('Banco de Dados'!$AK1107&lt;&gt;"-",IF('Banco de Dados'!$F1107&lt;&gt;"-",IFERROR(_xlfn.XLOOKUP(_xlfn.CONCAT('Banco de Dados'!$A1107,IFERROR(IFERROR(VALUE(SUBSTITUTE(MID(_xlfn.TEXTAFTER('Banco de Dados'!$F1107,"Data do Pedido:
",1),1,10),"-","/")),VALUE(SUBSTITUTE(MID(_xlfn.TEXTAFTER('Banco de Dados'!$F1107,"Order date:
",1),1,10),"-","/"))),0)),ProxyDD[Chave],ProxyDD[Valor por pedido]),PROXY!$P$2),0),0)</f>
        <v>0</v>
      </c>
      <c r="AP1107" s="28">
        <f ca="1">IF('Banco de Dados'!$AK1107&lt;&gt;"-",IF('Banco de Dados'!$AL1107="NÃO",IFERROR(VALUE(SUBSTITUTE(_xlfn.TEXTAFTER('Banco de Dados'!$F1107,"BRL ",1),".",",")),0),0),0)</f>
        <v>0</v>
      </c>
      <c r="AQ1107" s="28">
        <f ca="1">SUM('Banco de Dados'!$AM1107:$AP1107)</f>
        <v>0</v>
      </c>
      <c r="AR1107" s="8"/>
      <c r="AY1107" s="8"/>
    </row>
    <row r="1108" spans="1:51">
      <c r="A1108" s="5" t="str">
        <v>BV</v>
      </c>
      <c r="B1108" s="5" t="str">
        <f ca="1"/>
        <v>BV45720</v>
      </c>
      <c r="C1108" s="8" t="str">
        <v>Pedido 1095</v>
      </c>
      <c r="D1108" s="9">
        <v>45720</v>
      </c>
      <c r="E1108" s="9">
        <v>45720</v>
      </c>
      <c r="F1108" s="8" t="str">
        <v>PedidoF1074</v>
      </c>
      <c r="G1108" s="2" t="str">
        <v>CódRastreio1072</v>
      </c>
      <c r="H1108" s="5">
        <v>1</v>
      </c>
      <c r="I1108" s="2" t="str">
        <v>CPF 1065</v>
      </c>
      <c r="J1108" s="2" t="str">
        <v>Nome 1065</v>
      </c>
      <c r="K1108" s="8" t="str">
        <v>Tel 1065</v>
      </c>
      <c r="L1108" s="8" t="str">
        <v>Cep 1065</v>
      </c>
      <c r="M1108" s="8" t="str">
        <v>Rua 1065</v>
      </c>
      <c r="N1108" s="8" t="str">
        <v>Comp 1065</v>
      </c>
      <c r="O1108" s="8" t="str">
        <v>Garrafa Termica</v>
      </c>
      <c r="P1108" s="8" t="str">
        <v>FM-QQ8Y-RZT4</v>
      </c>
      <c r="Q1108" s="4">
        <v>45736</v>
      </c>
      <c r="R1108" s="109">
        <v>23.5</v>
      </c>
      <c r="S1108" s="11">
        <f ca="1"/>
        <v>23.5</v>
      </c>
      <c r="T1108" s="28">
        <f ca="1"/>
        <v>3.0550000000000002</v>
      </c>
      <c r="U1108" s="11">
        <f ca="1"/>
        <v>20.45</v>
      </c>
      <c r="V1108" s="11">
        <v>13.8</v>
      </c>
      <c r="W1108" s="11">
        <f ca="1"/>
        <v>0.25</v>
      </c>
      <c r="X1108" s="11">
        <f ca="1"/>
        <v>0.39877104377104378</v>
      </c>
      <c r="Y1108" s="11">
        <v>0</v>
      </c>
      <c r="Z1108" s="11">
        <f ca="1"/>
        <v>6.0012289562289549</v>
      </c>
      <c r="AA1108" s="11">
        <f ca="1"/>
        <v>3.0006144781144775</v>
      </c>
      <c r="AB1108" s="4">
        <f ca="1"/>
        <v>45743</v>
      </c>
      <c r="AC1108" s="4">
        <v>45743</v>
      </c>
      <c r="AD1108" s="9">
        <v>45747</v>
      </c>
      <c r="AE1108" s="9">
        <v>45749</v>
      </c>
      <c r="AF1108" s="4" t="str">
        <f t="shared" ca="1" si="71"/>
        <v>2025 03</v>
      </c>
      <c r="AG1108" s="8" t="str" cm="1">
        <f t="array" ref="AG1108">IFERROR(_xlfn.IFS('Banco de Dados'!#REF!="AG. COMPRA","Em processamento",'Banco de Dados'!#REF!="AG. RASTREIO","Em processamento",'Banco de Dados'!$AE1108&lt;&gt;"-","Faturado",'Banco de Dados'!$AD1108&lt;&gt;"-","Aguardando Pix",'Banco de Dados'!$AC1108&lt;&gt;"-","Pendente"),"Aguardando Liberação")</f>
        <v>Aguardando Liberação</v>
      </c>
      <c r="AH1108" s="5" t="str">
        <f>IF('Banco de Dados'!$F1108="-",_xlfn.CONCAT(PROPER(TEXT(AK1108,"aaaa"))," ",PROPER(TEXT(AK1108,"mm"))),_xlfn.CONCAT(PROPER(TEXT(E1108,"aaaa"))," ",PROPER(TEXT(E1108,"mm"))))</f>
        <v>2025 03</v>
      </c>
      <c r="AI1108" s="9" t="str">
        <f ca="1">IF('Banco de Dados'!$AK1108&lt;&gt;"-","REEMBOLSO",IFERROR(_xlfn.XLOOKUP(G1108,Follow[CODRASTREIO],Follow[STATUS]),"-"))</f>
        <v>ENTREGUE</v>
      </c>
      <c r="AJ1108" s="9">
        <f ca="1">IF('Banco de Dados'!$AI1108="ENTREGUE",_xlfn.XLOOKUP('Banco de Dados'!$G1108,Follow[CODRASTREIO],Follow[DATAATUALIZAÇÃO]),"-")</f>
        <v>45724</v>
      </c>
      <c r="AK1108" s="132" t="str">
        <f ca="1"/>
        <v>-</v>
      </c>
      <c r="AL1108" s="35"/>
      <c r="AM1108" s="109" cm="1">
        <f t="array" aca="1" ref="AM1108" ca="1">IF('Banco de Dados'!$AK1108&lt;&gt;"-",_xlfn.IFS('Banco de Dados'!$A1108="bv",IF('Banco de Dados'!$E1108&lt;45641,ROUND(SUM('Banco de Dados'!$R1108*_xlfn.XLOOKUP('Banco de Dados'!$P1108,Sku!B:B,Sku!#REF!)*20%),2),ROUND(SUM('Banco de Dados'!$R1108*_xlfn.XLOOKUP('Banco de Dados'!$P1108,Sku!B:B,Sku!H:H)*20%),2)),'Banco de Dados'!$A1108="GO",ROUND(_xlfn.XLOOKUP('Banco de Dados'!$P1108,Sku!C:C,Sku!H:H),2),'Banco de Dados'!$A1108="MEI",ROUND(_xlfn.XLOOKUP('Banco de Dados'!$P1108,Sku!D:D,Sku!H:H),2)),0)</f>
        <v>0</v>
      </c>
      <c r="AN1108" s="109">
        <f ca="1">IF('Banco de Dados'!$AK1108&lt;&gt;"-",IF('Banco de Dados'!$F1108&lt;&gt;"-",_xlfn.XLOOKUP(IFERROR(IFERROR(IFERROR(VALUE(SUBSTITUTE(MID(_xlfn.TEXTAFTER('Banco de Dados'!$F1108,"Data do Pedido:
",1),1,10),"-","/")),VALUE(SUBSTITUTE(MID(_xlfn.TEXTAFTER('Banco de Dados'!$F1108,"Order date:
",1),1,10),"-","/"))),VALUE(SUBSTITUTE(MID(_xlfn.TEXTAFTER('Banco de Dados'!$F1108,"Fecha de pedido:
",1),1,10),"-","/"))),"-"),SMS!A:A,SMS!K:K),0),0)</f>
        <v>0</v>
      </c>
      <c r="AO1108" s="109">
        <f ca="1">IF('Banco de Dados'!$AK1108&lt;&gt;"-",IF('Banco de Dados'!$F1108&lt;&gt;"-",IFERROR(_xlfn.XLOOKUP(_xlfn.CONCAT('Banco de Dados'!$A1108,IFERROR(IFERROR(VALUE(SUBSTITUTE(MID(_xlfn.TEXTAFTER('Banco de Dados'!$F1108,"Data do Pedido:
",1),1,10),"-","/")),VALUE(SUBSTITUTE(MID(_xlfn.TEXTAFTER('Banco de Dados'!$F1108,"Order date:
",1),1,10),"-","/"))),0)),ProxyDD[Chave],ProxyDD[Valor por pedido]),PROXY!$P$2),0),0)</f>
        <v>0</v>
      </c>
      <c r="AP1108" s="28">
        <f ca="1">IF('Banco de Dados'!$AK1108&lt;&gt;"-",IF('Banco de Dados'!$AL1108="NÃO",IFERROR(VALUE(SUBSTITUTE(_xlfn.TEXTAFTER('Banco de Dados'!$F1108,"BRL ",1),".",",")),0),0),0)</f>
        <v>0</v>
      </c>
      <c r="AQ1108" s="28">
        <f ca="1">SUM('Banco de Dados'!$AM1108:$AP1108)</f>
        <v>0</v>
      </c>
      <c r="AR1108" s="8"/>
      <c r="AY1108" s="8"/>
    </row>
    <row r="1109" spans="1:51">
      <c r="A1109" s="5" t="str">
        <v>BV</v>
      </c>
      <c r="B1109" s="5" t="str">
        <f ca="1"/>
        <v>BV45721</v>
      </c>
      <c r="C1109" s="8" t="str">
        <v>Pedido 1096</v>
      </c>
      <c r="D1109" s="9">
        <v>45720</v>
      </c>
      <c r="E1109" s="9">
        <v>45721</v>
      </c>
      <c r="F1109" s="8" t="str">
        <v>PedidoF1075</v>
      </c>
      <c r="G1109" s="2" t="str">
        <v>CódRastreio1073</v>
      </c>
      <c r="H1109" s="5">
        <v>1</v>
      </c>
      <c r="I1109" s="2" t="str">
        <v>CPF 1066</v>
      </c>
      <c r="J1109" s="2" t="str">
        <v>Nome 1066</v>
      </c>
      <c r="K1109" s="8" t="str">
        <v>Tel 1066</v>
      </c>
      <c r="L1109" s="8" t="str">
        <v>Cep 1066</v>
      </c>
      <c r="M1109" s="8" t="str">
        <v>Rua 1066</v>
      </c>
      <c r="N1109" s="8" t="str">
        <v>Comp 1066</v>
      </c>
      <c r="O1109" s="8" t="str">
        <v>Lampada Led</v>
      </c>
      <c r="P1109" s="8" t="str">
        <v>RB-W251-UXV2</v>
      </c>
      <c r="Q1109" s="4">
        <v>45736</v>
      </c>
      <c r="R1109" s="109">
        <v>26.99</v>
      </c>
      <c r="S1109" s="11">
        <f ca="1"/>
        <v>26.99</v>
      </c>
      <c r="T1109" s="28">
        <f ca="1"/>
        <v>3.5086999999999997</v>
      </c>
      <c r="U1109" s="11">
        <f ca="1"/>
        <v>23.48</v>
      </c>
      <c r="V1109" s="11">
        <v>13.4</v>
      </c>
      <c r="W1109" s="11">
        <f ca="1"/>
        <v>0.2</v>
      </c>
      <c r="X1109" s="11">
        <f ca="1"/>
        <v>0.39877104377104378</v>
      </c>
      <c r="Y1109" s="11">
        <v>0</v>
      </c>
      <c r="Z1109" s="11">
        <f ca="1"/>
        <v>9.4812289562289571</v>
      </c>
      <c r="AA1109" s="11">
        <f ca="1"/>
        <v>4.7406144781144786</v>
      </c>
      <c r="AB1109" s="4">
        <f ca="1"/>
        <v>45743</v>
      </c>
      <c r="AC1109" s="4">
        <v>45743</v>
      </c>
      <c r="AD1109" s="9">
        <v>45747</v>
      </c>
      <c r="AE1109" s="9">
        <v>45749</v>
      </c>
      <c r="AF1109" s="4" t="str">
        <f t="shared" ca="1" si="71"/>
        <v>2025 03</v>
      </c>
      <c r="AG1109" s="8" t="str" cm="1">
        <f t="array" ref="AG1109">IFERROR(_xlfn.IFS('Banco de Dados'!#REF!="AG. COMPRA","Em processamento",'Banco de Dados'!#REF!="AG. RASTREIO","Em processamento",'Banco de Dados'!$AE1109&lt;&gt;"-","Faturado",'Banco de Dados'!$AD1109&lt;&gt;"-","Aguardando Pix",'Banco de Dados'!$AC1109&lt;&gt;"-","Pendente"),"Aguardando Liberação")</f>
        <v>Aguardando Liberação</v>
      </c>
      <c r="AH1109" s="5" t="str">
        <f>IF('Banco de Dados'!$F1109="-",_xlfn.CONCAT(PROPER(TEXT(AK1109,"aaaa"))," ",PROPER(TEXT(AK1109,"mm"))),_xlfn.CONCAT(PROPER(TEXT(E1109,"aaaa"))," ",PROPER(TEXT(E1109,"mm"))))</f>
        <v>2025 03</v>
      </c>
      <c r="AI1109" s="9" t="str">
        <f ca="1">IF('Banco de Dados'!$AK1109&lt;&gt;"-","REEMBOLSO",IFERROR(_xlfn.XLOOKUP(G1109,Follow[CODRASTREIO],Follow[STATUS]),"-"))</f>
        <v>ENTREGUE</v>
      </c>
      <c r="AJ1109" s="9">
        <f ca="1">IF('Banco de Dados'!$AI1109="ENTREGUE",_xlfn.XLOOKUP('Banco de Dados'!$G1109,Follow[CODRASTREIO],Follow[DATAATUALIZAÇÃO]),"-")</f>
        <v>45729</v>
      </c>
      <c r="AK1109" s="132" t="str">
        <f ca="1"/>
        <v>-</v>
      </c>
      <c r="AL1109" s="35"/>
      <c r="AM1109" s="109" cm="1">
        <f t="array" aca="1" ref="AM1109" ca="1">IF('Banco de Dados'!$AK1109&lt;&gt;"-",_xlfn.IFS('Banco de Dados'!$A1109="bv",IF('Banco de Dados'!$E1109&lt;45641,ROUND(SUM('Banco de Dados'!$R1109*_xlfn.XLOOKUP('Banco de Dados'!$P1109,Sku!B:B,Sku!#REF!)*20%),2),ROUND(SUM('Banco de Dados'!$R1109*_xlfn.XLOOKUP('Banco de Dados'!$P1109,Sku!B:B,Sku!H:H)*20%),2)),'Banco de Dados'!$A1109="GO",ROUND(_xlfn.XLOOKUP('Banco de Dados'!$P1109,Sku!C:C,Sku!H:H),2),'Banco de Dados'!$A1109="MEI",ROUND(_xlfn.XLOOKUP('Banco de Dados'!$P1109,Sku!D:D,Sku!H:H),2)),0)</f>
        <v>0</v>
      </c>
      <c r="AN1109" s="109">
        <f ca="1">IF('Banco de Dados'!$AK1109&lt;&gt;"-",IF('Banco de Dados'!$F1109&lt;&gt;"-",_xlfn.XLOOKUP(IFERROR(IFERROR(IFERROR(VALUE(SUBSTITUTE(MID(_xlfn.TEXTAFTER('Banco de Dados'!$F1109,"Data do Pedido:
",1),1,10),"-","/")),VALUE(SUBSTITUTE(MID(_xlfn.TEXTAFTER('Banco de Dados'!$F1109,"Order date:
",1),1,10),"-","/"))),VALUE(SUBSTITUTE(MID(_xlfn.TEXTAFTER('Banco de Dados'!$F1109,"Fecha de pedido:
",1),1,10),"-","/"))),"-"),SMS!A:A,SMS!K:K),0),0)</f>
        <v>0</v>
      </c>
      <c r="AO1109" s="109">
        <f ca="1">IF('Banco de Dados'!$AK1109&lt;&gt;"-",IF('Banco de Dados'!$F1109&lt;&gt;"-",IFERROR(_xlfn.XLOOKUP(_xlfn.CONCAT('Banco de Dados'!$A1109,IFERROR(IFERROR(VALUE(SUBSTITUTE(MID(_xlfn.TEXTAFTER('Banco de Dados'!$F1109,"Data do Pedido:
",1),1,10),"-","/")),VALUE(SUBSTITUTE(MID(_xlfn.TEXTAFTER('Banco de Dados'!$F1109,"Order date:
",1),1,10),"-","/"))),0)),ProxyDD[Chave],ProxyDD[Valor por pedido]),PROXY!$P$2),0),0)</f>
        <v>0</v>
      </c>
      <c r="AP1109" s="28">
        <f ca="1">IF('Banco de Dados'!$AK1109&lt;&gt;"-",IF('Banco de Dados'!$AL1109="NÃO",IFERROR(VALUE(SUBSTITUTE(_xlfn.TEXTAFTER('Banco de Dados'!$F1109,"BRL ",1),".",",")),0),0),0)</f>
        <v>0</v>
      </c>
      <c r="AQ1109" s="28">
        <f ca="1">SUM('Banco de Dados'!$AM1109:$AP1109)</f>
        <v>0</v>
      </c>
      <c r="AR1109" s="8"/>
      <c r="AY1109" s="8"/>
    </row>
    <row r="1110" spans="1:51">
      <c r="A1110" s="5" t="str">
        <v>BV</v>
      </c>
      <c r="B1110" s="5" t="str">
        <f ca="1"/>
        <v>BV45721</v>
      </c>
      <c r="C1110" s="8" t="str">
        <v>Pedido 1097</v>
      </c>
      <c r="D1110" s="9">
        <v>45720</v>
      </c>
      <c r="E1110" s="9">
        <v>45721</v>
      </c>
      <c r="F1110" s="8" t="str">
        <v>PedidoF1076</v>
      </c>
      <c r="G1110" s="2" t="str">
        <v>CódRastreio1074</v>
      </c>
      <c r="H1110" s="5">
        <v>1</v>
      </c>
      <c r="I1110" s="2" t="str">
        <v>CPF 1067</v>
      </c>
      <c r="J1110" s="2" t="str">
        <v>Nome 1067</v>
      </c>
      <c r="K1110" s="8" t="str">
        <v>Tel 1067</v>
      </c>
      <c r="L1110" s="8" t="str">
        <v>Cep 1067</v>
      </c>
      <c r="M1110" s="8" t="str">
        <v>Rua 1067</v>
      </c>
      <c r="N1110" s="8" t="str">
        <v>Comp 1067</v>
      </c>
      <c r="O1110" s="8" t="str">
        <v>Garrafa Termica</v>
      </c>
      <c r="P1110" s="8" t="str">
        <v>FM-QQ8Y-RZT4</v>
      </c>
      <c r="Q1110" s="4">
        <v>45742</v>
      </c>
      <c r="R1110" s="109">
        <v>23.5</v>
      </c>
      <c r="S1110" s="11">
        <f ca="1"/>
        <v>23.5</v>
      </c>
      <c r="T1110" s="28">
        <f ca="1"/>
        <v>3.0550000000000002</v>
      </c>
      <c r="U1110" s="11">
        <f ca="1"/>
        <v>20.45</v>
      </c>
      <c r="V1110" s="11">
        <v>12.8</v>
      </c>
      <c r="W1110" s="11">
        <f ca="1"/>
        <v>0.2</v>
      </c>
      <c r="X1110" s="11">
        <f ca="1"/>
        <v>0.39877104377104378</v>
      </c>
      <c r="Y1110" s="11">
        <v>0</v>
      </c>
      <c r="Z1110" s="11">
        <f ca="1"/>
        <v>7.0512289562289556</v>
      </c>
      <c r="AA1110" s="11">
        <f ca="1"/>
        <v>3.5256144781144778</v>
      </c>
      <c r="AB1110" s="4">
        <f ca="1"/>
        <v>45749</v>
      </c>
      <c r="AC1110" s="4">
        <v>45749</v>
      </c>
      <c r="AD1110" s="9">
        <v>45762</v>
      </c>
      <c r="AE1110" s="9">
        <v>45763</v>
      </c>
      <c r="AF1110" s="4" t="str">
        <f t="shared" ca="1" si="71"/>
        <v>2025 04</v>
      </c>
      <c r="AG1110" s="8" t="str" cm="1">
        <f t="array" ref="AG1110">IFERROR(_xlfn.IFS('Banco de Dados'!#REF!="AG. COMPRA","Em processamento",'Banco de Dados'!#REF!="AG. RASTREIO","Em processamento",'Banco de Dados'!$AE1110&lt;&gt;"-","Faturado",'Banco de Dados'!$AD1110&lt;&gt;"-","Aguardando Pix",'Banco de Dados'!$AC1110&lt;&gt;"-","Pendente"),"Aguardando Liberação")</f>
        <v>Aguardando Liberação</v>
      </c>
      <c r="AH1110" s="5" t="str">
        <f>IF('Banco de Dados'!$F1110="-",_xlfn.CONCAT(PROPER(TEXT(AK1110,"aaaa"))," ",PROPER(TEXT(AK1110,"mm"))),_xlfn.CONCAT(PROPER(TEXT(E1110,"aaaa"))," ",PROPER(TEXT(E1110,"mm"))))</f>
        <v>2025 03</v>
      </c>
      <c r="AI1110" s="9" t="str">
        <f ca="1">IF('Banco de Dados'!$AK1110&lt;&gt;"-","REEMBOLSO",IFERROR(_xlfn.XLOOKUP(G1110,Follow[CODRASTREIO],Follow[STATUS]),"-"))</f>
        <v>ENTREGUE</v>
      </c>
      <c r="AJ1110" s="9">
        <f ca="1">IF('Banco de Dados'!$AI1110="ENTREGUE",_xlfn.XLOOKUP('Banco de Dados'!$G1110,Follow[CODRASTREIO],Follow[DATAATUALIZAÇÃO]),"-")</f>
        <v>45733</v>
      </c>
      <c r="AK1110" s="132" t="str">
        <f ca="1"/>
        <v>-</v>
      </c>
      <c r="AL1110" s="35"/>
      <c r="AM1110" s="109" cm="1">
        <f t="array" aca="1" ref="AM1110" ca="1">IF('Banco de Dados'!$AK1110&lt;&gt;"-",_xlfn.IFS('Banco de Dados'!$A1110="bv",IF('Banco de Dados'!$E1110&lt;45641,ROUND(SUM('Banco de Dados'!$R1110*_xlfn.XLOOKUP('Banco de Dados'!$P1110,Sku!B:B,Sku!#REF!)*20%),2),ROUND(SUM('Banco de Dados'!$R1110*_xlfn.XLOOKUP('Banco de Dados'!$P1110,Sku!B:B,Sku!H:H)*20%),2)),'Banco de Dados'!$A1110="GO",ROUND(_xlfn.XLOOKUP('Banco de Dados'!$P1110,Sku!C:C,Sku!H:H),2),'Banco de Dados'!$A1110="MEI",ROUND(_xlfn.XLOOKUP('Banco de Dados'!$P1110,Sku!D:D,Sku!H:H),2)),0)</f>
        <v>0</v>
      </c>
      <c r="AN1110" s="109">
        <f ca="1">IF('Banco de Dados'!$AK1110&lt;&gt;"-",IF('Banco de Dados'!$F1110&lt;&gt;"-",_xlfn.XLOOKUP(IFERROR(IFERROR(IFERROR(VALUE(SUBSTITUTE(MID(_xlfn.TEXTAFTER('Banco de Dados'!$F1110,"Data do Pedido:
",1),1,10),"-","/")),VALUE(SUBSTITUTE(MID(_xlfn.TEXTAFTER('Banco de Dados'!$F1110,"Order date:
",1),1,10),"-","/"))),VALUE(SUBSTITUTE(MID(_xlfn.TEXTAFTER('Banco de Dados'!$F1110,"Fecha de pedido:
",1),1,10),"-","/"))),"-"),SMS!A:A,SMS!K:K),0),0)</f>
        <v>0</v>
      </c>
      <c r="AO1110" s="109">
        <f ca="1">IF('Banco de Dados'!$AK1110&lt;&gt;"-",IF('Banco de Dados'!$F1110&lt;&gt;"-",IFERROR(_xlfn.XLOOKUP(_xlfn.CONCAT('Banco de Dados'!$A1110,IFERROR(IFERROR(VALUE(SUBSTITUTE(MID(_xlfn.TEXTAFTER('Banco de Dados'!$F1110,"Data do Pedido:
",1),1,10),"-","/")),VALUE(SUBSTITUTE(MID(_xlfn.TEXTAFTER('Banco de Dados'!$F1110,"Order date:
",1),1,10),"-","/"))),0)),ProxyDD[Chave],ProxyDD[Valor por pedido]),PROXY!$P$2),0),0)</f>
        <v>0</v>
      </c>
      <c r="AP1110" s="28">
        <f ca="1">IF('Banco de Dados'!$AK1110&lt;&gt;"-",IF('Banco de Dados'!$AL1110="NÃO",IFERROR(VALUE(SUBSTITUTE(_xlfn.TEXTAFTER('Banco de Dados'!$F1110,"BRL ",1),".",",")),0),0),0)</f>
        <v>0</v>
      </c>
      <c r="AQ1110" s="28">
        <f ca="1">SUM('Banco de Dados'!$AM1110:$AP1110)</f>
        <v>0</v>
      </c>
      <c r="AR1110" s="8"/>
      <c r="AY1110" s="8"/>
    </row>
    <row r="1111" spans="1:51">
      <c r="A1111" s="5" t="str">
        <v>BV</v>
      </c>
      <c r="B1111" s="5" t="str">
        <f ca="1"/>
        <v>BV45721</v>
      </c>
      <c r="C1111" s="8" t="str">
        <v>Pedido 1098</v>
      </c>
      <c r="D1111" s="9">
        <v>45720</v>
      </c>
      <c r="E1111" s="9">
        <v>45721</v>
      </c>
      <c r="F1111" s="8" t="str">
        <v>PedidoF1077</v>
      </c>
      <c r="G1111" s="2" t="str">
        <v>CódRastreio1075</v>
      </c>
      <c r="H1111" s="5">
        <v>1</v>
      </c>
      <c r="I1111" s="2" t="str">
        <v>CPF 1068</v>
      </c>
      <c r="J1111" s="2" t="str">
        <v>Nome 1068</v>
      </c>
      <c r="K1111" s="8" t="str">
        <v>Tel 1068</v>
      </c>
      <c r="L1111" s="8" t="str">
        <v>Cep 1068</v>
      </c>
      <c r="M1111" s="8" t="str">
        <v>Rua 1068</v>
      </c>
      <c r="N1111" s="8" t="str">
        <v>Comp 1068</v>
      </c>
      <c r="O1111" s="8" t="str">
        <v>Karaoke portátil</v>
      </c>
      <c r="P1111" s="8" t="str">
        <v>08-PAJ9-YM9P</v>
      </c>
      <c r="Q1111" s="4">
        <v>45748</v>
      </c>
      <c r="R1111" s="109">
        <v>55.99</v>
      </c>
      <c r="S1111" s="11">
        <f ca="1"/>
        <v>0</v>
      </c>
      <c r="T1111" s="28">
        <f ca="1"/>
        <v>0</v>
      </c>
      <c r="U1111" s="11">
        <f ca="1"/>
        <v>0</v>
      </c>
      <c r="V1111" s="11">
        <v>0</v>
      </c>
      <c r="W1111" s="11">
        <f ca="1"/>
        <v>0</v>
      </c>
      <c r="X1111" s="11">
        <f ca="1"/>
        <v>0.39877104377104378</v>
      </c>
      <c r="Y1111" s="11">
        <v>0</v>
      </c>
      <c r="Z1111" s="11">
        <f ca="1"/>
        <v>-0.39877104377104378</v>
      </c>
      <c r="AA1111" s="11">
        <f ca="1"/>
        <v>-0.19938552188552189</v>
      </c>
      <c r="AB1111" s="4">
        <f ca="1"/>
        <v>45755</v>
      </c>
      <c r="AC1111" s="4">
        <v>45755</v>
      </c>
      <c r="AD1111" s="9">
        <v>45762</v>
      </c>
      <c r="AE1111" s="9">
        <v>45763</v>
      </c>
      <c r="AF1111" s="4" t="str">
        <f t="shared" ca="1" si="71"/>
        <v>2025 04</v>
      </c>
      <c r="AG1111" s="8" t="str" cm="1">
        <f t="array" ref="AG1111">IFERROR(_xlfn.IFS('Banco de Dados'!#REF!="AG. COMPRA","Em processamento",'Banco de Dados'!#REF!="AG. RASTREIO","Em processamento",'Banco de Dados'!$AE1111&lt;&gt;"-","Faturado",'Banco de Dados'!$AD1111&lt;&gt;"-","Aguardando Pix",'Banco de Dados'!$AC1111&lt;&gt;"-","Pendente"),"Aguardando Liberação")</f>
        <v>Aguardando Liberação</v>
      </c>
      <c r="AH1111" s="5" t="str">
        <f>IF('Banco de Dados'!$F1111="-",_xlfn.CONCAT(PROPER(TEXT(AK1111,"aaaa"))," ",PROPER(TEXT(AK1111,"mm"))),_xlfn.CONCAT(PROPER(TEXT(E1111,"aaaa"))," ",PROPER(TEXT(E1111,"mm"))))</f>
        <v>2025 03</v>
      </c>
      <c r="AI1111" s="9" t="str">
        <f ca="1">IF('Banco de Dados'!$AK1111&lt;&gt;"-","REEMBOLSO",IFERROR(_xlfn.XLOOKUP(G1111,Follow[CODRASTREIO],Follow[STATUS]),"-"))</f>
        <v>REEMBOLSO</v>
      </c>
      <c r="AJ1111" s="9" t="str">
        <f ca="1">IF('Banco de Dados'!$AI1111="ENTREGUE",_xlfn.XLOOKUP('Banco de Dados'!$G1111,Follow[CODRASTREIO],Follow[DATAATUALIZAÇÃO]),"-")</f>
        <v>-</v>
      </c>
      <c r="AK1111" s="132">
        <f ca="1"/>
        <v>45751</v>
      </c>
      <c r="AL1111" s="35"/>
      <c r="AM1111" s="109" cm="1">
        <f t="array" aca="1" ref="AM1111" ca="1">IF('Banco de Dados'!$AK1111&lt;&gt;"-",_xlfn.IFS('Banco de Dados'!$A1111="bv",IF('Banco de Dados'!$E1111&lt;45641,ROUND(SUM('Banco de Dados'!$R1111*_xlfn.XLOOKUP('Banco de Dados'!$P1111,Sku!B:B,Sku!#REF!)*20%),2),ROUND(SUM('Banco de Dados'!$R1111*_xlfn.XLOOKUP('Banco de Dados'!$P1111,Sku!B:B,Sku!H:H)*20%),2)),'Banco de Dados'!$A1111="GO",ROUND(_xlfn.XLOOKUP('Banco de Dados'!$P1111,Sku!C:C,Sku!H:H),2),'Banco de Dados'!$A1111="MEI",ROUND(_xlfn.XLOOKUP('Banco de Dados'!$P1111,Sku!D:D,Sku!H:H),2)),0)</f>
        <v>1.68</v>
      </c>
      <c r="AN1111" s="109" t="e">
        <f ca="1">IF('Banco de Dados'!$AK1111&lt;&gt;"-",IF('Banco de Dados'!$F1111&lt;&gt;"-",_xlfn.XLOOKUP(IFERROR(IFERROR(IFERROR(VALUE(SUBSTITUTE(MID(_xlfn.TEXTAFTER('Banco de Dados'!$F1111,"Data do Pedido:
",1),1,10),"-","/")),VALUE(SUBSTITUTE(MID(_xlfn.TEXTAFTER('Banco de Dados'!$F1111,"Order date:
",1),1,10),"-","/"))),VALUE(SUBSTITUTE(MID(_xlfn.TEXTAFTER('Banco de Dados'!$F1111,"Fecha de pedido:
",1),1,10),"-","/"))),"-"),SMS!A:A,SMS!K:K),0),0)</f>
        <v>#N/A</v>
      </c>
      <c r="AO1111" s="109">
        <f ca="1">IF('Banco de Dados'!$AK1111&lt;&gt;"-",IF('Banco de Dados'!$F1111&lt;&gt;"-",IFERROR(_xlfn.XLOOKUP(_xlfn.CONCAT('Banco de Dados'!$A1111,IFERROR(IFERROR(VALUE(SUBSTITUTE(MID(_xlfn.TEXTAFTER('Banco de Dados'!$F1111,"Data do Pedido:
",1),1,10),"-","/")),VALUE(SUBSTITUTE(MID(_xlfn.TEXTAFTER('Banco de Dados'!$F1111,"Order date:
",1),1,10),"-","/"))),0)),ProxyDD[Chave],ProxyDD[Valor por pedido]),PROXY!$P$2),0),0)</f>
        <v>0.39877104377104378</v>
      </c>
      <c r="AP1111" s="28">
        <f ca="1">IF('Banco de Dados'!$AK1111&lt;&gt;"-",IF('Banco de Dados'!$AL1111="NÃO",IFERROR(VALUE(SUBSTITUTE(_xlfn.TEXTAFTER('Banco de Dados'!$F1111,"BRL ",1),".",",")),0),0),0)</f>
        <v>0</v>
      </c>
      <c r="AQ1111" s="28" t="e">
        <f ca="1">SUM('Banco de Dados'!$AM1111:$AP1111)</f>
        <v>#N/A</v>
      </c>
      <c r="AR1111" s="8"/>
      <c r="AY1111" s="8"/>
    </row>
    <row r="1112" spans="1:51">
      <c r="A1112" s="5" t="str">
        <v>BV</v>
      </c>
      <c r="B1112" s="5" t="str">
        <f ca="1"/>
        <v>BV45721</v>
      </c>
      <c r="C1112" s="8" t="str">
        <v>Pedido 1099</v>
      </c>
      <c r="D1112" s="9">
        <v>45720</v>
      </c>
      <c r="E1112" s="9">
        <v>45721</v>
      </c>
      <c r="F1112" s="8" t="str">
        <v>PedidoF1078</v>
      </c>
      <c r="G1112" s="2" t="str">
        <v>CódRastreio1076</v>
      </c>
      <c r="H1112" s="5">
        <v>1</v>
      </c>
      <c r="I1112" s="2" t="str">
        <v>CPF 1069</v>
      </c>
      <c r="J1112" s="2" t="str">
        <v>Nome 1069</v>
      </c>
      <c r="K1112" s="8" t="str">
        <v>Tel 1069</v>
      </c>
      <c r="L1112" s="8" t="str">
        <v>Cep 1069</v>
      </c>
      <c r="M1112" s="8" t="str">
        <v>Rua 1069</v>
      </c>
      <c r="N1112" s="8" t="str">
        <v>Comp 1069</v>
      </c>
      <c r="O1112" s="8" t="str">
        <v>Karaoke portátil</v>
      </c>
      <c r="P1112" s="8" t="str">
        <v>08-PAJ9-YM9P</v>
      </c>
      <c r="Q1112" s="4">
        <v>45748</v>
      </c>
      <c r="R1112" s="109">
        <v>55.99</v>
      </c>
      <c r="S1112" s="11">
        <f ca="1"/>
        <v>0</v>
      </c>
      <c r="T1112" s="28">
        <f ca="1"/>
        <v>0</v>
      </c>
      <c r="U1112" s="11">
        <f ca="1"/>
        <v>0</v>
      </c>
      <c r="V1112" s="11">
        <v>0</v>
      </c>
      <c r="W1112" s="11">
        <f ca="1"/>
        <v>0</v>
      </c>
      <c r="X1112" s="11">
        <f ca="1"/>
        <v>0.39877104377104378</v>
      </c>
      <c r="Y1112" s="11">
        <v>0</v>
      </c>
      <c r="Z1112" s="11">
        <f ca="1"/>
        <v>-0.39877104377104378</v>
      </c>
      <c r="AA1112" s="11">
        <f ca="1"/>
        <v>-0.19938552188552189</v>
      </c>
      <c r="AB1112" s="4">
        <f ca="1"/>
        <v>45755</v>
      </c>
      <c r="AC1112" s="4">
        <v>45755</v>
      </c>
      <c r="AD1112" s="9">
        <v>45762</v>
      </c>
      <c r="AE1112" s="9">
        <v>45763</v>
      </c>
      <c r="AF1112" s="4" t="str">
        <f t="shared" ca="1" si="71"/>
        <v>2025 04</v>
      </c>
      <c r="AG1112" s="8" t="str" cm="1">
        <f t="array" ref="AG1112">IFERROR(_xlfn.IFS('Banco de Dados'!#REF!="AG. COMPRA","Em processamento",'Banco de Dados'!#REF!="AG. RASTREIO","Em processamento",'Banco de Dados'!$AE1112&lt;&gt;"-","Faturado",'Banco de Dados'!$AD1112&lt;&gt;"-","Aguardando Pix",'Banco de Dados'!$AC1112&lt;&gt;"-","Pendente"),"Aguardando Liberação")</f>
        <v>Aguardando Liberação</v>
      </c>
      <c r="AH1112" s="5" t="str">
        <f>IF('Banco de Dados'!$F1112="-",_xlfn.CONCAT(PROPER(TEXT(AK1112,"aaaa"))," ",PROPER(TEXT(AK1112,"mm"))),_xlfn.CONCAT(PROPER(TEXT(E1112,"aaaa"))," ",PROPER(TEXT(E1112,"mm"))))</f>
        <v>2025 03</v>
      </c>
      <c r="AI1112" s="9" t="str">
        <f ca="1">IF('Banco de Dados'!$AK1112&lt;&gt;"-","REEMBOLSO",IFERROR(_xlfn.XLOOKUP(G1112,Follow[CODRASTREIO],Follow[STATUS]),"-"))</f>
        <v>REEMBOLSO</v>
      </c>
      <c r="AJ1112" s="9" t="str">
        <f ca="1">IF('Banco de Dados'!$AI1112="ENTREGUE",_xlfn.XLOOKUP('Banco de Dados'!$G1112,Follow[CODRASTREIO],Follow[DATAATUALIZAÇÃO]),"-")</f>
        <v>-</v>
      </c>
      <c r="AK1112" s="132">
        <f ca="1"/>
        <v>45754</v>
      </c>
      <c r="AL1112" s="35"/>
      <c r="AM1112" s="109" cm="1">
        <f t="array" aca="1" ref="AM1112" ca="1">IF('Banco de Dados'!$AK1112&lt;&gt;"-",_xlfn.IFS('Banco de Dados'!$A1112="bv",IF('Banco de Dados'!$E1112&lt;45641,ROUND(SUM('Banco de Dados'!$R1112*_xlfn.XLOOKUP('Banco de Dados'!$P1112,Sku!B:B,Sku!#REF!)*20%),2),ROUND(SUM('Banco de Dados'!$R1112*_xlfn.XLOOKUP('Banco de Dados'!$P1112,Sku!B:B,Sku!H:H)*20%),2)),'Banco de Dados'!$A1112="GO",ROUND(_xlfn.XLOOKUP('Banco de Dados'!$P1112,Sku!C:C,Sku!H:H),2),'Banco de Dados'!$A1112="MEI",ROUND(_xlfn.XLOOKUP('Banco de Dados'!$P1112,Sku!D:D,Sku!H:H),2)),0)</f>
        <v>1.68</v>
      </c>
      <c r="AN1112" s="109" t="e">
        <f ca="1">IF('Banco de Dados'!$AK1112&lt;&gt;"-",IF('Banco de Dados'!$F1112&lt;&gt;"-",_xlfn.XLOOKUP(IFERROR(IFERROR(IFERROR(VALUE(SUBSTITUTE(MID(_xlfn.TEXTAFTER('Banco de Dados'!$F1112,"Data do Pedido:
",1),1,10),"-","/")),VALUE(SUBSTITUTE(MID(_xlfn.TEXTAFTER('Banco de Dados'!$F1112,"Order date:
",1),1,10),"-","/"))),VALUE(SUBSTITUTE(MID(_xlfn.TEXTAFTER('Banco de Dados'!$F1112,"Fecha de pedido:
",1),1,10),"-","/"))),"-"),SMS!A:A,SMS!K:K),0),0)</f>
        <v>#N/A</v>
      </c>
      <c r="AO1112" s="109">
        <f ca="1">IF('Banco de Dados'!$AK1112&lt;&gt;"-",IF('Banco de Dados'!$F1112&lt;&gt;"-",IFERROR(_xlfn.XLOOKUP(_xlfn.CONCAT('Banco de Dados'!$A1112,IFERROR(IFERROR(VALUE(SUBSTITUTE(MID(_xlfn.TEXTAFTER('Banco de Dados'!$F1112,"Data do Pedido:
",1),1,10),"-","/")),VALUE(SUBSTITUTE(MID(_xlfn.TEXTAFTER('Banco de Dados'!$F1112,"Order date:
",1),1,10),"-","/"))),0)),ProxyDD[Chave],ProxyDD[Valor por pedido]),PROXY!$P$2),0),0)</f>
        <v>0.39877104377104378</v>
      </c>
      <c r="AP1112" s="28">
        <f ca="1">IF('Banco de Dados'!$AK1112&lt;&gt;"-",IF('Banco de Dados'!$AL1112="NÃO",IFERROR(VALUE(SUBSTITUTE(_xlfn.TEXTAFTER('Banco de Dados'!$F1112,"BRL ",1),".",",")),0),0),0)</f>
        <v>0</v>
      </c>
      <c r="AQ1112" s="28" t="e">
        <f ca="1">SUM('Banco de Dados'!$AM1112:$AP1112)</f>
        <v>#N/A</v>
      </c>
      <c r="AR1112" s="8"/>
      <c r="AY1112" s="8"/>
    </row>
    <row r="1113" spans="1:51">
      <c r="A1113" s="5" t="str">
        <v>MEI</v>
      </c>
      <c r="B1113" s="5" t="str">
        <f ca="1"/>
        <v>MEI45721</v>
      </c>
      <c r="C1113" s="8" t="str">
        <v>Pedido 1100</v>
      </c>
      <c r="D1113" s="187">
        <v>45720</v>
      </c>
      <c r="E1113" s="9">
        <v>45721</v>
      </c>
      <c r="F1113" s="8" t="str">
        <v>PedidoF1079</v>
      </c>
      <c r="G1113" s="2" t="str">
        <v>CódRastreio1077</v>
      </c>
      <c r="H1113" s="5">
        <v>1</v>
      </c>
      <c r="I1113" s="2" t="str">
        <v>CPF 1070</v>
      </c>
      <c r="J1113" s="2" t="str">
        <v>Nome 1070</v>
      </c>
      <c r="K1113" s="8" t="str">
        <v>Tel 1070</v>
      </c>
      <c r="L1113" s="8" t="str">
        <v>Cep 1070</v>
      </c>
      <c r="M1113" s="8" t="str">
        <v>Rua 1070</v>
      </c>
      <c r="N1113" s="8" t="str">
        <v>Comp 1070</v>
      </c>
      <c r="O1113" s="8" t="str">
        <v>Mini Liquidificador</v>
      </c>
      <c r="P1113" s="8" t="str">
        <v>A4-5W51-K3HF</v>
      </c>
      <c r="Q1113" s="4">
        <v>45742</v>
      </c>
      <c r="R1113" s="109">
        <v>30.95</v>
      </c>
      <c r="S1113" s="11">
        <f ca="1"/>
        <v>30.95</v>
      </c>
      <c r="T1113" s="28">
        <f ca="1"/>
        <v>4.3330000000000002</v>
      </c>
      <c r="U1113" s="11">
        <f ca="1"/>
        <v>26.62</v>
      </c>
      <c r="V1113" s="11">
        <v>13.99</v>
      </c>
      <c r="W1113" s="11">
        <f ca="1"/>
        <v>0.15</v>
      </c>
      <c r="X1113" s="11">
        <f ca="1"/>
        <v>0.39877104377104378</v>
      </c>
      <c r="Y1113" s="11">
        <v>0</v>
      </c>
      <c r="Z1113" s="11">
        <f ca="1"/>
        <v>12.081228956228957</v>
      </c>
      <c r="AA1113" s="11">
        <f ca="1"/>
        <v>6.0406144781144784</v>
      </c>
      <c r="AB1113" s="4">
        <f ca="1"/>
        <v>45749</v>
      </c>
      <c r="AC1113" s="4">
        <v>45749</v>
      </c>
      <c r="AD1113" s="9">
        <v>45762</v>
      </c>
      <c r="AE1113" s="9">
        <v>45763</v>
      </c>
      <c r="AF1113" s="4" t="str">
        <f t="shared" ca="1" si="71"/>
        <v>2025 04</v>
      </c>
      <c r="AG1113" s="8" t="str" cm="1">
        <f t="array" ref="AG1113">IFERROR(_xlfn.IFS('Banco de Dados'!#REF!="AG. COMPRA","Em processamento",'Banco de Dados'!#REF!="AG. RASTREIO","Em processamento",'Banco de Dados'!$AE1113&lt;&gt;"-","Faturado",'Banco de Dados'!$AD1113&lt;&gt;"-","Aguardando Pix",'Banco de Dados'!$AC1113&lt;&gt;"-","Pendente"),"Aguardando Liberação")</f>
        <v>Aguardando Liberação</v>
      </c>
      <c r="AH1113" s="5" t="str">
        <f>IF('Banco de Dados'!$F1113="-",_xlfn.CONCAT(PROPER(TEXT(AK1113,"aaaa"))," ",PROPER(TEXT(AK1113,"mm"))),_xlfn.CONCAT(PROPER(TEXT(E1113,"aaaa"))," ",PROPER(TEXT(E1113,"mm"))))</f>
        <v>2025 03</v>
      </c>
      <c r="AI1113" s="9" t="str">
        <f ca="1">IF('Banco de Dados'!$AK1113&lt;&gt;"-","REEMBOLSO",IFERROR(_xlfn.XLOOKUP(G1113,Follow[CODRASTREIO],Follow[STATUS]),"-"))</f>
        <v>ENTREGUE</v>
      </c>
      <c r="AJ1113" s="9">
        <f ca="1">IF('Banco de Dados'!$AI1113="ENTREGUE",_xlfn.XLOOKUP('Banco de Dados'!$G1113,Follow[CODRASTREIO],Follow[DATAATUALIZAÇÃO]),"-")</f>
        <v>45734</v>
      </c>
      <c r="AK1113" s="132" t="str">
        <f ca="1"/>
        <v>-</v>
      </c>
      <c r="AL1113" s="35"/>
      <c r="AM1113" s="109" cm="1">
        <f t="array" aca="1" ref="AM1113" ca="1">IF('Banco de Dados'!$AK1113&lt;&gt;"-",_xlfn.IFS('Banco de Dados'!$A1113="bv",IF('Banco de Dados'!$E1113&lt;45641,ROUND(SUM('Banco de Dados'!$R1113*_xlfn.XLOOKUP('Banco de Dados'!$P1113,Sku!B:B,Sku!#REF!)*20%),2),ROUND(SUM('Banco de Dados'!$R1113*_xlfn.XLOOKUP('Banco de Dados'!$P1113,Sku!B:B,Sku!H:H)*20%),2)),'Banco de Dados'!$A1113="GO",ROUND(SUM('Banco de Dados'!$R1113*_xlfn.XLOOKUP('Banco de Dados'!$P1113,Sku!C:C,Sku!H:H)*20%),2),'Banco de Dados'!$A1113="MEI",ROUND(SUM('Banco de Dados'!$R1113*_xlfn.XLOOKUP('Banco de Dados'!$P1113,Sku!D:D,Sku!H:H)*20%),2)),0)</f>
        <v>0</v>
      </c>
      <c r="AN1113" s="109">
        <f ca="1">IF('Banco de Dados'!$AK1113&lt;&gt;"-",IF('Banco de Dados'!$F1113&lt;&gt;"-",_xlfn.XLOOKUP(IFERROR(IFERROR(IFERROR(VALUE(SUBSTITUTE(MID(_xlfn.TEXTAFTER('Banco de Dados'!$F1113,"Data do Pedido:
",1),1,10),"-","/")),VALUE(SUBSTITUTE(MID(_xlfn.TEXTAFTER('Banco de Dados'!$F1113,"Order date:
",1),1,10),"-","/"))),VALUE(SUBSTITUTE(MID(_xlfn.TEXTAFTER('Banco de Dados'!$F1113,"Fecha de pedido:
",1),1,10),"-","/"))),"-"),SMS!A:A,SMS!K:K),0),0)</f>
        <v>0</v>
      </c>
      <c r="AO1113" s="109">
        <f ca="1">IF('Banco de Dados'!$AK1113&lt;&gt;"-",IF('Banco de Dados'!$F1113&lt;&gt;"-",IFERROR(_xlfn.XLOOKUP(_xlfn.CONCAT('Banco de Dados'!$A1113,IFERROR(IFERROR(VALUE(SUBSTITUTE(MID(_xlfn.TEXTAFTER('Banco de Dados'!$F1113,"Data do Pedido:
",1),1,10),"-","/")),VALUE(SUBSTITUTE(MID(_xlfn.TEXTAFTER('Banco de Dados'!$F1113,"Order date:
",1),1,10),"-","/"))),0)),ProxyDD[Chave],ProxyDD[Valor por pedido]),PROXY!$P$2),0),0)</f>
        <v>0</v>
      </c>
      <c r="AP1113" s="28">
        <f ca="1">IF('Banco de Dados'!$AK1113&lt;&gt;"-",IF('Banco de Dados'!$AL1113="NÃO",IFERROR(VALUE(SUBSTITUTE(_xlfn.TEXTAFTER('Banco de Dados'!$F1113,"BRL ",1),".",",")),0),0),0)</f>
        <v>0</v>
      </c>
      <c r="AQ1113" s="28">
        <f ca="1">SUM('Banco de Dados'!$AM1113:$AP1113)</f>
        <v>0</v>
      </c>
      <c r="AR1113" s="8"/>
      <c r="AY1113" s="8"/>
    </row>
    <row r="1114" spans="1:51">
      <c r="A1114" s="5" t="str">
        <v>GO</v>
      </c>
      <c r="B1114" s="5" t="str">
        <f ca="1"/>
        <v>GO45721</v>
      </c>
      <c r="C1114" s="8" t="str">
        <v>Pedido 1101</v>
      </c>
      <c r="D1114" s="187">
        <v>45720</v>
      </c>
      <c r="E1114" s="9">
        <v>45721</v>
      </c>
      <c r="F1114" s="8" t="str">
        <v>PedidoF1080</v>
      </c>
      <c r="G1114" s="2" t="str">
        <v>CódRastreio1078</v>
      </c>
      <c r="H1114" s="5">
        <v>1</v>
      </c>
      <c r="I1114" s="2" t="str">
        <v>CPF 1017</v>
      </c>
      <c r="J1114" s="2" t="str">
        <v>Nome 1017</v>
      </c>
      <c r="K1114" s="8" t="str">
        <v>Tel 1017</v>
      </c>
      <c r="L1114" s="8" t="str">
        <v>Cep 1017</v>
      </c>
      <c r="M1114" s="8" t="str">
        <v>Rua 1017</v>
      </c>
      <c r="N1114" s="8" t="str">
        <v>Comp 1017</v>
      </c>
      <c r="O1114" s="8" t="str">
        <v>Ventilador Preto</v>
      </c>
      <c r="P1114" s="8" t="str">
        <v>EP-9PIR-BWXH</v>
      </c>
      <c r="Q1114" s="4">
        <v>45748</v>
      </c>
      <c r="R1114" s="109">
        <v>70.989999999999995</v>
      </c>
      <c r="S1114" s="11">
        <f ca="1"/>
        <v>70.989999999999995</v>
      </c>
      <c r="T1114" s="28">
        <f ca="1"/>
        <v>9.2286999999999999</v>
      </c>
      <c r="U1114" s="11">
        <f ca="1"/>
        <v>61.76</v>
      </c>
      <c r="V1114" s="11">
        <v>14.7</v>
      </c>
      <c r="W1114" s="11">
        <f ca="1"/>
        <v>0.15</v>
      </c>
      <c r="X1114" s="11">
        <f ca="1"/>
        <v>0.39877104377104378</v>
      </c>
      <c r="Y1114" s="11">
        <v>0</v>
      </c>
      <c r="Z1114" s="11">
        <f ca="1"/>
        <v>46.511228956228955</v>
      </c>
      <c r="AA1114" s="11">
        <f ca="1"/>
        <v>46.511228956228955</v>
      </c>
      <c r="AB1114" s="4">
        <f ca="1"/>
        <v>45755</v>
      </c>
      <c r="AC1114" s="4">
        <v>45755</v>
      </c>
      <c r="AD1114" s="9">
        <v>45762</v>
      </c>
      <c r="AE1114" s="9">
        <v>45763</v>
      </c>
      <c r="AF1114" s="4" t="str">
        <f t="shared" ca="1" si="71"/>
        <v>2025 04</v>
      </c>
      <c r="AG1114" s="8" t="str" cm="1">
        <f t="array" ref="AG1114">IFERROR(_xlfn.IFS('Banco de Dados'!#REF!="AG. COMPRA","Em processamento",'Banco de Dados'!#REF!="AG. RASTREIO","Em processamento",'Banco de Dados'!$AE1114&lt;&gt;"-","Faturado",'Banco de Dados'!$AD1114&lt;&gt;"-","Aguardando Pix",'Banco de Dados'!$AC1114&lt;&gt;"-","Pendente"),"Aguardando Liberação")</f>
        <v>Aguardando Liberação</v>
      </c>
      <c r="AH1114" s="5" t="str">
        <f>IF('Banco de Dados'!$F1114="-",_xlfn.CONCAT(PROPER(TEXT(AK1114,"aaaa"))," ",PROPER(TEXT(AK1114,"mm"))),_xlfn.CONCAT(PROPER(TEXT(E1114,"aaaa"))," ",PROPER(TEXT(E1114,"mm"))))</f>
        <v>2025 03</v>
      </c>
      <c r="AI1114" s="9" t="str">
        <f ca="1">IF('Banco de Dados'!$AK1114&lt;&gt;"-","REEMBOLSO",IFERROR(_xlfn.XLOOKUP(G1114,Follow[CODRASTREIO],Follow[STATUS]),"-"))</f>
        <v>ENTREGUE</v>
      </c>
      <c r="AJ1114" s="9">
        <f ca="1">IF('Banco de Dados'!$AI1114="ENTREGUE",_xlfn.XLOOKUP('Banco de Dados'!$G1114,Follow[CODRASTREIO],Follow[DATAATUALIZAÇÃO]),"-")</f>
        <v>45735</v>
      </c>
      <c r="AK1114" s="132" t="str">
        <f ca="1"/>
        <v>-</v>
      </c>
      <c r="AL1114" s="35"/>
      <c r="AM1114" s="109" cm="1">
        <f t="array" aca="1" ref="AM1114" ca="1">IF('Banco de Dados'!$AK1114&lt;&gt;"-",_xlfn.IFS('Banco de Dados'!$A1114="bv",IF('Banco de Dados'!$E1114&lt;45641,ROUND(SUM('Banco de Dados'!$R1114*_xlfn.XLOOKUP('Banco de Dados'!$P1114,Sku!B:B,Sku!#REF!)*20%),2),ROUND(SUM('Banco de Dados'!$R1114*_xlfn.XLOOKUP('Banco de Dados'!$P1114,Sku!B:B,Sku!H:H)*20%),2)),'Banco de Dados'!$A1114="GO",ROUND(SUM('Banco de Dados'!$R1114*_xlfn.XLOOKUP('Banco de Dados'!$P1114,Sku!C:C,Sku!H:H)*20%),2),'Banco de Dados'!$A1114="MEI",ROUND(SUM('Banco de Dados'!$R1114*_xlfn.XLOOKUP('Banco de Dados'!$P1114,Sku!D:D,Sku!H:H)*20%),2)),0)</f>
        <v>0</v>
      </c>
      <c r="AN1114" s="109">
        <f ca="1">IF('Banco de Dados'!$AK1114&lt;&gt;"-",IF('Banco de Dados'!$F1114&lt;&gt;"-",_xlfn.XLOOKUP(IFERROR(IFERROR(IFERROR(VALUE(SUBSTITUTE(MID(_xlfn.TEXTAFTER('Banco de Dados'!$F1114,"Data do Pedido:
",1),1,10),"-","/")),VALUE(SUBSTITUTE(MID(_xlfn.TEXTAFTER('Banco de Dados'!$F1114,"Order date:
",1),1,10),"-","/"))),VALUE(SUBSTITUTE(MID(_xlfn.TEXTAFTER('Banco de Dados'!$F1114,"Fecha de pedido:
",1),1,10),"-","/"))),"-"),SMS!A:A,SMS!K:K),0),0)</f>
        <v>0</v>
      </c>
      <c r="AO1114" s="109">
        <f ca="1">IF('Banco de Dados'!$AK1114&lt;&gt;"-",IF('Banco de Dados'!$F1114&lt;&gt;"-",IFERROR(_xlfn.XLOOKUP(_xlfn.CONCAT('Banco de Dados'!$A1114,IFERROR(IFERROR(VALUE(SUBSTITUTE(MID(_xlfn.TEXTAFTER('Banco de Dados'!$F1114,"Data do Pedido:
",1),1,10),"-","/")),VALUE(SUBSTITUTE(MID(_xlfn.TEXTAFTER('Banco de Dados'!$F1114,"Order date:
",1),1,10),"-","/"))),0)),ProxyDD[Chave],ProxyDD[Valor por pedido]),PROXY!$P$2),0),0)</f>
        <v>0</v>
      </c>
      <c r="AP1114" s="28">
        <f ca="1">IF('Banco de Dados'!$AK1114&lt;&gt;"-",IF('Banco de Dados'!$AL1114="NÃO",IFERROR(VALUE(SUBSTITUTE(_xlfn.TEXTAFTER('Banco de Dados'!$F1114,"BRL ",1),".",",")),0),0),0)</f>
        <v>0</v>
      </c>
      <c r="AQ1114" s="28">
        <f ca="1">SUM('Banco de Dados'!$AM1114:$AP1114)</f>
        <v>0</v>
      </c>
      <c r="AR1114" s="8"/>
      <c r="AY1114" s="8"/>
    </row>
    <row r="1115" spans="1:51">
      <c r="A1115" s="5" t="str">
        <v>BV</v>
      </c>
      <c r="B1115" s="5" t="str">
        <f ca="1"/>
        <v>BV45721</v>
      </c>
      <c r="C1115" s="8" t="str">
        <v>Pedido 1102</v>
      </c>
      <c r="D1115" s="9">
        <v>45721</v>
      </c>
      <c r="E1115" s="9">
        <v>45721</v>
      </c>
      <c r="F1115" s="8" t="str">
        <v>PedidoF1081</v>
      </c>
      <c r="G1115" s="2" t="str">
        <v>CódRastreio1079</v>
      </c>
      <c r="H1115" s="5">
        <v>1</v>
      </c>
      <c r="I1115" s="2" t="str">
        <v>CPF 1071</v>
      </c>
      <c r="J1115" s="2" t="str">
        <v>Nome 1071</v>
      </c>
      <c r="K1115" s="8" t="str">
        <v>Tel 1071</v>
      </c>
      <c r="L1115" s="8" t="str">
        <v>Cep 1071</v>
      </c>
      <c r="M1115" s="8" t="str">
        <v>Rua 1071</v>
      </c>
      <c r="N1115" s="8" t="str">
        <v>Comp 1071</v>
      </c>
      <c r="O1115" s="8" t="str">
        <v>Ventilador Preto</v>
      </c>
      <c r="P1115" s="8" t="str">
        <v>MU-J80P-95WF</v>
      </c>
      <c r="Q1115" s="4">
        <v>45748</v>
      </c>
      <c r="R1115" s="109">
        <v>65.599999999999994</v>
      </c>
      <c r="S1115" s="11">
        <f ca="1"/>
        <v>65.599999999999994</v>
      </c>
      <c r="T1115" s="28">
        <f ca="1"/>
        <v>8.5279999999999987</v>
      </c>
      <c r="U1115" s="11">
        <f ca="1"/>
        <v>57.07</v>
      </c>
      <c r="V1115" s="11">
        <v>10.15</v>
      </c>
      <c r="W1115" s="11">
        <f ca="1"/>
        <v>0.2</v>
      </c>
      <c r="X1115" s="11">
        <f ca="1"/>
        <v>0.39877104377104378</v>
      </c>
      <c r="Y1115" s="11">
        <v>0</v>
      </c>
      <c r="Z1115" s="11">
        <f ca="1"/>
        <v>46.321228956228957</v>
      </c>
      <c r="AA1115" s="11">
        <f ca="1"/>
        <v>23.160614478114478</v>
      </c>
      <c r="AB1115" s="4">
        <f ca="1"/>
        <v>45755</v>
      </c>
      <c r="AC1115" s="4">
        <v>45755</v>
      </c>
      <c r="AD1115" s="9">
        <v>45762</v>
      </c>
      <c r="AE1115" s="9">
        <v>45763</v>
      </c>
      <c r="AF1115" s="4" t="str">
        <f t="shared" ref="AF1115:AF1122" ca="1" si="72">_xlfn.CONCAT(PROPER(TEXT(AB1115,"aaaa"))," ",PROPER(TEXT(AB1115,"mm")))</f>
        <v>2025 04</v>
      </c>
      <c r="AG1115" s="8" t="str" cm="1">
        <f t="array" ref="AG1115">IFERROR(_xlfn.IFS('Banco de Dados'!#REF!="AG. COMPRA","Em processamento",'Banco de Dados'!#REF!="AG. RASTREIO","Em processamento",'Banco de Dados'!$AE1115&lt;&gt;"-","Faturado",'Banco de Dados'!$AD1115&lt;&gt;"-","Aguardando Pix",'Banco de Dados'!$AC1115&lt;&gt;"-","Pendente"),"Aguardando Liberação")</f>
        <v>Aguardando Liberação</v>
      </c>
      <c r="AH1115" s="5" t="str">
        <f>IF('Banco de Dados'!$F1115="-",_xlfn.CONCAT(PROPER(TEXT(AK1115,"aaaa"))," ",PROPER(TEXT(AK1115,"mm"))),_xlfn.CONCAT(PROPER(TEXT(E1115,"aaaa"))," ",PROPER(TEXT(E1115,"mm"))))</f>
        <v>2025 03</v>
      </c>
      <c r="AI1115" s="9" t="str">
        <f ca="1">IF('Banco de Dados'!$AK1115&lt;&gt;"-","REEMBOLSO",IFERROR(_xlfn.XLOOKUP(G1115,Follow[CODRASTREIO],Follow[STATUS]),"-"))</f>
        <v>ENTREGUE</v>
      </c>
      <c r="AJ1115" s="9">
        <f ca="1">IF('Banco de Dados'!$AI1115="ENTREGUE",_xlfn.XLOOKUP('Banco de Dados'!$G1115,Follow[CODRASTREIO],Follow[DATAATUALIZAÇÃO]),"-")</f>
        <v>45730</v>
      </c>
      <c r="AK1115" s="132" t="str">
        <f ca="1"/>
        <v>-</v>
      </c>
      <c r="AL1115" s="35"/>
      <c r="AM1115" s="109" cm="1">
        <f t="array" aca="1" ref="AM1115" ca="1">IF('Banco de Dados'!$AK1115&lt;&gt;"-",_xlfn.IFS('Banco de Dados'!$A1115="bv",IF('Banco de Dados'!$E1115&lt;45641,ROUND(SUM('Banco de Dados'!$R1115*_xlfn.XLOOKUP('Banco de Dados'!$P1115,Sku!B:B,Sku!#REF!)*20%),2),ROUND(SUM('Banco de Dados'!$R1115*_xlfn.XLOOKUP('Banco de Dados'!$P1115,Sku!B:B,Sku!H:H)*20%),2)),'Banco de Dados'!$A1115="GO",ROUND(_xlfn.XLOOKUP('Banco de Dados'!$P1115,Sku!C:C,Sku!H:H),2),'Banco de Dados'!$A1115="MEI",ROUND(_xlfn.XLOOKUP('Banco de Dados'!$P1115,Sku!D:D,Sku!H:H),2)),0)</f>
        <v>0</v>
      </c>
      <c r="AN1115" s="109">
        <f ca="1">IF('Banco de Dados'!$AK1115&lt;&gt;"-",IF('Banco de Dados'!$F1115&lt;&gt;"-",_xlfn.XLOOKUP(IFERROR(IFERROR(IFERROR(VALUE(SUBSTITUTE(MID(_xlfn.TEXTAFTER('Banco de Dados'!$F1115,"Data do Pedido:
",1),1,10),"-","/")),VALUE(SUBSTITUTE(MID(_xlfn.TEXTAFTER('Banco de Dados'!$F1115,"Order date:
",1),1,10),"-","/"))),VALUE(SUBSTITUTE(MID(_xlfn.TEXTAFTER('Banco de Dados'!$F1115,"Fecha de pedido:
",1),1,10),"-","/"))),"-"),SMS!A:A,SMS!K:K),0),0)</f>
        <v>0</v>
      </c>
      <c r="AO1115" s="109">
        <f ca="1">IF('Banco de Dados'!$AK1115&lt;&gt;"-",IF('Banco de Dados'!$F1115&lt;&gt;"-",IFERROR(_xlfn.XLOOKUP(_xlfn.CONCAT('Banco de Dados'!$A1115,IFERROR(IFERROR(VALUE(SUBSTITUTE(MID(_xlfn.TEXTAFTER('Banco de Dados'!$F1115,"Data do Pedido:
",1),1,10),"-","/")),VALUE(SUBSTITUTE(MID(_xlfn.TEXTAFTER('Banco de Dados'!$F1115,"Order date:
",1),1,10),"-","/"))),0)),ProxyDD[Chave],ProxyDD[Valor por pedido]),PROXY!$P$2),0),0)</f>
        <v>0</v>
      </c>
      <c r="AP1115" s="28">
        <f ca="1">IF('Banco de Dados'!$AK1115&lt;&gt;"-",IF('Banco de Dados'!$AL1115="NÃO",IFERROR(VALUE(SUBSTITUTE(_xlfn.TEXTAFTER('Banco de Dados'!$F1115,"BRL ",1),".",",")),0),0),0)</f>
        <v>0</v>
      </c>
      <c r="AQ1115" s="28">
        <f ca="1">SUM('Banco de Dados'!$AM1115:$AP1115)</f>
        <v>0</v>
      </c>
      <c r="AR1115" s="8"/>
      <c r="AY1115" s="8"/>
    </row>
    <row r="1116" spans="1:51">
      <c r="A1116" s="5" t="str">
        <v>BV</v>
      </c>
      <c r="B1116" s="5" t="str">
        <f ca="1"/>
        <v>BV45721</v>
      </c>
      <c r="C1116" s="8" t="str">
        <v>Pedido 1103</v>
      </c>
      <c r="D1116" s="9">
        <v>45721</v>
      </c>
      <c r="E1116" s="9">
        <v>45721</v>
      </c>
      <c r="F1116" s="8" t="str">
        <v>PedidoF1082</v>
      </c>
      <c r="G1116" s="2" t="str">
        <v>CódRastreio1080</v>
      </c>
      <c r="H1116" s="5">
        <v>1</v>
      </c>
      <c r="I1116" s="2" t="str">
        <v>CPF 1072</v>
      </c>
      <c r="J1116" s="2" t="str">
        <v>Nome 1072</v>
      </c>
      <c r="K1116" s="8" t="str">
        <v>Tel 1072</v>
      </c>
      <c r="L1116" s="8" t="str">
        <v>Cep 1072</v>
      </c>
      <c r="M1116" s="8" t="str">
        <v>Rua 1072</v>
      </c>
      <c r="N1116" s="8" t="str">
        <v>Comp 1072</v>
      </c>
      <c r="O1116" s="8" t="str">
        <v>Ventilador Preto</v>
      </c>
      <c r="P1116" s="8" t="str">
        <v>MU-J80P-95WF</v>
      </c>
      <c r="Q1116" s="4">
        <v>45742</v>
      </c>
      <c r="R1116" s="109">
        <v>70.599999999999994</v>
      </c>
      <c r="S1116" s="11">
        <f ca="1"/>
        <v>70.599999999999994</v>
      </c>
      <c r="T1116" s="28">
        <f ca="1"/>
        <v>9.177999999999999</v>
      </c>
      <c r="U1116" s="11">
        <f ca="1"/>
        <v>61.42</v>
      </c>
      <c r="V1116" s="11">
        <v>10.15</v>
      </c>
      <c r="W1116" s="11">
        <f ca="1"/>
        <v>0.2</v>
      </c>
      <c r="X1116" s="11">
        <f ca="1"/>
        <v>0.39877104377104378</v>
      </c>
      <c r="Y1116" s="11">
        <v>0</v>
      </c>
      <c r="Z1116" s="11">
        <f ca="1"/>
        <v>50.671228956228958</v>
      </c>
      <c r="AA1116" s="11">
        <f ca="1"/>
        <v>25.335614478114479</v>
      </c>
      <c r="AB1116" s="4">
        <f ca="1"/>
        <v>45749</v>
      </c>
      <c r="AC1116" s="4">
        <v>45749</v>
      </c>
      <c r="AD1116" s="9">
        <v>45762</v>
      </c>
      <c r="AE1116" s="9">
        <v>45763</v>
      </c>
      <c r="AF1116" s="4" t="str">
        <f t="shared" ca="1" si="72"/>
        <v>2025 04</v>
      </c>
      <c r="AG1116" s="8" t="str" cm="1">
        <f t="array" ref="AG1116">IFERROR(_xlfn.IFS('Banco de Dados'!#REF!="AG. COMPRA","Em processamento",'Banco de Dados'!#REF!="AG. RASTREIO","Em processamento",'Banco de Dados'!$AE1116&lt;&gt;"-","Faturado",'Banco de Dados'!$AD1116&lt;&gt;"-","Aguardando Pix",'Banco de Dados'!$AC1116&lt;&gt;"-","Pendente"),"Aguardando Liberação")</f>
        <v>Aguardando Liberação</v>
      </c>
      <c r="AH1116" s="5" t="str">
        <f>IF('Banco de Dados'!$F1116="-",_xlfn.CONCAT(PROPER(TEXT(AK1116,"aaaa"))," ",PROPER(TEXT(AK1116,"mm"))),_xlfn.CONCAT(PROPER(TEXT(E1116,"aaaa"))," ",PROPER(TEXT(E1116,"mm"))))</f>
        <v>2025 03</v>
      </c>
      <c r="AI1116" s="9" t="str">
        <f ca="1">IF('Banco de Dados'!$AK1116&lt;&gt;"-","REEMBOLSO",IFERROR(_xlfn.XLOOKUP(G1116,Follow[CODRASTREIO],Follow[STATUS]),"-"))</f>
        <v>ENTREGUE</v>
      </c>
      <c r="AJ1116" s="9">
        <f ca="1">IF('Banco de Dados'!$AI1116="ENTREGUE",_xlfn.XLOOKUP('Banco de Dados'!$G1116,Follow[CODRASTREIO],Follow[DATAATUALIZAÇÃO]),"-")</f>
        <v>45740</v>
      </c>
      <c r="AK1116" s="132" t="str">
        <f ca="1"/>
        <v>-</v>
      </c>
      <c r="AL1116" s="35"/>
      <c r="AM1116" s="109" cm="1">
        <f t="array" aca="1" ref="AM1116" ca="1">IF('Banco de Dados'!$AK1116&lt;&gt;"-",_xlfn.IFS('Banco de Dados'!$A1116="bv",IF('Banco de Dados'!$E1116&lt;45641,ROUND(SUM('Banco de Dados'!$R1116*_xlfn.XLOOKUP('Banco de Dados'!$P1116,Sku!B:B,Sku!#REF!)*20%),2),ROUND(SUM('Banco de Dados'!$R1116*_xlfn.XLOOKUP('Banco de Dados'!$P1116,Sku!B:B,Sku!H:H)*20%),2)),'Banco de Dados'!$A1116="GO",ROUND(_xlfn.XLOOKUP('Banco de Dados'!$P1116,Sku!C:C,Sku!H:H),2),'Banco de Dados'!$A1116="MEI",ROUND(_xlfn.XLOOKUP('Banco de Dados'!$P1116,Sku!D:D,Sku!H:H),2)),0)</f>
        <v>0</v>
      </c>
      <c r="AN1116" s="109">
        <f ca="1">IF('Banco de Dados'!$AK1116&lt;&gt;"-",IF('Banco de Dados'!$F1116&lt;&gt;"-",_xlfn.XLOOKUP(IFERROR(IFERROR(IFERROR(VALUE(SUBSTITUTE(MID(_xlfn.TEXTAFTER('Banco de Dados'!$F1116,"Data do Pedido:
",1),1,10),"-","/")),VALUE(SUBSTITUTE(MID(_xlfn.TEXTAFTER('Banco de Dados'!$F1116,"Order date:
",1),1,10),"-","/"))),VALUE(SUBSTITUTE(MID(_xlfn.TEXTAFTER('Banco de Dados'!$F1116,"Fecha de pedido:
",1),1,10),"-","/"))),"-"),SMS!A:A,SMS!K:K),0),0)</f>
        <v>0</v>
      </c>
      <c r="AO1116" s="109">
        <f ca="1">IF('Banco de Dados'!$AK1116&lt;&gt;"-",IF('Banco de Dados'!$F1116&lt;&gt;"-",IFERROR(_xlfn.XLOOKUP(_xlfn.CONCAT('Banco de Dados'!$A1116,IFERROR(IFERROR(VALUE(SUBSTITUTE(MID(_xlfn.TEXTAFTER('Banco de Dados'!$F1116,"Data do Pedido:
",1),1,10),"-","/")),VALUE(SUBSTITUTE(MID(_xlfn.TEXTAFTER('Banco de Dados'!$F1116,"Order date:
",1),1,10),"-","/"))),0)),ProxyDD[Chave],ProxyDD[Valor por pedido]),PROXY!$P$2),0),0)</f>
        <v>0</v>
      </c>
      <c r="AP1116" s="28">
        <f ca="1">IF('Banco de Dados'!$AK1116&lt;&gt;"-",IF('Banco de Dados'!$AL1116="NÃO",IFERROR(VALUE(SUBSTITUTE(_xlfn.TEXTAFTER('Banco de Dados'!$F1116,"BRL ",1),".",",")),0),0),0)</f>
        <v>0</v>
      </c>
      <c r="AQ1116" s="28">
        <f ca="1">SUM('Banco de Dados'!$AM1116:$AP1116)</f>
        <v>0</v>
      </c>
      <c r="AR1116" s="8"/>
      <c r="AY1116" s="8"/>
    </row>
    <row r="1117" spans="1:51">
      <c r="A1117" s="5" t="str">
        <v>BV</v>
      </c>
      <c r="B1117" s="5" t="str">
        <f ca="1"/>
        <v>BV45721</v>
      </c>
      <c r="C1117" s="8" t="str">
        <v>Pedido 1104</v>
      </c>
      <c r="D1117" s="9">
        <v>45721</v>
      </c>
      <c r="E1117" s="9">
        <v>45721</v>
      </c>
      <c r="F1117" s="8" t="str">
        <v>PedidoF1083</v>
      </c>
      <c r="G1117" s="2" t="str">
        <v>CódRastreio1081</v>
      </c>
      <c r="H1117" s="5">
        <v>1</v>
      </c>
      <c r="I1117" s="2" t="str">
        <v>CPF 1073</v>
      </c>
      <c r="J1117" s="2" t="str">
        <v>Nome 1073</v>
      </c>
      <c r="K1117" s="8" t="str">
        <v>Tel 1073</v>
      </c>
      <c r="L1117" s="184" t="str">
        <v>Cep 1073</v>
      </c>
      <c r="M1117" s="8" t="str">
        <v>Rua 1073</v>
      </c>
      <c r="N1117" s="8" t="str">
        <v>Comp 1073</v>
      </c>
      <c r="O1117" s="8" t="str">
        <v>Caixinha de som Preta</v>
      </c>
      <c r="P1117" s="8" t="str">
        <v>5D-KKPK-K70I</v>
      </c>
      <c r="Q1117" s="4">
        <v>45736</v>
      </c>
      <c r="R1117" s="109">
        <v>25.99</v>
      </c>
      <c r="S1117" s="11">
        <f ca="1"/>
        <v>25.99</v>
      </c>
      <c r="T1117" s="28">
        <f ca="1"/>
        <v>3.8984999999999994</v>
      </c>
      <c r="U1117" s="11">
        <f ca="1"/>
        <v>22.09</v>
      </c>
      <c r="V1117" s="11">
        <v>12.3</v>
      </c>
      <c r="W1117" s="11">
        <f ca="1"/>
        <v>0.2</v>
      </c>
      <c r="X1117" s="11">
        <f ca="1"/>
        <v>0.39877104377104378</v>
      </c>
      <c r="Y1117" s="11">
        <v>0</v>
      </c>
      <c r="Z1117" s="11">
        <f ca="1"/>
        <v>9.1912289562289562</v>
      </c>
      <c r="AA1117" s="11">
        <f ca="1"/>
        <v>4.5956144781144781</v>
      </c>
      <c r="AB1117" s="4">
        <f ca="1"/>
        <v>45743</v>
      </c>
      <c r="AC1117" s="4">
        <v>45743</v>
      </c>
      <c r="AD1117" s="9">
        <v>45747</v>
      </c>
      <c r="AE1117" s="9">
        <v>45749</v>
      </c>
      <c r="AF1117" s="4" t="str">
        <f t="shared" ca="1" si="72"/>
        <v>2025 03</v>
      </c>
      <c r="AG1117" s="8" t="str" cm="1">
        <f t="array" ref="AG1117">IFERROR(_xlfn.IFS('Banco de Dados'!#REF!="AG. COMPRA","Em processamento",'Banco de Dados'!#REF!="AG. RASTREIO","Em processamento",'Banco de Dados'!$AE1117&lt;&gt;"-","Faturado",'Banco de Dados'!$AD1117&lt;&gt;"-","Aguardando Pix",'Banco de Dados'!$AC1117&lt;&gt;"-","Pendente"),"Aguardando Liberação")</f>
        <v>Aguardando Liberação</v>
      </c>
      <c r="AH1117" s="5" t="str">
        <f>IF('Banco de Dados'!$F1117="-",_xlfn.CONCAT(PROPER(TEXT(AK1117,"aaaa"))," ",PROPER(TEXT(AK1117,"mm"))),_xlfn.CONCAT(PROPER(TEXT(E1117,"aaaa"))," ",PROPER(TEXT(E1117,"mm"))))</f>
        <v>2025 03</v>
      </c>
      <c r="AI1117" s="9" t="str">
        <f ca="1">IF('Banco de Dados'!$AK1117&lt;&gt;"-","REEMBOLSO",IFERROR(_xlfn.XLOOKUP(G1117,Follow[CODRASTREIO],Follow[STATUS]),"-"))</f>
        <v>ENTREGUE</v>
      </c>
      <c r="AJ1117" s="9">
        <f ca="1">IF('Banco de Dados'!$AI1117="ENTREGUE",_xlfn.XLOOKUP('Banco de Dados'!$G1117,Follow[CODRASTREIO],Follow[DATAATUALIZAÇÃO]),"-")</f>
        <v>45729</v>
      </c>
      <c r="AK1117" s="132" t="str">
        <f ca="1"/>
        <v>-</v>
      </c>
      <c r="AL1117" s="35"/>
      <c r="AM1117" s="109" cm="1">
        <f t="array" aca="1" ref="AM1117" ca="1">IF('Banco de Dados'!$AK1117&lt;&gt;"-",_xlfn.IFS('Banco de Dados'!$A1117="bv",IF('Banco de Dados'!$E1117&lt;45641,ROUND(SUM('Banco de Dados'!$R1117*_xlfn.XLOOKUP('Banco de Dados'!$P1117,Sku!B:B,Sku!#REF!)*20%),2),ROUND(SUM('Banco de Dados'!$R1117*_xlfn.XLOOKUP('Banco de Dados'!$P1117,Sku!B:B,Sku!H:H)*20%),2)),'Banco de Dados'!$A1117="GO",ROUND(_xlfn.XLOOKUP('Banco de Dados'!$P1117,Sku!C:C,Sku!H:H),2),'Banco de Dados'!$A1117="MEI",ROUND(_xlfn.XLOOKUP('Banco de Dados'!$P1117,Sku!D:D,Sku!H:H),2)),0)</f>
        <v>0</v>
      </c>
      <c r="AN1117" s="109">
        <f ca="1">IF('Banco de Dados'!$AK1117&lt;&gt;"-",IF('Banco de Dados'!$F1117&lt;&gt;"-",_xlfn.XLOOKUP(IFERROR(IFERROR(IFERROR(VALUE(SUBSTITUTE(MID(_xlfn.TEXTAFTER('Banco de Dados'!$F1117,"Data do Pedido:
",1),1,10),"-","/")),VALUE(SUBSTITUTE(MID(_xlfn.TEXTAFTER('Banco de Dados'!$F1117,"Order date:
",1),1,10),"-","/"))),VALUE(SUBSTITUTE(MID(_xlfn.TEXTAFTER('Banco de Dados'!$F1117,"Fecha de pedido:
",1),1,10),"-","/"))),"-"),SMS!A:A,SMS!K:K),0),0)</f>
        <v>0</v>
      </c>
      <c r="AO1117" s="109">
        <f ca="1">IF('Banco de Dados'!$AK1117&lt;&gt;"-",IF('Banco de Dados'!$F1117&lt;&gt;"-",IFERROR(_xlfn.XLOOKUP(_xlfn.CONCAT('Banco de Dados'!$A1117,IFERROR(IFERROR(VALUE(SUBSTITUTE(MID(_xlfn.TEXTAFTER('Banco de Dados'!$F1117,"Data do Pedido:
",1),1,10),"-","/")),VALUE(SUBSTITUTE(MID(_xlfn.TEXTAFTER('Banco de Dados'!$F1117,"Order date:
",1),1,10),"-","/"))),0)),ProxyDD[Chave],ProxyDD[Valor por pedido]),PROXY!$P$2),0),0)</f>
        <v>0</v>
      </c>
      <c r="AP1117" s="28">
        <f ca="1">IF('Banco de Dados'!$AK1117&lt;&gt;"-",IF('Banco de Dados'!$AL1117="NÃO",IFERROR(VALUE(SUBSTITUTE(_xlfn.TEXTAFTER('Banco de Dados'!$F1117,"BRL ",1),".",",")),0),0),0)</f>
        <v>0</v>
      </c>
      <c r="AQ1117" s="28">
        <f ca="1">SUM('Banco de Dados'!$AM1117:$AP1117)</f>
        <v>0</v>
      </c>
      <c r="AR1117" s="8"/>
      <c r="AY1117" s="8"/>
    </row>
    <row r="1118" spans="1:51">
      <c r="A1118" s="5" t="str">
        <v>BV</v>
      </c>
      <c r="B1118" s="5" t="str">
        <f ca="1"/>
        <v>BV-</v>
      </c>
      <c r="C1118" s="8" t="str">
        <v>Pedido 1105</v>
      </c>
      <c r="D1118" s="9">
        <v>45721</v>
      </c>
      <c r="E1118" s="9" t="str">
        <v>-</v>
      </c>
      <c r="F1118" s="8" t="str">
        <v>-</v>
      </c>
      <c r="G1118" s="2" t="str">
        <v>-</v>
      </c>
      <c r="H1118" s="5">
        <v>1</v>
      </c>
      <c r="I1118" s="2" t="str">
        <v>CPF 1074</v>
      </c>
      <c r="J1118" s="2" t="str">
        <v>Nome 1074</v>
      </c>
      <c r="K1118" s="8" t="str">
        <v>Tel 1074</v>
      </c>
      <c r="L1118" s="8" t="str">
        <v>Cep 1074</v>
      </c>
      <c r="M1118" s="8" t="str">
        <v>Rua 1074</v>
      </c>
      <c r="N1118" s="8" t="str">
        <v>Comp 1074</v>
      </c>
      <c r="O1118" s="8" t="str">
        <v>Ventilador Rosa</v>
      </c>
      <c r="P1118" s="8" t="str">
        <v>IF-G2ZQ-79FO</v>
      </c>
      <c r="Q1118" s="4">
        <v>45748</v>
      </c>
      <c r="R1118" s="109">
        <v>61.5</v>
      </c>
      <c r="S1118" s="11">
        <f ca="1"/>
        <v>0</v>
      </c>
      <c r="T1118" s="28">
        <f ca="1"/>
        <v>0</v>
      </c>
      <c r="U1118" s="11">
        <f ca="1"/>
        <v>0</v>
      </c>
      <c r="V1118" s="11">
        <v>0</v>
      </c>
      <c r="W1118" s="11">
        <f ca="1"/>
        <v>0</v>
      </c>
      <c r="X1118" s="11">
        <f ca="1"/>
        <v>0</v>
      </c>
      <c r="Y1118" s="11">
        <v>0</v>
      </c>
      <c r="Z1118" s="11">
        <f ca="1"/>
        <v>0</v>
      </c>
      <c r="AA1118" s="11">
        <f ca="1"/>
        <v>0</v>
      </c>
      <c r="AB1118" s="4">
        <f ca="1"/>
        <v>45755</v>
      </c>
      <c r="AC1118" s="4">
        <v>45755</v>
      </c>
      <c r="AD1118" s="9">
        <v>45762</v>
      </c>
      <c r="AE1118" s="9">
        <v>45763</v>
      </c>
      <c r="AF1118" s="4" t="str">
        <f t="shared" ca="1" si="72"/>
        <v>2025 04</v>
      </c>
      <c r="AG1118" s="8" t="str" cm="1">
        <f t="array" ref="AG1118">IFERROR(_xlfn.IFS('Banco de Dados'!#REF!="AG. COMPRA","Em processamento",'Banco de Dados'!#REF!="AG. RASTREIO","Em processamento",'Banco de Dados'!$AE1118&lt;&gt;"-","Faturado",'Banco de Dados'!$AD1118&lt;&gt;"-","Aguardando Pix",'Banco de Dados'!$AC1118&lt;&gt;"-","Pendente"),"Aguardando Liberação")</f>
        <v>Aguardando Liberação</v>
      </c>
      <c r="AH1118" s="5" t="str">
        <f ca="1">IF('Banco de Dados'!$F1118="-",_xlfn.CONCAT(PROPER(TEXT(AK1118,"aaaa"))," ",PROPER(TEXT(AK1118,"mm"))),_xlfn.CONCAT(PROPER(TEXT(E1118,"aaaa"))," ",PROPER(TEXT(E1118,"mm"))))</f>
        <v>2025 03</v>
      </c>
      <c r="AI1118" s="9" t="str">
        <f ca="1">IF('Banco de Dados'!$AK1118&lt;&gt;"-","REEMBOLSO",IFERROR(_xlfn.XLOOKUP(G1118,Follow[CODRASTREIO],Follow[STATUS]),"-"))</f>
        <v>REEMBOLSO</v>
      </c>
      <c r="AJ1118" s="9" t="str">
        <f ca="1">IF('Banco de Dados'!$AI1118="ENTREGUE",_xlfn.XLOOKUP('Banco de Dados'!$G1118,Follow[CODRASTREIO],Follow[DATAATUALIZAÇÃO]),"-")</f>
        <v>-</v>
      </c>
      <c r="AK1118" s="132">
        <f ca="1"/>
        <v>45726</v>
      </c>
      <c r="AL1118" s="35"/>
      <c r="AM1118" s="109" cm="1">
        <f t="array" aca="1" ref="AM1118" ca="1">IF('Banco de Dados'!$AK1118&lt;&gt;"-",_xlfn.IFS('Banco de Dados'!$A1118="bv",IF('Banco de Dados'!$E1118&lt;45641,ROUND(SUM('Banco de Dados'!$R1118*_xlfn.XLOOKUP('Banco de Dados'!$P1118,Sku!B:B,Sku!#REF!)*20%),2),ROUND(SUM('Banco de Dados'!$R1118*_xlfn.XLOOKUP('Banco de Dados'!$P1118,Sku!B:B,Sku!H:H)*20%),2)),'Banco de Dados'!$A1118="GO",ROUND(_xlfn.XLOOKUP('Banco de Dados'!$P1118,Sku!C:C,Sku!H:H),2),'Banco de Dados'!$A1118="MEI",ROUND(_xlfn.XLOOKUP('Banco de Dados'!$P1118,Sku!D:D,Sku!H:H),2)),0)</f>
        <v>1.6</v>
      </c>
      <c r="AN1118" s="109">
        <f ca="1">IF('Banco de Dados'!$AK1118&lt;&gt;"-",IF('Banco de Dados'!$F1118&lt;&gt;"-",_xlfn.XLOOKUP(IFERROR(IFERROR(IFERROR(VALUE(SUBSTITUTE(MID(_xlfn.TEXTAFTER('Banco de Dados'!$F1118,"Data do Pedido:
",1),1,10),"-","/")),VALUE(SUBSTITUTE(MID(_xlfn.TEXTAFTER('Banco de Dados'!$F1118,"Order date:
",1),1,10),"-","/"))),VALUE(SUBSTITUTE(MID(_xlfn.TEXTAFTER('Banco de Dados'!$F1118,"Fecha de pedido:
",1),1,10),"-","/"))),"-"),SMS!A:A,SMS!K:K),0),0)</f>
        <v>0</v>
      </c>
      <c r="AO1118" s="109">
        <f ca="1">IF('Banco de Dados'!$AK1118&lt;&gt;"-",IF('Banco de Dados'!$F1118&lt;&gt;"-",IFERROR(_xlfn.XLOOKUP(_xlfn.CONCAT('Banco de Dados'!$A1118,IFERROR(IFERROR(VALUE(SUBSTITUTE(MID(_xlfn.TEXTAFTER('Banco de Dados'!$F1118,"Data do Pedido:
",1),1,10),"-","/")),VALUE(SUBSTITUTE(MID(_xlfn.TEXTAFTER('Banco de Dados'!$F1118,"Order date:
",1),1,10),"-","/"))),0)),ProxyDD[Chave],ProxyDD[Valor por pedido]),PROXY!$P$2),0),0)</f>
        <v>0</v>
      </c>
      <c r="AP1118" s="28">
        <f ca="1">IF('Banco de Dados'!$AK1118&lt;&gt;"-",IF('Banco de Dados'!$AL1118="NÃO",IFERROR(VALUE(SUBSTITUTE(_xlfn.TEXTAFTER('Banco de Dados'!$F1118,"BRL ",1),".",",")),0),0),0)</f>
        <v>0</v>
      </c>
      <c r="AQ1118" s="28">
        <f ca="1">SUM('Banco de Dados'!$AM1118:$AP1118)</f>
        <v>1.6</v>
      </c>
      <c r="AR1118" s="8"/>
      <c r="AY1118" s="8"/>
    </row>
    <row r="1119" spans="1:51">
      <c r="A1119" s="5" t="str">
        <v>BV</v>
      </c>
      <c r="B1119" s="5" t="str">
        <f ca="1"/>
        <v>BV45721</v>
      </c>
      <c r="C1119" s="8" t="str">
        <v>Pedido 1106</v>
      </c>
      <c r="D1119" s="9">
        <v>45720</v>
      </c>
      <c r="E1119" s="9">
        <v>45721</v>
      </c>
      <c r="F1119" s="8" t="str">
        <v>PedidoF1084</v>
      </c>
      <c r="G1119" s="2" t="str">
        <v>CódRastreio1082</v>
      </c>
      <c r="H1119" s="5">
        <v>1</v>
      </c>
      <c r="I1119" s="2" t="str">
        <v>CPF 1075</v>
      </c>
      <c r="J1119" s="2" t="str">
        <v>Nome 1075</v>
      </c>
      <c r="K1119" s="8" t="str">
        <v>Tel 1075</v>
      </c>
      <c r="L1119" s="184" t="str">
        <v>Cep 1075</v>
      </c>
      <c r="M1119" s="8" t="str">
        <v>Rua 1075</v>
      </c>
      <c r="N1119" s="8" t="str">
        <v>Comp 1075</v>
      </c>
      <c r="O1119" s="8" t="str">
        <v>Ventilador Rosa</v>
      </c>
      <c r="P1119" s="8" t="str">
        <v>IF-G2ZQ-79FO</v>
      </c>
      <c r="Q1119" s="4">
        <v>45742</v>
      </c>
      <c r="R1119" s="109">
        <v>61.5</v>
      </c>
      <c r="S1119" s="11">
        <f ca="1"/>
        <v>61.5</v>
      </c>
      <c r="T1119" s="28">
        <f ca="1"/>
        <v>7.9950000000000001</v>
      </c>
      <c r="U1119" s="11">
        <f ca="1"/>
        <v>53.51</v>
      </c>
      <c r="V1119" s="11">
        <v>13.36</v>
      </c>
      <c r="W1119" s="11">
        <f ca="1"/>
        <v>0.2</v>
      </c>
      <c r="X1119" s="11">
        <f ca="1"/>
        <v>0.39877104377104378</v>
      </c>
      <c r="Y1119" s="11">
        <v>0</v>
      </c>
      <c r="Z1119" s="11">
        <f ca="1"/>
        <v>39.551228956228954</v>
      </c>
      <c r="AA1119" s="11">
        <f ca="1"/>
        <v>19.775614478114477</v>
      </c>
      <c r="AB1119" s="4">
        <f ca="1"/>
        <v>45749</v>
      </c>
      <c r="AC1119" s="4">
        <v>45749</v>
      </c>
      <c r="AD1119" s="9">
        <v>45762</v>
      </c>
      <c r="AE1119" s="9">
        <v>45763</v>
      </c>
      <c r="AF1119" s="4" t="str">
        <f t="shared" ca="1" si="72"/>
        <v>2025 04</v>
      </c>
      <c r="AG1119" s="8" t="str" cm="1">
        <f t="array" ref="AG1119">IFERROR(_xlfn.IFS('Banco de Dados'!#REF!="AG. COMPRA","Em processamento",'Banco de Dados'!#REF!="AG. RASTREIO","Em processamento",'Banco de Dados'!$AE1119&lt;&gt;"-","Faturado",'Banco de Dados'!$AD1119&lt;&gt;"-","Aguardando Pix",'Banco de Dados'!$AC1119&lt;&gt;"-","Pendente"),"Aguardando Liberação")</f>
        <v>Aguardando Liberação</v>
      </c>
      <c r="AH1119" s="5" t="str">
        <f>IF('Banco de Dados'!$F1119="-",_xlfn.CONCAT(PROPER(TEXT(AK1119,"aaaa"))," ",PROPER(TEXT(AK1119,"mm"))),_xlfn.CONCAT(PROPER(TEXT(E1119,"aaaa"))," ",PROPER(TEXT(E1119,"mm"))))</f>
        <v>2025 03</v>
      </c>
      <c r="AI1119" s="9" t="str">
        <f ca="1">IF('Banco de Dados'!$AK1119&lt;&gt;"-","REEMBOLSO",IFERROR(_xlfn.XLOOKUP(G1119,Follow[CODRASTREIO],Follow[STATUS]),"-"))</f>
        <v>ENTREGUE</v>
      </c>
      <c r="AJ1119" s="9">
        <f ca="1">IF('Banco de Dados'!$AI1119="ENTREGUE",_xlfn.XLOOKUP('Banco de Dados'!$G1119,Follow[CODRASTREIO],Follow[DATAATUALIZAÇÃO]),"-")</f>
        <v>45736</v>
      </c>
      <c r="AK1119" s="132" t="str">
        <f ca="1"/>
        <v>-</v>
      </c>
      <c r="AL1119" s="35"/>
      <c r="AM1119" s="109" cm="1">
        <f t="array" aca="1" ref="AM1119" ca="1">IF('Banco de Dados'!$AK1119&lt;&gt;"-",_xlfn.IFS('Banco de Dados'!$A1119="bv",IF('Banco de Dados'!$E1119&lt;45641,ROUND(SUM('Banco de Dados'!$R1119*_xlfn.XLOOKUP('Banco de Dados'!$P1119,Sku!B:B,Sku!#REF!)*20%),2),ROUND(SUM('Banco de Dados'!$R1119*_xlfn.XLOOKUP('Banco de Dados'!$P1119,Sku!B:B,Sku!H:H)*20%),2)),'Banco de Dados'!$A1119="GO",ROUND(_xlfn.XLOOKUP('Banco de Dados'!$P1119,Sku!C:C,Sku!H:H),2),'Banco de Dados'!$A1119="MEI",ROUND(_xlfn.XLOOKUP('Banco de Dados'!$P1119,Sku!D:D,Sku!H:H),2)),0)</f>
        <v>0</v>
      </c>
      <c r="AN1119" s="109">
        <f ca="1">IF('Banco de Dados'!$AK1119&lt;&gt;"-",IF('Banco de Dados'!$F1119&lt;&gt;"-",_xlfn.XLOOKUP(IFERROR(IFERROR(IFERROR(VALUE(SUBSTITUTE(MID(_xlfn.TEXTAFTER('Banco de Dados'!$F1119,"Data do Pedido:
",1),1,10),"-","/")),VALUE(SUBSTITUTE(MID(_xlfn.TEXTAFTER('Banco de Dados'!$F1119,"Order date:
",1),1,10),"-","/"))),VALUE(SUBSTITUTE(MID(_xlfn.TEXTAFTER('Banco de Dados'!$F1119,"Fecha de pedido:
",1),1,10),"-","/"))),"-"),SMS!A:A,SMS!K:K),0),0)</f>
        <v>0</v>
      </c>
      <c r="AO1119" s="109">
        <f ca="1">IF('Banco de Dados'!$AK1119&lt;&gt;"-",IF('Banco de Dados'!$F1119&lt;&gt;"-",IFERROR(_xlfn.XLOOKUP(_xlfn.CONCAT('Banco de Dados'!$A1119,IFERROR(IFERROR(VALUE(SUBSTITUTE(MID(_xlfn.TEXTAFTER('Banco de Dados'!$F1119,"Data do Pedido:
",1),1,10),"-","/")),VALUE(SUBSTITUTE(MID(_xlfn.TEXTAFTER('Banco de Dados'!$F1119,"Order date:
",1),1,10),"-","/"))),0)),ProxyDD[Chave],ProxyDD[Valor por pedido]),PROXY!$P$2),0),0)</f>
        <v>0</v>
      </c>
      <c r="AP1119" s="28">
        <f ca="1">IF('Banco de Dados'!$AK1119&lt;&gt;"-",IF('Banco de Dados'!$AL1119="NÃO",IFERROR(VALUE(SUBSTITUTE(_xlfn.TEXTAFTER('Banco de Dados'!$F1119,"BRL ",1),".",",")),0),0),0)</f>
        <v>0</v>
      </c>
      <c r="AQ1119" s="28">
        <f ca="1">SUM('Banco de Dados'!$AM1119:$AP1119)</f>
        <v>0</v>
      </c>
      <c r="AR1119" s="8"/>
      <c r="AY1119" s="8"/>
    </row>
    <row r="1120" spans="1:51">
      <c r="A1120" s="5" t="str">
        <v>BV</v>
      </c>
      <c r="B1120" s="5" t="str">
        <f ca="1"/>
        <v>BV45721</v>
      </c>
      <c r="C1120" s="8" t="str">
        <v>Pedido 1107</v>
      </c>
      <c r="D1120" s="9">
        <v>45721</v>
      </c>
      <c r="E1120" s="9">
        <v>45721</v>
      </c>
      <c r="F1120" s="8" t="str">
        <v>PedidoF1085</v>
      </c>
      <c r="G1120" s="2" t="str">
        <v>CódRastreio1083</v>
      </c>
      <c r="H1120" s="5">
        <v>1</v>
      </c>
      <c r="I1120" s="2" t="str">
        <v>CPF 1076</v>
      </c>
      <c r="J1120" s="2" t="str">
        <v>Nome 1076</v>
      </c>
      <c r="K1120" s="8" t="str">
        <v>Tel 1076</v>
      </c>
      <c r="L1120" s="8" t="str">
        <v>Cep 1076</v>
      </c>
      <c r="M1120" s="8" t="str">
        <v>Rua 1076</v>
      </c>
      <c r="N1120" s="8" t="str">
        <v>Comp 1076</v>
      </c>
      <c r="O1120" s="8" t="str">
        <v>Suporte de Celular Branco</v>
      </c>
      <c r="P1120" s="8" t="str">
        <v>16-4EDB-WMZF</v>
      </c>
      <c r="Q1120" s="4">
        <v>45742</v>
      </c>
      <c r="R1120" s="109">
        <v>24.99</v>
      </c>
      <c r="S1120" s="11">
        <f ca="1"/>
        <v>0</v>
      </c>
      <c r="T1120" s="28">
        <f ca="1"/>
        <v>0</v>
      </c>
      <c r="U1120" s="11">
        <f ca="1"/>
        <v>0</v>
      </c>
      <c r="V1120" s="11">
        <v>0</v>
      </c>
      <c r="W1120" s="11">
        <f ca="1"/>
        <v>0</v>
      </c>
      <c r="X1120" s="11">
        <f ca="1"/>
        <v>0.39877104377104378</v>
      </c>
      <c r="Y1120" s="11">
        <v>0</v>
      </c>
      <c r="Z1120" s="11">
        <f ca="1"/>
        <v>-0.39877104377104378</v>
      </c>
      <c r="AA1120" s="11">
        <f ca="1"/>
        <v>-0.19938552188552189</v>
      </c>
      <c r="AB1120" s="4">
        <f ca="1"/>
        <v>45749</v>
      </c>
      <c r="AC1120" s="4">
        <v>45749</v>
      </c>
      <c r="AD1120" s="9">
        <v>45762</v>
      </c>
      <c r="AE1120" s="9">
        <v>45763</v>
      </c>
      <c r="AF1120" s="4" t="str">
        <f t="shared" ca="1" si="72"/>
        <v>2025 04</v>
      </c>
      <c r="AG1120" s="8" t="str" cm="1">
        <f t="array" ref="AG1120">IFERROR(_xlfn.IFS('Banco de Dados'!#REF!="AG. COMPRA","Em processamento",'Banco de Dados'!#REF!="AG. RASTREIO","Em processamento",'Banco de Dados'!$AE1120&lt;&gt;"-","Faturado",'Banco de Dados'!$AD1120&lt;&gt;"-","Aguardando Pix",'Banco de Dados'!$AC1120&lt;&gt;"-","Pendente"),"Aguardando Liberação")</f>
        <v>Aguardando Liberação</v>
      </c>
      <c r="AH1120" s="5" t="str">
        <f>IF('Banco de Dados'!$F1120="-",_xlfn.CONCAT(PROPER(TEXT(AK1120,"aaaa"))," ",PROPER(TEXT(AK1120,"mm"))),_xlfn.CONCAT(PROPER(TEXT(E1120,"aaaa"))," ",PROPER(TEXT(E1120,"mm"))))</f>
        <v>2025 03</v>
      </c>
      <c r="AI1120" s="9" t="str">
        <f ca="1">IF('Banco de Dados'!$AK1120&lt;&gt;"-","REEMBOLSO",IFERROR(_xlfn.XLOOKUP(G1120,Follow[CODRASTREIO],Follow[STATUS]),"-"))</f>
        <v>REEMBOLSO</v>
      </c>
      <c r="AJ1120" s="9" t="str">
        <f ca="1">IF('Banco de Dados'!$AI1120="ENTREGUE",_xlfn.XLOOKUP('Banco de Dados'!$G1120,Follow[CODRASTREIO],Follow[DATAATUALIZAÇÃO]),"-")</f>
        <v>-</v>
      </c>
      <c r="AK1120" s="132">
        <f ca="1"/>
        <v>45747</v>
      </c>
      <c r="AL1120" s="35"/>
      <c r="AM1120" s="109" cm="1">
        <f t="array" aca="1" ref="AM1120" ca="1">IF('Banco de Dados'!$AK1120&lt;&gt;"-",_xlfn.IFS('Banco de Dados'!$A1120="bv",IF('Banco de Dados'!$E1120&lt;45641,ROUND(SUM('Banco de Dados'!$R1120*_xlfn.XLOOKUP('Banco de Dados'!$P1120,Sku!B:B,Sku!#REF!)*20%),2),ROUND(SUM('Banco de Dados'!$R1120*_xlfn.XLOOKUP('Banco de Dados'!$P1120,Sku!B:B,Sku!H:H)*20%),2)),'Banco de Dados'!$A1120="GO",ROUND(_xlfn.XLOOKUP('Banco de Dados'!$P1120,Sku!C:C,Sku!H:H),2),'Banco de Dados'!$A1120="MEI",ROUND(_xlfn.XLOOKUP('Banco de Dados'!$P1120,Sku!D:D,Sku!H:H),2)),0)</f>
        <v>0.75</v>
      </c>
      <c r="AN1120" s="109" t="e">
        <f ca="1">IF('Banco de Dados'!$AK1120&lt;&gt;"-",IF('Banco de Dados'!$F1120&lt;&gt;"-",_xlfn.XLOOKUP(IFERROR(IFERROR(IFERROR(VALUE(SUBSTITUTE(MID(_xlfn.TEXTAFTER('Banco de Dados'!$F1120,"Data do Pedido:
",1),1,10),"-","/")),VALUE(SUBSTITUTE(MID(_xlfn.TEXTAFTER('Banco de Dados'!$F1120,"Order date:
",1),1,10),"-","/"))),VALUE(SUBSTITUTE(MID(_xlfn.TEXTAFTER('Banco de Dados'!$F1120,"Fecha de pedido:
",1),1,10),"-","/"))),"-"),SMS!A:A,SMS!K:K),0),0)</f>
        <v>#N/A</v>
      </c>
      <c r="AO1120" s="109">
        <f ca="1">IF('Banco de Dados'!$AK1120&lt;&gt;"-",IF('Banco de Dados'!$F1120&lt;&gt;"-",IFERROR(_xlfn.XLOOKUP(_xlfn.CONCAT('Banco de Dados'!$A1120,IFERROR(IFERROR(VALUE(SUBSTITUTE(MID(_xlfn.TEXTAFTER('Banco de Dados'!$F1120,"Data do Pedido:
",1),1,10),"-","/")),VALUE(SUBSTITUTE(MID(_xlfn.TEXTAFTER('Banco de Dados'!$F1120,"Order date:
",1),1,10),"-","/"))),0)),ProxyDD[Chave],ProxyDD[Valor por pedido]),PROXY!$P$2),0),0)</f>
        <v>0.39877104377104378</v>
      </c>
      <c r="AP1120" s="28">
        <f ca="1">IF('Banco de Dados'!$AK1120&lt;&gt;"-",IF('Banco de Dados'!$AL1120="NÃO",IFERROR(VALUE(SUBSTITUTE(_xlfn.TEXTAFTER('Banco de Dados'!$F1120,"BRL ",1),".",",")),0),0),0)</f>
        <v>0</v>
      </c>
      <c r="AQ1120" s="28" t="e">
        <f ca="1">SUM('Banco de Dados'!$AM1120:$AP1120)</f>
        <v>#N/A</v>
      </c>
      <c r="AR1120" s="8"/>
      <c r="AY1120" s="8"/>
    </row>
    <row r="1121" spans="1:51">
      <c r="A1121" s="5" t="str">
        <v>MEI</v>
      </c>
      <c r="B1121" s="5" t="str">
        <f ca="1"/>
        <v>MEI45721</v>
      </c>
      <c r="C1121" s="8" t="str">
        <v>Pedido 1108</v>
      </c>
      <c r="D1121" s="187">
        <v>45721</v>
      </c>
      <c r="E1121" s="9">
        <v>45721</v>
      </c>
      <c r="F1121" s="8" t="str">
        <v>PedidoF1086</v>
      </c>
      <c r="G1121" s="2" t="str">
        <v>CódRastreio1084</v>
      </c>
      <c r="H1121" s="5">
        <v>1</v>
      </c>
      <c r="I1121" s="2" t="str">
        <v>CPF 1077</v>
      </c>
      <c r="J1121" s="2" t="str">
        <v>Nome 1077</v>
      </c>
      <c r="K1121" s="8" t="str">
        <v>Tel 1077</v>
      </c>
      <c r="L1121" s="8" t="str">
        <v>Cep 1077</v>
      </c>
      <c r="M1121" s="8" t="str">
        <v>Rua 1077</v>
      </c>
      <c r="N1121" s="8" t="str">
        <v>Comp 1077</v>
      </c>
      <c r="O1121" s="8" t="str">
        <v>Ventilador Preto</v>
      </c>
      <c r="P1121" s="8" t="str">
        <v>WU-SS4J-LFOH</v>
      </c>
      <c r="Q1121" s="4">
        <v>45748</v>
      </c>
      <c r="R1121" s="109">
        <v>65.599999999999994</v>
      </c>
      <c r="S1121" s="11">
        <f ca="1"/>
        <v>65.599999999999994</v>
      </c>
      <c r="T1121" s="28">
        <f ca="1"/>
        <v>8.5279999999999987</v>
      </c>
      <c r="U1121" s="11">
        <f ca="1"/>
        <v>57.07</v>
      </c>
      <c r="V1121" s="11">
        <v>14.7</v>
      </c>
      <c r="W1121" s="11">
        <f ca="1"/>
        <v>0.15</v>
      </c>
      <c r="X1121" s="11">
        <f ca="1"/>
        <v>0.39877104377104378</v>
      </c>
      <c r="Y1121" s="11">
        <v>0</v>
      </c>
      <c r="Z1121" s="11">
        <f ca="1"/>
        <v>41.821228956228957</v>
      </c>
      <c r="AA1121" s="11">
        <f ca="1"/>
        <v>20.910614478114478</v>
      </c>
      <c r="AB1121" s="4">
        <f ca="1"/>
        <v>45755</v>
      </c>
      <c r="AC1121" s="4">
        <v>45755</v>
      </c>
      <c r="AD1121" s="9">
        <v>45762</v>
      </c>
      <c r="AE1121" s="9">
        <v>45763</v>
      </c>
      <c r="AF1121" s="4" t="str">
        <f t="shared" ca="1" si="72"/>
        <v>2025 04</v>
      </c>
      <c r="AG1121" s="8" t="str" cm="1">
        <f t="array" ref="AG1121">IFERROR(_xlfn.IFS('Banco de Dados'!#REF!="AG. COMPRA","Em processamento",'Banco de Dados'!#REF!="AG. RASTREIO","Em processamento",'Banco de Dados'!$AE1121&lt;&gt;"-","Faturado",'Banco de Dados'!$AD1121&lt;&gt;"-","Aguardando Pix",'Banco de Dados'!$AC1121&lt;&gt;"-","Pendente"),"Aguardando Liberação")</f>
        <v>Aguardando Liberação</v>
      </c>
      <c r="AH1121" s="5" t="str">
        <f>IF('Banco de Dados'!$F1121="-",_xlfn.CONCAT(PROPER(TEXT(AK1121,"aaaa"))," ",PROPER(TEXT(AK1121,"mm"))),_xlfn.CONCAT(PROPER(TEXT(E1121,"aaaa"))," ",PROPER(TEXT(E1121,"mm"))))</f>
        <v>2025 03</v>
      </c>
      <c r="AI1121" s="9" t="str">
        <f ca="1">IF('Banco de Dados'!$AK1121&lt;&gt;"-","REEMBOLSO",IFERROR(_xlfn.XLOOKUP(G1121,Follow[CODRASTREIO],Follow[STATUS]),"-"))</f>
        <v>ENTREGUE</v>
      </c>
      <c r="AJ1121" s="9">
        <f ca="1">IF('Banco de Dados'!$AI1121="ENTREGUE",_xlfn.XLOOKUP('Banco de Dados'!$G1121,Follow[CODRASTREIO],Follow[DATAATUALIZAÇÃO]),"-")</f>
        <v>45729</v>
      </c>
      <c r="AK1121" s="132" t="str">
        <f ca="1"/>
        <v>-</v>
      </c>
      <c r="AL1121" s="35"/>
      <c r="AM1121" s="109" cm="1">
        <f t="array" aca="1" ref="AM1121" ca="1">IF('Banco de Dados'!$AK1121&lt;&gt;"-",_xlfn.IFS('Banco de Dados'!$A1121="bv",IF('Banco de Dados'!$E1121&lt;45641,ROUND(SUM('Banco de Dados'!$R1121*_xlfn.XLOOKUP('Banco de Dados'!$P1121,Sku!B:B,Sku!#REF!)*20%),2),ROUND(SUM('Banco de Dados'!$R1121*_xlfn.XLOOKUP('Banco de Dados'!$P1121,Sku!B:B,Sku!H:H)*20%),2)),'Banco de Dados'!$A1121="GO",ROUND(SUM('Banco de Dados'!$R1121*_xlfn.XLOOKUP('Banco de Dados'!$P1121,Sku!C:C,Sku!H:H)*20%),2),'Banco de Dados'!$A1121="MEI",ROUND(SUM('Banco de Dados'!$R1121*_xlfn.XLOOKUP('Banco de Dados'!$P1121,Sku!D:D,Sku!H:H)*20%),2)),0)</f>
        <v>0</v>
      </c>
      <c r="AN1121" s="109">
        <f ca="1">IF('Banco de Dados'!$AK1121&lt;&gt;"-",IF('Banco de Dados'!$F1121&lt;&gt;"-",_xlfn.XLOOKUP(IFERROR(IFERROR(IFERROR(VALUE(SUBSTITUTE(MID(_xlfn.TEXTAFTER('Banco de Dados'!$F1121,"Data do Pedido:
",1),1,10),"-","/")),VALUE(SUBSTITUTE(MID(_xlfn.TEXTAFTER('Banco de Dados'!$F1121,"Order date:
",1),1,10),"-","/"))),VALUE(SUBSTITUTE(MID(_xlfn.TEXTAFTER('Banco de Dados'!$F1121,"Fecha de pedido:
",1),1,10),"-","/"))),"-"),SMS!A:A,SMS!K:K),0),0)</f>
        <v>0</v>
      </c>
      <c r="AO1121" s="109">
        <f ca="1">IF('Banco de Dados'!$AK1121&lt;&gt;"-",IF('Banco de Dados'!$F1121&lt;&gt;"-",IFERROR(_xlfn.XLOOKUP(_xlfn.CONCAT('Banco de Dados'!$A1121,IFERROR(IFERROR(VALUE(SUBSTITUTE(MID(_xlfn.TEXTAFTER('Banco de Dados'!$F1121,"Data do Pedido:
",1),1,10),"-","/")),VALUE(SUBSTITUTE(MID(_xlfn.TEXTAFTER('Banco de Dados'!$F1121,"Order date:
",1),1,10),"-","/"))),0)),ProxyDD[Chave],ProxyDD[Valor por pedido]),PROXY!$P$2),0),0)</f>
        <v>0</v>
      </c>
      <c r="AP1121" s="28">
        <f ca="1">IF('Banco de Dados'!$AK1121&lt;&gt;"-",IF('Banco de Dados'!$AL1121="NÃO",IFERROR(VALUE(SUBSTITUTE(_xlfn.TEXTAFTER('Banco de Dados'!$F1121,"BRL ",1),".",",")),0),0),0)</f>
        <v>0</v>
      </c>
      <c r="AQ1121" s="28">
        <f ca="1">SUM('Banco de Dados'!$AM1121:$AP1121)</f>
        <v>0</v>
      </c>
      <c r="AR1121" s="8"/>
      <c r="AY1121" s="8"/>
    </row>
    <row r="1122" spans="1:51">
      <c r="A1122" s="5" t="str">
        <v>MEI</v>
      </c>
      <c r="B1122" s="5" t="str">
        <f ca="1"/>
        <v>MEI45721</v>
      </c>
      <c r="C1122" s="8" t="str">
        <v>Pedido 1109</v>
      </c>
      <c r="D1122" s="187">
        <v>45722</v>
      </c>
      <c r="E1122" s="9">
        <v>45721</v>
      </c>
      <c r="F1122" s="8" t="str">
        <v>PedidoF1087</v>
      </c>
      <c r="G1122" s="2" t="str">
        <v>CódRastreio1085</v>
      </c>
      <c r="H1122" s="5">
        <v>1</v>
      </c>
      <c r="I1122" s="2" t="str">
        <v>CPF 1078</v>
      </c>
      <c r="J1122" s="2" t="str">
        <v>Nome 1078</v>
      </c>
      <c r="K1122" s="8" t="str">
        <v>Tel 1078</v>
      </c>
      <c r="L1122" s="8" t="str">
        <v>Cep 1078</v>
      </c>
      <c r="M1122" s="8" t="str">
        <v>Rua 1078</v>
      </c>
      <c r="N1122" s="8" t="str">
        <v>Comp 1078</v>
      </c>
      <c r="O1122" s="8" t="str">
        <v>Mini Liquidificador</v>
      </c>
      <c r="P1122" s="8" t="str">
        <v>A4-5W51-K3HF</v>
      </c>
      <c r="Q1122" s="4">
        <v>45736</v>
      </c>
      <c r="R1122" s="109">
        <v>30.95</v>
      </c>
      <c r="S1122" s="11">
        <f ca="1"/>
        <v>30.95</v>
      </c>
      <c r="T1122" s="28">
        <f ca="1"/>
        <v>4.3330000000000002</v>
      </c>
      <c r="U1122" s="11">
        <f ca="1"/>
        <v>26.62</v>
      </c>
      <c r="V1122" s="11">
        <v>13.99</v>
      </c>
      <c r="W1122" s="11">
        <f ca="1"/>
        <v>0.15</v>
      </c>
      <c r="X1122" s="11">
        <f ca="1"/>
        <v>0.39877104377104378</v>
      </c>
      <c r="Y1122" s="11">
        <v>0</v>
      </c>
      <c r="Z1122" s="11">
        <f ca="1"/>
        <v>12.081228956228957</v>
      </c>
      <c r="AA1122" s="11">
        <f ca="1"/>
        <v>6.0406144781144784</v>
      </c>
      <c r="AB1122" s="4">
        <f ca="1"/>
        <v>45743</v>
      </c>
      <c r="AC1122" s="4">
        <v>45743</v>
      </c>
      <c r="AD1122" s="9">
        <v>45747</v>
      </c>
      <c r="AE1122" s="9">
        <v>45749</v>
      </c>
      <c r="AF1122" s="4" t="str">
        <f t="shared" ca="1" si="72"/>
        <v>2025 03</v>
      </c>
      <c r="AG1122" s="8" t="str" cm="1">
        <f t="array" ref="AG1122">IFERROR(_xlfn.IFS('Banco de Dados'!#REF!="AG. COMPRA","Em processamento",'Banco de Dados'!#REF!="AG. RASTREIO","Em processamento",'Banco de Dados'!$AE1122&lt;&gt;"-","Faturado",'Banco de Dados'!$AD1122&lt;&gt;"-","Aguardando Pix",'Banco de Dados'!$AC1122&lt;&gt;"-","Pendente"),"Aguardando Liberação")</f>
        <v>Aguardando Liberação</v>
      </c>
      <c r="AH1122" s="5" t="str">
        <f>IF('Banco de Dados'!$F1122="-",_xlfn.CONCAT(PROPER(TEXT(AK1122,"aaaa"))," ",PROPER(TEXT(AK1122,"mm"))),_xlfn.CONCAT(PROPER(TEXT(E1122,"aaaa"))," ",PROPER(TEXT(E1122,"mm"))))</f>
        <v>2025 03</v>
      </c>
      <c r="AI1122" s="9" t="str">
        <f ca="1">IF('Banco de Dados'!$AK1122&lt;&gt;"-","REEMBOLSO",IFERROR(_xlfn.XLOOKUP(G1122,Follow[CODRASTREIO],Follow[STATUS]),"-"))</f>
        <v>ENTREGUE</v>
      </c>
      <c r="AJ1122" s="9">
        <f ca="1">IF('Banco de Dados'!$AI1122="ENTREGUE",_xlfn.XLOOKUP('Banco de Dados'!$G1122,Follow[CODRASTREIO],Follow[DATAATUALIZAÇÃO]),"-")</f>
        <v>45729</v>
      </c>
      <c r="AK1122" s="132" t="str">
        <f ca="1"/>
        <v>-</v>
      </c>
      <c r="AL1122" s="35"/>
      <c r="AM1122" s="109" cm="1">
        <f t="array" aca="1" ref="AM1122" ca="1">IF('Banco de Dados'!$AK1122&lt;&gt;"-",_xlfn.IFS('Banco de Dados'!$A1122="bv",IF('Banco de Dados'!$E1122&lt;45641,ROUND(SUM('Banco de Dados'!$R1122*_xlfn.XLOOKUP('Banco de Dados'!$P1122,Sku!B:B,Sku!#REF!)*20%),2),ROUND(SUM('Banco de Dados'!$R1122*_xlfn.XLOOKUP('Banco de Dados'!$P1122,Sku!B:B,Sku!H:H)*20%),2)),'Banco de Dados'!$A1122="GO",ROUND(SUM('Banco de Dados'!$R1122*_xlfn.XLOOKUP('Banco de Dados'!$P1122,Sku!C:C,Sku!H:H)*20%),2),'Banco de Dados'!$A1122="MEI",ROUND(SUM('Banco de Dados'!$R1122*_xlfn.XLOOKUP('Banco de Dados'!$P1122,Sku!D:D,Sku!H:H)*20%),2)),0)</f>
        <v>0</v>
      </c>
      <c r="AN1122" s="109">
        <f ca="1">IF('Banco de Dados'!$AK1122&lt;&gt;"-",IF('Banco de Dados'!$F1122&lt;&gt;"-",_xlfn.XLOOKUP(IFERROR(IFERROR(IFERROR(VALUE(SUBSTITUTE(MID(_xlfn.TEXTAFTER('Banco de Dados'!$F1122,"Data do Pedido:
",1),1,10),"-","/")),VALUE(SUBSTITUTE(MID(_xlfn.TEXTAFTER('Banco de Dados'!$F1122,"Order date:
",1),1,10),"-","/"))),VALUE(SUBSTITUTE(MID(_xlfn.TEXTAFTER('Banco de Dados'!$F1122,"Fecha de pedido:
",1),1,10),"-","/"))),"-"),SMS!A:A,SMS!K:K),0),0)</f>
        <v>0</v>
      </c>
      <c r="AO1122" s="109">
        <f ca="1">IF('Banco de Dados'!$AK1122&lt;&gt;"-",IF('Banco de Dados'!$F1122&lt;&gt;"-",IFERROR(_xlfn.XLOOKUP(_xlfn.CONCAT('Banco de Dados'!$A1122,IFERROR(IFERROR(VALUE(SUBSTITUTE(MID(_xlfn.TEXTAFTER('Banco de Dados'!$F1122,"Data do Pedido:
",1),1,10),"-","/")),VALUE(SUBSTITUTE(MID(_xlfn.TEXTAFTER('Banco de Dados'!$F1122,"Order date:
",1),1,10),"-","/"))),0)),ProxyDD[Chave],ProxyDD[Valor por pedido]),PROXY!$P$2),0),0)</f>
        <v>0</v>
      </c>
      <c r="AP1122" s="28">
        <f ca="1">IF('Banco de Dados'!$AK1122&lt;&gt;"-",IF('Banco de Dados'!$AL1122="NÃO",IFERROR(VALUE(SUBSTITUTE(_xlfn.TEXTAFTER('Banco de Dados'!$F1122,"BRL ",1),".",",")),0),0),0)</f>
        <v>0</v>
      </c>
      <c r="AQ1122" s="28">
        <f ca="1">SUM('Banco de Dados'!$AM1122:$AP1122)</f>
        <v>0</v>
      </c>
      <c r="AR1122" s="8"/>
      <c r="AY1122" s="8"/>
    </row>
    <row r="1123" spans="1:51">
      <c r="A1123" s="5" t="str">
        <v>BV</v>
      </c>
      <c r="B1123" s="5" t="str">
        <f ca="1"/>
        <v>BV45722</v>
      </c>
      <c r="C1123" s="8" t="str">
        <v>Pedido 1110</v>
      </c>
      <c r="D1123" s="9">
        <v>45722</v>
      </c>
      <c r="E1123" s="9">
        <v>45722</v>
      </c>
      <c r="F1123" s="8" t="str">
        <v>PedidoF1088</v>
      </c>
      <c r="G1123" s="2" t="str">
        <v>CódRastreio1086</v>
      </c>
      <c r="H1123" s="5">
        <v>1</v>
      </c>
      <c r="I1123" s="2" t="str">
        <v>CPF 1079</v>
      </c>
      <c r="J1123" s="2" t="str">
        <v>Nome 1079</v>
      </c>
      <c r="K1123" s="8" t="str">
        <v>Tel 1079</v>
      </c>
      <c r="L1123" s="8" t="str">
        <v>Cep 1079</v>
      </c>
      <c r="M1123" s="8" t="str">
        <v>Rua 1079</v>
      </c>
      <c r="N1123" s="8" t="str">
        <v>Comp 1079</v>
      </c>
      <c r="O1123" s="8" t="str">
        <v>Garrafa Termica</v>
      </c>
      <c r="P1123" s="8" t="str">
        <v>FM-QQ8Y-RZT4</v>
      </c>
      <c r="Q1123" s="4">
        <v>45743</v>
      </c>
      <c r="R1123" s="109">
        <v>23.5</v>
      </c>
      <c r="S1123" s="11">
        <f ca="1"/>
        <v>23.5</v>
      </c>
      <c r="T1123" s="28">
        <f ca="1"/>
        <v>3.0550000000000002</v>
      </c>
      <c r="U1123" s="11">
        <f ca="1"/>
        <v>20.45</v>
      </c>
      <c r="V1123" s="11">
        <v>0</v>
      </c>
      <c r="W1123" s="11">
        <f ca="1"/>
        <v>0.19</v>
      </c>
      <c r="X1123" s="11">
        <f ca="1"/>
        <v>0.39877104377104378</v>
      </c>
      <c r="Y1123" s="11">
        <v>0</v>
      </c>
      <c r="Z1123" s="11">
        <f ca="1"/>
        <v>19.861228956228956</v>
      </c>
      <c r="AA1123" s="11">
        <f ca="1"/>
        <v>9.9306144781144781</v>
      </c>
      <c r="AB1123" s="4">
        <f ca="1"/>
        <v>45750</v>
      </c>
      <c r="AC1123" s="4">
        <v>45750</v>
      </c>
      <c r="AD1123" s="9">
        <v>45762</v>
      </c>
      <c r="AE1123" s="9">
        <v>45763</v>
      </c>
      <c r="AF1123" s="4" t="str">
        <f t="shared" ref="AF1123:AF1128" ca="1" si="73">_xlfn.CONCAT(PROPER(TEXT(AB1123,"aaaa"))," ",PROPER(TEXT(AB1123,"mm")))</f>
        <v>2025 04</v>
      </c>
      <c r="AG1123" s="8" t="str" cm="1">
        <f t="array" ref="AG1123">IFERROR(_xlfn.IFS('Banco de Dados'!#REF!="AG. COMPRA","Em processamento",'Banco de Dados'!#REF!="AG. RASTREIO","Em processamento",'Banco de Dados'!$AE1123&lt;&gt;"-","Faturado",'Banco de Dados'!$AD1123&lt;&gt;"-","Aguardando Pix",'Banco de Dados'!$AC1123&lt;&gt;"-","Pendente"),"Aguardando Liberação")</f>
        <v>Aguardando Liberação</v>
      </c>
      <c r="AH1123" s="5" t="str">
        <f>IF('Banco de Dados'!$F1123="-",_xlfn.CONCAT(PROPER(TEXT(AK1123,"aaaa"))," ",PROPER(TEXT(AK1123,"mm"))),_xlfn.CONCAT(PROPER(TEXT(E1123,"aaaa"))," ",PROPER(TEXT(E1123,"mm"))))</f>
        <v>2025 03</v>
      </c>
      <c r="AI1123" s="9" t="str">
        <f ca="1">IF('Banco de Dados'!$AK1123&lt;&gt;"-","REEMBOLSO",IFERROR(_xlfn.XLOOKUP(G1123,Follow[CODRASTREIO],Follow[STATUS]),"-"))</f>
        <v>ENTREGUE</v>
      </c>
      <c r="AJ1123" s="9">
        <f ca="1">IF('Banco de Dados'!$AI1123="ENTREGUE",_xlfn.XLOOKUP('Banco de Dados'!$G1123,Follow[CODRASTREIO],Follow[DATAATUALIZAÇÃO]),"-")</f>
        <v>45742</v>
      </c>
      <c r="AK1123" s="132" t="str">
        <f ca="1"/>
        <v>-</v>
      </c>
      <c r="AL1123" s="35"/>
      <c r="AM1123" s="109" cm="1">
        <f t="array" aca="1" ref="AM1123" ca="1">IF('Banco de Dados'!$AK1123&lt;&gt;"-",_xlfn.IFS('Banco de Dados'!$A1123="bv",IF('Banco de Dados'!$E1123&lt;45641,ROUND(SUM('Banco de Dados'!$R1123*_xlfn.XLOOKUP('Banco de Dados'!$P1123,Sku!B:B,Sku!#REF!)*20%),2),ROUND(SUM('Banco de Dados'!$R1123*_xlfn.XLOOKUP('Banco de Dados'!$P1123,Sku!B:B,Sku!H:H)*20%),2)),'Banco de Dados'!$A1123="GO",ROUND(_xlfn.XLOOKUP('Banco de Dados'!$P1123,Sku!C:C,Sku!H:H),2),'Banco de Dados'!$A1123="MEI",ROUND(_xlfn.XLOOKUP('Banco de Dados'!$P1123,Sku!D:D,Sku!H:H),2)),0)</f>
        <v>0</v>
      </c>
      <c r="AN1123" s="109">
        <f ca="1">IF('Banco de Dados'!$AK1123&lt;&gt;"-",IF('Banco de Dados'!$F1123&lt;&gt;"-",_xlfn.XLOOKUP(IFERROR(IFERROR(IFERROR(VALUE(SUBSTITUTE(MID(_xlfn.TEXTAFTER('Banco de Dados'!$F1123,"Data do Pedido:
",1),1,10),"-","/")),VALUE(SUBSTITUTE(MID(_xlfn.TEXTAFTER('Banco de Dados'!$F1123,"Order date:
",1),1,10),"-","/"))),VALUE(SUBSTITUTE(MID(_xlfn.TEXTAFTER('Banco de Dados'!$F1123,"Fecha de pedido:
",1),1,10),"-","/"))),"-"),SMS!A:A,SMS!K:K),0),0)</f>
        <v>0</v>
      </c>
      <c r="AO1123" s="109">
        <f ca="1">IF('Banco de Dados'!$AK1123&lt;&gt;"-",IF('Banco de Dados'!$F1123&lt;&gt;"-",IFERROR(_xlfn.XLOOKUP(_xlfn.CONCAT('Banco de Dados'!$A1123,IFERROR(IFERROR(VALUE(SUBSTITUTE(MID(_xlfn.TEXTAFTER('Banco de Dados'!$F1123,"Data do Pedido:
",1),1,10),"-","/")),VALUE(SUBSTITUTE(MID(_xlfn.TEXTAFTER('Banco de Dados'!$F1123,"Order date:
",1),1,10),"-","/"))),0)),ProxyDD[Chave],ProxyDD[Valor por pedido]),PROXY!$P$2),0),0)</f>
        <v>0</v>
      </c>
      <c r="AP1123" s="28">
        <f ca="1">IF('Banco de Dados'!$AK1123&lt;&gt;"-",IF('Banco de Dados'!$AL1123="NÃO",IFERROR(VALUE(SUBSTITUTE(_xlfn.TEXTAFTER('Banco de Dados'!$F1123,"BRL ",1),".",",")),0),0),0)</f>
        <v>0</v>
      </c>
      <c r="AQ1123" s="28">
        <f ca="1">SUM('Banco de Dados'!$AM1123:$AP1123)</f>
        <v>0</v>
      </c>
      <c r="AR1123" s="8"/>
      <c r="AY1123" s="8"/>
    </row>
    <row r="1124" spans="1:51">
      <c r="A1124" s="5" t="str">
        <v>BV</v>
      </c>
      <c r="B1124" s="5" t="str">
        <f ca="1"/>
        <v>BV45722</v>
      </c>
      <c r="C1124" s="8" t="str">
        <v>Pedido 1111</v>
      </c>
      <c r="D1124" s="9">
        <v>45722</v>
      </c>
      <c r="E1124" s="9">
        <v>45722</v>
      </c>
      <c r="F1124" s="8" t="str">
        <v>PedidoF1089</v>
      </c>
      <c r="G1124" s="2" t="str">
        <v>CódRastreio1087</v>
      </c>
      <c r="H1124" s="5">
        <v>1</v>
      </c>
      <c r="I1124" s="2" t="str">
        <v>CPF 1080</v>
      </c>
      <c r="J1124" s="2" t="str">
        <v>Nome 1080</v>
      </c>
      <c r="K1124" s="8" t="str">
        <v>Tel 1080</v>
      </c>
      <c r="L1124" s="8" t="str">
        <v>Cep 1080</v>
      </c>
      <c r="M1124" s="8" t="str">
        <v>Rua 1080</v>
      </c>
      <c r="N1124" s="8" t="str">
        <v>Comp 1080</v>
      </c>
      <c r="O1124" s="8" t="str">
        <v>Karaoke portátil</v>
      </c>
      <c r="P1124" s="8" t="str">
        <v>08-PAJ9-YM9P</v>
      </c>
      <c r="Q1124" s="4">
        <v>45756</v>
      </c>
      <c r="R1124" s="109">
        <v>55.99</v>
      </c>
      <c r="S1124" s="11">
        <f ca="1"/>
        <v>55.99</v>
      </c>
      <c r="T1124" s="28">
        <f ca="1"/>
        <v>8.3985000000000003</v>
      </c>
      <c r="U1124" s="11">
        <f ca="1"/>
        <v>47.59</v>
      </c>
      <c r="V1124" s="11">
        <v>14.07</v>
      </c>
      <c r="W1124" s="11">
        <f ca="1"/>
        <v>0.19</v>
      </c>
      <c r="X1124" s="11">
        <f ca="1"/>
        <v>0.39877104377104378</v>
      </c>
      <c r="Y1124" s="11">
        <v>0</v>
      </c>
      <c r="Z1124" s="11">
        <f ca="1"/>
        <v>32.931228956228964</v>
      </c>
      <c r="AA1124" s="11">
        <f ca="1"/>
        <v>16.465614478114482</v>
      </c>
      <c r="AB1124" s="4">
        <f ca="1"/>
        <v>45763</v>
      </c>
      <c r="AC1124" s="4">
        <v>45763</v>
      </c>
      <c r="AD1124" s="9">
        <v>45779</v>
      </c>
      <c r="AE1124" s="9">
        <v>45783</v>
      </c>
      <c r="AF1124" s="4" t="str">
        <f t="shared" ca="1" si="73"/>
        <v>2025 04</v>
      </c>
      <c r="AG1124" s="8" t="str" cm="1">
        <f t="array" ref="AG1124">IFERROR(_xlfn.IFS('Banco de Dados'!#REF!="AG. COMPRA","Em processamento",'Banco de Dados'!#REF!="AG. RASTREIO","Em processamento",'Banco de Dados'!$AE1124&lt;&gt;"-","Faturado",'Banco de Dados'!$AD1124&lt;&gt;"-","Aguardando Pix",'Banco de Dados'!$AC1124&lt;&gt;"-","Pendente"),"Aguardando Liberação")</f>
        <v>Aguardando Liberação</v>
      </c>
      <c r="AH1124" s="5" t="str">
        <f>IF('Banco de Dados'!$F1124="-",_xlfn.CONCAT(PROPER(TEXT(AK1124,"aaaa"))," ",PROPER(TEXT(AK1124,"mm"))),_xlfn.CONCAT(PROPER(TEXT(E1124,"aaaa"))," ",PROPER(TEXT(E1124,"mm"))))</f>
        <v>2025 03</v>
      </c>
      <c r="AI1124" s="9" t="str">
        <f ca="1">IF('Banco de Dados'!$AK1124&lt;&gt;"-","REEMBOLSO",IFERROR(_xlfn.XLOOKUP(G1124,Follow[CODRASTREIO],Follow[STATUS]),"-"))</f>
        <v>ENTREGUE</v>
      </c>
      <c r="AJ1124" s="9">
        <f ca="1">IF('Banco de Dados'!$AI1124="ENTREGUE",_xlfn.XLOOKUP('Banco de Dados'!$G1124,Follow[CODRASTREIO],Follow[DATAATUALIZAÇÃO]),"-")</f>
        <v>45743</v>
      </c>
      <c r="AK1124" s="132" t="str">
        <f ca="1"/>
        <v>-</v>
      </c>
      <c r="AL1124" s="35"/>
      <c r="AM1124" s="109" cm="1">
        <f t="array" aca="1" ref="AM1124" ca="1">IF('Banco de Dados'!$AK1124&lt;&gt;"-",_xlfn.IFS('Banco de Dados'!$A1124="bv",IF('Banco de Dados'!$E1124&lt;45641,ROUND(SUM('Banco de Dados'!$R1124*_xlfn.XLOOKUP('Banco de Dados'!$P1124,Sku!B:B,Sku!#REF!)*20%),2),ROUND(SUM('Banco de Dados'!$R1124*_xlfn.XLOOKUP('Banco de Dados'!$P1124,Sku!B:B,Sku!H:H)*20%),2)),'Banco de Dados'!$A1124="GO",ROUND(_xlfn.XLOOKUP('Banco de Dados'!$P1124,Sku!C:C,Sku!H:H),2),'Banco de Dados'!$A1124="MEI",ROUND(_xlfn.XLOOKUP('Banco de Dados'!$P1124,Sku!D:D,Sku!H:H),2)),0)</f>
        <v>0</v>
      </c>
      <c r="AN1124" s="109">
        <f ca="1">IF('Banco de Dados'!$AK1124&lt;&gt;"-",IF('Banco de Dados'!$F1124&lt;&gt;"-",_xlfn.XLOOKUP(IFERROR(IFERROR(IFERROR(VALUE(SUBSTITUTE(MID(_xlfn.TEXTAFTER('Banco de Dados'!$F1124,"Data do Pedido:
",1),1,10),"-","/")),VALUE(SUBSTITUTE(MID(_xlfn.TEXTAFTER('Banco de Dados'!$F1124,"Order date:
",1),1,10),"-","/"))),VALUE(SUBSTITUTE(MID(_xlfn.TEXTAFTER('Banco de Dados'!$F1124,"Fecha de pedido:
",1),1,10),"-","/"))),"-"),SMS!A:A,SMS!K:K),0),0)</f>
        <v>0</v>
      </c>
      <c r="AO1124" s="109">
        <f ca="1">IF('Banco de Dados'!$AK1124&lt;&gt;"-",IF('Banco de Dados'!$F1124&lt;&gt;"-",IFERROR(_xlfn.XLOOKUP(_xlfn.CONCAT('Banco de Dados'!$A1124,IFERROR(IFERROR(VALUE(SUBSTITUTE(MID(_xlfn.TEXTAFTER('Banco de Dados'!$F1124,"Data do Pedido:
",1),1,10),"-","/")),VALUE(SUBSTITUTE(MID(_xlfn.TEXTAFTER('Banco de Dados'!$F1124,"Order date:
",1),1,10),"-","/"))),0)),ProxyDD[Chave],ProxyDD[Valor por pedido]),PROXY!$P$2),0),0)</f>
        <v>0</v>
      </c>
      <c r="AP1124" s="28">
        <f ca="1">IF('Banco de Dados'!$AK1124&lt;&gt;"-",IF('Banco de Dados'!$AL1124="NÃO",IFERROR(VALUE(SUBSTITUTE(_xlfn.TEXTAFTER('Banco de Dados'!$F1124,"BRL ",1),".",",")),0),0),0)</f>
        <v>0</v>
      </c>
      <c r="AQ1124" s="28">
        <f ca="1">SUM('Banco de Dados'!$AM1124:$AP1124)</f>
        <v>0</v>
      </c>
      <c r="AR1124" s="8"/>
      <c r="AY1124" s="8"/>
    </row>
    <row r="1125" spans="1:51">
      <c r="A1125" s="5" t="str">
        <v>MEI</v>
      </c>
      <c r="B1125" s="5" t="str">
        <f ca="1"/>
        <v>MEI45722</v>
      </c>
      <c r="C1125" s="8" t="str">
        <v>Pedido 1112</v>
      </c>
      <c r="D1125" s="187">
        <v>45722</v>
      </c>
      <c r="E1125" s="9">
        <v>45722</v>
      </c>
      <c r="F1125" s="8" t="str">
        <v>PedidoF1090</v>
      </c>
      <c r="G1125" s="2" t="str">
        <v>CódRastreio1088</v>
      </c>
      <c r="H1125" s="5">
        <v>1</v>
      </c>
      <c r="I1125" s="2" t="str">
        <v>CPF 1081</v>
      </c>
      <c r="J1125" s="2" t="str">
        <v>Nome 1081</v>
      </c>
      <c r="K1125" s="8" t="str">
        <v>Tel 1081</v>
      </c>
      <c r="L1125" s="8" t="str">
        <v>Cep 1081</v>
      </c>
      <c r="M1125" s="8" t="str">
        <v>Rua 1081</v>
      </c>
      <c r="N1125" s="8" t="str">
        <v>Comp 1081</v>
      </c>
      <c r="O1125" s="8" t="str">
        <v>Ventilador Preto</v>
      </c>
      <c r="P1125" s="8" t="str">
        <v>WU-SS4J-LFOH</v>
      </c>
      <c r="Q1125" s="4">
        <v>45745</v>
      </c>
      <c r="R1125" s="109">
        <v>65.599999999999994</v>
      </c>
      <c r="S1125" s="11">
        <f ca="1"/>
        <v>65.599999999999994</v>
      </c>
      <c r="T1125" s="28">
        <f ca="1"/>
        <v>8.5279999999999987</v>
      </c>
      <c r="U1125" s="11">
        <f ca="1"/>
        <v>57.07</v>
      </c>
      <c r="V1125" s="11">
        <v>11.74</v>
      </c>
      <c r="W1125" s="11">
        <f ca="1"/>
        <v>0.2</v>
      </c>
      <c r="X1125" s="11">
        <f ca="1"/>
        <v>0.39877104377104378</v>
      </c>
      <c r="Y1125" s="11">
        <v>0</v>
      </c>
      <c r="Z1125" s="11">
        <f ca="1"/>
        <v>44.731228956228961</v>
      </c>
      <c r="AA1125" s="11">
        <f ca="1"/>
        <v>22.36561447811448</v>
      </c>
      <c r="AB1125" s="4">
        <f ca="1"/>
        <v>45752</v>
      </c>
      <c r="AC1125" s="4">
        <v>45752</v>
      </c>
      <c r="AD1125" s="9">
        <v>45762</v>
      </c>
      <c r="AE1125" s="9">
        <v>45763</v>
      </c>
      <c r="AF1125" s="4" t="str">
        <f t="shared" ca="1" si="73"/>
        <v>2025 04</v>
      </c>
      <c r="AG1125" s="8" t="str" cm="1">
        <f t="array" ref="AG1125">IFERROR(_xlfn.IFS('Banco de Dados'!#REF!="AG. COMPRA","Em processamento",'Banco de Dados'!#REF!="AG. RASTREIO","Em processamento",'Banco de Dados'!$AE1125&lt;&gt;"-","Faturado",'Banco de Dados'!$AD1125&lt;&gt;"-","Aguardando Pix",'Banco de Dados'!$AC1125&lt;&gt;"-","Pendente"),"Aguardando Liberação")</f>
        <v>Aguardando Liberação</v>
      </c>
      <c r="AH1125" s="5" t="str">
        <f>IF('Banco de Dados'!$F1125="-",_xlfn.CONCAT(PROPER(TEXT(AK1125,"aaaa"))," ",PROPER(TEXT(AK1125,"mm"))),_xlfn.CONCAT(PROPER(TEXT(E1125,"aaaa"))," ",PROPER(TEXT(E1125,"mm"))))</f>
        <v>2025 03</v>
      </c>
      <c r="AI1125" s="9" t="str">
        <f ca="1">IF('Banco de Dados'!$AK1125&lt;&gt;"-","REEMBOLSO",IFERROR(_xlfn.XLOOKUP(G1125,Follow[CODRASTREIO],Follow[STATUS]),"-"))</f>
        <v>ENTREGUE</v>
      </c>
      <c r="AJ1125" s="9">
        <f ca="1">IF('Banco de Dados'!$AI1125="ENTREGUE",_xlfn.XLOOKUP('Banco de Dados'!$G1125,Follow[CODRASTREIO],Follow[DATAATUALIZAÇÃO]),"-")</f>
        <v>45734</v>
      </c>
      <c r="AK1125" s="132" t="str">
        <f ca="1"/>
        <v>-</v>
      </c>
      <c r="AL1125" s="35"/>
      <c r="AM1125" s="109" cm="1">
        <f t="array" aca="1" ref="AM1125" ca="1">IF('Banco de Dados'!$AK1125&lt;&gt;"-",_xlfn.IFS('Banco de Dados'!$A1125="bv",IF('Banco de Dados'!$E1125&lt;45641,ROUND(SUM('Banco de Dados'!$R1125*_xlfn.XLOOKUP('Banco de Dados'!$P1125,Sku!B:B,Sku!#REF!)*20%),2),ROUND(SUM('Banco de Dados'!$R1125*_xlfn.XLOOKUP('Banco de Dados'!$P1125,Sku!B:B,Sku!H:H)*20%),2)),'Banco de Dados'!$A1125="GO",ROUND(SUM('Banco de Dados'!$R1125*_xlfn.XLOOKUP('Banco de Dados'!$P1125,Sku!C:C,Sku!H:H)*20%),2),'Banco de Dados'!$A1125="MEI",ROUND(SUM('Banco de Dados'!$R1125*_xlfn.XLOOKUP('Banco de Dados'!$P1125,Sku!D:D,Sku!H:H)*20%),2)),0)</f>
        <v>0</v>
      </c>
      <c r="AN1125" s="109">
        <f ca="1">IF('Banco de Dados'!$AK1125&lt;&gt;"-",IF('Banco de Dados'!$F1125&lt;&gt;"-",_xlfn.XLOOKUP(IFERROR(IFERROR(IFERROR(VALUE(SUBSTITUTE(MID(_xlfn.TEXTAFTER('Banco de Dados'!$F1125,"Data do Pedido:
",1),1,10),"-","/")),VALUE(SUBSTITUTE(MID(_xlfn.TEXTAFTER('Banco de Dados'!$F1125,"Order date:
",1),1,10),"-","/"))),VALUE(SUBSTITUTE(MID(_xlfn.TEXTAFTER('Banco de Dados'!$F1125,"Fecha de pedido:
",1),1,10),"-","/"))),"-"),SMS!A:A,SMS!K:K),0),0)</f>
        <v>0</v>
      </c>
      <c r="AO1125" s="109">
        <f ca="1">IF('Banco de Dados'!$AK1125&lt;&gt;"-",IF('Banco de Dados'!$F1125&lt;&gt;"-",IFERROR(_xlfn.XLOOKUP(_xlfn.CONCAT('Banco de Dados'!$A1125,IFERROR(IFERROR(VALUE(SUBSTITUTE(MID(_xlfn.TEXTAFTER('Banco de Dados'!$F1125,"Data do Pedido:
",1),1,10),"-","/")),VALUE(SUBSTITUTE(MID(_xlfn.TEXTAFTER('Banco de Dados'!$F1125,"Order date:
",1),1,10),"-","/"))),0)),ProxyDD[Chave],ProxyDD[Valor por pedido]),PROXY!$P$2),0),0)</f>
        <v>0</v>
      </c>
      <c r="AP1125" s="28">
        <f ca="1">IF('Banco de Dados'!$AK1125&lt;&gt;"-",IF('Banco de Dados'!$AL1125="NÃO",IFERROR(VALUE(SUBSTITUTE(_xlfn.TEXTAFTER('Banco de Dados'!$F1125,"BRL ",1),".",",")),0),0),0)</f>
        <v>0</v>
      </c>
      <c r="AQ1125" s="28">
        <f ca="1">SUM('Banco de Dados'!$AM1125:$AP1125)</f>
        <v>0</v>
      </c>
      <c r="AR1125" s="8"/>
      <c r="AY1125" s="8"/>
    </row>
    <row r="1126" spans="1:51">
      <c r="A1126" s="5" t="str">
        <v>MEI</v>
      </c>
      <c r="B1126" s="5" t="str">
        <f ca="1"/>
        <v>MEI45722</v>
      </c>
      <c r="C1126" s="8" t="str">
        <v>Pedido 1113</v>
      </c>
      <c r="D1126" s="187">
        <v>45722</v>
      </c>
      <c r="E1126" s="9">
        <v>45722</v>
      </c>
      <c r="F1126" s="8" t="str">
        <v>PedidoF1091</v>
      </c>
      <c r="G1126" s="2" t="str">
        <v>CódRastreio1089</v>
      </c>
      <c r="H1126" s="5">
        <v>1</v>
      </c>
      <c r="I1126" s="2" t="str">
        <v>CPF 1082</v>
      </c>
      <c r="J1126" s="2" t="str">
        <v>Nome 1082</v>
      </c>
      <c r="K1126" s="8" t="str">
        <v>Tel 1082</v>
      </c>
      <c r="L1126" s="8" t="str">
        <v>Cep 1082</v>
      </c>
      <c r="M1126" s="8" t="str">
        <v>Rua 1082</v>
      </c>
      <c r="N1126" s="8" t="str">
        <v>Comp 1082</v>
      </c>
      <c r="O1126" s="8" t="str">
        <v>Mini Liquidificador</v>
      </c>
      <c r="P1126" s="8" t="str">
        <v>A4-5W51-K3HF</v>
      </c>
      <c r="Q1126" s="4">
        <v>45737</v>
      </c>
      <c r="R1126" s="109">
        <v>30.95</v>
      </c>
      <c r="S1126" s="11">
        <f ca="1"/>
        <v>30.95</v>
      </c>
      <c r="T1126" s="28">
        <f ca="1"/>
        <v>4.3330000000000002</v>
      </c>
      <c r="U1126" s="11">
        <f ca="1"/>
        <v>26.62</v>
      </c>
      <c r="V1126" s="11">
        <v>13.99</v>
      </c>
      <c r="W1126" s="11">
        <f ca="1"/>
        <v>0.2</v>
      </c>
      <c r="X1126" s="11">
        <f ca="1"/>
        <v>0.39877104377104378</v>
      </c>
      <c r="Y1126" s="11">
        <v>0</v>
      </c>
      <c r="Z1126" s="11">
        <f ca="1"/>
        <v>12.031228956228958</v>
      </c>
      <c r="AA1126" s="11">
        <f ca="1"/>
        <v>6.0156144781144789</v>
      </c>
      <c r="AB1126" s="4">
        <f ca="1"/>
        <v>45744</v>
      </c>
      <c r="AC1126" s="4">
        <v>45744</v>
      </c>
      <c r="AD1126" s="9">
        <v>45747</v>
      </c>
      <c r="AE1126" s="9">
        <v>45749</v>
      </c>
      <c r="AF1126" s="4" t="str">
        <f t="shared" ca="1" si="73"/>
        <v>2025 03</v>
      </c>
      <c r="AG1126" s="8" t="str" cm="1">
        <f t="array" ref="AG1126">IFERROR(_xlfn.IFS('Banco de Dados'!#REF!="AG. COMPRA","Em processamento",'Banco de Dados'!#REF!="AG. RASTREIO","Em processamento",'Banco de Dados'!$AE1126&lt;&gt;"-","Faturado",'Banco de Dados'!$AD1126&lt;&gt;"-","Aguardando Pix",'Banco de Dados'!$AC1126&lt;&gt;"-","Pendente"),"Aguardando Liberação")</f>
        <v>Aguardando Liberação</v>
      </c>
      <c r="AH1126" s="5" t="str">
        <f>IF('Banco de Dados'!$F1126="-",_xlfn.CONCAT(PROPER(TEXT(AK1126,"aaaa"))," ",PROPER(TEXT(AK1126,"mm"))),_xlfn.CONCAT(PROPER(TEXT(E1126,"aaaa"))," ",PROPER(TEXT(E1126,"mm"))))</f>
        <v>2025 03</v>
      </c>
      <c r="AI1126" s="9" t="str">
        <f ca="1">IF('Banco de Dados'!$AK1126&lt;&gt;"-","REEMBOLSO",IFERROR(_xlfn.XLOOKUP(G1126,Follow[CODRASTREIO],Follow[STATUS]),"-"))</f>
        <v>ENTREGUE</v>
      </c>
      <c r="AJ1126" s="9">
        <f ca="1">IF('Banco de Dados'!$AI1126="ENTREGUE",_xlfn.XLOOKUP('Banco de Dados'!$G1126,Follow[CODRASTREIO],Follow[DATAATUALIZAÇÃO]),"-")</f>
        <v>45729</v>
      </c>
      <c r="AK1126" s="132" t="str">
        <f ca="1"/>
        <v>-</v>
      </c>
      <c r="AL1126" s="35"/>
      <c r="AM1126" s="109" cm="1">
        <f t="array" aca="1" ref="AM1126" ca="1">IF('Banco de Dados'!$AK1126&lt;&gt;"-",_xlfn.IFS('Banco de Dados'!$A1126="bv",IF('Banco de Dados'!$E1126&lt;45641,ROUND(SUM('Banco de Dados'!$R1126*_xlfn.XLOOKUP('Banco de Dados'!$P1126,Sku!B:B,Sku!#REF!)*20%),2),ROUND(SUM('Banco de Dados'!$R1126*_xlfn.XLOOKUP('Banco de Dados'!$P1126,Sku!B:B,Sku!H:H)*20%),2)),'Banco de Dados'!$A1126="GO",ROUND(SUM('Banco de Dados'!$R1126*_xlfn.XLOOKUP('Banco de Dados'!$P1126,Sku!C:C,Sku!H:H)*20%),2),'Banco de Dados'!$A1126="MEI",ROUND(SUM('Banco de Dados'!$R1126*_xlfn.XLOOKUP('Banco de Dados'!$P1126,Sku!D:D,Sku!H:H)*20%),2)),0)</f>
        <v>0</v>
      </c>
      <c r="AN1126" s="109">
        <f ca="1">IF('Banco de Dados'!$AK1126&lt;&gt;"-",IF('Banco de Dados'!$F1126&lt;&gt;"-",_xlfn.XLOOKUP(IFERROR(IFERROR(IFERROR(VALUE(SUBSTITUTE(MID(_xlfn.TEXTAFTER('Banco de Dados'!$F1126,"Data do Pedido:
",1),1,10),"-","/")),VALUE(SUBSTITUTE(MID(_xlfn.TEXTAFTER('Banco de Dados'!$F1126,"Order date:
",1),1,10),"-","/"))),VALUE(SUBSTITUTE(MID(_xlfn.TEXTAFTER('Banco de Dados'!$F1126,"Fecha de pedido:
",1),1,10),"-","/"))),"-"),SMS!A:A,SMS!K:K),0),0)</f>
        <v>0</v>
      </c>
      <c r="AO1126" s="109">
        <f ca="1">IF('Banco de Dados'!$AK1126&lt;&gt;"-",IF('Banco de Dados'!$F1126&lt;&gt;"-",IFERROR(_xlfn.XLOOKUP(_xlfn.CONCAT('Banco de Dados'!$A1126,IFERROR(IFERROR(VALUE(SUBSTITUTE(MID(_xlfn.TEXTAFTER('Banco de Dados'!$F1126,"Data do Pedido:
",1),1,10),"-","/")),VALUE(SUBSTITUTE(MID(_xlfn.TEXTAFTER('Banco de Dados'!$F1126,"Order date:
",1),1,10),"-","/"))),0)),ProxyDD[Chave],ProxyDD[Valor por pedido]),PROXY!$P$2),0),0)</f>
        <v>0</v>
      </c>
      <c r="AP1126" s="28">
        <f ca="1">IF('Banco de Dados'!$AK1126&lt;&gt;"-",IF('Banco de Dados'!$AL1126="NÃO",IFERROR(VALUE(SUBSTITUTE(_xlfn.TEXTAFTER('Banco de Dados'!$F1126,"BRL ",1),".",",")),0),0),0)</f>
        <v>0</v>
      </c>
      <c r="AQ1126" s="28">
        <f ca="1">SUM('Banco de Dados'!$AM1126:$AP1126)</f>
        <v>0</v>
      </c>
      <c r="AR1126" s="8"/>
      <c r="AY1126" s="8"/>
    </row>
    <row r="1127" spans="1:51">
      <c r="A1127" s="5" t="str">
        <v>MEI</v>
      </c>
      <c r="B1127" s="5" t="str">
        <f ca="1"/>
        <v>MEI45722</v>
      </c>
      <c r="C1127" s="8" t="str">
        <v>Pedido 1114</v>
      </c>
      <c r="D1127" s="187">
        <v>45722</v>
      </c>
      <c r="E1127" s="9">
        <v>45722</v>
      </c>
      <c r="F1127" s="8" t="str">
        <v>PedidoF1092</v>
      </c>
      <c r="G1127" s="2" t="str">
        <v>CódRastreio1090</v>
      </c>
      <c r="H1127" s="5">
        <v>1</v>
      </c>
      <c r="I1127" s="2" t="str">
        <v>CPF 1083</v>
      </c>
      <c r="J1127" s="2" t="str">
        <v>Nome 1083</v>
      </c>
      <c r="K1127" s="8" t="str">
        <v>Tel 1083</v>
      </c>
      <c r="L1127" s="8" t="str">
        <v>Cep 1083</v>
      </c>
      <c r="M1127" s="8" t="str">
        <v>Rua 1083</v>
      </c>
      <c r="N1127" s="8" t="str">
        <v>Comp 1083</v>
      </c>
      <c r="O1127" s="8" t="str">
        <v>Ventilador Preto</v>
      </c>
      <c r="P1127" s="8" t="str">
        <v>WU-SS4J-LFOH</v>
      </c>
      <c r="Q1127" s="4">
        <v>45749</v>
      </c>
      <c r="R1127" s="109">
        <v>65.599999999999994</v>
      </c>
      <c r="S1127" s="11">
        <f ca="1"/>
        <v>65.599999999999994</v>
      </c>
      <c r="T1127" s="28">
        <f ca="1"/>
        <v>8.5279999999999987</v>
      </c>
      <c r="U1127" s="11">
        <f ca="1"/>
        <v>57.07</v>
      </c>
      <c r="V1127" s="11">
        <v>11.74</v>
      </c>
      <c r="W1127" s="11">
        <f ca="1"/>
        <v>0.2</v>
      </c>
      <c r="X1127" s="11">
        <f ca="1"/>
        <v>0.39877104377104378</v>
      </c>
      <c r="Y1127" s="11">
        <v>0</v>
      </c>
      <c r="Z1127" s="11">
        <f ca="1"/>
        <v>44.731228956228961</v>
      </c>
      <c r="AA1127" s="11">
        <f ca="1"/>
        <v>22.36561447811448</v>
      </c>
      <c r="AB1127" s="4">
        <f ca="1"/>
        <v>45756</v>
      </c>
      <c r="AC1127" s="4">
        <v>45756</v>
      </c>
      <c r="AD1127" s="9">
        <v>45762</v>
      </c>
      <c r="AE1127" s="9">
        <v>45763</v>
      </c>
      <c r="AF1127" s="4" t="str">
        <f t="shared" ca="1" si="73"/>
        <v>2025 04</v>
      </c>
      <c r="AG1127" s="8" t="str" cm="1">
        <f t="array" ref="AG1127">IFERROR(_xlfn.IFS('Banco de Dados'!#REF!="AG. COMPRA","Em processamento",'Banco de Dados'!#REF!="AG. RASTREIO","Em processamento",'Banco de Dados'!$AE1127&lt;&gt;"-","Faturado",'Banco de Dados'!$AD1127&lt;&gt;"-","Aguardando Pix",'Banco de Dados'!$AC1127&lt;&gt;"-","Pendente"),"Aguardando Liberação")</f>
        <v>Aguardando Liberação</v>
      </c>
      <c r="AH1127" s="5" t="str">
        <f>IF('Banco de Dados'!$F1127="-",_xlfn.CONCAT(PROPER(TEXT(AK1127,"aaaa"))," ",PROPER(TEXT(AK1127,"mm"))),_xlfn.CONCAT(PROPER(TEXT(E1127,"aaaa"))," ",PROPER(TEXT(E1127,"mm"))))</f>
        <v>2025 03</v>
      </c>
      <c r="AI1127" s="9" t="str">
        <f ca="1">IF('Banco de Dados'!$AK1127&lt;&gt;"-","REEMBOLSO",IFERROR(_xlfn.XLOOKUP(G1127,Follow[CODRASTREIO],Follow[STATUS]),"-"))</f>
        <v>ENTREGUE</v>
      </c>
      <c r="AJ1127" s="9">
        <f ca="1">IF('Banco de Dados'!$AI1127="ENTREGUE",_xlfn.XLOOKUP('Banco de Dados'!$G1127,Follow[CODRASTREIO],Follow[DATAATUALIZAÇÃO]),"-")</f>
        <v>45734</v>
      </c>
      <c r="AK1127" s="132" t="str">
        <f ca="1"/>
        <v>-</v>
      </c>
      <c r="AL1127" s="35"/>
      <c r="AM1127" s="109" cm="1">
        <f t="array" aca="1" ref="AM1127" ca="1">IF('Banco de Dados'!$AK1127&lt;&gt;"-",_xlfn.IFS('Banco de Dados'!$A1127="bv",IF('Banco de Dados'!$E1127&lt;45641,ROUND(SUM('Banco de Dados'!$R1127*_xlfn.XLOOKUP('Banco de Dados'!$P1127,Sku!B:B,Sku!#REF!)*20%),2),ROUND(SUM('Banco de Dados'!$R1127*_xlfn.XLOOKUP('Banco de Dados'!$P1127,Sku!B:B,Sku!H:H)*20%),2)),'Banco de Dados'!$A1127="GO",ROUND(SUM('Banco de Dados'!$R1127*_xlfn.XLOOKUP('Banco de Dados'!$P1127,Sku!C:C,Sku!H:H)*20%),2),'Banco de Dados'!$A1127="MEI",ROUND(SUM('Banco de Dados'!$R1127*_xlfn.XLOOKUP('Banco de Dados'!$P1127,Sku!D:D,Sku!H:H)*20%),2)),0)</f>
        <v>0</v>
      </c>
      <c r="AN1127" s="109">
        <f ca="1">IF('Banco de Dados'!$AK1127&lt;&gt;"-",IF('Banco de Dados'!$F1127&lt;&gt;"-",_xlfn.XLOOKUP(IFERROR(IFERROR(IFERROR(VALUE(SUBSTITUTE(MID(_xlfn.TEXTAFTER('Banco de Dados'!$F1127,"Data do Pedido:
",1),1,10),"-","/")),VALUE(SUBSTITUTE(MID(_xlfn.TEXTAFTER('Banco de Dados'!$F1127,"Order date:
",1),1,10),"-","/"))),VALUE(SUBSTITUTE(MID(_xlfn.TEXTAFTER('Banco de Dados'!$F1127,"Fecha de pedido:
",1),1,10),"-","/"))),"-"),SMS!A:A,SMS!K:K),0),0)</f>
        <v>0</v>
      </c>
      <c r="AO1127" s="109">
        <f ca="1">IF('Banco de Dados'!$AK1127&lt;&gt;"-",IF('Banco de Dados'!$F1127&lt;&gt;"-",IFERROR(_xlfn.XLOOKUP(_xlfn.CONCAT('Banco de Dados'!$A1127,IFERROR(IFERROR(VALUE(SUBSTITUTE(MID(_xlfn.TEXTAFTER('Banco de Dados'!$F1127,"Data do Pedido:
",1),1,10),"-","/")),VALUE(SUBSTITUTE(MID(_xlfn.TEXTAFTER('Banco de Dados'!$F1127,"Order date:
",1),1,10),"-","/"))),0)),ProxyDD[Chave],ProxyDD[Valor por pedido]),PROXY!$P$2),0),0)</f>
        <v>0</v>
      </c>
      <c r="AP1127" s="28">
        <f ca="1">IF('Banco de Dados'!$AK1127&lt;&gt;"-",IF('Banco de Dados'!$AL1127="NÃO",IFERROR(VALUE(SUBSTITUTE(_xlfn.TEXTAFTER('Banco de Dados'!$F1127,"BRL ",1),".",",")),0),0),0)</f>
        <v>0</v>
      </c>
      <c r="AQ1127" s="28">
        <f ca="1">SUM('Banco de Dados'!$AM1127:$AP1127)</f>
        <v>0</v>
      </c>
      <c r="AR1127" s="8"/>
      <c r="AY1127" s="8"/>
    </row>
    <row r="1128" spans="1:51">
      <c r="A1128" s="5" t="str">
        <v>GO</v>
      </c>
      <c r="B1128" s="5" t="str">
        <f ca="1"/>
        <v>GO45722</v>
      </c>
      <c r="C1128" s="8" t="str">
        <v>Pedido 1115</v>
      </c>
      <c r="D1128" s="187">
        <v>45722</v>
      </c>
      <c r="E1128" s="9">
        <v>45722</v>
      </c>
      <c r="F1128" s="8" t="str">
        <v>PedidoF1093</v>
      </c>
      <c r="G1128" s="2" t="str">
        <v>CódRastreio1091</v>
      </c>
      <c r="H1128" s="5">
        <v>1</v>
      </c>
      <c r="I1128" s="2" t="str">
        <v>CPF 1084</v>
      </c>
      <c r="J1128" s="2" t="str">
        <v>Nome 1084</v>
      </c>
      <c r="K1128" s="8" t="str">
        <v>Tel 1084</v>
      </c>
      <c r="L1128" s="8" t="str">
        <v>Cep 1084</v>
      </c>
      <c r="M1128" s="8" t="str">
        <v>Rua 1084</v>
      </c>
      <c r="N1128" s="8" t="str">
        <v>Comp 1084</v>
      </c>
      <c r="O1128" s="8" t="str">
        <v>Relógio Smart</v>
      </c>
      <c r="P1128" s="8" t="str">
        <v>AS-2K35-YDQV</v>
      </c>
      <c r="Q1128" s="4">
        <v>45749</v>
      </c>
      <c r="R1128" s="109">
        <v>31.99</v>
      </c>
      <c r="S1128" s="11">
        <f ca="1"/>
        <v>31.99</v>
      </c>
      <c r="T1128" s="28">
        <f ca="1"/>
        <v>4.7984999999999998</v>
      </c>
      <c r="U1128" s="11">
        <f ca="1"/>
        <v>27.19</v>
      </c>
      <c r="V1128" s="11">
        <v>10.17</v>
      </c>
      <c r="W1128" s="11">
        <f ca="1"/>
        <v>0.2</v>
      </c>
      <c r="X1128" s="11">
        <f ca="1"/>
        <v>0.39877104377104378</v>
      </c>
      <c r="Y1128" s="11">
        <v>0</v>
      </c>
      <c r="Z1128" s="11">
        <f ca="1"/>
        <v>16.421228956228958</v>
      </c>
      <c r="AA1128" s="11">
        <f ca="1"/>
        <v>16.421228956228958</v>
      </c>
      <c r="AB1128" s="4">
        <f ca="1"/>
        <v>45756</v>
      </c>
      <c r="AC1128" s="4">
        <v>45756</v>
      </c>
      <c r="AD1128" s="9">
        <v>45762</v>
      </c>
      <c r="AE1128" s="9">
        <v>45763</v>
      </c>
      <c r="AF1128" s="4" t="str">
        <f t="shared" ca="1" si="73"/>
        <v>2025 04</v>
      </c>
      <c r="AG1128" s="8" t="str" cm="1">
        <f t="array" ref="AG1128">IFERROR(_xlfn.IFS('Banco de Dados'!#REF!="AG. COMPRA","Em processamento",'Banco de Dados'!#REF!="AG. RASTREIO","Em processamento",'Banco de Dados'!$AE1128&lt;&gt;"-","Faturado",'Banco de Dados'!$AD1128&lt;&gt;"-","Aguardando Pix",'Banco de Dados'!$AC1128&lt;&gt;"-","Pendente"),"Aguardando Liberação")</f>
        <v>Aguardando Liberação</v>
      </c>
      <c r="AH1128" s="5" t="str">
        <f>IF('Banco de Dados'!$F1128="-",_xlfn.CONCAT(PROPER(TEXT(AK1128,"aaaa"))," ",PROPER(TEXT(AK1128,"mm"))),_xlfn.CONCAT(PROPER(TEXT(E1128,"aaaa"))," ",PROPER(TEXT(E1128,"mm"))))</f>
        <v>2025 03</v>
      </c>
      <c r="AI1128" s="9" t="str">
        <f ca="1">IF('Banco de Dados'!$AK1128&lt;&gt;"-","REEMBOLSO",IFERROR(_xlfn.XLOOKUP(G1128,Follow[CODRASTREIO],Follow[STATUS]),"-"))</f>
        <v>ENTREGUE</v>
      </c>
      <c r="AJ1128" s="9">
        <f ca="1">IF('Banco de Dados'!$AI1128="ENTREGUE",_xlfn.XLOOKUP('Banco de Dados'!$G1128,Follow[CODRASTREIO],Follow[DATAATUALIZAÇÃO]),"-")</f>
        <v>45740</v>
      </c>
      <c r="AK1128" s="132" t="str">
        <f ca="1"/>
        <v>-</v>
      </c>
      <c r="AL1128" s="35"/>
      <c r="AM1128" s="109" cm="1">
        <f t="array" aca="1" ref="AM1128" ca="1">IF('Banco de Dados'!$AK1128&lt;&gt;"-",_xlfn.IFS('Banco de Dados'!$A1128="bv",IF('Banco de Dados'!$E1128&lt;45641,ROUND(SUM('Banco de Dados'!$R1128*_xlfn.XLOOKUP('Banco de Dados'!$P1128,Sku!B:B,Sku!#REF!)*20%),2),ROUND(SUM('Banco de Dados'!$R1128*_xlfn.XLOOKUP('Banco de Dados'!$P1128,Sku!B:B,Sku!H:H)*20%),2)),'Banco de Dados'!$A1128="GO",ROUND(SUM('Banco de Dados'!$R1128*_xlfn.XLOOKUP('Banco de Dados'!$P1128,Sku!C:C,Sku!H:H)*20%),2),'Banco de Dados'!$A1128="MEI",ROUND(SUM('Banco de Dados'!$R1128*_xlfn.XLOOKUP('Banco de Dados'!$P1128,Sku!D:D,Sku!H:H)*20%),2)),0)</f>
        <v>0</v>
      </c>
      <c r="AN1128" s="109">
        <f ca="1">IF('Banco de Dados'!$AK1128&lt;&gt;"-",IF('Banco de Dados'!$F1128&lt;&gt;"-",_xlfn.XLOOKUP(IFERROR(IFERROR(IFERROR(VALUE(SUBSTITUTE(MID(_xlfn.TEXTAFTER('Banco de Dados'!$F1128,"Data do Pedido:
",1),1,10),"-","/")),VALUE(SUBSTITUTE(MID(_xlfn.TEXTAFTER('Banco de Dados'!$F1128,"Order date:
",1),1,10),"-","/"))),VALUE(SUBSTITUTE(MID(_xlfn.TEXTAFTER('Banco de Dados'!$F1128,"Fecha de pedido:
",1),1,10),"-","/"))),"-"),SMS!A:A,SMS!K:K),0),0)</f>
        <v>0</v>
      </c>
      <c r="AO1128" s="109">
        <f ca="1">IF('Banco de Dados'!$AK1128&lt;&gt;"-",IF('Banco de Dados'!$F1128&lt;&gt;"-",IFERROR(_xlfn.XLOOKUP(_xlfn.CONCAT('Banco de Dados'!$A1128,IFERROR(IFERROR(VALUE(SUBSTITUTE(MID(_xlfn.TEXTAFTER('Banco de Dados'!$F1128,"Data do Pedido:
",1),1,10),"-","/")),VALUE(SUBSTITUTE(MID(_xlfn.TEXTAFTER('Banco de Dados'!$F1128,"Order date:
",1),1,10),"-","/"))),0)),ProxyDD[Chave],ProxyDD[Valor por pedido]),PROXY!$P$2),0),0)</f>
        <v>0</v>
      </c>
      <c r="AP1128" s="28">
        <f ca="1">IF('Banco de Dados'!$AK1128&lt;&gt;"-",IF('Banco de Dados'!$AL1128="NÃO",IFERROR(VALUE(SUBSTITUTE(_xlfn.TEXTAFTER('Banco de Dados'!$F1128,"BRL ",1),".",",")),0),0),0)</f>
        <v>0</v>
      </c>
      <c r="AQ1128" s="28">
        <f ca="1">SUM('Banco de Dados'!$AM1128:$AP1128)</f>
        <v>0</v>
      </c>
      <c r="AR1128" s="8"/>
      <c r="AY1128" s="8"/>
    </row>
    <row r="1129" spans="1:51">
      <c r="A1129" s="5" t="str">
        <v>BV</v>
      </c>
      <c r="B1129" s="5" t="str">
        <f ca="1"/>
        <v>BV45726</v>
      </c>
      <c r="C1129" s="8" t="str">
        <v>Pedido 1116</v>
      </c>
      <c r="D1129" s="9">
        <v>45723</v>
      </c>
      <c r="E1129" s="9">
        <v>45726</v>
      </c>
      <c r="F1129" s="8" t="str">
        <v>PedidoF1094</v>
      </c>
      <c r="G1129" s="2" t="str">
        <v>CódRastreio1092</v>
      </c>
      <c r="H1129" s="5">
        <v>1</v>
      </c>
      <c r="I1129" s="2" t="str">
        <v>CPF 1085</v>
      </c>
      <c r="J1129" s="2" t="str">
        <v>Nome 1085</v>
      </c>
      <c r="K1129" s="8" t="str">
        <v>Tel 1085</v>
      </c>
      <c r="L1129" s="8" t="str">
        <v>Cep 1085</v>
      </c>
      <c r="M1129" s="8" t="str">
        <v>Rua 1085</v>
      </c>
      <c r="N1129" s="8" t="str">
        <v>Comp 1085</v>
      </c>
      <c r="O1129" s="8" t="str">
        <v>Ventilador Rosa</v>
      </c>
      <c r="P1129" s="8" t="str">
        <v>IF-G2ZQ-79FO</v>
      </c>
      <c r="Q1129" s="4">
        <v>45744</v>
      </c>
      <c r="R1129" s="109">
        <v>61.5</v>
      </c>
      <c r="S1129" s="11">
        <f ca="1"/>
        <v>61.5</v>
      </c>
      <c r="T1129" s="28">
        <f ca="1"/>
        <v>7.9950000000000001</v>
      </c>
      <c r="U1129" s="11">
        <f ca="1"/>
        <v>53.51</v>
      </c>
      <c r="V1129" s="11">
        <v>12.74</v>
      </c>
      <c r="W1129" s="11">
        <f ca="1"/>
        <v>0.2</v>
      </c>
      <c r="X1129" s="11">
        <f ca="1"/>
        <v>0.39877104377104378</v>
      </c>
      <c r="Y1129" s="11">
        <v>0</v>
      </c>
      <c r="Z1129" s="11">
        <f ca="1"/>
        <v>40.171228956228958</v>
      </c>
      <c r="AA1129" s="11">
        <f ca="1"/>
        <v>20.085614478114479</v>
      </c>
      <c r="AB1129" s="4">
        <f ca="1"/>
        <v>45751</v>
      </c>
      <c r="AC1129" s="4">
        <v>45751</v>
      </c>
      <c r="AD1129" s="9">
        <v>45762</v>
      </c>
      <c r="AE1129" s="9">
        <v>45763</v>
      </c>
      <c r="AF1129" s="4" t="str">
        <f t="shared" ref="AF1129:AF1134" ca="1" si="74">_xlfn.CONCAT(PROPER(TEXT(AB1129,"aaaa"))," ",PROPER(TEXT(AB1129,"mm")))</f>
        <v>2025 04</v>
      </c>
      <c r="AG1129" s="8" t="str" cm="1">
        <f t="array" ref="AG1129">IFERROR(_xlfn.IFS('Banco de Dados'!#REF!="AG. COMPRA","Em processamento",'Banco de Dados'!#REF!="AG. RASTREIO","Em processamento",'Banco de Dados'!$AE1129&lt;&gt;"-","Faturado",'Banco de Dados'!$AD1129&lt;&gt;"-","Aguardando Pix",'Banco de Dados'!$AC1129&lt;&gt;"-","Pendente"),"Aguardando Liberação")</f>
        <v>Aguardando Liberação</v>
      </c>
      <c r="AH1129" s="5" t="str">
        <f>IF('Banco de Dados'!$F1129="-",_xlfn.CONCAT(PROPER(TEXT(AK1129,"aaaa"))," ",PROPER(TEXT(AK1129,"mm"))),_xlfn.CONCAT(PROPER(TEXT(E1129,"aaaa"))," ",PROPER(TEXT(E1129,"mm"))))</f>
        <v>2025 03</v>
      </c>
      <c r="AI1129" s="9" t="str">
        <f ca="1">IF('Banco de Dados'!$AK1129&lt;&gt;"-","REEMBOLSO",IFERROR(_xlfn.XLOOKUP(G1129,Follow[CODRASTREIO],Follow[STATUS]),"-"))</f>
        <v>ENTREGUE</v>
      </c>
      <c r="AJ1129" s="9">
        <f ca="1">IF('Banco de Dados'!$AI1129="ENTREGUE",_xlfn.XLOOKUP('Banco de Dados'!$G1129,Follow[CODRASTREIO],Follow[DATAATUALIZAÇÃO]),"-")</f>
        <v>45738</v>
      </c>
      <c r="AK1129" s="132" t="str">
        <f ca="1"/>
        <v>-</v>
      </c>
      <c r="AL1129" s="35"/>
      <c r="AM1129" s="109" cm="1">
        <f t="array" aca="1" ref="AM1129" ca="1">IF('Banco de Dados'!$AK1129&lt;&gt;"-",_xlfn.IFS('Banco de Dados'!$A1129="bv",IF('Banco de Dados'!$E1129&lt;45641,ROUND(SUM('Banco de Dados'!$R1129*_xlfn.XLOOKUP('Banco de Dados'!$P1129,Sku!B:B,Sku!#REF!)*20%),2),ROUND(SUM('Banco de Dados'!$R1129*_xlfn.XLOOKUP('Banco de Dados'!$P1129,Sku!B:B,Sku!H:H)*20%),2)),'Banco de Dados'!$A1129="GO",ROUND(_xlfn.XLOOKUP('Banco de Dados'!$P1129,Sku!C:C,Sku!H:H),2),'Banco de Dados'!$A1129="MEI",ROUND(_xlfn.XLOOKUP('Banco de Dados'!$P1129,Sku!D:D,Sku!H:H),2)),0)</f>
        <v>0</v>
      </c>
      <c r="AN1129" s="109">
        <f ca="1">IF('Banco de Dados'!$AK1129&lt;&gt;"-",IF('Banco de Dados'!$F1129&lt;&gt;"-",_xlfn.XLOOKUP(IFERROR(IFERROR(IFERROR(VALUE(SUBSTITUTE(MID(_xlfn.TEXTAFTER('Banco de Dados'!$F1129,"Data do Pedido:
",1),1,10),"-","/")),VALUE(SUBSTITUTE(MID(_xlfn.TEXTAFTER('Banco de Dados'!$F1129,"Order date:
",1),1,10),"-","/"))),VALUE(SUBSTITUTE(MID(_xlfn.TEXTAFTER('Banco de Dados'!$F1129,"Fecha de pedido:
",1),1,10),"-","/"))),"-"),SMS!A:A,SMS!K:K),0),0)</f>
        <v>0</v>
      </c>
      <c r="AO1129" s="109">
        <f ca="1">IF('Banco de Dados'!$AK1129&lt;&gt;"-",IF('Banco de Dados'!$F1129&lt;&gt;"-",IFERROR(_xlfn.XLOOKUP(_xlfn.CONCAT('Banco de Dados'!$A1129,IFERROR(IFERROR(VALUE(SUBSTITUTE(MID(_xlfn.TEXTAFTER('Banco de Dados'!$F1129,"Data do Pedido:
",1),1,10),"-","/")),VALUE(SUBSTITUTE(MID(_xlfn.TEXTAFTER('Banco de Dados'!$F1129,"Order date:
",1),1,10),"-","/"))),0)),ProxyDD[Chave],ProxyDD[Valor por pedido]),PROXY!$P$2),0),0)</f>
        <v>0</v>
      </c>
      <c r="AP1129" s="28">
        <f ca="1">IF('Banco de Dados'!$AK1129&lt;&gt;"-",IF('Banco de Dados'!$AL1129="NÃO",IFERROR(VALUE(SUBSTITUTE(_xlfn.TEXTAFTER('Banco de Dados'!$F1129,"BRL ",1),".",",")),0),0),0)</f>
        <v>0</v>
      </c>
      <c r="AQ1129" s="28">
        <f ca="1">SUM('Banco de Dados'!$AM1129:$AP1129)</f>
        <v>0</v>
      </c>
      <c r="AR1129" s="8"/>
      <c r="AY1129" s="8"/>
    </row>
    <row r="1130" spans="1:51">
      <c r="A1130" s="5" t="str">
        <v>BV</v>
      </c>
      <c r="B1130" s="5" t="str">
        <f ca="1"/>
        <v>BV45723</v>
      </c>
      <c r="C1130" s="8" t="str">
        <v>Pedido 1117</v>
      </c>
      <c r="D1130" s="9">
        <v>45723</v>
      </c>
      <c r="E1130" s="9">
        <v>45723</v>
      </c>
      <c r="F1130" s="8" t="str">
        <v>PedidoF1095</v>
      </c>
      <c r="G1130" s="2" t="str">
        <v>CódRastreio1093</v>
      </c>
      <c r="H1130" s="5">
        <v>1</v>
      </c>
      <c r="I1130" s="2" t="str">
        <v>CPF 1086</v>
      </c>
      <c r="J1130" s="2" t="str">
        <v>Nome 1086</v>
      </c>
      <c r="K1130" s="8" t="str">
        <v>Tel 1086</v>
      </c>
      <c r="L1130" s="8" t="str">
        <v>Cep 1086</v>
      </c>
      <c r="M1130" s="8" t="str">
        <v>Rua 1086</v>
      </c>
      <c r="N1130" s="8" t="str">
        <v>Comp 1086</v>
      </c>
      <c r="O1130" s="8" t="str">
        <v>Ventilador Rosa</v>
      </c>
      <c r="P1130" s="8" t="str">
        <v>IF-G2ZQ-79FO</v>
      </c>
      <c r="Q1130" s="4">
        <v>45744</v>
      </c>
      <c r="R1130" s="109">
        <v>61.5</v>
      </c>
      <c r="S1130" s="11">
        <f ca="1"/>
        <v>61.5</v>
      </c>
      <c r="T1130" s="28">
        <f ca="1"/>
        <v>7.9950000000000001</v>
      </c>
      <c r="U1130" s="11">
        <f ca="1"/>
        <v>53.51</v>
      </c>
      <c r="V1130" s="11">
        <v>13.46</v>
      </c>
      <c r="W1130" s="11">
        <f ca="1"/>
        <v>0.4</v>
      </c>
      <c r="X1130" s="11">
        <f ca="1"/>
        <v>0.39877104377104378</v>
      </c>
      <c r="Y1130" s="11">
        <v>0</v>
      </c>
      <c r="Z1130" s="11">
        <f ca="1"/>
        <v>39.251228956228957</v>
      </c>
      <c r="AA1130" s="11">
        <f ca="1"/>
        <v>19.625614478114478</v>
      </c>
      <c r="AB1130" s="4">
        <f ca="1"/>
        <v>45751</v>
      </c>
      <c r="AC1130" s="4">
        <v>45751</v>
      </c>
      <c r="AD1130" s="9">
        <v>45762</v>
      </c>
      <c r="AE1130" s="9">
        <v>45763</v>
      </c>
      <c r="AF1130" s="4" t="str">
        <f t="shared" ca="1" si="74"/>
        <v>2025 04</v>
      </c>
      <c r="AG1130" s="8" t="str" cm="1">
        <f t="array" ref="AG1130">IFERROR(_xlfn.IFS('Banco de Dados'!#REF!="AG. COMPRA","Em processamento",'Banco de Dados'!#REF!="AG. RASTREIO","Em processamento",'Banco de Dados'!$AE1130&lt;&gt;"-","Faturado",'Banco de Dados'!$AD1130&lt;&gt;"-","Aguardando Pix",'Banco de Dados'!$AC1130&lt;&gt;"-","Pendente"),"Aguardando Liberação")</f>
        <v>Aguardando Liberação</v>
      </c>
      <c r="AH1130" s="5" t="str">
        <f>IF('Banco de Dados'!$F1130="-",_xlfn.CONCAT(PROPER(TEXT(AK1130,"aaaa"))," ",PROPER(TEXT(AK1130,"mm"))),_xlfn.CONCAT(PROPER(TEXT(E1130,"aaaa"))," ",PROPER(TEXT(E1130,"mm"))))</f>
        <v>2025 03</v>
      </c>
      <c r="AI1130" s="9" t="str">
        <f ca="1">IF('Banco de Dados'!$AK1130&lt;&gt;"-","REEMBOLSO",IFERROR(_xlfn.XLOOKUP(G1130,Follow[CODRASTREIO],Follow[STATUS]),"-"))</f>
        <v>ENTREGUE</v>
      </c>
      <c r="AJ1130" s="9">
        <f ca="1">IF('Banco de Dados'!$AI1130="ENTREGUE",_xlfn.XLOOKUP('Banco de Dados'!$G1130,Follow[CODRASTREIO],Follow[DATAATUALIZAÇÃO]),"-")</f>
        <v>45739</v>
      </c>
      <c r="AK1130" s="132" t="str">
        <f ca="1"/>
        <v>-</v>
      </c>
      <c r="AL1130" s="35"/>
      <c r="AM1130" s="109" cm="1">
        <f t="array" aca="1" ref="AM1130" ca="1">IF('Banco de Dados'!$AK1130&lt;&gt;"-",_xlfn.IFS('Banco de Dados'!$A1130="bv",IF('Banco de Dados'!$E1130&lt;45641,ROUND(SUM('Banco de Dados'!$R1130*_xlfn.XLOOKUP('Banco de Dados'!$P1130,Sku!B:B,Sku!#REF!)*20%),2),ROUND(SUM('Banco de Dados'!$R1130*_xlfn.XLOOKUP('Banco de Dados'!$P1130,Sku!B:B,Sku!H:H)*20%),2)),'Banco de Dados'!$A1130="GO",ROUND(_xlfn.XLOOKUP('Banco de Dados'!$P1130,Sku!C:C,Sku!H:H),2),'Banco de Dados'!$A1130="MEI",ROUND(_xlfn.XLOOKUP('Banco de Dados'!$P1130,Sku!D:D,Sku!H:H),2)),0)</f>
        <v>0</v>
      </c>
      <c r="AN1130" s="109">
        <f ca="1">IF('Banco de Dados'!$AK1130&lt;&gt;"-",IF('Banco de Dados'!$F1130&lt;&gt;"-",_xlfn.XLOOKUP(IFERROR(IFERROR(IFERROR(VALUE(SUBSTITUTE(MID(_xlfn.TEXTAFTER('Banco de Dados'!$F1130,"Data do Pedido:
",1),1,10),"-","/")),VALUE(SUBSTITUTE(MID(_xlfn.TEXTAFTER('Banco de Dados'!$F1130,"Order date:
",1),1,10),"-","/"))),VALUE(SUBSTITUTE(MID(_xlfn.TEXTAFTER('Banco de Dados'!$F1130,"Fecha de pedido:
",1),1,10),"-","/"))),"-"),SMS!A:A,SMS!K:K),0),0)</f>
        <v>0</v>
      </c>
      <c r="AO1130" s="109">
        <f ca="1">IF('Banco de Dados'!$AK1130&lt;&gt;"-",IF('Banco de Dados'!$F1130&lt;&gt;"-",IFERROR(_xlfn.XLOOKUP(_xlfn.CONCAT('Banco de Dados'!$A1130,IFERROR(IFERROR(VALUE(SUBSTITUTE(MID(_xlfn.TEXTAFTER('Banco de Dados'!$F1130,"Data do Pedido:
",1),1,10),"-","/")),VALUE(SUBSTITUTE(MID(_xlfn.TEXTAFTER('Banco de Dados'!$F1130,"Order date:
",1),1,10),"-","/"))),0)),ProxyDD[Chave],ProxyDD[Valor por pedido]),PROXY!$P$2),0),0)</f>
        <v>0</v>
      </c>
      <c r="AP1130" s="28">
        <f ca="1">IF('Banco de Dados'!$AK1130&lt;&gt;"-",IF('Banco de Dados'!$AL1130="NÃO",IFERROR(VALUE(SUBSTITUTE(_xlfn.TEXTAFTER('Banco de Dados'!$F1130,"BRL ",1),".",",")),0),0),0)</f>
        <v>0</v>
      </c>
      <c r="AQ1130" s="28">
        <f ca="1">SUM('Banco de Dados'!$AM1130:$AP1130)</f>
        <v>0</v>
      </c>
      <c r="AR1130" s="8"/>
      <c r="AY1130" s="8"/>
    </row>
    <row r="1131" spans="1:51">
      <c r="A1131" s="5" t="str">
        <v>MEI</v>
      </c>
      <c r="B1131" s="5" t="str">
        <f ca="1"/>
        <v>MEI45723</v>
      </c>
      <c r="C1131" s="8" t="str">
        <v>Pedido 1118</v>
      </c>
      <c r="D1131" s="187">
        <v>45723</v>
      </c>
      <c r="E1131" s="9">
        <v>45723</v>
      </c>
      <c r="F1131" s="8" t="str">
        <v>PedidoF1096</v>
      </c>
      <c r="G1131" s="2" t="str">
        <v>CódRastreio1094</v>
      </c>
      <c r="H1131" s="5">
        <v>1</v>
      </c>
      <c r="I1131" s="2" t="str">
        <v>CPF 1087</v>
      </c>
      <c r="J1131" s="2" t="str">
        <v>Nome 1087</v>
      </c>
      <c r="K1131" s="8" t="str">
        <v>Tel 1087</v>
      </c>
      <c r="L1131" s="8" t="str">
        <v>Cep 1087</v>
      </c>
      <c r="M1131" s="8" t="str">
        <v>Rua 1087</v>
      </c>
      <c r="N1131" s="8" t="str">
        <v>Comp 1087</v>
      </c>
      <c r="O1131" s="8" t="str">
        <v>Mini Liquidificador</v>
      </c>
      <c r="P1131" s="8" t="str">
        <v>A4-5W51-K3HF</v>
      </c>
      <c r="Q1131" s="4">
        <v>45744</v>
      </c>
      <c r="R1131" s="109">
        <v>30.95</v>
      </c>
      <c r="S1131" s="11">
        <f ca="1"/>
        <v>30.95</v>
      </c>
      <c r="T1131" s="28">
        <f ca="1"/>
        <v>4.3330000000000002</v>
      </c>
      <c r="U1131" s="11">
        <f ca="1"/>
        <v>26.62</v>
      </c>
      <c r="V1131" s="11">
        <v>13.99</v>
      </c>
      <c r="W1131" s="11">
        <f ca="1"/>
        <v>0.2</v>
      </c>
      <c r="X1131" s="11">
        <f ca="1"/>
        <v>0.39877104377104378</v>
      </c>
      <c r="Y1131" s="11">
        <v>0</v>
      </c>
      <c r="Z1131" s="11">
        <f ca="1"/>
        <v>12.031228956228958</v>
      </c>
      <c r="AA1131" s="11">
        <f ca="1"/>
        <v>6.0156144781144789</v>
      </c>
      <c r="AB1131" s="4">
        <f ca="1"/>
        <v>45751</v>
      </c>
      <c r="AC1131" s="4">
        <v>45751</v>
      </c>
      <c r="AD1131" s="9">
        <v>45762</v>
      </c>
      <c r="AE1131" s="9">
        <v>45763</v>
      </c>
      <c r="AF1131" s="4" t="str">
        <f t="shared" ca="1" si="74"/>
        <v>2025 04</v>
      </c>
      <c r="AG1131" s="8" t="str" cm="1">
        <f t="array" ref="AG1131">IFERROR(_xlfn.IFS('Banco de Dados'!#REF!="AG. COMPRA","Em processamento",'Banco de Dados'!#REF!="AG. RASTREIO","Em processamento",'Banco de Dados'!$AE1131&lt;&gt;"-","Faturado",'Banco de Dados'!$AD1131&lt;&gt;"-","Aguardando Pix",'Banco de Dados'!$AC1131&lt;&gt;"-","Pendente"),"Aguardando Liberação")</f>
        <v>Aguardando Liberação</v>
      </c>
      <c r="AH1131" s="5" t="str">
        <f>IF('Banco de Dados'!$F1131="-",_xlfn.CONCAT(PROPER(TEXT(AK1131,"aaaa"))," ",PROPER(TEXT(AK1131,"mm"))),_xlfn.CONCAT(PROPER(TEXT(E1131,"aaaa"))," ",PROPER(TEXT(E1131,"mm"))))</f>
        <v>2025 03</v>
      </c>
      <c r="AI1131" s="9" t="str">
        <f ca="1">IF('Banco de Dados'!$AK1131&lt;&gt;"-","REEMBOLSO",IFERROR(_xlfn.XLOOKUP(G1131,Follow[CODRASTREIO],Follow[STATUS]),"-"))</f>
        <v>ENTREGUE</v>
      </c>
      <c r="AJ1131" s="9">
        <f ca="1">IF('Banco de Dados'!$AI1131="ENTREGUE",_xlfn.XLOOKUP('Banco de Dados'!$G1131,Follow[CODRASTREIO],Follow[DATAATUALIZAÇÃO]),"-")</f>
        <v>45735</v>
      </c>
      <c r="AK1131" s="132" t="str">
        <f ca="1"/>
        <v>-</v>
      </c>
      <c r="AL1131" s="35"/>
      <c r="AM1131" s="109" cm="1">
        <f t="array" aca="1" ref="AM1131" ca="1">IF('Banco de Dados'!$AK1131&lt;&gt;"-",_xlfn.IFS('Banco de Dados'!$A1131="bv",IF('Banco de Dados'!$E1131&lt;45641,ROUND(SUM('Banco de Dados'!$R1131*_xlfn.XLOOKUP('Banco de Dados'!$P1131,Sku!B:B,Sku!#REF!)*20%),2),ROUND(SUM('Banco de Dados'!$R1131*_xlfn.XLOOKUP('Banco de Dados'!$P1131,Sku!B:B,Sku!H:H)*20%),2)),'Banco de Dados'!$A1131="GO",ROUND(SUM('Banco de Dados'!$R1131*_xlfn.XLOOKUP('Banco de Dados'!$P1131,Sku!C:C,Sku!H:H)*20%),2),'Banco de Dados'!$A1131="MEI",ROUND(SUM('Banco de Dados'!$R1131*_xlfn.XLOOKUP('Banco de Dados'!$P1131,Sku!D:D,Sku!H:H)*20%),2)),0)</f>
        <v>0</v>
      </c>
      <c r="AN1131" s="109">
        <f ca="1">IF('Banco de Dados'!$AK1131&lt;&gt;"-",IF('Banco de Dados'!$F1131&lt;&gt;"-",_xlfn.XLOOKUP(IFERROR(IFERROR(IFERROR(VALUE(SUBSTITUTE(MID(_xlfn.TEXTAFTER('Banco de Dados'!$F1131,"Data do Pedido:
",1),1,10),"-","/")),VALUE(SUBSTITUTE(MID(_xlfn.TEXTAFTER('Banco de Dados'!$F1131,"Order date:
",1),1,10),"-","/"))),VALUE(SUBSTITUTE(MID(_xlfn.TEXTAFTER('Banco de Dados'!$F1131,"Fecha de pedido:
",1),1,10),"-","/"))),"-"),SMS!A:A,SMS!K:K),0),0)</f>
        <v>0</v>
      </c>
      <c r="AO1131" s="109">
        <f ca="1">IF('Banco de Dados'!$AK1131&lt;&gt;"-",IF('Banco de Dados'!$F1131&lt;&gt;"-",IFERROR(_xlfn.XLOOKUP(_xlfn.CONCAT('Banco de Dados'!$A1131,IFERROR(IFERROR(VALUE(SUBSTITUTE(MID(_xlfn.TEXTAFTER('Banco de Dados'!$F1131,"Data do Pedido:
",1),1,10),"-","/")),VALUE(SUBSTITUTE(MID(_xlfn.TEXTAFTER('Banco de Dados'!$F1131,"Order date:
",1),1,10),"-","/"))),0)),ProxyDD[Chave],ProxyDD[Valor por pedido]),PROXY!$P$2),0),0)</f>
        <v>0</v>
      </c>
      <c r="AP1131" s="28">
        <f ca="1">IF('Banco de Dados'!$AK1131&lt;&gt;"-",IF('Banco de Dados'!$AL1131="NÃO",IFERROR(VALUE(SUBSTITUTE(_xlfn.TEXTAFTER('Banco de Dados'!$F1131,"BRL ",1),".",",")),0),0),0)</f>
        <v>0</v>
      </c>
      <c r="AQ1131" s="28">
        <f ca="1">SUM('Banco de Dados'!$AM1131:$AP1131)</f>
        <v>0</v>
      </c>
      <c r="AR1131" s="8"/>
      <c r="AY1131" s="8"/>
    </row>
    <row r="1132" spans="1:51">
      <c r="A1132" s="5" t="str">
        <v>MEI</v>
      </c>
      <c r="B1132" s="5" t="str">
        <f ca="1"/>
        <v>MEI45723</v>
      </c>
      <c r="C1132" s="8" t="str">
        <v>Pedido 1119</v>
      </c>
      <c r="D1132" s="187">
        <v>45723</v>
      </c>
      <c r="E1132" s="9">
        <v>45723</v>
      </c>
      <c r="F1132" s="8" t="str">
        <v>PedidoF1097</v>
      </c>
      <c r="G1132" s="2" t="str">
        <v>CódRastreio1095</v>
      </c>
      <c r="H1132" s="5">
        <v>1</v>
      </c>
      <c r="I1132" s="2" t="str">
        <v>CPF 1088</v>
      </c>
      <c r="J1132" s="2" t="str">
        <v>Nome 1088</v>
      </c>
      <c r="K1132" s="8" t="str">
        <v>Tel 1088</v>
      </c>
      <c r="L1132" s="8" t="str">
        <v>Cep 1088</v>
      </c>
      <c r="M1132" s="8" t="str">
        <v>Rua 1088</v>
      </c>
      <c r="N1132" s="8" t="str">
        <v>Comp 1088</v>
      </c>
      <c r="O1132" s="8" t="str">
        <v>Mini Liquidificador</v>
      </c>
      <c r="P1132" s="8" t="str">
        <v>A4-5W51-K3HF</v>
      </c>
      <c r="Q1132" s="4">
        <v>45750</v>
      </c>
      <c r="R1132" s="109">
        <v>30.95</v>
      </c>
      <c r="S1132" s="11">
        <f ca="1"/>
        <v>30.95</v>
      </c>
      <c r="T1132" s="28">
        <f ca="1"/>
        <v>4.3330000000000002</v>
      </c>
      <c r="U1132" s="11">
        <f ca="1"/>
        <v>26.62</v>
      </c>
      <c r="V1132" s="11">
        <v>13.99</v>
      </c>
      <c r="W1132" s="11">
        <f ca="1"/>
        <v>0.2</v>
      </c>
      <c r="X1132" s="11">
        <f ca="1"/>
        <v>0.39877104377104378</v>
      </c>
      <c r="Y1132" s="11">
        <v>0</v>
      </c>
      <c r="Z1132" s="11">
        <f ca="1"/>
        <v>12.031228956228958</v>
      </c>
      <c r="AA1132" s="11">
        <f ca="1"/>
        <v>6.0156144781144789</v>
      </c>
      <c r="AB1132" s="4">
        <f ca="1"/>
        <v>45757</v>
      </c>
      <c r="AC1132" s="4">
        <v>45757</v>
      </c>
      <c r="AD1132" s="9">
        <v>45762</v>
      </c>
      <c r="AE1132" s="9">
        <v>45763</v>
      </c>
      <c r="AF1132" s="4" t="str">
        <f t="shared" ca="1" si="74"/>
        <v>2025 04</v>
      </c>
      <c r="AG1132" s="8" t="str" cm="1">
        <f t="array" ref="AG1132">IFERROR(_xlfn.IFS('Banco de Dados'!#REF!="AG. COMPRA","Em processamento",'Banco de Dados'!#REF!="AG. RASTREIO","Em processamento",'Banco de Dados'!$AE1132&lt;&gt;"-","Faturado",'Banco de Dados'!$AD1132&lt;&gt;"-","Aguardando Pix",'Banco de Dados'!$AC1132&lt;&gt;"-","Pendente"),"Aguardando Liberação")</f>
        <v>Aguardando Liberação</v>
      </c>
      <c r="AH1132" s="5" t="str">
        <f>IF('Banco de Dados'!$F1132="-",_xlfn.CONCAT(PROPER(TEXT(AK1132,"aaaa"))," ",PROPER(TEXT(AK1132,"mm"))),_xlfn.CONCAT(PROPER(TEXT(E1132,"aaaa"))," ",PROPER(TEXT(E1132,"mm"))))</f>
        <v>2025 03</v>
      </c>
      <c r="AI1132" s="9" t="str">
        <f ca="1">IF('Banco de Dados'!$AK1132&lt;&gt;"-","REEMBOLSO",IFERROR(_xlfn.XLOOKUP(G1132,Follow[CODRASTREIO],Follow[STATUS]),"-"))</f>
        <v>ENTREGUE</v>
      </c>
      <c r="AJ1132" s="9">
        <f ca="1">IF('Banco de Dados'!$AI1132="ENTREGUE",_xlfn.XLOOKUP('Banco de Dados'!$G1132,Follow[CODRASTREIO],Follow[DATAATUALIZAÇÃO]),"-")</f>
        <v>45738</v>
      </c>
      <c r="AK1132" s="132" t="str">
        <f ca="1"/>
        <v>-</v>
      </c>
      <c r="AL1132" s="35"/>
      <c r="AM1132" s="109" cm="1">
        <f t="array" aca="1" ref="AM1132" ca="1">IF('Banco de Dados'!$AK1132&lt;&gt;"-",_xlfn.IFS('Banco de Dados'!$A1132="bv",IF('Banco de Dados'!$E1132&lt;45641,ROUND(SUM('Banco de Dados'!$R1132*_xlfn.XLOOKUP('Banco de Dados'!$P1132,Sku!B:B,Sku!#REF!)*20%),2),ROUND(SUM('Banco de Dados'!$R1132*_xlfn.XLOOKUP('Banco de Dados'!$P1132,Sku!B:B,Sku!H:H)*20%),2)),'Banco de Dados'!$A1132="GO",ROUND(SUM('Banco de Dados'!$R1132*_xlfn.XLOOKUP('Banco de Dados'!$P1132,Sku!C:C,Sku!H:H)*20%),2),'Banco de Dados'!$A1132="MEI",ROUND(SUM('Banco de Dados'!$R1132*_xlfn.XLOOKUP('Banco de Dados'!$P1132,Sku!D:D,Sku!H:H)*20%),2)),0)</f>
        <v>0</v>
      </c>
      <c r="AN1132" s="109">
        <f ca="1">IF('Banco de Dados'!$AK1132&lt;&gt;"-",IF('Banco de Dados'!$F1132&lt;&gt;"-",_xlfn.XLOOKUP(IFERROR(IFERROR(IFERROR(VALUE(SUBSTITUTE(MID(_xlfn.TEXTAFTER('Banco de Dados'!$F1132,"Data do Pedido:
",1),1,10),"-","/")),VALUE(SUBSTITUTE(MID(_xlfn.TEXTAFTER('Banco de Dados'!$F1132,"Order date:
",1),1,10),"-","/"))),VALUE(SUBSTITUTE(MID(_xlfn.TEXTAFTER('Banco de Dados'!$F1132,"Fecha de pedido:
",1),1,10),"-","/"))),"-"),SMS!A:A,SMS!K:K),0),0)</f>
        <v>0</v>
      </c>
      <c r="AO1132" s="109">
        <f ca="1">IF('Banco de Dados'!$AK1132&lt;&gt;"-",IF('Banco de Dados'!$F1132&lt;&gt;"-",IFERROR(_xlfn.XLOOKUP(_xlfn.CONCAT('Banco de Dados'!$A1132,IFERROR(IFERROR(VALUE(SUBSTITUTE(MID(_xlfn.TEXTAFTER('Banco de Dados'!$F1132,"Data do Pedido:
",1),1,10),"-","/")),VALUE(SUBSTITUTE(MID(_xlfn.TEXTAFTER('Banco de Dados'!$F1132,"Order date:
",1),1,10),"-","/"))),0)),ProxyDD[Chave],ProxyDD[Valor por pedido]),PROXY!$P$2),0),0)</f>
        <v>0</v>
      </c>
      <c r="AP1132" s="28">
        <f ca="1">IF('Banco de Dados'!$AK1132&lt;&gt;"-",IF('Banco de Dados'!$AL1132="NÃO",IFERROR(VALUE(SUBSTITUTE(_xlfn.TEXTAFTER('Banco de Dados'!$F1132,"BRL ",1),".",",")),0),0),0)</f>
        <v>0</v>
      </c>
      <c r="AQ1132" s="28">
        <f ca="1">SUM('Banco de Dados'!$AM1132:$AP1132)</f>
        <v>0</v>
      </c>
      <c r="AR1132" s="8"/>
      <c r="AY1132" s="8"/>
    </row>
    <row r="1133" spans="1:51">
      <c r="A1133" s="5" t="str">
        <v>MEI</v>
      </c>
      <c r="B1133" s="5" t="str">
        <f ca="1"/>
        <v>MEI45723</v>
      </c>
      <c r="C1133" s="8" t="str">
        <v>Pedido 1120</v>
      </c>
      <c r="D1133" s="187">
        <v>45723</v>
      </c>
      <c r="E1133" s="9">
        <v>45723</v>
      </c>
      <c r="F1133" s="8" t="str">
        <v>PedidoF1098</v>
      </c>
      <c r="G1133" s="2" t="str">
        <v>CódRastreio1096</v>
      </c>
      <c r="H1133" s="5">
        <v>1</v>
      </c>
      <c r="I1133" s="2" t="str">
        <v>CPF 1089</v>
      </c>
      <c r="J1133" s="2" t="str">
        <v>Nome 1089</v>
      </c>
      <c r="K1133" s="8" t="str">
        <v>Tel 1089</v>
      </c>
      <c r="L1133" s="8" t="str">
        <v>Cep 1089</v>
      </c>
      <c r="M1133" s="8" t="str">
        <v>Rua 1089</v>
      </c>
      <c r="N1133" s="8" t="str">
        <v>Comp 1089</v>
      </c>
      <c r="O1133" s="8" t="str">
        <v>Mini Liquidificador</v>
      </c>
      <c r="P1133" s="8" t="str">
        <v>A4-5W51-K3HF</v>
      </c>
      <c r="Q1133" s="4">
        <v>45750</v>
      </c>
      <c r="R1133" s="109">
        <v>30.95</v>
      </c>
      <c r="S1133" s="11">
        <f ca="1"/>
        <v>30.95</v>
      </c>
      <c r="T1133" s="28">
        <f ca="1"/>
        <v>4.3330000000000002</v>
      </c>
      <c r="U1133" s="11">
        <f ca="1"/>
        <v>26.62</v>
      </c>
      <c r="V1133" s="11">
        <v>13.99</v>
      </c>
      <c r="W1133" s="11">
        <f ca="1"/>
        <v>0.2</v>
      </c>
      <c r="X1133" s="11">
        <f ca="1"/>
        <v>0.39877104377104378</v>
      </c>
      <c r="Y1133" s="11">
        <v>0</v>
      </c>
      <c r="Z1133" s="11">
        <f ca="1"/>
        <v>12.031228956228958</v>
      </c>
      <c r="AA1133" s="11">
        <f ca="1"/>
        <v>6.0156144781144789</v>
      </c>
      <c r="AB1133" s="4">
        <f ca="1"/>
        <v>45757</v>
      </c>
      <c r="AC1133" s="4">
        <v>45757</v>
      </c>
      <c r="AD1133" s="9">
        <v>45762</v>
      </c>
      <c r="AE1133" s="9">
        <v>45763</v>
      </c>
      <c r="AF1133" s="4" t="str">
        <f t="shared" ca="1" si="74"/>
        <v>2025 04</v>
      </c>
      <c r="AG1133" s="8" t="str" cm="1">
        <f t="array" ref="AG1133">IFERROR(_xlfn.IFS('Banco de Dados'!#REF!="AG. COMPRA","Em processamento",'Banco de Dados'!#REF!="AG. RASTREIO","Em processamento",'Banco de Dados'!$AE1133&lt;&gt;"-","Faturado",'Banco de Dados'!$AD1133&lt;&gt;"-","Aguardando Pix",'Banco de Dados'!$AC1133&lt;&gt;"-","Pendente"),"Aguardando Liberação")</f>
        <v>Aguardando Liberação</v>
      </c>
      <c r="AH1133" s="5" t="str">
        <f>IF('Banco de Dados'!$F1133="-",_xlfn.CONCAT(PROPER(TEXT(AK1133,"aaaa"))," ",PROPER(TEXT(AK1133,"mm"))),_xlfn.CONCAT(PROPER(TEXT(E1133,"aaaa"))," ",PROPER(TEXT(E1133,"mm"))))</f>
        <v>2025 03</v>
      </c>
      <c r="AI1133" s="9" t="str">
        <f ca="1">IF('Banco de Dados'!$AK1133&lt;&gt;"-","REEMBOLSO",IFERROR(_xlfn.XLOOKUP(G1133,Follow[CODRASTREIO],Follow[STATUS]),"-"))</f>
        <v>ENTREGUE</v>
      </c>
      <c r="AJ1133" s="9">
        <f ca="1">IF('Banco de Dados'!$AI1133="ENTREGUE",_xlfn.XLOOKUP('Banco de Dados'!$G1133,Follow[CODRASTREIO],Follow[DATAATUALIZAÇÃO]),"-")</f>
        <v>45733</v>
      </c>
      <c r="AK1133" s="132" t="str">
        <f ca="1"/>
        <v>-</v>
      </c>
      <c r="AL1133" s="35"/>
      <c r="AM1133" s="109" cm="1">
        <f t="array" aca="1" ref="AM1133" ca="1">IF('Banco de Dados'!$AK1133&lt;&gt;"-",_xlfn.IFS('Banco de Dados'!$A1133="bv",IF('Banco de Dados'!$E1133&lt;45641,ROUND(SUM('Banco de Dados'!$R1133*_xlfn.XLOOKUP('Banco de Dados'!$P1133,Sku!B:B,Sku!#REF!)*20%),2),ROUND(SUM('Banco de Dados'!$R1133*_xlfn.XLOOKUP('Banco de Dados'!$P1133,Sku!B:B,Sku!H:H)*20%),2)),'Banco de Dados'!$A1133="GO",ROUND(SUM('Banco de Dados'!$R1133*_xlfn.XLOOKUP('Banco de Dados'!$P1133,Sku!C:C,Sku!H:H)*20%),2),'Banco de Dados'!$A1133="MEI",ROUND(SUM('Banco de Dados'!$R1133*_xlfn.XLOOKUP('Banco de Dados'!$P1133,Sku!D:D,Sku!H:H)*20%),2)),0)</f>
        <v>0</v>
      </c>
      <c r="AN1133" s="109">
        <f ca="1">IF('Banco de Dados'!$AK1133&lt;&gt;"-",IF('Banco de Dados'!$F1133&lt;&gt;"-",_xlfn.XLOOKUP(IFERROR(IFERROR(IFERROR(VALUE(SUBSTITUTE(MID(_xlfn.TEXTAFTER('Banco de Dados'!$F1133,"Data do Pedido:
",1),1,10),"-","/")),VALUE(SUBSTITUTE(MID(_xlfn.TEXTAFTER('Banco de Dados'!$F1133,"Order date:
",1),1,10),"-","/"))),VALUE(SUBSTITUTE(MID(_xlfn.TEXTAFTER('Banco de Dados'!$F1133,"Fecha de pedido:
",1),1,10),"-","/"))),"-"),SMS!A:A,SMS!K:K),0),0)</f>
        <v>0</v>
      </c>
      <c r="AO1133" s="109">
        <f ca="1">IF('Banco de Dados'!$AK1133&lt;&gt;"-",IF('Banco de Dados'!$F1133&lt;&gt;"-",IFERROR(_xlfn.XLOOKUP(_xlfn.CONCAT('Banco de Dados'!$A1133,IFERROR(IFERROR(VALUE(SUBSTITUTE(MID(_xlfn.TEXTAFTER('Banco de Dados'!$F1133,"Data do Pedido:
",1),1,10),"-","/")),VALUE(SUBSTITUTE(MID(_xlfn.TEXTAFTER('Banco de Dados'!$F1133,"Order date:
",1),1,10),"-","/"))),0)),ProxyDD[Chave],ProxyDD[Valor por pedido]),PROXY!$P$2),0),0)</f>
        <v>0</v>
      </c>
      <c r="AP1133" s="28">
        <f ca="1">IF('Banco de Dados'!$AK1133&lt;&gt;"-",IF('Banco de Dados'!$AL1133="NÃO",IFERROR(VALUE(SUBSTITUTE(_xlfn.TEXTAFTER('Banco de Dados'!$F1133,"BRL ",1),".",",")),0),0),0)</f>
        <v>0</v>
      </c>
      <c r="AQ1133" s="28">
        <f ca="1">SUM('Banco de Dados'!$AM1133:$AP1133)</f>
        <v>0</v>
      </c>
      <c r="AR1133" s="8"/>
      <c r="AY1133" s="8"/>
    </row>
    <row r="1134" spans="1:51">
      <c r="A1134" s="5" t="str">
        <v>MEI</v>
      </c>
      <c r="B1134" s="5" t="str">
        <f ca="1"/>
        <v>MEI45723</v>
      </c>
      <c r="C1134" s="8" t="str">
        <v>Pedido 1121</v>
      </c>
      <c r="D1134" s="187">
        <v>45723</v>
      </c>
      <c r="E1134" s="9">
        <v>45723</v>
      </c>
      <c r="F1134" s="8" t="str">
        <v>PedidoF1099</v>
      </c>
      <c r="G1134" s="2" t="str">
        <v>CódRastreio1097</v>
      </c>
      <c r="H1134" s="5">
        <v>1</v>
      </c>
      <c r="I1134" s="2" t="str">
        <v>CPF 1090</v>
      </c>
      <c r="J1134" s="2" t="str">
        <v>Nome 1090</v>
      </c>
      <c r="K1134" s="8" t="str">
        <v>Tel 1090</v>
      </c>
      <c r="L1134" s="8" t="str">
        <v>Cep 1090</v>
      </c>
      <c r="M1134" s="8" t="str">
        <v>Rua 1090</v>
      </c>
      <c r="N1134" s="8" t="str">
        <v>Comp 1090</v>
      </c>
      <c r="O1134" s="8" t="str">
        <v>Mini Liquidificador</v>
      </c>
      <c r="P1134" s="8" t="str">
        <v>A4-5W51-K3HF</v>
      </c>
      <c r="Q1134" s="4">
        <v>45738</v>
      </c>
      <c r="R1134" s="109">
        <v>30.95</v>
      </c>
      <c r="S1134" s="11">
        <f ca="1"/>
        <v>30.95</v>
      </c>
      <c r="T1134" s="28">
        <f ca="1"/>
        <v>4.3330000000000002</v>
      </c>
      <c r="U1134" s="11">
        <f ca="1"/>
        <v>26.62</v>
      </c>
      <c r="V1134" s="11">
        <v>13.99</v>
      </c>
      <c r="W1134" s="11">
        <f ca="1"/>
        <v>0.2</v>
      </c>
      <c r="X1134" s="11">
        <f ca="1"/>
        <v>0.39877104377104378</v>
      </c>
      <c r="Y1134" s="11">
        <v>0</v>
      </c>
      <c r="Z1134" s="11">
        <f ca="1"/>
        <v>12.031228956228958</v>
      </c>
      <c r="AA1134" s="11">
        <f ca="1"/>
        <v>6.0156144781144789</v>
      </c>
      <c r="AB1134" s="4">
        <f ca="1"/>
        <v>45745</v>
      </c>
      <c r="AC1134" s="4">
        <v>45745</v>
      </c>
      <c r="AD1134" s="9">
        <v>45747</v>
      </c>
      <c r="AE1134" s="9">
        <v>45749</v>
      </c>
      <c r="AF1134" s="4" t="str">
        <f t="shared" ca="1" si="74"/>
        <v>2025 03</v>
      </c>
      <c r="AG1134" s="8" t="str" cm="1">
        <f t="array" ref="AG1134">IFERROR(_xlfn.IFS('Banco de Dados'!#REF!="AG. COMPRA","Em processamento",'Banco de Dados'!#REF!="AG. RASTREIO","Em processamento",'Banco de Dados'!$AE1134&lt;&gt;"-","Faturado",'Banco de Dados'!$AD1134&lt;&gt;"-","Aguardando Pix",'Banco de Dados'!$AC1134&lt;&gt;"-","Pendente"),"Aguardando Liberação")</f>
        <v>Aguardando Liberação</v>
      </c>
      <c r="AH1134" s="5" t="str">
        <f>IF('Banco de Dados'!$F1134="-",_xlfn.CONCAT(PROPER(TEXT(AK1134,"aaaa"))," ",PROPER(TEXT(AK1134,"mm"))),_xlfn.CONCAT(PROPER(TEXT(E1134,"aaaa"))," ",PROPER(TEXT(E1134,"mm"))))</f>
        <v>2025 03</v>
      </c>
      <c r="AI1134" s="9" t="str">
        <f ca="1">IF('Banco de Dados'!$AK1134&lt;&gt;"-","REEMBOLSO",IFERROR(_xlfn.XLOOKUP(G1134,Follow[CODRASTREIO],Follow[STATUS]),"-"))</f>
        <v>ENTREGUE</v>
      </c>
      <c r="AJ1134" s="9">
        <f ca="1">IF('Banco de Dados'!$AI1134="ENTREGUE",_xlfn.XLOOKUP('Banco de Dados'!$G1134,Follow[CODRASTREIO],Follow[DATAATUALIZAÇÃO]),"-")</f>
        <v>45728.579594907409</v>
      </c>
      <c r="AK1134" s="132" t="str">
        <f ca="1"/>
        <v>-</v>
      </c>
      <c r="AL1134" s="35"/>
      <c r="AM1134" s="109" cm="1">
        <f t="array" aca="1" ref="AM1134" ca="1">IF('Banco de Dados'!$AK1134&lt;&gt;"-",_xlfn.IFS('Banco de Dados'!$A1134="bv",IF('Banco de Dados'!$E1134&lt;45641,ROUND(SUM('Banco de Dados'!$R1134*_xlfn.XLOOKUP('Banco de Dados'!$P1134,Sku!B:B,Sku!#REF!)*20%),2),ROUND(SUM('Banco de Dados'!$R1134*_xlfn.XLOOKUP('Banco de Dados'!$P1134,Sku!B:B,Sku!H:H)*20%),2)),'Banco de Dados'!$A1134="GO",ROUND(SUM('Banco de Dados'!$R1134*_xlfn.XLOOKUP('Banco de Dados'!$P1134,Sku!C:C,Sku!H:H)*20%),2),'Banco de Dados'!$A1134="MEI",ROUND(SUM('Banco de Dados'!$R1134*_xlfn.XLOOKUP('Banco de Dados'!$P1134,Sku!D:D,Sku!H:H)*20%),2)),0)</f>
        <v>0</v>
      </c>
      <c r="AN1134" s="109">
        <f ca="1">IF('Banco de Dados'!$AK1134&lt;&gt;"-",IF('Banco de Dados'!$F1134&lt;&gt;"-",_xlfn.XLOOKUP(IFERROR(IFERROR(IFERROR(VALUE(SUBSTITUTE(MID(_xlfn.TEXTAFTER('Banco de Dados'!$F1134,"Data do Pedido:
",1),1,10),"-","/")),VALUE(SUBSTITUTE(MID(_xlfn.TEXTAFTER('Banco de Dados'!$F1134,"Order date:
",1),1,10),"-","/"))),VALUE(SUBSTITUTE(MID(_xlfn.TEXTAFTER('Banco de Dados'!$F1134,"Fecha de pedido:
",1),1,10),"-","/"))),"-"),SMS!A:A,SMS!K:K),0),0)</f>
        <v>0</v>
      </c>
      <c r="AO1134" s="109">
        <f ca="1">IF('Banco de Dados'!$AK1134&lt;&gt;"-",IF('Banco de Dados'!$F1134&lt;&gt;"-",IFERROR(_xlfn.XLOOKUP(_xlfn.CONCAT('Banco de Dados'!$A1134,IFERROR(IFERROR(VALUE(SUBSTITUTE(MID(_xlfn.TEXTAFTER('Banco de Dados'!$F1134,"Data do Pedido:
",1),1,10),"-","/")),VALUE(SUBSTITUTE(MID(_xlfn.TEXTAFTER('Banco de Dados'!$F1134,"Order date:
",1),1,10),"-","/"))),0)),ProxyDD[Chave],ProxyDD[Valor por pedido]),PROXY!$P$2),0),0)</f>
        <v>0</v>
      </c>
      <c r="AP1134" s="28">
        <f ca="1">IF('Banco de Dados'!$AK1134&lt;&gt;"-",IF('Banco de Dados'!$AL1134="NÃO",IFERROR(VALUE(SUBSTITUTE(_xlfn.TEXTAFTER('Banco de Dados'!$F1134,"BRL ",1),".",",")),0),0),0)</f>
        <v>0</v>
      </c>
      <c r="AQ1134" s="28">
        <f ca="1">SUM('Banco de Dados'!$AM1134:$AP1134)</f>
        <v>0</v>
      </c>
      <c r="AR1134" s="8"/>
      <c r="AY1134" s="8"/>
    </row>
    <row r="1135" spans="1:51">
      <c r="A1135" s="5" t="str">
        <v>BV</v>
      </c>
      <c r="B1135" s="5" t="str">
        <f ca="1"/>
        <v>BV45726</v>
      </c>
      <c r="C1135" s="8" t="str">
        <v>Pedido 1122</v>
      </c>
      <c r="D1135" s="9">
        <v>45724</v>
      </c>
      <c r="E1135" s="9">
        <v>45726</v>
      </c>
      <c r="F1135" s="8" t="str">
        <v>PedidoF1100</v>
      </c>
      <c r="G1135" s="2" t="str">
        <v>CódRastreio1098</v>
      </c>
      <c r="H1135" s="5">
        <v>1</v>
      </c>
      <c r="I1135" s="2" t="str">
        <v>CPF 1091</v>
      </c>
      <c r="J1135" s="2" t="str">
        <v>Nome 1091</v>
      </c>
      <c r="K1135" s="8" t="str">
        <v>Tel 1091</v>
      </c>
      <c r="L1135" s="8" t="str">
        <v>Cep 1091</v>
      </c>
      <c r="M1135" s="8" t="str">
        <v>Rua 1091</v>
      </c>
      <c r="N1135" s="8" t="str">
        <v>Comp 1091</v>
      </c>
      <c r="O1135" s="8" t="str">
        <v>Ventilador Rosa</v>
      </c>
      <c r="P1135" s="8" t="str">
        <v>IF-G2ZQ-79FO</v>
      </c>
      <c r="Q1135" s="4">
        <v>45757</v>
      </c>
      <c r="R1135" s="109">
        <v>61.5</v>
      </c>
      <c r="S1135" s="11">
        <f ca="1"/>
        <v>61.5</v>
      </c>
      <c r="T1135" s="28">
        <f ca="1"/>
        <v>7.9950000000000001</v>
      </c>
      <c r="U1135" s="11">
        <f ca="1"/>
        <v>53.51</v>
      </c>
      <c r="V1135" s="11">
        <v>12.74</v>
      </c>
      <c r="W1135" s="11">
        <f ca="1"/>
        <v>0.2</v>
      </c>
      <c r="X1135" s="11">
        <f ca="1"/>
        <v>0.39877104377104378</v>
      </c>
      <c r="Y1135" s="11">
        <v>0</v>
      </c>
      <c r="Z1135" s="11">
        <f ca="1"/>
        <v>40.171228956228958</v>
      </c>
      <c r="AA1135" s="11">
        <f ca="1"/>
        <v>20.085614478114479</v>
      </c>
      <c r="AB1135" s="4">
        <f ca="1"/>
        <v>45764</v>
      </c>
      <c r="AC1135" s="4">
        <v>45764</v>
      </c>
      <c r="AD1135" s="9">
        <v>45779</v>
      </c>
      <c r="AE1135" s="9">
        <v>45783</v>
      </c>
      <c r="AF1135" s="4" t="str">
        <f t="shared" ref="AF1135:AF1149" ca="1" si="75">_xlfn.CONCAT(PROPER(TEXT(AB1135,"aaaa"))," ",PROPER(TEXT(AB1135,"mm")))</f>
        <v>2025 04</v>
      </c>
      <c r="AG1135" s="8" t="str" cm="1">
        <f t="array" ref="AG1135">IFERROR(_xlfn.IFS('Banco de Dados'!#REF!="AG. COMPRA","Em processamento",'Banco de Dados'!#REF!="AG. RASTREIO","Em processamento",'Banco de Dados'!$AE1135&lt;&gt;"-","Faturado",'Banco de Dados'!$AD1135&lt;&gt;"-","Aguardando Pix",'Banco de Dados'!$AC1135&lt;&gt;"-","Pendente"),"Aguardando Liberação")</f>
        <v>Aguardando Liberação</v>
      </c>
      <c r="AH1135" s="5" t="str">
        <f>IF('Banco de Dados'!$F1135="-",_xlfn.CONCAT(PROPER(TEXT(AK1135,"aaaa"))," ",PROPER(TEXT(AK1135,"mm"))),_xlfn.CONCAT(PROPER(TEXT(E1135,"aaaa"))," ",PROPER(TEXT(E1135,"mm"))))</f>
        <v>2025 03</v>
      </c>
      <c r="AI1135" s="9" t="str">
        <f ca="1">IF('Banco de Dados'!$AK1135&lt;&gt;"-","REEMBOLSO",IFERROR(_xlfn.XLOOKUP(G1135,Follow[CODRASTREIO],Follow[STATUS]),"-"))</f>
        <v>ENTREGUE</v>
      </c>
      <c r="AJ1135" s="9">
        <f ca="1">IF('Banco de Dados'!$AI1135="ENTREGUE",_xlfn.XLOOKUP('Banco de Dados'!$G1135,Follow[CODRASTREIO],Follow[DATAATUALIZAÇÃO]),"-")</f>
        <v>45747</v>
      </c>
      <c r="AK1135" s="132" t="str">
        <f ca="1"/>
        <v>-</v>
      </c>
      <c r="AL1135" s="35"/>
      <c r="AM1135" s="109" cm="1">
        <f t="array" aca="1" ref="AM1135" ca="1">IF('Banco de Dados'!$AK1135&lt;&gt;"-",_xlfn.IFS('Banco de Dados'!$A1135="bv",IF('Banco de Dados'!$E1135&lt;45641,ROUND(SUM('Banco de Dados'!$R1135*_xlfn.XLOOKUP('Banco de Dados'!$P1135,Sku!B:B,Sku!#REF!)*20%),2),ROUND(SUM('Banco de Dados'!$R1135*_xlfn.XLOOKUP('Banco de Dados'!$P1135,Sku!B:B,Sku!H:H)*20%),2)),'Banco de Dados'!$A1135="GO",ROUND(_xlfn.XLOOKUP('Banco de Dados'!$P1135,Sku!C:C,Sku!H:H),2),'Banco de Dados'!$A1135="MEI",ROUND(_xlfn.XLOOKUP('Banco de Dados'!$P1135,Sku!D:D,Sku!H:H),2)),0)</f>
        <v>0</v>
      </c>
      <c r="AN1135" s="109">
        <f ca="1">IF('Banco de Dados'!$AK1135&lt;&gt;"-",IF('Banco de Dados'!$F1135&lt;&gt;"-",_xlfn.XLOOKUP(IFERROR(IFERROR(IFERROR(VALUE(SUBSTITUTE(MID(_xlfn.TEXTAFTER('Banco de Dados'!$F1135,"Data do Pedido:
",1),1,10),"-","/")),VALUE(SUBSTITUTE(MID(_xlfn.TEXTAFTER('Banco de Dados'!$F1135,"Order date:
",1),1,10),"-","/"))),VALUE(SUBSTITUTE(MID(_xlfn.TEXTAFTER('Banco de Dados'!$F1135,"Fecha de pedido:
",1),1,10),"-","/"))),"-"),SMS!A:A,SMS!K:K),0),0)</f>
        <v>0</v>
      </c>
      <c r="AO1135" s="109">
        <f ca="1">IF('Banco de Dados'!$AK1135&lt;&gt;"-",IF('Banco de Dados'!$F1135&lt;&gt;"-",IFERROR(_xlfn.XLOOKUP(_xlfn.CONCAT('Banco de Dados'!$A1135,IFERROR(IFERROR(VALUE(SUBSTITUTE(MID(_xlfn.TEXTAFTER('Banco de Dados'!$F1135,"Data do Pedido:
",1),1,10),"-","/")),VALUE(SUBSTITUTE(MID(_xlfn.TEXTAFTER('Banco de Dados'!$F1135,"Order date:
",1),1,10),"-","/"))),0)),ProxyDD[Chave],ProxyDD[Valor por pedido]),PROXY!$P$2),0),0)</f>
        <v>0</v>
      </c>
      <c r="AP1135" s="28">
        <f ca="1">IF('Banco de Dados'!$AK1135&lt;&gt;"-",IF('Banco de Dados'!$AL1135="NÃO",IFERROR(VALUE(SUBSTITUTE(_xlfn.TEXTAFTER('Banco de Dados'!$F1135,"BRL ",1),".",",")),0),0),0)</f>
        <v>0</v>
      </c>
      <c r="AQ1135" s="28">
        <f ca="1">SUM('Banco de Dados'!$AM1135:$AP1135)</f>
        <v>0</v>
      </c>
      <c r="AR1135" s="8"/>
      <c r="AY1135" s="8"/>
    </row>
    <row r="1136" spans="1:51">
      <c r="A1136" s="5" t="str">
        <v>BV</v>
      </c>
      <c r="B1136" s="5" t="str">
        <f ca="1"/>
        <v>BV45726</v>
      </c>
      <c r="C1136" s="8" t="str">
        <v>Pedido 1123</v>
      </c>
      <c r="D1136" s="9">
        <v>45724</v>
      </c>
      <c r="E1136" s="9">
        <v>45726</v>
      </c>
      <c r="F1136" s="8" t="str">
        <v>PedidoF1101</v>
      </c>
      <c r="G1136" s="2" t="str">
        <v>CódRastreio1099</v>
      </c>
      <c r="H1136" s="5">
        <v>1</v>
      </c>
      <c r="I1136" s="2" t="str">
        <v>CPF 1092</v>
      </c>
      <c r="J1136" s="2" t="str">
        <v>Nome 1092</v>
      </c>
      <c r="K1136" s="8" t="str">
        <v>Tel 1092</v>
      </c>
      <c r="L1136" s="8" t="str">
        <v>Cep 1092</v>
      </c>
      <c r="M1136" s="8" t="str">
        <v>Rua 1092</v>
      </c>
      <c r="N1136" s="8" t="str">
        <v>Comp 1092</v>
      </c>
      <c r="O1136" s="8" t="str">
        <v>Ventilador Rosa</v>
      </c>
      <c r="P1136" s="8" t="str">
        <v>IF-G2ZQ-79FO</v>
      </c>
      <c r="Q1136" s="4">
        <v>45750</v>
      </c>
      <c r="R1136" s="109">
        <v>61.5</v>
      </c>
      <c r="S1136" s="11">
        <f ca="1"/>
        <v>61.5</v>
      </c>
      <c r="T1136" s="28">
        <f ca="1"/>
        <v>7.9950000000000001</v>
      </c>
      <c r="U1136" s="11">
        <f ca="1"/>
        <v>53.51</v>
      </c>
      <c r="V1136" s="11">
        <v>12.74</v>
      </c>
      <c r="W1136" s="11">
        <f ca="1"/>
        <v>0.2</v>
      </c>
      <c r="X1136" s="11">
        <f ca="1"/>
        <v>0.39877104377104378</v>
      </c>
      <c r="Y1136" s="11">
        <v>0</v>
      </c>
      <c r="Z1136" s="11">
        <f ca="1"/>
        <v>40.171228956228958</v>
      </c>
      <c r="AA1136" s="11">
        <f ca="1"/>
        <v>20.085614478114479</v>
      </c>
      <c r="AB1136" s="4">
        <f ca="1"/>
        <v>45757</v>
      </c>
      <c r="AC1136" s="4">
        <v>45757</v>
      </c>
      <c r="AD1136" s="9">
        <v>45762</v>
      </c>
      <c r="AE1136" s="9">
        <v>45763</v>
      </c>
      <c r="AF1136" s="4" t="str">
        <f t="shared" ca="1" si="75"/>
        <v>2025 04</v>
      </c>
      <c r="AG1136" s="8" t="str" cm="1">
        <f t="array" ref="AG1136">IFERROR(_xlfn.IFS('Banco de Dados'!#REF!="AG. COMPRA","Em processamento",'Banco de Dados'!#REF!="AG. RASTREIO","Em processamento",'Banco de Dados'!$AE1136&lt;&gt;"-","Faturado",'Banco de Dados'!$AD1136&lt;&gt;"-","Aguardando Pix",'Banco de Dados'!$AC1136&lt;&gt;"-","Pendente"),"Aguardando Liberação")</f>
        <v>Aguardando Liberação</v>
      </c>
      <c r="AH1136" s="5" t="str">
        <f>IF('Banco de Dados'!$F1136="-",_xlfn.CONCAT(PROPER(TEXT(AK1136,"aaaa"))," ",PROPER(TEXT(AK1136,"mm"))),_xlfn.CONCAT(PROPER(TEXT(E1136,"aaaa"))," ",PROPER(TEXT(E1136,"mm"))))</f>
        <v>2025 03</v>
      </c>
      <c r="AI1136" s="9" t="str">
        <f ca="1">IF('Banco de Dados'!$AK1136&lt;&gt;"-","REEMBOLSO",IFERROR(_xlfn.XLOOKUP(G1136,Follow[CODRASTREIO],Follow[STATUS]),"-"))</f>
        <v>ENTREGUE</v>
      </c>
      <c r="AJ1136" s="9">
        <f ca="1">IF('Banco de Dados'!$AI1136="ENTREGUE",_xlfn.XLOOKUP('Banco de Dados'!$G1136,Follow[CODRASTREIO],Follow[DATAATUALIZAÇÃO]),"-")</f>
        <v>45743</v>
      </c>
      <c r="AK1136" s="132" t="str">
        <f ca="1"/>
        <v>-</v>
      </c>
      <c r="AL1136" s="35"/>
      <c r="AM1136" s="109" cm="1">
        <f t="array" aca="1" ref="AM1136" ca="1">IF('Banco de Dados'!$AK1136&lt;&gt;"-",_xlfn.IFS('Banco de Dados'!$A1136="bv",IF('Banco de Dados'!$E1136&lt;45641,ROUND(SUM('Banco de Dados'!$R1136*_xlfn.XLOOKUP('Banco de Dados'!$P1136,Sku!B:B,Sku!#REF!)*20%),2),ROUND(SUM('Banco de Dados'!$R1136*_xlfn.XLOOKUP('Banco de Dados'!$P1136,Sku!B:B,Sku!H:H)*20%),2)),'Banco de Dados'!$A1136="GO",ROUND(_xlfn.XLOOKUP('Banco de Dados'!$P1136,Sku!C:C,Sku!H:H),2),'Banco de Dados'!$A1136="MEI",ROUND(_xlfn.XLOOKUP('Banco de Dados'!$P1136,Sku!D:D,Sku!H:H),2)),0)</f>
        <v>0</v>
      </c>
      <c r="AN1136" s="109">
        <f ca="1">IF('Banco de Dados'!$AK1136&lt;&gt;"-",IF('Banco de Dados'!$F1136&lt;&gt;"-",_xlfn.XLOOKUP(IFERROR(IFERROR(IFERROR(VALUE(SUBSTITUTE(MID(_xlfn.TEXTAFTER('Banco de Dados'!$F1136,"Data do Pedido:
",1),1,10),"-","/")),VALUE(SUBSTITUTE(MID(_xlfn.TEXTAFTER('Banco de Dados'!$F1136,"Order date:
",1),1,10),"-","/"))),VALUE(SUBSTITUTE(MID(_xlfn.TEXTAFTER('Banco de Dados'!$F1136,"Fecha de pedido:
",1),1,10),"-","/"))),"-"),SMS!A:A,SMS!K:K),0),0)</f>
        <v>0</v>
      </c>
      <c r="AO1136" s="109">
        <f ca="1">IF('Banco de Dados'!$AK1136&lt;&gt;"-",IF('Banco de Dados'!$F1136&lt;&gt;"-",IFERROR(_xlfn.XLOOKUP(_xlfn.CONCAT('Banco de Dados'!$A1136,IFERROR(IFERROR(VALUE(SUBSTITUTE(MID(_xlfn.TEXTAFTER('Banco de Dados'!$F1136,"Data do Pedido:
",1),1,10),"-","/")),VALUE(SUBSTITUTE(MID(_xlfn.TEXTAFTER('Banco de Dados'!$F1136,"Order date:
",1),1,10),"-","/"))),0)),ProxyDD[Chave],ProxyDD[Valor por pedido]),PROXY!$P$2),0),0)</f>
        <v>0</v>
      </c>
      <c r="AP1136" s="28">
        <f ca="1">IF('Banco de Dados'!$AK1136&lt;&gt;"-",IF('Banco de Dados'!$AL1136="NÃO",IFERROR(VALUE(SUBSTITUTE(_xlfn.TEXTAFTER('Banco de Dados'!$F1136,"BRL ",1),".",",")),0),0),0)</f>
        <v>0</v>
      </c>
      <c r="AQ1136" s="28">
        <f ca="1">SUM('Banco de Dados'!$AM1136:$AP1136)</f>
        <v>0</v>
      </c>
      <c r="AR1136" s="8"/>
      <c r="AY1136" s="8"/>
    </row>
    <row r="1137" spans="1:51">
      <c r="A1137" s="5" t="str">
        <v>BV</v>
      </c>
      <c r="B1137" s="5" t="str">
        <f ca="1"/>
        <v>BV45726</v>
      </c>
      <c r="C1137" s="8" t="str">
        <v>Pedido 1124</v>
      </c>
      <c r="D1137" s="9">
        <v>45725</v>
      </c>
      <c r="E1137" s="9">
        <v>45726</v>
      </c>
      <c r="F1137" s="8" t="str">
        <v>PedidoF1102</v>
      </c>
      <c r="G1137" s="2" t="str">
        <v>CódRastreio1100</v>
      </c>
      <c r="H1137" s="5">
        <v>1</v>
      </c>
      <c r="I1137" s="2" t="str">
        <v>CPF 1093</v>
      </c>
      <c r="J1137" s="2" t="str">
        <v>Nome 1093</v>
      </c>
      <c r="K1137" s="8" t="str">
        <v>Tel 1093</v>
      </c>
      <c r="L1137" s="8" t="str">
        <v>Cep 1093</v>
      </c>
      <c r="M1137" s="8" t="str">
        <v>Rua 1093</v>
      </c>
      <c r="N1137" s="8" t="str">
        <v>Comp 1093</v>
      </c>
      <c r="O1137" s="8" t="str">
        <v>Garrafa Termica</v>
      </c>
      <c r="P1137" s="8" t="str">
        <v>FM-QQ8Y-RZT4</v>
      </c>
      <c r="Q1137" s="4">
        <v>45750</v>
      </c>
      <c r="R1137" s="109">
        <v>23.5</v>
      </c>
      <c r="S1137" s="11">
        <f ca="1"/>
        <v>23.5</v>
      </c>
      <c r="T1137" s="28">
        <f ca="1"/>
        <v>3.0550000000000002</v>
      </c>
      <c r="U1137" s="11">
        <f ca="1"/>
        <v>20.45</v>
      </c>
      <c r="V1137" s="11">
        <v>12</v>
      </c>
      <c r="W1137" s="11">
        <f ca="1"/>
        <v>0.2</v>
      </c>
      <c r="X1137" s="11">
        <f ca="1"/>
        <v>0.39877104377104378</v>
      </c>
      <c r="Y1137" s="11">
        <v>0</v>
      </c>
      <c r="Z1137" s="11">
        <f ca="1"/>
        <v>7.8512289562289563</v>
      </c>
      <c r="AA1137" s="11">
        <f ca="1"/>
        <v>3.9256144781144782</v>
      </c>
      <c r="AB1137" s="4">
        <f ca="1"/>
        <v>45757</v>
      </c>
      <c r="AC1137" s="4">
        <v>45757</v>
      </c>
      <c r="AD1137" s="9">
        <v>45762</v>
      </c>
      <c r="AE1137" s="9">
        <v>45763</v>
      </c>
      <c r="AF1137" s="4" t="str">
        <f t="shared" ca="1" si="75"/>
        <v>2025 04</v>
      </c>
      <c r="AG1137" s="8" t="str" cm="1">
        <f t="array" ref="AG1137">IFERROR(_xlfn.IFS('Banco de Dados'!#REF!="AG. COMPRA","Em processamento",'Banco de Dados'!#REF!="AG. RASTREIO","Em processamento",'Banco de Dados'!$AE1137&lt;&gt;"-","Faturado",'Banco de Dados'!$AD1137&lt;&gt;"-","Aguardando Pix",'Banco de Dados'!$AC1137&lt;&gt;"-","Pendente"),"Aguardando Liberação")</f>
        <v>Aguardando Liberação</v>
      </c>
      <c r="AH1137" s="5" t="str">
        <f>IF('Banco de Dados'!$F1137="-",_xlfn.CONCAT(PROPER(TEXT(AK1137,"aaaa"))," ",PROPER(TEXT(AK1137,"mm"))),_xlfn.CONCAT(PROPER(TEXT(E1137,"aaaa"))," ",PROPER(TEXT(E1137,"mm"))))</f>
        <v>2025 03</v>
      </c>
      <c r="AI1137" s="9" t="str">
        <f ca="1">IF('Banco de Dados'!$AK1137&lt;&gt;"-","REEMBOLSO",IFERROR(_xlfn.XLOOKUP(G1137,Follow[CODRASTREIO],Follow[STATUS]),"-"))</f>
        <v>ENTREGUE</v>
      </c>
      <c r="AJ1137" s="9">
        <f ca="1">IF('Banco de Dados'!$AI1137="ENTREGUE",_xlfn.XLOOKUP('Banco de Dados'!$G1137,Follow[CODRASTREIO],Follow[DATAATUALIZAÇÃO]),"-")</f>
        <v>45735</v>
      </c>
      <c r="AK1137" s="132" t="str">
        <f ca="1"/>
        <v>-</v>
      </c>
      <c r="AL1137" s="35"/>
      <c r="AM1137" s="109" cm="1">
        <f t="array" aca="1" ref="AM1137" ca="1">IF('Banco de Dados'!$AK1137&lt;&gt;"-",_xlfn.IFS('Banco de Dados'!$A1137="bv",IF('Banco de Dados'!$E1137&lt;45641,ROUND(SUM('Banco de Dados'!$R1137*_xlfn.XLOOKUP('Banco de Dados'!$P1137,Sku!B:B,Sku!#REF!)*20%),2),ROUND(SUM('Banco de Dados'!$R1137*_xlfn.XLOOKUP('Banco de Dados'!$P1137,Sku!B:B,Sku!H:H)*20%),2)),'Banco de Dados'!$A1137="GO",ROUND(_xlfn.XLOOKUP('Banco de Dados'!$P1137,Sku!C:C,Sku!H:H),2),'Banco de Dados'!$A1137="MEI",ROUND(_xlfn.XLOOKUP('Banco de Dados'!$P1137,Sku!D:D,Sku!H:H),2)),0)</f>
        <v>0</v>
      </c>
      <c r="AN1137" s="109">
        <f ca="1">IF('Banco de Dados'!$AK1137&lt;&gt;"-",IF('Banco de Dados'!$F1137&lt;&gt;"-",_xlfn.XLOOKUP(IFERROR(IFERROR(IFERROR(VALUE(SUBSTITUTE(MID(_xlfn.TEXTAFTER('Banco de Dados'!$F1137,"Data do Pedido:
",1),1,10),"-","/")),VALUE(SUBSTITUTE(MID(_xlfn.TEXTAFTER('Banco de Dados'!$F1137,"Order date:
",1),1,10),"-","/"))),VALUE(SUBSTITUTE(MID(_xlfn.TEXTAFTER('Banco de Dados'!$F1137,"Fecha de pedido:
",1),1,10),"-","/"))),"-"),SMS!A:A,SMS!K:K),0),0)</f>
        <v>0</v>
      </c>
      <c r="AO1137" s="109">
        <f ca="1">IF('Banco de Dados'!$AK1137&lt;&gt;"-",IF('Banco de Dados'!$F1137&lt;&gt;"-",IFERROR(_xlfn.XLOOKUP(_xlfn.CONCAT('Banco de Dados'!$A1137,IFERROR(IFERROR(VALUE(SUBSTITUTE(MID(_xlfn.TEXTAFTER('Banco de Dados'!$F1137,"Data do Pedido:
",1),1,10),"-","/")),VALUE(SUBSTITUTE(MID(_xlfn.TEXTAFTER('Banco de Dados'!$F1137,"Order date:
",1),1,10),"-","/"))),0)),ProxyDD[Chave],ProxyDD[Valor por pedido]),PROXY!$P$2),0),0)</f>
        <v>0</v>
      </c>
      <c r="AP1137" s="28">
        <f ca="1">IF('Banco de Dados'!$AK1137&lt;&gt;"-",IF('Banco de Dados'!$AL1137="NÃO",IFERROR(VALUE(SUBSTITUTE(_xlfn.TEXTAFTER('Banco de Dados'!$F1137,"BRL ",1),".",",")),0),0),0)</f>
        <v>0</v>
      </c>
      <c r="AQ1137" s="28">
        <f ca="1">SUM('Banco de Dados'!$AM1137:$AP1137)</f>
        <v>0</v>
      </c>
      <c r="AR1137" s="8"/>
      <c r="AY1137" s="8"/>
    </row>
    <row r="1138" spans="1:51">
      <c r="A1138" s="5" t="str">
        <v>BV</v>
      </c>
      <c r="B1138" s="5" t="str">
        <f ca="1"/>
        <v>BV45726</v>
      </c>
      <c r="C1138" s="8" t="str">
        <v>Pedido 1125</v>
      </c>
      <c r="D1138" s="9">
        <v>45725</v>
      </c>
      <c r="E1138" s="9">
        <v>45726</v>
      </c>
      <c r="F1138" s="8" t="str">
        <v>PedidoF1103</v>
      </c>
      <c r="G1138" s="2" t="str">
        <v>CódRastreio1101</v>
      </c>
      <c r="H1138" s="5">
        <v>1</v>
      </c>
      <c r="I1138" s="2" t="str">
        <v>CPF 1094</v>
      </c>
      <c r="J1138" s="2" t="str">
        <v>Nome 1094</v>
      </c>
      <c r="K1138" s="8" t="str">
        <v>Tel 1094</v>
      </c>
      <c r="L1138" s="8" t="str">
        <v>Cep 1094</v>
      </c>
      <c r="M1138" s="8" t="str">
        <v>Rua 1094</v>
      </c>
      <c r="N1138" s="8" t="str">
        <v>Comp 1094</v>
      </c>
      <c r="O1138" s="8" t="str">
        <v>Garrafa Termica</v>
      </c>
      <c r="P1138" s="8" t="str">
        <v>FM-QQ8Y-RZT4</v>
      </c>
      <c r="Q1138" s="4">
        <v>45738</v>
      </c>
      <c r="R1138" s="109">
        <v>23.5</v>
      </c>
      <c r="S1138" s="11">
        <f ca="1"/>
        <v>23.5</v>
      </c>
      <c r="T1138" s="28">
        <f ca="1"/>
        <v>3.0550000000000002</v>
      </c>
      <c r="U1138" s="11">
        <f ca="1"/>
        <v>20.45</v>
      </c>
      <c r="V1138" s="11">
        <v>12</v>
      </c>
      <c r="W1138" s="11">
        <f ca="1"/>
        <v>0.2</v>
      </c>
      <c r="X1138" s="11">
        <f ca="1"/>
        <v>0.39877104377104378</v>
      </c>
      <c r="Y1138" s="11">
        <v>0</v>
      </c>
      <c r="Z1138" s="11">
        <f ca="1"/>
        <v>7.8512289562289563</v>
      </c>
      <c r="AA1138" s="11">
        <f ca="1"/>
        <v>3.9256144781144782</v>
      </c>
      <c r="AB1138" s="4">
        <f ca="1"/>
        <v>45745</v>
      </c>
      <c r="AC1138" s="4">
        <v>45745</v>
      </c>
      <c r="AD1138" s="9">
        <v>45747</v>
      </c>
      <c r="AE1138" s="9">
        <v>45749</v>
      </c>
      <c r="AF1138" s="4" t="str">
        <f t="shared" ca="1" si="75"/>
        <v>2025 03</v>
      </c>
      <c r="AG1138" s="8" t="str" cm="1">
        <f t="array" ref="AG1138">IFERROR(_xlfn.IFS('Banco de Dados'!#REF!="AG. COMPRA","Em processamento",'Banco de Dados'!#REF!="AG. RASTREIO","Em processamento",'Banco de Dados'!$AE1138&lt;&gt;"-","Faturado",'Banco de Dados'!$AD1138&lt;&gt;"-","Aguardando Pix",'Banco de Dados'!$AC1138&lt;&gt;"-","Pendente"),"Aguardando Liberação")</f>
        <v>Aguardando Liberação</v>
      </c>
      <c r="AH1138" s="5" t="str">
        <f>IF('Banco de Dados'!$F1138="-",_xlfn.CONCAT(PROPER(TEXT(AK1138,"aaaa"))," ",PROPER(TEXT(AK1138,"mm"))),_xlfn.CONCAT(PROPER(TEXT(E1138,"aaaa"))," ",PROPER(TEXT(E1138,"mm"))))</f>
        <v>2025 03</v>
      </c>
      <c r="AI1138" s="9" t="str">
        <f ca="1">IF('Banco de Dados'!$AK1138&lt;&gt;"-","REEMBOLSO",IFERROR(_xlfn.XLOOKUP(G1138,Follow[CODRASTREIO],Follow[STATUS]),"-"))</f>
        <v>ENTREGUE</v>
      </c>
      <c r="AJ1138" s="9">
        <f ca="1">IF('Banco de Dados'!$AI1138="ENTREGUE",_xlfn.XLOOKUP('Banco de Dados'!$G1138,Follow[CODRASTREIO],Follow[DATAATUALIZAÇÃO]),"-")</f>
        <v>45728.766863425924</v>
      </c>
      <c r="AK1138" s="132" t="str">
        <f ca="1"/>
        <v>-</v>
      </c>
      <c r="AL1138" s="35"/>
      <c r="AM1138" s="109" cm="1">
        <f t="array" aca="1" ref="AM1138" ca="1">IF('Banco de Dados'!$AK1138&lt;&gt;"-",_xlfn.IFS('Banco de Dados'!$A1138="bv",IF('Banco de Dados'!$E1138&lt;45641,ROUND(SUM('Banco de Dados'!$R1138*_xlfn.XLOOKUP('Banco de Dados'!$P1138,Sku!B:B,Sku!#REF!)*20%),2),ROUND(SUM('Banco de Dados'!$R1138*_xlfn.XLOOKUP('Banco de Dados'!$P1138,Sku!B:B,Sku!H:H)*20%),2)),'Banco de Dados'!$A1138="GO",ROUND(_xlfn.XLOOKUP('Banco de Dados'!$P1138,Sku!C:C,Sku!H:H),2),'Banco de Dados'!$A1138="MEI",ROUND(_xlfn.XLOOKUP('Banco de Dados'!$P1138,Sku!D:D,Sku!H:H),2)),0)</f>
        <v>0</v>
      </c>
      <c r="AN1138" s="109">
        <f ca="1">IF('Banco de Dados'!$AK1138&lt;&gt;"-",IF('Banco de Dados'!$F1138&lt;&gt;"-",_xlfn.XLOOKUP(IFERROR(IFERROR(IFERROR(VALUE(SUBSTITUTE(MID(_xlfn.TEXTAFTER('Banco de Dados'!$F1138,"Data do Pedido:
",1),1,10),"-","/")),VALUE(SUBSTITUTE(MID(_xlfn.TEXTAFTER('Banco de Dados'!$F1138,"Order date:
",1),1,10),"-","/"))),VALUE(SUBSTITUTE(MID(_xlfn.TEXTAFTER('Banco de Dados'!$F1138,"Fecha de pedido:
",1),1,10),"-","/"))),"-"),SMS!A:A,SMS!K:K),0),0)</f>
        <v>0</v>
      </c>
      <c r="AO1138" s="109">
        <f ca="1">IF('Banco de Dados'!$AK1138&lt;&gt;"-",IF('Banco de Dados'!$F1138&lt;&gt;"-",IFERROR(_xlfn.XLOOKUP(_xlfn.CONCAT('Banco de Dados'!$A1138,IFERROR(IFERROR(VALUE(SUBSTITUTE(MID(_xlfn.TEXTAFTER('Banco de Dados'!$F1138,"Data do Pedido:
",1),1,10),"-","/")),VALUE(SUBSTITUTE(MID(_xlfn.TEXTAFTER('Banco de Dados'!$F1138,"Order date:
",1),1,10),"-","/"))),0)),ProxyDD[Chave],ProxyDD[Valor por pedido]),PROXY!$P$2),0),0)</f>
        <v>0</v>
      </c>
      <c r="AP1138" s="28">
        <f ca="1">IF('Banco de Dados'!$AK1138&lt;&gt;"-",IF('Banco de Dados'!$AL1138="NÃO",IFERROR(VALUE(SUBSTITUTE(_xlfn.TEXTAFTER('Banco de Dados'!$F1138,"BRL ",1),".",",")),0),0),0)</f>
        <v>0</v>
      </c>
      <c r="AQ1138" s="28">
        <f ca="1">SUM('Banco de Dados'!$AM1138:$AP1138)</f>
        <v>0</v>
      </c>
      <c r="AR1138" s="8"/>
      <c r="AY1138" s="8"/>
    </row>
    <row r="1139" spans="1:51">
      <c r="A1139" s="5" t="str">
        <v>BV</v>
      </c>
      <c r="B1139" s="5" t="str">
        <f ca="1"/>
        <v>BV45726</v>
      </c>
      <c r="C1139" s="8" t="str">
        <v>Pedido 1126</v>
      </c>
      <c r="D1139" s="9">
        <v>45726</v>
      </c>
      <c r="E1139" s="9">
        <v>45726</v>
      </c>
      <c r="F1139" s="8" t="str">
        <v>PedidoF1104</v>
      </c>
      <c r="G1139" s="2" t="str">
        <v>CódRastreio1102</v>
      </c>
      <c r="H1139" s="5">
        <v>1</v>
      </c>
      <c r="I1139" s="2" t="str">
        <v>CPF 1095</v>
      </c>
      <c r="J1139" s="2" t="str">
        <v>Nome 1095</v>
      </c>
      <c r="K1139" s="8" t="str">
        <v>Tel 1095</v>
      </c>
      <c r="L1139" s="8" t="str">
        <v>Cep 1095</v>
      </c>
      <c r="M1139" s="8" t="str">
        <v>Rua 1095</v>
      </c>
      <c r="N1139" s="8" t="str">
        <v>Comp 1095</v>
      </c>
      <c r="O1139" s="8" t="str">
        <v>Lampada Led</v>
      </c>
      <c r="P1139" s="8" t="str">
        <v>RB-W251-UXV2</v>
      </c>
      <c r="Q1139" s="4">
        <v>45741</v>
      </c>
      <c r="R1139" s="109">
        <v>26.99</v>
      </c>
      <c r="S1139" s="11">
        <f ca="1"/>
        <v>26.99</v>
      </c>
      <c r="T1139" s="28">
        <f ca="1"/>
        <v>3.5086999999999997</v>
      </c>
      <c r="U1139" s="11">
        <f ca="1"/>
        <v>23.48</v>
      </c>
      <c r="V1139" s="11">
        <v>11.28</v>
      </c>
      <c r="W1139" s="11">
        <f ca="1"/>
        <v>0.2</v>
      </c>
      <c r="X1139" s="11">
        <f ca="1"/>
        <v>0.39877104377104378</v>
      </c>
      <c r="Y1139" s="11">
        <v>0</v>
      </c>
      <c r="Z1139" s="11">
        <f ca="1"/>
        <v>11.601228956228958</v>
      </c>
      <c r="AA1139" s="11">
        <f ca="1"/>
        <v>5.8006144781144791</v>
      </c>
      <c r="AB1139" s="4">
        <f ca="1"/>
        <v>45748</v>
      </c>
      <c r="AC1139" s="4">
        <v>45748</v>
      </c>
      <c r="AD1139" s="9">
        <v>45762</v>
      </c>
      <c r="AE1139" s="9">
        <v>45763</v>
      </c>
      <c r="AF1139" s="4" t="str">
        <f t="shared" ca="1" si="75"/>
        <v>2025 04</v>
      </c>
      <c r="AG1139" s="8" t="str" cm="1">
        <f t="array" ref="AG1139">IFERROR(_xlfn.IFS('Banco de Dados'!#REF!="AG. COMPRA","Em processamento",'Banco de Dados'!#REF!="AG. RASTREIO","Em processamento",'Banco de Dados'!$AE1139&lt;&gt;"-","Faturado",'Banco de Dados'!$AD1139&lt;&gt;"-","Aguardando Pix",'Banco de Dados'!$AC1139&lt;&gt;"-","Pendente"),"Aguardando Liberação")</f>
        <v>Aguardando Liberação</v>
      </c>
      <c r="AH1139" s="5" t="str">
        <f>IF('Banco de Dados'!$F1139="-",_xlfn.CONCAT(PROPER(TEXT(AK1139,"aaaa"))," ",PROPER(TEXT(AK1139,"mm"))),_xlfn.CONCAT(PROPER(TEXT(E1139,"aaaa"))," ",PROPER(TEXT(E1139,"mm"))))</f>
        <v>2025 03</v>
      </c>
      <c r="AI1139" s="9" t="str">
        <f ca="1">IF('Banco de Dados'!$AK1139&lt;&gt;"-","REEMBOLSO",IFERROR(_xlfn.XLOOKUP(G1139,Follow[CODRASTREIO],Follow[STATUS]),"-"))</f>
        <v>ENTREGUE</v>
      </c>
      <c r="AJ1139" s="9">
        <f ca="1">IF('Banco de Dados'!$AI1139="ENTREGUE",_xlfn.XLOOKUP('Banco de Dados'!$G1139,Follow[CODRASTREIO],Follow[DATAATUALIZAÇÃO]),"-")</f>
        <v>45730</v>
      </c>
      <c r="AK1139" s="132" t="str">
        <f ca="1"/>
        <v>-</v>
      </c>
      <c r="AL1139" s="35"/>
      <c r="AM1139" s="109" cm="1">
        <f t="array" aca="1" ref="AM1139" ca="1">IF('Banco de Dados'!$AK1139&lt;&gt;"-",_xlfn.IFS('Banco de Dados'!$A1139="bv",IF('Banco de Dados'!$E1139&lt;45641,ROUND(SUM('Banco de Dados'!$R1139*_xlfn.XLOOKUP('Banco de Dados'!$P1139,Sku!B:B,Sku!#REF!)*20%),2),ROUND(SUM('Banco de Dados'!$R1139*_xlfn.XLOOKUP('Banco de Dados'!$P1139,Sku!B:B,Sku!H:H)*20%),2)),'Banco de Dados'!$A1139="GO",ROUND(_xlfn.XLOOKUP('Banco de Dados'!$P1139,Sku!C:C,Sku!H:H),2),'Banco de Dados'!$A1139="MEI",ROUND(_xlfn.XLOOKUP('Banco de Dados'!$P1139,Sku!D:D,Sku!H:H),2)),0)</f>
        <v>0</v>
      </c>
      <c r="AN1139" s="109">
        <f ca="1">IF('Banco de Dados'!$AK1139&lt;&gt;"-",IF('Banco de Dados'!$F1139&lt;&gt;"-",_xlfn.XLOOKUP(IFERROR(IFERROR(IFERROR(VALUE(SUBSTITUTE(MID(_xlfn.TEXTAFTER('Banco de Dados'!$F1139,"Data do Pedido:
",1),1,10),"-","/")),VALUE(SUBSTITUTE(MID(_xlfn.TEXTAFTER('Banco de Dados'!$F1139,"Order date:
",1),1,10),"-","/"))),VALUE(SUBSTITUTE(MID(_xlfn.TEXTAFTER('Banco de Dados'!$F1139,"Fecha de pedido:
",1),1,10),"-","/"))),"-"),SMS!A:A,SMS!K:K),0),0)</f>
        <v>0</v>
      </c>
      <c r="AO1139" s="109">
        <f ca="1">IF('Banco de Dados'!$AK1139&lt;&gt;"-",IF('Banco de Dados'!$F1139&lt;&gt;"-",IFERROR(_xlfn.XLOOKUP(_xlfn.CONCAT('Banco de Dados'!$A1139,IFERROR(IFERROR(VALUE(SUBSTITUTE(MID(_xlfn.TEXTAFTER('Banco de Dados'!$F1139,"Data do Pedido:
",1),1,10),"-","/")),VALUE(SUBSTITUTE(MID(_xlfn.TEXTAFTER('Banco de Dados'!$F1139,"Order date:
",1),1,10),"-","/"))),0)),ProxyDD[Chave],ProxyDD[Valor por pedido]),PROXY!$P$2),0),0)</f>
        <v>0</v>
      </c>
      <c r="AP1139" s="28">
        <f ca="1">IF('Banco de Dados'!$AK1139&lt;&gt;"-",IF('Banco de Dados'!$AL1139="NÃO",IFERROR(VALUE(SUBSTITUTE(_xlfn.TEXTAFTER('Banco de Dados'!$F1139,"BRL ",1),".",",")),0),0),0)</f>
        <v>0</v>
      </c>
      <c r="AQ1139" s="28">
        <f ca="1">SUM('Banco de Dados'!$AM1139:$AP1139)</f>
        <v>0</v>
      </c>
      <c r="AR1139" s="8"/>
      <c r="AY1139" s="8"/>
    </row>
    <row r="1140" spans="1:51">
      <c r="A1140" s="5" t="str">
        <v>BV</v>
      </c>
      <c r="B1140" s="5" t="str">
        <f ca="1"/>
        <v>BV45726</v>
      </c>
      <c r="C1140" s="8" t="str">
        <v>Pedido 1127</v>
      </c>
      <c r="D1140" s="9">
        <v>45726</v>
      </c>
      <c r="E1140" s="9">
        <v>45726</v>
      </c>
      <c r="F1140" s="8" t="str">
        <v>PedidoF1105</v>
      </c>
      <c r="G1140" s="2" t="str">
        <v>CódRastreio1103</v>
      </c>
      <c r="H1140" s="5">
        <v>1</v>
      </c>
      <c r="I1140" s="2" t="str">
        <v>CPF 1096</v>
      </c>
      <c r="J1140" s="2" t="str">
        <v>Nome 1096</v>
      </c>
      <c r="K1140" s="8" t="str">
        <v>Tel 1096</v>
      </c>
      <c r="L1140" s="8" t="str">
        <v>Cep 1096</v>
      </c>
      <c r="M1140" s="8" t="str">
        <v>Rua 1096</v>
      </c>
      <c r="N1140" s="8" t="str">
        <v>Comp 1096</v>
      </c>
      <c r="O1140" s="8" t="str">
        <v>Ventilador Preto</v>
      </c>
      <c r="P1140" s="8" t="str">
        <v>MU-J80P-95WF</v>
      </c>
      <c r="Q1140" s="4">
        <v>45745</v>
      </c>
      <c r="R1140" s="109">
        <v>65.599999999999994</v>
      </c>
      <c r="S1140" s="11">
        <f ca="1"/>
        <v>65.599999999999994</v>
      </c>
      <c r="T1140" s="28">
        <f ca="1"/>
        <v>8.5279999999999987</v>
      </c>
      <c r="U1140" s="11">
        <f ca="1"/>
        <v>57.07</v>
      </c>
      <c r="V1140" s="11">
        <v>12.05</v>
      </c>
      <c r="W1140" s="11">
        <f ca="1"/>
        <v>0.2</v>
      </c>
      <c r="X1140" s="11">
        <f ca="1"/>
        <v>0.39877104377104378</v>
      </c>
      <c r="Y1140" s="11">
        <v>0</v>
      </c>
      <c r="Z1140" s="11">
        <f ca="1"/>
        <v>44.421228956228958</v>
      </c>
      <c r="AA1140" s="11">
        <f ca="1"/>
        <v>22.210614478114479</v>
      </c>
      <c r="AB1140" s="4">
        <f ca="1"/>
        <v>45752</v>
      </c>
      <c r="AC1140" s="4">
        <v>45752</v>
      </c>
      <c r="AD1140" s="9">
        <v>45762</v>
      </c>
      <c r="AE1140" s="9">
        <v>45763</v>
      </c>
      <c r="AF1140" s="4" t="str">
        <f t="shared" ca="1" si="75"/>
        <v>2025 04</v>
      </c>
      <c r="AG1140" s="8" t="str" cm="1">
        <f t="array" ref="AG1140">IFERROR(_xlfn.IFS('Banco de Dados'!#REF!="AG. COMPRA","Em processamento",'Banco de Dados'!#REF!="AG. RASTREIO","Em processamento",'Banco de Dados'!$AE1140&lt;&gt;"-","Faturado",'Banco de Dados'!$AD1140&lt;&gt;"-","Aguardando Pix",'Banco de Dados'!$AC1140&lt;&gt;"-","Pendente"),"Aguardando Liberação")</f>
        <v>Aguardando Liberação</v>
      </c>
      <c r="AH1140" s="5" t="str">
        <f>IF('Banco de Dados'!$F1140="-",_xlfn.CONCAT(PROPER(TEXT(AK1140,"aaaa"))," ",PROPER(TEXT(AK1140,"mm"))),_xlfn.CONCAT(PROPER(TEXT(E1140,"aaaa"))," ",PROPER(TEXT(E1140,"mm"))))</f>
        <v>2025 03</v>
      </c>
      <c r="AI1140" s="9" t="str">
        <f ca="1">IF('Banco de Dados'!$AK1140&lt;&gt;"-","REEMBOLSO",IFERROR(_xlfn.XLOOKUP(G1140,Follow[CODRASTREIO],Follow[STATUS]),"-"))</f>
        <v>ENTREGUE</v>
      </c>
      <c r="AJ1140" s="9">
        <f ca="1">IF('Banco de Dados'!$AI1140="ENTREGUE",_xlfn.XLOOKUP('Banco de Dados'!$G1140,Follow[CODRASTREIO],Follow[DATAATUALIZAÇÃO]),"-")</f>
        <v>45741</v>
      </c>
      <c r="AK1140" s="132" t="str">
        <f ca="1"/>
        <v>-</v>
      </c>
      <c r="AL1140" s="35"/>
      <c r="AM1140" s="109" cm="1">
        <f t="array" aca="1" ref="AM1140" ca="1">IF('Banco de Dados'!$AK1140&lt;&gt;"-",_xlfn.IFS('Banco de Dados'!$A1140="bv",IF('Banco de Dados'!$E1140&lt;45641,ROUND(SUM('Banco de Dados'!$R1140*_xlfn.XLOOKUP('Banco de Dados'!$P1140,Sku!B:B,Sku!#REF!)*20%),2),ROUND(SUM('Banco de Dados'!$R1140*_xlfn.XLOOKUP('Banco de Dados'!$P1140,Sku!B:B,Sku!H:H)*20%),2)),'Banco de Dados'!$A1140="GO",ROUND(_xlfn.XLOOKUP('Banco de Dados'!$P1140,Sku!C:C,Sku!H:H),2),'Banco de Dados'!$A1140="MEI",ROUND(_xlfn.XLOOKUP('Banco de Dados'!$P1140,Sku!D:D,Sku!H:H),2)),0)</f>
        <v>0</v>
      </c>
      <c r="AN1140" s="109">
        <f ca="1">IF('Banco de Dados'!$AK1140&lt;&gt;"-",IF('Banco de Dados'!$F1140&lt;&gt;"-",_xlfn.XLOOKUP(IFERROR(IFERROR(IFERROR(VALUE(SUBSTITUTE(MID(_xlfn.TEXTAFTER('Banco de Dados'!$F1140,"Data do Pedido:
",1),1,10),"-","/")),VALUE(SUBSTITUTE(MID(_xlfn.TEXTAFTER('Banco de Dados'!$F1140,"Order date:
",1),1,10),"-","/"))),VALUE(SUBSTITUTE(MID(_xlfn.TEXTAFTER('Banco de Dados'!$F1140,"Fecha de pedido:
",1),1,10),"-","/"))),"-"),SMS!A:A,SMS!K:K),0),0)</f>
        <v>0</v>
      </c>
      <c r="AO1140" s="109">
        <f ca="1">IF('Banco de Dados'!$AK1140&lt;&gt;"-",IF('Banco de Dados'!$F1140&lt;&gt;"-",IFERROR(_xlfn.XLOOKUP(_xlfn.CONCAT('Banco de Dados'!$A1140,IFERROR(IFERROR(VALUE(SUBSTITUTE(MID(_xlfn.TEXTAFTER('Banco de Dados'!$F1140,"Data do Pedido:
",1),1,10),"-","/")),VALUE(SUBSTITUTE(MID(_xlfn.TEXTAFTER('Banco de Dados'!$F1140,"Order date:
",1),1,10),"-","/"))),0)),ProxyDD[Chave],ProxyDD[Valor por pedido]),PROXY!$P$2),0),0)</f>
        <v>0</v>
      </c>
      <c r="AP1140" s="28">
        <f ca="1">IF('Banco de Dados'!$AK1140&lt;&gt;"-",IF('Banco de Dados'!$AL1140="NÃO",IFERROR(VALUE(SUBSTITUTE(_xlfn.TEXTAFTER('Banco de Dados'!$F1140,"BRL ",1),".",",")),0),0),0)</f>
        <v>0</v>
      </c>
      <c r="AQ1140" s="28">
        <f ca="1">SUM('Banco de Dados'!$AM1140:$AP1140)</f>
        <v>0</v>
      </c>
      <c r="AR1140" s="8"/>
      <c r="AY1140" s="8"/>
    </row>
    <row r="1141" spans="1:51">
      <c r="A1141" s="5" t="str">
        <v>MEI</v>
      </c>
      <c r="B1141" s="5" t="str">
        <f ca="1"/>
        <v>MEI45726</v>
      </c>
      <c r="C1141" s="8" t="str">
        <v>Pedido 1128</v>
      </c>
      <c r="D1141" s="187">
        <v>45724</v>
      </c>
      <c r="E1141" s="9">
        <v>45726</v>
      </c>
      <c r="F1141" s="8" t="str">
        <v>PedidoF1106</v>
      </c>
      <c r="G1141" s="2" t="str">
        <v>CódRastreio1104</v>
      </c>
      <c r="H1141" s="5">
        <v>1</v>
      </c>
      <c r="I1141" s="2" t="str">
        <v>CPF 1097</v>
      </c>
      <c r="J1141" s="2" t="str">
        <v>Nome 1097</v>
      </c>
      <c r="K1141" s="8" t="str">
        <v>Tel 1097</v>
      </c>
      <c r="L1141" s="8" t="str">
        <v>Cep 1097</v>
      </c>
      <c r="M1141" s="8" t="str">
        <v>Rua 1097</v>
      </c>
      <c r="N1141" s="8" t="str">
        <v>Comp 1097</v>
      </c>
      <c r="O1141" s="8" t="str">
        <v>Ventilador Preto</v>
      </c>
      <c r="P1141" s="8" t="str">
        <v>WU-SS4J-LFOH</v>
      </c>
      <c r="Q1141" s="4">
        <v>45744</v>
      </c>
      <c r="R1141" s="109">
        <v>65.599999999999994</v>
      </c>
      <c r="S1141" s="11">
        <f ca="1"/>
        <v>0</v>
      </c>
      <c r="T1141" s="28">
        <f ca="1"/>
        <v>0</v>
      </c>
      <c r="U1141" s="11">
        <f ca="1"/>
        <v>0</v>
      </c>
      <c r="V1141" s="11">
        <v>0</v>
      </c>
      <c r="W1141" s="11">
        <f ca="1"/>
        <v>0</v>
      </c>
      <c r="X1141" s="11">
        <f ca="1"/>
        <v>0.39877104377104378</v>
      </c>
      <c r="Y1141" s="11">
        <v>0</v>
      </c>
      <c r="Z1141" s="11">
        <f ca="1"/>
        <v>-0.39877104377104378</v>
      </c>
      <c r="AA1141" s="11">
        <f ca="1"/>
        <v>-0.19938552188552189</v>
      </c>
      <c r="AB1141" s="4">
        <f ca="1"/>
        <v>45751</v>
      </c>
      <c r="AC1141" s="4">
        <v>45751</v>
      </c>
      <c r="AD1141" s="9">
        <v>45762</v>
      </c>
      <c r="AE1141" s="9">
        <v>45763</v>
      </c>
      <c r="AF1141" s="4" t="str">
        <f t="shared" ca="1" si="75"/>
        <v>2025 04</v>
      </c>
      <c r="AG1141" s="8" t="str" cm="1">
        <f t="array" ref="AG1141">IFERROR(_xlfn.IFS('Banco de Dados'!#REF!="AG. COMPRA","Em processamento",'Banco de Dados'!#REF!="AG. RASTREIO","Em processamento",'Banco de Dados'!$AE1141&lt;&gt;"-","Faturado",'Banco de Dados'!$AD1141&lt;&gt;"-","Aguardando Pix",'Banco de Dados'!$AC1141&lt;&gt;"-","Pendente"),"Aguardando Liberação")</f>
        <v>Aguardando Liberação</v>
      </c>
      <c r="AH1141" s="5" t="str">
        <f>IF('Banco de Dados'!$F1141="-",_xlfn.CONCAT(PROPER(TEXT(AK1141,"aaaa"))," ",PROPER(TEXT(AK1141,"mm"))),_xlfn.CONCAT(PROPER(TEXT(E1141,"aaaa"))," ",PROPER(TEXT(E1141,"mm"))))</f>
        <v>2025 03</v>
      </c>
      <c r="AI1141" s="9" t="str">
        <f ca="1">IF('Banco de Dados'!$AK1141&lt;&gt;"-","REEMBOLSO",IFERROR(_xlfn.XLOOKUP(G1141,Follow[CODRASTREIO],Follow[STATUS]),"-"))</f>
        <v>REEMBOLSO</v>
      </c>
      <c r="AJ1141" s="9" t="str">
        <f ca="1">IF('Banco de Dados'!$AI1141="ENTREGUE",_xlfn.XLOOKUP('Banco de Dados'!$G1141,Follow[CODRASTREIO],Follow[DATAATUALIZAÇÃO]),"-")</f>
        <v>-</v>
      </c>
      <c r="AK1141" s="132">
        <f ca="1"/>
        <v>45738</v>
      </c>
      <c r="AL1141" s="35"/>
      <c r="AM1141" s="109" cm="1">
        <f t="array" aca="1" ref="AM1141" ca="1">IF('Banco de Dados'!$AK1141&lt;&gt;"-",_xlfn.IFS('Banco de Dados'!$A1141="bv",IF('Banco de Dados'!$E1141&lt;45641,ROUND(SUM('Banco de Dados'!$R1141*_xlfn.XLOOKUP('Banco de Dados'!$P1141,Sku!B:B,Sku!#REF!)*20%),2),ROUND(SUM('Banco de Dados'!$R1141*_xlfn.XLOOKUP('Banco de Dados'!$P1141,Sku!B:B,Sku!H:H)*20%),2)),'Banco de Dados'!$A1141="GO",ROUND(SUM('Banco de Dados'!$R1141*_xlfn.XLOOKUP('Banco de Dados'!$P1141,Sku!C:C,Sku!H:H)*20%),2),'Banco de Dados'!$A1141="MEI",ROUND(SUM('Banco de Dados'!$R1141*_xlfn.XLOOKUP('Banco de Dados'!$P1141,Sku!D:D,Sku!H:H)*20%),2)),0)</f>
        <v>1.71</v>
      </c>
      <c r="AN1141" s="109" t="e">
        <f ca="1">IF('Banco de Dados'!$AK1141&lt;&gt;"-",IF('Banco de Dados'!$F1141&lt;&gt;"-",_xlfn.XLOOKUP(IFERROR(IFERROR(IFERROR(VALUE(SUBSTITUTE(MID(_xlfn.TEXTAFTER('Banco de Dados'!$F1141,"Data do Pedido:
",1),1,10),"-","/")),VALUE(SUBSTITUTE(MID(_xlfn.TEXTAFTER('Banco de Dados'!$F1141,"Order date:
",1),1,10),"-","/"))),VALUE(SUBSTITUTE(MID(_xlfn.TEXTAFTER('Banco de Dados'!$F1141,"Fecha de pedido:
",1),1,10),"-","/"))),"-"),SMS!A:A,SMS!K:K),0),0)</f>
        <v>#N/A</v>
      </c>
      <c r="AO1141" s="109">
        <f ca="1">IF('Banco de Dados'!$AK1141&lt;&gt;"-",IF('Banco de Dados'!$F1141&lt;&gt;"-",IFERROR(_xlfn.XLOOKUP(_xlfn.CONCAT('Banco de Dados'!$A1141,IFERROR(IFERROR(VALUE(SUBSTITUTE(MID(_xlfn.TEXTAFTER('Banco de Dados'!$F1141,"Data do Pedido:
",1),1,10),"-","/")),VALUE(SUBSTITUTE(MID(_xlfn.TEXTAFTER('Banco de Dados'!$F1141,"Order date:
",1),1,10),"-","/"))),0)),ProxyDD[Chave],ProxyDD[Valor por pedido]),PROXY!$P$2),0),0)</f>
        <v>0.39877104377104378</v>
      </c>
      <c r="AP1141" s="28">
        <f ca="1">IF('Banco de Dados'!$AK1141&lt;&gt;"-",IF('Banco de Dados'!$AL1141="NÃO",IFERROR(VALUE(SUBSTITUTE(_xlfn.TEXTAFTER('Banco de Dados'!$F1141,"BRL ",1),".",",")),0),0),0)</f>
        <v>0</v>
      </c>
      <c r="AQ1141" s="28" t="e">
        <f ca="1">SUM('Banco de Dados'!$AM1141:$AP1141)</f>
        <v>#N/A</v>
      </c>
      <c r="AR1141" s="8"/>
      <c r="AY1141" s="8"/>
    </row>
    <row r="1142" spans="1:51">
      <c r="A1142" s="5" t="str">
        <v>MEI</v>
      </c>
      <c r="B1142" s="5" t="str">
        <f ca="1"/>
        <v>MEI45727</v>
      </c>
      <c r="C1142" s="8" t="str">
        <v>Pedido 1129</v>
      </c>
      <c r="D1142" s="187">
        <v>45722</v>
      </c>
      <c r="E1142" s="9">
        <v>45727</v>
      </c>
      <c r="F1142" s="8" t="str">
        <v>PedidoF1107</v>
      </c>
      <c r="G1142" s="2" t="str">
        <v>CódRastreio1105</v>
      </c>
      <c r="H1142" s="5">
        <v>1</v>
      </c>
      <c r="I1142" s="2" t="str">
        <v>CPF 1098</v>
      </c>
      <c r="J1142" s="2" t="str">
        <v>Nome 1098</v>
      </c>
      <c r="K1142" s="8" t="str">
        <v>Tel 1098</v>
      </c>
      <c r="L1142" s="8" t="str">
        <v>Cep 1098</v>
      </c>
      <c r="M1142" s="8" t="str">
        <v>Rua 1098</v>
      </c>
      <c r="N1142" s="8" t="str">
        <v>Comp 1098</v>
      </c>
      <c r="O1142" s="8" t="str">
        <v>Ventilador Preto</v>
      </c>
      <c r="P1142" s="8" t="str">
        <v>WU-SS4J-LFOH</v>
      </c>
      <c r="Q1142" s="4">
        <v>45744</v>
      </c>
      <c r="R1142" s="109">
        <v>65.599999999999994</v>
      </c>
      <c r="S1142" s="11">
        <f ca="1"/>
        <v>65.599999999999994</v>
      </c>
      <c r="T1142" s="28">
        <f ca="1"/>
        <v>8.5279999999999987</v>
      </c>
      <c r="U1142" s="11">
        <f ca="1"/>
        <v>57.07</v>
      </c>
      <c r="V1142" s="11">
        <v>12.38</v>
      </c>
      <c r="W1142" s="11">
        <f ca="1"/>
        <v>0.2</v>
      </c>
      <c r="X1142" s="11">
        <f ca="1"/>
        <v>0.39877104377104378</v>
      </c>
      <c r="Y1142" s="11">
        <v>0</v>
      </c>
      <c r="Z1142" s="11">
        <f ca="1"/>
        <v>44.09122895622896</v>
      </c>
      <c r="AA1142" s="11">
        <f ca="1"/>
        <v>22.04561447811448</v>
      </c>
      <c r="AB1142" s="4">
        <f ca="1"/>
        <v>45751</v>
      </c>
      <c r="AC1142" s="4">
        <v>45751</v>
      </c>
      <c r="AD1142" s="9">
        <v>45762</v>
      </c>
      <c r="AE1142" s="9">
        <v>45763</v>
      </c>
      <c r="AF1142" s="4" t="str">
        <f t="shared" ca="1" si="75"/>
        <v>2025 04</v>
      </c>
      <c r="AG1142" s="8" t="str" cm="1">
        <f t="array" ref="AG1142">IFERROR(_xlfn.IFS('Banco de Dados'!#REF!="AG. COMPRA","Em processamento",'Banco de Dados'!#REF!="AG. RASTREIO","Em processamento",'Banco de Dados'!$AE1142&lt;&gt;"-","Faturado",'Banco de Dados'!$AD1142&lt;&gt;"-","Aguardando Pix",'Banco de Dados'!$AC1142&lt;&gt;"-","Pendente"),"Aguardando Liberação")</f>
        <v>Aguardando Liberação</v>
      </c>
      <c r="AH1142" s="5" t="str">
        <f>IF('Banco de Dados'!$F1142="-",_xlfn.CONCAT(PROPER(TEXT(AK1142,"aaaa"))," ",PROPER(TEXT(AK1142,"mm"))),_xlfn.CONCAT(PROPER(TEXT(E1142,"aaaa"))," ",PROPER(TEXT(E1142,"mm"))))</f>
        <v>2025 03</v>
      </c>
      <c r="AI1142" s="9" t="str">
        <f ca="1">IF('Banco de Dados'!$AK1142&lt;&gt;"-","REEMBOLSO",IFERROR(_xlfn.XLOOKUP(G1142,Follow[CODRASTREIO],Follow[STATUS]),"-"))</f>
        <v>ENTREGUE</v>
      </c>
      <c r="AJ1142" s="9">
        <f ca="1">IF('Banco de Dados'!$AI1142="ENTREGUE",_xlfn.XLOOKUP('Banco de Dados'!$G1142,Follow[CODRASTREIO],Follow[DATAATUALIZAÇÃO]),"-")</f>
        <v>45740</v>
      </c>
      <c r="AK1142" s="132" t="str">
        <f ca="1"/>
        <v>-</v>
      </c>
      <c r="AL1142" s="35"/>
      <c r="AM1142" s="109" cm="1">
        <f t="array" aca="1" ref="AM1142" ca="1">IF('Banco de Dados'!$AK1142&lt;&gt;"-",_xlfn.IFS('Banco de Dados'!$A1142="bv",IF('Banco de Dados'!$E1142&lt;45641,ROUND(SUM('Banco de Dados'!$R1142*_xlfn.XLOOKUP('Banco de Dados'!$P1142,Sku!B:B,Sku!#REF!)*20%),2),ROUND(SUM('Banco de Dados'!$R1142*_xlfn.XLOOKUP('Banco de Dados'!$P1142,Sku!B:B,Sku!H:H)*20%),2)),'Banco de Dados'!$A1142="GO",ROUND(SUM('Banco de Dados'!$R1142*_xlfn.XLOOKUP('Banco de Dados'!$P1142,Sku!C:C,Sku!H:H)*20%),2),'Banco de Dados'!$A1142="MEI",ROUND(SUM('Banco de Dados'!$R1142*_xlfn.XLOOKUP('Banco de Dados'!$P1142,Sku!D:D,Sku!H:H)*20%),2)),0)</f>
        <v>0</v>
      </c>
      <c r="AN1142" s="109">
        <f ca="1">IF('Banco de Dados'!$AK1142&lt;&gt;"-",IF('Banco de Dados'!$F1142&lt;&gt;"-",_xlfn.XLOOKUP(IFERROR(IFERROR(IFERROR(VALUE(SUBSTITUTE(MID(_xlfn.TEXTAFTER('Banco de Dados'!$F1142,"Data do Pedido:
",1),1,10),"-","/")),VALUE(SUBSTITUTE(MID(_xlfn.TEXTAFTER('Banco de Dados'!$F1142,"Order date:
",1),1,10),"-","/"))),VALUE(SUBSTITUTE(MID(_xlfn.TEXTAFTER('Banco de Dados'!$F1142,"Fecha de pedido:
",1),1,10),"-","/"))),"-"),SMS!A:A,SMS!K:K),0),0)</f>
        <v>0</v>
      </c>
      <c r="AO1142" s="109">
        <f ca="1">IF('Banco de Dados'!$AK1142&lt;&gt;"-",IF('Banco de Dados'!$F1142&lt;&gt;"-",IFERROR(_xlfn.XLOOKUP(_xlfn.CONCAT('Banco de Dados'!$A1142,IFERROR(IFERROR(VALUE(SUBSTITUTE(MID(_xlfn.TEXTAFTER('Banco de Dados'!$F1142,"Data do Pedido:
",1),1,10),"-","/")),VALUE(SUBSTITUTE(MID(_xlfn.TEXTAFTER('Banco de Dados'!$F1142,"Order date:
",1),1,10),"-","/"))),0)),ProxyDD[Chave],ProxyDD[Valor por pedido]),PROXY!$P$2),0),0)</f>
        <v>0</v>
      </c>
      <c r="AP1142" s="28">
        <f ca="1">IF('Banco de Dados'!$AK1142&lt;&gt;"-",IF('Banco de Dados'!$AL1142="NÃO",IFERROR(VALUE(SUBSTITUTE(_xlfn.TEXTAFTER('Banco de Dados'!$F1142,"BRL ",1),".",",")),0),0),0)</f>
        <v>0</v>
      </c>
      <c r="AQ1142" s="28">
        <f ca="1">SUM('Banco de Dados'!$AM1142:$AP1142)</f>
        <v>0</v>
      </c>
      <c r="AR1142" s="8"/>
      <c r="AY1142" s="8"/>
    </row>
    <row r="1143" spans="1:51">
      <c r="A1143" s="5" t="str">
        <v>MEI</v>
      </c>
      <c r="B1143" s="5" t="str">
        <f ca="1"/>
        <v>MEI45726</v>
      </c>
      <c r="C1143" s="8" t="str">
        <v>Pedido 1130</v>
      </c>
      <c r="D1143" s="187">
        <v>45724</v>
      </c>
      <c r="E1143" s="9">
        <v>45726</v>
      </c>
      <c r="F1143" s="8" t="str">
        <v>PedidoF1108</v>
      </c>
      <c r="G1143" s="2" t="str">
        <v>CódRastreio1106</v>
      </c>
      <c r="H1143" s="5">
        <v>1</v>
      </c>
      <c r="I1143" s="2" t="str">
        <v>CPF 1099</v>
      </c>
      <c r="J1143" s="2" t="str">
        <v>Nome 1099</v>
      </c>
      <c r="K1143" s="8" t="str">
        <v>Tel 1099</v>
      </c>
      <c r="L1143" s="8" t="str">
        <v>Cep 1099</v>
      </c>
      <c r="M1143" s="8" t="str">
        <v>Rua 1099</v>
      </c>
      <c r="N1143" s="8" t="str">
        <v>Comp 1099</v>
      </c>
      <c r="O1143" s="8" t="str">
        <v>Ventilador Preto</v>
      </c>
      <c r="P1143" s="8" t="str">
        <v>WU-SS4J-LFOH</v>
      </c>
      <c r="Q1143" s="4">
        <v>45750</v>
      </c>
      <c r="R1143" s="109">
        <v>65.599999999999994</v>
      </c>
      <c r="S1143" s="11">
        <f ca="1"/>
        <v>65.599999999999994</v>
      </c>
      <c r="T1143" s="28">
        <f ca="1"/>
        <v>8.5279999999999987</v>
      </c>
      <c r="U1143" s="11">
        <f ca="1"/>
        <v>57.07</v>
      </c>
      <c r="V1143" s="11">
        <v>12.05</v>
      </c>
      <c r="W1143" s="11">
        <f ca="1"/>
        <v>0.23</v>
      </c>
      <c r="X1143" s="11">
        <f ca="1"/>
        <v>0.39877104377104378</v>
      </c>
      <c r="Y1143" s="11">
        <v>0</v>
      </c>
      <c r="Z1143" s="11">
        <f ca="1"/>
        <v>44.391228956228957</v>
      </c>
      <c r="AA1143" s="11">
        <f ca="1"/>
        <v>22.195614478114479</v>
      </c>
      <c r="AB1143" s="4">
        <f ca="1"/>
        <v>45757</v>
      </c>
      <c r="AC1143" s="4">
        <v>45757</v>
      </c>
      <c r="AD1143" s="9">
        <v>45762</v>
      </c>
      <c r="AE1143" s="9">
        <v>45763</v>
      </c>
      <c r="AF1143" s="4" t="str">
        <f t="shared" ca="1" si="75"/>
        <v>2025 04</v>
      </c>
      <c r="AG1143" s="8" t="str" cm="1">
        <f t="array" ref="AG1143">IFERROR(_xlfn.IFS('Banco de Dados'!#REF!="AG. COMPRA","Em processamento",'Banco de Dados'!#REF!="AG. RASTREIO","Em processamento",'Banco de Dados'!$AE1143&lt;&gt;"-","Faturado",'Banco de Dados'!$AD1143&lt;&gt;"-","Aguardando Pix",'Banco de Dados'!$AC1143&lt;&gt;"-","Pendente"),"Aguardando Liberação")</f>
        <v>Aguardando Liberação</v>
      </c>
      <c r="AH1143" s="5" t="str">
        <f>IF('Banco de Dados'!$F1143="-",_xlfn.CONCAT(PROPER(TEXT(AK1143,"aaaa"))," ",PROPER(TEXT(AK1143,"mm"))),_xlfn.CONCAT(PROPER(TEXT(E1143,"aaaa"))," ",PROPER(TEXT(E1143,"mm"))))</f>
        <v>2025 03</v>
      </c>
      <c r="AI1143" s="9" t="str">
        <f ca="1">IF('Banco de Dados'!$AK1143&lt;&gt;"-","REEMBOLSO",IFERROR(_xlfn.XLOOKUP(G1143,Follow[CODRASTREIO],Follow[STATUS]),"-"))</f>
        <v>ENTREGUE</v>
      </c>
      <c r="AJ1143" s="9">
        <f ca="1">IF('Banco de Dados'!$AI1143="ENTREGUE",_xlfn.XLOOKUP('Banco de Dados'!$G1143,Follow[CODRASTREIO],Follow[DATAATUALIZAÇÃO]),"-")</f>
        <v>45742</v>
      </c>
      <c r="AK1143" s="132" t="str">
        <f ca="1"/>
        <v>-</v>
      </c>
      <c r="AL1143" s="35"/>
      <c r="AM1143" s="109" cm="1">
        <f t="array" aca="1" ref="AM1143" ca="1">IF('Banco de Dados'!$AK1143&lt;&gt;"-",_xlfn.IFS('Banco de Dados'!$A1143="bv",IF('Banco de Dados'!$E1143&lt;45641,ROUND(SUM('Banco de Dados'!$R1143*_xlfn.XLOOKUP('Banco de Dados'!$P1143,Sku!B:B,Sku!#REF!)*20%),2),ROUND(SUM('Banco de Dados'!$R1143*_xlfn.XLOOKUP('Banco de Dados'!$P1143,Sku!B:B,Sku!H:H)*20%),2)),'Banco de Dados'!$A1143="GO",ROUND(SUM('Banco de Dados'!$R1143*_xlfn.XLOOKUP('Banco de Dados'!$P1143,Sku!C:C,Sku!H:H)*20%),2),'Banco de Dados'!$A1143="MEI",ROUND(SUM('Banco de Dados'!$R1143*_xlfn.XLOOKUP('Banco de Dados'!$P1143,Sku!D:D,Sku!H:H)*20%),2)),0)</f>
        <v>0</v>
      </c>
      <c r="AN1143" s="109">
        <f ca="1">IF('Banco de Dados'!$AK1143&lt;&gt;"-",IF('Banco de Dados'!$F1143&lt;&gt;"-",_xlfn.XLOOKUP(IFERROR(IFERROR(IFERROR(VALUE(SUBSTITUTE(MID(_xlfn.TEXTAFTER('Banco de Dados'!$F1143,"Data do Pedido:
",1),1,10),"-","/")),VALUE(SUBSTITUTE(MID(_xlfn.TEXTAFTER('Banco de Dados'!$F1143,"Order date:
",1),1,10),"-","/"))),VALUE(SUBSTITUTE(MID(_xlfn.TEXTAFTER('Banco de Dados'!$F1143,"Fecha de pedido:
",1),1,10),"-","/"))),"-"),SMS!A:A,SMS!K:K),0),0)</f>
        <v>0</v>
      </c>
      <c r="AO1143" s="109">
        <f ca="1">IF('Banco de Dados'!$AK1143&lt;&gt;"-",IF('Banco de Dados'!$F1143&lt;&gt;"-",IFERROR(_xlfn.XLOOKUP(_xlfn.CONCAT('Banco de Dados'!$A1143,IFERROR(IFERROR(VALUE(SUBSTITUTE(MID(_xlfn.TEXTAFTER('Banco de Dados'!$F1143,"Data do Pedido:
",1),1,10),"-","/")),VALUE(SUBSTITUTE(MID(_xlfn.TEXTAFTER('Banco de Dados'!$F1143,"Order date:
",1),1,10),"-","/"))),0)),ProxyDD[Chave],ProxyDD[Valor por pedido]),PROXY!$P$2),0),0)</f>
        <v>0</v>
      </c>
      <c r="AP1143" s="28">
        <f ca="1">IF('Banco de Dados'!$AK1143&lt;&gt;"-",IF('Banco de Dados'!$AL1143="NÃO",IFERROR(VALUE(SUBSTITUTE(_xlfn.TEXTAFTER('Banco de Dados'!$F1143,"BRL ",1),".",",")),0),0),0)</f>
        <v>0</v>
      </c>
      <c r="AQ1143" s="28">
        <f ca="1">SUM('Banco de Dados'!$AM1143:$AP1143)</f>
        <v>0</v>
      </c>
      <c r="AR1143" s="8"/>
      <c r="AY1143" s="8"/>
    </row>
    <row r="1144" spans="1:51">
      <c r="A1144" s="5" t="str">
        <v>MEI</v>
      </c>
      <c r="B1144" s="5" t="str">
        <f ca="1"/>
        <v>MEI45726</v>
      </c>
      <c r="C1144" s="8" t="str">
        <v>Pedido 1131</v>
      </c>
      <c r="D1144" s="187">
        <v>45725</v>
      </c>
      <c r="E1144" s="9">
        <v>45726</v>
      </c>
      <c r="F1144" s="8" t="str">
        <v>PedidoF1109</v>
      </c>
      <c r="G1144" s="2" t="str">
        <v>CódRastreio1107</v>
      </c>
      <c r="H1144" s="5">
        <v>1</v>
      </c>
      <c r="I1144" s="2" t="str">
        <v>CPF 1100</v>
      </c>
      <c r="J1144" s="2" t="str">
        <v>Nome 1100</v>
      </c>
      <c r="K1144" s="8" t="str">
        <v>Tel 1100</v>
      </c>
      <c r="L1144" s="8" t="str">
        <v>Cep 1100</v>
      </c>
      <c r="M1144" s="8" t="str">
        <v>Rua 1100</v>
      </c>
      <c r="N1144" s="8" t="str">
        <v>Comp 1100</v>
      </c>
      <c r="O1144" s="8" t="str">
        <v>Mini Liquidificador</v>
      </c>
      <c r="P1144" s="8" t="str">
        <v>A4-5W51-K3HF</v>
      </c>
      <c r="Q1144" s="4">
        <v>45744</v>
      </c>
      <c r="R1144" s="109">
        <v>30.95</v>
      </c>
      <c r="S1144" s="11">
        <f ca="1"/>
        <v>30.95</v>
      </c>
      <c r="T1144" s="28">
        <f ca="1"/>
        <v>4.3330000000000002</v>
      </c>
      <c r="U1144" s="11">
        <f ca="1"/>
        <v>26.62</v>
      </c>
      <c r="V1144" s="11">
        <v>11.68</v>
      </c>
      <c r="W1144" s="11">
        <f ca="1"/>
        <v>0.23</v>
      </c>
      <c r="X1144" s="11">
        <f ca="1"/>
        <v>0.39877104377104378</v>
      </c>
      <c r="Y1144" s="11">
        <v>0</v>
      </c>
      <c r="Z1144" s="11">
        <f ca="1"/>
        <v>14.311228956228957</v>
      </c>
      <c r="AA1144" s="11">
        <f ca="1"/>
        <v>7.1556144781144786</v>
      </c>
      <c r="AB1144" s="4">
        <f ca="1"/>
        <v>45751</v>
      </c>
      <c r="AC1144" s="4">
        <v>45751</v>
      </c>
      <c r="AD1144" s="9">
        <v>45762</v>
      </c>
      <c r="AE1144" s="9">
        <v>45763</v>
      </c>
      <c r="AF1144" s="4" t="str">
        <f t="shared" ca="1" si="75"/>
        <v>2025 04</v>
      </c>
      <c r="AG1144" s="8" t="str" cm="1">
        <f t="array" ref="AG1144">IFERROR(_xlfn.IFS('Banco de Dados'!#REF!="AG. COMPRA","Em processamento",'Banco de Dados'!#REF!="AG. RASTREIO","Em processamento",'Banco de Dados'!$AE1144&lt;&gt;"-","Faturado",'Banco de Dados'!$AD1144&lt;&gt;"-","Aguardando Pix",'Banco de Dados'!$AC1144&lt;&gt;"-","Pendente"),"Aguardando Liberação")</f>
        <v>Aguardando Liberação</v>
      </c>
      <c r="AH1144" s="5" t="str">
        <f>IF('Banco de Dados'!$F1144="-",_xlfn.CONCAT(PROPER(TEXT(AK1144,"aaaa"))," ",PROPER(TEXT(AK1144,"mm"))),_xlfn.CONCAT(PROPER(TEXT(E1144,"aaaa"))," ",PROPER(TEXT(E1144,"mm"))))</f>
        <v>2025 03</v>
      </c>
      <c r="AI1144" s="9" t="str">
        <f ca="1">IF('Banco de Dados'!$AK1144&lt;&gt;"-","REEMBOLSO",IFERROR(_xlfn.XLOOKUP(G1144,Follow[CODRASTREIO],Follow[STATUS]),"-"))</f>
        <v>ENTREGUE</v>
      </c>
      <c r="AJ1144" s="9">
        <f ca="1">IF('Banco de Dados'!$AI1144="ENTREGUE",_xlfn.XLOOKUP('Banco de Dados'!$G1144,Follow[CODRASTREIO],Follow[DATAATUALIZAÇÃO]),"-")</f>
        <v>45740</v>
      </c>
      <c r="AK1144" s="132" t="str">
        <f ca="1"/>
        <v>-</v>
      </c>
      <c r="AL1144" s="35"/>
      <c r="AM1144" s="109" cm="1">
        <f t="array" aca="1" ref="AM1144" ca="1">IF('Banco de Dados'!$AK1144&lt;&gt;"-",_xlfn.IFS('Banco de Dados'!$A1144="bv",IF('Banco de Dados'!$E1144&lt;45641,ROUND(SUM('Banco de Dados'!$R1144*_xlfn.XLOOKUP('Banco de Dados'!$P1144,Sku!B:B,Sku!#REF!)*20%),2),ROUND(SUM('Banco de Dados'!$R1144*_xlfn.XLOOKUP('Banco de Dados'!$P1144,Sku!B:B,Sku!H:H)*20%),2)),'Banco de Dados'!$A1144="GO",ROUND(SUM('Banco de Dados'!$R1144*_xlfn.XLOOKUP('Banco de Dados'!$P1144,Sku!C:C,Sku!H:H)*20%),2),'Banco de Dados'!$A1144="MEI",ROUND(SUM('Banco de Dados'!$R1144*_xlfn.XLOOKUP('Banco de Dados'!$P1144,Sku!D:D,Sku!H:H)*20%),2)),0)</f>
        <v>0</v>
      </c>
      <c r="AN1144" s="109">
        <f ca="1">IF('Banco de Dados'!$AK1144&lt;&gt;"-",IF('Banco de Dados'!$F1144&lt;&gt;"-",_xlfn.XLOOKUP(IFERROR(IFERROR(IFERROR(VALUE(SUBSTITUTE(MID(_xlfn.TEXTAFTER('Banco de Dados'!$F1144,"Data do Pedido:
",1),1,10),"-","/")),VALUE(SUBSTITUTE(MID(_xlfn.TEXTAFTER('Banco de Dados'!$F1144,"Order date:
",1),1,10),"-","/"))),VALUE(SUBSTITUTE(MID(_xlfn.TEXTAFTER('Banco de Dados'!$F1144,"Fecha de pedido:
",1),1,10),"-","/"))),"-"),SMS!A:A,SMS!K:K),0),0)</f>
        <v>0</v>
      </c>
      <c r="AO1144" s="109">
        <f ca="1">IF('Banco de Dados'!$AK1144&lt;&gt;"-",IF('Banco de Dados'!$F1144&lt;&gt;"-",IFERROR(_xlfn.XLOOKUP(_xlfn.CONCAT('Banco de Dados'!$A1144,IFERROR(IFERROR(VALUE(SUBSTITUTE(MID(_xlfn.TEXTAFTER('Banco de Dados'!$F1144,"Data do Pedido:
",1),1,10),"-","/")),VALUE(SUBSTITUTE(MID(_xlfn.TEXTAFTER('Banco de Dados'!$F1144,"Order date:
",1),1,10),"-","/"))),0)),ProxyDD[Chave],ProxyDD[Valor por pedido]),PROXY!$P$2),0),0)</f>
        <v>0</v>
      </c>
      <c r="AP1144" s="28">
        <f ca="1">IF('Banco de Dados'!$AK1144&lt;&gt;"-",IF('Banco de Dados'!$AL1144="NÃO",IFERROR(VALUE(SUBSTITUTE(_xlfn.TEXTAFTER('Banco de Dados'!$F1144,"BRL ",1),".",",")),0),0),0)</f>
        <v>0</v>
      </c>
      <c r="AQ1144" s="28">
        <f ca="1">SUM('Banco de Dados'!$AM1144:$AP1144)</f>
        <v>0</v>
      </c>
      <c r="AR1144" s="8"/>
      <c r="AY1144" s="8"/>
    </row>
    <row r="1145" spans="1:51">
      <c r="A1145" s="5" t="str">
        <v>MEI</v>
      </c>
      <c r="B1145" s="5" t="str">
        <f ca="1"/>
        <v>MEI45726</v>
      </c>
      <c r="C1145" s="8" t="str">
        <v>Pedido 1132</v>
      </c>
      <c r="D1145" s="187">
        <v>45725</v>
      </c>
      <c r="E1145" s="9">
        <v>45726</v>
      </c>
      <c r="F1145" s="8" t="str">
        <v>PedidoF1110</v>
      </c>
      <c r="G1145" s="2" t="str">
        <v>CódRastreio1108</v>
      </c>
      <c r="H1145" s="5">
        <v>1</v>
      </c>
      <c r="I1145" s="2" t="str">
        <v>CPF 1101</v>
      </c>
      <c r="J1145" s="2" t="str">
        <v>Nome 1101</v>
      </c>
      <c r="K1145" s="8" t="str">
        <v>Tel 1101</v>
      </c>
      <c r="L1145" s="8" t="str">
        <v>Cep 1101</v>
      </c>
      <c r="M1145" s="8" t="str">
        <v>Rua 1101</v>
      </c>
      <c r="N1145" s="8" t="str">
        <v>Comp 1101</v>
      </c>
      <c r="O1145" s="8" t="str">
        <v>Mini Liquidificador</v>
      </c>
      <c r="P1145" s="8" t="str">
        <v>A4-5W51-K3HF</v>
      </c>
      <c r="Q1145" s="4">
        <v>45742</v>
      </c>
      <c r="R1145" s="109">
        <v>30.95</v>
      </c>
      <c r="S1145" s="11">
        <f ca="1"/>
        <v>30.95</v>
      </c>
      <c r="T1145" s="28">
        <f ca="1"/>
        <v>4.3330000000000002</v>
      </c>
      <c r="U1145" s="11">
        <f ca="1"/>
        <v>26.62</v>
      </c>
      <c r="V1145" s="11">
        <v>11.68</v>
      </c>
      <c r="W1145" s="11">
        <f ca="1"/>
        <v>0.23</v>
      </c>
      <c r="X1145" s="11">
        <f ca="1"/>
        <v>0.39877104377104378</v>
      </c>
      <c r="Y1145" s="11">
        <v>0</v>
      </c>
      <c r="Z1145" s="11">
        <f ca="1"/>
        <v>14.311228956228957</v>
      </c>
      <c r="AA1145" s="11">
        <f ca="1"/>
        <v>7.1556144781144786</v>
      </c>
      <c r="AB1145" s="4">
        <f ca="1"/>
        <v>45749</v>
      </c>
      <c r="AC1145" s="4">
        <v>45749</v>
      </c>
      <c r="AD1145" s="9">
        <v>45762</v>
      </c>
      <c r="AE1145" s="9">
        <v>45763</v>
      </c>
      <c r="AF1145" s="4" t="str">
        <f t="shared" ca="1" si="75"/>
        <v>2025 04</v>
      </c>
      <c r="AG1145" s="8" t="str" cm="1">
        <f t="array" ref="AG1145">IFERROR(_xlfn.IFS('Banco de Dados'!#REF!="AG. COMPRA","Em processamento",'Banco de Dados'!#REF!="AG. RASTREIO","Em processamento",'Banco de Dados'!$AE1145&lt;&gt;"-","Faturado",'Banco de Dados'!$AD1145&lt;&gt;"-","Aguardando Pix",'Banco de Dados'!$AC1145&lt;&gt;"-","Pendente"),"Aguardando Liberação")</f>
        <v>Aguardando Liberação</v>
      </c>
      <c r="AH1145" s="5" t="str">
        <f>IF('Banco de Dados'!$F1145="-",_xlfn.CONCAT(PROPER(TEXT(AK1145,"aaaa"))," ",PROPER(TEXT(AK1145,"mm"))),_xlfn.CONCAT(PROPER(TEXT(E1145,"aaaa"))," ",PROPER(TEXT(E1145,"mm"))))</f>
        <v>2025 03</v>
      </c>
      <c r="AI1145" s="9" t="str">
        <f ca="1">IF('Banco de Dados'!$AK1145&lt;&gt;"-","REEMBOLSO",IFERROR(_xlfn.XLOOKUP(G1145,Follow[CODRASTREIO],Follow[STATUS]),"-"))</f>
        <v>ENTREGUE</v>
      </c>
      <c r="AJ1145" s="9">
        <f ca="1">IF('Banco de Dados'!$AI1145="ENTREGUE",_xlfn.XLOOKUP('Banco de Dados'!$G1145,Follow[CODRASTREIO],Follow[DATAATUALIZAÇÃO]),"-")</f>
        <v>45738</v>
      </c>
      <c r="AK1145" s="132" t="str">
        <f ca="1"/>
        <v>-</v>
      </c>
      <c r="AL1145" s="35"/>
      <c r="AM1145" s="109" cm="1">
        <f t="array" aca="1" ref="AM1145" ca="1">IF('Banco de Dados'!$AK1145&lt;&gt;"-",_xlfn.IFS('Banco de Dados'!$A1145="bv",IF('Banco de Dados'!$E1145&lt;45641,ROUND(SUM('Banco de Dados'!$R1145*_xlfn.XLOOKUP('Banco de Dados'!$P1145,Sku!B:B,Sku!#REF!)*20%),2),ROUND(SUM('Banco de Dados'!$R1145*_xlfn.XLOOKUP('Banco de Dados'!$P1145,Sku!B:B,Sku!H:H)*20%),2)),'Banco de Dados'!$A1145="GO",ROUND(SUM('Banco de Dados'!$R1145*_xlfn.XLOOKUP('Banco de Dados'!$P1145,Sku!C:C,Sku!H:H)*20%),2),'Banco de Dados'!$A1145="MEI",ROUND(SUM('Banco de Dados'!$R1145*_xlfn.XLOOKUP('Banco de Dados'!$P1145,Sku!D:D,Sku!H:H)*20%),2)),0)</f>
        <v>0</v>
      </c>
      <c r="AN1145" s="109">
        <f ca="1">IF('Banco de Dados'!$AK1145&lt;&gt;"-",IF('Banco de Dados'!$F1145&lt;&gt;"-",_xlfn.XLOOKUP(IFERROR(IFERROR(IFERROR(VALUE(SUBSTITUTE(MID(_xlfn.TEXTAFTER('Banco de Dados'!$F1145,"Data do Pedido:
",1),1,10),"-","/")),VALUE(SUBSTITUTE(MID(_xlfn.TEXTAFTER('Banco de Dados'!$F1145,"Order date:
",1),1,10),"-","/"))),VALUE(SUBSTITUTE(MID(_xlfn.TEXTAFTER('Banco de Dados'!$F1145,"Fecha de pedido:
",1),1,10),"-","/"))),"-"),SMS!A:A,SMS!K:K),0),0)</f>
        <v>0</v>
      </c>
      <c r="AO1145" s="109">
        <f ca="1">IF('Banco de Dados'!$AK1145&lt;&gt;"-",IF('Banco de Dados'!$F1145&lt;&gt;"-",IFERROR(_xlfn.XLOOKUP(_xlfn.CONCAT('Banco de Dados'!$A1145,IFERROR(IFERROR(VALUE(SUBSTITUTE(MID(_xlfn.TEXTAFTER('Banco de Dados'!$F1145,"Data do Pedido:
",1),1,10),"-","/")),VALUE(SUBSTITUTE(MID(_xlfn.TEXTAFTER('Banco de Dados'!$F1145,"Order date:
",1),1,10),"-","/"))),0)),ProxyDD[Chave],ProxyDD[Valor por pedido]),PROXY!$P$2),0),0)</f>
        <v>0</v>
      </c>
      <c r="AP1145" s="28">
        <f ca="1">IF('Banco de Dados'!$AK1145&lt;&gt;"-",IF('Banco de Dados'!$AL1145="NÃO",IFERROR(VALUE(SUBSTITUTE(_xlfn.TEXTAFTER('Banco de Dados'!$F1145,"BRL ",1),".",",")),0),0),0)</f>
        <v>0</v>
      </c>
      <c r="AQ1145" s="28">
        <f ca="1">SUM('Banco de Dados'!$AM1145:$AP1145)</f>
        <v>0</v>
      </c>
      <c r="AR1145" s="8"/>
      <c r="AY1145" s="8"/>
    </row>
    <row r="1146" spans="1:51">
      <c r="A1146" s="5" t="str">
        <v>MEI</v>
      </c>
      <c r="B1146" s="5" t="str">
        <f ca="1"/>
        <v>MEI45726</v>
      </c>
      <c r="C1146" s="8" t="str">
        <v>Pedido 1133</v>
      </c>
      <c r="D1146" s="187">
        <v>45726</v>
      </c>
      <c r="E1146" s="9">
        <v>45726</v>
      </c>
      <c r="F1146" s="8" t="str">
        <v>PedidoF1111</v>
      </c>
      <c r="G1146" s="2" t="str">
        <v>CódRastreio1109</v>
      </c>
      <c r="H1146" s="5">
        <v>1</v>
      </c>
      <c r="I1146" s="2" t="str">
        <v>CPF 1102</v>
      </c>
      <c r="J1146" s="2" t="str">
        <v>Nome 1102</v>
      </c>
      <c r="K1146" s="8" t="str">
        <v>Tel 1102</v>
      </c>
      <c r="L1146" s="8" t="str">
        <v>Cep 1102</v>
      </c>
      <c r="M1146" s="8" t="str">
        <v>Rua 1102</v>
      </c>
      <c r="N1146" s="8" t="str">
        <v>Comp 1102</v>
      </c>
      <c r="O1146" s="8" t="str">
        <v>Ventilador Preto</v>
      </c>
      <c r="P1146" s="8" t="str">
        <v>WU-SS4J-LFOH</v>
      </c>
      <c r="Q1146" s="4">
        <v>45751</v>
      </c>
      <c r="R1146" s="109">
        <v>65.599999999999994</v>
      </c>
      <c r="S1146" s="11">
        <f ca="1"/>
        <v>65.599999999999994</v>
      </c>
      <c r="T1146" s="28">
        <f ca="1"/>
        <v>8.5279999999999987</v>
      </c>
      <c r="U1146" s="11">
        <f ca="1"/>
        <v>57.07</v>
      </c>
      <c r="V1146" s="11">
        <v>12.05</v>
      </c>
      <c r="W1146" s="11">
        <f ca="1"/>
        <v>0.23</v>
      </c>
      <c r="X1146" s="11">
        <f ca="1"/>
        <v>0.39877104377104378</v>
      </c>
      <c r="Y1146" s="11">
        <v>0</v>
      </c>
      <c r="Z1146" s="11">
        <f ca="1"/>
        <v>44.391228956228957</v>
      </c>
      <c r="AA1146" s="11">
        <f ca="1"/>
        <v>22.195614478114479</v>
      </c>
      <c r="AB1146" s="4">
        <f ca="1"/>
        <v>45758</v>
      </c>
      <c r="AC1146" s="4">
        <v>45758</v>
      </c>
      <c r="AD1146" s="9">
        <v>45762</v>
      </c>
      <c r="AE1146" s="9">
        <v>45763</v>
      </c>
      <c r="AF1146" s="4" t="str">
        <f t="shared" ca="1" si="75"/>
        <v>2025 04</v>
      </c>
      <c r="AG1146" s="8" t="str" cm="1">
        <f t="array" ref="AG1146">IFERROR(_xlfn.IFS('Banco de Dados'!#REF!="AG. COMPRA","Em processamento",'Banco de Dados'!#REF!="AG. RASTREIO","Em processamento",'Banco de Dados'!$AE1146&lt;&gt;"-","Faturado",'Banco de Dados'!$AD1146&lt;&gt;"-","Aguardando Pix",'Banco de Dados'!$AC1146&lt;&gt;"-","Pendente"),"Aguardando Liberação")</f>
        <v>Aguardando Liberação</v>
      </c>
      <c r="AH1146" s="5" t="str">
        <f>IF('Banco de Dados'!$F1146="-",_xlfn.CONCAT(PROPER(TEXT(AK1146,"aaaa"))," ",PROPER(TEXT(AK1146,"mm"))),_xlfn.CONCAT(PROPER(TEXT(E1146,"aaaa"))," ",PROPER(TEXT(E1146,"mm"))))</f>
        <v>2025 03</v>
      </c>
      <c r="AI1146" s="9" t="str">
        <f ca="1">IF('Banco de Dados'!$AK1146&lt;&gt;"-","REEMBOLSO",IFERROR(_xlfn.XLOOKUP(G1146,Follow[CODRASTREIO],Follow[STATUS]),"-"))</f>
        <v>ENTREGUE</v>
      </c>
      <c r="AJ1146" s="9">
        <f ca="1">IF('Banco de Dados'!$AI1146="ENTREGUE",_xlfn.XLOOKUP('Banco de Dados'!$G1146,Follow[CODRASTREIO],Follow[DATAATUALIZAÇÃO]),"-")</f>
        <v>45742</v>
      </c>
      <c r="AK1146" s="132" t="str">
        <f ca="1"/>
        <v>-</v>
      </c>
      <c r="AL1146" s="35"/>
      <c r="AM1146" s="109" cm="1">
        <f t="array" aca="1" ref="AM1146" ca="1">IF('Banco de Dados'!$AK1146&lt;&gt;"-",_xlfn.IFS('Banco de Dados'!$A1146="bv",IF('Banco de Dados'!$E1146&lt;45641,ROUND(SUM('Banco de Dados'!$R1146*_xlfn.XLOOKUP('Banco de Dados'!$P1146,Sku!B:B,Sku!#REF!)*20%),2),ROUND(SUM('Banco de Dados'!$R1146*_xlfn.XLOOKUP('Banco de Dados'!$P1146,Sku!B:B,Sku!H:H)*20%),2)),'Banco de Dados'!$A1146="GO",ROUND(SUM('Banco de Dados'!$R1146*_xlfn.XLOOKUP('Banco de Dados'!$P1146,Sku!C:C,Sku!H:H)*20%),2),'Banco de Dados'!$A1146="MEI",ROUND(SUM('Banco de Dados'!$R1146*_xlfn.XLOOKUP('Banco de Dados'!$P1146,Sku!D:D,Sku!H:H)*20%),2)),0)</f>
        <v>0</v>
      </c>
      <c r="AN1146" s="109">
        <f ca="1">IF('Banco de Dados'!$AK1146&lt;&gt;"-",IF('Banco de Dados'!$F1146&lt;&gt;"-",_xlfn.XLOOKUP(IFERROR(IFERROR(IFERROR(VALUE(SUBSTITUTE(MID(_xlfn.TEXTAFTER('Banco de Dados'!$F1146,"Data do Pedido:
",1),1,10),"-","/")),VALUE(SUBSTITUTE(MID(_xlfn.TEXTAFTER('Banco de Dados'!$F1146,"Order date:
",1),1,10),"-","/"))),VALUE(SUBSTITUTE(MID(_xlfn.TEXTAFTER('Banco de Dados'!$F1146,"Fecha de pedido:
",1),1,10),"-","/"))),"-"),SMS!A:A,SMS!K:K),0),0)</f>
        <v>0</v>
      </c>
      <c r="AO1146" s="109">
        <f ca="1">IF('Banco de Dados'!$AK1146&lt;&gt;"-",IF('Banco de Dados'!$F1146&lt;&gt;"-",IFERROR(_xlfn.XLOOKUP(_xlfn.CONCAT('Banco de Dados'!$A1146,IFERROR(IFERROR(VALUE(SUBSTITUTE(MID(_xlfn.TEXTAFTER('Banco de Dados'!$F1146,"Data do Pedido:
",1),1,10),"-","/")),VALUE(SUBSTITUTE(MID(_xlfn.TEXTAFTER('Banco de Dados'!$F1146,"Order date:
",1),1,10),"-","/"))),0)),ProxyDD[Chave],ProxyDD[Valor por pedido]),PROXY!$P$2),0),0)</f>
        <v>0</v>
      </c>
      <c r="AP1146" s="28">
        <f ca="1">IF('Banco de Dados'!$AK1146&lt;&gt;"-",IF('Banco de Dados'!$AL1146="NÃO",IFERROR(VALUE(SUBSTITUTE(_xlfn.TEXTAFTER('Banco de Dados'!$F1146,"BRL ",1),".",",")),0),0),0)</f>
        <v>0</v>
      </c>
      <c r="AQ1146" s="28">
        <f ca="1">SUM('Banco de Dados'!$AM1146:$AP1146)</f>
        <v>0</v>
      </c>
      <c r="AR1146" s="8"/>
      <c r="AY1146" s="8"/>
    </row>
    <row r="1147" spans="1:51">
      <c r="A1147" s="5" t="str">
        <v>MEI</v>
      </c>
      <c r="B1147" s="5" t="str">
        <f ca="1"/>
        <v>MEI45726</v>
      </c>
      <c r="C1147" s="8" t="str">
        <v>Pedido 1134</v>
      </c>
      <c r="D1147" s="187">
        <v>45726</v>
      </c>
      <c r="E1147" s="9">
        <v>45726</v>
      </c>
      <c r="F1147" s="8" t="str">
        <v>PedidoF1112</v>
      </c>
      <c r="G1147" s="2" t="str">
        <v>CódRastreio1110</v>
      </c>
      <c r="H1147" s="5">
        <v>1</v>
      </c>
      <c r="I1147" s="2" t="str">
        <v>CPF 1103</v>
      </c>
      <c r="J1147" s="2" t="str">
        <v>Nome 1103</v>
      </c>
      <c r="K1147" s="8" t="str">
        <v>Tel 1103</v>
      </c>
      <c r="L1147" s="8" t="str">
        <v>Cep 1103</v>
      </c>
      <c r="M1147" s="8" t="str">
        <v>Rua 1103</v>
      </c>
      <c r="N1147" s="8" t="str">
        <v>Comp 1103</v>
      </c>
      <c r="O1147" s="8" t="str">
        <v>Mini Liquidificador</v>
      </c>
      <c r="P1147" s="8" t="str">
        <v>A4-5W51-K3HF</v>
      </c>
      <c r="Q1147" s="4">
        <v>45751</v>
      </c>
      <c r="R1147" s="109">
        <v>30.95</v>
      </c>
      <c r="S1147" s="11">
        <f ca="1"/>
        <v>30.95</v>
      </c>
      <c r="T1147" s="28">
        <f ca="1"/>
        <v>4.3330000000000002</v>
      </c>
      <c r="U1147" s="11">
        <f ca="1"/>
        <v>26.62</v>
      </c>
      <c r="V1147" s="11">
        <v>11.68</v>
      </c>
      <c r="W1147" s="11">
        <f ca="1"/>
        <v>0.23</v>
      </c>
      <c r="X1147" s="11">
        <f ca="1"/>
        <v>0.39877104377104378</v>
      </c>
      <c r="Y1147" s="11">
        <v>0</v>
      </c>
      <c r="Z1147" s="11">
        <f ca="1"/>
        <v>14.311228956228957</v>
      </c>
      <c r="AA1147" s="11">
        <f ca="1"/>
        <v>7.1556144781144786</v>
      </c>
      <c r="AB1147" s="4">
        <f ca="1"/>
        <v>45758</v>
      </c>
      <c r="AC1147" s="4">
        <v>45758</v>
      </c>
      <c r="AD1147" s="9">
        <v>45762</v>
      </c>
      <c r="AE1147" s="9">
        <v>45763</v>
      </c>
      <c r="AF1147" s="4" t="str">
        <f t="shared" ca="1" si="75"/>
        <v>2025 04</v>
      </c>
      <c r="AG1147" s="8" t="str" cm="1">
        <f t="array" ref="AG1147">IFERROR(_xlfn.IFS('Banco de Dados'!#REF!="AG. COMPRA","Em processamento",'Banco de Dados'!#REF!="AG. RASTREIO","Em processamento",'Banco de Dados'!$AE1147&lt;&gt;"-","Faturado",'Banco de Dados'!$AD1147&lt;&gt;"-","Aguardando Pix",'Banco de Dados'!$AC1147&lt;&gt;"-","Pendente"),"Aguardando Liberação")</f>
        <v>Aguardando Liberação</v>
      </c>
      <c r="AH1147" s="5" t="str">
        <f>IF('Banco de Dados'!$F1147="-",_xlfn.CONCAT(PROPER(TEXT(AK1147,"aaaa"))," ",PROPER(TEXT(AK1147,"mm"))),_xlfn.CONCAT(PROPER(TEXT(E1147,"aaaa"))," ",PROPER(TEXT(E1147,"mm"))))</f>
        <v>2025 03</v>
      </c>
      <c r="AI1147" s="9" t="str">
        <f ca="1">IF('Banco de Dados'!$AK1147&lt;&gt;"-","REEMBOLSO",IFERROR(_xlfn.XLOOKUP(G1147,Follow[CODRASTREIO],Follow[STATUS]),"-"))</f>
        <v>ENTREGUE</v>
      </c>
      <c r="AJ1147" s="9">
        <f ca="1">IF('Banco de Dados'!$AI1147="ENTREGUE",_xlfn.XLOOKUP('Banco de Dados'!$G1147,Follow[CODRASTREIO],Follow[DATAATUALIZAÇÃO]),"-")</f>
        <v>45742</v>
      </c>
      <c r="AK1147" s="132" t="str">
        <f ca="1"/>
        <v>-</v>
      </c>
      <c r="AL1147" s="35"/>
      <c r="AM1147" s="109" cm="1">
        <f t="array" aca="1" ref="AM1147" ca="1">IF('Banco de Dados'!$AK1147&lt;&gt;"-",_xlfn.IFS('Banco de Dados'!$A1147="bv",IF('Banco de Dados'!$E1147&lt;45641,ROUND(SUM('Banco de Dados'!$R1147*_xlfn.XLOOKUP('Banco de Dados'!$P1147,Sku!B:B,Sku!#REF!)*20%),2),ROUND(SUM('Banco de Dados'!$R1147*_xlfn.XLOOKUP('Banco de Dados'!$P1147,Sku!B:B,Sku!H:H)*20%),2)),'Banco de Dados'!$A1147="GO",ROUND(SUM('Banco de Dados'!$R1147*_xlfn.XLOOKUP('Banco de Dados'!$P1147,Sku!C:C,Sku!H:H)*20%),2),'Banco de Dados'!$A1147="MEI",ROUND(SUM('Banco de Dados'!$R1147*_xlfn.XLOOKUP('Banco de Dados'!$P1147,Sku!D:D,Sku!H:H)*20%),2)),0)</f>
        <v>0</v>
      </c>
      <c r="AN1147" s="109">
        <f ca="1">IF('Banco de Dados'!$AK1147&lt;&gt;"-",IF('Banco de Dados'!$F1147&lt;&gt;"-",_xlfn.XLOOKUP(IFERROR(IFERROR(IFERROR(VALUE(SUBSTITUTE(MID(_xlfn.TEXTAFTER('Banco de Dados'!$F1147,"Data do Pedido:
",1),1,10),"-","/")),VALUE(SUBSTITUTE(MID(_xlfn.TEXTAFTER('Banco de Dados'!$F1147,"Order date:
",1),1,10),"-","/"))),VALUE(SUBSTITUTE(MID(_xlfn.TEXTAFTER('Banco de Dados'!$F1147,"Fecha de pedido:
",1),1,10),"-","/"))),"-"),SMS!A:A,SMS!K:K),0),0)</f>
        <v>0</v>
      </c>
      <c r="AO1147" s="109">
        <f ca="1">IF('Banco de Dados'!$AK1147&lt;&gt;"-",IF('Banco de Dados'!$F1147&lt;&gt;"-",IFERROR(_xlfn.XLOOKUP(_xlfn.CONCAT('Banco de Dados'!$A1147,IFERROR(IFERROR(VALUE(SUBSTITUTE(MID(_xlfn.TEXTAFTER('Banco de Dados'!$F1147,"Data do Pedido:
",1),1,10),"-","/")),VALUE(SUBSTITUTE(MID(_xlfn.TEXTAFTER('Banco de Dados'!$F1147,"Order date:
",1),1,10),"-","/"))),0)),ProxyDD[Chave],ProxyDD[Valor por pedido]),PROXY!$P$2),0),0)</f>
        <v>0</v>
      </c>
      <c r="AP1147" s="28">
        <f ca="1">IF('Banco de Dados'!$AK1147&lt;&gt;"-",IF('Banco de Dados'!$AL1147="NÃO",IFERROR(VALUE(SUBSTITUTE(_xlfn.TEXTAFTER('Banco de Dados'!$F1147,"BRL ",1),".",",")),0),0),0)</f>
        <v>0</v>
      </c>
      <c r="AQ1147" s="28">
        <f ca="1">SUM('Banco de Dados'!$AM1147:$AP1147)</f>
        <v>0</v>
      </c>
      <c r="AR1147" s="8"/>
      <c r="AY1147" s="8"/>
    </row>
    <row r="1148" spans="1:51">
      <c r="A1148" s="5" t="str">
        <v>MEI</v>
      </c>
      <c r="B1148" s="5" t="str">
        <f ca="1"/>
        <v>MEI45726</v>
      </c>
      <c r="C1148" s="8" t="str">
        <v>Pedido 1135</v>
      </c>
      <c r="D1148" s="187">
        <v>45726</v>
      </c>
      <c r="E1148" s="9">
        <v>45726</v>
      </c>
      <c r="F1148" s="8" t="str">
        <v>PedidoF1113</v>
      </c>
      <c r="G1148" s="2" t="str">
        <v>CódRastreio1111</v>
      </c>
      <c r="H1148" s="5">
        <v>1</v>
      </c>
      <c r="I1148" s="2" t="str">
        <v>CPF 1104</v>
      </c>
      <c r="J1148" s="2" t="str">
        <v>Nome 1104</v>
      </c>
      <c r="K1148" s="8" t="str">
        <v>Tel 1104</v>
      </c>
      <c r="L1148" s="8" t="str">
        <v>Cep 1104</v>
      </c>
      <c r="M1148" s="8" t="str">
        <v>Rua 1104</v>
      </c>
      <c r="N1148" s="8" t="str">
        <v>Comp 1104</v>
      </c>
      <c r="O1148" s="8" t="str">
        <v>Mini Liquidificador</v>
      </c>
      <c r="P1148" s="8" t="str">
        <v>A4-5W51-K3HF</v>
      </c>
      <c r="Q1148" s="4">
        <v>45741</v>
      </c>
      <c r="R1148" s="109">
        <v>30.95</v>
      </c>
      <c r="S1148" s="11">
        <f ca="1"/>
        <v>30.95</v>
      </c>
      <c r="T1148" s="28">
        <f ca="1"/>
        <v>4.3330000000000002</v>
      </c>
      <c r="U1148" s="11">
        <f ca="1"/>
        <v>26.62</v>
      </c>
      <c r="V1148" s="11">
        <v>11.68</v>
      </c>
      <c r="W1148" s="11">
        <f ca="1"/>
        <v>0.23</v>
      </c>
      <c r="X1148" s="11">
        <f ca="1"/>
        <v>0.39877104377104378</v>
      </c>
      <c r="Y1148" s="11">
        <v>0</v>
      </c>
      <c r="Z1148" s="11">
        <f ca="1"/>
        <v>14.311228956228957</v>
      </c>
      <c r="AA1148" s="11">
        <f ca="1"/>
        <v>7.1556144781144786</v>
      </c>
      <c r="AB1148" s="4">
        <f ca="1"/>
        <v>45748</v>
      </c>
      <c r="AC1148" s="4">
        <v>45748</v>
      </c>
      <c r="AD1148" s="9">
        <v>45762</v>
      </c>
      <c r="AE1148" s="9">
        <v>45763</v>
      </c>
      <c r="AF1148" s="4" t="str">
        <f t="shared" ca="1" si="75"/>
        <v>2025 04</v>
      </c>
      <c r="AG1148" s="8" t="str" cm="1">
        <f t="array" ref="AG1148">IFERROR(_xlfn.IFS('Banco de Dados'!#REF!="AG. COMPRA","Em processamento",'Banco de Dados'!#REF!="AG. RASTREIO","Em processamento",'Banco de Dados'!$AE1148&lt;&gt;"-","Faturado",'Banco de Dados'!$AD1148&lt;&gt;"-","Aguardando Pix",'Banco de Dados'!$AC1148&lt;&gt;"-","Pendente"),"Aguardando Liberação")</f>
        <v>Aguardando Liberação</v>
      </c>
      <c r="AH1148" s="5" t="str">
        <f>IF('Banco de Dados'!$F1148="-",_xlfn.CONCAT(PROPER(TEXT(AK1148,"aaaa"))," ",PROPER(TEXT(AK1148,"mm"))),_xlfn.CONCAT(PROPER(TEXT(E1148,"aaaa"))," ",PROPER(TEXT(E1148,"mm"))))</f>
        <v>2025 03</v>
      </c>
      <c r="AI1148" s="9" t="str">
        <f ca="1">IF('Banco de Dados'!$AK1148&lt;&gt;"-","REEMBOLSO",IFERROR(_xlfn.XLOOKUP(G1148,Follow[CODRASTREIO],Follow[STATUS]),"-"))</f>
        <v>ENTREGUE</v>
      </c>
      <c r="AJ1148" s="9">
        <f ca="1">IF('Banco de Dados'!$AI1148="ENTREGUE",_xlfn.XLOOKUP('Banco de Dados'!$G1148,Follow[CODRASTREIO],Follow[DATAATUALIZAÇÃO]),"-")</f>
        <v>45740</v>
      </c>
      <c r="AK1148" s="132" t="str">
        <f ca="1"/>
        <v>-</v>
      </c>
      <c r="AL1148" s="35"/>
      <c r="AM1148" s="109" cm="1">
        <f t="array" aca="1" ref="AM1148" ca="1">IF('Banco de Dados'!$AK1148&lt;&gt;"-",_xlfn.IFS('Banco de Dados'!$A1148="bv",IF('Banco de Dados'!$E1148&lt;45641,ROUND(SUM('Banco de Dados'!$R1148*_xlfn.XLOOKUP('Banco de Dados'!$P1148,Sku!B:B,Sku!#REF!)*20%),2),ROUND(SUM('Banco de Dados'!$R1148*_xlfn.XLOOKUP('Banco de Dados'!$P1148,Sku!B:B,Sku!H:H)*20%),2)),'Banco de Dados'!$A1148="GO",ROUND(SUM('Banco de Dados'!$R1148*_xlfn.XLOOKUP('Banco de Dados'!$P1148,Sku!C:C,Sku!H:H)*20%),2),'Banco de Dados'!$A1148="MEI",ROUND(SUM('Banco de Dados'!$R1148*_xlfn.XLOOKUP('Banco de Dados'!$P1148,Sku!D:D,Sku!H:H)*20%),2)),0)</f>
        <v>0</v>
      </c>
      <c r="AN1148" s="109">
        <f ca="1">IF('Banco de Dados'!$AK1148&lt;&gt;"-",IF('Banco de Dados'!$F1148&lt;&gt;"-",_xlfn.XLOOKUP(IFERROR(IFERROR(IFERROR(VALUE(SUBSTITUTE(MID(_xlfn.TEXTAFTER('Banco de Dados'!$F1148,"Data do Pedido:
",1),1,10),"-","/")),VALUE(SUBSTITUTE(MID(_xlfn.TEXTAFTER('Banco de Dados'!$F1148,"Order date:
",1),1,10),"-","/"))),VALUE(SUBSTITUTE(MID(_xlfn.TEXTAFTER('Banco de Dados'!$F1148,"Fecha de pedido:
",1),1,10),"-","/"))),"-"),SMS!A:A,SMS!K:K),0),0)</f>
        <v>0</v>
      </c>
      <c r="AO1148" s="109">
        <f ca="1">IF('Banco de Dados'!$AK1148&lt;&gt;"-",IF('Banco de Dados'!$F1148&lt;&gt;"-",IFERROR(_xlfn.XLOOKUP(_xlfn.CONCAT('Banco de Dados'!$A1148,IFERROR(IFERROR(VALUE(SUBSTITUTE(MID(_xlfn.TEXTAFTER('Banco de Dados'!$F1148,"Data do Pedido:
",1),1,10),"-","/")),VALUE(SUBSTITUTE(MID(_xlfn.TEXTAFTER('Banco de Dados'!$F1148,"Order date:
",1),1,10),"-","/"))),0)),ProxyDD[Chave],ProxyDD[Valor por pedido]),PROXY!$P$2),0),0)</f>
        <v>0</v>
      </c>
      <c r="AP1148" s="28">
        <f ca="1">IF('Banco de Dados'!$AK1148&lt;&gt;"-",IF('Banco de Dados'!$AL1148="NÃO",IFERROR(VALUE(SUBSTITUTE(_xlfn.TEXTAFTER('Banco de Dados'!$F1148,"BRL ",1),".",",")),0),0),0)</f>
        <v>0</v>
      </c>
      <c r="AQ1148" s="28">
        <f ca="1">SUM('Banco de Dados'!$AM1148:$AP1148)</f>
        <v>0</v>
      </c>
      <c r="AR1148" s="8"/>
      <c r="AY1148" s="8"/>
    </row>
    <row r="1149" spans="1:51">
      <c r="A1149" s="5" t="str">
        <v>GO</v>
      </c>
      <c r="B1149" s="5" t="str">
        <f ca="1"/>
        <v>GO45726</v>
      </c>
      <c r="C1149" s="8" t="str">
        <v>Pedido 1136</v>
      </c>
      <c r="D1149" s="187">
        <v>45725</v>
      </c>
      <c r="E1149" s="9">
        <v>45726</v>
      </c>
      <c r="F1149" s="8" t="str">
        <v>PedidoF1114</v>
      </c>
      <c r="G1149" s="2" t="str">
        <v>CódRastreio1112</v>
      </c>
      <c r="H1149" s="5">
        <v>1</v>
      </c>
      <c r="I1149" s="2" t="str">
        <v>CPF 1105</v>
      </c>
      <c r="J1149" s="2" t="str">
        <v>Nome 1105</v>
      </c>
      <c r="K1149" s="8" t="str">
        <v>Tel 1105</v>
      </c>
      <c r="L1149" s="8" t="str">
        <v>Cep 1105</v>
      </c>
      <c r="M1149" s="8" t="str">
        <v>Rua 1105</v>
      </c>
      <c r="N1149" s="8" t="str">
        <v>Comp 1105</v>
      </c>
      <c r="O1149" s="8" t="str">
        <v>Ventilador Preto</v>
      </c>
      <c r="P1149" s="8" t="str">
        <v>EP-9PIR-BWXH</v>
      </c>
      <c r="Q1149" s="4">
        <v>45744</v>
      </c>
      <c r="R1149" s="109">
        <v>70.989999999999995</v>
      </c>
      <c r="S1149" s="11">
        <f ca="1"/>
        <v>70.989999999999995</v>
      </c>
      <c r="T1149" s="28">
        <f ca="1"/>
        <v>9.2286999999999999</v>
      </c>
      <c r="U1149" s="11">
        <f ca="1"/>
        <v>61.76</v>
      </c>
      <c r="V1149" s="11">
        <v>12.05</v>
      </c>
      <c r="W1149" s="11">
        <f ca="1"/>
        <v>0.2</v>
      </c>
      <c r="X1149" s="11">
        <f ca="1"/>
        <v>0.39877104377104378</v>
      </c>
      <c r="Y1149" s="11">
        <v>0</v>
      </c>
      <c r="Z1149" s="11">
        <f ca="1"/>
        <v>49.111228956228956</v>
      </c>
      <c r="AA1149" s="11">
        <f ca="1"/>
        <v>49.111228956228956</v>
      </c>
      <c r="AB1149" s="4">
        <f ca="1"/>
        <v>45751</v>
      </c>
      <c r="AC1149" s="4">
        <v>45751</v>
      </c>
      <c r="AD1149" s="9">
        <v>45762</v>
      </c>
      <c r="AE1149" s="9">
        <v>45763</v>
      </c>
      <c r="AF1149" s="4" t="str">
        <f t="shared" ca="1" si="75"/>
        <v>2025 04</v>
      </c>
      <c r="AG1149" s="8" t="str" cm="1">
        <f t="array" ref="AG1149">IFERROR(_xlfn.IFS('Banco de Dados'!#REF!="AG. COMPRA","Em processamento",'Banco de Dados'!#REF!="AG. RASTREIO","Em processamento",'Banco de Dados'!$AE1149&lt;&gt;"-","Faturado",'Banco de Dados'!$AD1149&lt;&gt;"-","Aguardando Pix",'Banco de Dados'!$AC1149&lt;&gt;"-","Pendente"),"Aguardando Liberação")</f>
        <v>Aguardando Liberação</v>
      </c>
      <c r="AH1149" s="5" t="str">
        <f>IF('Banco de Dados'!$F1149="-",_xlfn.CONCAT(PROPER(TEXT(AK1149,"aaaa"))," ",PROPER(TEXT(AK1149,"mm"))),_xlfn.CONCAT(PROPER(TEXT(E1149,"aaaa"))," ",PROPER(TEXT(E1149,"mm"))))</f>
        <v>2025 03</v>
      </c>
      <c r="AI1149" s="9" t="str">
        <f ca="1">IF('Banco de Dados'!$AK1149&lt;&gt;"-","REEMBOLSO",IFERROR(_xlfn.XLOOKUP(G1149,Follow[CODRASTREIO],Follow[STATUS]),"-"))</f>
        <v>ENTREGUE</v>
      </c>
      <c r="AJ1149" s="9">
        <f ca="1">IF('Banco de Dados'!$AI1149="ENTREGUE",_xlfn.XLOOKUP('Banco de Dados'!$G1149,Follow[CODRASTREIO],Follow[DATAATUALIZAÇÃO]),"-")</f>
        <v>45744</v>
      </c>
      <c r="AK1149" s="132" t="str">
        <f ca="1"/>
        <v>-</v>
      </c>
      <c r="AL1149" s="35"/>
      <c r="AM1149" s="109" cm="1">
        <f t="array" aca="1" ref="AM1149" ca="1">IF('Banco de Dados'!$AK1149&lt;&gt;"-",_xlfn.IFS('Banco de Dados'!$A1149="bv",IF('Banco de Dados'!$E1149&lt;45641,ROUND(SUM('Banco de Dados'!$R1149*_xlfn.XLOOKUP('Banco de Dados'!$P1149,Sku!B:B,Sku!#REF!)*20%),2),ROUND(SUM('Banco de Dados'!$R1149*_xlfn.XLOOKUP('Banco de Dados'!$P1149,Sku!B:B,Sku!H:H)*20%),2)),'Banco de Dados'!$A1149="GO",ROUND(SUM('Banco de Dados'!$R1149*_xlfn.XLOOKUP('Banco de Dados'!$P1149,Sku!C:C,Sku!H:H)*20%),2),'Banco de Dados'!$A1149="MEI",ROUND(SUM('Banco de Dados'!$R1149*_xlfn.XLOOKUP('Banco de Dados'!$P1149,Sku!D:D,Sku!H:H)*20%),2)),0)</f>
        <v>0</v>
      </c>
      <c r="AN1149" s="109">
        <f ca="1">IF('Banco de Dados'!$AK1149&lt;&gt;"-",IF('Banco de Dados'!$F1149&lt;&gt;"-",_xlfn.XLOOKUP(IFERROR(IFERROR(IFERROR(VALUE(SUBSTITUTE(MID(_xlfn.TEXTAFTER('Banco de Dados'!$F1149,"Data do Pedido:
",1),1,10),"-","/")),VALUE(SUBSTITUTE(MID(_xlfn.TEXTAFTER('Banco de Dados'!$F1149,"Order date:
",1),1,10),"-","/"))),VALUE(SUBSTITUTE(MID(_xlfn.TEXTAFTER('Banco de Dados'!$F1149,"Fecha de pedido:
",1),1,10),"-","/"))),"-"),SMS!A:A,SMS!K:K),0),0)</f>
        <v>0</v>
      </c>
      <c r="AO1149" s="109">
        <f ca="1">IF('Banco de Dados'!$AK1149&lt;&gt;"-",IF('Banco de Dados'!$F1149&lt;&gt;"-",IFERROR(_xlfn.XLOOKUP(_xlfn.CONCAT('Banco de Dados'!$A1149,IFERROR(IFERROR(VALUE(SUBSTITUTE(MID(_xlfn.TEXTAFTER('Banco de Dados'!$F1149,"Data do Pedido:
",1),1,10),"-","/")),VALUE(SUBSTITUTE(MID(_xlfn.TEXTAFTER('Banco de Dados'!$F1149,"Order date:
",1),1,10),"-","/"))),0)),ProxyDD[Chave],ProxyDD[Valor por pedido]),PROXY!$P$2),0),0)</f>
        <v>0</v>
      </c>
      <c r="AP1149" s="28">
        <f ca="1">IF('Banco de Dados'!$AK1149&lt;&gt;"-",IF('Banco de Dados'!$AL1149="NÃO",IFERROR(VALUE(SUBSTITUTE(_xlfn.TEXTAFTER('Banco de Dados'!$F1149,"BRL ",1),".",",")),0),0),0)</f>
        <v>0</v>
      </c>
      <c r="AQ1149" s="28">
        <f ca="1">SUM('Banco de Dados'!$AM1149:$AP1149)</f>
        <v>0</v>
      </c>
      <c r="AR1149" s="8"/>
      <c r="AY1149" s="8"/>
    </row>
    <row r="1150" spans="1:51">
      <c r="A1150" s="5" t="str">
        <v>BV</v>
      </c>
      <c r="B1150" s="5" t="str">
        <f ca="1"/>
        <v>BV45729</v>
      </c>
      <c r="C1150" s="8" t="str">
        <v>Pedido 1137</v>
      </c>
      <c r="D1150" s="9">
        <v>45727</v>
      </c>
      <c r="E1150" s="9">
        <v>45729</v>
      </c>
      <c r="F1150" s="8" t="str">
        <v>PedidoF1115</v>
      </c>
      <c r="G1150" s="2" t="str">
        <v>CódRastreio1113</v>
      </c>
      <c r="H1150" s="5">
        <v>1</v>
      </c>
      <c r="I1150" s="2" t="str">
        <v>CPF 1106</v>
      </c>
      <c r="J1150" s="2" t="str">
        <v>Nome 1106</v>
      </c>
      <c r="K1150" s="8" t="str">
        <v>Tel 1106</v>
      </c>
      <c r="L1150" s="8" t="str">
        <v>Cep 1106</v>
      </c>
      <c r="M1150" s="8" t="str">
        <v>Rua 1106</v>
      </c>
      <c r="N1150" s="8" t="str">
        <v>Comp 1106</v>
      </c>
      <c r="O1150" s="8" t="str">
        <v>Lampada Led</v>
      </c>
      <c r="P1150" s="8" t="str">
        <v>RB-W251-UXV2</v>
      </c>
      <c r="Q1150" s="4">
        <v>45741</v>
      </c>
      <c r="R1150" s="109">
        <v>26.99</v>
      </c>
      <c r="S1150" s="11">
        <f ca="1"/>
        <v>26.99</v>
      </c>
      <c r="T1150" s="28">
        <f ca="1"/>
        <v>3.5086999999999997</v>
      </c>
      <c r="U1150" s="11">
        <f ca="1"/>
        <v>23.48</v>
      </c>
      <c r="V1150" s="11">
        <v>10.210000000000001</v>
      </c>
      <c r="W1150" s="11">
        <f ca="1"/>
        <v>0.4</v>
      </c>
      <c r="X1150" s="11">
        <f ca="1"/>
        <v>0.39877104377104378</v>
      </c>
      <c r="Y1150" s="11">
        <v>0</v>
      </c>
      <c r="Z1150" s="11">
        <f ca="1"/>
        <v>12.471228956228956</v>
      </c>
      <c r="AA1150" s="11">
        <f ca="1"/>
        <v>6.2356144781144778</v>
      </c>
      <c r="AB1150" s="4">
        <f ca="1"/>
        <v>45748</v>
      </c>
      <c r="AC1150" s="4">
        <v>45748</v>
      </c>
      <c r="AD1150" s="9">
        <v>45762</v>
      </c>
      <c r="AE1150" s="9">
        <v>45763</v>
      </c>
      <c r="AF1150" s="4" t="str">
        <f t="shared" ref="AF1150:AF1156" ca="1" si="76">_xlfn.CONCAT(PROPER(TEXT(AB1150,"aaaa"))," ",PROPER(TEXT(AB1150,"mm")))</f>
        <v>2025 04</v>
      </c>
      <c r="AG1150" s="8" t="str" cm="1">
        <f t="array" ref="AG1150">IFERROR(_xlfn.IFS('Banco de Dados'!#REF!="AG. COMPRA","Em processamento",'Banco de Dados'!#REF!="AG. RASTREIO","Em processamento",'Banco de Dados'!$AE1150&lt;&gt;"-","Faturado",'Banco de Dados'!$AD1150&lt;&gt;"-","Aguardando Pix",'Banco de Dados'!$AC1150&lt;&gt;"-","Pendente"),"Aguardando Liberação")</f>
        <v>Aguardando Liberação</v>
      </c>
      <c r="AH1150" s="5" t="str">
        <f>IF('Banco de Dados'!$F1150="-",_xlfn.CONCAT(PROPER(TEXT(AK1150,"aaaa"))," ",PROPER(TEXT(AK1150,"mm"))),_xlfn.CONCAT(PROPER(TEXT(E1150,"aaaa"))," ",PROPER(TEXT(E1150,"mm"))))</f>
        <v>2025 03</v>
      </c>
      <c r="AI1150" s="9" t="str">
        <f ca="1">IF('Banco de Dados'!$AK1150&lt;&gt;"-","REEMBOLSO",IFERROR(_xlfn.XLOOKUP(G1150,Follow[CODRASTREIO],Follow[STATUS]),"-"))</f>
        <v>ENTREGUE</v>
      </c>
      <c r="AJ1150" s="9">
        <f ca="1">IF('Banco de Dados'!$AI1150="ENTREGUE",_xlfn.XLOOKUP('Banco de Dados'!$G1150,Follow[CODRASTREIO],Follow[DATAATUALIZAÇÃO]),"-")</f>
        <v>45748</v>
      </c>
      <c r="AK1150" s="132" t="str">
        <f ca="1"/>
        <v>-</v>
      </c>
      <c r="AL1150" s="35"/>
      <c r="AM1150" s="109" cm="1">
        <f t="array" aca="1" ref="AM1150" ca="1">IF('Banco de Dados'!$AK1150&lt;&gt;"-",_xlfn.IFS('Banco de Dados'!$A1150="bv",IF('Banco de Dados'!$E1150&lt;45641,ROUND(SUM('Banco de Dados'!$R1150*_xlfn.XLOOKUP('Banco de Dados'!$P1150,Sku!B:B,Sku!#REF!)*20%),2),ROUND(SUM('Banco de Dados'!$R1150*_xlfn.XLOOKUP('Banco de Dados'!$P1150,Sku!B:B,Sku!H:H)*20%),2)),'Banco de Dados'!$A1150="GO",ROUND(_xlfn.XLOOKUP('Banco de Dados'!$P1150,Sku!C:C,Sku!H:H),2),'Banco de Dados'!$A1150="MEI",ROUND(_xlfn.XLOOKUP('Banco de Dados'!$P1150,Sku!D:D,Sku!H:H),2)),0)</f>
        <v>0</v>
      </c>
      <c r="AN1150" s="109">
        <f ca="1">IF('Banco de Dados'!$AK1150&lt;&gt;"-",IF('Banco de Dados'!$F1150&lt;&gt;"-",_xlfn.XLOOKUP(IFERROR(IFERROR(IFERROR(VALUE(SUBSTITUTE(MID(_xlfn.TEXTAFTER('Banco de Dados'!$F1150,"Data do Pedido:
",1),1,10),"-","/")),VALUE(SUBSTITUTE(MID(_xlfn.TEXTAFTER('Banco de Dados'!$F1150,"Order date:
",1),1,10),"-","/"))),VALUE(SUBSTITUTE(MID(_xlfn.TEXTAFTER('Banco de Dados'!$F1150,"Fecha de pedido:
",1),1,10),"-","/"))),"-"),SMS!A:A,SMS!K:K),0),0)</f>
        <v>0</v>
      </c>
      <c r="AO1150" s="109">
        <f ca="1">IF('Banco de Dados'!$AK1150&lt;&gt;"-",IF('Banco de Dados'!$F1150&lt;&gt;"-",IFERROR(_xlfn.XLOOKUP(_xlfn.CONCAT('Banco de Dados'!$A1150,IFERROR(IFERROR(VALUE(SUBSTITUTE(MID(_xlfn.TEXTAFTER('Banco de Dados'!$F1150,"Data do Pedido:
",1),1,10),"-","/")),VALUE(SUBSTITUTE(MID(_xlfn.TEXTAFTER('Banco de Dados'!$F1150,"Order date:
",1),1,10),"-","/"))),0)),ProxyDD[Chave],ProxyDD[Valor por pedido]),PROXY!$P$2),0),0)</f>
        <v>0</v>
      </c>
      <c r="AP1150" s="28">
        <f ca="1">IF('Banco de Dados'!$AK1150&lt;&gt;"-",IF('Banco de Dados'!$AL1150="NÃO",IFERROR(VALUE(SUBSTITUTE(_xlfn.TEXTAFTER('Banco de Dados'!$F1150,"BRL ",1),".",",")),0),0),0)</f>
        <v>0</v>
      </c>
      <c r="AQ1150" s="28">
        <f ca="1">SUM('Banco de Dados'!$AM1150:$AP1150)</f>
        <v>0</v>
      </c>
      <c r="AR1150" s="8"/>
      <c r="AY1150" s="8"/>
    </row>
    <row r="1151" spans="1:51">
      <c r="A1151" s="5" t="str">
        <v>BV</v>
      </c>
      <c r="B1151" s="5" t="str">
        <f ca="1"/>
        <v>BV45727</v>
      </c>
      <c r="C1151" s="8" t="str">
        <v>Pedido 1138</v>
      </c>
      <c r="D1151" s="9">
        <v>45727</v>
      </c>
      <c r="E1151" s="9">
        <v>45727</v>
      </c>
      <c r="F1151" s="8" t="str">
        <v>PedidoF1116</v>
      </c>
      <c r="G1151" s="2" t="str">
        <v>CódRastreio1114</v>
      </c>
      <c r="H1151" s="5">
        <v>1</v>
      </c>
      <c r="I1151" s="2" t="str">
        <v>CPF 1107</v>
      </c>
      <c r="J1151" s="2" t="str">
        <v>Nome 1107</v>
      </c>
      <c r="K1151" s="8" t="str">
        <v>Tel 1107</v>
      </c>
      <c r="L1151" s="8" t="str">
        <v>Cep 1107</v>
      </c>
      <c r="M1151" s="8" t="str">
        <v>Rua 1107</v>
      </c>
      <c r="N1151" s="8" t="str">
        <v>Comp 1107</v>
      </c>
      <c r="O1151" s="8" t="str">
        <v>Ventilador Rosa</v>
      </c>
      <c r="P1151" s="8" t="str">
        <v>IF-G2ZQ-79FO</v>
      </c>
      <c r="Q1151" s="4">
        <v>45745</v>
      </c>
      <c r="R1151" s="109">
        <v>61.5</v>
      </c>
      <c r="S1151" s="11">
        <f ca="1"/>
        <v>61.5</v>
      </c>
      <c r="T1151" s="28">
        <f ca="1"/>
        <v>7.9950000000000001</v>
      </c>
      <c r="U1151" s="11">
        <f ca="1"/>
        <v>53.51</v>
      </c>
      <c r="V1151" s="11">
        <v>13.15</v>
      </c>
      <c r="W1151" s="11">
        <f ca="1"/>
        <v>0.6</v>
      </c>
      <c r="X1151" s="11">
        <f ca="1"/>
        <v>0.39877104377104378</v>
      </c>
      <c r="Y1151" s="11">
        <v>0</v>
      </c>
      <c r="Z1151" s="11">
        <f ca="1"/>
        <v>39.361228956228956</v>
      </c>
      <c r="AA1151" s="11">
        <f ca="1"/>
        <v>19.680614478114478</v>
      </c>
      <c r="AB1151" s="4">
        <f ca="1"/>
        <v>45752</v>
      </c>
      <c r="AC1151" s="4">
        <v>45752</v>
      </c>
      <c r="AD1151" s="9">
        <v>45762</v>
      </c>
      <c r="AE1151" s="9">
        <v>45763</v>
      </c>
      <c r="AF1151" s="4" t="str">
        <f t="shared" ca="1" si="76"/>
        <v>2025 04</v>
      </c>
      <c r="AG1151" s="8" t="str" cm="1">
        <f t="array" ref="AG1151">IFERROR(_xlfn.IFS('Banco de Dados'!#REF!="AG. COMPRA","Em processamento",'Banco de Dados'!#REF!="AG. RASTREIO","Em processamento",'Banco de Dados'!$AE1151&lt;&gt;"-","Faturado",'Banco de Dados'!$AD1151&lt;&gt;"-","Aguardando Pix",'Banco de Dados'!$AC1151&lt;&gt;"-","Pendente"),"Aguardando Liberação")</f>
        <v>Aguardando Liberação</v>
      </c>
      <c r="AH1151" s="5" t="str">
        <f>IF('Banco de Dados'!$F1151="-",_xlfn.CONCAT(PROPER(TEXT(AK1151,"aaaa"))," ",PROPER(TEXT(AK1151,"mm"))),_xlfn.CONCAT(PROPER(TEXT(E1151,"aaaa"))," ",PROPER(TEXT(E1151,"mm"))))</f>
        <v>2025 03</v>
      </c>
      <c r="AI1151" s="9" t="str">
        <f ca="1">IF('Banco de Dados'!$AK1151&lt;&gt;"-","REEMBOLSO",IFERROR(_xlfn.XLOOKUP(G1151,Follow[CODRASTREIO],Follow[STATUS]),"-"))</f>
        <v>ENTREGUE</v>
      </c>
      <c r="AJ1151" s="9">
        <f ca="1">IF('Banco de Dados'!$AI1151="ENTREGUE",_xlfn.XLOOKUP('Banco de Dados'!$G1151,Follow[CODRASTREIO],Follow[DATAATUALIZAÇÃO]),"-")</f>
        <v>45736</v>
      </c>
      <c r="AK1151" s="132" t="str">
        <f ca="1"/>
        <v>-</v>
      </c>
      <c r="AL1151" s="35"/>
      <c r="AM1151" s="109" cm="1">
        <f t="array" aca="1" ref="AM1151" ca="1">IF('Banco de Dados'!$AK1151&lt;&gt;"-",_xlfn.IFS('Banco de Dados'!$A1151="bv",IF('Banco de Dados'!$E1151&lt;45641,ROUND(SUM('Banco de Dados'!$R1151*_xlfn.XLOOKUP('Banco de Dados'!$P1151,Sku!B:B,Sku!#REF!)*20%),2),ROUND(SUM('Banco de Dados'!$R1151*_xlfn.XLOOKUP('Banco de Dados'!$P1151,Sku!B:B,Sku!H:H)*20%),2)),'Banco de Dados'!$A1151="GO",ROUND(_xlfn.XLOOKUP('Banco de Dados'!$P1151,Sku!C:C,Sku!H:H),2),'Banco de Dados'!$A1151="MEI",ROUND(_xlfn.XLOOKUP('Banco de Dados'!$P1151,Sku!D:D,Sku!H:H),2)),0)</f>
        <v>0</v>
      </c>
      <c r="AN1151" s="109">
        <f ca="1">IF('Banco de Dados'!$AK1151&lt;&gt;"-",IF('Banco de Dados'!$F1151&lt;&gt;"-",_xlfn.XLOOKUP(IFERROR(IFERROR(IFERROR(VALUE(SUBSTITUTE(MID(_xlfn.TEXTAFTER('Banco de Dados'!$F1151,"Data do Pedido:
",1),1,10),"-","/")),VALUE(SUBSTITUTE(MID(_xlfn.TEXTAFTER('Banco de Dados'!$F1151,"Order date:
",1),1,10),"-","/"))),VALUE(SUBSTITUTE(MID(_xlfn.TEXTAFTER('Banco de Dados'!$F1151,"Fecha de pedido:
",1),1,10),"-","/"))),"-"),SMS!A:A,SMS!K:K),0),0)</f>
        <v>0</v>
      </c>
      <c r="AO1151" s="109">
        <f ca="1">IF('Banco de Dados'!$AK1151&lt;&gt;"-",IF('Banco de Dados'!$F1151&lt;&gt;"-",IFERROR(_xlfn.XLOOKUP(_xlfn.CONCAT('Banco de Dados'!$A1151,IFERROR(IFERROR(VALUE(SUBSTITUTE(MID(_xlfn.TEXTAFTER('Banco de Dados'!$F1151,"Data do Pedido:
",1),1,10),"-","/")),VALUE(SUBSTITUTE(MID(_xlfn.TEXTAFTER('Banco de Dados'!$F1151,"Order date:
",1),1,10),"-","/"))),0)),ProxyDD[Chave],ProxyDD[Valor por pedido]),PROXY!$P$2),0),0)</f>
        <v>0</v>
      </c>
      <c r="AP1151" s="28">
        <f ca="1">IF('Banco de Dados'!$AK1151&lt;&gt;"-",IF('Banco de Dados'!$AL1151="NÃO",IFERROR(VALUE(SUBSTITUTE(_xlfn.TEXTAFTER('Banco de Dados'!$F1151,"BRL ",1),".",",")),0),0),0)</f>
        <v>0</v>
      </c>
      <c r="AQ1151" s="28">
        <f ca="1">SUM('Banco de Dados'!$AM1151:$AP1151)</f>
        <v>0</v>
      </c>
      <c r="AR1151" s="8"/>
      <c r="AY1151" s="8"/>
    </row>
    <row r="1152" spans="1:51">
      <c r="A1152" s="5" t="str">
        <v>BV</v>
      </c>
      <c r="B1152" s="5" t="str">
        <f ca="1"/>
        <v>BV-</v>
      </c>
      <c r="C1152" s="8" t="str">
        <v>Pedido 1139</v>
      </c>
      <c r="D1152" s="9">
        <v>45727</v>
      </c>
      <c r="E1152" s="9" t="str">
        <v>-</v>
      </c>
      <c r="F1152" s="8" t="str">
        <v>-</v>
      </c>
      <c r="G1152" s="2" t="str">
        <v>-</v>
      </c>
      <c r="H1152" s="5">
        <v>1</v>
      </c>
      <c r="I1152" s="2" t="str">
        <v>CPF 1108</v>
      </c>
      <c r="J1152" s="2" t="str">
        <v>Nome 1108</v>
      </c>
      <c r="K1152" s="8" t="str">
        <v>Tel 1108</v>
      </c>
      <c r="L1152" s="8" t="str">
        <v>Cep 1108</v>
      </c>
      <c r="M1152" s="8" t="str">
        <v>Rua 1108</v>
      </c>
      <c r="N1152" s="8" t="str">
        <v>Comp 1108</v>
      </c>
      <c r="O1152" s="8" t="str">
        <v>Garrafa Termica</v>
      </c>
      <c r="P1152" s="8" t="str">
        <v>FM-QQ8Y-RZT4</v>
      </c>
      <c r="Q1152" s="4">
        <v>45748</v>
      </c>
      <c r="R1152" s="109">
        <v>23.5</v>
      </c>
      <c r="S1152" s="11">
        <f ca="1"/>
        <v>0</v>
      </c>
      <c r="T1152" s="28">
        <f ca="1"/>
        <v>0</v>
      </c>
      <c r="U1152" s="11">
        <f ca="1"/>
        <v>0</v>
      </c>
      <c r="V1152" s="11">
        <v>0</v>
      </c>
      <c r="W1152" s="11">
        <f ca="1"/>
        <v>0</v>
      </c>
      <c r="X1152" s="11">
        <f ca="1"/>
        <v>0</v>
      </c>
      <c r="Y1152" s="11">
        <v>0</v>
      </c>
      <c r="Z1152" s="11">
        <f ca="1"/>
        <v>0</v>
      </c>
      <c r="AA1152" s="11">
        <f ca="1"/>
        <v>0</v>
      </c>
      <c r="AB1152" s="4">
        <f ca="1"/>
        <v>45755</v>
      </c>
      <c r="AC1152" s="4">
        <v>45755</v>
      </c>
      <c r="AD1152" s="9">
        <v>45762</v>
      </c>
      <c r="AE1152" s="9">
        <v>45763</v>
      </c>
      <c r="AF1152" s="4" t="str">
        <f t="shared" ca="1" si="76"/>
        <v>2025 04</v>
      </c>
      <c r="AG1152" s="8" t="str" cm="1">
        <f t="array" ref="AG1152">IFERROR(_xlfn.IFS('Banco de Dados'!#REF!="AG. COMPRA","Em processamento",'Banco de Dados'!#REF!="AG. RASTREIO","Em processamento",'Banco de Dados'!$AE1152&lt;&gt;"-","Faturado",'Banco de Dados'!$AD1152&lt;&gt;"-","Aguardando Pix",'Banco de Dados'!$AC1152&lt;&gt;"-","Pendente"),"Aguardando Liberação")</f>
        <v>Aguardando Liberação</v>
      </c>
      <c r="AH1152" s="5" t="str">
        <f ca="1">IF('Banco de Dados'!$F1152="-",_xlfn.CONCAT(PROPER(TEXT(AK1152,"aaaa"))," ",PROPER(TEXT(AK1152,"mm"))),_xlfn.CONCAT(PROPER(TEXT(E1152,"aaaa"))," ",PROPER(TEXT(E1152,"mm"))))</f>
        <v>2025 03</v>
      </c>
      <c r="AI1152" s="9" t="str">
        <f ca="1">IF('Banco de Dados'!$AK1152&lt;&gt;"-","REEMBOLSO",IFERROR(_xlfn.XLOOKUP(G1152,Follow[CODRASTREIO],Follow[STATUS]),"-"))</f>
        <v>REEMBOLSO</v>
      </c>
      <c r="AJ1152" s="9" t="str">
        <f ca="1">IF('Banco de Dados'!$AI1152="ENTREGUE",_xlfn.XLOOKUP('Banco de Dados'!$G1152,Follow[CODRASTREIO],Follow[DATAATUALIZAÇÃO]),"-")</f>
        <v>-</v>
      </c>
      <c r="AK1152" s="132">
        <f ca="1"/>
        <v>45728</v>
      </c>
      <c r="AL1152" s="35"/>
      <c r="AM1152" s="109" cm="1">
        <f t="array" aca="1" ref="AM1152" ca="1">IF('Banco de Dados'!$AK1152&lt;&gt;"-",_xlfn.IFS('Banco de Dados'!$A1152="bv",IF('Banco de Dados'!$E1152&lt;45641,ROUND(SUM('Banco de Dados'!$R1152*_xlfn.XLOOKUP('Banco de Dados'!$P1152,Sku!B:B,Sku!#REF!)*20%),2),ROUND(SUM('Banco de Dados'!$R1152*_xlfn.XLOOKUP('Banco de Dados'!$P1152,Sku!B:B,Sku!H:H)*20%),2)),'Banco de Dados'!$A1152="GO",ROUND(_xlfn.XLOOKUP('Banco de Dados'!$P1152,Sku!C:C,Sku!H:H),2),'Banco de Dados'!$A1152="MEI",ROUND(_xlfn.XLOOKUP('Banco de Dados'!$P1152,Sku!D:D,Sku!H:H),2)),0)</f>
        <v>0.61</v>
      </c>
      <c r="AN1152" s="109">
        <f ca="1">IF('Banco de Dados'!$AK1152&lt;&gt;"-",IF('Banco de Dados'!$F1152&lt;&gt;"-",_xlfn.XLOOKUP(IFERROR(IFERROR(IFERROR(VALUE(SUBSTITUTE(MID(_xlfn.TEXTAFTER('Banco de Dados'!$F1152,"Data do Pedido:
",1),1,10),"-","/")),VALUE(SUBSTITUTE(MID(_xlfn.TEXTAFTER('Banco de Dados'!$F1152,"Order date:
",1),1,10),"-","/"))),VALUE(SUBSTITUTE(MID(_xlfn.TEXTAFTER('Banco de Dados'!$F1152,"Fecha de pedido:
",1),1,10),"-","/"))),"-"),SMS!A:A,SMS!K:K),0),0)</f>
        <v>0</v>
      </c>
      <c r="AO1152" s="109">
        <f ca="1">IF('Banco de Dados'!$AK1152&lt;&gt;"-",IF('Banco de Dados'!$F1152&lt;&gt;"-",IFERROR(_xlfn.XLOOKUP(_xlfn.CONCAT('Banco de Dados'!$A1152,IFERROR(IFERROR(VALUE(SUBSTITUTE(MID(_xlfn.TEXTAFTER('Banco de Dados'!$F1152,"Data do Pedido:
",1),1,10),"-","/")),VALUE(SUBSTITUTE(MID(_xlfn.TEXTAFTER('Banco de Dados'!$F1152,"Order date:
",1),1,10),"-","/"))),0)),ProxyDD[Chave],ProxyDD[Valor por pedido]),PROXY!$P$2),0),0)</f>
        <v>0</v>
      </c>
      <c r="AP1152" s="28">
        <f ca="1">IF('Banco de Dados'!$AK1152&lt;&gt;"-",IF('Banco de Dados'!$AL1152="NÃO",IFERROR(VALUE(SUBSTITUTE(_xlfn.TEXTAFTER('Banco de Dados'!$F1152,"BRL ",1),".",",")),0),0),0)</f>
        <v>0</v>
      </c>
      <c r="AQ1152" s="28">
        <f ca="1">SUM('Banco de Dados'!$AM1152:$AP1152)</f>
        <v>0.61</v>
      </c>
      <c r="AR1152" s="8"/>
      <c r="AY1152" s="8"/>
    </row>
    <row r="1153" spans="1:51">
      <c r="A1153" s="5" t="str">
        <v>BV</v>
      </c>
      <c r="B1153" s="5" t="str">
        <f ca="1"/>
        <v>BV45727</v>
      </c>
      <c r="C1153" s="8" t="str">
        <v>Pedido 1140</v>
      </c>
      <c r="D1153" s="9">
        <v>45727</v>
      </c>
      <c r="E1153" s="9">
        <v>45727</v>
      </c>
      <c r="F1153" s="8" t="str">
        <v>PedidoF1117</v>
      </c>
      <c r="G1153" s="2" t="str">
        <v>CódRastreio1115</v>
      </c>
      <c r="H1153" s="5">
        <v>1</v>
      </c>
      <c r="I1153" s="2" t="str">
        <v>CPF 1109</v>
      </c>
      <c r="J1153" s="2" t="str">
        <v>Nome 1109</v>
      </c>
      <c r="K1153" s="8" t="str">
        <v>Tel 1109</v>
      </c>
      <c r="L1153" s="8" t="str">
        <v>Cep 1109</v>
      </c>
      <c r="M1153" s="8" t="str">
        <v>Rua 1109</v>
      </c>
      <c r="N1153" s="8" t="str">
        <v>Comp 1109</v>
      </c>
      <c r="O1153" s="8" t="str">
        <v>Ventilador Azul</v>
      </c>
      <c r="P1153" s="8" t="str">
        <v>U8-2VWS-OB6M</v>
      </c>
      <c r="Q1153" s="4">
        <v>45752</v>
      </c>
      <c r="R1153" s="109">
        <v>65.989999999999995</v>
      </c>
      <c r="S1153" s="11">
        <f ca="1"/>
        <v>65.989999999999995</v>
      </c>
      <c r="T1153" s="28">
        <f ca="1"/>
        <v>8.5786999999999995</v>
      </c>
      <c r="U1153" s="11">
        <f ca="1"/>
        <v>57.41</v>
      </c>
      <c r="V1153" s="11">
        <v>15.29</v>
      </c>
      <c r="W1153" s="11">
        <f ca="1"/>
        <v>0.6</v>
      </c>
      <c r="X1153" s="11">
        <f ca="1"/>
        <v>0.39877104377104378</v>
      </c>
      <c r="Y1153" s="11">
        <v>0</v>
      </c>
      <c r="Z1153" s="11">
        <f ca="1"/>
        <v>41.121228956228954</v>
      </c>
      <c r="AA1153" s="11">
        <f ca="1"/>
        <v>20.560614478114477</v>
      </c>
      <c r="AB1153" s="4">
        <f ca="1"/>
        <v>45759</v>
      </c>
      <c r="AC1153" s="4">
        <v>45759</v>
      </c>
      <c r="AD1153" s="9">
        <v>45762</v>
      </c>
      <c r="AE1153" s="9">
        <v>45763</v>
      </c>
      <c r="AF1153" s="4" t="str">
        <f t="shared" ca="1" si="76"/>
        <v>2025 04</v>
      </c>
      <c r="AG1153" s="8" t="str" cm="1">
        <f t="array" ref="AG1153">IFERROR(_xlfn.IFS('Banco de Dados'!#REF!="AG. COMPRA","Em processamento",'Banco de Dados'!#REF!="AG. RASTREIO","Em processamento",'Banco de Dados'!$AE1153&lt;&gt;"-","Faturado",'Banco de Dados'!$AD1153&lt;&gt;"-","Aguardando Pix",'Banco de Dados'!$AC1153&lt;&gt;"-","Pendente"),"Aguardando Liberação")</f>
        <v>Aguardando Liberação</v>
      </c>
      <c r="AH1153" s="5" t="str">
        <f>IF('Banco de Dados'!$F1153="-",_xlfn.CONCAT(PROPER(TEXT(AK1153,"aaaa"))," ",PROPER(TEXT(AK1153,"mm"))),_xlfn.CONCAT(PROPER(TEXT(E1153,"aaaa"))," ",PROPER(TEXT(E1153,"mm"))))</f>
        <v>2025 03</v>
      </c>
      <c r="AI1153" s="9" t="str">
        <f ca="1">IF('Banco de Dados'!$AK1153&lt;&gt;"-","REEMBOLSO",IFERROR(_xlfn.XLOOKUP(G1153,Follow[CODRASTREIO],Follow[STATUS]),"-"))</f>
        <v>ENTREGUE</v>
      </c>
      <c r="AJ1153" s="9">
        <f ca="1">IF('Banco de Dados'!$AI1153="ENTREGUE",_xlfn.XLOOKUP('Banco de Dados'!$G1153,Follow[CODRASTREIO],Follow[DATAATUALIZAÇÃO]),"-")</f>
        <v>45741</v>
      </c>
      <c r="AK1153" s="132" t="str">
        <f ca="1"/>
        <v>-</v>
      </c>
      <c r="AL1153" s="35"/>
      <c r="AM1153" s="109" cm="1">
        <f t="array" aca="1" ref="AM1153" ca="1">IF('Banco de Dados'!$AK1153&lt;&gt;"-",_xlfn.IFS('Banco de Dados'!$A1153="bv",IF('Banco de Dados'!$E1153&lt;45641,ROUND(SUM('Banco de Dados'!$R1153*_xlfn.XLOOKUP('Banco de Dados'!$P1153,Sku!B:B,Sku!#REF!)*20%),2),ROUND(SUM('Banco de Dados'!$R1153*_xlfn.XLOOKUP('Banco de Dados'!$P1153,Sku!B:B,Sku!H:H)*20%),2)),'Banco de Dados'!$A1153="GO",ROUND(_xlfn.XLOOKUP('Banco de Dados'!$P1153,Sku!C:C,Sku!H:H),2),'Banco de Dados'!$A1153="MEI",ROUND(_xlfn.XLOOKUP('Banco de Dados'!$P1153,Sku!D:D,Sku!H:H),2)),0)</f>
        <v>0</v>
      </c>
      <c r="AN1153" s="109">
        <f ca="1">IF('Banco de Dados'!$AK1153&lt;&gt;"-",IF('Banco de Dados'!$F1153&lt;&gt;"-",_xlfn.XLOOKUP(IFERROR(IFERROR(IFERROR(VALUE(SUBSTITUTE(MID(_xlfn.TEXTAFTER('Banco de Dados'!$F1153,"Data do Pedido:
",1),1,10),"-","/")),VALUE(SUBSTITUTE(MID(_xlfn.TEXTAFTER('Banco de Dados'!$F1153,"Order date:
",1),1,10),"-","/"))),VALUE(SUBSTITUTE(MID(_xlfn.TEXTAFTER('Banco de Dados'!$F1153,"Fecha de pedido:
",1),1,10),"-","/"))),"-"),SMS!A:A,SMS!K:K),0),0)</f>
        <v>0</v>
      </c>
      <c r="AO1153" s="109">
        <f ca="1">IF('Banco de Dados'!$AK1153&lt;&gt;"-",IF('Banco de Dados'!$F1153&lt;&gt;"-",IFERROR(_xlfn.XLOOKUP(_xlfn.CONCAT('Banco de Dados'!$A1153,IFERROR(IFERROR(VALUE(SUBSTITUTE(MID(_xlfn.TEXTAFTER('Banco de Dados'!$F1153,"Data do Pedido:
",1),1,10),"-","/")),VALUE(SUBSTITUTE(MID(_xlfn.TEXTAFTER('Banco de Dados'!$F1153,"Order date:
",1),1,10),"-","/"))),0)),ProxyDD[Chave],ProxyDD[Valor por pedido]),PROXY!$P$2),0),0)</f>
        <v>0</v>
      </c>
      <c r="AP1153" s="28">
        <f ca="1">IF('Banco de Dados'!$AK1153&lt;&gt;"-",IF('Banco de Dados'!$AL1153="NÃO",IFERROR(VALUE(SUBSTITUTE(_xlfn.TEXTAFTER('Banco de Dados'!$F1153,"BRL ",1),".",",")),0),0),0)</f>
        <v>0</v>
      </c>
      <c r="AQ1153" s="28">
        <f ca="1">SUM('Banco de Dados'!$AM1153:$AP1153)</f>
        <v>0</v>
      </c>
      <c r="AR1153" s="8"/>
      <c r="AY1153" s="8"/>
    </row>
    <row r="1154" spans="1:51">
      <c r="A1154" s="5" t="str">
        <v>MEI</v>
      </c>
      <c r="B1154" s="5" t="str">
        <f ca="1"/>
        <v>MEI45727</v>
      </c>
      <c r="C1154" s="8" t="str">
        <v>Pedido 1141</v>
      </c>
      <c r="D1154" s="187">
        <v>45727</v>
      </c>
      <c r="E1154" s="9">
        <v>45727</v>
      </c>
      <c r="F1154" s="8" t="str">
        <v>PedidoF1118</v>
      </c>
      <c r="G1154" s="2" t="str">
        <v>CódRastreio1116</v>
      </c>
      <c r="H1154" s="5">
        <v>1</v>
      </c>
      <c r="I1154" s="2" t="str">
        <v>CPF 1110</v>
      </c>
      <c r="J1154" s="2" t="str">
        <v>Nome 1110</v>
      </c>
      <c r="K1154" s="8" t="str">
        <v>Tel 1110</v>
      </c>
      <c r="L1154" s="8" t="str">
        <v>Cep 1110</v>
      </c>
      <c r="M1154" s="8" t="str">
        <v>Rua 1110</v>
      </c>
      <c r="N1154" s="8" t="str">
        <v>Comp 1110</v>
      </c>
      <c r="O1154" s="8" t="str">
        <v>Mini Liquidificador</v>
      </c>
      <c r="P1154" s="8" t="str">
        <v>A4-5W51-K3HF</v>
      </c>
      <c r="Q1154" s="4">
        <v>45744</v>
      </c>
      <c r="R1154" s="109">
        <v>30.95</v>
      </c>
      <c r="S1154" s="11">
        <f ca="1"/>
        <v>30.95</v>
      </c>
      <c r="T1154" s="28">
        <f ca="1"/>
        <v>4.3330000000000002</v>
      </c>
      <c r="U1154" s="11">
        <f ca="1"/>
        <v>26.62</v>
      </c>
      <c r="V1154" s="11">
        <v>12.07</v>
      </c>
      <c r="W1154" s="11">
        <f ca="1"/>
        <v>0.2</v>
      </c>
      <c r="X1154" s="11">
        <f ca="1"/>
        <v>0.39877104377104378</v>
      </c>
      <c r="Y1154" s="11">
        <v>0</v>
      </c>
      <c r="Z1154" s="11">
        <f ca="1"/>
        <v>13.951228956228958</v>
      </c>
      <c r="AA1154" s="11">
        <f ca="1"/>
        <v>6.9756144781144789</v>
      </c>
      <c r="AB1154" s="4">
        <f ca="1"/>
        <v>45751</v>
      </c>
      <c r="AC1154" s="4">
        <v>45751</v>
      </c>
      <c r="AD1154" s="9">
        <v>45762</v>
      </c>
      <c r="AE1154" s="9">
        <v>45763</v>
      </c>
      <c r="AF1154" s="4" t="str">
        <f t="shared" ca="1" si="76"/>
        <v>2025 04</v>
      </c>
      <c r="AG1154" s="8" t="str" cm="1">
        <f t="array" ref="AG1154">IFERROR(_xlfn.IFS('Banco de Dados'!#REF!="AG. COMPRA","Em processamento",'Banco de Dados'!#REF!="AG. RASTREIO","Em processamento",'Banco de Dados'!$AE1154&lt;&gt;"-","Faturado",'Banco de Dados'!$AD1154&lt;&gt;"-","Aguardando Pix",'Banco de Dados'!$AC1154&lt;&gt;"-","Pendente"),"Aguardando Liberação")</f>
        <v>Aguardando Liberação</v>
      </c>
      <c r="AH1154" s="5" t="str">
        <f>IF('Banco de Dados'!$F1154="-",_xlfn.CONCAT(PROPER(TEXT(AK1154,"aaaa"))," ",PROPER(TEXT(AK1154,"mm"))),_xlfn.CONCAT(PROPER(TEXT(E1154,"aaaa"))," ",PROPER(TEXT(E1154,"mm"))))</f>
        <v>2025 03</v>
      </c>
      <c r="AI1154" s="9" t="str">
        <f ca="1">IF('Banco de Dados'!$AK1154&lt;&gt;"-","REEMBOLSO",IFERROR(_xlfn.XLOOKUP(G1154,Follow[CODRASTREIO],Follow[STATUS]),"-"))</f>
        <v>ENTREGUE</v>
      </c>
      <c r="AJ1154" s="9">
        <f ca="1">IF('Banco de Dados'!$AI1154="ENTREGUE",_xlfn.XLOOKUP('Banco de Dados'!$G1154,Follow[CODRASTREIO],Follow[DATAATUALIZAÇÃO]),"-")</f>
        <v>45740</v>
      </c>
      <c r="AK1154" s="132" t="str">
        <f ca="1"/>
        <v>-</v>
      </c>
      <c r="AL1154" s="35"/>
      <c r="AM1154" s="109" cm="1">
        <f t="array" aca="1" ref="AM1154" ca="1">IF('Banco de Dados'!$AK1154&lt;&gt;"-",_xlfn.IFS('Banco de Dados'!$A1154="bv",IF('Banco de Dados'!$E1154&lt;45641,ROUND(SUM('Banco de Dados'!$R1154*_xlfn.XLOOKUP('Banco de Dados'!$P1154,Sku!B:B,Sku!#REF!)*20%),2),ROUND(SUM('Banco de Dados'!$R1154*_xlfn.XLOOKUP('Banco de Dados'!$P1154,Sku!B:B,Sku!H:H)*20%),2)),'Banco de Dados'!$A1154="GO",ROUND(SUM('Banco de Dados'!$R1154*_xlfn.XLOOKUP('Banco de Dados'!$P1154,Sku!C:C,Sku!H:H)*20%),2),'Banco de Dados'!$A1154="MEI",ROUND(SUM('Banco de Dados'!$R1154*_xlfn.XLOOKUP('Banco de Dados'!$P1154,Sku!D:D,Sku!H:H)*20%),2)),0)</f>
        <v>0</v>
      </c>
      <c r="AN1154" s="109">
        <f ca="1">IF('Banco de Dados'!$AK1154&lt;&gt;"-",IF('Banco de Dados'!$F1154&lt;&gt;"-",_xlfn.XLOOKUP(IFERROR(IFERROR(IFERROR(VALUE(SUBSTITUTE(MID(_xlfn.TEXTAFTER('Banco de Dados'!$F1154,"Data do Pedido:
",1),1,10),"-","/")),VALUE(SUBSTITUTE(MID(_xlfn.TEXTAFTER('Banco de Dados'!$F1154,"Order date:
",1),1,10),"-","/"))),VALUE(SUBSTITUTE(MID(_xlfn.TEXTAFTER('Banco de Dados'!$F1154,"Fecha de pedido:
",1),1,10),"-","/"))),"-"),SMS!A:A,SMS!K:K),0),0)</f>
        <v>0</v>
      </c>
      <c r="AO1154" s="109">
        <f ca="1">IF('Banco de Dados'!$AK1154&lt;&gt;"-",IF('Banco de Dados'!$F1154&lt;&gt;"-",IFERROR(_xlfn.XLOOKUP(_xlfn.CONCAT('Banco de Dados'!$A1154,IFERROR(IFERROR(VALUE(SUBSTITUTE(MID(_xlfn.TEXTAFTER('Banco de Dados'!$F1154,"Data do Pedido:
",1),1,10),"-","/")),VALUE(SUBSTITUTE(MID(_xlfn.TEXTAFTER('Banco de Dados'!$F1154,"Order date:
",1),1,10),"-","/"))),0)),ProxyDD[Chave],ProxyDD[Valor por pedido]),PROXY!$P$2),0),0)</f>
        <v>0</v>
      </c>
      <c r="AP1154" s="28">
        <f ca="1">IF('Banco de Dados'!$AK1154&lt;&gt;"-",IF('Banco de Dados'!$AL1154="NÃO",IFERROR(VALUE(SUBSTITUTE(_xlfn.TEXTAFTER('Banco de Dados'!$F1154,"BRL ",1),".",",")),0),0),0)</f>
        <v>0</v>
      </c>
      <c r="AQ1154" s="28">
        <f ca="1">SUM('Banco de Dados'!$AM1154:$AP1154)</f>
        <v>0</v>
      </c>
      <c r="AR1154" s="8"/>
      <c r="AY1154" s="8"/>
    </row>
    <row r="1155" spans="1:51">
      <c r="A1155" s="5" t="str">
        <v>MEI</v>
      </c>
      <c r="B1155" s="5" t="str">
        <f ca="1"/>
        <v>MEI45727</v>
      </c>
      <c r="C1155" s="8" t="str">
        <v>Pedido 1142</v>
      </c>
      <c r="D1155" s="187">
        <v>45727</v>
      </c>
      <c r="E1155" s="9">
        <v>45727</v>
      </c>
      <c r="F1155" s="8" t="str">
        <v>PedidoF1119</v>
      </c>
      <c r="G1155" s="2" t="str">
        <v>CódRastreio1117</v>
      </c>
      <c r="H1155" s="5">
        <v>1</v>
      </c>
      <c r="I1155" s="2" t="str">
        <v>CPF 1111</v>
      </c>
      <c r="J1155" s="2" t="str">
        <v>Nome 1111</v>
      </c>
      <c r="K1155" s="8" t="str">
        <v>Tel 1111</v>
      </c>
      <c r="L1155" s="8" t="str">
        <v>Cep 1111</v>
      </c>
      <c r="M1155" s="8" t="str">
        <v>Rua 1111</v>
      </c>
      <c r="N1155" s="8" t="str">
        <v>Comp 1111</v>
      </c>
      <c r="O1155" s="8" t="str">
        <v>Mini Liquidificador</v>
      </c>
      <c r="P1155" s="8" t="str">
        <v>A4-5W51-K3HF</v>
      </c>
      <c r="Q1155" s="4">
        <v>45748</v>
      </c>
      <c r="R1155" s="109">
        <v>30.95</v>
      </c>
      <c r="S1155" s="11">
        <f ca="1"/>
        <v>30.95</v>
      </c>
      <c r="T1155" s="28">
        <f ca="1"/>
        <v>4.3330000000000002</v>
      </c>
      <c r="U1155" s="11">
        <f ca="1"/>
        <v>26.62</v>
      </c>
      <c r="V1155" s="11">
        <v>12.07</v>
      </c>
      <c r="W1155" s="11">
        <f ca="1"/>
        <v>0.2</v>
      </c>
      <c r="X1155" s="11">
        <f ca="1"/>
        <v>0.39877104377104378</v>
      </c>
      <c r="Y1155" s="11">
        <v>0</v>
      </c>
      <c r="Z1155" s="11">
        <f ca="1"/>
        <v>13.951228956228958</v>
      </c>
      <c r="AA1155" s="11">
        <f ca="1"/>
        <v>6.9756144781144789</v>
      </c>
      <c r="AB1155" s="4">
        <f ca="1"/>
        <v>45755</v>
      </c>
      <c r="AC1155" s="4">
        <v>45755</v>
      </c>
      <c r="AD1155" s="9">
        <v>45762</v>
      </c>
      <c r="AE1155" s="9">
        <v>45763</v>
      </c>
      <c r="AF1155" s="4" t="str">
        <f t="shared" ca="1" si="76"/>
        <v>2025 04</v>
      </c>
      <c r="AG1155" s="8" t="str" cm="1">
        <f t="array" ref="AG1155">IFERROR(_xlfn.IFS('Banco de Dados'!#REF!="AG. COMPRA","Em processamento",'Banco de Dados'!#REF!="AG. RASTREIO","Em processamento",'Banco de Dados'!$AE1155&lt;&gt;"-","Faturado",'Banco de Dados'!$AD1155&lt;&gt;"-","Aguardando Pix",'Banco de Dados'!$AC1155&lt;&gt;"-","Pendente"),"Aguardando Liberação")</f>
        <v>Aguardando Liberação</v>
      </c>
      <c r="AH1155" s="5" t="str">
        <f>IF('Banco de Dados'!$F1155="-",_xlfn.CONCAT(PROPER(TEXT(AK1155,"aaaa"))," ",PROPER(TEXT(AK1155,"mm"))),_xlfn.CONCAT(PROPER(TEXT(E1155,"aaaa"))," ",PROPER(TEXT(E1155,"mm"))))</f>
        <v>2025 03</v>
      </c>
      <c r="AI1155" s="9" t="str">
        <f ca="1">IF('Banco de Dados'!$AK1155&lt;&gt;"-","REEMBOLSO",IFERROR(_xlfn.XLOOKUP(G1155,Follow[CODRASTREIO],Follow[STATUS]),"-"))</f>
        <v>ENTREGUE</v>
      </c>
      <c r="AJ1155" s="9">
        <f ca="1">IF('Banco de Dados'!$AI1155="ENTREGUE",_xlfn.XLOOKUP('Banco de Dados'!$G1155,Follow[CODRASTREIO],Follow[DATAATUALIZAÇÃO]),"-")</f>
        <v>45742</v>
      </c>
      <c r="AK1155" s="132" t="str">
        <f ca="1"/>
        <v>-</v>
      </c>
      <c r="AL1155" s="35"/>
      <c r="AM1155" s="109" cm="1">
        <f t="array" aca="1" ref="AM1155" ca="1">IF('Banco de Dados'!$AK1155&lt;&gt;"-",_xlfn.IFS('Banco de Dados'!$A1155="bv",IF('Banco de Dados'!$E1155&lt;45641,ROUND(SUM('Banco de Dados'!$R1155*_xlfn.XLOOKUP('Banco de Dados'!$P1155,Sku!B:B,Sku!#REF!)*20%),2),ROUND(SUM('Banco de Dados'!$R1155*_xlfn.XLOOKUP('Banco de Dados'!$P1155,Sku!B:B,Sku!H:H)*20%),2)),'Banco de Dados'!$A1155="GO",ROUND(SUM('Banco de Dados'!$R1155*_xlfn.XLOOKUP('Banco de Dados'!$P1155,Sku!C:C,Sku!H:H)*20%),2),'Banco de Dados'!$A1155="MEI",ROUND(SUM('Banco de Dados'!$R1155*_xlfn.XLOOKUP('Banco de Dados'!$P1155,Sku!D:D,Sku!H:H)*20%),2)),0)</f>
        <v>0</v>
      </c>
      <c r="AN1155" s="109">
        <f ca="1">IF('Banco de Dados'!$AK1155&lt;&gt;"-",IF('Banco de Dados'!$F1155&lt;&gt;"-",_xlfn.XLOOKUP(IFERROR(IFERROR(IFERROR(VALUE(SUBSTITUTE(MID(_xlfn.TEXTAFTER('Banco de Dados'!$F1155,"Data do Pedido:
",1),1,10),"-","/")),VALUE(SUBSTITUTE(MID(_xlfn.TEXTAFTER('Banco de Dados'!$F1155,"Order date:
",1),1,10),"-","/"))),VALUE(SUBSTITUTE(MID(_xlfn.TEXTAFTER('Banco de Dados'!$F1155,"Fecha de pedido:
",1),1,10),"-","/"))),"-"),SMS!A:A,SMS!K:K),0),0)</f>
        <v>0</v>
      </c>
      <c r="AO1155" s="109">
        <f ca="1">IF('Banco de Dados'!$AK1155&lt;&gt;"-",IF('Banco de Dados'!$F1155&lt;&gt;"-",IFERROR(_xlfn.XLOOKUP(_xlfn.CONCAT('Banco de Dados'!$A1155,IFERROR(IFERROR(VALUE(SUBSTITUTE(MID(_xlfn.TEXTAFTER('Banco de Dados'!$F1155,"Data do Pedido:
",1),1,10),"-","/")),VALUE(SUBSTITUTE(MID(_xlfn.TEXTAFTER('Banco de Dados'!$F1155,"Order date:
",1),1,10),"-","/"))),0)),ProxyDD[Chave],ProxyDD[Valor por pedido]),PROXY!$P$2),0),0)</f>
        <v>0</v>
      </c>
      <c r="AP1155" s="28">
        <f ca="1">IF('Banco de Dados'!$AK1155&lt;&gt;"-",IF('Banco de Dados'!$AL1155="NÃO",IFERROR(VALUE(SUBSTITUTE(_xlfn.TEXTAFTER('Banco de Dados'!$F1155,"BRL ",1),".",",")),0),0),0)</f>
        <v>0</v>
      </c>
      <c r="AQ1155" s="28">
        <f ca="1">SUM('Banco de Dados'!$AM1155:$AP1155)</f>
        <v>0</v>
      </c>
      <c r="AR1155" s="8"/>
      <c r="AY1155" s="8"/>
    </row>
    <row r="1156" spans="1:51">
      <c r="A1156" s="5" t="str">
        <v>MEI</v>
      </c>
      <c r="B1156" s="5" t="str">
        <f ca="1"/>
        <v>MEI45727</v>
      </c>
      <c r="C1156" s="8" t="str">
        <v>Pedido 1143</v>
      </c>
      <c r="D1156" s="187">
        <v>45727</v>
      </c>
      <c r="E1156" s="9">
        <v>45727</v>
      </c>
      <c r="F1156" s="8" t="str">
        <v>PedidoF1120</v>
      </c>
      <c r="G1156" s="2" t="str">
        <v>CódRastreio1118</v>
      </c>
      <c r="H1156" s="5">
        <v>1</v>
      </c>
      <c r="I1156" s="2" t="str">
        <v>CPF 1112</v>
      </c>
      <c r="J1156" s="2" t="str">
        <v>Nome 1112</v>
      </c>
      <c r="K1156" s="8" t="str">
        <v>Tel 1112</v>
      </c>
      <c r="L1156" s="8" t="str">
        <v>Cep 1112</v>
      </c>
      <c r="M1156" s="8" t="str">
        <v>Rua 1112</v>
      </c>
      <c r="N1156" s="8" t="str">
        <v>Comp 1112</v>
      </c>
      <c r="O1156" s="8" t="str">
        <v>Ventilador Preto</v>
      </c>
      <c r="P1156" s="8" t="str">
        <v>WU-SS4J-LFOH</v>
      </c>
      <c r="Q1156" s="4">
        <v>45759</v>
      </c>
      <c r="R1156" s="109">
        <v>65.599999999999994</v>
      </c>
      <c r="S1156" s="11">
        <f ca="1"/>
        <v>65.599999999999994</v>
      </c>
      <c r="T1156" s="28">
        <f ca="1"/>
        <v>8.5279999999999987</v>
      </c>
      <c r="U1156" s="11">
        <f ca="1"/>
        <v>57.07</v>
      </c>
      <c r="V1156" s="11">
        <v>12.38</v>
      </c>
      <c r="W1156" s="11">
        <f ca="1"/>
        <v>0.2</v>
      </c>
      <c r="X1156" s="11">
        <f ca="1"/>
        <v>0.39877104377104378</v>
      </c>
      <c r="Y1156" s="11">
        <v>0</v>
      </c>
      <c r="Z1156" s="11">
        <f ca="1"/>
        <v>44.09122895622896</v>
      </c>
      <c r="AA1156" s="11">
        <f ca="1"/>
        <v>22.04561447811448</v>
      </c>
      <c r="AB1156" s="4">
        <f ca="1"/>
        <v>45766</v>
      </c>
      <c r="AC1156" s="4">
        <v>45766</v>
      </c>
      <c r="AD1156" s="9">
        <v>45779</v>
      </c>
      <c r="AE1156" s="9">
        <v>45783</v>
      </c>
      <c r="AF1156" s="4" t="str">
        <f t="shared" ca="1" si="76"/>
        <v>2025 04</v>
      </c>
      <c r="AG1156" s="8" t="str" cm="1">
        <f t="array" ref="AG1156">IFERROR(_xlfn.IFS('Banco de Dados'!#REF!="AG. COMPRA","Em processamento",'Banco de Dados'!#REF!="AG. RASTREIO","Em processamento",'Banco de Dados'!$AE1156&lt;&gt;"-","Faturado",'Banco de Dados'!$AD1156&lt;&gt;"-","Aguardando Pix",'Banco de Dados'!$AC1156&lt;&gt;"-","Pendente"),"Aguardando Liberação")</f>
        <v>Aguardando Liberação</v>
      </c>
      <c r="AH1156" s="5" t="str">
        <f>IF('Banco de Dados'!$F1156="-",_xlfn.CONCAT(PROPER(TEXT(AK1156,"aaaa"))," ",PROPER(TEXT(AK1156,"mm"))),_xlfn.CONCAT(PROPER(TEXT(E1156,"aaaa"))," ",PROPER(TEXT(E1156,"mm"))))</f>
        <v>2025 03</v>
      </c>
      <c r="AI1156" s="9" t="str">
        <f ca="1">IF('Banco de Dados'!$AK1156&lt;&gt;"-","REEMBOLSO",IFERROR(_xlfn.XLOOKUP(G1156,Follow[CODRASTREIO],Follow[STATUS]),"-"))</f>
        <v>ENTREGUE</v>
      </c>
      <c r="AJ1156" s="9">
        <f ca="1">IF('Banco de Dados'!$AI1156="ENTREGUE",_xlfn.XLOOKUP('Banco de Dados'!$G1156,Follow[CODRASTREIO],Follow[DATAATUALIZAÇÃO]),"-")</f>
        <v>45750</v>
      </c>
      <c r="AK1156" s="132" t="str">
        <f ca="1"/>
        <v>-</v>
      </c>
      <c r="AL1156" s="35"/>
      <c r="AM1156" s="109" cm="1">
        <f t="array" aca="1" ref="AM1156" ca="1">IF('Banco de Dados'!$AK1156&lt;&gt;"-",_xlfn.IFS('Banco de Dados'!$A1156="bv",IF('Banco de Dados'!$E1156&lt;45641,ROUND(SUM('Banco de Dados'!$R1156*_xlfn.XLOOKUP('Banco de Dados'!$P1156,Sku!B:B,Sku!#REF!)*20%),2),ROUND(SUM('Banco de Dados'!$R1156*_xlfn.XLOOKUP('Banco de Dados'!$P1156,Sku!B:B,Sku!H:H)*20%),2)),'Banco de Dados'!$A1156="GO",ROUND(SUM('Banco de Dados'!$R1156*_xlfn.XLOOKUP('Banco de Dados'!$P1156,Sku!C:C,Sku!H:H)*20%),2),'Banco de Dados'!$A1156="MEI",ROUND(SUM('Banco de Dados'!$R1156*_xlfn.XLOOKUP('Banco de Dados'!$P1156,Sku!D:D,Sku!H:H)*20%),2)),0)</f>
        <v>0</v>
      </c>
      <c r="AN1156" s="109">
        <f ca="1">IF('Banco de Dados'!$AK1156&lt;&gt;"-",IF('Banco de Dados'!$F1156&lt;&gt;"-",_xlfn.XLOOKUP(IFERROR(IFERROR(IFERROR(VALUE(SUBSTITUTE(MID(_xlfn.TEXTAFTER('Banco de Dados'!$F1156,"Data do Pedido:
",1),1,10),"-","/")),VALUE(SUBSTITUTE(MID(_xlfn.TEXTAFTER('Banco de Dados'!$F1156,"Order date:
",1),1,10),"-","/"))),VALUE(SUBSTITUTE(MID(_xlfn.TEXTAFTER('Banco de Dados'!$F1156,"Fecha de pedido:
",1),1,10),"-","/"))),"-"),SMS!A:A,SMS!K:K),0),0)</f>
        <v>0</v>
      </c>
      <c r="AO1156" s="109">
        <f ca="1">IF('Banco de Dados'!$AK1156&lt;&gt;"-",IF('Banco de Dados'!$F1156&lt;&gt;"-",IFERROR(_xlfn.XLOOKUP(_xlfn.CONCAT('Banco de Dados'!$A1156,IFERROR(IFERROR(VALUE(SUBSTITUTE(MID(_xlfn.TEXTAFTER('Banco de Dados'!$F1156,"Data do Pedido:
",1),1,10),"-","/")),VALUE(SUBSTITUTE(MID(_xlfn.TEXTAFTER('Banco de Dados'!$F1156,"Order date:
",1),1,10),"-","/"))),0)),ProxyDD[Chave],ProxyDD[Valor por pedido]),PROXY!$P$2),0),0)</f>
        <v>0</v>
      </c>
      <c r="AP1156" s="28">
        <f ca="1">IF('Banco de Dados'!$AK1156&lt;&gt;"-",IF('Banco de Dados'!$AL1156="NÃO",IFERROR(VALUE(SUBSTITUTE(_xlfn.TEXTAFTER('Banco de Dados'!$F1156,"BRL ",1),".",",")),0),0),0)</f>
        <v>0</v>
      </c>
      <c r="AQ1156" s="28">
        <f ca="1">SUM('Banco de Dados'!$AM1156:$AP1156)</f>
        <v>0</v>
      </c>
      <c r="AR1156" s="8"/>
      <c r="AY1156" s="8"/>
    </row>
    <row r="1157" spans="1:51">
      <c r="A1157" s="5" t="str">
        <v>BV</v>
      </c>
      <c r="B1157" s="5" t="str">
        <f ca="1"/>
        <v>BV45730</v>
      </c>
      <c r="C1157" s="8" t="str">
        <v>Pedido 1144</v>
      </c>
      <c r="D1157" s="9">
        <v>45728</v>
      </c>
      <c r="E1157" s="9">
        <v>45730</v>
      </c>
      <c r="F1157" s="8" t="str">
        <v>PedidoF1121</v>
      </c>
      <c r="G1157" s="2" t="str">
        <v>CódRastreio1119</v>
      </c>
      <c r="H1157" s="5">
        <v>1</v>
      </c>
      <c r="I1157" s="2" t="str">
        <v>CPF 1113</v>
      </c>
      <c r="J1157" s="2" t="str">
        <v>Nome 1113</v>
      </c>
      <c r="K1157" s="8" t="str">
        <v>Tel 1113</v>
      </c>
      <c r="L1157" s="8" t="str">
        <v>Cep 1113</v>
      </c>
      <c r="M1157" s="8" t="str">
        <v>Rua 1113</v>
      </c>
      <c r="N1157" s="8" t="str">
        <v>Comp 1113</v>
      </c>
      <c r="O1157" s="8" t="str">
        <v>Suporte de Celular com Regulagem</v>
      </c>
      <c r="P1157" s="8" t="str">
        <v>1H-DC27-8GP7</v>
      </c>
      <c r="Q1157" s="4">
        <v>45749</v>
      </c>
      <c r="R1157" s="109">
        <v>21.99</v>
      </c>
      <c r="S1157" s="11">
        <f ca="1"/>
        <v>21.99</v>
      </c>
      <c r="T1157" s="28">
        <f ca="1"/>
        <v>3.2984999999999998</v>
      </c>
      <c r="U1157" s="11">
        <f ca="1"/>
        <v>18.690000000000001</v>
      </c>
      <c r="V1157" s="11">
        <v>7.99</v>
      </c>
      <c r="W1157" s="11">
        <f ca="1"/>
        <v>0.23</v>
      </c>
      <c r="X1157" s="11">
        <f ca="1"/>
        <v>0.39877104377104378</v>
      </c>
      <c r="Y1157" s="11">
        <v>0</v>
      </c>
      <c r="Z1157" s="11">
        <f ca="1"/>
        <v>10.071228956228957</v>
      </c>
      <c r="AA1157" s="11">
        <f ca="1"/>
        <v>5.0356144781144785</v>
      </c>
      <c r="AB1157" s="4">
        <f ca="1"/>
        <v>45756</v>
      </c>
      <c r="AC1157" s="4">
        <v>45756</v>
      </c>
      <c r="AD1157" s="9">
        <v>45762</v>
      </c>
      <c r="AE1157" s="9">
        <v>45763</v>
      </c>
      <c r="AF1157" s="4" t="str">
        <f t="shared" ref="AF1157:AF1164" ca="1" si="77">_xlfn.CONCAT(PROPER(TEXT(AB1157,"aaaa"))," ",PROPER(TEXT(AB1157,"mm")))</f>
        <v>2025 04</v>
      </c>
      <c r="AG1157" s="8" t="str" cm="1">
        <f t="array" ref="AG1157">IFERROR(_xlfn.IFS('Banco de Dados'!#REF!="AG. COMPRA","Em processamento",'Banco de Dados'!#REF!="AG. RASTREIO","Em processamento",'Banco de Dados'!$AE1157&lt;&gt;"-","Faturado",'Banco de Dados'!$AD1157&lt;&gt;"-","Aguardando Pix",'Banco de Dados'!$AC1157&lt;&gt;"-","Pendente"),"Aguardando Liberação")</f>
        <v>Aguardando Liberação</v>
      </c>
      <c r="AH1157" s="5" t="str">
        <f>IF('Banco de Dados'!$F1157="-",_xlfn.CONCAT(PROPER(TEXT(AK1157,"aaaa"))," ",PROPER(TEXT(AK1157,"mm"))),_xlfn.CONCAT(PROPER(TEXT(E1157,"aaaa"))," ",PROPER(TEXT(E1157,"mm"))))</f>
        <v>2025 03</v>
      </c>
      <c r="AI1157" s="9" t="str">
        <f ca="1">IF('Banco de Dados'!$AK1157&lt;&gt;"-","REEMBOLSO",IFERROR(_xlfn.XLOOKUP(G1157,Follow[CODRASTREIO],Follow[STATUS]),"-"))</f>
        <v>ENTREGUE</v>
      </c>
      <c r="AJ1157" s="9">
        <f ca="1">IF('Banco de Dados'!$AI1157="ENTREGUE",_xlfn.XLOOKUP('Banco de Dados'!$G1157,Follow[CODRASTREIO],Follow[DATAATUALIZAÇÃO]),"-")</f>
        <v>45741</v>
      </c>
      <c r="AK1157" s="132" t="str">
        <f ca="1"/>
        <v>-</v>
      </c>
      <c r="AL1157" s="35"/>
      <c r="AM1157" s="109" cm="1">
        <f t="array" aca="1" ref="AM1157" ca="1">IF('Banco de Dados'!$AK1157&lt;&gt;"-",_xlfn.IFS('Banco de Dados'!$A1157="bv",IF('Banco de Dados'!$E1157&lt;45641,ROUND(SUM('Banco de Dados'!$R1157*_xlfn.XLOOKUP('Banco de Dados'!$P1157,Sku!B:B,Sku!#REF!)*20%),2),ROUND(SUM('Banco de Dados'!$R1157*_xlfn.XLOOKUP('Banco de Dados'!$P1157,Sku!B:B,Sku!H:H)*20%),2)),'Banco de Dados'!$A1157="GO",ROUND(_xlfn.XLOOKUP('Banco de Dados'!$P1157,Sku!C:C,Sku!H:H),2),'Banco de Dados'!$A1157="MEI",ROUND(_xlfn.XLOOKUP('Banco de Dados'!$P1157,Sku!D:D,Sku!H:H),2)),0)</f>
        <v>0</v>
      </c>
      <c r="AN1157" s="109">
        <f ca="1">IF('Banco de Dados'!$AK1157&lt;&gt;"-",IF('Banco de Dados'!$F1157&lt;&gt;"-",_xlfn.XLOOKUP(IFERROR(IFERROR(IFERROR(VALUE(SUBSTITUTE(MID(_xlfn.TEXTAFTER('Banco de Dados'!$F1157,"Data do Pedido:
",1),1,10),"-","/")),VALUE(SUBSTITUTE(MID(_xlfn.TEXTAFTER('Banco de Dados'!$F1157,"Order date:
",1),1,10),"-","/"))),VALUE(SUBSTITUTE(MID(_xlfn.TEXTAFTER('Banco de Dados'!$F1157,"Fecha de pedido:
",1),1,10),"-","/"))),"-"),SMS!A:A,SMS!K:K),0),0)</f>
        <v>0</v>
      </c>
      <c r="AO1157" s="109">
        <f ca="1">IF('Banco de Dados'!$AK1157&lt;&gt;"-",IF('Banco de Dados'!$F1157&lt;&gt;"-",IFERROR(_xlfn.XLOOKUP(_xlfn.CONCAT('Banco de Dados'!$A1157,IFERROR(IFERROR(VALUE(SUBSTITUTE(MID(_xlfn.TEXTAFTER('Banco de Dados'!$F1157,"Data do Pedido:
",1),1,10),"-","/")),VALUE(SUBSTITUTE(MID(_xlfn.TEXTAFTER('Banco de Dados'!$F1157,"Order date:
",1),1,10),"-","/"))),0)),ProxyDD[Chave],ProxyDD[Valor por pedido]),PROXY!$P$2),0),0)</f>
        <v>0</v>
      </c>
      <c r="AP1157" s="28">
        <f ca="1">IF('Banco de Dados'!$AK1157&lt;&gt;"-",IF('Banco de Dados'!$AL1157="NÃO",IFERROR(VALUE(SUBSTITUTE(_xlfn.TEXTAFTER('Banco de Dados'!$F1157,"BRL ",1),".",",")),0),0),0)</f>
        <v>0</v>
      </c>
      <c r="AQ1157" s="28">
        <f ca="1">SUM('Banco de Dados'!$AM1157:$AP1157)</f>
        <v>0</v>
      </c>
      <c r="AR1157" s="8"/>
      <c r="AY1157" s="8"/>
    </row>
    <row r="1158" spans="1:51">
      <c r="A1158" s="5" t="str">
        <v>BV</v>
      </c>
      <c r="B1158" s="5" t="str">
        <f ca="1"/>
        <v>BV45730</v>
      </c>
      <c r="C1158" s="8" t="str">
        <v>Pedido 1145</v>
      </c>
      <c r="D1158" s="9">
        <v>45728</v>
      </c>
      <c r="E1158" s="9">
        <v>45730</v>
      </c>
      <c r="F1158" s="8" t="str">
        <v>PedidoF1122</v>
      </c>
      <c r="G1158" s="2" t="str">
        <v>CódRastreio1120</v>
      </c>
      <c r="H1158" s="5">
        <v>1</v>
      </c>
      <c r="I1158" s="2" t="str">
        <v>CPF 1114</v>
      </c>
      <c r="J1158" s="2" t="str">
        <v>Nome 1114</v>
      </c>
      <c r="K1158" s="8" t="str">
        <v>Tel 1114</v>
      </c>
      <c r="L1158" s="8" t="str">
        <v>Cep 1114</v>
      </c>
      <c r="M1158" s="8" t="str">
        <v>Rua 1114</v>
      </c>
      <c r="N1158" s="8" t="str">
        <v>Comp 1114</v>
      </c>
      <c r="O1158" s="8" t="str">
        <v>Suporte de Celular com Regulagem</v>
      </c>
      <c r="P1158" s="8" t="str">
        <v>1H-DC27-8GP7</v>
      </c>
      <c r="Q1158" s="4">
        <v>45743</v>
      </c>
      <c r="R1158" s="109">
        <v>21.99</v>
      </c>
      <c r="S1158" s="11">
        <f ca="1"/>
        <v>21.99</v>
      </c>
      <c r="T1158" s="28">
        <f ca="1"/>
        <v>3.2984999999999998</v>
      </c>
      <c r="U1158" s="11">
        <f ca="1"/>
        <v>18.690000000000001</v>
      </c>
      <c r="V1158" s="11">
        <v>7.99</v>
      </c>
      <c r="W1158" s="11">
        <f ca="1"/>
        <v>0.23</v>
      </c>
      <c r="X1158" s="11">
        <f ca="1"/>
        <v>0.39877104377104378</v>
      </c>
      <c r="Y1158" s="11">
        <v>0</v>
      </c>
      <c r="Z1158" s="11">
        <f ca="1"/>
        <v>10.071228956228957</v>
      </c>
      <c r="AA1158" s="11">
        <f ca="1"/>
        <v>5.0356144781144785</v>
      </c>
      <c r="AB1158" s="4">
        <f ca="1"/>
        <v>45750</v>
      </c>
      <c r="AC1158" s="4">
        <v>45750</v>
      </c>
      <c r="AD1158" s="9">
        <v>45762</v>
      </c>
      <c r="AE1158" s="9">
        <v>45763</v>
      </c>
      <c r="AF1158" s="4" t="str">
        <f t="shared" ca="1" si="77"/>
        <v>2025 04</v>
      </c>
      <c r="AG1158" s="8" t="str" cm="1">
        <f t="array" ref="AG1158">IFERROR(_xlfn.IFS('Banco de Dados'!#REF!="AG. COMPRA","Em processamento",'Banco de Dados'!#REF!="AG. RASTREIO","Em processamento",'Banco de Dados'!$AE1158&lt;&gt;"-","Faturado",'Banco de Dados'!$AD1158&lt;&gt;"-","Aguardando Pix",'Banco de Dados'!$AC1158&lt;&gt;"-","Pendente"),"Aguardando Liberação")</f>
        <v>Aguardando Liberação</v>
      </c>
      <c r="AH1158" s="5" t="str">
        <f>IF('Banco de Dados'!$F1158="-",_xlfn.CONCAT(PROPER(TEXT(AK1158,"aaaa"))," ",PROPER(TEXT(AK1158,"mm"))),_xlfn.CONCAT(PROPER(TEXT(E1158,"aaaa"))," ",PROPER(TEXT(E1158,"mm"))))</f>
        <v>2025 03</v>
      </c>
      <c r="AI1158" s="9" t="str">
        <f ca="1">IF('Banco de Dados'!$AK1158&lt;&gt;"-","REEMBOLSO",IFERROR(_xlfn.XLOOKUP(G1158,Follow[CODRASTREIO],Follow[STATUS]),"-"))</f>
        <v>ENTREGUE</v>
      </c>
      <c r="AJ1158" s="9">
        <f ca="1">IF('Banco de Dados'!$AI1158="ENTREGUE",_xlfn.XLOOKUP('Banco de Dados'!$G1158,Follow[CODRASTREIO],Follow[DATAATUALIZAÇÃO]),"-")</f>
        <v>45737</v>
      </c>
      <c r="AK1158" s="132" t="str">
        <f ca="1"/>
        <v>-</v>
      </c>
      <c r="AL1158" s="35"/>
      <c r="AM1158" s="109" cm="1">
        <f t="array" aca="1" ref="AM1158" ca="1">IF('Banco de Dados'!$AK1158&lt;&gt;"-",_xlfn.IFS('Banco de Dados'!$A1158="bv",IF('Banco de Dados'!$E1158&lt;45641,ROUND(SUM('Banco de Dados'!$R1158*_xlfn.XLOOKUP('Banco de Dados'!$P1158,Sku!B:B,Sku!#REF!)*20%),2),ROUND(SUM('Banco de Dados'!$R1158*_xlfn.XLOOKUP('Banco de Dados'!$P1158,Sku!B:B,Sku!H:H)*20%),2)),'Banco de Dados'!$A1158="GO",ROUND(_xlfn.XLOOKUP('Banco de Dados'!$P1158,Sku!C:C,Sku!H:H),2),'Banco de Dados'!$A1158="MEI",ROUND(_xlfn.XLOOKUP('Banco de Dados'!$P1158,Sku!D:D,Sku!H:H),2)),0)</f>
        <v>0</v>
      </c>
      <c r="AN1158" s="109">
        <f ca="1">IF('Banco de Dados'!$AK1158&lt;&gt;"-",IF('Banco de Dados'!$F1158&lt;&gt;"-",_xlfn.XLOOKUP(IFERROR(IFERROR(IFERROR(VALUE(SUBSTITUTE(MID(_xlfn.TEXTAFTER('Banco de Dados'!$F1158,"Data do Pedido:
",1),1,10),"-","/")),VALUE(SUBSTITUTE(MID(_xlfn.TEXTAFTER('Banco de Dados'!$F1158,"Order date:
",1),1,10),"-","/"))),VALUE(SUBSTITUTE(MID(_xlfn.TEXTAFTER('Banco de Dados'!$F1158,"Fecha de pedido:
",1),1,10),"-","/"))),"-"),SMS!A:A,SMS!K:K),0),0)</f>
        <v>0</v>
      </c>
      <c r="AO1158" s="109">
        <f ca="1">IF('Banco de Dados'!$AK1158&lt;&gt;"-",IF('Banco de Dados'!$F1158&lt;&gt;"-",IFERROR(_xlfn.XLOOKUP(_xlfn.CONCAT('Banco de Dados'!$A1158,IFERROR(IFERROR(VALUE(SUBSTITUTE(MID(_xlfn.TEXTAFTER('Banco de Dados'!$F1158,"Data do Pedido:
",1),1,10),"-","/")),VALUE(SUBSTITUTE(MID(_xlfn.TEXTAFTER('Banco de Dados'!$F1158,"Order date:
",1),1,10),"-","/"))),0)),ProxyDD[Chave],ProxyDD[Valor por pedido]),PROXY!$P$2),0),0)</f>
        <v>0</v>
      </c>
      <c r="AP1158" s="28">
        <f ca="1">IF('Banco de Dados'!$AK1158&lt;&gt;"-",IF('Banco de Dados'!$AL1158="NÃO",IFERROR(VALUE(SUBSTITUTE(_xlfn.TEXTAFTER('Banco de Dados'!$F1158,"BRL ",1),".",",")),0),0),0)</f>
        <v>0</v>
      </c>
      <c r="AQ1158" s="28">
        <f ca="1">SUM('Banco de Dados'!$AM1158:$AP1158)</f>
        <v>0</v>
      </c>
      <c r="AR1158" s="8"/>
      <c r="AY1158" s="8"/>
    </row>
    <row r="1159" spans="1:51">
      <c r="A1159" s="5" t="str">
        <v>BV</v>
      </c>
      <c r="B1159" s="5" t="str">
        <f ca="1"/>
        <v>BV45728</v>
      </c>
      <c r="C1159" s="8" t="str">
        <v>Pedido 1146</v>
      </c>
      <c r="D1159" s="9">
        <v>45728</v>
      </c>
      <c r="E1159" s="9">
        <v>45728</v>
      </c>
      <c r="F1159" s="8" t="str">
        <v>PedidoF1123</v>
      </c>
      <c r="G1159" s="2" t="str">
        <v>CódRastreio1121</v>
      </c>
      <c r="H1159" s="5">
        <v>1</v>
      </c>
      <c r="I1159" s="2" t="str">
        <v>CPF 1115</v>
      </c>
      <c r="J1159" s="2" t="str">
        <v>Nome 1115</v>
      </c>
      <c r="K1159" s="8" t="str">
        <v>Tel 1115</v>
      </c>
      <c r="L1159" s="8" t="str">
        <v>Cep 1115</v>
      </c>
      <c r="M1159" s="8" t="str">
        <v>Rua 1115</v>
      </c>
      <c r="N1159" s="8" t="str">
        <v>Comp 1115</v>
      </c>
      <c r="O1159" s="8" t="str">
        <v>Copo Termico</v>
      </c>
      <c r="P1159" s="8" t="str">
        <v>KN-TBQL-K2MM</v>
      </c>
      <c r="Q1159" s="4">
        <v>45755</v>
      </c>
      <c r="R1159" s="109">
        <v>23.9</v>
      </c>
      <c r="S1159" s="11">
        <f ca="1"/>
        <v>23.9</v>
      </c>
      <c r="T1159" s="28">
        <f ca="1"/>
        <v>3.1069999999999998</v>
      </c>
      <c r="U1159" s="11">
        <f ca="1"/>
        <v>20.79</v>
      </c>
      <c r="V1159" s="11">
        <v>13.71</v>
      </c>
      <c r="W1159" s="11">
        <f ca="1"/>
        <v>0.8</v>
      </c>
      <c r="X1159" s="11">
        <f ca="1"/>
        <v>0.39877104377104378</v>
      </c>
      <c r="Y1159" s="11">
        <v>0</v>
      </c>
      <c r="Z1159" s="11">
        <f ca="1"/>
        <v>5.8812289562289539</v>
      </c>
      <c r="AA1159" s="11">
        <f ca="1"/>
        <v>2.940614478114477</v>
      </c>
      <c r="AB1159" s="4">
        <f ca="1"/>
        <v>45762</v>
      </c>
      <c r="AC1159" s="4">
        <v>45762</v>
      </c>
      <c r="AD1159" s="9">
        <v>45762</v>
      </c>
      <c r="AE1159" s="9">
        <v>45763</v>
      </c>
      <c r="AF1159" s="4" t="str">
        <f t="shared" ca="1" si="77"/>
        <v>2025 04</v>
      </c>
      <c r="AG1159" s="8" t="str" cm="1">
        <f t="array" ref="AG1159">IFERROR(_xlfn.IFS('Banco de Dados'!#REF!="AG. COMPRA","Em processamento",'Banco de Dados'!#REF!="AG. RASTREIO","Em processamento",'Banco de Dados'!$AE1159&lt;&gt;"-","Faturado",'Banco de Dados'!$AD1159&lt;&gt;"-","Aguardando Pix",'Banco de Dados'!$AC1159&lt;&gt;"-","Pendente"),"Aguardando Liberação")</f>
        <v>Aguardando Liberação</v>
      </c>
      <c r="AH1159" s="5" t="str">
        <f>IF('Banco de Dados'!$F1159="-",_xlfn.CONCAT(PROPER(TEXT(AK1159,"aaaa"))," ",PROPER(TEXT(AK1159,"mm"))),_xlfn.CONCAT(PROPER(TEXT(E1159,"aaaa"))," ",PROPER(TEXT(E1159,"mm"))))</f>
        <v>2025 03</v>
      </c>
      <c r="AI1159" s="9" t="str">
        <f ca="1">IF('Banco de Dados'!$AK1159&lt;&gt;"-","REEMBOLSO",IFERROR(_xlfn.XLOOKUP(G1159,Follow[CODRASTREIO],Follow[STATUS]),"-"))</f>
        <v>ENTREGUE</v>
      </c>
      <c r="AJ1159" s="9">
        <f ca="1">IF('Banco de Dados'!$AI1159="ENTREGUE",_xlfn.XLOOKUP('Banco de Dados'!$G1159,Follow[CODRASTREIO],Follow[DATAATUALIZAÇÃO]),"-")</f>
        <v>45742</v>
      </c>
      <c r="AK1159" s="132" t="str">
        <f ca="1"/>
        <v>-</v>
      </c>
      <c r="AL1159" s="35"/>
      <c r="AM1159" s="109" cm="1">
        <f t="array" aca="1" ref="AM1159" ca="1">IF('Banco de Dados'!$AK1159&lt;&gt;"-",_xlfn.IFS('Banco de Dados'!$A1159="bv",IF('Banco de Dados'!$E1159&lt;45641,ROUND(SUM('Banco de Dados'!$R1159*_xlfn.XLOOKUP('Banco de Dados'!$P1159,Sku!B:B,Sku!#REF!)*20%),2),ROUND(SUM('Banco de Dados'!$R1159*_xlfn.XLOOKUP('Banco de Dados'!$P1159,Sku!B:B,Sku!H:H)*20%),2)),'Banco de Dados'!$A1159="GO",ROUND(_xlfn.XLOOKUP('Banco de Dados'!$P1159,Sku!C:C,Sku!H:H),2),'Banco de Dados'!$A1159="MEI",ROUND(_xlfn.XLOOKUP('Banco de Dados'!$P1159,Sku!D:D,Sku!H:H),2)),0)</f>
        <v>0</v>
      </c>
      <c r="AN1159" s="109">
        <f ca="1">IF('Banco de Dados'!$AK1159&lt;&gt;"-",IF('Banco de Dados'!$F1159&lt;&gt;"-",_xlfn.XLOOKUP(IFERROR(IFERROR(IFERROR(VALUE(SUBSTITUTE(MID(_xlfn.TEXTAFTER('Banco de Dados'!$F1159,"Data do Pedido:
",1),1,10),"-","/")),VALUE(SUBSTITUTE(MID(_xlfn.TEXTAFTER('Banco de Dados'!$F1159,"Order date:
",1),1,10),"-","/"))),VALUE(SUBSTITUTE(MID(_xlfn.TEXTAFTER('Banco de Dados'!$F1159,"Fecha de pedido:
",1),1,10),"-","/"))),"-"),SMS!A:A,SMS!K:K),0),0)</f>
        <v>0</v>
      </c>
      <c r="AO1159" s="109">
        <f ca="1">IF('Banco de Dados'!$AK1159&lt;&gt;"-",IF('Banco de Dados'!$F1159&lt;&gt;"-",IFERROR(_xlfn.XLOOKUP(_xlfn.CONCAT('Banco de Dados'!$A1159,IFERROR(IFERROR(VALUE(SUBSTITUTE(MID(_xlfn.TEXTAFTER('Banco de Dados'!$F1159,"Data do Pedido:
",1),1,10),"-","/")),VALUE(SUBSTITUTE(MID(_xlfn.TEXTAFTER('Banco de Dados'!$F1159,"Order date:
",1),1,10),"-","/"))),0)),ProxyDD[Chave],ProxyDD[Valor por pedido]),PROXY!$P$2),0),0)</f>
        <v>0</v>
      </c>
      <c r="AP1159" s="28">
        <f ca="1">IF('Banco de Dados'!$AK1159&lt;&gt;"-",IF('Banco de Dados'!$AL1159="NÃO",IFERROR(VALUE(SUBSTITUTE(_xlfn.TEXTAFTER('Banco de Dados'!$F1159,"BRL ",1),".",",")),0),0),0)</f>
        <v>0</v>
      </c>
      <c r="AQ1159" s="28">
        <f ca="1">SUM('Banco de Dados'!$AM1159:$AP1159)</f>
        <v>0</v>
      </c>
      <c r="AR1159" s="8"/>
      <c r="AY1159" s="8"/>
    </row>
    <row r="1160" spans="1:51">
      <c r="A1160" s="5" t="str">
        <v>MEI</v>
      </c>
      <c r="B1160" s="5" t="str">
        <f ca="1"/>
        <v>MEI45728</v>
      </c>
      <c r="C1160" s="8" t="str">
        <v>Pedido 1147</v>
      </c>
      <c r="D1160" s="187">
        <v>45728</v>
      </c>
      <c r="E1160" s="9">
        <v>45728</v>
      </c>
      <c r="F1160" s="8" t="str">
        <v>PedidoF1124</v>
      </c>
      <c r="G1160" s="2" t="str">
        <v>CódRastreio1122</v>
      </c>
      <c r="H1160" s="5">
        <v>1</v>
      </c>
      <c r="I1160" s="2" t="str">
        <v>CPF 1116</v>
      </c>
      <c r="J1160" s="2" t="str">
        <v>Nome 1116</v>
      </c>
      <c r="K1160" s="8" t="str">
        <v>Tel 1116</v>
      </c>
      <c r="L1160" s="8" t="str">
        <v>Cep 1116</v>
      </c>
      <c r="M1160" s="8" t="str">
        <v>Rua 1116</v>
      </c>
      <c r="N1160" s="8" t="str">
        <v>Comp 1116</v>
      </c>
      <c r="O1160" s="8" t="str">
        <v>Mini Liquidificador</v>
      </c>
      <c r="P1160" s="8" t="str">
        <v>A4-5W51-K3HF</v>
      </c>
      <c r="Q1160" s="4">
        <v>45749</v>
      </c>
      <c r="R1160" s="109">
        <v>30.95</v>
      </c>
      <c r="S1160" s="11">
        <f ca="1"/>
        <v>30.95</v>
      </c>
      <c r="T1160" s="28">
        <f ca="1"/>
        <v>4.3330000000000002</v>
      </c>
      <c r="U1160" s="11">
        <f ca="1"/>
        <v>26.62</v>
      </c>
      <c r="V1160" s="11">
        <v>12.04</v>
      </c>
      <c r="W1160" s="11">
        <f ca="1"/>
        <v>0.2</v>
      </c>
      <c r="X1160" s="11">
        <f ca="1"/>
        <v>0.39877104377104378</v>
      </c>
      <c r="Y1160" s="11">
        <v>0</v>
      </c>
      <c r="Z1160" s="11">
        <f ca="1"/>
        <v>13.981228956228959</v>
      </c>
      <c r="AA1160" s="11">
        <f ca="1"/>
        <v>6.9906144781144794</v>
      </c>
      <c r="AB1160" s="4">
        <f ca="1"/>
        <v>45756</v>
      </c>
      <c r="AC1160" s="4">
        <v>45756</v>
      </c>
      <c r="AD1160" s="9">
        <v>45762</v>
      </c>
      <c r="AE1160" s="9">
        <v>45763</v>
      </c>
      <c r="AF1160" s="4" t="str">
        <f t="shared" ca="1" si="77"/>
        <v>2025 04</v>
      </c>
      <c r="AG1160" s="8" t="str" cm="1">
        <f t="array" ref="AG1160">IFERROR(_xlfn.IFS('Banco de Dados'!#REF!="AG. COMPRA","Em processamento",'Banco de Dados'!#REF!="AG. RASTREIO","Em processamento",'Banco de Dados'!$AE1160&lt;&gt;"-","Faturado",'Banco de Dados'!$AD1160&lt;&gt;"-","Aguardando Pix",'Banco de Dados'!$AC1160&lt;&gt;"-","Pendente"),"Aguardando Liberação")</f>
        <v>Aguardando Liberação</v>
      </c>
      <c r="AH1160" s="5" t="str">
        <f>IF('Banco de Dados'!$F1160="-",_xlfn.CONCAT(PROPER(TEXT(AK1160,"aaaa"))," ",PROPER(TEXT(AK1160,"mm"))),_xlfn.CONCAT(PROPER(TEXT(E1160,"aaaa"))," ",PROPER(TEXT(E1160,"mm"))))</f>
        <v>2025 03</v>
      </c>
      <c r="AI1160" s="9" t="str">
        <f ca="1">IF('Banco de Dados'!$AK1160&lt;&gt;"-","REEMBOLSO",IFERROR(_xlfn.XLOOKUP(G1160,Follow[CODRASTREIO],Follow[STATUS]),"-"))</f>
        <v>ENTREGUE</v>
      </c>
      <c r="AJ1160" s="9">
        <f ca="1">IF('Banco de Dados'!$AI1160="ENTREGUE",_xlfn.XLOOKUP('Banco de Dados'!$G1160,Follow[CODRASTREIO],Follow[DATAATUALIZAÇÃO]),"-")</f>
        <v>45752</v>
      </c>
      <c r="AK1160" s="132" t="str">
        <f ca="1"/>
        <v>-</v>
      </c>
      <c r="AL1160" s="35"/>
      <c r="AM1160" s="109" cm="1">
        <f t="array" aca="1" ref="AM1160" ca="1">IF('Banco de Dados'!$AK1160&lt;&gt;"-",_xlfn.IFS('Banco de Dados'!$A1160="bv",IF('Banco de Dados'!$E1160&lt;45641,ROUND(SUM('Banco de Dados'!$R1160*_xlfn.XLOOKUP('Banco de Dados'!$P1160,Sku!B:B,Sku!#REF!)*20%),2),ROUND(SUM('Banco de Dados'!$R1160*_xlfn.XLOOKUP('Banco de Dados'!$P1160,Sku!B:B,Sku!H:H)*20%),2)),'Banco de Dados'!$A1160="GO",ROUND(SUM('Banco de Dados'!$R1160*_xlfn.XLOOKUP('Banco de Dados'!$P1160,Sku!C:C,Sku!H:H)*20%),2),'Banco de Dados'!$A1160="MEI",ROUND(SUM('Banco de Dados'!$R1160*_xlfn.XLOOKUP('Banco de Dados'!$P1160,Sku!D:D,Sku!H:H)*20%),2)),0)</f>
        <v>0</v>
      </c>
      <c r="AN1160" s="109">
        <f ca="1">IF('Banco de Dados'!$AK1160&lt;&gt;"-",IF('Banco de Dados'!$F1160&lt;&gt;"-",_xlfn.XLOOKUP(IFERROR(IFERROR(IFERROR(VALUE(SUBSTITUTE(MID(_xlfn.TEXTAFTER('Banco de Dados'!$F1160,"Data do Pedido:
",1),1,10),"-","/")),VALUE(SUBSTITUTE(MID(_xlfn.TEXTAFTER('Banco de Dados'!$F1160,"Order date:
",1),1,10),"-","/"))),VALUE(SUBSTITUTE(MID(_xlfn.TEXTAFTER('Banco de Dados'!$F1160,"Fecha de pedido:
",1),1,10),"-","/"))),"-"),SMS!A:A,SMS!K:K),0),0)</f>
        <v>0</v>
      </c>
      <c r="AO1160" s="109">
        <f ca="1">IF('Banco de Dados'!$AK1160&lt;&gt;"-",IF('Banco de Dados'!$F1160&lt;&gt;"-",IFERROR(_xlfn.XLOOKUP(_xlfn.CONCAT('Banco de Dados'!$A1160,IFERROR(IFERROR(VALUE(SUBSTITUTE(MID(_xlfn.TEXTAFTER('Banco de Dados'!$F1160,"Data do Pedido:
",1),1,10),"-","/")),VALUE(SUBSTITUTE(MID(_xlfn.TEXTAFTER('Banco de Dados'!$F1160,"Order date:
",1),1,10),"-","/"))),0)),ProxyDD[Chave],ProxyDD[Valor por pedido]),PROXY!$P$2),0),0)</f>
        <v>0</v>
      </c>
      <c r="AP1160" s="28">
        <f ca="1">IF('Banco de Dados'!$AK1160&lt;&gt;"-",IF('Banco de Dados'!$AL1160="NÃO",IFERROR(VALUE(SUBSTITUTE(_xlfn.TEXTAFTER('Banco de Dados'!$F1160,"BRL ",1),".",",")),0),0),0)</f>
        <v>0</v>
      </c>
      <c r="AQ1160" s="28">
        <f ca="1">SUM('Banco de Dados'!$AM1160:$AP1160)</f>
        <v>0</v>
      </c>
      <c r="AR1160" s="8"/>
      <c r="AY1160" s="8"/>
    </row>
    <row r="1161" spans="1:51">
      <c r="A1161" s="5" t="str">
        <v>MEI</v>
      </c>
      <c r="B1161" s="5" t="str">
        <f ca="1"/>
        <v>MEI45728</v>
      </c>
      <c r="C1161" s="8" t="str">
        <v>Pedido 1148</v>
      </c>
      <c r="D1161" s="187">
        <v>45728</v>
      </c>
      <c r="E1161" s="9">
        <v>45728</v>
      </c>
      <c r="F1161" s="8" t="str">
        <v>PedidoF1125</v>
      </c>
      <c r="G1161" s="2" t="str">
        <v>CódRastreio1123</v>
      </c>
      <c r="H1161" s="5">
        <v>1</v>
      </c>
      <c r="I1161" s="2" t="str">
        <v>CPF 1117</v>
      </c>
      <c r="J1161" s="2" t="str">
        <v>Nome 1117</v>
      </c>
      <c r="K1161" s="8" t="str">
        <v>Tel 1117</v>
      </c>
      <c r="L1161" s="8" t="str">
        <v>Cep 1117</v>
      </c>
      <c r="M1161" s="8" t="str">
        <v>Rua 1117</v>
      </c>
      <c r="N1161" s="8" t="str">
        <v>Comp 1117</v>
      </c>
      <c r="O1161" s="8" t="str">
        <v>Mini Liquidificador</v>
      </c>
      <c r="P1161" s="8" t="str">
        <v>A4-5W51-K3HF</v>
      </c>
      <c r="Q1161" s="4">
        <v>45755</v>
      </c>
      <c r="R1161" s="109">
        <v>30.95</v>
      </c>
      <c r="S1161" s="11">
        <f ca="1"/>
        <v>30.95</v>
      </c>
      <c r="T1161" s="28">
        <f ca="1"/>
        <v>4.3330000000000002</v>
      </c>
      <c r="U1161" s="11">
        <f ca="1"/>
        <v>26.62</v>
      </c>
      <c r="V1161" s="11">
        <v>12.04</v>
      </c>
      <c r="W1161" s="11">
        <f ca="1"/>
        <v>0.2</v>
      </c>
      <c r="X1161" s="11">
        <f ca="1"/>
        <v>0.39877104377104378</v>
      </c>
      <c r="Y1161" s="11">
        <v>0</v>
      </c>
      <c r="Z1161" s="11">
        <f ca="1"/>
        <v>13.981228956228959</v>
      </c>
      <c r="AA1161" s="11">
        <f ca="1"/>
        <v>6.9906144781144794</v>
      </c>
      <c r="AB1161" s="4">
        <f ca="1"/>
        <v>45762</v>
      </c>
      <c r="AC1161" s="4">
        <v>45762</v>
      </c>
      <c r="AD1161" s="9">
        <v>45762</v>
      </c>
      <c r="AE1161" s="9">
        <v>45763</v>
      </c>
      <c r="AF1161" s="4" t="str">
        <f t="shared" ca="1" si="77"/>
        <v>2025 04</v>
      </c>
      <c r="AG1161" s="8" t="str" cm="1">
        <f t="array" ref="AG1161">IFERROR(_xlfn.IFS('Banco de Dados'!#REF!="AG. COMPRA","Em processamento",'Banco de Dados'!#REF!="AG. RASTREIO","Em processamento",'Banco de Dados'!$AE1161&lt;&gt;"-","Faturado",'Banco de Dados'!$AD1161&lt;&gt;"-","Aguardando Pix",'Banco de Dados'!$AC1161&lt;&gt;"-","Pendente"),"Aguardando Liberação")</f>
        <v>Aguardando Liberação</v>
      </c>
      <c r="AH1161" s="5" t="str">
        <f>IF('Banco de Dados'!$F1161="-",_xlfn.CONCAT(PROPER(TEXT(AK1161,"aaaa"))," ",PROPER(TEXT(AK1161,"mm"))),_xlfn.CONCAT(PROPER(TEXT(E1161,"aaaa"))," ",PROPER(TEXT(E1161,"mm"))))</f>
        <v>2025 03</v>
      </c>
      <c r="AI1161" s="9" t="str">
        <f ca="1">IF('Banco de Dados'!$AK1161&lt;&gt;"-","REEMBOLSO",IFERROR(_xlfn.XLOOKUP(G1161,Follow[CODRASTREIO],Follow[STATUS]),"-"))</f>
        <v>ENTREGUE</v>
      </c>
      <c r="AJ1161" s="9">
        <f ca="1">IF('Banco de Dados'!$AI1161="ENTREGUE",_xlfn.XLOOKUP('Banco de Dados'!$G1161,Follow[CODRASTREIO],Follow[DATAATUALIZAÇÃO]),"-")</f>
        <v>45751</v>
      </c>
      <c r="AK1161" s="132" t="str">
        <f ca="1"/>
        <v>-</v>
      </c>
      <c r="AL1161" s="35"/>
      <c r="AM1161" s="109" cm="1">
        <f t="array" aca="1" ref="AM1161" ca="1">IF('Banco de Dados'!$AK1161&lt;&gt;"-",_xlfn.IFS('Banco de Dados'!$A1161="bv",IF('Banco de Dados'!$E1161&lt;45641,ROUND(SUM('Banco de Dados'!$R1161*_xlfn.XLOOKUP('Banco de Dados'!$P1161,Sku!B:B,Sku!#REF!)*20%),2),ROUND(SUM('Banco de Dados'!$R1161*_xlfn.XLOOKUP('Banco de Dados'!$P1161,Sku!B:B,Sku!H:H)*20%),2)),'Banco de Dados'!$A1161="GO",ROUND(SUM('Banco de Dados'!$R1161*_xlfn.XLOOKUP('Banco de Dados'!$P1161,Sku!C:C,Sku!H:H)*20%),2),'Banco de Dados'!$A1161="MEI",ROUND(SUM('Banco de Dados'!$R1161*_xlfn.XLOOKUP('Banco de Dados'!$P1161,Sku!D:D,Sku!H:H)*20%),2)),0)</f>
        <v>0</v>
      </c>
      <c r="AN1161" s="109">
        <f ca="1">IF('Banco de Dados'!$AK1161&lt;&gt;"-",IF('Banco de Dados'!$F1161&lt;&gt;"-",_xlfn.XLOOKUP(IFERROR(IFERROR(IFERROR(VALUE(SUBSTITUTE(MID(_xlfn.TEXTAFTER('Banco de Dados'!$F1161,"Data do Pedido:
",1),1,10),"-","/")),VALUE(SUBSTITUTE(MID(_xlfn.TEXTAFTER('Banco de Dados'!$F1161,"Order date:
",1),1,10),"-","/"))),VALUE(SUBSTITUTE(MID(_xlfn.TEXTAFTER('Banco de Dados'!$F1161,"Fecha de pedido:
",1),1,10),"-","/"))),"-"),SMS!A:A,SMS!K:K),0),0)</f>
        <v>0</v>
      </c>
      <c r="AO1161" s="109">
        <f ca="1">IF('Banco de Dados'!$AK1161&lt;&gt;"-",IF('Banco de Dados'!$F1161&lt;&gt;"-",IFERROR(_xlfn.XLOOKUP(_xlfn.CONCAT('Banco de Dados'!$A1161,IFERROR(IFERROR(VALUE(SUBSTITUTE(MID(_xlfn.TEXTAFTER('Banco de Dados'!$F1161,"Data do Pedido:
",1),1,10),"-","/")),VALUE(SUBSTITUTE(MID(_xlfn.TEXTAFTER('Banco de Dados'!$F1161,"Order date:
",1),1,10),"-","/"))),0)),ProxyDD[Chave],ProxyDD[Valor por pedido]),PROXY!$P$2),0),0)</f>
        <v>0</v>
      </c>
      <c r="AP1161" s="28">
        <f ca="1">IF('Banco de Dados'!$AK1161&lt;&gt;"-",IF('Banco de Dados'!$AL1161="NÃO",IFERROR(VALUE(SUBSTITUTE(_xlfn.TEXTAFTER('Banco de Dados'!$F1161,"BRL ",1),".",",")),0),0),0)</f>
        <v>0</v>
      </c>
      <c r="AQ1161" s="28">
        <f ca="1">SUM('Banco de Dados'!$AM1161:$AP1161)</f>
        <v>0</v>
      </c>
      <c r="AR1161" s="8"/>
      <c r="AY1161" s="8"/>
    </row>
    <row r="1162" spans="1:51">
      <c r="A1162" s="5" t="str">
        <v>MEI</v>
      </c>
      <c r="B1162" s="5" t="str">
        <f ca="1"/>
        <v>MEI45728</v>
      </c>
      <c r="C1162" s="8" t="str">
        <v>Pedido 1149</v>
      </c>
      <c r="D1162" s="187">
        <v>45728</v>
      </c>
      <c r="E1162" s="9">
        <v>45728</v>
      </c>
      <c r="F1162" s="8" t="str">
        <v>PedidoF1126</v>
      </c>
      <c r="G1162" s="2" t="str">
        <v>CódRastreio1124</v>
      </c>
      <c r="H1162" s="5">
        <v>1</v>
      </c>
      <c r="I1162" s="2" t="str">
        <v>CPF 1118</v>
      </c>
      <c r="J1162" s="2" t="str">
        <v>Nome 1118</v>
      </c>
      <c r="K1162" s="8" t="str">
        <v>Tel 1118</v>
      </c>
      <c r="L1162" s="8" t="str">
        <v>Cep 1118</v>
      </c>
      <c r="M1162" s="8" t="str">
        <v>Rua 1118</v>
      </c>
      <c r="N1162" s="8" t="str">
        <v>Comp 1118</v>
      </c>
      <c r="O1162" s="8" t="str">
        <v>Ventilador Preto</v>
      </c>
      <c r="P1162" s="8" t="str">
        <v>WU-SS4J-LFOH</v>
      </c>
      <c r="Q1162" s="4">
        <v>45749</v>
      </c>
      <c r="R1162" s="109">
        <v>65.599999999999994</v>
      </c>
      <c r="S1162" s="11">
        <f ca="1"/>
        <v>65.599999999999994</v>
      </c>
      <c r="T1162" s="28">
        <f ca="1"/>
        <v>8.5279999999999987</v>
      </c>
      <c r="U1162" s="11">
        <f ca="1"/>
        <v>57.07</v>
      </c>
      <c r="V1162" s="11">
        <v>13.48</v>
      </c>
      <c r="W1162" s="11">
        <f ca="1"/>
        <v>0.2</v>
      </c>
      <c r="X1162" s="11">
        <f ca="1"/>
        <v>0.39877104377104378</v>
      </c>
      <c r="Y1162" s="11">
        <v>0</v>
      </c>
      <c r="Z1162" s="11">
        <f ca="1"/>
        <v>42.991228956228959</v>
      </c>
      <c r="AA1162" s="11">
        <f ca="1"/>
        <v>21.495614478114479</v>
      </c>
      <c r="AB1162" s="4">
        <f ca="1"/>
        <v>45756</v>
      </c>
      <c r="AC1162" s="4">
        <v>45756</v>
      </c>
      <c r="AD1162" s="9">
        <v>45762</v>
      </c>
      <c r="AE1162" s="9">
        <v>45763</v>
      </c>
      <c r="AF1162" s="4" t="str">
        <f t="shared" ca="1" si="77"/>
        <v>2025 04</v>
      </c>
      <c r="AG1162" s="8" t="str" cm="1">
        <f t="array" ref="AG1162">IFERROR(_xlfn.IFS('Banco de Dados'!#REF!="AG. COMPRA","Em processamento",'Banco de Dados'!#REF!="AG. RASTREIO","Em processamento",'Banco de Dados'!$AE1162&lt;&gt;"-","Faturado",'Banco de Dados'!$AD1162&lt;&gt;"-","Aguardando Pix",'Banco de Dados'!$AC1162&lt;&gt;"-","Pendente"),"Aguardando Liberação")</f>
        <v>Aguardando Liberação</v>
      </c>
      <c r="AH1162" s="5" t="str">
        <f>IF('Banco de Dados'!$F1162="-",_xlfn.CONCAT(PROPER(TEXT(AK1162,"aaaa"))," ",PROPER(TEXT(AK1162,"mm"))),_xlfn.CONCAT(PROPER(TEXT(E1162,"aaaa"))," ",PROPER(TEXT(E1162,"mm"))))</f>
        <v>2025 03</v>
      </c>
      <c r="AI1162" s="9" t="str">
        <f ca="1">IF('Banco de Dados'!$AK1162&lt;&gt;"-","REEMBOLSO",IFERROR(_xlfn.XLOOKUP(G1162,Follow[CODRASTREIO],Follow[STATUS]),"-"))</f>
        <v>ENTREGUE</v>
      </c>
      <c r="AJ1162" s="9">
        <f ca="1">IF('Banco de Dados'!$AI1162="ENTREGUE",_xlfn.XLOOKUP('Banco de Dados'!$G1162,Follow[CODRASTREIO],Follow[DATAATUALIZAÇÃO]),"-")</f>
        <v>45747</v>
      </c>
      <c r="AK1162" s="132" t="str">
        <f ca="1"/>
        <v>-</v>
      </c>
      <c r="AL1162" s="35"/>
      <c r="AM1162" s="109" cm="1">
        <f t="array" aca="1" ref="AM1162" ca="1">IF('Banco de Dados'!$AK1162&lt;&gt;"-",_xlfn.IFS('Banco de Dados'!$A1162="bv",IF('Banco de Dados'!$E1162&lt;45641,ROUND(SUM('Banco de Dados'!$R1162*_xlfn.XLOOKUP('Banco de Dados'!$P1162,Sku!B:B,Sku!#REF!)*20%),2),ROUND(SUM('Banco de Dados'!$R1162*_xlfn.XLOOKUP('Banco de Dados'!$P1162,Sku!B:B,Sku!H:H)*20%),2)),'Banco de Dados'!$A1162="GO",ROUND(SUM('Banco de Dados'!$R1162*_xlfn.XLOOKUP('Banco de Dados'!$P1162,Sku!C:C,Sku!H:H)*20%),2),'Banco de Dados'!$A1162="MEI",ROUND(SUM('Banco de Dados'!$R1162*_xlfn.XLOOKUP('Banco de Dados'!$P1162,Sku!D:D,Sku!H:H)*20%),2)),0)</f>
        <v>0</v>
      </c>
      <c r="AN1162" s="109">
        <f ca="1">IF('Banco de Dados'!$AK1162&lt;&gt;"-",IF('Banco de Dados'!$F1162&lt;&gt;"-",_xlfn.XLOOKUP(IFERROR(IFERROR(IFERROR(VALUE(SUBSTITUTE(MID(_xlfn.TEXTAFTER('Banco de Dados'!$F1162,"Data do Pedido:
",1),1,10),"-","/")),VALUE(SUBSTITUTE(MID(_xlfn.TEXTAFTER('Banco de Dados'!$F1162,"Order date:
",1),1,10),"-","/"))),VALUE(SUBSTITUTE(MID(_xlfn.TEXTAFTER('Banco de Dados'!$F1162,"Fecha de pedido:
",1),1,10),"-","/"))),"-"),SMS!A:A,SMS!K:K),0),0)</f>
        <v>0</v>
      </c>
      <c r="AO1162" s="109">
        <f ca="1">IF('Banco de Dados'!$AK1162&lt;&gt;"-",IF('Banco de Dados'!$F1162&lt;&gt;"-",IFERROR(_xlfn.XLOOKUP(_xlfn.CONCAT('Banco de Dados'!$A1162,IFERROR(IFERROR(VALUE(SUBSTITUTE(MID(_xlfn.TEXTAFTER('Banco de Dados'!$F1162,"Data do Pedido:
",1),1,10),"-","/")),VALUE(SUBSTITUTE(MID(_xlfn.TEXTAFTER('Banco de Dados'!$F1162,"Order date:
",1),1,10),"-","/"))),0)),ProxyDD[Chave],ProxyDD[Valor por pedido]),PROXY!$P$2),0),0)</f>
        <v>0</v>
      </c>
      <c r="AP1162" s="28">
        <f ca="1">IF('Banco de Dados'!$AK1162&lt;&gt;"-",IF('Banco de Dados'!$AL1162="NÃO",IFERROR(VALUE(SUBSTITUTE(_xlfn.TEXTAFTER('Banco de Dados'!$F1162,"BRL ",1),".",",")),0),0),0)</f>
        <v>0</v>
      </c>
      <c r="AQ1162" s="28">
        <f ca="1">SUM('Banco de Dados'!$AM1162:$AP1162)</f>
        <v>0</v>
      </c>
      <c r="AR1162" s="8"/>
      <c r="AY1162" s="8"/>
    </row>
    <row r="1163" spans="1:51">
      <c r="A1163" s="5" t="str">
        <v>MEI</v>
      </c>
      <c r="B1163" s="5" t="str">
        <f ca="1"/>
        <v>MEI45728</v>
      </c>
      <c r="C1163" s="8" t="str">
        <v>Pedido 1150</v>
      </c>
      <c r="D1163" s="187">
        <v>45728</v>
      </c>
      <c r="E1163" s="9">
        <v>45728</v>
      </c>
      <c r="F1163" s="8" t="str">
        <v>PedidoF1127</v>
      </c>
      <c r="G1163" s="2" t="str">
        <v>CódRastreio1125</v>
      </c>
      <c r="H1163" s="5">
        <v>1</v>
      </c>
      <c r="I1163" s="2" t="str">
        <v>CPF 1119</v>
      </c>
      <c r="J1163" s="2" t="str">
        <v>Nome 1119</v>
      </c>
      <c r="K1163" s="8" t="str">
        <v>Tel 1119</v>
      </c>
      <c r="L1163" s="8" t="str">
        <v>Cep 1119</v>
      </c>
      <c r="M1163" s="8" t="str">
        <v>Rua 1119</v>
      </c>
      <c r="N1163" s="8" t="str">
        <v>Comp 1119</v>
      </c>
      <c r="O1163" s="8" t="str">
        <v>Mini Liquidificador</v>
      </c>
      <c r="P1163" s="8" t="str">
        <v>A4-5W51-K3HF</v>
      </c>
      <c r="Q1163" s="4">
        <v>45749</v>
      </c>
      <c r="R1163" s="109">
        <v>30.95</v>
      </c>
      <c r="S1163" s="11">
        <f ca="1"/>
        <v>30.95</v>
      </c>
      <c r="T1163" s="28">
        <f ca="1"/>
        <v>4.3330000000000002</v>
      </c>
      <c r="U1163" s="11">
        <f ca="1"/>
        <v>26.62</v>
      </c>
      <c r="V1163" s="11">
        <v>12.04</v>
      </c>
      <c r="W1163" s="11">
        <f ca="1"/>
        <v>0.2</v>
      </c>
      <c r="X1163" s="11">
        <f ca="1"/>
        <v>0.39877104377104378</v>
      </c>
      <c r="Y1163" s="11">
        <v>0</v>
      </c>
      <c r="Z1163" s="11">
        <f ca="1"/>
        <v>13.981228956228959</v>
      </c>
      <c r="AA1163" s="11">
        <f ca="1"/>
        <v>6.9906144781144794</v>
      </c>
      <c r="AB1163" s="4">
        <f ca="1"/>
        <v>45756</v>
      </c>
      <c r="AC1163" s="4">
        <v>45756</v>
      </c>
      <c r="AD1163" s="9">
        <v>45762</v>
      </c>
      <c r="AE1163" s="9">
        <v>45763</v>
      </c>
      <c r="AF1163" s="4" t="str">
        <f t="shared" ca="1" si="77"/>
        <v>2025 04</v>
      </c>
      <c r="AG1163" s="8" t="str" cm="1">
        <f t="array" ref="AG1163">IFERROR(_xlfn.IFS('Banco de Dados'!#REF!="AG. COMPRA","Em processamento",'Banco de Dados'!#REF!="AG. RASTREIO","Em processamento",'Banco de Dados'!$AE1163&lt;&gt;"-","Faturado",'Banco de Dados'!$AD1163&lt;&gt;"-","Aguardando Pix",'Banco de Dados'!$AC1163&lt;&gt;"-","Pendente"),"Aguardando Liberação")</f>
        <v>Aguardando Liberação</v>
      </c>
      <c r="AH1163" s="5" t="str">
        <f>IF('Banco de Dados'!$F1163="-",_xlfn.CONCAT(PROPER(TEXT(AK1163,"aaaa"))," ",PROPER(TEXT(AK1163,"mm"))),_xlfn.CONCAT(PROPER(TEXT(E1163,"aaaa"))," ",PROPER(TEXT(E1163,"mm"))))</f>
        <v>2025 03</v>
      </c>
      <c r="AI1163" s="9" t="str">
        <f ca="1">IF('Banco de Dados'!$AK1163&lt;&gt;"-","REEMBOLSO",IFERROR(_xlfn.XLOOKUP(G1163,Follow[CODRASTREIO],Follow[STATUS]),"-"))</f>
        <v>ENTREGUE</v>
      </c>
      <c r="AJ1163" s="9">
        <f ca="1">IF('Banco de Dados'!$AI1163="ENTREGUE",_xlfn.XLOOKUP('Banco de Dados'!$G1163,Follow[CODRASTREIO],Follow[DATAATUALIZAÇÃO]),"-")</f>
        <v>45748</v>
      </c>
      <c r="AK1163" s="132" t="str">
        <f ca="1"/>
        <v>-</v>
      </c>
      <c r="AL1163" s="35"/>
      <c r="AM1163" s="109" cm="1">
        <f t="array" aca="1" ref="AM1163" ca="1">IF('Banco de Dados'!$AK1163&lt;&gt;"-",_xlfn.IFS('Banco de Dados'!$A1163="bv",IF('Banco de Dados'!$E1163&lt;45641,ROUND(SUM('Banco de Dados'!$R1163*_xlfn.XLOOKUP('Banco de Dados'!$P1163,Sku!B:B,Sku!#REF!)*20%),2),ROUND(SUM('Banco de Dados'!$R1163*_xlfn.XLOOKUP('Banco de Dados'!$P1163,Sku!B:B,Sku!H:H)*20%),2)),'Banco de Dados'!$A1163="GO",ROUND(SUM('Banco de Dados'!$R1163*_xlfn.XLOOKUP('Banco de Dados'!$P1163,Sku!C:C,Sku!H:H)*20%),2),'Banco de Dados'!$A1163="MEI",ROUND(SUM('Banco de Dados'!$R1163*_xlfn.XLOOKUP('Banco de Dados'!$P1163,Sku!D:D,Sku!H:H)*20%),2)),0)</f>
        <v>0</v>
      </c>
      <c r="AN1163" s="109">
        <f ca="1">IF('Banco de Dados'!$AK1163&lt;&gt;"-",IF('Banco de Dados'!$F1163&lt;&gt;"-",_xlfn.XLOOKUP(IFERROR(IFERROR(IFERROR(VALUE(SUBSTITUTE(MID(_xlfn.TEXTAFTER('Banco de Dados'!$F1163,"Data do Pedido:
",1),1,10),"-","/")),VALUE(SUBSTITUTE(MID(_xlfn.TEXTAFTER('Banco de Dados'!$F1163,"Order date:
",1),1,10),"-","/"))),VALUE(SUBSTITUTE(MID(_xlfn.TEXTAFTER('Banco de Dados'!$F1163,"Fecha de pedido:
",1),1,10),"-","/"))),"-"),SMS!A:A,SMS!K:K),0),0)</f>
        <v>0</v>
      </c>
      <c r="AO1163" s="109">
        <f ca="1">IF('Banco de Dados'!$AK1163&lt;&gt;"-",IF('Banco de Dados'!$F1163&lt;&gt;"-",IFERROR(_xlfn.XLOOKUP(_xlfn.CONCAT('Banco de Dados'!$A1163,IFERROR(IFERROR(VALUE(SUBSTITUTE(MID(_xlfn.TEXTAFTER('Banco de Dados'!$F1163,"Data do Pedido:
",1),1,10),"-","/")),VALUE(SUBSTITUTE(MID(_xlfn.TEXTAFTER('Banco de Dados'!$F1163,"Order date:
",1),1,10),"-","/"))),0)),ProxyDD[Chave],ProxyDD[Valor por pedido]),PROXY!$P$2),0),0)</f>
        <v>0</v>
      </c>
      <c r="AP1163" s="28">
        <f ca="1">IF('Banco de Dados'!$AK1163&lt;&gt;"-",IF('Banco de Dados'!$AL1163="NÃO",IFERROR(VALUE(SUBSTITUTE(_xlfn.TEXTAFTER('Banco de Dados'!$F1163,"BRL ",1),".",",")),0),0),0)</f>
        <v>0</v>
      </c>
      <c r="AQ1163" s="28">
        <f ca="1">SUM('Banco de Dados'!$AM1163:$AP1163)</f>
        <v>0</v>
      </c>
      <c r="AR1163" s="8"/>
      <c r="AY1163" s="8"/>
    </row>
    <row r="1164" spans="1:51">
      <c r="A1164" s="5" t="str">
        <v>MEI</v>
      </c>
      <c r="B1164" s="5" t="str">
        <f ca="1"/>
        <v>MEI45728</v>
      </c>
      <c r="C1164" s="8" t="str">
        <v>Pedido 1151</v>
      </c>
      <c r="D1164" s="187">
        <v>45728</v>
      </c>
      <c r="E1164" s="9">
        <v>45728</v>
      </c>
      <c r="F1164" s="8" t="str">
        <v>PedidoF1128</v>
      </c>
      <c r="G1164" s="2" t="str">
        <v>CódRastreio1126</v>
      </c>
      <c r="H1164" s="5">
        <v>1</v>
      </c>
      <c r="I1164" s="2" t="str">
        <v>CPF 1120</v>
      </c>
      <c r="J1164" s="2" t="str">
        <v>Nome 1120</v>
      </c>
      <c r="K1164" s="8" t="str">
        <v>Tel 1120</v>
      </c>
      <c r="L1164" s="8" t="str">
        <v>Cep 1120</v>
      </c>
      <c r="M1164" s="8" t="str">
        <v>Rua 1120</v>
      </c>
      <c r="N1164" s="8" t="str">
        <v>Comp 1120</v>
      </c>
      <c r="O1164" s="8" t="str">
        <v>Mini Liquidificador</v>
      </c>
      <c r="P1164" s="8" t="str">
        <v>A4-5W51-K3HF</v>
      </c>
      <c r="Q1164" s="4">
        <v>45749</v>
      </c>
      <c r="R1164" s="109">
        <v>30.95</v>
      </c>
      <c r="S1164" s="11">
        <f ca="1"/>
        <v>30.95</v>
      </c>
      <c r="T1164" s="28">
        <f ca="1"/>
        <v>4.3330000000000002</v>
      </c>
      <c r="U1164" s="11">
        <f ca="1"/>
        <v>26.62</v>
      </c>
      <c r="V1164" s="11">
        <v>12.04</v>
      </c>
      <c r="W1164" s="11">
        <f ca="1"/>
        <v>0.2</v>
      </c>
      <c r="X1164" s="11">
        <f ca="1"/>
        <v>0.39877104377104378</v>
      </c>
      <c r="Y1164" s="11">
        <v>0</v>
      </c>
      <c r="Z1164" s="11">
        <f ca="1"/>
        <v>13.981228956228959</v>
      </c>
      <c r="AA1164" s="11">
        <f ca="1"/>
        <v>6.9906144781144794</v>
      </c>
      <c r="AB1164" s="4">
        <f ca="1"/>
        <v>45756</v>
      </c>
      <c r="AC1164" s="4">
        <v>45756</v>
      </c>
      <c r="AD1164" s="9">
        <v>45762</v>
      </c>
      <c r="AE1164" s="9">
        <v>45763</v>
      </c>
      <c r="AF1164" s="4" t="str">
        <f t="shared" ca="1" si="77"/>
        <v>2025 04</v>
      </c>
      <c r="AG1164" s="8" t="str" cm="1">
        <f t="array" ref="AG1164">IFERROR(_xlfn.IFS('Banco de Dados'!#REF!="AG. COMPRA","Em processamento",'Banco de Dados'!#REF!="AG. RASTREIO","Em processamento",'Banco de Dados'!$AE1164&lt;&gt;"-","Faturado",'Banco de Dados'!$AD1164&lt;&gt;"-","Aguardando Pix",'Banco de Dados'!$AC1164&lt;&gt;"-","Pendente"),"Aguardando Liberação")</f>
        <v>Aguardando Liberação</v>
      </c>
      <c r="AH1164" s="5" t="str">
        <f>IF('Banco de Dados'!$F1164="-",_xlfn.CONCAT(PROPER(TEXT(AK1164,"aaaa"))," ",PROPER(TEXT(AK1164,"mm"))),_xlfn.CONCAT(PROPER(TEXT(E1164,"aaaa"))," ",PROPER(TEXT(E1164,"mm"))))</f>
        <v>2025 03</v>
      </c>
      <c r="AI1164" s="9" t="str">
        <f ca="1">IF('Banco de Dados'!$AK1164&lt;&gt;"-","REEMBOLSO",IFERROR(_xlfn.XLOOKUP(G1164,Follow[CODRASTREIO],Follow[STATUS]),"-"))</f>
        <v>ENTREGUE</v>
      </c>
      <c r="AJ1164" s="9">
        <f ca="1">IF('Banco de Dados'!$AI1164="ENTREGUE",_xlfn.XLOOKUP('Banco de Dados'!$G1164,Follow[CODRASTREIO],Follow[DATAATUALIZAÇÃO]),"-")</f>
        <v>45749</v>
      </c>
      <c r="AK1164" s="132" t="str">
        <f ca="1"/>
        <v>-</v>
      </c>
      <c r="AL1164" s="35"/>
      <c r="AM1164" s="109" cm="1">
        <f t="array" aca="1" ref="AM1164" ca="1">IF('Banco de Dados'!$AK1164&lt;&gt;"-",_xlfn.IFS('Banco de Dados'!$A1164="bv",IF('Banco de Dados'!$E1164&lt;45641,ROUND(SUM('Banco de Dados'!$R1164*_xlfn.XLOOKUP('Banco de Dados'!$P1164,Sku!B:B,Sku!#REF!)*20%),2),ROUND(SUM('Banco de Dados'!$R1164*_xlfn.XLOOKUP('Banco de Dados'!$P1164,Sku!B:B,Sku!H:H)*20%),2)),'Banco de Dados'!$A1164="GO",ROUND(SUM('Banco de Dados'!$R1164*_xlfn.XLOOKUP('Banco de Dados'!$P1164,Sku!C:C,Sku!H:H)*20%),2),'Banco de Dados'!$A1164="MEI",ROUND(SUM('Banco de Dados'!$R1164*_xlfn.XLOOKUP('Banco de Dados'!$P1164,Sku!D:D,Sku!H:H)*20%),2)),0)</f>
        <v>0</v>
      </c>
      <c r="AN1164" s="109">
        <f ca="1">IF('Banco de Dados'!$AK1164&lt;&gt;"-",IF('Banco de Dados'!$F1164&lt;&gt;"-",_xlfn.XLOOKUP(IFERROR(IFERROR(IFERROR(VALUE(SUBSTITUTE(MID(_xlfn.TEXTAFTER('Banco de Dados'!$F1164,"Data do Pedido:
",1),1,10),"-","/")),VALUE(SUBSTITUTE(MID(_xlfn.TEXTAFTER('Banco de Dados'!$F1164,"Order date:
",1),1,10),"-","/"))),VALUE(SUBSTITUTE(MID(_xlfn.TEXTAFTER('Banco de Dados'!$F1164,"Fecha de pedido:
",1),1,10),"-","/"))),"-"),SMS!A:A,SMS!K:K),0),0)</f>
        <v>0</v>
      </c>
      <c r="AO1164" s="109">
        <f ca="1">IF('Banco de Dados'!$AK1164&lt;&gt;"-",IF('Banco de Dados'!$F1164&lt;&gt;"-",IFERROR(_xlfn.XLOOKUP(_xlfn.CONCAT('Banco de Dados'!$A1164,IFERROR(IFERROR(VALUE(SUBSTITUTE(MID(_xlfn.TEXTAFTER('Banco de Dados'!$F1164,"Data do Pedido:
",1),1,10),"-","/")),VALUE(SUBSTITUTE(MID(_xlfn.TEXTAFTER('Banco de Dados'!$F1164,"Order date:
",1),1,10),"-","/"))),0)),ProxyDD[Chave],ProxyDD[Valor por pedido]),PROXY!$P$2),0),0)</f>
        <v>0</v>
      </c>
      <c r="AP1164" s="28">
        <f ca="1">IF('Banco de Dados'!$AK1164&lt;&gt;"-",IF('Banco de Dados'!$AL1164="NÃO",IFERROR(VALUE(SUBSTITUTE(_xlfn.TEXTAFTER('Banco de Dados'!$F1164,"BRL ",1),".",",")),0),0),0)</f>
        <v>0</v>
      </c>
      <c r="AQ1164" s="28">
        <f ca="1">SUM('Banco de Dados'!$AM1164:$AP1164)</f>
        <v>0</v>
      </c>
      <c r="AR1164" s="8"/>
      <c r="AY1164" s="8"/>
    </row>
    <row r="1165" spans="1:51">
      <c r="A1165" s="5" t="str">
        <v>BV</v>
      </c>
      <c r="B1165" s="5" t="str">
        <f ca="1"/>
        <v>BV45730</v>
      </c>
      <c r="C1165" s="8" t="str">
        <v>Pedido 1152</v>
      </c>
      <c r="D1165" s="9">
        <v>45729</v>
      </c>
      <c r="E1165" s="9">
        <v>45730</v>
      </c>
      <c r="F1165" s="8" t="str">
        <v>PedidoF1129</v>
      </c>
      <c r="G1165" s="2" t="str">
        <v>CódRastreio1127</v>
      </c>
      <c r="H1165" s="5">
        <v>1</v>
      </c>
      <c r="I1165" s="2" t="str">
        <v>CPF 1121</v>
      </c>
      <c r="J1165" s="2" t="str">
        <v>Nome 1121</v>
      </c>
      <c r="K1165" s="8" t="str">
        <v>Tel 1121</v>
      </c>
      <c r="L1165" s="8" t="str">
        <v>Cep 1121</v>
      </c>
      <c r="M1165" s="8" t="str">
        <v>Rua 1121</v>
      </c>
      <c r="N1165" s="8" t="str">
        <v>Comp 1121</v>
      </c>
      <c r="O1165" s="8" t="str">
        <v>Garrafa Termica</v>
      </c>
      <c r="P1165" s="8" t="str">
        <v>FM-QQ8Y-RZT4</v>
      </c>
      <c r="Q1165" s="4">
        <v>45756</v>
      </c>
      <c r="R1165" s="109">
        <v>23.5</v>
      </c>
      <c r="S1165" s="11">
        <f ca="1"/>
        <v>23.5</v>
      </c>
      <c r="T1165" s="28">
        <f ca="1"/>
        <v>3.0550000000000002</v>
      </c>
      <c r="U1165" s="11">
        <f ca="1"/>
        <v>20.45</v>
      </c>
      <c r="V1165" s="11">
        <v>16.8</v>
      </c>
      <c r="W1165" s="11">
        <f ca="1"/>
        <v>0.23</v>
      </c>
      <c r="X1165" s="11">
        <f ca="1"/>
        <v>0.39877104377104378</v>
      </c>
      <c r="Y1165" s="11">
        <v>0</v>
      </c>
      <c r="Z1165" s="11">
        <f ca="1"/>
        <v>3.0212289562289527</v>
      </c>
      <c r="AA1165" s="11">
        <f ca="1"/>
        <v>1.5106144781144764</v>
      </c>
      <c r="AB1165" s="4">
        <f ca="1"/>
        <v>45763</v>
      </c>
      <c r="AC1165" s="4">
        <v>45763</v>
      </c>
      <c r="AD1165" s="9">
        <v>45779</v>
      </c>
      <c r="AE1165" s="9">
        <v>45783</v>
      </c>
      <c r="AF1165" s="4" t="str">
        <f t="shared" ref="AF1165:AF1179" ca="1" si="78">_xlfn.CONCAT(PROPER(TEXT(AB1165,"aaaa"))," ",PROPER(TEXT(AB1165,"mm")))</f>
        <v>2025 04</v>
      </c>
      <c r="AG1165" s="8" t="str" cm="1">
        <f t="array" ref="AG1165">IFERROR(_xlfn.IFS('Banco de Dados'!#REF!="AG. COMPRA","Em processamento",'Banco de Dados'!#REF!="AG. RASTREIO","Em processamento",'Banco de Dados'!$AE1165&lt;&gt;"-","Faturado",'Banco de Dados'!$AD1165&lt;&gt;"-","Aguardando Pix",'Banco de Dados'!$AC1165&lt;&gt;"-","Pendente"),"Aguardando Liberação")</f>
        <v>Aguardando Liberação</v>
      </c>
      <c r="AH1165" s="5" t="str">
        <f>IF('Banco de Dados'!$F1165="-",_xlfn.CONCAT(PROPER(TEXT(AK1165,"aaaa"))," ",PROPER(TEXT(AK1165,"mm"))),_xlfn.CONCAT(PROPER(TEXT(E1165,"aaaa"))," ",PROPER(TEXT(E1165,"mm"))))</f>
        <v>2025 03</v>
      </c>
      <c r="AI1165" s="9" t="str">
        <f ca="1">IF('Banco de Dados'!$AK1165&lt;&gt;"-","REEMBOLSO",IFERROR(_xlfn.XLOOKUP(G1165,Follow[CODRASTREIO],Follow[STATUS]),"-"))</f>
        <v>ENTREGUE</v>
      </c>
      <c r="AJ1165" s="9">
        <f ca="1">IF('Banco de Dados'!$AI1165="ENTREGUE",_xlfn.XLOOKUP('Banco de Dados'!$G1165,Follow[CODRASTREIO],Follow[DATAATUALIZAÇÃO]),"-")</f>
        <v>45743</v>
      </c>
      <c r="AK1165" s="132" t="str">
        <f ca="1"/>
        <v>-</v>
      </c>
      <c r="AL1165" s="35"/>
      <c r="AM1165" s="109" cm="1">
        <f t="array" aca="1" ref="AM1165" ca="1">IF('Banco de Dados'!$AK1165&lt;&gt;"-",_xlfn.IFS('Banco de Dados'!$A1165="bv",IF('Banco de Dados'!$E1165&lt;45641,ROUND(SUM('Banco de Dados'!$R1165*_xlfn.XLOOKUP('Banco de Dados'!$P1165,Sku!B:B,Sku!#REF!)*20%),2),ROUND(SUM('Banco de Dados'!$R1165*_xlfn.XLOOKUP('Banco de Dados'!$P1165,Sku!B:B,Sku!H:H)*20%),2)),'Banco de Dados'!$A1165="GO",ROUND(_xlfn.XLOOKUP('Banco de Dados'!$P1165,Sku!C:C,Sku!H:H),2),'Banco de Dados'!$A1165="MEI",ROUND(_xlfn.XLOOKUP('Banco de Dados'!$P1165,Sku!D:D,Sku!H:H),2)),0)</f>
        <v>0</v>
      </c>
      <c r="AN1165" s="109">
        <f ca="1">IF('Banco de Dados'!$AK1165&lt;&gt;"-",IF('Banco de Dados'!$F1165&lt;&gt;"-",_xlfn.XLOOKUP(IFERROR(IFERROR(IFERROR(VALUE(SUBSTITUTE(MID(_xlfn.TEXTAFTER('Banco de Dados'!$F1165,"Data do Pedido:
",1),1,10),"-","/")),VALUE(SUBSTITUTE(MID(_xlfn.TEXTAFTER('Banco de Dados'!$F1165,"Order date:
",1),1,10),"-","/"))),VALUE(SUBSTITUTE(MID(_xlfn.TEXTAFTER('Banco de Dados'!$F1165,"Fecha de pedido:
",1),1,10),"-","/"))),"-"),SMS!A:A,SMS!K:K),0),0)</f>
        <v>0</v>
      </c>
      <c r="AO1165" s="109">
        <f ca="1">IF('Banco de Dados'!$AK1165&lt;&gt;"-",IF('Banco de Dados'!$F1165&lt;&gt;"-",IFERROR(_xlfn.XLOOKUP(_xlfn.CONCAT('Banco de Dados'!$A1165,IFERROR(IFERROR(VALUE(SUBSTITUTE(MID(_xlfn.TEXTAFTER('Banco de Dados'!$F1165,"Data do Pedido:
",1),1,10),"-","/")),VALUE(SUBSTITUTE(MID(_xlfn.TEXTAFTER('Banco de Dados'!$F1165,"Order date:
",1),1,10),"-","/"))),0)),ProxyDD[Chave],ProxyDD[Valor por pedido]),PROXY!$P$2),0),0)</f>
        <v>0</v>
      </c>
      <c r="AP1165" s="28">
        <f ca="1">IF('Banco de Dados'!$AK1165&lt;&gt;"-",IF('Banco de Dados'!$AL1165="NÃO",IFERROR(VALUE(SUBSTITUTE(_xlfn.TEXTAFTER('Banco de Dados'!$F1165,"BRL ",1),".",",")),0),0),0)</f>
        <v>0</v>
      </c>
      <c r="AQ1165" s="28">
        <f ca="1">SUM('Banco de Dados'!$AM1165:$AP1165)</f>
        <v>0</v>
      </c>
      <c r="AR1165" s="8"/>
      <c r="AY1165" s="8"/>
    </row>
    <row r="1166" spans="1:51">
      <c r="A1166" s="5" t="str">
        <v>BV</v>
      </c>
      <c r="B1166" s="5" t="str">
        <f ca="1"/>
        <v>BV45730</v>
      </c>
      <c r="C1166" s="8" t="str">
        <v>Pedido 1153</v>
      </c>
      <c r="D1166" s="9">
        <v>45729</v>
      </c>
      <c r="E1166" s="9">
        <v>45730</v>
      </c>
      <c r="F1166" s="8" t="str">
        <v>PedidoF1130</v>
      </c>
      <c r="G1166" s="2" t="str">
        <v>CódRastreio1128</v>
      </c>
      <c r="H1166" s="5">
        <v>1</v>
      </c>
      <c r="I1166" s="2" t="str">
        <v>CPF 1122</v>
      </c>
      <c r="J1166" s="2" t="str">
        <v>Nome 1122</v>
      </c>
      <c r="K1166" s="8" t="str">
        <v>Tel 1122</v>
      </c>
      <c r="L1166" s="8" t="str">
        <v>Cep 1122</v>
      </c>
      <c r="M1166" s="8" t="str">
        <v>Rua 1122</v>
      </c>
      <c r="N1166" s="8" t="str">
        <v>Comp 1122</v>
      </c>
      <c r="O1166" s="8" t="str">
        <v>Garrafa Termica</v>
      </c>
      <c r="P1166" s="8" t="str">
        <v>FM-QQ8Y-RZT4</v>
      </c>
      <c r="Q1166" s="4">
        <v>45756</v>
      </c>
      <c r="R1166" s="109">
        <v>23.5</v>
      </c>
      <c r="S1166" s="11">
        <f ca="1"/>
        <v>23.5</v>
      </c>
      <c r="T1166" s="28">
        <f ca="1"/>
        <v>3.0550000000000002</v>
      </c>
      <c r="U1166" s="11">
        <f ca="1"/>
        <v>20.45</v>
      </c>
      <c r="V1166" s="11">
        <v>16.8</v>
      </c>
      <c r="W1166" s="11">
        <f ca="1"/>
        <v>0.23</v>
      </c>
      <c r="X1166" s="11">
        <f ca="1"/>
        <v>0.39877104377104378</v>
      </c>
      <c r="Y1166" s="11">
        <v>0</v>
      </c>
      <c r="Z1166" s="11">
        <f ca="1"/>
        <v>3.0212289562289527</v>
      </c>
      <c r="AA1166" s="11">
        <f ca="1"/>
        <v>1.5106144781144764</v>
      </c>
      <c r="AB1166" s="4">
        <f ca="1"/>
        <v>45763</v>
      </c>
      <c r="AC1166" s="4">
        <v>45763</v>
      </c>
      <c r="AD1166" s="9">
        <v>45779</v>
      </c>
      <c r="AE1166" s="9">
        <v>45783</v>
      </c>
      <c r="AF1166" s="4" t="str">
        <f t="shared" ca="1" si="78"/>
        <v>2025 04</v>
      </c>
      <c r="AG1166" s="8" t="str" cm="1">
        <f t="array" ref="AG1166">IFERROR(_xlfn.IFS('Banco de Dados'!#REF!="AG. COMPRA","Em processamento",'Banco de Dados'!#REF!="AG. RASTREIO","Em processamento",'Banco de Dados'!$AE1166&lt;&gt;"-","Faturado",'Banco de Dados'!$AD1166&lt;&gt;"-","Aguardando Pix",'Banco de Dados'!$AC1166&lt;&gt;"-","Pendente"),"Aguardando Liberação")</f>
        <v>Aguardando Liberação</v>
      </c>
      <c r="AH1166" s="5" t="str">
        <f>IF('Banco de Dados'!$F1166="-",_xlfn.CONCAT(PROPER(TEXT(AK1166,"aaaa"))," ",PROPER(TEXT(AK1166,"mm"))),_xlfn.CONCAT(PROPER(TEXT(E1166,"aaaa"))," ",PROPER(TEXT(E1166,"mm"))))</f>
        <v>2025 03</v>
      </c>
      <c r="AI1166" s="9" t="str">
        <f ca="1">IF('Banco de Dados'!$AK1166&lt;&gt;"-","REEMBOLSO",IFERROR(_xlfn.XLOOKUP(G1166,Follow[CODRASTREIO],Follow[STATUS]),"-"))</f>
        <v>ENTREGUE</v>
      </c>
      <c r="AJ1166" s="9">
        <f ca="1">IF('Banco de Dados'!$AI1166="ENTREGUE",_xlfn.XLOOKUP('Banco de Dados'!$G1166,Follow[CODRASTREIO],Follow[DATAATUALIZAÇÃO]),"-")</f>
        <v>45743</v>
      </c>
      <c r="AK1166" s="132" t="str">
        <f ca="1"/>
        <v>-</v>
      </c>
      <c r="AL1166" s="35"/>
      <c r="AM1166" s="109" cm="1">
        <f t="array" aca="1" ref="AM1166" ca="1">IF('Banco de Dados'!$AK1166&lt;&gt;"-",_xlfn.IFS('Banco de Dados'!$A1166="bv",IF('Banco de Dados'!$E1166&lt;45641,ROUND(SUM('Banco de Dados'!$R1166*_xlfn.XLOOKUP('Banco de Dados'!$P1166,Sku!B:B,Sku!#REF!)*20%),2),ROUND(SUM('Banco de Dados'!$R1166*_xlfn.XLOOKUP('Banco de Dados'!$P1166,Sku!B:B,Sku!H:H)*20%),2)),'Banco de Dados'!$A1166="GO",ROUND(_xlfn.XLOOKUP('Banco de Dados'!$P1166,Sku!C:C,Sku!H:H),2),'Banco de Dados'!$A1166="MEI",ROUND(_xlfn.XLOOKUP('Banco de Dados'!$P1166,Sku!D:D,Sku!H:H),2)),0)</f>
        <v>0</v>
      </c>
      <c r="AN1166" s="109">
        <f ca="1">IF('Banco de Dados'!$AK1166&lt;&gt;"-",IF('Banco de Dados'!$F1166&lt;&gt;"-",_xlfn.XLOOKUP(IFERROR(IFERROR(IFERROR(VALUE(SUBSTITUTE(MID(_xlfn.TEXTAFTER('Banco de Dados'!$F1166,"Data do Pedido:
",1),1,10),"-","/")),VALUE(SUBSTITUTE(MID(_xlfn.TEXTAFTER('Banco de Dados'!$F1166,"Order date:
",1),1,10),"-","/"))),VALUE(SUBSTITUTE(MID(_xlfn.TEXTAFTER('Banco de Dados'!$F1166,"Fecha de pedido:
",1),1,10),"-","/"))),"-"),SMS!A:A,SMS!K:K),0),0)</f>
        <v>0</v>
      </c>
      <c r="AO1166" s="109">
        <f ca="1">IF('Banco de Dados'!$AK1166&lt;&gt;"-",IF('Banco de Dados'!$F1166&lt;&gt;"-",IFERROR(_xlfn.XLOOKUP(_xlfn.CONCAT('Banco de Dados'!$A1166,IFERROR(IFERROR(VALUE(SUBSTITUTE(MID(_xlfn.TEXTAFTER('Banco de Dados'!$F1166,"Data do Pedido:
",1),1,10),"-","/")),VALUE(SUBSTITUTE(MID(_xlfn.TEXTAFTER('Banco de Dados'!$F1166,"Order date:
",1),1,10),"-","/"))),0)),ProxyDD[Chave],ProxyDD[Valor por pedido]),PROXY!$P$2),0),0)</f>
        <v>0</v>
      </c>
      <c r="AP1166" s="28">
        <f ca="1">IF('Banco de Dados'!$AK1166&lt;&gt;"-",IF('Banco de Dados'!$AL1166="NÃO",IFERROR(VALUE(SUBSTITUTE(_xlfn.TEXTAFTER('Banco de Dados'!$F1166,"BRL ",1),".",",")),0),0),0)</f>
        <v>0</v>
      </c>
      <c r="AQ1166" s="28">
        <f ca="1">SUM('Banco de Dados'!$AM1166:$AP1166)</f>
        <v>0</v>
      </c>
      <c r="AR1166" s="8"/>
      <c r="AY1166" s="8"/>
    </row>
    <row r="1167" spans="1:51">
      <c r="A1167" s="5" t="str">
        <v>BV</v>
      </c>
      <c r="B1167" s="5" t="str">
        <f ca="1"/>
        <v>BV45729</v>
      </c>
      <c r="C1167" s="8" t="str">
        <v>Pedido 1154</v>
      </c>
      <c r="D1167" s="9">
        <v>45729</v>
      </c>
      <c r="E1167" s="9">
        <v>45729</v>
      </c>
      <c r="F1167" s="8" t="str">
        <v>PedidoF1131</v>
      </c>
      <c r="G1167" s="2" t="str">
        <v>CódRastreio1129</v>
      </c>
      <c r="H1167" s="5">
        <v>1</v>
      </c>
      <c r="I1167" s="2" t="str">
        <v>CPF 1123</v>
      </c>
      <c r="J1167" s="2" t="str">
        <v>Nome 1123</v>
      </c>
      <c r="K1167" s="8" t="str">
        <v>Tel 1123</v>
      </c>
      <c r="L1167" s="8" t="str">
        <v>Cep 1123</v>
      </c>
      <c r="M1167" s="8" t="str">
        <v>Rua 1123</v>
      </c>
      <c r="N1167" s="8" t="str">
        <v>Comp 1123</v>
      </c>
      <c r="O1167" s="8" t="str">
        <v>Lampada Led</v>
      </c>
      <c r="P1167" s="8" t="str">
        <v>RB-W251-UXV2</v>
      </c>
      <c r="Q1167" s="4">
        <v>45750</v>
      </c>
      <c r="R1167" s="109">
        <v>26.99</v>
      </c>
      <c r="S1167" s="11">
        <f ca="1"/>
        <v>26.99</v>
      </c>
      <c r="T1167" s="28">
        <f ca="1"/>
        <v>3.5086999999999997</v>
      </c>
      <c r="U1167" s="11">
        <f ca="1"/>
        <v>23.48</v>
      </c>
      <c r="V1167" s="11">
        <v>10.220000000000001</v>
      </c>
      <c r="W1167" s="11">
        <f ca="1"/>
        <v>0.4</v>
      </c>
      <c r="X1167" s="11">
        <f ca="1"/>
        <v>0.39877104377104378</v>
      </c>
      <c r="Y1167" s="11">
        <v>0</v>
      </c>
      <c r="Z1167" s="11">
        <f ca="1"/>
        <v>12.461228956228956</v>
      </c>
      <c r="AA1167" s="11">
        <f ca="1"/>
        <v>6.2306144781144779</v>
      </c>
      <c r="AB1167" s="4">
        <f ca="1"/>
        <v>45757</v>
      </c>
      <c r="AC1167" s="4">
        <v>45757</v>
      </c>
      <c r="AD1167" s="9">
        <v>45762</v>
      </c>
      <c r="AE1167" s="9">
        <v>45763</v>
      </c>
      <c r="AF1167" s="4" t="str">
        <f t="shared" ca="1" si="78"/>
        <v>2025 04</v>
      </c>
      <c r="AG1167" s="8" t="str" cm="1">
        <f t="array" ref="AG1167">IFERROR(_xlfn.IFS('Banco de Dados'!#REF!="AG. COMPRA","Em processamento",'Banco de Dados'!#REF!="AG. RASTREIO","Em processamento",'Banco de Dados'!$AE1167&lt;&gt;"-","Faturado",'Banco de Dados'!$AD1167&lt;&gt;"-","Aguardando Pix",'Banco de Dados'!$AC1167&lt;&gt;"-","Pendente"),"Aguardando Liberação")</f>
        <v>Aguardando Liberação</v>
      </c>
      <c r="AH1167" s="5" t="str">
        <f>IF('Banco de Dados'!$F1167="-",_xlfn.CONCAT(PROPER(TEXT(AK1167,"aaaa"))," ",PROPER(TEXT(AK1167,"mm"))),_xlfn.CONCAT(PROPER(TEXT(E1167,"aaaa"))," ",PROPER(TEXT(E1167,"mm"))))</f>
        <v>2025 03</v>
      </c>
      <c r="AI1167" s="9" t="str">
        <f ca="1">IF('Banco de Dados'!$AK1167&lt;&gt;"-","REEMBOLSO",IFERROR(_xlfn.XLOOKUP(G1167,Follow[CODRASTREIO],Follow[STATUS]),"-"))</f>
        <v>ENTREGUE</v>
      </c>
      <c r="AJ1167" s="9">
        <f ca="1">IF('Banco de Dados'!$AI1167="ENTREGUE",_xlfn.XLOOKUP('Banco de Dados'!$G1167,Follow[CODRASTREIO],Follow[DATAATUALIZAÇÃO]),"-")</f>
        <v>45741</v>
      </c>
      <c r="AK1167" s="132" t="str">
        <f ca="1"/>
        <v>-</v>
      </c>
      <c r="AL1167" s="35"/>
      <c r="AM1167" s="109" cm="1">
        <f t="array" aca="1" ref="AM1167" ca="1">IF('Banco de Dados'!$AK1167&lt;&gt;"-",_xlfn.IFS('Banco de Dados'!$A1167="bv",IF('Banco de Dados'!$E1167&lt;45641,ROUND(SUM('Banco de Dados'!$R1167*_xlfn.XLOOKUP('Banco de Dados'!$P1167,Sku!B:B,Sku!#REF!)*20%),2),ROUND(SUM('Banco de Dados'!$R1167*_xlfn.XLOOKUP('Banco de Dados'!$P1167,Sku!B:B,Sku!H:H)*20%),2)),'Banco de Dados'!$A1167="GO",ROUND(_xlfn.XLOOKUP('Banco de Dados'!$P1167,Sku!C:C,Sku!H:H),2),'Banco de Dados'!$A1167="MEI",ROUND(_xlfn.XLOOKUP('Banco de Dados'!$P1167,Sku!D:D,Sku!H:H),2)),0)</f>
        <v>0</v>
      </c>
      <c r="AN1167" s="109">
        <f ca="1">IF('Banco de Dados'!$AK1167&lt;&gt;"-",IF('Banco de Dados'!$F1167&lt;&gt;"-",_xlfn.XLOOKUP(IFERROR(IFERROR(IFERROR(VALUE(SUBSTITUTE(MID(_xlfn.TEXTAFTER('Banco de Dados'!$F1167,"Data do Pedido:
",1),1,10),"-","/")),VALUE(SUBSTITUTE(MID(_xlfn.TEXTAFTER('Banco de Dados'!$F1167,"Order date:
",1),1,10),"-","/"))),VALUE(SUBSTITUTE(MID(_xlfn.TEXTAFTER('Banco de Dados'!$F1167,"Fecha de pedido:
",1),1,10),"-","/"))),"-"),SMS!A:A,SMS!K:K),0),0)</f>
        <v>0</v>
      </c>
      <c r="AO1167" s="109">
        <f ca="1">IF('Banco de Dados'!$AK1167&lt;&gt;"-",IF('Banco de Dados'!$F1167&lt;&gt;"-",IFERROR(_xlfn.XLOOKUP(_xlfn.CONCAT('Banco de Dados'!$A1167,IFERROR(IFERROR(VALUE(SUBSTITUTE(MID(_xlfn.TEXTAFTER('Banco de Dados'!$F1167,"Data do Pedido:
",1),1,10),"-","/")),VALUE(SUBSTITUTE(MID(_xlfn.TEXTAFTER('Banco de Dados'!$F1167,"Order date:
",1),1,10),"-","/"))),0)),ProxyDD[Chave],ProxyDD[Valor por pedido]),PROXY!$P$2),0),0)</f>
        <v>0</v>
      </c>
      <c r="AP1167" s="28">
        <f ca="1">IF('Banco de Dados'!$AK1167&lt;&gt;"-",IF('Banco de Dados'!$AL1167="NÃO",IFERROR(VALUE(SUBSTITUTE(_xlfn.TEXTAFTER('Banco de Dados'!$F1167,"BRL ",1),".",",")),0),0),0)</f>
        <v>0</v>
      </c>
      <c r="AQ1167" s="28">
        <f ca="1">SUM('Banco de Dados'!$AM1167:$AP1167)</f>
        <v>0</v>
      </c>
      <c r="AR1167" s="8"/>
      <c r="AY1167" s="8"/>
    </row>
    <row r="1168" spans="1:51">
      <c r="A1168" s="5" t="str">
        <v>BV</v>
      </c>
      <c r="B1168" s="5" t="str">
        <f ca="1"/>
        <v>BV45729</v>
      </c>
      <c r="C1168" s="8" t="str">
        <v>Pedido 1155</v>
      </c>
      <c r="D1168" s="9">
        <v>45729</v>
      </c>
      <c r="E1168" s="9">
        <v>45729</v>
      </c>
      <c r="F1168" s="8" t="str">
        <v>PedidoF1132</v>
      </c>
      <c r="G1168" s="2" t="str">
        <v>CódRastreio1130</v>
      </c>
      <c r="H1168" s="5">
        <v>1</v>
      </c>
      <c r="I1168" s="2" t="str">
        <v>CPF 1124</v>
      </c>
      <c r="J1168" s="2" t="str">
        <v>Nome 1124</v>
      </c>
      <c r="K1168" s="8" t="str">
        <v>Tel 1124</v>
      </c>
      <c r="L1168" s="8" t="str">
        <v>Cep 1124</v>
      </c>
      <c r="M1168" s="8" t="str">
        <v>Rua 1124</v>
      </c>
      <c r="N1168" s="8" t="str">
        <v>Comp 1124</v>
      </c>
      <c r="O1168" s="8" t="str">
        <v>Garrafa Termica</v>
      </c>
      <c r="P1168" s="8" t="str">
        <v>FM-QQ8Y-RZT4</v>
      </c>
      <c r="Q1168" s="4">
        <v>45748</v>
      </c>
      <c r="R1168" s="109">
        <v>23.5</v>
      </c>
      <c r="S1168" s="11">
        <f ca="1"/>
        <v>0</v>
      </c>
      <c r="T1168" s="28">
        <f ca="1"/>
        <v>0</v>
      </c>
      <c r="U1168" s="11">
        <f ca="1"/>
        <v>0</v>
      </c>
      <c r="V1168" s="11">
        <v>0</v>
      </c>
      <c r="W1168" s="11">
        <f ca="1"/>
        <v>0</v>
      </c>
      <c r="X1168" s="11">
        <f ca="1"/>
        <v>0.39877104377104378</v>
      </c>
      <c r="Y1168" s="11">
        <v>0</v>
      </c>
      <c r="Z1168" s="11">
        <f ca="1"/>
        <v>-0.39877104377104378</v>
      </c>
      <c r="AA1168" s="11">
        <f ca="1"/>
        <v>-0.19938552188552189</v>
      </c>
      <c r="AB1168" s="4">
        <f ca="1"/>
        <v>45755</v>
      </c>
      <c r="AC1168" s="4">
        <v>45755</v>
      </c>
      <c r="AD1168" s="9">
        <v>45762</v>
      </c>
      <c r="AE1168" s="9">
        <v>45763</v>
      </c>
      <c r="AF1168" s="4" t="str">
        <f t="shared" ca="1" si="78"/>
        <v>2025 04</v>
      </c>
      <c r="AG1168" s="8" t="str" cm="1">
        <f t="array" ref="AG1168">IFERROR(_xlfn.IFS('Banco de Dados'!#REF!="AG. COMPRA","Em processamento",'Banco de Dados'!#REF!="AG. RASTREIO","Em processamento",'Banco de Dados'!$AE1168&lt;&gt;"-","Faturado",'Banco de Dados'!$AD1168&lt;&gt;"-","Aguardando Pix",'Banco de Dados'!$AC1168&lt;&gt;"-","Pendente"),"Aguardando Liberação")</f>
        <v>Aguardando Liberação</v>
      </c>
      <c r="AH1168" s="5" t="str">
        <f>IF('Banco de Dados'!$F1168="-",_xlfn.CONCAT(PROPER(TEXT(AK1168,"aaaa"))," ",PROPER(TEXT(AK1168,"mm"))),_xlfn.CONCAT(PROPER(TEXT(E1168,"aaaa"))," ",PROPER(TEXT(E1168,"mm"))))</f>
        <v>2025 03</v>
      </c>
      <c r="AI1168" s="9" t="str">
        <f ca="1">IF('Banco de Dados'!$AK1168&lt;&gt;"-","REEMBOLSO",IFERROR(_xlfn.XLOOKUP(G1168,Follow[CODRASTREIO],Follow[STATUS]),"-"))</f>
        <v>REEMBOLSO</v>
      </c>
      <c r="AJ1168" s="9" t="str">
        <f ca="1">IF('Banco de Dados'!$AI1168="ENTREGUE",_xlfn.XLOOKUP('Banco de Dados'!$G1168,Follow[CODRASTREIO],Follow[DATAATUALIZAÇÃO]),"-")</f>
        <v>-</v>
      </c>
      <c r="AK1168" s="132">
        <f ca="1"/>
        <v>45755</v>
      </c>
      <c r="AL1168" s="35"/>
      <c r="AM1168" s="109" cm="1">
        <f t="array" aca="1" ref="AM1168" ca="1">IF('Banco de Dados'!$AK1168&lt;&gt;"-",_xlfn.IFS('Banco de Dados'!$A1168="bv",IF('Banco de Dados'!$E1168&lt;45641,ROUND(SUM('Banco de Dados'!$R1168*_xlfn.XLOOKUP('Banco de Dados'!$P1168,Sku!B:B,Sku!#REF!)*20%),2),ROUND(SUM('Banco de Dados'!$R1168*_xlfn.XLOOKUP('Banco de Dados'!$P1168,Sku!B:B,Sku!H:H)*20%),2)),'Banco de Dados'!$A1168="GO",ROUND(_xlfn.XLOOKUP('Banco de Dados'!$P1168,Sku!C:C,Sku!H:H),2),'Banco de Dados'!$A1168="MEI",ROUND(_xlfn.XLOOKUP('Banco de Dados'!$P1168,Sku!D:D,Sku!H:H),2)),0)</f>
        <v>0.61</v>
      </c>
      <c r="AN1168" s="109" t="e">
        <f ca="1">IF('Banco de Dados'!$AK1168&lt;&gt;"-",IF('Banco de Dados'!$F1168&lt;&gt;"-",_xlfn.XLOOKUP(IFERROR(IFERROR(IFERROR(VALUE(SUBSTITUTE(MID(_xlfn.TEXTAFTER('Banco de Dados'!$F1168,"Data do Pedido:
",1),1,10),"-","/")),VALUE(SUBSTITUTE(MID(_xlfn.TEXTAFTER('Banco de Dados'!$F1168,"Order date:
",1),1,10),"-","/"))),VALUE(SUBSTITUTE(MID(_xlfn.TEXTAFTER('Banco de Dados'!$F1168,"Fecha de pedido:
",1),1,10),"-","/"))),"-"),SMS!A:A,SMS!K:K),0),0)</f>
        <v>#N/A</v>
      </c>
      <c r="AO1168" s="109">
        <f ca="1">IF('Banco de Dados'!$AK1168&lt;&gt;"-",IF('Banco de Dados'!$F1168&lt;&gt;"-",IFERROR(_xlfn.XLOOKUP(_xlfn.CONCAT('Banco de Dados'!$A1168,IFERROR(IFERROR(VALUE(SUBSTITUTE(MID(_xlfn.TEXTAFTER('Banco de Dados'!$F1168,"Data do Pedido:
",1),1,10),"-","/")),VALUE(SUBSTITUTE(MID(_xlfn.TEXTAFTER('Banco de Dados'!$F1168,"Order date:
",1),1,10),"-","/"))),0)),ProxyDD[Chave],ProxyDD[Valor por pedido]),PROXY!$P$2),0),0)</f>
        <v>0.39877104377104378</v>
      </c>
      <c r="AP1168" s="28">
        <f ca="1">IF('Banco de Dados'!$AK1168&lt;&gt;"-",IF('Banco de Dados'!$AL1168="NÃO",IFERROR(VALUE(SUBSTITUTE(_xlfn.TEXTAFTER('Banco de Dados'!$F1168,"BRL ",1),".",",")),0),0),0)</f>
        <v>0</v>
      </c>
      <c r="AQ1168" s="28" t="e">
        <f ca="1">SUM('Banco de Dados'!$AM1168:$AP1168)</f>
        <v>#N/A</v>
      </c>
      <c r="AR1168" s="8"/>
      <c r="AY1168" s="8"/>
    </row>
    <row r="1169" spans="1:51">
      <c r="A1169" s="5" t="str">
        <v>BV</v>
      </c>
      <c r="B1169" s="5" t="str">
        <f ca="1"/>
        <v>BV45729</v>
      </c>
      <c r="C1169" s="8" t="str">
        <v>Pedido 1156</v>
      </c>
      <c r="D1169" s="9">
        <v>45729</v>
      </c>
      <c r="E1169" s="9">
        <v>45729</v>
      </c>
      <c r="F1169" s="8" t="str">
        <v>PedidoF1133</v>
      </c>
      <c r="G1169" s="2" t="str">
        <v>CódRastreio1131</v>
      </c>
      <c r="H1169" s="5">
        <v>1</v>
      </c>
      <c r="I1169" s="2" t="str">
        <v>CPF 1125</v>
      </c>
      <c r="J1169" s="2" t="str">
        <v>Nome 1125</v>
      </c>
      <c r="K1169" s="8" t="str">
        <v>Tel 1125</v>
      </c>
      <c r="L1169" s="8" t="str">
        <v>Cep 1125</v>
      </c>
      <c r="M1169" s="8" t="str">
        <v>Rua 1125</v>
      </c>
      <c r="N1169" s="8" t="str">
        <v>Comp 1125</v>
      </c>
      <c r="O1169" s="8" t="str">
        <v>Garrafa Termica</v>
      </c>
      <c r="P1169" s="8" t="str">
        <v>FM-QQ8Y-RZT4</v>
      </c>
      <c r="Q1169" s="4">
        <v>45756</v>
      </c>
      <c r="R1169" s="109">
        <v>23.5</v>
      </c>
      <c r="S1169" s="11">
        <f ca="1"/>
        <v>23.5</v>
      </c>
      <c r="T1169" s="28">
        <f ca="1"/>
        <v>3.0550000000000002</v>
      </c>
      <c r="U1169" s="11">
        <f ca="1"/>
        <v>20.45</v>
      </c>
      <c r="V1169" s="11">
        <v>13.77</v>
      </c>
      <c r="W1169" s="11">
        <f ca="1"/>
        <v>0.4</v>
      </c>
      <c r="X1169" s="11">
        <f ca="1"/>
        <v>0.39877104377104378</v>
      </c>
      <c r="Y1169" s="11">
        <v>0</v>
      </c>
      <c r="Z1169" s="11">
        <f ca="1"/>
        <v>5.8812289562289557</v>
      </c>
      <c r="AA1169" s="11">
        <f ca="1"/>
        <v>2.9406144781144778</v>
      </c>
      <c r="AB1169" s="4">
        <f ca="1"/>
        <v>45763</v>
      </c>
      <c r="AC1169" s="4">
        <v>45763</v>
      </c>
      <c r="AD1169" s="9">
        <v>45779</v>
      </c>
      <c r="AE1169" s="9">
        <v>45783</v>
      </c>
      <c r="AF1169" s="4" t="str">
        <f t="shared" ca="1" si="78"/>
        <v>2025 04</v>
      </c>
      <c r="AG1169" s="8" t="str" cm="1">
        <f t="array" ref="AG1169">IFERROR(_xlfn.IFS('Banco de Dados'!#REF!="AG. COMPRA","Em processamento",'Banco de Dados'!#REF!="AG. RASTREIO","Em processamento",'Banco de Dados'!$AE1169&lt;&gt;"-","Faturado",'Banco de Dados'!$AD1169&lt;&gt;"-","Aguardando Pix",'Banco de Dados'!$AC1169&lt;&gt;"-","Pendente"),"Aguardando Liberação")</f>
        <v>Aguardando Liberação</v>
      </c>
      <c r="AH1169" s="5" t="str">
        <f>IF('Banco de Dados'!$F1169="-",_xlfn.CONCAT(PROPER(TEXT(AK1169,"aaaa"))," ",PROPER(TEXT(AK1169,"mm"))),_xlfn.CONCAT(PROPER(TEXT(E1169,"aaaa"))," ",PROPER(TEXT(E1169,"mm"))))</f>
        <v>2025 03</v>
      </c>
      <c r="AI1169" s="9" t="str">
        <f ca="1">IF('Banco de Dados'!$AK1169&lt;&gt;"-","REEMBOLSO",IFERROR(_xlfn.XLOOKUP(G1169,Follow[CODRASTREIO],Follow[STATUS]),"-"))</f>
        <v>ENTREGUE</v>
      </c>
      <c r="AJ1169" s="9">
        <f ca="1">IF('Banco de Dados'!$AI1169="ENTREGUE",_xlfn.XLOOKUP('Banco de Dados'!$G1169,Follow[CODRASTREIO],Follow[DATAATUALIZAÇÃO]),"-")</f>
        <v>45749</v>
      </c>
      <c r="AK1169" s="132" t="str">
        <f ca="1"/>
        <v>-</v>
      </c>
      <c r="AL1169" s="35"/>
      <c r="AM1169" s="109" cm="1">
        <f t="array" aca="1" ref="AM1169" ca="1">IF('Banco de Dados'!$AK1169&lt;&gt;"-",_xlfn.IFS('Banco de Dados'!$A1169="bv",IF('Banco de Dados'!$E1169&lt;45641,ROUND(SUM('Banco de Dados'!$R1169*_xlfn.XLOOKUP('Banco de Dados'!$P1169,Sku!B:B,Sku!#REF!)*20%),2),ROUND(SUM('Banco de Dados'!$R1169*_xlfn.XLOOKUP('Banco de Dados'!$P1169,Sku!B:B,Sku!H:H)*20%),2)),'Banco de Dados'!$A1169="GO",ROUND(_xlfn.XLOOKUP('Banco de Dados'!$P1169,Sku!C:C,Sku!H:H),2),'Banco de Dados'!$A1169="MEI",ROUND(_xlfn.XLOOKUP('Banco de Dados'!$P1169,Sku!D:D,Sku!H:H),2)),0)</f>
        <v>0</v>
      </c>
      <c r="AN1169" s="109">
        <f ca="1">IF('Banco de Dados'!$AK1169&lt;&gt;"-",IF('Banco de Dados'!$F1169&lt;&gt;"-",_xlfn.XLOOKUP(IFERROR(IFERROR(IFERROR(VALUE(SUBSTITUTE(MID(_xlfn.TEXTAFTER('Banco de Dados'!$F1169,"Data do Pedido:
",1),1,10),"-","/")),VALUE(SUBSTITUTE(MID(_xlfn.TEXTAFTER('Banco de Dados'!$F1169,"Order date:
",1),1,10),"-","/"))),VALUE(SUBSTITUTE(MID(_xlfn.TEXTAFTER('Banco de Dados'!$F1169,"Fecha de pedido:
",1),1,10),"-","/"))),"-"),SMS!A:A,SMS!K:K),0),0)</f>
        <v>0</v>
      </c>
      <c r="AO1169" s="109">
        <f ca="1">IF('Banco de Dados'!$AK1169&lt;&gt;"-",IF('Banco de Dados'!$F1169&lt;&gt;"-",IFERROR(_xlfn.XLOOKUP(_xlfn.CONCAT('Banco de Dados'!$A1169,IFERROR(IFERROR(VALUE(SUBSTITUTE(MID(_xlfn.TEXTAFTER('Banco de Dados'!$F1169,"Data do Pedido:
",1),1,10),"-","/")),VALUE(SUBSTITUTE(MID(_xlfn.TEXTAFTER('Banco de Dados'!$F1169,"Order date:
",1),1,10),"-","/"))),0)),ProxyDD[Chave],ProxyDD[Valor por pedido]),PROXY!$P$2),0),0)</f>
        <v>0</v>
      </c>
      <c r="AP1169" s="28">
        <f ca="1">IF('Banco de Dados'!$AK1169&lt;&gt;"-",IF('Banco de Dados'!$AL1169="NÃO",IFERROR(VALUE(SUBSTITUTE(_xlfn.TEXTAFTER('Banco de Dados'!$F1169,"BRL ",1),".",",")),0),0),0)</f>
        <v>0</v>
      </c>
      <c r="AQ1169" s="28">
        <f ca="1">SUM('Banco de Dados'!$AM1169:$AP1169)</f>
        <v>0</v>
      </c>
      <c r="AR1169" s="8"/>
      <c r="AY1169" s="8"/>
    </row>
    <row r="1170" spans="1:51">
      <c r="A1170" s="5" t="str">
        <v>MEI</v>
      </c>
      <c r="B1170" s="5" t="str">
        <f ca="1"/>
        <v>MEI-</v>
      </c>
      <c r="C1170" s="8" t="str">
        <v>Pedido 1157</v>
      </c>
      <c r="D1170" s="187">
        <v>45728</v>
      </c>
      <c r="E1170" s="9" t="str">
        <v>-</v>
      </c>
      <c r="F1170" s="8" t="str">
        <v>PedidoF1134</v>
      </c>
      <c r="G1170" s="2" t="str">
        <v>CódRastreio1132</v>
      </c>
      <c r="H1170" s="5">
        <v>1</v>
      </c>
      <c r="I1170" s="2" t="str">
        <v>CPF 1126</v>
      </c>
      <c r="J1170" s="2" t="str">
        <v>Nome 1126</v>
      </c>
      <c r="K1170" s="8" t="str">
        <v>Tel 1126</v>
      </c>
      <c r="L1170" s="8" t="str">
        <v>Cep 1126</v>
      </c>
      <c r="M1170" s="8" t="str">
        <v>Rua 1126</v>
      </c>
      <c r="N1170" s="8" t="str">
        <v>Comp 1126</v>
      </c>
      <c r="O1170" s="8" t="str">
        <v>Suporte de Celular Preto</v>
      </c>
      <c r="P1170" s="8" t="str">
        <v>WI-HK5U-ED8J</v>
      </c>
      <c r="Q1170" s="4">
        <v>45737</v>
      </c>
      <c r="R1170" s="109">
        <v>19.989999999999998</v>
      </c>
      <c r="S1170" s="11">
        <f ca="1"/>
        <v>19.989999999999998</v>
      </c>
      <c r="T1170" s="28">
        <f ca="1"/>
        <v>2.9984999999999995</v>
      </c>
      <c r="U1170" s="11">
        <f ca="1"/>
        <v>16.989999999999998</v>
      </c>
      <c r="V1170" s="11">
        <v>0</v>
      </c>
      <c r="W1170" s="11">
        <f ca="1"/>
        <v>0</v>
      </c>
      <c r="X1170" s="11">
        <f ca="1"/>
        <v>0.39877104377104378</v>
      </c>
      <c r="Y1170" s="11">
        <v>0</v>
      </c>
      <c r="Z1170" s="11">
        <f ca="1"/>
        <v>16.591228956228953</v>
      </c>
      <c r="AA1170" s="11">
        <f ca="1"/>
        <v>8.2956144781144765</v>
      </c>
      <c r="AB1170" s="4">
        <f ca="1"/>
        <v>45744</v>
      </c>
      <c r="AC1170" s="4">
        <v>45744</v>
      </c>
      <c r="AD1170" s="9">
        <v>45747</v>
      </c>
      <c r="AE1170" s="9">
        <v>45749</v>
      </c>
      <c r="AF1170" s="4" t="str">
        <f t="shared" ca="1" si="78"/>
        <v>2025 03</v>
      </c>
      <c r="AG1170" s="8" t="str" cm="1">
        <f t="array" ref="AG1170">IFERROR(_xlfn.IFS('Banco de Dados'!#REF!="AG. COMPRA","Em processamento",'Banco de Dados'!#REF!="AG. RASTREIO","Em processamento",'Banco de Dados'!$AE1170&lt;&gt;"-","Faturado",'Banco de Dados'!$AD1170&lt;&gt;"-","Aguardando Pix",'Banco de Dados'!$AC1170&lt;&gt;"-","Pendente"),"Aguardando Liberação")</f>
        <v>Aguardando Liberação</v>
      </c>
      <c r="AH1170" s="5" t="s">
        <v>123</v>
      </c>
      <c r="AI1170" s="9" t="s">
        <v>124</v>
      </c>
      <c r="AJ1170" s="9" t="s">
        <v>37</v>
      </c>
      <c r="AK1170" s="132" t="str">
        <f ca="1"/>
        <v>-</v>
      </c>
      <c r="AL1170" s="35"/>
      <c r="AM1170" s="109" cm="1">
        <f t="array" aca="1" ref="AM1170" ca="1">IF('Banco de Dados'!$AK1170&lt;&gt;"-",_xlfn.IFS('Banco de Dados'!$A1170="bv",IF('Banco de Dados'!$E1170&lt;45641,ROUND(SUM('Banco de Dados'!$R1170*_xlfn.XLOOKUP('Banco de Dados'!$P1170,Sku!B:B,Sku!#REF!)*20%),2),ROUND(SUM('Banco de Dados'!$R1170*_xlfn.XLOOKUP('Banco de Dados'!$P1170,Sku!B:B,Sku!H:H)*20%),2)),'Banco de Dados'!$A1170="GO",ROUND(SUM('Banco de Dados'!$R1170*_xlfn.XLOOKUP('Banco de Dados'!$P1170,Sku!C:C,Sku!H:H)*20%),2),'Banco de Dados'!$A1170="MEI",ROUND(SUM('Banco de Dados'!$R1170*_xlfn.XLOOKUP('Banco de Dados'!$P1170,Sku!D:D,Sku!H:H)*20%),2)),0)</f>
        <v>0</v>
      </c>
      <c r="AN1170" s="109">
        <f ca="1">IF('Banco de Dados'!$AK1170&lt;&gt;"-",IF('Banco de Dados'!$F1170&lt;&gt;"-",_xlfn.XLOOKUP(IFERROR(IFERROR(IFERROR(VALUE(SUBSTITUTE(MID(_xlfn.TEXTAFTER('Banco de Dados'!$F1170,"Data do Pedido:
",1),1,10),"-","/")),VALUE(SUBSTITUTE(MID(_xlfn.TEXTAFTER('Banco de Dados'!$F1170,"Order date:
",1),1,10),"-","/"))),VALUE(SUBSTITUTE(MID(_xlfn.TEXTAFTER('Banco de Dados'!$F1170,"Fecha de pedido:
",1),1,10),"-","/"))),"-"),SMS!A:A,SMS!K:K),0),0)</f>
        <v>0</v>
      </c>
      <c r="AO1170" s="109">
        <f ca="1">IF('Banco de Dados'!$AK1170&lt;&gt;"-",IF('Banco de Dados'!$F1170&lt;&gt;"-",IFERROR(_xlfn.XLOOKUP(_xlfn.CONCAT('Banco de Dados'!$A1170,IFERROR(IFERROR(VALUE(SUBSTITUTE(MID(_xlfn.TEXTAFTER('Banco de Dados'!$F1170,"Data do Pedido:
",1),1,10),"-","/")),VALUE(SUBSTITUTE(MID(_xlfn.TEXTAFTER('Banco de Dados'!$F1170,"Order date:
",1),1,10),"-","/"))),0)),ProxyDD[Chave],ProxyDD[Valor por pedido]),PROXY!$P$2),0),0)</f>
        <v>0</v>
      </c>
      <c r="AP1170" s="28">
        <f ca="1">IF('Banco de Dados'!$AK1170&lt;&gt;"-",IF('Banco de Dados'!$AL1170="NÃO",IFERROR(VALUE(SUBSTITUTE(_xlfn.TEXTAFTER('Banco de Dados'!$F1170,"BRL ",1),".",",")),0),0),0)</f>
        <v>0</v>
      </c>
      <c r="AQ1170" s="28">
        <f ca="1">SUM('Banco de Dados'!$AM1170:$AP1170)</f>
        <v>0</v>
      </c>
      <c r="AR1170" s="8"/>
      <c r="AY1170" s="8"/>
    </row>
    <row r="1171" spans="1:51">
      <c r="A1171" s="5" t="str">
        <v>MEI</v>
      </c>
      <c r="B1171" s="5" t="str">
        <f ca="1"/>
        <v>MEI45729</v>
      </c>
      <c r="C1171" s="8" t="str">
        <v>Pedido 1158</v>
      </c>
      <c r="D1171" s="187">
        <v>45729</v>
      </c>
      <c r="E1171" s="9">
        <v>45729</v>
      </c>
      <c r="F1171" s="8" t="str">
        <v>PedidoF1135</v>
      </c>
      <c r="G1171" s="2" t="str">
        <v>CódRastreio1133</v>
      </c>
      <c r="H1171" s="5">
        <v>1</v>
      </c>
      <c r="I1171" s="2" t="str">
        <v>CPF 1127</v>
      </c>
      <c r="J1171" s="2" t="str">
        <v>Nome 1127</v>
      </c>
      <c r="K1171" s="8" t="str">
        <v>Tel 1127</v>
      </c>
      <c r="L1171" s="8" t="str">
        <v>Cep 1127</v>
      </c>
      <c r="M1171" s="8" t="str">
        <v>Rua 1127</v>
      </c>
      <c r="N1171" s="8" t="str">
        <v>Comp 1127</v>
      </c>
      <c r="O1171" s="8" t="str">
        <v>Maçarico Culinário Portátil</v>
      </c>
      <c r="P1171" s="8" t="str">
        <v>BG-DHRO-FAEE</v>
      </c>
      <c r="Q1171" s="4">
        <v>45750</v>
      </c>
      <c r="R1171" s="109">
        <v>24.99</v>
      </c>
      <c r="S1171" s="11">
        <f ca="1"/>
        <v>24.99</v>
      </c>
      <c r="T1171" s="28">
        <f ca="1"/>
        <v>2.7488999999999999</v>
      </c>
      <c r="U1171" s="11">
        <f ca="1"/>
        <v>22.24</v>
      </c>
      <c r="V1171" s="11">
        <v>11.69</v>
      </c>
      <c r="W1171" s="11">
        <f ca="1"/>
        <v>0.23</v>
      </c>
      <c r="X1171" s="11">
        <f ca="1"/>
        <v>0.39877104377104378</v>
      </c>
      <c r="Y1171" s="11">
        <v>0</v>
      </c>
      <c r="Z1171" s="11">
        <f ca="1"/>
        <v>9.9212289562289548</v>
      </c>
      <c r="AA1171" s="11">
        <f ca="1"/>
        <v>4.9606144781144774</v>
      </c>
      <c r="AB1171" s="4">
        <f ca="1"/>
        <v>45757</v>
      </c>
      <c r="AC1171" s="4">
        <v>45757</v>
      </c>
      <c r="AD1171" s="9">
        <v>45762</v>
      </c>
      <c r="AE1171" s="9">
        <v>45763</v>
      </c>
      <c r="AF1171" s="4" t="str">
        <f t="shared" ca="1" si="78"/>
        <v>2025 04</v>
      </c>
      <c r="AG1171" s="8" t="str" cm="1">
        <f t="array" ref="AG1171">IFERROR(_xlfn.IFS('Banco de Dados'!#REF!="AG. COMPRA","Em processamento",'Banco de Dados'!#REF!="AG. RASTREIO","Em processamento",'Banco de Dados'!$AE1171&lt;&gt;"-","Faturado",'Banco de Dados'!$AD1171&lt;&gt;"-","Aguardando Pix",'Banco de Dados'!$AC1171&lt;&gt;"-","Pendente"),"Aguardando Liberação")</f>
        <v>Aguardando Liberação</v>
      </c>
      <c r="AH1171" s="5" t="str">
        <f>IF('Banco de Dados'!$F1171="-",_xlfn.CONCAT(PROPER(TEXT(AK1171,"aaaa"))," ",PROPER(TEXT(AK1171,"mm"))),_xlfn.CONCAT(PROPER(TEXT(E1171,"aaaa"))," ",PROPER(TEXT(E1171,"mm"))))</f>
        <v>2025 03</v>
      </c>
      <c r="AI1171" s="9" t="str">
        <f ca="1">IF('Banco de Dados'!$AK1171&lt;&gt;"-","REEMBOLSO",IFERROR(_xlfn.XLOOKUP(G1171,Follow[CODRASTREIO],Follow[STATUS]),"-"))</f>
        <v>ENTREGUE</v>
      </c>
      <c r="AJ1171" s="9">
        <f ca="1">IF('Banco de Dados'!$AI1171="ENTREGUE",_xlfn.XLOOKUP('Banco de Dados'!$G1171,Follow[CODRASTREIO],Follow[DATAATUALIZAÇÃO]),"-")</f>
        <v>45748</v>
      </c>
      <c r="AK1171" s="132" t="str">
        <f ca="1"/>
        <v>-</v>
      </c>
      <c r="AL1171" s="35"/>
      <c r="AM1171" s="109" cm="1">
        <f t="array" aca="1" ref="AM1171" ca="1">IF('Banco de Dados'!$AK1171&lt;&gt;"-",_xlfn.IFS('Banco de Dados'!$A1171="bv",IF('Banco de Dados'!$E1171&lt;45641,ROUND(SUM('Banco de Dados'!$R1171*_xlfn.XLOOKUP('Banco de Dados'!$P1171,Sku!B:B,Sku!#REF!)*20%),2),ROUND(SUM('Banco de Dados'!$R1171*_xlfn.XLOOKUP('Banco de Dados'!$P1171,Sku!B:B,Sku!H:H)*20%),2)),'Banco de Dados'!$A1171="GO",ROUND(SUM('Banco de Dados'!$R1171*_xlfn.XLOOKUP('Banco de Dados'!$P1171,Sku!C:C,Sku!H:H)*20%),2),'Banco de Dados'!$A1171="MEI",ROUND(SUM('Banco de Dados'!$R1171*_xlfn.XLOOKUP('Banco de Dados'!$P1171,Sku!D:D,Sku!H:H)*20%),2)),0)</f>
        <v>0</v>
      </c>
      <c r="AN1171" s="109">
        <f ca="1">IF('Banco de Dados'!$AK1171&lt;&gt;"-",IF('Banco de Dados'!$F1171&lt;&gt;"-",_xlfn.XLOOKUP(IFERROR(IFERROR(IFERROR(VALUE(SUBSTITUTE(MID(_xlfn.TEXTAFTER('Banco de Dados'!$F1171,"Data do Pedido:
",1),1,10),"-","/")),VALUE(SUBSTITUTE(MID(_xlfn.TEXTAFTER('Banco de Dados'!$F1171,"Order date:
",1),1,10),"-","/"))),VALUE(SUBSTITUTE(MID(_xlfn.TEXTAFTER('Banco de Dados'!$F1171,"Fecha de pedido:
",1),1,10),"-","/"))),"-"),SMS!A:A,SMS!K:K),0),0)</f>
        <v>0</v>
      </c>
      <c r="AO1171" s="109">
        <f ca="1">IF('Banco de Dados'!$AK1171&lt;&gt;"-",IF('Banco de Dados'!$F1171&lt;&gt;"-",IFERROR(_xlfn.XLOOKUP(_xlfn.CONCAT('Banco de Dados'!$A1171,IFERROR(IFERROR(VALUE(SUBSTITUTE(MID(_xlfn.TEXTAFTER('Banco de Dados'!$F1171,"Data do Pedido:
",1),1,10),"-","/")),VALUE(SUBSTITUTE(MID(_xlfn.TEXTAFTER('Banco de Dados'!$F1171,"Order date:
",1),1,10),"-","/"))),0)),ProxyDD[Chave],ProxyDD[Valor por pedido]),PROXY!$P$2),0),0)</f>
        <v>0</v>
      </c>
      <c r="AP1171" s="28">
        <f ca="1">IF('Banco de Dados'!$AK1171&lt;&gt;"-",IF('Banco de Dados'!$AL1171="NÃO",IFERROR(VALUE(SUBSTITUTE(_xlfn.TEXTAFTER('Banco de Dados'!$F1171,"BRL ",1),".",",")),0),0),0)</f>
        <v>0</v>
      </c>
      <c r="AQ1171" s="28">
        <f ca="1">SUM('Banco de Dados'!$AM1171:$AP1171)</f>
        <v>0</v>
      </c>
      <c r="AR1171" s="8"/>
      <c r="AY1171" s="8"/>
    </row>
    <row r="1172" spans="1:51">
      <c r="A1172" s="5" t="str">
        <v>MEI</v>
      </c>
      <c r="B1172" s="5" t="str">
        <f ca="1"/>
        <v>MEI45729</v>
      </c>
      <c r="C1172" s="8" t="str">
        <v>Pedido 1159</v>
      </c>
      <c r="D1172" s="187">
        <v>45729</v>
      </c>
      <c r="E1172" s="9">
        <v>45729</v>
      </c>
      <c r="F1172" s="8" t="str">
        <v>PedidoF1136</v>
      </c>
      <c r="G1172" s="2" t="str">
        <v>CódRastreio1134</v>
      </c>
      <c r="H1172" s="5">
        <v>1</v>
      </c>
      <c r="I1172" s="2" t="str">
        <v>CPF 1128</v>
      </c>
      <c r="J1172" s="2" t="str">
        <v>Nome 1128</v>
      </c>
      <c r="K1172" s="8" t="str">
        <v>Tel 1128</v>
      </c>
      <c r="L1172" s="8" t="str">
        <v>Cep 1128</v>
      </c>
      <c r="M1172" s="8" t="str">
        <v>Rua 1128</v>
      </c>
      <c r="N1172" s="8" t="str">
        <v>Comp 1128</v>
      </c>
      <c r="O1172" s="8" t="str">
        <v>Hand Grip Fortalecedor</v>
      </c>
      <c r="P1172" s="8" t="str">
        <v>OV-P9KI-A5LS</v>
      </c>
      <c r="Q1172" s="4">
        <v>45750</v>
      </c>
      <c r="R1172" s="109">
        <v>18.3</v>
      </c>
      <c r="S1172" s="11">
        <f ca="1"/>
        <v>18.3</v>
      </c>
      <c r="T1172" s="28">
        <f ca="1"/>
        <v>2.1960000000000002</v>
      </c>
      <c r="U1172" s="11">
        <f ca="1"/>
        <v>16.100000000000001</v>
      </c>
      <c r="V1172" s="11">
        <v>6.99</v>
      </c>
      <c r="W1172" s="11">
        <f ca="1"/>
        <v>0.23</v>
      </c>
      <c r="X1172" s="11">
        <f ca="1"/>
        <v>0.39877104377104378</v>
      </c>
      <c r="Y1172" s="11">
        <v>0</v>
      </c>
      <c r="Z1172" s="11">
        <f ca="1"/>
        <v>8.4812289562289571</v>
      </c>
      <c r="AA1172" s="11">
        <f ca="1"/>
        <v>4.2406144781144786</v>
      </c>
      <c r="AB1172" s="4">
        <f ca="1"/>
        <v>45757</v>
      </c>
      <c r="AC1172" s="4">
        <v>45757</v>
      </c>
      <c r="AD1172" s="9">
        <v>45762</v>
      </c>
      <c r="AE1172" s="9">
        <v>45763</v>
      </c>
      <c r="AF1172" s="4" t="str">
        <f t="shared" ca="1" si="78"/>
        <v>2025 04</v>
      </c>
      <c r="AG1172" s="8" t="str" cm="1">
        <f t="array" ref="AG1172">IFERROR(_xlfn.IFS('Banco de Dados'!#REF!="AG. COMPRA","Em processamento",'Banco de Dados'!#REF!="AG. RASTREIO","Em processamento",'Banco de Dados'!$AE1172&lt;&gt;"-","Faturado",'Banco de Dados'!$AD1172&lt;&gt;"-","Aguardando Pix",'Banco de Dados'!$AC1172&lt;&gt;"-","Pendente"),"Aguardando Liberação")</f>
        <v>Aguardando Liberação</v>
      </c>
      <c r="AH1172" s="5" t="str">
        <f>IF('Banco de Dados'!$F1172="-",_xlfn.CONCAT(PROPER(TEXT(AK1172,"aaaa"))," ",PROPER(TEXT(AK1172,"mm"))),_xlfn.CONCAT(PROPER(TEXT(E1172,"aaaa"))," ",PROPER(TEXT(E1172,"mm"))))</f>
        <v>2025 03</v>
      </c>
      <c r="AI1172" s="9" t="str">
        <f ca="1">IF('Banco de Dados'!$AK1172&lt;&gt;"-","REEMBOLSO",IFERROR(_xlfn.XLOOKUP(G1172,Follow[CODRASTREIO],Follow[STATUS]),"-"))</f>
        <v>ENTREGUE</v>
      </c>
      <c r="AJ1172" s="9">
        <f ca="1">IF('Banco de Dados'!$AI1172="ENTREGUE",_xlfn.XLOOKUP('Banco de Dados'!$G1172,Follow[CODRASTREIO],Follow[DATAATUALIZAÇÃO]),"-")</f>
        <v>45737</v>
      </c>
      <c r="AK1172" s="132" t="str">
        <f ca="1"/>
        <v>-</v>
      </c>
      <c r="AL1172" s="35"/>
      <c r="AM1172" s="109" cm="1">
        <f t="array" aca="1" ref="AM1172" ca="1">IF('Banco de Dados'!$AK1172&lt;&gt;"-",_xlfn.IFS('Banco de Dados'!$A1172="bv",IF('Banco de Dados'!$E1172&lt;45641,ROUND(SUM('Banco de Dados'!$R1172*_xlfn.XLOOKUP('Banco de Dados'!$P1172,Sku!B:B,Sku!#REF!)*20%),2),ROUND(SUM('Banco de Dados'!$R1172*_xlfn.XLOOKUP('Banco de Dados'!$P1172,Sku!B:B,Sku!H:H)*20%),2)),'Banco de Dados'!$A1172="GO",ROUND(SUM('Banco de Dados'!$R1172*_xlfn.XLOOKUP('Banco de Dados'!$P1172,Sku!C:C,Sku!H:H)*20%),2),'Banco de Dados'!$A1172="MEI",ROUND(SUM('Banco de Dados'!$R1172*_xlfn.XLOOKUP('Banco de Dados'!$P1172,Sku!D:D,Sku!H:H)*20%),2)),0)</f>
        <v>0</v>
      </c>
      <c r="AN1172" s="109">
        <f ca="1">IF('Banco de Dados'!$AK1172&lt;&gt;"-",IF('Banco de Dados'!$F1172&lt;&gt;"-",_xlfn.XLOOKUP(IFERROR(IFERROR(IFERROR(VALUE(SUBSTITUTE(MID(_xlfn.TEXTAFTER('Banco de Dados'!$F1172,"Data do Pedido:
",1),1,10),"-","/")),VALUE(SUBSTITUTE(MID(_xlfn.TEXTAFTER('Banco de Dados'!$F1172,"Order date:
",1),1,10),"-","/"))),VALUE(SUBSTITUTE(MID(_xlfn.TEXTAFTER('Banco de Dados'!$F1172,"Fecha de pedido:
",1),1,10),"-","/"))),"-"),SMS!A:A,SMS!K:K),0),0)</f>
        <v>0</v>
      </c>
      <c r="AO1172" s="109">
        <f ca="1">IF('Banco de Dados'!$AK1172&lt;&gt;"-",IF('Banco de Dados'!$F1172&lt;&gt;"-",IFERROR(_xlfn.XLOOKUP(_xlfn.CONCAT('Banco de Dados'!$A1172,IFERROR(IFERROR(VALUE(SUBSTITUTE(MID(_xlfn.TEXTAFTER('Banco de Dados'!$F1172,"Data do Pedido:
",1),1,10),"-","/")),VALUE(SUBSTITUTE(MID(_xlfn.TEXTAFTER('Banco de Dados'!$F1172,"Order date:
",1),1,10),"-","/"))),0)),ProxyDD[Chave],ProxyDD[Valor por pedido]),PROXY!$P$2),0),0)</f>
        <v>0</v>
      </c>
      <c r="AP1172" s="28">
        <f ca="1">IF('Banco de Dados'!$AK1172&lt;&gt;"-",IF('Banco de Dados'!$AL1172="NÃO",IFERROR(VALUE(SUBSTITUTE(_xlfn.TEXTAFTER('Banco de Dados'!$F1172,"BRL ",1),".",",")),0),0),0)</f>
        <v>0</v>
      </c>
      <c r="AQ1172" s="28">
        <f ca="1">SUM('Banco de Dados'!$AM1172:$AP1172)</f>
        <v>0</v>
      </c>
      <c r="AR1172" s="8"/>
      <c r="AY1172" s="8"/>
    </row>
    <row r="1173" spans="1:51">
      <c r="A1173" s="5" t="str">
        <v>MEI</v>
      </c>
      <c r="B1173" s="5" t="str">
        <f ca="1"/>
        <v>MEI45729</v>
      </c>
      <c r="C1173" s="8" t="str">
        <v>Pedido 1160</v>
      </c>
      <c r="D1173" s="187">
        <v>45729</v>
      </c>
      <c r="E1173" s="9">
        <v>45729</v>
      </c>
      <c r="F1173" s="8" t="str">
        <v>PedidoF1137</v>
      </c>
      <c r="G1173" s="2" t="str">
        <v>CódRastreio1135</v>
      </c>
      <c r="H1173" s="5">
        <v>1</v>
      </c>
      <c r="I1173" s="2" t="str">
        <v>CPF 1129</v>
      </c>
      <c r="J1173" s="2" t="str">
        <v>Nome 1129</v>
      </c>
      <c r="K1173" s="8" t="str">
        <v>Tel 1129</v>
      </c>
      <c r="L1173" s="8" t="str">
        <v>Cep 1129</v>
      </c>
      <c r="M1173" s="8" t="str">
        <v>Rua 1129</v>
      </c>
      <c r="N1173" s="8" t="str">
        <v>Comp 1129</v>
      </c>
      <c r="O1173" s="8" t="str">
        <v>Mini Liquidificador</v>
      </c>
      <c r="P1173" s="8" t="str">
        <v>A4-5W51-K3HF</v>
      </c>
      <c r="Q1173" s="4">
        <v>45750</v>
      </c>
      <c r="R1173" s="109">
        <v>30.95</v>
      </c>
      <c r="S1173" s="11">
        <f ca="1"/>
        <v>30.95</v>
      </c>
      <c r="T1173" s="28">
        <f ca="1"/>
        <v>4.3330000000000002</v>
      </c>
      <c r="U1173" s="11">
        <f ca="1"/>
        <v>26.62</v>
      </c>
      <c r="V1173" s="11">
        <v>16.88</v>
      </c>
      <c r="W1173" s="11">
        <f ca="1"/>
        <v>0.23</v>
      </c>
      <c r="X1173" s="11">
        <f ca="1"/>
        <v>0.39877104377104378</v>
      </c>
      <c r="Y1173" s="11">
        <v>0</v>
      </c>
      <c r="Z1173" s="11">
        <f ca="1"/>
        <v>9.1112289562289561</v>
      </c>
      <c r="AA1173" s="11">
        <f ca="1"/>
        <v>4.5556144781144781</v>
      </c>
      <c r="AB1173" s="4">
        <f ca="1"/>
        <v>45757</v>
      </c>
      <c r="AC1173" s="4">
        <v>45757</v>
      </c>
      <c r="AD1173" s="9">
        <v>45762</v>
      </c>
      <c r="AE1173" s="9">
        <v>45763</v>
      </c>
      <c r="AF1173" s="4" t="str">
        <f t="shared" ca="1" si="78"/>
        <v>2025 04</v>
      </c>
      <c r="AG1173" s="8" t="str" cm="1">
        <f t="array" ref="AG1173">IFERROR(_xlfn.IFS('Banco de Dados'!#REF!="AG. COMPRA","Em processamento",'Banco de Dados'!#REF!="AG. RASTREIO","Em processamento",'Banco de Dados'!$AE1173&lt;&gt;"-","Faturado",'Banco de Dados'!$AD1173&lt;&gt;"-","Aguardando Pix",'Banco de Dados'!$AC1173&lt;&gt;"-","Pendente"),"Aguardando Liberação")</f>
        <v>Aguardando Liberação</v>
      </c>
      <c r="AH1173" s="5" t="str">
        <f>IF('Banco de Dados'!$F1173="-",_xlfn.CONCAT(PROPER(TEXT(AK1173,"aaaa"))," ",PROPER(TEXT(AK1173,"mm"))),_xlfn.CONCAT(PROPER(TEXT(E1173,"aaaa"))," ",PROPER(TEXT(E1173,"mm"))))</f>
        <v>2025 03</v>
      </c>
      <c r="AI1173" s="9" t="str">
        <f ca="1">IF('Banco de Dados'!$AK1173&lt;&gt;"-","REEMBOLSO",IFERROR(_xlfn.XLOOKUP(G1173,Follow[CODRASTREIO],Follow[STATUS]),"-"))</f>
        <v>ENTREGUE</v>
      </c>
      <c r="AJ1173" s="9">
        <f ca="1">IF('Banco de Dados'!$AI1173="ENTREGUE",_xlfn.XLOOKUP('Banco de Dados'!$G1173,Follow[CODRASTREIO],Follow[DATAATUALIZAÇÃO]),"-")</f>
        <v>45745</v>
      </c>
      <c r="AK1173" s="132" t="str">
        <f ca="1"/>
        <v>-</v>
      </c>
      <c r="AL1173" s="35"/>
      <c r="AM1173" s="109" cm="1">
        <f t="array" aca="1" ref="AM1173" ca="1">IF('Banco de Dados'!$AK1173&lt;&gt;"-",_xlfn.IFS('Banco de Dados'!$A1173="bv",IF('Banco de Dados'!$E1173&lt;45641,ROUND(SUM('Banco de Dados'!$R1173*_xlfn.XLOOKUP('Banco de Dados'!$P1173,Sku!B:B,Sku!#REF!)*20%),2),ROUND(SUM('Banco de Dados'!$R1173*_xlfn.XLOOKUP('Banco de Dados'!$P1173,Sku!B:B,Sku!H:H)*20%),2)),'Banco de Dados'!$A1173="GO",ROUND(SUM('Banco de Dados'!$R1173*_xlfn.XLOOKUP('Banco de Dados'!$P1173,Sku!C:C,Sku!H:H)*20%),2),'Banco de Dados'!$A1173="MEI",ROUND(SUM('Banco de Dados'!$R1173*_xlfn.XLOOKUP('Banco de Dados'!$P1173,Sku!D:D,Sku!H:H)*20%),2)),0)</f>
        <v>0</v>
      </c>
      <c r="AN1173" s="109">
        <f ca="1">IF('Banco de Dados'!$AK1173&lt;&gt;"-",IF('Banco de Dados'!$F1173&lt;&gt;"-",_xlfn.XLOOKUP(IFERROR(IFERROR(IFERROR(VALUE(SUBSTITUTE(MID(_xlfn.TEXTAFTER('Banco de Dados'!$F1173,"Data do Pedido:
",1),1,10),"-","/")),VALUE(SUBSTITUTE(MID(_xlfn.TEXTAFTER('Banco de Dados'!$F1173,"Order date:
",1),1,10),"-","/"))),VALUE(SUBSTITUTE(MID(_xlfn.TEXTAFTER('Banco de Dados'!$F1173,"Fecha de pedido:
",1),1,10),"-","/"))),"-"),SMS!A:A,SMS!K:K),0),0)</f>
        <v>0</v>
      </c>
      <c r="AO1173" s="109">
        <f ca="1">IF('Banco de Dados'!$AK1173&lt;&gt;"-",IF('Banco de Dados'!$F1173&lt;&gt;"-",IFERROR(_xlfn.XLOOKUP(_xlfn.CONCAT('Banco de Dados'!$A1173,IFERROR(IFERROR(VALUE(SUBSTITUTE(MID(_xlfn.TEXTAFTER('Banco de Dados'!$F1173,"Data do Pedido:
",1),1,10),"-","/")),VALUE(SUBSTITUTE(MID(_xlfn.TEXTAFTER('Banco de Dados'!$F1173,"Order date:
",1),1,10),"-","/"))),0)),ProxyDD[Chave],ProxyDD[Valor por pedido]),PROXY!$P$2),0),0)</f>
        <v>0</v>
      </c>
      <c r="AP1173" s="28">
        <f ca="1">IF('Banco de Dados'!$AK1173&lt;&gt;"-",IF('Banco de Dados'!$AL1173="NÃO",IFERROR(VALUE(SUBSTITUTE(_xlfn.TEXTAFTER('Banco de Dados'!$F1173,"BRL ",1),".",",")),0),0),0)</f>
        <v>0</v>
      </c>
      <c r="AQ1173" s="28">
        <f ca="1">SUM('Banco de Dados'!$AM1173:$AP1173)</f>
        <v>0</v>
      </c>
      <c r="AR1173" s="8"/>
      <c r="AY1173" s="8"/>
    </row>
    <row r="1174" spans="1:51">
      <c r="A1174" s="5" t="str">
        <v>MEI</v>
      </c>
      <c r="B1174" s="5" t="str">
        <f ca="1"/>
        <v>MEI45729</v>
      </c>
      <c r="C1174" s="8" t="str">
        <v>Pedido 1161</v>
      </c>
      <c r="D1174" s="187">
        <v>45729</v>
      </c>
      <c r="E1174" s="9">
        <v>45729</v>
      </c>
      <c r="F1174" s="8" t="str">
        <v>PedidoF1138</v>
      </c>
      <c r="G1174" s="2" t="str">
        <v>CódRastreio1136</v>
      </c>
      <c r="H1174" s="5">
        <v>1</v>
      </c>
      <c r="I1174" s="2" t="str">
        <v>CPF 1130</v>
      </c>
      <c r="J1174" s="2" t="str">
        <v>Nome 1130</v>
      </c>
      <c r="K1174" s="8" t="str">
        <v>Tel 1130</v>
      </c>
      <c r="L1174" s="8" t="str">
        <v>Cep 1130</v>
      </c>
      <c r="M1174" s="8" t="str">
        <v>Rua 1130</v>
      </c>
      <c r="N1174" s="8" t="str">
        <v>Comp 1130</v>
      </c>
      <c r="O1174" s="8" t="str">
        <v>Maçarico Culinário Portátil</v>
      </c>
      <c r="P1174" s="8" t="str">
        <v>BG-DHRO-FAEE</v>
      </c>
      <c r="Q1174" s="4">
        <v>45750</v>
      </c>
      <c r="R1174" s="109">
        <v>24.99</v>
      </c>
      <c r="S1174" s="11">
        <f ca="1"/>
        <v>24.99</v>
      </c>
      <c r="T1174" s="28">
        <f ca="1"/>
        <v>2.7488999999999999</v>
      </c>
      <c r="U1174" s="11">
        <f ca="1"/>
        <v>22.24</v>
      </c>
      <c r="V1174" s="11">
        <v>11.69</v>
      </c>
      <c r="W1174" s="11">
        <f ca="1"/>
        <v>0.23</v>
      </c>
      <c r="X1174" s="11">
        <f ca="1"/>
        <v>0.39877104377104378</v>
      </c>
      <c r="Y1174" s="11">
        <v>0</v>
      </c>
      <c r="Z1174" s="11">
        <f ca="1"/>
        <v>9.9212289562289548</v>
      </c>
      <c r="AA1174" s="11">
        <f ca="1"/>
        <v>4.9606144781144774</v>
      </c>
      <c r="AB1174" s="4">
        <f ca="1"/>
        <v>45757</v>
      </c>
      <c r="AC1174" s="4">
        <v>45757</v>
      </c>
      <c r="AD1174" s="9">
        <v>45762</v>
      </c>
      <c r="AE1174" s="9">
        <v>45763</v>
      </c>
      <c r="AF1174" s="4" t="str">
        <f t="shared" ca="1" si="78"/>
        <v>2025 04</v>
      </c>
      <c r="AG1174" s="8" t="str" cm="1">
        <f t="array" ref="AG1174">IFERROR(_xlfn.IFS('Banco de Dados'!#REF!="AG. COMPRA","Em processamento",'Banco de Dados'!#REF!="AG. RASTREIO","Em processamento",'Banco de Dados'!$AE1174&lt;&gt;"-","Faturado",'Banco de Dados'!$AD1174&lt;&gt;"-","Aguardando Pix",'Banco de Dados'!$AC1174&lt;&gt;"-","Pendente"),"Aguardando Liberação")</f>
        <v>Aguardando Liberação</v>
      </c>
      <c r="AH1174" s="5" t="str">
        <f>IF('Banco de Dados'!$F1174="-",_xlfn.CONCAT(PROPER(TEXT(AK1174,"aaaa"))," ",PROPER(TEXT(AK1174,"mm"))),_xlfn.CONCAT(PROPER(TEXT(E1174,"aaaa"))," ",PROPER(TEXT(E1174,"mm"))))</f>
        <v>2025 03</v>
      </c>
      <c r="AI1174" s="9" t="str">
        <f ca="1">IF('Banco de Dados'!$AK1174&lt;&gt;"-","REEMBOLSO",IFERROR(_xlfn.XLOOKUP(G1174,Follow[CODRASTREIO],Follow[STATUS]),"-"))</f>
        <v>ENTREGUE</v>
      </c>
      <c r="AJ1174" s="9">
        <f ca="1">IF('Banco de Dados'!$AI1174="ENTREGUE",_xlfn.XLOOKUP('Banco de Dados'!$G1174,Follow[CODRASTREIO],Follow[DATAATUALIZAÇÃO]),"-")</f>
        <v>45743</v>
      </c>
      <c r="AK1174" s="132" t="str">
        <f ca="1"/>
        <v>-</v>
      </c>
      <c r="AL1174" s="35"/>
      <c r="AM1174" s="109" cm="1">
        <f t="array" aca="1" ref="AM1174" ca="1">IF('Banco de Dados'!$AK1174&lt;&gt;"-",_xlfn.IFS('Banco de Dados'!$A1174="bv",IF('Banco de Dados'!$E1174&lt;45641,ROUND(SUM('Banco de Dados'!$R1174*_xlfn.XLOOKUP('Banco de Dados'!$P1174,Sku!B:B,Sku!#REF!)*20%),2),ROUND(SUM('Banco de Dados'!$R1174*_xlfn.XLOOKUP('Banco de Dados'!$P1174,Sku!B:B,Sku!H:H)*20%),2)),'Banco de Dados'!$A1174="GO",ROUND(SUM('Banco de Dados'!$R1174*_xlfn.XLOOKUP('Banco de Dados'!$P1174,Sku!C:C,Sku!H:H)*20%),2),'Banco de Dados'!$A1174="MEI",ROUND(SUM('Banco de Dados'!$R1174*_xlfn.XLOOKUP('Banco de Dados'!$P1174,Sku!D:D,Sku!H:H)*20%),2)),0)</f>
        <v>0</v>
      </c>
      <c r="AN1174" s="109">
        <f ca="1">IF('Banco de Dados'!$AK1174&lt;&gt;"-",IF('Banco de Dados'!$F1174&lt;&gt;"-",_xlfn.XLOOKUP(IFERROR(IFERROR(IFERROR(VALUE(SUBSTITUTE(MID(_xlfn.TEXTAFTER('Banco de Dados'!$F1174,"Data do Pedido:
",1),1,10),"-","/")),VALUE(SUBSTITUTE(MID(_xlfn.TEXTAFTER('Banco de Dados'!$F1174,"Order date:
",1),1,10),"-","/"))),VALUE(SUBSTITUTE(MID(_xlfn.TEXTAFTER('Banco de Dados'!$F1174,"Fecha de pedido:
",1),1,10),"-","/"))),"-"),SMS!A:A,SMS!K:K),0),0)</f>
        <v>0</v>
      </c>
      <c r="AO1174" s="109">
        <f ca="1">IF('Banco de Dados'!$AK1174&lt;&gt;"-",IF('Banco de Dados'!$F1174&lt;&gt;"-",IFERROR(_xlfn.XLOOKUP(_xlfn.CONCAT('Banco de Dados'!$A1174,IFERROR(IFERROR(VALUE(SUBSTITUTE(MID(_xlfn.TEXTAFTER('Banco de Dados'!$F1174,"Data do Pedido:
",1),1,10),"-","/")),VALUE(SUBSTITUTE(MID(_xlfn.TEXTAFTER('Banco de Dados'!$F1174,"Order date:
",1),1,10),"-","/"))),0)),ProxyDD[Chave],ProxyDD[Valor por pedido]),PROXY!$P$2),0),0)</f>
        <v>0</v>
      </c>
      <c r="AP1174" s="28">
        <f ca="1">IF('Banco de Dados'!$AK1174&lt;&gt;"-",IF('Banco de Dados'!$AL1174="NÃO",IFERROR(VALUE(SUBSTITUTE(_xlfn.TEXTAFTER('Banco de Dados'!$F1174,"BRL ",1),".",",")),0),0),0)</f>
        <v>0</v>
      </c>
      <c r="AQ1174" s="28">
        <f ca="1">SUM('Banco de Dados'!$AM1174:$AP1174)</f>
        <v>0</v>
      </c>
      <c r="AR1174" s="8"/>
      <c r="AY1174" s="8"/>
    </row>
    <row r="1175" spans="1:51">
      <c r="A1175" s="5" t="str">
        <v>MEI</v>
      </c>
      <c r="B1175" s="5" t="str">
        <f ca="1"/>
        <v>MEI45729</v>
      </c>
      <c r="C1175" s="8" t="str">
        <v>Pedido 1162</v>
      </c>
      <c r="D1175" s="187">
        <v>45729</v>
      </c>
      <c r="E1175" s="9">
        <v>45729</v>
      </c>
      <c r="F1175" s="8" t="str">
        <v>PedidoF1139</v>
      </c>
      <c r="G1175" s="2" t="str">
        <v>CódRastreio1137</v>
      </c>
      <c r="H1175" s="5">
        <v>1</v>
      </c>
      <c r="I1175" s="2" t="str">
        <v>CPF 1131</v>
      </c>
      <c r="J1175" s="2" t="str">
        <v>Nome 1131</v>
      </c>
      <c r="K1175" s="8" t="str">
        <v>Tel 1131</v>
      </c>
      <c r="L1175" s="8" t="str">
        <v>Cep 1131</v>
      </c>
      <c r="M1175" s="8" t="str">
        <v>Rua 1131</v>
      </c>
      <c r="N1175" s="8" t="str">
        <v>Comp 1131</v>
      </c>
      <c r="O1175" s="8" t="str">
        <v>Ventilador Preto</v>
      </c>
      <c r="P1175" s="8" t="str">
        <v>WU-SS4J-LFOH</v>
      </c>
      <c r="Q1175" s="4">
        <v>45750</v>
      </c>
      <c r="R1175" s="109">
        <v>65.599999999999994</v>
      </c>
      <c r="S1175" s="11">
        <f ca="1"/>
        <v>65.599999999999994</v>
      </c>
      <c r="T1175" s="28">
        <f ca="1"/>
        <v>8.5279999999999987</v>
      </c>
      <c r="U1175" s="11">
        <f ca="1"/>
        <v>57.07</v>
      </c>
      <c r="V1175" s="11">
        <v>14.04</v>
      </c>
      <c r="W1175" s="11">
        <f ca="1"/>
        <v>0.23</v>
      </c>
      <c r="X1175" s="11">
        <f ca="1"/>
        <v>0.39877104377104378</v>
      </c>
      <c r="Y1175" s="11">
        <v>0</v>
      </c>
      <c r="Z1175" s="11">
        <f ca="1"/>
        <v>42.401228956228955</v>
      </c>
      <c r="AA1175" s="11">
        <f ca="1"/>
        <v>21.200614478114478</v>
      </c>
      <c r="AB1175" s="4">
        <f ca="1"/>
        <v>45757</v>
      </c>
      <c r="AC1175" s="4">
        <v>45757</v>
      </c>
      <c r="AD1175" s="9">
        <v>45762</v>
      </c>
      <c r="AE1175" s="9">
        <v>45763</v>
      </c>
      <c r="AF1175" s="4" t="str">
        <f t="shared" ca="1" si="78"/>
        <v>2025 04</v>
      </c>
      <c r="AG1175" s="8" t="str" cm="1">
        <f t="array" ref="AG1175">IFERROR(_xlfn.IFS('Banco de Dados'!#REF!="AG. COMPRA","Em processamento",'Banco de Dados'!#REF!="AG. RASTREIO","Em processamento",'Banco de Dados'!$AE1175&lt;&gt;"-","Faturado",'Banco de Dados'!$AD1175&lt;&gt;"-","Aguardando Pix",'Banco de Dados'!$AC1175&lt;&gt;"-","Pendente"),"Aguardando Liberação")</f>
        <v>Aguardando Liberação</v>
      </c>
      <c r="AH1175" s="5" t="str">
        <f>IF('Banco de Dados'!$F1175="-",_xlfn.CONCAT(PROPER(TEXT(AK1175,"aaaa"))," ",PROPER(TEXT(AK1175,"mm"))),_xlfn.CONCAT(PROPER(TEXT(E1175,"aaaa"))," ",PROPER(TEXT(E1175,"mm"))))</f>
        <v>2025 03</v>
      </c>
      <c r="AI1175" s="9" t="str">
        <f ca="1">IF('Banco de Dados'!$AK1175&lt;&gt;"-","REEMBOLSO",IFERROR(_xlfn.XLOOKUP(G1175,Follow[CODRASTREIO],Follow[STATUS]),"-"))</f>
        <v>ENTREGUE</v>
      </c>
      <c r="AJ1175" s="9">
        <f ca="1">IF('Banco de Dados'!$AI1175="ENTREGUE",_xlfn.XLOOKUP('Banco de Dados'!$G1175,Follow[CODRASTREIO],Follow[DATAATUALIZAÇÃO]),"-")</f>
        <v>45741</v>
      </c>
      <c r="AK1175" s="132" t="str">
        <f ca="1"/>
        <v>-</v>
      </c>
      <c r="AL1175" s="35"/>
      <c r="AM1175" s="109" cm="1">
        <f t="array" aca="1" ref="AM1175" ca="1">IF('Banco de Dados'!$AK1175&lt;&gt;"-",_xlfn.IFS('Banco de Dados'!$A1175="bv",IF('Banco de Dados'!$E1175&lt;45641,ROUND(SUM('Banco de Dados'!$R1175*_xlfn.XLOOKUP('Banco de Dados'!$P1175,Sku!B:B,Sku!#REF!)*20%),2),ROUND(SUM('Banco de Dados'!$R1175*_xlfn.XLOOKUP('Banco de Dados'!$P1175,Sku!B:B,Sku!H:H)*20%),2)),'Banco de Dados'!$A1175="GO",ROUND(SUM('Banco de Dados'!$R1175*_xlfn.XLOOKUP('Banco de Dados'!$P1175,Sku!C:C,Sku!H:H)*20%),2),'Banco de Dados'!$A1175="MEI",ROUND(SUM('Banco de Dados'!$R1175*_xlfn.XLOOKUP('Banco de Dados'!$P1175,Sku!D:D,Sku!H:H)*20%),2)),0)</f>
        <v>0</v>
      </c>
      <c r="AN1175" s="109">
        <f ca="1">IF('Banco de Dados'!$AK1175&lt;&gt;"-",IF('Banco de Dados'!$F1175&lt;&gt;"-",_xlfn.XLOOKUP(IFERROR(IFERROR(IFERROR(VALUE(SUBSTITUTE(MID(_xlfn.TEXTAFTER('Banco de Dados'!$F1175,"Data do Pedido:
",1),1,10),"-","/")),VALUE(SUBSTITUTE(MID(_xlfn.TEXTAFTER('Banco de Dados'!$F1175,"Order date:
",1),1,10),"-","/"))),VALUE(SUBSTITUTE(MID(_xlfn.TEXTAFTER('Banco de Dados'!$F1175,"Fecha de pedido:
",1),1,10),"-","/"))),"-"),SMS!A:A,SMS!K:K),0),0)</f>
        <v>0</v>
      </c>
      <c r="AO1175" s="109">
        <f ca="1">IF('Banco de Dados'!$AK1175&lt;&gt;"-",IF('Banco de Dados'!$F1175&lt;&gt;"-",IFERROR(_xlfn.XLOOKUP(_xlfn.CONCAT('Banco de Dados'!$A1175,IFERROR(IFERROR(VALUE(SUBSTITUTE(MID(_xlfn.TEXTAFTER('Banco de Dados'!$F1175,"Data do Pedido:
",1),1,10),"-","/")),VALUE(SUBSTITUTE(MID(_xlfn.TEXTAFTER('Banco de Dados'!$F1175,"Order date:
",1),1,10),"-","/"))),0)),ProxyDD[Chave],ProxyDD[Valor por pedido]),PROXY!$P$2),0),0)</f>
        <v>0</v>
      </c>
      <c r="AP1175" s="28">
        <f ca="1">IF('Banco de Dados'!$AK1175&lt;&gt;"-",IF('Banco de Dados'!$AL1175="NÃO",IFERROR(VALUE(SUBSTITUTE(_xlfn.TEXTAFTER('Banco de Dados'!$F1175,"BRL ",1),".",",")),0),0),0)</f>
        <v>0</v>
      </c>
      <c r="AQ1175" s="28">
        <f ca="1">SUM('Banco de Dados'!$AM1175:$AP1175)</f>
        <v>0</v>
      </c>
      <c r="AR1175" s="8"/>
      <c r="AY1175" s="8"/>
    </row>
    <row r="1176" spans="1:51">
      <c r="A1176" s="5" t="str">
        <v>MEI</v>
      </c>
      <c r="B1176" s="5" t="str">
        <f ca="1"/>
        <v>MEI45729</v>
      </c>
      <c r="C1176" s="8" t="str">
        <v>Pedido 1163</v>
      </c>
      <c r="D1176" s="187">
        <v>45729</v>
      </c>
      <c r="E1176" s="9">
        <v>45729</v>
      </c>
      <c r="F1176" s="8" t="str">
        <v>PedidoF1140</v>
      </c>
      <c r="G1176" s="2" t="str">
        <v>CódRastreio1138</v>
      </c>
      <c r="H1176" s="5">
        <v>1</v>
      </c>
      <c r="I1176" s="2" t="str">
        <v>CPF 1132</v>
      </c>
      <c r="J1176" s="2" t="str">
        <v>Nome 1132</v>
      </c>
      <c r="K1176" s="8" t="str">
        <v>Tel 1132</v>
      </c>
      <c r="L1176" s="8" t="str">
        <v>Cep 1132</v>
      </c>
      <c r="M1176" s="8" t="str">
        <v>Rua 1132</v>
      </c>
      <c r="N1176" s="8" t="str">
        <v>Comp 1132</v>
      </c>
      <c r="O1176" s="8" t="str">
        <v>Mini Liquidificador</v>
      </c>
      <c r="P1176" s="8" t="str">
        <v>A4-5W51-K3HF</v>
      </c>
      <c r="Q1176" s="4">
        <v>45744</v>
      </c>
      <c r="R1176" s="109">
        <v>30.95</v>
      </c>
      <c r="S1176" s="11">
        <f ca="1"/>
        <v>30.95</v>
      </c>
      <c r="T1176" s="28">
        <f ca="1"/>
        <v>4.3330000000000002</v>
      </c>
      <c r="U1176" s="11">
        <f ca="1"/>
        <v>26.62</v>
      </c>
      <c r="V1176" s="11">
        <v>16.88</v>
      </c>
      <c r="W1176" s="11">
        <f ca="1"/>
        <v>0.23</v>
      </c>
      <c r="X1176" s="11">
        <f ca="1"/>
        <v>0.39877104377104378</v>
      </c>
      <c r="Y1176" s="11">
        <v>0</v>
      </c>
      <c r="Z1176" s="11">
        <f ca="1"/>
        <v>9.1112289562289561</v>
      </c>
      <c r="AA1176" s="11">
        <f ca="1"/>
        <v>4.5556144781144781</v>
      </c>
      <c r="AB1176" s="4">
        <f ca="1"/>
        <v>45751</v>
      </c>
      <c r="AC1176" s="4">
        <v>45751</v>
      </c>
      <c r="AD1176" s="9">
        <v>45762</v>
      </c>
      <c r="AE1176" s="9">
        <v>45763</v>
      </c>
      <c r="AF1176" s="4" t="str">
        <f t="shared" ca="1" si="78"/>
        <v>2025 04</v>
      </c>
      <c r="AG1176" s="8" t="str" cm="1">
        <f t="array" ref="AG1176">IFERROR(_xlfn.IFS('Banco de Dados'!#REF!="AG. COMPRA","Em processamento",'Banco de Dados'!#REF!="AG. RASTREIO","Em processamento",'Banco de Dados'!$AE1176&lt;&gt;"-","Faturado",'Banco de Dados'!$AD1176&lt;&gt;"-","Aguardando Pix",'Banco de Dados'!$AC1176&lt;&gt;"-","Pendente"),"Aguardando Liberação")</f>
        <v>Aguardando Liberação</v>
      </c>
      <c r="AH1176" s="5" t="str">
        <f>IF('Banco de Dados'!$F1176="-",_xlfn.CONCAT(PROPER(TEXT(AK1176,"aaaa"))," ",PROPER(TEXT(AK1176,"mm"))),_xlfn.CONCAT(PROPER(TEXT(E1176,"aaaa"))," ",PROPER(TEXT(E1176,"mm"))))</f>
        <v>2025 03</v>
      </c>
      <c r="AI1176" s="9" t="str">
        <f ca="1">IF('Banco de Dados'!$AK1176&lt;&gt;"-","REEMBOLSO",IFERROR(_xlfn.XLOOKUP(G1176,Follow[CODRASTREIO],Follow[STATUS]),"-"))</f>
        <v>ENTREGUE</v>
      </c>
      <c r="AJ1176" s="9">
        <f ca="1">IF('Banco de Dados'!$AI1176="ENTREGUE",_xlfn.XLOOKUP('Banco de Dados'!$G1176,Follow[CODRASTREIO],Follow[DATAATUALIZAÇÃO]),"-")</f>
        <v>45754</v>
      </c>
      <c r="AK1176" s="132" t="str">
        <f ca="1"/>
        <v>-</v>
      </c>
      <c r="AL1176" s="35"/>
      <c r="AM1176" s="109" cm="1">
        <f t="array" aca="1" ref="AM1176" ca="1">IF('Banco de Dados'!$AK1176&lt;&gt;"-",_xlfn.IFS('Banco de Dados'!$A1176="bv",IF('Banco de Dados'!$E1176&lt;45641,ROUND(SUM('Banco de Dados'!$R1176*_xlfn.XLOOKUP('Banco de Dados'!$P1176,Sku!B:B,Sku!#REF!)*20%),2),ROUND(SUM('Banco de Dados'!$R1176*_xlfn.XLOOKUP('Banco de Dados'!$P1176,Sku!B:B,Sku!H:H)*20%),2)),'Banco de Dados'!$A1176="GO",ROUND(SUM('Banco de Dados'!$R1176*_xlfn.XLOOKUP('Banco de Dados'!$P1176,Sku!C:C,Sku!H:H)*20%),2),'Banco de Dados'!$A1176="MEI",ROUND(SUM('Banco de Dados'!$R1176*_xlfn.XLOOKUP('Banco de Dados'!$P1176,Sku!D:D,Sku!H:H)*20%),2)),0)</f>
        <v>0</v>
      </c>
      <c r="AN1176" s="109">
        <f ca="1">IF('Banco de Dados'!$AK1176&lt;&gt;"-",IF('Banco de Dados'!$F1176&lt;&gt;"-",_xlfn.XLOOKUP(IFERROR(IFERROR(IFERROR(VALUE(SUBSTITUTE(MID(_xlfn.TEXTAFTER('Banco de Dados'!$F1176,"Data do Pedido:
",1),1,10),"-","/")),VALUE(SUBSTITUTE(MID(_xlfn.TEXTAFTER('Banco de Dados'!$F1176,"Order date:
",1),1,10),"-","/"))),VALUE(SUBSTITUTE(MID(_xlfn.TEXTAFTER('Banco de Dados'!$F1176,"Fecha de pedido:
",1),1,10),"-","/"))),"-"),SMS!A:A,SMS!K:K),0),0)</f>
        <v>0</v>
      </c>
      <c r="AO1176" s="109">
        <f ca="1">IF('Banco de Dados'!$AK1176&lt;&gt;"-",IF('Banco de Dados'!$F1176&lt;&gt;"-",IFERROR(_xlfn.XLOOKUP(_xlfn.CONCAT('Banco de Dados'!$A1176,IFERROR(IFERROR(VALUE(SUBSTITUTE(MID(_xlfn.TEXTAFTER('Banco de Dados'!$F1176,"Data do Pedido:
",1),1,10),"-","/")),VALUE(SUBSTITUTE(MID(_xlfn.TEXTAFTER('Banco de Dados'!$F1176,"Order date:
",1),1,10),"-","/"))),0)),ProxyDD[Chave],ProxyDD[Valor por pedido]),PROXY!$P$2),0),0)</f>
        <v>0</v>
      </c>
      <c r="AP1176" s="28">
        <f ca="1">IF('Banco de Dados'!$AK1176&lt;&gt;"-",IF('Banco de Dados'!$AL1176="NÃO",IFERROR(VALUE(SUBSTITUTE(_xlfn.TEXTAFTER('Banco de Dados'!$F1176,"BRL ",1),".",",")),0),0),0)</f>
        <v>0</v>
      </c>
      <c r="AQ1176" s="28">
        <f ca="1">SUM('Banco de Dados'!$AM1176:$AP1176)</f>
        <v>0</v>
      </c>
      <c r="AR1176" s="8"/>
      <c r="AY1176" s="8"/>
    </row>
    <row r="1177" spans="1:51">
      <c r="A1177" s="5" t="str">
        <v>MEI</v>
      </c>
      <c r="B1177" s="5" t="str">
        <f ca="1"/>
        <v>MEI45730</v>
      </c>
      <c r="C1177" s="8" t="str">
        <v>Pedido 1164</v>
      </c>
      <c r="D1177" s="187">
        <v>45729</v>
      </c>
      <c r="E1177" s="9">
        <v>45730</v>
      </c>
      <c r="F1177" s="8" t="str">
        <v>PedidoF1141</v>
      </c>
      <c r="G1177" s="2" t="str">
        <v>CódRastreio1139</v>
      </c>
      <c r="H1177" s="5">
        <v>1</v>
      </c>
      <c r="I1177" s="2" t="str">
        <v>CPF 1133</v>
      </c>
      <c r="J1177" s="2" t="str">
        <v>Nome 1133</v>
      </c>
      <c r="K1177" s="8" t="str">
        <v>Tel 1133</v>
      </c>
      <c r="L1177" s="8" t="str">
        <v>Cep 1133</v>
      </c>
      <c r="M1177" s="8" t="str">
        <v>Rua 1133</v>
      </c>
      <c r="N1177" s="8" t="str">
        <v>Comp 1133</v>
      </c>
      <c r="O1177" s="8" t="str">
        <v>Mini Liquidificador</v>
      </c>
      <c r="P1177" s="8" t="str">
        <v>A4-5W51-K3HF</v>
      </c>
      <c r="Q1177" s="4">
        <v>45750</v>
      </c>
      <c r="R1177" s="109">
        <v>30.95</v>
      </c>
      <c r="S1177" s="11">
        <f ca="1"/>
        <v>30.95</v>
      </c>
      <c r="T1177" s="28">
        <f ca="1"/>
        <v>4.3330000000000002</v>
      </c>
      <c r="U1177" s="11">
        <f ca="1"/>
        <v>26.62</v>
      </c>
      <c r="V1177" s="11">
        <v>16.48</v>
      </c>
      <c r="W1177" s="11">
        <f ca="1"/>
        <v>0.33</v>
      </c>
      <c r="X1177" s="11">
        <f ca="1"/>
        <v>0.39877104377104378</v>
      </c>
      <c r="Y1177" s="11">
        <v>0</v>
      </c>
      <c r="Z1177" s="11">
        <f ca="1"/>
        <v>9.4112289562289568</v>
      </c>
      <c r="AA1177" s="11">
        <f ca="1"/>
        <v>4.7056144781144784</v>
      </c>
      <c r="AB1177" s="4">
        <f ca="1"/>
        <v>45757</v>
      </c>
      <c r="AC1177" s="4">
        <v>45757</v>
      </c>
      <c r="AD1177" s="9">
        <v>45762</v>
      </c>
      <c r="AE1177" s="9">
        <v>45763</v>
      </c>
      <c r="AF1177" s="4" t="str">
        <f t="shared" ca="1" si="78"/>
        <v>2025 04</v>
      </c>
      <c r="AG1177" s="8" t="str" cm="1">
        <f t="array" ref="AG1177">IFERROR(_xlfn.IFS('Banco de Dados'!#REF!="AG. COMPRA","Em processamento",'Banco de Dados'!#REF!="AG. RASTREIO","Em processamento",'Banco de Dados'!$AE1177&lt;&gt;"-","Faturado",'Banco de Dados'!$AD1177&lt;&gt;"-","Aguardando Pix",'Banco de Dados'!$AC1177&lt;&gt;"-","Pendente"),"Aguardando Liberação")</f>
        <v>Aguardando Liberação</v>
      </c>
      <c r="AH1177" s="5" t="str">
        <f>IF('Banco de Dados'!$F1177="-",_xlfn.CONCAT(PROPER(TEXT(AK1177,"aaaa"))," ",PROPER(TEXT(AK1177,"mm"))),_xlfn.CONCAT(PROPER(TEXT(E1177,"aaaa"))," ",PROPER(TEXT(E1177,"mm"))))</f>
        <v>2025 03</v>
      </c>
      <c r="AI1177" s="9" t="str">
        <f ca="1">IF('Banco de Dados'!$AK1177&lt;&gt;"-","REEMBOLSO",IFERROR(_xlfn.XLOOKUP(G1177,Follow[CODRASTREIO],Follow[STATUS]),"-"))</f>
        <v>ENTREGUE</v>
      </c>
      <c r="AJ1177" s="9">
        <f ca="1">IF('Banco de Dados'!$AI1177="ENTREGUE",_xlfn.XLOOKUP('Banco de Dados'!$G1177,Follow[CODRASTREIO],Follow[DATAATUALIZAÇÃO]),"-")</f>
        <v>45740</v>
      </c>
      <c r="AK1177" s="132" t="str">
        <f ca="1"/>
        <v>-</v>
      </c>
      <c r="AL1177" s="35"/>
      <c r="AM1177" s="109" cm="1">
        <f t="array" aca="1" ref="AM1177" ca="1">IF('Banco de Dados'!$AK1177&lt;&gt;"-",_xlfn.IFS('Banco de Dados'!$A1177="bv",IF('Banco de Dados'!$E1177&lt;45641,ROUND(SUM('Banco de Dados'!$R1177*_xlfn.XLOOKUP('Banco de Dados'!$P1177,Sku!B:B,Sku!#REF!)*20%),2),ROUND(SUM('Banco de Dados'!$R1177*_xlfn.XLOOKUP('Banco de Dados'!$P1177,Sku!B:B,Sku!H:H)*20%),2)),'Banco de Dados'!$A1177="GO",ROUND(SUM('Banco de Dados'!$R1177*_xlfn.XLOOKUP('Banco de Dados'!$P1177,Sku!C:C,Sku!H:H)*20%),2),'Banco de Dados'!$A1177="MEI",ROUND(SUM('Banco de Dados'!$R1177*_xlfn.XLOOKUP('Banco de Dados'!$P1177,Sku!D:D,Sku!H:H)*20%),2)),0)</f>
        <v>0</v>
      </c>
      <c r="AN1177" s="109">
        <f ca="1">IF('Banco de Dados'!$AK1177&lt;&gt;"-",IF('Banco de Dados'!$F1177&lt;&gt;"-",_xlfn.XLOOKUP(IFERROR(IFERROR(IFERROR(VALUE(SUBSTITUTE(MID(_xlfn.TEXTAFTER('Banco de Dados'!$F1177,"Data do Pedido:
",1),1,10),"-","/")),VALUE(SUBSTITUTE(MID(_xlfn.TEXTAFTER('Banco de Dados'!$F1177,"Order date:
",1),1,10),"-","/"))),VALUE(SUBSTITUTE(MID(_xlfn.TEXTAFTER('Banco de Dados'!$F1177,"Fecha de pedido:
",1),1,10),"-","/"))),"-"),SMS!A:A,SMS!K:K),0),0)</f>
        <v>0</v>
      </c>
      <c r="AO1177" s="109">
        <f ca="1">IF('Banco de Dados'!$AK1177&lt;&gt;"-",IF('Banco de Dados'!$F1177&lt;&gt;"-",IFERROR(_xlfn.XLOOKUP(_xlfn.CONCAT('Banco de Dados'!$A1177,IFERROR(IFERROR(VALUE(SUBSTITUTE(MID(_xlfn.TEXTAFTER('Banco de Dados'!$F1177,"Data do Pedido:
",1),1,10),"-","/")),VALUE(SUBSTITUTE(MID(_xlfn.TEXTAFTER('Banco de Dados'!$F1177,"Order date:
",1),1,10),"-","/"))),0)),ProxyDD[Chave],ProxyDD[Valor por pedido]),PROXY!$P$2),0),0)</f>
        <v>0</v>
      </c>
      <c r="AP1177" s="28">
        <f ca="1">IF('Banco de Dados'!$AK1177&lt;&gt;"-",IF('Banco de Dados'!$AL1177="NÃO",IFERROR(VALUE(SUBSTITUTE(_xlfn.TEXTAFTER('Banco de Dados'!$F1177,"BRL ",1),".",",")),0),0),0)</f>
        <v>0</v>
      </c>
      <c r="AQ1177" s="28">
        <f ca="1">SUM('Banco de Dados'!$AM1177:$AP1177)</f>
        <v>0</v>
      </c>
      <c r="AR1177" s="8"/>
      <c r="AY1177" s="8"/>
    </row>
    <row r="1178" spans="1:51">
      <c r="A1178" s="5" t="str">
        <v>MEI</v>
      </c>
      <c r="B1178" s="5" t="str">
        <f ca="1"/>
        <v>MEI45735</v>
      </c>
      <c r="C1178" s="8" t="str">
        <v>Pedido 1165</v>
      </c>
      <c r="D1178" s="187">
        <v>45729</v>
      </c>
      <c r="E1178" s="9">
        <v>45735</v>
      </c>
      <c r="F1178" s="8" t="str">
        <v>PedidoF1142</v>
      </c>
      <c r="G1178" s="2" t="str">
        <v>CódRastreio1140</v>
      </c>
      <c r="H1178" s="5">
        <v>1</v>
      </c>
      <c r="I1178" s="2" t="str">
        <v>CPF 1134</v>
      </c>
      <c r="J1178" s="2" t="str">
        <v>Nome 1134</v>
      </c>
      <c r="K1178" s="8" t="str">
        <v>Tel 1134</v>
      </c>
      <c r="L1178" s="8" t="str">
        <v>Cep 1134</v>
      </c>
      <c r="M1178" s="8" t="str">
        <v>Rua 1134</v>
      </c>
      <c r="N1178" s="8" t="str">
        <v>Comp 1134</v>
      </c>
      <c r="O1178" s="8" t="str">
        <v>Hand Grip Fortalecedor</v>
      </c>
      <c r="P1178" s="8" t="str">
        <v>OV-P9KI-A5LS</v>
      </c>
      <c r="Q1178" s="4">
        <v>45756</v>
      </c>
      <c r="R1178" s="109">
        <v>18.3</v>
      </c>
      <c r="S1178" s="11">
        <f ca="1"/>
        <v>18.3</v>
      </c>
      <c r="T1178" s="28">
        <f ca="1"/>
        <v>2.1960000000000002</v>
      </c>
      <c r="U1178" s="11">
        <f ca="1"/>
        <v>16.100000000000001</v>
      </c>
      <c r="V1178" s="11">
        <v>10.199999999999999</v>
      </c>
      <c r="W1178" s="11">
        <f ca="1"/>
        <v>0.2</v>
      </c>
      <c r="X1178" s="11">
        <f ca="1"/>
        <v>0.39877104377104378</v>
      </c>
      <c r="Y1178" s="11">
        <v>0</v>
      </c>
      <c r="Z1178" s="11">
        <f ca="1"/>
        <v>5.3012289562289592</v>
      </c>
      <c r="AA1178" s="11">
        <f ca="1"/>
        <v>2.6506144781144796</v>
      </c>
      <c r="AB1178" s="4">
        <f ca="1"/>
        <v>45763</v>
      </c>
      <c r="AC1178" s="4">
        <v>45763</v>
      </c>
      <c r="AD1178" s="9">
        <v>45779</v>
      </c>
      <c r="AE1178" s="9">
        <v>45783</v>
      </c>
      <c r="AF1178" s="4" t="str">
        <f t="shared" ca="1" si="78"/>
        <v>2025 04</v>
      </c>
      <c r="AG1178" s="8" t="str" cm="1">
        <f t="array" ref="AG1178">IFERROR(_xlfn.IFS('Banco de Dados'!#REF!="AG. COMPRA","Em processamento",'Banco de Dados'!#REF!="AG. RASTREIO","Em processamento",'Banco de Dados'!$AE1178&lt;&gt;"-","Faturado",'Banco de Dados'!$AD1178&lt;&gt;"-","Aguardando Pix",'Banco de Dados'!$AC1178&lt;&gt;"-","Pendente"),"Aguardando Liberação")</f>
        <v>Aguardando Liberação</v>
      </c>
      <c r="AH1178" s="5" t="str">
        <f>IF('Banco de Dados'!$F1178="-",_xlfn.CONCAT(PROPER(TEXT(AK1178,"aaaa"))," ",PROPER(TEXT(AK1178,"mm"))),_xlfn.CONCAT(PROPER(TEXT(E1178,"aaaa"))," ",PROPER(TEXT(E1178,"mm"))))</f>
        <v>2025 03</v>
      </c>
      <c r="AI1178" s="9" t="str">
        <f ca="1">IF('Banco de Dados'!$AK1178&lt;&gt;"-","REEMBOLSO",IFERROR(_xlfn.XLOOKUP(G1178,Follow[CODRASTREIO],Follow[STATUS]),"-"))</f>
        <v>ENTREGUE</v>
      </c>
      <c r="AJ1178" s="9">
        <f ca="1">IF('Banco de Dados'!$AI1178="ENTREGUE",_xlfn.XLOOKUP('Banco de Dados'!$G1178,Follow[CODRASTREIO],Follow[DATAATUALIZAÇÃO]),"-")</f>
        <v>45750</v>
      </c>
      <c r="AK1178" s="132" t="str">
        <f ca="1"/>
        <v>-</v>
      </c>
      <c r="AL1178" s="35"/>
      <c r="AM1178" s="109" cm="1">
        <f t="array" aca="1" ref="AM1178" ca="1">IF('Banco de Dados'!$AK1178&lt;&gt;"-",_xlfn.IFS('Banco de Dados'!$A1178="bv",IF('Banco de Dados'!$E1178&lt;45641,ROUND(SUM('Banco de Dados'!$R1178*_xlfn.XLOOKUP('Banco de Dados'!$P1178,Sku!B:B,Sku!#REF!)*20%),2),ROUND(SUM('Banco de Dados'!$R1178*_xlfn.XLOOKUP('Banco de Dados'!$P1178,Sku!B:B,Sku!H:H)*20%),2)),'Banco de Dados'!$A1178="GO",ROUND(SUM('Banco de Dados'!$R1178*_xlfn.XLOOKUP('Banco de Dados'!$P1178,Sku!C:C,Sku!H:H)*20%),2),'Banco de Dados'!$A1178="MEI",ROUND(SUM('Banco de Dados'!$R1178*_xlfn.XLOOKUP('Banco de Dados'!$P1178,Sku!D:D,Sku!H:H)*20%),2)),0)</f>
        <v>0</v>
      </c>
      <c r="AN1178" s="109">
        <f ca="1">IF('Banco de Dados'!$AK1178&lt;&gt;"-",IF('Banco de Dados'!$F1178&lt;&gt;"-",_xlfn.XLOOKUP(IFERROR(IFERROR(IFERROR(VALUE(SUBSTITUTE(MID(_xlfn.TEXTAFTER('Banco de Dados'!$F1178,"Data do Pedido:
",1),1,10),"-","/")),VALUE(SUBSTITUTE(MID(_xlfn.TEXTAFTER('Banco de Dados'!$F1178,"Order date:
",1),1,10),"-","/"))),VALUE(SUBSTITUTE(MID(_xlfn.TEXTAFTER('Banco de Dados'!$F1178,"Fecha de pedido:
",1),1,10),"-","/"))),"-"),SMS!A:A,SMS!K:K),0),0)</f>
        <v>0</v>
      </c>
      <c r="AO1178" s="109">
        <f ca="1">IF('Banco de Dados'!$AK1178&lt;&gt;"-",IF('Banco de Dados'!$F1178&lt;&gt;"-",IFERROR(_xlfn.XLOOKUP(_xlfn.CONCAT('Banco de Dados'!$A1178,IFERROR(IFERROR(VALUE(SUBSTITUTE(MID(_xlfn.TEXTAFTER('Banco de Dados'!$F1178,"Data do Pedido:
",1),1,10),"-","/")),VALUE(SUBSTITUTE(MID(_xlfn.TEXTAFTER('Banco de Dados'!$F1178,"Order date:
",1),1,10),"-","/"))),0)),ProxyDD[Chave],ProxyDD[Valor por pedido]),PROXY!$P$2),0),0)</f>
        <v>0</v>
      </c>
      <c r="AP1178" s="28">
        <f ca="1">IF('Banco de Dados'!$AK1178&lt;&gt;"-",IF('Banco de Dados'!$AL1178="NÃO",IFERROR(VALUE(SUBSTITUTE(_xlfn.TEXTAFTER('Banco de Dados'!$F1178,"BRL ",1),".",",")),0),0),0)</f>
        <v>0</v>
      </c>
      <c r="AQ1178" s="28">
        <f ca="1">SUM('Banco de Dados'!$AM1178:$AP1178)</f>
        <v>0</v>
      </c>
      <c r="AR1178" s="8"/>
      <c r="AY1178" s="8"/>
    </row>
    <row r="1179" spans="1:51">
      <c r="A1179" s="5" t="str">
        <v>MEI</v>
      </c>
      <c r="B1179" s="5" t="str">
        <f ca="1"/>
        <v>MEI45730</v>
      </c>
      <c r="C1179" s="8" t="str">
        <v>Pedido 1166</v>
      </c>
      <c r="D1179" s="187">
        <v>45729</v>
      </c>
      <c r="E1179" s="9">
        <v>45730</v>
      </c>
      <c r="F1179" s="8" t="str">
        <v>PedidoF1143</v>
      </c>
      <c r="G1179" s="2" t="str">
        <v>CódRastreio1141</v>
      </c>
      <c r="H1179" s="5">
        <v>1</v>
      </c>
      <c r="I1179" s="2" t="str">
        <v>CPF 1135</v>
      </c>
      <c r="J1179" s="2" t="str">
        <v>Nome 1135</v>
      </c>
      <c r="K1179" s="8" t="str">
        <v>Tel 1135</v>
      </c>
      <c r="L1179" s="8" t="str">
        <v>Cep 1135</v>
      </c>
      <c r="M1179" s="8" t="str">
        <v>Rua 1135</v>
      </c>
      <c r="N1179" s="8" t="str">
        <v>Comp 1135</v>
      </c>
      <c r="O1179" s="8" t="str">
        <v>Brinquedo Bola Giratória voadora</v>
      </c>
      <c r="P1179" s="8" t="str">
        <v>Z0-F6CI-18CL</v>
      </c>
      <c r="Q1179" s="4">
        <v>45756</v>
      </c>
      <c r="R1179" s="109">
        <v>45.9</v>
      </c>
      <c r="S1179" s="11">
        <f ca="1"/>
        <v>45.9</v>
      </c>
      <c r="T1179" s="28">
        <f ca="1"/>
        <v>5.508</v>
      </c>
      <c r="U1179" s="11">
        <f ca="1"/>
        <v>40.39</v>
      </c>
      <c r="V1179" s="11">
        <v>12.61</v>
      </c>
      <c r="W1179" s="11">
        <f ca="1"/>
        <v>0.33</v>
      </c>
      <c r="X1179" s="11">
        <f ca="1"/>
        <v>0.39877104377104378</v>
      </c>
      <c r="Y1179" s="11">
        <v>0</v>
      </c>
      <c r="Z1179" s="11">
        <f ca="1"/>
        <v>27.051228956228957</v>
      </c>
      <c r="AA1179" s="11">
        <f ca="1"/>
        <v>13.525614478114479</v>
      </c>
      <c r="AB1179" s="4">
        <f ca="1"/>
        <v>45763</v>
      </c>
      <c r="AC1179" s="4">
        <v>45763</v>
      </c>
      <c r="AD1179" s="9">
        <v>45779</v>
      </c>
      <c r="AE1179" s="9">
        <v>45783</v>
      </c>
      <c r="AF1179" s="4" t="str">
        <f t="shared" ca="1" si="78"/>
        <v>2025 04</v>
      </c>
      <c r="AG1179" s="8" t="str" cm="1">
        <f t="array" ref="AG1179">IFERROR(_xlfn.IFS('Banco de Dados'!#REF!="AG. COMPRA","Em processamento",'Banco de Dados'!#REF!="AG. RASTREIO","Em processamento",'Banco de Dados'!$AE1179&lt;&gt;"-","Faturado",'Banco de Dados'!$AD1179&lt;&gt;"-","Aguardando Pix",'Banco de Dados'!$AC1179&lt;&gt;"-","Pendente"),"Aguardando Liberação")</f>
        <v>Aguardando Liberação</v>
      </c>
      <c r="AH1179" s="5" t="str">
        <f>IF('Banco de Dados'!$F1179="-",_xlfn.CONCAT(PROPER(TEXT(AK1179,"aaaa"))," ",PROPER(TEXT(AK1179,"mm"))),_xlfn.CONCAT(PROPER(TEXT(E1179,"aaaa"))," ",PROPER(TEXT(E1179,"mm"))))</f>
        <v>2025 03</v>
      </c>
      <c r="AI1179" s="9" t="str">
        <f ca="1">IF('Banco de Dados'!$AK1179&lt;&gt;"-","REEMBOLSO",IFERROR(_xlfn.XLOOKUP(G1179,Follow[CODRASTREIO],Follow[STATUS]),"-"))</f>
        <v>ENTREGUE</v>
      </c>
      <c r="AJ1179" s="9">
        <f ca="1">IF('Banco de Dados'!$AI1179="ENTREGUE",_xlfn.XLOOKUP('Banco de Dados'!$G1179,Follow[CODRASTREIO],Follow[DATAATUALIZAÇÃO]),"-")</f>
        <v>45751</v>
      </c>
      <c r="AK1179" s="132" t="str">
        <f ca="1"/>
        <v>-</v>
      </c>
      <c r="AL1179" s="35"/>
      <c r="AM1179" s="109" cm="1">
        <f t="array" aca="1" ref="AM1179" ca="1">IF('Banco de Dados'!$AK1179&lt;&gt;"-",_xlfn.IFS('Banco de Dados'!$A1179="bv",IF('Banco de Dados'!$E1179&lt;45641,ROUND(SUM('Banco de Dados'!$R1179*_xlfn.XLOOKUP('Banco de Dados'!$P1179,Sku!B:B,Sku!#REF!)*20%),2),ROUND(SUM('Banco de Dados'!$R1179*_xlfn.XLOOKUP('Banco de Dados'!$P1179,Sku!B:B,Sku!H:H)*20%),2)),'Banco de Dados'!$A1179="GO",ROUND(SUM('Banco de Dados'!$R1179*_xlfn.XLOOKUP('Banco de Dados'!$P1179,Sku!C:C,Sku!H:H)*20%),2),'Banco de Dados'!$A1179="MEI",ROUND(SUM('Banco de Dados'!$R1179*_xlfn.XLOOKUP('Banco de Dados'!$P1179,Sku!D:D,Sku!H:H)*20%),2)),0)</f>
        <v>0</v>
      </c>
      <c r="AN1179" s="109">
        <f ca="1">IF('Banco de Dados'!$AK1179&lt;&gt;"-",IF('Banco de Dados'!$F1179&lt;&gt;"-",_xlfn.XLOOKUP(IFERROR(IFERROR(IFERROR(VALUE(SUBSTITUTE(MID(_xlfn.TEXTAFTER('Banco de Dados'!$F1179,"Data do Pedido:
",1),1,10),"-","/")),VALUE(SUBSTITUTE(MID(_xlfn.TEXTAFTER('Banco de Dados'!$F1179,"Order date:
",1),1,10),"-","/"))),VALUE(SUBSTITUTE(MID(_xlfn.TEXTAFTER('Banco de Dados'!$F1179,"Fecha de pedido:
",1),1,10),"-","/"))),"-"),SMS!A:A,SMS!K:K),0),0)</f>
        <v>0</v>
      </c>
      <c r="AO1179" s="109">
        <f ca="1">IF('Banco de Dados'!$AK1179&lt;&gt;"-",IF('Banco de Dados'!$F1179&lt;&gt;"-",IFERROR(_xlfn.XLOOKUP(_xlfn.CONCAT('Banco de Dados'!$A1179,IFERROR(IFERROR(VALUE(SUBSTITUTE(MID(_xlfn.TEXTAFTER('Banco de Dados'!$F1179,"Data do Pedido:
",1),1,10),"-","/")),VALUE(SUBSTITUTE(MID(_xlfn.TEXTAFTER('Banco de Dados'!$F1179,"Order date:
",1),1,10),"-","/"))),0)),ProxyDD[Chave],ProxyDD[Valor por pedido]),PROXY!$P$2),0),0)</f>
        <v>0</v>
      </c>
      <c r="AP1179" s="28">
        <f ca="1">IF('Banco de Dados'!$AK1179&lt;&gt;"-",IF('Banco de Dados'!$AL1179="NÃO",IFERROR(VALUE(SUBSTITUTE(_xlfn.TEXTAFTER('Banco de Dados'!$F1179,"BRL ",1),".",",")),0),0),0)</f>
        <v>0</v>
      </c>
      <c r="AQ1179" s="28">
        <f ca="1">SUM('Banco de Dados'!$AM1179:$AP1179)</f>
        <v>0</v>
      </c>
      <c r="AR1179" s="8"/>
      <c r="AY1179" s="8"/>
    </row>
    <row r="1180" spans="1:51">
      <c r="A1180" s="5" t="str">
        <v>BV</v>
      </c>
      <c r="B1180" s="5" t="str">
        <f ca="1"/>
        <v>BV-</v>
      </c>
      <c r="C1180" s="8" t="str">
        <v>Pedido 1167</v>
      </c>
      <c r="D1180" s="9">
        <v>45730</v>
      </c>
      <c r="E1180" s="9" t="str">
        <v>-</v>
      </c>
      <c r="F1180" s="8" t="str">
        <v>-</v>
      </c>
      <c r="G1180" s="2" t="str">
        <v>-</v>
      </c>
      <c r="H1180" s="5">
        <v>1</v>
      </c>
      <c r="I1180" s="2" t="str">
        <v>CPF 1136</v>
      </c>
      <c r="J1180" s="2" t="str">
        <v>Nome 1136</v>
      </c>
      <c r="K1180" s="8" t="str">
        <v>Tel 1136</v>
      </c>
      <c r="L1180" s="8" t="str">
        <v>Cep 1136</v>
      </c>
      <c r="M1180" s="8" t="str">
        <v>Rua 1136</v>
      </c>
      <c r="N1180" s="8" t="str">
        <v>Comp 1136</v>
      </c>
      <c r="O1180" s="8" t="str">
        <v>Ventilador Umidificador Branco</v>
      </c>
      <c r="P1180" s="8" t="str">
        <v>IA-LLX9-MRV1</v>
      </c>
      <c r="Q1180" s="4">
        <v>45751</v>
      </c>
      <c r="R1180" s="109">
        <v>65.989999999999995</v>
      </c>
      <c r="S1180" s="11">
        <f ca="1"/>
        <v>0</v>
      </c>
      <c r="T1180" s="28">
        <f ca="1"/>
        <v>0</v>
      </c>
      <c r="U1180" s="11">
        <f ca="1"/>
        <v>0</v>
      </c>
      <c r="V1180" s="11">
        <v>0</v>
      </c>
      <c r="W1180" s="11">
        <f ca="1"/>
        <v>0</v>
      </c>
      <c r="X1180" s="11">
        <f ca="1"/>
        <v>0</v>
      </c>
      <c r="Y1180" s="11">
        <v>0</v>
      </c>
      <c r="Z1180" s="11">
        <f ca="1"/>
        <v>0</v>
      </c>
      <c r="AA1180" s="11">
        <f ca="1"/>
        <v>0</v>
      </c>
      <c r="AB1180" s="4">
        <f ca="1"/>
        <v>45758</v>
      </c>
      <c r="AC1180" s="4">
        <v>45758</v>
      </c>
      <c r="AD1180" s="9">
        <v>45762</v>
      </c>
      <c r="AE1180" s="9">
        <v>45763</v>
      </c>
      <c r="AF1180" s="4" t="str">
        <f t="shared" ref="AF1180:AF1189" ca="1" si="79">_xlfn.CONCAT(PROPER(TEXT(AB1180,"aaaa"))," ",PROPER(TEXT(AB1180,"mm")))</f>
        <v>2025 04</v>
      </c>
      <c r="AG1180" s="8" t="str" cm="1">
        <f t="array" ref="AG1180">IFERROR(_xlfn.IFS('Banco de Dados'!#REF!="AG. COMPRA","Em processamento",'Banco de Dados'!#REF!="AG. RASTREIO","Em processamento",'Banco de Dados'!$AE1180&lt;&gt;"-","Faturado",'Banco de Dados'!$AD1180&lt;&gt;"-","Aguardando Pix",'Banco de Dados'!$AC1180&lt;&gt;"-","Pendente"),"Aguardando Liberação")</f>
        <v>Aguardando Liberação</v>
      </c>
      <c r="AH1180" s="5" t="str">
        <f ca="1">IF('Banco de Dados'!$F1180="-",_xlfn.CONCAT(PROPER(TEXT(AK1180,"aaaa"))," ",PROPER(TEXT(AK1180,"mm"))),_xlfn.CONCAT(PROPER(TEXT(E1180,"aaaa"))," ",PROPER(TEXT(E1180,"mm"))))</f>
        <v>2025 03</v>
      </c>
      <c r="AI1180" s="9" t="str">
        <f ca="1">IF('Banco de Dados'!$AK1180&lt;&gt;"-","REEMBOLSO",IFERROR(_xlfn.XLOOKUP(G1180,Follow[CODRASTREIO],Follow[STATUS]),"-"))</f>
        <v>REEMBOLSO</v>
      </c>
      <c r="AJ1180" s="9" t="str">
        <f ca="1">IF('Banco de Dados'!$AI1180="ENTREGUE",_xlfn.XLOOKUP('Banco de Dados'!$G1180,Follow[CODRASTREIO],Follow[DATAATUALIZAÇÃO]),"-")</f>
        <v>-</v>
      </c>
      <c r="AK1180" s="132">
        <f ca="1"/>
        <v>45737</v>
      </c>
      <c r="AL1180" s="35"/>
      <c r="AM1180" s="109" cm="1">
        <f t="array" aca="1" ref="AM1180" ca="1">IF('Banco de Dados'!$AK1180&lt;&gt;"-",_xlfn.IFS('Banco de Dados'!$A1180="bv",IF('Banco de Dados'!$E1180&lt;45641,ROUND(SUM('Banco de Dados'!$R1180*_xlfn.XLOOKUP('Banco de Dados'!$P1180,Sku!B:B,Sku!#REF!)*20%),2),ROUND(SUM('Banco de Dados'!$R1180*_xlfn.XLOOKUP('Banco de Dados'!$P1180,Sku!B:B,Sku!H:H)*20%),2)),'Banco de Dados'!$A1180="GO",ROUND(_xlfn.XLOOKUP('Banco de Dados'!$P1180,Sku!C:C,Sku!H:H),2),'Banco de Dados'!$A1180="MEI",ROUND(_xlfn.XLOOKUP('Banco de Dados'!$P1180,Sku!D:D,Sku!H:H),2)),0)</f>
        <v>1.85</v>
      </c>
      <c r="AN1180" s="109">
        <f ca="1">IF('Banco de Dados'!$AK1180&lt;&gt;"-",IF('Banco de Dados'!$F1180&lt;&gt;"-",_xlfn.XLOOKUP(IFERROR(IFERROR(IFERROR(VALUE(SUBSTITUTE(MID(_xlfn.TEXTAFTER('Banco de Dados'!$F1180,"Data do Pedido:
",1),1,10),"-","/")),VALUE(SUBSTITUTE(MID(_xlfn.TEXTAFTER('Banco de Dados'!$F1180,"Order date:
",1),1,10),"-","/"))),VALUE(SUBSTITUTE(MID(_xlfn.TEXTAFTER('Banco de Dados'!$F1180,"Fecha de pedido:
",1),1,10),"-","/"))),"-"),SMS!A:A,SMS!K:K),0),0)</f>
        <v>0</v>
      </c>
      <c r="AO1180" s="109">
        <f ca="1">IF('Banco de Dados'!$AK1180&lt;&gt;"-",IF('Banco de Dados'!$F1180&lt;&gt;"-",IFERROR(_xlfn.XLOOKUP(_xlfn.CONCAT('Banco de Dados'!$A1180,IFERROR(IFERROR(VALUE(SUBSTITUTE(MID(_xlfn.TEXTAFTER('Banco de Dados'!$F1180,"Data do Pedido:
",1),1,10),"-","/")),VALUE(SUBSTITUTE(MID(_xlfn.TEXTAFTER('Banco de Dados'!$F1180,"Order date:
",1),1,10),"-","/"))),0)),ProxyDD[Chave],ProxyDD[Valor por pedido]),PROXY!$P$2),0),0)</f>
        <v>0</v>
      </c>
      <c r="AP1180" s="28">
        <f ca="1">IF('Banco de Dados'!$AK1180&lt;&gt;"-",IF('Banco de Dados'!$AL1180="NÃO",IFERROR(VALUE(SUBSTITUTE(_xlfn.TEXTAFTER('Banco de Dados'!$F1180,"BRL ",1),".",",")),0),0),0)</f>
        <v>0</v>
      </c>
      <c r="AQ1180" s="28">
        <f ca="1">SUM('Banco de Dados'!$AM1180:$AP1180)</f>
        <v>1.85</v>
      </c>
      <c r="AR1180" s="8"/>
      <c r="AY1180" s="8"/>
    </row>
    <row r="1181" spans="1:51">
      <c r="A1181" s="5" t="str">
        <v>BV</v>
      </c>
      <c r="B1181" s="5" t="str">
        <f ca="1"/>
        <v>BV45730</v>
      </c>
      <c r="C1181" s="8" t="str">
        <v>Pedido 1168</v>
      </c>
      <c r="D1181" s="9">
        <v>45730</v>
      </c>
      <c r="E1181" s="9">
        <v>45730</v>
      </c>
      <c r="F1181" s="8" t="str">
        <v>PedidoF1144</v>
      </c>
      <c r="G1181" s="2" t="str">
        <v>CódRastreio1142</v>
      </c>
      <c r="H1181" s="5">
        <v>1</v>
      </c>
      <c r="I1181" s="2" t="str">
        <v>CPF 1137</v>
      </c>
      <c r="J1181" s="2" t="str">
        <v>Nome 1137</v>
      </c>
      <c r="K1181" s="8" t="str">
        <v>Tel 1137</v>
      </c>
      <c r="L1181" s="8" t="str">
        <v>Cep 1137</v>
      </c>
      <c r="M1181" s="8" t="str">
        <v>Rua 1137</v>
      </c>
      <c r="N1181" s="8" t="str">
        <v>Comp 1137</v>
      </c>
      <c r="O1181" s="8" t="str">
        <v>Garrafa Termica</v>
      </c>
      <c r="P1181" s="8" t="str">
        <v>FM-QQ8Y-RZT4</v>
      </c>
      <c r="Q1181" s="4">
        <v>45751</v>
      </c>
      <c r="R1181" s="109">
        <v>28.5</v>
      </c>
      <c r="S1181" s="11">
        <f ca="1"/>
        <v>28.5</v>
      </c>
      <c r="T1181" s="28">
        <f ca="1"/>
        <v>3.7050000000000001</v>
      </c>
      <c r="U1181" s="11">
        <f ca="1"/>
        <v>24.8</v>
      </c>
      <c r="V1181" s="11">
        <v>16.8</v>
      </c>
      <c r="W1181" s="11">
        <f ca="1"/>
        <v>0.23</v>
      </c>
      <c r="X1181" s="11">
        <f ca="1"/>
        <v>0.39877104377104378</v>
      </c>
      <c r="Y1181" s="11">
        <v>0</v>
      </c>
      <c r="Z1181" s="11">
        <f ca="1"/>
        <v>7.3712289562289541</v>
      </c>
      <c r="AA1181" s="11">
        <f ca="1"/>
        <v>3.6856144781144771</v>
      </c>
      <c r="AB1181" s="4">
        <f ca="1"/>
        <v>45758</v>
      </c>
      <c r="AC1181" s="4">
        <v>45758</v>
      </c>
      <c r="AD1181" s="9">
        <v>45762</v>
      </c>
      <c r="AE1181" s="9">
        <v>45763</v>
      </c>
      <c r="AF1181" s="4" t="str">
        <f t="shared" ca="1" si="79"/>
        <v>2025 04</v>
      </c>
      <c r="AG1181" s="8" t="str" cm="1">
        <f t="array" ref="AG1181">IFERROR(_xlfn.IFS('Banco de Dados'!#REF!="AG. COMPRA","Em processamento",'Banco de Dados'!#REF!="AG. RASTREIO","Em processamento",'Banco de Dados'!$AE1181&lt;&gt;"-","Faturado",'Banco de Dados'!$AD1181&lt;&gt;"-","Aguardando Pix",'Banco de Dados'!$AC1181&lt;&gt;"-","Pendente"),"Aguardando Liberação")</f>
        <v>Aguardando Liberação</v>
      </c>
      <c r="AH1181" s="5" t="str">
        <f>IF('Banco de Dados'!$F1181="-",_xlfn.CONCAT(PROPER(TEXT(AK1181,"aaaa"))," ",PROPER(TEXT(AK1181,"mm"))),_xlfn.CONCAT(PROPER(TEXT(E1181,"aaaa"))," ",PROPER(TEXT(E1181,"mm"))))</f>
        <v>2025 03</v>
      </c>
      <c r="AI1181" s="9" t="str">
        <f ca="1">IF('Banco de Dados'!$AK1181&lt;&gt;"-","REEMBOLSO",IFERROR(_xlfn.XLOOKUP(G1181,Follow[CODRASTREIO],Follow[STATUS]),"-"))</f>
        <v>ENTREGUE</v>
      </c>
      <c r="AJ1181" s="9">
        <f ca="1">IF('Banco de Dados'!$AI1181="ENTREGUE",_xlfn.XLOOKUP('Banco de Dados'!$G1181,Follow[CODRASTREIO],Follow[DATAATUALIZAÇÃO]),"-")</f>
        <v>45740</v>
      </c>
      <c r="AK1181" s="132" t="str">
        <f ca="1"/>
        <v>-</v>
      </c>
      <c r="AL1181" s="35"/>
      <c r="AM1181" s="109" cm="1">
        <f t="array" aca="1" ref="AM1181" ca="1">IF('Banco de Dados'!$AK1181&lt;&gt;"-",_xlfn.IFS('Banco de Dados'!$A1181="bv",IF('Banco de Dados'!$E1181&lt;45641,ROUND(SUM('Banco de Dados'!$R1181*_xlfn.XLOOKUP('Banco de Dados'!$P1181,Sku!B:B,Sku!#REF!)*20%),2),ROUND(SUM('Banco de Dados'!$R1181*_xlfn.XLOOKUP('Banco de Dados'!$P1181,Sku!B:B,Sku!H:H)*20%),2)),'Banco de Dados'!$A1181="GO",ROUND(_xlfn.XLOOKUP('Banco de Dados'!$P1181,Sku!C:C,Sku!H:H),2),'Banco de Dados'!$A1181="MEI",ROUND(_xlfn.XLOOKUP('Banco de Dados'!$P1181,Sku!D:D,Sku!H:H),2)),0)</f>
        <v>0</v>
      </c>
      <c r="AN1181" s="109">
        <f ca="1">IF('Banco de Dados'!$AK1181&lt;&gt;"-",IF('Banco de Dados'!$F1181&lt;&gt;"-",_xlfn.XLOOKUP(IFERROR(IFERROR(IFERROR(VALUE(SUBSTITUTE(MID(_xlfn.TEXTAFTER('Banco de Dados'!$F1181,"Data do Pedido:
",1),1,10),"-","/")),VALUE(SUBSTITUTE(MID(_xlfn.TEXTAFTER('Banco de Dados'!$F1181,"Order date:
",1),1,10),"-","/"))),VALUE(SUBSTITUTE(MID(_xlfn.TEXTAFTER('Banco de Dados'!$F1181,"Fecha de pedido:
",1),1,10),"-","/"))),"-"),SMS!A:A,SMS!K:K),0),0)</f>
        <v>0</v>
      </c>
      <c r="AO1181" s="109">
        <f ca="1">IF('Banco de Dados'!$AK1181&lt;&gt;"-",IF('Banco de Dados'!$F1181&lt;&gt;"-",IFERROR(_xlfn.XLOOKUP(_xlfn.CONCAT('Banco de Dados'!$A1181,IFERROR(IFERROR(VALUE(SUBSTITUTE(MID(_xlfn.TEXTAFTER('Banco de Dados'!$F1181,"Data do Pedido:
",1),1,10),"-","/")),VALUE(SUBSTITUTE(MID(_xlfn.TEXTAFTER('Banco de Dados'!$F1181,"Order date:
",1),1,10),"-","/"))),0)),ProxyDD[Chave],ProxyDD[Valor por pedido]),PROXY!$P$2),0),0)</f>
        <v>0</v>
      </c>
      <c r="AP1181" s="28">
        <f ca="1">IF('Banco de Dados'!$AK1181&lt;&gt;"-",IF('Banco de Dados'!$AL1181="NÃO",IFERROR(VALUE(SUBSTITUTE(_xlfn.TEXTAFTER('Banco de Dados'!$F1181,"BRL ",1),".",",")),0),0),0)</f>
        <v>0</v>
      </c>
      <c r="AQ1181" s="28">
        <f ca="1">SUM('Banco de Dados'!$AM1181:$AP1181)</f>
        <v>0</v>
      </c>
      <c r="AR1181" s="8"/>
      <c r="AY1181" s="8"/>
    </row>
    <row r="1182" spans="1:51">
      <c r="A1182" s="5" t="str">
        <v>BV</v>
      </c>
      <c r="B1182" s="5" t="str">
        <f ca="1"/>
        <v>BV45730</v>
      </c>
      <c r="C1182" s="8" t="str">
        <v>Pedido 1169</v>
      </c>
      <c r="D1182" s="9">
        <v>45730</v>
      </c>
      <c r="E1182" s="9">
        <v>45730</v>
      </c>
      <c r="F1182" s="8" t="str">
        <v>PedidoF1145</v>
      </c>
      <c r="G1182" s="2" t="str">
        <v>CódRastreio1143</v>
      </c>
      <c r="H1182" s="5">
        <v>1</v>
      </c>
      <c r="I1182" s="2" t="str">
        <v>CPF 1138</v>
      </c>
      <c r="J1182" s="2" t="str">
        <v>Nome 1138</v>
      </c>
      <c r="K1182" s="8" t="str">
        <v>Tel 1138</v>
      </c>
      <c r="L1182" s="8" t="str">
        <v>Cep 1138</v>
      </c>
      <c r="M1182" s="8" t="str">
        <v>Rua 1138</v>
      </c>
      <c r="N1182" s="8" t="str">
        <v>Comp 1138</v>
      </c>
      <c r="O1182" s="8" t="str">
        <v>Lampada Led</v>
      </c>
      <c r="P1182" s="8" t="str">
        <v>RB-W251-UXV2</v>
      </c>
      <c r="Q1182" s="4">
        <v>45751</v>
      </c>
      <c r="R1182" s="109">
        <v>26.99</v>
      </c>
      <c r="S1182" s="11">
        <f ca="1"/>
        <v>26.99</v>
      </c>
      <c r="T1182" s="28">
        <f ca="1"/>
        <v>3.5086999999999997</v>
      </c>
      <c r="U1182" s="11">
        <f ca="1"/>
        <v>23.48</v>
      </c>
      <c r="V1182" s="11">
        <v>10.199999999999999</v>
      </c>
      <c r="W1182" s="11">
        <f ca="1"/>
        <v>0.23</v>
      </c>
      <c r="X1182" s="11">
        <f ca="1"/>
        <v>0.39877104377104378</v>
      </c>
      <c r="Y1182" s="11">
        <v>0</v>
      </c>
      <c r="Z1182" s="11">
        <f ca="1"/>
        <v>12.651228956228957</v>
      </c>
      <c r="AA1182" s="11">
        <f ca="1"/>
        <v>6.3256144781144785</v>
      </c>
      <c r="AB1182" s="4">
        <f ca="1"/>
        <v>45758</v>
      </c>
      <c r="AC1182" s="4">
        <v>45758</v>
      </c>
      <c r="AD1182" s="9">
        <v>45762</v>
      </c>
      <c r="AE1182" s="9">
        <v>45763</v>
      </c>
      <c r="AF1182" s="4" t="str">
        <f t="shared" ca="1" si="79"/>
        <v>2025 04</v>
      </c>
      <c r="AG1182" s="8" t="str" cm="1">
        <f t="array" ref="AG1182">IFERROR(_xlfn.IFS('Banco de Dados'!#REF!="AG. COMPRA","Em processamento",'Banco de Dados'!#REF!="AG. RASTREIO","Em processamento",'Banco de Dados'!$AE1182&lt;&gt;"-","Faturado",'Banco de Dados'!$AD1182&lt;&gt;"-","Aguardando Pix",'Banco de Dados'!$AC1182&lt;&gt;"-","Pendente"),"Aguardando Liberação")</f>
        <v>Aguardando Liberação</v>
      </c>
      <c r="AH1182" s="5" t="str">
        <f>IF('Banco de Dados'!$F1182="-",_xlfn.CONCAT(PROPER(TEXT(AK1182,"aaaa"))," ",PROPER(TEXT(AK1182,"mm"))),_xlfn.CONCAT(PROPER(TEXT(E1182,"aaaa"))," ",PROPER(TEXT(E1182,"mm"))))</f>
        <v>2025 03</v>
      </c>
      <c r="AI1182" s="9" t="str">
        <f ca="1">IF('Banco de Dados'!$AK1182&lt;&gt;"-","REEMBOLSO",IFERROR(_xlfn.XLOOKUP(G1182,Follow[CODRASTREIO],Follow[STATUS]),"-"))</f>
        <v>ENTREGUE</v>
      </c>
      <c r="AJ1182" s="9">
        <f ca="1">IF('Banco de Dados'!$AI1182="ENTREGUE",_xlfn.XLOOKUP('Banco de Dados'!$G1182,Follow[CODRASTREIO],Follow[DATAATUALIZAÇÃO]),"-")</f>
        <v>45748</v>
      </c>
      <c r="AK1182" s="132" t="str">
        <f ca="1"/>
        <v>-</v>
      </c>
      <c r="AL1182" s="35"/>
      <c r="AM1182" s="109" cm="1">
        <f t="array" aca="1" ref="AM1182" ca="1">IF('Banco de Dados'!$AK1182&lt;&gt;"-",_xlfn.IFS('Banco de Dados'!$A1182="bv",IF('Banco de Dados'!$E1182&lt;45641,ROUND(SUM('Banco de Dados'!$R1182*_xlfn.XLOOKUP('Banco de Dados'!$P1182,Sku!B:B,Sku!#REF!)*20%),2),ROUND(SUM('Banco de Dados'!$R1182*_xlfn.XLOOKUP('Banco de Dados'!$P1182,Sku!B:B,Sku!H:H)*20%),2)),'Banco de Dados'!$A1182="GO",ROUND(_xlfn.XLOOKUP('Banco de Dados'!$P1182,Sku!C:C,Sku!H:H),2),'Banco de Dados'!$A1182="MEI",ROUND(_xlfn.XLOOKUP('Banco de Dados'!$P1182,Sku!D:D,Sku!H:H),2)),0)</f>
        <v>0</v>
      </c>
      <c r="AN1182" s="109">
        <f ca="1">IF('Banco de Dados'!$AK1182&lt;&gt;"-",IF('Banco de Dados'!$F1182&lt;&gt;"-",_xlfn.XLOOKUP(IFERROR(IFERROR(IFERROR(VALUE(SUBSTITUTE(MID(_xlfn.TEXTAFTER('Banco de Dados'!$F1182,"Data do Pedido:
",1),1,10),"-","/")),VALUE(SUBSTITUTE(MID(_xlfn.TEXTAFTER('Banco de Dados'!$F1182,"Order date:
",1),1,10),"-","/"))),VALUE(SUBSTITUTE(MID(_xlfn.TEXTAFTER('Banco de Dados'!$F1182,"Fecha de pedido:
",1),1,10),"-","/"))),"-"),SMS!A:A,SMS!K:K),0),0)</f>
        <v>0</v>
      </c>
      <c r="AO1182" s="109">
        <f ca="1">IF('Banco de Dados'!$AK1182&lt;&gt;"-",IF('Banco de Dados'!$F1182&lt;&gt;"-",IFERROR(_xlfn.XLOOKUP(_xlfn.CONCAT('Banco de Dados'!$A1182,IFERROR(IFERROR(VALUE(SUBSTITUTE(MID(_xlfn.TEXTAFTER('Banco de Dados'!$F1182,"Data do Pedido:
",1),1,10),"-","/")),VALUE(SUBSTITUTE(MID(_xlfn.TEXTAFTER('Banco de Dados'!$F1182,"Order date:
",1),1,10),"-","/"))),0)),ProxyDD[Chave],ProxyDD[Valor por pedido]),PROXY!$P$2),0),0)</f>
        <v>0</v>
      </c>
      <c r="AP1182" s="28">
        <f ca="1">IF('Banco de Dados'!$AK1182&lt;&gt;"-",IF('Banco de Dados'!$AL1182="NÃO",IFERROR(VALUE(SUBSTITUTE(_xlfn.TEXTAFTER('Banco de Dados'!$F1182,"BRL ",1),".",",")),0),0),0)</f>
        <v>0</v>
      </c>
      <c r="AQ1182" s="28">
        <f ca="1">SUM('Banco de Dados'!$AM1182:$AP1182)</f>
        <v>0</v>
      </c>
      <c r="AR1182" s="8"/>
      <c r="AY1182" s="8"/>
    </row>
    <row r="1183" spans="1:51">
      <c r="A1183" s="5" t="str">
        <v>MEI</v>
      </c>
      <c r="B1183" s="5" t="str">
        <f ca="1"/>
        <v>MEI45733</v>
      </c>
      <c r="C1183" s="8" t="str">
        <v>Pedido 1170</v>
      </c>
      <c r="D1183" s="187">
        <v>45730</v>
      </c>
      <c r="E1183" s="9">
        <v>45733</v>
      </c>
      <c r="F1183" s="8" t="str">
        <v>PedidoF1146</v>
      </c>
      <c r="G1183" s="2" t="str">
        <v>CódRastreio1144</v>
      </c>
      <c r="H1183" s="5">
        <v>1</v>
      </c>
      <c r="I1183" s="2" t="str">
        <v>CPF 1139</v>
      </c>
      <c r="J1183" s="2" t="str">
        <v>Nome 1139</v>
      </c>
      <c r="K1183" s="8" t="str">
        <v>Tel 1139</v>
      </c>
      <c r="L1183" s="8" t="str">
        <v>Cep 1139</v>
      </c>
      <c r="M1183" s="8" t="str">
        <v>Rua 1139</v>
      </c>
      <c r="N1183" s="8" t="str">
        <v>Comp 1139</v>
      </c>
      <c r="O1183" s="8" t="str">
        <v>Hand Grip Fortalecedor</v>
      </c>
      <c r="P1183" s="8" t="str">
        <v>OV-P9KI-A5LS</v>
      </c>
      <c r="Q1183" s="4">
        <v>45756</v>
      </c>
      <c r="R1183" s="109">
        <v>18.3</v>
      </c>
      <c r="S1183" s="11">
        <f ca="1"/>
        <v>18.3</v>
      </c>
      <c r="T1183" s="28">
        <f ca="1"/>
        <v>2.1960000000000002</v>
      </c>
      <c r="U1183" s="11">
        <f ca="1"/>
        <v>16.100000000000001</v>
      </c>
      <c r="V1183" s="11">
        <v>10.16</v>
      </c>
      <c r="W1183" s="11">
        <f ca="1"/>
        <v>0.46</v>
      </c>
      <c r="X1183" s="11">
        <f ca="1"/>
        <v>0.39877104377104378</v>
      </c>
      <c r="Y1183" s="11">
        <v>0</v>
      </c>
      <c r="Z1183" s="11">
        <f ca="1"/>
        <v>5.0812289562289568</v>
      </c>
      <c r="AA1183" s="11">
        <f ca="1"/>
        <v>2.5406144781144784</v>
      </c>
      <c r="AB1183" s="4">
        <f ca="1"/>
        <v>45763</v>
      </c>
      <c r="AC1183" s="4">
        <v>45763</v>
      </c>
      <c r="AD1183" s="9">
        <v>45779</v>
      </c>
      <c r="AE1183" s="9">
        <v>45783</v>
      </c>
      <c r="AF1183" s="4" t="str">
        <f t="shared" ca="1" si="79"/>
        <v>2025 04</v>
      </c>
      <c r="AG1183" s="8" t="str" cm="1">
        <f t="array" ref="AG1183">IFERROR(_xlfn.IFS('Banco de Dados'!#REF!="AG. COMPRA","Em processamento",'Banco de Dados'!#REF!="AG. RASTREIO","Em processamento",'Banco de Dados'!$AE1183&lt;&gt;"-","Faturado",'Banco de Dados'!$AD1183&lt;&gt;"-","Aguardando Pix",'Banco de Dados'!$AC1183&lt;&gt;"-","Pendente"),"Aguardando Liberação")</f>
        <v>Aguardando Liberação</v>
      </c>
      <c r="AH1183" s="5" t="str">
        <f>IF('Banco de Dados'!$F1183="-",_xlfn.CONCAT(PROPER(TEXT(AK1183,"aaaa"))," ",PROPER(TEXT(AK1183,"mm"))),_xlfn.CONCAT(PROPER(TEXT(E1183,"aaaa"))," ",PROPER(TEXT(E1183,"mm"))))</f>
        <v>2025 03</v>
      </c>
      <c r="AI1183" s="9" t="str">
        <f ca="1">IF('Banco de Dados'!$AK1183&lt;&gt;"-","REEMBOLSO",IFERROR(_xlfn.XLOOKUP(G1183,Follow[CODRASTREIO],Follow[STATUS]),"-"))</f>
        <v>ENTREGUE</v>
      </c>
      <c r="AJ1183" s="9">
        <f ca="1">IF('Banco de Dados'!$AI1183="ENTREGUE",_xlfn.XLOOKUP('Banco de Dados'!$G1183,Follow[CODRASTREIO],Follow[DATAATUALIZAÇÃO]),"-")</f>
        <v>45749</v>
      </c>
      <c r="AK1183" s="132" t="str">
        <f ca="1"/>
        <v>-</v>
      </c>
      <c r="AL1183" s="35"/>
      <c r="AM1183" s="109" cm="1">
        <f t="array" aca="1" ref="AM1183" ca="1">IF('Banco de Dados'!$AK1183&lt;&gt;"-",_xlfn.IFS('Banco de Dados'!$A1183="bv",IF('Banco de Dados'!$E1183&lt;45641,ROUND(SUM('Banco de Dados'!$R1183*_xlfn.XLOOKUP('Banco de Dados'!$P1183,Sku!B:B,Sku!#REF!)*20%),2),ROUND(SUM('Banco de Dados'!$R1183*_xlfn.XLOOKUP('Banco de Dados'!$P1183,Sku!B:B,Sku!H:H)*20%),2)),'Banco de Dados'!$A1183="GO",ROUND(SUM('Banco de Dados'!$R1183*_xlfn.XLOOKUP('Banco de Dados'!$P1183,Sku!C:C,Sku!H:H)*20%),2),'Banco de Dados'!$A1183="MEI",ROUND(SUM('Banco de Dados'!$R1183*_xlfn.XLOOKUP('Banco de Dados'!$P1183,Sku!D:D,Sku!H:H)*20%),2)),0)</f>
        <v>0</v>
      </c>
      <c r="AN1183" s="109">
        <f ca="1">IF('Banco de Dados'!$AK1183&lt;&gt;"-",IF('Banco de Dados'!$F1183&lt;&gt;"-",_xlfn.XLOOKUP(IFERROR(IFERROR(IFERROR(VALUE(SUBSTITUTE(MID(_xlfn.TEXTAFTER('Banco de Dados'!$F1183,"Data do Pedido:
",1),1,10),"-","/")),VALUE(SUBSTITUTE(MID(_xlfn.TEXTAFTER('Banco de Dados'!$F1183,"Order date:
",1),1,10),"-","/"))),VALUE(SUBSTITUTE(MID(_xlfn.TEXTAFTER('Banco de Dados'!$F1183,"Fecha de pedido:
",1),1,10),"-","/"))),"-"),SMS!A:A,SMS!K:K),0),0)</f>
        <v>0</v>
      </c>
      <c r="AO1183" s="109">
        <f ca="1">IF('Banco de Dados'!$AK1183&lt;&gt;"-",IF('Banco de Dados'!$F1183&lt;&gt;"-",IFERROR(_xlfn.XLOOKUP(_xlfn.CONCAT('Banco de Dados'!$A1183,IFERROR(IFERROR(VALUE(SUBSTITUTE(MID(_xlfn.TEXTAFTER('Banco de Dados'!$F1183,"Data do Pedido:
",1),1,10),"-","/")),VALUE(SUBSTITUTE(MID(_xlfn.TEXTAFTER('Banco de Dados'!$F1183,"Order date:
",1),1,10),"-","/"))),0)),ProxyDD[Chave],ProxyDD[Valor por pedido]),PROXY!$P$2),0),0)</f>
        <v>0</v>
      </c>
      <c r="AP1183" s="28">
        <f ca="1">IF('Banco de Dados'!$AK1183&lt;&gt;"-",IF('Banco de Dados'!$AL1183="NÃO",IFERROR(VALUE(SUBSTITUTE(_xlfn.TEXTAFTER('Banco de Dados'!$F1183,"BRL ",1),".",",")),0),0),0)</f>
        <v>0</v>
      </c>
      <c r="AQ1183" s="28">
        <f ca="1">SUM('Banco de Dados'!$AM1183:$AP1183)</f>
        <v>0</v>
      </c>
      <c r="AR1183" s="8"/>
      <c r="AY1183" s="8"/>
    </row>
    <row r="1184" spans="1:51">
      <c r="A1184" s="5" t="str">
        <v>MEI</v>
      </c>
      <c r="B1184" s="5" t="str">
        <f ca="1"/>
        <v>MEI45730</v>
      </c>
      <c r="C1184" s="8" t="str">
        <v>Pedido 1171</v>
      </c>
      <c r="D1184" s="187">
        <v>45730</v>
      </c>
      <c r="E1184" s="9">
        <v>45730</v>
      </c>
      <c r="F1184" s="8" t="str">
        <v>PedidoF1147</v>
      </c>
      <c r="G1184" s="2" t="str">
        <v>CódRastreio1145</v>
      </c>
      <c r="H1184" s="5">
        <v>1</v>
      </c>
      <c r="I1184" s="2" t="str">
        <v>CPF 1140</v>
      </c>
      <c r="J1184" s="2" t="str">
        <v>Nome 1140</v>
      </c>
      <c r="K1184" s="8" t="str">
        <v>Tel 1140</v>
      </c>
      <c r="L1184" s="8" t="str">
        <v>Cep 1140</v>
      </c>
      <c r="M1184" s="8" t="str">
        <v>Rua 1140</v>
      </c>
      <c r="N1184" s="8" t="str">
        <v>Comp 1140</v>
      </c>
      <c r="O1184" s="8" t="str">
        <v>Maçarico Culinário Portátil</v>
      </c>
      <c r="P1184" s="8" t="str">
        <v>BG-DHRO-FAEE</v>
      </c>
      <c r="Q1184" s="4">
        <v>45764</v>
      </c>
      <c r="R1184" s="109">
        <v>24.99</v>
      </c>
      <c r="S1184" s="11">
        <f ca="1"/>
        <v>24.99</v>
      </c>
      <c r="T1184" s="28">
        <f ca="1"/>
        <v>2.7488999999999999</v>
      </c>
      <c r="U1184" s="11">
        <f ca="1"/>
        <v>22.24</v>
      </c>
      <c r="V1184" s="11">
        <v>11.46</v>
      </c>
      <c r="W1184" s="11">
        <f ca="1"/>
        <v>0.33</v>
      </c>
      <c r="X1184" s="11">
        <f ca="1"/>
        <v>0.39877104377104378</v>
      </c>
      <c r="Y1184" s="11">
        <v>0</v>
      </c>
      <c r="Z1184" s="11">
        <f ca="1"/>
        <v>10.051228956228954</v>
      </c>
      <c r="AA1184" s="11">
        <f ca="1"/>
        <v>5.0256144781144769</v>
      </c>
      <c r="AB1184" s="4">
        <f ca="1"/>
        <v>45771</v>
      </c>
      <c r="AC1184" s="4">
        <v>45771</v>
      </c>
      <c r="AD1184" s="9">
        <v>45779</v>
      </c>
      <c r="AE1184" s="9">
        <v>45783</v>
      </c>
      <c r="AF1184" s="4" t="str">
        <f t="shared" ca="1" si="79"/>
        <v>2025 04</v>
      </c>
      <c r="AG1184" s="8" t="str" cm="1">
        <f t="array" ref="AG1184">IFERROR(_xlfn.IFS('Banco de Dados'!#REF!="AG. COMPRA","Em processamento",'Banco de Dados'!#REF!="AG. RASTREIO","Em processamento",'Banco de Dados'!$AE1184&lt;&gt;"-","Faturado",'Banco de Dados'!$AD1184&lt;&gt;"-","Aguardando Pix",'Banco de Dados'!$AC1184&lt;&gt;"-","Pendente"),"Aguardando Liberação")</f>
        <v>Aguardando Liberação</v>
      </c>
      <c r="AH1184" s="5" t="str">
        <f>IF('Banco de Dados'!$F1184="-",_xlfn.CONCAT(PROPER(TEXT(AK1184,"aaaa"))," ",PROPER(TEXT(AK1184,"mm"))),_xlfn.CONCAT(PROPER(TEXT(E1184,"aaaa"))," ",PROPER(TEXT(E1184,"mm"))))</f>
        <v>2025 03</v>
      </c>
      <c r="AI1184" s="9" t="str">
        <f ca="1">IF('Banco de Dados'!$AK1184&lt;&gt;"-","REEMBOLSO",IFERROR(_xlfn.XLOOKUP(G1184,Follow[CODRASTREIO],Follow[STATUS]),"-"))</f>
        <v>ENTREGUE</v>
      </c>
      <c r="AJ1184" s="9">
        <f ca="1">IF('Banco de Dados'!$AI1184="ENTREGUE",_xlfn.XLOOKUP('Banco de Dados'!$G1184,Follow[CODRASTREIO],Follow[DATAATUALIZAÇÃO]),"-")</f>
        <v>45754</v>
      </c>
      <c r="AK1184" s="132" t="str">
        <f ca="1"/>
        <v>-</v>
      </c>
      <c r="AL1184" s="35"/>
      <c r="AM1184" s="109" cm="1">
        <f t="array" aca="1" ref="AM1184" ca="1">IF('Banco de Dados'!$AK1184&lt;&gt;"-",_xlfn.IFS('Banco de Dados'!$A1184="bv",IF('Banco de Dados'!$E1184&lt;45641,ROUND(SUM('Banco de Dados'!$R1184*_xlfn.XLOOKUP('Banco de Dados'!$P1184,Sku!B:B,Sku!#REF!)*20%),2),ROUND(SUM('Banco de Dados'!$R1184*_xlfn.XLOOKUP('Banco de Dados'!$P1184,Sku!B:B,Sku!H:H)*20%),2)),'Banco de Dados'!$A1184="GO",ROUND(SUM('Banco de Dados'!$R1184*_xlfn.XLOOKUP('Banco de Dados'!$P1184,Sku!C:C,Sku!H:H)*20%),2),'Banco de Dados'!$A1184="MEI",ROUND(SUM('Banco de Dados'!$R1184*_xlfn.XLOOKUP('Banco de Dados'!$P1184,Sku!D:D,Sku!H:H)*20%),2)),0)</f>
        <v>0</v>
      </c>
      <c r="AN1184" s="109">
        <f ca="1">IF('Banco de Dados'!$AK1184&lt;&gt;"-",IF('Banco de Dados'!$F1184&lt;&gt;"-",_xlfn.XLOOKUP(IFERROR(IFERROR(IFERROR(VALUE(SUBSTITUTE(MID(_xlfn.TEXTAFTER('Banco de Dados'!$F1184,"Data do Pedido:
",1),1,10),"-","/")),VALUE(SUBSTITUTE(MID(_xlfn.TEXTAFTER('Banco de Dados'!$F1184,"Order date:
",1),1,10),"-","/"))),VALUE(SUBSTITUTE(MID(_xlfn.TEXTAFTER('Banco de Dados'!$F1184,"Fecha de pedido:
",1),1,10),"-","/"))),"-"),SMS!A:A,SMS!K:K),0),0)</f>
        <v>0</v>
      </c>
      <c r="AO1184" s="109">
        <f ca="1">IF('Banco de Dados'!$AK1184&lt;&gt;"-",IF('Banco de Dados'!$F1184&lt;&gt;"-",IFERROR(_xlfn.XLOOKUP(_xlfn.CONCAT('Banco de Dados'!$A1184,IFERROR(IFERROR(VALUE(SUBSTITUTE(MID(_xlfn.TEXTAFTER('Banco de Dados'!$F1184,"Data do Pedido:
",1),1,10),"-","/")),VALUE(SUBSTITUTE(MID(_xlfn.TEXTAFTER('Banco de Dados'!$F1184,"Order date:
",1),1,10),"-","/"))),0)),ProxyDD[Chave],ProxyDD[Valor por pedido]),PROXY!$P$2),0),0)</f>
        <v>0</v>
      </c>
      <c r="AP1184" s="28">
        <f ca="1">IF('Banco de Dados'!$AK1184&lt;&gt;"-",IF('Banco de Dados'!$AL1184="NÃO",IFERROR(VALUE(SUBSTITUTE(_xlfn.TEXTAFTER('Banco de Dados'!$F1184,"BRL ",1),".",",")),0),0),0)</f>
        <v>0</v>
      </c>
      <c r="AQ1184" s="28">
        <f ca="1">SUM('Banco de Dados'!$AM1184:$AP1184)</f>
        <v>0</v>
      </c>
      <c r="AR1184" s="8"/>
      <c r="AY1184" s="8"/>
    </row>
    <row r="1185" spans="1:51">
      <c r="A1185" s="5" t="str">
        <v>MEI</v>
      </c>
      <c r="B1185" s="5" t="str">
        <f ca="1"/>
        <v>MEI45730</v>
      </c>
      <c r="C1185" s="8" t="str">
        <v>Pedido 1172</v>
      </c>
      <c r="D1185" s="187">
        <v>45730</v>
      </c>
      <c r="E1185" s="9">
        <v>45730</v>
      </c>
      <c r="F1185" s="8" t="str">
        <v>PedidoF1148</v>
      </c>
      <c r="G1185" s="2" t="str">
        <v>CódRastreio1146</v>
      </c>
      <c r="H1185" s="5">
        <v>1</v>
      </c>
      <c r="I1185" s="2" t="str">
        <v>CPF 1141</v>
      </c>
      <c r="J1185" s="2" t="str">
        <v>Nome 1141</v>
      </c>
      <c r="K1185" s="8" t="str">
        <v>Tel 1141</v>
      </c>
      <c r="L1185" s="8" t="str">
        <v>Cep 1141</v>
      </c>
      <c r="M1185" s="8" t="str">
        <v>Rua 1141</v>
      </c>
      <c r="N1185" s="8" t="str">
        <v>Comp 1141</v>
      </c>
      <c r="O1185" s="8" t="str">
        <v>Mini Liquidificador</v>
      </c>
      <c r="P1185" s="8" t="str">
        <v>A4-5W51-K3HF</v>
      </c>
      <c r="Q1185" s="4">
        <v>45751</v>
      </c>
      <c r="R1185" s="109">
        <v>30.95</v>
      </c>
      <c r="S1185" s="11">
        <f ca="1"/>
        <v>30.95</v>
      </c>
      <c r="T1185" s="28">
        <f ca="1"/>
        <v>4.3330000000000002</v>
      </c>
      <c r="U1185" s="11">
        <f ca="1"/>
        <v>26.62</v>
      </c>
      <c r="V1185" s="11">
        <v>16.48</v>
      </c>
      <c r="W1185" s="11">
        <f ca="1"/>
        <v>0.33</v>
      </c>
      <c r="X1185" s="11">
        <f ca="1"/>
        <v>0.39877104377104378</v>
      </c>
      <c r="Y1185" s="11">
        <v>0</v>
      </c>
      <c r="Z1185" s="11">
        <f ca="1"/>
        <v>9.4112289562289568</v>
      </c>
      <c r="AA1185" s="11">
        <f ca="1"/>
        <v>4.7056144781144784</v>
      </c>
      <c r="AB1185" s="4">
        <f ca="1"/>
        <v>45758</v>
      </c>
      <c r="AC1185" s="4">
        <v>45758</v>
      </c>
      <c r="AD1185" s="9">
        <v>45762</v>
      </c>
      <c r="AE1185" s="9">
        <v>45763</v>
      </c>
      <c r="AF1185" s="4" t="str">
        <f t="shared" ca="1" si="79"/>
        <v>2025 04</v>
      </c>
      <c r="AG1185" s="8" t="str" cm="1">
        <f t="array" ref="AG1185">IFERROR(_xlfn.IFS('Banco de Dados'!#REF!="AG. COMPRA","Em processamento",'Banco de Dados'!#REF!="AG. RASTREIO","Em processamento",'Banco de Dados'!$AE1185&lt;&gt;"-","Faturado",'Banco de Dados'!$AD1185&lt;&gt;"-","Aguardando Pix",'Banco de Dados'!$AC1185&lt;&gt;"-","Pendente"),"Aguardando Liberação")</f>
        <v>Aguardando Liberação</v>
      </c>
      <c r="AH1185" s="5" t="str">
        <f>IF('Banco de Dados'!$F1185="-",_xlfn.CONCAT(PROPER(TEXT(AK1185,"aaaa"))," ",PROPER(TEXT(AK1185,"mm"))),_xlfn.CONCAT(PROPER(TEXT(E1185,"aaaa"))," ",PROPER(TEXT(E1185,"mm"))))</f>
        <v>2025 03</v>
      </c>
      <c r="AI1185" s="9" t="str">
        <f ca="1">IF('Banco de Dados'!$AK1185&lt;&gt;"-","REEMBOLSO",IFERROR(_xlfn.XLOOKUP(G1185,Follow[CODRASTREIO],Follow[STATUS]),"-"))</f>
        <v>ENTREGUE</v>
      </c>
      <c r="AJ1185" s="9">
        <f ca="1">IF('Banco de Dados'!$AI1185="ENTREGUE",_xlfn.XLOOKUP('Banco de Dados'!$G1185,Follow[CODRASTREIO],Follow[DATAATUALIZAÇÃO]),"-")</f>
        <v>45738</v>
      </c>
      <c r="AK1185" s="132" t="str">
        <f ca="1"/>
        <v>-</v>
      </c>
      <c r="AL1185" s="35"/>
      <c r="AM1185" s="109" cm="1">
        <f t="array" aca="1" ref="AM1185" ca="1">IF('Banco de Dados'!$AK1185&lt;&gt;"-",_xlfn.IFS('Banco de Dados'!$A1185="bv",IF('Banco de Dados'!$E1185&lt;45641,ROUND(SUM('Banco de Dados'!$R1185*_xlfn.XLOOKUP('Banco de Dados'!$P1185,Sku!B:B,Sku!#REF!)*20%),2),ROUND(SUM('Banco de Dados'!$R1185*_xlfn.XLOOKUP('Banco de Dados'!$P1185,Sku!B:B,Sku!H:H)*20%),2)),'Banco de Dados'!$A1185="GO",ROUND(SUM('Banco de Dados'!$R1185*_xlfn.XLOOKUP('Banco de Dados'!$P1185,Sku!C:C,Sku!H:H)*20%),2),'Banco de Dados'!$A1185="MEI",ROUND(SUM('Banco de Dados'!$R1185*_xlfn.XLOOKUP('Banco de Dados'!$P1185,Sku!D:D,Sku!H:H)*20%),2)),0)</f>
        <v>0</v>
      </c>
      <c r="AN1185" s="109">
        <f ca="1">IF('Banco de Dados'!$AK1185&lt;&gt;"-",IF('Banco de Dados'!$F1185&lt;&gt;"-",_xlfn.XLOOKUP(IFERROR(IFERROR(IFERROR(VALUE(SUBSTITUTE(MID(_xlfn.TEXTAFTER('Banco de Dados'!$F1185,"Data do Pedido:
",1),1,10),"-","/")),VALUE(SUBSTITUTE(MID(_xlfn.TEXTAFTER('Banco de Dados'!$F1185,"Order date:
",1),1,10),"-","/"))),VALUE(SUBSTITUTE(MID(_xlfn.TEXTAFTER('Banco de Dados'!$F1185,"Fecha de pedido:
",1),1,10),"-","/"))),"-"),SMS!A:A,SMS!K:K),0),0)</f>
        <v>0</v>
      </c>
      <c r="AO1185" s="109">
        <f ca="1">IF('Banco de Dados'!$AK1185&lt;&gt;"-",IF('Banco de Dados'!$F1185&lt;&gt;"-",IFERROR(_xlfn.XLOOKUP(_xlfn.CONCAT('Banco de Dados'!$A1185,IFERROR(IFERROR(VALUE(SUBSTITUTE(MID(_xlfn.TEXTAFTER('Banco de Dados'!$F1185,"Data do Pedido:
",1),1,10),"-","/")),VALUE(SUBSTITUTE(MID(_xlfn.TEXTAFTER('Banco de Dados'!$F1185,"Order date:
",1),1,10),"-","/"))),0)),ProxyDD[Chave],ProxyDD[Valor por pedido]),PROXY!$P$2),0),0)</f>
        <v>0</v>
      </c>
      <c r="AP1185" s="28">
        <f ca="1">IF('Banco de Dados'!$AK1185&lt;&gt;"-",IF('Banco de Dados'!$AL1185="NÃO",IFERROR(VALUE(SUBSTITUTE(_xlfn.TEXTAFTER('Banco de Dados'!$F1185,"BRL ",1),".",",")),0),0),0)</f>
        <v>0</v>
      </c>
      <c r="AQ1185" s="28">
        <f ca="1">SUM('Banco de Dados'!$AM1185:$AP1185)</f>
        <v>0</v>
      </c>
      <c r="AR1185" s="8"/>
      <c r="AY1185" s="8"/>
    </row>
    <row r="1186" spans="1:51">
      <c r="A1186" s="5" t="str">
        <v>MEI</v>
      </c>
      <c r="B1186" s="5" t="str">
        <f ca="1"/>
        <v>MEI45730</v>
      </c>
      <c r="C1186" s="8" t="str">
        <v>Pedido 1173</v>
      </c>
      <c r="D1186" s="187">
        <v>45730</v>
      </c>
      <c r="E1186" s="9">
        <v>45730</v>
      </c>
      <c r="F1186" s="8" t="str">
        <v>PedidoF1149</v>
      </c>
      <c r="G1186" s="2" t="str">
        <v>CódRastreio1147</v>
      </c>
      <c r="H1186" s="5">
        <v>1</v>
      </c>
      <c r="I1186" s="2" t="str">
        <v>CPF 1142</v>
      </c>
      <c r="J1186" s="2" t="str">
        <v>Nome 1142</v>
      </c>
      <c r="K1186" s="8" t="str">
        <v>Tel 1142</v>
      </c>
      <c r="L1186" s="8" t="str">
        <v>Cep 1142</v>
      </c>
      <c r="M1186" s="8" t="str">
        <v>Rua 1142</v>
      </c>
      <c r="N1186" s="8" t="str">
        <v>Comp 1142</v>
      </c>
      <c r="O1186" s="8" t="str">
        <v>Maçarico Culinário Portátil</v>
      </c>
      <c r="P1186" s="8" t="str">
        <v>BG-DHRO-FAEE</v>
      </c>
      <c r="Q1186" s="4">
        <v>45757</v>
      </c>
      <c r="R1186" s="109">
        <v>24.99</v>
      </c>
      <c r="S1186" s="11">
        <f ca="1"/>
        <v>24.99</v>
      </c>
      <c r="T1186" s="28">
        <f ca="1"/>
        <v>2.7488999999999999</v>
      </c>
      <c r="U1186" s="11">
        <f ca="1"/>
        <v>22.24</v>
      </c>
      <c r="V1186" s="11">
        <v>11.46</v>
      </c>
      <c r="W1186" s="11">
        <f ca="1"/>
        <v>0.33</v>
      </c>
      <c r="X1186" s="11">
        <f ca="1"/>
        <v>0.39877104377104378</v>
      </c>
      <c r="Y1186" s="11">
        <v>0</v>
      </c>
      <c r="Z1186" s="11">
        <f ca="1"/>
        <v>10.051228956228954</v>
      </c>
      <c r="AA1186" s="11">
        <f ca="1"/>
        <v>5.0256144781144769</v>
      </c>
      <c r="AB1186" s="4">
        <f ca="1"/>
        <v>45764</v>
      </c>
      <c r="AC1186" s="4">
        <v>45764</v>
      </c>
      <c r="AD1186" s="9">
        <v>45779</v>
      </c>
      <c r="AE1186" s="9">
        <v>45783</v>
      </c>
      <c r="AF1186" s="4" t="str">
        <f t="shared" ca="1" si="79"/>
        <v>2025 04</v>
      </c>
      <c r="AG1186" s="8" t="str" cm="1">
        <f t="array" ref="AG1186">IFERROR(_xlfn.IFS('Banco de Dados'!#REF!="AG. COMPRA","Em processamento",'Banco de Dados'!#REF!="AG. RASTREIO","Em processamento",'Banco de Dados'!$AE1186&lt;&gt;"-","Faturado",'Banco de Dados'!$AD1186&lt;&gt;"-","Aguardando Pix",'Banco de Dados'!$AC1186&lt;&gt;"-","Pendente"),"Aguardando Liberação")</f>
        <v>Aguardando Liberação</v>
      </c>
      <c r="AH1186" s="5" t="str">
        <f>IF('Banco de Dados'!$F1186="-",_xlfn.CONCAT(PROPER(TEXT(AK1186,"aaaa"))," ",PROPER(TEXT(AK1186,"mm"))),_xlfn.CONCAT(PROPER(TEXT(E1186,"aaaa"))," ",PROPER(TEXT(E1186,"mm"))))</f>
        <v>2025 03</v>
      </c>
      <c r="AI1186" s="9" t="str">
        <f ca="1">IF('Banco de Dados'!$AK1186&lt;&gt;"-","REEMBOLSO",IFERROR(_xlfn.XLOOKUP(G1186,Follow[CODRASTREIO],Follow[STATUS]),"-"))</f>
        <v>ENTREGUE</v>
      </c>
      <c r="AJ1186" s="9">
        <f ca="1">IF('Banco de Dados'!$AI1186="ENTREGUE",_xlfn.XLOOKUP('Banco de Dados'!$G1186,Follow[CODRASTREIO],Follow[DATAATUALIZAÇÃO]),"-")</f>
        <v>45755</v>
      </c>
      <c r="AK1186" s="132" t="str">
        <f ca="1"/>
        <v>-</v>
      </c>
      <c r="AL1186" s="35"/>
      <c r="AM1186" s="109" cm="1">
        <f t="array" aca="1" ref="AM1186" ca="1">IF('Banco de Dados'!$AK1186&lt;&gt;"-",_xlfn.IFS('Banco de Dados'!$A1186="bv",IF('Banco de Dados'!$E1186&lt;45641,ROUND(SUM('Banco de Dados'!$R1186*_xlfn.XLOOKUP('Banco de Dados'!$P1186,Sku!B:B,Sku!#REF!)*20%),2),ROUND(SUM('Banco de Dados'!$R1186*_xlfn.XLOOKUP('Banco de Dados'!$P1186,Sku!B:B,Sku!H:H)*20%),2)),'Banco de Dados'!$A1186="GO",ROUND(SUM('Banco de Dados'!$R1186*_xlfn.XLOOKUP('Banco de Dados'!$P1186,Sku!C:C,Sku!H:H)*20%),2),'Banco de Dados'!$A1186="MEI",ROUND(SUM('Banco de Dados'!$R1186*_xlfn.XLOOKUP('Banco de Dados'!$P1186,Sku!D:D,Sku!H:H)*20%),2)),0)</f>
        <v>0</v>
      </c>
      <c r="AN1186" s="109">
        <f ca="1">IF('Banco de Dados'!$AK1186&lt;&gt;"-",IF('Banco de Dados'!$F1186&lt;&gt;"-",_xlfn.XLOOKUP(IFERROR(IFERROR(IFERROR(VALUE(SUBSTITUTE(MID(_xlfn.TEXTAFTER('Banco de Dados'!$F1186,"Data do Pedido:
",1),1,10),"-","/")),VALUE(SUBSTITUTE(MID(_xlfn.TEXTAFTER('Banco de Dados'!$F1186,"Order date:
",1),1,10),"-","/"))),VALUE(SUBSTITUTE(MID(_xlfn.TEXTAFTER('Banco de Dados'!$F1186,"Fecha de pedido:
",1),1,10),"-","/"))),"-"),SMS!A:A,SMS!K:K),0),0)</f>
        <v>0</v>
      </c>
      <c r="AO1186" s="109">
        <f ca="1">IF('Banco de Dados'!$AK1186&lt;&gt;"-",IF('Banco de Dados'!$F1186&lt;&gt;"-",IFERROR(_xlfn.XLOOKUP(_xlfn.CONCAT('Banco de Dados'!$A1186,IFERROR(IFERROR(VALUE(SUBSTITUTE(MID(_xlfn.TEXTAFTER('Banco de Dados'!$F1186,"Data do Pedido:
",1),1,10),"-","/")),VALUE(SUBSTITUTE(MID(_xlfn.TEXTAFTER('Banco de Dados'!$F1186,"Order date:
",1),1,10),"-","/"))),0)),ProxyDD[Chave],ProxyDD[Valor por pedido]),PROXY!$P$2),0),0)</f>
        <v>0</v>
      </c>
      <c r="AP1186" s="28">
        <f ca="1">IF('Banco de Dados'!$AK1186&lt;&gt;"-",IF('Banco de Dados'!$AL1186="NÃO",IFERROR(VALUE(SUBSTITUTE(_xlfn.TEXTAFTER('Banco de Dados'!$F1186,"BRL ",1),".",",")),0),0),0)</f>
        <v>0</v>
      </c>
      <c r="AQ1186" s="28">
        <f ca="1">SUM('Banco de Dados'!$AM1186:$AP1186)</f>
        <v>0</v>
      </c>
      <c r="AR1186" s="8"/>
      <c r="AY1186" s="8"/>
    </row>
    <row r="1187" spans="1:51">
      <c r="A1187" s="5" t="str">
        <v>MEI</v>
      </c>
      <c r="B1187" s="5" t="str">
        <f ca="1"/>
        <v>MEI45734</v>
      </c>
      <c r="C1187" s="8" t="str">
        <v>Pedido 1174</v>
      </c>
      <c r="D1187" s="187">
        <v>45730</v>
      </c>
      <c r="E1187" s="9">
        <v>45734</v>
      </c>
      <c r="F1187" s="8" t="str">
        <v>PedidoF1150</v>
      </c>
      <c r="G1187" s="2" t="str">
        <v>CódRastreio1148</v>
      </c>
      <c r="H1187" s="5">
        <v>1</v>
      </c>
      <c r="I1187" s="2" t="str">
        <v>CPF 1143</v>
      </c>
      <c r="J1187" s="2" t="str">
        <v>Nome 1143</v>
      </c>
      <c r="K1187" s="8" t="str">
        <v>Tel 1143</v>
      </c>
      <c r="L1187" s="8" t="str">
        <v>Cep 1143</v>
      </c>
      <c r="M1187" s="8" t="str">
        <v>Rua 1143</v>
      </c>
      <c r="N1187" s="8" t="str">
        <v>Comp 1143</v>
      </c>
      <c r="O1187" s="8" t="str">
        <v>Bomba d'agua</v>
      </c>
      <c r="P1187" s="8" t="str">
        <v>U1-D95R-HYRT</v>
      </c>
      <c r="Q1187" s="4">
        <v>45751</v>
      </c>
      <c r="R1187" s="109">
        <v>21</v>
      </c>
      <c r="S1187" s="11">
        <f ca="1"/>
        <v>0</v>
      </c>
      <c r="T1187" s="28">
        <f ca="1"/>
        <v>0</v>
      </c>
      <c r="U1187" s="11">
        <f ca="1"/>
        <v>0</v>
      </c>
      <c r="V1187" s="11">
        <v>0</v>
      </c>
      <c r="W1187" s="11">
        <f ca="1"/>
        <v>0</v>
      </c>
      <c r="X1187" s="11">
        <f ca="1"/>
        <v>0.39877104377104378</v>
      </c>
      <c r="Y1187" s="11">
        <v>0</v>
      </c>
      <c r="Z1187" s="11">
        <f ca="1"/>
        <v>-0.39877104377104378</v>
      </c>
      <c r="AA1187" s="11">
        <f ca="1"/>
        <v>-0.19938552188552189</v>
      </c>
      <c r="AB1187" s="4">
        <f ca="1"/>
        <v>45758</v>
      </c>
      <c r="AC1187" s="4">
        <v>45758</v>
      </c>
      <c r="AD1187" s="9">
        <v>45762</v>
      </c>
      <c r="AE1187" s="9">
        <v>45763</v>
      </c>
      <c r="AF1187" s="4" t="str">
        <f t="shared" ca="1" si="79"/>
        <v>2025 04</v>
      </c>
      <c r="AG1187" s="8" t="str" cm="1">
        <f t="array" ref="AG1187">IFERROR(_xlfn.IFS('Banco de Dados'!#REF!="AG. COMPRA","Em processamento",'Banco de Dados'!#REF!="AG. RASTREIO","Em processamento",'Banco de Dados'!$AE1187&lt;&gt;"-","Faturado",'Banco de Dados'!$AD1187&lt;&gt;"-","Aguardando Pix",'Banco de Dados'!$AC1187&lt;&gt;"-","Pendente"),"Aguardando Liberação")</f>
        <v>Aguardando Liberação</v>
      </c>
      <c r="AH1187" s="5" t="str">
        <f>IF('Banco de Dados'!$F1187="-",_xlfn.CONCAT(PROPER(TEXT(AK1187,"aaaa"))," ",PROPER(TEXT(AK1187,"mm"))),_xlfn.CONCAT(PROPER(TEXT(E1187,"aaaa"))," ",PROPER(TEXT(E1187,"mm"))))</f>
        <v>2025 03</v>
      </c>
      <c r="AI1187" s="9" t="str">
        <f ca="1">IF('Banco de Dados'!$AK1187&lt;&gt;"-","REEMBOLSO",IFERROR(_xlfn.XLOOKUP(G1187,Follow[CODRASTREIO],Follow[STATUS]),"-"))</f>
        <v>REEMBOLSO</v>
      </c>
      <c r="AJ1187" s="9" t="str">
        <f ca="1">IF('Banco de Dados'!$AI1187="ENTREGUE",_xlfn.XLOOKUP('Banco de Dados'!$G1187,Follow[CODRASTREIO],Follow[DATAATUALIZAÇÃO]),"-")</f>
        <v>-</v>
      </c>
      <c r="AK1187" s="132">
        <f ca="1"/>
        <v>45757</v>
      </c>
      <c r="AL1187" s="35"/>
      <c r="AM1187" s="109" cm="1">
        <f t="array" aca="1" ref="AM1187" ca="1">IF('Banco de Dados'!$AK1187&lt;&gt;"-",_xlfn.IFS('Banco de Dados'!$A1187="bv",IF('Banco de Dados'!$E1187&lt;45641,ROUND(SUM('Banco de Dados'!$R1187*_xlfn.XLOOKUP('Banco de Dados'!$P1187,Sku!B:B,Sku!#REF!)*20%),2),ROUND(SUM('Banco de Dados'!$R1187*_xlfn.XLOOKUP('Banco de Dados'!$P1187,Sku!B:B,Sku!H:H)*20%),2)),'Banco de Dados'!$A1187="GO",ROUND(SUM('Banco de Dados'!$R1187*_xlfn.XLOOKUP('Banco de Dados'!$P1187,Sku!C:C,Sku!H:H)*20%),2),'Banco de Dados'!$A1187="MEI",ROUND(SUM('Banco de Dados'!$R1187*_xlfn.XLOOKUP('Banco de Dados'!$P1187,Sku!D:D,Sku!H:H)*20%),2)),0)</f>
        <v>0.59</v>
      </c>
      <c r="AN1187" s="109" t="e">
        <f ca="1">IF('Banco de Dados'!$AK1187&lt;&gt;"-",IF('Banco de Dados'!$F1187&lt;&gt;"-",_xlfn.XLOOKUP(IFERROR(IFERROR(IFERROR(VALUE(SUBSTITUTE(MID(_xlfn.TEXTAFTER('Banco de Dados'!$F1187,"Data do Pedido:
",1),1,10),"-","/")),VALUE(SUBSTITUTE(MID(_xlfn.TEXTAFTER('Banco de Dados'!$F1187,"Order date:
",1),1,10),"-","/"))),VALUE(SUBSTITUTE(MID(_xlfn.TEXTAFTER('Banco de Dados'!$F1187,"Fecha de pedido:
",1),1,10),"-","/"))),"-"),SMS!A:A,SMS!K:K),0),0)</f>
        <v>#N/A</v>
      </c>
      <c r="AO1187" s="109">
        <f ca="1">IF('Banco de Dados'!$AK1187&lt;&gt;"-",IF('Banco de Dados'!$F1187&lt;&gt;"-",IFERROR(_xlfn.XLOOKUP(_xlfn.CONCAT('Banco de Dados'!$A1187,IFERROR(IFERROR(VALUE(SUBSTITUTE(MID(_xlfn.TEXTAFTER('Banco de Dados'!$F1187,"Data do Pedido:
",1),1,10),"-","/")),VALUE(SUBSTITUTE(MID(_xlfn.TEXTAFTER('Banco de Dados'!$F1187,"Order date:
",1),1,10),"-","/"))),0)),ProxyDD[Chave],ProxyDD[Valor por pedido]),PROXY!$P$2),0),0)</f>
        <v>0.39877104377104378</v>
      </c>
      <c r="AP1187" s="28">
        <f ca="1">IF('Banco de Dados'!$AK1187&lt;&gt;"-",IF('Banco de Dados'!$AL1187="NÃO",IFERROR(VALUE(SUBSTITUTE(_xlfn.TEXTAFTER('Banco de Dados'!$F1187,"BRL ",1),".",",")),0),0),0)</f>
        <v>0</v>
      </c>
      <c r="AQ1187" s="28" t="e">
        <f ca="1">SUM('Banco de Dados'!$AM1187:$AP1187)</f>
        <v>#N/A</v>
      </c>
      <c r="AR1187" s="8"/>
      <c r="AY1187" s="8"/>
    </row>
    <row r="1188" spans="1:51">
      <c r="A1188" s="5" t="str">
        <v>MEI</v>
      </c>
      <c r="B1188" s="5" t="str">
        <f ca="1"/>
        <v>MEI45730</v>
      </c>
      <c r="C1188" s="8" t="str">
        <v>Pedido 1175</v>
      </c>
      <c r="D1188" s="187">
        <v>45730</v>
      </c>
      <c r="E1188" s="9">
        <v>45730</v>
      </c>
      <c r="F1188" s="8" t="str">
        <v>PedidoF1151</v>
      </c>
      <c r="G1188" s="2" t="str">
        <v>CódRastreio1149</v>
      </c>
      <c r="H1188" s="5">
        <v>1</v>
      </c>
      <c r="I1188" s="2" t="str">
        <v>CPF 1144</v>
      </c>
      <c r="J1188" s="2" t="str">
        <v>Nome 1144</v>
      </c>
      <c r="K1188" s="8" t="str">
        <v>Tel 1144</v>
      </c>
      <c r="L1188" s="8" t="str">
        <v>Cep 1144</v>
      </c>
      <c r="M1188" s="8" t="str">
        <v>Rua 1144</v>
      </c>
      <c r="N1188" s="8" t="str">
        <v>Comp 1144</v>
      </c>
      <c r="O1188" s="8" t="str">
        <v>Maçarico Culinário Portátil</v>
      </c>
      <c r="P1188" s="8" t="str">
        <v>BG-DHRO-FAEE</v>
      </c>
      <c r="Q1188" s="4">
        <v>45751</v>
      </c>
      <c r="R1188" s="109">
        <v>24.99</v>
      </c>
      <c r="S1188" s="11">
        <f ca="1"/>
        <v>24.99</v>
      </c>
      <c r="T1188" s="28">
        <f ca="1"/>
        <v>2.7488999999999999</v>
      </c>
      <c r="U1188" s="11">
        <f ca="1"/>
        <v>22.24</v>
      </c>
      <c r="V1188" s="11">
        <v>11.46</v>
      </c>
      <c r="W1188" s="11">
        <f ca="1"/>
        <v>0.33</v>
      </c>
      <c r="X1188" s="11">
        <f ca="1"/>
        <v>0.39877104377104378</v>
      </c>
      <c r="Y1188" s="11">
        <v>0</v>
      </c>
      <c r="Z1188" s="11">
        <f ca="1"/>
        <v>10.051228956228954</v>
      </c>
      <c r="AA1188" s="11">
        <f ca="1"/>
        <v>5.0256144781144769</v>
      </c>
      <c r="AB1188" s="4">
        <f ca="1"/>
        <v>45758</v>
      </c>
      <c r="AC1188" s="4">
        <v>45758</v>
      </c>
      <c r="AD1188" s="9">
        <v>45762</v>
      </c>
      <c r="AE1188" s="9">
        <v>45763</v>
      </c>
      <c r="AF1188" s="4" t="str">
        <f t="shared" ca="1" si="79"/>
        <v>2025 04</v>
      </c>
      <c r="AG1188" s="8" t="str" cm="1">
        <f t="array" ref="AG1188">IFERROR(_xlfn.IFS('Banco de Dados'!#REF!="AG. COMPRA","Em processamento",'Banco de Dados'!#REF!="AG. RASTREIO","Em processamento",'Banco de Dados'!$AE1188&lt;&gt;"-","Faturado",'Banco de Dados'!$AD1188&lt;&gt;"-","Aguardando Pix",'Banco de Dados'!$AC1188&lt;&gt;"-","Pendente"),"Aguardando Liberação")</f>
        <v>Aguardando Liberação</v>
      </c>
      <c r="AH1188" s="5" t="str">
        <f>IF('Banco de Dados'!$F1188="-",_xlfn.CONCAT(PROPER(TEXT(AK1188,"aaaa"))," ",PROPER(TEXT(AK1188,"mm"))),_xlfn.CONCAT(PROPER(TEXT(E1188,"aaaa"))," ",PROPER(TEXT(E1188,"mm"))))</f>
        <v>2025 03</v>
      </c>
      <c r="AI1188" s="9" t="str">
        <f ca="1">IF('Banco de Dados'!$AK1188&lt;&gt;"-","REEMBOLSO",IFERROR(_xlfn.XLOOKUP(G1188,Follow[CODRASTREIO],Follow[STATUS]),"-"))</f>
        <v>ENTREGUE</v>
      </c>
      <c r="AJ1188" s="9">
        <f ca="1">IF('Banco de Dados'!$AI1188="ENTREGUE",_xlfn.XLOOKUP('Banco de Dados'!$G1188,Follow[CODRASTREIO],Follow[DATAATUALIZAÇÃO]),"-")</f>
        <v>45748</v>
      </c>
      <c r="AK1188" s="132" t="str">
        <f ca="1"/>
        <v>-</v>
      </c>
      <c r="AL1188" s="35"/>
      <c r="AM1188" s="109" cm="1">
        <f t="array" aca="1" ref="AM1188" ca="1">IF('Banco de Dados'!$AK1188&lt;&gt;"-",_xlfn.IFS('Banco de Dados'!$A1188="bv",IF('Banco de Dados'!$E1188&lt;45641,ROUND(SUM('Banco de Dados'!$R1188*_xlfn.XLOOKUP('Banco de Dados'!$P1188,Sku!B:B,Sku!#REF!)*20%),2),ROUND(SUM('Banco de Dados'!$R1188*_xlfn.XLOOKUP('Banco de Dados'!$P1188,Sku!B:B,Sku!H:H)*20%),2)),'Banco de Dados'!$A1188="GO",ROUND(SUM('Banco de Dados'!$R1188*_xlfn.XLOOKUP('Banco de Dados'!$P1188,Sku!C:C,Sku!H:H)*20%),2),'Banco de Dados'!$A1188="MEI",ROUND(SUM('Banco de Dados'!$R1188*_xlfn.XLOOKUP('Banco de Dados'!$P1188,Sku!D:D,Sku!H:H)*20%),2)),0)</f>
        <v>0</v>
      </c>
      <c r="AN1188" s="109">
        <f ca="1">IF('Banco de Dados'!$AK1188&lt;&gt;"-",IF('Banco de Dados'!$F1188&lt;&gt;"-",_xlfn.XLOOKUP(IFERROR(IFERROR(IFERROR(VALUE(SUBSTITUTE(MID(_xlfn.TEXTAFTER('Banco de Dados'!$F1188,"Data do Pedido:
",1),1,10),"-","/")),VALUE(SUBSTITUTE(MID(_xlfn.TEXTAFTER('Banco de Dados'!$F1188,"Order date:
",1),1,10),"-","/"))),VALUE(SUBSTITUTE(MID(_xlfn.TEXTAFTER('Banco de Dados'!$F1188,"Fecha de pedido:
",1),1,10),"-","/"))),"-"),SMS!A:A,SMS!K:K),0),0)</f>
        <v>0</v>
      </c>
      <c r="AO1188" s="109">
        <f ca="1">IF('Banco de Dados'!$AK1188&lt;&gt;"-",IF('Banco de Dados'!$F1188&lt;&gt;"-",IFERROR(_xlfn.XLOOKUP(_xlfn.CONCAT('Banco de Dados'!$A1188,IFERROR(IFERROR(VALUE(SUBSTITUTE(MID(_xlfn.TEXTAFTER('Banco de Dados'!$F1188,"Data do Pedido:
",1),1,10),"-","/")),VALUE(SUBSTITUTE(MID(_xlfn.TEXTAFTER('Banco de Dados'!$F1188,"Order date:
",1),1,10),"-","/"))),0)),ProxyDD[Chave],ProxyDD[Valor por pedido]),PROXY!$P$2),0),0)</f>
        <v>0</v>
      </c>
      <c r="AP1188" s="28">
        <f ca="1">IF('Banco de Dados'!$AK1188&lt;&gt;"-",IF('Banco de Dados'!$AL1188="NÃO",IFERROR(VALUE(SUBSTITUTE(_xlfn.TEXTAFTER('Banco de Dados'!$F1188,"BRL ",1),".",",")),0),0),0)</f>
        <v>0</v>
      </c>
      <c r="AQ1188" s="28">
        <f ca="1">SUM('Banco de Dados'!$AM1188:$AP1188)</f>
        <v>0</v>
      </c>
      <c r="AR1188" s="8"/>
      <c r="AY1188" s="8"/>
    </row>
    <row r="1189" spans="1:51">
      <c r="A1189" s="5" t="str">
        <v>MEI</v>
      </c>
      <c r="B1189" s="5" t="str">
        <f ca="1"/>
        <v>MEI45734</v>
      </c>
      <c r="C1189" s="8" t="str">
        <v>Pedido 1176</v>
      </c>
      <c r="D1189" s="187">
        <v>45730</v>
      </c>
      <c r="E1189" s="9">
        <v>45734</v>
      </c>
      <c r="F1189" s="8" t="str">
        <v>PedidoF1152</v>
      </c>
      <c r="G1189" s="2" t="str">
        <v>CódRastreio1150</v>
      </c>
      <c r="H1189" s="5">
        <v>1</v>
      </c>
      <c r="I1189" s="2" t="str">
        <v>CPF 1145</v>
      </c>
      <c r="J1189" s="2" t="str">
        <v>Nome 1145</v>
      </c>
      <c r="K1189" s="8" t="str">
        <v>Tel 1145</v>
      </c>
      <c r="L1189" s="8" t="str">
        <v>Cep 1145</v>
      </c>
      <c r="M1189" s="8" t="str">
        <v>Rua 1145</v>
      </c>
      <c r="N1189" s="8" t="str">
        <v>Comp 1145</v>
      </c>
      <c r="O1189" s="8" t="str">
        <v>Máquina de cortar cabelo dragão</v>
      </c>
      <c r="P1189" s="8" t="str">
        <v>RX-DD1P-P5U2</v>
      </c>
      <c r="Q1189" s="4">
        <v>45751</v>
      </c>
      <c r="R1189" s="109">
        <v>24.8</v>
      </c>
      <c r="S1189" s="11">
        <f ca="1"/>
        <v>24.8</v>
      </c>
      <c r="T1189" s="28">
        <f ca="1"/>
        <v>2.976</v>
      </c>
      <c r="U1189" s="11">
        <f ca="1"/>
        <v>21.82</v>
      </c>
      <c r="V1189" s="11">
        <v>10.210000000000001</v>
      </c>
      <c r="W1189" s="11">
        <f ca="1"/>
        <v>0.42</v>
      </c>
      <c r="X1189" s="11">
        <f ca="1"/>
        <v>0.39877104377104378</v>
      </c>
      <c r="Y1189" s="11">
        <v>0</v>
      </c>
      <c r="Z1189" s="11">
        <f ca="1"/>
        <v>10.791228956228956</v>
      </c>
      <c r="AA1189" s="11">
        <f ca="1"/>
        <v>5.3956144781144779</v>
      </c>
      <c r="AB1189" s="4">
        <f ca="1"/>
        <v>45758</v>
      </c>
      <c r="AC1189" s="4">
        <v>45758</v>
      </c>
      <c r="AD1189" s="9">
        <v>45762</v>
      </c>
      <c r="AE1189" s="9">
        <v>45763</v>
      </c>
      <c r="AF1189" s="4" t="str">
        <f t="shared" ca="1" si="79"/>
        <v>2025 04</v>
      </c>
      <c r="AG1189" s="8" t="str" cm="1">
        <f t="array" ref="AG1189">IFERROR(_xlfn.IFS('Banco de Dados'!#REF!="AG. COMPRA","Em processamento",'Banco de Dados'!#REF!="AG. RASTREIO","Em processamento",'Banco de Dados'!$AE1189&lt;&gt;"-","Faturado",'Banco de Dados'!$AD1189&lt;&gt;"-","Aguardando Pix",'Banco de Dados'!$AC1189&lt;&gt;"-","Pendente"),"Aguardando Liberação")</f>
        <v>Aguardando Liberação</v>
      </c>
      <c r="AH1189" s="5" t="str">
        <f>IF('Banco de Dados'!$F1189="-",_xlfn.CONCAT(PROPER(TEXT(AK1189,"aaaa"))," ",PROPER(TEXT(AK1189,"mm"))),_xlfn.CONCAT(PROPER(TEXT(E1189,"aaaa"))," ",PROPER(TEXT(E1189,"mm"))))</f>
        <v>2025 03</v>
      </c>
      <c r="AI1189" s="9" t="str">
        <f ca="1">IF('Banco de Dados'!$AK1189&lt;&gt;"-","REEMBOLSO",IFERROR(_xlfn.XLOOKUP(G1189,Follow[CODRASTREIO],Follow[STATUS]),"-"))</f>
        <v>ENTREGUE</v>
      </c>
      <c r="AJ1189" s="9">
        <f ca="1">IF('Banco de Dados'!$AI1189="ENTREGUE",_xlfn.XLOOKUP('Banco de Dados'!$G1189,Follow[CODRASTREIO],Follow[DATAATUALIZAÇÃO]),"-")</f>
        <v>45748</v>
      </c>
      <c r="AK1189" s="132" t="str">
        <f ca="1"/>
        <v>-</v>
      </c>
      <c r="AL1189" s="35"/>
      <c r="AM1189" s="109" cm="1">
        <f t="array" aca="1" ref="AM1189" ca="1">IF('Banco de Dados'!$AK1189&lt;&gt;"-",_xlfn.IFS('Banco de Dados'!$A1189="bv",IF('Banco de Dados'!$E1189&lt;45641,ROUND(SUM('Banco de Dados'!$R1189*_xlfn.XLOOKUP('Banco de Dados'!$P1189,Sku!B:B,Sku!#REF!)*20%),2),ROUND(SUM('Banco de Dados'!$R1189*_xlfn.XLOOKUP('Banco de Dados'!$P1189,Sku!B:B,Sku!H:H)*20%),2)),'Banco de Dados'!$A1189="GO",ROUND(SUM('Banco de Dados'!$R1189*_xlfn.XLOOKUP('Banco de Dados'!$P1189,Sku!C:C,Sku!H:H)*20%),2),'Banco de Dados'!$A1189="MEI",ROUND(SUM('Banco de Dados'!$R1189*_xlfn.XLOOKUP('Banco de Dados'!$P1189,Sku!D:D,Sku!H:H)*20%),2)),0)</f>
        <v>0</v>
      </c>
      <c r="AN1189" s="109">
        <f ca="1">IF('Banco de Dados'!$AK1189&lt;&gt;"-",IF('Banco de Dados'!$F1189&lt;&gt;"-",_xlfn.XLOOKUP(IFERROR(IFERROR(IFERROR(VALUE(SUBSTITUTE(MID(_xlfn.TEXTAFTER('Banco de Dados'!$F1189,"Data do Pedido:
",1),1,10),"-","/")),VALUE(SUBSTITUTE(MID(_xlfn.TEXTAFTER('Banco de Dados'!$F1189,"Order date:
",1),1,10),"-","/"))),VALUE(SUBSTITUTE(MID(_xlfn.TEXTAFTER('Banco de Dados'!$F1189,"Fecha de pedido:
",1),1,10),"-","/"))),"-"),SMS!A:A,SMS!K:K),0),0)</f>
        <v>0</v>
      </c>
      <c r="AO1189" s="109">
        <f ca="1">IF('Banco de Dados'!$AK1189&lt;&gt;"-",IF('Banco de Dados'!$F1189&lt;&gt;"-",IFERROR(_xlfn.XLOOKUP(_xlfn.CONCAT('Banco de Dados'!$A1189,IFERROR(IFERROR(VALUE(SUBSTITUTE(MID(_xlfn.TEXTAFTER('Banco de Dados'!$F1189,"Data do Pedido:
",1),1,10),"-","/")),VALUE(SUBSTITUTE(MID(_xlfn.TEXTAFTER('Banco de Dados'!$F1189,"Order date:
",1),1,10),"-","/"))),0)),ProxyDD[Chave],ProxyDD[Valor por pedido]),PROXY!$P$2),0),0)</f>
        <v>0</v>
      </c>
      <c r="AP1189" s="28">
        <f ca="1">IF('Banco de Dados'!$AK1189&lt;&gt;"-",IF('Banco de Dados'!$AL1189="NÃO",IFERROR(VALUE(SUBSTITUTE(_xlfn.TEXTAFTER('Banco de Dados'!$F1189,"BRL ",1),".",",")),0),0),0)</f>
        <v>0</v>
      </c>
      <c r="AQ1189" s="28">
        <f ca="1">SUM('Banco de Dados'!$AM1189:$AP1189)</f>
        <v>0</v>
      </c>
      <c r="AR1189" s="8"/>
      <c r="AY1189" s="8"/>
    </row>
    <row r="1190" spans="1:51">
      <c r="A1190" s="5" t="str">
        <v>BV</v>
      </c>
      <c r="B1190" s="5" t="str">
        <f ca="1"/>
        <v>BV-</v>
      </c>
      <c r="C1190" s="8" t="str">
        <v>Pedido 1177</v>
      </c>
      <c r="D1190" s="9">
        <v>45731</v>
      </c>
      <c r="E1190" s="9" t="str">
        <v>-</v>
      </c>
      <c r="F1190" s="8" t="str">
        <v>-</v>
      </c>
      <c r="G1190" s="2" t="str">
        <v>-</v>
      </c>
      <c r="H1190" s="5">
        <v>1</v>
      </c>
      <c r="I1190" s="2" t="str">
        <v>CPF 1146</v>
      </c>
      <c r="J1190" s="2" t="str">
        <v>Nome 1146</v>
      </c>
      <c r="K1190" s="8" t="str">
        <v>Tel 1146</v>
      </c>
      <c r="L1190" s="8" t="str">
        <v>Cep 1146</v>
      </c>
      <c r="M1190" s="8" t="str">
        <v>Rua 1146</v>
      </c>
      <c r="N1190" s="8" t="str">
        <v>Comp 1146</v>
      </c>
      <c r="O1190" s="8" t="str">
        <v>Ventilador Umidificador Preto</v>
      </c>
      <c r="P1190" s="8" t="str">
        <v>HF-SI0F-XC7S</v>
      </c>
      <c r="Q1190" s="4">
        <v>45757</v>
      </c>
      <c r="R1190" s="109">
        <v>44.9</v>
      </c>
      <c r="S1190" s="11">
        <f ca="1"/>
        <v>0</v>
      </c>
      <c r="T1190" s="28">
        <f ca="1"/>
        <v>0</v>
      </c>
      <c r="U1190" s="11">
        <f ca="1"/>
        <v>0</v>
      </c>
      <c r="V1190" s="11">
        <v>0</v>
      </c>
      <c r="W1190" s="11">
        <f ca="1"/>
        <v>0</v>
      </c>
      <c r="X1190" s="11">
        <f ca="1"/>
        <v>0</v>
      </c>
      <c r="Y1190" s="11">
        <v>0</v>
      </c>
      <c r="Z1190" s="11">
        <f ca="1"/>
        <v>0</v>
      </c>
      <c r="AA1190" s="11">
        <f ca="1"/>
        <v>0</v>
      </c>
      <c r="AB1190" s="4">
        <f ca="1"/>
        <v>45764</v>
      </c>
      <c r="AC1190" s="4">
        <v>45764</v>
      </c>
      <c r="AD1190" s="9">
        <v>45779</v>
      </c>
      <c r="AE1190" s="9">
        <v>45783</v>
      </c>
      <c r="AF1190" s="4" t="str">
        <f t="shared" ref="AF1190:AF1221" ca="1" si="80">_xlfn.CONCAT(PROPER(TEXT(AB1190,"aaaa"))," ",PROPER(TEXT(AB1190,"mm")))</f>
        <v>2025 04</v>
      </c>
      <c r="AG1190" s="8" t="str" cm="1">
        <f t="array" ref="AG1190">IFERROR(_xlfn.IFS('Banco de Dados'!#REF!="AG. COMPRA","Em processamento",'Banco de Dados'!#REF!="AG. RASTREIO","Em processamento",'Banco de Dados'!$AE1190&lt;&gt;"-","Faturado",'Banco de Dados'!$AD1190&lt;&gt;"-","Aguardando Pix",'Banco de Dados'!$AC1190&lt;&gt;"-","Pendente"),"Aguardando Liberação")</f>
        <v>Aguardando Liberação</v>
      </c>
      <c r="AH1190" s="5" t="str">
        <f ca="1">IF('Banco de Dados'!$F1190="-",_xlfn.CONCAT(PROPER(TEXT(AK1190,"aaaa"))," ",PROPER(TEXT(AK1190,"mm"))),_xlfn.CONCAT(PROPER(TEXT(E1190,"aaaa"))," ",PROPER(TEXT(E1190,"mm"))))</f>
        <v>2025 03</v>
      </c>
      <c r="AI1190" s="9" t="str">
        <f ca="1">IF('Banco de Dados'!$AK1190&lt;&gt;"-","REEMBOLSO",IFERROR(_xlfn.XLOOKUP(G1190,Follow[CODRASTREIO],Follow[STATUS]),"-"))</f>
        <v>REEMBOLSO</v>
      </c>
      <c r="AJ1190" s="9" t="str">
        <f ca="1">IF('Banco de Dados'!$AI1190="ENTREGUE",_xlfn.XLOOKUP('Banco de Dados'!$G1190,Follow[CODRASTREIO],Follow[DATAATUALIZAÇÃO]),"-")</f>
        <v>-</v>
      </c>
      <c r="AK1190" s="132">
        <f ca="1"/>
        <v>45741</v>
      </c>
      <c r="AL1190" s="35"/>
      <c r="AM1190" s="109" cm="1">
        <f t="array" aca="1" ref="AM1190" ca="1">IF('Banco de Dados'!$AK1190&lt;&gt;"-",_xlfn.IFS('Banco de Dados'!$A1190="bv",IF('Banco de Dados'!$E1190&lt;45641,ROUND(SUM('Banco de Dados'!$R1190*_xlfn.XLOOKUP('Banco de Dados'!$P1190,Sku!B:B,Sku!#REF!)*20%),2),ROUND(SUM('Banco de Dados'!$R1190*_xlfn.XLOOKUP('Banco de Dados'!$P1190,Sku!B:B,Sku!H:H)*20%),2)),'Banco de Dados'!$A1190="GO",ROUND(_xlfn.XLOOKUP('Banco de Dados'!$P1190,Sku!C:C,Sku!H:H),2),'Banco de Dados'!$A1190="MEI",ROUND(_xlfn.XLOOKUP('Banco de Dados'!$P1190,Sku!D:D,Sku!H:H),2)),0)</f>
        <v>1.26</v>
      </c>
      <c r="AN1190" s="109">
        <f ca="1">IF('Banco de Dados'!$AK1190&lt;&gt;"-",IF('Banco de Dados'!$F1190&lt;&gt;"-",_xlfn.XLOOKUP(IFERROR(IFERROR(IFERROR(VALUE(SUBSTITUTE(MID(_xlfn.TEXTAFTER('Banco de Dados'!$F1190,"Data do Pedido:
",1),1,10),"-","/")),VALUE(SUBSTITUTE(MID(_xlfn.TEXTAFTER('Banco de Dados'!$F1190,"Order date:
",1),1,10),"-","/"))),VALUE(SUBSTITUTE(MID(_xlfn.TEXTAFTER('Banco de Dados'!$F1190,"Fecha de pedido:
",1),1,10),"-","/"))),"-"),SMS!A:A,SMS!K:K),0),0)</f>
        <v>0</v>
      </c>
      <c r="AO1190" s="109">
        <f ca="1">IF('Banco de Dados'!$AK1190&lt;&gt;"-",IF('Banco de Dados'!$F1190&lt;&gt;"-",IFERROR(_xlfn.XLOOKUP(_xlfn.CONCAT('Banco de Dados'!$A1190,IFERROR(IFERROR(VALUE(SUBSTITUTE(MID(_xlfn.TEXTAFTER('Banco de Dados'!$F1190,"Data do Pedido:
",1),1,10),"-","/")),VALUE(SUBSTITUTE(MID(_xlfn.TEXTAFTER('Banco de Dados'!$F1190,"Order date:
",1),1,10),"-","/"))),0)),ProxyDD[Chave],ProxyDD[Valor por pedido]),PROXY!$P$2),0),0)</f>
        <v>0</v>
      </c>
      <c r="AP1190" s="28">
        <f ca="1">IF('Banco de Dados'!$AK1190&lt;&gt;"-",IF('Banco de Dados'!$AL1190="NÃO",IFERROR(VALUE(SUBSTITUTE(_xlfn.TEXTAFTER('Banco de Dados'!$F1190,"BRL ",1),".",",")),0),0),0)</f>
        <v>0</v>
      </c>
      <c r="AQ1190" s="28">
        <f ca="1">SUM('Banco de Dados'!$AM1190:$AP1190)</f>
        <v>1.26</v>
      </c>
      <c r="AR1190" s="8"/>
      <c r="AY1190" s="8"/>
    </row>
    <row r="1191" spans="1:51">
      <c r="A1191" s="5" t="str">
        <v>BV</v>
      </c>
      <c r="B1191" s="5" t="str">
        <f ca="1"/>
        <v>BV45732</v>
      </c>
      <c r="C1191" s="8" t="str">
        <v>Pedido 1178</v>
      </c>
      <c r="D1191" s="9">
        <v>45731</v>
      </c>
      <c r="E1191" s="9">
        <v>45732</v>
      </c>
      <c r="F1191" s="8" t="str">
        <v>PedidoF1153</v>
      </c>
      <c r="G1191" s="2" t="str">
        <v>CódRastreio1151</v>
      </c>
      <c r="H1191" s="5">
        <v>1</v>
      </c>
      <c r="I1191" s="2" t="str">
        <v>CPF 1147</v>
      </c>
      <c r="J1191" s="2" t="str">
        <v>Nome 1147</v>
      </c>
      <c r="K1191" s="8" t="str">
        <v>Tel 1147</v>
      </c>
      <c r="L1191" s="8" t="str">
        <v>Cep 1147</v>
      </c>
      <c r="M1191" s="8" t="str">
        <v>Rua 1147</v>
      </c>
      <c r="N1191" s="8" t="str">
        <v>Comp 1147</v>
      </c>
      <c r="O1191" s="8" t="str">
        <v>Ventilador Azul</v>
      </c>
      <c r="P1191" s="8" t="str">
        <v>U8-2VWS-OB6M</v>
      </c>
      <c r="Q1191" s="4">
        <v>45757</v>
      </c>
      <c r="R1191" s="109">
        <v>50.45</v>
      </c>
      <c r="S1191" s="11">
        <f ca="1"/>
        <v>50.45</v>
      </c>
      <c r="T1191" s="28">
        <f ca="1"/>
        <v>6.5585000000000004</v>
      </c>
      <c r="U1191" s="11">
        <f ca="1"/>
        <v>43.89</v>
      </c>
      <c r="V1191" s="11">
        <v>13.7</v>
      </c>
      <c r="W1191" s="11">
        <f ca="1"/>
        <v>0.82</v>
      </c>
      <c r="X1191" s="11">
        <f ca="1"/>
        <v>0.39877104377104378</v>
      </c>
      <c r="Y1191" s="11">
        <v>0</v>
      </c>
      <c r="Z1191" s="11">
        <f ca="1"/>
        <v>28.971228956228956</v>
      </c>
      <c r="AA1191" s="11">
        <f ca="1"/>
        <v>14.485614478114478</v>
      </c>
      <c r="AB1191" s="4">
        <f ca="1"/>
        <v>45764</v>
      </c>
      <c r="AC1191" s="4">
        <v>45764</v>
      </c>
      <c r="AD1191" s="9">
        <v>45779</v>
      </c>
      <c r="AE1191" s="9">
        <v>45783</v>
      </c>
      <c r="AF1191" s="4" t="str">
        <f t="shared" ca="1" si="80"/>
        <v>2025 04</v>
      </c>
      <c r="AG1191" s="8" t="str" cm="1">
        <f t="array" ref="AG1191">IFERROR(_xlfn.IFS('Banco de Dados'!#REF!="AG. COMPRA","Em processamento",'Banco de Dados'!#REF!="AG. RASTREIO","Em processamento",'Banco de Dados'!$AE1191&lt;&gt;"-","Faturado",'Banco de Dados'!$AD1191&lt;&gt;"-","Aguardando Pix",'Banco de Dados'!$AC1191&lt;&gt;"-","Pendente"),"Aguardando Liberação")</f>
        <v>Aguardando Liberação</v>
      </c>
      <c r="AH1191" s="5" t="str">
        <f>IF('Banco de Dados'!$F1191="-",_xlfn.CONCAT(PROPER(TEXT(AK1191,"aaaa"))," ",PROPER(TEXT(AK1191,"mm"))),_xlfn.CONCAT(PROPER(TEXT(E1191,"aaaa"))," ",PROPER(TEXT(E1191,"mm"))))</f>
        <v>2025 03</v>
      </c>
      <c r="AI1191" s="9" t="str">
        <f ca="1">IF('Banco de Dados'!$AK1191&lt;&gt;"-","REEMBOLSO",IFERROR(_xlfn.XLOOKUP(G1191,Follow[CODRASTREIO],Follow[STATUS]),"-"))</f>
        <v>ENTREGUE</v>
      </c>
      <c r="AJ1191" s="9">
        <f ca="1">IF('Banco de Dados'!$AI1191="ENTREGUE",_xlfn.XLOOKUP('Banco de Dados'!$G1191,Follow[CODRASTREIO],Follow[DATAATUALIZAÇÃO]),"-")</f>
        <v>45752</v>
      </c>
      <c r="AK1191" s="132" t="str">
        <f ca="1"/>
        <v>-</v>
      </c>
      <c r="AL1191" s="35"/>
      <c r="AM1191" s="109" cm="1">
        <f t="array" aca="1" ref="AM1191" ca="1">IF('Banco de Dados'!$AK1191&lt;&gt;"-",_xlfn.IFS('Banco de Dados'!$A1191="bv",IF('Banco de Dados'!$E1191&lt;45641,ROUND(SUM('Banco de Dados'!$R1191*_xlfn.XLOOKUP('Banco de Dados'!$P1191,Sku!B:B,Sku!#REF!)*20%),2),ROUND(SUM('Banco de Dados'!$R1191*_xlfn.XLOOKUP('Banco de Dados'!$P1191,Sku!B:B,Sku!H:H)*20%),2)),'Banco de Dados'!$A1191="GO",ROUND(_xlfn.XLOOKUP('Banco de Dados'!$P1191,Sku!C:C,Sku!H:H),2),'Banco de Dados'!$A1191="MEI",ROUND(_xlfn.XLOOKUP('Banco de Dados'!$P1191,Sku!D:D,Sku!H:H),2)),0)</f>
        <v>0</v>
      </c>
      <c r="AN1191" s="109">
        <f ca="1">IF('Banco de Dados'!$AK1191&lt;&gt;"-",IF('Banco de Dados'!$F1191&lt;&gt;"-",_xlfn.XLOOKUP(IFERROR(IFERROR(IFERROR(VALUE(SUBSTITUTE(MID(_xlfn.TEXTAFTER('Banco de Dados'!$F1191,"Data do Pedido:
",1),1,10),"-","/")),VALUE(SUBSTITUTE(MID(_xlfn.TEXTAFTER('Banco de Dados'!$F1191,"Order date:
",1),1,10),"-","/"))),VALUE(SUBSTITUTE(MID(_xlfn.TEXTAFTER('Banco de Dados'!$F1191,"Fecha de pedido:
",1),1,10),"-","/"))),"-"),SMS!A:A,SMS!K:K),0),0)</f>
        <v>0</v>
      </c>
      <c r="AO1191" s="109">
        <f ca="1">IF('Banco de Dados'!$AK1191&lt;&gt;"-",IF('Banco de Dados'!$F1191&lt;&gt;"-",IFERROR(_xlfn.XLOOKUP(_xlfn.CONCAT('Banco de Dados'!$A1191,IFERROR(IFERROR(VALUE(SUBSTITUTE(MID(_xlfn.TEXTAFTER('Banco de Dados'!$F1191,"Data do Pedido:
",1),1,10),"-","/")),VALUE(SUBSTITUTE(MID(_xlfn.TEXTAFTER('Banco de Dados'!$F1191,"Order date:
",1),1,10),"-","/"))),0)),ProxyDD[Chave],ProxyDD[Valor por pedido]),PROXY!$P$2),0),0)</f>
        <v>0</v>
      </c>
      <c r="AP1191" s="28">
        <f ca="1">IF('Banco de Dados'!$AK1191&lt;&gt;"-",IF('Banco de Dados'!$AL1191="NÃO",IFERROR(VALUE(SUBSTITUTE(_xlfn.TEXTAFTER('Banco de Dados'!$F1191,"BRL ",1),".",",")),0),0),0)</f>
        <v>0</v>
      </c>
      <c r="AQ1191" s="28">
        <f ca="1">SUM('Banco de Dados'!$AM1191:$AP1191)</f>
        <v>0</v>
      </c>
      <c r="AR1191" s="8"/>
      <c r="AY1191" s="8"/>
    </row>
    <row r="1192" spans="1:51">
      <c r="A1192" s="5" t="str">
        <v>BV</v>
      </c>
      <c r="B1192" s="5" t="str">
        <f ca="1"/>
        <v>BV-</v>
      </c>
      <c r="C1192" s="8" t="str">
        <v>Pedido 1179</v>
      </c>
      <c r="D1192" s="9">
        <v>45731</v>
      </c>
      <c r="E1192" s="9" t="str">
        <v>-</v>
      </c>
      <c r="F1192" s="8" t="str">
        <v>-</v>
      </c>
      <c r="G1192" s="2" t="str">
        <v>-</v>
      </c>
      <c r="H1192" s="5">
        <v>1</v>
      </c>
      <c r="I1192" s="2" t="str">
        <v>CPF 1148</v>
      </c>
      <c r="J1192" s="2" t="str">
        <v>Nome 1148</v>
      </c>
      <c r="K1192" s="8" t="str">
        <v>Tel 1148</v>
      </c>
      <c r="L1192" s="8" t="str">
        <v>Cep 1148</v>
      </c>
      <c r="M1192" s="8" t="str">
        <v>Rua 1148</v>
      </c>
      <c r="N1192" s="8" t="str">
        <v>Comp 1148</v>
      </c>
      <c r="O1192" s="8" t="str">
        <v>Suporte de Celular Branco</v>
      </c>
      <c r="P1192" s="8" t="str">
        <v>16-4EDB-WMZF</v>
      </c>
      <c r="Q1192" s="4">
        <v>45751</v>
      </c>
      <c r="R1192" s="109">
        <v>19.989999999999998</v>
      </c>
      <c r="S1192" s="11">
        <f ca="1"/>
        <v>0</v>
      </c>
      <c r="T1192" s="28">
        <f ca="1"/>
        <v>0</v>
      </c>
      <c r="U1192" s="11">
        <f ca="1"/>
        <v>0</v>
      </c>
      <c r="V1192" s="11">
        <v>0</v>
      </c>
      <c r="W1192" s="11">
        <f ca="1"/>
        <v>0</v>
      </c>
      <c r="X1192" s="11">
        <f ca="1"/>
        <v>0</v>
      </c>
      <c r="Y1192" s="11">
        <v>0</v>
      </c>
      <c r="Z1192" s="11">
        <f ca="1"/>
        <v>0</v>
      </c>
      <c r="AA1192" s="11">
        <f ca="1"/>
        <v>0</v>
      </c>
      <c r="AB1192" s="4">
        <f ca="1"/>
        <v>45758</v>
      </c>
      <c r="AC1192" s="4">
        <v>45758</v>
      </c>
      <c r="AD1192" s="9">
        <v>45762</v>
      </c>
      <c r="AE1192" s="9">
        <v>45763</v>
      </c>
      <c r="AF1192" s="4" t="str">
        <f t="shared" ca="1" si="80"/>
        <v>2025 04</v>
      </c>
      <c r="AG1192" s="8" t="str" cm="1">
        <f t="array" ref="AG1192">IFERROR(_xlfn.IFS('Banco de Dados'!#REF!="AG. COMPRA","Em processamento",'Banco de Dados'!#REF!="AG. RASTREIO","Em processamento",'Banco de Dados'!$AE1192&lt;&gt;"-","Faturado",'Banco de Dados'!$AD1192&lt;&gt;"-","Aguardando Pix",'Banco de Dados'!$AC1192&lt;&gt;"-","Pendente"),"Aguardando Liberação")</f>
        <v>Aguardando Liberação</v>
      </c>
      <c r="AH1192" s="5" t="str">
        <f ca="1">IF('Banco de Dados'!$F1192="-",_xlfn.CONCAT(PROPER(TEXT(AK1192,"aaaa"))," ",PROPER(TEXT(AK1192,"mm"))),_xlfn.CONCAT(PROPER(TEXT(E1192,"aaaa"))," ",PROPER(TEXT(E1192,"mm"))))</f>
        <v>2025 03</v>
      </c>
      <c r="AI1192" s="9" t="str">
        <f ca="1">IF('Banco de Dados'!$AK1192&lt;&gt;"-","REEMBOLSO",IFERROR(_xlfn.XLOOKUP(G1192,Follow[CODRASTREIO],Follow[STATUS]),"-"))</f>
        <v>REEMBOLSO</v>
      </c>
      <c r="AJ1192" s="9" t="str">
        <f ca="1">IF('Banco de Dados'!$AI1192="ENTREGUE",_xlfn.XLOOKUP('Banco de Dados'!$G1192,Follow[CODRASTREIO],Follow[DATAATUALIZAÇÃO]),"-")</f>
        <v>-</v>
      </c>
      <c r="AK1192" s="132">
        <f ca="1"/>
        <v>45737</v>
      </c>
      <c r="AL1192" s="35"/>
      <c r="AM1192" s="109" cm="1">
        <f t="array" aca="1" ref="AM1192" ca="1">IF('Banco de Dados'!$AK1192&lt;&gt;"-",_xlfn.IFS('Banco de Dados'!$A1192="bv",IF('Banco de Dados'!$E1192&lt;45641,ROUND(SUM('Banco de Dados'!$R1192*_xlfn.XLOOKUP('Banco de Dados'!$P1192,Sku!B:B,Sku!#REF!)*20%),2),ROUND(SUM('Banco de Dados'!$R1192*_xlfn.XLOOKUP('Banco de Dados'!$P1192,Sku!B:B,Sku!H:H)*20%),2)),'Banco de Dados'!$A1192="GO",ROUND(_xlfn.XLOOKUP('Banco de Dados'!$P1192,Sku!C:C,Sku!H:H),2),'Banco de Dados'!$A1192="MEI",ROUND(_xlfn.XLOOKUP('Banco de Dados'!$P1192,Sku!D:D,Sku!H:H),2)),0)</f>
        <v>0.6</v>
      </c>
      <c r="AN1192" s="109">
        <f ca="1">IF('Banco de Dados'!$AK1192&lt;&gt;"-",IF('Banco de Dados'!$F1192&lt;&gt;"-",_xlfn.XLOOKUP(IFERROR(IFERROR(IFERROR(VALUE(SUBSTITUTE(MID(_xlfn.TEXTAFTER('Banco de Dados'!$F1192,"Data do Pedido:
",1),1,10),"-","/")),VALUE(SUBSTITUTE(MID(_xlfn.TEXTAFTER('Banco de Dados'!$F1192,"Order date:
",1),1,10),"-","/"))),VALUE(SUBSTITUTE(MID(_xlfn.TEXTAFTER('Banco de Dados'!$F1192,"Fecha de pedido:
",1),1,10),"-","/"))),"-"),SMS!A:A,SMS!K:K),0),0)</f>
        <v>0</v>
      </c>
      <c r="AO1192" s="109">
        <f ca="1">IF('Banco de Dados'!$AK1192&lt;&gt;"-",IF('Banco de Dados'!$F1192&lt;&gt;"-",IFERROR(_xlfn.XLOOKUP(_xlfn.CONCAT('Banco de Dados'!$A1192,IFERROR(IFERROR(VALUE(SUBSTITUTE(MID(_xlfn.TEXTAFTER('Banco de Dados'!$F1192,"Data do Pedido:
",1),1,10),"-","/")),VALUE(SUBSTITUTE(MID(_xlfn.TEXTAFTER('Banco de Dados'!$F1192,"Order date:
",1),1,10),"-","/"))),0)),ProxyDD[Chave],ProxyDD[Valor por pedido]),PROXY!$P$2),0),0)</f>
        <v>0</v>
      </c>
      <c r="AP1192" s="28">
        <f ca="1">IF('Banco de Dados'!$AK1192&lt;&gt;"-",IF('Banco de Dados'!$AL1192="NÃO",IFERROR(VALUE(SUBSTITUTE(_xlfn.TEXTAFTER('Banco de Dados'!$F1192,"BRL ",1),".",",")),0),0),0)</f>
        <v>0</v>
      </c>
      <c r="AQ1192" s="28">
        <f ca="1">SUM('Banco de Dados'!$AM1192:$AP1192)</f>
        <v>0.6</v>
      </c>
      <c r="AR1192" s="8"/>
      <c r="AY1192" s="8"/>
    </row>
    <row r="1193" spans="1:51">
      <c r="A1193" s="5" t="str">
        <v>BV</v>
      </c>
      <c r="B1193" s="5" t="str">
        <f ca="1"/>
        <v>BV45735</v>
      </c>
      <c r="C1193" s="8" t="str">
        <v>Pedido 1180</v>
      </c>
      <c r="D1193" s="9">
        <v>45731</v>
      </c>
      <c r="E1193" s="9">
        <v>45735</v>
      </c>
      <c r="F1193" s="8" t="str">
        <v>PedidoF1154</v>
      </c>
      <c r="G1193" s="2" t="str">
        <v>CódRastreio1152</v>
      </c>
      <c r="H1193" s="5">
        <v>1</v>
      </c>
      <c r="I1193" s="2" t="str">
        <v>CPF 1149</v>
      </c>
      <c r="J1193" s="2" t="str">
        <v>Nome 1149</v>
      </c>
      <c r="K1193" s="8" t="str">
        <v>Tel 1149</v>
      </c>
      <c r="L1193" s="8" t="str">
        <v>Cep 1149</v>
      </c>
      <c r="M1193" s="8" t="str">
        <v>Rua 1149</v>
      </c>
      <c r="N1193" s="8" t="str">
        <v>Comp 1149</v>
      </c>
      <c r="O1193" s="8" t="str">
        <v>Suporte de Celular Branco</v>
      </c>
      <c r="P1193" s="8" t="str">
        <v>16-4EDB-WMZF</v>
      </c>
      <c r="Q1193" s="4">
        <v>45751</v>
      </c>
      <c r="R1193" s="109">
        <v>19.989999999999998</v>
      </c>
      <c r="S1193" s="11">
        <f ca="1"/>
        <v>19.989999999999998</v>
      </c>
      <c r="T1193" s="28">
        <f ca="1"/>
        <v>2.9984999999999995</v>
      </c>
      <c r="U1193" s="11">
        <f ca="1"/>
        <v>16.989999999999998</v>
      </c>
      <c r="V1193" s="11">
        <v>9.94</v>
      </c>
      <c r="W1193" s="11">
        <f ca="1"/>
        <v>2.72</v>
      </c>
      <c r="X1193" s="11">
        <f ca="1"/>
        <v>0.39877104377104378</v>
      </c>
      <c r="Y1193" s="11">
        <v>0</v>
      </c>
      <c r="Z1193" s="11">
        <f ca="1"/>
        <v>3.9312289562289546</v>
      </c>
      <c r="AA1193" s="11">
        <f ca="1"/>
        <v>1.9656144781144773</v>
      </c>
      <c r="AB1193" s="4">
        <f ca="1"/>
        <v>45758</v>
      </c>
      <c r="AC1193" s="4">
        <v>45758</v>
      </c>
      <c r="AD1193" s="9">
        <v>45762</v>
      </c>
      <c r="AE1193" s="9">
        <v>45763</v>
      </c>
      <c r="AF1193" s="4" t="str">
        <f t="shared" ca="1" si="80"/>
        <v>2025 04</v>
      </c>
      <c r="AG1193" s="8" t="str" cm="1">
        <f t="array" ref="AG1193">IFERROR(_xlfn.IFS('Banco de Dados'!#REF!="AG. COMPRA","Em processamento",'Banco de Dados'!#REF!="AG. RASTREIO","Em processamento",'Banco de Dados'!$AE1193&lt;&gt;"-","Faturado",'Banco de Dados'!$AD1193&lt;&gt;"-","Aguardando Pix",'Banco de Dados'!$AC1193&lt;&gt;"-","Pendente"),"Aguardando Liberação")</f>
        <v>Aguardando Liberação</v>
      </c>
      <c r="AH1193" s="5" t="str">
        <f>IF('Banco de Dados'!$F1193="-",_xlfn.CONCAT(PROPER(TEXT(AK1193,"aaaa"))," ",PROPER(TEXT(AK1193,"mm"))),_xlfn.CONCAT(PROPER(TEXT(E1193,"aaaa"))," ",PROPER(TEXT(E1193,"mm"))))</f>
        <v>2025 03</v>
      </c>
      <c r="AI1193" s="9" t="str">
        <f ca="1">IF('Banco de Dados'!$AK1193&lt;&gt;"-","REEMBOLSO",IFERROR(_xlfn.XLOOKUP(G1193,Follow[CODRASTREIO],Follow[STATUS]),"-"))</f>
        <v>ENTREGUE</v>
      </c>
      <c r="AJ1193" s="9">
        <f ca="1">IF('Banco de Dados'!$AI1193="ENTREGUE",_xlfn.XLOOKUP('Banco de Dados'!$G1193,Follow[CODRASTREIO],Follow[DATAATUALIZAÇÃO]),"-")</f>
        <v>45743</v>
      </c>
      <c r="AK1193" s="132" t="str">
        <f ca="1"/>
        <v>-</v>
      </c>
      <c r="AL1193" s="35"/>
      <c r="AM1193" s="109" cm="1">
        <f t="array" aca="1" ref="AM1193" ca="1">IF('Banco de Dados'!$AK1193&lt;&gt;"-",_xlfn.IFS('Banco de Dados'!$A1193="bv",IF('Banco de Dados'!$E1193&lt;45641,ROUND(SUM('Banco de Dados'!$R1193*_xlfn.XLOOKUP('Banco de Dados'!$P1193,Sku!B:B,Sku!#REF!)*20%),2),ROUND(SUM('Banco de Dados'!$R1193*_xlfn.XLOOKUP('Banco de Dados'!$P1193,Sku!B:B,Sku!H:H)*20%),2)),'Banco de Dados'!$A1193="GO",ROUND(_xlfn.XLOOKUP('Banco de Dados'!$P1193,Sku!C:C,Sku!H:H),2),'Banco de Dados'!$A1193="MEI",ROUND(_xlfn.XLOOKUP('Banco de Dados'!$P1193,Sku!D:D,Sku!H:H),2)),0)</f>
        <v>0</v>
      </c>
      <c r="AN1193" s="109">
        <f ca="1">IF('Banco de Dados'!$AK1193&lt;&gt;"-",IF('Banco de Dados'!$F1193&lt;&gt;"-",_xlfn.XLOOKUP(IFERROR(IFERROR(IFERROR(VALUE(SUBSTITUTE(MID(_xlfn.TEXTAFTER('Banco de Dados'!$F1193,"Data do Pedido:
",1),1,10),"-","/")),VALUE(SUBSTITUTE(MID(_xlfn.TEXTAFTER('Banco de Dados'!$F1193,"Order date:
",1),1,10),"-","/"))),VALUE(SUBSTITUTE(MID(_xlfn.TEXTAFTER('Banco de Dados'!$F1193,"Fecha de pedido:
",1),1,10),"-","/"))),"-"),SMS!A:A,SMS!K:K),0),0)</f>
        <v>0</v>
      </c>
      <c r="AO1193" s="109">
        <f ca="1">IF('Banco de Dados'!$AK1193&lt;&gt;"-",IF('Banco de Dados'!$F1193&lt;&gt;"-",IFERROR(_xlfn.XLOOKUP(_xlfn.CONCAT('Banco de Dados'!$A1193,IFERROR(IFERROR(VALUE(SUBSTITUTE(MID(_xlfn.TEXTAFTER('Banco de Dados'!$F1193,"Data do Pedido:
",1),1,10),"-","/")),VALUE(SUBSTITUTE(MID(_xlfn.TEXTAFTER('Banco de Dados'!$F1193,"Order date:
",1),1,10),"-","/"))),0)),ProxyDD[Chave],ProxyDD[Valor por pedido]),PROXY!$P$2),0),0)</f>
        <v>0</v>
      </c>
      <c r="AP1193" s="28">
        <f ca="1">IF('Banco de Dados'!$AK1193&lt;&gt;"-",IF('Banco de Dados'!$AL1193="NÃO",IFERROR(VALUE(SUBSTITUTE(_xlfn.TEXTAFTER('Banco de Dados'!$F1193,"BRL ",1),".",",")),0),0),0)</f>
        <v>0</v>
      </c>
      <c r="AQ1193" s="28">
        <f ca="1">SUM('Banco de Dados'!$AM1193:$AP1193)</f>
        <v>0</v>
      </c>
      <c r="AR1193" s="8"/>
      <c r="AY1193" s="8"/>
    </row>
    <row r="1194" spans="1:51">
      <c r="A1194" s="5" t="str">
        <v>BV</v>
      </c>
      <c r="B1194" s="5" t="str">
        <f ca="1"/>
        <v>BV-</v>
      </c>
      <c r="C1194" s="8" t="str">
        <v>Pedido 1181</v>
      </c>
      <c r="D1194" s="9">
        <v>45731</v>
      </c>
      <c r="E1194" s="9" t="str">
        <v>-</v>
      </c>
      <c r="F1194" s="8" t="str">
        <v>-</v>
      </c>
      <c r="G1194" s="2" t="str">
        <v>-</v>
      </c>
      <c r="H1194" s="5">
        <v>1</v>
      </c>
      <c r="I1194" s="2" t="str">
        <v>CPF 1150</v>
      </c>
      <c r="J1194" s="2" t="str">
        <v>Nome 1150</v>
      </c>
      <c r="K1194" s="8" t="str">
        <v>Tel 1150</v>
      </c>
      <c r="L1194" s="8" t="str">
        <v>Cep 1150</v>
      </c>
      <c r="M1194" s="8" t="str">
        <v>Rua 1150</v>
      </c>
      <c r="N1194" s="8" t="str">
        <v>Comp 1150</v>
      </c>
      <c r="O1194" s="8" t="str">
        <v>Lampada Led</v>
      </c>
      <c r="P1194" s="8" t="str">
        <v>RB-W251-UXV2</v>
      </c>
      <c r="Q1194" s="4">
        <v>45757</v>
      </c>
      <c r="R1194" s="109">
        <v>26.99</v>
      </c>
      <c r="S1194" s="11">
        <f ca="1"/>
        <v>0</v>
      </c>
      <c r="T1194" s="28">
        <f ca="1"/>
        <v>0</v>
      </c>
      <c r="U1194" s="11">
        <f ca="1"/>
        <v>0</v>
      </c>
      <c r="V1194" s="11">
        <v>0</v>
      </c>
      <c r="W1194" s="11">
        <f ca="1"/>
        <v>0</v>
      </c>
      <c r="X1194" s="11">
        <f ca="1"/>
        <v>0</v>
      </c>
      <c r="Y1194" s="11">
        <v>0</v>
      </c>
      <c r="Z1194" s="11">
        <f ca="1"/>
        <v>0</v>
      </c>
      <c r="AA1194" s="11">
        <f ca="1"/>
        <v>0</v>
      </c>
      <c r="AB1194" s="4">
        <f ca="1"/>
        <v>45764</v>
      </c>
      <c r="AC1194" s="4">
        <v>45764</v>
      </c>
      <c r="AD1194" s="9">
        <v>45779</v>
      </c>
      <c r="AE1194" s="9">
        <v>45783</v>
      </c>
      <c r="AF1194" s="4" t="str">
        <f t="shared" ca="1" si="80"/>
        <v>2025 04</v>
      </c>
      <c r="AG1194" s="8" t="str" cm="1">
        <f t="array" ref="AG1194">IFERROR(_xlfn.IFS('Banco de Dados'!#REF!="AG. COMPRA","Em processamento",'Banco de Dados'!#REF!="AG. RASTREIO","Em processamento",'Banco de Dados'!$AE1194&lt;&gt;"-","Faturado",'Banco de Dados'!$AD1194&lt;&gt;"-","Aguardando Pix",'Banco de Dados'!$AC1194&lt;&gt;"-","Pendente"),"Aguardando Liberação")</f>
        <v>Aguardando Liberação</v>
      </c>
      <c r="AH1194" s="5" t="str">
        <f ca="1">IF('Banco de Dados'!$F1194="-",_xlfn.CONCAT(PROPER(TEXT(AK1194,"aaaa"))," ",PROPER(TEXT(AK1194,"mm"))),_xlfn.CONCAT(PROPER(TEXT(E1194,"aaaa"))," ",PROPER(TEXT(E1194,"mm"))))</f>
        <v>2025 03</v>
      </c>
      <c r="AI1194" s="9" t="str">
        <f ca="1">IF('Banco de Dados'!$AK1194&lt;&gt;"-","REEMBOLSO",IFERROR(_xlfn.XLOOKUP(G1194,Follow[CODRASTREIO],Follow[STATUS]),"-"))</f>
        <v>REEMBOLSO</v>
      </c>
      <c r="AJ1194" s="9" t="str">
        <f ca="1">IF('Banco de Dados'!$AI1194="ENTREGUE",_xlfn.XLOOKUP('Banco de Dados'!$G1194,Follow[CODRASTREIO],Follow[DATAATUALIZAÇÃO]),"-")</f>
        <v>-</v>
      </c>
      <c r="AK1194" s="132">
        <f ca="1"/>
        <v>45735</v>
      </c>
      <c r="AL1194" s="35"/>
      <c r="AM1194" s="109" cm="1">
        <f t="array" aca="1" ref="AM1194" ca="1">IF('Banco de Dados'!$AK1194&lt;&gt;"-",_xlfn.IFS('Banco de Dados'!$A1194="bv",IF('Banco de Dados'!$E1194&lt;45641,ROUND(SUM('Banco de Dados'!$R1194*_xlfn.XLOOKUP('Banco de Dados'!$P1194,Sku!B:B,Sku!#REF!)*20%),2),ROUND(SUM('Banco de Dados'!$R1194*_xlfn.XLOOKUP('Banco de Dados'!$P1194,Sku!B:B,Sku!H:H)*20%),2)),'Banco de Dados'!$A1194="GO",ROUND(_xlfn.XLOOKUP('Banco de Dados'!$P1194,Sku!C:C,Sku!H:H),2),'Banco de Dados'!$A1194="MEI",ROUND(_xlfn.XLOOKUP('Banco de Dados'!$P1194,Sku!D:D,Sku!H:H),2)),0)</f>
        <v>0.7</v>
      </c>
      <c r="AN1194" s="109">
        <f ca="1">IF('Banco de Dados'!$AK1194&lt;&gt;"-",IF('Banco de Dados'!$F1194&lt;&gt;"-",_xlfn.XLOOKUP(IFERROR(IFERROR(IFERROR(VALUE(SUBSTITUTE(MID(_xlfn.TEXTAFTER('Banco de Dados'!$F1194,"Data do Pedido:
",1),1,10),"-","/")),VALUE(SUBSTITUTE(MID(_xlfn.TEXTAFTER('Banco de Dados'!$F1194,"Order date:
",1),1,10),"-","/"))),VALUE(SUBSTITUTE(MID(_xlfn.TEXTAFTER('Banco de Dados'!$F1194,"Fecha de pedido:
",1),1,10),"-","/"))),"-"),SMS!A:A,SMS!K:K),0),0)</f>
        <v>0</v>
      </c>
      <c r="AO1194" s="109">
        <f ca="1">IF('Banco de Dados'!$AK1194&lt;&gt;"-",IF('Banco de Dados'!$F1194&lt;&gt;"-",IFERROR(_xlfn.XLOOKUP(_xlfn.CONCAT('Banco de Dados'!$A1194,IFERROR(IFERROR(VALUE(SUBSTITUTE(MID(_xlfn.TEXTAFTER('Banco de Dados'!$F1194,"Data do Pedido:
",1),1,10),"-","/")),VALUE(SUBSTITUTE(MID(_xlfn.TEXTAFTER('Banco de Dados'!$F1194,"Order date:
",1),1,10),"-","/"))),0)),ProxyDD[Chave],ProxyDD[Valor por pedido]),PROXY!$P$2),0),0)</f>
        <v>0</v>
      </c>
      <c r="AP1194" s="28">
        <f ca="1">IF('Banco de Dados'!$AK1194&lt;&gt;"-",IF('Banco de Dados'!$AL1194="NÃO",IFERROR(VALUE(SUBSTITUTE(_xlfn.TEXTAFTER('Banco de Dados'!$F1194,"BRL ",1),".",",")),0),0),0)</f>
        <v>0</v>
      </c>
      <c r="AQ1194" s="28">
        <f ca="1">SUM('Banco de Dados'!$AM1194:$AP1194)</f>
        <v>0.7</v>
      </c>
      <c r="AR1194" s="8"/>
      <c r="AY1194" s="8"/>
    </row>
    <row r="1195" spans="1:51">
      <c r="A1195" s="5" t="str">
        <v>BV</v>
      </c>
      <c r="B1195" s="5" t="str">
        <f ca="1"/>
        <v>BV45735</v>
      </c>
      <c r="C1195" s="8" t="str">
        <v>Pedido 1182</v>
      </c>
      <c r="D1195" s="9">
        <v>45731</v>
      </c>
      <c r="E1195" s="9">
        <v>45735</v>
      </c>
      <c r="F1195" s="8" t="str">
        <v>PedidoF1155</v>
      </c>
      <c r="G1195" s="2" t="str">
        <v>CódRastreio1153</v>
      </c>
      <c r="H1195" s="5">
        <v>1</v>
      </c>
      <c r="I1195" s="2" t="str">
        <v>CPF 1151</v>
      </c>
      <c r="J1195" s="2" t="str">
        <v>Nome 1151</v>
      </c>
      <c r="K1195" s="8" t="str">
        <v>Tel 1151</v>
      </c>
      <c r="L1195" s="8" t="str">
        <v>Cep 1151</v>
      </c>
      <c r="M1195" s="8" t="str">
        <v>Rua 1151</v>
      </c>
      <c r="N1195" s="8" t="str">
        <v>Comp 1151</v>
      </c>
      <c r="O1195" s="8" t="str">
        <v>Suporte de Celular Branco</v>
      </c>
      <c r="P1195" s="8" t="str">
        <v>16-4EDB-WMZF</v>
      </c>
      <c r="Q1195" s="4">
        <v>45751</v>
      </c>
      <c r="R1195" s="109">
        <v>19.989999999999998</v>
      </c>
      <c r="S1195" s="11">
        <f ca="1"/>
        <v>19.989999999999998</v>
      </c>
      <c r="T1195" s="28">
        <f ca="1"/>
        <v>2.9984999999999995</v>
      </c>
      <c r="U1195" s="11">
        <f ca="1"/>
        <v>16.989999999999998</v>
      </c>
      <c r="V1195" s="11">
        <v>9.94</v>
      </c>
      <c r="W1195" s="11">
        <f ca="1"/>
        <v>2.72</v>
      </c>
      <c r="X1195" s="11">
        <f ca="1"/>
        <v>0.39877104377104378</v>
      </c>
      <c r="Y1195" s="11">
        <v>0</v>
      </c>
      <c r="Z1195" s="11">
        <f ca="1"/>
        <v>3.9312289562289546</v>
      </c>
      <c r="AA1195" s="11">
        <f ca="1"/>
        <v>1.9656144781144773</v>
      </c>
      <c r="AB1195" s="4">
        <f ca="1"/>
        <v>45758</v>
      </c>
      <c r="AC1195" s="4">
        <v>45758</v>
      </c>
      <c r="AD1195" s="9">
        <v>45762</v>
      </c>
      <c r="AE1195" s="9">
        <v>45763</v>
      </c>
      <c r="AF1195" s="4" t="str">
        <f t="shared" ca="1" si="80"/>
        <v>2025 04</v>
      </c>
      <c r="AG1195" s="8" t="str" cm="1">
        <f t="array" ref="AG1195">IFERROR(_xlfn.IFS('Banco de Dados'!#REF!="AG. COMPRA","Em processamento",'Banco de Dados'!#REF!="AG. RASTREIO","Em processamento",'Banco de Dados'!$AE1195&lt;&gt;"-","Faturado",'Banco de Dados'!$AD1195&lt;&gt;"-","Aguardando Pix",'Banco de Dados'!$AC1195&lt;&gt;"-","Pendente"),"Aguardando Liberação")</f>
        <v>Aguardando Liberação</v>
      </c>
      <c r="AH1195" s="5" t="str">
        <f>IF('Banco de Dados'!$F1195="-",_xlfn.CONCAT(PROPER(TEXT(AK1195,"aaaa"))," ",PROPER(TEXT(AK1195,"mm"))),_xlfn.CONCAT(PROPER(TEXT(E1195,"aaaa"))," ",PROPER(TEXT(E1195,"mm"))))</f>
        <v>2025 03</v>
      </c>
      <c r="AI1195" s="9" t="str">
        <f ca="1">IF('Banco de Dados'!$AK1195&lt;&gt;"-","REEMBOLSO",IFERROR(_xlfn.XLOOKUP(G1195,Follow[CODRASTREIO],Follow[STATUS]),"-"))</f>
        <v>ENTREGUE</v>
      </c>
      <c r="AJ1195" s="9">
        <f ca="1">IF('Banco de Dados'!$AI1195="ENTREGUE",_xlfn.XLOOKUP('Banco de Dados'!$G1195,Follow[CODRASTREIO],Follow[DATAATUALIZAÇÃO]),"-")</f>
        <v>45748</v>
      </c>
      <c r="AK1195" s="132" t="str">
        <f ca="1"/>
        <v>-</v>
      </c>
      <c r="AL1195" s="35"/>
      <c r="AM1195" s="109" cm="1">
        <f t="array" aca="1" ref="AM1195" ca="1">IF('Banco de Dados'!$AK1195&lt;&gt;"-",_xlfn.IFS('Banco de Dados'!$A1195="bv",IF('Banco de Dados'!$E1195&lt;45641,ROUND(SUM('Banco de Dados'!$R1195*_xlfn.XLOOKUP('Banco de Dados'!$P1195,Sku!B:B,Sku!#REF!)*20%),2),ROUND(SUM('Banco de Dados'!$R1195*_xlfn.XLOOKUP('Banco de Dados'!$P1195,Sku!B:B,Sku!H:H)*20%),2)),'Banco de Dados'!$A1195="GO",ROUND(_xlfn.XLOOKUP('Banco de Dados'!$P1195,Sku!C:C,Sku!H:H),2),'Banco de Dados'!$A1195="MEI",ROUND(_xlfn.XLOOKUP('Banco de Dados'!$P1195,Sku!D:D,Sku!H:H),2)),0)</f>
        <v>0</v>
      </c>
      <c r="AN1195" s="109">
        <f ca="1">IF('Banco de Dados'!$AK1195&lt;&gt;"-",IF('Banco de Dados'!$F1195&lt;&gt;"-",_xlfn.XLOOKUP(IFERROR(IFERROR(IFERROR(VALUE(SUBSTITUTE(MID(_xlfn.TEXTAFTER('Banco de Dados'!$F1195,"Data do Pedido:
",1),1,10),"-","/")),VALUE(SUBSTITUTE(MID(_xlfn.TEXTAFTER('Banco de Dados'!$F1195,"Order date:
",1),1,10),"-","/"))),VALUE(SUBSTITUTE(MID(_xlfn.TEXTAFTER('Banco de Dados'!$F1195,"Fecha de pedido:
",1),1,10),"-","/"))),"-"),SMS!A:A,SMS!K:K),0),0)</f>
        <v>0</v>
      </c>
      <c r="AO1195" s="109">
        <f ca="1">IF('Banco de Dados'!$AK1195&lt;&gt;"-",IF('Banco de Dados'!$F1195&lt;&gt;"-",IFERROR(_xlfn.XLOOKUP(_xlfn.CONCAT('Banco de Dados'!$A1195,IFERROR(IFERROR(VALUE(SUBSTITUTE(MID(_xlfn.TEXTAFTER('Banco de Dados'!$F1195,"Data do Pedido:
",1),1,10),"-","/")),VALUE(SUBSTITUTE(MID(_xlfn.TEXTAFTER('Banco de Dados'!$F1195,"Order date:
",1),1,10),"-","/"))),0)),ProxyDD[Chave],ProxyDD[Valor por pedido]),PROXY!$P$2),0),0)</f>
        <v>0</v>
      </c>
      <c r="AP1195" s="28">
        <f ca="1">IF('Banco de Dados'!$AK1195&lt;&gt;"-",IF('Banco de Dados'!$AL1195="NÃO",IFERROR(VALUE(SUBSTITUTE(_xlfn.TEXTAFTER('Banco de Dados'!$F1195,"BRL ",1),".",",")),0),0),0)</f>
        <v>0</v>
      </c>
      <c r="AQ1195" s="28">
        <f ca="1">SUM('Banco de Dados'!$AM1195:$AP1195)</f>
        <v>0</v>
      </c>
      <c r="AR1195" s="8"/>
      <c r="AY1195" s="8"/>
    </row>
    <row r="1196" spans="1:51">
      <c r="A1196" s="5" t="str">
        <v>BV</v>
      </c>
      <c r="B1196" s="5" t="str">
        <f ca="1"/>
        <v>BV45736</v>
      </c>
      <c r="C1196" s="8" t="str">
        <v>Pedido 1183</v>
      </c>
      <c r="D1196" s="9">
        <v>45731</v>
      </c>
      <c r="E1196" s="9">
        <v>45736</v>
      </c>
      <c r="F1196" s="8" t="str">
        <v>PedidoF1156</v>
      </c>
      <c r="G1196" s="2" t="str">
        <v>CódRastreio1154</v>
      </c>
      <c r="H1196" s="5">
        <v>1</v>
      </c>
      <c r="I1196" s="2" t="str">
        <v>CPF 1152</v>
      </c>
      <c r="J1196" s="2" t="str">
        <v>Nome 1152</v>
      </c>
      <c r="K1196" s="8" t="str">
        <v>Tel 1152</v>
      </c>
      <c r="L1196" s="8" t="str">
        <v>Cep 1152</v>
      </c>
      <c r="M1196" s="8" t="str">
        <v>Rua 1152</v>
      </c>
      <c r="N1196" s="8" t="str">
        <v>Comp 1152</v>
      </c>
      <c r="O1196" s="8" t="str">
        <v>Suporte de Celular Branco</v>
      </c>
      <c r="P1196" s="8" t="str">
        <v>16-4EDB-WMZF</v>
      </c>
      <c r="Q1196" s="4">
        <v>45757</v>
      </c>
      <c r="R1196" s="109">
        <v>19.989999999999998</v>
      </c>
      <c r="S1196" s="11">
        <f ca="1"/>
        <v>19.989999999999998</v>
      </c>
      <c r="T1196" s="28">
        <f ca="1"/>
        <v>2.9984999999999995</v>
      </c>
      <c r="U1196" s="11">
        <f ca="1"/>
        <v>16.989999999999998</v>
      </c>
      <c r="V1196" s="11">
        <v>9</v>
      </c>
      <c r="W1196" s="11">
        <f ca="1"/>
        <v>0.33</v>
      </c>
      <c r="X1196" s="11">
        <f ca="1"/>
        <v>0.39877104377104378</v>
      </c>
      <c r="Y1196" s="11">
        <v>0</v>
      </c>
      <c r="Z1196" s="11">
        <f ca="1"/>
        <v>7.2612289562289547</v>
      </c>
      <c r="AA1196" s="11">
        <f ca="1"/>
        <v>3.6306144781144774</v>
      </c>
      <c r="AB1196" s="4">
        <f ca="1"/>
        <v>45764</v>
      </c>
      <c r="AC1196" s="4">
        <v>45764</v>
      </c>
      <c r="AD1196" s="9">
        <v>45779</v>
      </c>
      <c r="AE1196" s="9">
        <v>45783</v>
      </c>
      <c r="AF1196" s="4" t="str">
        <f t="shared" ca="1" si="80"/>
        <v>2025 04</v>
      </c>
      <c r="AG1196" s="8" t="str" cm="1">
        <f t="array" ref="AG1196">IFERROR(_xlfn.IFS('Banco de Dados'!#REF!="AG. COMPRA","Em processamento",'Banco de Dados'!#REF!="AG. RASTREIO","Em processamento",'Banco de Dados'!$AE1196&lt;&gt;"-","Faturado",'Banco de Dados'!$AD1196&lt;&gt;"-","Aguardando Pix",'Banco de Dados'!$AC1196&lt;&gt;"-","Pendente"),"Aguardando Liberação")</f>
        <v>Aguardando Liberação</v>
      </c>
      <c r="AH1196" s="5" t="str">
        <f>IF('Banco de Dados'!$F1196="-",_xlfn.CONCAT(PROPER(TEXT(AK1196,"aaaa"))," ",PROPER(TEXT(AK1196,"mm"))),_xlfn.CONCAT(PROPER(TEXT(E1196,"aaaa"))," ",PROPER(TEXT(E1196,"mm"))))</f>
        <v>2025 03</v>
      </c>
      <c r="AI1196" s="9" t="str">
        <f ca="1">IF('Banco de Dados'!$AK1196&lt;&gt;"-","REEMBOLSO",IFERROR(_xlfn.XLOOKUP(G1196,Follow[CODRASTREIO],Follow[STATUS]),"-"))</f>
        <v>ENTREGUE</v>
      </c>
      <c r="AJ1196" s="9">
        <f ca="1">IF('Banco de Dados'!$AI1196="ENTREGUE",_xlfn.XLOOKUP('Banco de Dados'!$G1196,Follow[CODRASTREIO],Follow[DATAATUALIZAÇÃO]),"-")</f>
        <v>45756</v>
      </c>
      <c r="AK1196" s="132" t="str">
        <f ca="1"/>
        <v>-</v>
      </c>
      <c r="AL1196" s="35"/>
      <c r="AM1196" s="109" cm="1">
        <f t="array" aca="1" ref="AM1196" ca="1">IF('Banco de Dados'!$AK1196&lt;&gt;"-",_xlfn.IFS('Banco de Dados'!$A1196="bv",IF('Banco de Dados'!$E1196&lt;45641,ROUND(SUM('Banco de Dados'!$R1196*_xlfn.XLOOKUP('Banco de Dados'!$P1196,Sku!B:B,Sku!#REF!)*20%),2),ROUND(SUM('Banco de Dados'!$R1196*_xlfn.XLOOKUP('Banco de Dados'!$P1196,Sku!B:B,Sku!H:H)*20%),2)),'Banco de Dados'!$A1196="GO",ROUND(_xlfn.XLOOKUP('Banco de Dados'!$P1196,Sku!C:C,Sku!H:H),2),'Banco de Dados'!$A1196="MEI",ROUND(_xlfn.XLOOKUP('Banco de Dados'!$P1196,Sku!D:D,Sku!H:H),2)),0)</f>
        <v>0</v>
      </c>
      <c r="AN1196" s="109">
        <f ca="1">IF('Banco de Dados'!$AK1196&lt;&gt;"-",IF('Banco de Dados'!$F1196&lt;&gt;"-",_xlfn.XLOOKUP(IFERROR(IFERROR(IFERROR(VALUE(SUBSTITUTE(MID(_xlfn.TEXTAFTER('Banco de Dados'!$F1196,"Data do Pedido:
",1),1,10),"-","/")),VALUE(SUBSTITUTE(MID(_xlfn.TEXTAFTER('Banco de Dados'!$F1196,"Order date:
",1),1,10),"-","/"))),VALUE(SUBSTITUTE(MID(_xlfn.TEXTAFTER('Banco de Dados'!$F1196,"Fecha de pedido:
",1),1,10),"-","/"))),"-"),SMS!A:A,SMS!K:K),0),0)</f>
        <v>0</v>
      </c>
      <c r="AO1196" s="109">
        <f ca="1">IF('Banco de Dados'!$AK1196&lt;&gt;"-",IF('Banco de Dados'!$F1196&lt;&gt;"-",IFERROR(_xlfn.XLOOKUP(_xlfn.CONCAT('Banco de Dados'!$A1196,IFERROR(IFERROR(VALUE(SUBSTITUTE(MID(_xlfn.TEXTAFTER('Banco de Dados'!$F1196,"Data do Pedido:
",1),1,10),"-","/")),VALUE(SUBSTITUTE(MID(_xlfn.TEXTAFTER('Banco de Dados'!$F1196,"Order date:
",1),1,10),"-","/"))),0)),ProxyDD[Chave],ProxyDD[Valor por pedido]),PROXY!$P$2),0),0)</f>
        <v>0</v>
      </c>
      <c r="AP1196" s="28">
        <f ca="1">IF('Banco de Dados'!$AK1196&lt;&gt;"-",IF('Banco de Dados'!$AL1196="NÃO",IFERROR(VALUE(SUBSTITUTE(_xlfn.TEXTAFTER('Banco de Dados'!$F1196,"BRL ",1),".",",")),0),0),0)</f>
        <v>0</v>
      </c>
      <c r="AQ1196" s="28">
        <f ca="1">SUM('Banco de Dados'!$AM1196:$AP1196)</f>
        <v>0</v>
      </c>
      <c r="AR1196" s="8"/>
      <c r="AY1196" s="8"/>
    </row>
    <row r="1197" spans="1:51">
      <c r="A1197" s="5" t="str">
        <v>BV</v>
      </c>
      <c r="B1197" s="5" t="str">
        <f ca="1"/>
        <v>BV-</v>
      </c>
      <c r="C1197" s="8" t="str">
        <v>Pedido 1184</v>
      </c>
      <c r="D1197" s="9">
        <v>45731</v>
      </c>
      <c r="E1197" s="9" t="str">
        <v>-</v>
      </c>
      <c r="F1197" s="8" t="str">
        <v>-</v>
      </c>
      <c r="G1197" s="2" t="str">
        <v>-</v>
      </c>
      <c r="H1197" s="5">
        <v>1</v>
      </c>
      <c r="I1197" s="2" t="str">
        <v>CPF 1153</v>
      </c>
      <c r="J1197" s="2" t="str">
        <v>Nome 1153</v>
      </c>
      <c r="K1197" s="8" t="str">
        <v>Tel 1153</v>
      </c>
      <c r="L1197" s="8" t="str">
        <v>Cep 1153</v>
      </c>
      <c r="M1197" s="8" t="str">
        <v>Rua 1153</v>
      </c>
      <c r="N1197" s="8" t="str">
        <v>Comp 1153</v>
      </c>
      <c r="O1197" s="8" t="str">
        <v>Ventilador Umidificador Preto</v>
      </c>
      <c r="P1197" s="8" t="str">
        <v>HF-SI0F-XC7S</v>
      </c>
      <c r="Q1197" s="4">
        <v>45751</v>
      </c>
      <c r="R1197" s="109">
        <v>44.9</v>
      </c>
      <c r="S1197" s="11">
        <f ca="1"/>
        <v>0</v>
      </c>
      <c r="T1197" s="28">
        <f ca="1"/>
        <v>0</v>
      </c>
      <c r="U1197" s="11">
        <f ca="1"/>
        <v>0</v>
      </c>
      <c r="V1197" s="11">
        <v>0</v>
      </c>
      <c r="W1197" s="11">
        <f ca="1"/>
        <v>0</v>
      </c>
      <c r="X1197" s="11">
        <f ca="1"/>
        <v>0</v>
      </c>
      <c r="Y1197" s="11">
        <v>0</v>
      </c>
      <c r="Z1197" s="11">
        <f ca="1"/>
        <v>0</v>
      </c>
      <c r="AA1197" s="11">
        <f ca="1"/>
        <v>0</v>
      </c>
      <c r="AB1197" s="4">
        <f ca="1"/>
        <v>45758</v>
      </c>
      <c r="AC1197" s="4">
        <v>45758</v>
      </c>
      <c r="AD1197" s="9">
        <v>45762</v>
      </c>
      <c r="AE1197" s="9">
        <v>45763</v>
      </c>
      <c r="AF1197" s="4" t="str">
        <f t="shared" ca="1" si="80"/>
        <v>2025 04</v>
      </c>
      <c r="AG1197" s="8" t="str" cm="1">
        <f t="array" ref="AG1197">IFERROR(_xlfn.IFS('Banco de Dados'!#REF!="AG. COMPRA","Em processamento",'Banco de Dados'!#REF!="AG. RASTREIO","Em processamento",'Banco de Dados'!$AE1197&lt;&gt;"-","Faturado",'Banco de Dados'!$AD1197&lt;&gt;"-","Aguardando Pix",'Banco de Dados'!$AC1197&lt;&gt;"-","Pendente"),"Aguardando Liberação")</f>
        <v>Aguardando Liberação</v>
      </c>
      <c r="AH1197" s="5" t="str">
        <f ca="1">IF('Banco de Dados'!$F1197="-",_xlfn.CONCAT(PROPER(TEXT(AK1197,"aaaa"))," ",PROPER(TEXT(AK1197,"mm"))),_xlfn.CONCAT(PROPER(TEXT(E1197,"aaaa"))," ",PROPER(TEXT(E1197,"mm"))))</f>
        <v>2025 03</v>
      </c>
      <c r="AI1197" s="9" t="str">
        <f ca="1">IF('Banco de Dados'!$AK1197&lt;&gt;"-","REEMBOLSO",IFERROR(_xlfn.XLOOKUP(G1197,Follow[CODRASTREIO],Follow[STATUS]),"-"))</f>
        <v>REEMBOLSO</v>
      </c>
      <c r="AJ1197" s="9" t="str">
        <f ca="1">IF('Banco de Dados'!$AI1197="ENTREGUE",_xlfn.XLOOKUP('Banco de Dados'!$G1197,Follow[CODRASTREIO],Follow[DATAATUALIZAÇÃO]),"-")</f>
        <v>-</v>
      </c>
      <c r="AK1197" s="132">
        <f ca="1"/>
        <v>45741</v>
      </c>
      <c r="AL1197" s="35"/>
      <c r="AM1197" s="109" cm="1">
        <f t="array" aca="1" ref="AM1197" ca="1">IF('Banco de Dados'!$AK1197&lt;&gt;"-",_xlfn.IFS('Banco de Dados'!$A1197="bv",IF('Banco de Dados'!$E1197&lt;45641,ROUND(SUM('Banco de Dados'!$R1197*_xlfn.XLOOKUP('Banco de Dados'!$P1197,Sku!B:B,Sku!#REF!)*20%),2),ROUND(SUM('Banco de Dados'!$R1197*_xlfn.XLOOKUP('Banco de Dados'!$P1197,Sku!B:B,Sku!H:H)*20%),2)),'Banco de Dados'!$A1197="GO",ROUND(_xlfn.XLOOKUP('Banco de Dados'!$P1197,Sku!C:C,Sku!H:H),2),'Banco de Dados'!$A1197="MEI",ROUND(_xlfn.XLOOKUP('Banco de Dados'!$P1197,Sku!D:D,Sku!H:H),2)),0)</f>
        <v>1.26</v>
      </c>
      <c r="AN1197" s="109">
        <f ca="1">IF('Banco de Dados'!$AK1197&lt;&gt;"-",IF('Banco de Dados'!$F1197&lt;&gt;"-",_xlfn.XLOOKUP(IFERROR(IFERROR(IFERROR(VALUE(SUBSTITUTE(MID(_xlfn.TEXTAFTER('Banco de Dados'!$F1197,"Data do Pedido:
",1),1,10),"-","/")),VALUE(SUBSTITUTE(MID(_xlfn.TEXTAFTER('Banco de Dados'!$F1197,"Order date:
",1),1,10),"-","/"))),VALUE(SUBSTITUTE(MID(_xlfn.TEXTAFTER('Banco de Dados'!$F1197,"Fecha de pedido:
",1),1,10),"-","/"))),"-"),SMS!A:A,SMS!K:K),0),0)</f>
        <v>0</v>
      </c>
      <c r="AO1197" s="109">
        <f ca="1">IF('Banco de Dados'!$AK1197&lt;&gt;"-",IF('Banco de Dados'!$F1197&lt;&gt;"-",IFERROR(_xlfn.XLOOKUP(_xlfn.CONCAT('Banco de Dados'!$A1197,IFERROR(IFERROR(VALUE(SUBSTITUTE(MID(_xlfn.TEXTAFTER('Banco de Dados'!$F1197,"Data do Pedido:
",1),1,10),"-","/")),VALUE(SUBSTITUTE(MID(_xlfn.TEXTAFTER('Banco de Dados'!$F1197,"Order date:
",1),1,10),"-","/"))),0)),ProxyDD[Chave],ProxyDD[Valor por pedido]),PROXY!$P$2),0),0)</f>
        <v>0</v>
      </c>
      <c r="AP1197" s="28">
        <f ca="1">IF('Banco de Dados'!$AK1197&lt;&gt;"-",IF('Banco de Dados'!$AL1197="NÃO",IFERROR(VALUE(SUBSTITUTE(_xlfn.TEXTAFTER('Banco de Dados'!$F1197,"BRL ",1),".",",")),0),0),0)</f>
        <v>0</v>
      </c>
      <c r="AQ1197" s="28">
        <f ca="1">SUM('Banco de Dados'!$AM1197:$AP1197)</f>
        <v>1.26</v>
      </c>
      <c r="AR1197" s="8"/>
      <c r="AY1197" s="8"/>
    </row>
    <row r="1198" spans="1:51">
      <c r="A1198" s="5" t="str">
        <v>BV</v>
      </c>
      <c r="B1198" s="5" t="str">
        <f ca="1"/>
        <v>BV-</v>
      </c>
      <c r="C1198" s="8" t="str">
        <v>Pedido 1185</v>
      </c>
      <c r="D1198" s="9">
        <v>45731</v>
      </c>
      <c r="E1198" s="9" t="str">
        <v>-</v>
      </c>
      <c r="F1198" s="8" t="str">
        <v>-</v>
      </c>
      <c r="G1198" s="2" t="str">
        <v>-</v>
      </c>
      <c r="H1198" s="5">
        <v>1</v>
      </c>
      <c r="I1198" s="2" t="str">
        <v>CPF 1154</v>
      </c>
      <c r="J1198" s="2" t="str">
        <v>Nome 1154</v>
      </c>
      <c r="K1198" s="8" t="str">
        <v>Tel 1154</v>
      </c>
      <c r="L1198" s="8" t="str">
        <v>Cep 1154</v>
      </c>
      <c r="M1198" s="8" t="str">
        <v>Rua 1154</v>
      </c>
      <c r="N1198" s="8" t="str">
        <v>Comp 1154</v>
      </c>
      <c r="O1198" s="8" t="str">
        <v>Ventilador Umidificador Preto</v>
      </c>
      <c r="P1198" s="8" t="str">
        <v>HF-SI0F-XC7S</v>
      </c>
      <c r="Q1198" s="4">
        <v>45751</v>
      </c>
      <c r="R1198" s="109">
        <v>44.9</v>
      </c>
      <c r="S1198" s="11">
        <f ca="1"/>
        <v>0</v>
      </c>
      <c r="T1198" s="28">
        <f ca="1"/>
        <v>0</v>
      </c>
      <c r="U1198" s="11">
        <f ca="1"/>
        <v>0</v>
      </c>
      <c r="V1198" s="11">
        <v>0</v>
      </c>
      <c r="W1198" s="11">
        <f ca="1"/>
        <v>0</v>
      </c>
      <c r="X1198" s="11">
        <f ca="1"/>
        <v>0</v>
      </c>
      <c r="Y1198" s="11">
        <v>0</v>
      </c>
      <c r="Z1198" s="11">
        <f ca="1"/>
        <v>0</v>
      </c>
      <c r="AA1198" s="11">
        <f ca="1"/>
        <v>0</v>
      </c>
      <c r="AB1198" s="4">
        <f ca="1"/>
        <v>45758</v>
      </c>
      <c r="AC1198" s="4">
        <v>45758</v>
      </c>
      <c r="AD1198" s="9">
        <v>45762</v>
      </c>
      <c r="AE1198" s="9">
        <v>45763</v>
      </c>
      <c r="AF1198" s="4" t="str">
        <f t="shared" ca="1" si="80"/>
        <v>2025 04</v>
      </c>
      <c r="AG1198" s="8" t="str" cm="1">
        <f t="array" ref="AG1198">IFERROR(_xlfn.IFS('Banco de Dados'!#REF!="AG. COMPRA","Em processamento",'Banco de Dados'!#REF!="AG. RASTREIO","Em processamento",'Banco de Dados'!$AE1198&lt;&gt;"-","Faturado",'Banco de Dados'!$AD1198&lt;&gt;"-","Aguardando Pix",'Banco de Dados'!$AC1198&lt;&gt;"-","Pendente"),"Aguardando Liberação")</f>
        <v>Aguardando Liberação</v>
      </c>
      <c r="AH1198" s="5" t="str">
        <f ca="1">IF('Banco de Dados'!$F1198="-",_xlfn.CONCAT(PROPER(TEXT(AK1198,"aaaa"))," ",PROPER(TEXT(AK1198,"mm"))),_xlfn.CONCAT(PROPER(TEXT(E1198,"aaaa"))," ",PROPER(TEXT(E1198,"mm"))))</f>
        <v>2025 03</v>
      </c>
      <c r="AI1198" s="9" t="str">
        <f ca="1">IF('Banco de Dados'!$AK1198&lt;&gt;"-","REEMBOLSO",IFERROR(_xlfn.XLOOKUP(G1198,Follow[CODRASTREIO],Follow[STATUS]),"-"))</f>
        <v>REEMBOLSO</v>
      </c>
      <c r="AJ1198" s="9" t="str">
        <f ca="1">IF('Banco de Dados'!$AI1198="ENTREGUE",_xlfn.XLOOKUP('Banco de Dados'!$G1198,Follow[CODRASTREIO],Follow[DATAATUALIZAÇÃO]),"-")</f>
        <v>-</v>
      </c>
      <c r="AK1198" s="132">
        <f ca="1"/>
        <v>45741</v>
      </c>
      <c r="AL1198" s="35"/>
      <c r="AM1198" s="109" cm="1">
        <f t="array" aca="1" ref="AM1198" ca="1">IF('Banco de Dados'!$AK1198&lt;&gt;"-",_xlfn.IFS('Banco de Dados'!$A1198="bv",IF('Banco de Dados'!$E1198&lt;45641,ROUND(SUM('Banco de Dados'!$R1198*_xlfn.XLOOKUP('Banco de Dados'!$P1198,Sku!B:B,Sku!#REF!)*20%),2),ROUND(SUM('Banco de Dados'!$R1198*_xlfn.XLOOKUP('Banco de Dados'!$P1198,Sku!B:B,Sku!H:H)*20%),2)),'Banco de Dados'!$A1198="GO",ROUND(_xlfn.XLOOKUP('Banco de Dados'!$P1198,Sku!C:C,Sku!H:H),2),'Banco de Dados'!$A1198="MEI",ROUND(_xlfn.XLOOKUP('Banco de Dados'!$P1198,Sku!D:D,Sku!H:H),2)),0)</f>
        <v>1.26</v>
      </c>
      <c r="AN1198" s="109">
        <f ca="1">IF('Banco de Dados'!$AK1198&lt;&gt;"-",IF('Banco de Dados'!$F1198&lt;&gt;"-",_xlfn.XLOOKUP(IFERROR(IFERROR(IFERROR(VALUE(SUBSTITUTE(MID(_xlfn.TEXTAFTER('Banco de Dados'!$F1198,"Data do Pedido:
",1),1,10),"-","/")),VALUE(SUBSTITUTE(MID(_xlfn.TEXTAFTER('Banco de Dados'!$F1198,"Order date:
",1),1,10),"-","/"))),VALUE(SUBSTITUTE(MID(_xlfn.TEXTAFTER('Banco de Dados'!$F1198,"Fecha de pedido:
",1),1,10),"-","/"))),"-"),SMS!A:A,SMS!K:K),0),0)</f>
        <v>0</v>
      </c>
      <c r="AO1198" s="109">
        <f ca="1">IF('Banco de Dados'!$AK1198&lt;&gt;"-",IF('Banco de Dados'!$F1198&lt;&gt;"-",IFERROR(_xlfn.XLOOKUP(_xlfn.CONCAT('Banco de Dados'!$A1198,IFERROR(IFERROR(VALUE(SUBSTITUTE(MID(_xlfn.TEXTAFTER('Banco de Dados'!$F1198,"Data do Pedido:
",1),1,10),"-","/")),VALUE(SUBSTITUTE(MID(_xlfn.TEXTAFTER('Banco de Dados'!$F1198,"Order date:
",1),1,10),"-","/"))),0)),ProxyDD[Chave],ProxyDD[Valor por pedido]),PROXY!$P$2),0),0)</f>
        <v>0</v>
      </c>
      <c r="AP1198" s="28">
        <f ca="1">IF('Banco de Dados'!$AK1198&lt;&gt;"-",IF('Banco de Dados'!$AL1198="NÃO",IFERROR(VALUE(SUBSTITUTE(_xlfn.TEXTAFTER('Banco de Dados'!$F1198,"BRL ",1),".",",")),0),0),0)</f>
        <v>0</v>
      </c>
      <c r="AQ1198" s="28">
        <f ca="1">SUM('Banco de Dados'!$AM1198:$AP1198)</f>
        <v>1.26</v>
      </c>
      <c r="AR1198" s="8"/>
      <c r="AY1198" s="8"/>
    </row>
    <row r="1199" spans="1:51">
      <c r="A1199" s="5" t="str">
        <v>BV</v>
      </c>
      <c r="B1199" s="5" t="str">
        <f ca="1"/>
        <v>BV45732</v>
      </c>
      <c r="C1199" s="8" t="str">
        <v>Pedido 1186</v>
      </c>
      <c r="D1199" s="9">
        <v>45731</v>
      </c>
      <c r="E1199" s="9">
        <v>45732</v>
      </c>
      <c r="F1199" s="8" t="str">
        <v>PedidoF1157</v>
      </c>
      <c r="G1199" s="2" t="str">
        <v>CódRastreio1155</v>
      </c>
      <c r="H1199" s="5">
        <v>1</v>
      </c>
      <c r="I1199" s="2" t="str">
        <v>CPF 1155</v>
      </c>
      <c r="J1199" s="2" t="str">
        <v>Nome 1155</v>
      </c>
      <c r="K1199" s="8" t="str">
        <v>Tel 1155</v>
      </c>
      <c r="L1199" s="8" t="str">
        <v>Cep 1155</v>
      </c>
      <c r="M1199" s="8" t="str">
        <v>Rua 1155</v>
      </c>
      <c r="N1199" s="8" t="str">
        <v>Comp 1155</v>
      </c>
      <c r="O1199" s="8" t="str">
        <v>Ventilador Azul</v>
      </c>
      <c r="P1199" s="8" t="str">
        <v>U8-2VWS-OB6M</v>
      </c>
      <c r="Q1199" s="4">
        <v>45757</v>
      </c>
      <c r="R1199" s="109">
        <v>50.45</v>
      </c>
      <c r="S1199" s="11">
        <f ca="1"/>
        <v>50.45</v>
      </c>
      <c r="T1199" s="28">
        <f ca="1"/>
        <v>6.5585000000000004</v>
      </c>
      <c r="U1199" s="11">
        <f ca="1"/>
        <v>43.89</v>
      </c>
      <c r="V1199" s="11">
        <v>13.7</v>
      </c>
      <c r="W1199" s="11">
        <f ca="1"/>
        <v>0.82</v>
      </c>
      <c r="X1199" s="11">
        <f ca="1"/>
        <v>0.39877104377104378</v>
      </c>
      <c r="Y1199" s="11">
        <v>0</v>
      </c>
      <c r="Z1199" s="11">
        <f ca="1"/>
        <v>28.971228956228956</v>
      </c>
      <c r="AA1199" s="11">
        <f ca="1"/>
        <v>14.485614478114478</v>
      </c>
      <c r="AB1199" s="4">
        <f ca="1"/>
        <v>45764</v>
      </c>
      <c r="AC1199" s="4">
        <v>45764</v>
      </c>
      <c r="AD1199" s="9">
        <v>45779</v>
      </c>
      <c r="AE1199" s="9">
        <v>45783</v>
      </c>
      <c r="AF1199" s="4" t="str">
        <f t="shared" ca="1" si="80"/>
        <v>2025 04</v>
      </c>
      <c r="AG1199" s="8" t="str" cm="1">
        <f t="array" ref="AG1199">IFERROR(_xlfn.IFS('Banco de Dados'!#REF!="AG. COMPRA","Em processamento",'Banco de Dados'!#REF!="AG. RASTREIO","Em processamento",'Banco de Dados'!$AE1199&lt;&gt;"-","Faturado",'Banco de Dados'!$AD1199&lt;&gt;"-","Aguardando Pix",'Banco de Dados'!$AC1199&lt;&gt;"-","Pendente"),"Aguardando Liberação")</f>
        <v>Aguardando Liberação</v>
      </c>
      <c r="AH1199" s="5" t="str">
        <f>IF('Banco de Dados'!$F1199="-",_xlfn.CONCAT(PROPER(TEXT(AK1199,"aaaa"))," ",PROPER(TEXT(AK1199,"mm"))),_xlfn.CONCAT(PROPER(TEXT(E1199,"aaaa"))," ",PROPER(TEXT(E1199,"mm"))))</f>
        <v>2025 03</v>
      </c>
      <c r="AI1199" s="9" t="str">
        <f ca="1">IF('Banco de Dados'!$AK1199&lt;&gt;"-","REEMBOLSO",IFERROR(_xlfn.XLOOKUP(G1199,Follow[CODRASTREIO],Follow[STATUS]),"-"))</f>
        <v>ENTREGUE</v>
      </c>
      <c r="AJ1199" s="9">
        <f ca="1">IF('Banco de Dados'!$AI1199="ENTREGUE",_xlfn.XLOOKUP('Banco de Dados'!$G1199,Follow[CODRASTREIO],Follow[DATAATUALIZAÇÃO]),"-")</f>
        <v>45755</v>
      </c>
      <c r="AK1199" s="132" t="str">
        <f ca="1"/>
        <v>-</v>
      </c>
      <c r="AL1199" s="35"/>
      <c r="AM1199" s="109" cm="1">
        <f t="array" aca="1" ref="AM1199" ca="1">IF('Banco de Dados'!$AK1199&lt;&gt;"-",_xlfn.IFS('Banco de Dados'!$A1199="bv",IF('Banco de Dados'!$E1199&lt;45641,ROUND(SUM('Banco de Dados'!$R1199*_xlfn.XLOOKUP('Banco de Dados'!$P1199,Sku!B:B,Sku!#REF!)*20%),2),ROUND(SUM('Banco de Dados'!$R1199*_xlfn.XLOOKUP('Banco de Dados'!$P1199,Sku!B:B,Sku!H:H)*20%),2)),'Banco de Dados'!$A1199="GO",ROUND(_xlfn.XLOOKUP('Banco de Dados'!$P1199,Sku!C:C,Sku!H:H),2),'Banco de Dados'!$A1199="MEI",ROUND(_xlfn.XLOOKUP('Banco de Dados'!$P1199,Sku!D:D,Sku!H:H),2)),0)</f>
        <v>0</v>
      </c>
      <c r="AN1199" s="109">
        <f ca="1">IF('Banco de Dados'!$AK1199&lt;&gt;"-",IF('Banco de Dados'!$F1199&lt;&gt;"-",_xlfn.XLOOKUP(IFERROR(IFERROR(IFERROR(VALUE(SUBSTITUTE(MID(_xlfn.TEXTAFTER('Banco de Dados'!$F1199,"Data do Pedido:
",1),1,10),"-","/")),VALUE(SUBSTITUTE(MID(_xlfn.TEXTAFTER('Banco de Dados'!$F1199,"Order date:
",1),1,10),"-","/"))),VALUE(SUBSTITUTE(MID(_xlfn.TEXTAFTER('Banco de Dados'!$F1199,"Fecha de pedido:
",1),1,10),"-","/"))),"-"),SMS!A:A,SMS!K:K),0),0)</f>
        <v>0</v>
      </c>
      <c r="AO1199" s="109">
        <f ca="1">IF('Banco de Dados'!$AK1199&lt;&gt;"-",IF('Banco de Dados'!$F1199&lt;&gt;"-",IFERROR(_xlfn.XLOOKUP(_xlfn.CONCAT('Banco de Dados'!$A1199,IFERROR(IFERROR(VALUE(SUBSTITUTE(MID(_xlfn.TEXTAFTER('Banco de Dados'!$F1199,"Data do Pedido:
",1),1,10),"-","/")),VALUE(SUBSTITUTE(MID(_xlfn.TEXTAFTER('Banco de Dados'!$F1199,"Order date:
",1),1,10),"-","/"))),0)),ProxyDD[Chave],ProxyDD[Valor por pedido]),PROXY!$P$2),0),0)</f>
        <v>0</v>
      </c>
      <c r="AP1199" s="28">
        <f ca="1">IF('Banco de Dados'!$AK1199&lt;&gt;"-",IF('Banco de Dados'!$AL1199="NÃO",IFERROR(VALUE(SUBSTITUTE(_xlfn.TEXTAFTER('Banco de Dados'!$F1199,"BRL ",1),".",",")),0),0),0)</f>
        <v>0</v>
      </c>
      <c r="AQ1199" s="28">
        <f ca="1">SUM('Banco de Dados'!$AM1199:$AP1199)</f>
        <v>0</v>
      </c>
      <c r="AR1199" s="8"/>
      <c r="AY1199" s="8"/>
    </row>
    <row r="1200" spans="1:51">
      <c r="A1200" s="5" t="str">
        <v>BV</v>
      </c>
      <c r="B1200" s="5" t="str">
        <f ca="1"/>
        <v>BV-</v>
      </c>
      <c r="C1200" s="8" t="str">
        <v>Pedido 1187</v>
      </c>
      <c r="D1200" s="9">
        <v>45731</v>
      </c>
      <c r="E1200" s="9" t="str">
        <v>-</v>
      </c>
      <c r="F1200" s="8" t="str">
        <v>-</v>
      </c>
      <c r="G1200" s="2" t="str">
        <v>-</v>
      </c>
      <c r="H1200" s="5">
        <v>1</v>
      </c>
      <c r="I1200" s="2" t="str">
        <v>CPF 1156</v>
      </c>
      <c r="J1200" s="2" t="str">
        <v>Nome 1156</v>
      </c>
      <c r="K1200" s="8" t="str">
        <v>Tel 1156</v>
      </c>
      <c r="L1200" s="8" t="str">
        <v>Cep 1156</v>
      </c>
      <c r="M1200" s="8" t="str">
        <v>Rua 1156</v>
      </c>
      <c r="N1200" s="8" t="str">
        <v>Comp 1156</v>
      </c>
      <c r="O1200" s="8" t="str">
        <v>Suporte de Celular Branco</v>
      </c>
      <c r="P1200" s="8" t="str">
        <v>16-4EDB-WMZF</v>
      </c>
      <c r="Q1200" s="4">
        <v>45751</v>
      </c>
      <c r="R1200" s="109">
        <v>19.989999999999998</v>
      </c>
      <c r="S1200" s="11">
        <f ca="1"/>
        <v>0</v>
      </c>
      <c r="T1200" s="28">
        <f ca="1"/>
        <v>0</v>
      </c>
      <c r="U1200" s="11">
        <f ca="1"/>
        <v>0</v>
      </c>
      <c r="V1200" s="11">
        <v>0</v>
      </c>
      <c r="W1200" s="11">
        <f ca="1"/>
        <v>0</v>
      </c>
      <c r="X1200" s="11">
        <f ca="1"/>
        <v>0</v>
      </c>
      <c r="Y1200" s="11">
        <v>0</v>
      </c>
      <c r="Z1200" s="11">
        <f ca="1"/>
        <v>0</v>
      </c>
      <c r="AA1200" s="11">
        <f ca="1"/>
        <v>0</v>
      </c>
      <c r="AB1200" s="4">
        <f ca="1"/>
        <v>45758</v>
      </c>
      <c r="AC1200" s="4">
        <v>45758</v>
      </c>
      <c r="AD1200" s="9">
        <v>45762</v>
      </c>
      <c r="AE1200" s="9">
        <v>45763</v>
      </c>
      <c r="AF1200" s="4" t="str">
        <f t="shared" ca="1" si="80"/>
        <v>2025 04</v>
      </c>
      <c r="AG1200" s="8" t="str" cm="1">
        <f t="array" ref="AG1200">IFERROR(_xlfn.IFS('Banco de Dados'!#REF!="AG. COMPRA","Em processamento",'Banco de Dados'!#REF!="AG. RASTREIO","Em processamento",'Banco de Dados'!$AE1200&lt;&gt;"-","Faturado",'Banco de Dados'!$AD1200&lt;&gt;"-","Aguardando Pix",'Banco de Dados'!$AC1200&lt;&gt;"-","Pendente"),"Aguardando Liberação")</f>
        <v>Aguardando Liberação</v>
      </c>
      <c r="AH1200" s="5" t="str">
        <f ca="1">IF('Banco de Dados'!$F1200="-",_xlfn.CONCAT(PROPER(TEXT(AK1200,"aaaa"))," ",PROPER(TEXT(AK1200,"mm"))),_xlfn.CONCAT(PROPER(TEXT(E1200,"aaaa"))," ",PROPER(TEXT(E1200,"mm"))))</f>
        <v>2025 03</v>
      </c>
      <c r="AI1200" s="9" t="str">
        <f ca="1">IF('Banco de Dados'!$AK1200&lt;&gt;"-","REEMBOLSO",IFERROR(_xlfn.XLOOKUP(G1200,Follow[CODRASTREIO],Follow[STATUS]),"-"))</f>
        <v>REEMBOLSO</v>
      </c>
      <c r="AJ1200" s="9" t="str">
        <f ca="1">IF('Banco de Dados'!$AI1200="ENTREGUE",_xlfn.XLOOKUP('Banco de Dados'!$G1200,Follow[CODRASTREIO],Follow[DATAATUALIZAÇÃO]),"-")</f>
        <v>-</v>
      </c>
      <c r="AK1200" s="132">
        <f ca="1"/>
        <v>45742</v>
      </c>
      <c r="AL1200" s="35"/>
      <c r="AM1200" s="109" cm="1">
        <f t="array" aca="1" ref="AM1200" ca="1">IF('Banco de Dados'!$AK1200&lt;&gt;"-",_xlfn.IFS('Banco de Dados'!$A1200="bv",IF('Banco de Dados'!$E1200&lt;45641,ROUND(SUM('Banco de Dados'!$R1200*_xlfn.XLOOKUP('Banco de Dados'!$P1200,Sku!B:B,Sku!#REF!)*20%),2),ROUND(SUM('Banco de Dados'!$R1200*_xlfn.XLOOKUP('Banco de Dados'!$P1200,Sku!B:B,Sku!H:H)*20%),2)),'Banco de Dados'!$A1200="GO",ROUND(_xlfn.XLOOKUP('Banco de Dados'!$P1200,Sku!C:C,Sku!H:H),2),'Banco de Dados'!$A1200="MEI",ROUND(_xlfn.XLOOKUP('Banco de Dados'!$P1200,Sku!D:D,Sku!H:H),2)),0)</f>
        <v>0.6</v>
      </c>
      <c r="AN1200" s="109">
        <f ca="1">IF('Banco de Dados'!$AK1200&lt;&gt;"-",IF('Banco de Dados'!$F1200&lt;&gt;"-",_xlfn.XLOOKUP(IFERROR(IFERROR(IFERROR(VALUE(SUBSTITUTE(MID(_xlfn.TEXTAFTER('Banco de Dados'!$F1200,"Data do Pedido:
",1),1,10),"-","/")),VALUE(SUBSTITUTE(MID(_xlfn.TEXTAFTER('Banco de Dados'!$F1200,"Order date:
",1),1,10),"-","/"))),VALUE(SUBSTITUTE(MID(_xlfn.TEXTAFTER('Banco de Dados'!$F1200,"Fecha de pedido:
",1),1,10),"-","/"))),"-"),SMS!A:A,SMS!K:K),0),0)</f>
        <v>0</v>
      </c>
      <c r="AO1200" s="109">
        <f ca="1">IF('Banco de Dados'!$AK1200&lt;&gt;"-",IF('Banco de Dados'!$F1200&lt;&gt;"-",IFERROR(_xlfn.XLOOKUP(_xlfn.CONCAT('Banco de Dados'!$A1200,IFERROR(IFERROR(VALUE(SUBSTITUTE(MID(_xlfn.TEXTAFTER('Banco de Dados'!$F1200,"Data do Pedido:
",1),1,10),"-","/")),VALUE(SUBSTITUTE(MID(_xlfn.TEXTAFTER('Banco de Dados'!$F1200,"Order date:
",1),1,10),"-","/"))),0)),ProxyDD[Chave],ProxyDD[Valor por pedido]),PROXY!$P$2),0),0)</f>
        <v>0</v>
      </c>
      <c r="AP1200" s="28">
        <f ca="1">IF('Banco de Dados'!$AK1200&lt;&gt;"-",IF('Banco de Dados'!$AL1200="NÃO",IFERROR(VALUE(SUBSTITUTE(_xlfn.TEXTAFTER('Banco de Dados'!$F1200,"BRL ",1),".",",")),0),0),0)</f>
        <v>0</v>
      </c>
      <c r="AQ1200" s="28">
        <f ca="1">SUM('Banco de Dados'!$AM1200:$AP1200)</f>
        <v>0.6</v>
      </c>
      <c r="AR1200" s="8"/>
      <c r="AY1200" s="8"/>
    </row>
    <row r="1201" spans="1:51">
      <c r="A1201" s="5" t="str">
        <v>BV</v>
      </c>
      <c r="B1201" s="5" t="str">
        <f ca="1"/>
        <v>BV-</v>
      </c>
      <c r="C1201" s="8" t="str">
        <v>Pedido 1188</v>
      </c>
      <c r="D1201" s="9">
        <v>45731</v>
      </c>
      <c r="E1201" s="9" t="str">
        <v>-</v>
      </c>
      <c r="F1201" s="8" t="str">
        <v>-</v>
      </c>
      <c r="G1201" s="2" t="str">
        <v>-</v>
      </c>
      <c r="H1201" s="5">
        <v>1</v>
      </c>
      <c r="I1201" s="2" t="str">
        <v>CPF 1157</v>
      </c>
      <c r="J1201" s="2" t="str">
        <v>Nome 1157</v>
      </c>
      <c r="K1201" s="8" t="str">
        <v>Tel 1157</v>
      </c>
      <c r="L1201" s="8" t="str">
        <v>Cep 1157</v>
      </c>
      <c r="M1201" s="8" t="str">
        <v>Rua 1157</v>
      </c>
      <c r="N1201" s="8" t="str">
        <v>Comp 1157</v>
      </c>
      <c r="O1201" s="8" t="str">
        <v>Ventilador Umidificador Preto</v>
      </c>
      <c r="P1201" s="8" t="str">
        <v>HF-SI0F-XC7S</v>
      </c>
      <c r="Q1201" s="4">
        <v>45751</v>
      </c>
      <c r="R1201" s="109">
        <v>44.9</v>
      </c>
      <c r="S1201" s="11">
        <f ca="1"/>
        <v>0</v>
      </c>
      <c r="T1201" s="28">
        <f ca="1"/>
        <v>0</v>
      </c>
      <c r="U1201" s="11">
        <f ca="1"/>
        <v>0</v>
      </c>
      <c r="V1201" s="11">
        <v>0</v>
      </c>
      <c r="W1201" s="11">
        <f ca="1"/>
        <v>0</v>
      </c>
      <c r="X1201" s="11">
        <f ca="1"/>
        <v>0</v>
      </c>
      <c r="Y1201" s="11">
        <v>0</v>
      </c>
      <c r="Z1201" s="11">
        <f ca="1"/>
        <v>0</v>
      </c>
      <c r="AA1201" s="11">
        <f ca="1"/>
        <v>0</v>
      </c>
      <c r="AB1201" s="4">
        <f ca="1"/>
        <v>45758</v>
      </c>
      <c r="AC1201" s="4">
        <v>45758</v>
      </c>
      <c r="AD1201" s="9">
        <v>45762</v>
      </c>
      <c r="AE1201" s="9">
        <v>45763</v>
      </c>
      <c r="AF1201" s="4" t="str">
        <f t="shared" ca="1" si="80"/>
        <v>2025 04</v>
      </c>
      <c r="AG1201" s="8" t="str" cm="1">
        <f t="array" ref="AG1201">IFERROR(_xlfn.IFS('Banco de Dados'!#REF!="AG. COMPRA","Em processamento",'Banco de Dados'!#REF!="AG. RASTREIO","Em processamento",'Banco de Dados'!$AE1201&lt;&gt;"-","Faturado",'Banco de Dados'!$AD1201&lt;&gt;"-","Aguardando Pix",'Banco de Dados'!$AC1201&lt;&gt;"-","Pendente"),"Aguardando Liberação")</f>
        <v>Aguardando Liberação</v>
      </c>
      <c r="AH1201" s="5" t="str">
        <f ca="1">IF('Banco de Dados'!$F1201="-",_xlfn.CONCAT(PROPER(TEXT(AK1201,"aaaa"))," ",PROPER(TEXT(AK1201,"mm"))),_xlfn.CONCAT(PROPER(TEXT(E1201,"aaaa"))," ",PROPER(TEXT(E1201,"mm"))))</f>
        <v>2025 03</v>
      </c>
      <c r="AI1201" s="9" t="str">
        <f ca="1">IF('Banco de Dados'!$AK1201&lt;&gt;"-","REEMBOLSO",IFERROR(_xlfn.XLOOKUP(G1201,Follow[CODRASTREIO],Follow[STATUS]),"-"))</f>
        <v>REEMBOLSO</v>
      </c>
      <c r="AJ1201" s="9" t="str">
        <f ca="1">IF('Banco de Dados'!$AI1201="ENTREGUE",_xlfn.XLOOKUP('Banco de Dados'!$G1201,Follow[CODRASTREIO],Follow[DATAATUALIZAÇÃO]),"-")</f>
        <v>-</v>
      </c>
      <c r="AK1201" s="132">
        <f ca="1"/>
        <v>45742</v>
      </c>
      <c r="AL1201" s="35"/>
      <c r="AM1201" s="109" cm="1">
        <f t="array" aca="1" ref="AM1201" ca="1">IF('Banco de Dados'!$AK1201&lt;&gt;"-",_xlfn.IFS('Banco de Dados'!$A1201="bv",IF('Banco de Dados'!$E1201&lt;45641,ROUND(SUM('Banco de Dados'!$R1201*_xlfn.XLOOKUP('Banco de Dados'!$P1201,Sku!B:B,Sku!#REF!)*20%),2),ROUND(SUM('Banco de Dados'!$R1201*_xlfn.XLOOKUP('Banco de Dados'!$P1201,Sku!B:B,Sku!H:H)*20%),2)),'Banco de Dados'!$A1201="GO",ROUND(_xlfn.XLOOKUP('Banco de Dados'!$P1201,Sku!C:C,Sku!H:H),2),'Banco de Dados'!$A1201="MEI",ROUND(_xlfn.XLOOKUP('Banco de Dados'!$P1201,Sku!D:D,Sku!H:H),2)),0)</f>
        <v>1.26</v>
      </c>
      <c r="AN1201" s="109">
        <f ca="1">IF('Banco de Dados'!$AK1201&lt;&gt;"-",IF('Banco de Dados'!$F1201&lt;&gt;"-",_xlfn.XLOOKUP(IFERROR(IFERROR(IFERROR(VALUE(SUBSTITUTE(MID(_xlfn.TEXTAFTER('Banco de Dados'!$F1201,"Data do Pedido:
",1),1,10),"-","/")),VALUE(SUBSTITUTE(MID(_xlfn.TEXTAFTER('Banco de Dados'!$F1201,"Order date:
",1),1,10),"-","/"))),VALUE(SUBSTITUTE(MID(_xlfn.TEXTAFTER('Banco de Dados'!$F1201,"Fecha de pedido:
",1),1,10),"-","/"))),"-"),SMS!A:A,SMS!K:K),0),0)</f>
        <v>0</v>
      </c>
      <c r="AO1201" s="109">
        <f ca="1">IF('Banco de Dados'!$AK1201&lt;&gt;"-",IF('Banco de Dados'!$F1201&lt;&gt;"-",IFERROR(_xlfn.XLOOKUP(_xlfn.CONCAT('Banco de Dados'!$A1201,IFERROR(IFERROR(VALUE(SUBSTITUTE(MID(_xlfn.TEXTAFTER('Banco de Dados'!$F1201,"Data do Pedido:
",1),1,10),"-","/")),VALUE(SUBSTITUTE(MID(_xlfn.TEXTAFTER('Banco de Dados'!$F1201,"Order date:
",1),1,10),"-","/"))),0)),ProxyDD[Chave],ProxyDD[Valor por pedido]),PROXY!$P$2),0),0)</f>
        <v>0</v>
      </c>
      <c r="AP1201" s="28">
        <f ca="1">IF('Banco de Dados'!$AK1201&lt;&gt;"-",IF('Banco de Dados'!$AL1201="NÃO",IFERROR(VALUE(SUBSTITUTE(_xlfn.TEXTAFTER('Banco de Dados'!$F1201,"BRL ",1),".",",")),0),0),0)</f>
        <v>0</v>
      </c>
      <c r="AQ1201" s="28">
        <f ca="1">SUM('Banco de Dados'!$AM1201:$AP1201)</f>
        <v>1.26</v>
      </c>
      <c r="AR1201" s="8"/>
      <c r="AY1201" s="8"/>
    </row>
    <row r="1202" spans="1:51">
      <c r="A1202" s="5" t="str">
        <v>BV</v>
      </c>
      <c r="B1202" s="5" t="str">
        <f ca="1"/>
        <v>BV45677</v>
      </c>
      <c r="C1202" s="8" t="str">
        <v>Pedido 1189</v>
      </c>
      <c r="D1202" s="9">
        <v>45731</v>
      </c>
      <c r="E1202" s="9">
        <v>45677</v>
      </c>
      <c r="F1202" s="8" t="str">
        <v>PedidoF1158</v>
      </c>
      <c r="G1202" s="2" t="str">
        <v>CódRastreio1156</v>
      </c>
      <c r="H1202" s="5">
        <v>1</v>
      </c>
      <c r="I1202" s="2" t="str">
        <v>CPF 1158</v>
      </c>
      <c r="J1202" s="2" t="str">
        <v>Nome 1158</v>
      </c>
      <c r="K1202" s="8" t="str">
        <v>Tel 1158</v>
      </c>
      <c r="L1202" s="8" t="str">
        <v>Cep 1158</v>
      </c>
      <c r="M1202" s="8" t="str">
        <v>Rua 1158</v>
      </c>
      <c r="N1202" s="8" t="str">
        <v>Comp 1158</v>
      </c>
      <c r="O1202" s="8" t="str">
        <v>Suporte de Celular Branco</v>
      </c>
      <c r="P1202" s="8" t="str">
        <v>16-4EDB-WMZF</v>
      </c>
      <c r="Q1202" s="4">
        <v>45751</v>
      </c>
      <c r="R1202" s="109">
        <v>19.989999999999998</v>
      </c>
      <c r="S1202" s="11">
        <f ca="1"/>
        <v>19.989999999999998</v>
      </c>
      <c r="T1202" s="28">
        <f ca="1"/>
        <v>2.9984999999999995</v>
      </c>
      <c r="U1202" s="11">
        <f ca="1"/>
        <v>16.989999999999998</v>
      </c>
      <c r="V1202" s="11">
        <v>13.59</v>
      </c>
      <c r="W1202" s="11">
        <f ca="1"/>
        <v>0.19</v>
      </c>
      <c r="X1202" s="11">
        <f ca="1"/>
        <v>0.39877104377104378</v>
      </c>
      <c r="Y1202" s="11">
        <v>0</v>
      </c>
      <c r="Z1202" s="11">
        <f ca="1"/>
        <v>2.8112289562289554</v>
      </c>
      <c r="AA1202" s="11">
        <f ca="1"/>
        <v>1.4056144781144777</v>
      </c>
      <c r="AB1202" s="4">
        <f ca="1"/>
        <v>45758</v>
      </c>
      <c r="AC1202" s="4">
        <v>45758</v>
      </c>
      <c r="AD1202" s="9">
        <v>45762</v>
      </c>
      <c r="AE1202" s="9">
        <v>45763</v>
      </c>
      <c r="AF1202" s="4" t="str">
        <f t="shared" ca="1" si="80"/>
        <v>2025 04</v>
      </c>
      <c r="AG1202" s="8" t="str" cm="1">
        <f t="array" ref="AG1202">IFERROR(_xlfn.IFS('Banco de Dados'!#REF!="AG. COMPRA","Em processamento",'Banco de Dados'!#REF!="AG. RASTREIO","Em processamento",'Banco de Dados'!$AE1202&lt;&gt;"-","Faturado",'Banco de Dados'!$AD1202&lt;&gt;"-","Aguardando Pix",'Banco de Dados'!$AC1202&lt;&gt;"-","Pendente"),"Aguardando Liberação")</f>
        <v>Aguardando Liberação</v>
      </c>
      <c r="AH1202" s="5" t="str">
        <f>IF('Banco de Dados'!$F1202="-",_xlfn.CONCAT(PROPER(TEXT(AK1202,"aaaa"))," ",PROPER(TEXT(AK1202,"mm"))),_xlfn.CONCAT(PROPER(TEXT(E1202,"aaaa"))," ",PROPER(TEXT(E1202,"mm"))))</f>
        <v>2025 01</v>
      </c>
      <c r="AI1202" s="9" t="str">
        <f ca="1">IF('Banco de Dados'!$AK1202&lt;&gt;"-","REEMBOLSO",IFERROR(_xlfn.XLOOKUP(G1202,Follow[CODRASTREIO],Follow[STATUS]),"-"))</f>
        <v>ENTREGUE</v>
      </c>
      <c r="AJ1202" s="9">
        <f ca="1">IF('Banco de Dados'!$AI1202="ENTREGUE",_xlfn.XLOOKUP('Banco de Dados'!$G1202,Follow[CODRASTREIO],Follow[DATAATUALIZAÇÃO]),"-")</f>
        <v>45752</v>
      </c>
      <c r="AK1202" s="132" t="str">
        <f ca="1"/>
        <v>-</v>
      </c>
      <c r="AL1202" s="35"/>
      <c r="AM1202" s="109" cm="1">
        <f t="array" aca="1" ref="AM1202" ca="1">IF('Banco de Dados'!$AK1202&lt;&gt;"-",_xlfn.IFS('Banco de Dados'!$A1202="bv",IF('Banco de Dados'!$E1202&lt;45641,ROUND(SUM('Banco de Dados'!$R1202*_xlfn.XLOOKUP('Banco de Dados'!$P1202,Sku!B:B,Sku!#REF!)*20%),2),ROUND(SUM('Banco de Dados'!$R1202*_xlfn.XLOOKUP('Banco de Dados'!$P1202,Sku!B:B,Sku!H:H)*20%),2)),'Banco de Dados'!$A1202="GO",ROUND(_xlfn.XLOOKUP('Banco de Dados'!$P1202,Sku!C:C,Sku!H:H),2),'Banco de Dados'!$A1202="MEI",ROUND(_xlfn.XLOOKUP('Banco de Dados'!$P1202,Sku!D:D,Sku!H:H),2)),0)</f>
        <v>0</v>
      </c>
      <c r="AN1202" s="109">
        <f ca="1">IF('Banco de Dados'!$AK1202&lt;&gt;"-",IF('Banco de Dados'!$F1202&lt;&gt;"-",_xlfn.XLOOKUP(IFERROR(IFERROR(IFERROR(VALUE(SUBSTITUTE(MID(_xlfn.TEXTAFTER('Banco de Dados'!$F1202,"Data do Pedido:
",1),1,10),"-","/")),VALUE(SUBSTITUTE(MID(_xlfn.TEXTAFTER('Banco de Dados'!$F1202,"Order date:
",1),1,10),"-","/"))),VALUE(SUBSTITUTE(MID(_xlfn.TEXTAFTER('Banco de Dados'!$F1202,"Fecha de pedido:
",1),1,10),"-","/"))),"-"),SMS!A:A,SMS!K:K),0),0)</f>
        <v>0</v>
      </c>
      <c r="AO1202" s="109">
        <f ca="1">IF('Banco de Dados'!$AK1202&lt;&gt;"-",IF('Banco de Dados'!$F1202&lt;&gt;"-",IFERROR(_xlfn.XLOOKUP(_xlfn.CONCAT('Banco de Dados'!$A1202,IFERROR(IFERROR(VALUE(SUBSTITUTE(MID(_xlfn.TEXTAFTER('Banco de Dados'!$F1202,"Data do Pedido:
",1),1,10),"-","/")),VALUE(SUBSTITUTE(MID(_xlfn.TEXTAFTER('Banco de Dados'!$F1202,"Order date:
",1),1,10),"-","/"))),0)),ProxyDD[Chave],ProxyDD[Valor por pedido]),PROXY!$P$2),0),0)</f>
        <v>0</v>
      </c>
      <c r="AP1202" s="28">
        <f ca="1">IF('Banco de Dados'!$AK1202&lt;&gt;"-",IF('Banco de Dados'!$AL1202="NÃO",IFERROR(VALUE(SUBSTITUTE(_xlfn.TEXTAFTER('Banco de Dados'!$F1202,"BRL ",1),".",",")),0),0),0)</f>
        <v>0</v>
      </c>
      <c r="AQ1202" s="28">
        <f ca="1">SUM('Banco de Dados'!$AM1202:$AP1202)</f>
        <v>0</v>
      </c>
      <c r="AR1202" s="8"/>
      <c r="AY1202" s="8"/>
    </row>
    <row r="1203" spans="1:51">
      <c r="A1203" s="5" t="str">
        <v>BV</v>
      </c>
      <c r="B1203" s="5" t="str">
        <f ca="1"/>
        <v>BV45677</v>
      </c>
      <c r="C1203" s="8" t="str">
        <v>Pedido 1190</v>
      </c>
      <c r="D1203" s="9">
        <v>45731</v>
      </c>
      <c r="E1203" s="9">
        <v>45677</v>
      </c>
      <c r="F1203" s="8" t="str">
        <v>PedidoF1159</v>
      </c>
      <c r="G1203" s="2" t="str">
        <v>CódRastreio1157</v>
      </c>
      <c r="H1203" s="5">
        <v>1</v>
      </c>
      <c r="I1203" s="2" t="str">
        <v>CPF 1159</v>
      </c>
      <c r="J1203" s="2" t="str">
        <v>Nome 1159</v>
      </c>
      <c r="K1203" s="8" t="str">
        <v>Tel 1159</v>
      </c>
      <c r="L1203" s="8" t="str">
        <v>Cep 1159</v>
      </c>
      <c r="M1203" s="8" t="str">
        <v>Rua 1159</v>
      </c>
      <c r="N1203" s="8" t="str">
        <v>Comp 1159</v>
      </c>
      <c r="O1203" s="8" t="str">
        <v>Suporte de Celular Branco</v>
      </c>
      <c r="P1203" s="8" t="str">
        <v>16-4EDB-WMZF</v>
      </c>
      <c r="Q1203" s="4">
        <v>45751</v>
      </c>
      <c r="R1203" s="109">
        <v>19.989999999999998</v>
      </c>
      <c r="S1203" s="11">
        <f ca="1"/>
        <v>19.989999999999998</v>
      </c>
      <c r="T1203" s="28">
        <f ca="1"/>
        <v>2.9984999999999995</v>
      </c>
      <c r="U1203" s="11">
        <f ca="1"/>
        <v>16.989999999999998</v>
      </c>
      <c r="V1203" s="11">
        <v>13.59</v>
      </c>
      <c r="W1203" s="11">
        <f ca="1"/>
        <v>0.19</v>
      </c>
      <c r="X1203" s="11">
        <f ca="1"/>
        <v>0.39877104377104378</v>
      </c>
      <c r="Y1203" s="11">
        <v>0</v>
      </c>
      <c r="Z1203" s="11">
        <f ca="1"/>
        <v>2.8112289562289554</v>
      </c>
      <c r="AA1203" s="11">
        <f ca="1"/>
        <v>1.4056144781144777</v>
      </c>
      <c r="AB1203" s="4">
        <f ca="1"/>
        <v>45758</v>
      </c>
      <c r="AC1203" s="4">
        <v>45758</v>
      </c>
      <c r="AD1203" s="9">
        <v>45762</v>
      </c>
      <c r="AE1203" s="9">
        <v>45763</v>
      </c>
      <c r="AF1203" s="4" t="str">
        <f t="shared" ca="1" si="80"/>
        <v>2025 04</v>
      </c>
      <c r="AG1203" s="8" t="str" cm="1">
        <f t="array" ref="AG1203">IFERROR(_xlfn.IFS('Banco de Dados'!#REF!="AG. COMPRA","Em processamento",'Banco de Dados'!#REF!="AG. RASTREIO","Em processamento",'Banco de Dados'!$AE1203&lt;&gt;"-","Faturado",'Banco de Dados'!$AD1203&lt;&gt;"-","Aguardando Pix",'Banco de Dados'!$AC1203&lt;&gt;"-","Pendente"),"Aguardando Liberação")</f>
        <v>Aguardando Liberação</v>
      </c>
      <c r="AH1203" s="5" t="str">
        <f>IF('Banco de Dados'!$F1203="-",_xlfn.CONCAT(PROPER(TEXT(AK1203,"aaaa"))," ",PROPER(TEXT(AK1203,"mm"))),_xlfn.CONCAT(PROPER(TEXT(E1203,"aaaa"))," ",PROPER(TEXT(E1203,"mm"))))</f>
        <v>2025 01</v>
      </c>
      <c r="AI1203" s="9" t="str">
        <f ca="1">IF('Banco de Dados'!$AK1203&lt;&gt;"-","REEMBOLSO",IFERROR(_xlfn.XLOOKUP(G1203,Follow[CODRASTREIO],Follow[STATUS]),"-"))</f>
        <v>ENTREGUE</v>
      </c>
      <c r="AJ1203" s="9">
        <f ca="1">IF('Banco de Dados'!$AI1203="ENTREGUE",_xlfn.XLOOKUP('Banco de Dados'!$G1203,Follow[CODRASTREIO],Follow[DATAATUALIZAÇÃO]),"-")</f>
        <v>45756</v>
      </c>
      <c r="AK1203" s="132" t="str">
        <f ca="1"/>
        <v>-</v>
      </c>
      <c r="AL1203" s="35"/>
      <c r="AM1203" s="109" cm="1">
        <f t="array" aca="1" ref="AM1203" ca="1">IF('Banco de Dados'!$AK1203&lt;&gt;"-",_xlfn.IFS('Banco de Dados'!$A1203="bv",IF('Banco de Dados'!$E1203&lt;45641,ROUND(SUM('Banco de Dados'!$R1203*_xlfn.XLOOKUP('Banco de Dados'!$P1203,Sku!B:B,Sku!#REF!)*20%),2),ROUND(SUM('Banco de Dados'!$R1203*_xlfn.XLOOKUP('Banco de Dados'!$P1203,Sku!B:B,Sku!H:H)*20%),2)),'Banco de Dados'!$A1203="GO",ROUND(_xlfn.XLOOKUP('Banco de Dados'!$P1203,Sku!C:C,Sku!H:H),2),'Banco de Dados'!$A1203="MEI",ROUND(_xlfn.XLOOKUP('Banco de Dados'!$P1203,Sku!D:D,Sku!H:H),2)),0)</f>
        <v>0</v>
      </c>
      <c r="AN1203" s="109">
        <f ca="1">IF('Banco de Dados'!$AK1203&lt;&gt;"-",IF('Banco de Dados'!$F1203&lt;&gt;"-",_xlfn.XLOOKUP(IFERROR(IFERROR(IFERROR(VALUE(SUBSTITUTE(MID(_xlfn.TEXTAFTER('Banco de Dados'!$F1203,"Data do Pedido:
",1),1,10),"-","/")),VALUE(SUBSTITUTE(MID(_xlfn.TEXTAFTER('Banco de Dados'!$F1203,"Order date:
",1),1,10),"-","/"))),VALUE(SUBSTITUTE(MID(_xlfn.TEXTAFTER('Banco de Dados'!$F1203,"Fecha de pedido:
",1),1,10),"-","/"))),"-"),SMS!A:A,SMS!K:K),0),0)</f>
        <v>0</v>
      </c>
      <c r="AO1203" s="109">
        <f ca="1">IF('Banco de Dados'!$AK1203&lt;&gt;"-",IF('Banco de Dados'!$F1203&lt;&gt;"-",IFERROR(_xlfn.XLOOKUP(_xlfn.CONCAT('Banco de Dados'!$A1203,IFERROR(IFERROR(VALUE(SUBSTITUTE(MID(_xlfn.TEXTAFTER('Banco de Dados'!$F1203,"Data do Pedido:
",1),1,10),"-","/")),VALUE(SUBSTITUTE(MID(_xlfn.TEXTAFTER('Banco de Dados'!$F1203,"Order date:
",1),1,10),"-","/"))),0)),ProxyDD[Chave],ProxyDD[Valor por pedido]),PROXY!$P$2),0),0)</f>
        <v>0</v>
      </c>
      <c r="AP1203" s="28">
        <f ca="1">IF('Banco de Dados'!$AK1203&lt;&gt;"-",IF('Banco de Dados'!$AL1203="NÃO",IFERROR(VALUE(SUBSTITUTE(_xlfn.TEXTAFTER('Banco de Dados'!$F1203,"BRL ",1),".",",")),0),0),0)</f>
        <v>0</v>
      </c>
      <c r="AQ1203" s="28">
        <f ca="1">SUM('Banco de Dados'!$AM1203:$AP1203)</f>
        <v>0</v>
      </c>
      <c r="AR1203" s="8"/>
      <c r="AY1203" s="8"/>
    </row>
    <row r="1204" spans="1:51">
      <c r="A1204" s="5" t="str">
        <v>BV</v>
      </c>
      <c r="B1204" s="5" t="str">
        <f ca="1"/>
        <v>BV45732</v>
      </c>
      <c r="C1204" s="8" t="str">
        <v>Pedido 1191</v>
      </c>
      <c r="D1204" s="9">
        <v>45731</v>
      </c>
      <c r="E1204" s="9">
        <v>45732</v>
      </c>
      <c r="F1204" s="8" t="str">
        <v>PedidoF1160</v>
      </c>
      <c r="G1204" s="2" t="str">
        <v>CódRastreio1158</v>
      </c>
      <c r="H1204" s="5">
        <v>1</v>
      </c>
      <c r="I1204" s="2" t="str">
        <v>CPF 1160</v>
      </c>
      <c r="J1204" s="2" t="str">
        <v>Nome 1160</v>
      </c>
      <c r="K1204" s="8" t="str">
        <v>Tel 1160</v>
      </c>
      <c r="L1204" s="8" t="str">
        <v>Cep 1160</v>
      </c>
      <c r="M1204" s="8" t="str">
        <v>Rua 1160</v>
      </c>
      <c r="N1204" s="8" t="str">
        <v>Comp 1160</v>
      </c>
      <c r="O1204" s="8" t="str">
        <v>Ventilador Rosa</v>
      </c>
      <c r="P1204" s="8" t="str">
        <v>IF-G2ZQ-79FO</v>
      </c>
      <c r="Q1204" s="4">
        <v>45751</v>
      </c>
      <c r="R1204" s="109">
        <v>59.9</v>
      </c>
      <c r="S1204" s="11">
        <f ca="1"/>
        <v>59.9</v>
      </c>
      <c r="T1204" s="28">
        <f ca="1"/>
        <v>7.7869999999999999</v>
      </c>
      <c r="U1204" s="11">
        <f ca="1"/>
        <v>52.11</v>
      </c>
      <c r="V1204" s="11">
        <v>13.98</v>
      </c>
      <c r="W1204" s="11">
        <f ca="1"/>
        <v>0.82</v>
      </c>
      <c r="X1204" s="11">
        <f ca="1"/>
        <v>0.39877104377104378</v>
      </c>
      <c r="Y1204" s="11">
        <v>0</v>
      </c>
      <c r="Z1204" s="11">
        <f ca="1"/>
        <v>36.911228956228953</v>
      </c>
      <c r="AA1204" s="11">
        <f ca="1"/>
        <v>18.455614478114477</v>
      </c>
      <c r="AB1204" s="4">
        <f ca="1"/>
        <v>45758</v>
      </c>
      <c r="AC1204" s="4">
        <v>45758</v>
      </c>
      <c r="AD1204" s="9">
        <v>45762</v>
      </c>
      <c r="AE1204" s="9">
        <v>45763</v>
      </c>
      <c r="AF1204" s="4" t="str">
        <f t="shared" ca="1" si="80"/>
        <v>2025 04</v>
      </c>
      <c r="AG1204" s="8" t="str" cm="1">
        <f t="array" ref="AG1204">IFERROR(_xlfn.IFS('Banco de Dados'!#REF!="AG. COMPRA","Em processamento",'Banco de Dados'!#REF!="AG. RASTREIO","Em processamento",'Banco de Dados'!$AE1204&lt;&gt;"-","Faturado",'Banco de Dados'!$AD1204&lt;&gt;"-","Aguardando Pix",'Banco de Dados'!$AC1204&lt;&gt;"-","Pendente"),"Aguardando Liberação")</f>
        <v>Aguardando Liberação</v>
      </c>
      <c r="AH1204" s="5" t="str">
        <f>IF('Banco de Dados'!$F1204="-",_xlfn.CONCAT(PROPER(TEXT(AK1204,"aaaa"))," ",PROPER(TEXT(AK1204,"mm"))),_xlfn.CONCAT(PROPER(TEXT(E1204,"aaaa"))," ",PROPER(TEXT(E1204,"mm"))))</f>
        <v>2025 03</v>
      </c>
      <c r="AI1204" s="9" t="str">
        <f ca="1">IF('Banco de Dados'!$AK1204&lt;&gt;"-","REEMBOLSO",IFERROR(_xlfn.XLOOKUP(G1204,Follow[CODRASTREIO],Follow[STATUS]),"-"))</f>
        <v>ENTREGUE</v>
      </c>
      <c r="AJ1204" s="9">
        <f ca="1">IF('Banco de Dados'!$AI1204="ENTREGUE",_xlfn.XLOOKUP('Banco de Dados'!$G1204,Follow[CODRASTREIO],Follow[DATAATUALIZAÇÃO]),"-")</f>
        <v>45751</v>
      </c>
      <c r="AK1204" s="132" t="str">
        <f ca="1"/>
        <v>-</v>
      </c>
      <c r="AL1204" s="35"/>
      <c r="AM1204" s="109" cm="1">
        <f t="array" aca="1" ref="AM1204" ca="1">IF('Banco de Dados'!$AK1204&lt;&gt;"-",_xlfn.IFS('Banco de Dados'!$A1204="bv",IF('Banco de Dados'!$E1204&lt;45641,ROUND(SUM('Banco de Dados'!$R1204*_xlfn.XLOOKUP('Banco de Dados'!$P1204,Sku!B:B,Sku!#REF!)*20%),2),ROUND(SUM('Banco de Dados'!$R1204*_xlfn.XLOOKUP('Banco de Dados'!$P1204,Sku!B:B,Sku!H:H)*20%),2)),'Banco de Dados'!$A1204="GO",ROUND(_xlfn.XLOOKUP('Banco de Dados'!$P1204,Sku!C:C,Sku!H:H),2),'Banco de Dados'!$A1204="MEI",ROUND(_xlfn.XLOOKUP('Banco de Dados'!$P1204,Sku!D:D,Sku!H:H),2)),0)</f>
        <v>0</v>
      </c>
      <c r="AN1204" s="109">
        <f ca="1">IF('Banco de Dados'!$AK1204&lt;&gt;"-",IF('Banco de Dados'!$F1204&lt;&gt;"-",_xlfn.XLOOKUP(IFERROR(IFERROR(IFERROR(VALUE(SUBSTITUTE(MID(_xlfn.TEXTAFTER('Banco de Dados'!$F1204,"Data do Pedido:
",1),1,10),"-","/")),VALUE(SUBSTITUTE(MID(_xlfn.TEXTAFTER('Banco de Dados'!$F1204,"Order date:
",1),1,10),"-","/"))),VALUE(SUBSTITUTE(MID(_xlfn.TEXTAFTER('Banco de Dados'!$F1204,"Fecha de pedido:
",1),1,10),"-","/"))),"-"),SMS!A:A,SMS!K:K),0),0)</f>
        <v>0</v>
      </c>
      <c r="AO1204" s="109">
        <f ca="1">IF('Banco de Dados'!$AK1204&lt;&gt;"-",IF('Banco de Dados'!$F1204&lt;&gt;"-",IFERROR(_xlfn.XLOOKUP(_xlfn.CONCAT('Banco de Dados'!$A1204,IFERROR(IFERROR(VALUE(SUBSTITUTE(MID(_xlfn.TEXTAFTER('Banco de Dados'!$F1204,"Data do Pedido:
",1),1,10),"-","/")),VALUE(SUBSTITUTE(MID(_xlfn.TEXTAFTER('Banco de Dados'!$F1204,"Order date:
",1),1,10),"-","/"))),0)),ProxyDD[Chave],ProxyDD[Valor por pedido]),PROXY!$P$2),0),0)</f>
        <v>0</v>
      </c>
      <c r="AP1204" s="28">
        <f ca="1">IF('Banco de Dados'!$AK1204&lt;&gt;"-",IF('Banco de Dados'!$AL1204="NÃO",IFERROR(VALUE(SUBSTITUTE(_xlfn.TEXTAFTER('Banco de Dados'!$F1204,"BRL ",1),".",",")),0),0),0)</f>
        <v>0</v>
      </c>
      <c r="AQ1204" s="28">
        <f ca="1">SUM('Banco de Dados'!$AM1204:$AP1204)</f>
        <v>0</v>
      </c>
      <c r="AR1204" s="8"/>
      <c r="AY1204" s="8"/>
    </row>
    <row r="1205" spans="1:51">
      <c r="A1205" s="5" t="str">
        <v>BV</v>
      </c>
      <c r="B1205" s="5" t="str">
        <f ca="1"/>
        <v>BV45732</v>
      </c>
      <c r="C1205" s="8" t="str">
        <v>Pedido 1192</v>
      </c>
      <c r="D1205" s="9">
        <v>45731</v>
      </c>
      <c r="E1205" s="9">
        <v>45732</v>
      </c>
      <c r="F1205" s="8" t="str">
        <v>PedidoF1161</v>
      </c>
      <c r="G1205" s="2" t="str">
        <v>CódRastreio1159</v>
      </c>
      <c r="H1205" s="5">
        <v>1</v>
      </c>
      <c r="I1205" s="2" t="str">
        <v>CPF 1161</v>
      </c>
      <c r="J1205" s="2" t="str">
        <v>Nome 1161</v>
      </c>
      <c r="K1205" s="8" t="str">
        <v>Tel 1161</v>
      </c>
      <c r="L1205" s="184" t="str">
        <v>Cep 1161</v>
      </c>
      <c r="M1205" s="8" t="str">
        <v>Rua 1161</v>
      </c>
      <c r="N1205" s="8" t="str">
        <v>Comp 1161</v>
      </c>
      <c r="O1205" s="8" t="str">
        <v>Ventilador Azul</v>
      </c>
      <c r="P1205" s="8" t="str">
        <v>U8-2VWS-OB6M</v>
      </c>
      <c r="Q1205" s="4">
        <v>45751</v>
      </c>
      <c r="R1205" s="109">
        <v>50.45</v>
      </c>
      <c r="S1205" s="11">
        <f ca="1"/>
        <v>50.45</v>
      </c>
      <c r="T1205" s="28">
        <f ca="1"/>
        <v>6.5585000000000004</v>
      </c>
      <c r="U1205" s="11">
        <f ca="1"/>
        <v>43.89</v>
      </c>
      <c r="V1205" s="11">
        <v>13.7</v>
      </c>
      <c r="W1205" s="11">
        <f ca="1"/>
        <v>0.82</v>
      </c>
      <c r="X1205" s="11">
        <f ca="1"/>
        <v>0.39877104377104378</v>
      </c>
      <c r="Y1205" s="11">
        <v>0</v>
      </c>
      <c r="Z1205" s="11">
        <f ca="1"/>
        <v>28.971228956228956</v>
      </c>
      <c r="AA1205" s="11">
        <f ca="1"/>
        <v>14.485614478114478</v>
      </c>
      <c r="AB1205" s="4">
        <f ca="1"/>
        <v>45758</v>
      </c>
      <c r="AC1205" s="4">
        <v>45758</v>
      </c>
      <c r="AD1205" s="9">
        <v>45762</v>
      </c>
      <c r="AE1205" s="9">
        <v>45763</v>
      </c>
      <c r="AF1205" s="4" t="str">
        <f t="shared" ca="1" si="80"/>
        <v>2025 04</v>
      </c>
      <c r="AG1205" s="8" t="str" cm="1">
        <f t="array" ref="AG1205">IFERROR(_xlfn.IFS('Banco de Dados'!#REF!="AG. COMPRA","Em processamento",'Banco de Dados'!#REF!="AG. RASTREIO","Em processamento",'Banco de Dados'!$AE1205&lt;&gt;"-","Faturado",'Banco de Dados'!$AD1205&lt;&gt;"-","Aguardando Pix",'Banco de Dados'!$AC1205&lt;&gt;"-","Pendente"),"Aguardando Liberação")</f>
        <v>Aguardando Liberação</v>
      </c>
      <c r="AH1205" s="5" t="str">
        <f>IF('Banco de Dados'!$F1205="-",_xlfn.CONCAT(PROPER(TEXT(AK1205,"aaaa"))," ",PROPER(TEXT(AK1205,"mm"))),_xlfn.CONCAT(PROPER(TEXT(E1205,"aaaa"))," ",PROPER(TEXT(E1205,"mm"))))</f>
        <v>2025 03</v>
      </c>
      <c r="AI1205" s="9" t="str">
        <f ca="1">IF('Banco de Dados'!$AK1205&lt;&gt;"-","REEMBOLSO",IFERROR(_xlfn.XLOOKUP(G1205,Follow[CODRASTREIO],Follow[STATUS]),"-"))</f>
        <v>ENTREGUE</v>
      </c>
      <c r="AJ1205" s="9">
        <f ca="1">IF('Banco de Dados'!$AI1205="ENTREGUE",_xlfn.XLOOKUP('Banco de Dados'!$G1205,Follow[CODRASTREIO],Follow[DATAATUALIZAÇÃO]),"-")</f>
        <v>45750</v>
      </c>
      <c r="AK1205" s="132" t="str">
        <f ca="1"/>
        <v>-</v>
      </c>
      <c r="AL1205" s="35"/>
      <c r="AM1205" s="109" cm="1">
        <f t="array" aca="1" ref="AM1205" ca="1">IF('Banco de Dados'!$AK1205&lt;&gt;"-",_xlfn.IFS('Banco de Dados'!$A1205="bv",IF('Banco de Dados'!$E1205&lt;45641,ROUND(SUM('Banco de Dados'!$R1205*_xlfn.XLOOKUP('Banco de Dados'!$P1205,Sku!B:B,Sku!#REF!)*20%),2),ROUND(SUM('Banco de Dados'!$R1205*_xlfn.XLOOKUP('Banco de Dados'!$P1205,Sku!B:B,Sku!H:H)*20%),2)),'Banco de Dados'!$A1205="GO",ROUND(_xlfn.XLOOKUP('Banco de Dados'!$P1205,Sku!C:C,Sku!H:H),2),'Banco de Dados'!$A1205="MEI",ROUND(_xlfn.XLOOKUP('Banco de Dados'!$P1205,Sku!D:D,Sku!H:H),2)),0)</f>
        <v>0</v>
      </c>
      <c r="AN1205" s="109">
        <f ca="1">IF('Banco de Dados'!$AK1205&lt;&gt;"-",IF('Banco de Dados'!$F1205&lt;&gt;"-",_xlfn.XLOOKUP(IFERROR(IFERROR(IFERROR(VALUE(SUBSTITUTE(MID(_xlfn.TEXTAFTER('Banco de Dados'!$F1205,"Data do Pedido:
",1),1,10),"-","/")),VALUE(SUBSTITUTE(MID(_xlfn.TEXTAFTER('Banco de Dados'!$F1205,"Order date:
",1),1,10),"-","/"))),VALUE(SUBSTITUTE(MID(_xlfn.TEXTAFTER('Banco de Dados'!$F1205,"Fecha de pedido:
",1),1,10),"-","/"))),"-"),SMS!A:A,SMS!K:K),0),0)</f>
        <v>0</v>
      </c>
      <c r="AO1205" s="109">
        <f ca="1">IF('Banco de Dados'!$AK1205&lt;&gt;"-",IF('Banco de Dados'!$F1205&lt;&gt;"-",IFERROR(_xlfn.XLOOKUP(_xlfn.CONCAT('Banco de Dados'!$A1205,IFERROR(IFERROR(VALUE(SUBSTITUTE(MID(_xlfn.TEXTAFTER('Banco de Dados'!$F1205,"Data do Pedido:
",1),1,10),"-","/")),VALUE(SUBSTITUTE(MID(_xlfn.TEXTAFTER('Banco de Dados'!$F1205,"Order date:
",1),1,10),"-","/"))),0)),ProxyDD[Chave],ProxyDD[Valor por pedido]),PROXY!$P$2),0),0)</f>
        <v>0</v>
      </c>
      <c r="AP1205" s="28">
        <f ca="1">IF('Banco de Dados'!$AK1205&lt;&gt;"-",IF('Banco de Dados'!$AL1205="NÃO",IFERROR(VALUE(SUBSTITUTE(_xlfn.TEXTAFTER('Banco de Dados'!$F1205,"BRL ",1),".",",")),0),0),0)</f>
        <v>0</v>
      </c>
      <c r="AQ1205" s="28">
        <f ca="1">SUM('Banco de Dados'!$AM1205:$AP1205)</f>
        <v>0</v>
      </c>
      <c r="AR1205" s="8"/>
      <c r="AY1205" s="8"/>
    </row>
    <row r="1206" spans="1:51">
      <c r="A1206" s="5" t="str">
        <v>BV</v>
      </c>
      <c r="B1206" s="5" t="str">
        <f ca="1"/>
        <v>BV45732</v>
      </c>
      <c r="C1206" s="8" t="str">
        <v>Pedido 1193</v>
      </c>
      <c r="D1206" s="9">
        <v>45731</v>
      </c>
      <c r="E1206" s="9">
        <v>45732</v>
      </c>
      <c r="F1206" s="8" t="str">
        <v>PedidoF1162</v>
      </c>
      <c r="G1206" s="2" t="str">
        <v>CódRastreio1160</v>
      </c>
      <c r="H1206" s="5">
        <v>1</v>
      </c>
      <c r="I1206" s="2" t="str">
        <v>CPF 1162</v>
      </c>
      <c r="J1206" s="2" t="str">
        <v>Nome 1162</v>
      </c>
      <c r="K1206" s="8" t="str">
        <v>Tel 1162</v>
      </c>
      <c r="L1206" s="8" t="str">
        <v>Cep 1162</v>
      </c>
      <c r="M1206" s="8" t="str">
        <v>Rua 1162</v>
      </c>
      <c r="N1206" s="8" t="str">
        <v>Comp 1162</v>
      </c>
      <c r="O1206" s="8" t="str">
        <v>Ventilador Rosa</v>
      </c>
      <c r="P1206" s="8" t="str">
        <v>IF-G2ZQ-79FO</v>
      </c>
      <c r="Q1206" s="4">
        <v>45751</v>
      </c>
      <c r="R1206" s="109">
        <v>59.9</v>
      </c>
      <c r="S1206" s="11">
        <f ca="1"/>
        <v>59.9</v>
      </c>
      <c r="T1206" s="28">
        <f ca="1"/>
        <v>7.7869999999999999</v>
      </c>
      <c r="U1206" s="11">
        <f ca="1"/>
        <v>52.11</v>
      </c>
      <c r="V1206" s="11">
        <v>13.98</v>
      </c>
      <c r="W1206" s="11">
        <f ca="1"/>
        <v>0.82</v>
      </c>
      <c r="X1206" s="11">
        <f ca="1"/>
        <v>0.39877104377104378</v>
      </c>
      <c r="Y1206" s="11">
        <v>0</v>
      </c>
      <c r="Z1206" s="11">
        <f ca="1"/>
        <v>36.911228956228953</v>
      </c>
      <c r="AA1206" s="11">
        <f ca="1"/>
        <v>18.455614478114477</v>
      </c>
      <c r="AB1206" s="4">
        <f ca="1"/>
        <v>45758</v>
      </c>
      <c r="AC1206" s="4">
        <v>45758</v>
      </c>
      <c r="AD1206" s="9">
        <v>45762</v>
      </c>
      <c r="AE1206" s="9">
        <v>45763</v>
      </c>
      <c r="AF1206" s="4" t="str">
        <f t="shared" ca="1" si="80"/>
        <v>2025 04</v>
      </c>
      <c r="AG1206" s="8" t="str" cm="1">
        <f t="array" ref="AG1206">IFERROR(_xlfn.IFS('Banco de Dados'!#REF!="AG. COMPRA","Em processamento",'Banco de Dados'!#REF!="AG. RASTREIO","Em processamento",'Banco de Dados'!$AE1206&lt;&gt;"-","Faturado",'Banco de Dados'!$AD1206&lt;&gt;"-","Aguardando Pix",'Banco de Dados'!$AC1206&lt;&gt;"-","Pendente"),"Aguardando Liberação")</f>
        <v>Aguardando Liberação</v>
      </c>
      <c r="AH1206" s="5" t="str">
        <f>IF('Banco de Dados'!$F1206="-",_xlfn.CONCAT(PROPER(TEXT(AK1206,"aaaa"))," ",PROPER(TEXT(AK1206,"mm"))),_xlfn.CONCAT(PROPER(TEXT(E1206,"aaaa"))," ",PROPER(TEXT(E1206,"mm"))))</f>
        <v>2025 03</v>
      </c>
      <c r="AI1206" s="9" t="str">
        <f ca="1">IF('Banco de Dados'!$AK1206&lt;&gt;"-","REEMBOLSO",IFERROR(_xlfn.XLOOKUP(G1206,Follow[CODRASTREIO],Follow[STATUS]),"-"))</f>
        <v>ENTREGUE</v>
      </c>
      <c r="AJ1206" s="9">
        <f ca="1">IF('Banco de Dados'!$AI1206="ENTREGUE",_xlfn.XLOOKUP('Banco de Dados'!$G1206,Follow[CODRASTREIO],Follow[DATAATUALIZAÇÃO]),"-")</f>
        <v>45750</v>
      </c>
      <c r="AK1206" s="132" t="str">
        <f ca="1"/>
        <v>-</v>
      </c>
      <c r="AL1206" s="35"/>
      <c r="AM1206" s="109" cm="1">
        <f t="array" aca="1" ref="AM1206" ca="1">IF('Banco de Dados'!$AK1206&lt;&gt;"-",_xlfn.IFS('Banco de Dados'!$A1206="bv",IF('Banco de Dados'!$E1206&lt;45641,ROUND(SUM('Banco de Dados'!$R1206*_xlfn.XLOOKUP('Banco de Dados'!$P1206,Sku!B:B,Sku!#REF!)*20%),2),ROUND(SUM('Banco de Dados'!$R1206*_xlfn.XLOOKUP('Banco de Dados'!$P1206,Sku!B:B,Sku!H:H)*20%),2)),'Banco de Dados'!$A1206="GO",ROUND(_xlfn.XLOOKUP('Banco de Dados'!$P1206,Sku!C:C,Sku!H:H),2),'Banco de Dados'!$A1206="MEI",ROUND(_xlfn.XLOOKUP('Banco de Dados'!$P1206,Sku!D:D,Sku!H:H),2)),0)</f>
        <v>0</v>
      </c>
      <c r="AN1206" s="109">
        <f ca="1">IF('Banco de Dados'!$AK1206&lt;&gt;"-",IF('Banco de Dados'!$F1206&lt;&gt;"-",_xlfn.XLOOKUP(IFERROR(IFERROR(IFERROR(VALUE(SUBSTITUTE(MID(_xlfn.TEXTAFTER('Banco de Dados'!$F1206,"Data do Pedido:
",1),1,10),"-","/")),VALUE(SUBSTITUTE(MID(_xlfn.TEXTAFTER('Banco de Dados'!$F1206,"Order date:
",1),1,10),"-","/"))),VALUE(SUBSTITUTE(MID(_xlfn.TEXTAFTER('Banco de Dados'!$F1206,"Fecha de pedido:
",1),1,10),"-","/"))),"-"),SMS!A:A,SMS!K:K),0),0)</f>
        <v>0</v>
      </c>
      <c r="AO1206" s="109">
        <f ca="1">IF('Banco de Dados'!$AK1206&lt;&gt;"-",IF('Banco de Dados'!$F1206&lt;&gt;"-",IFERROR(_xlfn.XLOOKUP(_xlfn.CONCAT('Banco de Dados'!$A1206,IFERROR(IFERROR(VALUE(SUBSTITUTE(MID(_xlfn.TEXTAFTER('Banco de Dados'!$F1206,"Data do Pedido:
",1),1,10),"-","/")),VALUE(SUBSTITUTE(MID(_xlfn.TEXTAFTER('Banco de Dados'!$F1206,"Order date:
",1),1,10),"-","/"))),0)),ProxyDD[Chave],ProxyDD[Valor por pedido]),PROXY!$P$2),0),0)</f>
        <v>0</v>
      </c>
      <c r="AP1206" s="28">
        <f ca="1">IF('Banco de Dados'!$AK1206&lt;&gt;"-",IF('Banco de Dados'!$AL1206="NÃO",IFERROR(VALUE(SUBSTITUTE(_xlfn.TEXTAFTER('Banco de Dados'!$F1206,"BRL ",1),".",",")),0),0),0)</f>
        <v>0</v>
      </c>
      <c r="AQ1206" s="28">
        <f ca="1">SUM('Banco de Dados'!$AM1206:$AP1206)</f>
        <v>0</v>
      </c>
      <c r="AR1206" s="8"/>
      <c r="AY1206" s="8"/>
    </row>
    <row r="1207" spans="1:51">
      <c r="A1207" s="5" t="str">
        <v>BV</v>
      </c>
      <c r="B1207" s="5" t="str">
        <f ca="1"/>
        <v>BV-</v>
      </c>
      <c r="C1207" s="8" t="str">
        <v>Pedido 1194</v>
      </c>
      <c r="D1207" s="9">
        <v>45731</v>
      </c>
      <c r="E1207" s="9" t="str">
        <v>-</v>
      </c>
      <c r="F1207" s="8" t="str">
        <v>-</v>
      </c>
      <c r="G1207" s="2" t="str">
        <v>-</v>
      </c>
      <c r="H1207" s="5">
        <v>1</v>
      </c>
      <c r="I1207" s="2" t="str">
        <v>CPF 1163</v>
      </c>
      <c r="J1207" s="2" t="str">
        <v>Nome 1163</v>
      </c>
      <c r="K1207" s="8" t="str">
        <v>Tel 1163</v>
      </c>
      <c r="L1207" s="8" t="str">
        <v>Cep 1163</v>
      </c>
      <c r="M1207" s="8" t="str">
        <v>Rua 1163</v>
      </c>
      <c r="N1207" s="8" t="str">
        <v>Comp 1163</v>
      </c>
      <c r="O1207" s="8" t="str">
        <v>Ventilador Umidificador Preto</v>
      </c>
      <c r="P1207" s="8" t="str">
        <v>HF-SI0F-XC7S</v>
      </c>
      <c r="Q1207" s="4">
        <v>45757</v>
      </c>
      <c r="R1207" s="109">
        <v>44.9</v>
      </c>
      <c r="S1207" s="11">
        <f ca="1"/>
        <v>0</v>
      </c>
      <c r="T1207" s="28">
        <f ca="1"/>
        <v>0</v>
      </c>
      <c r="U1207" s="11">
        <f ca="1"/>
        <v>0</v>
      </c>
      <c r="V1207" s="11">
        <v>0</v>
      </c>
      <c r="W1207" s="11">
        <f ca="1"/>
        <v>0</v>
      </c>
      <c r="X1207" s="11">
        <f ca="1"/>
        <v>0</v>
      </c>
      <c r="Y1207" s="11">
        <v>0</v>
      </c>
      <c r="Z1207" s="11">
        <f ca="1"/>
        <v>0</v>
      </c>
      <c r="AA1207" s="11">
        <f ca="1"/>
        <v>0</v>
      </c>
      <c r="AB1207" s="4">
        <f ca="1"/>
        <v>45764</v>
      </c>
      <c r="AC1207" s="4">
        <v>45764</v>
      </c>
      <c r="AD1207" s="9">
        <v>45779</v>
      </c>
      <c r="AE1207" s="9">
        <v>45783</v>
      </c>
      <c r="AF1207" s="4" t="str">
        <f t="shared" ca="1" si="80"/>
        <v>2025 04</v>
      </c>
      <c r="AG1207" s="8" t="str" cm="1">
        <f t="array" ref="AG1207">IFERROR(_xlfn.IFS('Banco de Dados'!#REF!="AG. COMPRA","Em processamento",'Banco de Dados'!#REF!="AG. RASTREIO","Em processamento",'Banco de Dados'!$AE1207&lt;&gt;"-","Faturado",'Banco de Dados'!$AD1207&lt;&gt;"-","Aguardando Pix",'Banco de Dados'!$AC1207&lt;&gt;"-","Pendente"),"Aguardando Liberação")</f>
        <v>Aguardando Liberação</v>
      </c>
      <c r="AH1207" s="5" t="str">
        <f ca="1">IF('Banco de Dados'!$F1207="-",_xlfn.CONCAT(PROPER(TEXT(AK1207,"aaaa"))," ",PROPER(TEXT(AK1207,"mm"))),_xlfn.CONCAT(PROPER(TEXT(E1207,"aaaa"))," ",PROPER(TEXT(E1207,"mm"))))</f>
        <v>2025 03</v>
      </c>
      <c r="AI1207" s="9" t="str">
        <f ca="1">IF('Banco de Dados'!$AK1207&lt;&gt;"-","REEMBOLSO",IFERROR(_xlfn.XLOOKUP(G1207,Follow[CODRASTREIO],Follow[STATUS]),"-"))</f>
        <v>REEMBOLSO</v>
      </c>
      <c r="AJ1207" s="9" t="str">
        <f ca="1">IF('Banco de Dados'!$AI1207="ENTREGUE",_xlfn.XLOOKUP('Banco de Dados'!$G1207,Follow[CODRASTREIO],Follow[DATAATUALIZAÇÃO]),"-")</f>
        <v>-</v>
      </c>
      <c r="AK1207" s="132">
        <f ca="1"/>
        <v>45742</v>
      </c>
      <c r="AL1207" s="35"/>
      <c r="AM1207" s="109" cm="1">
        <f t="array" aca="1" ref="AM1207" ca="1">IF('Banco de Dados'!$AK1207&lt;&gt;"-",_xlfn.IFS('Banco de Dados'!$A1207="bv",IF('Banco de Dados'!$E1207&lt;45641,ROUND(SUM('Banco de Dados'!$R1207*_xlfn.XLOOKUP('Banco de Dados'!$P1207,Sku!B:B,Sku!#REF!)*20%),2),ROUND(SUM('Banco de Dados'!$R1207*_xlfn.XLOOKUP('Banco de Dados'!$P1207,Sku!B:B,Sku!H:H)*20%),2)),'Banco de Dados'!$A1207="GO",ROUND(_xlfn.XLOOKUP('Banco de Dados'!$P1207,Sku!C:C,Sku!H:H),2),'Banco de Dados'!$A1207="MEI",ROUND(_xlfn.XLOOKUP('Banco de Dados'!$P1207,Sku!D:D,Sku!H:H),2)),0)</f>
        <v>1.26</v>
      </c>
      <c r="AN1207" s="109">
        <f ca="1">IF('Banco de Dados'!$AK1207&lt;&gt;"-",IF('Banco de Dados'!$F1207&lt;&gt;"-",_xlfn.XLOOKUP(IFERROR(IFERROR(IFERROR(VALUE(SUBSTITUTE(MID(_xlfn.TEXTAFTER('Banco de Dados'!$F1207,"Data do Pedido:
",1),1,10),"-","/")),VALUE(SUBSTITUTE(MID(_xlfn.TEXTAFTER('Banco de Dados'!$F1207,"Order date:
",1),1,10),"-","/"))),VALUE(SUBSTITUTE(MID(_xlfn.TEXTAFTER('Banco de Dados'!$F1207,"Fecha de pedido:
",1),1,10),"-","/"))),"-"),SMS!A:A,SMS!K:K),0),0)</f>
        <v>0</v>
      </c>
      <c r="AO1207" s="109">
        <f ca="1">IF('Banco de Dados'!$AK1207&lt;&gt;"-",IF('Banco de Dados'!$F1207&lt;&gt;"-",IFERROR(_xlfn.XLOOKUP(_xlfn.CONCAT('Banco de Dados'!$A1207,IFERROR(IFERROR(VALUE(SUBSTITUTE(MID(_xlfn.TEXTAFTER('Banco de Dados'!$F1207,"Data do Pedido:
",1),1,10),"-","/")),VALUE(SUBSTITUTE(MID(_xlfn.TEXTAFTER('Banco de Dados'!$F1207,"Order date:
",1),1,10),"-","/"))),0)),ProxyDD[Chave],ProxyDD[Valor por pedido]),PROXY!$P$2),0),0)</f>
        <v>0</v>
      </c>
      <c r="AP1207" s="28">
        <f ca="1">IF('Banco de Dados'!$AK1207&lt;&gt;"-",IF('Banco de Dados'!$AL1207="NÃO",IFERROR(VALUE(SUBSTITUTE(_xlfn.TEXTAFTER('Banco de Dados'!$F1207,"BRL ",1),".",",")),0),0),0)</f>
        <v>0</v>
      </c>
      <c r="AQ1207" s="28">
        <f ca="1">SUM('Banco de Dados'!$AM1207:$AP1207)</f>
        <v>1.26</v>
      </c>
      <c r="AR1207" s="8"/>
      <c r="AY1207" s="8"/>
    </row>
    <row r="1208" spans="1:51">
      <c r="A1208" s="5" t="str">
        <v>BV</v>
      </c>
      <c r="B1208" s="5" t="str">
        <f ca="1"/>
        <v>BV45732</v>
      </c>
      <c r="C1208" s="8" t="str">
        <v>Pedido 1195</v>
      </c>
      <c r="D1208" s="9">
        <v>45731</v>
      </c>
      <c r="E1208" s="9">
        <v>45732</v>
      </c>
      <c r="F1208" s="8" t="str">
        <v>PedidoF1163</v>
      </c>
      <c r="G1208" s="2" t="str">
        <v>CódRastreio1161</v>
      </c>
      <c r="H1208" s="5">
        <v>1</v>
      </c>
      <c r="I1208" s="2" t="str">
        <v>CPF 1164</v>
      </c>
      <c r="J1208" s="2" t="str">
        <v>Nome 1164</v>
      </c>
      <c r="K1208" s="8" t="str">
        <v>Tel 1164</v>
      </c>
      <c r="L1208" s="8" t="str">
        <v>Cep 1164</v>
      </c>
      <c r="M1208" s="8" t="str">
        <v>Rua 1164</v>
      </c>
      <c r="N1208" s="8" t="str">
        <v>Comp 1164</v>
      </c>
      <c r="O1208" s="8" t="str">
        <v>Ventilador Azul</v>
      </c>
      <c r="P1208" s="8" t="str">
        <v>U8-2VWS-OB6M</v>
      </c>
      <c r="Q1208" s="4">
        <v>45764</v>
      </c>
      <c r="R1208" s="109">
        <v>50.45</v>
      </c>
      <c r="S1208" s="11">
        <f ca="1"/>
        <v>50.45</v>
      </c>
      <c r="T1208" s="28">
        <f ca="1"/>
        <v>6.5585000000000004</v>
      </c>
      <c r="U1208" s="11">
        <f ca="1"/>
        <v>43.89</v>
      </c>
      <c r="V1208" s="11">
        <v>13.7</v>
      </c>
      <c r="W1208" s="11">
        <f ca="1"/>
        <v>0.82</v>
      </c>
      <c r="X1208" s="11">
        <f ca="1"/>
        <v>0.39877104377104378</v>
      </c>
      <c r="Y1208" s="11">
        <v>0</v>
      </c>
      <c r="Z1208" s="11">
        <f ca="1"/>
        <v>28.971228956228956</v>
      </c>
      <c r="AA1208" s="11">
        <f ca="1"/>
        <v>14.485614478114478</v>
      </c>
      <c r="AB1208" s="4">
        <f ca="1"/>
        <v>45771</v>
      </c>
      <c r="AC1208" s="4">
        <v>45771</v>
      </c>
      <c r="AD1208" s="9">
        <v>45779</v>
      </c>
      <c r="AE1208" s="9">
        <v>45783</v>
      </c>
      <c r="AF1208" s="4" t="str">
        <f t="shared" ca="1" si="80"/>
        <v>2025 04</v>
      </c>
      <c r="AG1208" s="8" t="str" cm="1">
        <f t="array" ref="AG1208">IFERROR(_xlfn.IFS('Banco de Dados'!#REF!="AG. COMPRA","Em processamento",'Banco de Dados'!#REF!="AG. RASTREIO","Em processamento",'Banco de Dados'!$AE1208&lt;&gt;"-","Faturado",'Banco de Dados'!$AD1208&lt;&gt;"-","Aguardando Pix",'Banco de Dados'!$AC1208&lt;&gt;"-","Pendente"),"Aguardando Liberação")</f>
        <v>Aguardando Liberação</v>
      </c>
      <c r="AH1208" s="5" t="str">
        <f>IF('Banco de Dados'!$F1208="-",_xlfn.CONCAT(PROPER(TEXT(AK1208,"aaaa"))," ",PROPER(TEXT(AK1208,"mm"))),_xlfn.CONCAT(PROPER(TEXT(E1208,"aaaa"))," ",PROPER(TEXT(E1208,"mm"))))</f>
        <v>2025 03</v>
      </c>
      <c r="AI1208" s="9" t="str">
        <f ca="1">IF('Banco de Dados'!$AK1208&lt;&gt;"-","REEMBOLSO",IFERROR(_xlfn.XLOOKUP(G1208,Follow[CODRASTREIO],Follow[STATUS]),"-"))</f>
        <v>ENTREGUE</v>
      </c>
      <c r="AJ1208" s="9">
        <f ca="1">IF('Banco de Dados'!$AI1208="ENTREGUE",_xlfn.XLOOKUP('Banco de Dados'!$G1208,Follow[CODRASTREIO],Follow[DATAATUALIZAÇÃO]),"-")</f>
        <v>45757</v>
      </c>
      <c r="AK1208" s="132" t="str">
        <f ca="1"/>
        <v>-</v>
      </c>
      <c r="AL1208" s="35"/>
      <c r="AM1208" s="109" cm="1">
        <f t="array" aca="1" ref="AM1208" ca="1">IF('Banco de Dados'!$AK1208&lt;&gt;"-",_xlfn.IFS('Banco de Dados'!$A1208="bv",IF('Banco de Dados'!$E1208&lt;45641,ROUND(SUM('Banco de Dados'!$R1208*_xlfn.XLOOKUP('Banco de Dados'!$P1208,Sku!B:B,Sku!#REF!)*20%),2),ROUND(SUM('Banco de Dados'!$R1208*_xlfn.XLOOKUP('Banco de Dados'!$P1208,Sku!B:B,Sku!H:H)*20%),2)),'Banco de Dados'!$A1208="GO",ROUND(_xlfn.XLOOKUP('Banco de Dados'!$P1208,Sku!C:C,Sku!H:H),2),'Banco de Dados'!$A1208="MEI",ROUND(_xlfn.XLOOKUP('Banco de Dados'!$P1208,Sku!D:D,Sku!H:H),2)),0)</f>
        <v>0</v>
      </c>
      <c r="AN1208" s="109">
        <f ca="1">IF('Banco de Dados'!$AK1208&lt;&gt;"-",IF('Banco de Dados'!$F1208&lt;&gt;"-",_xlfn.XLOOKUP(IFERROR(IFERROR(IFERROR(VALUE(SUBSTITUTE(MID(_xlfn.TEXTAFTER('Banco de Dados'!$F1208,"Data do Pedido:
",1),1,10),"-","/")),VALUE(SUBSTITUTE(MID(_xlfn.TEXTAFTER('Banco de Dados'!$F1208,"Order date:
",1),1,10),"-","/"))),VALUE(SUBSTITUTE(MID(_xlfn.TEXTAFTER('Banco de Dados'!$F1208,"Fecha de pedido:
",1),1,10),"-","/"))),"-"),SMS!A:A,SMS!K:K),0),0)</f>
        <v>0</v>
      </c>
      <c r="AO1208" s="109">
        <f ca="1">IF('Banco de Dados'!$AK1208&lt;&gt;"-",IF('Banco de Dados'!$F1208&lt;&gt;"-",IFERROR(_xlfn.XLOOKUP(_xlfn.CONCAT('Banco de Dados'!$A1208,IFERROR(IFERROR(VALUE(SUBSTITUTE(MID(_xlfn.TEXTAFTER('Banco de Dados'!$F1208,"Data do Pedido:
",1),1,10),"-","/")),VALUE(SUBSTITUTE(MID(_xlfn.TEXTAFTER('Banco de Dados'!$F1208,"Order date:
",1),1,10),"-","/"))),0)),ProxyDD[Chave],ProxyDD[Valor por pedido]),PROXY!$P$2),0),0)</f>
        <v>0</v>
      </c>
      <c r="AP1208" s="28">
        <f ca="1">IF('Banco de Dados'!$AK1208&lt;&gt;"-",IF('Banco de Dados'!$AL1208="NÃO",IFERROR(VALUE(SUBSTITUTE(_xlfn.TEXTAFTER('Banco de Dados'!$F1208,"BRL ",1),".",",")),0),0),0)</f>
        <v>0</v>
      </c>
      <c r="AQ1208" s="28">
        <f ca="1">SUM('Banco de Dados'!$AM1208:$AP1208)</f>
        <v>0</v>
      </c>
      <c r="AR1208" s="8"/>
      <c r="AY1208" s="8"/>
    </row>
    <row r="1209" spans="1:51">
      <c r="A1209" s="5" t="str">
        <v>BV</v>
      </c>
      <c r="B1209" s="5" t="str">
        <f ca="1"/>
        <v>BV45732</v>
      </c>
      <c r="C1209" s="8" t="str">
        <v>Pedido 1196</v>
      </c>
      <c r="D1209" s="9">
        <v>45732</v>
      </c>
      <c r="E1209" s="9">
        <v>45732</v>
      </c>
      <c r="F1209" s="8" t="str">
        <v>PedidoF1164</v>
      </c>
      <c r="G1209" s="2" t="str">
        <v>CódRastreio1162</v>
      </c>
      <c r="H1209" s="5">
        <v>1</v>
      </c>
      <c r="I1209" s="2" t="str">
        <v>CPF 1165</v>
      </c>
      <c r="J1209" s="2" t="str">
        <v>Nome 1165</v>
      </c>
      <c r="K1209" s="8" t="str">
        <v>Tel 1165</v>
      </c>
      <c r="L1209" s="8" t="str">
        <v>Cep 1165</v>
      </c>
      <c r="M1209" s="8" t="str">
        <v>Rua 1165</v>
      </c>
      <c r="N1209" s="8" t="str">
        <v>Comp 1165</v>
      </c>
      <c r="O1209" s="8" t="str">
        <v>Lampada Led</v>
      </c>
      <c r="P1209" s="8" t="str">
        <v>RB-W251-UXV2</v>
      </c>
      <c r="Q1209" s="4">
        <v>45751</v>
      </c>
      <c r="R1209" s="109">
        <v>26.99</v>
      </c>
      <c r="S1209" s="11">
        <f ca="1"/>
        <v>26.99</v>
      </c>
      <c r="T1209" s="28">
        <f ca="1"/>
        <v>3.5086999999999997</v>
      </c>
      <c r="U1209" s="11">
        <f ca="1"/>
        <v>23.48</v>
      </c>
      <c r="V1209" s="11">
        <v>10.199999999999999</v>
      </c>
      <c r="W1209" s="11">
        <f ca="1"/>
        <v>0.82</v>
      </c>
      <c r="X1209" s="11">
        <f ca="1"/>
        <v>0.39877104377104378</v>
      </c>
      <c r="Y1209" s="11">
        <v>0</v>
      </c>
      <c r="Z1209" s="11">
        <f ca="1"/>
        <v>12.061228956228957</v>
      </c>
      <c r="AA1209" s="11">
        <f ca="1"/>
        <v>6.0306144781144786</v>
      </c>
      <c r="AB1209" s="4">
        <f ca="1"/>
        <v>45758</v>
      </c>
      <c r="AC1209" s="4">
        <v>45758</v>
      </c>
      <c r="AD1209" s="9">
        <v>45762</v>
      </c>
      <c r="AE1209" s="9">
        <v>45763</v>
      </c>
      <c r="AF1209" s="4" t="str">
        <f t="shared" ca="1" si="80"/>
        <v>2025 04</v>
      </c>
      <c r="AG1209" s="8" t="str" cm="1">
        <f t="array" ref="AG1209">IFERROR(_xlfn.IFS('Banco de Dados'!#REF!="AG. COMPRA","Em processamento",'Banco de Dados'!#REF!="AG. RASTREIO","Em processamento",'Banco de Dados'!$AE1209&lt;&gt;"-","Faturado",'Banco de Dados'!$AD1209&lt;&gt;"-","Aguardando Pix",'Banco de Dados'!$AC1209&lt;&gt;"-","Pendente"),"Aguardando Liberação")</f>
        <v>Aguardando Liberação</v>
      </c>
      <c r="AH1209" s="5" t="str">
        <f>IF('Banco de Dados'!$F1209="-",_xlfn.CONCAT(PROPER(TEXT(AK1209,"aaaa"))," ",PROPER(TEXT(AK1209,"mm"))),_xlfn.CONCAT(PROPER(TEXT(E1209,"aaaa"))," ",PROPER(TEXT(E1209,"mm"))))</f>
        <v>2025 03</v>
      </c>
      <c r="AI1209" s="9" t="str">
        <f ca="1">IF('Banco de Dados'!$AK1209&lt;&gt;"-","REEMBOLSO",IFERROR(_xlfn.XLOOKUP(G1209,Follow[CODRASTREIO],Follow[STATUS]),"-"))</f>
        <v>ENTREGUE</v>
      </c>
      <c r="AJ1209" s="9">
        <f ca="1">IF('Banco de Dados'!$AI1209="ENTREGUE",_xlfn.XLOOKUP('Banco de Dados'!$G1209,Follow[CODRASTREIO],Follow[DATAATUALIZAÇÃO]),"-")</f>
        <v>45751</v>
      </c>
      <c r="AK1209" s="132" t="str">
        <f ca="1"/>
        <v>-</v>
      </c>
      <c r="AL1209" s="35"/>
      <c r="AM1209" s="109" cm="1">
        <f t="array" aca="1" ref="AM1209" ca="1">IF('Banco de Dados'!$AK1209&lt;&gt;"-",_xlfn.IFS('Banco de Dados'!$A1209="bv",IF('Banco de Dados'!$E1209&lt;45641,ROUND(SUM('Banco de Dados'!$R1209*_xlfn.XLOOKUP('Banco de Dados'!$P1209,Sku!B:B,Sku!#REF!)*20%),2),ROUND(SUM('Banco de Dados'!$R1209*_xlfn.XLOOKUP('Banco de Dados'!$P1209,Sku!B:B,Sku!H:H)*20%),2)),'Banco de Dados'!$A1209="GO",ROUND(_xlfn.XLOOKUP('Banco de Dados'!$P1209,Sku!C:C,Sku!H:H),2),'Banco de Dados'!$A1209="MEI",ROUND(_xlfn.XLOOKUP('Banco de Dados'!$P1209,Sku!D:D,Sku!H:H),2)),0)</f>
        <v>0</v>
      </c>
      <c r="AN1209" s="109">
        <f ca="1">IF('Banco de Dados'!$AK1209&lt;&gt;"-",IF('Banco de Dados'!$F1209&lt;&gt;"-",_xlfn.XLOOKUP(IFERROR(IFERROR(IFERROR(VALUE(SUBSTITUTE(MID(_xlfn.TEXTAFTER('Banco de Dados'!$F1209,"Data do Pedido:
",1),1,10),"-","/")),VALUE(SUBSTITUTE(MID(_xlfn.TEXTAFTER('Banco de Dados'!$F1209,"Order date:
",1),1,10),"-","/"))),VALUE(SUBSTITUTE(MID(_xlfn.TEXTAFTER('Banco de Dados'!$F1209,"Fecha de pedido:
",1),1,10),"-","/"))),"-"),SMS!A:A,SMS!K:K),0),0)</f>
        <v>0</v>
      </c>
      <c r="AO1209" s="109">
        <f ca="1">IF('Banco de Dados'!$AK1209&lt;&gt;"-",IF('Banco de Dados'!$F1209&lt;&gt;"-",IFERROR(_xlfn.XLOOKUP(_xlfn.CONCAT('Banco de Dados'!$A1209,IFERROR(IFERROR(VALUE(SUBSTITUTE(MID(_xlfn.TEXTAFTER('Banco de Dados'!$F1209,"Data do Pedido:
",1),1,10),"-","/")),VALUE(SUBSTITUTE(MID(_xlfn.TEXTAFTER('Banco de Dados'!$F1209,"Order date:
",1),1,10),"-","/"))),0)),ProxyDD[Chave],ProxyDD[Valor por pedido]),PROXY!$P$2),0),0)</f>
        <v>0</v>
      </c>
      <c r="AP1209" s="28">
        <f ca="1">IF('Banco de Dados'!$AK1209&lt;&gt;"-",IF('Banco de Dados'!$AL1209="NÃO",IFERROR(VALUE(SUBSTITUTE(_xlfn.TEXTAFTER('Banco de Dados'!$F1209,"BRL ",1),".",",")),0),0),0)</f>
        <v>0</v>
      </c>
      <c r="AQ1209" s="28">
        <f ca="1">SUM('Banco de Dados'!$AM1209:$AP1209)</f>
        <v>0</v>
      </c>
      <c r="AR1209" s="8"/>
      <c r="AY1209" s="8"/>
    </row>
    <row r="1210" spans="1:51">
      <c r="A1210" s="5" t="str">
        <v>BV</v>
      </c>
      <c r="B1210" s="5" t="str">
        <f ca="1"/>
        <v>BV-</v>
      </c>
      <c r="C1210" s="8" t="str">
        <v>Pedido 1197</v>
      </c>
      <c r="D1210" s="9">
        <v>45732</v>
      </c>
      <c r="E1210" s="9" t="str">
        <v>-</v>
      </c>
      <c r="F1210" s="8" t="str">
        <v>-</v>
      </c>
      <c r="G1210" s="2" t="str">
        <v>-</v>
      </c>
      <c r="H1210" s="5">
        <v>1</v>
      </c>
      <c r="I1210" s="2" t="str">
        <v>CPF 1166</v>
      </c>
      <c r="J1210" s="2" t="str">
        <v>Nome 1166</v>
      </c>
      <c r="K1210" s="8" t="str">
        <v>Tel 1166</v>
      </c>
      <c r="L1210" s="8" t="str">
        <v>Cep 1166</v>
      </c>
      <c r="M1210" s="8" t="str">
        <v>Rua 1166</v>
      </c>
      <c r="N1210" s="8" t="str">
        <v>Comp 1166</v>
      </c>
      <c r="O1210" s="8" t="str">
        <v>Ventilador Umidificador Preto</v>
      </c>
      <c r="P1210" s="8" t="str">
        <v>HF-SI0F-XC7S</v>
      </c>
      <c r="Q1210" s="4">
        <v>45751</v>
      </c>
      <c r="R1210" s="109">
        <v>44.9</v>
      </c>
      <c r="S1210" s="11">
        <f ca="1"/>
        <v>0</v>
      </c>
      <c r="T1210" s="28">
        <f ca="1"/>
        <v>0</v>
      </c>
      <c r="U1210" s="11">
        <f ca="1"/>
        <v>0</v>
      </c>
      <c r="V1210" s="11">
        <v>0</v>
      </c>
      <c r="W1210" s="11">
        <f ca="1"/>
        <v>0</v>
      </c>
      <c r="X1210" s="11">
        <f ca="1"/>
        <v>0</v>
      </c>
      <c r="Y1210" s="11">
        <v>0</v>
      </c>
      <c r="Z1210" s="11">
        <f ca="1"/>
        <v>0</v>
      </c>
      <c r="AA1210" s="11">
        <f ca="1"/>
        <v>0</v>
      </c>
      <c r="AB1210" s="4">
        <f ca="1"/>
        <v>45758</v>
      </c>
      <c r="AC1210" s="4">
        <v>45758</v>
      </c>
      <c r="AD1210" s="9">
        <v>45762</v>
      </c>
      <c r="AE1210" s="9">
        <v>45763</v>
      </c>
      <c r="AF1210" s="4" t="str">
        <f t="shared" ca="1" si="80"/>
        <v>2025 04</v>
      </c>
      <c r="AG1210" s="8" t="str" cm="1">
        <f t="array" ref="AG1210">IFERROR(_xlfn.IFS('Banco de Dados'!#REF!="AG. COMPRA","Em processamento",'Banco de Dados'!#REF!="AG. RASTREIO","Em processamento",'Banco de Dados'!$AE1210&lt;&gt;"-","Faturado",'Banco de Dados'!$AD1210&lt;&gt;"-","Aguardando Pix",'Banco de Dados'!$AC1210&lt;&gt;"-","Pendente"),"Aguardando Liberação")</f>
        <v>Aguardando Liberação</v>
      </c>
      <c r="AH1210" s="5" t="str">
        <f ca="1">IF('Banco de Dados'!$F1210="-",_xlfn.CONCAT(PROPER(TEXT(AK1210,"aaaa"))," ",PROPER(TEXT(AK1210,"mm"))),_xlfn.CONCAT(PROPER(TEXT(E1210,"aaaa"))," ",PROPER(TEXT(E1210,"mm"))))</f>
        <v>2025 03</v>
      </c>
      <c r="AI1210" s="9" t="str">
        <f ca="1">IF('Banco de Dados'!$AK1210&lt;&gt;"-","REEMBOLSO",IFERROR(_xlfn.XLOOKUP(G1210,Follow[CODRASTREIO],Follow[STATUS]),"-"))</f>
        <v>REEMBOLSO</v>
      </c>
      <c r="AJ1210" s="9" t="str">
        <f ca="1">IF('Banco de Dados'!$AI1210="ENTREGUE",_xlfn.XLOOKUP('Banco de Dados'!$G1210,Follow[CODRASTREIO],Follow[DATAATUALIZAÇÃO]),"-")</f>
        <v>-</v>
      </c>
      <c r="AK1210" s="132">
        <f ca="1"/>
        <v>45743</v>
      </c>
      <c r="AL1210" s="35"/>
      <c r="AM1210" s="109" cm="1">
        <f t="array" aca="1" ref="AM1210" ca="1">IF('Banco de Dados'!$AK1210&lt;&gt;"-",_xlfn.IFS('Banco de Dados'!$A1210="bv",IF('Banco de Dados'!$E1210&lt;45641,ROUND(SUM('Banco de Dados'!$R1210*_xlfn.XLOOKUP('Banco de Dados'!$P1210,Sku!B:B,Sku!#REF!)*20%),2),ROUND(SUM('Banco de Dados'!$R1210*_xlfn.XLOOKUP('Banco de Dados'!$P1210,Sku!B:B,Sku!H:H)*20%),2)),'Banco de Dados'!$A1210="GO",ROUND(_xlfn.XLOOKUP('Banco de Dados'!$P1210,Sku!C:C,Sku!H:H),2),'Banco de Dados'!$A1210="MEI",ROUND(_xlfn.XLOOKUP('Banco de Dados'!$P1210,Sku!D:D,Sku!H:H),2)),0)</f>
        <v>1.26</v>
      </c>
      <c r="AN1210" s="109">
        <f ca="1">IF('Banco de Dados'!$AK1210&lt;&gt;"-",IF('Banco de Dados'!$F1210&lt;&gt;"-",_xlfn.XLOOKUP(IFERROR(IFERROR(IFERROR(VALUE(SUBSTITUTE(MID(_xlfn.TEXTAFTER('Banco de Dados'!$F1210,"Data do Pedido:
",1),1,10),"-","/")),VALUE(SUBSTITUTE(MID(_xlfn.TEXTAFTER('Banco de Dados'!$F1210,"Order date:
",1),1,10),"-","/"))),VALUE(SUBSTITUTE(MID(_xlfn.TEXTAFTER('Banco de Dados'!$F1210,"Fecha de pedido:
",1),1,10),"-","/"))),"-"),SMS!A:A,SMS!K:K),0),0)</f>
        <v>0</v>
      </c>
      <c r="AO1210" s="109">
        <f ca="1">IF('Banco de Dados'!$AK1210&lt;&gt;"-",IF('Banco de Dados'!$F1210&lt;&gt;"-",IFERROR(_xlfn.XLOOKUP(_xlfn.CONCAT('Banco de Dados'!$A1210,IFERROR(IFERROR(VALUE(SUBSTITUTE(MID(_xlfn.TEXTAFTER('Banco de Dados'!$F1210,"Data do Pedido:
",1),1,10),"-","/")),VALUE(SUBSTITUTE(MID(_xlfn.TEXTAFTER('Banco de Dados'!$F1210,"Order date:
",1),1,10),"-","/"))),0)),ProxyDD[Chave],ProxyDD[Valor por pedido]),PROXY!$P$2),0),0)</f>
        <v>0</v>
      </c>
      <c r="AP1210" s="28">
        <f ca="1">IF('Banco de Dados'!$AK1210&lt;&gt;"-",IF('Banco de Dados'!$AL1210="NÃO",IFERROR(VALUE(SUBSTITUTE(_xlfn.TEXTAFTER('Banco de Dados'!$F1210,"BRL ",1),".",",")),0),0),0)</f>
        <v>0</v>
      </c>
      <c r="AQ1210" s="28">
        <f ca="1">SUM('Banco de Dados'!$AM1210:$AP1210)</f>
        <v>1.26</v>
      </c>
      <c r="AR1210" s="8"/>
      <c r="AY1210" s="8"/>
    </row>
    <row r="1211" spans="1:51">
      <c r="A1211" s="5" t="str">
        <v>BV</v>
      </c>
      <c r="B1211" s="5" t="str">
        <f ca="1"/>
        <v>BV45677</v>
      </c>
      <c r="C1211" s="8" t="str">
        <v>Pedido 1198</v>
      </c>
      <c r="D1211" s="9">
        <v>45732</v>
      </c>
      <c r="E1211" s="9">
        <v>45677</v>
      </c>
      <c r="F1211" s="8" t="str">
        <v>PedidoF1165</v>
      </c>
      <c r="G1211" s="2" t="str">
        <v>CódRastreio1163</v>
      </c>
      <c r="H1211" s="5">
        <v>1</v>
      </c>
      <c r="I1211" s="2" t="str">
        <v>CPF 1167</v>
      </c>
      <c r="J1211" s="2" t="str">
        <v>Nome 1167</v>
      </c>
      <c r="K1211" s="8" t="str">
        <v>Tel 1167</v>
      </c>
      <c r="L1211" s="8" t="str">
        <v>Cep 1167</v>
      </c>
      <c r="M1211" s="8" t="str">
        <v>Rua 1167</v>
      </c>
      <c r="N1211" s="8" t="str">
        <v>Comp 1167</v>
      </c>
      <c r="O1211" s="8" t="str">
        <v>Suporte de Celular Branco</v>
      </c>
      <c r="P1211" s="8" t="str">
        <v>16-4EDB-WMZF</v>
      </c>
      <c r="Q1211" s="4">
        <v>45751</v>
      </c>
      <c r="R1211" s="109">
        <v>19.989999999999998</v>
      </c>
      <c r="S1211" s="11">
        <f ca="1"/>
        <v>19.989999999999998</v>
      </c>
      <c r="T1211" s="28">
        <f ca="1"/>
        <v>2.9984999999999995</v>
      </c>
      <c r="U1211" s="11">
        <f ca="1"/>
        <v>16.989999999999998</v>
      </c>
      <c r="V1211" s="11">
        <v>13.59</v>
      </c>
      <c r="W1211" s="11">
        <f ca="1"/>
        <v>0.19</v>
      </c>
      <c r="X1211" s="11">
        <f ca="1"/>
        <v>0.39877104377104378</v>
      </c>
      <c r="Y1211" s="11">
        <v>0</v>
      </c>
      <c r="Z1211" s="11">
        <f ca="1"/>
        <v>2.8112289562289554</v>
      </c>
      <c r="AA1211" s="11">
        <f ca="1"/>
        <v>1.4056144781144777</v>
      </c>
      <c r="AB1211" s="4">
        <f ca="1"/>
        <v>45758</v>
      </c>
      <c r="AC1211" s="4">
        <v>45758</v>
      </c>
      <c r="AD1211" s="9">
        <v>45762</v>
      </c>
      <c r="AE1211" s="9">
        <v>45763</v>
      </c>
      <c r="AF1211" s="4" t="str">
        <f t="shared" ca="1" si="80"/>
        <v>2025 04</v>
      </c>
      <c r="AG1211" s="8" t="str" cm="1">
        <f t="array" ref="AG1211">IFERROR(_xlfn.IFS('Banco de Dados'!#REF!="AG. COMPRA","Em processamento",'Banco de Dados'!#REF!="AG. RASTREIO","Em processamento",'Banco de Dados'!$AE1211&lt;&gt;"-","Faturado",'Banco de Dados'!$AD1211&lt;&gt;"-","Aguardando Pix",'Banco de Dados'!$AC1211&lt;&gt;"-","Pendente"),"Aguardando Liberação")</f>
        <v>Aguardando Liberação</v>
      </c>
      <c r="AH1211" s="5" t="str">
        <f>IF('Banco de Dados'!$F1211="-",_xlfn.CONCAT(PROPER(TEXT(AK1211,"aaaa"))," ",PROPER(TEXT(AK1211,"mm"))),_xlfn.CONCAT(PROPER(TEXT(E1211,"aaaa"))," ",PROPER(TEXT(E1211,"mm"))))</f>
        <v>2025 01</v>
      </c>
      <c r="AI1211" s="9" t="str">
        <f ca="1">IF('Banco de Dados'!$AK1211&lt;&gt;"-","REEMBOLSO",IFERROR(_xlfn.XLOOKUP(G1211,Follow[CODRASTREIO],Follow[STATUS]),"-"))</f>
        <v>ENTREGUE</v>
      </c>
      <c r="AJ1211" s="9">
        <f ca="1">IF('Banco de Dados'!$AI1211="ENTREGUE",_xlfn.XLOOKUP('Banco de Dados'!$G1211,Follow[CODRASTREIO],Follow[DATAATUALIZAÇÃO]),"-")</f>
        <v>45756</v>
      </c>
      <c r="AK1211" s="132" t="str">
        <f ca="1"/>
        <v>-</v>
      </c>
      <c r="AL1211" s="35"/>
      <c r="AM1211" s="109" cm="1">
        <f t="array" aca="1" ref="AM1211" ca="1">IF('Banco de Dados'!$AK1211&lt;&gt;"-",_xlfn.IFS('Banco de Dados'!$A1211="bv",IF('Banco de Dados'!$E1211&lt;45641,ROUND(SUM('Banco de Dados'!$R1211*_xlfn.XLOOKUP('Banco de Dados'!$P1211,Sku!B:B,Sku!#REF!)*20%),2),ROUND(SUM('Banco de Dados'!$R1211*_xlfn.XLOOKUP('Banco de Dados'!$P1211,Sku!B:B,Sku!H:H)*20%),2)),'Banco de Dados'!$A1211="GO",ROUND(_xlfn.XLOOKUP('Banco de Dados'!$P1211,Sku!C:C,Sku!H:H),2),'Banco de Dados'!$A1211="MEI",ROUND(_xlfn.XLOOKUP('Banco de Dados'!$P1211,Sku!D:D,Sku!H:H),2)),0)</f>
        <v>0</v>
      </c>
      <c r="AN1211" s="109">
        <f ca="1">IF('Banco de Dados'!$AK1211&lt;&gt;"-",IF('Banco de Dados'!$F1211&lt;&gt;"-",_xlfn.XLOOKUP(IFERROR(IFERROR(IFERROR(VALUE(SUBSTITUTE(MID(_xlfn.TEXTAFTER('Banco de Dados'!$F1211,"Data do Pedido:
",1),1,10),"-","/")),VALUE(SUBSTITUTE(MID(_xlfn.TEXTAFTER('Banco de Dados'!$F1211,"Order date:
",1),1,10),"-","/"))),VALUE(SUBSTITUTE(MID(_xlfn.TEXTAFTER('Banco de Dados'!$F1211,"Fecha de pedido:
",1),1,10),"-","/"))),"-"),SMS!A:A,SMS!K:K),0),0)</f>
        <v>0</v>
      </c>
      <c r="AO1211" s="109">
        <f ca="1">IF('Banco de Dados'!$AK1211&lt;&gt;"-",IF('Banco de Dados'!$F1211&lt;&gt;"-",IFERROR(_xlfn.XLOOKUP(_xlfn.CONCAT('Banco de Dados'!$A1211,IFERROR(IFERROR(VALUE(SUBSTITUTE(MID(_xlfn.TEXTAFTER('Banco de Dados'!$F1211,"Data do Pedido:
",1),1,10),"-","/")),VALUE(SUBSTITUTE(MID(_xlfn.TEXTAFTER('Banco de Dados'!$F1211,"Order date:
",1),1,10),"-","/"))),0)),ProxyDD[Chave],ProxyDD[Valor por pedido]),PROXY!$P$2),0),0)</f>
        <v>0</v>
      </c>
      <c r="AP1211" s="28">
        <f ca="1">IF('Banco de Dados'!$AK1211&lt;&gt;"-",IF('Banco de Dados'!$AL1211="NÃO",IFERROR(VALUE(SUBSTITUTE(_xlfn.TEXTAFTER('Banco de Dados'!$F1211,"BRL ",1),".",",")),0),0),0)</f>
        <v>0</v>
      </c>
      <c r="AQ1211" s="28">
        <f ca="1">SUM('Banco de Dados'!$AM1211:$AP1211)</f>
        <v>0</v>
      </c>
      <c r="AR1211" s="8"/>
      <c r="AY1211" s="8"/>
    </row>
    <row r="1212" spans="1:51">
      <c r="A1212" s="5" t="str">
        <v>BV</v>
      </c>
      <c r="B1212" s="5" t="str">
        <f ca="1"/>
        <v>BV-</v>
      </c>
      <c r="C1212" s="8" t="str">
        <v>Pedido 1199</v>
      </c>
      <c r="D1212" s="9">
        <v>45732</v>
      </c>
      <c r="E1212" s="9" t="str">
        <v>-</v>
      </c>
      <c r="F1212" s="8" t="str">
        <v>-</v>
      </c>
      <c r="G1212" s="2" t="str">
        <v>-</v>
      </c>
      <c r="H1212" s="5">
        <v>1</v>
      </c>
      <c r="I1212" s="2" t="str">
        <v>CPF 1168</v>
      </c>
      <c r="J1212" s="2" t="str">
        <v>Nome 1168</v>
      </c>
      <c r="K1212" s="8" t="str">
        <v>Tel 1168</v>
      </c>
      <c r="L1212" s="8" t="str">
        <v>Cep 1168</v>
      </c>
      <c r="M1212" s="8" t="str">
        <v>Rua 1168</v>
      </c>
      <c r="N1212" s="8" t="str">
        <v>Comp 1168</v>
      </c>
      <c r="O1212" s="8" t="str">
        <v>Ventilador Umidificador Preto</v>
      </c>
      <c r="P1212" s="8" t="str">
        <v>HF-SI0F-XC7S</v>
      </c>
      <c r="Q1212" s="4">
        <v>45751</v>
      </c>
      <c r="R1212" s="109">
        <v>44.9</v>
      </c>
      <c r="S1212" s="11">
        <f ca="1"/>
        <v>0</v>
      </c>
      <c r="T1212" s="28">
        <f ca="1"/>
        <v>0</v>
      </c>
      <c r="U1212" s="11">
        <f ca="1"/>
        <v>0</v>
      </c>
      <c r="V1212" s="11">
        <v>0</v>
      </c>
      <c r="W1212" s="11">
        <f ca="1"/>
        <v>0</v>
      </c>
      <c r="X1212" s="11">
        <f ca="1"/>
        <v>0</v>
      </c>
      <c r="Y1212" s="11">
        <v>0</v>
      </c>
      <c r="Z1212" s="11">
        <f ca="1"/>
        <v>0</v>
      </c>
      <c r="AA1212" s="11">
        <f ca="1"/>
        <v>0</v>
      </c>
      <c r="AB1212" s="4">
        <f ca="1"/>
        <v>45758</v>
      </c>
      <c r="AC1212" s="4">
        <v>45758</v>
      </c>
      <c r="AD1212" s="9">
        <v>45762</v>
      </c>
      <c r="AE1212" s="9">
        <v>45763</v>
      </c>
      <c r="AF1212" s="4" t="str">
        <f t="shared" ca="1" si="80"/>
        <v>2025 04</v>
      </c>
      <c r="AG1212" s="8" t="str" cm="1">
        <f t="array" ref="AG1212">IFERROR(_xlfn.IFS('Banco de Dados'!#REF!="AG. COMPRA","Em processamento",'Banco de Dados'!#REF!="AG. RASTREIO","Em processamento",'Banco de Dados'!$AE1212&lt;&gt;"-","Faturado",'Banco de Dados'!$AD1212&lt;&gt;"-","Aguardando Pix",'Banco de Dados'!$AC1212&lt;&gt;"-","Pendente"),"Aguardando Liberação")</f>
        <v>Aguardando Liberação</v>
      </c>
      <c r="AH1212" s="5" t="str">
        <f ca="1">IF('Banco de Dados'!$F1212="-",_xlfn.CONCAT(PROPER(TEXT(AK1212,"aaaa"))," ",PROPER(TEXT(AK1212,"mm"))),_xlfn.CONCAT(PROPER(TEXT(E1212,"aaaa"))," ",PROPER(TEXT(E1212,"mm"))))</f>
        <v>2025 03</v>
      </c>
      <c r="AI1212" s="9" t="str">
        <f ca="1">IF('Banco de Dados'!$AK1212&lt;&gt;"-","REEMBOLSO",IFERROR(_xlfn.XLOOKUP(G1212,Follow[CODRASTREIO],Follow[STATUS]),"-"))</f>
        <v>REEMBOLSO</v>
      </c>
      <c r="AJ1212" s="9" t="str">
        <f ca="1">IF('Banco de Dados'!$AI1212="ENTREGUE",_xlfn.XLOOKUP('Banco de Dados'!$G1212,Follow[CODRASTREIO],Follow[DATAATUALIZAÇÃO]),"-")</f>
        <v>-</v>
      </c>
      <c r="AK1212" s="132">
        <f ca="1"/>
        <v>45743</v>
      </c>
      <c r="AL1212" s="35"/>
      <c r="AM1212" s="109" cm="1">
        <f t="array" aca="1" ref="AM1212" ca="1">IF('Banco de Dados'!$AK1212&lt;&gt;"-",_xlfn.IFS('Banco de Dados'!$A1212="bv",IF('Banco de Dados'!$E1212&lt;45641,ROUND(SUM('Banco de Dados'!$R1212*_xlfn.XLOOKUP('Banco de Dados'!$P1212,Sku!B:B,Sku!#REF!)*20%),2),ROUND(SUM('Banco de Dados'!$R1212*_xlfn.XLOOKUP('Banco de Dados'!$P1212,Sku!B:B,Sku!H:H)*20%),2)),'Banco de Dados'!$A1212="GO",ROUND(_xlfn.XLOOKUP('Banco de Dados'!$P1212,Sku!C:C,Sku!H:H),2),'Banco de Dados'!$A1212="MEI",ROUND(_xlfn.XLOOKUP('Banco de Dados'!$P1212,Sku!D:D,Sku!H:H),2)),0)</f>
        <v>1.26</v>
      </c>
      <c r="AN1212" s="109">
        <f ca="1">IF('Banco de Dados'!$AK1212&lt;&gt;"-",IF('Banco de Dados'!$F1212&lt;&gt;"-",_xlfn.XLOOKUP(IFERROR(IFERROR(IFERROR(VALUE(SUBSTITUTE(MID(_xlfn.TEXTAFTER('Banco de Dados'!$F1212,"Data do Pedido:
",1),1,10),"-","/")),VALUE(SUBSTITUTE(MID(_xlfn.TEXTAFTER('Banco de Dados'!$F1212,"Order date:
",1),1,10),"-","/"))),VALUE(SUBSTITUTE(MID(_xlfn.TEXTAFTER('Banco de Dados'!$F1212,"Fecha de pedido:
",1),1,10),"-","/"))),"-"),SMS!A:A,SMS!K:K),0),0)</f>
        <v>0</v>
      </c>
      <c r="AO1212" s="109">
        <f ca="1">IF('Banco de Dados'!$AK1212&lt;&gt;"-",IF('Banco de Dados'!$F1212&lt;&gt;"-",IFERROR(_xlfn.XLOOKUP(_xlfn.CONCAT('Banco de Dados'!$A1212,IFERROR(IFERROR(VALUE(SUBSTITUTE(MID(_xlfn.TEXTAFTER('Banco de Dados'!$F1212,"Data do Pedido:
",1),1,10),"-","/")),VALUE(SUBSTITUTE(MID(_xlfn.TEXTAFTER('Banco de Dados'!$F1212,"Order date:
",1),1,10),"-","/"))),0)),ProxyDD[Chave],ProxyDD[Valor por pedido]),PROXY!$P$2),0),0)</f>
        <v>0</v>
      </c>
      <c r="AP1212" s="28">
        <f ca="1">IF('Banco de Dados'!$AK1212&lt;&gt;"-",IF('Banco de Dados'!$AL1212="NÃO",IFERROR(VALUE(SUBSTITUTE(_xlfn.TEXTAFTER('Banco de Dados'!$F1212,"BRL ",1),".",",")),0),0),0)</f>
        <v>0</v>
      </c>
      <c r="AQ1212" s="28">
        <f ca="1">SUM('Banco de Dados'!$AM1212:$AP1212)</f>
        <v>1.26</v>
      </c>
      <c r="AR1212" s="8"/>
      <c r="AY1212" s="8"/>
    </row>
    <row r="1213" spans="1:51">
      <c r="A1213" s="5" t="str">
        <v>BV</v>
      </c>
      <c r="B1213" s="5" t="str">
        <f ca="1"/>
        <v>BV-</v>
      </c>
      <c r="C1213" s="8" t="str">
        <v>Pedido 1200</v>
      </c>
      <c r="D1213" s="9">
        <v>45732</v>
      </c>
      <c r="E1213" s="9" t="str">
        <v>-</v>
      </c>
      <c r="F1213" s="8" t="str">
        <v>-</v>
      </c>
      <c r="G1213" s="2" t="str">
        <v>-</v>
      </c>
      <c r="H1213" s="5">
        <v>1</v>
      </c>
      <c r="I1213" s="2" t="str">
        <v>CPF 1169</v>
      </c>
      <c r="J1213" s="2" t="str">
        <v>Nome 1169</v>
      </c>
      <c r="K1213" s="8" t="str">
        <v>Tel 1169</v>
      </c>
      <c r="L1213" s="8" t="str">
        <v>Cep 1169</v>
      </c>
      <c r="M1213" s="8" t="str">
        <v>Rua 1169</v>
      </c>
      <c r="N1213" s="8" t="str">
        <v>Comp 1169</v>
      </c>
      <c r="O1213" s="8" t="str">
        <v>Ventilador Umidificador Preto</v>
      </c>
      <c r="P1213" s="8" t="str">
        <v>HF-SI0F-XC7S</v>
      </c>
      <c r="Q1213" s="4">
        <v>45764</v>
      </c>
      <c r="R1213" s="109">
        <v>44.9</v>
      </c>
      <c r="S1213" s="11">
        <f ca="1"/>
        <v>0</v>
      </c>
      <c r="T1213" s="28">
        <f ca="1"/>
        <v>0</v>
      </c>
      <c r="U1213" s="11">
        <f ca="1"/>
        <v>0</v>
      </c>
      <c r="V1213" s="11">
        <v>0</v>
      </c>
      <c r="W1213" s="11">
        <f ca="1"/>
        <v>0</v>
      </c>
      <c r="X1213" s="11">
        <f ca="1"/>
        <v>0</v>
      </c>
      <c r="Y1213" s="11">
        <v>0</v>
      </c>
      <c r="Z1213" s="11">
        <f ca="1"/>
        <v>0</v>
      </c>
      <c r="AA1213" s="11">
        <f ca="1"/>
        <v>0</v>
      </c>
      <c r="AB1213" s="4">
        <f ca="1"/>
        <v>45771</v>
      </c>
      <c r="AC1213" s="4">
        <v>45771</v>
      </c>
      <c r="AD1213" s="9">
        <v>45779</v>
      </c>
      <c r="AE1213" s="9">
        <v>45783</v>
      </c>
      <c r="AF1213" s="4" t="str">
        <f t="shared" ca="1" si="80"/>
        <v>2025 04</v>
      </c>
      <c r="AG1213" s="8" t="str" cm="1">
        <f t="array" ref="AG1213">IFERROR(_xlfn.IFS('Banco de Dados'!#REF!="AG. COMPRA","Em processamento",'Banco de Dados'!#REF!="AG. RASTREIO","Em processamento",'Banco de Dados'!$AE1213&lt;&gt;"-","Faturado",'Banco de Dados'!$AD1213&lt;&gt;"-","Aguardando Pix",'Banco de Dados'!$AC1213&lt;&gt;"-","Pendente"),"Aguardando Liberação")</f>
        <v>Aguardando Liberação</v>
      </c>
      <c r="AH1213" s="5" t="str">
        <f ca="1">IF('Banco de Dados'!$F1213="-",_xlfn.CONCAT(PROPER(TEXT(AK1213,"aaaa"))," ",PROPER(TEXT(AK1213,"mm"))),_xlfn.CONCAT(PROPER(TEXT(E1213,"aaaa"))," ",PROPER(TEXT(E1213,"mm"))))</f>
        <v>2025 03</v>
      </c>
      <c r="AI1213" s="9" t="str">
        <f ca="1">IF('Banco de Dados'!$AK1213&lt;&gt;"-","REEMBOLSO",IFERROR(_xlfn.XLOOKUP(G1213,Follow[CODRASTREIO],Follow[STATUS]),"-"))</f>
        <v>REEMBOLSO</v>
      </c>
      <c r="AJ1213" s="9" t="str">
        <f ca="1">IF('Banco de Dados'!$AI1213="ENTREGUE",_xlfn.XLOOKUP('Banco de Dados'!$G1213,Follow[CODRASTREIO],Follow[DATAATUALIZAÇÃO]),"-")</f>
        <v>-</v>
      </c>
      <c r="AK1213" s="132">
        <f ca="1"/>
        <v>45747</v>
      </c>
      <c r="AL1213" s="35"/>
      <c r="AM1213" s="109" cm="1">
        <f t="array" aca="1" ref="AM1213" ca="1">IF('Banco de Dados'!$AK1213&lt;&gt;"-",_xlfn.IFS('Banco de Dados'!$A1213="bv",IF('Banco de Dados'!$E1213&lt;45641,ROUND(SUM('Banco de Dados'!$R1213*_xlfn.XLOOKUP('Banco de Dados'!$P1213,Sku!B:B,Sku!#REF!)*20%),2),ROUND(SUM('Banco de Dados'!$R1213*_xlfn.XLOOKUP('Banco de Dados'!$P1213,Sku!B:B,Sku!H:H)*20%),2)),'Banco de Dados'!$A1213="GO",ROUND(_xlfn.XLOOKUP('Banco de Dados'!$P1213,Sku!C:C,Sku!H:H),2),'Banco de Dados'!$A1213="MEI",ROUND(_xlfn.XLOOKUP('Banco de Dados'!$P1213,Sku!D:D,Sku!H:H),2)),0)</f>
        <v>1.26</v>
      </c>
      <c r="AN1213" s="109">
        <f ca="1">IF('Banco de Dados'!$AK1213&lt;&gt;"-",IF('Banco de Dados'!$F1213&lt;&gt;"-",_xlfn.XLOOKUP(IFERROR(IFERROR(IFERROR(VALUE(SUBSTITUTE(MID(_xlfn.TEXTAFTER('Banco de Dados'!$F1213,"Data do Pedido:
",1),1,10),"-","/")),VALUE(SUBSTITUTE(MID(_xlfn.TEXTAFTER('Banco de Dados'!$F1213,"Order date:
",1),1,10),"-","/"))),VALUE(SUBSTITUTE(MID(_xlfn.TEXTAFTER('Banco de Dados'!$F1213,"Fecha de pedido:
",1),1,10),"-","/"))),"-"),SMS!A:A,SMS!K:K),0),0)</f>
        <v>0</v>
      </c>
      <c r="AO1213" s="109">
        <f ca="1">IF('Banco de Dados'!$AK1213&lt;&gt;"-",IF('Banco de Dados'!$F1213&lt;&gt;"-",IFERROR(_xlfn.XLOOKUP(_xlfn.CONCAT('Banco de Dados'!$A1213,IFERROR(IFERROR(VALUE(SUBSTITUTE(MID(_xlfn.TEXTAFTER('Banco de Dados'!$F1213,"Data do Pedido:
",1),1,10),"-","/")),VALUE(SUBSTITUTE(MID(_xlfn.TEXTAFTER('Banco de Dados'!$F1213,"Order date:
",1),1,10),"-","/"))),0)),ProxyDD[Chave],ProxyDD[Valor por pedido]),PROXY!$P$2),0),0)</f>
        <v>0</v>
      </c>
      <c r="AP1213" s="28">
        <f ca="1">IF('Banco de Dados'!$AK1213&lt;&gt;"-",IF('Banco de Dados'!$AL1213="NÃO",IFERROR(VALUE(SUBSTITUTE(_xlfn.TEXTAFTER('Banco de Dados'!$F1213,"BRL ",1),".",",")),0),0),0)</f>
        <v>0</v>
      </c>
      <c r="AQ1213" s="28">
        <f ca="1">SUM('Banco de Dados'!$AM1213:$AP1213)</f>
        <v>1.26</v>
      </c>
      <c r="AR1213" s="8"/>
      <c r="AY1213" s="8"/>
    </row>
    <row r="1214" spans="1:51">
      <c r="A1214" s="5" t="str">
        <v>BV</v>
      </c>
      <c r="B1214" s="5" t="str">
        <f ca="1"/>
        <v>BV-</v>
      </c>
      <c r="C1214" s="8" t="str">
        <v>Pedido 1201</v>
      </c>
      <c r="D1214" s="9">
        <v>45732</v>
      </c>
      <c r="E1214" s="9" t="str">
        <v>-</v>
      </c>
      <c r="F1214" s="8" t="str">
        <v>-</v>
      </c>
      <c r="G1214" s="2" t="str">
        <v>-</v>
      </c>
      <c r="H1214" s="5">
        <v>1</v>
      </c>
      <c r="I1214" s="2" t="str">
        <v>CPF 1169</v>
      </c>
      <c r="J1214" s="2" t="str">
        <v>Nome 1169</v>
      </c>
      <c r="K1214" s="8" t="str">
        <v>Tel 1169</v>
      </c>
      <c r="L1214" s="8" t="str">
        <v>Cep 1169</v>
      </c>
      <c r="M1214" s="8" t="str">
        <v>Rua 1169</v>
      </c>
      <c r="N1214" s="8" t="str">
        <v>Comp 1169</v>
      </c>
      <c r="O1214" s="8" t="str">
        <v>Ventilador Umidificador Preto</v>
      </c>
      <c r="P1214" s="8" t="str">
        <v>HF-SI0F-XC7S</v>
      </c>
      <c r="Q1214" s="4">
        <v>45764</v>
      </c>
      <c r="R1214" s="109">
        <v>44.9</v>
      </c>
      <c r="S1214" s="11">
        <f ca="1"/>
        <v>0</v>
      </c>
      <c r="T1214" s="28">
        <f ca="1"/>
        <v>0</v>
      </c>
      <c r="U1214" s="11">
        <f ca="1"/>
        <v>0</v>
      </c>
      <c r="V1214" s="11">
        <v>0</v>
      </c>
      <c r="W1214" s="11">
        <f ca="1"/>
        <v>0</v>
      </c>
      <c r="X1214" s="11">
        <f ca="1"/>
        <v>0</v>
      </c>
      <c r="Y1214" s="11">
        <v>0</v>
      </c>
      <c r="Z1214" s="11">
        <f ca="1"/>
        <v>0</v>
      </c>
      <c r="AA1214" s="11">
        <f ca="1"/>
        <v>0</v>
      </c>
      <c r="AB1214" s="4">
        <f ca="1"/>
        <v>45771</v>
      </c>
      <c r="AC1214" s="4">
        <v>45771</v>
      </c>
      <c r="AD1214" s="9">
        <v>45779</v>
      </c>
      <c r="AE1214" s="9">
        <v>45783</v>
      </c>
      <c r="AF1214" s="4" t="str">
        <f t="shared" ca="1" si="80"/>
        <v>2025 04</v>
      </c>
      <c r="AG1214" s="8" t="str" cm="1">
        <f t="array" ref="AG1214">IFERROR(_xlfn.IFS('Banco de Dados'!#REF!="AG. COMPRA","Em processamento",'Banco de Dados'!#REF!="AG. RASTREIO","Em processamento",'Banco de Dados'!$AE1214&lt;&gt;"-","Faturado",'Banco de Dados'!$AD1214&lt;&gt;"-","Aguardando Pix",'Banco de Dados'!$AC1214&lt;&gt;"-","Pendente"),"Aguardando Liberação")</f>
        <v>Aguardando Liberação</v>
      </c>
      <c r="AH1214" s="5" t="str">
        <f ca="1">IF('Banco de Dados'!$F1214="-",_xlfn.CONCAT(PROPER(TEXT(AK1214,"aaaa"))," ",PROPER(TEXT(AK1214,"mm"))),_xlfn.CONCAT(PROPER(TEXT(E1214,"aaaa"))," ",PROPER(TEXT(E1214,"mm"))))</f>
        <v>2025 03</v>
      </c>
      <c r="AI1214" s="9" t="str">
        <f ca="1">IF('Banco de Dados'!$AK1214&lt;&gt;"-","REEMBOLSO",IFERROR(_xlfn.XLOOKUP(G1214,Follow[CODRASTREIO],Follow[STATUS]),"-"))</f>
        <v>REEMBOLSO</v>
      </c>
      <c r="AJ1214" s="9" t="str">
        <f ca="1">IF('Banco de Dados'!$AI1214="ENTREGUE",_xlfn.XLOOKUP('Banco de Dados'!$G1214,Follow[CODRASTREIO],Follow[DATAATUALIZAÇÃO]),"-")</f>
        <v>-</v>
      </c>
      <c r="AK1214" s="132">
        <f ca="1"/>
        <v>45735</v>
      </c>
      <c r="AL1214" s="35"/>
      <c r="AM1214" s="109" cm="1">
        <f t="array" aca="1" ref="AM1214" ca="1">IF('Banco de Dados'!$AK1214&lt;&gt;"-",_xlfn.IFS('Banco de Dados'!$A1214="bv",IF('Banco de Dados'!$E1214&lt;45641,ROUND(SUM('Banco de Dados'!$R1214*_xlfn.XLOOKUP('Banco de Dados'!$P1214,Sku!B:B,Sku!#REF!)*20%),2),ROUND(SUM('Banco de Dados'!$R1214*_xlfn.XLOOKUP('Banco de Dados'!$P1214,Sku!B:B,Sku!H:H)*20%),2)),'Banco de Dados'!$A1214="GO",ROUND(_xlfn.XLOOKUP('Banco de Dados'!$P1214,Sku!C:C,Sku!H:H),2),'Banco de Dados'!$A1214="MEI",ROUND(_xlfn.XLOOKUP('Banco de Dados'!$P1214,Sku!D:D,Sku!H:H),2)),0)</f>
        <v>1.26</v>
      </c>
      <c r="AN1214" s="109">
        <f ca="1">IF('Banco de Dados'!$AK1214&lt;&gt;"-",IF('Banco de Dados'!$F1214&lt;&gt;"-",_xlfn.XLOOKUP(IFERROR(IFERROR(IFERROR(VALUE(SUBSTITUTE(MID(_xlfn.TEXTAFTER('Banco de Dados'!$F1214,"Data do Pedido:
",1),1,10),"-","/")),VALUE(SUBSTITUTE(MID(_xlfn.TEXTAFTER('Banco de Dados'!$F1214,"Order date:
",1),1,10),"-","/"))),VALUE(SUBSTITUTE(MID(_xlfn.TEXTAFTER('Banco de Dados'!$F1214,"Fecha de pedido:
",1),1,10),"-","/"))),"-"),SMS!A:A,SMS!K:K),0),0)</f>
        <v>0</v>
      </c>
      <c r="AO1214" s="109">
        <f ca="1">IF('Banco de Dados'!$AK1214&lt;&gt;"-",IF('Banco de Dados'!$F1214&lt;&gt;"-",IFERROR(_xlfn.XLOOKUP(_xlfn.CONCAT('Banco de Dados'!$A1214,IFERROR(IFERROR(VALUE(SUBSTITUTE(MID(_xlfn.TEXTAFTER('Banco de Dados'!$F1214,"Data do Pedido:
",1),1,10),"-","/")),VALUE(SUBSTITUTE(MID(_xlfn.TEXTAFTER('Banco de Dados'!$F1214,"Order date:
",1),1,10),"-","/"))),0)),ProxyDD[Chave],ProxyDD[Valor por pedido]),PROXY!$P$2),0),0)</f>
        <v>0</v>
      </c>
      <c r="AP1214" s="28">
        <f ca="1">IF('Banco de Dados'!$AK1214&lt;&gt;"-",IF('Banco de Dados'!$AL1214="NÃO",IFERROR(VALUE(SUBSTITUTE(_xlfn.TEXTAFTER('Banco de Dados'!$F1214,"BRL ",1),".",",")),0),0),0)</f>
        <v>0</v>
      </c>
      <c r="AQ1214" s="28">
        <f ca="1">SUM('Banco de Dados'!$AM1214:$AP1214)</f>
        <v>1.26</v>
      </c>
      <c r="AR1214" s="8"/>
      <c r="AY1214" s="8"/>
    </row>
    <row r="1215" spans="1:51">
      <c r="A1215" s="5" t="str">
        <v>BV</v>
      </c>
      <c r="B1215" s="5" t="str">
        <f ca="1"/>
        <v>BV45734</v>
      </c>
      <c r="C1215" s="8" t="str">
        <v>Pedido 1202</v>
      </c>
      <c r="D1215" s="9">
        <v>45732</v>
      </c>
      <c r="E1215" s="9">
        <v>45734</v>
      </c>
      <c r="F1215" s="8" t="str">
        <v>PedidoF1166</v>
      </c>
      <c r="G1215" s="2" t="str">
        <v>CódRastreio1164</v>
      </c>
      <c r="H1215" s="5">
        <v>1</v>
      </c>
      <c r="I1215" s="2" t="str">
        <v>CPF 1170</v>
      </c>
      <c r="J1215" s="2" t="str">
        <v>Nome 1170</v>
      </c>
      <c r="K1215" s="8" t="str">
        <v>Tel 1170</v>
      </c>
      <c r="L1215" s="8" t="str">
        <v>Cep 1170</v>
      </c>
      <c r="M1215" s="8" t="str">
        <v>Rua 1170</v>
      </c>
      <c r="N1215" s="8" t="str">
        <v>Comp 1170</v>
      </c>
      <c r="O1215" s="8" t="str">
        <v>Suporte de Celular Branco</v>
      </c>
      <c r="P1215" s="8" t="str">
        <v>16-4EDB-WMZF</v>
      </c>
      <c r="Q1215" s="4">
        <v>45757</v>
      </c>
      <c r="R1215" s="109">
        <v>19.989999999999998</v>
      </c>
      <c r="S1215" s="11">
        <f ca="1"/>
        <v>19.989999999999998</v>
      </c>
      <c r="T1215" s="28">
        <f ca="1"/>
        <v>2.9984999999999995</v>
      </c>
      <c r="U1215" s="11">
        <f ca="1"/>
        <v>16.989999999999998</v>
      </c>
      <c r="V1215" s="11">
        <v>7.94</v>
      </c>
      <c r="W1215" s="11">
        <f ca="1"/>
        <v>1.1499999999999999</v>
      </c>
      <c r="X1215" s="11">
        <f ca="1"/>
        <v>0.39877104377104378</v>
      </c>
      <c r="Y1215" s="11">
        <v>0</v>
      </c>
      <c r="Z1215" s="11">
        <f ca="1"/>
        <v>7.5012289562289549</v>
      </c>
      <c r="AA1215" s="11">
        <f ca="1"/>
        <v>3.7506144781144775</v>
      </c>
      <c r="AB1215" s="4">
        <f ca="1"/>
        <v>45764</v>
      </c>
      <c r="AC1215" s="4">
        <v>45764</v>
      </c>
      <c r="AD1215" s="9">
        <v>45779</v>
      </c>
      <c r="AE1215" s="9">
        <v>45783</v>
      </c>
      <c r="AF1215" s="4" t="str">
        <f t="shared" ca="1" si="80"/>
        <v>2025 04</v>
      </c>
      <c r="AG1215" s="8" t="str" cm="1">
        <f t="array" ref="AG1215">IFERROR(_xlfn.IFS('Banco de Dados'!#REF!="AG. COMPRA","Em processamento",'Banco de Dados'!#REF!="AG. RASTREIO","Em processamento",'Banco de Dados'!$AE1215&lt;&gt;"-","Faturado",'Banco de Dados'!$AD1215&lt;&gt;"-","Aguardando Pix",'Banco de Dados'!$AC1215&lt;&gt;"-","Pendente"),"Aguardando Liberação")</f>
        <v>Aguardando Liberação</v>
      </c>
      <c r="AH1215" s="5" t="str">
        <f>IF('Banco de Dados'!$F1215="-",_xlfn.CONCAT(PROPER(TEXT(AK1215,"aaaa"))," ",PROPER(TEXT(AK1215,"mm"))),_xlfn.CONCAT(PROPER(TEXT(E1215,"aaaa"))," ",PROPER(TEXT(E1215,"mm"))))</f>
        <v>2025 03</v>
      </c>
      <c r="AI1215" s="9" t="str">
        <f ca="1">IF('Banco de Dados'!$AK1215&lt;&gt;"-","REEMBOLSO",IFERROR(_xlfn.XLOOKUP(G1215,Follow[CODRASTREIO],Follow[STATUS]),"-"))</f>
        <v>ENTREGUE</v>
      </c>
      <c r="AJ1215" s="9">
        <f ca="1">IF('Banco de Dados'!$AI1215="ENTREGUE",_xlfn.XLOOKUP('Banco de Dados'!$G1215,Follow[CODRASTREIO],Follow[DATAATUALIZAÇÃO]),"-")</f>
        <v>45749</v>
      </c>
      <c r="AK1215" s="132" t="str">
        <f ca="1"/>
        <v>-</v>
      </c>
      <c r="AL1215" s="35"/>
      <c r="AM1215" s="109" cm="1">
        <f t="array" aca="1" ref="AM1215" ca="1">IF('Banco de Dados'!$AK1215&lt;&gt;"-",_xlfn.IFS('Banco de Dados'!$A1215="bv",IF('Banco de Dados'!$E1215&lt;45641,ROUND(SUM('Banco de Dados'!$R1215*_xlfn.XLOOKUP('Banco de Dados'!$P1215,Sku!B:B,Sku!#REF!)*20%),2),ROUND(SUM('Banco de Dados'!$R1215*_xlfn.XLOOKUP('Banco de Dados'!$P1215,Sku!B:B,Sku!H:H)*20%),2)),'Banco de Dados'!$A1215="GO",ROUND(_xlfn.XLOOKUP('Banco de Dados'!$P1215,Sku!C:C,Sku!H:H),2),'Banco de Dados'!$A1215="MEI",ROUND(_xlfn.XLOOKUP('Banco de Dados'!$P1215,Sku!D:D,Sku!H:H),2)),0)</f>
        <v>0</v>
      </c>
      <c r="AN1215" s="109">
        <f ca="1">IF('Banco de Dados'!$AK1215&lt;&gt;"-",IF('Banco de Dados'!$F1215&lt;&gt;"-",_xlfn.XLOOKUP(IFERROR(IFERROR(IFERROR(VALUE(SUBSTITUTE(MID(_xlfn.TEXTAFTER('Banco de Dados'!$F1215,"Data do Pedido:
",1),1,10),"-","/")),VALUE(SUBSTITUTE(MID(_xlfn.TEXTAFTER('Banco de Dados'!$F1215,"Order date:
",1),1,10),"-","/"))),VALUE(SUBSTITUTE(MID(_xlfn.TEXTAFTER('Banco de Dados'!$F1215,"Fecha de pedido:
",1),1,10),"-","/"))),"-"),SMS!A:A,SMS!K:K),0),0)</f>
        <v>0</v>
      </c>
      <c r="AO1215" s="109">
        <f ca="1">IF('Banco de Dados'!$AK1215&lt;&gt;"-",IF('Banco de Dados'!$F1215&lt;&gt;"-",IFERROR(_xlfn.XLOOKUP(_xlfn.CONCAT('Banco de Dados'!$A1215,IFERROR(IFERROR(VALUE(SUBSTITUTE(MID(_xlfn.TEXTAFTER('Banco de Dados'!$F1215,"Data do Pedido:
",1),1,10),"-","/")),VALUE(SUBSTITUTE(MID(_xlfn.TEXTAFTER('Banco de Dados'!$F1215,"Order date:
",1),1,10),"-","/"))),0)),ProxyDD[Chave],ProxyDD[Valor por pedido]),PROXY!$P$2),0),0)</f>
        <v>0</v>
      </c>
      <c r="AP1215" s="28">
        <f ca="1">IF('Banco de Dados'!$AK1215&lt;&gt;"-",IF('Banco de Dados'!$AL1215="NÃO",IFERROR(VALUE(SUBSTITUTE(_xlfn.TEXTAFTER('Banco de Dados'!$F1215,"BRL ",1),".",",")),0),0),0)</f>
        <v>0</v>
      </c>
      <c r="AQ1215" s="28">
        <f ca="1">SUM('Banco de Dados'!$AM1215:$AP1215)</f>
        <v>0</v>
      </c>
      <c r="AR1215" s="8"/>
      <c r="AY1215" s="8"/>
    </row>
    <row r="1216" spans="1:51">
      <c r="A1216" s="5" t="str">
        <v>BV</v>
      </c>
      <c r="B1216" s="5" t="str">
        <f ca="1"/>
        <v>BV-</v>
      </c>
      <c r="C1216" s="8" t="str">
        <v>Pedido 1203</v>
      </c>
      <c r="D1216" s="9">
        <v>45732</v>
      </c>
      <c r="E1216" s="9" t="str">
        <v>-</v>
      </c>
      <c r="F1216" s="8" t="str">
        <v>-</v>
      </c>
      <c r="G1216" s="2" t="str">
        <v>-</v>
      </c>
      <c r="H1216" s="5">
        <v>1</v>
      </c>
      <c r="I1216" s="2" t="str">
        <v>CPF 1169</v>
      </c>
      <c r="J1216" s="2" t="str">
        <v>Nome 1169</v>
      </c>
      <c r="K1216" s="8" t="str">
        <v>Tel 1169</v>
      </c>
      <c r="L1216" s="8" t="str">
        <v>Cep 1169</v>
      </c>
      <c r="M1216" s="8" t="str">
        <v>Rua 1169</v>
      </c>
      <c r="N1216" s="8" t="str">
        <v>Comp 1169</v>
      </c>
      <c r="O1216" s="8" t="str">
        <v>Ventilador Umidificador Preto</v>
      </c>
      <c r="P1216" s="8" t="str">
        <v>HF-SI0F-XC7S</v>
      </c>
      <c r="Q1216" s="4">
        <v>45764</v>
      </c>
      <c r="R1216" s="109">
        <v>44.9</v>
      </c>
      <c r="S1216" s="11">
        <f ca="1"/>
        <v>0</v>
      </c>
      <c r="T1216" s="28">
        <f ca="1"/>
        <v>0</v>
      </c>
      <c r="U1216" s="11">
        <f ca="1"/>
        <v>0</v>
      </c>
      <c r="V1216" s="11">
        <v>0</v>
      </c>
      <c r="W1216" s="11">
        <f ca="1"/>
        <v>0</v>
      </c>
      <c r="X1216" s="11">
        <f ca="1"/>
        <v>0</v>
      </c>
      <c r="Y1216" s="11">
        <v>0</v>
      </c>
      <c r="Z1216" s="11">
        <f ca="1"/>
        <v>0</v>
      </c>
      <c r="AA1216" s="11">
        <f ca="1"/>
        <v>0</v>
      </c>
      <c r="AB1216" s="4">
        <f ca="1"/>
        <v>45771</v>
      </c>
      <c r="AC1216" s="4">
        <v>45771</v>
      </c>
      <c r="AD1216" s="9">
        <v>45779</v>
      </c>
      <c r="AE1216" s="9">
        <v>45783</v>
      </c>
      <c r="AF1216" s="4" t="str">
        <f t="shared" ca="1" si="80"/>
        <v>2025 04</v>
      </c>
      <c r="AG1216" s="8" t="str" cm="1">
        <f t="array" ref="AG1216">IFERROR(_xlfn.IFS('Banco de Dados'!#REF!="AG. COMPRA","Em processamento",'Banco de Dados'!#REF!="AG. RASTREIO","Em processamento",'Banco de Dados'!$AE1216&lt;&gt;"-","Faturado",'Banco de Dados'!$AD1216&lt;&gt;"-","Aguardando Pix",'Banco de Dados'!$AC1216&lt;&gt;"-","Pendente"),"Aguardando Liberação")</f>
        <v>Aguardando Liberação</v>
      </c>
      <c r="AH1216" s="5" t="str">
        <f ca="1">IF('Banco de Dados'!$F1216="-",_xlfn.CONCAT(PROPER(TEXT(AK1216,"aaaa"))," ",PROPER(TEXT(AK1216,"mm"))),_xlfn.CONCAT(PROPER(TEXT(E1216,"aaaa"))," ",PROPER(TEXT(E1216,"mm"))))</f>
        <v>2025 03</v>
      </c>
      <c r="AI1216" s="9" t="str">
        <f ca="1">IF('Banco de Dados'!$AK1216&lt;&gt;"-","REEMBOLSO",IFERROR(_xlfn.XLOOKUP(G1216,Follow[CODRASTREIO],Follow[STATUS]),"-"))</f>
        <v>REEMBOLSO</v>
      </c>
      <c r="AJ1216" s="9" t="str">
        <f ca="1">IF('Banco de Dados'!$AI1216="ENTREGUE",_xlfn.XLOOKUP('Banco de Dados'!$G1216,Follow[CODRASTREIO],Follow[DATAATUALIZAÇÃO]),"-")</f>
        <v>-</v>
      </c>
      <c r="AK1216" s="132">
        <f ca="1"/>
        <v>45735</v>
      </c>
      <c r="AL1216" s="35"/>
      <c r="AM1216" s="109" cm="1">
        <f t="array" aca="1" ref="AM1216" ca="1">IF('Banco de Dados'!$AK1216&lt;&gt;"-",_xlfn.IFS('Banco de Dados'!$A1216="bv",IF('Banco de Dados'!$E1216&lt;45641,ROUND(SUM('Banco de Dados'!$R1216*_xlfn.XLOOKUP('Banco de Dados'!$P1216,Sku!B:B,Sku!#REF!)*20%),2),ROUND(SUM('Banco de Dados'!$R1216*_xlfn.XLOOKUP('Banco de Dados'!$P1216,Sku!B:B,Sku!H:H)*20%),2)),'Banco de Dados'!$A1216="GO",ROUND(_xlfn.XLOOKUP('Banco de Dados'!$P1216,Sku!C:C,Sku!H:H),2),'Banco de Dados'!$A1216="MEI",ROUND(_xlfn.XLOOKUP('Banco de Dados'!$P1216,Sku!D:D,Sku!H:H),2)),0)</f>
        <v>1.26</v>
      </c>
      <c r="AN1216" s="109">
        <f ca="1">IF('Banco de Dados'!$AK1216&lt;&gt;"-",IF('Banco de Dados'!$F1216&lt;&gt;"-",_xlfn.XLOOKUP(IFERROR(IFERROR(IFERROR(VALUE(SUBSTITUTE(MID(_xlfn.TEXTAFTER('Banco de Dados'!$F1216,"Data do Pedido:
",1),1,10),"-","/")),VALUE(SUBSTITUTE(MID(_xlfn.TEXTAFTER('Banco de Dados'!$F1216,"Order date:
",1),1,10),"-","/"))),VALUE(SUBSTITUTE(MID(_xlfn.TEXTAFTER('Banco de Dados'!$F1216,"Fecha de pedido:
",1),1,10),"-","/"))),"-"),SMS!A:A,SMS!K:K),0),0)</f>
        <v>0</v>
      </c>
      <c r="AO1216" s="109">
        <f ca="1">IF('Banco de Dados'!$AK1216&lt;&gt;"-",IF('Banco de Dados'!$F1216&lt;&gt;"-",IFERROR(_xlfn.XLOOKUP(_xlfn.CONCAT('Banco de Dados'!$A1216,IFERROR(IFERROR(VALUE(SUBSTITUTE(MID(_xlfn.TEXTAFTER('Banco de Dados'!$F1216,"Data do Pedido:
",1),1,10),"-","/")),VALUE(SUBSTITUTE(MID(_xlfn.TEXTAFTER('Banco de Dados'!$F1216,"Order date:
",1),1,10),"-","/"))),0)),ProxyDD[Chave],ProxyDD[Valor por pedido]),PROXY!$P$2),0),0)</f>
        <v>0</v>
      </c>
      <c r="AP1216" s="28">
        <f ca="1">IF('Banco de Dados'!$AK1216&lt;&gt;"-",IF('Banco de Dados'!$AL1216="NÃO",IFERROR(VALUE(SUBSTITUTE(_xlfn.TEXTAFTER('Banco de Dados'!$F1216,"BRL ",1),".",",")),0),0),0)</f>
        <v>0</v>
      </c>
      <c r="AQ1216" s="28">
        <f ca="1">SUM('Banco de Dados'!$AM1216:$AP1216)</f>
        <v>1.26</v>
      </c>
      <c r="AR1216" s="8"/>
      <c r="AY1216" s="8"/>
    </row>
    <row r="1217" spans="1:51">
      <c r="A1217" s="5" t="str">
        <v>BV</v>
      </c>
      <c r="B1217" s="5" t="str">
        <f ca="1"/>
        <v>BV-</v>
      </c>
      <c r="C1217" s="8" t="str">
        <v>Pedido 1204</v>
      </c>
      <c r="D1217" s="9">
        <v>45732</v>
      </c>
      <c r="E1217" s="9" t="str">
        <v>-</v>
      </c>
      <c r="F1217" s="8" t="str">
        <v>-</v>
      </c>
      <c r="G1217" s="2" t="str">
        <v>-</v>
      </c>
      <c r="H1217" s="5">
        <v>1</v>
      </c>
      <c r="I1217" s="2" t="str">
        <v>CPF 1169</v>
      </c>
      <c r="J1217" s="2" t="str">
        <v>Nome 1169</v>
      </c>
      <c r="K1217" s="8" t="str">
        <v>Tel 1169</v>
      </c>
      <c r="L1217" s="8" t="str">
        <v>Cep 1169</v>
      </c>
      <c r="M1217" s="8" t="str">
        <v>Rua 1169</v>
      </c>
      <c r="N1217" s="8" t="str">
        <v>Comp 1169</v>
      </c>
      <c r="O1217" s="8" t="str">
        <v>Ventilador Umidificador Preto</v>
      </c>
      <c r="P1217" s="8" t="str">
        <v>HF-SI0F-XC7S</v>
      </c>
      <c r="Q1217" s="4">
        <v>45764</v>
      </c>
      <c r="R1217" s="109">
        <v>44.9</v>
      </c>
      <c r="S1217" s="11">
        <f ca="1"/>
        <v>0</v>
      </c>
      <c r="T1217" s="28">
        <f ca="1"/>
        <v>0</v>
      </c>
      <c r="U1217" s="11">
        <f ca="1"/>
        <v>0</v>
      </c>
      <c r="V1217" s="11">
        <v>29.98</v>
      </c>
      <c r="W1217" s="11">
        <f ca="1"/>
        <v>0</v>
      </c>
      <c r="X1217" s="11">
        <f ca="1"/>
        <v>0</v>
      </c>
      <c r="Y1217" s="11">
        <v>0</v>
      </c>
      <c r="Z1217" s="11">
        <f ca="1"/>
        <v>-29.98</v>
      </c>
      <c r="AA1217" s="11">
        <f ca="1"/>
        <v>-14.99</v>
      </c>
      <c r="AB1217" s="4">
        <f ca="1"/>
        <v>45771</v>
      </c>
      <c r="AC1217" s="4">
        <v>45771</v>
      </c>
      <c r="AD1217" s="9">
        <v>45779</v>
      </c>
      <c r="AE1217" s="9">
        <v>45783</v>
      </c>
      <c r="AF1217" s="4" t="str">
        <f t="shared" ca="1" si="80"/>
        <v>2025 04</v>
      </c>
      <c r="AG1217" s="8" t="str" cm="1">
        <f t="array" ref="AG1217">IFERROR(_xlfn.IFS('Banco de Dados'!#REF!="AG. COMPRA","Em processamento",'Banco de Dados'!#REF!="AG. RASTREIO","Em processamento",'Banco de Dados'!$AE1217&lt;&gt;"-","Faturado",'Banco de Dados'!$AD1217&lt;&gt;"-","Aguardando Pix",'Banco de Dados'!$AC1217&lt;&gt;"-","Pendente"),"Aguardando Liberação")</f>
        <v>Aguardando Liberação</v>
      </c>
      <c r="AH1217" s="5" t="str">
        <f ca="1">IF('Banco de Dados'!$F1217="-",_xlfn.CONCAT(PROPER(TEXT(AK1217,"aaaa"))," ",PROPER(TEXT(AK1217,"mm"))),_xlfn.CONCAT(PROPER(TEXT(E1217,"aaaa"))," ",PROPER(TEXT(E1217,"mm"))))</f>
        <v>2025 03</v>
      </c>
      <c r="AI1217" s="9" t="str">
        <f ca="1">IF('Banco de Dados'!$AK1217&lt;&gt;"-","REEMBOLSO",IFERROR(_xlfn.XLOOKUP(G1217,Follow[CODRASTREIO],Follow[STATUS]),"-"))</f>
        <v>REEMBOLSO</v>
      </c>
      <c r="AJ1217" s="9" t="str">
        <f ca="1">IF('Banco de Dados'!$AI1217="ENTREGUE",_xlfn.XLOOKUP('Banco de Dados'!$G1217,Follow[CODRASTREIO],Follow[DATAATUALIZAÇÃO]),"-")</f>
        <v>-</v>
      </c>
      <c r="AK1217" s="132">
        <f ca="1"/>
        <v>45737</v>
      </c>
      <c r="AL1217" s="35"/>
      <c r="AM1217" s="109" cm="1">
        <f t="array" aca="1" ref="AM1217" ca="1">IF('Banco de Dados'!$AK1217&lt;&gt;"-",_xlfn.IFS('Banco de Dados'!$A1217="bv",IF('Banco de Dados'!$E1217&lt;45641,ROUND(SUM('Banco de Dados'!$R1217*_xlfn.XLOOKUP('Banco de Dados'!$P1217,Sku!B:B,Sku!#REF!)*20%),2),ROUND(SUM('Banco de Dados'!$R1217*_xlfn.XLOOKUP('Banco de Dados'!$P1217,Sku!B:B,Sku!H:H)*20%),2)),'Banco de Dados'!$A1217="GO",ROUND(_xlfn.XLOOKUP('Banco de Dados'!$P1217,Sku!C:C,Sku!H:H),2),'Banco de Dados'!$A1217="MEI",ROUND(_xlfn.XLOOKUP('Banco de Dados'!$P1217,Sku!D:D,Sku!H:H),2)),0)</f>
        <v>1.26</v>
      </c>
      <c r="AN1217" s="109">
        <f ca="1">IF('Banco de Dados'!$AK1217&lt;&gt;"-",IF('Banco de Dados'!$F1217&lt;&gt;"-",_xlfn.XLOOKUP(IFERROR(IFERROR(IFERROR(VALUE(SUBSTITUTE(MID(_xlfn.TEXTAFTER('Banco de Dados'!$F1217,"Data do Pedido:
",1),1,10),"-","/")),VALUE(SUBSTITUTE(MID(_xlfn.TEXTAFTER('Banco de Dados'!$F1217,"Order date:
",1),1,10),"-","/"))),VALUE(SUBSTITUTE(MID(_xlfn.TEXTAFTER('Banco de Dados'!$F1217,"Fecha de pedido:
",1),1,10),"-","/"))),"-"),SMS!A:A,SMS!K:K),0),0)</f>
        <v>0</v>
      </c>
      <c r="AO1217" s="109">
        <f ca="1">IF('Banco de Dados'!$AK1217&lt;&gt;"-",IF('Banco de Dados'!$F1217&lt;&gt;"-",IFERROR(_xlfn.XLOOKUP(_xlfn.CONCAT('Banco de Dados'!$A1217,IFERROR(IFERROR(VALUE(SUBSTITUTE(MID(_xlfn.TEXTAFTER('Banco de Dados'!$F1217,"Data do Pedido:
",1),1,10),"-","/")),VALUE(SUBSTITUTE(MID(_xlfn.TEXTAFTER('Banco de Dados'!$F1217,"Order date:
",1),1,10),"-","/"))),0)),ProxyDD[Chave],ProxyDD[Valor por pedido]),PROXY!$P$2),0),0)</f>
        <v>0</v>
      </c>
      <c r="AP1217" s="28">
        <f ca="1">IF('Banco de Dados'!$AK1217&lt;&gt;"-",IF('Banco de Dados'!$AL1217="NÃO",IFERROR(VALUE(SUBSTITUTE(_xlfn.TEXTAFTER('Banco de Dados'!$F1217,"BRL ",1),".",",")),0),0),0)</f>
        <v>0</v>
      </c>
      <c r="AQ1217" s="28">
        <f ca="1">SUM('Banco de Dados'!$AM1217:$AP1217)</f>
        <v>1.26</v>
      </c>
      <c r="AR1217" s="8"/>
      <c r="AY1217" s="8"/>
    </row>
    <row r="1218" spans="1:51">
      <c r="A1218" s="5" t="str">
        <v>BV</v>
      </c>
      <c r="B1218" s="5" t="str">
        <f ca="1"/>
        <v>BV45734</v>
      </c>
      <c r="C1218" s="8" t="str">
        <v>Pedido 1205</v>
      </c>
      <c r="D1218" s="9">
        <v>45732</v>
      </c>
      <c r="E1218" s="9">
        <v>45734</v>
      </c>
      <c r="F1218" s="8" t="str">
        <v>PedidoF1167</v>
      </c>
      <c r="G1218" s="2" t="str">
        <v>CódRastreio1165</v>
      </c>
      <c r="H1218" s="5">
        <v>1</v>
      </c>
      <c r="I1218" s="2" t="str">
        <v>CPF 1171</v>
      </c>
      <c r="J1218" s="2" t="str">
        <v>Nome 1171</v>
      </c>
      <c r="K1218" s="8" t="str">
        <v>Tel 1171</v>
      </c>
      <c r="L1218" s="8" t="str">
        <v>Cep 1171</v>
      </c>
      <c r="M1218" s="8" t="str">
        <v>Rua 1171</v>
      </c>
      <c r="N1218" s="8" t="str">
        <v>Comp 1171</v>
      </c>
      <c r="O1218" s="8" t="str">
        <v>Suporte de Celular Branco</v>
      </c>
      <c r="P1218" s="8" t="str">
        <v>16-4EDB-WMZF</v>
      </c>
      <c r="Q1218" s="4">
        <v>45751</v>
      </c>
      <c r="R1218" s="109">
        <v>19.989999999999998</v>
      </c>
      <c r="S1218" s="11">
        <f ca="1"/>
        <v>19.989999999999998</v>
      </c>
      <c r="T1218" s="28">
        <f ca="1"/>
        <v>2.9984999999999995</v>
      </c>
      <c r="U1218" s="11">
        <f ca="1"/>
        <v>16.989999999999998</v>
      </c>
      <c r="V1218" s="11">
        <v>7.94</v>
      </c>
      <c r="W1218" s="11">
        <f ca="1"/>
        <v>1.1499999999999999</v>
      </c>
      <c r="X1218" s="11">
        <f ca="1"/>
        <v>0.39877104377104378</v>
      </c>
      <c r="Y1218" s="11">
        <v>0</v>
      </c>
      <c r="Z1218" s="11">
        <f ca="1"/>
        <v>7.5012289562289549</v>
      </c>
      <c r="AA1218" s="11">
        <f ca="1"/>
        <v>3.7506144781144775</v>
      </c>
      <c r="AB1218" s="4">
        <f ca="1"/>
        <v>45758</v>
      </c>
      <c r="AC1218" s="4">
        <v>45758</v>
      </c>
      <c r="AD1218" s="9">
        <v>45762</v>
      </c>
      <c r="AE1218" s="9">
        <v>45763</v>
      </c>
      <c r="AF1218" s="4" t="str">
        <f t="shared" ca="1" si="80"/>
        <v>2025 04</v>
      </c>
      <c r="AG1218" s="8" t="str" cm="1">
        <f t="array" ref="AG1218">IFERROR(_xlfn.IFS('Banco de Dados'!#REF!="AG. COMPRA","Em processamento",'Banco de Dados'!#REF!="AG. RASTREIO","Em processamento",'Banco de Dados'!$AE1218&lt;&gt;"-","Faturado",'Banco de Dados'!$AD1218&lt;&gt;"-","Aguardando Pix",'Banco de Dados'!$AC1218&lt;&gt;"-","Pendente"),"Aguardando Liberação")</f>
        <v>Aguardando Liberação</v>
      </c>
      <c r="AH1218" s="5" t="str">
        <f>IF('Banco de Dados'!$F1218="-",_xlfn.CONCAT(PROPER(TEXT(AK1218,"aaaa"))," ",PROPER(TEXT(AK1218,"mm"))),_xlfn.CONCAT(PROPER(TEXT(E1218,"aaaa"))," ",PROPER(TEXT(E1218,"mm"))))</f>
        <v>2025 03</v>
      </c>
      <c r="AI1218" s="9" t="str">
        <f ca="1">IF('Banco de Dados'!$AK1218&lt;&gt;"-","REEMBOLSO",IFERROR(_xlfn.XLOOKUP(G1218,Follow[CODRASTREIO],Follow[STATUS]),"-"))</f>
        <v>ENTREGUE</v>
      </c>
      <c r="AJ1218" s="9">
        <f ca="1">IF('Banco de Dados'!$AI1218="ENTREGUE",_xlfn.XLOOKUP('Banco de Dados'!$G1218,Follow[CODRASTREIO],Follow[DATAATUALIZAÇÃO]),"-")</f>
        <v>45740</v>
      </c>
      <c r="AK1218" s="132" t="str">
        <f ca="1"/>
        <v>-</v>
      </c>
      <c r="AL1218" s="35"/>
      <c r="AM1218" s="109" cm="1">
        <f t="array" aca="1" ref="AM1218" ca="1">IF('Banco de Dados'!$AK1218&lt;&gt;"-",_xlfn.IFS('Banco de Dados'!$A1218="bv",IF('Banco de Dados'!$E1218&lt;45641,ROUND(SUM('Banco de Dados'!$R1218*_xlfn.XLOOKUP('Banco de Dados'!$P1218,Sku!B:B,Sku!#REF!)*20%),2),ROUND(SUM('Banco de Dados'!$R1218*_xlfn.XLOOKUP('Banco de Dados'!$P1218,Sku!B:B,Sku!H:H)*20%),2)),'Banco de Dados'!$A1218="GO",ROUND(_xlfn.XLOOKUP('Banco de Dados'!$P1218,Sku!C:C,Sku!H:H),2),'Banco de Dados'!$A1218="MEI",ROUND(_xlfn.XLOOKUP('Banco de Dados'!$P1218,Sku!D:D,Sku!H:H),2)),0)</f>
        <v>0</v>
      </c>
      <c r="AN1218" s="109">
        <f ca="1">IF('Banco de Dados'!$AK1218&lt;&gt;"-",IF('Banco de Dados'!$F1218&lt;&gt;"-",_xlfn.XLOOKUP(IFERROR(IFERROR(IFERROR(VALUE(SUBSTITUTE(MID(_xlfn.TEXTAFTER('Banco de Dados'!$F1218,"Data do Pedido:
",1),1,10),"-","/")),VALUE(SUBSTITUTE(MID(_xlfn.TEXTAFTER('Banco de Dados'!$F1218,"Order date:
",1),1,10),"-","/"))),VALUE(SUBSTITUTE(MID(_xlfn.TEXTAFTER('Banco de Dados'!$F1218,"Fecha de pedido:
",1),1,10),"-","/"))),"-"),SMS!A:A,SMS!K:K),0),0)</f>
        <v>0</v>
      </c>
      <c r="AO1218" s="109">
        <f ca="1">IF('Banco de Dados'!$AK1218&lt;&gt;"-",IF('Banco de Dados'!$F1218&lt;&gt;"-",IFERROR(_xlfn.XLOOKUP(_xlfn.CONCAT('Banco de Dados'!$A1218,IFERROR(IFERROR(VALUE(SUBSTITUTE(MID(_xlfn.TEXTAFTER('Banco de Dados'!$F1218,"Data do Pedido:
",1),1,10),"-","/")),VALUE(SUBSTITUTE(MID(_xlfn.TEXTAFTER('Banco de Dados'!$F1218,"Order date:
",1),1,10),"-","/"))),0)),ProxyDD[Chave],ProxyDD[Valor por pedido]),PROXY!$P$2),0),0)</f>
        <v>0</v>
      </c>
      <c r="AP1218" s="28">
        <f ca="1">IF('Banco de Dados'!$AK1218&lt;&gt;"-",IF('Banco de Dados'!$AL1218="NÃO",IFERROR(VALUE(SUBSTITUTE(_xlfn.TEXTAFTER('Banco de Dados'!$F1218,"BRL ",1),".",",")),0),0),0)</f>
        <v>0</v>
      </c>
      <c r="AQ1218" s="28">
        <f ca="1">SUM('Banco de Dados'!$AM1218:$AP1218)</f>
        <v>0</v>
      </c>
      <c r="AR1218" s="8"/>
      <c r="AY1218" s="8"/>
    </row>
    <row r="1219" spans="1:51">
      <c r="A1219" s="5" t="str">
        <v>BV</v>
      </c>
      <c r="B1219" s="5" t="str">
        <f ca="1"/>
        <v>BV-</v>
      </c>
      <c r="C1219" s="8" t="str">
        <v>Pedido 1206</v>
      </c>
      <c r="D1219" s="9">
        <v>45732</v>
      </c>
      <c r="E1219" s="9" t="str">
        <v>-</v>
      </c>
      <c r="F1219" s="8" t="str">
        <v>-</v>
      </c>
      <c r="G1219" s="2" t="str">
        <v>-</v>
      </c>
      <c r="H1219" s="5">
        <v>1</v>
      </c>
      <c r="I1219" s="2" t="str">
        <v>CPF 1172</v>
      </c>
      <c r="J1219" s="2" t="str">
        <v>Nome 1172</v>
      </c>
      <c r="K1219" s="8" t="str">
        <v>Tel 1172</v>
      </c>
      <c r="L1219" s="8" t="str">
        <v>Cep 1172</v>
      </c>
      <c r="M1219" s="8" t="str">
        <v>Rua 1172</v>
      </c>
      <c r="N1219" s="8" t="str">
        <v>Comp 1172</v>
      </c>
      <c r="O1219" s="8" t="str">
        <v>Suporte de Celular Branco</v>
      </c>
      <c r="P1219" s="8" t="str">
        <v>16-4EDB-WMZF</v>
      </c>
      <c r="Q1219" s="4">
        <v>45757</v>
      </c>
      <c r="R1219" s="109">
        <v>19.989999999999998</v>
      </c>
      <c r="S1219" s="11">
        <f ca="1"/>
        <v>0</v>
      </c>
      <c r="T1219" s="28">
        <f ca="1"/>
        <v>0</v>
      </c>
      <c r="U1219" s="11">
        <f ca="1"/>
        <v>0</v>
      </c>
      <c r="V1219" s="11">
        <v>0</v>
      </c>
      <c r="W1219" s="11">
        <f ca="1"/>
        <v>0</v>
      </c>
      <c r="X1219" s="11">
        <f ca="1"/>
        <v>0</v>
      </c>
      <c r="Y1219" s="11">
        <v>0</v>
      </c>
      <c r="Z1219" s="11">
        <f ca="1"/>
        <v>0</v>
      </c>
      <c r="AA1219" s="11">
        <f ca="1"/>
        <v>0</v>
      </c>
      <c r="AB1219" s="4">
        <f ca="1"/>
        <v>45764</v>
      </c>
      <c r="AC1219" s="4">
        <v>45764</v>
      </c>
      <c r="AD1219" s="9">
        <v>45779</v>
      </c>
      <c r="AE1219" s="9">
        <v>45783</v>
      </c>
      <c r="AF1219" s="4" t="str">
        <f t="shared" ca="1" si="80"/>
        <v>2025 04</v>
      </c>
      <c r="AG1219" s="8" t="str" cm="1">
        <f t="array" ref="AG1219">IFERROR(_xlfn.IFS('Banco de Dados'!#REF!="AG. COMPRA","Em processamento",'Banco de Dados'!#REF!="AG. RASTREIO","Em processamento",'Banco de Dados'!$AE1219&lt;&gt;"-","Faturado",'Banco de Dados'!$AD1219&lt;&gt;"-","Aguardando Pix",'Banco de Dados'!$AC1219&lt;&gt;"-","Pendente"),"Aguardando Liberação")</f>
        <v>Aguardando Liberação</v>
      </c>
      <c r="AH1219" s="5" t="str">
        <f ca="1">IF('Banco de Dados'!$F1219="-",_xlfn.CONCAT(PROPER(TEXT(AK1219,"aaaa"))," ",PROPER(TEXT(AK1219,"mm"))),_xlfn.CONCAT(PROPER(TEXT(E1219,"aaaa"))," ",PROPER(TEXT(E1219,"mm"))))</f>
        <v>2025 03</v>
      </c>
      <c r="AI1219" s="9" t="str">
        <f ca="1">IF('Banco de Dados'!$AK1219&lt;&gt;"-","REEMBOLSO",IFERROR(_xlfn.XLOOKUP(G1219,Follow[CODRASTREIO],Follow[STATUS]),"-"))</f>
        <v>REEMBOLSO</v>
      </c>
      <c r="AJ1219" s="9" t="str">
        <f ca="1">IF('Banco de Dados'!$AI1219="ENTREGUE",_xlfn.XLOOKUP('Banco de Dados'!$G1219,Follow[CODRASTREIO],Follow[DATAATUALIZAÇÃO]),"-")</f>
        <v>-</v>
      </c>
      <c r="AK1219" s="132">
        <f ca="1"/>
        <v>45738</v>
      </c>
      <c r="AL1219" s="35"/>
      <c r="AM1219" s="109" cm="1">
        <f t="array" aca="1" ref="AM1219" ca="1">IF('Banco de Dados'!$AK1219&lt;&gt;"-",_xlfn.IFS('Banco de Dados'!$A1219="bv",IF('Banco de Dados'!$E1219&lt;45641,ROUND(SUM('Banco de Dados'!$R1219*_xlfn.XLOOKUP('Banco de Dados'!$P1219,Sku!B:B,Sku!#REF!)*20%),2),ROUND(SUM('Banco de Dados'!$R1219*_xlfn.XLOOKUP('Banco de Dados'!$P1219,Sku!B:B,Sku!H:H)*20%),2)),'Banco de Dados'!$A1219="GO",ROUND(_xlfn.XLOOKUP('Banco de Dados'!$P1219,Sku!C:C,Sku!H:H),2),'Banco de Dados'!$A1219="MEI",ROUND(_xlfn.XLOOKUP('Banco de Dados'!$P1219,Sku!D:D,Sku!H:H),2)),0)</f>
        <v>0.6</v>
      </c>
      <c r="AN1219" s="109">
        <f ca="1">IF('Banco de Dados'!$AK1219&lt;&gt;"-",IF('Banco de Dados'!$F1219&lt;&gt;"-",_xlfn.XLOOKUP(IFERROR(IFERROR(IFERROR(VALUE(SUBSTITUTE(MID(_xlfn.TEXTAFTER('Banco de Dados'!$F1219,"Data do Pedido:
",1),1,10),"-","/")),VALUE(SUBSTITUTE(MID(_xlfn.TEXTAFTER('Banco de Dados'!$F1219,"Order date:
",1),1,10),"-","/"))),VALUE(SUBSTITUTE(MID(_xlfn.TEXTAFTER('Banco de Dados'!$F1219,"Fecha de pedido:
",1),1,10),"-","/"))),"-"),SMS!A:A,SMS!K:K),0),0)</f>
        <v>0</v>
      </c>
      <c r="AO1219" s="109">
        <f ca="1">IF('Banco de Dados'!$AK1219&lt;&gt;"-",IF('Banco de Dados'!$F1219&lt;&gt;"-",IFERROR(_xlfn.XLOOKUP(_xlfn.CONCAT('Banco de Dados'!$A1219,IFERROR(IFERROR(VALUE(SUBSTITUTE(MID(_xlfn.TEXTAFTER('Banco de Dados'!$F1219,"Data do Pedido:
",1),1,10),"-","/")),VALUE(SUBSTITUTE(MID(_xlfn.TEXTAFTER('Banco de Dados'!$F1219,"Order date:
",1),1,10),"-","/"))),0)),ProxyDD[Chave],ProxyDD[Valor por pedido]),PROXY!$P$2),0),0)</f>
        <v>0</v>
      </c>
      <c r="AP1219" s="28">
        <f ca="1">IF('Banco de Dados'!$AK1219&lt;&gt;"-",IF('Banco de Dados'!$AL1219="NÃO",IFERROR(VALUE(SUBSTITUTE(_xlfn.TEXTAFTER('Banco de Dados'!$F1219,"BRL ",1),".",",")),0),0),0)</f>
        <v>0</v>
      </c>
      <c r="AQ1219" s="28">
        <f ca="1">SUM('Banco de Dados'!$AM1219:$AP1219)</f>
        <v>0.6</v>
      </c>
      <c r="AR1219" s="8"/>
      <c r="AY1219" s="8"/>
    </row>
    <row r="1220" spans="1:51">
      <c r="A1220" s="5" t="str">
        <v>BV</v>
      </c>
      <c r="B1220" s="5" t="str">
        <f ca="1"/>
        <v>BV-</v>
      </c>
      <c r="C1220" s="8" t="str">
        <v>Pedido 1207</v>
      </c>
      <c r="D1220" s="9">
        <v>45732</v>
      </c>
      <c r="E1220" s="9" t="str">
        <v>-</v>
      </c>
      <c r="F1220" s="8" t="str">
        <v>-</v>
      </c>
      <c r="G1220" s="2" t="str">
        <v>-</v>
      </c>
      <c r="H1220" s="5">
        <v>1</v>
      </c>
      <c r="I1220" s="2" t="str">
        <v>CPF 1169</v>
      </c>
      <c r="J1220" s="2" t="str">
        <v>Nome 1169</v>
      </c>
      <c r="K1220" s="8" t="str">
        <v>Tel 1169</v>
      </c>
      <c r="L1220" s="8" t="str">
        <v>Cep 1169</v>
      </c>
      <c r="M1220" s="8" t="str">
        <v>Rua 1169</v>
      </c>
      <c r="N1220" s="8" t="str">
        <v>Comp 1169</v>
      </c>
      <c r="O1220" s="8" t="str">
        <v>Ventilador Umidificador Preto</v>
      </c>
      <c r="P1220" s="8" t="str">
        <v>HF-SI0F-XC7S</v>
      </c>
      <c r="Q1220" s="4">
        <v>45764</v>
      </c>
      <c r="R1220" s="109">
        <v>44.9</v>
      </c>
      <c r="S1220" s="11">
        <f ca="1"/>
        <v>0</v>
      </c>
      <c r="T1220" s="28">
        <f ca="1"/>
        <v>0</v>
      </c>
      <c r="U1220" s="11">
        <f ca="1"/>
        <v>0</v>
      </c>
      <c r="V1220" s="11">
        <v>0</v>
      </c>
      <c r="W1220" s="11">
        <f ca="1"/>
        <v>0</v>
      </c>
      <c r="X1220" s="11">
        <f ca="1"/>
        <v>0</v>
      </c>
      <c r="Y1220" s="11">
        <v>0</v>
      </c>
      <c r="Z1220" s="11">
        <f ca="1"/>
        <v>0</v>
      </c>
      <c r="AA1220" s="11">
        <f ca="1"/>
        <v>0</v>
      </c>
      <c r="AB1220" s="4">
        <f ca="1"/>
        <v>45771</v>
      </c>
      <c r="AC1220" s="4">
        <v>45771</v>
      </c>
      <c r="AD1220" s="9">
        <v>45779</v>
      </c>
      <c r="AE1220" s="9">
        <v>45783</v>
      </c>
      <c r="AF1220" s="4" t="str">
        <f t="shared" ca="1" si="80"/>
        <v>2025 04</v>
      </c>
      <c r="AG1220" s="8" t="str" cm="1">
        <f t="array" ref="AG1220">IFERROR(_xlfn.IFS('Banco de Dados'!#REF!="AG. COMPRA","Em processamento",'Banco de Dados'!#REF!="AG. RASTREIO","Em processamento",'Banco de Dados'!$AE1220&lt;&gt;"-","Faturado",'Banco de Dados'!$AD1220&lt;&gt;"-","Aguardando Pix",'Banco de Dados'!$AC1220&lt;&gt;"-","Pendente"),"Aguardando Liberação")</f>
        <v>Aguardando Liberação</v>
      </c>
      <c r="AH1220" s="5" t="str">
        <f ca="1">IF('Banco de Dados'!$F1220="-",_xlfn.CONCAT(PROPER(TEXT(AK1220,"aaaa"))," ",PROPER(TEXT(AK1220,"mm"))),_xlfn.CONCAT(PROPER(TEXT(E1220,"aaaa"))," ",PROPER(TEXT(E1220,"mm"))))</f>
        <v>2025 03</v>
      </c>
      <c r="AI1220" s="9" t="str">
        <f ca="1">IF('Banco de Dados'!$AK1220&lt;&gt;"-","REEMBOLSO",IFERROR(_xlfn.XLOOKUP(G1220,Follow[CODRASTREIO],Follow[STATUS]),"-"))</f>
        <v>REEMBOLSO</v>
      </c>
      <c r="AJ1220" s="9" t="str">
        <f ca="1">IF('Banco de Dados'!$AI1220="ENTREGUE",_xlfn.XLOOKUP('Banco de Dados'!$G1220,Follow[CODRASTREIO],Follow[DATAATUALIZAÇÃO]),"-")</f>
        <v>-</v>
      </c>
      <c r="AK1220" s="132">
        <f ca="1"/>
        <v>45738</v>
      </c>
      <c r="AL1220" s="35"/>
      <c r="AM1220" s="109" cm="1">
        <f t="array" aca="1" ref="AM1220" ca="1">IF('Banco de Dados'!$AK1220&lt;&gt;"-",_xlfn.IFS('Banco de Dados'!$A1220="bv",IF('Banco de Dados'!$E1220&lt;45641,ROUND(SUM('Banco de Dados'!$R1220*_xlfn.XLOOKUP('Banco de Dados'!$P1220,Sku!B:B,Sku!#REF!)*20%),2),ROUND(SUM('Banco de Dados'!$R1220*_xlfn.XLOOKUP('Banco de Dados'!$P1220,Sku!B:B,Sku!H:H)*20%),2)),'Banco de Dados'!$A1220="GO",ROUND(_xlfn.XLOOKUP('Banco de Dados'!$P1220,Sku!C:C,Sku!H:H),2),'Banco de Dados'!$A1220="MEI",ROUND(_xlfn.XLOOKUP('Banco de Dados'!$P1220,Sku!D:D,Sku!H:H),2)),0)</f>
        <v>1.26</v>
      </c>
      <c r="AN1220" s="109">
        <f ca="1">IF('Banco de Dados'!$AK1220&lt;&gt;"-",IF('Banco de Dados'!$F1220&lt;&gt;"-",_xlfn.XLOOKUP(IFERROR(IFERROR(IFERROR(VALUE(SUBSTITUTE(MID(_xlfn.TEXTAFTER('Banco de Dados'!$F1220,"Data do Pedido:
",1),1,10),"-","/")),VALUE(SUBSTITUTE(MID(_xlfn.TEXTAFTER('Banco de Dados'!$F1220,"Order date:
",1),1,10),"-","/"))),VALUE(SUBSTITUTE(MID(_xlfn.TEXTAFTER('Banco de Dados'!$F1220,"Fecha de pedido:
",1),1,10),"-","/"))),"-"),SMS!A:A,SMS!K:K),0),0)</f>
        <v>0</v>
      </c>
      <c r="AO1220" s="109">
        <f ca="1">IF('Banco de Dados'!$AK1220&lt;&gt;"-",IF('Banco de Dados'!$F1220&lt;&gt;"-",IFERROR(_xlfn.XLOOKUP(_xlfn.CONCAT('Banco de Dados'!$A1220,IFERROR(IFERROR(VALUE(SUBSTITUTE(MID(_xlfn.TEXTAFTER('Banco de Dados'!$F1220,"Data do Pedido:
",1),1,10),"-","/")),VALUE(SUBSTITUTE(MID(_xlfn.TEXTAFTER('Banco de Dados'!$F1220,"Order date:
",1),1,10),"-","/"))),0)),ProxyDD[Chave],ProxyDD[Valor por pedido]),PROXY!$P$2),0),0)</f>
        <v>0</v>
      </c>
      <c r="AP1220" s="28">
        <f ca="1">IF('Banco de Dados'!$AK1220&lt;&gt;"-",IF('Banco de Dados'!$AL1220="NÃO",IFERROR(VALUE(SUBSTITUTE(_xlfn.TEXTAFTER('Banco de Dados'!$F1220,"BRL ",1),".",",")),0),0),0)</f>
        <v>0</v>
      </c>
      <c r="AQ1220" s="28">
        <f ca="1">SUM('Banco de Dados'!$AM1220:$AP1220)</f>
        <v>1.26</v>
      </c>
      <c r="AR1220" s="8"/>
      <c r="AY1220" s="8"/>
    </row>
    <row r="1221" spans="1:51">
      <c r="A1221" s="5" t="str">
        <v>BV</v>
      </c>
      <c r="B1221" s="5" t="str">
        <f ca="1"/>
        <v>BV45732</v>
      </c>
      <c r="C1221" s="8" t="str">
        <v>Pedido 1208</v>
      </c>
      <c r="D1221" s="9">
        <v>45732</v>
      </c>
      <c r="E1221" s="9">
        <v>45732</v>
      </c>
      <c r="F1221" s="8" t="str">
        <v>PedidoF1168</v>
      </c>
      <c r="G1221" s="2" t="str">
        <v>CódRastreio1166</v>
      </c>
      <c r="H1221" s="5">
        <v>1</v>
      </c>
      <c r="I1221" s="2" t="str">
        <v>CPF 1174</v>
      </c>
      <c r="J1221" s="2" t="str">
        <v>Nome 1174</v>
      </c>
      <c r="K1221" s="8" t="str">
        <v>Tel 1174</v>
      </c>
      <c r="L1221" s="8" t="str">
        <v>Cep 1174</v>
      </c>
      <c r="M1221" s="8" t="str">
        <v>Rua 1174</v>
      </c>
      <c r="N1221" s="8" t="str">
        <v>Comp 1174</v>
      </c>
      <c r="O1221" s="8" t="str">
        <v>Ventilador Rosa</v>
      </c>
      <c r="P1221" s="8" t="str">
        <v>IF-G2ZQ-79FO</v>
      </c>
      <c r="Q1221" s="4">
        <v>45751</v>
      </c>
      <c r="R1221" s="109">
        <v>59.9</v>
      </c>
      <c r="S1221" s="11">
        <f ca="1"/>
        <v>59.9</v>
      </c>
      <c r="T1221" s="28">
        <f ca="1"/>
        <v>7.7869999999999999</v>
      </c>
      <c r="U1221" s="11">
        <f ca="1"/>
        <v>52.11</v>
      </c>
      <c r="V1221" s="11">
        <v>13.98</v>
      </c>
      <c r="W1221" s="11">
        <f ca="1"/>
        <v>0.82</v>
      </c>
      <c r="X1221" s="11">
        <f ca="1"/>
        <v>0.39877104377104378</v>
      </c>
      <c r="Y1221" s="11">
        <v>0</v>
      </c>
      <c r="Z1221" s="11">
        <f ca="1"/>
        <v>36.911228956228953</v>
      </c>
      <c r="AA1221" s="11">
        <f ca="1"/>
        <v>18.455614478114477</v>
      </c>
      <c r="AB1221" s="4">
        <f ca="1"/>
        <v>45758</v>
      </c>
      <c r="AC1221" s="4">
        <v>45758</v>
      </c>
      <c r="AD1221" s="9">
        <v>45762</v>
      </c>
      <c r="AE1221" s="9">
        <v>45763</v>
      </c>
      <c r="AF1221" s="4" t="str">
        <f t="shared" ca="1" si="80"/>
        <v>2025 04</v>
      </c>
      <c r="AG1221" s="8" t="str" cm="1">
        <f t="array" ref="AG1221">IFERROR(_xlfn.IFS('Banco de Dados'!#REF!="AG. COMPRA","Em processamento",'Banco de Dados'!#REF!="AG. RASTREIO","Em processamento",'Banco de Dados'!$AE1221&lt;&gt;"-","Faturado",'Banco de Dados'!$AD1221&lt;&gt;"-","Aguardando Pix",'Banco de Dados'!$AC1221&lt;&gt;"-","Pendente"),"Aguardando Liberação")</f>
        <v>Aguardando Liberação</v>
      </c>
      <c r="AH1221" s="5" t="str">
        <f>IF('Banco de Dados'!$F1221="-",_xlfn.CONCAT(PROPER(TEXT(AK1221,"aaaa"))," ",PROPER(TEXT(AK1221,"mm"))),_xlfn.CONCAT(PROPER(TEXT(E1221,"aaaa"))," ",PROPER(TEXT(E1221,"mm"))))</f>
        <v>2025 03</v>
      </c>
      <c r="AI1221" s="9" t="str">
        <f ca="1">IF('Banco de Dados'!$AK1221&lt;&gt;"-","REEMBOLSO",IFERROR(_xlfn.XLOOKUP(G1221,Follow[CODRASTREIO],Follow[STATUS]),"-"))</f>
        <v>ENTREGUE</v>
      </c>
      <c r="AJ1221" s="9">
        <f ca="1">IF('Banco de Dados'!$AI1221="ENTREGUE",_xlfn.XLOOKUP('Banco de Dados'!$G1221,Follow[CODRASTREIO],Follow[DATAATUALIZAÇÃO]),"-")</f>
        <v>45754</v>
      </c>
      <c r="AK1221" s="132" t="str">
        <f ca="1"/>
        <v>-</v>
      </c>
      <c r="AL1221" s="35"/>
      <c r="AM1221" s="109" cm="1">
        <f t="array" aca="1" ref="AM1221" ca="1">IF('Banco de Dados'!$AK1221&lt;&gt;"-",_xlfn.IFS('Banco de Dados'!$A1221="bv",IF('Banco de Dados'!$E1221&lt;45641,ROUND(SUM('Banco de Dados'!$R1221*_xlfn.XLOOKUP('Banco de Dados'!$P1221,Sku!B:B,Sku!#REF!)*20%),2),ROUND(SUM('Banco de Dados'!$R1221*_xlfn.XLOOKUP('Banco de Dados'!$P1221,Sku!B:B,Sku!H:H)*20%),2)),'Banco de Dados'!$A1221="GO",ROUND(_xlfn.XLOOKUP('Banco de Dados'!$P1221,Sku!C:C,Sku!H:H),2),'Banco de Dados'!$A1221="MEI",ROUND(_xlfn.XLOOKUP('Banco de Dados'!$P1221,Sku!D:D,Sku!H:H),2)),0)</f>
        <v>0</v>
      </c>
      <c r="AN1221" s="109">
        <f ca="1">IF('Banco de Dados'!$AK1221&lt;&gt;"-",IF('Banco de Dados'!$F1221&lt;&gt;"-",_xlfn.XLOOKUP(IFERROR(IFERROR(IFERROR(VALUE(SUBSTITUTE(MID(_xlfn.TEXTAFTER('Banco de Dados'!$F1221,"Data do Pedido:
",1),1,10),"-","/")),VALUE(SUBSTITUTE(MID(_xlfn.TEXTAFTER('Banco de Dados'!$F1221,"Order date:
",1),1,10),"-","/"))),VALUE(SUBSTITUTE(MID(_xlfn.TEXTAFTER('Banco de Dados'!$F1221,"Fecha de pedido:
",1),1,10),"-","/"))),"-"),SMS!A:A,SMS!K:K),0),0)</f>
        <v>0</v>
      </c>
      <c r="AO1221" s="109">
        <f ca="1">IF('Banco de Dados'!$AK1221&lt;&gt;"-",IF('Banco de Dados'!$F1221&lt;&gt;"-",IFERROR(_xlfn.XLOOKUP(_xlfn.CONCAT('Banco de Dados'!$A1221,IFERROR(IFERROR(VALUE(SUBSTITUTE(MID(_xlfn.TEXTAFTER('Banco de Dados'!$F1221,"Data do Pedido:
",1),1,10),"-","/")),VALUE(SUBSTITUTE(MID(_xlfn.TEXTAFTER('Banco de Dados'!$F1221,"Order date:
",1),1,10),"-","/"))),0)),ProxyDD[Chave],ProxyDD[Valor por pedido]),PROXY!$P$2),0),0)</f>
        <v>0</v>
      </c>
      <c r="AP1221" s="28">
        <f ca="1">IF('Banco de Dados'!$AK1221&lt;&gt;"-",IF('Banco de Dados'!$AL1221="NÃO",IFERROR(VALUE(SUBSTITUTE(_xlfn.TEXTAFTER('Banco de Dados'!$F1221,"BRL ",1),".",",")),0),0),0)</f>
        <v>0</v>
      </c>
      <c r="AQ1221" s="28">
        <f ca="1">SUM('Banco de Dados'!$AM1221:$AP1221)</f>
        <v>0</v>
      </c>
      <c r="AR1221" s="8"/>
      <c r="AY1221" s="8"/>
    </row>
    <row r="1222" spans="1:51">
      <c r="A1222" s="5" t="str">
        <v>BV</v>
      </c>
      <c r="B1222" s="5" t="str">
        <f ca="1"/>
        <v>BV45732</v>
      </c>
      <c r="C1222" s="8" t="str">
        <v>Pedido 1209</v>
      </c>
      <c r="D1222" s="9">
        <v>45732</v>
      </c>
      <c r="E1222" s="9">
        <v>45732</v>
      </c>
      <c r="F1222" s="8" t="str">
        <v>PedidoF1169</v>
      </c>
      <c r="G1222" s="2" t="str">
        <v>CódRastreio1167</v>
      </c>
      <c r="H1222" s="5">
        <v>1</v>
      </c>
      <c r="I1222" s="2" t="str">
        <v>CPF 1175</v>
      </c>
      <c r="J1222" s="2" t="str">
        <v>Nome 1175</v>
      </c>
      <c r="K1222" s="8" t="str">
        <v>Tel 1175</v>
      </c>
      <c r="L1222" s="8" t="str">
        <v>Cep 1175</v>
      </c>
      <c r="M1222" s="8" t="str">
        <v>Rua 1175</v>
      </c>
      <c r="N1222" s="8" t="str">
        <v>Comp 1175</v>
      </c>
      <c r="O1222" s="8" t="str">
        <v>Ventilador Azul</v>
      </c>
      <c r="P1222" s="8" t="str">
        <v>U8-2VWS-OB6M</v>
      </c>
      <c r="Q1222" s="4">
        <v>45751</v>
      </c>
      <c r="R1222" s="109">
        <v>50.45</v>
      </c>
      <c r="S1222" s="11">
        <f ca="1"/>
        <v>50.45</v>
      </c>
      <c r="T1222" s="28">
        <f ca="1"/>
        <v>6.5585000000000004</v>
      </c>
      <c r="U1222" s="11">
        <f ca="1"/>
        <v>43.89</v>
      </c>
      <c r="V1222" s="11">
        <v>13.7</v>
      </c>
      <c r="W1222" s="11">
        <f ca="1"/>
        <v>0.82</v>
      </c>
      <c r="X1222" s="11">
        <f ca="1"/>
        <v>0.39877104377104378</v>
      </c>
      <c r="Y1222" s="11">
        <v>0</v>
      </c>
      <c r="Z1222" s="11">
        <f ca="1"/>
        <v>28.971228956228956</v>
      </c>
      <c r="AA1222" s="11">
        <f ca="1"/>
        <v>14.485614478114478</v>
      </c>
      <c r="AB1222" s="4">
        <f ca="1"/>
        <v>45758</v>
      </c>
      <c r="AC1222" s="4">
        <v>45758</v>
      </c>
      <c r="AD1222" s="9">
        <v>45762</v>
      </c>
      <c r="AE1222" s="9">
        <v>45763</v>
      </c>
      <c r="AF1222" s="4" t="str">
        <f t="shared" ref="AF1222:AF1246" ca="1" si="81">_xlfn.CONCAT(PROPER(TEXT(AB1222,"aaaa"))," ",PROPER(TEXT(AB1222,"mm")))</f>
        <v>2025 04</v>
      </c>
      <c r="AG1222" s="8" t="str" cm="1">
        <f t="array" ref="AG1222">IFERROR(_xlfn.IFS('Banco de Dados'!#REF!="AG. COMPRA","Em processamento",'Banco de Dados'!#REF!="AG. RASTREIO","Em processamento",'Banco de Dados'!$AE1222&lt;&gt;"-","Faturado",'Banco de Dados'!$AD1222&lt;&gt;"-","Aguardando Pix",'Banco de Dados'!$AC1222&lt;&gt;"-","Pendente"),"Aguardando Liberação")</f>
        <v>Aguardando Liberação</v>
      </c>
      <c r="AH1222" s="5" t="str">
        <f>IF('Banco de Dados'!$F1222="-",_xlfn.CONCAT(PROPER(TEXT(AK1222,"aaaa"))," ",PROPER(TEXT(AK1222,"mm"))),_xlfn.CONCAT(PROPER(TEXT(E1222,"aaaa"))," ",PROPER(TEXT(E1222,"mm"))))</f>
        <v>2025 03</v>
      </c>
      <c r="AI1222" s="9" t="str">
        <f ca="1">IF('Banco de Dados'!$AK1222&lt;&gt;"-","REEMBOLSO",IFERROR(_xlfn.XLOOKUP(G1222,Follow[CODRASTREIO],Follow[STATUS]),"-"))</f>
        <v>ENTREGUE</v>
      </c>
      <c r="AJ1222" s="9">
        <f ca="1">IF('Banco de Dados'!$AI1222="ENTREGUE",_xlfn.XLOOKUP('Banco de Dados'!$G1222,Follow[CODRASTREIO],Follow[DATAATUALIZAÇÃO]),"-")</f>
        <v>45751</v>
      </c>
      <c r="AK1222" s="132" t="str">
        <f ca="1"/>
        <v>-</v>
      </c>
      <c r="AL1222" s="35"/>
      <c r="AM1222" s="109" cm="1">
        <f t="array" aca="1" ref="AM1222" ca="1">IF('Banco de Dados'!$AK1222&lt;&gt;"-",_xlfn.IFS('Banco de Dados'!$A1222="bv",IF('Banco de Dados'!$E1222&lt;45641,ROUND(SUM('Banco de Dados'!$R1222*_xlfn.XLOOKUP('Banco de Dados'!$P1222,Sku!B:B,Sku!#REF!)*20%),2),ROUND(SUM('Banco de Dados'!$R1222*_xlfn.XLOOKUP('Banco de Dados'!$P1222,Sku!B:B,Sku!H:H)*20%),2)),'Banco de Dados'!$A1222="GO",ROUND(_xlfn.XLOOKUP('Banco de Dados'!$P1222,Sku!C:C,Sku!H:H),2),'Banco de Dados'!$A1222="MEI",ROUND(_xlfn.XLOOKUP('Banco de Dados'!$P1222,Sku!D:D,Sku!H:H),2)),0)</f>
        <v>0</v>
      </c>
      <c r="AN1222" s="109">
        <f ca="1">IF('Banco de Dados'!$AK1222&lt;&gt;"-",IF('Banco de Dados'!$F1222&lt;&gt;"-",_xlfn.XLOOKUP(IFERROR(IFERROR(IFERROR(VALUE(SUBSTITUTE(MID(_xlfn.TEXTAFTER('Banco de Dados'!$F1222,"Data do Pedido:
",1),1,10),"-","/")),VALUE(SUBSTITUTE(MID(_xlfn.TEXTAFTER('Banco de Dados'!$F1222,"Order date:
",1),1,10),"-","/"))),VALUE(SUBSTITUTE(MID(_xlfn.TEXTAFTER('Banco de Dados'!$F1222,"Fecha de pedido:
",1),1,10),"-","/"))),"-"),SMS!A:A,SMS!K:K),0),0)</f>
        <v>0</v>
      </c>
      <c r="AO1222" s="109">
        <f ca="1">IF('Banco de Dados'!$AK1222&lt;&gt;"-",IF('Banco de Dados'!$F1222&lt;&gt;"-",IFERROR(_xlfn.XLOOKUP(_xlfn.CONCAT('Banco de Dados'!$A1222,IFERROR(IFERROR(VALUE(SUBSTITUTE(MID(_xlfn.TEXTAFTER('Banco de Dados'!$F1222,"Data do Pedido:
",1),1,10),"-","/")),VALUE(SUBSTITUTE(MID(_xlfn.TEXTAFTER('Banco de Dados'!$F1222,"Order date:
",1),1,10),"-","/"))),0)),ProxyDD[Chave],ProxyDD[Valor por pedido]),PROXY!$P$2),0),0)</f>
        <v>0</v>
      </c>
      <c r="AP1222" s="28">
        <f ca="1">IF('Banco de Dados'!$AK1222&lt;&gt;"-",IF('Banco de Dados'!$AL1222="NÃO",IFERROR(VALUE(SUBSTITUTE(_xlfn.TEXTAFTER('Banco de Dados'!$F1222,"BRL ",1),".",",")),0),0),0)</f>
        <v>0</v>
      </c>
      <c r="AQ1222" s="28">
        <f ca="1">SUM('Banco de Dados'!$AM1222:$AP1222)</f>
        <v>0</v>
      </c>
      <c r="AR1222" s="8"/>
      <c r="AY1222" s="8"/>
    </row>
    <row r="1223" spans="1:51">
      <c r="A1223" s="5" t="str">
        <v>BV</v>
      </c>
      <c r="B1223" s="5" t="str">
        <f ca="1"/>
        <v>BV-</v>
      </c>
      <c r="C1223" s="8" t="str">
        <v>Pedido 1210</v>
      </c>
      <c r="D1223" s="9">
        <v>45732</v>
      </c>
      <c r="E1223" s="9" t="str">
        <v>-</v>
      </c>
      <c r="F1223" s="8" t="str">
        <v>-</v>
      </c>
      <c r="G1223" s="2" t="str">
        <v>-</v>
      </c>
      <c r="H1223" s="5">
        <v>1</v>
      </c>
      <c r="I1223" s="2" t="str">
        <v>CPF 1176</v>
      </c>
      <c r="J1223" s="2" t="str">
        <v>Nome 1176</v>
      </c>
      <c r="K1223" s="8" t="str">
        <v>Tel 1176</v>
      </c>
      <c r="L1223" s="8" t="str">
        <v>Cep 1176</v>
      </c>
      <c r="M1223" s="8" t="str">
        <v>Rua 1176</v>
      </c>
      <c r="N1223" s="8" t="str">
        <v>Comp 1176</v>
      </c>
      <c r="O1223" s="8" t="str">
        <v>Ventilador Umidificador Preto</v>
      </c>
      <c r="P1223" s="8" t="str">
        <v>HF-SI0F-XC7S</v>
      </c>
      <c r="Q1223" s="4">
        <v>45751</v>
      </c>
      <c r="R1223" s="109">
        <v>44.9</v>
      </c>
      <c r="S1223" s="11">
        <f ca="1"/>
        <v>0</v>
      </c>
      <c r="T1223" s="28">
        <f ca="1"/>
        <v>0</v>
      </c>
      <c r="U1223" s="11">
        <f ca="1"/>
        <v>0</v>
      </c>
      <c r="V1223" s="11">
        <v>0</v>
      </c>
      <c r="W1223" s="11">
        <f ca="1"/>
        <v>0</v>
      </c>
      <c r="X1223" s="11">
        <f ca="1"/>
        <v>0</v>
      </c>
      <c r="Y1223" s="11">
        <v>0</v>
      </c>
      <c r="Z1223" s="11">
        <f ca="1"/>
        <v>0</v>
      </c>
      <c r="AA1223" s="11">
        <f ca="1"/>
        <v>0</v>
      </c>
      <c r="AB1223" s="4">
        <f ca="1"/>
        <v>45758</v>
      </c>
      <c r="AC1223" s="4">
        <v>45758</v>
      </c>
      <c r="AD1223" s="9">
        <v>45762</v>
      </c>
      <c r="AE1223" s="9">
        <v>45763</v>
      </c>
      <c r="AF1223" s="4" t="str">
        <f t="shared" ca="1" si="81"/>
        <v>2025 04</v>
      </c>
      <c r="AG1223" s="8" t="str" cm="1">
        <f t="array" ref="AG1223">IFERROR(_xlfn.IFS('Banco de Dados'!#REF!="AG. COMPRA","Em processamento",'Banco de Dados'!#REF!="AG. RASTREIO","Em processamento",'Banco de Dados'!$AE1223&lt;&gt;"-","Faturado",'Banco de Dados'!$AD1223&lt;&gt;"-","Aguardando Pix",'Banco de Dados'!$AC1223&lt;&gt;"-","Pendente"),"Aguardando Liberação")</f>
        <v>Aguardando Liberação</v>
      </c>
      <c r="AH1223" s="5" t="str">
        <f ca="1">IF('Banco de Dados'!$F1223="-",_xlfn.CONCAT(PROPER(TEXT(AK1223,"aaaa"))," ",PROPER(TEXT(AK1223,"mm"))),_xlfn.CONCAT(PROPER(TEXT(E1223,"aaaa"))," ",PROPER(TEXT(E1223,"mm"))))</f>
        <v>2025 03</v>
      </c>
      <c r="AI1223" s="9" t="str">
        <f ca="1">IF('Banco de Dados'!$AK1223&lt;&gt;"-","REEMBOLSO",IFERROR(_xlfn.XLOOKUP(G1223,Follow[CODRASTREIO],Follow[STATUS]),"-"))</f>
        <v>REEMBOLSO</v>
      </c>
      <c r="AJ1223" s="9" t="str">
        <f ca="1">IF('Banco de Dados'!$AI1223="ENTREGUE",_xlfn.XLOOKUP('Banco de Dados'!$G1223,Follow[CODRASTREIO],Follow[DATAATUALIZAÇÃO]),"-")</f>
        <v>-</v>
      </c>
      <c r="AK1223" s="132">
        <f ca="1"/>
        <v>45743</v>
      </c>
      <c r="AL1223" s="35"/>
      <c r="AM1223" s="109" cm="1">
        <f t="array" aca="1" ref="AM1223" ca="1">IF('Banco de Dados'!$AK1223&lt;&gt;"-",_xlfn.IFS('Banco de Dados'!$A1223="bv",IF('Banco de Dados'!$E1223&lt;45641,ROUND(SUM('Banco de Dados'!$R1223*_xlfn.XLOOKUP('Banco de Dados'!$P1223,Sku!B:B,Sku!#REF!)*20%),2),ROUND(SUM('Banco de Dados'!$R1223*_xlfn.XLOOKUP('Banco de Dados'!$P1223,Sku!B:B,Sku!H:H)*20%),2)),'Banco de Dados'!$A1223="GO",ROUND(_xlfn.XLOOKUP('Banco de Dados'!$P1223,Sku!C:C,Sku!H:H),2),'Banco de Dados'!$A1223="MEI",ROUND(_xlfn.XLOOKUP('Banco de Dados'!$P1223,Sku!D:D,Sku!H:H),2)),0)</f>
        <v>1.26</v>
      </c>
      <c r="AN1223" s="109">
        <f ca="1">IF('Banco de Dados'!$AK1223&lt;&gt;"-",IF('Banco de Dados'!$F1223&lt;&gt;"-",_xlfn.XLOOKUP(IFERROR(IFERROR(IFERROR(VALUE(SUBSTITUTE(MID(_xlfn.TEXTAFTER('Banco de Dados'!$F1223,"Data do Pedido:
",1),1,10),"-","/")),VALUE(SUBSTITUTE(MID(_xlfn.TEXTAFTER('Banco de Dados'!$F1223,"Order date:
",1),1,10),"-","/"))),VALUE(SUBSTITUTE(MID(_xlfn.TEXTAFTER('Banco de Dados'!$F1223,"Fecha de pedido:
",1),1,10),"-","/"))),"-"),SMS!A:A,SMS!K:K),0),0)</f>
        <v>0</v>
      </c>
      <c r="AO1223" s="109">
        <f ca="1">IF('Banco de Dados'!$AK1223&lt;&gt;"-",IF('Banco de Dados'!$F1223&lt;&gt;"-",IFERROR(_xlfn.XLOOKUP(_xlfn.CONCAT('Banco de Dados'!$A1223,IFERROR(IFERROR(VALUE(SUBSTITUTE(MID(_xlfn.TEXTAFTER('Banco de Dados'!$F1223,"Data do Pedido:
",1),1,10),"-","/")),VALUE(SUBSTITUTE(MID(_xlfn.TEXTAFTER('Banco de Dados'!$F1223,"Order date:
",1),1,10),"-","/"))),0)),ProxyDD[Chave],ProxyDD[Valor por pedido]),PROXY!$P$2),0),0)</f>
        <v>0</v>
      </c>
      <c r="AP1223" s="28">
        <f ca="1">IF('Banco de Dados'!$AK1223&lt;&gt;"-",IF('Banco de Dados'!$AL1223="NÃO",IFERROR(VALUE(SUBSTITUTE(_xlfn.TEXTAFTER('Banco de Dados'!$F1223,"BRL ",1),".",",")),0),0),0)</f>
        <v>0</v>
      </c>
      <c r="AQ1223" s="28">
        <f ca="1">SUM('Banco de Dados'!$AM1223:$AP1223)</f>
        <v>1.26</v>
      </c>
      <c r="AR1223" s="8"/>
      <c r="AY1223" s="8"/>
    </row>
    <row r="1224" spans="1:51">
      <c r="A1224" s="5" t="str">
        <v>BV</v>
      </c>
      <c r="B1224" s="5" t="str">
        <f ca="1"/>
        <v>BV45732</v>
      </c>
      <c r="C1224" s="8" t="str">
        <v>Pedido 1211</v>
      </c>
      <c r="D1224" s="9">
        <v>45732</v>
      </c>
      <c r="E1224" s="9">
        <v>45732</v>
      </c>
      <c r="F1224" s="8" t="str">
        <v>PedidoF1170</v>
      </c>
      <c r="G1224" s="2" t="str">
        <v>CódRastreio1168</v>
      </c>
      <c r="H1224" s="5">
        <v>1</v>
      </c>
      <c r="I1224" s="2" t="str">
        <v>CPF 1177</v>
      </c>
      <c r="J1224" s="2" t="str">
        <v>Nome 1177</v>
      </c>
      <c r="K1224" s="8" t="str">
        <v>Tel 1177</v>
      </c>
      <c r="L1224" s="8" t="str">
        <v>Cep 1177</v>
      </c>
      <c r="M1224" s="8" t="str">
        <v>Rua 1177</v>
      </c>
      <c r="N1224" s="8" t="str">
        <v>Comp 1177</v>
      </c>
      <c r="O1224" s="8" t="str">
        <v>Lampada Led</v>
      </c>
      <c r="P1224" s="8" t="str">
        <v>RB-W251-UXV2</v>
      </c>
      <c r="Q1224" s="4">
        <v>45751</v>
      </c>
      <c r="R1224" s="109">
        <v>26.99</v>
      </c>
      <c r="S1224" s="11">
        <f ca="1"/>
        <v>26.99</v>
      </c>
      <c r="T1224" s="28">
        <f ca="1"/>
        <v>3.5086999999999997</v>
      </c>
      <c r="U1224" s="11">
        <f ca="1"/>
        <v>23.48</v>
      </c>
      <c r="V1224" s="11">
        <v>10.199999999999999</v>
      </c>
      <c r="W1224" s="11">
        <f ca="1"/>
        <v>0.82</v>
      </c>
      <c r="X1224" s="11">
        <f ca="1"/>
        <v>0.39877104377104378</v>
      </c>
      <c r="Y1224" s="11">
        <v>0</v>
      </c>
      <c r="Z1224" s="11">
        <f ca="1"/>
        <v>12.061228956228957</v>
      </c>
      <c r="AA1224" s="11">
        <f ca="1"/>
        <v>6.0306144781144786</v>
      </c>
      <c r="AB1224" s="4">
        <f ca="1"/>
        <v>45758</v>
      </c>
      <c r="AC1224" s="4">
        <v>45758</v>
      </c>
      <c r="AD1224" s="9">
        <v>45762</v>
      </c>
      <c r="AE1224" s="9">
        <v>45763</v>
      </c>
      <c r="AF1224" s="4" t="str">
        <f t="shared" ca="1" si="81"/>
        <v>2025 04</v>
      </c>
      <c r="AG1224" s="8" t="str" cm="1">
        <f t="array" ref="AG1224">IFERROR(_xlfn.IFS('Banco de Dados'!#REF!="AG. COMPRA","Em processamento",'Banco de Dados'!#REF!="AG. RASTREIO","Em processamento",'Banco de Dados'!$AE1224&lt;&gt;"-","Faturado",'Banco de Dados'!$AD1224&lt;&gt;"-","Aguardando Pix",'Banco de Dados'!$AC1224&lt;&gt;"-","Pendente"),"Aguardando Liberação")</f>
        <v>Aguardando Liberação</v>
      </c>
      <c r="AH1224" s="5" t="str">
        <f>IF('Banco de Dados'!$F1224="-",_xlfn.CONCAT(PROPER(TEXT(AK1224,"aaaa"))," ",PROPER(TEXT(AK1224,"mm"))),_xlfn.CONCAT(PROPER(TEXT(E1224,"aaaa"))," ",PROPER(TEXT(E1224,"mm"))))</f>
        <v>2025 03</v>
      </c>
      <c r="AI1224" s="9" t="str">
        <f ca="1">IF('Banco de Dados'!$AK1224&lt;&gt;"-","REEMBOLSO",IFERROR(_xlfn.XLOOKUP(G1224,Follow[CODRASTREIO],Follow[STATUS]),"-"))</f>
        <v>ENTREGUE</v>
      </c>
      <c r="AJ1224" s="9">
        <f ca="1">IF('Banco de Dados'!$AI1224="ENTREGUE",_xlfn.XLOOKUP('Banco de Dados'!$G1224,Follow[CODRASTREIO],Follow[DATAATUALIZAÇÃO]),"-")</f>
        <v>45754</v>
      </c>
      <c r="AK1224" s="132" t="str">
        <f ca="1"/>
        <v>-</v>
      </c>
      <c r="AL1224" s="35"/>
      <c r="AM1224" s="109" cm="1">
        <f t="array" aca="1" ref="AM1224" ca="1">IF('Banco de Dados'!$AK1224&lt;&gt;"-",_xlfn.IFS('Banco de Dados'!$A1224="bv",IF('Banco de Dados'!$E1224&lt;45641,ROUND(SUM('Banco de Dados'!$R1224*_xlfn.XLOOKUP('Banco de Dados'!$P1224,Sku!B:B,Sku!#REF!)*20%),2),ROUND(SUM('Banco de Dados'!$R1224*_xlfn.XLOOKUP('Banco de Dados'!$P1224,Sku!B:B,Sku!H:H)*20%),2)),'Banco de Dados'!$A1224="GO",ROUND(_xlfn.XLOOKUP('Banco de Dados'!$P1224,Sku!C:C,Sku!H:H),2),'Banco de Dados'!$A1224="MEI",ROUND(_xlfn.XLOOKUP('Banco de Dados'!$P1224,Sku!D:D,Sku!H:H),2)),0)</f>
        <v>0</v>
      </c>
      <c r="AN1224" s="109">
        <f ca="1">IF('Banco de Dados'!$AK1224&lt;&gt;"-",IF('Banco de Dados'!$F1224&lt;&gt;"-",_xlfn.XLOOKUP(IFERROR(IFERROR(IFERROR(VALUE(SUBSTITUTE(MID(_xlfn.TEXTAFTER('Banco de Dados'!$F1224,"Data do Pedido:
",1),1,10),"-","/")),VALUE(SUBSTITUTE(MID(_xlfn.TEXTAFTER('Banco de Dados'!$F1224,"Order date:
",1),1,10),"-","/"))),VALUE(SUBSTITUTE(MID(_xlfn.TEXTAFTER('Banco de Dados'!$F1224,"Fecha de pedido:
",1),1,10),"-","/"))),"-"),SMS!A:A,SMS!K:K),0),0)</f>
        <v>0</v>
      </c>
      <c r="AO1224" s="109">
        <f ca="1">IF('Banco de Dados'!$AK1224&lt;&gt;"-",IF('Banco de Dados'!$F1224&lt;&gt;"-",IFERROR(_xlfn.XLOOKUP(_xlfn.CONCAT('Banco de Dados'!$A1224,IFERROR(IFERROR(VALUE(SUBSTITUTE(MID(_xlfn.TEXTAFTER('Banco de Dados'!$F1224,"Data do Pedido:
",1),1,10),"-","/")),VALUE(SUBSTITUTE(MID(_xlfn.TEXTAFTER('Banco de Dados'!$F1224,"Order date:
",1),1,10),"-","/"))),0)),ProxyDD[Chave],ProxyDD[Valor por pedido]),PROXY!$P$2),0),0)</f>
        <v>0</v>
      </c>
      <c r="AP1224" s="28">
        <f ca="1">IF('Banco de Dados'!$AK1224&lt;&gt;"-",IF('Banco de Dados'!$AL1224="NÃO",IFERROR(VALUE(SUBSTITUTE(_xlfn.TEXTAFTER('Banco de Dados'!$F1224,"BRL ",1),".",",")),0),0),0)</f>
        <v>0</v>
      </c>
      <c r="AQ1224" s="28">
        <f ca="1">SUM('Banco de Dados'!$AM1224:$AP1224)</f>
        <v>0</v>
      </c>
      <c r="AR1224" s="8"/>
      <c r="AY1224" s="8"/>
    </row>
    <row r="1225" spans="1:51">
      <c r="A1225" s="5" t="str">
        <v>MEI</v>
      </c>
      <c r="B1225" s="5" t="str">
        <f ca="1"/>
        <v>MEI45732</v>
      </c>
      <c r="C1225" s="8" t="str">
        <v>Pedido 1212</v>
      </c>
      <c r="D1225" s="187">
        <v>45730</v>
      </c>
      <c r="E1225" s="9">
        <v>45732</v>
      </c>
      <c r="F1225" s="8" t="str">
        <v>PedidoF1171</v>
      </c>
      <c r="G1225" s="2" t="str">
        <v>CódRastreio1169</v>
      </c>
      <c r="H1225" s="5">
        <v>1</v>
      </c>
      <c r="I1225" s="2" t="str">
        <v>CPF 1178</v>
      </c>
      <c r="J1225" s="2" t="str">
        <v>Nome 1178</v>
      </c>
      <c r="K1225" s="8" t="str">
        <v>Tel 1178</v>
      </c>
      <c r="L1225" s="8" t="str">
        <v>Cep 1178</v>
      </c>
      <c r="M1225" s="8" t="str">
        <v>Rua 1178</v>
      </c>
      <c r="N1225" s="8" t="str">
        <v>Comp 1178</v>
      </c>
      <c r="O1225" s="8" t="str">
        <v>Brinquedo Bola Giratória voadora</v>
      </c>
      <c r="P1225" s="8" t="str">
        <v>Z0-F6CI-18CL</v>
      </c>
      <c r="Q1225" s="4">
        <v>45751</v>
      </c>
      <c r="R1225" s="109">
        <v>45.9</v>
      </c>
      <c r="S1225" s="11">
        <f ca="1"/>
        <v>45.9</v>
      </c>
      <c r="T1225" s="28">
        <f ca="1"/>
        <v>5.508</v>
      </c>
      <c r="U1225" s="11">
        <f ca="1"/>
        <v>40.39</v>
      </c>
      <c r="V1225" s="11">
        <v>12.63</v>
      </c>
      <c r="W1225" s="11">
        <f ca="1"/>
        <v>0.73</v>
      </c>
      <c r="X1225" s="11">
        <f ca="1"/>
        <v>0.39877104377104378</v>
      </c>
      <c r="Y1225" s="11">
        <v>0</v>
      </c>
      <c r="Z1225" s="11">
        <f ca="1"/>
        <v>26.631228956228956</v>
      </c>
      <c r="AA1225" s="11">
        <f ca="1"/>
        <v>13.315614478114478</v>
      </c>
      <c r="AB1225" s="4">
        <f ca="1"/>
        <v>45758</v>
      </c>
      <c r="AC1225" s="4">
        <v>45758</v>
      </c>
      <c r="AD1225" s="9">
        <v>45762</v>
      </c>
      <c r="AE1225" s="9">
        <v>45763</v>
      </c>
      <c r="AF1225" s="4" t="str">
        <f t="shared" ca="1" si="81"/>
        <v>2025 04</v>
      </c>
      <c r="AG1225" s="8" t="str" cm="1">
        <f t="array" ref="AG1225">IFERROR(_xlfn.IFS('Banco de Dados'!#REF!="AG. COMPRA","Em processamento",'Banco de Dados'!#REF!="AG. RASTREIO","Em processamento",'Banco de Dados'!$AE1225&lt;&gt;"-","Faturado",'Banco de Dados'!$AD1225&lt;&gt;"-","Aguardando Pix",'Banco de Dados'!$AC1225&lt;&gt;"-","Pendente"),"Aguardando Liberação")</f>
        <v>Aguardando Liberação</v>
      </c>
      <c r="AH1225" s="5" t="str">
        <f>IF('Banco de Dados'!$F1225="-",_xlfn.CONCAT(PROPER(TEXT(AK1225,"aaaa"))," ",PROPER(TEXT(AK1225,"mm"))),_xlfn.CONCAT(PROPER(TEXT(E1225,"aaaa"))," ",PROPER(TEXT(E1225,"mm"))))</f>
        <v>2025 03</v>
      </c>
      <c r="AI1225" s="9" t="str">
        <f ca="1">IF('Banco de Dados'!$AK1225&lt;&gt;"-","REEMBOLSO",IFERROR(_xlfn.XLOOKUP(G1225,Follow[CODRASTREIO],Follow[STATUS]),"-"))</f>
        <v>ENTREGUE</v>
      </c>
      <c r="AJ1225" s="9">
        <f ca="1">IF('Banco de Dados'!$AI1225="ENTREGUE",_xlfn.XLOOKUP('Banco de Dados'!$G1225,Follow[CODRASTREIO],Follow[DATAATUALIZAÇÃO]),"-")</f>
        <v>45750</v>
      </c>
      <c r="AK1225" s="132" t="str">
        <f ca="1"/>
        <v>-</v>
      </c>
      <c r="AL1225" s="35"/>
      <c r="AM1225" s="109" cm="1">
        <f t="array" aca="1" ref="AM1225" ca="1">IF('Banco de Dados'!$AK1225&lt;&gt;"-",_xlfn.IFS('Banco de Dados'!$A1225="bv",IF('Banco de Dados'!$E1225&lt;45641,ROUND(SUM('Banco de Dados'!$R1225*_xlfn.XLOOKUP('Banco de Dados'!$P1225,Sku!B:B,Sku!#REF!)*20%),2),ROUND(SUM('Banco de Dados'!$R1225*_xlfn.XLOOKUP('Banco de Dados'!$P1225,Sku!B:B,Sku!H:H)*20%),2)),'Banco de Dados'!$A1225="GO",ROUND(SUM('Banco de Dados'!$R1225*_xlfn.XLOOKUP('Banco de Dados'!$P1225,Sku!C:C,Sku!H:H)*20%),2),'Banco de Dados'!$A1225="MEI",ROUND(SUM('Banco de Dados'!$R1225*_xlfn.XLOOKUP('Banco de Dados'!$P1225,Sku!D:D,Sku!H:H)*20%),2)),0)</f>
        <v>0</v>
      </c>
      <c r="AN1225" s="109">
        <f ca="1">IF('Banco de Dados'!$AK1225&lt;&gt;"-",IF('Banco de Dados'!$F1225&lt;&gt;"-",_xlfn.XLOOKUP(IFERROR(IFERROR(IFERROR(VALUE(SUBSTITUTE(MID(_xlfn.TEXTAFTER('Banco de Dados'!$F1225,"Data do Pedido:
",1),1,10),"-","/")),VALUE(SUBSTITUTE(MID(_xlfn.TEXTAFTER('Banco de Dados'!$F1225,"Order date:
",1),1,10),"-","/"))),VALUE(SUBSTITUTE(MID(_xlfn.TEXTAFTER('Banco de Dados'!$F1225,"Fecha de pedido:
",1),1,10),"-","/"))),"-"),SMS!A:A,SMS!K:K),0),0)</f>
        <v>0</v>
      </c>
      <c r="AO1225" s="109">
        <f ca="1">IF('Banco de Dados'!$AK1225&lt;&gt;"-",IF('Banco de Dados'!$F1225&lt;&gt;"-",IFERROR(_xlfn.XLOOKUP(_xlfn.CONCAT('Banco de Dados'!$A1225,IFERROR(IFERROR(VALUE(SUBSTITUTE(MID(_xlfn.TEXTAFTER('Banco de Dados'!$F1225,"Data do Pedido:
",1),1,10),"-","/")),VALUE(SUBSTITUTE(MID(_xlfn.TEXTAFTER('Banco de Dados'!$F1225,"Order date:
",1),1,10),"-","/"))),0)),ProxyDD[Chave],ProxyDD[Valor por pedido]),PROXY!$P$2),0),0)</f>
        <v>0</v>
      </c>
      <c r="AP1225" s="28">
        <f ca="1">IF('Banco de Dados'!$AK1225&lt;&gt;"-",IF('Banco de Dados'!$AL1225="NÃO",IFERROR(VALUE(SUBSTITUTE(_xlfn.TEXTAFTER('Banco de Dados'!$F1225,"BRL ",1),".",",")),0),0),0)</f>
        <v>0</v>
      </c>
      <c r="AQ1225" s="28">
        <f ca="1">SUM('Banco de Dados'!$AM1225:$AP1225)</f>
        <v>0</v>
      </c>
      <c r="AR1225" s="8"/>
      <c r="AY1225" s="8"/>
    </row>
    <row r="1226" spans="1:51">
      <c r="A1226" s="5" t="str">
        <v>MEI</v>
      </c>
      <c r="B1226" s="5" t="str">
        <f ca="1"/>
        <v>MEI45732</v>
      </c>
      <c r="C1226" s="8" t="str">
        <v>Pedido 1213</v>
      </c>
      <c r="D1226" s="187">
        <v>45730</v>
      </c>
      <c r="E1226" s="9">
        <v>45732</v>
      </c>
      <c r="F1226" s="8" t="str">
        <v>PedidoF1172</v>
      </c>
      <c r="G1226" s="2" t="str">
        <v>CódRastreio1170</v>
      </c>
      <c r="H1226" s="5">
        <v>1</v>
      </c>
      <c r="I1226" s="2" t="str">
        <v>CPF 1179</v>
      </c>
      <c r="J1226" s="2" t="str">
        <v>Nome 1179</v>
      </c>
      <c r="K1226" s="8" t="str">
        <v>Tel 1179</v>
      </c>
      <c r="L1226" s="8" t="str">
        <v>Cep 1179</v>
      </c>
      <c r="M1226" s="8" t="str">
        <v>Rua 1179</v>
      </c>
      <c r="N1226" s="8" t="str">
        <v>Comp 1179</v>
      </c>
      <c r="O1226" s="8" t="str">
        <v>Mini Liquidificador</v>
      </c>
      <c r="P1226" s="8" t="str">
        <v>A4-5W51-K3HF</v>
      </c>
      <c r="Q1226" s="4">
        <v>45757</v>
      </c>
      <c r="R1226" s="109">
        <v>30.95</v>
      </c>
      <c r="S1226" s="11">
        <f ca="1"/>
        <v>30.95</v>
      </c>
      <c r="T1226" s="28">
        <f ca="1"/>
        <v>4.3330000000000002</v>
      </c>
      <c r="U1226" s="11">
        <f ca="1"/>
        <v>26.62</v>
      </c>
      <c r="V1226" s="11">
        <v>16.489999999999998</v>
      </c>
      <c r="W1226" s="11">
        <f ca="1"/>
        <v>0.73</v>
      </c>
      <c r="X1226" s="11">
        <f ca="1"/>
        <v>0.39877104377104378</v>
      </c>
      <c r="Y1226" s="11">
        <v>0</v>
      </c>
      <c r="Z1226" s="11">
        <f ca="1"/>
        <v>9.0012289562289567</v>
      </c>
      <c r="AA1226" s="11">
        <f ca="1"/>
        <v>4.5006144781144783</v>
      </c>
      <c r="AB1226" s="4">
        <f ca="1"/>
        <v>45764</v>
      </c>
      <c r="AC1226" s="4">
        <v>45764</v>
      </c>
      <c r="AD1226" s="9">
        <v>45779</v>
      </c>
      <c r="AE1226" s="9">
        <v>45783</v>
      </c>
      <c r="AF1226" s="4" t="str">
        <f t="shared" ca="1" si="81"/>
        <v>2025 04</v>
      </c>
      <c r="AG1226" s="8" t="str" cm="1">
        <f t="array" ref="AG1226">IFERROR(_xlfn.IFS('Banco de Dados'!#REF!="AG. COMPRA","Em processamento",'Banco de Dados'!#REF!="AG. RASTREIO","Em processamento",'Banco de Dados'!$AE1226&lt;&gt;"-","Faturado",'Banco de Dados'!$AD1226&lt;&gt;"-","Aguardando Pix",'Banco de Dados'!$AC1226&lt;&gt;"-","Pendente"),"Aguardando Liberação")</f>
        <v>Aguardando Liberação</v>
      </c>
      <c r="AH1226" s="5" t="str">
        <f>IF('Banco de Dados'!$F1226="-",_xlfn.CONCAT(PROPER(TEXT(AK1226,"aaaa"))," ",PROPER(TEXT(AK1226,"mm"))),_xlfn.CONCAT(PROPER(TEXT(E1226,"aaaa"))," ",PROPER(TEXT(E1226,"mm"))))</f>
        <v>2025 03</v>
      </c>
      <c r="AI1226" s="9" t="str">
        <f ca="1">IF('Banco de Dados'!$AK1226&lt;&gt;"-","REEMBOLSO",IFERROR(_xlfn.XLOOKUP(G1226,Follow[CODRASTREIO],Follow[STATUS]),"-"))</f>
        <v>ENTREGUE</v>
      </c>
      <c r="AJ1226" s="9">
        <f ca="1">IF('Banco de Dados'!$AI1226="ENTREGUE",_xlfn.XLOOKUP('Banco de Dados'!$G1226,Follow[CODRASTREIO],Follow[DATAATUALIZAÇÃO]),"-")</f>
        <v>45750</v>
      </c>
      <c r="AK1226" s="132" t="str">
        <f ca="1"/>
        <v>-</v>
      </c>
      <c r="AL1226" s="35"/>
      <c r="AM1226" s="109" cm="1">
        <f t="array" aca="1" ref="AM1226" ca="1">IF('Banco de Dados'!$AK1226&lt;&gt;"-",_xlfn.IFS('Banco de Dados'!$A1226="bv",IF('Banco de Dados'!$E1226&lt;45641,ROUND(SUM('Banco de Dados'!$R1226*_xlfn.XLOOKUP('Banco de Dados'!$P1226,Sku!B:B,Sku!#REF!)*20%),2),ROUND(SUM('Banco de Dados'!$R1226*_xlfn.XLOOKUP('Banco de Dados'!$P1226,Sku!B:B,Sku!H:H)*20%),2)),'Banco de Dados'!$A1226="GO",ROUND(SUM('Banco de Dados'!$R1226*_xlfn.XLOOKUP('Banco de Dados'!$P1226,Sku!C:C,Sku!H:H)*20%),2),'Banco de Dados'!$A1226="MEI",ROUND(SUM('Banco de Dados'!$R1226*_xlfn.XLOOKUP('Banco de Dados'!$P1226,Sku!D:D,Sku!H:H)*20%),2)),0)</f>
        <v>0</v>
      </c>
      <c r="AN1226" s="109">
        <f ca="1">IF('Banco de Dados'!$AK1226&lt;&gt;"-",IF('Banco de Dados'!$F1226&lt;&gt;"-",_xlfn.XLOOKUP(IFERROR(IFERROR(IFERROR(VALUE(SUBSTITUTE(MID(_xlfn.TEXTAFTER('Banco de Dados'!$F1226,"Data do Pedido:
",1),1,10),"-","/")),VALUE(SUBSTITUTE(MID(_xlfn.TEXTAFTER('Banco de Dados'!$F1226,"Order date:
",1),1,10),"-","/"))),VALUE(SUBSTITUTE(MID(_xlfn.TEXTAFTER('Banco de Dados'!$F1226,"Fecha de pedido:
",1),1,10),"-","/"))),"-"),SMS!A:A,SMS!K:K),0),0)</f>
        <v>0</v>
      </c>
      <c r="AO1226" s="109">
        <f ca="1">IF('Banco de Dados'!$AK1226&lt;&gt;"-",IF('Banco de Dados'!$F1226&lt;&gt;"-",IFERROR(_xlfn.XLOOKUP(_xlfn.CONCAT('Banco de Dados'!$A1226,IFERROR(IFERROR(VALUE(SUBSTITUTE(MID(_xlfn.TEXTAFTER('Banco de Dados'!$F1226,"Data do Pedido:
",1),1,10),"-","/")),VALUE(SUBSTITUTE(MID(_xlfn.TEXTAFTER('Banco de Dados'!$F1226,"Order date:
",1),1,10),"-","/"))),0)),ProxyDD[Chave],ProxyDD[Valor por pedido]),PROXY!$P$2),0),0)</f>
        <v>0</v>
      </c>
      <c r="AP1226" s="28">
        <f ca="1">IF('Banco de Dados'!$AK1226&lt;&gt;"-",IF('Banco de Dados'!$AL1226="NÃO",IFERROR(VALUE(SUBSTITUTE(_xlfn.TEXTAFTER('Banco de Dados'!$F1226,"BRL ",1),".",",")),0),0),0)</f>
        <v>0</v>
      </c>
      <c r="AQ1226" s="28">
        <f ca="1">SUM('Banco de Dados'!$AM1226:$AP1226)</f>
        <v>0</v>
      </c>
      <c r="AR1226" s="8"/>
      <c r="AY1226" s="8"/>
    </row>
    <row r="1227" spans="1:51">
      <c r="A1227" s="5" t="str">
        <v>MEI</v>
      </c>
      <c r="B1227" s="5" t="str">
        <f ca="1"/>
        <v>MEI45733</v>
      </c>
      <c r="C1227" s="8" t="str">
        <v>Pedido 1214</v>
      </c>
      <c r="D1227" s="187">
        <v>45730</v>
      </c>
      <c r="E1227" s="9">
        <v>45733</v>
      </c>
      <c r="F1227" s="8" t="str">
        <v>PedidoF1173</v>
      </c>
      <c r="G1227" s="2" t="str">
        <v>CódRastreio1171</v>
      </c>
      <c r="H1227" s="5">
        <v>1</v>
      </c>
      <c r="I1227" s="2" t="str">
        <v>CPF 1180</v>
      </c>
      <c r="J1227" s="2" t="str">
        <v>Nome 1180</v>
      </c>
      <c r="K1227" s="8" t="str">
        <v>Tel 1180</v>
      </c>
      <c r="L1227" s="8" t="str">
        <v>Cep 1180</v>
      </c>
      <c r="M1227" s="8" t="str">
        <v>Rua 1180</v>
      </c>
      <c r="N1227" s="8" t="str">
        <v>Comp 1180</v>
      </c>
      <c r="O1227" s="8" t="str">
        <v>Máquina de cortar cabelo dragão</v>
      </c>
      <c r="P1227" s="8" t="str">
        <v>RX-DD1P-P5U2</v>
      </c>
      <c r="Q1227" s="4">
        <v>45751</v>
      </c>
      <c r="R1227" s="109">
        <v>24.8</v>
      </c>
      <c r="S1227" s="11">
        <f ca="1"/>
        <v>24.8</v>
      </c>
      <c r="T1227" s="28">
        <f ca="1"/>
        <v>2.976</v>
      </c>
      <c r="U1227" s="11">
        <f ca="1"/>
        <v>21.82</v>
      </c>
      <c r="V1227" s="11">
        <v>10.16</v>
      </c>
      <c r="W1227" s="11">
        <f ca="1"/>
        <v>0.46</v>
      </c>
      <c r="X1227" s="11">
        <f ca="1"/>
        <v>0.39877104377104378</v>
      </c>
      <c r="Y1227" s="11">
        <v>0</v>
      </c>
      <c r="Z1227" s="11">
        <f ca="1"/>
        <v>10.801228956228956</v>
      </c>
      <c r="AA1227" s="11">
        <f ca="1"/>
        <v>5.4006144781144778</v>
      </c>
      <c r="AB1227" s="4">
        <f ca="1"/>
        <v>45758</v>
      </c>
      <c r="AC1227" s="4">
        <v>45758</v>
      </c>
      <c r="AD1227" s="9">
        <v>45762</v>
      </c>
      <c r="AE1227" s="9">
        <v>45763</v>
      </c>
      <c r="AF1227" s="4" t="str">
        <f t="shared" ca="1" si="81"/>
        <v>2025 04</v>
      </c>
      <c r="AG1227" s="8" t="str" cm="1">
        <f t="array" ref="AG1227">IFERROR(_xlfn.IFS('Banco de Dados'!#REF!="AG. COMPRA","Em processamento",'Banco de Dados'!#REF!="AG. RASTREIO","Em processamento",'Banco de Dados'!$AE1227&lt;&gt;"-","Faturado",'Banco de Dados'!$AD1227&lt;&gt;"-","Aguardando Pix",'Banco de Dados'!$AC1227&lt;&gt;"-","Pendente"),"Aguardando Liberação")</f>
        <v>Aguardando Liberação</v>
      </c>
      <c r="AH1227" s="5" t="str">
        <f>IF('Banco de Dados'!$F1227="-",_xlfn.CONCAT(PROPER(TEXT(AK1227,"aaaa"))," ",PROPER(TEXT(AK1227,"mm"))),_xlfn.CONCAT(PROPER(TEXT(E1227,"aaaa"))," ",PROPER(TEXT(E1227,"mm"))))</f>
        <v>2025 03</v>
      </c>
      <c r="AI1227" s="9" t="str">
        <f ca="1">IF('Banco de Dados'!$AK1227&lt;&gt;"-","REEMBOLSO",IFERROR(_xlfn.XLOOKUP(G1227,Follow[CODRASTREIO],Follow[STATUS]),"-"))</f>
        <v>ENTREGUE</v>
      </c>
      <c r="AJ1227" s="9">
        <f ca="1">IF('Banco de Dados'!$AI1227="ENTREGUE",_xlfn.XLOOKUP('Banco de Dados'!$G1227,Follow[CODRASTREIO],Follow[DATAATUALIZAÇÃO]),"-")</f>
        <v>45749</v>
      </c>
      <c r="AK1227" s="132" t="str">
        <f ca="1"/>
        <v>-</v>
      </c>
      <c r="AL1227" s="35"/>
      <c r="AM1227" s="109" cm="1">
        <f t="array" aca="1" ref="AM1227" ca="1">IF('Banco de Dados'!$AK1227&lt;&gt;"-",_xlfn.IFS('Banco de Dados'!$A1227="bv",IF('Banco de Dados'!$E1227&lt;45641,ROUND(SUM('Banco de Dados'!$R1227*_xlfn.XLOOKUP('Banco de Dados'!$P1227,Sku!B:B,Sku!#REF!)*20%),2),ROUND(SUM('Banco de Dados'!$R1227*_xlfn.XLOOKUP('Banco de Dados'!$P1227,Sku!B:B,Sku!H:H)*20%),2)),'Banco de Dados'!$A1227="GO",ROUND(SUM('Banco de Dados'!$R1227*_xlfn.XLOOKUP('Banco de Dados'!$P1227,Sku!C:C,Sku!H:H)*20%),2),'Banco de Dados'!$A1227="MEI",ROUND(SUM('Banco de Dados'!$R1227*_xlfn.XLOOKUP('Banco de Dados'!$P1227,Sku!D:D,Sku!H:H)*20%),2)),0)</f>
        <v>0</v>
      </c>
      <c r="AN1227" s="109">
        <f ca="1">IF('Banco de Dados'!$AK1227&lt;&gt;"-",IF('Banco de Dados'!$F1227&lt;&gt;"-",_xlfn.XLOOKUP(IFERROR(IFERROR(IFERROR(VALUE(SUBSTITUTE(MID(_xlfn.TEXTAFTER('Banco de Dados'!$F1227,"Data do Pedido:
",1),1,10),"-","/")),VALUE(SUBSTITUTE(MID(_xlfn.TEXTAFTER('Banco de Dados'!$F1227,"Order date:
",1),1,10),"-","/"))),VALUE(SUBSTITUTE(MID(_xlfn.TEXTAFTER('Banco de Dados'!$F1227,"Fecha de pedido:
",1),1,10),"-","/"))),"-"),SMS!A:A,SMS!K:K),0),0)</f>
        <v>0</v>
      </c>
      <c r="AO1227" s="109">
        <f ca="1">IF('Banco de Dados'!$AK1227&lt;&gt;"-",IF('Banco de Dados'!$F1227&lt;&gt;"-",IFERROR(_xlfn.XLOOKUP(_xlfn.CONCAT('Banco de Dados'!$A1227,IFERROR(IFERROR(VALUE(SUBSTITUTE(MID(_xlfn.TEXTAFTER('Banco de Dados'!$F1227,"Data do Pedido:
",1),1,10),"-","/")),VALUE(SUBSTITUTE(MID(_xlfn.TEXTAFTER('Banco de Dados'!$F1227,"Order date:
",1),1,10),"-","/"))),0)),ProxyDD[Chave],ProxyDD[Valor por pedido]),PROXY!$P$2),0),0)</f>
        <v>0</v>
      </c>
      <c r="AP1227" s="28">
        <f ca="1">IF('Banco de Dados'!$AK1227&lt;&gt;"-",IF('Banco de Dados'!$AL1227="NÃO",IFERROR(VALUE(SUBSTITUTE(_xlfn.TEXTAFTER('Banco de Dados'!$F1227,"BRL ",1),".",",")),0),0),0)</f>
        <v>0</v>
      </c>
      <c r="AQ1227" s="28">
        <f ca="1">SUM('Banco de Dados'!$AM1227:$AP1227)</f>
        <v>0</v>
      </c>
      <c r="AR1227" s="8"/>
      <c r="AY1227" s="8"/>
    </row>
    <row r="1228" spans="1:51">
      <c r="A1228" s="5" t="str">
        <v>MEI</v>
      </c>
      <c r="B1228" s="5" t="str">
        <f ca="1"/>
        <v>MEI45732</v>
      </c>
      <c r="C1228" s="8" t="str">
        <v>Pedido 1215</v>
      </c>
      <c r="D1228" s="187">
        <v>45731</v>
      </c>
      <c r="E1228" s="9">
        <v>45732</v>
      </c>
      <c r="F1228" s="8" t="str">
        <v>PedidoF1174</v>
      </c>
      <c r="G1228" s="2" t="str">
        <v>CódRastreio1172</v>
      </c>
      <c r="H1228" s="5">
        <v>1</v>
      </c>
      <c r="I1228" s="2" t="str">
        <v>CPF 1181</v>
      </c>
      <c r="J1228" s="2" t="str">
        <v>Nome 1181</v>
      </c>
      <c r="K1228" s="8" t="str">
        <v>Tel 1181</v>
      </c>
      <c r="L1228" s="8" t="str">
        <v>Cep 1181</v>
      </c>
      <c r="M1228" s="8" t="str">
        <v>Rua 1181</v>
      </c>
      <c r="N1228" s="8" t="str">
        <v>Comp 1181</v>
      </c>
      <c r="O1228" s="8" t="str">
        <v>Mini Liquidificador</v>
      </c>
      <c r="P1228" s="8" t="str">
        <v>A4-5W51-K3HF</v>
      </c>
      <c r="Q1228" s="4">
        <v>45757</v>
      </c>
      <c r="R1228" s="109">
        <v>30.95</v>
      </c>
      <c r="S1228" s="11">
        <f ca="1"/>
        <v>30.95</v>
      </c>
      <c r="T1228" s="28">
        <f ca="1"/>
        <v>4.3330000000000002</v>
      </c>
      <c r="U1228" s="11">
        <f ca="1"/>
        <v>26.62</v>
      </c>
      <c r="V1228" s="11">
        <v>16.489999999999998</v>
      </c>
      <c r="W1228" s="11">
        <f ca="1"/>
        <v>0.73</v>
      </c>
      <c r="X1228" s="11">
        <f ca="1"/>
        <v>0.39877104377104378</v>
      </c>
      <c r="Y1228" s="11">
        <v>0</v>
      </c>
      <c r="Z1228" s="11">
        <f ca="1"/>
        <v>9.0012289562289567</v>
      </c>
      <c r="AA1228" s="11">
        <f ca="1"/>
        <v>4.5006144781144783</v>
      </c>
      <c r="AB1228" s="4">
        <f ca="1"/>
        <v>45764</v>
      </c>
      <c r="AC1228" s="4">
        <v>45764</v>
      </c>
      <c r="AD1228" s="9">
        <v>45779</v>
      </c>
      <c r="AE1228" s="9">
        <v>45783</v>
      </c>
      <c r="AF1228" s="4" t="str">
        <f t="shared" ca="1" si="81"/>
        <v>2025 04</v>
      </c>
      <c r="AG1228" s="8" t="str" cm="1">
        <f t="array" ref="AG1228">IFERROR(_xlfn.IFS('Banco de Dados'!#REF!="AG. COMPRA","Em processamento",'Banco de Dados'!#REF!="AG. RASTREIO","Em processamento",'Banco de Dados'!$AE1228&lt;&gt;"-","Faturado",'Banco de Dados'!$AD1228&lt;&gt;"-","Aguardando Pix",'Banco de Dados'!$AC1228&lt;&gt;"-","Pendente"),"Aguardando Liberação")</f>
        <v>Aguardando Liberação</v>
      </c>
      <c r="AH1228" s="5" t="str">
        <f>IF('Banco de Dados'!$F1228="-",_xlfn.CONCAT(PROPER(TEXT(AK1228,"aaaa"))," ",PROPER(TEXT(AK1228,"mm"))),_xlfn.CONCAT(PROPER(TEXT(E1228,"aaaa"))," ",PROPER(TEXT(E1228,"mm"))))</f>
        <v>2025 03</v>
      </c>
      <c r="AI1228" s="9" t="str">
        <f ca="1">IF('Banco de Dados'!$AK1228&lt;&gt;"-","REEMBOLSO",IFERROR(_xlfn.XLOOKUP(G1228,Follow[CODRASTREIO],Follow[STATUS]),"-"))</f>
        <v>ENTREGUE</v>
      </c>
      <c r="AJ1228" s="9">
        <f ca="1">IF('Banco de Dados'!$AI1228="ENTREGUE",_xlfn.XLOOKUP('Banco de Dados'!$G1228,Follow[CODRASTREIO],Follow[DATAATUALIZAÇÃO]),"-")</f>
        <v>45752</v>
      </c>
      <c r="AK1228" s="132" t="str">
        <f ca="1"/>
        <v>-</v>
      </c>
      <c r="AL1228" s="35"/>
      <c r="AM1228" s="109" cm="1">
        <f t="array" aca="1" ref="AM1228" ca="1">IF('Banco de Dados'!$AK1228&lt;&gt;"-",_xlfn.IFS('Banco de Dados'!$A1228="bv",IF('Banco de Dados'!$E1228&lt;45641,ROUND(SUM('Banco de Dados'!$R1228*_xlfn.XLOOKUP('Banco de Dados'!$P1228,Sku!B:B,Sku!#REF!)*20%),2),ROUND(SUM('Banco de Dados'!$R1228*_xlfn.XLOOKUP('Banco de Dados'!$P1228,Sku!B:B,Sku!H:H)*20%),2)),'Banco de Dados'!$A1228="GO",ROUND(SUM('Banco de Dados'!$R1228*_xlfn.XLOOKUP('Banco de Dados'!$P1228,Sku!C:C,Sku!H:H)*20%),2),'Banco de Dados'!$A1228="MEI",ROUND(SUM('Banco de Dados'!$R1228*_xlfn.XLOOKUP('Banco de Dados'!$P1228,Sku!D:D,Sku!H:H)*20%),2)),0)</f>
        <v>0</v>
      </c>
      <c r="AN1228" s="109">
        <f ca="1">IF('Banco de Dados'!$AK1228&lt;&gt;"-",IF('Banco de Dados'!$F1228&lt;&gt;"-",_xlfn.XLOOKUP(IFERROR(IFERROR(IFERROR(VALUE(SUBSTITUTE(MID(_xlfn.TEXTAFTER('Banco de Dados'!$F1228,"Data do Pedido:
",1),1,10),"-","/")),VALUE(SUBSTITUTE(MID(_xlfn.TEXTAFTER('Banco de Dados'!$F1228,"Order date:
",1),1,10),"-","/"))),VALUE(SUBSTITUTE(MID(_xlfn.TEXTAFTER('Banco de Dados'!$F1228,"Fecha de pedido:
",1),1,10),"-","/"))),"-"),SMS!A:A,SMS!K:K),0),0)</f>
        <v>0</v>
      </c>
      <c r="AO1228" s="109">
        <f ca="1">IF('Banco de Dados'!$AK1228&lt;&gt;"-",IF('Banco de Dados'!$F1228&lt;&gt;"-",IFERROR(_xlfn.XLOOKUP(_xlfn.CONCAT('Banco de Dados'!$A1228,IFERROR(IFERROR(VALUE(SUBSTITUTE(MID(_xlfn.TEXTAFTER('Banco de Dados'!$F1228,"Data do Pedido:
",1),1,10),"-","/")),VALUE(SUBSTITUTE(MID(_xlfn.TEXTAFTER('Banco de Dados'!$F1228,"Order date:
",1),1,10),"-","/"))),0)),ProxyDD[Chave],ProxyDD[Valor por pedido]),PROXY!$P$2),0),0)</f>
        <v>0</v>
      </c>
      <c r="AP1228" s="28">
        <f ca="1">IF('Banco de Dados'!$AK1228&lt;&gt;"-",IF('Banco de Dados'!$AL1228="NÃO",IFERROR(VALUE(SUBSTITUTE(_xlfn.TEXTAFTER('Banco de Dados'!$F1228,"BRL ",1),".",",")),0),0),0)</f>
        <v>0</v>
      </c>
      <c r="AQ1228" s="28">
        <f ca="1">SUM('Banco de Dados'!$AM1228:$AP1228)</f>
        <v>0</v>
      </c>
      <c r="AR1228" s="8"/>
      <c r="AY1228" s="8"/>
    </row>
    <row r="1229" spans="1:51">
      <c r="A1229" s="5" t="str">
        <v>MEI</v>
      </c>
      <c r="B1229" s="5" t="str">
        <f ca="1"/>
        <v>MEI45732</v>
      </c>
      <c r="C1229" s="8" t="str">
        <v>Pedido 1216</v>
      </c>
      <c r="D1229" s="187">
        <v>45730</v>
      </c>
      <c r="E1229" s="9">
        <v>45732</v>
      </c>
      <c r="F1229" s="8" t="str">
        <v>PedidoF1175</v>
      </c>
      <c r="G1229" s="2" t="str">
        <v>CódRastreio1173</v>
      </c>
      <c r="H1229" s="5">
        <v>1</v>
      </c>
      <c r="I1229" s="2" t="str">
        <v>CPF 1182</v>
      </c>
      <c r="J1229" s="2" t="str">
        <v>Nome 1182</v>
      </c>
      <c r="K1229" s="8" t="str">
        <v>Tel 1182</v>
      </c>
      <c r="L1229" s="8" t="str">
        <v>Cep 1182</v>
      </c>
      <c r="M1229" s="8" t="str">
        <v>Rua 1182</v>
      </c>
      <c r="N1229" s="8" t="str">
        <v>Comp 1182</v>
      </c>
      <c r="O1229" s="8" t="str">
        <v>Maçarico Culinário Portátil</v>
      </c>
      <c r="P1229" s="8" t="str">
        <v>BG-DHRO-FAEE</v>
      </c>
      <c r="Q1229" s="4">
        <v>45757</v>
      </c>
      <c r="R1229" s="109">
        <v>24.99</v>
      </c>
      <c r="S1229" s="11">
        <f ca="1"/>
        <v>24.99</v>
      </c>
      <c r="T1229" s="28">
        <f ca="1"/>
        <v>2.7488999999999999</v>
      </c>
      <c r="U1229" s="11">
        <f ca="1"/>
        <v>22.24</v>
      </c>
      <c r="V1229" s="11">
        <v>11.49</v>
      </c>
      <c r="W1229" s="11">
        <f ca="1"/>
        <v>0.73</v>
      </c>
      <c r="X1229" s="11">
        <f ca="1"/>
        <v>0.39877104377104378</v>
      </c>
      <c r="Y1229" s="11">
        <v>0</v>
      </c>
      <c r="Z1229" s="11">
        <f ca="1"/>
        <v>9.6212289562289541</v>
      </c>
      <c r="AA1229" s="11">
        <f ca="1"/>
        <v>4.8106144781144771</v>
      </c>
      <c r="AB1229" s="4">
        <f ca="1"/>
        <v>45764</v>
      </c>
      <c r="AC1229" s="4">
        <v>45764</v>
      </c>
      <c r="AD1229" s="9">
        <v>45779</v>
      </c>
      <c r="AE1229" s="9">
        <v>45783</v>
      </c>
      <c r="AF1229" s="4" t="str">
        <f t="shared" ca="1" si="81"/>
        <v>2025 04</v>
      </c>
      <c r="AG1229" s="8" t="str" cm="1">
        <f t="array" ref="AG1229">IFERROR(_xlfn.IFS('Banco de Dados'!#REF!="AG. COMPRA","Em processamento",'Banco de Dados'!#REF!="AG. RASTREIO","Em processamento",'Banco de Dados'!$AE1229&lt;&gt;"-","Faturado",'Banco de Dados'!$AD1229&lt;&gt;"-","Aguardando Pix",'Banco de Dados'!$AC1229&lt;&gt;"-","Pendente"),"Aguardando Liberação")</f>
        <v>Aguardando Liberação</v>
      </c>
      <c r="AH1229" s="5" t="str">
        <f>IF('Banco de Dados'!$F1229="-",_xlfn.CONCAT(PROPER(TEXT(AK1229,"aaaa"))," ",PROPER(TEXT(AK1229,"mm"))),_xlfn.CONCAT(PROPER(TEXT(E1229,"aaaa"))," ",PROPER(TEXT(E1229,"mm"))))</f>
        <v>2025 03</v>
      </c>
      <c r="AI1229" s="9" t="str">
        <f ca="1">IF('Banco de Dados'!$AK1229&lt;&gt;"-","REEMBOLSO",IFERROR(_xlfn.XLOOKUP(G1229,Follow[CODRASTREIO],Follow[STATUS]),"-"))</f>
        <v>ENTREGUE</v>
      </c>
      <c r="AJ1229" s="9">
        <f ca="1">IF('Banco de Dados'!$AI1229="ENTREGUE",_xlfn.XLOOKUP('Banco de Dados'!$G1229,Follow[CODRASTREIO],Follow[DATAATUALIZAÇÃO]),"-")</f>
        <v>45748</v>
      </c>
      <c r="AK1229" s="132" t="str">
        <f ca="1"/>
        <v>-</v>
      </c>
      <c r="AL1229" s="35"/>
      <c r="AM1229" s="109" cm="1">
        <f t="array" aca="1" ref="AM1229" ca="1">IF('Banco de Dados'!$AK1229&lt;&gt;"-",_xlfn.IFS('Banco de Dados'!$A1229="bv",IF('Banco de Dados'!$E1229&lt;45641,ROUND(SUM('Banco de Dados'!$R1229*_xlfn.XLOOKUP('Banco de Dados'!$P1229,Sku!B:B,Sku!#REF!)*20%),2),ROUND(SUM('Banco de Dados'!$R1229*_xlfn.XLOOKUP('Banco de Dados'!$P1229,Sku!B:B,Sku!H:H)*20%),2)),'Banco de Dados'!$A1229="GO",ROUND(SUM('Banco de Dados'!$R1229*_xlfn.XLOOKUP('Banco de Dados'!$P1229,Sku!C:C,Sku!H:H)*20%),2),'Banco de Dados'!$A1229="MEI",ROUND(SUM('Banco de Dados'!$R1229*_xlfn.XLOOKUP('Banco de Dados'!$P1229,Sku!D:D,Sku!H:H)*20%),2)),0)</f>
        <v>0</v>
      </c>
      <c r="AN1229" s="109">
        <f ca="1">IF('Banco de Dados'!$AK1229&lt;&gt;"-",IF('Banco de Dados'!$F1229&lt;&gt;"-",_xlfn.XLOOKUP(IFERROR(IFERROR(IFERROR(VALUE(SUBSTITUTE(MID(_xlfn.TEXTAFTER('Banco de Dados'!$F1229,"Data do Pedido:
",1),1,10),"-","/")),VALUE(SUBSTITUTE(MID(_xlfn.TEXTAFTER('Banco de Dados'!$F1229,"Order date:
",1),1,10),"-","/"))),VALUE(SUBSTITUTE(MID(_xlfn.TEXTAFTER('Banco de Dados'!$F1229,"Fecha de pedido:
",1),1,10),"-","/"))),"-"),SMS!A:A,SMS!K:K),0),0)</f>
        <v>0</v>
      </c>
      <c r="AO1229" s="109">
        <f ca="1">IF('Banco de Dados'!$AK1229&lt;&gt;"-",IF('Banco de Dados'!$F1229&lt;&gt;"-",IFERROR(_xlfn.XLOOKUP(_xlfn.CONCAT('Banco de Dados'!$A1229,IFERROR(IFERROR(VALUE(SUBSTITUTE(MID(_xlfn.TEXTAFTER('Banco de Dados'!$F1229,"Data do Pedido:
",1),1,10),"-","/")),VALUE(SUBSTITUTE(MID(_xlfn.TEXTAFTER('Banco de Dados'!$F1229,"Order date:
",1),1,10),"-","/"))),0)),ProxyDD[Chave],ProxyDD[Valor por pedido]),PROXY!$P$2),0),0)</f>
        <v>0</v>
      </c>
      <c r="AP1229" s="28">
        <f ca="1">IF('Banco de Dados'!$AK1229&lt;&gt;"-",IF('Banco de Dados'!$AL1229="NÃO",IFERROR(VALUE(SUBSTITUTE(_xlfn.TEXTAFTER('Banco de Dados'!$F1229,"BRL ",1),".",",")),0),0),0)</f>
        <v>0</v>
      </c>
      <c r="AQ1229" s="28">
        <f ca="1">SUM('Banco de Dados'!$AM1229:$AP1229)</f>
        <v>0</v>
      </c>
      <c r="AR1229" s="8"/>
      <c r="AY1229" s="8"/>
    </row>
    <row r="1230" spans="1:51">
      <c r="A1230" s="5" t="str">
        <v>MEI</v>
      </c>
      <c r="B1230" s="5" t="str">
        <f ca="1"/>
        <v>MEI45733</v>
      </c>
      <c r="C1230" s="8" t="str">
        <v>Pedido 1217</v>
      </c>
      <c r="D1230" s="187">
        <v>45731</v>
      </c>
      <c r="E1230" s="9">
        <v>45733</v>
      </c>
      <c r="F1230" s="8" t="str">
        <v>PedidoF1176</v>
      </c>
      <c r="G1230" s="2" t="str">
        <v>CódRastreio1174</v>
      </c>
      <c r="H1230" s="5">
        <v>1</v>
      </c>
      <c r="I1230" s="2" t="str">
        <v>CPF 1183</v>
      </c>
      <c r="J1230" s="2" t="str">
        <v>Nome 1183</v>
      </c>
      <c r="K1230" s="8" t="str">
        <v>Tel 1183</v>
      </c>
      <c r="L1230" s="8" t="str">
        <v>Cep 1183</v>
      </c>
      <c r="M1230" s="8" t="str">
        <v>Rua 1183</v>
      </c>
      <c r="N1230" s="8" t="str">
        <v>Comp 1183</v>
      </c>
      <c r="O1230" s="8" t="str">
        <v>Mini Liquidificador</v>
      </c>
      <c r="P1230" s="8" t="str">
        <v>A4-5W51-K3HF</v>
      </c>
      <c r="Q1230" s="4">
        <v>45751</v>
      </c>
      <c r="R1230" s="109">
        <v>30.95</v>
      </c>
      <c r="S1230" s="11">
        <f ca="1"/>
        <v>30.95</v>
      </c>
      <c r="T1230" s="28">
        <f ca="1"/>
        <v>4.3330000000000002</v>
      </c>
      <c r="U1230" s="11">
        <f ca="1"/>
        <v>26.62</v>
      </c>
      <c r="V1230" s="11">
        <v>12.82</v>
      </c>
      <c r="W1230" s="11">
        <f ca="1"/>
        <v>0.46</v>
      </c>
      <c r="X1230" s="11">
        <f ca="1"/>
        <v>0.39877104377104378</v>
      </c>
      <c r="Y1230" s="11">
        <v>0</v>
      </c>
      <c r="Z1230" s="11">
        <f ca="1"/>
        <v>12.941228956228956</v>
      </c>
      <c r="AA1230" s="11">
        <f ca="1"/>
        <v>6.4706144781144781</v>
      </c>
      <c r="AB1230" s="4">
        <f ca="1"/>
        <v>45758</v>
      </c>
      <c r="AC1230" s="4">
        <v>45758</v>
      </c>
      <c r="AD1230" s="9">
        <v>45762</v>
      </c>
      <c r="AE1230" s="9">
        <v>45763</v>
      </c>
      <c r="AF1230" s="4" t="str">
        <f t="shared" ca="1" si="81"/>
        <v>2025 04</v>
      </c>
      <c r="AG1230" s="8" t="str" cm="1">
        <f t="array" ref="AG1230">IFERROR(_xlfn.IFS('Banco de Dados'!#REF!="AG. COMPRA","Em processamento",'Banco de Dados'!#REF!="AG. RASTREIO","Em processamento",'Banco de Dados'!$AE1230&lt;&gt;"-","Faturado",'Banco de Dados'!$AD1230&lt;&gt;"-","Aguardando Pix",'Banco de Dados'!$AC1230&lt;&gt;"-","Pendente"),"Aguardando Liberação")</f>
        <v>Aguardando Liberação</v>
      </c>
      <c r="AH1230" s="5" t="str">
        <f>IF('Banco de Dados'!$F1230="-",_xlfn.CONCAT(PROPER(TEXT(AK1230,"aaaa"))," ",PROPER(TEXT(AK1230,"mm"))),_xlfn.CONCAT(PROPER(TEXT(E1230,"aaaa"))," ",PROPER(TEXT(E1230,"mm"))))</f>
        <v>2025 03</v>
      </c>
      <c r="AI1230" s="9" t="str">
        <f ca="1">IF('Banco de Dados'!$AK1230&lt;&gt;"-","REEMBOLSO",IFERROR(_xlfn.XLOOKUP(G1230,Follow[CODRASTREIO],Follow[STATUS]),"-"))</f>
        <v>ENTREGUE</v>
      </c>
      <c r="AJ1230" s="9">
        <f ca="1">IF('Banco de Dados'!$AI1230="ENTREGUE",_xlfn.XLOOKUP('Banco de Dados'!$G1230,Follow[CODRASTREIO],Follow[DATAATUALIZAÇÃO]),"-")</f>
        <v>45754</v>
      </c>
      <c r="AK1230" s="132" t="str">
        <f ca="1"/>
        <v>-</v>
      </c>
      <c r="AL1230" s="35"/>
      <c r="AM1230" s="109" cm="1">
        <f t="array" aca="1" ref="AM1230" ca="1">IF('Banco de Dados'!$AK1230&lt;&gt;"-",_xlfn.IFS('Banco de Dados'!$A1230="bv",IF('Banco de Dados'!$E1230&lt;45641,ROUND(SUM('Banco de Dados'!$R1230*_xlfn.XLOOKUP('Banco de Dados'!$P1230,Sku!B:B,Sku!#REF!)*20%),2),ROUND(SUM('Banco de Dados'!$R1230*_xlfn.XLOOKUP('Banco de Dados'!$P1230,Sku!B:B,Sku!H:H)*20%),2)),'Banco de Dados'!$A1230="GO",ROUND(SUM('Banco de Dados'!$R1230*_xlfn.XLOOKUP('Banco de Dados'!$P1230,Sku!C:C,Sku!H:H)*20%),2),'Banco de Dados'!$A1230="MEI",ROUND(SUM('Banco de Dados'!$R1230*_xlfn.XLOOKUP('Banco de Dados'!$P1230,Sku!D:D,Sku!H:H)*20%),2)),0)</f>
        <v>0</v>
      </c>
      <c r="AN1230" s="109">
        <f ca="1">IF('Banco de Dados'!$AK1230&lt;&gt;"-",IF('Banco de Dados'!$F1230&lt;&gt;"-",_xlfn.XLOOKUP(IFERROR(IFERROR(IFERROR(VALUE(SUBSTITUTE(MID(_xlfn.TEXTAFTER('Banco de Dados'!$F1230,"Data do Pedido:
",1),1,10),"-","/")),VALUE(SUBSTITUTE(MID(_xlfn.TEXTAFTER('Banco de Dados'!$F1230,"Order date:
",1),1,10),"-","/"))),VALUE(SUBSTITUTE(MID(_xlfn.TEXTAFTER('Banco de Dados'!$F1230,"Fecha de pedido:
",1),1,10),"-","/"))),"-"),SMS!A:A,SMS!K:K),0),0)</f>
        <v>0</v>
      </c>
      <c r="AO1230" s="109">
        <f ca="1">IF('Banco de Dados'!$AK1230&lt;&gt;"-",IF('Banco de Dados'!$F1230&lt;&gt;"-",IFERROR(_xlfn.XLOOKUP(_xlfn.CONCAT('Banco de Dados'!$A1230,IFERROR(IFERROR(VALUE(SUBSTITUTE(MID(_xlfn.TEXTAFTER('Banco de Dados'!$F1230,"Data do Pedido:
",1),1,10),"-","/")),VALUE(SUBSTITUTE(MID(_xlfn.TEXTAFTER('Banco de Dados'!$F1230,"Order date:
",1),1,10),"-","/"))),0)),ProxyDD[Chave],ProxyDD[Valor por pedido]),PROXY!$P$2),0),0)</f>
        <v>0</v>
      </c>
      <c r="AP1230" s="28">
        <f ca="1">IF('Banco de Dados'!$AK1230&lt;&gt;"-",IF('Banco de Dados'!$AL1230="NÃO",IFERROR(VALUE(SUBSTITUTE(_xlfn.TEXTAFTER('Banco de Dados'!$F1230,"BRL ",1),".",",")),0),0),0)</f>
        <v>0</v>
      </c>
      <c r="AQ1230" s="28">
        <f ca="1">SUM('Banco de Dados'!$AM1230:$AP1230)</f>
        <v>0</v>
      </c>
      <c r="AR1230" s="8"/>
      <c r="AY1230" s="8"/>
    </row>
    <row r="1231" spans="1:51">
      <c r="A1231" s="5" t="str">
        <v>MEI</v>
      </c>
      <c r="B1231" s="5" t="str">
        <f ca="1"/>
        <v>MEI45734</v>
      </c>
      <c r="C1231" s="8" t="str">
        <v>Pedido 1218</v>
      </c>
      <c r="D1231" s="187">
        <v>45731</v>
      </c>
      <c r="E1231" s="9">
        <v>45734</v>
      </c>
      <c r="F1231" s="8" t="str">
        <v>PedidoF1177</v>
      </c>
      <c r="G1231" s="2" t="str">
        <v>CódRastreio1175</v>
      </c>
      <c r="H1231" s="5">
        <v>1</v>
      </c>
      <c r="I1231" s="2" t="str">
        <v>CPF 1184</v>
      </c>
      <c r="J1231" s="2" t="str">
        <v>Nome 1184</v>
      </c>
      <c r="K1231" s="8" t="str">
        <v>Tel 1184</v>
      </c>
      <c r="L1231" s="8" t="str">
        <v>Cep 1184</v>
      </c>
      <c r="M1231" s="8" t="str">
        <v>Rua 1184</v>
      </c>
      <c r="N1231" s="8" t="str">
        <v>Comp 1184</v>
      </c>
      <c r="O1231" s="8" t="str">
        <v>Bomba d'agua</v>
      </c>
      <c r="P1231" s="8" t="str">
        <v>U1-D95R-HYRT</v>
      </c>
      <c r="Q1231" s="4">
        <v>45749</v>
      </c>
      <c r="R1231" s="109">
        <v>21</v>
      </c>
      <c r="S1231" s="11">
        <f ca="1"/>
        <v>21</v>
      </c>
      <c r="T1231" s="28">
        <f ca="1"/>
        <v>2.9400000000000004</v>
      </c>
      <c r="U1231" s="11">
        <f ca="1"/>
        <v>18.059999999999999</v>
      </c>
      <c r="V1231" s="11">
        <v>13.65</v>
      </c>
      <c r="W1231" s="11">
        <f ca="1"/>
        <v>0.42</v>
      </c>
      <c r="X1231" s="11">
        <f ca="1"/>
        <v>0.39877104377104378</v>
      </c>
      <c r="Y1231" s="11">
        <v>0</v>
      </c>
      <c r="Z1231" s="11">
        <f ca="1"/>
        <v>3.5912289562289548</v>
      </c>
      <c r="AA1231" s="11">
        <f ca="1"/>
        <v>1.7956144781144774</v>
      </c>
      <c r="AB1231" s="4">
        <f ca="1"/>
        <v>45756</v>
      </c>
      <c r="AC1231" s="4">
        <v>45756</v>
      </c>
      <c r="AD1231" s="9">
        <v>45762</v>
      </c>
      <c r="AE1231" s="9">
        <v>45763</v>
      </c>
      <c r="AF1231" s="4" t="str">
        <f t="shared" ca="1" si="81"/>
        <v>2025 04</v>
      </c>
      <c r="AG1231" s="8" t="str" cm="1">
        <f t="array" ref="AG1231">IFERROR(_xlfn.IFS('Banco de Dados'!#REF!="AG. COMPRA","Em processamento",'Banco de Dados'!#REF!="AG. RASTREIO","Em processamento",'Banco de Dados'!$AE1231&lt;&gt;"-","Faturado",'Banco de Dados'!$AD1231&lt;&gt;"-","Aguardando Pix",'Banco de Dados'!$AC1231&lt;&gt;"-","Pendente"),"Aguardando Liberação")</f>
        <v>Aguardando Liberação</v>
      </c>
      <c r="AH1231" s="5" t="str">
        <f>IF('Banco de Dados'!$F1231="-",_xlfn.CONCAT(PROPER(TEXT(AK1231,"aaaa"))," ",PROPER(TEXT(AK1231,"mm"))),_xlfn.CONCAT(PROPER(TEXT(E1231,"aaaa"))," ",PROPER(TEXT(E1231,"mm"))))</f>
        <v>2025 03</v>
      </c>
      <c r="AI1231" s="9" t="str">
        <f ca="1">IF('Banco de Dados'!$AK1231&lt;&gt;"-","REEMBOLSO",IFERROR(_xlfn.XLOOKUP(G1231,Follow[CODRASTREIO],Follow[STATUS]),"-"))</f>
        <v>ENTREGUE</v>
      </c>
      <c r="AJ1231" s="9">
        <f ca="1">IF('Banco de Dados'!$AI1231="ENTREGUE",_xlfn.XLOOKUP('Banco de Dados'!$G1231,Follow[CODRASTREIO],Follow[DATAATUALIZAÇÃO]),"-")</f>
        <v>45744</v>
      </c>
      <c r="AK1231" s="132" t="str">
        <f ca="1"/>
        <v>-</v>
      </c>
      <c r="AL1231" s="35"/>
      <c r="AM1231" s="109" cm="1">
        <f t="array" aca="1" ref="AM1231" ca="1">IF('Banco de Dados'!$AK1231&lt;&gt;"-",_xlfn.IFS('Banco de Dados'!$A1231="bv",IF('Banco de Dados'!$E1231&lt;45641,ROUND(SUM('Banco de Dados'!$R1231*_xlfn.XLOOKUP('Banco de Dados'!$P1231,Sku!B:B,Sku!#REF!)*20%),2),ROUND(SUM('Banco de Dados'!$R1231*_xlfn.XLOOKUP('Banco de Dados'!$P1231,Sku!B:B,Sku!H:H)*20%),2)),'Banco de Dados'!$A1231="GO",ROUND(SUM('Banco de Dados'!$R1231*_xlfn.XLOOKUP('Banco de Dados'!$P1231,Sku!C:C,Sku!H:H)*20%),2),'Banco de Dados'!$A1231="MEI",ROUND(SUM('Banco de Dados'!$R1231*_xlfn.XLOOKUP('Banco de Dados'!$P1231,Sku!D:D,Sku!H:H)*20%),2)),0)</f>
        <v>0</v>
      </c>
      <c r="AN1231" s="109">
        <f ca="1">IF('Banco de Dados'!$AK1231&lt;&gt;"-",IF('Banco de Dados'!$F1231&lt;&gt;"-",_xlfn.XLOOKUP(IFERROR(IFERROR(IFERROR(VALUE(SUBSTITUTE(MID(_xlfn.TEXTAFTER('Banco de Dados'!$F1231,"Data do Pedido:
",1),1,10),"-","/")),VALUE(SUBSTITUTE(MID(_xlfn.TEXTAFTER('Banco de Dados'!$F1231,"Order date:
",1),1,10),"-","/"))),VALUE(SUBSTITUTE(MID(_xlfn.TEXTAFTER('Banco de Dados'!$F1231,"Fecha de pedido:
",1),1,10),"-","/"))),"-"),SMS!A:A,SMS!K:K),0),0)</f>
        <v>0</v>
      </c>
      <c r="AO1231" s="109">
        <f ca="1">IF('Banco de Dados'!$AK1231&lt;&gt;"-",IF('Banco de Dados'!$F1231&lt;&gt;"-",IFERROR(_xlfn.XLOOKUP(_xlfn.CONCAT('Banco de Dados'!$A1231,IFERROR(IFERROR(VALUE(SUBSTITUTE(MID(_xlfn.TEXTAFTER('Banco de Dados'!$F1231,"Data do Pedido:
",1),1,10),"-","/")),VALUE(SUBSTITUTE(MID(_xlfn.TEXTAFTER('Banco de Dados'!$F1231,"Order date:
",1),1,10),"-","/"))),0)),ProxyDD[Chave],ProxyDD[Valor por pedido]),PROXY!$P$2),0),0)</f>
        <v>0</v>
      </c>
      <c r="AP1231" s="28">
        <f ca="1">IF('Banco de Dados'!$AK1231&lt;&gt;"-",IF('Banco de Dados'!$AL1231="NÃO",IFERROR(VALUE(SUBSTITUTE(_xlfn.TEXTAFTER('Banco de Dados'!$F1231,"BRL ",1),".",",")),0),0),0)</f>
        <v>0</v>
      </c>
      <c r="AQ1231" s="28">
        <f ca="1">SUM('Banco de Dados'!$AM1231:$AP1231)</f>
        <v>0</v>
      </c>
      <c r="AR1231" s="8"/>
      <c r="AY1231" s="8"/>
    </row>
    <row r="1232" spans="1:51">
      <c r="A1232" s="5" t="str">
        <v>MEI</v>
      </c>
      <c r="B1232" s="5" t="str">
        <f ca="1"/>
        <v>MEI45733</v>
      </c>
      <c r="C1232" s="8" t="str">
        <v>Pedido 1219</v>
      </c>
      <c r="D1232" s="187">
        <v>45731</v>
      </c>
      <c r="E1232" s="9">
        <v>45733</v>
      </c>
      <c r="F1232" s="8" t="str">
        <v>PedidoF1178</v>
      </c>
      <c r="G1232" s="2" t="str">
        <v>CódRastreio1176</v>
      </c>
      <c r="H1232" s="5">
        <v>1</v>
      </c>
      <c r="I1232" s="2" t="str">
        <v>CPF 1185</v>
      </c>
      <c r="J1232" s="2" t="str">
        <v>Nome 1185</v>
      </c>
      <c r="K1232" s="8" t="str">
        <v>Tel 1185</v>
      </c>
      <c r="L1232" s="8" t="str">
        <v>Cep 1185</v>
      </c>
      <c r="M1232" s="8" t="str">
        <v>Rua 1185</v>
      </c>
      <c r="N1232" s="8" t="str">
        <v>Comp 1185</v>
      </c>
      <c r="O1232" s="8" t="str">
        <v>Máquina de cortar cabelo dragão</v>
      </c>
      <c r="P1232" s="8" t="str">
        <v>RX-DD1P-P5U2</v>
      </c>
      <c r="Q1232" s="4">
        <v>45757</v>
      </c>
      <c r="R1232" s="109">
        <v>24.8</v>
      </c>
      <c r="S1232" s="11">
        <f ca="1"/>
        <v>24.8</v>
      </c>
      <c r="T1232" s="28">
        <f ca="1"/>
        <v>2.976</v>
      </c>
      <c r="U1232" s="11">
        <f ca="1"/>
        <v>21.82</v>
      </c>
      <c r="V1232" s="11">
        <v>10.16</v>
      </c>
      <c r="W1232" s="11">
        <f ca="1"/>
        <v>0.46</v>
      </c>
      <c r="X1232" s="11">
        <f ca="1"/>
        <v>0.39877104377104378</v>
      </c>
      <c r="Y1232" s="11">
        <v>0</v>
      </c>
      <c r="Z1232" s="11">
        <f ca="1"/>
        <v>10.801228956228956</v>
      </c>
      <c r="AA1232" s="11">
        <f ca="1"/>
        <v>5.4006144781144778</v>
      </c>
      <c r="AB1232" s="4">
        <f ca="1"/>
        <v>45764</v>
      </c>
      <c r="AC1232" s="4">
        <v>45764</v>
      </c>
      <c r="AD1232" s="9">
        <v>45779</v>
      </c>
      <c r="AE1232" s="9">
        <v>45783</v>
      </c>
      <c r="AF1232" s="4" t="str">
        <f t="shared" ca="1" si="81"/>
        <v>2025 04</v>
      </c>
      <c r="AG1232" s="8" t="str" cm="1">
        <f t="array" ref="AG1232">IFERROR(_xlfn.IFS('Banco de Dados'!#REF!="AG. COMPRA","Em processamento",'Banco de Dados'!#REF!="AG. RASTREIO","Em processamento",'Banco de Dados'!$AE1232&lt;&gt;"-","Faturado",'Banco de Dados'!$AD1232&lt;&gt;"-","Aguardando Pix",'Banco de Dados'!$AC1232&lt;&gt;"-","Pendente"),"Aguardando Liberação")</f>
        <v>Aguardando Liberação</v>
      </c>
      <c r="AH1232" s="5" t="str">
        <f>IF('Banco de Dados'!$F1232="-",_xlfn.CONCAT(PROPER(TEXT(AK1232,"aaaa"))," ",PROPER(TEXT(AK1232,"mm"))),_xlfn.CONCAT(PROPER(TEXT(E1232,"aaaa"))," ",PROPER(TEXT(E1232,"mm"))))</f>
        <v>2025 03</v>
      </c>
      <c r="AI1232" s="9" t="str">
        <f ca="1">IF('Banco de Dados'!$AK1232&lt;&gt;"-","REEMBOLSO",IFERROR(_xlfn.XLOOKUP(G1232,Follow[CODRASTREIO],Follow[STATUS]),"-"))</f>
        <v>ENTREGUE</v>
      </c>
      <c r="AJ1232" s="9">
        <f ca="1">IF('Banco de Dados'!$AI1232="ENTREGUE",_xlfn.XLOOKUP('Banco de Dados'!$G1232,Follow[CODRASTREIO],Follow[DATAATUALIZAÇÃO]),"-")</f>
        <v>45754</v>
      </c>
      <c r="AK1232" s="132" t="str">
        <f ca="1"/>
        <v>-</v>
      </c>
      <c r="AL1232" s="35"/>
      <c r="AM1232" s="109" cm="1">
        <f t="array" aca="1" ref="AM1232" ca="1">IF('Banco de Dados'!$AK1232&lt;&gt;"-",_xlfn.IFS('Banco de Dados'!$A1232="bv",IF('Banco de Dados'!$E1232&lt;45641,ROUND(SUM('Banco de Dados'!$R1232*_xlfn.XLOOKUP('Banco de Dados'!$P1232,Sku!B:B,Sku!#REF!)*20%),2),ROUND(SUM('Banco de Dados'!$R1232*_xlfn.XLOOKUP('Banco de Dados'!$P1232,Sku!B:B,Sku!H:H)*20%),2)),'Banco de Dados'!$A1232="GO",ROUND(SUM('Banco de Dados'!$R1232*_xlfn.XLOOKUP('Banco de Dados'!$P1232,Sku!C:C,Sku!H:H)*20%),2),'Banco de Dados'!$A1232="MEI",ROUND(SUM('Banco de Dados'!$R1232*_xlfn.XLOOKUP('Banco de Dados'!$P1232,Sku!D:D,Sku!H:H)*20%),2)),0)</f>
        <v>0</v>
      </c>
      <c r="AN1232" s="109">
        <f ca="1">IF('Banco de Dados'!$AK1232&lt;&gt;"-",IF('Banco de Dados'!$F1232&lt;&gt;"-",_xlfn.XLOOKUP(IFERROR(IFERROR(IFERROR(VALUE(SUBSTITUTE(MID(_xlfn.TEXTAFTER('Banco de Dados'!$F1232,"Data do Pedido:
",1),1,10),"-","/")),VALUE(SUBSTITUTE(MID(_xlfn.TEXTAFTER('Banco de Dados'!$F1232,"Order date:
",1),1,10),"-","/"))),VALUE(SUBSTITUTE(MID(_xlfn.TEXTAFTER('Banco de Dados'!$F1232,"Fecha de pedido:
",1),1,10),"-","/"))),"-"),SMS!A:A,SMS!K:K),0),0)</f>
        <v>0</v>
      </c>
      <c r="AO1232" s="109">
        <f ca="1">IF('Banco de Dados'!$AK1232&lt;&gt;"-",IF('Banco de Dados'!$F1232&lt;&gt;"-",IFERROR(_xlfn.XLOOKUP(_xlfn.CONCAT('Banco de Dados'!$A1232,IFERROR(IFERROR(VALUE(SUBSTITUTE(MID(_xlfn.TEXTAFTER('Banco de Dados'!$F1232,"Data do Pedido:
",1),1,10),"-","/")),VALUE(SUBSTITUTE(MID(_xlfn.TEXTAFTER('Banco de Dados'!$F1232,"Order date:
",1),1,10),"-","/"))),0)),ProxyDD[Chave],ProxyDD[Valor por pedido]),PROXY!$P$2),0),0)</f>
        <v>0</v>
      </c>
      <c r="AP1232" s="28">
        <f ca="1">IF('Banco de Dados'!$AK1232&lt;&gt;"-",IF('Banco de Dados'!$AL1232="NÃO",IFERROR(VALUE(SUBSTITUTE(_xlfn.TEXTAFTER('Banco de Dados'!$F1232,"BRL ",1),".",",")),0),0),0)</f>
        <v>0</v>
      </c>
      <c r="AQ1232" s="28">
        <f ca="1">SUM('Banco de Dados'!$AM1232:$AP1232)</f>
        <v>0</v>
      </c>
      <c r="AR1232" s="8"/>
      <c r="AY1232" s="8"/>
    </row>
    <row r="1233" spans="1:51">
      <c r="A1233" s="5" t="str">
        <v>MEI</v>
      </c>
      <c r="B1233" s="5" t="str">
        <f ca="1"/>
        <v>MEI45733</v>
      </c>
      <c r="C1233" s="8" t="str">
        <v>Pedido 1220</v>
      </c>
      <c r="D1233" s="187">
        <v>45731</v>
      </c>
      <c r="E1233" s="9">
        <v>45733</v>
      </c>
      <c r="F1233" s="8" t="str">
        <v>PedidoF1179</v>
      </c>
      <c r="G1233" s="2" t="str">
        <v>CódRastreio1177</v>
      </c>
      <c r="H1233" s="5">
        <v>1</v>
      </c>
      <c r="I1233" s="2" t="str">
        <v>CPF 1186</v>
      </c>
      <c r="J1233" s="2" t="str">
        <v>Nome 1186</v>
      </c>
      <c r="K1233" s="8" t="str">
        <v>Tel 1186</v>
      </c>
      <c r="L1233" s="8" t="str">
        <v>Cep 1186</v>
      </c>
      <c r="M1233" s="8" t="str">
        <v>Rua 1186</v>
      </c>
      <c r="N1233" s="8" t="str">
        <v>Comp 1186</v>
      </c>
      <c r="O1233" s="8" t="str">
        <v>Maçarico Culinário Portátil</v>
      </c>
      <c r="P1233" s="8" t="str">
        <v>BG-DHRO-FAEE</v>
      </c>
      <c r="Q1233" s="4">
        <v>45751</v>
      </c>
      <c r="R1233" s="109">
        <v>24.99</v>
      </c>
      <c r="S1233" s="11">
        <f ca="1"/>
        <v>24.99</v>
      </c>
      <c r="T1233" s="28">
        <f ca="1"/>
        <v>2.7488999999999999</v>
      </c>
      <c r="U1233" s="11">
        <f ca="1"/>
        <v>22.24</v>
      </c>
      <c r="V1233" s="11">
        <v>10.16</v>
      </c>
      <c r="W1233" s="11">
        <f ca="1"/>
        <v>0.46</v>
      </c>
      <c r="X1233" s="11">
        <f ca="1"/>
        <v>0.39877104377104378</v>
      </c>
      <c r="Y1233" s="11">
        <v>0</v>
      </c>
      <c r="Z1233" s="11">
        <f ca="1"/>
        <v>11.221228956228954</v>
      </c>
      <c r="AA1233" s="11">
        <f ca="1"/>
        <v>5.6106144781144769</v>
      </c>
      <c r="AB1233" s="4">
        <f ca="1"/>
        <v>45758</v>
      </c>
      <c r="AC1233" s="4">
        <v>45758</v>
      </c>
      <c r="AD1233" s="9">
        <v>45762</v>
      </c>
      <c r="AE1233" s="9">
        <v>45763</v>
      </c>
      <c r="AF1233" s="4" t="str">
        <f t="shared" ca="1" si="81"/>
        <v>2025 04</v>
      </c>
      <c r="AG1233" s="8" t="str" cm="1">
        <f t="array" ref="AG1233">IFERROR(_xlfn.IFS('Banco de Dados'!#REF!="AG. COMPRA","Em processamento",'Banco de Dados'!#REF!="AG. RASTREIO","Em processamento",'Banco de Dados'!$AE1233&lt;&gt;"-","Faturado",'Banco de Dados'!$AD1233&lt;&gt;"-","Aguardando Pix",'Banco de Dados'!$AC1233&lt;&gt;"-","Pendente"),"Aguardando Liberação")</f>
        <v>Aguardando Liberação</v>
      </c>
      <c r="AH1233" s="5" t="str">
        <f>IF('Banco de Dados'!$F1233="-",_xlfn.CONCAT(PROPER(TEXT(AK1233,"aaaa"))," ",PROPER(TEXT(AK1233,"mm"))),_xlfn.CONCAT(PROPER(TEXT(E1233,"aaaa"))," ",PROPER(TEXT(E1233,"mm"))))</f>
        <v>2025 03</v>
      </c>
      <c r="AI1233" s="9" t="str">
        <f ca="1">IF('Banco de Dados'!$AK1233&lt;&gt;"-","REEMBOLSO",IFERROR(_xlfn.XLOOKUP(G1233,Follow[CODRASTREIO],Follow[STATUS]),"-"))</f>
        <v>ENTREGUE</v>
      </c>
      <c r="AJ1233" s="9">
        <f ca="1">IF('Banco de Dados'!$AI1233="ENTREGUE",_xlfn.XLOOKUP('Banco de Dados'!$G1233,Follow[CODRASTREIO],Follow[DATAATUALIZAÇÃO]),"-")</f>
        <v>45747</v>
      </c>
      <c r="AK1233" s="132" t="str">
        <f ca="1"/>
        <v>-</v>
      </c>
      <c r="AL1233" s="35"/>
      <c r="AM1233" s="109" cm="1">
        <f t="array" aca="1" ref="AM1233" ca="1">IF('Banco de Dados'!$AK1233&lt;&gt;"-",_xlfn.IFS('Banco de Dados'!$A1233="bv",IF('Banco de Dados'!$E1233&lt;45641,ROUND(SUM('Banco de Dados'!$R1233*_xlfn.XLOOKUP('Banco de Dados'!$P1233,Sku!B:B,Sku!#REF!)*20%),2),ROUND(SUM('Banco de Dados'!$R1233*_xlfn.XLOOKUP('Banco de Dados'!$P1233,Sku!B:B,Sku!H:H)*20%),2)),'Banco de Dados'!$A1233="GO",ROUND(SUM('Banco de Dados'!$R1233*_xlfn.XLOOKUP('Banco de Dados'!$P1233,Sku!C:C,Sku!H:H)*20%),2),'Banco de Dados'!$A1233="MEI",ROUND(SUM('Banco de Dados'!$R1233*_xlfn.XLOOKUP('Banco de Dados'!$P1233,Sku!D:D,Sku!H:H)*20%),2)),0)</f>
        <v>0</v>
      </c>
      <c r="AN1233" s="109">
        <f ca="1">IF('Banco de Dados'!$AK1233&lt;&gt;"-",IF('Banco de Dados'!$F1233&lt;&gt;"-",_xlfn.XLOOKUP(IFERROR(IFERROR(IFERROR(VALUE(SUBSTITUTE(MID(_xlfn.TEXTAFTER('Banco de Dados'!$F1233,"Data do Pedido:
",1),1,10),"-","/")),VALUE(SUBSTITUTE(MID(_xlfn.TEXTAFTER('Banco de Dados'!$F1233,"Order date:
",1),1,10),"-","/"))),VALUE(SUBSTITUTE(MID(_xlfn.TEXTAFTER('Banco de Dados'!$F1233,"Fecha de pedido:
",1),1,10),"-","/"))),"-"),SMS!A:A,SMS!K:K),0),0)</f>
        <v>0</v>
      </c>
      <c r="AO1233" s="109">
        <f ca="1">IF('Banco de Dados'!$AK1233&lt;&gt;"-",IF('Banco de Dados'!$F1233&lt;&gt;"-",IFERROR(_xlfn.XLOOKUP(_xlfn.CONCAT('Banco de Dados'!$A1233,IFERROR(IFERROR(VALUE(SUBSTITUTE(MID(_xlfn.TEXTAFTER('Banco de Dados'!$F1233,"Data do Pedido:
",1),1,10),"-","/")),VALUE(SUBSTITUTE(MID(_xlfn.TEXTAFTER('Banco de Dados'!$F1233,"Order date:
",1),1,10),"-","/"))),0)),ProxyDD[Chave],ProxyDD[Valor por pedido]),PROXY!$P$2),0),0)</f>
        <v>0</v>
      </c>
      <c r="AP1233" s="28">
        <f ca="1">IF('Banco de Dados'!$AK1233&lt;&gt;"-",IF('Banco de Dados'!$AL1233="NÃO",IFERROR(VALUE(SUBSTITUTE(_xlfn.TEXTAFTER('Banco de Dados'!$F1233,"BRL ",1),".",",")),0),0),0)</f>
        <v>0</v>
      </c>
      <c r="AQ1233" s="28">
        <f ca="1">SUM('Banco de Dados'!$AM1233:$AP1233)</f>
        <v>0</v>
      </c>
      <c r="AR1233" s="8"/>
      <c r="AY1233" s="8"/>
    </row>
    <row r="1234" spans="1:51">
      <c r="A1234" s="5" t="str">
        <v>MEI</v>
      </c>
      <c r="B1234" s="5" t="str">
        <f ca="1"/>
        <v>MEI45733</v>
      </c>
      <c r="C1234" s="8" t="str">
        <v>Pedido 1221</v>
      </c>
      <c r="D1234" s="187">
        <v>45731</v>
      </c>
      <c r="E1234" s="9">
        <v>45733</v>
      </c>
      <c r="F1234" s="8" t="str">
        <v>PedidoF1180</v>
      </c>
      <c r="G1234" s="2" t="str">
        <v>CódRastreio1178</v>
      </c>
      <c r="H1234" s="5">
        <v>1</v>
      </c>
      <c r="I1234" s="2" t="str">
        <v>CPF 1187</v>
      </c>
      <c r="J1234" s="2" t="str">
        <v>Nome 1187</v>
      </c>
      <c r="K1234" s="8" t="str">
        <v>Tel 1187</v>
      </c>
      <c r="L1234" s="8" t="str">
        <v>Cep 1187</v>
      </c>
      <c r="M1234" s="8" t="str">
        <v>Rua 1187</v>
      </c>
      <c r="N1234" s="8" t="str">
        <v>Comp 1187</v>
      </c>
      <c r="O1234" s="8" t="str">
        <v>Máquina de cortar cabelo dragão</v>
      </c>
      <c r="P1234" s="8" t="str">
        <v>RX-DD1P-P5U2</v>
      </c>
      <c r="Q1234" s="4">
        <v>45751</v>
      </c>
      <c r="R1234" s="109">
        <v>24.8</v>
      </c>
      <c r="S1234" s="11">
        <f ca="1"/>
        <v>24.8</v>
      </c>
      <c r="T1234" s="28">
        <f ca="1"/>
        <v>2.976</v>
      </c>
      <c r="U1234" s="11">
        <f ca="1"/>
        <v>21.82</v>
      </c>
      <c r="V1234" s="11">
        <v>10.16</v>
      </c>
      <c r="W1234" s="11">
        <f ca="1"/>
        <v>0.46</v>
      </c>
      <c r="X1234" s="11">
        <f ca="1"/>
        <v>0.39877104377104378</v>
      </c>
      <c r="Y1234" s="11">
        <v>0</v>
      </c>
      <c r="Z1234" s="11">
        <f ca="1"/>
        <v>10.801228956228956</v>
      </c>
      <c r="AA1234" s="11">
        <f ca="1"/>
        <v>5.4006144781144778</v>
      </c>
      <c r="AB1234" s="4">
        <f ca="1"/>
        <v>45758</v>
      </c>
      <c r="AC1234" s="4">
        <v>45758</v>
      </c>
      <c r="AD1234" s="9">
        <v>45762</v>
      </c>
      <c r="AE1234" s="9">
        <v>45763</v>
      </c>
      <c r="AF1234" s="4" t="str">
        <f t="shared" ca="1" si="81"/>
        <v>2025 04</v>
      </c>
      <c r="AG1234" s="8" t="str" cm="1">
        <f t="array" ref="AG1234">IFERROR(_xlfn.IFS('Banco de Dados'!#REF!="AG. COMPRA","Em processamento",'Banco de Dados'!#REF!="AG. RASTREIO","Em processamento",'Banco de Dados'!$AE1234&lt;&gt;"-","Faturado",'Banco de Dados'!$AD1234&lt;&gt;"-","Aguardando Pix",'Banco de Dados'!$AC1234&lt;&gt;"-","Pendente"),"Aguardando Liberação")</f>
        <v>Aguardando Liberação</v>
      </c>
      <c r="AH1234" s="5" t="str">
        <f>IF('Banco de Dados'!$F1234="-",_xlfn.CONCAT(PROPER(TEXT(AK1234,"aaaa"))," ",PROPER(TEXT(AK1234,"mm"))),_xlfn.CONCAT(PROPER(TEXT(E1234,"aaaa"))," ",PROPER(TEXT(E1234,"mm"))))</f>
        <v>2025 03</v>
      </c>
      <c r="AI1234" s="9" t="str">
        <f ca="1">IF('Banco de Dados'!$AK1234&lt;&gt;"-","REEMBOLSO",IFERROR(_xlfn.XLOOKUP(G1234,Follow[CODRASTREIO],Follow[STATUS]),"-"))</f>
        <v>ENTREGUE</v>
      </c>
      <c r="AJ1234" s="9">
        <f ca="1">IF('Banco de Dados'!$AI1234="ENTREGUE",_xlfn.XLOOKUP('Banco de Dados'!$G1234,Follow[CODRASTREIO],Follow[DATAATUALIZAÇÃO]),"-")</f>
        <v>45754</v>
      </c>
      <c r="AK1234" s="132" t="str">
        <f ca="1"/>
        <v>-</v>
      </c>
      <c r="AL1234" s="35"/>
      <c r="AM1234" s="109" cm="1">
        <f t="array" aca="1" ref="AM1234" ca="1">IF('Banco de Dados'!$AK1234&lt;&gt;"-",_xlfn.IFS('Banco de Dados'!$A1234="bv",IF('Banco de Dados'!$E1234&lt;45641,ROUND(SUM('Banco de Dados'!$R1234*_xlfn.XLOOKUP('Banco de Dados'!$P1234,Sku!B:B,Sku!#REF!)*20%),2),ROUND(SUM('Banco de Dados'!$R1234*_xlfn.XLOOKUP('Banco de Dados'!$P1234,Sku!B:B,Sku!H:H)*20%),2)),'Banco de Dados'!$A1234="GO",ROUND(SUM('Banco de Dados'!$R1234*_xlfn.XLOOKUP('Banco de Dados'!$P1234,Sku!C:C,Sku!H:H)*20%),2),'Banco de Dados'!$A1234="MEI",ROUND(SUM('Banco de Dados'!$R1234*_xlfn.XLOOKUP('Banco de Dados'!$P1234,Sku!D:D,Sku!H:H)*20%),2)),0)</f>
        <v>0</v>
      </c>
      <c r="AN1234" s="109">
        <f ca="1">IF('Banco de Dados'!$AK1234&lt;&gt;"-",IF('Banco de Dados'!$F1234&lt;&gt;"-",_xlfn.XLOOKUP(IFERROR(IFERROR(IFERROR(VALUE(SUBSTITUTE(MID(_xlfn.TEXTAFTER('Banco de Dados'!$F1234,"Data do Pedido:
",1),1,10),"-","/")),VALUE(SUBSTITUTE(MID(_xlfn.TEXTAFTER('Banco de Dados'!$F1234,"Order date:
",1),1,10),"-","/"))),VALUE(SUBSTITUTE(MID(_xlfn.TEXTAFTER('Banco de Dados'!$F1234,"Fecha de pedido:
",1),1,10),"-","/"))),"-"),SMS!A:A,SMS!K:K),0),0)</f>
        <v>0</v>
      </c>
      <c r="AO1234" s="109">
        <f ca="1">IF('Banco de Dados'!$AK1234&lt;&gt;"-",IF('Banco de Dados'!$F1234&lt;&gt;"-",IFERROR(_xlfn.XLOOKUP(_xlfn.CONCAT('Banco de Dados'!$A1234,IFERROR(IFERROR(VALUE(SUBSTITUTE(MID(_xlfn.TEXTAFTER('Banco de Dados'!$F1234,"Data do Pedido:
",1),1,10),"-","/")),VALUE(SUBSTITUTE(MID(_xlfn.TEXTAFTER('Banco de Dados'!$F1234,"Order date:
",1),1,10),"-","/"))),0)),ProxyDD[Chave],ProxyDD[Valor por pedido]),PROXY!$P$2),0),0)</f>
        <v>0</v>
      </c>
      <c r="AP1234" s="28">
        <f ca="1">IF('Banco de Dados'!$AK1234&lt;&gt;"-",IF('Banco de Dados'!$AL1234="NÃO",IFERROR(VALUE(SUBSTITUTE(_xlfn.TEXTAFTER('Banco de Dados'!$F1234,"BRL ",1),".",",")),0),0),0)</f>
        <v>0</v>
      </c>
      <c r="AQ1234" s="28">
        <f ca="1">SUM('Banco de Dados'!$AM1234:$AP1234)</f>
        <v>0</v>
      </c>
      <c r="AR1234" s="8"/>
      <c r="AY1234" s="8"/>
    </row>
    <row r="1235" spans="1:51">
      <c r="A1235" s="5" t="str">
        <v>MEI</v>
      </c>
      <c r="B1235" s="5" t="str">
        <f ca="1"/>
        <v>MEI45734</v>
      </c>
      <c r="C1235" s="8" t="str">
        <v>Pedido 1222</v>
      </c>
      <c r="D1235" s="187">
        <v>45731</v>
      </c>
      <c r="E1235" s="9">
        <v>45734</v>
      </c>
      <c r="F1235" s="8" t="str">
        <v>PedidoF1181</v>
      </c>
      <c r="G1235" s="2" t="str">
        <v>CódRastreio1179</v>
      </c>
      <c r="H1235" s="5">
        <v>1</v>
      </c>
      <c r="I1235" s="2" t="str">
        <v>CPF 1188</v>
      </c>
      <c r="J1235" s="2" t="str">
        <v>Nome 1188</v>
      </c>
      <c r="K1235" s="8" t="str">
        <v>Tel 1188</v>
      </c>
      <c r="L1235" s="8" t="str">
        <v>Cep 1188</v>
      </c>
      <c r="M1235" s="8" t="str">
        <v>Rua 1188</v>
      </c>
      <c r="N1235" s="8" t="str">
        <v>Comp 1188</v>
      </c>
      <c r="O1235" s="8" t="str">
        <v>Máquina de cortar cabelo dragão</v>
      </c>
      <c r="P1235" s="8" t="str">
        <v>RX-DD1P-P5U2</v>
      </c>
      <c r="Q1235" s="4">
        <v>45751</v>
      </c>
      <c r="R1235" s="109">
        <v>24.8</v>
      </c>
      <c r="S1235" s="11">
        <f ca="1"/>
        <v>24.8</v>
      </c>
      <c r="T1235" s="28">
        <f ca="1"/>
        <v>2.976</v>
      </c>
      <c r="U1235" s="11">
        <f ca="1"/>
        <v>21.82</v>
      </c>
      <c r="V1235" s="11">
        <v>10.210000000000001</v>
      </c>
      <c r="W1235" s="11">
        <f ca="1"/>
        <v>0.42</v>
      </c>
      <c r="X1235" s="11">
        <f ca="1"/>
        <v>0.39877104377104378</v>
      </c>
      <c r="Y1235" s="11">
        <v>0</v>
      </c>
      <c r="Z1235" s="11">
        <f ca="1"/>
        <v>10.791228956228956</v>
      </c>
      <c r="AA1235" s="11">
        <f ca="1"/>
        <v>5.3956144781144779</v>
      </c>
      <c r="AB1235" s="4">
        <f ca="1"/>
        <v>45758</v>
      </c>
      <c r="AC1235" s="4">
        <v>45758</v>
      </c>
      <c r="AD1235" s="9">
        <v>45762</v>
      </c>
      <c r="AE1235" s="9">
        <v>45763</v>
      </c>
      <c r="AF1235" s="4" t="str">
        <f t="shared" ca="1" si="81"/>
        <v>2025 04</v>
      </c>
      <c r="AG1235" s="8" t="str" cm="1">
        <f t="array" ref="AG1235">IFERROR(_xlfn.IFS('Banco de Dados'!#REF!="AG. COMPRA","Em processamento",'Banco de Dados'!#REF!="AG. RASTREIO","Em processamento",'Banco de Dados'!$AE1235&lt;&gt;"-","Faturado",'Banco de Dados'!$AD1235&lt;&gt;"-","Aguardando Pix",'Banco de Dados'!$AC1235&lt;&gt;"-","Pendente"),"Aguardando Liberação")</f>
        <v>Aguardando Liberação</v>
      </c>
      <c r="AH1235" s="5" t="str">
        <f>IF('Banco de Dados'!$F1235="-",_xlfn.CONCAT(PROPER(TEXT(AK1235,"aaaa"))," ",PROPER(TEXT(AK1235,"mm"))),_xlfn.CONCAT(PROPER(TEXT(E1235,"aaaa"))," ",PROPER(TEXT(E1235,"mm"))))</f>
        <v>2025 03</v>
      </c>
      <c r="AI1235" s="9" t="str">
        <f ca="1">IF('Banco de Dados'!$AK1235&lt;&gt;"-","REEMBOLSO",IFERROR(_xlfn.XLOOKUP(G1235,Follow[CODRASTREIO],Follow[STATUS]),"-"))</f>
        <v>ENTREGUE</v>
      </c>
      <c r="AJ1235" s="9">
        <f ca="1">IF('Banco de Dados'!$AI1235="ENTREGUE",_xlfn.XLOOKUP('Banco de Dados'!$G1235,Follow[CODRASTREIO],Follow[DATAATUALIZAÇÃO]),"-")</f>
        <v>45748</v>
      </c>
      <c r="AK1235" s="132" t="str">
        <f ca="1"/>
        <v>-</v>
      </c>
      <c r="AL1235" s="35"/>
      <c r="AM1235" s="109" cm="1">
        <f t="array" aca="1" ref="AM1235" ca="1">IF('Banco de Dados'!$AK1235&lt;&gt;"-",_xlfn.IFS('Banco de Dados'!$A1235="bv",IF('Banco de Dados'!$E1235&lt;45641,ROUND(SUM('Banco de Dados'!$R1235*_xlfn.XLOOKUP('Banco de Dados'!$P1235,Sku!B:B,Sku!#REF!)*20%),2),ROUND(SUM('Banco de Dados'!$R1235*_xlfn.XLOOKUP('Banco de Dados'!$P1235,Sku!B:B,Sku!H:H)*20%),2)),'Banco de Dados'!$A1235="GO",ROUND(SUM('Banco de Dados'!$R1235*_xlfn.XLOOKUP('Banco de Dados'!$P1235,Sku!C:C,Sku!H:H)*20%),2),'Banco de Dados'!$A1235="MEI",ROUND(SUM('Banco de Dados'!$R1235*_xlfn.XLOOKUP('Banco de Dados'!$P1235,Sku!D:D,Sku!H:H)*20%),2)),0)</f>
        <v>0</v>
      </c>
      <c r="AN1235" s="109">
        <f ca="1">IF('Banco de Dados'!$AK1235&lt;&gt;"-",IF('Banco de Dados'!$F1235&lt;&gt;"-",_xlfn.XLOOKUP(IFERROR(IFERROR(IFERROR(VALUE(SUBSTITUTE(MID(_xlfn.TEXTAFTER('Banco de Dados'!$F1235,"Data do Pedido:
",1),1,10),"-","/")),VALUE(SUBSTITUTE(MID(_xlfn.TEXTAFTER('Banco de Dados'!$F1235,"Order date:
",1),1,10),"-","/"))),VALUE(SUBSTITUTE(MID(_xlfn.TEXTAFTER('Banco de Dados'!$F1235,"Fecha de pedido:
",1),1,10),"-","/"))),"-"),SMS!A:A,SMS!K:K),0),0)</f>
        <v>0</v>
      </c>
      <c r="AO1235" s="109">
        <f ca="1">IF('Banco de Dados'!$AK1235&lt;&gt;"-",IF('Banco de Dados'!$F1235&lt;&gt;"-",IFERROR(_xlfn.XLOOKUP(_xlfn.CONCAT('Banco de Dados'!$A1235,IFERROR(IFERROR(VALUE(SUBSTITUTE(MID(_xlfn.TEXTAFTER('Banco de Dados'!$F1235,"Data do Pedido:
",1),1,10),"-","/")),VALUE(SUBSTITUTE(MID(_xlfn.TEXTAFTER('Banco de Dados'!$F1235,"Order date:
",1),1,10),"-","/"))),0)),ProxyDD[Chave],ProxyDD[Valor por pedido]),PROXY!$P$2),0),0)</f>
        <v>0</v>
      </c>
      <c r="AP1235" s="28">
        <f ca="1">IF('Banco de Dados'!$AK1235&lt;&gt;"-",IF('Banco de Dados'!$AL1235="NÃO",IFERROR(VALUE(SUBSTITUTE(_xlfn.TEXTAFTER('Banco de Dados'!$F1235,"BRL ",1),".",",")),0),0),0)</f>
        <v>0</v>
      </c>
      <c r="AQ1235" s="28">
        <f ca="1">SUM('Banco de Dados'!$AM1235:$AP1235)</f>
        <v>0</v>
      </c>
      <c r="AR1235" s="8"/>
      <c r="AY1235" s="8"/>
    </row>
    <row r="1236" spans="1:51">
      <c r="A1236" s="5" t="str">
        <v>MEI</v>
      </c>
      <c r="B1236" s="5" t="str">
        <f ca="1"/>
        <v>MEI45733</v>
      </c>
      <c r="C1236" s="8" t="str">
        <v>Pedido 1223</v>
      </c>
      <c r="D1236" s="187">
        <v>45731</v>
      </c>
      <c r="E1236" s="9">
        <v>45733</v>
      </c>
      <c r="F1236" s="8" t="str">
        <v>PedidoF1182</v>
      </c>
      <c r="G1236" s="2" t="str">
        <v>CódRastreio1180</v>
      </c>
      <c r="H1236" s="5">
        <v>1</v>
      </c>
      <c r="I1236" s="2" t="str">
        <v>CPF 1189</v>
      </c>
      <c r="J1236" s="2" t="str">
        <v>Nome 1189</v>
      </c>
      <c r="K1236" s="8" t="str">
        <v>Tel 1189</v>
      </c>
      <c r="L1236" s="8" t="str">
        <v>Cep 1189</v>
      </c>
      <c r="M1236" s="8" t="str">
        <v>Rua 1189</v>
      </c>
      <c r="N1236" s="8" t="str">
        <v>Comp 1189</v>
      </c>
      <c r="O1236" s="8" t="str">
        <v>Bomba d'agua</v>
      </c>
      <c r="P1236" s="8" t="str">
        <v>U1-D95R-HYRT</v>
      </c>
      <c r="Q1236" s="4">
        <v>45751</v>
      </c>
      <c r="R1236" s="109">
        <v>21</v>
      </c>
      <c r="S1236" s="11">
        <f ca="1"/>
        <v>21</v>
      </c>
      <c r="T1236" s="28">
        <f ca="1"/>
        <v>2.9400000000000004</v>
      </c>
      <c r="U1236" s="11">
        <f ca="1"/>
        <v>18.059999999999999</v>
      </c>
      <c r="V1236" s="11">
        <v>13.78</v>
      </c>
      <c r="W1236" s="11">
        <f ca="1"/>
        <v>0.46</v>
      </c>
      <c r="X1236" s="11">
        <f ca="1"/>
        <v>0.39877104377104378</v>
      </c>
      <c r="Y1236" s="11">
        <v>0</v>
      </c>
      <c r="Z1236" s="11">
        <f ca="1"/>
        <v>3.4212289562289548</v>
      </c>
      <c r="AA1236" s="11">
        <f ca="1"/>
        <v>1.7106144781144774</v>
      </c>
      <c r="AB1236" s="4">
        <f ca="1"/>
        <v>45758</v>
      </c>
      <c r="AC1236" s="4">
        <v>45758</v>
      </c>
      <c r="AD1236" s="9">
        <v>45762</v>
      </c>
      <c r="AE1236" s="9">
        <v>45763</v>
      </c>
      <c r="AF1236" s="4" t="str">
        <f t="shared" ca="1" si="81"/>
        <v>2025 04</v>
      </c>
      <c r="AG1236" s="8" t="str" cm="1">
        <f t="array" ref="AG1236">IFERROR(_xlfn.IFS('Banco de Dados'!#REF!="AG. COMPRA","Em processamento",'Banco de Dados'!#REF!="AG. RASTREIO","Em processamento",'Banco de Dados'!$AE1236&lt;&gt;"-","Faturado",'Banco de Dados'!$AD1236&lt;&gt;"-","Aguardando Pix",'Banco de Dados'!$AC1236&lt;&gt;"-","Pendente"),"Aguardando Liberação")</f>
        <v>Aguardando Liberação</v>
      </c>
      <c r="AH1236" s="5" t="str">
        <f>IF('Banco de Dados'!$F1236="-",_xlfn.CONCAT(PROPER(TEXT(AK1236,"aaaa"))," ",PROPER(TEXT(AK1236,"mm"))),_xlfn.CONCAT(PROPER(TEXT(E1236,"aaaa"))," ",PROPER(TEXT(E1236,"mm"))))</f>
        <v>2025 03</v>
      </c>
      <c r="AI1236" s="9" t="str">
        <f ca="1">IF('Banco de Dados'!$AK1236&lt;&gt;"-","REEMBOLSO",IFERROR(_xlfn.XLOOKUP(G1236,Follow[CODRASTREIO],Follow[STATUS]),"-"))</f>
        <v>ENTREGUE</v>
      </c>
      <c r="AJ1236" s="9">
        <f ca="1">IF('Banco de Dados'!$AI1236="ENTREGUE",_xlfn.XLOOKUP('Banco de Dados'!$G1236,Follow[CODRASTREIO],Follow[DATAATUALIZAÇÃO]),"-")</f>
        <v>45744</v>
      </c>
      <c r="AK1236" s="132" t="str">
        <f ca="1"/>
        <v>-</v>
      </c>
      <c r="AL1236" s="35"/>
      <c r="AM1236" s="109" cm="1">
        <f t="array" aca="1" ref="AM1236" ca="1">IF('Banco de Dados'!$AK1236&lt;&gt;"-",_xlfn.IFS('Banco de Dados'!$A1236="bv",IF('Banco de Dados'!$E1236&lt;45641,ROUND(SUM('Banco de Dados'!$R1236*_xlfn.XLOOKUP('Banco de Dados'!$P1236,Sku!B:B,Sku!#REF!)*20%),2),ROUND(SUM('Banco de Dados'!$R1236*_xlfn.XLOOKUP('Banco de Dados'!$P1236,Sku!B:B,Sku!H:H)*20%),2)),'Banco de Dados'!$A1236="GO",ROUND(SUM('Banco de Dados'!$R1236*_xlfn.XLOOKUP('Banco de Dados'!$P1236,Sku!C:C,Sku!H:H)*20%),2),'Banco de Dados'!$A1236="MEI",ROUND(SUM('Banco de Dados'!$R1236*_xlfn.XLOOKUP('Banco de Dados'!$P1236,Sku!D:D,Sku!H:H)*20%),2)),0)</f>
        <v>0</v>
      </c>
      <c r="AN1236" s="109">
        <f ca="1">IF('Banco de Dados'!$AK1236&lt;&gt;"-",IF('Banco de Dados'!$F1236&lt;&gt;"-",_xlfn.XLOOKUP(IFERROR(IFERROR(IFERROR(VALUE(SUBSTITUTE(MID(_xlfn.TEXTAFTER('Banco de Dados'!$F1236,"Data do Pedido:
",1),1,10),"-","/")),VALUE(SUBSTITUTE(MID(_xlfn.TEXTAFTER('Banco de Dados'!$F1236,"Order date:
",1),1,10),"-","/"))),VALUE(SUBSTITUTE(MID(_xlfn.TEXTAFTER('Banco de Dados'!$F1236,"Fecha de pedido:
",1),1,10),"-","/"))),"-"),SMS!A:A,SMS!K:K),0),0)</f>
        <v>0</v>
      </c>
      <c r="AO1236" s="109">
        <f ca="1">IF('Banco de Dados'!$AK1236&lt;&gt;"-",IF('Banco de Dados'!$F1236&lt;&gt;"-",IFERROR(_xlfn.XLOOKUP(_xlfn.CONCAT('Banco de Dados'!$A1236,IFERROR(IFERROR(VALUE(SUBSTITUTE(MID(_xlfn.TEXTAFTER('Banco de Dados'!$F1236,"Data do Pedido:
",1),1,10),"-","/")),VALUE(SUBSTITUTE(MID(_xlfn.TEXTAFTER('Banco de Dados'!$F1236,"Order date:
",1),1,10),"-","/"))),0)),ProxyDD[Chave],ProxyDD[Valor por pedido]),PROXY!$P$2),0),0)</f>
        <v>0</v>
      </c>
      <c r="AP1236" s="28">
        <f ca="1">IF('Banco de Dados'!$AK1236&lt;&gt;"-",IF('Banco de Dados'!$AL1236="NÃO",IFERROR(VALUE(SUBSTITUTE(_xlfn.TEXTAFTER('Banco de Dados'!$F1236,"BRL ",1),".",",")),0),0),0)</f>
        <v>0</v>
      </c>
      <c r="AQ1236" s="28">
        <f ca="1">SUM('Banco de Dados'!$AM1236:$AP1236)</f>
        <v>0</v>
      </c>
      <c r="AR1236" s="8"/>
      <c r="AY1236" s="8"/>
    </row>
    <row r="1237" spans="1:51">
      <c r="A1237" s="5" t="str">
        <v>MEI</v>
      </c>
      <c r="B1237" s="5" t="str">
        <f ca="1"/>
        <v>MEI45734</v>
      </c>
      <c r="C1237" s="8" t="str">
        <v>Pedido 1224</v>
      </c>
      <c r="D1237" s="187">
        <v>45731</v>
      </c>
      <c r="E1237" s="9">
        <v>45734</v>
      </c>
      <c r="F1237" s="8" t="str">
        <v>PedidoF1183</v>
      </c>
      <c r="G1237" s="2" t="str">
        <v>CódRastreio1181</v>
      </c>
      <c r="H1237" s="5">
        <v>1</v>
      </c>
      <c r="I1237" s="2" t="str">
        <v>CPF 1190</v>
      </c>
      <c r="J1237" s="2" t="str">
        <v>Nome 1190</v>
      </c>
      <c r="K1237" s="8" t="str">
        <v>Tel 1190</v>
      </c>
      <c r="L1237" s="8" t="str">
        <v>Cep 1190</v>
      </c>
      <c r="M1237" s="8" t="str">
        <v>Rua 1190</v>
      </c>
      <c r="N1237" s="8" t="str">
        <v>Comp 1190</v>
      </c>
      <c r="O1237" s="8" t="str">
        <v>Maçarico Culinário Portátil</v>
      </c>
      <c r="P1237" s="8" t="str">
        <v>BG-DHRO-FAEE</v>
      </c>
      <c r="Q1237" s="4">
        <v>45751</v>
      </c>
      <c r="R1237" s="109">
        <v>24.99</v>
      </c>
      <c r="S1237" s="11">
        <f ca="1"/>
        <v>24.99</v>
      </c>
      <c r="T1237" s="28">
        <f ca="1"/>
        <v>2.7488999999999999</v>
      </c>
      <c r="U1237" s="11">
        <f ca="1"/>
        <v>22.24</v>
      </c>
      <c r="V1237" s="11">
        <v>15.82</v>
      </c>
      <c r="W1237" s="11">
        <f ca="1"/>
        <v>0.42</v>
      </c>
      <c r="X1237" s="11">
        <f ca="1"/>
        <v>0.39877104377104378</v>
      </c>
      <c r="Y1237" s="11">
        <v>0</v>
      </c>
      <c r="Z1237" s="11">
        <f ca="1"/>
        <v>5.601228956228951</v>
      </c>
      <c r="AA1237" s="11">
        <f ca="1"/>
        <v>2.8006144781144755</v>
      </c>
      <c r="AB1237" s="4">
        <f ca="1"/>
        <v>45758</v>
      </c>
      <c r="AC1237" s="4">
        <v>45758</v>
      </c>
      <c r="AD1237" s="9">
        <v>45762</v>
      </c>
      <c r="AE1237" s="9">
        <v>45763</v>
      </c>
      <c r="AF1237" s="4" t="str">
        <f t="shared" ca="1" si="81"/>
        <v>2025 04</v>
      </c>
      <c r="AG1237" s="8" t="str" cm="1">
        <f t="array" ref="AG1237">IFERROR(_xlfn.IFS('Banco de Dados'!#REF!="AG. COMPRA","Em processamento",'Banco de Dados'!#REF!="AG. RASTREIO","Em processamento",'Banco de Dados'!$AE1237&lt;&gt;"-","Faturado",'Banco de Dados'!$AD1237&lt;&gt;"-","Aguardando Pix",'Banco de Dados'!$AC1237&lt;&gt;"-","Pendente"),"Aguardando Liberação")</f>
        <v>Aguardando Liberação</v>
      </c>
      <c r="AH1237" s="5" t="str">
        <f>IF('Banco de Dados'!$F1237="-",_xlfn.CONCAT(PROPER(TEXT(AK1237,"aaaa"))," ",PROPER(TEXT(AK1237,"mm"))),_xlfn.CONCAT(PROPER(TEXT(E1237,"aaaa"))," ",PROPER(TEXT(E1237,"mm"))))</f>
        <v>2025 03</v>
      </c>
      <c r="AI1237" s="9" t="str">
        <f ca="1">IF('Banco de Dados'!$AK1237&lt;&gt;"-","REEMBOLSO",IFERROR(_xlfn.XLOOKUP(G1237,Follow[CODRASTREIO],Follow[STATUS]),"-"))</f>
        <v>ENTREGUE</v>
      </c>
      <c r="AJ1237" s="9">
        <f ca="1">IF('Banco de Dados'!$AI1237="ENTREGUE",_xlfn.XLOOKUP('Banco de Dados'!$G1237,Follow[CODRASTREIO],Follow[DATAATUALIZAÇÃO]),"-")</f>
        <v>45756</v>
      </c>
      <c r="AK1237" s="132" t="str">
        <f ca="1"/>
        <v>-</v>
      </c>
      <c r="AL1237" s="35"/>
      <c r="AM1237" s="109" cm="1">
        <f t="array" aca="1" ref="AM1237" ca="1">IF('Banco de Dados'!$AK1237&lt;&gt;"-",_xlfn.IFS('Banco de Dados'!$A1237="bv",IF('Banco de Dados'!$E1237&lt;45641,ROUND(SUM('Banco de Dados'!$R1237*_xlfn.XLOOKUP('Banco de Dados'!$P1237,Sku!B:B,Sku!#REF!)*20%),2),ROUND(SUM('Banco de Dados'!$R1237*_xlfn.XLOOKUP('Banco de Dados'!$P1237,Sku!B:B,Sku!H:H)*20%),2)),'Banco de Dados'!$A1237="GO",ROUND(SUM('Banco de Dados'!$R1237*_xlfn.XLOOKUP('Banco de Dados'!$P1237,Sku!C:C,Sku!H:H)*20%),2),'Banco de Dados'!$A1237="MEI",ROUND(SUM('Banco de Dados'!$R1237*_xlfn.XLOOKUP('Banco de Dados'!$P1237,Sku!D:D,Sku!H:H)*20%),2)),0)</f>
        <v>0</v>
      </c>
      <c r="AN1237" s="109">
        <f ca="1">IF('Banco de Dados'!$AK1237&lt;&gt;"-",IF('Banco de Dados'!$F1237&lt;&gt;"-",_xlfn.XLOOKUP(IFERROR(IFERROR(IFERROR(VALUE(SUBSTITUTE(MID(_xlfn.TEXTAFTER('Banco de Dados'!$F1237,"Data do Pedido:
",1),1,10),"-","/")),VALUE(SUBSTITUTE(MID(_xlfn.TEXTAFTER('Banco de Dados'!$F1237,"Order date:
",1),1,10),"-","/"))),VALUE(SUBSTITUTE(MID(_xlfn.TEXTAFTER('Banco de Dados'!$F1237,"Fecha de pedido:
",1),1,10),"-","/"))),"-"),SMS!A:A,SMS!K:K),0),0)</f>
        <v>0</v>
      </c>
      <c r="AO1237" s="109">
        <f ca="1">IF('Banco de Dados'!$AK1237&lt;&gt;"-",IF('Banco de Dados'!$F1237&lt;&gt;"-",IFERROR(_xlfn.XLOOKUP(_xlfn.CONCAT('Banco de Dados'!$A1237,IFERROR(IFERROR(VALUE(SUBSTITUTE(MID(_xlfn.TEXTAFTER('Banco de Dados'!$F1237,"Data do Pedido:
",1),1,10),"-","/")),VALUE(SUBSTITUTE(MID(_xlfn.TEXTAFTER('Banco de Dados'!$F1237,"Order date:
",1),1,10),"-","/"))),0)),ProxyDD[Chave],ProxyDD[Valor por pedido]),PROXY!$P$2),0),0)</f>
        <v>0</v>
      </c>
      <c r="AP1237" s="28">
        <f ca="1">IF('Banco de Dados'!$AK1237&lt;&gt;"-",IF('Banco de Dados'!$AL1237="NÃO",IFERROR(VALUE(SUBSTITUTE(_xlfn.TEXTAFTER('Banco de Dados'!$F1237,"BRL ",1),".",",")),0),0),0)</f>
        <v>0</v>
      </c>
      <c r="AQ1237" s="28">
        <f ca="1">SUM('Banco de Dados'!$AM1237:$AP1237)</f>
        <v>0</v>
      </c>
      <c r="AR1237" s="8"/>
      <c r="AY1237" s="8"/>
    </row>
    <row r="1238" spans="1:51">
      <c r="A1238" s="5" t="str">
        <v>MEI</v>
      </c>
      <c r="B1238" s="5" t="str">
        <f ca="1"/>
        <v>MEI45733</v>
      </c>
      <c r="C1238" s="8" t="str">
        <v>Pedido 1225</v>
      </c>
      <c r="D1238" s="187">
        <v>45731</v>
      </c>
      <c r="E1238" s="9">
        <v>45733</v>
      </c>
      <c r="F1238" s="8" t="str">
        <v>PedidoF1184</v>
      </c>
      <c r="G1238" s="2" t="str">
        <v>CódRastreio1182</v>
      </c>
      <c r="H1238" s="5">
        <v>1</v>
      </c>
      <c r="I1238" s="2" t="str">
        <v>CPF 1191</v>
      </c>
      <c r="J1238" s="2" t="str">
        <v>Nome 1191</v>
      </c>
      <c r="K1238" s="8" t="str">
        <v>Tel 1191</v>
      </c>
      <c r="L1238" s="8" t="str">
        <v>Cep 1191</v>
      </c>
      <c r="M1238" s="8" t="str">
        <v>Rua 1191</v>
      </c>
      <c r="N1238" s="8" t="str">
        <v>Comp 1191</v>
      </c>
      <c r="O1238" s="8" t="str">
        <v>Mini Liquidificador</v>
      </c>
      <c r="P1238" s="8" t="str">
        <v>A4-5W51-K3HF</v>
      </c>
      <c r="Q1238" s="4">
        <v>45757</v>
      </c>
      <c r="R1238" s="109">
        <v>30.95</v>
      </c>
      <c r="S1238" s="11">
        <f ca="1"/>
        <v>30.95</v>
      </c>
      <c r="T1238" s="28">
        <f ca="1"/>
        <v>4.3330000000000002</v>
      </c>
      <c r="U1238" s="11">
        <f ca="1"/>
        <v>26.62</v>
      </c>
      <c r="V1238" s="11">
        <v>12.82</v>
      </c>
      <c r="W1238" s="11">
        <f ca="1"/>
        <v>0.46</v>
      </c>
      <c r="X1238" s="11">
        <f ca="1"/>
        <v>0.39877104377104378</v>
      </c>
      <c r="Y1238" s="11">
        <v>0</v>
      </c>
      <c r="Z1238" s="11">
        <f ca="1"/>
        <v>12.941228956228956</v>
      </c>
      <c r="AA1238" s="11">
        <f ca="1"/>
        <v>6.4706144781144781</v>
      </c>
      <c r="AB1238" s="4">
        <f ca="1"/>
        <v>45764</v>
      </c>
      <c r="AC1238" s="4">
        <v>45764</v>
      </c>
      <c r="AD1238" s="9">
        <v>45779</v>
      </c>
      <c r="AE1238" s="9">
        <v>45783</v>
      </c>
      <c r="AF1238" s="4" t="str">
        <f t="shared" ca="1" si="81"/>
        <v>2025 04</v>
      </c>
      <c r="AG1238" s="8" t="str" cm="1">
        <f t="array" ref="AG1238">IFERROR(_xlfn.IFS('Banco de Dados'!#REF!="AG. COMPRA","Em processamento",'Banco de Dados'!#REF!="AG. RASTREIO","Em processamento",'Banco de Dados'!$AE1238&lt;&gt;"-","Faturado",'Banco de Dados'!$AD1238&lt;&gt;"-","Aguardando Pix",'Banco de Dados'!$AC1238&lt;&gt;"-","Pendente"),"Aguardando Liberação")</f>
        <v>Aguardando Liberação</v>
      </c>
      <c r="AH1238" s="5" t="str">
        <f>IF('Banco de Dados'!$F1238="-",_xlfn.CONCAT(PROPER(TEXT(AK1238,"aaaa"))," ",PROPER(TEXT(AK1238,"mm"))),_xlfn.CONCAT(PROPER(TEXT(E1238,"aaaa"))," ",PROPER(TEXT(E1238,"mm"))))</f>
        <v>2025 03</v>
      </c>
      <c r="AI1238" s="9" t="str">
        <f ca="1">IF('Banco de Dados'!$AK1238&lt;&gt;"-","REEMBOLSO",IFERROR(_xlfn.XLOOKUP(G1238,Follow[CODRASTREIO],Follow[STATUS]),"-"))</f>
        <v>ENTREGUE</v>
      </c>
      <c r="AJ1238" s="9">
        <f ca="1">IF('Banco de Dados'!$AI1238="ENTREGUE",_xlfn.XLOOKUP('Banco de Dados'!$G1238,Follow[CODRASTREIO],Follow[DATAATUALIZAÇÃO]),"-")</f>
        <v>45755</v>
      </c>
      <c r="AK1238" s="132" t="str">
        <f ca="1"/>
        <v>-</v>
      </c>
      <c r="AL1238" s="35"/>
      <c r="AM1238" s="109" cm="1">
        <f t="array" aca="1" ref="AM1238" ca="1">IF('Banco de Dados'!$AK1238&lt;&gt;"-",_xlfn.IFS('Banco de Dados'!$A1238="bv",IF('Banco de Dados'!$E1238&lt;45641,ROUND(SUM('Banco de Dados'!$R1238*_xlfn.XLOOKUP('Banco de Dados'!$P1238,Sku!B:B,Sku!#REF!)*20%),2),ROUND(SUM('Banco de Dados'!$R1238*_xlfn.XLOOKUP('Banco de Dados'!$P1238,Sku!B:B,Sku!H:H)*20%),2)),'Banco de Dados'!$A1238="GO",ROUND(SUM('Banco de Dados'!$R1238*_xlfn.XLOOKUP('Banco de Dados'!$P1238,Sku!C:C,Sku!H:H)*20%),2),'Banco de Dados'!$A1238="MEI",ROUND(SUM('Banco de Dados'!$R1238*_xlfn.XLOOKUP('Banco de Dados'!$P1238,Sku!D:D,Sku!H:H)*20%),2)),0)</f>
        <v>0</v>
      </c>
      <c r="AN1238" s="109">
        <f ca="1">IF('Banco de Dados'!$AK1238&lt;&gt;"-",IF('Banco de Dados'!$F1238&lt;&gt;"-",_xlfn.XLOOKUP(IFERROR(IFERROR(IFERROR(VALUE(SUBSTITUTE(MID(_xlfn.TEXTAFTER('Banco de Dados'!$F1238,"Data do Pedido:
",1),1,10),"-","/")),VALUE(SUBSTITUTE(MID(_xlfn.TEXTAFTER('Banco de Dados'!$F1238,"Order date:
",1),1,10),"-","/"))),VALUE(SUBSTITUTE(MID(_xlfn.TEXTAFTER('Banco de Dados'!$F1238,"Fecha de pedido:
",1),1,10),"-","/"))),"-"),SMS!A:A,SMS!K:K),0),0)</f>
        <v>0</v>
      </c>
      <c r="AO1238" s="109">
        <f ca="1">IF('Banco de Dados'!$AK1238&lt;&gt;"-",IF('Banco de Dados'!$F1238&lt;&gt;"-",IFERROR(_xlfn.XLOOKUP(_xlfn.CONCAT('Banco de Dados'!$A1238,IFERROR(IFERROR(VALUE(SUBSTITUTE(MID(_xlfn.TEXTAFTER('Banco de Dados'!$F1238,"Data do Pedido:
",1),1,10),"-","/")),VALUE(SUBSTITUTE(MID(_xlfn.TEXTAFTER('Banco de Dados'!$F1238,"Order date:
",1),1,10),"-","/"))),0)),ProxyDD[Chave],ProxyDD[Valor por pedido]),PROXY!$P$2),0),0)</f>
        <v>0</v>
      </c>
      <c r="AP1238" s="28">
        <f ca="1">IF('Banco de Dados'!$AK1238&lt;&gt;"-",IF('Banco de Dados'!$AL1238="NÃO",IFERROR(VALUE(SUBSTITUTE(_xlfn.TEXTAFTER('Banco de Dados'!$F1238,"BRL ",1),".",",")),0),0),0)</f>
        <v>0</v>
      </c>
      <c r="AQ1238" s="28">
        <f ca="1">SUM('Banco de Dados'!$AM1238:$AP1238)</f>
        <v>0</v>
      </c>
      <c r="AR1238" s="8"/>
      <c r="AY1238" s="8"/>
    </row>
    <row r="1239" spans="1:51">
      <c r="A1239" s="5" t="str">
        <v>MEI</v>
      </c>
      <c r="B1239" s="5" t="str">
        <f ca="1"/>
        <v>MEI45733</v>
      </c>
      <c r="C1239" s="8" t="str">
        <v>Pedido 1226</v>
      </c>
      <c r="D1239" s="187">
        <v>45731</v>
      </c>
      <c r="E1239" s="9">
        <v>45733</v>
      </c>
      <c r="F1239" s="8" t="str">
        <v>PedidoF1185</v>
      </c>
      <c r="G1239" s="2" t="str">
        <v>CódRastreio1183</v>
      </c>
      <c r="H1239" s="5">
        <v>1</v>
      </c>
      <c r="I1239" s="2" t="str">
        <v>CPF 1192</v>
      </c>
      <c r="J1239" s="2" t="str">
        <v>Nome 1192</v>
      </c>
      <c r="K1239" s="8" t="str">
        <v>Tel 1192</v>
      </c>
      <c r="L1239" s="8" t="str">
        <v>Cep 1192</v>
      </c>
      <c r="M1239" s="8" t="str">
        <v>Rua 1192</v>
      </c>
      <c r="N1239" s="8" t="str">
        <v>Comp 1192</v>
      </c>
      <c r="O1239" s="8" t="str">
        <v>Bomba d'agua</v>
      </c>
      <c r="P1239" s="8" t="str">
        <v>U1-D95R-HYRT</v>
      </c>
      <c r="Q1239" s="4">
        <v>45749</v>
      </c>
      <c r="R1239" s="109">
        <v>21</v>
      </c>
      <c r="S1239" s="11">
        <f ca="1"/>
        <v>21</v>
      </c>
      <c r="T1239" s="28">
        <f ca="1"/>
        <v>2.9400000000000004</v>
      </c>
      <c r="U1239" s="11">
        <f ca="1"/>
        <v>18.059999999999999</v>
      </c>
      <c r="V1239" s="11">
        <v>13.78</v>
      </c>
      <c r="W1239" s="11">
        <f ca="1"/>
        <v>0.46</v>
      </c>
      <c r="X1239" s="11">
        <f ca="1"/>
        <v>0.39877104377104378</v>
      </c>
      <c r="Y1239" s="11">
        <v>0</v>
      </c>
      <c r="Z1239" s="11">
        <f ca="1"/>
        <v>3.4212289562289548</v>
      </c>
      <c r="AA1239" s="11">
        <f ca="1"/>
        <v>1.7106144781144774</v>
      </c>
      <c r="AB1239" s="4">
        <f ca="1"/>
        <v>45756</v>
      </c>
      <c r="AC1239" s="4">
        <v>45756</v>
      </c>
      <c r="AD1239" s="9">
        <v>45762</v>
      </c>
      <c r="AE1239" s="9">
        <v>45763</v>
      </c>
      <c r="AF1239" s="4" t="str">
        <f t="shared" ca="1" si="81"/>
        <v>2025 04</v>
      </c>
      <c r="AG1239" s="8" t="str" cm="1">
        <f t="array" ref="AG1239">IFERROR(_xlfn.IFS('Banco de Dados'!#REF!="AG. COMPRA","Em processamento",'Banco de Dados'!#REF!="AG. RASTREIO","Em processamento",'Banco de Dados'!$AE1239&lt;&gt;"-","Faturado",'Banco de Dados'!$AD1239&lt;&gt;"-","Aguardando Pix",'Banco de Dados'!$AC1239&lt;&gt;"-","Pendente"),"Aguardando Liberação")</f>
        <v>Aguardando Liberação</v>
      </c>
      <c r="AH1239" s="5" t="str">
        <f>IF('Banco de Dados'!$F1239="-",_xlfn.CONCAT(PROPER(TEXT(AK1239,"aaaa"))," ",PROPER(TEXT(AK1239,"mm"))),_xlfn.CONCAT(PROPER(TEXT(E1239,"aaaa"))," ",PROPER(TEXT(E1239,"mm"))))</f>
        <v>2025 03</v>
      </c>
      <c r="AI1239" s="9" t="str">
        <f ca="1">IF('Banco de Dados'!$AK1239&lt;&gt;"-","REEMBOLSO",IFERROR(_xlfn.XLOOKUP(G1239,Follow[CODRASTREIO],Follow[STATUS]),"-"))</f>
        <v>ENTREGUE</v>
      </c>
      <c r="AJ1239" s="9">
        <f ca="1">IF('Banco de Dados'!$AI1239="ENTREGUE",_xlfn.XLOOKUP('Banco de Dados'!$G1239,Follow[CODRASTREIO],Follow[DATAATUALIZAÇÃO]),"-")</f>
        <v>45743</v>
      </c>
      <c r="AK1239" s="132" t="str">
        <f ca="1"/>
        <v>-</v>
      </c>
      <c r="AL1239" s="35"/>
      <c r="AM1239" s="109" cm="1">
        <f t="array" aca="1" ref="AM1239" ca="1">IF('Banco de Dados'!$AK1239&lt;&gt;"-",_xlfn.IFS('Banco de Dados'!$A1239="bv",IF('Banco de Dados'!$E1239&lt;45641,ROUND(SUM('Banco de Dados'!$R1239*_xlfn.XLOOKUP('Banco de Dados'!$P1239,Sku!B:B,Sku!#REF!)*20%),2),ROUND(SUM('Banco de Dados'!$R1239*_xlfn.XLOOKUP('Banco de Dados'!$P1239,Sku!B:B,Sku!H:H)*20%),2)),'Banco de Dados'!$A1239="GO",ROUND(SUM('Banco de Dados'!$R1239*_xlfn.XLOOKUP('Banco de Dados'!$P1239,Sku!C:C,Sku!H:H)*20%),2),'Banco de Dados'!$A1239="MEI",ROUND(SUM('Banco de Dados'!$R1239*_xlfn.XLOOKUP('Banco de Dados'!$P1239,Sku!D:D,Sku!H:H)*20%),2)),0)</f>
        <v>0</v>
      </c>
      <c r="AN1239" s="109">
        <f ca="1">IF('Banco de Dados'!$AK1239&lt;&gt;"-",IF('Banco de Dados'!$F1239&lt;&gt;"-",_xlfn.XLOOKUP(IFERROR(IFERROR(IFERROR(VALUE(SUBSTITUTE(MID(_xlfn.TEXTAFTER('Banco de Dados'!$F1239,"Data do Pedido:
",1),1,10),"-","/")),VALUE(SUBSTITUTE(MID(_xlfn.TEXTAFTER('Banco de Dados'!$F1239,"Order date:
",1),1,10),"-","/"))),VALUE(SUBSTITUTE(MID(_xlfn.TEXTAFTER('Banco de Dados'!$F1239,"Fecha de pedido:
",1),1,10),"-","/"))),"-"),SMS!A:A,SMS!K:K),0),0)</f>
        <v>0</v>
      </c>
      <c r="AO1239" s="109">
        <f ca="1">IF('Banco de Dados'!$AK1239&lt;&gt;"-",IF('Banco de Dados'!$F1239&lt;&gt;"-",IFERROR(_xlfn.XLOOKUP(_xlfn.CONCAT('Banco de Dados'!$A1239,IFERROR(IFERROR(VALUE(SUBSTITUTE(MID(_xlfn.TEXTAFTER('Banco de Dados'!$F1239,"Data do Pedido:
",1),1,10),"-","/")),VALUE(SUBSTITUTE(MID(_xlfn.TEXTAFTER('Banco de Dados'!$F1239,"Order date:
",1),1,10),"-","/"))),0)),ProxyDD[Chave],ProxyDD[Valor por pedido]),PROXY!$P$2),0),0)</f>
        <v>0</v>
      </c>
      <c r="AP1239" s="28">
        <f ca="1">IF('Banco de Dados'!$AK1239&lt;&gt;"-",IF('Banco de Dados'!$AL1239="NÃO",IFERROR(VALUE(SUBSTITUTE(_xlfn.TEXTAFTER('Banco de Dados'!$F1239,"BRL ",1),".",",")),0),0),0)</f>
        <v>0</v>
      </c>
      <c r="AQ1239" s="28">
        <f ca="1">SUM('Banco de Dados'!$AM1239:$AP1239)</f>
        <v>0</v>
      </c>
      <c r="AR1239" s="8"/>
      <c r="AY1239" s="8"/>
    </row>
    <row r="1240" spans="1:51">
      <c r="A1240" s="5" t="str">
        <v>MEI</v>
      </c>
      <c r="B1240" s="5" t="str">
        <f ca="1"/>
        <v>MEI45733</v>
      </c>
      <c r="C1240" s="8" t="str">
        <v>Pedido 1227</v>
      </c>
      <c r="D1240" s="187">
        <v>45732</v>
      </c>
      <c r="E1240" s="9">
        <v>45733</v>
      </c>
      <c r="F1240" s="8" t="str">
        <v>PedidoF1186</v>
      </c>
      <c r="G1240" s="2" t="str">
        <v>CódRastreio1184</v>
      </c>
      <c r="H1240" s="5">
        <v>1</v>
      </c>
      <c r="I1240" s="2" t="str">
        <v>CPF 1193</v>
      </c>
      <c r="J1240" s="2" t="str">
        <v>Nome 1193</v>
      </c>
      <c r="K1240" s="8" t="str">
        <v>Tel 1193</v>
      </c>
      <c r="L1240" s="8" t="str">
        <v>Cep 1193</v>
      </c>
      <c r="M1240" s="8" t="str">
        <v>Rua 1193</v>
      </c>
      <c r="N1240" s="8" t="str">
        <v>Comp 1193</v>
      </c>
      <c r="O1240" s="8" t="str">
        <v>Mini Liquidificador</v>
      </c>
      <c r="P1240" s="8" t="str">
        <v>A4-5W51-K3HF</v>
      </c>
      <c r="Q1240" s="4">
        <v>45764</v>
      </c>
      <c r="R1240" s="109">
        <v>30.95</v>
      </c>
      <c r="S1240" s="11">
        <f ca="1"/>
        <v>0</v>
      </c>
      <c r="T1240" s="28">
        <f ca="1"/>
        <v>0</v>
      </c>
      <c r="U1240" s="11">
        <f ca="1"/>
        <v>0</v>
      </c>
      <c r="V1240" s="11">
        <v>0</v>
      </c>
      <c r="W1240" s="11">
        <f ca="1"/>
        <v>0</v>
      </c>
      <c r="X1240" s="11">
        <f ca="1"/>
        <v>0.39877104377104378</v>
      </c>
      <c r="Y1240" s="11">
        <v>0</v>
      </c>
      <c r="Z1240" s="11">
        <f ca="1"/>
        <v>-0.39877104377104378</v>
      </c>
      <c r="AA1240" s="11">
        <f ca="1"/>
        <v>-0.19938552188552189</v>
      </c>
      <c r="AB1240" s="4">
        <f ca="1"/>
        <v>45771</v>
      </c>
      <c r="AC1240" s="4">
        <v>45771</v>
      </c>
      <c r="AD1240" s="9">
        <v>45779</v>
      </c>
      <c r="AE1240" s="9">
        <v>45783</v>
      </c>
      <c r="AF1240" s="4" t="str">
        <f t="shared" ca="1" si="81"/>
        <v>2025 04</v>
      </c>
      <c r="AG1240" s="8" t="str" cm="1">
        <f t="array" ref="AG1240">IFERROR(_xlfn.IFS('Banco de Dados'!#REF!="AG. COMPRA","Em processamento",'Banco de Dados'!#REF!="AG. RASTREIO","Em processamento",'Banco de Dados'!$AE1240&lt;&gt;"-","Faturado",'Banco de Dados'!$AD1240&lt;&gt;"-","Aguardando Pix",'Banco de Dados'!$AC1240&lt;&gt;"-","Pendente"),"Aguardando Liberação")</f>
        <v>Aguardando Liberação</v>
      </c>
      <c r="AH1240" s="5" t="str">
        <f>IF('Banco de Dados'!$F1240="-",_xlfn.CONCAT(PROPER(TEXT(AK1240,"aaaa"))," ",PROPER(TEXT(AK1240,"mm"))),_xlfn.CONCAT(PROPER(TEXT(E1240,"aaaa"))," ",PROPER(TEXT(E1240,"mm"))))</f>
        <v>2025 03</v>
      </c>
      <c r="AI1240" s="9" t="str">
        <f ca="1">IF('Banco de Dados'!$AK1240&lt;&gt;"-","REEMBOLSO",IFERROR(_xlfn.XLOOKUP(G1240,Follow[CODRASTREIO],Follow[STATUS]),"-"))</f>
        <v>REEMBOLSO</v>
      </c>
      <c r="AJ1240" s="9" t="str">
        <f ca="1">IF('Banco de Dados'!$AI1240="ENTREGUE",_xlfn.XLOOKUP('Banco de Dados'!$G1240,Follow[CODRASTREIO],Follow[DATAATUALIZAÇÃO]),"-")</f>
        <v>-</v>
      </c>
      <c r="AK1240" s="132">
        <f ca="1"/>
        <v>45770</v>
      </c>
      <c r="AL1240" s="35"/>
      <c r="AM1240" s="109" cm="1">
        <f t="array" aca="1" ref="AM1240" ca="1">IF('Banco de Dados'!$AK1240&lt;&gt;"-",_xlfn.IFS('Banco de Dados'!$A1240="bv",IF('Banco de Dados'!$E1240&lt;45641,ROUND(SUM('Banco de Dados'!$R1240*_xlfn.XLOOKUP('Banco de Dados'!$P1240,Sku!B:B,Sku!#REF!)*20%),2),ROUND(SUM('Banco de Dados'!$R1240*_xlfn.XLOOKUP('Banco de Dados'!$P1240,Sku!B:B,Sku!H:H)*20%),2)),'Banco de Dados'!$A1240="GO",ROUND(SUM('Banco de Dados'!$R1240*_xlfn.XLOOKUP('Banco de Dados'!$P1240,Sku!C:C,Sku!H:H)*20%),2),'Banco de Dados'!$A1240="MEI",ROUND(SUM('Banco de Dados'!$R1240*_xlfn.XLOOKUP('Banco de Dados'!$P1240,Sku!D:D,Sku!H:H)*20%),2)),0)</f>
        <v>0.8</v>
      </c>
      <c r="AN1240" s="109" t="e">
        <f ca="1">IF('Banco de Dados'!$AK1240&lt;&gt;"-",IF('Banco de Dados'!$F1240&lt;&gt;"-",_xlfn.XLOOKUP(IFERROR(IFERROR(IFERROR(VALUE(SUBSTITUTE(MID(_xlfn.TEXTAFTER('Banco de Dados'!$F1240,"Data do Pedido:
",1),1,10),"-","/")),VALUE(SUBSTITUTE(MID(_xlfn.TEXTAFTER('Banco de Dados'!$F1240,"Order date:
",1),1,10),"-","/"))),VALUE(SUBSTITUTE(MID(_xlfn.TEXTAFTER('Banco de Dados'!$F1240,"Fecha de pedido:
",1),1,10),"-","/"))),"-"),SMS!A:A,SMS!K:K),0),0)</f>
        <v>#N/A</v>
      </c>
      <c r="AO1240" s="109">
        <f ca="1">IF('Banco de Dados'!$AK1240&lt;&gt;"-",IF('Banco de Dados'!$F1240&lt;&gt;"-",IFERROR(_xlfn.XLOOKUP(_xlfn.CONCAT('Banco de Dados'!$A1240,IFERROR(IFERROR(VALUE(SUBSTITUTE(MID(_xlfn.TEXTAFTER('Banco de Dados'!$F1240,"Data do Pedido:
",1),1,10),"-","/")),VALUE(SUBSTITUTE(MID(_xlfn.TEXTAFTER('Banco de Dados'!$F1240,"Order date:
",1),1,10),"-","/"))),0)),ProxyDD[Chave],ProxyDD[Valor por pedido]),PROXY!$P$2),0),0)</f>
        <v>0.39877104377104378</v>
      </c>
      <c r="AP1240" s="28">
        <f ca="1">IF('Banco de Dados'!$AK1240&lt;&gt;"-",IF('Banco de Dados'!$AL1240="NÃO",IFERROR(VALUE(SUBSTITUTE(_xlfn.TEXTAFTER('Banco de Dados'!$F1240,"BRL ",1),".",",")),0),0),0)</f>
        <v>0</v>
      </c>
      <c r="AQ1240" s="28" t="e">
        <f ca="1">SUM('Banco de Dados'!$AM1240:$AP1240)</f>
        <v>#N/A</v>
      </c>
      <c r="AR1240" s="8"/>
      <c r="AY1240" s="8"/>
    </row>
    <row r="1241" spans="1:51">
      <c r="A1241" s="5" t="str">
        <v>MEI</v>
      </c>
      <c r="B1241" s="5" t="str">
        <f ca="1"/>
        <v>MEI45733</v>
      </c>
      <c r="C1241" s="8" t="str">
        <v>Pedido 1228</v>
      </c>
      <c r="D1241" s="187">
        <v>45732</v>
      </c>
      <c r="E1241" s="9">
        <v>45733</v>
      </c>
      <c r="F1241" s="8" t="str">
        <v>PedidoF1187</v>
      </c>
      <c r="G1241" s="2" t="str">
        <v>CódRastreio1185</v>
      </c>
      <c r="H1241" s="5">
        <v>1</v>
      </c>
      <c r="I1241" s="2" t="str">
        <v>CPF 1194</v>
      </c>
      <c r="J1241" s="2" t="str">
        <v>Nome 1194</v>
      </c>
      <c r="K1241" s="8" t="str">
        <v>Tel 1194</v>
      </c>
      <c r="L1241" s="8" t="str">
        <v>Cep 1194</v>
      </c>
      <c r="M1241" s="8" t="str">
        <v>Rua 1194</v>
      </c>
      <c r="N1241" s="8" t="str">
        <v>Comp 1194</v>
      </c>
      <c r="O1241" s="8" t="str">
        <v>Brinquedo Bola Giratória voadora</v>
      </c>
      <c r="P1241" s="8" t="str">
        <v>Z0-F6CI-18CL</v>
      </c>
      <c r="Q1241" s="4">
        <v>45757</v>
      </c>
      <c r="R1241" s="109">
        <v>44.95</v>
      </c>
      <c r="S1241" s="11">
        <f ca="1"/>
        <v>44.95</v>
      </c>
      <c r="T1241" s="28">
        <f ca="1"/>
        <v>5.3940000000000001</v>
      </c>
      <c r="U1241" s="11">
        <f ca="1"/>
        <v>39.56</v>
      </c>
      <c r="V1241" s="11">
        <v>10.16</v>
      </c>
      <c r="W1241" s="11">
        <f ca="1"/>
        <v>0.46</v>
      </c>
      <c r="X1241" s="11">
        <f ca="1"/>
        <v>0.39877104377104378</v>
      </c>
      <c r="Y1241" s="11">
        <v>0</v>
      </c>
      <c r="Z1241" s="11">
        <f ca="1"/>
        <v>28.541228956228956</v>
      </c>
      <c r="AA1241" s="11">
        <f ca="1"/>
        <v>14.270614478114478</v>
      </c>
      <c r="AB1241" s="4">
        <f ca="1"/>
        <v>45764</v>
      </c>
      <c r="AC1241" s="4">
        <v>45764</v>
      </c>
      <c r="AD1241" s="9">
        <v>45779</v>
      </c>
      <c r="AE1241" s="9">
        <v>45783</v>
      </c>
      <c r="AF1241" s="4" t="str">
        <f t="shared" ca="1" si="81"/>
        <v>2025 04</v>
      </c>
      <c r="AG1241" s="8" t="str" cm="1">
        <f t="array" ref="AG1241">IFERROR(_xlfn.IFS('Banco de Dados'!#REF!="AG. COMPRA","Em processamento",'Banco de Dados'!#REF!="AG. RASTREIO","Em processamento",'Banco de Dados'!$AE1241&lt;&gt;"-","Faturado",'Banco de Dados'!$AD1241&lt;&gt;"-","Aguardando Pix",'Banco de Dados'!$AC1241&lt;&gt;"-","Pendente"),"Aguardando Liberação")</f>
        <v>Aguardando Liberação</v>
      </c>
      <c r="AH1241" s="5" t="str">
        <f>IF('Banco de Dados'!$F1241="-",_xlfn.CONCAT(PROPER(TEXT(AK1241,"aaaa"))," ",PROPER(TEXT(AK1241,"mm"))),_xlfn.CONCAT(PROPER(TEXT(E1241,"aaaa"))," ",PROPER(TEXT(E1241,"mm"))))</f>
        <v>2025 03</v>
      </c>
      <c r="AI1241" s="9" t="str">
        <f ca="1">IF('Banco de Dados'!$AK1241&lt;&gt;"-","REEMBOLSO",IFERROR(_xlfn.XLOOKUP(G1241,Follow[CODRASTREIO],Follow[STATUS]),"-"))</f>
        <v>ENTREGUE</v>
      </c>
      <c r="AJ1241" s="9">
        <f ca="1">IF('Banco de Dados'!$AI1241="ENTREGUE",_xlfn.XLOOKUP('Banco de Dados'!$G1241,Follow[CODRASTREIO],Follow[DATAATUALIZAÇÃO]),"-")</f>
        <v>45751</v>
      </c>
      <c r="AK1241" s="132" t="str">
        <f ca="1"/>
        <v>-</v>
      </c>
      <c r="AL1241" s="35"/>
      <c r="AM1241" s="109" cm="1">
        <f t="array" aca="1" ref="AM1241" ca="1">IF('Banco de Dados'!$AK1241&lt;&gt;"-",_xlfn.IFS('Banco de Dados'!$A1241="bv",IF('Banco de Dados'!$E1241&lt;45641,ROUND(SUM('Banco de Dados'!$R1241*_xlfn.XLOOKUP('Banco de Dados'!$P1241,Sku!B:B,Sku!#REF!)*20%),2),ROUND(SUM('Banco de Dados'!$R1241*_xlfn.XLOOKUP('Banco de Dados'!$P1241,Sku!B:B,Sku!H:H)*20%),2)),'Banco de Dados'!$A1241="GO",ROUND(SUM('Banco de Dados'!$R1241*_xlfn.XLOOKUP('Banco de Dados'!$P1241,Sku!C:C,Sku!H:H)*20%),2),'Banco de Dados'!$A1241="MEI",ROUND(SUM('Banco de Dados'!$R1241*_xlfn.XLOOKUP('Banco de Dados'!$P1241,Sku!D:D,Sku!H:H)*20%),2)),0)</f>
        <v>0</v>
      </c>
      <c r="AN1241" s="109">
        <f ca="1">IF('Banco de Dados'!$AK1241&lt;&gt;"-",IF('Banco de Dados'!$F1241&lt;&gt;"-",_xlfn.XLOOKUP(IFERROR(IFERROR(IFERROR(VALUE(SUBSTITUTE(MID(_xlfn.TEXTAFTER('Banco de Dados'!$F1241,"Data do Pedido:
",1),1,10),"-","/")),VALUE(SUBSTITUTE(MID(_xlfn.TEXTAFTER('Banco de Dados'!$F1241,"Order date:
",1),1,10),"-","/"))),VALUE(SUBSTITUTE(MID(_xlfn.TEXTAFTER('Banco de Dados'!$F1241,"Fecha de pedido:
",1),1,10),"-","/"))),"-"),SMS!A:A,SMS!K:K),0),0)</f>
        <v>0</v>
      </c>
      <c r="AO1241" s="109">
        <f ca="1">IF('Banco de Dados'!$AK1241&lt;&gt;"-",IF('Banco de Dados'!$F1241&lt;&gt;"-",IFERROR(_xlfn.XLOOKUP(_xlfn.CONCAT('Banco de Dados'!$A1241,IFERROR(IFERROR(VALUE(SUBSTITUTE(MID(_xlfn.TEXTAFTER('Banco de Dados'!$F1241,"Data do Pedido:
",1),1,10),"-","/")),VALUE(SUBSTITUTE(MID(_xlfn.TEXTAFTER('Banco de Dados'!$F1241,"Order date:
",1),1,10),"-","/"))),0)),ProxyDD[Chave],ProxyDD[Valor por pedido]),PROXY!$P$2),0),0)</f>
        <v>0</v>
      </c>
      <c r="AP1241" s="28">
        <f ca="1">IF('Banco de Dados'!$AK1241&lt;&gt;"-",IF('Banco de Dados'!$AL1241="NÃO",IFERROR(VALUE(SUBSTITUTE(_xlfn.TEXTAFTER('Banco de Dados'!$F1241,"BRL ",1),".",",")),0),0),0)</f>
        <v>0</v>
      </c>
      <c r="AQ1241" s="28">
        <f ca="1">SUM('Banco de Dados'!$AM1241:$AP1241)</f>
        <v>0</v>
      </c>
      <c r="AR1241" s="8"/>
      <c r="AY1241" s="8"/>
    </row>
    <row r="1242" spans="1:51">
      <c r="A1242" s="5" t="str">
        <v>MEI</v>
      </c>
      <c r="B1242" s="5" t="str">
        <f ca="1"/>
        <v>MEI45734</v>
      </c>
      <c r="C1242" s="8" t="str">
        <v>Pedido 1229</v>
      </c>
      <c r="D1242" s="187">
        <v>45732</v>
      </c>
      <c r="E1242" s="9">
        <v>45734</v>
      </c>
      <c r="F1242" s="8" t="str">
        <v>PedidoF1188</v>
      </c>
      <c r="G1242" s="2" t="str">
        <v>CódRastreio1186</v>
      </c>
      <c r="H1242" s="5">
        <v>1</v>
      </c>
      <c r="I1242" s="2" t="str">
        <v>CPF 1195</v>
      </c>
      <c r="J1242" s="2" t="str">
        <v>Nome 1195</v>
      </c>
      <c r="K1242" s="8" t="str">
        <v>Tel 1195</v>
      </c>
      <c r="L1242" s="8" t="str">
        <v>Cep 1195</v>
      </c>
      <c r="M1242" s="8" t="str">
        <v>Rua 1195</v>
      </c>
      <c r="N1242" s="8" t="str">
        <v>Comp 1195</v>
      </c>
      <c r="O1242" s="8" t="str">
        <v>Máquina de cortar cabelo dragão</v>
      </c>
      <c r="P1242" s="8" t="str">
        <v>RX-DD1P-P5U2</v>
      </c>
      <c r="Q1242" s="4">
        <v>45757</v>
      </c>
      <c r="R1242" s="109">
        <v>24.8</v>
      </c>
      <c r="S1242" s="11">
        <f ca="1"/>
        <v>24.8</v>
      </c>
      <c r="T1242" s="28">
        <f ca="1"/>
        <v>2.976</v>
      </c>
      <c r="U1242" s="11">
        <f ca="1"/>
        <v>21.82</v>
      </c>
      <c r="V1242" s="11">
        <v>10.210000000000001</v>
      </c>
      <c r="W1242" s="11">
        <f ca="1"/>
        <v>0.42</v>
      </c>
      <c r="X1242" s="11">
        <f ca="1"/>
        <v>0.39877104377104378</v>
      </c>
      <c r="Y1242" s="11">
        <v>0</v>
      </c>
      <c r="Z1242" s="11">
        <f ca="1"/>
        <v>10.791228956228956</v>
      </c>
      <c r="AA1242" s="11">
        <f ca="1"/>
        <v>5.3956144781144779</v>
      </c>
      <c r="AB1242" s="4">
        <f ca="1"/>
        <v>45764</v>
      </c>
      <c r="AC1242" s="4">
        <v>45764</v>
      </c>
      <c r="AD1242" s="9">
        <v>45779</v>
      </c>
      <c r="AE1242" s="9">
        <v>45783</v>
      </c>
      <c r="AF1242" s="4" t="str">
        <f t="shared" ca="1" si="81"/>
        <v>2025 04</v>
      </c>
      <c r="AG1242" s="8" t="str" cm="1">
        <f t="array" ref="AG1242">IFERROR(_xlfn.IFS('Banco de Dados'!#REF!="AG. COMPRA","Em processamento",'Banco de Dados'!#REF!="AG. RASTREIO","Em processamento",'Banco de Dados'!$AE1242&lt;&gt;"-","Faturado",'Banco de Dados'!$AD1242&lt;&gt;"-","Aguardando Pix",'Banco de Dados'!$AC1242&lt;&gt;"-","Pendente"),"Aguardando Liberação")</f>
        <v>Aguardando Liberação</v>
      </c>
      <c r="AH1242" s="5" t="str">
        <f>IF('Banco de Dados'!$F1242="-",_xlfn.CONCAT(PROPER(TEXT(AK1242,"aaaa"))," ",PROPER(TEXT(AK1242,"mm"))),_xlfn.CONCAT(PROPER(TEXT(E1242,"aaaa"))," ",PROPER(TEXT(E1242,"mm"))))</f>
        <v>2025 03</v>
      </c>
      <c r="AI1242" s="9" t="str">
        <f ca="1">IF('Banco de Dados'!$AK1242&lt;&gt;"-","REEMBOLSO",IFERROR(_xlfn.XLOOKUP(G1242,Follow[CODRASTREIO],Follow[STATUS]),"-"))</f>
        <v>ENTREGUE</v>
      </c>
      <c r="AJ1242" s="9">
        <f ca="1">IF('Banco de Dados'!$AI1242="ENTREGUE",_xlfn.XLOOKUP('Banco de Dados'!$G1242,Follow[CODRASTREIO],Follow[DATAATUALIZAÇÃO]),"-")</f>
        <v>45749</v>
      </c>
      <c r="AK1242" s="132" t="str">
        <f ca="1"/>
        <v>-</v>
      </c>
      <c r="AL1242" s="35"/>
      <c r="AM1242" s="109" cm="1">
        <f t="array" aca="1" ref="AM1242" ca="1">IF('Banco de Dados'!$AK1242&lt;&gt;"-",_xlfn.IFS('Banco de Dados'!$A1242="bv",IF('Banco de Dados'!$E1242&lt;45641,ROUND(SUM('Banco de Dados'!$R1242*_xlfn.XLOOKUP('Banco de Dados'!$P1242,Sku!B:B,Sku!#REF!)*20%),2),ROUND(SUM('Banco de Dados'!$R1242*_xlfn.XLOOKUP('Banco de Dados'!$P1242,Sku!B:B,Sku!H:H)*20%),2)),'Banco de Dados'!$A1242="GO",ROUND(SUM('Banco de Dados'!$R1242*_xlfn.XLOOKUP('Banco de Dados'!$P1242,Sku!C:C,Sku!H:H)*20%),2),'Banco de Dados'!$A1242="MEI",ROUND(SUM('Banco de Dados'!$R1242*_xlfn.XLOOKUP('Banco de Dados'!$P1242,Sku!D:D,Sku!H:H)*20%),2)),0)</f>
        <v>0</v>
      </c>
      <c r="AN1242" s="109">
        <f ca="1">IF('Banco de Dados'!$AK1242&lt;&gt;"-",IF('Banco de Dados'!$F1242&lt;&gt;"-",_xlfn.XLOOKUP(IFERROR(IFERROR(IFERROR(VALUE(SUBSTITUTE(MID(_xlfn.TEXTAFTER('Banco de Dados'!$F1242,"Data do Pedido:
",1),1,10),"-","/")),VALUE(SUBSTITUTE(MID(_xlfn.TEXTAFTER('Banco de Dados'!$F1242,"Order date:
",1),1,10),"-","/"))),VALUE(SUBSTITUTE(MID(_xlfn.TEXTAFTER('Banco de Dados'!$F1242,"Fecha de pedido:
",1),1,10),"-","/"))),"-"),SMS!A:A,SMS!K:K),0),0)</f>
        <v>0</v>
      </c>
      <c r="AO1242" s="109">
        <f ca="1">IF('Banco de Dados'!$AK1242&lt;&gt;"-",IF('Banco de Dados'!$F1242&lt;&gt;"-",IFERROR(_xlfn.XLOOKUP(_xlfn.CONCAT('Banco de Dados'!$A1242,IFERROR(IFERROR(VALUE(SUBSTITUTE(MID(_xlfn.TEXTAFTER('Banco de Dados'!$F1242,"Data do Pedido:
",1),1,10),"-","/")),VALUE(SUBSTITUTE(MID(_xlfn.TEXTAFTER('Banco de Dados'!$F1242,"Order date:
",1),1,10),"-","/"))),0)),ProxyDD[Chave],ProxyDD[Valor por pedido]),PROXY!$P$2),0),0)</f>
        <v>0</v>
      </c>
      <c r="AP1242" s="28">
        <f ca="1">IF('Banco de Dados'!$AK1242&lt;&gt;"-",IF('Banco de Dados'!$AL1242="NÃO",IFERROR(VALUE(SUBSTITUTE(_xlfn.TEXTAFTER('Banco de Dados'!$F1242,"BRL ",1),".",",")),0),0),0)</f>
        <v>0</v>
      </c>
      <c r="AQ1242" s="28">
        <f ca="1">SUM('Banco de Dados'!$AM1242:$AP1242)</f>
        <v>0</v>
      </c>
      <c r="AR1242" s="8"/>
      <c r="AY1242" s="8"/>
    </row>
    <row r="1243" spans="1:51">
      <c r="A1243" s="5" t="str">
        <v>MEI</v>
      </c>
      <c r="B1243" s="5" t="str">
        <f ca="1"/>
        <v>MEI45733</v>
      </c>
      <c r="C1243" s="8" t="str">
        <v>Pedido 1230</v>
      </c>
      <c r="D1243" s="187">
        <v>45732</v>
      </c>
      <c r="E1243" s="9">
        <v>45733</v>
      </c>
      <c r="F1243" s="8" t="str">
        <v>PedidoF1189</v>
      </c>
      <c r="G1243" s="2" t="str">
        <v>CódRastreio1187</v>
      </c>
      <c r="H1243" s="5">
        <v>1</v>
      </c>
      <c r="I1243" s="2" t="str">
        <v>CPF 1196</v>
      </c>
      <c r="J1243" s="2" t="str">
        <v>Nome 1196</v>
      </c>
      <c r="K1243" s="8" t="str">
        <v>Tel 1196</v>
      </c>
      <c r="L1243" s="8" t="str">
        <v>Cep 1196</v>
      </c>
      <c r="M1243" s="8" t="str">
        <v>Rua 1196</v>
      </c>
      <c r="N1243" s="8" t="str">
        <v>Comp 1196</v>
      </c>
      <c r="O1243" s="8" t="str">
        <v>Maçarico Culinário Portátil</v>
      </c>
      <c r="P1243" s="8" t="str">
        <v>BG-DHRO-FAEE</v>
      </c>
      <c r="Q1243" s="4">
        <v>45751</v>
      </c>
      <c r="R1243" s="109">
        <v>24.99</v>
      </c>
      <c r="S1243" s="11">
        <f ca="1"/>
        <v>24.99</v>
      </c>
      <c r="T1243" s="28">
        <f ca="1"/>
        <v>2.7488999999999999</v>
      </c>
      <c r="U1243" s="11">
        <f ca="1"/>
        <v>22.24</v>
      </c>
      <c r="V1243" s="11">
        <v>10.16</v>
      </c>
      <c r="W1243" s="11">
        <f ca="1"/>
        <v>0.46</v>
      </c>
      <c r="X1243" s="11">
        <f ca="1"/>
        <v>0.39877104377104378</v>
      </c>
      <c r="Y1243" s="11">
        <v>0</v>
      </c>
      <c r="Z1243" s="11">
        <f ca="1"/>
        <v>11.221228956228954</v>
      </c>
      <c r="AA1243" s="11">
        <f ca="1"/>
        <v>5.6106144781144769</v>
      </c>
      <c r="AB1243" s="4">
        <f ca="1"/>
        <v>45758</v>
      </c>
      <c r="AC1243" s="4">
        <v>45758</v>
      </c>
      <c r="AD1243" s="9">
        <v>45762</v>
      </c>
      <c r="AE1243" s="9">
        <v>45763</v>
      </c>
      <c r="AF1243" s="4" t="str">
        <f t="shared" ca="1" si="81"/>
        <v>2025 04</v>
      </c>
      <c r="AG1243" s="8" t="str" cm="1">
        <f t="array" ref="AG1243">IFERROR(_xlfn.IFS('Banco de Dados'!#REF!="AG. COMPRA","Em processamento",'Banco de Dados'!#REF!="AG. RASTREIO","Em processamento",'Banco de Dados'!$AE1243&lt;&gt;"-","Faturado",'Banco de Dados'!$AD1243&lt;&gt;"-","Aguardando Pix",'Banco de Dados'!$AC1243&lt;&gt;"-","Pendente"),"Aguardando Liberação")</f>
        <v>Aguardando Liberação</v>
      </c>
      <c r="AH1243" s="5" t="str">
        <f>IF('Banco de Dados'!$F1243="-",_xlfn.CONCAT(PROPER(TEXT(AK1243,"aaaa"))," ",PROPER(TEXT(AK1243,"mm"))),_xlfn.CONCAT(PROPER(TEXT(E1243,"aaaa"))," ",PROPER(TEXT(E1243,"mm"))))</f>
        <v>2025 03</v>
      </c>
      <c r="AI1243" s="9" t="str">
        <f ca="1">IF('Banco de Dados'!$AK1243&lt;&gt;"-","REEMBOLSO",IFERROR(_xlfn.XLOOKUP(G1243,Follow[CODRASTREIO],Follow[STATUS]),"-"))</f>
        <v>ENTREGUE</v>
      </c>
      <c r="AJ1243" s="9">
        <f ca="1">IF('Banco de Dados'!$AI1243="ENTREGUE",_xlfn.XLOOKUP('Banco de Dados'!$G1243,Follow[CODRASTREIO],Follow[DATAATUALIZAÇÃO]),"-")</f>
        <v>45755</v>
      </c>
      <c r="AK1243" s="132" t="str">
        <f ca="1"/>
        <v>-</v>
      </c>
      <c r="AL1243" s="35"/>
      <c r="AM1243" s="109" cm="1">
        <f t="array" aca="1" ref="AM1243" ca="1">IF('Banco de Dados'!$AK1243&lt;&gt;"-",_xlfn.IFS('Banco de Dados'!$A1243="bv",IF('Banco de Dados'!$E1243&lt;45641,ROUND(SUM('Banco de Dados'!$R1243*_xlfn.XLOOKUP('Banco de Dados'!$P1243,Sku!B:B,Sku!#REF!)*20%),2),ROUND(SUM('Banco de Dados'!$R1243*_xlfn.XLOOKUP('Banco de Dados'!$P1243,Sku!B:B,Sku!H:H)*20%),2)),'Banco de Dados'!$A1243="GO",ROUND(SUM('Banco de Dados'!$R1243*_xlfn.XLOOKUP('Banco de Dados'!$P1243,Sku!C:C,Sku!H:H)*20%),2),'Banco de Dados'!$A1243="MEI",ROUND(SUM('Banco de Dados'!$R1243*_xlfn.XLOOKUP('Banco de Dados'!$P1243,Sku!D:D,Sku!H:H)*20%),2)),0)</f>
        <v>0</v>
      </c>
      <c r="AN1243" s="109">
        <f ca="1">IF('Banco de Dados'!$AK1243&lt;&gt;"-",IF('Banco de Dados'!$F1243&lt;&gt;"-",_xlfn.XLOOKUP(IFERROR(IFERROR(IFERROR(VALUE(SUBSTITUTE(MID(_xlfn.TEXTAFTER('Banco de Dados'!$F1243,"Data do Pedido:
",1),1,10),"-","/")),VALUE(SUBSTITUTE(MID(_xlfn.TEXTAFTER('Banco de Dados'!$F1243,"Order date:
",1),1,10),"-","/"))),VALUE(SUBSTITUTE(MID(_xlfn.TEXTAFTER('Banco de Dados'!$F1243,"Fecha de pedido:
",1),1,10),"-","/"))),"-"),SMS!A:A,SMS!K:K),0),0)</f>
        <v>0</v>
      </c>
      <c r="AO1243" s="109">
        <f ca="1">IF('Banco de Dados'!$AK1243&lt;&gt;"-",IF('Banco de Dados'!$F1243&lt;&gt;"-",IFERROR(_xlfn.XLOOKUP(_xlfn.CONCAT('Banco de Dados'!$A1243,IFERROR(IFERROR(VALUE(SUBSTITUTE(MID(_xlfn.TEXTAFTER('Banco de Dados'!$F1243,"Data do Pedido:
",1),1,10),"-","/")),VALUE(SUBSTITUTE(MID(_xlfn.TEXTAFTER('Banco de Dados'!$F1243,"Order date:
",1),1,10),"-","/"))),0)),ProxyDD[Chave],ProxyDD[Valor por pedido]),PROXY!$P$2),0),0)</f>
        <v>0</v>
      </c>
      <c r="AP1243" s="28">
        <f ca="1">IF('Banco de Dados'!$AK1243&lt;&gt;"-",IF('Banco de Dados'!$AL1243="NÃO",IFERROR(VALUE(SUBSTITUTE(_xlfn.TEXTAFTER('Banco de Dados'!$F1243,"BRL ",1),".",",")),0),0),0)</f>
        <v>0</v>
      </c>
      <c r="AQ1243" s="28">
        <f ca="1">SUM('Banco de Dados'!$AM1243:$AP1243)</f>
        <v>0</v>
      </c>
      <c r="AR1243" s="8"/>
      <c r="AY1243" s="8"/>
    </row>
    <row r="1244" spans="1:51">
      <c r="A1244" s="5" t="str">
        <v>MEI</v>
      </c>
      <c r="B1244" s="5" t="str">
        <f ca="1"/>
        <v>MEI45733</v>
      </c>
      <c r="C1244" s="8" t="str">
        <v>Pedido 1231</v>
      </c>
      <c r="D1244" s="187">
        <v>45732</v>
      </c>
      <c r="E1244" s="9">
        <v>45733</v>
      </c>
      <c r="F1244" s="8" t="str">
        <v>PedidoF1190</v>
      </c>
      <c r="G1244" s="2" t="str">
        <v>CódRastreio1188</v>
      </c>
      <c r="H1244" s="5">
        <v>1</v>
      </c>
      <c r="I1244" s="2" t="str">
        <v>CPF 1197</v>
      </c>
      <c r="J1244" s="2" t="str">
        <v>Nome 1197</v>
      </c>
      <c r="K1244" s="8" t="str">
        <v>Tel 1197</v>
      </c>
      <c r="L1244" s="8" t="str">
        <v>Cep 1197</v>
      </c>
      <c r="M1244" s="8" t="str">
        <v>Rua 1197</v>
      </c>
      <c r="N1244" s="8" t="str">
        <v>Comp 1197</v>
      </c>
      <c r="O1244" s="8" t="str">
        <v>Ventilador Preto</v>
      </c>
      <c r="P1244" s="8" t="str">
        <v>WU-SS4J-LFOH</v>
      </c>
      <c r="Q1244" s="4">
        <v>45757</v>
      </c>
      <c r="R1244" s="109">
        <v>65.599999999999994</v>
      </c>
      <c r="S1244" s="11">
        <f ca="1"/>
        <v>65.599999999999994</v>
      </c>
      <c r="T1244" s="28">
        <f ca="1"/>
        <v>8.5279999999999987</v>
      </c>
      <c r="U1244" s="11">
        <f ca="1"/>
        <v>57.07</v>
      </c>
      <c r="V1244" s="11">
        <v>10.16</v>
      </c>
      <c r="W1244" s="11">
        <f ca="1"/>
        <v>0.46</v>
      </c>
      <c r="X1244" s="11">
        <f ca="1"/>
        <v>0.39877104377104378</v>
      </c>
      <c r="Y1244" s="11">
        <v>0</v>
      </c>
      <c r="Z1244" s="11">
        <f ca="1"/>
        <v>46.051228956228954</v>
      </c>
      <c r="AA1244" s="11">
        <f ca="1"/>
        <v>23.025614478114477</v>
      </c>
      <c r="AB1244" s="4">
        <f ca="1"/>
        <v>45764</v>
      </c>
      <c r="AC1244" s="4">
        <v>45764</v>
      </c>
      <c r="AD1244" s="9">
        <v>45779</v>
      </c>
      <c r="AE1244" s="9">
        <v>45783</v>
      </c>
      <c r="AF1244" s="4" t="str">
        <f t="shared" ca="1" si="81"/>
        <v>2025 04</v>
      </c>
      <c r="AG1244" s="8" t="str" cm="1">
        <f t="array" ref="AG1244">IFERROR(_xlfn.IFS('Banco de Dados'!#REF!="AG. COMPRA","Em processamento",'Banco de Dados'!#REF!="AG. RASTREIO","Em processamento",'Banco de Dados'!$AE1244&lt;&gt;"-","Faturado",'Banco de Dados'!$AD1244&lt;&gt;"-","Aguardando Pix",'Banco de Dados'!$AC1244&lt;&gt;"-","Pendente"),"Aguardando Liberação")</f>
        <v>Aguardando Liberação</v>
      </c>
      <c r="AH1244" s="5" t="str">
        <f>IF('Banco de Dados'!$F1244="-",_xlfn.CONCAT(PROPER(TEXT(AK1244,"aaaa"))," ",PROPER(TEXT(AK1244,"mm"))),_xlfn.CONCAT(PROPER(TEXT(E1244,"aaaa"))," ",PROPER(TEXT(E1244,"mm"))))</f>
        <v>2025 03</v>
      </c>
      <c r="AI1244" s="9" t="str">
        <f ca="1">IF('Banco de Dados'!$AK1244&lt;&gt;"-","REEMBOLSO",IFERROR(_xlfn.XLOOKUP(G1244,Follow[CODRASTREIO],Follow[STATUS]),"-"))</f>
        <v>ENTREGUE</v>
      </c>
      <c r="AJ1244" s="9">
        <f ca="1">IF('Banco de Dados'!$AI1244="ENTREGUE",_xlfn.XLOOKUP('Banco de Dados'!$G1244,Follow[CODRASTREIO],Follow[DATAATUALIZAÇÃO]),"-")</f>
        <v>45755</v>
      </c>
      <c r="AK1244" s="132" t="str">
        <f ca="1"/>
        <v>-</v>
      </c>
      <c r="AL1244" s="35"/>
      <c r="AM1244" s="109" cm="1">
        <f t="array" aca="1" ref="AM1244" ca="1">IF('Banco de Dados'!$AK1244&lt;&gt;"-",_xlfn.IFS('Banco de Dados'!$A1244="bv",IF('Banco de Dados'!$E1244&lt;45641,ROUND(SUM('Banco de Dados'!$R1244*_xlfn.XLOOKUP('Banco de Dados'!$P1244,Sku!B:B,Sku!#REF!)*20%),2),ROUND(SUM('Banco de Dados'!$R1244*_xlfn.XLOOKUP('Banco de Dados'!$P1244,Sku!B:B,Sku!H:H)*20%),2)),'Banco de Dados'!$A1244="GO",ROUND(SUM('Banco de Dados'!$R1244*_xlfn.XLOOKUP('Banco de Dados'!$P1244,Sku!C:C,Sku!H:H)*20%),2),'Banco de Dados'!$A1244="MEI",ROUND(SUM('Banco de Dados'!$R1244*_xlfn.XLOOKUP('Banco de Dados'!$P1244,Sku!D:D,Sku!H:H)*20%),2)),0)</f>
        <v>0</v>
      </c>
      <c r="AN1244" s="109">
        <f ca="1">IF('Banco de Dados'!$AK1244&lt;&gt;"-",IF('Banco de Dados'!$F1244&lt;&gt;"-",_xlfn.XLOOKUP(IFERROR(IFERROR(IFERROR(VALUE(SUBSTITUTE(MID(_xlfn.TEXTAFTER('Banco de Dados'!$F1244,"Data do Pedido:
",1),1,10),"-","/")),VALUE(SUBSTITUTE(MID(_xlfn.TEXTAFTER('Banco de Dados'!$F1244,"Order date:
",1),1,10),"-","/"))),VALUE(SUBSTITUTE(MID(_xlfn.TEXTAFTER('Banco de Dados'!$F1244,"Fecha de pedido:
",1),1,10),"-","/"))),"-"),SMS!A:A,SMS!K:K),0),0)</f>
        <v>0</v>
      </c>
      <c r="AO1244" s="109">
        <f ca="1">IF('Banco de Dados'!$AK1244&lt;&gt;"-",IF('Banco de Dados'!$F1244&lt;&gt;"-",IFERROR(_xlfn.XLOOKUP(_xlfn.CONCAT('Banco de Dados'!$A1244,IFERROR(IFERROR(VALUE(SUBSTITUTE(MID(_xlfn.TEXTAFTER('Banco de Dados'!$F1244,"Data do Pedido:
",1),1,10),"-","/")),VALUE(SUBSTITUTE(MID(_xlfn.TEXTAFTER('Banco de Dados'!$F1244,"Order date:
",1),1,10),"-","/"))),0)),ProxyDD[Chave],ProxyDD[Valor por pedido]),PROXY!$P$2),0),0)</f>
        <v>0</v>
      </c>
      <c r="AP1244" s="28">
        <f ca="1">IF('Banco de Dados'!$AK1244&lt;&gt;"-",IF('Banco de Dados'!$AL1244="NÃO",IFERROR(VALUE(SUBSTITUTE(_xlfn.TEXTAFTER('Banco de Dados'!$F1244,"BRL ",1),".",",")),0),0),0)</f>
        <v>0</v>
      </c>
      <c r="AQ1244" s="28">
        <f ca="1">SUM('Banco de Dados'!$AM1244:$AP1244)</f>
        <v>0</v>
      </c>
      <c r="AR1244" s="8"/>
      <c r="AY1244" s="8"/>
    </row>
    <row r="1245" spans="1:51">
      <c r="A1245" s="5" t="str">
        <v>MEI</v>
      </c>
      <c r="B1245" s="5" t="str">
        <f ca="1"/>
        <v>MEI45733</v>
      </c>
      <c r="C1245" s="8" t="str">
        <v>Pedido 1232</v>
      </c>
      <c r="D1245" s="187">
        <v>45732</v>
      </c>
      <c r="E1245" s="9">
        <v>45733</v>
      </c>
      <c r="F1245" s="8" t="str">
        <v>PedidoF1191</v>
      </c>
      <c r="G1245" s="2" t="str">
        <v>CódRastreio1189</v>
      </c>
      <c r="H1245" s="5">
        <v>1</v>
      </c>
      <c r="I1245" s="2" t="str">
        <v>CPF 1198</v>
      </c>
      <c r="J1245" s="2" t="str">
        <v>Nome 1198</v>
      </c>
      <c r="K1245" s="8" t="str">
        <v>Tel 1198</v>
      </c>
      <c r="L1245" s="8" t="str">
        <v>Cep 1198</v>
      </c>
      <c r="M1245" s="8" t="str">
        <v>Rua 1198</v>
      </c>
      <c r="N1245" s="8" t="str">
        <v>Comp 1198</v>
      </c>
      <c r="O1245" s="8" t="str">
        <v>Brinquedo Bola Giratória voadora</v>
      </c>
      <c r="P1245" s="8" t="str">
        <v>Z0-F6CI-18CL</v>
      </c>
      <c r="Q1245" s="4">
        <v>45751</v>
      </c>
      <c r="R1245" s="109">
        <v>44.95</v>
      </c>
      <c r="S1245" s="11">
        <f ca="1"/>
        <v>44.95</v>
      </c>
      <c r="T1245" s="28">
        <f ca="1"/>
        <v>5.3940000000000001</v>
      </c>
      <c r="U1245" s="11">
        <f ca="1"/>
        <v>39.56</v>
      </c>
      <c r="V1245" s="11">
        <v>10.16</v>
      </c>
      <c r="W1245" s="11">
        <f ca="1"/>
        <v>0.46</v>
      </c>
      <c r="X1245" s="11">
        <f ca="1"/>
        <v>0.39877104377104378</v>
      </c>
      <c r="Y1245" s="11">
        <v>0</v>
      </c>
      <c r="Z1245" s="11">
        <f ca="1"/>
        <v>28.541228956228956</v>
      </c>
      <c r="AA1245" s="11">
        <f ca="1"/>
        <v>14.270614478114478</v>
      </c>
      <c r="AB1245" s="4">
        <f ca="1"/>
        <v>45758</v>
      </c>
      <c r="AC1245" s="4">
        <v>45758</v>
      </c>
      <c r="AD1245" s="9">
        <v>45762</v>
      </c>
      <c r="AE1245" s="9">
        <v>45763</v>
      </c>
      <c r="AF1245" s="4" t="str">
        <f t="shared" ca="1" si="81"/>
        <v>2025 04</v>
      </c>
      <c r="AG1245" s="8" t="str" cm="1">
        <f t="array" ref="AG1245">IFERROR(_xlfn.IFS('Banco de Dados'!#REF!="AG. COMPRA","Em processamento",'Banco de Dados'!#REF!="AG. RASTREIO","Em processamento",'Banco de Dados'!$AE1245&lt;&gt;"-","Faturado",'Banco de Dados'!$AD1245&lt;&gt;"-","Aguardando Pix",'Banco de Dados'!$AC1245&lt;&gt;"-","Pendente"),"Aguardando Liberação")</f>
        <v>Aguardando Liberação</v>
      </c>
      <c r="AH1245" s="5" t="str">
        <f>IF('Banco de Dados'!$F1245="-",_xlfn.CONCAT(PROPER(TEXT(AK1245,"aaaa"))," ",PROPER(TEXT(AK1245,"mm"))),_xlfn.CONCAT(PROPER(TEXT(E1245,"aaaa"))," ",PROPER(TEXT(E1245,"mm"))))</f>
        <v>2025 03</v>
      </c>
      <c r="AI1245" s="9" t="str">
        <f ca="1">IF('Banco de Dados'!$AK1245&lt;&gt;"-","REEMBOLSO",IFERROR(_xlfn.XLOOKUP(G1245,Follow[CODRASTREIO],Follow[STATUS]),"-"))</f>
        <v>ENTREGUE</v>
      </c>
      <c r="AJ1245" s="9">
        <f ca="1">IF('Banco de Dados'!$AI1245="ENTREGUE",_xlfn.XLOOKUP('Banco de Dados'!$G1245,Follow[CODRASTREIO],Follow[DATAATUALIZAÇÃO]),"-")</f>
        <v>45749</v>
      </c>
      <c r="AK1245" s="132" t="str">
        <f ca="1"/>
        <v>-</v>
      </c>
      <c r="AL1245" s="35"/>
      <c r="AM1245" s="109" cm="1">
        <f t="array" aca="1" ref="AM1245" ca="1">IF('Banco de Dados'!$AK1245&lt;&gt;"-",_xlfn.IFS('Banco de Dados'!$A1245="bv",IF('Banco de Dados'!$E1245&lt;45641,ROUND(SUM('Banco de Dados'!$R1245*_xlfn.XLOOKUP('Banco de Dados'!$P1245,Sku!B:B,Sku!#REF!)*20%),2),ROUND(SUM('Banco de Dados'!$R1245*_xlfn.XLOOKUP('Banco de Dados'!$P1245,Sku!B:B,Sku!H:H)*20%),2)),'Banco de Dados'!$A1245="GO",ROUND(SUM('Banco de Dados'!$R1245*_xlfn.XLOOKUP('Banco de Dados'!$P1245,Sku!C:C,Sku!H:H)*20%),2),'Banco de Dados'!$A1245="MEI",ROUND(SUM('Banco de Dados'!$R1245*_xlfn.XLOOKUP('Banco de Dados'!$P1245,Sku!D:D,Sku!H:H)*20%),2)),0)</f>
        <v>0</v>
      </c>
      <c r="AN1245" s="109">
        <f ca="1">IF('Banco de Dados'!$AK1245&lt;&gt;"-",IF('Banco de Dados'!$F1245&lt;&gt;"-",_xlfn.XLOOKUP(IFERROR(IFERROR(IFERROR(VALUE(SUBSTITUTE(MID(_xlfn.TEXTAFTER('Banco de Dados'!$F1245,"Data do Pedido:
",1),1,10),"-","/")),VALUE(SUBSTITUTE(MID(_xlfn.TEXTAFTER('Banco de Dados'!$F1245,"Order date:
",1),1,10),"-","/"))),VALUE(SUBSTITUTE(MID(_xlfn.TEXTAFTER('Banco de Dados'!$F1245,"Fecha de pedido:
",1),1,10),"-","/"))),"-"),SMS!A:A,SMS!K:K),0),0)</f>
        <v>0</v>
      </c>
      <c r="AO1245" s="109">
        <f ca="1">IF('Banco de Dados'!$AK1245&lt;&gt;"-",IF('Banco de Dados'!$F1245&lt;&gt;"-",IFERROR(_xlfn.XLOOKUP(_xlfn.CONCAT('Banco de Dados'!$A1245,IFERROR(IFERROR(VALUE(SUBSTITUTE(MID(_xlfn.TEXTAFTER('Banco de Dados'!$F1245,"Data do Pedido:
",1),1,10),"-","/")),VALUE(SUBSTITUTE(MID(_xlfn.TEXTAFTER('Banco de Dados'!$F1245,"Order date:
",1),1,10),"-","/"))),0)),ProxyDD[Chave],ProxyDD[Valor por pedido]),PROXY!$P$2),0),0)</f>
        <v>0</v>
      </c>
      <c r="AP1245" s="28">
        <f ca="1">IF('Banco de Dados'!$AK1245&lt;&gt;"-",IF('Banco de Dados'!$AL1245="NÃO",IFERROR(VALUE(SUBSTITUTE(_xlfn.TEXTAFTER('Banco de Dados'!$F1245,"BRL ",1),".",",")),0),0),0)</f>
        <v>0</v>
      </c>
      <c r="AQ1245" s="28">
        <f ca="1">SUM('Banco de Dados'!$AM1245:$AP1245)</f>
        <v>0</v>
      </c>
      <c r="AR1245" s="8"/>
      <c r="AY1245" s="8"/>
    </row>
    <row r="1246" spans="1:51">
      <c r="A1246" s="5" t="str">
        <v>GO</v>
      </c>
      <c r="B1246" s="5" t="str">
        <f ca="1"/>
        <v>GO45732</v>
      </c>
      <c r="C1246" s="8" t="str">
        <v>Pedido 1233</v>
      </c>
      <c r="D1246" s="187">
        <v>45732</v>
      </c>
      <c r="E1246" s="9">
        <v>45732</v>
      </c>
      <c r="F1246" s="8" t="str">
        <v>PedidoF1192</v>
      </c>
      <c r="G1246" s="2" t="str">
        <v>CódRastreio1190</v>
      </c>
      <c r="H1246" s="5">
        <v>1</v>
      </c>
      <c r="I1246" s="2" t="str">
        <v>CPF 1199</v>
      </c>
      <c r="J1246" s="2" t="str">
        <v>Nome 1199</v>
      </c>
      <c r="K1246" s="8" t="str">
        <v>Tel 1199</v>
      </c>
      <c r="L1246" s="8" t="str">
        <v>Cep 1199</v>
      </c>
      <c r="M1246" s="8" t="str">
        <v>Rua 1199</v>
      </c>
      <c r="N1246" s="8" t="str">
        <v>Comp 1199</v>
      </c>
      <c r="O1246" s="8" t="str">
        <v>Cortador de Legumes</v>
      </c>
      <c r="P1246" s="8" t="str">
        <v>33-SVS5-1AWY</v>
      </c>
      <c r="Q1246" s="4">
        <v>45757</v>
      </c>
      <c r="R1246" s="109">
        <v>67.599999999999994</v>
      </c>
      <c r="S1246" s="11">
        <f ca="1"/>
        <v>67.599999999999994</v>
      </c>
      <c r="T1246" s="28">
        <f ca="1"/>
        <v>10.139999999999999</v>
      </c>
      <c r="U1246" s="11">
        <f ca="1"/>
        <v>57.46</v>
      </c>
      <c r="V1246" s="11">
        <v>23.92</v>
      </c>
      <c r="W1246" s="11">
        <f ca="1"/>
        <v>0.28999999999999998</v>
      </c>
      <c r="X1246" s="11">
        <f ca="1"/>
        <v>0.39877104377104378</v>
      </c>
      <c r="Y1246" s="11">
        <v>0</v>
      </c>
      <c r="Z1246" s="11">
        <f ca="1"/>
        <v>32.851228956228951</v>
      </c>
      <c r="AA1246" s="11">
        <f ca="1"/>
        <v>32.851228956228951</v>
      </c>
      <c r="AB1246" s="4">
        <f ca="1"/>
        <v>45764</v>
      </c>
      <c r="AC1246" s="4">
        <v>45764</v>
      </c>
      <c r="AD1246" s="9">
        <v>45779</v>
      </c>
      <c r="AE1246" s="9">
        <v>45783</v>
      </c>
      <c r="AF1246" s="4" t="str">
        <f t="shared" ca="1" si="81"/>
        <v>2025 04</v>
      </c>
      <c r="AG1246" s="8" t="str" cm="1">
        <f t="array" ref="AG1246">IFERROR(_xlfn.IFS('Banco de Dados'!#REF!="AG. COMPRA","Em processamento",'Banco de Dados'!#REF!="AG. RASTREIO","Em processamento",'Banco de Dados'!$AE1246&lt;&gt;"-","Faturado",'Banco de Dados'!$AD1246&lt;&gt;"-","Aguardando Pix",'Banco de Dados'!$AC1246&lt;&gt;"-","Pendente"),"Aguardando Liberação")</f>
        <v>Aguardando Liberação</v>
      </c>
      <c r="AH1246" s="5" t="str">
        <f>IF('Banco de Dados'!$F1246="-",_xlfn.CONCAT(PROPER(TEXT(AK1246,"aaaa"))," ",PROPER(TEXT(AK1246,"mm"))),_xlfn.CONCAT(PROPER(TEXT(E1246,"aaaa"))," ",PROPER(TEXT(E1246,"mm"))))</f>
        <v>2025 03</v>
      </c>
      <c r="AI1246" s="9" t="str">
        <f ca="1">IF('Banco de Dados'!$AK1246&lt;&gt;"-","REEMBOLSO",IFERROR(_xlfn.XLOOKUP(G1246,Follow[CODRASTREIO],Follow[STATUS]),"-"))</f>
        <v>ENTREGUE</v>
      </c>
      <c r="AJ1246" s="9">
        <f ca="1">IF('Banco de Dados'!$AI1246="ENTREGUE",_xlfn.XLOOKUP('Banco de Dados'!$G1246,Follow[CODRASTREIO],Follow[DATAATUALIZAÇÃO]),"-")</f>
        <v>45752</v>
      </c>
      <c r="AK1246" s="132" t="str">
        <f ca="1"/>
        <v>-</v>
      </c>
      <c r="AL1246" s="35"/>
      <c r="AM1246" s="109" cm="1">
        <f t="array" aca="1" ref="AM1246" ca="1">IF('Banco de Dados'!$AK1246&lt;&gt;"-",_xlfn.IFS('Banco de Dados'!$A1246="bv",IF('Banco de Dados'!$E1246&lt;45641,ROUND(SUM('Banco de Dados'!$R1246*_xlfn.XLOOKUP('Banco de Dados'!$P1246,Sku!B:B,Sku!#REF!)*20%),2),ROUND(SUM('Banco de Dados'!$R1246*_xlfn.XLOOKUP('Banco de Dados'!$P1246,Sku!B:B,Sku!H:H)*20%),2)),'Banco de Dados'!$A1246="GO",ROUND(SUM('Banco de Dados'!$R1246*_xlfn.XLOOKUP('Banco de Dados'!$P1246,Sku!C:C,Sku!H:H)*20%),2),'Banco de Dados'!$A1246="MEI",ROUND(SUM('Banco de Dados'!$R1246*_xlfn.XLOOKUP('Banco de Dados'!$P1246,Sku!D:D,Sku!H:H)*20%),2)),0)</f>
        <v>0</v>
      </c>
      <c r="AN1246" s="109">
        <f ca="1">IF('Banco de Dados'!$AK1246&lt;&gt;"-",IF('Banco de Dados'!$F1246&lt;&gt;"-",_xlfn.XLOOKUP(IFERROR(IFERROR(IFERROR(VALUE(SUBSTITUTE(MID(_xlfn.TEXTAFTER('Banco de Dados'!$F1246,"Data do Pedido:
",1),1,10),"-","/")),VALUE(SUBSTITUTE(MID(_xlfn.TEXTAFTER('Banco de Dados'!$F1246,"Order date:
",1),1,10),"-","/"))),VALUE(SUBSTITUTE(MID(_xlfn.TEXTAFTER('Banco de Dados'!$F1246,"Fecha de pedido:
",1),1,10),"-","/"))),"-"),SMS!A:A,SMS!K:K),0),0)</f>
        <v>0</v>
      </c>
      <c r="AO1246" s="109">
        <f ca="1">IF('Banco de Dados'!$AK1246&lt;&gt;"-",IF('Banco de Dados'!$F1246&lt;&gt;"-",IFERROR(_xlfn.XLOOKUP(_xlfn.CONCAT('Banco de Dados'!$A1246,IFERROR(IFERROR(VALUE(SUBSTITUTE(MID(_xlfn.TEXTAFTER('Banco de Dados'!$F1246,"Data do Pedido:
",1),1,10),"-","/")),VALUE(SUBSTITUTE(MID(_xlfn.TEXTAFTER('Banco de Dados'!$F1246,"Order date:
",1),1,10),"-","/"))),0)),ProxyDD[Chave],ProxyDD[Valor por pedido]),PROXY!$P$2),0),0)</f>
        <v>0</v>
      </c>
      <c r="AP1246" s="28">
        <f ca="1">IF('Banco de Dados'!$AK1246&lt;&gt;"-",IF('Banco de Dados'!$AL1246="NÃO",IFERROR(VALUE(SUBSTITUTE(_xlfn.TEXTAFTER('Banco de Dados'!$F1246,"BRL ",1),".",",")),0),0),0)</f>
        <v>0</v>
      </c>
      <c r="AQ1246" s="28">
        <f ca="1">SUM('Banco de Dados'!$AM1246:$AP1246)</f>
        <v>0</v>
      </c>
      <c r="AR1246" s="8"/>
      <c r="AY1246" s="8"/>
    </row>
    <row r="1247" spans="1:51">
      <c r="A1247" s="5" t="str">
        <v>BV</v>
      </c>
      <c r="B1247" s="5" t="str">
        <f ca="1"/>
        <v>BV45736</v>
      </c>
      <c r="C1247" s="8" t="str">
        <v>Pedido 1234</v>
      </c>
      <c r="D1247" s="9">
        <v>45732</v>
      </c>
      <c r="E1247" s="9">
        <v>45736</v>
      </c>
      <c r="F1247" s="8" t="str">
        <v>PedidoF1193</v>
      </c>
      <c r="G1247" s="2" t="str">
        <v>CódRastreio1191</v>
      </c>
      <c r="H1247" s="5">
        <v>1</v>
      </c>
      <c r="I1247" s="2" t="str">
        <v>CPF 1200</v>
      </c>
      <c r="J1247" s="2" t="str">
        <v>Nome 1200</v>
      </c>
      <c r="K1247" s="8" t="str">
        <v>Tel 1200</v>
      </c>
      <c r="L1247" s="8" t="str">
        <v>Cep 1200</v>
      </c>
      <c r="M1247" s="8" t="str">
        <v>Rua 1200</v>
      </c>
      <c r="N1247" s="8" t="str">
        <v>Comp 1200</v>
      </c>
      <c r="O1247" s="8" t="str">
        <v>Ventilador Azul</v>
      </c>
      <c r="P1247" s="8" t="str">
        <v>U8-2VWS-OB6M</v>
      </c>
      <c r="Q1247" s="4">
        <v>45751</v>
      </c>
      <c r="R1247" s="109">
        <v>50.45</v>
      </c>
      <c r="S1247" s="11">
        <f ca="1"/>
        <v>0</v>
      </c>
      <c r="T1247" s="28">
        <f ca="1"/>
        <v>0</v>
      </c>
      <c r="U1247" s="11">
        <f ca="1"/>
        <v>0</v>
      </c>
      <c r="V1247" s="11">
        <v>40</v>
      </c>
      <c r="W1247" s="11">
        <f ca="1"/>
        <v>0</v>
      </c>
      <c r="X1247" s="11">
        <f ca="1"/>
        <v>0.39877104377104378</v>
      </c>
      <c r="Y1247" s="11">
        <v>0</v>
      </c>
      <c r="Z1247" s="11">
        <f ca="1"/>
        <v>-40.398771043771042</v>
      </c>
      <c r="AA1247" s="11">
        <f ca="1"/>
        <v>-20.199385521885521</v>
      </c>
      <c r="AB1247" s="4">
        <f ca="1"/>
        <v>45758</v>
      </c>
      <c r="AC1247" s="4">
        <v>45758</v>
      </c>
      <c r="AD1247" s="9">
        <v>45762</v>
      </c>
      <c r="AE1247" s="9">
        <v>45763</v>
      </c>
      <c r="AF1247" s="4" t="str">
        <f t="shared" ref="AF1247:AF1277" ca="1" si="82">_xlfn.CONCAT(PROPER(TEXT(AB1247,"aaaa"))," ",PROPER(TEXT(AB1247,"mm")))</f>
        <v>2025 04</v>
      </c>
      <c r="AG1247" s="8" t="str" cm="1">
        <f t="array" ref="AG1247">IFERROR(_xlfn.IFS('Banco de Dados'!#REF!="AG. COMPRA","Em processamento",'Banco de Dados'!#REF!="AG. RASTREIO","Em processamento",'Banco de Dados'!$AE1247&lt;&gt;"-","Faturado",'Banco de Dados'!$AD1247&lt;&gt;"-","Aguardando Pix",'Banco de Dados'!$AC1247&lt;&gt;"-","Pendente"),"Aguardando Liberação")</f>
        <v>Aguardando Liberação</v>
      </c>
      <c r="AH1247" s="5" t="str">
        <f>IF('Banco de Dados'!$F1247="-",_xlfn.CONCAT(PROPER(TEXT(AK1247,"aaaa"))," ",PROPER(TEXT(AK1247,"mm"))),_xlfn.CONCAT(PROPER(TEXT(E1247,"aaaa"))," ",PROPER(TEXT(E1247,"mm"))))</f>
        <v>2025 03</v>
      </c>
      <c r="AI1247" s="9" t="str">
        <f ca="1">IF('Banco de Dados'!$AK1247&lt;&gt;"-","REEMBOLSO",IFERROR(_xlfn.XLOOKUP(G1247,Follow[CODRASTREIO],Follow[STATUS]),"-"))</f>
        <v>REEMBOLSO</v>
      </c>
      <c r="AJ1247" s="9" t="str">
        <f ca="1">IF('Banco de Dados'!$AI1247="ENTREGUE",_xlfn.XLOOKUP('Banco de Dados'!$G1247,Follow[CODRASTREIO],Follow[DATAATUALIZAÇÃO]),"-")</f>
        <v>-</v>
      </c>
      <c r="AK1247" s="132">
        <f ca="1"/>
        <v>45765</v>
      </c>
      <c r="AL1247" s="35"/>
      <c r="AM1247" s="109" cm="1">
        <f t="array" aca="1" ref="AM1247" ca="1">IF('Banco de Dados'!$AK1247&lt;&gt;"-",_xlfn.IFS('Banco de Dados'!$A1247="bv",IF('Banco de Dados'!$E1247&lt;45641,ROUND(SUM('Banco de Dados'!$R1247*_xlfn.XLOOKUP('Banco de Dados'!$P1247,Sku!B:B,Sku!#REF!)*20%),2),ROUND(SUM('Banco de Dados'!$R1247*_xlfn.XLOOKUP('Banco de Dados'!$P1247,Sku!B:B,Sku!H:H)*20%),2)),'Banco de Dados'!$A1247="GO",ROUND(_xlfn.XLOOKUP('Banco de Dados'!$P1247,Sku!C:C,Sku!H:H),2),'Banco de Dados'!$A1247="MEI",ROUND(_xlfn.XLOOKUP('Banco de Dados'!$P1247,Sku!D:D,Sku!H:H),2)),0)</f>
        <v>1.31</v>
      </c>
      <c r="AN1247" s="109" t="e">
        <f ca="1">IF('Banco de Dados'!$AK1247&lt;&gt;"-",IF('Banco de Dados'!$F1247&lt;&gt;"-",_xlfn.XLOOKUP(IFERROR(IFERROR(IFERROR(VALUE(SUBSTITUTE(MID(_xlfn.TEXTAFTER('Banco de Dados'!$F1247,"Data do Pedido:
",1),1,10),"-","/")),VALUE(SUBSTITUTE(MID(_xlfn.TEXTAFTER('Banco de Dados'!$F1247,"Order date:
",1),1,10),"-","/"))),VALUE(SUBSTITUTE(MID(_xlfn.TEXTAFTER('Banco de Dados'!$F1247,"Fecha de pedido:
",1),1,10),"-","/"))),"-"),SMS!A:A,SMS!K:K),0),0)</f>
        <v>#N/A</v>
      </c>
      <c r="AO1247" s="109">
        <f ca="1">IF('Banco de Dados'!$AK1247&lt;&gt;"-",IF('Banco de Dados'!$F1247&lt;&gt;"-",IFERROR(_xlfn.XLOOKUP(_xlfn.CONCAT('Banco de Dados'!$A1247,IFERROR(IFERROR(VALUE(SUBSTITUTE(MID(_xlfn.TEXTAFTER('Banco de Dados'!$F1247,"Data do Pedido:
",1),1,10),"-","/")),VALUE(SUBSTITUTE(MID(_xlfn.TEXTAFTER('Banco de Dados'!$F1247,"Order date:
",1),1,10),"-","/"))),0)),ProxyDD[Chave],ProxyDD[Valor por pedido]),PROXY!$P$2),0),0)</f>
        <v>0.39877104377104378</v>
      </c>
      <c r="AP1247" s="28">
        <f ca="1">IF('Banco de Dados'!$AK1247&lt;&gt;"-",IF('Banco de Dados'!$AL1247="NÃO",IFERROR(VALUE(SUBSTITUTE(_xlfn.TEXTAFTER('Banco de Dados'!$F1247,"BRL ",1),".",",")),0),0),0)</f>
        <v>0</v>
      </c>
      <c r="AQ1247" s="28" t="e">
        <f ca="1">SUM('Banco de Dados'!$AM1247:$AP1247)</f>
        <v>#N/A</v>
      </c>
      <c r="AR1247" s="8"/>
      <c r="AY1247" s="8"/>
    </row>
    <row r="1248" spans="1:51">
      <c r="A1248" s="5" t="str">
        <v>BV</v>
      </c>
      <c r="B1248" s="5" t="str">
        <f ca="1"/>
        <v>BV45734</v>
      </c>
      <c r="C1248" s="8" t="str">
        <v>Pedido 1235</v>
      </c>
      <c r="D1248" s="9">
        <v>45732</v>
      </c>
      <c r="E1248" s="9">
        <v>45734</v>
      </c>
      <c r="F1248" s="8" t="str">
        <v>PedidoF1194</v>
      </c>
      <c r="G1248" s="2" t="str">
        <v>CódRastreio1192</v>
      </c>
      <c r="H1248" s="5">
        <v>1</v>
      </c>
      <c r="I1248" s="2" t="str">
        <v>CPF 1201</v>
      </c>
      <c r="J1248" s="2" t="str">
        <v>Nome 1201</v>
      </c>
      <c r="K1248" s="8" t="str">
        <v>Tel 1201</v>
      </c>
      <c r="L1248" s="8" t="str">
        <v>Cep 1201</v>
      </c>
      <c r="M1248" s="8" t="str">
        <v>Rua 1201</v>
      </c>
      <c r="N1248" s="8" t="str">
        <v>Comp 1201</v>
      </c>
      <c r="O1248" s="8" t="str">
        <v>Lampada Led</v>
      </c>
      <c r="P1248" s="8" t="str">
        <v>RB-W251-UXV2</v>
      </c>
      <c r="Q1248" s="4">
        <v>45751</v>
      </c>
      <c r="R1248" s="109">
        <v>26.99</v>
      </c>
      <c r="S1248" s="11">
        <f ca="1"/>
        <v>26.99</v>
      </c>
      <c r="T1248" s="28">
        <f ca="1"/>
        <v>3.5086999999999997</v>
      </c>
      <c r="U1248" s="11">
        <f ca="1"/>
        <v>23.48</v>
      </c>
      <c r="V1248" s="11">
        <v>10.210000000000001</v>
      </c>
      <c r="W1248" s="11">
        <f ca="1"/>
        <v>1.1499999999999999</v>
      </c>
      <c r="X1248" s="11">
        <f ca="1"/>
        <v>0.39877104377104378</v>
      </c>
      <c r="Y1248" s="11">
        <v>0</v>
      </c>
      <c r="Z1248" s="11">
        <f ca="1"/>
        <v>11.721228956228956</v>
      </c>
      <c r="AA1248" s="11">
        <f ca="1"/>
        <v>5.8606144781144778</v>
      </c>
      <c r="AB1248" s="4">
        <f ca="1"/>
        <v>45758</v>
      </c>
      <c r="AC1248" s="4">
        <v>45758</v>
      </c>
      <c r="AD1248" s="9">
        <v>45762</v>
      </c>
      <c r="AE1248" s="9">
        <v>45763</v>
      </c>
      <c r="AF1248" s="4" t="str">
        <f t="shared" ca="1" si="82"/>
        <v>2025 04</v>
      </c>
      <c r="AG1248" s="8" t="str" cm="1">
        <f t="array" ref="AG1248">IFERROR(_xlfn.IFS('Banco de Dados'!#REF!="AG. COMPRA","Em processamento",'Banco de Dados'!#REF!="AG. RASTREIO","Em processamento",'Banco de Dados'!$AE1248&lt;&gt;"-","Faturado",'Banco de Dados'!$AD1248&lt;&gt;"-","Aguardando Pix",'Banco de Dados'!$AC1248&lt;&gt;"-","Pendente"),"Aguardando Liberação")</f>
        <v>Aguardando Liberação</v>
      </c>
      <c r="AH1248" s="5" t="str">
        <f>IF('Banco de Dados'!$F1248="-",_xlfn.CONCAT(PROPER(TEXT(AK1248,"aaaa"))," ",PROPER(TEXT(AK1248,"mm"))),_xlfn.CONCAT(PROPER(TEXT(E1248,"aaaa"))," ",PROPER(TEXT(E1248,"mm"))))</f>
        <v>2025 03</v>
      </c>
      <c r="AI1248" s="9" t="str">
        <f ca="1">IF('Banco de Dados'!$AK1248&lt;&gt;"-","REEMBOLSO",IFERROR(_xlfn.XLOOKUP(G1248,Follow[CODRASTREIO],Follow[STATUS]),"-"))</f>
        <v>ENTREGUE</v>
      </c>
      <c r="AJ1248" s="9">
        <f ca="1">IF('Banco de Dados'!$AI1248="ENTREGUE",_xlfn.XLOOKUP('Banco de Dados'!$G1248,Follow[CODRASTREIO],Follow[DATAATUALIZAÇÃO]),"-")</f>
        <v>45747</v>
      </c>
      <c r="AK1248" s="132" t="str">
        <f ca="1"/>
        <v>-</v>
      </c>
      <c r="AL1248" s="35"/>
      <c r="AM1248" s="109" cm="1">
        <f t="array" aca="1" ref="AM1248" ca="1">IF('Banco de Dados'!$AK1248&lt;&gt;"-",_xlfn.IFS('Banco de Dados'!$A1248="bv",IF('Banco de Dados'!$E1248&lt;45641,ROUND(SUM('Banco de Dados'!$R1248*_xlfn.XLOOKUP('Banco de Dados'!$P1248,Sku!B:B,Sku!#REF!)*20%),2),ROUND(SUM('Banco de Dados'!$R1248*_xlfn.XLOOKUP('Banco de Dados'!$P1248,Sku!B:B,Sku!H:H)*20%),2)),'Banco de Dados'!$A1248="GO",ROUND(_xlfn.XLOOKUP('Banco de Dados'!$P1248,Sku!C:C,Sku!H:H),2),'Banco de Dados'!$A1248="MEI",ROUND(_xlfn.XLOOKUP('Banco de Dados'!$P1248,Sku!D:D,Sku!H:H),2)),0)</f>
        <v>0</v>
      </c>
      <c r="AN1248" s="109">
        <f ca="1">IF('Banco de Dados'!$AK1248&lt;&gt;"-",IF('Banco de Dados'!$F1248&lt;&gt;"-",_xlfn.XLOOKUP(IFERROR(IFERROR(IFERROR(VALUE(SUBSTITUTE(MID(_xlfn.TEXTAFTER('Banco de Dados'!$F1248,"Data do Pedido:
",1),1,10),"-","/")),VALUE(SUBSTITUTE(MID(_xlfn.TEXTAFTER('Banco de Dados'!$F1248,"Order date:
",1),1,10),"-","/"))),VALUE(SUBSTITUTE(MID(_xlfn.TEXTAFTER('Banco de Dados'!$F1248,"Fecha de pedido:
",1),1,10),"-","/"))),"-"),SMS!A:A,SMS!K:K),0),0)</f>
        <v>0</v>
      </c>
      <c r="AO1248" s="109">
        <f ca="1">IF('Banco de Dados'!$AK1248&lt;&gt;"-",IF('Banco de Dados'!$F1248&lt;&gt;"-",IFERROR(_xlfn.XLOOKUP(_xlfn.CONCAT('Banco de Dados'!$A1248,IFERROR(IFERROR(VALUE(SUBSTITUTE(MID(_xlfn.TEXTAFTER('Banco de Dados'!$F1248,"Data do Pedido:
",1),1,10),"-","/")),VALUE(SUBSTITUTE(MID(_xlfn.TEXTAFTER('Banco de Dados'!$F1248,"Order date:
",1),1,10),"-","/"))),0)),ProxyDD[Chave],ProxyDD[Valor por pedido]),PROXY!$P$2),0),0)</f>
        <v>0</v>
      </c>
      <c r="AP1248" s="28">
        <f ca="1">IF('Banco de Dados'!$AK1248&lt;&gt;"-",IF('Banco de Dados'!$AL1248="NÃO",IFERROR(VALUE(SUBSTITUTE(_xlfn.TEXTAFTER('Banco de Dados'!$F1248,"BRL ",1),".",",")),0),0),0)</f>
        <v>0</v>
      </c>
      <c r="AQ1248" s="28">
        <f ca="1">SUM('Banco de Dados'!$AM1248:$AP1248)</f>
        <v>0</v>
      </c>
      <c r="AR1248" s="8"/>
      <c r="AY1248" s="8"/>
    </row>
    <row r="1249" spans="1:51">
      <c r="A1249" s="5" t="str">
        <v>BV</v>
      </c>
      <c r="B1249" s="5" t="str">
        <f ca="1"/>
        <v>BV-</v>
      </c>
      <c r="C1249" s="8" t="str">
        <v>Pedido 1236</v>
      </c>
      <c r="D1249" s="9">
        <v>45732</v>
      </c>
      <c r="E1249" s="9" t="str">
        <v>-</v>
      </c>
      <c r="F1249" s="8" t="str">
        <v>-</v>
      </c>
      <c r="G1249" s="2" t="str">
        <v>-</v>
      </c>
      <c r="H1249" s="5">
        <v>1</v>
      </c>
      <c r="I1249" s="2" t="str">
        <v>CPF 1202</v>
      </c>
      <c r="J1249" s="2" t="str">
        <v>Nome 1202</v>
      </c>
      <c r="K1249" s="8" t="str">
        <v>Tel 1202</v>
      </c>
      <c r="L1249" s="8" t="str">
        <v>Cep 1202</v>
      </c>
      <c r="M1249" s="8" t="str">
        <v>Rua 1202</v>
      </c>
      <c r="N1249" s="8" t="str">
        <v>Comp 1202</v>
      </c>
      <c r="O1249" s="8" t="str">
        <v>Ventilador Umidificador Preto</v>
      </c>
      <c r="P1249" s="8" t="str">
        <v>HF-SI0F-XC7S</v>
      </c>
      <c r="Q1249" s="4">
        <v>45751</v>
      </c>
      <c r="R1249" s="109">
        <v>44.9</v>
      </c>
      <c r="S1249" s="11">
        <f ca="1"/>
        <v>0</v>
      </c>
      <c r="T1249" s="28">
        <f ca="1"/>
        <v>0</v>
      </c>
      <c r="U1249" s="11">
        <f ca="1"/>
        <v>0</v>
      </c>
      <c r="V1249" s="11">
        <v>0</v>
      </c>
      <c r="W1249" s="11">
        <f ca="1"/>
        <v>0</v>
      </c>
      <c r="X1249" s="11">
        <f ca="1"/>
        <v>0</v>
      </c>
      <c r="Y1249" s="11">
        <v>0</v>
      </c>
      <c r="Z1249" s="11">
        <f ca="1"/>
        <v>0</v>
      </c>
      <c r="AA1249" s="11">
        <f ca="1"/>
        <v>0</v>
      </c>
      <c r="AB1249" s="4">
        <f ca="1"/>
        <v>45758</v>
      </c>
      <c r="AC1249" s="4">
        <v>45758</v>
      </c>
      <c r="AD1249" s="9">
        <v>45762</v>
      </c>
      <c r="AE1249" s="9">
        <v>45763</v>
      </c>
      <c r="AF1249" s="4" t="str">
        <f t="shared" ca="1" si="82"/>
        <v>2025 04</v>
      </c>
      <c r="AG1249" s="8" t="str" cm="1">
        <f t="array" ref="AG1249">IFERROR(_xlfn.IFS('Banco de Dados'!#REF!="AG. COMPRA","Em processamento",'Banco de Dados'!#REF!="AG. RASTREIO","Em processamento",'Banco de Dados'!$AE1249&lt;&gt;"-","Faturado",'Banco de Dados'!$AD1249&lt;&gt;"-","Aguardando Pix",'Banco de Dados'!$AC1249&lt;&gt;"-","Pendente"),"Aguardando Liberação")</f>
        <v>Aguardando Liberação</v>
      </c>
      <c r="AH1249" s="5" t="str">
        <f ca="1">IF('Banco de Dados'!$F1249="-",_xlfn.CONCAT(PROPER(TEXT(AK1249,"aaaa"))," ",PROPER(TEXT(AK1249,"mm"))),_xlfn.CONCAT(PROPER(TEXT(E1249,"aaaa"))," ",PROPER(TEXT(E1249,"mm"))))</f>
        <v>2025 03</v>
      </c>
      <c r="AI1249" s="9" t="str">
        <f ca="1">IF('Banco de Dados'!$AK1249&lt;&gt;"-","REEMBOLSO",IFERROR(_xlfn.XLOOKUP(G1249,Follow[CODRASTREIO],Follow[STATUS]),"-"))</f>
        <v>REEMBOLSO</v>
      </c>
      <c r="AJ1249" s="9" t="str">
        <f ca="1">IF('Banco de Dados'!$AI1249="ENTREGUE",_xlfn.XLOOKUP('Banco de Dados'!$G1249,Follow[CODRASTREIO],Follow[DATAATUALIZAÇÃO]),"-")</f>
        <v>-</v>
      </c>
      <c r="AK1249" s="132">
        <f ca="1"/>
        <v>45744</v>
      </c>
      <c r="AL1249" s="35"/>
      <c r="AM1249" s="109" cm="1">
        <f t="array" aca="1" ref="AM1249" ca="1">IF('Banco de Dados'!$AK1249&lt;&gt;"-",_xlfn.IFS('Banco de Dados'!$A1249="bv",IF('Banco de Dados'!$E1249&lt;45641,ROUND(SUM('Banco de Dados'!$R1249*_xlfn.XLOOKUP('Banco de Dados'!$P1249,Sku!B:B,Sku!#REF!)*20%),2),ROUND(SUM('Banco de Dados'!$R1249*_xlfn.XLOOKUP('Banco de Dados'!$P1249,Sku!B:B,Sku!H:H)*20%),2)),'Banco de Dados'!$A1249="GO",ROUND(_xlfn.XLOOKUP('Banco de Dados'!$P1249,Sku!C:C,Sku!H:H),2),'Banco de Dados'!$A1249="MEI",ROUND(_xlfn.XLOOKUP('Banco de Dados'!$P1249,Sku!D:D,Sku!H:H),2)),0)</f>
        <v>1.26</v>
      </c>
      <c r="AN1249" s="109">
        <f ca="1">IF('Banco de Dados'!$AK1249&lt;&gt;"-",IF('Banco de Dados'!$F1249&lt;&gt;"-",_xlfn.XLOOKUP(IFERROR(IFERROR(IFERROR(VALUE(SUBSTITUTE(MID(_xlfn.TEXTAFTER('Banco de Dados'!$F1249,"Data do Pedido:
",1),1,10),"-","/")),VALUE(SUBSTITUTE(MID(_xlfn.TEXTAFTER('Banco de Dados'!$F1249,"Order date:
",1),1,10),"-","/"))),VALUE(SUBSTITUTE(MID(_xlfn.TEXTAFTER('Banco de Dados'!$F1249,"Fecha de pedido:
",1),1,10),"-","/"))),"-"),SMS!A:A,SMS!K:K),0),0)</f>
        <v>0</v>
      </c>
      <c r="AO1249" s="109">
        <f ca="1">IF('Banco de Dados'!$AK1249&lt;&gt;"-",IF('Banco de Dados'!$F1249&lt;&gt;"-",IFERROR(_xlfn.XLOOKUP(_xlfn.CONCAT('Banco de Dados'!$A1249,IFERROR(IFERROR(VALUE(SUBSTITUTE(MID(_xlfn.TEXTAFTER('Banco de Dados'!$F1249,"Data do Pedido:
",1),1,10),"-","/")),VALUE(SUBSTITUTE(MID(_xlfn.TEXTAFTER('Banco de Dados'!$F1249,"Order date:
",1),1,10),"-","/"))),0)),ProxyDD[Chave],ProxyDD[Valor por pedido]),PROXY!$P$2),0),0)</f>
        <v>0</v>
      </c>
      <c r="AP1249" s="28">
        <f ca="1">IF('Banco de Dados'!$AK1249&lt;&gt;"-",IF('Banco de Dados'!$AL1249="NÃO",IFERROR(VALUE(SUBSTITUTE(_xlfn.TEXTAFTER('Banco de Dados'!$F1249,"BRL ",1),".",",")),0),0),0)</f>
        <v>0</v>
      </c>
      <c r="AQ1249" s="28">
        <f ca="1">SUM('Banco de Dados'!$AM1249:$AP1249)</f>
        <v>1.26</v>
      </c>
      <c r="AR1249" s="8"/>
      <c r="AY1249" s="8"/>
    </row>
    <row r="1250" spans="1:51">
      <c r="A1250" s="5" t="str">
        <v>BV</v>
      </c>
      <c r="B1250" s="5" t="str">
        <f ca="1"/>
        <v>BV-</v>
      </c>
      <c r="C1250" s="8" t="str">
        <v>Pedido 1237</v>
      </c>
      <c r="D1250" s="9">
        <v>45732</v>
      </c>
      <c r="E1250" s="9" t="str">
        <v>-</v>
      </c>
      <c r="F1250" s="8" t="str">
        <v>-</v>
      </c>
      <c r="G1250" s="2" t="str">
        <v>-</v>
      </c>
      <c r="H1250" s="5">
        <v>1</v>
      </c>
      <c r="I1250" s="2" t="str">
        <v>CPF 1203</v>
      </c>
      <c r="J1250" s="2" t="str">
        <v>Nome 1203</v>
      </c>
      <c r="K1250" s="8" t="str">
        <v>Tel 1203</v>
      </c>
      <c r="L1250" s="8" t="str">
        <v>Cep 1203</v>
      </c>
      <c r="M1250" s="8" t="str">
        <v>Rua 1203</v>
      </c>
      <c r="N1250" s="8" t="str">
        <v>Comp 1203</v>
      </c>
      <c r="O1250" s="8" t="str">
        <v>Ventilador Umidificador Preto</v>
      </c>
      <c r="P1250" s="8" t="str">
        <v>HF-SI0F-XC7S</v>
      </c>
      <c r="Q1250" s="4">
        <v>45757</v>
      </c>
      <c r="R1250" s="109">
        <v>44.9</v>
      </c>
      <c r="S1250" s="11">
        <f ca="1"/>
        <v>0</v>
      </c>
      <c r="T1250" s="28">
        <f ca="1"/>
        <v>0</v>
      </c>
      <c r="U1250" s="11">
        <f ca="1"/>
        <v>0</v>
      </c>
      <c r="V1250" s="11">
        <v>0</v>
      </c>
      <c r="W1250" s="11">
        <f ca="1"/>
        <v>0</v>
      </c>
      <c r="X1250" s="11">
        <f ca="1"/>
        <v>0</v>
      </c>
      <c r="Y1250" s="11">
        <v>0</v>
      </c>
      <c r="Z1250" s="11">
        <f ca="1"/>
        <v>0</v>
      </c>
      <c r="AA1250" s="11">
        <f ca="1"/>
        <v>0</v>
      </c>
      <c r="AB1250" s="4">
        <f ca="1"/>
        <v>45764</v>
      </c>
      <c r="AC1250" s="4">
        <v>45764</v>
      </c>
      <c r="AD1250" s="9">
        <v>45779</v>
      </c>
      <c r="AE1250" s="9">
        <v>45783</v>
      </c>
      <c r="AF1250" s="4" t="str">
        <f t="shared" ca="1" si="82"/>
        <v>2025 04</v>
      </c>
      <c r="AG1250" s="8" t="str" cm="1">
        <f t="array" ref="AG1250">IFERROR(_xlfn.IFS('Banco de Dados'!#REF!="AG. COMPRA","Em processamento",'Banco de Dados'!#REF!="AG. RASTREIO","Em processamento",'Banco de Dados'!$AE1250&lt;&gt;"-","Faturado",'Banco de Dados'!$AD1250&lt;&gt;"-","Aguardando Pix",'Banco de Dados'!$AC1250&lt;&gt;"-","Pendente"),"Aguardando Liberação")</f>
        <v>Aguardando Liberação</v>
      </c>
      <c r="AH1250" s="5" t="str">
        <f ca="1">IF('Banco de Dados'!$F1250="-",_xlfn.CONCAT(PROPER(TEXT(AK1250,"aaaa"))," ",PROPER(TEXT(AK1250,"mm"))),_xlfn.CONCAT(PROPER(TEXT(E1250,"aaaa"))," ",PROPER(TEXT(E1250,"mm"))))</f>
        <v>2025 04</v>
      </c>
      <c r="AI1250" s="9" t="str">
        <f ca="1">IF('Banco de Dados'!$AK1250&lt;&gt;"-","REEMBOLSO",IFERROR(_xlfn.XLOOKUP(G1250,Follow[CODRASTREIO],Follow[STATUS]),"-"))</f>
        <v>REEMBOLSO</v>
      </c>
      <c r="AJ1250" s="9" t="str">
        <f ca="1">IF('Banco de Dados'!$AI1250="ENTREGUE",_xlfn.XLOOKUP('Banco de Dados'!$G1250,Follow[CODRASTREIO],Follow[DATAATUALIZAÇÃO]),"-")</f>
        <v>-</v>
      </c>
      <c r="AK1250" s="132">
        <f ca="1"/>
        <v>45749</v>
      </c>
      <c r="AL1250" s="35"/>
      <c r="AM1250" s="109" cm="1">
        <f t="array" aca="1" ref="AM1250" ca="1">IF('Banco de Dados'!$AK1250&lt;&gt;"-",_xlfn.IFS('Banco de Dados'!$A1250="bv",IF('Banco de Dados'!$E1250&lt;45641,ROUND(SUM('Banco de Dados'!$R1250*_xlfn.XLOOKUP('Banco de Dados'!$P1250,Sku!B:B,Sku!#REF!)*20%),2),ROUND(SUM('Banco de Dados'!$R1250*_xlfn.XLOOKUP('Banco de Dados'!$P1250,Sku!B:B,Sku!H:H)*20%),2)),'Banco de Dados'!$A1250="GO",ROUND(_xlfn.XLOOKUP('Banco de Dados'!$P1250,Sku!C:C,Sku!H:H),2),'Banco de Dados'!$A1250="MEI",ROUND(_xlfn.XLOOKUP('Banco de Dados'!$P1250,Sku!D:D,Sku!H:H),2)),0)</f>
        <v>1.26</v>
      </c>
      <c r="AN1250" s="109">
        <f ca="1">IF('Banco de Dados'!$AK1250&lt;&gt;"-",IF('Banco de Dados'!$F1250&lt;&gt;"-",_xlfn.XLOOKUP(IFERROR(IFERROR(IFERROR(VALUE(SUBSTITUTE(MID(_xlfn.TEXTAFTER('Banco de Dados'!$F1250,"Data do Pedido:
",1),1,10),"-","/")),VALUE(SUBSTITUTE(MID(_xlfn.TEXTAFTER('Banco de Dados'!$F1250,"Order date:
",1),1,10),"-","/"))),VALUE(SUBSTITUTE(MID(_xlfn.TEXTAFTER('Banco de Dados'!$F1250,"Fecha de pedido:
",1),1,10),"-","/"))),"-"),SMS!A:A,SMS!K:K),0),0)</f>
        <v>0</v>
      </c>
      <c r="AO1250" s="109">
        <f ca="1">IF('Banco de Dados'!$AK1250&lt;&gt;"-",IF('Banco de Dados'!$F1250&lt;&gt;"-",IFERROR(_xlfn.XLOOKUP(_xlfn.CONCAT('Banco de Dados'!$A1250,IFERROR(IFERROR(VALUE(SUBSTITUTE(MID(_xlfn.TEXTAFTER('Banco de Dados'!$F1250,"Data do Pedido:
",1),1,10),"-","/")),VALUE(SUBSTITUTE(MID(_xlfn.TEXTAFTER('Banco de Dados'!$F1250,"Order date:
",1),1,10),"-","/"))),0)),ProxyDD[Chave],ProxyDD[Valor por pedido]),PROXY!$P$2),0),0)</f>
        <v>0</v>
      </c>
      <c r="AP1250" s="28">
        <f ca="1">IF('Banco de Dados'!$AK1250&lt;&gt;"-",IF('Banco de Dados'!$AL1250="NÃO",IFERROR(VALUE(SUBSTITUTE(_xlfn.TEXTAFTER('Banco de Dados'!$F1250,"BRL ",1),".",",")),0),0),0)</f>
        <v>0</v>
      </c>
      <c r="AQ1250" s="28">
        <f ca="1">SUM('Banco de Dados'!$AM1250:$AP1250)</f>
        <v>1.26</v>
      </c>
      <c r="AR1250" s="8"/>
      <c r="AY1250" s="8"/>
    </row>
    <row r="1251" spans="1:51">
      <c r="A1251" s="5" t="str">
        <v>BV</v>
      </c>
      <c r="B1251" s="5" t="str">
        <f ca="1"/>
        <v>BV-</v>
      </c>
      <c r="C1251" s="8" t="str">
        <v>Pedido 1238</v>
      </c>
      <c r="D1251" s="9">
        <v>45732</v>
      </c>
      <c r="E1251" s="9" t="str">
        <v>-</v>
      </c>
      <c r="F1251" s="8" t="str">
        <v>-</v>
      </c>
      <c r="G1251" s="2" t="str">
        <v>-</v>
      </c>
      <c r="H1251" s="5">
        <v>1</v>
      </c>
      <c r="I1251" s="2" t="str">
        <v>CPF 1204</v>
      </c>
      <c r="J1251" s="2" t="str">
        <v>Nome 1204</v>
      </c>
      <c r="K1251" s="8" t="str">
        <v>Tel 1204</v>
      </c>
      <c r="L1251" s="8" t="str">
        <v>Cep 1204</v>
      </c>
      <c r="M1251" s="8" t="str">
        <v>Rua 1204</v>
      </c>
      <c r="N1251" s="8" t="str">
        <v>Comp 1204</v>
      </c>
      <c r="O1251" s="8" t="str">
        <v>Ventilador Umidificador Preto</v>
      </c>
      <c r="P1251" s="8" t="str">
        <v>HF-SI0F-XC7S</v>
      </c>
      <c r="Q1251" s="4">
        <v>45757</v>
      </c>
      <c r="R1251" s="109">
        <v>44.9</v>
      </c>
      <c r="S1251" s="11">
        <f ca="1"/>
        <v>0</v>
      </c>
      <c r="T1251" s="28">
        <f ca="1"/>
        <v>0</v>
      </c>
      <c r="U1251" s="11">
        <f ca="1"/>
        <v>0</v>
      </c>
      <c r="V1251" s="11">
        <v>0</v>
      </c>
      <c r="W1251" s="11">
        <f ca="1"/>
        <v>0</v>
      </c>
      <c r="X1251" s="11">
        <f ca="1"/>
        <v>0</v>
      </c>
      <c r="Y1251" s="11">
        <v>0</v>
      </c>
      <c r="Z1251" s="11">
        <f ca="1"/>
        <v>0</v>
      </c>
      <c r="AA1251" s="11">
        <f ca="1"/>
        <v>0</v>
      </c>
      <c r="AB1251" s="4">
        <f ca="1"/>
        <v>45764</v>
      </c>
      <c r="AC1251" s="4">
        <v>45764</v>
      </c>
      <c r="AD1251" s="9">
        <v>45779</v>
      </c>
      <c r="AE1251" s="9">
        <v>45783</v>
      </c>
      <c r="AF1251" s="4" t="str">
        <f t="shared" ca="1" si="82"/>
        <v>2025 04</v>
      </c>
      <c r="AG1251" s="8" t="str" cm="1">
        <f t="array" ref="AG1251">IFERROR(_xlfn.IFS('Banco de Dados'!#REF!="AG. COMPRA","Em processamento",'Banco de Dados'!#REF!="AG. RASTREIO","Em processamento",'Banco de Dados'!$AE1251&lt;&gt;"-","Faturado",'Banco de Dados'!$AD1251&lt;&gt;"-","Aguardando Pix",'Banco de Dados'!$AC1251&lt;&gt;"-","Pendente"),"Aguardando Liberação")</f>
        <v>Aguardando Liberação</v>
      </c>
      <c r="AH1251" s="5" t="str">
        <f ca="1">IF('Banco de Dados'!$F1251="-",_xlfn.CONCAT(PROPER(TEXT(AK1251,"aaaa"))," ",PROPER(TEXT(AK1251,"mm"))),_xlfn.CONCAT(PROPER(TEXT(E1251,"aaaa"))," ",PROPER(TEXT(E1251,"mm"))))</f>
        <v>2025 04</v>
      </c>
      <c r="AI1251" s="9" t="str">
        <f ca="1">IF('Banco de Dados'!$AK1251&lt;&gt;"-","REEMBOLSO",IFERROR(_xlfn.XLOOKUP(G1251,Follow[CODRASTREIO],Follow[STATUS]),"-"))</f>
        <v>REEMBOLSO</v>
      </c>
      <c r="AJ1251" s="9" t="str">
        <f ca="1">IF('Banco de Dados'!$AI1251="ENTREGUE",_xlfn.XLOOKUP('Banco de Dados'!$G1251,Follow[CODRASTREIO],Follow[DATAATUALIZAÇÃO]),"-")</f>
        <v>-</v>
      </c>
      <c r="AK1251" s="132">
        <f ca="1"/>
        <v>45750</v>
      </c>
      <c r="AL1251" s="35"/>
      <c r="AM1251" s="109" cm="1">
        <f t="array" aca="1" ref="AM1251" ca="1">IF('Banco de Dados'!$AK1251&lt;&gt;"-",_xlfn.IFS('Banco de Dados'!$A1251="bv",IF('Banco de Dados'!$E1251&lt;45641,ROUND(SUM('Banco de Dados'!$R1251*_xlfn.XLOOKUP('Banco de Dados'!$P1251,Sku!B:B,Sku!#REF!)*20%),2),ROUND(SUM('Banco de Dados'!$R1251*_xlfn.XLOOKUP('Banco de Dados'!$P1251,Sku!B:B,Sku!H:H)*20%),2)),'Banco de Dados'!$A1251="GO",ROUND(_xlfn.XLOOKUP('Banco de Dados'!$P1251,Sku!C:C,Sku!H:H),2),'Banco de Dados'!$A1251="MEI",ROUND(_xlfn.XLOOKUP('Banco de Dados'!$P1251,Sku!D:D,Sku!H:H),2)),0)</f>
        <v>1.26</v>
      </c>
      <c r="AN1251" s="109">
        <f ca="1">IF('Banco de Dados'!$AK1251&lt;&gt;"-",IF('Banco de Dados'!$F1251&lt;&gt;"-",_xlfn.XLOOKUP(IFERROR(IFERROR(IFERROR(VALUE(SUBSTITUTE(MID(_xlfn.TEXTAFTER('Banco de Dados'!$F1251,"Data do Pedido:
",1),1,10),"-","/")),VALUE(SUBSTITUTE(MID(_xlfn.TEXTAFTER('Banco de Dados'!$F1251,"Order date:
",1),1,10),"-","/"))),VALUE(SUBSTITUTE(MID(_xlfn.TEXTAFTER('Banco de Dados'!$F1251,"Fecha de pedido:
",1),1,10),"-","/"))),"-"),SMS!A:A,SMS!K:K),0),0)</f>
        <v>0</v>
      </c>
      <c r="AO1251" s="109">
        <f ca="1">IF('Banco de Dados'!$AK1251&lt;&gt;"-",IF('Banco de Dados'!$F1251&lt;&gt;"-",IFERROR(_xlfn.XLOOKUP(_xlfn.CONCAT('Banco de Dados'!$A1251,IFERROR(IFERROR(VALUE(SUBSTITUTE(MID(_xlfn.TEXTAFTER('Banco de Dados'!$F1251,"Data do Pedido:
",1),1,10),"-","/")),VALUE(SUBSTITUTE(MID(_xlfn.TEXTAFTER('Banco de Dados'!$F1251,"Order date:
",1),1,10),"-","/"))),0)),ProxyDD[Chave],ProxyDD[Valor por pedido]),PROXY!$P$2),0),0)</f>
        <v>0</v>
      </c>
      <c r="AP1251" s="28">
        <f ca="1">IF('Banco de Dados'!$AK1251&lt;&gt;"-",IF('Banco de Dados'!$AL1251="NÃO",IFERROR(VALUE(SUBSTITUTE(_xlfn.TEXTAFTER('Banco de Dados'!$F1251,"BRL ",1),".",",")),0),0),0)</f>
        <v>0</v>
      </c>
      <c r="AQ1251" s="28">
        <f ca="1">SUM('Banco de Dados'!$AM1251:$AP1251)</f>
        <v>1.26</v>
      </c>
      <c r="AR1251" s="8"/>
      <c r="AY1251" s="8"/>
    </row>
    <row r="1252" spans="1:51">
      <c r="A1252" s="5" t="str">
        <v>BV</v>
      </c>
      <c r="B1252" s="5" t="str">
        <f ca="1"/>
        <v>BV-</v>
      </c>
      <c r="C1252" s="8" t="str">
        <v>Pedido 1239</v>
      </c>
      <c r="D1252" s="9">
        <v>45732</v>
      </c>
      <c r="E1252" s="9" t="str">
        <v>-</v>
      </c>
      <c r="F1252" s="8" t="str">
        <v>-</v>
      </c>
      <c r="G1252" s="2" t="str">
        <v>-</v>
      </c>
      <c r="H1252" s="5">
        <v>1</v>
      </c>
      <c r="I1252" s="2" t="str">
        <v>CPF 1205</v>
      </c>
      <c r="J1252" s="2" t="str">
        <v>Nome 1205</v>
      </c>
      <c r="K1252" s="8" t="str">
        <v>Tel 1205</v>
      </c>
      <c r="L1252" s="8" t="str">
        <v>Cep 1205</v>
      </c>
      <c r="M1252" s="8" t="str">
        <v>Rua 1205</v>
      </c>
      <c r="N1252" s="8" t="str">
        <v>Comp 1205</v>
      </c>
      <c r="O1252" s="8" t="str">
        <v>Ventilador Umidificador Preto</v>
      </c>
      <c r="P1252" s="8" t="str">
        <v>HF-SI0F-XC7S</v>
      </c>
      <c r="Q1252" s="4">
        <v>45757</v>
      </c>
      <c r="R1252" s="109">
        <v>44.9</v>
      </c>
      <c r="S1252" s="11">
        <f ca="1"/>
        <v>0</v>
      </c>
      <c r="T1252" s="28">
        <f ca="1"/>
        <v>0</v>
      </c>
      <c r="U1252" s="11">
        <f ca="1"/>
        <v>0</v>
      </c>
      <c r="V1252" s="11">
        <v>0</v>
      </c>
      <c r="W1252" s="11">
        <f ca="1"/>
        <v>0</v>
      </c>
      <c r="X1252" s="11">
        <f ca="1"/>
        <v>0</v>
      </c>
      <c r="Y1252" s="11">
        <v>0</v>
      </c>
      <c r="Z1252" s="11">
        <f ca="1"/>
        <v>0</v>
      </c>
      <c r="AA1252" s="11">
        <f ca="1"/>
        <v>0</v>
      </c>
      <c r="AB1252" s="4">
        <f ca="1"/>
        <v>45764</v>
      </c>
      <c r="AC1252" s="4">
        <v>45764</v>
      </c>
      <c r="AD1252" s="9">
        <v>45779</v>
      </c>
      <c r="AE1252" s="9">
        <v>45783</v>
      </c>
      <c r="AF1252" s="4" t="str">
        <f t="shared" ca="1" si="82"/>
        <v>2025 04</v>
      </c>
      <c r="AG1252" s="8" t="str" cm="1">
        <f t="array" ref="AG1252">IFERROR(_xlfn.IFS('Banco de Dados'!#REF!="AG. COMPRA","Em processamento",'Banco de Dados'!#REF!="AG. RASTREIO","Em processamento",'Banco de Dados'!$AE1252&lt;&gt;"-","Faturado",'Banco de Dados'!$AD1252&lt;&gt;"-","Aguardando Pix",'Banco de Dados'!$AC1252&lt;&gt;"-","Pendente"),"Aguardando Liberação")</f>
        <v>Aguardando Liberação</v>
      </c>
      <c r="AH1252" s="5" t="str">
        <f ca="1">IF('Banco de Dados'!$F1252="-",_xlfn.CONCAT(PROPER(TEXT(AK1252,"aaaa"))," ",PROPER(TEXT(AK1252,"mm"))),_xlfn.CONCAT(PROPER(TEXT(E1252,"aaaa"))," ",PROPER(TEXT(E1252,"mm"))))</f>
        <v>2025 04</v>
      </c>
      <c r="AI1252" s="9" t="str">
        <f ca="1">IF('Banco de Dados'!$AK1252&lt;&gt;"-","REEMBOLSO",IFERROR(_xlfn.XLOOKUP(G1252,Follow[CODRASTREIO],Follow[STATUS]),"-"))</f>
        <v>REEMBOLSO</v>
      </c>
      <c r="AJ1252" s="9" t="str">
        <f ca="1">IF('Banco de Dados'!$AI1252="ENTREGUE",_xlfn.XLOOKUP('Banco de Dados'!$G1252,Follow[CODRASTREIO],Follow[DATAATUALIZAÇÃO]),"-")</f>
        <v>-</v>
      </c>
      <c r="AK1252" s="132">
        <f ca="1"/>
        <v>45750</v>
      </c>
      <c r="AL1252" s="35"/>
      <c r="AM1252" s="109" cm="1">
        <f t="array" aca="1" ref="AM1252" ca="1">IF('Banco de Dados'!$AK1252&lt;&gt;"-",_xlfn.IFS('Banco de Dados'!$A1252="bv",IF('Banco de Dados'!$E1252&lt;45641,ROUND(SUM('Banco de Dados'!$R1252*_xlfn.XLOOKUP('Banco de Dados'!$P1252,Sku!B:B,Sku!#REF!)*20%),2),ROUND(SUM('Banco de Dados'!$R1252*_xlfn.XLOOKUP('Banco de Dados'!$P1252,Sku!B:B,Sku!H:H)*20%),2)),'Banco de Dados'!$A1252="GO",ROUND(_xlfn.XLOOKUP('Banco de Dados'!$P1252,Sku!C:C,Sku!H:H),2),'Banco de Dados'!$A1252="MEI",ROUND(_xlfn.XLOOKUP('Banco de Dados'!$P1252,Sku!D:D,Sku!H:H),2)),0)</f>
        <v>1.26</v>
      </c>
      <c r="AN1252" s="109">
        <f ca="1">IF('Banco de Dados'!$AK1252&lt;&gt;"-",IF('Banco de Dados'!$F1252&lt;&gt;"-",_xlfn.XLOOKUP(IFERROR(IFERROR(IFERROR(VALUE(SUBSTITUTE(MID(_xlfn.TEXTAFTER('Banco de Dados'!$F1252,"Data do Pedido:
",1),1,10),"-","/")),VALUE(SUBSTITUTE(MID(_xlfn.TEXTAFTER('Banco de Dados'!$F1252,"Order date:
",1),1,10),"-","/"))),VALUE(SUBSTITUTE(MID(_xlfn.TEXTAFTER('Banco de Dados'!$F1252,"Fecha de pedido:
",1),1,10),"-","/"))),"-"),SMS!A:A,SMS!K:K),0),0)</f>
        <v>0</v>
      </c>
      <c r="AO1252" s="109">
        <f ca="1">IF('Banco de Dados'!$AK1252&lt;&gt;"-",IF('Banco de Dados'!$F1252&lt;&gt;"-",IFERROR(_xlfn.XLOOKUP(_xlfn.CONCAT('Banco de Dados'!$A1252,IFERROR(IFERROR(VALUE(SUBSTITUTE(MID(_xlfn.TEXTAFTER('Banco de Dados'!$F1252,"Data do Pedido:
",1),1,10),"-","/")),VALUE(SUBSTITUTE(MID(_xlfn.TEXTAFTER('Banco de Dados'!$F1252,"Order date:
",1),1,10),"-","/"))),0)),ProxyDD[Chave],ProxyDD[Valor por pedido]),PROXY!$P$2),0),0)</f>
        <v>0</v>
      </c>
      <c r="AP1252" s="28">
        <f ca="1">IF('Banco de Dados'!$AK1252&lt;&gt;"-",IF('Banco de Dados'!$AL1252="NÃO",IFERROR(VALUE(SUBSTITUTE(_xlfn.TEXTAFTER('Banco de Dados'!$F1252,"BRL ",1),".",",")),0),0),0)</f>
        <v>0</v>
      </c>
      <c r="AQ1252" s="28">
        <f ca="1">SUM('Banco de Dados'!$AM1252:$AP1252)</f>
        <v>1.26</v>
      </c>
      <c r="AR1252" s="8"/>
      <c r="AY1252" s="8"/>
    </row>
    <row r="1253" spans="1:51">
      <c r="A1253" s="5" t="str">
        <v>BV</v>
      </c>
      <c r="B1253" s="5" t="str">
        <f ca="1"/>
        <v>BV45736</v>
      </c>
      <c r="C1253" s="8" t="str">
        <v>Pedido 1240</v>
      </c>
      <c r="D1253" s="9">
        <v>45732</v>
      </c>
      <c r="E1253" s="9">
        <v>45736</v>
      </c>
      <c r="F1253" s="8" t="str">
        <v>PedidoF1195</v>
      </c>
      <c r="G1253" s="2" t="str">
        <v>CódRastreio1193</v>
      </c>
      <c r="H1253" s="5">
        <v>1</v>
      </c>
      <c r="I1253" s="2" t="str">
        <v>CPF 1206</v>
      </c>
      <c r="J1253" s="2" t="str">
        <v>Nome 1206</v>
      </c>
      <c r="K1253" s="8" t="str">
        <v>Tel 1206</v>
      </c>
      <c r="L1253" s="8" t="str">
        <v>Cep 1206</v>
      </c>
      <c r="M1253" s="8" t="str">
        <v>Rua 1206</v>
      </c>
      <c r="N1253" s="8" t="str">
        <v>Comp 1206</v>
      </c>
      <c r="O1253" s="8" t="str">
        <v>Balança</v>
      </c>
      <c r="P1253" s="8" t="str">
        <v>P4-K63S-8KOM</v>
      </c>
      <c r="Q1253" s="4">
        <v>45745</v>
      </c>
      <c r="R1253" s="109">
        <v>28.99</v>
      </c>
      <c r="S1253" s="11">
        <f ca="1"/>
        <v>28.99</v>
      </c>
      <c r="T1253" s="28">
        <f ca="1"/>
        <v>3.7686999999999999</v>
      </c>
      <c r="U1253" s="11">
        <f ca="1"/>
        <v>25.22</v>
      </c>
      <c r="V1253" s="11">
        <v>14.8</v>
      </c>
      <c r="W1253" s="11">
        <f ca="1"/>
        <v>0.33</v>
      </c>
      <c r="X1253" s="11">
        <f ca="1"/>
        <v>0.39877104377104378</v>
      </c>
      <c r="Y1253" s="11">
        <v>0</v>
      </c>
      <c r="Z1253" s="11">
        <f ca="1"/>
        <v>9.6912289562289544</v>
      </c>
      <c r="AA1253" s="11">
        <f ca="1"/>
        <v>4.8456144781144772</v>
      </c>
      <c r="AB1253" s="4">
        <f ca="1"/>
        <v>45752</v>
      </c>
      <c r="AC1253" s="4">
        <v>45752</v>
      </c>
      <c r="AD1253" s="9">
        <v>45762</v>
      </c>
      <c r="AE1253" s="9">
        <v>45763</v>
      </c>
      <c r="AF1253" s="4" t="str">
        <f t="shared" ca="1" si="82"/>
        <v>2025 04</v>
      </c>
      <c r="AG1253" s="8" t="str" cm="1">
        <f t="array" ref="AG1253">IFERROR(_xlfn.IFS('Banco de Dados'!#REF!="AG. COMPRA","Em processamento",'Banco de Dados'!#REF!="AG. RASTREIO","Em processamento",'Banco de Dados'!$AE1253&lt;&gt;"-","Faturado",'Banco de Dados'!$AD1253&lt;&gt;"-","Aguardando Pix",'Banco de Dados'!$AC1253&lt;&gt;"-","Pendente"),"Aguardando Liberação")</f>
        <v>Aguardando Liberação</v>
      </c>
      <c r="AH1253" s="5" t="str">
        <f>IF('Banco de Dados'!$F1253="-",_xlfn.CONCAT(PROPER(TEXT(AK1253,"aaaa"))," ",PROPER(TEXT(AK1253,"mm"))),_xlfn.CONCAT(PROPER(TEXT(E1253,"aaaa"))," ",PROPER(TEXT(E1253,"mm"))))</f>
        <v>2025 03</v>
      </c>
      <c r="AI1253" s="9" t="str">
        <f ca="1">IF('Banco de Dados'!$AK1253&lt;&gt;"-","REEMBOLSO",IFERROR(_xlfn.XLOOKUP(G1253,Follow[CODRASTREIO],Follow[STATUS]),"-"))</f>
        <v>ENTREGUE</v>
      </c>
      <c r="AJ1253" s="9">
        <f ca="1">IF('Banco de Dados'!$AI1253="ENTREGUE",_xlfn.XLOOKUP('Banco de Dados'!$G1253,Follow[CODRASTREIO],Follow[DATAATUALIZAÇÃO]),"-")</f>
        <v>45741</v>
      </c>
      <c r="AK1253" s="132" t="str">
        <f ca="1"/>
        <v>-</v>
      </c>
      <c r="AL1253" s="35"/>
      <c r="AM1253" s="109" cm="1">
        <f t="array" aca="1" ref="AM1253" ca="1">IF('Banco de Dados'!$AK1253&lt;&gt;"-",_xlfn.IFS('Banco de Dados'!$A1253="bv",IF('Banco de Dados'!$E1253&lt;45641,ROUND(SUM('Banco de Dados'!$R1253*_xlfn.XLOOKUP('Banco de Dados'!$P1253,Sku!B:B,Sku!#REF!)*20%),2),ROUND(SUM('Banco de Dados'!$R1253*_xlfn.XLOOKUP('Banco de Dados'!$P1253,Sku!B:B,Sku!H:H)*20%),2)),'Banco de Dados'!$A1253="GO",ROUND(_xlfn.XLOOKUP('Banco de Dados'!$P1253,Sku!C:C,Sku!H:H),2),'Banco de Dados'!$A1253="MEI",ROUND(_xlfn.XLOOKUP('Banco de Dados'!$P1253,Sku!D:D,Sku!H:H),2)),0)</f>
        <v>0</v>
      </c>
      <c r="AN1253" s="109">
        <f ca="1">IF('Banco de Dados'!$AK1253&lt;&gt;"-",IF('Banco de Dados'!$F1253&lt;&gt;"-",_xlfn.XLOOKUP(IFERROR(IFERROR(IFERROR(VALUE(SUBSTITUTE(MID(_xlfn.TEXTAFTER('Banco de Dados'!$F1253,"Data do Pedido:
",1),1,10),"-","/")),VALUE(SUBSTITUTE(MID(_xlfn.TEXTAFTER('Banco de Dados'!$F1253,"Order date:
",1),1,10),"-","/"))),VALUE(SUBSTITUTE(MID(_xlfn.TEXTAFTER('Banco de Dados'!$F1253,"Fecha de pedido:
",1),1,10),"-","/"))),"-"),SMS!A:A,SMS!K:K),0),0)</f>
        <v>0</v>
      </c>
      <c r="AO1253" s="109">
        <f ca="1">IF('Banco de Dados'!$AK1253&lt;&gt;"-",IF('Banco de Dados'!$F1253&lt;&gt;"-",IFERROR(_xlfn.XLOOKUP(_xlfn.CONCAT('Banco de Dados'!$A1253,IFERROR(IFERROR(VALUE(SUBSTITUTE(MID(_xlfn.TEXTAFTER('Banco de Dados'!$F1253,"Data do Pedido:
",1),1,10),"-","/")),VALUE(SUBSTITUTE(MID(_xlfn.TEXTAFTER('Banco de Dados'!$F1253,"Order date:
",1),1,10),"-","/"))),0)),ProxyDD[Chave],ProxyDD[Valor por pedido]),PROXY!$P$2),0),0)</f>
        <v>0</v>
      </c>
      <c r="AP1253" s="28">
        <f ca="1">IF('Banco de Dados'!$AK1253&lt;&gt;"-",IF('Banco de Dados'!$AL1253="NÃO",IFERROR(VALUE(SUBSTITUTE(_xlfn.TEXTAFTER('Banco de Dados'!$F1253,"BRL ",1),".",",")),0),0),0)</f>
        <v>0</v>
      </c>
      <c r="AQ1253" s="28">
        <f ca="1">SUM('Banco de Dados'!$AM1253:$AP1253)</f>
        <v>0</v>
      </c>
      <c r="AR1253" s="8"/>
      <c r="AY1253" s="8"/>
    </row>
    <row r="1254" spans="1:51">
      <c r="A1254" s="5" t="str">
        <v>BV</v>
      </c>
      <c r="B1254" s="5" t="str">
        <f ca="1"/>
        <v>BV45734</v>
      </c>
      <c r="C1254" s="8" t="str">
        <v>Pedido 1241</v>
      </c>
      <c r="D1254" s="9">
        <v>45733</v>
      </c>
      <c r="E1254" s="9">
        <v>45734</v>
      </c>
      <c r="F1254" s="8" t="str">
        <v>PedidoF1196</v>
      </c>
      <c r="G1254" s="2" t="str">
        <v>CódRastreio1194</v>
      </c>
      <c r="H1254" s="5">
        <v>1</v>
      </c>
      <c r="I1254" s="2" t="str">
        <v>CPF 1207</v>
      </c>
      <c r="J1254" s="2" t="str">
        <v>Nome 1207</v>
      </c>
      <c r="K1254" s="8" t="str">
        <v>Tel 1207</v>
      </c>
      <c r="L1254" s="8" t="str">
        <v>Cep 1207</v>
      </c>
      <c r="M1254" s="8" t="str">
        <v>Rua 1207</v>
      </c>
      <c r="N1254" s="8" t="str">
        <v>Comp 1207</v>
      </c>
      <c r="O1254" s="8" t="str">
        <v>Ventilador Umidificador Preto</v>
      </c>
      <c r="P1254" s="8" t="str">
        <v>HF-SI0F-XC7S</v>
      </c>
      <c r="Q1254" s="4">
        <v>45757</v>
      </c>
      <c r="R1254" s="109">
        <v>44.9</v>
      </c>
      <c r="S1254" s="11">
        <f ca="1"/>
        <v>0</v>
      </c>
      <c r="T1254" s="28">
        <f ca="1"/>
        <v>0</v>
      </c>
      <c r="U1254" s="11">
        <f ca="1"/>
        <v>0</v>
      </c>
      <c r="V1254" s="11">
        <v>0</v>
      </c>
      <c r="W1254" s="11">
        <f ca="1"/>
        <v>0</v>
      </c>
      <c r="X1254" s="11">
        <f ca="1"/>
        <v>0.39877104377104378</v>
      </c>
      <c r="Y1254" s="11">
        <v>0</v>
      </c>
      <c r="Z1254" s="11">
        <f ca="1"/>
        <v>-0.39877104377104378</v>
      </c>
      <c r="AA1254" s="11">
        <f ca="1"/>
        <v>-0.19938552188552189</v>
      </c>
      <c r="AB1254" s="4">
        <f ca="1"/>
        <v>45764</v>
      </c>
      <c r="AC1254" s="4">
        <v>45764</v>
      </c>
      <c r="AD1254" s="9">
        <v>45779</v>
      </c>
      <c r="AE1254" s="9">
        <v>45783</v>
      </c>
      <c r="AF1254" s="4" t="str">
        <f t="shared" ca="1" si="82"/>
        <v>2025 04</v>
      </c>
      <c r="AG1254" s="8" t="str" cm="1">
        <f t="array" ref="AG1254">IFERROR(_xlfn.IFS('Banco de Dados'!#REF!="AG. COMPRA","Em processamento",'Banco de Dados'!#REF!="AG. RASTREIO","Em processamento",'Banco de Dados'!$AE1254&lt;&gt;"-","Faturado",'Banco de Dados'!$AD1254&lt;&gt;"-","Aguardando Pix",'Banco de Dados'!$AC1254&lt;&gt;"-","Pendente"),"Aguardando Liberação")</f>
        <v>Aguardando Liberação</v>
      </c>
      <c r="AH1254" s="5" t="str">
        <f>IF('Banco de Dados'!$F1254="-",_xlfn.CONCAT(PROPER(TEXT(AK1254,"aaaa"))," ",PROPER(TEXT(AK1254,"mm"))),_xlfn.CONCAT(PROPER(TEXT(E1254,"aaaa"))," ",PROPER(TEXT(E1254,"mm"))))</f>
        <v>2025 03</v>
      </c>
      <c r="AI1254" s="9" t="str">
        <f ca="1">IF('Banco de Dados'!$AK1254&lt;&gt;"-","REEMBOLSO",IFERROR(_xlfn.XLOOKUP(G1254,Follow[CODRASTREIO],Follow[STATUS]),"-"))</f>
        <v>REEMBOLSO</v>
      </c>
      <c r="AJ1254" s="9" t="str">
        <f ca="1">IF('Banco de Dados'!$AI1254="ENTREGUE",_xlfn.XLOOKUP('Banco de Dados'!$G1254,Follow[CODRASTREIO],Follow[DATAATUALIZAÇÃO]),"-")</f>
        <v>-</v>
      </c>
      <c r="AK1254" s="132">
        <f ca="1"/>
        <v>45783</v>
      </c>
      <c r="AL1254" s="35"/>
      <c r="AM1254" s="109" cm="1">
        <f t="array" aca="1" ref="AM1254" ca="1">IF('Banco de Dados'!$AK1254&lt;&gt;"-",_xlfn.IFS('Banco de Dados'!$A1254="bv",IF('Banco de Dados'!$E1254&lt;45641,ROUND(SUM('Banco de Dados'!$R1254*_xlfn.XLOOKUP('Banco de Dados'!$P1254,Sku!B:B,Sku!#REF!)*20%),2),ROUND(SUM('Banco de Dados'!$R1254*_xlfn.XLOOKUP('Banco de Dados'!$P1254,Sku!B:B,Sku!H:H)*20%),2)),'Banco de Dados'!$A1254="GO",ROUND(_xlfn.XLOOKUP('Banco de Dados'!$P1254,Sku!C:C,Sku!H:H),2),'Banco de Dados'!$A1254="MEI",ROUND(_xlfn.XLOOKUP('Banco de Dados'!$P1254,Sku!D:D,Sku!H:H),2)),0)</f>
        <v>1.26</v>
      </c>
      <c r="AN1254" s="109" t="e">
        <f ca="1">IF('Banco de Dados'!$AK1254&lt;&gt;"-",IF('Banco de Dados'!$F1254&lt;&gt;"-",_xlfn.XLOOKUP(IFERROR(IFERROR(IFERROR(VALUE(SUBSTITUTE(MID(_xlfn.TEXTAFTER('Banco de Dados'!$F1254,"Data do Pedido:
",1),1,10),"-","/")),VALUE(SUBSTITUTE(MID(_xlfn.TEXTAFTER('Banco de Dados'!$F1254,"Order date:
",1),1,10),"-","/"))),VALUE(SUBSTITUTE(MID(_xlfn.TEXTAFTER('Banco de Dados'!$F1254,"Fecha de pedido:
",1),1,10),"-","/"))),"-"),SMS!A:A,SMS!K:K),0),0)</f>
        <v>#N/A</v>
      </c>
      <c r="AO1254" s="109">
        <f ca="1">IF('Banco de Dados'!$AK1254&lt;&gt;"-",IF('Banco de Dados'!$F1254&lt;&gt;"-",IFERROR(_xlfn.XLOOKUP(_xlfn.CONCAT('Banco de Dados'!$A1254,IFERROR(IFERROR(VALUE(SUBSTITUTE(MID(_xlfn.TEXTAFTER('Banco de Dados'!$F1254,"Data do Pedido:
",1),1,10),"-","/")),VALUE(SUBSTITUTE(MID(_xlfn.TEXTAFTER('Banco de Dados'!$F1254,"Order date:
",1),1,10),"-","/"))),0)),ProxyDD[Chave],ProxyDD[Valor por pedido]),PROXY!$P$2),0),0)</f>
        <v>0.39877104377104378</v>
      </c>
      <c r="AP1254" s="28">
        <f ca="1">IF('Banco de Dados'!$AK1254&lt;&gt;"-",IF('Banco de Dados'!$AL1254="NÃO",IFERROR(VALUE(SUBSTITUTE(_xlfn.TEXTAFTER('Banco de Dados'!$F1254,"BRL ",1),".",",")),0),0),0)</f>
        <v>0</v>
      </c>
      <c r="AQ1254" s="28" t="e">
        <f ca="1">SUM('Banco de Dados'!$AM1254:$AP1254)</f>
        <v>#N/A</v>
      </c>
      <c r="AR1254" s="8"/>
      <c r="AY1254" s="8"/>
    </row>
    <row r="1255" spans="1:51">
      <c r="A1255" s="5" t="str">
        <v>BV</v>
      </c>
      <c r="B1255" s="5" t="str">
        <f ca="1"/>
        <v>BV45734</v>
      </c>
      <c r="C1255" s="8" t="str">
        <v>Pedido 1242</v>
      </c>
      <c r="D1255" s="9">
        <v>45733</v>
      </c>
      <c r="E1255" s="9">
        <v>45734</v>
      </c>
      <c r="F1255" s="8" t="str">
        <v>PedidoF1197</v>
      </c>
      <c r="G1255" s="2" t="str">
        <v>CódRastreio1195</v>
      </c>
      <c r="H1255" s="5">
        <v>1</v>
      </c>
      <c r="I1255" s="2" t="str">
        <v>CPF 1208</v>
      </c>
      <c r="J1255" s="2" t="str">
        <v>Nome 1208</v>
      </c>
      <c r="K1255" s="8" t="str">
        <v>Tel 1208</v>
      </c>
      <c r="L1255" s="8" t="str">
        <v>Cep 1208</v>
      </c>
      <c r="M1255" s="8" t="str">
        <v>Rua 1208</v>
      </c>
      <c r="N1255" s="8" t="str">
        <v>Comp 1208</v>
      </c>
      <c r="O1255" s="8" t="str">
        <v>Ventilador Umidificador Preto</v>
      </c>
      <c r="P1255" s="8" t="str">
        <v>HF-SI0F-XC7S</v>
      </c>
      <c r="Q1255" s="4">
        <v>45757</v>
      </c>
      <c r="R1255" s="109">
        <v>44.9</v>
      </c>
      <c r="S1255" s="11">
        <f ca="1"/>
        <v>44.9</v>
      </c>
      <c r="T1255" s="28">
        <f ca="1"/>
        <v>6.2860000000000005</v>
      </c>
      <c r="U1255" s="11">
        <f ca="1"/>
        <v>38.61</v>
      </c>
      <c r="V1255" s="11">
        <v>19.14</v>
      </c>
      <c r="W1255" s="11">
        <f ca="1"/>
        <v>1.1499999999999999</v>
      </c>
      <c r="X1255" s="11">
        <f ca="1"/>
        <v>0.39877104377104378</v>
      </c>
      <c r="Y1255" s="11">
        <v>0</v>
      </c>
      <c r="Z1255" s="11">
        <f ca="1"/>
        <v>17.921228956228955</v>
      </c>
      <c r="AA1255" s="11">
        <f ca="1"/>
        <v>8.9606144781144774</v>
      </c>
      <c r="AB1255" s="4">
        <f ca="1"/>
        <v>45764</v>
      </c>
      <c r="AC1255" s="4">
        <v>45764</v>
      </c>
      <c r="AD1255" s="9">
        <v>45779</v>
      </c>
      <c r="AE1255" s="9">
        <v>45783</v>
      </c>
      <c r="AF1255" s="4" t="str">
        <f t="shared" ca="1" si="82"/>
        <v>2025 04</v>
      </c>
      <c r="AG1255" s="8" t="str" cm="1">
        <f t="array" ref="AG1255">IFERROR(_xlfn.IFS('Banco de Dados'!#REF!="AG. COMPRA","Em processamento",'Banco de Dados'!#REF!="AG. RASTREIO","Em processamento",'Banco de Dados'!$AE1255&lt;&gt;"-","Faturado",'Banco de Dados'!$AD1255&lt;&gt;"-","Aguardando Pix",'Banco de Dados'!$AC1255&lt;&gt;"-","Pendente"),"Aguardando Liberação")</f>
        <v>Aguardando Liberação</v>
      </c>
      <c r="AH1255" s="5" t="str">
        <f>IF('Banco de Dados'!$F1255="-",_xlfn.CONCAT(PROPER(TEXT(AK1255,"aaaa"))," ",PROPER(TEXT(AK1255,"mm"))),_xlfn.CONCAT(PROPER(TEXT(E1255,"aaaa"))," ",PROPER(TEXT(E1255,"mm"))))</f>
        <v>2025 03</v>
      </c>
      <c r="AI1255" s="9" t="str">
        <f ca="1">IF('Banco de Dados'!$AK1255&lt;&gt;"-","REEMBOLSO",IFERROR(_xlfn.XLOOKUP(G1255,Follow[CODRASTREIO],Follow[STATUS]),"-"))</f>
        <v>ENTREGUE</v>
      </c>
      <c r="AJ1255" s="9">
        <f ca="1">IF('Banco de Dados'!$AI1255="ENTREGUE",_xlfn.XLOOKUP('Banco de Dados'!$G1255,Follow[CODRASTREIO],Follow[DATAATUALIZAÇÃO]),"-")</f>
        <v>45747</v>
      </c>
      <c r="AK1255" s="132" t="str">
        <f ca="1"/>
        <v>-</v>
      </c>
      <c r="AL1255" s="35"/>
      <c r="AM1255" s="109" cm="1">
        <f t="array" aca="1" ref="AM1255" ca="1">IF('Banco de Dados'!$AK1255&lt;&gt;"-",_xlfn.IFS('Banco de Dados'!$A1255="bv",IF('Banco de Dados'!$E1255&lt;45641,ROUND(SUM('Banco de Dados'!$R1255*_xlfn.XLOOKUP('Banco de Dados'!$P1255,Sku!B:B,Sku!#REF!)*20%),2),ROUND(SUM('Banco de Dados'!$R1255*_xlfn.XLOOKUP('Banco de Dados'!$P1255,Sku!B:B,Sku!H:H)*20%),2)),'Banco de Dados'!$A1255="GO",ROUND(_xlfn.XLOOKUP('Banco de Dados'!$P1255,Sku!C:C,Sku!H:H),2),'Banco de Dados'!$A1255="MEI",ROUND(_xlfn.XLOOKUP('Banco de Dados'!$P1255,Sku!D:D,Sku!H:H),2)),0)</f>
        <v>0</v>
      </c>
      <c r="AN1255" s="109">
        <f ca="1">IF('Banco de Dados'!$AK1255&lt;&gt;"-",IF('Banco de Dados'!$F1255&lt;&gt;"-",_xlfn.XLOOKUP(IFERROR(IFERROR(IFERROR(VALUE(SUBSTITUTE(MID(_xlfn.TEXTAFTER('Banco de Dados'!$F1255,"Data do Pedido:
",1),1,10),"-","/")),VALUE(SUBSTITUTE(MID(_xlfn.TEXTAFTER('Banco de Dados'!$F1255,"Order date:
",1),1,10),"-","/"))),VALUE(SUBSTITUTE(MID(_xlfn.TEXTAFTER('Banco de Dados'!$F1255,"Fecha de pedido:
",1),1,10),"-","/"))),"-"),SMS!A:A,SMS!K:K),0),0)</f>
        <v>0</v>
      </c>
      <c r="AO1255" s="109">
        <f ca="1">IF('Banco de Dados'!$AK1255&lt;&gt;"-",IF('Banco de Dados'!$F1255&lt;&gt;"-",IFERROR(_xlfn.XLOOKUP(_xlfn.CONCAT('Banco de Dados'!$A1255,IFERROR(IFERROR(VALUE(SUBSTITUTE(MID(_xlfn.TEXTAFTER('Banco de Dados'!$F1255,"Data do Pedido:
",1),1,10),"-","/")),VALUE(SUBSTITUTE(MID(_xlfn.TEXTAFTER('Banco de Dados'!$F1255,"Order date:
",1),1,10),"-","/"))),0)),ProxyDD[Chave],ProxyDD[Valor por pedido]),PROXY!$P$2),0),0)</f>
        <v>0</v>
      </c>
      <c r="AP1255" s="28">
        <f ca="1">IF('Banco de Dados'!$AK1255&lt;&gt;"-",IF('Banco de Dados'!$AL1255="NÃO",IFERROR(VALUE(SUBSTITUTE(_xlfn.TEXTAFTER('Banco de Dados'!$F1255,"BRL ",1),".",",")),0),0),0)</f>
        <v>0</v>
      </c>
      <c r="AQ1255" s="28">
        <f ca="1">SUM('Banco de Dados'!$AM1255:$AP1255)</f>
        <v>0</v>
      </c>
      <c r="AR1255" s="8"/>
      <c r="AY1255" s="8"/>
    </row>
    <row r="1256" spans="1:51">
      <c r="A1256" s="5" t="str">
        <v>BV</v>
      </c>
      <c r="B1256" s="5" t="str">
        <f ca="1"/>
        <v>BV45736</v>
      </c>
      <c r="C1256" s="8" t="str">
        <v>Pedido 1243</v>
      </c>
      <c r="D1256" s="9">
        <v>45733</v>
      </c>
      <c r="E1256" s="9">
        <v>45736</v>
      </c>
      <c r="F1256" s="8" t="str">
        <v>PedidoF1198</v>
      </c>
      <c r="G1256" s="2" t="str">
        <v>CódRastreio1196</v>
      </c>
      <c r="H1256" s="5">
        <v>1</v>
      </c>
      <c r="I1256" s="2" t="str">
        <v>CPF 1209</v>
      </c>
      <c r="J1256" s="2" t="str">
        <v>Nome 1209</v>
      </c>
      <c r="K1256" s="8" t="str">
        <v>Tel 1209</v>
      </c>
      <c r="L1256" s="8" t="str">
        <v>Cep 1209</v>
      </c>
      <c r="M1256" s="8" t="str">
        <v>Rua 1209</v>
      </c>
      <c r="N1256" s="8" t="str">
        <v>Comp 1209</v>
      </c>
      <c r="O1256" s="8" t="str">
        <v>Balança</v>
      </c>
      <c r="P1256" s="8" t="str">
        <v>P4-K63S-8KOM</v>
      </c>
      <c r="Q1256" s="4">
        <v>45751</v>
      </c>
      <c r="R1256" s="109">
        <v>28.99</v>
      </c>
      <c r="S1256" s="11">
        <f ca="1"/>
        <v>28.99</v>
      </c>
      <c r="T1256" s="28">
        <f ca="1"/>
        <v>3.7686999999999999</v>
      </c>
      <c r="U1256" s="11">
        <f ca="1"/>
        <v>25.22</v>
      </c>
      <c r="V1256" s="11">
        <v>14.8</v>
      </c>
      <c r="W1256" s="11">
        <f ca="1"/>
        <v>0.33</v>
      </c>
      <c r="X1256" s="11">
        <f ca="1"/>
        <v>0.39877104377104378</v>
      </c>
      <c r="Y1256" s="11">
        <v>0</v>
      </c>
      <c r="Z1256" s="11">
        <f ca="1"/>
        <v>9.6912289562289544</v>
      </c>
      <c r="AA1256" s="11">
        <f ca="1"/>
        <v>4.8456144781144772</v>
      </c>
      <c r="AB1256" s="4">
        <f ca="1"/>
        <v>45758</v>
      </c>
      <c r="AC1256" s="4">
        <v>45758</v>
      </c>
      <c r="AD1256" s="9">
        <v>45762</v>
      </c>
      <c r="AE1256" s="9">
        <v>45763</v>
      </c>
      <c r="AF1256" s="4" t="str">
        <f t="shared" ca="1" si="82"/>
        <v>2025 04</v>
      </c>
      <c r="AG1256" s="8" t="str" cm="1">
        <f t="array" ref="AG1256">IFERROR(_xlfn.IFS('Banco de Dados'!#REF!="AG. COMPRA","Em processamento",'Banco de Dados'!#REF!="AG. RASTREIO","Em processamento",'Banco de Dados'!$AE1256&lt;&gt;"-","Faturado",'Banco de Dados'!$AD1256&lt;&gt;"-","Aguardando Pix",'Banco de Dados'!$AC1256&lt;&gt;"-","Pendente"),"Aguardando Liberação")</f>
        <v>Aguardando Liberação</v>
      </c>
      <c r="AH1256" s="5" t="str">
        <f>IF('Banco de Dados'!$F1256="-",_xlfn.CONCAT(PROPER(TEXT(AK1256,"aaaa"))," ",PROPER(TEXT(AK1256,"mm"))),_xlfn.CONCAT(PROPER(TEXT(E1256,"aaaa"))," ",PROPER(TEXT(E1256,"mm"))))</f>
        <v>2025 03</v>
      </c>
      <c r="AI1256" s="9" t="str">
        <f ca="1">IF('Banco de Dados'!$AK1256&lt;&gt;"-","REEMBOLSO",IFERROR(_xlfn.XLOOKUP(G1256,Follow[CODRASTREIO],Follow[STATUS]),"-"))</f>
        <v>ENTREGUE</v>
      </c>
      <c r="AJ1256" s="9">
        <f ca="1">IF('Banco de Dados'!$AI1256="ENTREGUE",_xlfn.XLOOKUP('Banco de Dados'!$G1256,Follow[CODRASTREIO],Follow[DATAATUALIZAÇÃO]),"-")</f>
        <v>45743</v>
      </c>
      <c r="AK1256" s="132" t="str">
        <f ca="1"/>
        <v>-</v>
      </c>
      <c r="AL1256" s="35"/>
      <c r="AM1256" s="109" cm="1">
        <f t="array" aca="1" ref="AM1256" ca="1">IF('Banco de Dados'!$AK1256&lt;&gt;"-",_xlfn.IFS('Banco de Dados'!$A1256="bv",IF('Banco de Dados'!$E1256&lt;45641,ROUND(SUM('Banco de Dados'!$R1256*_xlfn.XLOOKUP('Banco de Dados'!$P1256,Sku!B:B,Sku!#REF!)*20%),2),ROUND(SUM('Banco de Dados'!$R1256*_xlfn.XLOOKUP('Banco de Dados'!$P1256,Sku!B:B,Sku!H:H)*20%),2)),'Banco de Dados'!$A1256="GO",ROUND(_xlfn.XLOOKUP('Banco de Dados'!$P1256,Sku!C:C,Sku!H:H),2),'Banco de Dados'!$A1256="MEI",ROUND(_xlfn.XLOOKUP('Banco de Dados'!$P1256,Sku!D:D,Sku!H:H),2)),0)</f>
        <v>0</v>
      </c>
      <c r="AN1256" s="109">
        <f ca="1">IF('Banco de Dados'!$AK1256&lt;&gt;"-",IF('Banco de Dados'!$F1256&lt;&gt;"-",_xlfn.XLOOKUP(IFERROR(IFERROR(IFERROR(VALUE(SUBSTITUTE(MID(_xlfn.TEXTAFTER('Banco de Dados'!$F1256,"Data do Pedido:
",1),1,10),"-","/")),VALUE(SUBSTITUTE(MID(_xlfn.TEXTAFTER('Banco de Dados'!$F1256,"Order date:
",1),1,10),"-","/"))),VALUE(SUBSTITUTE(MID(_xlfn.TEXTAFTER('Banco de Dados'!$F1256,"Fecha de pedido:
",1),1,10),"-","/"))),"-"),SMS!A:A,SMS!K:K),0),0)</f>
        <v>0</v>
      </c>
      <c r="AO1256" s="109">
        <f ca="1">IF('Banco de Dados'!$AK1256&lt;&gt;"-",IF('Banco de Dados'!$F1256&lt;&gt;"-",IFERROR(_xlfn.XLOOKUP(_xlfn.CONCAT('Banco de Dados'!$A1256,IFERROR(IFERROR(VALUE(SUBSTITUTE(MID(_xlfn.TEXTAFTER('Banco de Dados'!$F1256,"Data do Pedido:
",1),1,10),"-","/")),VALUE(SUBSTITUTE(MID(_xlfn.TEXTAFTER('Banco de Dados'!$F1256,"Order date:
",1),1,10),"-","/"))),0)),ProxyDD[Chave],ProxyDD[Valor por pedido]),PROXY!$P$2),0),0)</f>
        <v>0</v>
      </c>
      <c r="AP1256" s="28">
        <f ca="1">IF('Banco de Dados'!$AK1256&lt;&gt;"-",IF('Banco de Dados'!$AL1256="NÃO",IFERROR(VALUE(SUBSTITUTE(_xlfn.TEXTAFTER('Banco de Dados'!$F1256,"BRL ",1),".",",")),0),0),0)</f>
        <v>0</v>
      </c>
      <c r="AQ1256" s="28">
        <f ca="1">SUM('Banco de Dados'!$AM1256:$AP1256)</f>
        <v>0</v>
      </c>
      <c r="AR1256" s="8"/>
      <c r="AY1256" s="8"/>
    </row>
    <row r="1257" spans="1:51">
      <c r="A1257" s="5" t="str">
        <v>BV</v>
      </c>
      <c r="B1257" s="5" t="str">
        <f ca="1"/>
        <v>BV-</v>
      </c>
      <c r="C1257" s="8" t="str">
        <v>Pedido 1244</v>
      </c>
      <c r="D1257" s="9">
        <v>45733</v>
      </c>
      <c r="E1257" s="9" t="str">
        <v>-</v>
      </c>
      <c r="F1257" s="8" t="str">
        <v>-</v>
      </c>
      <c r="G1257" s="2" t="str">
        <v>-</v>
      </c>
      <c r="H1257" s="5">
        <v>1</v>
      </c>
      <c r="I1257" s="2" t="str">
        <v>CPF 1210</v>
      </c>
      <c r="J1257" s="2" t="str">
        <v>Nome 1210</v>
      </c>
      <c r="K1257" s="8" t="str">
        <v>Tel 1210</v>
      </c>
      <c r="L1257" s="8" t="str">
        <v>Cep 1210</v>
      </c>
      <c r="M1257" s="8" t="str">
        <v>Rua 1210</v>
      </c>
      <c r="N1257" s="8" t="str">
        <v>Comp 1210</v>
      </c>
      <c r="O1257" s="8" t="str">
        <v>Suporte de Celular Branco</v>
      </c>
      <c r="P1257" s="8" t="str">
        <v>16-4EDB-WMZF</v>
      </c>
      <c r="Q1257" s="4">
        <v>45758</v>
      </c>
      <c r="R1257" s="109">
        <v>19.989999999999998</v>
      </c>
      <c r="S1257" s="11">
        <f ca="1"/>
        <v>0</v>
      </c>
      <c r="T1257" s="28">
        <f ca="1"/>
        <v>0</v>
      </c>
      <c r="U1257" s="11">
        <f ca="1"/>
        <v>0</v>
      </c>
      <c r="V1257" s="11">
        <v>0</v>
      </c>
      <c r="W1257" s="11">
        <f ca="1"/>
        <v>0</v>
      </c>
      <c r="X1257" s="11">
        <f ca="1"/>
        <v>0</v>
      </c>
      <c r="Y1257" s="11">
        <v>0</v>
      </c>
      <c r="Z1257" s="11">
        <f ca="1"/>
        <v>0</v>
      </c>
      <c r="AA1257" s="11">
        <f ca="1"/>
        <v>0</v>
      </c>
      <c r="AB1257" s="4">
        <f ca="1"/>
        <v>45765</v>
      </c>
      <c r="AC1257" s="4">
        <v>45765</v>
      </c>
      <c r="AD1257" s="9">
        <v>45779</v>
      </c>
      <c r="AE1257" s="9">
        <v>45783</v>
      </c>
      <c r="AF1257" s="4" t="str">
        <f t="shared" ca="1" si="82"/>
        <v>2025 04</v>
      </c>
      <c r="AG1257" s="8" t="str" cm="1">
        <f t="array" ref="AG1257">IFERROR(_xlfn.IFS('Banco de Dados'!#REF!="AG. COMPRA","Em processamento",'Banco de Dados'!#REF!="AG. RASTREIO","Em processamento",'Banco de Dados'!$AE1257&lt;&gt;"-","Faturado",'Banco de Dados'!$AD1257&lt;&gt;"-","Aguardando Pix",'Banco de Dados'!$AC1257&lt;&gt;"-","Pendente"),"Aguardando Liberação")</f>
        <v>Aguardando Liberação</v>
      </c>
      <c r="AH1257" s="5" t="str">
        <f ca="1">IF('Banco de Dados'!$F1257="-",_xlfn.CONCAT(PROPER(TEXT(AK1257,"aaaa"))," ",PROPER(TEXT(AK1257,"mm"))),_xlfn.CONCAT(PROPER(TEXT(E1257,"aaaa"))," ",PROPER(TEXT(E1257,"mm"))))</f>
        <v>2025 04</v>
      </c>
      <c r="AI1257" s="9" t="str">
        <f ca="1">IF('Banco de Dados'!$AK1257&lt;&gt;"-","REEMBOLSO",IFERROR(_xlfn.XLOOKUP(G1257,Follow[CODRASTREIO],Follow[STATUS]),"-"))</f>
        <v>REEMBOLSO</v>
      </c>
      <c r="AJ1257" s="9" t="str">
        <f ca="1">IF('Banco de Dados'!$AI1257="ENTREGUE",_xlfn.XLOOKUP('Banco de Dados'!$G1257,Follow[CODRASTREIO],Follow[DATAATUALIZAÇÃO]),"-")</f>
        <v>-</v>
      </c>
      <c r="AK1257" s="132">
        <f ca="1"/>
        <v>45750</v>
      </c>
      <c r="AL1257" s="35"/>
      <c r="AM1257" s="109" cm="1">
        <f t="array" aca="1" ref="AM1257" ca="1">IF('Banco de Dados'!$AK1257&lt;&gt;"-",_xlfn.IFS('Banco de Dados'!$A1257="bv",IF('Banco de Dados'!$E1257&lt;45641,ROUND(SUM('Banco de Dados'!$R1257*_xlfn.XLOOKUP('Banco de Dados'!$P1257,Sku!B:B,Sku!#REF!)*20%),2),ROUND(SUM('Banco de Dados'!$R1257*_xlfn.XLOOKUP('Banco de Dados'!$P1257,Sku!B:B,Sku!H:H)*20%),2)),'Banco de Dados'!$A1257="GO",ROUND(_xlfn.XLOOKUP('Banco de Dados'!$P1257,Sku!C:C,Sku!H:H),2),'Banco de Dados'!$A1257="MEI",ROUND(_xlfn.XLOOKUP('Banco de Dados'!$P1257,Sku!D:D,Sku!H:H),2)),0)</f>
        <v>0.6</v>
      </c>
      <c r="AN1257" s="109">
        <f ca="1">IF('Banco de Dados'!$AK1257&lt;&gt;"-",IF('Banco de Dados'!$F1257&lt;&gt;"-",_xlfn.XLOOKUP(IFERROR(IFERROR(IFERROR(VALUE(SUBSTITUTE(MID(_xlfn.TEXTAFTER('Banco de Dados'!$F1257,"Data do Pedido:
",1),1,10),"-","/")),VALUE(SUBSTITUTE(MID(_xlfn.TEXTAFTER('Banco de Dados'!$F1257,"Order date:
",1),1,10),"-","/"))),VALUE(SUBSTITUTE(MID(_xlfn.TEXTAFTER('Banco de Dados'!$F1257,"Fecha de pedido:
",1),1,10),"-","/"))),"-"),SMS!A:A,SMS!K:K),0),0)</f>
        <v>0</v>
      </c>
      <c r="AO1257" s="109">
        <f ca="1">IF('Banco de Dados'!$AK1257&lt;&gt;"-",IF('Banco de Dados'!$F1257&lt;&gt;"-",IFERROR(_xlfn.XLOOKUP(_xlfn.CONCAT('Banco de Dados'!$A1257,IFERROR(IFERROR(VALUE(SUBSTITUTE(MID(_xlfn.TEXTAFTER('Banco de Dados'!$F1257,"Data do Pedido:
",1),1,10),"-","/")),VALUE(SUBSTITUTE(MID(_xlfn.TEXTAFTER('Banco de Dados'!$F1257,"Order date:
",1),1,10),"-","/"))),0)),ProxyDD[Chave],ProxyDD[Valor por pedido]),PROXY!$P$2),0),0)</f>
        <v>0</v>
      </c>
      <c r="AP1257" s="28">
        <f ca="1">IF('Banco de Dados'!$AK1257&lt;&gt;"-",IF('Banco de Dados'!$AL1257="NÃO",IFERROR(VALUE(SUBSTITUTE(_xlfn.TEXTAFTER('Banco de Dados'!$F1257,"BRL ",1),".",",")),0),0),0)</f>
        <v>0</v>
      </c>
      <c r="AQ1257" s="28">
        <f ca="1">SUM('Banco de Dados'!$AM1257:$AP1257)</f>
        <v>0.6</v>
      </c>
      <c r="AR1257" s="8"/>
      <c r="AY1257" s="8"/>
    </row>
    <row r="1258" spans="1:51">
      <c r="A1258" s="5" t="str">
        <v>BV</v>
      </c>
      <c r="B1258" s="5" t="str">
        <f ca="1"/>
        <v>BV45736</v>
      </c>
      <c r="C1258" s="8" t="str">
        <v>Pedido 1245</v>
      </c>
      <c r="D1258" s="9">
        <v>45733</v>
      </c>
      <c r="E1258" s="9">
        <v>45736</v>
      </c>
      <c r="F1258" s="8" t="str">
        <v>PedidoF1199</v>
      </c>
      <c r="G1258" s="2" t="str">
        <v>CódRastreio1197</v>
      </c>
      <c r="H1258" s="5">
        <v>1</v>
      </c>
      <c r="I1258" s="2" t="str">
        <v>CPF 1211</v>
      </c>
      <c r="J1258" s="2" t="str">
        <v>Nome 1211</v>
      </c>
      <c r="K1258" s="8" t="str">
        <v>Tel 1211</v>
      </c>
      <c r="L1258" s="8" t="str">
        <v>Cep 1211</v>
      </c>
      <c r="M1258" s="8" t="str">
        <v>Rua 1211</v>
      </c>
      <c r="N1258" s="8" t="str">
        <v>Comp 1211</v>
      </c>
      <c r="O1258" s="8" t="str">
        <v>Balança</v>
      </c>
      <c r="P1258" s="8" t="str">
        <v>P4-K63S-8KOM</v>
      </c>
      <c r="Q1258" s="4">
        <v>45758</v>
      </c>
      <c r="R1258" s="109">
        <v>28.99</v>
      </c>
      <c r="S1258" s="11">
        <f ca="1"/>
        <v>28.99</v>
      </c>
      <c r="T1258" s="28">
        <f ca="1"/>
        <v>3.7686999999999999</v>
      </c>
      <c r="U1258" s="11">
        <f ca="1"/>
        <v>25.22</v>
      </c>
      <c r="V1258" s="11">
        <v>14.8</v>
      </c>
      <c r="W1258" s="11">
        <f ca="1"/>
        <v>0.33</v>
      </c>
      <c r="X1258" s="11">
        <f ca="1"/>
        <v>0.39877104377104378</v>
      </c>
      <c r="Y1258" s="11">
        <v>0</v>
      </c>
      <c r="Z1258" s="11">
        <f ca="1"/>
        <v>9.6912289562289544</v>
      </c>
      <c r="AA1258" s="11">
        <f ca="1"/>
        <v>4.8456144781144772</v>
      </c>
      <c r="AB1258" s="4">
        <f ca="1"/>
        <v>45765</v>
      </c>
      <c r="AC1258" s="4">
        <v>45765</v>
      </c>
      <c r="AD1258" s="9">
        <v>45779</v>
      </c>
      <c r="AE1258" s="9">
        <v>45783</v>
      </c>
      <c r="AF1258" s="4" t="str">
        <f t="shared" ca="1" si="82"/>
        <v>2025 04</v>
      </c>
      <c r="AG1258" s="8" t="str" cm="1">
        <f t="array" ref="AG1258">IFERROR(_xlfn.IFS('Banco de Dados'!#REF!="AG. COMPRA","Em processamento",'Banco de Dados'!#REF!="AG. RASTREIO","Em processamento",'Banco de Dados'!$AE1258&lt;&gt;"-","Faturado",'Banco de Dados'!$AD1258&lt;&gt;"-","Aguardando Pix",'Banco de Dados'!$AC1258&lt;&gt;"-","Pendente"),"Aguardando Liberação")</f>
        <v>Aguardando Liberação</v>
      </c>
      <c r="AH1258" s="5" t="str">
        <f>IF('Banco de Dados'!$F1258="-",_xlfn.CONCAT(PROPER(TEXT(AK1258,"aaaa"))," ",PROPER(TEXT(AK1258,"mm"))),_xlfn.CONCAT(PROPER(TEXT(E1258,"aaaa"))," ",PROPER(TEXT(E1258,"mm"))))</f>
        <v>2025 03</v>
      </c>
      <c r="AI1258" s="9" t="str">
        <f ca="1">IF('Banco de Dados'!$AK1258&lt;&gt;"-","REEMBOLSO",IFERROR(_xlfn.XLOOKUP(G1258,Follow[CODRASTREIO],Follow[STATUS]),"-"))</f>
        <v>ENTREGUE</v>
      </c>
      <c r="AJ1258" s="9">
        <f ca="1">IF('Banco de Dados'!$AI1258="ENTREGUE",_xlfn.XLOOKUP('Banco de Dados'!$G1258,Follow[CODRASTREIO],Follow[DATAATUALIZAÇÃO]),"-")</f>
        <v>45745</v>
      </c>
      <c r="AK1258" s="132" t="str">
        <f ca="1"/>
        <v>-</v>
      </c>
      <c r="AL1258" s="35"/>
      <c r="AM1258" s="109" cm="1">
        <f t="array" aca="1" ref="AM1258" ca="1">IF('Banco de Dados'!$AK1258&lt;&gt;"-",_xlfn.IFS('Banco de Dados'!$A1258="bv",IF('Banco de Dados'!$E1258&lt;45641,ROUND(SUM('Banco de Dados'!$R1258*_xlfn.XLOOKUP('Banco de Dados'!$P1258,Sku!B:B,Sku!#REF!)*20%),2),ROUND(SUM('Banco de Dados'!$R1258*_xlfn.XLOOKUP('Banco de Dados'!$P1258,Sku!B:B,Sku!H:H)*20%),2)),'Banco de Dados'!$A1258="GO",ROUND(_xlfn.XLOOKUP('Banco de Dados'!$P1258,Sku!C:C,Sku!H:H),2),'Banco de Dados'!$A1258="MEI",ROUND(_xlfn.XLOOKUP('Banco de Dados'!$P1258,Sku!D:D,Sku!H:H),2)),0)</f>
        <v>0</v>
      </c>
      <c r="AN1258" s="109">
        <f ca="1">IF('Banco de Dados'!$AK1258&lt;&gt;"-",IF('Banco de Dados'!$F1258&lt;&gt;"-",_xlfn.XLOOKUP(IFERROR(IFERROR(IFERROR(VALUE(SUBSTITUTE(MID(_xlfn.TEXTAFTER('Banco de Dados'!$F1258,"Data do Pedido:
",1),1,10),"-","/")),VALUE(SUBSTITUTE(MID(_xlfn.TEXTAFTER('Banco de Dados'!$F1258,"Order date:
",1),1,10),"-","/"))),VALUE(SUBSTITUTE(MID(_xlfn.TEXTAFTER('Banco de Dados'!$F1258,"Fecha de pedido:
",1),1,10),"-","/"))),"-"),SMS!A:A,SMS!K:K),0),0)</f>
        <v>0</v>
      </c>
      <c r="AO1258" s="109">
        <f ca="1">IF('Banco de Dados'!$AK1258&lt;&gt;"-",IF('Banco de Dados'!$F1258&lt;&gt;"-",IFERROR(_xlfn.XLOOKUP(_xlfn.CONCAT('Banco de Dados'!$A1258,IFERROR(IFERROR(VALUE(SUBSTITUTE(MID(_xlfn.TEXTAFTER('Banco de Dados'!$F1258,"Data do Pedido:
",1),1,10),"-","/")),VALUE(SUBSTITUTE(MID(_xlfn.TEXTAFTER('Banco de Dados'!$F1258,"Order date:
",1),1,10),"-","/"))),0)),ProxyDD[Chave],ProxyDD[Valor por pedido]),PROXY!$P$2),0),0)</f>
        <v>0</v>
      </c>
      <c r="AP1258" s="28">
        <f ca="1">IF('Banco de Dados'!$AK1258&lt;&gt;"-",IF('Banco de Dados'!$AL1258="NÃO",IFERROR(VALUE(SUBSTITUTE(_xlfn.TEXTAFTER('Banco de Dados'!$F1258,"BRL ",1),".",",")),0),0),0)</f>
        <v>0</v>
      </c>
      <c r="AQ1258" s="28">
        <f ca="1">SUM('Banco de Dados'!$AM1258:$AP1258)</f>
        <v>0</v>
      </c>
      <c r="AR1258" s="8"/>
      <c r="AY1258" s="8"/>
    </row>
    <row r="1259" spans="1:51">
      <c r="A1259" s="5" t="str">
        <v>BV</v>
      </c>
      <c r="B1259" s="5" t="str">
        <f ca="1"/>
        <v>BV45736</v>
      </c>
      <c r="C1259" s="8" t="str">
        <v>Pedido 1246</v>
      </c>
      <c r="D1259" s="9">
        <v>45733</v>
      </c>
      <c r="E1259" s="9">
        <v>45736</v>
      </c>
      <c r="F1259" s="8" t="str">
        <v>PedidoF1200</v>
      </c>
      <c r="G1259" s="2" t="str">
        <v>CódRastreio1198</v>
      </c>
      <c r="H1259" s="5">
        <v>1</v>
      </c>
      <c r="I1259" s="2" t="str">
        <v>CPF 1212</v>
      </c>
      <c r="J1259" s="2" t="str">
        <v>Nome 1212</v>
      </c>
      <c r="K1259" s="8" t="str">
        <v>Tel 1212</v>
      </c>
      <c r="L1259" s="8" t="str">
        <v>Cep 1212</v>
      </c>
      <c r="M1259" s="8" t="str">
        <v>Rua 1212</v>
      </c>
      <c r="N1259" s="8" t="str">
        <v>Comp 1212</v>
      </c>
      <c r="O1259" s="8" t="str">
        <v>Balança</v>
      </c>
      <c r="P1259" s="8" t="str">
        <v>P4-K63S-8KOM</v>
      </c>
      <c r="Q1259" s="4">
        <v>45752</v>
      </c>
      <c r="R1259" s="109">
        <v>28.99</v>
      </c>
      <c r="S1259" s="11">
        <f ca="1"/>
        <v>28.99</v>
      </c>
      <c r="T1259" s="28">
        <f ca="1"/>
        <v>3.7686999999999999</v>
      </c>
      <c r="U1259" s="11">
        <f ca="1"/>
        <v>25.22</v>
      </c>
      <c r="V1259" s="11">
        <v>14.8</v>
      </c>
      <c r="W1259" s="11">
        <f ca="1"/>
        <v>0.33</v>
      </c>
      <c r="X1259" s="11">
        <f ca="1"/>
        <v>0.39877104377104378</v>
      </c>
      <c r="Y1259" s="11">
        <v>0</v>
      </c>
      <c r="Z1259" s="11">
        <f ca="1"/>
        <v>9.6912289562289544</v>
      </c>
      <c r="AA1259" s="11">
        <f ca="1"/>
        <v>4.8456144781144772</v>
      </c>
      <c r="AB1259" s="4">
        <f ca="1"/>
        <v>45759</v>
      </c>
      <c r="AC1259" s="4">
        <v>45759</v>
      </c>
      <c r="AD1259" s="9">
        <v>45762</v>
      </c>
      <c r="AE1259" s="9">
        <v>45763</v>
      </c>
      <c r="AF1259" s="4" t="str">
        <f t="shared" ca="1" si="82"/>
        <v>2025 04</v>
      </c>
      <c r="AG1259" s="8" t="str" cm="1">
        <f t="array" ref="AG1259">IFERROR(_xlfn.IFS('Banco de Dados'!#REF!="AG. COMPRA","Em processamento",'Banco de Dados'!#REF!="AG. RASTREIO","Em processamento",'Banco de Dados'!$AE1259&lt;&gt;"-","Faturado",'Banco de Dados'!$AD1259&lt;&gt;"-","Aguardando Pix",'Banco de Dados'!$AC1259&lt;&gt;"-","Pendente"),"Aguardando Liberação")</f>
        <v>Aguardando Liberação</v>
      </c>
      <c r="AH1259" s="5" t="str">
        <f>IF('Banco de Dados'!$F1259="-",_xlfn.CONCAT(PROPER(TEXT(AK1259,"aaaa"))," ",PROPER(TEXT(AK1259,"mm"))),_xlfn.CONCAT(PROPER(TEXT(E1259,"aaaa"))," ",PROPER(TEXT(E1259,"mm"))))</f>
        <v>2025 03</v>
      </c>
      <c r="AI1259" s="9" t="str">
        <f ca="1">IF('Banco de Dados'!$AK1259&lt;&gt;"-","REEMBOLSO",IFERROR(_xlfn.XLOOKUP(G1259,Follow[CODRASTREIO],Follow[STATUS]),"-"))</f>
        <v>ENTREGUE</v>
      </c>
      <c r="AJ1259" s="9">
        <f ca="1">IF('Banco de Dados'!$AI1259="ENTREGUE",_xlfn.XLOOKUP('Banco de Dados'!$G1259,Follow[CODRASTREIO],Follow[DATAATUALIZAÇÃO]),"-")</f>
        <v>45751</v>
      </c>
      <c r="AK1259" s="132" t="str">
        <f ca="1"/>
        <v>-</v>
      </c>
      <c r="AL1259" s="35"/>
      <c r="AM1259" s="109" cm="1">
        <f t="array" aca="1" ref="AM1259" ca="1">IF('Banco de Dados'!$AK1259&lt;&gt;"-",_xlfn.IFS('Banco de Dados'!$A1259="bv",IF('Banco de Dados'!$E1259&lt;45641,ROUND(SUM('Banco de Dados'!$R1259*_xlfn.XLOOKUP('Banco de Dados'!$P1259,Sku!B:B,Sku!#REF!)*20%),2),ROUND(SUM('Banco de Dados'!$R1259*_xlfn.XLOOKUP('Banco de Dados'!$P1259,Sku!B:B,Sku!H:H)*20%),2)),'Banco de Dados'!$A1259="GO",ROUND(_xlfn.XLOOKUP('Banco de Dados'!$P1259,Sku!C:C,Sku!H:H),2),'Banco de Dados'!$A1259="MEI",ROUND(_xlfn.XLOOKUP('Banco de Dados'!$P1259,Sku!D:D,Sku!H:H),2)),0)</f>
        <v>0</v>
      </c>
      <c r="AN1259" s="109">
        <f ca="1">IF('Banco de Dados'!$AK1259&lt;&gt;"-",IF('Banco de Dados'!$F1259&lt;&gt;"-",_xlfn.XLOOKUP(IFERROR(IFERROR(IFERROR(VALUE(SUBSTITUTE(MID(_xlfn.TEXTAFTER('Banco de Dados'!$F1259,"Data do Pedido:
",1),1,10),"-","/")),VALUE(SUBSTITUTE(MID(_xlfn.TEXTAFTER('Banco de Dados'!$F1259,"Order date:
",1),1,10),"-","/"))),VALUE(SUBSTITUTE(MID(_xlfn.TEXTAFTER('Banco de Dados'!$F1259,"Fecha de pedido:
",1),1,10),"-","/"))),"-"),SMS!A:A,SMS!K:K),0),0)</f>
        <v>0</v>
      </c>
      <c r="AO1259" s="109">
        <f ca="1">IF('Banco de Dados'!$AK1259&lt;&gt;"-",IF('Banco de Dados'!$F1259&lt;&gt;"-",IFERROR(_xlfn.XLOOKUP(_xlfn.CONCAT('Banco de Dados'!$A1259,IFERROR(IFERROR(VALUE(SUBSTITUTE(MID(_xlfn.TEXTAFTER('Banco de Dados'!$F1259,"Data do Pedido:
",1),1,10),"-","/")),VALUE(SUBSTITUTE(MID(_xlfn.TEXTAFTER('Banco de Dados'!$F1259,"Order date:
",1),1,10),"-","/"))),0)),ProxyDD[Chave],ProxyDD[Valor por pedido]),PROXY!$P$2),0),0)</f>
        <v>0</v>
      </c>
      <c r="AP1259" s="28">
        <f ca="1">IF('Banco de Dados'!$AK1259&lt;&gt;"-",IF('Banco de Dados'!$AL1259="NÃO",IFERROR(VALUE(SUBSTITUTE(_xlfn.TEXTAFTER('Banco de Dados'!$F1259,"BRL ",1),".",",")),0),0),0)</f>
        <v>0</v>
      </c>
      <c r="AQ1259" s="28">
        <f ca="1">SUM('Banco de Dados'!$AM1259:$AP1259)</f>
        <v>0</v>
      </c>
      <c r="AR1259" s="8"/>
      <c r="AY1259" s="8"/>
    </row>
    <row r="1260" spans="1:51">
      <c r="A1260" s="5" t="str">
        <v>BV</v>
      </c>
      <c r="B1260" s="5" t="str">
        <f ca="1"/>
        <v>BV45734</v>
      </c>
      <c r="C1260" s="8" t="str">
        <v>Pedido 1247</v>
      </c>
      <c r="D1260" s="9">
        <v>45733</v>
      </c>
      <c r="E1260" s="9">
        <v>45734</v>
      </c>
      <c r="F1260" s="8" t="str">
        <v>PedidoF1201</v>
      </c>
      <c r="G1260" s="2" t="str">
        <v>CódRastreio1199</v>
      </c>
      <c r="H1260" s="5">
        <v>1</v>
      </c>
      <c r="I1260" s="2" t="str">
        <v>CPF 1213</v>
      </c>
      <c r="J1260" s="2" t="str">
        <v>Nome 1213</v>
      </c>
      <c r="K1260" s="8" t="str">
        <v>Tel 1213</v>
      </c>
      <c r="L1260" s="8" t="str">
        <v>Cep 1213</v>
      </c>
      <c r="M1260" s="8" t="str">
        <v>Rua 1213</v>
      </c>
      <c r="N1260" s="8" t="str">
        <v>Comp 1213</v>
      </c>
      <c r="O1260" s="8" t="str">
        <v>Ventilador Umidificador Preto</v>
      </c>
      <c r="P1260" s="8" t="str">
        <v>HF-SI0F-XC7S</v>
      </c>
      <c r="Q1260" s="4">
        <v>45752</v>
      </c>
      <c r="R1260" s="109">
        <v>44.9</v>
      </c>
      <c r="S1260" s="11">
        <f ca="1"/>
        <v>0</v>
      </c>
      <c r="T1260" s="28">
        <f ca="1"/>
        <v>0</v>
      </c>
      <c r="U1260" s="11">
        <f ca="1"/>
        <v>0</v>
      </c>
      <c r="V1260" s="11">
        <v>0</v>
      </c>
      <c r="W1260" s="11">
        <f ca="1"/>
        <v>0</v>
      </c>
      <c r="X1260" s="11">
        <f ca="1"/>
        <v>0.39877104377104378</v>
      </c>
      <c r="Y1260" s="11">
        <v>0</v>
      </c>
      <c r="Z1260" s="11">
        <f ca="1"/>
        <v>-0.39877104377104378</v>
      </c>
      <c r="AA1260" s="11">
        <f ca="1"/>
        <v>-0.19938552188552189</v>
      </c>
      <c r="AB1260" s="4">
        <f ca="1"/>
        <v>45759</v>
      </c>
      <c r="AC1260" s="4">
        <v>45759</v>
      </c>
      <c r="AD1260" s="9">
        <v>45762</v>
      </c>
      <c r="AE1260" s="9">
        <v>45763</v>
      </c>
      <c r="AF1260" s="4" t="str">
        <f t="shared" ca="1" si="82"/>
        <v>2025 04</v>
      </c>
      <c r="AG1260" s="8" t="str" cm="1">
        <f t="array" ref="AG1260">IFERROR(_xlfn.IFS('Banco de Dados'!#REF!="AG. COMPRA","Em processamento",'Banco de Dados'!#REF!="AG. RASTREIO","Em processamento",'Banco de Dados'!$AE1260&lt;&gt;"-","Faturado",'Banco de Dados'!$AD1260&lt;&gt;"-","Aguardando Pix",'Banco de Dados'!$AC1260&lt;&gt;"-","Pendente"),"Aguardando Liberação")</f>
        <v>Aguardando Liberação</v>
      </c>
      <c r="AH1260" s="5" t="str">
        <f>IF('Banco de Dados'!$F1260="-",_xlfn.CONCAT(PROPER(TEXT(AK1260,"aaaa"))," ",PROPER(TEXT(AK1260,"mm"))),_xlfn.CONCAT(PROPER(TEXT(E1260,"aaaa"))," ",PROPER(TEXT(E1260,"mm"))))</f>
        <v>2025 03</v>
      </c>
      <c r="AI1260" s="9" t="str">
        <f ca="1">IF('Banco de Dados'!$AK1260&lt;&gt;"-","REEMBOLSO",IFERROR(_xlfn.XLOOKUP(G1260,Follow[CODRASTREIO],Follow[STATUS]),"-"))</f>
        <v>REEMBOLSO</v>
      </c>
      <c r="AJ1260" s="9" t="str">
        <f ca="1">IF('Banco de Dados'!$AI1260="ENTREGUE",_xlfn.XLOOKUP('Banco de Dados'!$G1260,Follow[CODRASTREIO],Follow[DATAATUALIZAÇÃO]),"-")</f>
        <v>-</v>
      </c>
      <c r="AK1260" s="132">
        <f ca="1"/>
        <v>45749</v>
      </c>
      <c r="AL1260" s="35"/>
      <c r="AM1260" s="109" cm="1">
        <f t="array" aca="1" ref="AM1260" ca="1">IF('Banco de Dados'!$AK1260&lt;&gt;"-",_xlfn.IFS('Banco de Dados'!$A1260="bv",IF('Banco de Dados'!$E1260&lt;45641,ROUND(SUM('Banco de Dados'!$R1260*_xlfn.XLOOKUP('Banco de Dados'!$P1260,Sku!B:B,Sku!#REF!)*20%),2),ROUND(SUM('Banco de Dados'!$R1260*_xlfn.XLOOKUP('Banco de Dados'!$P1260,Sku!B:B,Sku!H:H)*20%),2)),'Banco de Dados'!$A1260="GO",ROUND(_xlfn.XLOOKUP('Banco de Dados'!$P1260,Sku!C:C,Sku!H:H),2),'Banco de Dados'!$A1260="MEI",ROUND(_xlfn.XLOOKUP('Banco de Dados'!$P1260,Sku!D:D,Sku!H:H),2)),0)</f>
        <v>1.26</v>
      </c>
      <c r="AN1260" s="109" t="e">
        <f ca="1">IF('Banco de Dados'!$AK1260&lt;&gt;"-",IF('Banco de Dados'!$F1260&lt;&gt;"-",_xlfn.XLOOKUP(IFERROR(IFERROR(IFERROR(VALUE(SUBSTITUTE(MID(_xlfn.TEXTAFTER('Banco de Dados'!$F1260,"Data do Pedido:
",1),1,10),"-","/")),VALUE(SUBSTITUTE(MID(_xlfn.TEXTAFTER('Banco de Dados'!$F1260,"Order date:
",1),1,10),"-","/"))),VALUE(SUBSTITUTE(MID(_xlfn.TEXTAFTER('Banco de Dados'!$F1260,"Fecha de pedido:
",1),1,10),"-","/"))),"-"),SMS!A:A,SMS!K:K),0),0)</f>
        <v>#N/A</v>
      </c>
      <c r="AO1260" s="109">
        <f ca="1">IF('Banco de Dados'!$AK1260&lt;&gt;"-",IF('Banco de Dados'!$F1260&lt;&gt;"-",IFERROR(_xlfn.XLOOKUP(_xlfn.CONCAT('Banco de Dados'!$A1260,IFERROR(IFERROR(VALUE(SUBSTITUTE(MID(_xlfn.TEXTAFTER('Banco de Dados'!$F1260,"Data do Pedido:
",1),1,10),"-","/")),VALUE(SUBSTITUTE(MID(_xlfn.TEXTAFTER('Banco de Dados'!$F1260,"Order date:
",1),1,10),"-","/"))),0)),ProxyDD[Chave],ProxyDD[Valor por pedido]),PROXY!$P$2),0),0)</f>
        <v>0.39877104377104378</v>
      </c>
      <c r="AP1260" s="28">
        <f ca="1">IF('Banco de Dados'!$AK1260&lt;&gt;"-",IF('Banco de Dados'!$AL1260="NÃO",IFERROR(VALUE(SUBSTITUTE(_xlfn.TEXTAFTER('Banco de Dados'!$F1260,"BRL ",1),".",",")),0),0),0)</f>
        <v>0</v>
      </c>
      <c r="AQ1260" s="28" t="e">
        <f ca="1">SUM('Banco de Dados'!$AM1260:$AP1260)</f>
        <v>#N/A</v>
      </c>
      <c r="AR1260" s="8"/>
      <c r="AY1260" s="8"/>
    </row>
    <row r="1261" spans="1:51">
      <c r="A1261" s="5" t="str">
        <v>BV</v>
      </c>
      <c r="B1261" s="5" t="str">
        <f ca="1"/>
        <v>BV-</v>
      </c>
      <c r="C1261" s="8" t="str">
        <v>Pedido 1248</v>
      </c>
      <c r="D1261" s="9">
        <v>45733</v>
      </c>
      <c r="E1261" s="9" t="str">
        <v>-</v>
      </c>
      <c r="F1261" s="8" t="str">
        <v>-</v>
      </c>
      <c r="G1261" s="2" t="str">
        <v>-</v>
      </c>
      <c r="H1261" s="5">
        <v>1</v>
      </c>
      <c r="I1261" s="2" t="str">
        <v>CPF 1214</v>
      </c>
      <c r="J1261" s="2" t="str">
        <v>Nome 1214</v>
      </c>
      <c r="K1261" s="8" t="str">
        <v>Tel 1214</v>
      </c>
      <c r="L1261" s="8" t="str">
        <v>Cep 1214</v>
      </c>
      <c r="M1261" s="8" t="str">
        <v>Rua 1214</v>
      </c>
      <c r="N1261" s="8" t="str">
        <v>Comp 1214</v>
      </c>
      <c r="O1261" s="8" t="str">
        <v>Suporte de Celular Branco</v>
      </c>
      <c r="P1261" s="8" t="str">
        <v>16-4EDB-WMZF</v>
      </c>
      <c r="Q1261" s="4">
        <v>45758</v>
      </c>
      <c r="R1261" s="109">
        <v>19.989999999999998</v>
      </c>
      <c r="S1261" s="11">
        <f ca="1"/>
        <v>0</v>
      </c>
      <c r="T1261" s="28">
        <f ca="1"/>
        <v>0</v>
      </c>
      <c r="U1261" s="11">
        <f ca="1"/>
        <v>0</v>
      </c>
      <c r="V1261" s="11">
        <v>0</v>
      </c>
      <c r="W1261" s="11">
        <f ca="1"/>
        <v>0</v>
      </c>
      <c r="X1261" s="11">
        <f ca="1"/>
        <v>0</v>
      </c>
      <c r="Y1261" s="11">
        <v>0</v>
      </c>
      <c r="Z1261" s="11">
        <f ca="1"/>
        <v>0</v>
      </c>
      <c r="AA1261" s="11">
        <f ca="1"/>
        <v>0</v>
      </c>
      <c r="AB1261" s="4">
        <f ca="1"/>
        <v>45765</v>
      </c>
      <c r="AC1261" s="4">
        <v>45765</v>
      </c>
      <c r="AD1261" s="9">
        <v>45779</v>
      </c>
      <c r="AE1261" s="9">
        <v>45783</v>
      </c>
      <c r="AF1261" s="4" t="str">
        <f t="shared" ca="1" si="82"/>
        <v>2025 04</v>
      </c>
      <c r="AG1261" s="8" t="str" cm="1">
        <f t="array" ref="AG1261">IFERROR(_xlfn.IFS('Banco de Dados'!#REF!="AG. COMPRA","Em processamento",'Banco de Dados'!#REF!="AG. RASTREIO","Em processamento",'Banco de Dados'!$AE1261&lt;&gt;"-","Faturado",'Banco de Dados'!$AD1261&lt;&gt;"-","Aguardando Pix",'Banco de Dados'!$AC1261&lt;&gt;"-","Pendente"),"Aguardando Liberação")</f>
        <v>Aguardando Liberação</v>
      </c>
      <c r="AH1261" s="5" t="str">
        <f ca="1">IF('Banco de Dados'!$F1261="-",_xlfn.CONCAT(PROPER(TEXT(AK1261,"aaaa"))," ",PROPER(TEXT(AK1261,"mm"))),_xlfn.CONCAT(PROPER(TEXT(E1261,"aaaa"))," ",PROPER(TEXT(E1261,"mm"))))</f>
        <v>2025 04</v>
      </c>
      <c r="AI1261" s="9" t="str">
        <f ca="1">IF('Banco de Dados'!$AK1261&lt;&gt;"-","REEMBOLSO",IFERROR(_xlfn.XLOOKUP(G1261,Follow[CODRASTREIO],Follow[STATUS]),"-"))</f>
        <v>REEMBOLSO</v>
      </c>
      <c r="AJ1261" s="9" t="str">
        <f ca="1">IF('Banco de Dados'!$AI1261="ENTREGUE",_xlfn.XLOOKUP('Banco de Dados'!$G1261,Follow[CODRASTREIO],Follow[DATAATUALIZAÇÃO]),"-")</f>
        <v>-</v>
      </c>
      <c r="AK1261" s="132">
        <f ca="1"/>
        <v>45751</v>
      </c>
      <c r="AL1261" s="35"/>
      <c r="AM1261" s="109" cm="1">
        <f t="array" aca="1" ref="AM1261" ca="1">IF('Banco de Dados'!$AK1261&lt;&gt;"-",_xlfn.IFS('Banco de Dados'!$A1261="bv",IF('Banco de Dados'!$E1261&lt;45641,ROUND(SUM('Banco de Dados'!$R1261*_xlfn.XLOOKUP('Banco de Dados'!$P1261,Sku!B:B,Sku!#REF!)*20%),2),ROUND(SUM('Banco de Dados'!$R1261*_xlfn.XLOOKUP('Banco de Dados'!$P1261,Sku!B:B,Sku!H:H)*20%),2)),'Banco de Dados'!$A1261="GO",ROUND(_xlfn.XLOOKUP('Banco de Dados'!$P1261,Sku!C:C,Sku!H:H),2),'Banco de Dados'!$A1261="MEI",ROUND(_xlfn.XLOOKUP('Banco de Dados'!$P1261,Sku!D:D,Sku!H:H),2)),0)</f>
        <v>0.6</v>
      </c>
      <c r="AN1261" s="109">
        <f ca="1">IF('Banco de Dados'!$AK1261&lt;&gt;"-",IF('Banco de Dados'!$F1261&lt;&gt;"-",_xlfn.XLOOKUP(IFERROR(IFERROR(IFERROR(VALUE(SUBSTITUTE(MID(_xlfn.TEXTAFTER('Banco de Dados'!$F1261,"Data do Pedido:
",1),1,10),"-","/")),VALUE(SUBSTITUTE(MID(_xlfn.TEXTAFTER('Banco de Dados'!$F1261,"Order date:
",1),1,10),"-","/"))),VALUE(SUBSTITUTE(MID(_xlfn.TEXTAFTER('Banco de Dados'!$F1261,"Fecha de pedido:
",1),1,10),"-","/"))),"-"),SMS!A:A,SMS!K:K),0),0)</f>
        <v>0</v>
      </c>
      <c r="AO1261" s="109">
        <f ca="1">IF('Banco de Dados'!$AK1261&lt;&gt;"-",IF('Banco de Dados'!$F1261&lt;&gt;"-",IFERROR(_xlfn.XLOOKUP(_xlfn.CONCAT('Banco de Dados'!$A1261,IFERROR(IFERROR(VALUE(SUBSTITUTE(MID(_xlfn.TEXTAFTER('Banco de Dados'!$F1261,"Data do Pedido:
",1),1,10),"-","/")),VALUE(SUBSTITUTE(MID(_xlfn.TEXTAFTER('Banco de Dados'!$F1261,"Order date:
",1),1,10),"-","/"))),0)),ProxyDD[Chave],ProxyDD[Valor por pedido]),PROXY!$P$2),0),0)</f>
        <v>0</v>
      </c>
      <c r="AP1261" s="28">
        <f ca="1">IF('Banco de Dados'!$AK1261&lt;&gt;"-",IF('Banco de Dados'!$AL1261="NÃO",IFERROR(VALUE(SUBSTITUTE(_xlfn.TEXTAFTER('Banco de Dados'!$F1261,"BRL ",1),".",",")),0),0),0)</f>
        <v>0</v>
      </c>
      <c r="AQ1261" s="28">
        <f ca="1">SUM('Banco de Dados'!$AM1261:$AP1261)</f>
        <v>0.6</v>
      </c>
      <c r="AR1261" s="8"/>
      <c r="AY1261" s="8"/>
    </row>
    <row r="1262" spans="1:51">
      <c r="A1262" s="5" t="str">
        <v>BV</v>
      </c>
      <c r="B1262" s="5" t="str">
        <f ca="1"/>
        <v>BV45736</v>
      </c>
      <c r="C1262" s="8" t="str">
        <v>Pedido 1249</v>
      </c>
      <c r="D1262" s="9">
        <v>45733</v>
      </c>
      <c r="E1262" s="9">
        <v>45736</v>
      </c>
      <c r="F1262" s="8" t="str">
        <v>PedidoF1202</v>
      </c>
      <c r="G1262" s="2" t="str">
        <v>CódRastreio1200</v>
      </c>
      <c r="H1262" s="5">
        <v>1</v>
      </c>
      <c r="I1262" s="2" t="str">
        <v>CPF 1215</v>
      </c>
      <c r="J1262" s="2" t="str">
        <v>Nome 1215</v>
      </c>
      <c r="K1262" s="8" t="str">
        <v>Tel 1215</v>
      </c>
      <c r="L1262" s="8" t="str">
        <v>Cep 1215</v>
      </c>
      <c r="M1262" s="8" t="str">
        <v>Rua 1215</v>
      </c>
      <c r="N1262" s="8" t="str">
        <v>Comp 1215</v>
      </c>
      <c r="O1262" s="8" t="str">
        <v>Balança</v>
      </c>
      <c r="P1262" s="8" t="str">
        <v>P4-K63S-8KOM</v>
      </c>
      <c r="Q1262" s="4">
        <v>45752</v>
      </c>
      <c r="R1262" s="109">
        <v>28.99</v>
      </c>
      <c r="S1262" s="11">
        <f ca="1"/>
        <v>28.99</v>
      </c>
      <c r="T1262" s="28">
        <f ca="1"/>
        <v>3.7686999999999999</v>
      </c>
      <c r="U1262" s="11">
        <f ca="1"/>
        <v>25.22</v>
      </c>
      <c r="V1262" s="11">
        <v>14.8</v>
      </c>
      <c r="W1262" s="11">
        <f ca="1"/>
        <v>0.33</v>
      </c>
      <c r="X1262" s="11">
        <f ca="1"/>
        <v>0.39877104377104378</v>
      </c>
      <c r="Y1262" s="11">
        <v>0</v>
      </c>
      <c r="Z1262" s="11">
        <f ca="1"/>
        <v>9.6912289562289544</v>
      </c>
      <c r="AA1262" s="11">
        <f ca="1"/>
        <v>4.8456144781144772</v>
      </c>
      <c r="AB1262" s="4">
        <f ca="1"/>
        <v>45759</v>
      </c>
      <c r="AC1262" s="4">
        <v>45759</v>
      </c>
      <c r="AD1262" s="9">
        <v>45762</v>
      </c>
      <c r="AE1262" s="9">
        <v>45763</v>
      </c>
      <c r="AF1262" s="4" t="str">
        <f t="shared" ca="1" si="82"/>
        <v>2025 04</v>
      </c>
      <c r="AG1262" s="8" t="str" cm="1">
        <f t="array" ref="AG1262">IFERROR(_xlfn.IFS('Banco de Dados'!#REF!="AG. COMPRA","Em processamento",'Banco de Dados'!#REF!="AG. RASTREIO","Em processamento",'Banco de Dados'!$AE1262&lt;&gt;"-","Faturado",'Banco de Dados'!$AD1262&lt;&gt;"-","Aguardando Pix",'Banco de Dados'!$AC1262&lt;&gt;"-","Pendente"),"Aguardando Liberação")</f>
        <v>Aguardando Liberação</v>
      </c>
      <c r="AH1262" s="5" t="str">
        <f>IF('Banco de Dados'!$F1262="-",_xlfn.CONCAT(PROPER(TEXT(AK1262,"aaaa"))," ",PROPER(TEXT(AK1262,"mm"))),_xlfn.CONCAT(PROPER(TEXT(E1262,"aaaa"))," ",PROPER(TEXT(E1262,"mm"))))</f>
        <v>2025 03</v>
      </c>
      <c r="AI1262" s="9" t="str">
        <f ca="1">IF('Banco de Dados'!$AK1262&lt;&gt;"-","REEMBOLSO",IFERROR(_xlfn.XLOOKUP(G1262,Follow[CODRASTREIO],Follow[STATUS]),"-"))</f>
        <v>ENTREGUE</v>
      </c>
      <c r="AJ1262" s="9">
        <f ca="1">IF('Banco de Dados'!$AI1262="ENTREGUE",_xlfn.XLOOKUP('Banco de Dados'!$G1262,Follow[CODRASTREIO],Follow[DATAATUALIZAÇÃO]),"-")</f>
        <v>45747</v>
      </c>
      <c r="AK1262" s="132" t="str">
        <f ca="1"/>
        <v>-</v>
      </c>
      <c r="AL1262" s="35"/>
      <c r="AM1262" s="109" cm="1">
        <f t="array" aca="1" ref="AM1262" ca="1">IF('Banco de Dados'!$AK1262&lt;&gt;"-",_xlfn.IFS('Banco de Dados'!$A1262="bv",IF('Banco de Dados'!$E1262&lt;45641,ROUND(SUM('Banco de Dados'!$R1262*_xlfn.XLOOKUP('Banco de Dados'!$P1262,Sku!B:B,Sku!#REF!)*20%),2),ROUND(SUM('Banco de Dados'!$R1262*_xlfn.XLOOKUP('Banco de Dados'!$P1262,Sku!B:B,Sku!H:H)*20%),2)),'Banco de Dados'!$A1262="GO",ROUND(_xlfn.XLOOKUP('Banco de Dados'!$P1262,Sku!C:C,Sku!H:H),2),'Banco de Dados'!$A1262="MEI",ROUND(_xlfn.XLOOKUP('Banco de Dados'!$P1262,Sku!D:D,Sku!H:H),2)),0)</f>
        <v>0</v>
      </c>
      <c r="AN1262" s="109">
        <f ca="1">IF('Banco de Dados'!$AK1262&lt;&gt;"-",IF('Banco de Dados'!$F1262&lt;&gt;"-",_xlfn.XLOOKUP(IFERROR(IFERROR(IFERROR(VALUE(SUBSTITUTE(MID(_xlfn.TEXTAFTER('Banco de Dados'!$F1262,"Data do Pedido:
",1),1,10),"-","/")),VALUE(SUBSTITUTE(MID(_xlfn.TEXTAFTER('Banco de Dados'!$F1262,"Order date:
",1),1,10),"-","/"))),VALUE(SUBSTITUTE(MID(_xlfn.TEXTAFTER('Banco de Dados'!$F1262,"Fecha de pedido:
",1),1,10),"-","/"))),"-"),SMS!A:A,SMS!K:K),0),0)</f>
        <v>0</v>
      </c>
      <c r="AO1262" s="109">
        <f ca="1">IF('Banco de Dados'!$AK1262&lt;&gt;"-",IF('Banco de Dados'!$F1262&lt;&gt;"-",IFERROR(_xlfn.XLOOKUP(_xlfn.CONCAT('Banco de Dados'!$A1262,IFERROR(IFERROR(VALUE(SUBSTITUTE(MID(_xlfn.TEXTAFTER('Banco de Dados'!$F1262,"Data do Pedido:
",1),1,10),"-","/")),VALUE(SUBSTITUTE(MID(_xlfn.TEXTAFTER('Banco de Dados'!$F1262,"Order date:
",1),1,10),"-","/"))),0)),ProxyDD[Chave],ProxyDD[Valor por pedido]),PROXY!$P$2),0),0)</f>
        <v>0</v>
      </c>
      <c r="AP1262" s="28">
        <f ca="1">IF('Banco de Dados'!$AK1262&lt;&gt;"-",IF('Banco de Dados'!$AL1262="NÃO",IFERROR(VALUE(SUBSTITUTE(_xlfn.TEXTAFTER('Banco de Dados'!$F1262,"BRL ",1),".",",")),0),0),0)</f>
        <v>0</v>
      </c>
      <c r="AQ1262" s="28">
        <f ca="1">SUM('Banco de Dados'!$AM1262:$AP1262)</f>
        <v>0</v>
      </c>
      <c r="AR1262" s="8"/>
      <c r="AY1262" s="8"/>
    </row>
    <row r="1263" spans="1:51">
      <c r="A1263" s="5" t="str">
        <v>BV</v>
      </c>
      <c r="B1263" s="5" t="str">
        <f ca="1"/>
        <v>BV-</v>
      </c>
      <c r="C1263" s="8" t="str">
        <v>Pedido 1250</v>
      </c>
      <c r="D1263" s="9">
        <v>45733</v>
      </c>
      <c r="E1263" s="9" t="str">
        <v>-</v>
      </c>
      <c r="F1263" s="8" t="str">
        <v>-</v>
      </c>
      <c r="G1263" s="2" t="str">
        <v>-</v>
      </c>
      <c r="H1263" s="5">
        <v>1</v>
      </c>
      <c r="I1263" s="2" t="str">
        <v>CPF 1216</v>
      </c>
      <c r="J1263" s="2" t="str">
        <v>Nome 1216</v>
      </c>
      <c r="K1263" s="8" t="str">
        <v>Tel 1216</v>
      </c>
      <c r="L1263" s="8" t="str">
        <v>Cep 1216</v>
      </c>
      <c r="M1263" s="8" t="str">
        <v>Rua 1216</v>
      </c>
      <c r="N1263" s="8" t="str">
        <v>Comp 1216</v>
      </c>
      <c r="O1263" s="8" t="str">
        <v>Suporte de Celular Branco</v>
      </c>
      <c r="P1263" s="8" t="str">
        <v>16-4EDB-WMZF</v>
      </c>
      <c r="Q1263" s="4">
        <v>45758</v>
      </c>
      <c r="R1263" s="109">
        <v>19.989999999999998</v>
      </c>
      <c r="S1263" s="11">
        <f ca="1"/>
        <v>0</v>
      </c>
      <c r="T1263" s="28">
        <f ca="1"/>
        <v>0</v>
      </c>
      <c r="U1263" s="11">
        <f ca="1"/>
        <v>0</v>
      </c>
      <c r="V1263" s="11">
        <v>0</v>
      </c>
      <c r="W1263" s="11">
        <f ca="1"/>
        <v>0</v>
      </c>
      <c r="X1263" s="11">
        <f ca="1"/>
        <v>0</v>
      </c>
      <c r="Y1263" s="11">
        <v>0</v>
      </c>
      <c r="Z1263" s="11">
        <f ca="1"/>
        <v>0</v>
      </c>
      <c r="AA1263" s="11">
        <f ca="1"/>
        <v>0</v>
      </c>
      <c r="AB1263" s="4">
        <f ca="1"/>
        <v>45765</v>
      </c>
      <c r="AC1263" s="4">
        <v>45765</v>
      </c>
      <c r="AD1263" s="9">
        <v>45779</v>
      </c>
      <c r="AE1263" s="9">
        <v>45783</v>
      </c>
      <c r="AF1263" s="4" t="str">
        <f t="shared" ca="1" si="82"/>
        <v>2025 04</v>
      </c>
      <c r="AG1263" s="8" t="str" cm="1">
        <f t="array" ref="AG1263">IFERROR(_xlfn.IFS('Banco de Dados'!#REF!="AG. COMPRA","Em processamento",'Banco de Dados'!#REF!="AG. RASTREIO","Em processamento",'Banco de Dados'!$AE1263&lt;&gt;"-","Faturado",'Banco de Dados'!$AD1263&lt;&gt;"-","Aguardando Pix",'Banco de Dados'!$AC1263&lt;&gt;"-","Pendente"),"Aguardando Liberação")</f>
        <v>Aguardando Liberação</v>
      </c>
      <c r="AH1263" s="5" t="str">
        <f ca="1">IF('Banco de Dados'!$F1263="-",_xlfn.CONCAT(PROPER(TEXT(AK1263,"aaaa"))," ",PROPER(TEXT(AK1263,"mm"))),_xlfn.CONCAT(PROPER(TEXT(E1263,"aaaa"))," ",PROPER(TEXT(E1263,"mm"))))</f>
        <v>2025 04</v>
      </c>
      <c r="AI1263" s="9" t="str">
        <f ca="1">IF('Banco de Dados'!$AK1263&lt;&gt;"-","REEMBOLSO",IFERROR(_xlfn.XLOOKUP(G1263,Follow[CODRASTREIO],Follow[STATUS]),"-"))</f>
        <v>REEMBOLSO</v>
      </c>
      <c r="AJ1263" s="9" t="str">
        <f ca="1">IF('Banco de Dados'!$AI1263="ENTREGUE",_xlfn.XLOOKUP('Banco de Dados'!$G1263,Follow[CODRASTREIO],Follow[DATAATUALIZAÇÃO]),"-")</f>
        <v>-</v>
      </c>
      <c r="AK1263" s="132">
        <f ca="1"/>
        <v>45751</v>
      </c>
      <c r="AL1263" s="35"/>
      <c r="AM1263" s="109" cm="1">
        <f t="array" aca="1" ref="AM1263" ca="1">IF('Banco de Dados'!$AK1263&lt;&gt;"-",_xlfn.IFS('Banco de Dados'!$A1263="bv",IF('Banco de Dados'!$E1263&lt;45641,ROUND(SUM('Banco de Dados'!$R1263*_xlfn.XLOOKUP('Banco de Dados'!$P1263,Sku!B:B,Sku!#REF!)*20%),2),ROUND(SUM('Banco de Dados'!$R1263*_xlfn.XLOOKUP('Banco de Dados'!$P1263,Sku!B:B,Sku!H:H)*20%),2)),'Banco de Dados'!$A1263="GO",ROUND(_xlfn.XLOOKUP('Banco de Dados'!$P1263,Sku!C:C,Sku!H:H),2),'Banco de Dados'!$A1263="MEI",ROUND(_xlfn.XLOOKUP('Banco de Dados'!$P1263,Sku!D:D,Sku!H:H),2)),0)</f>
        <v>0.6</v>
      </c>
      <c r="AN1263" s="109">
        <f ca="1">IF('Banco de Dados'!$AK1263&lt;&gt;"-",IF('Banco de Dados'!$F1263&lt;&gt;"-",_xlfn.XLOOKUP(IFERROR(IFERROR(IFERROR(VALUE(SUBSTITUTE(MID(_xlfn.TEXTAFTER('Banco de Dados'!$F1263,"Data do Pedido:
",1),1,10),"-","/")),VALUE(SUBSTITUTE(MID(_xlfn.TEXTAFTER('Banco de Dados'!$F1263,"Order date:
",1),1,10),"-","/"))),VALUE(SUBSTITUTE(MID(_xlfn.TEXTAFTER('Banco de Dados'!$F1263,"Fecha de pedido:
",1),1,10),"-","/"))),"-"),SMS!A:A,SMS!K:K),0),0)</f>
        <v>0</v>
      </c>
      <c r="AO1263" s="109">
        <f ca="1">IF('Banco de Dados'!$AK1263&lt;&gt;"-",IF('Banco de Dados'!$F1263&lt;&gt;"-",IFERROR(_xlfn.XLOOKUP(_xlfn.CONCAT('Banco de Dados'!$A1263,IFERROR(IFERROR(VALUE(SUBSTITUTE(MID(_xlfn.TEXTAFTER('Banco de Dados'!$F1263,"Data do Pedido:
",1),1,10),"-","/")),VALUE(SUBSTITUTE(MID(_xlfn.TEXTAFTER('Banco de Dados'!$F1263,"Order date:
",1),1,10),"-","/"))),0)),ProxyDD[Chave],ProxyDD[Valor por pedido]),PROXY!$P$2),0),0)</f>
        <v>0</v>
      </c>
      <c r="AP1263" s="28">
        <f ca="1">IF('Banco de Dados'!$AK1263&lt;&gt;"-",IF('Banco de Dados'!$AL1263="NÃO",IFERROR(VALUE(SUBSTITUTE(_xlfn.TEXTAFTER('Banco de Dados'!$F1263,"BRL ",1),".",",")),0),0),0)</f>
        <v>0</v>
      </c>
      <c r="AQ1263" s="28">
        <f ca="1">SUM('Banco de Dados'!$AM1263:$AP1263)</f>
        <v>0.6</v>
      </c>
      <c r="AR1263" s="8"/>
      <c r="AY1263" s="8"/>
    </row>
    <row r="1264" spans="1:51">
      <c r="A1264" s="5" t="str">
        <v>BV</v>
      </c>
      <c r="B1264" s="5" t="str">
        <f ca="1"/>
        <v>BV-</v>
      </c>
      <c r="C1264" s="8" t="str">
        <v>Pedido 1251</v>
      </c>
      <c r="D1264" s="9">
        <v>45733</v>
      </c>
      <c r="E1264" s="9" t="str">
        <v>-</v>
      </c>
      <c r="F1264" s="8" t="str">
        <v>-</v>
      </c>
      <c r="G1264" s="2" t="str">
        <v>-</v>
      </c>
      <c r="H1264" s="5">
        <v>1</v>
      </c>
      <c r="I1264" s="2" t="str">
        <v>CPF 1217</v>
      </c>
      <c r="J1264" s="2" t="str">
        <v>Nome 1217</v>
      </c>
      <c r="K1264" s="8" t="str">
        <v>Tel 1217</v>
      </c>
      <c r="L1264" s="8" t="str">
        <v>Cep 1217</v>
      </c>
      <c r="M1264" s="8" t="str">
        <v>Rua 1217</v>
      </c>
      <c r="N1264" s="8" t="str">
        <v>Comp 1217</v>
      </c>
      <c r="O1264" s="8" t="str">
        <v>Suporte de Celular Branco</v>
      </c>
      <c r="P1264" s="8" t="str">
        <v>16-4EDB-WMZF</v>
      </c>
      <c r="Q1264" s="4">
        <v>45752</v>
      </c>
      <c r="R1264" s="109">
        <v>19.989999999999998</v>
      </c>
      <c r="S1264" s="11">
        <f ca="1"/>
        <v>0</v>
      </c>
      <c r="T1264" s="28">
        <f ca="1"/>
        <v>0</v>
      </c>
      <c r="U1264" s="11">
        <f ca="1"/>
        <v>0</v>
      </c>
      <c r="V1264" s="11">
        <v>0</v>
      </c>
      <c r="W1264" s="11">
        <f ca="1"/>
        <v>0</v>
      </c>
      <c r="X1264" s="11">
        <f ca="1"/>
        <v>0</v>
      </c>
      <c r="Y1264" s="11">
        <v>0</v>
      </c>
      <c r="Z1264" s="11">
        <f ca="1"/>
        <v>0</v>
      </c>
      <c r="AA1264" s="11">
        <f ca="1"/>
        <v>0</v>
      </c>
      <c r="AB1264" s="4">
        <f ca="1"/>
        <v>45759</v>
      </c>
      <c r="AC1264" s="4">
        <v>45759</v>
      </c>
      <c r="AD1264" s="9">
        <v>45762</v>
      </c>
      <c r="AE1264" s="9">
        <v>45763</v>
      </c>
      <c r="AF1264" s="4" t="str">
        <f t="shared" ca="1" si="82"/>
        <v>2025 04</v>
      </c>
      <c r="AG1264" s="8" t="str" cm="1">
        <f t="array" ref="AG1264">IFERROR(_xlfn.IFS('Banco de Dados'!#REF!="AG. COMPRA","Em processamento",'Banco de Dados'!#REF!="AG. RASTREIO","Em processamento",'Banco de Dados'!$AE1264&lt;&gt;"-","Faturado",'Banco de Dados'!$AD1264&lt;&gt;"-","Aguardando Pix",'Banco de Dados'!$AC1264&lt;&gt;"-","Pendente"),"Aguardando Liberação")</f>
        <v>Aguardando Liberação</v>
      </c>
      <c r="AH1264" s="5" t="str">
        <f ca="1">IF('Banco de Dados'!$F1264="-",_xlfn.CONCAT(PROPER(TEXT(AK1264,"aaaa"))," ",PROPER(TEXT(AK1264,"mm"))),_xlfn.CONCAT(PROPER(TEXT(E1264,"aaaa"))," ",PROPER(TEXT(E1264,"mm"))))</f>
        <v>2025 03</v>
      </c>
      <c r="AI1264" s="9" t="str">
        <f ca="1">IF('Banco de Dados'!$AK1264&lt;&gt;"-","REEMBOLSO",IFERROR(_xlfn.XLOOKUP(G1264,Follow[CODRASTREIO],Follow[STATUS]),"-"))</f>
        <v>REEMBOLSO</v>
      </c>
      <c r="AJ1264" s="9" t="str">
        <f ca="1">IF('Banco de Dados'!$AI1264="ENTREGUE",_xlfn.XLOOKUP('Banco de Dados'!$G1264,Follow[CODRASTREIO],Follow[DATAATUALIZAÇÃO]),"-")</f>
        <v>-</v>
      </c>
      <c r="AK1264" s="132">
        <f ca="1"/>
        <v>45738</v>
      </c>
      <c r="AL1264" s="35"/>
      <c r="AM1264" s="109" cm="1">
        <f t="array" aca="1" ref="AM1264" ca="1">IF('Banco de Dados'!$AK1264&lt;&gt;"-",_xlfn.IFS('Banco de Dados'!$A1264="bv",IF('Banco de Dados'!$E1264&lt;45641,ROUND(SUM('Banco de Dados'!$R1264*_xlfn.XLOOKUP('Banco de Dados'!$P1264,Sku!B:B,Sku!#REF!)*20%),2),ROUND(SUM('Banco de Dados'!$R1264*_xlfn.XLOOKUP('Banco de Dados'!$P1264,Sku!B:B,Sku!H:H)*20%),2)),'Banco de Dados'!$A1264="GO",ROUND(_xlfn.XLOOKUP('Banco de Dados'!$P1264,Sku!C:C,Sku!H:H),2),'Banco de Dados'!$A1264="MEI",ROUND(_xlfn.XLOOKUP('Banco de Dados'!$P1264,Sku!D:D,Sku!H:H),2)),0)</f>
        <v>0.6</v>
      </c>
      <c r="AN1264" s="109">
        <f ca="1">IF('Banco de Dados'!$AK1264&lt;&gt;"-",IF('Banco de Dados'!$F1264&lt;&gt;"-",_xlfn.XLOOKUP(IFERROR(IFERROR(IFERROR(VALUE(SUBSTITUTE(MID(_xlfn.TEXTAFTER('Banco de Dados'!$F1264,"Data do Pedido:
",1),1,10),"-","/")),VALUE(SUBSTITUTE(MID(_xlfn.TEXTAFTER('Banco de Dados'!$F1264,"Order date:
",1),1,10),"-","/"))),VALUE(SUBSTITUTE(MID(_xlfn.TEXTAFTER('Banco de Dados'!$F1264,"Fecha de pedido:
",1),1,10),"-","/"))),"-"),SMS!A:A,SMS!K:K),0),0)</f>
        <v>0</v>
      </c>
      <c r="AO1264" s="109">
        <f ca="1">IF('Banco de Dados'!$AK1264&lt;&gt;"-",IF('Banco de Dados'!$F1264&lt;&gt;"-",IFERROR(_xlfn.XLOOKUP(_xlfn.CONCAT('Banco de Dados'!$A1264,IFERROR(IFERROR(VALUE(SUBSTITUTE(MID(_xlfn.TEXTAFTER('Banco de Dados'!$F1264,"Data do Pedido:
",1),1,10),"-","/")),VALUE(SUBSTITUTE(MID(_xlfn.TEXTAFTER('Banco de Dados'!$F1264,"Order date:
",1),1,10),"-","/"))),0)),ProxyDD[Chave],ProxyDD[Valor por pedido]),PROXY!$P$2),0),0)</f>
        <v>0</v>
      </c>
      <c r="AP1264" s="28">
        <f ca="1">IF('Banco de Dados'!$AK1264&lt;&gt;"-",IF('Banco de Dados'!$AL1264="NÃO",IFERROR(VALUE(SUBSTITUTE(_xlfn.TEXTAFTER('Banco de Dados'!$F1264,"BRL ",1),".",",")),0),0),0)</f>
        <v>0</v>
      </c>
      <c r="AQ1264" s="28">
        <f ca="1">SUM('Banco de Dados'!$AM1264:$AP1264)</f>
        <v>0.6</v>
      </c>
      <c r="AR1264" s="8"/>
      <c r="AY1264" s="8"/>
    </row>
    <row r="1265" spans="1:51">
      <c r="A1265" s="5" t="str">
        <v>BV</v>
      </c>
      <c r="B1265" s="5" t="str">
        <f ca="1"/>
        <v>BV45736</v>
      </c>
      <c r="C1265" s="8" t="str">
        <v>Pedido 1252</v>
      </c>
      <c r="D1265" s="9">
        <v>45733</v>
      </c>
      <c r="E1265" s="9">
        <v>45736</v>
      </c>
      <c r="F1265" s="8" t="str">
        <v>PedidoF1203</v>
      </c>
      <c r="G1265" s="2" t="str">
        <v>CódRastreio1201</v>
      </c>
      <c r="H1265" s="5">
        <v>1</v>
      </c>
      <c r="I1265" s="2" t="str">
        <v>CPF 1218</v>
      </c>
      <c r="J1265" s="2" t="str">
        <v>Nome 1218</v>
      </c>
      <c r="K1265" s="8" t="str">
        <v>Tel 1218</v>
      </c>
      <c r="L1265" s="8" t="str">
        <v>Cep 1218</v>
      </c>
      <c r="M1265" s="8" t="str">
        <v>Rua 1218</v>
      </c>
      <c r="N1265" s="8" t="str">
        <v>Comp 1218</v>
      </c>
      <c r="O1265" s="8" t="str">
        <v>Balança</v>
      </c>
      <c r="P1265" s="8" t="str">
        <v>P4-K63S-8KOM</v>
      </c>
      <c r="Q1265" s="4">
        <v>45752</v>
      </c>
      <c r="R1265" s="109">
        <v>28.99</v>
      </c>
      <c r="S1265" s="11">
        <f ca="1"/>
        <v>28.99</v>
      </c>
      <c r="T1265" s="28">
        <f ca="1"/>
        <v>3.7686999999999999</v>
      </c>
      <c r="U1265" s="11">
        <f ca="1"/>
        <v>25.22</v>
      </c>
      <c r="V1265" s="11">
        <v>14.8</v>
      </c>
      <c r="W1265" s="11">
        <f ca="1"/>
        <v>0.33</v>
      </c>
      <c r="X1265" s="11">
        <f ca="1"/>
        <v>0.39877104377104378</v>
      </c>
      <c r="Y1265" s="11">
        <v>0</v>
      </c>
      <c r="Z1265" s="11">
        <f ca="1"/>
        <v>9.6912289562289544</v>
      </c>
      <c r="AA1265" s="11">
        <f ca="1"/>
        <v>4.8456144781144772</v>
      </c>
      <c r="AB1265" s="4">
        <f ca="1"/>
        <v>45759</v>
      </c>
      <c r="AC1265" s="4">
        <v>45759</v>
      </c>
      <c r="AD1265" s="9">
        <v>45762</v>
      </c>
      <c r="AE1265" s="9">
        <v>45763</v>
      </c>
      <c r="AF1265" s="4" t="str">
        <f t="shared" ca="1" si="82"/>
        <v>2025 04</v>
      </c>
      <c r="AG1265" s="8" t="str" cm="1">
        <f t="array" ref="AG1265">IFERROR(_xlfn.IFS('Banco de Dados'!#REF!="AG. COMPRA","Em processamento",'Banco de Dados'!#REF!="AG. RASTREIO","Em processamento",'Banco de Dados'!$AE1265&lt;&gt;"-","Faturado",'Banco de Dados'!$AD1265&lt;&gt;"-","Aguardando Pix",'Banco de Dados'!$AC1265&lt;&gt;"-","Pendente"),"Aguardando Liberação")</f>
        <v>Aguardando Liberação</v>
      </c>
      <c r="AH1265" s="5" t="str">
        <f>IF('Banco de Dados'!$F1265="-",_xlfn.CONCAT(PROPER(TEXT(AK1265,"aaaa"))," ",PROPER(TEXT(AK1265,"mm"))),_xlfn.CONCAT(PROPER(TEXT(E1265,"aaaa"))," ",PROPER(TEXT(E1265,"mm"))))</f>
        <v>2025 03</v>
      </c>
      <c r="AI1265" s="9" t="str">
        <f ca="1">IF('Banco de Dados'!$AK1265&lt;&gt;"-","REEMBOLSO",IFERROR(_xlfn.XLOOKUP(G1265,Follow[CODRASTREIO],Follow[STATUS]),"-"))</f>
        <v>ENTREGUE</v>
      </c>
      <c r="AJ1265" s="9">
        <f ca="1">IF('Banco de Dados'!$AI1265="ENTREGUE",_xlfn.XLOOKUP('Banco de Dados'!$G1265,Follow[CODRASTREIO],Follow[DATAATUALIZAÇÃO]),"-")</f>
        <v>45743</v>
      </c>
      <c r="AK1265" s="132" t="str">
        <f ca="1"/>
        <v>-</v>
      </c>
      <c r="AL1265" s="35"/>
      <c r="AM1265" s="109" cm="1">
        <f t="array" aca="1" ref="AM1265" ca="1">IF('Banco de Dados'!$AK1265&lt;&gt;"-",_xlfn.IFS('Banco de Dados'!$A1265="bv",IF('Banco de Dados'!$E1265&lt;45641,ROUND(SUM('Banco de Dados'!$R1265*_xlfn.XLOOKUP('Banco de Dados'!$P1265,Sku!B:B,Sku!#REF!)*20%),2),ROUND(SUM('Banco de Dados'!$R1265*_xlfn.XLOOKUP('Banco de Dados'!$P1265,Sku!B:B,Sku!H:H)*20%),2)),'Banco de Dados'!$A1265="GO",ROUND(_xlfn.XLOOKUP('Banco de Dados'!$P1265,Sku!C:C,Sku!H:H),2),'Banco de Dados'!$A1265="MEI",ROUND(_xlfn.XLOOKUP('Banco de Dados'!$P1265,Sku!D:D,Sku!H:H),2)),0)</f>
        <v>0</v>
      </c>
      <c r="AN1265" s="109">
        <f ca="1">IF('Banco de Dados'!$AK1265&lt;&gt;"-",IF('Banco de Dados'!$F1265&lt;&gt;"-",_xlfn.XLOOKUP(IFERROR(IFERROR(IFERROR(VALUE(SUBSTITUTE(MID(_xlfn.TEXTAFTER('Banco de Dados'!$F1265,"Data do Pedido:
",1),1,10),"-","/")),VALUE(SUBSTITUTE(MID(_xlfn.TEXTAFTER('Banco de Dados'!$F1265,"Order date:
",1),1,10),"-","/"))),VALUE(SUBSTITUTE(MID(_xlfn.TEXTAFTER('Banco de Dados'!$F1265,"Fecha de pedido:
",1),1,10),"-","/"))),"-"),SMS!A:A,SMS!K:K),0),0)</f>
        <v>0</v>
      </c>
      <c r="AO1265" s="109">
        <f ca="1">IF('Banco de Dados'!$AK1265&lt;&gt;"-",IF('Banco de Dados'!$F1265&lt;&gt;"-",IFERROR(_xlfn.XLOOKUP(_xlfn.CONCAT('Banco de Dados'!$A1265,IFERROR(IFERROR(VALUE(SUBSTITUTE(MID(_xlfn.TEXTAFTER('Banco de Dados'!$F1265,"Data do Pedido:
",1),1,10),"-","/")),VALUE(SUBSTITUTE(MID(_xlfn.TEXTAFTER('Banco de Dados'!$F1265,"Order date:
",1),1,10),"-","/"))),0)),ProxyDD[Chave],ProxyDD[Valor por pedido]),PROXY!$P$2),0),0)</f>
        <v>0</v>
      </c>
      <c r="AP1265" s="28">
        <f ca="1">IF('Banco de Dados'!$AK1265&lt;&gt;"-",IF('Banco de Dados'!$AL1265="NÃO",IFERROR(VALUE(SUBSTITUTE(_xlfn.TEXTAFTER('Banco de Dados'!$F1265,"BRL ",1),".",",")),0),0),0)</f>
        <v>0</v>
      </c>
      <c r="AQ1265" s="28">
        <f ca="1">SUM('Banco de Dados'!$AM1265:$AP1265)</f>
        <v>0</v>
      </c>
      <c r="AR1265" s="8"/>
      <c r="AY1265" s="8"/>
    </row>
    <row r="1266" spans="1:51">
      <c r="A1266" s="5" t="str">
        <v>BV</v>
      </c>
      <c r="B1266" s="5" t="str">
        <f ca="1"/>
        <v>BV-</v>
      </c>
      <c r="C1266" s="8" t="str">
        <v>Pedido 1253</v>
      </c>
      <c r="D1266" s="9">
        <v>45733</v>
      </c>
      <c r="E1266" s="9" t="str">
        <v>-</v>
      </c>
      <c r="F1266" s="8" t="str">
        <v>-</v>
      </c>
      <c r="G1266" s="2" t="str">
        <v>-</v>
      </c>
      <c r="H1266" s="5">
        <v>1</v>
      </c>
      <c r="I1266" s="2" t="str">
        <v>CPF 1219</v>
      </c>
      <c r="J1266" s="2" t="str">
        <v>Nome 1219</v>
      </c>
      <c r="K1266" s="8" t="str">
        <v>Tel 1219</v>
      </c>
      <c r="L1266" s="8" t="str">
        <v>Cep 1219</v>
      </c>
      <c r="M1266" s="8" t="str">
        <v>Rua 1219</v>
      </c>
      <c r="N1266" s="8" t="str">
        <v>Comp 1219</v>
      </c>
      <c r="O1266" s="8" t="str">
        <v>Ventilador Umidificador Preto</v>
      </c>
      <c r="P1266" s="8" t="str">
        <v>HF-SI0F-XC7S</v>
      </c>
      <c r="Q1266" s="4">
        <v>45758</v>
      </c>
      <c r="R1266" s="109">
        <v>44.9</v>
      </c>
      <c r="S1266" s="11">
        <f ca="1"/>
        <v>0</v>
      </c>
      <c r="T1266" s="28">
        <f ca="1"/>
        <v>0</v>
      </c>
      <c r="U1266" s="11">
        <f ca="1"/>
        <v>0</v>
      </c>
      <c r="V1266" s="11">
        <v>0</v>
      </c>
      <c r="W1266" s="11">
        <f ca="1"/>
        <v>0</v>
      </c>
      <c r="X1266" s="11">
        <f ca="1"/>
        <v>0</v>
      </c>
      <c r="Y1266" s="11">
        <v>0</v>
      </c>
      <c r="Z1266" s="11">
        <f ca="1"/>
        <v>0</v>
      </c>
      <c r="AA1266" s="11">
        <f ca="1"/>
        <v>0</v>
      </c>
      <c r="AB1266" s="4">
        <f ca="1"/>
        <v>45765</v>
      </c>
      <c r="AC1266" s="4">
        <v>45765</v>
      </c>
      <c r="AD1266" s="9">
        <v>45779</v>
      </c>
      <c r="AE1266" s="9">
        <v>45783</v>
      </c>
      <c r="AF1266" s="4" t="str">
        <f t="shared" ca="1" si="82"/>
        <v>2025 04</v>
      </c>
      <c r="AG1266" s="8" t="str" cm="1">
        <f t="array" ref="AG1266">IFERROR(_xlfn.IFS('Banco de Dados'!#REF!="AG. COMPRA","Em processamento",'Banco de Dados'!#REF!="AG. RASTREIO","Em processamento",'Banco de Dados'!$AE1266&lt;&gt;"-","Faturado",'Banco de Dados'!$AD1266&lt;&gt;"-","Aguardando Pix",'Banco de Dados'!$AC1266&lt;&gt;"-","Pendente"),"Aguardando Liberação")</f>
        <v>Aguardando Liberação</v>
      </c>
      <c r="AH1266" s="5" t="str">
        <f ca="1">IF('Banco de Dados'!$F1266="-",_xlfn.CONCAT(PROPER(TEXT(AK1266,"aaaa"))," ",PROPER(TEXT(AK1266,"mm"))),_xlfn.CONCAT(PROPER(TEXT(E1266,"aaaa"))," ",PROPER(TEXT(E1266,"mm"))))</f>
        <v>2025 04</v>
      </c>
      <c r="AI1266" s="9" t="str">
        <f ca="1">IF('Banco de Dados'!$AK1266&lt;&gt;"-","REEMBOLSO",IFERROR(_xlfn.XLOOKUP(G1266,Follow[CODRASTREIO],Follow[STATUS]),"-"))</f>
        <v>REEMBOLSO</v>
      </c>
      <c r="AJ1266" s="9" t="str">
        <f ca="1">IF('Banco de Dados'!$AI1266="ENTREGUE",_xlfn.XLOOKUP('Banco de Dados'!$G1266,Follow[CODRASTREIO],Follow[DATAATUALIZAÇÃO]),"-")</f>
        <v>-</v>
      </c>
      <c r="AK1266" s="132">
        <f ca="1"/>
        <v>45754</v>
      </c>
      <c r="AL1266" s="35"/>
      <c r="AM1266" s="109" cm="1">
        <f t="array" aca="1" ref="AM1266" ca="1">IF('Banco de Dados'!$AK1266&lt;&gt;"-",_xlfn.IFS('Banco de Dados'!$A1266="bv",IF('Banco de Dados'!$E1266&lt;45641,ROUND(SUM('Banco de Dados'!$R1266*_xlfn.XLOOKUP('Banco de Dados'!$P1266,Sku!B:B,Sku!#REF!)*20%),2),ROUND(SUM('Banco de Dados'!$R1266*_xlfn.XLOOKUP('Banco de Dados'!$P1266,Sku!B:B,Sku!H:H)*20%),2)),'Banco de Dados'!$A1266="GO",ROUND(_xlfn.XLOOKUP('Banco de Dados'!$P1266,Sku!C:C,Sku!H:H),2),'Banco de Dados'!$A1266="MEI",ROUND(_xlfn.XLOOKUP('Banco de Dados'!$P1266,Sku!D:D,Sku!H:H),2)),0)</f>
        <v>1.26</v>
      </c>
      <c r="AN1266" s="109">
        <f ca="1">IF('Banco de Dados'!$AK1266&lt;&gt;"-",IF('Banco de Dados'!$F1266&lt;&gt;"-",_xlfn.XLOOKUP(IFERROR(IFERROR(IFERROR(VALUE(SUBSTITUTE(MID(_xlfn.TEXTAFTER('Banco de Dados'!$F1266,"Data do Pedido:
",1),1,10),"-","/")),VALUE(SUBSTITUTE(MID(_xlfn.TEXTAFTER('Banco de Dados'!$F1266,"Order date:
",1),1,10),"-","/"))),VALUE(SUBSTITUTE(MID(_xlfn.TEXTAFTER('Banco de Dados'!$F1266,"Fecha de pedido:
",1),1,10),"-","/"))),"-"),SMS!A:A,SMS!K:K),0),0)</f>
        <v>0</v>
      </c>
      <c r="AO1266" s="109">
        <f ca="1">IF('Banco de Dados'!$AK1266&lt;&gt;"-",IF('Banco de Dados'!$F1266&lt;&gt;"-",IFERROR(_xlfn.XLOOKUP(_xlfn.CONCAT('Banco de Dados'!$A1266,IFERROR(IFERROR(VALUE(SUBSTITUTE(MID(_xlfn.TEXTAFTER('Banco de Dados'!$F1266,"Data do Pedido:
",1),1,10),"-","/")),VALUE(SUBSTITUTE(MID(_xlfn.TEXTAFTER('Banco de Dados'!$F1266,"Order date:
",1),1,10),"-","/"))),0)),ProxyDD[Chave],ProxyDD[Valor por pedido]),PROXY!$P$2),0),0)</f>
        <v>0</v>
      </c>
      <c r="AP1266" s="28">
        <f ca="1">IF('Banco de Dados'!$AK1266&lt;&gt;"-",IF('Banco de Dados'!$AL1266="NÃO",IFERROR(VALUE(SUBSTITUTE(_xlfn.TEXTAFTER('Banco de Dados'!$F1266,"BRL ",1),".",",")),0),0),0)</f>
        <v>0</v>
      </c>
      <c r="AQ1266" s="28">
        <f ca="1">SUM('Banco de Dados'!$AM1266:$AP1266)</f>
        <v>1.26</v>
      </c>
      <c r="AR1266" s="8"/>
      <c r="AY1266" s="8"/>
    </row>
    <row r="1267" spans="1:51">
      <c r="A1267" s="5" t="str">
        <v>BV</v>
      </c>
      <c r="B1267" s="5" t="str">
        <f ca="1"/>
        <v>BV-</v>
      </c>
      <c r="C1267" s="8" t="str">
        <v>Pedido 1254</v>
      </c>
      <c r="D1267" s="9">
        <v>45733</v>
      </c>
      <c r="E1267" s="9" t="str">
        <v>-</v>
      </c>
      <c r="F1267" s="8" t="str">
        <v>-</v>
      </c>
      <c r="G1267" s="2" t="str">
        <v>-</v>
      </c>
      <c r="H1267" s="5">
        <v>1</v>
      </c>
      <c r="I1267" s="2" t="str">
        <v>CPF 1220</v>
      </c>
      <c r="J1267" s="2" t="str">
        <v>Nome 1220</v>
      </c>
      <c r="K1267" s="8" t="str">
        <v>Tel 1220</v>
      </c>
      <c r="L1267" s="8" t="str">
        <v>Cep 1220</v>
      </c>
      <c r="M1267" s="8" t="str">
        <v>Rua 1220</v>
      </c>
      <c r="N1267" s="8" t="str">
        <v>Comp 1220</v>
      </c>
      <c r="O1267" s="8" t="str">
        <v>Ventilador Umidificador Preto</v>
      </c>
      <c r="P1267" s="8" t="str">
        <v>HF-SI0F-XC7S</v>
      </c>
      <c r="Q1267" s="4">
        <v>45752</v>
      </c>
      <c r="R1267" s="109">
        <v>44.9</v>
      </c>
      <c r="S1267" s="11">
        <f ca="1"/>
        <v>0</v>
      </c>
      <c r="T1267" s="28">
        <f ca="1"/>
        <v>0</v>
      </c>
      <c r="U1267" s="11">
        <f ca="1"/>
        <v>0</v>
      </c>
      <c r="V1267" s="11">
        <v>0</v>
      </c>
      <c r="W1267" s="11">
        <f ca="1"/>
        <v>0</v>
      </c>
      <c r="X1267" s="11">
        <f ca="1"/>
        <v>0</v>
      </c>
      <c r="Y1267" s="11">
        <v>0</v>
      </c>
      <c r="Z1267" s="11">
        <f ca="1"/>
        <v>0</v>
      </c>
      <c r="AA1267" s="11">
        <f ca="1"/>
        <v>0</v>
      </c>
      <c r="AB1267" s="4">
        <f ca="1"/>
        <v>45759</v>
      </c>
      <c r="AC1267" s="4">
        <v>45759</v>
      </c>
      <c r="AD1267" s="9">
        <v>45762</v>
      </c>
      <c r="AE1267" s="9">
        <v>45763</v>
      </c>
      <c r="AF1267" s="4" t="str">
        <f t="shared" ca="1" si="82"/>
        <v>2025 04</v>
      </c>
      <c r="AG1267" s="8" t="str" cm="1">
        <f t="array" ref="AG1267">IFERROR(_xlfn.IFS('Banco de Dados'!#REF!="AG. COMPRA","Em processamento",'Banco de Dados'!#REF!="AG. RASTREIO","Em processamento",'Banco de Dados'!$AE1267&lt;&gt;"-","Faturado",'Banco de Dados'!$AD1267&lt;&gt;"-","Aguardando Pix",'Banco de Dados'!$AC1267&lt;&gt;"-","Pendente"),"Aguardando Liberação")</f>
        <v>Aguardando Liberação</v>
      </c>
      <c r="AH1267" s="5" t="str">
        <f ca="1">IF('Banco de Dados'!$F1267="-",_xlfn.CONCAT(PROPER(TEXT(AK1267,"aaaa"))," ",PROPER(TEXT(AK1267,"mm"))),_xlfn.CONCAT(PROPER(TEXT(E1267,"aaaa"))," ",PROPER(TEXT(E1267,"mm"))))</f>
        <v>2025 03</v>
      </c>
      <c r="AI1267" s="9" t="str">
        <f ca="1">IF('Banco de Dados'!$AK1267&lt;&gt;"-","REEMBOLSO",IFERROR(_xlfn.XLOOKUP(G1267,Follow[CODRASTREIO],Follow[STATUS]),"-"))</f>
        <v>REEMBOLSO</v>
      </c>
      <c r="AJ1267" s="9" t="str">
        <f ca="1">IF('Banco de Dados'!$AI1267="ENTREGUE",_xlfn.XLOOKUP('Banco de Dados'!$G1267,Follow[CODRASTREIO],Follow[DATAATUALIZAÇÃO]),"-")</f>
        <v>-</v>
      </c>
      <c r="AK1267" s="132">
        <f ca="1"/>
        <v>45744</v>
      </c>
      <c r="AL1267" s="35"/>
      <c r="AM1267" s="109" cm="1">
        <f t="array" aca="1" ref="AM1267" ca="1">IF('Banco de Dados'!$AK1267&lt;&gt;"-",_xlfn.IFS('Banco de Dados'!$A1267="bv",IF('Banco de Dados'!$E1267&lt;45641,ROUND(SUM('Banco de Dados'!$R1267*_xlfn.XLOOKUP('Banco de Dados'!$P1267,Sku!B:B,Sku!#REF!)*20%),2),ROUND(SUM('Banco de Dados'!$R1267*_xlfn.XLOOKUP('Banco de Dados'!$P1267,Sku!B:B,Sku!H:H)*20%),2)),'Banco de Dados'!$A1267="GO",ROUND(_xlfn.XLOOKUP('Banco de Dados'!$P1267,Sku!C:C,Sku!H:H),2),'Banco de Dados'!$A1267="MEI",ROUND(_xlfn.XLOOKUP('Banco de Dados'!$P1267,Sku!D:D,Sku!H:H),2)),0)</f>
        <v>1.26</v>
      </c>
      <c r="AN1267" s="109">
        <f ca="1">IF('Banco de Dados'!$AK1267&lt;&gt;"-",IF('Banco de Dados'!$F1267&lt;&gt;"-",_xlfn.XLOOKUP(IFERROR(IFERROR(IFERROR(VALUE(SUBSTITUTE(MID(_xlfn.TEXTAFTER('Banco de Dados'!$F1267,"Data do Pedido:
",1),1,10),"-","/")),VALUE(SUBSTITUTE(MID(_xlfn.TEXTAFTER('Banco de Dados'!$F1267,"Order date:
",1),1,10),"-","/"))),VALUE(SUBSTITUTE(MID(_xlfn.TEXTAFTER('Banco de Dados'!$F1267,"Fecha de pedido:
",1),1,10),"-","/"))),"-"),SMS!A:A,SMS!K:K),0),0)</f>
        <v>0</v>
      </c>
      <c r="AO1267" s="109">
        <f ca="1">IF('Banco de Dados'!$AK1267&lt;&gt;"-",IF('Banco de Dados'!$F1267&lt;&gt;"-",IFERROR(_xlfn.XLOOKUP(_xlfn.CONCAT('Banco de Dados'!$A1267,IFERROR(IFERROR(VALUE(SUBSTITUTE(MID(_xlfn.TEXTAFTER('Banco de Dados'!$F1267,"Data do Pedido:
",1),1,10),"-","/")),VALUE(SUBSTITUTE(MID(_xlfn.TEXTAFTER('Banco de Dados'!$F1267,"Order date:
",1),1,10),"-","/"))),0)),ProxyDD[Chave],ProxyDD[Valor por pedido]),PROXY!$P$2),0),0)</f>
        <v>0</v>
      </c>
      <c r="AP1267" s="28">
        <f ca="1">IF('Banco de Dados'!$AK1267&lt;&gt;"-",IF('Banco de Dados'!$AL1267="NÃO",IFERROR(VALUE(SUBSTITUTE(_xlfn.TEXTAFTER('Banco de Dados'!$F1267,"BRL ",1),".",",")),0),0),0)</f>
        <v>0</v>
      </c>
      <c r="AQ1267" s="28">
        <f ca="1">SUM('Banco de Dados'!$AM1267:$AP1267)</f>
        <v>1.26</v>
      </c>
      <c r="AR1267" s="8"/>
      <c r="AY1267" s="8"/>
    </row>
    <row r="1268" spans="1:51">
      <c r="A1268" s="5" t="str">
        <v>BV</v>
      </c>
      <c r="B1268" s="5" t="str">
        <f ca="1"/>
        <v>BV45734</v>
      </c>
      <c r="C1268" s="8" t="str">
        <v>Pedido 1255</v>
      </c>
      <c r="D1268" s="9">
        <v>45733</v>
      </c>
      <c r="E1268" s="9">
        <v>45734</v>
      </c>
      <c r="F1268" s="8" t="str">
        <v>PedidoF1204</v>
      </c>
      <c r="G1268" s="2" t="str">
        <v>CódRastreio1202</v>
      </c>
      <c r="H1268" s="5">
        <v>1</v>
      </c>
      <c r="I1268" s="2" t="str">
        <v>CPF 1221</v>
      </c>
      <c r="J1268" s="2" t="str">
        <v>Nome 1221</v>
      </c>
      <c r="K1268" s="8" t="str">
        <v>Tel 1221</v>
      </c>
      <c r="L1268" s="8" t="str">
        <v>Cep 1221</v>
      </c>
      <c r="M1268" s="8" t="str">
        <v>Rua 1221</v>
      </c>
      <c r="N1268" s="8" t="str">
        <v>Comp 1221</v>
      </c>
      <c r="O1268" s="8" t="str">
        <v>Balança</v>
      </c>
      <c r="P1268" s="8" t="str">
        <v>P4-K63S-8KOM</v>
      </c>
      <c r="Q1268" s="4">
        <v>45758</v>
      </c>
      <c r="R1268" s="109">
        <v>28.99</v>
      </c>
      <c r="S1268" s="11">
        <f ca="1"/>
        <v>28.99</v>
      </c>
      <c r="T1268" s="28">
        <f ca="1"/>
        <v>3.7686999999999999</v>
      </c>
      <c r="U1268" s="11">
        <f ca="1"/>
        <v>25.22</v>
      </c>
      <c r="V1268" s="11">
        <v>15.99</v>
      </c>
      <c r="W1268" s="11">
        <f ca="1"/>
        <v>1.1499999999999999</v>
      </c>
      <c r="X1268" s="11">
        <f ca="1"/>
        <v>0.39877104377104378</v>
      </c>
      <c r="Y1268" s="11">
        <v>0</v>
      </c>
      <c r="Z1268" s="11">
        <f ca="1"/>
        <v>7.6812289562289529</v>
      </c>
      <c r="AA1268" s="11">
        <f ca="1"/>
        <v>3.8406144781144764</v>
      </c>
      <c r="AB1268" s="4">
        <f ca="1"/>
        <v>45765</v>
      </c>
      <c r="AC1268" s="4">
        <v>45765</v>
      </c>
      <c r="AD1268" s="9">
        <v>45779</v>
      </c>
      <c r="AE1268" s="9">
        <v>45783</v>
      </c>
      <c r="AF1268" s="4" t="str">
        <f t="shared" ca="1" si="82"/>
        <v>2025 04</v>
      </c>
      <c r="AG1268" s="8" t="str" cm="1">
        <f t="array" ref="AG1268">IFERROR(_xlfn.IFS('Banco de Dados'!#REF!="AG. COMPRA","Em processamento",'Banco de Dados'!#REF!="AG. RASTREIO","Em processamento",'Banco de Dados'!$AE1268&lt;&gt;"-","Faturado",'Banco de Dados'!$AD1268&lt;&gt;"-","Aguardando Pix",'Banco de Dados'!$AC1268&lt;&gt;"-","Pendente"),"Aguardando Liberação")</f>
        <v>Aguardando Liberação</v>
      </c>
      <c r="AH1268" s="5" t="str">
        <f>IF('Banco de Dados'!$F1268="-",_xlfn.CONCAT(PROPER(TEXT(AK1268,"aaaa"))," ",PROPER(TEXT(AK1268,"mm"))),_xlfn.CONCAT(PROPER(TEXT(E1268,"aaaa"))," ",PROPER(TEXT(E1268,"mm"))))</f>
        <v>2025 03</v>
      </c>
      <c r="AI1268" s="9" t="str">
        <f ca="1">IF('Banco de Dados'!$AK1268&lt;&gt;"-","REEMBOLSO",IFERROR(_xlfn.XLOOKUP(G1268,Follow[CODRASTREIO],Follow[STATUS]),"-"))</f>
        <v>ENTREGUE</v>
      </c>
      <c r="AJ1268" s="9">
        <f ca="1">IF('Banco de Dados'!$AI1268="ENTREGUE",_xlfn.XLOOKUP('Banco de Dados'!$G1268,Follow[CODRASTREIO],Follow[DATAATUALIZAÇÃO]),"-")</f>
        <v>45749</v>
      </c>
      <c r="AK1268" s="132" t="str">
        <f ca="1"/>
        <v>-</v>
      </c>
      <c r="AL1268" s="35"/>
      <c r="AM1268" s="109" cm="1">
        <f t="array" aca="1" ref="AM1268" ca="1">IF('Banco de Dados'!$AK1268&lt;&gt;"-",_xlfn.IFS('Banco de Dados'!$A1268="bv",IF('Banco de Dados'!$E1268&lt;45641,ROUND(SUM('Banco de Dados'!$R1268*_xlfn.XLOOKUP('Banco de Dados'!$P1268,Sku!B:B,Sku!#REF!)*20%),2),ROUND(SUM('Banco de Dados'!$R1268*_xlfn.XLOOKUP('Banco de Dados'!$P1268,Sku!B:B,Sku!H:H)*20%),2)),'Banco de Dados'!$A1268="GO",ROUND(_xlfn.XLOOKUP('Banco de Dados'!$P1268,Sku!C:C,Sku!H:H),2),'Banco de Dados'!$A1268="MEI",ROUND(_xlfn.XLOOKUP('Banco de Dados'!$P1268,Sku!D:D,Sku!H:H),2)),0)</f>
        <v>0</v>
      </c>
      <c r="AN1268" s="109">
        <f ca="1">IF('Banco de Dados'!$AK1268&lt;&gt;"-",IF('Banco de Dados'!$F1268&lt;&gt;"-",_xlfn.XLOOKUP(IFERROR(IFERROR(IFERROR(VALUE(SUBSTITUTE(MID(_xlfn.TEXTAFTER('Banco de Dados'!$F1268,"Data do Pedido:
",1),1,10),"-","/")),VALUE(SUBSTITUTE(MID(_xlfn.TEXTAFTER('Banco de Dados'!$F1268,"Order date:
",1),1,10),"-","/"))),VALUE(SUBSTITUTE(MID(_xlfn.TEXTAFTER('Banco de Dados'!$F1268,"Fecha de pedido:
",1),1,10),"-","/"))),"-"),SMS!A:A,SMS!K:K),0),0)</f>
        <v>0</v>
      </c>
      <c r="AO1268" s="109">
        <f ca="1">IF('Banco de Dados'!$AK1268&lt;&gt;"-",IF('Banco de Dados'!$F1268&lt;&gt;"-",IFERROR(_xlfn.XLOOKUP(_xlfn.CONCAT('Banco de Dados'!$A1268,IFERROR(IFERROR(VALUE(SUBSTITUTE(MID(_xlfn.TEXTAFTER('Banco de Dados'!$F1268,"Data do Pedido:
",1),1,10),"-","/")),VALUE(SUBSTITUTE(MID(_xlfn.TEXTAFTER('Banco de Dados'!$F1268,"Order date:
",1),1,10),"-","/"))),0)),ProxyDD[Chave],ProxyDD[Valor por pedido]),PROXY!$P$2),0),0)</f>
        <v>0</v>
      </c>
      <c r="AP1268" s="28">
        <f ca="1">IF('Banco de Dados'!$AK1268&lt;&gt;"-",IF('Banco de Dados'!$AL1268="NÃO",IFERROR(VALUE(SUBSTITUTE(_xlfn.TEXTAFTER('Banco de Dados'!$F1268,"BRL ",1),".",",")),0),0),0)</f>
        <v>0</v>
      </c>
      <c r="AQ1268" s="28">
        <f ca="1">SUM('Banco de Dados'!$AM1268:$AP1268)</f>
        <v>0</v>
      </c>
      <c r="AR1268" s="8"/>
      <c r="AY1268" s="8"/>
    </row>
    <row r="1269" spans="1:51">
      <c r="A1269" s="5" t="str">
        <v>BV</v>
      </c>
      <c r="B1269" s="5" t="str">
        <f ca="1"/>
        <v>BV45736</v>
      </c>
      <c r="C1269" s="8" t="str">
        <v>Pedido 1256</v>
      </c>
      <c r="D1269" s="9">
        <v>45733</v>
      </c>
      <c r="E1269" s="9">
        <v>45736</v>
      </c>
      <c r="F1269" s="8" t="str">
        <v>PedidoF1205</v>
      </c>
      <c r="G1269" s="2" t="str">
        <v>CódRastreio1203</v>
      </c>
      <c r="H1269" s="5">
        <v>1</v>
      </c>
      <c r="I1269" s="2" t="str">
        <v>CPF 1222</v>
      </c>
      <c r="J1269" s="2" t="str">
        <v>Nome 1222</v>
      </c>
      <c r="K1269" s="8" t="str">
        <v>Tel 1222</v>
      </c>
      <c r="L1269" s="8" t="str">
        <v>Cep 1222</v>
      </c>
      <c r="M1269" s="8" t="str">
        <v>Rua 1222</v>
      </c>
      <c r="N1269" s="8" t="str">
        <v>Comp 1222</v>
      </c>
      <c r="O1269" s="8" t="str">
        <v>Balança</v>
      </c>
      <c r="P1269" s="8" t="str">
        <v>P4-K63S-8KOM</v>
      </c>
      <c r="Q1269" s="4">
        <v>45750</v>
      </c>
      <c r="R1269" s="109">
        <v>28.99</v>
      </c>
      <c r="S1269" s="11">
        <f ca="1"/>
        <v>28.99</v>
      </c>
      <c r="T1269" s="28">
        <f ca="1"/>
        <v>3.7686999999999999</v>
      </c>
      <c r="U1269" s="11">
        <f ca="1"/>
        <v>25.22</v>
      </c>
      <c r="V1269" s="11">
        <v>14.8</v>
      </c>
      <c r="W1269" s="11">
        <f ca="1"/>
        <v>0.33</v>
      </c>
      <c r="X1269" s="11">
        <f ca="1"/>
        <v>0.39877104377104378</v>
      </c>
      <c r="Y1269" s="11">
        <v>0</v>
      </c>
      <c r="Z1269" s="11">
        <f ca="1"/>
        <v>9.6912289562289544</v>
      </c>
      <c r="AA1269" s="11">
        <f ca="1"/>
        <v>4.8456144781144772</v>
      </c>
      <c r="AB1269" s="4">
        <f ca="1"/>
        <v>45757</v>
      </c>
      <c r="AC1269" s="4">
        <v>45757</v>
      </c>
      <c r="AD1269" s="9">
        <v>45762</v>
      </c>
      <c r="AE1269" s="9">
        <v>45763</v>
      </c>
      <c r="AF1269" s="4" t="str">
        <f t="shared" ca="1" si="82"/>
        <v>2025 04</v>
      </c>
      <c r="AG1269" s="8" t="str" cm="1">
        <f t="array" ref="AG1269">IFERROR(_xlfn.IFS('Banco de Dados'!#REF!="AG. COMPRA","Em processamento",'Banco de Dados'!#REF!="AG. RASTREIO","Em processamento",'Banco de Dados'!$AE1269&lt;&gt;"-","Faturado",'Banco de Dados'!$AD1269&lt;&gt;"-","Aguardando Pix",'Banco de Dados'!$AC1269&lt;&gt;"-","Pendente"),"Aguardando Liberação")</f>
        <v>Aguardando Liberação</v>
      </c>
      <c r="AH1269" s="5" t="str">
        <f>IF('Banco de Dados'!$F1269="-",_xlfn.CONCAT(PROPER(TEXT(AK1269,"aaaa"))," ",PROPER(TEXT(AK1269,"mm"))),_xlfn.CONCAT(PROPER(TEXT(E1269,"aaaa"))," ",PROPER(TEXT(E1269,"mm"))))</f>
        <v>2025 03</v>
      </c>
      <c r="AI1269" s="9" t="str">
        <f ca="1">IF('Banco de Dados'!$AK1269&lt;&gt;"-","REEMBOLSO",IFERROR(_xlfn.XLOOKUP(G1269,Follow[CODRASTREIO],Follow[STATUS]),"-"))</f>
        <v>ENTREGUE</v>
      </c>
      <c r="AJ1269" s="9">
        <f ca="1">IF('Banco de Dados'!$AI1269="ENTREGUE",_xlfn.XLOOKUP('Banco de Dados'!$G1269,Follow[CODRASTREIO],Follow[DATAATUALIZAÇÃO]),"-")</f>
        <v>45747</v>
      </c>
      <c r="AK1269" s="132" t="str">
        <f ca="1"/>
        <v>-</v>
      </c>
      <c r="AL1269" s="35"/>
      <c r="AM1269" s="109" cm="1">
        <f t="array" aca="1" ref="AM1269" ca="1">IF('Banco de Dados'!$AK1269&lt;&gt;"-",_xlfn.IFS('Banco de Dados'!$A1269="bv",IF('Banco de Dados'!$E1269&lt;45641,ROUND(SUM('Banco de Dados'!$R1269*_xlfn.XLOOKUP('Banco de Dados'!$P1269,Sku!B:B,Sku!#REF!)*20%),2),ROUND(SUM('Banco de Dados'!$R1269*_xlfn.XLOOKUP('Banco de Dados'!$P1269,Sku!B:B,Sku!H:H)*20%),2)),'Banco de Dados'!$A1269="GO",ROUND(_xlfn.XLOOKUP('Banco de Dados'!$P1269,Sku!C:C,Sku!H:H),2),'Banco de Dados'!$A1269="MEI",ROUND(_xlfn.XLOOKUP('Banco de Dados'!$P1269,Sku!D:D,Sku!H:H),2)),0)</f>
        <v>0</v>
      </c>
      <c r="AN1269" s="109">
        <f ca="1">IF('Banco de Dados'!$AK1269&lt;&gt;"-",IF('Banco de Dados'!$F1269&lt;&gt;"-",_xlfn.XLOOKUP(IFERROR(IFERROR(IFERROR(VALUE(SUBSTITUTE(MID(_xlfn.TEXTAFTER('Banco de Dados'!$F1269,"Data do Pedido:
",1),1,10),"-","/")),VALUE(SUBSTITUTE(MID(_xlfn.TEXTAFTER('Banco de Dados'!$F1269,"Order date:
",1),1,10),"-","/"))),VALUE(SUBSTITUTE(MID(_xlfn.TEXTAFTER('Banco de Dados'!$F1269,"Fecha de pedido:
",1),1,10),"-","/"))),"-"),SMS!A:A,SMS!K:K),0),0)</f>
        <v>0</v>
      </c>
      <c r="AO1269" s="109">
        <f ca="1">IF('Banco de Dados'!$AK1269&lt;&gt;"-",IF('Banco de Dados'!$F1269&lt;&gt;"-",IFERROR(_xlfn.XLOOKUP(_xlfn.CONCAT('Banco de Dados'!$A1269,IFERROR(IFERROR(VALUE(SUBSTITUTE(MID(_xlfn.TEXTAFTER('Banco de Dados'!$F1269,"Data do Pedido:
",1),1,10),"-","/")),VALUE(SUBSTITUTE(MID(_xlfn.TEXTAFTER('Banco de Dados'!$F1269,"Order date:
",1),1,10),"-","/"))),0)),ProxyDD[Chave],ProxyDD[Valor por pedido]),PROXY!$P$2),0),0)</f>
        <v>0</v>
      </c>
      <c r="AP1269" s="28">
        <f ca="1">IF('Banco de Dados'!$AK1269&lt;&gt;"-",IF('Banco de Dados'!$AL1269="NÃO",IFERROR(VALUE(SUBSTITUTE(_xlfn.TEXTAFTER('Banco de Dados'!$F1269,"BRL ",1),".",",")),0),0),0)</f>
        <v>0</v>
      </c>
      <c r="AQ1269" s="28">
        <f ca="1">SUM('Banco de Dados'!$AM1269:$AP1269)</f>
        <v>0</v>
      </c>
      <c r="AR1269" s="8"/>
      <c r="AY1269" s="8"/>
    </row>
    <row r="1270" spans="1:51">
      <c r="A1270" s="5" t="str">
        <v>BV</v>
      </c>
      <c r="B1270" s="5" t="str">
        <f ca="1"/>
        <v>BV45736</v>
      </c>
      <c r="C1270" s="8" t="str">
        <v>Pedido 1257</v>
      </c>
      <c r="D1270" s="9">
        <v>45733</v>
      </c>
      <c r="E1270" s="9">
        <v>45736</v>
      </c>
      <c r="F1270" s="8" t="str">
        <v>PedidoF1206</v>
      </c>
      <c r="G1270" s="2" t="str">
        <v>CódRastreio1204</v>
      </c>
      <c r="H1270" s="5">
        <v>1</v>
      </c>
      <c r="I1270" s="2" t="str">
        <v>CPF 1223</v>
      </c>
      <c r="J1270" s="2" t="str">
        <v>Nome 1223</v>
      </c>
      <c r="K1270" s="8" t="str">
        <v>Tel 1223</v>
      </c>
      <c r="L1270" s="8" t="str">
        <v>Cep 1223</v>
      </c>
      <c r="M1270" s="8" t="str">
        <v>Rua 1223</v>
      </c>
      <c r="N1270" s="8" t="str">
        <v>Comp 1223</v>
      </c>
      <c r="O1270" s="8" t="str">
        <v>Balança</v>
      </c>
      <c r="P1270" s="8" t="str">
        <v>P4-K63S-8KOM</v>
      </c>
      <c r="Q1270" s="4">
        <v>45752</v>
      </c>
      <c r="R1270" s="109">
        <v>28.99</v>
      </c>
      <c r="S1270" s="11">
        <f ca="1"/>
        <v>28.99</v>
      </c>
      <c r="T1270" s="28">
        <f ca="1"/>
        <v>3.7686999999999999</v>
      </c>
      <c r="U1270" s="11">
        <f ca="1"/>
        <v>25.22</v>
      </c>
      <c r="V1270" s="11">
        <v>14.8</v>
      </c>
      <c r="W1270" s="11">
        <f ca="1"/>
        <v>0.33</v>
      </c>
      <c r="X1270" s="11">
        <f ca="1"/>
        <v>0.39877104377104378</v>
      </c>
      <c r="Y1270" s="11">
        <v>0</v>
      </c>
      <c r="Z1270" s="11">
        <f ca="1"/>
        <v>9.6912289562289544</v>
      </c>
      <c r="AA1270" s="11">
        <f ca="1"/>
        <v>4.8456144781144772</v>
      </c>
      <c r="AB1270" s="4">
        <f ca="1"/>
        <v>45759</v>
      </c>
      <c r="AC1270" s="4">
        <v>45759</v>
      </c>
      <c r="AD1270" s="9">
        <v>45762</v>
      </c>
      <c r="AE1270" s="9">
        <v>45763</v>
      </c>
      <c r="AF1270" s="4" t="str">
        <f t="shared" ca="1" si="82"/>
        <v>2025 04</v>
      </c>
      <c r="AG1270" s="8" t="str" cm="1">
        <f t="array" ref="AG1270">IFERROR(_xlfn.IFS('Banco de Dados'!#REF!="AG. COMPRA","Em processamento",'Banco de Dados'!#REF!="AG. RASTREIO","Em processamento",'Banco de Dados'!$AE1270&lt;&gt;"-","Faturado",'Banco de Dados'!$AD1270&lt;&gt;"-","Aguardando Pix",'Banco de Dados'!$AC1270&lt;&gt;"-","Pendente"),"Aguardando Liberação")</f>
        <v>Aguardando Liberação</v>
      </c>
      <c r="AH1270" s="5" t="str">
        <f>IF('Banco de Dados'!$F1270="-",_xlfn.CONCAT(PROPER(TEXT(AK1270,"aaaa"))," ",PROPER(TEXT(AK1270,"mm"))),_xlfn.CONCAT(PROPER(TEXT(E1270,"aaaa"))," ",PROPER(TEXT(E1270,"mm"))))</f>
        <v>2025 03</v>
      </c>
      <c r="AI1270" s="9" t="str">
        <f ca="1">IF('Banco de Dados'!$AK1270&lt;&gt;"-","REEMBOLSO",IFERROR(_xlfn.XLOOKUP(G1270,Follow[CODRASTREIO],Follow[STATUS]),"-"))</f>
        <v>ENTREGUE</v>
      </c>
      <c r="AJ1270" s="9">
        <f ca="1">IF('Banco de Dados'!$AI1270="ENTREGUE",_xlfn.XLOOKUP('Banco de Dados'!$G1270,Follow[CODRASTREIO],Follow[DATAATUALIZAÇÃO]),"-")</f>
        <v>45743</v>
      </c>
      <c r="AK1270" s="132" t="str">
        <f ca="1"/>
        <v>-</v>
      </c>
      <c r="AL1270" s="35"/>
      <c r="AM1270" s="109" cm="1">
        <f t="array" aca="1" ref="AM1270" ca="1">IF('Banco de Dados'!$AK1270&lt;&gt;"-",_xlfn.IFS('Banco de Dados'!$A1270="bv",IF('Banco de Dados'!$E1270&lt;45641,ROUND(SUM('Banco de Dados'!$R1270*_xlfn.XLOOKUP('Banco de Dados'!$P1270,Sku!B:B,Sku!#REF!)*20%),2),ROUND(SUM('Banco de Dados'!$R1270*_xlfn.XLOOKUP('Banco de Dados'!$P1270,Sku!B:B,Sku!H:H)*20%),2)),'Banco de Dados'!$A1270="GO",ROUND(_xlfn.XLOOKUP('Banco de Dados'!$P1270,Sku!C:C,Sku!H:H),2),'Banco de Dados'!$A1270="MEI",ROUND(_xlfn.XLOOKUP('Banco de Dados'!$P1270,Sku!D:D,Sku!H:H),2)),0)</f>
        <v>0</v>
      </c>
      <c r="AN1270" s="109">
        <f ca="1">IF('Banco de Dados'!$AK1270&lt;&gt;"-",IF('Banco de Dados'!$F1270&lt;&gt;"-",_xlfn.XLOOKUP(IFERROR(IFERROR(IFERROR(VALUE(SUBSTITUTE(MID(_xlfn.TEXTAFTER('Banco de Dados'!$F1270,"Data do Pedido:
",1),1,10),"-","/")),VALUE(SUBSTITUTE(MID(_xlfn.TEXTAFTER('Banco de Dados'!$F1270,"Order date:
",1),1,10),"-","/"))),VALUE(SUBSTITUTE(MID(_xlfn.TEXTAFTER('Banco de Dados'!$F1270,"Fecha de pedido:
",1),1,10),"-","/"))),"-"),SMS!A:A,SMS!K:K),0),0)</f>
        <v>0</v>
      </c>
      <c r="AO1270" s="109">
        <f ca="1">IF('Banco de Dados'!$AK1270&lt;&gt;"-",IF('Banco de Dados'!$F1270&lt;&gt;"-",IFERROR(_xlfn.XLOOKUP(_xlfn.CONCAT('Banco de Dados'!$A1270,IFERROR(IFERROR(VALUE(SUBSTITUTE(MID(_xlfn.TEXTAFTER('Banco de Dados'!$F1270,"Data do Pedido:
",1),1,10),"-","/")),VALUE(SUBSTITUTE(MID(_xlfn.TEXTAFTER('Banco de Dados'!$F1270,"Order date:
",1),1,10),"-","/"))),0)),ProxyDD[Chave],ProxyDD[Valor por pedido]),PROXY!$P$2),0),0)</f>
        <v>0</v>
      </c>
      <c r="AP1270" s="28">
        <f ca="1">IF('Banco de Dados'!$AK1270&lt;&gt;"-",IF('Banco de Dados'!$AL1270="NÃO",IFERROR(VALUE(SUBSTITUTE(_xlfn.TEXTAFTER('Banco de Dados'!$F1270,"BRL ",1),".",",")),0),0),0)</f>
        <v>0</v>
      </c>
      <c r="AQ1270" s="28">
        <f ca="1">SUM('Banco de Dados'!$AM1270:$AP1270)</f>
        <v>0</v>
      </c>
      <c r="AR1270" s="8"/>
      <c r="AY1270" s="8"/>
    </row>
    <row r="1271" spans="1:51">
      <c r="A1271" s="5" t="str">
        <v>BV</v>
      </c>
      <c r="B1271" s="5" t="str">
        <f ca="1"/>
        <v>BV-</v>
      </c>
      <c r="C1271" s="8" t="str">
        <v>Pedido 1258</v>
      </c>
      <c r="D1271" s="9">
        <v>45733</v>
      </c>
      <c r="E1271" s="9" t="str">
        <v>-</v>
      </c>
      <c r="F1271" s="8" t="str">
        <v>-</v>
      </c>
      <c r="G1271" s="2" t="str">
        <v>-</v>
      </c>
      <c r="H1271" s="5">
        <v>1</v>
      </c>
      <c r="I1271" s="2" t="str">
        <v>CPF 1224</v>
      </c>
      <c r="J1271" s="2" t="str">
        <v>Nome 1224</v>
      </c>
      <c r="K1271" s="8" t="str">
        <v>Tel 1224</v>
      </c>
      <c r="L1271" s="8" t="str">
        <v>Cep 1224</v>
      </c>
      <c r="M1271" s="8" t="str">
        <v>Rua 1224</v>
      </c>
      <c r="N1271" s="8" t="str">
        <v>Comp 1224</v>
      </c>
      <c r="O1271" s="8" t="str">
        <v>Suporte de Celular Branco</v>
      </c>
      <c r="P1271" s="8" t="str">
        <v>16-4EDB-WMZF</v>
      </c>
      <c r="Q1271" s="4">
        <v>45752</v>
      </c>
      <c r="R1271" s="109">
        <v>19.989999999999998</v>
      </c>
      <c r="S1271" s="11">
        <f ca="1"/>
        <v>19.989999999999998</v>
      </c>
      <c r="T1271" s="28">
        <f ca="1"/>
        <v>2.9984999999999995</v>
      </c>
      <c r="U1271" s="11">
        <f ca="1"/>
        <v>16.989999999999998</v>
      </c>
      <c r="V1271" s="11">
        <v>0</v>
      </c>
      <c r="W1271" s="11">
        <f ca="1"/>
        <v>0</v>
      </c>
      <c r="X1271" s="11">
        <f ca="1"/>
        <v>0</v>
      </c>
      <c r="Y1271" s="11">
        <v>0</v>
      </c>
      <c r="Z1271" s="11">
        <f ca="1"/>
        <v>16.989999999999998</v>
      </c>
      <c r="AA1271" s="11">
        <f ca="1"/>
        <v>8.4949999999999992</v>
      </c>
      <c r="AB1271" s="4">
        <f ca="1"/>
        <v>45759</v>
      </c>
      <c r="AC1271" s="4">
        <v>45759</v>
      </c>
      <c r="AD1271" s="9">
        <v>45762</v>
      </c>
      <c r="AE1271" s="9">
        <v>45763</v>
      </c>
      <c r="AF1271" s="4" t="str">
        <f t="shared" ca="1" si="82"/>
        <v>2025 04</v>
      </c>
      <c r="AG1271" s="8" t="str" cm="1">
        <f t="array" ref="AG1271">IFERROR(_xlfn.IFS('Banco de Dados'!#REF!="AG. COMPRA","Em processamento",'Banco de Dados'!#REF!="AG. RASTREIO","Em processamento",'Banco de Dados'!$AE1271&lt;&gt;"-","Faturado",'Banco de Dados'!$AD1271&lt;&gt;"-","Aguardando Pix",'Banco de Dados'!$AC1271&lt;&gt;"-","Pendente"),"Aguardando Liberação")</f>
        <v>Aguardando Liberação</v>
      </c>
      <c r="AH1271" s="5" t="str">
        <f ca="1">IF('Banco de Dados'!$F1271="-",_xlfn.CONCAT(PROPER(TEXT(AK1271,"aaaa"))," ",PROPER(TEXT(AK1271,"mm"))),_xlfn.CONCAT(PROPER(TEXT(E1271,"aaaa"))," ",PROPER(TEXT(E1271,"mm"))))</f>
        <v>- -</v>
      </c>
      <c r="AI1271" s="9" t="str">
        <f ca="1">IF('Banco de Dados'!$AK1271&lt;&gt;"-","REEMBOLSO",IFERROR(_xlfn.XLOOKUP(G1271,Follow[CODRASTREIO],Follow[STATUS]),"-"))</f>
        <v>-</v>
      </c>
      <c r="AJ1271" s="9" t="str">
        <f ca="1">IF('Banco de Dados'!$AI1271="ENTREGUE",_xlfn.XLOOKUP('Banco de Dados'!$G1271,Follow[CODRASTREIO],Follow[DATAATUALIZAÇÃO]),"-")</f>
        <v>-</v>
      </c>
      <c r="AK1271" s="132" t="str">
        <f ca="1"/>
        <v>-</v>
      </c>
      <c r="AL1271" s="35"/>
      <c r="AM1271" s="109" cm="1">
        <f t="array" aca="1" ref="AM1271" ca="1">IF('Banco de Dados'!$AK1271&lt;&gt;"-",_xlfn.IFS('Banco de Dados'!$A1271="bv",IF('Banco de Dados'!$E1271&lt;45641,ROUND(SUM('Banco de Dados'!$R1271*_xlfn.XLOOKUP('Banco de Dados'!$P1271,Sku!B:B,Sku!#REF!)*20%),2),ROUND(SUM('Banco de Dados'!$R1271*_xlfn.XLOOKUP('Banco de Dados'!$P1271,Sku!B:B,Sku!H:H)*20%),2)),'Banco de Dados'!$A1271="GO",ROUND(_xlfn.XLOOKUP('Banco de Dados'!$P1271,Sku!C:C,Sku!H:H),2),'Banco de Dados'!$A1271="MEI",ROUND(_xlfn.XLOOKUP('Banco de Dados'!$P1271,Sku!D:D,Sku!H:H),2)),0)</f>
        <v>0</v>
      </c>
      <c r="AN1271" s="109">
        <f ca="1">IF('Banco de Dados'!$AK1271&lt;&gt;"-",IF('Banco de Dados'!$F1271&lt;&gt;"-",_xlfn.XLOOKUP(IFERROR(IFERROR(IFERROR(VALUE(SUBSTITUTE(MID(_xlfn.TEXTAFTER('Banco de Dados'!$F1271,"Data do Pedido:
",1),1,10),"-","/")),VALUE(SUBSTITUTE(MID(_xlfn.TEXTAFTER('Banco de Dados'!$F1271,"Order date:
",1),1,10),"-","/"))),VALUE(SUBSTITUTE(MID(_xlfn.TEXTAFTER('Banco de Dados'!$F1271,"Fecha de pedido:
",1),1,10),"-","/"))),"-"),SMS!A:A,SMS!K:K),0),0)</f>
        <v>0</v>
      </c>
      <c r="AO1271" s="109">
        <f ca="1">IF('Banco de Dados'!$AK1271&lt;&gt;"-",IF('Banco de Dados'!$F1271&lt;&gt;"-",IFERROR(_xlfn.XLOOKUP(_xlfn.CONCAT('Banco de Dados'!$A1271,IFERROR(IFERROR(VALUE(SUBSTITUTE(MID(_xlfn.TEXTAFTER('Banco de Dados'!$F1271,"Data do Pedido:
",1),1,10),"-","/")),VALUE(SUBSTITUTE(MID(_xlfn.TEXTAFTER('Banco de Dados'!$F1271,"Order date:
",1),1,10),"-","/"))),0)),ProxyDD[Chave],ProxyDD[Valor por pedido]),PROXY!$P$2),0),0)</f>
        <v>0</v>
      </c>
      <c r="AP1271" s="28">
        <f ca="1">IF('Banco de Dados'!$AK1271&lt;&gt;"-",IF('Banco de Dados'!$AL1271="NÃO",IFERROR(VALUE(SUBSTITUTE(_xlfn.TEXTAFTER('Banco de Dados'!$F1271,"BRL ",1),".",",")),0),0),0)</f>
        <v>0</v>
      </c>
      <c r="AQ1271" s="28">
        <f ca="1">SUM('Banco de Dados'!$AM1271:$AP1271)</f>
        <v>0</v>
      </c>
      <c r="AR1271" s="8"/>
      <c r="AY1271" s="8"/>
    </row>
    <row r="1272" spans="1:51">
      <c r="A1272" s="5" t="str">
        <v>BV</v>
      </c>
      <c r="B1272" s="5" t="str">
        <f ca="1"/>
        <v>BV-</v>
      </c>
      <c r="C1272" s="8" t="str">
        <v>Pedido 1259</v>
      </c>
      <c r="D1272" s="9">
        <v>45733</v>
      </c>
      <c r="E1272" s="9" t="str">
        <v>-</v>
      </c>
      <c r="F1272" s="8" t="str">
        <v>-</v>
      </c>
      <c r="G1272" s="2" t="str">
        <v>-</v>
      </c>
      <c r="H1272" s="5">
        <v>1</v>
      </c>
      <c r="I1272" s="2" t="str">
        <v>CPF 1225</v>
      </c>
      <c r="J1272" s="2" t="str">
        <v>Nome 1225</v>
      </c>
      <c r="K1272" s="8" t="str">
        <v>Tel 1225</v>
      </c>
      <c r="L1272" s="8" t="str">
        <v>Cep 1225</v>
      </c>
      <c r="M1272" s="8" t="str">
        <v>Rua 1225</v>
      </c>
      <c r="N1272" s="8" t="str">
        <v>Comp 1225</v>
      </c>
      <c r="O1272" s="8" t="str">
        <v>Suporte de Celular Branco</v>
      </c>
      <c r="P1272" s="8" t="str">
        <v>16-4EDB-WMZF</v>
      </c>
      <c r="Q1272" s="4">
        <v>45752</v>
      </c>
      <c r="R1272" s="109">
        <v>19.989999999999998</v>
      </c>
      <c r="S1272" s="11">
        <f ca="1"/>
        <v>19.989999999999998</v>
      </c>
      <c r="T1272" s="28">
        <f ca="1"/>
        <v>2.9984999999999995</v>
      </c>
      <c r="U1272" s="11">
        <f ca="1"/>
        <v>16.989999999999998</v>
      </c>
      <c r="V1272" s="11">
        <v>0</v>
      </c>
      <c r="W1272" s="11">
        <f ca="1"/>
        <v>0</v>
      </c>
      <c r="X1272" s="11">
        <f ca="1"/>
        <v>0</v>
      </c>
      <c r="Y1272" s="11">
        <v>0</v>
      </c>
      <c r="Z1272" s="11">
        <f ca="1"/>
        <v>16.989999999999998</v>
      </c>
      <c r="AA1272" s="11">
        <f ca="1"/>
        <v>8.4949999999999992</v>
      </c>
      <c r="AB1272" s="4">
        <f ca="1"/>
        <v>45759</v>
      </c>
      <c r="AC1272" s="4">
        <v>45759</v>
      </c>
      <c r="AD1272" s="9">
        <v>45762</v>
      </c>
      <c r="AE1272" s="9">
        <v>45763</v>
      </c>
      <c r="AF1272" s="4" t="str">
        <f t="shared" ca="1" si="82"/>
        <v>2025 04</v>
      </c>
      <c r="AG1272" s="8" t="str" cm="1">
        <f t="array" ref="AG1272">IFERROR(_xlfn.IFS('Banco de Dados'!#REF!="AG. COMPRA","Em processamento",'Banco de Dados'!#REF!="AG. RASTREIO","Em processamento",'Banco de Dados'!$AE1272&lt;&gt;"-","Faturado",'Banco de Dados'!$AD1272&lt;&gt;"-","Aguardando Pix",'Banco de Dados'!$AC1272&lt;&gt;"-","Pendente"),"Aguardando Liberação")</f>
        <v>Aguardando Liberação</v>
      </c>
      <c r="AH1272" s="5" t="str">
        <f ca="1">IF('Banco de Dados'!$F1272="-",_xlfn.CONCAT(PROPER(TEXT(AK1272,"aaaa"))," ",PROPER(TEXT(AK1272,"mm"))),_xlfn.CONCAT(PROPER(TEXT(E1272,"aaaa"))," ",PROPER(TEXT(E1272,"mm"))))</f>
        <v>- -</v>
      </c>
      <c r="AI1272" s="9" t="str">
        <f ca="1">IF('Banco de Dados'!$AK1272&lt;&gt;"-","REEMBOLSO",IFERROR(_xlfn.XLOOKUP(G1272,Follow[CODRASTREIO],Follow[STATUS]),"-"))</f>
        <v>-</v>
      </c>
      <c r="AJ1272" s="9" t="str">
        <f ca="1">IF('Banco de Dados'!$AI1272="ENTREGUE",_xlfn.XLOOKUP('Banco de Dados'!$G1272,Follow[CODRASTREIO],Follow[DATAATUALIZAÇÃO]),"-")</f>
        <v>-</v>
      </c>
      <c r="AK1272" s="132" t="str">
        <f ca="1"/>
        <v>-</v>
      </c>
      <c r="AL1272" s="35"/>
      <c r="AM1272" s="109" cm="1">
        <f t="array" aca="1" ref="AM1272" ca="1">IF('Banco de Dados'!$AK1272&lt;&gt;"-",_xlfn.IFS('Banco de Dados'!$A1272="bv",IF('Banco de Dados'!$E1272&lt;45641,ROUND(SUM('Banco de Dados'!$R1272*_xlfn.XLOOKUP('Banco de Dados'!$P1272,Sku!B:B,Sku!#REF!)*20%),2),ROUND(SUM('Banco de Dados'!$R1272*_xlfn.XLOOKUP('Banco de Dados'!$P1272,Sku!B:B,Sku!H:H)*20%),2)),'Banco de Dados'!$A1272="GO",ROUND(_xlfn.XLOOKUP('Banco de Dados'!$P1272,Sku!C:C,Sku!H:H),2),'Banco de Dados'!$A1272="MEI",ROUND(_xlfn.XLOOKUP('Banco de Dados'!$P1272,Sku!D:D,Sku!H:H),2)),0)</f>
        <v>0</v>
      </c>
      <c r="AN1272" s="109">
        <f ca="1">IF('Banco de Dados'!$AK1272&lt;&gt;"-",IF('Banco de Dados'!$F1272&lt;&gt;"-",_xlfn.XLOOKUP(IFERROR(IFERROR(IFERROR(VALUE(SUBSTITUTE(MID(_xlfn.TEXTAFTER('Banco de Dados'!$F1272,"Data do Pedido:
",1),1,10),"-","/")),VALUE(SUBSTITUTE(MID(_xlfn.TEXTAFTER('Banco de Dados'!$F1272,"Order date:
",1),1,10),"-","/"))),VALUE(SUBSTITUTE(MID(_xlfn.TEXTAFTER('Banco de Dados'!$F1272,"Fecha de pedido:
",1),1,10),"-","/"))),"-"),SMS!A:A,SMS!K:K),0),0)</f>
        <v>0</v>
      </c>
      <c r="AO1272" s="109">
        <f ca="1">IF('Banco de Dados'!$AK1272&lt;&gt;"-",IF('Banco de Dados'!$F1272&lt;&gt;"-",IFERROR(_xlfn.XLOOKUP(_xlfn.CONCAT('Banco de Dados'!$A1272,IFERROR(IFERROR(VALUE(SUBSTITUTE(MID(_xlfn.TEXTAFTER('Banco de Dados'!$F1272,"Data do Pedido:
",1),1,10),"-","/")),VALUE(SUBSTITUTE(MID(_xlfn.TEXTAFTER('Banco de Dados'!$F1272,"Order date:
",1),1,10),"-","/"))),0)),ProxyDD[Chave],ProxyDD[Valor por pedido]),PROXY!$P$2),0),0)</f>
        <v>0</v>
      </c>
      <c r="AP1272" s="28">
        <f ca="1">IF('Banco de Dados'!$AK1272&lt;&gt;"-",IF('Banco de Dados'!$AL1272="NÃO",IFERROR(VALUE(SUBSTITUTE(_xlfn.TEXTAFTER('Banco de Dados'!$F1272,"BRL ",1),".",",")),0),0),0)</f>
        <v>0</v>
      </c>
      <c r="AQ1272" s="28">
        <f ca="1">SUM('Banco de Dados'!$AM1272:$AP1272)</f>
        <v>0</v>
      </c>
      <c r="AR1272" s="8"/>
      <c r="AY1272" s="8"/>
    </row>
    <row r="1273" spans="1:51">
      <c r="A1273" s="5" t="str">
        <v>BV</v>
      </c>
      <c r="B1273" s="5" t="str">
        <f ca="1"/>
        <v>BV-</v>
      </c>
      <c r="C1273" s="8" t="str">
        <v>Pedido 1260</v>
      </c>
      <c r="D1273" s="9">
        <v>45733</v>
      </c>
      <c r="E1273" s="9" t="str">
        <v>-</v>
      </c>
      <c r="F1273" s="8" t="str">
        <v>-</v>
      </c>
      <c r="G1273" s="2" t="str">
        <v>-</v>
      </c>
      <c r="H1273" s="5">
        <v>1</v>
      </c>
      <c r="I1273" s="2" t="str">
        <v>CPF 1226</v>
      </c>
      <c r="J1273" s="2" t="str">
        <v>Nome 1226</v>
      </c>
      <c r="K1273" s="8" t="str">
        <v>Tel 1226</v>
      </c>
      <c r="L1273" s="8" t="str">
        <v>Cep 1226</v>
      </c>
      <c r="M1273" s="8" t="str">
        <v>Rua 1226</v>
      </c>
      <c r="N1273" s="8" t="str">
        <v>Comp 1226</v>
      </c>
      <c r="O1273" s="8" t="str">
        <v>Suporte de Celular Branco</v>
      </c>
      <c r="P1273" s="8" t="str">
        <v>16-4EDB-WMZF</v>
      </c>
      <c r="Q1273" s="4">
        <v>45758</v>
      </c>
      <c r="R1273" s="109">
        <v>19.989999999999998</v>
      </c>
      <c r="S1273" s="11">
        <f ca="1"/>
        <v>0</v>
      </c>
      <c r="T1273" s="28">
        <f ca="1"/>
        <v>0</v>
      </c>
      <c r="U1273" s="11">
        <f ca="1"/>
        <v>0</v>
      </c>
      <c r="V1273" s="11">
        <v>0</v>
      </c>
      <c r="W1273" s="11">
        <f ca="1"/>
        <v>0</v>
      </c>
      <c r="X1273" s="11">
        <f ca="1"/>
        <v>0</v>
      </c>
      <c r="Y1273" s="11">
        <v>0</v>
      </c>
      <c r="Z1273" s="11">
        <f ca="1"/>
        <v>0</v>
      </c>
      <c r="AA1273" s="11">
        <f ca="1"/>
        <v>0</v>
      </c>
      <c r="AB1273" s="4">
        <f ca="1"/>
        <v>45765</v>
      </c>
      <c r="AC1273" s="4">
        <v>45765</v>
      </c>
      <c r="AD1273" s="9">
        <v>45779</v>
      </c>
      <c r="AE1273" s="9">
        <v>45783</v>
      </c>
      <c r="AF1273" s="4" t="str">
        <f t="shared" ca="1" si="82"/>
        <v>2025 04</v>
      </c>
      <c r="AG1273" s="8" t="str" cm="1">
        <f t="array" ref="AG1273">IFERROR(_xlfn.IFS('Banco de Dados'!#REF!="AG. COMPRA","Em processamento",'Banco de Dados'!#REF!="AG. RASTREIO","Em processamento",'Banco de Dados'!$AE1273&lt;&gt;"-","Faturado",'Banco de Dados'!$AD1273&lt;&gt;"-","Aguardando Pix",'Banco de Dados'!$AC1273&lt;&gt;"-","Pendente"),"Aguardando Liberação")</f>
        <v>Aguardando Liberação</v>
      </c>
      <c r="AH1273" s="5" t="str">
        <f ca="1">IF('Banco de Dados'!$F1273="-",_xlfn.CONCAT(PROPER(TEXT(AK1273,"aaaa"))," ",PROPER(TEXT(AK1273,"mm"))),_xlfn.CONCAT(PROPER(TEXT(E1273,"aaaa"))," ",PROPER(TEXT(E1273,"mm"))))</f>
        <v>2025 04</v>
      </c>
      <c r="AI1273" s="9" t="str">
        <f ca="1">IF('Banco de Dados'!$AK1273&lt;&gt;"-","REEMBOLSO",IFERROR(_xlfn.XLOOKUP(G1273,Follow[CODRASTREIO],Follow[STATUS]),"-"))</f>
        <v>REEMBOLSO</v>
      </c>
      <c r="AJ1273" s="9" t="str">
        <f ca="1">IF('Banco de Dados'!$AI1273="ENTREGUE",_xlfn.XLOOKUP('Banco de Dados'!$G1273,Follow[CODRASTREIO],Follow[DATAATUALIZAÇÃO]),"-")</f>
        <v>-</v>
      </c>
      <c r="AK1273" s="132">
        <f ca="1"/>
        <v>45754</v>
      </c>
      <c r="AL1273" s="35"/>
      <c r="AM1273" s="109" cm="1">
        <f t="array" aca="1" ref="AM1273" ca="1">IF('Banco de Dados'!$AK1273&lt;&gt;"-",_xlfn.IFS('Banco de Dados'!$A1273="bv",IF('Banco de Dados'!$E1273&lt;45641,ROUND(SUM('Banco de Dados'!$R1273*_xlfn.XLOOKUP('Banco de Dados'!$P1273,Sku!B:B,Sku!#REF!)*20%),2),ROUND(SUM('Banco de Dados'!$R1273*_xlfn.XLOOKUP('Banco de Dados'!$P1273,Sku!B:B,Sku!H:H)*20%),2)),'Banco de Dados'!$A1273="GO",ROUND(_xlfn.XLOOKUP('Banco de Dados'!$P1273,Sku!C:C,Sku!H:H),2),'Banco de Dados'!$A1273="MEI",ROUND(_xlfn.XLOOKUP('Banco de Dados'!$P1273,Sku!D:D,Sku!H:H),2)),0)</f>
        <v>0.6</v>
      </c>
      <c r="AN1273" s="109">
        <f ca="1">IF('Banco de Dados'!$AK1273&lt;&gt;"-",IF('Banco de Dados'!$F1273&lt;&gt;"-",_xlfn.XLOOKUP(IFERROR(IFERROR(IFERROR(VALUE(SUBSTITUTE(MID(_xlfn.TEXTAFTER('Banco de Dados'!$F1273,"Data do Pedido:
",1),1,10),"-","/")),VALUE(SUBSTITUTE(MID(_xlfn.TEXTAFTER('Banco de Dados'!$F1273,"Order date:
",1),1,10),"-","/"))),VALUE(SUBSTITUTE(MID(_xlfn.TEXTAFTER('Banco de Dados'!$F1273,"Fecha de pedido:
",1),1,10),"-","/"))),"-"),SMS!A:A,SMS!K:K),0),0)</f>
        <v>0</v>
      </c>
      <c r="AO1273" s="109">
        <f ca="1">IF('Banco de Dados'!$AK1273&lt;&gt;"-",IF('Banco de Dados'!$F1273&lt;&gt;"-",IFERROR(_xlfn.XLOOKUP(_xlfn.CONCAT('Banco de Dados'!$A1273,IFERROR(IFERROR(VALUE(SUBSTITUTE(MID(_xlfn.TEXTAFTER('Banco de Dados'!$F1273,"Data do Pedido:
",1),1,10),"-","/")),VALUE(SUBSTITUTE(MID(_xlfn.TEXTAFTER('Banco de Dados'!$F1273,"Order date:
",1),1,10),"-","/"))),0)),ProxyDD[Chave],ProxyDD[Valor por pedido]),PROXY!$P$2),0),0)</f>
        <v>0</v>
      </c>
      <c r="AP1273" s="28">
        <f ca="1">IF('Banco de Dados'!$AK1273&lt;&gt;"-",IF('Banco de Dados'!$AL1273="NÃO",IFERROR(VALUE(SUBSTITUTE(_xlfn.TEXTAFTER('Banco de Dados'!$F1273,"BRL ",1),".",",")),0),0),0)</f>
        <v>0</v>
      </c>
      <c r="AQ1273" s="28">
        <f ca="1">SUM('Banco de Dados'!$AM1273:$AP1273)</f>
        <v>0.6</v>
      </c>
      <c r="AR1273" s="8"/>
      <c r="AY1273" s="8"/>
    </row>
    <row r="1274" spans="1:51">
      <c r="A1274" s="5" t="str">
        <v>BV</v>
      </c>
      <c r="B1274" s="5" t="str">
        <f ca="1"/>
        <v>BV45734</v>
      </c>
      <c r="C1274" s="8" t="str">
        <v>Pedido 1261</v>
      </c>
      <c r="D1274" s="9">
        <v>45733</v>
      </c>
      <c r="E1274" s="9">
        <v>45734</v>
      </c>
      <c r="F1274" s="8" t="str">
        <v>PedidoF1207</v>
      </c>
      <c r="G1274" s="2" t="str">
        <v>CódRastreio1205</v>
      </c>
      <c r="H1274" s="5">
        <v>1</v>
      </c>
      <c r="I1274" s="2" t="str">
        <v>CPF 1227</v>
      </c>
      <c r="J1274" s="2" t="str">
        <v>Nome 1227</v>
      </c>
      <c r="K1274" s="8" t="str">
        <v>Tel 1227</v>
      </c>
      <c r="L1274" s="8" t="str">
        <v>Cep 1227</v>
      </c>
      <c r="M1274" s="8" t="str">
        <v>Rua 1227</v>
      </c>
      <c r="N1274" s="8" t="str">
        <v>Comp 1227</v>
      </c>
      <c r="O1274" s="8" t="str">
        <v>Ventilador Azul</v>
      </c>
      <c r="P1274" s="8" t="str">
        <v>U8-2VWS-OB6M</v>
      </c>
      <c r="Q1274" s="4">
        <v>45758</v>
      </c>
      <c r="R1274" s="109">
        <v>50.45</v>
      </c>
      <c r="S1274" s="11">
        <f ca="1"/>
        <v>0</v>
      </c>
      <c r="T1274" s="28">
        <f ca="1"/>
        <v>0</v>
      </c>
      <c r="U1274" s="11">
        <f ca="1"/>
        <v>0</v>
      </c>
      <c r="V1274" s="11">
        <v>0</v>
      </c>
      <c r="W1274" s="11">
        <f ca="1"/>
        <v>0</v>
      </c>
      <c r="X1274" s="11">
        <f ca="1"/>
        <v>0.39877104377104378</v>
      </c>
      <c r="Y1274" s="11">
        <v>0</v>
      </c>
      <c r="Z1274" s="11">
        <f ca="1"/>
        <v>-0.39877104377104378</v>
      </c>
      <c r="AA1274" s="11">
        <f ca="1"/>
        <v>-0.19938552188552189</v>
      </c>
      <c r="AB1274" s="4">
        <f ca="1"/>
        <v>45765</v>
      </c>
      <c r="AC1274" s="4">
        <v>45765</v>
      </c>
      <c r="AD1274" s="9">
        <v>45779</v>
      </c>
      <c r="AE1274" s="9">
        <v>45783</v>
      </c>
      <c r="AF1274" s="4" t="str">
        <f t="shared" ca="1" si="82"/>
        <v>2025 04</v>
      </c>
      <c r="AG1274" s="8" t="str" cm="1">
        <f t="array" ref="AG1274">IFERROR(_xlfn.IFS('Banco de Dados'!#REF!="AG. COMPRA","Em processamento",'Banco de Dados'!#REF!="AG. RASTREIO","Em processamento",'Banco de Dados'!$AE1274&lt;&gt;"-","Faturado",'Banco de Dados'!$AD1274&lt;&gt;"-","Aguardando Pix",'Banco de Dados'!$AC1274&lt;&gt;"-","Pendente"),"Aguardando Liberação")</f>
        <v>Aguardando Liberação</v>
      </c>
      <c r="AH1274" s="5" t="str">
        <f>IF('Banco de Dados'!$F1274="-",_xlfn.CONCAT(PROPER(TEXT(AK1274,"aaaa"))," ",PROPER(TEXT(AK1274,"mm"))),_xlfn.CONCAT(PROPER(TEXT(E1274,"aaaa"))," ",PROPER(TEXT(E1274,"mm"))))</f>
        <v>2025 03</v>
      </c>
      <c r="AI1274" s="9" t="str">
        <f ca="1">IF('Banco de Dados'!$AK1274&lt;&gt;"-","REEMBOLSO",IFERROR(_xlfn.XLOOKUP(G1274,Follow[CODRASTREIO],Follow[STATUS]),"-"))</f>
        <v>REEMBOLSO</v>
      </c>
      <c r="AJ1274" s="9" t="str">
        <f ca="1">IF('Banco de Dados'!$AI1274="ENTREGUE",_xlfn.XLOOKUP('Banco de Dados'!$G1274,Follow[CODRASTREIO],Follow[DATAATUALIZAÇÃO]),"-")</f>
        <v>-</v>
      </c>
      <c r="AK1274" s="132">
        <f ca="1"/>
        <v>45758</v>
      </c>
      <c r="AL1274" s="35"/>
      <c r="AM1274" s="109" cm="1">
        <f t="array" aca="1" ref="AM1274" ca="1">IF('Banco de Dados'!$AK1274&lt;&gt;"-",_xlfn.IFS('Banco de Dados'!$A1274="bv",IF('Banco de Dados'!$E1274&lt;45641,ROUND(SUM('Banco de Dados'!$R1274*_xlfn.XLOOKUP('Banco de Dados'!$P1274,Sku!B:B,Sku!#REF!)*20%),2),ROUND(SUM('Banco de Dados'!$R1274*_xlfn.XLOOKUP('Banco de Dados'!$P1274,Sku!B:B,Sku!H:H)*20%),2)),'Banco de Dados'!$A1274="GO",ROUND(_xlfn.XLOOKUP('Banco de Dados'!$P1274,Sku!C:C,Sku!H:H),2),'Banco de Dados'!$A1274="MEI",ROUND(_xlfn.XLOOKUP('Banco de Dados'!$P1274,Sku!D:D,Sku!H:H),2)),0)</f>
        <v>1.31</v>
      </c>
      <c r="AN1274" s="109" t="e">
        <f ca="1">IF('Banco de Dados'!$AK1274&lt;&gt;"-",IF('Banco de Dados'!$F1274&lt;&gt;"-",_xlfn.XLOOKUP(IFERROR(IFERROR(IFERROR(VALUE(SUBSTITUTE(MID(_xlfn.TEXTAFTER('Banco de Dados'!$F1274,"Data do Pedido:
",1),1,10),"-","/")),VALUE(SUBSTITUTE(MID(_xlfn.TEXTAFTER('Banco de Dados'!$F1274,"Order date:
",1),1,10),"-","/"))),VALUE(SUBSTITUTE(MID(_xlfn.TEXTAFTER('Banco de Dados'!$F1274,"Fecha de pedido:
",1),1,10),"-","/"))),"-"),SMS!A:A,SMS!K:K),0),0)</f>
        <v>#N/A</v>
      </c>
      <c r="AO1274" s="109">
        <f ca="1">IF('Banco de Dados'!$AK1274&lt;&gt;"-",IF('Banco de Dados'!$F1274&lt;&gt;"-",IFERROR(_xlfn.XLOOKUP(_xlfn.CONCAT('Banco de Dados'!$A1274,IFERROR(IFERROR(VALUE(SUBSTITUTE(MID(_xlfn.TEXTAFTER('Banco de Dados'!$F1274,"Data do Pedido:
",1),1,10),"-","/")),VALUE(SUBSTITUTE(MID(_xlfn.TEXTAFTER('Banco de Dados'!$F1274,"Order date:
",1),1,10),"-","/"))),0)),ProxyDD[Chave],ProxyDD[Valor por pedido]),PROXY!$P$2),0),0)</f>
        <v>0.39877104377104378</v>
      </c>
      <c r="AP1274" s="28">
        <f ca="1">IF('Banco de Dados'!$AK1274&lt;&gt;"-",IF('Banco de Dados'!$AL1274="NÃO",IFERROR(VALUE(SUBSTITUTE(_xlfn.TEXTAFTER('Banco de Dados'!$F1274,"BRL ",1),".",",")),0),0),0)</f>
        <v>0</v>
      </c>
      <c r="AQ1274" s="28" t="e">
        <f ca="1">SUM('Banco de Dados'!$AM1274:$AP1274)</f>
        <v>#N/A</v>
      </c>
      <c r="AR1274" s="8"/>
      <c r="AY1274" s="8"/>
    </row>
    <row r="1275" spans="1:51">
      <c r="A1275" s="5" t="str">
        <v>BV</v>
      </c>
      <c r="B1275" s="5" t="str">
        <f ca="1"/>
        <v>BV45734</v>
      </c>
      <c r="C1275" s="8" t="str">
        <v>Pedido 1262</v>
      </c>
      <c r="D1275" s="9">
        <v>45733</v>
      </c>
      <c r="E1275" s="9">
        <v>45734</v>
      </c>
      <c r="F1275" s="8" t="str">
        <v>PedidoF1208</v>
      </c>
      <c r="G1275" s="2" t="str">
        <v>CódRastreio1206</v>
      </c>
      <c r="H1275" s="5">
        <v>1</v>
      </c>
      <c r="I1275" s="2" t="str">
        <v>CPF 1228</v>
      </c>
      <c r="J1275" s="2" t="str">
        <v>Nome 1228</v>
      </c>
      <c r="K1275" s="8" t="str">
        <v>Tel 1228</v>
      </c>
      <c r="L1275" s="8" t="str">
        <v>Cep 1228</v>
      </c>
      <c r="M1275" s="8" t="str">
        <v>Rua 1228</v>
      </c>
      <c r="N1275" s="8" t="str">
        <v>Comp 1228</v>
      </c>
      <c r="O1275" s="8" t="str">
        <v>Lampada Led</v>
      </c>
      <c r="P1275" s="8" t="str">
        <v>RB-W251-UXV2</v>
      </c>
      <c r="Q1275" s="4">
        <v>45752</v>
      </c>
      <c r="R1275" s="109">
        <v>26.99</v>
      </c>
      <c r="S1275" s="11">
        <f ca="1"/>
        <v>26.99</v>
      </c>
      <c r="T1275" s="28">
        <f ca="1"/>
        <v>3.5086999999999997</v>
      </c>
      <c r="U1275" s="11">
        <f ca="1"/>
        <v>23.48</v>
      </c>
      <c r="V1275" s="11">
        <v>10.210000000000001</v>
      </c>
      <c r="W1275" s="11">
        <f ca="1"/>
        <v>1.1499999999999999</v>
      </c>
      <c r="X1275" s="11">
        <f ca="1"/>
        <v>0.39877104377104378</v>
      </c>
      <c r="Y1275" s="11">
        <v>0</v>
      </c>
      <c r="Z1275" s="11">
        <f ca="1"/>
        <v>11.721228956228956</v>
      </c>
      <c r="AA1275" s="11">
        <f ca="1"/>
        <v>5.8606144781144778</v>
      </c>
      <c r="AB1275" s="4">
        <f ca="1"/>
        <v>45759</v>
      </c>
      <c r="AC1275" s="4">
        <v>45759</v>
      </c>
      <c r="AD1275" s="9">
        <v>45762</v>
      </c>
      <c r="AE1275" s="9">
        <v>45763</v>
      </c>
      <c r="AF1275" s="4" t="str">
        <f t="shared" ca="1" si="82"/>
        <v>2025 04</v>
      </c>
      <c r="AG1275" s="8" t="str" cm="1">
        <f t="array" ref="AG1275">IFERROR(_xlfn.IFS('Banco de Dados'!#REF!="AG. COMPRA","Em processamento",'Banco de Dados'!#REF!="AG. RASTREIO","Em processamento",'Banco de Dados'!$AE1275&lt;&gt;"-","Faturado",'Banco de Dados'!$AD1275&lt;&gt;"-","Aguardando Pix",'Banco de Dados'!$AC1275&lt;&gt;"-","Pendente"),"Aguardando Liberação")</f>
        <v>Aguardando Liberação</v>
      </c>
      <c r="AH1275" s="5" t="str">
        <f>IF('Banco de Dados'!$F1275="-",_xlfn.CONCAT(PROPER(TEXT(AK1275,"aaaa"))," ",PROPER(TEXT(AK1275,"mm"))),_xlfn.CONCAT(PROPER(TEXT(E1275,"aaaa"))," ",PROPER(TEXT(E1275,"mm"))))</f>
        <v>2025 03</v>
      </c>
      <c r="AI1275" s="9" t="str">
        <f ca="1">IF('Banco de Dados'!$AK1275&lt;&gt;"-","REEMBOLSO",IFERROR(_xlfn.XLOOKUP(G1275,Follow[CODRASTREIO],Follow[STATUS]),"-"))</f>
        <v>ENTREGUE</v>
      </c>
      <c r="AJ1275" s="9">
        <f ca="1">IF('Banco de Dados'!$AI1275="ENTREGUE",_xlfn.XLOOKUP('Banco de Dados'!$G1275,Follow[CODRASTREIO],Follow[DATAATUALIZAÇÃO]),"-")</f>
        <v>45748</v>
      </c>
      <c r="AK1275" s="132" t="str">
        <f ca="1"/>
        <v>-</v>
      </c>
      <c r="AL1275" s="35"/>
      <c r="AM1275" s="109" cm="1">
        <f t="array" aca="1" ref="AM1275" ca="1">IF('Banco de Dados'!$AK1275&lt;&gt;"-",_xlfn.IFS('Banco de Dados'!$A1275="bv",IF('Banco de Dados'!$E1275&lt;45641,ROUND(SUM('Banco de Dados'!$R1275*_xlfn.XLOOKUP('Banco de Dados'!$P1275,Sku!B:B,Sku!#REF!)*20%),2),ROUND(SUM('Banco de Dados'!$R1275*_xlfn.XLOOKUP('Banco de Dados'!$P1275,Sku!B:B,Sku!H:H)*20%),2)),'Banco de Dados'!$A1275="GO",ROUND(_xlfn.XLOOKUP('Banco de Dados'!$P1275,Sku!C:C,Sku!H:H),2),'Banco de Dados'!$A1275="MEI",ROUND(_xlfn.XLOOKUP('Banco de Dados'!$P1275,Sku!D:D,Sku!H:H),2)),0)</f>
        <v>0</v>
      </c>
      <c r="AN1275" s="109">
        <f ca="1">IF('Banco de Dados'!$AK1275&lt;&gt;"-",IF('Banco de Dados'!$F1275&lt;&gt;"-",_xlfn.XLOOKUP(IFERROR(IFERROR(IFERROR(VALUE(SUBSTITUTE(MID(_xlfn.TEXTAFTER('Banco de Dados'!$F1275,"Data do Pedido:
",1),1,10),"-","/")),VALUE(SUBSTITUTE(MID(_xlfn.TEXTAFTER('Banco de Dados'!$F1275,"Order date:
",1),1,10),"-","/"))),VALUE(SUBSTITUTE(MID(_xlfn.TEXTAFTER('Banco de Dados'!$F1275,"Fecha de pedido:
",1),1,10),"-","/"))),"-"),SMS!A:A,SMS!K:K),0),0)</f>
        <v>0</v>
      </c>
      <c r="AO1275" s="109">
        <f ca="1">IF('Banco de Dados'!$AK1275&lt;&gt;"-",IF('Banco de Dados'!$F1275&lt;&gt;"-",IFERROR(_xlfn.XLOOKUP(_xlfn.CONCAT('Banco de Dados'!$A1275,IFERROR(IFERROR(VALUE(SUBSTITUTE(MID(_xlfn.TEXTAFTER('Banco de Dados'!$F1275,"Data do Pedido:
",1),1,10),"-","/")),VALUE(SUBSTITUTE(MID(_xlfn.TEXTAFTER('Banco de Dados'!$F1275,"Order date:
",1),1,10),"-","/"))),0)),ProxyDD[Chave],ProxyDD[Valor por pedido]),PROXY!$P$2),0),0)</f>
        <v>0</v>
      </c>
      <c r="AP1275" s="28">
        <f ca="1">IF('Banco de Dados'!$AK1275&lt;&gt;"-",IF('Banco de Dados'!$AL1275="NÃO",IFERROR(VALUE(SUBSTITUTE(_xlfn.TEXTAFTER('Banco de Dados'!$F1275,"BRL ",1),".",",")),0),0),0)</f>
        <v>0</v>
      </c>
      <c r="AQ1275" s="28">
        <f ca="1">SUM('Banco de Dados'!$AM1275:$AP1275)</f>
        <v>0</v>
      </c>
      <c r="AR1275" s="8"/>
      <c r="AY1275" s="8"/>
    </row>
    <row r="1276" spans="1:51">
      <c r="A1276" s="5" t="str">
        <v>BV</v>
      </c>
      <c r="B1276" s="5" t="str">
        <f ca="1"/>
        <v>BV45736</v>
      </c>
      <c r="C1276" s="8" t="str">
        <v>Pedido 1263</v>
      </c>
      <c r="D1276" s="9">
        <v>45733</v>
      </c>
      <c r="E1276" s="9">
        <v>45736</v>
      </c>
      <c r="F1276" s="8" t="str">
        <v>PedidoF1209</v>
      </c>
      <c r="G1276" s="2" t="str">
        <v>CódRastreio1207</v>
      </c>
      <c r="H1276" s="5">
        <v>1</v>
      </c>
      <c r="I1276" s="2" t="str">
        <v>CPF 1229</v>
      </c>
      <c r="J1276" s="2" t="str">
        <v>Nome 1229</v>
      </c>
      <c r="K1276" s="8" t="str">
        <v>Tel 1229</v>
      </c>
      <c r="L1276" s="8" t="str">
        <v>Cep 1229</v>
      </c>
      <c r="M1276" s="8" t="str">
        <v>Rua 1229</v>
      </c>
      <c r="N1276" s="8" t="str">
        <v>Comp 1229</v>
      </c>
      <c r="O1276" s="8" t="str">
        <v>Balança</v>
      </c>
      <c r="P1276" s="8" t="str">
        <v>P4-K63S-8KOM</v>
      </c>
      <c r="Q1276" s="4">
        <v>45752</v>
      </c>
      <c r="R1276" s="109">
        <v>28.99</v>
      </c>
      <c r="S1276" s="11">
        <f ca="1"/>
        <v>28.99</v>
      </c>
      <c r="T1276" s="28">
        <f ca="1"/>
        <v>3.7686999999999999</v>
      </c>
      <c r="U1276" s="11">
        <f ca="1"/>
        <v>25.22</v>
      </c>
      <c r="V1276" s="11">
        <v>14.8</v>
      </c>
      <c r="W1276" s="11">
        <f ca="1"/>
        <v>0.33</v>
      </c>
      <c r="X1276" s="11">
        <f ca="1"/>
        <v>0.39877104377104378</v>
      </c>
      <c r="Y1276" s="11">
        <v>0</v>
      </c>
      <c r="Z1276" s="11">
        <f ca="1"/>
        <v>9.6912289562289544</v>
      </c>
      <c r="AA1276" s="11">
        <f ca="1"/>
        <v>4.8456144781144772</v>
      </c>
      <c r="AB1276" s="4">
        <f ca="1"/>
        <v>45759</v>
      </c>
      <c r="AC1276" s="4">
        <v>45759</v>
      </c>
      <c r="AD1276" s="9">
        <v>45762</v>
      </c>
      <c r="AE1276" s="9">
        <v>45763</v>
      </c>
      <c r="AF1276" s="4" t="str">
        <f t="shared" ca="1" si="82"/>
        <v>2025 04</v>
      </c>
      <c r="AG1276" s="8" t="str" cm="1">
        <f t="array" ref="AG1276">IFERROR(_xlfn.IFS('Banco de Dados'!#REF!="AG. COMPRA","Em processamento",'Banco de Dados'!#REF!="AG. RASTREIO","Em processamento",'Banco de Dados'!$AE1276&lt;&gt;"-","Faturado",'Banco de Dados'!$AD1276&lt;&gt;"-","Aguardando Pix",'Banco de Dados'!$AC1276&lt;&gt;"-","Pendente"),"Aguardando Liberação")</f>
        <v>Aguardando Liberação</v>
      </c>
      <c r="AH1276" s="5" t="str">
        <f>IF('Banco de Dados'!$F1276="-",_xlfn.CONCAT(PROPER(TEXT(AK1276,"aaaa"))," ",PROPER(TEXT(AK1276,"mm"))),_xlfn.CONCAT(PROPER(TEXT(E1276,"aaaa"))," ",PROPER(TEXT(E1276,"mm"))))</f>
        <v>2025 03</v>
      </c>
      <c r="AI1276" s="9" t="str">
        <f ca="1">IF('Banco de Dados'!$AK1276&lt;&gt;"-","REEMBOLSO",IFERROR(_xlfn.XLOOKUP(G1276,Follow[CODRASTREIO],Follow[STATUS]),"-"))</f>
        <v>ENTREGUE</v>
      </c>
      <c r="AJ1276" s="9">
        <f ca="1">IF('Banco de Dados'!$AI1276="ENTREGUE",_xlfn.XLOOKUP('Banco de Dados'!$G1276,Follow[CODRASTREIO],Follow[DATAATUALIZAÇÃO]),"-")</f>
        <v>45743</v>
      </c>
      <c r="AK1276" s="132" t="str">
        <f ca="1"/>
        <v>-</v>
      </c>
      <c r="AL1276" s="35"/>
      <c r="AM1276" s="109" cm="1">
        <f t="array" aca="1" ref="AM1276" ca="1">IF('Banco de Dados'!$AK1276&lt;&gt;"-",_xlfn.IFS('Banco de Dados'!$A1276="bv",IF('Banco de Dados'!$E1276&lt;45641,ROUND(SUM('Banco de Dados'!$R1276*_xlfn.XLOOKUP('Banco de Dados'!$P1276,Sku!B:B,Sku!#REF!)*20%),2),ROUND(SUM('Banco de Dados'!$R1276*_xlfn.XLOOKUP('Banco de Dados'!$P1276,Sku!B:B,Sku!H:H)*20%),2)),'Banco de Dados'!$A1276="GO",ROUND(_xlfn.XLOOKUP('Banco de Dados'!$P1276,Sku!C:C,Sku!H:H),2),'Banco de Dados'!$A1276="MEI",ROUND(_xlfn.XLOOKUP('Banco de Dados'!$P1276,Sku!D:D,Sku!H:H),2)),0)</f>
        <v>0</v>
      </c>
      <c r="AN1276" s="109">
        <f ca="1">IF('Banco de Dados'!$AK1276&lt;&gt;"-",IF('Banco de Dados'!$F1276&lt;&gt;"-",_xlfn.XLOOKUP(IFERROR(IFERROR(IFERROR(VALUE(SUBSTITUTE(MID(_xlfn.TEXTAFTER('Banco de Dados'!$F1276,"Data do Pedido:
",1),1,10),"-","/")),VALUE(SUBSTITUTE(MID(_xlfn.TEXTAFTER('Banco de Dados'!$F1276,"Order date:
",1),1,10),"-","/"))),VALUE(SUBSTITUTE(MID(_xlfn.TEXTAFTER('Banco de Dados'!$F1276,"Fecha de pedido:
",1),1,10),"-","/"))),"-"),SMS!A:A,SMS!K:K),0),0)</f>
        <v>0</v>
      </c>
      <c r="AO1276" s="109">
        <f ca="1">IF('Banco de Dados'!$AK1276&lt;&gt;"-",IF('Banco de Dados'!$F1276&lt;&gt;"-",IFERROR(_xlfn.XLOOKUP(_xlfn.CONCAT('Banco de Dados'!$A1276,IFERROR(IFERROR(VALUE(SUBSTITUTE(MID(_xlfn.TEXTAFTER('Banco de Dados'!$F1276,"Data do Pedido:
",1),1,10),"-","/")),VALUE(SUBSTITUTE(MID(_xlfn.TEXTAFTER('Banco de Dados'!$F1276,"Order date:
",1),1,10),"-","/"))),0)),ProxyDD[Chave],ProxyDD[Valor por pedido]),PROXY!$P$2),0),0)</f>
        <v>0</v>
      </c>
      <c r="AP1276" s="28">
        <f ca="1">IF('Banco de Dados'!$AK1276&lt;&gt;"-",IF('Banco de Dados'!$AL1276="NÃO",IFERROR(VALUE(SUBSTITUTE(_xlfn.TEXTAFTER('Banco de Dados'!$F1276,"BRL ",1),".",",")),0),0),0)</f>
        <v>0</v>
      </c>
      <c r="AQ1276" s="28">
        <f ca="1">SUM('Banco de Dados'!$AM1276:$AP1276)</f>
        <v>0</v>
      </c>
      <c r="AR1276" s="8"/>
      <c r="AY1276" s="8"/>
    </row>
    <row r="1277" spans="1:51">
      <c r="A1277" s="5" t="str">
        <v>MEI</v>
      </c>
      <c r="B1277" s="5" t="str">
        <f ca="1"/>
        <v>MEI45734</v>
      </c>
      <c r="C1277" s="8" t="str">
        <v>Pedido 1264</v>
      </c>
      <c r="D1277" s="187">
        <v>45732</v>
      </c>
      <c r="E1277" s="9">
        <v>45734</v>
      </c>
      <c r="F1277" s="8" t="str">
        <v>PedidoF1210</v>
      </c>
      <c r="G1277" s="2" t="str">
        <v>CódRastreio1208</v>
      </c>
      <c r="H1277" s="5">
        <v>1</v>
      </c>
      <c r="I1277" s="2" t="str">
        <v>CPF 1230</v>
      </c>
      <c r="J1277" s="2" t="str">
        <v>Nome 1230</v>
      </c>
      <c r="K1277" s="8" t="str">
        <v>Tel 1230</v>
      </c>
      <c r="L1277" s="8" t="str">
        <v>Cep 1230</v>
      </c>
      <c r="M1277" s="8" t="str">
        <v>Rua 1230</v>
      </c>
      <c r="N1277" s="8" t="str">
        <v>Comp 1230</v>
      </c>
      <c r="O1277" s="8" t="str">
        <v>Máquina de cortar cabelo dragão</v>
      </c>
      <c r="P1277" s="8" t="str">
        <v>RX-DD1P-P5U2</v>
      </c>
      <c r="Q1277" s="4">
        <v>45757</v>
      </c>
      <c r="R1277" s="109">
        <v>24.8</v>
      </c>
      <c r="S1277" s="11">
        <f ca="1"/>
        <v>24.8</v>
      </c>
      <c r="T1277" s="28">
        <f ca="1"/>
        <v>2.976</v>
      </c>
      <c r="U1277" s="11">
        <f ca="1"/>
        <v>21.82</v>
      </c>
      <c r="V1277" s="11">
        <v>10.210000000000001</v>
      </c>
      <c r="W1277" s="11">
        <f ca="1"/>
        <v>0.42</v>
      </c>
      <c r="X1277" s="11">
        <f ca="1"/>
        <v>0.39877104377104378</v>
      </c>
      <c r="Y1277" s="11">
        <v>0</v>
      </c>
      <c r="Z1277" s="11">
        <f ca="1"/>
        <v>10.791228956228956</v>
      </c>
      <c r="AA1277" s="11">
        <f ca="1"/>
        <v>5.3956144781144779</v>
      </c>
      <c r="AB1277" s="4">
        <f ca="1"/>
        <v>45764</v>
      </c>
      <c r="AC1277" s="4">
        <v>45764</v>
      </c>
      <c r="AD1277" s="9">
        <v>45779</v>
      </c>
      <c r="AE1277" s="9">
        <v>45783</v>
      </c>
      <c r="AF1277" s="4" t="str">
        <f t="shared" ca="1" si="82"/>
        <v>2025 04</v>
      </c>
      <c r="AG1277" s="8" t="str" cm="1">
        <f t="array" ref="AG1277">IFERROR(_xlfn.IFS('Banco de Dados'!#REF!="AG. COMPRA","Em processamento",'Banco de Dados'!#REF!="AG. RASTREIO","Em processamento",'Banco de Dados'!$AE1277&lt;&gt;"-","Faturado",'Banco de Dados'!$AD1277&lt;&gt;"-","Aguardando Pix",'Banco de Dados'!$AC1277&lt;&gt;"-","Pendente"),"Aguardando Liberação")</f>
        <v>Aguardando Liberação</v>
      </c>
      <c r="AH1277" s="5" t="str">
        <f>IF('Banco de Dados'!$F1277="-",_xlfn.CONCAT(PROPER(TEXT(AK1277,"aaaa"))," ",PROPER(TEXT(AK1277,"mm"))),_xlfn.CONCAT(PROPER(TEXT(E1277,"aaaa"))," ",PROPER(TEXT(E1277,"mm"))))</f>
        <v>2025 03</v>
      </c>
      <c r="AI1277" s="9" t="str">
        <f ca="1">IF('Banco de Dados'!$AK1277&lt;&gt;"-","REEMBOLSO",IFERROR(_xlfn.XLOOKUP(G1277,Follow[CODRASTREIO],Follow[STATUS]),"-"))</f>
        <v>ENTREGUE</v>
      </c>
      <c r="AJ1277" s="9">
        <f ca="1">IF('Banco de Dados'!$AI1277="ENTREGUE",_xlfn.XLOOKUP('Banco de Dados'!$G1277,Follow[CODRASTREIO],Follow[DATAATUALIZAÇÃO]),"-")</f>
        <v>45750</v>
      </c>
      <c r="AK1277" s="132" t="str">
        <f ca="1"/>
        <v>-</v>
      </c>
      <c r="AL1277" s="35"/>
      <c r="AM1277" s="109" cm="1">
        <f t="array" aca="1" ref="AM1277" ca="1">IF('Banco de Dados'!$AK1277&lt;&gt;"-",_xlfn.IFS('Banco de Dados'!$A1277="bv",IF('Banco de Dados'!$E1277&lt;45641,ROUND(SUM('Banco de Dados'!$R1277*_xlfn.XLOOKUP('Banco de Dados'!$P1277,Sku!B:B,Sku!#REF!)*20%),2),ROUND(SUM('Banco de Dados'!$R1277*_xlfn.XLOOKUP('Banco de Dados'!$P1277,Sku!B:B,Sku!H:H)*20%),2)),'Banco de Dados'!$A1277="GO",ROUND(SUM('Banco de Dados'!$R1277*_xlfn.XLOOKUP('Banco de Dados'!$P1277,Sku!C:C,Sku!H:H)*20%),2),'Banco de Dados'!$A1277="MEI",ROUND(SUM('Banco de Dados'!$R1277*_xlfn.XLOOKUP('Banco de Dados'!$P1277,Sku!D:D,Sku!H:H)*20%),2)),0)</f>
        <v>0</v>
      </c>
      <c r="AN1277" s="109">
        <f ca="1">IF('Banco de Dados'!$AK1277&lt;&gt;"-",IF('Banco de Dados'!$F1277&lt;&gt;"-",_xlfn.XLOOKUP(IFERROR(IFERROR(IFERROR(VALUE(SUBSTITUTE(MID(_xlfn.TEXTAFTER('Banco de Dados'!$F1277,"Data do Pedido:
",1),1,10),"-","/")),VALUE(SUBSTITUTE(MID(_xlfn.TEXTAFTER('Banco de Dados'!$F1277,"Order date:
",1),1,10),"-","/"))),VALUE(SUBSTITUTE(MID(_xlfn.TEXTAFTER('Banco de Dados'!$F1277,"Fecha de pedido:
",1),1,10),"-","/"))),"-"),SMS!A:A,SMS!K:K),0),0)</f>
        <v>0</v>
      </c>
      <c r="AO1277" s="109">
        <f ca="1">IF('Banco de Dados'!$AK1277&lt;&gt;"-",IF('Banco de Dados'!$F1277&lt;&gt;"-",IFERROR(_xlfn.XLOOKUP(_xlfn.CONCAT('Banco de Dados'!$A1277,IFERROR(IFERROR(VALUE(SUBSTITUTE(MID(_xlfn.TEXTAFTER('Banco de Dados'!$F1277,"Data do Pedido:
",1),1,10),"-","/")),VALUE(SUBSTITUTE(MID(_xlfn.TEXTAFTER('Banco de Dados'!$F1277,"Order date:
",1),1,10),"-","/"))),0)),ProxyDD[Chave],ProxyDD[Valor por pedido]),PROXY!$P$2),0),0)</f>
        <v>0</v>
      </c>
      <c r="AP1277" s="28">
        <f ca="1">IF('Banco de Dados'!$AK1277&lt;&gt;"-",IF('Banco de Dados'!$AL1277="NÃO",IFERROR(VALUE(SUBSTITUTE(_xlfn.TEXTAFTER('Banco de Dados'!$F1277,"BRL ",1),".",",")),0),0),0)</f>
        <v>0</v>
      </c>
      <c r="AQ1277" s="28">
        <f ca="1">SUM('Banco de Dados'!$AM1277:$AP1277)</f>
        <v>0</v>
      </c>
      <c r="AR1277" s="8"/>
      <c r="AY1277" s="8"/>
    </row>
    <row r="1278" spans="1:51">
      <c r="A1278" s="5" t="str">
        <v>MEI</v>
      </c>
      <c r="B1278" s="5" t="str">
        <f ca="1"/>
        <v>MEI45734</v>
      </c>
      <c r="C1278" s="8" t="str">
        <v>Pedido 1265</v>
      </c>
      <c r="D1278" s="187">
        <v>45732</v>
      </c>
      <c r="E1278" s="9">
        <v>45734</v>
      </c>
      <c r="F1278" s="8" t="str">
        <v>PedidoF1211</v>
      </c>
      <c r="G1278" s="2" t="str">
        <v>CódRastreio1209</v>
      </c>
      <c r="H1278" s="5">
        <v>1</v>
      </c>
      <c r="I1278" s="2" t="str">
        <v>CPF 1231</v>
      </c>
      <c r="J1278" s="2" t="str">
        <v>Nome 1231</v>
      </c>
      <c r="K1278" s="8" t="str">
        <v>Tel 1231</v>
      </c>
      <c r="L1278" s="8" t="str">
        <v>Cep 1231</v>
      </c>
      <c r="M1278" s="8" t="str">
        <v>Rua 1231</v>
      </c>
      <c r="N1278" s="8" t="str">
        <v>Comp 1231</v>
      </c>
      <c r="O1278" s="8" t="str">
        <v>Maçarico Culinário Portátil</v>
      </c>
      <c r="P1278" s="8" t="str">
        <v>BG-DHRO-FAEE</v>
      </c>
      <c r="Q1278" s="4">
        <v>45757</v>
      </c>
      <c r="R1278" s="109">
        <v>24.99</v>
      </c>
      <c r="S1278" s="11">
        <f ca="1"/>
        <v>24.99</v>
      </c>
      <c r="T1278" s="28">
        <f ca="1"/>
        <v>2.7488999999999999</v>
      </c>
      <c r="U1278" s="11">
        <f ca="1"/>
        <v>22.24</v>
      </c>
      <c r="V1278" s="11">
        <v>10.15</v>
      </c>
      <c r="W1278" s="11">
        <f ca="1"/>
        <v>0.42</v>
      </c>
      <c r="X1278" s="11">
        <f ca="1"/>
        <v>0.39877104377104378</v>
      </c>
      <c r="Y1278" s="11">
        <v>0</v>
      </c>
      <c r="Z1278" s="11">
        <f ca="1"/>
        <v>11.271228956228954</v>
      </c>
      <c r="AA1278" s="11">
        <f ca="1"/>
        <v>5.6356144781144772</v>
      </c>
      <c r="AB1278" s="4">
        <f ca="1"/>
        <v>45764</v>
      </c>
      <c r="AC1278" s="4">
        <v>45764</v>
      </c>
      <c r="AD1278" s="9">
        <v>45779</v>
      </c>
      <c r="AE1278" s="9">
        <v>45783</v>
      </c>
      <c r="AF1278" s="4" t="str">
        <f t="shared" ref="AF1278:AF1310" ca="1" si="83">_xlfn.CONCAT(PROPER(TEXT(AB1278,"aaaa"))," ",PROPER(TEXT(AB1278,"mm")))</f>
        <v>2025 04</v>
      </c>
      <c r="AG1278" s="8" t="str" cm="1">
        <f t="array" ref="AG1278">IFERROR(_xlfn.IFS('Banco de Dados'!#REF!="AG. COMPRA","Em processamento",'Banco de Dados'!#REF!="AG. RASTREIO","Em processamento",'Banco de Dados'!$AE1278&lt;&gt;"-","Faturado",'Banco de Dados'!$AD1278&lt;&gt;"-","Aguardando Pix",'Banco de Dados'!$AC1278&lt;&gt;"-","Pendente"),"Aguardando Liberação")</f>
        <v>Aguardando Liberação</v>
      </c>
      <c r="AH1278" s="5" t="str">
        <f>IF('Banco de Dados'!$F1278="-",_xlfn.CONCAT(PROPER(TEXT(AK1278,"aaaa"))," ",PROPER(TEXT(AK1278,"mm"))),_xlfn.CONCAT(PROPER(TEXT(E1278,"aaaa"))," ",PROPER(TEXT(E1278,"mm"))))</f>
        <v>2025 03</v>
      </c>
      <c r="AI1278" s="9" t="str">
        <f ca="1">IF('Banco de Dados'!$AK1278&lt;&gt;"-","REEMBOLSO",IFERROR(_xlfn.XLOOKUP(G1278,Follow[CODRASTREIO],Follow[STATUS]),"-"))</f>
        <v>ENTREGUE</v>
      </c>
      <c r="AJ1278" s="9">
        <f ca="1">IF('Banco de Dados'!$AI1278="ENTREGUE",_xlfn.XLOOKUP('Banco de Dados'!$G1278,Follow[CODRASTREIO],Follow[DATAATUALIZAÇÃO]),"-")</f>
        <v>45748</v>
      </c>
      <c r="AK1278" s="132" t="str">
        <f ca="1"/>
        <v>-</v>
      </c>
      <c r="AL1278" s="35"/>
      <c r="AM1278" s="109" cm="1">
        <f t="array" aca="1" ref="AM1278" ca="1">IF('Banco de Dados'!$AK1278&lt;&gt;"-",_xlfn.IFS('Banco de Dados'!$A1278="bv",IF('Banco de Dados'!$E1278&lt;45641,ROUND(SUM('Banco de Dados'!$R1278*_xlfn.XLOOKUP('Banco de Dados'!$P1278,Sku!B:B,Sku!#REF!)*20%),2),ROUND(SUM('Banco de Dados'!$R1278*_xlfn.XLOOKUP('Banco de Dados'!$P1278,Sku!B:B,Sku!H:H)*20%),2)),'Banco de Dados'!$A1278="GO",ROUND(SUM('Banco de Dados'!$R1278*_xlfn.XLOOKUP('Banco de Dados'!$P1278,Sku!C:C,Sku!H:H)*20%),2),'Banco de Dados'!$A1278="MEI",ROUND(SUM('Banco de Dados'!$R1278*_xlfn.XLOOKUP('Banco de Dados'!$P1278,Sku!D:D,Sku!H:H)*20%),2)),0)</f>
        <v>0</v>
      </c>
      <c r="AN1278" s="109">
        <f ca="1">IF('Banco de Dados'!$AK1278&lt;&gt;"-",IF('Banco de Dados'!$F1278&lt;&gt;"-",_xlfn.XLOOKUP(IFERROR(IFERROR(IFERROR(VALUE(SUBSTITUTE(MID(_xlfn.TEXTAFTER('Banco de Dados'!$F1278,"Data do Pedido:
",1),1,10),"-","/")),VALUE(SUBSTITUTE(MID(_xlfn.TEXTAFTER('Banco de Dados'!$F1278,"Order date:
",1),1,10),"-","/"))),VALUE(SUBSTITUTE(MID(_xlfn.TEXTAFTER('Banco de Dados'!$F1278,"Fecha de pedido:
",1),1,10),"-","/"))),"-"),SMS!A:A,SMS!K:K),0),0)</f>
        <v>0</v>
      </c>
      <c r="AO1278" s="109">
        <f ca="1">IF('Banco de Dados'!$AK1278&lt;&gt;"-",IF('Banco de Dados'!$F1278&lt;&gt;"-",IFERROR(_xlfn.XLOOKUP(_xlfn.CONCAT('Banco de Dados'!$A1278,IFERROR(IFERROR(VALUE(SUBSTITUTE(MID(_xlfn.TEXTAFTER('Banco de Dados'!$F1278,"Data do Pedido:
",1),1,10),"-","/")),VALUE(SUBSTITUTE(MID(_xlfn.TEXTAFTER('Banco de Dados'!$F1278,"Order date:
",1),1,10),"-","/"))),0)),ProxyDD[Chave],ProxyDD[Valor por pedido]),PROXY!$P$2),0),0)</f>
        <v>0</v>
      </c>
      <c r="AP1278" s="28">
        <f ca="1">IF('Banco de Dados'!$AK1278&lt;&gt;"-",IF('Banco de Dados'!$AL1278="NÃO",IFERROR(VALUE(SUBSTITUTE(_xlfn.TEXTAFTER('Banco de Dados'!$F1278,"BRL ",1),".",",")),0),0),0)</f>
        <v>0</v>
      </c>
      <c r="AQ1278" s="28">
        <f ca="1">SUM('Banco de Dados'!$AM1278:$AP1278)</f>
        <v>0</v>
      </c>
      <c r="AR1278" s="8"/>
      <c r="AY1278" s="8"/>
    </row>
    <row r="1279" spans="1:51">
      <c r="A1279" s="5" t="str">
        <v>MEI</v>
      </c>
      <c r="B1279" s="5" t="str">
        <f ca="1"/>
        <v>MEI45736</v>
      </c>
      <c r="C1279" s="8" t="str">
        <v>Pedido 1266</v>
      </c>
      <c r="D1279" s="187">
        <v>45732</v>
      </c>
      <c r="E1279" s="9">
        <v>45736</v>
      </c>
      <c r="F1279" s="8" t="str">
        <v>PedidoF1212</v>
      </c>
      <c r="G1279" s="2" t="str">
        <v>CódRastreio1210</v>
      </c>
      <c r="H1279" s="5">
        <v>1</v>
      </c>
      <c r="I1279" s="2" t="str">
        <v>CPF 1232</v>
      </c>
      <c r="J1279" s="2" t="str">
        <v>Nome 1232</v>
      </c>
      <c r="K1279" s="8" t="str">
        <v>Tel 1232</v>
      </c>
      <c r="L1279" s="8" t="str">
        <v>Cep 1232</v>
      </c>
      <c r="M1279" s="8" t="str">
        <v>Rua 1232</v>
      </c>
      <c r="N1279" s="8" t="str">
        <v>Comp 1232</v>
      </c>
      <c r="O1279" s="8" t="str">
        <v>Máquina de cortar cabelo dragão</v>
      </c>
      <c r="P1279" s="8" t="str">
        <v>RX-DD1P-P5U2</v>
      </c>
      <c r="Q1279" s="4">
        <v>45757</v>
      </c>
      <c r="R1279" s="109">
        <v>24.8</v>
      </c>
      <c r="S1279" s="11">
        <f ca="1"/>
        <v>24.8</v>
      </c>
      <c r="T1279" s="28">
        <f ca="1"/>
        <v>2.976</v>
      </c>
      <c r="U1279" s="11">
        <f ca="1"/>
        <v>21.82</v>
      </c>
      <c r="V1279" s="11">
        <v>10.54</v>
      </c>
      <c r="W1279" s="11">
        <f ca="1"/>
        <v>0.47</v>
      </c>
      <c r="X1279" s="11">
        <f ca="1"/>
        <v>0.39877104377104378</v>
      </c>
      <c r="Y1279" s="11">
        <v>0</v>
      </c>
      <c r="Z1279" s="11">
        <f ca="1"/>
        <v>10.411228956228957</v>
      </c>
      <c r="AA1279" s="11">
        <f ca="1"/>
        <v>5.2056144781144784</v>
      </c>
      <c r="AB1279" s="4">
        <f ca="1"/>
        <v>45764</v>
      </c>
      <c r="AC1279" s="4">
        <v>45764</v>
      </c>
      <c r="AD1279" s="9">
        <v>45779</v>
      </c>
      <c r="AE1279" s="9">
        <v>45783</v>
      </c>
      <c r="AF1279" s="4" t="str">
        <f t="shared" ca="1" si="83"/>
        <v>2025 04</v>
      </c>
      <c r="AG1279" s="8" t="str" cm="1">
        <f t="array" ref="AG1279">IFERROR(_xlfn.IFS('Banco de Dados'!#REF!="AG. COMPRA","Em processamento",'Banco de Dados'!#REF!="AG. RASTREIO","Em processamento",'Banco de Dados'!$AE1279&lt;&gt;"-","Faturado",'Banco de Dados'!$AD1279&lt;&gt;"-","Aguardando Pix",'Banco de Dados'!$AC1279&lt;&gt;"-","Pendente"),"Aguardando Liberação")</f>
        <v>Aguardando Liberação</v>
      </c>
      <c r="AH1279" s="5" t="str">
        <f>IF('Banco de Dados'!$F1279="-",_xlfn.CONCAT(PROPER(TEXT(AK1279,"aaaa"))," ",PROPER(TEXT(AK1279,"mm"))),_xlfn.CONCAT(PROPER(TEXT(E1279,"aaaa"))," ",PROPER(TEXT(E1279,"mm"))))</f>
        <v>2025 03</v>
      </c>
      <c r="AI1279" s="9" t="str">
        <f ca="1">IF('Banco de Dados'!$AK1279&lt;&gt;"-","REEMBOLSO",IFERROR(_xlfn.XLOOKUP(G1279,Follow[CODRASTREIO],Follow[STATUS]),"-"))</f>
        <v>ENTREGUE</v>
      </c>
      <c r="AJ1279" s="9">
        <f ca="1">IF('Banco de Dados'!$AI1279="ENTREGUE",_xlfn.XLOOKUP('Banco de Dados'!$G1279,Follow[CODRASTREIO],Follow[DATAATUALIZAÇÃO]),"-")</f>
        <v>45749</v>
      </c>
      <c r="AK1279" s="132" t="str">
        <f ca="1"/>
        <v>-</v>
      </c>
      <c r="AL1279" s="35"/>
      <c r="AM1279" s="109" cm="1">
        <f t="array" aca="1" ref="AM1279" ca="1">IF('Banco de Dados'!$AK1279&lt;&gt;"-",_xlfn.IFS('Banco de Dados'!$A1279="bv",IF('Banco de Dados'!$E1279&lt;45641,ROUND(SUM('Banco de Dados'!$R1279*_xlfn.XLOOKUP('Banco de Dados'!$P1279,Sku!B:B,Sku!#REF!)*20%),2),ROUND(SUM('Banco de Dados'!$R1279*_xlfn.XLOOKUP('Banco de Dados'!$P1279,Sku!B:B,Sku!H:H)*20%),2)),'Banco de Dados'!$A1279="GO",ROUND(SUM('Banco de Dados'!$R1279*_xlfn.XLOOKUP('Banco de Dados'!$P1279,Sku!C:C,Sku!H:H)*20%),2),'Banco de Dados'!$A1279="MEI",ROUND(SUM('Banco de Dados'!$R1279*_xlfn.XLOOKUP('Banco de Dados'!$P1279,Sku!D:D,Sku!H:H)*20%),2)),0)</f>
        <v>0</v>
      </c>
      <c r="AN1279" s="109">
        <f ca="1">IF('Banco de Dados'!$AK1279&lt;&gt;"-",IF('Banco de Dados'!$F1279&lt;&gt;"-",_xlfn.XLOOKUP(IFERROR(IFERROR(IFERROR(VALUE(SUBSTITUTE(MID(_xlfn.TEXTAFTER('Banco de Dados'!$F1279,"Data do Pedido:
",1),1,10),"-","/")),VALUE(SUBSTITUTE(MID(_xlfn.TEXTAFTER('Banco de Dados'!$F1279,"Order date:
",1),1,10),"-","/"))),VALUE(SUBSTITUTE(MID(_xlfn.TEXTAFTER('Banco de Dados'!$F1279,"Fecha de pedido:
",1),1,10),"-","/"))),"-"),SMS!A:A,SMS!K:K),0),0)</f>
        <v>0</v>
      </c>
      <c r="AO1279" s="109">
        <f ca="1">IF('Banco de Dados'!$AK1279&lt;&gt;"-",IF('Banco de Dados'!$F1279&lt;&gt;"-",IFERROR(_xlfn.XLOOKUP(_xlfn.CONCAT('Banco de Dados'!$A1279,IFERROR(IFERROR(VALUE(SUBSTITUTE(MID(_xlfn.TEXTAFTER('Banco de Dados'!$F1279,"Data do Pedido:
",1),1,10),"-","/")),VALUE(SUBSTITUTE(MID(_xlfn.TEXTAFTER('Banco de Dados'!$F1279,"Order date:
",1),1,10),"-","/"))),0)),ProxyDD[Chave],ProxyDD[Valor por pedido]),PROXY!$P$2),0),0)</f>
        <v>0</v>
      </c>
      <c r="AP1279" s="28">
        <f ca="1">IF('Banco de Dados'!$AK1279&lt;&gt;"-",IF('Banco de Dados'!$AL1279="NÃO",IFERROR(VALUE(SUBSTITUTE(_xlfn.TEXTAFTER('Banco de Dados'!$F1279,"BRL ",1),".",",")),0),0),0)</f>
        <v>0</v>
      </c>
      <c r="AQ1279" s="28">
        <f ca="1">SUM('Banco de Dados'!$AM1279:$AP1279)</f>
        <v>0</v>
      </c>
      <c r="AR1279" s="8"/>
      <c r="AY1279" s="8"/>
    </row>
    <row r="1280" spans="1:51">
      <c r="A1280" s="5" t="str">
        <v>MEI</v>
      </c>
      <c r="B1280" s="5" t="str">
        <f ca="1"/>
        <v>MEI45736</v>
      </c>
      <c r="C1280" s="8" t="str">
        <v>Pedido 1267</v>
      </c>
      <c r="D1280" s="187">
        <v>45732</v>
      </c>
      <c r="E1280" s="9">
        <v>45736</v>
      </c>
      <c r="F1280" s="8" t="str">
        <v>PedidoF1213</v>
      </c>
      <c r="G1280" s="2" t="str">
        <v>CódRastreio1211</v>
      </c>
      <c r="H1280" s="5">
        <v>1</v>
      </c>
      <c r="I1280" s="2" t="str">
        <v>CPF 1233</v>
      </c>
      <c r="J1280" s="2" t="str">
        <v>Nome 1233</v>
      </c>
      <c r="K1280" s="8" t="str">
        <v>Tel 1233</v>
      </c>
      <c r="L1280" s="8" t="str">
        <v>Cep 1233</v>
      </c>
      <c r="M1280" s="8" t="str">
        <v>Rua 1233</v>
      </c>
      <c r="N1280" s="8" t="str">
        <v>Comp 1233</v>
      </c>
      <c r="O1280" s="8" t="str">
        <v>Bomba d'agua</v>
      </c>
      <c r="P1280" s="8" t="str">
        <v>U1-D95R-HYRT</v>
      </c>
      <c r="Q1280" s="4">
        <v>45751</v>
      </c>
      <c r="R1280" s="109">
        <v>21</v>
      </c>
      <c r="S1280" s="11">
        <f ca="1"/>
        <v>21</v>
      </c>
      <c r="T1280" s="28">
        <f ca="1"/>
        <v>2.9400000000000004</v>
      </c>
      <c r="U1280" s="11">
        <f ca="1"/>
        <v>18.059999999999999</v>
      </c>
      <c r="V1280" s="11">
        <v>16.190000000000001</v>
      </c>
      <c r="W1280" s="11">
        <f ca="1"/>
        <v>0.47</v>
      </c>
      <c r="X1280" s="11">
        <f ca="1"/>
        <v>0.39877104377104378</v>
      </c>
      <c r="Y1280" s="11">
        <v>0</v>
      </c>
      <c r="Z1280" s="11">
        <f ca="1"/>
        <v>1.0012289562289531</v>
      </c>
      <c r="AA1280" s="11">
        <f ca="1"/>
        <v>0.50061447811447657</v>
      </c>
      <c r="AB1280" s="4">
        <f ca="1"/>
        <v>45758</v>
      </c>
      <c r="AC1280" s="4">
        <v>45758</v>
      </c>
      <c r="AD1280" s="9">
        <v>45762</v>
      </c>
      <c r="AE1280" s="9">
        <v>45763</v>
      </c>
      <c r="AF1280" s="4" t="str">
        <f t="shared" ca="1" si="83"/>
        <v>2025 04</v>
      </c>
      <c r="AG1280" s="8" t="str" cm="1">
        <f t="array" ref="AG1280">IFERROR(_xlfn.IFS('Banco de Dados'!#REF!="AG. COMPRA","Em processamento",'Banco de Dados'!#REF!="AG. RASTREIO","Em processamento",'Banco de Dados'!$AE1280&lt;&gt;"-","Faturado",'Banco de Dados'!$AD1280&lt;&gt;"-","Aguardando Pix",'Banco de Dados'!$AC1280&lt;&gt;"-","Pendente"),"Aguardando Liberação")</f>
        <v>Aguardando Liberação</v>
      </c>
      <c r="AH1280" s="5" t="str">
        <f>IF('Banco de Dados'!$F1280="-",_xlfn.CONCAT(PROPER(TEXT(AK1280,"aaaa"))," ",PROPER(TEXT(AK1280,"mm"))),_xlfn.CONCAT(PROPER(TEXT(E1280,"aaaa"))," ",PROPER(TEXT(E1280,"mm"))))</f>
        <v>2025 03</v>
      </c>
      <c r="AI1280" s="9" t="str">
        <f ca="1">IF('Banco de Dados'!$AK1280&lt;&gt;"-","REEMBOLSO",IFERROR(_xlfn.XLOOKUP(G1280,Follow[CODRASTREIO],Follow[STATUS]),"-"))</f>
        <v>ENTREGUE</v>
      </c>
      <c r="AJ1280" s="9">
        <f ca="1">IF('Banco de Dados'!$AI1280="ENTREGUE",_xlfn.XLOOKUP('Banco de Dados'!$G1280,Follow[CODRASTREIO],Follow[DATAATUALIZAÇÃO]),"-")</f>
        <v>45756</v>
      </c>
      <c r="AK1280" s="132" t="str">
        <f ca="1"/>
        <v>-</v>
      </c>
      <c r="AL1280" s="35"/>
      <c r="AM1280" s="109" cm="1">
        <f t="array" aca="1" ref="AM1280" ca="1">IF('Banco de Dados'!$AK1280&lt;&gt;"-",_xlfn.IFS('Banco de Dados'!$A1280="bv",IF('Banco de Dados'!$E1280&lt;45641,ROUND(SUM('Banco de Dados'!$R1280*_xlfn.XLOOKUP('Banco de Dados'!$P1280,Sku!B:B,Sku!#REF!)*20%),2),ROUND(SUM('Banco de Dados'!$R1280*_xlfn.XLOOKUP('Banco de Dados'!$P1280,Sku!B:B,Sku!H:H)*20%),2)),'Banco de Dados'!$A1280="GO",ROUND(SUM('Banco de Dados'!$R1280*_xlfn.XLOOKUP('Banco de Dados'!$P1280,Sku!C:C,Sku!H:H)*20%),2),'Banco de Dados'!$A1280="MEI",ROUND(SUM('Banco de Dados'!$R1280*_xlfn.XLOOKUP('Banco de Dados'!$P1280,Sku!D:D,Sku!H:H)*20%),2)),0)</f>
        <v>0</v>
      </c>
      <c r="AN1280" s="109">
        <f ca="1">IF('Banco de Dados'!$AK1280&lt;&gt;"-",IF('Banco de Dados'!$F1280&lt;&gt;"-",_xlfn.XLOOKUP(IFERROR(IFERROR(IFERROR(VALUE(SUBSTITUTE(MID(_xlfn.TEXTAFTER('Banco de Dados'!$F1280,"Data do Pedido:
",1),1,10),"-","/")),VALUE(SUBSTITUTE(MID(_xlfn.TEXTAFTER('Banco de Dados'!$F1280,"Order date:
",1),1,10),"-","/"))),VALUE(SUBSTITUTE(MID(_xlfn.TEXTAFTER('Banco de Dados'!$F1280,"Fecha de pedido:
",1),1,10),"-","/"))),"-"),SMS!A:A,SMS!K:K),0),0)</f>
        <v>0</v>
      </c>
      <c r="AO1280" s="109">
        <f ca="1">IF('Banco de Dados'!$AK1280&lt;&gt;"-",IF('Banco de Dados'!$F1280&lt;&gt;"-",IFERROR(_xlfn.XLOOKUP(_xlfn.CONCAT('Banco de Dados'!$A1280,IFERROR(IFERROR(VALUE(SUBSTITUTE(MID(_xlfn.TEXTAFTER('Banco de Dados'!$F1280,"Data do Pedido:
",1),1,10),"-","/")),VALUE(SUBSTITUTE(MID(_xlfn.TEXTAFTER('Banco de Dados'!$F1280,"Order date:
",1),1,10),"-","/"))),0)),ProxyDD[Chave],ProxyDD[Valor por pedido]),PROXY!$P$2),0),0)</f>
        <v>0</v>
      </c>
      <c r="AP1280" s="28">
        <f ca="1">IF('Banco de Dados'!$AK1280&lt;&gt;"-",IF('Banco de Dados'!$AL1280="NÃO",IFERROR(VALUE(SUBSTITUTE(_xlfn.TEXTAFTER('Banco de Dados'!$F1280,"BRL ",1),".",",")),0),0),0)</f>
        <v>0</v>
      </c>
      <c r="AQ1280" s="28">
        <f ca="1">SUM('Banco de Dados'!$AM1280:$AP1280)</f>
        <v>0</v>
      </c>
      <c r="AR1280" s="8"/>
      <c r="AY1280" s="8"/>
    </row>
    <row r="1281" spans="1:51">
      <c r="A1281" s="5" t="str">
        <v>MEI</v>
      </c>
      <c r="B1281" s="5" t="str">
        <f ca="1"/>
        <v>MEI45733</v>
      </c>
      <c r="C1281" s="8" t="str">
        <v>Pedido 1268</v>
      </c>
      <c r="D1281" s="187">
        <v>45732</v>
      </c>
      <c r="E1281" s="9">
        <v>45733</v>
      </c>
      <c r="F1281" s="8" t="str">
        <v>PedidoF1214</v>
      </c>
      <c r="G1281" s="2" t="str">
        <v>CódRastreio1212</v>
      </c>
      <c r="H1281" s="5">
        <v>1</v>
      </c>
      <c r="I1281" s="2" t="str">
        <v>CPF 1234</v>
      </c>
      <c r="J1281" s="2" t="str">
        <v>Nome 1234</v>
      </c>
      <c r="K1281" s="8" t="str">
        <v>Tel 1234</v>
      </c>
      <c r="L1281" s="8" t="str">
        <v>Cep 1234</v>
      </c>
      <c r="M1281" s="8" t="str">
        <v>Rua 1234</v>
      </c>
      <c r="N1281" s="8" t="str">
        <v>Comp 1234</v>
      </c>
      <c r="O1281" s="8" t="str">
        <v>Máquina de cortar cabelo dragão</v>
      </c>
      <c r="P1281" s="8" t="str">
        <v>RX-DD1P-P5U2</v>
      </c>
      <c r="Q1281" s="4">
        <v>45751</v>
      </c>
      <c r="R1281" s="109">
        <v>24.8</v>
      </c>
      <c r="S1281" s="11">
        <f ca="1"/>
        <v>24.8</v>
      </c>
      <c r="T1281" s="28">
        <f ca="1"/>
        <v>2.976</v>
      </c>
      <c r="U1281" s="11">
        <f ca="1"/>
        <v>21.82</v>
      </c>
      <c r="V1281" s="11">
        <v>10.16</v>
      </c>
      <c r="W1281" s="11">
        <f ca="1"/>
        <v>0.46</v>
      </c>
      <c r="X1281" s="11">
        <f ca="1"/>
        <v>0.39877104377104378</v>
      </c>
      <c r="Y1281" s="11">
        <v>0</v>
      </c>
      <c r="Z1281" s="11">
        <f ca="1"/>
        <v>10.801228956228956</v>
      </c>
      <c r="AA1281" s="11">
        <f ca="1"/>
        <v>5.4006144781144778</v>
      </c>
      <c r="AB1281" s="4">
        <f ca="1"/>
        <v>45758</v>
      </c>
      <c r="AC1281" s="4">
        <v>45758</v>
      </c>
      <c r="AD1281" s="9">
        <v>45762</v>
      </c>
      <c r="AE1281" s="9">
        <v>45763</v>
      </c>
      <c r="AF1281" s="4" t="str">
        <f t="shared" ca="1" si="83"/>
        <v>2025 04</v>
      </c>
      <c r="AG1281" s="8" t="str" cm="1">
        <f t="array" ref="AG1281">IFERROR(_xlfn.IFS('Banco de Dados'!#REF!="AG. COMPRA","Em processamento",'Banco de Dados'!#REF!="AG. RASTREIO","Em processamento",'Banco de Dados'!$AE1281&lt;&gt;"-","Faturado",'Banco de Dados'!$AD1281&lt;&gt;"-","Aguardando Pix",'Banco de Dados'!$AC1281&lt;&gt;"-","Pendente"),"Aguardando Liberação")</f>
        <v>Aguardando Liberação</v>
      </c>
      <c r="AH1281" s="5" t="str">
        <f>IF('Banco de Dados'!$F1281="-",_xlfn.CONCAT(PROPER(TEXT(AK1281,"aaaa"))," ",PROPER(TEXT(AK1281,"mm"))),_xlfn.CONCAT(PROPER(TEXT(E1281,"aaaa"))," ",PROPER(TEXT(E1281,"mm"))))</f>
        <v>2025 03</v>
      </c>
      <c r="AI1281" s="9" t="str">
        <f ca="1">IF('Banco de Dados'!$AK1281&lt;&gt;"-","REEMBOLSO",IFERROR(_xlfn.XLOOKUP(G1281,Follow[CODRASTREIO],Follow[STATUS]),"-"))</f>
        <v>ENTREGUE</v>
      </c>
      <c r="AJ1281" s="9">
        <f ca="1">IF('Banco de Dados'!$AI1281="ENTREGUE",_xlfn.XLOOKUP('Banco de Dados'!$G1281,Follow[CODRASTREIO],Follow[DATAATUALIZAÇÃO]),"-")</f>
        <v>45754</v>
      </c>
      <c r="AK1281" s="132" t="str">
        <f ca="1"/>
        <v>-</v>
      </c>
      <c r="AL1281" s="35"/>
      <c r="AM1281" s="109" cm="1">
        <f t="array" aca="1" ref="AM1281" ca="1">IF('Banco de Dados'!$AK1281&lt;&gt;"-",_xlfn.IFS('Banco de Dados'!$A1281="bv",IF('Banco de Dados'!$E1281&lt;45641,ROUND(SUM('Banco de Dados'!$R1281*_xlfn.XLOOKUP('Banco de Dados'!$P1281,Sku!B:B,Sku!#REF!)*20%),2),ROUND(SUM('Banco de Dados'!$R1281*_xlfn.XLOOKUP('Banco de Dados'!$P1281,Sku!B:B,Sku!H:H)*20%),2)),'Banco de Dados'!$A1281="GO",ROUND(SUM('Banco de Dados'!$R1281*_xlfn.XLOOKUP('Banco de Dados'!$P1281,Sku!C:C,Sku!H:H)*20%),2),'Banco de Dados'!$A1281="MEI",ROUND(SUM('Banco de Dados'!$R1281*_xlfn.XLOOKUP('Banco de Dados'!$P1281,Sku!D:D,Sku!H:H)*20%),2)),0)</f>
        <v>0</v>
      </c>
      <c r="AN1281" s="109">
        <f ca="1">IF('Banco de Dados'!$AK1281&lt;&gt;"-",IF('Banco de Dados'!$F1281&lt;&gt;"-",_xlfn.XLOOKUP(IFERROR(IFERROR(IFERROR(VALUE(SUBSTITUTE(MID(_xlfn.TEXTAFTER('Banco de Dados'!$F1281,"Data do Pedido:
",1),1,10),"-","/")),VALUE(SUBSTITUTE(MID(_xlfn.TEXTAFTER('Banco de Dados'!$F1281,"Order date:
",1),1,10),"-","/"))),VALUE(SUBSTITUTE(MID(_xlfn.TEXTAFTER('Banco de Dados'!$F1281,"Fecha de pedido:
",1),1,10),"-","/"))),"-"),SMS!A:A,SMS!K:K),0),0)</f>
        <v>0</v>
      </c>
      <c r="AO1281" s="109">
        <f ca="1">IF('Banco de Dados'!$AK1281&lt;&gt;"-",IF('Banco de Dados'!$F1281&lt;&gt;"-",IFERROR(_xlfn.XLOOKUP(_xlfn.CONCAT('Banco de Dados'!$A1281,IFERROR(IFERROR(VALUE(SUBSTITUTE(MID(_xlfn.TEXTAFTER('Banco de Dados'!$F1281,"Data do Pedido:
",1),1,10),"-","/")),VALUE(SUBSTITUTE(MID(_xlfn.TEXTAFTER('Banco de Dados'!$F1281,"Order date:
",1),1,10),"-","/"))),0)),ProxyDD[Chave],ProxyDD[Valor por pedido]),PROXY!$P$2),0),0)</f>
        <v>0</v>
      </c>
      <c r="AP1281" s="28">
        <f ca="1">IF('Banco de Dados'!$AK1281&lt;&gt;"-",IF('Banco de Dados'!$AL1281="NÃO",IFERROR(VALUE(SUBSTITUTE(_xlfn.TEXTAFTER('Banco de Dados'!$F1281,"BRL ",1),".",",")),0),0),0)</f>
        <v>0</v>
      </c>
      <c r="AQ1281" s="28">
        <f ca="1">SUM('Banco de Dados'!$AM1281:$AP1281)</f>
        <v>0</v>
      </c>
      <c r="AR1281" s="8"/>
      <c r="AY1281" s="8"/>
    </row>
    <row r="1282" spans="1:51">
      <c r="A1282" s="5" t="str">
        <v>MEI</v>
      </c>
      <c r="B1282" s="5" t="str">
        <f ca="1"/>
        <v>MEI-</v>
      </c>
      <c r="C1282" s="8" t="str">
        <v>Pedido 1269</v>
      </c>
      <c r="D1282" s="187">
        <v>45732</v>
      </c>
      <c r="E1282" s="9" t="str">
        <v>-</v>
      </c>
      <c r="F1282" s="8" t="str">
        <v>-</v>
      </c>
      <c r="G1282" s="2" t="str">
        <v>-</v>
      </c>
      <c r="H1282" s="5">
        <v>1</v>
      </c>
      <c r="I1282" s="2" t="str">
        <v>CPF 1235</v>
      </c>
      <c r="J1282" s="2" t="str">
        <v>Nome 1235</v>
      </c>
      <c r="K1282" s="8" t="str">
        <v>Tel 1235</v>
      </c>
      <c r="L1282" s="8" t="str">
        <v>Cep 1235</v>
      </c>
      <c r="M1282" s="8" t="str">
        <v>Rua 1235</v>
      </c>
      <c r="N1282" s="8" t="str">
        <v>Comp 1235</v>
      </c>
      <c r="O1282" s="8" t="str">
        <v>Máquina de cortar cabelo dragão</v>
      </c>
      <c r="P1282" s="8" t="str">
        <v>RX-DD1P-P5U2</v>
      </c>
      <c r="Q1282" s="4">
        <v>45751</v>
      </c>
      <c r="R1282" s="109">
        <v>24.8</v>
      </c>
      <c r="S1282" s="11">
        <f ca="1"/>
        <v>0</v>
      </c>
      <c r="T1282" s="28">
        <f ca="1"/>
        <v>0</v>
      </c>
      <c r="U1282" s="11">
        <f ca="1"/>
        <v>0</v>
      </c>
      <c r="V1282" s="11">
        <v>0</v>
      </c>
      <c r="W1282" s="11">
        <f ca="1"/>
        <v>0</v>
      </c>
      <c r="X1282" s="11">
        <f ca="1"/>
        <v>0</v>
      </c>
      <c r="Y1282" s="11">
        <v>0</v>
      </c>
      <c r="Z1282" s="11">
        <f ca="1"/>
        <v>0</v>
      </c>
      <c r="AA1282" s="11">
        <f ca="1"/>
        <v>0</v>
      </c>
      <c r="AB1282" s="4">
        <f ca="1"/>
        <v>45758</v>
      </c>
      <c r="AC1282" s="4">
        <v>45758</v>
      </c>
      <c r="AD1282" s="9">
        <v>45762</v>
      </c>
      <c r="AE1282" s="9">
        <v>45763</v>
      </c>
      <c r="AF1282" s="4" t="str">
        <f t="shared" ca="1" si="83"/>
        <v>2025 04</v>
      </c>
      <c r="AG1282" s="8" t="str" cm="1">
        <f t="array" ref="AG1282">IFERROR(_xlfn.IFS('Banco de Dados'!#REF!="AG. COMPRA","Em processamento",'Banco de Dados'!#REF!="AG. RASTREIO","Em processamento",'Banco de Dados'!$AE1282&lt;&gt;"-","Faturado",'Banco de Dados'!$AD1282&lt;&gt;"-","Aguardando Pix",'Banco de Dados'!$AC1282&lt;&gt;"-","Pendente"),"Aguardando Liberação")</f>
        <v>Aguardando Liberação</v>
      </c>
      <c r="AH1282" s="5" t="str">
        <f ca="1">IF('Banco de Dados'!$F1282="-",_xlfn.CONCAT(PROPER(TEXT(AK1282,"aaaa"))," ",PROPER(TEXT(AK1282,"mm"))),_xlfn.CONCAT(PROPER(TEXT(E1282,"aaaa"))," ",PROPER(TEXT(E1282,"mm"))))</f>
        <v>2025 03</v>
      </c>
      <c r="AI1282" s="9" t="str">
        <f ca="1">IF('Banco de Dados'!$AK1282&lt;&gt;"-","REEMBOLSO",IFERROR(_xlfn.XLOOKUP(G1282,Follow[CODRASTREIO],Follow[STATUS]),"-"))</f>
        <v>REEMBOLSO</v>
      </c>
      <c r="AJ1282" s="9" t="str">
        <f ca="1">IF('Banco de Dados'!$AI1282="ENTREGUE",_xlfn.XLOOKUP('Banco de Dados'!$G1282,Follow[CODRASTREIO],Follow[DATAATUALIZAÇÃO]),"-")</f>
        <v>-</v>
      </c>
      <c r="AK1282" s="132">
        <f ca="1"/>
        <v>45737</v>
      </c>
      <c r="AL1282" s="35"/>
      <c r="AM1282" s="109" cm="1">
        <f t="array" aca="1" ref="AM1282" ca="1">IF('Banco de Dados'!$AK1282&lt;&gt;"-",_xlfn.IFS('Banco de Dados'!$A1282="bv",IF('Banco de Dados'!$E1282&lt;45641,ROUND(SUM('Banco de Dados'!$R1282*_xlfn.XLOOKUP('Banco de Dados'!$P1282,Sku!B:B,Sku!#REF!)*20%),2),ROUND(SUM('Banco de Dados'!$R1282*_xlfn.XLOOKUP('Banco de Dados'!$P1282,Sku!B:B,Sku!H:H)*20%),2)),'Banco de Dados'!$A1282="GO",ROUND(SUM('Banco de Dados'!$R1282*_xlfn.XLOOKUP('Banco de Dados'!$P1282,Sku!C:C,Sku!H:H)*20%),2),'Banco de Dados'!$A1282="MEI",ROUND(SUM('Banco de Dados'!$R1282*_xlfn.XLOOKUP('Banco de Dados'!$P1282,Sku!D:D,Sku!H:H)*20%),2)),0)</f>
        <v>0.6</v>
      </c>
      <c r="AN1282" s="109">
        <f ca="1">IF('Banco de Dados'!$AK1282&lt;&gt;"-",IF('Banco de Dados'!$F1282&lt;&gt;"-",_xlfn.XLOOKUP(IFERROR(IFERROR(IFERROR(VALUE(SUBSTITUTE(MID(_xlfn.TEXTAFTER('Banco de Dados'!$F1282,"Data do Pedido:
",1),1,10),"-","/")),VALUE(SUBSTITUTE(MID(_xlfn.TEXTAFTER('Banco de Dados'!$F1282,"Order date:
",1),1,10),"-","/"))),VALUE(SUBSTITUTE(MID(_xlfn.TEXTAFTER('Banco de Dados'!$F1282,"Fecha de pedido:
",1),1,10),"-","/"))),"-"),SMS!A:A,SMS!K:K),0),0)</f>
        <v>0</v>
      </c>
      <c r="AO1282" s="109">
        <f ca="1">IF('Banco de Dados'!$AK1282&lt;&gt;"-",IF('Banco de Dados'!$F1282&lt;&gt;"-",IFERROR(_xlfn.XLOOKUP(_xlfn.CONCAT('Banco de Dados'!$A1282,IFERROR(IFERROR(VALUE(SUBSTITUTE(MID(_xlfn.TEXTAFTER('Banco de Dados'!$F1282,"Data do Pedido:
",1),1,10),"-","/")),VALUE(SUBSTITUTE(MID(_xlfn.TEXTAFTER('Banco de Dados'!$F1282,"Order date:
",1),1,10),"-","/"))),0)),ProxyDD[Chave],ProxyDD[Valor por pedido]),PROXY!$P$2),0),0)</f>
        <v>0</v>
      </c>
      <c r="AP1282" s="28">
        <f ca="1">IF('Banco de Dados'!$AK1282&lt;&gt;"-",IF('Banco de Dados'!$AL1282="NÃO",IFERROR(VALUE(SUBSTITUTE(_xlfn.TEXTAFTER('Banco de Dados'!$F1282,"BRL ",1),".",",")),0),0),0)</f>
        <v>0</v>
      </c>
      <c r="AQ1282" s="28">
        <f ca="1">SUM('Banco de Dados'!$AM1282:$AP1282)</f>
        <v>0.6</v>
      </c>
      <c r="AR1282" s="8"/>
      <c r="AY1282" s="8"/>
    </row>
    <row r="1283" spans="1:51">
      <c r="A1283" s="5" t="str">
        <v>MEI</v>
      </c>
      <c r="B1283" s="5" t="str">
        <f ca="1"/>
        <v>MEI-</v>
      </c>
      <c r="C1283" s="8" t="str">
        <v>Pedido 1270</v>
      </c>
      <c r="D1283" s="187">
        <v>45732</v>
      </c>
      <c r="E1283" s="9" t="str">
        <v>-</v>
      </c>
      <c r="F1283" s="8" t="str">
        <v>-</v>
      </c>
      <c r="G1283" s="2" t="str">
        <v>-</v>
      </c>
      <c r="H1283" s="5">
        <v>1</v>
      </c>
      <c r="I1283" s="2" t="str">
        <v>CPF 1236</v>
      </c>
      <c r="J1283" s="2" t="str">
        <v>Nome 1236</v>
      </c>
      <c r="K1283" s="8" t="str">
        <v>Tel 1236</v>
      </c>
      <c r="L1283" s="8" t="str">
        <v>Cep 1236</v>
      </c>
      <c r="M1283" s="8" t="str">
        <v>Rua 1236</v>
      </c>
      <c r="N1283" s="8" t="str">
        <v>Comp 1236</v>
      </c>
      <c r="O1283" s="8" t="str">
        <v>Máquina de cortar cabelo dragão</v>
      </c>
      <c r="P1283" s="8" t="str">
        <v>RX-DD1P-P5U2</v>
      </c>
      <c r="Q1283" s="4">
        <v>45751</v>
      </c>
      <c r="R1283" s="109">
        <v>24.8</v>
      </c>
      <c r="S1283" s="11">
        <f ca="1"/>
        <v>0</v>
      </c>
      <c r="T1283" s="28">
        <f ca="1"/>
        <v>0</v>
      </c>
      <c r="U1283" s="11">
        <f ca="1"/>
        <v>0</v>
      </c>
      <c r="V1283" s="11">
        <v>0</v>
      </c>
      <c r="W1283" s="11">
        <f ca="1"/>
        <v>0</v>
      </c>
      <c r="X1283" s="11">
        <f ca="1"/>
        <v>0</v>
      </c>
      <c r="Y1283" s="11">
        <v>0</v>
      </c>
      <c r="Z1283" s="11">
        <f ca="1"/>
        <v>0</v>
      </c>
      <c r="AA1283" s="11">
        <f ca="1"/>
        <v>0</v>
      </c>
      <c r="AB1283" s="4">
        <f ca="1"/>
        <v>45758</v>
      </c>
      <c r="AC1283" s="4">
        <v>45758</v>
      </c>
      <c r="AD1283" s="9">
        <v>45762</v>
      </c>
      <c r="AE1283" s="9">
        <v>45763</v>
      </c>
      <c r="AF1283" s="4" t="str">
        <f t="shared" ca="1" si="83"/>
        <v>2025 04</v>
      </c>
      <c r="AG1283" s="8" t="str" cm="1">
        <f t="array" ref="AG1283">IFERROR(_xlfn.IFS('Banco de Dados'!#REF!="AG. COMPRA","Em processamento",'Banco de Dados'!#REF!="AG. RASTREIO","Em processamento",'Banco de Dados'!$AE1283&lt;&gt;"-","Faturado",'Banco de Dados'!$AD1283&lt;&gt;"-","Aguardando Pix",'Banco de Dados'!$AC1283&lt;&gt;"-","Pendente"),"Aguardando Liberação")</f>
        <v>Aguardando Liberação</v>
      </c>
      <c r="AH1283" s="5" t="str">
        <f ca="1">IF('Banco de Dados'!$F1283="-",_xlfn.CONCAT(PROPER(TEXT(AK1283,"aaaa"))," ",PROPER(TEXT(AK1283,"mm"))),_xlfn.CONCAT(PROPER(TEXT(E1283,"aaaa"))," ",PROPER(TEXT(E1283,"mm"))))</f>
        <v>2025 03</v>
      </c>
      <c r="AI1283" s="9" t="str">
        <f ca="1">IF('Banco de Dados'!$AK1283&lt;&gt;"-","REEMBOLSO",IFERROR(_xlfn.XLOOKUP(G1283,Follow[CODRASTREIO],Follow[STATUS]),"-"))</f>
        <v>REEMBOLSO</v>
      </c>
      <c r="AJ1283" s="9" t="str">
        <f ca="1">IF('Banco de Dados'!$AI1283="ENTREGUE",_xlfn.XLOOKUP('Banco de Dados'!$G1283,Follow[CODRASTREIO],Follow[DATAATUALIZAÇÃO]),"-")</f>
        <v>-</v>
      </c>
      <c r="AK1283" s="132">
        <f ca="1"/>
        <v>45738</v>
      </c>
      <c r="AL1283" s="35"/>
      <c r="AM1283" s="109" cm="1">
        <f t="array" aca="1" ref="AM1283" ca="1">IF('Banco de Dados'!$AK1283&lt;&gt;"-",_xlfn.IFS('Banco de Dados'!$A1283="bv",IF('Banco de Dados'!$E1283&lt;45641,ROUND(SUM('Banco de Dados'!$R1283*_xlfn.XLOOKUP('Banco de Dados'!$P1283,Sku!B:B,Sku!#REF!)*20%),2),ROUND(SUM('Banco de Dados'!$R1283*_xlfn.XLOOKUP('Banco de Dados'!$P1283,Sku!B:B,Sku!H:H)*20%),2)),'Banco de Dados'!$A1283="GO",ROUND(SUM('Banco de Dados'!$R1283*_xlfn.XLOOKUP('Banco de Dados'!$P1283,Sku!C:C,Sku!H:H)*20%),2),'Banco de Dados'!$A1283="MEI",ROUND(SUM('Banco de Dados'!$R1283*_xlfn.XLOOKUP('Banco de Dados'!$P1283,Sku!D:D,Sku!H:H)*20%),2)),0)</f>
        <v>0.6</v>
      </c>
      <c r="AN1283" s="109">
        <f ca="1">IF('Banco de Dados'!$AK1283&lt;&gt;"-",IF('Banco de Dados'!$F1283&lt;&gt;"-",_xlfn.XLOOKUP(IFERROR(IFERROR(IFERROR(VALUE(SUBSTITUTE(MID(_xlfn.TEXTAFTER('Banco de Dados'!$F1283,"Data do Pedido:
",1),1,10),"-","/")),VALUE(SUBSTITUTE(MID(_xlfn.TEXTAFTER('Banco de Dados'!$F1283,"Order date:
",1),1,10),"-","/"))),VALUE(SUBSTITUTE(MID(_xlfn.TEXTAFTER('Banco de Dados'!$F1283,"Fecha de pedido:
",1),1,10),"-","/"))),"-"),SMS!A:A,SMS!K:K),0),0)</f>
        <v>0</v>
      </c>
      <c r="AO1283" s="109">
        <f ca="1">IF('Banco de Dados'!$AK1283&lt;&gt;"-",IF('Banco de Dados'!$F1283&lt;&gt;"-",IFERROR(_xlfn.XLOOKUP(_xlfn.CONCAT('Banco de Dados'!$A1283,IFERROR(IFERROR(VALUE(SUBSTITUTE(MID(_xlfn.TEXTAFTER('Banco de Dados'!$F1283,"Data do Pedido:
",1),1,10),"-","/")),VALUE(SUBSTITUTE(MID(_xlfn.TEXTAFTER('Banco de Dados'!$F1283,"Order date:
",1),1,10),"-","/"))),0)),ProxyDD[Chave],ProxyDD[Valor por pedido]),PROXY!$P$2),0),0)</f>
        <v>0</v>
      </c>
      <c r="AP1283" s="28">
        <f ca="1">IF('Banco de Dados'!$AK1283&lt;&gt;"-",IF('Banco de Dados'!$AL1283="NÃO",IFERROR(VALUE(SUBSTITUTE(_xlfn.TEXTAFTER('Banco de Dados'!$F1283,"BRL ",1),".",",")),0),0),0)</f>
        <v>0</v>
      </c>
      <c r="AQ1283" s="28">
        <f ca="1">SUM('Banco de Dados'!$AM1283:$AP1283)</f>
        <v>0.6</v>
      </c>
      <c r="AR1283" s="8"/>
      <c r="AY1283" s="8"/>
    </row>
    <row r="1284" spans="1:51">
      <c r="A1284" s="5" t="str">
        <v>MEI</v>
      </c>
      <c r="B1284" s="5" t="str">
        <f ca="1"/>
        <v>MEI45733</v>
      </c>
      <c r="C1284" s="8" t="str">
        <v>Pedido 1271</v>
      </c>
      <c r="D1284" s="187">
        <v>45732</v>
      </c>
      <c r="E1284" s="9">
        <v>45733</v>
      </c>
      <c r="F1284" s="8" t="str">
        <v>PedidoF1215</v>
      </c>
      <c r="G1284" s="2" t="str">
        <v>CódRastreio1213</v>
      </c>
      <c r="H1284" s="5">
        <v>1</v>
      </c>
      <c r="I1284" s="2" t="str">
        <v>CPF 1237</v>
      </c>
      <c r="J1284" s="2" t="str">
        <v>Nome 1237</v>
      </c>
      <c r="K1284" s="8" t="str">
        <v>Tel 1237</v>
      </c>
      <c r="L1284" s="8" t="str">
        <v>Cep 1237</v>
      </c>
      <c r="M1284" s="8" t="str">
        <v>Rua 1237</v>
      </c>
      <c r="N1284" s="8" t="str">
        <v>Comp 1237</v>
      </c>
      <c r="O1284" s="8" t="str">
        <v>Máquina de cortar cabelo dragão</v>
      </c>
      <c r="P1284" s="8" t="str">
        <v>RX-DD1P-P5U2</v>
      </c>
      <c r="Q1284" s="4">
        <v>45757</v>
      </c>
      <c r="R1284" s="109">
        <v>24.8</v>
      </c>
      <c r="S1284" s="11">
        <f ca="1"/>
        <v>24.8</v>
      </c>
      <c r="T1284" s="28">
        <f ca="1"/>
        <v>2.976</v>
      </c>
      <c r="U1284" s="11">
        <f ca="1"/>
        <v>21.82</v>
      </c>
      <c r="V1284" s="11">
        <v>10.16</v>
      </c>
      <c r="W1284" s="11">
        <f ca="1"/>
        <v>0.46</v>
      </c>
      <c r="X1284" s="11">
        <f ca="1"/>
        <v>0.39877104377104378</v>
      </c>
      <c r="Y1284" s="11">
        <v>0</v>
      </c>
      <c r="Z1284" s="11">
        <f ca="1"/>
        <v>10.801228956228956</v>
      </c>
      <c r="AA1284" s="11">
        <f ca="1"/>
        <v>5.4006144781144778</v>
      </c>
      <c r="AB1284" s="4">
        <f ca="1"/>
        <v>45764</v>
      </c>
      <c r="AC1284" s="4">
        <v>45764</v>
      </c>
      <c r="AD1284" s="9">
        <v>45779</v>
      </c>
      <c r="AE1284" s="9">
        <v>45783</v>
      </c>
      <c r="AF1284" s="4" t="str">
        <f t="shared" ca="1" si="83"/>
        <v>2025 04</v>
      </c>
      <c r="AG1284" s="8" t="str" cm="1">
        <f t="array" ref="AG1284">IFERROR(_xlfn.IFS('Banco de Dados'!#REF!="AG. COMPRA","Em processamento",'Banco de Dados'!#REF!="AG. RASTREIO","Em processamento",'Banco de Dados'!$AE1284&lt;&gt;"-","Faturado",'Banco de Dados'!$AD1284&lt;&gt;"-","Aguardando Pix",'Banco de Dados'!$AC1284&lt;&gt;"-","Pendente"),"Aguardando Liberação")</f>
        <v>Aguardando Liberação</v>
      </c>
      <c r="AH1284" s="5" t="str">
        <f>IF('Banco de Dados'!$F1284="-",_xlfn.CONCAT(PROPER(TEXT(AK1284,"aaaa"))," ",PROPER(TEXT(AK1284,"mm"))),_xlfn.CONCAT(PROPER(TEXT(E1284,"aaaa"))," ",PROPER(TEXT(E1284,"mm"))))</f>
        <v>2025 03</v>
      </c>
      <c r="AI1284" s="9" t="str">
        <f ca="1">IF('Banco de Dados'!$AK1284&lt;&gt;"-","REEMBOLSO",IFERROR(_xlfn.XLOOKUP(G1284,Follow[CODRASTREIO],Follow[STATUS]),"-"))</f>
        <v>ENTREGUE</v>
      </c>
      <c r="AJ1284" s="9">
        <f ca="1">IF('Banco de Dados'!$AI1284="ENTREGUE",_xlfn.XLOOKUP('Banco de Dados'!$G1284,Follow[CODRASTREIO],Follow[DATAATUALIZAÇÃO]),"-")</f>
        <v>45755</v>
      </c>
      <c r="AK1284" s="132" t="str">
        <f ca="1"/>
        <v>-</v>
      </c>
      <c r="AL1284" s="35"/>
      <c r="AM1284" s="109" cm="1">
        <f t="array" aca="1" ref="AM1284" ca="1">IF('Banco de Dados'!$AK1284&lt;&gt;"-",_xlfn.IFS('Banco de Dados'!$A1284="bv",IF('Banco de Dados'!$E1284&lt;45641,ROUND(SUM('Banco de Dados'!$R1284*_xlfn.XLOOKUP('Banco de Dados'!$P1284,Sku!B:B,Sku!#REF!)*20%),2),ROUND(SUM('Banco de Dados'!$R1284*_xlfn.XLOOKUP('Banco de Dados'!$P1284,Sku!B:B,Sku!H:H)*20%),2)),'Banco de Dados'!$A1284="GO",ROUND(SUM('Banco de Dados'!$R1284*_xlfn.XLOOKUP('Banco de Dados'!$P1284,Sku!C:C,Sku!H:H)*20%),2),'Banco de Dados'!$A1284="MEI",ROUND(SUM('Banco de Dados'!$R1284*_xlfn.XLOOKUP('Banco de Dados'!$P1284,Sku!D:D,Sku!H:H)*20%),2)),0)</f>
        <v>0</v>
      </c>
      <c r="AN1284" s="109">
        <f ca="1">IF('Banco de Dados'!$AK1284&lt;&gt;"-",IF('Banco de Dados'!$F1284&lt;&gt;"-",_xlfn.XLOOKUP(IFERROR(IFERROR(IFERROR(VALUE(SUBSTITUTE(MID(_xlfn.TEXTAFTER('Banco de Dados'!$F1284,"Data do Pedido:
",1),1,10),"-","/")),VALUE(SUBSTITUTE(MID(_xlfn.TEXTAFTER('Banco de Dados'!$F1284,"Order date:
",1),1,10),"-","/"))),VALUE(SUBSTITUTE(MID(_xlfn.TEXTAFTER('Banco de Dados'!$F1284,"Fecha de pedido:
",1),1,10),"-","/"))),"-"),SMS!A:A,SMS!K:K),0),0)</f>
        <v>0</v>
      </c>
      <c r="AO1284" s="109">
        <f ca="1">IF('Banco de Dados'!$AK1284&lt;&gt;"-",IF('Banco de Dados'!$F1284&lt;&gt;"-",IFERROR(_xlfn.XLOOKUP(_xlfn.CONCAT('Banco de Dados'!$A1284,IFERROR(IFERROR(VALUE(SUBSTITUTE(MID(_xlfn.TEXTAFTER('Banco de Dados'!$F1284,"Data do Pedido:
",1),1,10),"-","/")),VALUE(SUBSTITUTE(MID(_xlfn.TEXTAFTER('Banco de Dados'!$F1284,"Order date:
",1),1,10),"-","/"))),0)),ProxyDD[Chave],ProxyDD[Valor por pedido]),PROXY!$P$2),0),0)</f>
        <v>0</v>
      </c>
      <c r="AP1284" s="28">
        <f ca="1">IF('Banco de Dados'!$AK1284&lt;&gt;"-",IF('Banco de Dados'!$AL1284="NÃO",IFERROR(VALUE(SUBSTITUTE(_xlfn.TEXTAFTER('Banco de Dados'!$F1284,"BRL ",1),".",",")),0),0),0)</f>
        <v>0</v>
      </c>
      <c r="AQ1284" s="28">
        <f ca="1">SUM('Banco de Dados'!$AM1284:$AP1284)</f>
        <v>0</v>
      </c>
      <c r="AR1284" s="8"/>
      <c r="AY1284" s="8"/>
    </row>
    <row r="1285" spans="1:51">
      <c r="A1285" s="5" t="str">
        <v>MEI</v>
      </c>
      <c r="B1285" s="5" t="str">
        <f ca="1"/>
        <v>MEI45736</v>
      </c>
      <c r="C1285" s="8" t="str">
        <v>Pedido 1272</v>
      </c>
      <c r="D1285" s="187">
        <v>45732</v>
      </c>
      <c r="E1285" s="9">
        <v>45736</v>
      </c>
      <c r="F1285" s="8" t="str">
        <v>PedidoF1216</v>
      </c>
      <c r="G1285" s="2" t="str">
        <v>CódRastreio1214</v>
      </c>
      <c r="H1285" s="5">
        <v>1</v>
      </c>
      <c r="I1285" s="2" t="str">
        <v>CPF 1238</v>
      </c>
      <c r="J1285" s="2" t="str">
        <v>Nome 1238</v>
      </c>
      <c r="K1285" s="8" t="str">
        <v>Tel 1238</v>
      </c>
      <c r="L1285" s="8" t="str">
        <v>Cep 1238</v>
      </c>
      <c r="M1285" s="8" t="str">
        <v>Rua 1238</v>
      </c>
      <c r="N1285" s="8" t="str">
        <v>Comp 1238</v>
      </c>
      <c r="O1285" s="8" t="str">
        <v>Máquina de cortar cabelo dragão</v>
      </c>
      <c r="P1285" s="8" t="str">
        <v>RX-DD1P-P5U2</v>
      </c>
      <c r="Q1285" s="4">
        <v>45749</v>
      </c>
      <c r="R1285" s="109">
        <v>24.8</v>
      </c>
      <c r="S1285" s="11">
        <f ca="1"/>
        <v>24.8</v>
      </c>
      <c r="T1285" s="28">
        <f ca="1"/>
        <v>2.976</v>
      </c>
      <c r="U1285" s="11">
        <f ca="1"/>
        <v>21.82</v>
      </c>
      <c r="V1285" s="11">
        <v>10.19</v>
      </c>
      <c r="W1285" s="11">
        <f ca="1"/>
        <v>0.47</v>
      </c>
      <c r="X1285" s="11">
        <f ca="1"/>
        <v>0.39877104377104378</v>
      </c>
      <c r="Y1285" s="11">
        <v>0</v>
      </c>
      <c r="Z1285" s="11">
        <f ca="1"/>
        <v>10.761228956228956</v>
      </c>
      <c r="AA1285" s="11">
        <f ca="1"/>
        <v>5.3806144781144782</v>
      </c>
      <c r="AB1285" s="4">
        <f ca="1"/>
        <v>45756</v>
      </c>
      <c r="AC1285" s="4">
        <v>45756</v>
      </c>
      <c r="AD1285" s="9">
        <v>45762</v>
      </c>
      <c r="AE1285" s="9">
        <v>45763</v>
      </c>
      <c r="AF1285" s="4" t="str">
        <f t="shared" ca="1" si="83"/>
        <v>2025 04</v>
      </c>
      <c r="AG1285" s="8" t="str" cm="1">
        <f t="array" ref="AG1285">IFERROR(_xlfn.IFS('Banco de Dados'!#REF!="AG. COMPRA","Em processamento",'Banco de Dados'!#REF!="AG. RASTREIO","Em processamento",'Banco de Dados'!$AE1285&lt;&gt;"-","Faturado",'Banco de Dados'!$AD1285&lt;&gt;"-","Aguardando Pix",'Banco de Dados'!$AC1285&lt;&gt;"-","Pendente"),"Aguardando Liberação")</f>
        <v>Aguardando Liberação</v>
      </c>
      <c r="AH1285" s="5" t="str">
        <f>IF('Banco de Dados'!$F1285="-",_xlfn.CONCAT(PROPER(TEXT(AK1285,"aaaa"))," ",PROPER(TEXT(AK1285,"mm"))),_xlfn.CONCAT(PROPER(TEXT(E1285,"aaaa"))," ",PROPER(TEXT(E1285,"mm"))))</f>
        <v>2025 03</v>
      </c>
      <c r="AI1285" s="9" t="str">
        <f ca="1">IF('Banco de Dados'!$AK1285&lt;&gt;"-","REEMBOLSO",IFERROR(_xlfn.XLOOKUP(G1285,Follow[CODRASTREIO],Follow[STATUS]),"-"))</f>
        <v>ENTREGUE</v>
      </c>
      <c r="AJ1285" s="9">
        <f ca="1">IF('Banco de Dados'!$AI1285="ENTREGUE",_xlfn.XLOOKUP('Banco de Dados'!$G1285,Follow[CODRASTREIO],Follow[DATAATUALIZAÇÃO]),"-")</f>
        <v>45747</v>
      </c>
      <c r="AK1285" s="132" t="str">
        <f ca="1"/>
        <v>-</v>
      </c>
      <c r="AL1285" s="35"/>
      <c r="AM1285" s="109" cm="1">
        <f t="array" aca="1" ref="AM1285" ca="1">IF('Banco de Dados'!$AK1285&lt;&gt;"-",_xlfn.IFS('Banco de Dados'!$A1285="bv",IF('Banco de Dados'!$E1285&lt;45641,ROUND(SUM('Banco de Dados'!$R1285*_xlfn.XLOOKUP('Banco de Dados'!$P1285,Sku!B:B,Sku!#REF!)*20%),2),ROUND(SUM('Banco de Dados'!$R1285*_xlfn.XLOOKUP('Banco de Dados'!$P1285,Sku!B:B,Sku!H:H)*20%),2)),'Banco de Dados'!$A1285="GO",ROUND(SUM('Banco de Dados'!$R1285*_xlfn.XLOOKUP('Banco de Dados'!$P1285,Sku!C:C,Sku!H:H)*20%),2),'Banco de Dados'!$A1285="MEI",ROUND(SUM('Banco de Dados'!$R1285*_xlfn.XLOOKUP('Banco de Dados'!$P1285,Sku!D:D,Sku!H:H)*20%),2)),0)</f>
        <v>0</v>
      </c>
      <c r="AN1285" s="109">
        <f ca="1">IF('Banco de Dados'!$AK1285&lt;&gt;"-",IF('Banco de Dados'!$F1285&lt;&gt;"-",_xlfn.XLOOKUP(IFERROR(IFERROR(IFERROR(VALUE(SUBSTITUTE(MID(_xlfn.TEXTAFTER('Banco de Dados'!$F1285,"Data do Pedido:
",1),1,10),"-","/")),VALUE(SUBSTITUTE(MID(_xlfn.TEXTAFTER('Banco de Dados'!$F1285,"Order date:
",1),1,10),"-","/"))),VALUE(SUBSTITUTE(MID(_xlfn.TEXTAFTER('Banco de Dados'!$F1285,"Fecha de pedido:
",1),1,10),"-","/"))),"-"),SMS!A:A,SMS!K:K),0),0)</f>
        <v>0</v>
      </c>
      <c r="AO1285" s="109">
        <f ca="1">IF('Banco de Dados'!$AK1285&lt;&gt;"-",IF('Banco de Dados'!$F1285&lt;&gt;"-",IFERROR(_xlfn.XLOOKUP(_xlfn.CONCAT('Banco de Dados'!$A1285,IFERROR(IFERROR(VALUE(SUBSTITUTE(MID(_xlfn.TEXTAFTER('Banco de Dados'!$F1285,"Data do Pedido:
",1),1,10),"-","/")),VALUE(SUBSTITUTE(MID(_xlfn.TEXTAFTER('Banco de Dados'!$F1285,"Order date:
",1),1,10),"-","/"))),0)),ProxyDD[Chave],ProxyDD[Valor por pedido]),PROXY!$P$2),0),0)</f>
        <v>0</v>
      </c>
      <c r="AP1285" s="28">
        <f ca="1">IF('Banco de Dados'!$AK1285&lt;&gt;"-",IF('Banco de Dados'!$AL1285="NÃO",IFERROR(VALUE(SUBSTITUTE(_xlfn.TEXTAFTER('Banco de Dados'!$F1285,"BRL ",1),".",",")),0),0),0)</f>
        <v>0</v>
      </c>
      <c r="AQ1285" s="28">
        <f ca="1">SUM('Banco de Dados'!$AM1285:$AP1285)</f>
        <v>0</v>
      </c>
      <c r="AR1285" s="8"/>
      <c r="AY1285" s="8"/>
    </row>
    <row r="1286" spans="1:51">
      <c r="A1286" s="5" t="str">
        <v>MEI</v>
      </c>
      <c r="B1286" s="5" t="str">
        <f ca="1"/>
        <v>MEI45737</v>
      </c>
      <c r="C1286" s="8" t="str">
        <v>Pedido 1273</v>
      </c>
      <c r="D1286" s="187">
        <v>45733</v>
      </c>
      <c r="E1286" s="9">
        <v>45737</v>
      </c>
      <c r="F1286" s="8" t="str">
        <v>PedidoF1217</v>
      </c>
      <c r="G1286" s="2" t="str">
        <v>CódRastreio1215</v>
      </c>
      <c r="H1286" s="5">
        <v>1</v>
      </c>
      <c r="I1286" s="2" t="str">
        <v>CPF 1239</v>
      </c>
      <c r="J1286" s="2" t="str">
        <v>Nome 1239</v>
      </c>
      <c r="K1286" s="8" t="str">
        <v>Tel 1239</v>
      </c>
      <c r="L1286" s="8" t="str">
        <v>Cep 1239</v>
      </c>
      <c r="M1286" s="8" t="str">
        <v>Rua 1239</v>
      </c>
      <c r="N1286" s="8" t="str">
        <v>Comp 1239</v>
      </c>
      <c r="O1286" s="8" t="str">
        <v>Máquina de cortar cabelo dragão</v>
      </c>
      <c r="P1286" s="8" t="str">
        <v>RX-DD1P-P5U2</v>
      </c>
      <c r="Q1286" s="4">
        <v>45757</v>
      </c>
      <c r="R1286" s="109">
        <v>24.8</v>
      </c>
      <c r="S1286" s="11">
        <f ca="1"/>
        <v>24.8</v>
      </c>
      <c r="T1286" s="28">
        <f ca="1"/>
        <v>2.976</v>
      </c>
      <c r="U1286" s="11">
        <f ca="1"/>
        <v>21.82</v>
      </c>
      <c r="V1286" s="11">
        <v>10.58</v>
      </c>
      <c r="W1286" s="11">
        <f ca="1"/>
        <v>0.2</v>
      </c>
      <c r="X1286" s="11">
        <f ca="1"/>
        <v>0.39877104377104378</v>
      </c>
      <c r="Y1286" s="11">
        <v>0</v>
      </c>
      <c r="Z1286" s="11">
        <f ca="1"/>
        <v>10.641228956228957</v>
      </c>
      <c r="AA1286" s="11">
        <f ca="1"/>
        <v>5.3206144781144786</v>
      </c>
      <c r="AB1286" s="4">
        <f ca="1"/>
        <v>45764</v>
      </c>
      <c r="AC1286" s="4">
        <v>45764</v>
      </c>
      <c r="AD1286" s="9">
        <v>45779</v>
      </c>
      <c r="AE1286" s="9">
        <v>45783</v>
      </c>
      <c r="AF1286" s="4" t="str">
        <f t="shared" ca="1" si="83"/>
        <v>2025 04</v>
      </c>
      <c r="AG1286" s="8" t="str" cm="1">
        <f t="array" ref="AG1286">IFERROR(_xlfn.IFS('Banco de Dados'!#REF!="AG. COMPRA","Em processamento",'Banco de Dados'!#REF!="AG. RASTREIO","Em processamento",'Banco de Dados'!$AE1286&lt;&gt;"-","Faturado",'Banco de Dados'!$AD1286&lt;&gt;"-","Aguardando Pix",'Banco de Dados'!$AC1286&lt;&gt;"-","Pendente"),"Aguardando Liberação")</f>
        <v>Aguardando Liberação</v>
      </c>
      <c r="AH1286" s="5" t="str">
        <f>IF('Banco de Dados'!$F1286="-",_xlfn.CONCAT(PROPER(TEXT(AK1286,"aaaa"))," ",PROPER(TEXT(AK1286,"mm"))),_xlfn.CONCAT(PROPER(TEXT(E1286,"aaaa"))," ",PROPER(TEXT(E1286,"mm"))))</f>
        <v>2025 03</v>
      </c>
      <c r="AI1286" s="9" t="str">
        <f ca="1">IF('Banco de Dados'!$AK1286&lt;&gt;"-","REEMBOLSO",IFERROR(_xlfn.XLOOKUP(G1286,Follow[CODRASTREIO],Follow[STATUS]),"-"))</f>
        <v>ENTREGUE</v>
      </c>
      <c r="AJ1286" s="9">
        <f ca="1">IF('Banco de Dados'!$AI1286="ENTREGUE",_xlfn.XLOOKUP('Banco de Dados'!$G1286,Follow[CODRASTREIO],Follow[DATAATUALIZAÇÃO]),"-")</f>
        <v>45762</v>
      </c>
      <c r="AK1286" s="132" t="str">
        <f ca="1"/>
        <v>-</v>
      </c>
      <c r="AL1286" s="35"/>
      <c r="AM1286" s="109" cm="1">
        <f t="array" aca="1" ref="AM1286" ca="1">IF('Banco de Dados'!$AK1286&lt;&gt;"-",_xlfn.IFS('Banco de Dados'!$A1286="bv",IF('Banco de Dados'!$E1286&lt;45641,ROUND(SUM('Banco de Dados'!$R1286*_xlfn.XLOOKUP('Banco de Dados'!$P1286,Sku!B:B,Sku!#REF!)*20%),2),ROUND(SUM('Banco de Dados'!$R1286*_xlfn.XLOOKUP('Banco de Dados'!$P1286,Sku!B:B,Sku!H:H)*20%),2)),'Banco de Dados'!$A1286="GO",ROUND(SUM('Banco de Dados'!$R1286*_xlfn.XLOOKUP('Banco de Dados'!$P1286,Sku!C:C,Sku!H:H)*20%),2),'Banco de Dados'!$A1286="MEI",ROUND(SUM('Banco de Dados'!$R1286*_xlfn.XLOOKUP('Banco de Dados'!$P1286,Sku!D:D,Sku!H:H)*20%),2)),0)</f>
        <v>0</v>
      </c>
      <c r="AN1286" s="109">
        <f ca="1">IF('Banco de Dados'!$AK1286&lt;&gt;"-",IF('Banco de Dados'!$F1286&lt;&gt;"-",_xlfn.XLOOKUP(IFERROR(IFERROR(IFERROR(VALUE(SUBSTITUTE(MID(_xlfn.TEXTAFTER('Banco de Dados'!$F1286,"Data do Pedido:
",1),1,10),"-","/")),VALUE(SUBSTITUTE(MID(_xlfn.TEXTAFTER('Banco de Dados'!$F1286,"Order date:
",1),1,10),"-","/"))),VALUE(SUBSTITUTE(MID(_xlfn.TEXTAFTER('Banco de Dados'!$F1286,"Fecha de pedido:
",1),1,10),"-","/"))),"-"),SMS!A:A,SMS!K:K),0),0)</f>
        <v>0</v>
      </c>
      <c r="AO1286" s="109">
        <f ca="1">IF('Banco de Dados'!$AK1286&lt;&gt;"-",IF('Banco de Dados'!$F1286&lt;&gt;"-",IFERROR(_xlfn.XLOOKUP(_xlfn.CONCAT('Banco de Dados'!$A1286,IFERROR(IFERROR(VALUE(SUBSTITUTE(MID(_xlfn.TEXTAFTER('Banco de Dados'!$F1286,"Data do Pedido:
",1),1,10),"-","/")),VALUE(SUBSTITUTE(MID(_xlfn.TEXTAFTER('Banco de Dados'!$F1286,"Order date:
",1),1,10),"-","/"))),0)),ProxyDD[Chave],ProxyDD[Valor por pedido]),PROXY!$P$2),0),0)</f>
        <v>0</v>
      </c>
      <c r="AP1286" s="28">
        <f ca="1">IF('Banco de Dados'!$AK1286&lt;&gt;"-",IF('Banco de Dados'!$AL1286="NÃO",IFERROR(VALUE(SUBSTITUTE(_xlfn.TEXTAFTER('Banco de Dados'!$F1286,"BRL ",1),".",",")),0),0),0)</f>
        <v>0</v>
      </c>
      <c r="AQ1286" s="28">
        <f ca="1">SUM('Banco de Dados'!$AM1286:$AP1286)</f>
        <v>0</v>
      </c>
      <c r="AR1286" s="8"/>
      <c r="AY1286" s="8"/>
    </row>
    <row r="1287" spans="1:51">
      <c r="A1287" s="5" t="str">
        <v>MEI</v>
      </c>
      <c r="B1287" s="5" t="str">
        <f ca="1"/>
        <v>MEI45737</v>
      </c>
      <c r="C1287" s="8" t="str">
        <v>Pedido 1274</v>
      </c>
      <c r="D1287" s="187">
        <v>45733</v>
      </c>
      <c r="E1287" s="9">
        <v>45737</v>
      </c>
      <c r="F1287" s="8" t="str">
        <v>PedidoF1218</v>
      </c>
      <c r="G1287" s="2" t="str">
        <v>CódRastreio1216</v>
      </c>
      <c r="H1287" s="5">
        <v>1</v>
      </c>
      <c r="I1287" s="2" t="str">
        <v>CPF 1240</v>
      </c>
      <c r="J1287" s="2" t="str">
        <v>Nome 1240</v>
      </c>
      <c r="K1287" s="8" t="str">
        <v>Tel 1240</v>
      </c>
      <c r="L1287" s="8" t="str">
        <v>Cep 1240</v>
      </c>
      <c r="M1287" s="8" t="str">
        <v>Rua 1240</v>
      </c>
      <c r="N1287" s="8" t="str">
        <v>Comp 1240</v>
      </c>
      <c r="O1287" s="8" t="str">
        <v>Máquina de cortar cabelo dragão</v>
      </c>
      <c r="P1287" s="8" t="str">
        <v>RX-DD1P-P5U2</v>
      </c>
      <c r="Q1287" s="4">
        <v>45751</v>
      </c>
      <c r="R1287" s="109">
        <v>24.8</v>
      </c>
      <c r="S1287" s="11">
        <f ca="1"/>
        <v>24.8</v>
      </c>
      <c r="T1287" s="28">
        <f ca="1"/>
        <v>2.976</v>
      </c>
      <c r="U1287" s="11">
        <f ca="1"/>
        <v>21.82</v>
      </c>
      <c r="V1287" s="11">
        <v>10.17</v>
      </c>
      <c r="W1287" s="11">
        <f ca="1"/>
        <v>0.2</v>
      </c>
      <c r="X1287" s="11">
        <f ca="1"/>
        <v>0.39877104377104378</v>
      </c>
      <c r="Y1287" s="11">
        <v>0</v>
      </c>
      <c r="Z1287" s="11">
        <f ca="1"/>
        <v>11.051228956228957</v>
      </c>
      <c r="AA1287" s="11">
        <f ca="1"/>
        <v>5.5256144781144787</v>
      </c>
      <c r="AB1287" s="4">
        <f ca="1"/>
        <v>45758</v>
      </c>
      <c r="AC1287" s="4">
        <v>45758</v>
      </c>
      <c r="AD1287" s="9">
        <v>45762</v>
      </c>
      <c r="AE1287" s="9">
        <v>45763</v>
      </c>
      <c r="AF1287" s="4" t="str">
        <f t="shared" ca="1" si="83"/>
        <v>2025 04</v>
      </c>
      <c r="AG1287" s="8" t="str" cm="1">
        <f t="array" ref="AG1287">IFERROR(_xlfn.IFS('Banco de Dados'!#REF!="AG. COMPRA","Em processamento",'Banco de Dados'!#REF!="AG. RASTREIO","Em processamento",'Banco de Dados'!$AE1287&lt;&gt;"-","Faturado",'Banco de Dados'!$AD1287&lt;&gt;"-","Aguardando Pix",'Banco de Dados'!$AC1287&lt;&gt;"-","Pendente"),"Aguardando Liberação")</f>
        <v>Aguardando Liberação</v>
      </c>
      <c r="AH1287" s="5" t="str">
        <f>IF('Banco de Dados'!$F1287="-",_xlfn.CONCAT(PROPER(TEXT(AK1287,"aaaa"))," ",PROPER(TEXT(AK1287,"mm"))),_xlfn.CONCAT(PROPER(TEXT(E1287,"aaaa"))," ",PROPER(TEXT(E1287,"mm"))))</f>
        <v>2025 03</v>
      </c>
      <c r="AI1287" s="9" t="str">
        <f ca="1">IF('Banco de Dados'!$AK1287&lt;&gt;"-","REEMBOLSO",IFERROR(_xlfn.XLOOKUP(G1287,Follow[CODRASTREIO],Follow[STATUS]),"-"))</f>
        <v>ENTREGUE</v>
      </c>
      <c r="AJ1287" s="9">
        <f ca="1">IF('Banco de Dados'!$AI1287="ENTREGUE",_xlfn.XLOOKUP('Banco de Dados'!$G1287,Follow[CODRASTREIO],Follow[DATAATUALIZAÇÃO]),"-")</f>
        <v>45751</v>
      </c>
      <c r="AK1287" s="132" t="str">
        <f ca="1"/>
        <v>-</v>
      </c>
      <c r="AL1287" s="35"/>
      <c r="AM1287" s="109" cm="1">
        <f t="array" aca="1" ref="AM1287" ca="1">IF('Banco de Dados'!$AK1287&lt;&gt;"-",_xlfn.IFS('Banco de Dados'!$A1287="bv",IF('Banco de Dados'!$E1287&lt;45641,ROUND(SUM('Banco de Dados'!$R1287*_xlfn.XLOOKUP('Banco de Dados'!$P1287,Sku!B:B,Sku!#REF!)*20%),2),ROUND(SUM('Banco de Dados'!$R1287*_xlfn.XLOOKUP('Banco de Dados'!$P1287,Sku!B:B,Sku!H:H)*20%),2)),'Banco de Dados'!$A1287="GO",ROUND(SUM('Banco de Dados'!$R1287*_xlfn.XLOOKUP('Banco de Dados'!$P1287,Sku!C:C,Sku!H:H)*20%),2),'Banco de Dados'!$A1287="MEI",ROUND(SUM('Banco de Dados'!$R1287*_xlfn.XLOOKUP('Banco de Dados'!$P1287,Sku!D:D,Sku!H:H)*20%),2)),0)</f>
        <v>0</v>
      </c>
      <c r="AN1287" s="109">
        <f ca="1">IF('Banco de Dados'!$AK1287&lt;&gt;"-",IF('Banco de Dados'!$F1287&lt;&gt;"-",_xlfn.XLOOKUP(IFERROR(IFERROR(IFERROR(VALUE(SUBSTITUTE(MID(_xlfn.TEXTAFTER('Banco de Dados'!$F1287,"Data do Pedido:
",1),1,10),"-","/")),VALUE(SUBSTITUTE(MID(_xlfn.TEXTAFTER('Banco de Dados'!$F1287,"Order date:
",1),1,10),"-","/"))),VALUE(SUBSTITUTE(MID(_xlfn.TEXTAFTER('Banco de Dados'!$F1287,"Fecha de pedido:
",1),1,10),"-","/"))),"-"),SMS!A:A,SMS!K:K),0),0)</f>
        <v>0</v>
      </c>
      <c r="AO1287" s="109">
        <f ca="1">IF('Banco de Dados'!$AK1287&lt;&gt;"-",IF('Banco de Dados'!$F1287&lt;&gt;"-",IFERROR(_xlfn.XLOOKUP(_xlfn.CONCAT('Banco de Dados'!$A1287,IFERROR(IFERROR(VALUE(SUBSTITUTE(MID(_xlfn.TEXTAFTER('Banco de Dados'!$F1287,"Data do Pedido:
",1),1,10),"-","/")),VALUE(SUBSTITUTE(MID(_xlfn.TEXTAFTER('Banco de Dados'!$F1287,"Order date:
",1),1,10),"-","/"))),0)),ProxyDD[Chave],ProxyDD[Valor por pedido]),PROXY!$P$2),0),0)</f>
        <v>0</v>
      </c>
      <c r="AP1287" s="28">
        <f ca="1">IF('Banco de Dados'!$AK1287&lt;&gt;"-",IF('Banco de Dados'!$AL1287="NÃO",IFERROR(VALUE(SUBSTITUTE(_xlfn.TEXTAFTER('Banco de Dados'!$F1287,"BRL ",1),".",",")),0),0),0)</f>
        <v>0</v>
      </c>
      <c r="AQ1287" s="28">
        <f ca="1">SUM('Banco de Dados'!$AM1287:$AP1287)</f>
        <v>0</v>
      </c>
      <c r="AR1287" s="8"/>
      <c r="AY1287" s="8"/>
    </row>
    <row r="1288" spans="1:51">
      <c r="A1288" s="5" t="str">
        <v>MEI</v>
      </c>
      <c r="B1288" s="5" t="str">
        <f ca="1"/>
        <v>MEI45733</v>
      </c>
      <c r="C1288" s="8" t="str">
        <v>Pedido 1275</v>
      </c>
      <c r="D1288" s="187">
        <v>45733</v>
      </c>
      <c r="E1288" s="9">
        <v>45733</v>
      </c>
      <c r="F1288" s="8" t="str">
        <v>PedidoF1219</v>
      </c>
      <c r="G1288" s="2" t="str">
        <v>CódRastreio1217</v>
      </c>
      <c r="H1288" s="5">
        <v>1</v>
      </c>
      <c r="I1288" s="2" t="str">
        <v>CPF 1241</v>
      </c>
      <c r="J1288" s="2" t="str">
        <v>Nome 1241</v>
      </c>
      <c r="K1288" s="8" t="str">
        <v>Tel 1241</v>
      </c>
      <c r="L1288" s="8" t="str">
        <v>Cep 1241</v>
      </c>
      <c r="M1288" s="8" t="str">
        <v>Rua 1241</v>
      </c>
      <c r="N1288" s="8" t="str">
        <v>Comp 1241</v>
      </c>
      <c r="O1288" s="8" t="str">
        <v>Máquina de cortar cabelo dragão</v>
      </c>
      <c r="P1288" s="8" t="str">
        <v>RX-DD1P-P5U2</v>
      </c>
      <c r="Q1288" s="4">
        <v>45751</v>
      </c>
      <c r="R1288" s="109">
        <v>24.8</v>
      </c>
      <c r="S1288" s="11">
        <f ca="1"/>
        <v>24.8</v>
      </c>
      <c r="T1288" s="28">
        <f ca="1"/>
        <v>2.976</v>
      </c>
      <c r="U1288" s="11">
        <f ca="1"/>
        <v>21.82</v>
      </c>
      <c r="V1288" s="11">
        <v>10.16</v>
      </c>
      <c r="W1288" s="11">
        <f ca="1"/>
        <v>0.46</v>
      </c>
      <c r="X1288" s="11">
        <f ca="1"/>
        <v>0.39877104377104378</v>
      </c>
      <c r="Y1288" s="11">
        <v>0</v>
      </c>
      <c r="Z1288" s="11">
        <f ca="1"/>
        <v>10.801228956228956</v>
      </c>
      <c r="AA1288" s="11">
        <f ca="1"/>
        <v>5.4006144781144778</v>
      </c>
      <c r="AB1288" s="4">
        <f ca="1"/>
        <v>45758</v>
      </c>
      <c r="AC1288" s="4">
        <v>45758</v>
      </c>
      <c r="AD1288" s="9">
        <v>45762</v>
      </c>
      <c r="AE1288" s="9">
        <v>45763</v>
      </c>
      <c r="AF1288" s="4" t="str">
        <f t="shared" ca="1" si="83"/>
        <v>2025 04</v>
      </c>
      <c r="AG1288" s="8" t="str" cm="1">
        <f t="array" ref="AG1288">IFERROR(_xlfn.IFS('Banco de Dados'!#REF!="AG. COMPRA","Em processamento",'Banco de Dados'!#REF!="AG. RASTREIO","Em processamento",'Banco de Dados'!$AE1288&lt;&gt;"-","Faturado",'Banco de Dados'!$AD1288&lt;&gt;"-","Aguardando Pix",'Banco de Dados'!$AC1288&lt;&gt;"-","Pendente"),"Aguardando Liberação")</f>
        <v>Aguardando Liberação</v>
      </c>
      <c r="AH1288" s="5" t="str">
        <f>IF('Banco de Dados'!$F1288="-",_xlfn.CONCAT(PROPER(TEXT(AK1288,"aaaa"))," ",PROPER(TEXT(AK1288,"mm"))),_xlfn.CONCAT(PROPER(TEXT(E1288,"aaaa"))," ",PROPER(TEXT(E1288,"mm"))))</f>
        <v>2025 03</v>
      </c>
      <c r="AI1288" s="9" t="str">
        <f ca="1">IF('Banco de Dados'!$AK1288&lt;&gt;"-","REEMBOLSO",IFERROR(_xlfn.XLOOKUP(G1288,Follow[CODRASTREIO],Follow[STATUS]),"-"))</f>
        <v>ENTREGUE</v>
      </c>
      <c r="AJ1288" s="9">
        <f ca="1">IF('Banco de Dados'!$AI1288="ENTREGUE",_xlfn.XLOOKUP('Banco de Dados'!$G1288,Follow[CODRASTREIO],Follow[DATAATUALIZAÇÃO]),"-")</f>
        <v>45752</v>
      </c>
      <c r="AK1288" s="132" t="str">
        <f ca="1"/>
        <v>-</v>
      </c>
      <c r="AL1288" s="35"/>
      <c r="AM1288" s="109" cm="1">
        <f t="array" aca="1" ref="AM1288" ca="1">IF('Banco de Dados'!$AK1288&lt;&gt;"-",_xlfn.IFS('Banco de Dados'!$A1288="bv",IF('Banco de Dados'!$E1288&lt;45641,ROUND(SUM('Banco de Dados'!$R1288*_xlfn.XLOOKUP('Banco de Dados'!$P1288,Sku!B:B,Sku!#REF!)*20%),2),ROUND(SUM('Banco de Dados'!$R1288*_xlfn.XLOOKUP('Banco de Dados'!$P1288,Sku!B:B,Sku!H:H)*20%),2)),'Banco de Dados'!$A1288="GO",ROUND(SUM('Banco de Dados'!$R1288*_xlfn.XLOOKUP('Banco de Dados'!$P1288,Sku!C:C,Sku!H:H)*20%),2),'Banco de Dados'!$A1288="MEI",ROUND(SUM('Banco de Dados'!$R1288*_xlfn.XLOOKUP('Banco de Dados'!$P1288,Sku!D:D,Sku!H:H)*20%),2)),0)</f>
        <v>0</v>
      </c>
      <c r="AN1288" s="109">
        <f ca="1">IF('Banco de Dados'!$AK1288&lt;&gt;"-",IF('Banco de Dados'!$F1288&lt;&gt;"-",_xlfn.XLOOKUP(IFERROR(IFERROR(IFERROR(VALUE(SUBSTITUTE(MID(_xlfn.TEXTAFTER('Banco de Dados'!$F1288,"Data do Pedido:
",1),1,10),"-","/")),VALUE(SUBSTITUTE(MID(_xlfn.TEXTAFTER('Banco de Dados'!$F1288,"Order date:
",1),1,10),"-","/"))),VALUE(SUBSTITUTE(MID(_xlfn.TEXTAFTER('Banco de Dados'!$F1288,"Fecha de pedido:
",1),1,10),"-","/"))),"-"),SMS!A:A,SMS!K:K),0),0)</f>
        <v>0</v>
      </c>
      <c r="AO1288" s="109">
        <f ca="1">IF('Banco de Dados'!$AK1288&lt;&gt;"-",IF('Banco de Dados'!$F1288&lt;&gt;"-",IFERROR(_xlfn.XLOOKUP(_xlfn.CONCAT('Banco de Dados'!$A1288,IFERROR(IFERROR(VALUE(SUBSTITUTE(MID(_xlfn.TEXTAFTER('Banco de Dados'!$F1288,"Data do Pedido:
",1),1,10),"-","/")),VALUE(SUBSTITUTE(MID(_xlfn.TEXTAFTER('Banco de Dados'!$F1288,"Order date:
",1),1,10),"-","/"))),0)),ProxyDD[Chave],ProxyDD[Valor por pedido]),PROXY!$P$2),0),0)</f>
        <v>0</v>
      </c>
      <c r="AP1288" s="28">
        <f ca="1">IF('Banco de Dados'!$AK1288&lt;&gt;"-",IF('Banco de Dados'!$AL1288="NÃO",IFERROR(VALUE(SUBSTITUTE(_xlfn.TEXTAFTER('Banco de Dados'!$F1288,"BRL ",1),".",",")),0),0),0)</f>
        <v>0</v>
      </c>
      <c r="AQ1288" s="28">
        <f ca="1">SUM('Banco de Dados'!$AM1288:$AP1288)</f>
        <v>0</v>
      </c>
      <c r="AR1288" s="8"/>
      <c r="AY1288" s="8"/>
    </row>
    <row r="1289" spans="1:51">
      <c r="A1289" s="5" t="str">
        <v>MEI</v>
      </c>
      <c r="B1289" s="5" t="str">
        <f ca="1"/>
        <v>MEI45733</v>
      </c>
      <c r="C1289" s="8" t="str">
        <v>Pedido 1276</v>
      </c>
      <c r="D1289" s="187">
        <v>45733</v>
      </c>
      <c r="E1289" s="9">
        <v>45733</v>
      </c>
      <c r="F1289" s="8" t="str">
        <v>PedidoF1220</v>
      </c>
      <c r="G1289" s="2" t="str">
        <v>CódRastreio1218</v>
      </c>
      <c r="H1289" s="5">
        <v>1</v>
      </c>
      <c r="I1289" s="2" t="str">
        <v>CPF 1242</v>
      </c>
      <c r="J1289" s="2" t="str">
        <v>Nome 1242</v>
      </c>
      <c r="K1289" s="8" t="str">
        <v>Tel 1242</v>
      </c>
      <c r="L1289" s="8" t="str">
        <v>Cep 1242</v>
      </c>
      <c r="M1289" s="8" t="str">
        <v>Rua 1242</v>
      </c>
      <c r="N1289" s="8" t="str">
        <v>Comp 1242</v>
      </c>
      <c r="O1289" s="8" t="str">
        <v>Máquina de cortar cabelo dragão</v>
      </c>
      <c r="P1289" s="8" t="str">
        <v>RX-DD1P-P5U2</v>
      </c>
      <c r="Q1289" s="4">
        <v>45751</v>
      </c>
      <c r="R1289" s="109">
        <v>24.8</v>
      </c>
      <c r="S1289" s="11">
        <f ca="1"/>
        <v>24.8</v>
      </c>
      <c r="T1289" s="28">
        <f ca="1"/>
        <v>2.976</v>
      </c>
      <c r="U1289" s="11">
        <f ca="1"/>
        <v>21.82</v>
      </c>
      <c r="V1289" s="11">
        <v>10.16</v>
      </c>
      <c r="W1289" s="11">
        <f ca="1"/>
        <v>0.46</v>
      </c>
      <c r="X1289" s="11">
        <f ca="1"/>
        <v>0.39877104377104378</v>
      </c>
      <c r="Y1289" s="11">
        <v>0</v>
      </c>
      <c r="Z1289" s="11">
        <f ca="1"/>
        <v>10.801228956228956</v>
      </c>
      <c r="AA1289" s="11">
        <f ca="1"/>
        <v>5.4006144781144778</v>
      </c>
      <c r="AB1289" s="4">
        <f ca="1"/>
        <v>45758</v>
      </c>
      <c r="AC1289" s="4">
        <v>45758</v>
      </c>
      <c r="AD1289" s="9">
        <v>45762</v>
      </c>
      <c r="AE1289" s="9">
        <v>45763</v>
      </c>
      <c r="AF1289" s="4" t="str">
        <f t="shared" ca="1" si="83"/>
        <v>2025 04</v>
      </c>
      <c r="AG1289" s="8" t="str" cm="1">
        <f t="array" ref="AG1289">IFERROR(_xlfn.IFS('Banco de Dados'!#REF!="AG. COMPRA","Em processamento",'Banco de Dados'!#REF!="AG. RASTREIO","Em processamento",'Banco de Dados'!$AE1289&lt;&gt;"-","Faturado",'Banco de Dados'!$AD1289&lt;&gt;"-","Aguardando Pix",'Banco de Dados'!$AC1289&lt;&gt;"-","Pendente"),"Aguardando Liberação")</f>
        <v>Aguardando Liberação</v>
      </c>
      <c r="AH1289" s="5" t="str">
        <f>IF('Banco de Dados'!$F1289="-",_xlfn.CONCAT(PROPER(TEXT(AK1289,"aaaa"))," ",PROPER(TEXT(AK1289,"mm"))),_xlfn.CONCAT(PROPER(TEXT(E1289,"aaaa"))," ",PROPER(TEXT(E1289,"mm"))))</f>
        <v>2025 03</v>
      </c>
      <c r="AI1289" s="9" t="str">
        <f ca="1">IF('Banco de Dados'!$AK1289&lt;&gt;"-","REEMBOLSO",IFERROR(_xlfn.XLOOKUP(G1289,Follow[CODRASTREIO],Follow[STATUS]),"-"))</f>
        <v>ENTREGUE</v>
      </c>
      <c r="AJ1289" s="9">
        <f ca="1">IF('Banco de Dados'!$AI1289="ENTREGUE",_xlfn.XLOOKUP('Banco de Dados'!$G1289,Follow[CODRASTREIO],Follow[DATAATUALIZAÇÃO]),"-")</f>
        <v>45755</v>
      </c>
      <c r="AK1289" s="132" t="str">
        <f ca="1"/>
        <v>-</v>
      </c>
      <c r="AL1289" s="35"/>
      <c r="AM1289" s="109" cm="1">
        <f t="array" aca="1" ref="AM1289" ca="1">IF('Banco de Dados'!$AK1289&lt;&gt;"-",_xlfn.IFS('Banco de Dados'!$A1289="bv",IF('Banco de Dados'!$E1289&lt;45641,ROUND(SUM('Banco de Dados'!$R1289*_xlfn.XLOOKUP('Banco de Dados'!$P1289,Sku!B:B,Sku!#REF!)*20%),2),ROUND(SUM('Banco de Dados'!$R1289*_xlfn.XLOOKUP('Banco de Dados'!$P1289,Sku!B:B,Sku!H:H)*20%),2)),'Banco de Dados'!$A1289="GO",ROUND(SUM('Banco de Dados'!$R1289*_xlfn.XLOOKUP('Banco de Dados'!$P1289,Sku!C:C,Sku!H:H)*20%),2),'Banco de Dados'!$A1289="MEI",ROUND(SUM('Banco de Dados'!$R1289*_xlfn.XLOOKUP('Banco de Dados'!$P1289,Sku!D:D,Sku!H:H)*20%),2)),0)</f>
        <v>0</v>
      </c>
      <c r="AN1289" s="109">
        <f ca="1">IF('Banco de Dados'!$AK1289&lt;&gt;"-",IF('Banco de Dados'!$F1289&lt;&gt;"-",_xlfn.XLOOKUP(IFERROR(IFERROR(IFERROR(VALUE(SUBSTITUTE(MID(_xlfn.TEXTAFTER('Banco de Dados'!$F1289,"Data do Pedido:
",1),1,10),"-","/")),VALUE(SUBSTITUTE(MID(_xlfn.TEXTAFTER('Banco de Dados'!$F1289,"Order date:
",1),1,10),"-","/"))),VALUE(SUBSTITUTE(MID(_xlfn.TEXTAFTER('Banco de Dados'!$F1289,"Fecha de pedido:
",1),1,10),"-","/"))),"-"),SMS!A:A,SMS!K:K),0),0)</f>
        <v>0</v>
      </c>
      <c r="AO1289" s="109">
        <f ca="1">IF('Banco de Dados'!$AK1289&lt;&gt;"-",IF('Banco de Dados'!$F1289&lt;&gt;"-",IFERROR(_xlfn.XLOOKUP(_xlfn.CONCAT('Banco de Dados'!$A1289,IFERROR(IFERROR(VALUE(SUBSTITUTE(MID(_xlfn.TEXTAFTER('Banco de Dados'!$F1289,"Data do Pedido:
",1),1,10),"-","/")),VALUE(SUBSTITUTE(MID(_xlfn.TEXTAFTER('Banco de Dados'!$F1289,"Order date:
",1),1,10),"-","/"))),0)),ProxyDD[Chave],ProxyDD[Valor por pedido]),PROXY!$P$2),0),0)</f>
        <v>0</v>
      </c>
      <c r="AP1289" s="28">
        <f ca="1">IF('Banco de Dados'!$AK1289&lt;&gt;"-",IF('Banco de Dados'!$AL1289="NÃO",IFERROR(VALUE(SUBSTITUTE(_xlfn.TEXTAFTER('Banco de Dados'!$F1289,"BRL ",1),".",",")),0),0),0)</f>
        <v>0</v>
      </c>
      <c r="AQ1289" s="28">
        <f ca="1">SUM('Banco de Dados'!$AM1289:$AP1289)</f>
        <v>0</v>
      </c>
      <c r="AR1289" s="8"/>
      <c r="AY1289" s="8"/>
    </row>
    <row r="1290" spans="1:51">
      <c r="A1290" s="5" t="str">
        <v>MEI</v>
      </c>
      <c r="B1290" s="5" t="str">
        <f ca="1"/>
        <v>MEI45737</v>
      </c>
      <c r="C1290" s="8" t="str">
        <v>Pedido 1277</v>
      </c>
      <c r="D1290" s="187">
        <v>45733</v>
      </c>
      <c r="E1290" s="9">
        <v>45737</v>
      </c>
      <c r="F1290" s="8" t="str">
        <v>PedidoF1221</v>
      </c>
      <c r="G1290" s="2" t="str">
        <v>CódRastreio1219</v>
      </c>
      <c r="H1290" s="5">
        <v>1</v>
      </c>
      <c r="I1290" s="2" t="str">
        <v>CPF 1243</v>
      </c>
      <c r="J1290" s="2" t="str">
        <v>Nome 1243</v>
      </c>
      <c r="K1290" s="8" t="str">
        <v>Tel 1243</v>
      </c>
      <c r="L1290" s="8" t="str">
        <v>Cep 1243</v>
      </c>
      <c r="M1290" s="8" t="str">
        <v>Rua 1243</v>
      </c>
      <c r="N1290" s="8" t="str">
        <v>Comp 1243</v>
      </c>
      <c r="O1290" s="8" t="str">
        <v>Máquina de cortar cabelo dragão</v>
      </c>
      <c r="P1290" s="8" t="str">
        <v>RX-DD1P-P5U2</v>
      </c>
      <c r="Q1290" s="4">
        <v>45757</v>
      </c>
      <c r="R1290" s="109">
        <v>24.8</v>
      </c>
      <c r="S1290" s="11">
        <f ca="1"/>
        <v>24.8</v>
      </c>
      <c r="T1290" s="28">
        <f ca="1"/>
        <v>2.976</v>
      </c>
      <c r="U1290" s="11">
        <f ca="1"/>
        <v>21.82</v>
      </c>
      <c r="V1290" s="11">
        <v>10.17</v>
      </c>
      <c r="W1290" s="11">
        <f ca="1"/>
        <v>0.2</v>
      </c>
      <c r="X1290" s="11">
        <f ca="1"/>
        <v>0.39877104377104378</v>
      </c>
      <c r="Y1290" s="11">
        <v>0</v>
      </c>
      <c r="Z1290" s="11">
        <f ca="1"/>
        <v>11.051228956228957</v>
      </c>
      <c r="AA1290" s="11">
        <f ca="1"/>
        <v>5.5256144781144787</v>
      </c>
      <c r="AB1290" s="4">
        <f ca="1"/>
        <v>45764</v>
      </c>
      <c r="AC1290" s="4">
        <v>45764</v>
      </c>
      <c r="AD1290" s="9">
        <v>45779</v>
      </c>
      <c r="AE1290" s="9">
        <v>45783</v>
      </c>
      <c r="AF1290" s="4" t="str">
        <f t="shared" ca="1" si="83"/>
        <v>2025 04</v>
      </c>
      <c r="AG1290" s="8" t="str" cm="1">
        <f t="array" ref="AG1290">IFERROR(_xlfn.IFS('Banco de Dados'!#REF!="AG. COMPRA","Em processamento",'Banco de Dados'!#REF!="AG. RASTREIO","Em processamento",'Banco de Dados'!$AE1290&lt;&gt;"-","Faturado",'Banco de Dados'!$AD1290&lt;&gt;"-","Aguardando Pix",'Banco de Dados'!$AC1290&lt;&gt;"-","Pendente"),"Aguardando Liberação")</f>
        <v>Aguardando Liberação</v>
      </c>
      <c r="AH1290" s="5" t="str">
        <f>IF('Banco de Dados'!$F1290="-",_xlfn.CONCAT(PROPER(TEXT(AK1290,"aaaa"))," ",PROPER(TEXT(AK1290,"mm"))),_xlfn.CONCAT(PROPER(TEXT(E1290,"aaaa"))," ",PROPER(TEXT(E1290,"mm"))))</f>
        <v>2025 03</v>
      </c>
      <c r="AI1290" s="9" t="str">
        <f ca="1">IF('Banco de Dados'!$AK1290&lt;&gt;"-","REEMBOLSO",IFERROR(_xlfn.XLOOKUP(G1290,Follow[CODRASTREIO],Follow[STATUS]),"-"))</f>
        <v>ENTREGUE</v>
      </c>
      <c r="AJ1290" s="9">
        <f ca="1">IF('Banco de Dados'!$AI1290="ENTREGUE",_xlfn.XLOOKUP('Banco de Dados'!$G1290,Follow[CODRASTREIO],Follow[DATAATUALIZAÇÃO]),"-")</f>
        <v>45748</v>
      </c>
      <c r="AK1290" s="132" t="str">
        <f ca="1"/>
        <v>-</v>
      </c>
      <c r="AL1290" s="35"/>
      <c r="AM1290" s="109" cm="1">
        <f t="array" aca="1" ref="AM1290" ca="1">IF('Banco de Dados'!$AK1290&lt;&gt;"-",_xlfn.IFS('Banco de Dados'!$A1290="bv",IF('Banco de Dados'!$E1290&lt;45641,ROUND(SUM('Banco de Dados'!$R1290*_xlfn.XLOOKUP('Banco de Dados'!$P1290,Sku!B:B,Sku!#REF!)*20%),2),ROUND(SUM('Banco de Dados'!$R1290*_xlfn.XLOOKUP('Banco de Dados'!$P1290,Sku!B:B,Sku!H:H)*20%),2)),'Banco de Dados'!$A1290="GO",ROUND(SUM('Banco de Dados'!$R1290*_xlfn.XLOOKUP('Banco de Dados'!$P1290,Sku!C:C,Sku!H:H)*20%),2),'Banco de Dados'!$A1290="MEI",ROUND(SUM('Banco de Dados'!$R1290*_xlfn.XLOOKUP('Banco de Dados'!$P1290,Sku!D:D,Sku!H:H)*20%),2)),0)</f>
        <v>0</v>
      </c>
      <c r="AN1290" s="109">
        <f ca="1">IF('Banco de Dados'!$AK1290&lt;&gt;"-",IF('Banco de Dados'!$F1290&lt;&gt;"-",_xlfn.XLOOKUP(IFERROR(IFERROR(IFERROR(VALUE(SUBSTITUTE(MID(_xlfn.TEXTAFTER('Banco de Dados'!$F1290,"Data do Pedido:
",1),1,10),"-","/")),VALUE(SUBSTITUTE(MID(_xlfn.TEXTAFTER('Banco de Dados'!$F1290,"Order date:
",1),1,10),"-","/"))),VALUE(SUBSTITUTE(MID(_xlfn.TEXTAFTER('Banco de Dados'!$F1290,"Fecha de pedido:
",1),1,10),"-","/"))),"-"),SMS!A:A,SMS!K:K),0),0)</f>
        <v>0</v>
      </c>
      <c r="AO1290" s="109">
        <f ca="1">IF('Banco de Dados'!$AK1290&lt;&gt;"-",IF('Banco de Dados'!$F1290&lt;&gt;"-",IFERROR(_xlfn.XLOOKUP(_xlfn.CONCAT('Banco de Dados'!$A1290,IFERROR(IFERROR(VALUE(SUBSTITUTE(MID(_xlfn.TEXTAFTER('Banco de Dados'!$F1290,"Data do Pedido:
",1),1,10),"-","/")),VALUE(SUBSTITUTE(MID(_xlfn.TEXTAFTER('Banco de Dados'!$F1290,"Order date:
",1),1,10),"-","/"))),0)),ProxyDD[Chave],ProxyDD[Valor por pedido]),PROXY!$P$2),0),0)</f>
        <v>0</v>
      </c>
      <c r="AP1290" s="28">
        <f ca="1">IF('Banco de Dados'!$AK1290&lt;&gt;"-",IF('Banco de Dados'!$AL1290="NÃO",IFERROR(VALUE(SUBSTITUTE(_xlfn.TEXTAFTER('Banco de Dados'!$F1290,"BRL ",1),".",",")),0),0),0)</f>
        <v>0</v>
      </c>
      <c r="AQ1290" s="28">
        <f ca="1">SUM('Banco de Dados'!$AM1290:$AP1290)</f>
        <v>0</v>
      </c>
      <c r="AR1290" s="8"/>
      <c r="AY1290" s="8"/>
    </row>
    <row r="1291" spans="1:51">
      <c r="A1291" s="5" t="str">
        <v>MEI</v>
      </c>
      <c r="B1291" s="5" t="str">
        <f ca="1"/>
        <v>MEI45737</v>
      </c>
      <c r="C1291" s="8" t="str">
        <v>Pedido 1278</v>
      </c>
      <c r="D1291" s="187">
        <v>45733</v>
      </c>
      <c r="E1291" s="9">
        <v>45737</v>
      </c>
      <c r="F1291" s="8" t="str">
        <v>PedidoF1222</v>
      </c>
      <c r="G1291" s="2" t="str">
        <v>CódRastreio1220</v>
      </c>
      <c r="H1291" s="5">
        <v>1</v>
      </c>
      <c r="I1291" s="2" t="str">
        <v>CPF 1244</v>
      </c>
      <c r="J1291" s="2" t="str">
        <v>Nome 1244</v>
      </c>
      <c r="K1291" s="8" t="str">
        <v>Tel 1244</v>
      </c>
      <c r="L1291" s="8" t="str">
        <v>Cep 1244</v>
      </c>
      <c r="M1291" s="8" t="str">
        <v>Rua 1244</v>
      </c>
      <c r="N1291" s="8" t="str">
        <v>Comp 1244</v>
      </c>
      <c r="O1291" s="8" t="str">
        <v>Máquina de cortar cabelo dragão</v>
      </c>
      <c r="P1291" s="8" t="str">
        <v>RX-DD1P-P5U2</v>
      </c>
      <c r="Q1291" s="4">
        <v>45751</v>
      </c>
      <c r="R1291" s="109">
        <v>24.8</v>
      </c>
      <c r="S1291" s="11">
        <f ca="1"/>
        <v>24.8</v>
      </c>
      <c r="T1291" s="28">
        <f ca="1"/>
        <v>2.976</v>
      </c>
      <c r="U1291" s="11">
        <f ca="1"/>
        <v>21.82</v>
      </c>
      <c r="V1291" s="11">
        <v>10.17</v>
      </c>
      <c r="W1291" s="11">
        <f ca="1"/>
        <v>0.2</v>
      </c>
      <c r="X1291" s="11">
        <f ca="1"/>
        <v>0.39877104377104378</v>
      </c>
      <c r="Y1291" s="11">
        <v>0</v>
      </c>
      <c r="Z1291" s="11">
        <f ca="1"/>
        <v>11.051228956228957</v>
      </c>
      <c r="AA1291" s="11">
        <f ca="1"/>
        <v>5.5256144781144787</v>
      </c>
      <c r="AB1291" s="4">
        <f ca="1"/>
        <v>45758</v>
      </c>
      <c r="AC1291" s="4">
        <v>45758</v>
      </c>
      <c r="AD1291" s="9">
        <v>45762</v>
      </c>
      <c r="AE1291" s="9">
        <v>45763</v>
      </c>
      <c r="AF1291" s="4" t="str">
        <f t="shared" ca="1" si="83"/>
        <v>2025 04</v>
      </c>
      <c r="AG1291" s="8" t="str" cm="1">
        <f t="array" ref="AG1291">IFERROR(_xlfn.IFS('Banco de Dados'!#REF!="AG. COMPRA","Em processamento",'Banco de Dados'!#REF!="AG. RASTREIO","Em processamento",'Banco de Dados'!$AE1291&lt;&gt;"-","Faturado",'Banco de Dados'!$AD1291&lt;&gt;"-","Aguardando Pix",'Banco de Dados'!$AC1291&lt;&gt;"-","Pendente"),"Aguardando Liberação")</f>
        <v>Aguardando Liberação</v>
      </c>
      <c r="AH1291" s="5" t="str">
        <f>IF('Banco de Dados'!$F1291="-",_xlfn.CONCAT(PROPER(TEXT(AK1291,"aaaa"))," ",PROPER(TEXT(AK1291,"mm"))),_xlfn.CONCAT(PROPER(TEXT(E1291,"aaaa"))," ",PROPER(TEXT(E1291,"mm"))))</f>
        <v>2025 03</v>
      </c>
      <c r="AI1291" s="9" t="str">
        <f ca="1">IF('Banco de Dados'!$AK1291&lt;&gt;"-","REEMBOLSO",IFERROR(_xlfn.XLOOKUP(G1291,Follow[CODRASTREIO],Follow[STATUS]),"-"))</f>
        <v>ENTREGUE</v>
      </c>
      <c r="AJ1291" s="9">
        <f ca="1">IF('Banco de Dados'!$AI1291="ENTREGUE",_xlfn.XLOOKUP('Banco de Dados'!$G1291,Follow[CODRASTREIO],Follow[DATAATUALIZAÇÃO]),"-")</f>
        <v>45750</v>
      </c>
      <c r="AK1291" s="132" t="str">
        <f ca="1"/>
        <v>-</v>
      </c>
      <c r="AL1291" s="35"/>
      <c r="AM1291" s="109" cm="1">
        <f t="array" aca="1" ref="AM1291" ca="1">IF('Banco de Dados'!$AK1291&lt;&gt;"-",_xlfn.IFS('Banco de Dados'!$A1291="bv",IF('Banco de Dados'!$E1291&lt;45641,ROUND(SUM('Banco de Dados'!$R1291*_xlfn.XLOOKUP('Banco de Dados'!$P1291,Sku!B:B,Sku!#REF!)*20%),2),ROUND(SUM('Banco de Dados'!$R1291*_xlfn.XLOOKUP('Banco de Dados'!$P1291,Sku!B:B,Sku!H:H)*20%),2)),'Banco de Dados'!$A1291="GO",ROUND(SUM('Banco de Dados'!$R1291*_xlfn.XLOOKUP('Banco de Dados'!$P1291,Sku!C:C,Sku!H:H)*20%),2),'Banco de Dados'!$A1291="MEI",ROUND(SUM('Banco de Dados'!$R1291*_xlfn.XLOOKUP('Banco de Dados'!$P1291,Sku!D:D,Sku!H:H)*20%),2)),0)</f>
        <v>0</v>
      </c>
      <c r="AN1291" s="109">
        <f ca="1">IF('Banco de Dados'!$AK1291&lt;&gt;"-",IF('Banco de Dados'!$F1291&lt;&gt;"-",_xlfn.XLOOKUP(IFERROR(IFERROR(IFERROR(VALUE(SUBSTITUTE(MID(_xlfn.TEXTAFTER('Banco de Dados'!$F1291,"Data do Pedido:
",1),1,10),"-","/")),VALUE(SUBSTITUTE(MID(_xlfn.TEXTAFTER('Banco de Dados'!$F1291,"Order date:
",1),1,10),"-","/"))),VALUE(SUBSTITUTE(MID(_xlfn.TEXTAFTER('Banco de Dados'!$F1291,"Fecha de pedido:
",1),1,10),"-","/"))),"-"),SMS!A:A,SMS!K:K),0),0)</f>
        <v>0</v>
      </c>
      <c r="AO1291" s="109">
        <f ca="1">IF('Banco de Dados'!$AK1291&lt;&gt;"-",IF('Banco de Dados'!$F1291&lt;&gt;"-",IFERROR(_xlfn.XLOOKUP(_xlfn.CONCAT('Banco de Dados'!$A1291,IFERROR(IFERROR(VALUE(SUBSTITUTE(MID(_xlfn.TEXTAFTER('Banco de Dados'!$F1291,"Data do Pedido:
",1),1,10),"-","/")),VALUE(SUBSTITUTE(MID(_xlfn.TEXTAFTER('Banco de Dados'!$F1291,"Order date:
",1),1,10),"-","/"))),0)),ProxyDD[Chave],ProxyDD[Valor por pedido]),PROXY!$P$2),0),0)</f>
        <v>0</v>
      </c>
      <c r="AP1291" s="28">
        <f ca="1">IF('Banco de Dados'!$AK1291&lt;&gt;"-",IF('Banco de Dados'!$AL1291="NÃO",IFERROR(VALUE(SUBSTITUTE(_xlfn.TEXTAFTER('Banco de Dados'!$F1291,"BRL ",1),".",",")),0),0),0)</f>
        <v>0</v>
      </c>
      <c r="AQ1291" s="28">
        <f ca="1">SUM('Banco de Dados'!$AM1291:$AP1291)</f>
        <v>0</v>
      </c>
      <c r="AR1291" s="8"/>
      <c r="AY1291" s="8"/>
    </row>
    <row r="1292" spans="1:51">
      <c r="A1292" s="5" t="str">
        <v>MEI</v>
      </c>
      <c r="B1292" s="5" t="str">
        <f ca="1"/>
        <v>MEI45737</v>
      </c>
      <c r="C1292" s="8" t="str">
        <v>Pedido 1279</v>
      </c>
      <c r="D1292" s="187">
        <v>45733</v>
      </c>
      <c r="E1292" s="9">
        <v>45737</v>
      </c>
      <c r="F1292" s="8" t="str">
        <v>PedidoF1223</v>
      </c>
      <c r="G1292" s="2" t="str">
        <v>CódRastreio1221</v>
      </c>
      <c r="H1292" s="5">
        <v>1</v>
      </c>
      <c r="I1292" s="2" t="str">
        <v>CPF 1245</v>
      </c>
      <c r="J1292" s="2" t="str">
        <v>Nome 1245</v>
      </c>
      <c r="K1292" s="8" t="str">
        <v>Tel 1245</v>
      </c>
      <c r="L1292" s="8" t="str">
        <v>Cep 1245</v>
      </c>
      <c r="M1292" s="8" t="str">
        <v>Rua 1245</v>
      </c>
      <c r="N1292" s="8" t="str">
        <v>Comp 1245</v>
      </c>
      <c r="O1292" s="8" t="str">
        <v>Máquina de cortar cabelo dragão</v>
      </c>
      <c r="P1292" s="8" t="str">
        <v>RX-DD1P-P5U2</v>
      </c>
      <c r="Q1292" s="4">
        <v>45749</v>
      </c>
      <c r="R1292" s="109">
        <v>24.8</v>
      </c>
      <c r="S1292" s="11">
        <f ca="1"/>
        <v>24.8</v>
      </c>
      <c r="T1292" s="28">
        <f ca="1"/>
        <v>2.976</v>
      </c>
      <c r="U1292" s="11">
        <f ca="1"/>
        <v>21.82</v>
      </c>
      <c r="V1292" s="11">
        <v>10.17</v>
      </c>
      <c r="W1292" s="11">
        <f ca="1"/>
        <v>0.2</v>
      </c>
      <c r="X1292" s="11">
        <f ca="1"/>
        <v>0.39877104377104378</v>
      </c>
      <c r="Y1292" s="11">
        <v>0</v>
      </c>
      <c r="Z1292" s="11">
        <f ca="1"/>
        <v>11.051228956228957</v>
      </c>
      <c r="AA1292" s="11">
        <f ca="1"/>
        <v>5.5256144781144787</v>
      </c>
      <c r="AB1292" s="4">
        <f ca="1"/>
        <v>45756</v>
      </c>
      <c r="AC1292" s="4">
        <v>45756</v>
      </c>
      <c r="AD1292" s="9">
        <v>45762</v>
      </c>
      <c r="AE1292" s="9">
        <v>45763</v>
      </c>
      <c r="AF1292" s="4" t="str">
        <f t="shared" ca="1" si="83"/>
        <v>2025 04</v>
      </c>
      <c r="AG1292" s="8" t="str" cm="1">
        <f t="array" ref="AG1292">IFERROR(_xlfn.IFS('Banco de Dados'!#REF!="AG. COMPRA","Em processamento",'Banco de Dados'!#REF!="AG. RASTREIO","Em processamento",'Banco de Dados'!$AE1292&lt;&gt;"-","Faturado",'Banco de Dados'!$AD1292&lt;&gt;"-","Aguardando Pix",'Banco de Dados'!$AC1292&lt;&gt;"-","Pendente"),"Aguardando Liberação")</f>
        <v>Aguardando Liberação</v>
      </c>
      <c r="AH1292" s="5" t="str">
        <f>IF('Banco de Dados'!$F1292="-",_xlfn.CONCAT(PROPER(TEXT(AK1292,"aaaa"))," ",PROPER(TEXT(AK1292,"mm"))),_xlfn.CONCAT(PROPER(TEXT(E1292,"aaaa"))," ",PROPER(TEXT(E1292,"mm"))))</f>
        <v>2025 03</v>
      </c>
      <c r="AI1292" s="9" t="str">
        <f ca="1">IF('Banco de Dados'!$AK1292&lt;&gt;"-","REEMBOLSO",IFERROR(_xlfn.XLOOKUP(G1292,Follow[CODRASTREIO],Follow[STATUS]),"-"))</f>
        <v>ENTREGUE</v>
      </c>
      <c r="AJ1292" s="9">
        <f ca="1">IF('Banco de Dados'!$AI1292="ENTREGUE",_xlfn.XLOOKUP('Banco de Dados'!$G1292,Follow[CODRASTREIO],Follow[DATAATUALIZAÇÃO]),"-")</f>
        <v>45754</v>
      </c>
      <c r="AK1292" s="132" t="str">
        <f ca="1"/>
        <v>-</v>
      </c>
      <c r="AL1292" s="35"/>
      <c r="AM1292" s="109" cm="1">
        <f t="array" aca="1" ref="AM1292" ca="1">IF('Banco de Dados'!$AK1292&lt;&gt;"-",_xlfn.IFS('Banco de Dados'!$A1292="bv",IF('Banco de Dados'!$E1292&lt;45641,ROUND(SUM('Banco de Dados'!$R1292*_xlfn.XLOOKUP('Banco de Dados'!$P1292,Sku!B:B,Sku!#REF!)*20%),2),ROUND(SUM('Banco de Dados'!$R1292*_xlfn.XLOOKUP('Banco de Dados'!$P1292,Sku!B:B,Sku!H:H)*20%),2)),'Banco de Dados'!$A1292="GO",ROUND(SUM('Banco de Dados'!$R1292*_xlfn.XLOOKUP('Banco de Dados'!$P1292,Sku!C:C,Sku!H:H)*20%),2),'Banco de Dados'!$A1292="MEI",ROUND(SUM('Banco de Dados'!$R1292*_xlfn.XLOOKUP('Banco de Dados'!$P1292,Sku!D:D,Sku!H:H)*20%),2)),0)</f>
        <v>0</v>
      </c>
      <c r="AN1292" s="109">
        <f ca="1">IF('Banco de Dados'!$AK1292&lt;&gt;"-",IF('Banco de Dados'!$F1292&lt;&gt;"-",_xlfn.XLOOKUP(IFERROR(IFERROR(IFERROR(VALUE(SUBSTITUTE(MID(_xlfn.TEXTAFTER('Banco de Dados'!$F1292,"Data do Pedido:
",1),1,10),"-","/")),VALUE(SUBSTITUTE(MID(_xlfn.TEXTAFTER('Banco de Dados'!$F1292,"Order date:
",1),1,10),"-","/"))),VALUE(SUBSTITUTE(MID(_xlfn.TEXTAFTER('Banco de Dados'!$F1292,"Fecha de pedido:
",1),1,10),"-","/"))),"-"),SMS!A:A,SMS!K:K),0),0)</f>
        <v>0</v>
      </c>
      <c r="AO1292" s="109">
        <f ca="1">IF('Banco de Dados'!$AK1292&lt;&gt;"-",IF('Banco de Dados'!$F1292&lt;&gt;"-",IFERROR(_xlfn.XLOOKUP(_xlfn.CONCAT('Banco de Dados'!$A1292,IFERROR(IFERROR(VALUE(SUBSTITUTE(MID(_xlfn.TEXTAFTER('Banco de Dados'!$F1292,"Data do Pedido:
",1),1,10),"-","/")),VALUE(SUBSTITUTE(MID(_xlfn.TEXTAFTER('Banco de Dados'!$F1292,"Order date:
",1),1,10),"-","/"))),0)),ProxyDD[Chave],ProxyDD[Valor por pedido]),PROXY!$P$2),0),0)</f>
        <v>0</v>
      </c>
      <c r="AP1292" s="28">
        <f ca="1">IF('Banco de Dados'!$AK1292&lt;&gt;"-",IF('Banco de Dados'!$AL1292="NÃO",IFERROR(VALUE(SUBSTITUTE(_xlfn.TEXTAFTER('Banco de Dados'!$F1292,"BRL ",1),".",",")),0),0),0)</f>
        <v>0</v>
      </c>
      <c r="AQ1292" s="28">
        <f ca="1">SUM('Banco de Dados'!$AM1292:$AP1292)</f>
        <v>0</v>
      </c>
      <c r="AR1292" s="8"/>
      <c r="AY1292" s="8"/>
    </row>
    <row r="1293" spans="1:51">
      <c r="A1293" s="5" t="str">
        <v>MEI</v>
      </c>
      <c r="B1293" s="5" t="str">
        <f ca="1"/>
        <v>MEI45733</v>
      </c>
      <c r="C1293" s="8" t="str">
        <v>Pedido 1280</v>
      </c>
      <c r="D1293" s="187">
        <v>45733</v>
      </c>
      <c r="E1293" s="9">
        <v>45733</v>
      </c>
      <c r="F1293" s="8" t="str">
        <v>PedidoF1224</v>
      </c>
      <c r="G1293" s="2" t="str">
        <v>CódRastreio1222</v>
      </c>
      <c r="H1293" s="5">
        <v>1</v>
      </c>
      <c r="I1293" s="2" t="str">
        <v>CPF 1246</v>
      </c>
      <c r="J1293" s="2" t="str">
        <v>Nome 1246</v>
      </c>
      <c r="K1293" s="8" t="str">
        <v>Tel 1246</v>
      </c>
      <c r="L1293" s="8" t="str">
        <v>Cep 1246</v>
      </c>
      <c r="M1293" s="8" t="str">
        <v>Rua 1246</v>
      </c>
      <c r="N1293" s="8" t="str">
        <v>Comp 1246</v>
      </c>
      <c r="O1293" s="8" t="str">
        <v>Máquina de cortar cabelo dragão</v>
      </c>
      <c r="P1293" s="8" t="str">
        <v>RX-DD1P-P5U2</v>
      </c>
      <c r="Q1293" s="4">
        <v>45757</v>
      </c>
      <c r="R1293" s="109">
        <v>24.8</v>
      </c>
      <c r="S1293" s="11">
        <f ca="1"/>
        <v>24.8</v>
      </c>
      <c r="T1293" s="28">
        <f ca="1"/>
        <v>2.976</v>
      </c>
      <c r="U1293" s="11">
        <f ca="1"/>
        <v>21.82</v>
      </c>
      <c r="V1293" s="11">
        <v>10.16</v>
      </c>
      <c r="W1293" s="11">
        <f ca="1"/>
        <v>0.46</v>
      </c>
      <c r="X1293" s="11">
        <f ca="1"/>
        <v>0.39877104377104378</v>
      </c>
      <c r="Y1293" s="11">
        <v>0</v>
      </c>
      <c r="Z1293" s="11">
        <f ca="1"/>
        <v>10.801228956228956</v>
      </c>
      <c r="AA1293" s="11">
        <f ca="1"/>
        <v>5.4006144781144778</v>
      </c>
      <c r="AB1293" s="4">
        <f ca="1"/>
        <v>45764</v>
      </c>
      <c r="AC1293" s="4">
        <v>45764</v>
      </c>
      <c r="AD1293" s="9">
        <v>45779</v>
      </c>
      <c r="AE1293" s="9">
        <v>45783</v>
      </c>
      <c r="AF1293" s="4" t="str">
        <f t="shared" ca="1" si="83"/>
        <v>2025 04</v>
      </c>
      <c r="AG1293" s="8" t="str" cm="1">
        <f t="array" ref="AG1293">IFERROR(_xlfn.IFS('Banco de Dados'!#REF!="AG. COMPRA","Em processamento",'Banco de Dados'!#REF!="AG. RASTREIO","Em processamento",'Banco de Dados'!$AE1293&lt;&gt;"-","Faturado",'Banco de Dados'!$AD1293&lt;&gt;"-","Aguardando Pix",'Banco de Dados'!$AC1293&lt;&gt;"-","Pendente"),"Aguardando Liberação")</f>
        <v>Aguardando Liberação</v>
      </c>
      <c r="AH1293" s="5" t="str">
        <f>IF('Banco de Dados'!$F1293="-",_xlfn.CONCAT(PROPER(TEXT(AK1293,"aaaa"))," ",PROPER(TEXT(AK1293,"mm"))),_xlfn.CONCAT(PROPER(TEXT(E1293,"aaaa"))," ",PROPER(TEXT(E1293,"mm"))))</f>
        <v>2025 03</v>
      </c>
      <c r="AI1293" s="9" t="str">
        <f ca="1">IF('Banco de Dados'!$AK1293&lt;&gt;"-","REEMBOLSO",IFERROR(_xlfn.XLOOKUP(G1293,Follow[CODRASTREIO],Follow[STATUS]),"-"))</f>
        <v>ENTREGUE</v>
      </c>
      <c r="AJ1293" s="9">
        <f ca="1">IF('Banco de Dados'!$AI1293="ENTREGUE",_xlfn.XLOOKUP('Banco de Dados'!$G1293,Follow[CODRASTREIO],Follow[DATAATUALIZAÇÃO]),"-")</f>
        <v>45757</v>
      </c>
      <c r="AK1293" s="132" t="str">
        <f ca="1"/>
        <v>-</v>
      </c>
      <c r="AL1293" s="35"/>
      <c r="AM1293" s="109" cm="1">
        <f t="array" aca="1" ref="AM1293" ca="1">IF('Banco de Dados'!$AK1293&lt;&gt;"-",_xlfn.IFS('Banco de Dados'!$A1293="bv",IF('Banco de Dados'!$E1293&lt;45641,ROUND(SUM('Banco de Dados'!$R1293*_xlfn.XLOOKUP('Banco de Dados'!$P1293,Sku!B:B,Sku!#REF!)*20%),2),ROUND(SUM('Banco de Dados'!$R1293*_xlfn.XLOOKUP('Banco de Dados'!$P1293,Sku!B:B,Sku!H:H)*20%),2)),'Banco de Dados'!$A1293="GO",ROUND(SUM('Banco de Dados'!$R1293*_xlfn.XLOOKUP('Banco de Dados'!$P1293,Sku!C:C,Sku!H:H)*20%),2),'Banco de Dados'!$A1293="MEI",ROUND(SUM('Banco de Dados'!$R1293*_xlfn.XLOOKUP('Banco de Dados'!$P1293,Sku!D:D,Sku!H:H)*20%),2)),0)</f>
        <v>0</v>
      </c>
      <c r="AN1293" s="109">
        <f ca="1">IF('Banco de Dados'!$AK1293&lt;&gt;"-",IF('Banco de Dados'!$F1293&lt;&gt;"-",_xlfn.XLOOKUP(IFERROR(IFERROR(IFERROR(VALUE(SUBSTITUTE(MID(_xlfn.TEXTAFTER('Banco de Dados'!$F1293,"Data do Pedido:
",1),1,10),"-","/")),VALUE(SUBSTITUTE(MID(_xlfn.TEXTAFTER('Banco de Dados'!$F1293,"Order date:
",1),1,10),"-","/"))),VALUE(SUBSTITUTE(MID(_xlfn.TEXTAFTER('Banco de Dados'!$F1293,"Fecha de pedido:
",1),1,10),"-","/"))),"-"),SMS!A:A,SMS!K:K),0),0)</f>
        <v>0</v>
      </c>
      <c r="AO1293" s="109">
        <f ca="1">IF('Banco de Dados'!$AK1293&lt;&gt;"-",IF('Banco de Dados'!$F1293&lt;&gt;"-",IFERROR(_xlfn.XLOOKUP(_xlfn.CONCAT('Banco de Dados'!$A1293,IFERROR(IFERROR(VALUE(SUBSTITUTE(MID(_xlfn.TEXTAFTER('Banco de Dados'!$F1293,"Data do Pedido:
",1),1,10),"-","/")),VALUE(SUBSTITUTE(MID(_xlfn.TEXTAFTER('Banco de Dados'!$F1293,"Order date:
",1),1,10),"-","/"))),0)),ProxyDD[Chave],ProxyDD[Valor por pedido]),PROXY!$P$2),0),0)</f>
        <v>0</v>
      </c>
      <c r="AP1293" s="28">
        <f ca="1">IF('Banco de Dados'!$AK1293&lt;&gt;"-",IF('Banco de Dados'!$AL1293="NÃO",IFERROR(VALUE(SUBSTITUTE(_xlfn.TEXTAFTER('Banco de Dados'!$F1293,"BRL ",1),".",",")),0),0),0)</f>
        <v>0</v>
      </c>
      <c r="AQ1293" s="28">
        <f ca="1">SUM('Banco de Dados'!$AM1293:$AP1293)</f>
        <v>0</v>
      </c>
      <c r="AR1293" s="8"/>
      <c r="AY1293" s="8"/>
    </row>
    <row r="1294" spans="1:51">
      <c r="A1294" s="5" t="str">
        <v>MEI</v>
      </c>
      <c r="B1294" s="5" t="str">
        <f ca="1"/>
        <v>MEI45737</v>
      </c>
      <c r="C1294" s="8" t="str">
        <v>Pedido 1281</v>
      </c>
      <c r="D1294" s="187">
        <v>45733</v>
      </c>
      <c r="E1294" s="9">
        <v>45737</v>
      </c>
      <c r="F1294" s="8" t="str">
        <v>PedidoF1225</v>
      </c>
      <c r="G1294" s="2" t="str">
        <v>CódRastreio1223</v>
      </c>
      <c r="H1294" s="5">
        <v>1</v>
      </c>
      <c r="I1294" s="2" t="str">
        <v>CPF 1247</v>
      </c>
      <c r="J1294" s="2" t="str">
        <v>Nome 1247</v>
      </c>
      <c r="K1294" s="8" t="str">
        <v>Tel 1247</v>
      </c>
      <c r="L1294" s="8" t="str">
        <v>Cep 1247</v>
      </c>
      <c r="M1294" s="8" t="str">
        <v>Rua 1247</v>
      </c>
      <c r="N1294" s="8" t="str">
        <v>Comp 1247</v>
      </c>
      <c r="O1294" s="8" t="str">
        <v>Máquina de cortar cabelo dragão</v>
      </c>
      <c r="P1294" s="8" t="str">
        <v>RX-DD1P-P5U2</v>
      </c>
      <c r="Q1294" s="4">
        <v>45757</v>
      </c>
      <c r="R1294" s="109">
        <v>24.8</v>
      </c>
      <c r="S1294" s="11">
        <f ca="1"/>
        <v>24.8</v>
      </c>
      <c r="T1294" s="28">
        <f ca="1"/>
        <v>2.976</v>
      </c>
      <c r="U1294" s="11">
        <f ca="1"/>
        <v>21.82</v>
      </c>
      <c r="V1294" s="11">
        <v>10.17</v>
      </c>
      <c r="W1294" s="11">
        <f ca="1"/>
        <v>0.2</v>
      </c>
      <c r="X1294" s="11">
        <f ca="1"/>
        <v>0.39877104377104378</v>
      </c>
      <c r="Y1294" s="11">
        <v>0</v>
      </c>
      <c r="Z1294" s="11">
        <f ca="1"/>
        <v>11.051228956228957</v>
      </c>
      <c r="AA1294" s="11">
        <f ca="1"/>
        <v>5.5256144781144787</v>
      </c>
      <c r="AB1294" s="4">
        <f ca="1"/>
        <v>45764</v>
      </c>
      <c r="AC1294" s="4">
        <v>45764</v>
      </c>
      <c r="AD1294" s="9">
        <v>45779</v>
      </c>
      <c r="AE1294" s="9">
        <v>45783</v>
      </c>
      <c r="AF1294" s="4" t="str">
        <f t="shared" ca="1" si="83"/>
        <v>2025 04</v>
      </c>
      <c r="AG1294" s="8" t="str" cm="1">
        <f t="array" ref="AG1294">IFERROR(_xlfn.IFS('Banco de Dados'!#REF!="AG. COMPRA","Em processamento",'Banco de Dados'!#REF!="AG. RASTREIO","Em processamento",'Banco de Dados'!$AE1294&lt;&gt;"-","Faturado",'Banco de Dados'!$AD1294&lt;&gt;"-","Aguardando Pix",'Banco de Dados'!$AC1294&lt;&gt;"-","Pendente"),"Aguardando Liberação")</f>
        <v>Aguardando Liberação</v>
      </c>
      <c r="AH1294" s="5" t="str">
        <f>IF('Banco de Dados'!$F1294="-",_xlfn.CONCAT(PROPER(TEXT(AK1294,"aaaa"))," ",PROPER(TEXT(AK1294,"mm"))),_xlfn.CONCAT(PROPER(TEXT(E1294,"aaaa"))," ",PROPER(TEXT(E1294,"mm"))))</f>
        <v>2025 03</v>
      </c>
      <c r="AI1294" s="9" t="str">
        <f ca="1">IF('Banco de Dados'!$AK1294&lt;&gt;"-","REEMBOLSO",IFERROR(_xlfn.XLOOKUP(G1294,Follow[CODRASTREIO],Follow[STATUS]),"-"))</f>
        <v>ENTREGUE</v>
      </c>
      <c r="AJ1294" s="9">
        <f ca="1">IF('Banco de Dados'!$AI1294="ENTREGUE",_xlfn.XLOOKUP('Banco de Dados'!$G1294,Follow[CODRASTREIO],Follow[DATAATUALIZAÇÃO]),"-")</f>
        <v>45749</v>
      </c>
      <c r="AK1294" s="132" t="str">
        <f ca="1"/>
        <v>-</v>
      </c>
      <c r="AL1294" s="35"/>
      <c r="AM1294" s="109" cm="1">
        <f t="array" aca="1" ref="AM1294" ca="1">IF('Banco de Dados'!$AK1294&lt;&gt;"-",_xlfn.IFS('Banco de Dados'!$A1294="bv",IF('Banco de Dados'!$E1294&lt;45641,ROUND(SUM('Banco de Dados'!$R1294*_xlfn.XLOOKUP('Banco de Dados'!$P1294,Sku!B:B,Sku!#REF!)*20%),2),ROUND(SUM('Banco de Dados'!$R1294*_xlfn.XLOOKUP('Banco de Dados'!$P1294,Sku!B:B,Sku!H:H)*20%),2)),'Banco de Dados'!$A1294="GO",ROUND(SUM('Banco de Dados'!$R1294*_xlfn.XLOOKUP('Banco de Dados'!$P1294,Sku!C:C,Sku!H:H)*20%),2),'Banco de Dados'!$A1294="MEI",ROUND(SUM('Banco de Dados'!$R1294*_xlfn.XLOOKUP('Banco de Dados'!$P1294,Sku!D:D,Sku!H:H)*20%),2)),0)</f>
        <v>0</v>
      </c>
      <c r="AN1294" s="109">
        <f ca="1">IF('Banco de Dados'!$AK1294&lt;&gt;"-",IF('Banco de Dados'!$F1294&lt;&gt;"-",_xlfn.XLOOKUP(IFERROR(IFERROR(IFERROR(VALUE(SUBSTITUTE(MID(_xlfn.TEXTAFTER('Banco de Dados'!$F1294,"Data do Pedido:
",1),1,10),"-","/")),VALUE(SUBSTITUTE(MID(_xlfn.TEXTAFTER('Banco de Dados'!$F1294,"Order date:
",1),1,10),"-","/"))),VALUE(SUBSTITUTE(MID(_xlfn.TEXTAFTER('Banco de Dados'!$F1294,"Fecha de pedido:
",1),1,10),"-","/"))),"-"),SMS!A:A,SMS!K:K),0),0)</f>
        <v>0</v>
      </c>
      <c r="AO1294" s="109">
        <f ca="1">IF('Banco de Dados'!$AK1294&lt;&gt;"-",IF('Banco de Dados'!$F1294&lt;&gt;"-",IFERROR(_xlfn.XLOOKUP(_xlfn.CONCAT('Banco de Dados'!$A1294,IFERROR(IFERROR(VALUE(SUBSTITUTE(MID(_xlfn.TEXTAFTER('Banco de Dados'!$F1294,"Data do Pedido:
",1),1,10),"-","/")),VALUE(SUBSTITUTE(MID(_xlfn.TEXTAFTER('Banco de Dados'!$F1294,"Order date:
",1),1,10),"-","/"))),0)),ProxyDD[Chave],ProxyDD[Valor por pedido]),PROXY!$P$2),0),0)</f>
        <v>0</v>
      </c>
      <c r="AP1294" s="28">
        <f ca="1">IF('Banco de Dados'!$AK1294&lt;&gt;"-",IF('Banco de Dados'!$AL1294="NÃO",IFERROR(VALUE(SUBSTITUTE(_xlfn.TEXTAFTER('Banco de Dados'!$F1294,"BRL ",1),".",",")),0),0),0)</f>
        <v>0</v>
      </c>
      <c r="AQ1294" s="28">
        <f ca="1">SUM('Banco de Dados'!$AM1294:$AP1294)</f>
        <v>0</v>
      </c>
      <c r="AR1294" s="8"/>
      <c r="AY1294" s="8"/>
    </row>
    <row r="1295" spans="1:51">
      <c r="A1295" s="5" t="str">
        <v>MEI</v>
      </c>
      <c r="B1295" s="5" t="str">
        <f ca="1"/>
        <v>MEI45737</v>
      </c>
      <c r="C1295" s="8" t="str">
        <v>Pedido 1282</v>
      </c>
      <c r="D1295" s="187">
        <v>45733</v>
      </c>
      <c r="E1295" s="9">
        <v>45737</v>
      </c>
      <c r="F1295" s="8" t="str">
        <v>PedidoF1226</v>
      </c>
      <c r="G1295" s="2" t="str">
        <v>CódRastreio1224</v>
      </c>
      <c r="H1295" s="5">
        <v>1</v>
      </c>
      <c r="I1295" s="2" t="str">
        <v>CPF 1248</v>
      </c>
      <c r="J1295" s="2" t="str">
        <v>Nome 1248</v>
      </c>
      <c r="K1295" s="8" t="str">
        <v>Tel 1248</v>
      </c>
      <c r="L1295" s="8" t="str">
        <v>Cep 1248</v>
      </c>
      <c r="M1295" s="8" t="str">
        <v>Rua 1248</v>
      </c>
      <c r="N1295" s="8" t="str">
        <v>Comp 1248</v>
      </c>
      <c r="O1295" s="8" t="str">
        <v>Máquina de cortar cabelo dragão</v>
      </c>
      <c r="P1295" s="8" t="str">
        <v>RX-DD1P-P5U2</v>
      </c>
      <c r="Q1295" s="4">
        <v>45758</v>
      </c>
      <c r="R1295" s="109">
        <v>24.8</v>
      </c>
      <c r="S1295" s="11">
        <f ca="1"/>
        <v>24.8</v>
      </c>
      <c r="T1295" s="28">
        <f ca="1"/>
        <v>2.976</v>
      </c>
      <c r="U1295" s="11">
        <f ca="1"/>
        <v>21.82</v>
      </c>
      <c r="V1295" s="11">
        <v>10.17</v>
      </c>
      <c r="W1295" s="11">
        <f ca="1"/>
        <v>0.2</v>
      </c>
      <c r="X1295" s="11">
        <f ca="1"/>
        <v>0.39877104377104378</v>
      </c>
      <c r="Y1295" s="11">
        <v>0</v>
      </c>
      <c r="Z1295" s="11">
        <f ca="1"/>
        <v>11.051228956228957</v>
      </c>
      <c r="AA1295" s="11">
        <f ca="1"/>
        <v>5.5256144781144787</v>
      </c>
      <c r="AB1295" s="4">
        <f ca="1"/>
        <v>45765</v>
      </c>
      <c r="AC1295" s="4">
        <v>45765</v>
      </c>
      <c r="AD1295" s="9">
        <v>45779</v>
      </c>
      <c r="AE1295" s="9">
        <v>45783</v>
      </c>
      <c r="AF1295" s="4" t="str">
        <f t="shared" ca="1" si="83"/>
        <v>2025 04</v>
      </c>
      <c r="AG1295" s="8" t="str" cm="1">
        <f t="array" ref="AG1295">IFERROR(_xlfn.IFS('Banco de Dados'!#REF!="AG. COMPRA","Em processamento",'Banco de Dados'!#REF!="AG. RASTREIO","Em processamento",'Banco de Dados'!$AE1295&lt;&gt;"-","Faturado",'Banco de Dados'!$AD1295&lt;&gt;"-","Aguardando Pix",'Banco de Dados'!$AC1295&lt;&gt;"-","Pendente"),"Aguardando Liberação")</f>
        <v>Aguardando Liberação</v>
      </c>
      <c r="AH1295" s="5" t="str">
        <f>IF('Banco de Dados'!$F1295="-",_xlfn.CONCAT(PROPER(TEXT(AK1295,"aaaa"))," ",PROPER(TEXT(AK1295,"mm"))),_xlfn.CONCAT(PROPER(TEXT(E1295,"aaaa"))," ",PROPER(TEXT(E1295,"mm"))))</f>
        <v>2025 03</v>
      </c>
      <c r="AI1295" s="9" t="str">
        <f ca="1">IF('Banco de Dados'!$AK1295&lt;&gt;"-","REEMBOLSO",IFERROR(_xlfn.XLOOKUP(G1295,Follow[CODRASTREIO],Follow[STATUS]),"-"))</f>
        <v>ENTREGUE</v>
      </c>
      <c r="AJ1295" s="9">
        <f ca="1">IF('Banco de Dados'!$AI1295="ENTREGUE",_xlfn.XLOOKUP('Banco de Dados'!$G1295,Follow[CODRASTREIO],Follow[DATAATUALIZAÇÃO]),"-")</f>
        <v>45751</v>
      </c>
      <c r="AK1295" s="132" t="str">
        <f ca="1"/>
        <v>-</v>
      </c>
      <c r="AL1295" s="35"/>
      <c r="AM1295" s="109" cm="1">
        <f t="array" aca="1" ref="AM1295" ca="1">IF('Banco de Dados'!$AK1295&lt;&gt;"-",_xlfn.IFS('Banco de Dados'!$A1295="bv",IF('Banco de Dados'!$E1295&lt;45641,ROUND(SUM('Banco de Dados'!$R1295*_xlfn.XLOOKUP('Banco de Dados'!$P1295,Sku!B:B,Sku!#REF!)*20%),2),ROUND(SUM('Banco de Dados'!$R1295*_xlfn.XLOOKUP('Banco de Dados'!$P1295,Sku!B:B,Sku!H:H)*20%),2)),'Banco de Dados'!$A1295="GO",ROUND(SUM('Banco de Dados'!$R1295*_xlfn.XLOOKUP('Banco de Dados'!$P1295,Sku!C:C,Sku!H:H)*20%),2),'Banco de Dados'!$A1295="MEI",ROUND(SUM('Banco de Dados'!$R1295*_xlfn.XLOOKUP('Banco de Dados'!$P1295,Sku!D:D,Sku!H:H)*20%),2)),0)</f>
        <v>0</v>
      </c>
      <c r="AN1295" s="109">
        <f ca="1">IF('Banco de Dados'!$AK1295&lt;&gt;"-",IF('Banco de Dados'!$F1295&lt;&gt;"-",_xlfn.XLOOKUP(IFERROR(IFERROR(IFERROR(VALUE(SUBSTITUTE(MID(_xlfn.TEXTAFTER('Banco de Dados'!$F1295,"Data do Pedido:
",1),1,10),"-","/")),VALUE(SUBSTITUTE(MID(_xlfn.TEXTAFTER('Banco de Dados'!$F1295,"Order date:
",1),1,10),"-","/"))),VALUE(SUBSTITUTE(MID(_xlfn.TEXTAFTER('Banco de Dados'!$F1295,"Fecha de pedido:
",1),1,10),"-","/"))),"-"),SMS!A:A,SMS!K:K),0),0)</f>
        <v>0</v>
      </c>
      <c r="AO1295" s="109">
        <f ca="1">IF('Banco de Dados'!$AK1295&lt;&gt;"-",IF('Banco de Dados'!$F1295&lt;&gt;"-",IFERROR(_xlfn.XLOOKUP(_xlfn.CONCAT('Banco de Dados'!$A1295,IFERROR(IFERROR(VALUE(SUBSTITUTE(MID(_xlfn.TEXTAFTER('Banco de Dados'!$F1295,"Data do Pedido:
",1),1,10),"-","/")),VALUE(SUBSTITUTE(MID(_xlfn.TEXTAFTER('Banco de Dados'!$F1295,"Order date:
",1),1,10),"-","/"))),0)),ProxyDD[Chave],ProxyDD[Valor por pedido]),PROXY!$P$2),0),0)</f>
        <v>0</v>
      </c>
      <c r="AP1295" s="28">
        <f ca="1">IF('Banco de Dados'!$AK1295&lt;&gt;"-",IF('Banco de Dados'!$AL1295="NÃO",IFERROR(VALUE(SUBSTITUTE(_xlfn.TEXTAFTER('Banco de Dados'!$F1295,"BRL ",1),".",",")),0),0),0)</f>
        <v>0</v>
      </c>
      <c r="AQ1295" s="28">
        <f ca="1">SUM('Banco de Dados'!$AM1295:$AP1295)</f>
        <v>0</v>
      </c>
      <c r="AR1295" s="8"/>
      <c r="AY1295" s="8"/>
    </row>
    <row r="1296" spans="1:51">
      <c r="A1296" s="5" t="str">
        <v>MEI</v>
      </c>
      <c r="B1296" s="5" t="str">
        <f ca="1"/>
        <v>MEI45737</v>
      </c>
      <c r="C1296" s="8" t="str">
        <v>Pedido 1283</v>
      </c>
      <c r="D1296" s="187">
        <v>45733</v>
      </c>
      <c r="E1296" s="9">
        <v>45737</v>
      </c>
      <c r="F1296" s="8" t="str">
        <v>PedidoF1227</v>
      </c>
      <c r="G1296" s="2" t="str">
        <v>CódRastreio1225</v>
      </c>
      <c r="H1296" s="5">
        <v>1</v>
      </c>
      <c r="I1296" s="2" t="str">
        <v>CPF 1249</v>
      </c>
      <c r="J1296" s="2" t="str">
        <v>Nome 1249</v>
      </c>
      <c r="K1296" s="8" t="str">
        <v>Tel 1249</v>
      </c>
      <c r="L1296" s="8" t="str">
        <v>Cep 1249</v>
      </c>
      <c r="M1296" s="8" t="str">
        <v>Rua 1249</v>
      </c>
      <c r="N1296" s="8" t="str">
        <v>Comp 1249</v>
      </c>
      <c r="O1296" s="8" t="str">
        <v>Máquina de cortar cabelo dragão</v>
      </c>
      <c r="P1296" s="8" t="str">
        <v>RX-DD1P-P5U2</v>
      </c>
      <c r="Q1296" s="4">
        <v>45758</v>
      </c>
      <c r="R1296" s="109">
        <v>24.8</v>
      </c>
      <c r="S1296" s="11">
        <f ca="1"/>
        <v>24.8</v>
      </c>
      <c r="T1296" s="28">
        <f ca="1"/>
        <v>2.976</v>
      </c>
      <c r="U1296" s="11">
        <f ca="1"/>
        <v>21.82</v>
      </c>
      <c r="V1296" s="11">
        <v>10.58</v>
      </c>
      <c r="W1296" s="11">
        <f ca="1"/>
        <v>0.2</v>
      </c>
      <c r="X1296" s="11">
        <f ca="1"/>
        <v>0.39877104377104378</v>
      </c>
      <c r="Y1296" s="11">
        <v>0</v>
      </c>
      <c r="Z1296" s="11">
        <f ca="1"/>
        <v>10.641228956228957</v>
      </c>
      <c r="AA1296" s="11">
        <f ca="1"/>
        <v>5.3206144781144786</v>
      </c>
      <c r="AB1296" s="4">
        <f ca="1"/>
        <v>45765</v>
      </c>
      <c r="AC1296" s="4">
        <v>45765</v>
      </c>
      <c r="AD1296" s="9">
        <v>45779</v>
      </c>
      <c r="AE1296" s="9">
        <v>45783</v>
      </c>
      <c r="AF1296" s="4" t="str">
        <f t="shared" ca="1" si="83"/>
        <v>2025 04</v>
      </c>
      <c r="AG1296" s="8" t="str" cm="1">
        <f t="array" ref="AG1296">IFERROR(_xlfn.IFS('Banco de Dados'!#REF!="AG. COMPRA","Em processamento",'Banco de Dados'!#REF!="AG. RASTREIO","Em processamento",'Banco de Dados'!$AE1296&lt;&gt;"-","Faturado",'Banco de Dados'!$AD1296&lt;&gt;"-","Aguardando Pix",'Banco de Dados'!$AC1296&lt;&gt;"-","Pendente"),"Aguardando Liberação")</f>
        <v>Aguardando Liberação</v>
      </c>
      <c r="AH1296" s="5" t="str">
        <f>IF('Banco de Dados'!$F1296="-",_xlfn.CONCAT(PROPER(TEXT(AK1296,"aaaa"))," ",PROPER(TEXT(AK1296,"mm"))),_xlfn.CONCAT(PROPER(TEXT(E1296,"aaaa"))," ",PROPER(TEXT(E1296,"mm"))))</f>
        <v>2025 03</v>
      </c>
      <c r="AI1296" s="9" t="str">
        <f ca="1">IF('Banco de Dados'!$AK1296&lt;&gt;"-","REEMBOLSO",IFERROR(_xlfn.XLOOKUP(G1296,Follow[CODRASTREIO],Follow[STATUS]),"-"))</f>
        <v>ENTREGUE</v>
      </c>
      <c r="AJ1296" s="9">
        <f ca="1">IF('Banco de Dados'!$AI1296="ENTREGUE",_xlfn.XLOOKUP('Banco de Dados'!$G1296,Follow[CODRASTREIO],Follow[DATAATUALIZAÇÃO]),"-")</f>
        <v>45762</v>
      </c>
      <c r="AK1296" s="132" t="str">
        <f ca="1"/>
        <v>-</v>
      </c>
      <c r="AL1296" s="35"/>
      <c r="AM1296" s="109" cm="1">
        <f t="array" aca="1" ref="AM1296" ca="1">IF('Banco de Dados'!$AK1296&lt;&gt;"-",_xlfn.IFS('Banco de Dados'!$A1296="bv",IF('Banco de Dados'!$E1296&lt;45641,ROUND(SUM('Banco de Dados'!$R1296*_xlfn.XLOOKUP('Banco de Dados'!$P1296,Sku!B:B,Sku!#REF!)*20%),2),ROUND(SUM('Banco de Dados'!$R1296*_xlfn.XLOOKUP('Banco de Dados'!$P1296,Sku!B:B,Sku!H:H)*20%),2)),'Banco de Dados'!$A1296="GO",ROUND(SUM('Banco de Dados'!$R1296*_xlfn.XLOOKUP('Banco de Dados'!$P1296,Sku!C:C,Sku!H:H)*20%),2),'Banco de Dados'!$A1296="MEI",ROUND(SUM('Banco de Dados'!$R1296*_xlfn.XLOOKUP('Banco de Dados'!$P1296,Sku!D:D,Sku!H:H)*20%),2)),0)</f>
        <v>0</v>
      </c>
      <c r="AN1296" s="109">
        <f ca="1">IF('Banco de Dados'!$AK1296&lt;&gt;"-",IF('Banco de Dados'!$F1296&lt;&gt;"-",_xlfn.XLOOKUP(IFERROR(IFERROR(IFERROR(VALUE(SUBSTITUTE(MID(_xlfn.TEXTAFTER('Banco de Dados'!$F1296,"Data do Pedido:
",1),1,10),"-","/")),VALUE(SUBSTITUTE(MID(_xlfn.TEXTAFTER('Banco de Dados'!$F1296,"Order date:
",1),1,10),"-","/"))),VALUE(SUBSTITUTE(MID(_xlfn.TEXTAFTER('Banco de Dados'!$F1296,"Fecha de pedido:
",1),1,10),"-","/"))),"-"),SMS!A:A,SMS!K:K),0),0)</f>
        <v>0</v>
      </c>
      <c r="AO1296" s="109">
        <f ca="1">IF('Banco de Dados'!$AK1296&lt;&gt;"-",IF('Banco de Dados'!$F1296&lt;&gt;"-",IFERROR(_xlfn.XLOOKUP(_xlfn.CONCAT('Banco de Dados'!$A1296,IFERROR(IFERROR(VALUE(SUBSTITUTE(MID(_xlfn.TEXTAFTER('Banco de Dados'!$F1296,"Data do Pedido:
",1),1,10),"-","/")),VALUE(SUBSTITUTE(MID(_xlfn.TEXTAFTER('Banco de Dados'!$F1296,"Order date:
",1),1,10),"-","/"))),0)),ProxyDD[Chave],ProxyDD[Valor por pedido]),PROXY!$P$2),0),0)</f>
        <v>0</v>
      </c>
      <c r="AP1296" s="28">
        <f ca="1">IF('Banco de Dados'!$AK1296&lt;&gt;"-",IF('Banco de Dados'!$AL1296="NÃO",IFERROR(VALUE(SUBSTITUTE(_xlfn.TEXTAFTER('Banco de Dados'!$F1296,"BRL ",1),".",",")),0),0),0)</f>
        <v>0</v>
      </c>
      <c r="AQ1296" s="28">
        <f ca="1">SUM('Banco de Dados'!$AM1296:$AP1296)</f>
        <v>0</v>
      </c>
      <c r="AR1296" s="8"/>
      <c r="AY1296" s="8"/>
    </row>
    <row r="1297" spans="1:51">
      <c r="A1297" s="5" t="str">
        <v>MEI</v>
      </c>
      <c r="B1297" s="5" t="str">
        <f ca="1"/>
        <v>MEI45737</v>
      </c>
      <c r="C1297" s="8" t="str">
        <v>Pedido 1284</v>
      </c>
      <c r="D1297" s="187">
        <v>45733</v>
      </c>
      <c r="E1297" s="9">
        <v>45737</v>
      </c>
      <c r="F1297" s="8" t="str">
        <v>PedidoF1228</v>
      </c>
      <c r="G1297" s="2" t="str">
        <v>CódRastreio1226</v>
      </c>
      <c r="H1297" s="5">
        <v>1</v>
      </c>
      <c r="I1297" s="2" t="str">
        <v>CPF 1250</v>
      </c>
      <c r="J1297" s="2" t="str">
        <v>Nome 1250</v>
      </c>
      <c r="K1297" s="8" t="str">
        <v>Tel 1250</v>
      </c>
      <c r="L1297" s="8" t="str">
        <v>Cep 1250</v>
      </c>
      <c r="M1297" s="8" t="str">
        <v>Rua 1250</v>
      </c>
      <c r="N1297" s="8" t="str">
        <v>Comp 1250</v>
      </c>
      <c r="O1297" s="8" t="str">
        <v>Bomba d'agua</v>
      </c>
      <c r="P1297" s="8" t="str">
        <v>U1-D95R-HYRT</v>
      </c>
      <c r="Q1297" s="4">
        <v>45758</v>
      </c>
      <c r="R1297" s="109">
        <v>21</v>
      </c>
      <c r="S1297" s="11">
        <f ca="1"/>
        <v>21</v>
      </c>
      <c r="T1297" s="28">
        <f ca="1"/>
        <v>2.9400000000000004</v>
      </c>
      <c r="U1297" s="11">
        <f ca="1"/>
        <v>18.059999999999999</v>
      </c>
      <c r="V1297" s="11">
        <v>15.36</v>
      </c>
      <c r="W1297" s="11">
        <f ca="1"/>
        <v>0.2</v>
      </c>
      <c r="X1297" s="11">
        <f ca="1"/>
        <v>0.39877104377104378</v>
      </c>
      <c r="Y1297" s="11">
        <v>0</v>
      </c>
      <c r="Z1297" s="11">
        <f ca="1"/>
        <v>2.1012289562289563</v>
      </c>
      <c r="AA1297" s="11">
        <f ca="1"/>
        <v>1.0506144781144782</v>
      </c>
      <c r="AB1297" s="4">
        <f ca="1"/>
        <v>45765</v>
      </c>
      <c r="AC1297" s="4">
        <v>45765</v>
      </c>
      <c r="AD1297" s="9">
        <v>45779</v>
      </c>
      <c r="AE1297" s="9">
        <v>45783</v>
      </c>
      <c r="AF1297" s="4" t="str">
        <f t="shared" ca="1" si="83"/>
        <v>2025 04</v>
      </c>
      <c r="AG1297" s="8" t="str" cm="1">
        <f t="array" ref="AG1297">IFERROR(_xlfn.IFS('Banco de Dados'!#REF!="AG. COMPRA","Em processamento",'Banco de Dados'!#REF!="AG. RASTREIO","Em processamento",'Banco de Dados'!$AE1297&lt;&gt;"-","Faturado",'Banco de Dados'!$AD1297&lt;&gt;"-","Aguardando Pix",'Banco de Dados'!$AC1297&lt;&gt;"-","Pendente"),"Aguardando Liberação")</f>
        <v>Aguardando Liberação</v>
      </c>
      <c r="AH1297" s="5" t="str">
        <f>IF('Banco de Dados'!$F1297="-",_xlfn.CONCAT(PROPER(TEXT(AK1297,"aaaa"))," ",PROPER(TEXT(AK1297,"mm"))),_xlfn.CONCAT(PROPER(TEXT(E1297,"aaaa"))," ",PROPER(TEXT(E1297,"mm"))))</f>
        <v>2025 03</v>
      </c>
      <c r="AI1297" s="9" t="str">
        <f ca="1">IF('Banco de Dados'!$AK1297&lt;&gt;"-","REEMBOLSO",IFERROR(_xlfn.XLOOKUP(G1297,Follow[CODRASTREIO],Follow[STATUS]),"-"))</f>
        <v>ENTREGUE</v>
      </c>
      <c r="AJ1297" s="9">
        <f ca="1">IF('Banco de Dados'!$AI1297="ENTREGUE",_xlfn.XLOOKUP('Banco de Dados'!$G1297,Follow[CODRASTREIO],Follow[DATAATUALIZAÇÃO]),"-")</f>
        <v>45752</v>
      </c>
      <c r="AK1297" s="132" t="str">
        <f ca="1"/>
        <v>-</v>
      </c>
      <c r="AL1297" s="35"/>
      <c r="AM1297" s="109" cm="1">
        <f t="array" aca="1" ref="AM1297" ca="1">IF('Banco de Dados'!$AK1297&lt;&gt;"-",_xlfn.IFS('Banco de Dados'!$A1297="bv",IF('Banco de Dados'!$E1297&lt;45641,ROUND(SUM('Banco de Dados'!$R1297*_xlfn.XLOOKUP('Banco de Dados'!$P1297,Sku!B:B,Sku!#REF!)*20%),2),ROUND(SUM('Banco de Dados'!$R1297*_xlfn.XLOOKUP('Banco de Dados'!$P1297,Sku!B:B,Sku!H:H)*20%),2)),'Banco de Dados'!$A1297="GO",ROUND(SUM('Banco de Dados'!$R1297*_xlfn.XLOOKUP('Banco de Dados'!$P1297,Sku!C:C,Sku!H:H)*20%),2),'Banco de Dados'!$A1297="MEI",ROUND(SUM('Banco de Dados'!$R1297*_xlfn.XLOOKUP('Banco de Dados'!$P1297,Sku!D:D,Sku!H:H)*20%),2)),0)</f>
        <v>0</v>
      </c>
      <c r="AN1297" s="109">
        <f ca="1">IF('Banco de Dados'!$AK1297&lt;&gt;"-",IF('Banco de Dados'!$F1297&lt;&gt;"-",_xlfn.XLOOKUP(IFERROR(IFERROR(IFERROR(VALUE(SUBSTITUTE(MID(_xlfn.TEXTAFTER('Banco de Dados'!$F1297,"Data do Pedido:
",1),1,10),"-","/")),VALUE(SUBSTITUTE(MID(_xlfn.TEXTAFTER('Banco de Dados'!$F1297,"Order date:
",1),1,10),"-","/"))),VALUE(SUBSTITUTE(MID(_xlfn.TEXTAFTER('Banco de Dados'!$F1297,"Fecha de pedido:
",1),1,10),"-","/"))),"-"),SMS!A:A,SMS!K:K),0),0)</f>
        <v>0</v>
      </c>
      <c r="AO1297" s="109">
        <f ca="1">IF('Banco de Dados'!$AK1297&lt;&gt;"-",IF('Banco de Dados'!$F1297&lt;&gt;"-",IFERROR(_xlfn.XLOOKUP(_xlfn.CONCAT('Banco de Dados'!$A1297,IFERROR(IFERROR(VALUE(SUBSTITUTE(MID(_xlfn.TEXTAFTER('Banco de Dados'!$F1297,"Data do Pedido:
",1),1,10),"-","/")),VALUE(SUBSTITUTE(MID(_xlfn.TEXTAFTER('Banco de Dados'!$F1297,"Order date:
",1),1,10),"-","/"))),0)),ProxyDD[Chave],ProxyDD[Valor por pedido]),PROXY!$P$2),0),0)</f>
        <v>0</v>
      </c>
      <c r="AP1297" s="28">
        <f ca="1">IF('Banco de Dados'!$AK1297&lt;&gt;"-",IF('Banco de Dados'!$AL1297="NÃO",IFERROR(VALUE(SUBSTITUTE(_xlfn.TEXTAFTER('Banco de Dados'!$F1297,"BRL ",1),".",",")),0),0),0)</f>
        <v>0</v>
      </c>
      <c r="AQ1297" s="28">
        <f ca="1">SUM('Banco de Dados'!$AM1297:$AP1297)</f>
        <v>0</v>
      </c>
      <c r="AR1297" s="8"/>
      <c r="AY1297" s="8"/>
    </row>
    <row r="1298" spans="1:51">
      <c r="A1298" s="5" t="str">
        <v>MEI</v>
      </c>
      <c r="B1298" s="5" t="str">
        <f ca="1"/>
        <v>MEI45737</v>
      </c>
      <c r="C1298" s="8" t="str">
        <v>Pedido 1285</v>
      </c>
      <c r="D1298" s="187">
        <v>45733</v>
      </c>
      <c r="E1298" s="9">
        <v>45737</v>
      </c>
      <c r="F1298" s="8" t="str">
        <v>PedidoF1229</v>
      </c>
      <c r="G1298" s="2" t="str">
        <v>CódRastreio1227</v>
      </c>
      <c r="H1298" s="5">
        <v>1</v>
      </c>
      <c r="I1298" s="2" t="str">
        <v>CPF 1251</v>
      </c>
      <c r="J1298" s="2" t="str">
        <v>Nome 1251</v>
      </c>
      <c r="K1298" s="8" t="str">
        <v>Tel 1251</v>
      </c>
      <c r="L1298" s="8" t="str">
        <v>Cep 1251</v>
      </c>
      <c r="M1298" s="8" t="str">
        <v>Rua 1251</v>
      </c>
      <c r="N1298" s="8" t="str">
        <v>Comp 1251</v>
      </c>
      <c r="O1298" s="8" t="str">
        <v>Bomba d'agua</v>
      </c>
      <c r="P1298" s="8" t="str">
        <v>U1-D95R-HYRT</v>
      </c>
      <c r="Q1298" s="4">
        <v>45752</v>
      </c>
      <c r="R1298" s="109">
        <v>21</v>
      </c>
      <c r="S1298" s="11">
        <f ca="1"/>
        <v>21</v>
      </c>
      <c r="T1298" s="28">
        <f ca="1"/>
        <v>2.9400000000000004</v>
      </c>
      <c r="U1298" s="11">
        <f ca="1"/>
        <v>18.059999999999999</v>
      </c>
      <c r="V1298" s="11">
        <v>15.33</v>
      </c>
      <c r="W1298" s="11">
        <f ca="1"/>
        <v>0.2</v>
      </c>
      <c r="X1298" s="11">
        <f ca="1"/>
        <v>0.39877104377104378</v>
      </c>
      <c r="Y1298" s="11">
        <v>0</v>
      </c>
      <c r="Z1298" s="11">
        <f ca="1"/>
        <v>2.1312289562289557</v>
      </c>
      <c r="AA1298" s="11">
        <f ca="1"/>
        <v>1.0656144781144778</v>
      </c>
      <c r="AB1298" s="4">
        <f ca="1"/>
        <v>45759</v>
      </c>
      <c r="AC1298" s="4">
        <v>45759</v>
      </c>
      <c r="AD1298" s="9">
        <v>45762</v>
      </c>
      <c r="AE1298" s="9">
        <v>45763</v>
      </c>
      <c r="AF1298" s="4" t="str">
        <f t="shared" ca="1" si="83"/>
        <v>2025 04</v>
      </c>
      <c r="AG1298" s="8" t="str" cm="1">
        <f t="array" ref="AG1298">IFERROR(_xlfn.IFS('Banco de Dados'!#REF!="AG. COMPRA","Em processamento",'Banco de Dados'!#REF!="AG. RASTREIO","Em processamento",'Banco de Dados'!$AE1298&lt;&gt;"-","Faturado",'Banco de Dados'!$AD1298&lt;&gt;"-","Aguardando Pix",'Banco de Dados'!$AC1298&lt;&gt;"-","Pendente"),"Aguardando Liberação")</f>
        <v>Aguardando Liberação</v>
      </c>
      <c r="AH1298" s="5" t="str">
        <f>IF('Banco de Dados'!$F1298="-",_xlfn.CONCAT(PROPER(TEXT(AK1298,"aaaa"))," ",PROPER(TEXT(AK1298,"mm"))),_xlfn.CONCAT(PROPER(TEXT(E1298,"aaaa"))," ",PROPER(TEXT(E1298,"mm"))))</f>
        <v>2025 03</v>
      </c>
      <c r="AI1298" s="9" t="str">
        <f ca="1">IF('Banco de Dados'!$AK1298&lt;&gt;"-","REEMBOLSO",IFERROR(_xlfn.XLOOKUP(G1298,Follow[CODRASTREIO],Follow[STATUS]),"-"))</f>
        <v>ENTREGUE</v>
      </c>
      <c r="AJ1298" s="9">
        <f ca="1">IF('Banco de Dados'!$AI1298="ENTREGUE",_xlfn.XLOOKUP('Banco de Dados'!$G1298,Follow[CODRASTREIO],Follow[DATAATUALIZAÇÃO]),"-")</f>
        <v>45751</v>
      </c>
      <c r="AK1298" s="132" t="str">
        <f ca="1"/>
        <v>-</v>
      </c>
      <c r="AL1298" s="35"/>
      <c r="AM1298" s="109" cm="1">
        <f t="array" aca="1" ref="AM1298" ca="1">IF('Banco de Dados'!$AK1298&lt;&gt;"-",_xlfn.IFS('Banco de Dados'!$A1298="bv",IF('Banco de Dados'!$E1298&lt;45641,ROUND(SUM('Banco de Dados'!$R1298*_xlfn.XLOOKUP('Banco de Dados'!$P1298,Sku!B:B,Sku!#REF!)*20%),2),ROUND(SUM('Banco de Dados'!$R1298*_xlfn.XLOOKUP('Banco de Dados'!$P1298,Sku!B:B,Sku!H:H)*20%),2)),'Banco de Dados'!$A1298="GO",ROUND(SUM('Banco de Dados'!$R1298*_xlfn.XLOOKUP('Banco de Dados'!$P1298,Sku!C:C,Sku!H:H)*20%),2),'Banco de Dados'!$A1298="MEI",ROUND(SUM('Banco de Dados'!$R1298*_xlfn.XLOOKUP('Banco de Dados'!$P1298,Sku!D:D,Sku!H:H)*20%),2)),0)</f>
        <v>0</v>
      </c>
      <c r="AN1298" s="109">
        <f ca="1">IF('Banco de Dados'!$AK1298&lt;&gt;"-",IF('Banco de Dados'!$F1298&lt;&gt;"-",_xlfn.XLOOKUP(IFERROR(IFERROR(IFERROR(VALUE(SUBSTITUTE(MID(_xlfn.TEXTAFTER('Banco de Dados'!$F1298,"Data do Pedido:
",1),1,10),"-","/")),VALUE(SUBSTITUTE(MID(_xlfn.TEXTAFTER('Banco de Dados'!$F1298,"Order date:
",1),1,10),"-","/"))),VALUE(SUBSTITUTE(MID(_xlfn.TEXTAFTER('Banco de Dados'!$F1298,"Fecha de pedido:
",1),1,10),"-","/"))),"-"),SMS!A:A,SMS!K:K),0),0)</f>
        <v>0</v>
      </c>
      <c r="AO1298" s="109">
        <f ca="1">IF('Banco de Dados'!$AK1298&lt;&gt;"-",IF('Banco de Dados'!$F1298&lt;&gt;"-",IFERROR(_xlfn.XLOOKUP(_xlfn.CONCAT('Banco de Dados'!$A1298,IFERROR(IFERROR(VALUE(SUBSTITUTE(MID(_xlfn.TEXTAFTER('Banco de Dados'!$F1298,"Data do Pedido:
",1),1,10),"-","/")),VALUE(SUBSTITUTE(MID(_xlfn.TEXTAFTER('Banco de Dados'!$F1298,"Order date:
",1),1,10),"-","/"))),0)),ProxyDD[Chave],ProxyDD[Valor por pedido]),PROXY!$P$2),0),0)</f>
        <v>0</v>
      </c>
      <c r="AP1298" s="28">
        <f ca="1">IF('Banco de Dados'!$AK1298&lt;&gt;"-",IF('Banco de Dados'!$AL1298="NÃO",IFERROR(VALUE(SUBSTITUTE(_xlfn.TEXTAFTER('Banco de Dados'!$F1298,"BRL ",1),".",",")),0),0),0)</f>
        <v>0</v>
      </c>
      <c r="AQ1298" s="28">
        <f ca="1">SUM('Banco de Dados'!$AM1298:$AP1298)</f>
        <v>0</v>
      </c>
      <c r="AR1298" s="8"/>
      <c r="AY1298" s="8"/>
    </row>
    <row r="1299" spans="1:51">
      <c r="A1299" s="5" t="str">
        <v>MEI</v>
      </c>
      <c r="B1299" s="5" t="str">
        <f ca="1"/>
        <v>MEI45737</v>
      </c>
      <c r="C1299" s="8" t="str">
        <v>Pedido 1286</v>
      </c>
      <c r="D1299" s="187">
        <v>45733</v>
      </c>
      <c r="E1299" s="9">
        <v>45737</v>
      </c>
      <c r="F1299" s="8" t="str">
        <v>PedidoF1230</v>
      </c>
      <c r="G1299" s="2" t="str">
        <v>CódRastreio1228</v>
      </c>
      <c r="H1299" s="5">
        <v>1</v>
      </c>
      <c r="I1299" s="2" t="str">
        <v>CPF 1252</v>
      </c>
      <c r="J1299" s="2" t="str">
        <v>Nome 1252</v>
      </c>
      <c r="K1299" s="8" t="str">
        <v>Tel 1252</v>
      </c>
      <c r="L1299" s="8" t="str">
        <v>Cep 1252</v>
      </c>
      <c r="M1299" s="8" t="str">
        <v>Rua 1252</v>
      </c>
      <c r="N1299" s="8" t="str">
        <v>Comp 1252</v>
      </c>
      <c r="O1299" s="8" t="str">
        <v>Maçarico Culinário Portátil</v>
      </c>
      <c r="P1299" s="8" t="str">
        <v>BG-DHRO-FAEE</v>
      </c>
      <c r="Q1299" s="4">
        <v>45752</v>
      </c>
      <c r="R1299" s="109">
        <v>24.99</v>
      </c>
      <c r="S1299" s="11">
        <f ca="1"/>
        <v>0</v>
      </c>
      <c r="T1299" s="28">
        <f ca="1"/>
        <v>0</v>
      </c>
      <c r="U1299" s="11">
        <f ca="1"/>
        <v>0</v>
      </c>
      <c r="V1299" s="11">
        <v>0</v>
      </c>
      <c r="W1299" s="11">
        <f ca="1"/>
        <v>0</v>
      </c>
      <c r="X1299" s="11">
        <f ca="1"/>
        <v>0.39877104377104378</v>
      </c>
      <c r="Y1299" s="11">
        <v>0</v>
      </c>
      <c r="Z1299" s="11">
        <f ca="1"/>
        <v>-0.39877104377104378</v>
      </c>
      <c r="AA1299" s="11">
        <f ca="1"/>
        <v>-0.19938552188552189</v>
      </c>
      <c r="AB1299" s="4">
        <f ca="1"/>
        <v>45759</v>
      </c>
      <c r="AC1299" s="4">
        <v>45759</v>
      </c>
      <c r="AD1299" s="9">
        <v>45762</v>
      </c>
      <c r="AE1299" s="9">
        <v>45763</v>
      </c>
      <c r="AF1299" s="4" t="str">
        <f t="shared" ca="1" si="83"/>
        <v>2025 04</v>
      </c>
      <c r="AG1299" s="8" t="str" cm="1">
        <f t="array" ref="AG1299">IFERROR(_xlfn.IFS('Banco de Dados'!#REF!="AG. COMPRA","Em processamento",'Banco de Dados'!#REF!="AG. RASTREIO","Em processamento",'Banco de Dados'!$AE1299&lt;&gt;"-","Faturado",'Banco de Dados'!$AD1299&lt;&gt;"-","Aguardando Pix",'Banco de Dados'!$AC1299&lt;&gt;"-","Pendente"),"Aguardando Liberação")</f>
        <v>Aguardando Liberação</v>
      </c>
      <c r="AH1299" s="5" t="str">
        <f>IF('Banco de Dados'!$F1299="-",_xlfn.CONCAT(PROPER(TEXT(AK1299,"aaaa"))," ",PROPER(TEXT(AK1299,"mm"))),_xlfn.CONCAT(PROPER(TEXT(E1299,"aaaa"))," ",PROPER(TEXT(E1299,"mm"))))</f>
        <v>2025 03</v>
      </c>
      <c r="AI1299" s="9" t="str">
        <f ca="1">IF('Banco de Dados'!$AK1299&lt;&gt;"-","REEMBOLSO",IFERROR(_xlfn.XLOOKUP(G1299,Follow[CODRASTREIO],Follow[STATUS]),"-"))</f>
        <v>REEMBOLSO</v>
      </c>
      <c r="AJ1299" s="9" t="str">
        <f ca="1">IF('Banco de Dados'!$AI1299="ENTREGUE",_xlfn.XLOOKUP('Banco de Dados'!$G1299,Follow[CODRASTREIO],Follow[DATAATUALIZAÇÃO]),"-")</f>
        <v>-</v>
      </c>
      <c r="AK1299" s="132">
        <f ca="1"/>
        <v>45760</v>
      </c>
      <c r="AL1299" s="35"/>
      <c r="AM1299" s="109" cm="1">
        <f t="array" aca="1" ref="AM1299" ca="1">IF('Banco de Dados'!$AK1299&lt;&gt;"-",_xlfn.IFS('Banco de Dados'!$A1299="bv",IF('Banco de Dados'!$E1299&lt;45641,ROUND(SUM('Banco de Dados'!$R1299*_xlfn.XLOOKUP('Banco de Dados'!$P1299,Sku!B:B,Sku!#REF!)*20%),2),ROUND(SUM('Banco de Dados'!$R1299*_xlfn.XLOOKUP('Banco de Dados'!$P1299,Sku!B:B,Sku!H:H)*20%),2)),'Banco de Dados'!$A1299="GO",ROUND(SUM('Banco de Dados'!$R1299*_xlfn.XLOOKUP('Banco de Dados'!$P1299,Sku!C:C,Sku!H:H)*20%),2),'Banco de Dados'!$A1299="MEI",ROUND(SUM('Banco de Dados'!$R1299*_xlfn.XLOOKUP('Banco de Dados'!$P1299,Sku!D:D,Sku!H:H)*20%),2)),0)</f>
        <v>0.55000000000000004</v>
      </c>
      <c r="AN1299" s="109" t="e">
        <f ca="1">IF('Banco de Dados'!$AK1299&lt;&gt;"-",IF('Banco de Dados'!$F1299&lt;&gt;"-",_xlfn.XLOOKUP(IFERROR(IFERROR(IFERROR(VALUE(SUBSTITUTE(MID(_xlfn.TEXTAFTER('Banco de Dados'!$F1299,"Data do Pedido:
",1),1,10),"-","/")),VALUE(SUBSTITUTE(MID(_xlfn.TEXTAFTER('Banco de Dados'!$F1299,"Order date:
",1),1,10),"-","/"))),VALUE(SUBSTITUTE(MID(_xlfn.TEXTAFTER('Banco de Dados'!$F1299,"Fecha de pedido:
",1),1,10),"-","/"))),"-"),SMS!A:A,SMS!K:K),0),0)</f>
        <v>#N/A</v>
      </c>
      <c r="AO1299" s="109">
        <f ca="1">IF('Banco de Dados'!$AK1299&lt;&gt;"-",IF('Banco de Dados'!$F1299&lt;&gt;"-",IFERROR(_xlfn.XLOOKUP(_xlfn.CONCAT('Banco de Dados'!$A1299,IFERROR(IFERROR(VALUE(SUBSTITUTE(MID(_xlfn.TEXTAFTER('Banco de Dados'!$F1299,"Data do Pedido:
",1),1,10),"-","/")),VALUE(SUBSTITUTE(MID(_xlfn.TEXTAFTER('Banco de Dados'!$F1299,"Order date:
",1),1,10),"-","/"))),0)),ProxyDD[Chave],ProxyDD[Valor por pedido]),PROXY!$P$2),0),0)</f>
        <v>0.39877104377104378</v>
      </c>
      <c r="AP1299" s="28">
        <f ca="1">IF('Banco de Dados'!$AK1299&lt;&gt;"-",IF('Banco de Dados'!$AL1299="NÃO",IFERROR(VALUE(SUBSTITUTE(_xlfn.TEXTAFTER('Banco de Dados'!$F1299,"BRL ",1),".",",")),0),0),0)</f>
        <v>0</v>
      </c>
      <c r="AQ1299" s="28" t="e">
        <f ca="1">SUM('Banco de Dados'!$AM1299:$AP1299)</f>
        <v>#N/A</v>
      </c>
      <c r="AR1299" s="8"/>
      <c r="AY1299" s="8"/>
    </row>
    <row r="1300" spans="1:51">
      <c r="A1300" s="5" t="str">
        <v>MEI</v>
      </c>
      <c r="B1300" s="5" t="str">
        <f ca="1"/>
        <v>MEI45737</v>
      </c>
      <c r="C1300" s="8" t="str">
        <v>Pedido 1287</v>
      </c>
      <c r="D1300" s="187">
        <v>45733</v>
      </c>
      <c r="E1300" s="9">
        <v>45737</v>
      </c>
      <c r="F1300" s="8" t="str">
        <v>PedidoF1231</v>
      </c>
      <c r="G1300" s="2" t="str">
        <v>CódRastreio1229</v>
      </c>
      <c r="H1300" s="5">
        <v>1</v>
      </c>
      <c r="I1300" s="2" t="str">
        <v>CPF 1253</v>
      </c>
      <c r="J1300" s="2" t="str">
        <v>Nome 1253</v>
      </c>
      <c r="K1300" s="8" t="str">
        <v>Tel 1253</v>
      </c>
      <c r="L1300" s="8" t="str">
        <v>Cep 1253</v>
      </c>
      <c r="M1300" s="8" t="str">
        <v>Rua 1253</v>
      </c>
      <c r="N1300" s="8" t="str">
        <v>Comp 1253</v>
      </c>
      <c r="O1300" s="8" t="str">
        <v>Bomba d'agua</v>
      </c>
      <c r="P1300" s="8" t="str">
        <v>U1-D95R-HYRT</v>
      </c>
      <c r="Q1300" s="4">
        <v>45752</v>
      </c>
      <c r="R1300" s="109">
        <v>21</v>
      </c>
      <c r="S1300" s="11">
        <f ca="1"/>
        <v>21</v>
      </c>
      <c r="T1300" s="28">
        <f ca="1"/>
        <v>2.9400000000000004</v>
      </c>
      <c r="U1300" s="11">
        <f ca="1"/>
        <v>18.059999999999999</v>
      </c>
      <c r="V1300" s="11">
        <v>15.92</v>
      </c>
      <c r="W1300" s="11">
        <f ca="1"/>
        <v>0.2</v>
      </c>
      <c r="X1300" s="11">
        <f ca="1"/>
        <v>0.39877104377104378</v>
      </c>
      <c r="Y1300" s="11">
        <v>0</v>
      </c>
      <c r="Z1300" s="11">
        <f ca="1"/>
        <v>1.5412289562289523</v>
      </c>
      <c r="AA1300" s="11">
        <f ca="1"/>
        <v>0.77061447811447614</v>
      </c>
      <c r="AB1300" s="4">
        <f ca="1"/>
        <v>45759</v>
      </c>
      <c r="AC1300" s="4">
        <v>45759</v>
      </c>
      <c r="AD1300" s="9">
        <v>45762</v>
      </c>
      <c r="AE1300" s="9">
        <v>45763</v>
      </c>
      <c r="AF1300" s="4" t="str">
        <f t="shared" ca="1" si="83"/>
        <v>2025 04</v>
      </c>
      <c r="AG1300" s="8" t="str" cm="1">
        <f t="array" ref="AG1300">IFERROR(_xlfn.IFS('Banco de Dados'!#REF!="AG. COMPRA","Em processamento",'Banco de Dados'!#REF!="AG. RASTREIO","Em processamento",'Banco de Dados'!$AE1300&lt;&gt;"-","Faturado",'Banco de Dados'!$AD1300&lt;&gt;"-","Aguardando Pix",'Banco de Dados'!$AC1300&lt;&gt;"-","Pendente"),"Aguardando Liberação")</f>
        <v>Aguardando Liberação</v>
      </c>
      <c r="AH1300" s="5" t="str">
        <f>IF('Banco de Dados'!$F1300="-",_xlfn.CONCAT(PROPER(TEXT(AK1300,"aaaa"))," ",PROPER(TEXT(AK1300,"mm"))),_xlfn.CONCAT(PROPER(TEXT(E1300,"aaaa"))," ",PROPER(TEXT(E1300,"mm"))))</f>
        <v>2025 03</v>
      </c>
      <c r="AI1300" s="9" t="str">
        <f ca="1">IF('Banco de Dados'!$AK1300&lt;&gt;"-","REEMBOLSO",IFERROR(_xlfn.XLOOKUP(G1300,Follow[CODRASTREIO],Follow[STATUS]),"-"))</f>
        <v>ENTREGUE</v>
      </c>
      <c r="AJ1300" s="9">
        <f ca="1">IF('Banco de Dados'!$AI1300="ENTREGUE",_xlfn.XLOOKUP('Banco de Dados'!$G1300,Follow[CODRASTREIO],Follow[DATAATUALIZAÇÃO]),"-")</f>
        <v>45755</v>
      </c>
      <c r="AK1300" s="132" t="str">
        <f ca="1"/>
        <v>-</v>
      </c>
      <c r="AL1300" s="35"/>
      <c r="AM1300" s="109" cm="1">
        <f t="array" aca="1" ref="AM1300" ca="1">IF('Banco de Dados'!$AK1300&lt;&gt;"-",_xlfn.IFS('Banco de Dados'!$A1300="bv",IF('Banco de Dados'!$E1300&lt;45641,ROUND(SUM('Banco de Dados'!$R1300*_xlfn.XLOOKUP('Banco de Dados'!$P1300,Sku!B:B,Sku!#REF!)*20%),2),ROUND(SUM('Banco de Dados'!$R1300*_xlfn.XLOOKUP('Banco de Dados'!$P1300,Sku!B:B,Sku!H:H)*20%),2)),'Banco de Dados'!$A1300="GO",ROUND(SUM('Banco de Dados'!$R1300*_xlfn.XLOOKUP('Banco de Dados'!$P1300,Sku!C:C,Sku!H:H)*20%),2),'Banco de Dados'!$A1300="MEI",ROUND(SUM('Banco de Dados'!$R1300*_xlfn.XLOOKUP('Banco de Dados'!$P1300,Sku!D:D,Sku!H:H)*20%),2)),0)</f>
        <v>0</v>
      </c>
      <c r="AN1300" s="109">
        <f ca="1">IF('Banco de Dados'!$AK1300&lt;&gt;"-",IF('Banco de Dados'!$F1300&lt;&gt;"-",_xlfn.XLOOKUP(IFERROR(IFERROR(IFERROR(VALUE(SUBSTITUTE(MID(_xlfn.TEXTAFTER('Banco de Dados'!$F1300,"Data do Pedido:
",1),1,10),"-","/")),VALUE(SUBSTITUTE(MID(_xlfn.TEXTAFTER('Banco de Dados'!$F1300,"Order date:
",1),1,10),"-","/"))),VALUE(SUBSTITUTE(MID(_xlfn.TEXTAFTER('Banco de Dados'!$F1300,"Fecha de pedido:
",1),1,10),"-","/"))),"-"),SMS!A:A,SMS!K:K),0),0)</f>
        <v>0</v>
      </c>
      <c r="AO1300" s="109">
        <f ca="1">IF('Banco de Dados'!$AK1300&lt;&gt;"-",IF('Banco de Dados'!$F1300&lt;&gt;"-",IFERROR(_xlfn.XLOOKUP(_xlfn.CONCAT('Banco de Dados'!$A1300,IFERROR(IFERROR(VALUE(SUBSTITUTE(MID(_xlfn.TEXTAFTER('Banco de Dados'!$F1300,"Data do Pedido:
",1),1,10),"-","/")),VALUE(SUBSTITUTE(MID(_xlfn.TEXTAFTER('Banco de Dados'!$F1300,"Order date:
",1),1,10),"-","/"))),0)),ProxyDD[Chave],ProxyDD[Valor por pedido]),PROXY!$P$2),0),0)</f>
        <v>0</v>
      </c>
      <c r="AP1300" s="28">
        <f ca="1">IF('Banco de Dados'!$AK1300&lt;&gt;"-",IF('Banco de Dados'!$AL1300="NÃO",IFERROR(VALUE(SUBSTITUTE(_xlfn.TEXTAFTER('Banco de Dados'!$F1300,"BRL ",1),".",",")),0),0),0)</f>
        <v>0</v>
      </c>
      <c r="AQ1300" s="28">
        <f ca="1">SUM('Banco de Dados'!$AM1300:$AP1300)</f>
        <v>0</v>
      </c>
      <c r="AR1300" s="8"/>
      <c r="AY1300" s="8"/>
    </row>
    <row r="1301" spans="1:51">
      <c r="A1301" s="5" t="str">
        <v>MEI</v>
      </c>
      <c r="B1301" s="5" t="str">
        <f ca="1"/>
        <v>MEI45737</v>
      </c>
      <c r="C1301" s="8" t="str">
        <v>Pedido 1288</v>
      </c>
      <c r="D1301" s="187">
        <v>45733</v>
      </c>
      <c r="E1301" s="9">
        <v>45737</v>
      </c>
      <c r="F1301" s="8" t="str">
        <v>PedidoF1232</v>
      </c>
      <c r="G1301" s="2" t="str">
        <v>CódRastreio1230</v>
      </c>
      <c r="H1301" s="5">
        <v>1</v>
      </c>
      <c r="I1301" s="2" t="str">
        <v>CPF 1254</v>
      </c>
      <c r="J1301" s="2" t="str">
        <v>Nome 1254</v>
      </c>
      <c r="K1301" s="8" t="str">
        <v>Tel 1254</v>
      </c>
      <c r="L1301" s="8" t="str">
        <v>Cep 1254</v>
      </c>
      <c r="M1301" s="8" t="str">
        <v>Rua 1254</v>
      </c>
      <c r="N1301" s="8" t="str">
        <v>Comp 1254</v>
      </c>
      <c r="O1301" s="8" t="str">
        <v>Bomba d'agua</v>
      </c>
      <c r="P1301" s="8" t="str">
        <v>U1-D95R-HYRT</v>
      </c>
      <c r="Q1301" s="4">
        <v>45758</v>
      </c>
      <c r="R1301" s="109">
        <v>21</v>
      </c>
      <c r="S1301" s="11">
        <f ca="1"/>
        <v>21</v>
      </c>
      <c r="T1301" s="28">
        <f ca="1"/>
        <v>2.9400000000000004</v>
      </c>
      <c r="U1301" s="11">
        <f ca="1"/>
        <v>18.059999999999999</v>
      </c>
      <c r="V1301" s="11">
        <v>15.92</v>
      </c>
      <c r="W1301" s="11">
        <f ca="1"/>
        <v>0.2</v>
      </c>
      <c r="X1301" s="11">
        <f ca="1"/>
        <v>0.39877104377104378</v>
      </c>
      <c r="Y1301" s="11">
        <v>0</v>
      </c>
      <c r="Z1301" s="11">
        <f ca="1"/>
        <v>1.5412289562289523</v>
      </c>
      <c r="AA1301" s="11">
        <f ca="1"/>
        <v>0.77061447811447614</v>
      </c>
      <c r="AB1301" s="4">
        <f ca="1"/>
        <v>45765</v>
      </c>
      <c r="AC1301" s="4">
        <v>45765</v>
      </c>
      <c r="AD1301" s="9">
        <v>45779</v>
      </c>
      <c r="AE1301" s="9">
        <v>45783</v>
      </c>
      <c r="AF1301" s="4" t="str">
        <f t="shared" ca="1" si="83"/>
        <v>2025 04</v>
      </c>
      <c r="AG1301" s="8" t="str" cm="1">
        <f t="array" ref="AG1301">IFERROR(_xlfn.IFS('Banco de Dados'!#REF!="AG. COMPRA","Em processamento",'Banco de Dados'!#REF!="AG. RASTREIO","Em processamento",'Banco de Dados'!$AE1301&lt;&gt;"-","Faturado",'Banco de Dados'!$AD1301&lt;&gt;"-","Aguardando Pix",'Banco de Dados'!$AC1301&lt;&gt;"-","Pendente"),"Aguardando Liberação")</f>
        <v>Aguardando Liberação</v>
      </c>
      <c r="AH1301" s="5" t="str">
        <f>IF('Banco de Dados'!$F1301="-",_xlfn.CONCAT(PROPER(TEXT(AK1301,"aaaa"))," ",PROPER(TEXT(AK1301,"mm"))),_xlfn.CONCAT(PROPER(TEXT(E1301,"aaaa"))," ",PROPER(TEXT(E1301,"mm"))))</f>
        <v>2025 03</v>
      </c>
      <c r="AI1301" s="9" t="str">
        <f ca="1">IF('Banco de Dados'!$AK1301&lt;&gt;"-","REEMBOLSO",IFERROR(_xlfn.XLOOKUP(G1301,Follow[CODRASTREIO],Follow[STATUS]),"-"))</f>
        <v>ENTREGUE</v>
      </c>
      <c r="AJ1301" s="9">
        <f ca="1">IF('Banco de Dados'!$AI1301="ENTREGUE",_xlfn.XLOOKUP('Banco de Dados'!$G1301,Follow[CODRASTREIO],Follow[DATAATUALIZAÇÃO]),"-")</f>
        <v>45752</v>
      </c>
      <c r="AK1301" s="132" t="str">
        <f ca="1"/>
        <v>-</v>
      </c>
      <c r="AL1301" s="35"/>
      <c r="AM1301" s="109" cm="1">
        <f t="array" aca="1" ref="AM1301" ca="1">IF('Banco de Dados'!$AK1301&lt;&gt;"-",_xlfn.IFS('Banco de Dados'!$A1301="bv",IF('Banco de Dados'!$E1301&lt;45641,ROUND(SUM('Banco de Dados'!$R1301*_xlfn.XLOOKUP('Banco de Dados'!$P1301,Sku!B:B,Sku!#REF!)*20%),2),ROUND(SUM('Banco de Dados'!$R1301*_xlfn.XLOOKUP('Banco de Dados'!$P1301,Sku!B:B,Sku!H:H)*20%),2)),'Banco de Dados'!$A1301="GO",ROUND(SUM('Banco de Dados'!$R1301*_xlfn.XLOOKUP('Banco de Dados'!$P1301,Sku!C:C,Sku!H:H)*20%),2),'Banco de Dados'!$A1301="MEI",ROUND(SUM('Banco de Dados'!$R1301*_xlfn.XLOOKUP('Banco de Dados'!$P1301,Sku!D:D,Sku!H:H)*20%),2)),0)</f>
        <v>0</v>
      </c>
      <c r="AN1301" s="109">
        <f ca="1">IF('Banco de Dados'!$AK1301&lt;&gt;"-",IF('Banco de Dados'!$F1301&lt;&gt;"-",_xlfn.XLOOKUP(IFERROR(IFERROR(IFERROR(VALUE(SUBSTITUTE(MID(_xlfn.TEXTAFTER('Banco de Dados'!$F1301,"Data do Pedido:
",1),1,10),"-","/")),VALUE(SUBSTITUTE(MID(_xlfn.TEXTAFTER('Banco de Dados'!$F1301,"Order date:
",1),1,10),"-","/"))),VALUE(SUBSTITUTE(MID(_xlfn.TEXTAFTER('Banco de Dados'!$F1301,"Fecha de pedido:
",1),1,10),"-","/"))),"-"),SMS!A:A,SMS!K:K),0),0)</f>
        <v>0</v>
      </c>
      <c r="AO1301" s="109">
        <f ca="1">IF('Banco de Dados'!$AK1301&lt;&gt;"-",IF('Banco de Dados'!$F1301&lt;&gt;"-",IFERROR(_xlfn.XLOOKUP(_xlfn.CONCAT('Banco de Dados'!$A1301,IFERROR(IFERROR(VALUE(SUBSTITUTE(MID(_xlfn.TEXTAFTER('Banco de Dados'!$F1301,"Data do Pedido:
",1),1,10),"-","/")),VALUE(SUBSTITUTE(MID(_xlfn.TEXTAFTER('Banco de Dados'!$F1301,"Order date:
",1),1,10),"-","/"))),0)),ProxyDD[Chave],ProxyDD[Valor por pedido]),PROXY!$P$2),0),0)</f>
        <v>0</v>
      </c>
      <c r="AP1301" s="28">
        <f ca="1">IF('Banco de Dados'!$AK1301&lt;&gt;"-",IF('Banco de Dados'!$AL1301="NÃO",IFERROR(VALUE(SUBSTITUTE(_xlfn.TEXTAFTER('Banco de Dados'!$F1301,"BRL ",1),".",",")),0),0),0)</f>
        <v>0</v>
      </c>
      <c r="AQ1301" s="28">
        <f ca="1">SUM('Banco de Dados'!$AM1301:$AP1301)</f>
        <v>0</v>
      </c>
      <c r="AR1301" s="8"/>
      <c r="AY1301" s="8"/>
    </row>
    <row r="1302" spans="1:51">
      <c r="A1302" s="5" t="str">
        <v>MEI</v>
      </c>
      <c r="B1302" s="5" t="str">
        <f ca="1"/>
        <v>MEI45737</v>
      </c>
      <c r="C1302" s="8" t="str">
        <v>Pedido 1289</v>
      </c>
      <c r="D1302" s="187">
        <v>45733</v>
      </c>
      <c r="E1302" s="9">
        <v>45737</v>
      </c>
      <c r="F1302" s="8" t="str">
        <v>PedidoF1233</v>
      </c>
      <c r="G1302" s="2" t="str">
        <v>CódRastreio1231</v>
      </c>
      <c r="H1302" s="5">
        <v>1</v>
      </c>
      <c r="I1302" s="2" t="str">
        <v>CPF 1255</v>
      </c>
      <c r="J1302" s="2" t="str">
        <v>Nome 1255</v>
      </c>
      <c r="K1302" s="8" t="str">
        <v>Tel 1255</v>
      </c>
      <c r="L1302" s="8" t="str">
        <v>Cep 1255</v>
      </c>
      <c r="M1302" s="8" t="str">
        <v>Rua 1255</v>
      </c>
      <c r="N1302" s="8" t="str">
        <v>Comp 1255</v>
      </c>
      <c r="O1302" s="8" t="str">
        <v>Bomba d'agua</v>
      </c>
      <c r="P1302" s="8" t="str">
        <v>U1-D95R-HYRT</v>
      </c>
      <c r="Q1302" s="4">
        <v>45752</v>
      </c>
      <c r="R1302" s="109">
        <v>21</v>
      </c>
      <c r="S1302" s="11">
        <f ca="1"/>
        <v>21</v>
      </c>
      <c r="T1302" s="28">
        <f ca="1"/>
        <v>2.9400000000000004</v>
      </c>
      <c r="U1302" s="11">
        <f ca="1"/>
        <v>18.059999999999999</v>
      </c>
      <c r="V1302" s="11">
        <v>15.33</v>
      </c>
      <c r="W1302" s="11">
        <f ca="1"/>
        <v>0.2</v>
      </c>
      <c r="X1302" s="11">
        <f ca="1"/>
        <v>0.39877104377104378</v>
      </c>
      <c r="Y1302" s="11">
        <v>0</v>
      </c>
      <c r="Z1302" s="11">
        <f ca="1"/>
        <v>2.1312289562289557</v>
      </c>
      <c r="AA1302" s="11">
        <f ca="1"/>
        <v>1.0656144781144778</v>
      </c>
      <c r="AB1302" s="4">
        <f ca="1"/>
        <v>45759</v>
      </c>
      <c r="AC1302" s="4">
        <v>45759</v>
      </c>
      <c r="AD1302" s="9">
        <v>45762</v>
      </c>
      <c r="AE1302" s="9">
        <v>45763</v>
      </c>
      <c r="AF1302" s="4" t="str">
        <f t="shared" ca="1" si="83"/>
        <v>2025 04</v>
      </c>
      <c r="AG1302" s="8" t="str" cm="1">
        <f t="array" ref="AG1302">IFERROR(_xlfn.IFS('Banco de Dados'!#REF!="AG. COMPRA","Em processamento",'Banco de Dados'!#REF!="AG. RASTREIO","Em processamento",'Banco de Dados'!$AE1302&lt;&gt;"-","Faturado",'Banco de Dados'!$AD1302&lt;&gt;"-","Aguardando Pix",'Banco de Dados'!$AC1302&lt;&gt;"-","Pendente"),"Aguardando Liberação")</f>
        <v>Aguardando Liberação</v>
      </c>
      <c r="AH1302" s="5" t="str">
        <f>IF('Banco de Dados'!$F1302="-",_xlfn.CONCAT(PROPER(TEXT(AK1302,"aaaa"))," ",PROPER(TEXT(AK1302,"mm"))),_xlfn.CONCAT(PROPER(TEXT(E1302,"aaaa"))," ",PROPER(TEXT(E1302,"mm"))))</f>
        <v>2025 03</v>
      </c>
      <c r="AI1302" s="9" t="str">
        <f ca="1">IF('Banco de Dados'!$AK1302&lt;&gt;"-","REEMBOLSO",IFERROR(_xlfn.XLOOKUP(G1302,Follow[CODRASTREIO],Follow[STATUS]),"-"))</f>
        <v>ENTREGUE</v>
      </c>
      <c r="AJ1302" s="9">
        <f ca="1">IF('Banco de Dados'!$AI1302="ENTREGUE",_xlfn.XLOOKUP('Banco de Dados'!$G1302,Follow[CODRASTREIO],Follow[DATAATUALIZAÇÃO]),"-")</f>
        <v>45749</v>
      </c>
      <c r="AK1302" s="132" t="str">
        <f ca="1"/>
        <v>-</v>
      </c>
      <c r="AL1302" s="35"/>
      <c r="AM1302" s="109" cm="1">
        <f t="array" aca="1" ref="AM1302" ca="1">IF('Banco de Dados'!$AK1302&lt;&gt;"-",_xlfn.IFS('Banco de Dados'!$A1302="bv",IF('Banco de Dados'!$E1302&lt;45641,ROUND(SUM('Banco de Dados'!$R1302*_xlfn.XLOOKUP('Banco de Dados'!$P1302,Sku!B:B,Sku!#REF!)*20%),2),ROUND(SUM('Banco de Dados'!$R1302*_xlfn.XLOOKUP('Banco de Dados'!$P1302,Sku!B:B,Sku!H:H)*20%),2)),'Banco de Dados'!$A1302="GO",ROUND(SUM('Banco de Dados'!$R1302*_xlfn.XLOOKUP('Banco de Dados'!$P1302,Sku!C:C,Sku!H:H)*20%),2),'Banco de Dados'!$A1302="MEI",ROUND(SUM('Banco de Dados'!$R1302*_xlfn.XLOOKUP('Banco de Dados'!$P1302,Sku!D:D,Sku!H:H)*20%),2)),0)</f>
        <v>0</v>
      </c>
      <c r="AN1302" s="109">
        <f ca="1">IF('Banco de Dados'!$AK1302&lt;&gt;"-",IF('Banco de Dados'!$F1302&lt;&gt;"-",_xlfn.XLOOKUP(IFERROR(IFERROR(IFERROR(VALUE(SUBSTITUTE(MID(_xlfn.TEXTAFTER('Banco de Dados'!$F1302,"Data do Pedido:
",1),1,10),"-","/")),VALUE(SUBSTITUTE(MID(_xlfn.TEXTAFTER('Banco de Dados'!$F1302,"Order date:
",1),1,10),"-","/"))),VALUE(SUBSTITUTE(MID(_xlfn.TEXTAFTER('Banco de Dados'!$F1302,"Fecha de pedido:
",1),1,10),"-","/"))),"-"),SMS!A:A,SMS!K:K),0),0)</f>
        <v>0</v>
      </c>
      <c r="AO1302" s="109">
        <f ca="1">IF('Banco de Dados'!$AK1302&lt;&gt;"-",IF('Banco de Dados'!$F1302&lt;&gt;"-",IFERROR(_xlfn.XLOOKUP(_xlfn.CONCAT('Banco de Dados'!$A1302,IFERROR(IFERROR(VALUE(SUBSTITUTE(MID(_xlfn.TEXTAFTER('Banco de Dados'!$F1302,"Data do Pedido:
",1),1,10),"-","/")),VALUE(SUBSTITUTE(MID(_xlfn.TEXTAFTER('Banco de Dados'!$F1302,"Order date:
",1),1,10),"-","/"))),0)),ProxyDD[Chave],ProxyDD[Valor por pedido]),PROXY!$P$2),0),0)</f>
        <v>0</v>
      </c>
      <c r="AP1302" s="28">
        <f ca="1">IF('Banco de Dados'!$AK1302&lt;&gt;"-",IF('Banco de Dados'!$AL1302="NÃO",IFERROR(VALUE(SUBSTITUTE(_xlfn.TEXTAFTER('Banco de Dados'!$F1302,"BRL ",1),".",",")),0),0),0)</f>
        <v>0</v>
      </c>
      <c r="AQ1302" s="28">
        <f ca="1">SUM('Banco de Dados'!$AM1302:$AP1302)</f>
        <v>0</v>
      </c>
      <c r="AR1302" s="8"/>
      <c r="AY1302" s="8"/>
    </row>
    <row r="1303" spans="1:51">
      <c r="A1303" s="5" t="str">
        <v>MEI</v>
      </c>
      <c r="B1303" s="5" t="str">
        <f ca="1"/>
        <v>MEI45737</v>
      </c>
      <c r="C1303" s="8" t="str">
        <v>Pedido 1290</v>
      </c>
      <c r="D1303" s="187">
        <v>45733</v>
      </c>
      <c r="E1303" s="9">
        <v>45737</v>
      </c>
      <c r="F1303" s="8" t="str">
        <v>PedidoF1234</v>
      </c>
      <c r="G1303" s="2" t="str">
        <v>CódRastreio1232</v>
      </c>
      <c r="H1303" s="5">
        <v>1</v>
      </c>
      <c r="I1303" s="2" t="str">
        <v>CPF 1256</v>
      </c>
      <c r="J1303" s="2" t="str">
        <v>Nome 1256</v>
      </c>
      <c r="K1303" s="8" t="str">
        <v>Tel 1256</v>
      </c>
      <c r="L1303" s="8" t="str">
        <v>Cep 1256</v>
      </c>
      <c r="M1303" s="8" t="str">
        <v>Rua 1256</v>
      </c>
      <c r="N1303" s="8" t="str">
        <v>Comp 1256</v>
      </c>
      <c r="O1303" s="8" t="str">
        <v>Brinquedo Bola Giratória voadora</v>
      </c>
      <c r="P1303" s="8" t="str">
        <v>Z0-F6CI-18CL</v>
      </c>
      <c r="Q1303" s="4">
        <v>45752</v>
      </c>
      <c r="R1303" s="109">
        <v>44.95</v>
      </c>
      <c r="S1303" s="11">
        <f ca="1"/>
        <v>44.95</v>
      </c>
      <c r="T1303" s="28">
        <f ca="1"/>
        <v>5.3940000000000001</v>
      </c>
      <c r="U1303" s="11">
        <f ca="1"/>
        <v>39.56</v>
      </c>
      <c r="V1303" s="11">
        <v>11.21</v>
      </c>
      <c r="W1303" s="11">
        <f ca="1"/>
        <v>0.2</v>
      </c>
      <c r="X1303" s="11">
        <f ca="1"/>
        <v>0.39877104377104378</v>
      </c>
      <c r="Y1303" s="11">
        <v>0</v>
      </c>
      <c r="Z1303" s="11">
        <f ca="1"/>
        <v>27.751228956228957</v>
      </c>
      <c r="AA1303" s="11">
        <f ca="1"/>
        <v>13.875614478114478</v>
      </c>
      <c r="AB1303" s="4">
        <f ca="1"/>
        <v>45759</v>
      </c>
      <c r="AC1303" s="4">
        <v>45759</v>
      </c>
      <c r="AD1303" s="9">
        <v>45762</v>
      </c>
      <c r="AE1303" s="9">
        <v>45763</v>
      </c>
      <c r="AF1303" s="4" t="str">
        <f t="shared" ca="1" si="83"/>
        <v>2025 04</v>
      </c>
      <c r="AG1303" s="8" t="str" cm="1">
        <f t="array" ref="AG1303">IFERROR(_xlfn.IFS('Banco de Dados'!#REF!="AG. COMPRA","Em processamento",'Banco de Dados'!#REF!="AG. RASTREIO","Em processamento",'Banco de Dados'!$AE1303&lt;&gt;"-","Faturado",'Banco de Dados'!$AD1303&lt;&gt;"-","Aguardando Pix",'Banco de Dados'!$AC1303&lt;&gt;"-","Pendente"),"Aguardando Liberação")</f>
        <v>Aguardando Liberação</v>
      </c>
      <c r="AH1303" s="5" t="str">
        <f>IF('Banco de Dados'!$F1303="-",_xlfn.CONCAT(PROPER(TEXT(AK1303,"aaaa"))," ",PROPER(TEXT(AK1303,"mm"))),_xlfn.CONCAT(PROPER(TEXT(E1303,"aaaa"))," ",PROPER(TEXT(E1303,"mm"))))</f>
        <v>2025 03</v>
      </c>
      <c r="AI1303" s="9" t="str">
        <f ca="1">IF('Banco de Dados'!$AK1303&lt;&gt;"-","REEMBOLSO",IFERROR(_xlfn.XLOOKUP(G1303,Follow[CODRASTREIO],Follow[STATUS]),"-"))</f>
        <v>ENTREGUE</v>
      </c>
      <c r="AJ1303" s="9">
        <f ca="1">IF('Banco de Dados'!$AI1303="ENTREGUE",_xlfn.XLOOKUP('Banco de Dados'!$G1303,Follow[CODRASTREIO],Follow[DATAATUALIZAÇÃO]),"-")</f>
        <v>45747</v>
      </c>
      <c r="AK1303" s="132" t="str">
        <f ca="1"/>
        <v>-</v>
      </c>
      <c r="AL1303" s="35"/>
      <c r="AM1303" s="109" cm="1">
        <f t="array" aca="1" ref="AM1303" ca="1">IF('Banco de Dados'!$AK1303&lt;&gt;"-",_xlfn.IFS('Banco de Dados'!$A1303="bv",IF('Banco de Dados'!$E1303&lt;45641,ROUND(SUM('Banco de Dados'!$R1303*_xlfn.XLOOKUP('Banco de Dados'!$P1303,Sku!B:B,Sku!#REF!)*20%),2),ROUND(SUM('Banco de Dados'!$R1303*_xlfn.XLOOKUP('Banco de Dados'!$P1303,Sku!B:B,Sku!H:H)*20%),2)),'Banco de Dados'!$A1303="GO",ROUND(SUM('Banco de Dados'!$R1303*_xlfn.XLOOKUP('Banco de Dados'!$P1303,Sku!C:C,Sku!H:H)*20%),2),'Banco de Dados'!$A1303="MEI",ROUND(SUM('Banco de Dados'!$R1303*_xlfn.XLOOKUP('Banco de Dados'!$P1303,Sku!D:D,Sku!H:H)*20%),2)),0)</f>
        <v>0</v>
      </c>
      <c r="AN1303" s="109">
        <f ca="1">IF('Banco de Dados'!$AK1303&lt;&gt;"-",IF('Banco de Dados'!$F1303&lt;&gt;"-",_xlfn.XLOOKUP(IFERROR(IFERROR(IFERROR(VALUE(SUBSTITUTE(MID(_xlfn.TEXTAFTER('Banco de Dados'!$F1303,"Data do Pedido:
",1),1,10),"-","/")),VALUE(SUBSTITUTE(MID(_xlfn.TEXTAFTER('Banco de Dados'!$F1303,"Order date:
",1),1,10),"-","/"))),VALUE(SUBSTITUTE(MID(_xlfn.TEXTAFTER('Banco de Dados'!$F1303,"Fecha de pedido:
",1),1,10),"-","/"))),"-"),SMS!A:A,SMS!K:K),0),0)</f>
        <v>0</v>
      </c>
      <c r="AO1303" s="109">
        <f ca="1">IF('Banco de Dados'!$AK1303&lt;&gt;"-",IF('Banco de Dados'!$F1303&lt;&gt;"-",IFERROR(_xlfn.XLOOKUP(_xlfn.CONCAT('Banco de Dados'!$A1303,IFERROR(IFERROR(VALUE(SUBSTITUTE(MID(_xlfn.TEXTAFTER('Banco de Dados'!$F1303,"Data do Pedido:
",1),1,10),"-","/")),VALUE(SUBSTITUTE(MID(_xlfn.TEXTAFTER('Banco de Dados'!$F1303,"Order date:
",1),1,10),"-","/"))),0)),ProxyDD[Chave],ProxyDD[Valor por pedido]),PROXY!$P$2),0),0)</f>
        <v>0</v>
      </c>
      <c r="AP1303" s="28">
        <f ca="1">IF('Banco de Dados'!$AK1303&lt;&gt;"-",IF('Banco de Dados'!$AL1303="NÃO",IFERROR(VALUE(SUBSTITUTE(_xlfn.TEXTAFTER('Banco de Dados'!$F1303,"BRL ",1),".",",")),0),0),0)</f>
        <v>0</v>
      </c>
      <c r="AQ1303" s="28">
        <f ca="1">SUM('Banco de Dados'!$AM1303:$AP1303)</f>
        <v>0</v>
      </c>
      <c r="AR1303" s="8"/>
      <c r="AY1303" s="8"/>
    </row>
    <row r="1304" spans="1:51">
      <c r="A1304" s="5" t="str">
        <v>MEI</v>
      </c>
      <c r="B1304" s="5" t="str">
        <f ca="1"/>
        <v>MEI45737</v>
      </c>
      <c r="C1304" s="8" t="str">
        <v>Pedido 1291</v>
      </c>
      <c r="D1304" s="187">
        <v>45733</v>
      </c>
      <c r="E1304" s="9">
        <v>45737</v>
      </c>
      <c r="F1304" s="8" t="str">
        <v>PedidoF1235</v>
      </c>
      <c r="G1304" s="2" t="str">
        <v>CódRastreio1233</v>
      </c>
      <c r="H1304" s="5">
        <v>1</v>
      </c>
      <c r="I1304" s="2" t="str">
        <v>CPF 1257</v>
      </c>
      <c r="J1304" s="2" t="str">
        <v>Nome 1257</v>
      </c>
      <c r="K1304" s="8" t="str">
        <v>Tel 1257</v>
      </c>
      <c r="L1304" s="8" t="str">
        <v>Cep 1257</v>
      </c>
      <c r="M1304" s="8" t="str">
        <v>Rua 1257</v>
      </c>
      <c r="N1304" s="8" t="str">
        <v>Comp 1257</v>
      </c>
      <c r="O1304" s="8" t="str">
        <v>Bomba d'agua</v>
      </c>
      <c r="P1304" s="8" t="str">
        <v>U1-D95R-HYRT</v>
      </c>
      <c r="Q1304" s="4">
        <v>45758</v>
      </c>
      <c r="R1304" s="109">
        <v>21</v>
      </c>
      <c r="S1304" s="11">
        <f ca="1"/>
        <v>21</v>
      </c>
      <c r="T1304" s="28">
        <f ca="1"/>
        <v>2.9400000000000004</v>
      </c>
      <c r="U1304" s="11">
        <f ca="1"/>
        <v>18.059999999999999</v>
      </c>
      <c r="V1304" s="11">
        <v>15.92</v>
      </c>
      <c r="W1304" s="11">
        <f ca="1"/>
        <v>0.2</v>
      </c>
      <c r="X1304" s="11">
        <f ca="1"/>
        <v>0.39877104377104378</v>
      </c>
      <c r="Y1304" s="11">
        <v>0</v>
      </c>
      <c r="Z1304" s="11">
        <f ca="1"/>
        <v>1.5412289562289523</v>
      </c>
      <c r="AA1304" s="11">
        <f ca="1"/>
        <v>0.77061447811447614</v>
      </c>
      <c r="AB1304" s="4">
        <f ca="1"/>
        <v>45765</v>
      </c>
      <c r="AC1304" s="4">
        <v>45765</v>
      </c>
      <c r="AD1304" s="9">
        <v>45779</v>
      </c>
      <c r="AE1304" s="9">
        <v>45783</v>
      </c>
      <c r="AF1304" s="4" t="str">
        <f t="shared" ca="1" si="83"/>
        <v>2025 04</v>
      </c>
      <c r="AG1304" s="8" t="str" cm="1">
        <f t="array" ref="AG1304">IFERROR(_xlfn.IFS('Banco de Dados'!#REF!="AG. COMPRA","Em processamento",'Banco de Dados'!#REF!="AG. RASTREIO","Em processamento",'Banco de Dados'!$AE1304&lt;&gt;"-","Faturado",'Banco de Dados'!$AD1304&lt;&gt;"-","Aguardando Pix",'Banco de Dados'!$AC1304&lt;&gt;"-","Pendente"),"Aguardando Liberação")</f>
        <v>Aguardando Liberação</v>
      </c>
      <c r="AH1304" s="5" t="str">
        <f>IF('Banco de Dados'!$F1304="-",_xlfn.CONCAT(PROPER(TEXT(AK1304,"aaaa"))," ",PROPER(TEXT(AK1304,"mm"))),_xlfn.CONCAT(PROPER(TEXT(E1304,"aaaa"))," ",PROPER(TEXT(E1304,"mm"))))</f>
        <v>2025 03</v>
      </c>
      <c r="AI1304" s="9" t="str">
        <f ca="1">IF('Banco de Dados'!$AK1304&lt;&gt;"-","REEMBOLSO",IFERROR(_xlfn.XLOOKUP(G1304,Follow[CODRASTREIO],Follow[STATUS]),"-"))</f>
        <v>ENTREGUE</v>
      </c>
      <c r="AJ1304" s="9">
        <f ca="1">IF('Banco de Dados'!$AI1304="ENTREGUE",_xlfn.XLOOKUP('Banco de Dados'!$G1304,Follow[CODRASTREIO],Follow[DATAATUALIZAÇÃO]),"-")</f>
        <v>45754</v>
      </c>
      <c r="AK1304" s="132" t="str">
        <f ca="1"/>
        <v>-</v>
      </c>
      <c r="AL1304" s="35"/>
      <c r="AM1304" s="109" cm="1">
        <f t="array" aca="1" ref="AM1304" ca="1">IF('Banco de Dados'!$AK1304&lt;&gt;"-",_xlfn.IFS('Banco de Dados'!$A1304="bv",IF('Banco de Dados'!$E1304&lt;45641,ROUND(SUM('Banco de Dados'!$R1304*_xlfn.XLOOKUP('Banco de Dados'!$P1304,Sku!B:B,Sku!#REF!)*20%),2),ROUND(SUM('Banco de Dados'!$R1304*_xlfn.XLOOKUP('Banco de Dados'!$P1304,Sku!B:B,Sku!H:H)*20%),2)),'Banco de Dados'!$A1304="GO",ROUND(SUM('Banco de Dados'!$R1304*_xlfn.XLOOKUP('Banco de Dados'!$P1304,Sku!C:C,Sku!H:H)*20%),2),'Banco de Dados'!$A1304="MEI",ROUND(SUM('Banco de Dados'!$R1304*_xlfn.XLOOKUP('Banco de Dados'!$P1304,Sku!D:D,Sku!H:H)*20%),2)),0)</f>
        <v>0</v>
      </c>
      <c r="AN1304" s="109">
        <f ca="1">IF('Banco de Dados'!$AK1304&lt;&gt;"-",IF('Banco de Dados'!$F1304&lt;&gt;"-",_xlfn.XLOOKUP(IFERROR(IFERROR(IFERROR(VALUE(SUBSTITUTE(MID(_xlfn.TEXTAFTER('Banco de Dados'!$F1304,"Data do Pedido:
",1),1,10),"-","/")),VALUE(SUBSTITUTE(MID(_xlfn.TEXTAFTER('Banco de Dados'!$F1304,"Order date:
",1),1,10),"-","/"))),VALUE(SUBSTITUTE(MID(_xlfn.TEXTAFTER('Banco de Dados'!$F1304,"Fecha de pedido:
",1),1,10),"-","/"))),"-"),SMS!A:A,SMS!K:K),0),0)</f>
        <v>0</v>
      </c>
      <c r="AO1304" s="109">
        <f ca="1">IF('Banco de Dados'!$AK1304&lt;&gt;"-",IF('Banco de Dados'!$F1304&lt;&gt;"-",IFERROR(_xlfn.XLOOKUP(_xlfn.CONCAT('Banco de Dados'!$A1304,IFERROR(IFERROR(VALUE(SUBSTITUTE(MID(_xlfn.TEXTAFTER('Banco de Dados'!$F1304,"Data do Pedido:
",1),1,10),"-","/")),VALUE(SUBSTITUTE(MID(_xlfn.TEXTAFTER('Banco de Dados'!$F1304,"Order date:
",1),1,10),"-","/"))),0)),ProxyDD[Chave],ProxyDD[Valor por pedido]),PROXY!$P$2),0),0)</f>
        <v>0</v>
      </c>
      <c r="AP1304" s="28">
        <f ca="1">IF('Banco de Dados'!$AK1304&lt;&gt;"-",IF('Banco de Dados'!$AL1304="NÃO",IFERROR(VALUE(SUBSTITUTE(_xlfn.TEXTAFTER('Banco de Dados'!$F1304,"BRL ",1),".",",")),0),0),0)</f>
        <v>0</v>
      </c>
      <c r="AQ1304" s="28">
        <f ca="1">SUM('Banco de Dados'!$AM1304:$AP1304)</f>
        <v>0</v>
      </c>
      <c r="AR1304" s="8"/>
      <c r="AY1304" s="8"/>
    </row>
    <row r="1305" spans="1:51">
      <c r="A1305" s="5" t="str">
        <v>MEI</v>
      </c>
      <c r="B1305" s="5" t="str">
        <f ca="1"/>
        <v>MEI45737</v>
      </c>
      <c r="C1305" s="8" t="str">
        <v>Pedido 1292</v>
      </c>
      <c r="D1305" s="187">
        <v>45733</v>
      </c>
      <c r="E1305" s="9">
        <v>45737</v>
      </c>
      <c r="F1305" s="8" t="str">
        <v>PedidoF1236</v>
      </c>
      <c r="G1305" s="2" t="str">
        <v>CódRastreio1234</v>
      </c>
      <c r="H1305" s="5">
        <v>1</v>
      </c>
      <c r="I1305" s="2" t="str">
        <v>CPF 1258</v>
      </c>
      <c r="J1305" s="2" t="str">
        <v>Nome 1258</v>
      </c>
      <c r="K1305" s="8" t="str">
        <v>Tel 1258</v>
      </c>
      <c r="L1305" s="8" t="str">
        <v>Cep 1258</v>
      </c>
      <c r="M1305" s="8" t="str">
        <v>Rua 1258</v>
      </c>
      <c r="N1305" s="8" t="str">
        <v>Comp 1258</v>
      </c>
      <c r="O1305" s="8" t="str">
        <v>Bomba d'agua</v>
      </c>
      <c r="P1305" s="8" t="str">
        <v>U1-D95R-HYRT</v>
      </c>
      <c r="Q1305" s="4">
        <v>45752</v>
      </c>
      <c r="R1305" s="109">
        <v>21</v>
      </c>
      <c r="S1305" s="11">
        <f ca="1"/>
        <v>21</v>
      </c>
      <c r="T1305" s="28">
        <f ca="1"/>
        <v>2.9400000000000004</v>
      </c>
      <c r="U1305" s="11">
        <f ca="1"/>
        <v>18.059999999999999</v>
      </c>
      <c r="V1305" s="11">
        <v>15.33</v>
      </c>
      <c r="W1305" s="11">
        <f ca="1"/>
        <v>0.2</v>
      </c>
      <c r="X1305" s="11">
        <f ca="1"/>
        <v>0.39877104377104378</v>
      </c>
      <c r="Y1305" s="11">
        <v>0</v>
      </c>
      <c r="Z1305" s="11">
        <f ca="1"/>
        <v>2.1312289562289557</v>
      </c>
      <c r="AA1305" s="11">
        <f ca="1"/>
        <v>1.0656144781144778</v>
      </c>
      <c r="AB1305" s="4">
        <f ca="1"/>
        <v>45759</v>
      </c>
      <c r="AC1305" s="4">
        <v>45759</v>
      </c>
      <c r="AD1305" s="9">
        <v>45762</v>
      </c>
      <c r="AE1305" s="9">
        <v>45763</v>
      </c>
      <c r="AF1305" s="4" t="str">
        <f t="shared" ca="1" si="83"/>
        <v>2025 04</v>
      </c>
      <c r="AG1305" s="8" t="str" cm="1">
        <f t="array" ref="AG1305">IFERROR(_xlfn.IFS('Banco de Dados'!#REF!="AG. COMPRA","Em processamento",'Banco de Dados'!#REF!="AG. RASTREIO","Em processamento",'Banco de Dados'!$AE1305&lt;&gt;"-","Faturado",'Banco de Dados'!$AD1305&lt;&gt;"-","Aguardando Pix",'Banco de Dados'!$AC1305&lt;&gt;"-","Pendente"),"Aguardando Liberação")</f>
        <v>Aguardando Liberação</v>
      </c>
      <c r="AH1305" s="5" t="str">
        <f>IF('Banco de Dados'!$F1305="-",_xlfn.CONCAT(PROPER(TEXT(AK1305,"aaaa"))," ",PROPER(TEXT(AK1305,"mm"))),_xlfn.CONCAT(PROPER(TEXT(E1305,"aaaa"))," ",PROPER(TEXT(E1305,"mm"))))</f>
        <v>2025 03</v>
      </c>
      <c r="AI1305" s="9" t="str">
        <f ca="1">IF('Banco de Dados'!$AK1305&lt;&gt;"-","REEMBOLSO",IFERROR(_xlfn.XLOOKUP(G1305,Follow[CODRASTREIO],Follow[STATUS]),"-"))</f>
        <v>ENTREGUE</v>
      </c>
      <c r="AJ1305" s="9">
        <f ca="1">IF('Banco de Dados'!$AI1305="ENTREGUE",_xlfn.XLOOKUP('Banco de Dados'!$G1305,Follow[CODRASTREIO],Follow[DATAATUALIZAÇÃO]),"-")</f>
        <v>45755</v>
      </c>
      <c r="AK1305" s="132" t="str">
        <f ca="1"/>
        <v>-</v>
      </c>
      <c r="AL1305" s="35"/>
      <c r="AM1305" s="109" cm="1">
        <f t="array" aca="1" ref="AM1305" ca="1">IF('Banco de Dados'!$AK1305&lt;&gt;"-",_xlfn.IFS('Banco de Dados'!$A1305="bv",IF('Banco de Dados'!$E1305&lt;45641,ROUND(SUM('Banco de Dados'!$R1305*_xlfn.XLOOKUP('Banco de Dados'!$P1305,Sku!B:B,Sku!#REF!)*20%),2),ROUND(SUM('Banco de Dados'!$R1305*_xlfn.XLOOKUP('Banco de Dados'!$P1305,Sku!B:B,Sku!H:H)*20%),2)),'Banco de Dados'!$A1305="GO",ROUND(SUM('Banco de Dados'!$R1305*_xlfn.XLOOKUP('Banco de Dados'!$P1305,Sku!C:C,Sku!H:H)*20%),2),'Banco de Dados'!$A1305="MEI",ROUND(SUM('Banco de Dados'!$R1305*_xlfn.XLOOKUP('Banco de Dados'!$P1305,Sku!D:D,Sku!H:H)*20%),2)),0)</f>
        <v>0</v>
      </c>
      <c r="AN1305" s="109">
        <f ca="1">IF('Banco de Dados'!$AK1305&lt;&gt;"-",IF('Banco de Dados'!$F1305&lt;&gt;"-",_xlfn.XLOOKUP(IFERROR(IFERROR(IFERROR(VALUE(SUBSTITUTE(MID(_xlfn.TEXTAFTER('Banco de Dados'!$F1305,"Data do Pedido:
",1),1,10),"-","/")),VALUE(SUBSTITUTE(MID(_xlfn.TEXTAFTER('Banco de Dados'!$F1305,"Order date:
",1),1,10),"-","/"))),VALUE(SUBSTITUTE(MID(_xlfn.TEXTAFTER('Banco de Dados'!$F1305,"Fecha de pedido:
",1),1,10),"-","/"))),"-"),SMS!A:A,SMS!K:K),0),0)</f>
        <v>0</v>
      </c>
      <c r="AO1305" s="109">
        <f ca="1">IF('Banco de Dados'!$AK1305&lt;&gt;"-",IF('Banco de Dados'!$F1305&lt;&gt;"-",IFERROR(_xlfn.XLOOKUP(_xlfn.CONCAT('Banco de Dados'!$A1305,IFERROR(IFERROR(VALUE(SUBSTITUTE(MID(_xlfn.TEXTAFTER('Banco de Dados'!$F1305,"Data do Pedido:
",1),1,10),"-","/")),VALUE(SUBSTITUTE(MID(_xlfn.TEXTAFTER('Banco de Dados'!$F1305,"Order date:
",1),1,10),"-","/"))),0)),ProxyDD[Chave],ProxyDD[Valor por pedido]),PROXY!$P$2),0),0)</f>
        <v>0</v>
      </c>
      <c r="AP1305" s="28">
        <f ca="1">IF('Banco de Dados'!$AK1305&lt;&gt;"-",IF('Banco de Dados'!$AL1305="NÃO",IFERROR(VALUE(SUBSTITUTE(_xlfn.TEXTAFTER('Banco de Dados'!$F1305,"BRL ",1),".",",")),0),0),0)</f>
        <v>0</v>
      </c>
      <c r="AQ1305" s="28">
        <f ca="1">SUM('Banco de Dados'!$AM1305:$AP1305)</f>
        <v>0</v>
      </c>
      <c r="AR1305" s="8"/>
      <c r="AY1305" s="8"/>
    </row>
    <row r="1306" spans="1:51">
      <c r="A1306" s="5" t="str">
        <v>MEI</v>
      </c>
      <c r="B1306" s="5" t="str">
        <f ca="1"/>
        <v>MEI45737</v>
      </c>
      <c r="C1306" s="8" t="str">
        <v>Pedido 1293</v>
      </c>
      <c r="D1306" s="187">
        <v>45733</v>
      </c>
      <c r="E1306" s="9">
        <v>45737</v>
      </c>
      <c r="F1306" s="8" t="str">
        <v>PedidoF1237</v>
      </c>
      <c r="G1306" s="2" t="str">
        <v>CódRastreio1235</v>
      </c>
      <c r="H1306" s="5">
        <v>1</v>
      </c>
      <c r="I1306" s="2" t="str">
        <v>CPF 1259</v>
      </c>
      <c r="J1306" s="2" t="str">
        <v>Nome 1259</v>
      </c>
      <c r="K1306" s="8" t="str">
        <v>Tel 1259</v>
      </c>
      <c r="L1306" s="8" t="str">
        <v>Cep 1259</v>
      </c>
      <c r="M1306" s="8" t="str">
        <v>Rua 1259</v>
      </c>
      <c r="N1306" s="8" t="str">
        <v>Comp 1259</v>
      </c>
      <c r="O1306" s="8" t="str">
        <v>Maçarico Culinário Portátil</v>
      </c>
      <c r="P1306" s="8" t="str">
        <v>BG-DHRO-FAEE</v>
      </c>
      <c r="Q1306" s="4">
        <v>45758</v>
      </c>
      <c r="R1306" s="109">
        <v>24.99</v>
      </c>
      <c r="S1306" s="11">
        <f ca="1"/>
        <v>24.99</v>
      </c>
      <c r="T1306" s="28">
        <f ca="1"/>
        <v>2.7488999999999999</v>
      </c>
      <c r="U1306" s="11">
        <f ca="1"/>
        <v>22.24</v>
      </c>
      <c r="V1306" s="11">
        <v>10.58</v>
      </c>
      <c r="W1306" s="11">
        <f ca="1"/>
        <v>0.2</v>
      </c>
      <c r="X1306" s="11">
        <f ca="1"/>
        <v>0.39877104377104378</v>
      </c>
      <c r="Y1306" s="11">
        <v>0</v>
      </c>
      <c r="Z1306" s="11">
        <f ca="1"/>
        <v>11.061228956228955</v>
      </c>
      <c r="AA1306" s="11">
        <f ca="1"/>
        <v>5.5306144781144777</v>
      </c>
      <c r="AB1306" s="4">
        <f ca="1"/>
        <v>45765</v>
      </c>
      <c r="AC1306" s="4">
        <v>45765</v>
      </c>
      <c r="AD1306" s="9">
        <v>45779</v>
      </c>
      <c r="AE1306" s="9">
        <v>45783</v>
      </c>
      <c r="AF1306" s="4" t="str">
        <f t="shared" ca="1" si="83"/>
        <v>2025 04</v>
      </c>
      <c r="AG1306" s="8" t="str" cm="1">
        <f t="array" ref="AG1306">IFERROR(_xlfn.IFS('Banco de Dados'!#REF!="AG. COMPRA","Em processamento",'Banco de Dados'!#REF!="AG. RASTREIO","Em processamento",'Banco de Dados'!$AE1306&lt;&gt;"-","Faturado",'Banco de Dados'!$AD1306&lt;&gt;"-","Aguardando Pix",'Banco de Dados'!$AC1306&lt;&gt;"-","Pendente"),"Aguardando Liberação")</f>
        <v>Aguardando Liberação</v>
      </c>
      <c r="AH1306" s="5" t="str">
        <f>IF('Banco de Dados'!$F1306="-",_xlfn.CONCAT(PROPER(TEXT(AK1306,"aaaa"))," ",PROPER(TEXT(AK1306,"mm"))),_xlfn.CONCAT(PROPER(TEXT(E1306,"aaaa"))," ",PROPER(TEXT(E1306,"mm"))))</f>
        <v>2025 03</v>
      </c>
      <c r="AI1306" s="9" t="str">
        <f ca="1">IF('Banco de Dados'!$AK1306&lt;&gt;"-","REEMBOLSO",IFERROR(_xlfn.XLOOKUP(G1306,Follow[CODRASTREIO],Follow[STATUS]),"-"))</f>
        <v>ENTREGUE</v>
      </c>
      <c r="AJ1306" s="9">
        <f ca="1">IF('Banco de Dados'!$AI1306="ENTREGUE",_xlfn.XLOOKUP('Banco de Dados'!$G1306,Follow[CODRASTREIO],Follow[DATAATUALIZAÇÃO]),"-")</f>
        <v>45762</v>
      </c>
      <c r="AK1306" s="132" t="str">
        <f ca="1"/>
        <v>-</v>
      </c>
      <c r="AL1306" s="35"/>
      <c r="AM1306" s="109" cm="1">
        <f t="array" aca="1" ref="AM1306" ca="1">IF('Banco de Dados'!$AK1306&lt;&gt;"-",_xlfn.IFS('Banco de Dados'!$A1306="bv",IF('Banco de Dados'!$E1306&lt;45641,ROUND(SUM('Banco de Dados'!$R1306*_xlfn.XLOOKUP('Banco de Dados'!$P1306,Sku!B:B,Sku!#REF!)*20%),2),ROUND(SUM('Banco de Dados'!$R1306*_xlfn.XLOOKUP('Banco de Dados'!$P1306,Sku!B:B,Sku!H:H)*20%),2)),'Banco de Dados'!$A1306="GO",ROUND(SUM('Banco de Dados'!$R1306*_xlfn.XLOOKUP('Banco de Dados'!$P1306,Sku!C:C,Sku!H:H)*20%),2),'Banco de Dados'!$A1306="MEI",ROUND(SUM('Banco de Dados'!$R1306*_xlfn.XLOOKUP('Banco de Dados'!$P1306,Sku!D:D,Sku!H:H)*20%),2)),0)</f>
        <v>0</v>
      </c>
      <c r="AN1306" s="109">
        <f ca="1">IF('Banco de Dados'!$AK1306&lt;&gt;"-",IF('Banco de Dados'!$F1306&lt;&gt;"-",_xlfn.XLOOKUP(IFERROR(IFERROR(IFERROR(VALUE(SUBSTITUTE(MID(_xlfn.TEXTAFTER('Banco de Dados'!$F1306,"Data do Pedido:
",1),1,10),"-","/")),VALUE(SUBSTITUTE(MID(_xlfn.TEXTAFTER('Banco de Dados'!$F1306,"Order date:
",1),1,10),"-","/"))),VALUE(SUBSTITUTE(MID(_xlfn.TEXTAFTER('Banco de Dados'!$F1306,"Fecha de pedido:
",1),1,10),"-","/"))),"-"),SMS!A:A,SMS!K:K),0),0)</f>
        <v>0</v>
      </c>
      <c r="AO1306" s="109">
        <f ca="1">IF('Banco de Dados'!$AK1306&lt;&gt;"-",IF('Banco de Dados'!$F1306&lt;&gt;"-",IFERROR(_xlfn.XLOOKUP(_xlfn.CONCAT('Banco de Dados'!$A1306,IFERROR(IFERROR(VALUE(SUBSTITUTE(MID(_xlfn.TEXTAFTER('Banco de Dados'!$F1306,"Data do Pedido:
",1),1,10),"-","/")),VALUE(SUBSTITUTE(MID(_xlfn.TEXTAFTER('Banco de Dados'!$F1306,"Order date:
",1),1,10),"-","/"))),0)),ProxyDD[Chave],ProxyDD[Valor por pedido]),PROXY!$P$2),0),0)</f>
        <v>0</v>
      </c>
      <c r="AP1306" s="28">
        <f ca="1">IF('Banco de Dados'!$AK1306&lt;&gt;"-",IF('Banco de Dados'!$AL1306="NÃO",IFERROR(VALUE(SUBSTITUTE(_xlfn.TEXTAFTER('Banco de Dados'!$F1306,"BRL ",1),".",",")),0),0),0)</f>
        <v>0</v>
      </c>
      <c r="AQ1306" s="28">
        <f ca="1">SUM('Banco de Dados'!$AM1306:$AP1306)</f>
        <v>0</v>
      </c>
      <c r="AR1306" s="8"/>
      <c r="AY1306" s="8"/>
    </row>
    <row r="1307" spans="1:51">
      <c r="A1307" s="5" t="str">
        <v>MEI</v>
      </c>
      <c r="B1307" s="5" t="str">
        <f ca="1"/>
        <v>MEI45737</v>
      </c>
      <c r="C1307" s="8" t="str">
        <v>Pedido 1294</v>
      </c>
      <c r="D1307" s="187">
        <v>45733</v>
      </c>
      <c r="E1307" s="9">
        <v>45737</v>
      </c>
      <c r="F1307" s="8" t="str">
        <v>PedidoF1238</v>
      </c>
      <c r="G1307" s="2" t="str">
        <v>CódRastreio1236</v>
      </c>
      <c r="H1307" s="5">
        <v>1</v>
      </c>
      <c r="I1307" s="2" t="str">
        <v>CPF 1260</v>
      </c>
      <c r="J1307" s="2" t="str">
        <v>Nome 1260</v>
      </c>
      <c r="K1307" s="8" t="str">
        <v>Tel 1260</v>
      </c>
      <c r="L1307" s="8" t="str">
        <v>Cep 1260</v>
      </c>
      <c r="M1307" s="8" t="str">
        <v>Rua 1260</v>
      </c>
      <c r="N1307" s="8" t="str">
        <v>Comp 1260</v>
      </c>
      <c r="O1307" s="8" t="str">
        <v>Bomba d'agua</v>
      </c>
      <c r="P1307" s="8" t="str">
        <v>U1-D95R-HYRT</v>
      </c>
      <c r="Q1307" s="4">
        <v>45758</v>
      </c>
      <c r="R1307" s="109">
        <v>21</v>
      </c>
      <c r="S1307" s="11">
        <f ca="1"/>
        <v>21</v>
      </c>
      <c r="T1307" s="28">
        <f ca="1"/>
        <v>2.9400000000000004</v>
      </c>
      <c r="U1307" s="11">
        <f ca="1"/>
        <v>18.059999999999999</v>
      </c>
      <c r="V1307" s="11">
        <v>15.33</v>
      </c>
      <c r="W1307" s="11">
        <f ca="1"/>
        <v>0.2</v>
      </c>
      <c r="X1307" s="11">
        <f ca="1"/>
        <v>0.39877104377104378</v>
      </c>
      <c r="Y1307" s="11">
        <v>0</v>
      </c>
      <c r="Z1307" s="11">
        <f ca="1"/>
        <v>2.1312289562289557</v>
      </c>
      <c r="AA1307" s="11">
        <f ca="1"/>
        <v>1.0656144781144778</v>
      </c>
      <c r="AB1307" s="4">
        <f ca="1"/>
        <v>45765</v>
      </c>
      <c r="AC1307" s="4">
        <v>45765</v>
      </c>
      <c r="AD1307" s="9">
        <v>45779</v>
      </c>
      <c r="AE1307" s="9">
        <v>45783</v>
      </c>
      <c r="AF1307" s="4" t="str">
        <f t="shared" ca="1" si="83"/>
        <v>2025 04</v>
      </c>
      <c r="AG1307" s="8" t="str" cm="1">
        <f t="array" ref="AG1307">IFERROR(_xlfn.IFS('Banco de Dados'!#REF!="AG. COMPRA","Em processamento",'Banco de Dados'!#REF!="AG. RASTREIO","Em processamento",'Banco de Dados'!$AE1307&lt;&gt;"-","Faturado",'Banco de Dados'!$AD1307&lt;&gt;"-","Aguardando Pix",'Banco de Dados'!$AC1307&lt;&gt;"-","Pendente"),"Aguardando Liberação")</f>
        <v>Aguardando Liberação</v>
      </c>
      <c r="AH1307" s="5" t="str">
        <f>IF('Banco de Dados'!$F1307="-",_xlfn.CONCAT(PROPER(TEXT(AK1307,"aaaa"))," ",PROPER(TEXT(AK1307,"mm"))),_xlfn.CONCAT(PROPER(TEXT(E1307,"aaaa"))," ",PROPER(TEXT(E1307,"mm"))))</f>
        <v>2025 03</v>
      </c>
      <c r="AI1307" s="9" t="str">
        <f ca="1">IF('Banco de Dados'!$AK1307&lt;&gt;"-","REEMBOLSO",IFERROR(_xlfn.XLOOKUP(G1307,Follow[CODRASTREIO],Follow[STATUS]),"-"))</f>
        <v>ENTREGUE</v>
      </c>
      <c r="AJ1307" s="9">
        <f ca="1">IF('Banco de Dados'!$AI1307="ENTREGUE",_xlfn.XLOOKUP('Banco de Dados'!$G1307,Follow[CODRASTREIO],Follow[DATAATUALIZAÇÃO]),"-")</f>
        <v>45754</v>
      </c>
      <c r="AK1307" s="132" t="str">
        <f ca="1"/>
        <v>-</v>
      </c>
      <c r="AL1307" s="35"/>
      <c r="AM1307" s="109" cm="1">
        <f t="array" aca="1" ref="AM1307" ca="1">IF('Banco de Dados'!$AK1307&lt;&gt;"-",_xlfn.IFS('Banco de Dados'!$A1307="bv",IF('Banco de Dados'!$E1307&lt;45641,ROUND(SUM('Banco de Dados'!$R1307*_xlfn.XLOOKUP('Banco de Dados'!$P1307,Sku!B:B,Sku!#REF!)*20%),2),ROUND(SUM('Banco de Dados'!$R1307*_xlfn.XLOOKUP('Banco de Dados'!$P1307,Sku!B:B,Sku!H:H)*20%),2)),'Banco de Dados'!$A1307="GO",ROUND(SUM('Banco de Dados'!$R1307*_xlfn.XLOOKUP('Banco de Dados'!$P1307,Sku!C:C,Sku!H:H)*20%),2),'Banco de Dados'!$A1307="MEI",ROUND(SUM('Banco de Dados'!$R1307*_xlfn.XLOOKUP('Banco de Dados'!$P1307,Sku!D:D,Sku!H:H)*20%),2)),0)</f>
        <v>0</v>
      </c>
      <c r="AN1307" s="109">
        <f ca="1">IF('Banco de Dados'!$AK1307&lt;&gt;"-",IF('Banco de Dados'!$F1307&lt;&gt;"-",_xlfn.XLOOKUP(IFERROR(IFERROR(IFERROR(VALUE(SUBSTITUTE(MID(_xlfn.TEXTAFTER('Banco de Dados'!$F1307,"Data do Pedido:
",1),1,10),"-","/")),VALUE(SUBSTITUTE(MID(_xlfn.TEXTAFTER('Banco de Dados'!$F1307,"Order date:
",1),1,10),"-","/"))),VALUE(SUBSTITUTE(MID(_xlfn.TEXTAFTER('Banco de Dados'!$F1307,"Fecha de pedido:
",1),1,10),"-","/"))),"-"),SMS!A:A,SMS!K:K),0),0)</f>
        <v>0</v>
      </c>
      <c r="AO1307" s="109">
        <f ca="1">IF('Banco de Dados'!$AK1307&lt;&gt;"-",IF('Banco de Dados'!$F1307&lt;&gt;"-",IFERROR(_xlfn.XLOOKUP(_xlfn.CONCAT('Banco de Dados'!$A1307,IFERROR(IFERROR(VALUE(SUBSTITUTE(MID(_xlfn.TEXTAFTER('Banco de Dados'!$F1307,"Data do Pedido:
",1),1,10),"-","/")),VALUE(SUBSTITUTE(MID(_xlfn.TEXTAFTER('Banco de Dados'!$F1307,"Order date:
",1),1,10),"-","/"))),0)),ProxyDD[Chave],ProxyDD[Valor por pedido]),PROXY!$P$2),0),0)</f>
        <v>0</v>
      </c>
      <c r="AP1307" s="28">
        <f ca="1">IF('Banco de Dados'!$AK1307&lt;&gt;"-",IF('Banco de Dados'!$AL1307="NÃO",IFERROR(VALUE(SUBSTITUTE(_xlfn.TEXTAFTER('Banco de Dados'!$F1307,"BRL ",1),".",",")),0),0),0)</f>
        <v>0</v>
      </c>
      <c r="AQ1307" s="28">
        <f ca="1">SUM('Banco de Dados'!$AM1307:$AP1307)</f>
        <v>0</v>
      </c>
      <c r="AR1307" s="8"/>
      <c r="AY1307" s="8"/>
    </row>
    <row r="1308" spans="1:51">
      <c r="A1308" s="5" t="str">
        <v>MEI</v>
      </c>
      <c r="B1308" s="5" t="str">
        <f ca="1"/>
        <v>MEI45737</v>
      </c>
      <c r="C1308" s="8" t="str">
        <v>Pedido 1295</v>
      </c>
      <c r="D1308" s="187">
        <v>45733</v>
      </c>
      <c r="E1308" s="9">
        <v>45737</v>
      </c>
      <c r="F1308" s="8" t="str">
        <v>PedidoF1239</v>
      </c>
      <c r="G1308" s="2" t="str">
        <v>CódRastreio1237</v>
      </c>
      <c r="H1308" s="5">
        <v>1</v>
      </c>
      <c r="I1308" s="2" t="str">
        <v>CPF 1261</v>
      </c>
      <c r="J1308" s="2" t="str">
        <v>Nome 1261</v>
      </c>
      <c r="K1308" s="8" t="str">
        <v>Tel 1261</v>
      </c>
      <c r="L1308" s="8" t="str">
        <v>Cep 1261</v>
      </c>
      <c r="M1308" s="8" t="str">
        <v>Rua 1261</v>
      </c>
      <c r="N1308" s="8" t="str">
        <v>Comp 1261</v>
      </c>
      <c r="O1308" s="8" t="str">
        <v>Mini Liquidificador</v>
      </c>
      <c r="P1308" s="8" t="str">
        <v>A4-5W51-K3HF</v>
      </c>
      <c r="Q1308" s="4">
        <v>45752</v>
      </c>
      <c r="R1308" s="109">
        <v>30.95</v>
      </c>
      <c r="S1308" s="11">
        <f ca="1"/>
        <v>30.95</v>
      </c>
      <c r="T1308" s="28">
        <f ca="1"/>
        <v>4.3330000000000002</v>
      </c>
      <c r="U1308" s="11">
        <f ca="1"/>
        <v>26.62</v>
      </c>
      <c r="V1308" s="11">
        <v>15.7</v>
      </c>
      <c r="W1308" s="11">
        <f ca="1"/>
        <v>0.2</v>
      </c>
      <c r="X1308" s="11">
        <f ca="1"/>
        <v>0.39877104377104378</v>
      </c>
      <c r="Y1308" s="11">
        <v>0</v>
      </c>
      <c r="Z1308" s="11">
        <f ca="1"/>
        <v>10.321228956228957</v>
      </c>
      <c r="AA1308" s="11">
        <f ca="1"/>
        <v>5.1606144781144785</v>
      </c>
      <c r="AB1308" s="4">
        <f ca="1"/>
        <v>45759</v>
      </c>
      <c r="AC1308" s="4">
        <v>45759</v>
      </c>
      <c r="AD1308" s="9">
        <v>45762</v>
      </c>
      <c r="AE1308" s="9">
        <v>45763</v>
      </c>
      <c r="AF1308" s="4" t="str">
        <f t="shared" ca="1" si="83"/>
        <v>2025 04</v>
      </c>
      <c r="AG1308" s="8" t="str" cm="1">
        <f t="array" ref="AG1308">IFERROR(_xlfn.IFS('Banco de Dados'!#REF!="AG. COMPRA","Em processamento",'Banco de Dados'!#REF!="AG. RASTREIO","Em processamento",'Banco de Dados'!$AE1308&lt;&gt;"-","Faturado",'Banco de Dados'!$AD1308&lt;&gt;"-","Aguardando Pix",'Banco de Dados'!$AC1308&lt;&gt;"-","Pendente"),"Aguardando Liberação")</f>
        <v>Aguardando Liberação</v>
      </c>
      <c r="AH1308" s="5" t="str">
        <f>IF('Banco de Dados'!$F1308="-",_xlfn.CONCAT(PROPER(TEXT(AK1308,"aaaa"))," ",PROPER(TEXT(AK1308,"mm"))),_xlfn.CONCAT(PROPER(TEXT(E1308,"aaaa"))," ",PROPER(TEXT(E1308,"mm"))))</f>
        <v>2025 03</v>
      </c>
      <c r="AI1308" s="9" t="str">
        <f ca="1">IF('Banco de Dados'!$AK1308&lt;&gt;"-","REEMBOLSO",IFERROR(_xlfn.XLOOKUP(G1308,Follow[CODRASTREIO],Follow[STATUS]),"-"))</f>
        <v>ENTREGUE</v>
      </c>
      <c r="AJ1308" s="9">
        <f ca="1">IF('Banco de Dados'!$AI1308="ENTREGUE",_xlfn.XLOOKUP('Banco de Dados'!$G1308,Follow[CODRASTREIO],Follow[DATAATUALIZAÇÃO]),"-")</f>
        <v>45748</v>
      </c>
      <c r="AK1308" s="132" t="str">
        <f ca="1"/>
        <v>-</v>
      </c>
      <c r="AL1308" s="35"/>
      <c r="AM1308" s="109" cm="1">
        <f t="array" aca="1" ref="AM1308" ca="1">IF('Banco de Dados'!$AK1308&lt;&gt;"-",_xlfn.IFS('Banco de Dados'!$A1308="bv",IF('Banco de Dados'!$E1308&lt;45641,ROUND(SUM('Banco de Dados'!$R1308*_xlfn.XLOOKUP('Banco de Dados'!$P1308,Sku!B:B,Sku!#REF!)*20%),2),ROUND(SUM('Banco de Dados'!$R1308*_xlfn.XLOOKUP('Banco de Dados'!$P1308,Sku!B:B,Sku!H:H)*20%),2)),'Banco de Dados'!$A1308="GO",ROUND(SUM('Banco de Dados'!$R1308*_xlfn.XLOOKUP('Banco de Dados'!$P1308,Sku!C:C,Sku!H:H)*20%),2),'Banco de Dados'!$A1308="MEI",ROUND(SUM('Banco de Dados'!$R1308*_xlfn.XLOOKUP('Banco de Dados'!$P1308,Sku!D:D,Sku!H:H)*20%),2)),0)</f>
        <v>0</v>
      </c>
      <c r="AN1308" s="109">
        <f ca="1">IF('Banco de Dados'!$AK1308&lt;&gt;"-",IF('Banco de Dados'!$F1308&lt;&gt;"-",_xlfn.XLOOKUP(IFERROR(IFERROR(IFERROR(VALUE(SUBSTITUTE(MID(_xlfn.TEXTAFTER('Banco de Dados'!$F1308,"Data do Pedido:
",1),1,10),"-","/")),VALUE(SUBSTITUTE(MID(_xlfn.TEXTAFTER('Banco de Dados'!$F1308,"Order date:
",1),1,10),"-","/"))),VALUE(SUBSTITUTE(MID(_xlfn.TEXTAFTER('Banco de Dados'!$F1308,"Fecha de pedido:
",1),1,10),"-","/"))),"-"),SMS!A:A,SMS!K:K),0),0)</f>
        <v>0</v>
      </c>
      <c r="AO1308" s="109">
        <f ca="1">IF('Banco de Dados'!$AK1308&lt;&gt;"-",IF('Banco de Dados'!$F1308&lt;&gt;"-",IFERROR(_xlfn.XLOOKUP(_xlfn.CONCAT('Banco de Dados'!$A1308,IFERROR(IFERROR(VALUE(SUBSTITUTE(MID(_xlfn.TEXTAFTER('Banco de Dados'!$F1308,"Data do Pedido:
",1),1,10),"-","/")),VALUE(SUBSTITUTE(MID(_xlfn.TEXTAFTER('Banco de Dados'!$F1308,"Order date:
",1),1,10),"-","/"))),0)),ProxyDD[Chave],ProxyDD[Valor por pedido]),PROXY!$P$2),0),0)</f>
        <v>0</v>
      </c>
      <c r="AP1308" s="28">
        <f ca="1">IF('Banco de Dados'!$AK1308&lt;&gt;"-",IF('Banco de Dados'!$AL1308="NÃO",IFERROR(VALUE(SUBSTITUTE(_xlfn.TEXTAFTER('Banco de Dados'!$F1308,"BRL ",1),".",",")),0),0),0)</f>
        <v>0</v>
      </c>
      <c r="AQ1308" s="28">
        <f ca="1">SUM('Banco de Dados'!$AM1308:$AP1308)</f>
        <v>0</v>
      </c>
      <c r="AR1308" s="8"/>
      <c r="AY1308" s="8"/>
    </row>
    <row r="1309" spans="1:51">
      <c r="A1309" s="5" t="str">
        <v>MEI</v>
      </c>
      <c r="B1309" s="5" t="str">
        <f ca="1"/>
        <v>MEI45737</v>
      </c>
      <c r="C1309" s="8" t="str">
        <v>Pedido 1296</v>
      </c>
      <c r="D1309" s="187">
        <v>45733</v>
      </c>
      <c r="E1309" s="9">
        <v>45737</v>
      </c>
      <c r="F1309" s="8" t="str">
        <v>PedidoF1240</v>
      </c>
      <c r="G1309" s="2" t="str">
        <v>CódRastreio1238</v>
      </c>
      <c r="H1309" s="5">
        <v>1</v>
      </c>
      <c r="I1309" s="2" t="str">
        <v>CPF 1262</v>
      </c>
      <c r="J1309" s="2" t="str">
        <v>Nome 1262</v>
      </c>
      <c r="K1309" s="8" t="str">
        <v>Tel 1262</v>
      </c>
      <c r="L1309" s="8" t="str">
        <v>Cep 1262</v>
      </c>
      <c r="M1309" s="8" t="str">
        <v>Rua 1262</v>
      </c>
      <c r="N1309" s="8" t="str">
        <v>Comp 1262</v>
      </c>
      <c r="O1309" s="8" t="str">
        <v>Bomba d'agua</v>
      </c>
      <c r="P1309" s="8" t="str">
        <v>U1-D95R-HYRT</v>
      </c>
      <c r="Q1309" s="4">
        <v>45758</v>
      </c>
      <c r="R1309" s="109">
        <v>21</v>
      </c>
      <c r="S1309" s="11">
        <f ca="1"/>
        <v>21</v>
      </c>
      <c r="T1309" s="28">
        <f ca="1"/>
        <v>2.9400000000000004</v>
      </c>
      <c r="U1309" s="11">
        <f ca="1"/>
        <v>18.059999999999999</v>
      </c>
      <c r="V1309" s="11">
        <v>15.92</v>
      </c>
      <c r="W1309" s="11">
        <f ca="1"/>
        <v>0.2</v>
      </c>
      <c r="X1309" s="11">
        <f ca="1"/>
        <v>0.39877104377104378</v>
      </c>
      <c r="Y1309" s="11">
        <v>0</v>
      </c>
      <c r="Z1309" s="11">
        <f ca="1"/>
        <v>1.5412289562289523</v>
      </c>
      <c r="AA1309" s="11">
        <f ca="1"/>
        <v>0.77061447811447614</v>
      </c>
      <c r="AB1309" s="4">
        <f ca="1"/>
        <v>45765</v>
      </c>
      <c r="AC1309" s="4">
        <v>45765</v>
      </c>
      <c r="AD1309" s="9">
        <v>45779</v>
      </c>
      <c r="AE1309" s="9">
        <v>45783</v>
      </c>
      <c r="AF1309" s="4" t="str">
        <f t="shared" ca="1" si="83"/>
        <v>2025 04</v>
      </c>
      <c r="AG1309" s="8" t="str" cm="1">
        <f t="array" ref="AG1309">IFERROR(_xlfn.IFS('Banco de Dados'!#REF!="AG. COMPRA","Em processamento",'Banco de Dados'!#REF!="AG. RASTREIO","Em processamento",'Banco de Dados'!$AE1309&lt;&gt;"-","Faturado",'Banco de Dados'!$AD1309&lt;&gt;"-","Aguardando Pix",'Banco de Dados'!$AC1309&lt;&gt;"-","Pendente"),"Aguardando Liberação")</f>
        <v>Aguardando Liberação</v>
      </c>
      <c r="AH1309" s="5" t="str">
        <f>IF('Banco de Dados'!$F1309="-",_xlfn.CONCAT(PROPER(TEXT(AK1309,"aaaa"))," ",PROPER(TEXT(AK1309,"mm"))),_xlfn.CONCAT(PROPER(TEXT(E1309,"aaaa"))," ",PROPER(TEXT(E1309,"mm"))))</f>
        <v>2025 03</v>
      </c>
      <c r="AI1309" s="9" t="str">
        <f ca="1">IF('Banco de Dados'!$AK1309&lt;&gt;"-","REEMBOLSO",IFERROR(_xlfn.XLOOKUP(G1309,Follow[CODRASTREIO],Follow[STATUS]),"-"))</f>
        <v>ENTREGUE</v>
      </c>
      <c r="AJ1309" s="9">
        <f ca="1">IF('Banco de Dados'!$AI1309="ENTREGUE",_xlfn.XLOOKUP('Banco de Dados'!$G1309,Follow[CODRASTREIO],Follow[DATAATUALIZAÇÃO]),"-")</f>
        <v>45755</v>
      </c>
      <c r="AK1309" s="132" t="str">
        <f ca="1"/>
        <v>-</v>
      </c>
      <c r="AL1309" s="35"/>
      <c r="AM1309" s="109" cm="1">
        <f t="array" aca="1" ref="AM1309" ca="1">IF('Banco de Dados'!$AK1309&lt;&gt;"-",_xlfn.IFS('Banco de Dados'!$A1309="bv",IF('Banco de Dados'!$E1309&lt;45641,ROUND(SUM('Banco de Dados'!$R1309*_xlfn.XLOOKUP('Banco de Dados'!$P1309,Sku!B:B,Sku!#REF!)*20%),2),ROUND(SUM('Banco de Dados'!$R1309*_xlfn.XLOOKUP('Banco de Dados'!$P1309,Sku!B:B,Sku!H:H)*20%),2)),'Banco de Dados'!$A1309="GO",ROUND(SUM('Banco de Dados'!$R1309*_xlfn.XLOOKUP('Banco de Dados'!$P1309,Sku!C:C,Sku!H:H)*20%),2),'Banco de Dados'!$A1309="MEI",ROUND(SUM('Banco de Dados'!$R1309*_xlfn.XLOOKUP('Banco de Dados'!$P1309,Sku!D:D,Sku!H:H)*20%),2)),0)</f>
        <v>0</v>
      </c>
      <c r="AN1309" s="109">
        <f ca="1">IF('Banco de Dados'!$AK1309&lt;&gt;"-",IF('Banco de Dados'!$F1309&lt;&gt;"-",_xlfn.XLOOKUP(IFERROR(IFERROR(IFERROR(VALUE(SUBSTITUTE(MID(_xlfn.TEXTAFTER('Banco de Dados'!$F1309,"Data do Pedido:
",1),1,10),"-","/")),VALUE(SUBSTITUTE(MID(_xlfn.TEXTAFTER('Banco de Dados'!$F1309,"Order date:
",1),1,10),"-","/"))),VALUE(SUBSTITUTE(MID(_xlfn.TEXTAFTER('Banco de Dados'!$F1309,"Fecha de pedido:
",1),1,10),"-","/"))),"-"),SMS!A:A,SMS!K:K),0),0)</f>
        <v>0</v>
      </c>
      <c r="AO1309" s="109">
        <f ca="1">IF('Banco de Dados'!$AK1309&lt;&gt;"-",IF('Banco de Dados'!$F1309&lt;&gt;"-",IFERROR(_xlfn.XLOOKUP(_xlfn.CONCAT('Banco de Dados'!$A1309,IFERROR(IFERROR(VALUE(SUBSTITUTE(MID(_xlfn.TEXTAFTER('Banco de Dados'!$F1309,"Data do Pedido:
",1),1,10),"-","/")),VALUE(SUBSTITUTE(MID(_xlfn.TEXTAFTER('Banco de Dados'!$F1309,"Order date:
",1),1,10),"-","/"))),0)),ProxyDD[Chave],ProxyDD[Valor por pedido]),PROXY!$P$2),0),0)</f>
        <v>0</v>
      </c>
      <c r="AP1309" s="28">
        <f ca="1">IF('Banco de Dados'!$AK1309&lt;&gt;"-",IF('Banco de Dados'!$AL1309="NÃO",IFERROR(VALUE(SUBSTITUTE(_xlfn.TEXTAFTER('Banco de Dados'!$F1309,"BRL ",1),".",",")),0),0),0)</f>
        <v>0</v>
      </c>
      <c r="AQ1309" s="28">
        <f ca="1">SUM('Banco de Dados'!$AM1309:$AP1309)</f>
        <v>0</v>
      </c>
      <c r="AR1309" s="8"/>
      <c r="AY1309" s="8"/>
    </row>
    <row r="1310" spans="1:51">
      <c r="A1310" s="5" t="str">
        <v>MEI</v>
      </c>
      <c r="B1310" s="5" t="str">
        <f ca="1"/>
        <v>MEI45737</v>
      </c>
      <c r="C1310" s="8" t="str">
        <v>Pedido 1297</v>
      </c>
      <c r="D1310" s="187">
        <v>45733</v>
      </c>
      <c r="E1310" s="9">
        <v>45737</v>
      </c>
      <c r="F1310" s="8" t="str">
        <v>PedidoF1241</v>
      </c>
      <c r="G1310" s="2" t="str">
        <v>CódRastreio1239</v>
      </c>
      <c r="H1310" s="5">
        <v>1</v>
      </c>
      <c r="I1310" s="2" t="str">
        <v>CPF 1263</v>
      </c>
      <c r="J1310" s="2" t="str">
        <v>Nome 1263</v>
      </c>
      <c r="K1310" s="8" t="str">
        <v>Tel 1263</v>
      </c>
      <c r="L1310" s="8" t="str">
        <v>Cep 1263</v>
      </c>
      <c r="M1310" s="8" t="str">
        <v>Rua 1263</v>
      </c>
      <c r="N1310" s="8" t="str">
        <v>Comp 1263</v>
      </c>
      <c r="O1310" s="8" t="str">
        <v>Bomba d'agua</v>
      </c>
      <c r="P1310" s="8" t="str">
        <v>U1-D95R-HYRT</v>
      </c>
      <c r="Q1310" s="4">
        <v>45758</v>
      </c>
      <c r="R1310" s="109">
        <v>21</v>
      </c>
      <c r="S1310" s="11">
        <f ca="1"/>
        <v>21</v>
      </c>
      <c r="T1310" s="28">
        <f ca="1"/>
        <v>2.9400000000000004</v>
      </c>
      <c r="U1310" s="11">
        <f ca="1"/>
        <v>18.059999999999999</v>
      </c>
      <c r="V1310" s="11">
        <v>15.35</v>
      </c>
      <c r="W1310" s="11">
        <f ca="1"/>
        <v>0.2</v>
      </c>
      <c r="X1310" s="11">
        <f ca="1"/>
        <v>0.39877104377104378</v>
      </c>
      <c r="Y1310" s="11">
        <v>0</v>
      </c>
      <c r="Z1310" s="11">
        <f ca="1"/>
        <v>2.1112289562289561</v>
      </c>
      <c r="AA1310" s="11">
        <f ca="1"/>
        <v>1.0556144781144781</v>
      </c>
      <c r="AB1310" s="4">
        <f ca="1"/>
        <v>45765</v>
      </c>
      <c r="AC1310" s="4">
        <v>45765</v>
      </c>
      <c r="AD1310" s="9">
        <v>45779</v>
      </c>
      <c r="AE1310" s="9">
        <v>45783</v>
      </c>
      <c r="AF1310" s="4" t="str">
        <f t="shared" ca="1" si="83"/>
        <v>2025 04</v>
      </c>
      <c r="AG1310" s="8" t="str" cm="1">
        <f t="array" ref="AG1310">IFERROR(_xlfn.IFS('Banco de Dados'!#REF!="AG. COMPRA","Em processamento",'Banco de Dados'!#REF!="AG. RASTREIO","Em processamento",'Banco de Dados'!$AE1310&lt;&gt;"-","Faturado",'Banco de Dados'!$AD1310&lt;&gt;"-","Aguardando Pix",'Banco de Dados'!$AC1310&lt;&gt;"-","Pendente"),"Aguardando Liberação")</f>
        <v>Aguardando Liberação</v>
      </c>
      <c r="AH1310" s="5" t="str">
        <f>IF('Banco de Dados'!$F1310="-",_xlfn.CONCAT(PROPER(TEXT(AK1310,"aaaa"))," ",PROPER(TEXT(AK1310,"mm"))),_xlfn.CONCAT(PROPER(TEXT(E1310,"aaaa"))," ",PROPER(TEXT(E1310,"mm"))))</f>
        <v>2025 03</v>
      </c>
      <c r="AI1310" s="9" t="str">
        <f ca="1">IF('Banco de Dados'!$AK1310&lt;&gt;"-","REEMBOLSO",IFERROR(_xlfn.XLOOKUP(G1310,Follow[CODRASTREIO],Follow[STATUS]),"-"))</f>
        <v>ENTREGUE</v>
      </c>
      <c r="AJ1310" s="9">
        <f ca="1">IF('Banco de Dados'!$AI1310="ENTREGUE",_xlfn.XLOOKUP('Banco de Dados'!$G1310,Follow[CODRASTREIO],Follow[DATAATUALIZAÇÃO]),"-")</f>
        <v>45754</v>
      </c>
      <c r="AK1310" s="132" t="str">
        <f ca="1"/>
        <v>-</v>
      </c>
      <c r="AL1310" s="35"/>
      <c r="AM1310" s="109" cm="1">
        <f t="array" aca="1" ref="AM1310" ca="1">IF('Banco de Dados'!$AK1310&lt;&gt;"-",_xlfn.IFS('Banco de Dados'!$A1310="bv",IF('Banco de Dados'!$E1310&lt;45641,ROUND(SUM('Banco de Dados'!$R1310*_xlfn.XLOOKUP('Banco de Dados'!$P1310,Sku!B:B,Sku!#REF!)*20%),2),ROUND(SUM('Banco de Dados'!$R1310*_xlfn.XLOOKUP('Banco de Dados'!$P1310,Sku!B:B,Sku!H:H)*20%),2)),'Banco de Dados'!$A1310="GO",ROUND(SUM('Banco de Dados'!$R1310*_xlfn.XLOOKUP('Banco de Dados'!$P1310,Sku!C:C,Sku!H:H)*20%),2),'Banco de Dados'!$A1310="MEI",ROUND(SUM('Banco de Dados'!$R1310*_xlfn.XLOOKUP('Banco de Dados'!$P1310,Sku!D:D,Sku!H:H)*20%),2)),0)</f>
        <v>0</v>
      </c>
      <c r="AN1310" s="109">
        <f ca="1">IF('Banco de Dados'!$AK1310&lt;&gt;"-",IF('Banco de Dados'!$F1310&lt;&gt;"-",_xlfn.XLOOKUP(IFERROR(IFERROR(IFERROR(VALUE(SUBSTITUTE(MID(_xlfn.TEXTAFTER('Banco de Dados'!$F1310,"Data do Pedido:
",1),1,10),"-","/")),VALUE(SUBSTITUTE(MID(_xlfn.TEXTAFTER('Banco de Dados'!$F1310,"Order date:
",1),1,10),"-","/"))),VALUE(SUBSTITUTE(MID(_xlfn.TEXTAFTER('Banco de Dados'!$F1310,"Fecha de pedido:
",1),1,10),"-","/"))),"-"),SMS!A:A,SMS!K:K),0),0)</f>
        <v>0</v>
      </c>
      <c r="AO1310" s="109">
        <f ca="1">IF('Banco de Dados'!$AK1310&lt;&gt;"-",IF('Banco de Dados'!$F1310&lt;&gt;"-",IFERROR(_xlfn.XLOOKUP(_xlfn.CONCAT('Banco de Dados'!$A1310,IFERROR(IFERROR(VALUE(SUBSTITUTE(MID(_xlfn.TEXTAFTER('Banco de Dados'!$F1310,"Data do Pedido:
",1),1,10),"-","/")),VALUE(SUBSTITUTE(MID(_xlfn.TEXTAFTER('Banco de Dados'!$F1310,"Order date:
",1),1,10),"-","/"))),0)),ProxyDD[Chave],ProxyDD[Valor por pedido]),PROXY!$P$2),0),0)</f>
        <v>0</v>
      </c>
      <c r="AP1310" s="28">
        <f ca="1">IF('Banco de Dados'!$AK1310&lt;&gt;"-",IF('Banco de Dados'!$AL1310="NÃO",IFERROR(VALUE(SUBSTITUTE(_xlfn.TEXTAFTER('Banco de Dados'!$F1310,"BRL ",1),".",",")),0),0),0)</f>
        <v>0</v>
      </c>
      <c r="AQ1310" s="28">
        <f ca="1">SUM('Banco de Dados'!$AM1310:$AP1310)</f>
        <v>0</v>
      </c>
      <c r="AR1310" s="8"/>
      <c r="AY1310" s="8"/>
    </row>
    <row r="1311" spans="1:51">
      <c r="A1311" s="5" t="str">
        <v>BV</v>
      </c>
      <c r="B1311" s="5" t="str">
        <f ca="1"/>
        <v>BV45736</v>
      </c>
      <c r="C1311" s="8" t="str">
        <v>Pedido 1298</v>
      </c>
      <c r="D1311" s="9">
        <v>45734</v>
      </c>
      <c r="E1311" s="9">
        <v>45736</v>
      </c>
      <c r="F1311" s="8" t="str">
        <v>PedidoF1242</v>
      </c>
      <c r="G1311" s="2" t="str">
        <v>CódRastreio1240</v>
      </c>
      <c r="H1311" s="5">
        <v>1</v>
      </c>
      <c r="I1311" s="2" t="str">
        <v>CPF 1264</v>
      </c>
      <c r="J1311" s="2" t="str">
        <v>Nome 1264</v>
      </c>
      <c r="K1311" s="8" t="str">
        <v>Tel 1264</v>
      </c>
      <c r="L1311" s="8" t="str">
        <v>Cep 1264</v>
      </c>
      <c r="M1311" s="8" t="str">
        <v>Rua 1264</v>
      </c>
      <c r="N1311" s="8" t="str">
        <v>Comp 1264</v>
      </c>
      <c r="O1311" s="8" t="str">
        <v>Balança</v>
      </c>
      <c r="P1311" s="8" t="str">
        <v>P4-K63S-8KOM</v>
      </c>
      <c r="Q1311" s="4">
        <v>45750</v>
      </c>
      <c r="R1311" s="109">
        <v>28.99</v>
      </c>
      <c r="S1311" s="11">
        <f ca="1"/>
        <v>28.99</v>
      </c>
      <c r="T1311" s="28">
        <f ca="1"/>
        <v>3.7686999999999999</v>
      </c>
      <c r="U1311" s="11">
        <f ca="1"/>
        <v>25.22</v>
      </c>
      <c r="V1311" s="11">
        <v>14.8</v>
      </c>
      <c r="W1311" s="11">
        <f ca="1"/>
        <v>0.33</v>
      </c>
      <c r="X1311" s="11">
        <f ca="1"/>
        <v>0.39877104377104378</v>
      </c>
      <c r="Y1311" s="11">
        <v>0</v>
      </c>
      <c r="Z1311" s="11">
        <f ca="1"/>
        <v>9.6912289562289544</v>
      </c>
      <c r="AA1311" s="11">
        <f ca="1"/>
        <v>4.8456144781144772</v>
      </c>
      <c r="AB1311" s="4">
        <f ca="1"/>
        <v>45757</v>
      </c>
      <c r="AC1311" s="4">
        <v>45757</v>
      </c>
      <c r="AD1311" s="9">
        <v>45762</v>
      </c>
      <c r="AE1311" s="9">
        <v>45763</v>
      </c>
      <c r="AF1311" s="4" t="str">
        <f t="shared" ref="AF1311:AF1321" ca="1" si="84">_xlfn.CONCAT(PROPER(TEXT(AB1311,"aaaa"))," ",PROPER(TEXT(AB1311,"mm")))</f>
        <v>2025 04</v>
      </c>
      <c r="AG1311" s="8" t="str" cm="1">
        <f t="array" ref="AG1311">IFERROR(_xlfn.IFS('Banco de Dados'!#REF!="AG. COMPRA","Em processamento",'Banco de Dados'!#REF!="AG. RASTREIO","Em processamento",'Banco de Dados'!$AE1311&lt;&gt;"-","Faturado",'Banco de Dados'!$AD1311&lt;&gt;"-","Aguardando Pix",'Banco de Dados'!$AC1311&lt;&gt;"-","Pendente"),"Aguardando Liberação")</f>
        <v>Aguardando Liberação</v>
      </c>
      <c r="AH1311" s="5" t="str">
        <f>IF('Banco de Dados'!$F1311="-",_xlfn.CONCAT(PROPER(TEXT(AK1311,"aaaa"))," ",PROPER(TEXT(AK1311,"mm"))),_xlfn.CONCAT(PROPER(TEXT(E1311,"aaaa"))," ",PROPER(TEXT(E1311,"mm"))))</f>
        <v>2025 03</v>
      </c>
      <c r="AI1311" s="9" t="str">
        <f ca="1">IF('Banco de Dados'!$AK1311&lt;&gt;"-","REEMBOLSO",IFERROR(_xlfn.XLOOKUP(G1311,Follow[CODRASTREIO],Follow[STATUS]),"-"))</f>
        <v>ENTREGUE</v>
      </c>
      <c r="AJ1311" s="9">
        <f ca="1">IF('Banco de Dados'!$AI1311="ENTREGUE",_xlfn.XLOOKUP('Banco de Dados'!$G1311,Follow[CODRASTREIO],Follow[DATAATUALIZAÇÃO]),"-")</f>
        <v>45743</v>
      </c>
      <c r="AK1311" s="132" t="str">
        <f ca="1"/>
        <v>-</v>
      </c>
      <c r="AL1311" s="35"/>
      <c r="AM1311" s="109" cm="1">
        <f t="array" aca="1" ref="AM1311" ca="1">IF('Banco de Dados'!$AK1311&lt;&gt;"-",_xlfn.IFS('Banco de Dados'!$A1311="bv",IF('Banco de Dados'!$E1311&lt;45641,ROUND(SUM('Banco de Dados'!$R1311*_xlfn.XLOOKUP('Banco de Dados'!$P1311,Sku!B:B,Sku!#REF!)*20%),2),ROUND(SUM('Banco de Dados'!$R1311*_xlfn.XLOOKUP('Banco de Dados'!$P1311,Sku!B:B,Sku!H:H)*20%),2)),'Banco de Dados'!$A1311="GO",ROUND(_xlfn.XLOOKUP('Banco de Dados'!$P1311,Sku!C:C,Sku!H:H),2),'Banco de Dados'!$A1311="MEI",ROUND(_xlfn.XLOOKUP('Banco de Dados'!$P1311,Sku!D:D,Sku!H:H),2)),0)</f>
        <v>0</v>
      </c>
      <c r="AN1311" s="109">
        <f ca="1">IF('Banco de Dados'!$AK1311&lt;&gt;"-",IF('Banco de Dados'!$F1311&lt;&gt;"-",_xlfn.XLOOKUP(IFERROR(IFERROR(IFERROR(VALUE(SUBSTITUTE(MID(_xlfn.TEXTAFTER('Banco de Dados'!$F1311,"Data do Pedido:
",1),1,10),"-","/")),VALUE(SUBSTITUTE(MID(_xlfn.TEXTAFTER('Banco de Dados'!$F1311,"Order date:
",1),1,10),"-","/"))),VALUE(SUBSTITUTE(MID(_xlfn.TEXTAFTER('Banco de Dados'!$F1311,"Fecha de pedido:
",1),1,10),"-","/"))),"-"),SMS!A:A,SMS!K:K),0),0)</f>
        <v>0</v>
      </c>
      <c r="AO1311" s="109">
        <f ca="1">IF('Banco de Dados'!$AK1311&lt;&gt;"-",IF('Banco de Dados'!$F1311&lt;&gt;"-",IFERROR(_xlfn.XLOOKUP(_xlfn.CONCAT('Banco de Dados'!$A1311,IFERROR(IFERROR(VALUE(SUBSTITUTE(MID(_xlfn.TEXTAFTER('Banco de Dados'!$F1311,"Data do Pedido:
",1),1,10),"-","/")),VALUE(SUBSTITUTE(MID(_xlfn.TEXTAFTER('Banco de Dados'!$F1311,"Order date:
",1),1,10),"-","/"))),0)),ProxyDD[Chave],ProxyDD[Valor por pedido]),PROXY!$P$2),0),0)</f>
        <v>0</v>
      </c>
      <c r="AP1311" s="28">
        <f ca="1">IF('Banco de Dados'!$AK1311&lt;&gt;"-",IF('Banco de Dados'!$AL1311="NÃO",IFERROR(VALUE(SUBSTITUTE(_xlfn.TEXTAFTER('Banco de Dados'!$F1311,"BRL ",1),".",",")),0),0),0)</f>
        <v>0</v>
      </c>
      <c r="AQ1311" s="28">
        <f ca="1">SUM('Banco de Dados'!$AM1311:$AP1311)</f>
        <v>0</v>
      </c>
      <c r="AR1311" s="8"/>
      <c r="AY1311" s="8"/>
    </row>
    <row r="1312" spans="1:51">
      <c r="A1312" s="5" t="str">
        <v>BV</v>
      </c>
      <c r="B1312" s="5" t="str">
        <f ca="1"/>
        <v>BV45736</v>
      </c>
      <c r="C1312" s="8" t="str">
        <v>Pedido 1299</v>
      </c>
      <c r="D1312" s="9">
        <v>45734</v>
      </c>
      <c r="E1312" s="9">
        <v>45736</v>
      </c>
      <c r="F1312" s="8" t="str">
        <v>PedidoF1243</v>
      </c>
      <c r="G1312" s="2" t="str">
        <v>CódRastreio1241</v>
      </c>
      <c r="H1312" s="5">
        <v>1</v>
      </c>
      <c r="I1312" s="2" t="str">
        <v>CPF 1265</v>
      </c>
      <c r="J1312" s="2" t="str">
        <v>Nome 1265</v>
      </c>
      <c r="K1312" s="8" t="str">
        <v>Tel 1265</v>
      </c>
      <c r="L1312" s="8" t="str">
        <v>Cep 1265</v>
      </c>
      <c r="M1312" s="8" t="str">
        <v>Rua 1265</v>
      </c>
      <c r="N1312" s="8" t="str">
        <v>Comp 1265</v>
      </c>
      <c r="O1312" s="8" t="str">
        <v>Ventilador Umidificador Preto</v>
      </c>
      <c r="P1312" s="8" t="str">
        <v>HF-SI0F-XC7S</v>
      </c>
      <c r="Q1312" s="4">
        <v>45758</v>
      </c>
      <c r="R1312" s="109">
        <v>44.9</v>
      </c>
      <c r="S1312" s="11">
        <f ca="1"/>
        <v>44.9</v>
      </c>
      <c r="T1312" s="28">
        <f ca="1"/>
        <v>6.2860000000000005</v>
      </c>
      <c r="U1312" s="11">
        <f ca="1"/>
        <v>38.61</v>
      </c>
      <c r="V1312" s="11">
        <v>21.62</v>
      </c>
      <c r="W1312" s="11">
        <f ca="1"/>
        <v>0.33</v>
      </c>
      <c r="X1312" s="11">
        <f ca="1"/>
        <v>0.39877104377104378</v>
      </c>
      <c r="Y1312" s="11">
        <v>0</v>
      </c>
      <c r="Z1312" s="11">
        <f ca="1"/>
        <v>16.261228956228955</v>
      </c>
      <c r="AA1312" s="11">
        <f ca="1"/>
        <v>8.1306144781144774</v>
      </c>
      <c r="AB1312" s="4">
        <f ca="1"/>
        <v>45765</v>
      </c>
      <c r="AC1312" s="4">
        <v>45765</v>
      </c>
      <c r="AD1312" s="9">
        <v>45779</v>
      </c>
      <c r="AE1312" s="9">
        <v>45783</v>
      </c>
      <c r="AF1312" s="4" t="str">
        <f t="shared" ca="1" si="84"/>
        <v>2025 04</v>
      </c>
      <c r="AG1312" s="8" t="str" cm="1">
        <f t="array" ref="AG1312">IFERROR(_xlfn.IFS('Banco de Dados'!#REF!="AG. COMPRA","Em processamento",'Banco de Dados'!#REF!="AG. RASTREIO","Em processamento",'Banco de Dados'!$AE1312&lt;&gt;"-","Faturado",'Banco de Dados'!$AD1312&lt;&gt;"-","Aguardando Pix",'Banco de Dados'!$AC1312&lt;&gt;"-","Pendente"),"Aguardando Liberação")</f>
        <v>Aguardando Liberação</v>
      </c>
      <c r="AH1312" s="5" t="str">
        <f>IF('Banco de Dados'!$F1312="-",_xlfn.CONCAT(PROPER(TEXT(AK1312,"aaaa"))," ",PROPER(TEXT(AK1312,"mm"))),_xlfn.CONCAT(PROPER(TEXT(E1312,"aaaa"))," ",PROPER(TEXT(E1312,"mm"))))</f>
        <v>2025 03</v>
      </c>
      <c r="AI1312" s="9" t="str">
        <f ca="1">IF('Banco de Dados'!$AK1312&lt;&gt;"-","REEMBOLSO",IFERROR(_xlfn.XLOOKUP(G1312,Follow[CODRASTREIO],Follow[STATUS]),"-"))</f>
        <v>ENTREGUE</v>
      </c>
      <c r="AJ1312" s="9">
        <f ca="1">IF('Banco de Dados'!$AI1312="ENTREGUE",_xlfn.XLOOKUP('Banco de Dados'!$G1312,Follow[CODRASTREIO],Follow[DATAATUALIZAÇÃO]),"-")</f>
        <v>45750</v>
      </c>
      <c r="AK1312" s="132" t="str">
        <f ca="1"/>
        <v>-</v>
      </c>
      <c r="AL1312" s="35"/>
      <c r="AM1312" s="109" cm="1">
        <f t="array" aca="1" ref="AM1312" ca="1">IF('Banco de Dados'!$AK1312&lt;&gt;"-",_xlfn.IFS('Banco de Dados'!$A1312="bv",IF('Banco de Dados'!$E1312&lt;45641,ROUND(SUM('Banco de Dados'!$R1312*_xlfn.XLOOKUP('Banco de Dados'!$P1312,Sku!B:B,Sku!#REF!)*20%),2),ROUND(SUM('Banco de Dados'!$R1312*_xlfn.XLOOKUP('Banco de Dados'!$P1312,Sku!B:B,Sku!H:H)*20%),2)),'Banco de Dados'!$A1312="GO",ROUND(_xlfn.XLOOKUP('Banco de Dados'!$P1312,Sku!C:C,Sku!H:H),2),'Banco de Dados'!$A1312="MEI",ROUND(_xlfn.XLOOKUP('Banco de Dados'!$P1312,Sku!D:D,Sku!H:H),2)),0)</f>
        <v>0</v>
      </c>
      <c r="AN1312" s="109">
        <f ca="1">IF('Banco de Dados'!$AK1312&lt;&gt;"-",IF('Banco de Dados'!$F1312&lt;&gt;"-",_xlfn.XLOOKUP(IFERROR(IFERROR(IFERROR(VALUE(SUBSTITUTE(MID(_xlfn.TEXTAFTER('Banco de Dados'!$F1312,"Data do Pedido:
",1),1,10),"-","/")),VALUE(SUBSTITUTE(MID(_xlfn.TEXTAFTER('Banco de Dados'!$F1312,"Order date:
",1),1,10),"-","/"))),VALUE(SUBSTITUTE(MID(_xlfn.TEXTAFTER('Banco de Dados'!$F1312,"Fecha de pedido:
",1),1,10),"-","/"))),"-"),SMS!A:A,SMS!K:K),0),0)</f>
        <v>0</v>
      </c>
      <c r="AO1312" s="109">
        <f ca="1">IF('Banco de Dados'!$AK1312&lt;&gt;"-",IF('Banco de Dados'!$F1312&lt;&gt;"-",IFERROR(_xlfn.XLOOKUP(_xlfn.CONCAT('Banco de Dados'!$A1312,IFERROR(IFERROR(VALUE(SUBSTITUTE(MID(_xlfn.TEXTAFTER('Banco de Dados'!$F1312,"Data do Pedido:
",1),1,10),"-","/")),VALUE(SUBSTITUTE(MID(_xlfn.TEXTAFTER('Banco de Dados'!$F1312,"Order date:
",1),1,10),"-","/"))),0)),ProxyDD[Chave],ProxyDD[Valor por pedido]),PROXY!$P$2),0),0)</f>
        <v>0</v>
      </c>
      <c r="AP1312" s="28">
        <f ca="1">IF('Banco de Dados'!$AK1312&lt;&gt;"-",IF('Banco de Dados'!$AL1312="NÃO",IFERROR(VALUE(SUBSTITUTE(_xlfn.TEXTAFTER('Banco de Dados'!$F1312,"BRL ",1),".",",")),0),0),0)</f>
        <v>0</v>
      </c>
      <c r="AQ1312" s="28">
        <f ca="1">SUM('Banco de Dados'!$AM1312:$AP1312)</f>
        <v>0</v>
      </c>
      <c r="AR1312" s="8"/>
      <c r="AY1312" s="8"/>
    </row>
    <row r="1313" spans="1:51">
      <c r="A1313" s="5" t="str">
        <v>BV</v>
      </c>
      <c r="B1313" s="5" t="str">
        <f ca="1"/>
        <v>BV45736</v>
      </c>
      <c r="C1313" s="8" t="str">
        <v>Pedido 1300</v>
      </c>
      <c r="D1313" s="9">
        <v>45734</v>
      </c>
      <c r="E1313" s="9">
        <v>45736</v>
      </c>
      <c r="F1313" s="8" t="str">
        <v>PedidoF1244</v>
      </c>
      <c r="G1313" s="2" t="str">
        <v>CódRastreio1242</v>
      </c>
      <c r="H1313" s="5">
        <v>1</v>
      </c>
      <c r="I1313" s="2" t="str">
        <v>CPF 1266</v>
      </c>
      <c r="J1313" s="2" t="str">
        <v>Nome 1266</v>
      </c>
      <c r="K1313" s="8" t="str">
        <v>Tel 1266</v>
      </c>
      <c r="L1313" s="8" t="str">
        <v>Cep 1266</v>
      </c>
      <c r="M1313" s="8" t="str">
        <v>Rua 1266</v>
      </c>
      <c r="N1313" s="8" t="str">
        <v>Comp 1266</v>
      </c>
      <c r="O1313" s="8" t="str">
        <v>Lampada Led</v>
      </c>
      <c r="P1313" s="8" t="str">
        <v>RB-W251-UXV2</v>
      </c>
      <c r="Q1313" s="4">
        <v>45765</v>
      </c>
      <c r="R1313" s="109">
        <v>26.99</v>
      </c>
      <c r="S1313" s="11">
        <f ca="1"/>
        <v>26.99</v>
      </c>
      <c r="T1313" s="28">
        <f ca="1"/>
        <v>3.5086999999999997</v>
      </c>
      <c r="U1313" s="11">
        <f ca="1"/>
        <v>23.48</v>
      </c>
      <c r="V1313" s="11">
        <v>10.18</v>
      </c>
      <c r="W1313" s="11">
        <f ca="1"/>
        <v>0.33</v>
      </c>
      <c r="X1313" s="11">
        <f ca="1"/>
        <v>0.39877104377104378</v>
      </c>
      <c r="Y1313" s="11">
        <v>0</v>
      </c>
      <c r="Z1313" s="11">
        <f ca="1"/>
        <v>12.571228956228957</v>
      </c>
      <c r="AA1313" s="11">
        <f ca="1"/>
        <v>6.2856144781144785</v>
      </c>
      <c r="AB1313" s="4">
        <f ca="1"/>
        <v>45772</v>
      </c>
      <c r="AC1313" s="4">
        <v>45772</v>
      </c>
      <c r="AD1313" s="9">
        <v>45779</v>
      </c>
      <c r="AE1313" s="9">
        <v>45783</v>
      </c>
      <c r="AF1313" s="4" t="str">
        <f t="shared" ca="1" si="84"/>
        <v>2025 04</v>
      </c>
      <c r="AG1313" s="8" t="str" cm="1">
        <f t="array" ref="AG1313">IFERROR(_xlfn.IFS('Banco de Dados'!#REF!="AG. COMPRA","Em processamento",'Banco de Dados'!#REF!="AG. RASTREIO","Em processamento",'Banco de Dados'!$AE1313&lt;&gt;"-","Faturado",'Banco de Dados'!$AD1313&lt;&gt;"-","Aguardando Pix",'Banco de Dados'!$AC1313&lt;&gt;"-","Pendente"),"Aguardando Liberação")</f>
        <v>Aguardando Liberação</v>
      </c>
      <c r="AH1313" s="5" t="str">
        <f>IF('Banco de Dados'!$F1313="-",_xlfn.CONCAT(PROPER(TEXT(AK1313,"aaaa"))," ",PROPER(TEXT(AK1313,"mm"))),_xlfn.CONCAT(PROPER(TEXT(E1313,"aaaa"))," ",PROPER(TEXT(E1313,"mm"))))</f>
        <v>2025 03</v>
      </c>
      <c r="AI1313" s="9" t="str">
        <f ca="1">IF('Banco de Dados'!$AK1313&lt;&gt;"-","REEMBOLSO",IFERROR(_xlfn.XLOOKUP(G1313,Follow[CODRASTREIO],Follow[STATUS]),"-"))</f>
        <v>ENTREGUE</v>
      </c>
      <c r="AJ1313" s="9">
        <f ca="1">IF('Banco de Dados'!$AI1313="ENTREGUE",_xlfn.XLOOKUP('Banco de Dados'!$G1313,Follow[CODRASTREIO],Follow[DATAATUALIZAÇÃO]),"-")</f>
        <v>45779</v>
      </c>
      <c r="AK1313" s="132" t="str">
        <f ca="1"/>
        <v>-</v>
      </c>
      <c r="AL1313" s="35"/>
      <c r="AM1313" s="109" cm="1">
        <f t="array" aca="1" ref="AM1313" ca="1">IF('Banco de Dados'!$AK1313&lt;&gt;"-",_xlfn.IFS('Banco de Dados'!$A1313="bv",IF('Banco de Dados'!$E1313&lt;45641,ROUND(SUM('Banco de Dados'!$R1313*_xlfn.XLOOKUP('Banco de Dados'!$P1313,Sku!B:B,Sku!#REF!)*20%),2),ROUND(SUM('Banco de Dados'!$R1313*_xlfn.XLOOKUP('Banco de Dados'!$P1313,Sku!B:B,Sku!H:H)*20%),2)),'Banco de Dados'!$A1313="GO",ROUND(_xlfn.XLOOKUP('Banco de Dados'!$P1313,Sku!C:C,Sku!H:H),2),'Banco de Dados'!$A1313="MEI",ROUND(_xlfn.XLOOKUP('Banco de Dados'!$P1313,Sku!D:D,Sku!H:H),2)),0)</f>
        <v>0</v>
      </c>
      <c r="AN1313" s="109">
        <f ca="1">IF('Banco de Dados'!$AK1313&lt;&gt;"-",IF('Banco de Dados'!$F1313&lt;&gt;"-",_xlfn.XLOOKUP(IFERROR(IFERROR(IFERROR(VALUE(SUBSTITUTE(MID(_xlfn.TEXTAFTER('Banco de Dados'!$F1313,"Data do Pedido:
",1),1,10),"-","/")),VALUE(SUBSTITUTE(MID(_xlfn.TEXTAFTER('Banco de Dados'!$F1313,"Order date:
",1),1,10),"-","/"))),VALUE(SUBSTITUTE(MID(_xlfn.TEXTAFTER('Banco de Dados'!$F1313,"Fecha de pedido:
",1),1,10),"-","/"))),"-"),SMS!A:A,SMS!K:K),0),0)</f>
        <v>0</v>
      </c>
      <c r="AO1313" s="109">
        <f ca="1">IF('Banco de Dados'!$AK1313&lt;&gt;"-",IF('Banco de Dados'!$F1313&lt;&gt;"-",IFERROR(_xlfn.XLOOKUP(_xlfn.CONCAT('Banco de Dados'!$A1313,IFERROR(IFERROR(VALUE(SUBSTITUTE(MID(_xlfn.TEXTAFTER('Banco de Dados'!$F1313,"Data do Pedido:
",1),1,10),"-","/")),VALUE(SUBSTITUTE(MID(_xlfn.TEXTAFTER('Banco de Dados'!$F1313,"Order date:
",1),1,10),"-","/"))),0)),ProxyDD[Chave],ProxyDD[Valor por pedido]),PROXY!$P$2),0),0)</f>
        <v>0</v>
      </c>
      <c r="AP1313" s="28">
        <f ca="1">IF('Banco de Dados'!$AK1313&lt;&gt;"-",IF('Banco de Dados'!$AL1313="NÃO",IFERROR(VALUE(SUBSTITUTE(_xlfn.TEXTAFTER('Banco de Dados'!$F1313,"BRL ",1),".",",")),0),0),0)</f>
        <v>0</v>
      </c>
      <c r="AQ1313" s="28">
        <f ca="1">SUM('Banco de Dados'!$AM1313:$AP1313)</f>
        <v>0</v>
      </c>
      <c r="AR1313" s="8"/>
      <c r="AY1313" s="8"/>
    </row>
    <row r="1314" spans="1:51">
      <c r="A1314" s="5" t="str">
        <v>BV</v>
      </c>
      <c r="B1314" s="5" t="str">
        <f ca="1"/>
        <v>BV45736</v>
      </c>
      <c r="C1314" s="8" t="str">
        <v>Pedido 1301</v>
      </c>
      <c r="D1314" s="9">
        <v>45733</v>
      </c>
      <c r="E1314" s="9">
        <v>45736</v>
      </c>
      <c r="F1314" s="8" t="str">
        <v>PedidoF1245</v>
      </c>
      <c r="G1314" s="2" t="str">
        <v>CódRastreio1243</v>
      </c>
      <c r="H1314" s="5">
        <v>1</v>
      </c>
      <c r="I1314" s="2" t="str">
        <v>CPF 1267</v>
      </c>
      <c r="J1314" s="2" t="str">
        <v>Nome 1267</v>
      </c>
      <c r="K1314" s="8" t="str">
        <v>Tel 1267</v>
      </c>
      <c r="L1314" s="8" t="str">
        <v>Cep 1267</v>
      </c>
      <c r="M1314" s="8" t="str">
        <v>Rua 1267</v>
      </c>
      <c r="N1314" s="8" t="str">
        <v>Comp 1267</v>
      </c>
      <c r="O1314" s="8" t="str">
        <v>Balança</v>
      </c>
      <c r="P1314" s="8" t="str">
        <v>P4-K63S-8KOM</v>
      </c>
      <c r="Q1314" s="4">
        <v>45759</v>
      </c>
      <c r="R1314" s="109">
        <v>28.99</v>
      </c>
      <c r="S1314" s="11">
        <f ca="1"/>
        <v>28.99</v>
      </c>
      <c r="T1314" s="28">
        <f ca="1"/>
        <v>3.7686999999999999</v>
      </c>
      <c r="U1314" s="11">
        <f ca="1"/>
        <v>25.22</v>
      </c>
      <c r="V1314" s="11">
        <v>14.8</v>
      </c>
      <c r="W1314" s="11">
        <f ca="1"/>
        <v>0.33</v>
      </c>
      <c r="X1314" s="11">
        <f ca="1"/>
        <v>0.39877104377104378</v>
      </c>
      <c r="Y1314" s="11">
        <v>0</v>
      </c>
      <c r="Z1314" s="11">
        <f ca="1"/>
        <v>9.6912289562289544</v>
      </c>
      <c r="AA1314" s="11">
        <f ca="1"/>
        <v>4.8456144781144772</v>
      </c>
      <c r="AB1314" s="4">
        <f ca="1"/>
        <v>45766</v>
      </c>
      <c r="AC1314" s="4">
        <v>45766</v>
      </c>
      <c r="AD1314" s="9">
        <v>45779</v>
      </c>
      <c r="AE1314" s="9">
        <v>45783</v>
      </c>
      <c r="AF1314" s="4" t="str">
        <f t="shared" ca="1" si="84"/>
        <v>2025 04</v>
      </c>
      <c r="AG1314" s="8" t="str" cm="1">
        <f t="array" ref="AG1314">IFERROR(_xlfn.IFS('Banco de Dados'!#REF!="AG. COMPRA","Em processamento",'Banco de Dados'!#REF!="AG. RASTREIO","Em processamento",'Banco de Dados'!$AE1314&lt;&gt;"-","Faturado",'Banco de Dados'!$AD1314&lt;&gt;"-","Aguardando Pix",'Banco de Dados'!$AC1314&lt;&gt;"-","Pendente"),"Aguardando Liberação")</f>
        <v>Aguardando Liberação</v>
      </c>
      <c r="AH1314" s="5" t="str">
        <f>IF('Banco de Dados'!$F1314="-",_xlfn.CONCAT(PROPER(TEXT(AK1314,"aaaa"))," ",PROPER(TEXT(AK1314,"mm"))),_xlfn.CONCAT(PROPER(TEXT(E1314,"aaaa"))," ",PROPER(TEXT(E1314,"mm"))))</f>
        <v>2025 03</v>
      </c>
      <c r="AI1314" s="9" t="str">
        <f ca="1">IF('Banco de Dados'!$AK1314&lt;&gt;"-","REEMBOLSO",IFERROR(_xlfn.XLOOKUP(G1314,Follow[CODRASTREIO],Follow[STATUS]),"-"))</f>
        <v>ENTREGUE</v>
      </c>
      <c r="AJ1314" s="9">
        <f ca="1">IF('Banco de Dados'!$AI1314="ENTREGUE",_xlfn.XLOOKUP('Banco de Dados'!$G1314,Follow[CODRASTREIO],Follow[DATAATUALIZAÇÃO]),"-")</f>
        <v>45750</v>
      </c>
      <c r="AK1314" s="132" t="str">
        <f ca="1"/>
        <v>-</v>
      </c>
      <c r="AL1314" s="35"/>
      <c r="AM1314" s="109" cm="1">
        <f t="array" aca="1" ref="AM1314" ca="1">IF('Banco de Dados'!$AK1314&lt;&gt;"-",_xlfn.IFS('Banco de Dados'!$A1314="bv",IF('Banco de Dados'!$E1314&lt;45641,ROUND(SUM('Banco de Dados'!$R1314*_xlfn.XLOOKUP('Banco de Dados'!$P1314,Sku!B:B,Sku!#REF!)*20%),2),ROUND(SUM('Banco de Dados'!$R1314*_xlfn.XLOOKUP('Banco de Dados'!$P1314,Sku!B:B,Sku!H:H)*20%),2)),'Banco de Dados'!$A1314="GO",ROUND(_xlfn.XLOOKUP('Banco de Dados'!$P1314,Sku!C:C,Sku!H:H),2),'Banco de Dados'!$A1314="MEI",ROUND(_xlfn.XLOOKUP('Banco de Dados'!$P1314,Sku!D:D,Sku!H:H),2)),0)</f>
        <v>0</v>
      </c>
      <c r="AN1314" s="109">
        <f ca="1">IF('Banco de Dados'!$AK1314&lt;&gt;"-",IF('Banco de Dados'!$F1314&lt;&gt;"-",_xlfn.XLOOKUP(IFERROR(IFERROR(IFERROR(VALUE(SUBSTITUTE(MID(_xlfn.TEXTAFTER('Banco de Dados'!$F1314,"Data do Pedido:
",1),1,10),"-","/")),VALUE(SUBSTITUTE(MID(_xlfn.TEXTAFTER('Banco de Dados'!$F1314,"Order date:
",1),1,10),"-","/"))),VALUE(SUBSTITUTE(MID(_xlfn.TEXTAFTER('Banco de Dados'!$F1314,"Fecha de pedido:
",1),1,10),"-","/"))),"-"),SMS!A:A,SMS!K:K),0),0)</f>
        <v>0</v>
      </c>
      <c r="AO1314" s="109">
        <f ca="1">IF('Banco de Dados'!$AK1314&lt;&gt;"-",IF('Banco de Dados'!$F1314&lt;&gt;"-",IFERROR(_xlfn.XLOOKUP(_xlfn.CONCAT('Banco de Dados'!$A1314,IFERROR(IFERROR(VALUE(SUBSTITUTE(MID(_xlfn.TEXTAFTER('Banco de Dados'!$F1314,"Data do Pedido:
",1),1,10),"-","/")),VALUE(SUBSTITUTE(MID(_xlfn.TEXTAFTER('Banco de Dados'!$F1314,"Order date:
",1),1,10),"-","/"))),0)),ProxyDD[Chave],ProxyDD[Valor por pedido]),PROXY!$P$2),0),0)</f>
        <v>0</v>
      </c>
      <c r="AP1314" s="28">
        <f ca="1">IF('Banco de Dados'!$AK1314&lt;&gt;"-",IF('Banco de Dados'!$AL1314="NÃO",IFERROR(VALUE(SUBSTITUTE(_xlfn.TEXTAFTER('Banco de Dados'!$F1314,"BRL ",1),".",",")),0),0),0)</f>
        <v>0</v>
      </c>
      <c r="AQ1314" s="28">
        <f ca="1">SUM('Banco de Dados'!$AM1314:$AP1314)</f>
        <v>0</v>
      </c>
      <c r="AR1314" s="8"/>
      <c r="AY1314" s="8"/>
    </row>
    <row r="1315" spans="1:51">
      <c r="A1315" s="5" t="str">
        <v>BV</v>
      </c>
      <c r="B1315" s="5" t="str">
        <f ca="1"/>
        <v>BV45736</v>
      </c>
      <c r="C1315" s="8" t="str">
        <v>Pedido 1302</v>
      </c>
      <c r="D1315" s="9">
        <v>45734</v>
      </c>
      <c r="E1315" s="9">
        <v>45736</v>
      </c>
      <c r="F1315" s="8" t="str">
        <v>PedidoF1246</v>
      </c>
      <c r="G1315" s="2" t="str">
        <v>CódRastreio1244</v>
      </c>
      <c r="H1315" s="5">
        <v>1</v>
      </c>
      <c r="I1315" s="2" t="str">
        <v>CPF 1268</v>
      </c>
      <c r="J1315" s="2" t="str">
        <v>Nome 1268</v>
      </c>
      <c r="K1315" s="8" t="str">
        <v>Tel 1268</v>
      </c>
      <c r="L1315" s="8" t="str">
        <v>Cep 1268</v>
      </c>
      <c r="M1315" s="8" t="str">
        <v>Rua 1268</v>
      </c>
      <c r="N1315" s="8" t="str">
        <v>Comp 1268</v>
      </c>
      <c r="O1315" s="8" t="str">
        <v>Ventilador Umidificador Preto</v>
      </c>
      <c r="P1315" s="8" t="str">
        <v>HF-SI0F-XC7S</v>
      </c>
      <c r="Q1315" s="4">
        <v>45759</v>
      </c>
      <c r="R1315" s="109">
        <v>44.9</v>
      </c>
      <c r="S1315" s="11">
        <f ca="1"/>
        <v>44.9</v>
      </c>
      <c r="T1315" s="28">
        <f ca="1"/>
        <v>6.2860000000000005</v>
      </c>
      <c r="U1315" s="11">
        <f ca="1"/>
        <v>38.61</v>
      </c>
      <c r="V1315" s="11">
        <v>21.62</v>
      </c>
      <c r="W1315" s="11">
        <f ca="1"/>
        <v>0.33</v>
      </c>
      <c r="X1315" s="11">
        <f ca="1"/>
        <v>0.39877104377104378</v>
      </c>
      <c r="Y1315" s="11">
        <v>0</v>
      </c>
      <c r="Z1315" s="11">
        <f ca="1"/>
        <v>16.261228956228955</v>
      </c>
      <c r="AA1315" s="11">
        <f ca="1"/>
        <v>8.1306144781144774</v>
      </c>
      <c r="AB1315" s="4">
        <f ca="1"/>
        <v>45766</v>
      </c>
      <c r="AC1315" s="4">
        <v>45766</v>
      </c>
      <c r="AD1315" s="9">
        <v>45779</v>
      </c>
      <c r="AE1315" s="9">
        <v>45783</v>
      </c>
      <c r="AF1315" s="4" t="str">
        <f t="shared" ca="1" si="84"/>
        <v>2025 04</v>
      </c>
      <c r="AG1315" s="8" t="str" cm="1">
        <f t="array" ref="AG1315">IFERROR(_xlfn.IFS('Banco de Dados'!#REF!="AG. COMPRA","Em processamento",'Banco de Dados'!#REF!="AG. RASTREIO","Em processamento",'Banco de Dados'!$AE1315&lt;&gt;"-","Faturado",'Banco de Dados'!$AD1315&lt;&gt;"-","Aguardando Pix",'Banco de Dados'!$AC1315&lt;&gt;"-","Pendente"),"Aguardando Liberação")</f>
        <v>Aguardando Liberação</v>
      </c>
      <c r="AH1315" s="5" t="str">
        <f>IF('Banco de Dados'!$F1315="-",_xlfn.CONCAT(PROPER(TEXT(AK1315,"aaaa"))," ",PROPER(TEXT(AK1315,"mm"))),_xlfn.CONCAT(PROPER(TEXT(E1315,"aaaa"))," ",PROPER(TEXT(E1315,"mm"))))</f>
        <v>2025 03</v>
      </c>
      <c r="AI1315" s="9" t="str">
        <f ca="1">IF('Banco de Dados'!$AK1315&lt;&gt;"-","REEMBOLSO",IFERROR(_xlfn.XLOOKUP(G1315,Follow[CODRASTREIO],Follow[STATUS]),"-"))</f>
        <v>ENTREGUE</v>
      </c>
      <c r="AJ1315" s="9">
        <f ca="1">IF('Banco de Dados'!$AI1315="ENTREGUE",_xlfn.XLOOKUP('Banco de Dados'!$G1315,Follow[CODRASTREIO],Follow[DATAATUALIZAÇÃO]),"-")</f>
        <v>45762</v>
      </c>
      <c r="AK1315" s="132" t="str">
        <f ca="1"/>
        <v>-</v>
      </c>
      <c r="AL1315" s="35"/>
      <c r="AM1315" s="109" cm="1">
        <f t="array" aca="1" ref="AM1315" ca="1">IF('Banco de Dados'!$AK1315&lt;&gt;"-",_xlfn.IFS('Banco de Dados'!$A1315="bv",IF('Banco de Dados'!$E1315&lt;45641,ROUND(SUM('Banco de Dados'!$R1315*_xlfn.XLOOKUP('Banco de Dados'!$P1315,Sku!B:B,Sku!#REF!)*20%),2),ROUND(SUM('Banco de Dados'!$R1315*_xlfn.XLOOKUP('Banco de Dados'!$P1315,Sku!B:B,Sku!H:H)*20%),2)),'Banco de Dados'!$A1315="GO",ROUND(_xlfn.XLOOKUP('Banco de Dados'!$P1315,Sku!C:C,Sku!H:H),2),'Banco de Dados'!$A1315="MEI",ROUND(_xlfn.XLOOKUP('Banco de Dados'!$P1315,Sku!D:D,Sku!H:H),2)),0)</f>
        <v>0</v>
      </c>
      <c r="AN1315" s="109">
        <f ca="1">IF('Banco de Dados'!$AK1315&lt;&gt;"-",IF('Banco de Dados'!$F1315&lt;&gt;"-",_xlfn.XLOOKUP(IFERROR(IFERROR(IFERROR(VALUE(SUBSTITUTE(MID(_xlfn.TEXTAFTER('Banco de Dados'!$F1315,"Data do Pedido:
",1),1,10),"-","/")),VALUE(SUBSTITUTE(MID(_xlfn.TEXTAFTER('Banco de Dados'!$F1315,"Order date:
",1),1,10),"-","/"))),VALUE(SUBSTITUTE(MID(_xlfn.TEXTAFTER('Banco de Dados'!$F1315,"Fecha de pedido:
",1),1,10),"-","/"))),"-"),SMS!A:A,SMS!K:K),0),0)</f>
        <v>0</v>
      </c>
      <c r="AO1315" s="109">
        <f ca="1">IF('Banco de Dados'!$AK1315&lt;&gt;"-",IF('Banco de Dados'!$F1315&lt;&gt;"-",IFERROR(_xlfn.XLOOKUP(_xlfn.CONCAT('Banco de Dados'!$A1315,IFERROR(IFERROR(VALUE(SUBSTITUTE(MID(_xlfn.TEXTAFTER('Banco de Dados'!$F1315,"Data do Pedido:
",1),1,10),"-","/")),VALUE(SUBSTITUTE(MID(_xlfn.TEXTAFTER('Banco de Dados'!$F1315,"Order date:
",1),1,10),"-","/"))),0)),ProxyDD[Chave],ProxyDD[Valor por pedido]),PROXY!$P$2),0),0)</f>
        <v>0</v>
      </c>
      <c r="AP1315" s="28">
        <f ca="1">IF('Banco de Dados'!$AK1315&lt;&gt;"-",IF('Banco de Dados'!$AL1315="NÃO",IFERROR(VALUE(SUBSTITUTE(_xlfn.TEXTAFTER('Banco de Dados'!$F1315,"BRL ",1),".",",")),0),0),0)</f>
        <v>0</v>
      </c>
      <c r="AQ1315" s="28">
        <f ca="1">SUM('Banco de Dados'!$AM1315:$AP1315)</f>
        <v>0</v>
      </c>
      <c r="AR1315" s="8"/>
      <c r="AY1315" s="8"/>
    </row>
    <row r="1316" spans="1:51">
      <c r="A1316" s="5" t="str">
        <v>BV</v>
      </c>
      <c r="B1316" s="5" t="str">
        <f ca="1"/>
        <v>BV45736</v>
      </c>
      <c r="C1316" s="8" t="str">
        <v>Pedido 1303</v>
      </c>
      <c r="D1316" s="9">
        <v>45734</v>
      </c>
      <c r="E1316" s="9">
        <v>45736</v>
      </c>
      <c r="F1316" s="8" t="str">
        <v>PedidoF1247</v>
      </c>
      <c r="G1316" s="2" t="str">
        <v>CódRastreio1245</v>
      </c>
      <c r="H1316" s="5">
        <v>1</v>
      </c>
      <c r="I1316" s="2" t="str">
        <v>CPF 1269</v>
      </c>
      <c r="J1316" s="2" t="str">
        <v>Nome 1269</v>
      </c>
      <c r="K1316" s="8" t="str">
        <v>Tel 1269</v>
      </c>
      <c r="L1316" s="8" t="str">
        <v>Cep 1269</v>
      </c>
      <c r="M1316" s="8" t="str">
        <v>Rua 1269</v>
      </c>
      <c r="N1316" s="8" t="str">
        <v>Comp 1269</v>
      </c>
      <c r="O1316" s="8" t="str">
        <v>Balança</v>
      </c>
      <c r="P1316" s="8" t="str">
        <v>P4-K63S-8KOM</v>
      </c>
      <c r="Q1316" s="4">
        <v>45755</v>
      </c>
      <c r="R1316" s="109">
        <v>28.99</v>
      </c>
      <c r="S1316" s="11">
        <f ca="1"/>
        <v>28.99</v>
      </c>
      <c r="T1316" s="28">
        <f ca="1"/>
        <v>3.7686999999999999</v>
      </c>
      <c r="U1316" s="11">
        <f ca="1"/>
        <v>25.22</v>
      </c>
      <c r="V1316" s="11">
        <v>14.8</v>
      </c>
      <c r="W1316" s="11">
        <f ca="1"/>
        <v>0.33</v>
      </c>
      <c r="X1316" s="11">
        <f ca="1"/>
        <v>0.39877104377104378</v>
      </c>
      <c r="Y1316" s="11">
        <v>0</v>
      </c>
      <c r="Z1316" s="11">
        <f ca="1"/>
        <v>9.6912289562289544</v>
      </c>
      <c r="AA1316" s="11">
        <f ca="1"/>
        <v>4.8456144781144772</v>
      </c>
      <c r="AB1316" s="4">
        <f ca="1"/>
        <v>45762</v>
      </c>
      <c r="AC1316" s="4">
        <v>45762</v>
      </c>
      <c r="AD1316" s="9">
        <v>45762</v>
      </c>
      <c r="AE1316" s="9">
        <v>45763</v>
      </c>
      <c r="AF1316" s="4" t="str">
        <f t="shared" ca="1" si="84"/>
        <v>2025 04</v>
      </c>
      <c r="AG1316" s="8" t="str" cm="1">
        <f t="array" ref="AG1316">IFERROR(_xlfn.IFS('Banco de Dados'!#REF!="AG. COMPRA","Em processamento",'Banco de Dados'!#REF!="AG. RASTREIO","Em processamento",'Banco de Dados'!$AE1316&lt;&gt;"-","Faturado",'Banco de Dados'!$AD1316&lt;&gt;"-","Aguardando Pix",'Banco de Dados'!$AC1316&lt;&gt;"-","Pendente"),"Aguardando Liberação")</f>
        <v>Aguardando Liberação</v>
      </c>
      <c r="AH1316" s="5" t="str">
        <f>IF('Banco de Dados'!$F1316="-",_xlfn.CONCAT(PROPER(TEXT(AK1316,"aaaa"))," ",PROPER(TEXT(AK1316,"mm"))),_xlfn.CONCAT(PROPER(TEXT(E1316,"aaaa"))," ",PROPER(TEXT(E1316,"mm"))))</f>
        <v>2025 03</v>
      </c>
      <c r="AI1316" s="9" t="str">
        <f ca="1">IF('Banco de Dados'!$AK1316&lt;&gt;"-","REEMBOLSO",IFERROR(_xlfn.XLOOKUP(G1316,Follow[CODRASTREIO],Follow[STATUS]),"-"))</f>
        <v>ENTREGUE</v>
      </c>
      <c r="AJ1316" s="9">
        <f ca="1">IF('Banco de Dados'!$AI1316="ENTREGUE",_xlfn.XLOOKUP('Banco de Dados'!$G1316,Follow[CODRASTREIO],Follow[DATAATUALIZAÇÃO]),"-")</f>
        <v>45744</v>
      </c>
      <c r="AK1316" s="132" t="str">
        <f ca="1"/>
        <v>-</v>
      </c>
      <c r="AL1316" s="35"/>
      <c r="AM1316" s="109" cm="1">
        <f t="array" aca="1" ref="AM1316" ca="1">IF('Banco de Dados'!$AK1316&lt;&gt;"-",_xlfn.IFS('Banco de Dados'!$A1316="bv",IF('Banco de Dados'!$E1316&lt;45641,ROUND(SUM('Banco de Dados'!$R1316*_xlfn.XLOOKUP('Banco de Dados'!$P1316,Sku!B:B,Sku!#REF!)*20%),2),ROUND(SUM('Banco de Dados'!$R1316*_xlfn.XLOOKUP('Banco de Dados'!$P1316,Sku!B:B,Sku!H:H)*20%),2)),'Banco de Dados'!$A1316="GO",ROUND(_xlfn.XLOOKUP('Banco de Dados'!$P1316,Sku!C:C,Sku!H:H),2),'Banco de Dados'!$A1316="MEI",ROUND(_xlfn.XLOOKUP('Banco de Dados'!$P1316,Sku!D:D,Sku!H:H),2)),0)</f>
        <v>0</v>
      </c>
      <c r="AN1316" s="109">
        <f ca="1">IF('Banco de Dados'!$AK1316&lt;&gt;"-",IF('Banco de Dados'!$F1316&lt;&gt;"-",_xlfn.XLOOKUP(IFERROR(IFERROR(IFERROR(VALUE(SUBSTITUTE(MID(_xlfn.TEXTAFTER('Banco de Dados'!$F1316,"Data do Pedido:
",1),1,10),"-","/")),VALUE(SUBSTITUTE(MID(_xlfn.TEXTAFTER('Banco de Dados'!$F1316,"Order date:
",1),1,10),"-","/"))),VALUE(SUBSTITUTE(MID(_xlfn.TEXTAFTER('Banco de Dados'!$F1316,"Fecha de pedido:
",1),1,10),"-","/"))),"-"),SMS!A:A,SMS!K:K),0),0)</f>
        <v>0</v>
      </c>
      <c r="AO1316" s="109">
        <f ca="1">IF('Banco de Dados'!$AK1316&lt;&gt;"-",IF('Banco de Dados'!$F1316&lt;&gt;"-",IFERROR(_xlfn.XLOOKUP(_xlfn.CONCAT('Banco de Dados'!$A1316,IFERROR(IFERROR(VALUE(SUBSTITUTE(MID(_xlfn.TEXTAFTER('Banco de Dados'!$F1316,"Data do Pedido:
",1),1,10),"-","/")),VALUE(SUBSTITUTE(MID(_xlfn.TEXTAFTER('Banco de Dados'!$F1316,"Order date:
",1),1,10),"-","/"))),0)),ProxyDD[Chave],ProxyDD[Valor por pedido]),PROXY!$P$2),0),0)</f>
        <v>0</v>
      </c>
      <c r="AP1316" s="28">
        <f ca="1">IF('Banco de Dados'!$AK1316&lt;&gt;"-",IF('Banco de Dados'!$AL1316="NÃO",IFERROR(VALUE(SUBSTITUTE(_xlfn.TEXTAFTER('Banco de Dados'!$F1316,"BRL ",1),".",",")),0),0),0)</f>
        <v>0</v>
      </c>
      <c r="AQ1316" s="28">
        <f ca="1">SUM('Banco de Dados'!$AM1316:$AP1316)</f>
        <v>0</v>
      </c>
      <c r="AR1316" s="8"/>
      <c r="AY1316" s="8"/>
    </row>
    <row r="1317" spans="1:51">
      <c r="A1317" s="5" t="str">
        <v>BV</v>
      </c>
      <c r="B1317" s="5" t="str">
        <f ca="1"/>
        <v>BV45736</v>
      </c>
      <c r="C1317" s="8" t="str">
        <v>Pedido 1304</v>
      </c>
      <c r="D1317" s="9">
        <v>45733</v>
      </c>
      <c r="E1317" s="9">
        <v>45736</v>
      </c>
      <c r="F1317" s="8" t="str">
        <v>PedidoF1248</v>
      </c>
      <c r="G1317" s="2" t="str">
        <v>CódRastreio1246</v>
      </c>
      <c r="H1317" s="5">
        <v>1</v>
      </c>
      <c r="I1317" s="2" t="str">
        <v>CPF 1270</v>
      </c>
      <c r="J1317" s="2" t="str">
        <v>Nome 1270</v>
      </c>
      <c r="K1317" s="8" t="str">
        <v>Tel 1270</v>
      </c>
      <c r="L1317" s="8" t="str">
        <v>Cep 1270</v>
      </c>
      <c r="M1317" s="8" t="str">
        <v>Rua 1270</v>
      </c>
      <c r="N1317" s="8" t="str">
        <v>Comp 1270</v>
      </c>
      <c r="O1317" s="8" t="str">
        <v>Lampada Led</v>
      </c>
      <c r="P1317" s="8" t="str">
        <v>RB-W251-UXV2</v>
      </c>
      <c r="Q1317" s="4">
        <v>45755</v>
      </c>
      <c r="R1317" s="109">
        <v>26.99</v>
      </c>
      <c r="S1317" s="11">
        <f ca="1"/>
        <v>26.99</v>
      </c>
      <c r="T1317" s="28">
        <f ca="1"/>
        <v>3.5086999999999997</v>
      </c>
      <c r="U1317" s="11">
        <f ca="1"/>
        <v>23.48</v>
      </c>
      <c r="V1317" s="11">
        <v>10.18</v>
      </c>
      <c r="W1317" s="11">
        <f ca="1"/>
        <v>0.33</v>
      </c>
      <c r="X1317" s="11">
        <f ca="1"/>
        <v>0.39877104377104378</v>
      </c>
      <c r="Y1317" s="11">
        <v>0</v>
      </c>
      <c r="Z1317" s="11">
        <f ca="1"/>
        <v>12.571228956228957</v>
      </c>
      <c r="AA1317" s="11">
        <f ca="1"/>
        <v>6.2856144781144785</v>
      </c>
      <c r="AB1317" s="4">
        <f ca="1"/>
        <v>45762</v>
      </c>
      <c r="AC1317" s="4">
        <v>45762</v>
      </c>
      <c r="AD1317" s="9">
        <v>45762</v>
      </c>
      <c r="AE1317" s="9">
        <v>45763</v>
      </c>
      <c r="AF1317" s="4" t="str">
        <f t="shared" ca="1" si="84"/>
        <v>2025 04</v>
      </c>
      <c r="AG1317" s="8" t="str" cm="1">
        <f t="array" ref="AG1317">IFERROR(_xlfn.IFS('Banco de Dados'!#REF!="AG. COMPRA","Em processamento",'Banco de Dados'!#REF!="AG. RASTREIO","Em processamento",'Banco de Dados'!$AE1317&lt;&gt;"-","Faturado",'Banco de Dados'!$AD1317&lt;&gt;"-","Aguardando Pix",'Banco de Dados'!$AC1317&lt;&gt;"-","Pendente"),"Aguardando Liberação")</f>
        <v>Aguardando Liberação</v>
      </c>
      <c r="AH1317" s="5" t="str">
        <f>IF('Banco de Dados'!$F1317="-",_xlfn.CONCAT(PROPER(TEXT(AK1317,"aaaa"))," ",PROPER(TEXT(AK1317,"mm"))),_xlfn.CONCAT(PROPER(TEXT(E1317,"aaaa"))," ",PROPER(TEXT(E1317,"mm"))))</f>
        <v>2025 03</v>
      </c>
      <c r="AI1317" s="9" t="str">
        <f ca="1">IF('Banco de Dados'!$AK1317&lt;&gt;"-","REEMBOLSO",IFERROR(_xlfn.XLOOKUP(G1317,Follow[CODRASTREIO],Follow[STATUS]),"-"))</f>
        <v>ENTREGUE</v>
      </c>
      <c r="AJ1317" s="9">
        <f ca="1">IF('Banco de Dados'!$AI1317="ENTREGUE",_xlfn.XLOOKUP('Banco de Dados'!$G1317,Follow[CODRASTREIO],Follow[DATAATUALIZAÇÃO]),"-")</f>
        <v>45754</v>
      </c>
      <c r="AK1317" s="132" t="str">
        <f ca="1"/>
        <v>-</v>
      </c>
      <c r="AL1317" s="35"/>
      <c r="AM1317" s="109" cm="1">
        <f t="array" aca="1" ref="AM1317" ca="1">IF('Banco de Dados'!$AK1317&lt;&gt;"-",_xlfn.IFS('Banco de Dados'!$A1317="bv",IF('Banco de Dados'!$E1317&lt;45641,ROUND(SUM('Banco de Dados'!$R1317*_xlfn.XLOOKUP('Banco de Dados'!$P1317,Sku!B:B,Sku!#REF!)*20%),2),ROUND(SUM('Banco de Dados'!$R1317*_xlfn.XLOOKUP('Banco de Dados'!$P1317,Sku!B:B,Sku!H:H)*20%),2)),'Banco de Dados'!$A1317="GO",ROUND(_xlfn.XLOOKUP('Banco de Dados'!$P1317,Sku!C:C,Sku!H:H),2),'Banco de Dados'!$A1317="MEI",ROUND(_xlfn.XLOOKUP('Banco de Dados'!$P1317,Sku!D:D,Sku!H:H),2)),0)</f>
        <v>0</v>
      </c>
      <c r="AN1317" s="109">
        <f ca="1">IF('Banco de Dados'!$AK1317&lt;&gt;"-",IF('Banco de Dados'!$F1317&lt;&gt;"-",_xlfn.XLOOKUP(IFERROR(IFERROR(IFERROR(VALUE(SUBSTITUTE(MID(_xlfn.TEXTAFTER('Banco de Dados'!$F1317,"Data do Pedido:
",1),1,10),"-","/")),VALUE(SUBSTITUTE(MID(_xlfn.TEXTAFTER('Banco de Dados'!$F1317,"Order date:
",1),1,10),"-","/"))),VALUE(SUBSTITUTE(MID(_xlfn.TEXTAFTER('Banco de Dados'!$F1317,"Fecha de pedido:
",1),1,10),"-","/"))),"-"),SMS!A:A,SMS!K:K),0),0)</f>
        <v>0</v>
      </c>
      <c r="AO1317" s="109">
        <f ca="1">IF('Banco de Dados'!$AK1317&lt;&gt;"-",IF('Banco de Dados'!$F1317&lt;&gt;"-",IFERROR(_xlfn.XLOOKUP(_xlfn.CONCAT('Banco de Dados'!$A1317,IFERROR(IFERROR(VALUE(SUBSTITUTE(MID(_xlfn.TEXTAFTER('Banco de Dados'!$F1317,"Data do Pedido:
",1),1,10),"-","/")),VALUE(SUBSTITUTE(MID(_xlfn.TEXTAFTER('Banco de Dados'!$F1317,"Order date:
",1),1,10),"-","/"))),0)),ProxyDD[Chave],ProxyDD[Valor por pedido]),PROXY!$P$2),0),0)</f>
        <v>0</v>
      </c>
      <c r="AP1317" s="28">
        <f ca="1">IF('Banco de Dados'!$AK1317&lt;&gt;"-",IF('Banco de Dados'!$AL1317="NÃO",IFERROR(VALUE(SUBSTITUTE(_xlfn.TEXTAFTER('Banco de Dados'!$F1317,"BRL ",1),".",",")),0),0),0)</f>
        <v>0</v>
      </c>
      <c r="AQ1317" s="28">
        <f ca="1">SUM('Banco de Dados'!$AM1317:$AP1317)</f>
        <v>0</v>
      </c>
      <c r="AR1317" s="8"/>
      <c r="AY1317" s="8"/>
    </row>
    <row r="1318" spans="1:51">
      <c r="A1318" s="5" t="str">
        <v>MEI</v>
      </c>
      <c r="B1318" s="5" t="str">
        <f ca="1"/>
        <v>MEI45737</v>
      </c>
      <c r="C1318" s="8" t="str">
        <v>Pedido 1305</v>
      </c>
      <c r="D1318" s="187">
        <v>45734</v>
      </c>
      <c r="E1318" s="9">
        <v>45737</v>
      </c>
      <c r="F1318" s="8" t="str">
        <v>PedidoF1249</v>
      </c>
      <c r="G1318" s="2" t="str">
        <v>CódRastreio1247</v>
      </c>
      <c r="H1318" s="5">
        <v>1</v>
      </c>
      <c r="I1318" s="2" t="str">
        <v>CPF 1271</v>
      </c>
      <c r="J1318" s="2" t="str">
        <v>Nome 1271</v>
      </c>
      <c r="K1318" s="8" t="str">
        <v>Tel 1271</v>
      </c>
      <c r="L1318" s="8" t="str">
        <v>Cep 1271</v>
      </c>
      <c r="M1318" s="8" t="str">
        <v>Rua 1271</v>
      </c>
      <c r="N1318" s="8" t="str">
        <v>Comp 1271</v>
      </c>
      <c r="O1318" s="8" t="str">
        <v>Máquina de cortar cabelo dragão</v>
      </c>
      <c r="P1318" s="8" t="str">
        <v>RX-DD1P-P5U2</v>
      </c>
      <c r="Q1318" s="4">
        <v>45765</v>
      </c>
      <c r="R1318" s="109">
        <v>24.8</v>
      </c>
      <c r="S1318" s="11">
        <f ca="1"/>
        <v>24.8</v>
      </c>
      <c r="T1318" s="28">
        <f ca="1"/>
        <v>2.976</v>
      </c>
      <c r="U1318" s="11">
        <f ca="1"/>
        <v>21.82</v>
      </c>
      <c r="V1318" s="11">
        <v>10.17</v>
      </c>
      <c r="W1318" s="11">
        <f ca="1"/>
        <v>0.2</v>
      </c>
      <c r="X1318" s="11">
        <f ca="1"/>
        <v>0.39877104377104378</v>
      </c>
      <c r="Y1318" s="11">
        <v>0</v>
      </c>
      <c r="Z1318" s="11">
        <f ca="1"/>
        <v>11.051228956228957</v>
      </c>
      <c r="AA1318" s="11">
        <f ca="1"/>
        <v>5.5256144781144787</v>
      </c>
      <c r="AB1318" s="4">
        <f ca="1"/>
        <v>45772</v>
      </c>
      <c r="AC1318" s="4">
        <v>45772</v>
      </c>
      <c r="AD1318" s="9">
        <v>45779</v>
      </c>
      <c r="AE1318" s="9">
        <v>45783</v>
      </c>
      <c r="AF1318" s="4" t="str">
        <f t="shared" ca="1" si="84"/>
        <v>2025 04</v>
      </c>
      <c r="AG1318" s="8" t="str" cm="1">
        <f t="array" ref="AG1318">IFERROR(_xlfn.IFS('Banco de Dados'!#REF!="AG. COMPRA","Em processamento",'Banco de Dados'!#REF!="AG. RASTREIO","Em processamento",'Banco de Dados'!$AE1318&lt;&gt;"-","Faturado",'Banco de Dados'!$AD1318&lt;&gt;"-","Aguardando Pix",'Banco de Dados'!$AC1318&lt;&gt;"-","Pendente"),"Aguardando Liberação")</f>
        <v>Aguardando Liberação</v>
      </c>
      <c r="AH1318" s="5" t="str">
        <f>IF('Banco de Dados'!$F1318="-",_xlfn.CONCAT(PROPER(TEXT(AK1318,"aaaa"))," ",PROPER(TEXT(AK1318,"mm"))),_xlfn.CONCAT(PROPER(TEXT(E1318,"aaaa"))," ",PROPER(TEXT(E1318,"mm"))))</f>
        <v>2025 03</v>
      </c>
      <c r="AI1318" s="9" t="str">
        <f ca="1">IF('Banco de Dados'!$AK1318&lt;&gt;"-","REEMBOLSO",IFERROR(_xlfn.XLOOKUP(G1318,Follow[CODRASTREIO],Follow[STATUS]),"-"))</f>
        <v>ENTREGUE</v>
      </c>
      <c r="AJ1318" s="9">
        <f ca="1">IF('Banco de Dados'!$AI1318="ENTREGUE",_xlfn.XLOOKUP('Banco de Dados'!$G1318,Follow[CODRASTREIO],Follow[DATAATUALIZAÇÃO]),"-")</f>
        <v>45755</v>
      </c>
      <c r="AK1318" s="132" t="str">
        <f ca="1"/>
        <v>-</v>
      </c>
      <c r="AL1318" s="35"/>
      <c r="AM1318" s="109" cm="1">
        <f t="array" aca="1" ref="AM1318" ca="1">IF('Banco de Dados'!$AK1318&lt;&gt;"-",_xlfn.IFS('Banco de Dados'!$A1318="bv",IF('Banco de Dados'!$E1318&lt;45641,ROUND(SUM('Banco de Dados'!$R1318*_xlfn.XLOOKUP('Banco de Dados'!$P1318,Sku!B:B,Sku!#REF!)*20%),2),ROUND(SUM('Banco de Dados'!$R1318*_xlfn.XLOOKUP('Banco de Dados'!$P1318,Sku!B:B,Sku!H:H)*20%),2)),'Banco de Dados'!$A1318="GO",ROUND(SUM('Banco de Dados'!$R1318*_xlfn.XLOOKUP('Banco de Dados'!$P1318,Sku!C:C,Sku!H:H)*20%),2),'Banco de Dados'!$A1318="MEI",ROUND(SUM('Banco de Dados'!$R1318*_xlfn.XLOOKUP('Banco de Dados'!$P1318,Sku!D:D,Sku!H:H)*20%),2)),0)</f>
        <v>0</v>
      </c>
      <c r="AN1318" s="109">
        <f ca="1">IF('Banco de Dados'!$AK1318&lt;&gt;"-",IF('Banco de Dados'!$F1318&lt;&gt;"-",_xlfn.XLOOKUP(IFERROR(IFERROR(IFERROR(VALUE(SUBSTITUTE(MID(_xlfn.TEXTAFTER('Banco de Dados'!$F1318,"Data do Pedido:
",1),1,10),"-","/")),VALUE(SUBSTITUTE(MID(_xlfn.TEXTAFTER('Banco de Dados'!$F1318,"Order date:
",1),1,10),"-","/"))),VALUE(SUBSTITUTE(MID(_xlfn.TEXTAFTER('Banco de Dados'!$F1318,"Fecha de pedido:
",1),1,10),"-","/"))),"-"),SMS!A:A,SMS!K:K),0),0)</f>
        <v>0</v>
      </c>
      <c r="AO1318" s="109">
        <f ca="1">IF('Banco de Dados'!$AK1318&lt;&gt;"-",IF('Banco de Dados'!$F1318&lt;&gt;"-",IFERROR(_xlfn.XLOOKUP(_xlfn.CONCAT('Banco de Dados'!$A1318,IFERROR(IFERROR(VALUE(SUBSTITUTE(MID(_xlfn.TEXTAFTER('Banco de Dados'!$F1318,"Data do Pedido:
",1),1,10),"-","/")),VALUE(SUBSTITUTE(MID(_xlfn.TEXTAFTER('Banco de Dados'!$F1318,"Order date:
",1),1,10),"-","/"))),0)),ProxyDD[Chave],ProxyDD[Valor por pedido]),PROXY!$P$2),0),0)</f>
        <v>0</v>
      </c>
      <c r="AP1318" s="28">
        <f ca="1">IF('Banco de Dados'!$AK1318&lt;&gt;"-",IF('Banco de Dados'!$AL1318="NÃO",IFERROR(VALUE(SUBSTITUTE(_xlfn.TEXTAFTER('Banco de Dados'!$F1318,"BRL ",1),".",",")),0),0),0)</f>
        <v>0</v>
      </c>
      <c r="AQ1318" s="28">
        <f ca="1">SUM('Banco de Dados'!$AM1318:$AP1318)</f>
        <v>0</v>
      </c>
      <c r="AR1318" s="8"/>
      <c r="AY1318" s="8"/>
    </row>
    <row r="1319" spans="1:51">
      <c r="A1319" s="5" t="str">
        <v>MEI</v>
      </c>
      <c r="B1319" s="5" t="str">
        <f ca="1"/>
        <v>MEI45737</v>
      </c>
      <c r="C1319" s="8" t="str">
        <v>Pedido 1306</v>
      </c>
      <c r="D1319" s="187">
        <v>45734</v>
      </c>
      <c r="E1319" s="9">
        <v>45737</v>
      </c>
      <c r="F1319" s="8" t="str">
        <v>PedidoF1250</v>
      </c>
      <c r="G1319" s="2" t="str">
        <v>CódRastreio1248</v>
      </c>
      <c r="H1319" s="5">
        <v>1</v>
      </c>
      <c r="I1319" s="2" t="str">
        <v>CPF 1272</v>
      </c>
      <c r="J1319" s="2" t="str">
        <v>Nome 1272</v>
      </c>
      <c r="K1319" s="8" t="str">
        <v>Tel 1272</v>
      </c>
      <c r="L1319" s="8" t="str">
        <v>Cep 1272</v>
      </c>
      <c r="M1319" s="8" t="str">
        <v>Rua 1272</v>
      </c>
      <c r="N1319" s="8" t="str">
        <v>Comp 1272</v>
      </c>
      <c r="O1319" s="8" t="str">
        <v>Máquina de cortar cabelo dragão</v>
      </c>
      <c r="P1319" s="8" t="str">
        <v>RX-DD1P-P5U2</v>
      </c>
      <c r="Q1319" s="4">
        <v>45752</v>
      </c>
      <c r="R1319" s="109">
        <v>24.8</v>
      </c>
      <c r="S1319" s="11">
        <f ca="1"/>
        <v>24.8</v>
      </c>
      <c r="T1319" s="28">
        <f ca="1"/>
        <v>2.976</v>
      </c>
      <c r="U1319" s="11">
        <f ca="1"/>
        <v>21.82</v>
      </c>
      <c r="V1319" s="11">
        <v>10.17</v>
      </c>
      <c r="W1319" s="11">
        <f ca="1"/>
        <v>0.2</v>
      </c>
      <c r="X1319" s="11">
        <f ca="1"/>
        <v>0.39877104377104378</v>
      </c>
      <c r="Y1319" s="11">
        <v>0</v>
      </c>
      <c r="Z1319" s="11">
        <f ca="1"/>
        <v>11.051228956228957</v>
      </c>
      <c r="AA1319" s="11">
        <f ca="1"/>
        <v>5.5256144781144787</v>
      </c>
      <c r="AB1319" s="4">
        <f ca="1"/>
        <v>45759</v>
      </c>
      <c r="AC1319" s="4">
        <v>45759</v>
      </c>
      <c r="AD1319" s="9">
        <v>45762</v>
      </c>
      <c r="AE1319" s="9">
        <v>45763</v>
      </c>
      <c r="AF1319" s="4" t="str">
        <f t="shared" ca="1" si="84"/>
        <v>2025 04</v>
      </c>
      <c r="AG1319" s="8" t="str" cm="1">
        <f t="array" ref="AG1319">IFERROR(_xlfn.IFS('Banco de Dados'!#REF!="AG. COMPRA","Em processamento",'Banco de Dados'!#REF!="AG. RASTREIO","Em processamento",'Banco de Dados'!$AE1319&lt;&gt;"-","Faturado",'Banco de Dados'!$AD1319&lt;&gt;"-","Aguardando Pix",'Banco de Dados'!$AC1319&lt;&gt;"-","Pendente"),"Aguardando Liberação")</f>
        <v>Aguardando Liberação</v>
      </c>
      <c r="AH1319" s="5" t="str">
        <f>IF('Banco de Dados'!$F1319="-",_xlfn.CONCAT(PROPER(TEXT(AK1319,"aaaa"))," ",PROPER(TEXT(AK1319,"mm"))),_xlfn.CONCAT(PROPER(TEXT(E1319,"aaaa"))," ",PROPER(TEXT(E1319,"mm"))))</f>
        <v>2025 03</v>
      </c>
      <c r="AI1319" s="9" t="str">
        <f ca="1">IF('Banco de Dados'!$AK1319&lt;&gt;"-","REEMBOLSO",IFERROR(_xlfn.XLOOKUP(G1319,Follow[CODRASTREIO],Follow[STATUS]),"-"))</f>
        <v>ENTREGUE</v>
      </c>
      <c r="AJ1319" s="9">
        <f ca="1">IF('Banco de Dados'!$AI1319="ENTREGUE",_xlfn.XLOOKUP('Banco de Dados'!$G1319,Follow[CODRASTREIO],Follow[DATAATUALIZAÇÃO]),"-")</f>
        <v>45754</v>
      </c>
      <c r="AK1319" s="132" t="str">
        <f ca="1"/>
        <v>-</v>
      </c>
      <c r="AL1319" s="35"/>
      <c r="AM1319" s="109" cm="1">
        <f t="array" aca="1" ref="AM1319" ca="1">IF('Banco de Dados'!$AK1319&lt;&gt;"-",_xlfn.IFS('Banco de Dados'!$A1319="bv",IF('Banco de Dados'!$E1319&lt;45641,ROUND(SUM('Banco de Dados'!$R1319*_xlfn.XLOOKUP('Banco de Dados'!$P1319,Sku!B:B,Sku!#REF!)*20%),2),ROUND(SUM('Banco de Dados'!$R1319*_xlfn.XLOOKUP('Banco de Dados'!$P1319,Sku!B:B,Sku!H:H)*20%),2)),'Banco de Dados'!$A1319="GO",ROUND(SUM('Banco de Dados'!$R1319*_xlfn.XLOOKUP('Banco de Dados'!$P1319,Sku!C:C,Sku!H:H)*20%),2),'Banco de Dados'!$A1319="MEI",ROUND(SUM('Banco de Dados'!$R1319*_xlfn.XLOOKUP('Banco de Dados'!$P1319,Sku!D:D,Sku!H:H)*20%),2)),0)</f>
        <v>0</v>
      </c>
      <c r="AN1319" s="109">
        <f ca="1">IF('Banco de Dados'!$AK1319&lt;&gt;"-",IF('Banco de Dados'!$F1319&lt;&gt;"-",_xlfn.XLOOKUP(IFERROR(IFERROR(IFERROR(VALUE(SUBSTITUTE(MID(_xlfn.TEXTAFTER('Banco de Dados'!$F1319,"Data do Pedido:
",1),1,10),"-","/")),VALUE(SUBSTITUTE(MID(_xlfn.TEXTAFTER('Banco de Dados'!$F1319,"Order date:
",1),1,10),"-","/"))),VALUE(SUBSTITUTE(MID(_xlfn.TEXTAFTER('Banco de Dados'!$F1319,"Fecha de pedido:
",1),1,10),"-","/"))),"-"),SMS!A:A,SMS!K:K),0),0)</f>
        <v>0</v>
      </c>
      <c r="AO1319" s="109">
        <f ca="1">IF('Banco de Dados'!$AK1319&lt;&gt;"-",IF('Banco de Dados'!$F1319&lt;&gt;"-",IFERROR(_xlfn.XLOOKUP(_xlfn.CONCAT('Banco de Dados'!$A1319,IFERROR(IFERROR(VALUE(SUBSTITUTE(MID(_xlfn.TEXTAFTER('Banco de Dados'!$F1319,"Data do Pedido:
",1),1,10),"-","/")),VALUE(SUBSTITUTE(MID(_xlfn.TEXTAFTER('Banco de Dados'!$F1319,"Order date:
",1),1,10),"-","/"))),0)),ProxyDD[Chave],ProxyDD[Valor por pedido]),PROXY!$P$2),0),0)</f>
        <v>0</v>
      </c>
      <c r="AP1319" s="28">
        <f ca="1">IF('Banco de Dados'!$AK1319&lt;&gt;"-",IF('Banco de Dados'!$AL1319="NÃO",IFERROR(VALUE(SUBSTITUTE(_xlfn.TEXTAFTER('Banco de Dados'!$F1319,"BRL ",1),".",",")),0),0),0)</f>
        <v>0</v>
      </c>
      <c r="AQ1319" s="28">
        <f ca="1">SUM('Banco de Dados'!$AM1319:$AP1319)</f>
        <v>0</v>
      </c>
      <c r="AR1319" s="8"/>
      <c r="AY1319" s="8"/>
    </row>
    <row r="1320" spans="1:51">
      <c r="A1320" s="5" t="str">
        <v>MEI</v>
      </c>
      <c r="B1320" s="5" t="str">
        <f ca="1"/>
        <v>MEI45737</v>
      </c>
      <c r="C1320" s="8" t="str">
        <v>Pedido 1307</v>
      </c>
      <c r="D1320" s="187">
        <v>45734</v>
      </c>
      <c r="E1320" s="9">
        <v>45737</v>
      </c>
      <c r="F1320" s="8" t="str">
        <v>PedidoF1251</v>
      </c>
      <c r="G1320" s="2" t="str">
        <v>CódRastreio1249</v>
      </c>
      <c r="H1320" s="5">
        <v>1</v>
      </c>
      <c r="I1320" s="2" t="str">
        <v>CPF 1273</v>
      </c>
      <c r="J1320" s="2" t="str">
        <v>Nome 1273</v>
      </c>
      <c r="K1320" s="8" t="str">
        <v>Tel 1273</v>
      </c>
      <c r="L1320" s="8" t="str">
        <v>Cep 1273</v>
      </c>
      <c r="M1320" s="8" t="str">
        <v>Rua 1273</v>
      </c>
      <c r="N1320" s="8" t="str">
        <v>Comp 1273</v>
      </c>
      <c r="O1320" s="8" t="str">
        <v>Máquina de cortar cabelo dragão</v>
      </c>
      <c r="P1320" s="8" t="str">
        <v>RX-DD1P-P5U2</v>
      </c>
      <c r="Q1320" s="4">
        <v>45770</v>
      </c>
      <c r="R1320" s="109">
        <v>24.8</v>
      </c>
      <c r="S1320" s="11">
        <f ca="1"/>
        <v>24.8</v>
      </c>
      <c r="T1320" s="28">
        <f ca="1"/>
        <v>2.976</v>
      </c>
      <c r="U1320" s="11">
        <f ca="1"/>
        <v>21.82</v>
      </c>
      <c r="V1320" s="11">
        <v>10.58</v>
      </c>
      <c r="W1320" s="11">
        <f ca="1"/>
        <v>0.2</v>
      </c>
      <c r="X1320" s="11">
        <f ca="1"/>
        <v>0.39877104377104378</v>
      </c>
      <c r="Y1320" s="11">
        <v>0</v>
      </c>
      <c r="Z1320" s="11">
        <f ca="1"/>
        <v>10.641228956228957</v>
      </c>
      <c r="AA1320" s="11">
        <f ca="1"/>
        <v>5.3206144781144786</v>
      </c>
      <c r="AB1320" s="4">
        <f ca="1"/>
        <v>45777</v>
      </c>
      <c r="AC1320" s="4">
        <v>45777</v>
      </c>
      <c r="AD1320" s="9">
        <v>45779</v>
      </c>
      <c r="AE1320" s="9">
        <v>45783</v>
      </c>
      <c r="AF1320" s="4" t="str">
        <f t="shared" ca="1" si="84"/>
        <v>2025 04</v>
      </c>
      <c r="AG1320" s="8" t="str" cm="1">
        <f t="array" ref="AG1320">IFERROR(_xlfn.IFS('Banco de Dados'!#REF!="AG. COMPRA","Em processamento",'Banco de Dados'!#REF!="AG. RASTREIO","Em processamento",'Banco de Dados'!$AE1320&lt;&gt;"-","Faturado",'Banco de Dados'!$AD1320&lt;&gt;"-","Aguardando Pix",'Banco de Dados'!$AC1320&lt;&gt;"-","Pendente"),"Aguardando Liberação")</f>
        <v>Aguardando Liberação</v>
      </c>
      <c r="AH1320" s="5" t="str">
        <f>IF('Banco de Dados'!$F1320="-",_xlfn.CONCAT(PROPER(TEXT(AK1320,"aaaa"))," ",PROPER(TEXT(AK1320,"mm"))),_xlfn.CONCAT(PROPER(TEXT(E1320,"aaaa"))," ",PROPER(TEXT(E1320,"mm"))))</f>
        <v>2025 03</v>
      </c>
      <c r="AI1320" s="9" t="str">
        <f ca="1">IF('Banco de Dados'!$AK1320&lt;&gt;"-","REEMBOLSO",IFERROR(_xlfn.XLOOKUP(G1320,Follow[CODRASTREIO],Follow[STATUS]),"-"))</f>
        <v>ENTREGUE</v>
      </c>
      <c r="AJ1320" s="9">
        <f ca="1">IF('Banco de Dados'!$AI1320="ENTREGUE",_xlfn.XLOOKUP('Banco de Dados'!$G1320,Follow[CODRASTREIO],Follow[DATAATUALIZAÇÃO]),"-")</f>
        <v>45757</v>
      </c>
      <c r="AK1320" s="132" t="str">
        <f ca="1"/>
        <v>-</v>
      </c>
      <c r="AL1320" s="35"/>
      <c r="AM1320" s="109" cm="1">
        <f t="array" aca="1" ref="AM1320" ca="1">IF('Banco de Dados'!$AK1320&lt;&gt;"-",_xlfn.IFS('Banco de Dados'!$A1320="bv",IF('Banco de Dados'!$E1320&lt;45641,ROUND(SUM('Banco de Dados'!$R1320*_xlfn.XLOOKUP('Banco de Dados'!$P1320,Sku!B:B,Sku!#REF!)*20%),2),ROUND(SUM('Banco de Dados'!$R1320*_xlfn.XLOOKUP('Banco de Dados'!$P1320,Sku!B:B,Sku!H:H)*20%),2)),'Banco de Dados'!$A1320="GO",ROUND(SUM('Banco de Dados'!$R1320*_xlfn.XLOOKUP('Banco de Dados'!$P1320,Sku!C:C,Sku!H:H)*20%),2),'Banco de Dados'!$A1320="MEI",ROUND(SUM('Banco de Dados'!$R1320*_xlfn.XLOOKUP('Banco de Dados'!$P1320,Sku!D:D,Sku!H:H)*20%),2)),0)</f>
        <v>0</v>
      </c>
      <c r="AN1320" s="109">
        <f ca="1">IF('Banco de Dados'!$AK1320&lt;&gt;"-",IF('Banco de Dados'!$F1320&lt;&gt;"-",_xlfn.XLOOKUP(IFERROR(IFERROR(IFERROR(VALUE(SUBSTITUTE(MID(_xlfn.TEXTAFTER('Banco de Dados'!$F1320,"Data do Pedido:
",1),1,10),"-","/")),VALUE(SUBSTITUTE(MID(_xlfn.TEXTAFTER('Banco de Dados'!$F1320,"Order date:
",1),1,10),"-","/"))),VALUE(SUBSTITUTE(MID(_xlfn.TEXTAFTER('Banco de Dados'!$F1320,"Fecha de pedido:
",1),1,10),"-","/"))),"-"),SMS!A:A,SMS!K:K),0),0)</f>
        <v>0</v>
      </c>
      <c r="AO1320" s="109">
        <f ca="1">IF('Banco de Dados'!$AK1320&lt;&gt;"-",IF('Banco de Dados'!$F1320&lt;&gt;"-",IFERROR(_xlfn.XLOOKUP(_xlfn.CONCAT('Banco de Dados'!$A1320,IFERROR(IFERROR(VALUE(SUBSTITUTE(MID(_xlfn.TEXTAFTER('Banco de Dados'!$F1320,"Data do Pedido:
",1),1,10),"-","/")),VALUE(SUBSTITUTE(MID(_xlfn.TEXTAFTER('Banco de Dados'!$F1320,"Order date:
",1),1,10),"-","/"))),0)),ProxyDD[Chave],ProxyDD[Valor por pedido]),PROXY!$P$2),0),0)</f>
        <v>0</v>
      </c>
      <c r="AP1320" s="28">
        <f ca="1">IF('Banco de Dados'!$AK1320&lt;&gt;"-",IF('Banco de Dados'!$AL1320="NÃO",IFERROR(VALUE(SUBSTITUTE(_xlfn.TEXTAFTER('Banco de Dados'!$F1320,"BRL ",1),".",",")),0),0),0)</f>
        <v>0</v>
      </c>
      <c r="AQ1320" s="28">
        <f ca="1">SUM('Banco de Dados'!$AM1320:$AP1320)</f>
        <v>0</v>
      </c>
      <c r="AR1320" s="8"/>
      <c r="AY1320" s="8"/>
    </row>
    <row r="1321" spans="1:51">
      <c r="A1321" s="5" t="str">
        <v>MEI</v>
      </c>
      <c r="B1321" s="5" t="str">
        <f ca="1"/>
        <v>MEI45737</v>
      </c>
      <c r="C1321" s="8" t="str">
        <v>Pedido 1308</v>
      </c>
      <c r="D1321" s="187">
        <v>45734</v>
      </c>
      <c r="E1321" s="9">
        <v>45737</v>
      </c>
      <c r="F1321" s="8" t="str">
        <v>PedidoF1252</v>
      </c>
      <c r="G1321" s="2" t="str">
        <v>CódRastreio1250</v>
      </c>
      <c r="H1321" s="5">
        <v>1</v>
      </c>
      <c r="I1321" s="2" t="str">
        <v>CPF 1274</v>
      </c>
      <c r="J1321" s="2" t="str">
        <v>Nome 1274</v>
      </c>
      <c r="K1321" s="8" t="str">
        <v>Tel 1274</v>
      </c>
      <c r="L1321" s="8" t="str">
        <v>Cep 1274</v>
      </c>
      <c r="M1321" s="8" t="str">
        <v>Rua 1274</v>
      </c>
      <c r="N1321" s="8" t="str">
        <v>Comp 1274</v>
      </c>
      <c r="O1321" s="8" t="str">
        <v>Máquina de cortar cabelo dragão</v>
      </c>
      <c r="P1321" s="8" t="str">
        <v>RX-DD1P-P5U2</v>
      </c>
      <c r="Q1321" s="4">
        <v>45759</v>
      </c>
      <c r="R1321" s="109">
        <v>24.8</v>
      </c>
      <c r="S1321" s="11">
        <f ca="1"/>
        <v>24.8</v>
      </c>
      <c r="T1321" s="28">
        <f ca="1"/>
        <v>2.976</v>
      </c>
      <c r="U1321" s="11">
        <f ca="1"/>
        <v>21.82</v>
      </c>
      <c r="V1321" s="11">
        <v>10.17</v>
      </c>
      <c r="W1321" s="11">
        <f ca="1"/>
        <v>0.2</v>
      </c>
      <c r="X1321" s="11">
        <f ca="1"/>
        <v>0.39877104377104378</v>
      </c>
      <c r="Y1321" s="11">
        <v>0</v>
      </c>
      <c r="Z1321" s="11">
        <f ca="1"/>
        <v>11.051228956228957</v>
      </c>
      <c r="AA1321" s="11">
        <f ca="1"/>
        <v>5.5256144781144787</v>
      </c>
      <c r="AB1321" s="4">
        <f ca="1"/>
        <v>45766</v>
      </c>
      <c r="AC1321" s="4">
        <v>45766</v>
      </c>
      <c r="AD1321" s="9">
        <v>45779</v>
      </c>
      <c r="AE1321" s="9">
        <v>45783</v>
      </c>
      <c r="AF1321" s="4" t="str">
        <f t="shared" ca="1" si="84"/>
        <v>2025 04</v>
      </c>
      <c r="AG1321" s="8" t="str" cm="1">
        <f t="array" ref="AG1321">IFERROR(_xlfn.IFS('Banco de Dados'!#REF!="AG. COMPRA","Em processamento",'Banco de Dados'!#REF!="AG. RASTREIO","Em processamento",'Banco de Dados'!$AE1321&lt;&gt;"-","Faturado",'Banco de Dados'!$AD1321&lt;&gt;"-","Aguardando Pix",'Banco de Dados'!$AC1321&lt;&gt;"-","Pendente"),"Aguardando Liberação")</f>
        <v>Aguardando Liberação</v>
      </c>
      <c r="AH1321" s="5" t="str">
        <f>IF('Banco de Dados'!$F1321="-",_xlfn.CONCAT(PROPER(TEXT(AK1321,"aaaa"))," ",PROPER(TEXT(AK1321,"mm"))),_xlfn.CONCAT(PROPER(TEXT(E1321,"aaaa"))," ",PROPER(TEXT(E1321,"mm"))))</f>
        <v>2025 03</v>
      </c>
      <c r="AI1321" s="9" t="str">
        <f ca="1">IF('Banco de Dados'!$AK1321&lt;&gt;"-","REEMBOLSO",IFERROR(_xlfn.XLOOKUP(G1321,Follow[CODRASTREIO],Follow[STATUS]),"-"))</f>
        <v>ENTREGUE</v>
      </c>
      <c r="AJ1321" s="9">
        <f ca="1">IF('Banco de Dados'!$AI1321="ENTREGUE",_xlfn.XLOOKUP('Banco de Dados'!$G1321,Follow[CODRASTREIO],Follow[DATAATUALIZAÇÃO]),"-")</f>
        <v>45755</v>
      </c>
      <c r="AK1321" s="132" t="str">
        <f ca="1"/>
        <v>-</v>
      </c>
      <c r="AL1321" s="35"/>
      <c r="AM1321" s="109" cm="1">
        <f t="array" aca="1" ref="AM1321" ca="1">IF('Banco de Dados'!$AK1321&lt;&gt;"-",_xlfn.IFS('Banco de Dados'!$A1321="bv",IF('Banco de Dados'!$E1321&lt;45641,ROUND(SUM('Banco de Dados'!$R1321*_xlfn.XLOOKUP('Banco de Dados'!$P1321,Sku!B:B,Sku!#REF!)*20%),2),ROUND(SUM('Banco de Dados'!$R1321*_xlfn.XLOOKUP('Banco de Dados'!$P1321,Sku!B:B,Sku!H:H)*20%),2)),'Banco de Dados'!$A1321="GO",ROUND(SUM('Banco de Dados'!$R1321*_xlfn.XLOOKUP('Banco de Dados'!$P1321,Sku!C:C,Sku!H:H)*20%),2),'Banco de Dados'!$A1321="MEI",ROUND(SUM('Banco de Dados'!$R1321*_xlfn.XLOOKUP('Banco de Dados'!$P1321,Sku!D:D,Sku!H:H)*20%),2)),0)</f>
        <v>0</v>
      </c>
      <c r="AN1321" s="109">
        <f ca="1">IF('Banco de Dados'!$AK1321&lt;&gt;"-",IF('Banco de Dados'!$F1321&lt;&gt;"-",_xlfn.XLOOKUP(IFERROR(IFERROR(IFERROR(VALUE(SUBSTITUTE(MID(_xlfn.TEXTAFTER('Banco de Dados'!$F1321,"Data do Pedido:
",1),1,10),"-","/")),VALUE(SUBSTITUTE(MID(_xlfn.TEXTAFTER('Banco de Dados'!$F1321,"Order date:
",1),1,10),"-","/"))),VALUE(SUBSTITUTE(MID(_xlfn.TEXTAFTER('Banco de Dados'!$F1321,"Fecha de pedido:
",1),1,10),"-","/"))),"-"),SMS!A:A,SMS!K:K),0),0)</f>
        <v>0</v>
      </c>
      <c r="AO1321" s="109">
        <f ca="1">IF('Banco de Dados'!$AK1321&lt;&gt;"-",IF('Banco de Dados'!$F1321&lt;&gt;"-",IFERROR(_xlfn.XLOOKUP(_xlfn.CONCAT('Banco de Dados'!$A1321,IFERROR(IFERROR(VALUE(SUBSTITUTE(MID(_xlfn.TEXTAFTER('Banco de Dados'!$F1321,"Data do Pedido:
",1),1,10),"-","/")),VALUE(SUBSTITUTE(MID(_xlfn.TEXTAFTER('Banco de Dados'!$F1321,"Order date:
",1),1,10),"-","/"))),0)),ProxyDD[Chave],ProxyDD[Valor por pedido]),PROXY!$P$2),0),0)</f>
        <v>0</v>
      </c>
      <c r="AP1321" s="28">
        <f ca="1">IF('Banco de Dados'!$AK1321&lt;&gt;"-",IF('Banco de Dados'!$AL1321="NÃO",IFERROR(VALUE(SUBSTITUTE(_xlfn.TEXTAFTER('Banco de Dados'!$F1321,"BRL ",1),".",",")),0),0),0)</f>
        <v>0</v>
      </c>
      <c r="AQ1321" s="28">
        <f ca="1">SUM('Banco de Dados'!$AM1321:$AP1321)</f>
        <v>0</v>
      </c>
      <c r="AR1321" s="8"/>
      <c r="AY1321" s="8"/>
    </row>
    <row r="1322" spans="1:51">
      <c r="A1322" s="5" t="str">
        <v>MEI</v>
      </c>
      <c r="B1322" s="5" t="str">
        <f ca="1"/>
        <v>MEI45737</v>
      </c>
      <c r="C1322" s="8" t="str">
        <v>Pedido 1309</v>
      </c>
      <c r="D1322" s="187">
        <v>45734</v>
      </c>
      <c r="E1322" s="9">
        <v>45737</v>
      </c>
      <c r="F1322" s="8" t="str">
        <v>PedidoF1253</v>
      </c>
      <c r="G1322" s="2" t="str">
        <v>CódRastreio1251</v>
      </c>
      <c r="H1322" s="5">
        <v>1</v>
      </c>
      <c r="I1322" s="2" t="str">
        <v>CPF 1275</v>
      </c>
      <c r="J1322" s="2" t="str">
        <v>Nome 1275</v>
      </c>
      <c r="K1322" s="8" t="str">
        <v>Tel 1275</v>
      </c>
      <c r="L1322" s="8" t="str">
        <v>Cep 1275</v>
      </c>
      <c r="M1322" s="8" t="str">
        <v>Rua 1275</v>
      </c>
      <c r="N1322" s="8" t="str">
        <v>Comp 1275</v>
      </c>
      <c r="O1322" s="8" t="str">
        <v>Maçarico Culinário Portátil</v>
      </c>
      <c r="P1322" s="8" t="str">
        <v>BG-DHRO-FAEE</v>
      </c>
      <c r="Q1322" s="4">
        <v>45755</v>
      </c>
      <c r="R1322" s="109">
        <v>100</v>
      </c>
      <c r="S1322" s="11">
        <f ca="1"/>
        <v>100</v>
      </c>
      <c r="T1322" s="28">
        <f ca="1"/>
        <v>11</v>
      </c>
      <c r="U1322" s="11">
        <f ca="1"/>
        <v>89</v>
      </c>
      <c r="V1322" s="11">
        <v>10.17</v>
      </c>
      <c r="W1322" s="11">
        <f ca="1"/>
        <v>0.2</v>
      </c>
      <c r="X1322" s="11">
        <f ca="1"/>
        <v>0.39877104377104378</v>
      </c>
      <c r="Y1322" s="11">
        <v>0</v>
      </c>
      <c r="Z1322" s="11">
        <f ca="1"/>
        <v>78.231228956228961</v>
      </c>
      <c r="AA1322" s="11">
        <f ca="1"/>
        <v>39.11561447811448</v>
      </c>
      <c r="AB1322" s="4">
        <f ca="1"/>
        <v>45762</v>
      </c>
      <c r="AC1322" s="4">
        <v>45762</v>
      </c>
      <c r="AD1322" s="9">
        <v>45762</v>
      </c>
      <c r="AE1322" s="9">
        <v>45763</v>
      </c>
      <c r="AF1322" s="4" t="str">
        <f t="shared" ref="AF1322:AF1352" ca="1" si="85">_xlfn.CONCAT(PROPER(TEXT(AB1322,"aaaa"))," ",PROPER(TEXT(AB1322,"mm")))</f>
        <v>2025 04</v>
      </c>
      <c r="AG1322" s="8" t="str" cm="1">
        <f t="array" ref="AG1322">IFERROR(_xlfn.IFS('Banco de Dados'!#REF!="AG. COMPRA","Em processamento",'Banco de Dados'!#REF!="AG. RASTREIO","Em processamento",'Banco de Dados'!$AE1322&lt;&gt;"-","Faturado",'Banco de Dados'!$AD1322&lt;&gt;"-","Aguardando Pix",'Banco de Dados'!$AC1322&lt;&gt;"-","Pendente"),"Aguardando Liberação")</f>
        <v>Aguardando Liberação</v>
      </c>
      <c r="AH1322" s="5" t="str">
        <f>IF('Banco de Dados'!$F1322="-",_xlfn.CONCAT(PROPER(TEXT(AK1322,"aaaa"))," ",PROPER(TEXT(AK1322,"mm"))),_xlfn.CONCAT(PROPER(TEXT(E1322,"aaaa"))," ",PROPER(TEXT(E1322,"mm"))))</f>
        <v>2025 03</v>
      </c>
      <c r="AI1322" s="9" t="str">
        <f ca="1">IF('Banco de Dados'!$AK1322&lt;&gt;"-","REEMBOLSO",IFERROR(_xlfn.XLOOKUP(G1322,Follow[CODRASTREIO],Follow[STATUS]),"-"))</f>
        <v>ENTREGUE</v>
      </c>
      <c r="AJ1322" s="9">
        <f ca="1">IF('Banco de Dados'!$AI1322="ENTREGUE",_xlfn.XLOOKUP('Banco de Dados'!$G1322,Follow[CODRASTREIO],Follow[DATAATUALIZAÇÃO]),"-")</f>
        <v>45761</v>
      </c>
      <c r="AK1322" s="132" t="str">
        <f ca="1"/>
        <v>-</v>
      </c>
      <c r="AL1322" s="35"/>
      <c r="AM1322" s="109" cm="1">
        <f t="array" aca="1" ref="AM1322" ca="1">IF('Banco de Dados'!$AK1322&lt;&gt;"-",_xlfn.IFS('Banco de Dados'!$A1322="bv",IF('Banco de Dados'!$E1322&lt;45641,ROUND(SUM('Banco de Dados'!$R1322*_xlfn.XLOOKUP('Banco de Dados'!$P1322,Sku!B:B,Sku!#REF!)*20%),2),ROUND(SUM('Banco de Dados'!$R1322*_xlfn.XLOOKUP('Banco de Dados'!$P1322,Sku!B:B,Sku!H:H)*20%),2)),'Banco de Dados'!$A1322="GO",ROUND(SUM('Banco de Dados'!$R1322*_xlfn.XLOOKUP('Banco de Dados'!$P1322,Sku!C:C,Sku!H:H)*20%),2),'Banco de Dados'!$A1322="MEI",ROUND(SUM('Banco de Dados'!$R1322*_xlfn.XLOOKUP('Banco de Dados'!$P1322,Sku!D:D,Sku!H:H)*20%),2)),0)</f>
        <v>0</v>
      </c>
      <c r="AN1322" s="109">
        <f ca="1">IF('Banco de Dados'!$AK1322&lt;&gt;"-",IF('Banco de Dados'!$F1322&lt;&gt;"-",_xlfn.XLOOKUP(IFERROR(IFERROR(IFERROR(VALUE(SUBSTITUTE(MID(_xlfn.TEXTAFTER('Banco de Dados'!$F1322,"Data do Pedido:
",1),1,10),"-","/")),VALUE(SUBSTITUTE(MID(_xlfn.TEXTAFTER('Banco de Dados'!$F1322,"Order date:
",1),1,10),"-","/"))),VALUE(SUBSTITUTE(MID(_xlfn.TEXTAFTER('Banco de Dados'!$F1322,"Fecha de pedido:
",1),1,10),"-","/"))),"-"),SMS!A:A,SMS!K:K),0),0)</f>
        <v>0</v>
      </c>
      <c r="AO1322" s="109">
        <f ca="1">IF('Banco de Dados'!$AK1322&lt;&gt;"-",IF('Banco de Dados'!$F1322&lt;&gt;"-",IFERROR(_xlfn.XLOOKUP(_xlfn.CONCAT('Banco de Dados'!$A1322,IFERROR(IFERROR(VALUE(SUBSTITUTE(MID(_xlfn.TEXTAFTER('Banco de Dados'!$F1322,"Data do Pedido:
",1),1,10),"-","/")),VALUE(SUBSTITUTE(MID(_xlfn.TEXTAFTER('Banco de Dados'!$F1322,"Order date:
",1),1,10),"-","/"))),0)),ProxyDD[Chave],ProxyDD[Valor por pedido]),PROXY!$P$2),0),0)</f>
        <v>0</v>
      </c>
      <c r="AP1322" s="28">
        <f ca="1">IF('Banco de Dados'!$AK1322&lt;&gt;"-",IF('Banco de Dados'!$AL1322="NÃO",IFERROR(VALUE(SUBSTITUTE(_xlfn.TEXTAFTER('Banco de Dados'!$F1322,"BRL ",1),".",",")),0),0),0)</f>
        <v>0</v>
      </c>
      <c r="AQ1322" s="28">
        <f ca="1">SUM('Banco de Dados'!$AM1322:$AP1322)</f>
        <v>0</v>
      </c>
      <c r="AR1322" s="8"/>
      <c r="AY1322" s="8"/>
    </row>
    <row r="1323" spans="1:51">
      <c r="A1323" s="5" t="str">
        <v>GO</v>
      </c>
      <c r="B1323" s="5" t="str">
        <f ca="1"/>
        <v>GO45734</v>
      </c>
      <c r="C1323" s="8" t="str">
        <v>Pedido 1310</v>
      </c>
      <c r="D1323" s="187">
        <v>45734</v>
      </c>
      <c r="E1323" s="9">
        <v>45734</v>
      </c>
      <c r="F1323" s="8" t="str">
        <v>PedidoF1254</v>
      </c>
      <c r="G1323" s="2" t="str">
        <v>CódRastreio1252</v>
      </c>
      <c r="H1323" s="5">
        <v>1</v>
      </c>
      <c r="I1323" s="2" t="str">
        <v>CPF 1276</v>
      </c>
      <c r="J1323" s="2" t="str">
        <v>Nome 1276</v>
      </c>
      <c r="K1323" s="8" t="str">
        <v>Tel 1276</v>
      </c>
      <c r="L1323" s="8" t="str">
        <v>Cep 1276</v>
      </c>
      <c r="M1323" s="8" t="str">
        <v>Rua 1276</v>
      </c>
      <c r="N1323" s="8" t="str">
        <v>Comp 1276</v>
      </c>
      <c r="O1323" s="8" t="str">
        <v>Ventilador Umidificador Preto</v>
      </c>
      <c r="P1323" s="8" t="str">
        <v>K9-YV2I-FO7H</v>
      </c>
      <c r="Q1323" s="4">
        <v>45755</v>
      </c>
      <c r="R1323" s="109">
        <v>44.9</v>
      </c>
      <c r="S1323" s="11">
        <f ca="1"/>
        <v>44.9</v>
      </c>
      <c r="T1323" s="28">
        <f ca="1"/>
        <v>6.2860000000000005</v>
      </c>
      <c r="U1323" s="11">
        <f ca="1"/>
        <v>38.61</v>
      </c>
      <c r="V1323" s="11">
        <v>19.14</v>
      </c>
      <c r="W1323" s="11">
        <f ca="1"/>
        <v>0.2</v>
      </c>
      <c r="X1323" s="11">
        <f ca="1"/>
        <v>0.39877104377104378</v>
      </c>
      <c r="Y1323" s="11">
        <v>0</v>
      </c>
      <c r="Z1323" s="11">
        <f ca="1"/>
        <v>18.871228956228954</v>
      </c>
      <c r="AA1323" s="11">
        <f ca="1"/>
        <v>18.871228956228954</v>
      </c>
      <c r="AB1323" s="4">
        <f ca="1"/>
        <v>45762</v>
      </c>
      <c r="AC1323" s="4">
        <v>45762</v>
      </c>
      <c r="AD1323" s="9">
        <v>45762</v>
      </c>
      <c r="AE1323" s="9">
        <v>45763</v>
      </c>
      <c r="AF1323" s="4" t="str">
        <f t="shared" ca="1" si="85"/>
        <v>2025 04</v>
      </c>
      <c r="AG1323" s="8" t="str" cm="1">
        <f t="array" ref="AG1323">IFERROR(_xlfn.IFS('Banco de Dados'!#REF!="AG. COMPRA","Em processamento",'Banco de Dados'!#REF!="AG. RASTREIO","Em processamento",'Banco de Dados'!$AE1323&lt;&gt;"-","Faturado",'Banco de Dados'!$AD1323&lt;&gt;"-","Aguardando Pix",'Banco de Dados'!$AC1323&lt;&gt;"-","Pendente"),"Aguardando Liberação")</f>
        <v>Aguardando Liberação</v>
      </c>
      <c r="AH1323" s="5" t="str">
        <f>IF('Banco de Dados'!$F1323="-",_xlfn.CONCAT(PROPER(TEXT(AK1323,"aaaa"))," ",PROPER(TEXT(AK1323,"mm"))),_xlfn.CONCAT(PROPER(TEXT(E1323,"aaaa"))," ",PROPER(TEXT(E1323,"mm"))))</f>
        <v>2025 03</v>
      </c>
      <c r="AI1323" s="9" t="str">
        <f ca="1">IF('Banco de Dados'!$AK1323&lt;&gt;"-","REEMBOLSO",IFERROR(_xlfn.XLOOKUP(G1323,Follow[CODRASTREIO],Follow[STATUS]),"-"))</f>
        <v>ENTREGUE</v>
      </c>
      <c r="AJ1323" s="9">
        <f ca="1">IF('Banco de Dados'!$AI1323="ENTREGUE",_xlfn.XLOOKUP('Banco de Dados'!$G1323,Follow[CODRASTREIO],Follow[DATAATUALIZAÇÃO]),"-")</f>
        <v>45743</v>
      </c>
      <c r="AK1323" s="132" t="str">
        <f ca="1"/>
        <v>-</v>
      </c>
      <c r="AL1323" s="35"/>
      <c r="AM1323" s="109" cm="1">
        <f t="array" aca="1" ref="AM1323" ca="1">IF('Banco de Dados'!$AK1323&lt;&gt;"-",_xlfn.IFS('Banco de Dados'!$A1323="bv",IF('Banco de Dados'!$E1323&lt;45641,ROUND(SUM('Banco de Dados'!$R1323*_xlfn.XLOOKUP('Banco de Dados'!$P1323,Sku!B:B,Sku!#REF!)*20%),2),ROUND(SUM('Banco de Dados'!$R1323*_xlfn.XLOOKUP('Banco de Dados'!$P1323,Sku!B:B,Sku!H:H)*20%),2)),'Banco de Dados'!$A1323="GO",ROUND(SUM('Banco de Dados'!$R1323*_xlfn.XLOOKUP('Banco de Dados'!$P1323,Sku!C:C,Sku!H:H)*20%),2),'Banco de Dados'!$A1323="MEI",ROUND(SUM('Banco de Dados'!$R1323*_xlfn.XLOOKUP('Banco de Dados'!$P1323,Sku!D:D,Sku!H:H)*20%),2)),0)</f>
        <v>0</v>
      </c>
      <c r="AN1323" s="109">
        <f ca="1">IF('Banco de Dados'!$AK1323&lt;&gt;"-",IF('Banco de Dados'!$F1323&lt;&gt;"-",_xlfn.XLOOKUP(IFERROR(IFERROR(IFERROR(VALUE(SUBSTITUTE(MID(_xlfn.TEXTAFTER('Banco de Dados'!$F1323,"Data do Pedido:
",1),1,10),"-","/")),VALUE(SUBSTITUTE(MID(_xlfn.TEXTAFTER('Banco de Dados'!$F1323,"Order date:
",1),1,10),"-","/"))),VALUE(SUBSTITUTE(MID(_xlfn.TEXTAFTER('Banco de Dados'!$F1323,"Fecha de pedido:
",1),1,10),"-","/"))),"-"),SMS!A:A,SMS!K:K),0),0)</f>
        <v>0</v>
      </c>
      <c r="AO1323" s="109">
        <f ca="1">IF('Banco de Dados'!$AK1323&lt;&gt;"-",IF('Banco de Dados'!$F1323&lt;&gt;"-",IFERROR(_xlfn.XLOOKUP(_xlfn.CONCAT('Banco de Dados'!$A1323,IFERROR(IFERROR(VALUE(SUBSTITUTE(MID(_xlfn.TEXTAFTER('Banco de Dados'!$F1323,"Data do Pedido:
",1),1,10),"-","/")),VALUE(SUBSTITUTE(MID(_xlfn.TEXTAFTER('Banco de Dados'!$F1323,"Order date:
",1),1,10),"-","/"))),0)),ProxyDD[Chave],ProxyDD[Valor por pedido]),PROXY!$P$2),0),0)</f>
        <v>0</v>
      </c>
      <c r="AP1323" s="28">
        <f ca="1">IF('Banco de Dados'!$AK1323&lt;&gt;"-",IF('Banco de Dados'!$AL1323="NÃO",IFERROR(VALUE(SUBSTITUTE(_xlfn.TEXTAFTER('Banco de Dados'!$F1323,"BRL ",1),".",",")),0),0),0)</f>
        <v>0</v>
      </c>
      <c r="AQ1323" s="28">
        <f ca="1">SUM('Banco de Dados'!$AM1323:$AP1323)</f>
        <v>0</v>
      </c>
      <c r="AR1323" s="8"/>
      <c r="AY1323" s="8"/>
    </row>
    <row r="1324" spans="1:51">
      <c r="A1324" s="5" t="str">
        <v>GO</v>
      </c>
      <c r="B1324" s="5" t="str">
        <f ca="1"/>
        <v>GO45734</v>
      </c>
      <c r="C1324" s="8" t="str">
        <v>Pedido 1311</v>
      </c>
      <c r="D1324" s="187">
        <v>45734</v>
      </c>
      <c r="E1324" s="9">
        <v>45734</v>
      </c>
      <c r="F1324" s="8" t="str">
        <v>PedidoF1255</v>
      </c>
      <c r="G1324" s="2" t="str">
        <v>CódRastreio1253</v>
      </c>
      <c r="H1324" s="5">
        <v>1</v>
      </c>
      <c r="I1324" s="2" t="str">
        <v>CPF 1277</v>
      </c>
      <c r="J1324" s="2" t="str">
        <v>Nome 1277</v>
      </c>
      <c r="K1324" s="8" t="str">
        <v>Tel 1277</v>
      </c>
      <c r="L1324" s="8" t="str">
        <v>Cep 1277</v>
      </c>
      <c r="M1324" s="8" t="str">
        <v>Rua 1277</v>
      </c>
      <c r="N1324" s="8" t="str">
        <v>Comp 1277</v>
      </c>
      <c r="O1324" s="8" t="str">
        <v>Máquina de cortar cabelo dragão</v>
      </c>
      <c r="P1324" s="8" t="str">
        <v>6G-56LI-EPD4</v>
      </c>
      <c r="Q1324" s="4">
        <v>45759</v>
      </c>
      <c r="R1324" s="109">
        <v>24.8</v>
      </c>
      <c r="S1324" s="11">
        <f ca="1"/>
        <v>24.8</v>
      </c>
      <c r="T1324" s="28">
        <f ca="1"/>
        <v>2.976</v>
      </c>
      <c r="U1324" s="11">
        <f ca="1"/>
        <v>21.82</v>
      </c>
      <c r="V1324" s="11">
        <v>10.210000000000001</v>
      </c>
      <c r="W1324" s="11">
        <f ca="1"/>
        <v>0.2</v>
      </c>
      <c r="X1324" s="11">
        <f ca="1"/>
        <v>0.39877104377104378</v>
      </c>
      <c r="Y1324" s="11">
        <v>0</v>
      </c>
      <c r="Z1324" s="11">
        <f ca="1"/>
        <v>11.011228956228956</v>
      </c>
      <c r="AA1324" s="11">
        <f ca="1"/>
        <v>11.011228956228956</v>
      </c>
      <c r="AB1324" s="4">
        <f ca="1"/>
        <v>45766</v>
      </c>
      <c r="AC1324" s="4">
        <v>45766</v>
      </c>
      <c r="AD1324" s="9">
        <v>45779</v>
      </c>
      <c r="AE1324" s="9">
        <v>45783</v>
      </c>
      <c r="AF1324" s="4" t="str">
        <f t="shared" ca="1" si="85"/>
        <v>2025 04</v>
      </c>
      <c r="AG1324" s="8" t="str" cm="1">
        <f t="array" ref="AG1324">IFERROR(_xlfn.IFS('Banco de Dados'!#REF!="AG. COMPRA","Em processamento",'Banco de Dados'!#REF!="AG. RASTREIO","Em processamento",'Banco de Dados'!$AE1324&lt;&gt;"-","Faturado",'Banco de Dados'!$AD1324&lt;&gt;"-","Aguardando Pix",'Banco de Dados'!$AC1324&lt;&gt;"-","Pendente"),"Aguardando Liberação")</f>
        <v>Aguardando Liberação</v>
      </c>
      <c r="AH1324" s="5" t="str">
        <f>IF('Banco de Dados'!$F1324="-",_xlfn.CONCAT(PROPER(TEXT(AK1324,"aaaa"))," ",PROPER(TEXT(AK1324,"mm"))),_xlfn.CONCAT(PROPER(TEXT(E1324,"aaaa"))," ",PROPER(TEXT(E1324,"mm"))))</f>
        <v>2025 03</v>
      </c>
      <c r="AI1324" s="9" t="str">
        <f ca="1">IF('Banco de Dados'!$AK1324&lt;&gt;"-","REEMBOLSO",IFERROR(_xlfn.XLOOKUP(G1324,Follow[CODRASTREIO],Follow[STATUS]),"-"))</f>
        <v>ENTREGUE</v>
      </c>
      <c r="AJ1324" s="9">
        <f ca="1">IF('Banco de Dados'!$AI1324="ENTREGUE",_xlfn.XLOOKUP('Banco de Dados'!$G1324,Follow[CODRASTREIO],Follow[DATAATUALIZAÇÃO]),"-")</f>
        <v>45747</v>
      </c>
      <c r="AK1324" s="132" t="str">
        <f ca="1"/>
        <v>-</v>
      </c>
      <c r="AL1324" s="35"/>
      <c r="AM1324" s="109" cm="1">
        <f t="array" aca="1" ref="AM1324" ca="1">IF('Banco de Dados'!$AK1324&lt;&gt;"-",_xlfn.IFS('Banco de Dados'!$A1324="bv",IF('Banco de Dados'!$E1324&lt;45641,ROUND(SUM('Banco de Dados'!$R1324*_xlfn.XLOOKUP('Banco de Dados'!$P1324,Sku!B:B,Sku!#REF!)*20%),2),ROUND(SUM('Banco de Dados'!$R1324*_xlfn.XLOOKUP('Banco de Dados'!$P1324,Sku!B:B,Sku!H:H)*20%),2)),'Banco de Dados'!$A1324="GO",ROUND(SUM('Banco de Dados'!$R1324*_xlfn.XLOOKUP('Banco de Dados'!$P1324,Sku!C:C,Sku!H:H)*20%),2),'Banco de Dados'!$A1324="MEI",ROUND(SUM('Banco de Dados'!$R1324*_xlfn.XLOOKUP('Banco de Dados'!$P1324,Sku!D:D,Sku!H:H)*20%),2)),0)</f>
        <v>0</v>
      </c>
      <c r="AN1324" s="109">
        <f ca="1">IF('Banco de Dados'!$AK1324&lt;&gt;"-",IF('Banco de Dados'!$F1324&lt;&gt;"-",_xlfn.XLOOKUP(IFERROR(IFERROR(IFERROR(VALUE(SUBSTITUTE(MID(_xlfn.TEXTAFTER('Banco de Dados'!$F1324,"Data do Pedido:
",1),1,10),"-","/")),VALUE(SUBSTITUTE(MID(_xlfn.TEXTAFTER('Banco de Dados'!$F1324,"Order date:
",1),1,10),"-","/"))),VALUE(SUBSTITUTE(MID(_xlfn.TEXTAFTER('Banco de Dados'!$F1324,"Fecha de pedido:
",1),1,10),"-","/"))),"-"),SMS!A:A,SMS!K:K),0),0)</f>
        <v>0</v>
      </c>
      <c r="AO1324" s="109">
        <f ca="1">IF('Banco de Dados'!$AK1324&lt;&gt;"-",IF('Banco de Dados'!$F1324&lt;&gt;"-",IFERROR(_xlfn.XLOOKUP(_xlfn.CONCAT('Banco de Dados'!$A1324,IFERROR(IFERROR(VALUE(SUBSTITUTE(MID(_xlfn.TEXTAFTER('Banco de Dados'!$F1324,"Data do Pedido:
",1),1,10),"-","/")),VALUE(SUBSTITUTE(MID(_xlfn.TEXTAFTER('Banco de Dados'!$F1324,"Order date:
",1),1,10),"-","/"))),0)),ProxyDD[Chave],ProxyDD[Valor por pedido]),PROXY!$P$2),0),0)</f>
        <v>0</v>
      </c>
      <c r="AP1324" s="28">
        <f ca="1">IF('Banco de Dados'!$AK1324&lt;&gt;"-",IF('Banco de Dados'!$AL1324="NÃO",IFERROR(VALUE(SUBSTITUTE(_xlfn.TEXTAFTER('Banco de Dados'!$F1324,"BRL ",1),".",",")),0),0),0)</f>
        <v>0</v>
      </c>
      <c r="AQ1324" s="28">
        <f ca="1">SUM('Banco de Dados'!$AM1324:$AP1324)</f>
        <v>0</v>
      </c>
      <c r="AR1324" s="8"/>
      <c r="AY1324" s="8"/>
    </row>
    <row r="1325" spans="1:51">
      <c r="A1325" s="5" t="str">
        <v>GO</v>
      </c>
      <c r="B1325" s="5" t="str">
        <f ca="1"/>
        <v>GO45734</v>
      </c>
      <c r="C1325" s="8" t="str">
        <v>Pedido 1312</v>
      </c>
      <c r="D1325" s="187">
        <v>45734</v>
      </c>
      <c r="E1325" s="9">
        <v>45734</v>
      </c>
      <c r="F1325" s="8" t="str">
        <v>PedidoF1256</v>
      </c>
      <c r="G1325" s="2" t="str">
        <v>CódRastreio1254</v>
      </c>
      <c r="H1325" s="5">
        <v>1</v>
      </c>
      <c r="I1325" s="2" t="str">
        <v>CPF 1278</v>
      </c>
      <c r="J1325" s="2" t="str">
        <v>Nome 1278</v>
      </c>
      <c r="K1325" s="8" t="str">
        <v>Tel 1278</v>
      </c>
      <c r="L1325" s="8" t="str">
        <v>Cep 1278</v>
      </c>
      <c r="M1325" s="8" t="str">
        <v>Rua 1278</v>
      </c>
      <c r="N1325" s="8" t="str">
        <v>Comp 1278</v>
      </c>
      <c r="O1325" s="8" t="str">
        <v>Máquina de cortar cabelo dragão</v>
      </c>
      <c r="P1325" s="8" t="str">
        <v>6G-56LI-EPD4</v>
      </c>
      <c r="Q1325" s="4">
        <v>45770</v>
      </c>
      <c r="R1325" s="109">
        <v>24.8</v>
      </c>
      <c r="S1325" s="11">
        <f ca="1"/>
        <v>24.8</v>
      </c>
      <c r="T1325" s="28">
        <f ca="1"/>
        <v>2.976</v>
      </c>
      <c r="U1325" s="11">
        <f ca="1"/>
        <v>21.82</v>
      </c>
      <c r="V1325" s="11">
        <v>10.210000000000001</v>
      </c>
      <c r="W1325" s="11">
        <f ca="1"/>
        <v>0.2</v>
      </c>
      <c r="X1325" s="11">
        <f ca="1"/>
        <v>0.39877104377104378</v>
      </c>
      <c r="Y1325" s="11">
        <v>0</v>
      </c>
      <c r="Z1325" s="11">
        <f ca="1"/>
        <v>11.011228956228956</v>
      </c>
      <c r="AA1325" s="11">
        <f ca="1"/>
        <v>11.011228956228956</v>
      </c>
      <c r="AB1325" s="4">
        <f ca="1"/>
        <v>45777</v>
      </c>
      <c r="AC1325" s="4">
        <v>45777</v>
      </c>
      <c r="AD1325" s="9">
        <v>45779</v>
      </c>
      <c r="AE1325" s="9">
        <v>45783</v>
      </c>
      <c r="AF1325" s="4" t="str">
        <f t="shared" ca="1" si="85"/>
        <v>2025 04</v>
      </c>
      <c r="AG1325" s="8" t="str" cm="1">
        <f t="array" ref="AG1325">IFERROR(_xlfn.IFS('Banco de Dados'!#REF!="AG. COMPRA","Em processamento",'Banco de Dados'!#REF!="AG. RASTREIO","Em processamento",'Banco de Dados'!$AE1325&lt;&gt;"-","Faturado",'Banco de Dados'!$AD1325&lt;&gt;"-","Aguardando Pix",'Banco de Dados'!$AC1325&lt;&gt;"-","Pendente"),"Aguardando Liberação")</f>
        <v>Aguardando Liberação</v>
      </c>
      <c r="AH1325" s="5" t="str">
        <f>IF('Banco de Dados'!$F1325="-",_xlfn.CONCAT(PROPER(TEXT(AK1325,"aaaa"))," ",PROPER(TEXT(AK1325,"mm"))),_xlfn.CONCAT(PROPER(TEXT(E1325,"aaaa"))," ",PROPER(TEXT(E1325,"mm"))))</f>
        <v>2025 03</v>
      </c>
      <c r="AI1325" s="9" t="str">
        <f ca="1">IF('Banco de Dados'!$AK1325&lt;&gt;"-","REEMBOLSO",IFERROR(_xlfn.XLOOKUP(G1325,Follow[CODRASTREIO],Follow[STATUS]),"-"))</f>
        <v>ENTREGUE</v>
      </c>
      <c r="AJ1325" s="9">
        <f ca="1">IF('Banco de Dados'!$AI1325="ENTREGUE",_xlfn.XLOOKUP('Banco de Dados'!$G1325,Follow[CODRASTREIO],Follow[DATAATUALIZAÇÃO]),"-")</f>
        <v>45757</v>
      </c>
      <c r="AK1325" s="132" t="str">
        <f ca="1"/>
        <v>-</v>
      </c>
      <c r="AL1325" s="35"/>
      <c r="AM1325" s="109" cm="1">
        <f t="array" aca="1" ref="AM1325" ca="1">IF('Banco de Dados'!$AK1325&lt;&gt;"-",_xlfn.IFS('Banco de Dados'!$A1325="bv",IF('Banco de Dados'!$E1325&lt;45641,ROUND(SUM('Banco de Dados'!$R1325*_xlfn.XLOOKUP('Banco de Dados'!$P1325,Sku!B:B,Sku!#REF!)*20%),2),ROUND(SUM('Banco de Dados'!$R1325*_xlfn.XLOOKUP('Banco de Dados'!$P1325,Sku!B:B,Sku!H:H)*20%),2)),'Banco de Dados'!$A1325="GO",ROUND(SUM('Banco de Dados'!$R1325*_xlfn.XLOOKUP('Banco de Dados'!$P1325,Sku!C:C,Sku!H:H)*20%),2),'Banco de Dados'!$A1325="MEI",ROUND(SUM('Banco de Dados'!$R1325*_xlfn.XLOOKUP('Banco de Dados'!$P1325,Sku!D:D,Sku!H:H)*20%),2)),0)</f>
        <v>0</v>
      </c>
      <c r="AN1325" s="109">
        <f ca="1">IF('Banco de Dados'!$AK1325&lt;&gt;"-",IF('Banco de Dados'!$F1325&lt;&gt;"-",_xlfn.XLOOKUP(IFERROR(IFERROR(IFERROR(VALUE(SUBSTITUTE(MID(_xlfn.TEXTAFTER('Banco de Dados'!$F1325,"Data do Pedido:
",1),1,10),"-","/")),VALUE(SUBSTITUTE(MID(_xlfn.TEXTAFTER('Banco de Dados'!$F1325,"Order date:
",1),1,10),"-","/"))),VALUE(SUBSTITUTE(MID(_xlfn.TEXTAFTER('Banco de Dados'!$F1325,"Fecha de pedido:
",1),1,10),"-","/"))),"-"),SMS!A:A,SMS!K:K),0),0)</f>
        <v>0</v>
      </c>
      <c r="AO1325" s="109">
        <f ca="1">IF('Banco de Dados'!$AK1325&lt;&gt;"-",IF('Banco de Dados'!$F1325&lt;&gt;"-",IFERROR(_xlfn.XLOOKUP(_xlfn.CONCAT('Banco de Dados'!$A1325,IFERROR(IFERROR(VALUE(SUBSTITUTE(MID(_xlfn.TEXTAFTER('Banco de Dados'!$F1325,"Data do Pedido:
",1),1,10),"-","/")),VALUE(SUBSTITUTE(MID(_xlfn.TEXTAFTER('Banco de Dados'!$F1325,"Order date:
",1),1,10),"-","/"))),0)),ProxyDD[Chave],ProxyDD[Valor por pedido]),PROXY!$P$2),0),0)</f>
        <v>0</v>
      </c>
      <c r="AP1325" s="28">
        <f ca="1">IF('Banco de Dados'!$AK1325&lt;&gt;"-",IF('Banco de Dados'!$AL1325="NÃO",IFERROR(VALUE(SUBSTITUTE(_xlfn.TEXTAFTER('Banco de Dados'!$F1325,"BRL ",1),".",",")),0),0),0)</f>
        <v>0</v>
      </c>
      <c r="AQ1325" s="28">
        <f ca="1">SUM('Banco de Dados'!$AM1325:$AP1325)</f>
        <v>0</v>
      </c>
      <c r="AR1325" s="8"/>
      <c r="AY1325" s="8"/>
    </row>
    <row r="1326" spans="1:51">
      <c r="A1326" s="5" t="str">
        <v>GO</v>
      </c>
      <c r="B1326" s="5" t="str">
        <f ca="1"/>
        <v>GO45734</v>
      </c>
      <c r="C1326" s="8" t="str">
        <v>Pedido 1313</v>
      </c>
      <c r="D1326" s="187">
        <v>45734</v>
      </c>
      <c r="E1326" s="9">
        <v>45734</v>
      </c>
      <c r="F1326" s="8" t="str">
        <v>PedidoF1257</v>
      </c>
      <c r="G1326" s="2" t="str">
        <v>CódRastreio1255</v>
      </c>
      <c r="H1326" s="5">
        <v>1</v>
      </c>
      <c r="I1326" s="2" t="str">
        <v>CPF 1279</v>
      </c>
      <c r="J1326" s="2" t="str">
        <v>Nome 1279</v>
      </c>
      <c r="K1326" s="8" t="str">
        <v>Tel 1279</v>
      </c>
      <c r="L1326" s="8" t="str">
        <v>Cep 1279</v>
      </c>
      <c r="M1326" s="8" t="str">
        <v>Rua 1279</v>
      </c>
      <c r="N1326" s="8" t="str">
        <v>Comp 1279</v>
      </c>
      <c r="O1326" s="8" t="str">
        <v>Máquina de cortar cabelo dragão</v>
      </c>
      <c r="P1326" s="8" t="str">
        <v>6G-56LI-EPD4</v>
      </c>
      <c r="Q1326" s="4">
        <v>45770</v>
      </c>
      <c r="R1326" s="109">
        <v>24.8</v>
      </c>
      <c r="S1326" s="11">
        <f ca="1"/>
        <v>24.8</v>
      </c>
      <c r="T1326" s="28">
        <f ca="1"/>
        <v>2.976</v>
      </c>
      <c r="U1326" s="11">
        <f ca="1"/>
        <v>21.82</v>
      </c>
      <c r="V1326" s="11">
        <v>10.210000000000001</v>
      </c>
      <c r="W1326" s="11">
        <f ca="1"/>
        <v>0.2</v>
      </c>
      <c r="X1326" s="11">
        <f ca="1"/>
        <v>0.39877104377104378</v>
      </c>
      <c r="Y1326" s="11">
        <v>0</v>
      </c>
      <c r="Z1326" s="11">
        <f ca="1"/>
        <v>11.011228956228956</v>
      </c>
      <c r="AA1326" s="11">
        <f ca="1"/>
        <v>11.011228956228956</v>
      </c>
      <c r="AB1326" s="4">
        <f ca="1"/>
        <v>45777</v>
      </c>
      <c r="AC1326" s="4">
        <v>45777</v>
      </c>
      <c r="AD1326" s="9">
        <v>45779</v>
      </c>
      <c r="AE1326" s="9">
        <v>45783</v>
      </c>
      <c r="AF1326" s="4" t="str">
        <f t="shared" ca="1" si="85"/>
        <v>2025 04</v>
      </c>
      <c r="AG1326" s="8" t="str" cm="1">
        <f t="array" ref="AG1326">IFERROR(_xlfn.IFS('Banco de Dados'!#REF!="AG. COMPRA","Em processamento",'Banco de Dados'!#REF!="AG. RASTREIO","Em processamento",'Banco de Dados'!$AE1326&lt;&gt;"-","Faturado",'Banco de Dados'!$AD1326&lt;&gt;"-","Aguardando Pix",'Banco de Dados'!$AC1326&lt;&gt;"-","Pendente"),"Aguardando Liberação")</f>
        <v>Aguardando Liberação</v>
      </c>
      <c r="AH1326" s="5" t="str">
        <f>IF('Banco de Dados'!$F1326="-",_xlfn.CONCAT(PROPER(TEXT(AK1326,"aaaa"))," ",PROPER(TEXT(AK1326,"mm"))),_xlfn.CONCAT(PROPER(TEXT(E1326,"aaaa"))," ",PROPER(TEXT(E1326,"mm"))))</f>
        <v>2025 03</v>
      </c>
      <c r="AI1326" s="9" t="str">
        <f ca="1">IF('Banco de Dados'!$AK1326&lt;&gt;"-","REEMBOLSO",IFERROR(_xlfn.XLOOKUP(G1326,Follow[CODRASTREIO],Follow[STATUS]),"-"))</f>
        <v>ENTREGUE</v>
      </c>
      <c r="AJ1326" s="9">
        <f ca="1">IF('Banco de Dados'!$AI1326="ENTREGUE",_xlfn.XLOOKUP('Banco de Dados'!$G1326,Follow[CODRASTREIO],Follow[DATAATUALIZAÇÃO]),"-")</f>
        <v>45764.389166666668</v>
      </c>
      <c r="AK1326" s="132" t="str">
        <f ca="1"/>
        <v>-</v>
      </c>
      <c r="AL1326" s="35"/>
      <c r="AM1326" s="109" cm="1">
        <f t="array" aca="1" ref="AM1326" ca="1">IF('Banco de Dados'!$AK1326&lt;&gt;"-",_xlfn.IFS('Banco de Dados'!$A1326="bv",IF('Banco de Dados'!$E1326&lt;45641,ROUND(SUM('Banco de Dados'!$R1326*_xlfn.XLOOKUP('Banco de Dados'!$P1326,Sku!B:B,Sku!#REF!)*20%),2),ROUND(SUM('Banco de Dados'!$R1326*_xlfn.XLOOKUP('Banco de Dados'!$P1326,Sku!B:B,Sku!H:H)*20%),2)),'Banco de Dados'!$A1326="GO",ROUND(SUM('Banco de Dados'!$R1326*_xlfn.XLOOKUP('Banco de Dados'!$P1326,Sku!C:C,Sku!H:H)*20%),2),'Banco de Dados'!$A1326="MEI",ROUND(SUM('Banco de Dados'!$R1326*_xlfn.XLOOKUP('Banco de Dados'!$P1326,Sku!D:D,Sku!H:H)*20%),2)),0)</f>
        <v>0</v>
      </c>
      <c r="AN1326" s="109">
        <f ca="1">IF('Banco de Dados'!$AK1326&lt;&gt;"-",IF('Banco de Dados'!$F1326&lt;&gt;"-",_xlfn.XLOOKUP(IFERROR(IFERROR(IFERROR(VALUE(SUBSTITUTE(MID(_xlfn.TEXTAFTER('Banco de Dados'!$F1326,"Data do Pedido:
",1),1,10),"-","/")),VALUE(SUBSTITUTE(MID(_xlfn.TEXTAFTER('Banco de Dados'!$F1326,"Order date:
",1),1,10),"-","/"))),VALUE(SUBSTITUTE(MID(_xlfn.TEXTAFTER('Banco de Dados'!$F1326,"Fecha de pedido:
",1),1,10),"-","/"))),"-"),SMS!A:A,SMS!K:K),0),0)</f>
        <v>0</v>
      </c>
      <c r="AO1326" s="109">
        <f ca="1">IF('Banco de Dados'!$AK1326&lt;&gt;"-",IF('Banco de Dados'!$F1326&lt;&gt;"-",IFERROR(_xlfn.XLOOKUP(_xlfn.CONCAT('Banco de Dados'!$A1326,IFERROR(IFERROR(VALUE(SUBSTITUTE(MID(_xlfn.TEXTAFTER('Banco de Dados'!$F1326,"Data do Pedido:
",1),1,10),"-","/")),VALUE(SUBSTITUTE(MID(_xlfn.TEXTAFTER('Banco de Dados'!$F1326,"Order date:
",1),1,10),"-","/"))),0)),ProxyDD[Chave],ProxyDD[Valor por pedido]),PROXY!$P$2),0),0)</f>
        <v>0</v>
      </c>
      <c r="AP1326" s="28">
        <f ca="1">IF('Banco de Dados'!$AK1326&lt;&gt;"-",IF('Banco de Dados'!$AL1326="NÃO",IFERROR(VALUE(SUBSTITUTE(_xlfn.TEXTAFTER('Banco de Dados'!$F1326,"BRL ",1),".",",")),0),0),0)</f>
        <v>0</v>
      </c>
      <c r="AQ1326" s="28">
        <f ca="1">SUM('Banco de Dados'!$AM1326:$AP1326)</f>
        <v>0</v>
      </c>
      <c r="AR1326" s="8"/>
      <c r="AY1326" s="8"/>
    </row>
    <row r="1327" spans="1:51">
      <c r="A1327" s="5" t="str">
        <v>GO</v>
      </c>
      <c r="B1327" s="5" t="str">
        <f ca="1"/>
        <v>GO45734</v>
      </c>
      <c r="C1327" s="8" t="str">
        <v>Pedido 1314</v>
      </c>
      <c r="D1327" s="187">
        <v>45734</v>
      </c>
      <c r="E1327" s="9">
        <v>45734</v>
      </c>
      <c r="F1327" s="8" t="str">
        <v>PedidoF1258</v>
      </c>
      <c r="G1327" s="2" t="str">
        <v>CódRastreio1256</v>
      </c>
      <c r="H1327" s="5">
        <v>1</v>
      </c>
      <c r="I1327" s="2" t="str">
        <v>CPF 1280</v>
      </c>
      <c r="J1327" s="2" t="str">
        <v>Nome 1280</v>
      </c>
      <c r="K1327" s="8" t="str">
        <v>Tel 1280</v>
      </c>
      <c r="L1327" s="8" t="str">
        <v>Cep 1280</v>
      </c>
      <c r="M1327" s="8" t="str">
        <v>Rua 1280</v>
      </c>
      <c r="N1327" s="8" t="str">
        <v>Comp 1280</v>
      </c>
      <c r="O1327" s="8" t="str">
        <v>Ventilador Umidificador Preto</v>
      </c>
      <c r="P1327" s="8" t="str">
        <v>K9-YV2I-FO7H</v>
      </c>
      <c r="Q1327" s="4">
        <v>45759</v>
      </c>
      <c r="R1327" s="109">
        <v>44.9</v>
      </c>
      <c r="S1327" s="11">
        <f ca="1"/>
        <v>44.9</v>
      </c>
      <c r="T1327" s="28">
        <f ca="1"/>
        <v>6.2860000000000005</v>
      </c>
      <c r="U1327" s="11">
        <f ca="1"/>
        <v>38.61</v>
      </c>
      <c r="V1327" s="11">
        <v>19.14</v>
      </c>
      <c r="W1327" s="11">
        <f ca="1"/>
        <v>0.2</v>
      </c>
      <c r="X1327" s="11">
        <f ca="1"/>
        <v>0.39877104377104378</v>
      </c>
      <c r="Y1327" s="11">
        <v>0</v>
      </c>
      <c r="Z1327" s="11">
        <f ca="1"/>
        <v>18.871228956228954</v>
      </c>
      <c r="AA1327" s="11">
        <f ca="1"/>
        <v>18.871228956228954</v>
      </c>
      <c r="AB1327" s="4">
        <f ca="1"/>
        <v>45766</v>
      </c>
      <c r="AC1327" s="4">
        <v>45766</v>
      </c>
      <c r="AD1327" s="9">
        <v>45779</v>
      </c>
      <c r="AE1327" s="9">
        <v>45783</v>
      </c>
      <c r="AF1327" s="4" t="str">
        <f t="shared" ca="1" si="85"/>
        <v>2025 04</v>
      </c>
      <c r="AG1327" s="8" t="str" cm="1">
        <f t="array" ref="AG1327">IFERROR(_xlfn.IFS('Banco de Dados'!#REF!="AG. COMPRA","Em processamento",'Banco de Dados'!#REF!="AG. RASTREIO","Em processamento",'Banco de Dados'!$AE1327&lt;&gt;"-","Faturado",'Banco de Dados'!$AD1327&lt;&gt;"-","Aguardando Pix",'Banco de Dados'!$AC1327&lt;&gt;"-","Pendente"),"Aguardando Liberação")</f>
        <v>Aguardando Liberação</v>
      </c>
      <c r="AH1327" s="5" t="str">
        <f>IF('Banco de Dados'!$F1327="-",_xlfn.CONCAT(PROPER(TEXT(AK1327,"aaaa"))," ",PROPER(TEXT(AK1327,"mm"))),_xlfn.CONCAT(PROPER(TEXT(E1327,"aaaa"))," ",PROPER(TEXT(E1327,"mm"))))</f>
        <v>2025 03</v>
      </c>
      <c r="AI1327" s="9" t="str">
        <f ca="1">IF('Banco de Dados'!$AK1327&lt;&gt;"-","REEMBOLSO",IFERROR(_xlfn.XLOOKUP(G1327,Follow[CODRASTREIO],Follow[STATUS]),"-"))</f>
        <v>ENTREGUE</v>
      </c>
      <c r="AJ1327" s="9">
        <f ca="1">IF('Banco de Dados'!$AI1327="ENTREGUE",_xlfn.XLOOKUP('Banco de Dados'!$G1327,Follow[CODRASTREIO],Follow[DATAATUALIZAÇÃO]),"-")</f>
        <v>45744</v>
      </c>
      <c r="AK1327" s="132" t="str">
        <f ca="1"/>
        <v>-</v>
      </c>
      <c r="AL1327" s="35"/>
      <c r="AM1327" s="109" cm="1">
        <f t="array" aca="1" ref="AM1327" ca="1">IF('Banco de Dados'!$AK1327&lt;&gt;"-",_xlfn.IFS('Banco de Dados'!$A1327="bv",IF('Banco de Dados'!$E1327&lt;45641,ROUND(SUM('Banco de Dados'!$R1327*_xlfn.XLOOKUP('Banco de Dados'!$P1327,Sku!B:B,Sku!#REF!)*20%),2),ROUND(SUM('Banco de Dados'!$R1327*_xlfn.XLOOKUP('Banco de Dados'!$P1327,Sku!B:B,Sku!H:H)*20%),2)),'Banco de Dados'!$A1327="GO",ROUND(SUM('Banco de Dados'!$R1327*_xlfn.XLOOKUP('Banco de Dados'!$P1327,Sku!C:C,Sku!H:H)*20%),2),'Banco de Dados'!$A1327="MEI",ROUND(SUM('Banco de Dados'!$R1327*_xlfn.XLOOKUP('Banco de Dados'!$P1327,Sku!D:D,Sku!H:H)*20%),2)),0)</f>
        <v>0</v>
      </c>
      <c r="AN1327" s="109">
        <f ca="1">IF('Banco de Dados'!$AK1327&lt;&gt;"-",IF('Banco de Dados'!$F1327&lt;&gt;"-",_xlfn.XLOOKUP(IFERROR(IFERROR(IFERROR(VALUE(SUBSTITUTE(MID(_xlfn.TEXTAFTER('Banco de Dados'!$F1327,"Data do Pedido:
",1),1,10),"-","/")),VALUE(SUBSTITUTE(MID(_xlfn.TEXTAFTER('Banco de Dados'!$F1327,"Order date:
",1),1,10),"-","/"))),VALUE(SUBSTITUTE(MID(_xlfn.TEXTAFTER('Banco de Dados'!$F1327,"Fecha de pedido:
",1),1,10),"-","/"))),"-"),SMS!A:A,SMS!K:K),0),0)</f>
        <v>0</v>
      </c>
      <c r="AO1327" s="109">
        <f ca="1">IF('Banco de Dados'!$AK1327&lt;&gt;"-",IF('Banco de Dados'!$F1327&lt;&gt;"-",IFERROR(_xlfn.XLOOKUP(_xlfn.CONCAT('Banco de Dados'!$A1327,IFERROR(IFERROR(VALUE(SUBSTITUTE(MID(_xlfn.TEXTAFTER('Banco de Dados'!$F1327,"Data do Pedido:
",1),1,10),"-","/")),VALUE(SUBSTITUTE(MID(_xlfn.TEXTAFTER('Banco de Dados'!$F1327,"Order date:
",1),1,10),"-","/"))),0)),ProxyDD[Chave],ProxyDD[Valor por pedido]),PROXY!$P$2),0),0)</f>
        <v>0</v>
      </c>
      <c r="AP1327" s="28">
        <f ca="1">IF('Banco de Dados'!$AK1327&lt;&gt;"-",IF('Banco de Dados'!$AL1327="NÃO",IFERROR(VALUE(SUBSTITUTE(_xlfn.TEXTAFTER('Banco de Dados'!$F1327,"BRL ",1),".",",")),0),0),0)</f>
        <v>0</v>
      </c>
      <c r="AQ1327" s="28">
        <f ca="1">SUM('Banco de Dados'!$AM1327:$AP1327)</f>
        <v>0</v>
      </c>
      <c r="AR1327" s="8"/>
      <c r="AY1327" s="8"/>
    </row>
    <row r="1328" spans="1:51">
      <c r="A1328" s="5" t="str">
        <v>GO</v>
      </c>
      <c r="B1328" s="5" t="str">
        <f ca="1"/>
        <v>GO45734</v>
      </c>
      <c r="C1328" s="8" t="str">
        <v>Pedido 1315</v>
      </c>
      <c r="D1328" s="187">
        <v>45734</v>
      </c>
      <c r="E1328" s="9">
        <v>45734</v>
      </c>
      <c r="F1328" s="8" t="str">
        <v>PedidoF1259</v>
      </c>
      <c r="G1328" s="2" t="str">
        <v>CódRastreio1257</v>
      </c>
      <c r="H1328" s="5">
        <v>1</v>
      </c>
      <c r="I1328" s="2" t="str">
        <v>CPF 1281</v>
      </c>
      <c r="J1328" s="2" t="str">
        <v>Nome 1281</v>
      </c>
      <c r="K1328" s="8" t="str">
        <v>Tel 1281</v>
      </c>
      <c r="L1328" s="8" t="str">
        <v>Cep 1281</v>
      </c>
      <c r="M1328" s="8" t="str">
        <v>Rua 1281</v>
      </c>
      <c r="N1328" s="8" t="str">
        <v>Comp 1281</v>
      </c>
      <c r="O1328" s="8" t="str">
        <v>Máquina de cortar cabelo dragão</v>
      </c>
      <c r="P1328" s="8" t="str">
        <v>6G-56LI-EPD4</v>
      </c>
      <c r="Q1328" s="4">
        <v>45759</v>
      </c>
      <c r="R1328" s="109">
        <v>24.17</v>
      </c>
      <c r="S1328" s="11">
        <f ca="1"/>
        <v>24.17</v>
      </c>
      <c r="T1328" s="28">
        <f ca="1"/>
        <v>2.9004000000000003</v>
      </c>
      <c r="U1328" s="11">
        <f ca="1"/>
        <v>21.27</v>
      </c>
      <c r="V1328" s="11">
        <v>10.210000000000001</v>
      </c>
      <c r="W1328" s="11">
        <f ca="1"/>
        <v>0.2</v>
      </c>
      <c r="X1328" s="11">
        <f ca="1"/>
        <v>0.39877104377104378</v>
      </c>
      <c r="Y1328" s="11">
        <v>0</v>
      </c>
      <c r="Z1328" s="11">
        <f ca="1"/>
        <v>10.461228956228956</v>
      </c>
      <c r="AA1328" s="11">
        <f ca="1"/>
        <v>10.461228956228956</v>
      </c>
      <c r="AB1328" s="4">
        <f ca="1"/>
        <v>45766</v>
      </c>
      <c r="AC1328" s="4">
        <v>45766</v>
      </c>
      <c r="AD1328" s="9">
        <v>45779</v>
      </c>
      <c r="AE1328" s="9">
        <v>45783</v>
      </c>
      <c r="AF1328" s="4" t="str">
        <f t="shared" ca="1" si="85"/>
        <v>2025 04</v>
      </c>
      <c r="AG1328" s="8" t="str" cm="1">
        <f t="array" ref="AG1328">IFERROR(_xlfn.IFS('Banco de Dados'!#REF!="AG. COMPRA","Em processamento",'Banco de Dados'!#REF!="AG. RASTREIO","Em processamento",'Banco de Dados'!$AE1328&lt;&gt;"-","Faturado",'Banco de Dados'!$AD1328&lt;&gt;"-","Aguardando Pix",'Banco de Dados'!$AC1328&lt;&gt;"-","Pendente"),"Aguardando Liberação")</f>
        <v>Aguardando Liberação</v>
      </c>
      <c r="AH1328" s="5" t="str">
        <f>IF('Banco de Dados'!$F1328="-",_xlfn.CONCAT(PROPER(TEXT(AK1328,"aaaa"))," ",PROPER(TEXT(AK1328,"mm"))),_xlfn.CONCAT(PROPER(TEXT(E1328,"aaaa"))," ",PROPER(TEXT(E1328,"mm"))))</f>
        <v>2025 03</v>
      </c>
      <c r="AI1328" s="9" t="str">
        <f ca="1">IF('Banco de Dados'!$AK1328&lt;&gt;"-","REEMBOLSO",IFERROR(_xlfn.XLOOKUP(G1328,Follow[CODRASTREIO],Follow[STATUS]),"-"))</f>
        <v>ENTREGUE</v>
      </c>
      <c r="AJ1328" s="9">
        <f ca="1">IF('Banco de Dados'!$AI1328="ENTREGUE",_xlfn.XLOOKUP('Banco de Dados'!$G1328,Follow[CODRASTREIO],Follow[DATAATUALIZAÇÃO]),"-")</f>
        <v>45749</v>
      </c>
      <c r="AK1328" s="132" t="str">
        <f ca="1"/>
        <v>-</v>
      </c>
      <c r="AL1328" s="35"/>
      <c r="AM1328" s="109" cm="1">
        <f t="array" aca="1" ref="AM1328" ca="1">IF('Banco de Dados'!$AK1328&lt;&gt;"-",_xlfn.IFS('Banco de Dados'!$A1328="bv",IF('Banco de Dados'!$E1328&lt;45641,ROUND(SUM('Banco de Dados'!$R1328*_xlfn.XLOOKUP('Banco de Dados'!$P1328,Sku!B:B,Sku!#REF!)*20%),2),ROUND(SUM('Banco de Dados'!$R1328*_xlfn.XLOOKUP('Banco de Dados'!$P1328,Sku!B:B,Sku!H:H)*20%),2)),'Banco de Dados'!$A1328="GO",ROUND(SUM('Banco de Dados'!$R1328*_xlfn.XLOOKUP('Banco de Dados'!$P1328,Sku!C:C,Sku!H:H)*20%),2),'Banco de Dados'!$A1328="MEI",ROUND(SUM('Banco de Dados'!$R1328*_xlfn.XLOOKUP('Banco de Dados'!$P1328,Sku!D:D,Sku!H:H)*20%),2)),0)</f>
        <v>0</v>
      </c>
      <c r="AN1328" s="109">
        <f ca="1">IF('Banco de Dados'!$AK1328&lt;&gt;"-",IF('Banco de Dados'!$F1328&lt;&gt;"-",_xlfn.XLOOKUP(IFERROR(IFERROR(IFERROR(VALUE(SUBSTITUTE(MID(_xlfn.TEXTAFTER('Banco de Dados'!$F1328,"Data do Pedido:
",1),1,10),"-","/")),VALUE(SUBSTITUTE(MID(_xlfn.TEXTAFTER('Banco de Dados'!$F1328,"Order date:
",1),1,10),"-","/"))),VALUE(SUBSTITUTE(MID(_xlfn.TEXTAFTER('Banco de Dados'!$F1328,"Fecha de pedido:
",1),1,10),"-","/"))),"-"),SMS!A:A,SMS!K:K),0),0)</f>
        <v>0</v>
      </c>
      <c r="AO1328" s="109">
        <f ca="1">IF('Banco de Dados'!$AK1328&lt;&gt;"-",IF('Banco de Dados'!$F1328&lt;&gt;"-",IFERROR(_xlfn.XLOOKUP(_xlfn.CONCAT('Banco de Dados'!$A1328,IFERROR(IFERROR(VALUE(SUBSTITUTE(MID(_xlfn.TEXTAFTER('Banco de Dados'!$F1328,"Data do Pedido:
",1),1,10),"-","/")),VALUE(SUBSTITUTE(MID(_xlfn.TEXTAFTER('Banco de Dados'!$F1328,"Order date:
",1),1,10),"-","/"))),0)),ProxyDD[Chave],ProxyDD[Valor por pedido]),PROXY!$P$2),0),0)</f>
        <v>0</v>
      </c>
      <c r="AP1328" s="28">
        <f ca="1">IF('Banco de Dados'!$AK1328&lt;&gt;"-",IF('Banco de Dados'!$AL1328="NÃO",IFERROR(VALUE(SUBSTITUTE(_xlfn.TEXTAFTER('Banco de Dados'!$F1328,"BRL ",1),".",",")),0),0),0)</f>
        <v>0</v>
      </c>
      <c r="AQ1328" s="28">
        <f ca="1">SUM('Banco de Dados'!$AM1328:$AP1328)</f>
        <v>0</v>
      </c>
      <c r="AR1328" s="8"/>
      <c r="AY1328" s="8"/>
    </row>
    <row r="1329" spans="1:51">
      <c r="A1329" s="5" t="str">
        <v>GO</v>
      </c>
      <c r="B1329" s="5" t="str">
        <f ca="1"/>
        <v>GO45735</v>
      </c>
      <c r="C1329" s="8" t="str">
        <v>Pedido 1316</v>
      </c>
      <c r="D1329" s="187">
        <v>45734</v>
      </c>
      <c r="E1329" s="9">
        <v>45735</v>
      </c>
      <c r="F1329" s="8" t="str">
        <v>PedidoF1260</v>
      </c>
      <c r="G1329" s="2" t="str">
        <v>CódRastreio1258</v>
      </c>
      <c r="H1329" s="5">
        <v>1</v>
      </c>
      <c r="I1329" s="2" t="str">
        <v>CPF 1282</v>
      </c>
      <c r="J1329" s="2" t="str">
        <v>Nome 1282</v>
      </c>
      <c r="K1329" s="8" t="str">
        <v>Tel 1282</v>
      </c>
      <c r="L1329" s="8" t="str">
        <v>Cep 1282</v>
      </c>
      <c r="M1329" s="8" t="str">
        <v>Rua 1282</v>
      </c>
      <c r="N1329" s="8" t="str">
        <v>Comp 1282</v>
      </c>
      <c r="O1329" s="8" t="str">
        <v>Lampada Led</v>
      </c>
      <c r="P1329" s="8" t="str">
        <v>U9-32BU-7J5P</v>
      </c>
      <c r="Q1329" s="4">
        <v>45755</v>
      </c>
      <c r="R1329" s="109">
        <v>26.99</v>
      </c>
      <c r="S1329" s="11">
        <f ca="1"/>
        <v>26.99</v>
      </c>
      <c r="T1329" s="28">
        <f ca="1"/>
        <v>3.5086999999999997</v>
      </c>
      <c r="U1329" s="11">
        <f ca="1"/>
        <v>23.48</v>
      </c>
      <c r="V1329" s="11">
        <v>10.199999999999999</v>
      </c>
      <c r="W1329" s="11">
        <f ca="1"/>
        <v>0</v>
      </c>
      <c r="X1329" s="11">
        <f ca="1"/>
        <v>0.39877104377104378</v>
      </c>
      <c r="Y1329" s="11">
        <v>0</v>
      </c>
      <c r="Z1329" s="11">
        <f ca="1"/>
        <v>12.881228956228957</v>
      </c>
      <c r="AA1329" s="11">
        <f ca="1"/>
        <v>12.881228956228957</v>
      </c>
      <c r="AB1329" s="4">
        <f ca="1"/>
        <v>45762</v>
      </c>
      <c r="AC1329" s="4">
        <v>45762</v>
      </c>
      <c r="AD1329" s="9">
        <v>45762</v>
      </c>
      <c r="AE1329" s="9">
        <v>45763</v>
      </c>
      <c r="AF1329" s="4" t="str">
        <f t="shared" ca="1" si="85"/>
        <v>2025 04</v>
      </c>
      <c r="AG1329" s="8" t="str" cm="1">
        <f t="array" ref="AG1329">IFERROR(_xlfn.IFS('Banco de Dados'!#REF!="AG. COMPRA","Em processamento",'Banco de Dados'!#REF!="AG. RASTREIO","Em processamento",'Banco de Dados'!$AE1329&lt;&gt;"-","Faturado",'Banco de Dados'!$AD1329&lt;&gt;"-","Aguardando Pix",'Banco de Dados'!$AC1329&lt;&gt;"-","Pendente"),"Aguardando Liberação")</f>
        <v>Aguardando Liberação</v>
      </c>
      <c r="AH1329" s="5" t="str">
        <f>IF('Banco de Dados'!$F1329="-",_xlfn.CONCAT(PROPER(TEXT(AK1329,"aaaa"))," ",PROPER(TEXT(AK1329,"mm"))),_xlfn.CONCAT(PROPER(TEXT(E1329,"aaaa"))," ",PROPER(TEXT(E1329,"mm"))))</f>
        <v>2025 03</v>
      </c>
      <c r="AI1329" s="9" t="str">
        <f ca="1">IF('Banco de Dados'!$AK1329&lt;&gt;"-","REEMBOLSO",IFERROR(_xlfn.XLOOKUP(G1329,Follow[CODRASTREIO],Follow[STATUS]),"-"))</f>
        <v>ENTREGUE</v>
      </c>
      <c r="AJ1329" s="9">
        <f ca="1">IF('Banco de Dados'!$AI1329="ENTREGUE",_xlfn.XLOOKUP('Banco de Dados'!$G1329,Follow[CODRASTREIO],Follow[DATAATUALIZAÇÃO]),"-")</f>
        <v>45747</v>
      </c>
      <c r="AK1329" s="132" t="str">
        <f ca="1"/>
        <v>-</v>
      </c>
      <c r="AL1329" s="35"/>
      <c r="AM1329" s="109" cm="1">
        <f t="array" aca="1" ref="AM1329" ca="1">IF('Banco de Dados'!$AK1329&lt;&gt;"-",_xlfn.IFS('Banco de Dados'!$A1329="bv",IF('Banco de Dados'!$E1329&lt;45641,ROUND(SUM('Banco de Dados'!$R1329*_xlfn.XLOOKUP('Banco de Dados'!$P1329,Sku!B:B,Sku!#REF!)*20%),2),ROUND(SUM('Banco de Dados'!$R1329*_xlfn.XLOOKUP('Banco de Dados'!$P1329,Sku!B:B,Sku!H:H)*20%),2)),'Banco de Dados'!$A1329="GO",ROUND(SUM('Banco de Dados'!$R1329*_xlfn.XLOOKUP('Banco de Dados'!$P1329,Sku!C:C,Sku!H:H)*20%),2),'Banco de Dados'!$A1329="MEI",ROUND(SUM('Banco de Dados'!$R1329*_xlfn.XLOOKUP('Banco de Dados'!$P1329,Sku!D:D,Sku!H:H)*20%),2)),0)</f>
        <v>0</v>
      </c>
      <c r="AN1329" s="109">
        <f ca="1">IF('Banco de Dados'!$AK1329&lt;&gt;"-",IF('Banco de Dados'!$F1329&lt;&gt;"-",_xlfn.XLOOKUP(IFERROR(IFERROR(IFERROR(VALUE(SUBSTITUTE(MID(_xlfn.TEXTAFTER('Banco de Dados'!$F1329,"Data do Pedido:
",1),1,10),"-","/")),VALUE(SUBSTITUTE(MID(_xlfn.TEXTAFTER('Banco de Dados'!$F1329,"Order date:
",1),1,10),"-","/"))),VALUE(SUBSTITUTE(MID(_xlfn.TEXTAFTER('Banco de Dados'!$F1329,"Fecha de pedido:
",1),1,10),"-","/"))),"-"),SMS!A:A,SMS!K:K),0),0)</f>
        <v>0</v>
      </c>
      <c r="AO1329" s="109">
        <f ca="1">IF('Banco de Dados'!$AK1329&lt;&gt;"-",IF('Banco de Dados'!$F1329&lt;&gt;"-",IFERROR(_xlfn.XLOOKUP(_xlfn.CONCAT('Banco de Dados'!$A1329,IFERROR(IFERROR(VALUE(SUBSTITUTE(MID(_xlfn.TEXTAFTER('Banco de Dados'!$F1329,"Data do Pedido:
",1),1,10),"-","/")),VALUE(SUBSTITUTE(MID(_xlfn.TEXTAFTER('Banco de Dados'!$F1329,"Order date:
",1),1,10),"-","/"))),0)),ProxyDD[Chave],ProxyDD[Valor por pedido]),PROXY!$P$2),0),0)</f>
        <v>0</v>
      </c>
      <c r="AP1329" s="28">
        <f ca="1">IF('Banco de Dados'!$AK1329&lt;&gt;"-",IF('Banco de Dados'!$AL1329="NÃO",IFERROR(VALUE(SUBSTITUTE(_xlfn.TEXTAFTER('Banco de Dados'!$F1329,"BRL ",1),".",",")),0),0),0)</f>
        <v>0</v>
      </c>
      <c r="AQ1329" s="28">
        <f ca="1">SUM('Banco de Dados'!$AM1329:$AP1329)</f>
        <v>0</v>
      </c>
      <c r="AR1329" s="8"/>
      <c r="AY1329" s="8"/>
    </row>
    <row r="1330" spans="1:51">
      <c r="A1330" s="5" t="str">
        <v>GO</v>
      </c>
      <c r="B1330" s="5" t="str">
        <f ca="1"/>
        <v>GO45738</v>
      </c>
      <c r="C1330" s="8" t="str">
        <v>Pedido 1317</v>
      </c>
      <c r="D1330" s="187">
        <v>45734</v>
      </c>
      <c r="E1330" s="9">
        <v>45738</v>
      </c>
      <c r="F1330" s="8" t="str">
        <v>PedidoF1261</v>
      </c>
      <c r="G1330" s="2" t="str">
        <v>CódRastreio1259</v>
      </c>
      <c r="H1330" s="5">
        <v>1</v>
      </c>
      <c r="I1330" s="2" t="str">
        <v>CPF 1283</v>
      </c>
      <c r="J1330" s="2" t="str">
        <v>Nome 1283</v>
      </c>
      <c r="K1330" s="8" t="str">
        <v>Tel 1283</v>
      </c>
      <c r="L1330" s="8" t="str">
        <v>Cep 1283</v>
      </c>
      <c r="M1330" s="8" t="str">
        <v>Rua 1283</v>
      </c>
      <c r="N1330" s="8" t="str">
        <v>Comp 1283</v>
      </c>
      <c r="O1330" s="8" t="str">
        <v>Máquina de cortar cabelo dragão</v>
      </c>
      <c r="P1330" s="8" t="str">
        <v>6G-56LI-EPD4</v>
      </c>
      <c r="Q1330" s="4">
        <v>45759</v>
      </c>
      <c r="R1330" s="109">
        <v>24.17</v>
      </c>
      <c r="S1330" s="11">
        <f ca="1"/>
        <v>24.17</v>
      </c>
      <c r="T1330" s="28">
        <f ca="1"/>
        <v>2.9004000000000003</v>
      </c>
      <c r="U1330" s="11">
        <f ca="1"/>
        <v>21.27</v>
      </c>
      <c r="V1330" s="11">
        <v>10.17</v>
      </c>
      <c r="W1330" s="11">
        <f ca="1"/>
        <v>0.27</v>
      </c>
      <c r="X1330" s="11">
        <f ca="1"/>
        <v>0.39877104377104378</v>
      </c>
      <c r="Y1330" s="11">
        <v>0</v>
      </c>
      <c r="Z1330" s="11">
        <f ca="1"/>
        <v>10.431228956228956</v>
      </c>
      <c r="AA1330" s="11">
        <f ca="1"/>
        <v>10.431228956228956</v>
      </c>
      <c r="AB1330" s="4">
        <f ca="1"/>
        <v>45766</v>
      </c>
      <c r="AC1330" s="4">
        <v>45766</v>
      </c>
      <c r="AD1330" s="9">
        <v>45779</v>
      </c>
      <c r="AE1330" s="9">
        <v>45783</v>
      </c>
      <c r="AF1330" s="4" t="str">
        <f t="shared" ca="1" si="85"/>
        <v>2025 04</v>
      </c>
      <c r="AG1330" s="8" t="str" cm="1">
        <f t="array" ref="AG1330">IFERROR(_xlfn.IFS('Banco de Dados'!#REF!="AG. COMPRA","Em processamento",'Banco de Dados'!#REF!="AG. RASTREIO","Em processamento",'Banco de Dados'!$AE1330&lt;&gt;"-","Faturado",'Banco de Dados'!$AD1330&lt;&gt;"-","Aguardando Pix",'Banco de Dados'!$AC1330&lt;&gt;"-","Pendente"),"Aguardando Liberação")</f>
        <v>Aguardando Liberação</v>
      </c>
      <c r="AH1330" s="5" t="str">
        <f>IF('Banco de Dados'!$F1330="-",_xlfn.CONCAT(PROPER(TEXT(AK1330,"aaaa"))," ",PROPER(TEXT(AK1330,"mm"))),_xlfn.CONCAT(PROPER(TEXT(E1330,"aaaa"))," ",PROPER(TEXT(E1330,"mm"))))</f>
        <v>2025 03</v>
      </c>
      <c r="AI1330" s="9" t="str">
        <f ca="1">IF('Banco de Dados'!$AK1330&lt;&gt;"-","REEMBOLSO",IFERROR(_xlfn.XLOOKUP(G1330,Follow[CODRASTREIO],Follow[STATUS]),"-"))</f>
        <v>ENTREGUE</v>
      </c>
      <c r="AJ1330" s="9">
        <f ca="1">IF('Banco de Dados'!$AI1330="ENTREGUE",_xlfn.XLOOKUP('Banco de Dados'!$G1330,Follow[CODRASTREIO],Follow[DATAATUALIZAÇÃO]),"-")</f>
        <v>45754</v>
      </c>
      <c r="AK1330" s="132" t="str">
        <f ca="1"/>
        <v>-</v>
      </c>
      <c r="AL1330" s="35"/>
      <c r="AM1330" s="109" cm="1">
        <f t="array" aca="1" ref="AM1330" ca="1">IF('Banco de Dados'!$AK1330&lt;&gt;"-",_xlfn.IFS('Banco de Dados'!$A1330="bv",IF('Banco de Dados'!$E1330&lt;45641,ROUND(SUM('Banco de Dados'!$R1330*_xlfn.XLOOKUP('Banco de Dados'!$P1330,Sku!B:B,Sku!#REF!)*20%),2),ROUND(SUM('Banco de Dados'!$R1330*_xlfn.XLOOKUP('Banco de Dados'!$P1330,Sku!B:B,Sku!H:H)*20%),2)),'Banco de Dados'!$A1330="GO",ROUND(SUM('Banco de Dados'!$R1330*_xlfn.XLOOKUP('Banco de Dados'!$P1330,Sku!C:C,Sku!H:H)*20%),2),'Banco de Dados'!$A1330="MEI",ROUND(SUM('Banco de Dados'!$R1330*_xlfn.XLOOKUP('Banco de Dados'!$P1330,Sku!D:D,Sku!H:H)*20%),2)),0)</f>
        <v>0</v>
      </c>
      <c r="AN1330" s="109">
        <f ca="1">IF('Banco de Dados'!$AK1330&lt;&gt;"-",IF('Banco de Dados'!$F1330&lt;&gt;"-",_xlfn.XLOOKUP(IFERROR(IFERROR(IFERROR(VALUE(SUBSTITUTE(MID(_xlfn.TEXTAFTER('Banco de Dados'!$F1330,"Data do Pedido:
",1),1,10),"-","/")),VALUE(SUBSTITUTE(MID(_xlfn.TEXTAFTER('Banco de Dados'!$F1330,"Order date:
",1),1,10),"-","/"))),VALUE(SUBSTITUTE(MID(_xlfn.TEXTAFTER('Banco de Dados'!$F1330,"Fecha de pedido:
",1),1,10),"-","/"))),"-"),SMS!A:A,SMS!K:K),0),0)</f>
        <v>0</v>
      </c>
      <c r="AO1330" s="109">
        <f ca="1">IF('Banco de Dados'!$AK1330&lt;&gt;"-",IF('Banco de Dados'!$F1330&lt;&gt;"-",IFERROR(_xlfn.XLOOKUP(_xlfn.CONCAT('Banco de Dados'!$A1330,IFERROR(IFERROR(VALUE(SUBSTITUTE(MID(_xlfn.TEXTAFTER('Banco de Dados'!$F1330,"Data do Pedido:
",1),1,10),"-","/")),VALUE(SUBSTITUTE(MID(_xlfn.TEXTAFTER('Banco de Dados'!$F1330,"Order date:
",1),1,10),"-","/"))),0)),ProxyDD[Chave],ProxyDD[Valor por pedido]),PROXY!$P$2),0),0)</f>
        <v>0</v>
      </c>
      <c r="AP1330" s="28">
        <f ca="1">IF('Banco de Dados'!$AK1330&lt;&gt;"-",IF('Banco de Dados'!$AL1330="NÃO",IFERROR(VALUE(SUBSTITUTE(_xlfn.TEXTAFTER('Banco de Dados'!$F1330,"BRL ",1),".",",")),0),0),0)</f>
        <v>0</v>
      </c>
      <c r="AQ1330" s="28">
        <f ca="1">SUM('Banco de Dados'!$AM1330:$AP1330)</f>
        <v>0</v>
      </c>
      <c r="AR1330" s="8"/>
      <c r="AY1330" s="8"/>
    </row>
    <row r="1331" spans="1:51">
      <c r="A1331" s="5" t="str">
        <v>GO</v>
      </c>
      <c r="B1331" s="5" t="str">
        <f ca="1"/>
        <v>GO45738</v>
      </c>
      <c r="C1331" s="8" t="str">
        <v>Pedido 1318</v>
      </c>
      <c r="D1331" s="187">
        <v>45734</v>
      </c>
      <c r="E1331" s="9">
        <v>45738</v>
      </c>
      <c r="F1331" s="8" t="str">
        <v>PedidoF1262</v>
      </c>
      <c r="G1331" s="2" t="str">
        <v>CódRastreio1260</v>
      </c>
      <c r="H1331" s="5">
        <v>1</v>
      </c>
      <c r="I1331" s="2" t="str">
        <v>CPF 1284</v>
      </c>
      <c r="J1331" s="2" t="str">
        <v>Nome 1284</v>
      </c>
      <c r="K1331" s="8" t="str">
        <v>Tel 1284</v>
      </c>
      <c r="L1331" s="8" t="str">
        <v>Cep 1284</v>
      </c>
      <c r="M1331" s="8" t="str">
        <v>Rua 1284</v>
      </c>
      <c r="N1331" s="8" t="str">
        <v>Comp 1284</v>
      </c>
      <c r="O1331" s="8" t="str">
        <v>Máquina de cortar cabelo dragão</v>
      </c>
      <c r="P1331" s="8" t="str">
        <v>6G-56LI-EPD4</v>
      </c>
      <c r="Q1331" s="4">
        <v>45759</v>
      </c>
      <c r="R1331" s="109">
        <v>24.17</v>
      </c>
      <c r="S1331" s="11">
        <f ca="1"/>
        <v>24.17</v>
      </c>
      <c r="T1331" s="28">
        <f ca="1"/>
        <v>2.9004000000000003</v>
      </c>
      <c r="U1331" s="11">
        <f ca="1"/>
        <v>21.27</v>
      </c>
      <c r="V1331" s="11">
        <v>10.17</v>
      </c>
      <c r="W1331" s="11">
        <f ca="1"/>
        <v>0.27</v>
      </c>
      <c r="X1331" s="11">
        <f ca="1"/>
        <v>0.39877104377104378</v>
      </c>
      <c r="Y1331" s="11">
        <v>0</v>
      </c>
      <c r="Z1331" s="11">
        <f ca="1"/>
        <v>10.431228956228956</v>
      </c>
      <c r="AA1331" s="11">
        <f ca="1"/>
        <v>10.431228956228956</v>
      </c>
      <c r="AB1331" s="4">
        <f ca="1"/>
        <v>45766</v>
      </c>
      <c r="AC1331" s="4">
        <v>45766</v>
      </c>
      <c r="AD1331" s="9">
        <v>45779</v>
      </c>
      <c r="AE1331" s="9">
        <v>45783</v>
      </c>
      <c r="AF1331" s="4" t="str">
        <f t="shared" ca="1" si="85"/>
        <v>2025 04</v>
      </c>
      <c r="AG1331" s="8" t="str" cm="1">
        <f t="array" ref="AG1331">IFERROR(_xlfn.IFS('Banco de Dados'!#REF!="AG. COMPRA","Em processamento",'Banco de Dados'!#REF!="AG. RASTREIO","Em processamento",'Banco de Dados'!$AE1331&lt;&gt;"-","Faturado",'Banco de Dados'!$AD1331&lt;&gt;"-","Aguardando Pix",'Banco de Dados'!$AC1331&lt;&gt;"-","Pendente"),"Aguardando Liberação")</f>
        <v>Aguardando Liberação</v>
      </c>
      <c r="AH1331" s="5" t="str">
        <f>IF('Banco de Dados'!$F1331="-",_xlfn.CONCAT(PROPER(TEXT(AK1331,"aaaa"))," ",PROPER(TEXT(AK1331,"mm"))),_xlfn.CONCAT(PROPER(TEXT(E1331,"aaaa"))," ",PROPER(TEXT(E1331,"mm"))))</f>
        <v>2025 03</v>
      </c>
      <c r="AI1331" s="9" t="str">
        <f ca="1">IF('Banco de Dados'!$AK1331&lt;&gt;"-","REEMBOLSO",IFERROR(_xlfn.XLOOKUP(G1331,Follow[CODRASTREIO],Follow[STATUS]),"-"))</f>
        <v>ENTREGUE</v>
      </c>
      <c r="AJ1331" s="9">
        <f ca="1">IF('Banco de Dados'!$AI1331="ENTREGUE",_xlfn.XLOOKUP('Banco de Dados'!$G1331,Follow[CODRASTREIO],Follow[DATAATUALIZAÇÃO]),"-")</f>
        <v>45750</v>
      </c>
      <c r="AK1331" s="132" t="str">
        <f ca="1"/>
        <v>-</v>
      </c>
      <c r="AL1331" s="35"/>
      <c r="AM1331" s="109" cm="1">
        <f t="array" aca="1" ref="AM1331" ca="1">IF('Banco de Dados'!$AK1331&lt;&gt;"-",_xlfn.IFS('Banco de Dados'!$A1331="bv",IF('Banco de Dados'!$E1331&lt;45641,ROUND(SUM('Banco de Dados'!$R1331*_xlfn.XLOOKUP('Banco de Dados'!$P1331,Sku!B:B,Sku!#REF!)*20%),2),ROUND(SUM('Banco de Dados'!$R1331*_xlfn.XLOOKUP('Banco de Dados'!$P1331,Sku!B:B,Sku!H:H)*20%),2)),'Banco de Dados'!$A1331="GO",ROUND(SUM('Banco de Dados'!$R1331*_xlfn.XLOOKUP('Banco de Dados'!$P1331,Sku!C:C,Sku!H:H)*20%),2),'Banco de Dados'!$A1331="MEI",ROUND(SUM('Banco de Dados'!$R1331*_xlfn.XLOOKUP('Banco de Dados'!$P1331,Sku!D:D,Sku!H:H)*20%),2)),0)</f>
        <v>0</v>
      </c>
      <c r="AN1331" s="109">
        <f ca="1">IF('Banco de Dados'!$AK1331&lt;&gt;"-",IF('Banco de Dados'!$F1331&lt;&gt;"-",_xlfn.XLOOKUP(IFERROR(IFERROR(IFERROR(VALUE(SUBSTITUTE(MID(_xlfn.TEXTAFTER('Banco de Dados'!$F1331,"Data do Pedido:
",1),1,10),"-","/")),VALUE(SUBSTITUTE(MID(_xlfn.TEXTAFTER('Banco de Dados'!$F1331,"Order date:
",1),1,10),"-","/"))),VALUE(SUBSTITUTE(MID(_xlfn.TEXTAFTER('Banco de Dados'!$F1331,"Fecha de pedido:
",1),1,10),"-","/"))),"-"),SMS!A:A,SMS!K:K),0),0)</f>
        <v>0</v>
      </c>
      <c r="AO1331" s="109">
        <f ca="1">IF('Banco de Dados'!$AK1331&lt;&gt;"-",IF('Banco de Dados'!$F1331&lt;&gt;"-",IFERROR(_xlfn.XLOOKUP(_xlfn.CONCAT('Banco de Dados'!$A1331,IFERROR(IFERROR(VALUE(SUBSTITUTE(MID(_xlfn.TEXTAFTER('Banco de Dados'!$F1331,"Data do Pedido:
",1),1,10),"-","/")),VALUE(SUBSTITUTE(MID(_xlfn.TEXTAFTER('Banco de Dados'!$F1331,"Order date:
",1),1,10),"-","/"))),0)),ProxyDD[Chave],ProxyDD[Valor por pedido]),PROXY!$P$2),0),0)</f>
        <v>0</v>
      </c>
      <c r="AP1331" s="28">
        <f ca="1">IF('Banco de Dados'!$AK1331&lt;&gt;"-",IF('Banco de Dados'!$AL1331="NÃO",IFERROR(VALUE(SUBSTITUTE(_xlfn.TEXTAFTER('Banco de Dados'!$F1331,"BRL ",1),".",",")),0),0),0)</f>
        <v>0</v>
      </c>
      <c r="AQ1331" s="28">
        <f ca="1">SUM('Banco de Dados'!$AM1331:$AP1331)</f>
        <v>0</v>
      </c>
      <c r="AR1331" s="8"/>
      <c r="AY1331" s="8"/>
    </row>
    <row r="1332" spans="1:51">
      <c r="A1332" s="5" t="str">
        <v>GO</v>
      </c>
      <c r="B1332" s="5" t="str">
        <f ca="1"/>
        <v>GO45738</v>
      </c>
      <c r="C1332" s="8" t="str">
        <v>Pedido 1319</v>
      </c>
      <c r="D1332" s="187">
        <v>45734</v>
      </c>
      <c r="E1332" s="9">
        <v>45738</v>
      </c>
      <c r="F1332" s="8" t="str">
        <v>PedidoF1263</v>
      </c>
      <c r="G1332" s="2" t="str">
        <v>CódRastreio1261</v>
      </c>
      <c r="H1332" s="5">
        <v>1</v>
      </c>
      <c r="I1332" s="2" t="str">
        <v>CPF 1285</v>
      </c>
      <c r="J1332" s="2" t="str">
        <v>Nome 1285</v>
      </c>
      <c r="K1332" s="8" t="str">
        <v>Tel 1285</v>
      </c>
      <c r="L1332" s="8" t="str">
        <v>Cep 1285</v>
      </c>
      <c r="M1332" s="8" t="str">
        <v>Rua 1285</v>
      </c>
      <c r="N1332" s="8" t="str">
        <v>Comp 1285</v>
      </c>
      <c r="O1332" s="8" t="str">
        <v>Máquina de cortar cabelo dragão</v>
      </c>
      <c r="P1332" s="8" t="str">
        <v>6G-56LI-EPD4</v>
      </c>
      <c r="Q1332" s="4">
        <v>45770</v>
      </c>
      <c r="R1332" s="109">
        <v>24.17</v>
      </c>
      <c r="S1332" s="11">
        <f ca="1"/>
        <v>0</v>
      </c>
      <c r="T1332" s="28">
        <f ca="1"/>
        <v>0</v>
      </c>
      <c r="U1332" s="11">
        <f ca="1"/>
        <v>0</v>
      </c>
      <c r="V1332" s="11">
        <v>0</v>
      </c>
      <c r="W1332" s="11">
        <f ca="1"/>
        <v>0</v>
      </c>
      <c r="X1332" s="11">
        <f ca="1"/>
        <v>0.39877104377104378</v>
      </c>
      <c r="Y1332" s="11">
        <v>0</v>
      </c>
      <c r="Z1332" s="11">
        <f ca="1"/>
        <v>-0.39877104377104378</v>
      </c>
      <c r="AA1332" s="11">
        <f ca="1"/>
        <v>-0.39877104377104378</v>
      </c>
      <c r="AB1332" s="4">
        <f ca="1"/>
        <v>45777</v>
      </c>
      <c r="AC1332" s="4">
        <v>45777</v>
      </c>
      <c r="AD1332" s="9">
        <v>45779</v>
      </c>
      <c r="AE1332" s="9">
        <v>45783</v>
      </c>
      <c r="AF1332" s="4" t="str">
        <f t="shared" ca="1" si="85"/>
        <v>2025 04</v>
      </c>
      <c r="AG1332" s="8" t="str" cm="1">
        <f t="array" ref="AG1332">IFERROR(_xlfn.IFS('Banco de Dados'!#REF!="AG. COMPRA","Em processamento",'Banco de Dados'!#REF!="AG. RASTREIO","Em processamento",'Banco de Dados'!$AE1332&lt;&gt;"-","Faturado",'Banco de Dados'!$AD1332&lt;&gt;"-","Aguardando Pix",'Banco de Dados'!$AC1332&lt;&gt;"-","Pendente"),"Aguardando Liberação")</f>
        <v>Aguardando Liberação</v>
      </c>
      <c r="AH1332" s="5" t="str">
        <f>IF('Banco de Dados'!$F1332="-",_xlfn.CONCAT(PROPER(TEXT(AK1332,"aaaa"))," ",PROPER(TEXT(AK1332,"mm"))),_xlfn.CONCAT(PROPER(TEXT(E1332,"aaaa"))," ",PROPER(TEXT(E1332,"mm"))))</f>
        <v>2025 03</v>
      </c>
      <c r="AI1332" s="9" t="str">
        <f ca="1">IF('Banco de Dados'!$AK1332&lt;&gt;"-","REEMBOLSO",IFERROR(_xlfn.XLOOKUP(G1332,Follow[CODRASTREIO],Follow[STATUS]),"-"))</f>
        <v>REEMBOLSO</v>
      </c>
      <c r="AJ1332" s="9" t="str">
        <f ca="1">IF('Banco de Dados'!$AI1332="ENTREGUE",_xlfn.XLOOKUP('Banco de Dados'!$G1332,Follow[CODRASTREIO],Follow[DATAATUALIZAÇÃO]),"-")</f>
        <v>-</v>
      </c>
      <c r="AK1332" s="132">
        <f ca="1"/>
        <v>45775</v>
      </c>
      <c r="AL1332" s="35"/>
      <c r="AM1332" s="109" cm="1">
        <f t="array" aca="1" ref="AM1332" ca="1">IF('Banco de Dados'!$AK1332&lt;&gt;"-",_xlfn.IFS('Banco de Dados'!$A1332="bv",IF('Banco de Dados'!$E1332&lt;45641,ROUND(SUM('Banco de Dados'!$R1332*_xlfn.XLOOKUP('Banco de Dados'!$P1332,Sku!B:B,Sku!#REF!)*20%),2),ROUND(SUM('Banco de Dados'!$R1332*_xlfn.XLOOKUP('Banco de Dados'!$P1332,Sku!B:B,Sku!H:H)*20%),2)),'Banco de Dados'!$A1332="GO",ROUND(SUM('Banco de Dados'!$R1332*_xlfn.XLOOKUP('Banco de Dados'!$P1332,Sku!C:C,Sku!H:H)*20%),2),'Banco de Dados'!$A1332="MEI",ROUND(SUM('Banco de Dados'!$R1332*_xlfn.XLOOKUP('Banco de Dados'!$P1332,Sku!D:D,Sku!H:H)*20%),2)),0)</f>
        <v>0.57999999999999996</v>
      </c>
      <c r="AN1332" s="109" t="e">
        <f ca="1">IF('Banco de Dados'!$AK1332&lt;&gt;"-",IF('Banco de Dados'!$F1332&lt;&gt;"-",_xlfn.XLOOKUP(IFERROR(IFERROR(IFERROR(VALUE(SUBSTITUTE(MID(_xlfn.TEXTAFTER('Banco de Dados'!$F1332,"Data do Pedido:
",1),1,10),"-","/")),VALUE(SUBSTITUTE(MID(_xlfn.TEXTAFTER('Banco de Dados'!$F1332,"Order date:
",1),1,10),"-","/"))),VALUE(SUBSTITUTE(MID(_xlfn.TEXTAFTER('Banco de Dados'!$F1332,"Fecha de pedido:
",1),1,10),"-","/"))),"-"),SMS!A:A,SMS!K:K),0),0)</f>
        <v>#N/A</v>
      </c>
      <c r="AO1332" s="109">
        <f ca="1">IF('Banco de Dados'!$AK1332&lt;&gt;"-",IF('Banco de Dados'!$F1332&lt;&gt;"-",IFERROR(_xlfn.XLOOKUP(_xlfn.CONCAT('Banco de Dados'!$A1332,IFERROR(IFERROR(VALUE(SUBSTITUTE(MID(_xlfn.TEXTAFTER('Banco de Dados'!$F1332,"Data do Pedido:
",1),1,10),"-","/")),VALUE(SUBSTITUTE(MID(_xlfn.TEXTAFTER('Banco de Dados'!$F1332,"Order date:
",1),1,10),"-","/"))),0)),ProxyDD[Chave],ProxyDD[Valor por pedido]),PROXY!$P$2),0),0)</f>
        <v>0.39877104377104378</v>
      </c>
      <c r="AP1332" s="28">
        <f ca="1">IF('Banco de Dados'!$AK1332&lt;&gt;"-",IF('Banco de Dados'!$AL1332="NÃO",IFERROR(VALUE(SUBSTITUTE(_xlfn.TEXTAFTER('Banco de Dados'!$F1332,"BRL ",1),".",",")),0),0),0)</f>
        <v>0</v>
      </c>
      <c r="AQ1332" s="28" t="e">
        <f ca="1">SUM('Banco de Dados'!$AM1332:$AP1332)</f>
        <v>#N/A</v>
      </c>
      <c r="AR1332" s="8"/>
      <c r="AY1332" s="8"/>
    </row>
    <row r="1333" spans="1:51">
      <c r="A1333" s="5" t="str">
        <v>GO</v>
      </c>
      <c r="B1333" s="5" t="str">
        <f ca="1"/>
        <v>GO45740</v>
      </c>
      <c r="C1333" s="8" t="str">
        <v>Pedido 1320</v>
      </c>
      <c r="D1333" s="187">
        <v>45734</v>
      </c>
      <c r="E1333" s="9">
        <v>45740</v>
      </c>
      <c r="F1333" s="8" t="str">
        <v>PedidoF1264</v>
      </c>
      <c r="G1333" s="2" t="str">
        <v>CódRastreio1262</v>
      </c>
      <c r="H1333" s="5">
        <v>1</v>
      </c>
      <c r="I1333" s="2" t="str">
        <v>CPF 1286</v>
      </c>
      <c r="J1333" s="2" t="str">
        <v>Nome 1286</v>
      </c>
      <c r="K1333" s="8" t="str">
        <v>Tel 1286</v>
      </c>
      <c r="L1333" s="8" t="str">
        <v>Cep 1286</v>
      </c>
      <c r="M1333" s="8" t="str">
        <v>Rua 1286</v>
      </c>
      <c r="N1333" s="8" t="str">
        <v>Comp 1286</v>
      </c>
      <c r="O1333" s="8" t="str">
        <v>Lampada Led</v>
      </c>
      <c r="P1333" s="8" t="str">
        <v>U9-32BU-7J5P</v>
      </c>
      <c r="Q1333" s="4">
        <v>45755</v>
      </c>
      <c r="R1333" s="109">
        <v>26.99</v>
      </c>
      <c r="S1333" s="11">
        <f ca="1"/>
        <v>26.99</v>
      </c>
      <c r="T1333" s="28">
        <f ca="1"/>
        <v>3.5086999999999997</v>
      </c>
      <c r="U1333" s="11">
        <f ca="1"/>
        <v>23.48</v>
      </c>
      <c r="V1333" s="11">
        <v>10.19</v>
      </c>
      <c r="W1333" s="11">
        <f ca="1"/>
        <v>0.2</v>
      </c>
      <c r="X1333" s="11">
        <f ca="1"/>
        <v>0.39877104377104378</v>
      </c>
      <c r="Y1333" s="11">
        <v>0</v>
      </c>
      <c r="Z1333" s="11">
        <f ca="1"/>
        <v>12.691228956228958</v>
      </c>
      <c r="AA1333" s="11">
        <f ca="1"/>
        <v>12.691228956228958</v>
      </c>
      <c r="AB1333" s="4">
        <f ca="1"/>
        <v>45762</v>
      </c>
      <c r="AC1333" s="4">
        <v>45762</v>
      </c>
      <c r="AD1333" s="9">
        <v>45762</v>
      </c>
      <c r="AE1333" s="9">
        <v>45763</v>
      </c>
      <c r="AF1333" s="4" t="str">
        <f t="shared" ca="1" si="85"/>
        <v>2025 04</v>
      </c>
      <c r="AG1333" s="8" t="str" cm="1">
        <f t="array" ref="AG1333">IFERROR(_xlfn.IFS('Banco de Dados'!#REF!="AG. COMPRA","Em processamento",'Banco de Dados'!#REF!="AG. RASTREIO","Em processamento",'Banco de Dados'!$AE1333&lt;&gt;"-","Faturado",'Banco de Dados'!$AD1333&lt;&gt;"-","Aguardando Pix",'Banco de Dados'!$AC1333&lt;&gt;"-","Pendente"),"Aguardando Liberação")</f>
        <v>Aguardando Liberação</v>
      </c>
      <c r="AH1333" s="5" t="str">
        <f>IF('Banco de Dados'!$F1333="-",_xlfn.CONCAT(PROPER(TEXT(AK1333,"aaaa"))," ",PROPER(TEXT(AK1333,"mm"))),_xlfn.CONCAT(PROPER(TEXT(E1333,"aaaa"))," ",PROPER(TEXT(E1333,"mm"))))</f>
        <v>2025 03</v>
      </c>
      <c r="AI1333" s="9" t="str">
        <f ca="1">IF('Banco de Dados'!$AK1333&lt;&gt;"-","REEMBOLSO",IFERROR(_xlfn.XLOOKUP(G1333,Follow[CODRASTREIO],Follow[STATUS]),"-"))</f>
        <v>ENTREGUE</v>
      </c>
      <c r="AJ1333" s="9">
        <f ca="1">IF('Banco de Dados'!$AI1333="ENTREGUE",_xlfn.XLOOKUP('Banco de Dados'!$G1333,Follow[CODRASTREIO],Follow[DATAATUALIZAÇÃO]),"-")</f>
        <v>45750</v>
      </c>
      <c r="AK1333" s="132" t="str">
        <f ca="1"/>
        <v>-</v>
      </c>
      <c r="AL1333" s="35"/>
      <c r="AM1333" s="109" cm="1">
        <f t="array" aca="1" ref="AM1333" ca="1">IF('Banco de Dados'!$AK1333&lt;&gt;"-",_xlfn.IFS('Banco de Dados'!$A1333="bv",IF('Banco de Dados'!$E1333&lt;45641,ROUND(SUM('Banco de Dados'!$R1333*_xlfn.XLOOKUP('Banco de Dados'!$P1333,Sku!B:B,Sku!#REF!)*20%),2),ROUND(SUM('Banco de Dados'!$R1333*_xlfn.XLOOKUP('Banco de Dados'!$P1333,Sku!B:B,Sku!H:H)*20%),2)),'Banco de Dados'!$A1333="GO",ROUND(SUM('Banco de Dados'!$R1333*_xlfn.XLOOKUP('Banco de Dados'!$P1333,Sku!C:C,Sku!H:H)*20%),2),'Banco de Dados'!$A1333="MEI",ROUND(SUM('Banco de Dados'!$R1333*_xlfn.XLOOKUP('Banco de Dados'!$P1333,Sku!D:D,Sku!H:H)*20%),2)),0)</f>
        <v>0</v>
      </c>
      <c r="AN1333" s="109">
        <f ca="1">IF('Banco de Dados'!$AK1333&lt;&gt;"-",IF('Banco de Dados'!$F1333&lt;&gt;"-",_xlfn.XLOOKUP(IFERROR(IFERROR(IFERROR(VALUE(SUBSTITUTE(MID(_xlfn.TEXTAFTER('Banco de Dados'!$F1333,"Data do Pedido:
",1),1,10),"-","/")),VALUE(SUBSTITUTE(MID(_xlfn.TEXTAFTER('Banco de Dados'!$F1333,"Order date:
",1),1,10),"-","/"))),VALUE(SUBSTITUTE(MID(_xlfn.TEXTAFTER('Banco de Dados'!$F1333,"Fecha de pedido:
",1),1,10),"-","/"))),"-"),SMS!A:A,SMS!K:K),0),0)</f>
        <v>0</v>
      </c>
      <c r="AO1333" s="109">
        <f ca="1">IF('Banco de Dados'!$AK1333&lt;&gt;"-",IF('Banco de Dados'!$F1333&lt;&gt;"-",IFERROR(_xlfn.XLOOKUP(_xlfn.CONCAT('Banco de Dados'!$A1333,IFERROR(IFERROR(VALUE(SUBSTITUTE(MID(_xlfn.TEXTAFTER('Banco de Dados'!$F1333,"Data do Pedido:
",1),1,10),"-","/")),VALUE(SUBSTITUTE(MID(_xlfn.TEXTAFTER('Banco de Dados'!$F1333,"Order date:
",1),1,10),"-","/"))),0)),ProxyDD[Chave],ProxyDD[Valor por pedido]),PROXY!$P$2),0),0)</f>
        <v>0</v>
      </c>
      <c r="AP1333" s="28">
        <f ca="1">IF('Banco de Dados'!$AK1333&lt;&gt;"-",IF('Banco de Dados'!$AL1333="NÃO",IFERROR(VALUE(SUBSTITUTE(_xlfn.TEXTAFTER('Banco de Dados'!$F1333,"BRL ",1),".",",")),0),0),0)</f>
        <v>0</v>
      </c>
      <c r="AQ1333" s="28">
        <f ca="1">SUM('Banco de Dados'!$AM1333:$AP1333)</f>
        <v>0</v>
      </c>
      <c r="AR1333" s="8"/>
      <c r="AY1333" s="8"/>
    </row>
    <row r="1334" spans="1:51">
      <c r="A1334" s="5" t="str">
        <v>GO</v>
      </c>
      <c r="B1334" s="5" t="str">
        <f ca="1"/>
        <v>GO45738</v>
      </c>
      <c r="C1334" s="8" t="str">
        <v>Pedido 1321</v>
      </c>
      <c r="D1334" s="187">
        <v>45734</v>
      </c>
      <c r="E1334" s="9">
        <v>45738</v>
      </c>
      <c r="F1334" s="8" t="str">
        <v>PedidoF1265</v>
      </c>
      <c r="G1334" s="2" t="str">
        <v>CódRastreio1263</v>
      </c>
      <c r="H1334" s="5">
        <v>1</v>
      </c>
      <c r="I1334" s="2" t="str">
        <v>CPF 1283</v>
      </c>
      <c r="J1334" s="2" t="str">
        <v>Nome 1283</v>
      </c>
      <c r="K1334" s="8" t="str">
        <v>Tel 1283</v>
      </c>
      <c r="L1334" s="8" t="str">
        <v>Cep 1283</v>
      </c>
      <c r="M1334" s="8" t="str">
        <v>Rua 1283</v>
      </c>
      <c r="N1334" s="8" t="str">
        <v>Comp 1283</v>
      </c>
      <c r="O1334" s="8" t="str">
        <v>Máquina de cortar cabelo dragão</v>
      </c>
      <c r="P1334" s="8" t="str">
        <v>6G-56LI-EPD4</v>
      </c>
      <c r="Q1334" s="4">
        <v>45759</v>
      </c>
      <c r="R1334" s="109">
        <v>24.17</v>
      </c>
      <c r="S1334" s="11">
        <f ca="1"/>
        <v>24.17</v>
      </c>
      <c r="T1334" s="28">
        <f ca="1"/>
        <v>2.9004000000000003</v>
      </c>
      <c r="U1334" s="11">
        <f ca="1"/>
        <v>21.27</v>
      </c>
      <c r="V1334" s="11">
        <v>10.17</v>
      </c>
      <c r="W1334" s="11">
        <f ca="1"/>
        <v>0.27</v>
      </c>
      <c r="X1334" s="11">
        <f ca="1"/>
        <v>0.39877104377104378</v>
      </c>
      <c r="Y1334" s="11">
        <v>0</v>
      </c>
      <c r="Z1334" s="11">
        <f ca="1"/>
        <v>10.431228956228956</v>
      </c>
      <c r="AA1334" s="11">
        <f ca="1"/>
        <v>10.431228956228956</v>
      </c>
      <c r="AB1334" s="4">
        <f ca="1"/>
        <v>45766</v>
      </c>
      <c r="AC1334" s="4">
        <v>45766</v>
      </c>
      <c r="AD1334" s="9">
        <v>45779</v>
      </c>
      <c r="AE1334" s="9">
        <v>45783</v>
      </c>
      <c r="AF1334" s="4" t="str">
        <f t="shared" ca="1" si="85"/>
        <v>2025 04</v>
      </c>
      <c r="AG1334" s="8" t="str" cm="1">
        <f t="array" ref="AG1334">IFERROR(_xlfn.IFS('Banco de Dados'!#REF!="AG. COMPRA","Em processamento",'Banco de Dados'!#REF!="AG. RASTREIO","Em processamento",'Banco de Dados'!$AE1334&lt;&gt;"-","Faturado",'Banco de Dados'!$AD1334&lt;&gt;"-","Aguardando Pix",'Banco de Dados'!$AC1334&lt;&gt;"-","Pendente"),"Aguardando Liberação")</f>
        <v>Aguardando Liberação</v>
      </c>
      <c r="AH1334" s="5" t="str">
        <f>IF('Banco de Dados'!$F1334="-",_xlfn.CONCAT(PROPER(TEXT(AK1334,"aaaa"))," ",PROPER(TEXT(AK1334,"mm"))),_xlfn.CONCAT(PROPER(TEXT(E1334,"aaaa"))," ",PROPER(TEXT(E1334,"mm"))))</f>
        <v>2025 03</v>
      </c>
      <c r="AI1334" s="9" t="str">
        <f ca="1">IF('Banco de Dados'!$AK1334&lt;&gt;"-","REEMBOLSO",IFERROR(_xlfn.XLOOKUP(G1334,Follow[CODRASTREIO],Follow[STATUS]),"-"))</f>
        <v>ENTREGUE</v>
      </c>
      <c r="AJ1334" s="9">
        <f ca="1">IF('Banco de Dados'!$AI1334="ENTREGUE",_xlfn.XLOOKUP('Banco de Dados'!$G1334,Follow[CODRASTREIO],Follow[DATAATUALIZAÇÃO]),"-")</f>
        <v>45754</v>
      </c>
      <c r="AK1334" s="132" t="str">
        <f ca="1"/>
        <v>-</v>
      </c>
      <c r="AL1334" s="35"/>
      <c r="AM1334" s="109" cm="1">
        <f t="array" aca="1" ref="AM1334" ca="1">IF('Banco de Dados'!$AK1334&lt;&gt;"-",_xlfn.IFS('Banco de Dados'!$A1334="bv",IF('Banco de Dados'!$E1334&lt;45641,ROUND(SUM('Banco de Dados'!$R1334*_xlfn.XLOOKUP('Banco de Dados'!$P1334,Sku!B:B,Sku!#REF!)*20%),2),ROUND(SUM('Banco de Dados'!$R1334*_xlfn.XLOOKUP('Banco de Dados'!$P1334,Sku!B:B,Sku!H:H)*20%),2)),'Banco de Dados'!$A1334="GO",ROUND(SUM('Banco de Dados'!$R1334*_xlfn.XLOOKUP('Banco de Dados'!$P1334,Sku!C:C,Sku!H:H)*20%),2),'Banco de Dados'!$A1334="MEI",ROUND(SUM('Banco de Dados'!$R1334*_xlfn.XLOOKUP('Banco de Dados'!$P1334,Sku!D:D,Sku!H:H)*20%),2)),0)</f>
        <v>0</v>
      </c>
      <c r="AN1334" s="109">
        <f ca="1">IF('Banco de Dados'!$AK1334&lt;&gt;"-",IF('Banco de Dados'!$F1334&lt;&gt;"-",_xlfn.XLOOKUP(IFERROR(IFERROR(IFERROR(VALUE(SUBSTITUTE(MID(_xlfn.TEXTAFTER('Banco de Dados'!$F1334,"Data do Pedido:
",1),1,10),"-","/")),VALUE(SUBSTITUTE(MID(_xlfn.TEXTAFTER('Banco de Dados'!$F1334,"Order date:
",1),1,10),"-","/"))),VALUE(SUBSTITUTE(MID(_xlfn.TEXTAFTER('Banco de Dados'!$F1334,"Fecha de pedido:
",1),1,10),"-","/"))),"-"),SMS!A:A,SMS!K:K),0),0)</f>
        <v>0</v>
      </c>
      <c r="AO1334" s="109">
        <f ca="1">IF('Banco de Dados'!$AK1334&lt;&gt;"-",IF('Banco de Dados'!$F1334&lt;&gt;"-",IFERROR(_xlfn.XLOOKUP(_xlfn.CONCAT('Banco de Dados'!$A1334,IFERROR(IFERROR(VALUE(SUBSTITUTE(MID(_xlfn.TEXTAFTER('Banco de Dados'!$F1334,"Data do Pedido:
",1),1,10),"-","/")),VALUE(SUBSTITUTE(MID(_xlfn.TEXTAFTER('Banco de Dados'!$F1334,"Order date:
",1),1,10),"-","/"))),0)),ProxyDD[Chave],ProxyDD[Valor por pedido]),PROXY!$P$2),0),0)</f>
        <v>0</v>
      </c>
      <c r="AP1334" s="28">
        <f ca="1">IF('Banco de Dados'!$AK1334&lt;&gt;"-",IF('Banco de Dados'!$AL1334="NÃO",IFERROR(VALUE(SUBSTITUTE(_xlfn.TEXTAFTER('Banco de Dados'!$F1334,"BRL ",1),".",",")),0),0),0)</f>
        <v>0</v>
      </c>
      <c r="AQ1334" s="28">
        <f ca="1">SUM('Banco de Dados'!$AM1334:$AP1334)</f>
        <v>0</v>
      </c>
      <c r="AR1334" s="8"/>
      <c r="AY1334" s="8"/>
    </row>
    <row r="1335" spans="1:51">
      <c r="A1335" s="5" t="str">
        <v>GO</v>
      </c>
      <c r="B1335" s="5" t="str">
        <f ca="1"/>
        <v>GO45738</v>
      </c>
      <c r="C1335" s="8" t="str">
        <v>Pedido 1322</v>
      </c>
      <c r="D1335" s="187">
        <v>45734</v>
      </c>
      <c r="E1335" s="9">
        <v>45738</v>
      </c>
      <c r="F1335" s="8" t="str">
        <v>PedidoF1266</v>
      </c>
      <c r="G1335" s="2" t="str">
        <v>CódRastreio1264</v>
      </c>
      <c r="H1335" s="5">
        <v>1</v>
      </c>
      <c r="I1335" s="2" t="str">
        <v>CPF 1287</v>
      </c>
      <c r="J1335" s="2" t="str">
        <v>Nome 1287</v>
      </c>
      <c r="K1335" s="8" t="str">
        <v>Tel 1287</v>
      </c>
      <c r="L1335" s="8" t="str">
        <v>Cep 1287</v>
      </c>
      <c r="M1335" s="8" t="str">
        <v>Rua 1287</v>
      </c>
      <c r="N1335" s="8" t="str">
        <v>Comp 1287</v>
      </c>
      <c r="O1335" s="8" t="str">
        <v>Maçarico Culinário Portátil</v>
      </c>
      <c r="P1335" s="8" t="str">
        <v>WS-5LUS-APOT</v>
      </c>
      <c r="Q1335" s="4">
        <v>45770</v>
      </c>
      <c r="R1335" s="109">
        <v>25.99</v>
      </c>
      <c r="S1335" s="11">
        <f ca="1"/>
        <v>25.99</v>
      </c>
      <c r="T1335" s="28">
        <f ca="1"/>
        <v>2.8588999999999998</v>
      </c>
      <c r="U1335" s="11">
        <f ca="1"/>
        <v>23.13</v>
      </c>
      <c r="V1335" s="11">
        <v>10.17</v>
      </c>
      <c r="W1335" s="11">
        <f ca="1"/>
        <v>0.27</v>
      </c>
      <c r="X1335" s="11">
        <f ca="1"/>
        <v>0.39877104377104378</v>
      </c>
      <c r="Y1335" s="11">
        <v>0</v>
      </c>
      <c r="Z1335" s="11">
        <f ca="1"/>
        <v>12.291228956228956</v>
      </c>
      <c r="AA1335" s="11">
        <f ca="1"/>
        <v>12.291228956228956</v>
      </c>
      <c r="AB1335" s="4">
        <f ca="1"/>
        <v>45777</v>
      </c>
      <c r="AC1335" s="4">
        <v>45777</v>
      </c>
      <c r="AD1335" s="9">
        <v>45779</v>
      </c>
      <c r="AE1335" s="9">
        <v>45783</v>
      </c>
      <c r="AF1335" s="4" t="str">
        <f t="shared" ca="1" si="85"/>
        <v>2025 04</v>
      </c>
      <c r="AG1335" s="8" t="str" cm="1">
        <f t="array" ref="AG1335">IFERROR(_xlfn.IFS('Banco de Dados'!#REF!="AG. COMPRA","Em processamento",'Banco de Dados'!#REF!="AG. RASTREIO","Em processamento",'Banco de Dados'!$AE1335&lt;&gt;"-","Faturado",'Banco de Dados'!$AD1335&lt;&gt;"-","Aguardando Pix",'Banco de Dados'!$AC1335&lt;&gt;"-","Pendente"),"Aguardando Liberação")</f>
        <v>Aguardando Liberação</v>
      </c>
      <c r="AH1335" s="5" t="str">
        <f>IF('Banco de Dados'!$F1335="-",_xlfn.CONCAT(PROPER(TEXT(AK1335,"aaaa"))," ",PROPER(TEXT(AK1335,"mm"))),_xlfn.CONCAT(PROPER(TEXT(E1335,"aaaa"))," ",PROPER(TEXT(E1335,"mm"))))</f>
        <v>2025 03</v>
      </c>
      <c r="AI1335" s="9" t="str">
        <f ca="1">IF('Banco de Dados'!$AK1335&lt;&gt;"-","REEMBOLSO",IFERROR(_xlfn.XLOOKUP(G1335,Follow[CODRASTREIO],Follow[STATUS]),"-"))</f>
        <v>ENTREGUE</v>
      </c>
      <c r="AJ1335" s="9">
        <f ca="1">IF('Banco de Dados'!$AI1335="ENTREGUE",_xlfn.XLOOKUP('Banco de Dados'!$G1335,Follow[CODRASTREIO],Follow[DATAATUALIZAÇÃO]),"-")</f>
        <v>45771</v>
      </c>
      <c r="AK1335" s="132" t="str">
        <f ca="1"/>
        <v>-</v>
      </c>
      <c r="AL1335" s="35"/>
      <c r="AM1335" s="109" cm="1">
        <f t="array" aca="1" ref="AM1335" ca="1">IF('Banco de Dados'!$AK1335&lt;&gt;"-",_xlfn.IFS('Banco de Dados'!$A1335="bv",IF('Banco de Dados'!$E1335&lt;45641,ROUND(SUM('Banco de Dados'!$R1335*_xlfn.XLOOKUP('Banco de Dados'!$P1335,Sku!B:B,Sku!#REF!)*20%),2),ROUND(SUM('Banco de Dados'!$R1335*_xlfn.XLOOKUP('Banco de Dados'!$P1335,Sku!B:B,Sku!H:H)*20%),2)),'Banco de Dados'!$A1335="GO",ROUND(SUM('Banco de Dados'!$R1335*_xlfn.XLOOKUP('Banco de Dados'!$P1335,Sku!C:C,Sku!H:H)*20%),2),'Banco de Dados'!$A1335="MEI",ROUND(SUM('Banco de Dados'!$R1335*_xlfn.XLOOKUP('Banco de Dados'!$P1335,Sku!D:D,Sku!H:H)*20%),2)),0)</f>
        <v>0</v>
      </c>
      <c r="AN1335" s="109">
        <f ca="1">IF('Banco de Dados'!$AK1335&lt;&gt;"-",IF('Banco de Dados'!$F1335&lt;&gt;"-",_xlfn.XLOOKUP(IFERROR(IFERROR(IFERROR(VALUE(SUBSTITUTE(MID(_xlfn.TEXTAFTER('Banco de Dados'!$F1335,"Data do Pedido:
",1),1,10),"-","/")),VALUE(SUBSTITUTE(MID(_xlfn.TEXTAFTER('Banco de Dados'!$F1335,"Order date:
",1),1,10),"-","/"))),VALUE(SUBSTITUTE(MID(_xlfn.TEXTAFTER('Banco de Dados'!$F1335,"Fecha de pedido:
",1),1,10),"-","/"))),"-"),SMS!A:A,SMS!K:K),0),0)</f>
        <v>0</v>
      </c>
      <c r="AO1335" s="109">
        <f ca="1">IF('Banco de Dados'!$AK1335&lt;&gt;"-",IF('Banco de Dados'!$F1335&lt;&gt;"-",IFERROR(_xlfn.XLOOKUP(_xlfn.CONCAT('Banco de Dados'!$A1335,IFERROR(IFERROR(VALUE(SUBSTITUTE(MID(_xlfn.TEXTAFTER('Banco de Dados'!$F1335,"Data do Pedido:
",1),1,10),"-","/")),VALUE(SUBSTITUTE(MID(_xlfn.TEXTAFTER('Banco de Dados'!$F1335,"Order date:
",1),1,10),"-","/"))),0)),ProxyDD[Chave],ProxyDD[Valor por pedido]),PROXY!$P$2),0),0)</f>
        <v>0</v>
      </c>
      <c r="AP1335" s="28">
        <f ca="1">IF('Banco de Dados'!$AK1335&lt;&gt;"-",IF('Banco de Dados'!$AL1335="NÃO",IFERROR(VALUE(SUBSTITUTE(_xlfn.TEXTAFTER('Banco de Dados'!$F1335,"BRL ",1),".",",")),0),0),0)</f>
        <v>0</v>
      </c>
      <c r="AQ1335" s="28">
        <f ca="1">SUM('Banco de Dados'!$AM1335:$AP1335)</f>
        <v>0</v>
      </c>
      <c r="AR1335" s="8"/>
      <c r="AY1335" s="8"/>
    </row>
    <row r="1336" spans="1:51">
      <c r="A1336" s="5" t="str">
        <v>GO</v>
      </c>
      <c r="B1336" s="5" t="str">
        <f ca="1"/>
        <v>GO45738</v>
      </c>
      <c r="C1336" s="8" t="str">
        <v>Pedido 1323</v>
      </c>
      <c r="D1336" s="187">
        <v>45734</v>
      </c>
      <c r="E1336" s="9">
        <v>45738</v>
      </c>
      <c r="F1336" s="8" t="str">
        <v>PedidoF1267</v>
      </c>
      <c r="G1336" s="2" t="str">
        <v>CódRastreio1265</v>
      </c>
      <c r="H1336" s="5">
        <v>1</v>
      </c>
      <c r="I1336" s="2" t="str">
        <v>CPF 1288</v>
      </c>
      <c r="J1336" s="2" t="str">
        <v>Nome 1288</v>
      </c>
      <c r="K1336" s="8" t="str">
        <v>Tel 1288</v>
      </c>
      <c r="L1336" s="8" t="str">
        <v>Cep 1288</v>
      </c>
      <c r="M1336" s="8" t="str">
        <v>Rua 1288</v>
      </c>
      <c r="N1336" s="8" t="str">
        <v>Comp 1288</v>
      </c>
      <c r="O1336" s="8" t="str">
        <v>Máquina de cortar cabelo dragão</v>
      </c>
      <c r="P1336" s="8" t="str">
        <v>6G-56LI-EPD4</v>
      </c>
      <c r="Q1336" s="4">
        <v>45755</v>
      </c>
      <c r="R1336" s="109">
        <v>24.17</v>
      </c>
      <c r="S1336" s="11">
        <f ca="1"/>
        <v>24.17</v>
      </c>
      <c r="T1336" s="28">
        <f ca="1"/>
        <v>2.9004000000000003</v>
      </c>
      <c r="U1336" s="11">
        <f ca="1"/>
        <v>21.27</v>
      </c>
      <c r="V1336" s="11">
        <v>10.17</v>
      </c>
      <c r="W1336" s="11">
        <f ca="1"/>
        <v>0.27</v>
      </c>
      <c r="X1336" s="11">
        <f ca="1"/>
        <v>0.39877104377104378</v>
      </c>
      <c r="Y1336" s="11">
        <v>0</v>
      </c>
      <c r="Z1336" s="11">
        <f ca="1"/>
        <v>10.431228956228956</v>
      </c>
      <c r="AA1336" s="11">
        <f ca="1"/>
        <v>10.431228956228956</v>
      </c>
      <c r="AB1336" s="4">
        <f ca="1"/>
        <v>45762</v>
      </c>
      <c r="AC1336" s="4">
        <v>45762</v>
      </c>
      <c r="AD1336" s="9">
        <v>45762</v>
      </c>
      <c r="AE1336" s="9">
        <v>45763</v>
      </c>
      <c r="AF1336" s="4" t="str">
        <f t="shared" ca="1" si="85"/>
        <v>2025 04</v>
      </c>
      <c r="AG1336" s="8" t="str" cm="1">
        <f t="array" ref="AG1336">IFERROR(_xlfn.IFS('Banco de Dados'!#REF!="AG. COMPRA","Em processamento",'Banco de Dados'!#REF!="AG. RASTREIO","Em processamento",'Banco de Dados'!$AE1336&lt;&gt;"-","Faturado",'Banco de Dados'!$AD1336&lt;&gt;"-","Aguardando Pix",'Banco de Dados'!$AC1336&lt;&gt;"-","Pendente"),"Aguardando Liberação")</f>
        <v>Aguardando Liberação</v>
      </c>
      <c r="AH1336" s="5" t="str">
        <f>IF('Banco de Dados'!$F1336="-",_xlfn.CONCAT(PROPER(TEXT(AK1336,"aaaa"))," ",PROPER(TEXT(AK1336,"mm"))),_xlfn.CONCAT(PROPER(TEXT(E1336,"aaaa"))," ",PROPER(TEXT(E1336,"mm"))))</f>
        <v>2025 03</v>
      </c>
      <c r="AI1336" s="9" t="str">
        <f ca="1">IF('Banco de Dados'!$AK1336&lt;&gt;"-","REEMBOLSO",IFERROR(_xlfn.XLOOKUP(G1336,Follow[CODRASTREIO],Follow[STATUS]),"-"))</f>
        <v>ENTREGUE</v>
      </c>
      <c r="AJ1336" s="9">
        <f ca="1">IF('Banco de Dados'!$AI1336="ENTREGUE",_xlfn.XLOOKUP('Banco de Dados'!$G1336,Follow[CODRASTREIO],Follow[DATAATUALIZAÇÃO]),"-")</f>
        <v>45754</v>
      </c>
      <c r="AK1336" s="132" t="str">
        <f ca="1"/>
        <v>-</v>
      </c>
      <c r="AL1336" s="35"/>
      <c r="AM1336" s="109" cm="1">
        <f t="array" aca="1" ref="AM1336" ca="1">IF('Banco de Dados'!$AK1336&lt;&gt;"-",_xlfn.IFS('Banco de Dados'!$A1336="bv",IF('Banco de Dados'!$E1336&lt;45641,ROUND(SUM('Banco de Dados'!$R1336*_xlfn.XLOOKUP('Banco de Dados'!$P1336,Sku!B:B,Sku!#REF!)*20%),2),ROUND(SUM('Banco de Dados'!$R1336*_xlfn.XLOOKUP('Banco de Dados'!$P1336,Sku!B:B,Sku!H:H)*20%),2)),'Banco de Dados'!$A1336="GO",ROUND(SUM('Banco de Dados'!$R1336*_xlfn.XLOOKUP('Banco de Dados'!$P1336,Sku!C:C,Sku!H:H)*20%),2),'Banco de Dados'!$A1336="MEI",ROUND(SUM('Banco de Dados'!$R1336*_xlfn.XLOOKUP('Banco de Dados'!$P1336,Sku!D:D,Sku!H:H)*20%),2)),0)</f>
        <v>0</v>
      </c>
      <c r="AN1336" s="109">
        <f ca="1">IF('Banco de Dados'!$AK1336&lt;&gt;"-",IF('Banco de Dados'!$F1336&lt;&gt;"-",_xlfn.XLOOKUP(IFERROR(IFERROR(IFERROR(VALUE(SUBSTITUTE(MID(_xlfn.TEXTAFTER('Banco de Dados'!$F1336,"Data do Pedido:
",1),1,10),"-","/")),VALUE(SUBSTITUTE(MID(_xlfn.TEXTAFTER('Banco de Dados'!$F1336,"Order date:
",1),1,10),"-","/"))),VALUE(SUBSTITUTE(MID(_xlfn.TEXTAFTER('Banco de Dados'!$F1336,"Fecha de pedido:
",1),1,10),"-","/"))),"-"),SMS!A:A,SMS!K:K),0),0)</f>
        <v>0</v>
      </c>
      <c r="AO1336" s="109">
        <f ca="1">IF('Banco de Dados'!$AK1336&lt;&gt;"-",IF('Banco de Dados'!$F1336&lt;&gt;"-",IFERROR(_xlfn.XLOOKUP(_xlfn.CONCAT('Banco de Dados'!$A1336,IFERROR(IFERROR(VALUE(SUBSTITUTE(MID(_xlfn.TEXTAFTER('Banco de Dados'!$F1336,"Data do Pedido:
",1),1,10),"-","/")),VALUE(SUBSTITUTE(MID(_xlfn.TEXTAFTER('Banco de Dados'!$F1336,"Order date:
",1),1,10),"-","/"))),0)),ProxyDD[Chave],ProxyDD[Valor por pedido]),PROXY!$P$2),0),0)</f>
        <v>0</v>
      </c>
      <c r="AP1336" s="28">
        <f ca="1">IF('Banco de Dados'!$AK1336&lt;&gt;"-",IF('Banco de Dados'!$AL1336="NÃO",IFERROR(VALUE(SUBSTITUTE(_xlfn.TEXTAFTER('Banco de Dados'!$F1336,"BRL ",1),".",",")),0),0),0)</f>
        <v>0</v>
      </c>
      <c r="AQ1336" s="28">
        <f ca="1">SUM('Banco de Dados'!$AM1336:$AP1336)</f>
        <v>0</v>
      </c>
      <c r="AR1336" s="8"/>
      <c r="AY1336" s="8"/>
    </row>
    <row r="1337" spans="1:51">
      <c r="A1337" s="5" t="str">
        <v>GO</v>
      </c>
      <c r="B1337" s="5" t="str">
        <f ca="1"/>
        <v>GO45738</v>
      </c>
      <c r="C1337" s="8" t="str">
        <v>Pedido 1324</v>
      </c>
      <c r="D1337" s="187">
        <v>45734</v>
      </c>
      <c r="E1337" s="9">
        <v>45738</v>
      </c>
      <c r="F1337" s="8" t="str">
        <v>PedidoF1268</v>
      </c>
      <c r="G1337" s="2" t="str">
        <v>CódRastreio1266</v>
      </c>
      <c r="H1337" s="5">
        <v>1</v>
      </c>
      <c r="I1337" s="2" t="str">
        <v>CPF 1289</v>
      </c>
      <c r="J1337" s="2" t="str">
        <v>Nome 1289</v>
      </c>
      <c r="K1337" s="8" t="str">
        <v>Tel 1289</v>
      </c>
      <c r="L1337" s="8" t="str">
        <v>Cep 1289</v>
      </c>
      <c r="M1337" s="8" t="str">
        <v>Rua 1289</v>
      </c>
      <c r="N1337" s="8" t="str">
        <v>Comp 1289</v>
      </c>
      <c r="O1337" s="8" t="str">
        <v>Ventilador Umidificador Preto</v>
      </c>
      <c r="P1337" s="8" t="str">
        <v>K9-YV2I-FO7H</v>
      </c>
      <c r="Q1337" s="4">
        <v>45755</v>
      </c>
      <c r="R1337" s="109">
        <v>44.9</v>
      </c>
      <c r="S1337" s="11">
        <f ca="1"/>
        <v>44.9</v>
      </c>
      <c r="T1337" s="28">
        <f ca="1"/>
        <v>6.2860000000000005</v>
      </c>
      <c r="U1337" s="11">
        <f ca="1"/>
        <v>38.61</v>
      </c>
      <c r="V1337" s="11">
        <v>22.88</v>
      </c>
      <c r="W1337" s="11">
        <f ca="1"/>
        <v>0.27</v>
      </c>
      <c r="X1337" s="11">
        <f ca="1"/>
        <v>0.39877104377104378</v>
      </c>
      <c r="Y1337" s="11">
        <v>0</v>
      </c>
      <c r="Z1337" s="11">
        <f ca="1"/>
        <v>15.061228956228955</v>
      </c>
      <c r="AA1337" s="11">
        <f ca="1"/>
        <v>15.061228956228955</v>
      </c>
      <c r="AB1337" s="4">
        <f ca="1"/>
        <v>45762</v>
      </c>
      <c r="AC1337" s="4">
        <v>45762</v>
      </c>
      <c r="AD1337" s="9">
        <v>45762</v>
      </c>
      <c r="AE1337" s="9">
        <v>45763</v>
      </c>
      <c r="AF1337" s="4" t="str">
        <f t="shared" ca="1" si="85"/>
        <v>2025 04</v>
      </c>
      <c r="AG1337" s="8" t="str" cm="1">
        <f t="array" ref="AG1337">IFERROR(_xlfn.IFS('Banco de Dados'!#REF!="AG. COMPRA","Em processamento",'Banco de Dados'!#REF!="AG. RASTREIO","Em processamento",'Banco de Dados'!$AE1337&lt;&gt;"-","Faturado",'Banco de Dados'!$AD1337&lt;&gt;"-","Aguardando Pix",'Banco de Dados'!$AC1337&lt;&gt;"-","Pendente"),"Aguardando Liberação")</f>
        <v>Aguardando Liberação</v>
      </c>
      <c r="AH1337" s="5" t="str">
        <f>IF('Banco de Dados'!$F1337="-",_xlfn.CONCAT(PROPER(TEXT(AK1337,"aaaa"))," ",PROPER(TEXT(AK1337,"mm"))),_xlfn.CONCAT(PROPER(TEXT(E1337,"aaaa"))," ",PROPER(TEXT(E1337,"mm"))))</f>
        <v>2025 03</v>
      </c>
      <c r="AI1337" s="9" t="str">
        <f ca="1">IF('Banco de Dados'!$AK1337&lt;&gt;"-","REEMBOLSO",IFERROR(_xlfn.XLOOKUP(G1337,Follow[CODRASTREIO],Follow[STATUS]),"-"))</f>
        <v>ENTREGUE</v>
      </c>
      <c r="AJ1337" s="9">
        <f ca="1">IF('Banco de Dados'!$AI1337="ENTREGUE",_xlfn.XLOOKUP('Banco de Dados'!$G1337,Follow[CODRASTREIO],Follow[DATAATUALIZAÇÃO]),"-")</f>
        <v>45750</v>
      </c>
      <c r="AK1337" s="132" t="str">
        <f ca="1"/>
        <v>-</v>
      </c>
      <c r="AL1337" s="35"/>
      <c r="AM1337" s="109" cm="1">
        <f t="array" aca="1" ref="AM1337" ca="1">IF('Banco de Dados'!$AK1337&lt;&gt;"-",_xlfn.IFS('Banco de Dados'!$A1337="bv",IF('Banco de Dados'!$E1337&lt;45641,ROUND(SUM('Banco de Dados'!$R1337*_xlfn.XLOOKUP('Banco de Dados'!$P1337,Sku!B:B,Sku!#REF!)*20%),2),ROUND(SUM('Banco de Dados'!$R1337*_xlfn.XLOOKUP('Banco de Dados'!$P1337,Sku!B:B,Sku!H:H)*20%),2)),'Banco de Dados'!$A1337="GO",ROUND(SUM('Banco de Dados'!$R1337*_xlfn.XLOOKUP('Banco de Dados'!$P1337,Sku!C:C,Sku!H:H)*20%),2),'Banco de Dados'!$A1337="MEI",ROUND(SUM('Banco de Dados'!$R1337*_xlfn.XLOOKUP('Banco de Dados'!$P1337,Sku!D:D,Sku!H:H)*20%),2)),0)</f>
        <v>0</v>
      </c>
      <c r="AN1337" s="109">
        <f ca="1">IF('Banco de Dados'!$AK1337&lt;&gt;"-",IF('Banco de Dados'!$F1337&lt;&gt;"-",_xlfn.XLOOKUP(IFERROR(IFERROR(IFERROR(VALUE(SUBSTITUTE(MID(_xlfn.TEXTAFTER('Banco de Dados'!$F1337,"Data do Pedido:
",1),1,10),"-","/")),VALUE(SUBSTITUTE(MID(_xlfn.TEXTAFTER('Banco de Dados'!$F1337,"Order date:
",1),1,10),"-","/"))),VALUE(SUBSTITUTE(MID(_xlfn.TEXTAFTER('Banco de Dados'!$F1337,"Fecha de pedido:
",1),1,10),"-","/"))),"-"),SMS!A:A,SMS!K:K),0),0)</f>
        <v>0</v>
      </c>
      <c r="AO1337" s="109">
        <f ca="1">IF('Banco de Dados'!$AK1337&lt;&gt;"-",IF('Banco de Dados'!$F1337&lt;&gt;"-",IFERROR(_xlfn.XLOOKUP(_xlfn.CONCAT('Banco de Dados'!$A1337,IFERROR(IFERROR(VALUE(SUBSTITUTE(MID(_xlfn.TEXTAFTER('Banco de Dados'!$F1337,"Data do Pedido:
",1),1,10),"-","/")),VALUE(SUBSTITUTE(MID(_xlfn.TEXTAFTER('Banco de Dados'!$F1337,"Order date:
",1),1,10),"-","/"))),0)),ProxyDD[Chave],ProxyDD[Valor por pedido]),PROXY!$P$2),0),0)</f>
        <v>0</v>
      </c>
      <c r="AP1337" s="28">
        <f ca="1">IF('Banco de Dados'!$AK1337&lt;&gt;"-",IF('Banco de Dados'!$AL1337="NÃO",IFERROR(VALUE(SUBSTITUTE(_xlfn.TEXTAFTER('Banco de Dados'!$F1337,"BRL ",1),".",",")),0),0),0)</f>
        <v>0</v>
      </c>
      <c r="AQ1337" s="28">
        <f ca="1">SUM('Banco de Dados'!$AM1337:$AP1337)</f>
        <v>0</v>
      </c>
      <c r="AR1337" s="8"/>
      <c r="AY1337" s="8"/>
    </row>
    <row r="1338" spans="1:51">
      <c r="A1338" s="5" t="str">
        <v>GO</v>
      </c>
      <c r="B1338" s="5" t="str">
        <f ca="1"/>
        <v>GO45738</v>
      </c>
      <c r="C1338" s="8" t="str">
        <v>Pedido 1325</v>
      </c>
      <c r="D1338" s="187">
        <v>45734</v>
      </c>
      <c r="E1338" s="9">
        <v>45738</v>
      </c>
      <c r="F1338" s="8" t="str">
        <v>PedidoF1269</v>
      </c>
      <c r="G1338" s="2" t="str">
        <v>CódRastreio1267</v>
      </c>
      <c r="H1338" s="5">
        <v>1</v>
      </c>
      <c r="I1338" s="2" t="str">
        <v>CPF 1290</v>
      </c>
      <c r="J1338" s="2" t="str">
        <v>Nome 1290</v>
      </c>
      <c r="K1338" s="8" t="str">
        <v>Tel 1290</v>
      </c>
      <c r="L1338" s="8" t="str">
        <v>Cep 1290</v>
      </c>
      <c r="M1338" s="8" t="str">
        <v>Rua 1290</v>
      </c>
      <c r="N1338" s="8" t="str">
        <v>Comp 1290</v>
      </c>
      <c r="O1338" s="8" t="str">
        <v>Máquina de cortar cabelo dragão</v>
      </c>
      <c r="P1338" s="8" t="str">
        <v>6G-56LI-EPD4</v>
      </c>
      <c r="Q1338" s="4">
        <v>45759</v>
      </c>
      <c r="R1338" s="109">
        <v>24.17</v>
      </c>
      <c r="S1338" s="11">
        <f ca="1"/>
        <v>24.17</v>
      </c>
      <c r="T1338" s="28">
        <f ca="1"/>
        <v>2.9004000000000003</v>
      </c>
      <c r="U1338" s="11">
        <f ca="1"/>
        <v>21.27</v>
      </c>
      <c r="V1338" s="11">
        <v>10.17</v>
      </c>
      <c r="W1338" s="11">
        <f ca="1"/>
        <v>0.27</v>
      </c>
      <c r="X1338" s="11">
        <f ca="1"/>
        <v>0.39877104377104378</v>
      </c>
      <c r="Y1338" s="11">
        <v>0</v>
      </c>
      <c r="Z1338" s="11">
        <f ca="1"/>
        <v>10.431228956228956</v>
      </c>
      <c r="AA1338" s="11">
        <f ca="1"/>
        <v>10.431228956228956</v>
      </c>
      <c r="AB1338" s="4">
        <f ca="1"/>
        <v>45766</v>
      </c>
      <c r="AC1338" s="4">
        <v>45766</v>
      </c>
      <c r="AD1338" s="9">
        <v>45779</v>
      </c>
      <c r="AE1338" s="9">
        <v>45783</v>
      </c>
      <c r="AF1338" s="4" t="str">
        <f t="shared" ca="1" si="85"/>
        <v>2025 04</v>
      </c>
      <c r="AG1338" s="8" t="str" cm="1">
        <f t="array" ref="AG1338">IFERROR(_xlfn.IFS('Banco de Dados'!#REF!="AG. COMPRA","Em processamento",'Banco de Dados'!#REF!="AG. RASTREIO","Em processamento",'Banco de Dados'!$AE1338&lt;&gt;"-","Faturado",'Banco de Dados'!$AD1338&lt;&gt;"-","Aguardando Pix",'Banco de Dados'!$AC1338&lt;&gt;"-","Pendente"),"Aguardando Liberação")</f>
        <v>Aguardando Liberação</v>
      </c>
      <c r="AH1338" s="5" t="str">
        <f>IF('Banco de Dados'!$F1338="-",_xlfn.CONCAT(PROPER(TEXT(AK1338,"aaaa"))," ",PROPER(TEXT(AK1338,"mm"))),_xlfn.CONCAT(PROPER(TEXT(E1338,"aaaa"))," ",PROPER(TEXT(E1338,"mm"))))</f>
        <v>2025 03</v>
      </c>
      <c r="AI1338" s="9" t="str">
        <f ca="1">IF('Banco de Dados'!$AK1338&lt;&gt;"-","REEMBOLSO",IFERROR(_xlfn.XLOOKUP(G1338,Follow[CODRASTREIO],Follow[STATUS]),"-"))</f>
        <v>ENTREGUE</v>
      </c>
      <c r="AJ1338" s="9">
        <f ca="1">IF('Banco de Dados'!$AI1338="ENTREGUE",_xlfn.XLOOKUP('Banco de Dados'!$G1338,Follow[CODRASTREIO],Follow[DATAATUALIZAÇÃO]),"-")</f>
        <v>45755</v>
      </c>
      <c r="AK1338" s="132" t="str">
        <f ca="1"/>
        <v>-</v>
      </c>
      <c r="AL1338" s="35"/>
      <c r="AM1338" s="109" cm="1">
        <f t="array" aca="1" ref="AM1338" ca="1">IF('Banco de Dados'!$AK1338&lt;&gt;"-",_xlfn.IFS('Banco de Dados'!$A1338="bv",IF('Banco de Dados'!$E1338&lt;45641,ROUND(SUM('Banco de Dados'!$R1338*_xlfn.XLOOKUP('Banco de Dados'!$P1338,Sku!B:B,Sku!#REF!)*20%),2),ROUND(SUM('Banco de Dados'!$R1338*_xlfn.XLOOKUP('Banco de Dados'!$P1338,Sku!B:B,Sku!H:H)*20%),2)),'Banco de Dados'!$A1338="GO",ROUND(SUM('Banco de Dados'!$R1338*_xlfn.XLOOKUP('Banco de Dados'!$P1338,Sku!C:C,Sku!H:H)*20%),2),'Banco de Dados'!$A1338="MEI",ROUND(SUM('Banco de Dados'!$R1338*_xlfn.XLOOKUP('Banco de Dados'!$P1338,Sku!D:D,Sku!H:H)*20%),2)),0)</f>
        <v>0</v>
      </c>
      <c r="AN1338" s="109">
        <f ca="1">IF('Banco de Dados'!$AK1338&lt;&gt;"-",IF('Banco de Dados'!$F1338&lt;&gt;"-",_xlfn.XLOOKUP(IFERROR(IFERROR(IFERROR(VALUE(SUBSTITUTE(MID(_xlfn.TEXTAFTER('Banco de Dados'!$F1338,"Data do Pedido:
",1),1,10),"-","/")),VALUE(SUBSTITUTE(MID(_xlfn.TEXTAFTER('Banco de Dados'!$F1338,"Order date:
",1),1,10),"-","/"))),VALUE(SUBSTITUTE(MID(_xlfn.TEXTAFTER('Banco de Dados'!$F1338,"Fecha de pedido:
",1),1,10),"-","/"))),"-"),SMS!A:A,SMS!K:K),0),0)</f>
        <v>0</v>
      </c>
      <c r="AO1338" s="109">
        <f ca="1">IF('Banco de Dados'!$AK1338&lt;&gt;"-",IF('Banco de Dados'!$F1338&lt;&gt;"-",IFERROR(_xlfn.XLOOKUP(_xlfn.CONCAT('Banco de Dados'!$A1338,IFERROR(IFERROR(VALUE(SUBSTITUTE(MID(_xlfn.TEXTAFTER('Banco de Dados'!$F1338,"Data do Pedido:
",1),1,10),"-","/")),VALUE(SUBSTITUTE(MID(_xlfn.TEXTAFTER('Banco de Dados'!$F1338,"Order date:
",1),1,10),"-","/"))),0)),ProxyDD[Chave],ProxyDD[Valor por pedido]),PROXY!$P$2),0),0)</f>
        <v>0</v>
      </c>
      <c r="AP1338" s="28">
        <f ca="1">IF('Banco de Dados'!$AK1338&lt;&gt;"-",IF('Banco de Dados'!$AL1338="NÃO",IFERROR(VALUE(SUBSTITUTE(_xlfn.TEXTAFTER('Banco de Dados'!$F1338,"BRL ",1),".",",")),0),0),0)</f>
        <v>0</v>
      </c>
      <c r="AQ1338" s="28">
        <f ca="1">SUM('Banco de Dados'!$AM1338:$AP1338)</f>
        <v>0</v>
      </c>
      <c r="AR1338" s="8"/>
      <c r="AY1338" s="8"/>
    </row>
    <row r="1339" spans="1:51">
      <c r="A1339" s="5" t="str">
        <v>GO</v>
      </c>
      <c r="B1339" s="5" t="str">
        <f ca="1"/>
        <v>GO45738</v>
      </c>
      <c r="C1339" s="8" t="str">
        <v>Pedido 1326</v>
      </c>
      <c r="D1339" s="187">
        <v>45734</v>
      </c>
      <c r="E1339" s="9">
        <v>45738</v>
      </c>
      <c r="F1339" s="8" t="str">
        <v>PedidoF1270</v>
      </c>
      <c r="G1339" s="2" t="str">
        <v>CódRastreio1268</v>
      </c>
      <c r="H1339" s="5">
        <v>1</v>
      </c>
      <c r="I1339" s="2" t="str">
        <v>CPF 1291</v>
      </c>
      <c r="J1339" s="2" t="str">
        <v>Nome 1291</v>
      </c>
      <c r="K1339" s="8" t="str">
        <v>Tel 1291</v>
      </c>
      <c r="L1339" s="8" t="str">
        <v>Cep 1291</v>
      </c>
      <c r="M1339" s="8" t="str">
        <v>Rua 1291</v>
      </c>
      <c r="N1339" s="8" t="str">
        <v>Comp 1291</v>
      </c>
      <c r="O1339" s="8" t="str">
        <v>Maçarico Culinário Portátil</v>
      </c>
      <c r="P1339" s="8" t="str">
        <v>WS-5LUS-APOT</v>
      </c>
      <c r="Q1339" s="4">
        <v>45755</v>
      </c>
      <c r="R1339" s="109">
        <v>25.99</v>
      </c>
      <c r="S1339" s="11">
        <f ca="1"/>
        <v>25.99</v>
      </c>
      <c r="T1339" s="28">
        <f ca="1"/>
        <v>2.8588999999999998</v>
      </c>
      <c r="U1339" s="11">
        <f ca="1"/>
        <v>23.13</v>
      </c>
      <c r="V1339" s="11">
        <v>10.58</v>
      </c>
      <c r="W1339" s="11">
        <f ca="1"/>
        <v>0.27</v>
      </c>
      <c r="X1339" s="11">
        <f ca="1"/>
        <v>0.39877104377104378</v>
      </c>
      <c r="Y1339" s="11">
        <v>0</v>
      </c>
      <c r="Z1339" s="11">
        <f ca="1"/>
        <v>11.881228956228956</v>
      </c>
      <c r="AA1339" s="11">
        <f ca="1"/>
        <v>11.881228956228956</v>
      </c>
      <c r="AB1339" s="4">
        <f ca="1"/>
        <v>45762</v>
      </c>
      <c r="AC1339" s="4">
        <v>45762</v>
      </c>
      <c r="AD1339" s="9">
        <v>45762</v>
      </c>
      <c r="AE1339" s="9">
        <v>45763</v>
      </c>
      <c r="AF1339" s="4" t="str">
        <f t="shared" ca="1" si="85"/>
        <v>2025 04</v>
      </c>
      <c r="AG1339" s="8" t="str" cm="1">
        <f t="array" ref="AG1339">IFERROR(_xlfn.IFS('Banco de Dados'!#REF!="AG. COMPRA","Em processamento",'Banco de Dados'!#REF!="AG. RASTREIO","Em processamento",'Banco de Dados'!$AE1339&lt;&gt;"-","Faturado",'Banco de Dados'!$AD1339&lt;&gt;"-","Aguardando Pix",'Banco de Dados'!$AC1339&lt;&gt;"-","Pendente"),"Aguardando Liberação")</f>
        <v>Aguardando Liberação</v>
      </c>
      <c r="AH1339" s="5" t="str">
        <f>IF('Banco de Dados'!$F1339="-",_xlfn.CONCAT(PROPER(TEXT(AK1339,"aaaa"))," ",PROPER(TEXT(AK1339,"mm"))),_xlfn.CONCAT(PROPER(TEXT(E1339,"aaaa"))," ",PROPER(TEXT(E1339,"mm"))))</f>
        <v>2025 03</v>
      </c>
      <c r="AI1339" s="9" t="str">
        <f ca="1">IF('Banco de Dados'!$AK1339&lt;&gt;"-","REEMBOLSO",IFERROR(_xlfn.XLOOKUP(G1339,Follow[CODRASTREIO],Follow[STATUS]),"-"))</f>
        <v>ENTREGUE</v>
      </c>
      <c r="AJ1339" s="9">
        <f ca="1">IF('Banco de Dados'!$AI1339="ENTREGUE",_xlfn.XLOOKUP('Banco de Dados'!$G1339,Follow[CODRASTREIO],Follow[DATAATUALIZAÇÃO]),"-")</f>
        <v>45763</v>
      </c>
      <c r="AK1339" s="132" t="str">
        <f ca="1"/>
        <v>-</v>
      </c>
      <c r="AL1339" s="35"/>
      <c r="AM1339" s="109" cm="1">
        <f t="array" aca="1" ref="AM1339" ca="1">IF('Banco de Dados'!$AK1339&lt;&gt;"-",_xlfn.IFS('Banco de Dados'!$A1339="bv",IF('Banco de Dados'!$E1339&lt;45641,ROUND(SUM('Banco de Dados'!$R1339*_xlfn.XLOOKUP('Banco de Dados'!$P1339,Sku!B:B,Sku!#REF!)*20%),2),ROUND(SUM('Banco de Dados'!$R1339*_xlfn.XLOOKUP('Banco de Dados'!$P1339,Sku!B:B,Sku!H:H)*20%),2)),'Banco de Dados'!$A1339="GO",ROUND(SUM('Banco de Dados'!$R1339*_xlfn.XLOOKUP('Banco de Dados'!$P1339,Sku!C:C,Sku!H:H)*20%),2),'Banco de Dados'!$A1339="MEI",ROUND(SUM('Banco de Dados'!$R1339*_xlfn.XLOOKUP('Banco de Dados'!$P1339,Sku!D:D,Sku!H:H)*20%),2)),0)</f>
        <v>0</v>
      </c>
      <c r="AN1339" s="109">
        <f ca="1">IF('Banco de Dados'!$AK1339&lt;&gt;"-",IF('Banco de Dados'!$F1339&lt;&gt;"-",_xlfn.XLOOKUP(IFERROR(IFERROR(IFERROR(VALUE(SUBSTITUTE(MID(_xlfn.TEXTAFTER('Banco de Dados'!$F1339,"Data do Pedido:
",1),1,10),"-","/")),VALUE(SUBSTITUTE(MID(_xlfn.TEXTAFTER('Banco de Dados'!$F1339,"Order date:
",1),1,10),"-","/"))),VALUE(SUBSTITUTE(MID(_xlfn.TEXTAFTER('Banco de Dados'!$F1339,"Fecha de pedido:
",1),1,10),"-","/"))),"-"),SMS!A:A,SMS!K:K),0),0)</f>
        <v>0</v>
      </c>
      <c r="AO1339" s="109">
        <f ca="1">IF('Banco de Dados'!$AK1339&lt;&gt;"-",IF('Banco de Dados'!$F1339&lt;&gt;"-",IFERROR(_xlfn.XLOOKUP(_xlfn.CONCAT('Banco de Dados'!$A1339,IFERROR(IFERROR(VALUE(SUBSTITUTE(MID(_xlfn.TEXTAFTER('Banco de Dados'!$F1339,"Data do Pedido:
",1),1,10),"-","/")),VALUE(SUBSTITUTE(MID(_xlfn.TEXTAFTER('Banco de Dados'!$F1339,"Order date:
",1),1,10),"-","/"))),0)),ProxyDD[Chave],ProxyDD[Valor por pedido]),PROXY!$P$2),0),0)</f>
        <v>0</v>
      </c>
      <c r="AP1339" s="28">
        <f ca="1">IF('Banco de Dados'!$AK1339&lt;&gt;"-",IF('Banco de Dados'!$AL1339="NÃO",IFERROR(VALUE(SUBSTITUTE(_xlfn.TEXTAFTER('Banco de Dados'!$F1339,"BRL ",1),".",",")),0),0),0)</f>
        <v>0</v>
      </c>
      <c r="AQ1339" s="28">
        <f ca="1">SUM('Banco de Dados'!$AM1339:$AP1339)</f>
        <v>0</v>
      </c>
      <c r="AR1339" s="8"/>
      <c r="AY1339" s="8"/>
    </row>
    <row r="1340" spans="1:51">
      <c r="A1340" s="5" t="str">
        <v>GO</v>
      </c>
      <c r="B1340" s="5" t="str">
        <f ca="1"/>
        <v>GO45740</v>
      </c>
      <c r="C1340" s="8" t="str">
        <v>Pedido 1327</v>
      </c>
      <c r="D1340" s="187">
        <v>45734</v>
      </c>
      <c r="E1340" s="9">
        <v>45740</v>
      </c>
      <c r="F1340" s="8" t="str">
        <v>PedidoF1271</v>
      </c>
      <c r="G1340" s="2" t="str">
        <v>CódRastreio1269</v>
      </c>
      <c r="H1340" s="5">
        <v>1</v>
      </c>
      <c r="I1340" s="2" t="str">
        <v>CPF 1292</v>
      </c>
      <c r="J1340" s="2" t="str">
        <v>Nome 1292</v>
      </c>
      <c r="K1340" s="8" t="str">
        <v>Tel 1292</v>
      </c>
      <c r="L1340" s="8" t="str">
        <v>Cep 1292</v>
      </c>
      <c r="M1340" s="8" t="str">
        <v>Rua 1292</v>
      </c>
      <c r="N1340" s="8" t="str">
        <v>Comp 1292</v>
      </c>
      <c r="O1340" s="8" t="str">
        <v>Máquina de cortar cabelo dragão</v>
      </c>
      <c r="P1340" s="8" t="str">
        <v>6G-56LI-EPD4</v>
      </c>
      <c r="Q1340" s="4">
        <v>45755</v>
      </c>
      <c r="R1340" s="109">
        <v>24.17</v>
      </c>
      <c r="S1340" s="11">
        <f ca="1"/>
        <v>24.17</v>
      </c>
      <c r="T1340" s="28">
        <f ca="1"/>
        <v>2.9004000000000003</v>
      </c>
      <c r="U1340" s="11">
        <f ca="1"/>
        <v>21.27</v>
      </c>
      <c r="V1340" s="11">
        <v>10.61</v>
      </c>
      <c r="W1340" s="11">
        <f ca="1"/>
        <v>0.2</v>
      </c>
      <c r="X1340" s="11">
        <f ca="1"/>
        <v>0.39877104377104378</v>
      </c>
      <c r="Y1340" s="11">
        <v>0</v>
      </c>
      <c r="Z1340" s="11">
        <f ca="1"/>
        <v>10.061228956228957</v>
      </c>
      <c r="AA1340" s="11">
        <f ca="1"/>
        <v>10.061228956228957</v>
      </c>
      <c r="AB1340" s="4">
        <f ca="1"/>
        <v>45762</v>
      </c>
      <c r="AC1340" s="4">
        <v>45762</v>
      </c>
      <c r="AD1340" s="9">
        <v>45762</v>
      </c>
      <c r="AE1340" s="9">
        <v>45763</v>
      </c>
      <c r="AF1340" s="4" t="str">
        <f t="shared" ca="1" si="85"/>
        <v>2025 04</v>
      </c>
      <c r="AG1340" s="8" t="str" cm="1">
        <f t="array" ref="AG1340">IFERROR(_xlfn.IFS('Banco de Dados'!#REF!="AG. COMPRA","Em processamento",'Banco de Dados'!#REF!="AG. RASTREIO","Em processamento",'Banco de Dados'!$AE1340&lt;&gt;"-","Faturado",'Banco de Dados'!$AD1340&lt;&gt;"-","Aguardando Pix",'Banco de Dados'!$AC1340&lt;&gt;"-","Pendente"),"Aguardando Liberação")</f>
        <v>Aguardando Liberação</v>
      </c>
      <c r="AH1340" s="5" t="str">
        <f>IF('Banco de Dados'!$F1340="-",_xlfn.CONCAT(PROPER(TEXT(AK1340,"aaaa"))," ",PROPER(TEXT(AK1340,"mm"))),_xlfn.CONCAT(PROPER(TEXT(E1340,"aaaa"))," ",PROPER(TEXT(E1340,"mm"))))</f>
        <v>2025 03</v>
      </c>
      <c r="AI1340" s="9" t="str">
        <f ca="1">IF('Banco de Dados'!$AK1340&lt;&gt;"-","REEMBOLSO",IFERROR(_xlfn.XLOOKUP(G1340,Follow[CODRASTREIO],Follow[STATUS]),"-"))</f>
        <v>ENTREGUE</v>
      </c>
      <c r="AJ1340" s="9">
        <f ca="1">IF('Banco de Dados'!$AI1340="ENTREGUE",_xlfn.XLOOKUP('Banco de Dados'!$G1340,Follow[CODRASTREIO],Follow[DATAATUALIZAÇÃO]),"-")</f>
        <v>45750</v>
      </c>
      <c r="AK1340" s="132" t="str">
        <f ca="1"/>
        <v>-</v>
      </c>
      <c r="AL1340" s="35"/>
      <c r="AM1340" s="109" cm="1">
        <f t="array" aca="1" ref="AM1340" ca="1">IF('Banco de Dados'!$AK1340&lt;&gt;"-",_xlfn.IFS('Banco de Dados'!$A1340="bv",IF('Banco de Dados'!$E1340&lt;45641,ROUND(SUM('Banco de Dados'!$R1340*_xlfn.XLOOKUP('Banco de Dados'!$P1340,Sku!B:B,Sku!#REF!)*20%),2),ROUND(SUM('Banco de Dados'!$R1340*_xlfn.XLOOKUP('Banco de Dados'!$P1340,Sku!B:B,Sku!H:H)*20%),2)),'Banco de Dados'!$A1340="GO",ROUND(SUM('Banco de Dados'!$R1340*_xlfn.XLOOKUP('Banco de Dados'!$P1340,Sku!C:C,Sku!H:H)*20%),2),'Banco de Dados'!$A1340="MEI",ROUND(SUM('Banco de Dados'!$R1340*_xlfn.XLOOKUP('Banco de Dados'!$P1340,Sku!D:D,Sku!H:H)*20%),2)),0)</f>
        <v>0</v>
      </c>
      <c r="AN1340" s="109">
        <f ca="1">IF('Banco de Dados'!$AK1340&lt;&gt;"-",IF('Banco de Dados'!$F1340&lt;&gt;"-",_xlfn.XLOOKUP(IFERROR(IFERROR(IFERROR(VALUE(SUBSTITUTE(MID(_xlfn.TEXTAFTER('Banco de Dados'!$F1340,"Data do Pedido:
",1),1,10),"-","/")),VALUE(SUBSTITUTE(MID(_xlfn.TEXTAFTER('Banco de Dados'!$F1340,"Order date:
",1),1,10),"-","/"))),VALUE(SUBSTITUTE(MID(_xlfn.TEXTAFTER('Banco de Dados'!$F1340,"Fecha de pedido:
",1),1,10),"-","/"))),"-"),SMS!A:A,SMS!K:K),0),0)</f>
        <v>0</v>
      </c>
      <c r="AO1340" s="109">
        <f ca="1">IF('Banco de Dados'!$AK1340&lt;&gt;"-",IF('Banco de Dados'!$F1340&lt;&gt;"-",IFERROR(_xlfn.XLOOKUP(_xlfn.CONCAT('Banco de Dados'!$A1340,IFERROR(IFERROR(VALUE(SUBSTITUTE(MID(_xlfn.TEXTAFTER('Banco de Dados'!$F1340,"Data do Pedido:
",1),1,10),"-","/")),VALUE(SUBSTITUTE(MID(_xlfn.TEXTAFTER('Banco de Dados'!$F1340,"Order date:
",1),1,10),"-","/"))),0)),ProxyDD[Chave],ProxyDD[Valor por pedido]),PROXY!$P$2),0),0)</f>
        <v>0</v>
      </c>
      <c r="AP1340" s="28">
        <f ca="1">IF('Banco de Dados'!$AK1340&lt;&gt;"-",IF('Banco de Dados'!$AL1340="NÃO",IFERROR(VALUE(SUBSTITUTE(_xlfn.TEXTAFTER('Banco de Dados'!$F1340,"BRL ",1),".",",")),0),0),0)</f>
        <v>0</v>
      </c>
      <c r="AQ1340" s="28">
        <f ca="1">SUM('Banco de Dados'!$AM1340:$AP1340)</f>
        <v>0</v>
      </c>
      <c r="AR1340" s="8"/>
      <c r="AY1340" s="8"/>
    </row>
    <row r="1341" spans="1:51">
      <c r="A1341" s="5" t="str">
        <v>GO</v>
      </c>
      <c r="B1341" s="5" t="str">
        <f ca="1"/>
        <v>GO45738</v>
      </c>
      <c r="C1341" s="8" t="str">
        <v>Pedido 1328</v>
      </c>
      <c r="D1341" s="187">
        <v>45734</v>
      </c>
      <c r="E1341" s="9">
        <v>45738</v>
      </c>
      <c r="F1341" s="8" t="str">
        <v>PedidoF1272</v>
      </c>
      <c r="G1341" s="2" t="str">
        <v>CódRastreio1270</v>
      </c>
      <c r="H1341" s="5">
        <v>1</v>
      </c>
      <c r="I1341" s="2" t="str">
        <v>CPF 1293</v>
      </c>
      <c r="J1341" s="2" t="str">
        <v>Nome 1293</v>
      </c>
      <c r="K1341" s="8" t="str">
        <v>Tel 1293</v>
      </c>
      <c r="L1341" s="8" t="str">
        <v>Cep 1293</v>
      </c>
      <c r="M1341" s="8" t="str">
        <v>Rua 1293</v>
      </c>
      <c r="N1341" s="8" t="str">
        <v>Comp 1293</v>
      </c>
      <c r="O1341" s="8" t="str">
        <v>Máquina de cortar cabelo dragão</v>
      </c>
      <c r="P1341" s="8" t="str">
        <v>6G-56LI-EPD4</v>
      </c>
      <c r="Q1341" s="4">
        <v>45755</v>
      </c>
      <c r="R1341" s="109">
        <v>24.17</v>
      </c>
      <c r="S1341" s="11">
        <f ca="1"/>
        <v>24.17</v>
      </c>
      <c r="T1341" s="28">
        <f ca="1"/>
        <v>2.9004000000000003</v>
      </c>
      <c r="U1341" s="11">
        <f ca="1"/>
        <v>21.27</v>
      </c>
      <c r="V1341" s="11">
        <v>10.58</v>
      </c>
      <c r="W1341" s="11">
        <f ca="1"/>
        <v>0.27</v>
      </c>
      <c r="X1341" s="11">
        <f ca="1"/>
        <v>0.39877104377104378</v>
      </c>
      <c r="Y1341" s="11">
        <v>0</v>
      </c>
      <c r="Z1341" s="11">
        <f ca="1"/>
        <v>10.021228956228956</v>
      </c>
      <c r="AA1341" s="11">
        <f ca="1"/>
        <v>10.021228956228956</v>
      </c>
      <c r="AB1341" s="4">
        <f ca="1"/>
        <v>45762</v>
      </c>
      <c r="AC1341" s="4">
        <v>45762</v>
      </c>
      <c r="AD1341" s="9">
        <v>45762</v>
      </c>
      <c r="AE1341" s="9">
        <v>45763</v>
      </c>
      <c r="AF1341" s="4" t="str">
        <f t="shared" ca="1" si="85"/>
        <v>2025 04</v>
      </c>
      <c r="AG1341" s="8" t="str" cm="1">
        <f t="array" ref="AG1341">IFERROR(_xlfn.IFS('Banco de Dados'!#REF!="AG. COMPRA","Em processamento",'Banco de Dados'!#REF!="AG. RASTREIO","Em processamento",'Banco de Dados'!$AE1341&lt;&gt;"-","Faturado",'Banco de Dados'!$AD1341&lt;&gt;"-","Aguardando Pix",'Banco de Dados'!$AC1341&lt;&gt;"-","Pendente"),"Aguardando Liberação")</f>
        <v>Aguardando Liberação</v>
      </c>
      <c r="AH1341" s="5" t="str">
        <f>IF('Banco de Dados'!$F1341="-",_xlfn.CONCAT(PROPER(TEXT(AK1341,"aaaa"))," ",PROPER(TEXT(AK1341,"mm"))),_xlfn.CONCAT(PROPER(TEXT(E1341,"aaaa"))," ",PROPER(TEXT(E1341,"mm"))))</f>
        <v>2025 03</v>
      </c>
      <c r="AI1341" s="9" t="str">
        <f ca="1">IF('Banco de Dados'!$AK1341&lt;&gt;"-","REEMBOLSO",IFERROR(_xlfn.XLOOKUP(G1341,Follow[CODRASTREIO],Follow[STATUS]),"-"))</f>
        <v>ENTREGUE</v>
      </c>
      <c r="AJ1341" s="9">
        <f ca="1">IF('Banco de Dados'!$AI1341="ENTREGUE",_xlfn.XLOOKUP('Banco de Dados'!$G1341,Follow[CODRASTREIO],Follow[DATAATUALIZAÇÃO]),"-")</f>
        <v>45754</v>
      </c>
      <c r="AK1341" s="132" t="str">
        <f ca="1"/>
        <v>-</v>
      </c>
      <c r="AL1341" s="35"/>
      <c r="AM1341" s="109" cm="1">
        <f t="array" aca="1" ref="AM1341" ca="1">IF('Banco de Dados'!$AK1341&lt;&gt;"-",_xlfn.IFS('Banco de Dados'!$A1341="bv",IF('Banco de Dados'!$E1341&lt;45641,ROUND(SUM('Banco de Dados'!$R1341*_xlfn.XLOOKUP('Banco de Dados'!$P1341,Sku!B:B,Sku!#REF!)*20%),2),ROUND(SUM('Banco de Dados'!$R1341*_xlfn.XLOOKUP('Banco de Dados'!$P1341,Sku!B:B,Sku!H:H)*20%),2)),'Banco de Dados'!$A1341="GO",ROUND(SUM('Banco de Dados'!$R1341*_xlfn.XLOOKUP('Banco de Dados'!$P1341,Sku!C:C,Sku!H:H)*20%),2),'Banco de Dados'!$A1341="MEI",ROUND(SUM('Banco de Dados'!$R1341*_xlfn.XLOOKUP('Banco de Dados'!$P1341,Sku!D:D,Sku!H:H)*20%),2)),0)</f>
        <v>0</v>
      </c>
      <c r="AN1341" s="109">
        <f ca="1">IF('Banco de Dados'!$AK1341&lt;&gt;"-",IF('Banco de Dados'!$F1341&lt;&gt;"-",_xlfn.XLOOKUP(IFERROR(IFERROR(IFERROR(VALUE(SUBSTITUTE(MID(_xlfn.TEXTAFTER('Banco de Dados'!$F1341,"Data do Pedido:
",1),1,10),"-","/")),VALUE(SUBSTITUTE(MID(_xlfn.TEXTAFTER('Banco de Dados'!$F1341,"Order date:
",1),1,10),"-","/"))),VALUE(SUBSTITUTE(MID(_xlfn.TEXTAFTER('Banco de Dados'!$F1341,"Fecha de pedido:
",1),1,10),"-","/"))),"-"),SMS!A:A,SMS!K:K),0),0)</f>
        <v>0</v>
      </c>
      <c r="AO1341" s="109">
        <f ca="1">IF('Banco de Dados'!$AK1341&lt;&gt;"-",IF('Banco de Dados'!$F1341&lt;&gt;"-",IFERROR(_xlfn.XLOOKUP(_xlfn.CONCAT('Banco de Dados'!$A1341,IFERROR(IFERROR(VALUE(SUBSTITUTE(MID(_xlfn.TEXTAFTER('Banco de Dados'!$F1341,"Data do Pedido:
",1),1,10),"-","/")),VALUE(SUBSTITUTE(MID(_xlfn.TEXTAFTER('Banco de Dados'!$F1341,"Order date:
",1),1,10),"-","/"))),0)),ProxyDD[Chave],ProxyDD[Valor por pedido]),PROXY!$P$2),0),0)</f>
        <v>0</v>
      </c>
      <c r="AP1341" s="28">
        <f ca="1">IF('Banco de Dados'!$AK1341&lt;&gt;"-",IF('Banco de Dados'!$AL1341="NÃO",IFERROR(VALUE(SUBSTITUTE(_xlfn.TEXTAFTER('Banco de Dados'!$F1341,"BRL ",1),".",",")),0),0),0)</f>
        <v>0</v>
      </c>
      <c r="AQ1341" s="28">
        <f ca="1">SUM('Banco de Dados'!$AM1341:$AP1341)</f>
        <v>0</v>
      </c>
      <c r="AR1341" s="8"/>
      <c r="AY1341" s="8"/>
    </row>
    <row r="1342" spans="1:51">
      <c r="A1342" s="5" t="str">
        <v>GO</v>
      </c>
      <c r="B1342" s="5" t="str">
        <f ca="1"/>
        <v>GO45740</v>
      </c>
      <c r="C1342" s="8" t="str">
        <v>Pedido 1329</v>
      </c>
      <c r="D1342" s="187">
        <v>45734</v>
      </c>
      <c r="E1342" s="9">
        <v>45740</v>
      </c>
      <c r="F1342" s="8" t="str">
        <v>PedidoF1273</v>
      </c>
      <c r="G1342" s="2" t="str">
        <v>CódRastreio1271</v>
      </c>
      <c r="H1342" s="5">
        <v>1</v>
      </c>
      <c r="I1342" s="2" t="str">
        <v>CPF 1294</v>
      </c>
      <c r="J1342" s="2" t="str">
        <v>Nome 1294</v>
      </c>
      <c r="K1342" s="8" t="str">
        <v>Tel 1294</v>
      </c>
      <c r="L1342" s="8" t="str">
        <v>Cep 1294</v>
      </c>
      <c r="M1342" s="8" t="str">
        <v>Rua 1294</v>
      </c>
      <c r="N1342" s="8" t="str">
        <v>Comp 1294</v>
      </c>
      <c r="O1342" s="8" t="str">
        <v>Máquina de cortar cabelo dragão</v>
      </c>
      <c r="P1342" s="8" t="str">
        <v>6G-56LI-EPD4</v>
      </c>
      <c r="Q1342" s="4">
        <v>45770</v>
      </c>
      <c r="R1342" s="109">
        <v>24.17</v>
      </c>
      <c r="S1342" s="11">
        <f ca="1"/>
        <v>24.17</v>
      </c>
      <c r="T1342" s="28">
        <f ca="1"/>
        <v>2.9004000000000003</v>
      </c>
      <c r="U1342" s="11">
        <f ca="1"/>
        <v>21.27</v>
      </c>
      <c r="V1342" s="11">
        <v>10.19</v>
      </c>
      <c r="W1342" s="11">
        <f ca="1"/>
        <v>0.2</v>
      </c>
      <c r="X1342" s="11">
        <f ca="1"/>
        <v>0.39877104377104378</v>
      </c>
      <c r="Y1342" s="11">
        <v>0</v>
      </c>
      <c r="Z1342" s="11">
        <f ca="1"/>
        <v>10.481228956228957</v>
      </c>
      <c r="AA1342" s="11">
        <f ca="1"/>
        <v>10.481228956228957</v>
      </c>
      <c r="AB1342" s="4">
        <f ca="1"/>
        <v>45777</v>
      </c>
      <c r="AC1342" s="4">
        <v>45777</v>
      </c>
      <c r="AD1342" s="9">
        <v>45779</v>
      </c>
      <c r="AE1342" s="9">
        <v>45783</v>
      </c>
      <c r="AF1342" s="4" t="str">
        <f t="shared" ca="1" si="85"/>
        <v>2025 04</v>
      </c>
      <c r="AG1342" s="8" t="str" cm="1">
        <f t="array" ref="AG1342">IFERROR(_xlfn.IFS('Banco de Dados'!#REF!="AG. COMPRA","Em processamento",'Banco de Dados'!#REF!="AG. RASTREIO","Em processamento",'Banco de Dados'!$AE1342&lt;&gt;"-","Faturado",'Banco de Dados'!$AD1342&lt;&gt;"-","Aguardando Pix",'Banco de Dados'!$AC1342&lt;&gt;"-","Pendente"),"Aguardando Liberação")</f>
        <v>Aguardando Liberação</v>
      </c>
      <c r="AH1342" s="5" t="str">
        <f>IF('Banco de Dados'!$F1342="-",_xlfn.CONCAT(PROPER(TEXT(AK1342,"aaaa"))," ",PROPER(TEXT(AK1342,"mm"))),_xlfn.CONCAT(PROPER(TEXT(E1342,"aaaa"))," ",PROPER(TEXT(E1342,"mm"))))</f>
        <v>2025 03</v>
      </c>
      <c r="AI1342" s="9" t="str">
        <f ca="1">IF('Banco de Dados'!$AK1342&lt;&gt;"-","REEMBOLSO",IFERROR(_xlfn.XLOOKUP(G1342,Follow[CODRASTREIO],Follow[STATUS]),"-"))</f>
        <v>ENTREGUE</v>
      </c>
      <c r="AJ1342" s="9">
        <f ca="1">IF('Banco de Dados'!$AI1342="ENTREGUE",_xlfn.XLOOKUP('Banco de Dados'!$G1342,Follow[CODRASTREIO],Follow[DATAATUALIZAÇÃO]),"-")</f>
        <v>45758</v>
      </c>
      <c r="AK1342" s="132" t="str">
        <f ca="1"/>
        <v>-</v>
      </c>
      <c r="AL1342" s="35"/>
      <c r="AM1342" s="109" cm="1">
        <f t="array" aca="1" ref="AM1342" ca="1">IF('Banco de Dados'!$AK1342&lt;&gt;"-",_xlfn.IFS('Banco de Dados'!$A1342="bv",IF('Banco de Dados'!$E1342&lt;45641,ROUND(SUM('Banco de Dados'!$R1342*_xlfn.XLOOKUP('Banco de Dados'!$P1342,Sku!B:B,Sku!#REF!)*20%),2),ROUND(SUM('Banco de Dados'!$R1342*_xlfn.XLOOKUP('Banco de Dados'!$P1342,Sku!B:B,Sku!H:H)*20%),2)),'Banco de Dados'!$A1342="GO",ROUND(SUM('Banco de Dados'!$R1342*_xlfn.XLOOKUP('Banco de Dados'!$P1342,Sku!C:C,Sku!H:H)*20%),2),'Banco de Dados'!$A1342="MEI",ROUND(SUM('Banco de Dados'!$R1342*_xlfn.XLOOKUP('Banco de Dados'!$P1342,Sku!D:D,Sku!H:H)*20%),2)),0)</f>
        <v>0</v>
      </c>
      <c r="AN1342" s="109">
        <f ca="1">IF('Banco de Dados'!$AK1342&lt;&gt;"-",IF('Banco de Dados'!$F1342&lt;&gt;"-",_xlfn.XLOOKUP(IFERROR(IFERROR(IFERROR(VALUE(SUBSTITUTE(MID(_xlfn.TEXTAFTER('Banco de Dados'!$F1342,"Data do Pedido:
",1),1,10),"-","/")),VALUE(SUBSTITUTE(MID(_xlfn.TEXTAFTER('Banco de Dados'!$F1342,"Order date:
",1),1,10),"-","/"))),VALUE(SUBSTITUTE(MID(_xlfn.TEXTAFTER('Banco de Dados'!$F1342,"Fecha de pedido:
",1),1,10),"-","/"))),"-"),SMS!A:A,SMS!K:K),0),0)</f>
        <v>0</v>
      </c>
      <c r="AO1342" s="109">
        <f ca="1">IF('Banco de Dados'!$AK1342&lt;&gt;"-",IF('Banco de Dados'!$F1342&lt;&gt;"-",IFERROR(_xlfn.XLOOKUP(_xlfn.CONCAT('Banco de Dados'!$A1342,IFERROR(IFERROR(VALUE(SUBSTITUTE(MID(_xlfn.TEXTAFTER('Banco de Dados'!$F1342,"Data do Pedido:
",1),1,10),"-","/")),VALUE(SUBSTITUTE(MID(_xlfn.TEXTAFTER('Banco de Dados'!$F1342,"Order date:
",1),1,10),"-","/"))),0)),ProxyDD[Chave],ProxyDD[Valor por pedido]),PROXY!$P$2),0),0)</f>
        <v>0</v>
      </c>
      <c r="AP1342" s="28">
        <f ca="1">IF('Banco de Dados'!$AK1342&lt;&gt;"-",IF('Banco de Dados'!$AL1342="NÃO",IFERROR(VALUE(SUBSTITUTE(_xlfn.TEXTAFTER('Banco de Dados'!$F1342,"BRL ",1),".",",")),0),0),0)</f>
        <v>0</v>
      </c>
      <c r="AQ1342" s="28">
        <f ca="1">SUM('Banco de Dados'!$AM1342:$AP1342)</f>
        <v>0</v>
      </c>
      <c r="AR1342" s="8"/>
      <c r="AY1342" s="8"/>
    </row>
    <row r="1343" spans="1:51">
      <c r="A1343" s="5" t="str">
        <v>GO</v>
      </c>
      <c r="B1343" s="5" t="str">
        <f ca="1"/>
        <v>GO45738</v>
      </c>
      <c r="C1343" s="8" t="str">
        <v>Pedido 1330</v>
      </c>
      <c r="D1343" s="187">
        <v>45734</v>
      </c>
      <c r="E1343" s="9">
        <v>45738</v>
      </c>
      <c r="F1343" s="8" t="str">
        <v>PedidoF1274</v>
      </c>
      <c r="G1343" s="2" t="str">
        <v>CódRastreio1272</v>
      </c>
      <c r="H1343" s="5">
        <v>1</v>
      </c>
      <c r="I1343" s="2" t="str">
        <v>CPF 1295</v>
      </c>
      <c r="J1343" s="2" t="str">
        <v>Nome 1295</v>
      </c>
      <c r="K1343" s="8" t="str">
        <v>Tel 1295</v>
      </c>
      <c r="L1343" s="8" t="str">
        <v>Cep 1295</v>
      </c>
      <c r="M1343" s="8" t="str">
        <v>Rua 1295</v>
      </c>
      <c r="N1343" s="8" t="str">
        <v>Comp 1295</v>
      </c>
      <c r="O1343" s="8" t="str">
        <v>Maçarico Culinário Portátil</v>
      </c>
      <c r="P1343" s="8" t="str">
        <v>WS-5LUS-APOT</v>
      </c>
      <c r="Q1343" s="4">
        <v>45759</v>
      </c>
      <c r="R1343" s="109">
        <v>25.99</v>
      </c>
      <c r="S1343" s="11">
        <f ca="1"/>
        <v>25.99</v>
      </c>
      <c r="T1343" s="28">
        <f ca="1"/>
        <v>2.8588999999999998</v>
      </c>
      <c r="U1343" s="11">
        <f ca="1"/>
        <v>23.13</v>
      </c>
      <c r="V1343" s="11">
        <v>10.17</v>
      </c>
      <c r="W1343" s="11">
        <f ca="1"/>
        <v>0.27</v>
      </c>
      <c r="X1343" s="11">
        <f ca="1"/>
        <v>0.39877104377104378</v>
      </c>
      <c r="Y1343" s="11">
        <v>0</v>
      </c>
      <c r="Z1343" s="11">
        <f ca="1"/>
        <v>12.291228956228956</v>
      </c>
      <c r="AA1343" s="11">
        <f ca="1"/>
        <v>12.291228956228956</v>
      </c>
      <c r="AB1343" s="4">
        <f ca="1"/>
        <v>45766</v>
      </c>
      <c r="AC1343" s="4">
        <v>45766</v>
      </c>
      <c r="AD1343" s="9">
        <v>45779</v>
      </c>
      <c r="AE1343" s="9">
        <v>45783</v>
      </c>
      <c r="AF1343" s="4" t="str">
        <f t="shared" ca="1" si="85"/>
        <v>2025 04</v>
      </c>
      <c r="AG1343" s="8" t="str" cm="1">
        <f t="array" ref="AG1343">IFERROR(_xlfn.IFS('Banco de Dados'!#REF!="AG. COMPRA","Em processamento",'Banco de Dados'!#REF!="AG. RASTREIO","Em processamento",'Banco de Dados'!$AE1343&lt;&gt;"-","Faturado",'Banco de Dados'!$AD1343&lt;&gt;"-","Aguardando Pix",'Banco de Dados'!$AC1343&lt;&gt;"-","Pendente"),"Aguardando Liberação")</f>
        <v>Aguardando Liberação</v>
      </c>
      <c r="AH1343" s="5" t="str">
        <f>IF('Banco de Dados'!$F1343="-",_xlfn.CONCAT(PROPER(TEXT(AK1343,"aaaa"))," ",PROPER(TEXT(AK1343,"mm"))),_xlfn.CONCAT(PROPER(TEXT(E1343,"aaaa"))," ",PROPER(TEXT(E1343,"mm"))))</f>
        <v>2025 03</v>
      </c>
      <c r="AI1343" s="9" t="str">
        <f ca="1">IF('Banco de Dados'!$AK1343&lt;&gt;"-","REEMBOLSO",IFERROR(_xlfn.XLOOKUP(G1343,Follow[CODRASTREIO],Follow[STATUS]),"-"))</f>
        <v>ENTREGUE</v>
      </c>
      <c r="AJ1343" s="9">
        <f ca="1">IF('Banco de Dados'!$AI1343="ENTREGUE",_xlfn.XLOOKUP('Banco de Dados'!$G1343,Follow[CODRASTREIO],Follow[DATAATUALIZAÇÃO]),"-")</f>
        <v>45763</v>
      </c>
      <c r="AK1343" s="132" t="str">
        <f ca="1"/>
        <v>-</v>
      </c>
      <c r="AL1343" s="35"/>
      <c r="AM1343" s="109" cm="1">
        <f t="array" aca="1" ref="AM1343" ca="1">IF('Banco de Dados'!$AK1343&lt;&gt;"-",_xlfn.IFS('Banco de Dados'!$A1343="bv",IF('Banco de Dados'!$E1343&lt;45641,ROUND(SUM('Banco de Dados'!$R1343*_xlfn.XLOOKUP('Banco de Dados'!$P1343,Sku!B:B,Sku!#REF!)*20%),2),ROUND(SUM('Banco de Dados'!$R1343*_xlfn.XLOOKUP('Banco de Dados'!$P1343,Sku!B:B,Sku!H:H)*20%),2)),'Banco de Dados'!$A1343="GO",ROUND(SUM('Banco de Dados'!$R1343*_xlfn.XLOOKUP('Banco de Dados'!$P1343,Sku!C:C,Sku!H:H)*20%),2),'Banco de Dados'!$A1343="MEI",ROUND(SUM('Banco de Dados'!$R1343*_xlfn.XLOOKUP('Banco de Dados'!$P1343,Sku!D:D,Sku!H:H)*20%),2)),0)</f>
        <v>0</v>
      </c>
      <c r="AN1343" s="109">
        <f ca="1">IF('Banco de Dados'!$AK1343&lt;&gt;"-",IF('Banco de Dados'!$F1343&lt;&gt;"-",_xlfn.XLOOKUP(IFERROR(IFERROR(IFERROR(VALUE(SUBSTITUTE(MID(_xlfn.TEXTAFTER('Banco de Dados'!$F1343,"Data do Pedido:
",1),1,10),"-","/")),VALUE(SUBSTITUTE(MID(_xlfn.TEXTAFTER('Banco de Dados'!$F1343,"Order date:
",1),1,10),"-","/"))),VALUE(SUBSTITUTE(MID(_xlfn.TEXTAFTER('Banco de Dados'!$F1343,"Fecha de pedido:
",1),1,10),"-","/"))),"-"),SMS!A:A,SMS!K:K),0),0)</f>
        <v>0</v>
      </c>
      <c r="AO1343" s="109">
        <f ca="1">IF('Banco de Dados'!$AK1343&lt;&gt;"-",IF('Banco de Dados'!$F1343&lt;&gt;"-",IFERROR(_xlfn.XLOOKUP(_xlfn.CONCAT('Banco de Dados'!$A1343,IFERROR(IFERROR(VALUE(SUBSTITUTE(MID(_xlfn.TEXTAFTER('Banco de Dados'!$F1343,"Data do Pedido:
",1),1,10),"-","/")),VALUE(SUBSTITUTE(MID(_xlfn.TEXTAFTER('Banco de Dados'!$F1343,"Order date:
",1),1,10),"-","/"))),0)),ProxyDD[Chave],ProxyDD[Valor por pedido]),PROXY!$P$2),0),0)</f>
        <v>0</v>
      </c>
      <c r="AP1343" s="28">
        <f ca="1">IF('Banco de Dados'!$AK1343&lt;&gt;"-",IF('Banco de Dados'!$AL1343="NÃO",IFERROR(VALUE(SUBSTITUTE(_xlfn.TEXTAFTER('Banco de Dados'!$F1343,"BRL ",1),".",",")),0),0),0)</f>
        <v>0</v>
      </c>
      <c r="AQ1343" s="28">
        <f ca="1">SUM('Banco de Dados'!$AM1343:$AP1343)</f>
        <v>0</v>
      </c>
      <c r="AR1343" s="8"/>
      <c r="AY1343" s="8"/>
    </row>
    <row r="1344" spans="1:51">
      <c r="A1344" s="5" t="str">
        <v>GO</v>
      </c>
      <c r="B1344" s="5" t="str">
        <f ca="1"/>
        <v>GO45738</v>
      </c>
      <c r="C1344" s="8" t="str">
        <v>Pedido 1331</v>
      </c>
      <c r="D1344" s="187">
        <v>45734</v>
      </c>
      <c r="E1344" s="9">
        <v>45738</v>
      </c>
      <c r="F1344" s="8" t="str">
        <v>PedidoF1275</v>
      </c>
      <c r="G1344" s="2" t="str">
        <v>CódRastreio1273</v>
      </c>
      <c r="H1344" s="5">
        <v>1</v>
      </c>
      <c r="I1344" s="2" t="str">
        <v>CPF 1296</v>
      </c>
      <c r="J1344" s="2" t="str">
        <v>Nome 1296</v>
      </c>
      <c r="K1344" s="8" t="str">
        <v>Tel 1296</v>
      </c>
      <c r="L1344" s="8" t="str">
        <v>Cep 1296</v>
      </c>
      <c r="M1344" s="8" t="str">
        <v>Rua 1296</v>
      </c>
      <c r="N1344" s="8" t="str">
        <v>Comp 1296</v>
      </c>
      <c r="O1344" s="8" t="str">
        <v>Máquina de cortar cabelo dragão</v>
      </c>
      <c r="P1344" s="8" t="str">
        <v>6G-56LI-EPD4</v>
      </c>
      <c r="Q1344" s="4">
        <v>45759</v>
      </c>
      <c r="R1344" s="109">
        <v>24.17</v>
      </c>
      <c r="S1344" s="11">
        <f ca="1"/>
        <v>24.17</v>
      </c>
      <c r="T1344" s="28">
        <f ca="1"/>
        <v>2.9004000000000003</v>
      </c>
      <c r="U1344" s="11">
        <f ca="1"/>
        <v>21.27</v>
      </c>
      <c r="V1344" s="11">
        <v>10.58</v>
      </c>
      <c r="W1344" s="11">
        <f ca="1"/>
        <v>0.27</v>
      </c>
      <c r="X1344" s="11">
        <f ca="1"/>
        <v>0.39877104377104378</v>
      </c>
      <c r="Y1344" s="11">
        <v>0</v>
      </c>
      <c r="Z1344" s="11">
        <f ca="1"/>
        <v>10.021228956228956</v>
      </c>
      <c r="AA1344" s="11">
        <f ca="1"/>
        <v>10.021228956228956</v>
      </c>
      <c r="AB1344" s="4">
        <f ca="1"/>
        <v>45766</v>
      </c>
      <c r="AC1344" s="4">
        <v>45766</v>
      </c>
      <c r="AD1344" s="9">
        <v>45779</v>
      </c>
      <c r="AE1344" s="9">
        <v>45783</v>
      </c>
      <c r="AF1344" s="4" t="str">
        <f t="shared" ca="1" si="85"/>
        <v>2025 04</v>
      </c>
      <c r="AG1344" s="8" t="str" cm="1">
        <f t="array" ref="AG1344">IFERROR(_xlfn.IFS('Banco de Dados'!#REF!="AG. COMPRA","Em processamento",'Banco de Dados'!#REF!="AG. RASTREIO","Em processamento",'Banco de Dados'!$AE1344&lt;&gt;"-","Faturado",'Banco de Dados'!$AD1344&lt;&gt;"-","Aguardando Pix",'Banco de Dados'!$AC1344&lt;&gt;"-","Pendente"),"Aguardando Liberação")</f>
        <v>Aguardando Liberação</v>
      </c>
      <c r="AH1344" s="5" t="str">
        <f>IF('Banco de Dados'!$F1344="-",_xlfn.CONCAT(PROPER(TEXT(AK1344,"aaaa"))," ",PROPER(TEXT(AK1344,"mm"))),_xlfn.CONCAT(PROPER(TEXT(E1344,"aaaa"))," ",PROPER(TEXT(E1344,"mm"))))</f>
        <v>2025 03</v>
      </c>
      <c r="AI1344" s="9" t="str">
        <f ca="1">IF('Banco de Dados'!$AK1344&lt;&gt;"-","REEMBOLSO",IFERROR(_xlfn.XLOOKUP(G1344,Follow[CODRASTREIO],Follow[STATUS]),"-"))</f>
        <v>ENTREGUE</v>
      </c>
      <c r="AJ1344" s="9">
        <f ca="1">IF('Banco de Dados'!$AI1344="ENTREGUE",_xlfn.XLOOKUP('Banco de Dados'!$G1344,Follow[CODRASTREIO],Follow[DATAATUALIZAÇÃO]),"-")</f>
        <v>45763</v>
      </c>
      <c r="AK1344" s="132" t="str">
        <f ca="1"/>
        <v>-</v>
      </c>
      <c r="AL1344" s="35"/>
      <c r="AM1344" s="109" cm="1">
        <f t="array" aca="1" ref="AM1344" ca="1">IF('Banco de Dados'!$AK1344&lt;&gt;"-",_xlfn.IFS('Banco de Dados'!$A1344="bv",IF('Banco de Dados'!$E1344&lt;45641,ROUND(SUM('Banco de Dados'!$R1344*_xlfn.XLOOKUP('Banco de Dados'!$P1344,Sku!B:B,Sku!#REF!)*20%),2),ROUND(SUM('Banco de Dados'!$R1344*_xlfn.XLOOKUP('Banco de Dados'!$P1344,Sku!B:B,Sku!H:H)*20%),2)),'Banco de Dados'!$A1344="GO",ROUND(SUM('Banco de Dados'!$R1344*_xlfn.XLOOKUP('Banco de Dados'!$P1344,Sku!C:C,Sku!H:H)*20%),2),'Banco de Dados'!$A1344="MEI",ROUND(SUM('Banco de Dados'!$R1344*_xlfn.XLOOKUP('Banco de Dados'!$P1344,Sku!D:D,Sku!H:H)*20%),2)),0)</f>
        <v>0</v>
      </c>
      <c r="AN1344" s="109">
        <f ca="1">IF('Banco de Dados'!$AK1344&lt;&gt;"-",IF('Banco de Dados'!$F1344&lt;&gt;"-",_xlfn.XLOOKUP(IFERROR(IFERROR(IFERROR(VALUE(SUBSTITUTE(MID(_xlfn.TEXTAFTER('Banco de Dados'!$F1344,"Data do Pedido:
",1),1,10),"-","/")),VALUE(SUBSTITUTE(MID(_xlfn.TEXTAFTER('Banco de Dados'!$F1344,"Order date:
",1),1,10),"-","/"))),VALUE(SUBSTITUTE(MID(_xlfn.TEXTAFTER('Banco de Dados'!$F1344,"Fecha de pedido:
",1),1,10),"-","/"))),"-"),SMS!A:A,SMS!K:K),0),0)</f>
        <v>0</v>
      </c>
      <c r="AO1344" s="109">
        <f ca="1">IF('Banco de Dados'!$AK1344&lt;&gt;"-",IF('Banco de Dados'!$F1344&lt;&gt;"-",IFERROR(_xlfn.XLOOKUP(_xlfn.CONCAT('Banco de Dados'!$A1344,IFERROR(IFERROR(VALUE(SUBSTITUTE(MID(_xlfn.TEXTAFTER('Banco de Dados'!$F1344,"Data do Pedido:
",1),1,10),"-","/")),VALUE(SUBSTITUTE(MID(_xlfn.TEXTAFTER('Banco de Dados'!$F1344,"Order date:
",1),1,10),"-","/"))),0)),ProxyDD[Chave],ProxyDD[Valor por pedido]),PROXY!$P$2),0),0)</f>
        <v>0</v>
      </c>
      <c r="AP1344" s="28">
        <f ca="1">IF('Banco de Dados'!$AK1344&lt;&gt;"-",IF('Banco de Dados'!$AL1344="NÃO",IFERROR(VALUE(SUBSTITUTE(_xlfn.TEXTAFTER('Banco de Dados'!$F1344,"BRL ",1),".",",")),0),0),0)</f>
        <v>0</v>
      </c>
      <c r="AQ1344" s="28">
        <f ca="1">SUM('Banco de Dados'!$AM1344:$AP1344)</f>
        <v>0</v>
      </c>
      <c r="AR1344" s="8"/>
      <c r="AY1344" s="8"/>
    </row>
    <row r="1345" spans="1:51">
      <c r="A1345" s="5" t="str">
        <v>GO</v>
      </c>
      <c r="B1345" s="5" t="str">
        <f ca="1"/>
        <v>GO45738</v>
      </c>
      <c r="C1345" s="8" t="str">
        <v>Pedido 1332</v>
      </c>
      <c r="D1345" s="187">
        <v>45734</v>
      </c>
      <c r="E1345" s="9">
        <v>45738</v>
      </c>
      <c r="F1345" s="8" t="str">
        <v>PedidoF1276</v>
      </c>
      <c r="G1345" s="2" t="str">
        <v>CódRastreio1274</v>
      </c>
      <c r="H1345" s="5">
        <v>1</v>
      </c>
      <c r="I1345" s="2" t="str">
        <v>CPF 1297</v>
      </c>
      <c r="J1345" s="2" t="str">
        <v>Nome 1297</v>
      </c>
      <c r="K1345" s="8" t="str">
        <v>Tel 1297</v>
      </c>
      <c r="L1345" s="8" t="str">
        <v>Cep 1297</v>
      </c>
      <c r="M1345" s="8" t="str">
        <v>Rua 1297</v>
      </c>
      <c r="N1345" s="8" t="str">
        <v>Comp 1297</v>
      </c>
      <c r="O1345" s="8" t="str">
        <v>Máquina de cortar cabelo dragão</v>
      </c>
      <c r="P1345" s="8" t="str">
        <v>6G-56LI-EPD4</v>
      </c>
      <c r="Q1345" s="4">
        <v>45759</v>
      </c>
      <c r="R1345" s="109">
        <v>24.17</v>
      </c>
      <c r="S1345" s="11">
        <f ca="1"/>
        <v>24.17</v>
      </c>
      <c r="T1345" s="28">
        <f ca="1"/>
        <v>2.9004000000000003</v>
      </c>
      <c r="U1345" s="11">
        <f ca="1"/>
        <v>21.27</v>
      </c>
      <c r="V1345" s="11">
        <v>10.58</v>
      </c>
      <c r="W1345" s="11">
        <f ca="1"/>
        <v>0.27</v>
      </c>
      <c r="X1345" s="11">
        <f ca="1"/>
        <v>0.39877104377104378</v>
      </c>
      <c r="Y1345" s="11">
        <v>0</v>
      </c>
      <c r="Z1345" s="11">
        <f ca="1"/>
        <v>10.021228956228956</v>
      </c>
      <c r="AA1345" s="11">
        <f ca="1"/>
        <v>10.021228956228956</v>
      </c>
      <c r="AB1345" s="4">
        <f ca="1"/>
        <v>45766</v>
      </c>
      <c r="AC1345" s="4">
        <v>45766</v>
      </c>
      <c r="AD1345" s="9">
        <v>45779</v>
      </c>
      <c r="AE1345" s="9">
        <v>45783</v>
      </c>
      <c r="AF1345" s="4" t="str">
        <f t="shared" ca="1" si="85"/>
        <v>2025 04</v>
      </c>
      <c r="AG1345" s="8" t="str" cm="1">
        <f t="array" ref="AG1345">IFERROR(_xlfn.IFS('Banco de Dados'!#REF!="AG. COMPRA","Em processamento",'Banco de Dados'!#REF!="AG. RASTREIO","Em processamento",'Banco de Dados'!$AE1345&lt;&gt;"-","Faturado",'Banco de Dados'!$AD1345&lt;&gt;"-","Aguardando Pix",'Banco de Dados'!$AC1345&lt;&gt;"-","Pendente"),"Aguardando Liberação")</f>
        <v>Aguardando Liberação</v>
      </c>
      <c r="AH1345" s="5" t="str">
        <f>IF('Banco de Dados'!$F1345="-",_xlfn.CONCAT(PROPER(TEXT(AK1345,"aaaa"))," ",PROPER(TEXT(AK1345,"mm"))),_xlfn.CONCAT(PROPER(TEXT(E1345,"aaaa"))," ",PROPER(TEXT(E1345,"mm"))))</f>
        <v>2025 03</v>
      </c>
      <c r="AI1345" s="9" t="str">
        <f ca="1">IF('Banco de Dados'!$AK1345&lt;&gt;"-","REEMBOLSO",IFERROR(_xlfn.XLOOKUP(G1345,Follow[CODRASTREIO],Follow[STATUS]),"-"))</f>
        <v>ENTREGUE</v>
      </c>
      <c r="AJ1345" s="9">
        <f ca="1">IF('Banco de Dados'!$AI1345="ENTREGUE",_xlfn.XLOOKUP('Banco de Dados'!$G1345,Follow[CODRASTREIO],Follow[DATAATUALIZAÇÃO]),"-")</f>
        <v>45763</v>
      </c>
      <c r="AK1345" s="132" t="str">
        <f ca="1"/>
        <v>-</v>
      </c>
      <c r="AL1345" s="35"/>
      <c r="AM1345" s="109" cm="1">
        <f t="array" aca="1" ref="AM1345" ca="1">IF('Banco de Dados'!$AK1345&lt;&gt;"-",_xlfn.IFS('Banco de Dados'!$A1345="bv",IF('Banco de Dados'!$E1345&lt;45641,ROUND(SUM('Banco de Dados'!$R1345*_xlfn.XLOOKUP('Banco de Dados'!$P1345,Sku!B:B,Sku!#REF!)*20%),2),ROUND(SUM('Banco de Dados'!$R1345*_xlfn.XLOOKUP('Banco de Dados'!$P1345,Sku!B:B,Sku!H:H)*20%),2)),'Banco de Dados'!$A1345="GO",ROUND(SUM('Banco de Dados'!$R1345*_xlfn.XLOOKUP('Banco de Dados'!$P1345,Sku!C:C,Sku!H:H)*20%),2),'Banco de Dados'!$A1345="MEI",ROUND(SUM('Banco de Dados'!$R1345*_xlfn.XLOOKUP('Banco de Dados'!$P1345,Sku!D:D,Sku!H:H)*20%),2)),0)</f>
        <v>0</v>
      </c>
      <c r="AN1345" s="109">
        <f ca="1">IF('Banco de Dados'!$AK1345&lt;&gt;"-",IF('Banco de Dados'!$F1345&lt;&gt;"-",_xlfn.XLOOKUP(IFERROR(IFERROR(IFERROR(VALUE(SUBSTITUTE(MID(_xlfn.TEXTAFTER('Banco de Dados'!$F1345,"Data do Pedido:
",1),1,10),"-","/")),VALUE(SUBSTITUTE(MID(_xlfn.TEXTAFTER('Banco de Dados'!$F1345,"Order date:
",1),1,10),"-","/"))),VALUE(SUBSTITUTE(MID(_xlfn.TEXTAFTER('Banco de Dados'!$F1345,"Fecha de pedido:
",1),1,10),"-","/"))),"-"),SMS!A:A,SMS!K:K),0),0)</f>
        <v>0</v>
      </c>
      <c r="AO1345" s="109">
        <f ca="1">IF('Banco de Dados'!$AK1345&lt;&gt;"-",IF('Banco de Dados'!$F1345&lt;&gt;"-",IFERROR(_xlfn.XLOOKUP(_xlfn.CONCAT('Banco de Dados'!$A1345,IFERROR(IFERROR(VALUE(SUBSTITUTE(MID(_xlfn.TEXTAFTER('Banco de Dados'!$F1345,"Data do Pedido:
",1),1,10),"-","/")),VALUE(SUBSTITUTE(MID(_xlfn.TEXTAFTER('Banco de Dados'!$F1345,"Order date:
",1),1,10),"-","/"))),0)),ProxyDD[Chave],ProxyDD[Valor por pedido]),PROXY!$P$2),0),0)</f>
        <v>0</v>
      </c>
      <c r="AP1345" s="28">
        <f ca="1">IF('Banco de Dados'!$AK1345&lt;&gt;"-",IF('Banco de Dados'!$AL1345="NÃO",IFERROR(VALUE(SUBSTITUTE(_xlfn.TEXTAFTER('Banco de Dados'!$F1345,"BRL ",1),".",",")),0),0),0)</f>
        <v>0</v>
      </c>
      <c r="AQ1345" s="28">
        <f ca="1">SUM('Banco de Dados'!$AM1345:$AP1345)</f>
        <v>0</v>
      </c>
      <c r="AR1345" s="8"/>
      <c r="AY1345" s="8"/>
    </row>
    <row r="1346" spans="1:51">
      <c r="A1346" s="5" t="str">
        <v>GO</v>
      </c>
      <c r="B1346" s="5" t="str">
        <f ca="1"/>
        <v>GO45738</v>
      </c>
      <c r="C1346" s="8" t="str">
        <v>Pedido 1333</v>
      </c>
      <c r="D1346" s="187">
        <v>45734</v>
      </c>
      <c r="E1346" s="9">
        <v>45738</v>
      </c>
      <c r="F1346" s="8" t="str">
        <v>PedidoF1277</v>
      </c>
      <c r="G1346" s="2" t="str">
        <v>CódRastreio1275</v>
      </c>
      <c r="H1346" s="5">
        <v>1</v>
      </c>
      <c r="I1346" s="2" t="str">
        <v>CPF 1298</v>
      </c>
      <c r="J1346" s="2" t="str">
        <v>Nome 1298</v>
      </c>
      <c r="K1346" s="8" t="str">
        <v>Tel 1298</v>
      </c>
      <c r="L1346" s="8" t="str">
        <v>Cep 1298</v>
      </c>
      <c r="M1346" s="8" t="str">
        <v>Rua 1298</v>
      </c>
      <c r="N1346" s="8" t="str">
        <v>Comp 1298</v>
      </c>
      <c r="O1346" s="8" t="str">
        <v>Mini Liquidificador</v>
      </c>
      <c r="P1346" s="8" t="str">
        <v>Q3-ZLM0-OEUO</v>
      </c>
      <c r="Q1346" s="4">
        <v>45759</v>
      </c>
      <c r="R1346" s="109">
        <v>30.95</v>
      </c>
      <c r="S1346" s="11">
        <f ca="1"/>
        <v>30.95</v>
      </c>
      <c r="T1346" s="28">
        <f ca="1"/>
        <v>4.3330000000000002</v>
      </c>
      <c r="U1346" s="11">
        <f ca="1"/>
        <v>26.62</v>
      </c>
      <c r="V1346" s="11">
        <v>16.3</v>
      </c>
      <c r="W1346" s="11">
        <f ca="1"/>
        <v>0.27</v>
      </c>
      <c r="X1346" s="11">
        <f ca="1"/>
        <v>0.39877104377104378</v>
      </c>
      <c r="Y1346" s="11">
        <v>0</v>
      </c>
      <c r="Z1346" s="11">
        <f ca="1"/>
        <v>9.6512289562289553</v>
      </c>
      <c r="AA1346" s="11">
        <f ca="1"/>
        <v>9.6512289562289553</v>
      </c>
      <c r="AB1346" s="4">
        <f ca="1"/>
        <v>45766</v>
      </c>
      <c r="AC1346" s="4">
        <v>45766</v>
      </c>
      <c r="AD1346" s="9">
        <v>45779</v>
      </c>
      <c r="AE1346" s="9">
        <v>45783</v>
      </c>
      <c r="AF1346" s="4" t="str">
        <f t="shared" ca="1" si="85"/>
        <v>2025 04</v>
      </c>
      <c r="AG1346" s="8" t="str" cm="1">
        <f t="array" ref="AG1346">IFERROR(_xlfn.IFS('Banco de Dados'!#REF!="AG. COMPRA","Em processamento",'Banco de Dados'!#REF!="AG. RASTREIO","Em processamento",'Banco de Dados'!$AE1346&lt;&gt;"-","Faturado",'Banco de Dados'!$AD1346&lt;&gt;"-","Aguardando Pix",'Banco de Dados'!$AC1346&lt;&gt;"-","Pendente"),"Aguardando Liberação")</f>
        <v>Aguardando Liberação</v>
      </c>
      <c r="AH1346" s="5" t="str">
        <f>IF('Banco de Dados'!$F1346="-",_xlfn.CONCAT(PROPER(TEXT(AK1346,"aaaa"))," ",PROPER(TEXT(AK1346,"mm"))),_xlfn.CONCAT(PROPER(TEXT(E1346,"aaaa"))," ",PROPER(TEXT(E1346,"mm"))))</f>
        <v>2025 03</v>
      </c>
      <c r="AI1346" s="9" t="str">
        <f ca="1">IF('Banco de Dados'!$AK1346&lt;&gt;"-","REEMBOLSO",IFERROR(_xlfn.XLOOKUP(G1346,Follow[CODRASTREIO],Follow[STATUS]),"-"))</f>
        <v>ENTREGUE</v>
      </c>
      <c r="AJ1346" s="9">
        <f ca="1">IF('Banco de Dados'!$AI1346="ENTREGUE",_xlfn.XLOOKUP('Banco de Dados'!$G1346,Follow[CODRASTREIO],Follow[DATAATUALIZAÇÃO]),"-")</f>
        <v>45755</v>
      </c>
      <c r="AK1346" s="132" t="str">
        <f ca="1"/>
        <v>-</v>
      </c>
      <c r="AL1346" s="35"/>
      <c r="AM1346" s="109" cm="1">
        <f t="array" aca="1" ref="AM1346" ca="1">IF('Banco de Dados'!$AK1346&lt;&gt;"-",_xlfn.IFS('Banco de Dados'!$A1346="bv",IF('Banco de Dados'!$E1346&lt;45641,ROUND(SUM('Banco de Dados'!$R1346*_xlfn.XLOOKUP('Banco de Dados'!$P1346,Sku!B:B,Sku!#REF!)*20%),2),ROUND(SUM('Banco de Dados'!$R1346*_xlfn.XLOOKUP('Banco de Dados'!$P1346,Sku!B:B,Sku!H:H)*20%),2)),'Banco de Dados'!$A1346="GO",ROUND(SUM('Banco de Dados'!$R1346*_xlfn.XLOOKUP('Banco de Dados'!$P1346,Sku!C:C,Sku!H:H)*20%),2),'Banco de Dados'!$A1346="MEI",ROUND(SUM('Banco de Dados'!$R1346*_xlfn.XLOOKUP('Banco de Dados'!$P1346,Sku!D:D,Sku!H:H)*20%),2)),0)</f>
        <v>0</v>
      </c>
      <c r="AN1346" s="109">
        <f ca="1">IF('Banco de Dados'!$AK1346&lt;&gt;"-",IF('Banco de Dados'!$F1346&lt;&gt;"-",_xlfn.XLOOKUP(IFERROR(IFERROR(IFERROR(VALUE(SUBSTITUTE(MID(_xlfn.TEXTAFTER('Banco de Dados'!$F1346,"Data do Pedido:
",1),1,10),"-","/")),VALUE(SUBSTITUTE(MID(_xlfn.TEXTAFTER('Banco de Dados'!$F1346,"Order date:
",1),1,10),"-","/"))),VALUE(SUBSTITUTE(MID(_xlfn.TEXTAFTER('Banco de Dados'!$F1346,"Fecha de pedido:
",1),1,10),"-","/"))),"-"),SMS!A:A,SMS!K:K),0),0)</f>
        <v>0</v>
      </c>
      <c r="AO1346" s="109">
        <f ca="1">IF('Banco de Dados'!$AK1346&lt;&gt;"-",IF('Banco de Dados'!$F1346&lt;&gt;"-",IFERROR(_xlfn.XLOOKUP(_xlfn.CONCAT('Banco de Dados'!$A1346,IFERROR(IFERROR(VALUE(SUBSTITUTE(MID(_xlfn.TEXTAFTER('Banco de Dados'!$F1346,"Data do Pedido:
",1),1,10),"-","/")),VALUE(SUBSTITUTE(MID(_xlfn.TEXTAFTER('Banco de Dados'!$F1346,"Order date:
",1),1,10),"-","/"))),0)),ProxyDD[Chave],ProxyDD[Valor por pedido]),PROXY!$P$2),0),0)</f>
        <v>0</v>
      </c>
      <c r="AP1346" s="28">
        <f ca="1">IF('Banco de Dados'!$AK1346&lt;&gt;"-",IF('Banco de Dados'!$AL1346="NÃO",IFERROR(VALUE(SUBSTITUTE(_xlfn.TEXTAFTER('Banco de Dados'!$F1346,"BRL ",1),".",",")),0),0),0)</f>
        <v>0</v>
      </c>
      <c r="AQ1346" s="28">
        <f ca="1">SUM('Banco de Dados'!$AM1346:$AP1346)</f>
        <v>0</v>
      </c>
      <c r="AR1346" s="8"/>
      <c r="AY1346" s="8"/>
    </row>
    <row r="1347" spans="1:51">
      <c r="A1347" s="5" t="str">
        <v>GO</v>
      </c>
      <c r="B1347" s="5" t="str">
        <f ca="1"/>
        <v>GO45738</v>
      </c>
      <c r="C1347" s="8" t="str">
        <v>Pedido 1334</v>
      </c>
      <c r="D1347" s="187">
        <v>45734</v>
      </c>
      <c r="E1347" s="9">
        <v>45738</v>
      </c>
      <c r="F1347" s="8" t="str">
        <v>PedidoF1278</v>
      </c>
      <c r="G1347" s="2" t="str">
        <v>CódRastreio1276</v>
      </c>
      <c r="H1347" s="5">
        <v>1</v>
      </c>
      <c r="I1347" s="2" t="str">
        <v>CPF 1299</v>
      </c>
      <c r="J1347" s="2" t="str">
        <v>Nome 1299</v>
      </c>
      <c r="K1347" s="8" t="str">
        <v>Tel 1299</v>
      </c>
      <c r="L1347" s="8" t="str">
        <v>Cep 1299</v>
      </c>
      <c r="M1347" s="8" t="str">
        <v>Rua 1299</v>
      </c>
      <c r="N1347" s="8" t="str">
        <v>Comp 1299</v>
      </c>
      <c r="O1347" s="8" t="str">
        <v>Máquina de cortar cabelo dragão</v>
      </c>
      <c r="P1347" s="8" t="str">
        <v>6G-56LI-EPD4</v>
      </c>
      <c r="Q1347" s="4">
        <v>45770</v>
      </c>
      <c r="R1347" s="109">
        <v>24.17</v>
      </c>
      <c r="S1347" s="11">
        <f ca="1"/>
        <v>0</v>
      </c>
      <c r="T1347" s="28">
        <f ca="1"/>
        <v>0</v>
      </c>
      <c r="U1347" s="11">
        <f ca="1"/>
        <v>0</v>
      </c>
      <c r="V1347" s="11">
        <v>0</v>
      </c>
      <c r="W1347" s="11">
        <f ca="1"/>
        <v>0</v>
      </c>
      <c r="X1347" s="11">
        <f ca="1"/>
        <v>0.39877104377104378</v>
      </c>
      <c r="Y1347" s="11">
        <v>0</v>
      </c>
      <c r="Z1347" s="11">
        <f ca="1"/>
        <v>-0.39877104377104378</v>
      </c>
      <c r="AA1347" s="11">
        <f ca="1"/>
        <v>-0.39877104377104378</v>
      </c>
      <c r="AB1347" s="4">
        <f ca="1"/>
        <v>45777</v>
      </c>
      <c r="AC1347" s="4">
        <v>45777</v>
      </c>
      <c r="AD1347" s="9">
        <v>45779</v>
      </c>
      <c r="AE1347" s="9">
        <v>45783</v>
      </c>
      <c r="AF1347" s="4" t="str">
        <f t="shared" ca="1" si="85"/>
        <v>2025 04</v>
      </c>
      <c r="AG1347" s="8" t="str" cm="1">
        <f t="array" ref="AG1347">IFERROR(_xlfn.IFS('Banco de Dados'!#REF!="AG. COMPRA","Em processamento",'Banco de Dados'!#REF!="AG. RASTREIO","Em processamento",'Banco de Dados'!$AE1347&lt;&gt;"-","Faturado",'Banco de Dados'!$AD1347&lt;&gt;"-","Aguardando Pix",'Banco de Dados'!$AC1347&lt;&gt;"-","Pendente"),"Aguardando Liberação")</f>
        <v>Aguardando Liberação</v>
      </c>
      <c r="AH1347" s="5" t="str">
        <f>IF('Banco de Dados'!$F1347="-",_xlfn.CONCAT(PROPER(TEXT(AK1347,"aaaa"))," ",PROPER(TEXT(AK1347,"mm"))),_xlfn.CONCAT(PROPER(TEXT(E1347,"aaaa"))," ",PROPER(TEXT(E1347,"mm"))))</f>
        <v>2025 03</v>
      </c>
      <c r="AI1347" s="9" t="str">
        <f ca="1">IF('Banco de Dados'!$AK1347&lt;&gt;"-","REEMBOLSO",IFERROR(_xlfn.XLOOKUP(G1347,Follow[CODRASTREIO],Follow[STATUS]),"-"))</f>
        <v>REEMBOLSO</v>
      </c>
      <c r="AJ1347" s="9" t="str">
        <f ca="1">IF('Banco de Dados'!$AI1347="ENTREGUE",_xlfn.XLOOKUP('Banco de Dados'!$G1347,Follow[CODRASTREIO],Follow[DATAATUALIZAÇÃO]),"-")</f>
        <v>-</v>
      </c>
      <c r="AK1347" s="132">
        <f ca="1"/>
        <v>45779</v>
      </c>
      <c r="AL1347" s="35"/>
      <c r="AM1347" s="109" cm="1">
        <f t="array" aca="1" ref="AM1347" ca="1">IF('Banco de Dados'!$AK1347&lt;&gt;"-",_xlfn.IFS('Banco de Dados'!$A1347="bv",IF('Banco de Dados'!$E1347&lt;45641,ROUND(SUM('Banco de Dados'!$R1347*_xlfn.XLOOKUP('Banco de Dados'!$P1347,Sku!B:B,Sku!#REF!)*20%),2),ROUND(SUM('Banco de Dados'!$R1347*_xlfn.XLOOKUP('Banco de Dados'!$P1347,Sku!B:B,Sku!H:H)*20%),2)),'Banco de Dados'!$A1347="GO",ROUND(SUM('Banco de Dados'!$R1347*_xlfn.XLOOKUP('Banco de Dados'!$P1347,Sku!C:C,Sku!H:H)*20%),2),'Banco de Dados'!$A1347="MEI",ROUND(SUM('Banco de Dados'!$R1347*_xlfn.XLOOKUP('Banco de Dados'!$P1347,Sku!D:D,Sku!H:H)*20%),2)),0)</f>
        <v>0.57999999999999996</v>
      </c>
      <c r="AN1347" s="109" t="e">
        <f ca="1">IF('Banco de Dados'!$AK1347&lt;&gt;"-",IF('Banco de Dados'!$F1347&lt;&gt;"-",_xlfn.XLOOKUP(IFERROR(IFERROR(IFERROR(VALUE(SUBSTITUTE(MID(_xlfn.TEXTAFTER('Banco de Dados'!$F1347,"Data do Pedido:
",1),1,10),"-","/")),VALUE(SUBSTITUTE(MID(_xlfn.TEXTAFTER('Banco de Dados'!$F1347,"Order date:
",1),1,10),"-","/"))),VALUE(SUBSTITUTE(MID(_xlfn.TEXTAFTER('Banco de Dados'!$F1347,"Fecha de pedido:
",1),1,10),"-","/"))),"-"),SMS!A:A,SMS!K:K),0),0)</f>
        <v>#N/A</v>
      </c>
      <c r="AO1347" s="109">
        <f ca="1">IF('Banco de Dados'!$AK1347&lt;&gt;"-",IF('Banco de Dados'!$F1347&lt;&gt;"-",IFERROR(_xlfn.XLOOKUP(_xlfn.CONCAT('Banco de Dados'!$A1347,IFERROR(IFERROR(VALUE(SUBSTITUTE(MID(_xlfn.TEXTAFTER('Banco de Dados'!$F1347,"Data do Pedido:
",1),1,10),"-","/")),VALUE(SUBSTITUTE(MID(_xlfn.TEXTAFTER('Banco de Dados'!$F1347,"Order date:
",1),1,10),"-","/"))),0)),ProxyDD[Chave],ProxyDD[Valor por pedido]),PROXY!$P$2),0),0)</f>
        <v>0.39877104377104378</v>
      </c>
      <c r="AP1347" s="28">
        <f ca="1">IF('Banco de Dados'!$AK1347&lt;&gt;"-",IF('Banco de Dados'!$AL1347="NÃO",IFERROR(VALUE(SUBSTITUTE(_xlfn.TEXTAFTER('Banco de Dados'!$F1347,"BRL ",1),".",",")),0),0),0)</f>
        <v>0</v>
      </c>
      <c r="AQ1347" s="28" t="e">
        <f ca="1">SUM('Banco de Dados'!$AM1347:$AP1347)</f>
        <v>#N/A</v>
      </c>
      <c r="AR1347" s="8"/>
      <c r="AY1347" s="8"/>
    </row>
    <row r="1348" spans="1:51">
      <c r="A1348" s="5" t="str">
        <v>GO</v>
      </c>
      <c r="B1348" s="5" t="str">
        <f ca="1"/>
        <v>GO45740</v>
      </c>
      <c r="C1348" s="8" t="str">
        <v>Pedido 1335</v>
      </c>
      <c r="D1348" s="187">
        <v>45734</v>
      </c>
      <c r="E1348" s="9">
        <v>45740</v>
      </c>
      <c r="F1348" s="8" t="str">
        <v>PedidoF1279</v>
      </c>
      <c r="G1348" s="2" t="str">
        <v>CódRastreio1277</v>
      </c>
      <c r="H1348" s="5">
        <v>1</v>
      </c>
      <c r="I1348" s="2" t="str">
        <v>CPF 1300</v>
      </c>
      <c r="J1348" s="2" t="str">
        <v>Nome 1300</v>
      </c>
      <c r="K1348" s="8" t="str">
        <v>Tel 1300</v>
      </c>
      <c r="L1348" s="8" t="str">
        <v>Cep 1300</v>
      </c>
      <c r="M1348" s="8" t="str">
        <v>Rua 1300</v>
      </c>
      <c r="N1348" s="8" t="str">
        <v>Comp 1300</v>
      </c>
      <c r="O1348" s="8" t="str">
        <v>Máquina de cortar cabelo dragão</v>
      </c>
      <c r="P1348" s="8" t="str">
        <v>6G-56LI-EPD4</v>
      </c>
      <c r="Q1348" s="4">
        <v>45759</v>
      </c>
      <c r="R1348" s="109">
        <v>24.17</v>
      </c>
      <c r="S1348" s="11">
        <f ca="1"/>
        <v>24.17</v>
      </c>
      <c r="T1348" s="28">
        <f ca="1"/>
        <v>2.9004000000000003</v>
      </c>
      <c r="U1348" s="11">
        <f ca="1"/>
        <v>21.27</v>
      </c>
      <c r="V1348" s="11">
        <v>10.19</v>
      </c>
      <c r="W1348" s="11">
        <f ca="1"/>
        <v>0.2</v>
      </c>
      <c r="X1348" s="11">
        <f ca="1"/>
        <v>0.39877104377104378</v>
      </c>
      <c r="Y1348" s="11">
        <v>0</v>
      </c>
      <c r="Z1348" s="11">
        <f ca="1"/>
        <v>10.481228956228957</v>
      </c>
      <c r="AA1348" s="11">
        <f ca="1"/>
        <v>10.481228956228957</v>
      </c>
      <c r="AB1348" s="4">
        <f ca="1"/>
        <v>45766</v>
      </c>
      <c r="AC1348" s="4">
        <v>45766</v>
      </c>
      <c r="AD1348" s="9">
        <v>45779</v>
      </c>
      <c r="AE1348" s="9">
        <v>45783</v>
      </c>
      <c r="AF1348" s="4" t="str">
        <f t="shared" ca="1" si="85"/>
        <v>2025 04</v>
      </c>
      <c r="AG1348" s="8" t="str" cm="1">
        <f t="array" ref="AG1348">IFERROR(_xlfn.IFS('Banco de Dados'!#REF!="AG. COMPRA","Em processamento",'Banco de Dados'!#REF!="AG. RASTREIO","Em processamento",'Banco de Dados'!$AE1348&lt;&gt;"-","Faturado",'Banco de Dados'!$AD1348&lt;&gt;"-","Aguardando Pix",'Banco de Dados'!$AC1348&lt;&gt;"-","Pendente"),"Aguardando Liberação")</f>
        <v>Aguardando Liberação</v>
      </c>
      <c r="AH1348" s="5" t="str">
        <f>IF('Banco de Dados'!$F1348="-",_xlfn.CONCAT(PROPER(TEXT(AK1348,"aaaa"))," ",PROPER(TEXT(AK1348,"mm"))),_xlfn.CONCAT(PROPER(TEXT(E1348,"aaaa"))," ",PROPER(TEXT(E1348,"mm"))))</f>
        <v>2025 03</v>
      </c>
      <c r="AI1348" s="9" t="str">
        <f ca="1">IF('Banco de Dados'!$AK1348&lt;&gt;"-","REEMBOLSO",IFERROR(_xlfn.XLOOKUP(G1348,Follow[CODRASTREIO],Follow[STATUS]),"-"))</f>
        <v>ENTREGUE</v>
      </c>
      <c r="AJ1348" s="9">
        <f ca="1">IF('Banco de Dados'!$AI1348="ENTREGUE",_xlfn.XLOOKUP('Banco de Dados'!$G1348,Follow[CODRASTREIO],Follow[DATAATUALIZAÇÃO]),"-")</f>
        <v>45762</v>
      </c>
      <c r="AK1348" s="132" t="str">
        <f ca="1"/>
        <v>-</v>
      </c>
      <c r="AL1348" s="35"/>
      <c r="AM1348" s="109" cm="1">
        <f t="array" aca="1" ref="AM1348" ca="1">IF('Banco de Dados'!$AK1348&lt;&gt;"-",_xlfn.IFS('Banco de Dados'!$A1348="bv",IF('Banco de Dados'!$E1348&lt;45641,ROUND(SUM('Banco de Dados'!$R1348*_xlfn.XLOOKUP('Banco de Dados'!$P1348,Sku!B:B,Sku!#REF!)*20%),2),ROUND(SUM('Banco de Dados'!$R1348*_xlfn.XLOOKUP('Banco de Dados'!$P1348,Sku!B:B,Sku!H:H)*20%),2)),'Banco de Dados'!$A1348="GO",ROUND(SUM('Banco de Dados'!$R1348*_xlfn.XLOOKUP('Banco de Dados'!$P1348,Sku!C:C,Sku!H:H)*20%),2),'Banco de Dados'!$A1348="MEI",ROUND(SUM('Banco de Dados'!$R1348*_xlfn.XLOOKUP('Banco de Dados'!$P1348,Sku!D:D,Sku!H:H)*20%),2)),0)</f>
        <v>0</v>
      </c>
      <c r="AN1348" s="109">
        <f ca="1">IF('Banco de Dados'!$AK1348&lt;&gt;"-",IF('Banco de Dados'!$F1348&lt;&gt;"-",_xlfn.XLOOKUP(IFERROR(IFERROR(IFERROR(VALUE(SUBSTITUTE(MID(_xlfn.TEXTAFTER('Banco de Dados'!$F1348,"Data do Pedido:
",1),1,10),"-","/")),VALUE(SUBSTITUTE(MID(_xlfn.TEXTAFTER('Banco de Dados'!$F1348,"Order date:
",1),1,10),"-","/"))),VALUE(SUBSTITUTE(MID(_xlfn.TEXTAFTER('Banco de Dados'!$F1348,"Fecha de pedido:
",1),1,10),"-","/"))),"-"),SMS!A:A,SMS!K:K),0),0)</f>
        <v>0</v>
      </c>
      <c r="AO1348" s="109">
        <f ca="1">IF('Banco de Dados'!$AK1348&lt;&gt;"-",IF('Banco de Dados'!$F1348&lt;&gt;"-",IFERROR(_xlfn.XLOOKUP(_xlfn.CONCAT('Banco de Dados'!$A1348,IFERROR(IFERROR(VALUE(SUBSTITUTE(MID(_xlfn.TEXTAFTER('Banco de Dados'!$F1348,"Data do Pedido:
",1),1,10),"-","/")),VALUE(SUBSTITUTE(MID(_xlfn.TEXTAFTER('Banco de Dados'!$F1348,"Order date:
",1),1,10),"-","/"))),0)),ProxyDD[Chave],ProxyDD[Valor por pedido]),PROXY!$P$2),0),0)</f>
        <v>0</v>
      </c>
      <c r="AP1348" s="28">
        <f ca="1">IF('Banco de Dados'!$AK1348&lt;&gt;"-",IF('Banco de Dados'!$AL1348="NÃO",IFERROR(VALUE(SUBSTITUTE(_xlfn.TEXTAFTER('Banco de Dados'!$F1348,"BRL ",1),".",",")),0),0),0)</f>
        <v>0</v>
      </c>
      <c r="AQ1348" s="28">
        <f ca="1">SUM('Banco de Dados'!$AM1348:$AP1348)</f>
        <v>0</v>
      </c>
      <c r="AR1348" s="8"/>
      <c r="AY1348" s="8"/>
    </row>
    <row r="1349" spans="1:51">
      <c r="A1349" s="5" t="str">
        <v>GO</v>
      </c>
      <c r="B1349" s="5" t="str">
        <f ca="1"/>
        <v>GO45738</v>
      </c>
      <c r="C1349" s="8" t="str">
        <v>Pedido 1336</v>
      </c>
      <c r="D1349" s="187">
        <v>45734</v>
      </c>
      <c r="E1349" s="9">
        <v>45738</v>
      </c>
      <c r="F1349" s="8" t="str">
        <v>PedidoF1280</v>
      </c>
      <c r="G1349" s="2" t="str">
        <v>CódRastreio1278</v>
      </c>
      <c r="H1349" s="5">
        <v>1</v>
      </c>
      <c r="I1349" s="2" t="str">
        <v>CPF 1301</v>
      </c>
      <c r="J1349" s="2" t="str">
        <v>Nome 1301</v>
      </c>
      <c r="K1349" s="8" t="str">
        <v>Tel 1301</v>
      </c>
      <c r="L1349" s="8" t="str">
        <v>Cep 1301</v>
      </c>
      <c r="M1349" s="8" t="str">
        <v>Rua 1301</v>
      </c>
      <c r="N1349" s="8" t="str">
        <v>Comp 1301</v>
      </c>
      <c r="O1349" s="8" t="str">
        <v>Máquina de cortar cabelo dragão</v>
      </c>
      <c r="P1349" s="8" t="str">
        <v>6G-56LI-EPD4</v>
      </c>
      <c r="Q1349" s="4">
        <v>45759</v>
      </c>
      <c r="R1349" s="109">
        <v>24.17</v>
      </c>
      <c r="S1349" s="11">
        <f ca="1"/>
        <v>24.17</v>
      </c>
      <c r="T1349" s="28">
        <f ca="1"/>
        <v>2.9004000000000003</v>
      </c>
      <c r="U1349" s="11">
        <f ca="1"/>
        <v>21.27</v>
      </c>
      <c r="V1349" s="11">
        <v>10.17</v>
      </c>
      <c r="W1349" s="11">
        <f ca="1"/>
        <v>0.27</v>
      </c>
      <c r="X1349" s="11">
        <f ca="1"/>
        <v>0.39877104377104378</v>
      </c>
      <c r="Y1349" s="11">
        <v>0</v>
      </c>
      <c r="Z1349" s="11">
        <f ca="1"/>
        <v>10.431228956228956</v>
      </c>
      <c r="AA1349" s="11">
        <f ca="1"/>
        <v>10.431228956228956</v>
      </c>
      <c r="AB1349" s="4">
        <f ca="1"/>
        <v>45766</v>
      </c>
      <c r="AC1349" s="4">
        <v>45766</v>
      </c>
      <c r="AD1349" s="9">
        <v>45779</v>
      </c>
      <c r="AE1349" s="9">
        <v>45783</v>
      </c>
      <c r="AF1349" s="4" t="str">
        <f t="shared" ca="1" si="85"/>
        <v>2025 04</v>
      </c>
      <c r="AG1349" s="8" t="str" cm="1">
        <f t="array" ref="AG1349">IFERROR(_xlfn.IFS('Banco de Dados'!#REF!="AG. COMPRA","Em processamento",'Banco de Dados'!#REF!="AG. RASTREIO","Em processamento",'Banco de Dados'!$AE1349&lt;&gt;"-","Faturado",'Banco de Dados'!$AD1349&lt;&gt;"-","Aguardando Pix",'Banco de Dados'!$AC1349&lt;&gt;"-","Pendente"),"Aguardando Liberação")</f>
        <v>Aguardando Liberação</v>
      </c>
      <c r="AH1349" s="5" t="str">
        <f>IF('Banco de Dados'!$F1349="-",_xlfn.CONCAT(PROPER(TEXT(AK1349,"aaaa"))," ",PROPER(TEXT(AK1349,"mm"))),_xlfn.CONCAT(PROPER(TEXT(E1349,"aaaa"))," ",PROPER(TEXT(E1349,"mm"))))</f>
        <v>2025 03</v>
      </c>
      <c r="AI1349" s="9" t="str">
        <f ca="1">IF('Banco de Dados'!$AK1349&lt;&gt;"-","REEMBOLSO",IFERROR(_xlfn.XLOOKUP(G1349,Follow[CODRASTREIO],Follow[STATUS]),"-"))</f>
        <v>ENTREGUE</v>
      </c>
      <c r="AJ1349" s="9">
        <f ca="1">IF('Banco de Dados'!$AI1349="ENTREGUE",_xlfn.XLOOKUP('Banco de Dados'!$G1349,Follow[CODRASTREIO],Follow[DATAATUALIZAÇÃO]),"-")</f>
        <v>45758</v>
      </c>
      <c r="AK1349" s="132" t="str">
        <f ca="1"/>
        <v>-</v>
      </c>
      <c r="AL1349" s="35"/>
      <c r="AM1349" s="109" cm="1">
        <f t="array" aca="1" ref="AM1349" ca="1">IF('Banco de Dados'!$AK1349&lt;&gt;"-",_xlfn.IFS('Banco de Dados'!$A1349="bv",IF('Banco de Dados'!$E1349&lt;45641,ROUND(SUM('Banco de Dados'!$R1349*_xlfn.XLOOKUP('Banco de Dados'!$P1349,Sku!B:B,Sku!#REF!)*20%),2),ROUND(SUM('Banco de Dados'!$R1349*_xlfn.XLOOKUP('Banco de Dados'!$P1349,Sku!B:B,Sku!H:H)*20%),2)),'Banco de Dados'!$A1349="GO",ROUND(SUM('Banco de Dados'!$R1349*_xlfn.XLOOKUP('Banco de Dados'!$P1349,Sku!C:C,Sku!H:H)*20%),2),'Banco de Dados'!$A1349="MEI",ROUND(SUM('Banco de Dados'!$R1349*_xlfn.XLOOKUP('Banco de Dados'!$P1349,Sku!D:D,Sku!H:H)*20%),2)),0)</f>
        <v>0</v>
      </c>
      <c r="AN1349" s="109">
        <f ca="1">IF('Banco de Dados'!$AK1349&lt;&gt;"-",IF('Banco de Dados'!$F1349&lt;&gt;"-",_xlfn.XLOOKUP(IFERROR(IFERROR(IFERROR(VALUE(SUBSTITUTE(MID(_xlfn.TEXTAFTER('Banco de Dados'!$F1349,"Data do Pedido:
",1),1,10),"-","/")),VALUE(SUBSTITUTE(MID(_xlfn.TEXTAFTER('Banco de Dados'!$F1349,"Order date:
",1),1,10),"-","/"))),VALUE(SUBSTITUTE(MID(_xlfn.TEXTAFTER('Banco de Dados'!$F1349,"Fecha de pedido:
",1),1,10),"-","/"))),"-"),SMS!A:A,SMS!K:K),0),0)</f>
        <v>0</v>
      </c>
      <c r="AO1349" s="109">
        <f ca="1">IF('Banco de Dados'!$AK1349&lt;&gt;"-",IF('Banco de Dados'!$F1349&lt;&gt;"-",IFERROR(_xlfn.XLOOKUP(_xlfn.CONCAT('Banco de Dados'!$A1349,IFERROR(IFERROR(VALUE(SUBSTITUTE(MID(_xlfn.TEXTAFTER('Banco de Dados'!$F1349,"Data do Pedido:
",1),1,10),"-","/")),VALUE(SUBSTITUTE(MID(_xlfn.TEXTAFTER('Banco de Dados'!$F1349,"Order date:
",1),1,10),"-","/"))),0)),ProxyDD[Chave],ProxyDD[Valor por pedido]),PROXY!$P$2),0),0)</f>
        <v>0</v>
      </c>
      <c r="AP1349" s="28">
        <f ca="1">IF('Banco de Dados'!$AK1349&lt;&gt;"-",IF('Banco de Dados'!$AL1349="NÃO",IFERROR(VALUE(SUBSTITUTE(_xlfn.TEXTAFTER('Banco de Dados'!$F1349,"BRL ",1),".",",")),0),0),0)</f>
        <v>0</v>
      </c>
      <c r="AQ1349" s="28">
        <f ca="1">SUM('Banco de Dados'!$AM1349:$AP1349)</f>
        <v>0</v>
      </c>
      <c r="AR1349" s="8"/>
      <c r="AY1349" s="8"/>
    </row>
    <row r="1350" spans="1:51">
      <c r="A1350" s="5" t="str">
        <v>GO</v>
      </c>
      <c r="B1350" s="5" t="str">
        <f ca="1"/>
        <v>GO45738</v>
      </c>
      <c r="C1350" s="8" t="str">
        <v>Pedido 1337</v>
      </c>
      <c r="D1350" s="187">
        <v>45734</v>
      </c>
      <c r="E1350" s="9">
        <v>45738</v>
      </c>
      <c r="F1350" s="8" t="str">
        <v>PedidoF1281</v>
      </c>
      <c r="G1350" s="2" t="str">
        <v>CódRastreio1279</v>
      </c>
      <c r="H1350" s="5">
        <v>1</v>
      </c>
      <c r="I1350" s="2" t="str">
        <v>CPF 1302</v>
      </c>
      <c r="J1350" s="2" t="str">
        <v>Nome 1302</v>
      </c>
      <c r="K1350" s="8" t="str">
        <v>Tel 1302</v>
      </c>
      <c r="L1350" s="8" t="str">
        <v>Cep 1302</v>
      </c>
      <c r="M1350" s="8" t="str">
        <v>Rua 1302</v>
      </c>
      <c r="N1350" s="8" t="str">
        <v>Comp 1302</v>
      </c>
      <c r="O1350" s="8" t="str">
        <v>Máquina de cortar cabelo dragão</v>
      </c>
      <c r="P1350" s="8" t="str">
        <v>6G-56LI-EPD4</v>
      </c>
      <c r="Q1350" s="4">
        <v>45759</v>
      </c>
      <c r="R1350" s="109">
        <v>24.17</v>
      </c>
      <c r="S1350" s="11">
        <f ca="1"/>
        <v>24.17</v>
      </c>
      <c r="T1350" s="28">
        <f ca="1"/>
        <v>2.9004000000000003</v>
      </c>
      <c r="U1350" s="11">
        <f ca="1"/>
        <v>21.27</v>
      </c>
      <c r="V1350" s="11">
        <v>10.58</v>
      </c>
      <c r="W1350" s="11">
        <f ca="1"/>
        <v>0.27</v>
      </c>
      <c r="X1350" s="11">
        <f ca="1"/>
        <v>0.39877104377104378</v>
      </c>
      <c r="Y1350" s="11">
        <v>0</v>
      </c>
      <c r="Z1350" s="11">
        <f ca="1"/>
        <v>10.021228956228956</v>
      </c>
      <c r="AA1350" s="11">
        <f ca="1"/>
        <v>10.021228956228956</v>
      </c>
      <c r="AB1350" s="4">
        <f ca="1"/>
        <v>45766</v>
      </c>
      <c r="AC1350" s="4">
        <v>45766</v>
      </c>
      <c r="AD1350" s="9">
        <v>45779</v>
      </c>
      <c r="AE1350" s="9">
        <v>45783</v>
      </c>
      <c r="AF1350" s="4" t="str">
        <f t="shared" ca="1" si="85"/>
        <v>2025 04</v>
      </c>
      <c r="AG1350" s="8" t="str" cm="1">
        <f t="array" ref="AG1350">IFERROR(_xlfn.IFS('Banco de Dados'!#REF!="AG. COMPRA","Em processamento",'Banco de Dados'!#REF!="AG. RASTREIO","Em processamento",'Banco de Dados'!$AE1350&lt;&gt;"-","Faturado",'Banco de Dados'!$AD1350&lt;&gt;"-","Aguardando Pix",'Banco de Dados'!$AC1350&lt;&gt;"-","Pendente"),"Aguardando Liberação")</f>
        <v>Aguardando Liberação</v>
      </c>
      <c r="AH1350" s="5" t="str">
        <f>IF('Banco de Dados'!$F1350="-",_xlfn.CONCAT(PROPER(TEXT(AK1350,"aaaa"))," ",PROPER(TEXT(AK1350,"mm"))),_xlfn.CONCAT(PROPER(TEXT(E1350,"aaaa"))," ",PROPER(TEXT(E1350,"mm"))))</f>
        <v>2025 03</v>
      </c>
      <c r="AI1350" s="9" t="str">
        <f ca="1">IF('Banco de Dados'!$AK1350&lt;&gt;"-","REEMBOLSO",IFERROR(_xlfn.XLOOKUP(G1350,Follow[CODRASTREIO],Follow[STATUS]),"-"))</f>
        <v>ENTREGUE</v>
      </c>
      <c r="AJ1350" s="9">
        <f ca="1">IF('Banco de Dados'!$AI1350="ENTREGUE",_xlfn.XLOOKUP('Banco de Dados'!$G1350,Follow[CODRASTREIO],Follow[DATAATUALIZAÇÃO]),"-")</f>
        <v>45755</v>
      </c>
      <c r="AK1350" s="132" t="str">
        <f ca="1"/>
        <v>-</v>
      </c>
      <c r="AL1350" s="35"/>
      <c r="AM1350" s="109" cm="1">
        <f t="array" aca="1" ref="AM1350" ca="1">IF('Banco de Dados'!$AK1350&lt;&gt;"-",_xlfn.IFS('Banco de Dados'!$A1350="bv",IF('Banco de Dados'!$E1350&lt;45641,ROUND(SUM('Banco de Dados'!$R1350*_xlfn.XLOOKUP('Banco de Dados'!$P1350,Sku!B:B,Sku!#REF!)*20%),2),ROUND(SUM('Banco de Dados'!$R1350*_xlfn.XLOOKUP('Banco de Dados'!$P1350,Sku!B:B,Sku!H:H)*20%),2)),'Banco de Dados'!$A1350="GO",ROUND(SUM('Banco de Dados'!$R1350*_xlfn.XLOOKUP('Banco de Dados'!$P1350,Sku!C:C,Sku!H:H)*20%),2),'Banco de Dados'!$A1350="MEI",ROUND(SUM('Banco de Dados'!$R1350*_xlfn.XLOOKUP('Banco de Dados'!$P1350,Sku!D:D,Sku!H:H)*20%),2)),0)</f>
        <v>0</v>
      </c>
      <c r="AN1350" s="109">
        <f ca="1">IF('Banco de Dados'!$AK1350&lt;&gt;"-",IF('Banco de Dados'!$F1350&lt;&gt;"-",_xlfn.XLOOKUP(IFERROR(IFERROR(IFERROR(VALUE(SUBSTITUTE(MID(_xlfn.TEXTAFTER('Banco de Dados'!$F1350,"Data do Pedido:
",1),1,10),"-","/")),VALUE(SUBSTITUTE(MID(_xlfn.TEXTAFTER('Banco de Dados'!$F1350,"Order date:
",1),1,10),"-","/"))),VALUE(SUBSTITUTE(MID(_xlfn.TEXTAFTER('Banco de Dados'!$F1350,"Fecha de pedido:
",1),1,10),"-","/"))),"-"),SMS!A:A,SMS!K:K),0),0)</f>
        <v>0</v>
      </c>
      <c r="AO1350" s="109">
        <f ca="1">IF('Banco de Dados'!$AK1350&lt;&gt;"-",IF('Banco de Dados'!$F1350&lt;&gt;"-",IFERROR(_xlfn.XLOOKUP(_xlfn.CONCAT('Banco de Dados'!$A1350,IFERROR(IFERROR(VALUE(SUBSTITUTE(MID(_xlfn.TEXTAFTER('Banco de Dados'!$F1350,"Data do Pedido:
",1),1,10),"-","/")),VALUE(SUBSTITUTE(MID(_xlfn.TEXTAFTER('Banco de Dados'!$F1350,"Order date:
",1),1,10),"-","/"))),0)),ProxyDD[Chave],ProxyDD[Valor por pedido]),PROXY!$P$2),0),0)</f>
        <v>0</v>
      </c>
      <c r="AP1350" s="28">
        <f ca="1">IF('Banco de Dados'!$AK1350&lt;&gt;"-",IF('Banco de Dados'!$AL1350="NÃO",IFERROR(VALUE(SUBSTITUTE(_xlfn.TEXTAFTER('Banco de Dados'!$F1350,"BRL ",1),".",",")),0),0),0)</f>
        <v>0</v>
      </c>
      <c r="AQ1350" s="28">
        <f ca="1">SUM('Banco de Dados'!$AM1350:$AP1350)</f>
        <v>0</v>
      </c>
      <c r="AR1350" s="8"/>
      <c r="AY1350" s="8"/>
    </row>
    <row r="1351" spans="1:51">
      <c r="A1351" s="5" t="str">
        <v>GO</v>
      </c>
      <c r="B1351" s="5" t="str">
        <f ca="1"/>
        <v>GO45740</v>
      </c>
      <c r="C1351" s="8" t="str">
        <v>Pedido 1338</v>
      </c>
      <c r="D1351" s="187">
        <v>45734</v>
      </c>
      <c r="E1351" s="9">
        <v>45740</v>
      </c>
      <c r="F1351" s="8" t="str">
        <v>PedidoF1282</v>
      </c>
      <c r="G1351" s="2" t="str">
        <v>CódRastreio1280</v>
      </c>
      <c r="H1351" s="5">
        <v>1</v>
      </c>
      <c r="I1351" s="2" t="str">
        <v>CPF 1303</v>
      </c>
      <c r="J1351" s="2" t="str">
        <v>Nome 1303</v>
      </c>
      <c r="K1351" s="8" t="str">
        <v>Tel 1303</v>
      </c>
      <c r="L1351" s="8" t="str">
        <v>Cep 1303</v>
      </c>
      <c r="M1351" s="8" t="str">
        <v>Rua 1303</v>
      </c>
      <c r="N1351" s="8" t="str">
        <v>Comp 1303</v>
      </c>
      <c r="O1351" s="8" t="str">
        <v>Máquina de cortar cabelo dragão</v>
      </c>
      <c r="P1351" s="8" t="str">
        <v>6G-56LI-EPD4</v>
      </c>
      <c r="Q1351" s="4">
        <v>45759</v>
      </c>
      <c r="R1351" s="109">
        <v>24.17</v>
      </c>
      <c r="S1351" s="11">
        <f ca="1"/>
        <v>24.17</v>
      </c>
      <c r="T1351" s="28">
        <f ca="1"/>
        <v>2.9004000000000003</v>
      </c>
      <c r="U1351" s="11">
        <f ca="1"/>
        <v>21.27</v>
      </c>
      <c r="V1351" s="11">
        <v>10.19</v>
      </c>
      <c r="W1351" s="11">
        <f ca="1"/>
        <v>0.2</v>
      </c>
      <c r="X1351" s="11">
        <f ca="1"/>
        <v>0.39877104377104378</v>
      </c>
      <c r="Y1351" s="11">
        <v>0</v>
      </c>
      <c r="Z1351" s="11">
        <f ca="1"/>
        <v>10.481228956228957</v>
      </c>
      <c r="AA1351" s="11">
        <f ca="1"/>
        <v>10.481228956228957</v>
      </c>
      <c r="AB1351" s="4">
        <f ca="1"/>
        <v>45766</v>
      </c>
      <c r="AC1351" s="4">
        <v>45766</v>
      </c>
      <c r="AD1351" s="9">
        <v>45779</v>
      </c>
      <c r="AE1351" s="9">
        <v>45783</v>
      </c>
      <c r="AF1351" s="4" t="str">
        <f t="shared" ca="1" si="85"/>
        <v>2025 04</v>
      </c>
      <c r="AG1351" s="8" t="str" cm="1">
        <f t="array" ref="AG1351">IFERROR(_xlfn.IFS('Banco de Dados'!#REF!="AG. COMPRA","Em processamento",'Banco de Dados'!#REF!="AG. RASTREIO","Em processamento",'Banco de Dados'!$AE1351&lt;&gt;"-","Faturado",'Banco de Dados'!$AD1351&lt;&gt;"-","Aguardando Pix",'Banco de Dados'!$AC1351&lt;&gt;"-","Pendente"),"Aguardando Liberação")</f>
        <v>Aguardando Liberação</v>
      </c>
      <c r="AH1351" s="5" t="str">
        <f>IF('Banco de Dados'!$F1351="-",_xlfn.CONCAT(PROPER(TEXT(AK1351,"aaaa"))," ",PROPER(TEXT(AK1351,"mm"))),_xlfn.CONCAT(PROPER(TEXT(E1351,"aaaa"))," ",PROPER(TEXT(E1351,"mm"))))</f>
        <v>2025 03</v>
      </c>
      <c r="AI1351" s="9" t="str">
        <f ca="1">IF('Banco de Dados'!$AK1351&lt;&gt;"-","REEMBOLSO",IFERROR(_xlfn.XLOOKUP(G1351,Follow[CODRASTREIO],Follow[STATUS]),"-"))</f>
        <v>ENTREGUE</v>
      </c>
      <c r="AJ1351" s="9">
        <f ca="1">IF('Banco de Dados'!$AI1351="ENTREGUE",_xlfn.XLOOKUP('Banco de Dados'!$G1351,Follow[CODRASTREIO],Follow[DATAATUALIZAÇÃO]),"-")</f>
        <v>45751</v>
      </c>
      <c r="AK1351" s="132" t="str">
        <f ca="1"/>
        <v>-</v>
      </c>
      <c r="AL1351" s="35"/>
      <c r="AM1351" s="109" cm="1">
        <f t="array" aca="1" ref="AM1351" ca="1">IF('Banco de Dados'!$AK1351&lt;&gt;"-",_xlfn.IFS('Banco de Dados'!$A1351="bv",IF('Banco de Dados'!$E1351&lt;45641,ROUND(SUM('Banco de Dados'!$R1351*_xlfn.XLOOKUP('Banco de Dados'!$P1351,Sku!B:B,Sku!#REF!)*20%),2),ROUND(SUM('Banco de Dados'!$R1351*_xlfn.XLOOKUP('Banco de Dados'!$P1351,Sku!B:B,Sku!H:H)*20%),2)),'Banco de Dados'!$A1351="GO",ROUND(SUM('Banco de Dados'!$R1351*_xlfn.XLOOKUP('Banco de Dados'!$P1351,Sku!C:C,Sku!H:H)*20%),2),'Banco de Dados'!$A1351="MEI",ROUND(SUM('Banco de Dados'!$R1351*_xlfn.XLOOKUP('Banco de Dados'!$P1351,Sku!D:D,Sku!H:H)*20%),2)),0)</f>
        <v>0</v>
      </c>
      <c r="AN1351" s="109">
        <f ca="1">IF('Banco de Dados'!$AK1351&lt;&gt;"-",IF('Banco de Dados'!$F1351&lt;&gt;"-",_xlfn.XLOOKUP(IFERROR(IFERROR(IFERROR(VALUE(SUBSTITUTE(MID(_xlfn.TEXTAFTER('Banco de Dados'!$F1351,"Data do Pedido:
",1),1,10),"-","/")),VALUE(SUBSTITUTE(MID(_xlfn.TEXTAFTER('Banco de Dados'!$F1351,"Order date:
",1),1,10),"-","/"))),VALUE(SUBSTITUTE(MID(_xlfn.TEXTAFTER('Banco de Dados'!$F1351,"Fecha de pedido:
",1),1,10),"-","/"))),"-"),SMS!A:A,SMS!K:K),0),0)</f>
        <v>0</v>
      </c>
      <c r="AO1351" s="109">
        <f ca="1">IF('Banco de Dados'!$AK1351&lt;&gt;"-",IF('Banco de Dados'!$F1351&lt;&gt;"-",IFERROR(_xlfn.XLOOKUP(_xlfn.CONCAT('Banco de Dados'!$A1351,IFERROR(IFERROR(VALUE(SUBSTITUTE(MID(_xlfn.TEXTAFTER('Banco de Dados'!$F1351,"Data do Pedido:
",1),1,10),"-","/")),VALUE(SUBSTITUTE(MID(_xlfn.TEXTAFTER('Banco de Dados'!$F1351,"Order date:
",1),1,10),"-","/"))),0)),ProxyDD[Chave],ProxyDD[Valor por pedido]),PROXY!$P$2),0),0)</f>
        <v>0</v>
      </c>
      <c r="AP1351" s="28">
        <f ca="1">IF('Banco de Dados'!$AK1351&lt;&gt;"-",IF('Banco de Dados'!$AL1351="NÃO",IFERROR(VALUE(SUBSTITUTE(_xlfn.TEXTAFTER('Banco de Dados'!$F1351,"BRL ",1),".",",")),0),0),0)</f>
        <v>0</v>
      </c>
      <c r="AQ1351" s="28">
        <f ca="1">SUM('Banco de Dados'!$AM1351:$AP1351)</f>
        <v>0</v>
      </c>
      <c r="AR1351" s="8"/>
      <c r="AY1351" s="8"/>
    </row>
    <row r="1352" spans="1:51">
      <c r="A1352" s="5" t="str">
        <v>GO</v>
      </c>
      <c r="B1352" s="5" t="str">
        <f ca="1"/>
        <v>GO45740</v>
      </c>
      <c r="C1352" s="8" t="str">
        <v>Pedido 1339</v>
      </c>
      <c r="D1352" s="187">
        <v>45734</v>
      </c>
      <c r="E1352" s="9">
        <v>45740</v>
      </c>
      <c r="F1352" s="8" t="str">
        <v>PedidoF1283</v>
      </c>
      <c r="G1352" s="2" t="str">
        <v>CódRastreio1281</v>
      </c>
      <c r="H1352" s="5">
        <v>1</v>
      </c>
      <c r="I1352" s="2" t="str">
        <v>CPF 1304</v>
      </c>
      <c r="J1352" s="2" t="str">
        <v>Nome 1304</v>
      </c>
      <c r="K1352" s="8" t="str">
        <v>Tel 1304</v>
      </c>
      <c r="L1352" s="8" t="str">
        <v>Cep 1304</v>
      </c>
      <c r="M1352" s="8" t="str">
        <v>Rua 1304</v>
      </c>
      <c r="N1352" s="8" t="str">
        <v>Comp 1304</v>
      </c>
      <c r="O1352" s="8" t="str">
        <v>Ventilador Preto</v>
      </c>
      <c r="P1352" s="8" t="str">
        <v>EP-9PIR-BWXH</v>
      </c>
      <c r="Q1352" s="4">
        <v>45759</v>
      </c>
      <c r="R1352" s="109">
        <v>100</v>
      </c>
      <c r="S1352" s="11">
        <f ca="1"/>
        <v>100</v>
      </c>
      <c r="T1352" s="28">
        <f ca="1"/>
        <v>13</v>
      </c>
      <c r="U1352" s="11">
        <f ca="1"/>
        <v>87</v>
      </c>
      <c r="V1352" s="11">
        <v>12.3</v>
      </c>
      <c r="W1352" s="11">
        <f ca="1"/>
        <v>0.2</v>
      </c>
      <c r="X1352" s="11">
        <f ca="1"/>
        <v>0.39877104377104378</v>
      </c>
      <c r="Y1352" s="11">
        <v>0</v>
      </c>
      <c r="Z1352" s="11">
        <f ca="1"/>
        <v>74.101228956228951</v>
      </c>
      <c r="AA1352" s="11">
        <f ca="1"/>
        <v>74.101228956228951</v>
      </c>
      <c r="AB1352" s="4">
        <f ca="1"/>
        <v>45766</v>
      </c>
      <c r="AC1352" s="4">
        <v>45766</v>
      </c>
      <c r="AD1352" s="9">
        <v>45779</v>
      </c>
      <c r="AE1352" s="9">
        <v>45783</v>
      </c>
      <c r="AF1352" s="4" t="str">
        <f t="shared" ca="1" si="85"/>
        <v>2025 04</v>
      </c>
      <c r="AG1352" s="8" t="str" cm="1">
        <f t="array" ref="AG1352">IFERROR(_xlfn.IFS('Banco de Dados'!#REF!="AG. COMPRA","Em processamento",'Banco de Dados'!#REF!="AG. RASTREIO","Em processamento",'Banco de Dados'!$AE1352&lt;&gt;"-","Faturado",'Banco de Dados'!$AD1352&lt;&gt;"-","Aguardando Pix",'Banco de Dados'!$AC1352&lt;&gt;"-","Pendente"),"Aguardando Liberação")</f>
        <v>Aguardando Liberação</v>
      </c>
      <c r="AH1352" s="5" t="str">
        <f>IF('Banco de Dados'!$F1352="-",_xlfn.CONCAT(PROPER(TEXT(AK1352,"aaaa"))," ",PROPER(TEXT(AK1352,"mm"))),_xlfn.CONCAT(PROPER(TEXT(E1352,"aaaa"))," ",PROPER(TEXT(E1352,"mm"))))</f>
        <v>2025 03</v>
      </c>
      <c r="AI1352" s="9" t="str">
        <f ca="1">IF('Banco de Dados'!$AK1352&lt;&gt;"-","REEMBOLSO",IFERROR(_xlfn.XLOOKUP(G1352,Follow[CODRASTREIO],Follow[STATUS]),"-"))</f>
        <v>ENTREGUE</v>
      </c>
      <c r="AJ1352" s="9">
        <f ca="1">IF('Banco de Dados'!$AI1352="ENTREGUE",_xlfn.XLOOKUP('Banco de Dados'!$G1352,Follow[CODRASTREIO],Follow[DATAATUALIZAÇÃO]),"-")</f>
        <v>45757</v>
      </c>
      <c r="AK1352" s="132" t="str">
        <f ca="1"/>
        <v>-</v>
      </c>
      <c r="AL1352" s="35"/>
      <c r="AM1352" s="109" cm="1">
        <f t="array" aca="1" ref="AM1352" ca="1">IF('Banco de Dados'!$AK1352&lt;&gt;"-",_xlfn.IFS('Banco de Dados'!$A1352="bv",IF('Banco de Dados'!$E1352&lt;45641,ROUND(SUM('Banco de Dados'!$R1352*_xlfn.XLOOKUP('Banco de Dados'!$P1352,Sku!B:B,Sku!#REF!)*20%),2),ROUND(SUM('Banco de Dados'!$R1352*_xlfn.XLOOKUP('Banco de Dados'!$P1352,Sku!B:B,Sku!H:H)*20%),2)),'Banco de Dados'!$A1352="GO",ROUND(SUM('Banco de Dados'!$R1352*_xlfn.XLOOKUP('Banco de Dados'!$P1352,Sku!C:C,Sku!H:H)*20%),2),'Banco de Dados'!$A1352="MEI",ROUND(SUM('Banco de Dados'!$R1352*_xlfn.XLOOKUP('Banco de Dados'!$P1352,Sku!D:D,Sku!H:H)*20%),2)),0)</f>
        <v>0</v>
      </c>
      <c r="AN1352" s="109">
        <f ca="1">IF('Banco de Dados'!$AK1352&lt;&gt;"-",IF('Banco de Dados'!$F1352&lt;&gt;"-",_xlfn.XLOOKUP(IFERROR(IFERROR(IFERROR(VALUE(SUBSTITUTE(MID(_xlfn.TEXTAFTER('Banco de Dados'!$F1352,"Data do Pedido:
",1),1,10),"-","/")),VALUE(SUBSTITUTE(MID(_xlfn.TEXTAFTER('Banco de Dados'!$F1352,"Order date:
",1),1,10),"-","/"))),VALUE(SUBSTITUTE(MID(_xlfn.TEXTAFTER('Banco de Dados'!$F1352,"Fecha de pedido:
",1),1,10),"-","/"))),"-"),SMS!A:A,SMS!K:K),0),0)</f>
        <v>0</v>
      </c>
      <c r="AO1352" s="109">
        <f ca="1">IF('Banco de Dados'!$AK1352&lt;&gt;"-",IF('Banco de Dados'!$F1352&lt;&gt;"-",IFERROR(_xlfn.XLOOKUP(_xlfn.CONCAT('Banco de Dados'!$A1352,IFERROR(IFERROR(VALUE(SUBSTITUTE(MID(_xlfn.TEXTAFTER('Banco de Dados'!$F1352,"Data do Pedido:
",1),1,10),"-","/")),VALUE(SUBSTITUTE(MID(_xlfn.TEXTAFTER('Banco de Dados'!$F1352,"Order date:
",1),1,10),"-","/"))),0)),ProxyDD[Chave],ProxyDD[Valor por pedido]),PROXY!$P$2),0),0)</f>
        <v>0</v>
      </c>
      <c r="AP1352" s="28">
        <f ca="1">IF('Banco de Dados'!$AK1352&lt;&gt;"-",IF('Banco de Dados'!$AL1352="NÃO",IFERROR(VALUE(SUBSTITUTE(_xlfn.TEXTAFTER('Banco de Dados'!$F1352,"BRL ",1),".",",")),0),0),0)</f>
        <v>0</v>
      </c>
      <c r="AQ1352" s="28">
        <f ca="1">SUM('Banco de Dados'!$AM1352:$AP1352)</f>
        <v>0</v>
      </c>
      <c r="AR1352" s="8"/>
      <c r="AY1352" s="8"/>
    </row>
    <row r="1353" spans="1:51">
      <c r="A1353" s="5" t="str">
        <v>GO</v>
      </c>
      <c r="B1353" s="5" t="str">
        <f ca="1"/>
        <v>GO45738</v>
      </c>
      <c r="C1353" s="8" t="str">
        <v>Pedido 1340</v>
      </c>
      <c r="D1353" s="187">
        <v>45735</v>
      </c>
      <c r="E1353" s="9">
        <v>45738</v>
      </c>
      <c r="F1353" s="8" t="str">
        <v>PedidoF1284</v>
      </c>
      <c r="G1353" s="2" t="str">
        <v>CódRastreio1282</v>
      </c>
      <c r="H1353" s="5">
        <v>1</v>
      </c>
      <c r="I1353" s="2" t="str">
        <v>CPF 1305</v>
      </c>
      <c r="J1353" s="2" t="str">
        <v>Nome 1305</v>
      </c>
      <c r="K1353" s="8" t="str">
        <v>Tel 1305</v>
      </c>
      <c r="L1353" s="8" t="str">
        <v>Cep 1305</v>
      </c>
      <c r="M1353" s="8" t="str">
        <v>Rua 1305</v>
      </c>
      <c r="N1353" s="8" t="str">
        <v>Comp 1305</v>
      </c>
      <c r="O1353" s="8" t="str">
        <v>Ventilador Preto</v>
      </c>
      <c r="P1353" s="8" t="str">
        <v>EP-9PIR-BWXH</v>
      </c>
      <c r="Q1353" s="4">
        <v>45755</v>
      </c>
      <c r="R1353" s="109">
        <v>100</v>
      </c>
      <c r="S1353" s="11">
        <f ca="1"/>
        <v>100</v>
      </c>
      <c r="T1353" s="28">
        <f ca="1"/>
        <v>13</v>
      </c>
      <c r="U1353" s="11">
        <f ca="1"/>
        <v>87</v>
      </c>
      <c r="V1353" s="11">
        <v>11.66</v>
      </c>
      <c r="W1353" s="11">
        <f ca="1"/>
        <v>0.27</v>
      </c>
      <c r="X1353" s="11">
        <f ca="1"/>
        <v>0.39877104377104378</v>
      </c>
      <c r="Y1353" s="11">
        <v>0</v>
      </c>
      <c r="Z1353" s="11">
        <f ca="1"/>
        <v>74.671228956228958</v>
      </c>
      <c r="AA1353" s="11">
        <f ca="1"/>
        <v>74.671228956228958</v>
      </c>
      <c r="AB1353" s="4">
        <f ca="1"/>
        <v>45762</v>
      </c>
      <c r="AC1353" s="4">
        <v>45762</v>
      </c>
      <c r="AD1353" s="9">
        <v>45762</v>
      </c>
      <c r="AE1353" s="9">
        <v>45763</v>
      </c>
      <c r="AF1353" s="4" t="str">
        <f ca="1">_xlfn.CONCAT(PROPER(TEXT(AB1353,"aaaa"))," ",PROPER(TEXT(AB1353,"mm")))</f>
        <v>2025 04</v>
      </c>
      <c r="AG1353" s="8" t="str" cm="1">
        <f t="array" ref="AG1353">IFERROR(_xlfn.IFS('Banco de Dados'!#REF!="AG. COMPRA","Em processamento",'Banco de Dados'!#REF!="AG. RASTREIO","Em processamento",'Banco de Dados'!$AE1353&lt;&gt;"-","Faturado",'Banco de Dados'!$AD1353&lt;&gt;"-","Aguardando Pix",'Banco de Dados'!$AC1353&lt;&gt;"-","Pendente"),"Aguardando Liberação")</f>
        <v>Aguardando Liberação</v>
      </c>
      <c r="AH1353" s="5" t="str">
        <f>IF('Banco de Dados'!$F1353="-",_xlfn.CONCAT(PROPER(TEXT(AK1353,"aaaa"))," ",PROPER(TEXT(AK1353,"mm"))),_xlfn.CONCAT(PROPER(TEXT(E1353,"aaaa"))," ",PROPER(TEXT(E1353,"mm"))))</f>
        <v>2025 03</v>
      </c>
      <c r="AI1353" s="9" t="str">
        <f ca="1">IF('Banco de Dados'!$AK1353&lt;&gt;"-","REEMBOLSO",IFERROR(_xlfn.XLOOKUP(G1353,Follow[CODRASTREIO],Follow[STATUS]),"-"))</f>
        <v>ENTREGUE</v>
      </c>
      <c r="AJ1353" s="9">
        <f ca="1">IF('Banco de Dados'!$AI1353="ENTREGUE",_xlfn.XLOOKUP('Banco de Dados'!$G1353,Follow[CODRASTREIO],Follow[DATAATUALIZAÇÃO]),"-")</f>
        <v>45751</v>
      </c>
      <c r="AK1353" s="132" t="str">
        <f ca="1"/>
        <v>-</v>
      </c>
      <c r="AL1353" s="35"/>
      <c r="AM1353" s="109" cm="1">
        <f t="array" aca="1" ref="AM1353" ca="1">IF('Banco de Dados'!$AK1353&lt;&gt;"-",_xlfn.IFS('Banco de Dados'!$A1353="bv",IF('Banco de Dados'!$E1353&lt;45641,ROUND(SUM('Banco de Dados'!$R1353*_xlfn.XLOOKUP('Banco de Dados'!$P1353,Sku!B:B,Sku!#REF!)*20%),2),ROUND(SUM('Banco de Dados'!$R1353*_xlfn.XLOOKUP('Banco de Dados'!$P1353,Sku!B:B,Sku!H:H)*20%),2)),'Banco de Dados'!$A1353="GO",ROUND(SUM('Banco de Dados'!$R1353*_xlfn.XLOOKUP('Banco de Dados'!$P1353,Sku!C:C,Sku!H:H)*20%),2),'Banco de Dados'!$A1353="MEI",ROUND(SUM('Banco de Dados'!$R1353*_xlfn.XLOOKUP('Banco de Dados'!$P1353,Sku!D:D,Sku!H:H)*20%),2)),0)</f>
        <v>0</v>
      </c>
      <c r="AN1353" s="109">
        <f ca="1">IF('Banco de Dados'!$AK1353&lt;&gt;"-",IF('Banco de Dados'!$F1353&lt;&gt;"-",_xlfn.XLOOKUP(IFERROR(IFERROR(IFERROR(VALUE(SUBSTITUTE(MID(_xlfn.TEXTAFTER('Banco de Dados'!$F1353,"Data do Pedido:
",1),1,10),"-","/")),VALUE(SUBSTITUTE(MID(_xlfn.TEXTAFTER('Banco de Dados'!$F1353,"Order date:
",1),1,10),"-","/"))),VALUE(SUBSTITUTE(MID(_xlfn.TEXTAFTER('Banco de Dados'!$F1353,"Fecha de pedido:
",1),1,10),"-","/"))),"-"),SMS!A:A,SMS!K:K),0),0)</f>
        <v>0</v>
      </c>
      <c r="AO1353" s="109">
        <f ca="1">IF('Banco de Dados'!$AK1353&lt;&gt;"-",IF('Banco de Dados'!$F1353&lt;&gt;"-",IFERROR(_xlfn.XLOOKUP(_xlfn.CONCAT('Banco de Dados'!$A1353,IFERROR(IFERROR(VALUE(SUBSTITUTE(MID(_xlfn.TEXTAFTER('Banco de Dados'!$F1353,"Data do Pedido:
",1),1,10),"-","/")),VALUE(SUBSTITUTE(MID(_xlfn.TEXTAFTER('Banco de Dados'!$F1353,"Order date:
",1),1,10),"-","/"))),0)),ProxyDD[Chave],ProxyDD[Valor por pedido]),PROXY!$P$2),0),0)</f>
        <v>0</v>
      </c>
      <c r="AP1353" s="28">
        <f ca="1">IF('Banco de Dados'!$AK1353&lt;&gt;"-",IF('Banco de Dados'!$AL1353="NÃO",IFERROR(VALUE(SUBSTITUTE(_xlfn.TEXTAFTER('Banco de Dados'!$F1353,"BRL ",1),".",",")),0),0),0)</f>
        <v>0</v>
      </c>
      <c r="AQ1353" s="28">
        <f ca="1">SUM('Banco de Dados'!$AM1353:$AP1353)</f>
        <v>0</v>
      </c>
      <c r="AR1353" s="8"/>
      <c r="AY1353" s="8"/>
    </row>
    <row r="1354" spans="1:51">
      <c r="A1354" s="5" t="str">
        <v>MEI</v>
      </c>
      <c r="B1354" s="5" t="str">
        <f ca="1"/>
        <v>MEI45740</v>
      </c>
      <c r="C1354" s="8" t="str">
        <v>Pedido 1341</v>
      </c>
      <c r="D1354" s="187">
        <v>45739</v>
      </c>
      <c r="E1354" s="9">
        <v>45740</v>
      </c>
      <c r="F1354" s="8" t="str">
        <v>PedidoF1285</v>
      </c>
      <c r="G1354" s="2" t="str">
        <v>CódRastreio1283</v>
      </c>
      <c r="H1354" s="5">
        <v>1</v>
      </c>
      <c r="I1354" s="2" t="str">
        <v>CPF 1306</v>
      </c>
      <c r="J1354" s="2" t="str">
        <v>Nome 1306</v>
      </c>
      <c r="K1354" s="8" t="str">
        <v>Tel 1306</v>
      </c>
      <c r="L1354" s="8" t="str">
        <v>Cep 1306</v>
      </c>
      <c r="M1354" s="8" t="str">
        <v>Rua 1306</v>
      </c>
      <c r="N1354" s="8" t="str">
        <v>Comp 1306</v>
      </c>
      <c r="O1354" s="8" t="str">
        <v>Ventilador Azul</v>
      </c>
      <c r="P1354" s="8" t="str">
        <v>PK-L2Z7-MQRQ</v>
      </c>
      <c r="Q1354" s="4">
        <v>45758</v>
      </c>
      <c r="R1354" s="109">
        <v>49.9</v>
      </c>
      <c r="S1354" s="11">
        <f ca="1"/>
        <v>49.9</v>
      </c>
      <c r="T1354" s="28">
        <f ca="1"/>
        <v>6.4870000000000001</v>
      </c>
      <c r="U1354" s="11">
        <f ca="1"/>
        <v>43.41</v>
      </c>
      <c r="V1354" s="11">
        <v>11.77</v>
      </c>
      <c r="W1354" s="11">
        <f ca="1"/>
        <v>0.24</v>
      </c>
      <c r="X1354" s="11">
        <f ca="1"/>
        <v>0.39877104377104378</v>
      </c>
      <c r="Y1354" s="11">
        <v>0</v>
      </c>
      <c r="Z1354" s="11">
        <f ca="1"/>
        <v>31.001228956228953</v>
      </c>
      <c r="AA1354" s="11">
        <f ca="1"/>
        <v>15.500614478114477</v>
      </c>
      <c r="AB1354" s="4">
        <f ca="1"/>
        <v>45765</v>
      </c>
      <c r="AC1354" s="4">
        <v>45765</v>
      </c>
      <c r="AD1354" s="9">
        <v>45779</v>
      </c>
      <c r="AE1354" s="9">
        <v>45783</v>
      </c>
      <c r="AF1354" s="4" t="str">
        <f t="shared" ref="AF1354:AF1363" ca="1" si="86">_xlfn.CONCAT(PROPER(TEXT(AB1354,"aaaa"))," ",PROPER(TEXT(AB1354,"mm")))</f>
        <v>2025 04</v>
      </c>
      <c r="AG1354" s="8" t="str" cm="1">
        <f t="array" ref="AG1354">IFERROR(_xlfn.IFS('Banco de Dados'!#REF!="AG. COMPRA","Em processamento",'Banco de Dados'!#REF!="AG. RASTREIO","Em processamento",'Banco de Dados'!$AE1354&lt;&gt;"-","Faturado",'Banco de Dados'!$AD1354&lt;&gt;"-","Aguardando Pix",'Banco de Dados'!$AC1354&lt;&gt;"-","Pendente"),"Aguardando Liberação")</f>
        <v>Aguardando Liberação</v>
      </c>
      <c r="AH1354" s="5" t="str">
        <f>IF('Banco de Dados'!$F1354="-",_xlfn.CONCAT(PROPER(TEXT(AK1354,"aaaa"))," ",PROPER(TEXT(AK1354,"mm"))),_xlfn.CONCAT(PROPER(TEXT(E1354,"aaaa"))," ",PROPER(TEXT(E1354,"mm"))))</f>
        <v>2025 03</v>
      </c>
      <c r="AI1354" s="9" t="str">
        <f ca="1">IF('Banco de Dados'!$AK1354&lt;&gt;"-","REEMBOLSO",IFERROR(_xlfn.XLOOKUP(G1354,Follow[CODRASTREIO],Follow[STATUS]),"-"))</f>
        <v>ENTREGUE</v>
      </c>
      <c r="AJ1354" s="9">
        <f ca="1">IF('Banco de Dados'!$AI1354="ENTREGUE",_xlfn.XLOOKUP('Banco de Dados'!$G1354,Follow[CODRASTREIO],Follow[DATAATUALIZAÇÃO]),"-")</f>
        <v>45748</v>
      </c>
      <c r="AK1354" s="132" t="str">
        <f ca="1"/>
        <v>-</v>
      </c>
      <c r="AL1354" s="35"/>
      <c r="AM1354" s="109" cm="1">
        <f t="array" aca="1" ref="AM1354" ca="1">IF('Banco de Dados'!$AK1354&lt;&gt;"-",_xlfn.IFS('Banco de Dados'!$A1354="bv",IF('Banco de Dados'!$E1354&lt;45641,ROUND(SUM('Banco de Dados'!$R1354*_xlfn.XLOOKUP('Banco de Dados'!$P1354,Sku!B:B,Sku!#REF!)*20%),2),ROUND(SUM('Banco de Dados'!$R1354*_xlfn.XLOOKUP('Banco de Dados'!$P1354,Sku!B:B,Sku!H:H)*20%),2)),'Banco de Dados'!$A1354="GO",ROUND(SUM('Banco de Dados'!$R1354*_xlfn.XLOOKUP('Banco de Dados'!$P1354,Sku!C:C,Sku!H:H)*20%),2),'Banco de Dados'!$A1354="MEI",ROUND(SUM('Banco de Dados'!$R1354*_xlfn.XLOOKUP('Banco de Dados'!$P1354,Sku!D:D,Sku!H:H)*20%),2)),0)</f>
        <v>0</v>
      </c>
      <c r="AN1354" s="109">
        <f ca="1">IF('Banco de Dados'!$AK1354&lt;&gt;"-",IF('Banco de Dados'!$F1354&lt;&gt;"-",_xlfn.XLOOKUP(IFERROR(IFERROR(IFERROR(VALUE(SUBSTITUTE(MID(_xlfn.TEXTAFTER('Banco de Dados'!$F1354,"Data do Pedido:
",1),1,10),"-","/")),VALUE(SUBSTITUTE(MID(_xlfn.TEXTAFTER('Banco de Dados'!$F1354,"Order date:
",1),1,10),"-","/"))),VALUE(SUBSTITUTE(MID(_xlfn.TEXTAFTER('Banco de Dados'!$F1354,"Fecha de pedido:
",1),1,10),"-","/"))),"-"),SMS!A:A,SMS!K:K),0),0)</f>
        <v>0</v>
      </c>
      <c r="AO1354" s="109">
        <f ca="1">IF('Banco de Dados'!$AK1354&lt;&gt;"-",IF('Banco de Dados'!$F1354&lt;&gt;"-",IFERROR(_xlfn.XLOOKUP(_xlfn.CONCAT('Banco de Dados'!$A1354,IFERROR(IFERROR(VALUE(SUBSTITUTE(MID(_xlfn.TEXTAFTER('Banco de Dados'!$F1354,"Data do Pedido:
",1),1,10),"-","/")),VALUE(SUBSTITUTE(MID(_xlfn.TEXTAFTER('Banco de Dados'!$F1354,"Order date:
",1),1,10),"-","/"))),0)),ProxyDD[Chave],ProxyDD[Valor por pedido]),PROXY!$P$2),0),0)</f>
        <v>0</v>
      </c>
      <c r="AP1354" s="28">
        <f ca="1">IF('Banco de Dados'!$AK1354&lt;&gt;"-",IF('Banco de Dados'!$AL1354="NÃO",IFERROR(VALUE(SUBSTITUTE(_xlfn.TEXTAFTER('Banco de Dados'!$F1354,"BRL ",1),".",",")),0),0),0)</f>
        <v>0</v>
      </c>
      <c r="AQ1354" s="28">
        <f ca="1">SUM('Banco de Dados'!$AM1354:$AP1354)</f>
        <v>0</v>
      </c>
      <c r="AR1354" s="8"/>
      <c r="AY1354" s="8"/>
    </row>
    <row r="1355" spans="1:51">
      <c r="A1355" s="5" t="str">
        <v>MEI</v>
      </c>
      <c r="B1355" s="5" t="str">
        <f ca="1"/>
        <v>MEI-</v>
      </c>
      <c r="C1355" s="8" t="str">
        <v>Pedido 1342</v>
      </c>
      <c r="D1355" s="187">
        <v>45739</v>
      </c>
      <c r="E1355" s="9" t="str">
        <v>-</v>
      </c>
      <c r="F1355" s="8" t="str">
        <v>-</v>
      </c>
      <c r="G1355" s="2" t="str">
        <v>-</v>
      </c>
      <c r="H1355" s="5">
        <v>1</v>
      </c>
      <c r="I1355" s="2" t="str">
        <v>CPF 1307</v>
      </c>
      <c r="J1355" s="2" t="str">
        <v>Nome 1307</v>
      </c>
      <c r="K1355" s="8" t="str">
        <v>Tel 1307</v>
      </c>
      <c r="L1355" s="8" t="str">
        <v>Cep 1307</v>
      </c>
      <c r="M1355" s="8" t="str">
        <v>Rua 1307</v>
      </c>
      <c r="N1355" s="8" t="str">
        <v>Comp 1307</v>
      </c>
      <c r="O1355" s="8" t="str">
        <v>Ventilador Azul</v>
      </c>
      <c r="P1355" s="8" t="str">
        <v>PK-L2Z7-MQRQ</v>
      </c>
      <c r="Q1355" s="4">
        <v>45758</v>
      </c>
      <c r="R1355" s="109">
        <v>49.9</v>
      </c>
      <c r="S1355" s="11">
        <f ca="1"/>
        <v>0</v>
      </c>
      <c r="T1355" s="28">
        <f ca="1"/>
        <v>0</v>
      </c>
      <c r="U1355" s="11">
        <f ca="1"/>
        <v>0</v>
      </c>
      <c r="V1355" s="11">
        <v>0</v>
      </c>
      <c r="W1355" s="11">
        <f ca="1"/>
        <v>0</v>
      </c>
      <c r="X1355" s="11">
        <f ca="1"/>
        <v>0</v>
      </c>
      <c r="Y1355" s="11">
        <v>0</v>
      </c>
      <c r="Z1355" s="11">
        <f ca="1"/>
        <v>0</v>
      </c>
      <c r="AA1355" s="11">
        <f ca="1"/>
        <v>0</v>
      </c>
      <c r="AB1355" s="4">
        <f ca="1"/>
        <v>45765</v>
      </c>
      <c r="AC1355" s="4">
        <v>45765</v>
      </c>
      <c r="AD1355" s="9">
        <v>45779</v>
      </c>
      <c r="AE1355" s="9">
        <v>45783</v>
      </c>
      <c r="AF1355" s="4" t="str">
        <f t="shared" ca="1" si="86"/>
        <v>2025 04</v>
      </c>
      <c r="AG1355" s="8" t="str" cm="1">
        <f t="array" ref="AG1355">IFERROR(_xlfn.IFS('Banco de Dados'!#REF!="AG. COMPRA","Em processamento",'Banco de Dados'!#REF!="AG. RASTREIO","Em processamento",'Banco de Dados'!$AE1355&lt;&gt;"-","Faturado",'Banco de Dados'!$AD1355&lt;&gt;"-","Aguardando Pix",'Banco de Dados'!$AC1355&lt;&gt;"-","Pendente"),"Aguardando Liberação")</f>
        <v>Aguardando Liberação</v>
      </c>
      <c r="AH1355" s="5" t="str">
        <f ca="1">IF('Banco de Dados'!$F1355="-",_xlfn.CONCAT(PROPER(TEXT(AK1355,"aaaa"))," ",PROPER(TEXT(AK1355,"mm"))),_xlfn.CONCAT(PROPER(TEXT(E1355,"aaaa"))," ",PROPER(TEXT(E1355,"mm"))))</f>
        <v>2025 03</v>
      </c>
      <c r="AI1355" s="9" t="str">
        <f ca="1">IF('Banco de Dados'!$AK1355&lt;&gt;"-","REEMBOLSO",IFERROR(_xlfn.XLOOKUP(G1355,Follow[CODRASTREIO],Follow[STATUS]),"-"))</f>
        <v>REEMBOLSO</v>
      </c>
      <c r="AJ1355" s="9" t="str">
        <f ca="1">IF('Banco de Dados'!$AI1355="ENTREGUE",_xlfn.XLOOKUP('Banco de Dados'!$G1355,Follow[CODRASTREIO],Follow[DATAATUALIZAÇÃO]),"-")</f>
        <v>-</v>
      </c>
      <c r="AK1355" s="132">
        <f ca="1"/>
        <v>45742</v>
      </c>
      <c r="AL1355" s="35"/>
      <c r="AM1355" s="109" cm="1">
        <f t="array" aca="1" ref="AM1355" ca="1">IF('Banco de Dados'!$AK1355&lt;&gt;"-",_xlfn.IFS('Banco de Dados'!$A1355="bv",IF('Banco de Dados'!$E1355&lt;45641,ROUND(SUM('Banco de Dados'!$R1355*_xlfn.XLOOKUP('Banco de Dados'!$P1355,Sku!B:B,Sku!#REF!)*20%),2),ROUND(SUM('Banco de Dados'!$R1355*_xlfn.XLOOKUP('Banco de Dados'!$P1355,Sku!B:B,Sku!H:H)*20%),2)),'Banco de Dados'!$A1355="GO",ROUND(SUM('Banco de Dados'!$R1355*_xlfn.XLOOKUP('Banco de Dados'!$P1355,Sku!C:C,Sku!H:H)*20%),2),'Banco de Dados'!$A1355="MEI",ROUND(SUM('Banco de Dados'!$R1355*_xlfn.XLOOKUP('Banco de Dados'!$P1355,Sku!D:D,Sku!H:H)*20%),2)),0)</f>
        <v>1.3</v>
      </c>
      <c r="AN1355" s="109">
        <f ca="1">IF('Banco de Dados'!$AK1355&lt;&gt;"-",IF('Banco de Dados'!$F1355&lt;&gt;"-",_xlfn.XLOOKUP(IFERROR(IFERROR(IFERROR(VALUE(SUBSTITUTE(MID(_xlfn.TEXTAFTER('Banco de Dados'!$F1355,"Data do Pedido:
",1),1,10),"-","/")),VALUE(SUBSTITUTE(MID(_xlfn.TEXTAFTER('Banco de Dados'!$F1355,"Order date:
",1),1,10),"-","/"))),VALUE(SUBSTITUTE(MID(_xlfn.TEXTAFTER('Banco de Dados'!$F1355,"Fecha de pedido:
",1),1,10),"-","/"))),"-"),SMS!A:A,SMS!K:K),0),0)</f>
        <v>0</v>
      </c>
      <c r="AO1355" s="109">
        <f ca="1">IF('Banco de Dados'!$AK1355&lt;&gt;"-",IF('Banco de Dados'!$F1355&lt;&gt;"-",IFERROR(_xlfn.XLOOKUP(_xlfn.CONCAT('Banco de Dados'!$A1355,IFERROR(IFERROR(VALUE(SUBSTITUTE(MID(_xlfn.TEXTAFTER('Banco de Dados'!$F1355,"Data do Pedido:
",1),1,10),"-","/")),VALUE(SUBSTITUTE(MID(_xlfn.TEXTAFTER('Banco de Dados'!$F1355,"Order date:
",1),1,10),"-","/"))),0)),ProxyDD[Chave],ProxyDD[Valor por pedido]),PROXY!$P$2),0),0)</f>
        <v>0</v>
      </c>
      <c r="AP1355" s="28">
        <f ca="1">IF('Banco de Dados'!$AK1355&lt;&gt;"-",IF('Banco de Dados'!$AL1355="NÃO",IFERROR(VALUE(SUBSTITUTE(_xlfn.TEXTAFTER('Banco de Dados'!$F1355,"BRL ",1),".",",")),0),0),0)</f>
        <v>0</v>
      </c>
      <c r="AQ1355" s="28">
        <f ca="1">SUM('Banco de Dados'!$AM1355:$AP1355)</f>
        <v>1.3</v>
      </c>
      <c r="AR1355" s="8"/>
      <c r="AY1355" s="8"/>
    </row>
    <row r="1356" spans="1:51">
      <c r="A1356" s="5" t="str">
        <v>MEI</v>
      </c>
      <c r="B1356" s="5" t="str">
        <f ca="1"/>
        <v>MEI45740</v>
      </c>
      <c r="C1356" s="8" t="str">
        <v>Pedido 1343</v>
      </c>
      <c r="D1356" s="187">
        <v>45739</v>
      </c>
      <c r="E1356" s="9">
        <v>45740</v>
      </c>
      <c r="F1356" s="8" t="str">
        <v>PedidoF1286</v>
      </c>
      <c r="G1356" s="2" t="str">
        <v>CódRastreio1284</v>
      </c>
      <c r="H1356" s="5">
        <v>1</v>
      </c>
      <c r="I1356" s="2" t="str">
        <v>CPF 1308</v>
      </c>
      <c r="J1356" s="2" t="str">
        <v>Nome 1308</v>
      </c>
      <c r="K1356" s="8" t="str">
        <v>Tel 1308</v>
      </c>
      <c r="L1356" s="8" t="str">
        <v>Cep 1308</v>
      </c>
      <c r="M1356" s="8" t="str">
        <v>Rua 1308</v>
      </c>
      <c r="N1356" s="8" t="str">
        <v>Comp 1308</v>
      </c>
      <c r="O1356" s="8" t="str">
        <v>Lampada Led</v>
      </c>
      <c r="P1356" s="8" t="str">
        <v>T1-SWVB-UPOW</v>
      </c>
      <c r="Q1356" s="4">
        <v>45764</v>
      </c>
      <c r="R1356" s="109">
        <v>29.99</v>
      </c>
      <c r="S1356" s="11">
        <f ca="1"/>
        <v>29.99</v>
      </c>
      <c r="T1356" s="28">
        <f ca="1"/>
        <v>3.8986999999999998</v>
      </c>
      <c r="U1356" s="11">
        <f ca="1"/>
        <v>26.09</v>
      </c>
      <c r="V1356" s="11">
        <v>10.61</v>
      </c>
      <c r="W1356" s="11">
        <f ca="1"/>
        <v>0.24</v>
      </c>
      <c r="X1356" s="11">
        <f ca="1"/>
        <v>0.39877104377104378</v>
      </c>
      <c r="Y1356" s="11">
        <v>0</v>
      </c>
      <c r="Z1356" s="11">
        <f ca="1"/>
        <v>14.841228956228957</v>
      </c>
      <c r="AA1356" s="11">
        <f ca="1"/>
        <v>7.4206144781144783</v>
      </c>
      <c r="AB1356" s="4">
        <f ca="1"/>
        <v>45771</v>
      </c>
      <c r="AC1356" s="4">
        <v>45771</v>
      </c>
      <c r="AD1356" s="9">
        <v>45779</v>
      </c>
      <c r="AE1356" s="9">
        <v>45783</v>
      </c>
      <c r="AF1356" s="4" t="str">
        <f t="shared" ca="1" si="86"/>
        <v>2025 04</v>
      </c>
      <c r="AG1356" s="8" t="str" cm="1">
        <f t="array" ref="AG1356">IFERROR(_xlfn.IFS('Banco de Dados'!#REF!="AG. COMPRA","Em processamento",'Banco de Dados'!#REF!="AG. RASTREIO","Em processamento",'Banco de Dados'!$AE1356&lt;&gt;"-","Faturado",'Banco de Dados'!$AD1356&lt;&gt;"-","Aguardando Pix",'Banco de Dados'!$AC1356&lt;&gt;"-","Pendente"),"Aguardando Liberação")</f>
        <v>Aguardando Liberação</v>
      </c>
      <c r="AH1356" s="5" t="str">
        <f>IF('Banco de Dados'!$F1356="-",_xlfn.CONCAT(PROPER(TEXT(AK1356,"aaaa"))," ",PROPER(TEXT(AK1356,"mm"))),_xlfn.CONCAT(PROPER(TEXT(E1356,"aaaa"))," ",PROPER(TEXT(E1356,"mm"))))</f>
        <v>2025 03</v>
      </c>
      <c r="AI1356" s="9" t="str">
        <f ca="1">IF('Banco de Dados'!$AK1356&lt;&gt;"-","REEMBOLSO",IFERROR(_xlfn.XLOOKUP(G1356,Follow[CODRASTREIO],Follow[STATUS]),"-"))</f>
        <v>ENTREGUE</v>
      </c>
      <c r="AJ1356" s="9">
        <f ca="1">IF('Banco de Dados'!$AI1356="ENTREGUE",_xlfn.XLOOKUP('Banco de Dados'!$G1356,Follow[CODRASTREIO],Follow[DATAATUALIZAÇÃO]),"-")</f>
        <v>45756</v>
      </c>
      <c r="AK1356" s="132" t="str">
        <f ca="1"/>
        <v>-</v>
      </c>
      <c r="AL1356" s="35"/>
      <c r="AM1356" s="109" cm="1">
        <f t="array" aca="1" ref="AM1356" ca="1">IF('Banco de Dados'!$AK1356&lt;&gt;"-",_xlfn.IFS('Banco de Dados'!$A1356="bv",IF('Banco de Dados'!$E1356&lt;45641,ROUND(SUM('Banco de Dados'!$R1356*_xlfn.XLOOKUP('Banco de Dados'!$P1356,Sku!B:B,Sku!#REF!)*20%),2),ROUND(SUM('Banco de Dados'!$R1356*_xlfn.XLOOKUP('Banco de Dados'!$P1356,Sku!B:B,Sku!H:H)*20%),2)),'Banco de Dados'!$A1356="GO",ROUND(SUM('Banco de Dados'!$R1356*_xlfn.XLOOKUP('Banco de Dados'!$P1356,Sku!C:C,Sku!H:H)*20%),2),'Banco de Dados'!$A1356="MEI",ROUND(SUM('Banco de Dados'!$R1356*_xlfn.XLOOKUP('Banco de Dados'!$P1356,Sku!D:D,Sku!H:H)*20%),2)),0)</f>
        <v>0</v>
      </c>
      <c r="AN1356" s="109">
        <f ca="1">IF('Banco de Dados'!$AK1356&lt;&gt;"-",IF('Banco de Dados'!$F1356&lt;&gt;"-",_xlfn.XLOOKUP(IFERROR(IFERROR(IFERROR(VALUE(SUBSTITUTE(MID(_xlfn.TEXTAFTER('Banco de Dados'!$F1356,"Data do Pedido:
",1),1,10),"-","/")),VALUE(SUBSTITUTE(MID(_xlfn.TEXTAFTER('Banco de Dados'!$F1356,"Order date:
",1),1,10),"-","/"))),VALUE(SUBSTITUTE(MID(_xlfn.TEXTAFTER('Banco de Dados'!$F1356,"Fecha de pedido:
",1),1,10),"-","/"))),"-"),SMS!A:A,SMS!K:K),0),0)</f>
        <v>0</v>
      </c>
      <c r="AO1356" s="109">
        <f ca="1">IF('Banco de Dados'!$AK1356&lt;&gt;"-",IF('Banco de Dados'!$F1356&lt;&gt;"-",IFERROR(_xlfn.XLOOKUP(_xlfn.CONCAT('Banco de Dados'!$A1356,IFERROR(IFERROR(VALUE(SUBSTITUTE(MID(_xlfn.TEXTAFTER('Banco de Dados'!$F1356,"Data do Pedido:
",1),1,10),"-","/")),VALUE(SUBSTITUTE(MID(_xlfn.TEXTAFTER('Banco de Dados'!$F1356,"Order date:
",1),1,10),"-","/"))),0)),ProxyDD[Chave],ProxyDD[Valor por pedido]),PROXY!$P$2),0),0)</f>
        <v>0</v>
      </c>
      <c r="AP1356" s="28">
        <f ca="1">IF('Banco de Dados'!$AK1356&lt;&gt;"-",IF('Banco de Dados'!$AL1356="NÃO",IFERROR(VALUE(SUBSTITUTE(_xlfn.TEXTAFTER('Banco de Dados'!$F1356,"BRL ",1),".",",")),0),0),0)</f>
        <v>0</v>
      </c>
      <c r="AQ1356" s="28">
        <f ca="1">SUM('Banco de Dados'!$AM1356:$AP1356)</f>
        <v>0</v>
      </c>
      <c r="AR1356" s="8"/>
      <c r="AY1356" s="8"/>
    </row>
    <row r="1357" spans="1:51">
      <c r="A1357" s="5" t="str">
        <v>MEI</v>
      </c>
      <c r="B1357" s="5" t="str">
        <f ca="1"/>
        <v>MEI45740</v>
      </c>
      <c r="C1357" s="8" t="str">
        <v>Pedido 1344</v>
      </c>
      <c r="D1357" s="187">
        <v>45740</v>
      </c>
      <c r="E1357" s="9">
        <v>45740</v>
      </c>
      <c r="F1357" s="8" t="str">
        <v>PedidoF1287</v>
      </c>
      <c r="G1357" s="2" t="str">
        <v>CódRastreio1285</v>
      </c>
      <c r="H1357" s="5">
        <v>1</v>
      </c>
      <c r="I1357" s="2" t="str">
        <v>CPF 1309</v>
      </c>
      <c r="J1357" s="2" t="str">
        <v>Nome 1309</v>
      </c>
      <c r="K1357" s="8" t="str">
        <v>Tel 1309</v>
      </c>
      <c r="L1357" s="8" t="str">
        <v>Cep 1309</v>
      </c>
      <c r="M1357" s="8" t="str">
        <v>Rua 1309</v>
      </c>
      <c r="N1357" s="8" t="str">
        <v>Comp 1309</v>
      </c>
      <c r="O1357" s="8" t="str">
        <v>Brinquedo Bola Giratória voadora</v>
      </c>
      <c r="P1357" s="8" t="str">
        <v>Z0-F6CI-18CL</v>
      </c>
      <c r="Q1357" s="4">
        <v>45758</v>
      </c>
      <c r="R1357" s="109">
        <v>44.95</v>
      </c>
      <c r="S1357" s="11">
        <f ca="1"/>
        <v>44.95</v>
      </c>
      <c r="T1357" s="28">
        <f ca="1"/>
        <v>5.3940000000000001</v>
      </c>
      <c r="U1357" s="11">
        <f ca="1"/>
        <v>39.56</v>
      </c>
      <c r="V1357" s="11">
        <v>11.48</v>
      </c>
      <c r="W1357" s="11">
        <f ca="1"/>
        <v>0.24</v>
      </c>
      <c r="X1357" s="11">
        <f ca="1"/>
        <v>0.39877104377104378</v>
      </c>
      <c r="Y1357" s="11">
        <v>0</v>
      </c>
      <c r="Z1357" s="11">
        <f ca="1"/>
        <v>27.441228956228958</v>
      </c>
      <c r="AA1357" s="11">
        <f ca="1"/>
        <v>13.720614478114479</v>
      </c>
      <c r="AB1357" s="4">
        <f ca="1"/>
        <v>45765</v>
      </c>
      <c r="AC1357" s="4">
        <v>45765</v>
      </c>
      <c r="AD1357" s="9">
        <v>45779</v>
      </c>
      <c r="AE1357" s="9">
        <v>45783</v>
      </c>
      <c r="AF1357" s="4" t="str">
        <f t="shared" ca="1" si="86"/>
        <v>2025 04</v>
      </c>
      <c r="AG1357" s="8" t="str" cm="1">
        <f t="array" ref="AG1357">IFERROR(_xlfn.IFS('Banco de Dados'!#REF!="AG. COMPRA","Em processamento",'Banco de Dados'!#REF!="AG. RASTREIO","Em processamento",'Banco de Dados'!$AE1357&lt;&gt;"-","Faturado",'Banco de Dados'!$AD1357&lt;&gt;"-","Aguardando Pix",'Banco de Dados'!$AC1357&lt;&gt;"-","Pendente"),"Aguardando Liberação")</f>
        <v>Aguardando Liberação</v>
      </c>
      <c r="AH1357" s="5" t="str">
        <f>IF('Banco de Dados'!$F1357="-",_xlfn.CONCAT(PROPER(TEXT(AK1357,"aaaa"))," ",PROPER(TEXT(AK1357,"mm"))),_xlfn.CONCAT(PROPER(TEXT(E1357,"aaaa"))," ",PROPER(TEXT(E1357,"mm"))))</f>
        <v>2025 03</v>
      </c>
      <c r="AI1357" s="9" t="str">
        <f ca="1">IF('Banco de Dados'!$AK1357&lt;&gt;"-","REEMBOLSO",IFERROR(_xlfn.XLOOKUP(G1357,Follow[CODRASTREIO],Follow[STATUS]),"-"))</f>
        <v>ENTREGUE</v>
      </c>
      <c r="AJ1357" s="9">
        <f ca="1">IF('Banco de Dados'!$AI1357="ENTREGUE",_xlfn.XLOOKUP('Banco de Dados'!$G1357,Follow[CODRASTREIO],Follow[DATAATUALIZAÇÃO]),"-")</f>
        <v>45750</v>
      </c>
      <c r="AK1357" s="132" t="str">
        <f ca="1"/>
        <v>-</v>
      </c>
      <c r="AL1357" s="35"/>
      <c r="AM1357" s="109" cm="1">
        <f t="array" aca="1" ref="AM1357" ca="1">IF('Banco de Dados'!$AK1357&lt;&gt;"-",_xlfn.IFS('Banco de Dados'!$A1357="bv",IF('Banco de Dados'!$E1357&lt;45641,ROUND(SUM('Banco de Dados'!$R1357*_xlfn.XLOOKUP('Banco de Dados'!$P1357,Sku!B:B,Sku!#REF!)*20%),2),ROUND(SUM('Banco de Dados'!$R1357*_xlfn.XLOOKUP('Banco de Dados'!$P1357,Sku!B:B,Sku!H:H)*20%),2)),'Banco de Dados'!$A1357="GO",ROUND(SUM('Banco de Dados'!$R1357*_xlfn.XLOOKUP('Banco de Dados'!$P1357,Sku!C:C,Sku!H:H)*20%),2),'Banco de Dados'!$A1357="MEI",ROUND(SUM('Banco de Dados'!$R1357*_xlfn.XLOOKUP('Banco de Dados'!$P1357,Sku!D:D,Sku!H:H)*20%),2)),0)</f>
        <v>0</v>
      </c>
      <c r="AN1357" s="109">
        <f ca="1">IF('Banco de Dados'!$AK1357&lt;&gt;"-",IF('Banco de Dados'!$F1357&lt;&gt;"-",_xlfn.XLOOKUP(IFERROR(IFERROR(IFERROR(VALUE(SUBSTITUTE(MID(_xlfn.TEXTAFTER('Banco de Dados'!$F1357,"Data do Pedido:
",1),1,10),"-","/")),VALUE(SUBSTITUTE(MID(_xlfn.TEXTAFTER('Banco de Dados'!$F1357,"Order date:
",1),1,10),"-","/"))),VALUE(SUBSTITUTE(MID(_xlfn.TEXTAFTER('Banco de Dados'!$F1357,"Fecha de pedido:
",1),1,10),"-","/"))),"-"),SMS!A:A,SMS!K:K),0),0)</f>
        <v>0</v>
      </c>
      <c r="AO1357" s="109">
        <f ca="1">IF('Banco de Dados'!$AK1357&lt;&gt;"-",IF('Banco de Dados'!$F1357&lt;&gt;"-",IFERROR(_xlfn.XLOOKUP(_xlfn.CONCAT('Banco de Dados'!$A1357,IFERROR(IFERROR(VALUE(SUBSTITUTE(MID(_xlfn.TEXTAFTER('Banco de Dados'!$F1357,"Data do Pedido:
",1),1,10),"-","/")),VALUE(SUBSTITUTE(MID(_xlfn.TEXTAFTER('Banco de Dados'!$F1357,"Order date:
",1),1,10),"-","/"))),0)),ProxyDD[Chave],ProxyDD[Valor por pedido]),PROXY!$P$2),0),0)</f>
        <v>0</v>
      </c>
      <c r="AP1357" s="28">
        <f ca="1">IF('Banco de Dados'!$AK1357&lt;&gt;"-",IF('Banco de Dados'!$AL1357="NÃO",IFERROR(VALUE(SUBSTITUTE(_xlfn.TEXTAFTER('Banco de Dados'!$F1357,"BRL ",1),".",",")),0),0),0)</f>
        <v>0</v>
      </c>
      <c r="AQ1357" s="28">
        <f ca="1">SUM('Banco de Dados'!$AM1357:$AP1357)</f>
        <v>0</v>
      </c>
      <c r="AR1357" s="8"/>
      <c r="AY1357" s="8"/>
    </row>
    <row r="1358" spans="1:51">
      <c r="A1358" s="5" t="str">
        <v>MEI</v>
      </c>
      <c r="B1358" s="5" t="str">
        <f ca="1"/>
        <v>MEI45740</v>
      </c>
      <c r="C1358" s="8" t="str">
        <v>Pedido 1345</v>
      </c>
      <c r="D1358" s="187">
        <v>45740</v>
      </c>
      <c r="E1358" s="9">
        <v>45740</v>
      </c>
      <c r="F1358" s="8" t="str">
        <v>PedidoF1288</v>
      </c>
      <c r="G1358" s="2" t="str">
        <v>CódRastreio1286</v>
      </c>
      <c r="H1358" s="5">
        <v>1</v>
      </c>
      <c r="I1358" s="2" t="str">
        <v>CPF 1310</v>
      </c>
      <c r="J1358" s="2" t="str">
        <v>Nome 1310</v>
      </c>
      <c r="K1358" s="8" t="str">
        <v>Tel 1310</v>
      </c>
      <c r="L1358" s="8" t="str">
        <v>Cep 1310</v>
      </c>
      <c r="M1358" s="8" t="str">
        <v>Rua 1310</v>
      </c>
      <c r="N1358" s="8" t="str">
        <v>Comp 1310</v>
      </c>
      <c r="O1358" s="8" t="str">
        <v>Ventilador Rosa</v>
      </c>
      <c r="P1358" s="8" t="str">
        <v>WR-82Y0-OV27</v>
      </c>
      <c r="Q1358" s="4">
        <v>45764</v>
      </c>
      <c r="R1358" s="109">
        <v>59.89</v>
      </c>
      <c r="S1358" s="11">
        <f ca="1"/>
        <v>59.89</v>
      </c>
      <c r="T1358" s="28">
        <f ca="1"/>
        <v>7.7857000000000003</v>
      </c>
      <c r="U1358" s="11">
        <f ca="1"/>
        <v>52.1</v>
      </c>
      <c r="V1358" s="11">
        <v>12.49</v>
      </c>
      <c r="W1358" s="11">
        <f ca="1"/>
        <v>0.24</v>
      </c>
      <c r="X1358" s="11">
        <f ca="1"/>
        <v>0.39877104377104378</v>
      </c>
      <c r="Y1358" s="11">
        <v>0</v>
      </c>
      <c r="Z1358" s="11">
        <f ca="1"/>
        <v>38.971228956228956</v>
      </c>
      <c r="AA1358" s="11">
        <f ca="1"/>
        <v>19.485614478114478</v>
      </c>
      <c r="AB1358" s="4">
        <f ca="1"/>
        <v>45771</v>
      </c>
      <c r="AC1358" s="4">
        <v>45771</v>
      </c>
      <c r="AD1358" s="9">
        <v>45779</v>
      </c>
      <c r="AE1358" s="9">
        <v>45783</v>
      </c>
      <c r="AF1358" s="4" t="str">
        <f t="shared" ca="1" si="86"/>
        <v>2025 04</v>
      </c>
      <c r="AG1358" s="8" t="str" cm="1">
        <f t="array" ref="AG1358">IFERROR(_xlfn.IFS('Banco de Dados'!#REF!="AG. COMPRA","Em processamento",'Banco de Dados'!#REF!="AG. RASTREIO","Em processamento",'Banco de Dados'!$AE1358&lt;&gt;"-","Faturado",'Banco de Dados'!$AD1358&lt;&gt;"-","Aguardando Pix",'Banco de Dados'!$AC1358&lt;&gt;"-","Pendente"),"Aguardando Liberação")</f>
        <v>Aguardando Liberação</v>
      </c>
      <c r="AH1358" s="5" t="str">
        <f>IF('Banco de Dados'!$F1358="-",_xlfn.CONCAT(PROPER(TEXT(AK1358,"aaaa"))," ",PROPER(TEXT(AK1358,"mm"))),_xlfn.CONCAT(PROPER(TEXT(E1358,"aaaa"))," ",PROPER(TEXT(E1358,"mm"))))</f>
        <v>2025 03</v>
      </c>
      <c r="AI1358" s="9" t="str">
        <f ca="1">IF('Banco de Dados'!$AK1358&lt;&gt;"-","REEMBOLSO",IFERROR(_xlfn.XLOOKUP(G1358,Follow[CODRASTREIO],Follow[STATUS]),"-"))</f>
        <v>ENTREGUE</v>
      </c>
      <c r="AJ1358" s="9">
        <f ca="1">IF('Banco de Dados'!$AI1358="ENTREGUE",_xlfn.XLOOKUP('Banco de Dados'!$G1358,Follow[CODRASTREIO],Follow[DATAATUALIZAÇÃO]),"-")</f>
        <v>45758</v>
      </c>
      <c r="AK1358" s="132" t="str">
        <f ca="1"/>
        <v>-</v>
      </c>
      <c r="AL1358" s="35"/>
      <c r="AM1358" s="109" cm="1">
        <f t="array" aca="1" ref="AM1358" ca="1">IF('Banco de Dados'!$AK1358&lt;&gt;"-",_xlfn.IFS('Banco de Dados'!$A1358="bv",IF('Banco de Dados'!$E1358&lt;45641,ROUND(SUM('Banco de Dados'!$R1358*_xlfn.XLOOKUP('Banco de Dados'!$P1358,Sku!B:B,Sku!#REF!)*20%),2),ROUND(SUM('Banco de Dados'!$R1358*_xlfn.XLOOKUP('Banco de Dados'!$P1358,Sku!B:B,Sku!H:H)*20%),2)),'Banco de Dados'!$A1358="GO",ROUND(SUM('Banco de Dados'!$R1358*_xlfn.XLOOKUP('Banco de Dados'!$P1358,Sku!C:C,Sku!H:H)*20%),2),'Banco de Dados'!$A1358="MEI",ROUND(SUM('Banco de Dados'!$R1358*_xlfn.XLOOKUP('Banco de Dados'!$P1358,Sku!D:D,Sku!H:H)*20%),2)),0)</f>
        <v>0</v>
      </c>
      <c r="AN1358" s="109">
        <f ca="1">IF('Banco de Dados'!$AK1358&lt;&gt;"-",IF('Banco de Dados'!$F1358&lt;&gt;"-",_xlfn.XLOOKUP(IFERROR(IFERROR(IFERROR(VALUE(SUBSTITUTE(MID(_xlfn.TEXTAFTER('Banco de Dados'!$F1358,"Data do Pedido:
",1),1,10),"-","/")),VALUE(SUBSTITUTE(MID(_xlfn.TEXTAFTER('Banco de Dados'!$F1358,"Order date:
",1),1,10),"-","/"))),VALUE(SUBSTITUTE(MID(_xlfn.TEXTAFTER('Banco de Dados'!$F1358,"Fecha de pedido:
",1),1,10),"-","/"))),"-"),SMS!A:A,SMS!K:K),0),0)</f>
        <v>0</v>
      </c>
      <c r="AO1358" s="109">
        <f ca="1">IF('Banco de Dados'!$AK1358&lt;&gt;"-",IF('Banco de Dados'!$F1358&lt;&gt;"-",IFERROR(_xlfn.XLOOKUP(_xlfn.CONCAT('Banco de Dados'!$A1358,IFERROR(IFERROR(VALUE(SUBSTITUTE(MID(_xlfn.TEXTAFTER('Banco de Dados'!$F1358,"Data do Pedido:
",1),1,10),"-","/")),VALUE(SUBSTITUTE(MID(_xlfn.TEXTAFTER('Banco de Dados'!$F1358,"Order date:
",1),1,10),"-","/"))),0)),ProxyDD[Chave],ProxyDD[Valor por pedido]),PROXY!$P$2),0),0)</f>
        <v>0</v>
      </c>
      <c r="AP1358" s="28">
        <f ca="1">IF('Banco de Dados'!$AK1358&lt;&gt;"-",IF('Banco de Dados'!$AL1358="NÃO",IFERROR(VALUE(SUBSTITUTE(_xlfn.TEXTAFTER('Banco de Dados'!$F1358,"BRL ",1),".",",")),0),0),0)</f>
        <v>0</v>
      </c>
      <c r="AQ1358" s="28">
        <f ca="1">SUM('Banco de Dados'!$AM1358:$AP1358)</f>
        <v>0</v>
      </c>
      <c r="AR1358" s="8"/>
      <c r="AY1358" s="8"/>
    </row>
    <row r="1359" spans="1:51">
      <c r="A1359" s="5" t="str">
        <v>MEI</v>
      </c>
      <c r="B1359" s="5" t="str">
        <f ca="1"/>
        <v>MEI45740</v>
      </c>
      <c r="C1359" s="8" t="str">
        <v>Pedido 1346</v>
      </c>
      <c r="D1359" s="187">
        <v>45740</v>
      </c>
      <c r="E1359" s="9">
        <v>45740</v>
      </c>
      <c r="F1359" s="8" t="str">
        <v>PedidoF1289</v>
      </c>
      <c r="G1359" s="2" t="str">
        <v>CódRastreio1287</v>
      </c>
      <c r="H1359" s="5">
        <v>1</v>
      </c>
      <c r="I1359" s="2" t="str">
        <v>CPF 1311</v>
      </c>
      <c r="J1359" s="2" t="str">
        <v>Nome 1311</v>
      </c>
      <c r="K1359" s="8" t="str">
        <v>Tel 1311</v>
      </c>
      <c r="L1359" s="8" t="str">
        <v>Cep 1311</v>
      </c>
      <c r="M1359" s="8" t="str">
        <v>Rua 1311</v>
      </c>
      <c r="N1359" s="8" t="str">
        <v>Comp 1311</v>
      </c>
      <c r="O1359" s="8" t="str">
        <v>Ventilador Azul</v>
      </c>
      <c r="P1359" s="8" t="str">
        <v>PK-L2Z7-MQRQ</v>
      </c>
      <c r="Q1359" s="4">
        <v>45758</v>
      </c>
      <c r="R1359" s="109">
        <v>49.9</v>
      </c>
      <c r="S1359" s="11">
        <f ca="1"/>
        <v>49.9</v>
      </c>
      <c r="T1359" s="28">
        <f ca="1"/>
        <v>6.4870000000000001</v>
      </c>
      <c r="U1359" s="11">
        <f ca="1"/>
        <v>43.41</v>
      </c>
      <c r="V1359" s="11">
        <v>11.77</v>
      </c>
      <c r="W1359" s="11">
        <f ca="1"/>
        <v>0.24</v>
      </c>
      <c r="X1359" s="11">
        <f ca="1"/>
        <v>0.39877104377104378</v>
      </c>
      <c r="Y1359" s="11">
        <v>0</v>
      </c>
      <c r="Z1359" s="11">
        <f ca="1"/>
        <v>31.001228956228953</v>
      </c>
      <c r="AA1359" s="11">
        <f ca="1"/>
        <v>15.500614478114477</v>
      </c>
      <c r="AB1359" s="4">
        <f ca="1"/>
        <v>45765</v>
      </c>
      <c r="AC1359" s="4">
        <v>45765</v>
      </c>
      <c r="AD1359" s="9">
        <v>45779</v>
      </c>
      <c r="AE1359" s="9">
        <v>45783</v>
      </c>
      <c r="AF1359" s="4" t="str">
        <f t="shared" ca="1" si="86"/>
        <v>2025 04</v>
      </c>
      <c r="AG1359" s="8" t="str" cm="1">
        <f t="array" ref="AG1359">IFERROR(_xlfn.IFS('Banco de Dados'!#REF!="AG. COMPRA","Em processamento",'Banco de Dados'!#REF!="AG. RASTREIO","Em processamento",'Banco de Dados'!$AE1359&lt;&gt;"-","Faturado",'Banco de Dados'!$AD1359&lt;&gt;"-","Aguardando Pix",'Banco de Dados'!$AC1359&lt;&gt;"-","Pendente"),"Aguardando Liberação")</f>
        <v>Aguardando Liberação</v>
      </c>
      <c r="AH1359" s="5" t="str">
        <f>IF('Banco de Dados'!$F1359="-",_xlfn.CONCAT(PROPER(TEXT(AK1359,"aaaa"))," ",PROPER(TEXT(AK1359,"mm"))),_xlfn.CONCAT(PROPER(TEXT(E1359,"aaaa"))," ",PROPER(TEXT(E1359,"mm"))))</f>
        <v>2025 03</v>
      </c>
      <c r="AI1359" s="9" t="str">
        <f ca="1">IF('Banco de Dados'!$AK1359&lt;&gt;"-","REEMBOLSO",IFERROR(_xlfn.XLOOKUP(G1359,Follow[CODRASTREIO],Follow[STATUS]),"-"))</f>
        <v>ENTREGUE</v>
      </c>
      <c r="AJ1359" s="9">
        <f ca="1">IF('Banco de Dados'!$AI1359="ENTREGUE",_xlfn.XLOOKUP('Banco de Dados'!$G1359,Follow[CODRASTREIO],Follow[DATAATUALIZAÇÃO]),"-")</f>
        <v>45751</v>
      </c>
      <c r="AK1359" s="132" t="str">
        <f ca="1"/>
        <v>-</v>
      </c>
      <c r="AL1359" s="35"/>
      <c r="AM1359" s="109" cm="1">
        <f t="array" aca="1" ref="AM1359" ca="1">IF('Banco de Dados'!$AK1359&lt;&gt;"-",_xlfn.IFS('Banco de Dados'!$A1359="bv",IF('Banco de Dados'!$E1359&lt;45641,ROUND(SUM('Banco de Dados'!$R1359*_xlfn.XLOOKUP('Banco de Dados'!$P1359,Sku!B:B,Sku!#REF!)*20%),2),ROUND(SUM('Banco de Dados'!$R1359*_xlfn.XLOOKUP('Banco de Dados'!$P1359,Sku!B:B,Sku!H:H)*20%),2)),'Banco de Dados'!$A1359="GO",ROUND(SUM('Banco de Dados'!$R1359*_xlfn.XLOOKUP('Banco de Dados'!$P1359,Sku!C:C,Sku!H:H)*20%),2),'Banco de Dados'!$A1359="MEI",ROUND(SUM('Banco de Dados'!$R1359*_xlfn.XLOOKUP('Banco de Dados'!$P1359,Sku!D:D,Sku!H:H)*20%),2)),0)</f>
        <v>0</v>
      </c>
      <c r="AN1359" s="109">
        <f ca="1">IF('Banco de Dados'!$AK1359&lt;&gt;"-",IF('Banco de Dados'!$F1359&lt;&gt;"-",_xlfn.XLOOKUP(IFERROR(IFERROR(IFERROR(VALUE(SUBSTITUTE(MID(_xlfn.TEXTAFTER('Banco de Dados'!$F1359,"Data do Pedido:
",1),1,10),"-","/")),VALUE(SUBSTITUTE(MID(_xlfn.TEXTAFTER('Banco de Dados'!$F1359,"Order date:
",1),1,10),"-","/"))),VALUE(SUBSTITUTE(MID(_xlfn.TEXTAFTER('Banco de Dados'!$F1359,"Fecha de pedido:
",1),1,10),"-","/"))),"-"),SMS!A:A,SMS!K:K),0),0)</f>
        <v>0</v>
      </c>
      <c r="AO1359" s="109">
        <f ca="1">IF('Banco de Dados'!$AK1359&lt;&gt;"-",IF('Banco de Dados'!$F1359&lt;&gt;"-",IFERROR(_xlfn.XLOOKUP(_xlfn.CONCAT('Banco de Dados'!$A1359,IFERROR(IFERROR(VALUE(SUBSTITUTE(MID(_xlfn.TEXTAFTER('Banco de Dados'!$F1359,"Data do Pedido:
",1),1,10),"-","/")),VALUE(SUBSTITUTE(MID(_xlfn.TEXTAFTER('Banco de Dados'!$F1359,"Order date:
",1),1,10),"-","/"))),0)),ProxyDD[Chave],ProxyDD[Valor por pedido]),PROXY!$P$2),0),0)</f>
        <v>0</v>
      </c>
      <c r="AP1359" s="28">
        <f ca="1">IF('Banco de Dados'!$AK1359&lt;&gt;"-",IF('Banco de Dados'!$AL1359="NÃO",IFERROR(VALUE(SUBSTITUTE(_xlfn.TEXTAFTER('Banco de Dados'!$F1359,"BRL ",1),".",",")),0),0),0)</f>
        <v>0</v>
      </c>
      <c r="AQ1359" s="28">
        <f ca="1">SUM('Banco de Dados'!$AM1359:$AP1359)</f>
        <v>0</v>
      </c>
      <c r="AR1359" s="8"/>
      <c r="AY1359" s="8"/>
    </row>
    <row r="1360" spans="1:51">
      <c r="A1360" s="5" t="str">
        <v>MEI</v>
      </c>
      <c r="B1360" s="5" t="str">
        <f ca="1"/>
        <v>MEI45740</v>
      </c>
      <c r="C1360" s="8" t="str">
        <v>Pedido 1347</v>
      </c>
      <c r="D1360" s="187">
        <v>45740</v>
      </c>
      <c r="E1360" s="9">
        <v>45740</v>
      </c>
      <c r="F1360" s="8" t="str">
        <v>PedidoF1290</v>
      </c>
      <c r="G1360" s="2" t="str">
        <v>CódRastreio1288</v>
      </c>
      <c r="H1360" s="5">
        <v>1</v>
      </c>
      <c r="I1360" s="2" t="str">
        <v>CPF 1312</v>
      </c>
      <c r="J1360" s="2" t="str">
        <v>Nome 1312</v>
      </c>
      <c r="K1360" s="8" t="str">
        <v>Tel 1312</v>
      </c>
      <c r="L1360" s="8" t="str">
        <v>Cep 1312</v>
      </c>
      <c r="M1360" s="8" t="str">
        <v>Rua 1312</v>
      </c>
      <c r="N1360" s="8" t="str">
        <v>Comp 1312</v>
      </c>
      <c r="O1360" s="8" t="str">
        <v>Lampada Led</v>
      </c>
      <c r="P1360" s="8" t="str">
        <v>T1-SWVB-UPOW</v>
      </c>
      <c r="Q1360" s="4">
        <v>45776</v>
      </c>
      <c r="R1360" s="109">
        <v>29.99</v>
      </c>
      <c r="S1360" s="11">
        <f ca="1"/>
        <v>29.99</v>
      </c>
      <c r="T1360" s="28">
        <f ca="1"/>
        <v>3.8986999999999998</v>
      </c>
      <c r="U1360" s="11">
        <f ca="1"/>
        <v>26.09</v>
      </c>
      <c r="V1360" s="11">
        <v>10.19</v>
      </c>
      <c r="W1360" s="11">
        <f ca="1"/>
        <v>0.24</v>
      </c>
      <c r="X1360" s="11">
        <f ca="1"/>
        <v>0.39877104377104378</v>
      </c>
      <c r="Y1360" s="11">
        <v>0</v>
      </c>
      <c r="Z1360" s="11">
        <f ca="1"/>
        <v>15.261228956228956</v>
      </c>
      <c r="AA1360" s="11">
        <f ca="1"/>
        <v>7.6306144781144782</v>
      </c>
      <c r="AB1360" s="4">
        <f ca="1"/>
        <v>45783</v>
      </c>
      <c r="AC1360" s="4">
        <v>45783</v>
      </c>
      <c r="AD1360" s="9">
        <v>45793</v>
      </c>
      <c r="AE1360" s="9">
        <v>45797</v>
      </c>
      <c r="AF1360" s="4" t="str">
        <f t="shared" ca="1" si="86"/>
        <v>2025 05</v>
      </c>
      <c r="AG1360" s="8" t="str" cm="1">
        <f t="array" ref="AG1360">IFERROR(_xlfn.IFS('Banco de Dados'!#REF!="AG. COMPRA","Em processamento",'Banco de Dados'!#REF!="AG. RASTREIO","Em processamento",'Banco de Dados'!$AE1360&lt;&gt;"-","Faturado",'Banco de Dados'!$AD1360&lt;&gt;"-","Aguardando Pix",'Banco de Dados'!$AC1360&lt;&gt;"-","Pendente"),"Aguardando Liberação")</f>
        <v>Aguardando Liberação</v>
      </c>
      <c r="AH1360" s="5" t="str">
        <f>IF('Banco de Dados'!$F1360="-",_xlfn.CONCAT(PROPER(TEXT(AK1360,"aaaa"))," ",PROPER(TEXT(AK1360,"mm"))),_xlfn.CONCAT(PROPER(TEXT(E1360,"aaaa"))," ",PROPER(TEXT(E1360,"mm"))))</f>
        <v>2025 03</v>
      </c>
      <c r="AI1360" s="9" t="str">
        <f ca="1">IF('Banco de Dados'!$AK1360&lt;&gt;"-","REEMBOLSO",IFERROR(_xlfn.XLOOKUP(G1360,Follow[CODRASTREIO],Follow[STATUS]),"-"))</f>
        <v>ENTREGUE</v>
      </c>
      <c r="AJ1360" s="9">
        <f ca="1">IF('Banco de Dados'!$AI1360="ENTREGUE",_xlfn.XLOOKUP('Banco de Dados'!$G1360,Follow[CODRASTREIO],Follow[DATAATUALIZAÇÃO]),"-")</f>
        <v>45755</v>
      </c>
      <c r="AK1360" s="132" t="str">
        <f ca="1"/>
        <v>-</v>
      </c>
      <c r="AL1360" s="35"/>
      <c r="AM1360" s="109" cm="1">
        <f t="array" aca="1" ref="AM1360" ca="1">IF('Banco de Dados'!$AK1360&lt;&gt;"-",_xlfn.IFS('Banco de Dados'!$A1360="bv",IF('Banco de Dados'!$E1360&lt;45641,ROUND(SUM('Banco de Dados'!$R1360*_xlfn.XLOOKUP('Banco de Dados'!$P1360,Sku!B:B,Sku!#REF!)*20%),2),ROUND(SUM('Banco de Dados'!$R1360*_xlfn.XLOOKUP('Banco de Dados'!$P1360,Sku!B:B,Sku!H:H)*20%),2)),'Banco de Dados'!$A1360="GO",ROUND(SUM('Banco de Dados'!$R1360*_xlfn.XLOOKUP('Banco de Dados'!$P1360,Sku!C:C,Sku!H:H)*20%),2),'Banco de Dados'!$A1360="MEI",ROUND(SUM('Banco de Dados'!$R1360*_xlfn.XLOOKUP('Banco de Dados'!$P1360,Sku!D:D,Sku!H:H)*20%),2)),0)</f>
        <v>0</v>
      </c>
      <c r="AN1360" s="109">
        <f ca="1">IF('Banco de Dados'!$AK1360&lt;&gt;"-",IF('Banco de Dados'!$F1360&lt;&gt;"-",_xlfn.XLOOKUP(IFERROR(IFERROR(IFERROR(VALUE(SUBSTITUTE(MID(_xlfn.TEXTAFTER('Banco de Dados'!$F1360,"Data do Pedido:
",1),1,10),"-","/")),VALUE(SUBSTITUTE(MID(_xlfn.TEXTAFTER('Banco de Dados'!$F1360,"Order date:
",1),1,10),"-","/"))),VALUE(SUBSTITUTE(MID(_xlfn.TEXTAFTER('Banco de Dados'!$F1360,"Fecha de pedido:
",1),1,10),"-","/"))),"-"),SMS!A:A,SMS!K:K),0),0)</f>
        <v>0</v>
      </c>
      <c r="AO1360" s="109">
        <f ca="1">IF('Banco de Dados'!$AK1360&lt;&gt;"-",IF('Banco de Dados'!$F1360&lt;&gt;"-",IFERROR(_xlfn.XLOOKUP(_xlfn.CONCAT('Banco de Dados'!$A1360,IFERROR(IFERROR(VALUE(SUBSTITUTE(MID(_xlfn.TEXTAFTER('Banco de Dados'!$F1360,"Data do Pedido:
",1),1,10),"-","/")),VALUE(SUBSTITUTE(MID(_xlfn.TEXTAFTER('Banco de Dados'!$F1360,"Order date:
",1),1,10),"-","/"))),0)),ProxyDD[Chave],ProxyDD[Valor por pedido]),PROXY!$P$2),0),0)</f>
        <v>0</v>
      </c>
      <c r="AP1360" s="28">
        <f ca="1">IF('Banco de Dados'!$AK1360&lt;&gt;"-",IF('Banco de Dados'!$AL1360="NÃO",IFERROR(VALUE(SUBSTITUTE(_xlfn.TEXTAFTER('Banco de Dados'!$F1360,"BRL ",1),".",",")),0),0),0)</f>
        <v>0</v>
      </c>
      <c r="AQ1360" s="28">
        <f ca="1">SUM('Banco de Dados'!$AM1360:$AP1360)</f>
        <v>0</v>
      </c>
      <c r="AR1360" s="8"/>
      <c r="AY1360" s="8"/>
    </row>
    <row r="1361" spans="1:51">
      <c r="A1361" s="5" t="str">
        <v>MEI</v>
      </c>
      <c r="B1361" s="5" t="str">
        <f ca="1"/>
        <v>MEI45740</v>
      </c>
      <c r="C1361" s="8" t="str">
        <v>Pedido 1348</v>
      </c>
      <c r="D1361" s="187">
        <v>45740</v>
      </c>
      <c r="E1361" s="9">
        <v>45740</v>
      </c>
      <c r="F1361" s="8" t="str">
        <v>PedidoF1291</v>
      </c>
      <c r="G1361" s="2" t="str">
        <v>CódRastreio1289</v>
      </c>
      <c r="H1361" s="5">
        <v>1</v>
      </c>
      <c r="I1361" s="2" t="str">
        <v>CPF 1313</v>
      </c>
      <c r="J1361" s="2" t="str">
        <v>Nome 1313</v>
      </c>
      <c r="K1361" s="8" t="str">
        <v>Tel 1313</v>
      </c>
      <c r="L1361" s="8" t="str">
        <v>Cep 1313</v>
      </c>
      <c r="M1361" s="8" t="str">
        <v>Rua 1313</v>
      </c>
      <c r="N1361" s="8" t="str">
        <v>Comp 1313</v>
      </c>
      <c r="O1361" s="8" t="str">
        <v>Máquina de cortar cabelo dragão</v>
      </c>
      <c r="P1361" s="8" t="str">
        <v>RX-DD1P-P5U2</v>
      </c>
      <c r="Q1361" s="4">
        <v>45776</v>
      </c>
      <c r="R1361" s="109">
        <v>32.99</v>
      </c>
      <c r="S1361" s="11">
        <f ca="1"/>
        <v>32.99</v>
      </c>
      <c r="T1361" s="28">
        <f ca="1"/>
        <v>3.9588000000000001</v>
      </c>
      <c r="U1361" s="11">
        <f ca="1"/>
        <v>29.03</v>
      </c>
      <c r="V1361" s="11">
        <v>10.19</v>
      </c>
      <c r="W1361" s="11">
        <f ca="1"/>
        <v>0.24</v>
      </c>
      <c r="X1361" s="11">
        <f ca="1"/>
        <v>0.39877104377104378</v>
      </c>
      <c r="Y1361" s="11">
        <v>0</v>
      </c>
      <c r="Z1361" s="11">
        <f ca="1"/>
        <v>18.20122895622896</v>
      </c>
      <c r="AA1361" s="11">
        <f ca="1"/>
        <v>9.1006144781144798</v>
      </c>
      <c r="AB1361" s="4">
        <f ca="1"/>
        <v>45783</v>
      </c>
      <c r="AC1361" s="4">
        <v>45783</v>
      </c>
      <c r="AD1361" s="9">
        <v>45793</v>
      </c>
      <c r="AE1361" s="9">
        <v>45797</v>
      </c>
      <c r="AF1361" s="4" t="str">
        <f t="shared" ca="1" si="86"/>
        <v>2025 05</v>
      </c>
      <c r="AG1361" s="8" t="str" cm="1">
        <f t="array" ref="AG1361">IFERROR(_xlfn.IFS('Banco de Dados'!#REF!="AG. COMPRA","Em processamento",'Banco de Dados'!#REF!="AG. RASTREIO","Em processamento",'Banco de Dados'!$AE1361&lt;&gt;"-","Faturado",'Banco de Dados'!$AD1361&lt;&gt;"-","Aguardando Pix",'Banco de Dados'!$AC1361&lt;&gt;"-","Pendente"),"Aguardando Liberação")</f>
        <v>Aguardando Liberação</v>
      </c>
      <c r="AH1361" s="5" t="str">
        <f>IF('Banco de Dados'!$F1361="-",_xlfn.CONCAT(PROPER(TEXT(AK1361,"aaaa"))," ",PROPER(TEXT(AK1361,"mm"))),_xlfn.CONCAT(PROPER(TEXT(E1361,"aaaa"))," ",PROPER(TEXT(E1361,"mm"))))</f>
        <v>2025 03</v>
      </c>
      <c r="AI1361" s="9" t="str">
        <f ca="1">IF('Banco de Dados'!$AK1361&lt;&gt;"-","REEMBOLSO",IFERROR(_xlfn.XLOOKUP(G1361,Follow[CODRASTREIO],Follow[STATUS]),"-"))</f>
        <v>ENTREGUE</v>
      </c>
      <c r="AJ1361" s="9">
        <f ca="1">IF('Banco de Dados'!$AI1361="ENTREGUE",_xlfn.XLOOKUP('Banco de Dados'!$G1361,Follow[CODRASTREIO],Follow[DATAATUALIZAÇÃO]),"-")</f>
        <v>45756</v>
      </c>
      <c r="AK1361" s="132" t="str">
        <f ca="1"/>
        <v>-</v>
      </c>
      <c r="AL1361" s="35"/>
      <c r="AM1361" s="109" cm="1">
        <f t="array" aca="1" ref="AM1361" ca="1">IF('Banco de Dados'!$AK1361&lt;&gt;"-",_xlfn.IFS('Banco de Dados'!$A1361="bv",IF('Banco de Dados'!$E1361&lt;45641,ROUND(SUM('Banco de Dados'!$R1361*_xlfn.XLOOKUP('Banco de Dados'!$P1361,Sku!B:B,Sku!#REF!)*20%),2),ROUND(SUM('Banco de Dados'!$R1361*_xlfn.XLOOKUP('Banco de Dados'!$P1361,Sku!B:B,Sku!H:H)*20%),2)),'Banco de Dados'!$A1361="GO",ROUND(SUM('Banco de Dados'!$R1361*_xlfn.XLOOKUP('Banco de Dados'!$P1361,Sku!C:C,Sku!H:H)*20%),2),'Banco de Dados'!$A1361="MEI",ROUND(SUM('Banco de Dados'!$R1361*_xlfn.XLOOKUP('Banco de Dados'!$P1361,Sku!D:D,Sku!H:H)*20%),2)),0)</f>
        <v>0</v>
      </c>
      <c r="AN1361" s="109">
        <f ca="1">IF('Banco de Dados'!$AK1361&lt;&gt;"-",IF('Banco de Dados'!$F1361&lt;&gt;"-",_xlfn.XLOOKUP(IFERROR(IFERROR(IFERROR(VALUE(SUBSTITUTE(MID(_xlfn.TEXTAFTER('Banco de Dados'!$F1361,"Data do Pedido:
",1),1,10),"-","/")),VALUE(SUBSTITUTE(MID(_xlfn.TEXTAFTER('Banco de Dados'!$F1361,"Order date:
",1),1,10),"-","/"))),VALUE(SUBSTITUTE(MID(_xlfn.TEXTAFTER('Banco de Dados'!$F1361,"Fecha de pedido:
",1),1,10),"-","/"))),"-"),SMS!A:A,SMS!K:K),0),0)</f>
        <v>0</v>
      </c>
      <c r="AO1361" s="109">
        <f ca="1">IF('Banco de Dados'!$AK1361&lt;&gt;"-",IF('Banco de Dados'!$F1361&lt;&gt;"-",IFERROR(_xlfn.XLOOKUP(_xlfn.CONCAT('Banco de Dados'!$A1361,IFERROR(IFERROR(VALUE(SUBSTITUTE(MID(_xlfn.TEXTAFTER('Banco de Dados'!$F1361,"Data do Pedido:
",1),1,10),"-","/")),VALUE(SUBSTITUTE(MID(_xlfn.TEXTAFTER('Banco de Dados'!$F1361,"Order date:
",1),1,10),"-","/"))),0)),ProxyDD[Chave],ProxyDD[Valor por pedido]),PROXY!$P$2),0),0)</f>
        <v>0</v>
      </c>
      <c r="AP1361" s="28">
        <f ca="1">IF('Banco de Dados'!$AK1361&lt;&gt;"-",IF('Banco de Dados'!$AL1361="NÃO",IFERROR(VALUE(SUBSTITUTE(_xlfn.TEXTAFTER('Banco de Dados'!$F1361,"BRL ",1),".",",")),0),0),0)</f>
        <v>0</v>
      </c>
      <c r="AQ1361" s="28">
        <f ca="1">SUM('Banco de Dados'!$AM1361:$AP1361)</f>
        <v>0</v>
      </c>
      <c r="AR1361" s="8"/>
      <c r="AY1361" s="8"/>
    </row>
    <row r="1362" spans="1:51">
      <c r="A1362" s="5" t="str">
        <v>MEI</v>
      </c>
      <c r="B1362" s="5" t="str">
        <f ca="1"/>
        <v>MEI45740</v>
      </c>
      <c r="C1362" s="8" t="str">
        <v>Pedido 1349</v>
      </c>
      <c r="D1362" s="187">
        <v>45740</v>
      </c>
      <c r="E1362" s="9">
        <v>45740</v>
      </c>
      <c r="F1362" s="8" t="str">
        <v>PedidoF1292</v>
      </c>
      <c r="G1362" s="2" t="str">
        <v>CódRastreio1290</v>
      </c>
      <c r="H1362" s="5">
        <v>1</v>
      </c>
      <c r="I1362" s="2" t="str">
        <v>CPF 1314</v>
      </c>
      <c r="J1362" s="2" t="str">
        <v>Nome 1314</v>
      </c>
      <c r="K1362" s="8" t="str">
        <v>Tel 1314</v>
      </c>
      <c r="L1362" s="8" t="str">
        <v>Cep 1314</v>
      </c>
      <c r="M1362" s="8" t="str">
        <v>Rua 1314</v>
      </c>
      <c r="N1362" s="8" t="str">
        <v>Comp 1314</v>
      </c>
      <c r="O1362" s="8" t="str">
        <v>Ventilador Azul</v>
      </c>
      <c r="P1362" s="8" t="str">
        <v>PK-L2Z7-MQRQ</v>
      </c>
      <c r="Q1362" s="4">
        <v>45759</v>
      </c>
      <c r="R1362" s="109">
        <v>49.9</v>
      </c>
      <c r="S1362" s="11">
        <f ca="1"/>
        <v>49.9</v>
      </c>
      <c r="T1362" s="28">
        <f ca="1"/>
        <v>6.4870000000000001</v>
      </c>
      <c r="U1362" s="11">
        <f ca="1"/>
        <v>43.41</v>
      </c>
      <c r="V1362" s="11">
        <v>11.77</v>
      </c>
      <c r="W1362" s="11">
        <f ca="1"/>
        <v>0.24</v>
      </c>
      <c r="X1362" s="11">
        <f ca="1"/>
        <v>0.39877104377104378</v>
      </c>
      <c r="Y1362" s="11">
        <v>0</v>
      </c>
      <c r="Z1362" s="11">
        <f ca="1"/>
        <v>31.001228956228953</v>
      </c>
      <c r="AA1362" s="11">
        <f ca="1"/>
        <v>15.500614478114477</v>
      </c>
      <c r="AB1362" s="4">
        <f ca="1"/>
        <v>45766</v>
      </c>
      <c r="AC1362" s="4">
        <v>45766</v>
      </c>
      <c r="AD1362" s="9">
        <v>45779</v>
      </c>
      <c r="AE1362" s="9">
        <v>45783</v>
      </c>
      <c r="AF1362" s="4" t="str">
        <f t="shared" ca="1" si="86"/>
        <v>2025 04</v>
      </c>
      <c r="AG1362" s="8" t="str" cm="1">
        <f t="array" ref="AG1362">IFERROR(_xlfn.IFS('Banco de Dados'!#REF!="AG. COMPRA","Em processamento",'Banco de Dados'!#REF!="AG. RASTREIO","Em processamento",'Banco de Dados'!$AE1362&lt;&gt;"-","Faturado",'Banco de Dados'!$AD1362&lt;&gt;"-","Aguardando Pix",'Banco de Dados'!$AC1362&lt;&gt;"-","Pendente"),"Aguardando Liberação")</f>
        <v>Aguardando Liberação</v>
      </c>
      <c r="AH1362" s="5" t="str">
        <f>IF('Banco de Dados'!$F1362="-",_xlfn.CONCAT(PROPER(TEXT(AK1362,"aaaa"))," ",PROPER(TEXT(AK1362,"mm"))),_xlfn.CONCAT(PROPER(TEXT(E1362,"aaaa"))," ",PROPER(TEXT(E1362,"mm"))))</f>
        <v>2025 03</v>
      </c>
      <c r="AI1362" s="9" t="str">
        <f ca="1">IF('Banco de Dados'!$AK1362&lt;&gt;"-","REEMBOLSO",IFERROR(_xlfn.XLOOKUP(G1362,Follow[CODRASTREIO],Follow[STATUS]),"-"))</f>
        <v>ENTREGUE</v>
      </c>
      <c r="AJ1362" s="9">
        <f ca="1">IF('Banco de Dados'!$AI1362="ENTREGUE",_xlfn.XLOOKUP('Banco de Dados'!$G1362,Follow[CODRASTREIO],Follow[DATAATUALIZAÇÃO]),"-")</f>
        <v>45748</v>
      </c>
      <c r="AK1362" s="132" t="str">
        <f ca="1"/>
        <v>-</v>
      </c>
      <c r="AL1362" s="35"/>
      <c r="AM1362" s="109" cm="1">
        <f t="array" aca="1" ref="AM1362" ca="1">IF('Banco de Dados'!$AK1362&lt;&gt;"-",_xlfn.IFS('Banco de Dados'!$A1362="bv",IF('Banco de Dados'!$E1362&lt;45641,ROUND(SUM('Banco de Dados'!$R1362*_xlfn.XLOOKUP('Banco de Dados'!$P1362,Sku!B:B,Sku!#REF!)*20%),2),ROUND(SUM('Banco de Dados'!$R1362*_xlfn.XLOOKUP('Banco de Dados'!$P1362,Sku!B:B,Sku!H:H)*20%),2)),'Banco de Dados'!$A1362="GO",ROUND(SUM('Banco de Dados'!$R1362*_xlfn.XLOOKUP('Banco de Dados'!$P1362,Sku!C:C,Sku!H:H)*20%),2),'Banco de Dados'!$A1362="MEI",ROUND(SUM('Banco de Dados'!$R1362*_xlfn.XLOOKUP('Banco de Dados'!$P1362,Sku!D:D,Sku!H:H)*20%),2)),0)</f>
        <v>0</v>
      </c>
      <c r="AN1362" s="109">
        <f ca="1">IF('Banco de Dados'!$AK1362&lt;&gt;"-",IF('Banco de Dados'!$F1362&lt;&gt;"-",_xlfn.XLOOKUP(IFERROR(IFERROR(IFERROR(VALUE(SUBSTITUTE(MID(_xlfn.TEXTAFTER('Banco de Dados'!$F1362,"Data do Pedido:
",1),1,10),"-","/")),VALUE(SUBSTITUTE(MID(_xlfn.TEXTAFTER('Banco de Dados'!$F1362,"Order date:
",1),1,10),"-","/"))),VALUE(SUBSTITUTE(MID(_xlfn.TEXTAFTER('Banco de Dados'!$F1362,"Fecha de pedido:
",1),1,10),"-","/"))),"-"),SMS!A:A,SMS!K:K),0),0)</f>
        <v>0</v>
      </c>
      <c r="AO1362" s="109">
        <f ca="1">IF('Banco de Dados'!$AK1362&lt;&gt;"-",IF('Banco de Dados'!$F1362&lt;&gt;"-",IFERROR(_xlfn.XLOOKUP(_xlfn.CONCAT('Banco de Dados'!$A1362,IFERROR(IFERROR(VALUE(SUBSTITUTE(MID(_xlfn.TEXTAFTER('Banco de Dados'!$F1362,"Data do Pedido:
",1),1,10),"-","/")),VALUE(SUBSTITUTE(MID(_xlfn.TEXTAFTER('Banco de Dados'!$F1362,"Order date:
",1),1,10),"-","/"))),0)),ProxyDD[Chave],ProxyDD[Valor por pedido]),PROXY!$P$2),0),0)</f>
        <v>0</v>
      </c>
      <c r="AP1362" s="28">
        <f ca="1">IF('Banco de Dados'!$AK1362&lt;&gt;"-",IF('Banco de Dados'!$AL1362="NÃO",IFERROR(VALUE(SUBSTITUTE(_xlfn.TEXTAFTER('Banco de Dados'!$F1362,"BRL ",1),".",",")),0),0),0)</f>
        <v>0</v>
      </c>
      <c r="AQ1362" s="28">
        <f ca="1">SUM('Banco de Dados'!$AM1362:$AP1362)</f>
        <v>0</v>
      </c>
      <c r="AR1362" s="8"/>
      <c r="AY1362" s="8"/>
    </row>
    <row r="1363" spans="1:51">
      <c r="A1363" s="5" t="str">
        <v>MEI</v>
      </c>
      <c r="B1363" s="5" t="str">
        <f ca="1"/>
        <v>MEI45740</v>
      </c>
      <c r="C1363" s="8" t="str">
        <v>Pedido 1350</v>
      </c>
      <c r="D1363" s="187">
        <v>45740</v>
      </c>
      <c r="E1363" s="9">
        <v>45740</v>
      </c>
      <c r="F1363" s="8" t="str">
        <v>PedidoF1293</v>
      </c>
      <c r="G1363" s="2" t="str">
        <v>CódRastreio1291</v>
      </c>
      <c r="H1363" s="5">
        <v>1</v>
      </c>
      <c r="I1363" s="2" t="str">
        <v>CPF 1315</v>
      </c>
      <c r="J1363" s="2" t="str">
        <v>Nome 1315</v>
      </c>
      <c r="K1363" s="8" t="str">
        <v>Tel 1315</v>
      </c>
      <c r="L1363" s="8" t="str">
        <v>Cep 1315</v>
      </c>
      <c r="M1363" s="8" t="str">
        <v>Rua 1315</v>
      </c>
      <c r="N1363" s="8" t="str">
        <v>Comp 1315</v>
      </c>
      <c r="O1363" s="8" t="str">
        <v>Ventilador de teto</v>
      </c>
      <c r="P1363" s="8" t="str">
        <v>JV-A3YY-I7XH</v>
      </c>
      <c r="Q1363" s="4">
        <v>45759</v>
      </c>
      <c r="R1363" s="109">
        <v>70.489999999999995</v>
      </c>
      <c r="S1363" s="11">
        <f ca="1"/>
        <v>70.489999999999995</v>
      </c>
      <c r="T1363" s="28">
        <f ca="1"/>
        <v>9.1637000000000004</v>
      </c>
      <c r="U1363" s="11">
        <f ca="1"/>
        <v>61.33</v>
      </c>
      <c r="V1363" s="11">
        <v>34.24</v>
      </c>
      <c r="W1363" s="11">
        <f ca="1"/>
        <v>0.24</v>
      </c>
      <c r="X1363" s="11">
        <f ca="1"/>
        <v>0.39877104377104378</v>
      </c>
      <c r="Y1363" s="11">
        <v>0</v>
      </c>
      <c r="Z1363" s="11">
        <f ca="1"/>
        <v>26.451228956228952</v>
      </c>
      <c r="AA1363" s="11">
        <f ca="1"/>
        <v>13.225614478114476</v>
      </c>
      <c r="AB1363" s="4">
        <f ca="1"/>
        <v>45766</v>
      </c>
      <c r="AC1363" s="4">
        <v>45766</v>
      </c>
      <c r="AD1363" s="9">
        <v>45779</v>
      </c>
      <c r="AE1363" s="9">
        <v>45783</v>
      </c>
      <c r="AF1363" s="4" t="str">
        <f t="shared" ca="1" si="86"/>
        <v>2025 04</v>
      </c>
      <c r="AG1363" s="8" t="str" cm="1">
        <f t="array" ref="AG1363">IFERROR(_xlfn.IFS('Banco de Dados'!#REF!="AG. COMPRA","Em processamento",'Banco de Dados'!#REF!="AG. RASTREIO","Em processamento",'Banco de Dados'!$AE1363&lt;&gt;"-","Faturado",'Banco de Dados'!$AD1363&lt;&gt;"-","Aguardando Pix",'Banco de Dados'!$AC1363&lt;&gt;"-","Pendente"),"Aguardando Liberação")</f>
        <v>Aguardando Liberação</v>
      </c>
      <c r="AH1363" s="5" t="str">
        <f>IF('Banco de Dados'!$F1363="-",_xlfn.CONCAT(PROPER(TEXT(AK1363,"aaaa"))," ",PROPER(TEXT(AK1363,"mm"))),_xlfn.CONCAT(PROPER(TEXT(E1363,"aaaa"))," ",PROPER(TEXT(E1363,"mm"))))</f>
        <v>2025 03</v>
      </c>
      <c r="AI1363" s="9" t="str">
        <f ca="1">IF('Banco de Dados'!$AK1363&lt;&gt;"-","REEMBOLSO",IFERROR(_xlfn.XLOOKUP(G1363,Follow[CODRASTREIO],Follow[STATUS]),"-"))</f>
        <v>ENTREGUE</v>
      </c>
      <c r="AJ1363" s="9">
        <f ca="1">IF('Banco de Dados'!$AI1363="ENTREGUE",_xlfn.XLOOKUP('Banco de Dados'!$G1363,Follow[CODRASTREIO],Follow[DATAATUALIZAÇÃO]),"-")</f>
        <v>45757</v>
      </c>
      <c r="AK1363" s="132" t="str">
        <f ca="1"/>
        <v>-</v>
      </c>
      <c r="AL1363" s="35"/>
      <c r="AM1363" s="109" cm="1">
        <f t="array" aca="1" ref="AM1363" ca="1">IF('Banco de Dados'!$AK1363&lt;&gt;"-",_xlfn.IFS('Banco de Dados'!$A1363="bv",IF('Banco de Dados'!$E1363&lt;45641,ROUND(SUM('Banco de Dados'!$R1363*_xlfn.XLOOKUP('Banco de Dados'!$P1363,Sku!B:B,Sku!#REF!)*20%),2),ROUND(SUM('Banco de Dados'!$R1363*_xlfn.XLOOKUP('Banco de Dados'!$P1363,Sku!B:B,Sku!H:H)*20%),2)),'Banco de Dados'!$A1363="GO",ROUND(SUM('Banco de Dados'!$R1363*_xlfn.XLOOKUP('Banco de Dados'!$P1363,Sku!C:C,Sku!H:H)*20%),2),'Banco de Dados'!$A1363="MEI",ROUND(SUM('Banco de Dados'!$R1363*_xlfn.XLOOKUP('Banco de Dados'!$P1363,Sku!D:D,Sku!H:H)*20%),2)),0)</f>
        <v>0</v>
      </c>
      <c r="AN1363" s="109">
        <f ca="1">IF('Banco de Dados'!$AK1363&lt;&gt;"-",IF('Banco de Dados'!$F1363&lt;&gt;"-",_xlfn.XLOOKUP(IFERROR(IFERROR(IFERROR(VALUE(SUBSTITUTE(MID(_xlfn.TEXTAFTER('Banco de Dados'!$F1363,"Data do Pedido:
",1),1,10),"-","/")),VALUE(SUBSTITUTE(MID(_xlfn.TEXTAFTER('Banco de Dados'!$F1363,"Order date:
",1),1,10),"-","/"))),VALUE(SUBSTITUTE(MID(_xlfn.TEXTAFTER('Banco de Dados'!$F1363,"Fecha de pedido:
",1),1,10),"-","/"))),"-"),SMS!A:A,SMS!K:K),0),0)</f>
        <v>0</v>
      </c>
      <c r="AO1363" s="109">
        <f ca="1">IF('Banco de Dados'!$AK1363&lt;&gt;"-",IF('Banco de Dados'!$F1363&lt;&gt;"-",IFERROR(_xlfn.XLOOKUP(_xlfn.CONCAT('Banco de Dados'!$A1363,IFERROR(IFERROR(VALUE(SUBSTITUTE(MID(_xlfn.TEXTAFTER('Banco de Dados'!$F1363,"Data do Pedido:
",1),1,10),"-","/")),VALUE(SUBSTITUTE(MID(_xlfn.TEXTAFTER('Banco de Dados'!$F1363,"Order date:
",1),1,10),"-","/"))),0)),ProxyDD[Chave],ProxyDD[Valor por pedido]),PROXY!$P$2),0),0)</f>
        <v>0</v>
      </c>
      <c r="AP1363" s="28">
        <f ca="1">IF('Banco de Dados'!$AK1363&lt;&gt;"-",IF('Banco de Dados'!$AL1363="NÃO",IFERROR(VALUE(SUBSTITUTE(_xlfn.TEXTAFTER('Banco de Dados'!$F1363,"BRL ",1),".",",")),0),0),0)</f>
        <v>0</v>
      </c>
      <c r="AQ1363" s="28">
        <f ca="1">SUM('Banco de Dados'!$AM1363:$AP1363)</f>
        <v>0</v>
      </c>
      <c r="AR1363" s="8"/>
      <c r="AY1363" s="8"/>
    </row>
    <row r="1364" spans="1:51">
      <c r="A1364" s="5" t="str">
        <v>MEI</v>
      </c>
      <c r="B1364" s="5" t="str">
        <f ca="1"/>
        <v>MEI45741</v>
      </c>
      <c r="C1364" s="8" t="str">
        <v>Pedido 1351</v>
      </c>
      <c r="D1364" s="187">
        <v>45740</v>
      </c>
      <c r="E1364" s="9">
        <v>45741</v>
      </c>
      <c r="F1364" s="8" t="str">
        <v>PedidoF1294</v>
      </c>
      <c r="G1364" s="2" t="str">
        <v>CódRastreio1292</v>
      </c>
      <c r="H1364" s="5">
        <v>1</v>
      </c>
      <c r="I1364" s="2" t="str">
        <v>CPF 1316</v>
      </c>
      <c r="J1364" s="2" t="str">
        <v>Nome 1316</v>
      </c>
      <c r="K1364" s="8" t="str">
        <v>Tel 1316</v>
      </c>
      <c r="L1364" s="8" t="str">
        <v>Cep 1316</v>
      </c>
      <c r="M1364" s="8" t="str">
        <v>Rua 1316</v>
      </c>
      <c r="N1364" s="8" t="str">
        <v>Comp 1316</v>
      </c>
      <c r="O1364" s="8" t="str">
        <v>Máquina de cortar cabelo dragão</v>
      </c>
      <c r="P1364" s="8" t="str">
        <v>RX-DD1P-P5U2</v>
      </c>
      <c r="Q1364" s="4">
        <v>45776</v>
      </c>
      <c r="R1364" s="109">
        <v>32.99</v>
      </c>
      <c r="S1364" s="11">
        <f ca="1"/>
        <v>32.99</v>
      </c>
      <c r="T1364" s="28">
        <f ca="1"/>
        <v>3.9588000000000001</v>
      </c>
      <c r="U1364" s="11">
        <f ca="1"/>
        <v>29.03</v>
      </c>
      <c r="V1364" s="11">
        <v>10.17</v>
      </c>
      <c r="W1364" s="11">
        <f ca="1"/>
        <v>0.25</v>
      </c>
      <c r="X1364" s="11">
        <f ca="1"/>
        <v>0.39877104377104378</v>
      </c>
      <c r="Y1364" s="11">
        <v>0</v>
      </c>
      <c r="Z1364" s="11">
        <f ca="1"/>
        <v>18.211228956228958</v>
      </c>
      <c r="AA1364" s="11">
        <f ca="1"/>
        <v>9.1056144781144788</v>
      </c>
      <c r="AB1364" s="4">
        <f ca="1"/>
        <v>45783</v>
      </c>
      <c r="AC1364" s="4">
        <v>45783</v>
      </c>
      <c r="AD1364" s="9">
        <v>45793</v>
      </c>
      <c r="AE1364" s="9">
        <v>45797</v>
      </c>
      <c r="AF1364" s="4" t="str">
        <f t="shared" ref="AF1364:AF1367" ca="1" si="87">_xlfn.CONCAT(PROPER(TEXT(AB1364,"aaaa"))," ",PROPER(TEXT(AB1364,"mm")))</f>
        <v>2025 05</v>
      </c>
      <c r="AG1364" s="8" t="str" cm="1">
        <f t="array" ref="AG1364">IFERROR(_xlfn.IFS('Banco de Dados'!#REF!="AG. COMPRA","Em processamento",'Banco de Dados'!#REF!="AG. RASTREIO","Em processamento",'Banco de Dados'!$AE1364&lt;&gt;"-","Faturado",'Banco de Dados'!$AD1364&lt;&gt;"-","Aguardando Pix",'Banco de Dados'!$AC1364&lt;&gt;"-","Pendente"),"Aguardando Liberação")</f>
        <v>Aguardando Liberação</v>
      </c>
      <c r="AH1364" s="5" t="str">
        <f>IF('Banco de Dados'!$F1364="-",_xlfn.CONCAT(PROPER(TEXT(AK1364,"aaaa"))," ",PROPER(TEXT(AK1364,"mm"))),_xlfn.CONCAT(PROPER(TEXT(E1364,"aaaa"))," ",PROPER(TEXT(E1364,"mm"))))</f>
        <v>2025 03</v>
      </c>
      <c r="AI1364" s="9" t="str">
        <f ca="1">IF('Banco de Dados'!$AK1364&lt;&gt;"-","REEMBOLSO",IFERROR(_xlfn.XLOOKUP(G1364,Follow[CODRASTREIO],Follow[STATUS]),"-"))</f>
        <v>ENTREGUE</v>
      </c>
      <c r="AJ1364" s="9">
        <f ca="1">IF('Banco de Dados'!$AI1364="ENTREGUE",_xlfn.XLOOKUP('Banco de Dados'!$G1364,Follow[CODRASTREIO],Follow[DATAATUALIZAÇÃO]),"-")</f>
        <v>45772</v>
      </c>
      <c r="AK1364" s="132" t="str">
        <f ca="1"/>
        <v>-</v>
      </c>
      <c r="AL1364" s="35"/>
      <c r="AM1364" s="109" cm="1">
        <f t="array" aca="1" ref="AM1364" ca="1">IF('Banco de Dados'!$AK1364&lt;&gt;"-",_xlfn.IFS('Banco de Dados'!$A1364="bv",IF('Banco de Dados'!$E1364&lt;45641,ROUND(SUM('Banco de Dados'!$R1364*_xlfn.XLOOKUP('Banco de Dados'!$P1364,Sku!B:B,Sku!#REF!)*20%),2),ROUND(SUM('Banco de Dados'!$R1364*_xlfn.XLOOKUP('Banco de Dados'!$P1364,Sku!B:B,Sku!H:H)*20%),2)),'Banco de Dados'!$A1364="GO",ROUND(SUM('Banco de Dados'!$R1364*_xlfn.XLOOKUP('Banco de Dados'!$P1364,Sku!C:C,Sku!H:H)*20%),2),'Banco de Dados'!$A1364="MEI",ROUND(SUM('Banco de Dados'!$R1364*_xlfn.XLOOKUP('Banco de Dados'!$P1364,Sku!D:D,Sku!H:H)*20%),2)),0)</f>
        <v>0</v>
      </c>
      <c r="AN1364" s="109">
        <f ca="1">IF('Banco de Dados'!$AK1364&lt;&gt;"-",IF('Banco de Dados'!$F1364&lt;&gt;"-",_xlfn.XLOOKUP(IFERROR(IFERROR(IFERROR(VALUE(SUBSTITUTE(MID(_xlfn.TEXTAFTER('Banco de Dados'!$F1364,"Data do Pedido:
",1),1,10),"-","/")),VALUE(SUBSTITUTE(MID(_xlfn.TEXTAFTER('Banco de Dados'!$F1364,"Order date:
",1),1,10),"-","/"))),VALUE(SUBSTITUTE(MID(_xlfn.TEXTAFTER('Banco de Dados'!$F1364,"Fecha de pedido:
",1),1,10),"-","/"))),"-"),SMS!A:A,SMS!K:K),0),0)</f>
        <v>0</v>
      </c>
      <c r="AO1364" s="109">
        <f ca="1">IF('Banco de Dados'!$AK1364&lt;&gt;"-",IF('Banco de Dados'!$F1364&lt;&gt;"-",IFERROR(_xlfn.XLOOKUP(_xlfn.CONCAT('Banco de Dados'!$A1364,IFERROR(IFERROR(VALUE(SUBSTITUTE(MID(_xlfn.TEXTAFTER('Banco de Dados'!$F1364,"Data do Pedido:
",1),1,10),"-","/")),VALUE(SUBSTITUTE(MID(_xlfn.TEXTAFTER('Banco de Dados'!$F1364,"Order date:
",1),1,10),"-","/"))),0)),ProxyDD[Chave],ProxyDD[Valor por pedido]),PROXY!$P$2),0),0)</f>
        <v>0</v>
      </c>
      <c r="AP1364" s="28">
        <f ca="1">IF('Banco de Dados'!$AK1364&lt;&gt;"-",IF('Banco de Dados'!$AL1364="NÃO",IFERROR(VALUE(SUBSTITUTE(_xlfn.TEXTAFTER('Banco de Dados'!$F1364,"BRL ",1),".",",")),0),0),0)</f>
        <v>0</v>
      </c>
      <c r="AQ1364" s="28">
        <f ca="1">SUM('Banco de Dados'!$AM1364:$AP1364)</f>
        <v>0</v>
      </c>
      <c r="AR1364" s="8"/>
      <c r="AY1364" s="8"/>
    </row>
    <row r="1365" spans="1:51">
      <c r="A1365" s="5" t="str">
        <v>MEI</v>
      </c>
      <c r="B1365" s="5" t="str">
        <f ca="1"/>
        <v>MEI45741</v>
      </c>
      <c r="C1365" s="8" t="str">
        <v>Pedido 1352</v>
      </c>
      <c r="D1365" s="187">
        <v>45741</v>
      </c>
      <c r="E1365" s="9">
        <v>45741</v>
      </c>
      <c r="F1365" s="8" t="str">
        <v>PedidoF1295</v>
      </c>
      <c r="G1365" s="2" t="str">
        <v>CódRastreio1293</v>
      </c>
      <c r="H1365" s="5">
        <v>1</v>
      </c>
      <c r="I1365" s="2" t="str">
        <v>CPF 1317</v>
      </c>
      <c r="J1365" s="2" t="str">
        <v>Nome 1317</v>
      </c>
      <c r="K1365" s="8" t="str">
        <v>Tel 1317</v>
      </c>
      <c r="L1365" s="8" t="str">
        <v>Cep 1317</v>
      </c>
      <c r="M1365" s="8" t="str">
        <v>Rua 1317</v>
      </c>
      <c r="N1365" s="8" t="str">
        <v>Comp 1317</v>
      </c>
      <c r="O1365" s="8" t="str">
        <v>Ventilador Umidificador Preto</v>
      </c>
      <c r="P1365" s="8" t="str">
        <v>71-KHMZ-MLQW</v>
      </c>
      <c r="Q1365" s="4">
        <v>45770</v>
      </c>
      <c r="R1365" s="109">
        <v>53</v>
      </c>
      <c r="S1365" s="11">
        <f ca="1"/>
        <v>53</v>
      </c>
      <c r="T1365" s="28">
        <f ca="1"/>
        <v>5.83</v>
      </c>
      <c r="U1365" s="11">
        <f ca="1"/>
        <v>47.17</v>
      </c>
      <c r="V1365" s="11">
        <v>22.33</v>
      </c>
      <c r="W1365" s="11">
        <f ca="1"/>
        <v>0.25</v>
      </c>
      <c r="X1365" s="11">
        <f ca="1"/>
        <v>0.39877104377104378</v>
      </c>
      <c r="Y1365" s="11">
        <v>0</v>
      </c>
      <c r="Z1365" s="11">
        <f ca="1"/>
        <v>24.191228956228958</v>
      </c>
      <c r="AA1365" s="11">
        <f ca="1"/>
        <v>12.095614478114479</v>
      </c>
      <c r="AB1365" s="4">
        <f ca="1"/>
        <v>45777</v>
      </c>
      <c r="AC1365" s="4">
        <v>45777</v>
      </c>
      <c r="AD1365" s="9">
        <v>45779</v>
      </c>
      <c r="AE1365" s="9">
        <v>45783</v>
      </c>
      <c r="AF1365" s="4" t="str">
        <f t="shared" ca="1" si="87"/>
        <v>2025 04</v>
      </c>
      <c r="AG1365" s="8" t="str" cm="1">
        <f t="array" ref="AG1365">IFERROR(_xlfn.IFS('Banco de Dados'!#REF!="AG. COMPRA","Em processamento",'Banco de Dados'!#REF!="AG. RASTREIO","Em processamento",'Banco de Dados'!$AE1365&lt;&gt;"-","Faturado",'Banco de Dados'!$AD1365&lt;&gt;"-","Aguardando Pix",'Banco de Dados'!$AC1365&lt;&gt;"-","Pendente"),"Aguardando Liberação")</f>
        <v>Aguardando Liberação</v>
      </c>
      <c r="AH1365" s="5" t="str">
        <f>IF('Banco de Dados'!$F1365="-",_xlfn.CONCAT(PROPER(TEXT(AK1365,"aaaa"))," ",PROPER(TEXT(AK1365,"mm"))),_xlfn.CONCAT(PROPER(TEXT(E1365,"aaaa"))," ",PROPER(TEXT(E1365,"mm"))))</f>
        <v>2025 03</v>
      </c>
      <c r="AI1365" s="9" t="str">
        <f ca="1">IF('Banco de Dados'!$AK1365&lt;&gt;"-","REEMBOLSO",IFERROR(_xlfn.XLOOKUP(G1365,Follow[CODRASTREIO],Follow[STATUS]),"-"))</f>
        <v>ENTREGUE</v>
      </c>
      <c r="AJ1365" s="9">
        <f ca="1">IF('Banco de Dados'!$AI1365="ENTREGUE",_xlfn.XLOOKUP('Banco de Dados'!$G1365,Follow[CODRASTREIO],Follow[DATAATUALIZAÇÃO]),"-")</f>
        <v>45756</v>
      </c>
      <c r="AK1365" s="132" t="str">
        <f ca="1"/>
        <v>-</v>
      </c>
      <c r="AL1365" s="35"/>
      <c r="AM1365" s="109" cm="1">
        <f t="array" aca="1" ref="AM1365" ca="1">IF('Banco de Dados'!$AK1365&lt;&gt;"-",_xlfn.IFS('Banco de Dados'!$A1365="bv",IF('Banco de Dados'!$E1365&lt;45641,ROUND(SUM('Banco de Dados'!$R1365*_xlfn.XLOOKUP('Banco de Dados'!$P1365,Sku!B:B,Sku!#REF!)*20%),2),ROUND(SUM('Banco de Dados'!$R1365*_xlfn.XLOOKUP('Banco de Dados'!$P1365,Sku!B:B,Sku!H:H)*20%),2)),'Banco de Dados'!$A1365="GO",ROUND(SUM('Banco de Dados'!$R1365*_xlfn.XLOOKUP('Banco de Dados'!$P1365,Sku!C:C,Sku!H:H)*20%),2),'Banco de Dados'!$A1365="MEI",ROUND(SUM('Banco de Dados'!$R1365*_xlfn.XLOOKUP('Banco de Dados'!$P1365,Sku!D:D,Sku!H:H)*20%),2)),0)</f>
        <v>0</v>
      </c>
      <c r="AN1365" s="109">
        <f ca="1">IF('Banco de Dados'!$AK1365&lt;&gt;"-",IF('Banco de Dados'!$F1365&lt;&gt;"-",_xlfn.XLOOKUP(IFERROR(IFERROR(IFERROR(VALUE(SUBSTITUTE(MID(_xlfn.TEXTAFTER('Banco de Dados'!$F1365,"Data do Pedido:
",1),1,10),"-","/")),VALUE(SUBSTITUTE(MID(_xlfn.TEXTAFTER('Banco de Dados'!$F1365,"Order date:
",1),1,10),"-","/"))),VALUE(SUBSTITUTE(MID(_xlfn.TEXTAFTER('Banco de Dados'!$F1365,"Fecha de pedido:
",1),1,10),"-","/"))),"-"),SMS!A:A,SMS!K:K),0),0)</f>
        <v>0</v>
      </c>
      <c r="AO1365" s="109">
        <f ca="1">IF('Banco de Dados'!$AK1365&lt;&gt;"-",IF('Banco de Dados'!$F1365&lt;&gt;"-",IFERROR(_xlfn.XLOOKUP(_xlfn.CONCAT('Banco de Dados'!$A1365,IFERROR(IFERROR(VALUE(SUBSTITUTE(MID(_xlfn.TEXTAFTER('Banco de Dados'!$F1365,"Data do Pedido:
",1),1,10),"-","/")),VALUE(SUBSTITUTE(MID(_xlfn.TEXTAFTER('Banco de Dados'!$F1365,"Order date:
",1),1,10),"-","/"))),0)),ProxyDD[Chave],ProxyDD[Valor por pedido]),PROXY!$P$2),0),0)</f>
        <v>0</v>
      </c>
      <c r="AP1365" s="28">
        <f ca="1">IF('Banco de Dados'!$AK1365&lt;&gt;"-",IF('Banco de Dados'!$AL1365="NÃO",IFERROR(VALUE(SUBSTITUTE(_xlfn.TEXTAFTER('Banco de Dados'!$F1365,"BRL ",1),".",",")),0),0),0)</f>
        <v>0</v>
      </c>
      <c r="AQ1365" s="28">
        <f ca="1">SUM('Banco de Dados'!$AM1365:$AP1365)</f>
        <v>0</v>
      </c>
      <c r="AR1365" s="8"/>
      <c r="AY1365" s="8"/>
    </row>
    <row r="1366" spans="1:51">
      <c r="A1366" s="5" t="str">
        <v>MEI</v>
      </c>
      <c r="B1366" s="5" t="str">
        <f ca="1"/>
        <v>MEI45741</v>
      </c>
      <c r="C1366" s="8" t="str">
        <v>Pedido 1353</v>
      </c>
      <c r="D1366" s="187">
        <v>45741</v>
      </c>
      <c r="E1366" s="9">
        <v>45741</v>
      </c>
      <c r="F1366" s="8" t="str">
        <v>PedidoF1296</v>
      </c>
      <c r="G1366" s="2" t="str">
        <v>CódRastreio1294</v>
      </c>
      <c r="H1366" s="5">
        <v>1</v>
      </c>
      <c r="I1366" s="2" t="str">
        <v>CPF 1318</v>
      </c>
      <c r="J1366" s="2" t="str">
        <v>Nome 1318</v>
      </c>
      <c r="K1366" s="8" t="str">
        <v>Tel 1318</v>
      </c>
      <c r="L1366" s="8" t="str">
        <v>Cep 1318</v>
      </c>
      <c r="M1366" s="8" t="str">
        <v>Rua 1318</v>
      </c>
      <c r="N1366" s="8" t="str">
        <v>Comp 1318</v>
      </c>
      <c r="O1366" s="8" t="str">
        <v>Maçarico Culinário Portátil</v>
      </c>
      <c r="P1366" s="8" t="str">
        <v>BG-DHRO-FAEE</v>
      </c>
      <c r="Q1366" s="4">
        <v>45777</v>
      </c>
      <c r="R1366" s="109">
        <v>32.99</v>
      </c>
      <c r="S1366" s="11">
        <f ca="1"/>
        <v>0</v>
      </c>
      <c r="T1366" s="28">
        <f ca="1"/>
        <v>0</v>
      </c>
      <c r="U1366" s="11">
        <f ca="1"/>
        <v>0</v>
      </c>
      <c r="V1366" s="11">
        <v>0</v>
      </c>
      <c r="W1366" s="11">
        <f ca="1"/>
        <v>0</v>
      </c>
      <c r="X1366" s="11">
        <f ca="1"/>
        <v>0.39877104377104378</v>
      </c>
      <c r="Y1366" s="11">
        <v>0</v>
      </c>
      <c r="Z1366" s="11">
        <f ca="1"/>
        <v>-0.39877104377104378</v>
      </c>
      <c r="AA1366" s="11">
        <f ca="1"/>
        <v>-0.19938552188552189</v>
      </c>
      <c r="AB1366" s="4">
        <f ca="1"/>
        <v>45784</v>
      </c>
      <c r="AC1366" s="4">
        <v>45784</v>
      </c>
      <c r="AD1366" s="9">
        <v>45793</v>
      </c>
      <c r="AE1366" s="9">
        <v>45797</v>
      </c>
      <c r="AF1366" s="4" t="str">
        <f t="shared" ca="1" si="87"/>
        <v>2025 05</v>
      </c>
      <c r="AG1366" s="8" t="str" cm="1">
        <f t="array" ref="AG1366">IFERROR(_xlfn.IFS('Banco de Dados'!#REF!="AG. COMPRA","Em processamento",'Banco de Dados'!#REF!="AG. RASTREIO","Em processamento",'Banco de Dados'!$AE1366&lt;&gt;"-","Faturado",'Banco de Dados'!$AD1366&lt;&gt;"-","Aguardando Pix",'Banco de Dados'!$AC1366&lt;&gt;"-","Pendente"),"Aguardando Liberação")</f>
        <v>Aguardando Liberação</v>
      </c>
      <c r="AH1366" s="5" t="str">
        <f>IF('Banco de Dados'!$F1366="-",_xlfn.CONCAT(PROPER(TEXT(AK1366,"aaaa"))," ",PROPER(TEXT(AK1366,"mm"))),_xlfn.CONCAT(PROPER(TEXT(E1366,"aaaa"))," ",PROPER(TEXT(E1366,"mm"))))</f>
        <v>2025 03</v>
      </c>
      <c r="AI1366" s="9" t="str">
        <f ca="1">IF('Banco de Dados'!$AK1366&lt;&gt;"-","REEMBOLSO",IFERROR(_xlfn.XLOOKUP(G1366,Follow[CODRASTREIO],Follow[STATUS]),"-"))</f>
        <v>REEMBOLSO</v>
      </c>
      <c r="AJ1366" s="9" t="str">
        <f ca="1">IF('Banco de Dados'!$AI1366="ENTREGUE",_xlfn.XLOOKUP('Banco de Dados'!$G1366,Follow[CODRASTREIO],Follow[DATAATUALIZAÇÃO]),"-")</f>
        <v>-</v>
      </c>
      <c r="AK1366" s="132">
        <f ca="1"/>
        <v>45796</v>
      </c>
      <c r="AL1366" s="35"/>
      <c r="AM1366" s="109" cm="1">
        <f t="array" aca="1" ref="AM1366" ca="1">IF('Banco de Dados'!$AK1366&lt;&gt;"-",_xlfn.IFS('Banco de Dados'!$A1366="bv",IF('Banco de Dados'!$E1366&lt;45641,ROUND(SUM('Banco de Dados'!$R1366*_xlfn.XLOOKUP('Banco de Dados'!$P1366,Sku!B:B,Sku!#REF!)*20%),2),ROUND(SUM('Banco de Dados'!$R1366*_xlfn.XLOOKUP('Banco de Dados'!$P1366,Sku!B:B,Sku!H:H)*20%),2)),'Banco de Dados'!$A1366="GO",ROUND(SUM('Banco de Dados'!$R1366*_xlfn.XLOOKUP('Banco de Dados'!$P1366,Sku!C:C,Sku!H:H)*20%),2),'Banco de Dados'!$A1366="MEI",ROUND(SUM('Banco de Dados'!$R1366*_xlfn.XLOOKUP('Banco de Dados'!$P1366,Sku!D:D,Sku!H:H)*20%),2)),0)</f>
        <v>0.73</v>
      </c>
      <c r="AN1366" s="109" t="e">
        <f ca="1">IF('Banco de Dados'!$AK1366&lt;&gt;"-",IF('Banco de Dados'!$F1366&lt;&gt;"-",_xlfn.XLOOKUP(IFERROR(IFERROR(IFERROR(VALUE(SUBSTITUTE(MID(_xlfn.TEXTAFTER('Banco de Dados'!$F1366,"Data do Pedido:
",1),1,10),"-","/")),VALUE(SUBSTITUTE(MID(_xlfn.TEXTAFTER('Banco de Dados'!$F1366,"Order date:
",1),1,10),"-","/"))),VALUE(SUBSTITUTE(MID(_xlfn.TEXTAFTER('Banco de Dados'!$F1366,"Fecha de pedido:
",1),1,10),"-","/"))),"-"),SMS!A:A,SMS!K:K),0),0)</f>
        <v>#N/A</v>
      </c>
      <c r="AO1366" s="109">
        <f ca="1">IF('Banco de Dados'!$AK1366&lt;&gt;"-",IF('Banco de Dados'!$F1366&lt;&gt;"-",IFERROR(_xlfn.XLOOKUP(_xlfn.CONCAT('Banco de Dados'!$A1366,IFERROR(IFERROR(VALUE(SUBSTITUTE(MID(_xlfn.TEXTAFTER('Banco de Dados'!$F1366,"Data do Pedido:
",1),1,10),"-","/")),VALUE(SUBSTITUTE(MID(_xlfn.TEXTAFTER('Banco de Dados'!$F1366,"Order date:
",1),1,10),"-","/"))),0)),ProxyDD[Chave],ProxyDD[Valor por pedido]),PROXY!$P$2),0),0)</f>
        <v>0.39877104377104378</v>
      </c>
      <c r="AP1366" s="28">
        <f ca="1">IF('Banco de Dados'!$AK1366&lt;&gt;"-",IF('Banco de Dados'!$AL1366="NÃO",IFERROR(VALUE(SUBSTITUTE(_xlfn.TEXTAFTER('Banco de Dados'!$F1366,"BRL ",1),".",",")),0),0),0)</f>
        <v>0</v>
      </c>
      <c r="AQ1366" s="28" t="e">
        <f ca="1">SUM('Banco de Dados'!$AM1366:$AP1366)</f>
        <v>#N/A</v>
      </c>
      <c r="AR1366" s="8"/>
      <c r="AY1366" s="8"/>
    </row>
    <row r="1367" spans="1:51">
      <c r="A1367" s="5" t="str">
        <v>MEI</v>
      </c>
      <c r="B1367" s="5" t="str">
        <f ca="1"/>
        <v>MEI45741</v>
      </c>
      <c r="C1367" s="8" t="str">
        <v>Pedido 1354</v>
      </c>
      <c r="D1367" s="187">
        <v>45741</v>
      </c>
      <c r="E1367" s="9">
        <v>45741</v>
      </c>
      <c r="F1367" s="8" t="str">
        <v>PedidoF1297</v>
      </c>
      <c r="G1367" s="2" t="str">
        <v>CódRastreio1295</v>
      </c>
      <c r="H1367" s="5">
        <v>1</v>
      </c>
      <c r="I1367" s="2" t="str">
        <v>CPF 1319</v>
      </c>
      <c r="J1367" s="2" t="str">
        <v>Nome 1319</v>
      </c>
      <c r="K1367" s="8" t="str">
        <v>Tel 1319</v>
      </c>
      <c r="L1367" s="8" t="str">
        <v>Cep 1319</v>
      </c>
      <c r="M1367" s="8" t="str">
        <v>Rua 1319</v>
      </c>
      <c r="N1367" s="8" t="str">
        <v>Comp 1319</v>
      </c>
      <c r="O1367" s="8" t="str">
        <v>Ventilador Azul</v>
      </c>
      <c r="P1367" s="8" t="str">
        <v>PK-L2Z7-MQRQ</v>
      </c>
      <c r="Q1367" s="4">
        <v>45777</v>
      </c>
      <c r="R1367" s="109">
        <v>49.9</v>
      </c>
      <c r="S1367" s="11">
        <f ca="1"/>
        <v>49.9</v>
      </c>
      <c r="T1367" s="28">
        <f ca="1"/>
        <v>5.9879999999999995</v>
      </c>
      <c r="U1367" s="11">
        <f ca="1"/>
        <v>43.91</v>
      </c>
      <c r="V1367" s="11">
        <v>11.57</v>
      </c>
      <c r="W1367" s="11">
        <f ca="1"/>
        <v>0.25</v>
      </c>
      <c r="X1367" s="11">
        <f ca="1"/>
        <v>0.39877104377104378</v>
      </c>
      <c r="Y1367" s="11">
        <v>0</v>
      </c>
      <c r="Z1367" s="11">
        <f ca="1"/>
        <v>31.691228956228954</v>
      </c>
      <c r="AA1367" s="11">
        <f ca="1"/>
        <v>15.845614478114477</v>
      </c>
      <c r="AB1367" s="4">
        <f ca="1"/>
        <v>45784</v>
      </c>
      <c r="AC1367" s="4">
        <v>45784</v>
      </c>
      <c r="AD1367" s="9">
        <v>45793</v>
      </c>
      <c r="AE1367" s="9">
        <v>45797</v>
      </c>
      <c r="AF1367" s="4" t="str">
        <f t="shared" ca="1" si="87"/>
        <v>2025 05</v>
      </c>
      <c r="AG1367" s="8" t="str" cm="1">
        <f t="array" ref="AG1367">IFERROR(_xlfn.IFS('Banco de Dados'!#REF!="AG. COMPRA","Em processamento",'Banco de Dados'!#REF!="AG. RASTREIO","Em processamento",'Banco de Dados'!$AE1367&lt;&gt;"-","Faturado",'Banco de Dados'!$AD1367&lt;&gt;"-","Aguardando Pix",'Banco de Dados'!$AC1367&lt;&gt;"-","Pendente"),"Aguardando Liberação")</f>
        <v>Aguardando Liberação</v>
      </c>
      <c r="AH1367" s="5" t="str">
        <f>IF('Banco de Dados'!$F1367="-",_xlfn.CONCAT(PROPER(TEXT(AK1367,"aaaa"))," ",PROPER(TEXT(AK1367,"mm"))),_xlfn.CONCAT(PROPER(TEXT(E1367,"aaaa"))," ",PROPER(TEXT(E1367,"mm"))))</f>
        <v>2025 03</v>
      </c>
      <c r="AI1367" s="9" t="str">
        <f ca="1">IF('Banco de Dados'!$AK1367&lt;&gt;"-","REEMBOLSO",IFERROR(_xlfn.XLOOKUP(G1367,Follow[CODRASTREIO],Follow[STATUS]),"-"))</f>
        <v>ENTREGUE</v>
      </c>
      <c r="AJ1367" s="9">
        <f ca="1">IF('Banco de Dados'!$AI1367="ENTREGUE",_xlfn.XLOOKUP('Banco de Dados'!$G1367,Follow[CODRASTREIO],Follow[DATAATUALIZAÇÃO]),"-")</f>
        <v>45762</v>
      </c>
      <c r="AK1367" s="132" t="str">
        <f ca="1"/>
        <v>-</v>
      </c>
      <c r="AL1367" s="35"/>
      <c r="AM1367" s="109" cm="1">
        <f t="array" aca="1" ref="AM1367" ca="1">IF('Banco de Dados'!$AK1367&lt;&gt;"-",_xlfn.IFS('Banco de Dados'!$A1367="bv",IF('Banco de Dados'!$E1367&lt;45641,ROUND(SUM('Banco de Dados'!$R1367*_xlfn.XLOOKUP('Banco de Dados'!$P1367,Sku!B:B,Sku!#REF!)*20%),2),ROUND(SUM('Banco de Dados'!$R1367*_xlfn.XLOOKUP('Banco de Dados'!$P1367,Sku!B:B,Sku!H:H)*20%),2)),'Banco de Dados'!$A1367="GO",ROUND(SUM('Banco de Dados'!$R1367*_xlfn.XLOOKUP('Banco de Dados'!$P1367,Sku!C:C,Sku!H:H)*20%),2),'Banco de Dados'!$A1367="MEI",ROUND(SUM('Banco de Dados'!$R1367*_xlfn.XLOOKUP('Banco de Dados'!$P1367,Sku!D:D,Sku!H:H)*20%),2)),0)</f>
        <v>0</v>
      </c>
      <c r="AN1367" s="109">
        <f ca="1">IF('Banco de Dados'!$AK1367&lt;&gt;"-",IF('Banco de Dados'!$F1367&lt;&gt;"-",_xlfn.XLOOKUP(IFERROR(IFERROR(IFERROR(VALUE(SUBSTITUTE(MID(_xlfn.TEXTAFTER('Banco de Dados'!$F1367,"Data do Pedido:
",1),1,10),"-","/")),VALUE(SUBSTITUTE(MID(_xlfn.TEXTAFTER('Banco de Dados'!$F1367,"Order date:
",1),1,10),"-","/"))),VALUE(SUBSTITUTE(MID(_xlfn.TEXTAFTER('Banco de Dados'!$F1367,"Fecha de pedido:
",1),1,10),"-","/"))),"-"),SMS!A:A,SMS!K:K),0),0)</f>
        <v>0</v>
      </c>
      <c r="AO1367" s="109">
        <f ca="1">IF('Banco de Dados'!$AK1367&lt;&gt;"-",IF('Banco de Dados'!$F1367&lt;&gt;"-",IFERROR(_xlfn.XLOOKUP(_xlfn.CONCAT('Banco de Dados'!$A1367,IFERROR(IFERROR(VALUE(SUBSTITUTE(MID(_xlfn.TEXTAFTER('Banco de Dados'!$F1367,"Data do Pedido:
",1),1,10),"-","/")),VALUE(SUBSTITUTE(MID(_xlfn.TEXTAFTER('Banco de Dados'!$F1367,"Order date:
",1),1,10),"-","/"))),0)),ProxyDD[Chave],ProxyDD[Valor por pedido]),PROXY!$P$2),0),0)</f>
        <v>0</v>
      </c>
      <c r="AP1367" s="28">
        <f ca="1">IF('Banco de Dados'!$AK1367&lt;&gt;"-",IF('Banco de Dados'!$AL1367="NÃO",IFERROR(VALUE(SUBSTITUTE(_xlfn.TEXTAFTER('Banco de Dados'!$F1367,"BRL ",1),".",",")),0),0),0)</f>
        <v>0</v>
      </c>
      <c r="AQ1367" s="28">
        <f ca="1">SUM('Banco de Dados'!$AM1367:$AP1367)</f>
        <v>0</v>
      </c>
      <c r="AR1367" s="8"/>
      <c r="AY1367" s="8"/>
    </row>
    <row r="1368" spans="1:51">
      <c r="A1368" s="5" t="str">
        <v>MEI</v>
      </c>
      <c r="B1368" s="5" t="str">
        <f ca="1"/>
        <v>MEI45742</v>
      </c>
      <c r="C1368" s="8" t="str">
        <v>Pedido 1355</v>
      </c>
      <c r="D1368" s="187">
        <v>45742</v>
      </c>
      <c r="E1368" s="9">
        <v>45742</v>
      </c>
      <c r="F1368" s="8" t="str">
        <v>PedidoF1298</v>
      </c>
      <c r="G1368" s="2" t="str">
        <v>CódRastreio1296</v>
      </c>
      <c r="H1368" s="5">
        <v>1</v>
      </c>
      <c r="I1368" s="2" t="str">
        <v>CPF 1320</v>
      </c>
      <c r="J1368" s="2" t="str">
        <v>Nome 1320</v>
      </c>
      <c r="K1368" s="8" t="str">
        <v>Tel 1320</v>
      </c>
      <c r="L1368" s="8" t="str">
        <v>Cep 1320</v>
      </c>
      <c r="M1368" s="8" t="str">
        <v>Rua 1320</v>
      </c>
      <c r="N1368" s="8" t="str">
        <v>Comp 1320</v>
      </c>
      <c r="O1368" s="8" t="str">
        <v>Maçarico Culinário Portátil</v>
      </c>
      <c r="P1368" s="8" t="str">
        <v>BG-DHRO-FAEE</v>
      </c>
      <c r="Q1368" s="4">
        <v>45770</v>
      </c>
      <c r="R1368" s="109">
        <v>32.99</v>
      </c>
      <c r="S1368" s="11">
        <f ca="1"/>
        <v>32.99</v>
      </c>
      <c r="T1368" s="28">
        <f ca="1"/>
        <v>3.6289000000000002</v>
      </c>
      <c r="U1368" s="11">
        <f ca="1"/>
        <v>29.36</v>
      </c>
      <c r="V1368" s="11">
        <v>10.16</v>
      </c>
      <c r="W1368" s="11">
        <f ca="1"/>
        <v>0.6</v>
      </c>
      <c r="X1368" s="11">
        <f ca="1"/>
        <v>0.39877104377104378</v>
      </c>
      <c r="Y1368" s="11">
        <v>0</v>
      </c>
      <c r="Z1368" s="11">
        <f ca="1"/>
        <v>18.201228956228956</v>
      </c>
      <c r="AA1368" s="11">
        <f ca="1"/>
        <v>9.100614478114478</v>
      </c>
      <c r="AB1368" s="4">
        <f ca="1"/>
        <v>45777</v>
      </c>
      <c r="AC1368" s="4">
        <v>45777</v>
      </c>
      <c r="AD1368" s="9">
        <v>45779</v>
      </c>
      <c r="AE1368" s="9">
        <v>45783</v>
      </c>
      <c r="AF1368" s="4" t="str">
        <f t="shared" ref="AF1368:AF1370" ca="1" si="88">_xlfn.CONCAT(PROPER(TEXT(AB1368,"aaaa"))," ",PROPER(TEXT(AB1368,"mm")))</f>
        <v>2025 04</v>
      </c>
      <c r="AG1368" s="8" t="str" cm="1">
        <f t="array" ref="AG1368">IFERROR(_xlfn.IFS('Banco de Dados'!#REF!="AG. COMPRA","Em processamento",'Banco de Dados'!#REF!="AG. RASTREIO","Em processamento",'Banco de Dados'!$AE1368&lt;&gt;"-","Faturado",'Banco de Dados'!$AD1368&lt;&gt;"-","Aguardando Pix",'Banco de Dados'!$AC1368&lt;&gt;"-","Pendente"),"Aguardando Liberação")</f>
        <v>Aguardando Liberação</v>
      </c>
      <c r="AH1368" s="5" t="str">
        <f>IF('Banco de Dados'!$F1368="-",_xlfn.CONCAT(PROPER(TEXT(AK1368,"aaaa"))," ",PROPER(TEXT(AK1368,"mm"))),_xlfn.CONCAT(PROPER(TEXT(E1368,"aaaa"))," ",PROPER(TEXT(E1368,"mm"))))</f>
        <v>2025 03</v>
      </c>
      <c r="AI1368" s="9" t="str">
        <f ca="1">IF('Banco de Dados'!$AK1368&lt;&gt;"-","REEMBOLSO",IFERROR(_xlfn.XLOOKUP(G1368,Follow[CODRASTREIO],Follow[STATUS]),"-"))</f>
        <v>ENTREGUE</v>
      </c>
      <c r="AJ1368" s="9">
        <f ca="1">IF('Banco de Dados'!$AI1368="ENTREGUE",_xlfn.XLOOKUP('Banco de Dados'!$G1368,Follow[CODRASTREIO],Follow[DATAATUALIZAÇÃO]),"-")</f>
        <v>45764</v>
      </c>
      <c r="AK1368" s="132" t="str">
        <f ca="1"/>
        <v>-</v>
      </c>
      <c r="AL1368" s="35"/>
      <c r="AM1368" s="109" cm="1">
        <f t="array" aca="1" ref="AM1368" ca="1">IF('Banco de Dados'!$AK1368&lt;&gt;"-",_xlfn.IFS('Banco de Dados'!$A1368="bv",IF('Banco de Dados'!$E1368&lt;45641,ROUND(SUM('Banco de Dados'!$R1368*_xlfn.XLOOKUP('Banco de Dados'!$P1368,Sku!B:B,Sku!#REF!)*20%),2),ROUND(SUM('Banco de Dados'!$R1368*_xlfn.XLOOKUP('Banco de Dados'!$P1368,Sku!B:B,Sku!H:H)*20%),2)),'Banco de Dados'!$A1368="GO",ROUND(SUM('Banco de Dados'!$R1368*_xlfn.XLOOKUP('Banco de Dados'!$P1368,Sku!C:C,Sku!H:H)*20%),2),'Banco de Dados'!$A1368="MEI",ROUND(SUM('Banco de Dados'!$R1368*_xlfn.XLOOKUP('Banco de Dados'!$P1368,Sku!D:D,Sku!H:H)*20%),2)),0)</f>
        <v>0</v>
      </c>
      <c r="AN1368" s="109">
        <f ca="1">IF('Banco de Dados'!$AK1368&lt;&gt;"-",IF('Banco de Dados'!$F1368&lt;&gt;"-",_xlfn.XLOOKUP(IFERROR(IFERROR(IFERROR(VALUE(SUBSTITUTE(MID(_xlfn.TEXTAFTER('Banco de Dados'!$F1368,"Data do Pedido:
",1),1,10),"-","/")),VALUE(SUBSTITUTE(MID(_xlfn.TEXTAFTER('Banco de Dados'!$F1368,"Order date:
",1),1,10),"-","/"))),VALUE(SUBSTITUTE(MID(_xlfn.TEXTAFTER('Banco de Dados'!$F1368,"Fecha de pedido:
",1),1,10),"-","/"))),"-"),SMS!A:A,SMS!K:K),0),0)</f>
        <v>0</v>
      </c>
      <c r="AO1368" s="109">
        <f ca="1">IF('Banco de Dados'!$AK1368&lt;&gt;"-",IF('Banco de Dados'!$F1368&lt;&gt;"-",IFERROR(_xlfn.XLOOKUP(_xlfn.CONCAT('Banco de Dados'!$A1368,IFERROR(IFERROR(VALUE(SUBSTITUTE(MID(_xlfn.TEXTAFTER('Banco de Dados'!$F1368,"Data do Pedido:
",1),1,10),"-","/")),VALUE(SUBSTITUTE(MID(_xlfn.TEXTAFTER('Banco de Dados'!$F1368,"Order date:
",1),1,10),"-","/"))),0)),ProxyDD[Chave],ProxyDD[Valor por pedido]),PROXY!$P$2),0),0)</f>
        <v>0</v>
      </c>
      <c r="AP1368" s="28">
        <f ca="1">IF('Banco de Dados'!$AK1368&lt;&gt;"-",IF('Banco de Dados'!$AL1368="NÃO",IFERROR(VALUE(SUBSTITUTE(_xlfn.TEXTAFTER('Banco de Dados'!$F1368,"BRL ",1),".",",")),0),0),0)</f>
        <v>0</v>
      </c>
      <c r="AQ1368" s="28">
        <f ca="1">SUM('Banco de Dados'!$AM1368:$AP1368)</f>
        <v>0</v>
      </c>
      <c r="AR1368" s="8"/>
      <c r="AY1368" s="8"/>
    </row>
    <row r="1369" spans="1:51">
      <c r="A1369" s="5" t="str">
        <v>MEI</v>
      </c>
      <c r="B1369" s="5" t="str">
        <f ca="1"/>
        <v>MEI45743</v>
      </c>
      <c r="C1369" s="8" t="str">
        <v>Pedido 1356</v>
      </c>
      <c r="D1369" s="187">
        <v>45742</v>
      </c>
      <c r="E1369" s="9">
        <v>45743</v>
      </c>
      <c r="F1369" s="8" t="str">
        <v>PedidoF1299</v>
      </c>
      <c r="G1369" s="2" t="str">
        <v>CódRastreio1297</v>
      </c>
      <c r="H1369" s="5">
        <v>1</v>
      </c>
      <c r="I1369" s="2" t="str">
        <v>CPF 1321</v>
      </c>
      <c r="J1369" s="2" t="str">
        <v>Nome 1321</v>
      </c>
      <c r="K1369" s="8" t="str">
        <v>Tel 1321</v>
      </c>
      <c r="L1369" s="8" t="str">
        <v>Cep 1321</v>
      </c>
      <c r="M1369" s="8" t="str">
        <v>Rua 1321</v>
      </c>
      <c r="N1369" s="8" t="str">
        <v>Comp 1321</v>
      </c>
      <c r="O1369" s="8" t="str">
        <v>Ventilador Umidificador Preto</v>
      </c>
      <c r="P1369" s="8" t="str">
        <v>71-KHMZ-MLQW</v>
      </c>
      <c r="Q1369" s="4">
        <v>45770</v>
      </c>
      <c r="R1369" s="109">
        <v>53</v>
      </c>
      <c r="S1369" s="11">
        <f ca="1"/>
        <v>53</v>
      </c>
      <c r="T1369" s="28">
        <f ca="1"/>
        <v>5.83</v>
      </c>
      <c r="U1369" s="11">
        <f ca="1"/>
        <v>47.17</v>
      </c>
      <c r="V1369" s="11">
        <v>22.44</v>
      </c>
      <c r="W1369" s="11">
        <f ca="1"/>
        <v>0.2</v>
      </c>
      <c r="X1369" s="11">
        <f ca="1"/>
        <v>0.39877104377104378</v>
      </c>
      <c r="Y1369" s="11">
        <v>0</v>
      </c>
      <c r="Z1369" s="11">
        <f ca="1"/>
        <v>24.131228956228956</v>
      </c>
      <c r="AA1369" s="11">
        <f ca="1"/>
        <v>12.065614478114478</v>
      </c>
      <c r="AB1369" s="4">
        <f ca="1"/>
        <v>45777</v>
      </c>
      <c r="AC1369" s="4">
        <v>45777</v>
      </c>
      <c r="AD1369" s="9">
        <v>45779</v>
      </c>
      <c r="AE1369" s="9">
        <v>45783</v>
      </c>
      <c r="AF1369" s="4" t="str">
        <f t="shared" ca="1" si="88"/>
        <v>2025 04</v>
      </c>
      <c r="AG1369" s="8" t="str" cm="1">
        <f t="array" ref="AG1369">IFERROR(_xlfn.IFS('Banco de Dados'!#REF!="AG. COMPRA","Em processamento",'Banco de Dados'!#REF!="AG. RASTREIO","Em processamento",'Banco de Dados'!$AE1369&lt;&gt;"-","Faturado",'Banco de Dados'!$AD1369&lt;&gt;"-","Aguardando Pix",'Banco de Dados'!$AC1369&lt;&gt;"-","Pendente"),"Aguardando Liberação")</f>
        <v>Aguardando Liberação</v>
      </c>
      <c r="AH1369" s="5" t="str">
        <f>IF('Banco de Dados'!$F1369="-",_xlfn.CONCAT(PROPER(TEXT(AK1369,"aaaa"))," ",PROPER(TEXT(AK1369,"mm"))),_xlfn.CONCAT(PROPER(TEXT(E1369,"aaaa"))," ",PROPER(TEXT(E1369,"mm"))))</f>
        <v>2025 03</v>
      </c>
      <c r="AI1369" s="9" t="str">
        <f ca="1">IF('Banco de Dados'!$AK1369&lt;&gt;"-","REEMBOLSO",IFERROR(_xlfn.XLOOKUP(G1369,Follow[CODRASTREIO],Follow[STATUS]),"-"))</f>
        <v>ENTREGUE</v>
      </c>
      <c r="AJ1369" s="9">
        <f ca="1">IF('Banco de Dados'!$AI1369="ENTREGUE",_xlfn.XLOOKUP('Banco de Dados'!$G1369,Follow[CODRASTREIO],Follow[DATAATUALIZAÇÃO]),"-")</f>
        <v>45758</v>
      </c>
      <c r="AK1369" s="132" t="str">
        <f ca="1"/>
        <v>-</v>
      </c>
      <c r="AL1369" s="35"/>
      <c r="AM1369" s="109" cm="1">
        <f t="array" aca="1" ref="AM1369" ca="1">IF('Banco de Dados'!$AK1369&lt;&gt;"-",_xlfn.IFS('Banco de Dados'!$A1369="bv",IF('Banco de Dados'!$E1369&lt;45641,ROUND(SUM('Banco de Dados'!$R1369*_xlfn.XLOOKUP('Banco de Dados'!$P1369,Sku!B:B,Sku!#REF!)*20%),2),ROUND(SUM('Banco de Dados'!$R1369*_xlfn.XLOOKUP('Banco de Dados'!$P1369,Sku!B:B,Sku!H:H)*20%),2)),'Banco de Dados'!$A1369="GO",ROUND(SUM('Banco de Dados'!$R1369*_xlfn.XLOOKUP('Banco de Dados'!$P1369,Sku!C:C,Sku!H:H)*20%),2),'Banco de Dados'!$A1369="MEI",ROUND(SUM('Banco de Dados'!$R1369*_xlfn.XLOOKUP('Banco de Dados'!$P1369,Sku!D:D,Sku!H:H)*20%),2)),0)</f>
        <v>0</v>
      </c>
      <c r="AN1369" s="109">
        <f ca="1">IF('Banco de Dados'!$AK1369&lt;&gt;"-",IF('Banco de Dados'!$F1369&lt;&gt;"-",_xlfn.XLOOKUP(IFERROR(IFERROR(IFERROR(VALUE(SUBSTITUTE(MID(_xlfn.TEXTAFTER('Banco de Dados'!$F1369,"Data do Pedido:
",1),1,10),"-","/")),VALUE(SUBSTITUTE(MID(_xlfn.TEXTAFTER('Banco de Dados'!$F1369,"Order date:
",1),1,10),"-","/"))),VALUE(SUBSTITUTE(MID(_xlfn.TEXTAFTER('Banco de Dados'!$F1369,"Fecha de pedido:
",1),1,10),"-","/"))),"-"),SMS!A:A,SMS!K:K),0),0)</f>
        <v>0</v>
      </c>
      <c r="AO1369" s="109">
        <f ca="1">IF('Banco de Dados'!$AK1369&lt;&gt;"-",IF('Banco de Dados'!$F1369&lt;&gt;"-",IFERROR(_xlfn.XLOOKUP(_xlfn.CONCAT('Banco de Dados'!$A1369,IFERROR(IFERROR(VALUE(SUBSTITUTE(MID(_xlfn.TEXTAFTER('Banco de Dados'!$F1369,"Data do Pedido:
",1),1,10),"-","/")),VALUE(SUBSTITUTE(MID(_xlfn.TEXTAFTER('Banco de Dados'!$F1369,"Order date:
",1),1,10),"-","/"))),0)),ProxyDD[Chave],ProxyDD[Valor por pedido]),PROXY!$P$2),0),0)</f>
        <v>0</v>
      </c>
      <c r="AP1369" s="28">
        <f ca="1">IF('Banco de Dados'!$AK1369&lt;&gt;"-",IF('Banco de Dados'!$AL1369="NÃO",IFERROR(VALUE(SUBSTITUTE(_xlfn.TEXTAFTER('Banco de Dados'!$F1369,"BRL ",1),".",",")),0),0),0)</f>
        <v>0</v>
      </c>
      <c r="AQ1369" s="28">
        <f ca="1">SUM('Banco de Dados'!$AM1369:$AP1369)</f>
        <v>0</v>
      </c>
      <c r="AR1369" s="8"/>
      <c r="AY1369" s="8"/>
    </row>
    <row r="1370" spans="1:51">
      <c r="A1370" s="5" t="str">
        <v>MEI</v>
      </c>
      <c r="B1370" s="5" t="str">
        <f ca="1"/>
        <v>MEI45743</v>
      </c>
      <c r="C1370" s="8" t="str">
        <v>Pedido 1357</v>
      </c>
      <c r="D1370" s="187">
        <v>45742</v>
      </c>
      <c r="E1370" s="9">
        <v>45743</v>
      </c>
      <c r="F1370" s="8" t="str">
        <v>PedidoF1300</v>
      </c>
      <c r="G1370" s="2" t="str">
        <v>CódRastreio1298</v>
      </c>
      <c r="H1370" s="5">
        <v>1</v>
      </c>
      <c r="I1370" s="2" t="str">
        <v>CPF 1322</v>
      </c>
      <c r="J1370" s="2" t="str">
        <v>Nome 1322</v>
      </c>
      <c r="K1370" s="8" t="str">
        <v>Tel 1322</v>
      </c>
      <c r="L1370" s="8" t="str">
        <v>Cep 1322</v>
      </c>
      <c r="M1370" s="8" t="str">
        <v>Rua 1322</v>
      </c>
      <c r="N1370" s="8" t="str">
        <v>Comp 1322</v>
      </c>
      <c r="O1370" s="8" t="str">
        <v>Ventilador Umidificador Preto</v>
      </c>
      <c r="P1370" s="8" t="str">
        <v>71-KHMZ-MLQW</v>
      </c>
      <c r="Q1370" s="4">
        <v>45778</v>
      </c>
      <c r="R1370" s="109">
        <v>53</v>
      </c>
      <c r="S1370" s="11">
        <f ca="1"/>
        <v>53</v>
      </c>
      <c r="T1370" s="28">
        <f ca="1"/>
        <v>5.83</v>
      </c>
      <c r="U1370" s="11">
        <f ca="1"/>
        <v>47.17</v>
      </c>
      <c r="V1370" s="11">
        <v>21.66</v>
      </c>
      <c r="W1370" s="11">
        <f ca="1"/>
        <v>0.2</v>
      </c>
      <c r="X1370" s="11">
        <f ca="1"/>
        <v>0.39877104377104378</v>
      </c>
      <c r="Y1370" s="11">
        <v>0</v>
      </c>
      <c r="Z1370" s="11">
        <f ca="1"/>
        <v>24.911228956228957</v>
      </c>
      <c r="AA1370" s="11">
        <f ca="1"/>
        <v>12.455614478114478</v>
      </c>
      <c r="AB1370" s="4">
        <f ca="1"/>
        <v>45785</v>
      </c>
      <c r="AC1370" s="4">
        <v>45785</v>
      </c>
      <c r="AD1370" s="9">
        <v>45793</v>
      </c>
      <c r="AE1370" s="9">
        <v>45797</v>
      </c>
      <c r="AF1370" s="4" t="str">
        <f t="shared" ca="1" si="88"/>
        <v>2025 05</v>
      </c>
      <c r="AG1370" s="8" t="str" cm="1">
        <f t="array" ref="AG1370">IFERROR(_xlfn.IFS('Banco de Dados'!#REF!="AG. COMPRA","Em processamento",'Banco de Dados'!#REF!="AG. RASTREIO","Em processamento",'Banco de Dados'!$AE1370&lt;&gt;"-","Faturado",'Banco de Dados'!$AD1370&lt;&gt;"-","Aguardando Pix",'Banco de Dados'!$AC1370&lt;&gt;"-","Pendente"),"Aguardando Liberação")</f>
        <v>Aguardando Liberação</v>
      </c>
      <c r="AH1370" s="5" t="str">
        <f>IF('Banco de Dados'!$F1370="-",_xlfn.CONCAT(PROPER(TEXT(AK1370,"aaaa"))," ",PROPER(TEXT(AK1370,"mm"))),_xlfn.CONCAT(PROPER(TEXT(E1370,"aaaa"))," ",PROPER(TEXT(E1370,"mm"))))</f>
        <v>2025 03</v>
      </c>
      <c r="AI1370" s="9" t="str">
        <f ca="1">IF('Banco de Dados'!$AK1370&lt;&gt;"-","REEMBOLSO",IFERROR(_xlfn.XLOOKUP(G1370,Follow[CODRASTREIO],Follow[STATUS]),"-"))</f>
        <v>ENTREGUE</v>
      </c>
      <c r="AJ1370" s="9">
        <f ca="1">IF('Banco de Dados'!$AI1370="ENTREGUE",_xlfn.XLOOKUP('Banco de Dados'!$G1370,Follow[CODRASTREIO],Follow[DATAATUALIZAÇÃO]),"-")</f>
        <v>45761</v>
      </c>
      <c r="AK1370" s="132" t="str">
        <f ca="1"/>
        <v>-</v>
      </c>
      <c r="AL1370" s="35"/>
      <c r="AM1370" s="109" cm="1">
        <f t="array" aca="1" ref="AM1370" ca="1">IF('Banco de Dados'!$AK1370&lt;&gt;"-",_xlfn.IFS('Banco de Dados'!$A1370="bv",IF('Banco de Dados'!$E1370&lt;45641,ROUND(SUM('Banco de Dados'!$R1370*_xlfn.XLOOKUP('Banco de Dados'!$P1370,Sku!B:B,Sku!#REF!)*20%),2),ROUND(SUM('Banco de Dados'!$R1370*_xlfn.XLOOKUP('Banco de Dados'!$P1370,Sku!B:B,Sku!H:H)*20%),2)),'Banco de Dados'!$A1370="GO",ROUND(SUM('Banco de Dados'!$R1370*_xlfn.XLOOKUP('Banco de Dados'!$P1370,Sku!C:C,Sku!H:H)*20%),2),'Banco de Dados'!$A1370="MEI",ROUND(SUM('Banco de Dados'!$R1370*_xlfn.XLOOKUP('Banco de Dados'!$P1370,Sku!D:D,Sku!H:H)*20%),2)),0)</f>
        <v>0</v>
      </c>
      <c r="AN1370" s="109">
        <f ca="1">IF('Banco de Dados'!$AK1370&lt;&gt;"-",IF('Banco de Dados'!$F1370&lt;&gt;"-",_xlfn.XLOOKUP(IFERROR(IFERROR(IFERROR(VALUE(SUBSTITUTE(MID(_xlfn.TEXTAFTER('Banco de Dados'!$F1370,"Data do Pedido:
",1),1,10),"-","/")),VALUE(SUBSTITUTE(MID(_xlfn.TEXTAFTER('Banco de Dados'!$F1370,"Order date:
",1),1,10),"-","/"))),VALUE(SUBSTITUTE(MID(_xlfn.TEXTAFTER('Banco de Dados'!$F1370,"Fecha de pedido:
",1),1,10),"-","/"))),"-"),SMS!A:A,SMS!K:K),0),0)</f>
        <v>0</v>
      </c>
      <c r="AO1370" s="109">
        <f ca="1">IF('Banco de Dados'!$AK1370&lt;&gt;"-",IF('Banco de Dados'!$F1370&lt;&gt;"-",IFERROR(_xlfn.XLOOKUP(_xlfn.CONCAT('Banco de Dados'!$A1370,IFERROR(IFERROR(VALUE(SUBSTITUTE(MID(_xlfn.TEXTAFTER('Banco de Dados'!$F1370,"Data do Pedido:
",1),1,10),"-","/")),VALUE(SUBSTITUTE(MID(_xlfn.TEXTAFTER('Banco de Dados'!$F1370,"Order date:
",1),1,10),"-","/"))),0)),ProxyDD[Chave],ProxyDD[Valor por pedido]),PROXY!$P$2),0),0)</f>
        <v>0</v>
      </c>
      <c r="AP1370" s="28">
        <f ca="1">IF('Banco de Dados'!$AK1370&lt;&gt;"-",IF('Banco de Dados'!$AL1370="NÃO",IFERROR(VALUE(SUBSTITUTE(_xlfn.TEXTAFTER('Banco de Dados'!$F1370,"BRL ",1),".",",")),0),0),0)</f>
        <v>0</v>
      </c>
      <c r="AQ1370" s="28">
        <f ca="1">SUM('Banco de Dados'!$AM1370:$AP1370)</f>
        <v>0</v>
      </c>
      <c r="AR1370" s="8"/>
      <c r="AY1370" s="8"/>
    </row>
    <row r="1371" spans="1:51">
      <c r="A1371" s="5" t="str">
        <v>MEI</v>
      </c>
      <c r="B1371" s="5" t="str">
        <f ca="1"/>
        <v>MEI45743</v>
      </c>
      <c r="C1371" s="8" t="str">
        <v>Pedido 1358</v>
      </c>
      <c r="D1371" s="187">
        <v>45743</v>
      </c>
      <c r="E1371" s="9">
        <v>45743</v>
      </c>
      <c r="F1371" s="8" t="str">
        <v>PedidoF1301</v>
      </c>
      <c r="G1371" s="2" t="str">
        <v>CódRastreio1299</v>
      </c>
      <c r="H1371" s="5">
        <v>1</v>
      </c>
      <c r="I1371" s="2" t="str">
        <v>CPF 1323</v>
      </c>
      <c r="J1371" s="2" t="str">
        <v>Nome 1323</v>
      </c>
      <c r="K1371" s="8" t="str">
        <v>Tel 1323</v>
      </c>
      <c r="L1371" s="8" t="str">
        <v>Cep 1323</v>
      </c>
      <c r="M1371" s="8" t="str">
        <v>Rua 1323</v>
      </c>
      <c r="N1371" s="8" t="str">
        <v>Comp 1323</v>
      </c>
      <c r="O1371" s="8" t="str">
        <v>Ventilador Preto</v>
      </c>
      <c r="P1371" s="8" t="str">
        <v>WU-SS4J-LFOH</v>
      </c>
      <c r="Q1371" s="4">
        <v>45764</v>
      </c>
      <c r="R1371" s="109">
        <v>65.75</v>
      </c>
      <c r="S1371" s="11">
        <f ca="1"/>
        <v>65.75</v>
      </c>
      <c r="T1371" s="28">
        <f ca="1"/>
        <v>7.89</v>
      </c>
      <c r="U1371" s="11">
        <f ca="1"/>
        <v>57.86</v>
      </c>
      <c r="V1371" s="11">
        <v>17.22</v>
      </c>
      <c r="W1371" s="11">
        <f ca="1"/>
        <v>0.2</v>
      </c>
      <c r="X1371" s="11">
        <f ca="1"/>
        <v>0.39877104377104378</v>
      </c>
      <c r="Y1371" s="11">
        <v>0</v>
      </c>
      <c r="Z1371" s="11">
        <f ca="1"/>
        <v>40.041228956228956</v>
      </c>
      <c r="AA1371" s="11">
        <f ca="1"/>
        <v>20.020614478114478</v>
      </c>
      <c r="AB1371" s="4">
        <f ca="1"/>
        <v>45771</v>
      </c>
      <c r="AC1371" s="4">
        <v>45771</v>
      </c>
      <c r="AD1371" s="9">
        <v>45779</v>
      </c>
      <c r="AE1371" s="9">
        <v>45783</v>
      </c>
      <c r="AF1371" s="4" t="str">
        <f t="shared" ref="AF1371:AF1374" ca="1" si="89">_xlfn.CONCAT(PROPER(TEXT(AB1371,"aaaa"))," ",PROPER(TEXT(AB1371,"mm")))</f>
        <v>2025 04</v>
      </c>
      <c r="AG1371" s="8" t="str" cm="1">
        <f t="array" ref="AG1371">IFERROR(_xlfn.IFS('Banco de Dados'!#REF!="AG. COMPRA","Em processamento",'Banco de Dados'!#REF!="AG. RASTREIO","Em processamento",'Banco de Dados'!$AE1371&lt;&gt;"-","Faturado",'Banco de Dados'!$AD1371&lt;&gt;"-","Aguardando Pix",'Banco de Dados'!$AC1371&lt;&gt;"-","Pendente"),"Aguardando Liberação")</f>
        <v>Aguardando Liberação</v>
      </c>
      <c r="AH1371" s="5" t="str">
        <f>IF('Banco de Dados'!$F1371="-",_xlfn.CONCAT(PROPER(TEXT(AK1371,"aaaa"))," ",PROPER(TEXT(AK1371,"mm"))),_xlfn.CONCAT(PROPER(TEXT(E1371,"aaaa"))," ",PROPER(TEXT(E1371,"mm"))))</f>
        <v>2025 03</v>
      </c>
      <c r="AI1371" s="9" t="str">
        <f ca="1">IF('Banco de Dados'!$AK1371&lt;&gt;"-","REEMBOLSO",IFERROR(_xlfn.XLOOKUP(G1371,Follow[CODRASTREIO],Follow[STATUS]),"-"))</f>
        <v>ENTREGUE</v>
      </c>
      <c r="AJ1371" s="9">
        <f ca="1">IF('Banco de Dados'!$AI1371="ENTREGUE",_xlfn.XLOOKUP('Banco de Dados'!$G1371,Follow[CODRASTREIO],Follow[DATAATUALIZAÇÃO]),"-")</f>
        <v>45756</v>
      </c>
      <c r="AK1371" s="132" t="str">
        <f ca="1"/>
        <v>-</v>
      </c>
      <c r="AL1371" s="35"/>
      <c r="AM1371" s="109" cm="1">
        <f t="array" aca="1" ref="AM1371" ca="1">IF('Banco de Dados'!$AK1371&lt;&gt;"-",_xlfn.IFS('Banco de Dados'!$A1371="bv",IF('Banco de Dados'!$E1371&lt;45641,ROUND(SUM('Banco de Dados'!$R1371*_xlfn.XLOOKUP('Banco de Dados'!$P1371,Sku!B:B,Sku!#REF!)*20%),2),ROUND(SUM('Banco de Dados'!$R1371*_xlfn.XLOOKUP('Banco de Dados'!$P1371,Sku!B:B,Sku!H:H)*20%),2)),'Banco de Dados'!$A1371="GO",ROUND(SUM('Banco de Dados'!$R1371*_xlfn.XLOOKUP('Banco de Dados'!$P1371,Sku!C:C,Sku!H:H)*20%),2),'Banco de Dados'!$A1371="MEI",ROUND(SUM('Banco de Dados'!$R1371*_xlfn.XLOOKUP('Banco de Dados'!$P1371,Sku!D:D,Sku!H:H)*20%),2)),0)</f>
        <v>0</v>
      </c>
      <c r="AN1371" s="109">
        <f ca="1">IF('Banco de Dados'!$AK1371&lt;&gt;"-",IF('Banco de Dados'!$F1371&lt;&gt;"-",_xlfn.XLOOKUP(IFERROR(IFERROR(IFERROR(VALUE(SUBSTITUTE(MID(_xlfn.TEXTAFTER('Banco de Dados'!$F1371,"Data do Pedido:
",1),1,10),"-","/")),VALUE(SUBSTITUTE(MID(_xlfn.TEXTAFTER('Banco de Dados'!$F1371,"Order date:
",1),1,10),"-","/"))),VALUE(SUBSTITUTE(MID(_xlfn.TEXTAFTER('Banco de Dados'!$F1371,"Fecha de pedido:
",1),1,10),"-","/"))),"-"),SMS!A:A,SMS!K:K),0),0)</f>
        <v>0</v>
      </c>
      <c r="AO1371" s="109">
        <f ca="1">IF('Banco de Dados'!$AK1371&lt;&gt;"-",IF('Banco de Dados'!$F1371&lt;&gt;"-",IFERROR(_xlfn.XLOOKUP(_xlfn.CONCAT('Banco de Dados'!$A1371,IFERROR(IFERROR(VALUE(SUBSTITUTE(MID(_xlfn.TEXTAFTER('Banco de Dados'!$F1371,"Data do Pedido:
",1),1,10),"-","/")),VALUE(SUBSTITUTE(MID(_xlfn.TEXTAFTER('Banco de Dados'!$F1371,"Order date:
",1),1,10),"-","/"))),0)),ProxyDD[Chave],ProxyDD[Valor por pedido]),PROXY!$P$2),0),0)</f>
        <v>0</v>
      </c>
      <c r="AP1371" s="28">
        <f ca="1">IF('Banco de Dados'!$AK1371&lt;&gt;"-",IF('Banco de Dados'!$AL1371="NÃO",IFERROR(VALUE(SUBSTITUTE(_xlfn.TEXTAFTER('Banco de Dados'!$F1371,"BRL ",1),".",",")),0),0),0)</f>
        <v>0</v>
      </c>
      <c r="AQ1371" s="28">
        <f ca="1">SUM('Banco de Dados'!$AM1371:$AP1371)</f>
        <v>0</v>
      </c>
      <c r="AR1371" s="8"/>
      <c r="AY1371" s="8"/>
    </row>
    <row r="1372" spans="1:51">
      <c r="A1372" s="5" t="str">
        <v>MEI</v>
      </c>
      <c r="B1372" s="5" t="str">
        <f ca="1"/>
        <v>MEI45743</v>
      </c>
      <c r="C1372" s="8" t="str">
        <v>Pedido 1359</v>
      </c>
      <c r="D1372" s="187">
        <v>45743</v>
      </c>
      <c r="E1372" s="9">
        <v>45743</v>
      </c>
      <c r="F1372" s="8" t="str">
        <v>PedidoF1302</v>
      </c>
      <c r="G1372" s="2" t="str">
        <v>CódRastreio1300</v>
      </c>
      <c r="H1372" s="5">
        <v>1</v>
      </c>
      <c r="I1372" s="2" t="str">
        <v>CPF 1324</v>
      </c>
      <c r="J1372" s="2" t="str">
        <v>Nome 1324</v>
      </c>
      <c r="K1372" s="8" t="str">
        <v>Tel 1324</v>
      </c>
      <c r="L1372" s="8" t="str">
        <v>Cep 1324</v>
      </c>
      <c r="M1372" s="8" t="str">
        <v>Rua 1324</v>
      </c>
      <c r="N1372" s="8" t="str">
        <v>Comp 1324</v>
      </c>
      <c r="O1372" s="8" t="str">
        <v>Fone de ouvido XT60</v>
      </c>
      <c r="P1372" s="8" t="str">
        <v>FM-VW6E-NXCZ</v>
      </c>
      <c r="Q1372" s="4">
        <v>45764</v>
      </c>
      <c r="R1372" s="109">
        <v>99.77</v>
      </c>
      <c r="S1372" s="11">
        <f ca="1"/>
        <v>99.77</v>
      </c>
      <c r="T1372" s="28">
        <f ca="1"/>
        <v>12.9701</v>
      </c>
      <c r="U1372" s="11">
        <f ca="1"/>
        <v>86.8</v>
      </c>
      <c r="V1372" s="11">
        <v>44.65</v>
      </c>
      <c r="W1372" s="11">
        <f ca="1"/>
        <v>0.2</v>
      </c>
      <c r="X1372" s="11">
        <f ca="1"/>
        <v>0.39877104377104378</v>
      </c>
      <c r="Y1372" s="11">
        <v>0</v>
      </c>
      <c r="Z1372" s="11">
        <f ca="1"/>
        <v>41.551228956228954</v>
      </c>
      <c r="AA1372" s="11">
        <f ca="1"/>
        <v>20.775614478114477</v>
      </c>
      <c r="AB1372" s="4">
        <f ca="1"/>
        <v>45771</v>
      </c>
      <c r="AC1372" s="4">
        <v>45771</v>
      </c>
      <c r="AD1372" s="9">
        <v>45779</v>
      </c>
      <c r="AE1372" s="9">
        <v>45783</v>
      </c>
      <c r="AF1372" s="4" t="str">
        <f t="shared" ca="1" si="89"/>
        <v>2025 04</v>
      </c>
      <c r="AG1372" s="8" t="str" cm="1">
        <f t="array" ref="AG1372">IFERROR(_xlfn.IFS('Banco de Dados'!#REF!="AG. COMPRA","Em processamento",'Banco de Dados'!#REF!="AG. RASTREIO","Em processamento",'Banco de Dados'!$AE1372&lt;&gt;"-","Faturado",'Banco de Dados'!$AD1372&lt;&gt;"-","Aguardando Pix",'Banco de Dados'!$AC1372&lt;&gt;"-","Pendente"),"Aguardando Liberação")</f>
        <v>Aguardando Liberação</v>
      </c>
      <c r="AH1372" s="5" t="str">
        <f>IF('Banco de Dados'!$F1372="-",_xlfn.CONCAT(PROPER(TEXT(AK1372,"aaaa"))," ",PROPER(TEXT(AK1372,"mm"))),_xlfn.CONCAT(PROPER(TEXT(E1372,"aaaa"))," ",PROPER(TEXT(E1372,"mm"))))</f>
        <v>2025 03</v>
      </c>
      <c r="AI1372" s="9" t="str">
        <f ca="1">IF('Banco de Dados'!$AK1372&lt;&gt;"-","REEMBOLSO",IFERROR(_xlfn.XLOOKUP(G1372,Follow[CODRASTREIO],Follow[STATUS]),"-"))</f>
        <v>ENTREGUE</v>
      </c>
      <c r="AJ1372" s="9">
        <f ca="1">IF('Banco de Dados'!$AI1372="ENTREGUE",_xlfn.XLOOKUP('Banco de Dados'!$G1372,Follow[CODRASTREIO],Follow[DATAATUALIZAÇÃO]),"-")</f>
        <v>45754</v>
      </c>
      <c r="AK1372" s="132" t="str">
        <f ca="1"/>
        <v>-</v>
      </c>
      <c r="AL1372" s="35"/>
      <c r="AM1372" s="109" cm="1">
        <f t="array" aca="1" ref="AM1372" ca="1">IF('Banco de Dados'!$AK1372&lt;&gt;"-",_xlfn.IFS('Banco de Dados'!$A1372="bv",IF('Banco de Dados'!$E1372&lt;45641,ROUND(SUM('Banco de Dados'!$R1372*_xlfn.XLOOKUP('Banco de Dados'!$P1372,Sku!B:B,Sku!#REF!)*20%),2),ROUND(SUM('Banco de Dados'!$R1372*_xlfn.XLOOKUP('Banco de Dados'!$P1372,Sku!B:B,Sku!H:H)*20%),2)),'Banco de Dados'!$A1372="GO",ROUND(SUM('Banco de Dados'!$R1372*_xlfn.XLOOKUP('Banco de Dados'!$P1372,Sku!C:C,Sku!H:H)*20%),2),'Banco de Dados'!$A1372="MEI",ROUND(SUM('Banco de Dados'!$R1372*_xlfn.XLOOKUP('Banco de Dados'!$P1372,Sku!D:D,Sku!H:H)*20%),2)),0)</f>
        <v>0</v>
      </c>
      <c r="AN1372" s="109">
        <f ca="1">IF('Banco de Dados'!$AK1372&lt;&gt;"-",IF('Banco de Dados'!$F1372&lt;&gt;"-",_xlfn.XLOOKUP(IFERROR(IFERROR(IFERROR(VALUE(SUBSTITUTE(MID(_xlfn.TEXTAFTER('Banco de Dados'!$F1372,"Data do Pedido:
",1),1,10),"-","/")),VALUE(SUBSTITUTE(MID(_xlfn.TEXTAFTER('Banco de Dados'!$F1372,"Order date:
",1),1,10),"-","/"))),VALUE(SUBSTITUTE(MID(_xlfn.TEXTAFTER('Banco de Dados'!$F1372,"Fecha de pedido:
",1),1,10),"-","/"))),"-"),SMS!A:A,SMS!K:K),0),0)</f>
        <v>0</v>
      </c>
      <c r="AO1372" s="109">
        <f ca="1">IF('Banco de Dados'!$AK1372&lt;&gt;"-",IF('Banco de Dados'!$F1372&lt;&gt;"-",IFERROR(_xlfn.XLOOKUP(_xlfn.CONCAT('Banco de Dados'!$A1372,IFERROR(IFERROR(VALUE(SUBSTITUTE(MID(_xlfn.TEXTAFTER('Banco de Dados'!$F1372,"Data do Pedido:
",1),1,10),"-","/")),VALUE(SUBSTITUTE(MID(_xlfn.TEXTAFTER('Banco de Dados'!$F1372,"Order date:
",1),1,10),"-","/"))),0)),ProxyDD[Chave],ProxyDD[Valor por pedido]),PROXY!$P$2),0),0)</f>
        <v>0</v>
      </c>
      <c r="AP1372" s="28">
        <f ca="1">IF('Banco de Dados'!$AK1372&lt;&gt;"-",IF('Banco de Dados'!$AL1372="NÃO",IFERROR(VALUE(SUBSTITUTE(_xlfn.TEXTAFTER('Banco de Dados'!$F1372,"BRL ",1),".",",")),0),0),0)</f>
        <v>0</v>
      </c>
      <c r="AQ1372" s="28">
        <f ca="1">SUM('Banco de Dados'!$AM1372:$AP1372)</f>
        <v>0</v>
      </c>
      <c r="AR1372" s="8"/>
      <c r="AY1372" s="8"/>
    </row>
    <row r="1373" spans="1:51">
      <c r="A1373" s="5" t="str">
        <v>MEI</v>
      </c>
      <c r="B1373" s="5" t="str">
        <f ca="1"/>
        <v>MEI45743</v>
      </c>
      <c r="C1373" s="8" t="str">
        <v>Pedido 1360</v>
      </c>
      <c r="D1373" s="187">
        <v>45743</v>
      </c>
      <c r="E1373" s="9">
        <v>45743</v>
      </c>
      <c r="F1373" s="8" t="str">
        <v>PedidoF1303</v>
      </c>
      <c r="G1373" s="2" t="str">
        <v>CódRastreio1301</v>
      </c>
      <c r="H1373" s="5">
        <v>1</v>
      </c>
      <c r="I1373" s="2" t="str">
        <v>CPF 1325</v>
      </c>
      <c r="J1373" s="2" t="str">
        <v>Nome 1325</v>
      </c>
      <c r="K1373" s="8" t="str">
        <v>Tel 1325</v>
      </c>
      <c r="L1373" s="8" t="str">
        <v>Cep 1325</v>
      </c>
      <c r="M1373" s="8" t="str">
        <v>Rua 1325</v>
      </c>
      <c r="N1373" s="8" t="str">
        <v>Comp 1325</v>
      </c>
      <c r="O1373" s="8" t="str">
        <v>Ventilador Rosa</v>
      </c>
      <c r="P1373" s="8" t="str">
        <v>WR-82Y0-OV27</v>
      </c>
      <c r="Q1373" s="4">
        <v>45772</v>
      </c>
      <c r="R1373" s="109">
        <v>59.69</v>
      </c>
      <c r="S1373" s="11">
        <f ca="1"/>
        <v>59.69</v>
      </c>
      <c r="T1373" s="28">
        <f ca="1"/>
        <v>7.1627999999999998</v>
      </c>
      <c r="U1373" s="11">
        <f ca="1"/>
        <v>52.53</v>
      </c>
      <c r="V1373" s="11">
        <v>17.440000000000001</v>
      </c>
      <c r="W1373" s="11">
        <f ca="1"/>
        <v>0.2</v>
      </c>
      <c r="X1373" s="11">
        <f ca="1"/>
        <v>0.39877104377104378</v>
      </c>
      <c r="Y1373" s="11">
        <v>0</v>
      </c>
      <c r="Z1373" s="11">
        <f ca="1"/>
        <v>34.491228956228952</v>
      </c>
      <c r="AA1373" s="11">
        <f ca="1"/>
        <v>17.245614478114476</v>
      </c>
      <c r="AB1373" s="4">
        <f ca="1"/>
        <v>45779</v>
      </c>
      <c r="AC1373" s="4">
        <v>45779</v>
      </c>
      <c r="AD1373" s="9">
        <v>45779</v>
      </c>
      <c r="AE1373" s="9">
        <v>45783</v>
      </c>
      <c r="AF1373" s="4" t="str">
        <f t="shared" ca="1" si="89"/>
        <v>2025 05</v>
      </c>
      <c r="AG1373" s="8" t="str" cm="1">
        <f t="array" ref="AG1373">IFERROR(_xlfn.IFS('Banco de Dados'!#REF!="AG. COMPRA","Em processamento",'Banco de Dados'!#REF!="AG. RASTREIO","Em processamento",'Banco de Dados'!$AE1373&lt;&gt;"-","Faturado",'Banco de Dados'!$AD1373&lt;&gt;"-","Aguardando Pix",'Banco de Dados'!$AC1373&lt;&gt;"-","Pendente"),"Aguardando Liberação")</f>
        <v>Aguardando Liberação</v>
      </c>
      <c r="AH1373" s="5" t="str">
        <f>IF('Banco de Dados'!$F1373="-",_xlfn.CONCAT(PROPER(TEXT(AK1373,"aaaa"))," ",PROPER(TEXT(AK1373,"mm"))),_xlfn.CONCAT(PROPER(TEXT(E1373,"aaaa"))," ",PROPER(TEXT(E1373,"mm"))))</f>
        <v>2025 03</v>
      </c>
      <c r="AI1373" s="9" t="str">
        <f ca="1">IF('Banco de Dados'!$AK1373&lt;&gt;"-","REEMBOLSO",IFERROR(_xlfn.XLOOKUP(G1373,Follow[CODRASTREIO],Follow[STATUS]),"-"))</f>
        <v>ENTREGUE</v>
      </c>
      <c r="AJ1373" s="9">
        <f ca="1">IF('Banco de Dados'!$AI1373="ENTREGUE",_xlfn.XLOOKUP('Banco de Dados'!$G1373,Follow[CODRASTREIO],Follow[DATAATUALIZAÇÃO]),"-")</f>
        <v>45757</v>
      </c>
      <c r="AK1373" s="132" t="str">
        <f ca="1"/>
        <v>-</v>
      </c>
      <c r="AL1373" s="35"/>
      <c r="AM1373" s="109" cm="1">
        <f t="array" aca="1" ref="AM1373" ca="1">IF('Banco de Dados'!$AK1373&lt;&gt;"-",_xlfn.IFS('Banco de Dados'!$A1373="bv",IF('Banco de Dados'!$E1373&lt;45641,ROUND(SUM('Banco de Dados'!$R1373*_xlfn.XLOOKUP('Banco de Dados'!$P1373,Sku!B:B,Sku!#REF!)*20%),2),ROUND(SUM('Banco de Dados'!$R1373*_xlfn.XLOOKUP('Banco de Dados'!$P1373,Sku!B:B,Sku!H:H)*20%),2)),'Banco de Dados'!$A1373="GO",ROUND(SUM('Banco de Dados'!$R1373*_xlfn.XLOOKUP('Banco de Dados'!$P1373,Sku!C:C,Sku!H:H)*20%),2),'Banco de Dados'!$A1373="MEI",ROUND(SUM('Banco de Dados'!$R1373*_xlfn.XLOOKUP('Banco de Dados'!$P1373,Sku!D:D,Sku!H:H)*20%),2)),0)</f>
        <v>0</v>
      </c>
      <c r="AN1373" s="109">
        <f ca="1">IF('Banco de Dados'!$AK1373&lt;&gt;"-",IF('Banco de Dados'!$F1373&lt;&gt;"-",_xlfn.XLOOKUP(IFERROR(IFERROR(IFERROR(VALUE(SUBSTITUTE(MID(_xlfn.TEXTAFTER('Banco de Dados'!$F1373,"Data do Pedido:
",1),1,10),"-","/")),VALUE(SUBSTITUTE(MID(_xlfn.TEXTAFTER('Banco de Dados'!$F1373,"Order date:
",1),1,10),"-","/"))),VALUE(SUBSTITUTE(MID(_xlfn.TEXTAFTER('Banco de Dados'!$F1373,"Fecha de pedido:
",1),1,10),"-","/"))),"-"),SMS!A:A,SMS!K:K),0),0)</f>
        <v>0</v>
      </c>
      <c r="AO1373" s="109">
        <f ca="1">IF('Banco de Dados'!$AK1373&lt;&gt;"-",IF('Banco de Dados'!$F1373&lt;&gt;"-",IFERROR(_xlfn.XLOOKUP(_xlfn.CONCAT('Banco de Dados'!$A1373,IFERROR(IFERROR(VALUE(SUBSTITUTE(MID(_xlfn.TEXTAFTER('Banco de Dados'!$F1373,"Data do Pedido:
",1),1,10),"-","/")),VALUE(SUBSTITUTE(MID(_xlfn.TEXTAFTER('Banco de Dados'!$F1373,"Order date:
",1),1,10),"-","/"))),0)),ProxyDD[Chave],ProxyDD[Valor por pedido]),PROXY!$P$2),0),0)</f>
        <v>0</v>
      </c>
      <c r="AP1373" s="28">
        <f ca="1">IF('Banco de Dados'!$AK1373&lt;&gt;"-",IF('Banco de Dados'!$AL1373="NÃO",IFERROR(VALUE(SUBSTITUTE(_xlfn.TEXTAFTER('Banco de Dados'!$F1373,"BRL ",1),".",",")),0),0),0)</f>
        <v>0</v>
      </c>
      <c r="AQ1373" s="28">
        <f ca="1">SUM('Banco de Dados'!$AM1373:$AP1373)</f>
        <v>0</v>
      </c>
      <c r="AR1373" s="8"/>
      <c r="AY1373" s="8"/>
    </row>
    <row r="1374" spans="1:51">
      <c r="A1374" s="5" t="str">
        <v>MEI</v>
      </c>
      <c r="B1374" s="5" t="str">
        <f ca="1"/>
        <v>MEI45743</v>
      </c>
      <c r="C1374" s="8" t="str">
        <v>Pedido 1361</v>
      </c>
      <c r="D1374" s="187">
        <v>45743</v>
      </c>
      <c r="E1374" s="9">
        <v>45743</v>
      </c>
      <c r="F1374" s="8" t="str">
        <v>PedidoF1304</v>
      </c>
      <c r="G1374" s="2" t="str">
        <v>CódRastreio1302</v>
      </c>
      <c r="H1374" s="5">
        <v>1</v>
      </c>
      <c r="I1374" s="2" t="str">
        <v>CPF 1326</v>
      </c>
      <c r="J1374" s="2" t="str">
        <v>Nome 1326</v>
      </c>
      <c r="K1374" s="8" t="str">
        <v>Tel 1326</v>
      </c>
      <c r="L1374" s="8" t="str">
        <v>Cep 1326</v>
      </c>
      <c r="M1374" s="8" t="str">
        <v>Rua 1326</v>
      </c>
      <c r="N1374" s="8" t="str">
        <v>Comp 1326</v>
      </c>
      <c r="O1374" s="8" t="str">
        <v>Ventilador Umidificador Preto</v>
      </c>
      <c r="P1374" s="8" t="str">
        <v>71-KHMZ-MLQW</v>
      </c>
      <c r="Q1374" s="4">
        <v>45772</v>
      </c>
      <c r="R1374" s="109">
        <v>53</v>
      </c>
      <c r="S1374" s="11">
        <f ca="1"/>
        <v>53</v>
      </c>
      <c r="T1374" s="28">
        <f ca="1"/>
        <v>5.83</v>
      </c>
      <c r="U1374" s="11">
        <f ca="1"/>
        <v>47.17</v>
      </c>
      <c r="V1374" s="11">
        <v>21.66</v>
      </c>
      <c r="W1374" s="11">
        <f ca="1"/>
        <v>0.2</v>
      </c>
      <c r="X1374" s="11">
        <f ca="1"/>
        <v>0.39877104377104378</v>
      </c>
      <c r="Y1374" s="11">
        <v>0</v>
      </c>
      <c r="Z1374" s="11">
        <f ca="1"/>
        <v>24.911228956228957</v>
      </c>
      <c r="AA1374" s="11">
        <f ca="1"/>
        <v>12.455614478114478</v>
      </c>
      <c r="AB1374" s="4">
        <f ca="1"/>
        <v>45779</v>
      </c>
      <c r="AC1374" s="4">
        <v>45779</v>
      </c>
      <c r="AD1374" s="9">
        <v>45779</v>
      </c>
      <c r="AE1374" s="9">
        <v>45783</v>
      </c>
      <c r="AF1374" s="4" t="str">
        <f t="shared" ca="1" si="89"/>
        <v>2025 05</v>
      </c>
      <c r="AG1374" s="8" t="str" cm="1">
        <f t="array" ref="AG1374">IFERROR(_xlfn.IFS('Banco de Dados'!#REF!="AG. COMPRA","Em processamento",'Banco de Dados'!#REF!="AG. RASTREIO","Em processamento",'Banco de Dados'!$AE1374&lt;&gt;"-","Faturado",'Banco de Dados'!$AD1374&lt;&gt;"-","Aguardando Pix",'Banco de Dados'!$AC1374&lt;&gt;"-","Pendente"),"Aguardando Liberação")</f>
        <v>Aguardando Liberação</v>
      </c>
      <c r="AH1374" s="5" t="str">
        <f>IF('Banco de Dados'!$F1374="-",_xlfn.CONCAT(PROPER(TEXT(AK1374,"aaaa"))," ",PROPER(TEXT(AK1374,"mm"))),_xlfn.CONCAT(PROPER(TEXT(E1374,"aaaa"))," ",PROPER(TEXT(E1374,"mm"))))</f>
        <v>2025 03</v>
      </c>
      <c r="AI1374" s="9" t="str">
        <f ca="1">IF('Banco de Dados'!$AK1374&lt;&gt;"-","REEMBOLSO",IFERROR(_xlfn.XLOOKUP(G1374,Follow[CODRASTREIO],Follow[STATUS]),"-"))</f>
        <v>ENTREGUE</v>
      </c>
      <c r="AJ1374" s="9">
        <f ca="1">IF('Banco de Dados'!$AI1374="ENTREGUE",_xlfn.XLOOKUP('Banco de Dados'!$G1374,Follow[CODRASTREIO],Follow[DATAATUALIZAÇÃO]),"-")</f>
        <v>45755</v>
      </c>
      <c r="AK1374" s="132" t="str">
        <f ca="1"/>
        <v>-</v>
      </c>
      <c r="AL1374" s="35"/>
      <c r="AM1374" s="109" cm="1">
        <f t="array" aca="1" ref="AM1374" ca="1">IF('Banco de Dados'!$AK1374&lt;&gt;"-",_xlfn.IFS('Banco de Dados'!$A1374="bv",IF('Banco de Dados'!$E1374&lt;45641,ROUND(SUM('Banco de Dados'!$R1374*_xlfn.XLOOKUP('Banco de Dados'!$P1374,Sku!B:B,Sku!#REF!)*20%),2),ROUND(SUM('Banco de Dados'!$R1374*_xlfn.XLOOKUP('Banco de Dados'!$P1374,Sku!B:B,Sku!H:H)*20%),2)),'Banco de Dados'!$A1374="GO",ROUND(SUM('Banco de Dados'!$R1374*_xlfn.XLOOKUP('Banco de Dados'!$P1374,Sku!C:C,Sku!H:H)*20%),2),'Banco de Dados'!$A1374="MEI",ROUND(SUM('Banco de Dados'!$R1374*_xlfn.XLOOKUP('Banco de Dados'!$P1374,Sku!D:D,Sku!H:H)*20%),2)),0)</f>
        <v>0</v>
      </c>
      <c r="AN1374" s="109">
        <f ca="1">IF('Banco de Dados'!$AK1374&lt;&gt;"-",IF('Banco de Dados'!$F1374&lt;&gt;"-",_xlfn.XLOOKUP(IFERROR(IFERROR(IFERROR(VALUE(SUBSTITUTE(MID(_xlfn.TEXTAFTER('Banco de Dados'!$F1374,"Data do Pedido:
",1),1,10),"-","/")),VALUE(SUBSTITUTE(MID(_xlfn.TEXTAFTER('Banco de Dados'!$F1374,"Order date:
",1),1,10),"-","/"))),VALUE(SUBSTITUTE(MID(_xlfn.TEXTAFTER('Banco de Dados'!$F1374,"Fecha de pedido:
",1),1,10),"-","/"))),"-"),SMS!A:A,SMS!K:K),0),0)</f>
        <v>0</v>
      </c>
      <c r="AO1374" s="109">
        <f ca="1">IF('Banco de Dados'!$AK1374&lt;&gt;"-",IF('Banco de Dados'!$F1374&lt;&gt;"-",IFERROR(_xlfn.XLOOKUP(_xlfn.CONCAT('Banco de Dados'!$A1374,IFERROR(IFERROR(VALUE(SUBSTITUTE(MID(_xlfn.TEXTAFTER('Banco de Dados'!$F1374,"Data do Pedido:
",1),1,10),"-","/")),VALUE(SUBSTITUTE(MID(_xlfn.TEXTAFTER('Banco de Dados'!$F1374,"Order date:
",1),1,10),"-","/"))),0)),ProxyDD[Chave],ProxyDD[Valor por pedido]),PROXY!$P$2),0),0)</f>
        <v>0</v>
      </c>
      <c r="AP1374" s="28">
        <f ca="1">IF('Banco de Dados'!$AK1374&lt;&gt;"-",IF('Banco de Dados'!$AL1374="NÃO",IFERROR(VALUE(SUBSTITUTE(_xlfn.TEXTAFTER('Banco de Dados'!$F1374,"BRL ",1),".",",")),0),0),0)</f>
        <v>0</v>
      </c>
      <c r="AQ1374" s="28">
        <f ca="1">SUM('Banco de Dados'!$AM1374:$AP1374)</f>
        <v>0</v>
      </c>
      <c r="AR1374" s="8"/>
      <c r="AY1374" s="8"/>
    </row>
    <row r="1375" spans="1:51">
      <c r="A1375" s="5" t="str">
        <v>MEI</v>
      </c>
      <c r="B1375" s="5" t="str">
        <f ca="1"/>
        <v>MEI45744</v>
      </c>
      <c r="C1375" s="8" t="str">
        <v>Pedido 1362</v>
      </c>
      <c r="D1375" s="187">
        <v>45744</v>
      </c>
      <c r="E1375" s="9">
        <v>45744</v>
      </c>
      <c r="F1375" s="8" t="str">
        <v>PedidoF1305</v>
      </c>
      <c r="G1375" s="2" t="str">
        <v>CódRastreio1303</v>
      </c>
      <c r="H1375" s="5">
        <v>1</v>
      </c>
      <c r="I1375" s="2" t="str">
        <v>CPF 1327</v>
      </c>
      <c r="J1375" s="2" t="str">
        <v>Nome 1327</v>
      </c>
      <c r="K1375" s="8" t="str">
        <v>Tel 1327</v>
      </c>
      <c r="L1375" s="8" t="str">
        <v>Cep 1327</v>
      </c>
      <c r="M1375" s="8" t="str">
        <v>Rua 1327</v>
      </c>
      <c r="N1375" s="8" t="str">
        <v>Comp 1327</v>
      </c>
      <c r="O1375" s="8" t="str">
        <v>Garrafa Termica</v>
      </c>
      <c r="P1375" s="8" t="str">
        <v>LF-R6MC-WKWP</v>
      </c>
      <c r="Q1375" s="4">
        <v>45765</v>
      </c>
      <c r="R1375" s="109">
        <v>32.67</v>
      </c>
      <c r="S1375" s="11">
        <f ca="1"/>
        <v>32.67</v>
      </c>
      <c r="T1375" s="28">
        <f ca="1"/>
        <v>3.9203999999999999</v>
      </c>
      <c r="U1375" s="11">
        <f ca="1"/>
        <v>28.75</v>
      </c>
      <c r="V1375" s="11">
        <v>17.899999999999999</v>
      </c>
      <c r="W1375" s="11">
        <f ca="1"/>
        <v>0.2</v>
      </c>
      <c r="X1375" s="11">
        <f ca="1"/>
        <v>0.39877104377104378</v>
      </c>
      <c r="Y1375" s="11">
        <v>0</v>
      </c>
      <c r="Z1375" s="11">
        <f ca="1"/>
        <v>10.251228956228957</v>
      </c>
      <c r="AA1375" s="11">
        <f ca="1"/>
        <v>5.1256144781144783</v>
      </c>
      <c r="AB1375" s="4">
        <f ca="1"/>
        <v>45772</v>
      </c>
      <c r="AC1375" s="4">
        <v>45772</v>
      </c>
      <c r="AD1375" s="9">
        <v>45779</v>
      </c>
      <c r="AE1375" s="9">
        <v>45783</v>
      </c>
      <c r="AF1375" s="4" t="str">
        <f t="shared" ref="AF1375:AF1376" ca="1" si="90">_xlfn.CONCAT(PROPER(TEXT(AB1375,"aaaa"))," ",PROPER(TEXT(AB1375,"mm")))</f>
        <v>2025 04</v>
      </c>
      <c r="AG1375" s="8" t="str" cm="1">
        <f t="array" ref="AG1375">IFERROR(_xlfn.IFS('Banco de Dados'!#REF!="AG. COMPRA","Em processamento",'Banco de Dados'!#REF!="AG. RASTREIO","Em processamento",'Banco de Dados'!$AE1375&lt;&gt;"-","Faturado",'Banco de Dados'!$AD1375&lt;&gt;"-","Aguardando Pix",'Banco de Dados'!$AC1375&lt;&gt;"-","Pendente"),"Aguardando Liberação")</f>
        <v>Aguardando Liberação</v>
      </c>
      <c r="AH1375" s="5" t="str">
        <f>IF('Banco de Dados'!$F1375="-",_xlfn.CONCAT(PROPER(TEXT(AK1375,"aaaa"))," ",PROPER(TEXT(AK1375,"mm"))),_xlfn.CONCAT(PROPER(TEXT(E1375,"aaaa"))," ",PROPER(TEXT(E1375,"mm"))))</f>
        <v>2025 03</v>
      </c>
      <c r="AI1375" s="9" t="str">
        <f ca="1">IF('Banco de Dados'!$AK1375&lt;&gt;"-","REEMBOLSO",IFERROR(_xlfn.XLOOKUP(G1375,Follow[CODRASTREIO],Follow[STATUS]),"-"))</f>
        <v>ENTREGUE</v>
      </c>
      <c r="AJ1375" s="9">
        <f ca="1">IF('Banco de Dados'!$AI1375="ENTREGUE",_xlfn.XLOOKUP('Banco de Dados'!$G1375,Follow[CODRASTREIO],Follow[DATAATUALIZAÇÃO]),"-")</f>
        <v>45756</v>
      </c>
      <c r="AK1375" s="132" t="str">
        <f ca="1"/>
        <v>-</v>
      </c>
      <c r="AL1375" s="35"/>
      <c r="AM1375" s="109" cm="1">
        <f t="array" aca="1" ref="AM1375" ca="1">IF('Banco de Dados'!$AK1375&lt;&gt;"-",_xlfn.IFS('Banco de Dados'!$A1375="bv",IF('Banco de Dados'!$E1375&lt;45641,ROUND(SUM('Banco de Dados'!$R1375*_xlfn.XLOOKUP('Banco de Dados'!$P1375,Sku!B:B,Sku!#REF!)*20%),2),ROUND(SUM('Banco de Dados'!$R1375*_xlfn.XLOOKUP('Banco de Dados'!$P1375,Sku!B:B,Sku!H:H)*20%),2)),'Banco de Dados'!$A1375="GO",ROUND(SUM('Banco de Dados'!$R1375*_xlfn.XLOOKUP('Banco de Dados'!$P1375,Sku!C:C,Sku!H:H)*20%),2),'Banco de Dados'!$A1375="MEI",ROUND(SUM('Banco de Dados'!$R1375*_xlfn.XLOOKUP('Banco de Dados'!$P1375,Sku!D:D,Sku!H:H)*20%),2)),0)</f>
        <v>0</v>
      </c>
      <c r="AN1375" s="109">
        <f ca="1">IF('Banco de Dados'!$AK1375&lt;&gt;"-",IF('Banco de Dados'!$F1375&lt;&gt;"-",_xlfn.XLOOKUP(IFERROR(IFERROR(IFERROR(VALUE(SUBSTITUTE(MID(_xlfn.TEXTAFTER('Banco de Dados'!$F1375,"Data do Pedido:
",1),1,10),"-","/")),VALUE(SUBSTITUTE(MID(_xlfn.TEXTAFTER('Banco de Dados'!$F1375,"Order date:
",1),1,10),"-","/"))),VALUE(SUBSTITUTE(MID(_xlfn.TEXTAFTER('Banco de Dados'!$F1375,"Fecha de pedido:
",1),1,10),"-","/"))),"-"),SMS!A:A,SMS!K:K),0),0)</f>
        <v>0</v>
      </c>
      <c r="AO1375" s="109">
        <f ca="1">IF('Banco de Dados'!$AK1375&lt;&gt;"-",IF('Banco de Dados'!$F1375&lt;&gt;"-",IFERROR(_xlfn.XLOOKUP(_xlfn.CONCAT('Banco de Dados'!$A1375,IFERROR(IFERROR(VALUE(SUBSTITUTE(MID(_xlfn.TEXTAFTER('Banco de Dados'!$F1375,"Data do Pedido:
",1),1,10),"-","/")),VALUE(SUBSTITUTE(MID(_xlfn.TEXTAFTER('Banco de Dados'!$F1375,"Order date:
",1),1,10),"-","/"))),0)),ProxyDD[Chave],ProxyDD[Valor por pedido]),PROXY!$P$2),0),0)</f>
        <v>0</v>
      </c>
      <c r="AP1375" s="28">
        <f ca="1">IF('Banco de Dados'!$AK1375&lt;&gt;"-",IF('Banco de Dados'!$AL1375="NÃO",IFERROR(VALUE(SUBSTITUTE(_xlfn.TEXTAFTER('Banco de Dados'!$F1375,"BRL ",1),".",",")),0),0),0)</f>
        <v>0</v>
      </c>
      <c r="AQ1375" s="28">
        <f ca="1">SUM('Banco de Dados'!$AM1375:$AP1375)</f>
        <v>0</v>
      </c>
      <c r="AR1375" s="8"/>
      <c r="AY1375" s="8"/>
    </row>
    <row r="1376" spans="1:51">
      <c r="A1376" s="5" t="str">
        <v>MEI</v>
      </c>
      <c r="B1376" s="5" t="str">
        <f ca="1"/>
        <v>MEI45746</v>
      </c>
      <c r="C1376" s="8" t="str">
        <v>Pedido 1363</v>
      </c>
      <c r="D1376" s="187">
        <v>45744</v>
      </c>
      <c r="E1376" s="9">
        <v>45746</v>
      </c>
      <c r="F1376" s="8" t="str">
        <v>PedidoF1306</v>
      </c>
      <c r="G1376" s="2" t="str">
        <v>CódRastreio1304</v>
      </c>
      <c r="H1376" s="5">
        <v>1</v>
      </c>
      <c r="I1376" s="2" t="str">
        <v>CPF 1327</v>
      </c>
      <c r="J1376" s="2" t="str">
        <v>Nome 1327</v>
      </c>
      <c r="K1376" s="8" t="str">
        <v>Tel 1327</v>
      </c>
      <c r="L1376" s="8" t="str">
        <v>Cep 1327</v>
      </c>
      <c r="M1376" s="8" t="str">
        <v>Rua 1327</v>
      </c>
      <c r="N1376" s="8" t="str">
        <v>Comp 1327</v>
      </c>
      <c r="O1376" s="8" t="str">
        <v>Garrafa Termica</v>
      </c>
      <c r="P1376" s="8" t="str">
        <v>LF-R6MC-WKWP</v>
      </c>
      <c r="Q1376" s="4">
        <v>45765</v>
      </c>
      <c r="R1376" s="109">
        <v>32.67</v>
      </c>
      <c r="S1376" s="11">
        <f ca="1"/>
        <v>32.67</v>
      </c>
      <c r="T1376" s="28">
        <f ca="1"/>
        <v>3.9203999999999999</v>
      </c>
      <c r="U1376" s="11">
        <f ca="1"/>
        <v>28.75</v>
      </c>
      <c r="V1376" s="11">
        <v>13.3</v>
      </c>
      <c r="W1376" s="11">
        <f ca="1"/>
        <v>0.35</v>
      </c>
      <c r="X1376" s="11">
        <f ca="1"/>
        <v>0.39877104377104378</v>
      </c>
      <c r="Y1376" s="11">
        <v>0</v>
      </c>
      <c r="Z1376" s="11">
        <f ca="1"/>
        <v>14.701228956228956</v>
      </c>
      <c r="AA1376" s="11">
        <f ca="1"/>
        <v>7.350614478114478</v>
      </c>
      <c r="AB1376" s="4">
        <f ca="1"/>
        <v>45772</v>
      </c>
      <c r="AC1376" s="4">
        <v>45772</v>
      </c>
      <c r="AD1376" s="9">
        <v>45779</v>
      </c>
      <c r="AE1376" s="9">
        <v>45783</v>
      </c>
      <c r="AF1376" s="4" t="str">
        <f t="shared" ca="1" si="90"/>
        <v>2025 04</v>
      </c>
      <c r="AG1376" s="8" t="str" cm="1">
        <f t="array" ref="AG1376">IFERROR(_xlfn.IFS('Banco de Dados'!#REF!="AG. COMPRA","Em processamento",'Banco de Dados'!#REF!="AG. RASTREIO","Em processamento",'Banco de Dados'!$AE1376&lt;&gt;"-","Faturado",'Banco de Dados'!$AD1376&lt;&gt;"-","Aguardando Pix",'Banco de Dados'!$AC1376&lt;&gt;"-","Pendente"),"Aguardando Liberação")</f>
        <v>Aguardando Liberação</v>
      </c>
      <c r="AH1376" s="5" t="str">
        <f>IF('Banco de Dados'!$F1376="-",_xlfn.CONCAT(PROPER(TEXT(AK1376,"aaaa"))," ",PROPER(TEXT(AK1376,"mm"))),_xlfn.CONCAT(PROPER(TEXT(E1376,"aaaa"))," ",PROPER(TEXT(E1376,"mm"))))</f>
        <v>2025 03</v>
      </c>
      <c r="AI1376" s="9" t="str">
        <f ca="1">IF('Banco de Dados'!$AK1376&lt;&gt;"-","REEMBOLSO",IFERROR(_xlfn.XLOOKUP(G1376,Follow[CODRASTREIO],Follow[STATUS]),"-"))</f>
        <v>ENTREGUE</v>
      </c>
      <c r="AJ1376" s="9">
        <f ca="1">IF('Banco de Dados'!$AI1376="ENTREGUE",_xlfn.XLOOKUP('Banco de Dados'!$G1376,Follow[CODRASTREIO],Follow[DATAATUALIZAÇÃO]),"-")</f>
        <v>45763</v>
      </c>
      <c r="AK1376" s="132" t="str">
        <f ca="1"/>
        <v>-</v>
      </c>
      <c r="AL1376" s="35"/>
      <c r="AM1376" s="109" cm="1">
        <f t="array" aca="1" ref="AM1376" ca="1">IF('Banco de Dados'!$AK1376&lt;&gt;"-",_xlfn.IFS('Banco de Dados'!$A1376="bv",IF('Banco de Dados'!$E1376&lt;45641,ROUND(SUM('Banco de Dados'!$R1376*_xlfn.XLOOKUP('Banco de Dados'!$P1376,Sku!B:B,Sku!#REF!)*20%),2),ROUND(SUM('Banco de Dados'!$R1376*_xlfn.XLOOKUP('Banco de Dados'!$P1376,Sku!B:B,Sku!H:H)*20%),2)),'Banco de Dados'!$A1376="GO",ROUND(SUM('Banco de Dados'!$R1376*_xlfn.XLOOKUP('Banco de Dados'!$P1376,Sku!C:C,Sku!H:H)*20%),2),'Banco de Dados'!$A1376="MEI",ROUND(SUM('Banco de Dados'!$R1376*_xlfn.XLOOKUP('Banco de Dados'!$P1376,Sku!D:D,Sku!H:H)*20%),2)),0)</f>
        <v>0</v>
      </c>
      <c r="AN1376" s="109">
        <f ca="1">IF('Banco de Dados'!$AK1376&lt;&gt;"-",IF('Banco de Dados'!$F1376&lt;&gt;"-",_xlfn.XLOOKUP(IFERROR(IFERROR(IFERROR(VALUE(SUBSTITUTE(MID(_xlfn.TEXTAFTER('Banco de Dados'!$F1376,"Data do Pedido:
",1),1,10),"-","/")),VALUE(SUBSTITUTE(MID(_xlfn.TEXTAFTER('Banco de Dados'!$F1376,"Order date:
",1),1,10),"-","/"))),VALUE(SUBSTITUTE(MID(_xlfn.TEXTAFTER('Banco de Dados'!$F1376,"Fecha de pedido:
",1),1,10),"-","/"))),"-"),SMS!A:A,SMS!K:K),0),0)</f>
        <v>0</v>
      </c>
      <c r="AO1376" s="109">
        <f ca="1">IF('Banco de Dados'!$AK1376&lt;&gt;"-",IF('Banco de Dados'!$F1376&lt;&gt;"-",IFERROR(_xlfn.XLOOKUP(_xlfn.CONCAT('Banco de Dados'!$A1376,IFERROR(IFERROR(VALUE(SUBSTITUTE(MID(_xlfn.TEXTAFTER('Banco de Dados'!$F1376,"Data do Pedido:
",1),1,10),"-","/")),VALUE(SUBSTITUTE(MID(_xlfn.TEXTAFTER('Banco de Dados'!$F1376,"Order date:
",1),1,10),"-","/"))),0)),ProxyDD[Chave],ProxyDD[Valor por pedido]),PROXY!$P$2),0),0)</f>
        <v>0</v>
      </c>
      <c r="AP1376" s="28">
        <f ca="1">IF('Banco de Dados'!$AK1376&lt;&gt;"-",IF('Banco de Dados'!$AL1376="NÃO",IFERROR(VALUE(SUBSTITUTE(_xlfn.TEXTAFTER('Banco de Dados'!$F1376,"BRL ",1),".",",")),0),0),0)</f>
        <v>0</v>
      </c>
      <c r="AQ1376" s="28">
        <f ca="1">SUM('Banco de Dados'!$AM1376:$AP1376)</f>
        <v>0</v>
      </c>
      <c r="AR1376" s="8"/>
      <c r="AY1376" s="8"/>
    </row>
    <row r="1377" spans="1:51">
      <c r="A1377" s="5" t="str">
        <v>MEI</v>
      </c>
      <c r="B1377" s="5" t="str">
        <f ca="1"/>
        <v>MEI45747</v>
      </c>
      <c r="C1377" s="8" t="str">
        <v>Pedido 1364</v>
      </c>
      <c r="D1377" s="187">
        <v>45745</v>
      </c>
      <c r="E1377" s="9">
        <v>45747</v>
      </c>
      <c r="F1377" s="8" t="str">
        <v>PedidoF1307</v>
      </c>
      <c r="G1377" s="2" t="str">
        <v>CódRastreio1305</v>
      </c>
      <c r="H1377" s="5">
        <v>1</v>
      </c>
      <c r="I1377" s="2" t="str">
        <v>CPF 1328</v>
      </c>
      <c r="J1377" s="2" t="str">
        <v>Nome 1328</v>
      </c>
      <c r="K1377" s="8" t="str">
        <v>Tel 1328</v>
      </c>
      <c r="L1377" s="8" t="str">
        <v>Cep 1328</v>
      </c>
      <c r="M1377" s="8" t="str">
        <v>Rua 1328</v>
      </c>
      <c r="N1377" s="8" t="str">
        <v>Comp 1328</v>
      </c>
      <c r="O1377" s="8" t="str">
        <v>Lampada Led</v>
      </c>
      <c r="P1377" s="8" t="str">
        <v>T1-SWVB-UPOW</v>
      </c>
      <c r="Q1377" s="4">
        <v>45773</v>
      </c>
      <c r="R1377" s="109">
        <v>29.99</v>
      </c>
      <c r="S1377" s="11">
        <f ca="1"/>
        <v>29.99</v>
      </c>
      <c r="T1377" s="28">
        <f ca="1"/>
        <v>3.5987999999999998</v>
      </c>
      <c r="U1377" s="11">
        <f ca="1"/>
        <v>26.39</v>
      </c>
      <c r="V1377" s="11">
        <v>12.73</v>
      </c>
      <c r="W1377" s="11">
        <f ca="1"/>
        <v>0.27</v>
      </c>
      <c r="X1377" s="11">
        <f ca="1"/>
        <v>0.39877104377104378</v>
      </c>
      <c r="Y1377" s="11">
        <v>0</v>
      </c>
      <c r="Z1377" s="11">
        <f ca="1"/>
        <v>12.991228956228957</v>
      </c>
      <c r="AA1377" s="11">
        <f ca="1"/>
        <v>6.4956144781144785</v>
      </c>
      <c r="AB1377" s="4">
        <f ca="1"/>
        <v>45780</v>
      </c>
      <c r="AC1377" s="4">
        <v>45780</v>
      </c>
      <c r="AD1377" s="9">
        <v>45793</v>
      </c>
      <c r="AE1377" s="9">
        <v>45797</v>
      </c>
      <c r="AF1377" s="4" t="str">
        <f t="shared" ref="AF1377:AF1392" ca="1" si="91">_xlfn.CONCAT(PROPER(TEXT(AB1377,"aaaa"))," ",PROPER(TEXT(AB1377,"mm")))</f>
        <v>2025 05</v>
      </c>
      <c r="AG1377" s="8" t="str" cm="1">
        <f t="array" ref="AG1377">IFERROR(_xlfn.IFS('Banco de Dados'!#REF!="AG. COMPRA","Em processamento",'Banco de Dados'!#REF!="AG. RASTREIO","Em processamento",'Banco de Dados'!$AE1377&lt;&gt;"-","Faturado",'Banco de Dados'!$AD1377&lt;&gt;"-","Aguardando Pix",'Banco de Dados'!$AC1377&lt;&gt;"-","Pendente"),"Aguardando Liberação")</f>
        <v>Aguardando Liberação</v>
      </c>
      <c r="AH1377" s="5" t="str">
        <f>IF('Banco de Dados'!$F1377="-",_xlfn.CONCAT(PROPER(TEXT(AK1377,"aaaa"))," ",PROPER(TEXT(AK1377,"mm"))),_xlfn.CONCAT(PROPER(TEXT(E1377,"aaaa"))," ",PROPER(TEXT(E1377,"mm"))))</f>
        <v>2025 03</v>
      </c>
      <c r="AI1377" s="9" t="str">
        <f ca="1">IF('Banco de Dados'!$AK1377&lt;&gt;"-","REEMBOLSO",IFERROR(_xlfn.XLOOKUP(G1377,Follow[CODRASTREIO],Follow[STATUS]),"-"))</f>
        <v>ENTREGUE</v>
      </c>
      <c r="AJ1377" s="9">
        <f ca="1">IF('Banco de Dados'!$AI1377="ENTREGUE",_xlfn.XLOOKUP('Banco de Dados'!$G1377,Follow[CODRASTREIO],Follow[DATAATUALIZAÇÃO]),"-")</f>
        <v>45756</v>
      </c>
      <c r="AK1377" s="132" t="str">
        <f ca="1"/>
        <v>-</v>
      </c>
      <c r="AL1377" s="35"/>
      <c r="AM1377" s="109" cm="1">
        <f t="array" aca="1" ref="AM1377" ca="1">IF('Banco de Dados'!$AK1377&lt;&gt;"-",_xlfn.IFS('Banco de Dados'!$A1377="bv",IF('Banco de Dados'!$E1377&lt;45641,ROUND(SUM('Banco de Dados'!$R1377*_xlfn.XLOOKUP('Banco de Dados'!$P1377,Sku!B:B,Sku!#REF!)*20%),2),ROUND(SUM('Banco de Dados'!$R1377*_xlfn.XLOOKUP('Banco de Dados'!$P1377,Sku!B:B,Sku!H:H)*20%),2)),'Banco de Dados'!$A1377="GO",ROUND(SUM('Banco de Dados'!$R1377*_xlfn.XLOOKUP('Banco de Dados'!$P1377,Sku!C:C,Sku!H:H)*20%),2),'Banco de Dados'!$A1377="MEI",ROUND(SUM('Banco de Dados'!$R1377*_xlfn.XLOOKUP('Banco de Dados'!$P1377,Sku!D:D,Sku!H:H)*20%),2)),0)</f>
        <v>0</v>
      </c>
      <c r="AN1377" s="109">
        <f ca="1">IF('Banco de Dados'!$AK1377&lt;&gt;"-",IF('Banco de Dados'!$F1377&lt;&gt;"-",_xlfn.XLOOKUP(IFERROR(IFERROR(IFERROR(VALUE(SUBSTITUTE(MID(_xlfn.TEXTAFTER('Banco de Dados'!$F1377,"Data do Pedido:
",1),1,10),"-","/")),VALUE(SUBSTITUTE(MID(_xlfn.TEXTAFTER('Banco de Dados'!$F1377,"Order date:
",1),1,10),"-","/"))),VALUE(SUBSTITUTE(MID(_xlfn.TEXTAFTER('Banco de Dados'!$F1377,"Fecha de pedido:
",1),1,10),"-","/"))),"-"),SMS!A:A,SMS!K:K),0),0)</f>
        <v>0</v>
      </c>
      <c r="AO1377" s="109">
        <f ca="1">IF('Banco de Dados'!$AK1377&lt;&gt;"-",IF('Banco de Dados'!$F1377&lt;&gt;"-",IFERROR(_xlfn.XLOOKUP(_xlfn.CONCAT('Banco de Dados'!$A1377,IFERROR(IFERROR(VALUE(SUBSTITUTE(MID(_xlfn.TEXTAFTER('Banco de Dados'!$F1377,"Data do Pedido:
",1),1,10),"-","/")),VALUE(SUBSTITUTE(MID(_xlfn.TEXTAFTER('Banco de Dados'!$F1377,"Order date:
",1),1,10),"-","/"))),0)),ProxyDD[Chave],ProxyDD[Valor por pedido]),PROXY!$P$2),0),0)</f>
        <v>0</v>
      </c>
      <c r="AP1377" s="28">
        <f ca="1">IF('Banco de Dados'!$AK1377&lt;&gt;"-",IF('Banco de Dados'!$AL1377="NÃO",IFERROR(VALUE(SUBSTITUTE(_xlfn.TEXTAFTER('Banco de Dados'!$F1377,"BRL ",1),".",",")),0),0),0)</f>
        <v>0</v>
      </c>
      <c r="AQ1377" s="28">
        <f ca="1">SUM('Banco de Dados'!$AM1377:$AP1377)</f>
        <v>0</v>
      </c>
      <c r="AR1377" s="8"/>
      <c r="AY1377" s="8"/>
    </row>
    <row r="1378" spans="1:51">
      <c r="A1378" s="5" t="str">
        <v>MEI</v>
      </c>
      <c r="B1378" s="5" t="str">
        <f ca="1"/>
        <v>MEI-</v>
      </c>
      <c r="C1378" s="8" t="str">
        <v>Pedido 1365</v>
      </c>
      <c r="D1378" s="187">
        <v>45745</v>
      </c>
      <c r="E1378" s="9" t="str">
        <v>-</v>
      </c>
      <c r="F1378" s="8" t="str">
        <v>-</v>
      </c>
      <c r="G1378" s="2" t="str">
        <v>-</v>
      </c>
      <c r="H1378" s="5">
        <v>1</v>
      </c>
      <c r="I1378" s="2" t="str">
        <v>CPF 1329</v>
      </c>
      <c r="J1378" s="2" t="str">
        <v>Nome 1329</v>
      </c>
      <c r="K1378" s="8" t="str">
        <v>Tel 1329</v>
      </c>
      <c r="L1378" s="8" t="str">
        <v>Cep 1329</v>
      </c>
      <c r="M1378" s="8" t="str">
        <v>Rua 1329</v>
      </c>
      <c r="N1378" s="8" t="str">
        <v>Comp 1329</v>
      </c>
      <c r="O1378" s="8" t="str">
        <v>Ventilador Rosa</v>
      </c>
      <c r="P1378" s="8" t="str">
        <v>WR-82Y0-OV27</v>
      </c>
      <c r="Q1378" s="4">
        <v>45765</v>
      </c>
      <c r="R1378" s="109">
        <v>59.69</v>
      </c>
      <c r="S1378" s="11">
        <f ca="1"/>
        <v>0</v>
      </c>
      <c r="T1378" s="28">
        <f ca="1"/>
        <v>0</v>
      </c>
      <c r="U1378" s="11">
        <f ca="1"/>
        <v>0</v>
      </c>
      <c r="V1378" s="11">
        <v>0</v>
      </c>
      <c r="W1378" s="11">
        <f ca="1"/>
        <v>0</v>
      </c>
      <c r="X1378" s="11">
        <f ca="1"/>
        <v>0</v>
      </c>
      <c r="Y1378" s="11">
        <v>0</v>
      </c>
      <c r="Z1378" s="11">
        <f ca="1"/>
        <v>0</v>
      </c>
      <c r="AA1378" s="11">
        <f ca="1"/>
        <v>0</v>
      </c>
      <c r="AB1378" s="4">
        <f ca="1"/>
        <v>45772</v>
      </c>
      <c r="AC1378" s="4">
        <v>45772</v>
      </c>
      <c r="AD1378" s="9">
        <v>45779</v>
      </c>
      <c r="AE1378" s="9">
        <v>45783</v>
      </c>
      <c r="AF1378" s="4" t="str">
        <f t="shared" ca="1" si="91"/>
        <v>2025 04</v>
      </c>
      <c r="AG1378" s="8" t="str" cm="1">
        <f t="array" ref="AG1378">IFERROR(_xlfn.IFS('Banco de Dados'!#REF!="AG. COMPRA","Em processamento",'Banco de Dados'!#REF!="AG. RASTREIO","Em processamento",'Banco de Dados'!$AE1378&lt;&gt;"-","Faturado",'Banco de Dados'!$AD1378&lt;&gt;"-","Aguardando Pix",'Banco de Dados'!$AC1378&lt;&gt;"-","Pendente"),"Aguardando Liberação")</f>
        <v>Aguardando Liberação</v>
      </c>
      <c r="AH1378" s="5" t="str">
        <f ca="1">IF('Banco de Dados'!$F1378="-",_xlfn.CONCAT(PROPER(TEXT(AK1378,"aaaa"))," ",PROPER(TEXT(AK1378,"mm"))),_xlfn.CONCAT(PROPER(TEXT(E1378,"aaaa"))," ",PROPER(TEXT(E1378,"mm"))))</f>
        <v>2025 04</v>
      </c>
      <c r="AI1378" s="9" t="str">
        <f ca="1">IF('Banco de Dados'!$AK1378&lt;&gt;"-","REEMBOLSO",IFERROR(_xlfn.XLOOKUP(G1378,Follow[CODRASTREIO],Follow[STATUS]),"-"))</f>
        <v>REEMBOLSO</v>
      </c>
      <c r="AJ1378" s="9" t="str">
        <f ca="1">IF('Banco de Dados'!$AI1378="ENTREGUE",_xlfn.XLOOKUP('Banco de Dados'!$G1378,Follow[CODRASTREIO],Follow[DATAATUALIZAÇÃO]),"-")</f>
        <v>-</v>
      </c>
      <c r="AK1378" s="132">
        <f ca="1"/>
        <v>45751</v>
      </c>
      <c r="AL1378" s="35"/>
      <c r="AM1378" s="109" cm="1">
        <f t="array" aca="1" ref="AM1378" ca="1">IF('Banco de Dados'!$AK1378&lt;&gt;"-",_xlfn.IFS('Banco de Dados'!$A1378="bv",IF('Banco de Dados'!$E1378&lt;45641,ROUND(SUM('Banco de Dados'!$R1378*_xlfn.XLOOKUP('Banco de Dados'!$P1378,Sku!B:B,Sku!#REF!)*20%),2),ROUND(SUM('Banco de Dados'!$R1378*_xlfn.XLOOKUP('Banco de Dados'!$P1378,Sku!B:B,Sku!H:H)*20%),2)),'Banco de Dados'!$A1378="GO",ROUND(SUM('Banco de Dados'!$R1378*_xlfn.XLOOKUP('Banco de Dados'!$P1378,Sku!C:C,Sku!H:H)*20%),2),'Banco de Dados'!$A1378="MEI",ROUND(SUM('Banco de Dados'!$R1378*_xlfn.XLOOKUP('Banco de Dados'!$P1378,Sku!D:D,Sku!H:H)*20%),2)),0)</f>
        <v>1.55</v>
      </c>
      <c r="AN1378" s="109">
        <f ca="1">IF('Banco de Dados'!$AK1378&lt;&gt;"-",IF('Banco de Dados'!$F1378&lt;&gt;"-",_xlfn.XLOOKUP(IFERROR(IFERROR(IFERROR(VALUE(SUBSTITUTE(MID(_xlfn.TEXTAFTER('Banco de Dados'!$F1378,"Data do Pedido:
",1),1,10),"-","/")),VALUE(SUBSTITUTE(MID(_xlfn.TEXTAFTER('Banco de Dados'!$F1378,"Order date:
",1),1,10),"-","/"))),VALUE(SUBSTITUTE(MID(_xlfn.TEXTAFTER('Banco de Dados'!$F1378,"Fecha de pedido:
",1),1,10),"-","/"))),"-"),SMS!A:A,SMS!K:K),0),0)</f>
        <v>0</v>
      </c>
      <c r="AO1378" s="109">
        <f ca="1">IF('Banco de Dados'!$AK1378&lt;&gt;"-",IF('Banco de Dados'!$F1378&lt;&gt;"-",IFERROR(_xlfn.XLOOKUP(_xlfn.CONCAT('Banco de Dados'!$A1378,IFERROR(IFERROR(VALUE(SUBSTITUTE(MID(_xlfn.TEXTAFTER('Banco de Dados'!$F1378,"Data do Pedido:
",1),1,10),"-","/")),VALUE(SUBSTITUTE(MID(_xlfn.TEXTAFTER('Banco de Dados'!$F1378,"Order date:
",1),1,10),"-","/"))),0)),ProxyDD[Chave],ProxyDD[Valor por pedido]),PROXY!$P$2),0),0)</f>
        <v>0</v>
      </c>
      <c r="AP1378" s="28">
        <f ca="1">IF('Banco de Dados'!$AK1378&lt;&gt;"-",IF('Banco de Dados'!$AL1378="NÃO",IFERROR(VALUE(SUBSTITUTE(_xlfn.TEXTAFTER('Banco de Dados'!$F1378,"BRL ",1),".",",")),0),0),0)</f>
        <v>0</v>
      </c>
      <c r="AQ1378" s="28">
        <f ca="1">SUM('Banco de Dados'!$AM1378:$AP1378)</f>
        <v>1.55</v>
      </c>
      <c r="AR1378" s="8"/>
      <c r="AY1378" s="8"/>
    </row>
    <row r="1379" spans="1:51">
      <c r="A1379" s="5" t="str">
        <v>MEI</v>
      </c>
      <c r="B1379" s="5" t="str">
        <f ca="1"/>
        <v>MEI45747</v>
      </c>
      <c r="C1379" s="8" t="str">
        <v>Pedido 1366</v>
      </c>
      <c r="D1379" s="187">
        <v>45745</v>
      </c>
      <c r="E1379" s="9">
        <v>45747</v>
      </c>
      <c r="F1379" s="8" t="str">
        <v>PedidoF1308</v>
      </c>
      <c r="G1379" s="2" t="str">
        <v>CódRastreio1306</v>
      </c>
      <c r="H1379" s="5">
        <v>1</v>
      </c>
      <c r="I1379" s="2" t="str">
        <v>CPF 1330</v>
      </c>
      <c r="J1379" s="2" t="str">
        <v>Nome 1330</v>
      </c>
      <c r="K1379" s="8" t="str">
        <v>Tel 1330</v>
      </c>
      <c r="L1379" s="8" t="str">
        <v>Cep 1330</v>
      </c>
      <c r="M1379" s="8" t="str">
        <v>Rua 1330</v>
      </c>
      <c r="N1379" s="8" t="str">
        <v>Comp 1330</v>
      </c>
      <c r="O1379" s="8" t="str">
        <v>Karaoke portátil</v>
      </c>
      <c r="P1379" s="8" t="str">
        <v>1I-EZPV-2Q78</v>
      </c>
      <c r="Q1379" s="4">
        <v>45765</v>
      </c>
      <c r="R1379" s="109">
        <v>52.95</v>
      </c>
      <c r="S1379" s="11">
        <f ca="1"/>
        <v>52.95</v>
      </c>
      <c r="T1379" s="28">
        <f ca="1"/>
        <v>7.9424999999999999</v>
      </c>
      <c r="U1379" s="11">
        <f ca="1"/>
        <v>45.01</v>
      </c>
      <c r="V1379" s="11">
        <v>23.28</v>
      </c>
      <c r="W1379" s="11">
        <f ca="1"/>
        <v>0.27</v>
      </c>
      <c r="X1379" s="11">
        <f ca="1"/>
        <v>0.39877104377104378</v>
      </c>
      <c r="Y1379" s="11">
        <v>0</v>
      </c>
      <c r="Z1379" s="11">
        <f ca="1"/>
        <v>21.061228956228952</v>
      </c>
      <c r="AA1379" s="11">
        <f ca="1"/>
        <v>10.530614478114476</v>
      </c>
      <c r="AB1379" s="4">
        <f ca="1"/>
        <v>45772</v>
      </c>
      <c r="AC1379" s="4">
        <v>45772</v>
      </c>
      <c r="AD1379" s="9">
        <v>45779</v>
      </c>
      <c r="AE1379" s="9">
        <v>45783</v>
      </c>
      <c r="AF1379" s="4" t="str">
        <f t="shared" ca="1" si="91"/>
        <v>2025 04</v>
      </c>
      <c r="AG1379" s="8" t="str" cm="1">
        <f t="array" ref="AG1379">IFERROR(_xlfn.IFS('Banco de Dados'!#REF!="AG. COMPRA","Em processamento",'Banco de Dados'!#REF!="AG. RASTREIO","Em processamento",'Banco de Dados'!$AE1379&lt;&gt;"-","Faturado",'Banco de Dados'!$AD1379&lt;&gt;"-","Aguardando Pix",'Banco de Dados'!$AC1379&lt;&gt;"-","Pendente"),"Aguardando Liberação")</f>
        <v>Aguardando Liberação</v>
      </c>
      <c r="AH1379" s="5" t="str">
        <f>IF('Banco de Dados'!$F1379="-",_xlfn.CONCAT(PROPER(TEXT(AK1379,"aaaa"))," ",PROPER(TEXT(AK1379,"mm"))),_xlfn.CONCAT(PROPER(TEXT(E1379,"aaaa"))," ",PROPER(TEXT(E1379,"mm"))))</f>
        <v>2025 03</v>
      </c>
      <c r="AI1379" s="9" t="str">
        <f ca="1">IF('Banco de Dados'!$AK1379&lt;&gt;"-","REEMBOLSO",IFERROR(_xlfn.XLOOKUP(G1379,Follow[CODRASTREIO],Follow[STATUS]),"-"))</f>
        <v>ENTREGUE</v>
      </c>
      <c r="AJ1379" s="9">
        <f ca="1">IF('Banco de Dados'!$AI1379="ENTREGUE",_xlfn.XLOOKUP('Banco de Dados'!$G1379,Follow[CODRASTREIO],Follow[DATAATUALIZAÇÃO]),"-")</f>
        <v>45761</v>
      </c>
      <c r="AK1379" s="132" t="str">
        <f ca="1"/>
        <v>-</v>
      </c>
      <c r="AL1379" s="35"/>
      <c r="AM1379" s="109" cm="1">
        <f t="array" aca="1" ref="AM1379" ca="1">IF('Banco de Dados'!$AK1379&lt;&gt;"-",_xlfn.IFS('Banco de Dados'!$A1379="bv",IF('Banco de Dados'!$E1379&lt;45641,ROUND(SUM('Banco de Dados'!$R1379*_xlfn.XLOOKUP('Banco de Dados'!$P1379,Sku!B:B,Sku!#REF!)*20%),2),ROUND(SUM('Banco de Dados'!$R1379*_xlfn.XLOOKUP('Banco de Dados'!$P1379,Sku!B:B,Sku!H:H)*20%),2)),'Banco de Dados'!$A1379="GO",ROUND(SUM('Banco de Dados'!$R1379*_xlfn.XLOOKUP('Banco de Dados'!$P1379,Sku!C:C,Sku!H:H)*20%),2),'Banco de Dados'!$A1379="MEI",ROUND(SUM('Banco de Dados'!$R1379*_xlfn.XLOOKUP('Banco de Dados'!$P1379,Sku!D:D,Sku!H:H)*20%),2)),0)</f>
        <v>0</v>
      </c>
      <c r="AN1379" s="109">
        <f ca="1">IF('Banco de Dados'!$AK1379&lt;&gt;"-",IF('Banco de Dados'!$F1379&lt;&gt;"-",_xlfn.XLOOKUP(IFERROR(IFERROR(IFERROR(VALUE(SUBSTITUTE(MID(_xlfn.TEXTAFTER('Banco de Dados'!$F1379,"Data do Pedido:
",1),1,10),"-","/")),VALUE(SUBSTITUTE(MID(_xlfn.TEXTAFTER('Banco de Dados'!$F1379,"Order date:
",1),1,10),"-","/"))),VALUE(SUBSTITUTE(MID(_xlfn.TEXTAFTER('Banco de Dados'!$F1379,"Fecha de pedido:
",1),1,10),"-","/"))),"-"),SMS!A:A,SMS!K:K),0),0)</f>
        <v>0</v>
      </c>
      <c r="AO1379" s="109">
        <f ca="1">IF('Banco de Dados'!$AK1379&lt;&gt;"-",IF('Banco de Dados'!$F1379&lt;&gt;"-",IFERROR(_xlfn.XLOOKUP(_xlfn.CONCAT('Banco de Dados'!$A1379,IFERROR(IFERROR(VALUE(SUBSTITUTE(MID(_xlfn.TEXTAFTER('Banco de Dados'!$F1379,"Data do Pedido:
",1),1,10),"-","/")),VALUE(SUBSTITUTE(MID(_xlfn.TEXTAFTER('Banco de Dados'!$F1379,"Order date:
",1),1,10),"-","/"))),0)),ProxyDD[Chave],ProxyDD[Valor por pedido]),PROXY!$P$2),0),0)</f>
        <v>0</v>
      </c>
      <c r="AP1379" s="28">
        <f ca="1">IF('Banco de Dados'!$AK1379&lt;&gt;"-",IF('Banco de Dados'!$AL1379="NÃO",IFERROR(VALUE(SUBSTITUTE(_xlfn.TEXTAFTER('Banco de Dados'!$F1379,"BRL ",1),".",",")),0),0),0)</f>
        <v>0</v>
      </c>
      <c r="AQ1379" s="28">
        <f ca="1">SUM('Banco de Dados'!$AM1379:$AP1379)</f>
        <v>0</v>
      </c>
      <c r="AR1379" s="8"/>
      <c r="AY1379" s="8"/>
    </row>
    <row r="1380" spans="1:51">
      <c r="A1380" s="5" t="str">
        <v>MEI</v>
      </c>
      <c r="B1380" s="5" t="str">
        <f ca="1"/>
        <v>MEI45747</v>
      </c>
      <c r="C1380" s="8" t="str">
        <v>Pedido 1367</v>
      </c>
      <c r="D1380" s="187">
        <v>45746</v>
      </c>
      <c r="E1380" s="9">
        <v>45747</v>
      </c>
      <c r="F1380" s="8" t="str">
        <v>PedidoF1309</v>
      </c>
      <c r="G1380" s="2" t="str">
        <v>CódRastreio1307</v>
      </c>
      <c r="H1380" s="5">
        <v>1</v>
      </c>
      <c r="I1380" s="2" t="str">
        <v>CPF 1331</v>
      </c>
      <c r="J1380" s="2" t="str">
        <v>Nome 1331</v>
      </c>
      <c r="K1380" s="8" t="str">
        <v>Tel 1331</v>
      </c>
      <c r="L1380" s="8" t="str">
        <v>Cep 1331</v>
      </c>
      <c r="M1380" s="8" t="str">
        <v>Rua 1331</v>
      </c>
      <c r="N1380" s="8" t="str">
        <v>Comp 1331</v>
      </c>
      <c r="O1380" s="8" t="str">
        <v>Lampada Led</v>
      </c>
      <c r="P1380" s="8" t="str">
        <v>T1-SWVB-UPOW</v>
      </c>
      <c r="Q1380" s="4">
        <v>45765</v>
      </c>
      <c r="R1380" s="109">
        <v>29.99</v>
      </c>
      <c r="S1380" s="11">
        <f ca="1"/>
        <v>29.99</v>
      </c>
      <c r="T1380" s="28">
        <f ca="1"/>
        <v>3.5987999999999998</v>
      </c>
      <c r="U1380" s="11">
        <f ca="1"/>
        <v>26.39</v>
      </c>
      <c r="V1380" s="11">
        <v>11.12</v>
      </c>
      <c r="W1380" s="11">
        <f ca="1"/>
        <v>0.27</v>
      </c>
      <c r="X1380" s="11">
        <f ca="1"/>
        <v>0.39877104377104378</v>
      </c>
      <c r="Y1380" s="11">
        <v>0</v>
      </c>
      <c r="Z1380" s="11">
        <f ca="1"/>
        <v>14.601228956228958</v>
      </c>
      <c r="AA1380" s="11">
        <f ca="1"/>
        <v>7.3006144781144791</v>
      </c>
      <c r="AB1380" s="4">
        <f ca="1"/>
        <v>45772</v>
      </c>
      <c r="AC1380" s="4">
        <v>45772</v>
      </c>
      <c r="AD1380" s="9">
        <v>45779</v>
      </c>
      <c r="AE1380" s="9">
        <v>45783</v>
      </c>
      <c r="AF1380" s="4" t="str">
        <f t="shared" ca="1" si="91"/>
        <v>2025 04</v>
      </c>
      <c r="AG1380" s="8" t="str" cm="1">
        <f t="array" ref="AG1380">IFERROR(_xlfn.IFS('Banco de Dados'!#REF!="AG. COMPRA","Em processamento",'Banco de Dados'!#REF!="AG. RASTREIO","Em processamento",'Banco de Dados'!$AE1380&lt;&gt;"-","Faturado",'Banco de Dados'!$AD1380&lt;&gt;"-","Aguardando Pix",'Banco de Dados'!$AC1380&lt;&gt;"-","Pendente"),"Aguardando Liberação")</f>
        <v>Aguardando Liberação</v>
      </c>
      <c r="AH1380" s="5" t="str">
        <f>IF('Banco de Dados'!$F1380="-",_xlfn.CONCAT(PROPER(TEXT(AK1380,"aaaa"))," ",PROPER(TEXT(AK1380,"mm"))),_xlfn.CONCAT(PROPER(TEXT(E1380,"aaaa"))," ",PROPER(TEXT(E1380,"mm"))))</f>
        <v>2025 03</v>
      </c>
      <c r="AI1380" s="9" t="str">
        <f ca="1">IF('Banco de Dados'!$AK1380&lt;&gt;"-","REEMBOLSO",IFERROR(_xlfn.XLOOKUP(G1380,Follow[CODRASTREIO],Follow[STATUS]),"-"))</f>
        <v>ENTREGUE</v>
      </c>
      <c r="AJ1380" s="9">
        <f ca="1">IF('Banco de Dados'!$AI1380="ENTREGUE",_xlfn.XLOOKUP('Banco de Dados'!$G1380,Follow[CODRASTREIO],Follow[DATAATUALIZAÇÃO]),"-")</f>
        <v>45762</v>
      </c>
      <c r="AK1380" s="132" t="str">
        <f ca="1"/>
        <v>-</v>
      </c>
      <c r="AL1380" s="35"/>
      <c r="AM1380" s="109" cm="1">
        <f t="array" aca="1" ref="AM1380" ca="1">IF('Banco de Dados'!$AK1380&lt;&gt;"-",_xlfn.IFS('Banco de Dados'!$A1380="bv",IF('Banco de Dados'!$E1380&lt;45641,ROUND(SUM('Banco de Dados'!$R1380*_xlfn.XLOOKUP('Banco de Dados'!$P1380,Sku!B:B,Sku!#REF!)*20%),2),ROUND(SUM('Banco de Dados'!$R1380*_xlfn.XLOOKUP('Banco de Dados'!$P1380,Sku!B:B,Sku!H:H)*20%),2)),'Banco de Dados'!$A1380="GO",ROUND(SUM('Banco de Dados'!$R1380*_xlfn.XLOOKUP('Banco de Dados'!$P1380,Sku!C:C,Sku!H:H)*20%),2),'Banco de Dados'!$A1380="MEI",ROUND(SUM('Banco de Dados'!$R1380*_xlfn.XLOOKUP('Banco de Dados'!$P1380,Sku!D:D,Sku!H:H)*20%),2)),0)</f>
        <v>0</v>
      </c>
      <c r="AN1380" s="109">
        <f ca="1">IF('Banco de Dados'!$AK1380&lt;&gt;"-",IF('Banco de Dados'!$F1380&lt;&gt;"-",_xlfn.XLOOKUP(IFERROR(IFERROR(IFERROR(VALUE(SUBSTITUTE(MID(_xlfn.TEXTAFTER('Banco de Dados'!$F1380,"Data do Pedido:
",1),1,10),"-","/")),VALUE(SUBSTITUTE(MID(_xlfn.TEXTAFTER('Banco de Dados'!$F1380,"Order date:
",1),1,10),"-","/"))),VALUE(SUBSTITUTE(MID(_xlfn.TEXTAFTER('Banco de Dados'!$F1380,"Fecha de pedido:
",1),1,10),"-","/"))),"-"),SMS!A:A,SMS!K:K),0),0)</f>
        <v>0</v>
      </c>
      <c r="AO1380" s="109">
        <f ca="1">IF('Banco de Dados'!$AK1380&lt;&gt;"-",IF('Banco de Dados'!$F1380&lt;&gt;"-",IFERROR(_xlfn.XLOOKUP(_xlfn.CONCAT('Banco de Dados'!$A1380,IFERROR(IFERROR(VALUE(SUBSTITUTE(MID(_xlfn.TEXTAFTER('Banco de Dados'!$F1380,"Data do Pedido:
",1),1,10),"-","/")),VALUE(SUBSTITUTE(MID(_xlfn.TEXTAFTER('Banco de Dados'!$F1380,"Order date:
",1),1,10),"-","/"))),0)),ProxyDD[Chave],ProxyDD[Valor por pedido]),PROXY!$P$2),0),0)</f>
        <v>0</v>
      </c>
      <c r="AP1380" s="28">
        <f ca="1">IF('Banco de Dados'!$AK1380&lt;&gt;"-",IF('Banco de Dados'!$AL1380="NÃO",IFERROR(VALUE(SUBSTITUTE(_xlfn.TEXTAFTER('Banco de Dados'!$F1380,"BRL ",1),".",",")),0),0),0)</f>
        <v>0</v>
      </c>
      <c r="AQ1380" s="28">
        <f ca="1">SUM('Banco de Dados'!$AM1380:$AP1380)</f>
        <v>0</v>
      </c>
      <c r="AR1380" s="8"/>
      <c r="AY1380" s="8"/>
    </row>
    <row r="1381" spans="1:51">
      <c r="A1381" s="5" t="str">
        <v>MEI</v>
      </c>
      <c r="B1381" s="5" t="str">
        <f ca="1"/>
        <v>MEI45747</v>
      </c>
      <c r="C1381" s="8" t="str">
        <v>Pedido 1368</v>
      </c>
      <c r="D1381" s="187">
        <v>45746</v>
      </c>
      <c r="E1381" s="9">
        <v>45747</v>
      </c>
      <c r="F1381" s="8" t="str">
        <v>PedidoF1310</v>
      </c>
      <c r="G1381" s="2" t="str">
        <v>CódRastreio1308</v>
      </c>
      <c r="H1381" s="5">
        <v>1</v>
      </c>
      <c r="I1381" s="2" t="str">
        <v>CPF 1332</v>
      </c>
      <c r="J1381" s="2" t="str">
        <v>Nome 1332</v>
      </c>
      <c r="K1381" s="8" t="str">
        <v>Tel 1332</v>
      </c>
      <c r="L1381" s="8" t="str">
        <v>Cep 1332</v>
      </c>
      <c r="M1381" s="8" t="str">
        <v>Rua 1332</v>
      </c>
      <c r="N1381" s="8" t="str">
        <v>Comp 1332</v>
      </c>
      <c r="O1381" s="8" t="str">
        <v>Karaoke portátil</v>
      </c>
      <c r="P1381" s="8" t="str">
        <v>1I-EZPV-2Q78</v>
      </c>
      <c r="Q1381" s="4">
        <v>45765</v>
      </c>
      <c r="R1381" s="109">
        <v>52.95</v>
      </c>
      <c r="S1381" s="11">
        <f ca="1"/>
        <v>52.95</v>
      </c>
      <c r="T1381" s="28">
        <f ca="1"/>
        <v>7.9424999999999999</v>
      </c>
      <c r="U1381" s="11">
        <f ca="1"/>
        <v>45.01</v>
      </c>
      <c r="V1381" s="11">
        <v>23.28</v>
      </c>
      <c r="W1381" s="11">
        <f ca="1"/>
        <v>0.27</v>
      </c>
      <c r="X1381" s="11">
        <f ca="1"/>
        <v>0.39877104377104378</v>
      </c>
      <c r="Y1381" s="11">
        <v>0</v>
      </c>
      <c r="Z1381" s="11">
        <f ca="1"/>
        <v>21.061228956228952</v>
      </c>
      <c r="AA1381" s="11">
        <f ca="1"/>
        <v>10.530614478114476</v>
      </c>
      <c r="AB1381" s="4">
        <f ca="1"/>
        <v>45772</v>
      </c>
      <c r="AC1381" s="4">
        <v>45772</v>
      </c>
      <c r="AD1381" s="9">
        <v>45779</v>
      </c>
      <c r="AE1381" s="9">
        <v>45783</v>
      </c>
      <c r="AF1381" s="4" t="str">
        <f t="shared" ca="1" si="91"/>
        <v>2025 04</v>
      </c>
      <c r="AG1381" s="8" t="str" cm="1">
        <f t="array" ref="AG1381">IFERROR(_xlfn.IFS('Banco de Dados'!#REF!="AG. COMPRA","Em processamento",'Banco de Dados'!#REF!="AG. RASTREIO","Em processamento",'Banco de Dados'!$AE1381&lt;&gt;"-","Faturado",'Banco de Dados'!$AD1381&lt;&gt;"-","Aguardando Pix",'Banco de Dados'!$AC1381&lt;&gt;"-","Pendente"),"Aguardando Liberação")</f>
        <v>Aguardando Liberação</v>
      </c>
      <c r="AH1381" s="5" t="str">
        <f>IF('Banco de Dados'!$F1381="-",_xlfn.CONCAT(PROPER(TEXT(AK1381,"aaaa"))," ",PROPER(TEXT(AK1381,"mm"))),_xlfn.CONCAT(PROPER(TEXT(E1381,"aaaa"))," ",PROPER(TEXT(E1381,"mm"))))</f>
        <v>2025 03</v>
      </c>
      <c r="AI1381" s="9" t="str">
        <f ca="1">IF('Banco de Dados'!$AK1381&lt;&gt;"-","REEMBOLSO",IFERROR(_xlfn.XLOOKUP(G1381,Follow[CODRASTREIO],Follow[STATUS]),"-"))</f>
        <v>ENTREGUE</v>
      </c>
      <c r="AJ1381" s="9">
        <f ca="1">IF('Banco de Dados'!$AI1381="ENTREGUE",_xlfn.XLOOKUP('Banco de Dados'!$G1381,Follow[CODRASTREIO],Follow[DATAATUALIZAÇÃO]),"-")</f>
        <v>45756</v>
      </c>
      <c r="AK1381" s="132" t="str">
        <f ca="1"/>
        <v>-</v>
      </c>
      <c r="AL1381" s="35"/>
      <c r="AM1381" s="109" cm="1">
        <f t="array" aca="1" ref="AM1381" ca="1">IF('Banco de Dados'!$AK1381&lt;&gt;"-",_xlfn.IFS('Banco de Dados'!$A1381="bv",IF('Banco de Dados'!$E1381&lt;45641,ROUND(SUM('Banco de Dados'!$R1381*_xlfn.XLOOKUP('Banco de Dados'!$P1381,Sku!B:B,Sku!#REF!)*20%),2),ROUND(SUM('Banco de Dados'!$R1381*_xlfn.XLOOKUP('Banco de Dados'!$P1381,Sku!B:B,Sku!H:H)*20%),2)),'Banco de Dados'!$A1381="GO",ROUND(SUM('Banco de Dados'!$R1381*_xlfn.XLOOKUP('Banco de Dados'!$P1381,Sku!C:C,Sku!H:H)*20%),2),'Banco de Dados'!$A1381="MEI",ROUND(SUM('Banco de Dados'!$R1381*_xlfn.XLOOKUP('Banco de Dados'!$P1381,Sku!D:D,Sku!H:H)*20%),2)),0)</f>
        <v>0</v>
      </c>
      <c r="AN1381" s="109">
        <f ca="1">IF('Banco de Dados'!$AK1381&lt;&gt;"-",IF('Banco de Dados'!$F1381&lt;&gt;"-",_xlfn.XLOOKUP(IFERROR(IFERROR(IFERROR(VALUE(SUBSTITUTE(MID(_xlfn.TEXTAFTER('Banco de Dados'!$F1381,"Data do Pedido:
",1),1,10),"-","/")),VALUE(SUBSTITUTE(MID(_xlfn.TEXTAFTER('Banco de Dados'!$F1381,"Order date:
",1),1,10),"-","/"))),VALUE(SUBSTITUTE(MID(_xlfn.TEXTAFTER('Banco de Dados'!$F1381,"Fecha de pedido:
",1),1,10),"-","/"))),"-"),SMS!A:A,SMS!K:K),0),0)</f>
        <v>0</v>
      </c>
      <c r="AO1381" s="109">
        <f ca="1">IF('Banco de Dados'!$AK1381&lt;&gt;"-",IF('Banco de Dados'!$F1381&lt;&gt;"-",IFERROR(_xlfn.XLOOKUP(_xlfn.CONCAT('Banco de Dados'!$A1381,IFERROR(IFERROR(VALUE(SUBSTITUTE(MID(_xlfn.TEXTAFTER('Banco de Dados'!$F1381,"Data do Pedido:
",1),1,10),"-","/")),VALUE(SUBSTITUTE(MID(_xlfn.TEXTAFTER('Banco de Dados'!$F1381,"Order date:
",1),1,10),"-","/"))),0)),ProxyDD[Chave],ProxyDD[Valor por pedido]),PROXY!$P$2),0),0)</f>
        <v>0</v>
      </c>
      <c r="AP1381" s="28">
        <f ca="1">IF('Banco de Dados'!$AK1381&lt;&gt;"-",IF('Banco de Dados'!$AL1381="NÃO",IFERROR(VALUE(SUBSTITUTE(_xlfn.TEXTAFTER('Banco de Dados'!$F1381,"BRL ",1),".",",")),0),0),0)</f>
        <v>0</v>
      </c>
      <c r="AQ1381" s="28">
        <f ca="1">SUM('Banco de Dados'!$AM1381:$AP1381)</f>
        <v>0</v>
      </c>
      <c r="AR1381" s="8"/>
      <c r="AY1381" s="8"/>
    </row>
    <row r="1382" spans="1:51">
      <c r="A1382" s="5" t="str">
        <v>MEI</v>
      </c>
      <c r="B1382" s="5" t="str">
        <f ca="1"/>
        <v>MEI45747</v>
      </c>
      <c r="C1382" s="8" t="str">
        <v>Pedido 1369</v>
      </c>
      <c r="D1382" s="187">
        <v>45746</v>
      </c>
      <c r="E1382" s="9">
        <v>45747</v>
      </c>
      <c r="F1382" s="8" t="str">
        <v>PedidoF1311</v>
      </c>
      <c r="G1382" s="2" t="str">
        <v>CódRastreio1309</v>
      </c>
      <c r="H1382" s="5">
        <v>1</v>
      </c>
      <c r="I1382" s="2" t="str">
        <v>CPF 1333</v>
      </c>
      <c r="J1382" s="2" t="str">
        <v>Nome 1333</v>
      </c>
      <c r="K1382" s="8" t="str">
        <v>Tel 1333</v>
      </c>
      <c r="L1382" s="8" t="str">
        <v>Cep 1333</v>
      </c>
      <c r="M1382" s="8" t="str">
        <v>Rua 1333</v>
      </c>
      <c r="N1382" s="8" t="str">
        <v>Comp 1333</v>
      </c>
      <c r="O1382" s="8" t="str">
        <v>Ventilador Umidificador Preto</v>
      </c>
      <c r="P1382" s="8" t="str">
        <v>71-KHMZ-MLQW</v>
      </c>
      <c r="Q1382" s="4">
        <v>45773</v>
      </c>
      <c r="R1382" s="109">
        <v>53</v>
      </c>
      <c r="S1382" s="11">
        <f ca="1"/>
        <v>53</v>
      </c>
      <c r="T1382" s="28">
        <f ca="1"/>
        <v>5.83</v>
      </c>
      <c r="U1382" s="11">
        <f ca="1"/>
        <v>47.17</v>
      </c>
      <c r="V1382" s="11">
        <v>33.11</v>
      </c>
      <c r="W1382" s="11">
        <f ca="1"/>
        <v>0.27</v>
      </c>
      <c r="X1382" s="11">
        <f ca="1"/>
        <v>0.39877104377104378</v>
      </c>
      <c r="Y1382" s="11">
        <v>0</v>
      </c>
      <c r="Z1382" s="11">
        <f ca="1"/>
        <v>13.391228956228957</v>
      </c>
      <c r="AA1382" s="11">
        <f ca="1"/>
        <v>6.6956144781144786</v>
      </c>
      <c r="AB1382" s="4">
        <f ca="1"/>
        <v>45780</v>
      </c>
      <c r="AC1382" s="4">
        <v>45780</v>
      </c>
      <c r="AD1382" s="9">
        <v>45793</v>
      </c>
      <c r="AE1382" s="9">
        <v>45797</v>
      </c>
      <c r="AF1382" s="4" t="str">
        <f t="shared" ca="1" si="91"/>
        <v>2025 05</v>
      </c>
      <c r="AG1382" s="8" t="str" cm="1">
        <f t="array" ref="AG1382">IFERROR(_xlfn.IFS('Banco de Dados'!#REF!="AG. COMPRA","Em processamento",'Banco de Dados'!#REF!="AG. RASTREIO","Em processamento",'Banco de Dados'!$AE1382&lt;&gt;"-","Faturado",'Banco de Dados'!$AD1382&lt;&gt;"-","Aguardando Pix",'Banco de Dados'!$AC1382&lt;&gt;"-","Pendente"),"Aguardando Liberação")</f>
        <v>Aguardando Liberação</v>
      </c>
      <c r="AH1382" s="5" t="str">
        <f>IF('Banco de Dados'!$F1382="-",_xlfn.CONCAT(PROPER(TEXT(AK1382,"aaaa"))," ",PROPER(TEXT(AK1382,"mm"))),_xlfn.CONCAT(PROPER(TEXT(E1382,"aaaa"))," ",PROPER(TEXT(E1382,"mm"))))</f>
        <v>2025 03</v>
      </c>
      <c r="AI1382" s="9" t="str">
        <f ca="1">IF('Banco de Dados'!$AK1382&lt;&gt;"-","REEMBOLSO",IFERROR(_xlfn.XLOOKUP(G1382,Follow[CODRASTREIO],Follow[STATUS]),"-"))</f>
        <v>ENTREGUE</v>
      </c>
      <c r="AJ1382" s="9">
        <f ca="1">IF('Banco de Dados'!$AI1382="ENTREGUE",_xlfn.XLOOKUP('Banco de Dados'!$G1382,Follow[CODRASTREIO],Follow[DATAATUALIZAÇÃO]),"-")</f>
        <v>45769</v>
      </c>
      <c r="AK1382" s="132" t="str">
        <f ca="1"/>
        <v>-</v>
      </c>
      <c r="AL1382" s="35"/>
      <c r="AM1382" s="109" cm="1">
        <f t="array" aca="1" ref="AM1382" ca="1">IF('Banco de Dados'!$AK1382&lt;&gt;"-",_xlfn.IFS('Banco de Dados'!$A1382="bv",IF('Banco de Dados'!$E1382&lt;45641,ROUND(SUM('Banco de Dados'!$R1382*_xlfn.XLOOKUP('Banco de Dados'!$P1382,Sku!B:B,Sku!#REF!)*20%),2),ROUND(SUM('Banco de Dados'!$R1382*_xlfn.XLOOKUP('Banco de Dados'!$P1382,Sku!B:B,Sku!H:H)*20%),2)),'Banco de Dados'!$A1382="GO",ROUND(SUM('Banco de Dados'!$R1382*_xlfn.XLOOKUP('Banco de Dados'!$P1382,Sku!C:C,Sku!H:H)*20%),2),'Banco de Dados'!$A1382="MEI",ROUND(SUM('Banco de Dados'!$R1382*_xlfn.XLOOKUP('Banco de Dados'!$P1382,Sku!D:D,Sku!H:H)*20%),2)),0)</f>
        <v>0</v>
      </c>
      <c r="AN1382" s="109">
        <f ca="1">IF('Banco de Dados'!$AK1382&lt;&gt;"-",IF('Banco de Dados'!$F1382&lt;&gt;"-",_xlfn.XLOOKUP(IFERROR(IFERROR(IFERROR(VALUE(SUBSTITUTE(MID(_xlfn.TEXTAFTER('Banco de Dados'!$F1382,"Data do Pedido:
",1),1,10),"-","/")),VALUE(SUBSTITUTE(MID(_xlfn.TEXTAFTER('Banco de Dados'!$F1382,"Order date:
",1),1,10),"-","/"))),VALUE(SUBSTITUTE(MID(_xlfn.TEXTAFTER('Banco de Dados'!$F1382,"Fecha de pedido:
",1),1,10),"-","/"))),"-"),SMS!A:A,SMS!K:K),0),0)</f>
        <v>0</v>
      </c>
      <c r="AO1382" s="109">
        <f ca="1">IF('Banco de Dados'!$AK1382&lt;&gt;"-",IF('Banco de Dados'!$F1382&lt;&gt;"-",IFERROR(_xlfn.XLOOKUP(_xlfn.CONCAT('Banco de Dados'!$A1382,IFERROR(IFERROR(VALUE(SUBSTITUTE(MID(_xlfn.TEXTAFTER('Banco de Dados'!$F1382,"Data do Pedido:
",1),1,10),"-","/")),VALUE(SUBSTITUTE(MID(_xlfn.TEXTAFTER('Banco de Dados'!$F1382,"Order date:
",1),1,10),"-","/"))),0)),ProxyDD[Chave],ProxyDD[Valor por pedido]),PROXY!$P$2),0),0)</f>
        <v>0</v>
      </c>
      <c r="AP1382" s="28">
        <f ca="1">IF('Banco de Dados'!$AK1382&lt;&gt;"-",IF('Banco de Dados'!$AL1382="NÃO",IFERROR(VALUE(SUBSTITUTE(_xlfn.TEXTAFTER('Banco de Dados'!$F1382,"BRL ",1),".",",")),0),0),0)</f>
        <v>0</v>
      </c>
      <c r="AQ1382" s="28">
        <f ca="1">SUM('Banco de Dados'!$AM1382:$AP1382)</f>
        <v>0</v>
      </c>
      <c r="AR1382" s="8"/>
      <c r="AY1382" s="8"/>
    </row>
    <row r="1383" spans="1:51">
      <c r="A1383" s="5" t="str">
        <v>MEI</v>
      </c>
      <c r="B1383" s="5" t="str">
        <f ca="1"/>
        <v>MEI45747</v>
      </c>
      <c r="C1383" s="8" t="str">
        <v>Pedido 1370</v>
      </c>
      <c r="D1383" s="187">
        <v>45746</v>
      </c>
      <c r="E1383" s="9">
        <v>45747</v>
      </c>
      <c r="F1383" s="8" t="str">
        <v>PedidoF1312</v>
      </c>
      <c r="G1383" s="2" t="str">
        <v>CódRastreio1310</v>
      </c>
      <c r="H1383" s="5">
        <v>1</v>
      </c>
      <c r="I1383" s="2" t="str">
        <v>CPF 1334</v>
      </c>
      <c r="J1383" s="2" t="str">
        <v>Nome 1334</v>
      </c>
      <c r="K1383" s="8" t="str">
        <v>Tel 1334</v>
      </c>
      <c r="L1383" s="8" t="str">
        <v>Cep 1334</v>
      </c>
      <c r="M1383" s="8" t="str">
        <v>Rua 1334</v>
      </c>
      <c r="N1383" s="8" t="str">
        <v>Comp 1334</v>
      </c>
      <c r="O1383" s="8" t="str">
        <v>Ventilador Preto</v>
      </c>
      <c r="P1383" s="8" t="str">
        <v>WU-SS4J-LFOH</v>
      </c>
      <c r="Q1383" s="4">
        <v>45773</v>
      </c>
      <c r="R1383" s="109">
        <v>65.75</v>
      </c>
      <c r="S1383" s="11">
        <f ca="1"/>
        <v>65.75</v>
      </c>
      <c r="T1383" s="28">
        <f ca="1"/>
        <v>7.89</v>
      </c>
      <c r="U1383" s="11">
        <f ca="1"/>
        <v>57.86</v>
      </c>
      <c r="V1383" s="11">
        <v>20.93</v>
      </c>
      <c r="W1383" s="11">
        <f ca="1"/>
        <v>0.27</v>
      </c>
      <c r="X1383" s="11">
        <f ca="1"/>
        <v>0.39877104377104378</v>
      </c>
      <c r="Y1383" s="11">
        <v>0</v>
      </c>
      <c r="Z1383" s="11">
        <f ca="1"/>
        <v>36.261228956228955</v>
      </c>
      <c r="AA1383" s="11">
        <f ca="1"/>
        <v>18.130614478114477</v>
      </c>
      <c r="AB1383" s="4">
        <f ca="1"/>
        <v>45780</v>
      </c>
      <c r="AC1383" s="4">
        <v>45780</v>
      </c>
      <c r="AD1383" s="9">
        <v>45793</v>
      </c>
      <c r="AE1383" s="9">
        <v>45797</v>
      </c>
      <c r="AF1383" s="4" t="str">
        <f t="shared" ca="1" si="91"/>
        <v>2025 05</v>
      </c>
      <c r="AG1383" s="8" t="str" cm="1">
        <f t="array" ref="AG1383">IFERROR(_xlfn.IFS('Banco de Dados'!#REF!="AG. COMPRA","Em processamento",'Banco de Dados'!#REF!="AG. RASTREIO","Em processamento",'Banco de Dados'!$AE1383&lt;&gt;"-","Faturado",'Banco de Dados'!$AD1383&lt;&gt;"-","Aguardando Pix",'Banco de Dados'!$AC1383&lt;&gt;"-","Pendente"),"Aguardando Liberação")</f>
        <v>Aguardando Liberação</v>
      </c>
      <c r="AH1383" s="5" t="str">
        <f>IF('Banco de Dados'!$F1383="-",_xlfn.CONCAT(PROPER(TEXT(AK1383,"aaaa"))," ",PROPER(TEXT(AK1383,"mm"))),_xlfn.CONCAT(PROPER(TEXT(E1383,"aaaa"))," ",PROPER(TEXT(E1383,"mm"))))</f>
        <v>2025 03</v>
      </c>
      <c r="AI1383" s="9" t="str">
        <f ca="1">IF('Banco de Dados'!$AK1383&lt;&gt;"-","REEMBOLSO",IFERROR(_xlfn.XLOOKUP(G1383,Follow[CODRASTREIO],Follow[STATUS]),"-"))</f>
        <v>ENTREGUE</v>
      </c>
      <c r="AJ1383" s="9">
        <f ca="1">IF('Banco de Dados'!$AI1383="ENTREGUE",_xlfn.XLOOKUP('Banco de Dados'!$G1383,Follow[CODRASTREIO],Follow[DATAATUALIZAÇÃO]),"-")</f>
        <v>45758</v>
      </c>
      <c r="AK1383" s="132" t="str">
        <f ca="1"/>
        <v>-</v>
      </c>
      <c r="AL1383" s="35"/>
      <c r="AM1383" s="109" cm="1">
        <f t="array" aca="1" ref="AM1383" ca="1">IF('Banco de Dados'!$AK1383&lt;&gt;"-",_xlfn.IFS('Banco de Dados'!$A1383="bv",IF('Banco de Dados'!$E1383&lt;45641,ROUND(SUM('Banco de Dados'!$R1383*_xlfn.XLOOKUP('Banco de Dados'!$P1383,Sku!B:B,Sku!#REF!)*20%),2),ROUND(SUM('Banco de Dados'!$R1383*_xlfn.XLOOKUP('Banco de Dados'!$P1383,Sku!B:B,Sku!H:H)*20%),2)),'Banco de Dados'!$A1383="GO",ROUND(SUM('Banco de Dados'!$R1383*_xlfn.XLOOKUP('Banco de Dados'!$P1383,Sku!C:C,Sku!H:H)*20%),2),'Banco de Dados'!$A1383="MEI",ROUND(SUM('Banco de Dados'!$R1383*_xlfn.XLOOKUP('Banco de Dados'!$P1383,Sku!D:D,Sku!H:H)*20%),2)),0)</f>
        <v>0</v>
      </c>
      <c r="AN1383" s="109">
        <f ca="1">IF('Banco de Dados'!$AK1383&lt;&gt;"-",IF('Banco de Dados'!$F1383&lt;&gt;"-",_xlfn.XLOOKUP(IFERROR(IFERROR(IFERROR(VALUE(SUBSTITUTE(MID(_xlfn.TEXTAFTER('Banco de Dados'!$F1383,"Data do Pedido:
",1),1,10),"-","/")),VALUE(SUBSTITUTE(MID(_xlfn.TEXTAFTER('Banco de Dados'!$F1383,"Order date:
",1),1,10),"-","/"))),VALUE(SUBSTITUTE(MID(_xlfn.TEXTAFTER('Banco de Dados'!$F1383,"Fecha de pedido:
",1),1,10),"-","/"))),"-"),SMS!A:A,SMS!K:K),0),0)</f>
        <v>0</v>
      </c>
      <c r="AO1383" s="109">
        <f ca="1">IF('Banco de Dados'!$AK1383&lt;&gt;"-",IF('Banco de Dados'!$F1383&lt;&gt;"-",IFERROR(_xlfn.XLOOKUP(_xlfn.CONCAT('Banco de Dados'!$A1383,IFERROR(IFERROR(VALUE(SUBSTITUTE(MID(_xlfn.TEXTAFTER('Banco de Dados'!$F1383,"Data do Pedido:
",1),1,10),"-","/")),VALUE(SUBSTITUTE(MID(_xlfn.TEXTAFTER('Banco de Dados'!$F1383,"Order date:
",1),1,10),"-","/"))),0)),ProxyDD[Chave],ProxyDD[Valor por pedido]),PROXY!$P$2),0),0)</f>
        <v>0</v>
      </c>
      <c r="AP1383" s="28">
        <f ca="1">IF('Banco de Dados'!$AK1383&lt;&gt;"-",IF('Banco de Dados'!$AL1383="NÃO",IFERROR(VALUE(SUBSTITUTE(_xlfn.TEXTAFTER('Banco de Dados'!$F1383,"BRL ",1),".",",")),0),0),0)</f>
        <v>0</v>
      </c>
      <c r="AQ1383" s="28">
        <f ca="1">SUM('Banco de Dados'!$AM1383:$AP1383)</f>
        <v>0</v>
      </c>
      <c r="AR1383" s="8"/>
      <c r="AY1383" s="8"/>
    </row>
    <row r="1384" spans="1:51">
      <c r="A1384" s="5" t="str">
        <v>MEI</v>
      </c>
      <c r="B1384" s="5" t="str">
        <f ca="1"/>
        <v>MEI45747</v>
      </c>
      <c r="C1384" s="8" t="str">
        <v>Pedido 1371</v>
      </c>
      <c r="D1384" s="187">
        <v>45746</v>
      </c>
      <c r="E1384" s="9">
        <v>45747</v>
      </c>
      <c r="F1384" s="8" t="str">
        <v>PedidoF1313</v>
      </c>
      <c r="G1384" s="2" t="str">
        <v>CódRastreio1311</v>
      </c>
      <c r="H1384" s="5">
        <v>1</v>
      </c>
      <c r="I1384" s="2" t="str">
        <v>CPF 1335</v>
      </c>
      <c r="J1384" s="2" t="str">
        <v>Nome 1335</v>
      </c>
      <c r="K1384" s="8" t="str">
        <v>Tel 1335</v>
      </c>
      <c r="L1384" s="8" t="str">
        <v>Cep 1335</v>
      </c>
      <c r="M1384" s="8" t="str">
        <v>Rua 1335</v>
      </c>
      <c r="N1384" s="8" t="str">
        <v>Comp 1335</v>
      </c>
      <c r="O1384" s="8" t="str">
        <v>Ventilador Preto</v>
      </c>
      <c r="P1384" s="8" t="str">
        <v>WU-SS4J-LFOH</v>
      </c>
      <c r="Q1384" s="4">
        <v>45765</v>
      </c>
      <c r="R1384" s="109">
        <v>65.75</v>
      </c>
      <c r="S1384" s="11">
        <f ca="1"/>
        <v>65.75</v>
      </c>
      <c r="T1384" s="28">
        <f ca="1"/>
        <v>7.89</v>
      </c>
      <c r="U1384" s="11">
        <f ca="1"/>
        <v>57.86</v>
      </c>
      <c r="V1384" s="11">
        <v>17.48</v>
      </c>
      <c r="W1384" s="11">
        <f ca="1"/>
        <v>0.27</v>
      </c>
      <c r="X1384" s="11">
        <f ca="1"/>
        <v>0.39877104377104378</v>
      </c>
      <c r="Y1384" s="11">
        <v>0</v>
      </c>
      <c r="Z1384" s="11">
        <f ca="1"/>
        <v>39.71122895622895</v>
      </c>
      <c r="AA1384" s="11">
        <f ca="1"/>
        <v>19.855614478114475</v>
      </c>
      <c r="AB1384" s="4">
        <f ca="1"/>
        <v>45772</v>
      </c>
      <c r="AC1384" s="4">
        <v>45772</v>
      </c>
      <c r="AD1384" s="9">
        <v>45779</v>
      </c>
      <c r="AE1384" s="9">
        <v>45783</v>
      </c>
      <c r="AF1384" s="4" t="str">
        <f t="shared" ca="1" si="91"/>
        <v>2025 04</v>
      </c>
      <c r="AG1384" s="8" t="str" cm="1">
        <f t="array" ref="AG1384">IFERROR(_xlfn.IFS('Banco de Dados'!#REF!="AG. COMPRA","Em processamento",'Banco de Dados'!#REF!="AG. RASTREIO","Em processamento",'Banco de Dados'!$AE1384&lt;&gt;"-","Faturado",'Banco de Dados'!$AD1384&lt;&gt;"-","Aguardando Pix",'Banco de Dados'!$AC1384&lt;&gt;"-","Pendente"),"Aguardando Liberação")</f>
        <v>Aguardando Liberação</v>
      </c>
      <c r="AH1384" s="5" t="str">
        <f>IF('Banco de Dados'!$F1384="-",_xlfn.CONCAT(PROPER(TEXT(AK1384,"aaaa"))," ",PROPER(TEXT(AK1384,"mm"))),_xlfn.CONCAT(PROPER(TEXT(E1384,"aaaa"))," ",PROPER(TEXT(E1384,"mm"))))</f>
        <v>2025 03</v>
      </c>
      <c r="AI1384" s="9" t="str">
        <f ca="1">IF('Banco de Dados'!$AK1384&lt;&gt;"-","REEMBOLSO",IFERROR(_xlfn.XLOOKUP(G1384,Follow[CODRASTREIO],Follow[STATUS]),"-"))</f>
        <v>ENTREGUE</v>
      </c>
      <c r="AJ1384" s="9">
        <f ca="1">IF('Banco de Dados'!$AI1384="ENTREGUE",_xlfn.XLOOKUP('Banco de Dados'!$G1384,Follow[CODRASTREIO],Follow[DATAATUALIZAÇÃO]),"-")</f>
        <v>45756</v>
      </c>
      <c r="AK1384" s="132" t="str">
        <f ca="1"/>
        <v>-</v>
      </c>
      <c r="AL1384" s="35"/>
      <c r="AM1384" s="109" cm="1">
        <f t="array" aca="1" ref="AM1384" ca="1">IF('Banco de Dados'!$AK1384&lt;&gt;"-",_xlfn.IFS('Banco de Dados'!$A1384="bv",IF('Banco de Dados'!$E1384&lt;45641,ROUND(SUM('Banco de Dados'!$R1384*_xlfn.XLOOKUP('Banco de Dados'!$P1384,Sku!B:B,Sku!#REF!)*20%),2),ROUND(SUM('Banco de Dados'!$R1384*_xlfn.XLOOKUP('Banco de Dados'!$P1384,Sku!B:B,Sku!H:H)*20%),2)),'Banco de Dados'!$A1384="GO",ROUND(SUM('Banco de Dados'!$R1384*_xlfn.XLOOKUP('Banco de Dados'!$P1384,Sku!C:C,Sku!H:H)*20%),2),'Banco de Dados'!$A1384="MEI",ROUND(SUM('Banco de Dados'!$R1384*_xlfn.XLOOKUP('Banco de Dados'!$P1384,Sku!D:D,Sku!H:H)*20%),2)),0)</f>
        <v>0</v>
      </c>
      <c r="AN1384" s="109">
        <f ca="1">IF('Banco de Dados'!$AK1384&lt;&gt;"-",IF('Banco de Dados'!$F1384&lt;&gt;"-",_xlfn.XLOOKUP(IFERROR(IFERROR(IFERROR(VALUE(SUBSTITUTE(MID(_xlfn.TEXTAFTER('Banco de Dados'!$F1384,"Data do Pedido:
",1),1,10),"-","/")),VALUE(SUBSTITUTE(MID(_xlfn.TEXTAFTER('Banco de Dados'!$F1384,"Order date:
",1),1,10),"-","/"))),VALUE(SUBSTITUTE(MID(_xlfn.TEXTAFTER('Banco de Dados'!$F1384,"Fecha de pedido:
",1),1,10),"-","/"))),"-"),SMS!A:A,SMS!K:K),0),0)</f>
        <v>0</v>
      </c>
      <c r="AO1384" s="109">
        <f ca="1">IF('Banco de Dados'!$AK1384&lt;&gt;"-",IF('Banco de Dados'!$F1384&lt;&gt;"-",IFERROR(_xlfn.XLOOKUP(_xlfn.CONCAT('Banco de Dados'!$A1384,IFERROR(IFERROR(VALUE(SUBSTITUTE(MID(_xlfn.TEXTAFTER('Banco de Dados'!$F1384,"Data do Pedido:
",1),1,10),"-","/")),VALUE(SUBSTITUTE(MID(_xlfn.TEXTAFTER('Banco de Dados'!$F1384,"Order date:
",1),1,10),"-","/"))),0)),ProxyDD[Chave],ProxyDD[Valor por pedido]),PROXY!$P$2),0),0)</f>
        <v>0</v>
      </c>
      <c r="AP1384" s="28">
        <f ca="1">IF('Banco de Dados'!$AK1384&lt;&gt;"-",IF('Banco de Dados'!$AL1384="NÃO",IFERROR(VALUE(SUBSTITUTE(_xlfn.TEXTAFTER('Banco de Dados'!$F1384,"BRL ",1),".",",")),0),0),0)</f>
        <v>0</v>
      </c>
      <c r="AQ1384" s="28">
        <f ca="1">SUM('Banco de Dados'!$AM1384:$AP1384)</f>
        <v>0</v>
      </c>
      <c r="AR1384" s="8"/>
      <c r="AY1384" s="8"/>
    </row>
    <row r="1385" spans="1:51">
      <c r="A1385" s="5" t="str">
        <v>MEI</v>
      </c>
      <c r="B1385" s="5" t="str">
        <f ca="1"/>
        <v>MEI45747</v>
      </c>
      <c r="C1385" s="8" t="str">
        <v>Pedido 1372</v>
      </c>
      <c r="D1385" s="187">
        <v>45747</v>
      </c>
      <c r="E1385" s="9">
        <v>45747</v>
      </c>
      <c r="F1385" s="8" t="str">
        <v>PedidoF1314</v>
      </c>
      <c r="G1385" s="2" t="str">
        <v>CódRastreio1312</v>
      </c>
      <c r="H1385" s="5">
        <v>1</v>
      </c>
      <c r="I1385" s="2" t="str">
        <v>CPF 1336</v>
      </c>
      <c r="J1385" s="2" t="str">
        <v>Nome 1336</v>
      </c>
      <c r="K1385" s="8" t="str">
        <v>Tel 1336</v>
      </c>
      <c r="L1385" s="8" t="str">
        <v>Cep 1336</v>
      </c>
      <c r="M1385" s="8" t="str">
        <v>Rua 1336</v>
      </c>
      <c r="N1385" s="8" t="str">
        <v>Comp 1336</v>
      </c>
      <c r="O1385" s="8" t="str">
        <v>Ventilador Umidificador Preto</v>
      </c>
      <c r="P1385" s="8" t="str">
        <v>71-KHMZ-MLQW</v>
      </c>
      <c r="Q1385" s="4">
        <v>45773</v>
      </c>
      <c r="R1385" s="109">
        <v>53</v>
      </c>
      <c r="S1385" s="11">
        <f ca="1"/>
        <v>53</v>
      </c>
      <c r="T1385" s="28">
        <f ca="1"/>
        <v>5.83</v>
      </c>
      <c r="U1385" s="11">
        <f ca="1"/>
        <v>47.17</v>
      </c>
      <c r="V1385" s="11">
        <v>34.26</v>
      </c>
      <c r="W1385" s="11">
        <f ca="1"/>
        <v>0.27</v>
      </c>
      <c r="X1385" s="11">
        <f ca="1"/>
        <v>0.39877104377104378</v>
      </c>
      <c r="Y1385" s="11">
        <v>0</v>
      </c>
      <c r="Z1385" s="11">
        <f ca="1"/>
        <v>12.241228956228959</v>
      </c>
      <c r="AA1385" s="11">
        <f ca="1"/>
        <v>6.1206144781144793</v>
      </c>
      <c r="AB1385" s="4">
        <f ca="1"/>
        <v>45780</v>
      </c>
      <c r="AC1385" s="4">
        <v>45780</v>
      </c>
      <c r="AD1385" s="9">
        <v>45793</v>
      </c>
      <c r="AE1385" s="9">
        <v>45797</v>
      </c>
      <c r="AF1385" s="4" t="str">
        <f t="shared" ca="1" si="91"/>
        <v>2025 05</v>
      </c>
      <c r="AG1385" s="8" t="str" cm="1">
        <f t="array" ref="AG1385">IFERROR(_xlfn.IFS('Banco de Dados'!#REF!="AG. COMPRA","Em processamento",'Banco de Dados'!#REF!="AG. RASTREIO","Em processamento",'Banco de Dados'!$AE1385&lt;&gt;"-","Faturado",'Banco de Dados'!$AD1385&lt;&gt;"-","Aguardando Pix",'Banco de Dados'!$AC1385&lt;&gt;"-","Pendente"),"Aguardando Liberação")</f>
        <v>Aguardando Liberação</v>
      </c>
      <c r="AH1385" s="5" t="str">
        <f>IF('Banco de Dados'!$F1385="-",_xlfn.CONCAT(PROPER(TEXT(AK1385,"aaaa"))," ",PROPER(TEXT(AK1385,"mm"))),_xlfn.CONCAT(PROPER(TEXT(E1385,"aaaa"))," ",PROPER(TEXT(E1385,"mm"))))</f>
        <v>2025 03</v>
      </c>
      <c r="AI1385" s="9" t="str">
        <f ca="1">IF('Banco de Dados'!$AK1385&lt;&gt;"-","REEMBOLSO",IFERROR(_xlfn.XLOOKUP(G1385,Follow[CODRASTREIO],Follow[STATUS]),"-"))</f>
        <v>ENTREGUE</v>
      </c>
      <c r="AJ1385" s="9">
        <f ca="1">IF('Banco de Dados'!$AI1385="ENTREGUE",_xlfn.XLOOKUP('Banco de Dados'!$G1385,Follow[CODRASTREIO],Follow[DATAATUALIZAÇÃO]),"-")</f>
        <v>45764</v>
      </c>
      <c r="AK1385" s="132" t="str">
        <f ca="1"/>
        <v>-</v>
      </c>
      <c r="AL1385" s="35"/>
      <c r="AM1385" s="109" cm="1">
        <f t="array" aca="1" ref="AM1385" ca="1">IF('Banco de Dados'!$AK1385&lt;&gt;"-",_xlfn.IFS('Banco de Dados'!$A1385="bv",IF('Banco de Dados'!$E1385&lt;45641,ROUND(SUM('Banco de Dados'!$R1385*_xlfn.XLOOKUP('Banco de Dados'!$P1385,Sku!B:B,Sku!#REF!)*20%),2),ROUND(SUM('Banco de Dados'!$R1385*_xlfn.XLOOKUP('Banco de Dados'!$P1385,Sku!B:B,Sku!H:H)*20%),2)),'Banco de Dados'!$A1385="GO",ROUND(SUM('Banco de Dados'!$R1385*_xlfn.XLOOKUP('Banco de Dados'!$P1385,Sku!C:C,Sku!H:H)*20%),2),'Banco de Dados'!$A1385="MEI",ROUND(SUM('Banco de Dados'!$R1385*_xlfn.XLOOKUP('Banco de Dados'!$P1385,Sku!D:D,Sku!H:H)*20%),2)),0)</f>
        <v>0</v>
      </c>
      <c r="AN1385" s="109">
        <f ca="1">IF('Banco de Dados'!$AK1385&lt;&gt;"-",IF('Banco de Dados'!$F1385&lt;&gt;"-",_xlfn.XLOOKUP(IFERROR(IFERROR(IFERROR(VALUE(SUBSTITUTE(MID(_xlfn.TEXTAFTER('Banco de Dados'!$F1385,"Data do Pedido:
",1),1,10),"-","/")),VALUE(SUBSTITUTE(MID(_xlfn.TEXTAFTER('Banco de Dados'!$F1385,"Order date:
",1),1,10),"-","/"))),VALUE(SUBSTITUTE(MID(_xlfn.TEXTAFTER('Banco de Dados'!$F1385,"Fecha de pedido:
",1),1,10),"-","/"))),"-"),SMS!A:A,SMS!K:K),0),0)</f>
        <v>0</v>
      </c>
      <c r="AO1385" s="109">
        <f ca="1">IF('Banco de Dados'!$AK1385&lt;&gt;"-",IF('Banco de Dados'!$F1385&lt;&gt;"-",IFERROR(_xlfn.XLOOKUP(_xlfn.CONCAT('Banco de Dados'!$A1385,IFERROR(IFERROR(VALUE(SUBSTITUTE(MID(_xlfn.TEXTAFTER('Banco de Dados'!$F1385,"Data do Pedido:
",1),1,10),"-","/")),VALUE(SUBSTITUTE(MID(_xlfn.TEXTAFTER('Banco de Dados'!$F1385,"Order date:
",1),1,10),"-","/"))),0)),ProxyDD[Chave],ProxyDD[Valor por pedido]),PROXY!$P$2),0),0)</f>
        <v>0</v>
      </c>
      <c r="AP1385" s="28">
        <f ca="1">IF('Banco de Dados'!$AK1385&lt;&gt;"-",IF('Banco de Dados'!$AL1385="NÃO",IFERROR(VALUE(SUBSTITUTE(_xlfn.TEXTAFTER('Banco de Dados'!$F1385,"BRL ",1),".",",")),0),0),0)</f>
        <v>0</v>
      </c>
      <c r="AQ1385" s="28">
        <f ca="1">SUM('Banco de Dados'!$AM1385:$AP1385)</f>
        <v>0</v>
      </c>
      <c r="AR1385" s="8"/>
      <c r="AY1385" s="8"/>
    </row>
    <row r="1386" spans="1:51">
      <c r="A1386" s="5" t="str">
        <v>MEI</v>
      </c>
      <c r="B1386" s="5" t="str">
        <f ca="1"/>
        <v>MEI45749</v>
      </c>
      <c r="C1386" s="8" t="str">
        <v>Pedido 1373</v>
      </c>
      <c r="D1386" s="187">
        <v>45747</v>
      </c>
      <c r="E1386" s="9">
        <v>45749</v>
      </c>
      <c r="F1386" s="8" t="str">
        <v>PedidoF1315</v>
      </c>
      <c r="G1386" s="2" t="str">
        <v>CódRastreio1313</v>
      </c>
      <c r="H1386" s="5">
        <v>1</v>
      </c>
      <c r="I1386" s="2" t="str">
        <v>CPF 1337</v>
      </c>
      <c r="J1386" s="2" t="str">
        <v>Nome 1337</v>
      </c>
      <c r="K1386" s="8" t="str">
        <v>Tel 1337</v>
      </c>
      <c r="L1386" s="8" t="str">
        <v>Cep 1337</v>
      </c>
      <c r="M1386" s="8" t="str">
        <v>Rua 1337</v>
      </c>
      <c r="N1386" s="8" t="str">
        <v>Comp 1337</v>
      </c>
      <c r="O1386" s="8" t="str">
        <v>Maçarico Culinário Portátil</v>
      </c>
      <c r="P1386" s="8" t="str">
        <v>BG-DHRO-FAEE</v>
      </c>
      <c r="Q1386" s="4">
        <v>45773</v>
      </c>
      <c r="R1386" s="109">
        <v>26.99</v>
      </c>
      <c r="S1386" s="11">
        <f ca="1"/>
        <v>26.99</v>
      </c>
      <c r="T1386" s="28">
        <f ca="1"/>
        <v>2.9688999999999997</v>
      </c>
      <c r="U1386" s="11">
        <f ca="1"/>
        <v>24.02</v>
      </c>
      <c r="V1386" s="11">
        <v>10.56</v>
      </c>
      <c r="W1386" s="11">
        <f ca="1"/>
        <v>0.2</v>
      </c>
      <c r="X1386" s="11">
        <f ca="1"/>
        <v>0.39877104377104378</v>
      </c>
      <c r="Y1386" s="11">
        <v>0</v>
      </c>
      <c r="Z1386" s="11">
        <f ca="1"/>
        <v>12.861228956228956</v>
      </c>
      <c r="AA1386" s="11">
        <f ca="1"/>
        <v>6.4306144781144781</v>
      </c>
      <c r="AB1386" s="4">
        <f ca="1"/>
        <v>45780</v>
      </c>
      <c r="AC1386" s="4">
        <v>45780</v>
      </c>
      <c r="AD1386" s="9">
        <v>45793</v>
      </c>
      <c r="AE1386" s="9">
        <v>45797</v>
      </c>
      <c r="AF1386" s="4" t="str">
        <f t="shared" ca="1" si="91"/>
        <v>2025 05</v>
      </c>
      <c r="AG1386" s="8" t="str" cm="1">
        <f t="array" ref="AG1386">IFERROR(_xlfn.IFS('Banco de Dados'!#REF!="AG. COMPRA","Em processamento",'Banco de Dados'!#REF!="AG. RASTREIO","Em processamento",'Banco de Dados'!$AE1386&lt;&gt;"-","Faturado",'Banco de Dados'!$AD1386&lt;&gt;"-","Aguardando Pix",'Banco de Dados'!$AC1386&lt;&gt;"-","Pendente"),"Aguardando Liberação")</f>
        <v>Aguardando Liberação</v>
      </c>
      <c r="AH1386" s="5" t="str">
        <f>IF('Banco de Dados'!$F1386="-",_xlfn.CONCAT(PROPER(TEXT(AK1386,"aaaa"))," ",PROPER(TEXT(AK1386,"mm"))),_xlfn.CONCAT(PROPER(TEXT(E1386,"aaaa"))," ",PROPER(TEXT(E1386,"mm"))))</f>
        <v>2025 04</v>
      </c>
      <c r="AI1386" s="9" t="str">
        <f ca="1">IF('Banco de Dados'!$AK1386&lt;&gt;"-","REEMBOLSO",IFERROR(_xlfn.XLOOKUP(G1386,Follow[CODRASTREIO],Follow[STATUS]),"-"))</f>
        <v>ENTREGUE</v>
      </c>
      <c r="AJ1386" s="9">
        <f ca="1">IF('Banco de Dados'!$AI1386="ENTREGUE",_xlfn.XLOOKUP('Banco de Dados'!$G1386,Follow[CODRASTREIO],Follow[DATAATUALIZAÇÃO]),"-")</f>
        <v>45769</v>
      </c>
      <c r="AK1386" s="132" t="str">
        <f ca="1"/>
        <v>-</v>
      </c>
      <c r="AL1386" s="35"/>
      <c r="AM1386" s="109" cm="1">
        <f t="array" aca="1" ref="AM1386" ca="1">IF('Banco de Dados'!$AK1386&lt;&gt;"-",_xlfn.IFS('Banco de Dados'!$A1386="bv",IF('Banco de Dados'!$E1386&lt;45641,ROUND(SUM('Banco de Dados'!$R1386*_xlfn.XLOOKUP('Banco de Dados'!$P1386,Sku!B:B,Sku!#REF!)*20%),2),ROUND(SUM('Banco de Dados'!$R1386*_xlfn.XLOOKUP('Banco de Dados'!$P1386,Sku!B:B,Sku!H:H)*20%),2)),'Banco de Dados'!$A1386="GO",ROUND(SUM('Banco de Dados'!$R1386*_xlfn.XLOOKUP('Banco de Dados'!$P1386,Sku!C:C,Sku!H:H)*20%),2),'Banco de Dados'!$A1386="MEI",ROUND(SUM('Banco de Dados'!$R1386*_xlfn.XLOOKUP('Banco de Dados'!$P1386,Sku!D:D,Sku!H:H)*20%),2)),0)</f>
        <v>0</v>
      </c>
      <c r="AN1386" s="109">
        <f ca="1">IF('Banco de Dados'!$AK1386&lt;&gt;"-",IF('Banco de Dados'!$F1386&lt;&gt;"-",_xlfn.XLOOKUP(IFERROR(IFERROR(IFERROR(VALUE(SUBSTITUTE(MID(_xlfn.TEXTAFTER('Banco de Dados'!$F1386,"Data do Pedido:
",1),1,10),"-","/")),VALUE(SUBSTITUTE(MID(_xlfn.TEXTAFTER('Banco de Dados'!$F1386,"Order date:
",1),1,10),"-","/"))),VALUE(SUBSTITUTE(MID(_xlfn.TEXTAFTER('Banco de Dados'!$F1386,"Fecha de pedido:
",1),1,10),"-","/"))),"-"),SMS!A:A,SMS!K:K),0),0)</f>
        <v>0</v>
      </c>
      <c r="AO1386" s="109">
        <f ca="1">IF('Banco de Dados'!$AK1386&lt;&gt;"-",IF('Banco de Dados'!$F1386&lt;&gt;"-",IFERROR(_xlfn.XLOOKUP(_xlfn.CONCAT('Banco de Dados'!$A1386,IFERROR(IFERROR(VALUE(SUBSTITUTE(MID(_xlfn.TEXTAFTER('Banco de Dados'!$F1386,"Data do Pedido:
",1),1,10),"-","/")),VALUE(SUBSTITUTE(MID(_xlfn.TEXTAFTER('Banco de Dados'!$F1386,"Order date:
",1),1,10),"-","/"))),0)),ProxyDD[Chave],ProxyDD[Valor por pedido]),PROXY!$P$2),0),0)</f>
        <v>0</v>
      </c>
      <c r="AP1386" s="28">
        <f ca="1">IF('Banco de Dados'!$AK1386&lt;&gt;"-",IF('Banco de Dados'!$AL1386="NÃO",IFERROR(VALUE(SUBSTITUTE(_xlfn.TEXTAFTER('Banco de Dados'!$F1386,"BRL ",1),".",",")),0),0),0)</f>
        <v>0</v>
      </c>
      <c r="AQ1386" s="28">
        <f ca="1">SUM('Banco de Dados'!$AM1386:$AP1386)</f>
        <v>0</v>
      </c>
      <c r="AR1386" s="8"/>
      <c r="AY1386" s="8"/>
    </row>
    <row r="1387" spans="1:51">
      <c r="A1387" s="5" t="str">
        <v>MEI</v>
      </c>
      <c r="B1387" s="5" t="str">
        <f ca="1"/>
        <v>MEI45747</v>
      </c>
      <c r="C1387" s="8" t="str">
        <v>Pedido 1374</v>
      </c>
      <c r="D1387" s="187">
        <v>45747</v>
      </c>
      <c r="E1387" s="9">
        <v>45747</v>
      </c>
      <c r="F1387" s="8" t="str">
        <v>PedidoF1316</v>
      </c>
      <c r="G1387" s="2" t="str">
        <v>CódRastreio1314</v>
      </c>
      <c r="H1387" s="5">
        <v>1</v>
      </c>
      <c r="I1387" s="2" t="str">
        <v>CPF 1338</v>
      </c>
      <c r="J1387" s="2" t="str">
        <v>Nome 1338</v>
      </c>
      <c r="K1387" s="8" t="str">
        <v>Tel 1338</v>
      </c>
      <c r="L1387" s="8" t="str">
        <v>Cep 1338</v>
      </c>
      <c r="M1387" s="8" t="str">
        <v>Rua 1338</v>
      </c>
      <c r="N1387" s="8" t="str">
        <v>Comp 1338</v>
      </c>
      <c r="O1387" s="8" t="str">
        <v>Maçarico Culinário Portátil</v>
      </c>
      <c r="P1387" s="8" t="str">
        <v>BG-DHRO-FAEE</v>
      </c>
      <c r="Q1387" s="4">
        <v>45776</v>
      </c>
      <c r="R1387" s="109">
        <v>26.99</v>
      </c>
      <c r="S1387" s="11">
        <f ca="1"/>
        <v>26.99</v>
      </c>
      <c r="T1387" s="28">
        <f ca="1"/>
        <v>2.9688999999999997</v>
      </c>
      <c r="U1387" s="11">
        <f ca="1"/>
        <v>24.02</v>
      </c>
      <c r="V1387" s="11">
        <v>10.210000000000001</v>
      </c>
      <c r="W1387" s="11">
        <f ca="1"/>
        <v>0.27</v>
      </c>
      <c r="X1387" s="11">
        <f ca="1"/>
        <v>0.39877104377104378</v>
      </c>
      <c r="Y1387" s="11">
        <v>0</v>
      </c>
      <c r="Z1387" s="11">
        <f ca="1"/>
        <v>13.141228956228955</v>
      </c>
      <c r="AA1387" s="11">
        <f ca="1"/>
        <v>6.5706144781144777</v>
      </c>
      <c r="AB1387" s="4">
        <f ca="1"/>
        <v>45783</v>
      </c>
      <c r="AC1387" s="4">
        <v>45783</v>
      </c>
      <c r="AD1387" s="9">
        <v>45793</v>
      </c>
      <c r="AE1387" s="9">
        <v>45797</v>
      </c>
      <c r="AF1387" s="4" t="str">
        <f t="shared" ca="1" si="91"/>
        <v>2025 05</v>
      </c>
      <c r="AG1387" s="8" t="str" cm="1">
        <f t="array" ref="AG1387">IFERROR(_xlfn.IFS('Banco de Dados'!#REF!="AG. COMPRA","Em processamento",'Banco de Dados'!#REF!="AG. RASTREIO","Em processamento",'Banco de Dados'!$AE1387&lt;&gt;"-","Faturado",'Banco de Dados'!$AD1387&lt;&gt;"-","Aguardando Pix",'Banco de Dados'!$AC1387&lt;&gt;"-","Pendente"),"Aguardando Liberação")</f>
        <v>Aguardando Liberação</v>
      </c>
      <c r="AH1387" s="5" t="str">
        <f>IF('Banco de Dados'!$F1387="-",_xlfn.CONCAT(PROPER(TEXT(AK1387,"aaaa"))," ",PROPER(TEXT(AK1387,"mm"))),_xlfn.CONCAT(PROPER(TEXT(E1387,"aaaa"))," ",PROPER(TEXT(E1387,"mm"))))</f>
        <v>2025 03</v>
      </c>
      <c r="AI1387" s="9" t="str">
        <f ca="1">IF('Banco de Dados'!$AK1387&lt;&gt;"-","REEMBOLSO",IFERROR(_xlfn.XLOOKUP(G1387,Follow[CODRASTREIO],Follow[STATUS]),"-"))</f>
        <v>ENTREGUE</v>
      </c>
      <c r="AJ1387" s="9">
        <f ca="1">IF('Banco de Dados'!$AI1387="ENTREGUE",_xlfn.XLOOKUP('Banco de Dados'!$G1387,Follow[CODRASTREIO],Follow[DATAATUALIZAÇÃO]),"-")</f>
        <v>45769</v>
      </c>
      <c r="AK1387" s="132" t="str">
        <f ca="1"/>
        <v>-</v>
      </c>
      <c r="AL1387" s="35"/>
      <c r="AM1387" s="109" cm="1">
        <f t="array" aca="1" ref="AM1387" ca="1">IF('Banco de Dados'!$AK1387&lt;&gt;"-",_xlfn.IFS('Banco de Dados'!$A1387="bv",IF('Banco de Dados'!$E1387&lt;45641,ROUND(SUM('Banco de Dados'!$R1387*_xlfn.XLOOKUP('Banco de Dados'!$P1387,Sku!B:B,Sku!#REF!)*20%),2),ROUND(SUM('Banco de Dados'!$R1387*_xlfn.XLOOKUP('Banco de Dados'!$P1387,Sku!B:B,Sku!H:H)*20%),2)),'Banco de Dados'!$A1387="GO",ROUND(SUM('Banco de Dados'!$R1387*_xlfn.XLOOKUP('Banco de Dados'!$P1387,Sku!C:C,Sku!H:H)*20%),2),'Banco de Dados'!$A1387="MEI",ROUND(SUM('Banco de Dados'!$R1387*_xlfn.XLOOKUP('Banco de Dados'!$P1387,Sku!D:D,Sku!H:H)*20%),2)),0)</f>
        <v>0</v>
      </c>
      <c r="AN1387" s="109">
        <f ca="1">IF('Banco de Dados'!$AK1387&lt;&gt;"-",IF('Banco de Dados'!$F1387&lt;&gt;"-",_xlfn.XLOOKUP(IFERROR(IFERROR(IFERROR(VALUE(SUBSTITUTE(MID(_xlfn.TEXTAFTER('Banco de Dados'!$F1387,"Data do Pedido:
",1),1,10),"-","/")),VALUE(SUBSTITUTE(MID(_xlfn.TEXTAFTER('Banco de Dados'!$F1387,"Order date:
",1),1,10),"-","/"))),VALUE(SUBSTITUTE(MID(_xlfn.TEXTAFTER('Banco de Dados'!$F1387,"Fecha de pedido:
",1),1,10),"-","/"))),"-"),SMS!A:A,SMS!K:K),0),0)</f>
        <v>0</v>
      </c>
      <c r="AO1387" s="109">
        <f ca="1">IF('Banco de Dados'!$AK1387&lt;&gt;"-",IF('Banco de Dados'!$F1387&lt;&gt;"-",IFERROR(_xlfn.XLOOKUP(_xlfn.CONCAT('Banco de Dados'!$A1387,IFERROR(IFERROR(VALUE(SUBSTITUTE(MID(_xlfn.TEXTAFTER('Banco de Dados'!$F1387,"Data do Pedido:
",1),1,10),"-","/")),VALUE(SUBSTITUTE(MID(_xlfn.TEXTAFTER('Banco de Dados'!$F1387,"Order date:
",1),1,10),"-","/"))),0)),ProxyDD[Chave],ProxyDD[Valor por pedido]),PROXY!$P$2),0),0)</f>
        <v>0</v>
      </c>
      <c r="AP1387" s="28">
        <f ca="1">IF('Banco de Dados'!$AK1387&lt;&gt;"-",IF('Banco de Dados'!$AL1387="NÃO",IFERROR(VALUE(SUBSTITUTE(_xlfn.TEXTAFTER('Banco de Dados'!$F1387,"BRL ",1),".",",")),0),0),0)</f>
        <v>0</v>
      </c>
      <c r="AQ1387" s="28">
        <f ca="1">SUM('Banco de Dados'!$AM1387:$AP1387)</f>
        <v>0</v>
      </c>
      <c r="AR1387" s="8"/>
      <c r="AY1387" s="8"/>
    </row>
    <row r="1388" spans="1:51">
      <c r="A1388" s="5" t="str">
        <v>MEI</v>
      </c>
      <c r="B1388" s="5" t="str">
        <f ca="1"/>
        <v>MEI45747</v>
      </c>
      <c r="C1388" s="8" t="str">
        <v>Pedido 1375</v>
      </c>
      <c r="D1388" s="187">
        <v>45747</v>
      </c>
      <c r="E1388" s="9">
        <v>45747</v>
      </c>
      <c r="F1388" s="8" t="str">
        <v>PedidoF1317</v>
      </c>
      <c r="G1388" s="2" t="str">
        <v>CódRastreio1315</v>
      </c>
      <c r="H1388" s="5">
        <v>1</v>
      </c>
      <c r="I1388" s="2" t="str">
        <v>CPF 1339</v>
      </c>
      <c r="J1388" s="2" t="str">
        <v>Nome 1339</v>
      </c>
      <c r="K1388" s="8" t="str">
        <v>Tel 1339</v>
      </c>
      <c r="L1388" s="8" t="str">
        <v>Cep 1339</v>
      </c>
      <c r="M1388" s="8" t="str">
        <v>Rua 1339</v>
      </c>
      <c r="N1388" s="8" t="str">
        <v>Comp 1339</v>
      </c>
      <c r="O1388" s="8" t="str">
        <v>Luminária Azul de mesa infantil</v>
      </c>
      <c r="P1388" s="8" t="str">
        <v>NO-Z0ZJ-Z61M</v>
      </c>
      <c r="Q1388" s="4">
        <v>45776</v>
      </c>
      <c r="R1388" s="109">
        <v>49.99</v>
      </c>
      <c r="S1388" s="11">
        <f ca="1"/>
        <v>49.99</v>
      </c>
      <c r="T1388" s="28">
        <f ca="1"/>
        <v>5.9988000000000001</v>
      </c>
      <c r="U1388" s="11">
        <f ca="1"/>
        <v>43.99</v>
      </c>
      <c r="V1388" s="11">
        <v>17.09</v>
      </c>
      <c r="W1388" s="11">
        <f ca="1"/>
        <v>0.27</v>
      </c>
      <c r="X1388" s="11">
        <f ca="1"/>
        <v>0.39877104377104378</v>
      </c>
      <c r="Y1388" s="11">
        <v>0</v>
      </c>
      <c r="Z1388" s="11">
        <f ca="1"/>
        <v>26.231228956228957</v>
      </c>
      <c r="AA1388" s="11">
        <f ca="1"/>
        <v>13.115614478114479</v>
      </c>
      <c r="AB1388" s="4">
        <f ca="1"/>
        <v>45783</v>
      </c>
      <c r="AC1388" s="4">
        <v>45783</v>
      </c>
      <c r="AD1388" s="9">
        <v>45793</v>
      </c>
      <c r="AE1388" s="9">
        <v>45797</v>
      </c>
      <c r="AF1388" s="4" t="str">
        <f t="shared" ca="1" si="91"/>
        <v>2025 05</v>
      </c>
      <c r="AG1388" s="8" t="str" cm="1">
        <f t="array" ref="AG1388">IFERROR(_xlfn.IFS('Banco de Dados'!#REF!="AG. COMPRA","Em processamento",'Banco de Dados'!#REF!="AG. RASTREIO","Em processamento",'Banco de Dados'!$AE1388&lt;&gt;"-","Faturado",'Banco de Dados'!$AD1388&lt;&gt;"-","Aguardando Pix",'Banco de Dados'!$AC1388&lt;&gt;"-","Pendente"),"Aguardando Liberação")</f>
        <v>Aguardando Liberação</v>
      </c>
      <c r="AH1388" s="5" t="str">
        <f>IF('Banco de Dados'!$F1388="-",_xlfn.CONCAT(PROPER(TEXT(AK1388,"aaaa"))," ",PROPER(TEXT(AK1388,"mm"))),_xlfn.CONCAT(PROPER(TEXT(E1388,"aaaa"))," ",PROPER(TEXT(E1388,"mm"))))</f>
        <v>2025 03</v>
      </c>
      <c r="AI1388" s="9" t="str">
        <f ca="1">IF('Banco de Dados'!$AK1388&lt;&gt;"-","REEMBOLSO",IFERROR(_xlfn.XLOOKUP(G1388,Follow[CODRASTREIO],Follow[STATUS]),"-"))</f>
        <v>ENTREGUE</v>
      </c>
      <c r="AJ1388" s="9">
        <f ca="1">IF('Banco de Dados'!$AI1388="ENTREGUE",_xlfn.XLOOKUP('Banco de Dados'!$G1388,Follow[CODRASTREIO],Follow[DATAATUALIZAÇÃO]),"-")</f>
        <v>45763</v>
      </c>
      <c r="AK1388" s="132" t="str">
        <f ca="1"/>
        <v>-</v>
      </c>
      <c r="AL1388" s="35"/>
      <c r="AM1388" s="109" cm="1">
        <f t="array" aca="1" ref="AM1388" ca="1">IF('Banco de Dados'!$AK1388&lt;&gt;"-",_xlfn.IFS('Banco de Dados'!$A1388="bv",IF('Banco de Dados'!$E1388&lt;45641,ROUND(SUM('Banco de Dados'!$R1388*_xlfn.XLOOKUP('Banco de Dados'!$P1388,Sku!B:B,Sku!#REF!)*20%),2),ROUND(SUM('Banco de Dados'!$R1388*_xlfn.XLOOKUP('Banco de Dados'!$P1388,Sku!B:B,Sku!H:H)*20%),2)),'Banco de Dados'!$A1388="GO",ROUND(SUM('Banco de Dados'!$R1388*_xlfn.XLOOKUP('Banco de Dados'!$P1388,Sku!C:C,Sku!H:H)*20%),2),'Banco de Dados'!$A1388="MEI",ROUND(SUM('Banco de Dados'!$R1388*_xlfn.XLOOKUP('Banco de Dados'!$P1388,Sku!D:D,Sku!H:H)*20%),2)),0)</f>
        <v>0</v>
      </c>
      <c r="AN1388" s="109">
        <f ca="1">IF('Banco de Dados'!$AK1388&lt;&gt;"-",IF('Banco de Dados'!$F1388&lt;&gt;"-",_xlfn.XLOOKUP(IFERROR(IFERROR(IFERROR(VALUE(SUBSTITUTE(MID(_xlfn.TEXTAFTER('Banco de Dados'!$F1388,"Data do Pedido:
",1),1,10),"-","/")),VALUE(SUBSTITUTE(MID(_xlfn.TEXTAFTER('Banco de Dados'!$F1388,"Order date:
",1),1,10),"-","/"))),VALUE(SUBSTITUTE(MID(_xlfn.TEXTAFTER('Banco de Dados'!$F1388,"Fecha de pedido:
",1),1,10),"-","/"))),"-"),SMS!A:A,SMS!K:K),0),0)</f>
        <v>0</v>
      </c>
      <c r="AO1388" s="109">
        <f ca="1">IF('Banco de Dados'!$AK1388&lt;&gt;"-",IF('Banco de Dados'!$F1388&lt;&gt;"-",IFERROR(_xlfn.XLOOKUP(_xlfn.CONCAT('Banco de Dados'!$A1388,IFERROR(IFERROR(VALUE(SUBSTITUTE(MID(_xlfn.TEXTAFTER('Banco de Dados'!$F1388,"Data do Pedido:
",1),1,10),"-","/")),VALUE(SUBSTITUTE(MID(_xlfn.TEXTAFTER('Banco de Dados'!$F1388,"Order date:
",1),1,10),"-","/"))),0)),ProxyDD[Chave],ProxyDD[Valor por pedido]),PROXY!$P$2),0),0)</f>
        <v>0</v>
      </c>
      <c r="AP1388" s="28">
        <f ca="1">IF('Banco de Dados'!$AK1388&lt;&gt;"-",IF('Banco de Dados'!$AL1388="NÃO",IFERROR(VALUE(SUBSTITUTE(_xlfn.TEXTAFTER('Banco de Dados'!$F1388,"BRL ",1),".",",")),0),0),0)</f>
        <v>0</v>
      </c>
      <c r="AQ1388" s="28">
        <f ca="1">SUM('Banco de Dados'!$AM1388:$AP1388)</f>
        <v>0</v>
      </c>
      <c r="AR1388" s="8"/>
      <c r="AY1388" s="8"/>
    </row>
    <row r="1389" spans="1:51">
      <c r="A1389" s="5" t="str">
        <v>MEI</v>
      </c>
      <c r="B1389" s="5" t="str">
        <f ca="1"/>
        <v>MEI45749</v>
      </c>
      <c r="C1389" s="8" t="str">
        <v>Pedido 1376</v>
      </c>
      <c r="D1389" s="187">
        <v>45747</v>
      </c>
      <c r="E1389" s="9">
        <v>45749</v>
      </c>
      <c r="F1389" s="8" t="str">
        <v>PedidoF1318</v>
      </c>
      <c r="G1389" s="2" t="str">
        <v>CódRastreio1316</v>
      </c>
      <c r="H1389" s="5">
        <v>1</v>
      </c>
      <c r="I1389" s="2" t="str">
        <v>CPF 1340</v>
      </c>
      <c r="J1389" s="2" t="str">
        <v>Nome 1340</v>
      </c>
      <c r="K1389" s="8" t="str">
        <v>Tel 1340</v>
      </c>
      <c r="L1389" s="8" t="str">
        <v>Cep 1340</v>
      </c>
      <c r="M1389" s="8" t="str">
        <v>Rua 1340</v>
      </c>
      <c r="N1389" s="8" t="str">
        <v>Comp 1340</v>
      </c>
      <c r="O1389" s="8" t="str">
        <v>Maçarico Culinário Portátil</v>
      </c>
      <c r="P1389" s="8" t="str">
        <v>BG-DHRO-FAEE</v>
      </c>
      <c r="Q1389" s="4">
        <v>45776</v>
      </c>
      <c r="R1389" s="109">
        <v>26.99</v>
      </c>
      <c r="S1389" s="11">
        <f ca="1"/>
        <v>26.99</v>
      </c>
      <c r="T1389" s="28">
        <f ca="1"/>
        <v>2.9688999999999997</v>
      </c>
      <c r="U1389" s="11">
        <f ca="1"/>
        <v>24.02</v>
      </c>
      <c r="V1389" s="11">
        <v>10.210000000000001</v>
      </c>
      <c r="W1389" s="11">
        <f ca="1"/>
        <v>0.2</v>
      </c>
      <c r="X1389" s="11">
        <f ca="1"/>
        <v>0.39877104377104378</v>
      </c>
      <c r="Y1389" s="11">
        <v>0</v>
      </c>
      <c r="Z1389" s="11">
        <f ca="1"/>
        <v>13.211228956228956</v>
      </c>
      <c r="AA1389" s="11">
        <f ca="1"/>
        <v>6.6056144781144779</v>
      </c>
      <c r="AB1389" s="4">
        <f ca="1"/>
        <v>45783</v>
      </c>
      <c r="AC1389" s="4">
        <v>45783</v>
      </c>
      <c r="AD1389" s="9">
        <v>45793</v>
      </c>
      <c r="AE1389" s="9">
        <v>45797</v>
      </c>
      <c r="AF1389" s="4" t="str">
        <f t="shared" ca="1" si="91"/>
        <v>2025 05</v>
      </c>
      <c r="AG1389" s="8" t="str" cm="1">
        <f t="array" ref="AG1389">IFERROR(_xlfn.IFS('Banco de Dados'!#REF!="AG. COMPRA","Em processamento",'Banco de Dados'!#REF!="AG. RASTREIO","Em processamento",'Banco de Dados'!$AE1389&lt;&gt;"-","Faturado",'Banco de Dados'!$AD1389&lt;&gt;"-","Aguardando Pix",'Banco de Dados'!$AC1389&lt;&gt;"-","Pendente"),"Aguardando Liberação")</f>
        <v>Aguardando Liberação</v>
      </c>
      <c r="AH1389" s="5" t="str">
        <f>IF('Banco de Dados'!$F1389="-",_xlfn.CONCAT(PROPER(TEXT(AK1389,"aaaa"))," ",PROPER(TEXT(AK1389,"mm"))),_xlfn.CONCAT(PROPER(TEXT(E1389,"aaaa"))," ",PROPER(TEXT(E1389,"mm"))))</f>
        <v>2025 04</v>
      </c>
      <c r="AI1389" s="9" t="str">
        <f ca="1">IF('Banco de Dados'!$AK1389&lt;&gt;"-","REEMBOLSO",IFERROR(_xlfn.XLOOKUP(G1389,Follow[CODRASTREIO],Follow[STATUS]),"-"))</f>
        <v>ENTREGUE</v>
      </c>
      <c r="AJ1389" s="9">
        <f ca="1">IF('Banco de Dados'!$AI1389="ENTREGUE",_xlfn.XLOOKUP('Banco de Dados'!$G1389,Follow[CODRASTREIO],Follow[DATAATUALIZAÇÃO]),"-")</f>
        <v>45762</v>
      </c>
      <c r="AK1389" s="132" t="str">
        <f ca="1"/>
        <v>-</v>
      </c>
      <c r="AL1389" s="35"/>
      <c r="AM1389" s="109" cm="1">
        <f t="array" aca="1" ref="AM1389" ca="1">IF('Banco de Dados'!$AK1389&lt;&gt;"-",_xlfn.IFS('Banco de Dados'!$A1389="bv",IF('Banco de Dados'!$E1389&lt;45641,ROUND(SUM('Banco de Dados'!$R1389*_xlfn.XLOOKUP('Banco de Dados'!$P1389,Sku!B:B,Sku!#REF!)*20%),2),ROUND(SUM('Banco de Dados'!$R1389*_xlfn.XLOOKUP('Banco de Dados'!$P1389,Sku!B:B,Sku!H:H)*20%),2)),'Banco de Dados'!$A1389="GO",ROUND(SUM('Banco de Dados'!$R1389*_xlfn.XLOOKUP('Banco de Dados'!$P1389,Sku!C:C,Sku!H:H)*20%),2),'Banco de Dados'!$A1389="MEI",ROUND(SUM('Banco de Dados'!$R1389*_xlfn.XLOOKUP('Banco de Dados'!$P1389,Sku!D:D,Sku!H:H)*20%),2)),0)</f>
        <v>0</v>
      </c>
      <c r="AN1389" s="109">
        <f ca="1">IF('Banco de Dados'!$AK1389&lt;&gt;"-",IF('Banco de Dados'!$F1389&lt;&gt;"-",_xlfn.XLOOKUP(IFERROR(IFERROR(IFERROR(VALUE(SUBSTITUTE(MID(_xlfn.TEXTAFTER('Banco de Dados'!$F1389,"Data do Pedido:
",1),1,10),"-","/")),VALUE(SUBSTITUTE(MID(_xlfn.TEXTAFTER('Banco de Dados'!$F1389,"Order date:
",1),1,10),"-","/"))),VALUE(SUBSTITUTE(MID(_xlfn.TEXTAFTER('Banco de Dados'!$F1389,"Fecha de pedido:
",1),1,10),"-","/"))),"-"),SMS!A:A,SMS!K:K),0),0)</f>
        <v>0</v>
      </c>
      <c r="AO1389" s="109">
        <f ca="1">IF('Banco de Dados'!$AK1389&lt;&gt;"-",IF('Banco de Dados'!$F1389&lt;&gt;"-",IFERROR(_xlfn.XLOOKUP(_xlfn.CONCAT('Banco de Dados'!$A1389,IFERROR(IFERROR(VALUE(SUBSTITUTE(MID(_xlfn.TEXTAFTER('Banco de Dados'!$F1389,"Data do Pedido:
",1),1,10),"-","/")),VALUE(SUBSTITUTE(MID(_xlfn.TEXTAFTER('Banco de Dados'!$F1389,"Order date:
",1),1,10),"-","/"))),0)),ProxyDD[Chave],ProxyDD[Valor por pedido]),PROXY!$P$2),0),0)</f>
        <v>0</v>
      </c>
      <c r="AP1389" s="28">
        <f ca="1">IF('Banco de Dados'!$AK1389&lt;&gt;"-",IF('Banco de Dados'!$AL1389="NÃO",IFERROR(VALUE(SUBSTITUTE(_xlfn.TEXTAFTER('Banco de Dados'!$F1389,"BRL ",1),".",",")),0),0),0)</f>
        <v>0</v>
      </c>
      <c r="AQ1389" s="28">
        <f ca="1">SUM('Banco de Dados'!$AM1389:$AP1389)</f>
        <v>0</v>
      </c>
      <c r="AR1389" s="8"/>
      <c r="AY1389" s="8"/>
    </row>
    <row r="1390" spans="1:51">
      <c r="A1390" s="5" t="str">
        <v>MEI</v>
      </c>
      <c r="B1390" s="5" t="str">
        <f ca="1"/>
        <v>MEI45747</v>
      </c>
      <c r="C1390" s="8" t="str">
        <v>Pedido 1377</v>
      </c>
      <c r="D1390" s="187">
        <v>45747</v>
      </c>
      <c r="E1390" s="9">
        <v>45747</v>
      </c>
      <c r="F1390" s="8" t="str">
        <v>PedidoF1319</v>
      </c>
      <c r="G1390" s="2" t="str">
        <v>CódRastreio1317</v>
      </c>
      <c r="H1390" s="5">
        <v>1</v>
      </c>
      <c r="I1390" s="2" t="str">
        <v>CPF 1341</v>
      </c>
      <c r="J1390" s="2" t="str">
        <v>Nome 1341</v>
      </c>
      <c r="K1390" s="8" t="str">
        <v>Tel 1341</v>
      </c>
      <c r="L1390" s="8" t="str">
        <v>Cep 1341</v>
      </c>
      <c r="M1390" s="8" t="str">
        <v>Rua 1341</v>
      </c>
      <c r="N1390" s="8" t="str">
        <v>Comp 1341</v>
      </c>
      <c r="O1390" s="8" t="str">
        <v>Caixinha de som Preta</v>
      </c>
      <c r="P1390" s="8" t="str">
        <v>K9-7YJH-TT9R</v>
      </c>
      <c r="Q1390" s="4">
        <v>45776</v>
      </c>
      <c r="R1390" s="109">
        <v>25.88</v>
      </c>
      <c r="S1390" s="11">
        <f ca="1"/>
        <v>25.88</v>
      </c>
      <c r="T1390" s="28">
        <f ca="1"/>
        <v>3.8819999999999997</v>
      </c>
      <c r="U1390" s="11">
        <f ca="1"/>
        <v>22</v>
      </c>
      <c r="V1390" s="11">
        <v>12.5</v>
      </c>
      <c r="W1390" s="11">
        <f ca="1"/>
        <v>0.27</v>
      </c>
      <c r="X1390" s="11">
        <f ca="1"/>
        <v>0.39877104377104378</v>
      </c>
      <c r="Y1390" s="11">
        <v>0</v>
      </c>
      <c r="Z1390" s="11">
        <f ca="1"/>
        <v>8.8312289562289568</v>
      </c>
      <c r="AA1390" s="11">
        <f ca="1"/>
        <v>4.4156144781144784</v>
      </c>
      <c r="AB1390" s="4">
        <f ca="1"/>
        <v>45783</v>
      </c>
      <c r="AC1390" s="4">
        <v>45783</v>
      </c>
      <c r="AD1390" s="9">
        <v>45793</v>
      </c>
      <c r="AE1390" s="9">
        <v>45797</v>
      </c>
      <c r="AF1390" s="4" t="str">
        <f t="shared" ca="1" si="91"/>
        <v>2025 05</v>
      </c>
      <c r="AG1390" s="8" t="str" cm="1">
        <f t="array" ref="AG1390">IFERROR(_xlfn.IFS('Banco de Dados'!#REF!="AG. COMPRA","Em processamento",'Banco de Dados'!#REF!="AG. RASTREIO","Em processamento",'Banco de Dados'!$AE1390&lt;&gt;"-","Faturado",'Banco de Dados'!$AD1390&lt;&gt;"-","Aguardando Pix",'Banco de Dados'!$AC1390&lt;&gt;"-","Pendente"),"Aguardando Liberação")</f>
        <v>Aguardando Liberação</v>
      </c>
      <c r="AH1390" s="5" t="str">
        <f>IF('Banco de Dados'!$F1390="-",_xlfn.CONCAT(PROPER(TEXT(AK1390,"aaaa"))," ",PROPER(TEXT(AK1390,"mm"))),_xlfn.CONCAT(PROPER(TEXT(E1390,"aaaa"))," ",PROPER(TEXT(E1390,"mm"))))</f>
        <v>2025 03</v>
      </c>
      <c r="AI1390" s="9" t="str">
        <f ca="1">IF('Banco de Dados'!$AK1390&lt;&gt;"-","REEMBOLSO",IFERROR(_xlfn.XLOOKUP(G1390,Follow[CODRASTREIO],Follow[STATUS]),"-"))</f>
        <v>ENTREGUE</v>
      </c>
      <c r="AJ1390" s="9">
        <f ca="1">IF('Banco de Dados'!$AI1390="ENTREGUE",_xlfn.XLOOKUP('Banco de Dados'!$G1390,Follow[CODRASTREIO],Follow[DATAATUALIZAÇÃO]),"-")</f>
        <v>45754</v>
      </c>
      <c r="AK1390" s="132" t="str">
        <f ca="1"/>
        <v>-</v>
      </c>
      <c r="AL1390" s="35"/>
      <c r="AM1390" s="109" cm="1">
        <f t="array" aca="1" ref="AM1390" ca="1">IF('Banco de Dados'!$AK1390&lt;&gt;"-",_xlfn.IFS('Banco de Dados'!$A1390="bv",IF('Banco de Dados'!$E1390&lt;45641,ROUND(SUM('Banco de Dados'!$R1390*_xlfn.XLOOKUP('Banco de Dados'!$P1390,Sku!B:B,Sku!#REF!)*20%),2),ROUND(SUM('Banco de Dados'!$R1390*_xlfn.XLOOKUP('Banco de Dados'!$P1390,Sku!B:B,Sku!H:H)*20%),2)),'Banco de Dados'!$A1390="GO",ROUND(SUM('Banco de Dados'!$R1390*_xlfn.XLOOKUP('Banco de Dados'!$P1390,Sku!C:C,Sku!H:H)*20%),2),'Banco de Dados'!$A1390="MEI",ROUND(SUM('Banco de Dados'!$R1390*_xlfn.XLOOKUP('Banco de Dados'!$P1390,Sku!D:D,Sku!H:H)*20%),2)),0)</f>
        <v>0</v>
      </c>
      <c r="AN1390" s="109">
        <f ca="1">IF('Banco de Dados'!$AK1390&lt;&gt;"-",IF('Banco de Dados'!$F1390&lt;&gt;"-",_xlfn.XLOOKUP(IFERROR(IFERROR(IFERROR(VALUE(SUBSTITUTE(MID(_xlfn.TEXTAFTER('Banco de Dados'!$F1390,"Data do Pedido:
",1),1,10),"-","/")),VALUE(SUBSTITUTE(MID(_xlfn.TEXTAFTER('Banco de Dados'!$F1390,"Order date:
",1),1,10),"-","/"))),VALUE(SUBSTITUTE(MID(_xlfn.TEXTAFTER('Banco de Dados'!$F1390,"Fecha de pedido:
",1),1,10),"-","/"))),"-"),SMS!A:A,SMS!K:K),0),0)</f>
        <v>0</v>
      </c>
      <c r="AO1390" s="109">
        <f ca="1">IF('Banco de Dados'!$AK1390&lt;&gt;"-",IF('Banco de Dados'!$F1390&lt;&gt;"-",IFERROR(_xlfn.XLOOKUP(_xlfn.CONCAT('Banco de Dados'!$A1390,IFERROR(IFERROR(VALUE(SUBSTITUTE(MID(_xlfn.TEXTAFTER('Banco de Dados'!$F1390,"Data do Pedido:
",1),1,10),"-","/")),VALUE(SUBSTITUTE(MID(_xlfn.TEXTAFTER('Banco de Dados'!$F1390,"Order date:
",1),1,10),"-","/"))),0)),ProxyDD[Chave],ProxyDD[Valor por pedido]),PROXY!$P$2),0),0)</f>
        <v>0</v>
      </c>
      <c r="AP1390" s="28">
        <f ca="1">IF('Banco de Dados'!$AK1390&lt;&gt;"-",IF('Banco de Dados'!$AL1390="NÃO",IFERROR(VALUE(SUBSTITUTE(_xlfn.TEXTAFTER('Banco de Dados'!$F1390,"BRL ",1),".",",")),0),0),0)</f>
        <v>0</v>
      </c>
      <c r="AQ1390" s="28">
        <f ca="1">SUM('Banco de Dados'!$AM1390:$AP1390)</f>
        <v>0</v>
      </c>
      <c r="AR1390" s="8"/>
      <c r="AY1390" s="8"/>
    </row>
    <row r="1391" spans="1:51">
      <c r="A1391" s="5" t="str">
        <v>MEI</v>
      </c>
      <c r="B1391" s="5" t="str">
        <f ca="1"/>
        <v>MEI45749</v>
      </c>
      <c r="C1391" s="8" t="str">
        <v>Pedido 1378</v>
      </c>
      <c r="D1391" s="187">
        <v>45747</v>
      </c>
      <c r="E1391" s="9">
        <v>45749</v>
      </c>
      <c r="F1391" s="8" t="str">
        <v>PedidoF1320</v>
      </c>
      <c r="G1391" s="2" t="str">
        <v>CódRastreio1318</v>
      </c>
      <c r="H1391" s="5">
        <v>1</v>
      </c>
      <c r="I1391" s="2" t="str">
        <v>CPF 1342</v>
      </c>
      <c r="J1391" s="2" t="str">
        <v>Nome 1342</v>
      </c>
      <c r="K1391" s="8" t="str">
        <v>Tel 1342</v>
      </c>
      <c r="L1391" s="8" t="str">
        <v>Cep 1342</v>
      </c>
      <c r="M1391" s="8" t="str">
        <v>Rua 1342</v>
      </c>
      <c r="N1391" s="8" t="str">
        <v>Comp 1342</v>
      </c>
      <c r="O1391" s="8" t="str">
        <v>Lampada Led</v>
      </c>
      <c r="P1391" s="8" t="str">
        <v>T1-SWVB-UPOW</v>
      </c>
      <c r="Q1391" s="4">
        <v>45776</v>
      </c>
      <c r="R1391" s="109">
        <v>29.99</v>
      </c>
      <c r="S1391" s="11">
        <f ca="1"/>
        <v>29.99</v>
      </c>
      <c r="T1391" s="28">
        <f ca="1"/>
        <v>3.5987999999999998</v>
      </c>
      <c r="U1391" s="11">
        <f ca="1"/>
        <v>26.39</v>
      </c>
      <c r="V1391" s="11">
        <v>10.56</v>
      </c>
      <c r="W1391" s="11">
        <f ca="1"/>
        <v>0.2</v>
      </c>
      <c r="X1391" s="11">
        <f ca="1"/>
        <v>0.39877104377104378</v>
      </c>
      <c r="Y1391" s="11">
        <v>0</v>
      </c>
      <c r="Z1391" s="11">
        <f ca="1"/>
        <v>15.231228956228957</v>
      </c>
      <c r="AA1391" s="11">
        <f ca="1"/>
        <v>7.6156144781144786</v>
      </c>
      <c r="AB1391" s="4">
        <f ca="1"/>
        <v>45783</v>
      </c>
      <c r="AC1391" s="4">
        <v>45783</v>
      </c>
      <c r="AD1391" s="9">
        <v>45793</v>
      </c>
      <c r="AE1391" s="9">
        <v>45797</v>
      </c>
      <c r="AF1391" s="4" t="str">
        <f t="shared" ca="1" si="91"/>
        <v>2025 05</v>
      </c>
      <c r="AG1391" s="8" t="str" cm="1">
        <f t="array" ref="AG1391">IFERROR(_xlfn.IFS('Banco de Dados'!#REF!="AG. COMPRA","Em processamento",'Banco de Dados'!#REF!="AG. RASTREIO","Em processamento",'Banco de Dados'!$AE1391&lt;&gt;"-","Faturado",'Banco de Dados'!$AD1391&lt;&gt;"-","Aguardando Pix",'Banco de Dados'!$AC1391&lt;&gt;"-","Pendente"),"Aguardando Liberação")</f>
        <v>Aguardando Liberação</v>
      </c>
      <c r="AH1391" s="5" t="str">
        <f>IF('Banco de Dados'!$F1391="-",_xlfn.CONCAT(PROPER(TEXT(AK1391,"aaaa"))," ",PROPER(TEXT(AK1391,"mm"))),_xlfn.CONCAT(PROPER(TEXT(E1391,"aaaa"))," ",PROPER(TEXT(E1391,"mm"))))</f>
        <v>2025 04</v>
      </c>
      <c r="AI1391" s="9" t="str">
        <f ca="1">IF('Banco de Dados'!$AK1391&lt;&gt;"-","REEMBOLSO",IFERROR(_xlfn.XLOOKUP(G1391,Follow[CODRASTREIO],Follow[STATUS]),"-"))</f>
        <v>ENTREGUE</v>
      </c>
      <c r="AJ1391" s="9">
        <f ca="1">IF('Banco de Dados'!$AI1391="ENTREGUE",_xlfn.XLOOKUP('Banco de Dados'!$G1391,Follow[CODRASTREIO],Follow[DATAATUALIZAÇÃO]),"-")</f>
        <v>45769</v>
      </c>
      <c r="AK1391" s="132" t="str">
        <f ca="1"/>
        <v>-</v>
      </c>
      <c r="AL1391" s="35"/>
      <c r="AM1391" s="109" cm="1">
        <f t="array" aca="1" ref="AM1391" ca="1">IF('Banco de Dados'!$AK1391&lt;&gt;"-",_xlfn.IFS('Banco de Dados'!$A1391="bv",IF('Banco de Dados'!$E1391&lt;45641,ROUND(SUM('Banco de Dados'!$R1391*_xlfn.XLOOKUP('Banco de Dados'!$P1391,Sku!B:B,Sku!#REF!)*20%),2),ROUND(SUM('Banco de Dados'!$R1391*_xlfn.XLOOKUP('Banco de Dados'!$P1391,Sku!B:B,Sku!H:H)*20%),2)),'Banco de Dados'!$A1391="GO",ROUND(SUM('Banco de Dados'!$R1391*_xlfn.XLOOKUP('Banco de Dados'!$P1391,Sku!C:C,Sku!H:H)*20%),2),'Banco de Dados'!$A1391="MEI",ROUND(SUM('Banco de Dados'!$R1391*_xlfn.XLOOKUP('Banco de Dados'!$P1391,Sku!D:D,Sku!H:H)*20%),2)),0)</f>
        <v>0</v>
      </c>
      <c r="AN1391" s="109">
        <f ca="1">IF('Banco de Dados'!$AK1391&lt;&gt;"-",IF('Banco de Dados'!$F1391&lt;&gt;"-",_xlfn.XLOOKUP(IFERROR(IFERROR(IFERROR(VALUE(SUBSTITUTE(MID(_xlfn.TEXTAFTER('Banco de Dados'!$F1391,"Data do Pedido:
",1),1,10),"-","/")),VALUE(SUBSTITUTE(MID(_xlfn.TEXTAFTER('Banco de Dados'!$F1391,"Order date:
",1),1,10),"-","/"))),VALUE(SUBSTITUTE(MID(_xlfn.TEXTAFTER('Banco de Dados'!$F1391,"Fecha de pedido:
",1),1,10),"-","/"))),"-"),SMS!A:A,SMS!K:K),0),0)</f>
        <v>0</v>
      </c>
      <c r="AO1391" s="109">
        <f ca="1">IF('Banco de Dados'!$AK1391&lt;&gt;"-",IF('Banco de Dados'!$F1391&lt;&gt;"-",IFERROR(_xlfn.XLOOKUP(_xlfn.CONCAT('Banco de Dados'!$A1391,IFERROR(IFERROR(VALUE(SUBSTITUTE(MID(_xlfn.TEXTAFTER('Banco de Dados'!$F1391,"Data do Pedido:
",1),1,10),"-","/")),VALUE(SUBSTITUTE(MID(_xlfn.TEXTAFTER('Banco de Dados'!$F1391,"Order date:
",1),1,10),"-","/"))),0)),ProxyDD[Chave],ProxyDD[Valor por pedido]),PROXY!$P$2),0),0)</f>
        <v>0</v>
      </c>
      <c r="AP1391" s="28">
        <f ca="1">IF('Banco de Dados'!$AK1391&lt;&gt;"-",IF('Banco de Dados'!$AL1391="NÃO",IFERROR(VALUE(SUBSTITUTE(_xlfn.TEXTAFTER('Banco de Dados'!$F1391,"BRL ",1),".",",")),0),0),0)</f>
        <v>0</v>
      </c>
      <c r="AQ1391" s="28">
        <f ca="1">SUM('Banco de Dados'!$AM1391:$AP1391)</f>
        <v>0</v>
      </c>
      <c r="AR1391" s="8"/>
      <c r="AY1391" s="8"/>
    </row>
    <row r="1392" spans="1:51">
      <c r="A1392" s="5" t="str">
        <v>MEI</v>
      </c>
      <c r="B1392" s="5" t="str">
        <f ca="1"/>
        <v>MEI45747</v>
      </c>
      <c r="C1392" s="8" t="str">
        <v>Pedido 1379</v>
      </c>
      <c r="D1392" s="187">
        <v>45746</v>
      </c>
      <c r="E1392" s="9">
        <v>45747</v>
      </c>
      <c r="F1392" s="8" t="str">
        <v>PedidoF1321</v>
      </c>
      <c r="G1392" s="2" t="str">
        <v>CódRastreio1319</v>
      </c>
      <c r="H1392" s="5">
        <v>1</v>
      </c>
      <c r="I1392" s="2" t="str">
        <v>CPF 1343</v>
      </c>
      <c r="J1392" s="2" t="str">
        <v>Nome 1343</v>
      </c>
      <c r="K1392" s="8" t="str">
        <v>Tel 1343</v>
      </c>
      <c r="L1392" s="8" t="str">
        <v>Cep 1343</v>
      </c>
      <c r="M1392" s="8" t="str">
        <v>Rua 1343</v>
      </c>
      <c r="N1392" s="8" t="str">
        <v>Comp 1343</v>
      </c>
      <c r="O1392" s="8" t="str">
        <v>Ventilador Umidificador Preto</v>
      </c>
      <c r="P1392" s="8" t="str">
        <v>71-KHMZ-MLQW</v>
      </c>
      <c r="Q1392" s="4">
        <v>45770</v>
      </c>
      <c r="R1392" s="109">
        <v>53</v>
      </c>
      <c r="S1392" s="11">
        <f ca="1"/>
        <v>53</v>
      </c>
      <c r="T1392" s="28">
        <f ca="1"/>
        <v>5.83</v>
      </c>
      <c r="U1392" s="11">
        <f ca="1"/>
        <v>47.17</v>
      </c>
      <c r="V1392" s="11">
        <v>31.96</v>
      </c>
      <c r="W1392" s="11">
        <f ca="1"/>
        <v>0.27</v>
      </c>
      <c r="X1392" s="11">
        <f ca="1"/>
        <v>0.39877104377104378</v>
      </c>
      <c r="Y1392" s="11">
        <v>0</v>
      </c>
      <c r="Z1392" s="11">
        <f ca="1"/>
        <v>14.541228956228956</v>
      </c>
      <c r="AA1392" s="11">
        <f ca="1"/>
        <v>7.2706144781144779</v>
      </c>
      <c r="AB1392" s="4">
        <f ca="1"/>
        <v>45777</v>
      </c>
      <c r="AC1392" s="4">
        <v>45777</v>
      </c>
      <c r="AD1392" s="9">
        <v>45779</v>
      </c>
      <c r="AE1392" s="9">
        <v>45783</v>
      </c>
      <c r="AF1392" s="4" t="str">
        <f t="shared" ca="1" si="91"/>
        <v>2025 04</v>
      </c>
      <c r="AG1392" s="8" t="str" cm="1">
        <f t="array" ref="AG1392">IFERROR(_xlfn.IFS('Banco de Dados'!#REF!="AG. COMPRA","Em processamento",'Banco de Dados'!#REF!="AG. RASTREIO","Em processamento",'Banco de Dados'!$AE1392&lt;&gt;"-","Faturado",'Banco de Dados'!$AD1392&lt;&gt;"-","Aguardando Pix",'Banco de Dados'!$AC1392&lt;&gt;"-","Pendente"),"Aguardando Liberação")</f>
        <v>Aguardando Liberação</v>
      </c>
      <c r="AH1392" s="5" t="str">
        <f>IF('Banco de Dados'!$F1392="-",_xlfn.CONCAT(PROPER(TEXT(AK1392,"aaaa"))," ",PROPER(TEXT(AK1392,"mm"))),_xlfn.CONCAT(PROPER(TEXT(E1392,"aaaa"))," ",PROPER(TEXT(E1392,"mm"))))</f>
        <v>2025 03</v>
      </c>
      <c r="AI1392" s="9" t="str">
        <f ca="1">IF('Banco de Dados'!$AK1392&lt;&gt;"-","REEMBOLSO",IFERROR(_xlfn.XLOOKUP(G1392,Follow[CODRASTREIO],Follow[STATUS]),"-"))</f>
        <v>ENTREGUE</v>
      </c>
      <c r="AJ1392" s="9">
        <f ca="1">IF('Banco de Dados'!$AI1392="ENTREGUE",_xlfn.XLOOKUP('Banco de Dados'!$G1392,Follow[CODRASTREIO],Follow[DATAATUALIZAÇÃO]),"-")</f>
        <v>45763</v>
      </c>
      <c r="AK1392" s="132" t="str">
        <f ca="1"/>
        <v>-</v>
      </c>
      <c r="AL1392" s="35"/>
      <c r="AM1392" s="109" cm="1">
        <f t="array" aca="1" ref="AM1392" ca="1">IF('Banco de Dados'!$AK1392&lt;&gt;"-",_xlfn.IFS('Banco de Dados'!$A1392="bv",IF('Banco de Dados'!$E1392&lt;45641,ROUND(SUM('Banco de Dados'!$R1392*_xlfn.XLOOKUP('Banco de Dados'!$P1392,Sku!B:B,Sku!#REF!)*20%),2),ROUND(SUM('Banco de Dados'!$R1392*_xlfn.XLOOKUP('Banco de Dados'!$P1392,Sku!B:B,Sku!H:H)*20%),2)),'Banco de Dados'!$A1392="GO",ROUND(SUM('Banco de Dados'!$R1392*_xlfn.XLOOKUP('Banco de Dados'!$P1392,Sku!C:C,Sku!H:H)*20%),2),'Banco de Dados'!$A1392="MEI",ROUND(SUM('Banco de Dados'!$R1392*_xlfn.XLOOKUP('Banco de Dados'!$P1392,Sku!D:D,Sku!H:H)*20%),2)),0)</f>
        <v>0</v>
      </c>
      <c r="AN1392" s="109">
        <f ca="1">IF('Banco de Dados'!$AK1392&lt;&gt;"-",IF('Banco de Dados'!$F1392&lt;&gt;"-",_xlfn.XLOOKUP(IFERROR(IFERROR(IFERROR(VALUE(SUBSTITUTE(MID(_xlfn.TEXTAFTER('Banco de Dados'!$F1392,"Data do Pedido:
",1),1,10),"-","/")),VALUE(SUBSTITUTE(MID(_xlfn.TEXTAFTER('Banco de Dados'!$F1392,"Order date:
",1),1,10),"-","/"))),VALUE(SUBSTITUTE(MID(_xlfn.TEXTAFTER('Banco de Dados'!$F1392,"Fecha de pedido:
",1),1,10),"-","/"))),"-"),SMS!A:A,SMS!K:K),0),0)</f>
        <v>0</v>
      </c>
      <c r="AO1392" s="109">
        <f ca="1">IF('Banco de Dados'!$AK1392&lt;&gt;"-",IF('Banco de Dados'!$F1392&lt;&gt;"-",IFERROR(_xlfn.XLOOKUP(_xlfn.CONCAT('Banco de Dados'!$A1392,IFERROR(IFERROR(VALUE(SUBSTITUTE(MID(_xlfn.TEXTAFTER('Banco de Dados'!$F1392,"Data do Pedido:
",1),1,10),"-","/")),VALUE(SUBSTITUTE(MID(_xlfn.TEXTAFTER('Banco de Dados'!$F1392,"Order date:
",1),1,10),"-","/"))),0)),ProxyDD[Chave],ProxyDD[Valor por pedido]),PROXY!$P$2),0),0)</f>
        <v>0</v>
      </c>
      <c r="AP1392" s="28">
        <f ca="1">IF('Banco de Dados'!$AK1392&lt;&gt;"-",IF('Banco de Dados'!$AL1392="NÃO",IFERROR(VALUE(SUBSTITUTE(_xlfn.TEXTAFTER('Banco de Dados'!$F1392,"BRL ",1),".",",")),0),0),0)</f>
        <v>0</v>
      </c>
      <c r="AQ1392" s="28">
        <f ca="1">SUM('Banco de Dados'!$AM1392:$AP1392)</f>
        <v>0</v>
      </c>
      <c r="AR1392" s="8"/>
      <c r="AY1392" s="8"/>
    </row>
    <row r="1393" spans="1:51">
      <c r="A1393" s="5" t="str">
        <v>MEI</v>
      </c>
      <c r="B1393" s="5" t="str">
        <f ca="1"/>
        <v>MEI45749</v>
      </c>
      <c r="C1393" s="8" t="str">
        <v>Pedido 1380</v>
      </c>
      <c r="D1393" s="187">
        <v>45748</v>
      </c>
      <c r="E1393" s="9">
        <v>45749</v>
      </c>
      <c r="F1393" s="8" t="str">
        <v>PedidoF1322</v>
      </c>
      <c r="G1393" s="2" t="str">
        <v>CódRastreio1320</v>
      </c>
      <c r="H1393" s="5">
        <v>1</v>
      </c>
      <c r="I1393" s="2" t="str">
        <v>CPF 1344</v>
      </c>
      <c r="J1393" s="2" t="str">
        <v>Nome 1344</v>
      </c>
      <c r="K1393" s="8" t="str">
        <v>Tel 1344</v>
      </c>
      <c r="L1393" s="8" t="str">
        <v>Cep 1344</v>
      </c>
      <c r="M1393" s="8" t="str">
        <v>Rua 1344</v>
      </c>
      <c r="N1393" s="8" t="str">
        <v>Comp 1344</v>
      </c>
      <c r="O1393" s="8" t="str">
        <v>Ventilador de teto</v>
      </c>
      <c r="P1393" s="8" t="str">
        <v>JV-A3YY-I7XH</v>
      </c>
      <c r="Q1393" s="4">
        <v>45770</v>
      </c>
      <c r="R1393" s="109">
        <v>70.489999999999995</v>
      </c>
      <c r="S1393" s="11">
        <f ca="1"/>
        <v>70.489999999999995</v>
      </c>
      <c r="T1393" s="28">
        <f ca="1"/>
        <v>8.4587999999999983</v>
      </c>
      <c r="U1393" s="11">
        <f ca="1"/>
        <v>62.03</v>
      </c>
      <c r="V1393" s="11">
        <v>43.94</v>
      </c>
      <c r="W1393" s="11">
        <f ca="1"/>
        <v>0.2</v>
      </c>
      <c r="X1393" s="11">
        <f ca="1"/>
        <v>0.39877104377104378</v>
      </c>
      <c r="Y1393" s="11">
        <v>0</v>
      </c>
      <c r="Z1393" s="11">
        <f ca="1"/>
        <v>17.491228956228959</v>
      </c>
      <c r="AA1393" s="11">
        <f ca="1"/>
        <v>8.7456144781144793</v>
      </c>
      <c r="AB1393" s="4">
        <f ca="1"/>
        <v>45777</v>
      </c>
      <c r="AC1393" s="4">
        <v>45777</v>
      </c>
      <c r="AD1393" s="9">
        <v>45779</v>
      </c>
      <c r="AE1393" s="9">
        <v>45783</v>
      </c>
      <c r="AF1393" s="4" t="str">
        <f t="shared" ref="AF1393:AF1420" ca="1" si="92">_xlfn.CONCAT(PROPER(TEXT(AB1393,"aaaa"))," ",PROPER(TEXT(AB1393,"mm")))</f>
        <v>2025 04</v>
      </c>
      <c r="AG1393" s="8" t="str" cm="1">
        <f t="array" ref="AG1393">IFERROR(_xlfn.IFS('Banco de Dados'!#REF!="AG. COMPRA","Em processamento",'Banco de Dados'!#REF!="AG. RASTREIO","Em processamento",'Banco de Dados'!$AE1393&lt;&gt;"-","Faturado",'Banco de Dados'!$AD1393&lt;&gt;"-","Aguardando Pix",'Banco de Dados'!$AC1393&lt;&gt;"-","Pendente"),"Aguardando Liberação")</f>
        <v>Aguardando Liberação</v>
      </c>
      <c r="AH1393" s="5" t="str">
        <f>IF('Banco de Dados'!$F1393="-",_xlfn.CONCAT(PROPER(TEXT(AK1393,"aaaa"))," ",PROPER(TEXT(AK1393,"mm"))),_xlfn.CONCAT(PROPER(TEXT(E1393,"aaaa"))," ",PROPER(TEXT(E1393,"mm"))))</f>
        <v>2025 04</v>
      </c>
      <c r="AI1393" s="9" t="str">
        <f ca="1">IF('Banco de Dados'!$AK1393&lt;&gt;"-","REEMBOLSO",IFERROR(_xlfn.XLOOKUP(G1393,Follow[CODRASTREIO],Follow[STATUS]),"-"))</f>
        <v>ENTREGUE</v>
      </c>
      <c r="AJ1393" s="9">
        <f ca="1">IF('Banco de Dados'!$AI1393="ENTREGUE",_xlfn.XLOOKUP('Banco de Dados'!$G1393,Follow[CODRASTREIO],Follow[DATAATUALIZAÇÃO]),"-")</f>
        <v>45758</v>
      </c>
      <c r="AK1393" s="132" t="str">
        <f ca="1"/>
        <v>-</v>
      </c>
      <c r="AL1393" s="35"/>
      <c r="AM1393" s="109" cm="1">
        <f t="array" aca="1" ref="AM1393" ca="1">IF('Banco de Dados'!$AK1393&lt;&gt;"-",_xlfn.IFS('Banco de Dados'!$A1393="bv",IF('Banco de Dados'!$E1393&lt;45641,ROUND(SUM('Banco de Dados'!$R1393*_xlfn.XLOOKUP('Banco de Dados'!$P1393,Sku!B:B,Sku!#REF!)*20%),2),ROUND(SUM('Banco de Dados'!$R1393*_xlfn.XLOOKUP('Banco de Dados'!$P1393,Sku!B:B,Sku!H:H)*20%),2)),'Banco de Dados'!$A1393="GO",ROUND(SUM('Banco de Dados'!$R1393*_xlfn.XLOOKUP('Banco de Dados'!$P1393,Sku!C:C,Sku!H:H)*20%),2),'Banco de Dados'!$A1393="MEI",ROUND(SUM('Banco de Dados'!$R1393*_xlfn.XLOOKUP('Banco de Dados'!$P1393,Sku!D:D,Sku!H:H)*20%),2)),0)</f>
        <v>0</v>
      </c>
      <c r="AN1393" s="109">
        <f ca="1">IF('Banco de Dados'!$AK1393&lt;&gt;"-",IF('Banco de Dados'!$F1393&lt;&gt;"-",_xlfn.XLOOKUP(IFERROR(IFERROR(IFERROR(VALUE(SUBSTITUTE(MID(_xlfn.TEXTAFTER('Banco de Dados'!$F1393,"Data do Pedido:
",1),1,10),"-","/")),VALUE(SUBSTITUTE(MID(_xlfn.TEXTAFTER('Banco de Dados'!$F1393,"Order date:
",1),1,10),"-","/"))),VALUE(SUBSTITUTE(MID(_xlfn.TEXTAFTER('Banco de Dados'!$F1393,"Fecha de pedido:
",1),1,10),"-","/"))),"-"),SMS!A:A,SMS!K:K),0),0)</f>
        <v>0</v>
      </c>
      <c r="AO1393" s="109">
        <f ca="1">IF('Banco de Dados'!$AK1393&lt;&gt;"-",IF('Banco de Dados'!$F1393&lt;&gt;"-",IFERROR(_xlfn.XLOOKUP(_xlfn.CONCAT('Banco de Dados'!$A1393,IFERROR(IFERROR(VALUE(SUBSTITUTE(MID(_xlfn.TEXTAFTER('Banco de Dados'!$F1393,"Data do Pedido:
",1),1,10),"-","/")),VALUE(SUBSTITUTE(MID(_xlfn.TEXTAFTER('Banco de Dados'!$F1393,"Order date:
",1),1,10),"-","/"))),0)),ProxyDD[Chave],ProxyDD[Valor por pedido]),PROXY!$P$2),0),0)</f>
        <v>0</v>
      </c>
      <c r="AP1393" s="28">
        <f ca="1">IF('Banco de Dados'!$AK1393&lt;&gt;"-",IF('Banco de Dados'!$AL1393="NÃO",IFERROR(VALUE(SUBSTITUTE(_xlfn.TEXTAFTER('Banco de Dados'!$F1393,"BRL ",1),".",",")),0),0),0)</f>
        <v>0</v>
      </c>
      <c r="AQ1393" s="28">
        <f ca="1">SUM('Banco de Dados'!$AM1393:$AP1393)</f>
        <v>0</v>
      </c>
      <c r="AR1393" s="8"/>
      <c r="AY1393" s="8"/>
    </row>
    <row r="1394" spans="1:51">
      <c r="A1394" s="5" t="str">
        <v>MEI</v>
      </c>
      <c r="B1394" s="5" t="str">
        <f ca="1"/>
        <v>MEI45749</v>
      </c>
      <c r="C1394" s="8" t="str">
        <v>Pedido 1381</v>
      </c>
      <c r="D1394" s="187">
        <v>45748</v>
      </c>
      <c r="E1394" s="9">
        <v>45749</v>
      </c>
      <c r="F1394" s="8" t="str">
        <v>PedidoF1323</v>
      </c>
      <c r="G1394" s="2" t="str">
        <v>CódRastreio1321</v>
      </c>
      <c r="H1394" s="5">
        <v>1</v>
      </c>
      <c r="I1394" s="2" t="str">
        <v>CPF 1345</v>
      </c>
      <c r="J1394" s="2" t="str">
        <v>Nome 1345</v>
      </c>
      <c r="K1394" s="8" t="str">
        <v>Tel 1345</v>
      </c>
      <c r="L1394" s="8" t="str">
        <v>Cep 1345</v>
      </c>
      <c r="M1394" s="8" t="str">
        <v>Rua 1345</v>
      </c>
      <c r="N1394" s="8" t="str">
        <v>Comp 1345</v>
      </c>
      <c r="O1394" s="8" t="str">
        <v>Lampada Led</v>
      </c>
      <c r="P1394" s="8" t="str">
        <v>T1-SWVB-UPOW</v>
      </c>
      <c r="Q1394" s="4">
        <v>45784</v>
      </c>
      <c r="R1394" s="109">
        <v>29.99</v>
      </c>
      <c r="S1394" s="11">
        <f ca="1"/>
        <v>29.99</v>
      </c>
      <c r="T1394" s="28">
        <f ca="1"/>
        <v>3.5987999999999998</v>
      </c>
      <c r="U1394" s="11">
        <f ca="1"/>
        <v>26.39</v>
      </c>
      <c r="V1394" s="11">
        <v>10.210000000000001</v>
      </c>
      <c r="W1394" s="11">
        <f ca="1"/>
        <v>0.2</v>
      </c>
      <c r="X1394" s="11">
        <f ca="1"/>
        <v>0.39877104377104378</v>
      </c>
      <c r="Y1394" s="11">
        <v>0</v>
      </c>
      <c r="Z1394" s="11">
        <f ca="1"/>
        <v>15.581228956228957</v>
      </c>
      <c r="AA1394" s="11">
        <f ca="1"/>
        <v>7.7906144781144784</v>
      </c>
      <c r="AB1394" s="4">
        <f ca="1"/>
        <v>45791</v>
      </c>
      <c r="AC1394" s="4">
        <v>45791</v>
      </c>
      <c r="AD1394" s="9">
        <v>45793</v>
      </c>
      <c r="AE1394" s="9">
        <v>45797</v>
      </c>
      <c r="AF1394" s="4" t="str">
        <f t="shared" ca="1" si="92"/>
        <v>2025 05</v>
      </c>
      <c r="AG1394" s="8" t="str" cm="1">
        <f t="array" ref="AG1394">IFERROR(_xlfn.IFS('Banco de Dados'!#REF!="AG. COMPRA","Em processamento",'Banco de Dados'!#REF!="AG. RASTREIO","Em processamento",'Banco de Dados'!$AE1394&lt;&gt;"-","Faturado",'Banco de Dados'!$AD1394&lt;&gt;"-","Aguardando Pix",'Banco de Dados'!$AC1394&lt;&gt;"-","Pendente"),"Aguardando Liberação")</f>
        <v>Aguardando Liberação</v>
      </c>
      <c r="AH1394" s="5" t="str">
        <f>IF('Banco de Dados'!$F1394="-",_xlfn.CONCAT(PROPER(TEXT(AK1394,"aaaa"))," ",PROPER(TEXT(AK1394,"mm"))),_xlfn.CONCAT(PROPER(TEXT(E1394,"aaaa"))," ",PROPER(TEXT(E1394,"mm"))))</f>
        <v>2025 04</v>
      </c>
      <c r="AI1394" s="9" t="str">
        <f ca="1">IF('Banco de Dados'!$AK1394&lt;&gt;"-","REEMBOLSO",IFERROR(_xlfn.XLOOKUP(G1394,Follow[CODRASTREIO],Follow[STATUS]),"-"))</f>
        <v>ENTREGUE</v>
      </c>
      <c r="AJ1394" s="9">
        <f ca="1">IF('Banco de Dados'!$AI1394="ENTREGUE",_xlfn.XLOOKUP('Banco de Dados'!$G1394,Follow[CODRASTREIO],Follow[DATAATUALIZAÇÃO]),"-")</f>
        <v>45783</v>
      </c>
      <c r="AK1394" s="132" t="str">
        <f ca="1"/>
        <v>-</v>
      </c>
      <c r="AL1394" s="35"/>
      <c r="AM1394" s="109" cm="1">
        <f t="array" aca="1" ref="AM1394" ca="1">IF('Banco de Dados'!$AK1394&lt;&gt;"-",_xlfn.IFS('Banco de Dados'!$A1394="bv",IF('Banco de Dados'!$E1394&lt;45641,ROUND(SUM('Banco de Dados'!$R1394*_xlfn.XLOOKUP('Banco de Dados'!$P1394,Sku!B:B,Sku!#REF!)*20%),2),ROUND(SUM('Banco de Dados'!$R1394*_xlfn.XLOOKUP('Banco de Dados'!$P1394,Sku!B:B,Sku!H:H)*20%),2)),'Banco de Dados'!$A1394="GO",ROUND(SUM('Banco de Dados'!$R1394*_xlfn.XLOOKUP('Banco de Dados'!$P1394,Sku!C:C,Sku!H:H)*20%),2),'Banco de Dados'!$A1394="MEI",ROUND(SUM('Banco de Dados'!$R1394*_xlfn.XLOOKUP('Banco de Dados'!$P1394,Sku!D:D,Sku!H:H)*20%),2)),0)</f>
        <v>0</v>
      </c>
      <c r="AN1394" s="109">
        <f ca="1">IF('Banco de Dados'!$AK1394&lt;&gt;"-",IF('Banco de Dados'!$F1394&lt;&gt;"-",_xlfn.XLOOKUP(IFERROR(IFERROR(IFERROR(VALUE(SUBSTITUTE(MID(_xlfn.TEXTAFTER('Banco de Dados'!$F1394,"Data do Pedido:
",1),1,10),"-","/")),VALUE(SUBSTITUTE(MID(_xlfn.TEXTAFTER('Banco de Dados'!$F1394,"Order date:
",1),1,10),"-","/"))),VALUE(SUBSTITUTE(MID(_xlfn.TEXTAFTER('Banco de Dados'!$F1394,"Fecha de pedido:
",1),1,10),"-","/"))),"-"),SMS!A:A,SMS!K:K),0),0)</f>
        <v>0</v>
      </c>
      <c r="AO1394" s="109">
        <f ca="1">IF('Banco de Dados'!$AK1394&lt;&gt;"-",IF('Banco de Dados'!$F1394&lt;&gt;"-",IFERROR(_xlfn.XLOOKUP(_xlfn.CONCAT('Banco de Dados'!$A1394,IFERROR(IFERROR(VALUE(SUBSTITUTE(MID(_xlfn.TEXTAFTER('Banco de Dados'!$F1394,"Data do Pedido:
",1),1,10),"-","/")),VALUE(SUBSTITUTE(MID(_xlfn.TEXTAFTER('Banco de Dados'!$F1394,"Order date:
",1),1,10),"-","/"))),0)),ProxyDD[Chave],ProxyDD[Valor por pedido]),PROXY!$P$2),0),0)</f>
        <v>0</v>
      </c>
      <c r="AP1394" s="28">
        <f ca="1">IF('Banco de Dados'!$AK1394&lt;&gt;"-",IF('Banco de Dados'!$AL1394="NÃO",IFERROR(VALUE(SUBSTITUTE(_xlfn.TEXTAFTER('Banco de Dados'!$F1394,"BRL ",1),".",",")),0),0),0)</f>
        <v>0</v>
      </c>
      <c r="AQ1394" s="28">
        <f ca="1">SUM('Banco de Dados'!$AM1394:$AP1394)</f>
        <v>0</v>
      </c>
      <c r="AR1394" s="8"/>
      <c r="AY1394" s="8"/>
    </row>
    <row r="1395" spans="1:51">
      <c r="A1395" s="5" t="str">
        <v>MEI</v>
      </c>
      <c r="B1395" s="5" t="str">
        <f ca="1"/>
        <v>MEI45750</v>
      </c>
      <c r="C1395" s="8" t="str">
        <v>Pedido 1382</v>
      </c>
      <c r="D1395" s="187">
        <v>45748</v>
      </c>
      <c r="E1395" s="9">
        <v>45750</v>
      </c>
      <c r="F1395" s="8" t="str">
        <v>PedidoF1324</v>
      </c>
      <c r="G1395" s="2" t="str">
        <v>CódRastreio1322</v>
      </c>
      <c r="H1395" s="5">
        <v>1</v>
      </c>
      <c r="I1395" s="2" t="str">
        <v>CPF 1346</v>
      </c>
      <c r="J1395" s="2" t="str">
        <v>Nome 1346</v>
      </c>
      <c r="K1395" s="8" t="str">
        <v>Tel 1346</v>
      </c>
      <c r="L1395" s="8" t="str">
        <v>Cep 1346</v>
      </c>
      <c r="M1395" s="8" t="str">
        <v>Rua 1346</v>
      </c>
      <c r="N1395" s="8" t="str">
        <v>Comp 1346</v>
      </c>
      <c r="O1395" s="8" t="str">
        <v>Caixinha de som Preta</v>
      </c>
      <c r="P1395" s="8" t="str">
        <v>K9-7YJH-TT9R</v>
      </c>
      <c r="Q1395" s="4">
        <v>45776</v>
      </c>
      <c r="R1395" s="109">
        <v>25.88</v>
      </c>
      <c r="S1395" s="11">
        <f ca="1"/>
        <v>25.88</v>
      </c>
      <c r="T1395" s="28">
        <f ca="1"/>
        <v>3.8819999999999997</v>
      </c>
      <c r="U1395" s="11">
        <f ca="1"/>
        <v>22</v>
      </c>
      <c r="V1395" s="11">
        <v>11.8</v>
      </c>
      <c r="W1395" s="11">
        <f ca="1"/>
        <v>0.25</v>
      </c>
      <c r="X1395" s="11">
        <f ca="1"/>
        <v>0.39877104377104378</v>
      </c>
      <c r="Y1395" s="11">
        <v>0</v>
      </c>
      <c r="Z1395" s="11">
        <f ca="1"/>
        <v>9.5512289562289556</v>
      </c>
      <c r="AA1395" s="11">
        <f ca="1"/>
        <v>4.7756144781144778</v>
      </c>
      <c r="AB1395" s="4">
        <f ca="1"/>
        <v>45783</v>
      </c>
      <c r="AC1395" s="4">
        <v>45783</v>
      </c>
      <c r="AD1395" s="9">
        <v>45793</v>
      </c>
      <c r="AE1395" s="9">
        <v>45797</v>
      </c>
      <c r="AF1395" s="4" t="str">
        <f t="shared" ca="1" si="92"/>
        <v>2025 05</v>
      </c>
      <c r="AG1395" s="8" t="str" cm="1">
        <f t="array" ref="AG1395">IFERROR(_xlfn.IFS('Banco de Dados'!#REF!="AG. COMPRA","Em processamento",'Banco de Dados'!#REF!="AG. RASTREIO","Em processamento",'Banco de Dados'!$AE1395&lt;&gt;"-","Faturado",'Banco de Dados'!$AD1395&lt;&gt;"-","Aguardando Pix",'Banco de Dados'!$AC1395&lt;&gt;"-","Pendente"),"Aguardando Liberação")</f>
        <v>Aguardando Liberação</v>
      </c>
      <c r="AH1395" s="5" t="str">
        <f>IF('Banco de Dados'!$F1395="-",_xlfn.CONCAT(PROPER(TEXT(AK1395,"aaaa"))," ",PROPER(TEXT(AK1395,"mm"))),_xlfn.CONCAT(PROPER(TEXT(E1395,"aaaa"))," ",PROPER(TEXT(E1395,"mm"))))</f>
        <v>2025 04</v>
      </c>
      <c r="AI1395" s="9" t="str">
        <f ca="1">IF('Banco de Dados'!$AK1395&lt;&gt;"-","REEMBOLSO",IFERROR(_xlfn.XLOOKUP(G1395,Follow[CODRASTREIO],Follow[STATUS]),"-"))</f>
        <v>ENTREGUE</v>
      </c>
      <c r="AJ1395" s="9">
        <f ca="1">IF('Banco de Dados'!$AI1395="ENTREGUE",_xlfn.XLOOKUP('Banco de Dados'!$G1395,Follow[CODRASTREIO],Follow[DATAATUALIZAÇÃO]),"-")</f>
        <v>45754</v>
      </c>
      <c r="AK1395" s="132" t="str">
        <f ca="1"/>
        <v>-</v>
      </c>
      <c r="AL1395" s="35"/>
      <c r="AM1395" s="109" cm="1">
        <f t="array" aca="1" ref="AM1395" ca="1">IF('Banco de Dados'!$AK1395&lt;&gt;"-",_xlfn.IFS('Banco de Dados'!$A1395="bv",IF('Banco de Dados'!$E1395&lt;45641,ROUND(SUM('Banco de Dados'!$R1395*_xlfn.XLOOKUP('Banco de Dados'!$P1395,Sku!B:B,Sku!#REF!)*20%),2),ROUND(SUM('Banco de Dados'!$R1395*_xlfn.XLOOKUP('Banco de Dados'!$P1395,Sku!B:B,Sku!H:H)*20%),2)),'Banco de Dados'!$A1395="GO",ROUND(SUM('Banco de Dados'!$R1395*_xlfn.XLOOKUP('Banco de Dados'!$P1395,Sku!C:C,Sku!H:H)*20%),2),'Banco de Dados'!$A1395="MEI",ROUND(SUM('Banco de Dados'!$R1395*_xlfn.XLOOKUP('Banco de Dados'!$P1395,Sku!D:D,Sku!H:H)*20%),2)),0)</f>
        <v>0</v>
      </c>
      <c r="AN1395" s="109">
        <f ca="1">IF('Banco de Dados'!$AK1395&lt;&gt;"-",IF('Banco de Dados'!$F1395&lt;&gt;"-",_xlfn.XLOOKUP(IFERROR(IFERROR(IFERROR(VALUE(SUBSTITUTE(MID(_xlfn.TEXTAFTER('Banco de Dados'!$F1395,"Data do Pedido:
",1),1,10),"-","/")),VALUE(SUBSTITUTE(MID(_xlfn.TEXTAFTER('Banco de Dados'!$F1395,"Order date:
",1),1,10),"-","/"))),VALUE(SUBSTITUTE(MID(_xlfn.TEXTAFTER('Banco de Dados'!$F1395,"Fecha de pedido:
",1),1,10),"-","/"))),"-"),SMS!A:A,SMS!K:K),0),0)</f>
        <v>0</v>
      </c>
      <c r="AO1395" s="109">
        <f ca="1">IF('Banco de Dados'!$AK1395&lt;&gt;"-",IF('Banco de Dados'!$F1395&lt;&gt;"-",IFERROR(_xlfn.XLOOKUP(_xlfn.CONCAT('Banco de Dados'!$A1395,IFERROR(IFERROR(VALUE(SUBSTITUTE(MID(_xlfn.TEXTAFTER('Banco de Dados'!$F1395,"Data do Pedido:
",1),1,10),"-","/")),VALUE(SUBSTITUTE(MID(_xlfn.TEXTAFTER('Banco de Dados'!$F1395,"Order date:
",1),1,10),"-","/"))),0)),ProxyDD[Chave],ProxyDD[Valor por pedido]),PROXY!$P$2),0),0)</f>
        <v>0</v>
      </c>
      <c r="AP1395" s="28">
        <f ca="1">IF('Banco de Dados'!$AK1395&lt;&gt;"-",IF('Banco de Dados'!$AL1395="NÃO",IFERROR(VALUE(SUBSTITUTE(_xlfn.TEXTAFTER('Banco de Dados'!$F1395,"BRL ",1),".",",")),0),0),0)</f>
        <v>0</v>
      </c>
      <c r="AQ1395" s="28">
        <f ca="1">SUM('Banco de Dados'!$AM1395:$AP1395)</f>
        <v>0</v>
      </c>
      <c r="AR1395" s="8"/>
      <c r="AY1395" s="8"/>
    </row>
    <row r="1396" spans="1:51">
      <c r="A1396" s="5" t="str">
        <v>MEI</v>
      </c>
      <c r="B1396" s="5" t="str">
        <f ca="1"/>
        <v>MEI45750</v>
      </c>
      <c r="C1396" s="8" t="str">
        <v>Pedido 1383</v>
      </c>
      <c r="D1396" s="187">
        <v>45748</v>
      </c>
      <c r="E1396" s="9">
        <v>45750</v>
      </c>
      <c r="F1396" s="8" t="str">
        <v>PedidoF1325</v>
      </c>
      <c r="G1396" s="2" t="str">
        <v>CódRastreio1323</v>
      </c>
      <c r="H1396" s="5">
        <v>1</v>
      </c>
      <c r="I1396" s="2" t="str">
        <v>CPF 1347</v>
      </c>
      <c r="J1396" s="2" t="str">
        <v>Nome 1347</v>
      </c>
      <c r="K1396" s="8" t="str">
        <v>Tel 1347</v>
      </c>
      <c r="L1396" s="8" t="str">
        <v>Cep 1347</v>
      </c>
      <c r="M1396" s="8" t="str">
        <v>Rua 1347</v>
      </c>
      <c r="N1396" s="8" t="str">
        <v>Comp 1347</v>
      </c>
      <c r="O1396" s="8" t="str">
        <v>Caixinha de som Preta</v>
      </c>
      <c r="P1396" s="8" t="str">
        <v>K9-7YJH-TT9R</v>
      </c>
      <c r="Q1396" s="4">
        <v>45777</v>
      </c>
      <c r="R1396" s="109">
        <v>25.88</v>
      </c>
      <c r="S1396" s="11">
        <f ca="1"/>
        <v>25.88</v>
      </c>
      <c r="T1396" s="28">
        <f ca="1"/>
        <v>3.8819999999999997</v>
      </c>
      <c r="U1396" s="11">
        <f ca="1"/>
        <v>22</v>
      </c>
      <c r="V1396" s="11">
        <v>11.8</v>
      </c>
      <c r="W1396" s="11">
        <f ca="1"/>
        <v>0.25</v>
      </c>
      <c r="X1396" s="11">
        <f ca="1"/>
        <v>0.39877104377104378</v>
      </c>
      <c r="Y1396" s="11">
        <v>0</v>
      </c>
      <c r="Z1396" s="11">
        <f ca="1"/>
        <v>9.5512289562289556</v>
      </c>
      <c r="AA1396" s="11">
        <f ca="1"/>
        <v>4.7756144781144778</v>
      </c>
      <c r="AB1396" s="4">
        <f ca="1"/>
        <v>45784</v>
      </c>
      <c r="AC1396" s="4">
        <v>45784</v>
      </c>
      <c r="AD1396" s="9">
        <v>45793</v>
      </c>
      <c r="AE1396" s="9">
        <v>45797</v>
      </c>
      <c r="AF1396" s="4" t="str">
        <f t="shared" ca="1" si="92"/>
        <v>2025 05</v>
      </c>
      <c r="AG1396" s="8" t="str" cm="1">
        <f t="array" ref="AG1396">IFERROR(_xlfn.IFS('Banco de Dados'!#REF!="AG. COMPRA","Em processamento",'Banco de Dados'!#REF!="AG. RASTREIO","Em processamento",'Banco de Dados'!$AE1396&lt;&gt;"-","Faturado",'Banco de Dados'!$AD1396&lt;&gt;"-","Aguardando Pix",'Banco de Dados'!$AC1396&lt;&gt;"-","Pendente"),"Aguardando Liberação")</f>
        <v>Aguardando Liberação</v>
      </c>
      <c r="AH1396" s="5" t="str">
        <f>IF('Banco de Dados'!$F1396="-",_xlfn.CONCAT(PROPER(TEXT(AK1396,"aaaa"))," ",PROPER(TEXT(AK1396,"mm"))),_xlfn.CONCAT(PROPER(TEXT(E1396,"aaaa"))," ",PROPER(TEXT(E1396,"mm"))))</f>
        <v>2025 04</v>
      </c>
      <c r="AI1396" s="9" t="str">
        <f ca="1">IF('Banco de Dados'!$AK1396&lt;&gt;"-","REEMBOLSO",IFERROR(_xlfn.XLOOKUP(G1396,Follow[CODRASTREIO],Follow[STATUS]),"-"))</f>
        <v>ENTREGUE</v>
      </c>
      <c r="AJ1396" s="9">
        <f ca="1">IF('Banco de Dados'!$AI1396="ENTREGUE",_xlfn.XLOOKUP('Banco de Dados'!$G1396,Follow[CODRASTREIO],Follow[DATAATUALIZAÇÃO]),"-")</f>
        <v>45755</v>
      </c>
      <c r="AK1396" s="132" t="str">
        <f ca="1"/>
        <v>-</v>
      </c>
      <c r="AL1396" s="35"/>
      <c r="AM1396" s="109" cm="1">
        <f t="array" aca="1" ref="AM1396" ca="1">IF('Banco de Dados'!$AK1396&lt;&gt;"-",_xlfn.IFS('Banco de Dados'!$A1396="bv",IF('Banco de Dados'!$E1396&lt;45641,ROUND(SUM('Banco de Dados'!$R1396*_xlfn.XLOOKUP('Banco de Dados'!$P1396,Sku!B:B,Sku!#REF!)*20%),2),ROUND(SUM('Banco de Dados'!$R1396*_xlfn.XLOOKUP('Banco de Dados'!$P1396,Sku!B:B,Sku!H:H)*20%),2)),'Banco de Dados'!$A1396="GO",ROUND(SUM('Banco de Dados'!$R1396*_xlfn.XLOOKUP('Banco de Dados'!$P1396,Sku!C:C,Sku!H:H)*20%),2),'Banco de Dados'!$A1396="MEI",ROUND(SUM('Banco de Dados'!$R1396*_xlfn.XLOOKUP('Banco de Dados'!$P1396,Sku!D:D,Sku!H:H)*20%),2)),0)</f>
        <v>0</v>
      </c>
      <c r="AN1396" s="109">
        <f ca="1">IF('Banco de Dados'!$AK1396&lt;&gt;"-",IF('Banco de Dados'!$F1396&lt;&gt;"-",_xlfn.XLOOKUP(IFERROR(IFERROR(IFERROR(VALUE(SUBSTITUTE(MID(_xlfn.TEXTAFTER('Banco de Dados'!$F1396,"Data do Pedido:
",1),1,10),"-","/")),VALUE(SUBSTITUTE(MID(_xlfn.TEXTAFTER('Banco de Dados'!$F1396,"Order date:
",1),1,10),"-","/"))),VALUE(SUBSTITUTE(MID(_xlfn.TEXTAFTER('Banco de Dados'!$F1396,"Fecha de pedido:
",1),1,10),"-","/"))),"-"),SMS!A:A,SMS!K:K),0),0)</f>
        <v>0</v>
      </c>
      <c r="AO1396" s="109">
        <f ca="1">IF('Banco de Dados'!$AK1396&lt;&gt;"-",IF('Banco de Dados'!$F1396&lt;&gt;"-",IFERROR(_xlfn.XLOOKUP(_xlfn.CONCAT('Banco de Dados'!$A1396,IFERROR(IFERROR(VALUE(SUBSTITUTE(MID(_xlfn.TEXTAFTER('Banco de Dados'!$F1396,"Data do Pedido:
",1),1,10),"-","/")),VALUE(SUBSTITUTE(MID(_xlfn.TEXTAFTER('Banco de Dados'!$F1396,"Order date:
",1),1,10),"-","/"))),0)),ProxyDD[Chave],ProxyDD[Valor por pedido]),PROXY!$P$2),0),0)</f>
        <v>0</v>
      </c>
      <c r="AP1396" s="28">
        <f ca="1">IF('Banco de Dados'!$AK1396&lt;&gt;"-",IF('Banco de Dados'!$AL1396="NÃO",IFERROR(VALUE(SUBSTITUTE(_xlfn.TEXTAFTER('Banco de Dados'!$F1396,"BRL ",1),".",",")),0),0),0)</f>
        <v>0</v>
      </c>
      <c r="AQ1396" s="28">
        <f ca="1">SUM('Banco de Dados'!$AM1396:$AP1396)</f>
        <v>0</v>
      </c>
      <c r="AR1396" s="8"/>
      <c r="AY1396" s="8"/>
    </row>
    <row r="1397" spans="1:51">
      <c r="A1397" s="5" t="str">
        <v>MEI</v>
      </c>
      <c r="B1397" s="5" t="str">
        <f ca="1"/>
        <v>MEI45750</v>
      </c>
      <c r="C1397" s="8" t="str">
        <v>Pedido 1384</v>
      </c>
      <c r="D1397" s="187">
        <v>45748</v>
      </c>
      <c r="E1397" s="9">
        <v>45750</v>
      </c>
      <c r="F1397" s="8" t="str">
        <v>PedidoF1326</v>
      </c>
      <c r="G1397" s="2" t="str">
        <v>CódRastreio1324</v>
      </c>
      <c r="H1397" s="5">
        <v>1</v>
      </c>
      <c r="I1397" s="2" t="str">
        <v>CPF 1348</v>
      </c>
      <c r="J1397" s="2" t="str">
        <v>Nome 1348</v>
      </c>
      <c r="K1397" s="8" t="str">
        <v>Tel 1348</v>
      </c>
      <c r="L1397" s="8" t="str">
        <v>Cep 1348</v>
      </c>
      <c r="M1397" s="8" t="str">
        <v>Rua 1348</v>
      </c>
      <c r="N1397" s="8" t="str">
        <v>Comp 1348</v>
      </c>
      <c r="O1397" s="8" t="str">
        <v>Ventilador Preto</v>
      </c>
      <c r="P1397" s="8" t="str">
        <v>WU-SS4J-LFOH</v>
      </c>
      <c r="Q1397" s="4">
        <v>45777</v>
      </c>
      <c r="R1397" s="109">
        <v>65.75</v>
      </c>
      <c r="S1397" s="11">
        <f ca="1"/>
        <v>65.75</v>
      </c>
      <c r="T1397" s="28">
        <f ca="1"/>
        <v>7.89</v>
      </c>
      <c r="U1397" s="11">
        <f ca="1"/>
        <v>57.86</v>
      </c>
      <c r="V1397" s="11">
        <v>16.489999999999998</v>
      </c>
      <c r="W1397" s="11">
        <f ca="1"/>
        <v>0.25</v>
      </c>
      <c r="X1397" s="11">
        <f ca="1"/>
        <v>0.39877104377104378</v>
      </c>
      <c r="Y1397" s="11">
        <v>0</v>
      </c>
      <c r="Z1397" s="11">
        <f ca="1"/>
        <v>40.721228956228956</v>
      </c>
      <c r="AA1397" s="11">
        <f ca="1"/>
        <v>20.360614478114478</v>
      </c>
      <c r="AB1397" s="4">
        <f ca="1"/>
        <v>45784</v>
      </c>
      <c r="AC1397" s="4">
        <v>45784</v>
      </c>
      <c r="AD1397" s="9">
        <v>45793</v>
      </c>
      <c r="AE1397" s="9">
        <v>45797</v>
      </c>
      <c r="AF1397" s="4" t="str">
        <f t="shared" ca="1" si="92"/>
        <v>2025 05</v>
      </c>
      <c r="AG1397" s="8" t="str" cm="1">
        <f t="array" ref="AG1397">IFERROR(_xlfn.IFS('Banco de Dados'!#REF!="AG. COMPRA","Em processamento",'Banco de Dados'!#REF!="AG. RASTREIO","Em processamento",'Banco de Dados'!$AE1397&lt;&gt;"-","Faturado",'Banco de Dados'!$AD1397&lt;&gt;"-","Aguardando Pix",'Banco de Dados'!$AC1397&lt;&gt;"-","Pendente"),"Aguardando Liberação")</f>
        <v>Aguardando Liberação</v>
      </c>
      <c r="AH1397" s="5" t="str">
        <f>IF('Banco de Dados'!$F1397="-",_xlfn.CONCAT(PROPER(TEXT(AK1397,"aaaa"))," ",PROPER(TEXT(AK1397,"mm"))),_xlfn.CONCAT(PROPER(TEXT(E1397,"aaaa"))," ",PROPER(TEXT(E1397,"mm"))))</f>
        <v>2025 04</v>
      </c>
      <c r="AI1397" s="9" t="str">
        <f ca="1">IF('Banco de Dados'!$AK1397&lt;&gt;"-","REEMBOLSO",IFERROR(_xlfn.XLOOKUP(G1397,Follow[CODRASTREIO],Follow[STATUS]),"-"))</f>
        <v>ENTREGUE</v>
      </c>
      <c r="AJ1397" s="9">
        <f ca="1">IF('Banco de Dados'!$AI1397="ENTREGUE",_xlfn.XLOOKUP('Banco de Dados'!$G1397,Follow[CODRASTREIO],Follow[DATAATUALIZAÇÃO]),"-")</f>
        <v>45759</v>
      </c>
      <c r="AK1397" s="132" t="str">
        <f ca="1"/>
        <v>-</v>
      </c>
      <c r="AL1397" s="35"/>
      <c r="AM1397" s="109" cm="1">
        <f t="array" aca="1" ref="AM1397" ca="1">IF('Banco de Dados'!$AK1397&lt;&gt;"-",_xlfn.IFS('Banco de Dados'!$A1397="bv",IF('Banco de Dados'!$E1397&lt;45641,ROUND(SUM('Banco de Dados'!$R1397*_xlfn.XLOOKUP('Banco de Dados'!$P1397,Sku!B:B,Sku!#REF!)*20%),2),ROUND(SUM('Banco de Dados'!$R1397*_xlfn.XLOOKUP('Banco de Dados'!$P1397,Sku!B:B,Sku!H:H)*20%),2)),'Banco de Dados'!$A1397="GO",ROUND(SUM('Banco de Dados'!$R1397*_xlfn.XLOOKUP('Banco de Dados'!$P1397,Sku!C:C,Sku!H:H)*20%),2),'Banco de Dados'!$A1397="MEI",ROUND(SUM('Banco de Dados'!$R1397*_xlfn.XLOOKUP('Banco de Dados'!$P1397,Sku!D:D,Sku!H:H)*20%),2)),0)</f>
        <v>0</v>
      </c>
      <c r="AN1397" s="109">
        <f ca="1">IF('Banco de Dados'!$AK1397&lt;&gt;"-",IF('Banco de Dados'!$F1397&lt;&gt;"-",_xlfn.XLOOKUP(IFERROR(IFERROR(IFERROR(VALUE(SUBSTITUTE(MID(_xlfn.TEXTAFTER('Banco de Dados'!$F1397,"Data do Pedido:
",1),1,10),"-","/")),VALUE(SUBSTITUTE(MID(_xlfn.TEXTAFTER('Banco de Dados'!$F1397,"Order date:
",1),1,10),"-","/"))),VALUE(SUBSTITUTE(MID(_xlfn.TEXTAFTER('Banco de Dados'!$F1397,"Fecha de pedido:
",1),1,10),"-","/"))),"-"),SMS!A:A,SMS!K:K),0),0)</f>
        <v>0</v>
      </c>
      <c r="AO1397" s="109">
        <f ca="1">IF('Banco de Dados'!$AK1397&lt;&gt;"-",IF('Banco de Dados'!$F1397&lt;&gt;"-",IFERROR(_xlfn.XLOOKUP(_xlfn.CONCAT('Banco de Dados'!$A1397,IFERROR(IFERROR(VALUE(SUBSTITUTE(MID(_xlfn.TEXTAFTER('Banco de Dados'!$F1397,"Data do Pedido:
",1),1,10),"-","/")),VALUE(SUBSTITUTE(MID(_xlfn.TEXTAFTER('Banco de Dados'!$F1397,"Order date:
",1),1,10),"-","/"))),0)),ProxyDD[Chave],ProxyDD[Valor por pedido]),PROXY!$P$2),0),0)</f>
        <v>0</v>
      </c>
      <c r="AP1397" s="28">
        <f ca="1">IF('Banco de Dados'!$AK1397&lt;&gt;"-",IF('Banco de Dados'!$AL1397="NÃO",IFERROR(VALUE(SUBSTITUTE(_xlfn.TEXTAFTER('Banco de Dados'!$F1397,"BRL ",1),".",",")),0),0),0)</f>
        <v>0</v>
      </c>
      <c r="AQ1397" s="28">
        <f ca="1">SUM('Banco de Dados'!$AM1397:$AP1397)</f>
        <v>0</v>
      </c>
      <c r="AR1397" s="8"/>
      <c r="AY1397" s="8"/>
    </row>
    <row r="1398" spans="1:51">
      <c r="A1398" s="5" t="str">
        <v>MEI</v>
      </c>
      <c r="B1398" s="5" t="str">
        <f ca="1"/>
        <v>MEI45750</v>
      </c>
      <c r="C1398" s="8" t="str">
        <v>Pedido 1385</v>
      </c>
      <c r="D1398" s="187">
        <v>45748</v>
      </c>
      <c r="E1398" s="9">
        <v>45750</v>
      </c>
      <c r="F1398" s="8" t="str">
        <v>PedidoF1327</v>
      </c>
      <c r="G1398" s="2" t="str">
        <v>CódRastreio1325</v>
      </c>
      <c r="H1398" s="5">
        <v>1</v>
      </c>
      <c r="I1398" s="2" t="str">
        <v>CPF 1349</v>
      </c>
      <c r="J1398" s="2" t="str">
        <v>Nome 1349</v>
      </c>
      <c r="K1398" s="8" t="str">
        <v>Tel 1349</v>
      </c>
      <c r="L1398" s="8" t="str">
        <v>Cep 1349</v>
      </c>
      <c r="M1398" s="8" t="str">
        <v>Rua 1349</v>
      </c>
      <c r="N1398" s="8" t="str">
        <v>Comp 1349</v>
      </c>
      <c r="O1398" s="8" t="str">
        <v>Ventilador Umidificador Preto</v>
      </c>
      <c r="P1398" s="8" t="str">
        <v>71-KHMZ-MLQW</v>
      </c>
      <c r="Q1398" s="4">
        <v>45777</v>
      </c>
      <c r="R1398" s="109">
        <v>53</v>
      </c>
      <c r="S1398" s="11">
        <f ca="1"/>
        <v>53</v>
      </c>
      <c r="T1398" s="28">
        <f ca="1"/>
        <v>5.83</v>
      </c>
      <c r="U1398" s="11">
        <f ca="1"/>
        <v>47.17</v>
      </c>
      <c r="V1398" s="11">
        <v>29.75</v>
      </c>
      <c r="W1398" s="11">
        <f ca="1"/>
        <v>0.25</v>
      </c>
      <c r="X1398" s="11">
        <f ca="1"/>
        <v>0.39877104377104378</v>
      </c>
      <c r="Y1398" s="11">
        <v>0</v>
      </c>
      <c r="Z1398" s="11">
        <f ca="1"/>
        <v>16.771228956228956</v>
      </c>
      <c r="AA1398" s="11">
        <f ca="1"/>
        <v>8.3856144781144781</v>
      </c>
      <c r="AB1398" s="4">
        <f ca="1"/>
        <v>45784</v>
      </c>
      <c r="AC1398" s="4">
        <v>45784</v>
      </c>
      <c r="AD1398" s="9">
        <v>45793</v>
      </c>
      <c r="AE1398" s="9">
        <v>45797</v>
      </c>
      <c r="AF1398" s="4" t="str">
        <f t="shared" ca="1" si="92"/>
        <v>2025 05</v>
      </c>
      <c r="AG1398" s="8" t="str" cm="1">
        <f t="array" ref="AG1398">IFERROR(_xlfn.IFS('Banco de Dados'!#REF!="AG. COMPRA","Em processamento",'Banco de Dados'!#REF!="AG. RASTREIO","Em processamento",'Banco de Dados'!$AE1398&lt;&gt;"-","Faturado",'Banco de Dados'!$AD1398&lt;&gt;"-","Aguardando Pix",'Banco de Dados'!$AC1398&lt;&gt;"-","Pendente"),"Aguardando Liberação")</f>
        <v>Aguardando Liberação</v>
      </c>
      <c r="AH1398" s="5" t="str">
        <f>IF('Banco de Dados'!$F1398="-",_xlfn.CONCAT(PROPER(TEXT(AK1398,"aaaa"))," ",PROPER(TEXT(AK1398,"mm"))),_xlfn.CONCAT(PROPER(TEXT(E1398,"aaaa"))," ",PROPER(TEXT(E1398,"mm"))))</f>
        <v>2025 04</v>
      </c>
      <c r="AI1398" s="9" t="str">
        <f ca="1">IF('Banco de Dados'!$AK1398&lt;&gt;"-","REEMBOLSO",IFERROR(_xlfn.XLOOKUP(G1398,Follow[CODRASTREIO],Follow[STATUS]),"-"))</f>
        <v>ENTREGUE</v>
      </c>
      <c r="AJ1398" s="9">
        <f ca="1">IF('Banco de Dados'!$AI1398="ENTREGUE",_xlfn.XLOOKUP('Banco de Dados'!$G1398,Follow[CODRASTREIO],Follow[DATAATUALIZAÇÃO]),"-")</f>
        <v>45763</v>
      </c>
      <c r="AK1398" s="132" t="str">
        <f ca="1"/>
        <v>-</v>
      </c>
      <c r="AL1398" s="35"/>
      <c r="AM1398" s="109" cm="1">
        <f t="array" aca="1" ref="AM1398" ca="1">IF('Banco de Dados'!$AK1398&lt;&gt;"-",_xlfn.IFS('Banco de Dados'!$A1398="bv",IF('Banco de Dados'!$E1398&lt;45641,ROUND(SUM('Banco de Dados'!$R1398*_xlfn.XLOOKUP('Banco de Dados'!$P1398,Sku!B:B,Sku!#REF!)*20%),2),ROUND(SUM('Banco de Dados'!$R1398*_xlfn.XLOOKUP('Banco de Dados'!$P1398,Sku!B:B,Sku!H:H)*20%),2)),'Banco de Dados'!$A1398="GO",ROUND(SUM('Banco de Dados'!$R1398*_xlfn.XLOOKUP('Banco de Dados'!$P1398,Sku!C:C,Sku!H:H)*20%),2),'Banco de Dados'!$A1398="MEI",ROUND(SUM('Banco de Dados'!$R1398*_xlfn.XLOOKUP('Banco de Dados'!$P1398,Sku!D:D,Sku!H:H)*20%),2)),0)</f>
        <v>0</v>
      </c>
      <c r="AN1398" s="109">
        <f ca="1">IF('Banco de Dados'!$AK1398&lt;&gt;"-",IF('Banco de Dados'!$F1398&lt;&gt;"-",_xlfn.XLOOKUP(IFERROR(IFERROR(IFERROR(VALUE(SUBSTITUTE(MID(_xlfn.TEXTAFTER('Banco de Dados'!$F1398,"Data do Pedido:
",1),1,10),"-","/")),VALUE(SUBSTITUTE(MID(_xlfn.TEXTAFTER('Banco de Dados'!$F1398,"Order date:
",1),1,10),"-","/"))),VALUE(SUBSTITUTE(MID(_xlfn.TEXTAFTER('Banco de Dados'!$F1398,"Fecha de pedido:
",1),1,10),"-","/"))),"-"),SMS!A:A,SMS!K:K),0),0)</f>
        <v>0</v>
      </c>
      <c r="AO1398" s="109">
        <f ca="1">IF('Banco de Dados'!$AK1398&lt;&gt;"-",IF('Banco de Dados'!$F1398&lt;&gt;"-",IFERROR(_xlfn.XLOOKUP(_xlfn.CONCAT('Banco de Dados'!$A1398,IFERROR(IFERROR(VALUE(SUBSTITUTE(MID(_xlfn.TEXTAFTER('Banco de Dados'!$F1398,"Data do Pedido:
",1),1,10),"-","/")),VALUE(SUBSTITUTE(MID(_xlfn.TEXTAFTER('Banco de Dados'!$F1398,"Order date:
",1),1,10),"-","/"))),0)),ProxyDD[Chave],ProxyDD[Valor por pedido]),PROXY!$P$2),0),0)</f>
        <v>0</v>
      </c>
      <c r="AP1398" s="28">
        <f ca="1">IF('Banco de Dados'!$AK1398&lt;&gt;"-",IF('Banco de Dados'!$AL1398="NÃO",IFERROR(VALUE(SUBSTITUTE(_xlfn.TEXTAFTER('Banco de Dados'!$F1398,"BRL ",1),".",",")),0),0),0)</f>
        <v>0</v>
      </c>
      <c r="AQ1398" s="28">
        <f ca="1">SUM('Banco de Dados'!$AM1398:$AP1398)</f>
        <v>0</v>
      </c>
      <c r="AR1398" s="8"/>
      <c r="AY1398" s="8"/>
    </row>
    <row r="1399" spans="1:51">
      <c r="A1399" s="5" t="str">
        <v>MEI</v>
      </c>
      <c r="B1399" s="5" t="str">
        <f ca="1"/>
        <v>MEI-</v>
      </c>
      <c r="C1399" s="8" t="str">
        <v>Pedido 1386</v>
      </c>
      <c r="D1399" s="187">
        <v>45749</v>
      </c>
      <c r="E1399" s="9" t="str">
        <v>-</v>
      </c>
      <c r="F1399" s="8" t="str">
        <v>-</v>
      </c>
      <c r="G1399" s="2" t="str">
        <v>-</v>
      </c>
      <c r="H1399" s="5">
        <v>1</v>
      </c>
      <c r="I1399" s="2" t="str">
        <v>CPF 1350</v>
      </c>
      <c r="J1399" s="2" t="str">
        <v>Nome 1350</v>
      </c>
      <c r="K1399" s="8" t="str">
        <v>Tel 1350</v>
      </c>
      <c r="L1399" s="8" t="str">
        <v>Cep 1350</v>
      </c>
      <c r="M1399" s="8" t="str">
        <v>Rua 1350</v>
      </c>
      <c r="N1399" s="8" t="str">
        <v>Comp 1350</v>
      </c>
      <c r="O1399" s="8" t="str">
        <v>Maçarico Culinário Portátil</v>
      </c>
      <c r="P1399" s="8" t="str">
        <v>BG-DHRO-FAEE</v>
      </c>
      <c r="Q1399" s="4">
        <v>45777</v>
      </c>
      <c r="R1399" s="109">
        <v>26.99</v>
      </c>
      <c r="S1399" s="11">
        <f ca="1"/>
        <v>0</v>
      </c>
      <c r="T1399" s="28">
        <f ca="1"/>
        <v>0</v>
      </c>
      <c r="U1399" s="11">
        <f ca="1"/>
        <v>0</v>
      </c>
      <c r="V1399" s="11">
        <v>0</v>
      </c>
      <c r="W1399" s="11">
        <f ca="1"/>
        <v>0</v>
      </c>
      <c r="X1399" s="11">
        <f ca="1"/>
        <v>0</v>
      </c>
      <c r="Y1399" s="11">
        <v>0</v>
      </c>
      <c r="Z1399" s="11">
        <f ca="1"/>
        <v>0</v>
      </c>
      <c r="AA1399" s="11">
        <f ca="1"/>
        <v>0</v>
      </c>
      <c r="AB1399" s="4">
        <f ca="1"/>
        <v>45784</v>
      </c>
      <c r="AC1399" s="4">
        <v>45784</v>
      </c>
      <c r="AD1399" s="9">
        <v>45793</v>
      </c>
      <c r="AE1399" s="9">
        <v>45797</v>
      </c>
      <c r="AF1399" s="4" t="str">
        <f t="shared" ca="1" si="92"/>
        <v>2025 05</v>
      </c>
      <c r="AG1399" s="8" t="str" cm="1">
        <f t="array" ref="AG1399">IFERROR(_xlfn.IFS('Banco de Dados'!#REF!="AG. COMPRA","Em processamento",'Banco de Dados'!#REF!="AG. RASTREIO","Em processamento",'Banco de Dados'!$AE1399&lt;&gt;"-","Faturado",'Banco de Dados'!$AD1399&lt;&gt;"-","Aguardando Pix",'Banco de Dados'!$AC1399&lt;&gt;"-","Pendente"),"Aguardando Liberação")</f>
        <v>Aguardando Liberação</v>
      </c>
      <c r="AH1399" s="5" t="str">
        <f ca="1">IF('Banco de Dados'!$F1399="-",_xlfn.CONCAT(PROPER(TEXT(AK1399,"aaaa"))," ",PROPER(TEXT(AK1399,"mm"))),_xlfn.CONCAT(PROPER(TEXT(E1399,"aaaa"))," ",PROPER(TEXT(E1399,"mm"))))</f>
        <v>2025 04</v>
      </c>
      <c r="AI1399" s="9" t="str">
        <f ca="1">IF('Banco de Dados'!$AK1399&lt;&gt;"-","REEMBOLSO",IFERROR(_xlfn.XLOOKUP(G1399,Follow[CODRASTREIO],Follow[STATUS]),"-"))</f>
        <v>REEMBOLSO</v>
      </c>
      <c r="AJ1399" s="9" t="str">
        <f ca="1">IF('Banco de Dados'!$AI1399="ENTREGUE",_xlfn.XLOOKUP('Banco de Dados'!$G1399,Follow[CODRASTREIO],Follow[DATAATUALIZAÇÃO]),"-")</f>
        <v>-</v>
      </c>
      <c r="AK1399" s="132">
        <f ca="1"/>
        <v>45751</v>
      </c>
      <c r="AL1399" s="35"/>
      <c r="AM1399" s="109" cm="1">
        <f t="array" aca="1" ref="AM1399" ca="1">IF('Banco de Dados'!$AK1399&lt;&gt;"-",_xlfn.IFS('Banco de Dados'!$A1399="bv",IF('Banco de Dados'!$E1399&lt;45641,ROUND(SUM('Banco de Dados'!$R1399*_xlfn.XLOOKUP('Banco de Dados'!$P1399,Sku!B:B,Sku!#REF!)*20%),2),ROUND(SUM('Banco de Dados'!$R1399*_xlfn.XLOOKUP('Banco de Dados'!$P1399,Sku!B:B,Sku!H:H)*20%),2)),'Banco de Dados'!$A1399="GO",ROUND(SUM('Banco de Dados'!$R1399*_xlfn.XLOOKUP('Banco de Dados'!$P1399,Sku!C:C,Sku!H:H)*20%),2),'Banco de Dados'!$A1399="MEI",ROUND(SUM('Banco de Dados'!$R1399*_xlfn.XLOOKUP('Banco de Dados'!$P1399,Sku!D:D,Sku!H:H)*20%),2)),0)</f>
        <v>0.59</v>
      </c>
      <c r="AN1399" s="109">
        <f ca="1">IF('Banco de Dados'!$AK1399&lt;&gt;"-",IF('Banco de Dados'!$F1399&lt;&gt;"-",_xlfn.XLOOKUP(IFERROR(IFERROR(IFERROR(VALUE(SUBSTITUTE(MID(_xlfn.TEXTAFTER('Banco de Dados'!$F1399,"Data do Pedido:
",1),1,10),"-","/")),VALUE(SUBSTITUTE(MID(_xlfn.TEXTAFTER('Banco de Dados'!$F1399,"Order date:
",1),1,10),"-","/"))),VALUE(SUBSTITUTE(MID(_xlfn.TEXTAFTER('Banco de Dados'!$F1399,"Fecha de pedido:
",1),1,10),"-","/"))),"-"),SMS!A:A,SMS!K:K),0),0)</f>
        <v>0</v>
      </c>
      <c r="AO1399" s="109">
        <f ca="1">IF('Banco de Dados'!$AK1399&lt;&gt;"-",IF('Banco de Dados'!$F1399&lt;&gt;"-",IFERROR(_xlfn.XLOOKUP(_xlfn.CONCAT('Banco de Dados'!$A1399,IFERROR(IFERROR(VALUE(SUBSTITUTE(MID(_xlfn.TEXTAFTER('Banco de Dados'!$F1399,"Data do Pedido:
",1),1,10),"-","/")),VALUE(SUBSTITUTE(MID(_xlfn.TEXTAFTER('Banco de Dados'!$F1399,"Order date:
",1),1,10),"-","/"))),0)),ProxyDD[Chave],ProxyDD[Valor por pedido]),PROXY!$P$2),0),0)</f>
        <v>0</v>
      </c>
      <c r="AP1399" s="28">
        <f ca="1">IF('Banco de Dados'!$AK1399&lt;&gt;"-",IF('Banco de Dados'!$AL1399="NÃO",IFERROR(VALUE(SUBSTITUTE(_xlfn.TEXTAFTER('Banco de Dados'!$F1399,"BRL ",1),".",",")),0),0),0)</f>
        <v>0</v>
      </c>
      <c r="AQ1399" s="28">
        <f ca="1">SUM('Banco de Dados'!$AM1399:$AP1399)</f>
        <v>0.59</v>
      </c>
      <c r="AR1399" s="8"/>
      <c r="AY1399" s="8"/>
    </row>
    <row r="1400" spans="1:51">
      <c r="A1400" s="5" t="str">
        <v>MEI</v>
      </c>
      <c r="B1400" s="5" t="str">
        <f ca="1"/>
        <v>MEI45750</v>
      </c>
      <c r="C1400" s="8" t="str">
        <v>Pedido 1387</v>
      </c>
      <c r="D1400" s="187">
        <v>45749</v>
      </c>
      <c r="E1400" s="9">
        <v>45750</v>
      </c>
      <c r="F1400" s="8" t="str">
        <v>PedidoF1328</v>
      </c>
      <c r="G1400" s="2" t="str">
        <v>CódRastreio1326</v>
      </c>
      <c r="H1400" s="5">
        <v>1</v>
      </c>
      <c r="I1400" s="2" t="str">
        <v>CPF 1351</v>
      </c>
      <c r="J1400" s="2" t="str">
        <v>Nome 1351</v>
      </c>
      <c r="K1400" s="8" t="str">
        <v>Tel 1351</v>
      </c>
      <c r="L1400" s="8" t="str">
        <v>Cep 1351</v>
      </c>
      <c r="M1400" s="8" t="str">
        <v>Rua 1351</v>
      </c>
      <c r="N1400" s="8" t="str">
        <v>Comp 1351</v>
      </c>
      <c r="O1400" s="8" t="str">
        <v>Lampada Led</v>
      </c>
      <c r="P1400" s="8" t="str">
        <v>T1-SWVB-UPOW</v>
      </c>
      <c r="Q1400" s="4">
        <v>45777</v>
      </c>
      <c r="R1400" s="109">
        <v>29.99</v>
      </c>
      <c r="S1400" s="11">
        <f ca="1"/>
        <v>29.99</v>
      </c>
      <c r="T1400" s="28">
        <f ca="1"/>
        <v>3.5987999999999998</v>
      </c>
      <c r="U1400" s="11">
        <f ca="1"/>
        <v>26.39</v>
      </c>
      <c r="V1400" s="11">
        <v>18.32</v>
      </c>
      <c r="W1400" s="11">
        <f ca="1"/>
        <v>0.25</v>
      </c>
      <c r="X1400" s="11">
        <f ca="1"/>
        <v>0.39877104377104378</v>
      </c>
      <c r="Y1400" s="11">
        <v>0</v>
      </c>
      <c r="Z1400" s="11">
        <f ca="1"/>
        <v>7.4212289562289548</v>
      </c>
      <c r="AA1400" s="11">
        <f ca="1"/>
        <v>3.7106144781144774</v>
      </c>
      <c r="AB1400" s="4">
        <f ca="1"/>
        <v>45784</v>
      </c>
      <c r="AC1400" s="4">
        <v>45784</v>
      </c>
      <c r="AD1400" s="9">
        <v>45793</v>
      </c>
      <c r="AE1400" s="9">
        <v>45797</v>
      </c>
      <c r="AF1400" s="4" t="str">
        <f t="shared" ca="1" si="92"/>
        <v>2025 05</v>
      </c>
      <c r="AG1400" s="8" t="str" cm="1">
        <f t="array" ref="AG1400">IFERROR(_xlfn.IFS('Banco de Dados'!#REF!="AG. COMPRA","Em processamento",'Banco de Dados'!#REF!="AG. RASTREIO","Em processamento",'Banco de Dados'!$AE1400&lt;&gt;"-","Faturado",'Banco de Dados'!$AD1400&lt;&gt;"-","Aguardando Pix",'Banco de Dados'!$AC1400&lt;&gt;"-","Pendente"),"Aguardando Liberação")</f>
        <v>Aguardando Liberação</v>
      </c>
      <c r="AH1400" s="5" t="str">
        <f>IF('Banco de Dados'!$F1400="-",_xlfn.CONCAT(PROPER(TEXT(AK1400,"aaaa"))," ",PROPER(TEXT(AK1400,"mm"))),_xlfn.CONCAT(PROPER(TEXT(E1400,"aaaa"))," ",PROPER(TEXT(E1400,"mm"))))</f>
        <v>2025 04</v>
      </c>
      <c r="AI1400" s="9" t="str">
        <f ca="1">IF('Banco de Dados'!$AK1400&lt;&gt;"-","REEMBOLSO",IFERROR(_xlfn.XLOOKUP(G1400,Follow[CODRASTREIO],Follow[STATUS]),"-"))</f>
        <v>ENTREGUE</v>
      </c>
      <c r="AJ1400" s="9">
        <f ca="1">IF('Banco de Dados'!$AI1400="ENTREGUE",_xlfn.XLOOKUP('Banco de Dados'!$G1400,Follow[CODRASTREIO],Follow[DATAATUALIZAÇÃO]),"-")</f>
        <v>45761</v>
      </c>
      <c r="AK1400" s="132" t="str">
        <f ca="1"/>
        <v>-</v>
      </c>
      <c r="AL1400" s="35"/>
      <c r="AM1400" s="109" cm="1">
        <f t="array" aca="1" ref="AM1400" ca="1">IF('Banco de Dados'!$AK1400&lt;&gt;"-",_xlfn.IFS('Banco de Dados'!$A1400="bv",IF('Banco de Dados'!$E1400&lt;45641,ROUND(SUM('Banco de Dados'!$R1400*_xlfn.XLOOKUP('Banco de Dados'!$P1400,Sku!B:B,Sku!#REF!)*20%),2),ROUND(SUM('Banco de Dados'!$R1400*_xlfn.XLOOKUP('Banco de Dados'!$P1400,Sku!B:B,Sku!H:H)*20%),2)),'Banco de Dados'!$A1400="GO",ROUND(SUM('Banco de Dados'!$R1400*_xlfn.XLOOKUP('Banco de Dados'!$P1400,Sku!C:C,Sku!H:H)*20%),2),'Banco de Dados'!$A1400="MEI",ROUND(SUM('Banco de Dados'!$R1400*_xlfn.XLOOKUP('Banco de Dados'!$P1400,Sku!D:D,Sku!H:H)*20%),2)),0)</f>
        <v>0</v>
      </c>
      <c r="AN1400" s="109">
        <f ca="1">IF('Banco de Dados'!$AK1400&lt;&gt;"-",IF('Banco de Dados'!$F1400&lt;&gt;"-",_xlfn.XLOOKUP(IFERROR(IFERROR(IFERROR(VALUE(SUBSTITUTE(MID(_xlfn.TEXTAFTER('Banco de Dados'!$F1400,"Data do Pedido:
",1),1,10),"-","/")),VALUE(SUBSTITUTE(MID(_xlfn.TEXTAFTER('Banco de Dados'!$F1400,"Order date:
",1),1,10),"-","/"))),VALUE(SUBSTITUTE(MID(_xlfn.TEXTAFTER('Banco de Dados'!$F1400,"Fecha de pedido:
",1),1,10),"-","/"))),"-"),SMS!A:A,SMS!K:K),0),0)</f>
        <v>0</v>
      </c>
      <c r="AO1400" s="109">
        <f ca="1">IF('Banco de Dados'!$AK1400&lt;&gt;"-",IF('Banco de Dados'!$F1400&lt;&gt;"-",IFERROR(_xlfn.XLOOKUP(_xlfn.CONCAT('Banco de Dados'!$A1400,IFERROR(IFERROR(VALUE(SUBSTITUTE(MID(_xlfn.TEXTAFTER('Banco de Dados'!$F1400,"Data do Pedido:
",1),1,10),"-","/")),VALUE(SUBSTITUTE(MID(_xlfn.TEXTAFTER('Banco de Dados'!$F1400,"Order date:
",1),1,10),"-","/"))),0)),ProxyDD[Chave],ProxyDD[Valor por pedido]),PROXY!$P$2),0),0)</f>
        <v>0</v>
      </c>
      <c r="AP1400" s="28">
        <f ca="1">IF('Banco de Dados'!$AK1400&lt;&gt;"-",IF('Banco de Dados'!$AL1400="NÃO",IFERROR(VALUE(SUBSTITUTE(_xlfn.TEXTAFTER('Banco de Dados'!$F1400,"BRL ",1),".",",")),0),0),0)</f>
        <v>0</v>
      </c>
      <c r="AQ1400" s="28">
        <f ca="1">SUM('Banco de Dados'!$AM1400:$AP1400)</f>
        <v>0</v>
      </c>
      <c r="AR1400" s="8"/>
      <c r="AY1400" s="8"/>
    </row>
    <row r="1401" spans="1:51">
      <c r="A1401" s="5" t="str">
        <v>MEI</v>
      </c>
      <c r="B1401" s="5" t="str">
        <f ca="1"/>
        <v>MEI45750</v>
      </c>
      <c r="C1401" s="8" t="str">
        <v>Pedido 1388</v>
      </c>
      <c r="D1401" s="187">
        <v>45749</v>
      </c>
      <c r="E1401" s="9">
        <v>45750</v>
      </c>
      <c r="F1401" s="8" t="str">
        <v>PedidoF1329</v>
      </c>
      <c r="G1401" s="2" t="str">
        <v>CódRastreio1327</v>
      </c>
      <c r="H1401" s="5">
        <v>1</v>
      </c>
      <c r="I1401" s="2" t="str">
        <v>CPF 1352</v>
      </c>
      <c r="J1401" s="2" t="str">
        <v>Nome 1352</v>
      </c>
      <c r="K1401" s="8" t="str">
        <v>Tel 1352</v>
      </c>
      <c r="L1401" s="8" t="str">
        <v>Cep 1352</v>
      </c>
      <c r="M1401" s="8" t="str">
        <v>Rua 1352</v>
      </c>
      <c r="N1401" s="8" t="str">
        <v>Comp 1352</v>
      </c>
      <c r="O1401" s="8" t="str">
        <v>Ventilador Preto</v>
      </c>
      <c r="P1401" s="8" t="str">
        <v>WU-SS4J-LFOH</v>
      </c>
      <c r="Q1401" s="4">
        <v>45777</v>
      </c>
      <c r="R1401" s="109">
        <v>65.75</v>
      </c>
      <c r="S1401" s="11">
        <f ca="1"/>
        <v>65.75</v>
      </c>
      <c r="T1401" s="28">
        <f ca="1"/>
        <v>7.89</v>
      </c>
      <c r="U1401" s="11">
        <f ca="1"/>
        <v>57.86</v>
      </c>
      <c r="V1401" s="11">
        <v>16.11</v>
      </c>
      <c r="W1401" s="11">
        <f ca="1"/>
        <v>0.25</v>
      </c>
      <c r="X1401" s="11">
        <f ca="1"/>
        <v>0.39877104377104378</v>
      </c>
      <c r="Y1401" s="11">
        <v>0</v>
      </c>
      <c r="Z1401" s="11">
        <f ca="1"/>
        <v>41.101228956228951</v>
      </c>
      <c r="AA1401" s="11">
        <f ca="1"/>
        <v>20.550614478114476</v>
      </c>
      <c r="AB1401" s="4">
        <f ca="1"/>
        <v>45784</v>
      </c>
      <c r="AC1401" s="4">
        <v>45784</v>
      </c>
      <c r="AD1401" s="9">
        <v>45793</v>
      </c>
      <c r="AE1401" s="9">
        <v>45797</v>
      </c>
      <c r="AF1401" s="4" t="str">
        <f t="shared" ca="1" si="92"/>
        <v>2025 05</v>
      </c>
      <c r="AG1401" s="8" t="str" cm="1">
        <f t="array" ref="AG1401">IFERROR(_xlfn.IFS('Banco de Dados'!#REF!="AG. COMPRA","Em processamento",'Banco de Dados'!#REF!="AG. RASTREIO","Em processamento",'Banco de Dados'!$AE1401&lt;&gt;"-","Faturado",'Banco de Dados'!$AD1401&lt;&gt;"-","Aguardando Pix",'Banco de Dados'!$AC1401&lt;&gt;"-","Pendente"),"Aguardando Liberação")</f>
        <v>Aguardando Liberação</v>
      </c>
      <c r="AH1401" s="5" t="str">
        <f>IF('Banco de Dados'!$F1401="-",_xlfn.CONCAT(PROPER(TEXT(AK1401,"aaaa"))," ",PROPER(TEXT(AK1401,"mm"))),_xlfn.CONCAT(PROPER(TEXT(E1401,"aaaa"))," ",PROPER(TEXT(E1401,"mm"))))</f>
        <v>2025 04</v>
      </c>
      <c r="AI1401" s="9" t="str">
        <f ca="1">IF('Banco de Dados'!$AK1401&lt;&gt;"-","REEMBOLSO",IFERROR(_xlfn.XLOOKUP(G1401,Follow[CODRASTREIO],Follow[STATUS]),"-"))</f>
        <v>ENTREGUE</v>
      </c>
      <c r="AJ1401" s="9">
        <f ca="1">IF('Banco de Dados'!$AI1401="ENTREGUE",_xlfn.XLOOKUP('Banco de Dados'!$G1401,Follow[CODRASTREIO],Follow[DATAATUALIZAÇÃO]),"-")</f>
        <v>45770</v>
      </c>
      <c r="AK1401" s="132" t="str">
        <f ca="1"/>
        <v>-</v>
      </c>
      <c r="AL1401" s="35"/>
      <c r="AM1401" s="109" cm="1">
        <f t="array" aca="1" ref="AM1401" ca="1">IF('Banco de Dados'!$AK1401&lt;&gt;"-",_xlfn.IFS('Banco de Dados'!$A1401="bv",IF('Banco de Dados'!$E1401&lt;45641,ROUND(SUM('Banco de Dados'!$R1401*_xlfn.XLOOKUP('Banco de Dados'!$P1401,Sku!B:B,Sku!#REF!)*20%),2),ROUND(SUM('Banco de Dados'!$R1401*_xlfn.XLOOKUP('Banco de Dados'!$P1401,Sku!B:B,Sku!H:H)*20%),2)),'Banco de Dados'!$A1401="GO",ROUND(SUM('Banco de Dados'!$R1401*_xlfn.XLOOKUP('Banco de Dados'!$P1401,Sku!C:C,Sku!H:H)*20%),2),'Banco de Dados'!$A1401="MEI",ROUND(SUM('Banco de Dados'!$R1401*_xlfn.XLOOKUP('Banco de Dados'!$P1401,Sku!D:D,Sku!H:H)*20%),2)),0)</f>
        <v>0</v>
      </c>
      <c r="AN1401" s="109">
        <f ca="1">IF('Banco de Dados'!$AK1401&lt;&gt;"-",IF('Banco de Dados'!$F1401&lt;&gt;"-",_xlfn.XLOOKUP(IFERROR(IFERROR(IFERROR(VALUE(SUBSTITUTE(MID(_xlfn.TEXTAFTER('Banco de Dados'!$F1401,"Data do Pedido:
",1),1,10),"-","/")),VALUE(SUBSTITUTE(MID(_xlfn.TEXTAFTER('Banco de Dados'!$F1401,"Order date:
",1),1,10),"-","/"))),VALUE(SUBSTITUTE(MID(_xlfn.TEXTAFTER('Banco de Dados'!$F1401,"Fecha de pedido:
",1),1,10),"-","/"))),"-"),SMS!A:A,SMS!K:K),0),0)</f>
        <v>0</v>
      </c>
      <c r="AO1401" s="109">
        <f ca="1">IF('Banco de Dados'!$AK1401&lt;&gt;"-",IF('Banco de Dados'!$F1401&lt;&gt;"-",IFERROR(_xlfn.XLOOKUP(_xlfn.CONCAT('Banco de Dados'!$A1401,IFERROR(IFERROR(VALUE(SUBSTITUTE(MID(_xlfn.TEXTAFTER('Banco de Dados'!$F1401,"Data do Pedido:
",1),1,10),"-","/")),VALUE(SUBSTITUTE(MID(_xlfn.TEXTAFTER('Banco de Dados'!$F1401,"Order date:
",1),1,10),"-","/"))),0)),ProxyDD[Chave],ProxyDD[Valor por pedido]),PROXY!$P$2),0),0)</f>
        <v>0</v>
      </c>
      <c r="AP1401" s="28">
        <f ca="1">IF('Banco de Dados'!$AK1401&lt;&gt;"-",IF('Banco de Dados'!$AL1401="NÃO",IFERROR(VALUE(SUBSTITUTE(_xlfn.TEXTAFTER('Banco de Dados'!$F1401,"BRL ",1),".",",")),0),0),0)</f>
        <v>0</v>
      </c>
      <c r="AQ1401" s="28">
        <f ca="1">SUM('Banco de Dados'!$AM1401:$AP1401)</f>
        <v>0</v>
      </c>
      <c r="AR1401" s="8"/>
      <c r="AY1401" s="8"/>
    </row>
    <row r="1402" spans="1:51">
      <c r="A1402" s="5" t="str">
        <v>MEI</v>
      </c>
      <c r="B1402" s="5" t="str">
        <f ca="1"/>
        <v>MEI45750</v>
      </c>
      <c r="C1402" s="8" t="str">
        <v>Pedido 1389</v>
      </c>
      <c r="D1402" s="187">
        <v>45749</v>
      </c>
      <c r="E1402" s="9">
        <v>45750</v>
      </c>
      <c r="F1402" s="8" t="str">
        <v>PedidoF1330</v>
      </c>
      <c r="G1402" s="2" t="str">
        <v>CódRastreio1328</v>
      </c>
      <c r="H1402" s="5">
        <v>1</v>
      </c>
      <c r="I1402" s="2" t="str">
        <v>CPF 1353</v>
      </c>
      <c r="J1402" s="2" t="str">
        <v>Nome 1353</v>
      </c>
      <c r="K1402" s="8" t="str">
        <v>Tel 1353</v>
      </c>
      <c r="L1402" s="8" t="str">
        <v>Cep 1353</v>
      </c>
      <c r="M1402" s="8" t="str">
        <v>Rua 1353</v>
      </c>
      <c r="N1402" s="8" t="str">
        <v>Comp 1353</v>
      </c>
      <c r="O1402" s="8" t="str">
        <v>Mini Liquidificador</v>
      </c>
      <c r="P1402" s="8" t="str">
        <v>A4-5W51-K3HF</v>
      </c>
      <c r="Q1402" s="4">
        <v>45785</v>
      </c>
      <c r="R1402" s="109">
        <v>36.950000000000003</v>
      </c>
      <c r="S1402" s="11">
        <f ca="1"/>
        <v>36.950000000000003</v>
      </c>
      <c r="T1402" s="28">
        <f ca="1"/>
        <v>4.4340000000000002</v>
      </c>
      <c r="U1402" s="11">
        <f ca="1"/>
        <v>32.520000000000003</v>
      </c>
      <c r="V1402" s="11">
        <v>26.86</v>
      </c>
      <c r="W1402" s="11">
        <f ca="1"/>
        <v>0.25</v>
      </c>
      <c r="X1402" s="11">
        <f ca="1"/>
        <v>0.39877104377104378</v>
      </c>
      <c r="Y1402" s="11">
        <v>0</v>
      </c>
      <c r="Z1402" s="11">
        <f ca="1"/>
        <v>5.0112289562289583</v>
      </c>
      <c r="AA1402" s="11">
        <f ca="1"/>
        <v>2.5056144781144791</v>
      </c>
      <c r="AB1402" s="4">
        <f ca="1"/>
        <v>45792</v>
      </c>
      <c r="AC1402" s="4">
        <v>45792</v>
      </c>
      <c r="AD1402" s="9">
        <v>45793</v>
      </c>
      <c r="AE1402" s="9">
        <v>45797</v>
      </c>
      <c r="AF1402" s="4" t="str">
        <f t="shared" ca="1" si="92"/>
        <v>2025 05</v>
      </c>
      <c r="AG1402" s="8" t="str" cm="1">
        <f t="array" ref="AG1402">IFERROR(_xlfn.IFS('Banco de Dados'!#REF!="AG. COMPRA","Em processamento",'Banco de Dados'!#REF!="AG. RASTREIO","Em processamento",'Banco de Dados'!$AE1402&lt;&gt;"-","Faturado",'Banco de Dados'!$AD1402&lt;&gt;"-","Aguardando Pix",'Banco de Dados'!$AC1402&lt;&gt;"-","Pendente"),"Aguardando Liberação")</f>
        <v>Aguardando Liberação</v>
      </c>
      <c r="AH1402" s="5" t="str">
        <f>IF('Banco de Dados'!$F1402="-",_xlfn.CONCAT(PROPER(TEXT(AK1402,"aaaa"))," ",PROPER(TEXT(AK1402,"mm"))),_xlfn.CONCAT(PROPER(TEXT(E1402,"aaaa"))," ",PROPER(TEXT(E1402,"mm"))))</f>
        <v>2025 04</v>
      </c>
      <c r="AI1402" s="9" t="str">
        <f ca="1">IF('Banco de Dados'!$AK1402&lt;&gt;"-","REEMBOLSO",IFERROR(_xlfn.XLOOKUP(G1402,Follow[CODRASTREIO],Follow[STATUS]),"-"))</f>
        <v>ENTREGUE</v>
      </c>
      <c r="AJ1402" s="9">
        <f ca="1">IF('Banco de Dados'!$AI1402="ENTREGUE",_xlfn.XLOOKUP('Banco de Dados'!$G1402,Follow[CODRASTREIO],Follow[DATAATUALIZAÇÃO]),"-")</f>
        <v>45762</v>
      </c>
      <c r="AK1402" s="132" t="str">
        <f ca="1"/>
        <v>-</v>
      </c>
      <c r="AL1402" s="35"/>
      <c r="AM1402" s="109" cm="1">
        <f t="array" aca="1" ref="AM1402" ca="1">IF('Banco de Dados'!$AK1402&lt;&gt;"-",_xlfn.IFS('Banco de Dados'!$A1402="bv",IF('Banco de Dados'!$E1402&lt;45641,ROUND(SUM('Banco de Dados'!$R1402*_xlfn.XLOOKUP('Banco de Dados'!$P1402,Sku!B:B,Sku!#REF!)*20%),2),ROUND(SUM('Banco de Dados'!$R1402*_xlfn.XLOOKUP('Banco de Dados'!$P1402,Sku!B:B,Sku!H:H)*20%),2)),'Banco de Dados'!$A1402="GO",ROUND(SUM('Banco de Dados'!$R1402*_xlfn.XLOOKUP('Banco de Dados'!$P1402,Sku!C:C,Sku!H:H)*20%),2),'Banco de Dados'!$A1402="MEI",ROUND(SUM('Banco de Dados'!$R1402*_xlfn.XLOOKUP('Banco de Dados'!$P1402,Sku!D:D,Sku!H:H)*20%),2)),0)</f>
        <v>0</v>
      </c>
      <c r="AN1402" s="109">
        <f ca="1">IF('Banco de Dados'!$AK1402&lt;&gt;"-",IF('Banco de Dados'!$F1402&lt;&gt;"-",_xlfn.XLOOKUP(IFERROR(IFERROR(IFERROR(VALUE(SUBSTITUTE(MID(_xlfn.TEXTAFTER('Banco de Dados'!$F1402,"Data do Pedido:
",1),1,10),"-","/")),VALUE(SUBSTITUTE(MID(_xlfn.TEXTAFTER('Banco de Dados'!$F1402,"Order date:
",1),1,10),"-","/"))),VALUE(SUBSTITUTE(MID(_xlfn.TEXTAFTER('Banco de Dados'!$F1402,"Fecha de pedido:
",1),1,10),"-","/"))),"-"),SMS!A:A,SMS!K:K),0),0)</f>
        <v>0</v>
      </c>
      <c r="AO1402" s="109">
        <f ca="1">IF('Banco de Dados'!$AK1402&lt;&gt;"-",IF('Banco de Dados'!$F1402&lt;&gt;"-",IFERROR(_xlfn.XLOOKUP(_xlfn.CONCAT('Banco de Dados'!$A1402,IFERROR(IFERROR(VALUE(SUBSTITUTE(MID(_xlfn.TEXTAFTER('Banco de Dados'!$F1402,"Data do Pedido:
",1),1,10),"-","/")),VALUE(SUBSTITUTE(MID(_xlfn.TEXTAFTER('Banco de Dados'!$F1402,"Order date:
",1),1,10),"-","/"))),0)),ProxyDD[Chave],ProxyDD[Valor por pedido]),PROXY!$P$2),0),0)</f>
        <v>0</v>
      </c>
      <c r="AP1402" s="28">
        <f ca="1">IF('Banco de Dados'!$AK1402&lt;&gt;"-",IF('Banco de Dados'!$AL1402="NÃO",IFERROR(VALUE(SUBSTITUTE(_xlfn.TEXTAFTER('Banco de Dados'!$F1402,"BRL ",1),".",",")),0),0),0)</f>
        <v>0</v>
      </c>
      <c r="AQ1402" s="28">
        <f ca="1">SUM('Banco de Dados'!$AM1402:$AP1402)</f>
        <v>0</v>
      </c>
      <c r="AR1402" s="8"/>
      <c r="AY1402" s="8"/>
    </row>
    <row r="1403" spans="1:51">
      <c r="A1403" s="5" t="str">
        <v>MEI</v>
      </c>
      <c r="B1403" s="5" t="str">
        <f ca="1"/>
        <v>MEI45750</v>
      </c>
      <c r="C1403" s="8" t="str">
        <v>Pedido 1390</v>
      </c>
      <c r="D1403" s="187">
        <v>45749</v>
      </c>
      <c r="E1403" s="9">
        <v>45750</v>
      </c>
      <c r="F1403" s="8" t="str">
        <v>PedidoF1331</v>
      </c>
      <c r="G1403" s="2" t="str">
        <v>CódRastreio1329</v>
      </c>
      <c r="H1403" s="5">
        <v>1</v>
      </c>
      <c r="I1403" s="2" t="str">
        <v>CPF 1354</v>
      </c>
      <c r="J1403" s="2" t="str">
        <v>Nome 1354</v>
      </c>
      <c r="K1403" s="8" t="str">
        <v>Tel 1354</v>
      </c>
      <c r="L1403" s="8" t="str">
        <v>Cep 1354</v>
      </c>
      <c r="M1403" s="8" t="str">
        <v>Rua 1354</v>
      </c>
      <c r="N1403" s="8" t="str">
        <v>Comp 1354</v>
      </c>
      <c r="O1403" s="8" t="str">
        <v>Ventilador Azul</v>
      </c>
      <c r="P1403" s="8" t="str">
        <v>PK-L2Z7-MQRQ</v>
      </c>
      <c r="Q1403" s="4">
        <v>45772</v>
      </c>
      <c r="R1403" s="109">
        <v>49.9</v>
      </c>
      <c r="S1403" s="11">
        <f ca="1"/>
        <v>49.9</v>
      </c>
      <c r="T1403" s="28">
        <f ca="1"/>
        <v>5.9879999999999995</v>
      </c>
      <c r="U1403" s="11">
        <f ca="1"/>
        <v>43.91</v>
      </c>
      <c r="V1403" s="11">
        <v>36.5</v>
      </c>
      <c r="W1403" s="11">
        <f ca="1"/>
        <v>0.25</v>
      </c>
      <c r="X1403" s="11">
        <f ca="1"/>
        <v>0.39877104377104378</v>
      </c>
      <c r="Y1403" s="11">
        <v>0</v>
      </c>
      <c r="Z1403" s="11">
        <f ca="1"/>
        <v>6.7612289562289547</v>
      </c>
      <c r="AA1403" s="11">
        <f ca="1"/>
        <v>3.3806144781144774</v>
      </c>
      <c r="AB1403" s="4">
        <f ca="1"/>
        <v>45779</v>
      </c>
      <c r="AC1403" s="4">
        <v>45779</v>
      </c>
      <c r="AD1403" s="9">
        <v>45779</v>
      </c>
      <c r="AE1403" s="9">
        <v>45783</v>
      </c>
      <c r="AF1403" s="4" t="str">
        <f t="shared" ca="1" si="92"/>
        <v>2025 05</v>
      </c>
      <c r="AG1403" s="8" t="str" cm="1">
        <f t="array" ref="AG1403">IFERROR(_xlfn.IFS('Banco de Dados'!#REF!="AG. COMPRA","Em processamento",'Banco de Dados'!#REF!="AG. RASTREIO","Em processamento",'Banco de Dados'!$AE1403&lt;&gt;"-","Faturado",'Banco de Dados'!$AD1403&lt;&gt;"-","Aguardando Pix",'Banco de Dados'!$AC1403&lt;&gt;"-","Pendente"),"Aguardando Liberação")</f>
        <v>Aguardando Liberação</v>
      </c>
      <c r="AH1403" s="5" t="str">
        <f>IF('Banco de Dados'!$F1403="-",_xlfn.CONCAT(PROPER(TEXT(AK1403,"aaaa"))," ",PROPER(TEXT(AK1403,"mm"))),_xlfn.CONCAT(PROPER(TEXT(E1403,"aaaa"))," ",PROPER(TEXT(E1403,"mm"))))</f>
        <v>2025 04</v>
      </c>
      <c r="AI1403" s="9" t="str">
        <f ca="1">IF('Banco de Dados'!$AK1403&lt;&gt;"-","REEMBOLSO",IFERROR(_xlfn.XLOOKUP(G1403,Follow[CODRASTREIO],Follow[STATUS]),"-"))</f>
        <v>ENTREGUE</v>
      </c>
      <c r="AJ1403" s="9">
        <f ca="1">IF('Banco de Dados'!$AI1403="ENTREGUE",_xlfn.XLOOKUP('Banco de Dados'!$G1403,Follow[CODRASTREIO],Follow[DATAATUALIZAÇÃO]),"-")</f>
        <v>45758</v>
      </c>
      <c r="AK1403" s="132" t="str">
        <f ca="1"/>
        <v>-</v>
      </c>
      <c r="AL1403" s="35"/>
      <c r="AM1403" s="109" cm="1">
        <f t="array" aca="1" ref="AM1403" ca="1">IF('Banco de Dados'!$AK1403&lt;&gt;"-",_xlfn.IFS('Banco de Dados'!$A1403="bv",IF('Banco de Dados'!$E1403&lt;45641,ROUND(SUM('Banco de Dados'!$R1403*_xlfn.XLOOKUP('Banco de Dados'!$P1403,Sku!B:B,Sku!#REF!)*20%),2),ROUND(SUM('Banco de Dados'!$R1403*_xlfn.XLOOKUP('Banco de Dados'!$P1403,Sku!B:B,Sku!H:H)*20%),2)),'Banco de Dados'!$A1403="GO",ROUND(SUM('Banco de Dados'!$R1403*_xlfn.XLOOKUP('Banco de Dados'!$P1403,Sku!C:C,Sku!H:H)*20%),2),'Banco de Dados'!$A1403="MEI",ROUND(SUM('Banco de Dados'!$R1403*_xlfn.XLOOKUP('Banco de Dados'!$P1403,Sku!D:D,Sku!H:H)*20%),2)),0)</f>
        <v>0</v>
      </c>
      <c r="AN1403" s="109">
        <f ca="1">IF('Banco de Dados'!$AK1403&lt;&gt;"-",IF('Banco de Dados'!$F1403&lt;&gt;"-",_xlfn.XLOOKUP(IFERROR(IFERROR(IFERROR(VALUE(SUBSTITUTE(MID(_xlfn.TEXTAFTER('Banco de Dados'!$F1403,"Data do Pedido:
",1),1,10),"-","/")),VALUE(SUBSTITUTE(MID(_xlfn.TEXTAFTER('Banco de Dados'!$F1403,"Order date:
",1),1,10),"-","/"))),VALUE(SUBSTITUTE(MID(_xlfn.TEXTAFTER('Banco de Dados'!$F1403,"Fecha de pedido:
",1),1,10),"-","/"))),"-"),SMS!A:A,SMS!K:K),0),0)</f>
        <v>0</v>
      </c>
      <c r="AO1403" s="109">
        <f ca="1">IF('Banco de Dados'!$AK1403&lt;&gt;"-",IF('Banco de Dados'!$F1403&lt;&gt;"-",IFERROR(_xlfn.XLOOKUP(_xlfn.CONCAT('Banco de Dados'!$A1403,IFERROR(IFERROR(VALUE(SUBSTITUTE(MID(_xlfn.TEXTAFTER('Banco de Dados'!$F1403,"Data do Pedido:
",1),1,10),"-","/")),VALUE(SUBSTITUTE(MID(_xlfn.TEXTAFTER('Banco de Dados'!$F1403,"Order date:
",1),1,10),"-","/"))),0)),ProxyDD[Chave],ProxyDD[Valor por pedido]),PROXY!$P$2),0),0)</f>
        <v>0</v>
      </c>
      <c r="AP1403" s="28">
        <f ca="1">IF('Banco de Dados'!$AK1403&lt;&gt;"-",IF('Banco de Dados'!$AL1403="NÃO",IFERROR(VALUE(SUBSTITUTE(_xlfn.TEXTAFTER('Banco de Dados'!$F1403,"BRL ",1),".",",")),0),0),0)</f>
        <v>0</v>
      </c>
      <c r="AQ1403" s="28">
        <f ca="1">SUM('Banco de Dados'!$AM1403:$AP1403)</f>
        <v>0</v>
      </c>
      <c r="AR1403" s="8"/>
      <c r="AY1403" s="8"/>
    </row>
    <row r="1404" spans="1:51">
      <c r="A1404" s="5" t="str">
        <v>MEI</v>
      </c>
      <c r="B1404" s="5" t="str">
        <f ca="1"/>
        <v>MEI45750</v>
      </c>
      <c r="C1404" s="8" t="str">
        <v>Pedido 1391</v>
      </c>
      <c r="D1404" s="187">
        <v>45749</v>
      </c>
      <c r="E1404" s="9">
        <v>45750</v>
      </c>
      <c r="F1404" s="8" t="str">
        <v>PedidoF1332</v>
      </c>
      <c r="G1404" s="2" t="str">
        <v>CódRastreio1330</v>
      </c>
      <c r="H1404" s="5">
        <v>1</v>
      </c>
      <c r="I1404" s="2" t="str">
        <v>CPF 1355</v>
      </c>
      <c r="J1404" s="2" t="str">
        <v>Nome 1355</v>
      </c>
      <c r="K1404" s="8" t="str">
        <v>Tel 1355</v>
      </c>
      <c r="L1404" s="8" t="str">
        <v>Cep 1355</v>
      </c>
      <c r="M1404" s="8" t="str">
        <v>Rua 1355</v>
      </c>
      <c r="N1404" s="8" t="str">
        <v>Comp 1355</v>
      </c>
      <c r="O1404" s="8" t="str">
        <v>Ventilador Azul</v>
      </c>
      <c r="P1404" s="8" t="str">
        <v>PK-L2Z7-MQRQ</v>
      </c>
      <c r="Q1404" s="4">
        <v>45778</v>
      </c>
      <c r="R1404" s="109">
        <v>49.9</v>
      </c>
      <c r="S1404" s="11">
        <f ca="1"/>
        <v>49.9</v>
      </c>
      <c r="T1404" s="28">
        <f ca="1"/>
        <v>5.9879999999999995</v>
      </c>
      <c r="U1404" s="11">
        <f ca="1"/>
        <v>43.91</v>
      </c>
      <c r="V1404" s="11">
        <v>15.51</v>
      </c>
      <c r="W1404" s="11">
        <f ca="1"/>
        <v>0.25</v>
      </c>
      <c r="X1404" s="11">
        <f ca="1"/>
        <v>0.39877104377104378</v>
      </c>
      <c r="Y1404" s="11">
        <v>0</v>
      </c>
      <c r="Z1404" s="11">
        <f ca="1"/>
        <v>27.751228956228953</v>
      </c>
      <c r="AA1404" s="11">
        <f ca="1"/>
        <v>13.875614478114477</v>
      </c>
      <c r="AB1404" s="4">
        <f ca="1"/>
        <v>45785</v>
      </c>
      <c r="AC1404" s="4">
        <v>45785</v>
      </c>
      <c r="AD1404" s="9">
        <v>45793</v>
      </c>
      <c r="AE1404" s="9">
        <v>45797</v>
      </c>
      <c r="AF1404" s="4" t="str">
        <f t="shared" ca="1" si="92"/>
        <v>2025 05</v>
      </c>
      <c r="AG1404" s="8" t="str" cm="1">
        <f t="array" ref="AG1404">IFERROR(_xlfn.IFS('Banco de Dados'!#REF!="AG. COMPRA","Em processamento",'Banco de Dados'!#REF!="AG. RASTREIO","Em processamento",'Banco de Dados'!$AE1404&lt;&gt;"-","Faturado",'Banco de Dados'!$AD1404&lt;&gt;"-","Aguardando Pix",'Banco de Dados'!$AC1404&lt;&gt;"-","Pendente"),"Aguardando Liberação")</f>
        <v>Aguardando Liberação</v>
      </c>
      <c r="AH1404" s="5" t="str">
        <f>IF('Banco de Dados'!$F1404="-",_xlfn.CONCAT(PROPER(TEXT(AK1404,"aaaa"))," ",PROPER(TEXT(AK1404,"mm"))),_xlfn.CONCAT(PROPER(TEXT(E1404,"aaaa"))," ",PROPER(TEXT(E1404,"mm"))))</f>
        <v>2025 04</v>
      </c>
      <c r="AI1404" s="9" t="str">
        <f ca="1">IF('Banco de Dados'!$AK1404&lt;&gt;"-","REEMBOLSO",IFERROR(_xlfn.XLOOKUP(G1404,Follow[CODRASTREIO],Follow[STATUS]),"-"))</f>
        <v>ENTREGUE</v>
      </c>
      <c r="AJ1404" s="9">
        <f ca="1">IF('Banco de Dados'!$AI1404="ENTREGUE",_xlfn.XLOOKUP('Banco de Dados'!$G1404,Follow[CODRASTREIO],Follow[DATAATUALIZAÇÃO]),"-")</f>
        <v>45770</v>
      </c>
      <c r="AK1404" s="132" t="str">
        <f ca="1"/>
        <v>-</v>
      </c>
      <c r="AL1404" s="35"/>
      <c r="AM1404" s="109" cm="1">
        <f t="array" aca="1" ref="AM1404" ca="1">IF('Banco de Dados'!$AK1404&lt;&gt;"-",_xlfn.IFS('Banco de Dados'!$A1404="bv",IF('Banco de Dados'!$E1404&lt;45641,ROUND(SUM('Banco de Dados'!$R1404*_xlfn.XLOOKUP('Banco de Dados'!$P1404,Sku!B:B,Sku!#REF!)*20%),2),ROUND(SUM('Banco de Dados'!$R1404*_xlfn.XLOOKUP('Banco de Dados'!$P1404,Sku!B:B,Sku!H:H)*20%),2)),'Banco de Dados'!$A1404="GO",ROUND(SUM('Banco de Dados'!$R1404*_xlfn.XLOOKUP('Banco de Dados'!$P1404,Sku!C:C,Sku!H:H)*20%),2),'Banco de Dados'!$A1404="MEI",ROUND(SUM('Banco de Dados'!$R1404*_xlfn.XLOOKUP('Banco de Dados'!$P1404,Sku!D:D,Sku!H:H)*20%),2)),0)</f>
        <v>0</v>
      </c>
      <c r="AN1404" s="109">
        <f ca="1">IF('Banco de Dados'!$AK1404&lt;&gt;"-",IF('Banco de Dados'!$F1404&lt;&gt;"-",_xlfn.XLOOKUP(IFERROR(IFERROR(IFERROR(VALUE(SUBSTITUTE(MID(_xlfn.TEXTAFTER('Banco de Dados'!$F1404,"Data do Pedido:
",1),1,10),"-","/")),VALUE(SUBSTITUTE(MID(_xlfn.TEXTAFTER('Banco de Dados'!$F1404,"Order date:
",1),1,10),"-","/"))),VALUE(SUBSTITUTE(MID(_xlfn.TEXTAFTER('Banco de Dados'!$F1404,"Fecha de pedido:
",1),1,10),"-","/"))),"-"),SMS!A:A,SMS!K:K),0),0)</f>
        <v>0</v>
      </c>
      <c r="AO1404" s="109">
        <f ca="1">IF('Banco de Dados'!$AK1404&lt;&gt;"-",IF('Banco de Dados'!$F1404&lt;&gt;"-",IFERROR(_xlfn.XLOOKUP(_xlfn.CONCAT('Banco de Dados'!$A1404,IFERROR(IFERROR(VALUE(SUBSTITUTE(MID(_xlfn.TEXTAFTER('Banco de Dados'!$F1404,"Data do Pedido:
",1),1,10),"-","/")),VALUE(SUBSTITUTE(MID(_xlfn.TEXTAFTER('Banco de Dados'!$F1404,"Order date:
",1),1,10),"-","/"))),0)),ProxyDD[Chave],ProxyDD[Valor por pedido]),PROXY!$P$2),0),0)</f>
        <v>0</v>
      </c>
      <c r="AP1404" s="28">
        <f ca="1">IF('Banco de Dados'!$AK1404&lt;&gt;"-",IF('Banco de Dados'!$AL1404="NÃO",IFERROR(VALUE(SUBSTITUTE(_xlfn.TEXTAFTER('Banco de Dados'!$F1404,"BRL ",1),".",",")),0),0),0)</f>
        <v>0</v>
      </c>
      <c r="AQ1404" s="28">
        <f ca="1">SUM('Banco de Dados'!$AM1404:$AP1404)</f>
        <v>0</v>
      </c>
      <c r="AR1404" s="8"/>
      <c r="AY1404" s="8"/>
    </row>
    <row r="1405" spans="1:51">
      <c r="A1405" s="5" t="str">
        <v>MEI</v>
      </c>
      <c r="B1405" s="5" t="str">
        <f ca="1"/>
        <v>MEI45751</v>
      </c>
      <c r="C1405" s="8" t="str">
        <v>Pedido 1392</v>
      </c>
      <c r="D1405" s="187">
        <v>45749</v>
      </c>
      <c r="E1405" s="9">
        <v>45751</v>
      </c>
      <c r="F1405" s="8" t="str">
        <v>PedidoF1333</v>
      </c>
      <c r="G1405" s="2" t="str">
        <v>CódRastreio1331</v>
      </c>
      <c r="H1405" s="5">
        <v>1</v>
      </c>
      <c r="I1405" s="2" t="str">
        <v>CPF 1355</v>
      </c>
      <c r="J1405" s="2" t="str">
        <v>Nome 1355</v>
      </c>
      <c r="K1405" s="8" t="str">
        <v>Tel 1355</v>
      </c>
      <c r="L1405" s="8" t="str">
        <v>Cep 1355</v>
      </c>
      <c r="M1405" s="8" t="str">
        <v>Rua 1355</v>
      </c>
      <c r="N1405" s="8" t="str">
        <v>Comp 1355</v>
      </c>
      <c r="O1405" s="8" t="str">
        <v>Ventilador Azul</v>
      </c>
      <c r="P1405" s="8" t="str">
        <v>PK-L2Z7-MQRQ</v>
      </c>
      <c r="Q1405" s="4">
        <v>45778</v>
      </c>
      <c r="R1405" s="109">
        <v>49.9</v>
      </c>
      <c r="S1405" s="11">
        <f ca="1"/>
        <v>49.9</v>
      </c>
      <c r="T1405" s="28">
        <f ca="1"/>
        <v>5.9879999999999995</v>
      </c>
      <c r="U1405" s="11">
        <f ca="1"/>
        <v>43.91</v>
      </c>
      <c r="V1405" s="11">
        <v>15.95</v>
      </c>
      <c r="W1405" s="11">
        <f ca="1"/>
        <v>0.24</v>
      </c>
      <c r="X1405" s="11">
        <f ca="1"/>
        <v>0.39877104377104378</v>
      </c>
      <c r="Y1405" s="11">
        <v>0</v>
      </c>
      <c r="Z1405" s="11">
        <f ca="1"/>
        <v>27.321228956228953</v>
      </c>
      <c r="AA1405" s="11">
        <f ca="1"/>
        <v>13.660614478114477</v>
      </c>
      <c r="AB1405" s="4">
        <f ca="1"/>
        <v>45785</v>
      </c>
      <c r="AC1405" s="4">
        <v>45785</v>
      </c>
      <c r="AD1405" s="9">
        <v>45793</v>
      </c>
      <c r="AE1405" s="9">
        <v>45797</v>
      </c>
      <c r="AF1405" s="4" t="str">
        <f t="shared" ca="1" si="92"/>
        <v>2025 05</v>
      </c>
      <c r="AG1405" s="8" t="str" cm="1">
        <f t="array" ref="AG1405">IFERROR(_xlfn.IFS('Banco de Dados'!#REF!="AG. COMPRA","Em processamento",'Banco de Dados'!#REF!="AG. RASTREIO","Em processamento",'Banco de Dados'!$AE1405&lt;&gt;"-","Faturado",'Banco de Dados'!$AD1405&lt;&gt;"-","Aguardando Pix",'Banco de Dados'!$AC1405&lt;&gt;"-","Pendente"),"Aguardando Liberação")</f>
        <v>Aguardando Liberação</v>
      </c>
      <c r="AH1405" s="5" t="str">
        <f>IF('Banco de Dados'!$F1405="-",_xlfn.CONCAT(PROPER(TEXT(AK1405,"aaaa"))," ",PROPER(TEXT(AK1405,"mm"))),_xlfn.CONCAT(PROPER(TEXT(E1405,"aaaa"))," ",PROPER(TEXT(E1405,"mm"))))</f>
        <v>2025 04</v>
      </c>
      <c r="AI1405" s="9" t="str">
        <f ca="1">IF('Banco de Dados'!$AK1405&lt;&gt;"-","REEMBOLSO",IFERROR(_xlfn.XLOOKUP(G1405,Follow[CODRASTREIO],Follow[STATUS]),"-"))</f>
        <v>ENTREGUE</v>
      </c>
      <c r="AJ1405" s="9">
        <f ca="1">IF('Banco de Dados'!$AI1405="ENTREGUE",_xlfn.XLOOKUP('Banco de Dados'!$G1405,Follow[CODRASTREIO],Follow[DATAATUALIZAÇÃO]),"-")</f>
        <v>45770</v>
      </c>
      <c r="AK1405" s="132" t="str">
        <f ca="1"/>
        <v>-</v>
      </c>
      <c r="AL1405" s="35"/>
      <c r="AM1405" s="109" cm="1">
        <f t="array" aca="1" ref="AM1405" ca="1">IF('Banco de Dados'!$AK1405&lt;&gt;"-",_xlfn.IFS('Banco de Dados'!$A1405="bv",IF('Banco de Dados'!$E1405&lt;45641,ROUND(SUM('Banco de Dados'!$R1405*_xlfn.XLOOKUP('Banco de Dados'!$P1405,Sku!B:B,Sku!#REF!)*20%),2),ROUND(SUM('Banco de Dados'!$R1405*_xlfn.XLOOKUP('Banco de Dados'!$P1405,Sku!B:B,Sku!H:H)*20%),2)),'Banco de Dados'!$A1405="GO",ROUND(SUM('Banco de Dados'!$R1405*_xlfn.XLOOKUP('Banco de Dados'!$P1405,Sku!C:C,Sku!H:H)*20%),2),'Banco de Dados'!$A1405="MEI",ROUND(SUM('Banco de Dados'!$R1405*_xlfn.XLOOKUP('Banco de Dados'!$P1405,Sku!D:D,Sku!H:H)*20%),2)),0)</f>
        <v>0</v>
      </c>
      <c r="AN1405" s="109">
        <f ca="1">IF('Banco de Dados'!$AK1405&lt;&gt;"-",IF('Banco de Dados'!$F1405&lt;&gt;"-",_xlfn.XLOOKUP(IFERROR(IFERROR(IFERROR(VALUE(SUBSTITUTE(MID(_xlfn.TEXTAFTER('Banco de Dados'!$F1405,"Data do Pedido:
",1),1,10),"-","/")),VALUE(SUBSTITUTE(MID(_xlfn.TEXTAFTER('Banco de Dados'!$F1405,"Order date:
",1),1,10),"-","/"))),VALUE(SUBSTITUTE(MID(_xlfn.TEXTAFTER('Banco de Dados'!$F1405,"Fecha de pedido:
",1),1,10),"-","/"))),"-"),SMS!A:A,SMS!K:K),0),0)</f>
        <v>0</v>
      </c>
      <c r="AO1405" s="109">
        <f ca="1">IF('Banco de Dados'!$AK1405&lt;&gt;"-",IF('Banco de Dados'!$F1405&lt;&gt;"-",IFERROR(_xlfn.XLOOKUP(_xlfn.CONCAT('Banco de Dados'!$A1405,IFERROR(IFERROR(VALUE(SUBSTITUTE(MID(_xlfn.TEXTAFTER('Banco de Dados'!$F1405,"Data do Pedido:
",1),1,10),"-","/")),VALUE(SUBSTITUTE(MID(_xlfn.TEXTAFTER('Banco de Dados'!$F1405,"Order date:
",1),1,10),"-","/"))),0)),ProxyDD[Chave],ProxyDD[Valor por pedido]),PROXY!$P$2),0),0)</f>
        <v>0</v>
      </c>
      <c r="AP1405" s="28">
        <f ca="1">IF('Banco de Dados'!$AK1405&lt;&gt;"-",IF('Banco de Dados'!$AL1405="NÃO",IFERROR(VALUE(SUBSTITUTE(_xlfn.TEXTAFTER('Banco de Dados'!$F1405,"BRL ",1),".",",")),0),0),0)</f>
        <v>0</v>
      </c>
      <c r="AQ1405" s="28">
        <f ca="1">SUM('Banco de Dados'!$AM1405:$AP1405)</f>
        <v>0</v>
      </c>
      <c r="AR1405" s="8"/>
      <c r="AY1405" s="8"/>
    </row>
    <row r="1406" spans="1:51">
      <c r="A1406" s="5" t="str">
        <v>MEI</v>
      </c>
      <c r="B1406" s="5" t="str">
        <f ca="1"/>
        <v>MEI45754</v>
      </c>
      <c r="C1406" s="8" t="str">
        <v>Pedido 1393</v>
      </c>
      <c r="D1406" s="187">
        <v>45749</v>
      </c>
      <c r="E1406" s="9">
        <v>45754</v>
      </c>
      <c r="F1406" s="8" t="str">
        <v>PedidoF1334</v>
      </c>
      <c r="G1406" s="2" t="str">
        <v>CódRastreio1332</v>
      </c>
      <c r="H1406" s="5">
        <v>1</v>
      </c>
      <c r="I1406" s="2" t="str">
        <v>CPF 1355</v>
      </c>
      <c r="J1406" s="2" t="str">
        <v>Nome 1355</v>
      </c>
      <c r="K1406" s="8" t="str">
        <v>Tel 1355</v>
      </c>
      <c r="L1406" s="8" t="str">
        <v>Cep 1355</v>
      </c>
      <c r="M1406" s="8" t="str">
        <v>Rua 1355</v>
      </c>
      <c r="N1406" s="8" t="str">
        <v>Comp 1355</v>
      </c>
      <c r="O1406" s="8" t="str">
        <v>Ventilador Rosa</v>
      </c>
      <c r="P1406" s="8" t="str">
        <v>WR-82Y0-OV27</v>
      </c>
      <c r="Q1406" s="4">
        <v>45778</v>
      </c>
      <c r="R1406" s="109">
        <v>59.69</v>
      </c>
      <c r="S1406" s="11">
        <f ca="1"/>
        <v>59.69</v>
      </c>
      <c r="T1406" s="28">
        <f ca="1"/>
        <v>7.1627999999999998</v>
      </c>
      <c r="U1406" s="11">
        <f ca="1"/>
        <v>52.53</v>
      </c>
      <c r="V1406" s="11">
        <v>14.17</v>
      </c>
      <c r="W1406" s="11">
        <f ca="1"/>
        <v>0.24</v>
      </c>
      <c r="X1406" s="11">
        <f ca="1"/>
        <v>0.39877104377104378</v>
      </c>
      <c r="Y1406" s="11">
        <v>0</v>
      </c>
      <c r="Z1406" s="11">
        <f ca="1"/>
        <v>37.721228956228956</v>
      </c>
      <c r="AA1406" s="11">
        <f ca="1"/>
        <v>18.860614478114478</v>
      </c>
      <c r="AB1406" s="4">
        <f ca="1"/>
        <v>45785</v>
      </c>
      <c r="AC1406" s="4">
        <v>45785</v>
      </c>
      <c r="AD1406" s="9">
        <v>45793</v>
      </c>
      <c r="AE1406" s="9">
        <v>45797</v>
      </c>
      <c r="AF1406" s="4" t="str">
        <f t="shared" ca="1" si="92"/>
        <v>2025 05</v>
      </c>
      <c r="AG1406" s="8" t="str" cm="1">
        <f t="array" ref="AG1406">IFERROR(_xlfn.IFS('Banco de Dados'!#REF!="AG. COMPRA","Em processamento",'Banco de Dados'!#REF!="AG. RASTREIO","Em processamento",'Banco de Dados'!$AE1406&lt;&gt;"-","Faturado",'Banco de Dados'!$AD1406&lt;&gt;"-","Aguardando Pix",'Banco de Dados'!$AC1406&lt;&gt;"-","Pendente"),"Aguardando Liberação")</f>
        <v>Aguardando Liberação</v>
      </c>
      <c r="AH1406" s="5" t="str">
        <f>IF('Banco de Dados'!$F1406="-",_xlfn.CONCAT(PROPER(TEXT(AK1406,"aaaa"))," ",PROPER(TEXT(AK1406,"mm"))),_xlfn.CONCAT(PROPER(TEXT(E1406,"aaaa"))," ",PROPER(TEXT(E1406,"mm"))))</f>
        <v>2025 04</v>
      </c>
      <c r="AI1406" s="9" t="str">
        <f ca="1">IF('Banco de Dados'!$AK1406&lt;&gt;"-","REEMBOLSO",IFERROR(_xlfn.XLOOKUP(G1406,Follow[CODRASTREIO],Follow[STATUS]),"-"))</f>
        <v>ENTREGUE</v>
      </c>
      <c r="AJ1406" s="9">
        <f ca="1">IF('Banco de Dados'!$AI1406="ENTREGUE",_xlfn.XLOOKUP('Banco de Dados'!$G1406,Follow[CODRASTREIO],Follow[DATAATUALIZAÇÃO]),"-")</f>
        <v>45766</v>
      </c>
      <c r="AK1406" s="132" t="str">
        <f ca="1"/>
        <v>-</v>
      </c>
      <c r="AL1406" s="35"/>
      <c r="AM1406" s="109" cm="1">
        <f t="array" aca="1" ref="AM1406" ca="1">IF('Banco de Dados'!$AK1406&lt;&gt;"-",_xlfn.IFS('Banco de Dados'!$A1406="bv",IF('Banco de Dados'!$E1406&lt;45641,ROUND(SUM('Banco de Dados'!$R1406*_xlfn.XLOOKUP('Banco de Dados'!$P1406,Sku!B:B,Sku!#REF!)*20%),2),ROUND(SUM('Banco de Dados'!$R1406*_xlfn.XLOOKUP('Banco de Dados'!$P1406,Sku!B:B,Sku!H:H)*20%),2)),'Banco de Dados'!$A1406="GO",ROUND(SUM('Banco de Dados'!$R1406*_xlfn.XLOOKUP('Banco de Dados'!$P1406,Sku!C:C,Sku!H:H)*20%),2),'Banco de Dados'!$A1406="MEI",ROUND(SUM('Banco de Dados'!$R1406*_xlfn.XLOOKUP('Banco de Dados'!$P1406,Sku!D:D,Sku!H:H)*20%),2)),0)</f>
        <v>0</v>
      </c>
      <c r="AN1406" s="109">
        <f ca="1">IF('Banco de Dados'!$AK1406&lt;&gt;"-",IF('Banco de Dados'!$F1406&lt;&gt;"-",_xlfn.XLOOKUP(IFERROR(IFERROR(IFERROR(VALUE(SUBSTITUTE(MID(_xlfn.TEXTAFTER('Banco de Dados'!$F1406,"Data do Pedido:
",1),1,10),"-","/")),VALUE(SUBSTITUTE(MID(_xlfn.TEXTAFTER('Banco de Dados'!$F1406,"Order date:
",1),1,10),"-","/"))),VALUE(SUBSTITUTE(MID(_xlfn.TEXTAFTER('Banco de Dados'!$F1406,"Fecha de pedido:
",1),1,10),"-","/"))),"-"),SMS!A:A,SMS!K:K),0),0)</f>
        <v>0</v>
      </c>
      <c r="AO1406" s="109">
        <f ca="1">IF('Banco de Dados'!$AK1406&lt;&gt;"-",IF('Banco de Dados'!$F1406&lt;&gt;"-",IFERROR(_xlfn.XLOOKUP(_xlfn.CONCAT('Banco de Dados'!$A1406,IFERROR(IFERROR(VALUE(SUBSTITUTE(MID(_xlfn.TEXTAFTER('Banco de Dados'!$F1406,"Data do Pedido:
",1),1,10),"-","/")),VALUE(SUBSTITUTE(MID(_xlfn.TEXTAFTER('Banco de Dados'!$F1406,"Order date:
",1),1,10),"-","/"))),0)),ProxyDD[Chave],ProxyDD[Valor por pedido]),PROXY!$P$2),0),0)</f>
        <v>0</v>
      </c>
      <c r="AP1406" s="28">
        <f ca="1">IF('Banco de Dados'!$AK1406&lt;&gt;"-",IF('Banco de Dados'!$AL1406="NÃO",IFERROR(VALUE(SUBSTITUTE(_xlfn.TEXTAFTER('Banco de Dados'!$F1406,"BRL ",1),".",",")),0),0),0)</f>
        <v>0</v>
      </c>
      <c r="AQ1406" s="28">
        <f ca="1">SUM('Banco de Dados'!$AM1406:$AP1406)</f>
        <v>0</v>
      </c>
      <c r="AR1406" s="8"/>
      <c r="AY1406" s="8"/>
    </row>
    <row r="1407" spans="1:51">
      <c r="A1407" s="5" t="str">
        <v>MEI</v>
      </c>
      <c r="B1407" s="5" t="str">
        <f ca="1"/>
        <v>MEI45750</v>
      </c>
      <c r="C1407" s="8" t="str">
        <v>Pedido 1394</v>
      </c>
      <c r="D1407" s="187">
        <v>45749</v>
      </c>
      <c r="E1407" s="9">
        <v>45750</v>
      </c>
      <c r="F1407" s="8" t="str">
        <v>PedidoF1335</v>
      </c>
      <c r="G1407" s="2" t="str">
        <v>CódRastreio1333</v>
      </c>
      <c r="H1407" s="5">
        <v>1</v>
      </c>
      <c r="I1407" s="2" t="str">
        <v>CPF 1356</v>
      </c>
      <c r="J1407" s="2" t="str">
        <v>Nome 1356</v>
      </c>
      <c r="K1407" s="8" t="str">
        <v>Tel 1356</v>
      </c>
      <c r="L1407" s="8" t="str">
        <v>Cep 1356</v>
      </c>
      <c r="M1407" s="8" t="str">
        <v>Rua 1356</v>
      </c>
      <c r="N1407" s="8" t="str">
        <v>Comp 1356</v>
      </c>
      <c r="O1407" s="8" t="str">
        <v>Ventilador de teto</v>
      </c>
      <c r="P1407" s="8" t="str">
        <v>JV-A3YY-I7XH</v>
      </c>
      <c r="Q1407" s="4">
        <v>45772</v>
      </c>
      <c r="R1407" s="109">
        <v>70.489999999999995</v>
      </c>
      <c r="S1407" s="11">
        <f ca="1"/>
        <v>70.489999999999995</v>
      </c>
      <c r="T1407" s="28">
        <f ca="1"/>
        <v>8.4587999999999983</v>
      </c>
      <c r="U1407" s="11">
        <f ca="1"/>
        <v>62.03</v>
      </c>
      <c r="V1407" s="11">
        <v>48.97</v>
      </c>
      <c r="W1407" s="11">
        <f ca="1"/>
        <v>0.25</v>
      </c>
      <c r="X1407" s="11">
        <f ca="1"/>
        <v>0.39877104377104378</v>
      </c>
      <c r="Y1407" s="11">
        <v>0</v>
      </c>
      <c r="Z1407" s="11">
        <f ca="1"/>
        <v>12.41122895622896</v>
      </c>
      <c r="AA1407" s="11">
        <f ca="1"/>
        <v>6.2056144781144802</v>
      </c>
      <c r="AB1407" s="4">
        <f ca="1"/>
        <v>45779</v>
      </c>
      <c r="AC1407" s="4">
        <v>45779</v>
      </c>
      <c r="AD1407" s="9">
        <v>45779</v>
      </c>
      <c r="AE1407" s="9">
        <v>45783</v>
      </c>
      <c r="AF1407" s="4" t="str">
        <f t="shared" ca="1" si="92"/>
        <v>2025 05</v>
      </c>
      <c r="AG1407" s="8" t="str" cm="1">
        <f t="array" ref="AG1407">IFERROR(_xlfn.IFS('Banco de Dados'!#REF!="AG. COMPRA","Em processamento",'Banco de Dados'!#REF!="AG. RASTREIO","Em processamento",'Banco de Dados'!$AE1407&lt;&gt;"-","Faturado",'Banco de Dados'!$AD1407&lt;&gt;"-","Aguardando Pix",'Banco de Dados'!$AC1407&lt;&gt;"-","Pendente"),"Aguardando Liberação")</f>
        <v>Aguardando Liberação</v>
      </c>
      <c r="AH1407" s="5" t="str">
        <f>IF('Banco de Dados'!$F1407="-",_xlfn.CONCAT(PROPER(TEXT(AK1407,"aaaa"))," ",PROPER(TEXT(AK1407,"mm"))),_xlfn.CONCAT(PROPER(TEXT(E1407,"aaaa"))," ",PROPER(TEXT(E1407,"mm"))))</f>
        <v>2025 04</v>
      </c>
      <c r="AI1407" s="9" t="str">
        <f ca="1">IF('Banco de Dados'!$AK1407&lt;&gt;"-","REEMBOLSO",IFERROR(_xlfn.XLOOKUP(G1407,Follow[CODRASTREIO],Follow[STATUS]),"-"))</f>
        <v>ENTREGUE</v>
      </c>
      <c r="AJ1407" s="9">
        <f ca="1">IF('Banco de Dados'!$AI1407="ENTREGUE",_xlfn.XLOOKUP('Banco de Dados'!$G1407,Follow[CODRASTREIO],Follow[DATAATUALIZAÇÃO]),"-")</f>
        <v>45762</v>
      </c>
      <c r="AK1407" s="132" t="str">
        <f ca="1"/>
        <v>-</v>
      </c>
      <c r="AL1407" s="35"/>
      <c r="AM1407" s="109" cm="1">
        <f t="array" aca="1" ref="AM1407" ca="1">IF('Banco de Dados'!$AK1407&lt;&gt;"-",_xlfn.IFS('Banco de Dados'!$A1407="bv",IF('Banco de Dados'!$E1407&lt;45641,ROUND(SUM('Banco de Dados'!$R1407*_xlfn.XLOOKUP('Banco de Dados'!$P1407,Sku!B:B,Sku!#REF!)*20%),2),ROUND(SUM('Banco de Dados'!$R1407*_xlfn.XLOOKUP('Banco de Dados'!$P1407,Sku!B:B,Sku!H:H)*20%),2)),'Banco de Dados'!$A1407="GO",ROUND(SUM('Banco de Dados'!$R1407*_xlfn.XLOOKUP('Banco de Dados'!$P1407,Sku!C:C,Sku!H:H)*20%),2),'Banco de Dados'!$A1407="MEI",ROUND(SUM('Banco de Dados'!$R1407*_xlfn.XLOOKUP('Banco de Dados'!$P1407,Sku!D:D,Sku!H:H)*20%),2)),0)</f>
        <v>0</v>
      </c>
      <c r="AN1407" s="109">
        <f ca="1">IF('Banco de Dados'!$AK1407&lt;&gt;"-",IF('Banco de Dados'!$F1407&lt;&gt;"-",_xlfn.XLOOKUP(IFERROR(IFERROR(IFERROR(VALUE(SUBSTITUTE(MID(_xlfn.TEXTAFTER('Banco de Dados'!$F1407,"Data do Pedido:
",1),1,10),"-","/")),VALUE(SUBSTITUTE(MID(_xlfn.TEXTAFTER('Banco de Dados'!$F1407,"Order date:
",1),1,10),"-","/"))),VALUE(SUBSTITUTE(MID(_xlfn.TEXTAFTER('Banco de Dados'!$F1407,"Fecha de pedido:
",1),1,10),"-","/"))),"-"),SMS!A:A,SMS!K:K),0),0)</f>
        <v>0</v>
      </c>
      <c r="AO1407" s="109">
        <f ca="1">IF('Banco de Dados'!$AK1407&lt;&gt;"-",IF('Banco de Dados'!$F1407&lt;&gt;"-",IFERROR(_xlfn.XLOOKUP(_xlfn.CONCAT('Banco de Dados'!$A1407,IFERROR(IFERROR(VALUE(SUBSTITUTE(MID(_xlfn.TEXTAFTER('Banco de Dados'!$F1407,"Data do Pedido:
",1),1,10),"-","/")),VALUE(SUBSTITUTE(MID(_xlfn.TEXTAFTER('Banco de Dados'!$F1407,"Order date:
",1),1,10),"-","/"))),0)),ProxyDD[Chave],ProxyDD[Valor por pedido]),PROXY!$P$2),0),0)</f>
        <v>0</v>
      </c>
      <c r="AP1407" s="28">
        <f ca="1">IF('Banco de Dados'!$AK1407&lt;&gt;"-",IF('Banco de Dados'!$AL1407="NÃO",IFERROR(VALUE(SUBSTITUTE(_xlfn.TEXTAFTER('Banco de Dados'!$F1407,"BRL ",1),".",",")),0),0),0)</f>
        <v>0</v>
      </c>
      <c r="AQ1407" s="28">
        <f ca="1">SUM('Banco de Dados'!$AM1407:$AP1407)</f>
        <v>0</v>
      </c>
      <c r="AR1407" s="8"/>
      <c r="AY1407" s="8"/>
    </row>
    <row r="1408" spans="1:51">
      <c r="A1408" s="5" t="str">
        <v>MEI</v>
      </c>
      <c r="B1408" s="5" t="str">
        <f ca="1"/>
        <v>MEI45750</v>
      </c>
      <c r="C1408" s="8" t="str">
        <v>Pedido 1395</v>
      </c>
      <c r="D1408" s="187">
        <v>45749</v>
      </c>
      <c r="E1408" s="9">
        <v>45750</v>
      </c>
      <c r="F1408" s="8" t="str">
        <v>PedidoF1336</v>
      </c>
      <c r="G1408" s="2" t="str">
        <v>CódRastreio1334</v>
      </c>
      <c r="H1408" s="5">
        <v>1</v>
      </c>
      <c r="I1408" s="2" t="str">
        <v>CPF 1357</v>
      </c>
      <c r="J1408" s="2" t="str">
        <v>Nome 1357</v>
      </c>
      <c r="K1408" s="8" t="str">
        <v>Tel 1357</v>
      </c>
      <c r="L1408" s="8" t="str">
        <v>Cep 1357</v>
      </c>
      <c r="M1408" s="8" t="str">
        <v>Rua 1357</v>
      </c>
      <c r="N1408" s="8" t="str">
        <v>Comp 1357</v>
      </c>
      <c r="O1408" s="8" t="str">
        <v>Brinquedo Bola Giratória voadora</v>
      </c>
      <c r="P1408" s="8" t="str">
        <v>Z0-F6CI-18CL</v>
      </c>
      <c r="Q1408" s="4">
        <v>45772</v>
      </c>
      <c r="R1408" s="109">
        <v>42.87</v>
      </c>
      <c r="S1408" s="11">
        <f ca="1"/>
        <v>42.87</v>
      </c>
      <c r="T1408" s="28">
        <f ca="1"/>
        <v>5.1443999999999992</v>
      </c>
      <c r="U1408" s="11">
        <f ca="1"/>
        <v>37.729999999999997</v>
      </c>
      <c r="V1408" s="11">
        <v>15.21</v>
      </c>
      <c r="W1408" s="11">
        <f ca="1"/>
        <v>0.25</v>
      </c>
      <c r="X1408" s="11">
        <f ca="1"/>
        <v>0.39877104377104378</v>
      </c>
      <c r="Y1408" s="11">
        <v>0</v>
      </c>
      <c r="Z1408" s="11">
        <f ca="1"/>
        <v>21.871228956228954</v>
      </c>
      <c r="AA1408" s="11">
        <f ca="1"/>
        <v>10.935614478114477</v>
      </c>
      <c r="AB1408" s="4">
        <f ca="1"/>
        <v>45779</v>
      </c>
      <c r="AC1408" s="4">
        <v>45779</v>
      </c>
      <c r="AD1408" s="9">
        <v>45779</v>
      </c>
      <c r="AE1408" s="9">
        <v>45783</v>
      </c>
      <c r="AF1408" s="4" t="str">
        <f t="shared" ca="1" si="92"/>
        <v>2025 05</v>
      </c>
      <c r="AG1408" s="8" t="str" cm="1">
        <f t="array" ref="AG1408">IFERROR(_xlfn.IFS('Banco de Dados'!#REF!="AG. COMPRA","Em processamento",'Banco de Dados'!#REF!="AG. RASTREIO","Em processamento",'Banco de Dados'!$AE1408&lt;&gt;"-","Faturado",'Banco de Dados'!$AD1408&lt;&gt;"-","Aguardando Pix",'Banco de Dados'!$AC1408&lt;&gt;"-","Pendente"),"Aguardando Liberação")</f>
        <v>Aguardando Liberação</v>
      </c>
      <c r="AH1408" s="5" t="str">
        <f>IF('Banco de Dados'!$F1408="-",_xlfn.CONCAT(PROPER(TEXT(AK1408,"aaaa"))," ",PROPER(TEXT(AK1408,"mm"))),_xlfn.CONCAT(PROPER(TEXT(E1408,"aaaa"))," ",PROPER(TEXT(E1408,"mm"))))</f>
        <v>2025 04</v>
      </c>
      <c r="AI1408" s="9" t="str">
        <f ca="1">IF('Banco de Dados'!$AK1408&lt;&gt;"-","REEMBOLSO",IFERROR(_xlfn.XLOOKUP(G1408,Follow[CODRASTREIO],Follow[STATUS]),"-"))</f>
        <v>ENTREGUE</v>
      </c>
      <c r="AJ1408" s="9">
        <f ca="1">IF('Banco de Dados'!$AI1408="ENTREGUE",_xlfn.XLOOKUP('Banco de Dados'!$G1408,Follow[CODRASTREIO],Follow[DATAATUALIZAÇÃO]),"-")</f>
        <v>45762</v>
      </c>
      <c r="AK1408" s="132" t="str">
        <f ca="1"/>
        <v>-</v>
      </c>
      <c r="AL1408" s="35"/>
      <c r="AM1408" s="109" cm="1">
        <f t="array" aca="1" ref="AM1408" ca="1">IF('Banco de Dados'!$AK1408&lt;&gt;"-",_xlfn.IFS('Banco de Dados'!$A1408="bv",IF('Banco de Dados'!$E1408&lt;45641,ROUND(SUM('Banco de Dados'!$R1408*_xlfn.XLOOKUP('Banco de Dados'!$P1408,Sku!B:B,Sku!#REF!)*20%),2),ROUND(SUM('Banco de Dados'!$R1408*_xlfn.XLOOKUP('Banco de Dados'!$P1408,Sku!B:B,Sku!H:H)*20%),2)),'Banco de Dados'!$A1408="GO",ROUND(SUM('Banco de Dados'!$R1408*_xlfn.XLOOKUP('Banco de Dados'!$P1408,Sku!C:C,Sku!H:H)*20%),2),'Banco de Dados'!$A1408="MEI",ROUND(SUM('Banco de Dados'!$R1408*_xlfn.XLOOKUP('Banco de Dados'!$P1408,Sku!D:D,Sku!H:H)*20%),2)),0)</f>
        <v>0</v>
      </c>
      <c r="AN1408" s="109">
        <f ca="1">IF('Banco de Dados'!$AK1408&lt;&gt;"-",IF('Banco de Dados'!$F1408&lt;&gt;"-",_xlfn.XLOOKUP(IFERROR(IFERROR(IFERROR(VALUE(SUBSTITUTE(MID(_xlfn.TEXTAFTER('Banco de Dados'!$F1408,"Data do Pedido:
",1),1,10),"-","/")),VALUE(SUBSTITUTE(MID(_xlfn.TEXTAFTER('Banco de Dados'!$F1408,"Order date:
",1),1,10),"-","/"))),VALUE(SUBSTITUTE(MID(_xlfn.TEXTAFTER('Banco de Dados'!$F1408,"Fecha de pedido:
",1),1,10),"-","/"))),"-"),SMS!A:A,SMS!K:K),0),0)</f>
        <v>0</v>
      </c>
      <c r="AO1408" s="109">
        <f ca="1">IF('Banco de Dados'!$AK1408&lt;&gt;"-",IF('Banco de Dados'!$F1408&lt;&gt;"-",IFERROR(_xlfn.XLOOKUP(_xlfn.CONCAT('Banco de Dados'!$A1408,IFERROR(IFERROR(VALUE(SUBSTITUTE(MID(_xlfn.TEXTAFTER('Banco de Dados'!$F1408,"Data do Pedido:
",1),1,10),"-","/")),VALUE(SUBSTITUTE(MID(_xlfn.TEXTAFTER('Banco de Dados'!$F1408,"Order date:
",1),1,10),"-","/"))),0)),ProxyDD[Chave],ProxyDD[Valor por pedido]),PROXY!$P$2),0),0)</f>
        <v>0</v>
      </c>
      <c r="AP1408" s="28">
        <f ca="1">IF('Banco de Dados'!$AK1408&lt;&gt;"-",IF('Banco de Dados'!$AL1408="NÃO",IFERROR(VALUE(SUBSTITUTE(_xlfn.TEXTAFTER('Banco de Dados'!$F1408,"BRL ",1),".",",")),0),0),0)</f>
        <v>0</v>
      </c>
      <c r="AQ1408" s="28">
        <f ca="1">SUM('Banco de Dados'!$AM1408:$AP1408)</f>
        <v>0</v>
      </c>
      <c r="AR1408" s="8"/>
      <c r="AY1408" s="8"/>
    </row>
    <row r="1409" spans="1:51">
      <c r="A1409" s="5" t="str">
        <v>MEI</v>
      </c>
      <c r="B1409" s="5" t="str">
        <f ca="1"/>
        <v>MEI45751</v>
      </c>
      <c r="C1409" s="8" t="str">
        <v>Pedido 1396</v>
      </c>
      <c r="D1409" s="187">
        <v>45749</v>
      </c>
      <c r="E1409" s="9">
        <v>45751</v>
      </c>
      <c r="F1409" s="8" t="str">
        <v>PedidoF1337</v>
      </c>
      <c r="G1409" s="2" t="str">
        <v>CódRastreio1335</v>
      </c>
      <c r="H1409" s="5">
        <v>1</v>
      </c>
      <c r="I1409" s="2" t="str">
        <v>CPF 1358</v>
      </c>
      <c r="J1409" s="2" t="str">
        <v>Nome 1358</v>
      </c>
      <c r="K1409" s="8" t="str">
        <v>Tel 1358</v>
      </c>
      <c r="L1409" s="8" t="str">
        <v>Cep 1358</v>
      </c>
      <c r="M1409" s="8" t="str">
        <v>Rua 1358</v>
      </c>
      <c r="N1409" s="8" t="str">
        <v>Comp 1358</v>
      </c>
      <c r="O1409" s="8" t="str">
        <v>Lampada Led</v>
      </c>
      <c r="P1409" s="8" t="str">
        <v>T1-SWVB-UPOW</v>
      </c>
      <c r="Q1409" s="4">
        <v>45778</v>
      </c>
      <c r="R1409" s="109">
        <v>29.99</v>
      </c>
      <c r="S1409" s="11">
        <f ca="1"/>
        <v>29.99</v>
      </c>
      <c r="T1409" s="28">
        <f ca="1"/>
        <v>3.5987999999999998</v>
      </c>
      <c r="U1409" s="11">
        <f ca="1"/>
        <v>26.39</v>
      </c>
      <c r="V1409" s="11">
        <v>12.82</v>
      </c>
      <c r="W1409" s="11">
        <f ca="1"/>
        <v>0.24</v>
      </c>
      <c r="X1409" s="11">
        <f ca="1"/>
        <v>0.39877104377104378</v>
      </c>
      <c r="Y1409" s="11">
        <v>0</v>
      </c>
      <c r="Z1409" s="11">
        <f ca="1"/>
        <v>12.931228956228956</v>
      </c>
      <c r="AA1409" s="11">
        <f ca="1"/>
        <v>6.4656144781144782</v>
      </c>
      <c r="AB1409" s="4">
        <f ca="1"/>
        <v>45785</v>
      </c>
      <c r="AC1409" s="4">
        <v>45785</v>
      </c>
      <c r="AD1409" s="9">
        <v>45793</v>
      </c>
      <c r="AE1409" s="9">
        <v>45797</v>
      </c>
      <c r="AF1409" s="4" t="str">
        <f t="shared" ca="1" si="92"/>
        <v>2025 05</v>
      </c>
      <c r="AG1409" s="8" t="str" cm="1">
        <f t="array" ref="AG1409">IFERROR(_xlfn.IFS('Banco de Dados'!#REF!="AG. COMPRA","Em processamento",'Banco de Dados'!#REF!="AG. RASTREIO","Em processamento",'Banco de Dados'!$AE1409&lt;&gt;"-","Faturado",'Banco de Dados'!$AD1409&lt;&gt;"-","Aguardando Pix",'Banco de Dados'!$AC1409&lt;&gt;"-","Pendente"),"Aguardando Liberação")</f>
        <v>Aguardando Liberação</v>
      </c>
      <c r="AH1409" s="5" t="str">
        <f>IF('Banco de Dados'!$F1409="-",_xlfn.CONCAT(PROPER(TEXT(AK1409,"aaaa"))," ",PROPER(TEXT(AK1409,"mm"))),_xlfn.CONCAT(PROPER(TEXT(E1409,"aaaa"))," ",PROPER(TEXT(E1409,"mm"))))</f>
        <v>2025 04</v>
      </c>
      <c r="AI1409" s="9" t="str">
        <f ca="1">IF('Banco de Dados'!$AK1409&lt;&gt;"-","REEMBOLSO",IFERROR(_xlfn.XLOOKUP(G1409,Follow[CODRASTREIO],Follow[STATUS]),"-"))</f>
        <v>ENTREGUE</v>
      </c>
      <c r="AJ1409" s="9">
        <f ca="1">IF('Banco de Dados'!$AI1409="ENTREGUE",_xlfn.XLOOKUP('Banco de Dados'!$G1409,Follow[CODRASTREIO],Follow[DATAATUALIZAÇÃO]),"-")</f>
        <v>45770</v>
      </c>
      <c r="AK1409" s="132" t="str">
        <f ca="1"/>
        <v>-</v>
      </c>
      <c r="AL1409" s="35"/>
      <c r="AM1409" s="109" cm="1">
        <f t="array" aca="1" ref="AM1409" ca="1">IF('Banco de Dados'!$AK1409&lt;&gt;"-",_xlfn.IFS('Banco de Dados'!$A1409="bv",IF('Banco de Dados'!$E1409&lt;45641,ROUND(SUM('Banco de Dados'!$R1409*_xlfn.XLOOKUP('Banco de Dados'!$P1409,Sku!B:B,Sku!#REF!)*20%),2),ROUND(SUM('Banco de Dados'!$R1409*_xlfn.XLOOKUP('Banco de Dados'!$P1409,Sku!B:B,Sku!H:H)*20%),2)),'Banco de Dados'!$A1409="GO",ROUND(SUM('Banco de Dados'!$R1409*_xlfn.XLOOKUP('Banco de Dados'!$P1409,Sku!C:C,Sku!H:H)*20%),2),'Banco de Dados'!$A1409="MEI",ROUND(SUM('Banco de Dados'!$R1409*_xlfn.XLOOKUP('Banco de Dados'!$P1409,Sku!D:D,Sku!H:H)*20%),2)),0)</f>
        <v>0</v>
      </c>
      <c r="AN1409" s="109">
        <f ca="1">IF('Banco de Dados'!$AK1409&lt;&gt;"-",IF('Banco de Dados'!$F1409&lt;&gt;"-",_xlfn.XLOOKUP(IFERROR(IFERROR(IFERROR(VALUE(SUBSTITUTE(MID(_xlfn.TEXTAFTER('Banco de Dados'!$F1409,"Data do Pedido:
",1),1,10),"-","/")),VALUE(SUBSTITUTE(MID(_xlfn.TEXTAFTER('Banco de Dados'!$F1409,"Order date:
",1),1,10),"-","/"))),VALUE(SUBSTITUTE(MID(_xlfn.TEXTAFTER('Banco de Dados'!$F1409,"Fecha de pedido:
",1),1,10),"-","/"))),"-"),SMS!A:A,SMS!K:K),0),0)</f>
        <v>0</v>
      </c>
      <c r="AO1409" s="109">
        <f ca="1">IF('Banco de Dados'!$AK1409&lt;&gt;"-",IF('Banco de Dados'!$F1409&lt;&gt;"-",IFERROR(_xlfn.XLOOKUP(_xlfn.CONCAT('Banco de Dados'!$A1409,IFERROR(IFERROR(VALUE(SUBSTITUTE(MID(_xlfn.TEXTAFTER('Banco de Dados'!$F1409,"Data do Pedido:
",1),1,10),"-","/")),VALUE(SUBSTITUTE(MID(_xlfn.TEXTAFTER('Banco de Dados'!$F1409,"Order date:
",1),1,10),"-","/"))),0)),ProxyDD[Chave],ProxyDD[Valor por pedido]),PROXY!$P$2),0),0)</f>
        <v>0</v>
      </c>
      <c r="AP1409" s="28">
        <f ca="1">IF('Banco de Dados'!$AK1409&lt;&gt;"-",IF('Banco de Dados'!$AL1409="NÃO",IFERROR(VALUE(SUBSTITUTE(_xlfn.TEXTAFTER('Banco de Dados'!$F1409,"BRL ",1),".",",")),0),0),0)</f>
        <v>0</v>
      </c>
      <c r="AQ1409" s="28">
        <f ca="1">SUM('Banco de Dados'!$AM1409:$AP1409)</f>
        <v>0</v>
      </c>
      <c r="AR1409" s="8"/>
      <c r="AY1409" s="8"/>
    </row>
    <row r="1410" spans="1:51">
      <c r="A1410" s="5" t="str">
        <v>MEI</v>
      </c>
      <c r="B1410" s="5" t="str">
        <f ca="1"/>
        <v>MEI45754</v>
      </c>
      <c r="C1410" s="8" t="str">
        <v>Pedido 1397</v>
      </c>
      <c r="D1410" s="187">
        <v>45749</v>
      </c>
      <c r="E1410" s="9">
        <v>45754</v>
      </c>
      <c r="F1410" s="8" t="str">
        <v>PedidoF1338</v>
      </c>
      <c r="G1410" s="2" t="str">
        <v>CódRastreio1336</v>
      </c>
      <c r="H1410" s="5">
        <v>1</v>
      </c>
      <c r="I1410" s="2" t="str">
        <v>CPF 1359</v>
      </c>
      <c r="J1410" s="2" t="str">
        <v>Nome 1359</v>
      </c>
      <c r="K1410" s="8" t="str">
        <v>Tel 1359</v>
      </c>
      <c r="L1410" s="8" t="str">
        <v>Cep 1359</v>
      </c>
      <c r="M1410" s="8" t="str">
        <v>Rua 1359</v>
      </c>
      <c r="N1410" s="8" t="str">
        <v>Comp 1359</v>
      </c>
      <c r="O1410" s="8" t="str">
        <v>Lampada Led</v>
      </c>
      <c r="P1410" s="8" t="str">
        <v>T1-SWVB-UPOW</v>
      </c>
      <c r="Q1410" s="4">
        <v>45778</v>
      </c>
      <c r="R1410" s="109">
        <v>29.99</v>
      </c>
      <c r="S1410" s="11">
        <f ca="1"/>
        <v>29.99</v>
      </c>
      <c r="T1410" s="28">
        <f ca="1"/>
        <v>3.5987999999999998</v>
      </c>
      <c r="U1410" s="11">
        <f ca="1"/>
        <v>26.39</v>
      </c>
      <c r="V1410" s="11">
        <v>10.19</v>
      </c>
      <c r="W1410" s="11">
        <f ca="1"/>
        <v>0.24</v>
      </c>
      <c r="X1410" s="11">
        <f ca="1"/>
        <v>0.39877104377104378</v>
      </c>
      <c r="Y1410" s="11">
        <v>0</v>
      </c>
      <c r="Z1410" s="11">
        <f ca="1"/>
        <v>15.561228956228957</v>
      </c>
      <c r="AA1410" s="11">
        <f ca="1"/>
        <v>7.7806144781144786</v>
      </c>
      <c r="AB1410" s="4">
        <f ca="1"/>
        <v>45785</v>
      </c>
      <c r="AC1410" s="4">
        <v>45785</v>
      </c>
      <c r="AD1410" s="9">
        <v>45793</v>
      </c>
      <c r="AE1410" s="9">
        <v>45797</v>
      </c>
      <c r="AF1410" s="4" t="str">
        <f t="shared" ca="1" si="92"/>
        <v>2025 05</v>
      </c>
      <c r="AG1410" s="8" t="str" cm="1">
        <f t="array" ref="AG1410">IFERROR(_xlfn.IFS('Banco de Dados'!#REF!="AG. COMPRA","Em processamento",'Banco de Dados'!#REF!="AG. RASTREIO","Em processamento",'Banco de Dados'!$AE1410&lt;&gt;"-","Faturado",'Banco de Dados'!$AD1410&lt;&gt;"-","Aguardando Pix",'Banco de Dados'!$AC1410&lt;&gt;"-","Pendente"),"Aguardando Liberação")</f>
        <v>Aguardando Liberação</v>
      </c>
      <c r="AH1410" s="5" t="str">
        <f>IF('Banco de Dados'!$F1410="-",_xlfn.CONCAT(PROPER(TEXT(AK1410,"aaaa"))," ",PROPER(TEXT(AK1410,"mm"))),_xlfn.CONCAT(PROPER(TEXT(E1410,"aaaa"))," ",PROPER(TEXT(E1410,"mm"))))</f>
        <v>2025 04</v>
      </c>
      <c r="AI1410" s="9" t="str">
        <f ca="1">IF('Banco de Dados'!$AK1410&lt;&gt;"-","REEMBOLSO",IFERROR(_xlfn.XLOOKUP(G1410,Follow[CODRASTREIO],Follow[STATUS]),"-"))</f>
        <v>ENTREGUE</v>
      </c>
      <c r="AJ1410" s="9">
        <f ca="1">IF('Banco de Dados'!$AI1410="ENTREGUE",_xlfn.XLOOKUP('Banco de Dados'!$G1410,Follow[CODRASTREIO],Follow[DATAATUALIZAÇÃO]),"-")</f>
        <v>45769</v>
      </c>
      <c r="AK1410" s="132" t="str">
        <f ca="1"/>
        <v>-</v>
      </c>
      <c r="AL1410" s="35"/>
      <c r="AM1410" s="109" cm="1">
        <f t="array" aca="1" ref="AM1410" ca="1">IF('Banco de Dados'!$AK1410&lt;&gt;"-",_xlfn.IFS('Banco de Dados'!$A1410="bv",IF('Banco de Dados'!$E1410&lt;45641,ROUND(SUM('Banco de Dados'!$R1410*_xlfn.XLOOKUP('Banco de Dados'!$P1410,Sku!B:B,Sku!#REF!)*20%),2),ROUND(SUM('Banco de Dados'!$R1410*_xlfn.XLOOKUP('Banco de Dados'!$P1410,Sku!B:B,Sku!H:H)*20%),2)),'Banco de Dados'!$A1410="GO",ROUND(SUM('Banco de Dados'!$R1410*_xlfn.XLOOKUP('Banco de Dados'!$P1410,Sku!C:C,Sku!H:H)*20%),2),'Banco de Dados'!$A1410="MEI",ROUND(SUM('Banco de Dados'!$R1410*_xlfn.XLOOKUP('Banco de Dados'!$P1410,Sku!D:D,Sku!H:H)*20%),2)),0)</f>
        <v>0</v>
      </c>
      <c r="AN1410" s="109">
        <f ca="1">IF('Banco de Dados'!$AK1410&lt;&gt;"-",IF('Banco de Dados'!$F1410&lt;&gt;"-",_xlfn.XLOOKUP(IFERROR(IFERROR(IFERROR(VALUE(SUBSTITUTE(MID(_xlfn.TEXTAFTER('Banco de Dados'!$F1410,"Data do Pedido:
",1),1,10),"-","/")),VALUE(SUBSTITUTE(MID(_xlfn.TEXTAFTER('Banco de Dados'!$F1410,"Order date:
",1),1,10),"-","/"))),VALUE(SUBSTITUTE(MID(_xlfn.TEXTAFTER('Banco de Dados'!$F1410,"Fecha de pedido:
",1),1,10),"-","/"))),"-"),SMS!A:A,SMS!K:K),0),0)</f>
        <v>0</v>
      </c>
      <c r="AO1410" s="109">
        <f ca="1">IF('Banco de Dados'!$AK1410&lt;&gt;"-",IF('Banco de Dados'!$F1410&lt;&gt;"-",IFERROR(_xlfn.XLOOKUP(_xlfn.CONCAT('Banco de Dados'!$A1410,IFERROR(IFERROR(VALUE(SUBSTITUTE(MID(_xlfn.TEXTAFTER('Banco de Dados'!$F1410,"Data do Pedido:
",1),1,10),"-","/")),VALUE(SUBSTITUTE(MID(_xlfn.TEXTAFTER('Banco de Dados'!$F1410,"Order date:
",1),1,10),"-","/"))),0)),ProxyDD[Chave],ProxyDD[Valor por pedido]),PROXY!$P$2),0),0)</f>
        <v>0</v>
      </c>
      <c r="AP1410" s="28">
        <f ca="1">IF('Banco de Dados'!$AK1410&lt;&gt;"-",IF('Banco de Dados'!$AL1410="NÃO",IFERROR(VALUE(SUBSTITUTE(_xlfn.TEXTAFTER('Banco de Dados'!$F1410,"BRL ",1),".",",")),0),0),0)</f>
        <v>0</v>
      </c>
      <c r="AQ1410" s="28">
        <f ca="1">SUM('Banco de Dados'!$AM1410:$AP1410)</f>
        <v>0</v>
      </c>
      <c r="AR1410" s="8"/>
      <c r="AY1410" s="8"/>
    </row>
    <row r="1411" spans="1:51">
      <c r="A1411" s="5" t="str">
        <v>MEI</v>
      </c>
      <c r="B1411" s="5" t="str">
        <f ca="1"/>
        <v>MEI45754</v>
      </c>
      <c r="C1411" s="8" t="str">
        <v>Pedido 1398</v>
      </c>
      <c r="D1411" s="187">
        <v>45749</v>
      </c>
      <c r="E1411" s="9">
        <v>45754</v>
      </c>
      <c r="F1411" s="8" t="str">
        <v>PedidoF1339</v>
      </c>
      <c r="G1411" s="2" t="str">
        <v>CódRastreio1337</v>
      </c>
      <c r="H1411" s="5">
        <v>1</v>
      </c>
      <c r="I1411" s="2" t="str">
        <v>CPF 1360</v>
      </c>
      <c r="J1411" s="2" t="str">
        <v>Nome 1360</v>
      </c>
      <c r="K1411" s="8" t="str">
        <v>Tel 1360</v>
      </c>
      <c r="L1411" s="8" t="str">
        <v>Cep 1360</v>
      </c>
      <c r="M1411" s="8" t="str">
        <v>Rua 1360</v>
      </c>
      <c r="N1411" s="8" t="str">
        <v>Comp 1360</v>
      </c>
      <c r="O1411" s="8" t="str">
        <v>Garrafa Termica</v>
      </c>
      <c r="P1411" s="8" t="str">
        <v>LF-R6MC-WKWP</v>
      </c>
      <c r="Q1411" s="4">
        <v>45786</v>
      </c>
      <c r="R1411" s="109">
        <v>32.67</v>
      </c>
      <c r="S1411" s="11">
        <f ca="1"/>
        <v>32.67</v>
      </c>
      <c r="T1411" s="28">
        <f ca="1"/>
        <v>3.9203999999999999</v>
      </c>
      <c r="U1411" s="11">
        <f ca="1"/>
        <v>28.75</v>
      </c>
      <c r="V1411" s="11">
        <v>15.39</v>
      </c>
      <c r="W1411" s="11">
        <f ca="1"/>
        <v>0.24</v>
      </c>
      <c r="X1411" s="11">
        <f ca="1"/>
        <v>0.39877104377104378</v>
      </c>
      <c r="Y1411" s="11">
        <v>0</v>
      </c>
      <c r="Z1411" s="11">
        <f ca="1"/>
        <v>12.721228956228956</v>
      </c>
      <c r="AA1411" s="11">
        <f ca="1"/>
        <v>6.3606144781144778</v>
      </c>
      <c r="AB1411" s="4">
        <f ca="1"/>
        <v>45793</v>
      </c>
      <c r="AC1411" s="4">
        <v>45793</v>
      </c>
      <c r="AD1411" s="9">
        <v>45793</v>
      </c>
      <c r="AE1411" s="9">
        <v>45797</v>
      </c>
      <c r="AF1411" s="4" t="str">
        <f t="shared" ca="1" si="92"/>
        <v>2025 05</v>
      </c>
      <c r="AG1411" s="8" t="str" cm="1">
        <f t="array" ref="AG1411">IFERROR(_xlfn.IFS('Banco de Dados'!#REF!="AG. COMPRA","Em processamento",'Banco de Dados'!#REF!="AG. RASTREIO","Em processamento",'Banco de Dados'!$AE1411&lt;&gt;"-","Faturado",'Banco de Dados'!$AD1411&lt;&gt;"-","Aguardando Pix",'Banco de Dados'!$AC1411&lt;&gt;"-","Pendente"),"Aguardando Liberação")</f>
        <v>Aguardando Liberação</v>
      </c>
      <c r="AH1411" s="5" t="str">
        <f>IF('Banco de Dados'!$F1411="-",_xlfn.CONCAT(PROPER(TEXT(AK1411,"aaaa"))," ",PROPER(TEXT(AK1411,"mm"))),_xlfn.CONCAT(PROPER(TEXT(E1411,"aaaa"))," ",PROPER(TEXT(E1411,"mm"))))</f>
        <v>2025 04</v>
      </c>
      <c r="AI1411" s="9" t="str">
        <f ca="1">IF('Banco de Dados'!$AK1411&lt;&gt;"-","REEMBOLSO",IFERROR(_xlfn.XLOOKUP(G1411,Follow[CODRASTREIO],Follow[STATUS]),"-"))</f>
        <v>ENTREGUE</v>
      </c>
      <c r="AJ1411" s="9">
        <f ca="1">IF('Banco de Dados'!$AI1411="ENTREGUE",_xlfn.XLOOKUP('Banco de Dados'!$G1411,Follow[CODRASTREIO],Follow[DATAATUALIZAÇÃO]),"-")</f>
        <v>45791</v>
      </c>
      <c r="AK1411" s="132" t="str">
        <f ca="1"/>
        <v>-</v>
      </c>
      <c r="AL1411" s="35"/>
      <c r="AM1411" s="109" cm="1">
        <f t="array" aca="1" ref="AM1411" ca="1">IF('Banco de Dados'!$AK1411&lt;&gt;"-",_xlfn.IFS('Banco de Dados'!$A1411="bv",IF('Banco de Dados'!$E1411&lt;45641,ROUND(SUM('Banco de Dados'!$R1411*_xlfn.XLOOKUP('Banco de Dados'!$P1411,Sku!B:B,Sku!#REF!)*20%),2),ROUND(SUM('Banco de Dados'!$R1411*_xlfn.XLOOKUP('Banco de Dados'!$P1411,Sku!B:B,Sku!H:H)*20%),2)),'Banco de Dados'!$A1411="GO",ROUND(SUM('Banco de Dados'!$R1411*_xlfn.XLOOKUP('Banco de Dados'!$P1411,Sku!C:C,Sku!H:H)*20%),2),'Banco de Dados'!$A1411="MEI",ROUND(SUM('Banco de Dados'!$R1411*_xlfn.XLOOKUP('Banco de Dados'!$P1411,Sku!D:D,Sku!H:H)*20%),2)),0)</f>
        <v>0</v>
      </c>
      <c r="AN1411" s="109">
        <f ca="1">IF('Banco de Dados'!$AK1411&lt;&gt;"-",IF('Banco de Dados'!$F1411&lt;&gt;"-",_xlfn.XLOOKUP(IFERROR(IFERROR(IFERROR(VALUE(SUBSTITUTE(MID(_xlfn.TEXTAFTER('Banco de Dados'!$F1411,"Data do Pedido:
",1),1,10),"-","/")),VALUE(SUBSTITUTE(MID(_xlfn.TEXTAFTER('Banco de Dados'!$F1411,"Order date:
",1),1,10),"-","/"))),VALUE(SUBSTITUTE(MID(_xlfn.TEXTAFTER('Banco de Dados'!$F1411,"Fecha de pedido:
",1),1,10),"-","/"))),"-"),SMS!A:A,SMS!K:K),0),0)</f>
        <v>0</v>
      </c>
      <c r="AO1411" s="109">
        <f ca="1">IF('Banco de Dados'!$AK1411&lt;&gt;"-",IF('Banco de Dados'!$F1411&lt;&gt;"-",IFERROR(_xlfn.XLOOKUP(_xlfn.CONCAT('Banco de Dados'!$A1411,IFERROR(IFERROR(VALUE(SUBSTITUTE(MID(_xlfn.TEXTAFTER('Banco de Dados'!$F1411,"Data do Pedido:
",1),1,10),"-","/")),VALUE(SUBSTITUTE(MID(_xlfn.TEXTAFTER('Banco de Dados'!$F1411,"Order date:
",1),1,10),"-","/"))),0)),ProxyDD[Chave],ProxyDD[Valor por pedido]),PROXY!$P$2),0),0)</f>
        <v>0</v>
      </c>
      <c r="AP1411" s="28">
        <f ca="1">IF('Banco de Dados'!$AK1411&lt;&gt;"-",IF('Banco de Dados'!$AL1411="NÃO",IFERROR(VALUE(SUBSTITUTE(_xlfn.TEXTAFTER('Banco de Dados'!$F1411,"BRL ",1),".",",")),0),0),0)</f>
        <v>0</v>
      </c>
      <c r="AQ1411" s="28">
        <f ca="1">SUM('Banco de Dados'!$AM1411:$AP1411)</f>
        <v>0</v>
      </c>
      <c r="AR1411" s="8"/>
      <c r="AY1411" s="8"/>
    </row>
    <row r="1412" spans="1:51">
      <c r="A1412" s="5" t="str">
        <v>MEI</v>
      </c>
      <c r="B1412" s="5" t="str">
        <f ca="1"/>
        <v>MEI45751</v>
      </c>
      <c r="C1412" s="8" t="str">
        <v>Pedido 1399</v>
      </c>
      <c r="D1412" s="187">
        <v>45749</v>
      </c>
      <c r="E1412" s="9">
        <v>45751</v>
      </c>
      <c r="F1412" s="8" t="str">
        <v>PedidoF1340</v>
      </c>
      <c r="G1412" s="2" t="str">
        <v>CódRastreio1338</v>
      </c>
      <c r="H1412" s="5">
        <v>1</v>
      </c>
      <c r="I1412" s="2" t="str">
        <v>CPF 1361</v>
      </c>
      <c r="J1412" s="2" t="str">
        <v>Nome 1361</v>
      </c>
      <c r="K1412" s="8" t="str">
        <v>Tel 1361</v>
      </c>
      <c r="L1412" s="8" t="str">
        <v>Cep 1361</v>
      </c>
      <c r="M1412" s="8" t="str">
        <v>Rua 1361</v>
      </c>
      <c r="N1412" s="8" t="str">
        <v>Comp 1361</v>
      </c>
      <c r="O1412" s="8" t="str">
        <v>Lampada Led</v>
      </c>
      <c r="P1412" s="8" t="str">
        <v>T1-SWVB-UPOW</v>
      </c>
      <c r="Q1412" s="4">
        <v>45778</v>
      </c>
      <c r="R1412" s="109">
        <v>29.99</v>
      </c>
      <c r="S1412" s="11">
        <f ca="1"/>
        <v>29.99</v>
      </c>
      <c r="T1412" s="28">
        <f ca="1"/>
        <v>3.5987999999999998</v>
      </c>
      <c r="U1412" s="11">
        <f ca="1"/>
        <v>26.39</v>
      </c>
      <c r="V1412" s="11">
        <v>12.2</v>
      </c>
      <c r="W1412" s="11">
        <f ca="1"/>
        <v>0.24</v>
      </c>
      <c r="X1412" s="11">
        <f ca="1"/>
        <v>0.39877104377104378</v>
      </c>
      <c r="Y1412" s="11">
        <v>0</v>
      </c>
      <c r="Z1412" s="11">
        <f ca="1"/>
        <v>13.551228956228957</v>
      </c>
      <c r="AA1412" s="11">
        <f ca="1"/>
        <v>6.7756144781144787</v>
      </c>
      <c r="AB1412" s="4">
        <f ca="1"/>
        <v>45785</v>
      </c>
      <c r="AC1412" s="4">
        <v>45785</v>
      </c>
      <c r="AD1412" s="9">
        <v>45793</v>
      </c>
      <c r="AE1412" s="9">
        <v>45797</v>
      </c>
      <c r="AF1412" s="4" t="str">
        <f t="shared" ca="1" si="92"/>
        <v>2025 05</v>
      </c>
      <c r="AG1412" s="8" t="str" cm="1">
        <f t="array" ref="AG1412">IFERROR(_xlfn.IFS('Banco de Dados'!#REF!="AG. COMPRA","Em processamento",'Banco de Dados'!#REF!="AG. RASTREIO","Em processamento",'Banco de Dados'!$AE1412&lt;&gt;"-","Faturado",'Banco de Dados'!$AD1412&lt;&gt;"-","Aguardando Pix",'Banco de Dados'!$AC1412&lt;&gt;"-","Pendente"),"Aguardando Liberação")</f>
        <v>Aguardando Liberação</v>
      </c>
      <c r="AH1412" s="5" t="str">
        <f>IF('Banco de Dados'!$F1412="-",_xlfn.CONCAT(PROPER(TEXT(AK1412,"aaaa"))," ",PROPER(TEXT(AK1412,"mm"))),_xlfn.CONCAT(PROPER(TEXT(E1412,"aaaa"))," ",PROPER(TEXT(E1412,"mm"))))</f>
        <v>2025 04</v>
      </c>
      <c r="AI1412" s="9" t="str">
        <f ca="1">IF('Banco de Dados'!$AK1412&lt;&gt;"-","REEMBOLSO",IFERROR(_xlfn.XLOOKUP(G1412,Follow[CODRASTREIO],Follow[STATUS]),"-"))</f>
        <v>ENTREGUE</v>
      </c>
      <c r="AJ1412" s="9">
        <f ca="1">IF('Banco de Dados'!$AI1412="ENTREGUE",_xlfn.XLOOKUP('Banco de Dados'!$G1412,Follow[CODRASTREIO],Follow[DATAATUALIZAÇÃO]),"-")</f>
        <v>45764</v>
      </c>
      <c r="AK1412" s="132" t="str">
        <f ca="1"/>
        <v>-</v>
      </c>
      <c r="AL1412" s="35"/>
      <c r="AM1412" s="109" cm="1">
        <f t="array" aca="1" ref="AM1412" ca="1">IF('Banco de Dados'!$AK1412&lt;&gt;"-",_xlfn.IFS('Banco de Dados'!$A1412="bv",IF('Banco de Dados'!$E1412&lt;45641,ROUND(SUM('Banco de Dados'!$R1412*_xlfn.XLOOKUP('Banco de Dados'!$P1412,Sku!B:B,Sku!#REF!)*20%),2),ROUND(SUM('Banco de Dados'!$R1412*_xlfn.XLOOKUP('Banco de Dados'!$P1412,Sku!B:B,Sku!H:H)*20%),2)),'Banco de Dados'!$A1412="GO",ROUND(SUM('Banco de Dados'!$R1412*_xlfn.XLOOKUP('Banco de Dados'!$P1412,Sku!C:C,Sku!H:H)*20%),2),'Banco de Dados'!$A1412="MEI",ROUND(SUM('Banco de Dados'!$R1412*_xlfn.XLOOKUP('Banco de Dados'!$P1412,Sku!D:D,Sku!H:H)*20%),2)),0)</f>
        <v>0</v>
      </c>
      <c r="AN1412" s="109">
        <f ca="1">IF('Banco de Dados'!$AK1412&lt;&gt;"-",IF('Banco de Dados'!$F1412&lt;&gt;"-",_xlfn.XLOOKUP(IFERROR(IFERROR(IFERROR(VALUE(SUBSTITUTE(MID(_xlfn.TEXTAFTER('Banco de Dados'!$F1412,"Data do Pedido:
",1),1,10),"-","/")),VALUE(SUBSTITUTE(MID(_xlfn.TEXTAFTER('Banco de Dados'!$F1412,"Order date:
",1),1,10),"-","/"))),VALUE(SUBSTITUTE(MID(_xlfn.TEXTAFTER('Banco de Dados'!$F1412,"Fecha de pedido:
",1),1,10),"-","/"))),"-"),SMS!A:A,SMS!K:K),0),0)</f>
        <v>0</v>
      </c>
      <c r="AO1412" s="109">
        <f ca="1">IF('Banco de Dados'!$AK1412&lt;&gt;"-",IF('Banco de Dados'!$F1412&lt;&gt;"-",IFERROR(_xlfn.XLOOKUP(_xlfn.CONCAT('Banco de Dados'!$A1412,IFERROR(IFERROR(VALUE(SUBSTITUTE(MID(_xlfn.TEXTAFTER('Banco de Dados'!$F1412,"Data do Pedido:
",1),1,10),"-","/")),VALUE(SUBSTITUTE(MID(_xlfn.TEXTAFTER('Banco de Dados'!$F1412,"Order date:
",1),1,10),"-","/"))),0)),ProxyDD[Chave],ProxyDD[Valor por pedido]),PROXY!$P$2),0),0)</f>
        <v>0</v>
      </c>
      <c r="AP1412" s="28">
        <f ca="1">IF('Banco de Dados'!$AK1412&lt;&gt;"-",IF('Banco de Dados'!$AL1412="NÃO",IFERROR(VALUE(SUBSTITUTE(_xlfn.TEXTAFTER('Banco de Dados'!$F1412,"BRL ",1),".",",")),0),0),0)</f>
        <v>0</v>
      </c>
      <c r="AQ1412" s="28">
        <f ca="1">SUM('Banco de Dados'!$AM1412:$AP1412)</f>
        <v>0</v>
      </c>
      <c r="AR1412" s="8"/>
      <c r="AY1412" s="8"/>
    </row>
    <row r="1413" spans="1:51">
      <c r="A1413" s="5" t="str">
        <v>MEI</v>
      </c>
      <c r="B1413" s="5" t="str">
        <f ca="1"/>
        <v>MEI45751</v>
      </c>
      <c r="C1413" s="8" t="str">
        <v>Pedido 1400</v>
      </c>
      <c r="D1413" s="187">
        <v>45749</v>
      </c>
      <c r="E1413" s="9">
        <v>45751</v>
      </c>
      <c r="F1413" s="8" t="str">
        <v>PedidoF1341</v>
      </c>
      <c r="G1413" s="2" t="str">
        <v>CódRastreio1339</v>
      </c>
      <c r="H1413" s="5">
        <v>1</v>
      </c>
      <c r="I1413" s="2" t="str">
        <v>CPF 1362</v>
      </c>
      <c r="J1413" s="2" t="str">
        <v>Nome 1362</v>
      </c>
      <c r="K1413" s="8" t="str">
        <v>Tel 1362</v>
      </c>
      <c r="L1413" s="8" t="str">
        <v>Cep 1362</v>
      </c>
      <c r="M1413" s="8" t="str">
        <v>Rua 1362</v>
      </c>
      <c r="N1413" s="8" t="str">
        <v>Comp 1362</v>
      </c>
      <c r="O1413" s="8" t="str">
        <v>Maçarico Culinário Portátil</v>
      </c>
      <c r="P1413" s="8" t="str">
        <v>BG-DHRO-FAEE</v>
      </c>
      <c r="Q1413" s="4">
        <v>45778</v>
      </c>
      <c r="R1413" s="109">
        <v>26.99</v>
      </c>
      <c r="S1413" s="11">
        <f ca="1"/>
        <v>26.99</v>
      </c>
      <c r="T1413" s="28">
        <f ca="1"/>
        <v>2.9688999999999997</v>
      </c>
      <c r="U1413" s="11">
        <f ca="1"/>
        <v>24.02</v>
      </c>
      <c r="V1413" s="11">
        <v>10.16</v>
      </c>
      <c r="W1413" s="11">
        <f ca="1"/>
        <v>0.24</v>
      </c>
      <c r="X1413" s="11">
        <f ca="1"/>
        <v>0.39877104377104378</v>
      </c>
      <c r="Y1413" s="11">
        <v>0</v>
      </c>
      <c r="Z1413" s="11">
        <f ca="1"/>
        <v>13.221228956228956</v>
      </c>
      <c r="AA1413" s="11">
        <f ca="1"/>
        <v>6.6106144781144778</v>
      </c>
      <c r="AB1413" s="4">
        <f ca="1"/>
        <v>45785</v>
      </c>
      <c r="AC1413" s="4">
        <v>45785</v>
      </c>
      <c r="AD1413" s="9">
        <v>45793</v>
      </c>
      <c r="AE1413" s="9">
        <v>45797</v>
      </c>
      <c r="AF1413" s="4" t="str">
        <f t="shared" ca="1" si="92"/>
        <v>2025 05</v>
      </c>
      <c r="AG1413" s="8" t="str" cm="1">
        <f t="array" ref="AG1413">IFERROR(_xlfn.IFS('Banco de Dados'!#REF!="AG. COMPRA","Em processamento",'Banco de Dados'!#REF!="AG. RASTREIO","Em processamento",'Banco de Dados'!$AE1413&lt;&gt;"-","Faturado",'Banco de Dados'!$AD1413&lt;&gt;"-","Aguardando Pix",'Banco de Dados'!$AC1413&lt;&gt;"-","Pendente"),"Aguardando Liberação")</f>
        <v>Aguardando Liberação</v>
      </c>
      <c r="AH1413" s="5" t="str">
        <f>IF('Banco de Dados'!$F1413="-",_xlfn.CONCAT(PROPER(TEXT(AK1413,"aaaa"))," ",PROPER(TEXT(AK1413,"mm"))),_xlfn.CONCAT(PROPER(TEXT(E1413,"aaaa"))," ",PROPER(TEXT(E1413,"mm"))))</f>
        <v>2025 04</v>
      </c>
      <c r="AI1413" s="9" t="str">
        <f ca="1">IF('Banco de Dados'!$AK1413&lt;&gt;"-","REEMBOLSO",IFERROR(_xlfn.XLOOKUP(G1413,Follow[CODRASTREIO],Follow[STATUS]),"-"))</f>
        <v>ENTREGUE</v>
      </c>
      <c r="AJ1413" s="9">
        <f ca="1">IF('Banco de Dados'!$AI1413="ENTREGUE",_xlfn.XLOOKUP('Banco de Dados'!$G1413,Follow[CODRASTREIO],Follow[DATAATUALIZAÇÃO]),"-")</f>
        <v>45770</v>
      </c>
      <c r="AK1413" s="132" t="str">
        <f ca="1"/>
        <v>-</v>
      </c>
      <c r="AL1413" s="35"/>
      <c r="AM1413" s="109" cm="1">
        <f t="array" aca="1" ref="AM1413" ca="1">IF('Banco de Dados'!$AK1413&lt;&gt;"-",_xlfn.IFS('Banco de Dados'!$A1413="bv",IF('Banco de Dados'!$E1413&lt;45641,ROUND(SUM('Banco de Dados'!$R1413*_xlfn.XLOOKUP('Banco de Dados'!$P1413,Sku!B:B,Sku!#REF!)*20%),2),ROUND(SUM('Banco de Dados'!$R1413*_xlfn.XLOOKUP('Banco de Dados'!$P1413,Sku!B:B,Sku!H:H)*20%),2)),'Banco de Dados'!$A1413="GO",ROUND(SUM('Banco de Dados'!$R1413*_xlfn.XLOOKUP('Banco de Dados'!$P1413,Sku!C:C,Sku!H:H)*20%),2),'Banco de Dados'!$A1413="MEI",ROUND(SUM('Banco de Dados'!$R1413*_xlfn.XLOOKUP('Banco de Dados'!$P1413,Sku!D:D,Sku!H:H)*20%),2)),0)</f>
        <v>0</v>
      </c>
      <c r="AN1413" s="109">
        <f ca="1">IF('Banco de Dados'!$AK1413&lt;&gt;"-",IF('Banco de Dados'!$F1413&lt;&gt;"-",_xlfn.XLOOKUP(IFERROR(IFERROR(IFERROR(VALUE(SUBSTITUTE(MID(_xlfn.TEXTAFTER('Banco de Dados'!$F1413,"Data do Pedido:
",1),1,10),"-","/")),VALUE(SUBSTITUTE(MID(_xlfn.TEXTAFTER('Banco de Dados'!$F1413,"Order date:
",1),1,10),"-","/"))),VALUE(SUBSTITUTE(MID(_xlfn.TEXTAFTER('Banco de Dados'!$F1413,"Fecha de pedido:
",1),1,10),"-","/"))),"-"),SMS!A:A,SMS!K:K),0),0)</f>
        <v>0</v>
      </c>
      <c r="AO1413" s="109">
        <f ca="1">IF('Banco de Dados'!$AK1413&lt;&gt;"-",IF('Banco de Dados'!$F1413&lt;&gt;"-",IFERROR(_xlfn.XLOOKUP(_xlfn.CONCAT('Banco de Dados'!$A1413,IFERROR(IFERROR(VALUE(SUBSTITUTE(MID(_xlfn.TEXTAFTER('Banco de Dados'!$F1413,"Data do Pedido:
",1),1,10),"-","/")),VALUE(SUBSTITUTE(MID(_xlfn.TEXTAFTER('Banco de Dados'!$F1413,"Order date:
",1),1,10),"-","/"))),0)),ProxyDD[Chave],ProxyDD[Valor por pedido]),PROXY!$P$2),0),0)</f>
        <v>0</v>
      </c>
      <c r="AP1413" s="28">
        <f ca="1">IF('Banco de Dados'!$AK1413&lt;&gt;"-",IF('Banco de Dados'!$AL1413="NÃO",IFERROR(VALUE(SUBSTITUTE(_xlfn.TEXTAFTER('Banco de Dados'!$F1413,"BRL ",1),".",",")),0),0),0)</f>
        <v>0</v>
      </c>
      <c r="AQ1413" s="28">
        <f ca="1">SUM('Banco de Dados'!$AM1413:$AP1413)</f>
        <v>0</v>
      </c>
      <c r="AR1413" s="8"/>
      <c r="AY1413" s="8"/>
    </row>
    <row r="1414" spans="1:51">
      <c r="A1414" s="5" t="str">
        <v>MEI</v>
      </c>
      <c r="B1414" s="5" t="str">
        <f ca="1"/>
        <v>MEI45751</v>
      </c>
      <c r="C1414" s="8" t="str">
        <v>Pedido 1401</v>
      </c>
      <c r="D1414" s="187">
        <v>45749</v>
      </c>
      <c r="E1414" s="9">
        <v>45751</v>
      </c>
      <c r="F1414" s="8" t="str">
        <v>PedidoF1342</v>
      </c>
      <c r="G1414" s="2" t="str">
        <v>CódRastreio1340</v>
      </c>
      <c r="H1414" s="5">
        <v>1</v>
      </c>
      <c r="I1414" s="2" t="str">
        <v>CPF 1363</v>
      </c>
      <c r="J1414" s="2" t="str">
        <v>Nome 1363</v>
      </c>
      <c r="K1414" s="8" t="str">
        <v>Tel 1363</v>
      </c>
      <c r="L1414" s="8" t="str">
        <v>Cep 1363</v>
      </c>
      <c r="M1414" s="8" t="str">
        <v>Rua 1363</v>
      </c>
      <c r="N1414" s="8" t="str">
        <v>Comp 1363</v>
      </c>
      <c r="O1414" s="8" t="str">
        <v>Maçarico Culinário Portátil</v>
      </c>
      <c r="P1414" s="8" t="str">
        <v>BG-DHRO-FAEE</v>
      </c>
      <c r="Q1414" s="4">
        <v>45778</v>
      </c>
      <c r="R1414" s="109">
        <v>26.99</v>
      </c>
      <c r="S1414" s="11">
        <f ca="1"/>
        <v>26.99</v>
      </c>
      <c r="T1414" s="28">
        <f ca="1"/>
        <v>2.9688999999999997</v>
      </c>
      <c r="U1414" s="11">
        <f ca="1"/>
        <v>24.02</v>
      </c>
      <c r="V1414" s="11">
        <v>10.16</v>
      </c>
      <c r="W1414" s="11">
        <f ca="1"/>
        <v>0.24</v>
      </c>
      <c r="X1414" s="11">
        <f ca="1"/>
        <v>0.39877104377104378</v>
      </c>
      <c r="Y1414" s="11">
        <v>0</v>
      </c>
      <c r="Z1414" s="11">
        <f ca="1"/>
        <v>13.221228956228956</v>
      </c>
      <c r="AA1414" s="11">
        <f ca="1"/>
        <v>6.6106144781144778</v>
      </c>
      <c r="AB1414" s="4">
        <f ca="1"/>
        <v>45785</v>
      </c>
      <c r="AC1414" s="4">
        <v>45785</v>
      </c>
      <c r="AD1414" s="9">
        <v>45793</v>
      </c>
      <c r="AE1414" s="9">
        <v>45797</v>
      </c>
      <c r="AF1414" s="4" t="str">
        <f t="shared" ca="1" si="92"/>
        <v>2025 05</v>
      </c>
      <c r="AG1414" s="8" t="str" cm="1">
        <f t="array" ref="AG1414">IFERROR(_xlfn.IFS('Banco de Dados'!#REF!="AG. COMPRA","Em processamento",'Banco de Dados'!#REF!="AG. RASTREIO","Em processamento",'Banco de Dados'!$AE1414&lt;&gt;"-","Faturado",'Banco de Dados'!$AD1414&lt;&gt;"-","Aguardando Pix",'Banco de Dados'!$AC1414&lt;&gt;"-","Pendente"),"Aguardando Liberação")</f>
        <v>Aguardando Liberação</v>
      </c>
      <c r="AH1414" s="5" t="str">
        <f>IF('Banco de Dados'!$F1414="-",_xlfn.CONCAT(PROPER(TEXT(AK1414,"aaaa"))," ",PROPER(TEXT(AK1414,"mm"))),_xlfn.CONCAT(PROPER(TEXT(E1414,"aaaa"))," ",PROPER(TEXT(E1414,"mm"))))</f>
        <v>2025 04</v>
      </c>
      <c r="AI1414" s="9" t="str">
        <f ca="1">IF('Banco de Dados'!$AK1414&lt;&gt;"-","REEMBOLSO",IFERROR(_xlfn.XLOOKUP(G1414,Follow[CODRASTREIO],Follow[STATUS]),"-"))</f>
        <v>ENTREGUE</v>
      </c>
      <c r="AJ1414" s="9">
        <f ca="1">IF('Banco de Dados'!$AI1414="ENTREGUE",_xlfn.XLOOKUP('Banco de Dados'!$G1414,Follow[CODRASTREIO],Follow[DATAATUALIZAÇÃO]),"-")</f>
        <v>45770</v>
      </c>
      <c r="AK1414" s="132" t="str">
        <f ca="1"/>
        <v>-</v>
      </c>
      <c r="AL1414" s="35"/>
      <c r="AM1414" s="109" cm="1">
        <f t="array" aca="1" ref="AM1414" ca="1">IF('Banco de Dados'!$AK1414&lt;&gt;"-",_xlfn.IFS('Banco de Dados'!$A1414="bv",IF('Banco de Dados'!$E1414&lt;45641,ROUND(SUM('Banco de Dados'!$R1414*_xlfn.XLOOKUP('Banco de Dados'!$P1414,Sku!B:B,Sku!#REF!)*20%),2),ROUND(SUM('Banco de Dados'!$R1414*_xlfn.XLOOKUP('Banco de Dados'!$P1414,Sku!B:B,Sku!H:H)*20%),2)),'Banco de Dados'!$A1414="GO",ROUND(SUM('Banco de Dados'!$R1414*_xlfn.XLOOKUP('Banco de Dados'!$P1414,Sku!C:C,Sku!H:H)*20%),2),'Banco de Dados'!$A1414="MEI",ROUND(SUM('Banco de Dados'!$R1414*_xlfn.XLOOKUP('Banco de Dados'!$P1414,Sku!D:D,Sku!H:H)*20%),2)),0)</f>
        <v>0</v>
      </c>
      <c r="AN1414" s="109">
        <f ca="1">IF('Banco de Dados'!$AK1414&lt;&gt;"-",IF('Banco de Dados'!$F1414&lt;&gt;"-",_xlfn.XLOOKUP(IFERROR(IFERROR(IFERROR(VALUE(SUBSTITUTE(MID(_xlfn.TEXTAFTER('Banco de Dados'!$F1414,"Data do Pedido:
",1),1,10),"-","/")),VALUE(SUBSTITUTE(MID(_xlfn.TEXTAFTER('Banco de Dados'!$F1414,"Order date:
",1),1,10),"-","/"))),VALUE(SUBSTITUTE(MID(_xlfn.TEXTAFTER('Banco de Dados'!$F1414,"Fecha de pedido:
",1),1,10),"-","/"))),"-"),SMS!A:A,SMS!K:K),0),0)</f>
        <v>0</v>
      </c>
      <c r="AO1414" s="109">
        <f ca="1">IF('Banco de Dados'!$AK1414&lt;&gt;"-",IF('Banco de Dados'!$F1414&lt;&gt;"-",IFERROR(_xlfn.XLOOKUP(_xlfn.CONCAT('Banco de Dados'!$A1414,IFERROR(IFERROR(VALUE(SUBSTITUTE(MID(_xlfn.TEXTAFTER('Banco de Dados'!$F1414,"Data do Pedido:
",1),1,10),"-","/")),VALUE(SUBSTITUTE(MID(_xlfn.TEXTAFTER('Banco de Dados'!$F1414,"Order date:
",1),1,10),"-","/"))),0)),ProxyDD[Chave],ProxyDD[Valor por pedido]),PROXY!$P$2),0),0)</f>
        <v>0</v>
      </c>
      <c r="AP1414" s="28">
        <f ca="1">IF('Banco de Dados'!$AK1414&lt;&gt;"-",IF('Banco de Dados'!$AL1414="NÃO",IFERROR(VALUE(SUBSTITUTE(_xlfn.TEXTAFTER('Banco de Dados'!$F1414,"BRL ",1),".",",")),0),0),0)</f>
        <v>0</v>
      </c>
      <c r="AQ1414" s="28">
        <f ca="1">SUM('Banco de Dados'!$AM1414:$AP1414)</f>
        <v>0</v>
      </c>
      <c r="AR1414" s="8"/>
      <c r="AY1414" s="8"/>
    </row>
    <row r="1415" spans="1:51">
      <c r="A1415" s="5" t="str">
        <v>MEI</v>
      </c>
      <c r="B1415" s="5" t="str">
        <f ca="1"/>
        <v>MEI45751</v>
      </c>
      <c r="C1415" s="8" t="str">
        <v>Pedido 1402</v>
      </c>
      <c r="D1415" s="187">
        <v>45749</v>
      </c>
      <c r="E1415" s="9">
        <v>45751</v>
      </c>
      <c r="F1415" s="8" t="str">
        <v>PedidoF1343</v>
      </c>
      <c r="G1415" s="2" t="str">
        <v>CódRastreio1341</v>
      </c>
      <c r="H1415" s="5">
        <v>1</v>
      </c>
      <c r="I1415" s="2" t="str">
        <v>CPF 1364</v>
      </c>
      <c r="J1415" s="2" t="str">
        <v>Nome 1364</v>
      </c>
      <c r="K1415" s="8" t="str">
        <v>Tel 1364</v>
      </c>
      <c r="L1415" s="8" t="str">
        <v>Cep 1364</v>
      </c>
      <c r="M1415" s="8" t="str">
        <v>Rua 1364</v>
      </c>
      <c r="N1415" s="8" t="str">
        <v>Comp 1364</v>
      </c>
      <c r="O1415" s="8" t="str">
        <v>Ventilador Umidificador Preto</v>
      </c>
      <c r="P1415" s="8" t="str">
        <v>71-KHMZ-MLQW</v>
      </c>
      <c r="Q1415" s="4">
        <v>45786</v>
      </c>
      <c r="R1415" s="109">
        <v>53</v>
      </c>
      <c r="S1415" s="11">
        <f ca="1"/>
        <v>53</v>
      </c>
      <c r="T1415" s="28">
        <f ca="1"/>
        <v>5.83</v>
      </c>
      <c r="U1415" s="11">
        <f ca="1"/>
        <v>47.17</v>
      </c>
      <c r="V1415" s="11">
        <v>29.2</v>
      </c>
      <c r="W1415" s="11">
        <f ca="1"/>
        <v>0.24</v>
      </c>
      <c r="X1415" s="11">
        <f ca="1"/>
        <v>0.39877104377104378</v>
      </c>
      <c r="Y1415" s="11">
        <v>0</v>
      </c>
      <c r="Z1415" s="11">
        <f ca="1"/>
        <v>17.331228956228959</v>
      </c>
      <c r="AA1415" s="11">
        <f ca="1"/>
        <v>8.6656144781144793</v>
      </c>
      <c r="AB1415" s="4">
        <f ca="1"/>
        <v>45793</v>
      </c>
      <c r="AC1415" s="4">
        <v>45793</v>
      </c>
      <c r="AD1415" s="9">
        <v>45793</v>
      </c>
      <c r="AE1415" s="9">
        <v>45797</v>
      </c>
      <c r="AF1415" s="4" t="str">
        <f t="shared" ca="1" si="92"/>
        <v>2025 05</v>
      </c>
      <c r="AG1415" s="8" t="str" cm="1">
        <f t="array" ref="AG1415">IFERROR(_xlfn.IFS('Banco de Dados'!#REF!="AG. COMPRA","Em processamento",'Banco de Dados'!#REF!="AG. RASTREIO","Em processamento",'Banco de Dados'!$AE1415&lt;&gt;"-","Faturado",'Banco de Dados'!$AD1415&lt;&gt;"-","Aguardando Pix",'Banco de Dados'!$AC1415&lt;&gt;"-","Pendente"),"Aguardando Liberação")</f>
        <v>Aguardando Liberação</v>
      </c>
      <c r="AH1415" s="5" t="str">
        <f>IF('Banco de Dados'!$F1415="-",_xlfn.CONCAT(PROPER(TEXT(AK1415,"aaaa"))," ",PROPER(TEXT(AK1415,"mm"))),_xlfn.CONCAT(PROPER(TEXT(E1415,"aaaa"))," ",PROPER(TEXT(E1415,"mm"))))</f>
        <v>2025 04</v>
      </c>
      <c r="AI1415" s="9" t="str">
        <f ca="1">IF('Banco de Dados'!$AK1415&lt;&gt;"-","REEMBOLSO",IFERROR(_xlfn.XLOOKUP(G1415,Follow[CODRASTREIO],Follow[STATUS]),"-"))</f>
        <v>ENTREGUE</v>
      </c>
      <c r="AJ1415" s="9">
        <f ca="1">IF('Banco de Dados'!$AI1415="ENTREGUE",_xlfn.XLOOKUP('Banco de Dados'!$G1415,Follow[CODRASTREIO],Follow[DATAATUALIZAÇÃO]),"-")</f>
        <v>45775</v>
      </c>
      <c r="AK1415" s="132" t="str">
        <f ca="1"/>
        <v>-</v>
      </c>
      <c r="AL1415" s="35"/>
      <c r="AM1415" s="109" cm="1">
        <f t="array" aca="1" ref="AM1415" ca="1">IF('Banco de Dados'!$AK1415&lt;&gt;"-",_xlfn.IFS('Banco de Dados'!$A1415="bv",IF('Banco de Dados'!$E1415&lt;45641,ROUND(SUM('Banco de Dados'!$R1415*_xlfn.XLOOKUP('Banco de Dados'!$P1415,Sku!B:B,Sku!#REF!)*20%),2),ROUND(SUM('Banco de Dados'!$R1415*_xlfn.XLOOKUP('Banco de Dados'!$P1415,Sku!B:B,Sku!H:H)*20%),2)),'Banco de Dados'!$A1415="GO",ROUND(SUM('Banco de Dados'!$R1415*_xlfn.XLOOKUP('Banco de Dados'!$P1415,Sku!C:C,Sku!H:H)*20%),2),'Banco de Dados'!$A1415="MEI",ROUND(SUM('Banco de Dados'!$R1415*_xlfn.XLOOKUP('Banco de Dados'!$P1415,Sku!D:D,Sku!H:H)*20%),2)),0)</f>
        <v>0</v>
      </c>
      <c r="AN1415" s="109">
        <f ca="1">IF('Banco de Dados'!$AK1415&lt;&gt;"-",IF('Banco de Dados'!$F1415&lt;&gt;"-",_xlfn.XLOOKUP(IFERROR(IFERROR(IFERROR(VALUE(SUBSTITUTE(MID(_xlfn.TEXTAFTER('Banco de Dados'!$F1415,"Data do Pedido:
",1),1,10),"-","/")),VALUE(SUBSTITUTE(MID(_xlfn.TEXTAFTER('Banco de Dados'!$F1415,"Order date:
",1),1,10),"-","/"))),VALUE(SUBSTITUTE(MID(_xlfn.TEXTAFTER('Banco de Dados'!$F1415,"Fecha de pedido:
",1),1,10),"-","/"))),"-"),SMS!A:A,SMS!K:K),0),0)</f>
        <v>0</v>
      </c>
      <c r="AO1415" s="109">
        <f ca="1">IF('Banco de Dados'!$AK1415&lt;&gt;"-",IF('Banco de Dados'!$F1415&lt;&gt;"-",IFERROR(_xlfn.XLOOKUP(_xlfn.CONCAT('Banco de Dados'!$A1415,IFERROR(IFERROR(VALUE(SUBSTITUTE(MID(_xlfn.TEXTAFTER('Banco de Dados'!$F1415,"Data do Pedido:
",1),1,10),"-","/")),VALUE(SUBSTITUTE(MID(_xlfn.TEXTAFTER('Banco de Dados'!$F1415,"Order date:
",1),1,10),"-","/"))),0)),ProxyDD[Chave],ProxyDD[Valor por pedido]),PROXY!$P$2),0),0)</f>
        <v>0</v>
      </c>
      <c r="AP1415" s="28">
        <f ca="1">IF('Banco de Dados'!$AK1415&lt;&gt;"-",IF('Banco de Dados'!$AL1415="NÃO",IFERROR(VALUE(SUBSTITUTE(_xlfn.TEXTAFTER('Banco de Dados'!$F1415,"BRL ",1),".",",")),0),0),0)</f>
        <v>0</v>
      </c>
      <c r="AQ1415" s="28">
        <f ca="1">SUM('Banco de Dados'!$AM1415:$AP1415)</f>
        <v>0</v>
      </c>
      <c r="AR1415" s="8"/>
      <c r="AY1415" s="8"/>
    </row>
    <row r="1416" spans="1:51">
      <c r="A1416" s="5" t="str">
        <v>MEI</v>
      </c>
      <c r="B1416" s="5" t="str">
        <f ca="1"/>
        <v>MEI45751</v>
      </c>
      <c r="C1416" s="8" t="str">
        <v>Pedido 1403</v>
      </c>
      <c r="D1416" s="187">
        <v>45749</v>
      </c>
      <c r="E1416" s="9">
        <v>45751</v>
      </c>
      <c r="F1416" s="8" t="str">
        <v>PedidoF1344</v>
      </c>
      <c r="G1416" s="2" t="str">
        <v>CódRastreio1342</v>
      </c>
      <c r="H1416" s="5">
        <v>1</v>
      </c>
      <c r="I1416" s="2" t="str">
        <v>CPF 1365</v>
      </c>
      <c r="J1416" s="2" t="str">
        <v>Nome 1365</v>
      </c>
      <c r="K1416" s="8" t="str">
        <v>Tel 1365</v>
      </c>
      <c r="L1416" s="8" t="str">
        <v>Cep 1365</v>
      </c>
      <c r="M1416" s="8" t="str">
        <v>Rua 1365</v>
      </c>
      <c r="N1416" s="8" t="str">
        <v>Comp 1365</v>
      </c>
      <c r="O1416" s="8" t="str">
        <v>Ventilador Umidificador Preto</v>
      </c>
      <c r="P1416" s="8" t="str">
        <v>71-KHMZ-MLQW</v>
      </c>
      <c r="Q1416" s="4">
        <v>45778</v>
      </c>
      <c r="R1416" s="109">
        <v>53</v>
      </c>
      <c r="S1416" s="11">
        <f ca="1"/>
        <v>53</v>
      </c>
      <c r="T1416" s="28">
        <f ca="1"/>
        <v>5.83</v>
      </c>
      <c r="U1416" s="11">
        <f ca="1"/>
        <v>47.17</v>
      </c>
      <c r="V1416" s="11">
        <v>30.31</v>
      </c>
      <c r="W1416" s="11">
        <f ca="1"/>
        <v>0.24</v>
      </c>
      <c r="X1416" s="11">
        <f ca="1"/>
        <v>0.39877104377104378</v>
      </c>
      <c r="Y1416" s="11">
        <v>0</v>
      </c>
      <c r="Z1416" s="11">
        <f ca="1"/>
        <v>16.221228956228959</v>
      </c>
      <c r="AA1416" s="11">
        <f ca="1"/>
        <v>8.1106144781144796</v>
      </c>
      <c r="AB1416" s="4">
        <f ca="1"/>
        <v>45785</v>
      </c>
      <c r="AC1416" s="4">
        <v>45785</v>
      </c>
      <c r="AD1416" s="9">
        <v>45793</v>
      </c>
      <c r="AE1416" s="9">
        <v>45797</v>
      </c>
      <c r="AF1416" s="4" t="str">
        <f t="shared" ca="1" si="92"/>
        <v>2025 05</v>
      </c>
      <c r="AG1416" s="8" t="str" cm="1">
        <f t="array" ref="AG1416">IFERROR(_xlfn.IFS('Banco de Dados'!#REF!="AG. COMPRA","Em processamento",'Banco de Dados'!#REF!="AG. RASTREIO","Em processamento",'Banco de Dados'!$AE1416&lt;&gt;"-","Faturado",'Banco de Dados'!$AD1416&lt;&gt;"-","Aguardando Pix",'Banco de Dados'!$AC1416&lt;&gt;"-","Pendente"),"Aguardando Liberação")</f>
        <v>Aguardando Liberação</v>
      </c>
      <c r="AH1416" s="5" t="str">
        <f>IF('Banco de Dados'!$F1416="-",_xlfn.CONCAT(PROPER(TEXT(AK1416,"aaaa"))," ",PROPER(TEXT(AK1416,"mm"))),_xlfn.CONCAT(PROPER(TEXT(E1416,"aaaa"))," ",PROPER(TEXT(E1416,"mm"))))</f>
        <v>2025 04</v>
      </c>
      <c r="AI1416" s="9" t="str">
        <f ca="1">IF('Banco de Dados'!$AK1416&lt;&gt;"-","REEMBOLSO",IFERROR(_xlfn.XLOOKUP(G1416,Follow[CODRASTREIO],Follow[STATUS]),"-"))</f>
        <v>ENTREGUE</v>
      </c>
      <c r="AJ1416" s="9">
        <f ca="1">IF('Banco de Dados'!$AI1416="ENTREGUE",_xlfn.XLOOKUP('Banco de Dados'!$G1416,Follow[CODRASTREIO],Follow[DATAATUALIZAÇÃO]),"-")</f>
        <v>45764</v>
      </c>
      <c r="AK1416" s="132" t="str">
        <f ca="1"/>
        <v>-</v>
      </c>
      <c r="AL1416" s="35"/>
      <c r="AM1416" s="109" cm="1">
        <f t="array" aca="1" ref="AM1416" ca="1">IF('Banco de Dados'!$AK1416&lt;&gt;"-",_xlfn.IFS('Banco de Dados'!$A1416="bv",IF('Banco de Dados'!$E1416&lt;45641,ROUND(SUM('Banco de Dados'!$R1416*_xlfn.XLOOKUP('Banco de Dados'!$P1416,Sku!B:B,Sku!#REF!)*20%),2),ROUND(SUM('Banco de Dados'!$R1416*_xlfn.XLOOKUP('Banco de Dados'!$P1416,Sku!B:B,Sku!H:H)*20%),2)),'Banco de Dados'!$A1416="GO",ROUND(SUM('Banco de Dados'!$R1416*_xlfn.XLOOKUP('Banco de Dados'!$P1416,Sku!C:C,Sku!H:H)*20%),2),'Banco de Dados'!$A1416="MEI",ROUND(SUM('Banco de Dados'!$R1416*_xlfn.XLOOKUP('Banco de Dados'!$P1416,Sku!D:D,Sku!H:H)*20%),2)),0)</f>
        <v>0</v>
      </c>
      <c r="AN1416" s="109">
        <f ca="1">IF('Banco de Dados'!$AK1416&lt;&gt;"-",IF('Banco de Dados'!$F1416&lt;&gt;"-",_xlfn.XLOOKUP(IFERROR(IFERROR(IFERROR(VALUE(SUBSTITUTE(MID(_xlfn.TEXTAFTER('Banco de Dados'!$F1416,"Data do Pedido:
",1),1,10),"-","/")),VALUE(SUBSTITUTE(MID(_xlfn.TEXTAFTER('Banco de Dados'!$F1416,"Order date:
",1),1,10),"-","/"))),VALUE(SUBSTITUTE(MID(_xlfn.TEXTAFTER('Banco de Dados'!$F1416,"Fecha de pedido:
",1),1,10),"-","/"))),"-"),SMS!A:A,SMS!K:K),0),0)</f>
        <v>0</v>
      </c>
      <c r="AO1416" s="109">
        <f ca="1">IF('Banco de Dados'!$AK1416&lt;&gt;"-",IF('Banco de Dados'!$F1416&lt;&gt;"-",IFERROR(_xlfn.XLOOKUP(_xlfn.CONCAT('Banco de Dados'!$A1416,IFERROR(IFERROR(VALUE(SUBSTITUTE(MID(_xlfn.TEXTAFTER('Banco de Dados'!$F1416,"Data do Pedido:
",1),1,10),"-","/")),VALUE(SUBSTITUTE(MID(_xlfn.TEXTAFTER('Banco de Dados'!$F1416,"Order date:
",1),1,10),"-","/"))),0)),ProxyDD[Chave],ProxyDD[Valor por pedido]),PROXY!$P$2),0),0)</f>
        <v>0</v>
      </c>
      <c r="AP1416" s="28">
        <f ca="1">IF('Banco de Dados'!$AK1416&lt;&gt;"-",IF('Banco de Dados'!$AL1416="NÃO",IFERROR(VALUE(SUBSTITUTE(_xlfn.TEXTAFTER('Banco de Dados'!$F1416,"BRL ",1),".",",")),0),0),0)</f>
        <v>0</v>
      </c>
      <c r="AQ1416" s="28">
        <f ca="1">SUM('Banco de Dados'!$AM1416:$AP1416)</f>
        <v>0</v>
      </c>
      <c r="AR1416" s="8"/>
      <c r="AY1416" s="8"/>
    </row>
    <row r="1417" spans="1:51">
      <c r="A1417" s="5" t="str">
        <v>MEI</v>
      </c>
      <c r="B1417" s="5" t="str">
        <f ca="1"/>
        <v>MEI45754</v>
      </c>
      <c r="C1417" s="8" t="str">
        <v>Pedido 1404</v>
      </c>
      <c r="D1417" s="187">
        <v>45749</v>
      </c>
      <c r="E1417" s="9">
        <v>45754</v>
      </c>
      <c r="F1417" s="8" t="str">
        <v>PedidoF1345</v>
      </c>
      <c r="G1417" s="2" t="str">
        <v>CódRastreio1343</v>
      </c>
      <c r="H1417" s="5">
        <v>1</v>
      </c>
      <c r="I1417" s="2" t="str">
        <v>CPF 1366</v>
      </c>
      <c r="J1417" s="2" t="str">
        <v>Nome 1366</v>
      </c>
      <c r="K1417" s="8" t="str">
        <v>Tel 1366</v>
      </c>
      <c r="L1417" s="8" t="str">
        <v>Cep 1366</v>
      </c>
      <c r="M1417" s="8" t="str">
        <v>Rua 1366</v>
      </c>
      <c r="N1417" s="8" t="str">
        <v>Comp 1366</v>
      </c>
      <c r="O1417" s="8" t="str">
        <v>Maçarico Culinário Portátil</v>
      </c>
      <c r="P1417" s="8" t="str">
        <v>BG-DHRO-FAEE</v>
      </c>
      <c r="Q1417" s="4">
        <v>45772</v>
      </c>
      <c r="R1417" s="109">
        <v>26.99</v>
      </c>
      <c r="S1417" s="11">
        <f ca="1"/>
        <v>26.99</v>
      </c>
      <c r="T1417" s="28">
        <f ca="1"/>
        <v>2.9688999999999997</v>
      </c>
      <c r="U1417" s="11">
        <f ca="1"/>
        <v>24.02</v>
      </c>
      <c r="V1417" s="11">
        <v>11.1</v>
      </c>
      <c r="W1417" s="11">
        <f ca="1"/>
        <v>0.24</v>
      </c>
      <c r="X1417" s="11">
        <f ca="1"/>
        <v>0.39877104377104378</v>
      </c>
      <c r="Y1417" s="11">
        <v>0</v>
      </c>
      <c r="Z1417" s="11">
        <f ca="1"/>
        <v>12.281228956228956</v>
      </c>
      <c r="AA1417" s="11">
        <f ca="1"/>
        <v>6.140614478114478</v>
      </c>
      <c r="AB1417" s="4">
        <f ca="1"/>
        <v>45779</v>
      </c>
      <c r="AC1417" s="4">
        <v>45779</v>
      </c>
      <c r="AD1417" s="9">
        <v>45779</v>
      </c>
      <c r="AE1417" s="9">
        <v>45783</v>
      </c>
      <c r="AF1417" s="4" t="str">
        <f t="shared" ca="1" si="92"/>
        <v>2025 05</v>
      </c>
      <c r="AG1417" s="8" t="str" cm="1">
        <f t="array" ref="AG1417">IFERROR(_xlfn.IFS('Banco de Dados'!#REF!="AG. COMPRA","Em processamento",'Banco de Dados'!#REF!="AG. RASTREIO","Em processamento",'Banco de Dados'!$AE1417&lt;&gt;"-","Faturado",'Banco de Dados'!$AD1417&lt;&gt;"-","Aguardando Pix",'Banco de Dados'!$AC1417&lt;&gt;"-","Pendente"),"Aguardando Liberação")</f>
        <v>Aguardando Liberação</v>
      </c>
      <c r="AH1417" s="5" t="str">
        <f>IF('Banco de Dados'!$F1417="-",_xlfn.CONCAT(PROPER(TEXT(AK1417,"aaaa"))," ",PROPER(TEXT(AK1417,"mm"))),_xlfn.CONCAT(PROPER(TEXT(E1417,"aaaa"))," ",PROPER(TEXT(E1417,"mm"))))</f>
        <v>2025 04</v>
      </c>
      <c r="AI1417" s="9" t="str">
        <f ca="1">IF('Banco de Dados'!$AK1417&lt;&gt;"-","REEMBOLSO",IFERROR(_xlfn.XLOOKUP(G1417,Follow[CODRASTREIO],Follow[STATUS]),"-"))</f>
        <v>ENTREGUE</v>
      </c>
      <c r="AJ1417" s="9">
        <f ca="1">IF('Banco de Dados'!$AI1417="ENTREGUE",_xlfn.XLOOKUP('Banco de Dados'!$G1417,Follow[CODRASTREIO],Follow[DATAATUALIZAÇÃO]),"-")</f>
        <v>45769</v>
      </c>
      <c r="AK1417" s="132" t="str">
        <f ca="1"/>
        <v>-</v>
      </c>
      <c r="AL1417" s="35"/>
      <c r="AM1417" s="109" cm="1">
        <f t="array" aca="1" ref="AM1417" ca="1">IF('Banco de Dados'!$AK1417&lt;&gt;"-",_xlfn.IFS('Banco de Dados'!$A1417="bv",IF('Banco de Dados'!$E1417&lt;45641,ROUND(SUM('Banco de Dados'!$R1417*_xlfn.XLOOKUP('Banco de Dados'!$P1417,Sku!B:B,Sku!#REF!)*20%),2),ROUND(SUM('Banco de Dados'!$R1417*_xlfn.XLOOKUP('Banco de Dados'!$P1417,Sku!B:B,Sku!H:H)*20%),2)),'Banco de Dados'!$A1417="GO",ROUND(SUM('Banco de Dados'!$R1417*_xlfn.XLOOKUP('Banco de Dados'!$P1417,Sku!C:C,Sku!H:H)*20%),2),'Banco de Dados'!$A1417="MEI",ROUND(SUM('Banco de Dados'!$R1417*_xlfn.XLOOKUP('Banco de Dados'!$P1417,Sku!D:D,Sku!H:H)*20%),2)),0)</f>
        <v>0</v>
      </c>
      <c r="AN1417" s="109">
        <f ca="1">IF('Banco de Dados'!$AK1417&lt;&gt;"-",IF('Banco de Dados'!$F1417&lt;&gt;"-",_xlfn.XLOOKUP(IFERROR(IFERROR(IFERROR(VALUE(SUBSTITUTE(MID(_xlfn.TEXTAFTER('Banco de Dados'!$F1417,"Data do Pedido:
",1),1,10),"-","/")),VALUE(SUBSTITUTE(MID(_xlfn.TEXTAFTER('Banco de Dados'!$F1417,"Order date:
",1),1,10),"-","/"))),VALUE(SUBSTITUTE(MID(_xlfn.TEXTAFTER('Banco de Dados'!$F1417,"Fecha de pedido:
",1),1,10),"-","/"))),"-"),SMS!A:A,SMS!K:K),0),0)</f>
        <v>0</v>
      </c>
      <c r="AO1417" s="109">
        <f ca="1">IF('Banco de Dados'!$AK1417&lt;&gt;"-",IF('Banco de Dados'!$F1417&lt;&gt;"-",IFERROR(_xlfn.XLOOKUP(_xlfn.CONCAT('Banco de Dados'!$A1417,IFERROR(IFERROR(VALUE(SUBSTITUTE(MID(_xlfn.TEXTAFTER('Banco de Dados'!$F1417,"Data do Pedido:
",1),1,10),"-","/")),VALUE(SUBSTITUTE(MID(_xlfn.TEXTAFTER('Banco de Dados'!$F1417,"Order date:
",1),1,10),"-","/"))),0)),ProxyDD[Chave],ProxyDD[Valor por pedido]),PROXY!$P$2),0),0)</f>
        <v>0</v>
      </c>
      <c r="AP1417" s="28">
        <f ca="1">IF('Banco de Dados'!$AK1417&lt;&gt;"-",IF('Banco de Dados'!$AL1417="NÃO",IFERROR(VALUE(SUBSTITUTE(_xlfn.TEXTAFTER('Banco de Dados'!$F1417,"BRL ",1),".",",")),0),0),0)</f>
        <v>0</v>
      </c>
      <c r="AQ1417" s="28">
        <f ca="1">SUM('Banco de Dados'!$AM1417:$AP1417)</f>
        <v>0</v>
      </c>
      <c r="AR1417" s="8"/>
      <c r="AY1417" s="8"/>
    </row>
    <row r="1418" spans="1:51">
      <c r="A1418" s="5" t="str">
        <v>MEI</v>
      </c>
      <c r="B1418" s="5" t="str">
        <f ca="1"/>
        <v>MEI45754</v>
      </c>
      <c r="C1418" s="8" t="str">
        <v>Pedido 1405</v>
      </c>
      <c r="D1418" s="187">
        <v>45749</v>
      </c>
      <c r="E1418" s="9">
        <v>45754</v>
      </c>
      <c r="F1418" s="8" t="str">
        <v>PedidoF1346</v>
      </c>
      <c r="G1418" s="2" t="str">
        <v>CódRastreio1344</v>
      </c>
      <c r="H1418" s="5">
        <v>1</v>
      </c>
      <c r="I1418" s="2" t="str">
        <v>CPF 1367</v>
      </c>
      <c r="J1418" s="2" t="str">
        <v>Nome 1367</v>
      </c>
      <c r="K1418" s="8" t="str">
        <v>Tel 1367</v>
      </c>
      <c r="L1418" s="8" t="str">
        <v>Cep 1367</v>
      </c>
      <c r="M1418" s="8" t="str">
        <v>Rua 1367</v>
      </c>
      <c r="N1418" s="8" t="str">
        <v>Comp 1367</v>
      </c>
      <c r="O1418" s="8" t="str">
        <v>Ventilador Preto</v>
      </c>
      <c r="P1418" s="8" t="str">
        <v>WU-SS4J-LFOH</v>
      </c>
      <c r="Q1418" s="4">
        <v>45772</v>
      </c>
      <c r="R1418" s="109">
        <v>65.75</v>
      </c>
      <c r="S1418" s="11">
        <f ca="1"/>
        <v>65.75</v>
      </c>
      <c r="T1418" s="28">
        <f ca="1"/>
        <v>7.89</v>
      </c>
      <c r="U1418" s="11">
        <f ca="1"/>
        <v>57.86</v>
      </c>
      <c r="V1418" s="11">
        <v>15.51</v>
      </c>
      <c r="W1418" s="11">
        <f ca="1"/>
        <v>0.24</v>
      </c>
      <c r="X1418" s="11">
        <f ca="1"/>
        <v>0.39877104377104378</v>
      </c>
      <c r="Y1418" s="11">
        <v>0</v>
      </c>
      <c r="Z1418" s="11">
        <f ca="1"/>
        <v>41.71122895622895</v>
      </c>
      <c r="AA1418" s="11">
        <f ca="1"/>
        <v>20.855614478114475</v>
      </c>
      <c r="AB1418" s="4">
        <f ca="1"/>
        <v>45779</v>
      </c>
      <c r="AC1418" s="4">
        <v>45779</v>
      </c>
      <c r="AD1418" s="9">
        <v>45779</v>
      </c>
      <c r="AE1418" s="9">
        <v>45783</v>
      </c>
      <c r="AF1418" s="4" t="str">
        <f t="shared" ca="1" si="92"/>
        <v>2025 05</v>
      </c>
      <c r="AG1418" s="8" t="str" cm="1">
        <f t="array" ref="AG1418">IFERROR(_xlfn.IFS('Banco de Dados'!#REF!="AG. COMPRA","Em processamento",'Banco de Dados'!#REF!="AG. RASTREIO","Em processamento",'Banco de Dados'!$AE1418&lt;&gt;"-","Faturado",'Banco de Dados'!$AD1418&lt;&gt;"-","Aguardando Pix",'Banco de Dados'!$AC1418&lt;&gt;"-","Pendente"),"Aguardando Liberação")</f>
        <v>Aguardando Liberação</v>
      </c>
      <c r="AH1418" s="5" t="str">
        <f>IF('Banco de Dados'!$F1418="-",_xlfn.CONCAT(PROPER(TEXT(AK1418,"aaaa"))," ",PROPER(TEXT(AK1418,"mm"))),_xlfn.CONCAT(PROPER(TEXT(E1418,"aaaa"))," ",PROPER(TEXT(E1418,"mm"))))</f>
        <v>2025 04</v>
      </c>
      <c r="AI1418" s="9" t="str">
        <f ca="1">IF('Banco de Dados'!$AK1418&lt;&gt;"-","REEMBOLSO",IFERROR(_xlfn.XLOOKUP(G1418,Follow[CODRASTREIO],Follow[STATUS]),"-"))</f>
        <v>ENTREGUE</v>
      </c>
      <c r="AJ1418" s="9">
        <f ca="1">IF('Banco de Dados'!$AI1418="ENTREGUE",_xlfn.XLOOKUP('Banco de Dados'!$G1418,Follow[CODRASTREIO],Follow[DATAATUALIZAÇÃO]),"-")</f>
        <v>45766</v>
      </c>
      <c r="AK1418" s="132" t="str">
        <f ca="1"/>
        <v>-</v>
      </c>
      <c r="AL1418" s="35"/>
      <c r="AM1418" s="109" cm="1">
        <f t="array" aca="1" ref="AM1418" ca="1">IF('Banco de Dados'!$AK1418&lt;&gt;"-",_xlfn.IFS('Banco de Dados'!$A1418="bv",IF('Banco de Dados'!$E1418&lt;45641,ROUND(SUM('Banco de Dados'!$R1418*_xlfn.XLOOKUP('Banco de Dados'!$P1418,Sku!B:B,Sku!#REF!)*20%),2),ROUND(SUM('Banco de Dados'!$R1418*_xlfn.XLOOKUP('Banco de Dados'!$P1418,Sku!B:B,Sku!H:H)*20%),2)),'Banco de Dados'!$A1418="GO",ROUND(SUM('Banco de Dados'!$R1418*_xlfn.XLOOKUP('Banco de Dados'!$P1418,Sku!C:C,Sku!H:H)*20%),2),'Banco de Dados'!$A1418="MEI",ROUND(SUM('Banco de Dados'!$R1418*_xlfn.XLOOKUP('Banco de Dados'!$P1418,Sku!D:D,Sku!H:H)*20%),2)),0)</f>
        <v>0</v>
      </c>
      <c r="AN1418" s="109">
        <f ca="1">IF('Banco de Dados'!$AK1418&lt;&gt;"-",IF('Banco de Dados'!$F1418&lt;&gt;"-",_xlfn.XLOOKUP(IFERROR(IFERROR(IFERROR(VALUE(SUBSTITUTE(MID(_xlfn.TEXTAFTER('Banco de Dados'!$F1418,"Data do Pedido:
",1),1,10),"-","/")),VALUE(SUBSTITUTE(MID(_xlfn.TEXTAFTER('Banco de Dados'!$F1418,"Order date:
",1),1,10),"-","/"))),VALUE(SUBSTITUTE(MID(_xlfn.TEXTAFTER('Banco de Dados'!$F1418,"Fecha de pedido:
",1),1,10),"-","/"))),"-"),SMS!A:A,SMS!K:K),0),0)</f>
        <v>0</v>
      </c>
      <c r="AO1418" s="109">
        <f ca="1">IF('Banco de Dados'!$AK1418&lt;&gt;"-",IF('Banco de Dados'!$F1418&lt;&gt;"-",IFERROR(_xlfn.XLOOKUP(_xlfn.CONCAT('Banco de Dados'!$A1418,IFERROR(IFERROR(VALUE(SUBSTITUTE(MID(_xlfn.TEXTAFTER('Banco de Dados'!$F1418,"Data do Pedido:
",1),1,10),"-","/")),VALUE(SUBSTITUTE(MID(_xlfn.TEXTAFTER('Banco de Dados'!$F1418,"Order date:
",1),1,10),"-","/"))),0)),ProxyDD[Chave],ProxyDD[Valor por pedido]),PROXY!$P$2),0),0)</f>
        <v>0</v>
      </c>
      <c r="AP1418" s="28">
        <f ca="1">IF('Banco de Dados'!$AK1418&lt;&gt;"-",IF('Banco de Dados'!$AL1418="NÃO",IFERROR(VALUE(SUBSTITUTE(_xlfn.TEXTAFTER('Banco de Dados'!$F1418,"BRL ",1),".",",")),0),0),0)</f>
        <v>0</v>
      </c>
      <c r="AQ1418" s="28">
        <f ca="1">SUM('Banco de Dados'!$AM1418:$AP1418)</f>
        <v>0</v>
      </c>
      <c r="AR1418" s="8"/>
      <c r="AY1418" s="8"/>
    </row>
    <row r="1419" spans="1:51">
      <c r="A1419" s="5" t="str">
        <v>GO</v>
      </c>
      <c r="B1419" s="5" t="str">
        <f ca="1"/>
        <v>GO45749</v>
      </c>
      <c r="C1419" s="8" t="str">
        <v>Pedido 1406</v>
      </c>
      <c r="D1419" s="187">
        <v>45747</v>
      </c>
      <c r="E1419" s="9">
        <v>45749</v>
      </c>
      <c r="F1419" s="8" t="str">
        <v>PedidoF1347</v>
      </c>
      <c r="G1419" s="2" t="str">
        <v>CódRastreio1345</v>
      </c>
      <c r="H1419" s="5">
        <v>1</v>
      </c>
      <c r="I1419" s="2" t="str">
        <v>CPF 1368</v>
      </c>
      <c r="J1419" s="2" t="str">
        <v>Nome 1368</v>
      </c>
      <c r="K1419" s="8" t="str">
        <v>Tel 1368</v>
      </c>
      <c r="L1419" s="8" t="str">
        <v>Cep 1368</v>
      </c>
      <c r="M1419" s="8" t="str">
        <v>Rua 1368</v>
      </c>
      <c r="N1419" s="8" t="str">
        <v>Comp 1368</v>
      </c>
      <c r="O1419" s="8" t="str">
        <v>Cortador de Legumes</v>
      </c>
      <c r="P1419" s="8" t="str">
        <v>33-SVS5-1AWY</v>
      </c>
      <c r="Q1419" s="4">
        <v>45777</v>
      </c>
      <c r="R1419" s="109">
        <v>67.599999999999994</v>
      </c>
      <c r="S1419" s="11">
        <f ca="1"/>
        <v>67.599999999999994</v>
      </c>
      <c r="T1419" s="28">
        <f ca="1"/>
        <v>8.1119999999999983</v>
      </c>
      <c r="U1419" s="11">
        <f ca="1"/>
        <v>59.49</v>
      </c>
      <c r="V1419" s="11">
        <v>34.659999999999997</v>
      </c>
      <c r="W1419" s="11">
        <f ca="1"/>
        <v>0.2</v>
      </c>
      <c r="X1419" s="11">
        <f ca="1"/>
        <v>0.39877104377104378</v>
      </c>
      <c r="Y1419" s="11">
        <v>0</v>
      </c>
      <c r="Z1419" s="11">
        <f ca="1"/>
        <v>24.231228956228961</v>
      </c>
      <c r="AA1419" s="11">
        <f ca="1"/>
        <v>24.231228956228961</v>
      </c>
      <c r="AB1419" s="4">
        <f ca="1"/>
        <v>45784</v>
      </c>
      <c r="AC1419" s="4">
        <v>45784</v>
      </c>
      <c r="AD1419" s="9">
        <v>45793</v>
      </c>
      <c r="AE1419" s="9">
        <v>45797</v>
      </c>
      <c r="AF1419" s="4" t="str">
        <f t="shared" ca="1" si="92"/>
        <v>2025 05</v>
      </c>
      <c r="AG1419" s="8" t="str" cm="1">
        <f t="array" ref="AG1419">IFERROR(_xlfn.IFS('Banco de Dados'!#REF!="AG. COMPRA","Em processamento",'Banco de Dados'!#REF!="AG. RASTREIO","Em processamento",'Banco de Dados'!$AE1419&lt;&gt;"-","Faturado",'Banco de Dados'!$AD1419&lt;&gt;"-","Aguardando Pix",'Banco de Dados'!$AC1419&lt;&gt;"-","Pendente"),"Aguardando Liberação")</f>
        <v>Aguardando Liberação</v>
      </c>
      <c r="AH1419" s="5" t="str">
        <f>IF('Banco de Dados'!$F1419="-",_xlfn.CONCAT(PROPER(TEXT(AK1419,"aaaa"))," ",PROPER(TEXT(AK1419,"mm"))),_xlfn.CONCAT(PROPER(TEXT(E1419,"aaaa"))," ",PROPER(TEXT(E1419,"mm"))))</f>
        <v>2025 04</v>
      </c>
      <c r="AI1419" s="9" t="str">
        <f ca="1">IF('Banco de Dados'!$AK1419&lt;&gt;"-","REEMBOLSO",IFERROR(_xlfn.XLOOKUP(G1419,Follow[CODRASTREIO],Follow[STATUS]),"-"))</f>
        <v>ENTREGUE</v>
      </c>
      <c r="AJ1419" s="9">
        <f ca="1">IF('Banco de Dados'!$AI1419="ENTREGUE",_xlfn.XLOOKUP('Banco de Dados'!$G1419,Follow[CODRASTREIO],Follow[DATAATUALIZAÇÃO]),"-")</f>
        <v>45763</v>
      </c>
      <c r="AK1419" s="132" t="str">
        <f ca="1"/>
        <v>-</v>
      </c>
      <c r="AL1419" s="35"/>
      <c r="AM1419" s="109" cm="1">
        <f t="array" aca="1" ref="AM1419" ca="1">IF('Banco de Dados'!$AK1419&lt;&gt;"-",_xlfn.IFS('Banco de Dados'!$A1419="bv",IF('Banco de Dados'!$E1419&lt;45641,ROUND(SUM('Banco de Dados'!$R1419*_xlfn.XLOOKUP('Banco de Dados'!$P1419,Sku!B:B,Sku!#REF!)*20%),2),ROUND(SUM('Banco de Dados'!$R1419*_xlfn.XLOOKUP('Banco de Dados'!$P1419,Sku!B:B,Sku!H:H)*20%),2)),'Banco de Dados'!$A1419="GO",ROUND(SUM('Banco de Dados'!$R1419*_xlfn.XLOOKUP('Banco de Dados'!$P1419,Sku!C:C,Sku!H:H)*20%),2),'Banco de Dados'!$A1419="MEI",ROUND(SUM('Banco de Dados'!$R1419*_xlfn.XLOOKUP('Banco de Dados'!$P1419,Sku!D:D,Sku!H:H)*20%),2)),0)</f>
        <v>0</v>
      </c>
      <c r="AN1419" s="109">
        <f ca="1">IF('Banco de Dados'!$AK1419&lt;&gt;"-",IF('Banco de Dados'!$F1419&lt;&gt;"-",_xlfn.XLOOKUP(IFERROR(IFERROR(IFERROR(VALUE(SUBSTITUTE(MID(_xlfn.TEXTAFTER('Banco de Dados'!$F1419,"Data do Pedido:
",1),1,10),"-","/")),VALUE(SUBSTITUTE(MID(_xlfn.TEXTAFTER('Banco de Dados'!$F1419,"Order date:
",1),1,10),"-","/"))),VALUE(SUBSTITUTE(MID(_xlfn.TEXTAFTER('Banco de Dados'!$F1419,"Fecha de pedido:
",1),1,10),"-","/"))),"-"),SMS!A:A,SMS!K:K),0),0)</f>
        <v>0</v>
      </c>
      <c r="AO1419" s="109">
        <f ca="1">IF('Banco de Dados'!$AK1419&lt;&gt;"-",IF('Banco de Dados'!$F1419&lt;&gt;"-",IFERROR(_xlfn.XLOOKUP(_xlfn.CONCAT('Banco de Dados'!$A1419,IFERROR(IFERROR(VALUE(SUBSTITUTE(MID(_xlfn.TEXTAFTER('Banco de Dados'!$F1419,"Data do Pedido:
",1),1,10),"-","/")),VALUE(SUBSTITUTE(MID(_xlfn.TEXTAFTER('Banco de Dados'!$F1419,"Order date:
",1),1,10),"-","/"))),0)),ProxyDD[Chave],ProxyDD[Valor por pedido]),PROXY!$P$2),0),0)</f>
        <v>0</v>
      </c>
      <c r="AP1419" s="28">
        <f ca="1">IF('Banco de Dados'!$AK1419&lt;&gt;"-",IF('Banco de Dados'!$AL1419="NÃO",IFERROR(VALUE(SUBSTITUTE(_xlfn.TEXTAFTER('Banco de Dados'!$F1419,"BRL ",1),".",",")),0),0),0)</f>
        <v>0</v>
      </c>
      <c r="AQ1419" s="28">
        <f ca="1">SUM('Banco de Dados'!$AM1419:$AP1419)</f>
        <v>0</v>
      </c>
      <c r="AR1419" s="8"/>
      <c r="AY1419" s="8"/>
    </row>
    <row r="1420" spans="1:51">
      <c r="A1420" s="5" t="str">
        <v>GO</v>
      </c>
      <c r="B1420" s="5" t="str">
        <f ca="1"/>
        <v>GO45749</v>
      </c>
      <c r="C1420" s="8" t="str">
        <v>Pedido 1407</v>
      </c>
      <c r="D1420" s="187">
        <v>45748</v>
      </c>
      <c r="E1420" s="9">
        <v>45749</v>
      </c>
      <c r="F1420" s="8" t="str">
        <v>PedidoF1348</v>
      </c>
      <c r="G1420" s="2" t="str">
        <v>CódRastreio1346</v>
      </c>
      <c r="H1420" s="5">
        <v>1</v>
      </c>
      <c r="I1420" s="2" t="str">
        <v>CPF 1369</v>
      </c>
      <c r="J1420" s="2" t="str">
        <v>Nome 1369</v>
      </c>
      <c r="K1420" s="8" t="str">
        <v>Tel 1369</v>
      </c>
      <c r="L1420" s="8" t="str">
        <v>Cep 1369</v>
      </c>
      <c r="M1420" s="8" t="str">
        <v>Rua 1369</v>
      </c>
      <c r="N1420" s="8" t="str">
        <v>Comp 1369</v>
      </c>
      <c r="O1420" s="8" t="str">
        <v>Escova Multifuncional</v>
      </c>
      <c r="P1420" s="8" t="str">
        <v>E7-FW3C-EHOL</v>
      </c>
      <c r="Q1420" s="4">
        <v>45785</v>
      </c>
      <c r="R1420" s="109">
        <v>40.4</v>
      </c>
      <c r="S1420" s="11">
        <f ca="1"/>
        <v>40.4</v>
      </c>
      <c r="T1420" s="28">
        <f ca="1"/>
        <v>4.8479999999999999</v>
      </c>
      <c r="U1420" s="11">
        <f ca="1"/>
        <v>35.549999999999997</v>
      </c>
      <c r="V1420" s="11">
        <v>24.03</v>
      </c>
      <c r="W1420" s="11">
        <f ca="1"/>
        <v>0.2</v>
      </c>
      <c r="X1420" s="11">
        <f ca="1"/>
        <v>0.39877104377104378</v>
      </c>
      <c r="Y1420" s="11">
        <v>0</v>
      </c>
      <c r="Z1420" s="11">
        <f ca="1"/>
        <v>10.921228956228951</v>
      </c>
      <c r="AA1420" s="11">
        <f ca="1"/>
        <v>10.921228956228951</v>
      </c>
      <c r="AB1420" s="4">
        <f ca="1"/>
        <v>45792</v>
      </c>
      <c r="AC1420" s="4">
        <v>45792</v>
      </c>
      <c r="AD1420" s="9">
        <v>45793</v>
      </c>
      <c r="AE1420" s="9">
        <v>45797</v>
      </c>
      <c r="AF1420" s="4" t="str">
        <f t="shared" ca="1" si="92"/>
        <v>2025 05</v>
      </c>
      <c r="AG1420" s="8" t="str" cm="1">
        <f t="array" ref="AG1420">IFERROR(_xlfn.IFS('Banco de Dados'!#REF!="AG. COMPRA","Em processamento",'Banco de Dados'!#REF!="AG. RASTREIO","Em processamento",'Banco de Dados'!$AE1420&lt;&gt;"-","Faturado",'Banco de Dados'!$AD1420&lt;&gt;"-","Aguardando Pix",'Banco de Dados'!$AC1420&lt;&gt;"-","Pendente"),"Aguardando Liberação")</f>
        <v>Aguardando Liberação</v>
      </c>
      <c r="AH1420" s="5" t="str">
        <f>IF('Banco de Dados'!$F1420="-",_xlfn.CONCAT(PROPER(TEXT(AK1420,"aaaa"))," ",PROPER(TEXT(AK1420,"mm"))),_xlfn.CONCAT(PROPER(TEXT(E1420,"aaaa"))," ",PROPER(TEXT(E1420,"mm"))))</f>
        <v>2025 04</v>
      </c>
      <c r="AI1420" s="9" t="str">
        <f ca="1">IF('Banco de Dados'!$AK1420&lt;&gt;"-","REEMBOLSO",IFERROR(_xlfn.XLOOKUP(G1420,Follow[CODRASTREIO],Follow[STATUS]),"-"))</f>
        <v>ENTREGUE</v>
      </c>
      <c r="AJ1420" s="9">
        <f ca="1">IF('Banco de Dados'!$AI1420="ENTREGUE",_xlfn.XLOOKUP('Banco de Dados'!$G1420,Follow[CODRASTREIO],Follow[DATAATUALIZAÇÃO]),"-")</f>
        <v>45764</v>
      </c>
      <c r="AK1420" s="132" t="str">
        <f ca="1"/>
        <v>-</v>
      </c>
      <c r="AL1420" s="35"/>
      <c r="AM1420" s="109" cm="1">
        <f t="array" aca="1" ref="AM1420" ca="1">IF('Banco de Dados'!$AK1420&lt;&gt;"-",_xlfn.IFS('Banco de Dados'!$A1420="bv",IF('Banco de Dados'!$E1420&lt;45641,ROUND(SUM('Banco de Dados'!$R1420*_xlfn.XLOOKUP('Banco de Dados'!$P1420,Sku!B:B,Sku!#REF!)*20%),2),ROUND(SUM('Banco de Dados'!$R1420*_xlfn.XLOOKUP('Banco de Dados'!$P1420,Sku!B:B,Sku!H:H)*20%),2)),'Banco de Dados'!$A1420="GO",ROUND(SUM('Banco de Dados'!$R1420*_xlfn.XLOOKUP('Banco de Dados'!$P1420,Sku!C:C,Sku!H:H)*20%),2),'Banco de Dados'!$A1420="MEI",ROUND(SUM('Banco de Dados'!$R1420*_xlfn.XLOOKUP('Banco de Dados'!$P1420,Sku!D:D,Sku!H:H)*20%),2)),0)</f>
        <v>0</v>
      </c>
      <c r="AN1420" s="109">
        <f ca="1">IF('Banco de Dados'!$AK1420&lt;&gt;"-",IF('Banco de Dados'!$F1420&lt;&gt;"-",_xlfn.XLOOKUP(IFERROR(IFERROR(IFERROR(VALUE(SUBSTITUTE(MID(_xlfn.TEXTAFTER('Banco de Dados'!$F1420,"Data do Pedido:
",1),1,10),"-","/")),VALUE(SUBSTITUTE(MID(_xlfn.TEXTAFTER('Banco de Dados'!$F1420,"Order date:
",1),1,10),"-","/"))),VALUE(SUBSTITUTE(MID(_xlfn.TEXTAFTER('Banco de Dados'!$F1420,"Fecha de pedido:
",1),1,10),"-","/"))),"-"),SMS!A:A,SMS!K:K),0),0)</f>
        <v>0</v>
      </c>
      <c r="AO1420" s="109">
        <f ca="1">IF('Banco de Dados'!$AK1420&lt;&gt;"-",IF('Banco de Dados'!$F1420&lt;&gt;"-",IFERROR(_xlfn.XLOOKUP(_xlfn.CONCAT('Banco de Dados'!$A1420,IFERROR(IFERROR(VALUE(SUBSTITUTE(MID(_xlfn.TEXTAFTER('Banco de Dados'!$F1420,"Data do Pedido:
",1),1,10),"-","/")),VALUE(SUBSTITUTE(MID(_xlfn.TEXTAFTER('Banco de Dados'!$F1420,"Order date:
",1),1,10),"-","/"))),0)),ProxyDD[Chave],ProxyDD[Valor por pedido]),PROXY!$P$2),0),0)</f>
        <v>0</v>
      </c>
      <c r="AP1420" s="28">
        <f ca="1">IF('Banco de Dados'!$AK1420&lt;&gt;"-",IF('Banco de Dados'!$AL1420="NÃO",IFERROR(VALUE(SUBSTITUTE(_xlfn.TEXTAFTER('Banco de Dados'!$F1420,"BRL ",1),".",",")),0),0),0)</f>
        <v>0</v>
      </c>
      <c r="AQ1420" s="28">
        <f ca="1">SUM('Banco de Dados'!$AM1420:$AP1420)</f>
        <v>0</v>
      </c>
      <c r="AR1420" s="8"/>
      <c r="AY1420" s="8"/>
    </row>
    <row r="1421" spans="1:51">
      <c r="A1421" s="5" t="str">
        <v>MEI</v>
      </c>
      <c r="B1421" s="5" t="str">
        <f ca="1"/>
        <v>MEI45751</v>
      </c>
      <c r="C1421" s="8" t="str">
        <v>Pedido 1408</v>
      </c>
      <c r="D1421" s="187">
        <v>45750</v>
      </c>
      <c r="E1421" s="9">
        <v>45751</v>
      </c>
      <c r="F1421" s="8" t="str">
        <v>PedidoF1349</v>
      </c>
      <c r="G1421" s="2" t="str">
        <v>CódRastreio1347</v>
      </c>
      <c r="H1421" s="5">
        <v>1</v>
      </c>
      <c r="I1421" s="2" t="str">
        <v>CPF 1370</v>
      </c>
      <c r="J1421" s="2" t="str">
        <v>Nome 1370</v>
      </c>
      <c r="K1421" s="8" t="str">
        <v>Tel 1370</v>
      </c>
      <c r="L1421" s="8" t="str">
        <v>Cep 1370</v>
      </c>
      <c r="M1421" s="8" t="str">
        <v>Rua 1370</v>
      </c>
      <c r="N1421" s="8" t="str">
        <v>Comp 1370</v>
      </c>
      <c r="O1421" s="8" t="str">
        <v>Copo Termico</v>
      </c>
      <c r="P1421" s="8" t="str">
        <v>VI-4RT5-1FFO</v>
      </c>
      <c r="Q1421" s="4">
        <v>45772</v>
      </c>
      <c r="R1421" s="109">
        <v>22.7</v>
      </c>
      <c r="S1421" s="11">
        <f ca="1"/>
        <v>22.7</v>
      </c>
      <c r="T1421" s="28">
        <f ca="1"/>
        <v>2.7239999999999998</v>
      </c>
      <c r="U1421" s="11">
        <f ca="1"/>
        <v>19.98</v>
      </c>
      <c r="V1421" s="11">
        <v>12.91</v>
      </c>
      <c r="W1421" s="11">
        <f ca="1"/>
        <v>0.24</v>
      </c>
      <c r="X1421" s="11">
        <f ca="1"/>
        <v>0.39877104377104378</v>
      </c>
      <c r="Y1421" s="11">
        <v>0</v>
      </c>
      <c r="Z1421" s="11">
        <f ca="1"/>
        <v>6.4312289562289564</v>
      </c>
      <c r="AA1421" s="11">
        <f ca="1"/>
        <v>3.2156144781144782</v>
      </c>
      <c r="AB1421" s="4">
        <f ca="1"/>
        <v>45779</v>
      </c>
      <c r="AC1421" s="4">
        <v>45779</v>
      </c>
      <c r="AD1421" s="9">
        <v>45779</v>
      </c>
      <c r="AE1421" s="9">
        <v>45783</v>
      </c>
      <c r="AF1421" s="4" t="str">
        <f t="shared" ref="AF1421:AF1427" ca="1" si="93">_xlfn.CONCAT(PROPER(TEXT(AB1421,"aaaa"))," ",PROPER(TEXT(AB1421,"mm")))</f>
        <v>2025 05</v>
      </c>
      <c r="AG1421" s="8" t="str" cm="1">
        <f t="array" ref="AG1421">IFERROR(_xlfn.IFS('Banco de Dados'!#REF!="AG. COMPRA","Em processamento",'Banco de Dados'!#REF!="AG. RASTREIO","Em processamento",'Banco de Dados'!$AE1421&lt;&gt;"-","Faturado",'Banco de Dados'!$AD1421&lt;&gt;"-","Aguardando Pix",'Banco de Dados'!$AC1421&lt;&gt;"-","Pendente"),"Aguardando Liberação")</f>
        <v>Aguardando Liberação</v>
      </c>
      <c r="AH1421" s="5" t="str">
        <f>IF('Banco de Dados'!$F1421="-",_xlfn.CONCAT(PROPER(TEXT(AK1421,"aaaa"))," ",PROPER(TEXT(AK1421,"mm"))),_xlfn.CONCAT(PROPER(TEXT(E1421,"aaaa"))," ",PROPER(TEXT(E1421,"mm"))))</f>
        <v>2025 04</v>
      </c>
      <c r="AI1421" s="9" t="str">
        <f ca="1">IF('Banco de Dados'!$AK1421&lt;&gt;"-","REEMBOLSO",IFERROR(_xlfn.XLOOKUP(G1421,Follow[CODRASTREIO],Follow[STATUS]),"-"))</f>
        <v>ENTREGUE</v>
      </c>
      <c r="AJ1421" s="9">
        <f ca="1">IF('Banco de Dados'!$AI1421="ENTREGUE",_xlfn.XLOOKUP('Banco de Dados'!$G1421,Follow[CODRASTREIO],Follow[DATAATUALIZAÇÃO]),"-")</f>
        <v>45757</v>
      </c>
      <c r="AK1421" s="132" t="str">
        <f ca="1"/>
        <v>-</v>
      </c>
      <c r="AL1421" s="35"/>
      <c r="AM1421" s="109" cm="1">
        <f t="array" aca="1" ref="AM1421" ca="1">IF('Banco de Dados'!$AK1421&lt;&gt;"-",_xlfn.IFS('Banco de Dados'!$A1421="bv",IF('Banco de Dados'!$E1421&lt;45641,ROUND(SUM('Banco de Dados'!$R1421*_xlfn.XLOOKUP('Banco de Dados'!$P1421,Sku!B:B,Sku!#REF!)*20%),2),ROUND(SUM('Banco de Dados'!$R1421*_xlfn.XLOOKUP('Banco de Dados'!$P1421,Sku!B:B,Sku!H:H)*20%),2)),'Banco de Dados'!$A1421="GO",ROUND(SUM('Banco de Dados'!$R1421*_xlfn.XLOOKUP('Banco de Dados'!$P1421,Sku!C:C,Sku!H:H)*20%),2),'Banco de Dados'!$A1421="MEI",ROUND(SUM('Banco de Dados'!$R1421*_xlfn.XLOOKUP('Banco de Dados'!$P1421,Sku!D:D,Sku!H:H)*20%),2)),0)</f>
        <v>0</v>
      </c>
      <c r="AN1421" s="109">
        <f ca="1">IF('Banco de Dados'!$AK1421&lt;&gt;"-",IF('Banco de Dados'!$F1421&lt;&gt;"-",_xlfn.XLOOKUP(IFERROR(IFERROR(IFERROR(VALUE(SUBSTITUTE(MID(_xlfn.TEXTAFTER('Banco de Dados'!$F1421,"Data do Pedido:
",1),1,10),"-","/")),VALUE(SUBSTITUTE(MID(_xlfn.TEXTAFTER('Banco de Dados'!$F1421,"Order date:
",1),1,10),"-","/"))),VALUE(SUBSTITUTE(MID(_xlfn.TEXTAFTER('Banco de Dados'!$F1421,"Fecha de pedido:
",1),1,10),"-","/"))),"-"),SMS!A:A,SMS!K:K),0),0)</f>
        <v>0</v>
      </c>
      <c r="AO1421" s="109">
        <f ca="1">IF('Banco de Dados'!$AK1421&lt;&gt;"-",IF('Banco de Dados'!$F1421&lt;&gt;"-",IFERROR(_xlfn.XLOOKUP(_xlfn.CONCAT('Banco de Dados'!$A1421,IFERROR(IFERROR(VALUE(SUBSTITUTE(MID(_xlfn.TEXTAFTER('Banco de Dados'!$F1421,"Data do Pedido:
",1),1,10),"-","/")),VALUE(SUBSTITUTE(MID(_xlfn.TEXTAFTER('Banco de Dados'!$F1421,"Order date:
",1),1,10),"-","/"))),0)),ProxyDD[Chave],ProxyDD[Valor por pedido]),PROXY!$P$2),0),0)</f>
        <v>0</v>
      </c>
      <c r="AP1421" s="28">
        <f ca="1">IF('Banco de Dados'!$AK1421&lt;&gt;"-",IF('Banco de Dados'!$AL1421="NÃO",IFERROR(VALUE(SUBSTITUTE(_xlfn.TEXTAFTER('Banco de Dados'!$F1421,"BRL ",1),".",",")),0),0),0)</f>
        <v>0</v>
      </c>
      <c r="AQ1421" s="28">
        <f ca="1">SUM('Banco de Dados'!$AM1421:$AP1421)</f>
        <v>0</v>
      </c>
      <c r="AR1421" s="8"/>
      <c r="AY1421" s="8"/>
    </row>
    <row r="1422" spans="1:51">
      <c r="A1422" s="5" t="str">
        <v>MEI</v>
      </c>
      <c r="B1422" s="5" t="str">
        <f ca="1"/>
        <v>MEI45754</v>
      </c>
      <c r="C1422" s="8" t="str">
        <v>Pedido 1409</v>
      </c>
      <c r="D1422" s="187">
        <v>45750</v>
      </c>
      <c r="E1422" s="9">
        <v>45754</v>
      </c>
      <c r="F1422" s="8" t="str">
        <v>PedidoF1350</v>
      </c>
      <c r="G1422" s="2" t="str">
        <v>CódRastreio1348</v>
      </c>
      <c r="H1422" s="5">
        <v>1</v>
      </c>
      <c r="I1422" s="2" t="str">
        <v>CPF 1371</v>
      </c>
      <c r="J1422" s="2" t="str">
        <v>Nome 1371</v>
      </c>
      <c r="K1422" s="8" t="str">
        <v>Tel 1371</v>
      </c>
      <c r="L1422" s="8" t="str">
        <v>Cep 1371</v>
      </c>
      <c r="M1422" s="8" t="str">
        <v>Rua 1371</v>
      </c>
      <c r="N1422" s="8" t="str">
        <v>Comp 1371</v>
      </c>
      <c r="O1422" s="8" t="str">
        <v>Copo Termico</v>
      </c>
      <c r="P1422" s="8" t="str">
        <v>VI-4RT5-1FFO</v>
      </c>
      <c r="Q1422" s="4">
        <v>45778</v>
      </c>
      <c r="R1422" s="109">
        <v>22.7</v>
      </c>
      <c r="S1422" s="11">
        <f ca="1"/>
        <v>22.7</v>
      </c>
      <c r="T1422" s="28">
        <f ca="1"/>
        <v>2.7239999999999998</v>
      </c>
      <c r="U1422" s="11">
        <f ca="1"/>
        <v>19.98</v>
      </c>
      <c r="V1422" s="11">
        <v>10.1</v>
      </c>
      <c r="W1422" s="11">
        <f ca="1"/>
        <v>0.24</v>
      </c>
      <c r="X1422" s="11">
        <f ca="1"/>
        <v>0.39877104377104378</v>
      </c>
      <c r="Y1422" s="11">
        <v>0</v>
      </c>
      <c r="Z1422" s="11">
        <f ca="1"/>
        <v>9.2412289562289569</v>
      </c>
      <c r="AA1422" s="11">
        <f ca="1"/>
        <v>4.6206144781144785</v>
      </c>
      <c r="AB1422" s="4">
        <f ca="1"/>
        <v>45785</v>
      </c>
      <c r="AC1422" s="4">
        <v>45785</v>
      </c>
      <c r="AD1422" s="9">
        <v>45793</v>
      </c>
      <c r="AE1422" s="9">
        <v>45797</v>
      </c>
      <c r="AF1422" s="4" t="str">
        <f t="shared" ca="1" si="93"/>
        <v>2025 05</v>
      </c>
      <c r="AG1422" s="8" t="str" cm="1">
        <f t="array" ref="AG1422">IFERROR(_xlfn.IFS('Banco de Dados'!#REF!="AG. COMPRA","Em processamento",'Banco de Dados'!#REF!="AG. RASTREIO","Em processamento",'Banco de Dados'!$AE1422&lt;&gt;"-","Faturado",'Banco de Dados'!$AD1422&lt;&gt;"-","Aguardando Pix",'Banco de Dados'!$AC1422&lt;&gt;"-","Pendente"),"Aguardando Liberação")</f>
        <v>Aguardando Liberação</v>
      </c>
      <c r="AH1422" s="5" t="str">
        <f>IF('Banco de Dados'!$F1422="-",_xlfn.CONCAT(PROPER(TEXT(AK1422,"aaaa"))," ",PROPER(TEXT(AK1422,"mm"))),_xlfn.CONCAT(PROPER(TEXT(E1422,"aaaa"))," ",PROPER(TEXT(E1422,"mm"))))</f>
        <v>2025 04</v>
      </c>
      <c r="AI1422" s="9" t="str">
        <f ca="1">IF('Banco de Dados'!$AK1422&lt;&gt;"-","REEMBOLSO",IFERROR(_xlfn.XLOOKUP(G1422,Follow[CODRASTREIO],Follow[STATUS]),"-"))</f>
        <v>ENTREGUE</v>
      </c>
      <c r="AJ1422" s="9">
        <f ca="1">IF('Banco de Dados'!$AI1422="ENTREGUE",_xlfn.XLOOKUP('Banco de Dados'!$G1422,Follow[CODRASTREIO],Follow[DATAATUALIZAÇÃO]),"-")</f>
        <v>45763</v>
      </c>
      <c r="AK1422" s="132" t="str">
        <f ca="1"/>
        <v>-</v>
      </c>
      <c r="AL1422" s="35"/>
      <c r="AM1422" s="109" cm="1">
        <f t="array" aca="1" ref="AM1422" ca="1">IF('Banco de Dados'!$AK1422&lt;&gt;"-",_xlfn.IFS('Banco de Dados'!$A1422="bv",IF('Banco de Dados'!$E1422&lt;45641,ROUND(SUM('Banco de Dados'!$R1422*_xlfn.XLOOKUP('Banco de Dados'!$P1422,Sku!B:B,Sku!#REF!)*20%),2),ROUND(SUM('Banco de Dados'!$R1422*_xlfn.XLOOKUP('Banco de Dados'!$P1422,Sku!B:B,Sku!H:H)*20%),2)),'Banco de Dados'!$A1422="GO",ROUND(SUM('Banco de Dados'!$R1422*_xlfn.XLOOKUP('Banco de Dados'!$P1422,Sku!C:C,Sku!H:H)*20%),2),'Banco de Dados'!$A1422="MEI",ROUND(SUM('Banco de Dados'!$R1422*_xlfn.XLOOKUP('Banco de Dados'!$P1422,Sku!D:D,Sku!H:H)*20%),2)),0)</f>
        <v>0</v>
      </c>
      <c r="AN1422" s="109">
        <f ca="1">IF('Banco de Dados'!$AK1422&lt;&gt;"-",IF('Banco de Dados'!$F1422&lt;&gt;"-",_xlfn.XLOOKUP(IFERROR(IFERROR(IFERROR(VALUE(SUBSTITUTE(MID(_xlfn.TEXTAFTER('Banco de Dados'!$F1422,"Data do Pedido:
",1),1,10),"-","/")),VALUE(SUBSTITUTE(MID(_xlfn.TEXTAFTER('Banco de Dados'!$F1422,"Order date:
",1),1,10),"-","/"))),VALUE(SUBSTITUTE(MID(_xlfn.TEXTAFTER('Banco de Dados'!$F1422,"Fecha de pedido:
",1),1,10),"-","/"))),"-"),SMS!A:A,SMS!K:K),0),0)</f>
        <v>0</v>
      </c>
      <c r="AO1422" s="109">
        <f ca="1">IF('Banco de Dados'!$AK1422&lt;&gt;"-",IF('Banco de Dados'!$F1422&lt;&gt;"-",IFERROR(_xlfn.XLOOKUP(_xlfn.CONCAT('Banco de Dados'!$A1422,IFERROR(IFERROR(VALUE(SUBSTITUTE(MID(_xlfn.TEXTAFTER('Banco de Dados'!$F1422,"Data do Pedido:
",1),1,10),"-","/")),VALUE(SUBSTITUTE(MID(_xlfn.TEXTAFTER('Banco de Dados'!$F1422,"Order date:
",1),1,10),"-","/"))),0)),ProxyDD[Chave],ProxyDD[Valor por pedido]),PROXY!$P$2),0),0)</f>
        <v>0</v>
      </c>
      <c r="AP1422" s="28">
        <f ca="1">IF('Banco de Dados'!$AK1422&lt;&gt;"-",IF('Banco de Dados'!$AL1422="NÃO",IFERROR(VALUE(SUBSTITUTE(_xlfn.TEXTAFTER('Banco de Dados'!$F1422,"BRL ",1),".",",")),0),0),0)</f>
        <v>0</v>
      </c>
      <c r="AQ1422" s="28">
        <f ca="1">SUM('Banco de Dados'!$AM1422:$AP1422)</f>
        <v>0</v>
      </c>
      <c r="AR1422" s="8"/>
      <c r="AY1422" s="8"/>
    </row>
    <row r="1423" spans="1:51">
      <c r="A1423" s="5" t="str">
        <v>MEI</v>
      </c>
      <c r="B1423" s="5" t="str">
        <f ca="1"/>
        <v>MEI45754</v>
      </c>
      <c r="C1423" s="8" t="str">
        <v>Pedido 1410</v>
      </c>
      <c r="D1423" s="187">
        <v>45750</v>
      </c>
      <c r="E1423" s="9">
        <v>45754</v>
      </c>
      <c r="F1423" s="8" t="str">
        <v>PedidoF1351</v>
      </c>
      <c r="G1423" s="2" t="str">
        <v>CódRastreio1349</v>
      </c>
      <c r="H1423" s="5">
        <v>1</v>
      </c>
      <c r="I1423" s="2" t="str">
        <v>CPF 1372</v>
      </c>
      <c r="J1423" s="2" t="str">
        <v>Nome 1372</v>
      </c>
      <c r="K1423" s="8" t="str">
        <v>Tel 1372</v>
      </c>
      <c r="L1423" s="8" t="str">
        <v>Cep 1372</v>
      </c>
      <c r="M1423" s="8" t="str">
        <v>Rua 1372</v>
      </c>
      <c r="N1423" s="8" t="str">
        <v>Comp 1372</v>
      </c>
      <c r="O1423" s="8" t="str">
        <v>Ventilador Rosa</v>
      </c>
      <c r="P1423" s="8" t="str">
        <v>WR-82Y0-OV27</v>
      </c>
      <c r="Q1423" s="4">
        <v>45780</v>
      </c>
      <c r="R1423" s="109">
        <v>59.69</v>
      </c>
      <c r="S1423" s="11">
        <f ca="1"/>
        <v>59.69</v>
      </c>
      <c r="T1423" s="28">
        <f ca="1"/>
        <v>7.1627999999999998</v>
      </c>
      <c r="U1423" s="11">
        <f ca="1"/>
        <v>52.53</v>
      </c>
      <c r="V1423" s="11">
        <v>14.17</v>
      </c>
      <c r="W1423" s="11">
        <f ca="1"/>
        <v>0.24</v>
      </c>
      <c r="X1423" s="11">
        <f ca="1"/>
        <v>0.39877104377104378</v>
      </c>
      <c r="Y1423" s="11">
        <v>0</v>
      </c>
      <c r="Z1423" s="11">
        <f ca="1"/>
        <v>37.721228956228956</v>
      </c>
      <c r="AA1423" s="11">
        <f ca="1"/>
        <v>18.860614478114478</v>
      </c>
      <c r="AB1423" s="4">
        <f ca="1"/>
        <v>45787</v>
      </c>
      <c r="AC1423" s="4">
        <v>45787</v>
      </c>
      <c r="AD1423" s="9">
        <v>45793</v>
      </c>
      <c r="AE1423" s="9">
        <v>45797</v>
      </c>
      <c r="AF1423" s="4" t="str">
        <f t="shared" ca="1" si="93"/>
        <v>2025 05</v>
      </c>
      <c r="AG1423" s="8" t="str" cm="1">
        <f t="array" ref="AG1423">IFERROR(_xlfn.IFS('Banco de Dados'!#REF!="AG. COMPRA","Em processamento",'Banco de Dados'!#REF!="AG. RASTREIO","Em processamento",'Banco de Dados'!$AE1423&lt;&gt;"-","Faturado",'Banco de Dados'!$AD1423&lt;&gt;"-","Aguardando Pix",'Banco de Dados'!$AC1423&lt;&gt;"-","Pendente"),"Aguardando Liberação")</f>
        <v>Aguardando Liberação</v>
      </c>
      <c r="AH1423" s="5" t="str">
        <f>IF('Banco de Dados'!$F1423="-",_xlfn.CONCAT(PROPER(TEXT(AK1423,"aaaa"))," ",PROPER(TEXT(AK1423,"mm"))),_xlfn.CONCAT(PROPER(TEXT(E1423,"aaaa"))," ",PROPER(TEXT(E1423,"mm"))))</f>
        <v>2025 04</v>
      </c>
      <c r="AI1423" s="9" t="str">
        <f ca="1">IF('Banco de Dados'!$AK1423&lt;&gt;"-","REEMBOLSO",IFERROR(_xlfn.XLOOKUP(G1423,Follow[CODRASTREIO],Follow[STATUS]),"-"))</f>
        <v>ENTREGUE</v>
      </c>
      <c r="AJ1423" s="9">
        <f ca="1">IF('Banco de Dados'!$AI1423="ENTREGUE",_xlfn.XLOOKUP('Banco de Dados'!$G1423,Follow[CODRASTREIO],Follow[DATAATUALIZAÇÃO]),"-")</f>
        <v>45769</v>
      </c>
      <c r="AK1423" s="132" t="str">
        <f ca="1"/>
        <v>-</v>
      </c>
      <c r="AL1423" s="35"/>
      <c r="AM1423" s="109" cm="1">
        <f t="array" aca="1" ref="AM1423" ca="1">IF('Banco de Dados'!$AK1423&lt;&gt;"-",_xlfn.IFS('Banco de Dados'!$A1423="bv",IF('Banco de Dados'!$E1423&lt;45641,ROUND(SUM('Banco de Dados'!$R1423*_xlfn.XLOOKUP('Banco de Dados'!$P1423,Sku!B:B,Sku!#REF!)*20%),2),ROUND(SUM('Banco de Dados'!$R1423*_xlfn.XLOOKUP('Banco de Dados'!$P1423,Sku!B:B,Sku!H:H)*20%),2)),'Banco de Dados'!$A1423="GO",ROUND(SUM('Banco de Dados'!$R1423*_xlfn.XLOOKUP('Banco de Dados'!$P1423,Sku!C:C,Sku!H:H)*20%),2),'Banco de Dados'!$A1423="MEI",ROUND(SUM('Banco de Dados'!$R1423*_xlfn.XLOOKUP('Banco de Dados'!$P1423,Sku!D:D,Sku!H:H)*20%),2)),0)</f>
        <v>0</v>
      </c>
      <c r="AN1423" s="109">
        <f ca="1">IF('Banco de Dados'!$AK1423&lt;&gt;"-",IF('Banco de Dados'!$F1423&lt;&gt;"-",_xlfn.XLOOKUP(IFERROR(IFERROR(IFERROR(VALUE(SUBSTITUTE(MID(_xlfn.TEXTAFTER('Banco de Dados'!$F1423,"Data do Pedido:
",1),1,10),"-","/")),VALUE(SUBSTITUTE(MID(_xlfn.TEXTAFTER('Banco de Dados'!$F1423,"Order date:
",1),1,10),"-","/"))),VALUE(SUBSTITUTE(MID(_xlfn.TEXTAFTER('Banco de Dados'!$F1423,"Fecha de pedido:
",1),1,10),"-","/"))),"-"),SMS!A:A,SMS!K:K),0),0)</f>
        <v>0</v>
      </c>
      <c r="AO1423" s="109">
        <f ca="1">IF('Banco de Dados'!$AK1423&lt;&gt;"-",IF('Banco de Dados'!$F1423&lt;&gt;"-",IFERROR(_xlfn.XLOOKUP(_xlfn.CONCAT('Banco de Dados'!$A1423,IFERROR(IFERROR(VALUE(SUBSTITUTE(MID(_xlfn.TEXTAFTER('Banco de Dados'!$F1423,"Data do Pedido:
",1),1,10),"-","/")),VALUE(SUBSTITUTE(MID(_xlfn.TEXTAFTER('Banco de Dados'!$F1423,"Order date:
",1),1,10),"-","/"))),0)),ProxyDD[Chave],ProxyDD[Valor por pedido]),PROXY!$P$2),0),0)</f>
        <v>0</v>
      </c>
      <c r="AP1423" s="28">
        <f ca="1">IF('Banco de Dados'!$AK1423&lt;&gt;"-",IF('Banco de Dados'!$AL1423="NÃO",IFERROR(VALUE(SUBSTITUTE(_xlfn.TEXTAFTER('Banco de Dados'!$F1423,"BRL ",1),".",",")),0),0),0)</f>
        <v>0</v>
      </c>
      <c r="AQ1423" s="28">
        <f ca="1">SUM('Banco de Dados'!$AM1423:$AP1423)</f>
        <v>0</v>
      </c>
      <c r="AR1423" s="8"/>
      <c r="AY1423" s="8"/>
    </row>
    <row r="1424" spans="1:51">
      <c r="A1424" s="5" t="str">
        <v>MEI</v>
      </c>
      <c r="B1424" s="5" t="str">
        <f ca="1"/>
        <v>MEI45754</v>
      </c>
      <c r="C1424" s="8" t="str">
        <v>Pedido 1411</v>
      </c>
      <c r="D1424" s="187">
        <v>45750</v>
      </c>
      <c r="E1424" s="9">
        <v>45754</v>
      </c>
      <c r="F1424" s="8" t="str">
        <v>PedidoF1352</v>
      </c>
      <c r="G1424" s="2" t="str">
        <v>CódRastreio1350</v>
      </c>
      <c r="H1424" s="5">
        <v>1</v>
      </c>
      <c r="I1424" s="2" t="str">
        <v>CPF 1373</v>
      </c>
      <c r="J1424" s="2" t="str">
        <v>Nome 1373</v>
      </c>
      <c r="K1424" s="8" t="str">
        <v>Tel 1373</v>
      </c>
      <c r="L1424" s="8" t="str">
        <v>Cep 1373</v>
      </c>
      <c r="M1424" s="8" t="str">
        <v>Rua 1373</v>
      </c>
      <c r="N1424" s="8" t="str">
        <v>Comp 1373</v>
      </c>
      <c r="O1424" s="8" t="str">
        <v>Copo Termico</v>
      </c>
      <c r="P1424" s="8" t="str">
        <v>VI-4RT5-1FFO</v>
      </c>
      <c r="Q1424" s="4">
        <v>45773</v>
      </c>
      <c r="R1424" s="109">
        <v>22.7</v>
      </c>
      <c r="S1424" s="11">
        <f ca="1"/>
        <v>22.7</v>
      </c>
      <c r="T1424" s="28">
        <f ca="1"/>
        <v>2.7239999999999998</v>
      </c>
      <c r="U1424" s="11">
        <f ca="1"/>
        <v>19.98</v>
      </c>
      <c r="V1424" s="11">
        <v>6.99</v>
      </c>
      <c r="W1424" s="11">
        <f ca="1"/>
        <v>0.24</v>
      </c>
      <c r="X1424" s="11">
        <f ca="1"/>
        <v>0.39877104377104378</v>
      </c>
      <c r="Y1424" s="11">
        <v>0</v>
      </c>
      <c r="Z1424" s="11">
        <f ca="1"/>
        <v>12.351228956228956</v>
      </c>
      <c r="AA1424" s="11">
        <f ca="1"/>
        <v>6.1756144781144782</v>
      </c>
      <c r="AB1424" s="4">
        <f ca="1"/>
        <v>45780</v>
      </c>
      <c r="AC1424" s="4">
        <v>45780</v>
      </c>
      <c r="AD1424" s="9">
        <v>45793</v>
      </c>
      <c r="AE1424" s="9">
        <v>45797</v>
      </c>
      <c r="AF1424" s="4" t="str">
        <f t="shared" ca="1" si="93"/>
        <v>2025 05</v>
      </c>
      <c r="AG1424" s="8" t="str" cm="1">
        <f t="array" ref="AG1424">IFERROR(_xlfn.IFS('Banco de Dados'!#REF!="AG. COMPRA","Em processamento",'Banco de Dados'!#REF!="AG. RASTREIO","Em processamento",'Banco de Dados'!$AE1424&lt;&gt;"-","Faturado",'Banco de Dados'!$AD1424&lt;&gt;"-","Aguardando Pix",'Banco de Dados'!$AC1424&lt;&gt;"-","Pendente"),"Aguardando Liberação")</f>
        <v>Aguardando Liberação</v>
      </c>
      <c r="AH1424" s="5" t="str">
        <f>IF('Banco de Dados'!$F1424="-",_xlfn.CONCAT(PROPER(TEXT(AK1424,"aaaa"))," ",PROPER(TEXT(AK1424,"mm"))),_xlfn.CONCAT(PROPER(TEXT(E1424,"aaaa"))," ",PROPER(TEXT(E1424,"mm"))))</f>
        <v>2025 04</v>
      </c>
      <c r="AI1424" s="9" t="str">
        <f ca="1">IF('Banco de Dados'!$AK1424&lt;&gt;"-","REEMBOLSO",IFERROR(_xlfn.XLOOKUP(G1424,Follow[CODRASTREIO],Follow[STATUS]),"-"))</f>
        <v>ENTREGUE</v>
      </c>
      <c r="AJ1424" s="9">
        <f ca="1">IF('Banco de Dados'!$AI1424="ENTREGUE",_xlfn.XLOOKUP('Banco de Dados'!$G1424,Follow[CODRASTREIO],Follow[DATAATUALIZAÇÃO]),"-")</f>
        <v>45756</v>
      </c>
      <c r="AK1424" s="132" t="str">
        <f ca="1"/>
        <v>-</v>
      </c>
      <c r="AL1424" s="35"/>
      <c r="AM1424" s="109" cm="1">
        <f t="array" aca="1" ref="AM1424" ca="1">IF('Banco de Dados'!$AK1424&lt;&gt;"-",_xlfn.IFS('Banco de Dados'!$A1424="bv",IF('Banco de Dados'!$E1424&lt;45641,ROUND(SUM('Banco de Dados'!$R1424*_xlfn.XLOOKUP('Banco de Dados'!$P1424,Sku!B:B,Sku!#REF!)*20%),2),ROUND(SUM('Banco de Dados'!$R1424*_xlfn.XLOOKUP('Banco de Dados'!$P1424,Sku!B:B,Sku!H:H)*20%),2)),'Banco de Dados'!$A1424="GO",ROUND(SUM('Banco de Dados'!$R1424*_xlfn.XLOOKUP('Banco de Dados'!$P1424,Sku!C:C,Sku!H:H)*20%),2),'Banco de Dados'!$A1424="MEI",ROUND(SUM('Banco de Dados'!$R1424*_xlfn.XLOOKUP('Banco de Dados'!$P1424,Sku!D:D,Sku!H:H)*20%),2)),0)</f>
        <v>0</v>
      </c>
      <c r="AN1424" s="109">
        <f ca="1">IF('Banco de Dados'!$AK1424&lt;&gt;"-",IF('Banco de Dados'!$F1424&lt;&gt;"-",_xlfn.XLOOKUP(IFERROR(IFERROR(IFERROR(VALUE(SUBSTITUTE(MID(_xlfn.TEXTAFTER('Banco de Dados'!$F1424,"Data do Pedido:
",1),1,10),"-","/")),VALUE(SUBSTITUTE(MID(_xlfn.TEXTAFTER('Banco de Dados'!$F1424,"Order date:
",1),1,10),"-","/"))),VALUE(SUBSTITUTE(MID(_xlfn.TEXTAFTER('Banco de Dados'!$F1424,"Fecha de pedido:
",1),1,10),"-","/"))),"-"),SMS!A:A,SMS!K:K),0),0)</f>
        <v>0</v>
      </c>
      <c r="AO1424" s="109">
        <f ca="1">IF('Banco de Dados'!$AK1424&lt;&gt;"-",IF('Banco de Dados'!$F1424&lt;&gt;"-",IFERROR(_xlfn.XLOOKUP(_xlfn.CONCAT('Banco de Dados'!$A1424,IFERROR(IFERROR(VALUE(SUBSTITUTE(MID(_xlfn.TEXTAFTER('Banco de Dados'!$F1424,"Data do Pedido:
",1),1,10),"-","/")),VALUE(SUBSTITUTE(MID(_xlfn.TEXTAFTER('Banco de Dados'!$F1424,"Order date:
",1),1,10),"-","/"))),0)),ProxyDD[Chave],ProxyDD[Valor por pedido]),PROXY!$P$2),0),0)</f>
        <v>0</v>
      </c>
      <c r="AP1424" s="28">
        <f ca="1">IF('Banco de Dados'!$AK1424&lt;&gt;"-",IF('Banco de Dados'!$AL1424="NÃO",IFERROR(VALUE(SUBSTITUTE(_xlfn.TEXTAFTER('Banco de Dados'!$F1424,"BRL ",1),".",",")),0),0),0)</f>
        <v>0</v>
      </c>
      <c r="AQ1424" s="28">
        <f ca="1">SUM('Banco de Dados'!$AM1424:$AP1424)</f>
        <v>0</v>
      </c>
      <c r="AR1424" s="8"/>
      <c r="AY1424" s="8"/>
    </row>
    <row r="1425" spans="1:51">
      <c r="A1425" s="5" t="str">
        <v>MEI</v>
      </c>
      <c r="B1425" s="5" t="str">
        <f ca="1"/>
        <v>MEI45754</v>
      </c>
      <c r="C1425" s="8" t="str">
        <v>Pedido 1412</v>
      </c>
      <c r="D1425" s="187">
        <v>45750</v>
      </c>
      <c r="E1425" s="9">
        <v>45754</v>
      </c>
      <c r="F1425" s="8" t="str">
        <v>PedidoF1353</v>
      </c>
      <c r="G1425" s="2" t="str">
        <v>CódRastreio1351</v>
      </c>
      <c r="H1425" s="5">
        <v>1</v>
      </c>
      <c r="I1425" s="2" t="str">
        <v>CPF 1374</v>
      </c>
      <c r="J1425" s="2" t="str">
        <v>Nome 1374</v>
      </c>
      <c r="K1425" s="8" t="str">
        <v>Tel 1374</v>
      </c>
      <c r="L1425" s="8" t="str">
        <v>Cep 1374</v>
      </c>
      <c r="M1425" s="8" t="str">
        <v>Rua 1374</v>
      </c>
      <c r="N1425" s="8" t="str">
        <v>Comp 1374</v>
      </c>
      <c r="O1425" s="8" t="str">
        <v>Maçarico Culinário Portátil</v>
      </c>
      <c r="P1425" s="8" t="str">
        <v>BG-DHRO-FAEE</v>
      </c>
      <c r="Q1425" s="4">
        <v>45780</v>
      </c>
      <c r="R1425" s="109">
        <v>26.99</v>
      </c>
      <c r="S1425" s="11">
        <f ca="1"/>
        <v>26.99</v>
      </c>
      <c r="T1425" s="28">
        <f ca="1"/>
        <v>2.9688999999999997</v>
      </c>
      <c r="U1425" s="11">
        <f ca="1"/>
        <v>24.02</v>
      </c>
      <c r="V1425" s="11">
        <v>11.53</v>
      </c>
      <c r="W1425" s="11">
        <f ca="1"/>
        <v>0.24</v>
      </c>
      <c r="X1425" s="11">
        <f ca="1"/>
        <v>0.39877104377104378</v>
      </c>
      <c r="Y1425" s="11">
        <v>0</v>
      </c>
      <c r="Z1425" s="11">
        <f ca="1"/>
        <v>11.851228956228956</v>
      </c>
      <c r="AA1425" s="11">
        <f ca="1"/>
        <v>5.9256144781144782</v>
      </c>
      <c r="AB1425" s="4">
        <f ca="1"/>
        <v>45787</v>
      </c>
      <c r="AC1425" s="4">
        <v>45787</v>
      </c>
      <c r="AD1425" s="9">
        <v>45793</v>
      </c>
      <c r="AE1425" s="9">
        <v>45797</v>
      </c>
      <c r="AF1425" s="4" t="str">
        <f t="shared" ca="1" si="93"/>
        <v>2025 05</v>
      </c>
      <c r="AG1425" s="8" t="str" cm="1">
        <f t="array" ref="AG1425">IFERROR(_xlfn.IFS('Banco de Dados'!#REF!="AG. COMPRA","Em processamento",'Banco de Dados'!#REF!="AG. RASTREIO","Em processamento",'Banco de Dados'!$AE1425&lt;&gt;"-","Faturado",'Banco de Dados'!$AD1425&lt;&gt;"-","Aguardando Pix",'Banco de Dados'!$AC1425&lt;&gt;"-","Pendente"),"Aguardando Liberação")</f>
        <v>Aguardando Liberação</v>
      </c>
      <c r="AH1425" s="5" t="str">
        <f>IF('Banco de Dados'!$F1425="-",_xlfn.CONCAT(PROPER(TEXT(AK1425,"aaaa"))," ",PROPER(TEXT(AK1425,"mm"))),_xlfn.CONCAT(PROPER(TEXT(E1425,"aaaa"))," ",PROPER(TEXT(E1425,"mm"))))</f>
        <v>2025 04</v>
      </c>
      <c r="AI1425" s="9" t="str">
        <f ca="1">IF('Banco de Dados'!$AK1425&lt;&gt;"-","REEMBOLSO",IFERROR(_xlfn.XLOOKUP(G1425,Follow[CODRASTREIO],Follow[STATUS]),"-"))</f>
        <v>ENTREGUE</v>
      </c>
      <c r="AJ1425" s="9">
        <f ca="1">IF('Banco de Dados'!$AI1425="ENTREGUE",_xlfn.XLOOKUP('Banco de Dados'!$G1425,Follow[CODRASTREIO],Follow[DATAATUALIZAÇÃO]),"-")</f>
        <v>45771</v>
      </c>
      <c r="AK1425" s="132" t="str">
        <f ca="1"/>
        <v>-</v>
      </c>
      <c r="AL1425" s="35"/>
      <c r="AM1425" s="109" cm="1">
        <f t="array" aca="1" ref="AM1425" ca="1">IF('Banco de Dados'!$AK1425&lt;&gt;"-",_xlfn.IFS('Banco de Dados'!$A1425="bv",IF('Banco de Dados'!$E1425&lt;45641,ROUND(SUM('Banco de Dados'!$R1425*_xlfn.XLOOKUP('Banco de Dados'!$P1425,Sku!B:B,Sku!#REF!)*20%),2),ROUND(SUM('Banco de Dados'!$R1425*_xlfn.XLOOKUP('Banco de Dados'!$P1425,Sku!B:B,Sku!H:H)*20%),2)),'Banco de Dados'!$A1425="GO",ROUND(SUM('Banco de Dados'!$R1425*_xlfn.XLOOKUP('Banco de Dados'!$P1425,Sku!C:C,Sku!H:H)*20%),2),'Banco de Dados'!$A1425="MEI",ROUND(SUM('Banco de Dados'!$R1425*_xlfn.XLOOKUP('Banco de Dados'!$P1425,Sku!D:D,Sku!H:H)*20%),2)),0)</f>
        <v>0</v>
      </c>
      <c r="AN1425" s="109">
        <f ca="1">IF('Banco de Dados'!$AK1425&lt;&gt;"-",IF('Banco de Dados'!$F1425&lt;&gt;"-",_xlfn.XLOOKUP(IFERROR(IFERROR(IFERROR(VALUE(SUBSTITUTE(MID(_xlfn.TEXTAFTER('Banco de Dados'!$F1425,"Data do Pedido:
",1),1,10),"-","/")),VALUE(SUBSTITUTE(MID(_xlfn.TEXTAFTER('Banco de Dados'!$F1425,"Order date:
",1),1,10),"-","/"))),VALUE(SUBSTITUTE(MID(_xlfn.TEXTAFTER('Banco de Dados'!$F1425,"Fecha de pedido:
",1),1,10),"-","/"))),"-"),SMS!A:A,SMS!K:K),0),0)</f>
        <v>0</v>
      </c>
      <c r="AO1425" s="109">
        <f ca="1">IF('Banco de Dados'!$AK1425&lt;&gt;"-",IF('Banco de Dados'!$F1425&lt;&gt;"-",IFERROR(_xlfn.XLOOKUP(_xlfn.CONCAT('Banco de Dados'!$A1425,IFERROR(IFERROR(VALUE(SUBSTITUTE(MID(_xlfn.TEXTAFTER('Banco de Dados'!$F1425,"Data do Pedido:
",1),1,10),"-","/")),VALUE(SUBSTITUTE(MID(_xlfn.TEXTAFTER('Banco de Dados'!$F1425,"Order date:
",1),1,10),"-","/"))),0)),ProxyDD[Chave],ProxyDD[Valor por pedido]),PROXY!$P$2),0),0)</f>
        <v>0</v>
      </c>
      <c r="AP1425" s="28">
        <f ca="1">IF('Banco de Dados'!$AK1425&lt;&gt;"-",IF('Banco de Dados'!$AL1425="NÃO",IFERROR(VALUE(SUBSTITUTE(_xlfn.TEXTAFTER('Banco de Dados'!$F1425,"BRL ",1),".",",")),0),0),0)</f>
        <v>0</v>
      </c>
      <c r="AQ1425" s="28">
        <f ca="1">SUM('Banco de Dados'!$AM1425:$AP1425)</f>
        <v>0</v>
      </c>
      <c r="AR1425" s="8"/>
      <c r="AY1425" s="8"/>
    </row>
    <row r="1426" spans="1:51">
      <c r="A1426" s="5" t="str">
        <v>MEI</v>
      </c>
      <c r="B1426" s="5" t="str">
        <f ca="1"/>
        <v>MEI45754</v>
      </c>
      <c r="C1426" s="8" t="str">
        <v>Pedido 1413</v>
      </c>
      <c r="D1426" s="187">
        <v>45750</v>
      </c>
      <c r="E1426" s="9">
        <v>45754</v>
      </c>
      <c r="F1426" s="8" t="str">
        <v>PedidoF1354</v>
      </c>
      <c r="G1426" s="2" t="str">
        <v>CódRastreio1352</v>
      </c>
      <c r="H1426" s="5">
        <v>1</v>
      </c>
      <c r="I1426" s="2" t="str">
        <v>CPF 1375</v>
      </c>
      <c r="J1426" s="2" t="str">
        <v>Nome 1375</v>
      </c>
      <c r="K1426" s="8" t="str">
        <v>Tel 1375</v>
      </c>
      <c r="L1426" s="8" t="str">
        <v>Cep 1375</v>
      </c>
      <c r="M1426" s="8" t="str">
        <v>Rua 1375</v>
      </c>
      <c r="N1426" s="8" t="str">
        <v>Comp 1375</v>
      </c>
      <c r="O1426" s="8" t="str">
        <v>Ventilador Umidificador Preto</v>
      </c>
      <c r="P1426" s="8" t="str">
        <v>71-KHMZ-MLQW</v>
      </c>
      <c r="Q1426" s="4">
        <v>45787</v>
      </c>
      <c r="R1426" s="109">
        <v>53</v>
      </c>
      <c r="S1426" s="11">
        <f ca="1"/>
        <v>53</v>
      </c>
      <c r="T1426" s="28">
        <f ca="1"/>
        <v>5.83</v>
      </c>
      <c r="U1426" s="11">
        <f ca="1"/>
        <v>47.17</v>
      </c>
      <c r="V1426" s="11">
        <v>31.7</v>
      </c>
      <c r="W1426" s="11">
        <f ca="1"/>
        <v>0.24</v>
      </c>
      <c r="X1426" s="11">
        <f ca="1"/>
        <v>0.39877104377104378</v>
      </c>
      <c r="Y1426" s="11">
        <v>0</v>
      </c>
      <c r="Z1426" s="11">
        <f ca="1"/>
        <v>14.831228956228962</v>
      </c>
      <c r="AA1426" s="11">
        <f ca="1"/>
        <v>7.415614478114481</v>
      </c>
      <c r="AB1426" s="4">
        <f ca="1"/>
        <v>45794</v>
      </c>
      <c r="AC1426" s="4">
        <v>45794</v>
      </c>
      <c r="AD1426" s="9">
        <v>45807</v>
      </c>
      <c r="AE1426" s="9">
        <v>45810</v>
      </c>
      <c r="AF1426" s="4" t="str">
        <f t="shared" ca="1" si="93"/>
        <v>2025 05</v>
      </c>
      <c r="AG1426" s="8" t="str" cm="1">
        <f t="array" ref="AG1426">IFERROR(_xlfn.IFS('Banco de Dados'!#REF!="AG. COMPRA","Em processamento",'Banco de Dados'!#REF!="AG. RASTREIO","Em processamento",'Banco de Dados'!$AE1426&lt;&gt;"-","Faturado",'Banco de Dados'!$AD1426&lt;&gt;"-","Aguardando Pix",'Banco de Dados'!$AC1426&lt;&gt;"-","Pendente"),"Aguardando Liberação")</f>
        <v>Aguardando Liberação</v>
      </c>
      <c r="AH1426" s="5" t="str">
        <f>IF('Banco de Dados'!$F1426="-",_xlfn.CONCAT(PROPER(TEXT(AK1426,"aaaa"))," ",PROPER(TEXT(AK1426,"mm"))),_xlfn.CONCAT(PROPER(TEXT(E1426,"aaaa"))," ",PROPER(TEXT(E1426,"mm"))))</f>
        <v>2025 04</v>
      </c>
      <c r="AI1426" s="9" t="str">
        <f ca="1">IF('Banco de Dados'!$AK1426&lt;&gt;"-","REEMBOLSO",IFERROR(_xlfn.XLOOKUP(G1426,Follow[CODRASTREIO],Follow[STATUS]),"-"))</f>
        <v>ENTREGUE</v>
      </c>
      <c r="AJ1426" s="9">
        <f ca="1">IF('Banco de Dados'!$AI1426="ENTREGUE",_xlfn.XLOOKUP('Banco de Dados'!$G1426,Follow[CODRASTREIO],Follow[DATAATUALIZAÇÃO]),"-")</f>
        <v>45771</v>
      </c>
      <c r="AK1426" s="132" t="str">
        <f ca="1"/>
        <v>-</v>
      </c>
      <c r="AL1426" s="35"/>
      <c r="AM1426" s="109" cm="1">
        <f t="array" aca="1" ref="AM1426" ca="1">IF('Banco de Dados'!$AK1426&lt;&gt;"-",_xlfn.IFS('Banco de Dados'!$A1426="bv",IF('Banco de Dados'!$E1426&lt;45641,ROUND(SUM('Banco de Dados'!$R1426*_xlfn.XLOOKUP('Banco de Dados'!$P1426,Sku!B:B,Sku!#REF!)*20%),2),ROUND(SUM('Banco de Dados'!$R1426*_xlfn.XLOOKUP('Banco de Dados'!$P1426,Sku!B:B,Sku!H:H)*20%),2)),'Banco de Dados'!$A1426="GO",ROUND(SUM('Banco de Dados'!$R1426*_xlfn.XLOOKUP('Banco de Dados'!$P1426,Sku!C:C,Sku!H:H)*20%),2),'Banco de Dados'!$A1426="MEI",ROUND(SUM('Banco de Dados'!$R1426*_xlfn.XLOOKUP('Banco de Dados'!$P1426,Sku!D:D,Sku!H:H)*20%),2)),0)</f>
        <v>0</v>
      </c>
      <c r="AN1426" s="109">
        <f ca="1">IF('Banco de Dados'!$AK1426&lt;&gt;"-",IF('Banco de Dados'!$F1426&lt;&gt;"-",_xlfn.XLOOKUP(IFERROR(IFERROR(IFERROR(VALUE(SUBSTITUTE(MID(_xlfn.TEXTAFTER('Banco de Dados'!$F1426,"Data do Pedido:
",1),1,10),"-","/")),VALUE(SUBSTITUTE(MID(_xlfn.TEXTAFTER('Banco de Dados'!$F1426,"Order date:
",1),1,10),"-","/"))),VALUE(SUBSTITUTE(MID(_xlfn.TEXTAFTER('Banco de Dados'!$F1426,"Fecha de pedido:
",1),1,10),"-","/"))),"-"),SMS!A:A,SMS!K:K),0),0)</f>
        <v>0</v>
      </c>
      <c r="AO1426" s="109">
        <f ca="1">IF('Banco de Dados'!$AK1426&lt;&gt;"-",IF('Banco de Dados'!$F1426&lt;&gt;"-",IFERROR(_xlfn.XLOOKUP(_xlfn.CONCAT('Banco de Dados'!$A1426,IFERROR(IFERROR(VALUE(SUBSTITUTE(MID(_xlfn.TEXTAFTER('Banco de Dados'!$F1426,"Data do Pedido:
",1),1,10),"-","/")),VALUE(SUBSTITUTE(MID(_xlfn.TEXTAFTER('Banco de Dados'!$F1426,"Order date:
",1),1,10),"-","/"))),0)),ProxyDD[Chave],ProxyDD[Valor por pedido]),PROXY!$P$2),0),0)</f>
        <v>0</v>
      </c>
      <c r="AP1426" s="28">
        <f ca="1">IF('Banco de Dados'!$AK1426&lt;&gt;"-",IF('Banco de Dados'!$AL1426="NÃO",IFERROR(VALUE(SUBSTITUTE(_xlfn.TEXTAFTER('Banco de Dados'!$F1426,"BRL ",1),".",",")),0),0),0)</f>
        <v>0</v>
      </c>
      <c r="AQ1426" s="28">
        <f ca="1">SUM('Banco de Dados'!$AM1426:$AP1426)</f>
        <v>0</v>
      </c>
      <c r="AR1426" s="8"/>
      <c r="AY1426" s="8"/>
    </row>
    <row r="1427" spans="1:51">
      <c r="A1427" s="5" t="str">
        <v>GO</v>
      </c>
      <c r="B1427" s="5" t="str">
        <f ca="1"/>
        <v>GO45754</v>
      </c>
      <c r="C1427" s="8" t="str">
        <v>Pedido 1414</v>
      </c>
      <c r="D1427" s="187">
        <v>45750</v>
      </c>
      <c r="E1427" s="9">
        <v>45754</v>
      </c>
      <c r="F1427" s="8" t="str">
        <v>PedidoF1355</v>
      </c>
      <c r="G1427" s="2" t="str">
        <v>CódRastreio1353</v>
      </c>
      <c r="H1427" s="5">
        <v>1</v>
      </c>
      <c r="I1427" s="2" t="str">
        <v>CPF 1376</v>
      </c>
      <c r="J1427" s="2" t="str">
        <v>Nome 1376</v>
      </c>
      <c r="K1427" s="8" t="str">
        <v>Tel 1376</v>
      </c>
      <c r="L1427" s="8" t="str">
        <v>Cep 1376</v>
      </c>
      <c r="M1427" s="8" t="str">
        <v>Rua 1376</v>
      </c>
      <c r="N1427" s="8" t="str">
        <v>Comp 1376</v>
      </c>
      <c r="O1427" s="8" t="str">
        <v>Cortador de Legumes</v>
      </c>
      <c r="P1427" s="8" t="str">
        <v>33-SVS5-1AWY</v>
      </c>
      <c r="Q1427" s="4">
        <v>45778</v>
      </c>
      <c r="R1427" s="109">
        <v>67.599999999999994</v>
      </c>
      <c r="S1427" s="11">
        <f ca="1"/>
        <v>67.599999999999994</v>
      </c>
      <c r="T1427" s="28">
        <f ca="1"/>
        <v>8.1119999999999983</v>
      </c>
      <c r="U1427" s="11">
        <f ca="1"/>
        <v>59.49</v>
      </c>
      <c r="V1427" s="11">
        <v>37.25</v>
      </c>
      <c r="W1427" s="11">
        <f ca="1"/>
        <v>0.2</v>
      </c>
      <c r="X1427" s="11">
        <f ca="1"/>
        <v>0.39877104377104378</v>
      </c>
      <c r="Y1427" s="11">
        <v>0</v>
      </c>
      <c r="Z1427" s="11">
        <f ca="1"/>
        <v>21.641228956228957</v>
      </c>
      <c r="AA1427" s="11">
        <f ca="1"/>
        <v>21.641228956228957</v>
      </c>
      <c r="AB1427" s="4">
        <f ca="1"/>
        <v>45785</v>
      </c>
      <c r="AC1427" s="4">
        <v>45785</v>
      </c>
      <c r="AD1427" s="9">
        <v>45793</v>
      </c>
      <c r="AE1427" s="9">
        <v>45797</v>
      </c>
      <c r="AF1427" s="4" t="str">
        <f t="shared" ca="1" si="93"/>
        <v>2025 05</v>
      </c>
      <c r="AG1427" s="8" t="str" cm="1">
        <f t="array" ref="AG1427">IFERROR(_xlfn.IFS('Banco de Dados'!#REF!="AG. COMPRA","Em processamento",'Banco de Dados'!#REF!="AG. RASTREIO","Em processamento",'Banco de Dados'!$AE1427&lt;&gt;"-","Faturado",'Banco de Dados'!$AD1427&lt;&gt;"-","Aguardando Pix",'Banco de Dados'!$AC1427&lt;&gt;"-","Pendente"),"Aguardando Liberação")</f>
        <v>Aguardando Liberação</v>
      </c>
      <c r="AH1427" s="5" t="str">
        <f>IF('Banco de Dados'!$F1427="-",_xlfn.CONCAT(PROPER(TEXT(AK1427,"aaaa"))," ",PROPER(TEXT(AK1427,"mm"))),_xlfn.CONCAT(PROPER(TEXT(E1427,"aaaa"))," ",PROPER(TEXT(E1427,"mm"))))</f>
        <v>2025 04</v>
      </c>
      <c r="AI1427" s="9" t="str">
        <f ca="1">IF('Banco de Dados'!$AK1427&lt;&gt;"-","REEMBOLSO",IFERROR(_xlfn.XLOOKUP(G1427,Follow[CODRASTREIO],Follow[STATUS]),"-"))</f>
        <v>ENTREGUE</v>
      </c>
      <c r="AJ1427" s="9">
        <f ca="1">IF('Banco de Dados'!$AI1427="ENTREGUE",_xlfn.XLOOKUP('Banco de Dados'!$G1427,Follow[CODRASTREIO],Follow[DATAATUALIZAÇÃO]),"-")</f>
        <v>45771</v>
      </c>
      <c r="AK1427" s="132" t="str">
        <f ca="1"/>
        <v>-</v>
      </c>
      <c r="AL1427" s="35"/>
      <c r="AM1427" s="109" cm="1">
        <f t="array" aca="1" ref="AM1427" ca="1">IF('Banco de Dados'!$AK1427&lt;&gt;"-",_xlfn.IFS('Banco de Dados'!$A1427="bv",IF('Banco de Dados'!$E1427&lt;45641,ROUND(SUM('Banco de Dados'!$R1427*_xlfn.XLOOKUP('Banco de Dados'!$P1427,Sku!B:B,Sku!#REF!)*20%),2),ROUND(SUM('Banco de Dados'!$R1427*_xlfn.XLOOKUP('Banco de Dados'!$P1427,Sku!B:B,Sku!H:H)*20%),2)),'Banco de Dados'!$A1427="GO",ROUND(SUM('Banco de Dados'!$R1427*_xlfn.XLOOKUP('Banco de Dados'!$P1427,Sku!C:C,Sku!H:H)*20%),2),'Banco de Dados'!$A1427="MEI",ROUND(SUM('Banco de Dados'!$R1427*_xlfn.XLOOKUP('Banco de Dados'!$P1427,Sku!D:D,Sku!H:H)*20%),2)),0)</f>
        <v>0</v>
      </c>
      <c r="AN1427" s="109">
        <f ca="1">IF('Banco de Dados'!$AK1427&lt;&gt;"-",IF('Banco de Dados'!$F1427&lt;&gt;"-",_xlfn.XLOOKUP(IFERROR(IFERROR(IFERROR(VALUE(SUBSTITUTE(MID(_xlfn.TEXTAFTER('Banco de Dados'!$F1427,"Data do Pedido:
",1),1,10),"-","/")),VALUE(SUBSTITUTE(MID(_xlfn.TEXTAFTER('Banco de Dados'!$F1427,"Order date:
",1),1,10),"-","/"))),VALUE(SUBSTITUTE(MID(_xlfn.TEXTAFTER('Banco de Dados'!$F1427,"Fecha de pedido:
",1),1,10),"-","/"))),"-"),SMS!A:A,SMS!K:K),0),0)</f>
        <v>0</v>
      </c>
      <c r="AO1427" s="109">
        <f ca="1">IF('Banco de Dados'!$AK1427&lt;&gt;"-",IF('Banco de Dados'!$F1427&lt;&gt;"-",IFERROR(_xlfn.XLOOKUP(_xlfn.CONCAT('Banco de Dados'!$A1427,IFERROR(IFERROR(VALUE(SUBSTITUTE(MID(_xlfn.TEXTAFTER('Banco de Dados'!$F1427,"Data do Pedido:
",1),1,10),"-","/")),VALUE(SUBSTITUTE(MID(_xlfn.TEXTAFTER('Banco de Dados'!$F1427,"Order date:
",1),1,10),"-","/"))),0)),ProxyDD[Chave],ProxyDD[Valor por pedido]),PROXY!$P$2),0),0)</f>
        <v>0</v>
      </c>
      <c r="AP1427" s="28">
        <f ca="1">IF('Banco de Dados'!$AK1427&lt;&gt;"-",IF('Banco de Dados'!$AL1427="NÃO",IFERROR(VALUE(SUBSTITUTE(_xlfn.TEXTAFTER('Banco de Dados'!$F1427,"BRL ",1),".",",")),0),0),0)</f>
        <v>0</v>
      </c>
      <c r="AQ1427" s="28">
        <f ca="1">SUM('Banco de Dados'!$AM1427:$AP1427)</f>
        <v>0</v>
      </c>
      <c r="AR1427" s="8"/>
      <c r="AY1427" s="8"/>
    </row>
    <row r="1428" spans="1:51">
      <c r="A1428" s="5" t="str">
        <v>MEI</v>
      </c>
      <c r="B1428" s="5" t="str">
        <f ca="1"/>
        <v>MEI45754</v>
      </c>
      <c r="C1428" s="8" t="str">
        <v>Pedido 1415</v>
      </c>
      <c r="D1428" s="187">
        <v>45750</v>
      </c>
      <c r="E1428" s="9">
        <v>45754</v>
      </c>
      <c r="F1428" s="8" t="str">
        <v>PedidoF1356</v>
      </c>
      <c r="G1428" s="2" t="str">
        <v>CódRastreio1354</v>
      </c>
      <c r="H1428" s="5">
        <v>1</v>
      </c>
      <c r="I1428" s="2" t="str">
        <v>CPF 1377</v>
      </c>
      <c r="J1428" s="2" t="str">
        <v>Nome 1377</v>
      </c>
      <c r="K1428" s="8" t="str">
        <v>Tel 1377</v>
      </c>
      <c r="L1428" s="8" t="str">
        <v>Cep 1377</v>
      </c>
      <c r="M1428" s="8" t="str">
        <v>Rua 1377</v>
      </c>
      <c r="N1428" s="8" t="str">
        <v>Comp 1377</v>
      </c>
      <c r="O1428" s="8" t="str">
        <v>Maçarico Culinário Portátil</v>
      </c>
      <c r="P1428" s="8" t="str">
        <v>BG-DHRO-FAEE</v>
      </c>
      <c r="Q1428" s="4">
        <v>45773</v>
      </c>
      <c r="R1428" s="109">
        <v>26.99</v>
      </c>
      <c r="S1428" s="11">
        <f ca="1"/>
        <v>26.99</v>
      </c>
      <c r="T1428" s="28">
        <f ca="1"/>
        <v>2.9688999999999997</v>
      </c>
      <c r="U1428" s="11">
        <f ca="1"/>
        <v>24.02</v>
      </c>
      <c r="V1428" s="11">
        <v>11.11</v>
      </c>
      <c r="W1428" s="11">
        <f ca="1"/>
        <v>0.24</v>
      </c>
      <c r="X1428" s="11">
        <f ca="1"/>
        <v>0.39877104377104378</v>
      </c>
      <c r="Y1428" s="11">
        <v>0</v>
      </c>
      <c r="Z1428" s="11">
        <f ca="1"/>
        <v>12.271228956228956</v>
      </c>
      <c r="AA1428" s="11">
        <f ca="1"/>
        <v>6.1356144781144781</v>
      </c>
      <c r="AB1428" s="4">
        <f ca="1"/>
        <v>45780</v>
      </c>
      <c r="AC1428" s="4">
        <v>45780</v>
      </c>
      <c r="AD1428" s="9">
        <v>45793</v>
      </c>
      <c r="AE1428" s="9">
        <v>45797</v>
      </c>
      <c r="AF1428" s="4" t="str">
        <f t="shared" ref="AF1428:AF1435" ca="1" si="94">_xlfn.CONCAT(PROPER(TEXT(AB1428,"aaaa"))," ",PROPER(TEXT(AB1428,"mm")))</f>
        <v>2025 05</v>
      </c>
      <c r="AG1428" s="8" t="str" cm="1">
        <f t="array" ref="AG1428">IFERROR(_xlfn.IFS('Banco de Dados'!#REF!="AG. COMPRA","Em processamento",'Banco de Dados'!#REF!="AG. RASTREIO","Em processamento",'Banco de Dados'!$AE1428&lt;&gt;"-","Faturado",'Banco de Dados'!$AD1428&lt;&gt;"-","Aguardando Pix",'Banco de Dados'!$AC1428&lt;&gt;"-","Pendente"),"Aguardando Liberação")</f>
        <v>Aguardando Liberação</v>
      </c>
      <c r="AH1428" s="5" t="str">
        <f>IF('Banco de Dados'!$F1428="-",_xlfn.CONCAT(PROPER(TEXT(AK1428,"aaaa"))," ",PROPER(TEXT(AK1428,"mm"))),_xlfn.CONCAT(PROPER(TEXT(E1428,"aaaa"))," ",PROPER(TEXT(E1428,"mm"))))</f>
        <v>2025 04</v>
      </c>
      <c r="AI1428" s="9" t="str">
        <f ca="1">IF('Banco de Dados'!$AK1428&lt;&gt;"-","REEMBOLSO",IFERROR(_xlfn.XLOOKUP(G1428,Follow[CODRASTREIO],Follow[STATUS]),"-"))</f>
        <v>ENTREGUE</v>
      </c>
      <c r="AJ1428" s="9">
        <f ca="1">IF('Banco de Dados'!$AI1428="ENTREGUE",_xlfn.XLOOKUP('Banco de Dados'!$G1428,Follow[CODRASTREIO],Follow[DATAATUALIZAÇÃO]),"-")</f>
        <v>45776</v>
      </c>
      <c r="AK1428" s="132" t="str">
        <f ca="1"/>
        <v>-</v>
      </c>
      <c r="AL1428" s="35"/>
      <c r="AM1428" s="109" cm="1">
        <f t="array" aca="1" ref="AM1428" ca="1">IF('Banco de Dados'!$AK1428&lt;&gt;"-",_xlfn.IFS('Banco de Dados'!$A1428="bv",IF('Banco de Dados'!$E1428&lt;45641,ROUND(SUM('Banco de Dados'!$R1428*_xlfn.XLOOKUP('Banco de Dados'!$P1428,Sku!B:B,Sku!#REF!)*20%),2),ROUND(SUM('Banco de Dados'!$R1428*_xlfn.XLOOKUP('Banco de Dados'!$P1428,Sku!B:B,Sku!H:H)*20%),2)),'Banco de Dados'!$A1428="GO",ROUND(SUM('Banco de Dados'!$R1428*_xlfn.XLOOKUP('Banco de Dados'!$P1428,Sku!C:C,Sku!H:H)*20%),2),'Banco de Dados'!$A1428="MEI",ROUND(SUM('Banco de Dados'!$R1428*_xlfn.XLOOKUP('Banco de Dados'!$P1428,Sku!D:D,Sku!H:H)*20%),2)),0)</f>
        <v>0</v>
      </c>
      <c r="AN1428" s="109">
        <f ca="1">IF('Banco de Dados'!$AK1428&lt;&gt;"-",IF('Banco de Dados'!$F1428&lt;&gt;"-",_xlfn.XLOOKUP(IFERROR(IFERROR(IFERROR(VALUE(SUBSTITUTE(MID(_xlfn.TEXTAFTER('Banco de Dados'!$F1428,"Data do Pedido:
",1),1,10),"-","/")),VALUE(SUBSTITUTE(MID(_xlfn.TEXTAFTER('Banco de Dados'!$F1428,"Order date:
",1),1,10),"-","/"))),VALUE(SUBSTITUTE(MID(_xlfn.TEXTAFTER('Banco de Dados'!$F1428,"Fecha de pedido:
",1),1,10),"-","/"))),"-"),SMS!A:A,SMS!K:K),0),0)</f>
        <v>0</v>
      </c>
      <c r="AO1428" s="109">
        <f ca="1">IF('Banco de Dados'!$AK1428&lt;&gt;"-",IF('Banco de Dados'!$F1428&lt;&gt;"-",IFERROR(_xlfn.XLOOKUP(_xlfn.CONCAT('Banco de Dados'!$A1428,IFERROR(IFERROR(VALUE(SUBSTITUTE(MID(_xlfn.TEXTAFTER('Banco de Dados'!$F1428,"Data do Pedido:
",1),1,10),"-","/")),VALUE(SUBSTITUTE(MID(_xlfn.TEXTAFTER('Banco de Dados'!$F1428,"Order date:
",1),1,10),"-","/"))),0)),ProxyDD[Chave],ProxyDD[Valor por pedido]),PROXY!$P$2),0),0)</f>
        <v>0</v>
      </c>
      <c r="AP1428" s="28">
        <f ca="1">IF('Banco de Dados'!$AK1428&lt;&gt;"-",IF('Banco de Dados'!$AL1428="NÃO",IFERROR(VALUE(SUBSTITUTE(_xlfn.TEXTAFTER('Banco de Dados'!$F1428,"BRL ",1),".",",")),0),0),0)</f>
        <v>0</v>
      </c>
      <c r="AQ1428" s="28">
        <f ca="1">SUM('Banco de Dados'!$AM1428:$AP1428)</f>
        <v>0</v>
      </c>
      <c r="AR1428" s="8"/>
      <c r="AY1428" s="8"/>
    </row>
    <row r="1429" spans="1:51">
      <c r="A1429" s="5" t="str">
        <v>MEI</v>
      </c>
      <c r="B1429" s="5" t="str">
        <f ca="1"/>
        <v>MEI45754</v>
      </c>
      <c r="C1429" s="8" t="str">
        <v>Pedido 1416</v>
      </c>
      <c r="D1429" s="187">
        <v>45750</v>
      </c>
      <c r="E1429" s="9">
        <v>45754</v>
      </c>
      <c r="F1429" s="8" t="str">
        <v>PedidoF1357</v>
      </c>
      <c r="G1429" s="2" t="str">
        <v>CódRastreio1355</v>
      </c>
      <c r="H1429" s="5">
        <v>1</v>
      </c>
      <c r="I1429" s="2" t="str">
        <v>CPF 1378</v>
      </c>
      <c r="J1429" s="2" t="str">
        <v>Nome 1378</v>
      </c>
      <c r="K1429" s="8" t="str">
        <v>Tel 1378</v>
      </c>
      <c r="L1429" s="8" t="str">
        <v>Cep 1378</v>
      </c>
      <c r="M1429" s="8" t="str">
        <v>Rua 1378</v>
      </c>
      <c r="N1429" s="8" t="str">
        <v>Comp 1378</v>
      </c>
      <c r="O1429" s="8" t="str">
        <v>Garrafa Termica</v>
      </c>
      <c r="P1429" s="8" t="str">
        <v>LF-R6MC-WKWP</v>
      </c>
      <c r="Q1429" s="4">
        <v>45780</v>
      </c>
      <c r="R1429" s="109">
        <v>32.67</v>
      </c>
      <c r="S1429" s="11">
        <f ca="1"/>
        <v>32.67</v>
      </c>
      <c r="T1429" s="28">
        <f ca="1"/>
        <v>3.9203999999999999</v>
      </c>
      <c r="U1429" s="11">
        <f ca="1"/>
        <v>28.75</v>
      </c>
      <c r="V1429" s="11">
        <v>12.3</v>
      </c>
      <c r="W1429" s="11">
        <f ca="1"/>
        <v>0.24</v>
      </c>
      <c r="X1429" s="11">
        <f ca="1"/>
        <v>0.39877104377104378</v>
      </c>
      <c r="Y1429" s="11">
        <v>0</v>
      </c>
      <c r="Z1429" s="11">
        <f ca="1"/>
        <v>15.811228956228955</v>
      </c>
      <c r="AA1429" s="11">
        <f ca="1"/>
        <v>7.9056144781144777</v>
      </c>
      <c r="AB1429" s="4">
        <f ca="1"/>
        <v>45787</v>
      </c>
      <c r="AC1429" s="4">
        <v>45787</v>
      </c>
      <c r="AD1429" s="9">
        <v>45793</v>
      </c>
      <c r="AE1429" s="9">
        <v>45797</v>
      </c>
      <c r="AF1429" s="4" t="str">
        <f t="shared" ca="1" si="94"/>
        <v>2025 05</v>
      </c>
      <c r="AG1429" s="8" t="str" cm="1">
        <f t="array" ref="AG1429">IFERROR(_xlfn.IFS('Banco de Dados'!#REF!="AG. COMPRA","Em processamento",'Banco de Dados'!#REF!="AG. RASTREIO","Em processamento",'Banco de Dados'!$AE1429&lt;&gt;"-","Faturado",'Banco de Dados'!$AD1429&lt;&gt;"-","Aguardando Pix",'Banco de Dados'!$AC1429&lt;&gt;"-","Pendente"),"Aguardando Liberação")</f>
        <v>Aguardando Liberação</v>
      </c>
      <c r="AH1429" s="5" t="str">
        <f>IF('Banco de Dados'!$F1429="-",_xlfn.CONCAT(PROPER(TEXT(AK1429,"aaaa"))," ",PROPER(TEXT(AK1429,"mm"))),_xlfn.CONCAT(PROPER(TEXT(E1429,"aaaa"))," ",PROPER(TEXT(E1429,"mm"))))</f>
        <v>2025 04</v>
      </c>
      <c r="AI1429" s="9" t="str">
        <f ca="1">IF('Banco de Dados'!$AK1429&lt;&gt;"-","REEMBOLSO",IFERROR(_xlfn.XLOOKUP(G1429,Follow[CODRASTREIO],Follow[STATUS]),"-"))</f>
        <v>ENTREGUE</v>
      </c>
      <c r="AJ1429" s="9">
        <f ca="1">IF('Banco de Dados'!$AI1429="ENTREGUE",_xlfn.XLOOKUP('Banco de Dados'!$G1429,Follow[CODRASTREIO],Follow[DATAATUALIZAÇÃO]),"-")</f>
        <v>45769</v>
      </c>
      <c r="AK1429" s="132" t="str">
        <f ca="1"/>
        <v>-</v>
      </c>
      <c r="AL1429" s="35"/>
      <c r="AM1429" s="109" cm="1">
        <f t="array" aca="1" ref="AM1429" ca="1">IF('Banco de Dados'!$AK1429&lt;&gt;"-",_xlfn.IFS('Banco de Dados'!$A1429="bv",IF('Banco de Dados'!$E1429&lt;45641,ROUND(SUM('Banco de Dados'!$R1429*_xlfn.XLOOKUP('Banco de Dados'!$P1429,Sku!B:B,Sku!#REF!)*20%),2),ROUND(SUM('Banco de Dados'!$R1429*_xlfn.XLOOKUP('Banco de Dados'!$P1429,Sku!B:B,Sku!H:H)*20%),2)),'Banco de Dados'!$A1429="GO",ROUND(SUM('Banco de Dados'!$R1429*_xlfn.XLOOKUP('Banco de Dados'!$P1429,Sku!C:C,Sku!H:H)*20%),2),'Banco de Dados'!$A1429="MEI",ROUND(SUM('Banco de Dados'!$R1429*_xlfn.XLOOKUP('Banco de Dados'!$P1429,Sku!D:D,Sku!H:H)*20%),2)),0)</f>
        <v>0</v>
      </c>
      <c r="AN1429" s="109">
        <f ca="1">IF('Banco de Dados'!$AK1429&lt;&gt;"-",IF('Banco de Dados'!$F1429&lt;&gt;"-",_xlfn.XLOOKUP(IFERROR(IFERROR(IFERROR(VALUE(SUBSTITUTE(MID(_xlfn.TEXTAFTER('Banco de Dados'!$F1429,"Data do Pedido:
",1),1,10),"-","/")),VALUE(SUBSTITUTE(MID(_xlfn.TEXTAFTER('Banco de Dados'!$F1429,"Order date:
",1),1,10),"-","/"))),VALUE(SUBSTITUTE(MID(_xlfn.TEXTAFTER('Banco de Dados'!$F1429,"Fecha de pedido:
",1),1,10),"-","/"))),"-"),SMS!A:A,SMS!K:K),0),0)</f>
        <v>0</v>
      </c>
      <c r="AO1429" s="109">
        <f ca="1">IF('Banco de Dados'!$AK1429&lt;&gt;"-",IF('Banco de Dados'!$F1429&lt;&gt;"-",IFERROR(_xlfn.XLOOKUP(_xlfn.CONCAT('Banco de Dados'!$A1429,IFERROR(IFERROR(VALUE(SUBSTITUTE(MID(_xlfn.TEXTAFTER('Banco de Dados'!$F1429,"Data do Pedido:
",1),1,10),"-","/")),VALUE(SUBSTITUTE(MID(_xlfn.TEXTAFTER('Banco de Dados'!$F1429,"Order date:
",1),1,10),"-","/"))),0)),ProxyDD[Chave],ProxyDD[Valor por pedido]),PROXY!$P$2),0),0)</f>
        <v>0</v>
      </c>
      <c r="AP1429" s="28">
        <f ca="1">IF('Banco de Dados'!$AK1429&lt;&gt;"-",IF('Banco de Dados'!$AL1429="NÃO",IFERROR(VALUE(SUBSTITUTE(_xlfn.TEXTAFTER('Banco de Dados'!$F1429,"BRL ",1),".",",")),0),0),0)</f>
        <v>0</v>
      </c>
      <c r="AQ1429" s="28">
        <f ca="1">SUM('Banco de Dados'!$AM1429:$AP1429)</f>
        <v>0</v>
      </c>
      <c r="AR1429" s="8"/>
      <c r="AY1429" s="8"/>
    </row>
    <row r="1430" spans="1:51">
      <c r="A1430" s="5" t="str">
        <v>MEI</v>
      </c>
      <c r="B1430" s="5" t="str">
        <f ca="1"/>
        <v>MEI45754</v>
      </c>
      <c r="C1430" s="8" t="str">
        <v>Pedido 1417</v>
      </c>
      <c r="D1430" s="187">
        <v>45751</v>
      </c>
      <c r="E1430" s="9">
        <v>45754</v>
      </c>
      <c r="F1430" s="8" t="str">
        <v>PedidoF1358</v>
      </c>
      <c r="G1430" s="2" t="str">
        <v>CódRastreio1356</v>
      </c>
      <c r="H1430" s="5">
        <v>1</v>
      </c>
      <c r="I1430" s="2" t="str">
        <v>CPF 1379</v>
      </c>
      <c r="J1430" s="2" t="str">
        <v>Nome 1379</v>
      </c>
      <c r="K1430" s="8" t="str">
        <v>Tel 1379</v>
      </c>
      <c r="L1430" s="8" t="str">
        <v>Cep 1379</v>
      </c>
      <c r="M1430" s="8" t="str">
        <v>Rua 1379</v>
      </c>
      <c r="N1430" s="8" t="str">
        <v>Comp 1379</v>
      </c>
      <c r="O1430" s="8" t="str">
        <v>Copo Termico</v>
      </c>
      <c r="P1430" s="8" t="str">
        <v>VI-4RT5-1FFO</v>
      </c>
      <c r="Q1430" s="4">
        <v>45773</v>
      </c>
      <c r="R1430" s="109">
        <v>22.7</v>
      </c>
      <c r="S1430" s="11">
        <f ca="1"/>
        <v>22.7</v>
      </c>
      <c r="T1430" s="28">
        <f ca="1"/>
        <v>2.7239999999999998</v>
      </c>
      <c r="U1430" s="11">
        <f ca="1"/>
        <v>19.98</v>
      </c>
      <c r="V1430" s="11">
        <v>6.99</v>
      </c>
      <c r="W1430" s="11">
        <f ca="1"/>
        <v>0.24</v>
      </c>
      <c r="X1430" s="11">
        <f ca="1"/>
        <v>0.39877104377104378</v>
      </c>
      <c r="Y1430" s="11">
        <v>0</v>
      </c>
      <c r="Z1430" s="11">
        <f ca="1"/>
        <v>12.351228956228956</v>
      </c>
      <c r="AA1430" s="11">
        <f ca="1"/>
        <v>6.1756144781144782</v>
      </c>
      <c r="AB1430" s="4">
        <f ca="1"/>
        <v>45780</v>
      </c>
      <c r="AC1430" s="4">
        <v>45780</v>
      </c>
      <c r="AD1430" s="9">
        <v>45793</v>
      </c>
      <c r="AE1430" s="9">
        <v>45797</v>
      </c>
      <c r="AF1430" s="4" t="str">
        <f t="shared" ca="1" si="94"/>
        <v>2025 05</v>
      </c>
      <c r="AG1430" s="8" t="str" cm="1">
        <f t="array" ref="AG1430">IFERROR(_xlfn.IFS('Banco de Dados'!#REF!="AG. COMPRA","Em processamento",'Banco de Dados'!#REF!="AG. RASTREIO","Em processamento",'Banco de Dados'!$AE1430&lt;&gt;"-","Faturado",'Banco de Dados'!$AD1430&lt;&gt;"-","Aguardando Pix",'Banco de Dados'!$AC1430&lt;&gt;"-","Pendente"),"Aguardando Liberação")</f>
        <v>Aguardando Liberação</v>
      </c>
      <c r="AH1430" s="5" t="str">
        <f>IF('Banco de Dados'!$F1430="-",_xlfn.CONCAT(PROPER(TEXT(AK1430,"aaaa"))," ",PROPER(TEXT(AK1430,"mm"))),_xlfn.CONCAT(PROPER(TEXT(E1430,"aaaa"))," ",PROPER(TEXT(E1430,"mm"))))</f>
        <v>2025 04</v>
      </c>
      <c r="AI1430" s="9" t="str">
        <f ca="1">IF('Banco de Dados'!$AK1430&lt;&gt;"-","REEMBOLSO",IFERROR(_xlfn.XLOOKUP(G1430,Follow[CODRASTREIO],Follow[STATUS]),"-"))</f>
        <v>ENTREGUE</v>
      </c>
      <c r="AJ1430" s="9">
        <f ca="1">IF('Banco de Dados'!$AI1430="ENTREGUE",_xlfn.XLOOKUP('Banco de Dados'!$G1430,Follow[CODRASTREIO],Follow[DATAATUALIZAÇÃO]),"-")</f>
        <v>45757</v>
      </c>
      <c r="AK1430" s="132" t="str">
        <f ca="1"/>
        <v>-</v>
      </c>
      <c r="AL1430" s="35"/>
      <c r="AM1430" s="109" cm="1">
        <f t="array" aca="1" ref="AM1430" ca="1">IF('Banco de Dados'!$AK1430&lt;&gt;"-",_xlfn.IFS('Banco de Dados'!$A1430="bv",IF('Banco de Dados'!$E1430&lt;45641,ROUND(SUM('Banco de Dados'!$R1430*_xlfn.XLOOKUP('Banco de Dados'!$P1430,Sku!B:B,Sku!#REF!)*20%),2),ROUND(SUM('Banco de Dados'!$R1430*_xlfn.XLOOKUP('Banco de Dados'!$P1430,Sku!B:B,Sku!H:H)*20%),2)),'Banco de Dados'!$A1430="GO",ROUND(SUM('Banco de Dados'!$R1430*_xlfn.XLOOKUP('Banco de Dados'!$P1430,Sku!C:C,Sku!H:H)*20%),2),'Banco de Dados'!$A1430="MEI",ROUND(SUM('Banco de Dados'!$R1430*_xlfn.XLOOKUP('Banco de Dados'!$P1430,Sku!D:D,Sku!H:H)*20%),2)),0)</f>
        <v>0</v>
      </c>
      <c r="AN1430" s="109">
        <f ca="1">IF('Banco de Dados'!$AK1430&lt;&gt;"-",IF('Banco de Dados'!$F1430&lt;&gt;"-",_xlfn.XLOOKUP(IFERROR(IFERROR(IFERROR(VALUE(SUBSTITUTE(MID(_xlfn.TEXTAFTER('Banco de Dados'!$F1430,"Data do Pedido:
",1),1,10),"-","/")),VALUE(SUBSTITUTE(MID(_xlfn.TEXTAFTER('Banco de Dados'!$F1430,"Order date:
",1),1,10),"-","/"))),VALUE(SUBSTITUTE(MID(_xlfn.TEXTAFTER('Banco de Dados'!$F1430,"Fecha de pedido:
",1),1,10),"-","/"))),"-"),SMS!A:A,SMS!K:K),0),0)</f>
        <v>0</v>
      </c>
      <c r="AO1430" s="109">
        <f ca="1">IF('Banco de Dados'!$AK1430&lt;&gt;"-",IF('Banco de Dados'!$F1430&lt;&gt;"-",IFERROR(_xlfn.XLOOKUP(_xlfn.CONCAT('Banco de Dados'!$A1430,IFERROR(IFERROR(VALUE(SUBSTITUTE(MID(_xlfn.TEXTAFTER('Banco de Dados'!$F1430,"Data do Pedido:
",1),1,10),"-","/")),VALUE(SUBSTITUTE(MID(_xlfn.TEXTAFTER('Banco de Dados'!$F1430,"Order date:
",1),1,10),"-","/"))),0)),ProxyDD[Chave],ProxyDD[Valor por pedido]),PROXY!$P$2),0),0)</f>
        <v>0</v>
      </c>
      <c r="AP1430" s="28">
        <f ca="1">IF('Banco de Dados'!$AK1430&lt;&gt;"-",IF('Banco de Dados'!$AL1430="NÃO",IFERROR(VALUE(SUBSTITUTE(_xlfn.TEXTAFTER('Banco de Dados'!$F1430,"BRL ",1),".",",")),0),0),0)</f>
        <v>0</v>
      </c>
      <c r="AQ1430" s="28">
        <f ca="1">SUM('Banco de Dados'!$AM1430:$AP1430)</f>
        <v>0</v>
      </c>
      <c r="AR1430" s="8"/>
      <c r="AY1430" s="8"/>
    </row>
    <row r="1431" spans="1:51">
      <c r="A1431" s="5" t="str">
        <v>MEI</v>
      </c>
      <c r="B1431" s="5" t="str">
        <f ca="1"/>
        <v>MEI45755</v>
      </c>
      <c r="C1431" s="8" t="str">
        <v>Pedido 1418</v>
      </c>
      <c r="D1431" s="187">
        <v>45751</v>
      </c>
      <c r="E1431" s="9">
        <v>45755</v>
      </c>
      <c r="F1431" s="8" t="str">
        <v>PedidoF1359</v>
      </c>
      <c r="G1431" s="2" t="str">
        <v>CódRastreio1357</v>
      </c>
      <c r="H1431" s="5">
        <v>1</v>
      </c>
      <c r="I1431" s="2" t="str">
        <v>CPF 1380</v>
      </c>
      <c r="J1431" s="2" t="str">
        <v>Nome 1380</v>
      </c>
      <c r="K1431" s="8" t="str">
        <v>Tel 1380</v>
      </c>
      <c r="L1431" s="8" t="str">
        <v>Cep 1380</v>
      </c>
      <c r="M1431" s="8" t="str">
        <v>Rua 1380</v>
      </c>
      <c r="N1431" s="8" t="str">
        <v>Comp 1380</v>
      </c>
      <c r="O1431" s="8" t="str">
        <v>Maçarico Culinário Portátil</v>
      </c>
      <c r="P1431" s="8" t="str">
        <v>BG-DHRO-FAEE</v>
      </c>
      <c r="Q1431" s="4">
        <v>45783</v>
      </c>
      <c r="R1431" s="109">
        <v>26.99</v>
      </c>
      <c r="S1431" s="11">
        <f ca="1"/>
        <v>26.99</v>
      </c>
      <c r="T1431" s="28">
        <f ca="1"/>
        <v>2.9688999999999997</v>
      </c>
      <c r="U1431" s="11">
        <f ca="1"/>
        <v>24.02</v>
      </c>
      <c r="V1431" s="11">
        <v>11.13</v>
      </c>
      <c r="W1431" s="11">
        <f ca="1"/>
        <v>0.25</v>
      </c>
      <c r="X1431" s="11">
        <f ca="1"/>
        <v>0.39877104377104378</v>
      </c>
      <c r="Y1431" s="11">
        <v>0</v>
      </c>
      <c r="Z1431" s="11">
        <f ca="1"/>
        <v>12.241228956228955</v>
      </c>
      <c r="AA1431" s="11">
        <f ca="1"/>
        <v>6.1206144781144776</v>
      </c>
      <c r="AB1431" s="4">
        <f ca="1"/>
        <v>45790</v>
      </c>
      <c r="AC1431" s="4">
        <v>45790</v>
      </c>
      <c r="AD1431" s="9">
        <v>45793</v>
      </c>
      <c r="AE1431" s="9">
        <v>45797</v>
      </c>
      <c r="AF1431" s="4" t="str">
        <f t="shared" ca="1" si="94"/>
        <v>2025 05</v>
      </c>
      <c r="AG1431" s="8" t="str" cm="1">
        <f t="array" ref="AG1431">IFERROR(_xlfn.IFS('Banco de Dados'!#REF!="AG. COMPRA","Em processamento",'Banco de Dados'!#REF!="AG. RASTREIO","Em processamento",'Banco de Dados'!$AE1431&lt;&gt;"-","Faturado",'Banco de Dados'!$AD1431&lt;&gt;"-","Aguardando Pix",'Banco de Dados'!$AC1431&lt;&gt;"-","Pendente"),"Aguardando Liberação")</f>
        <v>Aguardando Liberação</v>
      </c>
      <c r="AH1431" s="5" t="str">
        <f>IF('Banco de Dados'!$F1431="-",_xlfn.CONCAT(PROPER(TEXT(AK1431,"aaaa"))," ",PROPER(TEXT(AK1431,"mm"))),_xlfn.CONCAT(PROPER(TEXT(E1431,"aaaa"))," ",PROPER(TEXT(E1431,"mm"))))</f>
        <v>2025 04</v>
      </c>
      <c r="AI1431" s="9" t="str">
        <f ca="1">IF('Banco de Dados'!$AK1431&lt;&gt;"-","REEMBOLSO",IFERROR(_xlfn.XLOOKUP(G1431,Follow[CODRASTREIO],Follow[STATUS]),"-"))</f>
        <v>ENTREGUE</v>
      </c>
      <c r="AJ1431" s="9">
        <f ca="1">IF('Banco de Dados'!$AI1431="ENTREGUE",_xlfn.XLOOKUP('Banco de Dados'!$G1431,Follow[CODRASTREIO],Follow[DATAATUALIZAÇÃO]),"-")</f>
        <v>45776</v>
      </c>
      <c r="AK1431" s="132" t="str">
        <f ca="1"/>
        <v>-</v>
      </c>
      <c r="AL1431" s="35"/>
      <c r="AM1431" s="109" cm="1">
        <f t="array" aca="1" ref="AM1431" ca="1">IF('Banco de Dados'!$AK1431&lt;&gt;"-",_xlfn.IFS('Banco de Dados'!$A1431="bv",IF('Banco de Dados'!$E1431&lt;45641,ROUND(SUM('Banco de Dados'!$R1431*_xlfn.XLOOKUP('Banco de Dados'!$P1431,Sku!B:B,Sku!#REF!)*20%),2),ROUND(SUM('Banco de Dados'!$R1431*_xlfn.XLOOKUP('Banco de Dados'!$P1431,Sku!B:B,Sku!H:H)*20%),2)),'Banco de Dados'!$A1431="GO",ROUND(SUM('Banco de Dados'!$R1431*_xlfn.XLOOKUP('Banco de Dados'!$P1431,Sku!C:C,Sku!H:H)*20%),2),'Banco de Dados'!$A1431="MEI",ROUND(SUM('Banco de Dados'!$R1431*_xlfn.XLOOKUP('Banco de Dados'!$P1431,Sku!D:D,Sku!H:H)*20%),2)),0)</f>
        <v>0</v>
      </c>
      <c r="AN1431" s="109">
        <f ca="1">IF('Banco de Dados'!$AK1431&lt;&gt;"-",IF('Banco de Dados'!$F1431&lt;&gt;"-",_xlfn.XLOOKUP(IFERROR(IFERROR(IFERROR(VALUE(SUBSTITUTE(MID(_xlfn.TEXTAFTER('Banco de Dados'!$F1431,"Data do Pedido:
",1),1,10),"-","/")),VALUE(SUBSTITUTE(MID(_xlfn.TEXTAFTER('Banco de Dados'!$F1431,"Order date:
",1),1,10),"-","/"))),VALUE(SUBSTITUTE(MID(_xlfn.TEXTAFTER('Banco de Dados'!$F1431,"Fecha de pedido:
",1),1,10),"-","/"))),"-"),SMS!A:A,SMS!K:K),0),0)</f>
        <v>0</v>
      </c>
      <c r="AO1431" s="109">
        <f ca="1">IF('Banco de Dados'!$AK1431&lt;&gt;"-",IF('Banco de Dados'!$F1431&lt;&gt;"-",IFERROR(_xlfn.XLOOKUP(_xlfn.CONCAT('Banco de Dados'!$A1431,IFERROR(IFERROR(VALUE(SUBSTITUTE(MID(_xlfn.TEXTAFTER('Banco de Dados'!$F1431,"Data do Pedido:
",1),1,10),"-","/")),VALUE(SUBSTITUTE(MID(_xlfn.TEXTAFTER('Banco de Dados'!$F1431,"Order date:
",1),1,10),"-","/"))),0)),ProxyDD[Chave],ProxyDD[Valor por pedido]),PROXY!$P$2),0),0)</f>
        <v>0</v>
      </c>
      <c r="AP1431" s="28">
        <f ca="1">IF('Banco de Dados'!$AK1431&lt;&gt;"-",IF('Banco de Dados'!$AL1431="NÃO",IFERROR(VALUE(SUBSTITUTE(_xlfn.TEXTAFTER('Banco de Dados'!$F1431,"BRL ",1),".",",")),0),0),0)</f>
        <v>0</v>
      </c>
      <c r="AQ1431" s="28">
        <f ca="1">SUM('Banco de Dados'!$AM1431:$AP1431)</f>
        <v>0</v>
      </c>
      <c r="AR1431" s="8"/>
      <c r="AY1431" s="8"/>
    </row>
    <row r="1432" spans="1:51">
      <c r="A1432" s="5" t="str">
        <v>MEI</v>
      </c>
      <c r="B1432" s="5" t="str">
        <f ca="1"/>
        <v>MEI45756</v>
      </c>
      <c r="C1432" s="8" t="str">
        <v>Pedido 1419</v>
      </c>
      <c r="D1432" s="187">
        <v>45751</v>
      </c>
      <c r="E1432" s="9">
        <v>45756</v>
      </c>
      <c r="F1432" s="8" t="str">
        <v>PedidoF1360</v>
      </c>
      <c r="G1432" s="2" t="str">
        <v>CódRastreio1358</v>
      </c>
      <c r="H1432" s="5">
        <v>1</v>
      </c>
      <c r="I1432" s="2" t="str">
        <v>CPF 1381</v>
      </c>
      <c r="J1432" s="2" t="str">
        <v>Nome 1381</v>
      </c>
      <c r="K1432" s="8" t="str">
        <v>Tel 1381</v>
      </c>
      <c r="L1432" s="8" t="str">
        <v>Cep 1381</v>
      </c>
      <c r="M1432" s="8" t="str">
        <v>Rua 1381</v>
      </c>
      <c r="N1432" s="8" t="str">
        <v>Comp 1381</v>
      </c>
      <c r="O1432" s="8" t="str">
        <v>Copo Termico</v>
      </c>
      <c r="P1432" s="8" t="str">
        <v>VI-4RT5-1FFO</v>
      </c>
      <c r="Q1432" s="4">
        <v>45790</v>
      </c>
      <c r="R1432" s="109">
        <v>22.7</v>
      </c>
      <c r="S1432" s="11">
        <f ca="1"/>
        <v>22.7</v>
      </c>
      <c r="T1432" s="28">
        <f ca="1"/>
        <v>2.7239999999999998</v>
      </c>
      <c r="U1432" s="11">
        <f ca="1"/>
        <v>19.98</v>
      </c>
      <c r="V1432" s="11">
        <v>14.71</v>
      </c>
      <c r="W1432" s="11">
        <f ca="1"/>
        <v>0.2</v>
      </c>
      <c r="X1432" s="11">
        <f ca="1"/>
        <v>0.39877104377104378</v>
      </c>
      <c r="Y1432" s="11">
        <v>0</v>
      </c>
      <c r="Z1432" s="11">
        <f ca="1"/>
        <v>4.6712289562289566</v>
      </c>
      <c r="AA1432" s="11">
        <f ca="1"/>
        <v>2.3356144781144783</v>
      </c>
      <c r="AB1432" s="4">
        <f ca="1"/>
        <v>45797</v>
      </c>
      <c r="AC1432" s="4">
        <v>45797</v>
      </c>
      <c r="AD1432" s="9">
        <v>45807</v>
      </c>
      <c r="AE1432" s="9">
        <v>45810</v>
      </c>
      <c r="AF1432" s="4" t="str">
        <f t="shared" ca="1" si="94"/>
        <v>2025 05</v>
      </c>
      <c r="AG1432" s="8" t="str" cm="1">
        <f t="array" ref="AG1432">IFERROR(_xlfn.IFS('Banco de Dados'!#REF!="AG. COMPRA","Em processamento",'Banco de Dados'!#REF!="AG. RASTREIO","Em processamento",'Banco de Dados'!$AE1432&lt;&gt;"-","Faturado",'Banco de Dados'!$AD1432&lt;&gt;"-","Aguardando Pix",'Banco de Dados'!$AC1432&lt;&gt;"-","Pendente"),"Aguardando Liberação")</f>
        <v>Aguardando Liberação</v>
      </c>
      <c r="AH1432" s="5" t="str">
        <f>IF('Banco de Dados'!$F1432="-",_xlfn.CONCAT(PROPER(TEXT(AK1432,"aaaa"))," ",PROPER(TEXT(AK1432,"mm"))),_xlfn.CONCAT(PROPER(TEXT(E1432,"aaaa"))," ",PROPER(TEXT(E1432,"mm"))))</f>
        <v>2025 04</v>
      </c>
      <c r="AI1432" s="9" t="str">
        <f ca="1">IF('Banco de Dados'!$AK1432&lt;&gt;"-","REEMBOLSO",IFERROR(_xlfn.XLOOKUP(G1432,Follow[CODRASTREIO],Follow[STATUS]),"-"))</f>
        <v>ENTREGUE</v>
      </c>
      <c r="AJ1432" s="9">
        <f ca="1">IF('Banco de Dados'!$AI1432="ENTREGUE",_xlfn.XLOOKUP('Banco de Dados'!$G1432,Follow[CODRASTREIO],Follow[DATAATUALIZAÇÃO]),"-")</f>
        <v>45766</v>
      </c>
      <c r="AK1432" s="132" t="str">
        <f ca="1"/>
        <v>-</v>
      </c>
      <c r="AL1432" s="35"/>
      <c r="AM1432" s="109" cm="1">
        <f t="array" aca="1" ref="AM1432" ca="1">IF('Banco de Dados'!$AK1432&lt;&gt;"-",_xlfn.IFS('Banco de Dados'!$A1432="bv",IF('Banco de Dados'!$E1432&lt;45641,ROUND(SUM('Banco de Dados'!$R1432*_xlfn.XLOOKUP('Banco de Dados'!$P1432,Sku!B:B,Sku!#REF!)*20%),2),ROUND(SUM('Banco de Dados'!$R1432*_xlfn.XLOOKUP('Banco de Dados'!$P1432,Sku!B:B,Sku!H:H)*20%),2)),'Banco de Dados'!$A1432="GO",ROUND(SUM('Banco de Dados'!$R1432*_xlfn.XLOOKUP('Banco de Dados'!$P1432,Sku!C:C,Sku!H:H)*20%),2),'Banco de Dados'!$A1432="MEI",ROUND(SUM('Banco de Dados'!$R1432*_xlfn.XLOOKUP('Banco de Dados'!$P1432,Sku!D:D,Sku!H:H)*20%),2)),0)</f>
        <v>0</v>
      </c>
      <c r="AN1432" s="109">
        <f ca="1">IF('Banco de Dados'!$AK1432&lt;&gt;"-",IF('Banco de Dados'!$F1432&lt;&gt;"-",_xlfn.XLOOKUP(IFERROR(IFERROR(IFERROR(VALUE(SUBSTITUTE(MID(_xlfn.TEXTAFTER('Banco de Dados'!$F1432,"Data do Pedido:
",1),1,10),"-","/")),VALUE(SUBSTITUTE(MID(_xlfn.TEXTAFTER('Banco de Dados'!$F1432,"Order date:
",1),1,10),"-","/"))),VALUE(SUBSTITUTE(MID(_xlfn.TEXTAFTER('Banco de Dados'!$F1432,"Fecha de pedido:
",1),1,10),"-","/"))),"-"),SMS!A:A,SMS!K:K),0),0)</f>
        <v>0</v>
      </c>
      <c r="AO1432" s="109">
        <f ca="1">IF('Banco de Dados'!$AK1432&lt;&gt;"-",IF('Banco de Dados'!$F1432&lt;&gt;"-",IFERROR(_xlfn.XLOOKUP(_xlfn.CONCAT('Banco de Dados'!$A1432,IFERROR(IFERROR(VALUE(SUBSTITUTE(MID(_xlfn.TEXTAFTER('Banco de Dados'!$F1432,"Data do Pedido:
",1),1,10),"-","/")),VALUE(SUBSTITUTE(MID(_xlfn.TEXTAFTER('Banco de Dados'!$F1432,"Order date:
",1),1,10),"-","/"))),0)),ProxyDD[Chave],ProxyDD[Valor por pedido]),PROXY!$P$2),0),0)</f>
        <v>0</v>
      </c>
      <c r="AP1432" s="28">
        <f ca="1">IF('Banco de Dados'!$AK1432&lt;&gt;"-",IF('Banco de Dados'!$AL1432="NÃO",IFERROR(VALUE(SUBSTITUTE(_xlfn.TEXTAFTER('Banco de Dados'!$F1432,"BRL ",1),".",",")),0),0),0)</f>
        <v>0</v>
      </c>
      <c r="AQ1432" s="28">
        <f ca="1">SUM('Banco de Dados'!$AM1432:$AP1432)</f>
        <v>0</v>
      </c>
      <c r="AR1432" s="8"/>
      <c r="AY1432" s="8"/>
    </row>
    <row r="1433" spans="1:51">
      <c r="A1433" s="5" t="str">
        <v>MEI</v>
      </c>
      <c r="B1433" s="5" t="str">
        <f ca="1"/>
        <v>MEI45755</v>
      </c>
      <c r="C1433" s="8" t="str">
        <v>Pedido 1420</v>
      </c>
      <c r="D1433" s="187">
        <v>45751</v>
      </c>
      <c r="E1433" s="9">
        <v>45755</v>
      </c>
      <c r="F1433" s="8" t="str">
        <v>PedidoF1361</v>
      </c>
      <c r="G1433" s="2" t="str">
        <v>CódRastreio1359</v>
      </c>
      <c r="H1433" s="5">
        <v>1</v>
      </c>
      <c r="I1433" s="2" t="str">
        <v>CPF 1382</v>
      </c>
      <c r="J1433" s="2" t="str">
        <v>Nome 1382</v>
      </c>
      <c r="K1433" s="8" t="str">
        <v>Tel 1382</v>
      </c>
      <c r="L1433" s="8" t="str">
        <v>Cep 1382</v>
      </c>
      <c r="M1433" s="8" t="str">
        <v>Rua 1382</v>
      </c>
      <c r="N1433" s="8" t="str">
        <v>Comp 1382</v>
      </c>
      <c r="O1433" s="8" t="str">
        <v>Lampada Led</v>
      </c>
      <c r="P1433" s="8" t="str">
        <v>T1-SWVB-UPOW</v>
      </c>
      <c r="Q1433" s="4">
        <v>45790</v>
      </c>
      <c r="R1433" s="109">
        <v>29.99</v>
      </c>
      <c r="S1433" s="11">
        <f ca="1"/>
        <v>29.99</v>
      </c>
      <c r="T1433" s="28">
        <f ca="1"/>
        <v>3.5987999999999998</v>
      </c>
      <c r="U1433" s="11">
        <f ca="1"/>
        <v>26.39</v>
      </c>
      <c r="V1433" s="11">
        <v>10.14</v>
      </c>
      <c r="W1433" s="11">
        <f ca="1"/>
        <v>0.25</v>
      </c>
      <c r="X1433" s="11">
        <f ca="1"/>
        <v>0.39877104377104378</v>
      </c>
      <c r="Y1433" s="11">
        <v>0</v>
      </c>
      <c r="Z1433" s="11">
        <f ca="1"/>
        <v>15.601228956228956</v>
      </c>
      <c r="AA1433" s="11">
        <f ca="1"/>
        <v>7.8006144781144782</v>
      </c>
      <c r="AB1433" s="4">
        <f ca="1"/>
        <v>45797</v>
      </c>
      <c r="AC1433" s="4">
        <v>45797</v>
      </c>
      <c r="AD1433" s="9">
        <v>45807</v>
      </c>
      <c r="AE1433" s="9">
        <v>45810</v>
      </c>
      <c r="AF1433" s="4" t="str">
        <f t="shared" ca="1" si="94"/>
        <v>2025 05</v>
      </c>
      <c r="AG1433" s="8" t="str" cm="1">
        <f t="array" ref="AG1433">IFERROR(_xlfn.IFS('Banco de Dados'!#REF!="AG. COMPRA","Em processamento",'Banco de Dados'!#REF!="AG. RASTREIO","Em processamento",'Banco de Dados'!$AE1433&lt;&gt;"-","Faturado",'Banco de Dados'!$AD1433&lt;&gt;"-","Aguardando Pix",'Banco de Dados'!$AC1433&lt;&gt;"-","Pendente"),"Aguardando Liberação")</f>
        <v>Aguardando Liberação</v>
      </c>
      <c r="AH1433" s="5" t="str">
        <f>IF('Banco de Dados'!$F1433="-",_xlfn.CONCAT(PROPER(TEXT(AK1433,"aaaa"))," ",PROPER(TEXT(AK1433,"mm"))),_xlfn.CONCAT(PROPER(TEXT(E1433,"aaaa"))," ",PROPER(TEXT(E1433,"mm"))))</f>
        <v>2025 04</v>
      </c>
      <c r="AI1433" s="9" t="str">
        <f ca="1">IF('Banco de Dados'!$AK1433&lt;&gt;"-","REEMBOLSO",IFERROR(_xlfn.XLOOKUP(G1433,Follow[CODRASTREIO],Follow[STATUS]),"-"))</f>
        <v>ENTREGUE</v>
      </c>
      <c r="AJ1433" s="9">
        <f ca="1">IF('Banco de Dados'!$AI1433="ENTREGUE",_xlfn.XLOOKUP('Banco de Dados'!$G1433,Follow[CODRASTREIO],Follow[DATAATUALIZAÇÃO]),"-")</f>
        <v>45783</v>
      </c>
      <c r="AK1433" s="132" t="str">
        <f ca="1"/>
        <v>-</v>
      </c>
      <c r="AL1433" s="35"/>
      <c r="AM1433" s="109" cm="1">
        <f t="array" aca="1" ref="AM1433" ca="1">IF('Banco de Dados'!$AK1433&lt;&gt;"-",_xlfn.IFS('Banco de Dados'!$A1433="bv",IF('Banco de Dados'!$E1433&lt;45641,ROUND(SUM('Banco de Dados'!$R1433*_xlfn.XLOOKUP('Banco de Dados'!$P1433,Sku!B:B,Sku!#REF!)*20%),2),ROUND(SUM('Banco de Dados'!$R1433*_xlfn.XLOOKUP('Banco de Dados'!$P1433,Sku!B:B,Sku!H:H)*20%),2)),'Banco de Dados'!$A1433="GO",ROUND(SUM('Banco de Dados'!$R1433*_xlfn.XLOOKUP('Banco de Dados'!$P1433,Sku!C:C,Sku!H:H)*20%),2),'Banco de Dados'!$A1433="MEI",ROUND(SUM('Banco de Dados'!$R1433*_xlfn.XLOOKUP('Banco de Dados'!$P1433,Sku!D:D,Sku!H:H)*20%),2)),0)</f>
        <v>0</v>
      </c>
      <c r="AN1433" s="109">
        <f ca="1">IF('Banco de Dados'!$AK1433&lt;&gt;"-",IF('Banco de Dados'!$F1433&lt;&gt;"-",_xlfn.XLOOKUP(IFERROR(IFERROR(IFERROR(VALUE(SUBSTITUTE(MID(_xlfn.TEXTAFTER('Banco de Dados'!$F1433,"Data do Pedido:
",1),1,10),"-","/")),VALUE(SUBSTITUTE(MID(_xlfn.TEXTAFTER('Banco de Dados'!$F1433,"Order date:
",1),1,10),"-","/"))),VALUE(SUBSTITUTE(MID(_xlfn.TEXTAFTER('Banco de Dados'!$F1433,"Fecha de pedido:
",1),1,10),"-","/"))),"-"),SMS!A:A,SMS!K:K),0),0)</f>
        <v>0</v>
      </c>
      <c r="AO1433" s="109">
        <f ca="1">IF('Banco de Dados'!$AK1433&lt;&gt;"-",IF('Banco de Dados'!$F1433&lt;&gt;"-",IFERROR(_xlfn.XLOOKUP(_xlfn.CONCAT('Banco de Dados'!$A1433,IFERROR(IFERROR(VALUE(SUBSTITUTE(MID(_xlfn.TEXTAFTER('Banco de Dados'!$F1433,"Data do Pedido:
",1),1,10),"-","/")),VALUE(SUBSTITUTE(MID(_xlfn.TEXTAFTER('Banco de Dados'!$F1433,"Order date:
",1),1,10),"-","/"))),0)),ProxyDD[Chave],ProxyDD[Valor por pedido]),PROXY!$P$2),0),0)</f>
        <v>0</v>
      </c>
      <c r="AP1433" s="28">
        <f ca="1">IF('Banco de Dados'!$AK1433&lt;&gt;"-",IF('Banco de Dados'!$AL1433="NÃO",IFERROR(VALUE(SUBSTITUTE(_xlfn.TEXTAFTER('Banco de Dados'!$F1433,"BRL ",1),".",",")),0),0),0)</f>
        <v>0</v>
      </c>
      <c r="AQ1433" s="28">
        <f ca="1">SUM('Banco de Dados'!$AM1433:$AP1433)</f>
        <v>0</v>
      </c>
      <c r="AR1433" s="8"/>
      <c r="AY1433" s="8"/>
    </row>
    <row r="1434" spans="1:51">
      <c r="A1434" s="5" t="str">
        <v>MEI</v>
      </c>
      <c r="B1434" s="5" t="str">
        <f ca="1"/>
        <v>MEI45755</v>
      </c>
      <c r="C1434" s="8" t="str">
        <v>Pedido 1421</v>
      </c>
      <c r="D1434" s="187">
        <v>45751</v>
      </c>
      <c r="E1434" s="9">
        <v>45755</v>
      </c>
      <c r="F1434" s="8" t="str">
        <v>PedidoF1362</v>
      </c>
      <c r="G1434" s="2" t="str">
        <v>CódRastreio1360</v>
      </c>
      <c r="H1434" s="5">
        <v>1</v>
      </c>
      <c r="I1434" s="2" t="str">
        <v>CPF 1383</v>
      </c>
      <c r="J1434" s="2" t="str">
        <v>Nome 1383</v>
      </c>
      <c r="K1434" s="8" t="str">
        <v>Tel 1383</v>
      </c>
      <c r="L1434" s="8" t="str">
        <v>Cep 1383</v>
      </c>
      <c r="M1434" s="8" t="str">
        <v>Rua 1383</v>
      </c>
      <c r="N1434" s="8" t="str">
        <v>Comp 1383</v>
      </c>
      <c r="O1434" s="8" t="str">
        <v>Ventilador de teto</v>
      </c>
      <c r="P1434" s="8" t="str">
        <v>JV-A3YY-I7XH</v>
      </c>
      <c r="Q1434" s="4">
        <v>45783</v>
      </c>
      <c r="R1434" s="109">
        <v>70.489999999999995</v>
      </c>
      <c r="S1434" s="11">
        <f ca="1"/>
        <v>70.489999999999995</v>
      </c>
      <c r="T1434" s="28">
        <f ca="1"/>
        <v>8.4587999999999983</v>
      </c>
      <c r="U1434" s="11">
        <f ca="1"/>
        <v>62.03</v>
      </c>
      <c r="V1434" s="11">
        <v>47.66</v>
      </c>
      <c r="W1434" s="11">
        <f ca="1"/>
        <v>0.25</v>
      </c>
      <c r="X1434" s="11">
        <f ca="1"/>
        <v>0.39877104377104378</v>
      </c>
      <c r="Y1434" s="11">
        <v>0</v>
      </c>
      <c r="Z1434" s="11">
        <f ca="1"/>
        <v>13.721228956228963</v>
      </c>
      <c r="AA1434" s="11">
        <f ca="1"/>
        <v>6.8606144781144813</v>
      </c>
      <c r="AB1434" s="4">
        <f ca="1"/>
        <v>45790</v>
      </c>
      <c r="AC1434" s="4">
        <v>45790</v>
      </c>
      <c r="AD1434" s="9">
        <v>45793</v>
      </c>
      <c r="AE1434" s="9">
        <v>45797</v>
      </c>
      <c r="AF1434" s="4" t="str">
        <f t="shared" ca="1" si="94"/>
        <v>2025 05</v>
      </c>
      <c r="AG1434" s="8" t="str" cm="1">
        <f t="array" ref="AG1434">IFERROR(_xlfn.IFS('Banco de Dados'!#REF!="AG. COMPRA","Em processamento",'Banco de Dados'!#REF!="AG. RASTREIO","Em processamento",'Banco de Dados'!$AE1434&lt;&gt;"-","Faturado",'Banco de Dados'!$AD1434&lt;&gt;"-","Aguardando Pix",'Banco de Dados'!$AC1434&lt;&gt;"-","Pendente"),"Aguardando Liberação")</f>
        <v>Aguardando Liberação</v>
      </c>
      <c r="AH1434" s="5" t="str">
        <f>IF('Banco de Dados'!$F1434="-",_xlfn.CONCAT(PROPER(TEXT(AK1434,"aaaa"))," ",PROPER(TEXT(AK1434,"mm"))),_xlfn.CONCAT(PROPER(TEXT(E1434,"aaaa"))," ",PROPER(TEXT(E1434,"mm"))))</f>
        <v>2025 04</v>
      </c>
      <c r="AI1434" s="9" t="str">
        <f ca="1">IF('Banco de Dados'!$AK1434&lt;&gt;"-","REEMBOLSO",IFERROR(_xlfn.XLOOKUP(G1434,Follow[CODRASTREIO],Follow[STATUS]),"-"))</f>
        <v>ENTREGUE</v>
      </c>
      <c r="AJ1434" s="9">
        <f ca="1">IF('Banco de Dados'!$AI1434="ENTREGUE",_xlfn.XLOOKUP('Banco de Dados'!$G1434,Follow[CODRASTREIO],Follow[DATAATUALIZAÇÃO]),"-")</f>
        <v>45770</v>
      </c>
      <c r="AK1434" s="132" t="str">
        <f ca="1"/>
        <v>-</v>
      </c>
      <c r="AL1434" s="35"/>
      <c r="AM1434" s="109" cm="1">
        <f t="array" aca="1" ref="AM1434" ca="1">IF('Banco de Dados'!$AK1434&lt;&gt;"-",_xlfn.IFS('Banco de Dados'!$A1434="bv",IF('Banco de Dados'!$E1434&lt;45641,ROUND(SUM('Banco de Dados'!$R1434*_xlfn.XLOOKUP('Banco de Dados'!$P1434,Sku!B:B,Sku!#REF!)*20%),2),ROUND(SUM('Banco de Dados'!$R1434*_xlfn.XLOOKUP('Banco de Dados'!$P1434,Sku!B:B,Sku!H:H)*20%),2)),'Banco de Dados'!$A1434="GO",ROUND(SUM('Banco de Dados'!$R1434*_xlfn.XLOOKUP('Banco de Dados'!$P1434,Sku!C:C,Sku!H:H)*20%),2),'Banco de Dados'!$A1434="MEI",ROUND(SUM('Banco de Dados'!$R1434*_xlfn.XLOOKUP('Banco de Dados'!$P1434,Sku!D:D,Sku!H:H)*20%),2)),0)</f>
        <v>0</v>
      </c>
      <c r="AN1434" s="109">
        <f ca="1">IF('Banco de Dados'!$AK1434&lt;&gt;"-",IF('Banco de Dados'!$F1434&lt;&gt;"-",_xlfn.XLOOKUP(IFERROR(IFERROR(IFERROR(VALUE(SUBSTITUTE(MID(_xlfn.TEXTAFTER('Banco de Dados'!$F1434,"Data do Pedido:
",1),1,10),"-","/")),VALUE(SUBSTITUTE(MID(_xlfn.TEXTAFTER('Banco de Dados'!$F1434,"Order date:
",1),1,10),"-","/"))),VALUE(SUBSTITUTE(MID(_xlfn.TEXTAFTER('Banco de Dados'!$F1434,"Fecha de pedido:
",1),1,10),"-","/"))),"-"),SMS!A:A,SMS!K:K),0),0)</f>
        <v>0</v>
      </c>
      <c r="AO1434" s="109">
        <f ca="1">IF('Banco de Dados'!$AK1434&lt;&gt;"-",IF('Banco de Dados'!$F1434&lt;&gt;"-",IFERROR(_xlfn.XLOOKUP(_xlfn.CONCAT('Banco de Dados'!$A1434,IFERROR(IFERROR(VALUE(SUBSTITUTE(MID(_xlfn.TEXTAFTER('Banco de Dados'!$F1434,"Data do Pedido:
",1),1,10),"-","/")),VALUE(SUBSTITUTE(MID(_xlfn.TEXTAFTER('Banco de Dados'!$F1434,"Order date:
",1),1,10),"-","/"))),0)),ProxyDD[Chave],ProxyDD[Valor por pedido]),PROXY!$P$2),0),0)</f>
        <v>0</v>
      </c>
      <c r="AP1434" s="28">
        <f ca="1">IF('Banco de Dados'!$AK1434&lt;&gt;"-",IF('Banco de Dados'!$AL1434="NÃO",IFERROR(VALUE(SUBSTITUTE(_xlfn.TEXTAFTER('Banco de Dados'!$F1434,"BRL ",1),".",",")),0),0),0)</f>
        <v>0</v>
      </c>
      <c r="AQ1434" s="28">
        <f ca="1">SUM('Banco de Dados'!$AM1434:$AP1434)</f>
        <v>0</v>
      </c>
      <c r="AR1434" s="8"/>
      <c r="AY1434" s="8"/>
    </row>
    <row r="1435" spans="1:51">
      <c r="A1435" s="5" t="str">
        <v>MEI</v>
      </c>
      <c r="B1435" s="5" t="str">
        <f ca="1"/>
        <v>MEI45755</v>
      </c>
      <c r="C1435" s="8" t="str">
        <v>Pedido 1422</v>
      </c>
      <c r="D1435" s="187">
        <v>45751</v>
      </c>
      <c r="E1435" s="9">
        <v>45755</v>
      </c>
      <c r="F1435" s="8" t="str">
        <v>PedidoF1363</v>
      </c>
      <c r="G1435" s="2" t="str">
        <v>CódRastreio1361</v>
      </c>
      <c r="H1435" s="5">
        <v>1</v>
      </c>
      <c r="I1435" s="2" t="str">
        <v>CPF 1384</v>
      </c>
      <c r="J1435" s="2" t="str">
        <v>Nome 1384</v>
      </c>
      <c r="K1435" s="8" t="str">
        <v>Tel 1384</v>
      </c>
      <c r="L1435" s="8" t="str">
        <v>Cep 1384</v>
      </c>
      <c r="M1435" s="8" t="str">
        <v>Rua 1384</v>
      </c>
      <c r="N1435" s="8" t="str">
        <v>Comp 1384</v>
      </c>
      <c r="O1435" s="8" t="str">
        <v>Copo Termico</v>
      </c>
      <c r="P1435" s="8" t="str">
        <v>VI-4RT5-1FFO</v>
      </c>
      <c r="Q1435" s="4">
        <v>45776</v>
      </c>
      <c r="R1435" s="109">
        <v>22.7</v>
      </c>
      <c r="S1435" s="11">
        <f ca="1"/>
        <v>22.7</v>
      </c>
      <c r="T1435" s="28">
        <f ca="1"/>
        <v>2.7239999999999998</v>
      </c>
      <c r="U1435" s="11">
        <f ca="1"/>
        <v>19.98</v>
      </c>
      <c r="V1435" s="11">
        <v>11.77</v>
      </c>
      <c r="W1435" s="11">
        <f ca="1"/>
        <v>0.25</v>
      </c>
      <c r="X1435" s="11">
        <f ca="1"/>
        <v>0.39877104377104378</v>
      </c>
      <c r="Y1435" s="11">
        <v>0</v>
      </c>
      <c r="Z1435" s="11">
        <f ca="1"/>
        <v>7.5612289562289572</v>
      </c>
      <c r="AA1435" s="11">
        <f ca="1"/>
        <v>3.7806144781144786</v>
      </c>
      <c r="AB1435" s="4">
        <f ca="1"/>
        <v>45783</v>
      </c>
      <c r="AC1435" s="4">
        <v>45783</v>
      </c>
      <c r="AD1435" s="9">
        <v>45793</v>
      </c>
      <c r="AE1435" s="9">
        <v>45797</v>
      </c>
      <c r="AF1435" s="4" t="str">
        <f t="shared" ca="1" si="94"/>
        <v>2025 05</v>
      </c>
      <c r="AG1435" s="8" t="str" cm="1">
        <f t="array" ref="AG1435">IFERROR(_xlfn.IFS('Banco de Dados'!#REF!="AG. COMPRA","Em processamento",'Banco de Dados'!#REF!="AG. RASTREIO","Em processamento",'Banco de Dados'!$AE1435&lt;&gt;"-","Faturado",'Banco de Dados'!$AD1435&lt;&gt;"-","Aguardando Pix",'Banco de Dados'!$AC1435&lt;&gt;"-","Pendente"),"Aguardando Liberação")</f>
        <v>Aguardando Liberação</v>
      </c>
      <c r="AH1435" s="5" t="str">
        <f>IF('Banco de Dados'!$F1435="-",_xlfn.CONCAT(PROPER(TEXT(AK1435,"aaaa"))," ",PROPER(TEXT(AK1435,"mm"))),_xlfn.CONCAT(PROPER(TEXT(E1435,"aaaa"))," ",PROPER(TEXT(E1435,"mm"))))</f>
        <v>2025 04</v>
      </c>
      <c r="AI1435" s="9" t="str">
        <f ca="1">IF('Banco de Dados'!$AK1435&lt;&gt;"-","REEMBOLSO",IFERROR(_xlfn.XLOOKUP(G1435,Follow[CODRASTREIO],Follow[STATUS]),"-"))</f>
        <v>ENTREGUE</v>
      </c>
      <c r="AJ1435" s="9">
        <f ca="1">IF('Banco de Dados'!$AI1435="ENTREGUE",_xlfn.XLOOKUP('Banco de Dados'!$G1435,Follow[CODRASTREIO],Follow[DATAATUALIZAÇÃO]),"-")</f>
        <v>45763</v>
      </c>
      <c r="AK1435" s="132" t="str">
        <f ca="1"/>
        <v>-</v>
      </c>
      <c r="AL1435" s="35"/>
      <c r="AM1435" s="109" cm="1">
        <f t="array" aca="1" ref="AM1435" ca="1">IF('Banco de Dados'!$AK1435&lt;&gt;"-",_xlfn.IFS('Banco de Dados'!$A1435="bv",IF('Banco de Dados'!$E1435&lt;45641,ROUND(SUM('Banco de Dados'!$R1435*_xlfn.XLOOKUP('Banco de Dados'!$P1435,Sku!B:B,Sku!#REF!)*20%),2),ROUND(SUM('Banco de Dados'!$R1435*_xlfn.XLOOKUP('Banco de Dados'!$P1435,Sku!B:B,Sku!H:H)*20%),2)),'Banco de Dados'!$A1435="GO",ROUND(SUM('Banco de Dados'!$R1435*_xlfn.XLOOKUP('Banco de Dados'!$P1435,Sku!C:C,Sku!H:H)*20%),2),'Banco de Dados'!$A1435="MEI",ROUND(SUM('Banco de Dados'!$R1435*_xlfn.XLOOKUP('Banco de Dados'!$P1435,Sku!D:D,Sku!H:H)*20%),2)),0)</f>
        <v>0</v>
      </c>
      <c r="AN1435" s="109">
        <f ca="1">IF('Banco de Dados'!$AK1435&lt;&gt;"-",IF('Banco de Dados'!$F1435&lt;&gt;"-",_xlfn.XLOOKUP(IFERROR(IFERROR(IFERROR(VALUE(SUBSTITUTE(MID(_xlfn.TEXTAFTER('Banco de Dados'!$F1435,"Data do Pedido:
",1),1,10),"-","/")),VALUE(SUBSTITUTE(MID(_xlfn.TEXTAFTER('Banco de Dados'!$F1435,"Order date:
",1),1,10),"-","/"))),VALUE(SUBSTITUTE(MID(_xlfn.TEXTAFTER('Banco de Dados'!$F1435,"Fecha de pedido:
",1),1,10),"-","/"))),"-"),SMS!A:A,SMS!K:K),0),0)</f>
        <v>0</v>
      </c>
      <c r="AO1435" s="109">
        <f ca="1">IF('Banco de Dados'!$AK1435&lt;&gt;"-",IF('Banco de Dados'!$F1435&lt;&gt;"-",IFERROR(_xlfn.XLOOKUP(_xlfn.CONCAT('Banco de Dados'!$A1435,IFERROR(IFERROR(VALUE(SUBSTITUTE(MID(_xlfn.TEXTAFTER('Banco de Dados'!$F1435,"Data do Pedido:
",1),1,10),"-","/")),VALUE(SUBSTITUTE(MID(_xlfn.TEXTAFTER('Banco de Dados'!$F1435,"Order date:
",1),1,10),"-","/"))),0)),ProxyDD[Chave],ProxyDD[Valor por pedido]),PROXY!$P$2),0),0)</f>
        <v>0</v>
      </c>
      <c r="AP1435" s="28">
        <f ca="1">IF('Banco de Dados'!$AK1435&lt;&gt;"-",IF('Banco de Dados'!$AL1435="NÃO",IFERROR(VALUE(SUBSTITUTE(_xlfn.TEXTAFTER('Banco de Dados'!$F1435,"BRL ",1),".",",")),0),0),0)</f>
        <v>0</v>
      </c>
      <c r="AQ1435" s="28">
        <f ca="1">SUM('Banco de Dados'!$AM1435:$AP1435)</f>
        <v>0</v>
      </c>
      <c r="AR1435" s="8"/>
      <c r="AY1435" s="8"/>
    </row>
    <row r="1436" spans="1:51">
      <c r="A1436" s="5" t="str">
        <v>MEI</v>
      </c>
      <c r="B1436" s="5" t="str">
        <f ca="1"/>
        <v>MEI45755</v>
      </c>
      <c r="C1436" s="8" t="str">
        <v>Pedido 1423</v>
      </c>
      <c r="D1436" s="187">
        <v>45751</v>
      </c>
      <c r="E1436" s="9">
        <v>45755</v>
      </c>
      <c r="F1436" s="8" t="str">
        <v>PedidoF1364</v>
      </c>
      <c r="G1436" s="2" t="str">
        <v>CódRastreio1362</v>
      </c>
      <c r="H1436" s="5">
        <v>1</v>
      </c>
      <c r="I1436" s="2" t="str">
        <v>CPF 1385</v>
      </c>
      <c r="J1436" s="2" t="str">
        <v>Nome 1385</v>
      </c>
      <c r="K1436" s="8" t="str">
        <v>Tel 1385</v>
      </c>
      <c r="L1436" s="8" t="str">
        <v>Cep 1385</v>
      </c>
      <c r="M1436" s="8" t="str">
        <v>Rua 1385</v>
      </c>
      <c r="N1436" s="8" t="str">
        <v>Comp 1385</v>
      </c>
      <c r="O1436" s="8" t="str">
        <v>Lampada Led</v>
      </c>
      <c r="P1436" s="8" t="str">
        <v>T1-SWVB-UPOW</v>
      </c>
      <c r="Q1436" s="4">
        <v>45776</v>
      </c>
      <c r="R1436" s="109">
        <v>29.99</v>
      </c>
      <c r="S1436" s="11">
        <f ca="1"/>
        <v>29.99</v>
      </c>
      <c r="T1436" s="28">
        <f ca="1"/>
        <v>3.5987999999999998</v>
      </c>
      <c r="U1436" s="11">
        <f ca="1"/>
        <v>26.39</v>
      </c>
      <c r="V1436" s="11">
        <v>10.14</v>
      </c>
      <c r="W1436" s="11">
        <f ca="1"/>
        <v>0.25</v>
      </c>
      <c r="X1436" s="11">
        <f ca="1"/>
        <v>0.39877104377104378</v>
      </c>
      <c r="Y1436" s="11">
        <v>0</v>
      </c>
      <c r="Z1436" s="11">
        <f ca="1"/>
        <v>15.601228956228956</v>
      </c>
      <c r="AA1436" s="11">
        <f ca="1"/>
        <v>7.8006144781144782</v>
      </c>
      <c r="AB1436" s="4">
        <f ca="1"/>
        <v>45783</v>
      </c>
      <c r="AC1436" s="4">
        <v>45783</v>
      </c>
      <c r="AD1436" s="9">
        <v>45793</v>
      </c>
      <c r="AE1436" s="9">
        <v>45797</v>
      </c>
      <c r="AF1436" s="4" t="str">
        <f t="shared" ref="AF1436:AF1474" ca="1" si="95">_xlfn.CONCAT(PROPER(TEXT(AB1436,"aaaa"))," ",PROPER(TEXT(AB1436,"mm")))</f>
        <v>2025 05</v>
      </c>
      <c r="AG1436" s="8" t="str" cm="1">
        <f t="array" ref="AG1436">IFERROR(_xlfn.IFS('Banco de Dados'!#REF!="AG. COMPRA","Em processamento",'Banco de Dados'!#REF!="AG. RASTREIO","Em processamento",'Banco de Dados'!$AE1436&lt;&gt;"-","Faturado",'Banco de Dados'!$AD1436&lt;&gt;"-","Aguardando Pix",'Banco de Dados'!$AC1436&lt;&gt;"-","Pendente"),"Aguardando Liberação")</f>
        <v>Aguardando Liberação</v>
      </c>
      <c r="AH1436" s="5" t="str">
        <f>IF('Banco de Dados'!$F1436="-",_xlfn.CONCAT(PROPER(TEXT(AK1436,"aaaa"))," ",PROPER(TEXT(AK1436,"mm"))),_xlfn.CONCAT(PROPER(TEXT(E1436,"aaaa"))," ",PROPER(TEXT(E1436,"mm"))))</f>
        <v>2025 04</v>
      </c>
      <c r="AI1436" s="9" t="str">
        <f ca="1">IF('Banco de Dados'!$AK1436&lt;&gt;"-","REEMBOLSO",IFERROR(_xlfn.XLOOKUP(G1436,Follow[CODRASTREIO],Follow[STATUS]),"-"))</f>
        <v>ENTREGUE</v>
      </c>
      <c r="AJ1436" s="9">
        <f ca="1">IF('Banco de Dados'!$AI1436="ENTREGUE",_xlfn.XLOOKUP('Banco de Dados'!$G1436,Follow[CODRASTREIO],Follow[DATAATUALIZAÇÃO]),"-")</f>
        <v>45773</v>
      </c>
      <c r="AK1436" s="132" t="str">
        <f ca="1"/>
        <v>-</v>
      </c>
      <c r="AL1436" s="35"/>
      <c r="AM1436" s="109" cm="1">
        <f t="array" aca="1" ref="AM1436" ca="1">IF('Banco de Dados'!$AK1436&lt;&gt;"-",_xlfn.IFS('Banco de Dados'!$A1436="bv",IF('Banco de Dados'!$E1436&lt;45641,ROUND(SUM('Banco de Dados'!$R1436*_xlfn.XLOOKUP('Banco de Dados'!$P1436,Sku!B:B,Sku!#REF!)*20%),2),ROUND(SUM('Banco de Dados'!$R1436*_xlfn.XLOOKUP('Banco de Dados'!$P1436,Sku!B:B,Sku!H:H)*20%),2)),'Banco de Dados'!$A1436="GO",ROUND(SUM('Banco de Dados'!$R1436*_xlfn.XLOOKUP('Banco de Dados'!$P1436,Sku!C:C,Sku!H:H)*20%),2),'Banco de Dados'!$A1436="MEI",ROUND(SUM('Banco de Dados'!$R1436*_xlfn.XLOOKUP('Banco de Dados'!$P1436,Sku!D:D,Sku!H:H)*20%),2)),0)</f>
        <v>0</v>
      </c>
      <c r="AN1436" s="109">
        <f ca="1">IF('Banco de Dados'!$AK1436&lt;&gt;"-",IF('Banco de Dados'!$F1436&lt;&gt;"-",_xlfn.XLOOKUP(IFERROR(IFERROR(IFERROR(VALUE(SUBSTITUTE(MID(_xlfn.TEXTAFTER('Banco de Dados'!$F1436,"Data do Pedido:
",1),1,10),"-","/")),VALUE(SUBSTITUTE(MID(_xlfn.TEXTAFTER('Banco de Dados'!$F1436,"Order date:
",1),1,10),"-","/"))),VALUE(SUBSTITUTE(MID(_xlfn.TEXTAFTER('Banco de Dados'!$F1436,"Fecha de pedido:
",1),1,10),"-","/"))),"-"),SMS!A:A,SMS!K:K),0),0)</f>
        <v>0</v>
      </c>
      <c r="AO1436" s="109">
        <f ca="1">IF('Banco de Dados'!$AK1436&lt;&gt;"-",IF('Banco de Dados'!$F1436&lt;&gt;"-",IFERROR(_xlfn.XLOOKUP(_xlfn.CONCAT('Banco de Dados'!$A1436,IFERROR(IFERROR(VALUE(SUBSTITUTE(MID(_xlfn.TEXTAFTER('Banco de Dados'!$F1436,"Data do Pedido:
",1),1,10),"-","/")),VALUE(SUBSTITUTE(MID(_xlfn.TEXTAFTER('Banco de Dados'!$F1436,"Order date:
",1),1,10),"-","/"))),0)),ProxyDD[Chave],ProxyDD[Valor por pedido]),PROXY!$P$2),0),0)</f>
        <v>0</v>
      </c>
      <c r="AP1436" s="28">
        <f ca="1">IF('Banco de Dados'!$AK1436&lt;&gt;"-",IF('Banco de Dados'!$AL1436="NÃO",IFERROR(VALUE(SUBSTITUTE(_xlfn.TEXTAFTER('Banco de Dados'!$F1436,"BRL ",1),".",",")),0),0),0)</f>
        <v>0</v>
      </c>
      <c r="AQ1436" s="28">
        <f ca="1">SUM('Banco de Dados'!$AM1436:$AP1436)</f>
        <v>0</v>
      </c>
      <c r="AR1436" s="8"/>
      <c r="AY1436" s="8"/>
    </row>
    <row r="1437" spans="1:51">
      <c r="A1437" s="5" t="str">
        <v>MEI</v>
      </c>
      <c r="B1437" s="5" t="str">
        <f ca="1"/>
        <v>MEI45755</v>
      </c>
      <c r="C1437" s="8" t="str">
        <v>Pedido 1424</v>
      </c>
      <c r="D1437" s="187">
        <v>45751</v>
      </c>
      <c r="E1437" s="9">
        <v>45755</v>
      </c>
      <c r="F1437" s="8" t="str">
        <v>PedidoF1365</v>
      </c>
      <c r="G1437" s="2" t="str">
        <v>CódRastreio1363</v>
      </c>
      <c r="H1437" s="5">
        <v>1</v>
      </c>
      <c r="I1437" s="2" t="str">
        <v>CPF 1386</v>
      </c>
      <c r="J1437" s="2" t="str">
        <v>Nome 1386</v>
      </c>
      <c r="K1437" s="8" t="str">
        <v>Tel 1386</v>
      </c>
      <c r="L1437" s="8" t="str">
        <v>Cep 1386</v>
      </c>
      <c r="M1437" s="8" t="str">
        <v>Rua 1386</v>
      </c>
      <c r="N1437" s="8" t="str">
        <v>Comp 1386</v>
      </c>
      <c r="O1437" s="8" t="str">
        <v>Lampada Led</v>
      </c>
      <c r="P1437" s="8" t="str">
        <v>T1-SWVB-UPOW</v>
      </c>
      <c r="Q1437" s="4">
        <v>45776</v>
      </c>
      <c r="R1437" s="109">
        <v>29.99</v>
      </c>
      <c r="S1437" s="11">
        <f ca="1"/>
        <v>29.99</v>
      </c>
      <c r="T1437" s="28">
        <f ca="1"/>
        <v>3.5987999999999998</v>
      </c>
      <c r="U1437" s="11">
        <f ca="1"/>
        <v>26.39</v>
      </c>
      <c r="V1437" s="11">
        <v>10.14</v>
      </c>
      <c r="W1437" s="11">
        <f ca="1"/>
        <v>0.25</v>
      </c>
      <c r="X1437" s="11">
        <f ca="1"/>
        <v>0.39877104377104378</v>
      </c>
      <c r="Y1437" s="11">
        <v>0</v>
      </c>
      <c r="Z1437" s="11">
        <f ca="1"/>
        <v>15.601228956228956</v>
      </c>
      <c r="AA1437" s="11">
        <f ca="1"/>
        <v>7.8006144781144782</v>
      </c>
      <c r="AB1437" s="4">
        <f ca="1"/>
        <v>45783</v>
      </c>
      <c r="AC1437" s="4">
        <v>45783</v>
      </c>
      <c r="AD1437" s="9">
        <v>45793</v>
      </c>
      <c r="AE1437" s="9">
        <v>45797</v>
      </c>
      <c r="AF1437" s="4" t="str">
        <f t="shared" ca="1" si="95"/>
        <v>2025 05</v>
      </c>
      <c r="AG1437" s="8" t="str" cm="1">
        <f t="array" ref="AG1437">IFERROR(_xlfn.IFS('Banco de Dados'!#REF!="AG. COMPRA","Em processamento",'Banco de Dados'!#REF!="AG. RASTREIO","Em processamento",'Banco de Dados'!$AE1437&lt;&gt;"-","Faturado",'Banco de Dados'!$AD1437&lt;&gt;"-","Aguardando Pix",'Banco de Dados'!$AC1437&lt;&gt;"-","Pendente"),"Aguardando Liberação")</f>
        <v>Aguardando Liberação</v>
      </c>
      <c r="AH1437" s="5" t="str">
        <f>IF('Banco de Dados'!$F1437="-",_xlfn.CONCAT(PROPER(TEXT(AK1437,"aaaa"))," ",PROPER(TEXT(AK1437,"mm"))),_xlfn.CONCAT(PROPER(TEXT(E1437,"aaaa"))," ",PROPER(TEXT(E1437,"mm"))))</f>
        <v>2025 04</v>
      </c>
      <c r="AI1437" s="9" t="str">
        <f ca="1">IF('Banco de Dados'!$AK1437&lt;&gt;"-","REEMBOLSO",IFERROR(_xlfn.XLOOKUP(G1437,Follow[CODRASTREIO],Follow[STATUS]),"-"))</f>
        <v>ENTREGUE</v>
      </c>
      <c r="AJ1437" s="9">
        <f ca="1">IF('Banco de Dados'!$AI1437="ENTREGUE",_xlfn.XLOOKUP('Banco de Dados'!$G1437,Follow[CODRASTREIO],Follow[DATAATUALIZAÇÃO]),"-")</f>
        <v>45769</v>
      </c>
      <c r="AK1437" s="132" t="str">
        <f ca="1"/>
        <v>-</v>
      </c>
      <c r="AL1437" s="35"/>
      <c r="AM1437" s="109" cm="1">
        <f t="array" aca="1" ref="AM1437" ca="1">IF('Banco de Dados'!$AK1437&lt;&gt;"-",_xlfn.IFS('Banco de Dados'!$A1437="bv",IF('Banco de Dados'!$E1437&lt;45641,ROUND(SUM('Banco de Dados'!$R1437*_xlfn.XLOOKUP('Banco de Dados'!$P1437,Sku!B:B,Sku!#REF!)*20%),2),ROUND(SUM('Banco de Dados'!$R1437*_xlfn.XLOOKUP('Banco de Dados'!$P1437,Sku!B:B,Sku!H:H)*20%),2)),'Banco de Dados'!$A1437="GO",ROUND(SUM('Banco de Dados'!$R1437*_xlfn.XLOOKUP('Banco de Dados'!$P1437,Sku!C:C,Sku!H:H)*20%),2),'Banco de Dados'!$A1437="MEI",ROUND(SUM('Banco de Dados'!$R1437*_xlfn.XLOOKUP('Banco de Dados'!$P1437,Sku!D:D,Sku!H:H)*20%),2)),0)</f>
        <v>0</v>
      </c>
      <c r="AN1437" s="109">
        <f ca="1">IF('Banco de Dados'!$AK1437&lt;&gt;"-",IF('Banco de Dados'!$F1437&lt;&gt;"-",_xlfn.XLOOKUP(IFERROR(IFERROR(IFERROR(VALUE(SUBSTITUTE(MID(_xlfn.TEXTAFTER('Banco de Dados'!$F1437,"Data do Pedido:
",1),1,10),"-","/")),VALUE(SUBSTITUTE(MID(_xlfn.TEXTAFTER('Banco de Dados'!$F1437,"Order date:
",1),1,10),"-","/"))),VALUE(SUBSTITUTE(MID(_xlfn.TEXTAFTER('Banco de Dados'!$F1437,"Fecha de pedido:
",1),1,10),"-","/"))),"-"),SMS!A:A,SMS!K:K),0),0)</f>
        <v>0</v>
      </c>
      <c r="AO1437" s="109">
        <f ca="1">IF('Banco de Dados'!$AK1437&lt;&gt;"-",IF('Banco de Dados'!$F1437&lt;&gt;"-",IFERROR(_xlfn.XLOOKUP(_xlfn.CONCAT('Banco de Dados'!$A1437,IFERROR(IFERROR(VALUE(SUBSTITUTE(MID(_xlfn.TEXTAFTER('Banco de Dados'!$F1437,"Data do Pedido:
",1),1,10),"-","/")),VALUE(SUBSTITUTE(MID(_xlfn.TEXTAFTER('Banco de Dados'!$F1437,"Order date:
",1),1,10),"-","/"))),0)),ProxyDD[Chave],ProxyDD[Valor por pedido]),PROXY!$P$2),0),0)</f>
        <v>0</v>
      </c>
      <c r="AP1437" s="28">
        <f ca="1">IF('Banco de Dados'!$AK1437&lt;&gt;"-",IF('Banco de Dados'!$AL1437="NÃO",IFERROR(VALUE(SUBSTITUTE(_xlfn.TEXTAFTER('Banco de Dados'!$F1437,"BRL ",1),".",",")),0),0),0)</f>
        <v>0</v>
      </c>
      <c r="AQ1437" s="28">
        <f ca="1">SUM('Banco de Dados'!$AM1437:$AP1437)</f>
        <v>0</v>
      </c>
      <c r="AR1437" s="8"/>
      <c r="AY1437" s="8"/>
    </row>
    <row r="1438" spans="1:51">
      <c r="A1438" s="5" t="str">
        <v>MEI</v>
      </c>
      <c r="B1438" s="5" t="str">
        <f ca="1"/>
        <v>MEI45755</v>
      </c>
      <c r="C1438" s="8" t="str">
        <v>Pedido 1425</v>
      </c>
      <c r="D1438" s="187">
        <v>45751</v>
      </c>
      <c r="E1438" s="9">
        <v>45755</v>
      </c>
      <c r="F1438" s="8" t="str">
        <v>PedidoF1366</v>
      </c>
      <c r="G1438" s="2" t="str">
        <v>CódRastreio1364</v>
      </c>
      <c r="H1438" s="5">
        <v>1</v>
      </c>
      <c r="I1438" s="2" t="str">
        <v>CPF 1387</v>
      </c>
      <c r="J1438" s="2" t="str">
        <v>Nome 1387</v>
      </c>
      <c r="K1438" s="8" t="str">
        <v>Tel 1387</v>
      </c>
      <c r="L1438" s="8" t="str">
        <v>Cep 1387</v>
      </c>
      <c r="M1438" s="8" t="str">
        <v>Rua 1387</v>
      </c>
      <c r="N1438" s="8" t="str">
        <v>Comp 1387</v>
      </c>
      <c r="O1438" s="8" t="str">
        <v>Ventilador Umidificador Preto</v>
      </c>
      <c r="P1438" s="8" t="str">
        <v>71-KHMZ-MLQW</v>
      </c>
      <c r="Q1438" s="4">
        <v>45776</v>
      </c>
      <c r="R1438" s="109">
        <v>53</v>
      </c>
      <c r="S1438" s="11">
        <f ca="1"/>
        <v>53</v>
      </c>
      <c r="T1438" s="28">
        <f ca="1"/>
        <v>5.83</v>
      </c>
      <c r="U1438" s="11">
        <f ca="1"/>
        <v>47.17</v>
      </c>
      <c r="V1438" s="11">
        <v>31.78</v>
      </c>
      <c r="W1438" s="11">
        <f ca="1"/>
        <v>0.25</v>
      </c>
      <c r="X1438" s="11">
        <f ca="1"/>
        <v>0.39877104377104378</v>
      </c>
      <c r="Y1438" s="11">
        <v>0</v>
      </c>
      <c r="Z1438" s="11">
        <f ca="1"/>
        <v>14.741228956228959</v>
      </c>
      <c r="AA1438" s="11">
        <f ca="1"/>
        <v>7.3706144781144793</v>
      </c>
      <c r="AB1438" s="4">
        <f ca="1"/>
        <v>45783</v>
      </c>
      <c r="AC1438" s="4">
        <v>45783</v>
      </c>
      <c r="AD1438" s="9">
        <v>45793</v>
      </c>
      <c r="AE1438" s="9">
        <v>45797</v>
      </c>
      <c r="AF1438" s="4" t="str">
        <f t="shared" ca="1" si="95"/>
        <v>2025 05</v>
      </c>
      <c r="AG1438" s="8" t="str" cm="1">
        <f t="array" ref="AG1438">IFERROR(_xlfn.IFS('Banco de Dados'!#REF!="AG. COMPRA","Em processamento",'Banco de Dados'!#REF!="AG. RASTREIO","Em processamento",'Banco de Dados'!$AE1438&lt;&gt;"-","Faturado",'Banco de Dados'!$AD1438&lt;&gt;"-","Aguardando Pix",'Banco de Dados'!$AC1438&lt;&gt;"-","Pendente"),"Aguardando Liberação")</f>
        <v>Aguardando Liberação</v>
      </c>
      <c r="AH1438" s="5" t="str">
        <f>IF('Banco de Dados'!$F1438="-",_xlfn.CONCAT(PROPER(TEXT(AK1438,"aaaa"))," ",PROPER(TEXT(AK1438,"mm"))),_xlfn.CONCAT(PROPER(TEXT(E1438,"aaaa"))," ",PROPER(TEXT(E1438,"mm"))))</f>
        <v>2025 04</v>
      </c>
      <c r="AI1438" s="9" t="str">
        <f ca="1">IF('Banco de Dados'!$AK1438&lt;&gt;"-","REEMBOLSO",IFERROR(_xlfn.XLOOKUP(G1438,Follow[CODRASTREIO],Follow[STATUS]),"-"))</f>
        <v>ENTREGUE</v>
      </c>
      <c r="AJ1438" s="9">
        <f ca="1">IF('Banco de Dados'!$AI1438="ENTREGUE",_xlfn.XLOOKUP('Banco de Dados'!$G1438,Follow[CODRASTREIO],Follow[DATAATUALIZAÇÃO]),"-")</f>
        <v>45772</v>
      </c>
      <c r="AK1438" s="132" t="str">
        <f ca="1"/>
        <v>-</v>
      </c>
      <c r="AL1438" s="35"/>
      <c r="AM1438" s="109" cm="1">
        <f t="array" aca="1" ref="AM1438" ca="1">IF('Banco de Dados'!$AK1438&lt;&gt;"-",_xlfn.IFS('Banco de Dados'!$A1438="bv",IF('Banco de Dados'!$E1438&lt;45641,ROUND(SUM('Banco de Dados'!$R1438*_xlfn.XLOOKUP('Banco de Dados'!$P1438,Sku!B:B,Sku!#REF!)*20%),2),ROUND(SUM('Banco de Dados'!$R1438*_xlfn.XLOOKUP('Banco de Dados'!$P1438,Sku!B:B,Sku!H:H)*20%),2)),'Banco de Dados'!$A1438="GO",ROUND(SUM('Banco de Dados'!$R1438*_xlfn.XLOOKUP('Banco de Dados'!$P1438,Sku!C:C,Sku!H:H)*20%),2),'Banco de Dados'!$A1438="MEI",ROUND(SUM('Banco de Dados'!$R1438*_xlfn.XLOOKUP('Banco de Dados'!$P1438,Sku!D:D,Sku!H:H)*20%),2)),0)</f>
        <v>0</v>
      </c>
      <c r="AN1438" s="109">
        <f ca="1">IF('Banco de Dados'!$AK1438&lt;&gt;"-",IF('Banco de Dados'!$F1438&lt;&gt;"-",_xlfn.XLOOKUP(IFERROR(IFERROR(IFERROR(VALUE(SUBSTITUTE(MID(_xlfn.TEXTAFTER('Banco de Dados'!$F1438,"Data do Pedido:
",1),1,10),"-","/")),VALUE(SUBSTITUTE(MID(_xlfn.TEXTAFTER('Banco de Dados'!$F1438,"Order date:
",1),1,10),"-","/"))),VALUE(SUBSTITUTE(MID(_xlfn.TEXTAFTER('Banco de Dados'!$F1438,"Fecha de pedido:
",1),1,10),"-","/"))),"-"),SMS!A:A,SMS!K:K),0),0)</f>
        <v>0</v>
      </c>
      <c r="AO1438" s="109">
        <f ca="1">IF('Banco de Dados'!$AK1438&lt;&gt;"-",IF('Banco de Dados'!$F1438&lt;&gt;"-",IFERROR(_xlfn.XLOOKUP(_xlfn.CONCAT('Banco de Dados'!$A1438,IFERROR(IFERROR(VALUE(SUBSTITUTE(MID(_xlfn.TEXTAFTER('Banco de Dados'!$F1438,"Data do Pedido:
",1),1,10),"-","/")),VALUE(SUBSTITUTE(MID(_xlfn.TEXTAFTER('Banco de Dados'!$F1438,"Order date:
",1),1,10),"-","/"))),0)),ProxyDD[Chave],ProxyDD[Valor por pedido]),PROXY!$P$2),0),0)</f>
        <v>0</v>
      </c>
      <c r="AP1438" s="28">
        <f ca="1">IF('Banco de Dados'!$AK1438&lt;&gt;"-",IF('Banco de Dados'!$AL1438="NÃO",IFERROR(VALUE(SUBSTITUTE(_xlfn.TEXTAFTER('Banco de Dados'!$F1438,"BRL ",1),".",",")),0),0),0)</f>
        <v>0</v>
      </c>
      <c r="AQ1438" s="28">
        <f ca="1">SUM('Banco de Dados'!$AM1438:$AP1438)</f>
        <v>0</v>
      </c>
      <c r="AR1438" s="8"/>
      <c r="AY1438" s="8"/>
    </row>
    <row r="1439" spans="1:51">
      <c r="A1439" s="5" t="str">
        <v>MEI</v>
      </c>
      <c r="B1439" s="5" t="str">
        <f ca="1"/>
        <v>MEI-</v>
      </c>
      <c r="C1439" s="8" t="str">
        <v>Pedido 1426</v>
      </c>
      <c r="D1439" s="187">
        <v>45752</v>
      </c>
      <c r="E1439" s="9" t="str">
        <v>-</v>
      </c>
      <c r="F1439" s="8" t="str">
        <v>-</v>
      </c>
      <c r="G1439" s="2" t="str">
        <v>-</v>
      </c>
      <c r="H1439" s="5">
        <v>1</v>
      </c>
      <c r="I1439" s="2" t="str">
        <v>CPF 1388</v>
      </c>
      <c r="J1439" s="2" t="str">
        <v>Nome 1388</v>
      </c>
      <c r="K1439" s="8" t="str">
        <v>Tel 1388</v>
      </c>
      <c r="L1439" s="8" t="str">
        <v>Cep 1388</v>
      </c>
      <c r="M1439" s="8" t="str">
        <v>Rua 1388</v>
      </c>
      <c r="N1439" s="8" t="str">
        <v>Comp 1388</v>
      </c>
      <c r="O1439" s="8" t="str">
        <v>Brinquedo Bola Giratória voadora</v>
      </c>
      <c r="P1439" s="8" t="str">
        <v>Z0-F6CI-18CL</v>
      </c>
      <c r="Q1439" s="4">
        <v>45783</v>
      </c>
      <c r="R1439" s="109">
        <v>42.87</v>
      </c>
      <c r="S1439" s="11">
        <f ca="1"/>
        <v>0</v>
      </c>
      <c r="T1439" s="28">
        <f ca="1"/>
        <v>0</v>
      </c>
      <c r="U1439" s="11">
        <f ca="1"/>
        <v>0</v>
      </c>
      <c r="V1439" s="11">
        <v>0</v>
      </c>
      <c r="W1439" s="11">
        <f ca="1"/>
        <v>0</v>
      </c>
      <c r="X1439" s="11">
        <f ca="1"/>
        <v>0</v>
      </c>
      <c r="Y1439" s="11">
        <v>0</v>
      </c>
      <c r="Z1439" s="11">
        <f ca="1"/>
        <v>0</v>
      </c>
      <c r="AA1439" s="11">
        <f ca="1"/>
        <v>0</v>
      </c>
      <c r="AB1439" s="4">
        <f ca="1"/>
        <v>45790</v>
      </c>
      <c r="AC1439" s="4">
        <v>45790</v>
      </c>
      <c r="AD1439" s="9">
        <v>45793</v>
      </c>
      <c r="AE1439" s="9">
        <v>45797</v>
      </c>
      <c r="AF1439" s="4" t="str">
        <f t="shared" ca="1" si="95"/>
        <v>2025 05</v>
      </c>
      <c r="AG1439" s="8" t="str" cm="1">
        <f t="array" ref="AG1439">IFERROR(_xlfn.IFS('Banco de Dados'!#REF!="AG. COMPRA","Em processamento",'Banco de Dados'!#REF!="AG. RASTREIO","Em processamento",'Banco de Dados'!$AE1439&lt;&gt;"-","Faturado",'Banco de Dados'!$AD1439&lt;&gt;"-","Aguardando Pix",'Banco de Dados'!$AC1439&lt;&gt;"-","Pendente"),"Aguardando Liberação")</f>
        <v>Aguardando Liberação</v>
      </c>
      <c r="AH1439" s="5" t="str">
        <f ca="1">IF('Banco de Dados'!$F1439="-",_xlfn.CONCAT(PROPER(TEXT(AK1439,"aaaa"))," ",PROPER(TEXT(AK1439,"mm"))),_xlfn.CONCAT(PROPER(TEXT(E1439,"aaaa"))," ",PROPER(TEXT(E1439,"mm"))))</f>
        <v>2025 04</v>
      </c>
      <c r="AI1439" s="9" t="str">
        <f ca="1">IF('Banco de Dados'!$AK1439&lt;&gt;"-","REEMBOLSO",IFERROR(_xlfn.XLOOKUP(G1439,Follow[CODRASTREIO],Follow[STATUS]),"-"))</f>
        <v>REEMBOLSO</v>
      </c>
      <c r="AJ1439" s="9" t="str">
        <f ca="1">IF('Banco de Dados'!$AI1439="ENTREGUE",_xlfn.XLOOKUP('Banco de Dados'!$G1439,Follow[CODRASTREIO],Follow[DATAATUALIZAÇÃO]),"-")</f>
        <v>-</v>
      </c>
      <c r="AK1439" s="132">
        <f ca="1"/>
        <v>45757</v>
      </c>
      <c r="AL1439" s="35"/>
      <c r="AM1439" s="109" cm="1">
        <f t="array" aca="1" ref="AM1439" ca="1">IF('Banco de Dados'!$AK1439&lt;&gt;"-",_xlfn.IFS('Banco de Dados'!$A1439="bv",IF('Banco de Dados'!$E1439&lt;45641,ROUND(SUM('Banco de Dados'!$R1439*_xlfn.XLOOKUP('Banco de Dados'!$P1439,Sku!B:B,Sku!#REF!)*20%),2),ROUND(SUM('Banco de Dados'!$R1439*_xlfn.XLOOKUP('Banco de Dados'!$P1439,Sku!B:B,Sku!H:H)*20%),2)),'Banco de Dados'!$A1439="GO",ROUND(SUM('Banco de Dados'!$R1439*_xlfn.XLOOKUP('Banco de Dados'!$P1439,Sku!C:C,Sku!H:H)*20%),2),'Banco de Dados'!$A1439="MEI",ROUND(SUM('Banco de Dados'!$R1439*_xlfn.XLOOKUP('Banco de Dados'!$P1439,Sku!D:D,Sku!H:H)*20%),2)),0)</f>
        <v>1.03</v>
      </c>
      <c r="AN1439" s="109">
        <f ca="1">IF('Banco de Dados'!$AK1439&lt;&gt;"-",IF('Banco de Dados'!$F1439&lt;&gt;"-",_xlfn.XLOOKUP(IFERROR(IFERROR(IFERROR(VALUE(SUBSTITUTE(MID(_xlfn.TEXTAFTER('Banco de Dados'!$F1439,"Data do Pedido:
",1),1,10),"-","/")),VALUE(SUBSTITUTE(MID(_xlfn.TEXTAFTER('Banco de Dados'!$F1439,"Order date:
",1),1,10),"-","/"))),VALUE(SUBSTITUTE(MID(_xlfn.TEXTAFTER('Banco de Dados'!$F1439,"Fecha de pedido:
",1),1,10),"-","/"))),"-"),SMS!A:A,SMS!K:K),0),0)</f>
        <v>0</v>
      </c>
      <c r="AO1439" s="109">
        <f ca="1">IF('Banco de Dados'!$AK1439&lt;&gt;"-",IF('Banco de Dados'!$F1439&lt;&gt;"-",IFERROR(_xlfn.XLOOKUP(_xlfn.CONCAT('Banco de Dados'!$A1439,IFERROR(IFERROR(VALUE(SUBSTITUTE(MID(_xlfn.TEXTAFTER('Banco de Dados'!$F1439,"Data do Pedido:
",1),1,10),"-","/")),VALUE(SUBSTITUTE(MID(_xlfn.TEXTAFTER('Banco de Dados'!$F1439,"Order date:
",1),1,10),"-","/"))),0)),ProxyDD[Chave],ProxyDD[Valor por pedido]),PROXY!$P$2),0),0)</f>
        <v>0</v>
      </c>
      <c r="AP1439" s="28">
        <f ca="1">IF('Banco de Dados'!$AK1439&lt;&gt;"-",IF('Banco de Dados'!$AL1439="NÃO",IFERROR(VALUE(SUBSTITUTE(_xlfn.TEXTAFTER('Banco de Dados'!$F1439,"BRL ",1),".",",")),0),0),0)</f>
        <v>0</v>
      </c>
      <c r="AQ1439" s="28">
        <f ca="1">SUM('Banco de Dados'!$AM1439:$AP1439)</f>
        <v>1.03</v>
      </c>
      <c r="AR1439" s="8"/>
      <c r="AY1439" s="8"/>
    </row>
    <row r="1440" spans="1:51">
      <c r="A1440" s="5" t="str">
        <v>MEI</v>
      </c>
      <c r="B1440" s="5" t="str">
        <f ca="1"/>
        <v>MEI45755</v>
      </c>
      <c r="C1440" s="8" t="str">
        <v>Pedido 1427</v>
      </c>
      <c r="D1440" s="187">
        <v>45752</v>
      </c>
      <c r="E1440" s="9">
        <v>45755</v>
      </c>
      <c r="F1440" s="8" t="str">
        <v>PedidoF1367</v>
      </c>
      <c r="G1440" s="2" t="str">
        <v>CódRastreio1365</v>
      </c>
      <c r="H1440" s="5">
        <v>1</v>
      </c>
      <c r="I1440" s="2" t="str">
        <v>CPF 1389</v>
      </c>
      <c r="J1440" s="2" t="str">
        <v>Nome 1389</v>
      </c>
      <c r="K1440" s="8" t="str">
        <v>Tel 1389</v>
      </c>
      <c r="L1440" s="8" t="str">
        <v>Cep 1389</v>
      </c>
      <c r="M1440" s="8" t="str">
        <v>Rua 1389</v>
      </c>
      <c r="N1440" s="8" t="str">
        <v>Comp 1389</v>
      </c>
      <c r="O1440" s="8" t="str">
        <v>Ventilador Azul</v>
      </c>
      <c r="P1440" s="8" t="str">
        <v>PK-L2Z7-MQRQ</v>
      </c>
      <c r="Q1440" s="4">
        <v>45783</v>
      </c>
      <c r="R1440" s="109">
        <v>49.9</v>
      </c>
      <c r="S1440" s="11">
        <f ca="1"/>
        <v>0</v>
      </c>
      <c r="T1440" s="28">
        <f ca="1"/>
        <v>0</v>
      </c>
      <c r="U1440" s="11">
        <f ca="1"/>
        <v>0</v>
      </c>
      <c r="V1440" s="11">
        <v>0</v>
      </c>
      <c r="W1440" s="11">
        <f ca="1"/>
        <v>0</v>
      </c>
      <c r="X1440" s="11">
        <f ca="1"/>
        <v>0.39877104377104378</v>
      </c>
      <c r="Y1440" s="11">
        <v>0</v>
      </c>
      <c r="Z1440" s="11">
        <f ca="1"/>
        <v>-0.39877104377104378</v>
      </c>
      <c r="AA1440" s="11">
        <f ca="1"/>
        <v>-0.19938552188552189</v>
      </c>
      <c r="AB1440" s="4">
        <f ca="1"/>
        <v>45790</v>
      </c>
      <c r="AC1440" s="4">
        <v>45790</v>
      </c>
      <c r="AD1440" s="9">
        <v>45793</v>
      </c>
      <c r="AE1440" s="9">
        <v>45797</v>
      </c>
      <c r="AF1440" s="4" t="str">
        <f t="shared" ca="1" si="95"/>
        <v>2025 05</v>
      </c>
      <c r="AG1440" s="8" t="str" cm="1">
        <f t="array" ref="AG1440">IFERROR(_xlfn.IFS('Banco de Dados'!#REF!="AG. COMPRA","Em processamento",'Banco de Dados'!#REF!="AG. RASTREIO","Em processamento",'Banco de Dados'!$AE1440&lt;&gt;"-","Faturado",'Banco de Dados'!$AD1440&lt;&gt;"-","Aguardando Pix",'Banco de Dados'!$AC1440&lt;&gt;"-","Pendente"),"Aguardando Liberação")</f>
        <v>Aguardando Liberação</v>
      </c>
      <c r="AH1440" s="5" t="str">
        <f>IF('Banco de Dados'!$F1440="-",_xlfn.CONCAT(PROPER(TEXT(AK1440,"aaaa"))," ",PROPER(TEXT(AK1440,"mm"))),_xlfn.CONCAT(PROPER(TEXT(E1440,"aaaa"))," ",PROPER(TEXT(E1440,"mm"))))</f>
        <v>2025 04</v>
      </c>
      <c r="AI1440" s="9" t="str">
        <f ca="1">IF('Banco de Dados'!$AK1440&lt;&gt;"-","REEMBOLSO",IFERROR(_xlfn.XLOOKUP(G1440,Follow[CODRASTREIO],Follow[STATUS]),"-"))</f>
        <v>REEMBOLSO</v>
      </c>
      <c r="AJ1440" s="9" t="str">
        <f ca="1">IF('Banco de Dados'!$AI1440="ENTREGUE",_xlfn.XLOOKUP('Banco de Dados'!$G1440,Follow[CODRASTREIO],Follow[DATAATUALIZAÇÃO]),"-")</f>
        <v>-</v>
      </c>
      <c r="AK1440" s="132">
        <f ca="1"/>
        <v>45779</v>
      </c>
      <c r="AL1440" s="35"/>
      <c r="AM1440" s="109" cm="1">
        <f t="array" aca="1" ref="AM1440" ca="1">IF('Banco de Dados'!$AK1440&lt;&gt;"-",_xlfn.IFS('Banco de Dados'!$A1440="bv",IF('Banco de Dados'!$E1440&lt;45641,ROUND(SUM('Banco de Dados'!$R1440*_xlfn.XLOOKUP('Banco de Dados'!$P1440,Sku!B:B,Sku!#REF!)*20%),2),ROUND(SUM('Banco de Dados'!$R1440*_xlfn.XLOOKUP('Banco de Dados'!$P1440,Sku!B:B,Sku!H:H)*20%),2)),'Banco de Dados'!$A1440="GO",ROUND(SUM('Banco de Dados'!$R1440*_xlfn.XLOOKUP('Banco de Dados'!$P1440,Sku!C:C,Sku!H:H)*20%),2),'Banco de Dados'!$A1440="MEI",ROUND(SUM('Banco de Dados'!$R1440*_xlfn.XLOOKUP('Banco de Dados'!$P1440,Sku!D:D,Sku!H:H)*20%),2)),0)</f>
        <v>1.3</v>
      </c>
      <c r="AN1440" s="109" t="e">
        <f ca="1">IF('Banco de Dados'!$AK1440&lt;&gt;"-",IF('Banco de Dados'!$F1440&lt;&gt;"-",_xlfn.XLOOKUP(IFERROR(IFERROR(IFERROR(VALUE(SUBSTITUTE(MID(_xlfn.TEXTAFTER('Banco de Dados'!$F1440,"Data do Pedido:
",1),1,10),"-","/")),VALUE(SUBSTITUTE(MID(_xlfn.TEXTAFTER('Banco de Dados'!$F1440,"Order date:
",1),1,10),"-","/"))),VALUE(SUBSTITUTE(MID(_xlfn.TEXTAFTER('Banco de Dados'!$F1440,"Fecha de pedido:
",1),1,10),"-","/"))),"-"),SMS!A:A,SMS!K:K),0),0)</f>
        <v>#N/A</v>
      </c>
      <c r="AO1440" s="109">
        <f ca="1">IF('Banco de Dados'!$AK1440&lt;&gt;"-",IF('Banco de Dados'!$F1440&lt;&gt;"-",IFERROR(_xlfn.XLOOKUP(_xlfn.CONCAT('Banco de Dados'!$A1440,IFERROR(IFERROR(VALUE(SUBSTITUTE(MID(_xlfn.TEXTAFTER('Banco de Dados'!$F1440,"Data do Pedido:
",1),1,10),"-","/")),VALUE(SUBSTITUTE(MID(_xlfn.TEXTAFTER('Banco de Dados'!$F1440,"Order date:
",1),1,10),"-","/"))),0)),ProxyDD[Chave],ProxyDD[Valor por pedido]),PROXY!$P$2),0),0)</f>
        <v>0.39877104377104378</v>
      </c>
      <c r="AP1440" s="28">
        <f ca="1">IF('Banco de Dados'!$AK1440&lt;&gt;"-",IF('Banco de Dados'!$AL1440="NÃO",IFERROR(VALUE(SUBSTITUTE(_xlfn.TEXTAFTER('Banco de Dados'!$F1440,"BRL ",1),".",",")),0),0),0)</f>
        <v>0</v>
      </c>
      <c r="AQ1440" s="28" t="e">
        <f ca="1">SUM('Banco de Dados'!$AM1440:$AP1440)</f>
        <v>#N/A</v>
      </c>
      <c r="AR1440" s="8"/>
      <c r="AY1440" s="8"/>
    </row>
    <row r="1441" spans="1:51">
      <c r="A1441" s="5" t="str">
        <v>MEI</v>
      </c>
      <c r="B1441" s="5" t="str">
        <f ca="1"/>
        <v>MEI45755</v>
      </c>
      <c r="C1441" s="8" t="str">
        <v>Pedido 1428</v>
      </c>
      <c r="D1441" s="187">
        <v>45752</v>
      </c>
      <c r="E1441" s="9">
        <v>45755</v>
      </c>
      <c r="F1441" s="8" t="str">
        <v>PedidoF1368</v>
      </c>
      <c r="G1441" s="2" t="str">
        <v>CódRastreio1366</v>
      </c>
      <c r="H1441" s="5">
        <v>1</v>
      </c>
      <c r="I1441" s="2" t="str">
        <v>CPF 1390</v>
      </c>
      <c r="J1441" s="2" t="str">
        <v>Nome 1390</v>
      </c>
      <c r="K1441" s="8" t="str">
        <v>Tel 1390</v>
      </c>
      <c r="L1441" s="8" t="str">
        <v>Cep 1390</v>
      </c>
      <c r="M1441" s="8" t="str">
        <v>Rua 1390</v>
      </c>
      <c r="N1441" s="8" t="str">
        <v>Comp 1390</v>
      </c>
      <c r="O1441" s="8" t="str">
        <v>Suporte de Celular Branco</v>
      </c>
      <c r="P1441" s="8" t="str">
        <v>IQ-LISQ-0D65</v>
      </c>
      <c r="Q1441" s="4">
        <v>45783</v>
      </c>
      <c r="R1441" s="109">
        <v>21.99</v>
      </c>
      <c r="S1441" s="11">
        <f ca="1"/>
        <v>21.99</v>
      </c>
      <c r="T1441" s="28">
        <f ca="1"/>
        <v>3.2984999999999998</v>
      </c>
      <c r="U1441" s="11">
        <f ca="1"/>
        <v>18.690000000000001</v>
      </c>
      <c r="V1441" s="11">
        <v>6.99</v>
      </c>
      <c r="W1441" s="11">
        <f ca="1"/>
        <v>0.25</v>
      </c>
      <c r="X1441" s="11">
        <f ca="1"/>
        <v>0.39877104377104378</v>
      </c>
      <c r="Y1441" s="11">
        <v>0</v>
      </c>
      <c r="Z1441" s="11">
        <f ca="1"/>
        <v>11.051228956228957</v>
      </c>
      <c r="AA1441" s="11">
        <f ca="1"/>
        <v>5.5256144781144787</v>
      </c>
      <c r="AB1441" s="4">
        <f ca="1"/>
        <v>45790</v>
      </c>
      <c r="AC1441" s="4">
        <v>45790</v>
      </c>
      <c r="AD1441" s="9">
        <v>45793</v>
      </c>
      <c r="AE1441" s="9">
        <v>45797</v>
      </c>
      <c r="AF1441" s="4" t="str">
        <f t="shared" ca="1" si="95"/>
        <v>2025 05</v>
      </c>
      <c r="AG1441" s="8" t="str" cm="1">
        <f t="array" ref="AG1441">IFERROR(_xlfn.IFS('Banco de Dados'!#REF!="AG. COMPRA","Em processamento",'Banco de Dados'!#REF!="AG. RASTREIO","Em processamento",'Banco de Dados'!$AE1441&lt;&gt;"-","Faturado",'Banco de Dados'!$AD1441&lt;&gt;"-","Aguardando Pix",'Banco de Dados'!$AC1441&lt;&gt;"-","Pendente"),"Aguardando Liberação")</f>
        <v>Aguardando Liberação</v>
      </c>
      <c r="AH1441" s="5" t="str">
        <f>IF('Banco de Dados'!$F1441="-",_xlfn.CONCAT(PROPER(TEXT(AK1441,"aaaa"))," ",PROPER(TEXT(AK1441,"mm"))),_xlfn.CONCAT(PROPER(TEXT(E1441,"aaaa"))," ",PROPER(TEXT(E1441,"mm"))))</f>
        <v>2025 04</v>
      </c>
      <c r="AI1441" s="9" t="str">
        <f ca="1">IF('Banco de Dados'!$AK1441&lt;&gt;"-","REEMBOLSO",IFERROR(_xlfn.XLOOKUP(G1441,Follow[CODRASTREIO],Follow[STATUS]),"-"))</f>
        <v>ENTREGUE</v>
      </c>
      <c r="AJ1441" s="9">
        <f ca="1">IF('Banco de Dados'!$AI1441="ENTREGUE",_xlfn.XLOOKUP('Banco de Dados'!$G1441,Follow[CODRASTREIO],Follow[DATAATUALIZAÇÃO]),"-")</f>
        <v>45762</v>
      </c>
      <c r="AK1441" s="132" t="str">
        <f ca="1"/>
        <v>-</v>
      </c>
      <c r="AL1441" s="35"/>
      <c r="AM1441" s="109" cm="1">
        <f t="array" aca="1" ref="AM1441" ca="1">IF('Banco de Dados'!$AK1441&lt;&gt;"-",_xlfn.IFS('Banco de Dados'!$A1441="bv",IF('Banco de Dados'!$E1441&lt;45641,ROUND(SUM('Banco de Dados'!$R1441*_xlfn.XLOOKUP('Banco de Dados'!$P1441,Sku!B:B,Sku!#REF!)*20%),2),ROUND(SUM('Banco de Dados'!$R1441*_xlfn.XLOOKUP('Banco de Dados'!$P1441,Sku!B:B,Sku!H:H)*20%),2)),'Banco de Dados'!$A1441="GO",ROUND(SUM('Banco de Dados'!$R1441*_xlfn.XLOOKUP('Banco de Dados'!$P1441,Sku!C:C,Sku!H:H)*20%),2),'Banco de Dados'!$A1441="MEI",ROUND(SUM('Banco de Dados'!$R1441*_xlfn.XLOOKUP('Banco de Dados'!$P1441,Sku!D:D,Sku!H:H)*20%),2)),0)</f>
        <v>0</v>
      </c>
      <c r="AN1441" s="109">
        <f ca="1">IF('Banco de Dados'!$AK1441&lt;&gt;"-",IF('Banco de Dados'!$F1441&lt;&gt;"-",_xlfn.XLOOKUP(IFERROR(IFERROR(IFERROR(VALUE(SUBSTITUTE(MID(_xlfn.TEXTAFTER('Banco de Dados'!$F1441,"Data do Pedido:
",1),1,10),"-","/")),VALUE(SUBSTITUTE(MID(_xlfn.TEXTAFTER('Banco de Dados'!$F1441,"Order date:
",1),1,10),"-","/"))),VALUE(SUBSTITUTE(MID(_xlfn.TEXTAFTER('Banco de Dados'!$F1441,"Fecha de pedido:
",1),1,10),"-","/"))),"-"),SMS!A:A,SMS!K:K),0),0)</f>
        <v>0</v>
      </c>
      <c r="AO1441" s="109">
        <f ca="1">IF('Banco de Dados'!$AK1441&lt;&gt;"-",IF('Banco de Dados'!$F1441&lt;&gt;"-",IFERROR(_xlfn.XLOOKUP(_xlfn.CONCAT('Banco de Dados'!$A1441,IFERROR(IFERROR(VALUE(SUBSTITUTE(MID(_xlfn.TEXTAFTER('Banco de Dados'!$F1441,"Data do Pedido:
",1),1,10),"-","/")),VALUE(SUBSTITUTE(MID(_xlfn.TEXTAFTER('Banco de Dados'!$F1441,"Order date:
",1),1,10),"-","/"))),0)),ProxyDD[Chave],ProxyDD[Valor por pedido]),PROXY!$P$2),0),0)</f>
        <v>0</v>
      </c>
      <c r="AP1441" s="28">
        <f ca="1">IF('Banco de Dados'!$AK1441&lt;&gt;"-",IF('Banco de Dados'!$AL1441="NÃO",IFERROR(VALUE(SUBSTITUTE(_xlfn.TEXTAFTER('Banco de Dados'!$F1441,"BRL ",1),".",",")),0),0),0)</f>
        <v>0</v>
      </c>
      <c r="AQ1441" s="28">
        <f ca="1">SUM('Banco de Dados'!$AM1441:$AP1441)</f>
        <v>0</v>
      </c>
      <c r="AR1441" s="8"/>
      <c r="AY1441" s="8"/>
    </row>
    <row r="1442" spans="1:51">
      <c r="A1442" s="5" t="str">
        <v>MEI</v>
      </c>
      <c r="B1442" s="5" t="str">
        <f ca="1"/>
        <v>MEI45755</v>
      </c>
      <c r="C1442" s="8" t="str">
        <v>Pedido 1429</v>
      </c>
      <c r="D1442" s="187">
        <v>45753</v>
      </c>
      <c r="E1442" s="9">
        <v>45755</v>
      </c>
      <c r="F1442" s="8" t="str">
        <v>PedidoF1369</v>
      </c>
      <c r="G1442" s="2" t="str">
        <v>CódRastreio1367</v>
      </c>
      <c r="H1442" s="5">
        <v>1</v>
      </c>
      <c r="I1442" s="2" t="str">
        <v>CPF 1391</v>
      </c>
      <c r="J1442" s="2" t="str">
        <v>Nome 1391</v>
      </c>
      <c r="K1442" s="8" t="str">
        <v>Tel 1391</v>
      </c>
      <c r="L1442" s="8" t="str">
        <v>Cep 1391</v>
      </c>
      <c r="M1442" s="8" t="str">
        <v>Rua 1391</v>
      </c>
      <c r="N1442" s="8" t="str">
        <v>Comp 1391</v>
      </c>
      <c r="O1442" s="8" t="str">
        <v>Lampada Led</v>
      </c>
      <c r="P1442" s="8" t="str">
        <v>T1-SWVB-UPOW</v>
      </c>
      <c r="Q1442" s="4">
        <v>45776</v>
      </c>
      <c r="R1442" s="109">
        <v>29.99</v>
      </c>
      <c r="S1442" s="11">
        <f ca="1"/>
        <v>29.99</v>
      </c>
      <c r="T1442" s="28">
        <f ca="1"/>
        <v>3.5987999999999998</v>
      </c>
      <c r="U1442" s="11">
        <f ca="1"/>
        <v>26.39</v>
      </c>
      <c r="V1442" s="11">
        <v>10.15</v>
      </c>
      <c r="W1442" s="11">
        <f ca="1"/>
        <v>0.25</v>
      </c>
      <c r="X1442" s="11">
        <f ca="1"/>
        <v>0.39877104377104378</v>
      </c>
      <c r="Y1442" s="11">
        <v>0</v>
      </c>
      <c r="Z1442" s="11">
        <f ca="1"/>
        <v>15.591228956228957</v>
      </c>
      <c r="AA1442" s="11">
        <f ca="1"/>
        <v>7.7956144781144783</v>
      </c>
      <c r="AB1442" s="4">
        <f ca="1"/>
        <v>45783</v>
      </c>
      <c r="AC1442" s="4">
        <v>45783</v>
      </c>
      <c r="AD1442" s="9">
        <v>45793</v>
      </c>
      <c r="AE1442" s="9">
        <v>45797</v>
      </c>
      <c r="AF1442" s="4" t="str">
        <f t="shared" ca="1" si="95"/>
        <v>2025 05</v>
      </c>
      <c r="AG1442" s="8" t="str" cm="1">
        <f t="array" ref="AG1442">IFERROR(_xlfn.IFS('Banco de Dados'!#REF!="AG. COMPRA","Em processamento",'Banco de Dados'!#REF!="AG. RASTREIO","Em processamento",'Banco de Dados'!$AE1442&lt;&gt;"-","Faturado",'Banco de Dados'!$AD1442&lt;&gt;"-","Aguardando Pix",'Banco de Dados'!$AC1442&lt;&gt;"-","Pendente"),"Aguardando Liberação")</f>
        <v>Aguardando Liberação</v>
      </c>
      <c r="AH1442" s="5" t="str">
        <f>IF('Banco de Dados'!$F1442="-",_xlfn.CONCAT(PROPER(TEXT(AK1442,"aaaa"))," ",PROPER(TEXT(AK1442,"mm"))),_xlfn.CONCAT(PROPER(TEXT(E1442,"aaaa"))," ",PROPER(TEXT(E1442,"mm"))))</f>
        <v>2025 04</v>
      </c>
      <c r="AI1442" s="9" t="str">
        <f ca="1">IF('Banco de Dados'!$AK1442&lt;&gt;"-","REEMBOLSO",IFERROR(_xlfn.XLOOKUP(G1442,Follow[CODRASTREIO],Follow[STATUS]),"-"))</f>
        <v>ENTREGUE</v>
      </c>
      <c r="AJ1442" s="9">
        <f ca="1">IF('Banco de Dados'!$AI1442="ENTREGUE",_xlfn.XLOOKUP('Banco de Dados'!$G1442,Follow[CODRASTREIO],Follow[DATAATUALIZAÇÃO]),"-")</f>
        <v>45769</v>
      </c>
      <c r="AK1442" s="132" t="str">
        <f ca="1"/>
        <v>-</v>
      </c>
      <c r="AL1442" s="35"/>
      <c r="AM1442" s="109" cm="1">
        <f t="array" aca="1" ref="AM1442" ca="1">IF('Banco de Dados'!$AK1442&lt;&gt;"-",_xlfn.IFS('Banco de Dados'!$A1442="bv",IF('Banco de Dados'!$E1442&lt;45641,ROUND(SUM('Banco de Dados'!$R1442*_xlfn.XLOOKUP('Banco de Dados'!$P1442,Sku!B:B,Sku!#REF!)*20%),2),ROUND(SUM('Banco de Dados'!$R1442*_xlfn.XLOOKUP('Banco de Dados'!$P1442,Sku!B:B,Sku!H:H)*20%),2)),'Banco de Dados'!$A1442="GO",ROUND(SUM('Banco de Dados'!$R1442*_xlfn.XLOOKUP('Banco de Dados'!$P1442,Sku!C:C,Sku!H:H)*20%),2),'Banco de Dados'!$A1442="MEI",ROUND(SUM('Banco de Dados'!$R1442*_xlfn.XLOOKUP('Banco de Dados'!$P1442,Sku!D:D,Sku!H:H)*20%),2)),0)</f>
        <v>0</v>
      </c>
      <c r="AN1442" s="109">
        <f ca="1">IF('Banco de Dados'!$AK1442&lt;&gt;"-",IF('Banco de Dados'!$F1442&lt;&gt;"-",_xlfn.XLOOKUP(IFERROR(IFERROR(IFERROR(VALUE(SUBSTITUTE(MID(_xlfn.TEXTAFTER('Banco de Dados'!$F1442,"Data do Pedido:
",1),1,10),"-","/")),VALUE(SUBSTITUTE(MID(_xlfn.TEXTAFTER('Banco de Dados'!$F1442,"Order date:
",1),1,10),"-","/"))),VALUE(SUBSTITUTE(MID(_xlfn.TEXTAFTER('Banco de Dados'!$F1442,"Fecha de pedido:
",1),1,10),"-","/"))),"-"),SMS!A:A,SMS!K:K),0),0)</f>
        <v>0</v>
      </c>
      <c r="AO1442" s="109">
        <f ca="1">IF('Banco de Dados'!$AK1442&lt;&gt;"-",IF('Banco de Dados'!$F1442&lt;&gt;"-",IFERROR(_xlfn.XLOOKUP(_xlfn.CONCAT('Banco de Dados'!$A1442,IFERROR(IFERROR(VALUE(SUBSTITUTE(MID(_xlfn.TEXTAFTER('Banco de Dados'!$F1442,"Data do Pedido:
",1),1,10),"-","/")),VALUE(SUBSTITUTE(MID(_xlfn.TEXTAFTER('Banco de Dados'!$F1442,"Order date:
",1),1,10),"-","/"))),0)),ProxyDD[Chave],ProxyDD[Valor por pedido]),PROXY!$P$2),0),0)</f>
        <v>0</v>
      </c>
      <c r="AP1442" s="28">
        <f ca="1">IF('Banco de Dados'!$AK1442&lt;&gt;"-",IF('Banco de Dados'!$AL1442="NÃO",IFERROR(VALUE(SUBSTITUTE(_xlfn.TEXTAFTER('Banco de Dados'!$F1442,"BRL ",1),".",",")),0),0),0)</f>
        <v>0</v>
      </c>
      <c r="AQ1442" s="28">
        <f ca="1">SUM('Banco de Dados'!$AM1442:$AP1442)</f>
        <v>0</v>
      </c>
      <c r="AR1442" s="8"/>
      <c r="AY1442" s="8"/>
    </row>
    <row r="1443" spans="1:51">
      <c r="A1443" s="5" t="str">
        <v>MEI</v>
      </c>
      <c r="B1443" s="5" t="str">
        <f ca="1"/>
        <v>MEI45755</v>
      </c>
      <c r="C1443" s="8" t="str">
        <v>Pedido 1430</v>
      </c>
      <c r="D1443" s="187">
        <v>45753</v>
      </c>
      <c r="E1443" s="9">
        <v>45755</v>
      </c>
      <c r="F1443" s="8" t="str">
        <v>PedidoF1370</v>
      </c>
      <c r="G1443" s="2" t="str">
        <v>CódRastreio1368</v>
      </c>
      <c r="H1443" s="5">
        <v>1</v>
      </c>
      <c r="I1443" s="2" t="str">
        <v>CPF 1392</v>
      </c>
      <c r="J1443" s="2" t="str">
        <v>Nome 1392</v>
      </c>
      <c r="K1443" s="8" t="str">
        <v>Tel 1392</v>
      </c>
      <c r="L1443" s="8" t="str">
        <v>Cep 1392</v>
      </c>
      <c r="M1443" s="8" t="str">
        <v>Rua 1392</v>
      </c>
      <c r="N1443" s="8" t="str">
        <v>Comp 1392</v>
      </c>
      <c r="O1443" s="8" t="str">
        <v>Suporte de Celular Branco</v>
      </c>
      <c r="P1443" s="8" t="str">
        <v>IQ-LISQ-0D65</v>
      </c>
      <c r="Q1443" s="4">
        <v>45783</v>
      </c>
      <c r="R1443" s="109">
        <v>21.99</v>
      </c>
      <c r="S1443" s="11">
        <f ca="1"/>
        <v>21.99</v>
      </c>
      <c r="T1443" s="28">
        <f ca="1"/>
        <v>3.2984999999999998</v>
      </c>
      <c r="U1443" s="11">
        <f ca="1"/>
        <v>18.690000000000001</v>
      </c>
      <c r="V1443" s="11">
        <v>6.99</v>
      </c>
      <c r="W1443" s="11">
        <f ca="1"/>
        <v>0.25</v>
      </c>
      <c r="X1443" s="11">
        <f ca="1"/>
        <v>0.39877104377104378</v>
      </c>
      <c r="Y1443" s="11">
        <v>0</v>
      </c>
      <c r="Z1443" s="11">
        <f ca="1"/>
        <v>11.051228956228957</v>
      </c>
      <c r="AA1443" s="11">
        <f ca="1"/>
        <v>5.5256144781144787</v>
      </c>
      <c r="AB1443" s="4">
        <f ca="1"/>
        <v>45790</v>
      </c>
      <c r="AC1443" s="4">
        <v>45790</v>
      </c>
      <c r="AD1443" s="9">
        <v>45793</v>
      </c>
      <c r="AE1443" s="9">
        <v>45797</v>
      </c>
      <c r="AF1443" s="4" t="str">
        <f t="shared" ca="1" si="95"/>
        <v>2025 05</v>
      </c>
      <c r="AG1443" s="8" t="str" cm="1">
        <f t="array" ref="AG1443">IFERROR(_xlfn.IFS('Banco de Dados'!#REF!="AG. COMPRA","Em processamento",'Banco de Dados'!#REF!="AG. RASTREIO","Em processamento",'Banco de Dados'!$AE1443&lt;&gt;"-","Faturado",'Banco de Dados'!$AD1443&lt;&gt;"-","Aguardando Pix",'Banco de Dados'!$AC1443&lt;&gt;"-","Pendente"),"Aguardando Liberação")</f>
        <v>Aguardando Liberação</v>
      </c>
      <c r="AH1443" s="5" t="str">
        <f>IF('Banco de Dados'!$F1443="-",_xlfn.CONCAT(PROPER(TEXT(AK1443,"aaaa"))," ",PROPER(TEXT(AK1443,"mm"))),_xlfn.CONCAT(PROPER(TEXT(E1443,"aaaa"))," ",PROPER(TEXT(E1443,"mm"))))</f>
        <v>2025 04</v>
      </c>
      <c r="AI1443" s="9" t="str">
        <f ca="1">IF('Banco de Dados'!$AK1443&lt;&gt;"-","REEMBOLSO",IFERROR(_xlfn.XLOOKUP(G1443,Follow[CODRASTREIO],Follow[STATUS]),"-"))</f>
        <v>ENTREGUE</v>
      </c>
      <c r="AJ1443" s="9">
        <f ca="1">IF('Banco de Dados'!$AI1443="ENTREGUE",_xlfn.XLOOKUP('Banco de Dados'!$G1443,Follow[CODRASTREIO],Follow[DATAATUALIZAÇÃO]),"-")</f>
        <v>45766</v>
      </c>
      <c r="AK1443" s="132" t="str">
        <f ca="1"/>
        <v>-</v>
      </c>
      <c r="AL1443" s="35"/>
      <c r="AM1443" s="109" cm="1">
        <f t="array" aca="1" ref="AM1443" ca="1">IF('Banco de Dados'!$AK1443&lt;&gt;"-",_xlfn.IFS('Banco de Dados'!$A1443="bv",IF('Banco de Dados'!$E1443&lt;45641,ROUND(SUM('Banco de Dados'!$R1443*_xlfn.XLOOKUP('Banco de Dados'!$P1443,Sku!B:B,Sku!#REF!)*20%),2),ROUND(SUM('Banco de Dados'!$R1443*_xlfn.XLOOKUP('Banco de Dados'!$P1443,Sku!B:B,Sku!H:H)*20%),2)),'Banco de Dados'!$A1443="GO",ROUND(SUM('Banco de Dados'!$R1443*_xlfn.XLOOKUP('Banco de Dados'!$P1443,Sku!C:C,Sku!H:H)*20%),2),'Banco de Dados'!$A1443="MEI",ROUND(SUM('Banco de Dados'!$R1443*_xlfn.XLOOKUP('Banco de Dados'!$P1443,Sku!D:D,Sku!H:H)*20%),2)),0)</f>
        <v>0</v>
      </c>
      <c r="AN1443" s="109">
        <f ca="1">IF('Banco de Dados'!$AK1443&lt;&gt;"-",IF('Banco de Dados'!$F1443&lt;&gt;"-",_xlfn.XLOOKUP(IFERROR(IFERROR(IFERROR(VALUE(SUBSTITUTE(MID(_xlfn.TEXTAFTER('Banco de Dados'!$F1443,"Data do Pedido:
",1),1,10),"-","/")),VALUE(SUBSTITUTE(MID(_xlfn.TEXTAFTER('Banco de Dados'!$F1443,"Order date:
",1),1,10),"-","/"))),VALUE(SUBSTITUTE(MID(_xlfn.TEXTAFTER('Banco de Dados'!$F1443,"Fecha de pedido:
",1),1,10),"-","/"))),"-"),SMS!A:A,SMS!K:K),0),0)</f>
        <v>0</v>
      </c>
      <c r="AO1443" s="109">
        <f ca="1">IF('Banco de Dados'!$AK1443&lt;&gt;"-",IF('Banco de Dados'!$F1443&lt;&gt;"-",IFERROR(_xlfn.XLOOKUP(_xlfn.CONCAT('Banco de Dados'!$A1443,IFERROR(IFERROR(VALUE(SUBSTITUTE(MID(_xlfn.TEXTAFTER('Banco de Dados'!$F1443,"Data do Pedido:
",1),1,10),"-","/")),VALUE(SUBSTITUTE(MID(_xlfn.TEXTAFTER('Banco de Dados'!$F1443,"Order date:
",1),1,10),"-","/"))),0)),ProxyDD[Chave],ProxyDD[Valor por pedido]),PROXY!$P$2),0),0)</f>
        <v>0</v>
      </c>
      <c r="AP1443" s="28">
        <f ca="1">IF('Banco de Dados'!$AK1443&lt;&gt;"-",IF('Banco de Dados'!$AL1443="NÃO",IFERROR(VALUE(SUBSTITUTE(_xlfn.TEXTAFTER('Banco de Dados'!$F1443,"BRL ",1),".",",")),0),0),0)</f>
        <v>0</v>
      </c>
      <c r="AQ1443" s="28">
        <f ca="1">SUM('Banco de Dados'!$AM1443:$AP1443)</f>
        <v>0</v>
      </c>
      <c r="AR1443" s="8"/>
      <c r="AY1443" s="8"/>
    </row>
    <row r="1444" spans="1:51">
      <c r="A1444" s="5" t="str">
        <v>MEI</v>
      </c>
      <c r="B1444" s="5" t="str">
        <f ca="1"/>
        <v>MEI45755</v>
      </c>
      <c r="C1444" s="8" t="str">
        <v>Pedido 1431</v>
      </c>
      <c r="D1444" s="187">
        <v>45753</v>
      </c>
      <c r="E1444" s="9">
        <v>45755</v>
      </c>
      <c r="F1444" s="8" t="str">
        <v>PedidoF1371</v>
      </c>
      <c r="G1444" s="2" t="str">
        <v>CódRastreio1369</v>
      </c>
      <c r="H1444" s="5">
        <v>1</v>
      </c>
      <c r="I1444" s="2" t="str">
        <v>CPF 1393</v>
      </c>
      <c r="J1444" s="2" t="str">
        <v>Nome 1393</v>
      </c>
      <c r="K1444" s="8" t="str">
        <v>Tel 1393</v>
      </c>
      <c r="L1444" s="8" t="str">
        <v>Cep 1393</v>
      </c>
      <c r="M1444" s="8" t="str">
        <v>Rua 1393</v>
      </c>
      <c r="N1444" s="8" t="str">
        <v>Comp 1393</v>
      </c>
      <c r="O1444" s="8" t="str">
        <v>Suporte de Celular Branco</v>
      </c>
      <c r="P1444" s="8" t="str">
        <v>IQ-LISQ-0D65</v>
      </c>
      <c r="Q1444" s="4">
        <v>45776</v>
      </c>
      <c r="R1444" s="109">
        <v>21.99</v>
      </c>
      <c r="S1444" s="11">
        <f ca="1"/>
        <v>21.99</v>
      </c>
      <c r="T1444" s="28">
        <f ca="1"/>
        <v>3.2984999999999998</v>
      </c>
      <c r="U1444" s="11">
        <f ca="1"/>
        <v>18.690000000000001</v>
      </c>
      <c r="V1444" s="11">
        <v>6.99</v>
      </c>
      <c r="W1444" s="11">
        <f ca="1"/>
        <v>0.25</v>
      </c>
      <c r="X1444" s="11">
        <f ca="1"/>
        <v>0.39877104377104378</v>
      </c>
      <c r="Y1444" s="11">
        <v>0</v>
      </c>
      <c r="Z1444" s="11">
        <f ca="1"/>
        <v>11.051228956228957</v>
      </c>
      <c r="AA1444" s="11">
        <f ca="1"/>
        <v>5.5256144781144787</v>
      </c>
      <c r="AB1444" s="4">
        <f ca="1"/>
        <v>45783</v>
      </c>
      <c r="AC1444" s="4">
        <v>45783</v>
      </c>
      <c r="AD1444" s="9">
        <v>45793</v>
      </c>
      <c r="AE1444" s="9">
        <v>45797</v>
      </c>
      <c r="AF1444" s="4" t="str">
        <f t="shared" ca="1" si="95"/>
        <v>2025 05</v>
      </c>
      <c r="AG1444" s="8" t="str" cm="1">
        <f t="array" ref="AG1444">IFERROR(_xlfn.IFS('Banco de Dados'!#REF!="AG. COMPRA","Em processamento",'Banco de Dados'!#REF!="AG. RASTREIO","Em processamento",'Banco de Dados'!$AE1444&lt;&gt;"-","Faturado",'Banco de Dados'!$AD1444&lt;&gt;"-","Aguardando Pix",'Banco de Dados'!$AC1444&lt;&gt;"-","Pendente"),"Aguardando Liberação")</f>
        <v>Aguardando Liberação</v>
      </c>
      <c r="AH1444" s="5" t="str">
        <f>IF('Banco de Dados'!$F1444="-",_xlfn.CONCAT(PROPER(TEXT(AK1444,"aaaa"))," ",PROPER(TEXT(AK1444,"mm"))),_xlfn.CONCAT(PROPER(TEXT(E1444,"aaaa"))," ",PROPER(TEXT(E1444,"mm"))))</f>
        <v>2025 04</v>
      </c>
      <c r="AI1444" s="9" t="str">
        <f ca="1">IF('Banco de Dados'!$AK1444&lt;&gt;"-","REEMBOLSO",IFERROR(_xlfn.XLOOKUP(G1444,Follow[CODRASTREIO],Follow[STATUS]),"-"))</f>
        <v>ENTREGUE</v>
      </c>
      <c r="AJ1444" s="9">
        <f ca="1">IF('Banco de Dados'!$AI1444="ENTREGUE",_xlfn.XLOOKUP('Banco de Dados'!$G1444,Follow[CODRASTREIO],Follow[DATAATUALIZAÇÃO]),"-")</f>
        <v>45763</v>
      </c>
      <c r="AK1444" s="132" t="str">
        <f ca="1"/>
        <v>-</v>
      </c>
      <c r="AL1444" s="35"/>
      <c r="AM1444" s="109" cm="1">
        <f t="array" aca="1" ref="AM1444" ca="1">IF('Banco de Dados'!$AK1444&lt;&gt;"-",_xlfn.IFS('Banco de Dados'!$A1444="bv",IF('Banco de Dados'!$E1444&lt;45641,ROUND(SUM('Banco de Dados'!$R1444*_xlfn.XLOOKUP('Banco de Dados'!$P1444,Sku!B:B,Sku!#REF!)*20%),2),ROUND(SUM('Banco de Dados'!$R1444*_xlfn.XLOOKUP('Banco de Dados'!$P1444,Sku!B:B,Sku!H:H)*20%),2)),'Banco de Dados'!$A1444="GO",ROUND(SUM('Banco de Dados'!$R1444*_xlfn.XLOOKUP('Banco de Dados'!$P1444,Sku!C:C,Sku!H:H)*20%),2),'Banco de Dados'!$A1444="MEI",ROUND(SUM('Banco de Dados'!$R1444*_xlfn.XLOOKUP('Banco de Dados'!$P1444,Sku!D:D,Sku!H:H)*20%),2)),0)</f>
        <v>0</v>
      </c>
      <c r="AN1444" s="109">
        <f ca="1">IF('Banco de Dados'!$AK1444&lt;&gt;"-",IF('Banco de Dados'!$F1444&lt;&gt;"-",_xlfn.XLOOKUP(IFERROR(IFERROR(IFERROR(VALUE(SUBSTITUTE(MID(_xlfn.TEXTAFTER('Banco de Dados'!$F1444,"Data do Pedido:
",1),1,10),"-","/")),VALUE(SUBSTITUTE(MID(_xlfn.TEXTAFTER('Banco de Dados'!$F1444,"Order date:
",1),1,10),"-","/"))),VALUE(SUBSTITUTE(MID(_xlfn.TEXTAFTER('Banco de Dados'!$F1444,"Fecha de pedido:
",1),1,10),"-","/"))),"-"),SMS!A:A,SMS!K:K),0),0)</f>
        <v>0</v>
      </c>
      <c r="AO1444" s="109">
        <f ca="1">IF('Banco de Dados'!$AK1444&lt;&gt;"-",IF('Banco de Dados'!$F1444&lt;&gt;"-",IFERROR(_xlfn.XLOOKUP(_xlfn.CONCAT('Banco de Dados'!$A1444,IFERROR(IFERROR(VALUE(SUBSTITUTE(MID(_xlfn.TEXTAFTER('Banco de Dados'!$F1444,"Data do Pedido:
",1),1,10),"-","/")),VALUE(SUBSTITUTE(MID(_xlfn.TEXTAFTER('Banco de Dados'!$F1444,"Order date:
",1),1,10),"-","/"))),0)),ProxyDD[Chave],ProxyDD[Valor por pedido]),PROXY!$P$2),0),0)</f>
        <v>0</v>
      </c>
      <c r="AP1444" s="28">
        <f ca="1">IF('Banco de Dados'!$AK1444&lt;&gt;"-",IF('Banco de Dados'!$AL1444="NÃO",IFERROR(VALUE(SUBSTITUTE(_xlfn.TEXTAFTER('Banco de Dados'!$F1444,"BRL ",1),".",",")),0),0),0)</f>
        <v>0</v>
      </c>
      <c r="AQ1444" s="28">
        <f ca="1">SUM('Banco de Dados'!$AM1444:$AP1444)</f>
        <v>0</v>
      </c>
      <c r="AR1444" s="8"/>
      <c r="AY1444" s="8"/>
    </row>
    <row r="1445" spans="1:51">
      <c r="A1445" s="5" t="str">
        <v>MEI</v>
      </c>
      <c r="B1445" s="5" t="str">
        <f ca="1"/>
        <v>MEI45755</v>
      </c>
      <c r="C1445" s="8" t="str">
        <v>Pedido 1432</v>
      </c>
      <c r="D1445" s="187">
        <v>45753</v>
      </c>
      <c r="E1445" s="9">
        <v>45755</v>
      </c>
      <c r="F1445" s="8" t="str">
        <v>PedidoF1372</v>
      </c>
      <c r="G1445" s="2" t="str">
        <v>CódRastreio1370</v>
      </c>
      <c r="H1445" s="5">
        <v>1</v>
      </c>
      <c r="I1445" s="2" t="str">
        <v>CPF 1394</v>
      </c>
      <c r="J1445" s="2" t="str">
        <v>Nome 1394</v>
      </c>
      <c r="K1445" s="8" t="str">
        <v>Tel 1394</v>
      </c>
      <c r="L1445" s="8" t="str">
        <v>Cep 1394</v>
      </c>
      <c r="M1445" s="8" t="str">
        <v>Rua 1394</v>
      </c>
      <c r="N1445" s="8" t="str">
        <v>Comp 1394</v>
      </c>
      <c r="O1445" s="8" t="str">
        <v>Ventilador Rosa</v>
      </c>
      <c r="P1445" s="8" t="str">
        <v>WR-82Y0-OV27</v>
      </c>
      <c r="Q1445" s="4">
        <v>45783</v>
      </c>
      <c r="R1445" s="109">
        <v>59.69</v>
      </c>
      <c r="S1445" s="11">
        <f ca="1"/>
        <v>59.69</v>
      </c>
      <c r="T1445" s="28">
        <f ca="1"/>
        <v>7.1627999999999998</v>
      </c>
      <c r="U1445" s="11">
        <f ca="1"/>
        <v>52.53</v>
      </c>
      <c r="V1445" s="11">
        <v>14.72</v>
      </c>
      <c r="W1445" s="11">
        <f ca="1"/>
        <v>0.25</v>
      </c>
      <c r="X1445" s="11">
        <f ca="1"/>
        <v>0.39877104377104378</v>
      </c>
      <c r="Y1445" s="11">
        <v>0</v>
      </c>
      <c r="Z1445" s="11">
        <f ca="1"/>
        <v>37.161228956228953</v>
      </c>
      <c r="AA1445" s="11">
        <f ca="1"/>
        <v>18.580614478114477</v>
      </c>
      <c r="AB1445" s="4">
        <f ca="1"/>
        <v>45790</v>
      </c>
      <c r="AC1445" s="4">
        <v>45790</v>
      </c>
      <c r="AD1445" s="9">
        <v>45793</v>
      </c>
      <c r="AE1445" s="9">
        <v>45797</v>
      </c>
      <c r="AF1445" s="4" t="str">
        <f t="shared" ca="1" si="95"/>
        <v>2025 05</v>
      </c>
      <c r="AG1445" s="8" t="str" cm="1">
        <f t="array" ref="AG1445">IFERROR(_xlfn.IFS('Banco de Dados'!#REF!="AG. COMPRA","Em processamento",'Banco de Dados'!#REF!="AG. RASTREIO","Em processamento",'Banco de Dados'!$AE1445&lt;&gt;"-","Faturado",'Banco de Dados'!$AD1445&lt;&gt;"-","Aguardando Pix",'Banco de Dados'!$AC1445&lt;&gt;"-","Pendente"),"Aguardando Liberação")</f>
        <v>Aguardando Liberação</v>
      </c>
      <c r="AH1445" s="5" t="str">
        <f>IF('Banco de Dados'!$F1445="-",_xlfn.CONCAT(PROPER(TEXT(AK1445,"aaaa"))," ",PROPER(TEXT(AK1445,"mm"))),_xlfn.CONCAT(PROPER(TEXT(E1445,"aaaa"))," ",PROPER(TEXT(E1445,"mm"))))</f>
        <v>2025 04</v>
      </c>
      <c r="AI1445" s="9" t="str">
        <f ca="1">IF('Banco de Dados'!$AK1445&lt;&gt;"-","REEMBOLSO",IFERROR(_xlfn.XLOOKUP(G1445,Follow[CODRASTREIO],Follow[STATUS]),"-"))</f>
        <v>ENTREGUE</v>
      </c>
      <c r="AJ1445" s="9">
        <f ca="1">IF('Banco de Dados'!$AI1445="ENTREGUE",_xlfn.XLOOKUP('Banco de Dados'!$G1445,Follow[CODRASTREIO],Follow[DATAATUALIZAÇÃO]),"-")</f>
        <v>45772</v>
      </c>
      <c r="AK1445" s="132" t="str">
        <f ca="1"/>
        <v>-</v>
      </c>
      <c r="AL1445" s="35"/>
      <c r="AM1445" s="109" cm="1">
        <f t="array" aca="1" ref="AM1445" ca="1">IF('Banco de Dados'!$AK1445&lt;&gt;"-",_xlfn.IFS('Banco de Dados'!$A1445="bv",IF('Banco de Dados'!$E1445&lt;45641,ROUND(SUM('Banco de Dados'!$R1445*_xlfn.XLOOKUP('Banco de Dados'!$P1445,Sku!B:B,Sku!#REF!)*20%),2),ROUND(SUM('Banco de Dados'!$R1445*_xlfn.XLOOKUP('Banco de Dados'!$P1445,Sku!B:B,Sku!H:H)*20%),2)),'Banco de Dados'!$A1445="GO",ROUND(SUM('Banco de Dados'!$R1445*_xlfn.XLOOKUP('Banco de Dados'!$P1445,Sku!C:C,Sku!H:H)*20%),2),'Banco de Dados'!$A1445="MEI",ROUND(SUM('Banco de Dados'!$R1445*_xlfn.XLOOKUP('Banco de Dados'!$P1445,Sku!D:D,Sku!H:H)*20%),2)),0)</f>
        <v>0</v>
      </c>
      <c r="AN1445" s="109">
        <f ca="1">IF('Banco de Dados'!$AK1445&lt;&gt;"-",IF('Banco de Dados'!$F1445&lt;&gt;"-",_xlfn.XLOOKUP(IFERROR(IFERROR(IFERROR(VALUE(SUBSTITUTE(MID(_xlfn.TEXTAFTER('Banco de Dados'!$F1445,"Data do Pedido:
",1),1,10),"-","/")),VALUE(SUBSTITUTE(MID(_xlfn.TEXTAFTER('Banco de Dados'!$F1445,"Order date:
",1),1,10),"-","/"))),VALUE(SUBSTITUTE(MID(_xlfn.TEXTAFTER('Banco de Dados'!$F1445,"Fecha de pedido:
",1),1,10),"-","/"))),"-"),SMS!A:A,SMS!K:K),0),0)</f>
        <v>0</v>
      </c>
      <c r="AO1445" s="109">
        <f ca="1">IF('Banco de Dados'!$AK1445&lt;&gt;"-",IF('Banco de Dados'!$F1445&lt;&gt;"-",IFERROR(_xlfn.XLOOKUP(_xlfn.CONCAT('Banco de Dados'!$A1445,IFERROR(IFERROR(VALUE(SUBSTITUTE(MID(_xlfn.TEXTAFTER('Banco de Dados'!$F1445,"Data do Pedido:
",1),1,10),"-","/")),VALUE(SUBSTITUTE(MID(_xlfn.TEXTAFTER('Banco de Dados'!$F1445,"Order date:
",1),1,10),"-","/"))),0)),ProxyDD[Chave],ProxyDD[Valor por pedido]),PROXY!$P$2),0),0)</f>
        <v>0</v>
      </c>
      <c r="AP1445" s="28">
        <f ca="1">IF('Banco de Dados'!$AK1445&lt;&gt;"-",IF('Banco de Dados'!$AL1445="NÃO",IFERROR(VALUE(SUBSTITUTE(_xlfn.TEXTAFTER('Banco de Dados'!$F1445,"BRL ",1),".",",")),0),0),0)</f>
        <v>0</v>
      </c>
      <c r="AQ1445" s="28">
        <f ca="1">SUM('Banco de Dados'!$AM1445:$AP1445)</f>
        <v>0</v>
      </c>
      <c r="AR1445" s="8"/>
      <c r="AY1445" s="8"/>
    </row>
    <row r="1446" spans="1:51">
      <c r="A1446" s="5" t="str">
        <v>MEI</v>
      </c>
      <c r="B1446" s="5" t="str">
        <f ca="1"/>
        <v>MEI45756</v>
      </c>
      <c r="C1446" s="8" t="str">
        <v>Pedido 1433</v>
      </c>
      <c r="D1446" s="187">
        <v>45753</v>
      </c>
      <c r="E1446" s="9">
        <v>45756</v>
      </c>
      <c r="F1446" s="8" t="str">
        <v>PedidoF1373</v>
      </c>
      <c r="G1446" s="2" t="str">
        <v>CódRastreio1371</v>
      </c>
      <c r="H1446" s="5">
        <v>1</v>
      </c>
      <c r="I1446" s="2" t="str">
        <v>CPF 1395</v>
      </c>
      <c r="J1446" s="2" t="str">
        <v>Nome 1395</v>
      </c>
      <c r="K1446" s="8" t="str">
        <v>Tel 1395</v>
      </c>
      <c r="L1446" s="8" t="str">
        <v>Cep 1395</v>
      </c>
      <c r="M1446" s="8" t="str">
        <v>Rua 1395</v>
      </c>
      <c r="N1446" s="8" t="str">
        <v>Comp 1395</v>
      </c>
      <c r="O1446" s="8" t="str">
        <v>Maçarico Culinário Portátil</v>
      </c>
      <c r="P1446" s="8" t="str">
        <v>BG-DHRO-FAEE</v>
      </c>
      <c r="Q1446" s="4">
        <v>45783</v>
      </c>
      <c r="R1446" s="109">
        <v>26.99</v>
      </c>
      <c r="S1446" s="11">
        <f ca="1"/>
        <v>26.99</v>
      </c>
      <c r="T1446" s="28">
        <f ca="1"/>
        <v>2.9688999999999997</v>
      </c>
      <c r="U1446" s="11">
        <f ca="1"/>
        <v>24.02</v>
      </c>
      <c r="V1446" s="11">
        <v>19.71</v>
      </c>
      <c r="W1446" s="11">
        <f ca="1"/>
        <v>0.2</v>
      </c>
      <c r="X1446" s="11">
        <f ca="1"/>
        <v>0.39877104377104378</v>
      </c>
      <c r="Y1446" s="11">
        <v>0</v>
      </c>
      <c r="Z1446" s="11">
        <f ca="1"/>
        <v>3.711228956228954</v>
      </c>
      <c r="AA1446" s="11">
        <f ca="1"/>
        <v>1.855614478114477</v>
      </c>
      <c r="AB1446" s="4">
        <f ca="1"/>
        <v>45790</v>
      </c>
      <c r="AC1446" s="4">
        <v>45790</v>
      </c>
      <c r="AD1446" s="9">
        <v>45793</v>
      </c>
      <c r="AE1446" s="9">
        <v>45797</v>
      </c>
      <c r="AF1446" s="4" t="str">
        <f t="shared" ca="1" si="95"/>
        <v>2025 05</v>
      </c>
      <c r="AG1446" s="8" t="str" cm="1">
        <f t="array" ref="AG1446">IFERROR(_xlfn.IFS('Banco de Dados'!#REF!="AG. COMPRA","Em processamento",'Banco de Dados'!#REF!="AG. RASTREIO","Em processamento",'Banco de Dados'!$AE1446&lt;&gt;"-","Faturado",'Banco de Dados'!$AD1446&lt;&gt;"-","Aguardando Pix",'Banco de Dados'!$AC1446&lt;&gt;"-","Pendente"),"Aguardando Liberação")</f>
        <v>Aguardando Liberação</v>
      </c>
      <c r="AH1446" s="5" t="str">
        <f>IF('Banco de Dados'!$F1446="-",_xlfn.CONCAT(PROPER(TEXT(AK1446,"aaaa"))," ",PROPER(TEXT(AK1446,"mm"))),_xlfn.CONCAT(PROPER(TEXT(E1446,"aaaa"))," ",PROPER(TEXT(E1446,"mm"))))</f>
        <v>2025 04</v>
      </c>
      <c r="AI1446" s="9" t="str">
        <f ca="1">IF('Banco de Dados'!$AK1446&lt;&gt;"-","REEMBOLSO",IFERROR(_xlfn.XLOOKUP(G1446,Follow[CODRASTREIO],Follow[STATUS]),"-"))</f>
        <v>ENTREGUE</v>
      </c>
      <c r="AJ1446" s="9">
        <f ca="1">IF('Banco de Dados'!$AI1446="ENTREGUE",_xlfn.XLOOKUP('Banco de Dados'!$G1446,Follow[CODRASTREIO],Follow[DATAATUALIZAÇÃO]),"-")</f>
        <v>45777</v>
      </c>
      <c r="AK1446" s="132" t="str">
        <f ca="1"/>
        <v>-</v>
      </c>
      <c r="AL1446" s="35"/>
      <c r="AM1446" s="109" cm="1">
        <f t="array" aca="1" ref="AM1446" ca="1">IF('Banco de Dados'!$AK1446&lt;&gt;"-",_xlfn.IFS('Banco de Dados'!$A1446="bv",IF('Banco de Dados'!$E1446&lt;45641,ROUND(SUM('Banco de Dados'!$R1446*_xlfn.XLOOKUP('Banco de Dados'!$P1446,Sku!B:B,Sku!#REF!)*20%),2),ROUND(SUM('Banco de Dados'!$R1446*_xlfn.XLOOKUP('Banco de Dados'!$P1446,Sku!B:B,Sku!H:H)*20%),2)),'Banco de Dados'!$A1446="GO",ROUND(SUM('Banco de Dados'!$R1446*_xlfn.XLOOKUP('Banco de Dados'!$P1446,Sku!C:C,Sku!H:H)*20%),2),'Banco de Dados'!$A1446="MEI",ROUND(SUM('Banco de Dados'!$R1446*_xlfn.XLOOKUP('Banco de Dados'!$P1446,Sku!D:D,Sku!H:H)*20%),2)),0)</f>
        <v>0</v>
      </c>
      <c r="AN1446" s="109">
        <f ca="1">IF('Banco de Dados'!$AK1446&lt;&gt;"-",IF('Banco de Dados'!$F1446&lt;&gt;"-",_xlfn.XLOOKUP(IFERROR(IFERROR(IFERROR(VALUE(SUBSTITUTE(MID(_xlfn.TEXTAFTER('Banco de Dados'!$F1446,"Data do Pedido:
",1),1,10),"-","/")),VALUE(SUBSTITUTE(MID(_xlfn.TEXTAFTER('Banco de Dados'!$F1446,"Order date:
",1),1,10),"-","/"))),VALUE(SUBSTITUTE(MID(_xlfn.TEXTAFTER('Banco de Dados'!$F1446,"Fecha de pedido:
",1),1,10),"-","/"))),"-"),SMS!A:A,SMS!K:K),0),0)</f>
        <v>0</v>
      </c>
      <c r="AO1446" s="109">
        <f ca="1">IF('Banco de Dados'!$AK1446&lt;&gt;"-",IF('Banco de Dados'!$F1446&lt;&gt;"-",IFERROR(_xlfn.XLOOKUP(_xlfn.CONCAT('Banco de Dados'!$A1446,IFERROR(IFERROR(VALUE(SUBSTITUTE(MID(_xlfn.TEXTAFTER('Banco de Dados'!$F1446,"Data do Pedido:
",1),1,10),"-","/")),VALUE(SUBSTITUTE(MID(_xlfn.TEXTAFTER('Banco de Dados'!$F1446,"Order date:
",1),1,10),"-","/"))),0)),ProxyDD[Chave],ProxyDD[Valor por pedido]),PROXY!$P$2),0),0)</f>
        <v>0</v>
      </c>
      <c r="AP1446" s="28">
        <f ca="1">IF('Banco de Dados'!$AK1446&lt;&gt;"-",IF('Banco de Dados'!$AL1446="NÃO",IFERROR(VALUE(SUBSTITUTE(_xlfn.TEXTAFTER('Banco de Dados'!$F1446,"BRL ",1),".",",")),0),0),0)</f>
        <v>0</v>
      </c>
      <c r="AQ1446" s="28">
        <f ca="1">SUM('Banco de Dados'!$AM1446:$AP1446)</f>
        <v>0</v>
      </c>
      <c r="AR1446" s="8"/>
      <c r="AY1446" s="8"/>
    </row>
    <row r="1447" spans="1:51">
      <c r="A1447" s="5" t="str">
        <v>MEI</v>
      </c>
      <c r="B1447" s="5" t="str">
        <f ca="1"/>
        <v>MEI45756</v>
      </c>
      <c r="C1447" s="8" t="str">
        <v>Pedido 1434</v>
      </c>
      <c r="D1447" s="187">
        <v>45753</v>
      </c>
      <c r="E1447" s="9">
        <v>45756</v>
      </c>
      <c r="F1447" s="8" t="str">
        <v>PedidoF1374</v>
      </c>
      <c r="G1447" s="2" t="str">
        <v>CódRastreio1372</v>
      </c>
      <c r="H1447" s="5">
        <v>1</v>
      </c>
      <c r="I1447" s="2" t="str">
        <v>CPF 1396</v>
      </c>
      <c r="J1447" s="2" t="str">
        <v>Nome 1396</v>
      </c>
      <c r="K1447" s="8" t="str">
        <v>Tel 1396</v>
      </c>
      <c r="L1447" s="8" t="str">
        <v>Cep 1396</v>
      </c>
      <c r="M1447" s="8" t="str">
        <v>Rua 1396</v>
      </c>
      <c r="N1447" s="8" t="str">
        <v>Comp 1396</v>
      </c>
      <c r="O1447" s="8" t="str">
        <v>Maçarico Culinário Portátil</v>
      </c>
      <c r="P1447" s="8" t="str">
        <v>BG-DHRO-FAEE</v>
      </c>
      <c r="Q1447" s="4">
        <v>45783</v>
      </c>
      <c r="R1447" s="109">
        <v>26.99</v>
      </c>
      <c r="S1447" s="11">
        <f ca="1"/>
        <v>26.99</v>
      </c>
      <c r="T1447" s="28">
        <f ca="1"/>
        <v>2.9688999999999997</v>
      </c>
      <c r="U1447" s="11">
        <f ca="1"/>
        <v>24.02</v>
      </c>
      <c r="V1447" s="11">
        <v>15.56</v>
      </c>
      <c r="W1447" s="11">
        <f ca="1"/>
        <v>0.2</v>
      </c>
      <c r="X1447" s="11">
        <f ca="1"/>
        <v>0.39877104377104378</v>
      </c>
      <c r="Y1447" s="11">
        <v>0</v>
      </c>
      <c r="Z1447" s="11">
        <f ca="1"/>
        <v>7.8612289562289561</v>
      </c>
      <c r="AA1447" s="11">
        <f ca="1"/>
        <v>3.9306144781144781</v>
      </c>
      <c r="AB1447" s="4">
        <f ca="1"/>
        <v>45790</v>
      </c>
      <c r="AC1447" s="4">
        <v>45790</v>
      </c>
      <c r="AD1447" s="9">
        <v>45793</v>
      </c>
      <c r="AE1447" s="9">
        <v>45797</v>
      </c>
      <c r="AF1447" s="4" t="str">
        <f t="shared" ca="1" si="95"/>
        <v>2025 05</v>
      </c>
      <c r="AG1447" s="8" t="str" cm="1">
        <f t="array" ref="AG1447">IFERROR(_xlfn.IFS('Banco de Dados'!#REF!="AG. COMPRA","Em processamento",'Banco de Dados'!#REF!="AG. RASTREIO","Em processamento",'Banco de Dados'!$AE1447&lt;&gt;"-","Faturado",'Banco de Dados'!$AD1447&lt;&gt;"-","Aguardando Pix",'Banco de Dados'!$AC1447&lt;&gt;"-","Pendente"),"Aguardando Liberação")</f>
        <v>Aguardando Liberação</v>
      </c>
      <c r="AH1447" s="5" t="str">
        <f>IF('Banco de Dados'!$F1447="-",_xlfn.CONCAT(PROPER(TEXT(AK1447,"aaaa"))," ",PROPER(TEXT(AK1447,"mm"))),_xlfn.CONCAT(PROPER(TEXT(E1447,"aaaa"))," ",PROPER(TEXT(E1447,"mm"))))</f>
        <v>2025 04</v>
      </c>
      <c r="AI1447" s="9" t="str">
        <f ca="1">IF('Banco de Dados'!$AK1447&lt;&gt;"-","REEMBOLSO",IFERROR(_xlfn.XLOOKUP(G1447,Follow[CODRASTREIO],Follow[STATUS]),"-"))</f>
        <v>ENTREGUE</v>
      </c>
      <c r="AJ1447" s="9">
        <f ca="1">IF('Banco de Dados'!$AI1447="ENTREGUE",_xlfn.XLOOKUP('Banco de Dados'!$G1447,Follow[CODRASTREIO],Follow[DATAATUALIZAÇÃO]),"-")</f>
        <v>45785</v>
      </c>
      <c r="AK1447" s="132" t="str">
        <f ca="1"/>
        <v>-</v>
      </c>
      <c r="AL1447" s="35"/>
      <c r="AM1447" s="109" cm="1">
        <f t="array" aca="1" ref="AM1447" ca="1">IF('Banco de Dados'!$AK1447&lt;&gt;"-",_xlfn.IFS('Banco de Dados'!$A1447="bv",IF('Banco de Dados'!$E1447&lt;45641,ROUND(SUM('Banco de Dados'!$R1447*_xlfn.XLOOKUP('Banco de Dados'!$P1447,Sku!B:B,Sku!#REF!)*20%),2),ROUND(SUM('Banco de Dados'!$R1447*_xlfn.XLOOKUP('Banco de Dados'!$P1447,Sku!B:B,Sku!H:H)*20%),2)),'Banco de Dados'!$A1447="GO",ROUND(SUM('Banco de Dados'!$R1447*_xlfn.XLOOKUP('Banco de Dados'!$P1447,Sku!C:C,Sku!H:H)*20%),2),'Banco de Dados'!$A1447="MEI",ROUND(SUM('Banco de Dados'!$R1447*_xlfn.XLOOKUP('Banco de Dados'!$P1447,Sku!D:D,Sku!H:H)*20%),2)),0)</f>
        <v>0</v>
      </c>
      <c r="AN1447" s="109">
        <f ca="1">IF('Banco de Dados'!$AK1447&lt;&gt;"-",IF('Banco de Dados'!$F1447&lt;&gt;"-",_xlfn.XLOOKUP(IFERROR(IFERROR(IFERROR(VALUE(SUBSTITUTE(MID(_xlfn.TEXTAFTER('Banco de Dados'!$F1447,"Data do Pedido:
",1),1,10),"-","/")),VALUE(SUBSTITUTE(MID(_xlfn.TEXTAFTER('Banco de Dados'!$F1447,"Order date:
",1),1,10),"-","/"))),VALUE(SUBSTITUTE(MID(_xlfn.TEXTAFTER('Banco de Dados'!$F1447,"Fecha de pedido:
",1),1,10),"-","/"))),"-"),SMS!A:A,SMS!K:K),0),0)</f>
        <v>0</v>
      </c>
      <c r="AO1447" s="109">
        <f ca="1">IF('Banco de Dados'!$AK1447&lt;&gt;"-",IF('Banco de Dados'!$F1447&lt;&gt;"-",IFERROR(_xlfn.XLOOKUP(_xlfn.CONCAT('Banco de Dados'!$A1447,IFERROR(IFERROR(VALUE(SUBSTITUTE(MID(_xlfn.TEXTAFTER('Banco de Dados'!$F1447,"Data do Pedido:
",1),1,10),"-","/")),VALUE(SUBSTITUTE(MID(_xlfn.TEXTAFTER('Banco de Dados'!$F1447,"Order date:
",1),1,10),"-","/"))),0)),ProxyDD[Chave],ProxyDD[Valor por pedido]),PROXY!$P$2),0),0)</f>
        <v>0</v>
      </c>
      <c r="AP1447" s="28">
        <f ca="1">IF('Banco de Dados'!$AK1447&lt;&gt;"-",IF('Banco de Dados'!$AL1447="NÃO",IFERROR(VALUE(SUBSTITUTE(_xlfn.TEXTAFTER('Banco de Dados'!$F1447,"BRL ",1),".",",")),0),0),0)</f>
        <v>0</v>
      </c>
      <c r="AQ1447" s="28">
        <f ca="1">SUM('Banco de Dados'!$AM1447:$AP1447)</f>
        <v>0</v>
      </c>
      <c r="AR1447" s="8"/>
      <c r="AY1447" s="8"/>
    </row>
    <row r="1448" spans="1:51">
      <c r="A1448" s="5" t="str">
        <v>MEI</v>
      </c>
      <c r="B1448" s="5" t="str">
        <f ca="1"/>
        <v>MEI45756</v>
      </c>
      <c r="C1448" s="8" t="str">
        <v>Pedido 1435</v>
      </c>
      <c r="D1448" s="187">
        <v>45753</v>
      </c>
      <c r="E1448" s="9">
        <v>45756</v>
      </c>
      <c r="F1448" s="8" t="str">
        <v>PedidoF1375</v>
      </c>
      <c r="G1448" s="2" t="str">
        <v>CódRastreio1373</v>
      </c>
      <c r="H1448" s="5">
        <v>1</v>
      </c>
      <c r="I1448" s="2" t="str">
        <v>CPF 872</v>
      </c>
      <c r="J1448" s="2" t="str">
        <v>Nome 872</v>
      </c>
      <c r="K1448" s="8" t="str">
        <v>Tel 872</v>
      </c>
      <c r="L1448" s="8" t="str">
        <v>Cep 872</v>
      </c>
      <c r="M1448" s="8" t="str">
        <v>Rua 872</v>
      </c>
      <c r="N1448" s="8" t="str">
        <v>Comp 872</v>
      </c>
      <c r="O1448" s="8" t="str">
        <v>Ventilador Preto</v>
      </c>
      <c r="P1448" s="8" t="str">
        <v>WU-SS4J-LFOH</v>
      </c>
      <c r="Q1448" s="4">
        <v>45776</v>
      </c>
      <c r="R1448" s="109">
        <v>65.75</v>
      </c>
      <c r="S1448" s="11">
        <f ca="1"/>
        <v>65.75</v>
      </c>
      <c r="T1448" s="28">
        <f ca="1"/>
        <v>7.89</v>
      </c>
      <c r="U1448" s="11">
        <f ca="1"/>
        <v>57.86</v>
      </c>
      <c r="V1448" s="11">
        <v>16.66</v>
      </c>
      <c r="W1448" s="11">
        <f ca="1"/>
        <v>0.2</v>
      </c>
      <c r="X1448" s="11">
        <f ca="1"/>
        <v>0.39877104377104378</v>
      </c>
      <c r="Y1448" s="11">
        <v>0</v>
      </c>
      <c r="Z1448" s="11">
        <f ca="1"/>
        <v>40.601228956228951</v>
      </c>
      <c r="AA1448" s="11">
        <f ca="1"/>
        <v>20.300614478114476</v>
      </c>
      <c r="AB1448" s="4">
        <f ca="1"/>
        <v>45783</v>
      </c>
      <c r="AC1448" s="4">
        <v>45783</v>
      </c>
      <c r="AD1448" s="9">
        <v>45793</v>
      </c>
      <c r="AE1448" s="9">
        <v>45797</v>
      </c>
      <c r="AF1448" s="4" t="str">
        <f t="shared" ca="1" si="95"/>
        <v>2025 05</v>
      </c>
      <c r="AG1448" s="8" t="str" cm="1">
        <f t="array" ref="AG1448">IFERROR(_xlfn.IFS('Banco de Dados'!#REF!="AG. COMPRA","Em processamento",'Banco de Dados'!#REF!="AG. RASTREIO","Em processamento",'Banco de Dados'!$AE1448&lt;&gt;"-","Faturado",'Banco de Dados'!$AD1448&lt;&gt;"-","Aguardando Pix",'Banco de Dados'!$AC1448&lt;&gt;"-","Pendente"),"Aguardando Liberação")</f>
        <v>Aguardando Liberação</v>
      </c>
      <c r="AH1448" s="5" t="str">
        <f>IF('Banco de Dados'!$F1448="-",_xlfn.CONCAT(PROPER(TEXT(AK1448,"aaaa"))," ",PROPER(TEXT(AK1448,"mm"))),_xlfn.CONCAT(PROPER(TEXT(E1448,"aaaa"))," ",PROPER(TEXT(E1448,"mm"))))</f>
        <v>2025 04</v>
      </c>
      <c r="AI1448" s="9" t="str">
        <f ca="1">IF('Banco de Dados'!$AK1448&lt;&gt;"-","REEMBOLSO",IFERROR(_xlfn.XLOOKUP(G1448,Follow[CODRASTREIO],Follow[STATUS]),"-"))</f>
        <v>ENTREGUE</v>
      </c>
      <c r="AJ1448" s="9">
        <f ca="1">IF('Banco de Dados'!$AI1448="ENTREGUE",_xlfn.XLOOKUP('Banco de Dados'!$G1448,Follow[CODRASTREIO],Follow[DATAATUALIZAÇÃO]),"-")</f>
        <v>45770</v>
      </c>
      <c r="AK1448" s="132" t="str">
        <f ca="1"/>
        <v>-</v>
      </c>
      <c r="AL1448" s="35"/>
      <c r="AM1448" s="109" cm="1">
        <f t="array" aca="1" ref="AM1448" ca="1">IF('Banco de Dados'!$AK1448&lt;&gt;"-",_xlfn.IFS('Banco de Dados'!$A1448="bv",IF('Banco de Dados'!$E1448&lt;45641,ROUND(SUM('Banco de Dados'!$R1448*_xlfn.XLOOKUP('Banco de Dados'!$P1448,Sku!B:B,Sku!#REF!)*20%),2),ROUND(SUM('Banco de Dados'!$R1448*_xlfn.XLOOKUP('Banco de Dados'!$P1448,Sku!B:B,Sku!H:H)*20%),2)),'Banco de Dados'!$A1448="GO",ROUND(SUM('Banco de Dados'!$R1448*_xlfn.XLOOKUP('Banco de Dados'!$P1448,Sku!C:C,Sku!H:H)*20%),2),'Banco de Dados'!$A1448="MEI",ROUND(SUM('Banco de Dados'!$R1448*_xlfn.XLOOKUP('Banco de Dados'!$P1448,Sku!D:D,Sku!H:H)*20%),2)),0)</f>
        <v>0</v>
      </c>
      <c r="AN1448" s="109">
        <f ca="1">IF('Banco de Dados'!$AK1448&lt;&gt;"-",IF('Banco de Dados'!$F1448&lt;&gt;"-",_xlfn.XLOOKUP(IFERROR(IFERROR(IFERROR(VALUE(SUBSTITUTE(MID(_xlfn.TEXTAFTER('Banco de Dados'!$F1448,"Data do Pedido:
",1),1,10),"-","/")),VALUE(SUBSTITUTE(MID(_xlfn.TEXTAFTER('Banco de Dados'!$F1448,"Order date:
",1),1,10),"-","/"))),VALUE(SUBSTITUTE(MID(_xlfn.TEXTAFTER('Banco de Dados'!$F1448,"Fecha de pedido:
",1),1,10),"-","/"))),"-"),SMS!A:A,SMS!K:K),0),0)</f>
        <v>0</v>
      </c>
      <c r="AO1448" s="109">
        <f ca="1">IF('Banco de Dados'!$AK1448&lt;&gt;"-",IF('Banco de Dados'!$F1448&lt;&gt;"-",IFERROR(_xlfn.XLOOKUP(_xlfn.CONCAT('Banco de Dados'!$A1448,IFERROR(IFERROR(VALUE(SUBSTITUTE(MID(_xlfn.TEXTAFTER('Banco de Dados'!$F1448,"Data do Pedido:
",1),1,10),"-","/")),VALUE(SUBSTITUTE(MID(_xlfn.TEXTAFTER('Banco de Dados'!$F1448,"Order date:
",1),1,10),"-","/"))),0)),ProxyDD[Chave],ProxyDD[Valor por pedido]),PROXY!$P$2),0),0)</f>
        <v>0</v>
      </c>
      <c r="AP1448" s="28">
        <f ca="1">IF('Banco de Dados'!$AK1448&lt;&gt;"-",IF('Banco de Dados'!$AL1448="NÃO",IFERROR(VALUE(SUBSTITUTE(_xlfn.TEXTAFTER('Banco de Dados'!$F1448,"BRL ",1),".",",")),0),0),0)</f>
        <v>0</v>
      </c>
      <c r="AQ1448" s="28">
        <f ca="1">SUM('Banco de Dados'!$AM1448:$AP1448)</f>
        <v>0</v>
      </c>
      <c r="AR1448" s="8"/>
      <c r="AY1448" s="8"/>
    </row>
    <row r="1449" spans="1:51">
      <c r="A1449" s="5" t="str">
        <v>MEI</v>
      </c>
      <c r="B1449" s="5" t="str">
        <f ca="1"/>
        <v>MEI45756</v>
      </c>
      <c r="C1449" s="8" t="str">
        <v>Pedido 1436</v>
      </c>
      <c r="D1449" s="187">
        <v>45753</v>
      </c>
      <c r="E1449" s="9">
        <v>45756</v>
      </c>
      <c r="F1449" s="8" t="str">
        <v>PedidoF1376</v>
      </c>
      <c r="G1449" s="2" t="str">
        <v>CódRastreio1374</v>
      </c>
      <c r="H1449" s="5">
        <v>1</v>
      </c>
      <c r="I1449" s="2" t="str">
        <v>CPF 1397</v>
      </c>
      <c r="J1449" s="2" t="str">
        <v>Nome 1397</v>
      </c>
      <c r="K1449" s="8" t="str">
        <v>Tel 1397</v>
      </c>
      <c r="L1449" s="8" t="str">
        <v>Cep 1397</v>
      </c>
      <c r="M1449" s="8" t="str">
        <v>Rua 1397</v>
      </c>
      <c r="N1449" s="8" t="str">
        <v>Comp 1397</v>
      </c>
      <c r="O1449" s="8" t="str">
        <v>Suporte de Celular Branco</v>
      </c>
      <c r="P1449" s="8" t="str">
        <v>IQ-LISQ-0D65</v>
      </c>
      <c r="Q1449" s="4">
        <v>45776</v>
      </c>
      <c r="R1449" s="109">
        <v>21.99</v>
      </c>
      <c r="S1449" s="11">
        <f ca="1"/>
        <v>21.99</v>
      </c>
      <c r="T1449" s="28">
        <f ca="1"/>
        <v>3.2984999999999998</v>
      </c>
      <c r="U1449" s="11">
        <f ca="1"/>
        <v>18.690000000000001</v>
      </c>
      <c r="V1449" s="11">
        <v>9.99</v>
      </c>
      <c r="W1449" s="11">
        <f ca="1"/>
        <v>0.2</v>
      </c>
      <c r="X1449" s="11">
        <f ca="1"/>
        <v>0.39877104377104378</v>
      </c>
      <c r="Y1449" s="11">
        <v>0</v>
      </c>
      <c r="Z1449" s="11">
        <f ca="1"/>
        <v>8.1012289562289581</v>
      </c>
      <c r="AA1449" s="11">
        <f ca="1"/>
        <v>4.0506144781144791</v>
      </c>
      <c r="AB1449" s="4">
        <f ca="1"/>
        <v>45783</v>
      </c>
      <c r="AC1449" s="4">
        <v>45783</v>
      </c>
      <c r="AD1449" s="9">
        <v>45793</v>
      </c>
      <c r="AE1449" s="9">
        <v>45797</v>
      </c>
      <c r="AF1449" s="4" t="str">
        <f t="shared" ca="1" si="95"/>
        <v>2025 05</v>
      </c>
      <c r="AG1449" s="8" t="str" cm="1">
        <f t="array" ref="AG1449">IFERROR(_xlfn.IFS('Banco de Dados'!#REF!="AG. COMPRA","Em processamento",'Banco de Dados'!#REF!="AG. RASTREIO","Em processamento",'Banco de Dados'!$AE1449&lt;&gt;"-","Faturado",'Banco de Dados'!$AD1449&lt;&gt;"-","Aguardando Pix",'Banco de Dados'!$AC1449&lt;&gt;"-","Pendente"),"Aguardando Liberação")</f>
        <v>Aguardando Liberação</v>
      </c>
      <c r="AH1449" s="5" t="str">
        <f>IF('Banco de Dados'!$F1449="-",_xlfn.CONCAT(PROPER(TEXT(AK1449,"aaaa"))," ",PROPER(TEXT(AK1449,"mm"))),_xlfn.CONCAT(PROPER(TEXT(E1449,"aaaa"))," ",PROPER(TEXT(E1449,"mm"))))</f>
        <v>2025 04</v>
      </c>
      <c r="AI1449" s="9" t="str">
        <f ca="1">IF('Banco de Dados'!$AK1449&lt;&gt;"-","REEMBOLSO",IFERROR(_xlfn.XLOOKUP(G1449,Follow[CODRASTREIO],Follow[STATUS]),"-"))</f>
        <v>ENTREGUE</v>
      </c>
      <c r="AJ1449" s="9">
        <f ca="1">IF('Banco de Dados'!$AI1449="ENTREGUE",_xlfn.XLOOKUP('Banco de Dados'!$G1449,Follow[CODRASTREIO],Follow[DATAATUALIZAÇÃO]),"-")</f>
        <v>45769</v>
      </c>
      <c r="AK1449" s="132" t="str">
        <f ca="1"/>
        <v>-</v>
      </c>
      <c r="AL1449" s="35"/>
      <c r="AM1449" s="109" cm="1">
        <f t="array" aca="1" ref="AM1449" ca="1">IF('Banco de Dados'!$AK1449&lt;&gt;"-",_xlfn.IFS('Banco de Dados'!$A1449="bv",IF('Banco de Dados'!$E1449&lt;45641,ROUND(SUM('Banco de Dados'!$R1449*_xlfn.XLOOKUP('Banco de Dados'!$P1449,Sku!B:B,Sku!#REF!)*20%),2),ROUND(SUM('Banco de Dados'!$R1449*_xlfn.XLOOKUP('Banco de Dados'!$P1449,Sku!B:B,Sku!H:H)*20%),2)),'Banco de Dados'!$A1449="GO",ROUND(SUM('Banco de Dados'!$R1449*_xlfn.XLOOKUP('Banco de Dados'!$P1449,Sku!C:C,Sku!H:H)*20%),2),'Banco de Dados'!$A1449="MEI",ROUND(SUM('Banco de Dados'!$R1449*_xlfn.XLOOKUP('Banco de Dados'!$P1449,Sku!D:D,Sku!H:H)*20%),2)),0)</f>
        <v>0</v>
      </c>
      <c r="AN1449" s="109">
        <f ca="1">IF('Banco de Dados'!$AK1449&lt;&gt;"-",IF('Banco de Dados'!$F1449&lt;&gt;"-",_xlfn.XLOOKUP(IFERROR(IFERROR(IFERROR(VALUE(SUBSTITUTE(MID(_xlfn.TEXTAFTER('Banco de Dados'!$F1449,"Data do Pedido:
",1),1,10),"-","/")),VALUE(SUBSTITUTE(MID(_xlfn.TEXTAFTER('Banco de Dados'!$F1449,"Order date:
",1),1,10),"-","/"))),VALUE(SUBSTITUTE(MID(_xlfn.TEXTAFTER('Banco de Dados'!$F1449,"Fecha de pedido:
",1),1,10),"-","/"))),"-"),SMS!A:A,SMS!K:K),0),0)</f>
        <v>0</v>
      </c>
      <c r="AO1449" s="109">
        <f ca="1">IF('Banco de Dados'!$AK1449&lt;&gt;"-",IF('Banco de Dados'!$F1449&lt;&gt;"-",IFERROR(_xlfn.XLOOKUP(_xlfn.CONCAT('Banco de Dados'!$A1449,IFERROR(IFERROR(VALUE(SUBSTITUTE(MID(_xlfn.TEXTAFTER('Banco de Dados'!$F1449,"Data do Pedido:
",1),1,10),"-","/")),VALUE(SUBSTITUTE(MID(_xlfn.TEXTAFTER('Banco de Dados'!$F1449,"Order date:
",1),1,10),"-","/"))),0)),ProxyDD[Chave],ProxyDD[Valor por pedido]),PROXY!$P$2),0),0)</f>
        <v>0</v>
      </c>
      <c r="AP1449" s="28">
        <f ca="1">IF('Banco de Dados'!$AK1449&lt;&gt;"-",IF('Banco de Dados'!$AL1449="NÃO",IFERROR(VALUE(SUBSTITUTE(_xlfn.TEXTAFTER('Banco de Dados'!$F1449,"BRL ",1),".",",")),0),0),0)</f>
        <v>0</v>
      </c>
      <c r="AQ1449" s="28">
        <f ca="1">SUM('Banco de Dados'!$AM1449:$AP1449)</f>
        <v>0</v>
      </c>
      <c r="AR1449" s="8"/>
      <c r="AY1449" s="8"/>
    </row>
    <row r="1450" spans="1:51">
      <c r="A1450" s="5" t="str">
        <v>MEI</v>
      </c>
      <c r="B1450" s="5" t="str">
        <f ca="1"/>
        <v>MEI45756</v>
      </c>
      <c r="C1450" s="8" t="str">
        <v>Pedido 1437</v>
      </c>
      <c r="D1450" s="187">
        <v>45753</v>
      </c>
      <c r="E1450" s="9">
        <v>45756</v>
      </c>
      <c r="F1450" s="8" t="str">
        <v>PedidoF1377</v>
      </c>
      <c r="G1450" s="2" t="str">
        <v>CódRastreio1375</v>
      </c>
      <c r="H1450" s="5">
        <v>1</v>
      </c>
      <c r="I1450" s="2" t="str">
        <v>CPF 1398</v>
      </c>
      <c r="J1450" s="2" t="str">
        <v>Nome 1398</v>
      </c>
      <c r="K1450" s="8" t="str">
        <v>Tel 1398</v>
      </c>
      <c r="L1450" s="8" t="str">
        <v>Cep 1398</v>
      </c>
      <c r="M1450" s="8" t="str">
        <v>Rua 1398</v>
      </c>
      <c r="N1450" s="8" t="str">
        <v>Comp 1398</v>
      </c>
      <c r="O1450" s="8" t="str">
        <v>Suporte de Celular Branco</v>
      </c>
      <c r="P1450" s="8" t="str">
        <v>IQ-LISQ-0D65</v>
      </c>
      <c r="Q1450" s="4">
        <v>45776</v>
      </c>
      <c r="R1450" s="109">
        <v>21.99</v>
      </c>
      <c r="S1450" s="11">
        <f ca="1"/>
        <v>21.99</v>
      </c>
      <c r="T1450" s="28">
        <f ca="1"/>
        <v>3.2984999999999998</v>
      </c>
      <c r="U1450" s="11">
        <f ca="1"/>
        <v>18.690000000000001</v>
      </c>
      <c r="V1450" s="11">
        <v>9.99</v>
      </c>
      <c r="W1450" s="11">
        <f ca="1"/>
        <v>0.2</v>
      </c>
      <c r="X1450" s="11">
        <f ca="1"/>
        <v>0.39877104377104378</v>
      </c>
      <c r="Y1450" s="11">
        <v>0</v>
      </c>
      <c r="Z1450" s="11">
        <f ca="1"/>
        <v>8.1012289562289581</v>
      </c>
      <c r="AA1450" s="11">
        <f ca="1"/>
        <v>4.0506144781144791</v>
      </c>
      <c r="AB1450" s="4">
        <f ca="1"/>
        <v>45783</v>
      </c>
      <c r="AC1450" s="4">
        <v>45783</v>
      </c>
      <c r="AD1450" s="9">
        <v>45793</v>
      </c>
      <c r="AE1450" s="9">
        <v>45797</v>
      </c>
      <c r="AF1450" s="4" t="str">
        <f t="shared" ca="1" si="95"/>
        <v>2025 05</v>
      </c>
      <c r="AG1450" s="8" t="str" cm="1">
        <f t="array" ref="AG1450">IFERROR(_xlfn.IFS('Banco de Dados'!#REF!="AG. COMPRA","Em processamento",'Banco de Dados'!#REF!="AG. RASTREIO","Em processamento",'Banco de Dados'!$AE1450&lt;&gt;"-","Faturado",'Banco de Dados'!$AD1450&lt;&gt;"-","Aguardando Pix",'Banco de Dados'!$AC1450&lt;&gt;"-","Pendente"),"Aguardando Liberação")</f>
        <v>Aguardando Liberação</v>
      </c>
      <c r="AH1450" s="5" t="str">
        <f>IF('Banco de Dados'!$F1450="-",_xlfn.CONCAT(PROPER(TEXT(AK1450,"aaaa"))," ",PROPER(TEXT(AK1450,"mm"))),_xlfn.CONCAT(PROPER(TEXT(E1450,"aaaa"))," ",PROPER(TEXT(E1450,"mm"))))</f>
        <v>2025 04</v>
      </c>
      <c r="AI1450" s="9" t="str">
        <f ca="1">IF('Banco de Dados'!$AK1450&lt;&gt;"-","REEMBOLSO",IFERROR(_xlfn.XLOOKUP(G1450,Follow[CODRASTREIO],Follow[STATUS]),"-"))</f>
        <v>ENTREGUE</v>
      </c>
      <c r="AJ1450" s="9">
        <f ca="1">IF('Banco de Dados'!$AI1450="ENTREGUE",_xlfn.XLOOKUP('Banco de Dados'!$G1450,Follow[CODRASTREIO],Follow[DATAATUALIZAÇÃO]),"-")</f>
        <v>45762</v>
      </c>
      <c r="AK1450" s="132" t="str">
        <f ca="1"/>
        <v>-</v>
      </c>
      <c r="AL1450" s="35"/>
      <c r="AM1450" s="109" cm="1">
        <f t="array" aca="1" ref="AM1450" ca="1">IF('Banco de Dados'!$AK1450&lt;&gt;"-",_xlfn.IFS('Banco de Dados'!$A1450="bv",IF('Banco de Dados'!$E1450&lt;45641,ROUND(SUM('Banco de Dados'!$R1450*_xlfn.XLOOKUP('Banco de Dados'!$P1450,Sku!B:B,Sku!#REF!)*20%),2),ROUND(SUM('Banco de Dados'!$R1450*_xlfn.XLOOKUP('Banco de Dados'!$P1450,Sku!B:B,Sku!H:H)*20%),2)),'Banco de Dados'!$A1450="GO",ROUND(SUM('Banco de Dados'!$R1450*_xlfn.XLOOKUP('Banco de Dados'!$P1450,Sku!C:C,Sku!H:H)*20%),2),'Banco de Dados'!$A1450="MEI",ROUND(SUM('Banco de Dados'!$R1450*_xlfn.XLOOKUP('Banco de Dados'!$P1450,Sku!D:D,Sku!H:H)*20%),2)),0)</f>
        <v>0</v>
      </c>
      <c r="AN1450" s="109">
        <f ca="1">IF('Banco de Dados'!$AK1450&lt;&gt;"-",IF('Banco de Dados'!$F1450&lt;&gt;"-",_xlfn.XLOOKUP(IFERROR(IFERROR(IFERROR(VALUE(SUBSTITUTE(MID(_xlfn.TEXTAFTER('Banco de Dados'!$F1450,"Data do Pedido:
",1),1,10),"-","/")),VALUE(SUBSTITUTE(MID(_xlfn.TEXTAFTER('Banco de Dados'!$F1450,"Order date:
",1),1,10),"-","/"))),VALUE(SUBSTITUTE(MID(_xlfn.TEXTAFTER('Banco de Dados'!$F1450,"Fecha de pedido:
",1),1,10),"-","/"))),"-"),SMS!A:A,SMS!K:K),0),0)</f>
        <v>0</v>
      </c>
      <c r="AO1450" s="109">
        <f ca="1">IF('Banco de Dados'!$AK1450&lt;&gt;"-",IF('Banco de Dados'!$F1450&lt;&gt;"-",IFERROR(_xlfn.XLOOKUP(_xlfn.CONCAT('Banco de Dados'!$A1450,IFERROR(IFERROR(VALUE(SUBSTITUTE(MID(_xlfn.TEXTAFTER('Banco de Dados'!$F1450,"Data do Pedido:
",1),1,10),"-","/")),VALUE(SUBSTITUTE(MID(_xlfn.TEXTAFTER('Banco de Dados'!$F1450,"Order date:
",1),1,10),"-","/"))),0)),ProxyDD[Chave],ProxyDD[Valor por pedido]),PROXY!$P$2),0),0)</f>
        <v>0</v>
      </c>
      <c r="AP1450" s="28">
        <f ca="1">IF('Banco de Dados'!$AK1450&lt;&gt;"-",IF('Banco de Dados'!$AL1450="NÃO",IFERROR(VALUE(SUBSTITUTE(_xlfn.TEXTAFTER('Banco de Dados'!$F1450,"BRL ",1),".",",")),0),0),0)</f>
        <v>0</v>
      </c>
      <c r="AQ1450" s="28">
        <f ca="1">SUM('Banco de Dados'!$AM1450:$AP1450)</f>
        <v>0</v>
      </c>
      <c r="AR1450" s="8"/>
      <c r="AY1450" s="8"/>
    </row>
    <row r="1451" spans="1:51">
      <c r="A1451" s="5" t="str">
        <v>MEI</v>
      </c>
      <c r="B1451" s="5" t="str">
        <f ca="1"/>
        <v>MEI45756</v>
      </c>
      <c r="C1451" s="8" t="str">
        <v>Pedido 1438</v>
      </c>
      <c r="D1451" s="187">
        <v>45753</v>
      </c>
      <c r="E1451" s="9">
        <v>45756</v>
      </c>
      <c r="F1451" s="8" t="str">
        <v>PedidoF1378</v>
      </c>
      <c r="G1451" s="2" t="str">
        <v>CódRastreio1376</v>
      </c>
      <c r="H1451" s="5">
        <v>1</v>
      </c>
      <c r="I1451" s="2" t="str">
        <v>CPF 1399</v>
      </c>
      <c r="J1451" s="2" t="str">
        <v>Nome 1399</v>
      </c>
      <c r="K1451" s="8" t="str">
        <v>Tel 1399</v>
      </c>
      <c r="L1451" s="8" t="str">
        <v>Cep 1399</v>
      </c>
      <c r="M1451" s="8" t="str">
        <v>Rua 1399</v>
      </c>
      <c r="N1451" s="8" t="str">
        <v>Comp 1399</v>
      </c>
      <c r="O1451" s="8" t="str">
        <v>Karaoke portátil</v>
      </c>
      <c r="P1451" s="8" t="str">
        <v>1I-EZPV-2Q78</v>
      </c>
      <c r="Q1451" s="4">
        <v>45783</v>
      </c>
      <c r="R1451" s="109">
        <v>52.93</v>
      </c>
      <c r="S1451" s="11">
        <f ca="1"/>
        <v>0</v>
      </c>
      <c r="T1451" s="28">
        <f ca="1"/>
        <v>0</v>
      </c>
      <c r="U1451" s="11">
        <f ca="1"/>
        <v>0</v>
      </c>
      <c r="V1451" s="11">
        <v>0</v>
      </c>
      <c r="W1451" s="11">
        <f ca="1"/>
        <v>0</v>
      </c>
      <c r="X1451" s="11">
        <f ca="1"/>
        <v>0.39877104377104378</v>
      </c>
      <c r="Y1451" s="11">
        <v>0</v>
      </c>
      <c r="Z1451" s="11">
        <f ca="1"/>
        <v>-0.39877104377104378</v>
      </c>
      <c r="AA1451" s="11">
        <f ca="1"/>
        <v>-0.19938552188552189</v>
      </c>
      <c r="AB1451" s="4">
        <f ca="1"/>
        <v>45790</v>
      </c>
      <c r="AC1451" s="4">
        <v>45790</v>
      </c>
      <c r="AD1451" s="9">
        <v>45793</v>
      </c>
      <c r="AE1451" s="9">
        <v>45797</v>
      </c>
      <c r="AF1451" s="4" t="str">
        <f t="shared" ca="1" si="95"/>
        <v>2025 05</v>
      </c>
      <c r="AG1451" s="8" t="str" cm="1">
        <f t="array" ref="AG1451">IFERROR(_xlfn.IFS('Banco de Dados'!#REF!="AG. COMPRA","Em processamento",'Banco de Dados'!#REF!="AG. RASTREIO","Em processamento",'Banco de Dados'!$AE1451&lt;&gt;"-","Faturado",'Banco de Dados'!$AD1451&lt;&gt;"-","Aguardando Pix",'Banco de Dados'!$AC1451&lt;&gt;"-","Pendente"),"Aguardando Liberação")</f>
        <v>Aguardando Liberação</v>
      </c>
      <c r="AH1451" s="5" t="str">
        <f>IF('Banco de Dados'!$F1451="-",_xlfn.CONCAT(PROPER(TEXT(AK1451,"aaaa"))," ",PROPER(TEXT(AK1451,"mm"))),_xlfn.CONCAT(PROPER(TEXT(E1451,"aaaa"))," ",PROPER(TEXT(E1451,"mm"))))</f>
        <v>2025 04</v>
      </c>
      <c r="AI1451" s="9" t="str">
        <f ca="1">IF('Banco de Dados'!$AK1451&lt;&gt;"-","REEMBOLSO",IFERROR(_xlfn.XLOOKUP(G1451,Follow[CODRASTREIO],Follow[STATUS]),"-"))</f>
        <v>REEMBOLSO</v>
      </c>
      <c r="AJ1451" s="9" t="str">
        <f ca="1">IF('Banco de Dados'!$AI1451="ENTREGUE",_xlfn.XLOOKUP('Banco de Dados'!$G1451,Follow[CODRASTREIO],Follow[DATAATUALIZAÇÃO]),"-")</f>
        <v>-</v>
      </c>
      <c r="AK1451" s="132">
        <f ca="1"/>
        <v>45791</v>
      </c>
      <c r="AL1451" s="35"/>
      <c r="AM1451" s="109" cm="1">
        <f t="array" aca="1" ref="AM1451" ca="1">IF('Banco de Dados'!$AK1451&lt;&gt;"-",_xlfn.IFS('Banco de Dados'!$A1451="bv",IF('Banco de Dados'!$E1451&lt;45641,ROUND(SUM('Banco de Dados'!$R1451*_xlfn.XLOOKUP('Banco de Dados'!$P1451,Sku!B:B,Sku!#REF!)*20%),2),ROUND(SUM('Banco de Dados'!$R1451*_xlfn.XLOOKUP('Banco de Dados'!$P1451,Sku!B:B,Sku!H:H)*20%),2)),'Banco de Dados'!$A1451="GO",ROUND(SUM('Banco de Dados'!$R1451*_xlfn.XLOOKUP('Banco de Dados'!$P1451,Sku!C:C,Sku!H:H)*20%),2),'Banco de Dados'!$A1451="MEI",ROUND(SUM('Banco de Dados'!$R1451*_xlfn.XLOOKUP('Banco de Dados'!$P1451,Sku!D:D,Sku!H:H)*20%),2)),0)</f>
        <v>1.59</v>
      </c>
      <c r="AN1451" s="109" t="e">
        <f ca="1">IF('Banco de Dados'!$AK1451&lt;&gt;"-",IF('Banco de Dados'!$F1451&lt;&gt;"-",_xlfn.XLOOKUP(IFERROR(IFERROR(IFERROR(VALUE(SUBSTITUTE(MID(_xlfn.TEXTAFTER('Banco de Dados'!$F1451,"Data do Pedido:
",1),1,10),"-","/")),VALUE(SUBSTITUTE(MID(_xlfn.TEXTAFTER('Banco de Dados'!$F1451,"Order date:
",1),1,10),"-","/"))),VALUE(SUBSTITUTE(MID(_xlfn.TEXTAFTER('Banco de Dados'!$F1451,"Fecha de pedido:
",1),1,10),"-","/"))),"-"),SMS!A:A,SMS!K:K),0),0)</f>
        <v>#N/A</v>
      </c>
      <c r="AO1451" s="109">
        <f ca="1">IF('Banco de Dados'!$AK1451&lt;&gt;"-",IF('Banco de Dados'!$F1451&lt;&gt;"-",IFERROR(_xlfn.XLOOKUP(_xlfn.CONCAT('Banco de Dados'!$A1451,IFERROR(IFERROR(VALUE(SUBSTITUTE(MID(_xlfn.TEXTAFTER('Banco de Dados'!$F1451,"Data do Pedido:
",1),1,10),"-","/")),VALUE(SUBSTITUTE(MID(_xlfn.TEXTAFTER('Banco de Dados'!$F1451,"Order date:
",1),1,10),"-","/"))),0)),ProxyDD[Chave],ProxyDD[Valor por pedido]),PROXY!$P$2),0),0)</f>
        <v>0.39877104377104378</v>
      </c>
      <c r="AP1451" s="28">
        <f ca="1">IF('Banco de Dados'!$AK1451&lt;&gt;"-",IF('Banco de Dados'!$AL1451="NÃO",IFERROR(VALUE(SUBSTITUTE(_xlfn.TEXTAFTER('Banco de Dados'!$F1451,"BRL ",1),".",",")),0),0),0)</f>
        <v>0</v>
      </c>
      <c r="AQ1451" s="28" t="e">
        <f ca="1">SUM('Banco de Dados'!$AM1451:$AP1451)</f>
        <v>#N/A</v>
      </c>
      <c r="AR1451" s="8"/>
      <c r="AY1451" s="8"/>
    </row>
    <row r="1452" spans="1:51">
      <c r="A1452" s="5" t="str">
        <v>MEI</v>
      </c>
      <c r="B1452" s="5" t="str">
        <f ca="1"/>
        <v>MEI45756</v>
      </c>
      <c r="C1452" s="8" t="str">
        <v>Pedido 1439</v>
      </c>
      <c r="D1452" s="187">
        <v>45753</v>
      </c>
      <c r="E1452" s="9">
        <v>45756</v>
      </c>
      <c r="F1452" s="8" t="str">
        <v>PedidoF1379</v>
      </c>
      <c r="G1452" s="2" t="str">
        <v>CódRastreio1377</v>
      </c>
      <c r="H1452" s="5">
        <v>1</v>
      </c>
      <c r="I1452" s="2" t="str">
        <v>CPF 1400</v>
      </c>
      <c r="J1452" s="2" t="str">
        <v>Nome 1400</v>
      </c>
      <c r="K1452" s="8" t="str">
        <v>Tel 1400</v>
      </c>
      <c r="L1452" s="8" t="str">
        <v>Cep 1400</v>
      </c>
      <c r="M1452" s="8" t="str">
        <v>Rua 1400</v>
      </c>
      <c r="N1452" s="8" t="str">
        <v>Comp 1400</v>
      </c>
      <c r="O1452" s="8" t="str">
        <v>Suporte de Celular Branco</v>
      </c>
      <c r="P1452" s="8" t="str">
        <v>IQ-LISQ-0D65</v>
      </c>
      <c r="Q1452" s="4">
        <v>45783</v>
      </c>
      <c r="R1452" s="109">
        <v>21.99</v>
      </c>
      <c r="S1452" s="11">
        <f ca="1"/>
        <v>21.99</v>
      </c>
      <c r="T1452" s="28">
        <f ca="1"/>
        <v>3.2984999999999998</v>
      </c>
      <c r="U1452" s="11">
        <f ca="1"/>
        <v>18.690000000000001</v>
      </c>
      <c r="V1452" s="11">
        <v>9.99</v>
      </c>
      <c r="W1452" s="11">
        <f ca="1"/>
        <v>0.2</v>
      </c>
      <c r="X1452" s="11">
        <f ca="1"/>
        <v>0.39877104377104378</v>
      </c>
      <c r="Y1452" s="11">
        <v>0</v>
      </c>
      <c r="Z1452" s="11">
        <f ca="1"/>
        <v>8.1012289562289581</v>
      </c>
      <c r="AA1452" s="11">
        <f ca="1"/>
        <v>4.0506144781144791</v>
      </c>
      <c r="AB1452" s="4">
        <f ca="1"/>
        <v>45790</v>
      </c>
      <c r="AC1452" s="4">
        <v>45790</v>
      </c>
      <c r="AD1452" s="9">
        <v>45793</v>
      </c>
      <c r="AE1452" s="9">
        <v>45797</v>
      </c>
      <c r="AF1452" s="4" t="str">
        <f t="shared" ca="1" si="95"/>
        <v>2025 05</v>
      </c>
      <c r="AG1452" s="8" t="str" cm="1">
        <f t="array" ref="AG1452">IFERROR(_xlfn.IFS('Banco de Dados'!#REF!="AG. COMPRA","Em processamento",'Banco de Dados'!#REF!="AG. RASTREIO","Em processamento",'Banco de Dados'!$AE1452&lt;&gt;"-","Faturado",'Banco de Dados'!$AD1452&lt;&gt;"-","Aguardando Pix",'Banco de Dados'!$AC1452&lt;&gt;"-","Pendente"),"Aguardando Liberação")</f>
        <v>Aguardando Liberação</v>
      </c>
      <c r="AH1452" s="5" t="str">
        <f>IF('Banco de Dados'!$F1452="-",_xlfn.CONCAT(PROPER(TEXT(AK1452,"aaaa"))," ",PROPER(TEXT(AK1452,"mm"))),_xlfn.CONCAT(PROPER(TEXT(E1452,"aaaa"))," ",PROPER(TEXT(E1452,"mm"))))</f>
        <v>2025 04</v>
      </c>
      <c r="AI1452" s="9" t="str">
        <f ca="1">IF('Banco de Dados'!$AK1452&lt;&gt;"-","REEMBOLSO",IFERROR(_xlfn.XLOOKUP(G1452,Follow[CODRASTREIO],Follow[STATUS]),"-"))</f>
        <v>ENTREGUE</v>
      </c>
      <c r="AJ1452" s="9">
        <f ca="1">IF('Banco de Dados'!$AI1452="ENTREGUE",_xlfn.XLOOKUP('Banco de Dados'!$G1452,Follow[CODRASTREIO],Follow[DATAATUALIZAÇÃO]),"-")</f>
        <v>45765</v>
      </c>
      <c r="AK1452" s="132" t="str">
        <f ca="1"/>
        <v>-</v>
      </c>
      <c r="AL1452" s="35"/>
      <c r="AM1452" s="109" cm="1">
        <f t="array" aca="1" ref="AM1452" ca="1">IF('Banco de Dados'!$AK1452&lt;&gt;"-",_xlfn.IFS('Banco de Dados'!$A1452="bv",IF('Banco de Dados'!$E1452&lt;45641,ROUND(SUM('Banco de Dados'!$R1452*_xlfn.XLOOKUP('Banco de Dados'!$P1452,Sku!B:B,Sku!#REF!)*20%),2),ROUND(SUM('Banco de Dados'!$R1452*_xlfn.XLOOKUP('Banco de Dados'!$P1452,Sku!B:B,Sku!H:H)*20%),2)),'Banco de Dados'!$A1452="GO",ROUND(SUM('Banco de Dados'!$R1452*_xlfn.XLOOKUP('Banco de Dados'!$P1452,Sku!C:C,Sku!H:H)*20%),2),'Banco de Dados'!$A1452="MEI",ROUND(SUM('Banco de Dados'!$R1452*_xlfn.XLOOKUP('Banco de Dados'!$P1452,Sku!D:D,Sku!H:H)*20%),2)),0)</f>
        <v>0</v>
      </c>
      <c r="AN1452" s="109">
        <f ca="1">IF('Banco de Dados'!$AK1452&lt;&gt;"-",IF('Banco de Dados'!$F1452&lt;&gt;"-",_xlfn.XLOOKUP(IFERROR(IFERROR(IFERROR(VALUE(SUBSTITUTE(MID(_xlfn.TEXTAFTER('Banco de Dados'!$F1452,"Data do Pedido:
",1),1,10),"-","/")),VALUE(SUBSTITUTE(MID(_xlfn.TEXTAFTER('Banco de Dados'!$F1452,"Order date:
",1),1,10),"-","/"))),VALUE(SUBSTITUTE(MID(_xlfn.TEXTAFTER('Banco de Dados'!$F1452,"Fecha de pedido:
",1),1,10),"-","/"))),"-"),SMS!A:A,SMS!K:K),0),0)</f>
        <v>0</v>
      </c>
      <c r="AO1452" s="109">
        <f ca="1">IF('Banco de Dados'!$AK1452&lt;&gt;"-",IF('Banco de Dados'!$F1452&lt;&gt;"-",IFERROR(_xlfn.XLOOKUP(_xlfn.CONCAT('Banco de Dados'!$A1452,IFERROR(IFERROR(VALUE(SUBSTITUTE(MID(_xlfn.TEXTAFTER('Banco de Dados'!$F1452,"Data do Pedido:
",1),1,10),"-","/")),VALUE(SUBSTITUTE(MID(_xlfn.TEXTAFTER('Banco de Dados'!$F1452,"Order date:
",1),1,10),"-","/"))),0)),ProxyDD[Chave],ProxyDD[Valor por pedido]),PROXY!$P$2),0),0)</f>
        <v>0</v>
      </c>
      <c r="AP1452" s="28">
        <f ca="1">IF('Banco de Dados'!$AK1452&lt;&gt;"-",IF('Banco de Dados'!$AL1452="NÃO",IFERROR(VALUE(SUBSTITUTE(_xlfn.TEXTAFTER('Banco de Dados'!$F1452,"BRL ",1),".",",")),0),0),0)</f>
        <v>0</v>
      </c>
      <c r="AQ1452" s="28">
        <f ca="1">SUM('Banco de Dados'!$AM1452:$AP1452)</f>
        <v>0</v>
      </c>
      <c r="AR1452" s="8"/>
      <c r="AY1452" s="8"/>
    </row>
    <row r="1453" spans="1:51">
      <c r="A1453" s="5" t="str">
        <v>MEI</v>
      </c>
      <c r="B1453" s="5" t="str">
        <f ca="1"/>
        <v>MEI45756</v>
      </c>
      <c r="C1453" s="8" t="str">
        <v>Pedido 1440</v>
      </c>
      <c r="D1453" s="187">
        <v>45753</v>
      </c>
      <c r="E1453" s="9">
        <v>45756</v>
      </c>
      <c r="F1453" s="8" t="str">
        <v>PedidoF1380</v>
      </c>
      <c r="G1453" s="2" t="str">
        <v>CódRastreio1378</v>
      </c>
      <c r="H1453" s="5">
        <v>1</v>
      </c>
      <c r="I1453" s="2" t="str">
        <v>CPF 1401</v>
      </c>
      <c r="J1453" s="2" t="str">
        <v>Nome 1401</v>
      </c>
      <c r="K1453" s="8" t="str">
        <v>Tel 1401</v>
      </c>
      <c r="L1453" s="8" t="str">
        <v>Cep 1401</v>
      </c>
      <c r="M1453" s="8" t="str">
        <v>Rua 1401</v>
      </c>
      <c r="N1453" s="8" t="str">
        <v>Comp 1401</v>
      </c>
      <c r="O1453" s="8" t="str">
        <v>Suporte de Celular Branco</v>
      </c>
      <c r="P1453" s="8" t="str">
        <v>IQ-LISQ-0D65</v>
      </c>
      <c r="Q1453" s="4">
        <v>45776</v>
      </c>
      <c r="R1453" s="109">
        <v>21.99</v>
      </c>
      <c r="S1453" s="11">
        <f ca="1"/>
        <v>21.99</v>
      </c>
      <c r="T1453" s="28">
        <f ca="1"/>
        <v>3.2984999999999998</v>
      </c>
      <c r="U1453" s="11">
        <f ca="1"/>
        <v>18.690000000000001</v>
      </c>
      <c r="V1453" s="11">
        <v>9.99</v>
      </c>
      <c r="W1453" s="11">
        <f ca="1"/>
        <v>0.2</v>
      </c>
      <c r="X1453" s="11">
        <f ca="1"/>
        <v>0.39877104377104378</v>
      </c>
      <c r="Y1453" s="11">
        <v>0</v>
      </c>
      <c r="Z1453" s="11">
        <f ca="1"/>
        <v>8.1012289562289581</v>
      </c>
      <c r="AA1453" s="11">
        <f ca="1"/>
        <v>4.0506144781144791</v>
      </c>
      <c r="AB1453" s="4">
        <f ca="1"/>
        <v>45783</v>
      </c>
      <c r="AC1453" s="4">
        <v>45783</v>
      </c>
      <c r="AD1453" s="9">
        <v>45793</v>
      </c>
      <c r="AE1453" s="9">
        <v>45797</v>
      </c>
      <c r="AF1453" s="4" t="str">
        <f t="shared" ca="1" si="95"/>
        <v>2025 05</v>
      </c>
      <c r="AG1453" s="8" t="str" cm="1">
        <f t="array" ref="AG1453">IFERROR(_xlfn.IFS('Banco de Dados'!#REF!="AG. COMPRA","Em processamento",'Banco de Dados'!#REF!="AG. RASTREIO","Em processamento",'Banco de Dados'!$AE1453&lt;&gt;"-","Faturado",'Banco de Dados'!$AD1453&lt;&gt;"-","Aguardando Pix",'Banco de Dados'!$AC1453&lt;&gt;"-","Pendente"),"Aguardando Liberação")</f>
        <v>Aguardando Liberação</v>
      </c>
      <c r="AH1453" s="5" t="str">
        <f>IF('Banco de Dados'!$F1453="-",_xlfn.CONCAT(PROPER(TEXT(AK1453,"aaaa"))," ",PROPER(TEXT(AK1453,"mm"))),_xlfn.CONCAT(PROPER(TEXT(E1453,"aaaa"))," ",PROPER(TEXT(E1453,"mm"))))</f>
        <v>2025 04</v>
      </c>
      <c r="AI1453" s="9" t="str">
        <f ca="1">IF('Banco de Dados'!$AK1453&lt;&gt;"-","REEMBOLSO",IFERROR(_xlfn.XLOOKUP(G1453,Follow[CODRASTREIO],Follow[STATUS]),"-"))</f>
        <v>ENTREGUE</v>
      </c>
      <c r="AJ1453" s="9">
        <f ca="1">IF('Banco de Dados'!$AI1453="ENTREGUE",_xlfn.XLOOKUP('Banco de Dados'!$G1453,Follow[CODRASTREIO],Follow[DATAATUALIZAÇÃO]),"-")</f>
        <v>45770</v>
      </c>
      <c r="AK1453" s="132" t="str">
        <f ca="1"/>
        <v>-</v>
      </c>
      <c r="AL1453" s="35"/>
      <c r="AM1453" s="109" cm="1">
        <f t="array" aca="1" ref="AM1453" ca="1">IF('Banco de Dados'!$AK1453&lt;&gt;"-",_xlfn.IFS('Banco de Dados'!$A1453="bv",IF('Banco de Dados'!$E1453&lt;45641,ROUND(SUM('Banco de Dados'!$R1453*_xlfn.XLOOKUP('Banco de Dados'!$P1453,Sku!B:B,Sku!#REF!)*20%),2),ROUND(SUM('Banco de Dados'!$R1453*_xlfn.XLOOKUP('Banco de Dados'!$P1453,Sku!B:B,Sku!H:H)*20%),2)),'Banco de Dados'!$A1453="GO",ROUND(SUM('Banco de Dados'!$R1453*_xlfn.XLOOKUP('Banco de Dados'!$P1453,Sku!C:C,Sku!H:H)*20%),2),'Banco de Dados'!$A1453="MEI",ROUND(SUM('Banco de Dados'!$R1453*_xlfn.XLOOKUP('Banco de Dados'!$P1453,Sku!D:D,Sku!H:H)*20%),2)),0)</f>
        <v>0</v>
      </c>
      <c r="AN1453" s="109">
        <f ca="1">IF('Banco de Dados'!$AK1453&lt;&gt;"-",IF('Banco de Dados'!$F1453&lt;&gt;"-",_xlfn.XLOOKUP(IFERROR(IFERROR(IFERROR(VALUE(SUBSTITUTE(MID(_xlfn.TEXTAFTER('Banco de Dados'!$F1453,"Data do Pedido:
",1),1,10),"-","/")),VALUE(SUBSTITUTE(MID(_xlfn.TEXTAFTER('Banco de Dados'!$F1453,"Order date:
",1),1,10),"-","/"))),VALUE(SUBSTITUTE(MID(_xlfn.TEXTAFTER('Banco de Dados'!$F1453,"Fecha de pedido:
",1),1,10),"-","/"))),"-"),SMS!A:A,SMS!K:K),0),0)</f>
        <v>0</v>
      </c>
      <c r="AO1453" s="109">
        <f ca="1">IF('Banco de Dados'!$AK1453&lt;&gt;"-",IF('Banco de Dados'!$F1453&lt;&gt;"-",IFERROR(_xlfn.XLOOKUP(_xlfn.CONCAT('Banco de Dados'!$A1453,IFERROR(IFERROR(VALUE(SUBSTITUTE(MID(_xlfn.TEXTAFTER('Banco de Dados'!$F1453,"Data do Pedido:
",1),1,10),"-","/")),VALUE(SUBSTITUTE(MID(_xlfn.TEXTAFTER('Banco de Dados'!$F1453,"Order date:
",1),1,10),"-","/"))),0)),ProxyDD[Chave],ProxyDD[Valor por pedido]),PROXY!$P$2),0),0)</f>
        <v>0</v>
      </c>
      <c r="AP1453" s="28">
        <f ca="1">IF('Banco de Dados'!$AK1453&lt;&gt;"-",IF('Banco de Dados'!$AL1453="NÃO",IFERROR(VALUE(SUBSTITUTE(_xlfn.TEXTAFTER('Banco de Dados'!$F1453,"BRL ",1),".",",")),0),0),0)</f>
        <v>0</v>
      </c>
      <c r="AQ1453" s="28">
        <f ca="1">SUM('Banco de Dados'!$AM1453:$AP1453)</f>
        <v>0</v>
      </c>
      <c r="AR1453" s="8"/>
      <c r="AY1453" s="8"/>
    </row>
    <row r="1454" spans="1:51">
      <c r="A1454" s="5" t="str">
        <v>MEI</v>
      </c>
      <c r="B1454" s="5" t="str">
        <f ca="1"/>
        <v>MEI45756</v>
      </c>
      <c r="C1454" s="8" t="str">
        <v>Pedido 1441</v>
      </c>
      <c r="D1454" s="187">
        <v>45753</v>
      </c>
      <c r="E1454" s="9">
        <v>45756</v>
      </c>
      <c r="F1454" s="8" t="str">
        <v>PedidoF1381</v>
      </c>
      <c r="G1454" s="2" t="str">
        <v>CódRastreio1379</v>
      </c>
      <c r="H1454" s="5">
        <v>1</v>
      </c>
      <c r="I1454" s="2" t="str">
        <v>CPF 1402</v>
      </c>
      <c r="J1454" s="2" t="str">
        <v>Nome 1402</v>
      </c>
      <c r="K1454" s="8" t="str">
        <v>Tel 1402</v>
      </c>
      <c r="L1454" s="8" t="str">
        <v>Cep 1402</v>
      </c>
      <c r="M1454" s="8" t="str">
        <v>Rua 1402</v>
      </c>
      <c r="N1454" s="8" t="str">
        <v>Comp 1402</v>
      </c>
      <c r="O1454" s="8" t="str">
        <v>Copo Termico</v>
      </c>
      <c r="P1454" s="8" t="str">
        <v>VI-4RT5-1FFO</v>
      </c>
      <c r="Q1454" s="4">
        <v>45783</v>
      </c>
      <c r="R1454" s="109">
        <v>22.7</v>
      </c>
      <c r="S1454" s="11">
        <f ca="1"/>
        <v>22.7</v>
      </c>
      <c r="T1454" s="28">
        <f ca="1"/>
        <v>2.7239999999999998</v>
      </c>
      <c r="U1454" s="11">
        <f ca="1"/>
        <v>19.98</v>
      </c>
      <c r="V1454" s="11">
        <v>18.3</v>
      </c>
      <c r="W1454" s="11">
        <f ca="1"/>
        <v>0.2</v>
      </c>
      <c r="X1454" s="11">
        <f ca="1"/>
        <v>0.39877104377104378</v>
      </c>
      <c r="Y1454" s="11">
        <v>0</v>
      </c>
      <c r="Z1454" s="11">
        <f ca="1"/>
        <v>1.081228956228955</v>
      </c>
      <c r="AA1454" s="11">
        <f ca="1"/>
        <v>0.54061447811447749</v>
      </c>
      <c r="AB1454" s="4">
        <f ca="1"/>
        <v>45790</v>
      </c>
      <c r="AC1454" s="4">
        <v>45790</v>
      </c>
      <c r="AD1454" s="9">
        <v>45793</v>
      </c>
      <c r="AE1454" s="9">
        <v>45797</v>
      </c>
      <c r="AF1454" s="4" t="str">
        <f t="shared" ca="1" si="95"/>
        <v>2025 05</v>
      </c>
      <c r="AG1454" s="8" t="str" cm="1">
        <f t="array" ref="AG1454">IFERROR(_xlfn.IFS('Banco de Dados'!#REF!="AG. COMPRA","Em processamento",'Banco de Dados'!#REF!="AG. RASTREIO","Em processamento",'Banco de Dados'!$AE1454&lt;&gt;"-","Faturado",'Banco de Dados'!$AD1454&lt;&gt;"-","Aguardando Pix",'Banco de Dados'!$AC1454&lt;&gt;"-","Pendente"),"Aguardando Liberação")</f>
        <v>Aguardando Liberação</v>
      </c>
      <c r="AH1454" s="5" t="str">
        <f>IF('Banco de Dados'!$F1454="-",_xlfn.CONCAT(PROPER(TEXT(AK1454,"aaaa"))," ",PROPER(TEXT(AK1454,"mm"))),_xlfn.CONCAT(PROPER(TEXT(E1454,"aaaa"))," ",PROPER(TEXT(E1454,"mm"))))</f>
        <v>2025 04</v>
      </c>
      <c r="AI1454" s="9" t="str">
        <f ca="1">IF('Banco de Dados'!$AK1454&lt;&gt;"-","REEMBOLSO",IFERROR(_xlfn.XLOOKUP(G1454,Follow[CODRASTREIO],Follow[STATUS]),"-"))</f>
        <v>ENTREGUE</v>
      </c>
      <c r="AJ1454" s="9">
        <f ca="1">IF('Banco de Dados'!$AI1454="ENTREGUE",_xlfn.XLOOKUP('Banco de Dados'!$G1454,Follow[CODRASTREIO],Follow[DATAATUALIZAÇÃO]),"-")</f>
        <v>45762</v>
      </c>
      <c r="AK1454" s="132" t="str">
        <f ca="1"/>
        <v>-</v>
      </c>
      <c r="AL1454" s="35"/>
      <c r="AM1454" s="109" cm="1">
        <f t="array" aca="1" ref="AM1454" ca="1">IF('Banco de Dados'!$AK1454&lt;&gt;"-",_xlfn.IFS('Banco de Dados'!$A1454="bv",IF('Banco de Dados'!$E1454&lt;45641,ROUND(SUM('Banco de Dados'!$R1454*_xlfn.XLOOKUP('Banco de Dados'!$P1454,Sku!B:B,Sku!#REF!)*20%),2),ROUND(SUM('Banco de Dados'!$R1454*_xlfn.XLOOKUP('Banco de Dados'!$P1454,Sku!B:B,Sku!H:H)*20%),2)),'Banco de Dados'!$A1454="GO",ROUND(SUM('Banco de Dados'!$R1454*_xlfn.XLOOKUP('Banco de Dados'!$P1454,Sku!C:C,Sku!H:H)*20%),2),'Banco de Dados'!$A1454="MEI",ROUND(SUM('Banco de Dados'!$R1454*_xlfn.XLOOKUP('Banco de Dados'!$P1454,Sku!D:D,Sku!H:H)*20%),2)),0)</f>
        <v>0</v>
      </c>
      <c r="AN1454" s="109">
        <f ca="1">IF('Banco de Dados'!$AK1454&lt;&gt;"-",IF('Banco de Dados'!$F1454&lt;&gt;"-",_xlfn.XLOOKUP(IFERROR(IFERROR(IFERROR(VALUE(SUBSTITUTE(MID(_xlfn.TEXTAFTER('Banco de Dados'!$F1454,"Data do Pedido:
",1),1,10),"-","/")),VALUE(SUBSTITUTE(MID(_xlfn.TEXTAFTER('Banco de Dados'!$F1454,"Order date:
",1),1,10),"-","/"))),VALUE(SUBSTITUTE(MID(_xlfn.TEXTAFTER('Banco de Dados'!$F1454,"Fecha de pedido:
",1),1,10),"-","/"))),"-"),SMS!A:A,SMS!K:K),0),0)</f>
        <v>0</v>
      </c>
      <c r="AO1454" s="109">
        <f ca="1">IF('Banco de Dados'!$AK1454&lt;&gt;"-",IF('Banco de Dados'!$F1454&lt;&gt;"-",IFERROR(_xlfn.XLOOKUP(_xlfn.CONCAT('Banco de Dados'!$A1454,IFERROR(IFERROR(VALUE(SUBSTITUTE(MID(_xlfn.TEXTAFTER('Banco de Dados'!$F1454,"Data do Pedido:
",1),1,10),"-","/")),VALUE(SUBSTITUTE(MID(_xlfn.TEXTAFTER('Banco de Dados'!$F1454,"Order date:
",1),1,10),"-","/"))),0)),ProxyDD[Chave],ProxyDD[Valor por pedido]),PROXY!$P$2),0),0)</f>
        <v>0</v>
      </c>
      <c r="AP1454" s="28">
        <f ca="1">IF('Banco de Dados'!$AK1454&lt;&gt;"-",IF('Banco de Dados'!$AL1454="NÃO",IFERROR(VALUE(SUBSTITUTE(_xlfn.TEXTAFTER('Banco de Dados'!$F1454,"BRL ",1),".",",")),0),0),0)</f>
        <v>0</v>
      </c>
      <c r="AQ1454" s="28">
        <f ca="1">SUM('Banco de Dados'!$AM1454:$AP1454)</f>
        <v>0</v>
      </c>
      <c r="AR1454" s="8"/>
      <c r="AY1454" s="8"/>
    </row>
    <row r="1455" spans="1:51">
      <c r="A1455" s="5" t="str">
        <v>MEI</v>
      </c>
      <c r="B1455" s="5" t="str">
        <f ca="1"/>
        <v>MEI45756</v>
      </c>
      <c r="C1455" s="8" t="str">
        <v>Pedido 1442</v>
      </c>
      <c r="D1455" s="187">
        <v>45753</v>
      </c>
      <c r="E1455" s="9">
        <v>45756</v>
      </c>
      <c r="F1455" s="8" t="str">
        <v>PedidoF1382</v>
      </c>
      <c r="G1455" s="2" t="str">
        <v>CódRastreio1380</v>
      </c>
      <c r="H1455" s="5">
        <v>1</v>
      </c>
      <c r="I1455" s="2" t="str">
        <v>CPF 1403</v>
      </c>
      <c r="J1455" s="2" t="str">
        <v>Nome 1403</v>
      </c>
      <c r="K1455" s="8" t="str">
        <v>Tel 1403</v>
      </c>
      <c r="L1455" s="8" t="str">
        <v>Cep 1403</v>
      </c>
      <c r="M1455" s="8" t="str">
        <v>Rua 1403</v>
      </c>
      <c r="N1455" s="8" t="str">
        <v>Comp 1403</v>
      </c>
      <c r="O1455" s="8" t="str">
        <v>Ventilador Azul</v>
      </c>
      <c r="P1455" s="8" t="str">
        <v>PK-L2Z7-MQRQ</v>
      </c>
      <c r="Q1455" s="4">
        <v>45776</v>
      </c>
      <c r="R1455" s="109">
        <v>49.9</v>
      </c>
      <c r="S1455" s="11">
        <f ca="1"/>
        <v>49.9</v>
      </c>
      <c r="T1455" s="28">
        <f ca="1"/>
        <v>5.9879999999999995</v>
      </c>
      <c r="U1455" s="11">
        <f ca="1"/>
        <v>43.91</v>
      </c>
      <c r="V1455" s="11">
        <v>15.28</v>
      </c>
      <c r="W1455" s="11">
        <f ca="1"/>
        <v>0.2</v>
      </c>
      <c r="X1455" s="11">
        <f ca="1"/>
        <v>0.39877104377104378</v>
      </c>
      <c r="Y1455" s="11">
        <v>0</v>
      </c>
      <c r="Z1455" s="11">
        <f ca="1"/>
        <v>28.031228956228954</v>
      </c>
      <c r="AA1455" s="11">
        <f ca="1"/>
        <v>14.015614478114477</v>
      </c>
      <c r="AB1455" s="4">
        <f ca="1"/>
        <v>45783</v>
      </c>
      <c r="AC1455" s="4">
        <v>45783</v>
      </c>
      <c r="AD1455" s="9">
        <v>45793</v>
      </c>
      <c r="AE1455" s="9">
        <v>45797</v>
      </c>
      <c r="AF1455" s="4" t="str">
        <f t="shared" ca="1" si="95"/>
        <v>2025 05</v>
      </c>
      <c r="AG1455" s="8" t="str" cm="1">
        <f t="array" ref="AG1455">IFERROR(_xlfn.IFS('Banco de Dados'!#REF!="AG. COMPRA","Em processamento",'Banco de Dados'!#REF!="AG. RASTREIO","Em processamento",'Banco de Dados'!$AE1455&lt;&gt;"-","Faturado",'Banco de Dados'!$AD1455&lt;&gt;"-","Aguardando Pix",'Banco de Dados'!$AC1455&lt;&gt;"-","Pendente"),"Aguardando Liberação")</f>
        <v>Aguardando Liberação</v>
      </c>
      <c r="AH1455" s="5" t="str">
        <f>IF('Banco de Dados'!$F1455="-",_xlfn.CONCAT(PROPER(TEXT(AK1455,"aaaa"))," ",PROPER(TEXT(AK1455,"mm"))),_xlfn.CONCAT(PROPER(TEXT(E1455,"aaaa"))," ",PROPER(TEXT(E1455,"mm"))))</f>
        <v>2025 04</v>
      </c>
      <c r="AI1455" s="9" t="str">
        <f ca="1">IF('Banco de Dados'!$AK1455&lt;&gt;"-","REEMBOLSO",IFERROR(_xlfn.XLOOKUP(G1455,Follow[CODRASTREIO],Follow[STATUS]),"-"))</f>
        <v>ENTREGUE</v>
      </c>
      <c r="AJ1455" s="9">
        <f ca="1">IF('Banco de Dados'!$AI1455="ENTREGUE",_xlfn.XLOOKUP('Banco de Dados'!$G1455,Follow[CODRASTREIO],Follow[DATAATUALIZAÇÃO]),"-")</f>
        <v>45770</v>
      </c>
      <c r="AK1455" s="132" t="str">
        <f ca="1"/>
        <v>-</v>
      </c>
      <c r="AL1455" s="35"/>
      <c r="AM1455" s="109" cm="1">
        <f t="array" aca="1" ref="AM1455" ca="1">IF('Banco de Dados'!$AK1455&lt;&gt;"-",_xlfn.IFS('Banco de Dados'!$A1455="bv",IF('Banco de Dados'!$E1455&lt;45641,ROUND(SUM('Banco de Dados'!$R1455*_xlfn.XLOOKUP('Banco de Dados'!$P1455,Sku!B:B,Sku!#REF!)*20%),2),ROUND(SUM('Banco de Dados'!$R1455*_xlfn.XLOOKUP('Banco de Dados'!$P1455,Sku!B:B,Sku!H:H)*20%),2)),'Banco de Dados'!$A1455="GO",ROUND(SUM('Banco de Dados'!$R1455*_xlfn.XLOOKUP('Banco de Dados'!$P1455,Sku!C:C,Sku!H:H)*20%),2),'Banco de Dados'!$A1455="MEI",ROUND(SUM('Banco de Dados'!$R1455*_xlfn.XLOOKUP('Banco de Dados'!$P1455,Sku!D:D,Sku!H:H)*20%),2)),0)</f>
        <v>0</v>
      </c>
      <c r="AN1455" s="109">
        <f ca="1">IF('Banco de Dados'!$AK1455&lt;&gt;"-",IF('Banco de Dados'!$F1455&lt;&gt;"-",_xlfn.XLOOKUP(IFERROR(IFERROR(IFERROR(VALUE(SUBSTITUTE(MID(_xlfn.TEXTAFTER('Banco de Dados'!$F1455,"Data do Pedido:
",1),1,10),"-","/")),VALUE(SUBSTITUTE(MID(_xlfn.TEXTAFTER('Banco de Dados'!$F1455,"Order date:
",1),1,10),"-","/"))),VALUE(SUBSTITUTE(MID(_xlfn.TEXTAFTER('Banco de Dados'!$F1455,"Fecha de pedido:
",1),1,10),"-","/"))),"-"),SMS!A:A,SMS!K:K),0),0)</f>
        <v>0</v>
      </c>
      <c r="AO1455" s="109">
        <f ca="1">IF('Banco de Dados'!$AK1455&lt;&gt;"-",IF('Banco de Dados'!$F1455&lt;&gt;"-",IFERROR(_xlfn.XLOOKUP(_xlfn.CONCAT('Banco de Dados'!$A1455,IFERROR(IFERROR(VALUE(SUBSTITUTE(MID(_xlfn.TEXTAFTER('Banco de Dados'!$F1455,"Data do Pedido:
",1),1,10),"-","/")),VALUE(SUBSTITUTE(MID(_xlfn.TEXTAFTER('Banco de Dados'!$F1455,"Order date:
",1),1,10),"-","/"))),0)),ProxyDD[Chave],ProxyDD[Valor por pedido]),PROXY!$P$2),0),0)</f>
        <v>0</v>
      </c>
      <c r="AP1455" s="28">
        <f ca="1">IF('Banco de Dados'!$AK1455&lt;&gt;"-",IF('Banco de Dados'!$AL1455="NÃO",IFERROR(VALUE(SUBSTITUTE(_xlfn.TEXTAFTER('Banco de Dados'!$F1455,"BRL ",1),".",",")),0),0),0)</f>
        <v>0</v>
      </c>
      <c r="AQ1455" s="28">
        <f ca="1">SUM('Banco de Dados'!$AM1455:$AP1455)</f>
        <v>0</v>
      </c>
      <c r="AR1455" s="8"/>
      <c r="AY1455" s="8"/>
    </row>
    <row r="1456" spans="1:51">
      <c r="A1456" s="5" t="str">
        <v>MEI</v>
      </c>
      <c r="B1456" s="5" t="str">
        <f ca="1"/>
        <v>MEI45756</v>
      </c>
      <c r="C1456" s="8" t="str">
        <v>Pedido 1443</v>
      </c>
      <c r="D1456" s="187">
        <v>45753</v>
      </c>
      <c r="E1456" s="9">
        <v>45756</v>
      </c>
      <c r="F1456" s="8" t="str">
        <v>PedidoF1383</v>
      </c>
      <c r="G1456" s="2" t="str">
        <v>CódRastreio1381</v>
      </c>
      <c r="H1456" s="5">
        <v>1</v>
      </c>
      <c r="I1456" s="2" t="str">
        <v>CPF 1404</v>
      </c>
      <c r="J1456" s="2" t="str">
        <v>Nome 1404</v>
      </c>
      <c r="K1456" s="8" t="str">
        <v>Tel 1404</v>
      </c>
      <c r="L1456" s="8" t="str">
        <v>Cep 1404</v>
      </c>
      <c r="M1456" s="8" t="str">
        <v>Rua 1404</v>
      </c>
      <c r="N1456" s="8" t="str">
        <v>Comp 1404</v>
      </c>
      <c r="O1456" s="8" t="str">
        <v>Lampada Led</v>
      </c>
      <c r="P1456" s="8" t="str">
        <v>T1-SWVB-UPOW</v>
      </c>
      <c r="Q1456" s="4">
        <v>45776</v>
      </c>
      <c r="R1456" s="109">
        <v>29.99</v>
      </c>
      <c r="S1456" s="11">
        <f ca="1"/>
        <v>29.99</v>
      </c>
      <c r="T1456" s="28">
        <f ca="1"/>
        <v>3.5987999999999998</v>
      </c>
      <c r="U1456" s="11">
        <f ca="1"/>
        <v>26.39</v>
      </c>
      <c r="V1456" s="11">
        <v>12.32</v>
      </c>
      <c r="W1456" s="11">
        <f ca="1"/>
        <v>0.2</v>
      </c>
      <c r="X1456" s="11">
        <f ca="1"/>
        <v>0.39877104377104378</v>
      </c>
      <c r="Y1456" s="11">
        <v>0</v>
      </c>
      <c r="Z1456" s="11">
        <f ca="1"/>
        <v>13.471228956228957</v>
      </c>
      <c r="AA1456" s="11">
        <f ca="1"/>
        <v>6.7356144781144787</v>
      </c>
      <c r="AB1456" s="4">
        <f ca="1"/>
        <v>45783</v>
      </c>
      <c r="AC1456" s="4">
        <v>45783</v>
      </c>
      <c r="AD1456" s="9">
        <v>45793</v>
      </c>
      <c r="AE1456" s="9">
        <v>45797</v>
      </c>
      <c r="AF1456" s="4" t="str">
        <f t="shared" ca="1" si="95"/>
        <v>2025 05</v>
      </c>
      <c r="AG1456" s="8" t="str" cm="1">
        <f t="array" ref="AG1456">IFERROR(_xlfn.IFS('Banco de Dados'!#REF!="AG. COMPRA","Em processamento",'Banco de Dados'!#REF!="AG. RASTREIO","Em processamento",'Banco de Dados'!$AE1456&lt;&gt;"-","Faturado",'Banco de Dados'!$AD1456&lt;&gt;"-","Aguardando Pix",'Banco de Dados'!$AC1456&lt;&gt;"-","Pendente"),"Aguardando Liberação")</f>
        <v>Aguardando Liberação</v>
      </c>
      <c r="AH1456" s="5" t="str">
        <f>IF('Banco de Dados'!$F1456="-",_xlfn.CONCAT(PROPER(TEXT(AK1456,"aaaa"))," ",PROPER(TEXT(AK1456,"mm"))),_xlfn.CONCAT(PROPER(TEXT(E1456,"aaaa"))," ",PROPER(TEXT(E1456,"mm"))))</f>
        <v>2025 04</v>
      </c>
      <c r="AI1456" s="9" t="str">
        <f ca="1">IF('Banco de Dados'!$AK1456&lt;&gt;"-","REEMBOLSO",IFERROR(_xlfn.XLOOKUP(G1456,Follow[CODRASTREIO],Follow[STATUS]),"-"))</f>
        <v>ENTREGUE</v>
      </c>
      <c r="AJ1456" s="9">
        <f ca="1">IF('Banco de Dados'!$AI1456="ENTREGUE",_xlfn.XLOOKUP('Banco de Dados'!$G1456,Follow[CODRASTREIO],Follow[DATAATUALIZAÇÃO]),"-")</f>
        <v>45764</v>
      </c>
      <c r="AK1456" s="132" t="str">
        <f ca="1"/>
        <v>-</v>
      </c>
      <c r="AL1456" s="35"/>
      <c r="AM1456" s="109" cm="1">
        <f t="array" aca="1" ref="AM1456" ca="1">IF('Banco de Dados'!$AK1456&lt;&gt;"-",_xlfn.IFS('Banco de Dados'!$A1456="bv",IF('Banco de Dados'!$E1456&lt;45641,ROUND(SUM('Banco de Dados'!$R1456*_xlfn.XLOOKUP('Banco de Dados'!$P1456,Sku!B:B,Sku!#REF!)*20%),2),ROUND(SUM('Banco de Dados'!$R1456*_xlfn.XLOOKUP('Banco de Dados'!$P1456,Sku!B:B,Sku!H:H)*20%),2)),'Banco de Dados'!$A1456="GO",ROUND(SUM('Banco de Dados'!$R1456*_xlfn.XLOOKUP('Banco de Dados'!$P1456,Sku!C:C,Sku!H:H)*20%),2),'Banco de Dados'!$A1456="MEI",ROUND(SUM('Banco de Dados'!$R1456*_xlfn.XLOOKUP('Banco de Dados'!$P1456,Sku!D:D,Sku!H:H)*20%),2)),0)</f>
        <v>0</v>
      </c>
      <c r="AN1456" s="109">
        <f ca="1">IF('Banco de Dados'!$AK1456&lt;&gt;"-",IF('Banco de Dados'!$F1456&lt;&gt;"-",_xlfn.XLOOKUP(IFERROR(IFERROR(IFERROR(VALUE(SUBSTITUTE(MID(_xlfn.TEXTAFTER('Banco de Dados'!$F1456,"Data do Pedido:
",1),1,10),"-","/")),VALUE(SUBSTITUTE(MID(_xlfn.TEXTAFTER('Banco de Dados'!$F1456,"Order date:
",1),1,10),"-","/"))),VALUE(SUBSTITUTE(MID(_xlfn.TEXTAFTER('Banco de Dados'!$F1456,"Fecha de pedido:
",1),1,10),"-","/"))),"-"),SMS!A:A,SMS!K:K),0),0)</f>
        <v>0</v>
      </c>
      <c r="AO1456" s="109">
        <f ca="1">IF('Banco de Dados'!$AK1456&lt;&gt;"-",IF('Banco de Dados'!$F1456&lt;&gt;"-",IFERROR(_xlfn.XLOOKUP(_xlfn.CONCAT('Banco de Dados'!$A1456,IFERROR(IFERROR(VALUE(SUBSTITUTE(MID(_xlfn.TEXTAFTER('Banco de Dados'!$F1456,"Data do Pedido:
",1),1,10),"-","/")),VALUE(SUBSTITUTE(MID(_xlfn.TEXTAFTER('Banco de Dados'!$F1456,"Order date:
",1),1,10),"-","/"))),0)),ProxyDD[Chave],ProxyDD[Valor por pedido]),PROXY!$P$2),0),0)</f>
        <v>0</v>
      </c>
      <c r="AP1456" s="28">
        <f ca="1">IF('Banco de Dados'!$AK1456&lt;&gt;"-",IF('Banco de Dados'!$AL1456="NÃO",IFERROR(VALUE(SUBSTITUTE(_xlfn.TEXTAFTER('Banco de Dados'!$F1456,"BRL ",1),".",",")),0),0),0)</f>
        <v>0</v>
      </c>
      <c r="AQ1456" s="28">
        <f ca="1">SUM('Banco de Dados'!$AM1456:$AP1456)</f>
        <v>0</v>
      </c>
      <c r="AR1456" s="8"/>
      <c r="AY1456" s="8"/>
    </row>
    <row r="1457" spans="1:51">
      <c r="A1457" s="5" t="str">
        <v>MEI</v>
      </c>
      <c r="B1457" s="5" t="str">
        <f ca="1"/>
        <v>MEI45756</v>
      </c>
      <c r="C1457" s="8" t="str">
        <v>Pedido 1444</v>
      </c>
      <c r="D1457" s="187">
        <v>45753</v>
      </c>
      <c r="E1457" s="9">
        <v>45756</v>
      </c>
      <c r="F1457" s="8" t="str">
        <v>PedidoF1384</v>
      </c>
      <c r="G1457" s="2" t="str">
        <v>CódRastreio1382</v>
      </c>
      <c r="H1457" s="5">
        <v>1</v>
      </c>
      <c r="I1457" s="2" t="str">
        <v>CPF 1405</v>
      </c>
      <c r="J1457" s="2" t="str">
        <v>Nome 1405</v>
      </c>
      <c r="K1457" s="8" t="str">
        <v>Tel 1405</v>
      </c>
      <c r="L1457" s="8" t="str">
        <v>Cep 1405</v>
      </c>
      <c r="M1457" s="8" t="str">
        <v>Rua 1405</v>
      </c>
      <c r="N1457" s="8" t="str">
        <v>Comp 1405</v>
      </c>
      <c r="O1457" s="8" t="str">
        <v>Ventilador Azul</v>
      </c>
      <c r="P1457" s="8" t="str">
        <v>PK-L2Z7-MQRQ</v>
      </c>
      <c r="Q1457" s="4">
        <v>45783</v>
      </c>
      <c r="R1457" s="109">
        <v>49.9</v>
      </c>
      <c r="S1457" s="11">
        <f ca="1"/>
        <v>49.9</v>
      </c>
      <c r="T1457" s="28">
        <f ca="1"/>
        <v>5.9879999999999995</v>
      </c>
      <c r="U1457" s="11">
        <f ca="1"/>
        <v>43.91</v>
      </c>
      <c r="V1457" s="11">
        <v>23.33</v>
      </c>
      <c r="W1457" s="11">
        <f ca="1"/>
        <v>0.2</v>
      </c>
      <c r="X1457" s="11">
        <f ca="1"/>
        <v>0.39877104377104378</v>
      </c>
      <c r="Y1457" s="11">
        <v>0</v>
      </c>
      <c r="Z1457" s="11">
        <f ca="1"/>
        <v>19.981228956228954</v>
      </c>
      <c r="AA1457" s="11">
        <f ca="1"/>
        <v>9.9906144781144768</v>
      </c>
      <c r="AB1457" s="4">
        <f ca="1"/>
        <v>45790</v>
      </c>
      <c r="AC1457" s="4">
        <v>45790</v>
      </c>
      <c r="AD1457" s="9">
        <v>45793</v>
      </c>
      <c r="AE1457" s="9">
        <v>45797</v>
      </c>
      <c r="AF1457" s="4" t="str">
        <f t="shared" ca="1" si="95"/>
        <v>2025 05</v>
      </c>
      <c r="AG1457" s="8" t="str" cm="1">
        <f t="array" ref="AG1457">IFERROR(_xlfn.IFS('Banco de Dados'!#REF!="AG. COMPRA","Em processamento",'Banco de Dados'!#REF!="AG. RASTREIO","Em processamento",'Banco de Dados'!$AE1457&lt;&gt;"-","Faturado",'Banco de Dados'!$AD1457&lt;&gt;"-","Aguardando Pix",'Banco de Dados'!$AC1457&lt;&gt;"-","Pendente"),"Aguardando Liberação")</f>
        <v>Aguardando Liberação</v>
      </c>
      <c r="AH1457" s="5" t="str">
        <f>IF('Banco de Dados'!$F1457="-",_xlfn.CONCAT(PROPER(TEXT(AK1457,"aaaa"))," ",PROPER(TEXT(AK1457,"mm"))),_xlfn.CONCAT(PROPER(TEXT(E1457,"aaaa"))," ",PROPER(TEXT(E1457,"mm"))))</f>
        <v>2025 04</v>
      </c>
      <c r="AI1457" s="9" t="str">
        <f ca="1">IF('Banco de Dados'!$AK1457&lt;&gt;"-","REEMBOLSO",IFERROR(_xlfn.XLOOKUP(G1457,Follow[CODRASTREIO],Follow[STATUS]),"-"))</f>
        <v>ENTREGUE</v>
      </c>
      <c r="AJ1457" s="9">
        <f ca="1">IF('Banco de Dados'!$AI1457="ENTREGUE",_xlfn.XLOOKUP('Banco de Dados'!$G1457,Follow[CODRASTREIO],Follow[DATAATUALIZAÇÃO]),"-")</f>
        <v>45775</v>
      </c>
      <c r="AK1457" s="132" t="str">
        <f ca="1"/>
        <v>-</v>
      </c>
      <c r="AL1457" s="35"/>
      <c r="AM1457" s="109" cm="1">
        <f t="array" aca="1" ref="AM1457" ca="1">IF('Banco de Dados'!$AK1457&lt;&gt;"-",_xlfn.IFS('Banco de Dados'!$A1457="bv",IF('Banco de Dados'!$E1457&lt;45641,ROUND(SUM('Banco de Dados'!$R1457*_xlfn.XLOOKUP('Banco de Dados'!$P1457,Sku!B:B,Sku!#REF!)*20%),2),ROUND(SUM('Banco de Dados'!$R1457*_xlfn.XLOOKUP('Banco de Dados'!$P1457,Sku!B:B,Sku!H:H)*20%),2)),'Banco de Dados'!$A1457="GO",ROUND(SUM('Banco de Dados'!$R1457*_xlfn.XLOOKUP('Banco de Dados'!$P1457,Sku!C:C,Sku!H:H)*20%),2),'Banco de Dados'!$A1457="MEI",ROUND(SUM('Banco de Dados'!$R1457*_xlfn.XLOOKUP('Banco de Dados'!$P1457,Sku!D:D,Sku!H:H)*20%),2)),0)</f>
        <v>0</v>
      </c>
      <c r="AN1457" s="109">
        <f ca="1">IF('Banco de Dados'!$AK1457&lt;&gt;"-",IF('Banco de Dados'!$F1457&lt;&gt;"-",_xlfn.XLOOKUP(IFERROR(IFERROR(IFERROR(VALUE(SUBSTITUTE(MID(_xlfn.TEXTAFTER('Banco de Dados'!$F1457,"Data do Pedido:
",1),1,10),"-","/")),VALUE(SUBSTITUTE(MID(_xlfn.TEXTAFTER('Banco de Dados'!$F1457,"Order date:
",1),1,10),"-","/"))),VALUE(SUBSTITUTE(MID(_xlfn.TEXTAFTER('Banco de Dados'!$F1457,"Fecha de pedido:
",1),1,10),"-","/"))),"-"),SMS!A:A,SMS!K:K),0),0)</f>
        <v>0</v>
      </c>
      <c r="AO1457" s="109">
        <f ca="1">IF('Banco de Dados'!$AK1457&lt;&gt;"-",IF('Banco de Dados'!$F1457&lt;&gt;"-",IFERROR(_xlfn.XLOOKUP(_xlfn.CONCAT('Banco de Dados'!$A1457,IFERROR(IFERROR(VALUE(SUBSTITUTE(MID(_xlfn.TEXTAFTER('Banco de Dados'!$F1457,"Data do Pedido:
",1),1,10),"-","/")),VALUE(SUBSTITUTE(MID(_xlfn.TEXTAFTER('Banco de Dados'!$F1457,"Order date:
",1),1,10),"-","/"))),0)),ProxyDD[Chave],ProxyDD[Valor por pedido]),PROXY!$P$2),0),0)</f>
        <v>0</v>
      </c>
      <c r="AP1457" s="28">
        <f ca="1">IF('Banco de Dados'!$AK1457&lt;&gt;"-",IF('Banco de Dados'!$AL1457="NÃO",IFERROR(VALUE(SUBSTITUTE(_xlfn.TEXTAFTER('Banco de Dados'!$F1457,"BRL ",1),".",",")),0),0),0)</f>
        <v>0</v>
      </c>
      <c r="AQ1457" s="28">
        <f ca="1">SUM('Banco de Dados'!$AM1457:$AP1457)</f>
        <v>0</v>
      </c>
      <c r="AR1457" s="8"/>
      <c r="AY1457" s="8"/>
    </row>
    <row r="1458" spans="1:51">
      <c r="A1458" s="5" t="str">
        <v>MEI</v>
      </c>
      <c r="B1458" s="5" t="str">
        <f ca="1"/>
        <v>MEI45756</v>
      </c>
      <c r="C1458" s="8" t="str">
        <v>Pedido 1445</v>
      </c>
      <c r="D1458" s="187">
        <v>45753</v>
      </c>
      <c r="E1458" s="9">
        <v>45756</v>
      </c>
      <c r="F1458" s="8" t="str">
        <v>PedidoF1385</v>
      </c>
      <c r="G1458" s="2" t="str">
        <v>CódRastreio1383</v>
      </c>
      <c r="H1458" s="5">
        <v>1</v>
      </c>
      <c r="I1458" s="2" t="str">
        <v>CPF 1406</v>
      </c>
      <c r="J1458" s="2" t="str">
        <v>Nome 1406</v>
      </c>
      <c r="K1458" s="8" t="str">
        <v>Tel 1406</v>
      </c>
      <c r="L1458" s="8" t="str">
        <v>Cep 1406</v>
      </c>
      <c r="M1458" s="8" t="str">
        <v>Rua 1406</v>
      </c>
      <c r="N1458" s="8" t="str">
        <v>Comp 1406</v>
      </c>
      <c r="O1458" s="8" t="str">
        <v>Suporte de Celular Branco</v>
      </c>
      <c r="P1458" s="8" t="str">
        <v>IQ-LISQ-0D65</v>
      </c>
      <c r="Q1458" s="4">
        <v>45783</v>
      </c>
      <c r="R1458" s="109">
        <v>21.99</v>
      </c>
      <c r="S1458" s="11">
        <f ca="1"/>
        <v>21.99</v>
      </c>
      <c r="T1458" s="28">
        <f ca="1"/>
        <v>3.2984999999999998</v>
      </c>
      <c r="U1458" s="11">
        <f ca="1"/>
        <v>18.690000000000001</v>
      </c>
      <c r="V1458" s="11">
        <v>6.99</v>
      </c>
      <c r="W1458" s="11">
        <f ca="1"/>
        <v>0.2</v>
      </c>
      <c r="X1458" s="11">
        <f ca="1"/>
        <v>0.39877104377104378</v>
      </c>
      <c r="Y1458" s="11">
        <v>0</v>
      </c>
      <c r="Z1458" s="11">
        <f ca="1"/>
        <v>11.101228956228958</v>
      </c>
      <c r="AA1458" s="11">
        <f ca="1"/>
        <v>5.5506144781144791</v>
      </c>
      <c r="AB1458" s="4">
        <f ca="1"/>
        <v>45790</v>
      </c>
      <c r="AC1458" s="4">
        <v>45790</v>
      </c>
      <c r="AD1458" s="9">
        <v>45793</v>
      </c>
      <c r="AE1458" s="9">
        <v>45797</v>
      </c>
      <c r="AF1458" s="4" t="str">
        <f t="shared" ca="1" si="95"/>
        <v>2025 05</v>
      </c>
      <c r="AG1458" s="8" t="str" cm="1">
        <f t="array" ref="AG1458">IFERROR(_xlfn.IFS('Banco de Dados'!#REF!="AG. COMPRA","Em processamento",'Banco de Dados'!#REF!="AG. RASTREIO","Em processamento",'Banco de Dados'!$AE1458&lt;&gt;"-","Faturado",'Banco de Dados'!$AD1458&lt;&gt;"-","Aguardando Pix",'Banco de Dados'!$AC1458&lt;&gt;"-","Pendente"),"Aguardando Liberação")</f>
        <v>Aguardando Liberação</v>
      </c>
      <c r="AH1458" s="5" t="str">
        <f>IF('Banco de Dados'!$F1458="-",_xlfn.CONCAT(PROPER(TEXT(AK1458,"aaaa"))," ",PROPER(TEXT(AK1458,"mm"))),_xlfn.CONCAT(PROPER(TEXT(E1458,"aaaa"))," ",PROPER(TEXT(E1458,"mm"))))</f>
        <v>2025 04</v>
      </c>
      <c r="AI1458" s="9" t="str">
        <f ca="1">IF('Banco de Dados'!$AK1458&lt;&gt;"-","REEMBOLSO",IFERROR(_xlfn.XLOOKUP(G1458,Follow[CODRASTREIO],Follow[STATUS]),"-"))</f>
        <v>ENTREGUE</v>
      </c>
      <c r="AJ1458" s="9">
        <f ca="1">IF('Banco de Dados'!$AI1458="ENTREGUE",_xlfn.XLOOKUP('Banco de Dados'!$G1458,Follow[CODRASTREIO],Follow[DATAATUALIZAÇÃO]),"-")</f>
        <v>45764</v>
      </c>
      <c r="AK1458" s="132" t="str">
        <f ca="1"/>
        <v>-</v>
      </c>
      <c r="AL1458" s="35"/>
      <c r="AM1458" s="109" cm="1">
        <f t="array" aca="1" ref="AM1458" ca="1">IF('Banco de Dados'!$AK1458&lt;&gt;"-",_xlfn.IFS('Banco de Dados'!$A1458="bv",IF('Banco de Dados'!$E1458&lt;45641,ROUND(SUM('Banco de Dados'!$R1458*_xlfn.XLOOKUP('Banco de Dados'!$P1458,Sku!B:B,Sku!#REF!)*20%),2),ROUND(SUM('Banco de Dados'!$R1458*_xlfn.XLOOKUP('Banco de Dados'!$P1458,Sku!B:B,Sku!H:H)*20%),2)),'Banco de Dados'!$A1458="GO",ROUND(SUM('Banco de Dados'!$R1458*_xlfn.XLOOKUP('Banco de Dados'!$P1458,Sku!C:C,Sku!H:H)*20%),2),'Banco de Dados'!$A1458="MEI",ROUND(SUM('Banco de Dados'!$R1458*_xlfn.XLOOKUP('Banco de Dados'!$P1458,Sku!D:D,Sku!H:H)*20%),2)),0)</f>
        <v>0</v>
      </c>
      <c r="AN1458" s="109">
        <f ca="1">IF('Banco de Dados'!$AK1458&lt;&gt;"-",IF('Banco de Dados'!$F1458&lt;&gt;"-",_xlfn.XLOOKUP(IFERROR(IFERROR(IFERROR(VALUE(SUBSTITUTE(MID(_xlfn.TEXTAFTER('Banco de Dados'!$F1458,"Data do Pedido:
",1),1,10),"-","/")),VALUE(SUBSTITUTE(MID(_xlfn.TEXTAFTER('Banco de Dados'!$F1458,"Order date:
",1),1,10),"-","/"))),VALUE(SUBSTITUTE(MID(_xlfn.TEXTAFTER('Banco de Dados'!$F1458,"Fecha de pedido:
",1),1,10),"-","/"))),"-"),SMS!A:A,SMS!K:K),0),0)</f>
        <v>0</v>
      </c>
      <c r="AO1458" s="109">
        <f ca="1">IF('Banco de Dados'!$AK1458&lt;&gt;"-",IF('Banco de Dados'!$F1458&lt;&gt;"-",IFERROR(_xlfn.XLOOKUP(_xlfn.CONCAT('Banco de Dados'!$A1458,IFERROR(IFERROR(VALUE(SUBSTITUTE(MID(_xlfn.TEXTAFTER('Banco de Dados'!$F1458,"Data do Pedido:
",1),1,10),"-","/")),VALUE(SUBSTITUTE(MID(_xlfn.TEXTAFTER('Banco de Dados'!$F1458,"Order date:
",1),1,10),"-","/"))),0)),ProxyDD[Chave],ProxyDD[Valor por pedido]),PROXY!$P$2),0),0)</f>
        <v>0</v>
      </c>
      <c r="AP1458" s="28">
        <f ca="1">IF('Banco de Dados'!$AK1458&lt;&gt;"-",IF('Banco de Dados'!$AL1458="NÃO",IFERROR(VALUE(SUBSTITUTE(_xlfn.TEXTAFTER('Banco de Dados'!$F1458,"BRL ",1),".",",")),0),0),0)</f>
        <v>0</v>
      </c>
      <c r="AQ1458" s="28">
        <f ca="1">SUM('Banco de Dados'!$AM1458:$AP1458)</f>
        <v>0</v>
      </c>
      <c r="AR1458" s="8"/>
      <c r="AY1458" s="8"/>
    </row>
    <row r="1459" spans="1:51">
      <c r="A1459" s="5" t="str">
        <v>MEI</v>
      </c>
      <c r="B1459" s="5" t="str">
        <f ca="1"/>
        <v>MEI45756</v>
      </c>
      <c r="C1459" s="8" t="str">
        <v>Pedido 1446</v>
      </c>
      <c r="D1459" s="187">
        <v>45754</v>
      </c>
      <c r="E1459" s="9">
        <v>45756</v>
      </c>
      <c r="F1459" s="8" t="str">
        <v>PedidoF1386</v>
      </c>
      <c r="G1459" s="2" t="str">
        <v>CódRastreio1384</v>
      </c>
      <c r="H1459" s="5">
        <v>1</v>
      </c>
      <c r="I1459" s="2" t="str">
        <v>CPF 1407</v>
      </c>
      <c r="J1459" s="2" t="str">
        <v>Nome 1407</v>
      </c>
      <c r="K1459" s="8" t="str">
        <v>Tel 1407</v>
      </c>
      <c r="L1459" s="8" t="str">
        <v>Cep 1407</v>
      </c>
      <c r="M1459" s="8" t="str">
        <v>Rua 1407</v>
      </c>
      <c r="N1459" s="8" t="str">
        <v>Comp 1407</v>
      </c>
      <c r="O1459" s="8" t="str">
        <v>Lampada Led</v>
      </c>
      <c r="P1459" s="8" t="str">
        <v>T1-SWVB-UPOW</v>
      </c>
      <c r="Q1459" s="4">
        <v>45776</v>
      </c>
      <c r="R1459" s="109">
        <v>29.99</v>
      </c>
      <c r="S1459" s="11">
        <f ca="1"/>
        <v>29.99</v>
      </c>
      <c r="T1459" s="28">
        <f ca="1"/>
        <v>3.5987999999999998</v>
      </c>
      <c r="U1459" s="11">
        <f ca="1"/>
        <v>26.39</v>
      </c>
      <c r="V1459" s="11">
        <v>12.32</v>
      </c>
      <c r="W1459" s="11">
        <f ca="1"/>
        <v>0.2</v>
      </c>
      <c r="X1459" s="11">
        <f ca="1"/>
        <v>0.39877104377104378</v>
      </c>
      <c r="Y1459" s="11">
        <v>0</v>
      </c>
      <c r="Z1459" s="11">
        <f ca="1"/>
        <v>13.471228956228957</v>
      </c>
      <c r="AA1459" s="11">
        <f ca="1"/>
        <v>6.7356144781144787</v>
      </c>
      <c r="AB1459" s="4">
        <f ca="1"/>
        <v>45783</v>
      </c>
      <c r="AC1459" s="4">
        <v>45783</v>
      </c>
      <c r="AD1459" s="9">
        <v>45793</v>
      </c>
      <c r="AE1459" s="9">
        <v>45797</v>
      </c>
      <c r="AF1459" s="4" t="str">
        <f t="shared" ca="1" si="95"/>
        <v>2025 05</v>
      </c>
      <c r="AG1459" s="8" t="str" cm="1">
        <f t="array" ref="AG1459">IFERROR(_xlfn.IFS('Banco de Dados'!#REF!="AG. COMPRA","Em processamento",'Banco de Dados'!#REF!="AG. RASTREIO","Em processamento",'Banco de Dados'!$AE1459&lt;&gt;"-","Faturado",'Banco de Dados'!$AD1459&lt;&gt;"-","Aguardando Pix",'Banco de Dados'!$AC1459&lt;&gt;"-","Pendente"),"Aguardando Liberação")</f>
        <v>Aguardando Liberação</v>
      </c>
      <c r="AH1459" s="5" t="str">
        <f>IF('Banco de Dados'!$F1459="-",_xlfn.CONCAT(PROPER(TEXT(AK1459,"aaaa"))," ",PROPER(TEXT(AK1459,"mm"))),_xlfn.CONCAT(PROPER(TEXT(E1459,"aaaa"))," ",PROPER(TEXT(E1459,"mm"))))</f>
        <v>2025 04</v>
      </c>
      <c r="AI1459" s="9" t="str">
        <f ca="1">IF('Banco de Dados'!$AK1459&lt;&gt;"-","REEMBOLSO",IFERROR(_xlfn.XLOOKUP(G1459,Follow[CODRASTREIO],Follow[STATUS]),"-"))</f>
        <v>ENTREGUE</v>
      </c>
      <c r="AJ1459" s="9">
        <f ca="1">IF('Banco de Dados'!$AI1459="ENTREGUE",_xlfn.XLOOKUP('Banco de Dados'!$G1459,Follow[CODRASTREIO],Follow[DATAATUALIZAÇÃO]),"-")</f>
        <v>45770</v>
      </c>
      <c r="AK1459" s="132" t="str">
        <f ca="1"/>
        <v>-</v>
      </c>
      <c r="AL1459" s="35"/>
      <c r="AM1459" s="109" cm="1">
        <f t="array" aca="1" ref="AM1459" ca="1">IF('Banco de Dados'!$AK1459&lt;&gt;"-",_xlfn.IFS('Banco de Dados'!$A1459="bv",IF('Banco de Dados'!$E1459&lt;45641,ROUND(SUM('Banco de Dados'!$R1459*_xlfn.XLOOKUP('Banco de Dados'!$P1459,Sku!B:B,Sku!#REF!)*20%),2),ROUND(SUM('Banco de Dados'!$R1459*_xlfn.XLOOKUP('Banco de Dados'!$P1459,Sku!B:B,Sku!H:H)*20%),2)),'Banco de Dados'!$A1459="GO",ROUND(SUM('Banco de Dados'!$R1459*_xlfn.XLOOKUP('Banco de Dados'!$P1459,Sku!C:C,Sku!H:H)*20%),2),'Banco de Dados'!$A1459="MEI",ROUND(SUM('Banco de Dados'!$R1459*_xlfn.XLOOKUP('Banco de Dados'!$P1459,Sku!D:D,Sku!H:H)*20%),2)),0)</f>
        <v>0</v>
      </c>
      <c r="AN1459" s="109">
        <f ca="1">IF('Banco de Dados'!$AK1459&lt;&gt;"-",IF('Banco de Dados'!$F1459&lt;&gt;"-",_xlfn.XLOOKUP(IFERROR(IFERROR(IFERROR(VALUE(SUBSTITUTE(MID(_xlfn.TEXTAFTER('Banco de Dados'!$F1459,"Data do Pedido:
",1),1,10),"-","/")),VALUE(SUBSTITUTE(MID(_xlfn.TEXTAFTER('Banco de Dados'!$F1459,"Order date:
",1),1,10),"-","/"))),VALUE(SUBSTITUTE(MID(_xlfn.TEXTAFTER('Banco de Dados'!$F1459,"Fecha de pedido:
",1),1,10),"-","/"))),"-"),SMS!A:A,SMS!K:K),0),0)</f>
        <v>0</v>
      </c>
      <c r="AO1459" s="109">
        <f ca="1">IF('Banco de Dados'!$AK1459&lt;&gt;"-",IF('Banco de Dados'!$F1459&lt;&gt;"-",IFERROR(_xlfn.XLOOKUP(_xlfn.CONCAT('Banco de Dados'!$A1459,IFERROR(IFERROR(VALUE(SUBSTITUTE(MID(_xlfn.TEXTAFTER('Banco de Dados'!$F1459,"Data do Pedido:
",1),1,10),"-","/")),VALUE(SUBSTITUTE(MID(_xlfn.TEXTAFTER('Banco de Dados'!$F1459,"Order date:
",1),1,10),"-","/"))),0)),ProxyDD[Chave],ProxyDD[Valor por pedido]),PROXY!$P$2),0),0)</f>
        <v>0</v>
      </c>
      <c r="AP1459" s="28">
        <f ca="1">IF('Banco de Dados'!$AK1459&lt;&gt;"-",IF('Banco de Dados'!$AL1459="NÃO",IFERROR(VALUE(SUBSTITUTE(_xlfn.TEXTAFTER('Banco de Dados'!$F1459,"BRL ",1),".",",")),0),0),0)</f>
        <v>0</v>
      </c>
      <c r="AQ1459" s="28">
        <f ca="1">SUM('Banco de Dados'!$AM1459:$AP1459)</f>
        <v>0</v>
      </c>
      <c r="AR1459" s="8"/>
      <c r="AY1459" s="8"/>
    </row>
    <row r="1460" spans="1:51">
      <c r="A1460" s="5" t="str">
        <v>MEI</v>
      </c>
      <c r="B1460" s="5" t="str">
        <f ca="1"/>
        <v>MEI45756</v>
      </c>
      <c r="C1460" s="8" t="str">
        <v>Pedido 1447</v>
      </c>
      <c r="D1460" s="187">
        <v>45754</v>
      </c>
      <c r="E1460" s="9">
        <v>45756</v>
      </c>
      <c r="F1460" s="8" t="str">
        <v>PedidoF1387</v>
      </c>
      <c r="G1460" s="2" t="str">
        <v>CódRastreio1385</v>
      </c>
      <c r="H1460" s="5">
        <v>1</v>
      </c>
      <c r="I1460" s="2" t="str">
        <v>CPF 1408</v>
      </c>
      <c r="J1460" s="2" t="str">
        <v>Nome 1408</v>
      </c>
      <c r="K1460" s="8" t="str">
        <v>Tel 1408</v>
      </c>
      <c r="L1460" s="8" t="str">
        <v>Cep 1408</v>
      </c>
      <c r="M1460" s="8" t="str">
        <v>Rua 1408</v>
      </c>
      <c r="N1460" s="8" t="str">
        <v>Comp 1408</v>
      </c>
      <c r="O1460" s="8" t="str">
        <v>Lampada Led</v>
      </c>
      <c r="P1460" s="8" t="str">
        <v>T1-SWVB-UPOW</v>
      </c>
      <c r="Q1460" s="4">
        <v>45783</v>
      </c>
      <c r="R1460" s="109">
        <v>29.99</v>
      </c>
      <c r="S1460" s="11">
        <f ca="1"/>
        <v>29.99</v>
      </c>
      <c r="T1460" s="28">
        <f ca="1"/>
        <v>3.5987999999999998</v>
      </c>
      <c r="U1460" s="11">
        <f ca="1"/>
        <v>26.39</v>
      </c>
      <c r="V1460" s="11">
        <v>19.59</v>
      </c>
      <c r="W1460" s="11">
        <f ca="1"/>
        <v>0.2</v>
      </c>
      <c r="X1460" s="11">
        <f ca="1"/>
        <v>0.39877104377104378</v>
      </c>
      <c r="Y1460" s="11">
        <v>0</v>
      </c>
      <c r="Z1460" s="11">
        <f ca="1"/>
        <v>6.201228956228956</v>
      </c>
      <c r="AA1460" s="11">
        <f ca="1"/>
        <v>3.100614478114478</v>
      </c>
      <c r="AB1460" s="4">
        <f ca="1"/>
        <v>45790</v>
      </c>
      <c r="AC1460" s="4">
        <v>45790</v>
      </c>
      <c r="AD1460" s="9">
        <v>45793</v>
      </c>
      <c r="AE1460" s="9">
        <v>45797</v>
      </c>
      <c r="AF1460" s="4" t="str">
        <f t="shared" ca="1" si="95"/>
        <v>2025 05</v>
      </c>
      <c r="AG1460" s="8" t="str" cm="1">
        <f t="array" ref="AG1460">IFERROR(_xlfn.IFS('Banco de Dados'!#REF!="AG. COMPRA","Em processamento",'Banco de Dados'!#REF!="AG. RASTREIO","Em processamento",'Banco de Dados'!$AE1460&lt;&gt;"-","Faturado",'Banco de Dados'!$AD1460&lt;&gt;"-","Aguardando Pix",'Banco de Dados'!$AC1460&lt;&gt;"-","Pendente"),"Aguardando Liberação")</f>
        <v>Aguardando Liberação</v>
      </c>
      <c r="AH1460" s="5" t="str">
        <f>IF('Banco de Dados'!$F1460="-",_xlfn.CONCAT(PROPER(TEXT(AK1460,"aaaa"))," ",PROPER(TEXT(AK1460,"mm"))),_xlfn.CONCAT(PROPER(TEXT(E1460,"aaaa"))," ",PROPER(TEXT(E1460,"mm"))))</f>
        <v>2025 04</v>
      </c>
      <c r="AI1460" s="9" t="str">
        <f ca="1">IF('Banco de Dados'!$AK1460&lt;&gt;"-","REEMBOLSO",IFERROR(_xlfn.XLOOKUP(G1460,Follow[CODRASTREIO],Follow[STATUS]),"-"))</f>
        <v>ENTREGUE</v>
      </c>
      <c r="AJ1460" s="9">
        <f ca="1">IF('Banco de Dados'!$AI1460="ENTREGUE",_xlfn.XLOOKUP('Banco de Dados'!$G1460,Follow[CODRASTREIO],Follow[DATAATUALIZAÇÃO]),"-")</f>
        <v>45764</v>
      </c>
      <c r="AK1460" s="132" t="str">
        <f ca="1"/>
        <v>-</v>
      </c>
      <c r="AL1460" s="35"/>
      <c r="AM1460" s="109" cm="1">
        <f t="array" aca="1" ref="AM1460" ca="1">IF('Banco de Dados'!$AK1460&lt;&gt;"-",_xlfn.IFS('Banco de Dados'!$A1460="bv",IF('Banco de Dados'!$E1460&lt;45641,ROUND(SUM('Banco de Dados'!$R1460*_xlfn.XLOOKUP('Banco de Dados'!$P1460,Sku!B:B,Sku!#REF!)*20%),2),ROUND(SUM('Banco de Dados'!$R1460*_xlfn.XLOOKUP('Banco de Dados'!$P1460,Sku!B:B,Sku!H:H)*20%),2)),'Banco de Dados'!$A1460="GO",ROUND(SUM('Banco de Dados'!$R1460*_xlfn.XLOOKUP('Banco de Dados'!$P1460,Sku!C:C,Sku!H:H)*20%),2),'Banco de Dados'!$A1460="MEI",ROUND(SUM('Banco de Dados'!$R1460*_xlfn.XLOOKUP('Banco de Dados'!$P1460,Sku!D:D,Sku!H:H)*20%),2)),0)</f>
        <v>0</v>
      </c>
      <c r="AN1460" s="109">
        <f ca="1">IF('Banco de Dados'!$AK1460&lt;&gt;"-",IF('Banco de Dados'!$F1460&lt;&gt;"-",_xlfn.XLOOKUP(IFERROR(IFERROR(IFERROR(VALUE(SUBSTITUTE(MID(_xlfn.TEXTAFTER('Banco de Dados'!$F1460,"Data do Pedido:
",1),1,10),"-","/")),VALUE(SUBSTITUTE(MID(_xlfn.TEXTAFTER('Banco de Dados'!$F1460,"Order date:
",1),1,10),"-","/"))),VALUE(SUBSTITUTE(MID(_xlfn.TEXTAFTER('Banco de Dados'!$F1460,"Fecha de pedido:
",1),1,10),"-","/"))),"-"),SMS!A:A,SMS!K:K),0),0)</f>
        <v>0</v>
      </c>
      <c r="AO1460" s="109">
        <f ca="1">IF('Banco de Dados'!$AK1460&lt;&gt;"-",IF('Banco de Dados'!$F1460&lt;&gt;"-",IFERROR(_xlfn.XLOOKUP(_xlfn.CONCAT('Banco de Dados'!$A1460,IFERROR(IFERROR(VALUE(SUBSTITUTE(MID(_xlfn.TEXTAFTER('Banco de Dados'!$F1460,"Data do Pedido:
",1),1,10),"-","/")),VALUE(SUBSTITUTE(MID(_xlfn.TEXTAFTER('Banco de Dados'!$F1460,"Order date:
",1),1,10),"-","/"))),0)),ProxyDD[Chave],ProxyDD[Valor por pedido]),PROXY!$P$2),0),0)</f>
        <v>0</v>
      </c>
      <c r="AP1460" s="28">
        <f ca="1">IF('Banco de Dados'!$AK1460&lt;&gt;"-",IF('Banco de Dados'!$AL1460="NÃO",IFERROR(VALUE(SUBSTITUTE(_xlfn.TEXTAFTER('Banco de Dados'!$F1460,"BRL ",1),".",",")),0),0),0)</f>
        <v>0</v>
      </c>
      <c r="AQ1460" s="28">
        <f ca="1">SUM('Banco de Dados'!$AM1460:$AP1460)</f>
        <v>0</v>
      </c>
      <c r="AR1460" s="8"/>
      <c r="AY1460" s="8"/>
    </row>
    <row r="1461" spans="1:51">
      <c r="A1461" s="5" t="str">
        <v>MEI</v>
      </c>
      <c r="B1461" s="5" t="str">
        <f ca="1"/>
        <v>MEI45757</v>
      </c>
      <c r="C1461" s="8" t="str">
        <v>Pedido 1448</v>
      </c>
      <c r="D1461" s="187">
        <v>45754</v>
      </c>
      <c r="E1461" s="9">
        <v>45757</v>
      </c>
      <c r="F1461" s="8" t="str">
        <v>PedidoF1388</v>
      </c>
      <c r="G1461" s="2" t="str">
        <v>CódRastreio1386</v>
      </c>
      <c r="H1461" s="5">
        <v>1</v>
      </c>
      <c r="I1461" s="2" t="str">
        <v>CPF 1409</v>
      </c>
      <c r="J1461" s="2" t="str">
        <v>Nome 1409</v>
      </c>
      <c r="K1461" s="8" t="str">
        <v>Tel 1409</v>
      </c>
      <c r="L1461" s="8" t="str">
        <v>Cep 1409</v>
      </c>
      <c r="M1461" s="8" t="str">
        <v>Rua 1409</v>
      </c>
      <c r="N1461" s="8" t="str">
        <v>Comp 1409</v>
      </c>
      <c r="O1461" s="8" t="str">
        <v>Ventilador Azul</v>
      </c>
      <c r="P1461" s="8" t="str">
        <v>PK-L2Z7-MQRQ</v>
      </c>
      <c r="Q1461" s="4">
        <v>45790</v>
      </c>
      <c r="R1461" s="109">
        <v>49.9</v>
      </c>
      <c r="S1461" s="11">
        <f ca="1"/>
        <v>49.9</v>
      </c>
      <c r="T1461" s="28">
        <f ca="1"/>
        <v>5.9879999999999995</v>
      </c>
      <c r="U1461" s="11">
        <f ca="1"/>
        <v>43.91</v>
      </c>
      <c r="V1461" s="11">
        <v>22.38</v>
      </c>
      <c r="W1461" s="11">
        <f ca="1"/>
        <v>0.2</v>
      </c>
      <c r="X1461" s="11">
        <f ca="1"/>
        <v>0.39877104377104378</v>
      </c>
      <c r="Y1461" s="11">
        <v>0</v>
      </c>
      <c r="Z1461" s="11">
        <f ca="1"/>
        <v>20.931228956228953</v>
      </c>
      <c r="AA1461" s="11">
        <f ca="1"/>
        <v>10.465614478114476</v>
      </c>
      <c r="AB1461" s="4">
        <f ca="1"/>
        <v>45797</v>
      </c>
      <c r="AC1461" s="4">
        <v>45797</v>
      </c>
      <c r="AD1461" s="9">
        <v>45807</v>
      </c>
      <c r="AE1461" s="9">
        <v>45810</v>
      </c>
      <c r="AF1461" s="4" t="str">
        <f t="shared" ca="1" si="95"/>
        <v>2025 05</v>
      </c>
      <c r="AG1461" s="8" t="str" cm="1">
        <f t="array" ref="AG1461">IFERROR(_xlfn.IFS('Banco de Dados'!#REF!="AG. COMPRA","Em processamento",'Banco de Dados'!#REF!="AG. RASTREIO","Em processamento",'Banco de Dados'!$AE1461&lt;&gt;"-","Faturado",'Banco de Dados'!$AD1461&lt;&gt;"-","Aguardando Pix",'Banco de Dados'!$AC1461&lt;&gt;"-","Pendente"),"Aguardando Liberação")</f>
        <v>Aguardando Liberação</v>
      </c>
      <c r="AH1461" s="5" t="str">
        <f>IF('Banco de Dados'!$F1461="-",_xlfn.CONCAT(PROPER(TEXT(AK1461,"aaaa"))," ",PROPER(TEXT(AK1461,"mm"))),_xlfn.CONCAT(PROPER(TEXT(E1461,"aaaa"))," ",PROPER(TEXT(E1461,"mm"))))</f>
        <v>2025 04</v>
      </c>
      <c r="AI1461" s="9" t="str">
        <f ca="1">IF('Banco de Dados'!$AK1461&lt;&gt;"-","REEMBOLSO",IFERROR(_xlfn.XLOOKUP(G1461,Follow[CODRASTREIO],Follow[STATUS]),"-"))</f>
        <v>ENTREGUE</v>
      </c>
      <c r="AJ1461" s="9">
        <f ca="1">IF('Banco de Dados'!$AI1461="ENTREGUE",_xlfn.XLOOKUP('Banco de Dados'!$G1461,Follow[CODRASTREIO],Follow[DATAATUALIZAÇÃO]),"-")</f>
        <v>45773</v>
      </c>
      <c r="AK1461" s="132" t="str">
        <f ca="1"/>
        <v>-</v>
      </c>
      <c r="AL1461" s="35"/>
      <c r="AM1461" s="109" cm="1">
        <f t="array" aca="1" ref="AM1461" ca="1">IF('Banco de Dados'!$AK1461&lt;&gt;"-",_xlfn.IFS('Banco de Dados'!$A1461="bv",IF('Banco de Dados'!$E1461&lt;45641,ROUND(SUM('Banco de Dados'!$R1461*_xlfn.XLOOKUP('Banco de Dados'!$P1461,Sku!B:B,Sku!#REF!)*20%),2),ROUND(SUM('Banco de Dados'!$R1461*_xlfn.XLOOKUP('Banco de Dados'!$P1461,Sku!B:B,Sku!H:H)*20%),2)),'Banco de Dados'!$A1461="GO",ROUND(SUM('Banco de Dados'!$R1461*_xlfn.XLOOKUP('Banco de Dados'!$P1461,Sku!C:C,Sku!H:H)*20%),2),'Banco de Dados'!$A1461="MEI",ROUND(SUM('Banco de Dados'!$R1461*_xlfn.XLOOKUP('Banco de Dados'!$P1461,Sku!D:D,Sku!H:H)*20%),2)),0)</f>
        <v>0</v>
      </c>
      <c r="AN1461" s="109">
        <f ca="1">IF('Banco de Dados'!$AK1461&lt;&gt;"-",IF('Banco de Dados'!$F1461&lt;&gt;"-",_xlfn.XLOOKUP(IFERROR(IFERROR(IFERROR(VALUE(SUBSTITUTE(MID(_xlfn.TEXTAFTER('Banco de Dados'!$F1461,"Data do Pedido:
",1),1,10),"-","/")),VALUE(SUBSTITUTE(MID(_xlfn.TEXTAFTER('Banco de Dados'!$F1461,"Order date:
",1),1,10),"-","/"))),VALUE(SUBSTITUTE(MID(_xlfn.TEXTAFTER('Banco de Dados'!$F1461,"Fecha de pedido:
",1),1,10),"-","/"))),"-"),SMS!A:A,SMS!K:K),0),0)</f>
        <v>0</v>
      </c>
      <c r="AO1461" s="109">
        <f ca="1">IF('Banco de Dados'!$AK1461&lt;&gt;"-",IF('Banco de Dados'!$F1461&lt;&gt;"-",IFERROR(_xlfn.XLOOKUP(_xlfn.CONCAT('Banco de Dados'!$A1461,IFERROR(IFERROR(VALUE(SUBSTITUTE(MID(_xlfn.TEXTAFTER('Banco de Dados'!$F1461,"Data do Pedido:
",1),1,10),"-","/")),VALUE(SUBSTITUTE(MID(_xlfn.TEXTAFTER('Banco de Dados'!$F1461,"Order date:
",1),1,10),"-","/"))),0)),ProxyDD[Chave],ProxyDD[Valor por pedido]),PROXY!$P$2),0),0)</f>
        <v>0</v>
      </c>
      <c r="AP1461" s="28">
        <f ca="1">IF('Banco de Dados'!$AK1461&lt;&gt;"-",IF('Banco de Dados'!$AL1461="NÃO",IFERROR(VALUE(SUBSTITUTE(_xlfn.TEXTAFTER('Banco de Dados'!$F1461,"BRL ",1),".",",")),0),0),0)</f>
        <v>0</v>
      </c>
      <c r="AQ1461" s="28">
        <f ca="1">SUM('Banco de Dados'!$AM1461:$AP1461)</f>
        <v>0</v>
      </c>
      <c r="AR1461" s="8"/>
      <c r="AY1461" s="8"/>
    </row>
    <row r="1462" spans="1:51">
      <c r="A1462" s="5" t="str">
        <v>MEI</v>
      </c>
      <c r="B1462" s="5" t="str">
        <f ca="1"/>
        <v>MEI45757</v>
      </c>
      <c r="C1462" s="8" t="str">
        <v>Pedido 1449</v>
      </c>
      <c r="D1462" s="187">
        <v>45754</v>
      </c>
      <c r="E1462" s="9">
        <v>45757</v>
      </c>
      <c r="F1462" s="8" t="str">
        <v>PedidoF1389</v>
      </c>
      <c r="G1462" s="2" t="str">
        <v>CódRastreio1387</v>
      </c>
      <c r="H1462" s="5">
        <v>1</v>
      </c>
      <c r="I1462" s="2" t="str">
        <v>CPF 1410</v>
      </c>
      <c r="J1462" s="2" t="str">
        <v>Nome 1410</v>
      </c>
      <c r="K1462" s="8" t="str">
        <v>Tel 1410</v>
      </c>
      <c r="L1462" s="8" t="str">
        <v>Cep 1410</v>
      </c>
      <c r="M1462" s="8" t="str">
        <v>Rua 1410</v>
      </c>
      <c r="N1462" s="8" t="str">
        <v>Comp 1410</v>
      </c>
      <c r="O1462" s="8" t="str">
        <v>Lampada Led</v>
      </c>
      <c r="P1462" s="8" t="str">
        <v>T1-SWVB-UPOW</v>
      </c>
      <c r="Q1462" s="4">
        <v>45790</v>
      </c>
      <c r="R1462" s="109">
        <v>29.99</v>
      </c>
      <c r="S1462" s="11">
        <f ca="1"/>
        <v>0</v>
      </c>
      <c r="T1462" s="28">
        <f ca="1"/>
        <v>0</v>
      </c>
      <c r="U1462" s="11">
        <f ca="1"/>
        <v>0</v>
      </c>
      <c r="V1462" s="11">
        <v>0</v>
      </c>
      <c r="W1462" s="11">
        <f ca="1"/>
        <v>0</v>
      </c>
      <c r="X1462" s="11">
        <f ca="1"/>
        <v>0.39877104377104378</v>
      </c>
      <c r="Y1462" s="11">
        <v>0</v>
      </c>
      <c r="Z1462" s="11">
        <f ca="1"/>
        <v>-0.39877104377104378</v>
      </c>
      <c r="AA1462" s="11">
        <f ca="1"/>
        <v>-0.19938552188552189</v>
      </c>
      <c r="AB1462" s="4">
        <f ca="1"/>
        <v>45797</v>
      </c>
      <c r="AC1462" s="4">
        <v>45797</v>
      </c>
      <c r="AD1462" s="9">
        <v>45807</v>
      </c>
      <c r="AE1462" s="9">
        <v>45810</v>
      </c>
      <c r="AF1462" s="4" t="str">
        <f t="shared" ca="1" si="95"/>
        <v>2025 05</v>
      </c>
      <c r="AG1462" s="8" t="str" cm="1">
        <f t="array" ref="AG1462">IFERROR(_xlfn.IFS('Banco de Dados'!#REF!="AG. COMPRA","Em processamento",'Banco de Dados'!#REF!="AG. RASTREIO","Em processamento",'Banco de Dados'!$AE1462&lt;&gt;"-","Faturado",'Banco de Dados'!$AD1462&lt;&gt;"-","Aguardando Pix",'Banco de Dados'!$AC1462&lt;&gt;"-","Pendente"),"Aguardando Liberação")</f>
        <v>Aguardando Liberação</v>
      </c>
      <c r="AH1462" s="5" t="str">
        <f>IF('Banco de Dados'!$F1462="-",_xlfn.CONCAT(PROPER(TEXT(AK1462,"aaaa"))," ",PROPER(TEXT(AK1462,"mm"))),_xlfn.CONCAT(PROPER(TEXT(E1462,"aaaa"))," ",PROPER(TEXT(E1462,"mm"))))</f>
        <v>2025 04</v>
      </c>
      <c r="AI1462" s="9" t="str">
        <f ca="1">IF('Banco de Dados'!$AK1462&lt;&gt;"-","REEMBOLSO",IFERROR(_xlfn.XLOOKUP(G1462,Follow[CODRASTREIO],Follow[STATUS]),"-"))</f>
        <v>REEMBOLSO</v>
      </c>
      <c r="AJ1462" s="9" t="str">
        <f ca="1">IF('Banco de Dados'!$AI1462="ENTREGUE",_xlfn.XLOOKUP('Banco de Dados'!$G1462,Follow[CODRASTREIO],Follow[DATAATUALIZAÇÃO]),"-")</f>
        <v>-</v>
      </c>
      <c r="AK1462" s="132">
        <f ca="1"/>
        <v>45793</v>
      </c>
      <c r="AL1462" s="35"/>
      <c r="AM1462" s="109" cm="1">
        <f t="array" aca="1" ref="AM1462" ca="1">IF('Banco de Dados'!$AK1462&lt;&gt;"-",_xlfn.IFS('Banco de Dados'!$A1462="bv",IF('Banco de Dados'!$E1462&lt;45641,ROUND(SUM('Banco de Dados'!$R1462*_xlfn.XLOOKUP('Banco de Dados'!$P1462,Sku!B:B,Sku!#REF!)*20%),2),ROUND(SUM('Banco de Dados'!$R1462*_xlfn.XLOOKUP('Banco de Dados'!$P1462,Sku!B:B,Sku!H:H)*20%),2)),'Banco de Dados'!$A1462="GO",ROUND(SUM('Banco de Dados'!$R1462*_xlfn.XLOOKUP('Banco de Dados'!$P1462,Sku!C:C,Sku!H:H)*20%),2),'Banco de Dados'!$A1462="MEI",ROUND(SUM('Banco de Dados'!$R1462*_xlfn.XLOOKUP('Banco de Dados'!$P1462,Sku!D:D,Sku!H:H)*20%),2)),0)</f>
        <v>0.78</v>
      </c>
      <c r="AN1462" s="109" t="e">
        <f ca="1">IF('Banco de Dados'!$AK1462&lt;&gt;"-",IF('Banco de Dados'!$F1462&lt;&gt;"-",_xlfn.XLOOKUP(IFERROR(IFERROR(IFERROR(VALUE(SUBSTITUTE(MID(_xlfn.TEXTAFTER('Banco de Dados'!$F1462,"Data do Pedido:
",1),1,10),"-","/")),VALUE(SUBSTITUTE(MID(_xlfn.TEXTAFTER('Banco de Dados'!$F1462,"Order date:
",1),1,10),"-","/"))),VALUE(SUBSTITUTE(MID(_xlfn.TEXTAFTER('Banco de Dados'!$F1462,"Fecha de pedido:
",1),1,10),"-","/"))),"-"),SMS!A:A,SMS!K:K),0),0)</f>
        <v>#N/A</v>
      </c>
      <c r="AO1462" s="109">
        <f ca="1">IF('Banco de Dados'!$AK1462&lt;&gt;"-",IF('Banco de Dados'!$F1462&lt;&gt;"-",IFERROR(_xlfn.XLOOKUP(_xlfn.CONCAT('Banco de Dados'!$A1462,IFERROR(IFERROR(VALUE(SUBSTITUTE(MID(_xlfn.TEXTAFTER('Banco de Dados'!$F1462,"Data do Pedido:
",1),1,10),"-","/")),VALUE(SUBSTITUTE(MID(_xlfn.TEXTAFTER('Banco de Dados'!$F1462,"Order date:
",1),1,10),"-","/"))),0)),ProxyDD[Chave],ProxyDD[Valor por pedido]),PROXY!$P$2),0),0)</f>
        <v>0.39877104377104378</v>
      </c>
      <c r="AP1462" s="28">
        <f ca="1">IF('Banco de Dados'!$AK1462&lt;&gt;"-",IF('Banco de Dados'!$AL1462="NÃO",IFERROR(VALUE(SUBSTITUTE(_xlfn.TEXTAFTER('Banco de Dados'!$F1462,"BRL ",1),".",",")),0),0),0)</f>
        <v>0</v>
      </c>
      <c r="AQ1462" s="28" t="e">
        <f ca="1">SUM('Banco de Dados'!$AM1462:$AP1462)</f>
        <v>#N/A</v>
      </c>
      <c r="AR1462" s="8"/>
      <c r="AY1462" s="8"/>
    </row>
    <row r="1463" spans="1:51">
      <c r="A1463" s="5" t="str">
        <v>MEI</v>
      </c>
      <c r="B1463" s="5" t="str">
        <f ca="1"/>
        <v>MEI45757</v>
      </c>
      <c r="C1463" s="8" t="str">
        <v>Pedido 1450</v>
      </c>
      <c r="D1463" s="187">
        <v>45751</v>
      </c>
      <c r="E1463" s="9">
        <v>45757</v>
      </c>
      <c r="F1463" s="8" t="str">
        <v>PedidoF1390</v>
      </c>
      <c r="G1463" s="2" t="str">
        <v>CódRastreio1388</v>
      </c>
      <c r="H1463" s="5">
        <v>1</v>
      </c>
      <c r="I1463" s="2" t="str">
        <v>CPF 1411</v>
      </c>
      <c r="J1463" s="2" t="str">
        <v>Nome 1411</v>
      </c>
      <c r="K1463" s="8" t="str">
        <v>Tel 1411</v>
      </c>
      <c r="L1463" s="8" t="str">
        <v>Cep 1411</v>
      </c>
      <c r="M1463" s="8" t="str">
        <v>Rua 1411</v>
      </c>
      <c r="N1463" s="8" t="str">
        <v>Comp 1411</v>
      </c>
      <c r="O1463" s="8" t="str">
        <v>Karaoke portátil</v>
      </c>
      <c r="P1463" s="8" t="str">
        <v>1I-EZPV-2Q78</v>
      </c>
      <c r="Q1463" s="4">
        <v>45791</v>
      </c>
      <c r="R1463" s="109">
        <v>52.93</v>
      </c>
      <c r="S1463" s="11">
        <f ca="1"/>
        <v>52.93</v>
      </c>
      <c r="T1463" s="28">
        <f ca="1"/>
        <v>7.9394999999999998</v>
      </c>
      <c r="U1463" s="11">
        <f ca="1"/>
        <v>44.99</v>
      </c>
      <c r="V1463" s="11">
        <v>15.98</v>
      </c>
      <c r="W1463" s="11">
        <f ca="1"/>
        <v>0.2</v>
      </c>
      <c r="X1463" s="11">
        <f ca="1"/>
        <v>0.39877104377104378</v>
      </c>
      <c r="Y1463" s="11">
        <v>0</v>
      </c>
      <c r="Z1463" s="11">
        <f ca="1"/>
        <v>28.411228956228957</v>
      </c>
      <c r="AA1463" s="11">
        <f ca="1"/>
        <v>14.205614478114478</v>
      </c>
      <c r="AB1463" s="4">
        <f ca="1"/>
        <v>45798</v>
      </c>
      <c r="AC1463" s="4">
        <v>45798</v>
      </c>
      <c r="AD1463" s="9">
        <v>45807</v>
      </c>
      <c r="AE1463" s="9">
        <v>45810</v>
      </c>
      <c r="AF1463" s="4" t="str">
        <f t="shared" ca="1" si="95"/>
        <v>2025 05</v>
      </c>
      <c r="AG1463" s="8" t="str" cm="1">
        <f t="array" ref="AG1463">IFERROR(_xlfn.IFS('Banco de Dados'!#REF!="AG. COMPRA","Em processamento",'Banco de Dados'!#REF!="AG. RASTREIO","Em processamento",'Banco de Dados'!$AE1463&lt;&gt;"-","Faturado",'Banco de Dados'!$AD1463&lt;&gt;"-","Aguardando Pix",'Banco de Dados'!$AC1463&lt;&gt;"-","Pendente"),"Aguardando Liberação")</f>
        <v>Aguardando Liberação</v>
      </c>
      <c r="AH1463" s="5" t="str">
        <f>IF('Banco de Dados'!$F1463="-",_xlfn.CONCAT(PROPER(TEXT(AK1463,"aaaa"))," ",PROPER(TEXT(AK1463,"mm"))),_xlfn.CONCAT(PROPER(TEXT(E1463,"aaaa"))," ",PROPER(TEXT(E1463,"mm"))))</f>
        <v>2025 04</v>
      </c>
      <c r="AI1463" s="9" t="str">
        <f ca="1">IF('Banco de Dados'!$AK1463&lt;&gt;"-","REEMBOLSO",IFERROR(_xlfn.XLOOKUP(G1463,Follow[CODRASTREIO],Follow[STATUS]),"-"))</f>
        <v>ENTREGUE</v>
      </c>
      <c r="AJ1463" s="9">
        <f ca="1">IF('Banco de Dados'!$AI1463="ENTREGUE",_xlfn.XLOOKUP('Banco de Dados'!$G1463,Follow[CODRASTREIO],Follow[DATAATUALIZAÇÃO]),"-")</f>
        <v>45779</v>
      </c>
      <c r="AK1463" s="132" t="str">
        <f ca="1"/>
        <v>-</v>
      </c>
      <c r="AL1463" s="35"/>
      <c r="AM1463" s="109" cm="1">
        <f t="array" aca="1" ref="AM1463" ca="1">IF('Banco de Dados'!$AK1463&lt;&gt;"-",_xlfn.IFS('Banco de Dados'!$A1463="bv",IF('Banco de Dados'!$E1463&lt;45641,ROUND(SUM('Banco de Dados'!$R1463*_xlfn.XLOOKUP('Banco de Dados'!$P1463,Sku!B:B,Sku!#REF!)*20%),2),ROUND(SUM('Banco de Dados'!$R1463*_xlfn.XLOOKUP('Banco de Dados'!$P1463,Sku!B:B,Sku!H:H)*20%),2)),'Banco de Dados'!$A1463="GO",ROUND(SUM('Banco de Dados'!$R1463*_xlfn.XLOOKUP('Banco de Dados'!$P1463,Sku!C:C,Sku!H:H)*20%),2),'Banco de Dados'!$A1463="MEI",ROUND(SUM('Banco de Dados'!$R1463*_xlfn.XLOOKUP('Banco de Dados'!$P1463,Sku!D:D,Sku!H:H)*20%),2)),0)</f>
        <v>0</v>
      </c>
      <c r="AN1463" s="109">
        <f ca="1">IF('Banco de Dados'!$AK1463&lt;&gt;"-",IF('Banco de Dados'!$F1463&lt;&gt;"-",_xlfn.XLOOKUP(IFERROR(IFERROR(IFERROR(VALUE(SUBSTITUTE(MID(_xlfn.TEXTAFTER('Banco de Dados'!$F1463,"Data do Pedido:
",1),1,10),"-","/")),VALUE(SUBSTITUTE(MID(_xlfn.TEXTAFTER('Banco de Dados'!$F1463,"Order date:
",1),1,10),"-","/"))),VALUE(SUBSTITUTE(MID(_xlfn.TEXTAFTER('Banco de Dados'!$F1463,"Fecha de pedido:
",1),1,10),"-","/"))),"-"),SMS!A:A,SMS!K:K),0),0)</f>
        <v>0</v>
      </c>
      <c r="AO1463" s="109">
        <f ca="1">IF('Banco de Dados'!$AK1463&lt;&gt;"-",IF('Banco de Dados'!$F1463&lt;&gt;"-",IFERROR(_xlfn.XLOOKUP(_xlfn.CONCAT('Banco de Dados'!$A1463,IFERROR(IFERROR(VALUE(SUBSTITUTE(MID(_xlfn.TEXTAFTER('Banco de Dados'!$F1463,"Data do Pedido:
",1),1,10),"-","/")),VALUE(SUBSTITUTE(MID(_xlfn.TEXTAFTER('Banco de Dados'!$F1463,"Order date:
",1),1,10),"-","/"))),0)),ProxyDD[Chave],ProxyDD[Valor por pedido]),PROXY!$P$2),0),0)</f>
        <v>0</v>
      </c>
      <c r="AP1463" s="28">
        <f ca="1">IF('Banco de Dados'!$AK1463&lt;&gt;"-",IF('Banco de Dados'!$AL1463="NÃO",IFERROR(VALUE(SUBSTITUTE(_xlfn.TEXTAFTER('Banco de Dados'!$F1463,"BRL ",1),".",",")),0),0),0)</f>
        <v>0</v>
      </c>
      <c r="AQ1463" s="28">
        <f ca="1">SUM('Banco de Dados'!$AM1463:$AP1463)</f>
        <v>0</v>
      </c>
      <c r="AR1463" s="8"/>
      <c r="AY1463" s="8"/>
    </row>
    <row r="1464" spans="1:51">
      <c r="A1464" s="5" t="str">
        <v>MEI</v>
      </c>
      <c r="B1464" s="5" t="str">
        <f ca="1"/>
        <v>MEI45757</v>
      </c>
      <c r="C1464" s="8" t="str">
        <v>Pedido 1451</v>
      </c>
      <c r="D1464" s="187">
        <v>45754</v>
      </c>
      <c r="E1464" s="9">
        <v>45757</v>
      </c>
      <c r="F1464" s="8" t="str">
        <v>PedidoF1391</v>
      </c>
      <c r="G1464" s="2" t="str">
        <v>CódRastreio1389</v>
      </c>
      <c r="H1464" s="5">
        <v>1</v>
      </c>
      <c r="I1464" s="2" t="str">
        <v>CPF 1412</v>
      </c>
      <c r="J1464" s="2" t="str">
        <v>Nome 1412</v>
      </c>
      <c r="K1464" s="8" t="str">
        <v>Tel 1412</v>
      </c>
      <c r="L1464" s="8" t="str">
        <v>Cep 1412</v>
      </c>
      <c r="M1464" s="8" t="str">
        <v>Rua 1412</v>
      </c>
      <c r="N1464" s="8" t="str">
        <v>Comp 1412</v>
      </c>
      <c r="O1464" s="8" t="str">
        <v>Brinquedo Bola Giratória voadora</v>
      </c>
      <c r="P1464" s="8" t="str">
        <v>Z0-F6CI-18CL</v>
      </c>
      <c r="Q1464" s="4">
        <v>45784</v>
      </c>
      <c r="R1464" s="109">
        <v>42.87</v>
      </c>
      <c r="S1464" s="11">
        <f ca="1"/>
        <v>42.87</v>
      </c>
      <c r="T1464" s="28">
        <f ca="1"/>
        <v>5.1443999999999992</v>
      </c>
      <c r="U1464" s="11">
        <f ca="1"/>
        <v>37.729999999999997</v>
      </c>
      <c r="V1464" s="11">
        <v>18</v>
      </c>
      <c r="W1464" s="11">
        <f ca="1"/>
        <v>0.2</v>
      </c>
      <c r="X1464" s="11">
        <f ca="1"/>
        <v>0.39877104377104378</v>
      </c>
      <c r="Y1464" s="11">
        <v>0</v>
      </c>
      <c r="Z1464" s="11">
        <f ca="1"/>
        <v>19.131228956228952</v>
      </c>
      <c r="AA1464" s="11">
        <f ca="1"/>
        <v>9.5656144781144761</v>
      </c>
      <c r="AB1464" s="4">
        <f ca="1"/>
        <v>45791</v>
      </c>
      <c r="AC1464" s="4">
        <v>45791</v>
      </c>
      <c r="AD1464" s="9">
        <v>45793</v>
      </c>
      <c r="AE1464" s="9">
        <v>45797</v>
      </c>
      <c r="AF1464" s="4" t="str">
        <f t="shared" ca="1" si="95"/>
        <v>2025 05</v>
      </c>
      <c r="AG1464" s="8" t="str" cm="1">
        <f t="array" ref="AG1464">IFERROR(_xlfn.IFS('Banco de Dados'!#REF!="AG. COMPRA","Em processamento",'Banco de Dados'!#REF!="AG. RASTREIO","Em processamento",'Banco de Dados'!$AE1464&lt;&gt;"-","Faturado",'Banco de Dados'!$AD1464&lt;&gt;"-","Aguardando Pix",'Banco de Dados'!$AC1464&lt;&gt;"-","Pendente"),"Aguardando Liberação")</f>
        <v>Aguardando Liberação</v>
      </c>
      <c r="AH1464" s="5" t="str">
        <f>IF('Banco de Dados'!$F1464="-",_xlfn.CONCAT(PROPER(TEXT(AK1464,"aaaa"))," ",PROPER(TEXT(AK1464,"mm"))),_xlfn.CONCAT(PROPER(TEXT(E1464,"aaaa"))," ",PROPER(TEXT(E1464,"mm"))))</f>
        <v>2025 04</v>
      </c>
      <c r="AI1464" s="9" t="str">
        <f ca="1">IF('Banco de Dados'!$AK1464&lt;&gt;"-","REEMBOLSO",IFERROR(_xlfn.XLOOKUP(G1464,Follow[CODRASTREIO],Follow[STATUS]),"-"))</f>
        <v>ENTREGUE</v>
      </c>
      <c r="AJ1464" s="9">
        <f ca="1">IF('Banco de Dados'!$AI1464="ENTREGUE",_xlfn.XLOOKUP('Banco de Dados'!$G1464,Follow[CODRASTREIO],Follow[DATAATUALIZAÇÃO]),"-")</f>
        <v>45776</v>
      </c>
      <c r="AK1464" s="132" t="str">
        <f ca="1"/>
        <v>-</v>
      </c>
      <c r="AL1464" s="35"/>
      <c r="AM1464" s="109" cm="1">
        <f t="array" aca="1" ref="AM1464" ca="1">IF('Banco de Dados'!$AK1464&lt;&gt;"-",_xlfn.IFS('Banco de Dados'!$A1464="bv",IF('Banco de Dados'!$E1464&lt;45641,ROUND(SUM('Banco de Dados'!$R1464*_xlfn.XLOOKUP('Banco de Dados'!$P1464,Sku!B:B,Sku!#REF!)*20%),2),ROUND(SUM('Banco de Dados'!$R1464*_xlfn.XLOOKUP('Banco de Dados'!$P1464,Sku!B:B,Sku!H:H)*20%),2)),'Banco de Dados'!$A1464="GO",ROUND(SUM('Banco de Dados'!$R1464*_xlfn.XLOOKUP('Banco de Dados'!$P1464,Sku!C:C,Sku!H:H)*20%),2),'Banco de Dados'!$A1464="MEI",ROUND(SUM('Banco de Dados'!$R1464*_xlfn.XLOOKUP('Banco de Dados'!$P1464,Sku!D:D,Sku!H:H)*20%),2)),0)</f>
        <v>0</v>
      </c>
      <c r="AN1464" s="109">
        <f ca="1">IF('Banco de Dados'!$AK1464&lt;&gt;"-",IF('Banco de Dados'!$F1464&lt;&gt;"-",_xlfn.XLOOKUP(IFERROR(IFERROR(IFERROR(VALUE(SUBSTITUTE(MID(_xlfn.TEXTAFTER('Banco de Dados'!$F1464,"Data do Pedido:
",1),1,10),"-","/")),VALUE(SUBSTITUTE(MID(_xlfn.TEXTAFTER('Banco de Dados'!$F1464,"Order date:
",1),1,10),"-","/"))),VALUE(SUBSTITUTE(MID(_xlfn.TEXTAFTER('Banco de Dados'!$F1464,"Fecha de pedido:
",1),1,10),"-","/"))),"-"),SMS!A:A,SMS!K:K),0),0)</f>
        <v>0</v>
      </c>
      <c r="AO1464" s="109">
        <f ca="1">IF('Banco de Dados'!$AK1464&lt;&gt;"-",IF('Banco de Dados'!$F1464&lt;&gt;"-",IFERROR(_xlfn.XLOOKUP(_xlfn.CONCAT('Banco de Dados'!$A1464,IFERROR(IFERROR(VALUE(SUBSTITUTE(MID(_xlfn.TEXTAFTER('Banco de Dados'!$F1464,"Data do Pedido:
",1),1,10),"-","/")),VALUE(SUBSTITUTE(MID(_xlfn.TEXTAFTER('Banco de Dados'!$F1464,"Order date:
",1),1,10),"-","/"))),0)),ProxyDD[Chave],ProxyDD[Valor por pedido]),PROXY!$P$2),0),0)</f>
        <v>0</v>
      </c>
      <c r="AP1464" s="28">
        <f ca="1">IF('Banco de Dados'!$AK1464&lt;&gt;"-",IF('Banco de Dados'!$AL1464="NÃO",IFERROR(VALUE(SUBSTITUTE(_xlfn.TEXTAFTER('Banco de Dados'!$F1464,"BRL ",1),".",",")),0),0),0)</f>
        <v>0</v>
      </c>
      <c r="AQ1464" s="28">
        <f ca="1">SUM('Banco de Dados'!$AM1464:$AP1464)</f>
        <v>0</v>
      </c>
      <c r="AR1464" s="8"/>
      <c r="AY1464" s="8"/>
    </row>
    <row r="1465" spans="1:51">
      <c r="A1465" s="5" t="str">
        <v>MEI</v>
      </c>
      <c r="B1465" s="5" t="str">
        <f ca="1"/>
        <v>MEI45758</v>
      </c>
      <c r="C1465" s="8" t="str">
        <v>Pedido 1452</v>
      </c>
      <c r="D1465" s="187">
        <v>45754</v>
      </c>
      <c r="E1465" s="9">
        <v>45758</v>
      </c>
      <c r="F1465" s="8" t="str">
        <v>PedidoF1392</v>
      </c>
      <c r="G1465" s="2" t="str">
        <v>CódRastreio1390</v>
      </c>
      <c r="H1465" s="5">
        <v>1</v>
      </c>
      <c r="I1465" s="2" t="str">
        <v>CPF 1413</v>
      </c>
      <c r="J1465" s="2" t="str">
        <v>Nome 1413</v>
      </c>
      <c r="K1465" s="8" t="str">
        <v>Tel 1413</v>
      </c>
      <c r="L1465" s="8" t="str">
        <v>Cep 1413</v>
      </c>
      <c r="M1465" s="8" t="str">
        <v>Rua 1413</v>
      </c>
      <c r="N1465" s="8" t="str">
        <v>Comp 1413</v>
      </c>
      <c r="O1465" s="8" t="str">
        <v>Lampada Led</v>
      </c>
      <c r="P1465" s="8" t="str">
        <v>T1-SWVB-UPOW</v>
      </c>
      <c r="Q1465" s="4">
        <v>45784</v>
      </c>
      <c r="R1465" s="109">
        <v>29.99</v>
      </c>
      <c r="S1465" s="11">
        <f ca="1"/>
        <v>29.99</v>
      </c>
      <c r="T1465" s="28">
        <f ca="1"/>
        <v>3.5987999999999998</v>
      </c>
      <c r="U1465" s="11">
        <f ca="1"/>
        <v>26.39</v>
      </c>
      <c r="V1465" s="11">
        <v>11.87</v>
      </c>
      <c r="W1465" s="11">
        <f ca="1"/>
        <v>0.28999999999999998</v>
      </c>
      <c r="X1465" s="11">
        <f ca="1"/>
        <v>0.39877104377104378</v>
      </c>
      <c r="Y1465" s="11">
        <v>0</v>
      </c>
      <c r="Z1465" s="11">
        <f ca="1"/>
        <v>13.831228956228959</v>
      </c>
      <c r="AA1465" s="11">
        <f ca="1"/>
        <v>6.9156144781144793</v>
      </c>
      <c r="AB1465" s="4">
        <f ca="1"/>
        <v>45791</v>
      </c>
      <c r="AC1465" s="4">
        <v>45791</v>
      </c>
      <c r="AD1465" s="9">
        <v>45793</v>
      </c>
      <c r="AE1465" s="9">
        <v>45797</v>
      </c>
      <c r="AF1465" s="4" t="str">
        <f t="shared" ca="1" si="95"/>
        <v>2025 05</v>
      </c>
      <c r="AG1465" s="8" t="str" cm="1">
        <f t="array" ref="AG1465">IFERROR(_xlfn.IFS('Banco de Dados'!#REF!="AG. COMPRA","Em processamento",'Banco de Dados'!#REF!="AG. RASTREIO","Em processamento",'Banco de Dados'!$AE1465&lt;&gt;"-","Faturado",'Banco de Dados'!$AD1465&lt;&gt;"-","Aguardando Pix",'Banco de Dados'!$AC1465&lt;&gt;"-","Pendente"),"Aguardando Liberação")</f>
        <v>Aguardando Liberação</v>
      </c>
      <c r="AH1465" s="5" t="str">
        <f>IF('Banco de Dados'!$F1465="-",_xlfn.CONCAT(PROPER(TEXT(AK1465,"aaaa"))," ",PROPER(TEXT(AK1465,"mm"))),_xlfn.CONCAT(PROPER(TEXT(E1465,"aaaa"))," ",PROPER(TEXT(E1465,"mm"))))</f>
        <v>2025 04</v>
      </c>
      <c r="AI1465" s="9" t="str">
        <f ca="1">IF('Banco de Dados'!$AK1465&lt;&gt;"-","REEMBOLSO",IFERROR(_xlfn.XLOOKUP(G1465,Follow[CODRASTREIO],Follow[STATUS]),"-"))</f>
        <v>ENTREGUE</v>
      </c>
      <c r="AJ1465" s="9">
        <f ca="1">IF('Banco de Dados'!$AI1465="ENTREGUE",_xlfn.XLOOKUP('Banco de Dados'!$G1465,Follow[CODRASTREIO],Follow[DATAATUALIZAÇÃO]),"-")</f>
        <v>45776</v>
      </c>
      <c r="AK1465" s="132" t="str">
        <f ca="1"/>
        <v>-</v>
      </c>
      <c r="AL1465" s="35"/>
      <c r="AM1465" s="109" cm="1">
        <f t="array" aca="1" ref="AM1465" ca="1">IF('Banco de Dados'!$AK1465&lt;&gt;"-",_xlfn.IFS('Banco de Dados'!$A1465="bv",IF('Banco de Dados'!$E1465&lt;45641,ROUND(SUM('Banco de Dados'!$R1465*_xlfn.XLOOKUP('Banco de Dados'!$P1465,Sku!B:B,Sku!#REF!)*20%),2),ROUND(SUM('Banco de Dados'!$R1465*_xlfn.XLOOKUP('Banco de Dados'!$P1465,Sku!B:B,Sku!H:H)*20%),2)),'Banco de Dados'!$A1465="GO",ROUND(SUM('Banco de Dados'!$R1465*_xlfn.XLOOKUP('Banco de Dados'!$P1465,Sku!C:C,Sku!H:H)*20%),2),'Banco de Dados'!$A1465="MEI",ROUND(SUM('Banco de Dados'!$R1465*_xlfn.XLOOKUP('Banco de Dados'!$P1465,Sku!D:D,Sku!H:H)*20%),2)),0)</f>
        <v>0</v>
      </c>
      <c r="AN1465" s="109">
        <f ca="1">IF('Banco de Dados'!$AK1465&lt;&gt;"-",IF('Banco de Dados'!$F1465&lt;&gt;"-",_xlfn.XLOOKUP(IFERROR(IFERROR(IFERROR(VALUE(SUBSTITUTE(MID(_xlfn.TEXTAFTER('Banco de Dados'!$F1465,"Data do Pedido:
",1),1,10),"-","/")),VALUE(SUBSTITUTE(MID(_xlfn.TEXTAFTER('Banco de Dados'!$F1465,"Order date:
",1),1,10),"-","/"))),VALUE(SUBSTITUTE(MID(_xlfn.TEXTAFTER('Banco de Dados'!$F1465,"Fecha de pedido:
",1),1,10),"-","/"))),"-"),SMS!A:A,SMS!K:K),0),0)</f>
        <v>0</v>
      </c>
      <c r="AO1465" s="109">
        <f ca="1">IF('Banco de Dados'!$AK1465&lt;&gt;"-",IF('Banco de Dados'!$F1465&lt;&gt;"-",IFERROR(_xlfn.XLOOKUP(_xlfn.CONCAT('Banco de Dados'!$A1465,IFERROR(IFERROR(VALUE(SUBSTITUTE(MID(_xlfn.TEXTAFTER('Banco de Dados'!$F1465,"Data do Pedido:
",1),1,10),"-","/")),VALUE(SUBSTITUTE(MID(_xlfn.TEXTAFTER('Banco de Dados'!$F1465,"Order date:
",1),1,10),"-","/"))),0)),ProxyDD[Chave],ProxyDD[Valor por pedido]),PROXY!$P$2),0),0)</f>
        <v>0</v>
      </c>
      <c r="AP1465" s="28">
        <f ca="1">IF('Banco de Dados'!$AK1465&lt;&gt;"-",IF('Banco de Dados'!$AL1465="NÃO",IFERROR(VALUE(SUBSTITUTE(_xlfn.TEXTAFTER('Banco de Dados'!$F1465,"BRL ",1),".",",")),0),0),0)</f>
        <v>0</v>
      </c>
      <c r="AQ1465" s="28">
        <f ca="1">SUM('Banco de Dados'!$AM1465:$AP1465)</f>
        <v>0</v>
      </c>
      <c r="AR1465" s="8"/>
      <c r="AY1465" s="8"/>
    </row>
    <row r="1466" spans="1:51">
      <c r="A1466" s="5" t="str">
        <v>MEI</v>
      </c>
      <c r="B1466" s="5" t="str">
        <f ca="1"/>
        <v>MEI45758</v>
      </c>
      <c r="C1466" s="8" t="str">
        <v>Pedido 1453</v>
      </c>
      <c r="D1466" s="187">
        <v>45754</v>
      </c>
      <c r="E1466" s="9">
        <v>45758</v>
      </c>
      <c r="F1466" s="8" t="str">
        <v>PedidoF1393</v>
      </c>
      <c r="G1466" s="2" t="str">
        <v>CódRastreio1391</v>
      </c>
      <c r="H1466" s="5">
        <v>1</v>
      </c>
      <c r="I1466" s="2" t="str">
        <v>CPF 1414</v>
      </c>
      <c r="J1466" s="2" t="str">
        <v>Nome 1414</v>
      </c>
      <c r="K1466" s="8" t="str">
        <v>Tel 1414</v>
      </c>
      <c r="L1466" s="8" t="str">
        <v>Cep 1414</v>
      </c>
      <c r="M1466" s="8" t="str">
        <v>Rua 1414</v>
      </c>
      <c r="N1466" s="8" t="str">
        <v>Comp 1414</v>
      </c>
      <c r="O1466" s="8" t="str">
        <v>Ventilador Azul</v>
      </c>
      <c r="P1466" s="8" t="str">
        <v>PK-L2Z7-MQRQ</v>
      </c>
      <c r="Q1466" s="4">
        <v>45784</v>
      </c>
      <c r="R1466" s="109">
        <v>49.9</v>
      </c>
      <c r="S1466" s="11">
        <f ca="1"/>
        <v>49.9</v>
      </c>
      <c r="T1466" s="28">
        <f ca="1"/>
        <v>5.9879999999999995</v>
      </c>
      <c r="U1466" s="11">
        <f ca="1"/>
        <v>43.91</v>
      </c>
      <c r="V1466" s="11">
        <v>22.36</v>
      </c>
      <c r="W1466" s="11">
        <f ca="1"/>
        <v>0.28999999999999998</v>
      </c>
      <c r="X1466" s="11">
        <f ca="1"/>
        <v>0.39877104377104378</v>
      </c>
      <c r="Y1466" s="11">
        <v>0</v>
      </c>
      <c r="Z1466" s="11">
        <f ca="1"/>
        <v>20.861228956228953</v>
      </c>
      <c r="AA1466" s="11">
        <f ca="1"/>
        <v>10.430614478114476</v>
      </c>
      <c r="AB1466" s="4">
        <f ca="1"/>
        <v>45791</v>
      </c>
      <c r="AC1466" s="4">
        <v>45791</v>
      </c>
      <c r="AD1466" s="9">
        <v>45793</v>
      </c>
      <c r="AE1466" s="9">
        <v>45797</v>
      </c>
      <c r="AF1466" s="4" t="str">
        <f t="shared" ca="1" si="95"/>
        <v>2025 05</v>
      </c>
      <c r="AG1466" s="8" t="str" cm="1">
        <f t="array" ref="AG1466">IFERROR(_xlfn.IFS('Banco de Dados'!#REF!="AG. COMPRA","Em processamento",'Banco de Dados'!#REF!="AG. RASTREIO","Em processamento",'Banco de Dados'!$AE1466&lt;&gt;"-","Faturado",'Banco de Dados'!$AD1466&lt;&gt;"-","Aguardando Pix",'Banco de Dados'!$AC1466&lt;&gt;"-","Pendente"),"Aguardando Liberação")</f>
        <v>Aguardando Liberação</v>
      </c>
      <c r="AH1466" s="5" t="str">
        <f>IF('Banco de Dados'!$F1466="-",_xlfn.CONCAT(PROPER(TEXT(AK1466,"aaaa"))," ",PROPER(TEXT(AK1466,"mm"))),_xlfn.CONCAT(PROPER(TEXT(E1466,"aaaa"))," ",PROPER(TEXT(E1466,"mm"))))</f>
        <v>2025 04</v>
      </c>
      <c r="AI1466" s="9" t="str">
        <f ca="1">IF('Banco de Dados'!$AK1466&lt;&gt;"-","REEMBOLSO",IFERROR(_xlfn.XLOOKUP(G1466,Follow[CODRASTREIO],Follow[STATUS]),"-"))</f>
        <v>ENTREGUE</v>
      </c>
      <c r="AJ1466" s="9">
        <f ca="1">IF('Banco de Dados'!$AI1466="ENTREGUE",_xlfn.XLOOKUP('Banco de Dados'!$G1466,Follow[CODRASTREIO],Follow[DATAATUALIZAÇÃO]),"-")</f>
        <v>45771</v>
      </c>
      <c r="AK1466" s="132" t="str">
        <f ca="1"/>
        <v>-</v>
      </c>
      <c r="AL1466" s="35"/>
      <c r="AM1466" s="109" cm="1">
        <f t="array" aca="1" ref="AM1466" ca="1">IF('Banco de Dados'!$AK1466&lt;&gt;"-",_xlfn.IFS('Banco de Dados'!$A1466="bv",IF('Banco de Dados'!$E1466&lt;45641,ROUND(SUM('Banco de Dados'!$R1466*_xlfn.XLOOKUP('Banco de Dados'!$P1466,Sku!B:B,Sku!#REF!)*20%),2),ROUND(SUM('Banco de Dados'!$R1466*_xlfn.XLOOKUP('Banco de Dados'!$P1466,Sku!B:B,Sku!H:H)*20%),2)),'Banco de Dados'!$A1466="GO",ROUND(SUM('Banco de Dados'!$R1466*_xlfn.XLOOKUP('Banco de Dados'!$P1466,Sku!C:C,Sku!H:H)*20%),2),'Banco de Dados'!$A1466="MEI",ROUND(SUM('Banco de Dados'!$R1466*_xlfn.XLOOKUP('Banco de Dados'!$P1466,Sku!D:D,Sku!H:H)*20%),2)),0)</f>
        <v>0</v>
      </c>
      <c r="AN1466" s="109">
        <f ca="1">IF('Banco de Dados'!$AK1466&lt;&gt;"-",IF('Banco de Dados'!$F1466&lt;&gt;"-",_xlfn.XLOOKUP(IFERROR(IFERROR(IFERROR(VALUE(SUBSTITUTE(MID(_xlfn.TEXTAFTER('Banco de Dados'!$F1466,"Data do Pedido:
",1),1,10),"-","/")),VALUE(SUBSTITUTE(MID(_xlfn.TEXTAFTER('Banco de Dados'!$F1466,"Order date:
",1),1,10),"-","/"))),VALUE(SUBSTITUTE(MID(_xlfn.TEXTAFTER('Banco de Dados'!$F1466,"Fecha de pedido:
",1),1,10),"-","/"))),"-"),SMS!A:A,SMS!K:K),0),0)</f>
        <v>0</v>
      </c>
      <c r="AO1466" s="109">
        <f ca="1">IF('Banco de Dados'!$AK1466&lt;&gt;"-",IF('Banco de Dados'!$F1466&lt;&gt;"-",IFERROR(_xlfn.XLOOKUP(_xlfn.CONCAT('Banco de Dados'!$A1466,IFERROR(IFERROR(VALUE(SUBSTITUTE(MID(_xlfn.TEXTAFTER('Banco de Dados'!$F1466,"Data do Pedido:
",1),1,10),"-","/")),VALUE(SUBSTITUTE(MID(_xlfn.TEXTAFTER('Banco de Dados'!$F1466,"Order date:
",1),1,10),"-","/"))),0)),ProxyDD[Chave],ProxyDD[Valor por pedido]),PROXY!$P$2),0),0)</f>
        <v>0</v>
      </c>
      <c r="AP1466" s="28">
        <f ca="1">IF('Banco de Dados'!$AK1466&lt;&gt;"-",IF('Banco de Dados'!$AL1466="NÃO",IFERROR(VALUE(SUBSTITUTE(_xlfn.TEXTAFTER('Banco de Dados'!$F1466,"BRL ",1),".",",")),0),0),0)</f>
        <v>0</v>
      </c>
      <c r="AQ1466" s="28">
        <f ca="1">SUM('Banco de Dados'!$AM1466:$AP1466)</f>
        <v>0</v>
      </c>
      <c r="AR1466" s="8"/>
      <c r="AY1466" s="8"/>
    </row>
    <row r="1467" spans="1:51">
      <c r="A1467" s="5" t="str">
        <v>MEI</v>
      </c>
      <c r="B1467" s="5" t="str">
        <f ca="1"/>
        <v>MEI45758</v>
      </c>
      <c r="C1467" s="8" t="str">
        <v>Pedido 1454</v>
      </c>
      <c r="D1467" s="187">
        <v>45754</v>
      </c>
      <c r="E1467" s="9">
        <v>45758</v>
      </c>
      <c r="F1467" s="8" t="str">
        <v>PedidoF1394</v>
      </c>
      <c r="G1467" s="2" t="str">
        <v>CódRastreio1392</v>
      </c>
      <c r="H1467" s="5">
        <v>1</v>
      </c>
      <c r="I1467" s="2" t="str">
        <v>CPF 1415</v>
      </c>
      <c r="J1467" s="2" t="str">
        <v>Nome 1415</v>
      </c>
      <c r="K1467" s="8" t="str">
        <v>Tel 1415</v>
      </c>
      <c r="L1467" s="8" t="str">
        <v>Cep 1415</v>
      </c>
      <c r="M1467" s="8" t="str">
        <v>Rua 1415</v>
      </c>
      <c r="N1467" s="8" t="str">
        <v>Comp 1415</v>
      </c>
      <c r="O1467" s="8" t="str">
        <v>Maçarico Culinário Portátil</v>
      </c>
      <c r="P1467" s="8" t="str">
        <v>BG-DHRO-FAEE</v>
      </c>
      <c r="Q1467" s="4">
        <v>45784</v>
      </c>
      <c r="R1467" s="109">
        <v>26.99</v>
      </c>
      <c r="S1467" s="11">
        <f ca="1"/>
        <v>26.99</v>
      </c>
      <c r="T1467" s="28">
        <f ca="1"/>
        <v>2.9688999999999997</v>
      </c>
      <c r="U1467" s="11">
        <f ca="1"/>
        <v>24.02</v>
      </c>
      <c r="V1467" s="11">
        <v>10.19</v>
      </c>
      <c r="W1467" s="11">
        <f ca="1"/>
        <v>0.28999999999999998</v>
      </c>
      <c r="X1467" s="11">
        <f ca="1"/>
        <v>0.39877104377104378</v>
      </c>
      <c r="Y1467" s="11">
        <v>0</v>
      </c>
      <c r="Z1467" s="11">
        <f ca="1"/>
        <v>13.141228956228957</v>
      </c>
      <c r="AA1467" s="11">
        <f ca="1"/>
        <v>6.5706144781144786</v>
      </c>
      <c r="AB1467" s="4">
        <f ca="1"/>
        <v>45791</v>
      </c>
      <c r="AC1467" s="4">
        <v>45791</v>
      </c>
      <c r="AD1467" s="9">
        <v>45793</v>
      </c>
      <c r="AE1467" s="9">
        <v>45797</v>
      </c>
      <c r="AF1467" s="4" t="str">
        <f t="shared" ca="1" si="95"/>
        <v>2025 05</v>
      </c>
      <c r="AG1467" s="8" t="str" cm="1">
        <f t="array" ref="AG1467">IFERROR(_xlfn.IFS('Banco de Dados'!#REF!="AG. COMPRA","Em processamento",'Banco de Dados'!#REF!="AG. RASTREIO","Em processamento",'Banco de Dados'!$AE1467&lt;&gt;"-","Faturado",'Banco de Dados'!$AD1467&lt;&gt;"-","Aguardando Pix",'Banco de Dados'!$AC1467&lt;&gt;"-","Pendente"),"Aguardando Liberação")</f>
        <v>Aguardando Liberação</v>
      </c>
      <c r="AH1467" s="5" t="str">
        <f>IF('Banco de Dados'!$F1467="-",_xlfn.CONCAT(PROPER(TEXT(AK1467,"aaaa"))," ",PROPER(TEXT(AK1467,"mm"))),_xlfn.CONCAT(PROPER(TEXT(E1467,"aaaa"))," ",PROPER(TEXT(E1467,"mm"))))</f>
        <v>2025 04</v>
      </c>
      <c r="AI1467" s="9" t="str">
        <f ca="1">IF('Banco de Dados'!$AK1467&lt;&gt;"-","REEMBOLSO",IFERROR(_xlfn.XLOOKUP(G1467,Follow[CODRASTREIO],Follow[STATUS]),"-"))</f>
        <v>ENTREGUE</v>
      </c>
      <c r="AJ1467" s="9">
        <f ca="1">IF('Banco de Dados'!$AI1467="ENTREGUE",_xlfn.XLOOKUP('Banco de Dados'!$G1467,Follow[CODRASTREIO],Follow[DATAATUALIZAÇÃO]),"-")</f>
        <v>45782</v>
      </c>
      <c r="AK1467" s="132" t="str">
        <f ca="1"/>
        <v>-</v>
      </c>
      <c r="AL1467" s="35"/>
      <c r="AM1467" s="109" cm="1">
        <f t="array" aca="1" ref="AM1467" ca="1">IF('Banco de Dados'!$AK1467&lt;&gt;"-",_xlfn.IFS('Banco de Dados'!$A1467="bv",IF('Banco de Dados'!$E1467&lt;45641,ROUND(SUM('Banco de Dados'!$R1467*_xlfn.XLOOKUP('Banco de Dados'!$P1467,Sku!B:B,Sku!#REF!)*20%),2),ROUND(SUM('Banco de Dados'!$R1467*_xlfn.XLOOKUP('Banco de Dados'!$P1467,Sku!B:B,Sku!H:H)*20%),2)),'Banco de Dados'!$A1467="GO",ROUND(SUM('Banco de Dados'!$R1467*_xlfn.XLOOKUP('Banco de Dados'!$P1467,Sku!C:C,Sku!H:H)*20%),2),'Banco de Dados'!$A1467="MEI",ROUND(SUM('Banco de Dados'!$R1467*_xlfn.XLOOKUP('Banco de Dados'!$P1467,Sku!D:D,Sku!H:H)*20%),2)),0)</f>
        <v>0</v>
      </c>
      <c r="AN1467" s="109">
        <f ca="1">IF('Banco de Dados'!$AK1467&lt;&gt;"-",IF('Banco de Dados'!$F1467&lt;&gt;"-",_xlfn.XLOOKUP(IFERROR(IFERROR(IFERROR(VALUE(SUBSTITUTE(MID(_xlfn.TEXTAFTER('Banco de Dados'!$F1467,"Data do Pedido:
",1),1,10),"-","/")),VALUE(SUBSTITUTE(MID(_xlfn.TEXTAFTER('Banco de Dados'!$F1467,"Order date:
",1),1,10),"-","/"))),VALUE(SUBSTITUTE(MID(_xlfn.TEXTAFTER('Banco de Dados'!$F1467,"Fecha de pedido:
",1),1,10),"-","/"))),"-"),SMS!A:A,SMS!K:K),0),0)</f>
        <v>0</v>
      </c>
      <c r="AO1467" s="109">
        <f ca="1">IF('Banco de Dados'!$AK1467&lt;&gt;"-",IF('Banco de Dados'!$F1467&lt;&gt;"-",IFERROR(_xlfn.XLOOKUP(_xlfn.CONCAT('Banco de Dados'!$A1467,IFERROR(IFERROR(VALUE(SUBSTITUTE(MID(_xlfn.TEXTAFTER('Banco de Dados'!$F1467,"Data do Pedido:
",1),1,10),"-","/")),VALUE(SUBSTITUTE(MID(_xlfn.TEXTAFTER('Banco de Dados'!$F1467,"Order date:
",1),1,10),"-","/"))),0)),ProxyDD[Chave],ProxyDD[Valor por pedido]),PROXY!$P$2),0),0)</f>
        <v>0</v>
      </c>
      <c r="AP1467" s="28">
        <f ca="1">IF('Banco de Dados'!$AK1467&lt;&gt;"-",IF('Banco de Dados'!$AL1467="NÃO",IFERROR(VALUE(SUBSTITUTE(_xlfn.TEXTAFTER('Banco de Dados'!$F1467,"BRL ",1),".",",")),0),0),0)</f>
        <v>0</v>
      </c>
      <c r="AQ1467" s="28">
        <f ca="1">SUM('Banco de Dados'!$AM1467:$AP1467)</f>
        <v>0</v>
      </c>
      <c r="AR1467" s="8"/>
      <c r="AY1467" s="8"/>
    </row>
    <row r="1468" spans="1:51">
      <c r="A1468" s="5" t="str">
        <v>MEI</v>
      </c>
      <c r="B1468" s="5" t="str">
        <f ca="1"/>
        <v>MEI-</v>
      </c>
      <c r="C1468" s="8" t="str">
        <v>Pedido 1455</v>
      </c>
      <c r="D1468" s="187">
        <v>45754</v>
      </c>
      <c r="E1468" s="9" t="str">
        <v>-</v>
      </c>
      <c r="F1468" s="8" t="str">
        <v>-</v>
      </c>
      <c r="G1468" s="2" t="str">
        <v>-</v>
      </c>
      <c r="H1468" s="5">
        <v>1</v>
      </c>
      <c r="I1468" s="2" t="str">
        <v>CPF 1416</v>
      </c>
      <c r="J1468" s="2" t="str">
        <v>Nome 1416</v>
      </c>
      <c r="K1468" s="8" t="str">
        <v>Tel 1416</v>
      </c>
      <c r="L1468" s="8" t="str">
        <v>Cep 1416</v>
      </c>
      <c r="M1468" s="8" t="str">
        <v>Rua 1416</v>
      </c>
      <c r="N1468" s="8" t="str">
        <v>Comp 1416</v>
      </c>
      <c r="O1468" s="8" t="str">
        <v>Ventilador Azul</v>
      </c>
      <c r="P1468" s="8" t="str">
        <v>PK-L2Z7-MQRQ</v>
      </c>
      <c r="Q1468" s="4">
        <v>45784</v>
      </c>
      <c r="R1468" s="109">
        <v>49.9</v>
      </c>
      <c r="S1468" s="11">
        <f ca="1"/>
        <v>0</v>
      </c>
      <c r="T1468" s="28">
        <f ca="1"/>
        <v>0</v>
      </c>
      <c r="U1468" s="11">
        <f ca="1"/>
        <v>0</v>
      </c>
      <c r="V1468" s="11">
        <v>0</v>
      </c>
      <c r="W1468" s="11">
        <f ca="1"/>
        <v>0</v>
      </c>
      <c r="X1468" s="11">
        <f ca="1"/>
        <v>0</v>
      </c>
      <c r="Y1468" s="11">
        <v>0</v>
      </c>
      <c r="Z1468" s="11">
        <f ca="1"/>
        <v>0</v>
      </c>
      <c r="AA1468" s="11">
        <f ca="1"/>
        <v>0</v>
      </c>
      <c r="AB1468" s="4">
        <f ca="1"/>
        <v>45791</v>
      </c>
      <c r="AC1468" s="4">
        <v>45791</v>
      </c>
      <c r="AD1468" s="9">
        <v>45793</v>
      </c>
      <c r="AE1468" s="9">
        <v>45797</v>
      </c>
      <c r="AF1468" s="4" t="str">
        <f t="shared" ca="1" si="95"/>
        <v>2025 05</v>
      </c>
      <c r="AG1468" s="8" t="str" cm="1">
        <f t="array" ref="AG1468">IFERROR(_xlfn.IFS('Banco de Dados'!#REF!="AG. COMPRA","Em processamento",'Banco de Dados'!#REF!="AG. RASTREIO","Em processamento",'Banco de Dados'!$AE1468&lt;&gt;"-","Faturado",'Banco de Dados'!$AD1468&lt;&gt;"-","Aguardando Pix",'Banco de Dados'!$AC1468&lt;&gt;"-","Pendente"),"Aguardando Liberação")</f>
        <v>Aguardando Liberação</v>
      </c>
      <c r="AH1468" s="5" t="str">
        <f ca="1">IF('Banco de Dados'!$F1468="-",_xlfn.CONCAT(PROPER(TEXT(AK1468,"aaaa"))," ",PROPER(TEXT(AK1468,"mm"))),_xlfn.CONCAT(PROPER(TEXT(E1468,"aaaa"))," ",PROPER(TEXT(E1468,"mm"))))</f>
        <v>2025 04</v>
      </c>
      <c r="AI1468" s="9" t="str">
        <f ca="1">IF('Banco de Dados'!$AK1468&lt;&gt;"-","REEMBOLSO",IFERROR(_xlfn.XLOOKUP(G1468,Follow[CODRASTREIO],Follow[STATUS]),"-"))</f>
        <v>REEMBOLSO</v>
      </c>
      <c r="AJ1468" s="9" t="str">
        <f ca="1">IF('Banco de Dados'!$AI1468="ENTREGUE",_xlfn.XLOOKUP('Banco de Dados'!$G1468,Follow[CODRASTREIO],Follow[DATAATUALIZAÇÃO]),"-")</f>
        <v>-</v>
      </c>
      <c r="AK1468" s="132">
        <f ca="1"/>
        <v>45759</v>
      </c>
      <c r="AL1468" s="35"/>
      <c r="AM1468" s="109" cm="1">
        <f t="array" aca="1" ref="AM1468" ca="1">IF('Banco de Dados'!$AK1468&lt;&gt;"-",_xlfn.IFS('Banco de Dados'!$A1468="bv",IF('Banco de Dados'!$E1468&lt;45641,ROUND(SUM('Banco de Dados'!$R1468*_xlfn.XLOOKUP('Banco de Dados'!$P1468,Sku!B:B,Sku!#REF!)*20%),2),ROUND(SUM('Banco de Dados'!$R1468*_xlfn.XLOOKUP('Banco de Dados'!$P1468,Sku!B:B,Sku!H:H)*20%),2)),'Banco de Dados'!$A1468="GO",ROUND(SUM('Banco de Dados'!$R1468*_xlfn.XLOOKUP('Banco de Dados'!$P1468,Sku!C:C,Sku!H:H)*20%),2),'Banco de Dados'!$A1468="MEI",ROUND(SUM('Banco de Dados'!$R1468*_xlfn.XLOOKUP('Banco de Dados'!$P1468,Sku!D:D,Sku!H:H)*20%),2)),0)</f>
        <v>1.3</v>
      </c>
      <c r="AN1468" s="109">
        <f ca="1">IF('Banco de Dados'!$AK1468&lt;&gt;"-",IF('Banco de Dados'!$F1468&lt;&gt;"-",_xlfn.XLOOKUP(IFERROR(IFERROR(IFERROR(VALUE(SUBSTITUTE(MID(_xlfn.TEXTAFTER('Banco de Dados'!$F1468,"Data do Pedido:
",1),1,10),"-","/")),VALUE(SUBSTITUTE(MID(_xlfn.TEXTAFTER('Banco de Dados'!$F1468,"Order date:
",1),1,10),"-","/"))),VALUE(SUBSTITUTE(MID(_xlfn.TEXTAFTER('Banco de Dados'!$F1468,"Fecha de pedido:
",1),1,10),"-","/"))),"-"),SMS!A:A,SMS!K:K),0),0)</f>
        <v>0</v>
      </c>
      <c r="AO1468" s="109">
        <f ca="1">IF('Banco de Dados'!$AK1468&lt;&gt;"-",IF('Banco de Dados'!$F1468&lt;&gt;"-",IFERROR(_xlfn.XLOOKUP(_xlfn.CONCAT('Banco de Dados'!$A1468,IFERROR(IFERROR(VALUE(SUBSTITUTE(MID(_xlfn.TEXTAFTER('Banco de Dados'!$F1468,"Data do Pedido:
",1),1,10),"-","/")),VALUE(SUBSTITUTE(MID(_xlfn.TEXTAFTER('Banco de Dados'!$F1468,"Order date:
",1),1,10),"-","/"))),0)),ProxyDD[Chave],ProxyDD[Valor por pedido]),PROXY!$P$2),0),0)</f>
        <v>0</v>
      </c>
      <c r="AP1468" s="28">
        <f ca="1">IF('Banco de Dados'!$AK1468&lt;&gt;"-",IF('Banco de Dados'!$AL1468="NÃO",IFERROR(VALUE(SUBSTITUTE(_xlfn.TEXTAFTER('Banco de Dados'!$F1468,"BRL ",1),".",",")),0),0),0)</f>
        <v>0</v>
      </c>
      <c r="AQ1468" s="28">
        <f ca="1">SUM('Banco de Dados'!$AM1468:$AP1468)</f>
        <v>1.3</v>
      </c>
      <c r="AR1468" s="8"/>
      <c r="AY1468" s="8"/>
    </row>
    <row r="1469" spans="1:51">
      <c r="A1469" s="5" t="str">
        <v>MEI</v>
      </c>
      <c r="B1469" s="5" t="str">
        <f ca="1"/>
        <v>MEI45758</v>
      </c>
      <c r="C1469" s="8" t="str">
        <v>Pedido 1456</v>
      </c>
      <c r="D1469" s="187">
        <v>45754</v>
      </c>
      <c r="E1469" s="9">
        <v>45758</v>
      </c>
      <c r="F1469" s="8" t="str">
        <v>PedidoF1395</v>
      </c>
      <c r="G1469" s="2" t="str">
        <v>CódRastreio1393</v>
      </c>
      <c r="H1469" s="5">
        <v>1</v>
      </c>
      <c r="I1469" s="2" t="str">
        <v>CPF 1417</v>
      </c>
      <c r="J1469" s="2" t="str">
        <v>Nome 1417</v>
      </c>
      <c r="K1469" s="8" t="str">
        <v>Tel 1417</v>
      </c>
      <c r="L1469" s="8" t="str">
        <v>Cep 1417</v>
      </c>
      <c r="M1469" s="8" t="str">
        <v>Rua 1417</v>
      </c>
      <c r="N1469" s="8" t="str">
        <v>Comp 1417</v>
      </c>
      <c r="O1469" s="8" t="str">
        <v>Maçarico Culinário Portátil</v>
      </c>
      <c r="P1469" s="8" t="str">
        <v>BG-DHRO-FAEE</v>
      </c>
      <c r="Q1469" s="4">
        <v>45784</v>
      </c>
      <c r="R1469" s="109">
        <v>26.99</v>
      </c>
      <c r="S1469" s="11">
        <f ca="1"/>
        <v>26.99</v>
      </c>
      <c r="T1469" s="28">
        <f ca="1"/>
        <v>2.9688999999999997</v>
      </c>
      <c r="U1469" s="11">
        <f ca="1"/>
        <v>24.02</v>
      </c>
      <c r="V1469" s="11">
        <v>10.55</v>
      </c>
      <c r="W1469" s="11">
        <f ca="1"/>
        <v>0.28999999999999998</v>
      </c>
      <c r="X1469" s="11">
        <f ca="1"/>
        <v>0.39877104377104378</v>
      </c>
      <c r="Y1469" s="11">
        <v>0</v>
      </c>
      <c r="Z1469" s="11">
        <f ca="1"/>
        <v>12.781228956228956</v>
      </c>
      <c r="AA1469" s="11">
        <f ca="1"/>
        <v>6.390614478114478</v>
      </c>
      <c r="AB1469" s="4">
        <f ca="1"/>
        <v>45791</v>
      </c>
      <c r="AC1469" s="4">
        <v>45791</v>
      </c>
      <c r="AD1469" s="9">
        <v>45793</v>
      </c>
      <c r="AE1469" s="9">
        <v>45797</v>
      </c>
      <c r="AF1469" s="4" t="str">
        <f t="shared" ca="1" si="95"/>
        <v>2025 05</v>
      </c>
      <c r="AG1469" s="8" t="str" cm="1">
        <f t="array" ref="AG1469">IFERROR(_xlfn.IFS('Banco de Dados'!#REF!="AG. COMPRA","Em processamento",'Banco de Dados'!#REF!="AG. RASTREIO","Em processamento",'Banco de Dados'!$AE1469&lt;&gt;"-","Faturado",'Banco de Dados'!$AD1469&lt;&gt;"-","Aguardando Pix",'Banco de Dados'!$AC1469&lt;&gt;"-","Pendente"),"Aguardando Liberação")</f>
        <v>Aguardando Liberação</v>
      </c>
      <c r="AH1469" s="5" t="str">
        <f>IF('Banco de Dados'!$F1469="-",_xlfn.CONCAT(PROPER(TEXT(AK1469,"aaaa"))," ",PROPER(TEXT(AK1469,"mm"))),_xlfn.CONCAT(PROPER(TEXT(E1469,"aaaa"))," ",PROPER(TEXT(E1469,"mm"))))</f>
        <v>2025 04</v>
      </c>
      <c r="AI1469" s="9" t="str">
        <f ca="1">IF('Banco de Dados'!$AK1469&lt;&gt;"-","REEMBOLSO",IFERROR(_xlfn.XLOOKUP(G1469,Follow[CODRASTREIO],Follow[STATUS]),"-"))</f>
        <v>ENTREGUE</v>
      </c>
      <c r="AJ1469" s="9">
        <f ca="1">IF('Banco de Dados'!$AI1469="ENTREGUE",_xlfn.XLOOKUP('Banco de Dados'!$G1469,Follow[CODRASTREIO],Follow[DATAATUALIZAÇÃO]),"-")</f>
        <v>45785</v>
      </c>
      <c r="AK1469" s="132" t="str">
        <f ca="1"/>
        <v>-</v>
      </c>
      <c r="AL1469" s="35"/>
      <c r="AM1469" s="109" cm="1">
        <f t="array" aca="1" ref="AM1469" ca="1">IF('Banco de Dados'!$AK1469&lt;&gt;"-",_xlfn.IFS('Banco de Dados'!$A1469="bv",IF('Banco de Dados'!$E1469&lt;45641,ROUND(SUM('Banco de Dados'!$R1469*_xlfn.XLOOKUP('Banco de Dados'!$P1469,Sku!B:B,Sku!#REF!)*20%),2),ROUND(SUM('Banco de Dados'!$R1469*_xlfn.XLOOKUP('Banco de Dados'!$P1469,Sku!B:B,Sku!H:H)*20%),2)),'Banco de Dados'!$A1469="GO",ROUND(SUM('Banco de Dados'!$R1469*_xlfn.XLOOKUP('Banco de Dados'!$P1469,Sku!C:C,Sku!H:H)*20%),2),'Banco de Dados'!$A1469="MEI",ROUND(SUM('Banco de Dados'!$R1469*_xlfn.XLOOKUP('Banco de Dados'!$P1469,Sku!D:D,Sku!H:H)*20%),2)),0)</f>
        <v>0</v>
      </c>
      <c r="AN1469" s="109">
        <f ca="1">IF('Banco de Dados'!$AK1469&lt;&gt;"-",IF('Banco de Dados'!$F1469&lt;&gt;"-",_xlfn.XLOOKUP(IFERROR(IFERROR(IFERROR(VALUE(SUBSTITUTE(MID(_xlfn.TEXTAFTER('Banco de Dados'!$F1469,"Data do Pedido:
",1),1,10),"-","/")),VALUE(SUBSTITUTE(MID(_xlfn.TEXTAFTER('Banco de Dados'!$F1469,"Order date:
",1),1,10),"-","/"))),VALUE(SUBSTITUTE(MID(_xlfn.TEXTAFTER('Banco de Dados'!$F1469,"Fecha de pedido:
",1),1,10),"-","/"))),"-"),SMS!A:A,SMS!K:K),0),0)</f>
        <v>0</v>
      </c>
      <c r="AO1469" s="109">
        <f ca="1">IF('Banco de Dados'!$AK1469&lt;&gt;"-",IF('Banco de Dados'!$F1469&lt;&gt;"-",IFERROR(_xlfn.XLOOKUP(_xlfn.CONCAT('Banco de Dados'!$A1469,IFERROR(IFERROR(VALUE(SUBSTITUTE(MID(_xlfn.TEXTAFTER('Banco de Dados'!$F1469,"Data do Pedido:
",1),1,10),"-","/")),VALUE(SUBSTITUTE(MID(_xlfn.TEXTAFTER('Banco de Dados'!$F1469,"Order date:
",1),1,10),"-","/"))),0)),ProxyDD[Chave],ProxyDD[Valor por pedido]),PROXY!$P$2),0),0)</f>
        <v>0</v>
      </c>
      <c r="AP1469" s="28">
        <f ca="1">IF('Banco de Dados'!$AK1469&lt;&gt;"-",IF('Banco de Dados'!$AL1469="NÃO",IFERROR(VALUE(SUBSTITUTE(_xlfn.TEXTAFTER('Banco de Dados'!$F1469,"BRL ",1),".",",")),0),0),0)</f>
        <v>0</v>
      </c>
      <c r="AQ1469" s="28">
        <f ca="1">SUM('Banco de Dados'!$AM1469:$AP1469)</f>
        <v>0</v>
      </c>
      <c r="AR1469" s="8"/>
      <c r="AY1469" s="8"/>
    </row>
    <row r="1470" spans="1:51">
      <c r="A1470" s="5" t="str">
        <v>MEI</v>
      </c>
      <c r="B1470" s="5" t="str">
        <f ca="1"/>
        <v>MEI-</v>
      </c>
      <c r="C1470" s="8" t="str">
        <v>Pedido 1457</v>
      </c>
      <c r="D1470" s="187">
        <v>45754</v>
      </c>
      <c r="E1470" s="9" t="str">
        <v>-</v>
      </c>
      <c r="F1470" s="8" t="str">
        <v>-</v>
      </c>
      <c r="G1470" s="2" t="str">
        <v>-</v>
      </c>
      <c r="H1470" s="5">
        <v>1</v>
      </c>
      <c r="I1470" s="2" t="str">
        <v>CPF 1418</v>
      </c>
      <c r="J1470" s="2" t="str">
        <v>Nome 1418</v>
      </c>
      <c r="K1470" s="8" t="str">
        <v>Tel 1418</v>
      </c>
      <c r="L1470" s="8" t="str">
        <v>Cep 1418</v>
      </c>
      <c r="M1470" s="8" t="str">
        <v>Rua 1418</v>
      </c>
      <c r="N1470" s="8" t="str">
        <v>Comp 1418</v>
      </c>
      <c r="O1470" s="8" t="str">
        <v>Lampada Led</v>
      </c>
      <c r="P1470" s="8" t="str">
        <v>T1-SWVB-UPOW</v>
      </c>
      <c r="Q1470" s="4">
        <v>45784</v>
      </c>
      <c r="R1470" s="109">
        <v>29.99</v>
      </c>
      <c r="S1470" s="11">
        <f ca="1"/>
        <v>0</v>
      </c>
      <c r="T1470" s="28">
        <f ca="1"/>
        <v>0</v>
      </c>
      <c r="U1470" s="11">
        <f ca="1"/>
        <v>0</v>
      </c>
      <c r="V1470" s="11">
        <v>0</v>
      </c>
      <c r="W1470" s="11">
        <f ca="1"/>
        <v>0</v>
      </c>
      <c r="X1470" s="11">
        <f ca="1"/>
        <v>0</v>
      </c>
      <c r="Y1470" s="11">
        <v>0</v>
      </c>
      <c r="Z1470" s="11">
        <f ca="1"/>
        <v>0</v>
      </c>
      <c r="AA1470" s="11">
        <f ca="1"/>
        <v>0</v>
      </c>
      <c r="AB1470" s="4">
        <f ca="1"/>
        <v>45791</v>
      </c>
      <c r="AC1470" s="4">
        <v>45791</v>
      </c>
      <c r="AD1470" s="9">
        <v>45793</v>
      </c>
      <c r="AE1470" s="9">
        <v>45797</v>
      </c>
      <c r="AF1470" s="4" t="str">
        <f t="shared" ca="1" si="95"/>
        <v>2025 05</v>
      </c>
      <c r="AG1470" s="8" t="str" cm="1">
        <f t="array" ref="AG1470">IFERROR(_xlfn.IFS('Banco de Dados'!#REF!="AG. COMPRA","Em processamento",'Banco de Dados'!#REF!="AG. RASTREIO","Em processamento",'Banco de Dados'!$AE1470&lt;&gt;"-","Faturado",'Banco de Dados'!$AD1470&lt;&gt;"-","Aguardando Pix",'Banco de Dados'!$AC1470&lt;&gt;"-","Pendente"),"Aguardando Liberação")</f>
        <v>Aguardando Liberação</v>
      </c>
      <c r="AH1470" s="5" t="str">
        <f ca="1">IF('Banco de Dados'!$F1470="-",_xlfn.CONCAT(PROPER(TEXT(AK1470,"aaaa"))," ",PROPER(TEXT(AK1470,"mm"))),_xlfn.CONCAT(PROPER(TEXT(E1470,"aaaa"))," ",PROPER(TEXT(E1470,"mm"))))</f>
        <v>2025 04</v>
      </c>
      <c r="AI1470" s="9" t="str">
        <f ca="1">IF('Banco de Dados'!$AK1470&lt;&gt;"-","REEMBOLSO",IFERROR(_xlfn.XLOOKUP(G1470,Follow[CODRASTREIO],Follow[STATUS]),"-"))</f>
        <v>REEMBOLSO</v>
      </c>
      <c r="AJ1470" s="9" t="str">
        <f ca="1">IF('Banco de Dados'!$AI1470="ENTREGUE",_xlfn.XLOOKUP('Banco de Dados'!$G1470,Follow[CODRASTREIO],Follow[DATAATUALIZAÇÃO]),"-")</f>
        <v>-</v>
      </c>
      <c r="AK1470" s="132">
        <f ca="1"/>
        <v>45759</v>
      </c>
      <c r="AL1470" s="35"/>
      <c r="AM1470" s="109" cm="1">
        <f t="array" aca="1" ref="AM1470" ca="1">IF('Banco de Dados'!$AK1470&lt;&gt;"-",_xlfn.IFS('Banco de Dados'!$A1470="bv",IF('Banco de Dados'!$E1470&lt;45641,ROUND(SUM('Banco de Dados'!$R1470*_xlfn.XLOOKUP('Banco de Dados'!$P1470,Sku!B:B,Sku!#REF!)*20%),2),ROUND(SUM('Banco de Dados'!$R1470*_xlfn.XLOOKUP('Banco de Dados'!$P1470,Sku!B:B,Sku!H:H)*20%),2)),'Banco de Dados'!$A1470="GO",ROUND(SUM('Banco de Dados'!$R1470*_xlfn.XLOOKUP('Banco de Dados'!$P1470,Sku!C:C,Sku!H:H)*20%),2),'Banco de Dados'!$A1470="MEI",ROUND(SUM('Banco de Dados'!$R1470*_xlfn.XLOOKUP('Banco de Dados'!$P1470,Sku!D:D,Sku!H:H)*20%),2)),0)</f>
        <v>0.78</v>
      </c>
      <c r="AN1470" s="109">
        <f ca="1">IF('Banco de Dados'!$AK1470&lt;&gt;"-",IF('Banco de Dados'!$F1470&lt;&gt;"-",_xlfn.XLOOKUP(IFERROR(IFERROR(IFERROR(VALUE(SUBSTITUTE(MID(_xlfn.TEXTAFTER('Banco de Dados'!$F1470,"Data do Pedido:
",1),1,10),"-","/")),VALUE(SUBSTITUTE(MID(_xlfn.TEXTAFTER('Banco de Dados'!$F1470,"Order date:
",1),1,10),"-","/"))),VALUE(SUBSTITUTE(MID(_xlfn.TEXTAFTER('Banco de Dados'!$F1470,"Fecha de pedido:
",1),1,10),"-","/"))),"-"),SMS!A:A,SMS!K:K),0),0)</f>
        <v>0</v>
      </c>
      <c r="AO1470" s="109">
        <f ca="1">IF('Banco de Dados'!$AK1470&lt;&gt;"-",IF('Banco de Dados'!$F1470&lt;&gt;"-",IFERROR(_xlfn.XLOOKUP(_xlfn.CONCAT('Banco de Dados'!$A1470,IFERROR(IFERROR(VALUE(SUBSTITUTE(MID(_xlfn.TEXTAFTER('Banco de Dados'!$F1470,"Data do Pedido:
",1),1,10),"-","/")),VALUE(SUBSTITUTE(MID(_xlfn.TEXTAFTER('Banco de Dados'!$F1470,"Order date:
",1),1,10),"-","/"))),0)),ProxyDD[Chave],ProxyDD[Valor por pedido]),PROXY!$P$2),0),0)</f>
        <v>0</v>
      </c>
      <c r="AP1470" s="28">
        <f ca="1">IF('Banco de Dados'!$AK1470&lt;&gt;"-",IF('Banco de Dados'!$AL1470="NÃO",IFERROR(VALUE(SUBSTITUTE(_xlfn.TEXTAFTER('Banco de Dados'!$F1470,"BRL ",1),".",",")),0),0),0)</f>
        <v>0</v>
      </c>
      <c r="AQ1470" s="28">
        <f ca="1">SUM('Banco de Dados'!$AM1470:$AP1470)</f>
        <v>0.78</v>
      </c>
      <c r="AR1470" s="8"/>
      <c r="AY1470" s="8"/>
    </row>
    <row r="1471" spans="1:51">
      <c r="A1471" s="5" t="str">
        <v>MEI</v>
      </c>
      <c r="B1471" s="5" t="str">
        <f ca="1"/>
        <v>MEI45758</v>
      </c>
      <c r="C1471" s="8" t="str">
        <v>Pedido 1458</v>
      </c>
      <c r="D1471" s="187">
        <v>45753</v>
      </c>
      <c r="E1471" s="9">
        <v>45758</v>
      </c>
      <c r="F1471" s="8" t="str">
        <v>PedidoF1396</v>
      </c>
      <c r="G1471" s="2" t="str">
        <v>CódRastreio1394</v>
      </c>
      <c r="H1471" s="5">
        <v>1</v>
      </c>
      <c r="I1471" s="2" t="str">
        <v>CPF 1419</v>
      </c>
      <c r="J1471" s="2" t="str">
        <v>Nome 1419</v>
      </c>
      <c r="K1471" s="8" t="str">
        <v>Tel 1419</v>
      </c>
      <c r="L1471" s="8" t="str">
        <v>Cep 1419</v>
      </c>
      <c r="M1471" s="8" t="str">
        <v>Rua 1419</v>
      </c>
      <c r="N1471" s="8" t="str">
        <v>Comp 1419</v>
      </c>
      <c r="O1471" s="8" t="str">
        <v>Suporte de Celular Branco</v>
      </c>
      <c r="P1471" s="8" t="str">
        <v>IQ-LISQ-0D65</v>
      </c>
      <c r="Q1471" s="4">
        <v>45777</v>
      </c>
      <c r="R1471" s="109">
        <v>21.99</v>
      </c>
      <c r="S1471" s="11">
        <f ca="1"/>
        <v>21.99</v>
      </c>
      <c r="T1471" s="28">
        <f ca="1"/>
        <v>3.2984999999999998</v>
      </c>
      <c r="U1471" s="11">
        <f ca="1"/>
        <v>18.690000000000001</v>
      </c>
      <c r="V1471" s="11">
        <v>9.99</v>
      </c>
      <c r="W1471" s="11">
        <f ca="1"/>
        <v>0.28999999999999998</v>
      </c>
      <c r="X1471" s="11">
        <f ca="1"/>
        <v>0.39877104377104378</v>
      </c>
      <c r="Y1471" s="11">
        <v>0</v>
      </c>
      <c r="Z1471" s="11">
        <f ca="1"/>
        <v>8.0112289562289583</v>
      </c>
      <c r="AA1471" s="11">
        <f ca="1"/>
        <v>4.0056144781144791</v>
      </c>
      <c r="AB1471" s="4">
        <f ca="1"/>
        <v>45784</v>
      </c>
      <c r="AC1471" s="4">
        <v>45784</v>
      </c>
      <c r="AD1471" s="9">
        <v>45793</v>
      </c>
      <c r="AE1471" s="9">
        <v>45797</v>
      </c>
      <c r="AF1471" s="4" t="str">
        <f t="shared" ca="1" si="95"/>
        <v>2025 05</v>
      </c>
      <c r="AG1471" s="8" t="str" cm="1">
        <f t="array" ref="AG1471">IFERROR(_xlfn.IFS('Banco de Dados'!#REF!="AG. COMPRA","Em processamento",'Banco de Dados'!#REF!="AG. RASTREIO","Em processamento",'Banco de Dados'!$AE1471&lt;&gt;"-","Faturado",'Banco de Dados'!$AD1471&lt;&gt;"-","Aguardando Pix",'Banco de Dados'!$AC1471&lt;&gt;"-","Pendente"),"Aguardando Liberação")</f>
        <v>Aguardando Liberação</v>
      </c>
      <c r="AH1471" s="5" t="str">
        <f>IF('Banco de Dados'!$F1471="-",_xlfn.CONCAT(PROPER(TEXT(AK1471,"aaaa"))," ",PROPER(TEXT(AK1471,"mm"))),_xlfn.CONCAT(PROPER(TEXT(E1471,"aaaa"))," ",PROPER(TEXT(E1471,"mm"))))</f>
        <v>2025 04</v>
      </c>
      <c r="AI1471" s="9" t="str">
        <f ca="1">IF('Banco de Dados'!$AK1471&lt;&gt;"-","REEMBOLSO",IFERROR(_xlfn.XLOOKUP(G1471,Follow[CODRASTREIO],Follow[STATUS]),"-"))</f>
        <v>ENTREGUE</v>
      </c>
      <c r="AJ1471" s="9">
        <f ca="1">IF('Banco de Dados'!$AI1471="ENTREGUE",_xlfn.XLOOKUP('Banco de Dados'!$G1471,Follow[CODRASTREIO],Follow[DATAATUALIZAÇÃO]),"-")</f>
        <v>45766</v>
      </c>
      <c r="AK1471" s="132" t="str">
        <f ca="1"/>
        <v>-</v>
      </c>
      <c r="AL1471" s="35"/>
      <c r="AM1471" s="109" cm="1">
        <f t="array" aca="1" ref="AM1471" ca="1">IF('Banco de Dados'!$AK1471&lt;&gt;"-",_xlfn.IFS('Banco de Dados'!$A1471="bv",IF('Banco de Dados'!$E1471&lt;45641,ROUND(SUM('Banco de Dados'!$R1471*_xlfn.XLOOKUP('Banco de Dados'!$P1471,Sku!B:B,Sku!#REF!)*20%),2),ROUND(SUM('Banco de Dados'!$R1471*_xlfn.XLOOKUP('Banco de Dados'!$P1471,Sku!B:B,Sku!H:H)*20%),2)),'Banco de Dados'!$A1471="GO",ROUND(SUM('Banco de Dados'!$R1471*_xlfn.XLOOKUP('Banco de Dados'!$P1471,Sku!C:C,Sku!H:H)*20%),2),'Banco de Dados'!$A1471="MEI",ROUND(SUM('Banco de Dados'!$R1471*_xlfn.XLOOKUP('Banco de Dados'!$P1471,Sku!D:D,Sku!H:H)*20%),2)),0)</f>
        <v>0</v>
      </c>
      <c r="AN1471" s="109">
        <f ca="1">IF('Banco de Dados'!$AK1471&lt;&gt;"-",IF('Banco de Dados'!$F1471&lt;&gt;"-",_xlfn.XLOOKUP(IFERROR(IFERROR(IFERROR(VALUE(SUBSTITUTE(MID(_xlfn.TEXTAFTER('Banco de Dados'!$F1471,"Data do Pedido:
",1),1,10),"-","/")),VALUE(SUBSTITUTE(MID(_xlfn.TEXTAFTER('Banco de Dados'!$F1471,"Order date:
",1),1,10),"-","/"))),VALUE(SUBSTITUTE(MID(_xlfn.TEXTAFTER('Banco de Dados'!$F1471,"Fecha de pedido:
",1),1,10),"-","/"))),"-"),SMS!A:A,SMS!K:K),0),0)</f>
        <v>0</v>
      </c>
      <c r="AO1471" s="109">
        <f ca="1">IF('Banco de Dados'!$AK1471&lt;&gt;"-",IF('Banco de Dados'!$F1471&lt;&gt;"-",IFERROR(_xlfn.XLOOKUP(_xlfn.CONCAT('Banco de Dados'!$A1471,IFERROR(IFERROR(VALUE(SUBSTITUTE(MID(_xlfn.TEXTAFTER('Banco de Dados'!$F1471,"Data do Pedido:
",1),1,10),"-","/")),VALUE(SUBSTITUTE(MID(_xlfn.TEXTAFTER('Banco de Dados'!$F1471,"Order date:
",1),1,10),"-","/"))),0)),ProxyDD[Chave],ProxyDD[Valor por pedido]),PROXY!$P$2),0),0)</f>
        <v>0</v>
      </c>
      <c r="AP1471" s="28">
        <f ca="1">IF('Banco de Dados'!$AK1471&lt;&gt;"-",IF('Banco de Dados'!$AL1471="NÃO",IFERROR(VALUE(SUBSTITUTE(_xlfn.TEXTAFTER('Banco de Dados'!$F1471,"BRL ",1),".",",")),0),0),0)</f>
        <v>0</v>
      </c>
      <c r="AQ1471" s="28">
        <f ca="1">SUM('Banco de Dados'!$AM1471:$AP1471)</f>
        <v>0</v>
      </c>
      <c r="AR1471" s="8"/>
      <c r="AY1471" s="8"/>
    </row>
    <row r="1472" spans="1:51">
      <c r="A1472" s="5" t="str">
        <v>MEI</v>
      </c>
      <c r="B1472" s="5" t="str">
        <f ca="1"/>
        <v>MEI45758</v>
      </c>
      <c r="C1472" s="8" t="str">
        <v>Pedido 1459</v>
      </c>
      <c r="D1472" s="187">
        <v>45754</v>
      </c>
      <c r="E1472" s="9">
        <v>45758</v>
      </c>
      <c r="F1472" s="8" t="str">
        <v>PedidoF1397</v>
      </c>
      <c r="G1472" s="2" t="str">
        <v>CódRastreio1395</v>
      </c>
      <c r="H1472" s="5">
        <v>1</v>
      </c>
      <c r="I1472" s="2" t="str">
        <v>CPF 1420</v>
      </c>
      <c r="J1472" s="2" t="str">
        <v>Nome 1420</v>
      </c>
      <c r="K1472" s="8" t="str">
        <v>Tel 1420</v>
      </c>
      <c r="L1472" s="8" t="str">
        <v>Cep 1420</v>
      </c>
      <c r="M1472" s="8" t="str">
        <v>Rua 1420</v>
      </c>
      <c r="N1472" s="8" t="str">
        <v>Comp 1420</v>
      </c>
      <c r="O1472" s="8" t="str">
        <v>Karaoke portátil</v>
      </c>
      <c r="P1472" s="8" t="str">
        <v>1I-EZPV-2Q78</v>
      </c>
      <c r="Q1472" s="4">
        <v>45777</v>
      </c>
      <c r="R1472" s="109">
        <v>52.93</v>
      </c>
      <c r="S1472" s="11">
        <f ca="1"/>
        <v>52.93</v>
      </c>
      <c r="T1472" s="28">
        <f ca="1"/>
        <v>7.9394999999999998</v>
      </c>
      <c r="U1472" s="11">
        <f ca="1"/>
        <v>44.99</v>
      </c>
      <c r="V1472" s="11">
        <v>14.62</v>
      </c>
      <c r="W1472" s="11">
        <f ca="1"/>
        <v>0.28999999999999998</v>
      </c>
      <c r="X1472" s="11">
        <f ca="1"/>
        <v>0.39877104377104378</v>
      </c>
      <c r="Y1472" s="11">
        <v>0</v>
      </c>
      <c r="Z1472" s="11">
        <f ca="1"/>
        <v>29.68122895622896</v>
      </c>
      <c r="AA1472" s="11">
        <f ca="1"/>
        <v>14.84061447811448</v>
      </c>
      <c r="AB1472" s="4">
        <f ca="1"/>
        <v>45784</v>
      </c>
      <c r="AC1472" s="4">
        <v>45784</v>
      </c>
      <c r="AD1472" s="9">
        <v>45793</v>
      </c>
      <c r="AE1472" s="9">
        <v>45797</v>
      </c>
      <c r="AF1472" s="4" t="str">
        <f t="shared" ca="1" si="95"/>
        <v>2025 05</v>
      </c>
      <c r="AG1472" s="8" t="str" cm="1">
        <f t="array" ref="AG1472">IFERROR(_xlfn.IFS('Banco de Dados'!#REF!="AG. COMPRA","Em processamento",'Banco de Dados'!#REF!="AG. RASTREIO","Em processamento",'Banco de Dados'!$AE1472&lt;&gt;"-","Faturado",'Banco de Dados'!$AD1472&lt;&gt;"-","Aguardando Pix",'Banco de Dados'!$AC1472&lt;&gt;"-","Pendente"),"Aguardando Liberação")</f>
        <v>Aguardando Liberação</v>
      </c>
      <c r="AH1472" s="5" t="str">
        <f>IF('Banco de Dados'!$F1472="-",_xlfn.CONCAT(PROPER(TEXT(AK1472,"aaaa"))," ",PROPER(TEXT(AK1472,"mm"))),_xlfn.CONCAT(PROPER(TEXT(E1472,"aaaa"))," ",PROPER(TEXT(E1472,"mm"))))</f>
        <v>2025 04</v>
      </c>
      <c r="AI1472" s="9" t="str">
        <f ca="1">IF('Banco de Dados'!$AK1472&lt;&gt;"-","REEMBOLSO",IFERROR(_xlfn.XLOOKUP(G1472,Follow[CODRASTREIO],Follow[STATUS]),"-"))</f>
        <v>ENTREGUE</v>
      </c>
      <c r="AJ1472" s="9">
        <f ca="1">IF('Banco de Dados'!$AI1472="ENTREGUE",_xlfn.XLOOKUP('Banco de Dados'!$G1472,Follow[CODRASTREIO],Follow[DATAATUALIZAÇÃO]),"-")</f>
        <v>45770</v>
      </c>
      <c r="AK1472" s="132" t="str">
        <f ca="1"/>
        <v>-</v>
      </c>
      <c r="AL1472" s="35"/>
      <c r="AM1472" s="109" cm="1">
        <f t="array" aca="1" ref="AM1472" ca="1">IF('Banco de Dados'!$AK1472&lt;&gt;"-",_xlfn.IFS('Banco de Dados'!$A1472="bv",IF('Banco de Dados'!$E1472&lt;45641,ROUND(SUM('Banco de Dados'!$R1472*_xlfn.XLOOKUP('Banco de Dados'!$P1472,Sku!B:B,Sku!#REF!)*20%),2),ROUND(SUM('Banco de Dados'!$R1472*_xlfn.XLOOKUP('Banco de Dados'!$P1472,Sku!B:B,Sku!H:H)*20%),2)),'Banco de Dados'!$A1472="GO",ROUND(SUM('Banco de Dados'!$R1472*_xlfn.XLOOKUP('Banco de Dados'!$P1472,Sku!C:C,Sku!H:H)*20%),2),'Banco de Dados'!$A1472="MEI",ROUND(SUM('Banco de Dados'!$R1472*_xlfn.XLOOKUP('Banco de Dados'!$P1472,Sku!D:D,Sku!H:H)*20%),2)),0)</f>
        <v>0</v>
      </c>
      <c r="AN1472" s="109">
        <f ca="1">IF('Banco de Dados'!$AK1472&lt;&gt;"-",IF('Banco de Dados'!$F1472&lt;&gt;"-",_xlfn.XLOOKUP(IFERROR(IFERROR(IFERROR(VALUE(SUBSTITUTE(MID(_xlfn.TEXTAFTER('Banco de Dados'!$F1472,"Data do Pedido:
",1),1,10),"-","/")),VALUE(SUBSTITUTE(MID(_xlfn.TEXTAFTER('Banco de Dados'!$F1472,"Order date:
",1),1,10),"-","/"))),VALUE(SUBSTITUTE(MID(_xlfn.TEXTAFTER('Banco de Dados'!$F1472,"Fecha de pedido:
",1),1,10),"-","/"))),"-"),SMS!A:A,SMS!K:K),0),0)</f>
        <v>0</v>
      </c>
      <c r="AO1472" s="109">
        <f ca="1">IF('Banco de Dados'!$AK1472&lt;&gt;"-",IF('Banco de Dados'!$F1472&lt;&gt;"-",IFERROR(_xlfn.XLOOKUP(_xlfn.CONCAT('Banco de Dados'!$A1472,IFERROR(IFERROR(VALUE(SUBSTITUTE(MID(_xlfn.TEXTAFTER('Banco de Dados'!$F1472,"Data do Pedido:
",1),1,10),"-","/")),VALUE(SUBSTITUTE(MID(_xlfn.TEXTAFTER('Banco de Dados'!$F1472,"Order date:
",1),1,10),"-","/"))),0)),ProxyDD[Chave],ProxyDD[Valor por pedido]),PROXY!$P$2),0),0)</f>
        <v>0</v>
      </c>
      <c r="AP1472" s="28">
        <f ca="1">IF('Banco de Dados'!$AK1472&lt;&gt;"-",IF('Banco de Dados'!$AL1472="NÃO",IFERROR(VALUE(SUBSTITUTE(_xlfn.TEXTAFTER('Banco de Dados'!$F1472,"BRL ",1),".",",")),0),0),0)</f>
        <v>0</v>
      </c>
      <c r="AQ1472" s="28">
        <f ca="1">SUM('Banco de Dados'!$AM1472:$AP1472)</f>
        <v>0</v>
      </c>
      <c r="AR1472" s="8"/>
      <c r="AY1472" s="8"/>
    </row>
    <row r="1473" spans="1:51">
      <c r="A1473" s="5" t="str">
        <v>BV</v>
      </c>
      <c r="B1473" s="5" t="str">
        <f ca="1"/>
        <v>BV45758</v>
      </c>
      <c r="C1473" s="8" t="str">
        <v>Pedido 1460</v>
      </c>
      <c r="D1473" s="9">
        <v>45751</v>
      </c>
      <c r="E1473" s="9">
        <v>45758</v>
      </c>
      <c r="F1473" s="8" t="str">
        <v>PedidoF1398</v>
      </c>
      <c r="G1473" s="2" t="str">
        <v>CódRastreio1396</v>
      </c>
      <c r="H1473" s="5">
        <v>1</v>
      </c>
      <c r="I1473" s="2" t="str">
        <v>CPF 1421</v>
      </c>
      <c r="J1473" s="2" t="str">
        <v>Nome 1421</v>
      </c>
      <c r="K1473" s="8" t="str">
        <v>Tel 1421</v>
      </c>
      <c r="L1473" s="8" t="str">
        <v>Cep 1421</v>
      </c>
      <c r="M1473" s="8" t="str">
        <v>Rua 1421</v>
      </c>
      <c r="N1473" s="8" t="str">
        <v>Comp 1421</v>
      </c>
      <c r="O1473" s="8" t="str">
        <v>Ventilador Azul</v>
      </c>
      <c r="P1473" s="8" t="str">
        <v>U8-2VWS-OB6M</v>
      </c>
      <c r="Q1473" s="4">
        <v>45783</v>
      </c>
      <c r="R1473" s="109">
        <v>54.9</v>
      </c>
      <c r="S1473" s="11">
        <f ca="1"/>
        <v>54.9</v>
      </c>
      <c r="T1473" s="28">
        <f ca="1"/>
        <v>6.5879999999999992</v>
      </c>
      <c r="U1473" s="11">
        <f ca="1"/>
        <v>48.31</v>
      </c>
      <c r="V1473" s="11">
        <v>15.09</v>
      </c>
      <c r="W1473" s="11">
        <f ca="1"/>
        <v>0.2</v>
      </c>
      <c r="X1473" s="11">
        <f ca="1"/>
        <v>0.39877104377104378</v>
      </c>
      <c r="Y1473" s="11">
        <v>0</v>
      </c>
      <c r="Z1473" s="11">
        <f ca="1"/>
        <v>32.621228956228961</v>
      </c>
      <c r="AA1473" s="11">
        <f ca="1"/>
        <v>16.310614478114481</v>
      </c>
      <c r="AB1473" s="4">
        <f ca="1"/>
        <v>45790</v>
      </c>
      <c r="AC1473" s="4">
        <v>45790</v>
      </c>
      <c r="AD1473" s="9">
        <v>45793</v>
      </c>
      <c r="AE1473" s="9">
        <v>45797</v>
      </c>
      <c r="AF1473" s="4" t="str">
        <f t="shared" ca="1" si="95"/>
        <v>2025 05</v>
      </c>
      <c r="AG1473" s="8" t="str" cm="1">
        <f t="array" ref="AG1473">IFERROR(_xlfn.IFS('Banco de Dados'!#REF!="AG. COMPRA","Em processamento",'Banco de Dados'!#REF!="AG. RASTREIO","Em processamento",'Banco de Dados'!$AE1473&lt;&gt;"-","Faturado",'Banco de Dados'!$AD1473&lt;&gt;"-","Aguardando Pix",'Banco de Dados'!$AC1473&lt;&gt;"-","Pendente"),"Aguardando Liberação")</f>
        <v>Aguardando Liberação</v>
      </c>
      <c r="AH1473" s="5" t="str">
        <f>IF('Banco de Dados'!$F1473="-",_xlfn.CONCAT(PROPER(TEXT(AK1473,"aaaa"))," ",PROPER(TEXT(AK1473,"mm"))),_xlfn.CONCAT(PROPER(TEXT(E1473,"aaaa"))," ",PROPER(TEXT(E1473,"mm"))))</f>
        <v>2025 04</v>
      </c>
      <c r="AI1473" s="9" t="str">
        <f ca="1">IF('Banco de Dados'!$AK1473&lt;&gt;"-","REEMBOLSO",IFERROR(_xlfn.XLOOKUP(G1473,Follow[CODRASTREIO],Follow[STATUS]),"-"))</f>
        <v>ENTREGUE</v>
      </c>
      <c r="AJ1473" s="9">
        <f ca="1">IF('Banco de Dados'!$AI1473="ENTREGUE",_xlfn.XLOOKUP('Banco de Dados'!$G1473,Follow[CODRASTREIO],Follow[DATAATUALIZAÇÃO]),"-")</f>
        <v>45782</v>
      </c>
      <c r="AK1473" s="132" t="str">
        <f ca="1"/>
        <v>-</v>
      </c>
      <c r="AL1473" s="35"/>
      <c r="AM1473" s="109" cm="1">
        <f t="array" aca="1" ref="AM1473" ca="1">IF('Banco de Dados'!$AK1473&lt;&gt;"-",_xlfn.IFS('Banco de Dados'!$A1473="bv",IF('Banco de Dados'!$E1473&lt;45641,ROUND(SUM('Banco de Dados'!$R1473*_xlfn.XLOOKUP('Banco de Dados'!$P1473,Sku!B:B,Sku!#REF!)*20%),2),ROUND(SUM('Banco de Dados'!$R1473*_xlfn.XLOOKUP('Banco de Dados'!$P1473,Sku!B:B,Sku!H:H)*20%),2)),'Banco de Dados'!$A1473="GO",ROUND(_xlfn.XLOOKUP('Banco de Dados'!$P1473,Sku!C:C,Sku!H:H),2),'Banco de Dados'!$A1473="MEI",ROUND(_xlfn.XLOOKUP('Banco de Dados'!$P1473,Sku!D:D,Sku!H:H),2)),0)</f>
        <v>0</v>
      </c>
      <c r="AN1473" s="109">
        <f ca="1">IF('Banco de Dados'!$AK1473&lt;&gt;"-",IF('Banco de Dados'!$F1473&lt;&gt;"-",_xlfn.XLOOKUP(IFERROR(IFERROR(IFERROR(VALUE(SUBSTITUTE(MID(_xlfn.TEXTAFTER('Banco de Dados'!$F1473,"Data do Pedido:
",1),1,10),"-","/")),VALUE(SUBSTITUTE(MID(_xlfn.TEXTAFTER('Banco de Dados'!$F1473,"Order date:
",1),1,10),"-","/"))),VALUE(SUBSTITUTE(MID(_xlfn.TEXTAFTER('Banco de Dados'!$F1473,"Fecha de pedido:
",1),1,10),"-","/"))),"-"),SMS!A:A,SMS!K:K),0),0)</f>
        <v>0</v>
      </c>
      <c r="AO1473" s="109">
        <f ca="1">IF('Banco de Dados'!$AK1473&lt;&gt;"-",IF('Banco de Dados'!$F1473&lt;&gt;"-",IFERROR(_xlfn.XLOOKUP(_xlfn.CONCAT('Banco de Dados'!$A1473,IFERROR(IFERROR(VALUE(SUBSTITUTE(MID(_xlfn.TEXTAFTER('Banco de Dados'!$F1473,"Data do Pedido:
",1),1,10),"-","/")),VALUE(SUBSTITUTE(MID(_xlfn.TEXTAFTER('Banco de Dados'!$F1473,"Order date:
",1),1,10),"-","/"))),0)),ProxyDD[Chave],ProxyDD[Valor por pedido]),PROXY!$P$2),0),0)</f>
        <v>0</v>
      </c>
      <c r="AP1473" s="28">
        <f ca="1">IF('Banco de Dados'!$AK1473&lt;&gt;"-",IF('Banco de Dados'!$AL1473="NÃO",IFERROR(VALUE(SUBSTITUTE(_xlfn.TEXTAFTER('Banco de Dados'!$F1473,"BRL ",1),".",",")),0),0),0)</f>
        <v>0</v>
      </c>
      <c r="AQ1473" s="28">
        <f ca="1">SUM('Banco de Dados'!$AM1473:$AP1473)</f>
        <v>0</v>
      </c>
      <c r="AR1473" s="8"/>
      <c r="AY1473" s="8"/>
    </row>
    <row r="1474" spans="1:51">
      <c r="A1474" s="5" t="str">
        <v>BV</v>
      </c>
      <c r="B1474" s="5" t="str">
        <f ca="1"/>
        <v>BV45758</v>
      </c>
      <c r="C1474" s="8" t="str">
        <v>Pedido 1461</v>
      </c>
      <c r="D1474" s="9">
        <v>45753</v>
      </c>
      <c r="E1474" s="9">
        <v>45758</v>
      </c>
      <c r="F1474" s="8" t="str">
        <v>PedidoF1399</v>
      </c>
      <c r="G1474" s="2" t="str">
        <v>CódRastreio1397</v>
      </c>
      <c r="H1474" s="5">
        <v>1</v>
      </c>
      <c r="I1474" s="2" t="str">
        <v>CPF 1422</v>
      </c>
      <c r="J1474" s="2" t="str">
        <v>Nome 1422</v>
      </c>
      <c r="K1474" s="8" t="str">
        <v>Tel 1422</v>
      </c>
      <c r="L1474" s="8" t="str">
        <v>Cep 1422</v>
      </c>
      <c r="M1474" s="8" t="str">
        <v>Rua 1422</v>
      </c>
      <c r="N1474" s="8" t="str">
        <v>Comp 1422</v>
      </c>
      <c r="O1474" s="8" t="str">
        <v>Ventilador Azul</v>
      </c>
      <c r="P1474" s="8" t="str">
        <v>U8-2VWS-OB6M</v>
      </c>
      <c r="Q1474" s="4">
        <v>45790</v>
      </c>
      <c r="R1474" s="109">
        <v>54.9</v>
      </c>
      <c r="S1474" s="11">
        <f ca="1"/>
        <v>54.9</v>
      </c>
      <c r="T1474" s="28">
        <f ca="1"/>
        <v>6.5879999999999992</v>
      </c>
      <c r="U1474" s="11">
        <f ca="1"/>
        <v>48.31</v>
      </c>
      <c r="V1474" s="11">
        <v>15.09</v>
      </c>
      <c r="W1474" s="11">
        <f ca="1"/>
        <v>0.2</v>
      </c>
      <c r="X1474" s="11">
        <f ca="1"/>
        <v>0.39877104377104378</v>
      </c>
      <c r="Y1474" s="11">
        <v>0</v>
      </c>
      <c r="Z1474" s="11">
        <f ca="1"/>
        <v>32.621228956228961</v>
      </c>
      <c r="AA1474" s="11">
        <f ca="1"/>
        <v>16.310614478114481</v>
      </c>
      <c r="AB1474" s="4">
        <f ca="1"/>
        <v>45797</v>
      </c>
      <c r="AC1474" s="4">
        <v>45797</v>
      </c>
      <c r="AD1474" s="9">
        <v>45807</v>
      </c>
      <c r="AE1474" s="9">
        <v>45810</v>
      </c>
      <c r="AF1474" s="4" t="str">
        <f t="shared" ca="1" si="95"/>
        <v>2025 05</v>
      </c>
      <c r="AG1474" s="8" t="str" cm="1">
        <f t="array" ref="AG1474">IFERROR(_xlfn.IFS('Banco de Dados'!#REF!="AG. COMPRA","Em processamento",'Banco de Dados'!#REF!="AG. RASTREIO","Em processamento",'Banco de Dados'!$AE1474&lt;&gt;"-","Faturado",'Banco de Dados'!$AD1474&lt;&gt;"-","Aguardando Pix",'Banco de Dados'!$AC1474&lt;&gt;"-","Pendente"),"Aguardando Liberação")</f>
        <v>Aguardando Liberação</v>
      </c>
      <c r="AH1474" s="5" t="str">
        <f>IF('Banco de Dados'!$F1474="-",_xlfn.CONCAT(PROPER(TEXT(AK1474,"aaaa"))," ",PROPER(TEXT(AK1474,"mm"))),_xlfn.CONCAT(PROPER(TEXT(E1474,"aaaa"))," ",PROPER(TEXT(E1474,"mm"))))</f>
        <v>2025 04</v>
      </c>
      <c r="AI1474" s="9" t="str">
        <f ca="1">IF('Banco de Dados'!$AK1474&lt;&gt;"-","REEMBOLSO",IFERROR(_xlfn.XLOOKUP(G1474,Follow[CODRASTREIO],Follow[STATUS]),"-"))</f>
        <v>ENTREGUE</v>
      </c>
      <c r="AJ1474" s="9">
        <f ca="1">IF('Banco de Dados'!$AI1474="ENTREGUE",_xlfn.XLOOKUP('Banco de Dados'!$G1474,Follow[CODRASTREIO],Follow[DATAATUALIZAÇÃO]),"-")</f>
        <v>45789</v>
      </c>
      <c r="AK1474" s="132" t="str">
        <f ca="1"/>
        <v>-</v>
      </c>
      <c r="AL1474" s="35"/>
      <c r="AM1474" s="109" cm="1">
        <f t="array" aca="1" ref="AM1474" ca="1">IF('Banco de Dados'!$AK1474&lt;&gt;"-",_xlfn.IFS('Banco de Dados'!$A1474="bv",IF('Banco de Dados'!$E1474&lt;45641,ROUND(SUM('Banco de Dados'!$R1474*_xlfn.XLOOKUP('Banco de Dados'!$P1474,Sku!B:B,Sku!#REF!)*20%),2),ROUND(SUM('Banco de Dados'!$R1474*_xlfn.XLOOKUP('Banco de Dados'!$P1474,Sku!B:B,Sku!H:H)*20%),2)),'Banco de Dados'!$A1474="GO",ROUND(_xlfn.XLOOKUP('Banco de Dados'!$P1474,Sku!C:C,Sku!H:H),2),'Banco de Dados'!$A1474="MEI",ROUND(_xlfn.XLOOKUP('Banco de Dados'!$P1474,Sku!D:D,Sku!H:H),2)),0)</f>
        <v>0</v>
      </c>
      <c r="AN1474" s="109">
        <f ca="1">IF('Banco de Dados'!$AK1474&lt;&gt;"-",IF('Banco de Dados'!$F1474&lt;&gt;"-",_xlfn.XLOOKUP(IFERROR(IFERROR(IFERROR(VALUE(SUBSTITUTE(MID(_xlfn.TEXTAFTER('Banco de Dados'!$F1474,"Data do Pedido:
",1),1,10),"-","/")),VALUE(SUBSTITUTE(MID(_xlfn.TEXTAFTER('Banco de Dados'!$F1474,"Order date:
",1),1,10),"-","/"))),VALUE(SUBSTITUTE(MID(_xlfn.TEXTAFTER('Banco de Dados'!$F1474,"Fecha de pedido:
",1),1,10),"-","/"))),"-"),SMS!A:A,SMS!K:K),0),0)</f>
        <v>0</v>
      </c>
      <c r="AO1474" s="109">
        <f ca="1">IF('Banco de Dados'!$AK1474&lt;&gt;"-",IF('Banco de Dados'!$F1474&lt;&gt;"-",IFERROR(_xlfn.XLOOKUP(_xlfn.CONCAT('Banco de Dados'!$A1474,IFERROR(IFERROR(VALUE(SUBSTITUTE(MID(_xlfn.TEXTAFTER('Banco de Dados'!$F1474,"Data do Pedido:
",1),1,10),"-","/")),VALUE(SUBSTITUTE(MID(_xlfn.TEXTAFTER('Banco de Dados'!$F1474,"Order date:
",1),1,10),"-","/"))),0)),ProxyDD[Chave],ProxyDD[Valor por pedido]),PROXY!$P$2),0),0)</f>
        <v>0</v>
      </c>
      <c r="AP1474" s="28">
        <f ca="1">IF('Banco de Dados'!$AK1474&lt;&gt;"-",IF('Banco de Dados'!$AL1474="NÃO",IFERROR(VALUE(SUBSTITUTE(_xlfn.TEXTAFTER('Banco de Dados'!$F1474,"BRL ",1),".",",")),0),0),0)</f>
        <v>0</v>
      </c>
      <c r="AQ1474" s="28">
        <f ca="1">SUM('Banco de Dados'!$AM1474:$AP1474)</f>
        <v>0</v>
      </c>
      <c r="AR1474" s="8"/>
      <c r="AY1474" s="8"/>
    </row>
    <row r="1475" spans="1:51">
      <c r="A1475" s="5" t="str">
        <v>MEI</v>
      </c>
      <c r="B1475" s="5" t="str">
        <f ca="1"/>
        <v>MEI45758</v>
      </c>
      <c r="C1475" s="8" t="str">
        <v>Pedido 1462</v>
      </c>
      <c r="D1475" s="187">
        <v>45754</v>
      </c>
      <c r="E1475" s="9">
        <v>45758</v>
      </c>
      <c r="F1475" s="8" t="str">
        <v>PedidoF1400</v>
      </c>
      <c r="G1475" s="2" t="str">
        <v>CódRastreio1398</v>
      </c>
      <c r="H1475" s="5">
        <v>1</v>
      </c>
      <c r="I1475" s="2" t="str">
        <v>CPF 1423</v>
      </c>
      <c r="J1475" s="2" t="str">
        <v>Nome 1423</v>
      </c>
      <c r="K1475" s="8" t="str">
        <v>Tel 1423</v>
      </c>
      <c r="L1475" s="8" t="str">
        <v>Cep 1423</v>
      </c>
      <c r="M1475" s="8" t="str">
        <v>Rua 1423</v>
      </c>
      <c r="N1475" s="8" t="str">
        <v>Comp 1423</v>
      </c>
      <c r="O1475" s="8" t="str">
        <v>Karaoke portátil</v>
      </c>
      <c r="P1475" s="8" t="str">
        <v>1I-EZPV-2Q78</v>
      </c>
      <c r="Q1475" s="4">
        <v>45784</v>
      </c>
      <c r="R1475" s="109">
        <v>52.93</v>
      </c>
      <c r="S1475" s="11">
        <f ca="1"/>
        <v>52.93</v>
      </c>
      <c r="T1475" s="28">
        <f ca="1"/>
        <v>7.9394999999999998</v>
      </c>
      <c r="U1475" s="11">
        <f ca="1"/>
        <v>44.99</v>
      </c>
      <c r="V1475" s="11">
        <v>21.89</v>
      </c>
      <c r="W1475" s="11">
        <f ca="1"/>
        <v>0.28999999999999998</v>
      </c>
      <c r="X1475" s="11">
        <f ca="1"/>
        <v>0.39877104377104378</v>
      </c>
      <c r="Y1475" s="11">
        <v>0</v>
      </c>
      <c r="Z1475" s="11">
        <f ca="1"/>
        <v>22.411228956228957</v>
      </c>
      <c r="AA1475" s="11">
        <f ca="1"/>
        <v>11.205614478114478</v>
      </c>
      <c r="AB1475" s="4">
        <f ca="1"/>
        <v>45791</v>
      </c>
      <c r="AC1475" s="4">
        <v>45791</v>
      </c>
      <c r="AD1475" s="9">
        <v>45793</v>
      </c>
      <c r="AE1475" s="9">
        <v>45797</v>
      </c>
      <c r="AF1475" s="4" t="str">
        <f t="shared" ref="AF1475:AF1486" ca="1" si="96">_xlfn.CONCAT(PROPER(TEXT(AB1475,"aaaa"))," ",PROPER(TEXT(AB1475,"mm")))</f>
        <v>2025 05</v>
      </c>
      <c r="AG1475" s="8" t="str" cm="1">
        <f t="array" ref="AG1475">IFERROR(_xlfn.IFS('Banco de Dados'!#REF!="AG. COMPRA","Em processamento",'Banco de Dados'!#REF!="AG. RASTREIO","Em processamento",'Banco de Dados'!$AE1475&lt;&gt;"-","Faturado",'Banco de Dados'!$AD1475&lt;&gt;"-","Aguardando Pix",'Banco de Dados'!$AC1475&lt;&gt;"-","Pendente"),"Aguardando Liberação")</f>
        <v>Aguardando Liberação</v>
      </c>
      <c r="AH1475" s="5" t="str">
        <f>IF('Banco de Dados'!$F1475="-",_xlfn.CONCAT(PROPER(TEXT(AK1475,"aaaa"))," ",PROPER(TEXT(AK1475,"mm"))),_xlfn.CONCAT(PROPER(TEXT(E1475,"aaaa"))," ",PROPER(TEXT(E1475,"mm"))))</f>
        <v>2025 04</v>
      </c>
      <c r="AI1475" s="9" t="str">
        <f ca="1">IF('Banco de Dados'!$AK1475&lt;&gt;"-","REEMBOLSO",IFERROR(_xlfn.XLOOKUP(G1475,Follow[CODRASTREIO],Follow[STATUS]),"-"))</f>
        <v>ENTREGUE</v>
      </c>
      <c r="AJ1475" s="9">
        <f ca="1">IF('Banco de Dados'!$AI1475="ENTREGUE",_xlfn.XLOOKUP('Banco de Dados'!$G1475,Follow[CODRASTREIO],Follow[DATAATUALIZAÇÃO]),"-")</f>
        <v>45776</v>
      </c>
      <c r="AK1475" s="132" t="str">
        <f ca="1"/>
        <v>-</v>
      </c>
      <c r="AL1475" s="35"/>
      <c r="AM1475" s="109" cm="1">
        <f t="array" aca="1" ref="AM1475" ca="1">IF('Banco de Dados'!$AK1475&lt;&gt;"-",_xlfn.IFS('Banco de Dados'!$A1475="bv",IF('Banco de Dados'!$E1475&lt;45641,ROUND(SUM('Banco de Dados'!$R1475*_xlfn.XLOOKUP('Banco de Dados'!$P1475,Sku!B:B,Sku!#REF!)*20%),2),ROUND(SUM('Banco de Dados'!$R1475*_xlfn.XLOOKUP('Banco de Dados'!$P1475,Sku!B:B,Sku!H:H)*20%),2)),'Banco de Dados'!$A1475="GO",ROUND(SUM('Banco de Dados'!$R1475*_xlfn.XLOOKUP('Banco de Dados'!$P1475,Sku!C:C,Sku!H:H)*20%),2),'Banco de Dados'!$A1475="MEI",ROUND(SUM('Banco de Dados'!$R1475*_xlfn.XLOOKUP('Banco de Dados'!$P1475,Sku!D:D,Sku!H:H)*20%),2)),0)</f>
        <v>0</v>
      </c>
      <c r="AN1475" s="109">
        <f ca="1">IF('Banco de Dados'!$AK1475&lt;&gt;"-",IF('Banco de Dados'!$F1475&lt;&gt;"-",_xlfn.XLOOKUP(IFERROR(IFERROR(IFERROR(VALUE(SUBSTITUTE(MID(_xlfn.TEXTAFTER('Banco de Dados'!$F1475,"Data do Pedido:
",1),1,10),"-","/")),VALUE(SUBSTITUTE(MID(_xlfn.TEXTAFTER('Banco de Dados'!$F1475,"Order date:
",1),1,10),"-","/"))),VALUE(SUBSTITUTE(MID(_xlfn.TEXTAFTER('Banco de Dados'!$F1475,"Fecha de pedido:
",1),1,10),"-","/"))),"-"),SMS!A:A,SMS!K:K),0),0)</f>
        <v>0</v>
      </c>
      <c r="AO1475" s="109">
        <f ca="1">IF('Banco de Dados'!$AK1475&lt;&gt;"-",IF('Banco de Dados'!$F1475&lt;&gt;"-",IFERROR(_xlfn.XLOOKUP(_xlfn.CONCAT('Banco de Dados'!$A1475,IFERROR(IFERROR(VALUE(SUBSTITUTE(MID(_xlfn.TEXTAFTER('Banco de Dados'!$F1475,"Data do Pedido:
",1),1,10),"-","/")),VALUE(SUBSTITUTE(MID(_xlfn.TEXTAFTER('Banco de Dados'!$F1475,"Order date:
",1),1,10),"-","/"))),0)),ProxyDD[Chave],ProxyDD[Valor por pedido]),PROXY!$P$2),0),0)</f>
        <v>0</v>
      </c>
      <c r="AP1475" s="28">
        <f ca="1">IF('Banco de Dados'!$AK1475&lt;&gt;"-",IF('Banco de Dados'!$AL1475="NÃO",IFERROR(VALUE(SUBSTITUTE(_xlfn.TEXTAFTER('Banco de Dados'!$F1475,"BRL ",1),".",",")),0),0),0)</f>
        <v>0</v>
      </c>
      <c r="AQ1475" s="28">
        <f ca="1">SUM('Banco de Dados'!$AM1475:$AP1475)</f>
        <v>0</v>
      </c>
      <c r="AR1475" s="8"/>
      <c r="AY1475" s="8"/>
    </row>
    <row r="1476" spans="1:51">
      <c r="A1476" s="5" t="str">
        <v>MEI</v>
      </c>
      <c r="B1476" s="5" t="str">
        <f ca="1"/>
        <v>MEI45758</v>
      </c>
      <c r="C1476" s="8" t="str">
        <v>Pedido 1463</v>
      </c>
      <c r="D1476" s="187">
        <v>45755</v>
      </c>
      <c r="E1476" s="9">
        <v>45758</v>
      </c>
      <c r="F1476" s="8" t="str">
        <v>PedidoF1401</v>
      </c>
      <c r="G1476" s="2" t="str">
        <v>CódRastreio1399</v>
      </c>
      <c r="H1476" s="5">
        <v>1</v>
      </c>
      <c r="I1476" s="2" t="str">
        <v>CPF 1424</v>
      </c>
      <c r="J1476" s="2" t="str">
        <v>Nome 1424</v>
      </c>
      <c r="K1476" s="8" t="str">
        <v>Tel 1424</v>
      </c>
      <c r="L1476" s="8" t="str">
        <v>Cep 1424</v>
      </c>
      <c r="M1476" s="8" t="str">
        <v>Rua 1424</v>
      </c>
      <c r="N1476" s="8" t="str">
        <v>Comp 1424</v>
      </c>
      <c r="O1476" s="8" t="str">
        <v>Brinquedo Bola Giratória voadora</v>
      </c>
      <c r="P1476" s="8" t="str">
        <v>Z0-F6CI-18CL</v>
      </c>
      <c r="Q1476" s="4">
        <v>45784</v>
      </c>
      <c r="R1476" s="109">
        <v>42.87</v>
      </c>
      <c r="S1476" s="11">
        <f ca="1"/>
        <v>42.87</v>
      </c>
      <c r="T1476" s="28">
        <f ca="1"/>
        <v>5.1443999999999992</v>
      </c>
      <c r="U1476" s="11">
        <f ca="1"/>
        <v>37.729999999999997</v>
      </c>
      <c r="V1476" s="11">
        <v>17.170000000000002</v>
      </c>
      <c r="W1476" s="11">
        <f ca="1"/>
        <v>0.28999999999999998</v>
      </c>
      <c r="X1476" s="11">
        <f ca="1"/>
        <v>0.39877104377104378</v>
      </c>
      <c r="Y1476" s="11">
        <v>0</v>
      </c>
      <c r="Z1476" s="11">
        <f ca="1"/>
        <v>19.871228956228951</v>
      </c>
      <c r="AA1476" s="11">
        <f ca="1"/>
        <v>9.9356144781144753</v>
      </c>
      <c r="AB1476" s="4">
        <f ca="1"/>
        <v>45791</v>
      </c>
      <c r="AC1476" s="4">
        <v>45791</v>
      </c>
      <c r="AD1476" s="9">
        <v>45793</v>
      </c>
      <c r="AE1476" s="9">
        <v>45797</v>
      </c>
      <c r="AF1476" s="4" t="str">
        <f t="shared" ca="1" si="96"/>
        <v>2025 05</v>
      </c>
      <c r="AG1476" s="8" t="str" cm="1">
        <f t="array" ref="AG1476">IFERROR(_xlfn.IFS('Banco de Dados'!#REF!="AG. COMPRA","Em processamento",'Banco de Dados'!#REF!="AG. RASTREIO","Em processamento",'Banco de Dados'!$AE1476&lt;&gt;"-","Faturado",'Banco de Dados'!$AD1476&lt;&gt;"-","Aguardando Pix",'Banco de Dados'!$AC1476&lt;&gt;"-","Pendente"),"Aguardando Liberação")</f>
        <v>Aguardando Liberação</v>
      </c>
      <c r="AH1476" s="5" t="str">
        <f>IF('Banco de Dados'!$F1476="-",_xlfn.CONCAT(PROPER(TEXT(AK1476,"aaaa"))," ",PROPER(TEXT(AK1476,"mm"))),_xlfn.CONCAT(PROPER(TEXT(E1476,"aaaa"))," ",PROPER(TEXT(E1476,"mm"))))</f>
        <v>2025 04</v>
      </c>
      <c r="AI1476" s="9" t="str">
        <f ca="1">IF('Banco de Dados'!$AK1476&lt;&gt;"-","REEMBOLSO",IFERROR(_xlfn.XLOOKUP(G1476,Follow[CODRASTREIO],Follow[STATUS]),"-"))</f>
        <v>ENTREGUE</v>
      </c>
      <c r="AJ1476" s="9">
        <f ca="1">IF('Banco de Dados'!$AI1476="ENTREGUE",_xlfn.XLOOKUP('Banco de Dados'!$G1476,Follow[CODRASTREIO],Follow[DATAATUALIZAÇÃO]),"-")</f>
        <v>45772</v>
      </c>
      <c r="AK1476" s="132" t="str">
        <f ca="1"/>
        <v>-</v>
      </c>
      <c r="AL1476" s="35"/>
      <c r="AM1476" s="109" cm="1">
        <f t="array" aca="1" ref="AM1476" ca="1">IF('Banco de Dados'!$AK1476&lt;&gt;"-",_xlfn.IFS('Banco de Dados'!$A1476="bv",IF('Banco de Dados'!$E1476&lt;45641,ROUND(SUM('Banco de Dados'!$R1476*_xlfn.XLOOKUP('Banco de Dados'!$P1476,Sku!B:B,Sku!#REF!)*20%),2),ROUND(SUM('Banco de Dados'!$R1476*_xlfn.XLOOKUP('Banco de Dados'!$P1476,Sku!B:B,Sku!H:H)*20%),2)),'Banco de Dados'!$A1476="GO",ROUND(SUM('Banco de Dados'!$R1476*_xlfn.XLOOKUP('Banco de Dados'!$P1476,Sku!C:C,Sku!H:H)*20%),2),'Banco de Dados'!$A1476="MEI",ROUND(SUM('Banco de Dados'!$R1476*_xlfn.XLOOKUP('Banco de Dados'!$P1476,Sku!D:D,Sku!H:H)*20%),2)),0)</f>
        <v>0</v>
      </c>
      <c r="AN1476" s="109">
        <f ca="1">IF('Banco de Dados'!$AK1476&lt;&gt;"-",IF('Banco de Dados'!$F1476&lt;&gt;"-",_xlfn.XLOOKUP(IFERROR(IFERROR(IFERROR(VALUE(SUBSTITUTE(MID(_xlfn.TEXTAFTER('Banco de Dados'!$F1476,"Data do Pedido:
",1),1,10),"-","/")),VALUE(SUBSTITUTE(MID(_xlfn.TEXTAFTER('Banco de Dados'!$F1476,"Order date:
",1),1,10),"-","/"))),VALUE(SUBSTITUTE(MID(_xlfn.TEXTAFTER('Banco de Dados'!$F1476,"Fecha de pedido:
",1),1,10),"-","/"))),"-"),SMS!A:A,SMS!K:K),0),0)</f>
        <v>0</v>
      </c>
      <c r="AO1476" s="109">
        <f ca="1">IF('Banco de Dados'!$AK1476&lt;&gt;"-",IF('Banco de Dados'!$F1476&lt;&gt;"-",IFERROR(_xlfn.XLOOKUP(_xlfn.CONCAT('Banco de Dados'!$A1476,IFERROR(IFERROR(VALUE(SUBSTITUTE(MID(_xlfn.TEXTAFTER('Banco de Dados'!$F1476,"Data do Pedido:
",1),1,10),"-","/")),VALUE(SUBSTITUTE(MID(_xlfn.TEXTAFTER('Banco de Dados'!$F1476,"Order date:
",1),1,10),"-","/"))),0)),ProxyDD[Chave],ProxyDD[Valor por pedido]),PROXY!$P$2),0),0)</f>
        <v>0</v>
      </c>
      <c r="AP1476" s="28">
        <f ca="1">IF('Banco de Dados'!$AK1476&lt;&gt;"-",IF('Banco de Dados'!$AL1476="NÃO",IFERROR(VALUE(SUBSTITUTE(_xlfn.TEXTAFTER('Banco de Dados'!$F1476,"BRL ",1),".",",")),0),0),0)</f>
        <v>0</v>
      </c>
      <c r="AQ1476" s="28">
        <f ca="1">SUM('Banco de Dados'!$AM1476:$AP1476)</f>
        <v>0</v>
      </c>
      <c r="AR1476" s="8"/>
      <c r="AY1476" s="8"/>
    </row>
    <row r="1477" spans="1:51">
      <c r="A1477" s="5" t="str">
        <v>MEI</v>
      </c>
      <c r="B1477" s="5" t="str">
        <f ca="1"/>
        <v>MEI45758</v>
      </c>
      <c r="C1477" s="8" t="str">
        <v>Pedido 1464</v>
      </c>
      <c r="D1477" s="187">
        <v>45755</v>
      </c>
      <c r="E1477" s="9">
        <v>45758</v>
      </c>
      <c r="F1477" s="8" t="str">
        <v>PedidoF1402</v>
      </c>
      <c r="G1477" s="2" t="str">
        <v>CódRastreio1400</v>
      </c>
      <c r="H1477" s="5">
        <v>1</v>
      </c>
      <c r="I1477" s="2" t="str">
        <v>CPF 1425</v>
      </c>
      <c r="J1477" s="2" t="str">
        <v>Nome 1425</v>
      </c>
      <c r="K1477" s="8" t="str">
        <v>Tel 1425</v>
      </c>
      <c r="L1477" s="8" t="str">
        <v>Cep 1425</v>
      </c>
      <c r="M1477" s="8" t="str">
        <v>Rua 1425</v>
      </c>
      <c r="N1477" s="8" t="str">
        <v>Comp 1425</v>
      </c>
      <c r="O1477" s="8" t="str">
        <v>Copo Termico</v>
      </c>
      <c r="P1477" s="8" t="str">
        <v>VI-4RT5-1FFO</v>
      </c>
      <c r="Q1477" s="4">
        <v>45791</v>
      </c>
      <c r="R1477" s="109">
        <v>22.7</v>
      </c>
      <c r="S1477" s="11">
        <f ca="1"/>
        <v>22.7</v>
      </c>
      <c r="T1477" s="28">
        <f ca="1"/>
        <v>2.7239999999999998</v>
      </c>
      <c r="U1477" s="11">
        <f ca="1"/>
        <v>19.98</v>
      </c>
      <c r="V1477" s="11">
        <v>16.649999999999999</v>
      </c>
      <c r="W1477" s="11">
        <f ca="1"/>
        <v>0.28999999999999998</v>
      </c>
      <c r="X1477" s="11">
        <f ca="1"/>
        <v>0.39877104377104378</v>
      </c>
      <c r="Y1477" s="11">
        <v>0</v>
      </c>
      <c r="Z1477" s="11">
        <f ca="1"/>
        <v>2.6412289562289573</v>
      </c>
      <c r="AA1477" s="11">
        <f ca="1"/>
        <v>1.3206144781144786</v>
      </c>
      <c r="AB1477" s="4">
        <f ca="1"/>
        <v>45798</v>
      </c>
      <c r="AC1477" s="4">
        <v>45798</v>
      </c>
      <c r="AD1477" s="9">
        <v>45807</v>
      </c>
      <c r="AE1477" s="9">
        <v>45810</v>
      </c>
      <c r="AF1477" s="4" t="str">
        <f t="shared" ca="1" si="96"/>
        <v>2025 05</v>
      </c>
      <c r="AG1477" s="8" t="str" cm="1">
        <f t="array" ref="AG1477">IFERROR(_xlfn.IFS('Banco de Dados'!#REF!="AG. COMPRA","Em processamento",'Banco de Dados'!#REF!="AG. RASTREIO","Em processamento",'Banco de Dados'!$AE1477&lt;&gt;"-","Faturado",'Banco de Dados'!$AD1477&lt;&gt;"-","Aguardando Pix",'Banco de Dados'!$AC1477&lt;&gt;"-","Pendente"),"Aguardando Liberação")</f>
        <v>Aguardando Liberação</v>
      </c>
      <c r="AH1477" s="5" t="str">
        <f>IF('Banco de Dados'!$F1477="-",_xlfn.CONCAT(PROPER(TEXT(AK1477,"aaaa"))," ",PROPER(TEXT(AK1477,"mm"))),_xlfn.CONCAT(PROPER(TEXT(E1477,"aaaa"))," ",PROPER(TEXT(E1477,"mm"))))</f>
        <v>2025 04</v>
      </c>
      <c r="AI1477" s="9" t="str">
        <f ca="1">IF('Banco de Dados'!$AK1477&lt;&gt;"-","REEMBOLSO",IFERROR(_xlfn.XLOOKUP(G1477,Follow[CODRASTREIO],Follow[STATUS]),"-"))</f>
        <v>ENTREGUE</v>
      </c>
      <c r="AJ1477" s="9">
        <f ca="1">IF('Banco de Dados'!$AI1477="ENTREGUE",_xlfn.XLOOKUP('Banco de Dados'!$G1477,Follow[CODRASTREIO],Follow[DATAATUALIZAÇÃO]),"-")</f>
        <v>45772</v>
      </c>
      <c r="AK1477" s="132" t="str">
        <f ca="1"/>
        <v>-</v>
      </c>
      <c r="AL1477" s="35"/>
      <c r="AM1477" s="109" cm="1">
        <f t="array" aca="1" ref="AM1477" ca="1">IF('Banco de Dados'!$AK1477&lt;&gt;"-",_xlfn.IFS('Banco de Dados'!$A1477="bv",IF('Banco de Dados'!$E1477&lt;45641,ROUND(SUM('Banco de Dados'!$R1477*_xlfn.XLOOKUP('Banco de Dados'!$P1477,Sku!B:B,Sku!#REF!)*20%),2),ROUND(SUM('Banco de Dados'!$R1477*_xlfn.XLOOKUP('Banco de Dados'!$P1477,Sku!B:B,Sku!H:H)*20%),2)),'Banco de Dados'!$A1477="GO",ROUND(SUM('Banco de Dados'!$R1477*_xlfn.XLOOKUP('Banco de Dados'!$P1477,Sku!C:C,Sku!H:H)*20%),2),'Banco de Dados'!$A1477="MEI",ROUND(SUM('Banco de Dados'!$R1477*_xlfn.XLOOKUP('Banco de Dados'!$P1477,Sku!D:D,Sku!H:H)*20%),2)),0)</f>
        <v>0</v>
      </c>
      <c r="AN1477" s="109">
        <f ca="1">IF('Banco de Dados'!$AK1477&lt;&gt;"-",IF('Banco de Dados'!$F1477&lt;&gt;"-",_xlfn.XLOOKUP(IFERROR(IFERROR(IFERROR(VALUE(SUBSTITUTE(MID(_xlfn.TEXTAFTER('Banco de Dados'!$F1477,"Data do Pedido:
",1),1,10),"-","/")),VALUE(SUBSTITUTE(MID(_xlfn.TEXTAFTER('Banco de Dados'!$F1477,"Order date:
",1),1,10),"-","/"))),VALUE(SUBSTITUTE(MID(_xlfn.TEXTAFTER('Banco de Dados'!$F1477,"Fecha de pedido:
",1),1,10),"-","/"))),"-"),SMS!A:A,SMS!K:K),0),0)</f>
        <v>0</v>
      </c>
      <c r="AO1477" s="109">
        <f ca="1">IF('Banco de Dados'!$AK1477&lt;&gt;"-",IF('Banco de Dados'!$F1477&lt;&gt;"-",IFERROR(_xlfn.XLOOKUP(_xlfn.CONCAT('Banco de Dados'!$A1477,IFERROR(IFERROR(VALUE(SUBSTITUTE(MID(_xlfn.TEXTAFTER('Banco de Dados'!$F1477,"Data do Pedido:
",1),1,10),"-","/")),VALUE(SUBSTITUTE(MID(_xlfn.TEXTAFTER('Banco de Dados'!$F1477,"Order date:
",1),1,10),"-","/"))),0)),ProxyDD[Chave],ProxyDD[Valor por pedido]),PROXY!$P$2),0),0)</f>
        <v>0</v>
      </c>
      <c r="AP1477" s="28">
        <f ca="1">IF('Banco de Dados'!$AK1477&lt;&gt;"-",IF('Banco de Dados'!$AL1477="NÃO",IFERROR(VALUE(SUBSTITUTE(_xlfn.TEXTAFTER('Banco de Dados'!$F1477,"BRL ",1),".",",")),0),0),0)</f>
        <v>0</v>
      </c>
      <c r="AQ1477" s="28">
        <f ca="1">SUM('Banco de Dados'!$AM1477:$AP1477)</f>
        <v>0</v>
      </c>
      <c r="AR1477" s="8"/>
      <c r="AY1477" s="8"/>
    </row>
    <row r="1478" spans="1:51">
      <c r="A1478" s="5" t="str">
        <v>MEI</v>
      </c>
      <c r="B1478" s="5" t="str">
        <f ca="1"/>
        <v>MEI45758</v>
      </c>
      <c r="C1478" s="8" t="str">
        <v>Pedido 1465</v>
      </c>
      <c r="D1478" s="187">
        <v>45754</v>
      </c>
      <c r="E1478" s="9">
        <v>45758</v>
      </c>
      <c r="F1478" s="8" t="str">
        <v>PedidoF1403</v>
      </c>
      <c r="G1478" s="2" t="str">
        <v>CódRastreio1401</v>
      </c>
      <c r="H1478" s="5">
        <v>1</v>
      </c>
      <c r="I1478" s="2" t="str">
        <v>CPF 1426</v>
      </c>
      <c r="J1478" s="2" t="str">
        <v>Nome 1426</v>
      </c>
      <c r="K1478" s="8" t="str">
        <v>Tel 1426</v>
      </c>
      <c r="L1478" s="8" t="str">
        <v>Cep 1426</v>
      </c>
      <c r="M1478" s="8" t="str">
        <v>Rua 1426</v>
      </c>
      <c r="N1478" s="8" t="str">
        <v>Comp 1426</v>
      </c>
      <c r="O1478" s="8" t="str">
        <v>Copo Termico</v>
      </c>
      <c r="P1478" s="8" t="str">
        <v>VI-4RT5-1FFO</v>
      </c>
      <c r="Q1478" s="4">
        <v>45784</v>
      </c>
      <c r="R1478" s="109">
        <v>22.7</v>
      </c>
      <c r="S1478" s="11">
        <f ca="1"/>
        <v>22.7</v>
      </c>
      <c r="T1478" s="28">
        <f ca="1"/>
        <v>2.7239999999999998</v>
      </c>
      <c r="U1478" s="11">
        <f ca="1"/>
        <v>19.98</v>
      </c>
      <c r="V1478" s="11">
        <v>14.41</v>
      </c>
      <c r="W1478" s="11">
        <f ca="1"/>
        <v>0.28999999999999998</v>
      </c>
      <c r="X1478" s="11">
        <f ca="1"/>
        <v>0.39877104377104378</v>
      </c>
      <c r="Y1478" s="11">
        <v>0</v>
      </c>
      <c r="Z1478" s="11">
        <f ca="1"/>
        <v>4.8812289562289575</v>
      </c>
      <c r="AA1478" s="11">
        <f ca="1"/>
        <v>2.4406144781144787</v>
      </c>
      <c r="AB1478" s="4">
        <f ca="1"/>
        <v>45791</v>
      </c>
      <c r="AC1478" s="4">
        <v>45791</v>
      </c>
      <c r="AD1478" s="9">
        <v>45793</v>
      </c>
      <c r="AE1478" s="9">
        <v>45797</v>
      </c>
      <c r="AF1478" s="4" t="str">
        <f t="shared" ca="1" si="96"/>
        <v>2025 05</v>
      </c>
      <c r="AG1478" s="8" t="str" cm="1">
        <f t="array" ref="AG1478">IFERROR(_xlfn.IFS('Banco de Dados'!#REF!="AG. COMPRA","Em processamento",'Banco de Dados'!#REF!="AG. RASTREIO","Em processamento",'Banco de Dados'!$AE1478&lt;&gt;"-","Faturado",'Banco de Dados'!$AD1478&lt;&gt;"-","Aguardando Pix",'Banco de Dados'!$AC1478&lt;&gt;"-","Pendente"),"Aguardando Liberação")</f>
        <v>Aguardando Liberação</v>
      </c>
      <c r="AH1478" s="5" t="str">
        <f>IF('Banco de Dados'!$F1478="-",_xlfn.CONCAT(PROPER(TEXT(AK1478,"aaaa"))," ",PROPER(TEXT(AK1478,"mm"))),_xlfn.CONCAT(PROPER(TEXT(E1478,"aaaa"))," ",PROPER(TEXT(E1478,"mm"))))</f>
        <v>2025 04</v>
      </c>
      <c r="AI1478" s="9" t="str">
        <f ca="1">IF('Banco de Dados'!$AK1478&lt;&gt;"-","REEMBOLSO",IFERROR(_xlfn.XLOOKUP(G1478,Follow[CODRASTREIO],Follow[STATUS]),"-"))</f>
        <v>ENTREGUE</v>
      </c>
      <c r="AJ1478" s="9">
        <f ca="1">IF('Banco de Dados'!$AI1478="ENTREGUE",_xlfn.XLOOKUP('Banco de Dados'!$G1478,Follow[CODRASTREIO],Follow[DATAATUALIZAÇÃO]),"-")</f>
        <v>45770</v>
      </c>
      <c r="AK1478" s="132" t="str">
        <f ca="1"/>
        <v>-</v>
      </c>
      <c r="AL1478" s="35"/>
      <c r="AM1478" s="109" cm="1">
        <f t="array" aca="1" ref="AM1478" ca="1">IF('Banco de Dados'!$AK1478&lt;&gt;"-",_xlfn.IFS('Banco de Dados'!$A1478="bv",IF('Banco de Dados'!$E1478&lt;45641,ROUND(SUM('Banco de Dados'!$R1478*_xlfn.XLOOKUP('Banco de Dados'!$P1478,Sku!B:B,Sku!#REF!)*20%),2),ROUND(SUM('Banco de Dados'!$R1478*_xlfn.XLOOKUP('Banco de Dados'!$P1478,Sku!B:B,Sku!H:H)*20%),2)),'Banco de Dados'!$A1478="GO",ROUND(SUM('Banco de Dados'!$R1478*_xlfn.XLOOKUP('Banco de Dados'!$P1478,Sku!C:C,Sku!H:H)*20%),2),'Banco de Dados'!$A1478="MEI",ROUND(SUM('Banco de Dados'!$R1478*_xlfn.XLOOKUP('Banco de Dados'!$P1478,Sku!D:D,Sku!H:H)*20%),2)),0)</f>
        <v>0</v>
      </c>
      <c r="AN1478" s="109">
        <f ca="1">IF('Banco de Dados'!$AK1478&lt;&gt;"-",IF('Banco de Dados'!$F1478&lt;&gt;"-",_xlfn.XLOOKUP(IFERROR(IFERROR(IFERROR(VALUE(SUBSTITUTE(MID(_xlfn.TEXTAFTER('Banco de Dados'!$F1478,"Data do Pedido:
",1),1,10),"-","/")),VALUE(SUBSTITUTE(MID(_xlfn.TEXTAFTER('Banco de Dados'!$F1478,"Order date:
",1),1,10),"-","/"))),VALUE(SUBSTITUTE(MID(_xlfn.TEXTAFTER('Banco de Dados'!$F1478,"Fecha de pedido:
",1),1,10),"-","/"))),"-"),SMS!A:A,SMS!K:K),0),0)</f>
        <v>0</v>
      </c>
      <c r="AO1478" s="109">
        <f ca="1">IF('Banco de Dados'!$AK1478&lt;&gt;"-",IF('Banco de Dados'!$F1478&lt;&gt;"-",IFERROR(_xlfn.XLOOKUP(_xlfn.CONCAT('Banco de Dados'!$A1478,IFERROR(IFERROR(VALUE(SUBSTITUTE(MID(_xlfn.TEXTAFTER('Banco de Dados'!$F1478,"Data do Pedido:
",1),1,10),"-","/")),VALUE(SUBSTITUTE(MID(_xlfn.TEXTAFTER('Banco de Dados'!$F1478,"Order date:
",1),1,10),"-","/"))),0)),ProxyDD[Chave],ProxyDD[Valor por pedido]),PROXY!$P$2),0),0)</f>
        <v>0</v>
      </c>
      <c r="AP1478" s="28">
        <f ca="1">IF('Banco de Dados'!$AK1478&lt;&gt;"-",IF('Banco de Dados'!$AL1478="NÃO",IFERROR(VALUE(SUBSTITUTE(_xlfn.TEXTAFTER('Banco de Dados'!$F1478,"BRL ",1),".",",")),0),0),0)</f>
        <v>0</v>
      </c>
      <c r="AQ1478" s="28">
        <f ca="1">SUM('Banco de Dados'!$AM1478:$AP1478)</f>
        <v>0</v>
      </c>
      <c r="AR1478" s="8"/>
      <c r="AY1478" s="8"/>
    </row>
    <row r="1479" spans="1:51">
      <c r="A1479" s="5" t="str">
        <v>MEI</v>
      </c>
      <c r="B1479" s="5" t="str">
        <f ca="1"/>
        <v>MEI45759</v>
      </c>
      <c r="C1479" s="8" t="str">
        <v>Pedido 1466</v>
      </c>
      <c r="D1479" s="187">
        <v>45755</v>
      </c>
      <c r="E1479" s="9">
        <v>45759</v>
      </c>
      <c r="F1479" s="8" t="str">
        <v>PedidoF1404</v>
      </c>
      <c r="G1479" s="2" t="str">
        <v>CódRastreio1402</v>
      </c>
      <c r="H1479" s="5">
        <v>1</v>
      </c>
      <c r="I1479" s="2" t="str">
        <v>CPF 1427</v>
      </c>
      <c r="J1479" s="2" t="str">
        <v>Nome 1427</v>
      </c>
      <c r="K1479" s="8" t="str">
        <v>Tel 1427</v>
      </c>
      <c r="L1479" s="8" t="str">
        <v>Cep 1427</v>
      </c>
      <c r="M1479" s="8" t="str">
        <v>Rua 1427</v>
      </c>
      <c r="N1479" s="8" t="str">
        <v>Comp 1427</v>
      </c>
      <c r="O1479" s="8" t="str">
        <v>Copo Termico</v>
      </c>
      <c r="P1479" s="8" t="str">
        <v>VI-4RT5-1FFO</v>
      </c>
      <c r="Q1479" s="4">
        <v>45784</v>
      </c>
      <c r="R1479" s="109">
        <v>22.7</v>
      </c>
      <c r="S1479" s="11">
        <f ca="1"/>
        <v>22.7</v>
      </c>
      <c r="T1479" s="28">
        <f ca="1"/>
        <v>2.7239999999999998</v>
      </c>
      <c r="U1479" s="11">
        <f ca="1"/>
        <v>19.98</v>
      </c>
      <c r="V1479" s="11">
        <v>11.92</v>
      </c>
      <c r="W1479" s="11">
        <f ca="1"/>
        <v>0.15</v>
      </c>
      <c r="X1479" s="11">
        <f ca="1"/>
        <v>0.39877104377104378</v>
      </c>
      <c r="Y1479" s="11">
        <v>0</v>
      </c>
      <c r="Z1479" s="11">
        <f ca="1"/>
        <v>7.5112289562289565</v>
      </c>
      <c r="AA1479" s="11">
        <f ca="1"/>
        <v>3.7556144781144782</v>
      </c>
      <c r="AB1479" s="4">
        <f ca="1"/>
        <v>45791</v>
      </c>
      <c r="AC1479" s="4">
        <v>45791</v>
      </c>
      <c r="AD1479" s="9">
        <v>45793</v>
      </c>
      <c r="AE1479" s="9">
        <v>45797</v>
      </c>
      <c r="AF1479" s="4" t="str">
        <f t="shared" ca="1" si="96"/>
        <v>2025 05</v>
      </c>
      <c r="AG1479" s="8" t="str" cm="1">
        <f t="array" ref="AG1479">IFERROR(_xlfn.IFS('Banco de Dados'!#REF!="AG. COMPRA","Em processamento",'Banco de Dados'!#REF!="AG. RASTREIO","Em processamento",'Banco de Dados'!$AE1479&lt;&gt;"-","Faturado",'Banco de Dados'!$AD1479&lt;&gt;"-","Aguardando Pix",'Banco de Dados'!$AC1479&lt;&gt;"-","Pendente"),"Aguardando Liberação")</f>
        <v>Aguardando Liberação</v>
      </c>
      <c r="AH1479" s="5" t="str">
        <f>IF('Banco de Dados'!$F1479="-",_xlfn.CONCAT(PROPER(TEXT(AK1479,"aaaa"))," ",PROPER(TEXT(AK1479,"mm"))),_xlfn.CONCAT(PROPER(TEXT(E1479,"aaaa"))," ",PROPER(TEXT(E1479,"mm"))))</f>
        <v>2025 04</v>
      </c>
      <c r="AI1479" s="9" t="str">
        <f ca="1">IF('Banco de Dados'!$AK1479&lt;&gt;"-","REEMBOLSO",IFERROR(_xlfn.XLOOKUP(G1479,Follow[CODRASTREIO],Follow[STATUS]),"-"))</f>
        <v>ENTREGUE</v>
      </c>
      <c r="AJ1479" s="9">
        <f ca="1">IF('Banco de Dados'!$AI1479="ENTREGUE",_xlfn.XLOOKUP('Banco de Dados'!$G1479,Follow[CODRASTREIO],Follow[DATAATUALIZAÇÃO]),"-")</f>
        <v>45764</v>
      </c>
      <c r="AK1479" s="132" t="str">
        <f ca="1"/>
        <v>-</v>
      </c>
      <c r="AL1479" s="35"/>
      <c r="AM1479" s="109" cm="1">
        <f t="array" aca="1" ref="AM1479" ca="1">IF('Banco de Dados'!$AK1479&lt;&gt;"-",_xlfn.IFS('Banco de Dados'!$A1479="bv",IF('Banco de Dados'!$E1479&lt;45641,ROUND(SUM('Banco de Dados'!$R1479*_xlfn.XLOOKUP('Banco de Dados'!$P1479,Sku!B:B,Sku!#REF!)*20%),2),ROUND(SUM('Banco de Dados'!$R1479*_xlfn.XLOOKUP('Banco de Dados'!$P1479,Sku!B:B,Sku!H:H)*20%),2)),'Banco de Dados'!$A1479="GO",ROUND(SUM('Banco de Dados'!$R1479*_xlfn.XLOOKUP('Banco de Dados'!$P1479,Sku!C:C,Sku!H:H)*20%),2),'Banco de Dados'!$A1479="MEI",ROUND(SUM('Banco de Dados'!$R1479*_xlfn.XLOOKUP('Banco de Dados'!$P1479,Sku!D:D,Sku!H:H)*20%),2)),0)</f>
        <v>0</v>
      </c>
      <c r="AN1479" s="109">
        <f ca="1">IF('Banco de Dados'!$AK1479&lt;&gt;"-",IF('Banco de Dados'!$F1479&lt;&gt;"-",_xlfn.XLOOKUP(IFERROR(IFERROR(IFERROR(VALUE(SUBSTITUTE(MID(_xlfn.TEXTAFTER('Banco de Dados'!$F1479,"Data do Pedido:
",1),1,10),"-","/")),VALUE(SUBSTITUTE(MID(_xlfn.TEXTAFTER('Banco de Dados'!$F1479,"Order date:
",1),1,10),"-","/"))),VALUE(SUBSTITUTE(MID(_xlfn.TEXTAFTER('Banco de Dados'!$F1479,"Fecha de pedido:
",1),1,10),"-","/"))),"-"),SMS!A:A,SMS!K:K),0),0)</f>
        <v>0</v>
      </c>
      <c r="AO1479" s="109">
        <f ca="1">IF('Banco de Dados'!$AK1479&lt;&gt;"-",IF('Banco de Dados'!$F1479&lt;&gt;"-",IFERROR(_xlfn.XLOOKUP(_xlfn.CONCAT('Banco de Dados'!$A1479,IFERROR(IFERROR(VALUE(SUBSTITUTE(MID(_xlfn.TEXTAFTER('Banco de Dados'!$F1479,"Data do Pedido:
",1),1,10),"-","/")),VALUE(SUBSTITUTE(MID(_xlfn.TEXTAFTER('Banco de Dados'!$F1479,"Order date:
",1),1,10),"-","/"))),0)),ProxyDD[Chave],ProxyDD[Valor por pedido]),PROXY!$P$2),0),0)</f>
        <v>0</v>
      </c>
      <c r="AP1479" s="28">
        <f ca="1">IF('Banco de Dados'!$AK1479&lt;&gt;"-",IF('Banco de Dados'!$AL1479="NÃO",IFERROR(VALUE(SUBSTITUTE(_xlfn.TEXTAFTER('Banco de Dados'!$F1479,"BRL ",1),".",",")),0),0),0)</f>
        <v>0</v>
      </c>
      <c r="AQ1479" s="28">
        <f ca="1">SUM('Banco de Dados'!$AM1479:$AP1479)</f>
        <v>0</v>
      </c>
      <c r="AR1479" s="8"/>
      <c r="AY1479" s="8"/>
    </row>
    <row r="1480" spans="1:51">
      <c r="A1480" s="5" t="str">
        <v>MEI</v>
      </c>
      <c r="B1480" s="5" t="str">
        <f ca="1"/>
        <v>MEI45758</v>
      </c>
      <c r="C1480" s="8" t="str">
        <v>Pedido 1467</v>
      </c>
      <c r="D1480" s="187">
        <v>45755</v>
      </c>
      <c r="E1480" s="9">
        <v>45758</v>
      </c>
      <c r="F1480" s="8" t="str">
        <v>PedidoF1405</v>
      </c>
      <c r="G1480" s="2" t="str">
        <v>CódRastreio1403</v>
      </c>
      <c r="H1480" s="5">
        <v>1</v>
      </c>
      <c r="I1480" s="2" t="str">
        <v>CPF 1428</v>
      </c>
      <c r="J1480" s="2" t="str">
        <v>Nome 1428</v>
      </c>
      <c r="K1480" s="8" t="str">
        <v>Tel 1428</v>
      </c>
      <c r="L1480" s="8" t="str">
        <v>Cep 1428</v>
      </c>
      <c r="M1480" s="8" t="str">
        <v>Rua 1428</v>
      </c>
      <c r="N1480" s="8" t="str">
        <v>Comp 1428</v>
      </c>
      <c r="O1480" s="8" t="str">
        <v>Brinquedo Bola Giratória voadora</v>
      </c>
      <c r="P1480" s="8" t="str">
        <v>Z0-F6CI-18CL</v>
      </c>
      <c r="Q1480" s="4">
        <v>45778</v>
      </c>
      <c r="R1480" s="109">
        <v>42.87</v>
      </c>
      <c r="S1480" s="11">
        <f ca="1"/>
        <v>42.87</v>
      </c>
      <c r="T1480" s="28">
        <f ca="1"/>
        <v>5.1443999999999992</v>
      </c>
      <c r="U1480" s="11">
        <f ca="1"/>
        <v>37.729999999999997</v>
      </c>
      <c r="V1480" s="11">
        <v>24.38</v>
      </c>
      <c r="W1480" s="11">
        <f ca="1"/>
        <v>0.28999999999999998</v>
      </c>
      <c r="X1480" s="11">
        <f ca="1"/>
        <v>0.39877104377104378</v>
      </c>
      <c r="Y1480" s="11">
        <v>0</v>
      </c>
      <c r="Z1480" s="11">
        <f ca="1"/>
        <v>12.661228956228953</v>
      </c>
      <c r="AA1480" s="11">
        <f ca="1"/>
        <v>6.3306144781144766</v>
      </c>
      <c r="AB1480" s="4">
        <f ca="1"/>
        <v>45785</v>
      </c>
      <c r="AC1480" s="4">
        <v>45785</v>
      </c>
      <c r="AD1480" s="9">
        <v>45793</v>
      </c>
      <c r="AE1480" s="9">
        <v>45797</v>
      </c>
      <c r="AF1480" s="4" t="str">
        <f t="shared" ca="1" si="96"/>
        <v>2025 05</v>
      </c>
      <c r="AG1480" s="8" t="str" cm="1">
        <f t="array" ref="AG1480">IFERROR(_xlfn.IFS('Banco de Dados'!#REF!="AG. COMPRA","Em processamento",'Banco de Dados'!#REF!="AG. RASTREIO","Em processamento",'Banco de Dados'!$AE1480&lt;&gt;"-","Faturado",'Banco de Dados'!$AD1480&lt;&gt;"-","Aguardando Pix",'Banco de Dados'!$AC1480&lt;&gt;"-","Pendente"),"Aguardando Liberação")</f>
        <v>Aguardando Liberação</v>
      </c>
      <c r="AH1480" s="5" t="str">
        <f>IF('Banco de Dados'!$F1480="-",_xlfn.CONCAT(PROPER(TEXT(AK1480,"aaaa"))," ",PROPER(TEXT(AK1480,"mm"))),_xlfn.CONCAT(PROPER(TEXT(E1480,"aaaa"))," ",PROPER(TEXT(E1480,"mm"))))</f>
        <v>2025 04</v>
      </c>
      <c r="AI1480" s="9" t="str">
        <f ca="1">IF('Banco de Dados'!$AK1480&lt;&gt;"-","REEMBOLSO",IFERROR(_xlfn.XLOOKUP(G1480,Follow[CODRASTREIO],Follow[STATUS]),"-"))</f>
        <v>ENTREGUE</v>
      </c>
      <c r="AJ1480" s="9">
        <f ca="1">IF('Banco de Dados'!$AI1480="ENTREGUE",_xlfn.XLOOKUP('Banco de Dados'!$G1480,Follow[CODRASTREIO],Follow[DATAATUALIZAÇÃO]),"-")</f>
        <v>45771</v>
      </c>
      <c r="AK1480" s="132" t="str">
        <f ca="1"/>
        <v>-</v>
      </c>
      <c r="AL1480" s="35"/>
      <c r="AM1480" s="109" cm="1">
        <f t="array" aca="1" ref="AM1480" ca="1">IF('Banco de Dados'!$AK1480&lt;&gt;"-",_xlfn.IFS('Banco de Dados'!$A1480="bv",IF('Banco de Dados'!$E1480&lt;45641,ROUND(SUM('Banco de Dados'!$R1480*_xlfn.XLOOKUP('Banco de Dados'!$P1480,Sku!B:B,Sku!#REF!)*20%),2),ROUND(SUM('Banco de Dados'!$R1480*_xlfn.XLOOKUP('Banco de Dados'!$P1480,Sku!B:B,Sku!H:H)*20%),2)),'Banco de Dados'!$A1480="GO",ROUND(SUM('Banco de Dados'!$R1480*_xlfn.XLOOKUP('Banco de Dados'!$P1480,Sku!C:C,Sku!H:H)*20%),2),'Banco de Dados'!$A1480="MEI",ROUND(SUM('Banco de Dados'!$R1480*_xlfn.XLOOKUP('Banco de Dados'!$P1480,Sku!D:D,Sku!H:H)*20%),2)),0)</f>
        <v>0</v>
      </c>
      <c r="AN1480" s="109">
        <f ca="1">IF('Banco de Dados'!$AK1480&lt;&gt;"-",IF('Banco de Dados'!$F1480&lt;&gt;"-",_xlfn.XLOOKUP(IFERROR(IFERROR(IFERROR(VALUE(SUBSTITUTE(MID(_xlfn.TEXTAFTER('Banco de Dados'!$F1480,"Data do Pedido:
",1),1,10),"-","/")),VALUE(SUBSTITUTE(MID(_xlfn.TEXTAFTER('Banco de Dados'!$F1480,"Order date:
",1),1,10),"-","/"))),VALUE(SUBSTITUTE(MID(_xlfn.TEXTAFTER('Banco de Dados'!$F1480,"Fecha de pedido:
",1),1,10),"-","/"))),"-"),SMS!A:A,SMS!K:K),0),0)</f>
        <v>0</v>
      </c>
      <c r="AO1480" s="109">
        <f ca="1">IF('Banco de Dados'!$AK1480&lt;&gt;"-",IF('Banco de Dados'!$F1480&lt;&gt;"-",IFERROR(_xlfn.XLOOKUP(_xlfn.CONCAT('Banco de Dados'!$A1480,IFERROR(IFERROR(VALUE(SUBSTITUTE(MID(_xlfn.TEXTAFTER('Banco de Dados'!$F1480,"Data do Pedido:
",1),1,10),"-","/")),VALUE(SUBSTITUTE(MID(_xlfn.TEXTAFTER('Banco de Dados'!$F1480,"Order date:
",1),1,10),"-","/"))),0)),ProxyDD[Chave],ProxyDD[Valor por pedido]),PROXY!$P$2),0),0)</f>
        <v>0</v>
      </c>
      <c r="AP1480" s="28">
        <f ca="1">IF('Banco de Dados'!$AK1480&lt;&gt;"-",IF('Banco de Dados'!$AL1480="NÃO",IFERROR(VALUE(SUBSTITUTE(_xlfn.TEXTAFTER('Banco de Dados'!$F1480,"BRL ",1),".",",")),0),0),0)</f>
        <v>0</v>
      </c>
      <c r="AQ1480" s="28">
        <f ca="1">SUM('Banco de Dados'!$AM1480:$AP1480)</f>
        <v>0</v>
      </c>
      <c r="AR1480" s="8"/>
      <c r="AY1480" s="8"/>
    </row>
    <row r="1481" spans="1:51">
      <c r="A1481" s="5" t="str">
        <v>MEI</v>
      </c>
      <c r="B1481" s="5" t="str">
        <f ca="1"/>
        <v>MEI45758</v>
      </c>
      <c r="C1481" s="8" t="str">
        <v>Pedido 1468</v>
      </c>
      <c r="D1481" s="187">
        <v>45755</v>
      </c>
      <c r="E1481" s="9">
        <v>45758</v>
      </c>
      <c r="F1481" s="8" t="str">
        <v>PedidoF1406</v>
      </c>
      <c r="G1481" s="2" t="str">
        <v>CódRastreio1404</v>
      </c>
      <c r="H1481" s="5">
        <v>1</v>
      </c>
      <c r="I1481" s="2" t="str">
        <v>CPF 1428</v>
      </c>
      <c r="J1481" s="2" t="str">
        <v>Nome 1428</v>
      </c>
      <c r="K1481" s="8" t="str">
        <v>Tel 1428</v>
      </c>
      <c r="L1481" s="8" t="str">
        <v>Cep 1428</v>
      </c>
      <c r="M1481" s="8" t="str">
        <v>Rua 1428</v>
      </c>
      <c r="N1481" s="8" t="str">
        <v>Comp 1428</v>
      </c>
      <c r="O1481" s="8" t="str">
        <v>Brinquedo Bola Giratória voadora</v>
      </c>
      <c r="P1481" s="8" t="str">
        <v>Z0-F6CI-18CL</v>
      </c>
      <c r="Q1481" s="4">
        <v>45778</v>
      </c>
      <c r="R1481" s="109">
        <v>42.87</v>
      </c>
      <c r="S1481" s="11">
        <f ca="1"/>
        <v>42.87</v>
      </c>
      <c r="T1481" s="28">
        <f ca="1"/>
        <v>5.1443999999999992</v>
      </c>
      <c r="U1481" s="11">
        <f ca="1"/>
        <v>37.729999999999997</v>
      </c>
      <c r="V1481" s="11">
        <v>24.38</v>
      </c>
      <c r="W1481" s="11">
        <f ca="1"/>
        <v>0.28999999999999998</v>
      </c>
      <c r="X1481" s="11">
        <f ca="1"/>
        <v>0.39877104377104378</v>
      </c>
      <c r="Y1481" s="11">
        <v>0</v>
      </c>
      <c r="Z1481" s="11">
        <f ca="1"/>
        <v>12.661228956228953</v>
      </c>
      <c r="AA1481" s="11">
        <f ca="1"/>
        <v>6.3306144781144766</v>
      </c>
      <c r="AB1481" s="4">
        <f ca="1"/>
        <v>45785</v>
      </c>
      <c r="AC1481" s="4">
        <v>45785</v>
      </c>
      <c r="AD1481" s="9">
        <v>45793</v>
      </c>
      <c r="AE1481" s="9">
        <v>45797</v>
      </c>
      <c r="AF1481" s="4" t="str">
        <f t="shared" ca="1" si="96"/>
        <v>2025 05</v>
      </c>
      <c r="AG1481" s="8" t="str" cm="1">
        <f t="array" ref="AG1481">IFERROR(_xlfn.IFS('Banco de Dados'!#REF!="AG. COMPRA","Em processamento",'Banco de Dados'!#REF!="AG. RASTREIO","Em processamento",'Banco de Dados'!$AE1481&lt;&gt;"-","Faturado",'Banco de Dados'!$AD1481&lt;&gt;"-","Aguardando Pix",'Banco de Dados'!$AC1481&lt;&gt;"-","Pendente"),"Aguardando Liberação")</f>
        <v>Aguardando Liberação</v>
      </c>
      <c r="AH1481" s="5" t="str">
        <f>IF('Banco de Dados'!$F1481="-",_xlfn.CONCAT(PROPER(TEXT(AK1481,"aaaa"))," ",PROPER(TEXT(AK1481,"mm"))),_xlfn.CONCAT(PROPER(TEXT(E1481,"aaaa"))," ",PROPER(TEXT(E1481,"mm"))))</f>
        <v>2025 04</v>
      </c>
      <c r="AI1481" s="9" t="str">
        <f ca="1">IF('Banco de Dados'!$AK1481&lt;&gt;"-","REEMBOLSO",IFERROR(_xlfn.XLOOKUP(G1481,Follow[CODRASTREIO],Follow[STATUS]),"-"))</f>
        <v>ENTREGUE</v>
      </c>
      <c r="AJ1481" s="9">
        <f ca="1">IF('Banco de Dados'!$AI1481="ENTREGUE",_xlfn.XLOOKUP('Banco de Dados'!$G1481,Follow[CODRASTREIO],Follow[DATAATUALIZAÇÃO]),"-")</f>
        <v>45769</v>
      </c>
      <c r="AK1481" s="132" t="str">
        <f ca="1"/>
        <v>-</v>
      </c>
      <c r="AL1481" s="35"/>
      <c r="AM1481" s="109" cm="1">
        <f t="array" aca="1" ref="AM1481" ca="1">IF('Banco de Dados'!$AK1481&lt;&gt;"-",_xlfn.IFS('Banco de Dados'!$A1481="bv",IF('Banco de Dados'!$E1481&lt;45641,ROUND(SUM('Banco de Dados'!$R1481*_xlfn.XLOOKUP('Banco de Dados'!$P1481,Sku!B:B,Sku!#REF!)*20%),2),ROUND(SUM('Banco de Dados'!$R1481*_xlfn.XLOOKUP('Banco de Dados'!$P1481,Sku!B:B,Sku!H:H)*20%),2)),'Banco de Dados'!$A1481="GO",ROUND(SUM('Banco de Dados'!$R1481*_xlfn.XLOOKUP('Banco de Dados'!$P1481,Sku!C:C,Sku!H:H)*20%),2),'Banco de Dados'!$A1481="MEI",ROUND(SUM('Banco de Dados'!$R1481*_xlfn.XLOOKUP('Banco de Dados'!$P1481,Sku!D:D,Sku!H:H)*20%),2)),0)</f>
        <v>0</v>
      </c>
      <c r="AN1481" s="109">
        <f ca="1">IF('Banco de Dados'!$AK1481&lt;&gt;"-",IF('Banco de Dados'!$F1481&lt;&gt;"-",_xlfn.XLOOKUP(IFERROR(IFERROR(IFERROR(VALUE(SUBSTITUTE(MID(_xlfn.TEXTAFTER('Banco de Dados'!$F1481,"Data do Pedido:
",1),1,10),"-","/")),VALUE(SUBSTITUTE(MID(_xlfn.TEXTAFTER('Banco de Dados'!$F1481,"Order date:
",1),1,10),"-","/"))),VALUE(SUBSTITUTE(MID(_xlfn.TEXTAFTER('Banco de Dados'!$F1481,"Fecha de pedido:
",1),1,10),"-","/"))),"-"),SMS!A:A,SMS!K:K),0),0)</f>
        <v>0</v>
      </c>
      <c r="AO1481" s="109">
        <f ca="1">IF('Banco de Dados'!$AK1481&lt;&gt;"-",IF('Banco de Dados'!$F1481&lt;&gt;"-",IFERROR(_xlfn.XLOOKUP(_xlfn.CONCAT('Banco de Dados'!$A1481,IFERROR(IFERROR(VALUE(SUBSTITUTE(MID(_xlfn.TEXTAFTER('Banco de Dados'!$F1481,"Data do Pedido:
",1),1,10),"-","/")),VALUE(SUBSTITUTE(MID(_xlfn.TEXTAFTER('Banco de Dados'!$F1481,"Order date:
",1),1,10),"-","/"))),0)),ProxyDD[Chave],ProxyDD[Valor por pedido]),PROXY!$P$2),0),0)</f>
        <v>0</v>
      </c>
      <c r="AP1481" s="28">
        <f ca="1">IF('Banco de Dados'!$AK1481&lt;&gt;"-",IF('Banco de Dados'!$AL1481="NÃO",IFERROR(VALUE(SUBSTITUTE(_xlfn.TEXTAFTER('Banco de Dados'!$F1481,"BRL ",1),".",",")),0),0),0)</f>
        <v>0</v>
      </c>
      <c r="AQ1481" s="28">
        <f ca="1">SUM('Banco de Dados'!$AM1481:$AP1481)</f>
        <v>0</v>
      </c>
      <c r="AR1481" s="8"/>
      <c r="AY1481" s="8"/>
    </row>
    <row r="1482" spans="1:51">
      <c r="A1482" s="5" t="str">
        <v>MEI</v>
      </c>
      <c r="B1482" s="5" t="str">
        <f ca="1"/>
        <v>MEI45758</v>
      </c>
      <c r="C1482" s="8" t="str">
        <v>Pedido 1469</v>
      </c>
      <c r="D1482" s="187">
        <v>45755</v>
      </c>
      <c r="E1482" s="9">
        <v>45758</v>
      </c>
      <c r="F1482" s="8" t="str">
        <v>PedidoF1407</v>
      </c>
      <c r="G1482" s="188" t="str">
        <v>CódRastreio1405</v>
      </c>
      <c r="H1482" s="5">
        <v>1</v>
      </c>
      <c r="I1482" s="2" t="str">
        <v>CPF 1429</v>
      </c>
      <c r="J1482" s="2" t="str">
        <v>Nome 1429</v>
      </c>
      <c r="K1482" s="8" t="str">
        <v>Tel 1429</v>
      </c>
      <c r="L1482" s="8" t="str">
        <v>Cep 1429</v>
      </c>
      <c r="M1482" s="8" t="str">
        <v>Rua 1429</v>
      </c>
      <c r="N1482" s="8" t="str">
        <v>Comp 1429</v>
      </c>
      <c r="O1482" s="8" t="str">
        <v>Ventilador Preto</v>
      </c>
      <c r="P1482" s="8" t="str">
        <v>WU-SS4J-LFOH</v>
      </c>
      <c r="Q1482" s="4">
        <v>45792</v>
      </c>
      <c r="R1482" s="109">
        <v>65.75</v>
      </c>
      <c r="S1482" s="11">
        <f ca="1"/>
        <v>65.75</v>
      </c>
      <c r="T1482" s="28">
        <f ca="1"/>
        <v>7.89</v>
      </c>
      <c r="U1482" s="11">
        <f ca="1"/>
        <v>57.86</v>
      </c>
      <c r="V1482" s="11">
        <v>22.15</v>
      </c>
      <c r="W1482" s="11">
        <f ca="1"/>
        <v>0.28999999999999998</v>
      </c>
      <c r="X1482" s="11">
        <f ca="1"/>
        <v>0.39877104377104378</v>
      </c>
      <c r="Y1482" s="11">
        <v>0</v>
      </c>
      <c r="Z1482" s="11">
        <f ca="1"/>
        <v>35.021228956228953</v>
      </c>
      <c r="AA1482" s="11">
        <f ca="1"/>
        <v>17.510614478114476</v>
      </c>
      <c r="AB1482" s="4">
        <f ca="1"/>
        <v>45799</v>
      </c>
      <c r="AC1482" s="4">
        <v>45799</v>
      </c>
      <c r="AD1482" s="9">
        <v>45807</v>
      </c>
      <c r="AE1482" s="9">
        <v>45810</v>
      </c>
      <c r="AF1482" s="4" t="str">
        <f t="shared" ca="1" si="96"/>
        <v>2025 05</v>
      </c>
      <c r="AG1482" s="8" t="str" cm="1">
        <f t="array" ref="AG1482">IFERROR(_xlfn.IFS('Banco de Dados'!#REF!="AG. COMPRA","Em processamento",'Banco de Dados'!#REF!="AG. RASTREIO","Em processamento",'Banco de Dados'!$AE1482&lt;&gt;"-","Faturado",'Banco de Dados'!$AD1482&lt;&gt;"-","Aguardando Pix",'Banco de Dados'!$AC1482&lt;&gt;"-","Pendente"),"Aguardando Liberação")</f>
        <v>Aguardando Liberação</v>
      </c>
      <c r="AH1482" s="5" t="str">
        <f>IF('Banco de Dados'!$F1482="-",_xlfn.CONCAT(PROPER(TEXT(AK1482,"aaaa"))," ",PROPER(TEXT(AK1482,"mm"))),_xlfn.CONCAT(PROPER(TEXT(E1482,"aaaa"))," ",PROPER(TEXT(E1482,"mm"))))</f>
        <v>2025 04</v>
      </c>
      <c r="AI1482" s="9" t="str">
        <f ca="1">IF('Banco de Dados'!$AK1482&lt;&gt;"-","REEMBOLSO",IFERROR(_xlfn.XLOOKUP(G1482,Follow[CODRASTREIO],Follow[STATUS]),"-"))</f>
        <v>ENTREGUE</v>
      </c>
      <c r="AJ1482" s="9">
        <f ca="1">IF('Banco de Dados'!$AI1482="ENTREGUE",_xlfn.XLOOKUP('Banco de Dados'!$G1482,Follow[CODRASTREIO],Follow[DATAATUALIZAÇÃO]),"-")</f>
        <v>45790</v>
      </c>
      <c r="AK1482" s="132" t="str">
        <f ca="1"/>
        <v>-</v>
      </c>
      <c r="AL1482" s="35"/>
      <c r="AM1482" s="109" cm="1">
        <f t="array" aca="1" ref="AM1482" ca="1">IF('Banco de Dados'!$AK1482&lt;&gt;"-",_xlfn.IFS('Banco de Dados'!$A1482="bv",IF('Banco de Dados'!$E1482&lt;45641,ROUND(SUM('Banco de Dados'!$R1482*_xlfn.XLOOKUP('Banco de Dados'!$P1482,Sku!B:B,Sku!#REF!)*20%),2),ROUND(SUM('Banco de Dados'!$R1482*_xlfn.XLOOKUP('Banco de Dados'!$P1482,Sku!B:B,Sku!H:H)*20%),2)),'Banco de Dados'!$A1482="GO",ROUND(SUM('Banco de Dados'!$R1482*_xlfn.XLOOKUP('Banco de Dados'!$P1482,Sku!C:C,Sku!H:H)*20%),2),'Banco de Dados'!$A1482="MEI",ROUND(SUM('Banco de Dados'!$R1482*_xlfn.XLOOKUP('Banco de Dados'!$P1482,Sku!D:D,Sku!H:H)*20%),2)),0)</f>
        <v>0</v>
      </c>
      <c r="AN1482" s="109">
        <f ca="1">IF('Banco de Dados'!$AK1482&lt;&gt;"-",IF('Banco de Dados'!$F1482&lt;&gt;"-",_xlfn.XLOOKUP(IFERROR(IFERROR(IFERROR(VALUE(SUBSTITUTE(MID(_xlfn.TEXTAFTER('Banco de Dados'!$F1482,"Data do Pedido:
",1),1,10),"-","/")),VALUE(SUBSTITUTE(MID(_xlfn.TEXTAFTER('Banco de Dados'!$F1482,"Order date:
",1),1,10),"-","/"))),VALUE(SUBSTITUTE(MID(_xlfn.TEXTAFTER('Banco de Dados'!$F1482,"Fecha de pedido:
",1),1,10),"-","/"))),"-"),SMS!A:A,SMS!K:K),0),0)</f>
        <v>0</v>
      </c>
      <c r="AO1482" s="109">
        <f ca="1">IF('Banco de Dados'!$AK1482&lt;&gt;"-",IF('Banco de Dados'!$F1482&lt;&gt;"-",IFERROR(_xlfn.XLOOKUP(_xlfn.CONCAT('Banco de Dados'!$A1482,IFERROR(IFERROR(VALUE(SUBSTITUTE(MID(_xlfn.TEXTAFTER('Banco de Dados'!$F1482,"Data do Pedido:
",1),1,10),"-","/")),VALUE(SUBSTITUTE(MID(_xlfn.TEXTAFTER('Banco de Dados'!$F1482,"Order date:
",1),1,10),"-","/"))),0)),ProxyDD[Chave],ProxyDD[Valor por pedido]),PROXY!$P$2),0),0)</f>
        <v>0</v>
      </c>
      <c r="AP1482" s="28">
        <f ca="1">IF('Banco de Dados'!$AK1482&lt;&gt;"-",IF('Banco de Dados'!$AL1482="NÃO",IFERROR(VALUE(SUBSTITUTE(_xlfn.TEXTAFTER('Banco de Dados'!$F1482,"BRL ",1),".",",")),0),0),0)</f>
        <v>0</v>
      </c>
      <c r="AQ1482" s="28">
        <f ca="1">SUM('Banco de Dados'!$AM1482:$AP1482)</f>
        <v>0</v>
      </c>
      <c r="AR1482" s="8"/>
      <c r="AY1482" s="8"/>
    </row>
    <row r="1483" spans="1:51">
      <c r="A1483" s="5" t="str">
        <v>MEI</v>
      </c>
      <c r="B1483" s="5" t="str">
        <f ca="1"/>
        <v>MEI45758</v>
      </c>
      <c r="C1483" s="8" t="str">
        <v>Pedido 1470</v>
      </c>
      <c r="D1483" s="187">
        <v>45755</v>
      </c>
      <c r="E1483" s="9">
        <v>45758</v>
      </c>
      <c r="F1483" s="8" t="str">
        <v>PedidoF1408</v>
      </c>
      <c r="G1483" s="2" t="str">
        <v>CódRastreio1406</v>
      </c>
      <c r="H1483" s="5">
        <v>1</v>
      </c>
      <c r="I1483" s="2" t="str">
        <v>CPF 1430</v>
      </c>
      <c r="J1483" s="2" t="str">
        <v>Nome 1430</v>
      </c>
      <c r="K1483" s="8" t="str">
        <v>Tel 1430</v>
      </c>
      <c r="L1483" s="8" t="str">
        <v>Cep 1430</v>
      </c>
      <c r="M1483" s="8" t="str">
        <v>Rua 1430</v>
      </c>
      <c r="N1483" s="8" t="str">
        <v>Comp 1430</v>
      </c>
      <c r="O1483" s="8" t="str">
        <v>Lampada Led</v>
      </c>
      <c r="P1483" s="8" t="str">
        <v>T1-SWVB-UPOW</v>
      </c>
      <c r="Q1483" s="4">
        <v>45785</v>
      </c>
      <c r="R1483" s="109">
        <v>29.99</v>
      </c>
      <c r="S1483" s="11">
        <f ca="1"/>
        <v>29.99</v>
      </c>
      <c r="T1483" s="28">
        <f ca="1"/>
        <v>3.5987999999999998</v>
      </c>
      <c r="U1483" s="11">
        <f ca="1"/>
        <v>26.39</v>
      </c>
      <c r="V1483" s="11">
        <v>19.29</v>
      </c>
      <c r="W1483" s="11">
        <f ca="1"/>
        <v>0.28999999999999998</v>
      </c>
      <c r="X1483" s="11">
        <f ca="1"/>
        <v>0.39877104377104378</v>
      </c>
      <c r="Y1483" s="11">
        <v>0</v>
      </c>
      <c r="Z1483" s="11">
        <f ca="1"/>
        <v>6.4112289562289568</v>
      </c>
      <c r="AA1483" s="11">
        <f ca="1"/>
        <v>3.2056144781144784</v>
      </c>
      <c r="AB1483" s="4">
        <f ca="1"/>
        <v>45792</v>
      </c>
      <c r="AC1483" s="4">
        <v>45792</v>
      </c>
      <c r="AD1483" s="9">
        <v>45793</v>
      </c>
      <c r="AE1483" s="9">
        <v>45797</v>
      </c>
      <c r="AF1483" s="4" t="str">
        <f t="shared" ca="1" si="96"/>
        <v>2025 05</v>
      </c>
      <c r="AG1483" s="8" t="str" cm="1">
        <f t="array" ref="AG1483">IFERROR(_xlfn.IFS('Banco de Dados'!#REF!="AG. COMPRA","Em processamento",'Banco de Dados'!#REF!="AG. RASTREIO","Em processamento",'Banco de Dados'!$AE1483&lt;&gt;"-","Faturado",'Banco de Dados'!$AD1483&lt;&gt;"-","Aguardando Pix",'Banco de Dados'!$AC1483&lt;&gt;"-","Pendente"),"Aguardando Liberação")</f>
        <v>Aguardando Liberação</v>
      </c>
      <c r="AH1483" s="5" t="str">
        <f>IF('Banco de Dados'!$F1483="-",_xlfn.CONCAT(PROPER(TEXT(AK1483,"aaaa"))," ",PROPER(TEXT(AK1483,"mm"))),_xlfn.CONCAT(PROPER(TEXT(E1483,"aaaa"))," ",PROPER(TEXT(E1483,"mm"))))</f>
        <v>2025 04</v>
      </c>
      <c r="AI1483" s="9" t="str">
        <f ca="1">IF('Banco de Dados'!$AK1483&lt;&gt;"-","REEMBOLSO",IFERROR(_xlfn.XLOOKUP(G1483,Follow[CODRASTREIO],Follow[STATUS]),"-"))</f>
        <v>ENTREGUE</v>
      </c>
      <c r="AJ1483" s="9">
        <f ca="1">IF('Banco de Dados'!$AI1483="ENTREGUE",_xlfn.XLOOKUP('Banco de Dados'!$G1483,Follow[CODRASTREIO],Follow[DATAATUALIZAÇÃO]),"-")</f>
        <v>45777</v>
      </c>
      <c r="AK1483" s="132" t="str">
        <f ca="1"/>
        <v>-</v>
      </c>
      <c r="AL1483" s="35"/>
      <c r="AM1483" s="109" cm="1">
        <f t="array" aca="1" ref="AM1483" ca="1">IF('Banco de Dados'!$AK1483&lt;&gt;"-",_xlfn.IFS('Banco de Dados'!$A1483="bv",IF('Banco de Dados'!$E1483&lt;45641,ROUND(SUM('Banco de Dados'!$R1483*_xlfn.XLOOKUP('Banco de Dados'!$P1483,Sku!B:B,Sku!#REF!)*20%),2),ROUND(SUM('Banco de Dados'!$R1483*_xlfn.XLOOKUP('Banco de Dados'!$P1483,Sku!B:B,Sku!H:H)*20%),2)),'Banco de Dados'!$A1483="GO",ROUND(SUM('Banco de Dados'!$R1483*_xlfn.XLOOKUP('Banco de Dados'!$P1483,Sku!C:C,Sku!H:H)*20%),2),'Banco de Dados'!$A1483="MEI",ROUND(SUM('Banco de Dados'!$R1483*_xlfn.XLOOKUP('Banco de Dados'!$P1483,Sku!D:D,Sku!H:H)*20%),2)),0)</f>
        <v>0</v>
      </c>
      <c r="AN1483" s="109">
        <f ca="1">IF('Banco de Dados'!$AK1483&lt;&gt;"-",IF('Banco de Dados'!$F1483&lt;&gt;"-",_xlfn.XLOOKUP(IFERROR(IFERROR(IFERROR(VALUE(SUBSTITUTE(MID(_xlfn.TEXTAFTER('Banco de Dados'!$F1483,"Data do Pedido:
",1),1,10),"-","/")),VALUE(SUBSTITUTE(MID(_xlfn.TEXTAFTER('Banco de Dados'!$F1483,"Order date:
",1),1,10),"-","/"))),VALUE(SUBSTITUTE(MID(_xlfn.TEXTAFTER('Banco de Dados'!$F1483,"Fecha de pedido:
",1),1,10),"-","/"))),"-"),SMS!A:A,SMS!K:K),0),0)</f>
        <v>0</v>
      </c>
      <c r="AO1483" s="109">
        <f ca="1">IF('Banco de Dados'!$AK1483&lt;&gt;"-",IF('Banco de Dados'!$F1483&lt;&gt;"-",IFERROR(_xlfn.XLOOKUP(_xlfn.CONCAT('Banco de Dados'!$A1483,IFERROR(IFERROR(VALUE(SUBSTITUTE(MID(_xlfn.TEXTAFTER('Banco de Dados'!$F1483,"Data do Pedido:
",1),1,10),"-","/")),VALUE(SUBSTITUTE(MID(_xlfn.TEXTAFTER('Banco de Dados'!$F1483,"Order date:
",1),1,10),"-","/"))),0)),ProxyDD[Chave],ProxyDD[Valor por pedido]),PROXY!$P$2),0),0)</f>
        <v>0</v>
      </c>
      <c r="AP1483" s="28">
        <f ca="1">IF('Banco de Dados'!$AK1483&lt;&gt;"-",IF('Banco de Dados'!$AL1483="NÃO",IFERROR(VALUE(SUBSTITUTE(_xlfn.TEXTAFTER('Banco de Dados'!$F1483,"BRL ",1),".",",")),0),0),0)</f>
        <v>0</v>
      </c>
      <c r="AQ1483" s="28">
        <f ca="1">SUM('Banco de Dados'!$AM1483:$AP1483)</f>
        <v>0</v>
      </c>
      <c r="AR1483" s="8"/>
      <c r="AY1483" s="8"/>
    </row>
    <row r="1484" spans="1:51">
      <c r="A1484" s="5" t="str">
        <v>MEI</v>
      </c>
      <c r="B1484" s="5" t="str">
        <f ca="1"/>
        <v>MEI45758</v>
      </c>
      <c r="C1484" s="8" t="str">
        <v>Pedido 1471</v>
      </c>
      <c r="D1484" s="187">
        <v>45755</v>
      </c>
      <c r="E1484" s="9">
        <v>45758</v>
      </c>
      <c r="F1484" s="8" t="str">
        <v>PedidoF1409</v>
      </c>
      <c r="G1484" s="2" t="str">
        <v>CódRastreio1407</v>
      </c>
      <c r="H1484" s="5">
        <v>1</v>
      </c>
      <c r="I1484" s="2" t="str">
        <v>CPF 1431</v>
      </c>
      <c r="J1484" s="2" t="str">
        <v>Nome 1431</v>
      </c>
      <c r="K1484" s="8" t="str">
        <v>Tel 1431</v>
      </c>
      <c r="L1484" s="8" t="str">
        <v>Cep 1431</v>
      </c>
      <c r="M1484" s="8" t="str">
        <v>Rua 1431</v>
      </c>
      <c r="N1484" s="8" t="str">
        <v>Comp 1431</v>
      </c>
      <c r="O1484" s="8" t="str">
        <v>Maçarico Culinário Portátil</v>
      </c>
      <c r="P1484" s="8" t="str">
        <v>BG-DHRO-FAEE</v>
      </c>
      <c r="Q1484" s="4">
        <v>45785</v>
      </c>
      <c r="R1484" s="109">
        <v>26.99</v>
      </c>
      <c r="S1484" s="11">
        <f ca="1"/>
        <v>26.99</v>
      </c>
      <c r="T1484" s="28">
        <f ca="1"/>
        <v>2.9688999999999997</v>
      </c>
      <c r="U1484" s="11">
        <f ca="1"/>
        <v>24.02</v>
      </c>
      <c r="V1484" s="11">
        <v>14.22</v>
      </c>
      <c r="W1484" s="11">
        <f ca="1"/>
        <v>0.28999999999999998</v>
      </c>
      <c r="X1484" s="11">
        <f ca="1"/>
        <v>0.39877104377104378</v>
      </c>
      <c r="Y1484" s="11">
        <v>0</v>
      </c>
      <c r="Z1484" s="11">
        <f ca="1"/>
        <v>9.1112289562289561</v>
      </c>
      <c r="AA1484" s="11">
        <f ca="1"/>
        <v>4.5556144781144781</v>
      </c>
      <c r="AB1484" s="4">
        <f ca="1"/>
        <v>45792</v>
      </c>
      <c r="AC1484" s="4">
        <v>45792</v>
      </c>
      <c r="AD1484" s="9">
        <v>45793</v>
      </c>
      <c r="AE1484" s="9">
        <v>45797</v>
      </c>
      <c r="AF1484" s="4" t="str">
        <f t="shared" ca="1" si="96"/>
        <v>2025 05</v>
      </c>
      <c r="AG1484" s="8" t="str" cm="1">
        <f t="array" ref="AG1484">IFERROR(_xlfn.IFS('Banco de Dados'!#REF!="AG. COMPRA","Em processamento",'Banco de Dados'!#REF!="AG. RASTREIO","Em processamento",'Banco de Dados'!$AE1484&lt;&gt;"-","Faturado",'Banco de Dados'!$AD1484&lt;&gt;"-","Aguardando Pix",'Banco de Dados'!$AC1484&lt;&gt;"-","Pendente"),"Aguardando Liberação")</f>
        <v>Aguardando Liberação</v>
      </c>
      <c r="AH1484" s="5" t="str">
        <f>IF('Banco de Dados'!$F1484="-",_xlfn.CONCAT(PROPER(TEXT(AK1484,"aaaa"))," ",PROPER(TEXT(AK1484,"mm"))),_xlfn.CONCAT(PROPER(TEXT(E1484,"aaaa"))," ",PROPER(TEXT(E1484,"mm"))))</f>
        <v>2025 04</v>
      </c>
      <c r="AI1484" s="9" t="str">
        <f ca="1">IF('Banco de Dados'!$AK1484&lt;&gt;"-","REEMBOLSO",IFERROR(_xlfn.XLOOKUP(G1484,Follow[CODRASTREIO],Follow[STATUS]),"-"))</f>
        <v>ENTREGUE</v>
      </c>
      <c r="AJ1484" s="9">
        <f ca="1">IF('Banco de Dados'!$AI1484="ENTREGUE",_xlfn.XLOOKUP('Banco de Dados'!$G1484,Follow[CODRASTREIO],Follow[DATAATUALIZAÇÃO]),"-")</f>
        <v>45782</v>
      </c>
      <c r="AK1484" s="132" t="str">
        <f ca="1"/>
        <v>-</v>
      </c>
      <c r="AL1484" s="35"/>
      <c r="AM1484" s="109" cm="1">
        <f t="array" aca="1" ref="AM1484" ca="1">IF('Banco de Dados'!$AK1484&lt;&gt;"-",_xlfn.IFS('Banco de Dados'!$A1484="bv",IF('Banco de Dados'!$E1484&lt;45641,ROUND(SUM('Banco de Dados'!$R1484*_xlfn.XLOOKUP('Banco de Dados'!$P1484,Sku!B:B,Sku!#REF!)*20%),2),ROUND(SUM('Banco de Dados'!$R1484*_xlfn.XLOOKUP('Banco de Dados'!$P1484,Sku!B:B,Sku!H:H)*20%),2)),'Banco de Dados'!$A1484="GO",ROUND(SUM('Banco de Dados'!$R1484*_xlfn.XLOOKUP('Banco de Dados'!$P1484,Sku!C:C,Sku!H:H)*20%),2),'Banco de Dados'!$A1484="MEI",ROUND(SUM('Banco de Dados'!$R1484*_xlfn.XLOOKUP('Banco de Dados'!$P1484,Sku!D:D,Sku!H:H)*20%),2)),0)</f>
        <v>0</v>
      </c>
      <c r="AN1484" s="109">
        <f ca="1">IF('Banco de Dados'!$AK1484&lt;&gt;"-",IF('Banco de Dados'!$F1484&lt;&gt;"-",_xlfn.XLOOKUP(IFERROR(IFERROR(IFERROR(VALUE(SUBSTITUTE(MID(_xlfn.TEXTAFTER('Banco de Dados'!$F1484,"Data do Pedido:
",1),1,10),"-","/")),VALUE(SUBSTITUTE(MID(_xlfn.TEXTAFTER('Banco de Dados'!$F1484,"Order date:
",1),1,10),"-","/"))),VALUE(SUBSTITUTE(MID(_xlfn.TEXTAFTER('Banco de Dados'!$F1484,"Fecha de pedido:
",1),1,10),"-","/"))),"-"),SMS!A:A,SMS!K:K),0),0)</f>
        <v>0</v>
      </c>
      <c r="AO1484" s="109">
        <f ca="1">IF('Banco de Dados'!$AK1484&lt;&gt;"-",IF('Banco de Dados'!$F1484&lt;&gt;"-",IFERROR(_xlfn.XLOOKUP(_xlfn.CONCAT('Banco de Dados'!$A1484,IFERROR(IFERROR(VALUE(SUBSTITUTE(MID(_xlfn.TEXTAFTER('Banco de Dados'!$F1484,"Data do Pedido:
",1),1,10),"-","/")),VALUE(SUBSTITUTE(MID(_xlfn.TEXTAFTER('Banco de Dados'!$F1484,"Order date:
",1),1,10),"-","/"))),0)),ProxyDD[Chave],ProxyDD[Valor por pedido]),PROXY!$P$2),0),0)</f>
        <v>0</v>
      </c>
      <c r="AP1484" s="28">
        <f ca="1">IF('Banco de Dados'!$AK1484&lt;&gt;"-",IF('Banco de Dados'!$AL1484="NÃO",IFERROR(VALUE(SUBSTITUTE(_xlfn.TEXTAFTER('Banco de Dados'!$F1484,"BRL ",1),".",",")),0),0),0)</f>
        <v>0</v>
      </c>
      <c r="AQ1484" s="28">
        <f ca="1">SUM('Banco de Dados'!$AM1484:$AP1484)</f>
        <v>0</v>
      </c>
      <c r="AR1484" s="8"/>
      <c r="AY1484" s="8"/>
    </row>
    <row r="1485" spans="1:51">
      <c r="A1485" s="5" t="str">
        <v>MEI</v>
      </c>
      <c r="B1485" s="5" t="str">
        <f ca="1"/>
        <v>MEI45759</v>
      </c>
      <c r="C1485" s="8" t="str">
        <v>Pedido 1472</v>
      </c>
      <c r="D1485" s="187">
        <v>45755</v>
      </c>
      <c r="E1485" s="9">
        <v>45759</v>
      </c>
      <c r="F1485" s="8" t="str">
        <v>PedidoF1410</v>
      </c>
      <c r="G1485" s="2" t="str">
        <v>CódRastreio1408</v>
      </c>
      <c r="H1485" s="5">
        <v>1</v>
      </c>
      <c r="I1485" s="2" t="str">
        <v>CPF 1432</v>
      </c>
      <c r="J1485" s="2" t="str">
        <v>Nome 1432</v>
      </c>
      <c r="K1485" s="8" t="str">
        <v>Tel 1432</v>
      </c>
      <c r="L1485" s="8" t="str">
        <v>Cep 1432</v>
      </c>
      <c r="M1485" s="8" t="str">
        <v>Rua 1432</v>
      </c>
      <c r="N1485" s="8" t="str">
        <v>Comp 1432</v>
      </c>
      <c r="O1485" s="8" t="str">
        <v>Caixinha de som Preta</v>
      </c>
      <c r="P1485" s="8" t="str">
        <v>K9-7YJH-TT9R</v>
      </c>
      <c r="Q1485" s="4">
        <v>45778</v>
      </c>
      <c r="R1485" s="109">
        <v>25.88</v>
      </c>
      <c r="S1485" s="11">
        <f ca="1"/>
        <v>25.88</v>
      </c>
      <c r="T1485" s="28">
        <f ca="1"/>
        <v>3.8819999999999997</v>
      </c>
      <c r="U1485" s="11">
        <f ca="1"/>
        <v>22</v>
      </c>
      <c r="V1485" s="11">
        <v>11.5</v>
      </c>
      <c r="W1485" s="11">
        <f ca="1"/>
        <v>0.15</v>
      </c>
      <c r="X1485" s="11">
        <f ca="1"/>
        <v>0.39877104377104378</v>
      </c>
      <c r="Y1485" s="11">
        <v>0</v>
      </c>
      <c r="Z1485" s="11">
        <f ca="1"/>
        <v>9.951228956228956</v>
      </c>
      <c r="AA1485" s="11">
        <f ca="1"/>
        <v>4.975614478114478</v>
      </c>
      <c r="AB1485" s="4">
        <f ca="1"/>
        <v>45785</v>
      </c>
      <c r="AC1485" s="4">
        <v>45785</v>
      </c>
      <c r="AD1485" s="9">
        <v>45793</v>
      </c>
      <c r="AE1485" s="9">
        <v>45797</v>
      </c>
      <c r="AF1485" s="4" t="str">
        <f t="shared" ca="1" si="96"/>
        <v>2025 05</v>
      </c>
      <c r="AG1485" s="8" t="str" cm="1">
        <f t="array" ref="AG1485">IFERROR(_xlfn.IFS('Banco de Dados'!#REF!="AG. COMPRA","Em processamento",'Banco de Dados'!#REF!="AG. RASTREIO","Em processamento",'Banco de Dados'!$AE1485&lt;&gt;"-","Faturado",'Banco de Dados'!$AD1485&lt;&gt;"-","Aguardando Pix",'Banco de Dados'!$AC1485&lt;&gt;"-","Pendente"),"Aguardando Liberação")</f>
        <v>Aguardando Liberação</v>
      </c>
      <c r="AH1485" s="5" t="str">
        <f>IF('Banco de Dados'!$F1485="-",_xlfn.CONCAT(PROPER(TEXT(AK1485,"aaaa"))," ",PROPER(TEXT(AK1485,"mm"))),_xlfn.CONCAT(PROPER(TEXT(E1485,"aaaa"))," ",PROPER(TEXT(E1485,"mm"))))</f>
        <v>2025 04</v>
      </c>
      <c r="AI1485" s="9" t="str">
        <f ca="1">IF('Banco de Dados'!$AK1485&lt;&gt;"-","REEMBOLSO",IFERROR(_xlfn.XLOOKUP(G1485,Follow[CODRASTREIO],Follow[STATUS]),"-"))</f>
        <v>ENTREGUE</v>
      </c>
      <c r="AJ1485" s="9">
        <f ca="1">IF('Banco de Dados'!$AI1485="ENTREGUE",_xlfn.XLOOKUP('Banco de Dados'!$G1485,Follow[CODRASTREIO],Follow[DATAATUALIZAÇÃO]),"-")</f>
        <v>45764</v>
      </c>
      <c r="AK1485" s="132" t="str">
        <f ca="1"/>
        <v>-</v>
      </c>
      <c r="AL1485" s="35"/>
      <c r="AM1485" s="109" cm="1">
        <f t="array" aca="1" ref="AM1485" ca="1">IF('Banco de Dados'!$AK1485&lt;&gt;"-",_xlfn.IFS('Banco de Dados'!$A1485="bv",IF('Banco de Dados'!$E1485&lt;45641,ROUND(SUM('Banco de Dados'!$R1485*_xlfn.XLOOKUP('Banco de Dados'!$P1485,Sku!B:B,Sku!#REF!)*20%),2),ROUND(SUM('Banco de Dados'!$R1485*_xlfn.XLOOKUP('Banco de Dados'!$P1485,Sku!B:B,Sku!H:H)*20%),2)),'Banco de Dados'!$A1485="GO",ROUND(SUM('Banco de Dados'!$R1485*_xlfn.XLOOKUP('Banco de Dados'!$P1485,Sku!C:C,Sku!H:H)*20%),2),'Banco de Dados'!$A1485="MEI",ROUND(SUM('Banco de Dados'!$R1485*_xlfn.XLOOKUP('Banco de Dados'!$P1485,Sku!D:D,Sku!H:H)*20%),2)),0)</f>
        <v>0</v>
      </c>
      <c r="AN1485" s="109">
        <f ca="1">IF('Banco de Dados'!$AK1485&lt;&gt;"-",IF('Banco de Dados'!$F1485&lt;&gt;"-",_xlfn.XLOOKUP(IFERROR(IFERROR(IFERROR(VALUE(SUBSTITUTE(MID(_xlfn.TEXTAFTER('Banco de Dados'!$F1485,"Data do Pedido:
",1),1,10),"-","/")),VALUE(SUBSTITUTE(MID(_xlfn.TEXTAFTER('Banco de Dados'!$F1485,"Order date:
",1),1,10),"-","/"))),VALUE(SUBSTITUTE(MID(_xlfn.TEXTAFTER('Banco de Dados'!$F1485,"Fecha de pedido:
",1),1,10),"-","/"))),"-"),SMS!A:A,SMS!K:K),0),0)</f>
        <v>0</v>
      </c>
      <c r="AO1485" s="109">
        <f ca="1">IF('Banco de Dados'!$AK1485&lt;&gt;"-",IF('Banco de Dados'!$F1485&lt;&gt;"-",IFERROR(_xlfn.XLOOKUP(_xlfn.CONCAT('Banco de Dados'!$A1485,IFERROR(IFERROR(VALUE(SUBSTITUTE(MID(_xlfn.TEXTAFTER('Banco de Dados'!$F1485,"Data do Pedido:
",1),1,10),"-","/")),VALUE(SUBSTITUTE(MID(_xlfn.TEXTAFTER('Banco de Dados'!$F1485,"Order date:
",1),1,10),"-","/"))),0)),ProxyDD[Chave],ProxyDD[Valor por pedido]),PROXY!$P$2),0),0)</f>
        <v>0</v>
      </c>
      <c r="AP1485" s="28">
        <f ca="1">IF('Banco de Dados'!$AK1485&lt;&gt;"-",IF('Banco de Dados'!$AL1485="NÃO",IFERROR(VALUE(SUBSTITUTE(_xlfn.TEXTAFTER('Banco de Dados'!$F1485,"BRL ",1),".",",")),0),0),0)</f>
        <v>0</v>
      </c>
      <c r="AQ1485" s="28">
        <f ca="1">SUM('Banco de Dados'!$AM1485:$AP1485)</f>
        <v>0</v>
      </c>
      <c r="AR1485" s="8"/>
      <c r="AY1485" s="8"/>
    </row>
    <row r="1486" spans="1:51">
      <c r="A1486" s="5" t="str">
        <v>MEI</v>
      </c>
      <c r="B1486" s="5" t="str">
        <f ca="1"/>
        <v>MEI45758</v>
      </c>
      <c r="C1486" s="8" t="str">
        <v>Pedido 1473</v>
      </c>
      <c r="D1486" s="187">
        <v>45755</v>
      </c>
      <c r="E1486" s="9">
        <v>45758</v>
      </c>
      <c r="F1486" s="8" t="str">
        <v>PedidoF1411</v>
      </c>
      <c r="G1486" s="2" t="str">
        <v>CódRastreio1409</v>
      </c>
      <c r="H1486" s="5">
        <v>1</v>
      </c>
      <c r="I1486" s="2" t="str">
        <v>CPF 1433</v>
      </c>
      <c r="J1486" s="2" t="str">
        <v>Nome 1433</v>
      </c>
      <c r="K1486" s="8" t="str">
        <v>Tel 1433</v>
      </c>
      <c r="L1486" s="8" t="str">
        <v>Cep 1433</v>
      </c>
      <c r="M1486" s="8" t="str">
        <v>Rua 1433</v>
      </c>
      <c r="N1486" s="8" t="str">
        <v>Comp 1433</v>
      </c>
      <c r="O1486" s="8" t="str">
        <v>Copo Termico</v>
      </c>
      <c r="P1486" s="8" t="str">
        <v>VI-4RT5-1FFO</v>
      </c>
      <c r="Q1486" s="4">
        <v>45778</v>
      </c>
      <c r="R1486" s="109">
        <v>22.7</v>
      </c>
      <c r="S1486" s="11">
        <f ca="1"/>
        <v>22.7</v>
      </c>
      <c r="T1486" s="28">
        <f ca="1"/>
        <v>2.7239999999999998</v>
      </c>
      <c r="U1486" s="11">
        <f ca="1"/>
        <v>19.98</v>
      </c>
      <c r="V1486" s="11">
        <v>10.1</v>
      </c>
      <c r="W1486" s="11">
        <f ca="1"/>
        <v>0.28999999999999998</v>
      </c>
      <c r="X1486" s="11">
        <f ca="1"/>
        <v>0.39877104377104378</v>
      </c>
      <c r="Y1486" s="11">
        <v>0</v>
      </c>
      <c r="Z1486" s="11">
        <f ca="1"/>
        <v>9.191228956228958</v>
      </c>
      <c r="AA1486" s="11">
        <f ca="1"/>
        <v>4.595614478114479</v>
      </c>
      <c r="AB1486" s="4">
        <f ca="1"/>
        <v>45785</v>
      </c>
      <c r="AC1486" s="4">
        <v>45785</v>
      </c>
      <c r="AD1486" s="9">
        <v>45793</v>
      </c>
      <c r="AE1486" s="9">
        <v>45797</v>
      </c>
      <c r="AF1486" s="4" t="str">
        <f t="shared" ca="1" si="96"/>
        <v>2025 05</v>
      </c>
      <c r="AG1486" s="8" t="str" cm="1">
        <f t="array" ref="AG1486">IFERROR(_xlfn.IFS('Banco de Dados'!#REF!="AG. COMPRA","Em processamento",'Banco de Dados'!#REF!="AG. RASTREIO","Em processamento",'Banco de Dados'!$AE1486&lt;&gt;"-","Faturado",'Banco de Dados'!$AD1486&lt;&gt;"-","Aguardando Pix",'Banco de Dados'!$AC1486&lt;&gt;"-","Pendente"),"Aguardando Liberação")</f>
        <v>Aguardando Liberação</v>
      </c>
      <c r="AH1486" s="5" t="str">
        <f>IF('Banco de Dados'!$F1486="-",_xlfn.CONCAT(PROPER(TEXT(AK1486,"aaaa"))," ",PROPER(TEXT(AK1486,"mm"))),_xlfn.CONCAT(PROPER(TEXT(E1486,"aaaa"))," ",PROPER(TEXT(E1486,"mm"))))</f>
        <v>2025 04</v>
      </c>
      <c r="AI1486" s="9" t="str">
        <f ca="1">IF('Banco de Dados'!$AK1486&lt;&gt;"-","REEMBOLSO",IFERROR(_xlfn.XLOOKUP(G1486,Follow[CODRASTREIO],Follow[STATUS]),"-"))</f>
        <v>ENTREGUE</v>
      </c>
      <c r="AJ1486" s="9">
        <f ca="1">IF('Banco de Dados'!$AI1486="ENTREGUE",_xlfn.XLOOKUP('Banco de Dados'!$G1486,Follow[CODRASTREIO],Follow[DATAATUALIZAÇÃO]),"-")</f>
        <v>45769</v>
      </c>
      <c r="AK1486" s="132" t="str">
        <f ca="1"/>
        <v>-</v>
      </c>
      <c r="AL1486" s="35"/>
      <c r="AM1486" s="109" cm="1">
        <f t="array" aca="1" ref="AM1486" ca="1">IF('Banco de Dados'!$AK1486&lt;&gt;"-",_xlfn.IFS('Banco de Dados'!$A1486="bv",IF('Banco de Dados'!$E1486&lt;45641,ROUND(SUM('Banco de Dados'!$R1486*_xlfn.XLOOKUP('Banco de Dados'!$P1486,Sku!B:B,Sku!#REF!)*20%),2),ROUND(SUM('Banco de Dados'!$R1486*_xlfn.XLOOKUP('Banco de Dados'!$P1486,Sku!B:B,Sku!H:H)*20%),2)),'Banco de Dados'!$A1486="GO",ROUND(SUM('Banco de Dados'!$R1486*_xlfn.XLOOKUP('Banco de Dados'!$P1486,Sku!C:C,Sku!H:H)*20%),2),'Banco de Dados'!$A1486="MEI",ROUND(SUM('Banco de Dados'!$R1486*_xlfn.XLOOKUP('Banco de Dados'!$P1486,Sku!D:D,Sku!H:H)*20%),2)),0)</f>
        <v>0</v>
      </c>
      <c r="AN1486" s="109">
        <f ca="1">IF('Banco de Dados'!$AK1486&lt;&gt;"-",IF('Banco de Dados'!$F1486&lt;&gt;"-",_xlfn.XLOOKUP(IFERROR(IFERROR(IFERROR(VALUE(SUBSTITUTE(MID(_xlfn.TEXTAFTER('Banco de Dados'!$F1486,"Data do Pedido:
",1),1,10),"-","/")),VALUE(SUBSTITUTE(MID(_xlfn.TEXTAFTER('Banco de Dados'!$F1486,"Order date:
",1),1,10),"-","/"))),VALUE(SUBSTITUTE(MID(_xlfn.TEXTAFTER('Banco de Dados'!$F1486,"Fecha de pedido:
",1),1,10),"-","/"))),"-"),SMS!A:A,SMS!K:K),0),0)</f>
        <v>0</v>
      </c>
      <c r="AO1486" s="109">
        <f ca="1">IF('Banco de Dados'!$AK1486&lt;&gt;"-",IF('Banco de Dados'!$F1486&lt;&gt;"-",IFERROR(_xlfn.XLOOKUP(_xlfn.CONCAT('Banco de Dados'!$A1486,IFERROR(IFERROR(VALUE(SUBSTITUTE(MID(_xlfn.TEXTAFTER('Banco de Dados'!$F1486,"Data do Pedido:
",1),1,10),"-","/")),VALUE(SUBSTITUTE(MID(_xlfn.TEXTAFTER('Banco de Dados'!$F1486,"Order date:
",1),1,10),"-","/"))),0)),ProxyDD[Chave],ProxyDD[Valor por pedido]),PROXY!$P$2),0),0)</f>
        <v>0</v>
      </c>
      <c r="AP1486" s="28">
        <f ca="1">IF('Banco de Dados'!$AK1486&lt;&gt;"-",IF('Banco de Dados'!$AL1486="NÃO",IFERROR(VALUE(SUBSTITUTE(_xlfn.TEXTAFTER('Banco de Dados'!$F1486,"BRL ",1),".",",")),0),0),0)</f>
        <v>0</v>
      </c>
      <c r="AQ1486" s="28">
        <f ca="1">SUM('Banco de Dados'!$AM1486:$AP1486)</f>
        <v>0</v>
      </c>
      <c r="AR1486" s="8"/>
      <c r="AY1486" s="8"/>
    </row>
    <row r="1487" spans="1:51">
      <c r="A1487" s="5" t="str">
        <v>MEI</v>
      </c>
      <c r="B1487" s="5" t="str">
        <f ca="1"/>
        <v>MEI45758</v>
      </c>
      <c r="C1487" s="8" t="str">
        <v>Pedido 1474</v>
      </c>
      <c r="D1487" s="187">
        <v>45755</v>
      </c>
      <c r="E1487" s="9">
        <v>45758</v>
      </c>
      <c r="F1487" s="8" t="str">
        <v>PedidoF1412</v>
      </c>
      <c r="G1487" s="2" t="str">
        <v>CódRastreio1410</v>
      </c>
      <c r="H1487" s="5">
        <v>1</v>
      </c>
      <c r="I1487" s="2" t="str">
        <v>CPF 1434</v>
      </c>
      <c r="J1487" s="2" t="str">
        <v>Nome 1434</v>
      </c>
      <c r="K1487" s="8" t="str">
        <v>Tel 1434</v>
      </c>
      <c r="L1487" s="8" t="str">
        <v>Cep 1434</v>
      </c>
      <c r="M1487" s="8" t="str">
        <v>Rua 1434</v>
      </c>
      <c r="N1487" s="8" t="str">
        <v>Comp 1434</v>
      </c>
      <c r="O1487" s="8" t="str">
        <v>Ventilador Preto</v>
      </c>
      <c r="P1487" s="8" t="str">
        <v>WU-SS4J-LFOH</v>
      </c>
      <c r="Q1487" s="4">
        <v>45778</v>
      </c>
      <c r="R1487" s="109">
        <v>65.75</v>
      </c>
      <c r="S1487" s="11">
        <f ca="1"/>
        <v>65.75</v>
      </c>
      <c r="T1487" s="28">
        <f ca="1"/>
        <v>7.89</v>
      </c>
      <c r="U1487" s="11">
        <f ca="1"/>
        <v>57.86</v>
      </c>
      <c r="V1487" s="11">
        <v>22.15</v>
      </c>
      <c r="W1487" s="11">
        <f ca="1"/>
        <v>0.28999999999999998</v>
      </c>
      <c r="X1487" s="11">
        <f ca="1"/>
        <v>0.39877104377104378</v>
      </c>
      <c r="Y1487" s="11">
        <v>0</v>
      </c>
      <c r="Z1487" s="11">
        <f ca="1"/>
        <v>35.021228956228953</v>
      </c>
      <c r="AA1487" s="11">
        <f ca="1"/>
        <v>17.510614478114476</v>
      </c>
      <c r="AB1487" s="4">
        <f ca="1"/>
        <v>45785</v>
      </c>
      <c r="AC1487" s="4">
        <v>45785</v>
      </c>
      <c r="AD1487" s="9">
        <v>45793</v>
      </c>
      <c r="AE1487" s="9">
        <v>45797</v>
      </c>
      <c r="AF1487" s="4" t="str">
        <f t="shared" ref="AF1487:AF1496" ca="1" si="97">_xlfn.CONCAT(PROPER(TEXT(AB1487,"aaaa"))," ",PROPER(TEXT(AB1487,"mm")))</f>
        <v>2025 05</v>
      </c>
      <c r="AG1487" s="8" t="str" cm="1">
        <f t="array" ref="AG1487">IFERROR(_xlfn.IFS('Banco de Dados'!#REF!="AG. COMPRA","Em processamento",'Banco de Dados'!#REF!="AG. RASTREIO","Em processamento",'Banco de Dados'!$AE1487&lt;&gt;"-","Faturado",'Banco de Dados'!$AD1487&lt;&gt;"-","Aguardando Pix",'Banco de Dados'!$AC1487&lt;&gt;"-","Pendente"),"Aguardando Liberação")</f>
        <v>Aguardando Liberação</v>
      </c>
      <c r="AH1487" s="5" t="str">
        <f>IF('Banco de Dados'!$F1487="-",_xlfn.CONCAT(PROPER(TEXT(AK1487,"aaaa"))," ",PROPER(TEXT(AK1487,"mm"))),_xlfn.CONCAT(PROPER(TEXT(E1487,"aaaa"))," ",PROPER(TEXT(E1487,"mm"))))</f>
        <v>2025 04</v>
      </c>
      <c r="AI1487" s="9" t="str">
        <f ca="1">IF('Banco de Dados'!$AK1487&lt;&gt;"-","REEMBOLSO",IFERROR(_xlfn.XLOOKUP(G1487,Follow[CODRASTREIO],Follow[STATUS]),"-"))</f>
        <v>ENTREGUE</v>
      </c>
      <c r="AJ1487" s="9">
        <f ca="1">IF('Banco de Dados'!$AI1487="ENTREGUE",_xlfn.XLOOKUP('Banco de Dados'!$G1487,Follow[CODRASTREIO],Follow[DATAATUALIZAÇÃO]),"-")</f>
        <v>45771</v>
      </c>
      <c r="AK1487" s="132" t="str">
        <f ca="1"/>
        <v>-</v>
      </c>
      <c r="AL1487" s="35"/>
      <c r="AM1487" s="109" cm="1">
        <f t="array" aca="1" ref="AM1487" ca="1">IF('Banco de Dados'!$AK1487&lt;&gt;"-",_xlfn.IFS('Banco de Dados'!$A1487="bv",IF('Banco de Dados'!$E1487&lt;45641,ROUND(SUM('Banco de Dados'!$R1487*_xlfn.XLOOKUP('Banco de Dados'!$P1487,Sku!B:B,Sku!#REF!)*20%),2),ROUND(SUM('Banco de Dados'!$R1487*_xlfn.XLOOKUP('Banco de Dados'!$P1487,Sku!B:B,Sku!H:H)*20%),2)),'Banco de Dados'!$A1487="GO",ROUND(SUM('Banco de Dados'!$R1487*_xlfn.XLOOKUP('Banco de Dados'!$P1487,Sku!C:C,Sku!H:H)*20%),2),'Banco de Dados'!$A1487="MEI",ROUND(SUM('Banco de Dados'!$R1487*_xlfn.XLOOKUP('Banco de Dados'!$P1487,Sku!D:D,Sku!H:H)*20%),2)),0)</f>
        <v>0</v>
      </c>
      <c r="AN1487" s="109">
        <f ca="1">IF('Banco de Dados'!$AK1487&lt;&gt;"-",IF('Banco de Dados'!$F1487&lt;&gt;"-",_xlfn.XLOOKUP(IFERROR(IFERROR(IFERROR(VALUE(SUBSTITUTE(MID(_xlfn.TEXTAFTER('Banco de Dados'!$F1487,"Data do Pedido:
",1),1,10),"-","/")),VALUE(SUBSTITUTE(MID(_xlfn.TEXTAFTER('Banco de Dados'!$F1487,"Order date:
",1),1,10),"-","/"))),VALUE(SUBSTITUTE(MID(_xlfn.TEXTAFTER('Banco de Dados'!$F1487,"Fecha de pedido:
",1),1,10),"-","/"))),"-"),SMS!A:A,SMS!K:K),0),0)</f>
        <v>0</v>
      </c>
      <c r="AO1487" s="109">
        <f ca="1">IF('Banco de Dados'!$AK1487&lt;&gt;"-",IF('Banco de Dados'!$F1487&lt;&gt;"-",IFERROR(_xlfn.XLOOKUP(_xlfn.CONCAT('Banco de Dados'!$A1487,IFERROR(IFERROR(VALUE(SUBSTITUTE(MID(_xlfn.TEXTAFTER('Banco de Dados'!$F1487,"Data do Pedido:
",1),1,10),"-","/")),VALUE(SUBSTITUTE(MID(_xlfn.TEXTAFTER('Banco de Dados'!$F1487,"Order date:
",1),1,10),"-","/"))),0)),ProxyDD[Chave],ProxyDD[Valor por pedido]),PROXY!$P$2),0),0)</f>
        <v>0</v>
      </c>
      <c r="AP1487" s="28">
        <f ca="1">IF('Banco de Dados'!$AK1487&lt;&gt;"-",IF('Banco de Dados'!$AL1487="NÃO",IFERROR(VALUE(SUBSTITUTE(_xlfn.TEXTAFTER('Banco de Dados'!$F1487,"BRL ",1),".",",")),0),0),0)</f>
        <v>0</v>
      </c>
      <c r="AQ1487" s="28">
        <f ca="1">SUM('Banco de Dados'!$AM1487:$AP1487)</f>
        <v>0</v>
      </c>
      <c r="AR1487" s="8"/>
      <c r="AY1487" s="8"/>
    </row>
    <row r="1488" spans="1:51">
      <c r="A1488" s="5" t="str">
        <v>MEI</v>
      </c>
      <c r="B1488" s="5" t="str">
        <f ca="1"/>
        <v>MEI45759</v>
      </c>
      <c r="C1488" s="8" t="str">
        <v>Pedido 1475</v>
      </c>
      <c r="D1488" s="187">
        <v>45756</v>
      </c>
      <c r="E1488" s="9">
        <v>45759</v>
      </c>
      <c r="F1488" s="8" t="str">
        <v>PedidoF1413</v>
      </c>
      <c r="G1488" s="2" t="str">
        <v>CódRastreio1411</v>
      </c>
      <c r="H1488" s="5">
        <v>1</v>
      </c>
      <c r="I1488" s="2" t="str">
        <v>CPF 1435</v>
      </c>
      <c r="J1488" s="2" t="str">
        <v>Nome 1435</v>
      </c>
      <c r="K1488" s="8" t="str">
        <v>Tel 1435</v>
      </c>
      <c r="L1488" s="8" t="str">
        <v>Cep 1435</v>
      </c>
      <c r="M1488" s="8" t="str">
        <v>Rua 1435</v>
      </c>
      <c r="N1488" s="8" t="str">
        <v>Comp 1435</v>
      </c>
      <c r="O1488" s="8" t="str">
        <v>Mini Liquidificador</v>
      </c>
      <c r="P1488" s="8" t="str">
        <v>A4-5W51-K3HF</v>
      </c>
      <c r="Q1488" s="4">
        <v>45786</v>
      </c>
      <c r="R1488" s="109">
        <v>36.950000000000003</v>
      </c>
      <c r="S1488" s="11">
        <f ca="1"/>
        <v>36.950000000000003</v>
      </c>
      <c r="T1488" s="28">
        <f ca="1"/>
        <v>4.4340000000000002</v>
      </c>
      <c r="U1488" s="11">
        <f ca="1"/>
        <v>32.520000000000003</v>
      </c>
      <c r="V1488" s="11">
        <v>19.989999999999998</v>
      </c>
      <c r="W1488" s="11">
        <f ca="1"/>
        <v>0.15</v>
      </c>
      <c r="X1488" s="11">
        <f ca="1"/>
        <v>0.39877104377104378</v>
      </c>
      <c r="Y1488" s="11">
        <v>0</v>
      </c>
      <c r="Z1488" s="11">
        <f ca="1"/>
        <v>11.981228956228961</v>
      </c>
      <c r="AA1488" s="11">
        <f ca="1"/>
        <v>5.9906144781144803</v>
      </c>
      <c r="AB1488" s="4">
        <f ca="1"/>
        <v>45793</v>
      </c>
      <c r="AC1488" s="4">
        <v>45793</v>
      </c>
      <c r="AD1488" s="9">
        <v>45793</v>
      </c>
      <c r="AE1488" s="9">
        <v>45797</v>
      </c>
      <c r="AF1488" s="4" t="str">
        <f t="shared" ca="1" si="97"/>
        <v>2025 05</v>
      </c>
      <c r="AG1488" s="8" t="str" cm="1">
        <f t="array" ref="AG1488">IFERROR(_xlfn.IFS('Banco de Dados'!#REF!="AG. COMPRA","Em processamento",'Banco de Dados'!#REF!="AG. RASTREIO","Em processamento",'Banco de Dados'!$AE1488&lt;&gt;"-","Faturado",'Banco de Dados'!$AD1488&lt;&gt;"-","Aguardando Pix",'Banco de Dados'!$AC1488&lt;&gt;"-","Pendente"),"Aguardando Liberação")</f>
        <v>Aguardando Liberação</v>
      </c>
      <c r="AH1488" s="5" t="str">
        <f>IF('Banco de Dados'!$F1488="-",_xlfn.CONCAT(PROPER(TEXT(AK1488,"aaaa"))," ",PROPER(TEXT(AK1488,"mm"))),_xlfn.CONCAT(PROPER(TEXT(E1488,"aaaa"))," ",PROPER(TEXT(E1488,"mm"))))</f>
        <v>2025 04</v>
      </c>
      <c r="AI1488" s="9" t="str">
        <f ca="1">IF('Banco de Dados'!$AK1488&lt;&gt;"-","REEMBOLSO",IFERROR(_xlfn.XLOOKUP(G1488,Follow[CODRASTREIO],Follow[STATUS]),"-"))</f>
        <v>ENTREGUE</v>
      </c>
      <c r="AJ1488" s="9">
        <f ca="1">IF('Banco de Dados'!$AI1488="ENTREGUE",_xlfn.XLOOKUP('Banco de Dados'!$G1488,Follow[CODRASTREIO],Follow[DATAATUALIZAÇÃO]),"-")</f>
        <v>45771</v>
      </c>
      <c r="AK1488" s="132" t="str">
        <f ca="1"/>
        <v>-</v>
      </c>
      <c r="AL1488" s="35"/>
      <c r="AM1488" s="109" cm="1">
        <f t="array" aca="1" ref="AM1488" ca="1">IF('Banco de Dados'!$AK1488&lt;&gt;"-",_xlfn.IFS('Banco de Dados'!$A1488="bv",IF('Banco de Dados'!$E1488&lt;45641,ROUND(SUM('Banco de Dados'!$R1488*_xlfn.XLOOKUP('Banco de Dados'!$P1488,Sku!B:B,Sku!#REF!)*20%),2),ROUND(SUM('Banco de Dados'!$R1488*_xlfn.XLOOKUP('Banco de Dados'!$P1488,Sku!B:B,Sku!H:H)*20%),2)),'Banco de Dados'!$A1488="GO",ROUND(SUM('Banco de Dados'!$R1488*_xlfn.XLOOKUP('Banco de Dados'!$P1488,Sku!C:C,Sku!H:H)*20%),2),'Banco de Dados'!$A1488="MEI",ROUND(SUM('Banco de Dados'!$R1488*_xlfn.XLOOKUP('Banco de Dados'!$P1488,Sku!D:D,Sku!H:H)*20%),2)),0)</f>
        <v>0</v>
      </c>
      <c r="AN1488" s="109">
        <f ca="1">IF('Banco de Dados'!$AK1488&lt;&gt;"-",IF('Banco de Dados'!$F1488&lt;&gt;"-",_xlfn.XLOOKUP(IFERROR(IFERROR(IFERROR(VALUE(SUBSTITUTE(MID(_xlfn.TEXTAFTER('Banco de Dados'!$F1488,"Data do Pedido:
",1),1,10),"-","/")),VALUE(SUBSTITUTE(MID(_xlfn.TEXTAFTER('Banco de Dados'!$F1488,"Order date:
",1),1,10),"-","/"))),VALUE(SUBSTITUTE(MID(_xlfn.TEXTAFTER('Banco de Dados'!$F1488,"Fecha de pedido:
",1),1,10),"-","/"))),"-"),SMS!A:A,SMS!K:K),0),0)</f>
        <v>0</v>
      </c>
      <c r="AO1488" s="109">
        <f ca="1">IF('Banco de Dados'!$AK1488&lt;&gt;"-",IF('Banco de Dados'!$F1488&lt;&gt;"-",IFERROR(_xlfn.XLOOKUP(_xlfn.CONCAT('Banco de Dados'!$A1488,IFERROR(IFERROR(VALUE(SUBSTITUTE(MID(_xlfn.TEXTAFTER('Banco de Dados'!$F1488,"Data do Pedido:
",1),1,10),"-","/")),VALUE(SUBSTITUTE(MID(_xlfn.TEXTAFTER('Banco de Dados'!$F1488,"Order date:
",1),1,10),"-","/"))),0)),ProxyDD[Chave],ProxyDD[Valor por pedido]),PROXY!$P$2),0),0)</f>
        <v>0</v>
      </c>
      <c r="AP1488" s="28">
        <f ca="1">IF('Banco de Dados'!$AK1488&lt;&gt;"-",IF('Banco de Dados'!$AL1488="NÃO",IFERROR(VALUE(SUBSTITUTE(_xlfn.TEXTAFTER('Banco de Dados'!$F1488,"BRL ",1),".",",")),0),0),0)</f>
        <v>0</v>
      </c>
      <c r="AQ1488" s="28">
        <f ca="1">SUM('Banco de Dados'!$AM1488:$AP1488)</f>
        <v>0</v>
      </c>
      <c r="AR1488" s="8"/>
      <c r="AY1488" s="8"/>
    </row>
    <row r="1489" spans="1:51">
      <c r="A1489" s="5" t="str">
        <v>MEI</v>
      </c>
      <c r="B1489" s="5" t="str">
        <f ca="1"/>
        <v>MEI45759</v>
      </c>
      <c r="C1489" s="8" t="str">
        <v>Pedido 1476</v>
      </c>
      <c r="D1489" s="187">
        <v>45756</v>
      </c>
      <c r="E1489" s="9">
        <v>45759</v>
      </c>
      <c r="F1489" s="8" t="str">
        <v>PedidoF1414</v>
      </c>
      <c r="G1489" s="2" t="str">
        <v>CódRastreio1412</v>
      </c>
      <c r="H1489" s="5">
        <v>1</v>
      </c>
      <c r="I1489" s="2" t="str">
        <v>CPF 1436</v>
      </c>
      <c r="J1489" s="2" t="str">
        <v>Nome 1436</v>
      </c>
      <c r="K1489" s="8" t="str">
        <v>Tel 1436</v>
      </c>
      <c r="L1489" s="8" t="str">
        <v>Cep 1436</v>
      </c>
      <c r="M1489" s="8" t="str">
        <v>Rua 1436</v>
      </c>
      <c r="N1489" s="8" t="str">
        <v>Comp 1436</v>
      </c>
      <c r="O1489" s="8" t="str">
        <v>Maçarico Culinário Portátil</v>
      </c>
      <c r="P1489" s="8" t="str">
        <v>BG-DHRO-FAEE</v>
      </c>
      <c r="Q1489" s="4">
        <v>45786</v>
      </c>
      <c r="R1489" s="109">
        <v>26.99</v>
      </c>
      <c r="S1489" s="11">
        <f ca="1"/>
        <v>26.99</v>
      </c>
      <c r="T1489" s="28">
        <f ca="1"/>
        <v>2.9688999999999997</v>
      </c>
      <c r="U1489" s="11">
        <f ca="1"/>
        <v>24.02</v>
      </c>
      <c r="V1489" s="11">
        <v>14.35</v>
      </c>
      <c r="W1489" s="11">
        <f ca="1"/>
        <v>0.15</v>
      </c>
      <c r="X1489" s="11">
        <f ca="1"/>
        <v>0.39877104377104378</v>
      </c>
      <c r="Y1489" s="11">
        <v>0</v>
      </c>
      <c r="Z1489" s="11">
        <f ca="1"/>
        <v>9.1212289562289559</v>
      </c>
      <c r="AA1489" s="11">
        <f ca="1"/>
        <v>4.560614478114478</v>
      </c>
      <c r="AB1489" s="4">
        <f ca="1"/>
        <v>45793</v>
      </c>
      <c r="AC1489" s="4">
        <v>45793</v>
      </c>
      <c r="AD1489" s="9">
        <v>45793</v>
      </c>
      <c r="AE1489" s="9">
        <v>45797</v>
      </c>
      <c r="AF1489" s="4" t="str">
        <f t="shared" ca="1" si="97"/>
        <v>2025 05</v>
      </c>
      <c r="AG1489" s="8" t="str" cm="1">
        <f t="array" ref="AG1489">IFERROR(_xlfn.IFS('Banco de Dados'!#REF!="AG. COMPRA","Em processamento",'Banco de Dados'!#REF!="AG. RASTREIO","Em processamento",'Banco de Dados'!$AE1489&lt;&gt;"-","Faturado",'Banco de Dados'!$AD1489&lt;&gt;"-","Aguardando Pix",'Banco de Dados'!$AC1489&lt;&gt;"-","Pendente"),"Aguardando Liberação")</f>
        <v>Aguardando Liberação</v>
      </c>
      <c r="AH1489" s="5" t="str">
        <f>IF('Banco de Dados'!$F1489="-",_xlfn.CONCAT(PROPER(TEXT(AK1489,"aaaa"))," ",PROPER(TEXT(AK1489,"mm"))),_xlfn.CONCAT(PROPER(TEXT(E1489,"aaaa"))," ",PROPER(TEXT(E1489,"mm"))))</f>
        <v>2025 04</v>
      </c>
      <c r="AI1489" s="9" t="str">
        <f ca="1">IF('Banco de Dados'!$AK1489&lt;&gt;"-","REEMBOLSO",IFERROR(_xlfn.XLOOKUP(G1489,Follow[CODRASTREIO],Follow[STATUS]),"-"))</f>
        <v>ENTREGUE</v>
      </c>
      <c r="AJ1489" s="9">
        <f ca="1">IF('Banco de Dados'!$AI1489="ENTREGUE",_xlfn.XLOOKUP('Banco de Dados'!$G1489,Follow[CODRASTREIO],Follow[DATAATUALIZAÇÃO]),"-")</f>
        <v>45783</v>
      </c>
      <c r="AK1489" s="132" t="str">
        <f ca="1"/>
        <v>-</v>
      </c>
      <c r="AL1489" s="35"/>
      <c r="AM1489" s="109" cm="1">
        <f t="array" aca="1" ref="AM1489" ca="1">IF('Banco de Dados'!$AK1489&lt;&gt;"-",_xlfn.IFS('Banco de Dados'!$A1489="bv",IF('Banco de Dados'!$E1489&lt;45641,ROUND(SUM('Banco de Dados'!$R1489*_xlfn.XLOOKUP('Banco de Dados'!$P1489,Sku!B:B,Sku!#REF!)*20%),2),ROUND(SUM('Banco de Dados'!$R1489*_xlfn.XLOOKUP('Banco de Dados'!$P1489,Sku!B:B,Sku!H:H)*20%),2)),'Banco de Dados'!$A1489="GO",ROUND(SUM('Banco de Dados'!$R1489*_xlfn.XLOOKUP('Banco de Dados'!$P1489,Sku!C:C,Sku!H:H)*20%),2),'Banco de Dados'!$A1489="MEI",ROUND(SUM('Banco de Dados'!$R1489*_xlfn.XLOOKUP('Banco de Dados'!$P1489,Sku!D:D,Sku!H:H)*20%),2)),0)</f>
        <v>0</v>
      </c>
      <c r="AN1489" s="109">
        <f ca="1">IF('Banco de Dados'!$AK1489&lt;&gt;"-",IF('Banco de Dados'!$F1489&lt;&gt;"-",_xlfn.XLOOKUP(IFERROR(IFERROR(IFERROR(VALUE(SUBSTITUTE(MID(_xlfn.TEXTAFTER('Banco de Dados'!$F1489,"Data do Pedido:
",1),1,10),"-","/")),VALUE(SUBSTITUTE(MID(_xlfn.TEXTAFTER('Banco de Dados'!$F1489,"Order date:
",1),1,10),"-","/"))),VALUE(SUBSTITUTE(MID(_xlfn.TEXTAFTER('Banco de Dados'!$F1489,"Fecha de pedido:
",1),1,10),"-","/"))),"-"),SMS!A:A,SMS!K:K),0),0)</f>
        <v>0</v>
      </c>
      <c r="AO1489" s="109">
        <f ca="1">IF('Banco de Dados'!$AK1489&lt;&gt;"-",IF('Banco de Dados'!$F1489&lt;&gt;"-",IFERROR(_xlfn.XLOOKUP(_xlfn.CONCAT('Banco de Dados'!$A1489,IFERROR(IFERROR(VALUE(SUBSTITUTE(MID(_xlfn.TEXTAFTER('Banco de Dados'!$F1489,"Data do Pedido:
",1),1,10),"-","/")),VALUE(SUBSTITUTE(MID(_xlfn.TEXTAFTER('Banco de Dados'!$F1489,"Order date:
",1),1,10),"-","/"))),0)),ProxyDD[Chave],ProxyDD[Valor por pedido]),PROXY!$P$2),0),0)</f>
        <v>0</v>
      </c>
      <c r="AP1489" s="28">
        <f ca="1">IF('Banco de Dados'!$AK1489&lt;&gt;"-",IF('Banco de Dados'!$AL1489="NÃO",IFERROR(VALUE(SUBSTITUTE(_xlfn.TEXTAFTER('Banco de Dados'!$F1489,"BRL ",1),".",",")),0),0),0)</f>
        <v>0</v>
      </c>
      <c r="AQ1489" s="28">
        <f ca="1">SUM('Banco de Dados'!$AM1489:$AP1489)</f>
        <v>0</v>
      </c>
      <c r="AR1489" s="8"/>
      <c r="AY1489" s="8"/>
    </row>
    <row r="1490" spans="1:51">
      <c r="A1490" s="5" t="str">
        <v>MEI</v>
      </c>
      <c r="B1490" s="5" t="str">
        <f ca="1"/>
        <v>MEI45759</v>
      </c>
      <c r="C1490" s="8" t="str">
        <v>Pedido 1477</v>
      </c>
      <c r="D1490" s="187">
        <v>45756</v>
      </c>
      <c r="E1490" s="9">
        <v>45759</v>
      </c>
      <c r="F1490" s="8" t="str">
        <v>PedidoF1415</v>
      </c>
      <c r="G1490" s="2" t="str">
        <v>CódRastreio1413</v>
      </c>
      <c r="H1490" s="5">
        <v>1</v>
      </c>
      <c r="I1490" s="2" t="str">
        <v>CPF 1437</v>
      </c>
      <c r="J1490" s="2" t="str">
        <v>Nome 1437</v>
      </c>
      <c r="K1490" s="8" t="str">
        <v>Tel 1437</v>
      </c>
      <c r="L1490" s="8" t="str">
        <v>Cep 1437</v>
      </c>
      <c r="M1490" s="8" t="str">
        <v>Rua 1437</v>
      </c>
      <c r="N1490" s="8" t="str">
        <v>Comp 1437</v>
      </c>
      <c r="O1490" s="8" t="str">
        <v>Lampada Led</v>
      </c>
      <c r="P1490" s="8" t="str">
        <v>T1-SWVB-UPOW</v>
      </c>
      <c r="Q1490" s="4">
        <v>45780</v>
      </c>
      <c r="R1490" s="109">
        <v>29.99</v>
      </c>
      <c r="S1490" s="11">
        <f ca="1"/>
        <v>29.99</v>
      </c>
      <c r="T1490" s="28">
        <f ca="1"/>
        <v>3.5987999999999998</v>
      </c>
      <c r="U1490" s="11">
        <f ca="1"/>
        <v>26.39</v>
      </c>
      <c r="V1490" s="11">
        <v>11.5</v>
      </c>
      <c r="W1490" s="11">
        <f ca="1"/>
        <v>0.15</v>
      </c>
      <c r="X1490" s="11">
        <f ca="1"/>
        <v>0.39877104377104378</v>
      </c>
      <c r="Y1490" s="11">
        <v>0</v>
      </c>
      <c r="Z1490" s="11">
        <f ca="1"/>
        <v>14.341228956228957</v>
      </c>
      <c r="AA1490" s="11">
        <f ca="1"/>
        <v>7.1706144781144783</v>
      </c>
      <c r="AB1490" s="4">
        <f ca="1"/>
        <v>45787</v>
      </c>
      <c r="AC1490" s="4">
        <v>45787</v>
      </c>
      <c r="AD1490" s="9">
        <v>45793</v>
      </c>
      <c r="AE1490" s="9">
        <v>45797</v>
      </c>
      <c r="AF1490" s="4" t="str">
        <f t="shared" ca="1" si="97"/>
        <v>2025 05</v>
      </c>
      <c r="AG1490" s="8" t="str" cm="1">
        <f t="array" ref="AG1490">IFERROR(_xlfn.IFS('Banco de Dados'!#REF!="AG. COMPRA","Em processamento",'Banco de Dados'!#REF!="AG. RASTREIO","Em processamento",'Banco de Dados'!$AE1490&lt;&gt;"-","Faturado",'Banco de Dados'!$AD1490&lt;&gt;"-","Aguardando Pix",'Banco de Dados'!$AC1490&lt;&gt;"-","Pendente"),"Aguardando Liberação")</f>
        <v>Aguardando Liberação</v>
      </c>
      <c r="AH1490" s="5" t="str">
        <f>IF('Banco de Dados'!$F1490="-",_xlfn.CONCAT(PROPER(TEXT(AK1490,"aaaa"))," ",PROPER(TEXT(AK1490,"mm"))),_xlfn.CONCAT(PROPER(TEXT(E1490,"aaaa"))," ",PROPER(TEXT(E1490,"mm"))))</f>
        <v>2025 04</v>
      </c>
      <c r="AI1490" s="9" t="str">
        <f ca="1">IF('Banco de Dados'!$AK1490&lt;&gt;"-","REEMBOLSO",IFERROR(_xlfn.XLOOKUP(G1490,Follow[CODRASTREIO],Follow[STATUS]),"-"))</f>
        <v>ENTREGUE</v>
      </c>
      <c r="AJ1490" s="9">
        <f ca="1">IF('Banco de Dados'!$AI1490="ENTREGUE",_xlfn.XLOOKUP('Banco de Dados'!$G1490,Follow[CODRASTREIO],Follow[DATAATUALIZAÇÃO]),"-")</f>
        <v>45765</v>
      </c>
      <c r="AK1490" s="132" t="str">
        <f ca="1"/>
        <v>-</v>
      </c>
      <c r="AL1490" s="35"/>
      <c r="AM1490" s="109" cm="1">
        <f t="array" aca="1" ref="AM1490" ca="1">IF('Banco de Dados'!$AK1490&lt;&gt;"-",_xlfn.IFS('Banco de Dados'!$A1490="bv",IF('Banco de Dados'!$E1490&lt;45641,ROUND(SUM('Banco de Dados'!$R1490*_xlfn.XLOOKUP('Banco de Dados'!$P1490,Sku!B:B,Sku!#REF!)*20%),2),ROUND(SUM('Banco de Dados'!$R1490*_xlfn.XLOOKUP('Banco de Dados'!$P1490,Sku!B:B,Sku!H:H)*20%),2)),'Banco de Dados'!$A1490="GO",ROUND(SUM('Banco de Dados'!$R1490*_xlfn.XLOOKUP('Banco de Dados'!$P1490,Sku!C:C,Sku!H:H)*20%),2),'Banco de Dados'!$A1490="MEI",ROUND(SUM('Banco de Dados'!$R1490*_xlfn.XLOOKUP('Banco de Dados'!$P1490,Sku!D:D,Sku!H:H)*20%),2)),0)</f>
        <v>0</v>
      </c>
      <c r="AN1490" s="109">
        <f ca="1">IF('Banco de Dados'!$AK1490&lt;&gt;"-",IF('Banco de Dados'!$F1490&lt;&gt;"-",_xlfn.XLOOKUP(IFERROR(IFERROR(IFERROR(VALUE(SUBSTITUTE(MID(_xlfn.TEXTAFTER('Banco de Dados'!$F1490,"Data do Pedido:
",1),1,10),"-","/")),VALUE(SUBSTITUTE(MID(_xlfn.TEXTAFTER('Banco de Dados'!$F1490,"Order date:
",1),1,10),"-","/"))),VALUE(SUBSTITUTE(MID(_xlfn.TEXTAFTER('Banco de Dados'!$F1490,"Fecha de pedido:
",1),1,10),"-","/"))),"-"),SMS!A:A,SMS!K:K),0),0)</f>
        <v>0</v>
      </c>
      <c r="AO1490" s="109">
        <f ca="1">IF('Banco de Dados'!$AK1490&lt;&gt;"-",IF('Banco de Dados'!$F1490&lt;&gt;"-",IFERROR(_xlfn.XLOOKUP(_xlfn.CONCAT('Banco de Dados'!$A1490,IFERROR(IFERROR(VALUE(SUBSTITUTE(MID(_xlfn.TEXTAFTER('Banco de Dados'!$F1490,"Data do Pedido:
",1),1,10),"-","/")),VALUE(SUBSTITUTE(MID(_xlfn.TEXTAFTER('Banco de Dados'!$F1490,"Order date:
",1),1,10),"-","/"))),0)),ProxyDD[Chave],ProxyDD[Valor por pedido]),PROXY!$P$2),0),0)</f>
        <v>0</v>
      </c>
      <c r="AP1490" s="28">
        <f ca="1">IF('Banco de Dados'!$AK1490&lt;&gt;"-",IF('Banco de Dados'!$AL1490="NÃO",IFERROR(VALUE(SUBSTITUTE(_xlfn.TEXTAFTER('Banco de Dados'!$F1490,"BRL ",1),".",",")),0),0),0)</f>
        <v>0</v>
      </c>
      <c r="AQ1490" s="28">
        <f ca="1">SUM('Banco de Dados'!$AM1490:$AP1490)</f>
        <v>0</v>
      </c>
      <c r="AR1490" s="8"/>
      <c r="AY1490" s="8"/>
    </row>
    <row r="1491" spans="1:51">
      <c r="A1491" s="5" t="str">
        <v>MEI</v>
      </c>
      <c r="B1491" s="5" t="str">
        <f ca="1"/>
        <v>MEI45759</v>
      </c>
      <c r="C1491" s="8" t="str">
        <v>Pedido 1478</v>
      </c>
      <c r="D1491" s="187">
        <v>45756</v>
      </c>
      <c r="E1491" s="9">
        <v>45759</v>
      </c>
      <c r="F1491" s="8" t="str">
        <v>PedidoF1416</v>
      </c>
      <c r="G1491" s="2" t="str">
        <v>CódRastreio1414</v>
      </c>
      <c r="H1491" s="5">
        <v>1</v>
      </c>
      <c r="I1491" s="2" t="str">
        <v>CPF 1438</v>
      </c>
      <c r="J1491" s="2" t="str">
        <v>Nome 1438</v>
      </c>
      <c r="K1491" s="8" t="str">
        <v>Tel 1438</v>
      </c>
      <c r="L1491" s="8" t="str">
        <v>Cep 1438</v>
      </c>
      <c r="M1491" s="8" t="str">
        <v>Rua 1438</v>
      </c>
      <c r="N1491" s="8" t="str">
        <v>Comp 1438</v>
      </c>
      <c r="O1491" s="8" t="str">
        <v>Ventilador Azul</v>
      </c>
      <c r="P1491" s="8" t="str">
        <v>PK-L2Z7-MQRQ</v>
      </c>
      <c r="Q1491" s="4">
        <v>45786</v>
      </c>
      <c r="R1491" s="109">
        <v>49.9</v>
      </c>
      <c r="S1491" s="11">
        <f ca="1"/>
        <v>49.9</v>
      </c>
      <c r="T1491" s="28">
        <f ca="1"/>
        <v>5.9879999999999995</v>
      </c>
      <c r="U1491" s="11">
        <f ca="1"/>
        <v>43.91</v>
      </c>
      <c r="V1491" s="11">
        <v>23.31</v>
      </c>
      <c r="W1491" s="11">
        <f ca="1"/>
        <v>0.15</v>
      </c>
      <c r="X1491" s="11">
        <f ca="1"/>
        <v>0.39877104377104378</v>
      </c>
      <c r="Y1491" s="11">
        <v>0</v>
      </c>
      <c r="Z1491" s="11">
        <f ca="1"/>
        <v>20.051228956228954</v>
      </c>
      <c r="AA1491" s="11">
        <f ca="1"/>
        <v>10.025614478114477</v>
      </c>
      <c r="AB1491" s="4">
        <f ca="1"/>
        <v>45793</v>
      </c>
      <c r="AC1491" s="4">
        <v>45793</v>
      </c>
      <c r="AD1491" s="9">
        <v>45793</v>
      </c>
      <c r="AE1491" s="9">
        <v>45797</v>
      </c>
      <c r="AF1491" s="4" t="str">
        <f t="shared" ca="1" si="97"/>
        <v>2025 05</v>
      </c>
      <c r="AG1491" s="8" t="str" cm="1">
        <f t="array" ref="AG1491">IFERROR(_xlfn.IFS('Banco de Dados'!#REF!="AG. COMPRA","Em processamento",'Banco de Dados'!#REF!="AG. RASTREIO","Em processamento",'Banco de Dados'!$AE1491&lt;&gt;"-","Faturado",'Banco de Dados'!$AD1491&lt;&gt;"-","Aguardando Pix",'Banco de Dados'!$AC1491&lt;&gt;"-","Pendente"),"Aguardando Liberação")</f>
        <v>Aguardando Liberação</v>
      </c>
      <c r="AH1491" s="5" t="str">
        <f>IF('Banco de Dados'!$F1491="-",_xlfn.CONCAT(PROPER(TEXT(AK1491,"aaaa"))," ",PROPER(TEXT(AK1491,"mm"))),_xlfn.CONCAT(PROPER(TEXT(E1491,"aaaa"))," ",PROPER(TEXT(E1491,"mm"))))</f>
        <v>2025 04</v>
      </c>
      <c r="AI1491" s="9" t="str">
        <f ca="1">IF('Banco de Dados'!$AK1491&lt;&gt;"-","REEMBOLSO",IFERROR(_xlfn.XLOOKUP(G1491,Follow[CODRASTREIO],Follow[STATUS]),"-"))</f>
        <v>ENTREGUE</v>
      </c>
      <c r="AJ1491" s="9">
        <f ca="1">IF('Banco de Dados'!$AI1491="ENTREGUE",_xlfn.XLOOKUP('Banco de Dados'!$G1491,Follow[CODRASTREIO],Follow[DATAATUALIZAÇÃO]),"-")</f>
        <v>45777</v>
      </c>
      <c r="AK1491" s="132" t="str">
        <f ca="1"/>
        <v>-</v>
      </c>
      <c r="AL1491" s="35"/>
      <c r="AM1491" s="109" cm="1">
        <f t="array" aca="1" ref="AM1491" ca="1">IF('Banco de Dados'!$AK1491&lt;&gt;"-",_xlfn.IFS('Banco de Dados'!$A1491="bv",IF('Banco de Dados'!$E1491&lt;45641,ROUND(SUM('Banco de Dados'!$R1491*_xlfn.XLOOKUP('Banco de Dados'!$P1491,Sku!B:B,Sku!#REF!)*20%),2),ROUND(SUM('Banco de Dados'!$R1491*_xlfn.XLOOKUP('Banco de Dados'!$P1491,Sku!B:B,Sku!H:H)*20%),2)),'Banco de Dados'!$A1491="GO",ROUND(SUM('Banco de Dados'!$R1491*_xlfn.XLOOKUP('Banco de Dados'!$P1491,Sku!C:C,Sku!H:H)*20%),2),'Banco de Dados'!$A1491="MEI",ROUND(SUM('Banco de Dados'!$R1491*_xlfn.XLOOKUP('Banco de Dados'!$P1491,Sku!D:D,Sku!H:H)*20%),2)),0)</f>
        <v>0</v>
      </c>
      <c r="AN1491" s="109">
        <f ca="1">IF('Banco de Dados'!$AK1491&lt;&gt;"-",IF('Banco de Dados'!$F1491&lt;&gt;"-",_xlfn.XLOOKUP(IFERROR(IFERROR(IFERROR(VALUE(SUBSTITUTE(MID(_xlfn.TEXTAFTER('Banco de Dados'!$F1491,"Data do Pedido:
",1),1,10),"-","/")),VALUE(SUBSTITUTE(MID(_xlfn.TEXTAFTER('Banco de Dados'!$F1491,"Order date:
",1),1,10),"-","/"))),VALUE(SUBSTITUTE(MID(_xlfn.TEXTAFTER('Banco de Dados'!$F1491,"Fecha de pedido:
",1),1,10),"-","/"))),"-"),SMS!A:A,SMS!K:K),0),0)</f>
        <v>0</v>
      </c>
      <c r="AO1491" s="109">
        <f ca="1">IF('Banco de Dados'!$AK1491&lt;&gt;"-",IF('Banco de Dados'!$F1491&lt;&gt;"-",IFERROR(_xlfn.XLOOKUP(_xlfn.CONCAT('Banco de Dados'!$A1491,IFERROR(IFERROR(VALUE(SUBSTITUTE(MID(_xlfn.TEXTAFTER('Banco de Dados'!$F1491,"Data do Pedido:
",1),1,10),"-","/")),VALUE(SUBSTITUTE(MID(_xlfn.TEXTAFTER('Banco de Dados'!$F1491,"Order date:
",1),1,10),"-","/"))),0)),ProxyDD[Chave],ProxyDD[Valor por pedido]),PROXY!$P$2),0),0)</f>
        <v>0</v>
      </c>
      <c r="AP1491" s="28">
        <f ca="1">IF('Banco de Dados'!$AK1491&lt;&gt;"-",IF('Banco de Dados'!$AL1491="NÃO",IFERROR(VALUE(SUBSTITUTE(_xlfn.TEXTAFTER('Banco de Dados'!$F1491,"BRL ",1),".",",")),0),0),0)</f>
        <v>0</v>
      </c>
      <c r="AQ1491" s="28">
        <f ca="1">SUM('Banco de Dados'!$AM1491:$AP1491)</f>
        <v>0</v>
      </c>
      <c r="AR1491" s="8"/>
      <c r="AY1491" s="8"/>
    </row>
    <row r="1492" spans="1:51">
      <c r="A1492" s="5" t="str">
        <v>MEI</v>
      </c>
      <c r="B1492" s="5" t="str">
        <f ca="1"/>
        <v>MEI45760</v>
      </c>
      <c r="C1492" s="8" t="str">
        <v>Pedido 1479</v>
      </c>
      <c r="D1492" s="187">
        <v>45756</v>
      </c>
      <c r="E1492" s="9">
        <v>45760</v>
      </c>
      <c r="F1492" s="8" t="str">
        <v>PedidoF1417</v>
      </c>
      <c r="G1492" s="2" t="str">
        <v>CódRastreio1415</v>
      </c>
      <c r="H1492" s="5">
        <v>1</v>
      </c>
      <c r="I1492" s="2" t="str">
        <v>CPF 1439</v>
      </c>
      <c r="J1492" s="2" t="str">
        <v>Nome 1439</v>
      </c>
      <c r="K1492" s="8" t="str">
        <v>Tel 1439</v>
      </c>
      <c r="L1492" s="8" t="str">
        <v>Cep 1439</v>
      </c>
      <c r="M1492" s="8" t="str">
        <v>Rua 1439</v>
      </c>
      <c r="N1492" s="8" t="str">
        <v>Comp 1439</v>
      </c>
      <c r="O1492" s="8" t="str">
        <v>Caixinha de som Preta</v>
      </c>
      <c r="P1492" s="8" t="str">
        <v>K9-7YJH-TT9R</v>
      </c>
      <c r="Q1492" s="4">
        <v>45786</v>
      </c>
      <c r="R1492" s="109">
        <v>25.88</v>
      </c>
      <c r="S1492" s="11">
        <f ca="1"/>
        <v>25.88</v>
      </c>
      <c r="T1492" s="28">
        <f ca="1"/>
        <v>3.8819999999999997</v>
      </c>
      <c r="U1492" s="11">
        <f ca="1"/>
        <v>22</v>
      </c>
      <c r="V1492" s="11">
        <v>16.5</v>
      </c>
      <c r="W1492" s="11">
        <f ca="1"/>
        <v>0.25</v>
      </c>
      <c r="X1492" s="11">
        <f ca="1"/>
        <v>0.39877104377104378</v>
      </c>
      <c r="Y1492" s="11">
        <v>0</v>
      </c>
      <c r="Z1492" s="11">
        <f ca="1"/>
        <v>4.8512289562289546</v>
      </c>
      <c r="AA1492" s="11">
        <f ca="1"/>
        <v>2.4256144781144773</v>
      </c>
      <c r="AB1492" s="4">
        <f ca="1"/>
        <v>45793</v>
      </c>
      <c r="AC1492" s="4">
        <v>45793</v>
      </c>
      <c r="AD1492" s="9">
        <v>45793</v>
      </c>
      <c r="AE1492" s="9">
        <v>45797</v>
      </c>
      <c r="AF1492" s="4" t="str">
        <f t="shared" ca="1" si="97"/>
        <v>2025 05</v>
      </c>
      <c r="AG1492" s="8" t="str" cm="1">
        <f t="array" ref="AG1492">IFERROR(_xlfn.IFS('Banco de Dados'!#REF!="AG. COMPRA","Em processamento",'Banco de Dados'!#REF!="AG. RASTREIO","Em processamento",'Banco de Dados'!$AE1492&lt;&gt;"-","Faturado",'Banco de Dados'!$AD1492&lt;&gt;"-","Aguardando Pix",'Banco de Dados'!$AC1492&lt;&gt;"-","Pendente"),"Aguardando Liberação")</f>
        <v>Aguardando Liberação</v>
      </c>
      <c r="AH1492" s="5" t="str">
        <f>IF('Banco de Dados'!$F1492="-",_xlfn.CONCAT(PROPER(TEXT(AK1492,"aaaa"))," ",PROPER(TEXT(AK1492,"mm"))),_xlfn.CONCAT(PROPER(TEXT(E1492,"aaaa"))," ",PROPER(TEXT(E1492,"mm"))))</f>
        <v>2025 04</v>
      </c>
      <c r="AI1492" s="9" t="str">
        <f ca="1">IF('Banco de Dados'!$AK1492&lt;&gt;"-","REEMBOLSO",IFERROR(_xlfn.XLOOKUP(G1492,Follow[CODRASTREIO],Follow[STATUS]),"-"))</f>
        <v>ENTREGUE</v>
      </c>
      <c r="AJ1492" s="9">
        <f ca="1">IF('Banco de Dados'!$AI1492="ENTREGUE",_xlfn.XLOOKUP('Banco de Dados'!$G1492,Follow[CODRASTREIO],Follow[DATAATUALIZAÇÃO]),"-")</f>
        <v>45768</v>
      </c>
      <c r="AK1492" s="132" t="str">
        <f ca="1"/>
        <v>-</v>
      </c>
      <c r="AL1492" s="35"/>
      <c r="AM1492" s="109" cm="1">
        <f t="array" aca="1" ref="AM1492" ca="1">IF('Banco de Dados'!$AK1492&lt;&gt;"-",_xlfn.IFS('Banco de Dados'!$A1492="bv",IF('Banco de Dados'!$E1492&lt;45641,ROUND(SUM('Banco de Dados'!$R1492*_xlfn.XLOOKUP('Banco de Dados'!$P1492,Sku!B:B,Sku!#REF!)*20%),2),ROUND(SUM('Banco de Dados'!$R1492*_xlfn.XLOOKUP('Banco de Dados'!$P1492,Sku!B:B,Sku!H:H)*20%),2)),'Banco de Dados'!$A1492="GO",ROUND(SUM('Banco de Dados'!$R1492*_xlfn.XLOOKUP('Banco de Dados'!$P1492,Sku!C:C,Sku!H:H)*20%),2),'Banco de Dados'!$A1492="MEI",ROUND(SUM('Banco de Dados'!$R1492*_xlfn.XLOOKUP('Banco de Dados'!$P1492,Sku!D:D,Sku!H:H)*20%),2)),0)</f>
        <v>0</v>
      </c>
      <c r="AN1492" s="109">
        <f ca="1">IF('Banco de Dados'!$AK1492&lt;&gt;"-",IF('Banco de Dados'!$F1492&lt;&gt;"-",_xlfn.XLOOKUP(IFERROR(IFERROR(IFERROR(VALUE(SUBSTITUTE(MID(_xlfn.TEXTAFTER('Banco de Dados'!$F1492,"Data do Pedido:
",1),1,10),"-","/")),VALUE(SUBSTITUTE(MID(_xlfn.TEXTAFTER('Banco de Dados'!$F1492,"Order date:
",1),1,10),"-","/"))),VALUE(SUBSTITUTE(MID(_xlfn.TEXTAFTER('Banco de Dados'!$F1492,"Fecha de pedido:
",1),1,10),"-","/"))),"-"),SMS!A:A,SMS!K:K),0),0)</f>
        <v>0</v>
      </c>
      <c r="AO1492" s="109">
        <f ca="1">IF('Banco de Dados'!$AK1492&lt;&gt;"-",IF('Banco de Dados'!$F1492&lt;&gt;"-",IFERROR(_xlfn.XLOOKUP(_xlfn.CONCAT('Banco de Dados'!$A1492,IFERROR(IFERROR(VALUE(SUBSTITUTE(MID(_xlfn.TEXTAFTER('Banco de Dados'!$F1492,"Data do Pedido:
",1),1,10),"-","/")),VALUE(SUBSTITUTE(MID(_xlfn.TEXTAFTER('Banco de Dados'!$F1492,"Order date:
",1),1,10),"-","/"))),0)),ProxyDD[Chave],ProxyDD[Valor por pedido]),PROXY!$P$2),0),0)</f>
        <v>0</v>
      </c>
      <c r="AP1492" s="28">
        <f ca="1">IF('Banco de Dados'!$AK1492&lt;&gt;"-",IF('Banco de Dados'!$AL1492="NÃO",IFERROR(VALUE(SUBSTITUTE(_xlfn.TEXTAFTER('Banco de Dados'!$F1492,"BRL ",1),".",",")),0),0),0)</f>
        <v>0</v>
      </c>
      <c r="AQ1492" s="28">
        <f ca="1">SUM('Banco de Dados'!$AM1492:$AP1492)</f>
        <v>0</v>
      </c>
      <c r="AR1492" s="8"/>
      <c r="AY1492" s="8"/>
    </row>
    <row r="1493" spans="1:51">
      <c r="A1493" s="5" t="str">
        <v>MEI</v>
      </c>
      <c r="B1493" s="5" t="str">
        <f ca="1"/>
        <v>MEI45759</v>
      </c>
      <c r="C1493" s="8" t="str">
        <v>Pedido 1480</v>
      </c>
      <c r="D1493" s="187">
        <v>45756</v>
      </c>
      <c r="E1493" s="9">
        <v>45759</v>
      </c>
      <c r="F1493" s="8" t="str">
        <v>PedidoF1418</v>
      </c>
      <c r="G1493" s="2" t="str">
        <v>CódRastreio1416</v>
      </c>
      <c r="H1493" s="5">
        <v>1</v>
      </c>
      <c r="I1493" s="2" t="str">
        <v>CPF 1440</v>
      </c>
      <c r="J1493" s="2" t="str">
        <v>Nome 1440</v>
      </c>
      <c r="K1493" s="8" t="str">
        <v>Tel 1440</v>
      </c>
      <c r="L1493" s="8" t="str">
        <v>Cep 1440</v>
      </c>
      <c r="M1493" s="8" t="str">
        <v>Rua 1440</v>
      </c>
      <c r="N1493" s="8" t="str">
        <v>Comp 1440</v>
      </c>
      <c r="O1493" s="8" t="str">
        <v>Brinquedo Bola Giratória voadora</v>
      </c>
      <c r="P1493" s="8" t="str">
        <v>Z0-F6CI-18CL</v>
      </c>
      <c r="Q1493" s="4">
        <v>45786</v>
      </c>
      <c r="R1493" s="109">
        <v>42.87</v>
      </c>
      <c r="S1493" s="11">
        <f ca="1"/>
        <v>42.87</v>
      </c>
      <c r="T1493" s="28">
        <f ca="1"/>
        <v>5.1443999999999992</v>
      </c>
      <c r="U1493" s="11">
        <f ca="1"/>
        <v>37.729999999999997</v>
      </c>
      <c r="V1493" s="11">
        <v>24.48</v>
      </c>
      <c r="W1493" s="11">
        <f ca="1"/>
        <v>0.15</v>
      </c>
      <c r="X1493" s="11">
        <f ca="1"/>
        <v>0.39877104377104378</v>
      </c>
      <c r="Y1493" s="11">
        <v>0</v>
      </c>
      <c r="Z1493" s="11">
        <f ca="1"/>
        <v>12.701228956228952</v>
      </c>
      <c r="AA1493" s="11">
        <f ca="1"/>
        <v>6.3506144781144762</v>
      </c>
      <c r="AB1493" s="4">
        <f ca="1"/>
        <v>45793</v>
      </c>
      <c r="AC1493" s="4">
        <v>45793</v>
      </c>
      <c r="AD1493" s="9">
        <v>45793</v>
      </c>
      <c r="AE1493" s="9">
        <v>45797</v>
      </c>
      <c r="AF1493" s="4" t="str">
        <f t="shared" ca="1" si="97"/>
        <v>2025 05</v>
      </c>
      <c r="AG1493" s="8" t="str" cm="1">
        <f t="array" ref="AG1493">IFERROR(_xlfn.IFS('Banco de Dados'!#REF!="AG. COMPRA","Em processamento",'Banco de Dados'!#REF!="AG. RASTREIO","Em processamento",'Banco de Dados'!$AE1493&lt;&gt;"-","Faturado",'Banco de Dados'!$AD1493&lt;&gt;"-","Aguardando Pix",'Banco de Dados'!$AC1493&lt;&gt;"-","Pendente"),"Aguardando Liberação")</f>
        <v>Aguardando Liberação</v>
      </c>
      <c r="AH1493" s="5" t="str">
        <f>IF('Banco de Dados'!$F1493="-",_xlfn.CONCAT(PROPER(TEXT(AK1493,"aaaa"))," ",PROPER(TEXT(AK1493,"mm"))),_xlfn.CONCAT(PROPER(TEXT(E1493,"aaaa"))," ",PROPER(TEXT(E1493,"mm"))))</f>
        <v>2025 04</v>
      </c>
      <c r="AI1493" s="9" t="str">
        <f ca="1">IF('Banco de Dados'!$AK1493&lt;&gt;"-","REEMBOLSO",IFERROR(_xlfn.XLOOKUP(G1493,Follow[CODRASTREIO],Follow[STATUS]),"-"))</f>
        <v>ENTREGUE</v>
      </c>
      <c r="AJ1493" s="9">
        <f ca="1">IF('Banco de Dados'!$AI1493="ENTREGUE",_xlfn.XLOOKUP('Banco de Dados'!$G1493,Follow[CODRASTREIO],Follow[DATAATUALIZAÇÃO]),"-")</f>
        <v>45777</v>
      </c>
      <c r="AK1493" s="132" t="str">
        <f ca="1"/>
        <v>-</v>
      </c>
      <c r="AL1493" s="35"/>
      <c r="AM1493" s="109" cm="1">
        <f t="array" aca="1" ref="AM1493" ca="1">IF('Banco de Dados'!$AK1493&lt;&gt;"-",_xlfn.IFS('Banco de Dados'!$A1493="bv",IF('Banco de Dados'!$E1493&lt;45641,ROUND(SUM('Banco de Dados'!$R1493*_xlfn.XLOOKUP('Banco de Dados'!$P1493,Sku!B:B,Sku!#REF!)*20%),2),ROUND(SUM('Banco de Dados'!$R1493*_xlfn.XLOOKUP('Banco de Dados'!$P1493,Sku!B:B,Sku!H:H)*20%),2)),'Banco de Dados'!$A1493="GO",ROUND(SUM('Banco de Dados'!$R1493*_xlfn.XLOOKUP('Banco de Dados'!$P1493,Sku!C:C,Sku!H:H)*20%),2),'Banco de Dados'!$A1493="MEI",ROUND(SUM('Banco de Dados'!$R1493*_xlfn.XLOOKUP('Banco de Dados'!$P1493,Sku!D:D,Sku!H:H)*20%),2)),0)</f>
        <v>0</v>
      </c>
      <c r="AN1493" s="109">
        <f ca="1">IF('Banco de Dados'!$AK1493&lt;&gt;"-",IF('Banco de Dados'!$F1493&lt;&gt;"-",_xlfn.XLOOKUP(IFERROR(IFERROR(IFERROR(VALUE(SUBSTITUTE(MID(_xlfn.TEXTAFTER('Banco de Dados'!$F1493,"Data do Pedido:
",1),1,10),"-","/")),VALUE(SUBSTITUTE(MID(_xlfn.TEXTAFTER('Banco de Dados'!$F1493,"Order date:
",1),1,10),"-","/"))),VALUE(SUBSTITUTE(MID(_xlfn.TEXTAFTER('Banco de Dados'!$F1493,"Fecha de pedido:
",1),1,10),"-","/"))),"-"),SMS!A:A,SMS!K:K),0),0)</f>
        <v>0</v>
      </c>
      <c r="AO1493" s="109">
        <f ca="1">IF('Banco de Dados'!$AK1493&lt;&gt;"-",IF('Banco de Dados'!$F1493&lt;&gt;"-",IFERROR(_xlfn.XLOOKUP(_xlfn.CONCAT('Banco de Dados'!$A1493,IFERROR(IFERROR(VALUE(SUBSTITUTE(MID(_xlfn.TEXTAFTER('Banco de Dados'!$F1493,"Data do Pedido:
",1),1,10),"-","/")),VALUE(SUBSTITUTE(MID(_xlfn.TEXTAFTER('Banco de Dados'!$F1493,"Order date:
",1),1,10),"-","/"))),0)),ProxyDD[Chave],ProxyDD[Valor por pedido]),PROXY!$P$2),0),0)</f>
        <v>0</v>
      </c>
      <c r="AP1493" s="28">
        <f ca="1">IF('Banco de Dados'!$AK1493&lt;&gt;"-",IF('Banco de Dados'!$AL1493="NÃO",IFERROR(VALUE(SUBSTITUTE(_xlfn.TEXTAFTER('Banco de Dados'!$F1493,"BRL ",1),".",",")),0),0),0)</f>
        <v>0</v>
      </c>
      <c r="AQ1493" s="28">
        <f ca="1">SUM('Banco de Dados'!$AM1493:$AP1493)</f>
        <v>0</v>
      </c>
      <c r="AR1493" s="8"/>
      <c r="AY1493" s="8"/>
    </row>
    <row r="1494" spans="1:51">
      <c r="A1494" s="5" t="str">
        <v>MEI</v>
      </c>
      <c r="B1494" s="5" t="str">
        <f ca="1"/>
        <v>MEI45759</v>
      </c>
      <c r="C1494" s="8" t="str">
        <v>Pedido 1481</v>
      </c>
      <c r="D1494" s="187">
        <v>45756</v>
      </c>
      <c r="E1494" s="9">
        <v>45759</v>
      </c>
      <c r="F1494" s="8" t="str">
        <v>PedidoF1419</v>
      </c>
      <c r="G1494" s="2" t="str">
        <v>CódRastreio1417</v>
      </c>
      <c r="H1494" s="5">
        <v>1</v>
      </c>
      <c r="I1494" s="2" t="str">
        <v>CPF 1441</v>
      </c>
      <c r="J1494" s="2" t="str">
        <v>Nome 1441</v>
      </c>
      <c r="K1494" s="8" t="str">
        <v>Tel 1441</v>
      </c>
      <c r="L1494" s="8" t="str">
        <v>Cep 1441</v>
      </c>
      <c r="M1494" s="8" t="str">
        <v>Rua 1441</v>
      </c>
      <c r="N1494" s="8" t="str">
        <v>Comp 1441</v>
      </c>
      <c r="O1494" s="8" t="str">
        <v>Maçarico Culinário Portátil</v>
      </c>
      <c r="P1494" s="8" t="str">
        <v>BG-DHRO-FAEE</v>
      </c>
      <c r="Q1494" s="4">
        <v>45780</v>
      </c>
      <c r="R1494" s="109">
        <v>26.99</v>
      </c>
      <c r="S1494" s="11">
        <f ca="1"/>
        <v>0</v>
      </c>
      <c r="T1494" s="28">
        <f ca="1"/>
        <v>0</v>
      </c>
      <c r="U1494" s="11">
        <f ca="1"/>
        <v>0</v>
      </c>
      <c r="V1494" s="11">
        <v>0</v>
      </c>
      <c r="W1494" s="11">
        <f ca="1"/>
        <v>0</v>
      </c>
      <c r="X1494" s="11">
        <f ca="1"/>
        <v>0.39877104377104378</v>
      </c>
      <c r="Y1494" s="11">
        <v>0</v>
      </c>
      <c r="Z1494" s="11">
        <f ca="1"/>
        <v>-0.39877104377104378</v>
      </c>
      <c r="AA1494" s="11">
        <f ca="1"/>
        <v>-0.19938552188552189</v>
      </c>
      <c r="AB1494" s="4">
        <f ca="1"/>
        <v>45787</v>
      </c>
      <c r="AC1494" s="4">
        <v>45787</v>
      </c>
      <c r="AD1494" s="9">
        <v>45793</v>
      </c>
      <c r="AE1494" s="9">
        <v>45797</v>
      </c>
      <c r="AF1494" s="4" t="str">
        <f t="shared" ca="1" si="97"/>
        <v>2025 05</v>
      </c>
      <c r="AG1494" s="8" t="str" cm="1">
        <f t="array" ref="AG1494">IFERROR(_xlfn.IFS('Banco de Dados'!#REF!="AG. COMPRA","Em processamento",'Banco de Dados'!#REF!="AG. RASTREIO","Em processamento",'Banco de Dados'!$AE1494&lt;&gt;"-","Faturado",'Banco de Dados'!$AD1494&lt;&gt;"-","Aguardando Pix",'Banco de Dados'!$AC1494&lt;&gt;"-","Pendente"),"Aguardando Liberação")</f>
        <v>Aguardando Liberação</v>
      </c>
      <c r="AH1494" s="5" t="str">
        <f>IF('Banco de Dados'!$F1494="-",_xlfn.CONCAT(PROPER(TEXT(AK1494,"aaaa"))," ",PROPER(TEXT(AK1494,"mm"))),_xlfn.CONCAT(PROPER(TEXT(E1494,"aaaa"))," ",PROPER(TEXT(E1494,"mm"))))</f>
        <v>2025 04</v>
      </c>
      <c r="AI1494" s="9" t="str">
        <f ca="1">IF('Banco de Dados'!$AK1494&lt;&gt;"-","REEMBOLSO",IFERROR(_xlfn.XLOOKUP(G1494,Follow[CODRASTREIO],Follow[STATUS]),"-"))</f>
        <v>REEMBOLSO</v>
      </c>
      <c r="AJ1494" s="9" t="str">
        <f ca="1">IF('Banco de Dados'!$AI1494="ENTREGUE",_xlfn.XLOOKUP('Banco de Dados'!$G1494,Follow[CODRASTREIO],Follow[DATAATUALIZAÇÃO]),"-")</f>
        <v>-</v>
      </c>
      <c r="AK1494" s="132">
        <f ca="1"/>
        <v>45789</v>
      </c>
      <c r="AL1494" s="35"/>
      <c r="AM1494" s="109" cm="1">
        <f t="array" aca="1" ref="AM1494" ca="1">IF('Banco de Dados'!$AK1494&lt;&gt;"-",_xlfn.IFS('Banco de Dados'!$A1494="bv",IF('Banco de Dados'!$E1494&lt;45641,ROUND(SUM('Banco de Dados'!$R1494*_xlfn.XLOOKUP('Banco de Dados'!$P1494,Sku!B:B,Sku!#REF!)*20%),2),ROUND(SUM('Banco de Dados'!$R1494*_xlfn.XLOOKUP('Banco de Dados'!$P1494,Sku!B:B,Sku!H:H)*20%),2)),'Banco de Dados'!$A1494="GO",ROUND(SUM('Banco de Dados'!$R1494*_xlfn.XLOOKUP('Banco de Dados'!$P1494,Sku!C:C,Sku!H:H)*20%),2),'Banco de Dados'!$A1494="MEI",ROUND(SUM('Banco de Dados'!$R1494*_xlfn.XLOOKUP('Banco de Dados'!$P1494,Sku!D:D,Sku!H:H)*20%),2)),0)</f>
        <v>0.59</v>
      </c>
      <c r="AN1494" s="109" t="e">
        <f ca="1">IF('Banco de Dados'!$AK1494&lt;&gt;"-",IF('Banco de Dados'!$F1494&lt;&gt;"-",_xlfn.XLOOKUP(IFERROR(IFERROR(IFERROR(VALUE(SUBSTITUTE(MID(_xlfn.TEXTAFTER('Banco de Dados'!$F1494,"Data do Pedido:
",1),1,10),"-","/")),VALUE(SUBSTITUTE(MID(_xlfn.TEXTAFTER('Banco de Dados'!$F1494,"Order date:
",1),1,10),"-","/"))),VALUE(SUBSTITUTE(MID(_xlfn.TEXTAFTER('Banco de Dados'!$F1494,"Fecha de pedido:
",1),1,10),"-","/"))),"-"),SMS!A:A,SMS!K:K),0),0)</f>
        <v>#N/A</v>
      </c>
      <c r="AO1494" s="109">
        <f ca="1">IF('Banco de Dados'!$AK1494&lt;&gt;"-",IF('Banco de Dados'!$F1494&lt;&gt;"-",IFERROR(_xlfn.XLOOKUP(_xlfn.CONCAT('Banco de Dados'!$A1494,IFERROR(IFERROR(VALUE(SUBSTITUTE(MID(_xlfn.TEXTAFTER('Banco de Dados'!$F1494,"Data do Pedido:
",1),1,10),"-","/")),VALUE(SUBSTITUTE(MID(_xlfn.TEXTAFTER('Banco de Dados'!$F1494,"Order date:
",1),1,10),"-","/"))),0)),ProxyDD[Chave],ProxyDD[Valor por pedido]),PROXY!$P$2),0),0)</f>
        <v>0.39877104377104378</v>
      </c>
      <c r="AP1494" s="28">
        <f ca="1">IF('Banco de Dados'!$AK1494&lt;&gt;"-",IF('Banco de Dados'!$AL1494="NÃO",IFERROR(VALUE(SUBSTITUTE(_xlfn.TEXTAFTER('Banco de Dados'!$F1494,"BRL ",1),".",",")),0),0),0)</f>
        <v>0</v>
      </c>
      <c r="AQ1494" s="28" t="e">
        <f ca="1">SUM('Banco de Dados'!$AM1494:$AP1494)</f>
        <v>#N/A</v>
      </c>
      <c r="AR1494" s="8"/>
      <c r="AY1494" s="8"/>
    </row>
    <row r="1495" spans="1:51">
      <c r="A1495" s="5" t="str">
        <v>MEI</v>
      </c>
      <c r="B1495" s="5" t="str">
        <f ca="1"/>
        <v>MEI45761</v>
      </c>
      <c r="C1495" s="8" t="str">
        <v>Pedido 1482</v>
      </c>
      <c r="D1495" s="187">
        <v>45756</v>
      </c>
      <c r="E1495" s="9">
        <v>45761</v>
      </c>
      <c r="F1495" s="8" t="str">
        <v>PedidoF1420</v>
      </c>
      <c r="G1495" s="2" t="str">
        <v>CódRastreio1418</v>
      </c>
      <c r="H1495" s="5">
        <v>1</v>
      </c>
      <c r="I1495" s="2" t="str">
        <v>CPF 1442</v>
      </c>
      <c r="J1495" s="2" t="str">
        <v>Nome 1442</v>
      </c>
      <c r="K1495" s="8" t="str">
        <v>Tel 1442</v>
      </c>
      <c r="L1495" s="8" t="str">
        <v>Cep 1442</v>
      </c>
      <c r="M1495" s="8" t="str">
        <v>Rua 1442</v>
      </c>
      <c r="N1495" s="8" t="str">
        <v>Comp 1442</v>
      </c>
      <c r="O1495" s="8" t="str">
        <v>Maçarico Culinário Portátil</v>
      </c>
      <c r="P1495" s="8" t="str">
        <v>BG-DHRO-FAEE</v>
      </c>
      <c r="Q1495" s="4">
        <v>45786</v>
      </c>
      <c r="R1495" s="109">
        <v>26.99</v>
      </c>
      <c r="S1495" s="11">
        <f ca="1"/>
        <v>26.99</v>
      </c>
      <c r="T1495" s="28">
        <f ca="1"/>
        <v>2.9688999999999997</v>
      </c>
      <c r="U1495" s="11">
        <f ca="1"/>
        <v>24.02</v>
      </c>
      <c r="V1495" s="11">
        <v>14.14</v>
      </c>
      <c r="W1495" s="11">
        <f ca="1"/>
        <v>0.43</v>
      </c>
      <c r="X1495" s="11">
        <f ca="1"/>
        <v>0.39877104377104378</v>
      </c>
      <c r="Y1495" s="11">
        <v>0</v>
      </c>
      <c r="Z1495" s="11">
        <f ca="1"/>
        <v>9.0512289562289556</v>
      </c>
      <c r="AA1495" s="11">
        <f ca="1"/>
        <v>4.5256144781144778</v>
      </c>
      <c r="AB1495" s="4">
        <f ca="1"/>
        <v>45793</v>
      </c>
      <c r="AC1495" s="4">
        <v>45793</v>
      </c>
      <c r="AD1495" s="9">
        <v>45793</v>
      </c>
      <c r="AE1495" s="9">
        <v>45797</v>
      </c>
      <c r="AF1495" s="4" t="str">
        <f t="shared" ca="1" si="97"/>
        <v>2025 05</v>
      </c>
      <c r="AG1495" s="8" t="str" cm="1">
        <f t="array" ref="AG1495">IFERROR(_xlfn.IFS('Banco de Dados'!#REF!="AG. COMPRA","Em processamento",'Banco de Dados'!#REF!="AG. RASTREIO","Em processamento",'Banco de Dados'!$AE1495&lt;&gt;"-","Faturado",'Banco de Dados'!$AD1495&lt;&gt;"-","Aguardando Pix",'Banco de Dados'!$AC1495&lt;&gt;"-","Pendente"),"Aguardando Liberação")</f>
        <v>Aguardando Liberação</v>
      </c>
      <c r="AH1495" s="5" t="str">
        <f>IF('Banco de Dados'!$F1495="-",_xlfn.CONCAT(PROPER(TEXT(AK1495,"aaaa"))," ",PROPER(TEXT(AK1495,"mm"))),_xlfn.CONCAT(PROPER(TEXT(E1495,"aaaa"))," ",PROPER(TEXT(E1495,"mm"))))</f>
        <v>2025 04</v>
      </c>
      <c r="AI1495" s="9" t="str">
        <f ca="1">IF('Banco de Dados'!$AK1495&lt;&gt;"-","REEMBOLSO",IFERROR(_xlfn.XLOOKUP(G1495,Follow[CODRASTREIO],Follow[STATUS]),"-"))</f>
        <v>ENTREGUE</v>
      </c>
      <c r="AJ1495" s="9">
        <f ca="1">IF('Banco de Dados'!$AI1495="ENTREGUE",_xlfn.XLOOKUP('Banco de Dados'!$G1495,Follow[CODRASTREIO],Follow[DATAATUALIZAÇÃO]),"-")</f>
        <v>45784</v>
      </c>
      <c r="AK1495" s="132" t="str">
        <f ca="1"/>
        <v>-</v>
      </c>
      <c r="AL1495" s="35"/>
      <c r="AM1495" s="109" cm="1">
        <f t="array" aca="1" ref="AM1495" ca="1">IF('Banco de Dados'!$AK1495&lt;&gt;"-",_xlfn.IFS('Banco de Dados'!$A1495="bv",IF('Banco de Dados'!$E1495&lt;45641,ROUND(SUM('Banco de Dados'!$R1495*_xlfn.XLOOKUP('Banco de Dados'!$P1495,Sku!B:B,Sku!#REF!)*20%),2),ROUND(SUM('Banco de Dados'!$R1495*_xlfn.XLOOKUP('Banco de Dados'!$P1495,Sku!B:B,Sku!H:H)*20%),2)),'Banco de Dados'!$A1495="GO",ROUND(SUM('Banco de Dados'!$R1495*_xlfn.XLOOKUP('Banco de Dados'!$P1495,Sku!C:C,Sku!H:H)*20%),2),'Banco de Dados'!$A1495="MEI",ROUND(SUM('Banco de Dados'!$R1495*_xlfn.XLOOKUP('Banco de Dados'!$P1495,Sku!D:D,Sku!H:H)*20%),2)),0)</f>
        <v>0</v>
      </c>
      <c r="AN1495" s="109">
        <f ca="1">IF('Banco de Dados'!$AK1495&lt;&gt;"-",IF('Banco de Dados'!$F1495&lt;&gt;"-",_xlfn.XLOOKUP(IFERROR(IFERROR(IFERROR(VALUE(SUBSTITUTE(MID(_xlfn.TEXTAFTER('Banco de Dados'!$F1495,"Data do Pedido:
",1),1,10),"-","/")),VALUE(SUBSTITUTE(MID(_xlfn.TEXTAFTER('Banco de Dados'!$F1495,"Order date:
",1),1,10),"-","/"))),VALUE(SUBSTITUTE(MID(_xlfn.TEXTAFTER('Banco de Dados'!$F1495,"Fecha de pedido:
",1),1,10),"-","/"))),"-"),SMS!A:A,SMS!K:K),0),0)</f>
        <v>0</v>
      </c>
      <c r="AO1495" s="109">
        <f ca="1">IF('Banco de Dados'!$AK1495&lt;&gt;"-",IF('Banco de Dados'!$F1495&lt;&gt;"-",IFERROR(_xlfn.XLOOKUP(_xlfn.CONCAT('Banco de Dados'!$A1495,IFERROR(IFERROR(VALUE(SUBSTITUTE(MID(_xlfn.TEXTAFTER('Banco de Dados'!$F1495,"Data do Pedido:
",1),1,10),"-","/")),VALUE(SUBSTITUTE(MID(_xlfn.TEXTAFTER('Banco de Dados'!$F1495,"Order date:
",1),1,10),"-","/"))),0)),ProxyDD[Chave],ProxyDD[Valor por pedido]),PROXY!$P$2),0),0)</f>
        <v>0</v>
      </c>
      <c r="AP1495" s="28">
        <f ca="1">IF('Banco de Dados'!$AK1495&lt;&gt;"-",IF('Banco de Dados'!$AL1495="NÃO",IFERROR(VALUE(SUBSTITUTE(_xlfn.TEXTAFTER('Banco de Dados'!$F1495,"BRL ",1),".",",")),0),0),0)</f>
        <v>0</v>
      </c>
      <c r="AQ1495" s="28">
        <f ca="1">SUM('Banco de Dados'!$AM1495:$AP1495)</f>
        <v>0</v>
      </c>
      <c r="AR1495" s="8"/>
      <c r="AY1495" s="8"/>
    </row>
    <row r="1496" spans="1:51">
      <c r="A1496" s="5" t="str">
        <v>MEI</v>
      </c>
      <c r="B1496" s="5" t="str">
        <f ca="1"/>
        <v>MEI45760</v>
      </c>
      <c r="C1496" s="8" t="str">
        <v>Pedido 1483</v>
      </c>
      <c r="D1496" s="187">
        <v>45756</v>
      </c>
      <c r="E1496" s="9">
        <v>45760</v>
      </c>
      <c r="F1496" s="8" t="str">
        <v>PedidoF1421</v>
      </c>
      <c r="G1496" s="2" t="str">
        <v>CódRastreio1419</v>
      </c>
      <c r="H1496" s="5">
        <v>1</v>
      </c>
      <c r="I1496" s="2" t="str">
        <v>CPF 1443</v>
      </c>
      <c r="J1496" s="2" t="str">
        <v>Nome 1443</v>
      </c>
      <c r="K1496" s="8" t="str">
        <v>Tel 1443</v>
      </c>
      <c r="L1496" s="8" t="str">
        <v>Cep 1443</v>
      </c>
      <c r="M1496" s="8" t="str">
        <v>Rua 1443</v>
      </c>
      <c r="N1496" s="8" t="str">
        <v>Comp 1443</v>
      </c>
      <c r="O1496" s="8" t="str">
        <v>Ventilador Azul</v>
      </c>
      <c r="P1496" s="8" t="str">
        <v>PK-L2Z7-MQRQ</v>
      </c>
      <c r="Q1496" s="4">
        <v>45780</v>
      </c>
      <c r="R1496" s="109">
        <v>49.9</v>
      </c>
      <c r="S1496" s="11">
        <f ca="1"/>
        <v>49.9</v>
      </c>
      <c r="T1496" s="28">
        <f ca="1"/>
        <v>5.9879999999999995</v>
      </c>
      <c r="U1496" s="11">
        <f ca="1"/>
        <v>43.91</v>
      </c>
      <c r="V1496" s="11">
        <v>36.880000000000003</v>
      </c>
      <c r="W1496" s="11">
        <f ca="1"/>
        <v>0.25</v>
      </c>
      <c r="X1496" s="11">
        <f ca="1"/>
        <v>0.39877104377104378</v>
      </c>
      <c r="Y1496" s="11">
        <v>0</v>
      </c>
      <c r="Z1496" s="11">
        <f ca="1"/>
        <v>6.3812289562289521</v>
      </c>
      <c r="AA1496" s="11">
        <f ca="1"/>
        <v>3.1906144781144761</v>
      </c>
      <c r="AB1496" s="4">
        <f ca="1"/>
        <v>45787</v>
      </c>
      <c r="AC1496" s="4">
        <v>45787</v>
      </c>
      <c r="AD1496" s="9">
        <v>45793</v>
      </c>
      <c r="AE1496" s="9">
        <v>45797</v>
      </c>
      <c r="AF1496" s="4" t="str">
        <f t="shared" ca="1" si="97"/>
        <v>2025 05</v>
      </c>
      <c r="AG1496" s="8" t="str" cm="1">
        <f t="array" ref="AG1496">IFERROR(_xlfn.IFS('Banco de Dados'!#REF!="AG. COMPRA","Em processamento",'Banco de Dados'!#REF!="AG. RASTREIO","Em processamento",'Banco de Dados'!$AE1496&lt;&gt;"-","Faturado",'Banco de Dados'!$AD1496&lt;&gt;"-","Aguardando Pix",'Banco de Dados'!$AC1496&lt;&gt;"-","Pendente"),"Aguardando Liberação")</f>
        <v>Aguardando Liberação</v>
      </c>
      <c r="AH1496" s="5" t="str">
        <f>IF('Banco de Dados'!$F1496="-",_xlfn.CONCAT(PROPER(TEXT(AK1496,"aaaa"))," ",PROPER(TEXT(AK1496,"mm"))),_xlfn.CONCAT(PROPER(TEXT(E1496,"aaaa"))," ",PROPER(TEXT(E1496,"mm"))))</f>
        <v>2025 04</v>
      </c>
      <c r="AI1496" s="9" t="str">
        <f ca="1">IF('Banco de Dados'!$AK1496&lt;&gt;"-","REEMBOLSO",IFERROR(_xlfn.XLOOKUP(G1496,Follow[CODRASTREIO],Follow[STATUS]),"-"))</f>
        <v>ENTREGUE</v>
      </c>
      <c r="AJ1496" s="9">
        <f ca="1">IF('Banco de Dados'!$AI1496="ENTREGUE",_xlfn.XLOOKUP('Banco de Dados'!$G1496,Follow[CODRASTREIO],Follow[DATAATUALIZAÇÃO]),"-")</f>
        <v>45775</v>
      </c>
      <c r="AK1496" s="132" t="str">
        <f ca="1"/>
        <v>-</v>
      </c>
      <c r="AL1496" s="35"/>
      <c r="AM1496" s="109" cm="1">
        <f t="array" aca="1" ref="AM1496" ca="1">IF('Banco de Dados'!$AK1496&lt;&gt;"-",_xlfn.IFS('Banco de Dados'!$A1496="bv",IF('Banco de Dados'!$E1496&lt;45641,ROUND(SUM('Banco de Dados'!$R1496*_xlfn.XLOOKUP('Banco de Dados'!$P1496,Sku!B:B,Sku!#REF!)*20%),2),ROUND(SUM('Banco de Dados'!$R1496*_xlfn.XLOOKUP('Banco de Dados'!$P1496,Sku!B:B,Sku!H:H)*20%),2)),'Banco de Dados'!$A1496="GO",ROUND(SUM('Banco de Dados'!$R1496*_xlfn.XLOOKUP('Banco de Dados'!$P1496,Sku!C:C,Sku!H:H)*20%),2),'Banco de Dados'!$A1496="MEI",ROUND(SUM('Banco de Dados'!$R1496*_xlfn.XLOOKUP('Banco de Dados'!$P1496,Sku!D:D,Sku!H:H)*20%),2)),0)</f>
        <v>0</v>
      </c>
      <c r="AN1496" s="109">
        <f ca="1">IF('Banco de Dados'!$AK1496&lt;&gt;"-",IF('Banco de Dados'!$F1496&lt;&gt;"-",_xlfn.XLOOKUP(IFERROR(IFERROR(IFERROR(VALUE(SUBSTITUTE(MID(_xlfn.TEXTAFTER('Banco de Dados'!$F1496,"Data do Pedido:
",1),1,10),"-","/")),VALUE(SUBSTITUTE(MID(_xlfn.TEXTAFTER('Banco de Dados'!$F1496,"Order date:
",1),1,10),"-","/"))),VALUE(SUBSTITUTE(MID(_xlfn.TEXTAFTER('Banco de Dados'!$F1496,"Fecha de pedido:
",1),1,10),"-","/"))),"-"),SMS!A:A,SMS!K:K),0),0)</f>
        <v>0</v>
      </c>
      <c r="AO1496" s="109">
        <f ca="1">IF('Banco de Dados'!$AK1496&lt;&gt;"-",IF('Banco de Dados'!$F1496&lt;&gt;"-",IFERROR(_xlfn.XLOOKUP(_xlfn.CONCAT('Banco de Dados'!$A1496,IFERROR(IFERROR(VALUE(SUBSTITUTE(MID(_xlfn.TEXTAFTER('Banco de Dados'!$F1496,"Data do Pedido:
",1),1,10),"-","/")),VALUE(SUBSTITUTE(MID(_xlfn.TEXTAFTER('Banco de Dados'!$F1496,"Order date:
",1),1,10),"-","/"))),0)),ProxyDD[Chave],ProxyDD[Valor por pedido]),PROXY!$P$2),0),0)</f>
        <v>0</v>
      </c>
      <c r="AP1496" s="28">
        <f ca="1">IF('Banco de Dados'!$AK1496&lt;&gt;"-",IF('Banco de Dados'!$AL1496="NÃO",IFERROR(VALUE(SUBSTITUTE(_xlfn.TEXTAFTER('Banco de Dados'!$F1496,"BRL ",1),".",",")),0),0),0)</f>
        <v>0</v>
      </c>
      <c r="AQ1496" s="28">
        <f ca="1">SUM('Banco de Dados'!$AM1496:$AP1496)</f>
        <v>0</v>
      </c>
      <c r="AR1496" s="8"/>
      <c r="AY1496" s="8"/>
    </row>
    <row r="1497" spans="1:51">
      <c r="A1497" s="5" t="str">
        <v>MEI</v>
      </c>
      <c r="B1497" s="5" t="str">
        <f ca="1"/>
        <v>MEI45760</v>
      </c>
      <c r="C1497" s="8" t="str">
        <v>Pedido 1484</v>
      </c>
      <c r="D1497" s="187">
        <v>45757</v>
      </c>
      <c r="E1497" s="9">
        <v>45760</v>
      </c>
      <c r="F1497" s="8" t="str">
        <v>PedidoF1422</v>
      </c>
      <c r="G1497" s="2" t="str">
        <v>CódRastreio1420</v>
      </c>
      <c r="H1497" s="5">
        <v>1</v>
      </c>
      <c r="I1497" s="2" t="str">
        <v>CPF 1444</v>
      </c>
      <c r="J1497" s="2" t="str">
        <v>Nome 1444</v>
      </c>
      <c r="K1497" s="8" t="str">
        <v>Tel 1444</v>
      </c>
      <c r="L1497" s="8" t="str">
        <v>Cep 1444</v>
      </c>
      <c r="M1497" s="8" t="str">
        <v>Rua 1444</v>
      </c>
      <c r="N1497" s="8" t="str">
        <v>Comp 1444</v>
      </c>
      <c r="O1497" s="8" t="str">
        <v>Copo Termico</v>
      </c>
      <c r="P1497" s="8" t="str">
        <v>VI-4RT5-1FFO</v>
      </c>
      <c r="Q1497" s="4">
        <v>45786</v>
      </c>
      <c r="R1497" s="109">
        <v>22.7</v>
      </c>
      <c r="S1497" s="11">
        <f ca="1"/>
        <v>22.7</v>
      </c>
      <c r="T1497" s="28">
        <f ca="1"/>
        <v>2.7239999999999998</v>
      </c>
      <c r="U1497" s="11">
        <f ca="1"/>
        <v>19.98</v>
      </c>
      <c r="V1497" s="11">
        <v>14.71</v>
      </c>
      <c r="W1497" s="11">
        <f ca="1"/>
        <v>0.25</v>
      </c>
      <c r="X1497" s="11">
        <f ca="1"/>
        <v>0.39877104377104378</v>
      </c>
      <c r="Y1497" s="11">
        <v>0</v>
      </c>
      <c r="Z1497" s="11">
        <f ca="1"/>
        <v>4.6212289562289559</v>
      </c>
      <c r="AA1497" s="11">
        <f ca="1"/>
        <v>2.310614478114478</v>
      </c>
      <c r="AB1497" s="4">
        <f ca="1"/>
        <v>45793</v>
      </c>
      <c r="AC1497" s="4">
        <v>45793</v>
      </c>
      <c r="AD1497" s="9">
        <v>45793</v>
      </c>
      <c r="AE1497" s="9">
        <v>45797</v>
      </c>
      <c r="AF1497" s="4" t="str">
        <f t="shared" ref="AF1497:AF1520" ca="1" si="98">_xlfn.CONCAT(PROPER(TEXT(AB1497,"aaaa"))," ",PROPER(TEXT(AB1497,"mm")))</f>
        <v>2025 05</v>
      </c>
      <c r="AG1497" s="8" t="str" cm="1">
        <f t="array" ref="AG1497">IFERROR(_xlfn.IFS('Banco de Dados'!#REF!="AG. COMPRA","Em processamento",'Banco de Dados'!#REF!="AG. RASTREIO","Em processamento",'Banco de Dados'!$AE1497&lt;&gt;"-","Faturado",'Banco de Dados'!$AD1497&lt;&gt;"-","Aguardando Pix",'Banco de Dados'!$AC1497&lt;&gt;"-","Pendente"),"Aguardando Liberação")</f>
        <v>Aguardando Liberação</v>
      </c>
      <c r="AH1497" s="5" t="str">
        <f>IF('Banco de Dados'!$F1497="-",_xlfn.CONCAT(PROPER(TEXT(AK1497,"aaaa"))," ",PROPER(TEXT(AK1497,"mm"))),_xlfn.CONCAT(PROPER(TEXT(E1497,"aaaa"))," ",PROPER(TEXT(E1497,"mm"))))</f>
        <v>2025 04</v>
      </c>
      <c r="AI1497" s="9" t="str">
        <f ca="1">IF('Banco de Dados'!$AK1497&lt;&gt;"-","REEMBOLSO",IFERROR(_xlfn.XLOOKUP(G1497,Follow[CODRASTREIO],Follow[STATUS]),"-"))</f>
        <v>ENTREGUE</v>
      </c>
      <c r="AJ1497" s="9">
        <f ca="1">IF('Banco de Dados'!$AI1497="ENTREGUE",_xlfn.XLOOKUP('Banco de Dados'!$G1497,Follow[CODRASTREIO],Follow[DATAATUALIZAÇÃO]),"-")</f>
        <v>45772</v>
      </c>
      <c r="AK1497" s="132" t="str">
        <f ca="1"/>
        <v>-</v>
      </c>
      <c r="AL1497" s="35"/>
      <c r="AM1497" s="109" cm="1">
        <f t="array" aca="1" ref="AM1497" ca="1">IF('Banco de Dados'!$AK1497&lt;&gt;"-",_xlfn.IFS('Banco de Dados'!$A1497="bv",IF('Banco de Dados'!$E1497&lt;45641,ROUND(SUM('Banco de Dados'!$R1497*_xlfn.XLOOKUP('Banco de Dados'!$P1497,Sku!B:B,Sku!#REF!)*20%),2),ROUND(SUM('Banco de Dados'!$R1497*_xlfn.XLOOKUP('Banco de Dados'!$P1497,Sku!B:B,Sku!H:H)*20%),2)),'Banco de Dados'!$A1497="GO",ROUND(SUM('Banco de Dados'!$R1497*_xlfn.XLOOKUP('Banco de Dados'!$P1497,Sku!C:C,Sku!H:H)*20%),2),'Banco de Dados'!$A1497="MEI",ROUND(SUM('Banco de Dados'!$R1497*_xlfn.XLOOKUP('Banco de Dados'!$P1497,Sku!D:D,Sku!H:H)*20%),2)),0)</f>
        <v>0</v>
      </c>
      <c r="AN1497" s="109">
        <f ca="1">IF('Banco de Dados'!$AK1497&lt;&gt;"-",IF('Banco de Dados'!$F1497&lt;&gt;"-",_xlfn.XLOOKUP(IFERROR(IFERROR(IFERROR(VALUE(SUBSTITUTE(MID(_xlfn.TEXTAFTER('Banco de Dados'!$F1497,"Data do Pedido:
",1),1,10),"-","/")),VALUE(SUBSTITUTE(MID(_xlfn.TEXTAFTER('Banco de Dados'!$F1497,"Order date:
",1),1,10),"-","/"))),VALUE(SUBSTITUTE(MID(_xlfn.TEXTAFTER('Banco de Dados'!$F1497,"Fecha de pedido:
",1),1,10),"-","/"))),"-"),SMS!A:A,SMS!K:K),0),0)</f>
        <v>0</v>
      </c>
      <c r="AO1497" s="109">
        <f ca="1">IF('Banco de Dados'!$AK1497&lt;&gt;"-",IF('Banco de Dados'!$F1497&lt;&gt;"-",IFERROR(_xlfn.XLOOKUP(_xlfn.CONCAT('Banco de Dados'!$A1497,IFERROR(IFERROR(VALUE(SUBSTITUTE(MID(_xlfn.TEXTAFTER('Banco de Dados'!$F1497,"Data do Pedido:
",1),1,10),"-","/")),VALUE(SUBSTITUTE(MID(_xlfn.TEXTAFTER('Banco de Dados'!$F1497,"Order date:
",1),1,10),"-","/"))),0)),ProxyDD[Chave],ProxyDD[Valor por pedido]),PROXY!$P$2),0),0)</f>
        <v>0</v>
      </c>
      <c r="AP1497" s="28">
        <f ca="1">IF('Banco de Dados'!$AK1497&lt;&gt;"-",IF('Banco de Dados'!$AL1497="NÃO",IFERROR(VALUE(SUBSTITUTE(_xlfn.TEXTAFTER('Banco de Dados'!$F1497,"BRL ",1),".",",")),0),0),0)</f>
        <v>0</v>
      </c>
      <c r="AQ1497" s="28">
        <f ca="1">SUM('Banco de Dados'!$AM1497:$AP1497)</f>
        <v>0</v>
      </c>
      <c r="AR1497" s="8"/>
      <c r="AY1497" s="8"/>
    </row>
    <row r="1498" spans="1:51">
      <c r="A1498" s="5" t="str">
        <v>MEI</v>
      </c>
      <c r="B1498" s="5" t="str">
        <f ca="1"/>
        <v>MEI45760</v>
      </c>
      <c r="C1498" s="8" t="str">
        <v>Pedido 1485</v>
      </c>
      <c r="D1498" s="187">
        <v>45757</v>
      </c>
      <c r="E1498" s="9">
        <v>45760</v>
      </c>
      <c r="F1498" s="8" t="str">
        <v>PedidoF1423</v>
      </c>
      <c r="G1498" s="2" t="str">
        <v>CódRastreio1421</v>
      </c>
      <c r="H1498" s="5">
        <v>1</v>
      </c>
      <c r="I1498" s="2" t="str">
        <v>CPF 1445</v>
      </c>
      <c r="J1498" s="2" t="str">
        <v>Nome 1445</v>
      </c>
      <c r="K1498" s="8" t="str">
        <v>Tel 1445</v>
      </c>
      <c r="L1498" s="8" t="str">
        <v>Cep 1445</v>
      </c>
      <c r="M1498" s="8" t="str">
        <v>Rua 1445</v>
      </c>
      <c r="N1498" s="8" t="str">
        <v>Comp 1445</v>
      </c>
      <c r="O1498" s="8" t="str">
        <v>Maçarico Culinário Portátil</v>
      </c>
      <c r="P1498" s="8" t="str">
        <v>BG-DHRO-FAEE</v>
      </c>
      <c r="Q1498" s="4">
        <v>45793</v>
      </c>
      <c r="R1498" s="109">
        <v>26.99</v>
      </c>
      <c r="S1498" s="11">
        <f ca="1"/>
        <v>0</v>
      </c>
      <c r="T1498" s="28">
        <f ca="1"/>
        <v>0</v>
      </c>
      <c r="U1498" s="11">
        <f ca="1"/>
        <v>0</v>
      </c>
      <c r="V1498" s="11">
        <v>0</v>
      </c>
      <c r="W1498" s="11">
        <f ca="1"/>
        <v>0</v>
      </c>
      <c r="X1498" s="11">
        <f ca="1"/>
        <v>0.39877104377104378</v>
      </c>
      <c r="Y1498" s="11">
        <v>0</v>
      </c>
      <c r="Z1498" s="11">
        <f ca="1"/>
        <v>-0.39877104377104378</v>
      </c>
      <c r="AA1498" s="11">
        <f ca="1"/>
        <v>-0.19938552188552189</v>
      </c>
      <c r="AB1498" s="4">
        <f ca="1"/>
        <v>45800</v>
      </c>
      <c r="AC1498" s="4">
        <v>45800</v>
      </c>
      <c r="AD1498" s="9">
        <v>45807</v>
      </c>
      <c r="AE1498" s="9">
        <v>45810</v>
      </c>
      <c r="AF1498" s="4" t="str">
        <f t="shared" ca="1" si="98"/>
        <v>2025 05</v>
      </c>
      <c r="AG1498" s="8" t="str" cm="1">
        <f t="array" ref="AG1498">IFERROR(_xlfn.IFS('Banco de Dados'!#REF!="AG. COMPRA","Em processamento",'Banco de Dados'!#REF!="AG. RASTREIO","Em processamento",'Banco de Dados'!$AE1498&lt;&gt;"-","Faturado",'Banco de Dados'!$AD1498&lt;&gt;"-","Aguardando Pix",'Banco de Dados'!$AC1498&lt;&gt;"-","Pendente"),"Aguardando Liberação")</f>
        <v>Aguardando Liberação</v>
      </c>
      <c r="AH1498" s="5" t="str">
        <f>IF('Banco de Dados'!$F1498="-",_xlfn.CONCAT(PROPER(TEXT(AK1498,"aaaa"))," ",PROPER(TEXT(AK1498,"mm"))),_xlfn.CONCAT(PROPER(TEXT(E1498,"aaaa"))," ",PROPER(TEXT(E1498,"mm"))))</f>
        <v>2025 04</v>
      </c>
      <c r="AI1498" s="9" t="str">
        <f ca="1">IF('Banco de Dados'!$AK1498&lt;&gt;"-","REEMBOLSO",IFERROR(_xlfn.XLOOKUP(G1498,Follow[CODRASTREIO],Follow[STATUS]),"-"))</f>
        <v>REEMBOLSO</v>
      </c>
      <c r="AJ1498" s="9" t="str">
        <f ca="1">IF('Banco de Dados'!$AI1498="ENTREGUE",_xlfn.XLOOKUP('Banco de Dados'!$G1498,Follow[CODRASTREIO],Follow[DATAATUALIZAÇÃO]),"-")</f>
        <v>-</v>
      </c>
      <c r="AK1498" s="132">
        <f ca="1"/>
        <v>45803</v>
      </c>
      <c r="AL1498" s="35"/>
      <c r="AM1498" s="109" cm="1">
        <f t="array" aca="1" ref="AM1498" ca="1">IF('Banco de Dados'!$AK1498&lt;&gt;"-",_xlfn.IFS('Banco de Dados'!$A1498="bv",IF('Banco de Dados'!$E1498&lt;45641,ROUND(SUM('Banco de Dados'!$R1498*_xlfn.XLOOKUP('Banco de Dados'!$P1498,Sku!B:B,Sku!#REF!)*20%),2),ROUND(SUM('Banco de Dados'!$R1498*_xlfn.XLOOKUP('Banco de Dados'!$P1498,Sku!B:B,Sku!H:H)*20%),2)),'Banco de Dados'!$A1498="GO",ROUND(SUM('Banco de Dados'!$R1498*_xlfn.XLOOKUP('Banco de Dados'!$P1498,Sku!C:C,Sku!H:H)*20%),2),'Banco de Dados'!$A1498="MEI",ROUND(SUM('Banco de Dados'!$R1498*_xlfn.XLOOKUP('Banco de Dados'!$P1498,Sku!D:D,Sku!H:H)*20%),2)),0)</f>
        <v>0.59</v>
      </c>
      <c r="AN1498" s="109" t="e">
        <f ca="1">IF('Banco de Dados'!$AK1498&lt;&gt;"-",IF('Banco de Dados'!$F1498&lt;&gt;"-",_xlfn.XLOOKUP(IFERROR(IFERROR(IFERROR(VALUE(SUBSTITUTE(MID(_xlfn.TEXTAFTER('Banco de Dados'!$F1498,"Data do Pedido:
",1),1,10),"-","/")),VALUE(SUBSTITUTE(MID(_xlfn.TEXTAFTER('Banco de Dados'!$F1498,"Order date:
",1),1,10),"-","/"))),VALUE(SUBSTITUTE(MID(_xlfn.TEXTAFTER('Banco de Dados'!$F1498,"Fecha de pedido:
",1),1,10),"-","/"))),"-"),SMS!A:A,SMS!K:K),0),0)</f>
        <v>#N/A</v>
      </c>
      <c r="AO1498" s="109">
        <f ca="1">IF('Banco de Dados'!$AK1498&lt;&gt;"-",IF('Banco de Dados'!$F1498&lt;&gt;"-",IFERROR(_xlfn.XLOOKUP(_xlfn.CONCAT('Banco de Dados'!$A1498,IFERROR(IFERROR(VALUE(SUBSTITUTE(MID(_xlfn.TEXTAFTER('Banco de Dados'!$F1498,"Data do Pedido:
",1),1,10),"-","/")),VALUE(SUBSTITUTE(MID(_xlfn.TEXTAFTER('Banco de Dados'!$F1498,"Order date:
",1),1,10),"-","/"))),0)),ProxyDD[Chave],ProxyDD[Valor por pedido]),PROXY!$P$2),0),0)</f>
        <v>0.39877104377104378</v>
      </c>
      <c r="AP1498" s="28">
        <f ca="1">IF('Banco de Dados'!$AK1498&lt;&gt;"-",IF('Banco de Dados'!$AL1498="NÃO",IFERROR(VALUE(SUBSTITUTE(_xlfn.TEXTAFTER('Banco de Dados'!$F1498,"BRL ",1),".",",")),0),0),0)</f>
        <v>0</v>
      </c>
      <c r="AQ1498" s="28" t="e">
        <f ca="1">SUM('Banco de Dados'!$AM1498:$AP1498)</f>
        <v>#N/A</v>
      </c>
      <c r="AR1498" s="8"/>
      <c r="AY1498" s="8"/>
    </row>
    <row r="1499" spans="1:51">
      <c r="A1499" s="5" t="str">
        <v>MEI</v>
      </c>
      <c r="B1499" s="5" t="str">
        <f ca="1"/>
        <v>MEI45760</v>
      </c>
      <c r="C1499" s="8" t="str">
        <v>Pedido 1486</v>
      </c>
      <c r="D1499" s="187">
        <v>45757</v>
      </c>
      <c r="E1499" s="9">
        <v>45760</v>
      </c>
      <c r="F1499" s="8" t="str">
        <v>PedidoF1424</v>
      </c>
      <c r="G1499" s="2" t="str">
        <v>CódRastreio1422</v>
      </c>
      <c r="H1499" s="5">
        <v>1</v>
      </c>
      <c r="I1499" s="2" t="str">
        <v>CPF 1446</v>
      </c>
      <c r="J1499" s="2" t="str">
        <v>Nome 1446</v>
      </c>
      <c r="K1499" s="8" t="str">
        <v>Tel 1446</v>
      </c>
      <c r="L1499" s="8" t="str">
        <v>Cep 1446</v>
      </c>
      <c r="M1499" s="8" t="str">
        <v>Rua 1446</v>
      </c>
      <c r="N1499" s="8" t="str">
        <v>Comp 1446</v>
      </c>
      <c r="O1499" s="8" t="str">
        <v>Maçarico Culinário Portátil</v>
      </c>
      <c r="P1499" s="8" t="str">
        <v>BG-DHRO-FAEE</v>
      </c>
      <c r="Q1499" s="4">
        <v>45787</v>
      </c>
      <c r="R1499" s="109">
        <v>26.99</v>
      </c>
      <c r="S1499" s="11">
        <f ca="1"/>
        <v>26.99</v>
      </c>
      <c r="T1499" s="28">
        <f ca="1"/>
        <v>2.9688999999999997</v>
      </c>
      <c r="U1499" s="11">
        <f ca="1"/>
        <v>24.02</v>
      </c>
      <c r="V1499" s="11">
        <v>14.35</v>
      </c>
      <c r="W1499" s="11">
        <f ca="1"/>
        <v>0.25</v>
      </c>
      <c r="X1499" s="11">
        <f ca="1"/>
        <v>0.39877104377104378</v>
      </c>
      <c r="Y1499" s="11">
        <v>0</v>
      </c>
      <c r="Z1499" s="11">
        <f ca="1"/>
        <v>9.0212289562289563</v>
      </c>
      <c r="AA1499" s="11">
        <f ca="1"/>
        <v>4.5106144781144781</v>
      </c>
      <c r="AB1499" s="4">
        <f ca="1"/>
        <v>45794</v>
      </c>
      <c r="AC1499" s="4">
        <v>45794</v>
      </c>
      <c r="AD1499" s="9">
        <v>45807</v>
      </c>
      <c r="AE1499" s="9">
        <v>45810</v>
      </c>
      <c r="AF1499" s="4" t="str">
        <f t="shared" ca="1" si="98"/>
        <v>2025 05</v>
      </c>
      <c r="AG1499" s="8" t="str" cm="1">
        <f t="array" ref="AG1499">IFERROR(_xlfn.IFS('Banco de Dados'!#REF!="AG. COMPRA","Em processamento",'Banco de Dados'!#REF!="AG. RASTREIO","Em processamento",'Banco de Dados'!$AE1499&lt;&gt;"-","Faturado",'Banco de Dados'!$AD1499&lt;&gt;"-","Aguardando Pix",'Banco de Dados'!$AC1499&lt;&gt;"-","Pendente"),"Aguardando Liberação")</f>
        <v>Aguardando Liberação</v>
      </c>
      <c r="AH1499" s="5" t="str">
        <f>IF('Banco de Dados'!$F1499="-",_xlfn.CONCAT(PROPER(TEXT(AK1499,"aaaa"))," ",PROPER(TEXT(AK1499,"mm"))),_xlfn.CONCAT(PROPER(TEXT(E1499,"aaaa"))," ",PROPER(TEXT(E1499,"mm"))))</f>
        <v>2025 04</v>
      </c>
      <c r="AI1499" s="9" t="str">
        <f ca="1">IF('Banco de Dados'!$AK1499&lt;&gt;"-","REEMBOLSO",IFERROR(_xlfn.XLOOKUP(G1499,Follow[CODRASTREIO],Follow[STATUS]),"-"))</f>
        <v>ENTREGUE</v>
      </c>
      <c r="AJ1499" s="9">
        <f ca="1">IF('Banco de Dados'!$AI1499="ENTREGUE",_xlfn.XLOOKUP('Banco de Dados'!$G1499,Follow[CODRASTREIO],Follow[DATAATUALIZAÇÃO]),"-")</f>
        <v>45782</v>
      </c>
      <c r="AK1499" s="132" t="str">
        <f ca="1"/>
        <v>-</v>
      </c>
      <c r="AL1499" s="35"/>
      <c r="AM1499" s="109" cm="1">
        <f t="array" aca="1" ref="AM1499" ca="1">IF('Banco de Dados'!$AK1499&lt;&gt;"-",_xlfn.IFS('Banco de Dados'!$A1499="bv",IF('Banco de Dados'!$E1499&lt;45641,ROUND(SUM('Banco de Dados'!$R1499*_xlfn.XLOOKUP('Banco de Dados'!$P1499,Sku!B:B,Sku!#REF!)*20%),2),ROUND(SUM('Banco de Dados'!$R1499*_xlfn.XLOOKUP('Banco de Dados'!$P1499,Sku!B:B,Sku!H:H)*20%),2)),'Banco de Dados'!$A1499="GO",ROUND(SUM('Banco de Dados'!$R1499*_xlfn.XLOOKUP('Banco de Dados'!$P1499,Sku!C:C,Sku!H:H)*20%),2),'Banco de Dados'!$A1499="MEI",ROUND(SUM('Banco de Dados'!$R1499*_xlfn.XLOOKUP('Banco de Dados'!$P1499,Sku!D:D,Sku!H:H)*20%),2)),0)</f>
        <v>0</v>
      </c>
      <c r="AN1499" s="109">
        <f ca="1">IF('Banco de Dados'!$AK1499&lt;&gt;"-",IF('Banco de Dados'!$F1499&lt;&gt;"-",_xlfn.XLOOKUP(IFERROR(IFERROR(IFERROR(VALUE(SUBSTITUTE(MID(_xlfn.TEXTAFTER('Banco de Dados'!$F1499,"Data do Pedido:
",1),1,10),"-","/")),VALUE(SUBSTITUTE(MID(_xlfn.TEXTAFTER('Banco de Dados'!$F1499,"Order date:
",1),1,10),"-","/"))),VALUE(SUBSTITUTE(MID(_xlfn.TEXTAFTER('Banco de Dados'!$F1499,"Fecha de pedido:
",1),1,10),"-","/"))),"-"),SMS!A:A,SMS!K:K),0),0)</f>
        <v>0</v>
      </c>
      <c r="AO1499" s="109">
        <f ca="1">IF('Banco de Dados'!$AK1499&lt;&gt;"-",IF('Banco de Dados'!$F1499&lt;&gt;"-",IFERROR(_xlfn.XLOOKUP(_xlfn.CONCAT('Banco de Dados'!$A1499,IFERROR(IFERROR(VALUE(SUBSTITUTE(MID(_xlfn.TEXTAFTER('Banco de Dados'!$F1499,"Data do Pedido:
",1),1,10),"-","/")),VALUE(SUBSTITUTE(MID(_xlfn.TEXTAFTER('Banco de Dados'!$F1499,"Order date:
",1),1,10),"-","/"))),0)),ProxyDD[Chave],ProxyDD[Valor por pedido]),PROXY!$P$2),0),0)</f>
        <v>0</v>
      </c>
      <c r="AP1499" s="28">
        <f ca="1">IF('Banco de Dados'!$AK1499&lt;&gt;"-",IF('Banco de Dados'!$AL1499="NÃO",IFERROR(VALUE(SUBSTITUTE(_xlfn.TEXTAFTER('Banco de Dados'!$F1499,"BRL ",1),".",",")),0),0),0)</f>
        <v>0</v>
      </c>
      <c r="AQ1499" s="28">
        <f ca="1">SUM('Banco de Dados'!$AM1499:$AP1499)</f>
        <v>0</v>
      </c>
      <c r="AR1499" s="8"/>
      <c r="AY1499" s="8"/>
    </row>
    <row r="1500" spans="1:51">
      <c r="A1500" s="5" t="str">
        <v>MEI</v>
      </c>
      <c r="B1500" s="5" t="str">
        <f ca="1"/>
        <v>MEI45761</v>
      </c>
      <c r="C1500" s="8" t="str">
        <v>Pedido 1487</v>
      </c>
      <c r="D1500" s="187">
        <v>45757</v>
      </c>
      <c r="E1500" s="9">
        <v>45761</v>
      </c>
      <c r="F1500" s="8" t="str">
        <v>PedidoF1425</v>
      </c>
      <c r="G1500" s="2" t="str">
        <v>CódRastreio1423</v>
      </c>
      <c r="H1500" s="5">
        <v>1</v>
      </c>
      <c r="I1500" s="2" t="str">
        <v>CPF 1447</v>
      </c>
      <c r="J1500" s="2" t="str">
        <v>Nome 1447</v>
      </c>
      <c r="K1500" s="8" t="str">
        <v>Tel 1447</v>
      </c>
      <c r="L1500" s="8" t="str">
        <v>Cep 1447</v>
      </c>
      <c r="M1500" s="8" t="str">
        <v>Rua 1447</v>
      </c>
      <c r="N1500" s="8" t="str">
        <v>Comp 1447</v>
      </c>
      <c r="O1500" s="8" t="str">
        <v>Lampada Led</v>
      </c>
      <c r="P1500" s="8" t="str">
        <v>T1-SWVB-UPOW</v>
      </c>
      <c r="Q1500" s="4">
        <v>45787</v>
      </c>
      <c r="R1500" s="109">
        <v>29.99</v>
      </c>
      <c r="S1500" s="11">
        <f ca="1"/>
        <v>29.99</v>
      </c>
      <c r="T1500" s="28">
        <f ca="1"/>
        <v>3.5987999999999998</v>
      </c>
      <c r="U1500" s="11">
        <f ca="1"/>
        <v>26.39</v>
      </c>
      <c r="V1500" s="11">
        <v>15.42</v>
      </c>
      <c r="W1500" s="11">
        <f ca="1"/>
        <v>0.43</v>
      </c>
      <c r="X1500" s="11">
        <f ca="1"/>
        <v>0.39877104377104378</v>
      </c>
      <c r="Y1500" s="11">
        <v>0</v>
      </c>
      <c r="Z1500" s="11">
        <f ca="1"/>
        <v>10.141228956228957</v>
      </c>
      <c r="AA1500" s="11">
        <f ca="1"/>
        <v>5.0706144781144786</v>
      </c>
      <c r="AB1500" s="4">
        <f ca="1"/>
        <v>45794</v>
      </c>
      <c r="AC1500" s="4">
        <v>45794</v>
      </c>
      <c r="AD1500" s="9">
        <v>45807</v>
      </c>
      <c r="AE1500" s="9">
        <v>45810</v>
      </c>
      <c r="AF1500" s="4" t="str">
        <f t="shared" ca="1" si="98"/>
        <v>2025 05</v>
      </c>
      <c r="AG1500" s="8" t="str" cm="1">
        <f t="array" ref="AG1500">IFERROR(_xlfn.IFS('Banco de Dados'!#REF!="AG. COMPRA","Em processamento",'Banco de Dados'!#REF!="AG. RASTREIO","Em processamento",'Banco de Dados'!$AE1500&lt;&gt;"-","Faturado",'Banco de Dados'!$AD1500&lt;&gt;"-","Aguardando Pix",'Banco de Dados'!$AC1500&lt;&gt;"-","Pendente"),"Aguardando Liberação")</f>
        <v>Aguardando Liberação</v>
      </c>
      <c r="AH1500" s="5" t="str">
        <f>IF('Banco de Dados'!$F1500="-",_xlfn.CONCAT(PROPER(TEXT(AK1500,"aaaa"))," ",PROPER(TEXT(AK1500,"mm"))),_xlfn.CONCAT(PROPER(TEXT(E1500,"aaaa"))," ",PROPER(TEXT(E1500,"mm"))))</f>
        <v>2025 04</v>
      </c>
      <c r="AI1500" s="9" t="str">
        <f ca="1">IF('Banco de Dados'!$AK1500&lt;&gt;"-","REEMBOLSO",IFERROR(_xlfn.XLOOKUP(G1500,Follow[CODRASTREIO],Follow[STATUS]),"-"))</f>
        <v>ENTREGUE</v>
      </c>
      <c r="AJ1500" s="9">
        <f ca="1">IF('Banco de Dados'!$AI1500="ENTREGUE",_xlfn.XLOOKUP('Banco de Dados'!$G1500,Follow[CODRASTREIO],Follow[DATAATUALIZAÇÃO]),"-")</f>
        <v>45775</v>
      </c>
      <c r="AK1500" s="132" t="str">
        <f ca="1"/>
        <v>-</v>
      </c>
      <c r="AL1500" s="35"/>
      <c r="AM1500" s="109" cm="1">
        <f t="array" aca="1" ref="AM1500" ca="1">IF('Banco de Dados'!$AK1500&lt;&gt;"-",_xlfn.IFS('Banco de Dados'!$A1500="bv",IF('Banco de Dados'!$E1500&lt;45641,ROUND(SUM('Banco de Dados'!$R1500*_xlfn.XLOOKUP('Banco de Dados'!$P1500,Sku!B:B,Sku!#REF!)*20%),2),ROUND(SUM('Banco de Dados'!$R1500*_xlfn.XLOOKUP('Banco de Dados'!$P1500,Sku!B:B,Sku!H:H)*20%),2)),'Banco de Dados'!$A1500="GO",ROUND(SUM('Banco de Dados'!$R1500*_xlfn.XLOOKUP('Banco de Dados'!$P1500,Sku!C:C,Sku!H:H)*20%),2),'Banco de Dados'!$A1500="MEI",ROUND(SUM('Banco de Dados'!$R1500*_xlfn.XLOOKUP('Banco de Dados'!$P1500,Sku!D:D,Sku!H:H)*20%),2)),0)</f>
        <v>0</v>
      </c>
      <c r="AN1500" s="109">
        <f ca="1">IF('Banco de Dados'!$AK1500&lt;&gt;"-",IF('Banco de Dados'!$F1500&lt;&gt;"-",_xlfn.XLOOKUP(IFERROR(IFERROR(IFERROR(VALUE(SUBSTITUTE(MID(_xlfn.TEXTAFTER('Banco de Dados'!$F1500,"Data do Pedido:
",1),1,10),"-","/")),VALUE(SUBSTITUTE(MID(_xlfn.TEXTAFTER('Banco de Dados'!$F1500,"Order date:
",1),1,10),"-","/"))),VALUE(SUBSTITUTE(MID(_xlfn.TEXTAFTER('Banco de Dados'!$F1500,"Fecha de pedido:
",1),1,10),"-","/"))),"-"),SMS!A:A,SMS!K:K),0),0)</f>
        <v>0</v>
      </c>
      <c r="AO1500" s="109">
        <f ca="1">IF('Banco de Dados'!$AK1500&lt;&gt;"-",IF('Banco de Dados'!$F1500&lt;&gt;"-",IFERROR(_xlfn.XLOOKUP(_xlfn.CONCAT('Banco de Dados'!$A1500,IFERROR(IFERROR(VALUE(SUBSTITUTE(MID(_xlfn.TEXTAFTER('Banco de Dados'!$F1500,"Data do Pedido:
",1),1,10),"-","/")),VALUE(SUBSTITUTE(MID(_xlfn.TEXTAFTER('Banco de Dados'!$F1500,"Order date:
",1),1,10),"-","/"))),0)),ProxyDD[Chave],ProxyDD[Valor por pedido]),PROXY!$P$2),0),0)</f>
        <v>0</v>
      </c>
      <c r="AP1500" s="28">
        <f ca="1">IF('Banco de Dados'!$AK1500&lt;&gt;"-",IF('Banco de Dados'!$AL1500="NÃO",IFERROR(VALUE(SUBSTITUTE(_xlfn.TEXTAFTER('Banco de Dados'!$F1500,"BRL ",1),".",",")),0),0),0)</f>
        <v>0</v>
      </c>
      <c r="AQ1500" s="28">
        <f ca="1">SUM('Banco de Dados'!$AM1500:$AP1500)</f>
        <v>0</v>
      </c>
      <c r="AR1500" s="8"/>
      <c r="AY1500" s="8"/>
    </row>
    <row r="1501" spans="1:51">
      <c r="A1501" s="5" t="str">
        <v>MEI</v>
      </c>
      <c r="B1501" s="5" t="str">
        <f ca="1"/>
        <v>MEI45760</v>
      </c>
      <c r="C1501" s="8" t="str">
        <v>Pedido 1488</v>
      </c>
      <c r="D1501" s="187">
        <v>45757</v>
      </c>
      <c r="E1501" s="9">
        <v>45760</v>
      </c>
      <c r="F1501" s="8" t="str">
        <v>PedidoF1426</v>
      </c>
      <c r="G1501" s="2" t="str">
        <v>CódRastreio1424</v>
      </c>
      <c r="H1501" s="5">
        <v>1</v>
      </c>
      <c r="I1501" s="2" t="str">
        <v>CPF 1448</v>
      </c>
      <c r="J1501" s="2" t="str">
        <v>Nome 1448</v>
      </c>
      <c r="K1501" s="8" t="str">
        <v>Tel 1448</v>
      </c>
      <c r="L1501" s="8" t="str">
        <v>Cep 1448</v>
      </c>
      <c r="M1501" s="8" t="str">
        <v>Rua 1448</v>
      </c>
      <c r="N1501" s="8" t="str">
        <v>Comp 1448</v>
      </c>
      <c r="O1501" s="8" t="str">
        <v>Ventilador Azul</v>
      </c>
      <c r="P1501" s="8" t="str">
        <v>PK-L2Z7-MQRQ</v>
      </c>
      <c r="Q1501" s="4">
        <v>45787</v>
      </c>
      <c r="R1501" s="109">
        <v>49.9</v>
      </c>
      <c r="S1501" s="11">
        <f ca="1"/>
        <v>49.9</v>
      </c>
      <c r="T1501" s="28">
        <f ca="1"/>
        <v>5.9879999999999995</v>
      </c>
      <c r="U1501" s="11">
        <f ca="1"/>
        <v>43.91</v>
      </c>
      <c r="V1501" s="11">
        <v>22.51</v>
      </c>
      <c r="W1501" s="11">
        <f ca="1"/>
        <v>0.25</v>
      </c>
      <c r="X1501" s="11">
        <f ca="1"/>
        <v>0.39877104377104378</v>
      </c>
      <c r="Y1501" s="11">
        <v>0</v>
      </c>
      <c r="Z1501" s="11">
        <f ca="1"/>
        <v>20.75122895622895</v>
      </c>
      <c r="AA1501" s="11">
        <f ca="1"/>
        <v>10.375614478114475</v>
      </c>
      <c r="AB1501" s="4">
        <f ca="1"/>
        <v>45794</v>
      </c>
      <c r="AC1501" s="4">
        <v>45794</v>
      </c>
      <c r="AD1501" s="9">
        <v>45807</v>
      </c>
      <c r="AE1501" s="9">
        <v>45810</v>
      </c>
      <c r="AF1501" s="4" t="str">
        <f t="shared" ca="1" si="98"/>
        <v>2025 05</v>
      </c>
      <c r="AG1501" s="8" t="str" cm="1">
        <f t="array" ref="AG1501">IFERROR(_xlfn.IFS('Banco de Dados'!#REF!="AG. COMPRA","Em processamento",'Banco de Dados'!#REF!="AG. RASTREIO","Em processamento",'Banco de Dados'!$AE1501&lt;&gt;"-","Faturado",'Banco de Dados'!$AD1501&lt;&gt;"-","Aguardando Pix",'Banco de Dados'!$AC1501&lt;&gt;"-","Pendente"),"Aguardando Liberação")</f>
        <v>Aguardando Liberação</v>
      </c>
      <c r="AH1501" s="5" t="str">
        <f>IF('Banco de Dados'!$F1501="-",_xlfn.CONCAT(PROPER(TEXT(AK1501,"aaaa"))," ",PROPER(TEXT(AK1501,"mm"))),_xlfn.CONCAT(PROPER(TEXT(E1501,"aaaa"))," ",PROPER(TEXT(E1501,"mm"))))</f>
        <v>2025 04</v>
      </c>
      <c r="AI1501" s="9" t="str">
        <f ca="1">IF('Banco de Dados'!$AK1501&lt;&gt;"-","REEMBOLSO",IFERROR(_xlfn.XLOOKUP(G1501,Follow[CODRASTREIO],Follow[STATUS]),"-"))</f>
        <v>ENTREGUE</v>
      </c>
      <c r="AJ1501" s="9">
        <f ca="1">IF('Banco de Dados'!$AI1501="ENTREGUE",_xlfn.XLOOKUP('Banco de Dados'!$G1501,Follow[CODRASTREIO],Follow[DATAATUALIZAÇÃO]),"-")</f>
        <v>45776</v>
      </c>
      <c r="AK1501" s="132" t="str">
        <f ca="1"/>
        <v>-</v>
      </c>
      <c r="AL1501" s="35"/>
      <c r="AM1501" s="109" cm="1">
        <f t="array" aca="1" ref="AM1501" ca="1">IF('Banco de Dados'!$AK1501&lt;&gt;"-",_xlfn.IFS('Banco de Dados'!$A1501="bv",IF('Banco de Dados'!$E1501&lt;45641,ROUND(SUM('Banco de Dados'!$R1501*_xlfn.XLOOKUP('Banco de Dados'!$P1501,Sku!B:B,Sku!#REF!)*20%),2),ROUND(SUM('Banco de Dados'!$R1501*_xlfn.XLOOKUP('Banco de Dados'!$P1501,Sku!B:B,Sku!H:H)*20%),2)),'Banco de Dados'!$A1501="GO",ROUND(SUM('Banco de Dados'!$R1501*_xlfn.XLOOKUP('Banco de Dados'!$P1501,Sku!C:C,Sku!H:H)*20%),2),'Banco de Dados'!$A1501="MEI",ROUND(SUM('Banco de Dados'!$R1501*_xlfn.XLOOKUP('Banco de Dados'!$P1501,Sku!D:D,Sku!H:H)*20%),2)),0)</f>
        <v>0</v>
      </c>
      <c r="AN1501" s="109">
        <f ca="1">IF('Banco de Dados'!$AK1501&lt;&gt;"-",IF('Banco de Dados'!$F1501&lt;&gt;"-",_xlfn.XLOOKUP(IFERROR(IFERROR(IFERROR(VALUE(SUBSTITUTE(MID(_xlfn.TEXTAFTER('Banco de Dados'!$F1501,"Data do Pedido:
",1),1,10),"-","/")),VALUE(SUBSTITUTE(MID(_xlfn.TEXTAFTER('Banco de Dados'!$F1501,"Order date:
",1),1,10),"-","/"))),VALUE(SUBSTITUTE(MID(_xlfn.TEXTAFTER('Banco de Dados'!$F1501,"Fecha de pedido:
",1),1,10),"-","/"))),"-"),SMS!A:A,SMS!K:K),0),0)</f>
        <v>0</v>
      </c>
      <c r="AO1501" s="109">
        <f ca="1">IF('Banco de Dados'!$AK1501&lt;&gt;"-",IF('Banco de Dados'!$F1501&lt;&gt;"-",IFERROR(_xlfn.XLOOKUP(_xlfn.CONCAT('Banco de Dados'!$A1501,IFERROR(IFERROR(VALUE(SUBSTITUTE(MID(_xlfn.TEXTAFTER('Banco de Dados'!$F1501,"Data do Pedido:
",1),1,10),"-","/")),VALUE(SUBSTITUTE(MID(_xlfn.TEXTAFTER('Banco de Dados'!$F1501,"Order date:
",1),1,10),"-","/"))),0)),ProxyDD[Chave],ProxyDD[Valor por pedido]),PROXY!$P$2),0),0)</f>
        <v>0</v>
      </c>
      <c r="AP1501" s="28">
        <f ca="1">IF('Banco de Dados'!$AK1501&lt;&gt;"-",IF('Banco de Dados'!$AL1501="NÃO",IFERROR(VALUE(SUBSTITUTE(_xlfn.TEXTAFTER('Banco de Dados'!$F1501,"BRL ",1),".",",")),0),0),0)</f>
        <v>0</v>
      </c>
      <c r="AQ1501" s="28">
        <f ca="1">SUM('Banco de Dados'!$AM1501:$AP1501)</f>
        <v>0</v>
      </c>
      <c r="AR1501" s="8"/>
      <c r="AY1501" s="8"/>
    </row>
    <row r="1502" spans="1:51">
      <c r="A1502" s="5" t="str">
        <v>MEI</v>
      </c>
      <c r="B1502" s="5" t="str">
        <f ca="1"/>
        <v>MEI45760</v>
      </c>
      <c r="C1502" s="8" t="str">
        <v>Pedido 1489</v>
      </c>
      <c r="D1502" s="187">
        <v>45757</v>
      </c>
      <c r="E1502" s="9">
        <v>45760</v>
      </c>
      <c r="F1502" s="8" t="str">
        <v>PedidoF1427</v>
      </c>
      <c r="G1502" s="2" t="str">
        <v>CódRastreio1425</v>
      </c>
      <c r="H1502" s="5">
        <v>1</v>
      </c>
      <c r="I1502" s="2" t="str">
        <v>CPF 1449</v>
      </c>
      <c r="J1502" s="2" t="str">
        <v>Nome 1449</v>
      </c>
      <c r="K1502" s="8" t="str">
        <v>Tel 1449</v>
      </c>
      <c r="L1502" s="8" t="str">
        <v>Cep 1449</v>
      </c>
      <c r="M1502" s="8" t="str">
        <v>Rua 1449</v>
      </c>
      <c r="N1502" s="8" t="str">
        <v>Comp 1449</v>
      </c>
      <c r="O1502" s="8" t="str">
        <v>Máquina de cortar cabelo dragão</v>
      </c>
      <c r="P1502" s="8" t="str">
        <v>RX-DD1P-P5U2</v>
      </c>
      <c r="Q1502" s="4">
        <v>45794</v>
      </c>
      <c r="R1502" s="109">
        <v>26.99</v>
      </c>
      <c r="S1502" s="11">
        <f ca="1"/>
        <v>26.99</v>
      </c>
      <c r="T1502" s="28">
        <f ca="1"/>
        <v>3.2387999999999999</v>
      </c>
      <c r="U1502" s="11">
        <f ca="1"/>
        <v>23.75</v>
      </c>
      <c r="V1502" s="11">
        <v>10.130000000000001</v>
      </c>
      <c r="W1502" s="11">
        <f ca="1"/>
        <v>0.25</v>
      </c>
      <c r="X1502" s="11">
        <f ca="1"/>
        <v>0.39877104377104378</v>
      </c>
      <c r="Y1502" s="11">
        <v>0</v>
      </c>
      <c r="Z1502" s="11">
        <f ca="1"/>
        <v>12.971228956228956</v>
      </c>
      <c r="AA1502" s="11">
        <f ca="1"/>
        <v>6.4856144781144778</v>
      </c>
      <c r="AB1502" s="4">
        <f ca="1"/>
        <v>45801</v>
      </c>
      <c r="AC1502" s="4">
        <v>45801</v>
      </c>
      <c r="AD1502" s="9">
        <v>45807</v>
      </c>
      <c r="AE1502" s="9">
        <v>45810</v>
      </c>
      <c r="AF1502" s="4" t="str">
        <f t="shared" ca="1" si="98"/>
        <v>2025 05</v>
      </c>
      <c r="AG1502" s="8" t="str" cm="1">
        <f t="array" ref="AG1502">IFERROR(_xlfn.IFS('Banco de Dados'!#REF!="AG. COMPRA","Em processamento",'Banco de Dados'!#REF!="AG. RASTREIO","Em processamento",'Banco de Dados'!$AE1502&lt;&gt;"-","Faturado",'Banco de Dados'!$AD1502&lt;&gt;"-","Aguardando Pix",'Banco de Dados'!$AC1502&lt;&gt;"-","Pendente"),"Aguardando Liberação")</f>
        <v>Aguardando Liberação</v>
      </c>
      <c r="AH1502" s="5" t="str">
        <f>IF('Banco de Dados'!$F1502="-",_xlfn.CONCAT(PROPER(TEXT(AK1502,"aaaa"))," ",PROPER(TEXT(AK1502,"mm"))),_xlfn.CONCAT(PROPER(TEXT(E1502,"aaaa"))," ",PROPER(TEXT(E1502,"mm"))))</f>
        <v>2025 04</v>
      </c>
      <c r="AI1502" s="9" t="str">
        <f ca="1">IF('Banco de Dados'!$AK1502&lt;&gt;"-","REEMBOLSO",IFERROR(_xlfn.XLOOKUP(G1502,Follow[CODRASTREIO],Follow[STATUS]),"-"))</f>
        <v>ENTREGUE</v>
      </c>
      <c r="AJ1502" s="9">
        <f ca="1">IF('Banco de Dados'!$AI1502="ENTREGUE",_xlfn.XLOOKUP('Banco de Dados'!$G1502,Follow[CODRASTREIO],Follow[DATAATUALIZAÇÃO]),"-")</f>
        <v>45769</v>
      </c>
      <c r="AK1502" s="132" t="str">
        <f ca="1"/>
        <v>-</v>
      </c>
      <c r="AL1502" s="35"/>
      <c r="AM1502" s="109" cm="1">
        <f t="array" aca="1" ref="AM1502" ca="1">IF('Banco de Dados'!$AK1502&lt;&gt;"-",_xlfn.IFS('Banco de Dados'!$A1502="bv",IF('Banco de Dados'!$E1502&lt;45641,ROUND(SUM('Banco de Dados'!$R1502*_xlfn.XLOOKUP('Banco de Dados'!$P1502,Sku!B:B,Sku!#REF!)*20%),2),ROUND(SUM('Banco de Dados'!$R1502*_xlfn.XLOOKUP('Banco de Dados'!$P1502,Sku!B:B,Sku!H:H)*20%),2)),'Banco de Dados'!$A1502="GO",ROUND(SUM('Banco de Dados'!$R1502*_xlfn.XLOOKUP('Banco de Dados'!$P1502,Sku!C:C,Sku!H:H)*20%),2),'Banco de Dados'!$A1502="MEI",ROUND(SUM('Banco de Dados'!$R1502*_xlfn.XLOOKUP('Banco de Dados'!$P1502,Sku!D:D,Sku!H:H)*20%),2)),0)</f>
        <v>0</v>
      </c>
      <c r="AN1502" s="109">
        <f ca="1">IF('Banco de Dados'!$AK1502&lt;&gt;"-",IF('Banco de Dados'!$F1502&lt;&gt;"-",_xlfn.XLOOKUP(IFERROR(IFERROR(IFERROR(VALUE(SUBSTITUTE(MID(_xlfn.TEXTAFTER('Banco de Dados'!$F1502,"Data do Pedido:
",1),1,10),"-","/")),VALUE(SUBSTITUTE(MID(_xlfn.TEXTAFTER('Banco de Dados'!$F1502,"Order date:
",1),1,10),"-","/"))),VALUE(SUBSTITUTE(MID(_xlfn.TEXTAFTER('Banco de Dados'!$F1502,"Fecha de pedido:
",1),1,10),"-","/"))),"-"),SMS!A:A,SMS!K:K),0),0)</f>
        <v>0</v>
      </c>
      <c r="AO1502" s="109">
        <f ca="1">IF('Banco de Dados'!$AK1502&lt;&gt;"-",IF('Banco de Dados'!$F1502&lt;&gt;"-",IFERROR(_xlfn.XLOOKUP(_xlfn.CONCAT('Banco de Dados'!$A1502,IFERROR(IFERROR(VALUE(SUBSTITUTE(MID(_xlfn.TEXTAFTER('Banco de Dados'!$F1502,"Data do Pedido:
",1),1,10),"-","/")),VALUE(SUBSTITUTE(MID(_xlfn.TEXTAFTER('Banco de Dados'!$F1502,"Order date:
",1),1,10),"-","/"))),0)),ProxyDD[Chave],ProxyDD[Valor por pedido]),PROXY!$P$2),0),0)</f>
        <v>0</v>
      </c>
      <c r="AP1502" s="28">
        <f ca="1">IF('Banco de Dados'!$AK1502&lt;&gt;"-",IF('Banco de Dados'!$AL1502="NÃO",IFERROR(VALUE(SUBSTITUTE(_xlfn.TEXTAFTER('Banco de Dados'!$F1502,"BRL ",1),".",",")),0),0),0)</f>
        <v>0</v>
      </c>
      <c r="AQ1502" s="28">
        <f ca="1">SUM('Banco de Dados'!$AM1502:$AP1502)</f>
        <v>0</v>
      </c>
      <c r="AR1502" s="8"/>
      <c r="AY1502" s="8"/>
    </row>
    <row r="1503" spans="1:51">
      <c r="A1503" s="5" t="str">
        <v>MEI</v>
      </c>
      <c r="B1503" s="5" t="str">
        <f ca="1"/>
        <v>MEI45760</v>
      </c>
      <c r="C1503" s="8" t="str">
        <v>Pedido 1490</v>
      </c>
      <c r="D1503" s="187">
        <v>45757</v>
      </c>
      <c r="E1503" s="9">
        <v>45760</v>
      </c>
      <c r="F1503" s="8" t="str">
        <v>PedidoF1428</v>
      </c>
      <c r="G1503" s="2" t="str">
        <v>CódRastreio1426</v>
      </c>
      <c r="H1503" s="5">
        <v>1</v>
      </c>
      <c r="I1503" s="2" t="str">
        <v>CPF 1450</v>
      </c>
      <c r="J1503" s="2" t="str">
        <v>Nome 1450</v>
      </c>
      <c r="K1503" s="8" t="str">
        <v>Tel 1450</v>
      </c>
      <c r="L1503" s="8" t="str">
        <v>Cep 1450</v>
      </c>
      <c r="M1503" s="8" t="str">
        <v>Rua 1450</v>
      </c>
      <c r="N1503" s="8" t="str">
        <v>Comp 1450</v>
      </c>
      <c r="O1503" s="8" t="str">
        <v>Máquina de cortar cabelo dragão</v>
      </c>
      <c r="P1503" s="8" t="str">
        <v>RX-DD1P-P5U2</v>
      </c>
      <c r="Q1503" s="4">
        <v>45794</v>
      </c>
      <c r="R1503" s="109">
        <v>26.99</v>
      </c>
      <c r="S1503" s="11">
        <f ca="1"/>
        <v>26.99</v>
      </c>
      <c r="T1503" s="28">
        <f ca="1"/>
        <v>3.2387999999999999</v>
      </c>
      <c r="U1503" s="11">
        <f ca="1"/>
        <v>23.75</v>
      </c>
      <c r="V1503" s="11">
        <v>10.130000000000001</v>
      </c>
      <c r="W1503" s="11">
        <f ca="1"/>
        <v>0.25</v>
      </c>
      <c r="X1503" s="11">
        <f ca="1"/>
        <v>0.39877104377104378</v>
      </c>
      <c r="Y1503" s="11">
        <v>0</v>
      </c>
      <c r="Z1503" s="11">
        <f ca="1"/>
        <v>12.971228956228956</v>
      </c>
      <c r="AA1503" s="11">
        <f ca="1"/>
        <v>6.4856144781144778</v>
      </c>
      <c r="AB1503" s="4">
        <f ca="1"/>
        <v>45801</v>
      </c>
      <c r="AC1503" s="4">
        <v>45801</v>
      </c>
      <c r="AD1503" s="9">
        <v>45807</v>
      </c>
      <c r="AE1503" s="9">
        <v>45810</v>
      </c>
      <c r="AF1503" s="4" t="str">
        <f t="shared" ca="1" si="98"/>
        <v>2025 05</v>
      </c>
      <c r="AG1503" s="8" t="str" cm="1">
        <f t="array" ref="AG1503">IFERROR(_xlfn.IFS('Banco de Dados'!#REF!="AG. COMPRA","Em processamento",'Banco de Dados'!#REF!="AG. RASTREIO","Em processamento",'Banco de Dados'!$AE1503&lt;&gt;"-","Faturado",'Banco de Dados'!$AD1503&lt;&gt;"-","Aguardando Pix",'Banco de Dados'!$AC1503&lt;&gt;"-","Pendente"),"Aguardando Liberação")</f>
        <v>Aguardando Liberação</v>
      </c>
      <c r="AH1503" s="5" t="str">
        <f>IF('Banco de Dados'!$F1503="-",_xlfn.CONCAT(PROPER(TEXT(AK1503,"aaaa"))," ",PROPER(TEXT(AK1503,"mm"))),_xlfn.CONCAT(PROPER(TEXT(E1503,"aaaa"))," ",PROPER(TEXT(E1503,"mm"))))</f>
        <v>2025 04</v>
      </c>
      <c r="AI1503" s="9" t="str">
        <f ca="1">IF('Banco de Dados'!$AK1503&lt;&gt;"-","REEMBOLSO",IFERROR(_xlfn.XLOOKUP(G1503,Follow[CODRASTREIO],Follow[STATUS]),"-"))</f>
        <v>ENTREGUE</v>
      </c>
      <c r="AJ1503" s="9">
        <f ca="1">IF('Banco de Dados'!$AI1503="ENTREGUE",_xlfn.XLOOKUP('Banco de Dados'!$G1503,Follow[CODRASTREIO],Follow[DATAATUALIZAÇÃO]),"-")</f>
        <v>45769</v>
      </c>
      <c r="AK1503" s="132" t="str">
        <f ca="1"/>
        <v>-</v>
      </c>
      <c r="AL1503" s="35"/>
      <c r="AM1503" s="109" cm="1">
        <f t="array" aca="1" ref="AM1503" ca="1">IF('Banco de Dados'!$AK1503&lt;&gt;"-",_xlfn.IFS('Banco de Dados'!$A1503="bv",IF('Banco de Dados'!$E1503&lt;45641,ROUND(SUM('Banco de Dados'!$R1503*_xlfn.XLOOKUP('Banco de Dados'!$P1503,Sku!B:B,Sku!#REF!)*20%),2),ROUND(SUM('Banco de Dados'!$R1503*_xlfn.XLOOKUP('Banco de Dados'!$P1503,Sku!B:B,Sku!H:H)*20%),2)),'Banco de Dados'!$A1503="GO",ROUND(SUM('Banco de Dados'!$R1503*_xlfn.XLOOKUP('Banco de Dados'!$P1503,Sku!C:C,Sku!H:H)*20%),2),'Banco de Dados'!$A1503="MEI",ROUND(SUM('Banco de Dados'!$R1503*_xlfn.XLOOKUP('Banco de Dados'!$P1503,Sku!D:D,Sku!H:H)*20%),2)),0)</f>
        <v>0</v>
      </c>
      <c r="AN1503" s="109">
        <f ca="1">IF('Banco de Dados'!$AK1503&lt;&gt;"-",IF('Banco de Dados'!$F1503&lt;&gt;"-",_xlfn.XLOOKUP(IFERROR(IFERROR(IFERROR(VALUE(SUBSTITUTE(MID(_xlfn.TEXTAFTER('Banco de Dados'!$F1503,"Data do Pedido:
",1),1,10),"-","/")),VALUE(SUBSTITUTE(MID(_xlfn.TEXTAFTER('Banco de Dados'!$F1503,"Order date:
",1),1,10),"-","/"))),VALUE(SUBSTITUTE(MID(_xlfn.TEXTAFTER('Banco de Dados'!$F1503,"Fecha de pedido:
",1),1,10),"-","/"))),"-"),SMS!A:A,SMS!K:K),0),0)</f>
        <v>0</v>
      </c>
      <c r="AO1503" s="109">
        <f ca="1">IF('Banco de Dados'!$AK1503&lt;&gt;"-",IF('Banco de Dados'!$F1503&lt;&gt;"-",IFERROR(_xlfn.XLOOKUP(_xlfn.CONCAT('Banco de Dados'!$A1503,IFERROR(IFERROR(VALUE(SUBSTITUTE(MID(_xlfn.TEXTAFTER('Banco de Dados'!$F1503,"Data do Pedido:
",1),1,10),"-","/")),VALUE(SUBSTITUTE(MID(_xlfn.TEXTAFTER('Banco de Dados'!$F1503,"Order date:
",1),1,10),"-","/"))),0)),ProxyDD[Chave],ProxyDD[Valor por pedido]),PROXY!$P$2),0),0)</f>
        <v>0</v>
      </c>
      <c r="AP1503" s="28">
        <f ca="1">IF('Banco de Dados'!$AK1503&lt;&gt;"-",IF('Banco de Dados'!$AL1503="NÃO",IFERROR(VALUE(SUBSTITUTE(_xlfn.TEXTAFTER('Banco de Dados'!$F1503,"BRL ",1),".",",")),0),0),0)</f>
        <v>0</v>
      </c>
      <c r="AQ1503" s="28">
        <f ca="1">SUM('Banco de Dados'!$AM1503:$AP1503)</f>
        <v>0</v>
      </c>
      <c r="AR1503" s="8"/>
      <c r="AY1503" s="8"/>
    </row>
    <row r="1504" spans="1:51">
      <c r="A1504" s="5" t="str">
        <v>MEI</v>
      </c>
      <c r="B1504" s="5" t="str">
        <f ca="1"/>
        <v>MEI-</v>
      </c>
      <c r="C1504" s="8" t="str">
        <v>Pedido 1491</v>
      </c>
      <c r="D1504" s="187">
        <v>45757</v>
      </c>
      <c r="E1504" s="9" t="str">
        <v>-</v>
      </c>
      <c r="F1504" s="8" t="str">
        <v>-</v>
      </c>
      <c r="G1504" s="2" t="str">
        <v>-</v>
      </c>
      <c r="H1504" s="5">
        <v>1</v>
      </c>
      <c r="I1504" s="2" t="str">
        <v>CPF 1451</v>
      </c>
      <c r="J1504" s="2" t="str">
        <v>Nome 1451</v>
      </c>
      <c r="K1504" s="8" t="str">
        <v>Tel 1451</v>
      </c>
      <c r="L1504" s="8" t="str">
        <v>Cep 1451</v>
      </c>
      <c r="M1504" s="8" t="str">
        <v>Rua 1451</v>
      </c>
      <c r="N1504" s="8" t="str">
        <v>Comp 1451</v>
      </c>
      <c r="O1504" s="8" t="str">
        <v>Ventilador Azul</v>
      </c>
      <c r="P1504" s="8" t="str">
        <v>PK-L2Z7-MQRQ</v>
      </c>
      <c r="Q1504" s="4">
        <v>45787</v>
      </c>
      <c r="R1504" s="109">
        <v>49.9</v>
      </c>
      <c r="S1504" s="11">
        <f ca="1"/>
        <v>0</v>
      </c>
      <c r="T1504" s="28">
        <f ca="1"/>
        <v>0</v>
      </c>
      <c r="U1504" s="11">
        <f ca="1"/>
        <v>0</v>
      </c>
      <c r="V1504" s="11">
        <v>0</v>
      </c>
      <c r="W1504" s="11">
        <f ca="1"/>
        <v>0</v>
      </c>
      <c r="X1504" s="11">
        <f ca="1"/>
        <v>0</v>
      </c>
      <c r="Y1504" s="11">
        <v>0</v>
      </c>
      <c r="Z1504" s="11">
        <f ca="1"/>
        <v>0</v>
      </c>
      <c r="AA1504" s="11">
        <f ca="1"/>
        <v>0</v>
      </c>
      <c r="AB1504" s="4">
        <f ca="1"/>
        <v>45794</v>
      </c>
      <c r="AC1504" s="4">
        <v>45794</v>
      </c>
      <c r="AD1504" s="9">
        <v>45807</v>
      </c>
      <c r="AE1504" s="9">
        <v>45810</v>
      </c>
      <c r="AF1504" s="4" t="str">
        <f t="shared" ca="1" si="98"/>
        <v>2025 05</v>
      </c>
      <c r="AG1504" s="8" t="str" cm="1">
        <f t="array" ref="AG1504">IFERROR(_xlfn.IFS('Banco de Dados'!#REF!="AG. COMPRA","Em processamento",'Banco de Dados'!#REF!="AG. RASTREIO","Em processamento",'Banco de Dados'!$AE1504&lt;&gt;"-","Faturado",'Banco de Dados'!$AD1504&lt;&gt;"-","Aguardando Pix",'Banco de Dados'!$AC1504&lt;&gt;"-","Pendente"),"Aguardando Liberação")</f>
        <v>Aguardando Liberação</v>
      </c>
      <c r="AH1504" s="5" t="str">
        <f ca="1">IF('Banco de Dados'!$F1504="-",_xlfn.CONCAT(PROPER(TEXT(AK1504,"aaaa"))," ",PROPER(TEXT(AK1504,"mm"))),_xlfn.CONCAT(PROPER(TEXT(E1504,"aaaa"))," ",PROPER(TEXT(E1504,"mm"))))</f>
        <v>2025 04</v>
      </c>
      <c r="AI1504" s="9" t="str">
        <f ca="1">IF('Banco de Dados'!$AK1504&lt;&gt;"-","REEMBOLSO",IFERROR(_xlfn.XLOOKUP(G1504,Follow[CODRASTREIO],Follow[STATUS]),"-"))</f>
        <v>REEMBOLSO</v>
      </c>
      <c r="AJ1504" s="9" t="str">
        <f ca="1">IF('Banco de Dados'!$AI1504="ENTREGUE",_xlfn.XLOOKUP('Banco de Dados'!$G1504,Follow[CODRASTREIO],Follow[DATAATUALIZAÇÃO]),"-")</f>
        <v>-</v>
      </c>
      <c r="AK1504" s="132">
        <f ca="1"/>
        <v>45764</v>
      </c>
      <c r="AL1504" s="35"/>
      <c r="AM1504" s="109" cm="1">
        <f t="array" aca="1" ref="AM1504" ca="1">IF('Banco de Dados'!$AK1504&lt;&gt;"-",_xlfn.IFS('Banco de Dados'!$A1504="bv",IF('Banco de Dados'!$E1504&lt;45641,ROUND(SUM('Banco de Dados'!$R1504*_xlfn.XLOOKUP('Banco de Dados'!$P1504,Sku!B:B,Sku!#REF!)*20%),2),ROUND(SUM('Banco de Dados'!$R1504*_xlfn.XLOOKUP('Banco de Dados'!$P1504,Sku!B:B,Sku!H:H)*20%),2)),'Banco de Dados'!$A1504="GO",ROUND(SUM('Banco de Dados'!$R1504*_xlfn.XLOOKUP('Banco de Dados'!$P1504,Sku!C:C,Sku!H:H)*20%),2),'Banco de Dados'!$A1504="MEI",ROUND(SUM('Banco de Dados'!$R1504*_xlfn.XLOOKUP('Banco de Dados'!$P1504,Sku!D:D,Sku!H:H)*20%),2)),0)</f>
        <v>1.3</v>
      </c>
      <c r="AN1504" s="109">
        <f ca="1">IF('Banco de Dados'!$AK1504&lt;&gt;"-",IF('Banco de Dados'!$F1504&lt;&gt;"-",_xlfn.XLOOKUP(IFERROR(IFERROR(IFERROR(VALUE(SUBSTITUTE(MID(_xlfn.TEXTAFTER('Banco de Dados'!$F1504,"Data do Pedido:
",1),1,10),"-","/")),VALUE(SUBSTITUTE(MID(_xlfn.TEXTAFTER('Banco de Dados'!$F1504,"Order date:
",1),1,10),"-","/"))),VALUE(SUBSTITUTE(MID(_xlfn.TEXTAFTER('Banco de Dados'!$F1504,"Fecha de pedido:
",1),1,10),"-","/"))),"-"),SMS!A:A,SMS!K:K),0),0)</f>
        <v>0</v>
      </c>
      <c r="AO1504" s="109">
        <f ca="1">IF('Banco de Dados'!$AK1504&lt;&gt;"-",IF('Banco de Dados'!$F1504&lt;&gt;"-",IFERROR(_xlfn.XLOOKUP(_xlfn.CONCAT('Banco de Dados'!$A1504,IFERROR(IFERROR(VALUE(SUBSTITUTE(MID(_xlfn.TEXTAFTER('Banco de Dados'!$F1504,"Data do Pedido:
",1),1,10),"-","/")),VALUE(SUBSTITUTE(MID(_xlfn.TEXTAFTER('Banco de Dados'!$F1504,"Order date:
",1),1,10),"-","/"))),0)),ProxyDD[Chave],ProxyDD[Valor por pedido]),PROXY!$P$2),0),0)</f>
        <v>0</v>
      </c>
      <c r="AP1504" s="28">
        <f ca="1">IF('Banco de Dados'!$AK1504&lt;&gt;"-",IF('Banco de Dados'!$AL1504="NÃO",IFERROR(VALUE(SUBSTITUTE(_xlfn.TEXTAFTER('Banco de Dados'!$F1504,"BRL ",1),".",",")),0),0),0)</f>
        <v>0</v>
      </c>
      <c r="AQ1504" s="28">
        <f ca="1">SUM('Banco de Dados'!$AM1504:$AP1504)</f>
        <v>1.3</v>
      </c>
      <c r="AR1504" s="8"/>
      <c r="AY1504" s="8"/>
    </row>
    <row r="1505" spans="1:51">
      <c r="A1505" s="5" t="str">
        <v>MEI</v>
      </c>
      <c r="B1505" s="5" t="str">
        <f ca="1"/>
        <v>MEI45760</v>
      </c>
      <c r="C1505" s="8" t="str">
        <v>Pedido 1492</v>
      </c>
      <c r="D1505" s="187">
        <v>45757</v>
      </c>
      <c r="E1505" s="9">
        <v>45760</v>
      </c>
      <c r="F1505" s="8" t="str">
        <v>PedidoF1429</v>
      </c>
      <c r="G1505" s="2" t="str">
        <v>CódRastreio1427</v>
      </c>
      <c r="H1505" s="5">
        <v>1</v>
      </c>
      <c r="I1505" s="2" t="str">
        <v>CPF 1452</v>
      </c>
      <c r="J1505" s="2" t="str">
        <v>Nome 1452</v>
      </c>
      <c r="K1505" s="8" t="str">
        <v>Tel 1452</v>
      </c>
      <c r="L1505" s="8" t="str">
        <v>Cep 1452</v>
      </c>
      <c r="M1505" s="8" t="str">
        <v>Rua 1452</v>
      </c>
      <c r="N1505" s="8" t="str">
        <v>Comp 1452</v>
      </c>
      <c r="O1505" s="8" t="str">
        <v>Ventilador Azul</v>
      </c>
      <c r="P1505" s="8" t="str">
        <v>PK-L2Z7-MQRQ</v>
      </c>
      <c r="Q1505" s="4">
        <v>45787</v>
      </c>
      <c r="R1505" s="109">
        <v>49.9</v>
      </c>
      <c r="S1505" s="11">
        <f ca="1"/>
        <v>49.9</v>
      </c>
      <c r="T1505" s="28">
        <f ca="1"/>
        <v>5.9879999999999995</v>
      </c>
      <c r="U1505" s="11">
        <f ca="1"/>
        <v>43.91</v>
      </c>
      <c r="V1505" s="11">
        <v>22.51</v>
      </c>
      <c r="W1505" s="11">
        <f ca="1"/>
        <v>0.25</v>
      </c>
      <c r="X1505" s="11">
        <f ca="1"/>
        <v>0.39877104377104378</v>
      </c>
      <c r="Y1505" s="11">
        <v>0</v>
      </c>
      <c r="Z1505" s="11">
        <f ca="1"/>
        <v>20.75122895622895</v>
      </c>
      <c r="AA1505" s="11">
        <f ca="1"/>
        <v>10.375614478114475</v>
      </c>
      <c r="AB1505" s="4">
        <f ca="1"/>
        <v>45794</v>
      </c>
      <c r="AC1505" s="4">
        <v>45794</v>
      </c>
      <c r="AD1505" s="9">
        <v>45807</v>
      </c>
      <c r="AE1505" s="9">
        <v>45810</v>
      </c>
      <c r="AF1505" s="4" t="str">
        <f t="shared" ca="1" si="98"/>
        <v>2025 05</v>
      </c>
      <c r="AG1505" s="8" t="str" cm="1">
        <f t="array" ref="AG1505">IFERROR(_xlfn.IFS('Banco de Dados'!#REF!="AG. COMPRA","Em processamento",'Banco de Dados'!#REF!="AG. RASTREIO","Em processamento",'Banco de Dados'!$AE1505&lt;&gt;"-","Faturado",'Banco de Dados'!$AD1505&lt;&gt;"-","Aguardando Pix",'Banco de Dados'!$AC1505&lt;&gt;"-","Pendente"),"Aguardando Liberação")</f>
        <v>Aguardando Liberação</v>
      </c>
      <c r="AH1505" s="5" t="str">
        <f>IF('Banco de Dados'!$F1505="-",_xlfn.CONCAT(PROPER(TEXT(AK1505,"aaaa"))," ",PROPER(TEXT(AK1505,"mm"))),_xlfn.CONCAT(PROPER(TEXT(E1505,"aaaa"))," ",PROPER(TEXT(E1505,"mm"))))</f>
        <v>2025 04</v>
      </c>
      <c r="AI1505" s="9" t="str">
        <f ca="1">IF('Banco de Dados'!$AK1505&lt;&gt;"-","REEMBOLSO",IFERROR(_xlfn.XLOOKUP(G1505,Follow[CODRASTREIO],Follow[STATUS]),"-"))</f>
        <v>ENTREGUE</v>
      </c>
      <c r="AJ1505" s="9">
        <f ca="1">IF('Banco de Dados'!$AI1505="ENTREGUE",_xlfn.XLOOKUP('Banco de Dados'!$G1505,Follow[CODRASTREIO],Follow[DATAATUALIZAÇÃO]),"-")</f>
        <v>45775</v>
      </c>
      <c r="AK1505" s="132" t="str">
        <f ca="1"/>
        <v>-</v>
      </c>
      <c r="AL1505" s="35"/>
      <c r="AM1505" s="109" cm="1">
        <f t="array" aca="1" ref="AM1505" ca="1">IF('Banco de Dados'!$AK1505&lt;&gt;"-",_xlfn.IFS('Banco de Dados'!$A1505="bv",IF('Banco de Dados'!$E1505&lt;45641,ROUND(SUM('Banco de Dados'!$R1505*_xlfn.XLOOKUP('Banco de Dados'!$P1505,Sku!B:B,Sku!#REF!)*20%),2),ROUND(SUM('Banco de Dados'!$R1505*_xlfn.XLOOKUP('Banco de Dados'!$P1505,Sku!B:B,Sku!H:H)*20%),2)),'Banco de Dados'!$A1505="GO",ROUND(SUM('Banco de Dados'!$R1505*_xlfn.XLOOKUP('Banco de Dados'!$P1505,Sku!C:C,Sku!H:H)*20%),2),'Banco de Dados'!$A1505="MEI",ROUND(SUM('Banco de Dados'!$R1505*_xlfn.XLOOKUP('Banco de Dados'!$P1505,Sku!D:D,Sku!H:H)*20%),2)),0)</f>
        <v>0</v>
      </c>
      <c r="AN1505" s="109">
        <f ca="1">IF('Banco de Dados'!$AK1505&lt;&gt;"-",IF('Banco de Dados'!$F1505&lt;&gt;"-",_xlfn.XLOOKUP(IFERROR(IFERROR(IFERROR(VALUE(SUBSTITUTE(MID(_xlfn.TEXTAFTER('Banco de Dados'!$F1505,"Data do Pedido:
",1),1,10),"-","/")),VALUE(SUBSTITUTE(MID(_xlfn.TEXTAFTER('Banco de Dados'!$F1505,"Order date:
",1),1,10),"-","/"))),VALUE(SUBSTITUTE(MID(_xlfn.TEXTAFTER('Banco de Dados'!$F1505,"Fecha de pedido:
",1),1,10),"-","/"))),"-"),SMS!A:A,SMS!K:K),0),0)</f>
        <v>0</v>
      </c>
      <c r="AO1505" s="109">
        <f ca="1">IF('Banco de Dados'!$AK1505&lt;&gt;"-",IF('Banco de Dados'!$F1505&lt;&gt;"-",IFERROR(_xlfn.XLOOKUP(_xlfn.CONCAT('Banco de Dados'!$A1505,IFERROR(IFERROR(VALUE(SUBSTITUTE(MID(_xlfn.TEXTAFTER('Banco de Dados'!$F1505,"Data do Pedido:
",1),1,10),"-","/")),VALUE(SUBSTITUTE(MID(_xlfn.TEXTAFTER('Banco de Dados'!$F1505,"Order date:
",1),1,10),"-","/"))),0)),ProxyDD[Chave],ProxyDD[Valor por pedido]),PROXY!$P$2),0),0)</f>
        <v>0</v>
      </c>
      <c r="AP1505" s="28">
        <f ca="1">IF('Banco de Dados'!$AK1505&lt;&gt;"-",IF('Banco de Dados'!$AL1505="NÃO",IFERROR(VALUE(SUBSTITUTE(_xlfn.TEXTAFTER('Banco de Dados'!$F1505,"BRL ",1),".",",")),0),0),0)</f>
        <v>0</v>
      </c>
      <c r="AQ1505" s="28">
        <f ca="1">SUM('Banco de Dados'!$AM1505:$AP1505)</f>
        <v>0</v>
      </c>
      <c r="AR1505" s="8"/>
      <c r="AY1505" s="8"/>
    </row>
    <row r="1506" spans="1:51">
      <c r="A1506" s="5" t="str">
        <v>MEI</v>
      </c>
      <c r="B1506" s="5" t="str">
        <f ca="1"/>
        <v>MEI45760</v>
      </c>
      <c r="C1506" s="8" t="str">
        <v>Pedido 1493</v>
      </c>
      <c r="D1506" s="187">
        <v>45757</v>
      </c>
      <c r="E1506" s="9">
        <v>45760</v>
      </c>
      <c r="F1506" s="8" t="str">
        <v>PedidoF1430</v>
      </c>
      <c r="G1506" s="2" t="str">
        <v>CódRastreio1428</v>
      </c>
      <c r="H1506" s="5">
        <v>1</v>
      </c>
      <c r="I1506" s="2" t="str">
        <v>CPF 1453</v>
      </c>
      <c r="J1506" s="2" t="str">
        <v>Nome 1453</v>
      </c>
      <c r="K1506" s="8" t="str">
        <v>Tel 1453</v>
      </c>
      <c r="L1506" s="8" t="str">
        <v>Cep 1453</v>
      </c>
      <c r="M1506" s="8" t="str">
        <v>Rua 1453</v>
      </c>
      <c r="N1506" s="8" t="str">
        <v>Comp 1453</v>
      </c>
      <c r="O1506" s="8" t="str">
        <v>Mini Liquidificador</v>
      </c>
      <c r="P1506" s="8" t="str">
        <v>A4-5W51-K3HF</v>
      </c>
      <c r="Q1506" s="4">
        <v>45787</v>
      </c>
      <c r="R1506" s="109">
        <v>36.950000000000003</v>
      </c>
      <c r="S1506" s="11">
        <f ca="1"/>
        <v>0</v>
      </c>
      <c r="T1506" s="28">
        <f ca="1"/>
        <v>0</v>
      </c>
      <c r="U1506" s="11">
        <f ca="1"/>
        <v>0</v>
      </c>
      <c r="V1506" s="11">
        <v>0</v>
      </c>
      <c r="W1506" s="11">
        <f ca="1"/>
        <v>0</v>
      </c>
      <c r="X1506" s="11">
        <f ca="1"/>
        <v>0.39877104377104378</v>
      </c>
      <c r="Y1506" s="11">
        <v>0</v>
      </c>
      <c r="Z1506" s="11">
        <f ca="1"/>
        <v>-0.39877104377104378</v>
      </c>
      <c r="AA1506" s="11">
        <f ca="1"/>
        <v>-0.19938552188552189</v>
      </c>
      <c r="AB1506" s="4">
        <f ca="1"/>
        <v>45794</v>
      </c>
      <c r="AC1506" s="4">
        <v>45794</v>
      </c>
      <c r="AD1506" s="9">
        <v>45807</v>
      </c>
      <c r="AE1506" s="9">
        <v>45810</v>
      </c>
      <c r="AF1506" s="4" t="str">
        <f t="shared" ca="1" si="98"/>
        <v>2025 05</v>
      </c>
      <c r="AG1506" s="8" t="str" cm="1">
        <f t="array" ref="AG1506">IFERROR(_xlfn.IFS('Banco de Dados'!#REF!="AG. COMPRA","Em processamento",'Banco de Dados'!#REF!="AG. RASTREIO","Em processamento",'Banco de Dados'!$AE1506&lt;&gt;"-","Faturado",'Banco de Dados'!$AD1506&lt;&gt;"-","Aguardando Pix",'Banco de Dados'!$AC1506&lt;&gt;"-","Pendente"),"Aguardando Liberação")</f>
        <v>Aguardando Liberação</v>
      </c>
      <c r="AH1506" s="5" t="str">
        <f>IF('Banco de Dados'!$F1506="-",_xlfn.CONCAT(PROPER(TEXT(AK1506,"aaaa"))," ",PROPER(TEXT(AK1506,"mm"))),_xlfn.CONCAT(PROPER(TEXT(E1506,"aaaa"))," ",PROPER(TEXT(E1506,"mm"))))</f>
        <v>2025 04</v>
      </c>
      <c r="AI1506" s="9" t="str">
        <f ca="1">IF('Banco de Dados'!$AK1506&lt;&gt;"-","REEMBOLSO",IFERROR(_xlfn.XLOOKUP(G1506,Follow[CODRASTREIO],Follow[STATUS]),"-"))</f>
        <v>REEMBOLSO</v>
      </c>
      <c r="AJ1506" s="9" t="str">
        <f ca="1">IF('Banco de Dados'!$AI1506="ENTREGUE",_xlfn.XLOOKUP('Banco de Dados'!$G1506,Follow[CODRASTREIO],Follow[DATAATUALIZAÇÃO]),"-")</f>
        <v>-</v>
      </c>
      <c r="AK1506" s="132">
        <f ca="1"/>
        <v>45790</v>
      </c>
      <c r="AL1506" s="35"/>
      <c r="AM1506" s="109" cm="1">
        <f t="array" aca="1" ref="AM1506" ca="1">IF('Banco de Dados'!$AK1506&lt;&gt;"-",_xlfn.IFS('Banco de Dados'!$A1506="bv",IF('Banco de Dados'!$E1506&lt;45641,ROUND(SUM('Banco de Dados'!$R1506*_xlfn.XLOOKUP('Banco de Dados'!$P1506,Sku!B:B,Sku!#REF!)*20%),2),ROUND(SUM('Banco de Dados'!$R1506*_xlfn.XLOOKUP('Banco de Dados'!$P1506,Sku!B:B,Sku!H:H)*20%),2)),'Banco de Dados'!$A1506="GO",ROUND(SUM('Banco de Dados'!$R1506*_xlfn.XLOOKUP('Banco de Dados'!$P1506,Sku!C:C,Sku!H:H)*20%),2),'Banco de Dados'!$A1506="MEI",ROUND(SUM('Banco de Dados'!$R1506*_xlfn.XLOOKUP('Banco de Dados'!$P1506,Sku!D:D,Sku!H:H)*20%),2)),0)</f>
        <v>0.96</v>
      </c>
      <c r="AN1506" s="109" t="e">
        <f ca="1">IF('Banco de Dados'!$AK1506&lt;&gt;"-",IF('Banco de Dados'!$F1506&lt;&gt;"-",_xlfn.XLOOKUP(IFERROR(IFERROR(IFERROR(VALUE(SUBSTITUTE(MID(_xlfn.TEXTAFTER('Banco de Dados'!$F1506,"Data do Pedido:
",1),1,10),"-","/")),VALUE(SUBSTITUTE(MID(_xlfn.TEXTAFTER('Banco de Dados'!$F1506,"Order date:
",1),1,10),"-","/"))),VALUE(SUBSTITUTE(MID(_xlfn.TEXTAFTER('Banco de Dados'!$F1506,"Fecha de pedido:
",1),1,10),"-","/"))),"-"),SMS!A:A,SMS!K:K),0),0)</f>
        <v>#N/A</v>
      </c>
      <c r="AO1506" s="109">
        <f ca="1">IF('Banco de Dados'!$AK1506&lt;&gt;"-",IF('Banco de Dados'!$F1506&lt;&gt;"-",IFERROR(_xlfn.XLOOKUP(_xlfn.CONCAT('Banco de Dados'!$A1506,IFERROR(IFERROR(VALUE(SUBSTITUTE(MID(_xlfn.TEXTAFTER('Banco de Dados'!$F1506,"Data do Pedido:
",1),1,10),"-","/")),VALUE(SUBSTITUTE(MID(_xlfn.TEXTAFTER('Banco de Dados'!$F1506,"Order date:
",1),1,10),"-","/"))),0)),ProxyDD[Chave],ProxyDD[Valor por pedido]),PROXY!$P$2),0),0)</f>
        <v>0.39877104377104378</v>
      </c>
      <c r="AP1506" s="28">
        <f ca="1">IF('Banco de Dados'!$AK1506&lt;&gt;"-",IF('Banco de Dados'!$AL1506="NÃO",IFERROR(VALUE(SUBSTITUTE(_xlfn.TEXTAFTER('Banco de Dados'!$F1506,"BRL ",1),".",",")),0),0),0)</f>
        <v>0</v>
      </c>
      <c r="AQ1506" s="28" t="e">
        <f ca="1">SUM('Banco de Dados'!$AM1506:$AP1506)</f>
        <v>#N/A</v>
      </c>
      <c r="AR1506" s="8"/>
      <c r="AY1506" s="8"/>
    </row>
    <row r="1507" spans="1:51">
      <c r="A1507" s="5" t="str">
        <v>MEI</v>
      </c>
      <c r="B1507" s="5" t="str">
        <f ca="1"/>
        <v>MEI45760</v>
      </c>
      <c r="C1507" s="8" t="str">
        <v>Pedido 1494</v>
      </c>
      <c r="D1507" s="187">
        <v>45758</v>
      </c>
      <c r="E1507" s="9">
        <v>45760</v>
      </c>
      <c r="F1507" s="8" t="str">
        <v>PedidoF1431</v>
      </c>
      <c r="G1507" s="2" t="str">
        <v>CódRastreio1429</v>
      </c>
      <c r="H1507" s="5">
        <v>1</v>
      </c>
      <c r="I1507" s="2" t="str">
        <v>CPF 1454</v>
      </c>
      <c r="J1507" s="2" t="str">
        <v>Nome 1454</v>
      </c>
      <c r="K1507" s="8" t="str">
        <v>Tel 1454</v>
      </c>
      <c r="L1507" s="8" t="str">
        <v>Cep 1454</v>
      </c>
      <c r="M1507" s="8" t="str">
        <v>Rua 1454</v>
      </c>
      <c r="N1507" s="8" t="str">
        <v>Comp 1454</v>
      </c>
      <c r="O1507" s="8" t="str">
        <v>Copo Termico</v>
      </c>
      <c r="P1507" s="8" t="str">
        <v>VI-4RT5-1FFO</v>
      </c>
      <c r="Q1507" s="4">
        <v>45783</v>
      </c>
      <c r="R1507" s="109">
        <v>22.7</v>
      </c>
      <c r="S1507" s="11">
        <f ca="1"/>
        <v>22.7</v>
      </c>
      <c r="T1507" s="28">
        <f ca="1"/>
        <v>2.7239999999999998</v>
      </c>
      <c r="U1507" s="11">
        <f ca="1"/>
        <v>19.98</v>
      </c>
      <c r="V1507" s="11">
        <v>14.73</v>
      </c>
      <c r="W1507" s="11">
        <f ca="1"/>
        <v>0.25</v>
      </c>
      <c r="X1507" s="11">
        <f ca="1"/>
        <v>0.39877104377104378</v>
      </c>
      <c r="Y1507" s="11">
        <v>0</v>
      </c>
      <c r="Z1507" s="11">
        <f ca="1"/>
        <v>4.6012289562289563</v>
      </c>
      <c r="AA1507" s="11">
        <f ca="1"/>
        <v>2.3006144781144782</v>
      </c>
      <c r="AB1507" s="4">
        <f ca="1"/>
        <v>45790</v>
      </c>
      <c r="AC1507" s="4">
        <v>45790</v>
      </c>
      <c r="AD1507" s="9">
        <v>45793</v>
      </c>
      <c r="AE1507" s="9">
        <v>45797</v>
      </c>
      <c r="AF1507" s="4" t="str">
        <f t="shared" ca="1" si="98"/>
        <v>2025 05</v>
      </c>
      <c r="AG1507" s="8" t="str" cm="1">
        <f t="array" ref="AG1507">IFERROR(_xlfn.IFS('Banco de Dados'!#REF!="AG. COMPRA","Em processamento",'Banco de Dados'!#REF!="AG. RASTREIO","Em processamento",'Banco de Dados'!$AE1507&lt;&gt;"-","Faturado",'Banco de Dados'!$AD1507&lt;&gt;"-","Aguardando Pix",'Banco de Dados'!$AC1507&lt;&gt;"-","Pendente"),"Aguardando Liberação")</f>
        <v>Aguardando Liberação</v>
      </c>
      <c r="AH1507" s="5" t="str">
        <f>IF('Banco de Dados'!$F1507="-",_xlfn.CONCAT(PROPER(TEXT(AK1507,"aaaa"))," ",PROPER(TEXT(AK1507,"mm"))),_xlfn.CONCAT(PROPER(TEXT(E1507,"aaaa"))," ",PROPER(TEXT(E1507,"mm"))))</f>
        <v>2025 04</v>
      </c>
      <c r="AI1507" s="9" t="str">
        <f ca="1">IF('Banco de Dados'!$AK1507&lt;&gt;"-","REEMBOLSO",IFERROR(_xlfn.XLOOKUP(G1507,Follow[CODRASTREIO],Follow[STATUS]),"-"))</f>
        <v>ENTREGUE</v>
      </c>
      <c r="AJ1507" s="9">
        <f ca="1">IF('Banco de Dados'!$AI1507="ENTREGUE",_xlfn.XLOOKUP('Banco de Dados'!$G1507,Follow[CODRASTREIO],Follow[DATAATUALIZAÇÃO]),"-")</f>
        <v>45770</v>
      </c>
      <c r="AK1507" s="132" t="str">
        <f ca="1"/>
        <v>-</v>
      </c>
      <c r="AL1507" s="35"/>
      <c r="AM1507" s="109" cm="1">
        <f t="array" aca="1" ref="AM1507" ca="1">IF('Banco de Dados'!$AK1507&lt;&gt;"-",_xlfn.IFS('Banco de Dados'!$A1507="bv",IF('Banco de Dados'!$E1507&lt;45641,ROUND(SUM('Banco de Dados'!$R1507*_xlfn.XLOOKUP('Banco de Dados'!$P1507,Sku!B:B,Sku!#REF!)*20%),2),ROUND(SUM('Banco de Dados'!$R1507*_xlfn.XLOOKUP('Banco de Dados'!$P1507,Sku!B:B,Sku!H:H)*20%),2)),'Banco de Dados'!$A1507="GO",ROUND(SUM('Banco de Dados'!$R1507*_xlfn.XLOOKUP('Banco de Dados'!$P1507,Sku!C:C,Sku!H:H)*20%),2),'Banco de Dados'!$A1507="MEI",ROUND(SUM('Banco de Dados'!$R1507*_xlfn.XLOOKUP('Banco de Dados'!$P1507,Sku!D:D,Sku!H:H)*20%),2)),0)</f>
        <v>0</v>
      </c>
      <c r="AN1507" s="109">
        <f ca="1">IF('Banco de Dados'!$AK1507&lt;&gt;"-",IF('Banco de Dados'!$F1507&lt;&gt;"-",_xlfn.XLOOKUP(IFERROR(IFERROR(IFERROR(VALUE(SUBSTITUTE(MID(_xlfn.TEXTAFTER('Banco de Dados'!$F1507,"Data do Pedido:
",1),1,10),"-","/")),VALUE(SUBSTITUTE(MID(_xlfn.TEXTAFTER('Banco de Dados'!$F1507,"Order date:
",1),1,10),"-","/"))),VALUE(SUBSTITUTE(MID(_xlfn.TEXTAFTER('Banco de Dados'!$F1507,"Fecha de pedido:
",1),1,10),"-","/"))),"-"),SMS!A:A,SMS!K:K),0),0)</f>
        <v>0</v>
      </c>
      <c r="AO1507" s="109">
        <f ca="1">IF('Banco de Dados'!$AK1507&lt;&gt;"-",IF('Banco de Dados'!$F1507&lt;&gt;"-",IFERROR(_xlfn.XLOOKUP(_xlfn.CONCAT('Banco de Dados'!$A1507,IFERROR(IFERROR(VALUE(SUBSTITUTE(MID(_xlfn.TEXTAFTER('Banco de Dados'!$F1507,"Data do Pedido:
",1),1,10),"-","/")),VALUE(SUBSTITUTE(MID(_xlfn.TEXTAFTER('Banco de Dados'!$F1507,"Order date:
",1),1,10),"-","/"))),0)),ProxyDD[Chave],ProxyDD[Valor por pedido]),PROXY!$P$2),0),0)</f>
        <v>0</v>
      </c>
      <c r="AP1507" s="28">
        <f ca="1">IF('Banco de Dados'!$AK1507&lt;&gt;"-",IF('Banco de Dados'!$AL1507="NÃO",IFERROR(VALUE(SUBSTITUTE(_xlfn.TEXTAFTER('Banco de Dados'!$F1507,"BRL ",1),".",",")),0),0),0)</f>
        <v>0</v>
      </c>
      <c r="AQ1507" s="28">
        <f ca="1">SUM('Banco de Dados'!$AM1507:$AP1507)</f>
        <v>0</v>
      </c>
      <c r="AR1507" s="8"/>
      <c r="AY1507" s="8"/>
    </row>
    <row r="1508" spans="1:51">
      <c r="A1508" s="5" t="str">
        <v>MEI</v>
      </c>
      <c r="B1508" s="5" t="str">
        <f ca="1"/>
        <v>MEI-</v>
      </c>
      <c r="C1508" s="8" t="str">
        <v>Pedido 1495</v>
      </c>
      <c r="D1508" s="187">
        <v>45758</v>
      </c>
      <c r="E1508" s="9" t="str">
        <v>-</v>
      </c>
      <c r="F1508" s="8" t="str">
        <v>-</v>
      </c>
      <c r="G1508" s="2" t="str">
        <v>-</v>
      </c>
      <c r="H1508" s="5">
        <v>1</v>
      </c>
      <c r="I1508" s="2" t="str">
        <v>CPF 1455</v>
      </c>
      <c r="J1508" s="2" t="str">
        <v>Nome 1455</v>
      </c>
      <c r="K1508" s="8" t="str">
        <v>Tel 1455</v>
      </c>
      <c r="L1508" s="8" t="str">
        <v>Cep 1455</v>
      </c>
      <c r="M1508" s="8" t="str">
        <v>Rua 1455</v>
      </c>
      <c r="N1508" s="8" t="str">
        <v>Comp 1455</v>
      </c>
      <c r="O1508" s="8" t="str">
        <v>Máquina de cortar cabelo dragão</v>
      </c>
      <c r="P1508" s="8" t="str">
        <v>RX-DD1P-P5U2</v>
      </c>
      <c r="Q1508" s="4">
        <v>45794</v>
      </c>
      <c r="R1508" s="109">
        <v>26.99</v>
      </c>
      <c r="S1508" s="11">
        <f ca="1"/>
        <v>0</v>
      </c>
      <c r="T1508" s="28">
        <f ca="1"/>
        <v>0</v>
      </c>
      <c r="U1508" s="11">
        <f ca="1"/>
        <v>0</v>
      </c>
      <c r="V1508" s="11">
        <v>0</v>
      </c>
      <c r="W1508" s="11">
        <f ca="1"/>
        <v>0</v>
      </c>
      <c r="X1508" s="11">
        <f ca="1"/>
        <v>0</v>
      </c>
      <c r="Y1508" s="11">
        <v>0</v>
      </c>
      <c r="Z1508" s="11">
        <f ca="1"/>
        <v>0</v>
      </c>
      <c r="AA1508" s="11">
        <f ca="1"/>
        <v>0</v>
      </c>
      <c r="AB1508" s="4">
        <f ca="1"/>
        <v>45801</v>
      </c>
      <c r="AC1508" s="4">
        <v>45801</v>
      </c>
      <c r="AD1508" s="9">
        <v>45807</v>
      </c>
      <c r="AE1508" s="9">
        <v>45810</v>
      </c>
      <c r="AF1508" s="4" t="str">
        <f t="shared" ca="1" si="98"/>
        <v>2025 05</v>
      </c>
      <c r="AG1508" s="8" t="str" cm="1">
        <f t="array" ref="AG1508">IFERROR(_xlfn.IFS('Banco de Dados'!#REF!="AG. COMPRA","Em processamento",'Banco de Dados'!#REF!="AG. RASTREIO","Em processamento",'Banco de Dados'!$AE1508&lt;&gt;"-","Faturado",'Banco de Dados'!$AD1508&lt;&gt;"-","Aguardando Pix",'Banco de Dados'!$AC1508&lt;&gt;"-","Pendente"),"Aguardando Liberação")</f>
        <v>Aguardando Liberação</v>
      </c>
      <c r="AH1508" s="5" t="str">
        <f ca="1">IF('Banco de Dados'!$F1508="-",_xlfn.CONCAT(PROPER(TEXT(AK1508,"aaaa"))," ",PROPER(TEXT(AK1508,"mm"))),_xlfn.CONCAT(PROPER(TEXT(E1508,"aaaa"))," ",PROPER(TEXT(E1508,"mm"))))</f>
        <v>2025 04</v>
      </c>
      <c r="AI1508" s="9" t="str">
        <f ca="1">IF('Banco de Dados'!$AK1508&lt;&gt;"-","REEMBOLSO",IFERROR(_xlfn.XLOOKUP(G1508,Follow[CODRASTREIO],Follow[STATUS]),"-"))</f>
        <v>REEMBOLSO</v>
      </c>
      <c r="AJ1508" s="9" t="str">
        <f ca="1">IF('Banco de Dados'!$AI1508="ENTREGUE",_xlfn.XLOOKUP('Banco de Dados'!$G1508,Follow[CODRASTREIO],Follow[DATAATUALIZAÇÃO]),"-")</f>
        <v>-</v>
      </c>
      <c r="AK1508" s="132">
        <f ca="1"/>
        <v>45764</v>
      </c>
      <c r="AL1508" s="35"/>
      <c r="AM1508" s="109" cm="1">
        <f t="array" aca="1" ref="AM1508" ca="1">IF('Banco de Dados'!$AK1508&lt;&gt;"-",_xlfn.IFS('Banco de Dados'!$A1508="bv",IF('Banco de Dados'!$E1508&lt;45641,ROUND(SUM('Banco de Dados'!$R1508*_xlfn.XLOOKUP('Banco de Dados'!$P1508,Sku!B:B,Sku!#REF!)*20%),2),ROUND(SUM('Banco de Dados'!$R1508*_xlfn.XLOOKUP('Banco de Dados'!$P1508,Sku!B:B,Sku!H:H)*20%),2)),'Banco de Dados'!$A1508="GO",ROUND(SUM('Banco de Dados'!$R1508*_xlfn.XLOOKUP('Banco de Dados'!$P1508,Sku!C:C,Sku!H:H)*20%),2),'Banco de Dados'!$A1508="MEI",ROUND(SUM('Banco de Dados'!$R1508*_xlfn.XLOOKUP('Banco de Dados'!$P1508,Sku!D:D,Sku!H:H)*20%),2)),0)</f>
        <v>0.65</v>
      </c>
      <c r="AN1508" s="109">
        <f ca="1">IF('Banco de Dados'!$AK1508&lt;&gt;"-",IF('Banco de Dados'!$F1508&lt;&gt;"-",_xlfn.XLOOKUP(IFERROR(IFERROR(IFERROR(VALUE(SUBSTITUTE(MID(_xlfn.TEXTAFTER('Banco de Dados'!$F1508,"Data do Pedido:
",1),1,10),"-","/")),VALUE(SUBSTITUTE(MID(_xlfn.TEXTAFTER('Banco de Dados'!$F1508,"Order date:
",1),1,10),"-","/"))),VALUE(SUBSTITUTE(MID(_xlfn.TEXTAFTER('Banco de Dados'!$F1508,"Fecha de pedido:
",1),1,10),"-","/"))),"-"),SMS!A:A,SMS!K:K),0),0)</f>
        <v>0</v>
      </c>
      <c r="AO1508" s="109">
        <f ca="1">IF('Banco de Dados'!$AK1508&lt;&gt;"-",IF('Banco de Dados'!$F1508&lt;&gt;"-",IFERROR(_xlfn.XLOOKUP(_xlfn.CONCAT('Banco de Dados'!$A1508,IFERROR(IFERROR(VALUE(SUBSTITUTE(MID(_xlfn.TEXTAFTER('Banco de Dados'!$F1508,"Data do Pedido:
",1),1,10),"-","/")),VALUE(SUBSTITUTE(MID(_xlfn.TEXTAFTER('Banco de Dados'!$F1508,"Order date:
",1),1,10),"-","/"))),0)),ProxyDD[Chave],ProxyDD[Valor por pedido]),PROXY!$P$2),0),0)</f>
        <v>0</v>
      </c>
      <c r="AP1508" s="28">
        <f ca="1">IF('Banco de Dados'!$AK1508&lt;&gt;"-",IF('Banco de Dados'!$AL1508="NÃO",IFERROR(VALUE(SUBSTITUTE(_xlfn.TEXTAFTER('Banco de Dados'!$F1508,"BRL ",1),".",",")),0),0),0)</f>
        <v>0</v>
      </c>
      <c r="AQ1508" s="28">
        <f ca="1">SUM('Banco de Dados'!$AM1508:$AP1508)</f>
        <v>0.65</v>
      </c>
      <c r="AR1508" s="8"/>
      <c r="AY1508" s="8"/>
    </row>
    <row r="1509" spans="1:51">
      <c r="A1509" s="5" t="str">
        <v>MEI</v>
      </c>
      <c r="B1509" s="5" t="str">
        <f ca="1"/>
        <v>MEI45762</v>
      </c>
      <c r="C1509" s="8" t="str">
        <v>Pedido 1496</v>
      </c>
      <c r="D1509" s="187">
        <v>45758</v>
      </c>
      <c r="E1509" s="9">
        <v>45762</v>
      </c>
      <c r="F1509" s="8" t="str">
        <v>PedidoF1432</v>
      </c>
      <c r="G1509" s="2" t="str">
        <v>CódRastreio1430</v>
      </c>
      <c r="H1509" s="5">
        <v>1</v>
      </c>
      <c r="I1509" s="2" t="str">
        <v>CPF 1456</v>
      </c>
      <c r="J1509" s="2" t="str">
        <v>Nome 1456</v>
      </c>
      <c r="K1509" s="8" t="str">
        <v>Tel 1456</v>
      </c>
      <c r="L1509" s="8" t="str">
        <v>Cep 1456</v>
      </c>
      <c r="M1509" s="8" t="str">
        <v>Rua 1456</v>
      </c>
      <c r="N1509" s="8" t="str">
        <v>Comp 1456</v>
      </c>
      <c r="O1509" s="8" t="str">
        <v>Maçarico Culinário Portátil</v>
      </c>
      <c r="P1509" s="8" t="str">
        <v>BG-DHRO-FAEE</v>
      </c>
      <c r="Q1509" s="4">
        <v>45787</v>
      </c>
      <c r="R1509" s="109">
        <v>26.99</v>
      </c>
      <c r="S1509" s="11">
        <f ca="1"/>
        <v>26.99</v>
      </c>
      <c r="T1509" s="28">
        <f ca="1"/>
        <v>2.9688999999999997</v>
      </c>
      <c r="U1509" s="11">
        <f ca="1"/>
        <v>24.02</v>
      </c>
      <c r="V1509" s="11">
        <v>15.77</v>
      </c>
      <c r="W1509" s="11">
        <f ca="1"/>
        <v>0.2</v>
      </c>
      <c r="X1509" s="11">
        <f ca="1"/>
        <v>0.39877104377104378</v>
      </c>
      <c r="Y1509" s="11">
        <v>0</v>
      </c>
      <c r="Z1509" s="11">
        <f ca="1"/>
        <v>7.6512289562289553</v>
      </c>
      <c r="AA1509" s="11">
        <f ca="1"/>
        <v>3.8256144781144776</v>
      </c>
      <c r="AB1509" s="4">
        <f ca="1"/>
        <v>45794</v>
      </c>
      <c r="AC1509" s="4">
        <v>45794</v>
      </c>
      <c r="AD1509" s="9">
        <v>45807</v>
      </c>
      <c r="AE1509" s="9">
        <v>45810</v>
      </c>
      <c r="AF1509" s="4" t="str">
        <f t="shared" ca="1" si="98"/>
        <v>2025 05</v>
      </c>
      <c r="AG1509" s="8" t="str" cm="1">
        <f t="array" ref="AG1509">IFERROR(_xlfn.IFS('Banco de Dados'!#REF!="AG. COMPRA","Em processamento",'Banco de Dados'!#REF!="AG. RASTREIO","Em processamento",'Banco de Dados'!$AE1509&lt;&gt;"-","Faturado",'Banco de Dados'!$AD1509&lt;&gt;"-","Aguardando Pix",'Banco de Dados'!$AC1509&lt;&gt;"-","Pendente"),"Aguardando Liberação")</f>
        <v>Aguardando Liberação</v>
      </c>
      <c r="AH1509" s="5" t="str">
        <f>IF('Banco de Dados'!$F1509="-",_xlfn.CONCAT(PROPER(TEXT(AK1509,"aaaa"))," ",PROPER(TEXT(AK1509,"mm"))),_xlfn.CONCAT(PROPER(TEXT(E1509,"aaaa"))," ",PROPER(TEXT(E1509,"mm"))))</f>
        <v>2025 04</v>
      </c>
      <c r="AI1509" s="9" t="str">
        <f ca="1">IF('Banco de Dados'!$AK1509&lt;&gt;"-","REEMBOLSO",IFERROR(_xlfn.XLOOKUP(G1509,Follow[CODRASTREIO],Follow[STATUS]),"-"))</f>
        <v>ENTREGUE</v>
      </c>
      <c r="AJ1509" s="9">
        <f ca="1">IF('Banco de Dados'!$AI1509="ENTREGUE",_xlfn.XLOOKUP('Banco de Dados'!$G1509,Follow[CODRASTREIO],Follow[DATAATUALIZAÇÃO]),"-")</f>
        <v>45791</v>
      </c>
      <c r="AK1509" s="132" t="str">
        <f ca="1"/>
        <v>-</v>
      </c>
      <c r="AL1509" s="35"/>
      <c r="AM1509" s="109" cm="1">
        <f t="array" aca="1" ref="AM1509" ca="1">IF('Banco de Dados'!$AK1509&lt;&gt;"-",_xlfn.IFS('Banco de Dados'!$A1509="bv",IF('Banco de Dados'!$E1509&lt;45641,ROUND(SUM('Banco de Dados'!$R1509*_xlfn.XLOOKUP('Banco de Dados'!$P1509,Sku!B:B,Sku!#REF!)*20%),2),ROUND(SUM('Banco de Dados'!$R1509*_xlfn.XLOOKUP('Banco de Dados'!$P1509,Sku!B:B,Sku!H:H)*20%),2)),'Banco de Dados'!$A1509="GO",ROUND(SUM('Banco de Dados'!$R1509*_xlfn.XLOOKUP('Banco de Dados'!$P1509,Sku!C:C,Sku!H:H)*20%),2),'Banco de Dados'!$A1509="MEI",ROUND(SUM('Banco de Dados'!$R1509*_xlfn.XLOOKUP('Banco de Dados'!$P1509,Sku!D:D,Sku!H:H)*20%),2)),0)</f>
        <v>0</v>
      </c>
      <c r="AN1509" s="109">
        <f ca="1">IF('Banco de Dados'!$AK1509&lt;&gt;"-",IF('Banco de Dados'!$F1509&lt;&gt;"-",_xlfn.XLOOKUP(IFERROR(IFERROR(IFERROR(VALUE(SUBSTITUTE(MID(_xlfn.TEXTAFTER('Banco de Dados'!$F1509,"Data do Pedido:
",1),1,10),"-","/")),VALUE(SUBSTITUTE(MID(_xlfn.TEXTAFTER('Banco de Dados'!$F1509,"Order date:
",1),1,10),"-","/"))),VALUE(SUBSTITUTE(MID(_xlfn.TEXTAFTER('Banco de Dados'!$F1509,"Fecha de pedido:
",1),1,10),"-","/"))),"-"),SMS!A:A,SMS!K:K),0),0)</f>
        <v>0</v>
      </c>
      <c r="AO1509" s="109">
        <f ca="1">IF('Banco de Dados'!$AK1509&lt;&gt;"-",IF('Banco de Dados'!$F1509&lt;&gt;"-",IFERROR(_xlfn.XLOOKUP(_xlfn.CONCAT('Banco de Dados'!$A1509,IFERROR(IFERROR(VALUE(SUBSTITUTE(MID(_xlfn.TEXTAFTER('Banco de Dados'!$F1509,"Data do Pedido:
",1),1,10),"-","/")),VALUE(SUBSTITUTE(MID(_xlfn.TEXTAFTER('Banco de Dados'!$F1509,"Order date:
",1),1,10),"-","/"))),0)),ProxyDD[Chave],ProxyDD[Valor por pedido]),PROXY!$P$2),0),0)</f>
        <v>0</v>
      </c>
      <c r="AP1509" s="28">
        <f ca="1">IF('Banco de Dados'!$AK1509&lt;&gt;"-",IF('Banco de Dados'!$AL1509="NÃO",IFERROR(VALUE(SUBSTITUTE(_xlfn.TEXTAFTER('Banco de Dados'!$F1509,"BRL ",1),".",",")),0),0),0)</f>
        <v>0</v>
      </c>
      <c r="AQ1509" s="28">
        <f ca="1">SUM('Banco de Dados'!$AM1509:$AP1509)</f>
        <v>0</v>
      </c>
      <c r="AR1509" s="8"/>
      <c r="AY1509" s="8"/>
    </row>
    <row r="1510" spans="1:51">
      <c r="A1510" s="5" t="str">
        <v>MEI</v>
      </c>
      <c r="B1510" s="5" t="str">
        <f ca="1"/>
        <v>MEI45762</v>
      </c>
      <c r="C1510" s="8" t="str">
        <v>Pedido 1497</v>
      </c>
      <c r="D1510" s="187">
        <v>45758</v>
      </c>
      <c r="E1510" s="9">
        <v>45762</v>
      </c>
      <c r="F1510" s="8" t="str">
        <v>PedidoF1433</v>
      </c>
      <c r="G1510" s="2" t="str">
        <v>CódRastreio1431</v>
      </c>
      <c r="H1510" s="5">
        <v>1</v>
      </c>
      <c r="I1510" s="2" t="str">
        <v>CPF 1457</v>
      </c>
      <c r="J1510" s="2" t="str">
        <v>Nome 1457</v>
      </c>
      <c r="K1510" s="8" t="str">
        <v>Tel 1457</v>
      </c>
      <c r="L1510" s="8" t="str">
        <v>Cep 1457</v>
      </c>
      <c r="M1510" s="8" t="str">
        <v>Rua 1457</v>
      </c>
      <c r="N1510" s="8" t="str">
        <v>Comp 1457</v>
      </c>
      <c r="O1510" s="8" t="str">
        <v>Lampada Led</v>
      </c>
      <c r="P1510" s="8" t="str">
        <v>T1-SWVB-UPOW</v>
      </c>
      <c r="Q1510" s="4">
        <v>45794</v>
      </c>
      <c r="R1510" s="109">
        <v>29.99</v>
      </c>
      <c r="S1510" s="11">
        <f ca="1"/>
        <v>29.99</v>
      </c>
      <c r="T1510" s="28">
        <f ca="1"/>
        <v>3.5987999999999998</v>
      </c>
      <c r="U1510" s="11">
        <f ca="1"/>
        <v>26.39</v>
      </c>
      <c r="V1510" s="11">
        <v>17.55</v>
      </c>
      <c r="W1510" s="11">
        <f ca="1"/>
        <v>0.2</v>
      </c>
      <c r="X1510" s="11">
        <f ca="1"/>
        <v>0.39877104377104378</v>
      </c>
      <c r="Y1510" s="11">
        <v>0</v>
      </c>
      <c r="Z1510" s="11">
        <f ca="1"/>
        <v>8.2412289562289551</v>
      </c>
      <c r="AA1510" s="11">
        <f ca="1"/>
        <v>4.1206144781144776</v>
      </c>
      <c r="AB1510" s="4">
        <f ca="1"/>
        <v>45801</v>
      </c>
      <c r="AC1510" s="4">
        <v>45801</v>
      </c>
      <c r="AD1510" s="9">
        <v>45807</v>
      </c>
      <c r="AE1510" s="9">
        <v>45810</v>
      </c>
      <c r="AF1510" s="4" t="str">
        <f t="shared" ca="1" si="98"/>
        <v>2025 05</v>
      </c>
      <c r="AG1510" s="8" t="str" cm="1">
        <f t="array" ref="AG1510">IFERROR(_xlfn.IFS('Banco de Dados'!#REF!="AG. COMPRA","Em processamento",'Banco de Dados'!#REF!="AG. RASTREIO","Em processamento",'Banco de Dados'!$AE1510&lt;&gt;"-","Faturado",'Banco de Dados'!$AD1510&lt;&gt;"-","Aguardando Pix",'Banco de Dados'!$AC1510&lt;&gt;"-","Pendente"),"Aguardando Liberação")</f>
        <v>Aguardando Liberação</v>
      </c>
      <c r="AH1510" s="5" t="str">
        <f>IF('Banco de Dados'!$F1510="-",_xlfn.CONCAT(PROPER(TEXT(AK1510,"aaaa"))," ",PROPER(TEXT(AK1510,"mm"))),_xlfn.CONCAT(PROPER(TEXT(E1510,"aaaa"))," ",PROPER(TEXT(E1510,"mm"))))</f>
        <v>2025 04</v>
      </c>
      <c r="AI1510" s="9" t="str">
        <f ca="1">IF('Banco de Dados'!$AK1510&lt;&gt;"-","REEMBOLSO",IFERROR(_xlfn.XLOOKUP(G1510,Follow[CODRASTREIO],Follow[STATUS]),"-"))</f>
        <v>ENTREGUE</v>
      </c>
      <c r="AJ1510" s="9">
        <f ca="1">IF('Banco de Dados'!$AI1510="ENTREGUE",_xlfn.XLOOKUP('Banco de Dados'!$G1510,Follow[CODRASTREIO],Follow[DATAATUALIZAÇÃO]),"-")</f>
        <v>45800</v>
      </c>
      <c r="AK1510" s="132" t="str">
        <f ca="1"/>
        <v>-</v>
      </c>
      <c r="AL1510" s="35"/>
      <c r="AM1510" s="109" cm="1">
        <f t="array" aca="1" ref="AM1510" ca="1">IF('Banco de Dados'!$AK1510&lt;&gt;"-",_xlfn.IFS('Banco de Dados'!$A1510="bv",IF('Banco de Dados'!$E1510&lt;45641,ROUND(SUM('Banco de Dados'!$R1510*_xlfn.XLOOKUP('Banco de Dados'!$P1510,Sku!B:B,Sku!#REF!)*20%),2),ROUND(SUM('Banco de Dados'!$R1510*_xlfn.XLOOKUP('Banco de Dados'!$P1510,Sku!B:B,Sku!H:H)*20%),2)),'Banco de Dados'!$A1510="GO",ROUND(SUM('Banco de Dados'!$R1510*_xlfn.XLOOKUP('Banco de Dados'!$P1510,Sku!C:C,Sku!H:H)*20%),2),'Banco de Dados'!$A1510="MEI",ROUND(SUM('Banco de Dados'!$R1510*_xlfn.XLOOKUP('Banco de Dados'!$P1510,Sku!D:D,Sku!H:H)*20%),2)),0)</f>
        <v>0</v>
      </c>
      <c r="AN1510" s="109">
        <f ca="1">IF('Banco de Dados'!$AK1510&lt;&gt;"-",IF('Banco de Dados'!$F1510&lt;&gt;"-",_xlfn.XLOOKUP(IFERROR(IFERROR(IFERROR(VALUE(SUBSTITUTE(MID(_xlfn.TEXTAFTER('Banco de Dados'!$F1510,"Data do Pedido:
",1),1,10),"-","/")),VALUE(SUBSTITUTE(MID(_xlfn.TEXTAFTER('Banco de Dados'!$F1510,"Order date:
",1),1,10),"-","/"))),VALUE(SUBSTITUTE(MID(_xlfn.TEXTAFTER('Banco de Dados'!$F1510,"Fecha de pedido:
",1),1,10),"-","/"))),"-"),SMS!A:A,SMS!K:K),0),0)</f>
        <v>0</v>
      </c>
      <c r="AO1510" s="109">
        <f ca="1">IF('Banco de Dados'!$AK1510&lt;&gt;"-",IF('Banco de Dados'!$F1510&lt;&gt;"-",IFERROR(_xlfn.XLOOKUP(_xlfn.CONCAT('Banco de Dados'!$A1510,IFERROR(IFERROR(VALUE(SUBSTITUTE(MID(_xlfn.TEXTAFTER('Banco de Dados'!$F1510,"Data do Pedido:
",1),1,10),"-","/")),VALUE(SUBSTITUTE(MID(_xlfn.TEXTAFTER('Banco de Dados'!$F1510,"Order date:
",1),1,10),"-","/"))),0)),ProxyDD[Chave],ProxyDD[Valor por pedido]),PROXY!$P$2),0),0)</f>
        <v>0</v>
      </c>
      <c r="AP1510" s="28">
        <f ca="1">IF('Banco de Dados'!$AK1510&lt;&gt;"-",IF('Banco de Dados'!$AL1510="NÃO",IFERROR(VALUE(SUBSTITUTE(_xlfn.TEXTAFTER('Banco de Dados'!$F1510,"BRL ",1),".",",")),0),0),0)</f>
        <v>0</v>
      </c>
      <c r="AQ1510" s="28">
        <f ca="1">SUM('Banco de Dados'!$AM1510:$AP1510)</f>
        <v>0</v>
      </c>
      <c r="AR1510" s="8"/>
      <c r="AY1510" s="8"/>
    </row>
    <row r="1511" spans="1:51">
      <c r="A1511" s="5" t="str">
        <v>MEI</v>
      </c>
      <c r="B1511" s="5" t="str">
        <f ca="1"/>
        <v>MEI45762</v>
      </c>
      <c r="C1511" s="8" t="str">
        <v>Pedido 1498</v>
      </c>
      <c r="D1511" s="187">
        <v>45758</v>
      </c>
      <c r="E1511" s="9">
        <v>45762</v>
      </c>
      <c r="F1511" s="8" t="str">
        <v>PedidoF1434</v>
      </c>
      <c r="G1511" s="2" t="str">
        <v>CódRastreio1432</v>
      </c>
      <c r="H1511" s="5">
        <v>1</v>
      </c>
      <c r="I1511" s="2" t="str">
        <v>CPF 1458</v>
      </c>
      <c r="J1511" s="2" t="str">
        <v>Nome 1458</v>
      </c>
      <c r="K1511" s="8" t="str">
        <v>Tel 1458</v>
      </c>
      <c r="L1511" s="8" t="str">
        <v>Cep 1458</v>
      </c>
      <c r="M1511" s="8" t="str">
        <v>Rua 1458</v>
      </c>
      <c r="N1511" s="8" t="str">
        <v>Comp 1458</v>
      </c>
      <c r="O1511" s="8" t="str">
        <v>Maçarico Culinário Portátil</v>
      </c>
      <c r="P1511" s="8" t="str">
        <v>BG-DHRO-FAEE</v>
      </c>
      <c r="Q1511" s="4">
        <v>45783</v>
      </c>
      <c r="R1511" s="109">
        <v>26.99</v>
      </c>
      <c r="S1511" s="11">
        <f ca="1"/>
        <v>26.99</v>
      </c>
      <c r="T1511" s="28">
        <f ca="1"/>
        <v>2.9688999999999997</v>
      </c>
      <c r="U1511" s="11">
        <f ca="1"/>
        <v>24.02</v>
      </c>
      <c r="V1511" s="11">
        <v>14.84</v>
      </c>
      <c r="W1511" s="11">
        <f ca="1"/>
        <v>0.2</v>
      </c>
      <c r="X1511" s="11">
        <f ca="1"/>
        <v>0.39877104377104378</v>
      </c>
      <c r="Y1511" s="11">
        <v>0</v>
      </c>
      <c r="Z1511" s="11">
        <f ca="1"/>
        <v>8.5812289562289568</v>
      </c>
      <c r="AA1511" s="11">
        <f ca="1"/>
        <v>4.2906144781144784</v>
      </c>
      <c r="AB1511" s="4">
        <f ca="1"/>
        <v>45790</v>
      </c>
      <c r="AC1511" s="4">
        <v>45790</v>
      </c>
      <c r="AD1511" s="9">
        <v>45793</v>
      </c>
      <c r="AE1511" s="9">
        <v>45797</v>
      </c>
      <c r="AF1511" s="4" t="str">
        <f t="shared" ca="1" si="98"/>
        <v>2025 05</v>
      </c>
      <c r="AG1511" s="8" t="str" cm="1">
        <f t="array" ref="AG1511">IFERROR(_xlfn.IFS('Banco de Dados'!#REF!="AG. COMPRA","Em processamento",'Banco de Dados'!#REF!="AG. RASTREIO","Em processamento",'Banco de Dados'!$AE1511&lt;&gt;"-","Faturado",'Banco de Dados'!$AD1511&lt;&gt;"-","Aguardando Pix",'Banco de Dados'!$AC1511&lt;&gt;"-","Pendente"),"Aguardando Liberação")</f>
        <v>Aguardando Liberação</v>
      </c>
      <c r="AH1511" s="5" t="str">
        <f>IF('Banco de Dados'!$F1511="-",_xlfn.CONCAT(PROPER(TEXT(AK1511,"aaaa"))," ",PROPER(TEXT(AK1511,"mm"))),_xlfn.CONCAT(PROPER(TEXT(E1511,"aaaa"))," ",PROPER(TEXT(E1511,"mm"))))</f>
        <v>2025 04</v>
      </c>
      <c r="AI1511" s="9" t="str">
        <f ca="1">IF('Banco de Dados'!$AK1511&lt;&gt;"-","REEMBOLSO",IFERROR(_xlfn.XLOOKUP(G1511,Follow[CODRASTREIO],Follow[STATUS]),"-"))</f>
        <v>ENTREGUE</v>
      </c>
      <c r="AJ1511" s="9">
        <f ca="1">IF('Banco de Dados'!$AI1511="ENTREGUE",_xlfn.XLOOKUP('Banco de Dados'!$G1511,Follow[CODRASTREIO],Follow[DATAATUALIZAÇÃO]),"-")</f>
        <v>45782</v>
      </c>
      <c r="AK1511" s="132" t="str">
        <f ca="1"/>
        <v>-</v>
      </c>
      <c r="AL1511" s="35"/>
      <c r="AM1511" s="109" cm="1">
        <f t="array" aca="1" ref="AM1511" ca="1">IF('Banco de Dados'!$AK1511&lt;&gt;"-",_xlfn.IFS('Banco de Dados'!$A1511="bv",IF('Banco de Dados'!$E1511&lt;45641,ROUND(SUM('Banco de Dados'!$R1511*_xlfn.XLOOKUP('Banco de Dados'!$P1511,Sku!B:B,Sku!#REF!)*20%),2),ROUND(SUM('Banco de Dados'!$R1511*_xlfn.XLOOKUP('Banco de Dados'!$P1511,Sku!B:B,Sku!H:H)*20%),2)),'Banco de Dados'!$A1511="GO",ROUND(SUM('Banco de Dados'!$R1511*_xlfn.XLOOKUP('Banco de Dados'!$P1511,Sku!C:C,Sku!H:H)*20%),2),'Banco de Dados'!$A1511="MEI",ROUND(SUM('Banco de Dados'!$R1511*_xlfn.XLOOKUP('Banco de Dados'!$P1511,Sku!D:D,Sku!H:H)*20%),2)),0)</f>
        <v>0</v>
      </c>
      <c r="AN1511" s="109">
        <f ca="1">IF('Banco de Dados'!$AK1511&lt;&gt;"-",IF('Banco de Dados'!$F1511&lt;&gt;"-",_xlfn.XLOOKUP(IFERROR(IFERROR(IFERROR(VALUE(SUBSTITUTE(MID(_xlfn.TEXTAFTER('Banco de Dados'!$F1511,"Data do Pedido:
",1),1,10),"-","/")),VALUE(SUBSTITUTE(MID(_xlfn.TEXTAFTER('Banco de Dados'!$F1511,"Order date:
",1),1,10),"-","/"))),VALUE(SUBSTITUTE(MID(_xlfn.TEXTAFTER('Banco de Dados'!$F1511,"Fecha de pedido:
",1),1,10),"-","/"))),"-"),SMS!A:A,SMS!K:K),0),0)</f>
        <v>0</v>
      </c>
      <c r="AO1511" s="109">
        <f ca="1">IF('Banco de Dados'!$AK1511&lt;&gt;"-",IF('Banco de Dados'!$F1511&lt;&gt;"-",IFERROR(_xlfn.XLOOKUP(_xlfn.CONCAT('Banco de Dados'!$A1511,IFERROR(IFERROR(VALUE(SUBSTITUTE(MID(_xlfn.TEXTAFTER('Banco de Dados'!$F1511,"Data do Pedido:
",1),1,10),"-","/")),VALUE(SUBSTITUTE(MID(_xlfn.TEXTAFTER('Banco de Dados'!$F1511,"Order date:
",1),1,10),"-","/"))),0)),ProxyDD[Chave],ProxyDD[Valor por pedido]),PROXY!$P$2),0),0)</f>
        <v>0</v>
      </c>
      <c r="AP1511" s="28">
        <f ca="1">IF('Banco de Dados'!$AK1511&lt;&gt;"-",IF('Banco de Dados'!$AL1511="NÃO",IFERROR(VALUE(SUBSTITUTE(_xlfn.TEXTAFTER('Banco de Dados'!$F1511,"BRL ",1),".",",")),0),0),0)</f>
        <v>0</v>
      </c>
      <c r="AQ1511" s="28">
        <f ca="1">SUM('Banco de Dados'!$AM1511:$AP1511)</f>
        <v>0</v>
      </c>
      <c r="AR1511" s="8"/>
      <c r="AY1511" s="8"/>
    </row>
    <row r="1512" spans="1:51">
      <c r="A1512" s="5" t="str">
        <v>MEI</v>
      </c>
      <c r="B1512" s="5" t="str">
        <f ca="1"/>
        <v>MEI45762</v>
      </c>
      <c r="C1512" s="8" t="str">
        <v>Pedido 1499</v>
      </c>
      <c r="D1512" s="187">
        <v>45758</v>
      </c>
      <c r="E1512" s="9">
        <v>45762</v>
      </c>
      <c r="F1512" s="8" t="str">
        <v>PedidoF1435</v>
      </c>
      <c r="G1512" s="2" t="str">
        <v>CódRastreio1433</v>
      </c>
      <c r="H1512" s="5">
        <v>1</v>
      </c>
      <c r="I1512" s="2" t="str">
        <v>CPF 789</v>
      </c>
      <c r="J1512" s="2" t="str">
        <v>Nome 789</v>
      </c>
      <c r="K1512" s="8" t="str">
        <v>Tel 789</v>
      </c>
      <c r="L1512" s="8" t="str">
        <v>Cep 789</v>
      </c>
      <c r="M1512" s="8" t="str">
        <v>Rua 789</v>
      </c>
      <c r="N1512" s="8" t="str">
        <v>Comp 789</v>
      </c>
      <c r="O1512" s="8" t="str">
        <v>Ventilador Azul</v>
      </c>
      <c r="P1512" s="8" t="str">
        <v>PK-L2Z7-MQRQ</v>
      </c>
      <c r="Q1512" s="4">
        <v>45787</v>
      </c>
      <c r="R1512" s="109">
        <v>49.9</v>
      </c>
      <c r="S1512" s="11">
        <f ca="1"/>
        <v>49.9</v>
      </c>
      <c r="T1512" s="28">
        <f ca="1"/>
        <v>5.9879999999999995</v>
      </c>
      <c r="U1512" s="11">
        <f ca="1"/>
        <v>43.91</v>
      </c>
      <c r="V1512" s="11">
        <v>22.31</v>
      </c>
      <c r="W1512" s="11">
        <f ca="1"/>
        <v>0.2</v>
      </c>
      <c r="X1512" s="11">
        <f ca="1"/>
        <v>0.39877104377104378</v>
      </c>
      <c r="Y1512" s="11">
        <v>0</v>
      </c>
      <c r="Z1512" s="11">
        <f ca="1"/>
        <v>21.001228956228953</v>
      </c>
      <c r="AA1512" s="11">
        <f ca="1"/>
        <v>10.500614478114477</v>
      </c>
      <c r="AB1512" s="4">
        <f ca="1"/>
        <v>45794</v>
      </c>
      <c r="AC1512" s="4">
        <v>45794</v>
      </c>
      <c r="AD1512" s="9">
        <v>45807</v>
      </c>
      <c r="AE1512" s="9">
        <v>45810</v>
      </c>
      <c r="AF1512" s="4" t="str">
        <f t="shared" ca="1" si="98"/>
        <v>2025 05</v>
      </c>
      <c r="AG1512" s="8" t="str" cm="1">
        <f t="array" ref="AG1512">IFERROR(_xlfn.IFS('Banco de Dados'!#REF!="AG. COMPRA","Em processamento",'Banco de Dados'!#REF!="AG. RASTREIO","Em processamento",'Banco de Dados'!$AE1512&lt;&gt;"-","Faturado",'Banco de Dados'!$AD1512&lt;&gt;"-","Aguardando Pix",'Banco de Dados'!$AC1512&lt;&gt;"-","Pendente"),"Aguardando Liberação")</f>
        <v>Aguardando Liberação</v>
      </c>
      <c r="AH1512" s="5" t="str">
        <f>IF('Banco de Dados'!$F1512="-",_xlfn.CONCAT(PROPER(TEXT(AK1512,"aaaa"))," ",PROPER(TEXT(AK1512,"mm"))),_xlfn.CONCAT(PROPER(TEXT(E1512,"aaaa"))," ",PROPER(TEXT(E1512,"mm"))))</f>
        <v>2025 04</v>
      </c>
      <c r="AI1512" s="9" t="str">
        <f ca="1">IF('Banco de Dados'!$AK1512&lt;&gt;"-","REEMBOLSO",IFERROR(_xlfn.XLOOKUP(G1512,Follow[CODRASTREIO],Follow[STATUS]),"-"))</f>
        <v>ENTREGUE</v>
      </c>
      <c r="AJ1512" s="9">
        <f ca="1">IF('Banco de Dados'!$AI1512="ENTREGUE",_xlfn.XLOOKUP('Banco de Dados'!$G1512,Follow[CODRASTREIO],Follow[DATAATUALIZAÇÃO]),"-")</f>
        <v>45779</v>
      </c>
      <c r="AK1512" s="132" t="str">
        <f ca="1"/>
        <v>-</v>
      </c>
      <c r="AL1512" s="35"/>
      <c r="AM1512" s="109" cm="1">
        <f t="array" aca="1" ref="AM1512" ca="1">IF('Banco de Dados'!$AK1512&lt;&gt;"-",_xlfn.IFS('Banco de Dados'!$A1512="bv",IF('Banco de Dados'!$E1512&lt;45641,ROUND(SUM('Banco de Dados'!$R1512*_xlfn.XLOOKUP('Banco de Dados'!$P1512,Sku!B:B,Sku!#REF!)*20%),2),ROUND(SUM('Banco de Dados'!$R1512*_xlfn.XLOOKUP('Banco de Dados'!$P1512,Sku!B:B,Sku!H:H)*20%),2)),'Banco de Dados'!$A1512="GO",ROUND(SUM('Banco de Dados'!$R1512*_xlfn.XLOOKUP('Banco de Dados'!$P1512,Sku!C:C,Sku!H:H)*20%),2),'Banco de Dados'!$A1512="MEI",ROUND(SUM('Banco de Dados'!$R1512*_xlfn.XLOOKUP('Banco de Dados'!$P1512,Sku!D:D,Sku!H:H)*20%),2)),0)</f>
        <v>0</v>
      </c>
      <c r="AN1512" s="109">
        <f ca="1">IF('Banco de Dados'!$AK1512&lt;&gt;"-",IF('Banco de Dados'!$F1512&lt;&gt;"-",_xlfn.XLOOKUP(IFERROR(IFERROR(IFERROR(VALUE(SUBSTITUTE(MID(_xlfn.TEXTAFTER('Banco de Dados'!$F1512,"Data do Pedido:
",1),1,10),"-","/")),VALUE(SUBSTITUTE(MID(_xlfn.TEXTAFTER('Banco de Dados'!$F1512,"Order date:
",1),1,10),"-","/"))),VALUE(SUBSTITUTE(MID(_xlfn.TEXTAFTER('Banco de Dados'!$F1512,"Fecha de pedido:
",1),1,10),"-","/"))),"-"),SMS!A:A,SMS!K:K),0),0)</f>
        <v>0</v>
      </c>
      <c r="AO1512" s="109">
        <f ca="1">IF('Banco de Dados'!$AK1512&lt;&gt;"-",IF('Banco de Dados'!$F1512&lt;&gt;"-",IFERROR(_xlfn.XLOOKUP(_xlfn.CONCAT('Banco de Dados'!$A1512,IFERROR(IFERROR(VALUE(SUBSTITUTE(MID(_xlfn.TEXTAFTER('Banco de Dados'!$F1512,"Data do Pedido:
",1),1,10),"-","/")),VALUE(SUBSTITUTE(MID(_xlfn.TEXTAFTER('Banco de Dados'!$F1512,"Order date:
",1),1,10),"-","/"))),0)),ProxyDD[Chave],ProxyDD[Valor por pedido]),PROXY!$P$2),0),0)</f>
        <v>0</v>
      </c>
      <c r="AP1512" s="28">
        <f ca="1">IF('Banco de Dados'!$AK1512&lt;&gt;"-",IF('Banco de Dados'!$AL1512="NÃO",IFERROR(VALUE(SUBSTITUTE(_xlfn.TEXTAFTER('Banco de Dados'!$F1512,"BRL ",1),".",",")),0),0),0)</f>
        <v>0</v>
      </c>
      <c r="AQ1512" s="28">
        <f ca="1">SUM('Banco de Dados'!$AM1512:$AP1512)</f>
        <v>0</v>
      </c>
      <c r="AR1512" s="8"/>
      <c r="AY1512" s="8"/>
    </row>
    <row r="1513" spans="1:51">
      <c r="A1513" s="5" t="str">
        <v>MEI</v>
      </c>
      <c r="B1513" s="5" t="str">
        <f ca="1"/>
        <v>MEI45763</v>
      </c>
      <c r="C1513" s="8" t="str">
        <v>Pedido 1500</v>
      </c>
      <c r="D1513" s="187">
        <v>45758</v>
      </c>
      <c r="E1513" s="9">
        <v>45763</v>
      </c>
      <c r="F1513" s="8" t="str">
        <v>PedidoF1436</v>
      </c>
      <c r="G1513" s="2" t="str">
        <v>CódRastreio1434</v>
      </c>
      <c r="H1513" s="5">
        <v>1</v>
      </c>
      <c r="I1513" s="2" t="str">
        <v>CPF 1459</v>
      </c>
      <c r="J1513" s="2" t="str">
        <v>Nome 1459</v>
      </c>
      <c r="K1513" s="8" t="str">
        <v>Tel 1459</v>
      </c>
      <c r="L1513" s="8" t="str">
        <v>Cep 1459</v>
      </c>
      <c r="M1513" s="8" t="str">
        <v>Rua 1459</v>
      </c>
      <c r="N1513" s="8" t="str">
        <v>Comp 1459</v>
      </c>
      <c r="O1513" s="8" t="str">
        <v>Máquina de cortar cabelo dragão</v>
      </c>
      <c r="P1513" s="8" t="str">
        <v>RX-DD1P-P5U2</v>
      </c>
      <c r="Q1513" s="4">
        <v>45790</v>
      </c>
      <c r="R1513" s="109">
        <v>26.99</v>
      </c>
      <c r="S1513" s="11">
        <f ca="1"/>
        <v>26.99</v>
      </c>
      <c r="T1513" s="28">
        <f ca="1"/>
        <v>3.2387999999999999</v>
      </c>
      <c r="U1513" s="11">
        <f ca="1"/>
        <v>23.75</v>
      </c>
      <c r="V1513" s="11">
        <v>22.92</v>
      </c>
      <c r="W1513" s="11">
        <f ca="1"/>
        <v>0.25</v>
      </c>
      <c r="X1513" s="11">
        <f ca="1"/>
        <v>0.39877104377104378</v>
      </c>
      <c r="Y1513" s="11">
        <v>0</v>
      </c>
      <c r="Z1513" s="11">
        <f ca="1"/>
        <v>0.18122895622895285</v>
      </c>
      <c r="AA1513" s="11">
        <f ca="1"/>
        <v>9.0614478114476427E-2</v>
      </c>
      <c r="AB1513" s="4">
        <f ca="1"/>
        <v>45797</v>
      </c>
      <c r="AC1513" s="4">
        <v>45797</v>
      </c>
      <c r="AD1513" s="9">
        <v>45807</v>
      </c>
      <c r="AE1513" s="9">
        <v>45810</v>
      </c>
      <c r="AF1513" s="4" t="str">
        <f t="shared" ca="1" si="98"/>
        <v>2025 05</v>
      </c>
      <c r="AG1513" s="8" t="str" cm="1">
        <f t="array" ref="AG1513">IFERROR(_xlfn.IFS('Banco de Dados'!#REF!="AG. COMPRA","Em processamento",'Banco de Dados'!#REF!="AG. RASTREIO","Em processamento",'Banco de Dados'!$AE1513&lt;&gt;"-","Faturado",'Banco de Dados'!$AD1513&lt;&gt;"-","Aguardando Pix",'Banco de Dados'!$AC1513&lt;&gt;"-","Pendente"),"Aguardando Liberação")</f>
        <v>Aguardando Liberação</v>
      </c>
      <c r="AH1513" s="5" t="str">
        <f>IF('Banco de Dados'!$F1513="-",_xlfn.CONCAT(PROPER(TEXT(AK1513,"aaaa"))," ",PROPER(TEXT(AK1513,"mm"))),_xlfn.CONCAT(PROPER(TEXT(E1513,"aaaa"))," ",PROPER(TEXT(E1513,"mm"))))</f>
        <v>2025 04</v>
      </c>
      <c r="AI1513" s="9" t="str">
        <f ca="1">IF('Banco de Dados'!$AK1513&lt;&gt;"-","REEMBOLSO",IFERROR(_xlfn.XLOOKUP(G1513,Follow[CODRASTREIO],Follow[STATUS]),"-"))</f>
        <v>ENTREGUE</v>
      </c>
      <c r="AJ1513" s="9">
        <f ca="1">IF('Banco de Dados'!$AI1513="ENTREGUE",_xlfn.XLOOKUP('Banco de Dados'!$G1513,Follow[CODRASTREIO],Follow[DATAATUALIZAÇÃO]),"-")</f>
        <v>45807</v>
      </c>
      <c r="AK1513" s="132" t="str">
        <f ca="1"/>
        <v>-</v>
      </c>
      <c r="AL1513" s="35"/>
      <c r="AM1513" s="109" cm="1">
        <f t="array" aca="1" ref="AM1513" ca="1">IF('Banco de Dados'!$AK1513&lt;&gt;"-",_xlfn.IFS('Banco de Dados'!$A1513="bv",IF('Banco de Dados'!$E1513&lt;45641,ROUND(SUM('Banco de Dados'!$R1513*_xlfn.XLOOKUP('Banco de Dados'!$P1513,Sku!B:B,Sku!#REF!)*20%),2),ROUND(SUM('Banco de Dados'!$R1513*_xlfn.XLOOKUP('Banco de Dados'!$P1513,Sku!B:B,Sku!H:H)*20%),2)),'Banco de Dados'!$A1513="GO",ROUND(SUM('Banco de Dados'!$R1513*_xlfn.XLOOKUP('Banco de Dados'!$P1513,Sku!C:C,Sku!H:H)*20%),2),'Banco de Dados'!$A1513="MEI",ROUND(SUM('Banco de Dados'!$R1513*_xlfn.XLOOKUP('Banco de Dados'!$P1513,Sku!D:D,Sku!H:H)*20%),2)),0)</f>
        <v>0</v>
      </c>
      <c r="AN1513" s="109">
        <f ca="1">IF('Banco de Dados'!$AK1513&lt;&gt;"-",IF('Banco de Dados'!$F1513&lt;&gt;"-",_xlfn.XLOOKUP(IFERROR(IFERROR(IFERROR(VALUE(SUBSTITUTE(MID(_xlfn.TEXTAFTER('Banco de Dados'!$F1513,"Data do Pedido:
",1),1,10),"-","/")),VALUE(SUBSTITUTE(MID(_xlfn.TEXTAFTER('Banco de Dados'!$F1513,"Order date:
",1),1,10),"-","/"))),VALUE(SUBSTITUTE(MID(_xlfn.TEXTAFTER('Banco de Dados'!$F1513,"Fecha de pedido:
",1),1,10),"-","/"))),"-"),SMS!A:A,SMS!K:K),0),0)</f>
        <v>0</v>
      </c>
      <c r="AO1513" s="109">
        <f ca="1">IF('Banco de Dados'!$AK1513&lt;&gt;"-",IF('Banco de Dados'!$F1513&lt;&gt;"-",IFERROR(_xlfn.XLOOKUP(_xlfn.CONCAT('Banco de Dados'!$A1513,IFERROR(IFERROR(VALUE(SUBSTITUTE(MID(_xlfn.TEXTAFTER('Banco de Dados'!$F1513,"Data do Pedido:
",1),1,10),"-","/")),VALUE(SUBSTITUTE(MID(_xlfn.TEXTAFTER('Banco de Dados'!$F1513,"Order date:
",1),1,10),"-","/"))),0)),ProxyDD[Chave],ProxyDD[Valor por pedido]),PROXY!$P$2),0),0)</f>
        <v>0</v>
      </c>
      <c r="AP1513" s="28">
        <f ca="1">IF('Banco de Dados'!$AK1513&lt;&gt;"-",IF('Banco de Dados'!$AL1513="NÃO",IFERROR(VALUE(SUBSTITUTE(_xlfn.TEXTAFTER('Banco de Dados'!$F1513,"BRL ",1),".",",")),0),0),0)</f>
        <v>0</v>
      </c>
      <c r="AQ1513" s="28">
        <f ca="1">SUM('Banco de Dados'!$AM1513:$AP1513)</f>
        <v>0</v>
      </c>
      <c r="AR1513" s="8"/>
      <c r="AY1513" s="8"/>
    </row>
    <row r="1514" spans="1:51">
      <c r="A1514" s="5" t="str">
        <v>MEI</v>
      </c>
      <c r="B1514" s="5" t="str">
        <f ca="1"/>
        <v>MEI45763</v>
      </c>
      <c r="C1514" s="8" t="str">
        <v>Pedido 1501</v>
      </c>
      <c r="D1514" s="187">
        <v>45758</v>
      </c>
      <c r="E1514" s="9">
        <v>45763</v>
      </c>
      <c r="F1514" s="8" t="str">
        <v>PedidoF1437</v>
      </c>
      <c r="G1514" s="2" t="str">
        <v>CódRastreio1435</v>
      </c>
      <c r="H1514" s="5">
        <v>1</v>
      </c>
      <c r="I1514" s="2" t="str">
        <v>CPF 1460</v>
      </c>
      <c r="J1514" s="2" t="str">
        <v>Nome 1460</v>
      </c>
      <c r="K1514" s="8" t="str">
        <v>Tel 1460</v>
      </c>
      <c r="L1514" s="8" t="str">
        <v>Cep 1460</v>
      </c>
      <c r="M1514" s="8" t="str">
        <v>Rua 1460</v>
      </c>
      <c r="N1514" s="8" t="str">
        <v>Comp 1460</v>
      </c>
      <c r="O1514" s="8" t="str">
        <v>Máquina de cortar cabelo dragão</v>
      </c>
      <c r="P1514" s="8" t="str">
        <v>RX-DD1P-P5U2</v>
      </c>
      <c r="Q1514" s="4">
        <v>45790</v>
      </c>
      <c r="R1514" s="109">
        <v>26.99</v>
      </c>
      <c r="S1514" s="11">
        <f ca="1"/>
        <v>0</v>
      </c>
      <c r="T1514" s="28">
        <f ca="1"/>
        <v>0</v>
      </c>
      <c r="U1514" s="11">
        <f ca="1"/>
        <v>0</v>
      </c>
      <c r="V1514" s="11">
        <v>0</v>
      </c>
      <c r="W1514" s="11">
        <f ca="1"/>
        <v>0</v>
      </c>
      <c r="X1514" s="11">
        <f ca="1"/>
        <v>0.39877104377104378</v>
      </c>
      <c r="Y1514" s="11">
        <v>0</v>
      </c>
      <c r="Z1514" s="11">
        <f ca="1"/>
        <v>-0.39877104377104378</v>
      </c>
      <c r="AA1514" s="11">
        <f ca="1"/>
        <v>-0.19938552188552189</v>
      </c>
      <c r="AB1514" s="4">
        <f ca="1"/>
        <v>45797</v>
      </c>
      <c r="AC1514" s="4">
        <v>45797</v>
      </c>
      <c r="AD1514" s="9">
        <v>45807</v>
      </c>
      <c r="AE1514" s="9">
        <v>45810</v>
      </c>
      <c r="AF1514" s="4" t="str">
        <f t="shared" ca="1" si="98"/>
        <v>2025 05</v>
      </c>
      <c r="AG1514" s="8" t="str" cm="1">
        <f t="array" ref="AG1514">IFERROR(_xlfn.IFS('Banco de Dados'!#REF!="AG. COMPRA","Em processamento",'Banco de Dados'!#REF!="AG. RASTREIO","Em processamento",'Banco de Dados'!$AE1514&lt;&gt;"-","Faturado",'Banco de Dados'!$AD1514&lt;&gt;"-","Aguardando Pix",'Banco de Dados'!$AC1514&lt;&gt;"-","Pendente"),"Aguardando Liberação")</f>
        <v>Aguardando Liberação</v>
      </c>
      <c r="AH1514" s="5" t="str">
        <f>IF('Banco de Dados'!$F1514="-",_xlfn.CONCAT(PROPER(TEXT(AK1514,"aaaa"))," ",PROPER(TEXT(AK1514,"mm"))),_xlfn.CONCAT(PROPER(TEXT(E1514,"aaaa"))," ",PROPER(TEXT(E1514,"mm"))))</f>
        <v>2025 04</v>
      </c>
      <c r="AI1514" s="9" t="str">
        <f ca="1">IF('Banco de Dados'!$AK1514&lt;&gt;"-","REEMBOLSO",IFERROR(_xlfn.XLOOKUP(G1514,Follow[CODRASTREIO],Follow[STATUS]),"-"))</f>
        <v>REEMBOLSO</v>
      </c>
      <c r="AJ1514" s="9" t="str">
        <f ca="1">IF('Banco de Dados'!$AI1514="ENTREGUE",_xlfn.XLOOKUP('Banco de Dados'!$G1514,Follow[CODRASTREIO],Follow[DATAATUALIZAÇÃO]),"-")</f>
        <v>-</v>
      </c>
      <c r="AK1514" s="132">
        <f ca="1"/>
        <v>45785</v>
      </c>
      <c r="AL1514" s="35"/>
      <c r="AM1514" s="109" cm="1">
        <f t="array" aca="1" ref="AM1514" ca="1">IF('Banco de Dados'!$AK1514&lt;&gt;"-",_xlfn.IFS('Banco de Dados'!$A1514="bv",IF('Banco de Dados'!$E1514&lt;45641,ROUND(SUM('Banco de Dados'!$R1514*_xlfn.XLOOKUP('Banco de Dados'!$P1514,Sku!B:B,Sku!#REF!)*20%),2),ROUND(SUM('Banco de Dados'!$R1514*_xlfn.XLOOKUP('Banco de Dados'!$P1514,Sku!B:B,Sku!H:H)*20%),2)),'Banco de Dados'!$A1514="GO",ROUND(SUM('Banco de Dados'!$R1514*_xlfn.XLOOKUP('Banco de Dados'!$P1514,Sku!C:C,Sku!H:H)*20%),2),'Banco de Dados'!$A1514="MEI",ROUND(SUM('Banco de Dados'!$R1514*_xlfn.XLOOKUP('Banco de Dados'!$P1514,Sku!D:D,Sku!H:H)*20%),2)),0)</f>
        <v>0.65</v>
      </c>
      <c r="AN1514" s="109" t="e">
        <f ca="1">IF('Banco de Dados'!$AK1514&lt;&gt;"-",IF('Banco de Dados'!$F1514&lt;&gt;"-",_xlfn.XLOOKUP(IFERROR(IFERROR(IFERROR(VALUE(SUBSTITUTE(MID(_xlfn.TEXTAFTER('Banco de Dados'!$F1514,"Data do Pedido:
",1),1,10),"-","/")),VALUE(SUBSTITUTE(MID(_xlfn.TEXTAFTER('Banco de Dados'!$F1514,"Order date:
",1),1,10),"-","/"))),VALUE(SUBSTITUTE(MID(_xlfn.TEXTAFTER('Banco de Dados'!$F1514,"Fecha de pedido:
",1),1,10),"-","/"))),"-"),SMS!A:A,SMS!K:K),0),0)</f>
        <v>#N/A</v>
      </c>
      <c r="AO1514" s="109">
        <f ca="1">IF('Banco de Dados'!$AK1514&lt;&gt;"-",IF('Banco de Dados'!$F1514&lt;&gt;"-",IFERROR(_xlfn.XLOOKUP(_xlfn.CONCAT('Banco de Dados'!$A1514,IFERROR(IFERROR(VALUE(SUBSTITUTE(MID(_xlfn.TEXTAFTER('Banco de Dados'!$F1514,"Data do Pedido:
",1),1,10),"-","/")),VALUE(SUBSTITUTE(MID(_xlfn.TEXTAFTER('Banco de Dados'!$F1514,"Order date:
",1),1,10),"-","/"))),0)),ProxyDD[Chave],ProxyDD[Valor por pedido]),PROXY!$P$2),0),0)</f>
        <v>0.39877104377104378</v>
      </c>
      <c r="AP1514" s="28">
        <f ca="1">IF('Banco de Dados'!$AK1514&lt;&gt;"-",IF('Banco de Dados'!$AL1514="NÃO",IFERROR(VALUE(SUBSTITUTE(_xlfn.TEXTAFTER('Banco de Dados'!$F1514,"BRL ",1),".",",")),0),0),0)</f>
        <v>0</v>
      </c>
      <c r="AQ1514" s="28" t="e">
        <f ca="1">SUM('Banco de Dados'!$AM1514:$AP1514)</f>
        <v>#N/A</v>
      </c>
      <c r="AR1514" s="8"/>
      <c r="AY1514" s="8"/>
    </row>
    <row r="1515" spans="1:51">
      <c r="A1515" s="5" t="str">
        <v>MEI</v>
      </c>
      <c r="B1515" s="5" t="str">
        <f ca="1"/>
        <v>MEI45763</v>
      </c>
      <c r="C1515" s="8" t="str">
        <v>Pedido 1502</v>
      </c>
      <c r="D1515" s="187">
        <v>45758</v>
      </c>
      <c r="E1515" s="9">
        <v>45763</v>
      </c>
      <c r="F1515" s="8" t="str">
        <v>PedidoF1438</v>
      </c>
      <c r="G1515" s="2" t="str">
        <v>CódRastreio1436</v>
      </c>
      <c r="H1515" s="5">
        <v>1</v>
      </c>
      <c r="I1515" s="2" t="str">
        <v>CPF 1461</v>
      </c>
      <c r="J1515" s="2" t="str">
        <v>Nome 1461</v>
      </c>
      <c r="K1515" s="8" t="str">
        <v>Tel 1461</v>
      </c>
      <c r="L1515" s="8" t="str">
        <v>Cep 1461</v>
      </c>
      <c r="M1515" s="8" t="str">
        <v>Rua 1461</v>
      </c>
      <c r="N1515" s="8" t="str">
        <v>Comp 1461</v>
      </c>
      <c r="O1515" s="8" t="str">
        <v>Caixinha de som Preta</v>
      </c>
      <c r="P1515" s="8" t="str">
        <v>K9-7YJH-TT9R</v>
      </c>
      <c r="Q1515" s="4">
        <v>45784</v>
      </c>
      <c r="R1515" s="109">
        <v>25.88</v>
      </c>
      <c r="S1515" s="11">
        <f ca="1"/>
        <v>25.88</v>
      </c>
      <c r="T1515" s="28">
        <f ca="1"/>
        <v>3.8819999999999997</v>
      </c>
      <c r="U1515" s="11">
        <f ca="1"/>
        <v>22</v>
      </c>
      <c r="V1515" s="11">
        <v>22.58</v>
      </c>
      <c r="W1515" s="11">
        <f ca="1"/>
        <v>0.25</v>
      </c>
      <c r="X1515" s="11">
        <f ca="1"/>
        <v>0.39877104377104378</v>
      </c>
      <c r="Y1515" s="11">
        <v>0</v>
      </c>
      <c r="Z1515" s="11">
        <f ca="1"/>
        <v>-1.2287710437710437</v>
      </c>
      <c r="AA1515" s="11">
        <f ca="1"/>
        <v>-0.61438552188552187</v>
      </c>
      <c r="AB1515" s="4">
        <f ca="1"/>
        <v>45791</v>
      </c>
      <c r="AC1515" s="4">
        <v>45791</v>
      </c>
      <c r="AD1515" s="9">
        <v>45793</v>
      </c>
      <c r="AE1515" s="9">
        <v>45797</v>
      </c>
      <c r="AF1515" s="4" t="str">
        <f t="shared" ca="1" si="98"/>
        <v>2025 05</v>
      </c>
      <c r="AG1515" s="8" t="str" cm="1">
        <f t="array" ref="AG1515">IFERROR(_xlfn.IFS('Banco de Dados'!#REF!="AG. COMPRA","Em processamento",'Banco de Dados'!#REF!="AG. RASTREIO","Em processamento",'Banco de Dados'!$AE1515&lt;&gt;"-","Faturado",'Banco de Dados'!$AD1515&lt;&gt;"-","Aguardando Pix",'Banco de Dados'!$AC1515&lt;&gt;"-","Pendente"),"Aguardando Liberação")</f>
        <v>Aguardando Liberação</v>
      </c>
      <c r="AH1515" s="5" t="str">
        <f>IF('Banco de Dados'!$F1515="-",_xlfn.CONCAT(PROPER(TEXT(AK1515,"aaaa"))," ",PROPER(TEXT(AK1515,"mm"))),_xlfn.CONCAT(PROPER(TEXT(E1515,"aaaa"))," ",PROPER(TEXT(E1515,"mm"))))</f>
        <v>2025 04</v>
      </c>
      <c r="AI1515" s="9" t="str">
        <f ca="1">IF('Banco de Dados'!$AK1515&lt;&gt;"-","REEMBOLSO",IFERROR(_xlfn.XLOOKUP(G1515,Follow[CODRASTREIO],Follow[STATUS]),"-"))</f>
        <v>ENTREGUE</v>
      </c>
      <c r="AJ1515" s="9">
        <f ca="1">IF('Banco de Dados'!$AI1515="ENTREGUE",_xlfn.XLOOKUP('Banco de Dados'!$G1515,Follow[CODRASTREIO],Follow[DATAATUALIZAÇÃO]),"-")</f>
        <v>45775</v>
      </c>
      <c r="AK1515" s="132" t="str">
        <f ca="1"/>
        <v>-</v>
      </c>
      <c r="AL1515" s="35"/>
      <c r="AM1515" s="109" cm="1">
        <f t="array" aca="1" ref="AM1515" ca="1">IF('Banco de Dados'!$AK1515&lt;&gt;"-",_xlfn.IFS('Banco de Dados'!$A1515="bv",IF('Banco de Dados'!$E1515&lt;45641,ROUND(SUM('Banco de Dados'!$R1515*_xlfn.XLOOKUP('Banco de Dados'!$P1515,Sku!B:B,Sku!#REF!)*20%),2),ROUND(SUM('Banco de Dados'!$R1515*_xlfn.XLOOKUP('Banco de Dados'!$P1515,Sku!B:B,Sku!H:H)*20%),2)),'Banco de Dados'!$A1515="GO",ROUND(SUM('Banco de Dados'!$R1515*_xlfn.XLOOKUP('Banco de Dados'!$P1515,Sku!C:C,Sku!H:H)*20%),2),'Banco de Dados'!$A1515="MEI",ROUND(SUM('Banco de Dados'!$R1515*_xlfn.XLOOKUP('Banco de Dados'!$P1515,Sku!D:D,Sku!H:H)*20%),2)),0)</f>
        <v>0</v>
      </c>
      <c r="AN1515" s="109">
        <f ca="1">IF('Banco de Dados'!$AK1515&lt;&gt;"-",IF('Banco de Dados'!$F1515&lt;&gt;"-",_xlfn.XLOOKUP(IFERROR(IFERROR(IFERROR(VALUE(SUBSTITUTE(MID(_xlfn.TEXTAFTER('Banco de Dados'!$F1515,"Data do Pedido:
",1),1,10),"-","/")),VALUE(SUBSTITUTE(MID(_xlfn.TEXTAFTER('Banco de Dados'!$F1515,"Order date:
",1),1,10),"-","/"))),VALUE(SUBSTITUTE(MID(_xlfn.TEXTAFTER('Banco de Dados'!$F1515,"Fecha de pedido:
",1),1,10),"-","/"))),"-"),SMS!A:A,SMS!K:K),0),0)</f>
        <v>0</v>
      </c>
      <c r="AO1515" s="109">
        <f ca="1">IF('Banco de Dados'!$AK1515&lt;&gt;"-",IF('Banco de Dados'!$F1515&lt;&gt;"-",IFERROR(_xlfn.XLOOKUP(_xlfn.CONCAT('Banco de Dados'!$A1515,IFERROR(IFERROR(VALUE(SUBSTITUTE(MID(_xlfn.TEXTAFTER('Banco de Dados'!$F1515,"Data do Pedido:
",1),1,10),"-","/")),VALUE(SUBSTITUTE(MID(_xlfn.TEXTAFTER('Banco de Dados'!$F1515,"Order date:
",1),1,10),"-","/"))),0)),ProxyDD[Chave],ProxyDD[Valor por pedido]),PROXY!$P$2),0),0)</f>
        <v>0</v>
      </c>
      <c r="AP1515" s="28">
        <f ca="1">IF('Banco de Dados'!$AK1515&lt;&gt;"-",IF('Banco de Dados'!$AL1515="NÃO",IFERROR(VALUE(SUBSTITUTE(_xlfn.TEXTAFTER('Banco de Dados'!$F1515,"BRL ",1),".",",")),0),0),0)</f>
        <v>0</v>
      </c>
      <c r="AQ1515" s="28">
        <f ca="1">SUM('Banco de Dados'!$AM1515:$AP1515)</f>
        <v>0</v>
      </c>
      <c r="AR1515" s="8"/>
      <c r="AY1515" s="8"/>
    </row>
    <row r="1516" spans="1:51">
      <c r="A1516" s="5" t="str">
        <v>MEI</v>
      </c>
      <c r="B1516" s="5" t="str">
        <f ca="1"/>
        <v>MEI45763</v>
      </c>
      <c r="C1516" s="8" t="str">
        <v>Pedido 1503</v>
      </c>
      <c r="D1516" s="187">
        <v>45758</v>
      </c>
      <c r="E1516" s="9">
        <v>45763</v>
      </c>
      <c r="F1516" s="8" t="str">
        <v>PedidoF1439</v>
      </c>
      <c r="G1516" s="2" t="str">
        <v>CódRastreio1437</v>
      </c>
      <c r="H1516" s="5">
        <v>1</v>
      </c>
      <c r="I1516" s="2" t="str">
        <v>CPF 1462</v>
      </c>
      <c r="J1516" s="2" t="str">
        <v>Nome 1462</v>
      </c>
      <c r="K1516" s="8" t="str">
        <v>Tel 1462</v>
      </c>
      <c r="L1516" s="8" t="str">
        <v>Cep 1462</v>
      </c>
      <c r="M1516" s="8" t="str">
        <v>Rua 1462</v>
      </c>
      <c r="N1516" s="8" t="str">
        <v>Comp 1462</v>
      </c>
      <c r="O1516" s="8" t="str">
        <v>Máquina de cortar cabelo dragão</v>
      </c>
      <c r="P1516" s="8" t="str">
        <v>RX-DD1P-P5U2</v>
      </c>
      <c r="Q1516" s="4">
        <v>45790</v>
      </c>
      <c r="R1516" s="109">
        <v>26.99</v>
      </c>
      <c r="S1516" s="11">
        <f ca="1"/>
        <v>26.99</v>
      </c>
      <c r="T1516" s="28">
        <f ca="1"/>
        <v>3.2387999999999999</v>
      </c>
      <c r="U1516" s="11">
        <f ca="1"/>
        <v>23.75</v>
      </c>
      <c r="V1516" s="11">
        <v>10.16</v>
      </c>
      <c r="W1516" s="11">
        <f ca="1"/>
        <v>0.25</v>
      </c>
      <c r="X1516" s="11">
        <f ca="1"/>
        <v>0.39877104377104378</v>
      </c>
      <c r="Y1516" s="11">
        <v>0</v>
      </c>
      <c r="Z1516" s="11">
        <f ca="1"/>
        <v>12.941228956228956</v>
      </c>
      <c r="AA1516" s="11">
        <f ca="1"/>
        <v>6.4706144781144781</v>
      </c>
      <c r="AB1516" s="4">
        <f ca="1"/>
        <v>45797</v>
      </c>
      <c r="AC1516" s="4">
        <v>45797</v>
      </c>
      <c r="AD1516" s="9">
        <v>45807</v>
      </c>
      <c r="AE1516" s="9">
        <v>45810</v>
      </c>
      <c r="AF1516" s="4" t="str">
        <f t="shared" ca="1" si="98"/>
        <v>2025 05</v>
      </c>
      <c r="AG1516" s="8" t="str" cm="1">
        <f t="array" ref="AG1516">IFERROR(_xlfn.IFS('Banco de Dados'!#REF!="AG. COMPRA","Em processamento",'Banco de Dados'!#REF!="AG. RASTREIO","Em processamento",'Banco de Dados'!$AE1516&lt;&gt;"-","Faturado",'Banco de Dados'!$AD1516&lt;&gt;"-","Aguardando Pix",'Banco de Dados'!$AC1516&lt;&gt;"-","Pendente"),"Aguardando Liberação")</f>
        <v>Aguardando Liberação</v>
      </c>
      <c r="AH1516" s="5" t="str">
        <f>IF('Banco de Dados'!$F1516="-",_xlfn.CONCAT(PROPER(TEXT(AK1516,"aaaa"))," ",PROPER(TEXT(AK1516,"mm"))),_xlfn.CONCAT(PROPER(TEXT(E1516,"aaaa"))," ",PROPER(TEXT(E1516,"mm"))))</f>
        <v>2025 04</v>
      </c>
      <c r="AI1516" s="9" t="str">
        <f ca="1">IF('Banco de Dados'!$AK1516&lt;&gt;"-","REEMBOLSO",IFERROR(_xlfn.XLOOKUP(G1516,Follow[CODRASTREIO],Follow[STATUS]),"-"))</f>
        <v>ENTREGUE</v>
      </c>
      <c r="AJ1516" s="9">
        <f ca="1">IF('Banco de Dados'!$AI1516="ENTREGUE",_xlfn.XLOOKUP('Banco de Dados'!$G1516,Follow[CODRASTREIO],Follow[DATAATUALIZAÇÃO]),"-")</f>
        <v>45811</v>
      </c>
      <c r="AK1516" s="132" t="str">
        <f ca="1"/>
        <v>-</v>
      </c>
      <c r="AL1516" s="35"/>
      <c r="AM1516" s="109" cm="1">
        <f t="array" aca="1" ref="AM1516" ca="1">IF('Banco de Dados'!$AK1516&lt;&gt;"-",_xlfn.IFS('Banco de Dados'!$A1516="bv",IF('Banco de Dados'!$E1516&lt;45641,ROUND(SUM('Banco de Dados'!$R1516*_xlfn.XLOOKUP('Banco de Dados'!$P1516,Sku!B:B,Sku!#REF!)*20%),2),ROUND(SUM('Banco de Dados'!$R1516*_xlfn.XLOOKUP('Banco de Dados'!$P1516,Sku!B:B,Sku!H:H)*20%),2)),'Banco de Dados'!$A1516="GO",ROUND(SUM('Banco de Dados'!$R1516*_xlfn.XLOOKUP('Banco de Dados'!$P1516,Sku!C:C,Sku!H:H)*20%),2),'Banco de Dados'!$A1516="MEI",ROUND(SUM('Banco de Dados'!$R1516*_xlfn.XLOOKUP('Banco de Dados'!$P1516,Sku!D:D,Sku!H:H)*20%),2)),0)</f>
        <v>0</v>
      </c>
      <c r="AN1516" s="109">
        <f ca="1">IF('Banco de Dados'!$AK1516&lt;&gt;"-",IF('Banco de Dados'!$F1516&lt;&gt;"-",_xlfn.XLOOKUP(IFERROR(IFERROR(IFERROR(VALUE(SUBSTITUTE(MID(_xlfn.TEXTAFTER('Banco de Dados'!$F1516,"Data do Pedido:
",1),1,10),"-","/")),VALUE(SUBSTITUTE(MID(_xlfn.TEXTAFTER('Banco de Dados'!$F1516,"Order date:
",1),1,10),"-","/"))),VALUE(SUBSTITUTE(MID(_xlfn.TEXTAFTER('Banco de Dados'!$F1516,"Fecha de pedido:
",1),1,10),"-","/"))),"-"),SMS!A:A,SMS!K:K),0),0)</f>
        <v>0</v>
      </c>
      <c r="AO1516" s="109">
        <f ca="1">IF('Banco de Dados'!$AK1516&lt;&gt;"-",IF('Banco de Dados'!$F1516&lt;&gt;"-",IFERROR(_xlfn.XLOOKUP(_xlfn.CONCAT('Banco de Dados'!$A1516,IFERROR(IFERROR(VALUE(SUBSTITUTE(MID(_xlfn.TEXTAFTER('Banco de Dados'!$F1516,"Data do Pedido:
",1),1,10),"-","/")),VALUE(SUBSTITUTE(MID(_xlfn.TEXTAFTER('Banco de Dados'!$F1516,"Order date:
",1),1,10),"-","/"))),0)),ProxyDD[Chave],ProxyDD[Valor por pedido]),PROXY!$P$2),0),0)</f>
        <v>0</v>
      </c>
      <c r="AP1516" s="28">
        <f ca="1">IF('Banco de Dados'!$AK1516&lt;&gt;"-",IF('Banco de Dados'!$AL1516="NÃO",IFERROR(VALUE(SUBSTITUTE(_xlfn.TEXTAFTER('Banco de Dados'!$F1516,"BRL ",1),".",",")),0),0),0)</f>
        <v>0</v>
      </c>
      <c r="AQ1516" s="28">
        <f ca="1">SUM('Banco de Dados'!$AM1516:$AP1516)</f>
        <v>0</v>
      </c>
      <c r="AR1516" s="8"/>
      <c r="AY1516" s="8"/>
    </row>
    <row r="1517" spans="1:51">
      <c r="A1517" s="5" t="str">
        <v>MEI</v>
      </c>
      <c r="B1517" s="5" t="str">
        <f ca="1"/>
        <v>MEI45763</v>
      </c>
      <c r="C1517" s="8" t="str">
        <v>Pedido 1504</v>
      </c>
      <c r="D1517" s="187">
        <v>45758</v>
      </c>
      <c r="E1517" s="9">
        <v>45763</v>
      </c>
      <c r="F1517" s="8" t="str">
        <v>PedidoF1440</v>
      </c>
      <c r="G1517" s="2" t="str">
        <v>CódRastreio1438</v>
      </c>
      <c r="H1517" s="5">
        <v>1</v>
      </c>
      <c r="I1517" s="2" t="str">
        <v>CPF 1463</v>
      </c>
      <c r="J1517" s="2" t="str">
        <v>Nome 1463</v>
      </c>
      <c r="K1517" s="8" t="str">
        <v>Tel 1463</v>
      </c>
      <c r="L1517" s="8" t="str">
        <v>Cep 1463</v>
      </c>
      <c r="M1517" s="8" t="str">
        <v>Rua 1463</v>
      </c>
      <c r="N1517" s="8" t="str">
        <v>Comp 1463</v>
      </c>
      <c r="O1517" s="8" t="str">
        <v>Máquina de cortar cabelo dragão</v>
      </c>
      <c r="P1517" s="8" t="str">
        <v>RX-DD1P-P5U2</v>
      </c>
      <c r="Q1517" s="4">
        <v>45790</v>
      </c>
      <c r="R1517" s="109">
        <v>26.99</v>
      </c>
      <c r="S1517" s="11">
        <f ca="1"/>
        <v>0</v>
      </c>
      <c r="T1517" s="28">
        <f ca="1"/>
        <v>0</v>
      </c>
      <c r="U1517" s="11">
        <f ca="1"/>
        <v>0</v>
      </c>
      <c r="V1517" s="11">
        <v>0</v>
      </c>
      <c r="W1517" s="11">
        <f ca="1"/>
        <v>0</v>
      </c>
      <c r="X1517" s="11">
        <f ca="1"/>
        <v>0.39877104377104378</v>
      </c>
      <c r="Y1517" s="11">
        <v>0</v>
      </c>
      <c r="Z1517" s="11">
        <f ca="1"/>
        <v>-0.39877104377104378</v>
      </c>
      <c r="AA1517" s="11">
        <f ca="1"/>
        <v>-0.19938552188552189</v>
      </c>
      <c r="AB1517" s="4">
        <f ca="1"/>
        <v>45797</v>
      </c>
      <c r="AC1517" s="4">
        <v>45797</v>
      </c>
      <c r="AD1517" s="9">
        <v>45807</v>
      </c>
      <c r="AE1517" s="9">
        <v>45810</v>
      </c>
      <c r="AF1517" s="4" t="str">
        <f t="shared" ca="1" si="98"/>
        <v>2025 05</v>
      </c>
      <c r="AG1517" s="8" t="str" cm="1">
        <f t="array" ref="AG1517">IFERROR(_xlfn.IFS('Banco de Dados'!#REF!="AG. COMPRA","Em processamento",'Banco de Dados'!#REF!="AG. RASTREIO","Em processamento",'Banco de Dados'!$AE1517&lt;&gt;"-","Faturado",'Banco de Dados'!$AD1517&lt;&gt;"-","Aguardando Pix",'Banco de Dados'!$AC1517&lt;&gt;"-","Pendente"),"Aguardando Liberação")</f>
        <v>Aguardando Liberação</v>
      </c>
      <c r="AH1517" s="5" t="str">
        <f>IF('Banco de Dados'!$F1517="-",_xlfn.CONCAT(PROPER(TEXT(AK1517,"aaaa"))," ",PROPER(TEXT(AK1517,"mm"))),_xlfn.CONCAT(PROPER(TEXT(E1517,"aaaa"))," ",PROPER(TEXT(E1517,"mm"))))</f>
        <v>2025 04</v>
      </c>
      <c r="AI1517" s="9" t="str">
        <f ca="1">IF('Banco de Dados'!$AK1517&lt;&gt;"-","REEMBOLSO",IFERROR(_xlfn.XLOOKUP(G1517,Follow[CODRASTREIO],Follow[STATUS]),"-"))</f>
        <v>REEMBOLSO</v>
      </c>
      <c r="AJ1517" s="9" t="str">
        <f ca="1">IF('Banco de Dados'!$AI1517="ENTREGUE",_xlfn.XLOOKUP('Banco de Dados'!$G1517,Follow[CODRASTREIO],Follow[DATAATUALIZAÇÃO]),"-")</f>
        <v>-</v>
      </c>
      <c r="AK1517" s="132">
        <f ca="1"/>
        <v>45796</v>
      </c>
      <c r="AL1517" s="35"/>
      <c r="AM1517" s="109" cm="1">
        <f t="array" aca="1" ref="AM1517" ca="1">IF('Banco de Dados'!$AK1517&lt;&gt;"-",_xlfn.IFS('Banco de Dados'!$A1517="bv",IF('Banco de Dados'!$E1517&lt;45641,ROUND(SUM('Banco de Dados'!$R1517*_xlfn.XLOOKUP('Banco de Dados'!$P1517,Sku!B:B,Sku!#REF!)*20%),2),ROUND(SUM('Banco de Dados'!$R1517*_xlfn.XLOOKUP('Banco de Dados'!$P1517,Sku!B:B,Sku!H:H)*20%),2)),'Banco de Dados'!$A1517="GO",ROUND(SUM('Banco de Dados'!$R1517*_xlfn.XLOOKUP('Banco de Dados'!$P1517,Sku!C:C,Sku!H:H)*20%),2),'Banco de Dados'!$A1517="MEI",ROUND(SUM('Banco de Dados'!$R1517*_xlfn.XLOOKUP('Banco de Dados'!$P1517,Sku!D:D,Sku!H:H)*20%),2)),0)</f>
        <v>0.65</v>
      </c>
      <c r="AN1517" s="109" t="e">
        <f ca="1">IF('Banco de Dados'!$AK1517&lt;&gt;"-",IF('Banco de Dados'!$F1517&lt;&gt;"-",_xlfn.XLOOKUP(IFERROR(IFERROR(IFERROR(VALUE(SUBSTITUTE(MID(_xlfn.TEXTAFTER('Banco de Dados'!$F1517,"Data do Pedido:
",1),1,10),"-","/")),VALUE(SUBSTITUTE(MID(_xlfn.TEXTAFTER('Banco de Dados'!$F1517,"Order date:
",1),1,10),"-","/"))),VALUE(SUBSTITUTE(MID(_xlfn.TEXTAFTER('Banco de Dados'!$F1517,"Fecha de pedido:
",1),1,10),"-","/"))),"-"),SMS!A:A,SMS!K:K),0),0)</f>
        <v>#N/A</v>
      </c>
      <c r="AO1517" s="109">
        <f ca="1">IF('Banco de Dados'!$AK1517&lt;&gt;"-",IF('Banco de Dados'!$F1517&lt;&gt;"-",IFERROR(_xlfn.XLOOKUP(_xlfn.CONCAT('Banco de Dados'!$A1517,IFERROR(IFERROR(VALUE(SUBSTITUTE(MID(_xlfn.TEXTAFTER('Banco de Dados'!$F1517,"Data do Pedido:
",1),1,10),"-","/")),VALUE(SUBSTITUTE(MID(_xlfn.TEXTAFTER('Banco de Dados'!$F1517,"Order date:
",1),1,10),"-","/"))),0)),ProxyDD[Chave],ProxyDD[Valor por pedido]),PROXY!$P$2),0),0)</f>
        <v>0.39877104377104378</v>
      </c>
      <c r="AP1517" s="28">
        <f ca="1">IF('Banco de Dados'!$AK1517&lt;&gt;"-",IF('Banco de Dados'!$AL1517="NÃO",IFERROR(VALUE(SUBSTITUTE(_xlfn.TEXTAFTER('Banco de Dados'!$F1517,"BRL ",1),".",",")),0),0),0)</f>
        <v>0</v>
      </c>
      <c r="AQ1517" s="28" t="e">
        <f ca="1">SUM('Banco de Dados'!$AM1517:$AP1517)</f>
        <v>#N/A</v>
      </c>
      <c r="AR1517" s="8"/>
      <c r="AY1517" s="8"/>
    </row>
    <row r="1518" spans="1:51">
      <c r="A1518" s="5" t="str">
        <v>MEI</v>
      </c>
      <c r="B1518" s="5" t="str">
        <f ca="1"/>
        <v>MEI45763</v>
      </c>
      <c r="C1518" s="8" t="str">
        <v>Pedido 1505</v>
      </c>
      <c r="D1518" s="187">
        <v>45758</v>
      </c>
      <c r="E1518" s="9">
        <v>45763</v>
      </c>
      <c r="F1518" s="8" t="str">
        <v>PedidoF1441</v>
      </c>
      <c r="G1518" s="2" t="str">
        <v>CódRastreio1439</v>
      </c>
      <c r="H1518" s="5">
        <v>1</v>
      </c>
      <c r="I1518" s="2" t="str">
        <v>CPF 1464</v>
      </c>
      <c r="J1518" s="2" t="str">
        <v>Nome 1464</v>
      </c>
      <c r="K1518" s="8" t="str">
        <v>Tel 1464</v>
      </c>
      <c r="L1518" s="8" t="str">
        <v>Cep 1464</v>
      </c>
      <c r="M1518" s="8" t="str">
        <v>Rua 1464</v>
      </c>
      <c r="N1518" s="8" t="str">
        <v>Comp 1464</v>
      </c>
      <c r="O1518" s="8" t="str">
        <v>Mini Liquidificador</v>
      </c>
      <c r="P1518" s="8" t="str">
        <v>A4-5W51-K3HF</v>
      </c>
      <c r="Q1518" s="4">
        <v>45790</v>
      </c>
      <c r="R1518" s="109">
        <v>36.950000000000003</v>
      </c>
      <c r="S1518" s="11">
        <f ca="1"/>
        <v>36.950000000000003</v>
      </c>
      <c r="T1518" s="28">
        <f ca="1"/>
        <v>4.4340000000000002</v>
      </c>
      <c r="U1518" s="11">
        <f ca="1"/>
        <v>32.520000000000003</v>
      </c>
      <c r="V1518" s="11">
        <v>14.99</v>
      </c>
      <c r="W1518" s="11">
        <f ca="1"/>
        <v>0.25</v>
      </c>
      <c r="X1518" s="11">
        <f ca="1"/>
        <v>0.39877104377104378</v>
      </c>
      <c r="Y1518" s="11">
        <v>0</v>
      </c>
      <c r="Z1518" s="11">
        <f ca="1"/>
        <v>16.881228956228959</v>
      </c>
      <c r="AA1518" s="11">
        <f ca="1"/>
        <v>8.4406144781144796</v>
      </c>
      <c r="AB1518" s="4">
        <f ca="1"/>
        <v>45797</v>
      </c>
      <c r="AC1518" s="4">
        <v>45797</v>
      </c>
      <c r="AD1518" s="9">
        <v>45807</v>
      </c>
      <c r="AE1518" s="9">
        <v>45810</v>
      </c>
      <c r="AF1518" s="4" t="str">
        <f t="shared" ca="1" si="98"/>
        <v>2025 05</v>
      </c>
      <c r="AG1518" s="8" t="str" cm="1">
        <f t="array" ref="AG1518">IFERROR(_xlfn.IFS('Banco de Dados'!#REF!="AG. COMPRA","Em processamento",'Banco de Dados'!#REF!="AG. RASTREIO","Em processamento",'Banco de Dados'!$AE1518&lt;&gt;"-","Faturado",'Banco de Dados'!$AD1518&lt;&gt;"-","Aguardando Pix",'Banco de Dados'!$AC1518&lt;&gt;"-","Pendente"),"Aguardando Liberação")</f>
        <v>Aguardando Liberação</v>
      </c>
      <c r="AH1518" s="5" t="str">
        <f>IF('Banco de Dados'!$F1518="-",_xlfn.CONCAT(PROPER(TEXT(AK1518,"aaaa"))," ",PROPER(TEXT(AK1518,"mm"))),_xlfn.CONCAT(PROPER(TEXT(E1518,"aaaa"))," ",PROPER(TEXT(E1518,"mm"))))</f>
        <v>2025 04</v>
      </c>
      <c r="AI1518" s="9" t="str">
        <f ca="1">IF('Banco de Dados'!$AK1518&lt;&gt;"-","REEMBOLSO",IFERROR(_xlfn.XLOOKUP(G1518,Follow[CODRASTREIO],Follow[STATUS]),"-"))</f>
        <v>ENTREGUE</v>
      </c>
      <c r="AJ1518" s="9">
        <f ca="1">IF('Banco de Dados'!$AI1518="ENTREGUE",_xlfn.XLOOKUP('Banco de Dados'!$G1518,Follow[CODRASTREIO],Follow[DATAATUALIZAÇÃO]),"-")</f>
        <v>45777</v>
      </c>
      <c r="AK1518" s="132" t="str">
        <f ca="1"/>
        <v>-</v>
      </c>
      <c r="AL1518" s="35"/>
      <c r="AM1518" s="109" cm="1">
        <f t="array" aca="1" ref="AM1518" ca="1">IF('Banco de Dados'!$AK1518&lt;&gt;"-",_xlfn.IFS('Banco de Dados'!$A1518="bv",IF('Banco de Dados'!$E1518&lt;45641,ROUND(SUM('Banco de Dados'!$R1518*_xlfn.XLOOKUP('Banco de Dados'!$P1518,Sku!B:B,Sku!#REF!)*20%),2),ROUND(SUM('Banco de Dados'!$R1518*_xlfn.XLOOKUP('Banco de Dados'!$P1518,Sku!B:B,Sku!H:H)*20%),2)),'Banco de Dados'!$A1518="GO",ROUND(SUM('Banco de Dados'!$R1518*_xlfn.XLOOKUP('Banco de Dados'!$P1518,Sku!C:C,Sku!H:H)*20%),2),'Banco de Dados'!$A1518="MEI",ROUND(SUM('Banco de Dados'!$R1518*_xlfn.XLOOKUP('Banco de Dados'!$P1518,Sku!D:D,Sku!H:H)*20%),2)),0)</f>
        <v>0</v>
      </c>
      <c r="AN1518" s="109">
        <f ca="1">IF('Banco de Dados'!$AK1518&lt;&gt;"-",IF('Banco de Dados'!$F1518&lt;&gt;"-",_xlfn.XLOOKUP(IFERROR(IFERROR(IFERROR(VALUE(SUBSTITUTE(MID(_xlfn.TEXTAFTER('Banco de Dados'!$F1518,"Data do Pedido:
",1),1,10),"-","/")),VALUE(SUBSTITUTE(MID(_xlfn.TEXTAFTER('Banco de Dados'!$F1518,"Order date:
",1),1,10),"-","/"))),VALUE(SUBSTITUTE(MID(_xlfn.TEXTAFTER('Banco de Dados'!$F1518,"Fecha de pedido:
",1),1,10),"-","/"))),"-"),SMS!A:A,SMS!K:K),0),0)</f>
        <v>0</v>
      </c>
      <c r="AO1518" s="109">
        <f ca="1">IF('Banco de Dados'!$AK1518&lt;&gt;"-",IF('Banco de Dados'!$F1518&lt;&gt;"-",IFERROR(_xlfn.XLOOKUP(_xlfn.CONCAT('Banco de Dados'!$A1518,IFERROR(IFERROR(VALUE(SUBSTITUTE(MID(_xlfn.TEXTAFTER('Banco de Dados'!$F1518,"Data do Pedido:
",1),1,10),"-","/")),VALUE(SUBSTITUTE(MID(_xlfn.TEXTAFTER('Banco de Dados'!$F1518,"Order date:
",1),1,10),"-","/"))),0)),ProxyDD[Chave],ProxyDD[Valor por pedido]),PROXY!$P$2),0),0)</f>
        <v>0</v>
      </c>
      <c r="AP1518" s="28">
        <f ca="1">IF('Banco de Dados'!$AK1518&lt;&gt;"-",IF('Banco de Dados'!$AL1518="NÃO",IFERROR(VALUE(SUBSTITUTE(_xlfn.TEXTAFTER('Banco de Dados'!$F1518,"BRL ",1),".",",")),0),0),0)</f>
        <v>0</v>
      </c>
      <c r="AQ1518" s="28">
        <f ca="1">SUM('Banco de Dados'!$AM1518:$AP1518)</f>
        <v>0</v>
      </c>
      <c r="AR1518" s="8"/>
      <c r="AY1518" s="8"/>
    </row>
    <row r="1519" spans="1:51">
      <c r="A1519" s="5" t="str">
        <v>MEI</v>
      </c>
      <c r="B1519" s="5" t="str">
        <f ca="1"/>
        <v>MEI45763</v>
      </c>
      <c r="C1519" s="8" t="str">
        <v>Pedido 1506</v>
      </c>
      <c r="D1519" s="187">
        <v>45758</v>
      </c>
      <c r="E1519" s="9">
        <v>45763</v>
      </c>
      <c r="F1519" s="8" t="str">
        <v>PedidoF1442</v>
      </c>
      <c r="G1519" s="2" t="str">
        <v>CódRastreio1440</v>
      </c>
      <c r="H1519" s="5">
        <v>1</v>
      </c>
      <c r="I1519" s="2" t="str">
        <v>CPF 1465</v>
      </c>
      <c r="J1519" s="2" t="str">
        <v>Nome 1465</v>
      </c>
      <c r="K1519" s="8" t="str">
        <v>Tel 1465</v>
      </c>
      <c r="L1519" s="8" t="str">
        <v>Cep 1465</v>
      </c>
      <c r="M1519" s="8" t="str">
        <v>Rua 1465</v>
      </c>
      <c r="N1519" s="8" t="str">
        <v>Comp 1465</v>
      </c>
      <c r="O1519" s="8" t="str">
        <v>Lampada Led</v>
      </c>
      <c r="P1519" s="8" t="str">
        <v>T1-SWVB-UPOW</v>
      </c>
      <c r="Q1519" s="4">
        <v>45784</v>
      </c>
      <c r="R1519" s="109">
        <v>29.99</v>
      </c>
      <c r="S1519" s="11">
        <f ca="1"/>
        <v>29.99</v>
      </c>
      <c r="T1519" s="28">
        <f ca="1"/>
        <v>3.5987999999999998</v>
      </c>
      <c r="U1519" s="11">
        <f ca="1"/>
        <v>26.39</v>
      </c>
      <c r="V1519" s="11">
        <v>17.829999999999998</v>
      </c>
      <c r="W1519" s="11">
        <f ca="1"/>
        <v>0.25</v>
      </c>
      <c r="X1519" s="11">
        <f ca="1"/>
        <v>0.39877104377104378</v>
      </c>
      <c r="Y1519" s="11">
        <v>0</v>
      </c>
      <c r="Z1519" s="11">
        <f ca="1"/>
        <v>7.9112289562289568</v>
      </c>
      <c r="AA1519" s="11">
        <f ca="1"/>
        <v>3.9556144781144784</v>
      </c>
      <c r="AB1519" s="4">
        <f ca="1"/>
        <v>45791</v>
      </c>
      <c r="AC1519" s="4">
        <v>45791</v>
      </c>
      <c r="AD1519" s="9">
        <v>45793</v>
      </c>
      <c r="AE1519" s="9">
        <v>45797</v>
      </c>
      <c r="AF1519" s="4" t="str">
        <f t="shared" ca="1" si="98"/>
        <v>2025 05</v>
      </c>
      <c r="AG1519" s="8" t="str" cm="1">
        <f t="array" ref="AG1519">IFERROR(_xlfn.IFS('Banco de Dados'!#REF!="AG. COMPRA","Em processamento",'Banco de Dados'!#REF!="AG. RASTREIO","Em processamento",'Banco de Dados'!$AE1519&lt;&gt;"-","Faturado",'Banco de Dados'!$AD1519&lt;&gt;"-","Aguardando Pix",'Banco de Dados'!$AC1519&lt;&gt;"-","Pendente"),"Aguardando Liberação")</f>
        <v>Aguardando Liberação</v>
      </c>
      <c r="AH1519" s="5" t="str">
        <f>IF('Banco de Dados'!$F1519="-",_xlfn.CONCAT(PROPER(TEXT(AK1519,"aaaa"))," ",PROPER(TEXT(AK1519,"mm"))),_xlfn.CONCAT(PROPER(TEXT(E1519,"aaaa"))," ",PROPER(TEXT(E1519,"mm"))))</f>
        <v>2025 04</v>
      </c>
      <c r="AI1519" s="9" t="str">
        <f ca="1">IF('Banco de Dados'!$AK1519&lt;&gt;"-","REEMBOLSO",IFERROR(_xlfn.XLOOKUP(G1519,Follow[CODRASTREIO],Follow[STATUS]),"-"))</f>
        <v>ENTREGUE</v>
      </c>
      <c r="AJ1519" s="9">
        <f ca="1">IF('Banco de Dados'!$AI1519="ENTREGUE",_xlfn.XLOOKUP('Banco de Dados'!$G1519,Follow[CODRASTREIO],Follow[DATAATUALIZAÇÃO]),"-")</f>
        <v>45776</v>
      </c>
      <c r="AK1519" s="132" t="str">
        <f ca="1"/>
        <v>-</v>
      </c>
      <c r="AL1519" s="35"/>
      <c r="AM1519" s="109" cm="1">
        <f t="array" aca="1" ref="AM1519" ca="1">IF('Banco de Dados'!$AK1519&lt;&gt;"-",_xlfn.IFS('Banco de Dados'!$A1519="bv",IF('Banco de Dados'!$E1519&lt;45641,ROUND(SUM('Banco de Dados'!$R1519*_xlfn.XLOOKUP('Banco de Dados'!$P1519,Sku!B:B,Sku!#REF!)*20%),2),ROUND(SUM('Banco de Dados'!$R1519*_xlfn.XLOOKUP('Banco de Dados'!$P1519,Sku!B:B,Sku!H:H)*20%),2)),'Banco de Dados'!$A1519="GO",ROUND(SUM('Banco de Dados'!$R1519*_xlfn.XLOOKUP('Banco de Dados'!$P1519,Sku!C:C,Sku!H:H)*20%),2),'Banco de Dados'!$A1519="MEI",ROUND(SUM('Banco de Dados'!$R1519*_xlfn.XLOOKUP('Banco de Dados'!$P1519,Sku!D:D,Sku!H:H)*20%),2)),0)</f>
        <v>0</v>
      </c>
      <c r="AN1519" s="109">
        <f ca="1">IF('Banco de Dados'!$AK1519&lt;&gt;"-",IF('Banco de Dados'!$F1519&lt;&gt;"-",_xlfn.XLOOKUP(IFERROR(IFERROR(IFERROR(VALUE(SUBSTITUTE(MID(_xlfn.TEXTAFTER('Banco de Dados'!$F1519,"Data do Pedido:
",1),1,10),"-","/")),VALUE(SUBSTITUTE(MID(_xlfn.TEXTAFTER('Banco de Dados'!$F1519,"Order date:
",1),1,10),"-","/"))),VALUE(SUBSTITUTE(MID(_xlfn.TEXTAFTER('Banco de Dados'!$F1519,"Fecha de pedido:
",1),1,10),"-","/"))),"-"),SMS!A:A,SMS!K:K),0),0)</f>
        <v>0</v>
      </c>
      <c r="AO1519" s="109">
        <f ca="1">IF('Banco de Dados'!$AK1519&lt;&gt;"-",IF('Banco de Dados'!$F1519&lt;&gt;"-",IFERROR(_xlfn.XLOOKUP(_xlfn.CONCAT('Banco de Dados'!$A1519,IFERROR(IFERROR(VALUE(SUBSTITUTE(MID(_xlfn.TEXTAFTER('Banco de Dados'!$F1519,"Data do Pedido:
",1),1,10),"-","/")),VALUE(SUBSTITUTE(MID(_xlfn.TEXTAFTER('Banco de Dados'!$F1519,"Order date:
",1),1,10),"-","/"))),0)),ProxyDD[Chave],ProxyDD[Valor por pedido]),PROXY!$P$2),0),0)</f>
        <v>0</v>
      </c>
      <c r="AP1519" s="28">
        <f ca="1">IF('Banco de Dados'!$AK1519&lt;&gt;"-",IF('Banco de Dados'!$AL1519="NÃO",IFERROR(VALUE(SUBSTITUTE(_xlfn.TEXTAFTER('Banco de Dados'!$F1519,"BRL ",1),".",",")),0),0),0)</f>
        <v>0</v>
      </c>
      <c r="AQ1519" s="28">
        <f ca="1">SUM('Banco de Dados'!$AM1519:$AP1519)</f>
        <v>0</v>
      </c>
      <c r="AR1519" s="8"/>
      <c r="AY1519" s="8"/>
    </row>
    <row r="1520" spans="1:51">
      <c r="A1520" s="5" t="str">
        <v>GO</v>
      </c>
      <c r="B1520" s="5" t="str">
        <f ca="1"/>
        <v>GO45758</v>
      </c>
      <c r="C1520" s="8" t="str">
        <v>Pedido 1507</v>
      </c>
      <c r="D1520" s="187">
        <v>45757</v>
      </c>
      <c r="E1520" s="9">
        <v>45758</v>
      </c>
      <c r="F1520" s="8" t="str">
        <v>PedidoF1443</v>
      </c>
      <c r="G1520" s="2" t="str">
        <v>CódRastreio1441</v>
      </c>
      <c r="H1520" s="5">
        <v>1</v>
      </c>
      <c r="I1520" s="2" t="str">
        <v>CPF 1466</v>
      </c>
      <c r="J1520" s="2" t="str">
        <v>Nome 1466</v>
      </c>
      <c r="K1520" s="8" t="str">
        <v>Tel 1466</v>
      </c>
      <c r="L1520" s="8" t="str">
        <v>Cep 1466</v>
      </c>
      <c r="M1520" s="8" t="str">
        <v>Rua 1466</v>
      </c>
      <c r="N1520" s="8" t="str">
        <v>Comp 1466</v>
      </c>
      <c r="O1520" s="8" t="str">
        <v>Cortador de Legumes</v>
      </c>
      <c r="P1520" s="8" t="str">
        <v>33-SVS5-1AWY</v>
      </c>
      <c r="Q1520" s="4">
        <v>45787</v>
      </c>
      <c r="R1520" s="109">
        <v>67.599999999999994</v>
      </c>
      <c r="S1520" s="11">
        <f ca="1"/>
        <v>67.599999999999994</v>
      </c>
      <c r="T1520" s="28">
        <f ca="1"/>
        <v>8.1119999999999983</v>
      </c>
      <c r="U1520" s="11">
        <f ca="1"/>
        <v>59.49</v>
      </c>
      <c r="V1520" s="11">
        <v>44.86</v>
      </c>
      <c r="W1520" s="11">
        <f ca="1"/>
        <v>0.2</v>
      </c>
      <c r="X1520" s="11">
        <f ca="1"/>
        <v>0.39877104377104378</v>
      </c>
      <c r="Y1520" s="11">
        <v>0</v>
      </c>
      <c r="Z1520" s="11">
        <f ca="1"/>
        <v>14.031228956228958</v>
      </c>
      <c r="AA1520" s="11">
        <f ca="1"/>
        <v>14.031228956228958</v>
      </c>
      <c r="AB1520" s="4">
        <f ca="1"/>
        <v>45794</v>
      </c>
      <c r="AC1520" s="4">
        <v>45794</v>
      </c>
      <c r="AD1520" s="9">
        <v>45807</v>
      </c>
      <c r="AE1520" s="9">
        <v>45810</v>
      </c>
      <c r="AF1520" s="4" t="str">
        <f t="shared" ca="1" si="98"/>
        <v>2025 05</v>
      </c>
      <c r="AG1520" s="8" t="str" cm="1">
        <f t="array" ref="AG1520">IFERROR(_xlfn.IFS('Banco de Dados'!#REF!="AG. COMPRA","Em processamento",'Banco de Dados'!#REF!="AG. RASTREIO","Em processamento",'Banco de Dados'!$AE1520&lt;&gt;"-","Faturado",'Banco de Dados'!$AD1520&lt;&gt;"-","Aguardando Pix",'Banco de Dados'!$AC1520&lt;&gt;"-","Pendente"),"Aguardando Liberação")</f>
        <v>Aguardando Liberação</v>
      </c>
      <c r="AH1520" s="5" t="str">
        <f>IF('Banco de Dados'!$F1520="-",_xlfn.CONCAT(PROPER(TEXT(AK1520,"aaaa"))," ",PROPER(TEXT(AK1520,"mm"))),_xlfn.CONCAT(PROPER(TEXT(E1520,"aaaa"))," ",PROPER(TEXT(E1520,"mm"))))</f>
        <v>2025 04</v>
      </c>
      <c r="AI1520" s="9" t="str">
        <f ca="1">IF('Banco de Dados'!$AK1520&lt;&gt;"-","REEMBOLSO",IFERROR(_xlfn.XLOOKUP(G1520,Follow[CODRASTREIO],Follow[STATUS]),"-"))</f>
        <v>ENTREGUE</v>
      </c>
      <c r="AJ1520" s="9">
        <f ca="1">IF('Banco de Dados'!$AI1520="ENTREGUE",_xlfn.XLOOKUP('Banco de Dados'!$G1520,Follow[CODRASTREIO],Follow[DATAATUALIZAÇÃO]),"-")</f>
        <v>45775</v>
      </c>
      <c r="AK1520" s="132" t="str">
        <f ca="1"/>
        <v>-</v>
      </c>
      <c r="AL1520" s="35"/>
      <c r="AM1520" s="109" cm="1">
        <f t="array" aca="1" ref="AM1520" ca="1">IF('Banco de Dados'!$AK1520&lt;&gt;"-",_xlfn.IFS('Banco de Dados'!$A1520="bv",IF('Banco de Dados'!$E1520&lt;45641,ROUND(SUM('Banco de Dados'!$R1520*_xlfn.XLOOKUP('Banco de Dados'!$P1520,Sku!B:B,Sku!#REF!)*20%),2),ROUND(SUM('Banco de Dados'!$R1520*_xlfn.XLOOKUP('Banco de Dados'!$P1520,Sku!B:B,Sku!H:H)*20%),2)),'Banco de Dados'!$A1520="GO",ROUND(SUM('Banco de Dados'!$R1520*_xlfn.XLOOKUP('Banco de Dados'!$P1520,Sku!C:C,Sku!H:H)*20%),2),'Banco de Dados'!$A1520="MEI",ROUND(SUM('Banco de Dados'!$R1520*_xlfn.XLOOKUP('Banco de Dados'!$P1520,Sku!D:D,Sku!H:H)*20%),2)),0)</f>
        <v>0</v>
      </c>
      <c r="AN1520" s="109">
        <f ca="1">IF('Banco de Dados'!$AK1520&lt;&gt;"-",IF('Banco de Dados'!$F1520&lt;&gt;"-",_xlfn.XLOOKUP(IFERROR(IFERROR(IFERROR(VALUE(SUBSTITUTE(MID(_xlfn.TEXTAFTER('Banco de Dados'!$F1520,"Data do Pedido:
",1),1,10),"-","/")),VALUE(SUBSTITUTE(MID(_xlfn.TEXTAFTER('Banco de Dados'!$F1520,"Order date:
",1),1,10),"-","/"))),VALUE(SUBSTITUTE(MID(_xlfn.TEXTAFTER('Banco de Dados'!$F1520,"Fecha de pedido:
",1),1,10),"-","/"))),"-"),SMS!A:A,SMS!K:K),0),0)</f>
        <v>0</v>
      </c>
      <c r="AO1520" s="109">
        <f ca="1">IF('Banco de Dados'!$AK1520&lt;&gt;"-",IF('Banco de Dados'!$F1520&lt;&gt;"-",IFERROR(_xlfn.XLOOKUP(_xlfn.CONCAT('Banco de Dados'!$A1520,IFERROR(IFERROR(VALUE(SUBSTITUTE(MID(_xlfn.TEXTAFTER('Banco de Dados'!$F1520,"Data do Pedido:
",1),1,10),"-","/")),VALUE(SUBSTITUTE(MID(_xlfn.TEXTAFTER('Banco de Dados'!$F1520,"Order date:
",1),1,10),"-","/"))),0)),ProxyDD[Chave],ProxyDD[Valor por pedido]),PROXY!$P$2),0),0)</f>
        <v>0</v>
      </c>
      <c r="AP1520" s="28">
        <f ca="1">IF('Banco de Dados'!$AK1520&lt;&gt;"-",IF('Banco de Dados'!$AL1520="NÃO",IFERROR(VALUE(SUBSTITUTE(_xlfn.TEXTAFTER('Banco de Dados'!$F1520,"BRL ",1),".",",")),0),0),0)</f>
        <v>0</v>
      </c>
      <c r="AQ1520" s="28">
        <f ca="1">SUM('Banco de Dados'!$AM1520:$AP1520)</f>
        <v>0</v>
      </c>
      <c r="AR1520" s="8"/>
      <c r="AY1520" s="8"/>
    </row>
    <row r="1521" spans="1:51">
      <c r="A1521" s="5" t="str">
        <v>MEI</v>
      </c>
      <c r="B1521" s="5" t="str">
        <f ca="1"/>
        <v>MEI45763</v>
      </c>
      <c r="C1521" s="8" t="str">
        <v>Pedido 1508</v>
      </c>
      <c r="D1521" s="187">
        <v>45758</v>
      </c>
      <c r="E1521" s="9">
        <v>45763</v>
      </c>
      <c r="F1521" s="8" t="str">
        <v>PedidoF1444</v>
      </c>
      <c r="G1521" s="2" t="str">
        <v>CódRastreio1442</v>
      </c>
      <c r="H1521" s="5">
        <v>1</v>
      </c>
      <c r="I1521" s="182" t="str">
        <v>CPF 1467</v>
      </c>
      <c r="J1521" s="2" t="str">
        <v>Nome 1467</v>
      </c>
      <c r="K1521" s="8" t="str">
        <v>Tel 1467</v>
      </c>
      <c r="L1521" s="8" t="str">
        <v>Cep 1467</v>
      </c>
      <c r="M1521" s="8" t="str">
        <v>Rua 1467</v>
      </c>
      <c r="N1521" s="8" t="str">
        <v>Comp 1467</v>
      </c>
      <c r="O1521" s="8" t="str">
        <v>Máquina de cortar cabelo dragão</v>
      </c>
      <c r="P1521" s="8" t="str">
        <v>RX-DD1P-P5U2</v>
      </c>
      <c r="Q1521" s="4">
        <v>45790</v>
      </c>
      <c r="R1521" s="109">
        <v>26.99</v>
      </c>
      <c r="S1521" s="11">
        <f ca="1"/>
        <v>0</v>
      </c>
      <c r="T1521" s="28">
        <f ca="1"/>
        <v>0</v>
      </c>
      <c r="U1521" s="11">
        <f ca="1"/>
        <v>0</v>
      </c>
      <c r="V1521" s="11">
        <v>0</v>
      </c>
      <c r="W1521" s="11">
        <f ca="1"/>
        <v>0</v>
      </c>
      <c r="X1521" s="11">
        <f ca="1"/>
        <v>0.39877104377104378</v>
      </c>
      <c r="Y1521" s="11">
        <v>0</v>
      </c>
      <c r="Z1521" s="11">
        <f ca="1"/>
        <v>-0.39877104377104378</v>
      </c>
      <c r="AA1521" s="11">
        <f ca="1"/>
        <v>-0.19938552188552189</v>
      </c>
      <c r="AB1521" s="4">
        <f ca="1"/>
        <v>45797</v>
      </c>
      <c r="AC1521" s="4">
        <v>45797</v>
      </c>
      <c r="AD1521" s="9">
        <v>45807</v>
      </c>
      <c r="AE1521" s="9">
        <v>45810</v>
      </c>
      <c r="AF1521" s="4" t="str">
        <f t="shared" ref="AF1521:AF1531" ca="1" si="99">_xlfn.CONCAT(PROPER(TEXT(AB1521,"aaaa"))," ",PROPER(TEXT(AB1521,"mm")))</f>
        <v>2025 05</v>
      </c>
      <c r="AG1521" s="8" t="str" cm="1">
        <f t="array" ref="AG1521">IFERROR(_xlfn.IFS('Banco de Dados'!#REF!="AG. COMPRA","Em processamento",'Banco de Dados'!#REF!="AG. RASTREIO","Em processamento",'Banco de Dados'!$AE1521&lt;&gt;"-","Faturado",'Banco de Dados'!$AD1521&lt;&gt;"-","Aguardando Pix",'Banco de Dados'!$AC1521&lt;&gt;"-","Pendente"),"Aguardando Liberação")</f>
        <v>Aguardando Liberação</v>
      </c>
      <c r="AH1521" s="5" t="str">
        <f>IF('Banco de Dados'!$F1521="-",_xlfn.CONCAT(PROPER(TEXT(AK1521,"aaaa"))," ",PROPER(TEXT(AK1521,"mm"))),_xlfn.CONCAT(PROPER(TEXT(E1521,"aaaa"))," ",PROPER(TEXT(E1521,"mm"))))</f>
        <v>2025 04</v>
      </c>
      <c r="AI1521" s="9" t="str">
        <f ca="1">IF('Banco de Dados'!$AK1521&lt;&gt;"-","REEMBOLSO",IFERROR(_xlfn.XLOOKUP(G1521,Follow[CODRASTREIO],Follow[STATUS]),"-"))</f>
        <v>REEMBOLSO</v>
      </c>
      <c r="AJ1521" s="9" t="str">
        <f ca="1">IF('Banco de Dados'!$AI1521="ENTREGUE",_xlfn.XLOOKUP('Banco de Dados'!$G1521,Follow[CODRASTREIO],Follow[DATAATUALIZAÇÃO]),"-")</f>
        <v>-</v>
      </c>
      <c r="AK1521" s="132">
        <f ca="1"/>
        <v>45793</v>
      </c>
      <c r="AL1521" s="35"/>
      <c r="AM1521" s="109" cm="1">
        <f t="array" aca="1" ref="AM1521" ca="1">IF('Banco de Dados'!$AK1521&lt;&gt;"-",_xlfn.IFS('Banco de Dados'!$A1521="bv",IF('Banco de Dados'!$E1521&lt;45641,ROUND(SUM('Banco de Dados'!$R1521*_xlfn.XLOOKUP('Banco de Dados'!$P1521,Sku!B:B,Sku!#REF!)*20%),2),ROUND(SUM('Banco de Dados'!$R1521*_xlfn.XLOOKUP('Banco de Dados'!$P1521,Sku!B:B,Sku!H:H)*20%),2)),'Banco de Dados'!$A1521="GO",ROUND(SUM('Banco de Dados'!$R1521*_xlfn.XLOOKUP('Banco de Dados'!$P1521,Sku!C:C,Sku!H:H)*20%),2),'Banco de Dados'!$A1521="MEI",ROUND(SUM('Banco de Dados'!$R1521*_xlfn.XLOOKUP('Banco de Dados'!$P1521,Sku!D:D,Sku!H:H)*20%),2)),0)</f>
        <v>0.65</v>
      </c>
      <c r="AN1521" s="109" t="e">
        <f ca="1">IF('Banco de Dados'!$AK1521&lt;&gt;"-",IF('Banco de Dados'!$F1521&lt;&gt;"-",_xlfn.XLOOKUP(IFERROR(IFERROR(IFERROR(VALUE(SUBSTITUTE(MID(_xlfn.TEXTAFTER('Banco de Dados'!$F1521,"Data do Pedido:
",1),1,10),"-","/")),VALUE(SUBSTITUTE(MID(_xlfn.TEXTAFTER('Banco de Dados'!$F1521,"Order date:
",1),1,10),"-","/"))),VALUE(SUBSTITUTE(MID(_xlfn.TEXTAFTER('Banco de Dados'!$F1521,"Fecha de pedido:
",1),1,10),"-","/"))),"-"),SMS!A:A,SMS!K:K),0),0)</f>
        <v>#N/A</v>
      </c>
      <c r="AO1521" s="109">
        <f ca="1">IF('Banco de Dados'!$AK1521&lt;&gt;"-",IF('Banco de Dados'!$F1521&lt;&gt;"-",IFERROR(_xlfn.XLOOKUP(_xlfn.CONCAT('Banco de Dados'!$A1521,IFERROR(IFERROR(VALUE(SUBSTITUTE(MID(_xlfn.TEXTAFTER('Banco de Dados'!$F1521,"Data do Pedido:
",1),1,10),"-","/")),VALUE(SUBSTITUTE(MID(_xlfn.TEXTAFTER('Banco de Dados'!$F1521,"Order date:
",1),1,10),"-","/"))),0)),ProxyDD[Chave],ProxyDD[Valor por pedido]),PROXY!$P$2),0),0)</f>
        <v>0.39877104377104378</v>
      </c>
      <c r="AP1521" s="28">
        <f ca="1">IF('Banco de Dados'!$AK1521&lt;&gt;"-",IF('Banco de Dados'!$AL1521="NÃO",IFERROR(VALUE(SUBSTITUTE(_xlfn.TEXTAFTER('Banco de Dados'!$F1521,"BRL ",1),".",",")),0),0),0)</f>
        <v>0</v>
      </c>
      <c r="AQ1521" s="28" t="e">
        <f ca="1">SUM('Banco de Dados'!$AM1521:$AP1521)</f>
        <v>#N/A</v>
      </c>
      <c r="AR1521" s="8"/>
      <c r="AY1521" s="8"/>
    </row>
    <row r="1522" spans="1:51">
      <c r="A1522" s="5" t="str">
        <v>MEI</v>
      </c>
      <c r="B1522" s="5" t="str">
        <f ca="1"/>
        <v>MEI45763</v>
      </c>
      <c r="C1522" s="8" t="str">
        <v>Pedido 1509</v>
      </c>
      <c r="D1522" s="187">
        <v>45758</v>
      </c>
      <c r="E1522" s="9">
        <v>45763</v>
      </c>
      <c r="F1522" s="8" t="str">
        <v>PedidoF1445</v>
      </c>
      <c r="G1522" s="2" t="str">
        <v>CódRastreio1443</v>
      </c>
      <c r="H1522" s="5">
        <v>1</v>
      </c>
      <c r="I1522" s="182" t="str">
        <v>CPF 1468</v>
      </c>
      <c r="J1522" s="2" t="str">
        <v>Nome 1468</v>
      </c>
      <c r="K1522" s="8" t="str">
        <v>Tel 1468</v>
      </c>
      <c r="L1522" s="8" t="str">
        <v>Cep 1468</v>
      </c>
      <c r="M1522" s="8" t="str">
        <v>Rua 1468</v>
      </c>
      <c r="N1522" s="8" t="str">
        <v>Comp 1468</v>
      </c>
      <c r="O1522" s="8" t="str">
        <v>Máquina de cortar cabelo dragão</v>
      </c>
      <c r="P1522" s="8" t="str">
        <v>RX-DD1P-P5U2</v>
      </c>
      <c r="Q1522" s="4">
        <v>45790</v>
      </c>
      <c r="R1522" s="109">
        <v>26.99</v>
      </c>
      <c r="S1522" s="11">
        <f ca="1"/>
        <v>26.99</v>
      </c>
      <c r="T1522" s="28">
        <f ca="1"/>
        <v>3.2387999999999999</v>
      </c>
      <c r="U1522" s="11">
        <f ca="1"/>
        <v>23.75</v>
      </c>
      <c r="V1522" s="11">
        <v>10.16</v>
      </c>
      <c r="W1522" s="11">
        <f ca="1"/>
        <v>0.25</v>
      </c>
      <c r="X1522" s="11">
        <f ca="1"/>
        <v>0.39877104377104378</v>
      </c>
      <c r="Y1522" s="11">
        <v>0</v>
      </c>
      <c r="Z1522" s="11">
        <f ca="1"/>
        <v>12.941228956228956</v>
      </c>
      <c r="AA1522" s="11">
        <f ca="1"/>
        <v>6.4706144781144781</v>
      </c>
      <c r="AB1522" s="4">
        <f ca="1"/>
        <v>45797</v>
      </c>
      <c r="AC1522" s="4">
        <v>45797</v>
      </c>
      <c r="AD1522" s="9">
        <v>45807</v>
      </c>
      <c r="AE1522" s="9">
        <v>45810</v>
      </c>
      <c r="AF1522" s="4" t="str">
        <f t="shared" ca="1" si="99"/>
        <v>2025 05</v>
      </c>
      <c r="AG1522" s="8" t="str" cm="1">
        <f t="array" ref="AG1522">IFERROR(_xlfn.IFS('Banco de Dados'!#REF!="AG. COMPRA","Em processamento",'Banco de Dados'!#REF!="AG. RASTREIO","Em processamento",'Banco de Dados'!$AE1522&lt;&gt;"-","Faturado",'Banco de Dados'!$AD1522&lt;&gt;"-","Aguardando Pix",'Banco de Dados'!$AC1522&lt;&gt;"-","Pendente"),"Aguardando Liberação")</f>
        <v>Aguardando Liberação</v>
      </c>
      <c r="AH1522" s="5" t="str">
        <f>IF('Banco de Dados'!$F1522="-",_xlfn.CONCAT(PROPER(TEXT(AK1522,"aaaa"))," ",PROPER(TEXT(AK1522,"mm"))),_xlfn.CONCAT(PROPER(TEXT(E1522,"aaaa"))," ",PROPER(TEXT(E1522,"mm"))))</f>
        <v>2025 04</v>
      </c>
      <c r="AI1522" s="9" t="str">
        <f ca="1">IF('Banco de Dados'!$AK1522&lt;&gt;"-","REEMBOLSO",IFERROR(_xlfn.XLOOKUP(G1522,Follow[CODRASTREIO],Follow[STATUS]),"-"))</f>
        <v>ENTREGUE</v>
      </c>
      <c r="AJ1522" s="9">
        <f ca="1">IF('Banco de Dados'!$AI1522="ENTREGUE",_xlfn.XLOOKUP('Banco de Dados'!$G1522,Follow[CODRASTREIO],Follow[DATAATUALIZAÇÃO]),"-")</f>
        <v>45777</v>
      </c>
      <c r="AK1522" s="132" t="str">
        <f ca="1"/>
        <v>-</v>
      </c>
      <c r="AL1522" s="35"/>
      <c r="AM1522" s="109" cm="1">
        <f t="array" aca="1" ref="AM1522" ca="1">IF('Banco de Dados'!$AK1522&lt;&gt;"-",_xlfn.IFS('Banco de Dados'!$A1522="bv",IF('Banco de Dados'!$E1522&lt;45641,ROUND(SUM('Banco de Dados'!$R1522*_xlfn.XLOOKUP('Banco de Dados'!$P1522,Sku!B:B,Sku!#REF!)*20%),2),ROUND(SUM('Banco de Dados'!$R1522*_xlfn.XLOOKUP('Banco de Dados'!$P1522,Sku!B:B,Sku!H:H)*20%),2)),'Banco de Dados'!$A1522="GO",ROUND(SUM('Banco de Dados'!$R1522*_xlfn.XLOOKUP('Banco de Dados'!$P1522,Sku!C:C,Sku!H:H)*20%),2),'Banco de Dados'!$A1522="MEI",ROUND(SUM('Banco de Dados'!$R1522*_xlfn.XLOOKUP('Banco de Dados'!$P1522,Sku!D:D,Sku!H:H)*20%),2)),0)</f>
        <v>0</v>
      </c>
      <c r="AN1522" s="109">
        <f ca="1">IF('Banco de Dados'!$AK1522&lt;&gt;"-",IF('Banco de Dados'!$F1522&lt;&gt;"-",_xlfn.XLOOKUP(IFERROR(IFERROR(IFERROR(VALUE(SUBSTITUTE(MID(_xlfn.TEXTAFTER('Banco de Dados'!$F1522,"Data do Pedido:
",1),1,10),"-","/")),VALUE(SUBSTITUTE(MID(_xlfn.TEXTAFTER('Banco de Dados'!$F1522,"Order date:
",1),1,10),"-","/"))),VALUE(SUBSTITUTE(MID(_xlfn.TEXTAFTER('Banco de Dados'!$F1522,"Fecha de pedido:
",1),1,10),"-","/"))),"-"),SMS!A:A,SMS!K:K),0),0)</f>
        <v>0</v>
      </c>
      <c r="AO1522" s="109">
        <f ca="1">IF('Banco de Dados'!$AK1522&lt;&gt;"-",IF('Banco de Dados'!$F1522&lt;&gt;"-",IFERROR(_xlfn.XLOOKUP(_xlfn.CONCAT('Banco de Dados'!$A1522,IFERROR(IFERROR(VALUE(SUBSTITUTE(MID(_xlfn.TEXTAFTER('Banco de Dados'!$F1522,"Data do Pedido:
",1),1,10),"-","/")),VALUE(SUBSTITUTE(MID(_xlfn.TEXTAFTER('Banco de Dados'!$F1522,"Order date:
",1),1,10),"-","/"))),0)),ProxyDD[Chave],ProxyDD[Valor por pedido]),PROXY!$P$2),0),0)</f>
        <v>0</v>
      </c>
      <c r="AP1522" s="28">
        <f ca="1">IF('Banco de Dados'!$AK1522&lt;&gt;"-",IF('Banco de Dados'!$AL1522="NÃO",IFERROR(VALUE(SUBSTITUTE(_xlfn.TEXTAFTER('Banco de Dados'!$F1522,"BRL ",1),".",",")),0),0),0)</f>
        <v>0</v>
      </c>
      <c r="AQ1522" s="28">
        <f ca="1">SUM('Banco de Dados'!$AM1522:$AP1522)</f>
        <v>0</v>
      </c>
      <c r="AR1522" s="8"/>
      <c r="AS1522" s="8"/>
      <c r="AT1522"/>
      <c r="AY1522" s="8"/>
    </row>
    <row r="1523" spans="1:51">
      <c r="A1523" s="5" t="str">
        <v>MEI</v>
      </c>
      <c r="B1523" s="5" t="str">
        <f ca="1"/>
        <v>MEI45763</v>
      </c>
      <c r="C1523" s="8" t="str">
        <v>Pedido 1510</v>
      </c>
      <c r="D1523" s="187">
        <v>45758</v>
      </c>
      <c r="E1523" s="9">
        <v>45763</v>
      </c>
      <c r="F1523" s="8" t="str">
        <v>PedidoF1446</v>
      </c>
      <c r="G1523" s="2" t="str">
        <v>CódRastreio1444</v>
      </c>
      <c r="H1523" s="5">
        <v>1</v>
      </c>
      <c r="I1523" s="182" t="str">
        <v>CPF 1469</v>
      </c>
      <c r="J1523" s="2" t="str">
        <v>Nome 1469</v>
      </c>
      <c r="K1523" s="8" t="str">
        <v>Tel 1469</v>
      </c>
      <c r="L1523" s="8" t="str">
        <v>Cep 1469</v>
      </c>
      <c r="M1523" s="8" t="str">
        <v>Rua 1469</v>
      </c>
      <c r="N1523" s="8" t="str">
        <v>Comp 1469</v>
      </c>
      <c r="O1523" s="8" t="str">
        <v>Máquina de cortar cabelo dragão</v>
      </c>
      <c r="P1523" s="8" t="str">
        <v>RX-DD1P-P5U2</v>
      </c>
      <c r="Q1523" s="4">
        <v>45790</v>
      </c>
      <c r="R1523" s="109">
        <v>26.99</v>
      </c>
      <c r="S1523" s="11">
        <f ca="1"/>
        <v>26.99</v>
      </c>
      <c r="T1523" s="28">
        <f ca="1"/>
        <v>3.2387999999999999</v>
      </c>
      <c r="U1523" s="11">
        <f ca="1"/>
        <v>23.75</v>
      </c>
      <c r="V1523" s="11">
        <v>10.16</v>
      </c>
      <c r="W1523" s="11">
        <f ca="1"/>
        <v>0.25</v>
      </c>
      <c r="X1523" s="11">
        <f ca="1"/>
        <v>0.39877104377104378</v>
      </c>
      <c r="Y1523" s="11">
        <v>0</v>
      </c>
      <c r="Z1523" s="11">
        <f ca="1"/>
        <v>12.941228956228956</v>
      </c>
      <c r="AA1523" s="11">
        <f ca="1"/>
        <v>6.4706144781144781</v>
      </c>
      <c r="AB1523" s="4">
        <f ca="1"/>
        <v>45797</v>
      </c>
      <c r="AC1523" s="4">
        <v>45797</v>
      </c>
      <c r="AD1523" s="9">
        <v>45807</v>
      </c>
      <c r="AE1523" s="9">
        <v>45810</v>
      </c>
      <c r="AF1523" s="4" t="str">
        <f t="shared" ca="1" si="99"/>
        <v>2025 05</v>
      </c>
      <c r="AG1523" s="8" t="str" cm="1">
        <f t="array" ref="AG1523">IFERROR(_xlfn.IFS('Banco de Dados'!#REF!="AG. COMPRA","Em processamento",'Banco de Dados'!#REF!="AG. RASTREIO","Em processamento",'Banco de Dados'!$AE1523&lt;&gt;"-","Faturado",'Banco de Dados'!$AD1523&lt;&gt;"-","Aguardando Pix",'Banco de Dados'!$AC1523&lt;&gt;"-","Pendente"),"Aguardando Liberação")</f>
        <v>Aguardando Liberação</v>
      </c>
      <c r="AH1523" s="5" t="str">
        <f>IF('Banco de Dados'!$F1523="-",_xlfn.CONCAT(PROPER(TEXT(AK1523,"aaaa"))," ",PROPER(TEXT(AK1523,"mm"))),_xlfn.CONCAT(PROPER(TEXT(E1523,"aaaa"))," ",PROPER(TEXT(E1523,"mm"))))</f>
        <v>2025 04</v>
      </c>
      <c r="AI1523" s="9" t="str">
        <f ca="1">IF('Banco de Dados'!$AK1523&lt;&gt;"-","REEMBOLSO",IFERROR(_xlfn.XLOOKUP(G1523,Follow[CODRASTREIO],Follow[STATUS]),"-"))</f>
        <v>ENTREGUE</v>
      </c>
      <c r="AJ1523" s="9">
        <f ca="1">IF('Banco de Dados'!$AI1523="ENTREGUE",_xlfn.XLOOKUP('Banco de Dados'!$G1523,Follow[CODRASTREIO],Follow[DATAATUALIZAÇÃO]),"-")</f>
        <v>45799</v>
      </c>
      <c r="AK1523" s="132" t="str">
        <f ca="1"/>
        <v>-</v>
      </c>
      <c r="AL1523" s="35"/>
      <c r="AM1523" s="109" cm="1">
        <f t="array" aca="1" ref="AM1523" ca="1">IF('Banco de Dados'!$AK1523&lt;&gt;"-",_xlfn.IFS('Banco de Dados'!$A1523="bv",IF('Banco de Dados'!$E1523&lt;45641,ROUND(SUM('Banco de Dados'!$R1523*_xlfn.XLOOKUP('Banco de Dados'!$P1523,Sku!B:B,Sku!#REF!)*20%),2),ROUND(SUM('Banco de Dados'!$R1523*_xlfn.XLOOKUP('Banco de Dados'!$P1523,Sku!B:B,Sku!H:H)*20%),2)),'Banco de Dados'!$A1523="GO",ROUND(SUM('Banco de Dados'!$R1523*_xlfn.XLOOKUP('Banco de Dados'!$P1523,Sku!C:C,Sku!H:H)*20%),2),'Banco de Dados'!$A1523="MEI",ROUND(SUM('Banco de Dados'!$R1523*_xlfn.XLOOKUP('Banco de Dados'!$P1523,Sku!D:D,Sku!H:H)*20%),2)),0)</f>
        <v>0</v>
      </c>
      <c r="AN1523" s="109">
        <f ca="1">IF('Banco de Dados'!$AK1523&lt;&gt;"-",IF('Banco de Dados'!$F1523&lt;&gt;"-",_xlfn.XLOOKUP(IFERROR(IFERROR(IFERROR(VALUE(SUBSTITUTE(MID(_xlfn.TEXTAFTER('Banco de Dados'!$F1523,"Data do Pedido:
",1),1,10),"-","/")),VALUE(SUBSTITUTE(MID(_xlfn.TEXTAFTER('Banco de Dados'!$F1523,"Order date:
",1),1,10),"-","/"))),VALUE(SUBSTITUTE(MID(_xlfn.TEXTAFTER('Banco de Dados'!$F1523,"Fecha de pedido:
",1),1,10),"-","/"))),"-"),SMS!A:A,SMS!K:K),0),0)</f>
        <v>0</v>
      </c>
      <c r="AO1523" s="109">
        <f ca="1">IF('Banco de Dados'!$AK1523&lt;&gt;"-",IF('Banco de Dados'!$F1523&lt;&gt;"-",IFERROR(_xlfn.XLOOKUP(_xlfn.CONCAT('Banco de Dados'!$A1523,IFERROR(IFERROR(VALUE(SUBSTITUTE(MID(_xlfn.TEXTAFTER('Banco de Dados'!$F1523,"Data do Pedido:
",1),1,10),"-","/")),VALUE(SUBSTITUTE(MID(_xlfn.TEXTAFTER('Banco de Dados'!$F1523,"Order date:
",1),1,10),"-","/"))),0)),ProxyDD[Chave],ProxyDD[Valor por pedido]),PROXY!$P$2),0),0)</f>
        <v>0</v>
      </c>
      <c r="AP1523" s="28">
        <f ca="1">IF('Banco de Dados'!$AK1523&lt;&gt;"-",IF('Banco de Dados'!$AL1523="NÃO",IFERROR(VALUE(SUBSTITUTE(_xlfn.TEXTAFTER('Banco de Dados'!$F1523,"BRL ",1),".",",")),0),0),0)</f>
        <v>0</v>
      </c>
      <c r="AQ1523" s="28">
        <f ca="1">SUM('Banco de Dados'!$AM1523:$AP1523)</f>
        <v>0</v>
      </c>
      <c r="AR1523" s="8"/>
      <c r="AS1523" s="8"/>
      <c r="AT1523"/>
      <c r="AY1523" s="8"/>
    </row>
    <row r="1524" spans="1:51">
      <c r="A1524" s="5" t="str">
        <v>MEI</v>
      </c>
      <c r="B1524" s="5" t="str">
        <f ca="1"/>
        <v>MEI45759</v>
      </c>
      <c r="C1524" s="8" t="str">
        <v>Pedido 1511</v>
      </c>
      <c r="D1524" s="187">
        <v>45759</v>
      </c>
      <c r="E1524" s="9">
        <v>45759</v>
      </c>
      <c r="F1524" s="8" t="str">
        <v>PedidoF1447</v>
      </c>
      <c r="G1524" s="2" t="str">
        <v>CódRastreio1445</v>
      </c>
      <c r="H1524" s="5">
        <v>1</v>
      </c>
      <c r="I1524" s="182" t="str">
        <v>CPF 1470</v>
      </c>
      <c r="J1524" s="2" t="str">
        <v>Nome 1470</v>
      </c>
      <c r="K1524" s="8" t="str">
        <v>Tel 1470</v>
      </c>
      <c r="L1524" s="8" t="str">
        <v>Cep 1470</v>
      </c>
      <c r="M1524" s="8" t="str">
        <v>Rua 1470</v>
      </c>
      <c r="N1524" s="8" t="str">
        <v>Comp 1470</v>
      </c>
      <c r="O1524" s="8" t="str">
        <v>Máquina de cortar cabelo dragão</v>
      </c>
      <c r="P1524" s="8" t="str">
        <v>RX-DD1P-P5U2</v>
      </c>
      <c r="Q1524" s="4">
        <v>45790</v>
      </c>
      <c r="R1524" s="109">
        <v>26.99</v>
      </c>
      <c r="S1524" s="11">
        <f ca="1"/>
        <v>26.99</v>
      </c>
      <c r="T1524" s="28">
        <f ca="1"/>
        <v>3.2387999999999999</v>
      </c>
      <c r="U1524" s="11">
        <f ca="1"/>
        <v>23.75</v>
      </c>
      <c r="V1524" s="11">
        <v>10.56</v>
      </c>
      <c r="W1524" s="11">
        <f ca="1"/>
        <v>0.15</v>
      </c>
      <c r="X1524" s="11">
        <f ca="1"/>
        <v>0.39877104377104378</v>
      </c>
      <c r="Y1524" s="11">
        <v>0</v>
      </c>
      <c r="Z1524" s="11">
        <f ca="1"/>
        <v>12.641228956228955</v>
      </c>
      <c r="AA1524" s="11">
        <f ca="1"/>
        <v>6.3206144781144777</v>
      </c>
      <c r="AB1524" s="4">
        <f ca="1"/>
        <v>45797</v>
      </c>
      <c r="AC1524" s="4">
        <v>45797</v>
      </c>
      <c r="AD1524" s="9">
        <v>45807</v>
      </c>
      <c r="AE1524" s="9">
        <v>45810</v>
      </c>
      <c r="AF1524" s="4" t="str">
        <f t="shared" ca="1" si="99"/>
        <v>2025 05</v>
      </c>
      <c r="AG1524" s="8" t="str" cm="1">
        <f t="array" ref="AG1524">IFERROR(_xlfn.IFS('Banco de Dados'!#REF!="AG. COMPRA","Em processamento",'Banco de Dados'!#REF!="AG. RASTREIO","Em processamento",'Banco de Dados'!$AE1524&lt;&gt;"-","Faturado",'Banco de Dados'!$AD1524&lt;&gt;"-","Aguardando Pix",'Banco de Dados'!$AC1524&lt;&gt;"-","Pendente"),"Aguardando Liberação")</f>
        <v>Aguardando Liberação</v>
      </c>
      <c r="AH1524" s="5" t="str">
        <f>IF('Banco de Dados'!$F1524="-",_xlfn.CONCAT(PROPER(TEXT(AK1524,"aaaa"))," ",PROPER(TEXT(AK1524,"mm"))),_xlfn.CONCAT(PROPER(TEXT(E1524,"aaaa"))," ",PROPER(TEXT(E1524,"mm"))))</f>
        <v>2025 04</v>
      </c>
      <c r="AI1524" s="9" t="str">
        <f ca="1">IF('Banco de Dados'!$AK1524&lt;&gt;"-","REEMBOLSO",IFERROR(_xlfn.XLOOKUP(G1524,Follow[CODRASTREIO],Follow[STATUS]),"-"))</f>
        <v>ENTREGUE</v>
      </c>
      <c r="AJ1524" s="9">
        <f ca="1">IF('Banco de Dados'!$AI1524="ENTREGUE",_xlfn.XLOOKUP('Banco de Dados'!$G1524,Follow[CODRASTREIO],Follow[DATAATUALIZAÇÃO]),"-")</f>
        <v>45772</v>
      </c>
      <c r="AK1524" s="132" t="str">
        <f ca="1"/>
        <v>-</v>
      </c>
      <c r="AL1524" s="35"/>
      <c r="AM1524" s="109" cm="1">
        <f t="array" aca="1" ref="AM1524" ca="1">IF('Banco de Dados'!$AK1524&lt;&gt;"-",_xlfn.IFS('Banco de Dados'!$A1524="bv",IF('Banco de Dados'!$E1524&lt;45641,ROUND(SUM('Banco de Dados'!$R1524*_xlfn.XLOOKUP('Banco de Dados'!$P1524,Sku!B:B,Sku!#REF!)*20%),2),ROUND(SUM('Banco de Dados'!$R1524*_xlfn.XLOOKUP('Banco de Dados'!$P1524,Sku!B:B,Sku!H:H)*20%),2)),'Banco de Dados'!$A1524="GO",ROUND(SUM('Banco de Dados'!$R1524*_xlfn.XLOOKUP('Banco de Dados'!$P1524,Sku!C:C,Sku!H:H)*20%),2),'Banco de Dados'!$A1524="MEI",ROUND(SUM('Banco de Dados'!$R1524*_xlfn.XLOOKUP('Banco de Dados'!$P1524,Sku!D:D,Sku!H:H)*20%),2)),0)</f>
        <v>0</v>
      </c>
      <c r="AN1524" s="109">
        <f ca="1">IF('Banco de Dados'!$AK1524&lt;&gt;"-",IF('Banco de Dados'!$F1524&lt;&gt;"-",_xlfn.XLOOKUP(IFERROR(IFERROR(IFERROR(VALUE(SUBSTITUTE(MID(_xlfn.TEXTAFTER('Banco de Dados'!$F1524,"Data do Pedido:
",1),1,10),"-","/")),VALUE(SUBSTITUTE(MID(_xlfn.TEXTAFTER('Banco de Dados'!$F1524,"Order date:
",1),1,10),"-","/"))),VALUE(SUBSTITUTE(MID(_xlfn.TEXTAFTER('Banco de Dados'!$F1524,"Fecha de pedido:
",1),1,10),"-","/"))),"-"),SMS!A:A,SMS!K:K),0),0)</f>
        <v>0</v>
      </c>
      <c r="AO1524" s="109">
        <f ca="1">IF('Banco de Dados'!$AK1524&lt;&gt;"-",IF('Banco de Dados'!$F1524&lt;&gt;"-",IFERROR(_xlfn.XLOOKUP(_xlfn.CONCAT('Banco de Dados'!$A1524,IFERROR(IFERROR(VALUE(SUBSTITUTE(MID(_xlfn.TEXTAFTER('Banco de Dados'!$F1524,"Data do Pedido:
",1),1,10),"-","/")),VALUE(SUBSTITUTE(MID(_xlfn.TEXTAFTER('Banco de Dados'!$F1524,"Order date:
",1),1,10),"-","/"))),0)),ProxyDD[Chave],ProxyDD[Valor por pedido]),PROXY!$P$2),0),0)</f>
        <v>0</v>
      </c>
      <c r="AP1524" s="28">
        <f ca="1">IF('Banco de Dados'!$AK1524&lt;&gt;"-",IF('Banco de Dados'!$AL1524="NÃO",IFERROR(VALUE(SUBSTITUTE(_xlfn.TEXTAFTER('Banco de Dados'!$F1524,"BRL ",1),".",",")),0),0),0)</f>
        <v>0</v>
      </c>
      <c r="AQ1524" s="28">
        <f ca="1">SUM('Banco de Dados'!$AM1524:$AP1524)</f>
        <v>0</v>
      </c>
      <c r="AR1524" s="8"/>
      <c r="AS1524" s="8"/>
      <c r="AT1524"/>
      <c r="AY1524" s="8"/>
    </row>
    <row r="1525" spans="1:51">
      <c r="A1525" s="5" t="str">
        <v>MEI</v>
      </c>
      <c r="B1525" s="5" t="str">
        <f ca="1"/>
        <v>MEI45759</v>
      </c>
      <c r="C1525" s="8" t="str">
        <v>Pedido 1512</v>
      </c>
      <c r="D1525" s="187">
        <v>45759</v>
      </c>
      <c r="E1525" s="9">
        <v>45759</v>
      </c>
      <c r="F1525" s="8" t="str">
        <v>PedidoF1448</v>
      </c>
      <c r="G1525" s="2" t="str">
        <v>CódRastreio1446</v>
      </c>
      <c r="H1525" s="5">
        <v>1</v>
      </c>
      <c r="I1525" s="182" t="str">
        <v>CPF 1471</v>
      </c>
      <c r="J1525" s="2" t="str">
        <v>Nome 1471</v>
      </c>
      <c r="K1525" s="8" t="str">
        <v>Tel 1471</v>
      </c>
      <c r="L1525" s="8" t="str">
        <v>Cep 1471</v>
      </c>
      <c r="M1525" s="8" t="str">
        <v>Rua 1471</v>
      </c>
      <c r="N1525" s="8" t="str">
        <v>Comp 1471</v>
      </c>
      <c r="O1525" s="8" t="str">
        <v>Máquina de cortar cabelo dragão</v>
      </c>
      <c r="P1525" s="8" t="str">
        <v>RX-DD1P-P5U2</v>
      </c>
      <c r="Q1525" s="4">
        <v>45797</v>
      </c>
      <c r="R1525" s="109">
        <v>26.99</v>
      </c>
      <c r="S1525" s="11">
        <f ca="1"/>
        <v>26.99</v>
      </c>
      <c r="T1525" s="28">
        <f ca="1"/>
        <v>3.2387999999999999</v>
      </c>
      <c r="U1525" s="11">
        <f ca="1"/>
        <v>23.75</v>
      </c>
      <c r="V1525" s="11">
        <v>10.130000000000001</v>
      </c>
      <c r="W1525" s="11">
        <f ca="1"/>
        <v>0.15</v>
      </c>
      <c r="X1525" s="11">
        <f ca="1"/>
        <v>0.39877104377104378</v>
      </c>
      <c r="Y1525" s="11">
        <v>0</v>
      </c>
      <c r="Z1525" s="11">
        <f ca="1"/>
        <v>13.071228956228955</v>
      </c>
      <c r="AA1525" s="11">
        <f ca="1"/>
        <v>6.5356144781144776</v>
      </c>
      <c r="AB1525" s="4">
        <f ca="1"/>
        <v>45804</v>
      </c>
      <c r="AC1525" s="4">
        <v>45804</v>
      </c>
      <c r="AD1525" s="9">
        <v>45807</v>
      </c>
      <c r="AE1525" s="9">
        <v>45810</v>
      </c>
      <c r="AF1525" s="4" t="str">
        <f t="shared" ca="1" si="99"/>
        <v>2025 05</v>
      </c>
      <c r="AG1525" s="8" t="str" cm="1">
        <f t="array" ref="AG1525">IFERROR(_xlfn.IFS('Banco de Dados'!#REF!="AG. COMPRA","Em processamento",'Banco de Dados'!#REF!="AG. RASTREIO","Em processamento",'Banco de Dados'!$AE1525&lt;&gt;"-","Faturado",'Banco de Dados'!$AD1525&lt;&gt;"-","Aguardando Pix",'Banco de Dados'!$AC1525&lt;&gt;"-","Pendente"),"Aguardando Liberação")</f>
        <v>Aguardando Liberação</v>
      </c>
      <c r="AH1525" s="5" t="str">
        <f>IF('Banco de Dados'!$F1525="-",_xlfn.CONCAT(PROPER(TEXT(AK1525,"aaaa"))," ",PROPER(TEXT(AK1525,"mm"))),_xlfn.CONCAT(PROPER(TEXT(E1525,"aaaa"))," ",PROPER(TEXT(E1525,"mm"))))</f>
        <v>2025 04</v>
      </c>
      <c r="AI1525" s="9" t="str">
        <f ca="1">IF('Banco de Dados'!$AK1525&lt;&gt;"-","REEMBOLSO",IFERROR(_xlfn.XLOOKUP(G1525,Follow[CODRASTREIO],Follow[STATUS]),"-"))</f>
        <v>ENTREGUE</v>
      </c>
      <c r="AJ1525" s="9">
        <f ca="1">IF('Banco de Dados'!$AI1525="ENTREGUE",_xlfn.XLOOKUP('Banco de Dados'!$G1525,Follow[CODRASTREIO],Follow[DATAATUALIZAÇÃO]),"-")</f>
        <v>45772</v>
      </c>
      <c r="AK1525" s="132" t="str">
        <f ca="1"/>
        <v>-</v>
      </c>
      <c r="AL1525" s="35"/>
      <c r="AM1525" s="109" cm="1">
        <f t="array" aca="1" ref="AM1525" ca="1">IF('Banco de Dados'!$AK1525&lt;&gt;"-",_xlfn.IFS('Banco de Dados'!$A1525="bv",IF('Banco de Dados'!$E1525&lt;45641,ROUND(SUM('Banco de Dados'!$R1525*_xlfn.XLOOKUP('Banco de Dados'!$P1525,Sku!B:B,Sku!#REF!)*20%),2),ROUND(SUM('Banco de Dados'!$R1525*_xlfn.XLOOKUP('Banco de Dados'!$P1525,Sku!B:B,Sku!H:H)*20%),2)),'Banco de Dados'!$A1525="GO",ROUND(SUM('Banco de Dados'!$R1525*_xlfn.XLOOKUP('Banco de Dados'!$P1525,Sku!C:C,Sku!H:H)*20%),2),'Banco de Dados'!$A1525="MEI",ROUND(SUM('Banco de Dados'!$R1525*_xlfn.XLOOKUP('Banco de Dados'!$P1525,Sku!D:D,Sku!H:H)*20%),2)),0)</f>
        <v>0</v>
      </c>
      <c r="AN1525" s="109">
        <f ca="1">IF('Banco de Dados'!$AK1525&lt;&gt;"-",IF('Banco de Dados'!$F1525&lt;&gt;"-",_xlfn.XLOOKUP(IFERROR(IFERROR(IFERROR(VALUE(SUBSTITUTE(MID(_xlfn.TEXTAFTER('Banco de Dados'!$F1525,"Data do Pedido:
",1),1,10),"-","/")),VALUE(SUBSTITUTE(MID(_xlfn.TEXTAFTER('Banco de Dados'!$F1525,"Order date:
",1),1,10),"-","/"))),VALUE(SUBSTITUTE(MID(_xlfn.TEXTAFTER('Banco de Dados'!$F1525,"Fecha de pedido:
",1),1,10),"-","/"))),"-"),SMS!A:A,SMS!K:K),0),0)</f>
        <v>0</v>
      </c>
      <c r="AO1525" s="109">
        <f ca="1">IF('Banco de Dados'!$AK1525&lt;&gt;"-",IF('Banco de Dados'!$F1525&lt;&gt;"-",IFERROR(_xlfn.XLOOKUP(_xlfn.CONCAT('Banco de Dados'!$A1525,IFERROR(IFERROR(VALUE(SUBSTITUTE(MID(_xlfn.TEXTAFTER('Banco de Dados'!$F1525,"Data do Pedido:
",1),1,10),"-","/")),VALUE(SUBSTITUTE(MID(_xlfn.TEXTAFTER('Banco de Dados'!$F1525,"Order date:
",1),1,10),"-","/"))),0)),ProxyDD[Chave],ProxyDD[Valor por pedido]),PROXY!$P$2),0),0)</f>
        <v>0</v>
      </c>
      <c r="AP1525" s="28">
        <f ca="1">IF('Banco de Dados'!$AK1525&lt;&gt;"-",IF('Banco de Dados'!$AL1525="NÃO",IFERROR(VALUE(SUBSTITUTE(_xlfn.TEXTAFTER('Banco de Dados'!$F1525,"BRL ",1),".",",")),0),0),0)</f>
        <v>0</v>
      </c>
      <c r="AQ1525" s="28">
        <f ca="1">SUM('Banco de Dados'!$AM1525:$AP1525)</f>
        <v>0</v>
      </c>
      <c r="AR1525" s="8"/>
      <c r="AS1525" s="8"/>
      <c r="AT1525"/>
      <c r="AY1525" s="8"/>
    </row>
    <row r="1526" spans="1:51">
      <c r="A1526" s="5" t="str">
        <v>MEI</v>
      </c>
      <c r="B1526" s="5" t="str">
        <f ca="1"/>
        <v>MEI45759</v>
      </c>
      <c r="C1526" s="8" t="str">
        <v>Pedido 1513</v>
      </c>
      <c r="D1526" s="187">
        <v>45759</v>
      </c>
      <c r="E1526" s="9">
        <v>45759</v>
      </c>
      <c r="F1526" s="8" t="str">
        <v>PedidoF1449</v>
      </c>
      <c r="G1526" s="2" t="str">
        <v>CódRastreio1447</v>
      </c>
      <c r="H1526" s="5">
        <v>1</v>
      </c>
      <c r="I1526" s="182" t="str">
        <v>CPF 1472</v>
      </c>
      <c r="J1526" s="2" t="str">
        <v>Nome 1472</v>
      </c>
      <c r="K1526" s="8" t="str">
        <v>Tel 1472</v>
      </c>
      <c r="L1526" s="8" t="str">
        <v>Cep 1472</v>
      </c>
      <c r="M1526" s="8" t="str">
        <v>Rua 1472</v>
      </c>
      <c r="N1526" s="8" t="str">
        <v>Comp 1472</v>
      </c>
      <c r="O1526" s="8" t="str">
        <v>Máquina de cortar cabelo dragão</v>
      </c>
      <c r="P1526" s="8" t="str">
        <v>RX-DD1P-P5U2</v>
      </c>
      <c r="Q1526" s="4">
        <v>45790</v>
      </c>
      <c r="R1526" s="109">
        <v>26.99</v>
      </c>
      <c r="S1526" s="11">
        <f ca="1"/>
        <v>26.99</v>
      </c>
      <c r="T1526" s="28">
        <f ca="1"/>
        <v>3.2387999999999999</v>
      </c>
      <c r="U1526" s="11">
        <f ca="1"/>
        <v>23.75</v>
      </c>
      <c r="V1526" s="11">
        <v>10.56</v>
      </c>
      <c r="W1526" s="11">
        <f ca="1"/>
        <v>0.15</v>
      </c>
      <c r="X1526" s="11">
        <f ca="1"/>
        <v>0.39877104377104378</v>
      </c>
      <c r="Y1526" s="11">
        <v>0</v>
      </c>
      <c r="Z1526" s="11">
        <f ca="1"/>
        <v>12.641228956228955</v>
      </c>
      <c r="AA1526" s="11">
        <f ca="1"/>
        <v>6.3206144781144777</v>
      </c>
      <c r="AB1526" s="4">
        <f ca="1"/>
        <v>45797</v>
      </c>
      <c r="AC1526" s="4">
        <v>45797</v>
      </c>
      <c r="AD1526" s="9">
        <v>45807</v>
      </c>
      <c r="AE1526" s="9">
        <v>45810</v>
      </c>
      <c r="AF1526" s="4" t="str">
        <f t="shared" ca="1" si="99"/>
        <v>2025 05</v>
      </c>
      <c r="AG1526" s="8" t="str" cm="1">
        <f t="array" ref="AG1526">IFERROR(_xlfn.IFS('Banco de Dados'!#REF!="AG. COMPRA","Em processamento",'Banco de Dados'!#REF!="AG. RASTREIO","Em processamento",'Banco de Dados'!$AE1526&lt;&gt;"-","Faturado",'Banco de Dados'!$AD1526&lt;&gt;"-","Aguardando Pix",'Banco de Dados'!$AC1526&lt;&gt;"-","Pendente"),"Aguardando Liberação")</f>
        <v>Aguardando Liberação</v>
      </c>
      <c r="AH1526" s="5" t="str">
        <f>IF('Banco de Dados'!$F1526="-",_xlfn.CONCAT(PROPER(TEXT(AK1526,"aaaa"))," ",PROPER(TEXT(AK1526,"mm"))),_xlfn.CONCAT(PROPER(TEXT(E1526,"aaaa"))," ",PROPER(TEXT(E1526,"mm"))))</f>
        <v>2025 04</v>
      </c>
      <c r="AI1526" s="9" t="str">
        <f ca="1">IF('Banco de Dados'!$AK1526&lt;&gt;"-","REEMBOLSO",IFERROR(_xlfn.XLOOKUP(G1526,Follow[CODRASTREIO],Follow[STATUS]),"-"))</f>
        <v>ENTREGUE</v>
      </c>
      <c r="AJ1526" s="9">
        <f ca="1">IF('Banco de Dados'!$AI1526="ENTREGUE",_xlfn.XLOOKUP('Banco de Dados'!$G1526,Follow[CODRASTREIO],Follow[DATAATUALIZAÇÃO]),"-")</f>
        <v>45769</v>
      </c>
      <c r="AK1526" s="132" t="str">
        <f ca="1"/>
        <v>-</v>
      </c>
      <c r="AL1526" s="35"/>
      <c r="AM1526" s="109" cm="1">
        <f t="array" aca="1" ref="AM1526" ca="1">IF('Banco de Dados'!$AK1526&lt;&gt;"-",_xlfn.IFS('Banco de Dados'!$A1526="bv",IF('Banco de Dados'!$E1526&lt;45641,ROUND(SUM('Banco de Dados'!$R1526*_xlfn.XLOOKUP('Banco de Dados'!$P1526,Sku!B:B,Sku!#REF!)*20%),2),ROUND(SUM('Banco de Dados'!$R1526*_xlfn.XLOOKUP('Banco de Dados'!$P1526,Sku!B:B,Sku!H:H)*20%),2)),'Banco de Dados'!$A1526="GO",ROUND(SUM('Banco de Dados'!$R1526*_xlfn.XLOOKUP('Banco de Dados'!$P1526,Sku!C:C,Sku!H:H)*20%),2),'Banco de Dados'!$A1526="MEI",ROUND(SUM('Banco de Dados'!$R1526*_xlfn.XLOOKUP('Banco de Dados'!$P1526,Sku!D:D,Sku!H:H)*20%),2)),0)</f>
        <v>0</v>
      </c>
      <c r="AN1526" s="109">
        <f ca="1">IF('Banco de Dados'!$AK1526&lt;&gt;"-",IF('Banco de Dados'!$F1526&lt;&gt;"-",_xlfn.XLOOKUP(IFERROR(IFERROR(IFERROR(VALUE(SUBSTITUTE(MID(_xlfn.TEXTAFTER('Banco de Dados'!$F1526,"Data do Pedido:
",1),1,10),"-","/")),VALUE(SUBSTITUTE(MID(_xlfn.TEXTAFTER('Banco de Dados'!$F1526,"Order date:
",1),1,10),"-","/"))),VALUE(SUBSTITUTE(MID(_xlfn.TEXTAFTER('Banco de Dados'!$F1526,"Fecha de pedido:
",1),1,10),"-","/"))),"-"),SMS!A:A,SMS!K:K),0),0)</f>
        <v>0</v>
      </c>
      <c r="AO1526" s="109">
        <f ca="1">IF('Banco de Dados'!$AK1526&lt;&gt;"-",IF('Banco de Dados'!$F1526&lt;&gt;"-",IFERROR(_xlfn.XLOOKUP(_xlfn.CONCAT('Banco de Dados'!$A1526,IFERROR(IFERROR(VALUE(SUBSTITUTE(MID(_xlfn.TEXTAFTER('Banco de Dados'!$F1526,"Data do Pedido:
",1),1,10),"-","/")),VALUE(SUBSTITUTE(MID(_xlfn.TEXTAFTER('Banco de Dados'!$F1526,"Order date:
",1),1,10),"-","/"))),0)),ProxyDD[Chave],ProxyDD[Valor por pedido]),PROXY!$P$2),0),0)</f>
        <v>0</v>
      </c>
      <c r="AP1526" s="28">
        <f ca="1">IF('Banco de Dados'!$AK1526&lt;&gt;"-",IF('Banco de Dados'!$AL1526="NÃO",IFERROR(VALUE(SUBSTITUTE(_xlfn.TEXTAFTER('Banco de Dados'!$F1526,"BRL ",1),".",",")),0),0),0)</f>
        <v>0</v>
      </c>
      <c r="AQ1526" s="28">
        <f ca="1">SUM('Banco de Dados'!$AM1526:$AP1526)</f>
        <v>0</v>
      </c>
      <c r="AR1526" s="8"/>
      <c r="AS1526" s="8"/>
      <c r="AT1526"/>
      <c r="AY1526" s="8"/>
    </row>
    <row r="1527" spans="1:51">
      <c r="A1527" s="5" t="str">
        <v>MEI</v>
      </c>
      <c r="B1527" s="5" t="str">
        <f ca="1"/>
        <v>MEI45759</v>
      </c>
      <c r="C1527" s="8" t="str">
        <v>Pedido 1514</v>
      </c>
      <c r="D1527" s="187">
        <v>45759</v>
      </c>
      <c r="E1527" s="9">
        <v>45759</v>
      </c>
      <c r="F1527" s="8" t="str">
        <v>PedidoF1450</v>
      </c>
      <c r="G1527" s="2" t="str">
        <v>CódRastreio1448</v>
      </c>
      <c r="H1527" s="5">
        <v>1</v>
      </c>
      <c r="I1527" s="182" t="str">
        <v>CPF 1473</v>
      </c>
      <c r="J1527" s="2" t="str">
        <v>Nome 1473</v>
      </c>
      <c r="K1527" s="8" t="str">
        <v>Tel 1473</v>
      </c>
      <c r="L1527" s="8" t="str">
        <v>Cep 1473</v>
      </c>
      <c r="M1527" s="8" t="str">
        <v>Rua 1473</v>
      </c>
      <c r="N1527" s="8" t="str">
        <v>Comp 1473</v>
      </c>
      <c r="O1527" s="8" t="str">
        <v>Karaoke portátil</v>
      </c>
      <c r="P1527" s="8" t="str">
        <v>1I-EZPV-2Q78</v>
      </c>
      <c r="Q1527" s="4">
        <v>45797</v>
      </c>
      <c r="R1527" s="109">
        <v>52.9</v>
      </c>
      <c r="S1527" s="11">
        <f ca="1"/>
        <v>52.9</v>
      </c>
      <c r="T1527" s="28">
        <f ca="1"/>
        <v>7.9349999999999996</v>
      </c>
      <c r="U1527" s="11">
        <f ca="1"/>
        <v>44.97</v>
      </c>
      <c r="V1527" s="11">
        <v>22.92</v>
      </c>
      <c r="W1527" s="11">
        <f ca="1"/>
        <v>0.15</v>
      </c>
      <c r="X1527" s="11">
        <f ca="1"/>
        <v>0.39877104377104378</v>
      </c>
      <c r="Y1527" s="11">
        <v>0</v>
      </c>
      <c r="Z1527" s="11">
        <f ca="1"/>
        <v>21.501228956228953</v>
      </c>
      <c r="AA1527" s="11">
        <f ca="1"/>
        <v>10.750614478114477</v>
      </c>
      <c r="AB1527" s="4">
        <f ca="1"/>
        <v>45804</v>
      </c>
      <c r="AC1527" s="4">
        <v>45804</v>
      </c>
      <c r="AD1527" s="9">
        <v>45807</v>
      </c>
      <c r="AE1527" s="9">
        <v>45810</v>
      </c>
      <c r="AF1527" s="4" t="str">
        <f t="shared" ca="1" si="99"/>
        <v>2025 05</v>
      </c>
      <c r="AG1527" s="8" t="str" cm="1">
        <f t="array" ref="AG1527">IFERROR(_xlfn.IFS('Banco de Dados'!#REF!="AG. COMPRA","Em processamento",'Banco de Dados'!#REF!="AG. RASTREIO","Em processamento",'Banco de Dados'!$AE1527&lt;&gt;"-","Faturado",'Banco de Dados'!$AD1527&lt;&gt;"-","Aguardando Pix",'Banco de Dados'!$AC1527&lt;&gt;"-","Pendente"),"Aguardando Liberação")</f>
        <v>Aguardando Liberação</v>
      </c>
      <c r="AH1527" s="5" t="str">
        <f>IF('Banco de Dados'!$F1527="-",_xlfn.CONCAT(PROPER(TEXT(AK1527,"aaaa"))," ",PROPER(TEXT(AK1527,"mm"))),_xlfn.CONCAT(PROPER(TEXT(E1527,"aaaa"))," ",PROPER(TEXT(E1527,"mm"))))</f>
        <v>2025 04</v>
      </c>
      <c r="AI1527" s="9" t="str">
        <f ca="1">IF('Banco de Dados'!$AK1527&lt;&gt;"-","REEMBOLSO",IFERROR(_xlfn.XLOOKUP(G1527,Follow[CODRASTREIO],Follow[STATUS]),"-"))</f>
        <v>ENTREGUE</v>
      </c>
      <c r="AJ1527" s="9">
        <f ca="1">IF('Banco de Dados'!$AI1527="ENTREGUE",_xlfn.XLOOKUP('Banco de Dados'!$G1527,Follow[CODRASTREIO],Follow[DATAATUALIZAÇÃO]),"-")</f>
        <v>45771</v>
      </c>
      <c r="AK1527" s="132" t="str">
        <f ca="1"/>
        <v>-</v>
      </c>
      <c r="AL1527" s="35"/>
      <c r="AM1527" s="109" cm="1">
        <f t="array" aca="1" ref="AM1527" ca="1">IF('Banco de Dados'!$AK1527&lt;&gt;"-",_xlfn.IFS('Banco de Dados'!$A1527="bv",IF('Banco de Dados'!$E1527&lt;45641,ROUND(SUM('Banco de Dados'!$R1527*_xlfn.XLOOKUP('Banco de Dados'!$P1527,Sku!B:B,Sku!#REF!)*20%),2),ROUND(SUM('Banco de Dados'!$R1527*_xlfn.XLOOKUP('Banco de Dados'!$P1527,Sku!B:B,Sku!H:H)*20%),2)),'Banco de Dados'!$A1527="GO",ROUND(SUM('Banco de Dados'!$R1527*_xlfn.XLOOKUP('Banco de Dados'!$P1527,Sku!C:C,Sku!H:H)*20%),2),'Banco de Dados'!$A1527="MEI",ROUND(SUM('Banco de Dados'!$R1527*_xlfn.XLOOKUP('Banco de Dados'!$P1527,Sku!D:D,Sku!H:H)*20%),2)),0)</f>
        <v>0</v>
      </c>
      <c r="AN1527" s="109">
        <f ca="1">IF('Banco de Dados'!$AK1527&lt;&gt;"-",IF('Banco de Dados'!$F1527&lt;&gt;"-",_xlfn.XLOOKUP(IFERROR(IFERROR(IFERROR(VALUE(SUBSTITUTE(MID(_xlfn.TEXTAFTER('Banco de Dados'!$F1527,"Data do Pedido:
",1),1,10),"-","/")),VALUE(SUBSTITUTE(MID(_xlfn.TEXTAFTER('Banco de Dados'!$F1527,"Order date:
",1),1,10),"-","/"))),VALUE(SUBSTITUTE(MID(_xlfn.TEXTAFTER('Banco de Dados'!$F1527,"Fecha de pedido:
",1),1,10),"-","/"))),"-"),SMS!A:A,SMS!K:K),0),0)</f>
        <v>0</v>
      </c>
      <c r="AO1527" s="109">
        <f ca="1">IF('Banco de Dados'!$AK1527&lt;&gt;"-",IF('Banco de Dados'!$F1527&lt;&gt;"-",IFERROR(_xlfn.XLOOKUP(_xlfn.CONCAT('Banco de Dados'!$A1527,IFERROR(IFERROR(VALUE(SUBSTITUTE(MID(_xlfn.TEXTAFTER('Banco de Dados'!$F1527,"Data do Pedido:
",1),1,10),"-","/")),VALUE(SUBSTITUTE(MID(_xlfn.TEXTAFTER('Banco de Dados'!$F1527,"Order date:
",1),1,10),"-","/"))),0)),ProxyDD[Chave],ProxyDD[Valor por pedido]),PROXY!$P$2),0),0)</f>
        <v>0</v>
      </c>
      <c r="AP1527" s="28">
        <f ca="1">IF('Banco de Dados'!$AK1527&lt;&gt;"-",IF('Banco de Dados'!$AL1527="NÃO",IFERROR(VALUE(SUBSTITUTE(_xlfn.TEXTAFTER('Banco de Dados'!$F1527,"BRL ",1),".",",")),0),0),0)</f>
        <v>0</v>
      </c>
      <c r="AQ1527" s="28">
        <f ca="1">SUM('Banco de Dados'!$AM1527:$AP1527)</f>
        <v>0</v>
      </c>
      <c r="AR1527" s="8"/>
      <c r="AS1527" s="8"/>
      <c r="AT1527"/>
      <c r="AY1527" s="8"/>
    </row>
    <row r="1528" spans="1:51">
      <c r="A1528" s="5" t="str">
        <v>MEI</v>
      </c>
      <c r="B1528" s="5" t="str">
        <f ca="1"/>
        <v>MEI45759</v>
      </c>
      <c r="C1528" s="8" t="str">
        <v>Pedido 1515</v>
      </c>
      <c r="D1528" s="187">
        <v>45759</v>
      </c>
      <c r="E1528" s="9">
        <v>45759</v>
      </c>
      <c r="F1528" s="8" t="str">
        <v>PedidoF1451</v>
      </c>
      <c r="G1528" s="2" t="str">
        <v>CódRastreio1449</v>
      </c>
      <c r="H1528" s="5">
        <v>1</v>
      </c>
      <c r="I1528" s="182" t="str">
        <v>CPF 1474</v>
      </c>
      <c r="J1528" s="2" t="str">
        <v>Nome 1474</v>
      </c>
      <c r="K1528" s="8" t="str">
        <v>Tel 1474</v>
      </c>
      <c r="L1528" s="8" t="str">
        <v>Cep 1474</v>
      </c>
      <c r="M1528" s="8" t="str">
        <v>Rua 1474</v>
      </c>
      <c r="N1528" s="8" t="str">
        <v>Comp 1474</v>
      </c>
      <c r="O1528" s="8" t="str">
        <v>Caixinha de som Preta</v>
      </c>
      <c r="P1528" s="8" t="str">
        <v>K9-7YJH-TT9R</v>
      </c>
      <c r="Q1528" s="4">
        <v>45784</v>
      </c>
      <c r="R1528" s="109">
        <v>25.88</v>
      </c>
      <c r="S1528" s="11">
        <f ca="1"/>
        <v>25.88</v>
      </c>
      <c r="T1528" s="28">
        <f ca="1"/>
        <v>3.8819999999999997</v>
      </c>
      <c r="U1528" s="11">
        <f ca="1"/>
        <v>22</v>
      </c>
      <c r="V1528" s="11">
        <v>16.5</v>
      </c>
      <c r="W1528" s="11">
        <f ca="1"/>
        <v>0.15</v>
      </c>
      <c r="X1528" s="11">
        <f ca="1"/>
        <v>0.39877104377104378</v>
      </c>
      <c r="Y1528" s="11">
        <v>0</v>
      </c>
      <c r="Z1528" s="11">
        <f ca="1"/>
        <v>4.951228956228956</v>
      </c>
      <c r="AA1528" s="11">
        <f ca="1"/>
        <v>2.475614478114478</v>
      </c>
      <c r="AB1528" s="4">
        <f ca="1"/>
        <v>45791</v>
      </c>
      <c r="AC1528" s="4">
        <v>45791</v>
      </c>
      <c r="AD1528" s="9">
        <v>45793</v>
      </c>
      <c r="AE1528" s="9">
        <v>45797</v>
      </c>
      <c r="AF1528" s="4" t="str">
        <f t="shared" ca="1" si="99"/>
        <v>2025 05</v>
      </c>
      <c r="AG1528" s="8" t="str" cm="1">
        <f t="array" ref="AG1528">IFERROR(_xlfn.IFS('Banco de Dados'!#REF!="AG. COMPRA","Em processamento",'Banco de Dados'!#REF!="AG. RASTREIO","Em processamento",'Banco de Dados'!$AE1528&lt;&gt;"-","Faturado",'Banco de Dados'!$AD1528&lt;&gt;"-","Aguardando Pix",'Banco de Dados'!$AC1528&lt;&gt;"-","Pendente"),"Aguardando Liberação")</f>
        <v>Aguardando Liberação</v>
      </c>
      <c r="AH1528" s="5" t="str">
        <f>IF('Banco de Dados'!$F1528="-",_xlfn.CONCAT(PROPER(TEXT(AK1528,"aaaa"))," ",PROPER(TEXT(AK1528,"mm"))),_xlfn.CONCAT(PROPER(TEXT(E1528,"aaaa"))," ",PROPER(TEXT(E1528,"mm"))))</f>
        <v>2025 04</v>
      </c>
      <c r="AI1528" s="9" t="str">
        <f ca="1">IF('Banco de Dados'!$AK1528&lt;&gt;"-","REEMBOLSO",IFERROR(_xlfn.XLOOKUP(G1528,Follow[CODRASTREIO],Follow[STATUS]),"-"))</f>
        <v>ENTREGUE</v>
      </c>
      <c r="AJ1528" s="9">
        <f ca="1">IF('Banco de Dados'!$AI1528="ENTREGUE",_xlfn.XLOOKUP('Banco de Dados'!$G1528,Follow[CODRASTREIO],Follow[DATAATUALIZAÇÃO]),"-")</f>
        <v>45766</v>
      </c>
      <c r="AK1528" s="132" t="str">
        <f ca="1"/>
        <v>-</v>
      </c>
      <c r="AL1528" s="35"/>
      <c r="AM1528" s="109" cm="1">
        <f t="array" aca="1" ref="AM1528" ca="1">IF('Banco de Dados'!$AK1528&lt;&gt;"-",_xlfn.IFS('Banco de Dados'!$A1528="bv",IF('Banco de Dados'!$E1528&lt;45641,ROUND(SUM('Banco de Dados'!$R1528*_xlfn.XLOOKUP('Banco de Dados'!$P1528,Sku!B:B,Sku!#REF!)*20%),2),ROUND(SUM('Banco de Dados'!$R1528*_xlfn.XLOOKUP('Banco de Dados'!$P1528,Sku!B:B,Sku!H:H)*20%),2)),'Banco de Dados'!$A1528="GO",ROUND(SUM('Banco de Dados'!$R1528*_xlfn.XLOOKUP('Banco de Dados'!$P1528,Sku!C:C,Sku!H:H)*20%),2),'Banco de Dados'!$A1528="MEI",ROUND(SUM('Banco de Dados'!$R1528*_xlfn.XLOOKUP('Banco de Dados'!$P1528,Sku!D:D,Sku!H:H)*20%),2)),0)</f>
        <v>0</v>
      </c>
      <c r="AN1528" s="109">
        <f ca="1">IF('Banco de Dados'!$AK1528&lt;&gt;"-",IF('Banco de Dados'!$F1528&lt;&gt;"-",_xlfn.XLOOKUP(IFERROR(IFERROR(IFERROR(VALUE(SUBSTITUTE(MID(_xlfn.TEXTAFTER('Banco de Dados'!$F1528,"Data do Pedido:
",1),1,10),"-","/")),VALUE(SUBSTITUTE(MID(_xlfn.TEXTAFTER('Banco de Dados'!$F1528,"Order date:
",1),1,10),"-","/"))),VALUE(SUBSTITUTE(MID(_xlfn.TEXTAFTER('Banco de Dados'!$F1528,"Fecha de pedido:
",1),1,10),"-","/"))),"-"),SMS!A:A,SMS!K:K),0),0)</f>
        <v>0</v>
      </c>
      <c r="AO1528" s="109">
        <f ca="1">IF('Banco de Dados'!$AK1528&lt;&gt;"-",IF('Banco de Dados'!$F1528&lt;&gt;"-",IFERROR(_xlfn.XLOOKUP(_xlfn.CONCAT('Banco de Dados'!$A1528,IFERROR(IFERROR(VALUE(SUBSTITUTE(MID(_xlfn.TEXTAFTER('Banco de Dados'!$F1528,"Data do Pedido:
",1),1,10),"-","/")),VALUE(SUBSTITUTE(MID(_xlfn.TEXTAFTER('Banco de Dados'!$F1528,"Order date:
",1),1,10),"-","/"))),0)),ProxyDD[Chave],ProxyDD[Valor por pedido]),PROXY!$P$2),0),0)</f>
        <v>0</v>
      </c>
      <c r="AP1528" s="28">
        <f ca="1">IF('Banco de Dados'!$AK1528&lt;&gt;"-",IF('Banco de Dados'!$AL1528="NÃO",IFERROR(VALUE(SUBSTITUTE(_xlfn.TEXTAFTER('Banco de Dados'!$F1528,"BRL ",1),".",",")),0),0),0)</f>
        <v>0</v>
      </c>
      <c r="AQ1528" s="28">
        <f ca="1">SUM('Banco de Dados'!$AM1528:$AP1528)</f>
        <v>0</v>
      </c>
      <c r="AR1528" s="8"/>
      <c r="AS1528" s="8"/>
      <c r="AT1528"/>
      <c r="AY1528" s="8"/>
    </row>
    <row r="1529" spans="1:51">
      <c r="A1529" s="5" t="str">
        <v>MEI</v>
      </c>
      <c r="B1529" s="5" t="str">
        <f ca="1"/>
        <v>MEI45759</v>
      </c>
      <c r="C1529" s="8" t="str">
        <v>Pedido 1516</v>
      </c>
      <c r="D1529" s="187">
        <v>45759</v>
      </c>
      <c r="E1529" s="9">
        <v>45759</v>
      </c>
      <c r="F1529" s="8" t="str">
        <v>PedidoF1452</v>
      </c>
      <c r="G1529" s="2" t="str">
        <v>CódRastreio1450</v>
      </c>
      <c r="H1529" s="5">
        <v>1</v>
      </c>
      <c r="I1529" s="182" t="str">
        <v>CPF 1475</v>
      </c>
      <c r="J1529" s="2" t="str">
        <v>Nome 1475</v>
      </c>
      <c r="K1529" s="8" t="str">
        <v>Tel 1475</v>
      </c>
      <c r="L1529" s="8" t="str">
        <v>Cep 1475</v>
      </c>
      <c r="M1529" s="8" t="str">
        <v>Rua 1475</v>
      </c>
      <c r="N1529" s="8" t="str">
        <v>Comp 1475</v>
      </c>
      <c r="O1529" s="8" t="str">
        <v>Maçarico Culinário Portátil</v>
      </c>
      <c r="P1529" s="8" t="str">
        <v>BG-DHRO-FAEE</v>
      </c>
      <c r="Q1529" s="4">
        <v>45797</v>
      </c>
      <c r="R1529" s="109">
        <v>26.99</v>
      </c>
      <c r="S1529" s="11">
        <f ca="1"/>
        <v>26.99</v>
      </c>
      <c r="T1529" s="28">
        <f ca="1"/>
        <v>2.9688999999999997</v>
      </c>
      <c r="U1529" s="11">
        <f ca="1"/>
        <v>24.02</v>
      </c>
      <c r="V1529" s="11">
        <v>10.130000000000001</v>
      </c>
      <c r="W1529" s="11">
        <f ca="1"/>
        <v>0.15</v>
      </c>
      <c r="X1529" s="11">
        <f ca="1"/>
        <v>0.39877104377104378</v>
      </c>
      <c r="Y1529" s="11">
        <v>0</v>
      </c>
      <c r="Z1529" s="11">
        <f ca="1"/>
        <v>13.341228956228955</v>
      </c>
      <c r="AA1529" s="11">
        <f ca="1"/>
        <v>6.6706144781144774</v>
      </c>
      <c r="AB1529" s="4">
        <f ca="1"/>
        <v>45804</v>
      </c>
      <c r="AC1529" s="4">
        <v>45804</v>
      </c>
      <c r="AD1529" s="9">
        <v>45807</v>
      </c>
      <c r="AE1529" s="9">
        <v>45810</v>
      </c>
      <c r="AF1529" s="4" t="str">
        <f t="shared" ca="1" si="99"/>
        <v>2025 05</v>
      </c>
      <c r="AG1529" s="8" t="str" cm="1">
        <f t="array" ref="AG1529">IFERROR(_xlfn.IFS('Banco de Dados'!#REF!="AG. COMPRA","Em processamento",'Banco de Dados'!#REF!="AG. RASTREIO","Em processamento",'Banco de Dados'!$AE1529&lt;&gt;"-","Faturado",'Banco de Dados'!$AD1529&lt;&gt;"-","Aguardando Pix",'Banco de Dados'!$AC1529&lt;&gt;"-","Pendente"),"Aguardando Liberação")</f>
        <v>Aguardando Liberação</v>
      </c>
      <c r="AH1529" s="5" t="str">
        <f>IF('Banco de Dados'!$F1529="-",_xlfn.CONCAT(PROPER(TEXT(AK1529,"aaaa"))," ",PROPER(TEXT(AK1529,"mm"))),_xlfn.CONCAT(PROPER(TEXT(E1529,"aaaa"))," ",PROPER(TEXT(E1529,"mm"))))</f>
        <v>2025 04</v>
      </c>
      <c r="AI1529" s="9" t="str">
        <f ca="1">IF('Banco de Dados'!$AK1529&lt;&gt;"-","REEMBOLSO",IFERROR(_xlfn.XLOOKUP(G1529,Follow[CODRASTREIO],Follow[STATUS]),"-"))</f>
        <v>ENTREGUE</v>
      </c>
      <c r="AJ1529" s="9">
        <f ca="1">IF('Banco de Dados'!$AI1529="ENTREGUE",_xlfn.XLOOKUP('Banco de Dados'!$G1529,Follow[CODRASTREIO],Follow[DATAATUALIZAÇÃO]),"-")</f>
        <v>45810</v>
      </c>
      <c r="AK1529" s="132" t="str">
        <f ca="1"/>
        <v>-</v>
      </c>
      <c r="AL1529" s="35"/>
      <c r="AM1529" s="109" cm="1">
        <f t="array" aca="1" ref="AM1529" ca="1">IF('Banco de Dados'!$AK1529&lt;&gt;"-",_xlfn.IFS('Banco de Dados'!$A1529="bv",IF('Banco de Dados'!$E1529&lt;45641,ROUND(SUM('Banco de Dados'!$R1529*_xlfn.XLOOKUP('Banco de Dados'!$P1529,Sku!B:B,Sku!#REF!)*20%),2),ROUND(SUM('Banco de Dados'!$R1529*_xlfn.XLOOKUP('Banco de Dados'!$P1529,Sku!B:B,Sku!H:H)*20%),2)),'Banco de Dados'!$A1529="GO",ROUND(SUM('Banco de Dados'!$R1529*_xlfn.XLOOKUP('Banco de Dados'!$P1529,Sku!C:C,Sku!H:H)*20%),2),'Banco de Dados'!$A1529="MEI",ROUND(SUM('Banco de Dados'!$R1529*_xlfn.XLOOKUP('Banco de Dados'!$P1529,Sku!D:D,Sku!H:H)*20%),2)),0)</f>
        <v>0</v>
      </c>
      <c r="AN1529" s="109">
        <f ca="1">IF('Banco de Dados'!$AK1529&lt;&gt;"-",IF('Banco de Dados'!$F1529&lt;&gt;"-",_xlfn.XLOOKUP(IFERROR(IFERROR(IFERROR(VALUE(SUBSTITUTE(MID(_xlfn.TEXTAFTER('Banco de Dados'!$F1529,"Data do Pedido:
",1),1,10),"-","/")),VALUE(SUBSTITUTE(MID(_xlfn.TEXTAFTER('Banco de Dados'!$F1529,"Order date:
",1),1,10),"-","/"))),VALUE(SUBSTITUTE(MID(_xlfn.TEXTAFTER('Banco de Dados'!$F1529,"Fecha de pedido:
",1),1,10),"-","/"))),"-"),SMS!A:A,SMS!K:K),0),0)</f>
        <v>0</v>
      </c>
      <c r="AO1529" s="109">
        <f ca="1">IF('Banco de Dados'!$AK1529&lt;&gt;"-",IF('Banco de Dados'!$F1529&lt;&gt;"-",IFERROR(_xlfn.XLOOKUP(_xlfn.CONCAT('Banco de Dados'!$A1529,IFERROR(IFERROR(VALUE(SUBSTITUTE(MID(_xlfn.TEXTAFTER('Banco de Dados'!$F1529,"Data do Pedido:
",1),1,10),"-","/")),VALUE(SUBSTITUTE(MID(_xlfn.TEXTAFTER('Banco de Dados'!$F1529,"Order date:
",1),1,10),"-","/"))),0)),ProxyDD[Chave],ProxyDD[Valor por pedido]),PROXY!$P$2),0),0)</f>
        <v>0</v>
      </c>
      <c r="AP1529" s="28">
        <f ca="1">IF('Banco de Dados'!$AK1529&lt;&gt;"-",IF('Banco de Dados'!$AL1529="NÃO",IFERROR(VALUE(SUBSTITUTE(_xlfn.TEXTAFTER('Banco de Dados'!$F1529,"BRL ",1),".",",")),0),0),0)</f>
        <v>0</v>
      </c>
      <c r="AQ1529" s="28">
        <f ca="1">SUM('Banco de Dados'!$AM1529:$AP1529)</f>
        <v>0</v>
      </c>
      <c r="AR1529" s="8"/>
      <c r="AS1529" s="8"/>
      <c r="AT1529"/>
      <c r="AY1529" s="8"/>
    </row>
    <row r="1530" spans="1:51">
      <c r="A1530" s="5" t="str">
        <v>GO</v>
      </c>
      <c r="B1530" s="5" t="str">
        <f ca="1"/>
        <v>GO45759</v>
      </c>
      <c r="C1530" s="8" t="str">
        <v>Pedido 1517</v>
      </c>
      <c r="D1530" s="187">
        <v>45759</v>
      </c>
      <c r="E1530" s="9">
        <v>45759</v>
      </c>
      <c r="F1530" s="8" t="str">
        <v>PedidoF1453</v>
      </c>
      <c r="G1530" s="2" t="str">
        <v>CódRastreio1451</v>
      </c>
      <c r="H1530" s="5">
        <v>1</v>
      </c>
      <c r="I1530" s="182" t="str">
        <v>CPF 1476</v>
      </c>
      <c r="J1530" s="2" t="str">
        <v>Nome 1476</v>
      </c>
      <c r="K1530" s="8" t="str">
        <v>Tel 1476</v>
      </c>
      <c r="L1530" s="8" t="str">
        <v>Cep 1476</v>
      </c>
      <c r="M1530" s="8" t="str">
        <v>Rua 1476</v>
      </c>
      <c r="N1530" s="8" t="str">
        <v>Comp 1476</v>
      </c>
      <c r="O1530" s="8" t="str">
        <v>Ventilador Azul</v>
      </c>
      <c r="P1530" s="8" t="str">
        <v>H8-IH9B-M87L</v>
      </c>
      <c r="Q1530" s="4">
        <v>45790</v>
      </c>
      <c r="R1530" s="109">
        <v>54.9</v>
      </c>
      <c r="S1530" s="11">
        <f ca="1"/>
        <v>54.9</v>
      </c>
      <c r="T1530" s="28">
        <f ca="1"/>
        <v>6.5879999999999992</v>
      </c>
      <c r="U1530" s="11">
        <f ca="1"/>
        <v>48.31</v>
      </c>
      <c r="V1530" s="11">
        <v>15.84</v>
      </c>
      <c r="W1530" s="11">
        <f ca="1"/>
        <v>0.25</v>
      </c>
      <c r="X1530" s="11">
        <f ca="1"/>
        <v>0.39877104377104378</v>
      </c>
      <c r="Y1530" s="11">
        <v>0</v>
      </c>
      <c r="Z1530" s="11">
        <f ca="1"/>
        <v>31.821228956228957</v>
      </c>
      <c r="AA1530" s="11">
        <f ca="1"/>
        <v>31.821228956228957</v>
      </c>
      <c r="AB1530" s="4">
        <f ca="1"/>
        <v>45797</v>
      </c>
      <c r="AC1530" s="4">
        <v>45797</v>
      </c>
      <c r="AD1530" s="9">
        <v>45807</v>
      </c>
      <c r="AE1530" s="9">
        <v>45810</v>
      </c>
      <c r="AF1530" s="4" t="str">
        <f t="shared" ca="1" si="99"/>
        <v>2025 05</v>
      </c>
      <c r="AG1530" s="8" t="str" cm="1">
        <f t="array" ref="AG1530">IFERROR(_xlfn.IFS('Banco de Dados'!#REF!="AG. COMPRA","Em processamento",'Banco de Dados'!#REF!="AG. RASTREIO","Em processamento",'Banco de Dados'!$AE1530&lt;&gt;"-","Faturado",'Banco de Dados'!$AD1530&lt;&gt;"-","Aguardando Pix",'Banco de Dados'!$AC1530&lt;&gt;"-","Pendente"),"Aguardando Liberação")</f>
        <v>Aguardando Liberação</v>
      </c>
      <c r="AH1530" s="5" t="str">
        <f>IF('Banco de Dados'!$F1530="-",_xlfn.CONCAT(PROPER(TEXT(AK1530,"aaaa"))," ",PROPER(TEXT(AK1530,"mm"))),_xlfn.CONCAT(PROPER(TEXT(E1530,"aaaa"))," ",PROPER(TEXT(E1530,"mm"))))</f>
        <v>2025 04</v>
      </c>
      <c r="AI1530" s="9" t="str">
        <f ca="1">IF('Banco de Dados'!$AK1530&lt;&gt;"-","REEMBOLSO",IFERROR(_xlfn.XLOOKUP(G1530,Follow[CODRASTREIO],Follow[STATUS]),"-"))</f>
        <v>ENTREGUE</v>
      </c>
      <c r="AJ1530" s="9">
        <f ca="1">IF('Banco de Dados'!$AI1530="ENTREGUE",_xlfn.XLOOKUP('Banco de Dados'!$G1530,Follow[CODRASTREIO],Follow[DATAATUALIZAÇÃO]),"-")</f>
        <v>45775</v>
      </c>
      <c r="AK1530" s="132" t="str">
        <f ca="1"/>
        <v>-</v>
      </c>
      <c r="AL1530" s="35"/>
      <c r="AM1530" s="109" cm="1">
        <f t="array" aca="1" ref="AM1530" ca="1">IF('Banco de Dados'!$AK1530&lt;&gt;"-",_xlfn.IFS('Banco de Dados'!$A1530="bv",IF('Banco de Dados'!$E1530&lt;45641,ROUND(SUM('Banco de Dados'!$R1530*_xlfn.XLOOKUP('Banco de Dados'!$P1530,Sku!B:B,Sku!#REF!)*20%),2),ROUND(SUM('Banco de Dados'!$R1530*_xlfn.XLOOKUP('Banco de Dados'!$P1530,Sku!B:B,Sku!H:H)*20%),2)),'Banco de Dados'!$A1530="GO",ROUND(SUM('Banco de Dados'!$R1530*_xlfn.XLOOKUP('Banco de Dados'!$P1530,Sku!C:C,Sku!H:H)*20%),2),'Banco de Dados'!$A1530="MEI",ROUND(SUM('Banco de Dados'!$R1530*_xlfn.XLOOKUP('Banco de Dados'!$P1530,Sku!D:D,Sku!H:H)*20%),2)),0)</f>
        <v>0</v>
      </c>
      <c r="AN1530" s="109">
        <f ca="1">IF('Banco de Dados'!$AK1530&lt;&gt;"-",IF('Banco de Dados'!$F1530&lt;&gt;"-",_xlfn.XLOOKUP(IFERROR(IFERROR(IFERROR(VALUE(SUBSTITUTE(MID(_xlfn.TEXTAFTER('Banco de Dados'!$F1530,"Data do Pedido:
",1),1,10),"-","/")),VALUE(SUBSTITUTE(MID(_xlfn.TEXTAFTER('Banco de Dados'!$F1530,"Order date:
",1),1,10),"-","/"))),VALUE(SUBSTITUTE(MID(_xlfn.TEXTAFTER('Banco de Dados'!$F1530,"Fecha de pedido:
",1),1,10),"-","/"))),"-"),SMS!A:A,SMS!K:K),0),0)</f>
        <v>0</v>
      </c>
      <c r="AO1530" s="109">
        <f ca="1">IF('Banco de Dados'!$AK1530&lt;&gt;"-",IF('Banco de Dados'!$F1530&lt;&gt;"-",IFERROR(_xlfn.XLOOKUP(_xlfn.CONCAT('Banco de Dados'!$A1530,IFERROR(IFERROR(VALUE(SUBSTITUTE(MID(_xlfn.TEXTAFTER('Banco de Dados'!$F1530,"Data do Pedido:
",1),1,10),"-","/")),VALUE(SUBSTITUTE(MID(_xlfn.TEXTAFTER('Banco de Dados'!$F1530,"Order date:
",1),1,10),"-","/"))),0)),ProxyDD[Chave],ProxyDD[Valor por pedido]),PROXY!$P$2),0),0)</f>
        <v>0</v>
      </c>
      <c r="AP1530" s="28">
        <f ca="1">IF('Banco de Dados'!$AK1530&lt;&gt;"-",IF('Banco de Dados'!$AL1530="NÃO",IFERROR(VALUE(SUBSTITUTE(_xlfn.TEXTAFTER('Banco de Dados'!$F1530,"BRL ",1),".",",")),0),0),0)</f>
        <v>0</v>
      </c>
      <c r="AQ1530" s="28">
        <f ca="1">SUM('Banco de Dados'!$AM1530:$AP1530)</f>
        <v>0</v>
      </c>
      <c r="AR1530" s="8"/>
      <c r="AS1530" s="8"/>
      <c r="AT1530"/>
      <c r="AY1530" s="8"/>
    </row>
    <row r="1531" spans="1:51">
      <c r="A1531" s="5" t="str">
        <v>GO</v>
      </c>
      <c r="B1531" s="5" t="str">
        <f ca="1"/>
        <v>GO45759</v>
      </c>
      <c r="C1531" s="8" t="str">
        <v>Pedido 1518</v>
      </c>
      <c r="D1531" s="187">
        <v>45759</v>
      </c>
      <c r="E1531" s="9">
        <v>45759</v>
      </c>
      <c r="F1531" s="8" t="str">
        <v>PedidoF1454</v>
      </c>
      <c r="G1531" s="2" t="str">
        <v>CódRastreio1452</v>
      </c>
      <c r="H1531" s="5">
        <v>1</v>
      </c>
      <c r="I1531" s="182" t="str">
        <v>CPF 1477</v>
      </c>
      <c r="J1531" s="2" t="str">
        <v>Nome 1477</v>
      </c>
      <c r="K1531" s="8" t="str">
        <v>Tel 1477</v>
      </c>
      <c r="L1531" s="8" t="str">
        <v>Cep 1477</v>
      </c>
      <c r="M1531" s="8" t="str">
        <v>Rua 1477</v>
      </c>
      <c r="N1531" s="8" t="str">
        <v>Comp 1477</v>
      </c>
      <c r="O1531" s="8" t="str">
        <v>Ventilador Preto</v>
      </c>
      <c r="P1531" s="8" t="str">
        <v>EP-9PIR-BWXH</v>
      </c>
      <c r="Q1531" s="4">
        <v>45797</v>
      </c>
      <c r="R1531" s="109">
        <v>65.739999999999995</v>
      </c>
      <c r="S1531" s="11">
        <f ca="1"/>
        <v>65.739999999999995</v>
      </c>
      <c r="T1531" s="28">
        <f ca="1"/>
        <v>7.8887999999999989</v>
      </c>
      <c r="U1531" s="11">
        <f ca="1"/>
        <v>57.85</v>
      </c>
      <c r="V1531" s="11">
        <v>22.24</v>
      </c>
      <c r="W1531" s="11">
        <f ca="1"/>
        <v>0.25</v>
      </c>
      <c r="X1531" s="11">
        <f ca="1"/>
        <v>0.39877104377104378</v>
      </c>
      <c r="Y1531" s="11">
        <v>0</v>
      </c>
      <c r="Z1531" s="11">
        <f ca="1"/>
        <v>34.961228956228958</v>
      </c>
      <c r="AA1531" s="11">
        <f ca="1"/>
        <v>34.961228956228958</v>
      </c>
      <c r="AB1531" s="4">
        <f ca="1"/>
        <v>45804</v>
      </c>
      <c r="AC1531" s="4">
        <v>45804</v>
      </c>
      <c r="AD1531" s="9">
        <v>45807</v>
      </c>
      <c r="AE1531" s="9">
        <v>45810</v>
      </c>
      <c r="AF1531" s="4" t="str">
        <f t="shared" ca="1" si="99"/>
        <v>2025 05</v>
      </c>
      <c r="AG1531" s="8" t="str" cm="1">
        <f t="array" ref="AG1531">IFERROR(_xlfn.IFS('Banco de Dados'!#REF!="AG. COMPRA","Em processamento",'Banco de Dados'!#REF!="AG. RASTREIO","Em processamento",'Banco de Dados'!$AE1531&lt;&gt;"-","Faturado",'Banco de Dados'!$AD1531&lt;&gt;"-","Aguardando Pix",'Banco de Dados'!$AC1531&lt;&gt;"-","Pendente"),"Aguardando Liberação")</f>
        <v>Aguardando Liberação</v>
      </c>
      <c r="AH1531" s="5" t="str">
        <f>IF('Banco de Dados'!$F1531="-",_xlfn.CONCAT(PROPER(TEXT(AK1531,"aaaa"))," ",PROPER(TEXT(AK1531,"mm"))),_xlfn.CONCAT(PROPER(TEXT(E1531,"aaaa"))," ",PROPER(TEXT(E1531,"mm"))))</f>
        <v>2025 04</v>
      </c>
      <c r="AI1531" s="9" t="str">
        <f ca="1">IF('Banco de Dados'!$AK1531&lt;&gt;"-","REEMBOLSO",IFERROR(_xlfn.XLOOKUP(G1531,Follow[CODRASTREIO],Follow[STATUS]),"-"))</f>
        <v>ENTREGUE</v>
      </c>
      <c r="AJ1531" s="9">
        <f ca="1">IF('Banco de Dados'!$AI1531="ENTREGUE",_xlfn.XLOOKUP('Banco de Dados'!$G1531,Follow[CODRASTREIO],Follow[DATAATUALIZAÇÃO]),"-")</f>
        <v>45783</v>
      </c>
      <c r="AK1531" s="132" t="str">
        <f ca="1"/>
        <v>-</v>
      </c>
      <c r="AL1531" s="35"/>
      <c r="AM1531" s="109" cm="1">
        <f t="array" aca="1" ref="AM1531" ca="1">IF('Banco de Dados'!$AK1531&lt;&gt;"-",_xlfn.IFS('Banco de Dados'!$A1531="bv",IF('Banco de Dados'!$E1531&lt;45641,ROUND(SUM('Banco de Dados'!$R1531*_xlfn.XLOOKUP('Banco de Dados'!$P1531,Sku!B:B,Sku!#REF!)*20%),2),ROUND(SUM('Banco de Dados'!$R1531*_xlfn.XLOOKUP('Banco de Dados'!$P1531,Sku!B:B,Sku!H:H)*20%),2)),'Banco de Dados'!$A1531="GO",ROUND(SUM('Banco de Dados'!$R1531*_xlfn.XLOOKUP('Banco de Dados'!$P1531,Sku!C:C,Sku!H:H)*20%),2),'Banco de Dados'!$A1531="MEI",ROUND(SUM('Banco de Dados'!$R1531*_xlfn.XLOOKUP('Banco de Dados'!$P1531,Sku!D:D,Sku!H:H)*20%),2)),0)</f>
        <v>0</v>
      </c>
      <c r="AN1531" s="109">
        <f ca="1">IF('Banco de Dados'!$AK1531&lt;&gt;"-",IF('Banco de Dados'!$F1531&lt;&gt;"-",_xlfn.XLOOKUP(IFERROR(IFERROR(IFERROR(VALUE(SUBSTITUTE(MID(_xlfn.TEXTAFTER('Banco de Dados'!$F1531,"Data do Pedido:
",1),1,10),"-","/")),VALUE(SUBSTITUTE(MID(_xlfn.TEXTAFTER('Banco de Dados'!$F1531,"Order date:
",1),1,10),"-","/"))),VALUE(SUBSTITUTE(MID(_xlfn.TEXTAFTER('Banco de Dados'!$F1531,"Fecha de pedido:
",1),1,10),"-","/"))),"-"),SMS!A:A,SMS!K:K),0),0)</f>
        <v>0</v>
      </c>
      <c r="AO1531" s="109">
        <f ca="1">IF('Banco de Dados'!$AK1531&lt;&gt;"-",IF('Banco de Dados'!$F1531&lt;&gt;"-",IFERROR(_xlfn.XLOOKUP(_xlfn.CONCAT('Banco de Dados'!$A1531,IFERROR(IFERROR(VALUE(SUBSTITUTE(MID(_xlfn.TEXTAFTER('Banco de Dados'!$F1531,"Data do Pedido:
",1),1,10),"-","/")),VALUE(SUBSTITUTE(MID(_xlfn.TEXTAFTER('Banco de Dados'!$F1531,"Order date:
",1),1,10),"-","/"))),0)),ProxyDD[Chave],ProxyDD[Valor por pedido]),PROXY!$P$2),0),0)</f>
        <v>0</v>
      </c>
      <c r="AP1531" s="28">
        <f ca="1">IF('Banco de Dados'!$AK1531&lt;&gt;"-",IF('Banco de Dados'!$AL1531="NÃO",IFERROR(VALUE(SUBSTITUTE(_xlfn.TEXTAFTER('Banco de Dados'!$F1531,"BRL ",1),".",",")),0),0),0)</f>
        <v>0</v>
      </c>
      <c r="AQ1531" s="28">
        <f ca="1">SUM('Banco de Dados'!$AM1531:$AP1531)</f>
        <v>0</v>
      </c>
      <c r="AR1531" s="8"/>
      <c r="AS1531" s="8"/>
      <c r="AT1531"/>
      <c r="AY1531" s="8"/>
    </row>
    <row r="1532" spans="1:51">
      <c r="A1532" s="5" t="str">
        <v>MEI</v>
      </c>
      <c r="B1532" s="5" t="str">
        <f ca="1"/>
        <v>MEI45760</v>
      </c>
      <c r="C1532" s="8" t="str">
        <v>Pedido 1519</v>
      </c>
      <c r="D1532" s="187">
        <v>45759</v>
      </c>
      <c r="E1532" s="9">
        <v>45760</v>
      </c>
      <c r="F1532" s="8" t="str">
        <v>PedidoF1455</v>
      </c>
      <c r="G1532" s="2" t="str">
        <v>CódRastreio1453</v>
      </c>
      <c r="H1532" s="5">
        <v>1</v>
      </c>
      <c r="I1532" s="182" t="str">
        <v>CPF 1478</v>
      </c>
      <c r="J1532" s="2" t="str">
        <v>Nome 1478</v>
      </c>
      <c r="K1532" s="8" t="str">
        <v>Tel 1478</v>
      </c>
      <c r="L1532" s="8" t="str">
        <v>Cep 1478</v>
      </c>
      <c r="M1532" s="8" t="str">
        <v>Rua 1478</v>
      </c>
      <c r="N1532" s="8" t="str">
        <v>Comp 1478</v>
      </c>
      <c r="O1532" s="8" t="str">
        <v>Mini Liquidificador</v>
      </c>
      <c r="P1532" s="8" t="str">
        <v>A4-5W51-K3HF</v>
      </c>
      <c r="Q1532" s="4">
        <v>45784</v>
      </c>
      <c r="R1532" s="109">
        <v>36.950000000000003</v>
      </c>
      <c r="S1532" s="11">
        <f ca="1"/>
        <v>36.950000000000003</v>
      </c>
      <c r="T1532" s="28">
        <f ca="1"/>
        <v>4.4340000000000002</v>
      </c>
      <c r="U1532" s="11">
        <f ca="1"/>
        <v>32.520000000000003</v>
      </c>
      <c r="V1532" s="11">
        <v>14.99</v>
      </c>
      <c r="W1532" s="11">
        <f ca="1"/>
        <v>0.25</v>
      </c>
      <c r="X1532" s="11">
        <f ca="1"/>
        <v>0.39877104377104378</v>
      </c>
      <c r="Y1532" s="11">
        <v>0</v>
      </c>
      <c r="Z1532" s="11">
        <f ca="1"/>
        <v>16.881228956228959</v>
      </c>
      <c r="AA1532" s="11">
        <f ca="1"/>
        <v>8.4406144781144796</v>
      </c>
      <c r="AB1532" s="4">
        <f ca="1"/>
        <v>45791</v>
      </c>
      <c r="AC1532" s="4">
        <v>45791</v>
      </c>
      <c r="AD1532" s="9">
        <v>45793</v>
      </c>
      <c r="AE1532" s="9">
        <v>45797</v>
      </c>
      <c r="AF1532" s="4" t="str">
        <f t="shared" ref="AF1532:AF1538" ca="1" si="100">_xlfn.CONCAT(PROPER(TEXT(AB1532,"aaaa"))," ",PROPER(TEXT(AB1532,"mm")))</f>
        <v>2025 05</v>
      </c>
      <c r="AG1532" s="8" t="str" cm="1">
        <f t="array" ref="AG1532">IFERROR(_xlfn.IFS('Banco de Dados'!#REF!="AG. COMPRA","Em processamento",'Banco de Dados'!#REF!="AG. RASTREIO","Em processamento",'Banco de Dados'!$AE1532&lt;&gt;"-","Faturado",'Banco de Dados'!$AD1532&lt;&gt;"-","Aguardando Pix",'Banco de Dados'!$AC1532&lt;&gt;"-","Pendente"),"Aguardando Liberação")</f>
        <v>Aguardando Liberação</v>
      </c>
      <c r="AH1532" s="5" t="str">
        <f>IF('Banco de Dados'!$F1532="-",_xlfn.CONCAT(PROPER(TEXT(AK1532,"aaaa"))," ",PROPER(TEXT(AK1532,"mm"))),_xlfn.CONCAT(PROPER(TEXT(E1532,"aaaa"))," ",PROPER(TEXT(E1532,"mm"))))</f>
        <v>2025 04</v>
      </c>
      <c r="AI1532" s="9" t="str">
        <f ca="1">IF('Banco de Dados'!$AK1532&lt;&gt;"-","REEMBOLSO",IFERROR(_xlfn.XLOOKUP(G1532,Follow[CODRASTREIO],Follow[STATUS]),"-"))</f>
        <v>ENTREGUE</v>
      </c>
      <c r="AJ1532" s="9">
        <f ca="1">IF('Banco de Dados'!$AI1532="ENTREGUE",_xlfn.XLOOKUP('Banco de Dados'!$G1532,Follow[CODRASTREIO],Follow[DATAATUALIZAÇÃO]),"-")</f>
        <v>45769</v>
      </c>
      <c r="AK1532" s="132" t="str">
        <f ca="1"/>
        <v>-</v>
      </c>
      <c r="AL1532" s="35"/>
      <c r="AM1532" s="109" cm="1">
        <f t="array" aca="1" ref="AM1532" ca="1">IF('Banco de Dados'!$AK1532&lt;&gt;"-",_xlfn.IFS('Banco de Dados'!$A1532="bv",IF('Banco de Dados'!$E1532&lt;45641,ROUND(SUM('Banco de Dados'!$R1532*_xlfn.XLOOKUP('Banco de Dados'!$P1532,Sku!B:B,Sku!#REF!)*20%),2),ROUND(SUM('Banco de Dados'!$R1532*_xlfn.XLOOKUP('Banco de Dados'!$P1532,Sku!B:B,Sku!H:H)*20%),2)),'Banco de Dados'!$A1532="GO",ROUND(SUM('Banco de Dados'!$R1532*_xlfn.XLOOKUP('Banco de Dados'!$P1532,Sku!C:C,Sku!H:H)*20%),2),'Banco de Dados'!$A1532="MEI",ROUND(SUM('Banco de Dados'!$R1532*_xlfn.XLOOKUP('Banco de Dados'!$P1532,Sku!D:D,Sku!H:H)*20%),2)),0)</f>
        <v>0</v>
      </c>
      <c r="AN1532" s="109">
        <f ca="1">IF('Banco de Dados'!$AK1532&lt;&gt;"-",IF('Banco de Dados'!$F1532&lt;&gt;"-",_xlfn.XLOOKUP(IFERROR(IFERROR(IFERROR(VALUE(SUBSTITUTE(MID(_xlfn.TEXTAFTER('Banco de Dados'!$F1532,"Data do Pedido:
",1),1,10),"-","/")),VALUE(SUBSTITUTE(MID(_xlfn.TEXTAFTER('Banco de Dados'!$F1532,"Order date:
",1),1,10),"-","/"))),VALUE(SUBSTITUTE(MID(_xlfn.TEXTAFTER('Banco de Dados'!$F1532,"Fecha de pedido:
",1),1,10),"-","/"))),"-"),SMS!A:A,SMS!K:K),0),0)</f>
        <v>0</v>
      </c>
      <c r="AO1532" s="109">
        <f ca="1">IF('Banco de Dados'!$AK1532&lt;&gt;"-",IF('Banco de Dados'!$F1532&lt;&gt;"-",IFERROR(_xlfn.XLOOKUP(_xlfn.CONCAT('Banco de Dados'!$A1532,IFERROR(IFERROR(VALUE(SUBSTITUTE(MID(_xlfn.TEXTAFTER('Banco de Dados'!$F1532,"Data do Pedido:
",1),1,10),"-","/")),VALUE(SUBSTITUTE(MID(_xlfn.TEXTAFTER('Banco de Dados'!$F1532,"Order date:
",1),1,10),"-","/"))),0)),ProxyDD[Chave],ProxyDD[Valor por pedido]),PROXY!$P$2),0),0)</f>
        <v>0</v>
      </c>
      <c r="AP1532" s="28">
        <f ca="1">IF('Banco de Dados'!$AK1532&lt;&gt;"-",IF('Banco de Dados'!$AL1532="NÃO",IFERROR(VALUE(SUBSTITUTE(_xlfn.TEXTAFTER('Banco de Dados'!$F1532,"BRL ",1),".",",")),0),0),0)</f>
        <v>0</v>
      </c>
      <c r="AQ1532" s="28">
        <f ca="1">SUM('Banco de Dados'!$AM1532:$AP1532)</f>
        <v>0</v>
      </c>
      <c r="AR1532" s="8"/>
      <c r="AS1532" s="8"/>
      <c r="AT1532"/>
      <c r="AY1532" s="8"/>
    </row>
    <row r="1533" spans="1:51">
      <c r="A1533" s="5" t="str">
        <v>MEI</v>
      </c>
      <c r="B1533" s="5" t="str">
        <f ca="1"/>
        <v>MEI45760</v>
      </c>
      <c r="C1533" s="8" t="str">
        <v>Pedido 1520</v>
      </c>
      <c r="D1533" s="187">
        <v>45759</v>
      </c>
      <c r="E1533" s="9">
        <v>45760</v>
      </c>
      <c r="F1533" s="8" t="str">
        <v>PedidoF1456</v>
      </c>
      <c r="G1533" s="2" t="str">
        <v>CódRastreio1454</v>
      </c>
      <c r="H1533" s="5">
        <v>1</v>
      </c>
      <c r="I1533" s="182" t="str">
        <v>CPF 1479</v>
      </c>
      <c r="J1533" s="2" t="str">
        <v>Nome 1479</v>
      </c>
      <c r="K1533" s="8" t="str">
        <v>Tel 1479</v>
      </c>
      <c r="L1533" s="8" t="str">
        <v>Cep 1479</v>
      </c>
      <c r="M1533" s="8" t="str">
        <v>Rua 1479</v>
      </c>
      <c r="N1533" s="8" t="str">
        <v>Comp 1479</v>
      </c>
      <c r="O1533" s="8" t="str">
        <v>Máquina de cortar cabelo dragão</v>
      </c>
      <c r="P1533" s="8" t="str">
        <v>RX-DD1P-P5U2</v>
      </c>
      <c r="Q1533" s="4">
        <v>45790</v>
      </c>
      <c r="R1533" s="109">
        <v>36.99</v>
      </c>
      <c r="S1533" s="11">
        <f ca="1"/>
        <v>36.99</v>
      </c>
      <c r="T1533" s="28">
        <f ca="1"/>
        <v>4.4387999999999996</v>
      </c>
      <c r="U1533" s="11">
        <f ca="1"/>
        <v>32.549999999999997</v>
      </c>
      <c r="V1533" s="11">
        <v>10.56</v>
      </c>
      <c r="W1533" s="11">
        <f ca="1"/>
        <v>0.25</v>
      </c>
      <c r="X1533" s="11">
        <f ca="1"/>
        <v>0.39877104377104378</v>
      </c>
      <c r="Y1533" s="11">
        <v>0</v>
      </c>
      <c r="Z1533" s="11">
        <f ca="1"/>
        <v>21.341228956228953</v>
      </c>
      <c r="AA1533" s="11">
        <f ca="1"/>
        <v>10.670614478114476</v>
      </c>
      <c r="AB1533" s="4">
        <f ca="1"/>
        <v>45797</v>
      </c>
      <c r="AC1533" s="4">
        <v>45797</v>
      </c>
      <c r="AD1533" s="9">
        <v>45807</v>
      </c>
      <c r="AE1533" s="9">
        <v>45810</v>
      </c>
      <c r="AF1533" s="4" t="str">
        <f t="shared" ca="1" si="100"/>
        <v>2025 05</v>
      </c>
      <c r="AG1533" s="8" t="str" cm="1">
        <f t="array" ref="AG1533">IFERROR(_xlfn.IFS('Banco de Dados'!#REF!="AG. COMPRA","Em processamento",'Banco de Dados'!#REF!="AG. RASTREIO","Em processamento",'Banco de Dados'!$AE1533&lt;&gt;"-","Faturado",'Banco de Dados'!$AD1533&lt;&gt;"-","Aguardando Pix",'Banco de Dados'!$AC1533&lt;&gt;"-","Pendente"),"Aguardando Liberação")</f>
        <v>Aguardando Liberação</v>
      </c>
      <c r="AH1533" s="5" t="str">
        <f>IF('Banco de Dados'!$F1533="-",_xlfn.CONCAT(PROPER(TEXT(AK1533,"aaaa"))," ",PROPER(TEXT(AK1533,"mm"))),_xlfn.CONCAT(PROPER(TEXT(E1533,"aaaa"))," ",PROPER(TEXT(E1533,"mm"))))</f>
        <v>2025 04</v>
      </c>
      <c r="AI1533" s="9" t="str">
        <f ca="1">IF('Banco de Dados'!$AK1533&lt;&gt;"-","REEMBOLSO",IFERROR(_xlfn.XLOOKUP(G1533,Follow[CODRASTREIO],Follow[STATUS]),"-"))</f>
        <v>ENTREGUE</v>
      </c>
      <c r="AJ1533" s="9">
        <f ca="1">IF('Banco de Dados'!$AI1533="ENTREGUE",_xlfn.XLOOKUP('Banco de Dados'!$G1533,Follow[CODRASTREIO],Follow[DATAATUALIZAÇÃO]),"-")</f>
        <v>45772</v>
      </c>
      <c r="AK1533" s="132" t="str">
        <f ca="1"/>
        <v>-</v>
      </c>
      <c r="AL1533" s="35"/>
      <c r="AM1533" s="109" cm="1">
        <f t="array" aca="1" ref="AM1533" ca="1">IF('Banco de Dados'!$AK1533&lt;&gt;"-",_xlfn.IFS('Banco de Dados'!$A1533="bv",IF('Banco de Dados'!$E1533&lt;45641,ROUND(SUM('Banco de Dados'!$R1533*_xlfn.XLOOKUP('Banco de Dados'!$P1533,Sku!B:B,Sku!#REF!)*20%),2),ROUND(SUM('Banco de Dados'!$R1533*_xlfn.XLOOKUP('Banco de Dados'!$P1533,Sku!B:B,Sku!H:H)*20%),2)),'Banco de Dados'!$A1533="GO",ROUND(SUM('Banco de Dados'!$R1533*_xlfn.XLOOKUP('Banco de Dados'!$P1533,Sku!C:C,Sku!H:H)*20%),2),'Banco de Dados'!$A1533="MEI",ROUND(SUM('Banco de Dados'!$R1533*_xlfn.XLOOKUP('Banco de Dados'!$P1533,Sku!D:D,Sku!H:H)*20%),2)),0)</f>
        <v>0</v>
      </c>
      <c r="AN1533" s="109">
        <f ca="1">IF('Banco de Dados'!$AK1533&lt;&gt;"-",IF('Banco de Dados'!$F1533&lt;&gt;"-",_xlfn.XLOOKUP(IFERROR(IFERROR(IFERROR(VALUE(SUBSTITUTE(MID(_xlfn.TEXTAFTER('Banco de Dados'!$F1533,"Data do Pedido:
",1),1,10),"-","/")),VALUE(SUBSTITUTE(MID(_xlfn.TEXTAFTER('Banco de Dados'!$F1533,"Order date:
",1),1,10),"-","/"))),VALUE(SUBSTITUTE(MID(_xlfn.TEXTAFTER('Banco de Dados'!$F1533,"Fecha de pedido:
",1),1,10),"-","/"))),"-"),SMS!A:A,SMS!K:K),0),0)</f>
        <v>0</v>
      </c>
      <c r="AO1533" s="109">
        <f ca="1">IF('Banco de Dados'!$AK1533&lt;&gt;"-",IF('Banco de Dados'!$F1533&lt;&gt;"-",IFERROR(_xlfn.XLOOKUP(_xlfn.CONCAT('Banco de Dados'!$A1533,IFERROR(IFERROR(VALUE(SUBSTITUTE(MID(_xlfn.TEXTAFTER('Banco de Dados'!$F1533,"Data do Pedido:
",1),1,10),"-","/")),VALUE(SUBSTITUTE(MID(_xlfn.TEXTAFTER('Banco de Dados'!$F1533,"Order date:
",1),1,10),"-","/"))),0)),ProxyDD[Chave],ProxyDD[Valor por pedido]),PROXY!$P$2),0),0)</f>
        <v>0</v>
      </c>
      <c r="AP1533" s="28">
        <f ca="1">IF('Banco de Dados'!$AK1533&lt;&gt;"-",IF('Banco de Dados'!$AL1533="NÃO",IFERROR(VALUE(SUBSTITUTE(_xlfn.TEXTAFTER('Banco de Dados'!$F1533,"BRL ",1),".",",")),0),0),0)</f>
        <v>0</v>
      </c>
      <c r="AQ1533" s="28">
        <f ca="1">SUM('Banco de Dados'!$AM1533:$AP1533)</f>
        <v>0</v>
      </c>
      <c r="AR1533" s="8"/>
      <c r="AS1533" s="8"/>
      <c r="AT1533"/>
      <c r="AY1533" s="8"/>
    </row>
    <row r="1534" spans="1:51">
      <c r="A1534" s="5" t="str">
        <v>MEI</v>
      </c>
      <c r="B1534" s="5" t="str">
        <f ca="1"/>
        <v>MEI45760</v>
      </c>
      <c r="C1534" s="8" t="str">
        <v>Pedido 1521</v>
      </c>
      <c r="D1534" s="187">
        <v>45760</v>
      </c>
      <c r="E1534" s="9">
        <v>45760</v>
      </c>
      <c r="F1534" s="8" t="str">
        <v>PedidoF1457</v>
      </c>
      <c r="G1534" s="2" t="str">
        <v>CódRastreio1455</v>
      </c>
      <c r="H1534" s="5">
        <v>1</v>
      </c>
      <c r="I1534" s="182" t="str">
        <v>CPF 1480</v>
      </c>
      <c r="J1534" s="2" t="str">
        <v>Nome 1480</v>
      </c>
      <c r="K1534" s="8" t="str">
        <v>Tel 1480</v>
      </c>
      <c r="L1534" s="8" t="str">
        <v>Cep 1480</v>
      </c>
      <c r="M1534" s="8" t="str">
        <v>Rua 1480</v>
      </c>
      <c r="N1534" s="8" t="str">
        <v>Comp 1480</v>
      </c>
      <c r="O1534" s="8" t="str">
        <v>Suporte de Celular Branco</v>
      </c>
      <c r="P1534" s="8" t="str">
        <v>IQ-LISQ-0D65</v>
      </c>
      <c r="Q1534" s="4">
        <v>45784</v>
      </c>
      <c r="R1534" s="109">
        <v>21.99</v>
      </c>
      <c r="S1534" s="11">
        <f ca="1"/>
        <v>21.99</v>
      </c>
      <c r="T1534" s="28">
        <f ca="1"/>
        <v>3.2984999999999998</v>
      </c>
      <c r="U1534" s="11">
        <f ca="1"/>
        <v>18.690000000000001</v>
      </c>
      <c r="V1534" s="11">
        <v>9.99</v>
      </c>
      <c r="W1534" s="11">
        <f ca="1"/>
        <v>0.25</v>
      </c>
      <c r="X1534" s="11">
        <f ca="1"/>
        <v>0.39877104377104378</v>
      </c>
      <c r="Y1534" s="11">
        <v>0</v>
      </c>
      <c r="Z1534" s="11">
        <f ca="1"/>
        <v>8.0512289562289574</v>
      </c>
      <c r="AA1534" s="11">
        <f ca="1"/>
        <v>4.0256144781144787</v>
      </c>
      <c r="AB1534" s="4">
        <f ca="1"/>
        <v>45791</v>
      </c>
      <c r="AC1534" s="4">
        <v>45791</v>
      </c>
      <c r="AD1534" s="9">
        <v>45793</v>
      </c>
      <c r="AE1534" s="9">
        <v>45797</v>
      </c>
      <c r="AF1534" s="4" t="str">
        <f t="shared" ca="1" si="100"/>
        <v>2025 05</v>
      </c>
      <c r="AG1534" s="8" t="str" cm="1">
        <f t="array" ref="AG1534">IFERROR(_xlfn.IFS('Banco de Dados'!#REF!="AG. COMPRA","Em processamento",'Banco de Dados'!#REF!="AG. RASTREIO","Em processamento",'Banco de Dados'!$AE1534&lt;&gt;"-","Faturado",'Banco de Dados'!$AD1534&lt;&gt;"-","Aguardando Pix",'Banco de Dados'!$AC1534&lt;&gt;"-","Pendente"),"Aguardando Liberação")</f>
        <v>Aguardando Liberação</v>
      </c>
      <c r="AH1534" s="5" t="str">
        <f>IF('Banco de Dados'!$F1534="-",_xlfn.CONCAT(PROPER(TEXT(AK1534,"aaaa"))," ",PROPER(TEXT(AK1534,"mm"))),_xlfn.CONCAT(PROPER(TEXT(E1534,"aaaa"))," ",PROPER(TEXT(E1534,"mm"))))</f>
        <v>2025 04</v>
      </c>
      <c r="AI1534" s="9" t="str">
        <f ca="1">IF('Banco de Dados'!$AK1534&lt;&gt;"-","REEMBOLSO",IFERROR(_xlfn.XLOOKUP(G1534,Follow[CODRASTREIO],Follow[STATUS]),"-"))</f>
        <v>ENTREGUE</v>
      </c>
      <c r="AJ1534" s="9">
        <f ca="1">IF('Banco de Dados'!$AI1534="ENTREGUE",_xlfn.XLOOKUP('Banco de Dados'!$G1534,Follow[CODRASTREIO],Follow[DATAATUALIZAÇÃO]),"-")</f>
        <v>45768</v>
      </c>
      <c r="AK1534" s="132" t="str">
        <f ca="1"/>
        <v>-</v>
      </c>
      <c r="AL1534" s="35"/>
      <c r="AM1534" s="109" cm="1">
        <f t="array" aca="1" ref="AM1534" ca="1">IF('Banco de Dados'!$AK1534&lt;&gt;"-",_xlfn.IFS('Banco de Dados'!$A1534="bv",IF('Banco de Dados'!$E1534&lt;45641,ROUND(SUM('Banco de Dados'!$R1534*_xlfn.XLOOKUP('Banco de Dados'!$P1534,Sku!B:B,Sku!#REF!)*20%),2),ROUND(SUM('Banco de Dados'!$R1534*_xlfn.XLOOKUP('Banco de Dados'!$P1534,Sku!B:B,Sku!H:H)*20%),2)),'Banco de Dados'!$A1534="GO",ROUND(SUM('Banco de Dados'!$R1534*_xlfn.XLOOKUP('Banco de Dados'!$P1534,Sku!C:C,Sku!H:H)*20%),2),'Banco de Dados'!$A1534="MEI",ROUND(SUM('Banco de Dados'!$R1534*_xlfn.XLOOKUP('Banco de Dados'!$P1534,Sku!D:D,Sku!H:H)*20%),2)),0)</f>
        <v>0</v>
      </c>
      <c r="AN1534" s="109">
        <f ca="1">IF('Banco de Dados'!$AK1534&lt;&gt;"-",IF('Banco de Dados'!$F1534&lt;&gt;"-",_xlfn.XLOOKUP(IFERROR(IFERROR(IFERROR(VALUE(SUBSTITUTE(MID(_xlfn.TEXTAFTER('Banco de Dados'!$F1534,"Data do Pedido:
",1),1,10),"-","/")),VALUE(SUBSTITUTE(MID(_xlfn.TEXTAFTER('Banco de Dados'!$F1534,"Order date:
",1),1,10),"-","/"))),VALUE(SUBSTITUTE(MID(_xlfn.TEXTAFTER('Banco de Dados'!$F1534,"Fecha de pedido:
",1),1,10),"-","/"))),"-"),SMS!A:A,SMS!K:K),0),0)</f>
        <v>0</v>
      </c>
      <c r="AO1534" s="109">
        <f ca="1">IF('Banco de Dados'!$AK1534&lt;&gt;"-",IF('Banco de Dados'!$F1534&lt;&gt;"-",IFERROR(_xlfn.XLOOKUP(_xlfn.CONCAT('Banco de Dados'!$A1534,IFERROR(IFERROR(VALUE(SUBSTITUTE(MID(_xlfn.TEXTAFTER('Banco de Dados'!$F1534,"Data do Pedido:
",1),1,10),"-","/")),VALUE(SUBSTITUTE(MID(_xlfn.TEXTAFTER('Banco de Dados'!$F1534,"Order date:
",1),1,10),"-","/"))),0)),ProxyDD[Chave],ProxyDD[Valor por pedido]),PROXY!$P$2),0),0)</f>
        <v>0</v>
      </c>
      <c r="AP1534" s="28">
        <f ca="1">IF('Banco de Dados'!$AK1534&lt;&gt;"-",IF('Banco de Dados'!$AL1534="NÃO",IFERROR(VALUE(SUBSTITUTE(_xlfn.TEXTAFTER('Banco de Dados'!$F1534,"BRL ",1),".",",")),0),0),0)</f>
        <v>0</v>
      </c>
      <c r="AQ1534" s="28">
        <f ca="1">SUM('Banco de Dados'!$AM1534:$AP1534)</f>
        <v>0</v>
      </c>
      <c r="AR1534" s="8"/>
      <c r="AS1534" s="8"/>
      <c r="AT1534"/>
      <c r="AY1534" s="8"/>
    </row>
    <row r="1535" spans="1:51">
      <c r="A1535" s="5" t="str">
        <v>MEI</v>
      </c>
      <c r="B1535" s="5" t="str">
        <f ca="1"/>
        <v>MEI45760</v>
      </c>
      <c r="C1535" s="8" t="str">
        <v>Pedido 1522</v>
      </c>
      <c r="D1535" s="187">
        <v>45760</v>
      </c>
      <c r="E1535" s="9">
        <v>45760</v>
      </c>
      <c r="F1535" s="8" t="str">
        <v>PedidoF1458</v>
      </c>
      <c r="G1535" s="2" t="str">
        <v>CódRastreio1456</v>
      </c>
      <c r="H1535" s="5">
        <v>1</v>
      </c>
      <c r="I1535" s="182" t="str">
        <v>CPF 1481</v>
      </c>
      <c r="J1535" s="2" t="str">
        <v>Nome 1481</v>
      </c>
      <c r="K1535" s="8" t="str">
        <v>Tel 1481</v>
      </c>
      <c r="L1535" s="8" t="str">
        <v>Cep 1481</v>
      </c>
      <c r="M1535" s="8" t="str">
        <v>Rua 1481</v>
      </c>
      <c r="N1535" s="8" t="str">
        <v>Comp 1481</v>
      </c>
      <c r="O1535" s="8" t="str">
        <v>Suporte de Celular Branco</v>
      </c>
      <c r="P1535" s="8" t="str">
        <v>IQ-LISQ-0D65</v>
      </c>
      <c r="Q1535" s="4">
        <v>45790</v>
      </c>
      <c r="R1535" s="109">
        <v>21.99</v>
      </c>
      <c r="S1535" s="11">
        <f ca="1"/>
        <v>21.99</v>
      </c>
      <c r="T1535" s="28">
        <f ca="1"/>
        <v>3.2984999999999998</v>
      </c>
      <c r="U1535" s="11">
        <f ca="1"/>
        <v>18.690000000000001</v>
      </c>
      <c r="V1535" s="11">
        <v>6.99</v>
      </c>
      <c r="W1535" s="11">
        <f ca="1"/>
        <v>0.25</v>
      </c>
      <c r="X1535" s="11">
        <f ca="1"/>
        <v>0.39877104377104378</v>
      </c>
      <c r="Y1535" s="11">
        <v>0</v>
      </c>
      <c r="Z1535" s="11">
        <f ca="1"/>
        <v>11.051228956228957</v>
      </c>
      <c r="AA1535" s="11">
        <f ca="1"/>
        <v>5.5256144781144787</v>
      </c>
      <c r="AB1535" s="4">
        <f ca="1"/>
        <v>45797</v>
      </c>
      <c r="AC1535" s="4">
        <v>45797</v>
      </c>
      <c r="AD1535" s="9">
        <v>45807</v>
      </c>
      <c r="AE1535" s="9">
        <v>45810</v>
      </c>
      <c r="AF1535" s="4" t="str">
        <f t="shared" ca="1" si="100"/>
        <v>2025 05</v>
      </c>
      <c r="AG1535" s="8" t="str" cm="1">
        <f t="array" ref="AG1535">IFERROR(_xlfn.IFS('Banco de Dados'!#REF!="AG. COMPRA","Em processamento",'Banco de Dados'!#REF!="AG. RASTREIO","Em processamento",'Banco de Dados'!$AE1535&lt;&gt;"-","Faturado",'Banco de Dados'!$AD1535&lt;&gt;"-","Aguardando Pix",'Banco de Dados'!$AC1535&lt;&gt;"-","Pendente"),"Aguardando Liberação")</f>
        <v>Aguardando Liberação</v>
      </c>
      <c r="AH1535" s="5" t="str">
        <f>IF('Banco de Dados'!$F1535="-",_xlfn.CONCAT(PROPER(TEXT(AK1535,"aaaa"))," ",PROPER(TEXT(AK1535,"mm"))),_xlfn.CONCAT(PROPER(TEXT(E1535,"aaaa"))," ",PROPER(TEXT(E1535,"mm"))))</f>
        <v>2025 04</v>
      </c>
      <c r="AI1535" s="9" t="str">
        <f ca="1">IF('Banco de Dados'!$AK1535&lt;&gt;"-","REEMBOLSO",IFERROR(_xlfn.XLOOKUP(G1535,Follow[CODRASTREIO],Follow[STATUS]),"-"))</f>
        <v>ENTREGUE</v>
      </c>
      <c r="AJ1535" s="9">
        <f ca="1">IF('Banco de Dados'!$AI1535="ENTREGUE",_xlfn.XLOOKUP('Banco de Dados'!$G1535,Follow[CODRASTREIO],Follow[DATAATUALIZAÇÃO]),"-")</f>
        <v>45772</v>
      </c>
      <c r="AK1535" s="132" t="str">
        <f ca="1"/>
        <v>-</v>
      </c>
      <c r="AL1535" s="35"/>
      <c r="AM1535" s="109" cm="1">
        <f t="array" aca="1" ref="AM1535" ca="1">IF('Banco de Dados'!$AK1535&lt;&gt;"-",_xlfn.IFS('Banco de Dados'!$A1535="bv",IF('Banco de Dados'!$E1535&lt;45641,ROUND(SUM('Banco de Dados'!$R1535*_xlfn.XLOOKUP('Banco de Dados'!$P1535,Sku!B:B,Sku!#REF!)*20%),2),ROUND(SUM('Banco de Dados'!$R1535*_xlfn.XLOOKUP('Banco de Dados'!$P1535,Sku!B:B,Sku!H:H)*20%),2)),'Banco de Dados'!$A1535="GO",ROUND(SUM('Banco de Dados'!$R1535*_xlfn.XLOOKUP('Banco de Dados'!$P1535,Sku!C:C,Sku!H:H)*20%),2),'Banco de Dados'!$A1535="MEI",ROUND(SUM('Banco de Dados'!$R1535*_xlfn.XLOOKUP('Banco de Dados'!$P1535,Sku!D:D,Sku!H:H)*20%),2)),0)</f>
        <v>0</v>
      </c>
      <c r="AN1535" s="109">
        <f ca="1">IF('Banco de Dados'!$AK1535&lt;&gt;"-",IF('Banco de Dados'!$F1535&lt;&gt;"-",_xlfn.XLOOKUP(IFERROR(IFERROR(IFERROR(VALUE(SUBSTITUTE(MID(_xlfn.TEXTAFTER('Banco de Dados'!$F1535,"Data do Pedido:
",1),1,10),"-","/")),VALUE(SUBSTITUTE(MID(_xlfn.TEXTAFTER('Banco de Dados'!$F1535,"Order date:
",1),1,10),"-","/"))),VALUE(SUBSTITUTE(MID(_xlfn.TEXTAFTER('Banco de Dados'!$F1535,"Fecha de pedido:
",1),1,10),"-","/"))),"-"),SMS!A:A,SMS!K:K),0),0)</f>
        <v>0</v>
      </c>
      <c r="AO1535" s="109">
        <f ca="1">IF('Banco de Dados'!$AK1535&lt;&gt;"-",IF('Banco de Dados'!$F1535&lt;&gt;"-",IFERROR(_xlfn.XLOOKUP(_xlfn.CONCAT('Banco de Dados'!$A1535,IFERROR(IFERROR(VALUE(SUBSTITUTE(MID(_xlfn.TEXTAFTER('Banco de Dados'!$F1535,"Data do Pedido:
",1),1,10),"-","/")),VALUE(SUBSTITUTE(MID(_xlfn.TEXTAFTER('Banco de Dados'!$F1535,"Order date:
",1),1,10),"-","/"))),0)),ProxyDD[Chave],ProxyDD[Valor por pedido]),PROXY!$P$2),0),0)</f>
        <v>0</v>
      </c>
      <c r="AP1535" s="28">
        <f ca="1">IF('Banco de Dados'!$AK1535&lt;&gt;"-",IF('Banco de Dados'!$AL1535="NÃO",IFERROR(VALUE(SUBSTITUTE(_xlfn.TEXTAFTER('Banco de Dados'!$F1535,"BRL ",1),".",",")),0),0),0)</f>
        <v>0</v>
      </c>
      <c r="AQ1535" s="28">
        <f ca="1">SUM('Banco de Dados'!$AM1535:$AP1535)</f>
        <v>0</v>
      </c>
      <c r="AR1535" s="8"/>
      <c r="AS1535" s="8"/>
      <c r="AT1535"/>
      <c r="AY1535" s="8"/>
    </row>
    <row r="1536" spans="1:51">
      <c r="A1536" s="5" t="str">
        <v>GO</v>
      </c>
      <c r="B1536" s="5" t="str">
        <f ca="1"/>
        <v>GO45760</v>
      </c>
      <c r="C1536" s="8" t="str">
        <v>Pedido 1523</v>
      </c>
      <c r="D1536" s="187">
        <v>45759</v>
      </c>
      <c r="E1536" s="9">
        <v>45760</v>
      </c>
      <c r="F1536" s="8" t="str">
        <v>PedidoF1459</v>
      </c>
      <c r="G1536" s="2" t="str">
        <v>CódRastreio1457</v>
      </c>
      <c r="H1536" s="5">
        <v>1</v>
      </c>
      <c r="I1536" s="182" t="str">
        <v>CPF 1482</v>
      </c>
      <c r="J1536" s="2" t="str">
        <v>Nome 1482</v>
      </c>
      <c r="K1536" s="8" t="str">
        <v>Tel 1482</v>
      </c>
      <c r="L1536" s="8" t="str">
        <v>Cep 1482</v>
      </c>
      <c r="M1536" s="8" t="str">
        <v>Rua 1482</v>
      </c>
      <c r="N1536" s="8" t="str">
        <v>Comp 1482</v>
      </c>
      <c r="O1536" s="8" t="str">
        <v>Ventilador Azul</v>
      </c>
      <c r="P1536" s="8" t="str">
        <v>H8-IH9B-M87L</v>
      </c>
      <c r="Q1536" s="4">
        <v>45790</v>
      </c>
      <c r="R1536" s="109">
        <v>54.9</v>
      </c>
      <c r="S1536" s="11">
        <f ca="1"/>
        <v>54.9</v>
      </c>
      <c r="T1536" s="28">
        <f ca="1"/>
        <v>6.5879999999999992</v>
      </c>
      <c r="U1536" s="11">
        <f ca="1"/>
        <v>48.31</v>
      </c>
      <c r="V1536" s="11">
        <v>22.51</v>
      </c>
      <c r="W1536" s="11">
        <f ca="1"/>
        <v>0.21</v>
      </c>
      <c r="X1536" s="11">
        <f ca="1"/>
        <v>0.39877104377104378</v>
      </c>
      <c r="Y1536" s="11">
        <v>0</v>
      </c>
      <c r="Z1536" s="11">
        <f ca="1"/>
        <v>25.191228956228954</v>
      </c>
      <c r="AA1536" s="11">
        <f ca="1"/>
        <v>25.191228956228954</v>
      </c>
      <c r="AB1536" s="4">
        <f ca="1"/>
        <v>45797</v>
      </c>
      <c r="AC1536" s="4">
        <v>45797</v>
      </c>
      <c r="AD1536" s="9">
        <v>45807</v>
      </c>
      <c r="AE1536" s="9">
        <v>45810</v>
      </c>
      <c r="AF1536" s="4" t="str">
        <f t="shared" ca="1" si="100"/>
        <v>2025 05</v>
      </c>
      <c r="AG1536" s="8" t="str" cm="1">
        <f t="array" ref="AG1536">IFERROR(_xlfn.IFS('Banco de Dados'!#REF!="AG. COMPRA","Em processamento",'Banco de Dados'!#REF!="AG. RASTREIO","Em processamento",'Banco de Dados'!$AE1536&lt;&gt;"-","Faturado",'Banco de Dados'!$AD1536&lt;&gt;"-","Aguardando Pix",'Banco de Dados'!$AC1536&lt;&gt;"-","Pendente"),"Aguardando Liberação")</f>
        <v>Aguardando Liberação</v>
      </c>
      <c r="AH1536" s="5" t="str">
        <f>IF('Banco de Dados'!$F1536="-",_xlfn.CONCAT(PROPER(TEXT(AK1536,"aaaa"))," ",PROPER(TEXT(AK1536,"mm"))),_xlfn.CONCAT(PROPER(TEXT(E1536,"aaaa"))," ",PROPER(TEXT(E1536,"mm"))))</f>
        <v>2025 04</v>
      </c>
      <c r="AI1536" s="9" t="str">
        <f ca="1">IF('Banco de Dados'!$AK1536&lt;&gt;"-","REEMBOLSO",IFERROR(_xlfn.XLOOKUP(G1536,Follow[CODRASTREIO],Follow[STATUS]),"-"))</f>
        <v>ENTREGUE</v>
      </c>
      <c r="AJ1536" s="9">
        <f ca="1">IF('Banco de Dados'!$AI1536="ENTREGUE",_xlfn.XLOOKUP('Banco de Dados'!$G1536,Follow[CODRASTREIO],Follow[DATAATUALIZAÇÃO]),"-")</f>
        <v>45775</v>
      </c>
      <c r="AK1536" s="132" t="str">
        <f ca="1"/>
        <v>-</v>
      </c>
      <c r="AL1536" s="35"/>
      <c r="AM1536" s="109" cm="1">
        <f t="array" aca="1" ref="AM1536" ca="1">IF('Banco de Dados'!$AK1536&lt;&gt;"-",_xlfn.IFS('Banco de Dados'!$A1536="bv",IF('Banco de Dados'!$E1536&lt;45641,ROUND(SUM('Banco de Dados'!$R1536*_xlfn.XLOOKUP('Banco de Dados'!$P1536,Sku!B:B,Sku!#REF!)*20%),2),ROUND(SUM('Banco de Dados'!$R1536*_xlfn.XLOOKUP('Banco de Dados'!$P1536,Sku!B:B,Sku!H:H)*20%),2)),'Banco de Dados'!$A1536="GO",ROUND(SUM('Banco de Dados'!$R1536*_xlfn.XLOOKUP('Banco de Dados'!$P1536,Sku!C:C,Sku!H:H)*20%),2),'Banco de Dados'!$A1536="MEI",ROUND(SUM('Banco de Dados'!$R1536*_xlfn.XLOOKUP('Banco de Dados'!$P1536,Sku!D:D,Sku!H:H)*20%),2)),0)</f>
        <v>0</v>
      </c>
      <c r="AN1536" s="109">
        <f ca="1">IF('Banco de Dados'!$AK1536&lt;&gt;"-",IF('Banco de Dados'!$F1536&lt;&gt;"-",_xlfn.XLOOKUP(IFERROR(IFERROR(IFERROR(VALUE(SUBSTITUTE(MID(_xlfn.TEXTAFTER('Banco de Dados'!$F1536,"Data do Pedido:
",1),1,10),"-","/")),VALUE(SUBSTITUTE(MID(_xlfn.TEXTAFTER('Banco de Dados'!$F1536,"Order date:
",1),1,10),"-","/"))),VALUE(SUBSTITUTE(MID(_xlfn.TEXTAFTER('Banco de Dados'!$F1536,"Fecha de pedido:
",1),1,10),"-","/"))),"-"),SMS!A:A,SMS!K:K),0),0)</f>
        <v>0</v>
      </c>
      <c r="AO1536" s="109">
        <f ca="1">IF('Banco de Dados'!$AK1536&lt;&gt;"-",IF('Banco de Dados'!$F1536&lt;&gt;"-",IFERROR(_xlfn.XLOOKUP(_xlfn.CONCAT('Banco de Dados'!$A1536,IFERROR(IFERROR(VALUE(SUBSTITUTE(MID(_xlfn.TEXTAFTER('Banco de Dados'!$F1536,"Data do Pedido:
",1),1,10),"-","/")),VALUE(SUBSTITUTE(MID(_xlfn.TEXTAFTER('Banco de Dados'!$F1536,"Order date:
",1),1,10),"-","/"))),0)),ProxyDD[Chave],ProxyDD[Valor por pedido]),PROXY!$P$2),0),0)</f>
        <v>0</v>
      </c>
      <c r="AP1536" s="28">
        <f ca="1">IF('Banco de Dados'!$AK1536&lt;&gt;"-",IF('Banco de Dados'!$AL1536="NÃO",IFERROR(VALUE(SUBSTITUTE(_xlfn.TEXTAFTER('Banco de Dados'!$F1536,"BRL ",1),".",",")),0),0),0)</f>
        <v>0</v>
      </c>
      <c r="AQ1536" s="28">
        <f ca="1">SUM('Banco de Dados'!$AM1536:$AP1536)</f>
        <v>0</v>
      </c>
      <c r="AR1536" s="8"/>
      <c r="AS1536" s="8"/>
      <c r="AT1536"/>
      <c r="AY1536" s="8"/>
    </row>
    <row r="1537" spans="1:51">
      <c r="A1537" s="5" t="str">
        <v>GO</v>
      </c>
      <c r="B1537" s="5" t="str">
        <f ca="1"/>
        <v>GO45760</v>
      </c>
      <c r="C1537" s="8" t="str">
        <v>Pedido 1524</v>
      </c>
      <c r="D1537" s="187">
        <v>45759</v>
      </c>
      <c r="E1537" s="9">
        <v>45760</v>
      </c>
      <c r="F1537" s="8" t="str">
        <v>PedidoF1460</v>
      </c>
      <c r="G1537" s="2" t="str">
        <v>CódRastreio1458</v>
      </c>
      <c r="H1537" s="5">
        <v>1</v>
      </c>
      <c r="I1537" s="182" t="str">
        <v>CPF 1483</v>
      </c>
      <c r="J1537" s="2" t="str">
        <v>Nome 1483</v>
      </c>
      <c r="K1537" s="8" t="str">
        <v>Tel 1483</v>
      </c>
      <c r="L1537" s="8" t="str">
        <v>Cep 1483</v>
      </c>
      <c r="M1537" s="8" t="str">
        <v>Rua 1483</v>
      </c>
      <c r="N1537" s="8" t="str">
        <v>Comp 1483</v>
      </c>
      <c r="O1537" s="8" t="str">
        <v>Ventilador Rosa</v>
      </c>
      <c r="P1537" s="8" t="str">
        <v>MK-OUQW-7L3Z</v>
      </c>
      <c r="Q1537" s="4">
        <v>45790</v>
      </c>
      <c r="R1537" s="109">
        <v>64.89</v>
      </c>
      <c r="S1537" s="11">
        <f ca="1"/>
        <v>64.89</v>
      </c>
      <c r="T1537" s="28">
        <f ca="1"/>
        <v>7.7867999999999995</v>
      </c>
      <c r="U1537" s="11">
        <f ca="1"/>
        <v>57.1</v>
      </c>
      <c r="V1537" s="11">
        <v>22.17</v>
      </c>
      <c r="W1537" s="11">
        <f ca="1"/>
        <v>0.21</v>
      </c>
      <c r="X1537" s="11">
        <f ca="1"/>
        <v>0.39877104377104378</v>
      </c>
      <c r="Y1537" s="11">
        <v>0</v>
      </c>
      <c r="Z1537" s="11">
        <f ca="1"/>
        <v>34.32122895622895</v>
      </c>
      <c r="AA1537" s="11">
        <f ca="1"/>
        <v>34.32122895622895</v>
      </c>
      <c r="AB1537" s="4">
        <f ca="1"/>
        <v>45797</v>
      </c>
      <c r="AC1537" s="4">
        <v>45797</v>
      </c>
      <c r="AD1537" s="9">
        <v>45807</v>
      </c>
      <c r="AE1537" s="9">
        <v>45810</v>
      </c>
      <c r="AF1537" s="4" t="str">
        <f t="shared" ca="1" si="100"/>
        <v>2025 05</v>
      </c>
      <c r="AG1537" s="8" t="str" cm="1">
        <f t="array" ref="AG1537">IFERROR(_xlfn.IFS('Banco de Dados'!#REF!="AG. COMPRA","Em processamento",'Banco de Dados'!#REF!="AG. RASTREIO","Em processamento",'Banco de Dados'!$AE1537&lt;&gt;"-","Faturado",'Banco de Dados'!$AD1537&lt;&gt;"-","Aguardando Pix",'Banco de Dados'!$AC1537&lt;&gt;"-","Pendente"),"Aguardando Liberação")</f>
        <v>Aguardando Liberação</v>
      </c>
      <c r="AH1537" s="5" t="str">
        <f>IF('Banco de Dados'!$F1537="-",_xlfn.CONCAT(PROPER(TEXT(AK1537,"aaaa"))," ",PROPER(TEXT(AK1537,"mm"))),_xlfn.CONCAT(PROPER(TEXT(E1537,"aaaa"))," ",PROPER(TEXT(E1537,"mm"))))</f>
        <v>2025 04</v>
      </c>
      <c r="AI1537" s="9" t="str">
        <f ca="1">IF('Banco de Dados'!$AK1537&lt;&gt;"-","REEMBOLSO",IFERROR(_xlfn.XLOOKUP(G1537,Follow[CODRASTREIO],Follow[STATUS]),"-"))</f>
        <v>ENTREGUE</v>
      </c>
      <c r="AJ1537" s="9">
        <f ca="1">IF('Banco de Dados'!$AI1537="ENTREGUE",_xlfn.XLOOKUP('Banco de Dados'!$G1537,Follow[CODRASTREIO],Follow[DATAATUALIZAÇÃO]),"-")</f>
        <v>45775</v>
      </c>
      <c r="AK1537" s="132" t="str">
        <f ca="1"/>
        <v>-</v>
      </c>
      <c r="AL1537" s="35"/>
      <c r="AM1537" s="109" cm="1">
        <f t="array" aca="1" ref="AM1537" ca="1">IF('Banco de Dados'!$AK1537&lt;&gt;"-",_xlfn.IFS('Banco de Dados'!$A1537="bv",IF('Banco de Dados'!$E1537&lt;45641,ROUND(SUM('Banco de Dados'!$R1537*_xlfn.XLOOKUP('Banco de Dados'!$P1537,Sku!B:B,Sku!#REF!)*20%),2),ROUND(SUM('Banco de Dados'!$R1537*_xlfn.XLOOKUP('Banco de Dados'!$P1537,Sku!B:B,Sku!H:H)*20%),2)),'Banco de Dados'!$A1537="GO",ROUND(SUM('Banco de Dados'!$R1537*_xlfn.XLOOKUP('Banco de Dados'!$P1537,Sku!C:C,Sku!H:H)*20%),2),'Banco de Dados'!$A1537="MEI",ROUND(SUM('Banco de Dados'!$R1537*_xlfn.XLOOKUP('Banco de Dados'!$P1537,Sku!D:D,Sku!H:H)*20%),2)),0)</f>
        <v>0</v>
      </c>
      <c r="AN1537" s="109">
        <f ca="1">IF('Banco de Dados'!$AK1537&lt;&gt;"-",IF('Banco de Dados'!$F1537&lt;&gt;"-",_xlfn.XLOOKUP(IFERROR(IFERROR(IFERROR(VALUE(SUBSTITUTE(MID(_xlfn.TEXTAFTER('Banco de Dados'!$F1537,"Data do Pedido:
",1),1,10),"-","/")),VALUE(SUBSTITUTE(MID(_xlfn.TEXTAFTER('Banco de Dados'!$F1537,"Order date:
",1),1,10),"-","/"))),VALUE(SUBSTITUTE(MID(_xlfn.TEXTAFTER('Banco de Dados'!$F1537,"Fecha de pedido:
",1),1,10),"-","/"))),"-"),SMS!A:A,SMS!K:K),0),0)</f>
        <v>0</v>
      </c>
      <c r="AO1537" s="109">
        <f ca="1">IF('Banco de Dados'!$AK1537&lt;&gt;"-",IF('Banco de Dados'!$F1537&lt;&gt;"-",IFERROR(_xlfn.XLOOKUP(_xlfn.CONCAT('Banco de Dados'!$A1537,IFERROR(IFERROR(VALUE(SUBSTITUTE(MID(_xlfn.TEXTAFTER('Banco de Dados'!$F1537,"Data do Pedido:
",1),1,10),"-","/")),VALUE(SUBSTITUTE(MID(_xlfn.TEXTAFTER('Banco de Dados'!$F1537,"Order date:
",1),1,10),"-","/"))),0)),ProxyDD[Chave],ProxyDD[Valor por pedido]),PROXY!$P$2),0),0)</f>
        <v>0</v>
      </c>
      <c r="AP1537" s="28">
        <f ca="1">IF('Banco de Dados'!$AK1537&lt;&gt;"-",IF('Banco de Dados'!$AL1537="NÃO",IFERROR(VALUE(SUBSTITUTE(_xlfn.TEXTAFTER('Banco de Dados'!$F1537,"BRL ",1),".",",")),0),0),0)</f>
        <v>0</v>
      </c>
      <c r="AQ1537" s="28">
        <f ca="1">SUM('Banco de Dados'!$AM1537:$AP1537)</f>
        <v>0</v>
      </c>
      <c r="AR1537" s="8"/>
      <c r="AS1537" s="8"/>
      <c r="AT1537"/>
      <c r="AY1537" s="8"/>
    </row>
    <row r="1538" spans="1:51">
      <c r="A1538" s="5" t="str">
        <v>GO</v>
      </c>
      <c r="B1538" s="5" t="str">
        <f ca="1"/>
        <v>GO45761</v>
      </c>
      <c r="C1538" s="8" t="str">
        <v>Pedido 1525</v>
      </c>
      <c r="D1538" s="187">
        <v>45760</v>
      </c>
      <c r="E1538" s="9">
        <v>45761</v>
      </c>
      <c r="F1538" s="8" t="str">
        <v>PedidoF1461</v>
      </c>
      <c r="G1538" s="2" t="str">
        <v>CódRastreio1459</v>
      </c>
      <c r="H1538" s="5">
        <v>1</v>
      </c>
      <c r="I1538" s="182" t="str">
        <v>CPF 1484</v>
      </c>
      <c r="J1538" s="2" t="str">
        <v>Nome 1484</v>
      </c>
      <c r="K1538" s="8" t="str">
        <v>Tel 1484</v>
      </c>
      <c r="L1538" s="8" t="str">
        <v>Cep 1484</v>
      </c>
      <c r="M1538" s="8" t="str">
        <v>Rua 1484</v>
      </c>
      <c r="N1538" s="8" t="str">
        <v>Comp 1484</v>
      </c>
      <c r="O1538" s="8" t="str">
        <v>Ventilador Azul</v>
      </c>
      <c r="P1538" s="8" t="str">
        <v>H8-IH9B-M87L</v>
      </c>
      <c r="Q1538" s="4">
        <v>45784</v>
      </c>
      <c r="R1538" s="109">
        <v>64.89</v>
      </c>
      <c r="S1538" s="11">
        <f ca="1"/>
        <v>64.89</v>
      </c>
      <c r="T1538" s="28">
        <f ca="1"/>
        <v>7.7867999999999995</v>
      </c>
      <c r="U1538" s="11">
        <f ca="1"/>
        <v>57.1</v>
      </c>
      <c r="V1538" s="11">
        <v>22.25</v>
      </c>
      <c r="W1538" s="11">
        <f ca="1"/>
        <v>0.38</v>
      </c>
      <c r="X1538" s="11">
        <f ca="1"/>
        <v>0.39877104377104378</v>
      </c>
      <c r="Y1538" s="11">
        <v>0</v>
      </c>
      <c r="Z1538" s="11">
        <f ca="1"/>
        <v>34.071228956228957</v>
      </c>
      <c r="AA1538" s="11">
        <f ca="1"/>
        <v>34.071228956228957</v>
      </c>
      <c r="AB1538" s="4">
        <f ca="1"/>
        <v>45791</v>
      </c>
      <c r="AC1538" s="4">
        <v>45791</v>
      </c>
      <c r="AD1538" s="9">
        <v>45793</v>
      </c>
      <c r="AE1538" s="9">
        <v>45797</v>
      </c>
      <c r="AF1538" s="4" t="str">
        <f t="shared" ca="1" si="100"/>
        <v>2025 05</v>
      </c>
      <c r="AG1538" s="8" t="str" cm="1">
        <f t="array" ref="AG1538">IFERROR(_xlfn.IFS('Banco de Dados'!#REF!="AG. COMPRA","Em processamento",'Banco de Dados'!#REF!="AG. RASTREIO","Em processamento",'Banco de Dados'!$AE1538&lt;&gt;"-","Faturado",'Banco de Dados'!$AD1538&lt;&gt;"-","Aguardando Pix",'Banco de Dados'!$AC1538&lt;&gt;"-","Pendente"),"Aguardando Liberação")</f>
        <v>Aguardando Liberação</v>
      </c>
      <c r="AH1538" s="5" t="str">
        <f>IF('Banco de Dados'!$F1538="-",_xlfn.CONCAT(PROPER(TEXT(AK1538,"aaaa"))," ",PROPER(TEXT(AK1538,"mm"))),_xlfn.CONCAT(PROPER(TEXT(E1538,"aaaa"))," ",PROPER(TEXT(E1538,"mm"))))</f>
        <v>2025 04</v>
      </c>
      <c r="AI1538" s="9" t="str">
        <f ca="1">IF('Banco de Dados'!$AK1538&lt;&gt;"-","REEMBOLSO",IFERROR(_xlfn.XLOOKUP(G1538,Follow[CODRASTREIO],Follow[STATUS]),"-"))</f>
        <v>ENTREGUE</v>
      </c>
      <c r="AJ1538" s="9">
        <f ca="1">IF('Banco de Dados'!$AI1538="ENTREGUE",_xlfn.XLOOKUP('Banco de Dados'!$G1538,Follow[CODRASTREIO],Follow[DATAATUALIZAÇÃO]),"-")</f>
        <v>45775</v>
      </c>
      <c r="AK1538" s="132" t="str">
        <f ca="1"/>
        <v>-</v>
      </c>
      <c r="AL1538" s="35"/>
      <c r="AM1538" s="109" cm="1">
        <f t="array" aca="1" ref="AM1538" ca="1">IF('Banco de Dados'!$AK1538&lt;&gt;"-",_xlfn.IFS('Banco de Dados'!$A1538="bv",IF('Banco de Dados'!$E1538&lt;45641,ROUND(SUM('Banco de Dados'!$R1538*_xlfn.XLOOKUP('Banco de Dados'!$P1538,Sku!B:B,Sku!#REF!)*20%),2),ROUND(SUM('Banco de Dados'!$R1538*_xlfn.XLOOKUP('Banco de Dados'!$P1538,Sku!B:B,Sku!H:H)*20%),2)),'Banco de Dados'!$A1538="GO",ROUND(SUM('Banco de Dados'!$R1538*_xlfn.XLOOKUP('Banco de Dados'!$P1538,Sku!C:C,Sku!H:H)*20%),2),'Banco de Dados'!$A1538="MEI",ROUND(SUM('Banco de Dados'!$R1538*_xlfn.XLOOKUP('Banco de Dados'!$P1538,Sku!D:D,Sku!H:H)*20%),2)),0)</f>
        <v>0</v>
      </c>
      <c r="AN1538" s="109">
        <f ca="1">IF('Banco de Dados'!$AK1538&lt;&gt;"-",IF('Banco de Dados'!$F1538&lt;&gt;"-",_xlfn.XLOOKUP(IFERROR(IFERROR(IFERROR(VALUE(SUBSTITUTE(MID(_xlfn.TEXTAFTER('Banco de Dados'!$F1538,"Data do Pedido:
",1),1,10),"-","/")),VALUE(SUBSTITUTE(MID(_xlfn.TEXTAFTER('Banco de Dados'!$F1538,"Order date:
",1),1,10),"-","/"))),VALUE(SUBSTITUTE(MID(_xlfn.TEXTAFTER('Banco de Dados'!$F1538,"Fecha de pedido:
",1),1,10),"-","/"))),"-"),SMS!A:A,SMS!K:K),0),0)</f>
        <v>0</v>
      </c>
      <c r="AO1538" s="109">
        <f ca="1">IF('Banco de Dados'!$AK1538&lt;&gt;"-",IF('Banco de Dados'!$F1538&lt;&gt;"-",IFERROR(_xlfn.XLOOKUP(_xlfn.CONCAT('Banco de Dados'!$A1538,IFERROR(IFERROR(VALUE(SUBSTITUTE(MID(_xlfn.TEXTAFTER('Banco de Dados'!$F1538,"Data do Pedido:
",1),1,10),"-","/")),VALUE(SUBSTITUTE(MID(_xlfn.TEXTAFTER('Banco de Dados'!$F1538,"Order date:
",1),1,10),"-","/"))),0)),ProxyDD[Chave],ProxyDD[Valor por pedido]),PROXY!$P$2),0),0)</f>
        <v>0</v>
      </c>
      <c r="AP1538" s="28">
        <f ca="1">IF('Banco de Dados'!$AK1538&lt;&gt;"-",IF('Banco de Dados'!$AL1538="NÃO",IFERROR(VALUE(SUBSTITUTE(_xlfn.TEXTAFTER('Banco de Dados'!$F1538,"BRL ",1),".",",")),0),0),0)</f>
        <v>0</v>
      </c>
      <c r="AQ1538" s="28">
        <f ca="1">SUM('Banco de Dados'!$AM1538:$AP1538)</f>
        <v>0</v>
      </c>
      <c r="AR1538" s="8"/>
      <c r="AS1538" s="8"/>
      <c r="AT1538"/>
      <c r="AY1538" s="8"/>
    </row>
    <row r="1539" spans="1:51">
      <c r="A1539" s="5" t="str">
        <v>MEI</v>
      </c>
      <c r="B1539" s="5" t="str">
        <f ca="1"/>
        <v>MEI-</v>
      </c>
      <c r="C1539" s="8" t="str">
        <v>Pedido 1526</v>
      </c>
      <c r="D1539" s="187">
        <v>45759</v>
      </c>
      <c r="E1539" s="9" t="str">
        <v>-</v>
      </c>
      <c r="F1539" s="8" t="str">
        <v>-</v>
      </c>
      <c r="G1539" s="2" t="str">
        <v>-</v>
      </c>
      <c r="H1539" s="5">
        <v>1</v>
      </c>
      <c r="I1539" s="182" t="str">
        <v>CPF 1485</v>
      </c>
      <c r="J1539" s="2" t="str">
        <v>Nome 1485</v>
      </c>
      <c r="K1539" s="8" t="str">
        <v>Tel 1485</v>
      </c>
      <c r="L1539" s="8" t="str">
        <v>Cep 1485</v>
      </c>
      <c r="M1539" s="8" t="str">
        <v>Rua 1485</v>
      </c>
      <c r="N1539" s="8" t="str">
        <v>Comp 1485</v>
      </c>
      <c r="O1539" s="8" t="str">
        <v>Copo Termico</v>
      </c>
      <c r="P1539" s="8" t="str">
        <v>VI-4RT5-1FFO</v>
      </c>
      <c r="Q1539" s="4">
        <v>45784</v>
      </c>
      <c r="R1539" s="109">
        <v>22.7</v>
      </c>
      <c r="S1539" s="11">
        <f ca="1"/>
        <v>0</v>
      </c>
      <c r="T1539" s="28">
        <f ca="1"/>
        <v>0</v>
      </c>
      <c r="U1539" s="11">
        <f ca="1"/>
        <v>0</v>
      </c>
      <c r="V1539" s="11">
        <v>0</v>
      </c>
      <c r="W1539" s="11">
        <f ca="1"/>
        <v>0</v>
      </c>
      <c r="X1539" s="11">
        <f ca="1"/>
        <v>0</v>
      </c>
      <c r="Y1539" s="11">
        <v>0</v>
      </c>
      <c r="Z1539" s="11">
        <f ca="1"/>
        <v>0</v>
      </c>
      <c r="AA1539" s="11">
        <f ca="1"/>
        <v>0</v>
      </c>
      <c r="AB1539" s="4">
        <f ca="1"/>
        <v>45791</v>
      </c>
      <c r="AC1539" s="4">
        <v>45791</v>
      </c>
      <c r="AD1539" s="9">
        <v>45793</v>
      </c>
      <c r="AE1539" s="9">
        <v>45797</v>
      </c>
      <c r="AF1539" s="4" t="str">
        <f t="shared" ref="AF1539:AF1548" ca="1" si="101">_xlfn.CONCAT(PROPER(TEXT(AB1539,"aaaa"))," ",PROPER(TEXT(AB1539,"mm")))</f>
        <v>2025 05</v>
      </c>
      <c r="AG1539" s="8" t="str" cm="1">
        <f t="array" ref="AG1539">IFERROR(_xlfn.IFS('Banco de Dados'!#REF!="AG. COMPRA","Em processamento",'Banco de Dados'!#REF!="AG. RASTREIO","Em processamento",'Banco de Dados'!$AE1539&lt;&gt;"-","Faturado",'Banco de Dados'!$AD1539&lt;&gt;"-","Aguardando Pix",'Banco de Dados'!$AC1539&lt;&gt;"-","Pendente"),"Aguardando Liberação")</f>
        <v>Aguardando Liberação</v>
      </c>
      <c r="AH1539" s="5" t="str">
        <f ca="1">IF('Banco de Dados'!$F1539="-",_xlfn.CONCAT(PROPER(TEXT(AK1539,"aaaa"))," ",PROPER(TEXT(AK1539,"mm"))),_xlfn.CONCAT(PROPER(TEXT(E1539,"aaaa"))," ",PROPER(TEXT(E1539,"mm"))))</f>
        <v>2025 04</v>
      </c>
      <c r="AI1539" s="9" t="str">
        <f ca="1">IF('Banco de Dados'!$AK1539&lt;&gt;"-","REEMBOLSO",IFERROR(_xlfn.XLOOKUP(G1539,Follow[CODRASTREIO],Follow[STATUS]),"-"))</f>
        <v>REEMBOLSO</v>
      </c>
      <c r="AJ1539" s="9" t="str">
        <f ca="1">IF('Banco de Dados'!$AI1539="ENTREGUE",_xlfn.XLOOKUP('Banco de Dados'!$G1539,Follow[CODRASTREIO],Follow[DATAATUALIZAÇÃO]),"-")</f>
        <v>-</v>
      </c>
      <c r="AK1539" s="132">
        <f ca="1"/>
        <v>45768</v>
      </c>
      <c r="AL1539" s="35"/>
      <c r="AM1539" s="109" cm="1">
        <f t="array" aca="1" ref="AM1539" ca="1">IF('Banco de Dados'!$AK1539&lt;&gt;"-",_xlfn.IFS('Banco de Dados'!$A1539="bv",IF('Banco de Dados'!$E1539&lt;45641,ROUND(SUM('Banco de Dados'!$R1539*_xlfn.XLOOKUP('Banco de Dados'!$P1539,Sku!B:B,Sku!#REF!)*20%),2),ROUND(SUM('Banco de Dados'!$R1539*_xlfn.XLOOKUP('Banco de Dados'!$P1539,Sku!B:B,Sku!H:H)*20%),2)),'Banco de Dados'!$A1539="GO",ROUND(SUM('Banco de Dados'!$R1539*_xlfn.XLOOKUP('Banco de Dados'!$P1539,Sku!C:C,Sku!H:H)*20%),2),'Banco de Dados'!$A1539="MEI",ROUND(SUM('Banco de Dados'!$R1539*_xlfn.XLOOKUP('Banco de Dados'!$P1539,Sku!D:D,Sku!H:H)*20%),2)),0)</f>
        <v>0.59</v>
      </c>
      <c r="AN1539" s="109">
        <f ca="1">IF('Banco de Dados'!$AK1539&lt;&gt;"-",IF('Banco de Dados'!$F1539&lt;&gt;"-",_xlfn.XLOOKUP(IFERROR(IFERROR(IFERROR(VALUE(SUBSTITUTE(MID(_xlfn.TEXTAFTER('Banco de Dados'!$F1539,"Data do Pedido:
",1),1,10),"-","/")),VALUE(SUBSTITUTE(MID(_xlfn.TEXTAFTER('Banco de Dados'!$F1539,"Order date:
",1),1,10),"-","/"))),VALUE(SUBSTITUTE(MID(_xlfn.TEXTAFTER('Banco de Dados'!$F1539,"Fecha de pedido:
",1),1,10),"-","/"))),"-"),SMS!A:A,SMS!K:K),0),0)</f>
        <v>0</v>
      </c>
      <c r="AO1539" s="109">
        <f ca="1">IF('Banco de Dados'!$AK1539&lt;&gt;"-",IF('Banco de Dados'!$F1539&lt;&gt;"-",IFERROR(_xlfn.XLOOKUP(_xlfn.CONCAT('Banco de Dados'!$A1539,IFERROR(IFERROR(VALUE(SUBSTITUTE(MID(_xlfn.TEXTAFTER('Banco de Dados'!$F1539,"Data do Pedido:
",1),1,10),"-","/")),VALUE(SUBSTITUTE(MID(_xlfn.TEXTAFTER('Banco de Dados'!$F1539,"Order date:
",1),1,10),"-","/"))),0)),ProxyDD[Chave],ProxyDD[Valor por pedido]),PROXY!$P$2),0),0)</f>
        <v>0</v>
      </c>
      <c r="AP1539" s="28">
        <f ca="1">IF('Banco de Dados'!$AK1539&lt;&gt;"-",IF('Banco de Dados'!$AL1539="NÃO",IFERROR(VALUE(SUBSTITUTE(_xlfn.TEXTAFTER('Banco de Dados'!$F1539,"BRL ",1),".",",")),0),0),0)</f>
        <v>0</v>
      </c>
      <c r="AQ1539" s="28">
        <f ca="1">SUM('Banco de Dados'!$AM1539:$AP1539)</f>
        <v>0.59</v>
      </c>
      <c r="AR1539" s="8"/>
      <c r="AS1539" s="8"/>
      <c r="AT1539"/>
      <c r="AY1539" s="8"/>
    </row>
    <row r="1540" spans="1:51">
      <c r="A1540" s="5" t="str">
        <v>MEI</v>
      </c>
      <c r="B1540" s="5" t="str">
        <f ca="1"/>
        <v>MEI45761</v>
      </c>
      <c r="C1540" s="8" t="str">
        <v>Pedido 1527</v>
      </c>
      <c r="D1540" s="187">
        <v>45760</v>
      </c>
      <c r="E1540" s="9">
        <v>45761</v>
      </c>
      <c r="F1540" s="8" t="str">
        <v>PedidoF1462</v>
      </c>
      <c r="G1540" s="2" t="str">
        <v>CódRastreio1460</v>
      </c>
      <c r="H1540" s="5">
        <v>1</v>
      </c>
      <c r="I1540" s="182" t="str">
        <v>CPF 1486</v>
      </c>
      <c r="J1540" s="2" t="str">
        <v>Nome 1486</v>
      </c>
      <c r="K1540" s="8" t="str">
        <v>Tel 1486</v>
      </c>
      <c r="L1540" s="8" t="str">
        <v>Cep 1486</v>
      </c>
      <c r="M1540" s="8" t="str">
        <v>Rua 1486</v>
      </c>
      <c r="N1540" s="8" t="str">
        <v>Comp 1486</v>
      </c>
      <c r="O1540" s="8" t="str">
        <v>Suporte de Celular Branco</v>
      </c>
      <c r="P1540" s="8" t="str">
        <v>IQ-LISQ-0D65</v>
      </c>
      <c r="Q1540" s="4">
        <v>45784</v>
      </c>
      <c r="R1540" s="109">
        <v>21.99</v>
      </c>
      <c r="S1540" s="11">
        <f ca="1"/>
        <v>21.99</v>
      </c>
      <c r="T1540" s="28">
        <f ca="1"/>
        <v>3.2984999999999998</v>
      </c>
      <c r="U1540" s="11">
        <f ca="1"/>
        <v>18.690000000000001</v>
      </c>
      <c r="V1540" s="11">
        <v>9.99</v>
      </c>
      <c r="W1540" s="11">
        <f ca="1"/>
        <v>0.43</v>
      </c>
      <c r="X1540" s="11">
        <f ca="1"/>
        <v>0.39877104377104378</v>
      </c>
      <c r="Y1540" s="11">
        <v>0</v>
      </c>
      <c r="Z1540" s="11">
        <f ca="1"/>
        <v>7.8712289562289577</v>
      </c>
      <c r="AA1540" s="11">
        <f ca="1"/>
        <v>3.9356144781144788</v>
      </c>
      <c r="AB1540" s="4">
        <f ca="1"/>
        <v>45791</v>
      </c>
      <c r="AC1540" s="4">
        <v>45791</v>
      </c>
      <c r="AD1540" s="9">
        <v>45793</v>
      </c>
      <c r="AE1540" s="9">
        <v>45797</v>
      </c>
      <c r="AF1540" s="4" t="str">
        <f t="shared" ca="1" si="101"/>
        <v>2025 05</v>
      </c>
      <c r="AG1540" s="8" t="str" cm="1">
        <f t="array" ref="AG1540">IFERROR(_xlfn.IFS('Banco de Dados'!#REF!="AG. COMPRA","Em processamento",'Banco de Dados'!#REF!="AG. RASTREIO","Em processamento",'Banco de Dados'!$AE1540&lt;&gt;"-","Faturado",'Banco de Dados'!$AD1540&lt;&gt;"-","Aguardando Pix",'Banco de Dados'!$AC1540&lt;&gt;"-","Pendente"),"Aguardando Liberação")</f>
        <v>Aguardando Liberação</v>
      </c>
      <c r="AH1540" s="5" t="str">
        <f>IF('Banco de Dados'!$F1540="-",_xlfn.CONCAT(PROPER(TEXT(AK1540,"aaaa"))," ",PROPER(TEXT(AK1540,"mm"))),_xlfn.CONCAT(PROPER(TEXT(E1540,"aaaa"))," ",PROPER(TEXT(E1540,"mm"))))</f>
        <v>2025 04</v>
      </c>
      <c r="AI1540" s="9" t="str">
        <f ca="1">IF('Banco de Dados'!$AK1540&lt;&gt;"-","REEMBOLSO",IFERROR(_xlfn.XLOOKUP(G1540,Follow[CODRASTREIO],Follow[STATUS]),"-"))</f>
        <v>ENTREGUE</v>
      </c>
      <c r="AJ1540" s="9">
        <f ca="1">IF('Banco de Dados'!$AI1540="ENTREGUE",_xlfn.XLOOKUP('Banco de Dados'!$G1540,Follow[CODRASTREIO],Follow[DATAATUALIZAÇÃO]),"-")</f>
        <v>45770</v>
      </c>
      <c r="AK1540" s="132" t="str">
        <f ca="1"/>
        <v>-</v>
      </c>
      <c r="AL1540" s="35"/>
      <c r="AM1540" s="109" cm="1">
        <f t="array" aca="1" ref="AM1540" ca="1">IF('Banco de Dados'!$AK1540&lt;&gt;"-",_xlfn.IFS('Banco de Dados'!$A1540="bv",IF('Banco de Dados'!$E1540&lt;45641,ROUND(SUM('Banco de Dados'!$R1540*_xlfn.XLOOKUP('Banco de Dados'!$P1540,Sku!B:B,Sku!#REF!)*20%),2),ROUND(SUM('Banco de Dados'!$R1540*_xlfn.XLOOKUP('Banco de Dados'!$P1540,Sku!B:B,Sku!H:H)*20%),2)),'Banco de Dados'!$A1540="GO",ROUND(SUM('Banco de Dados'!$R1540*_xlfn.XLOOKUP('Banco de Dados'!$P1540,Sku!C:C,Sku!H:H)*20%),2),'Banco de Dados'!$A1540="MEI",ROUND(SUM('Banco de Dados'!$R1540*_xlfn.XLOOKUP('Banco de Dados'!$P1540,Sku!D:D,Sku!H:H)*20%),2)),0)</f>
        <v>0</v>
      </c>
      <c r="AN1540" s="109">
        <f ca="1">IF('Banco de Dados'!$AK1540&lt;&gt;"-",IF('Banco de Dados'!$F1540&lt;&gt;"-",_xlfn.XLOOKUP(IFERROR(IFERROR(IFERROR(VALUE(SUBSTITUTE(MID(_xlfn.TEXTAFTER('Banco de Dados'!$F1540,"Data do Pedido:
",1),1,10),"-","/")),VALUE(SUBSTITUTE(MID(_xlfn.TEXTAFTER('Banco de Dados'!$F1540,"Order date:
",1),1,10),"-","/"))),VALUE(SUBSTITUTE(MID(_xlfn.TEXTAFTER('Banco de Dados'!$F1540,"Fecha de pedido:
",1),1,10),"-","/"))),"-"),SMS!A:A,SMS!K:K),0),0)</f>
        <v>0</v>
      </c>
      <c r="AO1540" s="109">
        <f ca="1">IF('Banco de Dados'!$AK1540&lt;&gt;"-",IF('Banco de Dados'!$F1540&lt;&gt;"-",IFERROR(_xlfn.XLOOKUP(_xlfn.CONCAT('Banco de Dados'!$A1540,IFERROR(IFERROR(VALUE(SUBSTITUTE(MID(_xlfn.TEXTAFTER('Banco de Dados'!$F1540,"Data do Pedido:
",1),1,10),"-","/")),VALUE(SUBSTITUTE(MID(_xlfn.TEXTAFTER('Banco de Dados'!$F1540,"Order date:
",1),1,10),"-","/"))),0)),ProxyDD[Chave],ProxyDD[Valor por pedido]),PROXY!$P$2),0),0)</f>
        <v>0</v>
      </c>
      <c r="AP1540" s="28">
        <f ca="1">IF('Banco de Dados'!$AK1540&lt;&gt;"-",IF('Banco de Dados'!$AL1540="NÃO",IFERROR(VALUE(SUBSTITUTE(_xlfn.TEXTAFTER('Banco de Dados'!$F1540,"BRL ",1),".",",")),0),0),0)</f>
        <v>0</v>
      </c>
      <c r="AQ1540" s="28">
        <f ca="1">SUM('Banco de Dados'!$AM1540:$AP1540)</f>
        <v>0</v>
      </c>
      <c r="AR1540" s="8"/>
      <c r="AS1540" s="8"/>
      <c r="AT1540"/>
      <c r="AY1540" s="8"/>
    </row>
    <row r="1541" spans="1:51">
      <c r="A1541" s="5" t="str">
        <v>MEI</v>
      </c>
      <c r="B1541" s="5" t="str">
        <f ca="1"/>
        <v>MEI45761</v>
      </c>
      <c r="C1541" s="8" t="str">
        <v>Pedido 1528</v>
      </c>
      <c r="D1541" s="187">
        <v>45760</v>
      </c>
      <c r="E1541" s="9">
        <v>45761</v>
      </c>
      <c r="F1541" s="8" t="str">
        <v>PedidoF1463</v>
      </c>
      <c r="G1541" s="2" t="str">
        <v>CódRastreio1461</v>
      </c>
      <c r="H1541" s="5">
        <v>1</v>
      </c>
      <c r="I1541" s="182" t="str">
        <v>CPF 1487</v>
      </c>
      <c r="J1541" s="2" t="str">
        <v>Nome 1487</v>
      </c>
      <c r="K1541" s="8" t="str">
        <v>Tel 1487</v>
      </c>
      <c r="L1541" s="8" t="str">
        <v>Cep 1487</v>
      </c>
      <c r="M1541" s="8" t="str">
        <v>Rua 1487</v>
      </c>
      <c r="N1541" s="8" t="str">
        <v>Comp 1487</v>
      </c>
      <c r="O1541" s="8" t="str">
        <v>Suporte de Celular Branco</v>
      </c>
      <c r="P1541" s="8" t="str">
        <v>IQ-LISQ-0D65</v>
      </c>
      <c r="Q1541" s="4">
        <v>45784</v>
      </c>
      <c r="R1541" s="109">
        <v>21.99</v>
      </c>
      <c r="S1541" s="11">
        <f ca="1"/>
        <v>21.99</v>
      </c>
      <c r="T1541" s="28">
        <f ca="1"/>
        <v>3.2984999999999998</v>
      </c>
      <c r="U1541" s="11">
        <f ca="1"/>
        <v>18.690000000000001</v>
      </c>
      <c r="V1541" s="11">
        <v>9.99</v>
      </c>
      <c r="W1541" s="11">
        <f ca="1"/>
        <v>0.43</v>
      </c>
      <c r="X1541" s="11">
        <f ca="1"/>
        <v>0.39877104377104378</v>
      </c>
      <c r="Y1541" s="11">
        <v>0</v>
      </c>
      <c r="Z1541" s="11">
        <f ca="1"/>
        <v>7.8712289562289577</v>
      </c>
      <c r="AA1541" s="11">
        <f ca="1"/>
        <v>3.9356144781144788</v>
      </c>
      <c r="AB1541" s="4">
        <f ca="1"/>
        <v>45791</v>
      </c>
      <c r="AC1541" s="4">
        <v>45791</v>
      </c>
      <c r="AD1541" s="9">
        <v>45793</v>
      </c>
      <c r="AE1541" s="9">
        <v>45797</v>
      </c>
      <c r="AF1541" s="4" t="str">
        <f t="shared" ca="1" si="101"/>
        <v>2025 05</v>
      </c>
      <c r="AG1541" s="8" t="str" cm="1">
        <f t="array" ref="AG1541">IFERROR(_xlfn.IFS('Banco de Dados'!#REF!="AG. COMPRA","Em processamento",'Banco de Dados'!#REF!="AG. RASTREIO","Em processamento",'Banco de Dados'!$AE1541&lt;&gt;"-","Faturado",'Banco de Dados'!$AD1541&lt;&gt;"-","Aguardando Pix",'Banco de Dados'!$AC1541&lt;&gt;"-","Pendente"),"Aguardando Liberação")</f>
        <v>Aguardando Liberação</v>
      </c>
      <c r="AH1541" s="5" t="str">
        <f>IF('Banco de Dados'!$F1541="-",_xlfn.CONCAT(PROPER(TEXT(AK1541,"aaaa"))," ",PROPER(TEXT(AK1541,"mm"))),_xlfn.CONCAT(PROPER(TEXT(E1541,"aaaa"))," ",PROPER(TEXT(E1541,"mm"))))</f>
        <v>2025 04</v>
      </c>
      <c r="AI1541" s="9" t="str">
        <f ca="1">IF('Banco de Dados'!$AK1541&lt;&gt;"-","REEMBOLSO",IFERROR(_xlfn.XLOOKUP(G1541,Follow[CODRASTREIO],Follow[STATUS]),"-"))</f>
        <v>ENTREGUE</v>
      </c>
      <c r="AJ1541" s="9">
        <f ca="1">IF('Banco de Dados'!$AI1541="ENTREGUE",_xlfn.XLOOKUP('Banco de Dados'!$G1541,Follow[CODRASTREIO],Follow[DATAATUALIZAÇÃO]),"-")</f>
        <v>45776</v>
      </c>
      <c r="AK1541" s="132" t="str">
        <f ca="1"/>
        <v>-</v>
      </c>
      <c r="AL1541" s="35"/>
      <c r="AM1541" s="109" cm="1">
        <f t="array" aca="1" ref="AM1541" ca="1">IF('Banco de Dados'!$AK1541&lt;&gt;"-",_xlfn.IFS('Banco de Dados'!$A1541="bv",IF('Banco de Dados'!$E1541&lt;45641,ROUND(SUM('Banco de Dados'!$R1541*_xlfn.XLOOKUP('Banco de Dados'!$P1541,Sku!B:B,Sku!#REF!)*20%),2),ROUND(SUM('Banco de Dados'!$R1541*_xlfn.XLOOKUP('Banco de Dados'!$P1541,Sku!B:B,Sku!H:H)*20%),2)),'Banco de Dados'!$A1541="GO",ROUND(SUM('Banco de Dados'!$R1541*_xlfn.XLOOKUP('Banco de Dados'!$P1541,Sku!C:C,Sku!H:H)*20%),2),'Banco de Dados'!$A1541="MEI",ROUND(SUM('Banco de Dados'!$R1541*_xlfn.XLOOKUP('Banco de Dados'!$P1541,Sku!D:D,Sku!H:H)*20%),2)),0)</f>
        <v>0</v>
      </c>
      <c r="AN1541" s="109">
        <f ca="1">IF('Banco de Dados'!$AK1541&lt;&gt;"-",IF('Banco de Dados'!$F1541&lt;&gt;"-",_xlfn.XLOOKUP(IFERROR(IFERROR(IFERROR(VALUE(SUBSTITUTE(MID(_xlfn.TEXTAFTER('Banco de Dados'!$F1541,"Data do Pedido:
",1),1,10),"-","/")),VALUE(SUBSTITUTE(MID(_xlfn.TEXTAFTER('Banco de Dados'!$F1541,"Order date:
",1),1,10),"-","/"))),VALUE(SUBSTITUTE(MID(_xlfn.TEXTAFTER('Banco de Dados'!$F1541,"Fecha de pedido:
",1),1,10),"-","/"))),"-"),SMS!A:A,SMS!K:K),0),0)</f>
        <v>0</v>
      </c>
      <c r="AO1541" s="109">
        <f ca="1">IF('Banco de Dados'!$AK1541&lt;&gt;"-",IF('Banco de Dados'!$F1541&lt;&gt;"-",IFERROR(_xlfn.XLOOKUP(_xlfn.CONCAT('Banco de Dados'!$A1541,IFERROR(IFERROR(VALUE(SUBSTITUTE(MID(_xlfn.TEXTAFTER('Banco de Dados'!$F1541,"Data do Pedido:
",1),1,10),"-","/")),VALUE(SUBSTITUTE(MID(_xlfn.TEXTAFTER('Banco de Dados'!$F1541,"Order date:
",1),1,10),"-","/"))),0)),ProxyDD[Chave],ProxyDD[Valor por pedido]),PROXY!$P$2),0),0)</f>
        <v>0</v>
      </c>
      <c r="AP1541" s="28">
        <f ca="1">IF('Banco de Dados'!$AK1541&lt;&gt;"-",IF('Banco de Dados'!$AL1541="NÃO",IFERROR(VALUE(SUBSTITUTE(_xlfn.TEXTAFTER('Banco de Dados'!$F1541,"BRL ",1),".",",")),0),0),0)</f>
        <v>0</v>
      </c>
      <c r="AQ1541" s="28">
        <f ca="1">SUM('Banco de Dados'!$AM1541:$AP1541)</f>
        <v>0</v>
      </c>
      <c r="AR1541" s="8"/>
      <c r="AS1541" s="8"/>
      <c r="AT1541"/>
      <c r="AY1541" s="8"/>
    </row>
    <row r="1542" spans="1:51">
      <c r="A1542" s="5" t="str">
        <v>MEI</v>
      </c>
      <c r="B1542" s="5" t="str">
        <f ca="1"/>
        <v>MEI45761</v>
      </c>
      <c r="C1542" s="8" t="str">
        <v>Pedido 1529</v>
      </c>
      <c r="D1542" s="187">
        <v>45760</v>
      </c>
      <c r="E1542" s="9">
        <v>45761</v>
      </c>
      <c r="F1542" s="8" t="str">
        <v>PedidoF1464</v>
      </c>
      <c r="G1542" s="2" t="str">
        <v>CódRastreio1462</v>
      </c>
      <c r="H1542" s="5">
        <v>1</v>
      </c>
      <c r="I1542" s="182" t="str">
        <v>CPF 1488</v>
      </c>
      <c r="J1542" s="2" t="str">
        <v>Nome 1488</v>
      </c>
      <c r="K1542" s="8" t="str">
        <v>Tel 1488</v>
      </c>
      <c r="L1542" s="8" t="str">
        <v>Cep 1488</v>
      </c>
      <c r="M1542" s="8" t="str">
        <v>Rua 1488</v>
      </c>
      <c r="N1542" s="8" t="str">
        <v>Comp 1488</v>
      </c>
      <c r="O1542" s="8" t="str">
        <v>Suporte de Celular Branco</v>
      </c>
      <c r="P1542" s="8" t="str">
        <v>IQ-LISQ-0D65</v>
      </c>
      <c r="Q1542" s="4">
        <v>45790</v>
      </c>
      <c r="R1542" s="109">
        <v>21.99</v>
      </c>
      <c r="S1542" s="11">
        <f ca="1"/>
        <v>21.99</v>
      </c>
      <c r="T1542" s="28">
        <f ca="1"/>
        <v>3.2984999999999998</v>
      </c>
      <c r="U1542" s="11">
        <f ca="1"/>
        <v>18.690000000000001</v>
      </c>
      <c r="V1542" s="11">
        <v>6.99</v>
      </c>
      <c r="W1542" s="11">
        <f ca="1"/>
        <v>0.43</v>
      </c>
      <c r="X1542" s="11">
        <f ca="1"/>
        <v>0.39877104377104378</v>
      </c>
      <c r="Y1542" s="11">
        <v>0</v>
      </c>
      <c r="Z1542" s="11">
        <f ca="1"/>
        <v>10.871228956228958</v>
      </c>
      <c r="AA1542" s="11">
        <f ca="1"/>
        <v>5.4356144781144788</v>
      </c>
      <c r="AB1542" s="4">
        <f ca="1"/>
        <v>45797</v>
      </c>
      <c r="AC1542" s="4">
        <v>45797</v>
      </c>
      <c r="AD1542" s="9">
        <v>45807</v>
      </c>
      <c r="AE1542" s="9">
        <v>45810</v>
      </c>
      <c r="AF1542" s="4" t="str">
        <f t="shared" ca="1" si="101"/>
        <v>2025 05</v>
      </c>
      <c r="AG1542" s="8" t="str" cm="1">
        <f t="array" ref="AG1542">IFERROR(_xlfn.IFS('Banco de Dados'!#REF!="AG. COMPRA","Em processamento",'Banco de Dados'!#REF!="AG. RASTREIO","Em processamento",'Banco de Dados'!$AE1542&lt;&gt;"-","Faturado",'Banco de Dados'!$AD1542&lt;&gt;"-","Aguardando Pix",'Banco de Dados'!$AC1542&lt;&gt;"-","Pendente"),"Aguardando Liberação")</f>
        <v>Aguardando Liberação</v>
      </c>
      <c r="AH1542" s="5" t="str">
        <f>IF('Banco de Dados'!$F1542="-",_xlfn.CONCAT(PROPER(TEXT(AK1542,"aaaa"))," ",PROPER(TEXT(AK1542,"mm"))),_xlfn.CONCAT(PROPER(TEXT(E1542,"aaaa"))," ",PROPER(TEXT(E1542,"mm"))))</f>
        <v>2025 04</v>
      </c>
      <c r="AI1542" s="9" t="str">
        <f ca="1">IF('Banco de Dados'!$AK1542&lt;&gt;"-","REEMBOLSO",IFERROR(_xlfn.XLOOKUP(G1542,Follow[CODRASTREIO],Follow[STATUS]),"-"))</f>
        <v>ENTREGUE</v>
      </c>
      <c r="AJ1542" s="9">
        <f ca="1">IF('Banco de Dados'!$AI1542="ENTREGUE",_xlfn.XLOOKUP('Banco de Dados'!$G1542,Follow[CODRASTREIO],Follow[DATAATUALIZAÇÃO]),"-")</f>
        <v>45771</v>
      </c>
      <c r="AK1542" s="132" t="str">
        <f ca="1"/>
        <v>-</v>
      </c>
      <c r="AL1542" s="35"/>
      <c r="AM1542" s="109" cm="1">
        <f t="array" aca="1" ref="AM1542" ca="1">IF('Banco de Dados'!$AK1542&lt;&gt;"-",_xlfn.IFS('Banco de Dados'!$A1542="bv",IF('Banco de Dados'!$E1542&lt;45641,ROUND(SUM('Banco de Dados'!$R1542*_xlfn.XLOOKUP('Banco de Dados'!$P1542,Sku!B:B,Sku!#REF!)*20%),2),ROUND(SUM('Banco de Dados'!$R1542*_xlfn.XLOOKUP('Banco de Dados'!$P1542,Sku!B:B,Sku!H:H)*20%),2)),'Banco de Dados'!$A1542="GO",ROUND(SUM('Banco de Dados'!$R1542*_xlfn.XLOOKUP('Banco de Dados'!$P1542,Sku!C:C,Sku!H:H)*20%),2),'Banco de Dados'!$A1542="MEI",ROUND(SUM('Banco de Dados'!$R1542*_xlfn.XLOOKUP('Banco de Dados'!$P1542,Sku!D:D,Sku!H:H)*20%),2)),0)</f>
        <v>0</v>
      </c>
      <c r="AN1542" s="109">
        <f ca="1">IF('Banco de Dados'!$AK1542&lt;&gt;"-",IF('Banco de Dados'!$F1542&lt;&gt;"-",_xlfn.XLOOKUP(IFERROR(IFERROR(IFERROR(VALUE(SUBSTITUTE(MID(_xlfn.TEXTAFTER('Banco de Dados'!$F1542,"Data do Pedido:
",1),1,10),"-","/")),VALUE(SUBSTITUTE(MID(_xlfn.TEXTAFTER('Banco de Dados'!$F1542,"Order date:
",1),1,10),"-","/"))),VALUE(SUBSTITUTE(MID(_xlfn.TEXTAFTER('Banco de Dados'!$F1542,"Fecha de pedido:
",1),1,10),"-","/"))),"-"),SMS!A:A,SMS!K:K),0),0)</f>
        <v>0</v>
      </c>
      <c r="AO1542" s="109">
        <f ca="1">IF('Banco de Dados'!$AK1542&lt;&gt;"-",IF('Banco de Dados'!$F1542&lt;&gt;"-",IFERROR(_xlfn.XLOOKUP(_xlfn.CONCAT('Banco de Dados'!$A1542,IFERROR(IFERROR(VALUE(SUBSTITUTE(MID(_xlfn.TEXTAFTER('Banco de Dados'!$F1542,"Data do Pedido:
",1),1,10),"-","/")),VALUE(SUBSTITUTE(MID(_xlfn.TEXTAFTER('Banco de Dados'!$F1542,"Order date:
",1),1,10),"-","/"))),0)),ProxyDD[Chave],ProxyDD[Valor por pedido]),PROXY!$P$2),0),0)</f>
        <v>0</v>
      </c>
      <c r="AP1542" s="28">
        <f ca="1">IF('Banco de Dados'!$AK1542&lt;&gt;"-",IF('Banco de Dados'!$AL1542="NÃO",IFERROR(VALUE(SUBSTITUTE(_xlfn.TEXTAFTER('Banco de Dados'!$F1542,"BRL ",1),".",",")),0),0),0)</f>
        <v>0</v>
      </c>
      <c r="AQ1542" s="28">
        <f ca="1">SUM('Banco de Dados'!$AM1542:$AP1542)</f>
        <v>0</v>
      </c>
      <c r="AR1542" s="8"/>
      <c r="AS1542" s="8"/>
      <c r="AT1542"/>
      <c r="AY1542" s="8"/>
    </row>
    <row r="1543" spans="1:51">
      <c r="A1543" s="5" t="str">
        <v>MEI</v>
      </c>
      <c r="B1543" s="5" t="str">
        <f ca="1"/>
        <v>MEI-</v>
      </c>
      <c r="C1543" s="8" t="str">
        <v>Pedido 1530</v>
      </c>
      <c r="D1543" s="187">
        <v>45761</v>
      </c>
      <c r="E1543" s="9" t="str">
        <v>-</v>
      </c>
      <c r="F1543" s="8" t="str">
        <v>-</v>
      </c>
      <c r="G1543" s="2" t="str">
        <v>-</v>
      </c>
      <c r="H1543" s="5">
        <v>1</v>
      </c>
      <c r="I1543" s="182" t="str">
        <v>CPF 1489</v>
      </c>
      <c r="J1543" s="2" t="str">
        <v>Nome 1489</v>
      </c>
      <c r="K1543" s="8" t="str">
        <v>Tel 1489</v>
      </c>
      <c r="L1543" s="8" t="str">
        <v>Cep 1489</v>
      </c>
      <c r="M1543" s="8" t="str">
        <v>Rua 1489</v>
      </c>
      <c r="N1543" s="8" t="str">
        <v>Comp 1489</v>
      </c>
      <c r="O1543" s="8" t="str">
        <v>Mini Liquidificador</v>
      </c>
      <c r="P1543" s="8" t="str">
        <v>A4-5W51-K3HF</v>
      </c>
      <c r="Q1543" s="4">
        <v>45797</v>
      </c>
      <c r="R1543" s="109">
        <v>36.950000000000003</v>
      </c>
      <c r="S1543" s="11">
        <f ca="1"/>
        <v>0</v>
      </c>
      <c r="T1543" s="28">
        <f ca="1"/>
        <v>0</v>
      </c>
      <c r="U1543" s="11">
        <f ca="1"/>
        <v>0</v>
      </c>
      <c r="V1543" s="11">
        <v>0</v>
      </c>
      <c r="W1543" s="11">
        <f ca="1"/>
        <v>0</v>
      </c>
      <c r="X1543" s="11">
        <f ca="1"/>
        <v>0</v>
      </c>
      <c r="Y1543" s="11">
        <v>0</v>
      </c>
      <c r="Z1543" s="11">
        <f ca="1"/>
        <v>0</v>
      </c>
      <c r="AA1543" s="11">
        <f ca="1"/>
        <v>0</v>
      </c>
      <c r="AB1543" s="4">
        <f ca="1"/>
        <v>45804</v>
      </c>
      <c r="AC1543" s="4">
        <v>45804</v>
      </c>
      <c r="AD1543" s="9">
        <v>45807</v>
      </c>
      <c r="AE1543" s="9">
        <v>45810</v>
      </c>
      <c r="AF1543" s="4" t="str">
        <f t="shared" ca="1" si="101"/>
        <v>2025 05</v>
      </c>
      <c r="AG1543" s="8" t="str" cm="1">
        <f t="array" ref="AG1543">IFERROR(_xlfn.IFS('Banco de Dados'!#REF!="AG. COMPRA","Em processamento",'Banco de Dados'!#REF!="AG. RASTREIO","Em processamento",'Banco de Dados'!$AE1543&lt;&gt;"-","Faturado",'Banco de Dados'!$AD1543&lt;&gt;"-","Aguardando Pix",'Banco de Dados'!$AC1543&lt;&gt;"-","Pendente"),"Aguardando Liberação")</f>
        <v>Aguardando Liberação</v>
      </c>
      <c r="AH1543" s="5" t="str">
        <f ca="1">IF('Banco de Dados'!$F1543="-",_xlfn.CONCAT(PROPER(TEXT(AK1543,"aaaa"))," ",PROPER(TEXT(AK1543,"mm"))),_xlfn.CONCAT(PROPER(TEXT(E1543,"aaaa"))," ",PROPER(TEXT(E1543,"mm"))))</f>
        <v>2025 04</v>
      </c>
      <c r="AI1543" s="9" t="str">
        <f ca="1">IF('Banco de Dados'!$AK1543&lt;&gt;"-","REEMBOLSO",IFERROR(_xlfn.XLOOKUP(G1543,Follow[CODRASTREIO],Follow[STATUS]),"-"))</f>
        <v>REEMBOLSO</v>
      </c>
      <c r="AJ1543" s="9" t="str">
        <f ca="1">IF('Banco de Dados'!$AI1543="ENTREGUE",_xlfn.XLOOKUP('Banco de Dados'!$G1543,Follow[CODRASTREIO],Follow[DATAATUALIZAÇÃO]),"-")</f>
        <v>-</v>
      </c>
      <c r="AK1543" s="132">
        <f ca="1"/>
        <v>45768</v>
      </c>
      <c r="AL1543" s="35"/>
      <c r="AM1543" s="109" cm="1">
        <f t="array" aca="1" ref="AM1543" ca="1">IF('Banco de Dados'!$AK1543&lt;&gt;"-",_xlfn.IFS('Banco de Dados'!$A1543="bv",IF('Banco de Dados'!$E1543&lt;45641,ROUND(SUM('Banco de Dados'!$R1543*_xlfn.XLOOKUP('Banco de Dados'!$P1543,Sku!B:B,Sku!#REF!)*20%),2),ROUND(SUM('Banco de Dados'!$R1543*_xlfn.XLOOKUP('Banco de Dados'!$P1543,Sku!B:B,Sku!H:H)*20%),2)),'Banco de Dados'!$A1543="GO",ROUND(SUM('Banco de Dados'!$R1543*_xlfn.XLOOKUP('Banco de Dados'!$P1543,Sku!C:C,Sku!H:H)*20%),2),'Banco de Dados'!$A1543="MEI",ROUND(SUM('Banco de Dados'!$R1543*_xlfn.XLOOKUP('Banco de Dados'!$P1543,Sku!D:D,Sku!H:H)*20%),2)),0)</f>
        <v>0.96</v>
      </c>
      <c r="AN1543" s="109">
        <f ca="1">IF('Banco de Dados'!$AK1543&lt;&gt;"-",IF('Banco de Dados'!$F1543&lt;&gt;"-",_xlfn.XLOOKUP(IFERROR(IFERROR(IFERROR(VALUE(SUBSTITUTE(MID(_xlfn.TEXTAFTER('Banco de Dados'!$F1543,"Data do Pedido:
",1),1,10),"-","/")),VALUE(SUBSTITUTE(MID(_xlfn.TEXTAFTER('Banco de Dados'!$F1543,"Order date:
",1),1,10),"-","/"))),VALUE(SUBSTITUTE(MID(_xlfn.TEXTAFTER('Banco de Dados'!$F1543,"Fecha de pedido:
",1),1,10),"-","/"))),"-"),SMS!A:A,SMS!K:K),0),0)</f>
        <v>0</v>
      </c>
      <c r="AO1543" s="109">
        <f ca="1">IF('Banco de Dados'!$AK1543&lt;&gt;"-",IF('Banco de Dados'!$F1543&lt;&gt;"-",IFERROR(_xlfn.XLOOKUP(_xlfn.CONCAT('Banco de Dados'!$A1543,IFERROR(IFERROR(VALUE(SUBSTITUTE(MID(_xlfn.TEXTAFTER('Banco de Dados'!$F1543,"Data do Pedido:
",1),1,10),"-","/")),VALUE(SUBSTITUTE(MID(_xlfn.TEXTAFTER('Banco de Dados'!$F1543,"Order date:
",1),1,10),"-","/"))),0)),ProxyDD[Chave],ProxyDD[Valor por pedido]),PROXY!$P$2),0),0)</f>
        <v>0</v>
      </c>
      <c r="AP1543" s="28">
        <f ca="1">IF('Banco de Dados'!$AK1543&lt;&gt;"-",IF('Banco de Dados'!$AL1543="NÃO",IFERROR(VALUE(SUBSTITUTE(_xlfn.TEXTAFTER('Banco de Dados'!$F1543,"BRL ",1),".",",")),0),0),0)</f>
        <v>0</v>
      </c>
      <c r="AQ1543" s="28">
        <f ca="1">SUM('Banco de Dados'!$AM1543:$AP1543)</f>
        <v>0.96</v>
      </c>
      <c r="AR1543" s="8"/>
      <c r="AS1543" s="8"/>
      <c r="AT1543"/>
      <c r="AY1543" s="8"/>
    </row>
    <row r="1544" spans="1:51">
      <c r="A1544" s="5" t="str">
        <v>MEI</v>
      </c>
      <c r="B1544" s="5" t="str">
        <f ca="1"/>
        <v>MEI45761</v>
      </c>
      <c r="C1544" s="8" t="str">
        <v>Pedido 1531</v>
      </c>
      <c r="D1544" s="187">
        <v>45761</v>
      </c>
      <c r="E1544" s="9">
        <v>45761</v>
      </c>
      <c r="F1544" s="8" t="str">
        <v>PedidoF1465</v>
      </c>
      <c r="G1544" s="2" t="str">
        <v>CódRastreio1463</v>
      </c>
      <c r="H1544" s="5">
        <v>1</v>
      </c>
      <c r="I1544" s="182" t="str">
        <v>CPF 1490</v>
      </c>
      <c r="J1544" s="2" t="str">
        <v>Nome 1490</v>
      </c>
      <c r="K1544" s="8" t="str">
        <v>Tel 1490</v>
      </c>
      <c r="L1544" s="8" t="str">
        <v>Cep 1490</v>
      </c>
      <c r="M1544" s="8" t="str">
        <v>Rua 1490</v>
      </c>
      <c r="N1544" s="8" t="str">
        <v>Comp 1490</v>
      </c>
      <c r="O1544" s="8" t="str">
        <v>Maçarico Culinário Portátil</v>
      </c>
      <c r="P1544" s="8" t="str">
        <v>BG-DHRO-FAEE</v>
      </c>
      <c r="Q1544" s="4">
        <v>45791</v>
      </c>
      <c r="R1544" s="109">
        <v>26.99</v>
      </c>
      <c r="S1544" s="11">
        <f ca="1"/>
        <v>26.99</v>
      </c>
      <c r="T1544" s="28">
        <f ca="1"/>
        <v>2.9688999999999997</v>
      </c>
      <c r="U1544" s="11">
        <f ca="1"/>
        <v>24.02</v>
      </c>
      <c r="V1544" s="11">
        <v>14.44</v>
      </c>
      <c r="W1544" s="11">
        <f ca="1"/>
        <v>0.43</v>
      </c>
      <c r="X1544" s="11">
        <f ca="1"/>
        <v>0.39877104377104378</v>
      </c>
      <c r="Y1544" s="11">
        <v>0</v>
      </c>
      <c r="Z1544" s="11">
        <f ca="1"/>
        <v>8.7512289562289567</v>
      </c>
      <c r="AA1544" s="11">
        <f ca="1"/>
        <v>4.3756144781144783</v>
      </c>
      <c r="AB1544" s="4">
        <f ca="1"/>
        <v>45798</v>
      </c>
      <c r="AC1544" s="4">
        <v>45798</v>
      </c>
      <c r="AD1544" s="9">
        <v>45807</v>
      </c>
      <c r="AE1544" s="9">
        <v>45810</v>
      </c>
      <c r="AF1544" s="4" t="str">
        <f t="shared" ca="1" si="101"/>
        <v>2025 05</v>
      </c>
      <c r="AG1544" s="8" t="str" cm="1">
        <f t="array" ref="AG1544">IFERROR(_xlfn.IFS('Banco de Dados'!#REF!="AG. COMPRA","Em processamento",'Banco de Dados'!#REF!="AG. RASTREIO","Em processamento",'Banco de Dados'!$AE1544&lt;&gt;"-","Faturado",'Banco de Dados'!$AD1544&lt;&gt;"-","Aguardando Pix",'Banco de Dados'!$AC1544&lt;&gt;"-","Pendente"),"Aguardando Liberação")</f>
        <v>Aguardando Liberação</v>
      </c>
      <c r="AH1544" s="5" t="str">
        <f>IF('Banco de Dados'!$F1544="-",_xlfn.CONCAT(PROPER(TEXT(AK1544,"aaaa"))," ",PROPER(TEXT(AK1544,"mm"))),_xlfn.CONCAT(PROPER(TEXT(E1544,"aaaa"))," ",PROPER(TEXT(E1544,"mm"))))</f>
        <v>2025 04</v>
      </c>
      <c r="AI1544" s="9" t="str">
        <f ca="1">IF('Banco de Dados'!$AK1544&lt;&gt;"-","REEMBOLSO",IFERROR(_xlfn.XLOOKUP(G1544,Follow[CODRASTREIO],Follow[STATUS]),"-"))</f>
        <v>ENTREGUE</v>
      </c>
      <c r="AJ1544" s="9">
        <f ca="1">IF('Banco de Dados'!$AI1544="ENTREGUE",_xlfn.XLOOKUP('Banco de Dados'!$G1544,Follow[CODRASTREIO],Follow[DATAATUALIZAÇÃO]),"-")</f>
        <v>45825</v>
      </c>
      <c r="AK1544" s="132" t="str">
        <f ca="1"/>
        <v>-</v>
      </c>
      <c r="AL1544" s="35"/>
      <c r="AM1544" s="109" cm="1">
        <f t="array" aca="1" ref="AM1544" ca="1">IF('Banco de Dados'!$AK1544&lt;&gt;"-",_xlfn.IFS('Banco de Dados'!$A1544="bv",IF('Banco de Dados'!$E1544&lt;45641,ROUND(SUM('Banco de Dados'!$R1544*_xlfn.XLOOKUP('Banco de Dados'!$P1544,Sku!B:B,Sku!#REF!)*20%),2),ROUND(SUM('Banco de Dados'!$R1544*_xlfn.XLOOKUP('Banco de Dados'!$P1544,Sku!B:B,Sku!H:H)*20%),2)),'Banco de Dados'!$A1544="GO",ROUND(SUM('Banco de Dados'!$R1544*_xlfn.XLOOKUP('Banco de Dados'!$P1544,Sku!C:C,Sku!H:H)*20%),2),'Banco de Dados'!$A1544="MEI",ROUND(SUM('Banco de Dados'!$R1544*_xlfn.XLOOKUP('Banco de Dados'!$P1544,Sku!D:D,Sku!H:H)*20%),2)),0)</f>
        <v>0</v>
      </c>
      <c r="AN1544" s="109">
        <f ca="1">IF('Banco de Dados'!$AK1544&lt;&gt;"-",IF('Banco de Dados'!$F1544&lt;&gt;"-",_xlfn.XLOOKUP(IFERROR(IFERROR(IFERROR(VALUE(SUBSTITUTE(MID(_xlfn.TEXTAFTER('Banco de Dados'!$F1544,"Data do Pedido:
",1),1,10),"-","/")),VALUE(SUBSTITUTE(MID(_xlfn.TEXTAFTER('Banco de Dados'!$F1544,"Order date:
",1),1,10),"-","/"))),VALUE(SUBSTITUTE(MID(_xlfn.TEXTAFTER('Banco de Dados'!$F1544,"Fecha de pedido:
",1),1,10),"-","/"))),"-"),SMS!A:A,SMS!K:K),0),0)</f>
        <v>0</v>
      </c>
      <c r="AO1544" s="109">
        <f ca="1">IF('Banco de Dados'!$AK1544&lt;&gt;"-",IF('Banco de Dados'!$F1544&lt;&gt;"-",IFERROR(_xlfn.XLOOKUP(_xlfn.CONCAT('Banco de Dados'!$A1544,IFERROR(IFERROR(VALUE(SUBSTITUTE(MID(_xlfn.TEXTAFTER('Banco de Dados'!$F1544,"Data do Pedido:
",1),1,10),"-","/")),VALUE(SUBSTITUTE(MID(_xlfn.TEXTAFTER('Banco de Dados'!$F1544,"Order date:
",1),1,10),"-","/"))),0)),ProxyDD[Chave],ProxyDD[Valor por pedido]),PROXY!$P$2),0),0)</f>
        <v>0</v>
      </c>
      <c r="AP1544" s="28">
        <f ca="1">IF('Banco de Dados'!$AK1544&lt;&gt;"-",IF('Banco de Dados'!$AL1544="NÃO",IFERROR(VALUE(SUBSTITUTE(_xlfn.TEXTAFTER('Banco de Dados'!$F1544,"BRL ",1),".",",")),0),0),0)</f>
        <v>0</v>
      </c>
      <c r="AQ1544" s="28">
        <f ca="1">SUM('Banco de Dados'!$AM1544:$AP1544)</f>
        <v>0</v>
      </c>
      <c r="AR1544" s="8"/>
      <c r="AS1544" s="8"/>
      <c r="AT1544"/>
      <c r="AY1544" s="8"/>
    </row>
    <row r="1545" spans="1:51">
      <c r="A1545" s="5" t="str">
        <v>MEI</v>
      </c>
      <c r="B1545" s="5" t="str">
        <f ca="1"/>
        <v>MEI45761</v>
      </c>
      <c r="C1545" s="8" t="str">
        <v>Pedido 1532</v>
      </c>
      <c r="D1545" s="187">
        <v>45761</v>
      </c>
      <c r="E1545" s="9">
        <v>45761</v>
      </c>
      <c r="F1545" s="8" t="str">
        <v>PedidoF1466</v>
      </c>
      <c r="G1545" s="2" t="str">
        <v>CódRastreio1464</v>
      </c>
      <c r="H1545" s="5">
        <v>1</v>
      </c>
      <c r="I1545" s="182" t="str">
        <v>CPF 1491</v>
      </c>
      <c r="J1545" s="2" t="str">
        <v>Nome 1491</v>
      </c>
      <c r="K1545" s="8" t="str">
        <v>Tel 1491</v>
      </c>
      <c r="L1545" s="8" t="str">
        <v>Cep 1491</v>
      </c>
      <c r="M1545" s="8" t="str">
        <v>Rua 1491</v>
      </c>
      <c r="N1545" s="8" t="str">
        <v>Comp 1491</v>
      </c>
      <c r="O1545" s="8" t="str">
        <v>Maçarico Culinário Portátil</v>
      </c>
      <c r="P1545" s="8" t="str">
        <v>BG-DHRO-FAEE</v>
      </c>
      <c r="Q1545" s="4">
        <v>45791</v>
      </c>
      <c r="R1545" s="109">
        <v>26.99</v>
      </c>
      <c r="S1545" s="11">
        <f ca="1"/>
        <v>0</v>
      </c>
      <c r="T1545" s="28">
        <f ca="1"/>
        <v>0</v>
      </c>
      <c r="U1545" s="11">
        <f ca="1"/>
        <v>0</v>
      </c>
      <c r="V1545" s="11">
        <v>0</v>
      </c>
      <c r="W1545" s="11">
        <f ca="1"/>
        <v>0</v>
      </c>
      <c r="X1545" s="11">
        <f ca="1"/>
        <v>0.39877104377104378</v>
      </c>
      <c r="Y1545" s="11">
        <v>0</v>
      </c>
      <c r="Z1545" s="11">
        <f ca="1"/>
        <v>-0.39877104377104378</v>
      </c>
      <c r="AA1545" s="11">
        <f ca="1"/>
        <v>-0.19938552188552189</v>
      </c>
      <c r="AB1545" s="4">
        <f ca="1"/>
        <v>45798</v>
      </c>
      <c r="AC1545" s="4">
        <v>45798</v>
      </c>
      <c r="AD1545" s="9">
        <v>45807</v>
      </c>
      <c r="AE1545" s="9">
        <v>45810</v>
      </c>
      <c r="AF1545" s="4" t="str">
        <f t="shared" ca="1" si="101"/>
        <v>2025 05</v>
      </c>
      <c r="AG1545" s="8" t="str" cm="1">
        <f t="array" ref="AG1545">IFERROR(_xlfn.IFS('Banco de Dados'!#REF!="AG. COMPRA","Em processamento",'Banco de Dados'!#REF!="AG. RASTREIO","Em processamento",'Banco de Dados'!$AE1545&lt;&gt;"-","Faturado",'Banco de Dados'!$AD1545&lt;&gt;"-","Aguardando Pix",'Banco de Dados'!$AC1545&lt;&gt;"-","Pendente"),"Aguardando Liberação")</f>
        <v>Aguardando Liberação</v>
      </c>
      <c r="AH1545" s="5" t="str">
        <f>IF('Banco de Dados'!$F1545="-",_xlfn.CONCAT(PROPER(TEXT(AK1545,"aaaa"))," ",PROPER(TEXT(AK1545,"mm"))),_xlfn.CONCAT(PROPER(TEXT(E1545,"aaaa"))," ",PROPER(TEXT(E1545,"mm"))))</f>
        <v>2025 04</v>
      </c>
      <c r="AI1545" s="9" t="str">
        <f ca="1">IF('Banco de Dados'!$AK1545&lt;&gt;"-","REEMBOLSO",IFERROR(_xlfn.XLOOKUP(G1545,Follow[CODRASTREIO],Follow[STATUS]),"-"))</f>
        <v>REEMBOLSO</v>
      </c>
      <c r="AJ1545" s="9" t="str">
        <f ca="1">IF('Banco de Dados'!$AI1545="ENTREGUE",_xlfn.XLOOKUP('Banco de Dados'!$G1545,Follow[CODRASTREIO],Follow[DATAATUALIZAÇÃO]),"-")</f>
        <v>-</v>
      </c>
      <c r="AK1545" s="132">
        <f ca="1"/>
        <v>45798</v>
      </c>
      <c r="AL1545" s="35"/>
      <c r="AM1545" s="109" cm="1">
        <f t="array" aca="1" ref="AM1545" ca="1">IF('Banco de Dados'!$AK1545&lt;&gt;"-",_xlfn.IFS('Banco de Dados'!$A1545="bv",IF('Banco de Dados'!$E1545&lt;45641,ROUND(SUM('Banco de Dados'!$R1545*_xlfn.XLOOKUP('Banco de Dados'!$P1545,Sku!B:B,Sku!#REF!)*20%),2),ROUND(SUM('Banco de Dados'!$R1545*_xlfn.XLOOKUP('Banco de Dados'!$P1545,Sku!B:B,Sku!H:H)*20%),2)),'Banco de Dados'!$A1545="GO",ROUND(SUM('Banco de Dados'!$R1545*_xlfn.XLOOKUP('Banco de Dados'!$P1545,Sku!C:C,Sku!H:H)*20%),2),'Banco de Dados'!$A1545="MEI",ROUND(SUM('Banco de Dados'!$R1545*_xlfn.XLOOKUP('Banco de Dados'!$P1545,Sku!D:D,Sku!H:H)*20%),2)),0)</f>
        <v>0.59</v>
      </c>
      <c r="AN1545" s="109" t="e">
        <f ca="1">IF('Banco de Dados'!$AK1545&lt;&gt;"-",IF('Banco de Dados'!$F1545&lt;&gt;"-",_xlfn.XLOOKUP(IFERROR(IFERROR(IFERROR(VALUE(SUBSTITUTE(MID(_xlfn.TEXTAFTER('Banco de Dados'!$F1545,"Data do Pedido:
",1),1,10),"-","/")),VALUE(SUBSTITUTE(MID(_xlfn.TEXTAFTER('Banco de Dados'!$F1545,"Order date:
",1),1,10),"-","/"))),VALUE(SUBSTITUTE(MID(_xlfn.TEXTAFTER('Banco de Dados'!$F1545,"Fecha de pedido:
",1),1,10),"-","/"))),"-"),SMS!A:A,SMS!K:K),0),0)</f>
        <v>#N/A</v>
      </c>
      <c r="AO1545" s="109">
        <f ca="1">IF('Banco de Dados'!$AK1545&lt;&gt;"-",IF('Banco de Dados'!$F1545&lt;&gt;"-",IFERROR(_xlfn.XLOOKUP(_xlfn.CONCAT('Banco de Dados'!$A1545,IFERROR(IFERROR(VALUE(SUBSTITUTE(MID(_xlfn.TEXTAFTER('Banco de Dados'!$F1545,"Data do Pedido:
",1),1,10),"-","/")),VALUE(SUBSTITUTE(MID(_xlfn.TEXTAFTER('Banco de Dados'!$F1545,"Order date:
",1),1,10),"-","/"))),0)),ProxyDD[Chave],ProxyDD[Valor por pedido]),PROXY!$P$2),0),0)</f>
        <v>0.39877104377104378</v>
      </c>
      <c r="AP1545" s="28">
        <f ca="1">IF('Banco de Dados'!$AK1545&lt;&gt;"-",IF('Banco de Dados'!$AL1545="NÃO",IFERROR(VALUE(SUBSTITUTE(_xlfn.TEXTAFTER('Banco de Dados'!$F1545,"BRL ",1),".",",")),0),0),0)</f>
        <v>0</v>
      </c>
      <c r="AQ1545" s="28" t="e">
        <f ca="1">SUM('Banco de Dados'!$AM1545:$AP1545)</f>
        <v>#N/A</v>
      </c>
      <c r="AR1545" s="8"/>
      <c r="AS1545" s="8"/>
      <c r="AT1545"/>
      <c r="AY1545" s="8"/>
    </row>
    <row r="1546" spans="1:51">
      <c r="A1546" s="5" t="str">
        <v>GO</v>
      </c>
      <c r="B1546" s="5" t="str">
        <f ca="1"/>
        <v>GO45761</v>
      </c>
      <c r="C1546" s="8" t="str">
        <v>Pedido 1533</v>
      </c>
      <c r="D1546" s="187">
        <v>45760</v>
      </c>
      <c r="E1546" s="9">
        <v>45761</v>
      </c>
      <c r="F1546" s="8" t="str">
        <v>PedidoF1467</v>
      </c>
      <c r="G1546" s="2" t="str">
        <v>CódRastreio1465</v>
      </c>
      <c r="H1546" s="5">
        <v>1</v>
      </c>
      <c r="I1546" s="182" t="str">
        <v>CPF 1492</v>
      </c>
      <c r="J1546" s="2" t="str">
        <v>Nome 1492</v>
      </c>
      <c r="K1546" s="8" t="str">
        <v>Tel 1492</v>
      </c>
      <c r="L1546" s="8" t="str">
        <v>Cep 1492</v>
      </c>
      <c r="M1546" s="8" t="str">
        <v>Rua 1492</v>
      </c>
      <c r="N1546" s="8" t="str">
        <v>Comp 1492</v>
      </c>
      <c r="O1546" s="8" t="str">
        <v>Ventilador Preto</v>
      </c>
      <c r="P1546" s="8" t="str">
        <v>EP-9PIR-BWXH</v>
      </c>
      <c r="Q1546" s="4">
        <v>45790</v>
      </c>
      <c r="R1546" s="109">
        <v>65.739999999999995</v>
      </c>
      <c r="S1546" s="11">
        <f ca="1"/>
        <v>65.739999999999995</v>
      </c>
      <c r="T1546" s="28">
        <f ca="1"/>
        <v>7.8887999999999989</v>
      </c>
      <c r="U1546" s="11">
        <f ca="1"/>
        <v>57.85</v>
      </c>
      <c r="V1546" s="11">
        <v>37.85</v>
      </c>
      <c r="W1546" s="11">
        <f ca="1"/>
        <v>0.38</v>
      </c>
      <c r="X1546" s="11">
        <f ca="1"/>
        <v>0.39877104377104378</v>
      </c>
      <c r="Y1546" s="11">
        <v>0</v>
      </c>
      <c r="Z1546" s="11">
        <f ca="1"/>
        <v>19.221228956228956</v>
      </c>
      <c r="AA1546" s="11">
        <f ca="1"/>
        <v>19.221228956228956</v>
      </c>
      <c r="AB1546" s="4">
        <f ca="1"/>
        <v>45797</v>
      </c>
      <c r="AC1546" s="4">
        <v>45797</v>
      </c>
      <c r="AD1546" s="9">
        <v>45807</v>
      </c>
      <c r="AE1546" s="9">
        <v>45810</v>
      </c>
      <c r="AF1546" s="4" t="str">
        <f t="shared" ca="1" si="101"/>
        <v>2025 05</v>
      </c>
      <c r="AG1546" s="8" t="str" cm="1">
        <f t="array" ref="AG1546">IFERROR(_xlfn.IFS('Banco de Dados'!#REF!="AG. COMPRA","Em processamento",'Banco de Dados'!#REF!="AG. RASTREIO","Em processamento",'Banco de Dados'!$AE1546&lt;&gt;"-","Faturado",'Banco de Dados'!$AD1546&lt;&gt;"-","Aguardando Pix",'Banco de Dados'!$AC1546&lt;&gt;"-","Pendente"),"Aguardando Liberação")</f>
        <v>Aguardando Liberação</v>
      </c>
      <c r="AH1546" s="5" t="str">
        <f>IF('Banco de Dados'!$F1546="-",_xlfn.CONCAT(PROPER(TEXT(AK1546,"aaaa"))," ",PROPER(TEXT(AK1546,"mm"))),_xlfn.CONCAT(PROPER(TEXT(E1546,"aaaa"))," ",PROPER(TEXT(E1546,"mm"))))</f>
        <v>2025 04</v>
      </c>
      <c r="AI1546" s="9" t="str">
        <f ca="1">IF('Banco de Dados'!$AK1546&lt;&gt;"-","REEMBOLSO",IFERROR(_xlfn.XLOOKUP(G1546,Follow[CODRASTREIO],Follow[STATUS]),"-"))</f>
        <v>ENTREGUE</v>
      </c>
      <c r="AJ1546" s="9">
        <f ca="1">IF('Banco de Dados'!$AI1546="ENTREGUE",_xlfn.XLOOKUP('Banco de Dados'!$G1546,Follow[CODRASTREIO],Follow[DATAATUALIZAÇÃO]),"-")</f>
        <v>45779</v>
      </c>
      <c r="AK1546" s="132" t="str">
        <f ca="1"/>
        <v>-</v>
      </c>
      <c r="AL1546" s="35"/>
      <c r="AM1546" s="109" cm="1">
        <f t="array" aca="1" ref="AM1546" ca="1">IF('Banco de Dados'!$AK1546&lt;&gt;"-",_xlfn.IFS('Banco de Dados'!$A1546="bv",IF('Banco de Dados'!$E1546&lt;45641,ROUND(SUM('Banco de Dados'!$R1546*_xlfn.XLOOKUP('Banco de Dados'!$P1546,Sku!B:B,Sku!#REF!)*20%),2),ROUND(SUM('Banco de Dados'!$R1546*_xlfn.XLOOKUP('Banco de Dados'!$P1546,Sku!B:B,Sku!H:H)*20%),2)),'Banco de Dados'!$A1546="GO",ROUND(SUM('Banco de Dados'!$R1546*_xlfn.XLOOKUP('Banco de Dados'!$P1546,Sku!C:C,Sku!H:H)*20%),2),'Banco de Dados'!$A1546="MEI",ROUND(SUM('Banco de Dados'!$R1546*_xlfn.XLOOKUP('Banco de Dados'!$P1546,Sku!D:D,Sku!H:H)*20%),2)),0)</f>
        <v>0</v>
      </c>
      <c r="AN1546" s="109">
        <f ca="1">IF('Banco de Dados'!$AK1546&lt;&gt;"-",IF('Banco de Dados'!$F1546&lt;&gt;"-",_xlfn.XLOOKUP(IFERROR(IFERROR(IFERROR(VALUE(SUBSTITUTE(MID(_xlfn.TEXTAFTER('Banco de Dados'!$F1546,"Data do Pedido:
",1),1,10),"-","/")),VALUE(SUBSTITUTE(MID(_xlfn.TEXTAFTER('Banco de Dados'!$F1546,"Order date:
",1),1,10),"-","/"))),VALUE(SUBSTITUTE(MID(_xlfn.TEXTAFTER('Banco de Dados'!$F1546,"Fecha de pedido:
",1),1,10),"-","/"))),"-"),SMS!A:A,SMS!K:K),0),0)</f>
        <v>0</v>
      </c>
      <c r="AO1546" s="109">
        <f ca="1">IF('Banco de Dados'!$AK1546&lt;&gt;"-",IF('Banco de Dados'!$F1546&lt;&gt;"-",IFERROR(_xlfn.XLOOKUP(_xlfn.CONCAT('Banco de Dados'!$A1546,IFERROR(IFERROR(VALUE(SUBSTITUTE(MID(_xlfn.TEXTAFTER('Banco de Dados'!$F1546,"Data do Pedido:
",1),1,10),"-","/")),VALUE(SUBSTITUTE(MID(_xlfn.TEXTAFTER('Banco de Dados'!$F1546,"Order date:
",1),1,10),"-","/"))),0)),ProxyDD[Chave],ProxyDD[Valor por pedido]),PROXY!$P$2),0),0)</f>
        <v>0</v>
      </c>
      <c r="AP1546" s="28">
        <f ca="1">IF('Banco de Dados'!$AK1546&lt;&gt;"-",IF('Banco de Dados'!$AL1546="NÃO",IFERROR(VALUE(SUBSTITUTE(_xlfn.TEXTAFTER('Banco de Dados'!$F1546,"BRL ",1),".",",")),0),0),0)</f>
        <v>0</v>
      </c>
      <c r="AQ1546" s="28">
        <f ca="1">SUM('Banco de Dados'!$AM1546:$AP1546)</f>
        <v>0</v>
      </c>
      <c r="AR1546" s="8"/>
      <c r="AS1546" s="8"/>
      <c r="AT1546"/>
      <c r="AY1546" s="8"/>
    </row>
    <row r="1547" spans="1:51">
      <c r="A1547" s="5" t="str">
        <v>GO</v>
      </c>
      <c r="B1547" s="5" t="str">
        <f ca="1"/>
        <v>GO45761</v>
      </c>
      <c r="C1547" s="8" t="str">
        <v>Pedido 1534</v>
      </c>
      <c r="D1547" s="187">
        <v>45761</v>
      </c>
      <c r="E1547" s="9">
        <v>45761</v>
      </c>
      <c r="F1547" s="8" t="str">
        <v>PedidoF1468</v>
      </c>
      <c r="G1547" s="2" t="str">
        <v>CódRastreio1466</v>
      </c>
      <c r="H1547" s="5">
        <v>1</v>
      </c>
      <c r="I1547" s="182" t="str">
        <v>CPF 1493</v>
      </c>
      <c r="J1547" s="2" t="str">
        <v>Nome 1493</v>
      </c>
      <c r="K1547" s="8" t="str">
        <v>Tel 1493</v>
      </c>
      <c r="L1547" s="8" t="str">
        <v>Cep 1493</v>
      </c>
      <c r="M1547" s="8" t="str">
        <v>Rua 1493</v>
      </c>
      <c r="N1547" s="8" t="str">
        <v>Comp 1493</v>
      </c>
      <c r="O1547" s="8" t="str">
        <v>Ventilador Rosa</v>
      </c>
      <c r="P1547" s="8" t="str">
        <v>MK-OUQW-7L3Z</v>
      </c>
      <c r="Q1547" s="4">
        <v>45791</v>
      </c>
      <c r="R1547" s="109">
        <v>64.89</v>
      </c>
      <c r="S1547" s="11">
        <f ca="1"/>
        <v>64.89</v>
      </c>
      <c r="T1547" s="28">
        <f ca="1"/>
        <v>7.7867999999999995</v>
      </c>
      <c r="U1547" s="11">
        <f ca="1"/>
        <v>57.1</v>
      </c>
      <c r="V1547" s="11">
        <v>22.77</v>
      </c>
      <c r="W1547" s="11">
        <f ca="1"/>
        <v>0.38</v>
      </c>
      <c r="X1547" s="11">
        <f ca="1"/>
        <v>0.39877104377104378</v>
      </c>
      <c r="Y1547" s="11">
        <v>0</v>
      </c>
      <c r="Z1547" s="11">
        <f ca="1"/>
        <v>33.551228956228954</v>
      </c>
      <c r="AA1547" s="11">
        <f ca="1"/>
        <v>33.551228956228954</v>
      </c>
      <c r="AB1547" s="4">
        <f ca="1"/>
        <v>45798</v>
      </c>
      <c r="AC1547" s="4">
        <v>45798</v>
      </c>
      <c r="AD1547" s="9">
        <v>45807</v>
      </c>
      <c r="AE1547" s="9">
        <v>45810</v>
      </c>
      <c r="AF1547" s="4" t="str">
        <f t="shared" ca="1" si="101"/>
        <v>2025 05</v>
      </c>
      <c r="AG1547" s="8" t="str" cm="1">
        <f t="array" ref="AG1547">IFERROR(_xlfn.IFS('Banco de Dados'!#REF!="AG. COMPRA","Em processamento",'Banco de Dados'!#REF!="AG. RASTREIO","Em processamento",'Banco de Dados'!$AE1547&lt;&gt;"-","Faturado",'Banco de Dados'!$AD1547&lt;&gt;"-","Aguardando Pix",'Banco de Dados'!$AC1547&lt;&gt;"-","Pendente"),"Aguardando Liberação")</f>
        <v>Aguardando Liberação</v>
      </c>
      <c r="AH1547" s="5" t="str">
        <f>IF('Banco de Dados'!$F1547="-",_xlfn.CONCAT(PROPER(TEXT(AK1547,"aaaa"))," ",PROPER(TEXT(AK1547,"mm"))),_xlfn.CONCAT(PROPER(TEXT(E1547,"aaaa"))," ",PROPER(TEXT(E1547,"mm"))))</f>
        <v>2025 04</v>
      </c>
      <c r="AI1547" s="9" t="str">
        <f ca="1">IF('Banco de Dados'!$AK1547&lt;&gt;"-","REEMBOLSO",IFERROR(_xlfn.XLOOKUP(G1547,Follow[CODRASTREIO],Follow[STATUS]),"-"))</f>
        <v>ENTREGUE</v>
      </c>
      <c r="AJ1547" s="9">
        <f ca="1">IF('Banco de Dados'!$AI1547="ENTREGUE",_xlfn.XLOOKUP('Banco de Dados'!$G1547,Follow[CODRASTREIO],Follow[DATAATUALIZAÇÃO]),"-")</f>
        <v>45782</v>
      </c>
      <c r="AK1547" s="132" t="str">
        <f ca="1"/>
        <v>-</v>
      </c>
      <c r="AL1547" s="35"/>
      <c r="AM1547" s="109" cm="1">
        <f t="array" aca="1" ref="AM1547" ca="1">IF('Banco de Dados'!$AK1547&lt;&gt;"-",_xlfn.IFS('Banco de Dados'!$A1547="bv",IF('Banco de Dados'!$E1547&lt;45641,ROUND(SUM('Banco de Dados'!$R1547*_xlfn.XLOOKUP('Banco de Dados'!$P1547,Sku!B:B,Sku!#REF!)*20%),2),ROUND(SUM('Banco de Dados'!$R1547*_xlfn.XLOOKUP('Banco de Dados'!$P1547,Sku!B:B,Sku!H:H)*20%),2)),'Banco de Dados'!$A1547="GO",ROUND(SUM('Banco de Dados'!$R1547*_xlfn.XLOOKUP('Banco de Dados'!$P1547,Sku!C:C,Sku!H:H)*20%),2),'Banco de Dados'!$A1547="MEI",ROUND(SUM('Banco de Dados'!$R1547*_xlfn.XLOOKUP('Banco de Dados'!$P1547,Sku!D:D,Sku!H:H)*20%),2)),0)</f>
        <v>0</v>
      </c>
      <c r="AN1547" s="109">
        <f ca="1">IF('Banco de Dados'!$AK1547&lt;&gt;"-",IF('Banco de Dados'!$F1547&lt;&gt;"-",_xlfn.XLOOKUP(IFERROR(IFERROR(IFERROR(VALUE(SUBSTITUTE(MID(_xlfn.TEXTAFTER('Banco de Dados'!$F1547,"Data do Pedido:
",1),1,10),"-","/")),VALUE(SUBSTITUTE(MID(_xlfn.TEXTAFTER('Banco de Dados'!$F1547,"Order date:
",1),1,10),"-","/"))),VALUE(SUBSTITUTE(MID(_xlfn.TEXTAFTER('Banco de Dados'!$F1547,"Fecha de pedido:
",1),1,10),"-","/"))),"-"),SMS!A:A,SMS!K:K),0),0)</f>
        <v>0</v>
      </c>
      <c r="AO1547" s="109">
        <f ca="1">IF('Banco de Dados'!$AK1547&lt;&gt;"-",IF('Banco de Dados'!$F1547&lt;&gt;"-",IFERROR(_xlfn.XLOOKUP(_xlfn.CONCAT('Banco de Dados'!$A1547,IFERROR(IFERROR(VALUE(SUBSTITUTE(MID(_xlfn.TEXTAFTER('Banco de Dados'!$F1547,"Data do Pedido:
",1),1,10),"-","/")),VALUE(SUBSTITUTE(MID(_xlfn.TEXTAFTER('Banco de Dados'!$F1547,"Order date:
",1),1,10),"-","/"))),0)),ProxyDD[Chave],ProxyDD[Valor por pedido]),PROXY!$P$2),0),0)</f>
        <v>0</v>
      </c>
      <c r="AP1547" s="28">
        <f ca="1">IF('Banco de Dados'!$AK1547&lt;&gt;"-",IF('Banco de Dados'!$AL1547="NÃO",IFERROR(VALUE(SUBSTITUTE(_xlfn.TEXTAFTER('Banco de Dados'!$F1547,"BRL ",1),".",",")),0),0),0)</f>
        <v>0</v>
      </c>
      <c r="AQ1547" s="28">
        <f ca="1">SUM('Banco de Dados'!$AM1547:$AP1547)</f>
        <v>0</v>
      </c>
      <c r="AR1547" s="8"/>
      <c r="AS1547" s="8"/>
      <c r="AT1547"/>
      <c r="AY1547" s="8"/>
    </row>
    <row r="1548" spans="1:51">
      <c r="A1548" s="5" t="str">
        <v>GO</v>
      </c>
      <c r="B1548" s="5" t="str">
        <f ca="1"/>
        <v>GO45761</v>
      </c>
      <c r="C1548" s="8" t="str">
        <v>Pedido 1535</v>
      </c>
      <c r="D1548" s="187">
        <v>45761</v>
      </c>
      <c r="E1548" s="9">
        <v>45761</v>
      </c>
      <c r="F1548" s="8" t="str">
        <v>PedidoF1469</v>
      </c>
      <c r="G1548" s="2" t="str">
        <v>CódRastreio1467</v>
      </c>
      <c r="H1548" s="5">
        <v>1</v>
      </c>
      <c r="I1548" s="182" t="str">
        <v>CPF 1494</v>
      </c>
      <c r="J1548" s="2" t="str">
        <v>Nome 1494</v>
      </c>
      <c r="K1548" s="8" t="str">
        <v>Tel 1494</v>
      </c>
      <c r="L1548" s="8" t="str">
        <v>Cep 1494</v>
      </c>
      <c r="M1548" s="8" t="str">
        <v>Rua 1494</v>
      </c>
      <c r="N1548" s="8" t="str">
        <v>Comp 1494</v>
      </c>
      <c r="O1548" s="8" t="str">
        <v>Ventilador Preto</v>
      </c>
      <c r="P1548" s="8" t="str">
        <v>EP-9PIR-BWXH</v>
      </c>
      <c r="Q1548" s="4">
        <v>45785</v>
      </c>
      <c r="R1548" s="109">
        <v>65.739999999999995</v>
      </c>
      <c r="S1548" s="11">
        <f ca="1"/>
        <v>65.739999999999995</v>
      </c>
      <c r="T1548" s="28">
        <f ca="1"/>
        <v>7.8887999999999989</v>
      </c>
      <c r="U1548" s="11">
        <f ca="1"/>
        <v>57.85</v>
      </c>
      <c r="V1548" s="11">
        <v>14.85</v>
      </c>
      <c r="W1548" s="11">
        <f ca="1"/>
        <v>0.38</v>
      </c>
      <c r="X1548" s="11">
        <f ca="1"/>
        <v>0.39877104377104378</v>
      </c>
      <c r="Y1548" s="11">
        <v>0</v>
      </c>
      <c r="Z1548" s="11">
        <f ca="1"/>
        <v>42.221228956228956</v>
      </c>
      <c r="AA1548" s="11">
        <f ca="1"/>
        <v>42.221228956228956</v>
      </c>
      <c r="AB1548" s="4">
        <f ca="1"/>
        <v>45792</v>
      </c>
      <c r="AC1548" s="4">
        <v>45792</v>
      </c>
      <c r="AD1548" s="9">
        <v>45793</v>
      </c>
      <c r="AE1548" s="9">
        <v>45797</v>
      </c>
      <c r="AF1548" s="4" t="str">
        <f t="shared" ca="1" si="101"/>
        <v>2025 05</v>
      </c>
      <c r="AG1548" s="8" t="str" cm="1">
        <f t="array" ref="AG1548">IFERROR(_xlfn.IFS('Banco de Dados'!#REF!="AG. COMPRA","Em processamento",'Banco de Dados'!#REF!="AG. RASTREIO","Em processamento",'Banco de Dados'!$AE1548&lt;&gt;"-","Faturado",'Banco de Dados'!$AD1548&lt;&gt;"-","Aguardando Pix",'Banco de Dados'!$AC1548&lt;&gt;"-","Pendente"),"Aguardando Liberação")</f>
        <v>Aguardando Liberação</v>
      </c>
      <c r="AH1548" s="5" t="str">
        <f>IF('Banco de Dados'!$F1548="-",_xlfn.CONCAT(PROPER(TEXT(AK1548,"aaaa"))," ",PROPER(TEXT(AK1548,"mm"))),_xlfn.CONCAT(PROPER(TEXT(E1548,"aaaa"))," ",PROPER(TEXT(E1548,"mm"))))</f>
        <v>2025 04</v>
      </c>
      <c r="AI1548" s="9" t="str">
        <f ca="1">IF('Banco de Dados'!$AK1548&lt;&gt;"-","REEMBOLSO",IFERROR(_xlfn.XLOOKUP(G1548,Follow[CODRASTREIO],Follow[STATUS]),"-"))</f>
        <v>ENTREGUE</v>
      </c>
      <c r="AJ1548" s="9">
        <f ca="1">IF('Banco de Dados'!$AI1548="ENTREGUE",_xlfn.XLOOKUP('Banco de Dados'!$G1548,Follow[CODRASTREIO],Follow[DATAATUALIZAÇÃO]),"-")</f>
        <v>45777</v>
      </c>
      <c r="AK1548" s="132" t="str">
        <f ca="1"/>
        <v>-</v>
      </c>
      <c r="AL1548" s="35"/>
      <c r="AM1548" s="109" cm="1">
        <f t="array" aca="1" ref="AM1548" ca="1">IF('Banco de Dados'!$AK1548&lt;&gt;"-",_xlfn.IFS('Banco de Dados'!$A1548="bv",IF('Banco de Dados'!$E1548&lt;45641,ROUND(SUM('Banco de Dados'!$R1548*_xlfn.XLOOKUP('Banco de Dados'!$P1548,Sku!B:B,Sku!#REF!)*20%),2),ROUND(SUM('Banco de Dados'!$R1548*_xlfn.XLOOKUP('Banco de Dados'!$P1548,Sku!B:B,Sku!H:H)*20%),2)),'Banco de Dados'!$A1548="GO",ROUND(SUM('Banco de Dados'!$R1548*_xlfn.XLOOKUP('Banco de Dados'!$P1548,Sku!C:C,Sku!H:H)*20%),2),'Banco de Dados'!$A1548="MEI",ROUND(SUM('Banco de Dados'!$R1548*_xlfn.XLOOKUP('Banco de Dados'!$P1548,Sku!D:D,Sku!H:H)*20%),2)),0)</f>
        <v>0</v>
      </c>
      <c r="AN1548" s="109">
        <f ca="1">IF('Banco de Dados'!$AK1548&lt;&gt;"-",IF('Banco de Dados'!$F1548&lt;&gt;"-",_xlfn.XLOOKUP(IFERROR(IFERROR(IFERROR(VALUE(SUBSTITUTE(MID(_xlfn.TEXTAFTER('Banco de Dados'!$F1548,"Data do Pedido:
",1),1,10),"-","/")),VALUE(SUBSTITUTE(MID(_xlfn.TEXTAFTER('Banco de Dados'!$F1548,"Order date:
",1),1,10),"-","/"))),VALUE(SUBSTITUTE(MID(_xlfn.TEXTAFTER('Banco de Dados'!$F1548,"Fecha de pedido:
",1),1,10),"-","/"))),"-"),SMS!A:A,SMS!K:K),0),0)</f>
        <v>0</v>
      </c>
      <c r="AO1548" s="109">
        <f ca="1">IF('Banco de Dados'!$AK1548&lt;&gt;"-",IF('Banco de Dados'!$F1548&lt;&gt;"-",IFERROR(_xlfn.XLOOKUP(_xlfn.CONCAT('Banco de Dados'!$A1548,IFERROR(IFERROR(VALUE(SUBSTITUTE(MID(_xlfn.TEXTAFTER('Banco de Dados'!$F1548,"Data do Pedido:
",1),1,10),"-","/")),VALUE(SUBSTITUTE(MID(_xlfn.TEXTAFTER('Banco de Dados'!$F1548,"Order date:
",1),1,10),"-","/"))),0)),ProxyDD[Chave],ProxyDD[Valor por pedido]),PROXY!$P$2),0),0)</f>
        <v>0</v>
      </c>
      <c r="AP1548" s="28">
        <f ca="1">IF('Banco de Dados'!$AK1548&lt;&gt;"-",IF('Banco de Dados'!$AL1548="NÃO",IFERROR(VALUE(SUBSTITUTE(_xlfn.TEXTAFTER('Banco de Dados'!$F1548,"BRL ",1),".",",")),0),0),0)</f>
        <v>0</v>
      </c>
      <c r="AQ1548" s="28">
        <f ca="1">SUM('Banco de Dados'!$AM1548:$AP1548)</f>
        <v>0</v>
      </c>
      <c r="AR1548" s="8"/>
      <c r="AS1548" s="8"/>
      <c r="AT1548"/>
      <c r="AY1548" s="8"/>
    </row>
    <row r="1549" spans="1:51">
      <c r="A1549" s="5" t="str">
        <v>MEI</v>
      </c>
      <c r="B1549" s="5" t="str">
        <f ca="1"/>
        <v>MEI45762</v>
      </c>
      <c r="C1549" s="8" t="str">
        <v>Pedido 1536</v>
      </c>
      <c r="D1549" s="187">
        <v>45762</v>
      </c>
      <c r="E1549" s="9">
        <v>45762</v>
      </c>
      <c r="F1549" s="8" t="str">
        <v>PedidoF1470</v>
      </c>
      <c r="G1549" s="2" t="str">
        <v>CódRastreio1468</v>
      </c>
      <c r="H1549" s="5">
        <v>1</v>
      </c>
      <c r="I1549" s="182" t="str">
        <v>CPF 1495</v>
      </c>
      <c r="J1549" s="2" t="str">
        <v>Nome 1495</v>
      </c>
      <c r="K1549" s="8" t="str">
        <v>Tel 1495</v>
      </c>
      <c r="L1549" s="8" t="str">
        <v>Cep 1495</v>
      </c>
      <c r="M1549" s="8" t="str">
        <v>Rua 1495</v>
      </c>
      <c r="N1549" s="8" t="str">
        <v>Comp 1495</v>
      </c>
      <c r="O1549" s="8" t="str">
        <v>Copo Termico</v>
      </c>
      <c r="P1549" s="8" t="str">
        <v>VI-4RT5-1FFO</v>
      </c>
      <c r="Q1549" s="4">
        <v>45786</v>
      </c>
      <c r="R1549" s="109">
        <v>22.7</v>
      </c>
      <c r="S1549" s="11">
        <f ca="1"/>
        <v>22.7</v>
      </c>
      <c r="T1549" s="28">
        <f ca="1"/>
        <v>2.7239999999999998</v>
      </c>
      <c r="U1549" s="11">
        <f ca="1"/>
        <v>19.98</v>
      </c>
      <c r="V1549" s="11">
        <v>10.1</v>
      </c>
      <c r="W1549" s="11">
        <f ca="1"/>
        <v>0.2</v>
      </c>
      <c r="X1549" s="11">
        <f ca="1"/>
        <v>0.39877104377104378</v>
      </c>
      <c r="Y1549" s="11">
        <v>0</v>
      </c>
      <c r="Z1549" s="11">
        <f ca="1"/>
        <v>9.2812289562289578</v>
      </c>
      <c r="AA1549" s="11">
        <f ca="1"/>
        <v>4.6406144781144789</v>
      </c>
      <c r="AB1549" s="4">
        <f ca="1"/>
        <v>45793</v>
      </c>
      <c r="AC1549" s="4">
        <v>45793</v>
      </c>
      <c r="AD1549" s="9">
        <v>45793</v>
      </c>
      <c r="AE1549" s="9">
        <v>45797</v>
      </c>
      <c r="AF1549" s="4" t="str">
        <f t="shared" ref="AF1549:AF1552" ca="1" si="102">_xlfn.CONCAT(PROPER(TEXT(AB1549,"aaaa"))," ",PROPER(TEXT(AB1549,"mm")))</f>
        <v>2025 05</v>
      </c>
      <c r="AG1549" s="8" t="str" cm="1">
        <f t="array" ref="AG1549">IFERROR(_xlfn.IFS('Banco de Dados'!#REF!="AG. COMPRA","Em processamento",'Banco de Dados'!#REF!="AG. RASTREIO","Em processamento",'Banco de Dados'!$AE1549&lt;&gt;"-","Faturado",'Banco de Dados'!$AD1549&lt;&gt;"-","Aguardando Pix",'Banco de Dados'!$AC1549&lt;&gt;"-","Pendente"),"Aguardando Liberação")</f>
        <v>Aguardando Liberação</v>
      </c>
      <c r="AH1549" s="5" t="str">
        <f>IF('Banco de Dados'!$F1549="-",_xlfn.CONCAT(PROPER(TEXT(AK1549,"aaaa"))," ",PROPER(TEXT(AK1549,"mm"))),_xlfn.CONCAT(PROPER(TEXT(E1549,"aaaa"))," ",PROPER(TEXT(E1549,"mm"))))</f>
        <v>2025 04</v>
      </c>
      <c r="AI1549" s="9" t="str">
        <f ca="1">IF('Banco de Dados'!$AK1549&lt;&gt;"-","REEMBOLSO",IFERROR(_xlfn.XLOOKUP(G1549,Follow[CODRASTREIO],Follow[STATUS]),"-"))</f>
        <v>ENTREGUE</v>
      </c>
      <c r="AJ1549" s="9">
        <f ca="1">IF('Banco de Dados'!$AI1549="ENTREGUE",_xlfn.XLOOKUP('Banco de Dados'!$G1549,Follow[CODRASTREIO],Follow[DATAATUALIZAÇÃO]),"-")</f>
        <v>45772</v>
      </c>
      <c r="AK1549" s="132" t="str">
        <f ca="1"/>
        <v>-</v>
      </c>
      <c r="AL1549" s="35"/>
      <c r="AM1549" s="109" cm="1">
        <f t="array" aca="1" ref="AM1549" ca="1">IF('Banco de Dados'!$AK1549&lt;&gt;"-",_xlfn.IFS('Banco de Dados'!$A1549="bv",IF('Banco de Dados'!$E1549&lt;45641,ROUND(SUM('Banco de Dados'!$R1549*_xlfn.XLOOKUP('Banco de Dados'!$P1549,Sku!B:B,Sku!#REF!)*20%),2),ROUND(SUM('Banco de Dados'!$R1549*_xlfn.XLOOKUP('Banco de Dados'!$P1549,Sku!B:B,Sku!H:H)*20%),2)),'Banco de Dados'!$A1549="GO",ROUND(SUM('Banco de Dados'!$R1549*_xlfn.XLOOKUP('Banco de Dados'!$P1549,Sku!C:C,Sku!H:H)*20%),2),'Banco de Dados'!$A1549="MEI",ROUND(SUM('Banco de Dados'!$R1549*_xlfn.XLOOKUP('Banco de Dados'!$P1549,Sku!D:D,Sku!H:H)*20%),2)),0)</f>
        <v>0</v>
      </c>
      <c r="AN1549" s="109">
        <f ca="1">IF('Banco de Dados'!$AK1549&lt;&gt;"-",IF('Banco de Dados'!$F1549&lt;&gt;"-",_xlfn.XLOOKUP(IFERROR(IFERROR(IFERROR(VALUE(SUBSTITUTE(MID(_xlfn.TEXTAFTER('Banco de Dados'!$F1549,"Data do Pedido:
",1),1,10),"-","/")),VALUE(SUBSTITUTE(MID(_xlfn.TEXTAFTER('Banco de Dados'!$F1549,"Order date:
",1),1,10),"-","/"))),VALUE(SUBSTITUTE(MID(_xlfn.TEXTAFTER('Banco de Dados'!$F1549,"Fecha de pedido:
",1),1,10),"-","/"))),"-"),SMS!A:A,SMS!K:K),0),0)</f>
        <v>0</v>
      </c>
      <c r="AO1549" s="109">
        <f ca="1">IF('Banco de Dados'!$AK1549&lt;&gt;"-",IF('Banco de Dados'!$F1549&lt;&gt;"-",IFERROR(_xlfn.XLOOKUP(_xlfn.CONCAT('Banco de Dados'!$A1549,IFERROR(IFERROR(VALUE(SUBSTITUTE(MID(_xlfn.TEXTAFTER('Banco de Dados'!$F1549,"Data do Pedido:
",1),1,10),"-","/")),VALUE(SUBSTITUTE(MID(_xlfn.TEXTAFTER('Banco de Dados'!$F1549,"Order date:
",1),1,10),"-","/"))),0)),ProxyDD[Chave],ProxyDD[Valor por pedido]),PROXY!$P$2),0),0)</f>
        <v>0</v>
      </c>
      <c r="AP1549" s="28">
        <f ca="1">IF('Banco de Dados'!$AK1549&lt;&gt;"-",IF('Banco de Dados'!$AL1549="NÃO",IFERROR(VALUE(SUBSTITUTE(_xlfn.TEXTAFTER('Banco de Dados'!$F1549,"BRL ",1),".",",")),0),0),0)</f>
        <v>0</v>
      </c>
      <c r="AQ1549" s="28">
        <f ca="1">SUM('Banco de Dados'!$AM1549:$AP1549)</f>
        <v>0</v>
      </c>
      <c r="AR1549" s="8"/>
      <c r="AS1549" s="8"/>
      <c r="AT1549"/>
      <c r="AY1549" s="8"/>
    </row>
    <row r="1550" spans="1:51">
      <c r="A1550" s="5" t="str">
        <v>MEI</v>
      </c>
      <c r="B1550" s="5" t="str">
        <f ca="1"/>
        <v>MEI45762</v>
      </c>
      <c r="C1550" s="8" t="str">
        <v>Pedido 1537</v>
      </c>
      <c r="D1550" s="187">
        <v>45762</v>
      </c>
      <c r="E1550" s="9">
        <v>45762</v>
      </c>
      <c r="F1550" s="8" t="str">
        <v>PedidoF1471</v>
      </c>
      <c r="G1550" s="2" t="str">
        <v>CódRastreio1469</v>
      </c>
      <c r="H1550" s="5">
        <v>1</v>
      </c>
      <c r="I1550" s="182" t="str">
        <v>CPF 1496</v>
      </c>
      <c r="J1550" s="2" t="str">
        <v>Nome 1496</v>
      </c>
      <c r="K1550" s="8" t="str">
        <v>Tel 1496</v>
      </c>
      <c r="L1550" s="8" t="str">
        <v>Cep 1496</v>
      </c>
      <c r="M1550" s="8" t="str">
        <v>Rua 1496</v>
      </c>
      <c r="N1550" s="8" t="str">
        <v>Comp 1496</v>
      </c>
      <c r="O1550" s="8" t="str">
        <v>Maçarico Culinário Portátil</v>
      </c>
      <c r="P1550" s="8" t="str">
        <v>BG-DHRO-FAEE</v>
      </c>
      <c r="Q1550" s="4">
        <v>45792</v>
      </c>
      <c r="R1550" s="109">
        <v>26.99</v>
      </c>
      <c r="S1550" s="11">
        <f ca="1"/>
        <v>26.99</v>
      </c>
      <c r="T1550" s="28">
        <f ca="1"/>
        <v>2.9688999999999997</v>
      </c>
      <c r="U1550" s="11">
        <f ca="1"/>
        <v>24.02</v>
      </c>
      <c r="V1550" s="11">
        <v>14.84</v>
      </c>
      <c r="W1550" s="11">
        <f ca="1"/>
        <v>0.2</v>
      </c>
      <c r="X1550" s="11">
        <f ca="1"/>
        <v>0.39877104377104378</v>
      </c>
      <c r="Y1550" s="11">
        <v>0</v>
      </c>
      <c r="Z1550" s="11">
        <f ca="1"/>
        <v>8.5812289562289568</v>
      </c>
      <c r="AA1550" s="11">
        <f ca="1"/>
        <v>4.2906144781144784</v>
      </c>
      <c r="AB1550" s="4">
        <f ca="1"/>
        <v>45799</v>
      </c>
      <c r="AC1550" s="4">
        <v>45799</v>
      </c>
      <c r="AD1550" s="9">
        <v>45807</v>
      </c>
      <c r="AE1550" s="9">
        <v>45810</v>
      </c>
      <c r="AF1550" s="4" t="str">
        <f t="shared" ca="1" si="102"/>
        <v>2025 05</v>
      </c>
      <c r="AG1550" s="8" t="str" cm="1">
        <f t="array" ref="AG1550">IFERROR(_xlfn.IFS('Banco de Dados'!#REF!="AG. COMPRA","Em processamento",'Banco de Dados'!#REF!="AG. RASTREIO","Em processamento",'Banco de Dados'!$AE1550&lt;&gt;"-","Faturado",'Banco de Dados'!$AD1550&lt;&gt;"-","Aguardando Pix",'Banco de Dados'!$AC1550&lt;&gt;"-","Pendente"),"Aguardando Liberação")</f>
        <v>Aguardando Liberação</v>
      </c>
      <c r="AH1550" s="5" t="str">
        <f>IF('Banco de Dados'!$F1550="-",_xlfn.CONCAT(PROPER(TEXT(AK1550,"aaaa"))," ",PROPER(TEXT(AK1550,"mm"))),_xlfn.CONCAT(PROPER(TEXT(E1550,"aaaa"))," ",PROPER(TEXT(E1550,"mm"))))</f>
        <v>2025 04</v>
      </c>
      <c r="AI1550" s="9" t="str">
        <f ca="1">IF('Banco de Dados'!$AK1550&lt;&gt;"-","REEMBOLSO",IFERROR(_xlfn.XLOOKUP(G1550,Follow[CODRASTREIO],Follow[STATUS]),"-"))</f>
        <v>ENTREGUE</v>
      </c>
      <c r="AJ1550" s="9">
        <f ca="1">IF('Banco de Dados'!$AI1550="ENTREGUE",_xlfn.XLOOKUP('Banco de Dados'!$G1550,Follow[CODRASTREIO],Follow[DATAATUALIZAÇÃO]),"-")</f>
        <v>45791</v>
      </c>
      <c r="AK1550" s="132" t="str">
        <f ca="1"/>
        <v>-</v>
      </c>
      <c r="AL1550" s="35"/>
      <c r="AM1550" s="109" cm="1">
        <f t="array" aca="1" ref="AM1550" ca="1">IF('Banco de Dados'!$AK1550&lt;&gt;"-",_xlfn.IFS('Banco de Dados'!$A1550="bv",IF('Banco de Dados'!$E1550&lt;45641,ROUND(SUM('Banco de Dados'!$R1550*_xlfn.XLOOKUP('Banco de Dados'!$P1550,Sku!B:B,Sku!#REF!)*20%),2),ROUND(SUM('Banco de Dados'!$R1550*_xlfn.XLOOKUP('Banco de Dados'!$P1550,Sku!B:B,Sku!H:H)*20%),2)),'Banco de Dados'!$A1550="GO",ROUND(SUM('Banco de Dados'!$R1550*_xlfn.XLOOKUP('Banco de Dados'!$P1550,Sku!C:C,Sku!H:H)*20%),2),'Banco de Dados'!$A1550="MEI",ROUND(SUM('Banco de Dados'!$R1550*_xlfn.XLOOKUP('Banco de Dados'!$P1550,Sku!D:D,Sku!H:H)*20%),2)),0)</f>
        <v>0</v>
      </c>
      <c r="AN1550" s="109">
        <f ca="1">IF('Banco de Dados'!$AK1550&lt;&gt;"-",IF('Banco de Dados'!$F1550&lt;&gt;"-",_xlfn.XLOOKUP(IFERROR(IFERROR(IFERROR(VALUE(SUBSTITUTE(MID(_xlfn.TEXTAFTER('Banco de Dados'!$F1550,"Data do Pedido:
",1),1,10),"-","/")),VALUE(SUBSTITUTE(MID(_xlfn.TEXTAFTER('Banco de Dados'!$F1550,"Order date:
",1),1,10),"-","/"))),VALUE(SUBSTITUTE(MID(_xlfn.TEXTAFTER('Banco de Dados'!$F1550,"Fecha de pedido:
",1),1,10),"-","/"))),"-"),SMS!A:A,SMS!K:K),0),0)</f>
        <v>0</v>
      </c>
      <c r="AO1550" s="109">
        <f ca="1">IF('Banco de Dados'!$AK1550&lt;&gt;"-",IF('Banco de Dados'!$F1550&lt;&gt;"-",IFERROR(_xlfn.XLOOKUP(_xlfn.CONCAT('Banco de Dados'!$A1550,IFERROR(IFERROR(VALUE(SUBSTITUTE(MID(_xlfn.TEXTAFTER('Banco de Dados'!$F1550,"Data do Pedido:
",1),1,10),"-","/")),VALUE(SUBSTITUTE(MID(_xlfn.TEXTAFTER('Banco de Dados'!$F1550,"Order date:
",1),1,10),"-","/"))),0)),ProxyDD[Chave],ProxyDD[Valor por pedido]),PROXY!$P$2),0),0)</f>
        <v>0</v>
      </c>
      <c r="AP1550" s="28">
        <f ca="1">IF('Banco de Dados'!$AK1550&lt;&gt;"-",IF('Banco de Dados'!$AL1550="NÃO",IFERROR(VALUE(SUBSTITUTE(_xlfn.TEXTAFTER('Banco de Dados'!$F1550,"BRL ",1),".",",")),0),0),0)</f>
        <v>0</v>
      </c>
      <c r="AQ1550" s="28">
        <f ca="1">SUM('Banco de Dados'!$AM1550:$AP1550)</f>
        <v>0</v>
      </c>
      <c r="AR1550" s="8"/>
      <c r="AS1550" s="8"/>
      <c r="AT1550"/>
      <c r="AY1550" s="8"/>
    </row>
    <row r="1551" spans="1:51">
      <c r="A1551" s="5" t="str">
        <v>MEI</v>
      </c>
      <c r="B1551" s="5" t="str">
        <f ca="1"/>
        <v>MEI-</v>
      </c>
      <c r="C1551" s="8" t="str">
        <v>Pedido 1538</v>
      </c>
      <c r="D1551" s="187">
        <v>45762</v>
      </c>
      <c r="E1551" s="9" t="str">
        <v>-</v>
      </c>
      <c r="F1551" s="8" t="str">
        <v>-</v>
      </c>
      <c r="G1551" s="2" t="str">
        <v>-</v>
      </c>
      <c r="H1551" s="5">
        <v>1</v>
      </c>
      <c r="I1551" s="182" t="str">
        <v>CPF 1497</v>
      </c>
      <c r="J1551" s="2" t="str">
        <v>Nome 1497</v>
      </c>
      <c r="K1551" s="8" t="str">
        <v>Tel 1497</v>
      </c>
      <c r="L1551" s="8" t="str">
        <v>Cep 1497</v>
      </c>
      <c r="M1551" s="8" t="str">
        <v>Rua 1497</v>
      </c>
      <c r="N1551" s="8" t="str">
        <v>Comp 1497</v>
      </c>
      <c r="O1551" s="8" t="str">
        <v>Maçarico Culinário Portátil</v>
      </c>
      <c r="P1551" s="8" t="str">
        <v>BG-DHRO-FAEE</v>
      </c>
      <c r="Q1551" s="4">
        <v>45786</v>
      </c>
      <c r="R1551" s="109">
        <v>26.99</v>
      </c>
      <c r="S1551" s="11">
        <f ca="1"/>
        <v>0</v>
      </c>
      <c r="T1551" s="28">
        <f ca="1"/>
        <v>0</v>
      </c>
      <c r="U1551" s="11">
        <f ca="1"/>
        <v>0</v>
      </c>
      <c r="V1551" s="11">
        <v>0</v>
      </c>
      <c r="W1551" s="11">
        <f ca="1"/>
        <v>0</v>
      </c>
      <c r="X1551" s="11">
        <f ca="1"/>
        <v>0</v>
      </c>
      <c r="Y1551" s="11">
        <v>0</v>
      </c>
      <c r="Z1551" s="11">
        <f ca="1"/>
        <v>0</v>
      </c>
      <c r="AA1551" s="11">
        <f ca="1"/>
        <v>0</v>
      </c>
      <c r="AB1551" s="4">
        <f ca="1"/>
        <v>45793</v>
      </c>
      <c r="AC1551" s="4">
        <v>45793</v>
      </c>
      <c r="AD1551" s="9">
        <v>45793</v>
      </c>
      <c r="AE1551" s="9">
        <v>45797</v>
      </c>
      <c r="AF1551" s="4" t="str">
        <f t="shared" ca="1" si="102"/>
        <v>2025 05</v>
      </c>
      <c r="AG1551" s="8" t="str" cm="1">
        <f t="array" ref="AG1551">IFERROR(_xlfn.IFS('Banco de Dados'!#REF!="AG. COMPRA","Em processamento",'Banco de Dados'!#REF!="AG. RASTREIO","Em processamento",'Banco de Dados'!$AE1551&lt;&gt;"-","Faturado",'Banco de Dados'!$AD1551&lt;&gt;"-","Aguardando Pix",'Banco de Dados'!$AC1551&lt;&gt;"-","Pendente"),"Aguardando Liberação")</f>
        <v>Aguardando Liberação</v>
      </c>
      <c r="AH1551" s="5" t="str">
        <f ca="1">IF('Banco de Dados'!$F1551="-",_xlfn.CONCAT(PROPER(TEXT(AK1551,"aaaa"))," ",PROPER(TEXT(AK1551,"mm"))),_xlfn.CONCAT(PROPER(TEXT(E1551,"aaaa"))," ",PROPER(TEXT(E1551,"mm"))))</f>
        <v>2025 04</v>
      </c>
      <c r="AI1551" s="9" t="str">
        <f ca="1">IF('Banco de Dados'!$AK1551&lt;&gt;"-","REEMBOLSO",IFERROR(_xlfn.XLOOKUP(G1551,Follow[CODRASTREIO],Follow[STATUS]),"-"))</f>
        <v>REEMBOLSO</v>
      </c>
      <c r="AJ1551" s="9" t="str">
        <f ca="1">IF('Banco de Dados'!$AI1551="ENTREGUE",_xlfn.XLOOKUP('Banco de Dados'!$G1551,Follow[CODRASTREIO],Follow[DATAATUALIZAÇÃO]),"-")</f>
        <v>-</v>
      </c>
      <c r="AK1551" s="132">
        <f ca="1"/>
        <v>45769</v>
      </c>
      <c r="AL1551" s="35"/>
      <c r="AM1551" s="109" cm="1">
        <f t="array" aca="1" ref="AM1551" ca="1">IF('Banco de Dados'!$AK1551&lt;&gt;"-",_xlfn.IFS('Banco de Dados'!$A1551="bv",IF('Banco de Dados'!$E1551&lt;45641,ROUND(SUM('Banco de Dados'!$R1551*_xlfn.XLOOKUP('Banco de Dados'!$P1551,Sku!B:B,Sku!#REF!)*20%),2),ROUND(SUM('Banco de Dados'!$R1551*_xlfn.XLOOKUP('Banco de Dados'!$P1551,Sku!B:B,Sku!H:H)*20%),2)),'Banco de Dados'!$A1551="GO",ROUND(SUM('Banco de Dados'!$R1551*_xlfn.XLOOKUP('Banco de Dados'!$P1551,Sku!C:C,Sku!H:H)*20%),2),'Banco de Dados'!$A1551="MEI",ROUND(SUM('Banco de Dados'!$R1551*_xlfn.XLOOKUP('Banco de Dados'!$P1551,Sku!D:D,Sku!H:H)*20%),2)),0)</f>
        <v>0.59</v>
      </c>
      <c r="AN1551" s="109">
        <f ca="1">IF('Banco de Dados'!$AK1551&lt;&gt;"-",IF('Banco de Dados'!$F1551&lt;&gt;"-",_xlfn.XLOOKUP(IFERROR(IFERROR(IFERROR(VALUE(SUBSTITUTE(MID(_xlfn.TEXTAFTER('Banco de Dados'!$F1551,"Data do Pedido:
",1),1,10),"-","/")),VALUE(SUBSTITUTE(MID(_xlfn.TEXTAFTER('Banco de Dados'!$F1551,"Order date:
",1),1,10),"-","/"))),VALUE(SUBSTITUTE(MID(_xlfn.TEXTAFTER('Banco de Dados'!$F1551,"Fecha de pedido:
",1),1,10),"-","/"))),"-"),SMS!A:A,SMS!K:K),0),0)</f>
        <v>0</v>
      </c>
      <c r="AO1551" s="109">
        <f ca="1">IF('Banco de Dados'!$AK1551&lt;&gt;"-",IF('Banco de Dados'!$F1551&lt;&gt;"-",IFERROR(_xlfn.XLOOKUP(_xlfn.CONCAT('Banco de Dados'!$A1551,IFERROR(IFERROR(VALUE(SUBSTITUTE(MID(_xlfn.TEXTAFTER('Banco de Dados'!$F1551,"Data do Pedido:
",1),1,10),"-","/")),VALUE(SUBSTITUTE(MID(_xlfn.TEXTAFTER('Banco de Dados'!$F1551,"Order date:
",1),1,10),"-","/"))),0)),ProxyDD[Chave],ProxyDD[Valor por pedido]),PROXY!$P$2),0),0)</f>
        <v>0</v>
      </c>
      <c r="AP1551" s="28">
        <f ca="1">IF('Banco de Dados'!$AK1551&lt;&gt;"-",IF('Banco de Dados'!$AL1551="NÃO",IFERROR(VALUE(SUBSTITUTE(_xlfn.TEXTAFTER('Banco de Dados'!$F1551,"BRL ",1),".",",")),0),0),0)</f>
        <v>0</v>
      </c>
      <c r="AQ1551" s="28">
        <f ca="1">SUM('Banco de Dados'!$AM1551:$AP1551)</f>
        <v>0.59</v>
      </c>
      <c r="AR1551" s="8"/>
      <c r="AS1551" s="8"/>
      <c r="AT1551"/>
      <c r="AY1551" s="8"/>
    </row>
    <row r="1552" spans="1:51">
      <c r="A1552" s="5" t="str">
        <v>MEI</v>
      </c>
      <c r="B1552" s="5" t="str">
        <f ca="1"/>
        <v>MEI-</v>
      </c>
      <c r="C1552" s="8" t="str">
        <v>Pedido 1539</v>
      </c>
      <c r="D1552" s="187">
        <v>45762</v>
      </c>
      <c r="E1552" s="9" t="str">
        <v>-</v>
      </c>
      <c r="F1552" s="8" t="str">
        <v>-</v>
      </c>
      <c r="G1552" s="2" t="str">
        <v>-</v>
      </c>
      <c r="H1552" s="5">
        <v>1</v>
      </c>
      <c r="I1552" s="182" t="str">
        <v>CPF 1498</v>
      </c>
      <c r="J1552" s="2" t="str">
        <v>Nome 1498</v>
      </c>
      <c r="K1552" s="8" t="str">
        <v>Tel 1498</v>
      </c>
      <c r="L1552" s="8" t="str">
        <v>Cep 1498</v>
      </c>
      <c r="M1552" s="8" t="str">
        <v>Rua 1498</v>
      </c>
      <c r="N1552" s="8" t="str">
        <v>Comp 1498</v>
      </c>
      <c r="O1552" s="8" t="str">
        <v>Mini Liquidificador</v>
      </c>
      <c r="P1552" s="8" t="str">
        <v>A4-5W51-K3HF</v>
      </c>
      <c r="Q1552" s="4">
        <v>45799</v>
      </c>
      <c r="R1552" s="109">
        <v>36.950000000000003</v>
      </c>
      <c r="S1552" s="11">
        <f ca="1"/>
        <v>0</v>
      </c>
      <c r="T1552" s="28">
        <f ca="1"/>
        <v>0</v>
      </c>
      <c r="U1552" s="11">
        <f ca="1"/>
        <v>0</v>
      </c>
      <c r="V1552" s="11">
        <v>0</v>
      </c>
      <c r="W1552" s="11">
        <f ca="1"/>
        <v>0</v>
      </c>
      <c r="X1552" s="11">
        <f ca="1"/>
        <v>0</v>
      </c>
      <c r="Y1552" s="11">
        <v>0</v>
      </c>
      <c r="Z1552" s="11">
        <f ca="1"/>
        <v>0</v>
      </c>
      <c r="AA1552" s="11">
        <f ca="1"/>
        <v>0</v>
      </c>
      <c r="AB1552" s="4">
        <f ca="1"/>
        <v>45806</v>
      </c>
      <c r="AC1552" s="4">
        <v>45806</v>
      </c>
      <c r="AD1552" s="9">
        <v>45807</v>
      </c>
      <c r="AE1552" s="9">
        <v>45810</v>
      </c>
      <c r="AF1552" s="4" t="str">
        <f t="shared" ca="1" si="102"/>
        <v>2025 05</v>
      </c>
      <c r="AG1552" s="8" t="str" cm="1">
        <f t="array" ref="AG1552">IFERROR(_xlfn.IFS('Banco de Dados'!#REF!="AG. COMPRA","Em processamento",'Banco de Dados'!#REF!="AG. RASTREIO","Em processamento",'Banco de Dados'!$AE1552&lt;&gt;"-","Faturado",'Banco de Dados'!$AD1552&lt;&gt;"-","Aguardando Pix",'Banco de Dados'!$AC1552&lt;&gt;"-","Pendente"),"Aguardando Liberação")</f>
        <v>Aguardando Liberação</v>
      </c>
      <c r="AH1552" s="5" t="str">
        <f ca="1">IF('Banco de Dados'!$F1552="-",_xlfn.CONCAT(PROPER(TEXT(AK1552,"aaaa"))," ",PROPER(TEXT(AK1552,"mm"))),_xlfn.CONCAT(PROPER(TEXT(E1552,"aaaa"))," ",PROPER(TEXT(E1552,"mm"))))</f>
        <v>2025 04</v>
      </c>
      <c r="AI1552" s="9" t="str">
        <f ca="1">IF('Banco de Dados'!$AK1552&lt;&gt;"-","REEMBOLSO",IFERROR(_xlfn.XLOOKUP(G1552,Follow[CODRASTREIO],Follow[STATUS]),"-"))</f>
        <v>REEMBOLSO</v>
      </c>
      <c r="AJ1552" s="9" t="str">
        <f ca="1">IF('Banco de Dados'!$AI1552="ENTREGUE",_xlfn.XLOOKUP('Banco de Dados'!$G1552,Follow[CODRASTREIO],Follow[DATAATUALIZAÇÃO]),"-")</f>
        <v>-</v>
      </c>
      <c r="AK1552" s="132">
        <f ca="1"/>
        <v>45768</v>
      </c>
      <c r="AL1552" s="35"/>
      <c r="AM1552" s="109" cm="1">
        <f t="array" aca="1" ref="AM1552" ca="1">IF('Banco de Dados'!$AK1552&lt;&gt;"-",_xlfn.IFS('Banco de Dados'!$A1552="bv",IF('Banco de Dados'!$E1552&lt;45641,ROUND(SUM('Banco de Dados'!$R1552*_xlfn.XLOOKUP('Banco de Dados'!$P1552,Sku!B:B,Sku!#REF!)*20%),2),ROUND(SUM('Banco de Dados'!$R1552*_xlfn.XLOOKUP('Banco de Dados'!$P1552,Sku!B:B,Sku!H:H)*20%),2)),'Banco de Dados'!$A1552="GO",ROUND(SUM('Banco de Dados'!$R1552*_xlfn.XLOOKUP('Banco de Dados'!$P1552,Sku!C:C,Sku!H:H)*20%),2),'Banco de Dados'!$A1552="MEI",ROUND(SUM('Banco de Dados'!$R1552*_xlfn.XLOOKUP('Banco de Dados'!$P1552,Sku!D:D,Sku!H:H)*20%),2)),0)</f>
        <v>0.96</v>
      </c>
      <c r="AN1552" s="109">
        <f ca="1">IF('Banco de Dados'!$AK1552&lt;&gt;"-",IF('Banco de Dados'!$F1552&lt;&gt;"-",_xlfn.XLOOKUP(IFERROR(IFERROR(IFERROR(VALUE(SUBSTITUTE(MID(_xlfn.TEXTAFTER('Banco de Dados'!$F1552,"Data do Pedido:
",1),1,10),"-","/")),VALUE(SUBSTITUTE(MID(_xlfn.TEXTAFTER('Banco de Dados'!$F1552,"Order date:
",1),1,10),"-","/"))),VALUE(SUBSTITUTE(MID(_xlfn.TEXTAFTER('Banco de Dados'!$F1552,"Fecha de pedido:
",1),1,10),"-","/"))),"-"),SMS!A:A,SMS!K:K),0),0)</f>
        <v>0</v>
      </c>
      <c r="AO1552" s="109">
        <f ca="1">IF('Banco de Dados'!$AK1552&lt;&gt;"-",IF('Banco de Dados'!$F1552&lt;&gt;"-",IFERROR(_xlfn.XLOOKUP(_xlfn.CONCAT('Banco de Dados'!$A1552,IFERROR(IFERROR(VALUE(SUBSTITUTE(MID(_xlfn.TEXTAFTER('Banco de Dados'!$F1552,"Data do Pedido:
",1),1,10),"-","/")),VALUE(SUBSTITUTE(MID(_xlfn.TEXTAFTER('Banco de Dados'!$F1552,"Order date:
",1),1,10),"-","/"))),0)),ProxyDD[Chave],ProxyDD[Valor por pedido]),PROXY!$P$2),0),0)</f>
        <v>0</v>
      </c>
      <c r="AP1552" s="28">
        <f ca="1">IF('Banco de Dados'!$AK1552&lt;&gt;"-",IF('Banco de Dados'!$AL1552="NÃO",IFERROR(VALUE(SUBSTITUTE(_xlfn.TEXTAFTER('Banco de Dados'!$F1552,"BRL ",1),".",",")),0),0),0)</f>
        <v>0</v>
      </c>
      <c r="AQ1552" s="28">
        <f ca="1">SUM('Banco de Dados'!$AM1552:$AP1552)</f>
        <v>0.96</v>
      </c>
      <c r="AR1552" s="8"/>
      <c r="AS1552" s="8"/>
      <c r="AT1552"/>
      <c r="AY1552" s="8"/>
    </row>
    <row r="1553" spans="1:51">
      <c r="A1553" s="5" t="str">
        <v>MEI</v>
      </c>
      <c r="B1553" s="5" t="str">
        <f ca="1"/>
        <v>MEI45768</v>
      </c>
      <c r="C1553" s="8" t="str">
        <v>Pedido 1540</v>
      </c>
      <c r="D1553" s="187">
        <v>45763</v>
      </c>
      <c r="E1553" s="9">
        <v>45768</v>
      </c>
      <c r="F1553" s="8" t="str">
        <v>PedidoF1472</v>
      </c>
      <c r="G1553" s="2" t="str">
        <v>CódRastreio1470</v>
      </c>
      <c r="H1553" s="5">
        <v>1</v>
      </c>
      <c r="I1553" s="182" t="str">
        <v>CPF 1499</v>
      </c>
      <c r="J1553" s="2" t="str">
        <v>Nome 1499</v>
      </c>
      <c r="K1553" s="8" t="str">
        <v>Tel 1499</v>
      </c>
      <c r="L1553" s="8" t="str">
        <v>Cep 1499</v>
      </c>
      <c r="M1553" s="8" t="str">
        <v>Rua 1499</v>
      </c>
      <c r="N1553" s="8" t="str">
        <v>Comp 1499</v>
      </c>
      <c r="O1553" s="8" t="str">
        <v>Copo Termico</v>
      </c>
      <c r="P1553" s="8" t="str">
        <v>VI-4RT5-1FFO</v>
      </c>
      <c r="Q1553" s="4">
        <v>45786</v>
      </c>
      <c r="R1553" s="109">
        <v>22.7</v>
      </c>
      <c r="S1553" s="11">
        <f ca="1"/>
        <v>22.7</v>
      </c>
      <c r="T1553" s="28">
        <f ca="1"/>
        <v>2.7239999999999998</v>
      </c>
      <c r="U1553" s="11">
        <f ca="1"/>
        <v>19.98</v>
      </c>
      <c r="V1553" s="11">
        <v>11.92</v>
      </c>
      <c r="W1553" s="11">
        <f ca="1"/>
        <v>1.17</v>
      </c>
      <c r="X1553" s="11">
        <f ca="1"/>
        <v>0.39877104377104378</v>
      </c>
      <c r="Y1553" s="11">
        <v>0</v>
      </c>
      <c r="Z1553" s="11">
        <f ca="1"/>
        <v>6.4912289562289569</v>
      </c>
      <c r="AA1553" s="11">
        <f ca="1"/>
        <v>3.2456144781144785</v>
      </c>
      <c r="AB1553" s="4">
        <f ca="1"/>
        <v>45793</v>
      </c>
      <c r="AC1553" s="4">
        <v>45793</v>
      </c>
      <c r="AD1553" s="9">
        <v>45793</v>
      </c>
      <c r="AE1553" s="9">
        <v>45797</v>
      </c>
      <c r="AF1553" s="4" t="str">
        <f t="shared" ref="AF1553:AF1558" ca="1" si="103">_xlfn.CONCAT(PROPER(TEXT(AB1553,"aaaa"))," ",PROPER(TEXT(AB1553,"mm")))</f>
        <v>2025 05</v>
      </c>
      <c r="AG1553" s="8" t="str" cm="1">
        <f t="array" ref="AG1553">IFERROR(_xlfn.IFS('Banco de Dados'!#REF!="AG. COMPRA","Em processamento",'Banco de Dados'!#REF!="AG. RASTREIO","Em processamento",'Banco de Dados'!$AE1553&lt;&gt;"-","Faturado",'Banco de Dados'!$AD1553&lt;&gt;"-","Aguardando Pix",'Banco de Dados'!$AC1553&lt;&gt;"-","Pendente"),"Aguardando Liberação")</f>
        <v>Aguardando Liberação</v>
      </c>
      <c r="AH1553" s="5" t="str">
        <f>IF('Banco de Dados'!$F1553="-",_xlfn.CONCAT(PROPER(TEXT(AK1553,"aaaa"))," ",PROPER(TEXT(AK1553,"mm"))),_xlfn.CONCAT(PROPER(TEXT(E1553,"aaaa"))," ",PROPER(TEXT(E1553,"mm"))))</f>
        <v>2025 04</v>
      </c>
      <c r="AI1553" s="9" t="str">
        <f ca="1">IF('Banco de Dados'!$AK1553&lt;&gt;"-","REEMBOLSO",IFERROR(_xlfn.XLOOKUP(G1553,Follow[CODRASTREIO],Follow[STATUS]),"-"))</f>
        <v>ENTREGUE</v>
      </c>
      <c r="AJ1553" s="9">
        <f ca="1">IF('Banco de Dados'!$AI1553="ENTREGUE",_xlfn.XLOOKUP('Banco de Dados'!$G1553,Follow[CODRASTREIO],Follow[DATAATUALIZAÇÃO]),"-")</f>
        <v>45776</v>
      </c>
      <c r="AK1553" s="132" t="str">
        <f ca="1"/>
        <v>-</v>
      </c>
      <c r="AL1553" s="35"/>
      <c r="AM1553" s="109" cm="1">
        <f t="array" aca="1" ref="AM1553" ca="1">IF('Banco de Dados'!$AK1553&lt;&gt;"-",_xlfn.IFS('Banco de Dados'!$A1553="bv",IF('Banco de Dados'!$E1553&lt;45641,ROUND(SUM('Banco de Dados'!$R1553*_xlfn.XLOOKUP('Banco de Dados'!$P1553,Sku!B:B,Sku!#REF!)*20%),2),ROUND(SUM('Banco de Dados'!$R1553*_xlfn.XLOOKUP('Banco de Dados'!$P1553,Sku!B:B,Sku!H:H)*20%),2)),'Banco de Dados'!$A1553="GO",ROUND(SUM('Banco de Dados'!$R1553*_xlfn.XLOOKUP('Banco de Dados'!$P1553,Sku!C:C,Sku!H:H)*20%),2),'Banco de Dados'!$A1553="MEI",ROUND(SUM('Banco de Dados'!$R1553*_xlfn.XLOOKUP('Banco de Dados'!$P1553,Sku!D:D,Sku!H:H)*20%),2)),0)</f>
        <v>0</v>
      </c>
      <c r="AN1553" s="109">
        <f ca="1">IF('Banco de Dados'!$AK1553&lt;&gt;"-",IF('Banco de Dados'!$F1553&lt;&gt;"-",_xlfn.XLOOKUP(IFERROR(IFERROR(IFERROR(VALUE(SUBSTITUTE(MID(_xlfn.TEXTAFTER('Banco de Dados'!$F1553,"Data do Pedido:
",1),1,10),"-","/")),VALUE(SUBSTITUTE(MID(_xlfn.TEXTAFTER('Banco de Dados'!$F1553,"Order date:
",1),1,10),"-","/"))),VALUE(SUBSTITUTE(MID(_xlfn.TEXTAFTER('Banco de Dados'!$F1553,"Fecha de pedido:
",1),1,10),"-","/"))),"-"),SMS!A:A,SMS!K:K),0),0)</f>
        <v>0</v>
      </c>
      <c r="AO1553" s="109">
        <f ca="1">IF('Banco de Dados'!$AK1553&lt;&gt;"-",IF('Banco de Dados'!$F1553&lt;&gt;"-",IFERROR(_xlfn.XLOOKUP(_xlfn.CONCAT('Banco de Dados'!$A1553,IFERROR(IFERROR(VALUE(SUBSTITUTE(MID(_xlfn.TEXTAFTER('Banco de Dados'!$F1553,"Data do Pedido:
",1),1,10),"-","/")),VALUE(SUBSTITUTE(MID(_xlfn.TEXTAFTER('Banco de Dados'!$F1553,"Order date:
",1),1,10),"-","/"))),0)),ProxyDD[Chave],ProxyDD[Valor por pedido]),PROXY!$P$2),0),0)</f>
        <v>0</v>
      </c>
      <c r="AP1553" s="28">
        <f ca="1">IF('Banco de Dados'!$AK1553&lt;&gt;"-",IF('Banco de Dados'!$AL1553="NÃO",IFERROR(VALUE(SUBSTITUTE(_xlfn.TEXTAFTER('Banco de Dados'!$F1553,"BRL ",1),".",",")),0),0),0)</f>
        <v>0</v>
      </c>
      <c r="AQ1553" s="28">
        <f ca="1">SUM('Banco de Dados'!$AM1553:$AP1553)</f>
        <v>0</v>
      </c>
      <c r="AR1553" s="8"/>
      <c r="AS1553" s="8"/>
      <c r="AT1553"/>
      <c r="AY1553" s="8"/>
    </row>
    <row r="1554" spans="1:51">
      <c r="A1554" s="5" t="str">
        <v>MEI</v>
      </c>
      <c r="B1554" s="5" t="str">
        <f ca="1"/>
        <v>MEI45769</v>
      </c>
      <c r="C1554" s="8" t="str">
        <v>Pedido 1541</v>
      </c>
      <c r="D1554" s="187">
        <v>45763</v>
      </c>
      <c r="E1554" s="9">
        <v>45769</v>
      </c>
      <c r="F1554" s="8" t="str">
        <v>PedidoF1473</v>
      </c>
      <c r="G1554" s="2" t="str">
        <v>CódRastreio1471</v>
      </c>
      <c r="H1554" s="5">
        <v>1</v>
      </c>
      <c r="I1554" s="182" t="str">
        <v>CPF 1500</v>
      </c>
      <c r="J1554" s="2" t="str">
        <v>Nome 1500</v>
      </c>
      <c r="K1554" s="8" t="str">
        <v>Tel 1500</v>
      </c>
      <c r="L1554" s="8" t="str">
        <v>Cep 1500</v>
      </c>
      <c r="M1554" s="8" t="str">
        <v>Rua 1500</v>
      </c>
      <c r="N1554" s="8" t="str">
        <v>Comp 1500</v>
      </c>
      <c r="O1554" s="8" t="str">
        <v>Maçarico Culinário Portátil</v>
      </c>
      <c r="P1554" s="8" t="str">
        <v>BG-DHRO-FAEE</v>
      </c>
      <c r="Q1554" s="4">
        <v>45793</v>
      </c>
      <c r="R1554" s="109">
        <v>26.99</v>
      </c>
      <c r="S1554" s="11">
        <f ca="1"/>
        <v>26.99</v>
      </c>
      <c r="T1554" s="28">
        <f ca="1"/>
        <v>2.9688999999999997</v>
      </c>
      <c r="U1554" s="11">
        <f ca="1"/>
        <v>24.02</v>
      </c>
      <c r="V1554" s="11">
        <v>16.5</v>
      </c>
      <c r="W1554" s="11">
        <f ca="1"/>
        <v>0.18</v>
      </c>
      <c r="X1554" s="11">
        <f ca="1"/>
        <v>0.39877104377104378</v>
      </c>
      <c r="Y1554" s="11">
        <v>0</v>
      </c>
      <c r="Z1554" s="11">
        <f ca="1"/>
        <v>6.9412289562289544</v>
      </c>
      <c r="AA1554" s="11">
        <f ca="1"/>
        <v>3.4706144781144772</v>
      </c>
      <c r="AB1554" s="4">
        <f ca="1"/>
        <v>45800</v>
      </c>
      <c r="AC1554" s="4">
        <v>45800</v>
      </c>
      <c r="AD1554" s="9">
        <v>45807</v>
      </c>
      <c r="AE1554" s="9">
        <v>45810</v>
      </c>
      <c r="AF1554" s="4" t="str">
        <f t="shared" ca="1" si="103"/>
        <v>2025 05</v>
      </c>
      <c r="AG1554" s="8" t="str" cm="1">
        <f t="array" ref="AG1554">IFERROR(_xlfn.IFS('Banco de Dados'!#REF!="AG. COMPRA","Em processamento",'Banco de Dados'!#REF!="AG. RASTREIO","Em processamento",'Banco de Dados'!$AE1554&lt;&gt;"-","Faturado",'Banco de Dados'!$AD1554&lt;&gt;"-","Aguardando Pix",'Banco de Dados'!$AC1554&lt;&gt;"-","Pendente"),"Aguardando Liberação")</f>
        <v>Aguardando Liberação</v>
      </c>
      <c r="AH1554" s="5" t="str">
        <f>IF('Banco de Dados'!$F1554="-",_xlfn.CONCAT(PROPER(TEXT(AK1554,"aaaa"))," ",PROPER(TEXT(AK1554,"mm"))),_xlfn.CONCAT(PROPER(TEXT(E1554,"aaaa"))," ",PROPER(TEXT(E1554,"mm"))))</f>
        <v>2025 04</v>
      </c>
      <c r="AI1554" s="9" t="str">
        <f ca="1">IF('Banco de Dados'!$AK1554&lt;&gt;"-","REEMBOLSO",IFERROR(_xlfn.XLOOKUP(G1554,Follow[CODRASTREIO],Follow[STATUS]),"-"))</f>
        <v>ENTREGUE</v>
      </c>
      <c r="AJ1554" s="9">
        <f ca="1">IF('Banco de Dados'!$AI1554="ENTREGUE",_xlfn.XLOOKUP('Banco de Dados'!$G1554,Follow[CODRASTREIO],Follow[DATAATUALIZAÇÃO]),"-")</f>
        <v>45790</v>
      </c>
      <c r="AK1554" s="132" t="str">
        <f ca="1"/>
        <v>-</v>
      </c>
      <c r="AL1554" s="35"/>
      <c r="AM1554" s="109" cm="1">
        <f t="array" aca="1" ref="AM1554" ca="1">IF('Banco de Dados'!$AK1554&lt;&gt;"-",_xlfn.IFS('Banco de Dados'!$A1554="bv",IF('Banco de Dados'!$E1554&lt;45641,ROUND(SUM('Banco de Dados'!$R1554*_xlfn.XLOOKUP('Banco de Dados'!$P1554,Sku!B:B,Sku!#REF!)*20%),2),ROUND(SUM('Banco de Dados'!$R1554*_xlfn.XLOOKUP('Banco de Dados'!$P1554,Sku!B:B,Sku!H:H)*20%),2)),'Banco de Dados'!$A1554="GO",ROUND(SUM('Banco de Dados'!$R1554*_xlfn.XLOOKUP('Banco de Dados'!$P1554,Sku!C:C,Sku!H:H)*20%),2),'Banco de Dados'!$A1554="MEI",ROUND(SUM('Banco de Dados'!$R1554*_xlfn.XLOOKUP('Banco de Dados'!$P1554,Sku!D:D,Sku!H:H)*20%),2)),0)</f>
        <v>0</v>
      </c>
      <c r="AN1554" s="109">
        <f ca="1">IF('Banco de Dados'!$AK1554&lt;&gt;"-",IF('Banco de Dados'!$F1554&lt;&gt;"-",_xlfn.XLOOKUP(IFERROR(IFERROR(IFERROR(VALUE(SUBSTITUTE(MID(_xlfn.TEXTAFTER('Banco de Dados'!$F1554,"Data do Pedido:
",1),1,10),"-","/")),VALUE(SUBSTITUTE(MID(_xlfn.TEXTAFTER('Banco de Dados'!$F1554,"Order date:
",1),1,10),"-","/"))),VALUE(SUBSTITUTE(MID(_xlfn.TEXTAFTER('Banco de Dados'!$F1554,"Fecha de pedido:
",1),1,10),"-","/"))),"-"),SMS!A:A,SMS!K:K),0),0)</f>
        <v>0</v>
      </c>
      <c r="AO1554" s="109">
        <f ca="1">IF('Banco de Dados'!$AK1554&lt;&gt;"-",IF('Banco de Dados'!$F1554&lt;&gt;"-",IFERROR(_xlfn.XLOOKUP(_xlfn.CONCAT('Banco de Dados'!$A1554,IFERROR(IFERROR(VALUE(SUBSTITUTE(MID(_xlfn.TEXTAFTER('Banco de Dados'!$F1554,"Data do Pedido:
",1),1,10),"-","/")),VALUE(SUBSTITUTE(MID(_xlfn.TEXTAFTER('Banco de Dados'!$F1554,"Order date:
",1),1,10),"-","/"))),0)),ProxyDD[Chave],ProxyDD[Valor por pedido]),PROXY!$P$2),0),0)</f>
        <v>0</v>
      </c>
      <c r="AP1554" s="28">
        <f ca="1">IF('Banco de Dados'!$AK1554&lt;&gt;"-",IF('Banco de Dados'!$AL1554="NÃO",IFERROR(VALUE(SUBSTITUTE(_xlfn.TEXTAFTER('Banco de Dados'!$F1554,"BRL ",1),".",",")),0),0),0)</f>
        <v>0</v>
      </c>
      <c r="AQ1554" s="28">
        <f ca="1">SUM('Banco de Dados'!$AM1554:$AP1554)</f>
        <v>0</v>
      </c>
      <c r="AR1554" s="8"/>
      <c r="AS1554" s="8"/>
      <c r="AT1554"/>
      <c r="AY1554" s="8"/>
    </row>
    <row r="1555" spans="1:51">
      <c r="A1555" s="5" t="str">
        <v>MEI</v>
      </c>
      <c r="B1555" s="5" t="str">
        <f ca="1"/>
        <v>MEI45769</v>
      </c>
      <c r="C1555" s="8" t="str">
        <v>Pedido 1542</v>
      </c>
      <c r="D1555" s="187">
        <v>45763</v>
      </c>
      <c r="E1555" s="9">
        <v>45769</v>
      </c>
      <c r="F1555" s="8" t="str">
        <v>PedidoF1474</v>
      </c>
      <c r="G1555" s="2" t="str">
        <v>CódRastreio1472</v>
      </c>
      <c r="H1555" s="5">
        <v>1</v>
      </c>
      <c r="I1555" s="182" t="str">
        <v>CPF 1501</v>
      </c>
      <c r="J1555" s="2" t="str">
        <v>Nome 1501</v>
      </c>
      <c r="K1555" s="8" t="str">
        <v>Tel 1501</v>
      </c>
      <c r="L1555" s="8" t="str">
        <v>Cep 1501</v>
      </c>
      <c r="M1555" s="8" t="str">
        <v>Rua 1501</v>
      </c>
      <c r="N1555" s="8" t="str">
        <v>Comp 1501</v>
      </c>
      <c r="O1555" s="8" t="str">
        <v>Maçarico Culinário Portátil</v>
      </c>
      <c r="P1555" s="8" t="str">
        <v>BG-DHRO-FAEE</v>
      </c>
      <c r="Q1555" s="4">
        <v>45793</v>
      </c>
      <c r="R1555" s="109">
        <v>26.99</v>
      </c>
      <c r="S1555" s="11">
        <f ca="1"/>
        <v>0</v>
      </c>
      <c r="T1555" s="28">
        <f ca="1"/>
        <v>0</v>
      </c>
      <c r="U1555" s="11">
        <f ca="1"/>
        <v>0</v>
      </c>
      <c r="V1555" s="11">
        <v>0</v>
      </c>
      <c r="W1555" s="11">
        <f ca="1"/>
        <v>0</v>
      </c>
      <c r="X1555" s="11">
        <f ca="1"/>
        <v>0.39877104377104378</v>
      </c>
      <c r="Y1555" s="11">
        <v>0</v>
      </c>
      <c r="Z1555" s="11">
        <f ca="1"/>
        <v>-0.39877104377104378</v>
      </c>
      <c r="AA1555" s="11">
        <f ca="1"/>
        <v>-0.19938552188552189</v>
      </c>
      <c r="AB1555" s="4">
        <f ca="1"/>
        <v>45800</v>
      </c>
      <c r="AC1555" s="4">
        <v>45800</v>
      </c>
      <c r="AD1555" s="9">
        <v>45807</v>
      </c>
      <c r="AE1555" s="9">
        <v>45810</v>
      </c>
      <c r="AF1555" s="4" t="str">
        <f t="shared" ca="1" si="103"/>
        <v>2025 05</v>
      </c>
      <c r="AG1555" s="8" t="str" cm="1">
        <f t="array" ref="AG1555">IFERROR(_xlfn.IFS('Banco de Dados'!#REF!="AG. COMPRA","Em processamento",'Banco de Dados'!#REF!="AG. RASTREIO","Em processamento",'Banco de Dados'!$AE1555&lt;&gt;"-","Faturado",'Banco de Dados'!$AD1555&lt;&gt;"-","Aguardando Pix",'Banco de Dados'!$AC1555&lt;&gt;"-","Pendente"),"Aguardando Liberação")</f>
        <v>Aguardando Liberação</v>
      </c>
      <c r="AH1555" s="5" t="str">
        <f>IF('Banco de Dados'!$F1555="-",_xlfn.CONCAT(PROPER(TEXT(AK1555,"aaaa"))," ",PROPER(TEXT(AK1555,"mm"))),_xlfn.CONCAT(PROPER(TEXT(E1555,"aaaa"))," ",PROPER(TEXT(E1555,"mm"))))</f>
        <v>2025 04</v>
      </c>
      <c r="AI1555" s="9" t="str">
        <f ca="1">IF('Banco de Dados'!$AK1555&lt;&gt;"-","REEMBOLSO",IFERROR(_xlfn.XLOOKUP(G1555,Follow[CODRASTREIO],Follow[STATUS]),"-"))</f>
        <v>REEMBOLSO</v>
      </c>
      <c r="AJ1555" s="9" t="str">
        <f ca="1">IF('Banco de Dados'!$AI1555="ENTREGUE",_xlfn.XLOOKUP('Banco de Dados'!$G1555,Follow[CODRASTREIO],Follow[DATAATUALIZAÇÃO]),"-")</f>
        <v>-</v>
      </c>
      <c r="AK1555" s="132">
        <f ca="1"/>
        <v>45803</v>
      </c>
      <c r="AL1555" s="35"/>
      <c r="AM1555" s="109" cm="1">
        <f t="array" aca="1" ref="AM1555" ca="1">IF('Banco de Dados'!$AK1555&lt;&gt;"-",_xlfn.IFS('Banco de Dados'!$A1555="bv",IF('Banco de Dados'!$E1555&lt;45641,ROUND(SUM('Banco de Dados'!$R1555*_xlfn.XLOOKUP('Banco de Dados'!$P1555,Sku!B:B,Sku!#REF!)*20%),2),ROUND(SUM('Banco de Dados'!$R1555*_xlfn.XLOOKUP('Banco de Dados'!$P1555,Sku!B:B,Sku!H:H)*20%),2)),'Banco de Dados'!$A1555="GO",ROUND(SUM('Banco de Dados'!$R1555*_xlfn.XLOOKUP('Banco de Dados'!$P1555,Sku!C:C,Sku!H:H)*20%),2),'Banco de Dados'!$A1555="MEI",ROUND(SUM('Banco de Dados'!$R1555*_xlfn.XLOOKUP('Banco de Dados'!$P1555,Sku!D:D,Sku!H:H)*20%),2)),0)</f>
        <v>0.59</v>
      </c>
      <c r="AN1555" s="109" t="e">
        <f ca="1">IF('Banco de Dados'!$AK1555&lt;&gt;"-",IF('Banco de Dados'!$F1555&lt;&gt;"-",_xlfn.XLOOKUP(IFERROR(IFERROR(IFERROR(VALUE(SUBSTITUTE(MID(_xlfn.TEXTAFTER('Banco de Dados'!$F1555,"Data do Pedido:
",1),1,10),"-","/")),VALUE(SUBSTITUTE(MID(_xlfn.TEXTAFTER('Banco de Dados'!$F1555,"Order date:
",1),1,10),"-","/"))),VALUE(SUBSTITUTE(MID(_xlfn.TEXTAFTER('Banco de Dados'!$F1555,"Fecha de pedido:
",1),1,10),"-","/"))),"-"),SMS!A:A,SMS!K:K),0),0)</f>
        <v>#N/A</v>
      </c>
      <c r="AO1555" s="109">
        <f ca="1">IF('Banco de Dados'!$AK1555&lt;&gt;"-",IF('Banco de Dados'!$F1555&lt;&gt;"-",IFERROR(_xlfn.XLOOKUP(_xlfn.CONCAT('Banco de Dados'!$A1555,IFERROR(IFERROR(VALUE(SUBSTITUTE(MID(_xlfn.TEXTAFTER('Banco de Dados'!$F1555,"Data do Pedido:
",1),1,10),"-","/")),VALUE(SUBSTITUTE(MID(_xlfn.TEXTAFTER('Banco de Dados'!$F1555,"Order date:
",1),1,10),"-","/"))),0)),ProxyDD[Chave],ProxyDD[Valor por pedido]),PROXY!$P$2),0),0)</f>
        <v>0.39877104377104378</v>
      </c>
      <c r="AP1555" s="28">
        <f ca="1">IF('Banco de Dados'!$AK1555&lt;&gt;"-",IF('Banco de Dados'!$AL1555="NÃO",IFERROR(VALUE(SUBSTITUTE(_xlfn.TEXTAFTER('Banco de Dados'!$F1555,"BRL ",1),".",",")),0),0),0)</f>
        <v>0</v>
      </c>
      <c r="AQ1555" s="28" t="e">
        <f ca="1">SUM('Banco de Dados'!$AM1555:$AP1555)</f>
        <v>#N/A</v>
      </c>
      <c r="AR1555" s="8"/>
      <c r="AS1555" s="8"/>
      <c r="AT1555"/>
      <c r="AY1555" s="8"/>
    </row>
    <row r="1556" spans="1:51">
      <c r="A1556" s="5" t="str">
        <v>MEI</v>
      </c>
      <c r="B1556" s="5" t="str">
        <f ca="1"/>
        <v>MEI45768</v>
      </c>
      <c r="C1556" s="8" t="str">
        <v>Pedido 1543</v>
      </c>
      <c r="D1556" s="187">
        <v>45763</v>
      </c>
      <c r="E1556" s="9">
        <v>45768</v>
      </c>
      <c r="F1556" s="8" t="str">
        <v>PedidoF1475</v>
      </c>
      <c r="G1556" s="2" t="str">
        <v>CódRastreio1473</v>
      </c>
      <c r="H1556" s="5">
        <v>1</v>
      </c>
      <c r="I1556" s="182" t="str">
        <v>CPF 1502</v>
      </c>
      <c r="J1556" s="2" t="str">
        <v>Nome 1502</v>
      </c>
      <c r="K1556" s="8" t="str">
        <v>Tel 1502</v>
      </c>
      <c r="L1556" s="8" t="str">
        <v>Cep 1502</v>
      </c>
      <c r="M1556" s="8" t="str">
        <v>Rua 1502</v>
      </c>
      <c r="N1556" s="8" t="str">
        <v>Comp 1502</v>
      </c>
      <c r="O1556" s="8" t="str">
        <v>Ventilador Rosa</v>
      </c>
      <c r="P1556" s="8" t="str">
        <v>WR-82Y0-OV27</v>
      </c>
      <c r="Q1556" s="4">
        <v>45793</v>
      </c>
      <c r="R1556" s="109">
        <v>64.89</v>
      </c>
      <c r="S1556" s="11">
        <f ca="1"/>
        <v>64.89</v>
      </c>
      <c r="T1556" s="28">
        <f ca="1"/>
        <v>7.7867999999999995</v>
      </c>
      <c r="U1556" s="11">
        <f ca="1"/>
        <v>57.1</v>
      </c>
      <c r="V1556" s="11">
        <v>22.62</v>
      </c>
      <c r="W1556" s="11">
        <f ca="1"/>
        <v>1.17</v>
      </c>
      <c r="X1556" s="11">
        <f ca="1"/>
        <v>0.39877104377104378</v>
      </c>
      <c r="Y1556" s="11">
        <v>0</v>
      </c>
      <c r="Z1556" s="11">
        <f ca="1"/>
        <v>32.911228956228953</v>
      </c>
      <c r="AA1556" s="11">
        <f ca="1"/>
        <v>16.455614478114477</v>
      </c>
      <c r="AB1556" s="4">
        <f ca="1"/>
        <v>45800</v>
      </c>
      <c r="AC1556" s="4">
        <v>45800</v>
      </c>
      <c r="AD1556" s="9">
        <v>45807</v>
      </c>
      <c r="AE1556" s="9">
        <v>45810</v>
      </c>
      <c r="AF1556" s="4" t="str">
        <f t="shared" ca="1" si="103"/>
        <v>2025 05</v>
      </c>
      <c r="AG1556" s="8" t="str" cm="1">
        <f t="array" ref="AG1556">IFERROR(_xlfn.IFS('Banco de Dados'!#REF!="AG. COMPRA","Em processamento",'Banco de Dados'!#REF!="AG. RASTREIO","Em processamento",'Banco de Dados'!$AE1556&lt;&gt;"-","Faturado",'Banco de Dados'!$AD1556&lt;&gt;"-","Aguardando Pix",'Banco de Dados'!$AC1556&lt;&gt;"-","Pendente"),"Aguardando Liberação")</f>
        <v>Aguardando Liberação</v>
      </c>
      <c r="AH1556" s="5" t="str">
        <f>IF('Banco de Dados'!$F1556="-",_xlfn.CONCAT(PROPER(TEXT(AK1556,"aaaa"))," ",PROPER(TEXT(AK1556,"mm"))),_xlfn.CONCAT(PROPER(TEXT(E1556,"aaaa"))," ",PROPER(TEXT(E1556,"mm"))))</f>
        <v>2025 04</v>
      </c>
      <c r="AI1556" s="9" t="str">
        <f ca="1">IF('Banco de Dados'!$AK1556&lt;&gt;"-","REEMBOLSO",IFERROR(_xlfn.XLOOKUP(G1556,Follow[CODRASTREIO],Follow[STATUS]),"-"))</f>
        <v>ENTREGUE</v>
      </c>
      <c r="AJ1556" s="9">
        <f ca="1">IF('Banco de Dados'!$AI1556="ENTREGUE",_xlfn.XLOOKUP('Banco de Dados'!$G1556,Follow[CODRASTREIO],Follow[DATAATUALIZAÇÃO]),"-")</f>
        <v>45786</v>
      </c>
      <c r="AK1556" s="132" t="str">
        <f ca="1"/>
        <v>-</v>
      </c>
      <c r="AL1556" s="35"/>
      <c r="AM1556" s="109" cm="1">
        <f t="array" aca="1" ref="AM1556" ca="1">IF('Banco de Dados'!$AK1556&lt;&gt;"-",_xlfn.IFS('Banco de Dados'!$A1556="bv",IF('Banco de Dados'!$E1556&lt;45641,ROUND(SUM('Banco de Dados'!$R1556*_xlfn.XLOOKUP('Banco de Dados'!$P1556,Sku!B:B,Sku!#REF!)*20%),2),ROUND(SUM('Banco de Dados'!$R1556*_xlfn.XLOOKUP('Banco de Dados'!$P1556,Sku!B:B,Sku!H:H)*20%),2)),'Banco de Dados'!$A1556="GO",ROUND(SUM('Banco de Dados'!$R1556*_xlfn.XLOOKUP('Banco de Dados'!$P1556,Sku!C:C,Sku!H:H)*20%),2),'Banco de Dados'!$A1556="MEI",ROUND(SUM('Banco de Dados'!$R1556*_xlfn.XLOOKUP('Banco de Dados'!$P1556,Sku!D:D,Sku!H:H)*20%),2)),0)</f>
        <v>0</v>
      </c>
      <c r="AN1556" s="109">
        <f ca="1">IF('Banco de Dados'!$AK1556&lt;&gt;"-",IF('Banco de Dados'!$F1556&lt;&gt;"-",_xlfn.XLOOKUP(IFERROR(IFERROR(IFERROR(VALUE(SUBSTITUTE(MID(_xlfn.TEXTAFTER('Banco de Dados'!$F1556,"Data do Pedido:
",1),1,10),"-","/")),VALUE(SUBSTITUTE(MID(_xlfn.TEXTAFTER('Banco de Dados'!$F1556,"Order date:
",1),1,10),"-","/"))),VALUE(SUBSTITUTE(MID(_xlfn.TEXTAFTER('Banco de Dados'!$F1556,"Fecha de pedido:
",1),1,10),"-","/"))),"-"),SMS!A:A,SMS!K:K),0),0)</f>
        <v>0</v>
      </c>
      <c r="AO1556" s="109">
        <f ca="1">IF('Banco de Dados'!$AK1556&lt;&gt;"-",IF('Banco de Dados'!$F1556&lt;&gt;"-",IFERROR(_xlfn.XLOOKUP(_xlfn.CONCAT('Banco de Dados'!$A1556,IFERROR(IFERROR(VALUE(SUBSTITUTE(MID(_xlfn.TEXTAFTER('Banco de Dados'!$F1556,"Data do Pedido:
",1),1,10),"-","/")),VALUE(SUBSTITUTE(MID(_xlfn.TEXTAFTER('Banco de Dados'!$F1556,"Order date:
",1),1,10),"-","/"))),0)),ProxyDD[Chave],ProxyDD[Valor por pedido]),PROXY!$P$2),0),0)</f>
        <v>0</v>
      </c>
      <c r="AP1556" s="28">
        <f ca="1">IF('Banco de Dados'!$AK1556&lt;&gt;"-",IF('Banco de Dados'!$AL1556="NÃO",IFERROR(VALUE(SUBSTITUTE(_xlfn.TEXTAFTER('Banco de Dados'!$F1556,"BRL ",1),".",",")),0),0),0)</f>
        <v>0</v>
      </c>
      <c r="AQ1556" s="28">
        <f ca="1">SUM('Banco de Dados'!$AM1556:$AP1556)</f>
        <v>0</v>
      </c>
      <c r="AR1556" s="8"/>
      <c r="AS1556" s="8"/>
      <c r="AT1556"/>
      <c r="AY1556" s="8"/>
    </row>
    <row r="1557" spans="1:51">
      <c r="A1557" s="5" t="str">
        <v>MEI</v>
      </c>
      <c r="B1557" s="5" t="str">
        <f ca="1"/>
        <v>MEI45769</v>
      </c>
      <c r="C1557" s="8" t="str">
        <v>Pedido 1544</v>
      </c>
      <c r="D1557" s="187">
        <v>45763</v>
      </c>
      <c r="E1557" s="9">
        <v>45769</v>
      </c>
      <c r="F1557" s="8" t="str">
        <v>PedidoF1476</v>
      </c>
      <c r="G1557" s="2" t="str">
        <v>CódRastreio1474</v>
      </c>
      <c r="H1557" s="5">
        <v>1</v>
      </c>
      <c r="I1557" s="182" t="str">
        <v>CPF 1503</v>
      </c>
      <c r="J1557" s="2" t="str">
        <v>Nome 1503</v>
      </c>
      <c r="K1557" s="8" t="str">
        <v>Tel 1503</v>
      </c>
      <c r="L1557" s="8" t="str">
        <v>Cep 1503</v>
      </c>
      <c r="M1557" s="8" t="str">
        <v>Rua 1503</v>
      </c>
      <c r="N1557" s="8" t="str">
        <v>Comp 1503</v>
      </c>
      <c r="O1557" s="8" t="str">
        <v>Maçarico Culinário Portátil</v>
      </c>
      <c r="P1557" s="8" t="str">
        <v>BG-DHRO-FAEE</v>
      </c>
      <c r="Q1557" s="4">
        <v>45793</v>
      </c>
      <c r="R1557" s="109">
        <v>26.99</v>
      </c>
      <c r="S1557" s="11">
        <f ca="1"/>
        <v>26.99</v>
      </c>
      <c r="T1557" s="28">
        <f ca="1"/>
        <v>2.9688999999999997</v>
      </c>
      <c r="U1557" s="11">
        <f ca="1"/>
        <v>24.02</v>
      </c>
      <c r="V1557" s="11">
        <v>16.5</v>
      </c>
      <c r="W1557" s="11">
        <f ca="1"/>
        <v>0.18</v>
      </c>
      <c r="X1557" s="11">
        <f ca="1"/>
        <v>0.39877104377104378</v>
      </c>
      <c r="Y1557" s="11">
        <v>0</v>
      </c>
      <c r="Z1557" s="11">
        <f ca="1"/>
        <v>6.9412289562289544</v>
      </c>
      <c r="AA1557" s="11">
        <f ca="1"/>
        <v>3.4706144781144772</v>
      </c>
      <c r="AB1557" s="4">
        <f ca="1"/>
        <v>45800</v>
      </c>
      <c r="AC1557" s="4">
        <v>45800</v>
      </c>
      <c r="AD1557" s="9">
        <v>45807</v>
      </c>
      <c r="AE1557" s="9">
        <v>45810</v>
      </c>
      <c r="AF1557" s="4" t="str">
        <f t="shared" ca="1" si="103"/>
        <v>2025 05</v>
      </c>
      <c r="AG1557" s="8" t="str" cm="1">
        <f t="array" ref="AG1557">IFERROR(_xlfn.IFS('Banco de Dados'!#REF!="AG. COMPRA","Em processamento",'Banco de Dados'!#REF!="AG. RASTREIO","Em processamento",'Banco de Dados'!$AE1557&lt;&gt;"-","Faturado",'Banco de Dados'!$AD1557&lt;&gt;"-","Aguardando Pix",'Banco de Dados'!$AC1557&lt;&gt;"-","Pendente"),"Aguardando Liberação")</f>
        <v>Aguardando Liberação</v>
      </c>
      <c r="AH1557" s="5" t="str">
        <f>IF('Banco de Dados'!$F1557="-",_xlfn.CONCAT(PROPER(TEXT(AK1557,"aaaa"))," ",PROPER(TEXT(AK1557,"mm"))),_xlfn.CONCAT(PROPER(TEXT(E1557,"aaaa"))," ",PROPER(TEXT(E1557,"mm"))))</f>
        <v>2025 04</v>
      </c>
      <c r="AI1557" s="9" t="str">
        <f ca="1">IF('Banco de Dados'!$AK1557&lt;&gt;"-","REEMBOLSO",IFERROR(_xlfn.XLOOKUP(G1557,Follow[CODRASTREIO],Follow[STATUS]),"-"))</f>
        <v>ENTREGUE</v>
      </c>
      <c r="AJ1557" s="9">
        <f ca="1">IF('Banco de Dados'!$AI1557="ENTREGUE",_xlfn.XLOOKUP('Banco de Dados'!$G1557,Follow[CODRASTREIO],Follow[DATAATUALIZAÇÃO]),"-")</f>
        <v>45804</v>
      </c>
      <c r="AK1557" s="132" t="str">
        <f ca="1"/>
        <v>-</v>
      </c>
      <c r="AL1557" s="35"/>
      <c r="AM1557" s="109" cm="1">
        <f t="array" aca="1" ref="AM1557" ca="1">IF('Banco de Dados'!$AK1557&lt;&gt;"-",_xlfn.IFS('Banco de Dados'!$A1557="bv",IF('Banco de Dados'!$E1557&lt;45641,ROUND(SUM('Banco de Dados'!$R1557*_xlfn.XLOOKUP('Banco de Dados'!$P1557,Sku!B:B,Sku!#REF!)*20%),2),ROUND(SUM('Banco de Dados'!$R1557*_xlfn.XLOOKUP('Banco de Dados'!$P1557,Sku!B:B,Sku!H:H)*20%),2)),'Banco de Dados'!$A1557="GO",ROUND(SUM('Banco de Dados'!$R1557*_xlfn.XLOOKUP('Banco de Dados'!$P1557,Sku!C:C,Sku!H:H)*20%),2),'Banco de Dados'!$A1557="MEI",ROUND(SUM('Banco de Dados'!$R1557*_xlfn.XLOOKUP('Banco de Dados'!$P1557,Sku!D:D,Sku!H:H)*20%),2)),0)</f>
        <v>0</v>
      </c>
      <c r="AN1557" s="109">
        <f ca="1">IF('Banco de Dados'!$AK1557&lt;&gt;"-",IF('Banco de Dados'!$F1557&lt;&gt;"-",_xlfn.XLOOKUP(IFERROR(IFERROR(IFERROR(VALUE(SUBSTITUTE(MID(_xlfn.TEXTAFTER('Banco de Dados'!$F1557,"Data do Pedido:
",1),1,10),"-","/")),VALUE(SUBSTITUTE(MID(_xlfn.TEXTAFTER('Banco de Dados'!$F1557,"Order date:
",1),1,10),"-","/"))),VALUE(SUBSTITUTE(MID(_xlfn.TEXTAFTER('Banco de Dados'!$F1557,"Fecha de pedido:
",1),1,10),"-","/"))),"-"),SMS!A:A,SMS!K:K),0),0)</f>
        <v>0</v>
      </c>
      <c r="AO1557" s="109">
        <f ca="1">IF('Banco de Dados'!$AK1557&lt;&gt;"-",IF('Banco de Dados'!$F1557&lt;&gt;"-",IFERROR(_xlfn.XLOOKUP(_xlfn.CONCAT('Banco de Dados'!$A1557,IFERROR(IFERROR(VALUE(SUBSTITUTE(MID(_xlfn.TEXTAFTER('Banco de Dados'!$F1557,"Data do Pedido:
",1),1,10),"-","/")),VALUE(SUBSTITUTE(MID(_xlfn.TEXTAFTER('Banco de Dados'!$F1557,"Order date:
",1),1,10),"-","/"))),0)),ProxyDD[Chave],ProxyDD[Valor por pedido]),PROXY!$P$2),0),0)</f>
        <v>0</v>
      </c>
      <c r="AP1557" s="28">
        <f ca="1">IF('Banco de Dados'!$AK1557&lt;&gt;"-",IF('Banco de Dados'!$AL1557="NÃO",IFERROR(VALUE(SUBSTITUTE(_xlfn.TEXTAFTER('Banco de Dados'!$F1557,"BRL ",1),".",",")),0),0),0)</f>
        <v>0</v>
      </c>
      <c r="AQ1557" s="28">
        <f ca="1">SUM('Banco de Dados'!$AM1557:$AP1557)</f>
        <v>0</v>
      </c>
      <c r="AR1557" s="8"/>
      <c r="AS1557" s="8"/>
      <c r="AT1557"/>
      <c r="AY1557" s="8"/>
    </row>
    <row r="1558" spans="1:51">
      <c r="A1558" s="5" t="str">
        <v>GO</v>
      </c>
      <c r="B1558" s="5" t="str">
        <f ca="1"/>
        <v>GO45768</v>
      </c>
      <c r="C1558" s="8" t="str">
        <v>Pedido 1545</v>
      </c>
      <c r="D1558" s="187">
        <v>45763</v>
      </c>
      <c r="E1558" s="9">
        <v>45768</v>
      </c>
      <c r="F1558" s="8" t="str">
        <v>PedidoF1477</v>
      </c>
      <c r="G1558" s="2" t="str">
        <v>CódRastreio1475</v>
      </c>
      <c r="H1558" s="5">
        <v>1</v>
      </c>
      <c r="I1558" s="182" t="str">
        <v>CPF 1504</v>
      </c>
      <c r="J1558" s="2" t="str">
        <v>Nome 1504</v>
      </c>
      <c r="K1558" s="8" t="str">
        <v>Tel 1504</v>
      </c>
      <c r="L1558" s="8" t="str">
        <v>Cep 1504</v>
      </c>
      <c r="M1558" s="8" t="str">
        <v>Rua 1504</v>
      </c>
      <c r="N1558" s="8" t="str">
        <v>Comp 1504</v>
      </c>
      <c r="O1558" s="8" t="str">
        <v>Ventilador Azul</v>
      </c>
      <c r="P1558" s="8" t="str">
        <v>H8-IH9B-M87L</v>
      </c>
      <c r="Q1558" s="4">
        <v>45799</v>
      </c>
      <c r="R1558" s="109">
        <v>64.89</v>
      </c>
      <c r="S1558" s="11">
        <f ca="1"/>
        <v>64.89</v>
      </c>
      <c r="T1558" s="28">
        <f ca="1"/>
        <v>7.7867999999999995</v>
      </c>
      <c r="U1558" s="11">
        <f ca="1"/>
        <v>57.1</v>
      </c>
      <c r="V1558" s="11">
        <v>22.11</v>
      </c>
      <c r="W1558" s="11">
        <f ca="1"/>
        <v>0.25</v>
      </c>
      <c r="X1558" s="11">
        <f ca="1"/>
        <v>0.39877104377104378</v>
      </c>
      <c r="Y1558" s="11">
        <v>0</v>
      </c>
      <c r="Z1558" s="11">
        <f ca="1"/>
        <v>34.34122895622896</v>
      </c>
      <c r="AA1558" s="11">
        <f ca="1"/>
        <v>34.34122895622896</v>
      </c>
      <c r="AB1558" s="4">
        <f ca="1"/>
        <v>45806</v>
      </c>
      <c r="AC1558" s="4">
        <v>45806</v>
      </c>
      <c r="AD1558" s="9">
        <v>45807</v>
      </c>
      <c r="AE1558" s="9">
        <v>45810</v>
      </c>
      <c r="AF1558" s="4" t="str">
        <f t="shared" ca="1" si="103"/>
        <v>2025 05</v>
      </c>
      <c r="AG1558" s="8" t="str" cm="1">
        <f t="array" ref="AG1558">IFERROR(_xlfn.IFS('Banco de Dados'!#REF!="AG. COMPRA","Em processamento",'Banco de Dados'!#REF!="AG. RASTREIO","Em processamento",'Banco de Dados'!$AE1558&lt;&gt;"-","Faturado",'Banco de Dados'!$AD1558&lt;&gt;"-","Aguardando Pix",'Banco de Dados'!$AC1558&lt;&gt;"-","Pendente"),"Aguardando Liberação")</f>
        <v>Aguardando Liberação</v>
      </c>
      <c r="AH1558" s="5" t="str">
        <f>IF('Banco de Dados'!$F1558="-",_xlfn.CONCAT(PROPER(TEXT(AK1558,"aaaa"))," ",PROPER(TEXT(AK1558,"mm"))),_xlfn.CONCAT(PROPER(TEXT(E1558,"aaaa"))," ",PROPER(TEXT(E1558,"mm"))))</f>
        <v>2025 04</v>
      </c>
      <c r="AI1558" s="9" t="str">
        <f ca="1">IF('Banco de Dados'!$AK1558&lt;&gt;"-","REEMBOLSO",IFERROR(_xlfn.XLOOKUP(G1558,Follow[CODRASTREIO],Follow[STATUS]),"-"))</f>
        <v>ENTREGUE</v>
      </c>
      <c r="AJ1558" s="9">
        <f ca="1">IF('Banco de Dados'!$AI1558="ENTREGUE",_xlfn.XLOOKUP('Banco de Dados'!$G1558,Follow[CODRASTREIO],Follow[DATAATUALIZAÇÃO]),"-")</f>
        <v>45803</v>
      </c>
      <c r="AK1558" s="132" t="str">
        <f ca="1"/>
        <v>-</v>
      </c>
      <c r="AL1558" s="35"/>
      <c r="AM1558" s="109" cm="1">
        <f t="array" aca="1" ref="AM1558" ca="1">IF('Banco de Dados'!$AK1558&lt;&gt;"-",_xlfn.IFS('Banco de Dados'!$A1558="bv",IF('Banco de Dados'!$E1558&lt;45641,ROUND(SUM('Banco de Dados'!$R1558*_xlfn.XLOOKUP('Banco de Dados'!$P1558,Sku!B:B,Sku!#REF!)*20%),2),ROUND(SUM('Banco de Dados'!$R1558*_xlfn.XLOOKUP('Banco de Dados'!$P1558,Sku!B:B,Sku!H:H)*20%),2)),'Banco de Dados'!$A1558="GO",ROUND(SUM('Banco de Dados'!$R1558*_xlfn.XLOOKUP('Banco de Dados'!$P1558,Sku!C:C,Sku!H:H)*20%),2),'Banco de Dados'!$A1558="MEI",ROUND(SUM('Banco de Dados'!$R1558*_xlfn.XLOOKUP('Banco de Dados'!$P1558,Sku!D:D,Sku!H:H)*20%),2)),0)</f>
        <v>0</v>
      </c>
      <c r="AN1558" s="109">
        <f ca="1">IF('Banco de Dados'!$AK1558&lt;&gt;"-",IF('Banco de Dados'!$F1558&lt;&gt;"-",_xlfn.XLOOKUP(IFERROR(IFERROR(IFERROR(VALUE(SUBSTITUTE(MID(_xlfn.TEXTAFTER('Banco de Dados'!$F1558,"Data do Pedido:
",1),1,10),"-","/")),VALUE(SUBSTITUTE(MID(_xlfn.TEXTAFTER('Banco de Dados'!$F1558,"Order date:
",1),1,10),"-","/"))),VALUE(SUBSTITUTE(MID(_xlfn.TEXTAFTER('Banco de Dados'!$F1558,"Fecha de pedido:
",1),1,10),"-","/"))),"-"),SMS!A:A,SMS!K:K),0),0)</f>
        <v>0</v>
      </c>
      <c r="AO1558" s="109">
        <f ca="1">IF('Banco de Dados'!$AK1558&lt;&gt;"-",IF('Banco de Dados'!$F1558&lt;&gt;"-",IFERROR(_xlfn.XLOOKUP(_xlfn.CONCAT('Banco de Dados'!$A1558,IFERROR(IFERROR(VALUE(SUBSTITUTE(MID(_xlfn.TEXTAFTER('Banco de Dados'!$F1558,"Data do Pedido:
",1),1,10),"-","/")),VALUE(SUBSTITUTE(MID(_xlfn.TEXTAFTER('Banco de Dados'!$F1558,"Order date:
",1),1,10),"-","/"))),0)),ProxyDD[Chave],ProxyDD[Valor por pedido]),PROXY!$P$2),0),0)</f>
        <v>0</v>
      </c>
      <c r="AP1558" s="28">
        <f ca="1">IF('Banco de Dados'!$AK1558&lt;&gt;"-",IF('Banco de Dados'!$AL1558="NÃO",IFERROR(VALUE(SUBSTITUTE(_xlfn.TEXTAFTER('Banco de Dados'!$F1558,"BRL ",1),".",",")),0),0),0)</f>
        <v>0</v>
      </c>
      <c r="AQ1558" s="28">
        <f ca="1">SUM('Banco de Dados'!$AM1558:$AP1558)</f>
        <v>0</v>
      </c>
      <c r="AR1558" s="8"/>
      <c r="AS1558" s="8"/>
      <c r="AT1558"/>
      <c r="AY1558" s="8"/>
    </row>
    <row r="1559" spans="1:51">
      <c r="A1559" s="5" t="str">
        <v>MEI</v>
      </c>
      <c r="B1559" s="5" t="str">
        <f ca="1"/>
        <v>MEI45771</v>
      </c>
      <c r="C1559" s="8" t="str">
        <v>Pedido 1546</v>
      </c>
      <c r="D1559" s="187">
        <v>45763</v>
      </c>
      <c r="E1559" s="9">
        <v>45771</v>
      </c>
      <c r="F1559" s="8" t="str">
        <v>PedidoF1478</v>
      </c>
      <c r="G1559" s="2" t="str">
        <v>CódRastreio1476</v>
      </c>
      <c r="H1559" s="5">
        <v>1</v>
      </c>
      <c r="I1559" s="182" t="str">
        <v>CPF 1505</v>
      </c>
      <c r="J1559" s="2" t="str">
        <v>Nome 1505</v>
      </c>
      <c r="K1559" s="8" t="str">
        <v>Tel 1505</v>
      </c>
      <c r="L1559" s="8" t="str">
        <v>Cep 1505</v>
      </c>
      <c r="M1559" s="8" t="str">
        <v>Rua 1505</v>
      </c>
      <c r="N1559" s="8" t="str">
        <v>Comp 1505</v>
      </c>
      <c r="O1559" s="8" t="str">
        <v>Maçarico Culinário Portátil</v>
      </c>
      <c r="P1559" s="8" t="str">
        <v>BG-DHRO-FAEE</v>
      </c>
      <c r="Q1559" s="4">
        <v>45793</v>
      </c>
      <c r="R1559" s="109">
        <v>26.99</v>
      </c>
      <c r="S1559" s="11">
        <f ca="1"/>
        <v>26.99</v>
      </c>
      <c r="T1559" s="28">
        <f ca="1"/>
        <v>2.9688999999999997</v>
      </c>
      <c r="U1559" s="11">
        <f ca="1"/>
        <v>24.02</v>
      </c>
      <c r="V1559" s="11">
        <v>10.210000000000001</v>
      </c>
      <c r="W1559" s="11">
        <f ca="1"/>
        <v>0.28999999999999998</v>
      </c>
      <c r="X1559" s="11">
        <f ca="1"/>
        <v>0.39877104377104378</v>
      </c>
      <c r="Y1559" s="11">
        <v>0</v>
      </c>
      <c r="Z1559" s="11">
        <f ca="1"/>
        <v>13.121228956228956</v>
      </c>
      <c r="AA1559" s="11">
        <f ca="1"/>
        <v>6.560614478114478</v>
      </c>
      <c r="AB1559" s="4">
        <f ca="1"/>
        <v>45800</v>
      </c>
      <c r="AC1559" s="4">
        <v>45800</v>
      </c>
      <c r="AD1559" s="9">
        <v>45807</v>
      </c>
      <c r="AE1559" s="9">
        <v>45810</v>
      </c>
      <c r="AF1559" s="4" t="str">
        <f t="shared" ref="AF1559:AF1563" ca="1" si="104">_xlfn.CONCAT(PROPER(TEXT(AB1559,"aaaa"))," ",PROPER(TEXT(AB1559,"mm")))</f>
        <v>2025 05</v>
      </c>
      <c r="AG1559" s="8" t="str" cm="1">
        <f t="array" ref="AG1559">IFERROR(_xlfn.IFS('Banco de Dados'!#REF!="AG. COMPRA","Em processamento",'Banco de Dados'!#REF!="AG. RASTREIO","Em processamento",'Banco de Dados'!$AE1559&lt;&gt;"-","Faturado",'Banco de Dados'!$AD1559&lt;&gt;"-","Aguardando Pix",'Banco de Dados'!$AC1559&lt;&gt;"-","Pendente"),"Aguardando Liberação")</f>
        <v>Aguardando Liberação</v>
      </c>
      <c r="AH1559" s="5" t="str">
        <f>IF('Banco de Dados'!$F1559="-",_xlfn.CONCAT(PROPER(TEXT(AK1559,"aaaa"))," ",PROPER(TEXT(AK1559,"mm"))),_xlfn.CONCAT(PROPER(TEXT(E1559,"aaaa"))," ",PROPER(TEXT(E1559,"mm"))))</f>
        <v>2025 04</v>
      </c>
      <c r="AI1559" s="9" t="str">
        <f ca="1">IF('Banco de Dados'!$AK1559&lt;&gt;"-","REEMBOLSO",IFERROR(_xlfn.XLOOKUP(G1559,Follow[CODRASTREIO],Follow[STATUS]),"-"))</f>
        <v>ENTREGUE</v>
      </c>
      <c r="AJ1559" s="9">
        <f ca="1">IF('Banco de Dados'!$AI1559="ENTREGUE",_xlfn.XLOOKUP('Banco de Dados'!$G1559,Follow[CODRASTREIO],Follow[DATAATUALIZAÇÃO]),"-")</f>
        <v>45790</v>
      </c>
      <c r="AK1559" s="132" t="str">
        <f ca="1"/>
        <v>-</v>
      </c>
      <c r="AL1559" s="35"/>
      <c r="AM1559" s="109" cm="1">
        <f t="array" aca="1" ref="AM1559" ca="1">IF('Banco de Dados'!$AK1559&lt;&gt;"-",_xlfn.IFS('Banco de Dados'!$A1559="bv",IF('Banco de Dados'!$E1559&lt;45641,ROUND(SUM('Banco de Dados'!$R1559*_xlfn.XLOOKUP('Banco de Dados'!$P1559,Sku!B:B,Sku!#REF!)*20%),2),ROUND(SUM('Banco de Dados'!$R1559*_xlfn.XLOOKUP('Banco de Dados'!$P1559,Sku!B:B,Sku!H:H)*20%),2)),'Banco de Dados'!$A1559="GO",ROUND(SUM('Banco de Dados'!$R1559*_xlfn.XLOOKUP('Banco de Dados'!$P1559,Sku!C:C,Sku!H:H)*20%),2),'Banco de Dados'!$A1559="MEI",ROUND(SUM('Banco de Dados'!$R1559*_xlfn.XLOOKUP('Banco de Dados'!$P1559,Sku!D:D,Sku!H:H)*20%),2)),0)</f>
        <v>0</v>
      </c>
      <c r="AN1559" s="109">
        <f ca="1">IF('Banco de Dados'!$AK1559&lt;&gt;"-",IF('Banco de Dados'!$F1559&lt;&gt;"-",_xlfn.XLOOKUP(IFERROR(IFERROR(IFERROR(VALUE(SUBSTITUTE(MID(_xlfn.TEXTAFTER('Banco de Dados'!$F1559,"Data do Pedido:
",1),1,10),"-","/")),VALUE(SUBSTITUTE(MID(_xlfn.TEXTAFTER('Banco de Dados'!$F1559,"Order date:
",1),1,10),"-","/"))),VALUE(SUBSTITUTE(MID(_xlfn.TEXTAFTER('Banco de Dados'!$F1559,"Fecha de pedido:
",1),1,10),"-","/"))),"-"),SMS!A:A,SMS!K:K),0),0)</f>
        <v>0</v>
      </c>
      <c r="AO1559" s="109">
        <f ca="1">IF('Banco de Dados'!$AK1559&lt;&gt;"-",IF('Banco de Dados'!$F1559&lt;&gt;"-",IFERROR(_xlfn.XLOOKUP(_xlfn.CONCAT('Banco de Dados'!$A1559,IFERROR(IFERROR(VALUE(SUBSTITUTE(MID(_xlfn.TEXTAFTER('Banco de Dados'!$F1559,"Data do Pedido:
",1),1,10),"-","/")),VALUE(SUBSTITUTE(MID(_xlfn.TEXTAFTER('Banco de Dados'!$F1559,"Order date:
",1),1,10),"-","/"))),0)),ProxyDD[Chave],ProxyDD[Valor por pedido]),PROXY!$P$2),0),0)</f>
        <v>0</v>
      </c>
      <c r="AP1559" s="28">
        <f ca="1">IF('Banco de Dados'!$AK1559&lt;&gt;"-",IF('Banco de Dados'!$AL1559="NÃO",IFERROR(VALUE(SUBSTITUTE(_xlfn.TEXTAFTER('Banco de Dados'!$F1559,"BRL ",1),".",",")),0),0),0)</f>
        <v>0</v>
      </c>
      <c r="AQ1559" s="28">
        <f ca="1">SUM('Banco de Dados'!$AM1559:$AP1559)</f>
        <v>0</v>
      </c>
      <c r="AR1559" s="8"/>
      <c r="AS1559" s="8"/>
      <c r="AT1559"/>
      <c r="AY1559" s="8"/>
    </row>
    <row r="1560" spans="1:51">
      <c r="A1560" s="5" t="str">
        <v>MEI</v>
      </c>
      <c r="B1560" s="5" t="str">
        <f ca="1"/>
        <v>MEI45771</v>
      </c>
      <c r="C1560" s="8" t="str">
        <v>Pedido 1547</v>
      </c>
      <c r="D1560" s="187">
        <v>45763</v>
      </c>
      <c r="E1560" s="9">
        <v>45771</v>
      </c>
      <c r="F1560" s="8" t="str">
        <v>PedidoF1479</v>
      </c>
      <c r="G1560" s="2" t="str">
        <v>CódRastreio1477</v>
      </c>
      <c r="H1560" s="5">
        <v>1</v>
      </c>
      <c r="I1560" s="182" t="str">
        <v>CPF 1505</v>
      </c>
      <c r="J1560" s="2" t="str">
        <v>Nome 1505</v>
      </c>
      <c r="K1560" s="8" t="str">
        <v>Tel 1505</v>
      </c>
      <c r="L1560" s="8" t="str">
        <v>Cep 1505</v>
      </c>
      <c r="M1560" s="8" t="str">
        <v>Rua 1505</v>
      </c>
      <c r="N1560" s="8" t="str">
        <v>Comp 1505</v>
      </c>
      <c r="O1560" s="8" t="str">
        <v>Maçarico Culinário Portátil</v>
      </c>
      <c r="P1560" s="8" t="str">
        <v>BG-DHRO-FAEE</v>
      </c>
      <c r="Q1560" s="4">
        <v>45793</v>
      </c>
      <c r="R1560" s="109">
        <v>26.99</v>
      </c>
      <c r="S1560" s="11">
        <f ca="1"/>
        <v>26.99</v>
      </c>
      <c r="T1560" s="28">
        <f ca="1"/>
        <v>2.9688999999999997</v>
      </c>
      <c r="U1560" s="11">
        <f ca="1"/>
        <v>24.02</v>
      </c>
      <c r="V1560" s="11">
        <v>16.149999999999999</v>
      </c>
      <c r="W1560" s="11">
        <f ca="1"/>
        <v>0.28999999999999998</v>
      </c>
      <c r="X1560" s="11">
        <f ca="1"/>
        <v>0.39877104377104378</v>
      </c>
      <c r="Y1560" s="11">
        <v>0</v>
      </c>
      <c r="Z1560" s="11">
        <f ca="1"/>
        <v>7.1812289562289564</v>
      </c>
      <c r="AA1560" s="11">
        <f ca="1"/>
        <v>3.5906144781144782</v>
      </c>
      <c r="AB1560" s="4">
        <f ca="1"/>
        <v>45800</v>
      </c>
      <c r="AC1560" s="4">
        <v>45800</v>
      </c>
      <c r="AD1560" s="9">
        <v>45807</v>
      </c>
      <c r="AE1560" s="9">
        <v>45810</v>
      </c>
      <c r="AF1560" s="4" t="str">
        <f t="shared" ca="1" si="104"/>
        <v>2025 05</v>
      </c>
      <c r="AG1560" s="8" t="str" cm="1">
        <f t="array" ref="AG1560">IFERROR(_xlfn.IFS('Banco de Dados'!#REF!="AG. COMPRA","Em processamento",'Banco de Dados'!#REF!="AG. RASTREIO","Em processamento",'Banco de Dados'!$AE1560&lt;&gt;"-","Faturado",'Banco de Dados'!$AD1560&lt;&gt;"-","Aguardando Pix",'Banco de Dados'!$AC1560&lt;&gt;"-","Pendente"),"Aguardando Liberação")</f>
        <v>Aguardando Liberação</v>
      </c>
      <c r="AH1560" s="5" t="str">
        <f>IF('Banco de Dados'!$F1560="-",_xlfn.CONCAT(PROPER(TEXT(AK1560,"aaaa"))," ",PROPER(TEXT(AK1560,"mm"))),_xlfn.CONCAT(PROPER(TEXT(E1560,"aaaa"))," ",PROPER(TEXT(E1560,"mm"))))</f>
        <v>2025 04</v>
      </c>
      <c r="AI1560" s="9" t="str">
        <f ca="1">IF('Banco de Dados'!$AK1560&lt;&gt;"-","REEMBOLSO",IFERROR(_xlfn.XLOOKUP(G1560,Follow[CODRASTREIO],Follow[STATUS]),"-"))</f>
        <v>ENTREGUE</v>
      </c>
      <c r="AJ1560" s="9">
        <f ca="1">IF('Banco de Dados'!$AI1560="ENTREGUE",_xlfn.XLOOKUP('Banco de Dados'!$G1560,Follow[CODRASTREIO],Follow[DATAATUALIZAÇÃO]),"-")</f>
        <v>45789</v>
      </c>
      <c r="AK1560" s="132" t="str">
        <f ca="1"/>
        <v>-</v>
      </c>
      <c r="AL1560" s="35"/>
      <c r="AM1560" s="109" cm="1">
        <f t="array" aca="1" ref="AM1560" ca="1">IF('Banco de Dados'!$AK1560&lt;&gt;"-",_xlfn.IFS('Banco de Dados'!$A1560="bv",IF('Banco de Dados'!$E1560&lt;45641,ROUND(SUM('Banco de Dados'!$R1560*_xlfn.XLOOKUP('Banco de Dados'!$P1560,Sku!B:B,Sku!#REF!)*20%),2),ROUND(SUM('Banco de Dados'!$R1560*_xlfn.XLOOKUP('Banco de Dados'!$P1560,Sku!B:B,Sku!H:H)*20%),2)),'Banco de Dados'!$A1560="GO",ROUND(SUM('Banco de Dados'!$R1560*_xlfn.XLOOKUP('Banco de Dados'!$P1560,Sku!C:C,Sku!H:H)*20%),2),'Banco de Dados'!$A1560="MEI",ROUND(SUM('Banco de Dados'!$R1560*_xlfn.XLOOKUP('Banco de Dados'!$P1560,Sku!D:D,Sku!H:H)*20%),2)),0)</f>
        <v>0</v>
      </c>
      <c r="AN1560" s="109">
        <f ca="1">IF('Banco de Dados'!$AK1560&lt;&gt;"-",IF('Banco de Dados'!$F1560&lt;&gt;"-",_xlfn.XLOOKUP(IFERROR(IFERROR(IFERROR(VALUE(SUBSTITUTE(MID(_xlfn.TEXTAFTER('Banco de Dados'!$F1560,"Data do Pedido:
",1),1,10),"-","/")),VALUE(SUBSTITUTE(MID(_xlfn.TEXTAFTER('Banco de Dados'!$F1560,"Order date:
",1),1,10),"-","/"))),VALUE(SUBSTITUTE(MID(_xlfn.TEXTAFTER('Banco de Dados'!$F1560,"Fecha de pedido:
",1),1,10),"-","/"))),"-"),SMS!A:A,SMS!K:K),0),0)</f>
        <v>0</v>
      </c>
      <c r="AO1560" s="109">
        <f ca="1">IF('Banco de Dados'!$AK1560&lt;&gt;"-",IF('Banco de Dados'!$F1560&lt;&gt;"-",IFERROR(_xlfn.XLOOKUP(_xlfn.CONCAT('Banco de Dados'!$A1560,IFERROR(IFERROR(VALUE(SUBSTITUTE(MID(_xlfn.TEXTAFTER('Banco de Dados'!$F1560,"Data do Pedido:
",1),1,10),"-","/")),VALUE(SUBSTITUTE(MID(_xlfn.TEXTAFTER('Banco de Dados'!$F1560,"Order date:
",1),1,10),"-","/"))),0)),ProxyDD[Chave],ProxyDD[Valor por pedido]),PROXY!$P$2),0),0)</f>
        <v>0</v>
      </c>
      <c r="AP1560" s="28">
        <f ca="1">IF('Banco de Dados'!$AK1560&lt;&gt;"-",IF('Banco de Dados'!$AL1560="NÃO",IFERROR(VALUE(SUBSTITUTE(_xlfn.TEXTAFTER('Banco de Dados'!$F1560,"BRL ",1),".",",")),0),0),0)</f>
        <v>0</v>
      </c>
      <c r="AQ1560" s="28">
        <f ca="1">SUM('Banco de Dados'!$AM1560:$AP1560)</f>
        <v>0</v>
      </c>
      <c r="AR1560" s="8"/>
      <c r="AS1560" s="8"/>
      <c r="AT1560"/>
      <c r="AY1560" s="8"/>
    </row>
    <row r="1561" spans="1:51">
      <c r="A1561" s="5" t="str">
        <v>GO</v>
      </c>
      <c r="B1561" s="5" t="str">
        <f ca="1"/>
        <v>GO-</v>
      </c>
      <c r="C1561" s="8" t="str">
        <v>Pedido 1548</v>
      </c>
      <c r="D1561" s="187">
        <v>45764</v>
      </c>
      <c r="E1561" s="9" t="str">
        <v>-</v>
      </c>
      <c r="F1561" s="8" t="str">
        <v>-</v>
      </c>
      <c r="G1561" s="2" t="str">
        <v>-</v>
      </c>
      <c r="H1561" s="5">
        <v>1</v>
      </c>
      <c r="I1561" s="182" t="str">
        <v>CPF 1507</v>
      </c>
      <c r="J1561" s="2" t="str">
        <v>Nome 1507</v>
      </c>
      <c r="K1561" s="8" t="str">
        <v>Tel 1507</v>
      </c>
      <c r="L1561" s="8" t="str">
        <v>Cep 1507</v>
      </c>
      <c r="M1561" s="8" t="str">
        <v>Rua 1507</v>
      </c>
      <c r="N1561" s="8" t="str">
        <v>Comp 1507</v>
      </c>
      <c r="O1561" s="8" t="str">
        <v>Ventilador Preto</v>
      </c>
      <c r="P1561" s="8" t="str">
        <v>EP-9PIR-BWXH</v>
      </c>
      <c r="Q1561" s="4">
        <v>45801</v>
      </c>
      <c r="R1561" s="109">
        <v>65.739999999999995</v>
      </c>
      <c r="S1561" s="11">
        <f ca="1"/>
        <v>0</v>
      </c>
      <c r="T1561" s="28">
        <f ca="1"/>
        <v>0</v>
      </c>
      <c r="U1561" s="11">
        <f ca="1"/>
        <v>0</v>
      </c>
      <c r="V1561" s="11">
        <v>0</v>
      </c>
      <c r="W1561" s="11">
        <f ca="1"/>
        <v>0</v>
      </c>
      <c r="X1561" s="11">
        <f ca="1"/>
        <v>0</v>
      </c>
      <c r="Y1561" s="11">
        <v>0</v>
      </c>
      <c r="Z1561" s="11">
        <f ca="1"/>
        <v>0</v>
      </c>
      <c r="AA1561" s="11">
        <f ca="1"/>
        <v>0</v>
      </c>
      <c r="AB1561" s="4">
        <f ca="1"/>
        <v>45808</v>
      </c>
      <c r="AC1561" s="4">
        <v>45808</v>
      </c>
      <c r="AD1561" s="9">
        <v>45824</v>
      </c>
      <c r="AE1561" s="9">
        <v>45828</v>
      </c>
      <c r="AF1561" s="4" t="str">
        <f t="shared" ca="1" si="104"/>
        <v>2025 05</v>
      </c>
      <c r="AG1561" s="8" t="str" cm="1">
        <f t="array" ref="AG1561">IFERROR(_xlfn.IFS('Banco de Dados'!#REF!="AG. COMPRA","Em processamento",'Banco de Dados'!#REF!="AG. RASTREIO","Em processamento",'Banco de Dados'!$AE1561&lt;&gt;"-","Faturado",'Banco de Dados'!$AD1561&lt;&gt;"-","Aguardando Pix",'Banco de Dados'!$AC1561&lt;&gt;"-","Pendente"),"Aguardando Liberação")</f>
        <v>Aguardando Liberação</v>
      </c>
      <c r="AH1561" s="5" t="str">
        <f ca="1">IF('Banco de Dados'!$F1561="-",_xlfn.CONCAT(PROPER(TEXT(AK1561,"aaaa"))," ",PROPER(TEXT(AK1561,"mm"))),_xlfn.CONCAT(PROPER(TEXT(E1561,"aaaa"))," ",PROPER(TEXT(E1561,"mm"))))</f>
        <v>2025 04</v>
      </c>
      <c r="AI1561" s="9" t="str">
        <f ca="1">IF('Banco de Dados'!$AK1561&lt;&gt;"-","REEMBOLSO",IFERROR(_xlfn.XLOOKUP(G1561,Follow[CODRASTREIO],Follow[STATUS]),"-"))</f>
        <v>REEMBOLSO</v>
      </c>
      <c r="AJ1561" s="9" t="str">
        <f ca="1">IF('Banco de Dados'!$AI1561="ENTREGUE",_xlfn.XLOOKUP('Banco de Dados'!$G1561,Follow[CODRASTREIO],Follow[DATAATUALIZAÇÃO]),"-")</f>
        <v>-</v>
      </c>
      <c r="AK1561" s="132">
        <f ca="1"/>
        <v>45771</v>
      </c>
      <c r="AL1561" s="35"/>
      <c r="AM1561" s="109" cm="1">
        <f t="array" aca="1" ref="AM1561" ca="1">IF('Banco de Dados'!$AK1561&lt;&gt;"-",_xlfn.IFS('Banco de Dados'!$A1561="bv",IF('Banco de Dados'!$E1561&lt;45641,ROUND(SUM('Banco de Dados'!$R1561*_xlfn.XLOOKUP('Banco de Dados'!$P1561,Sku!B:B,Sku!#REF!)*20%),2),ROUND(SUM('Banco de Dados'!$R1561*_xlfn.XLOOKUP('Banco de Dados'!$P1561,Sku!B:B,Sku!H:H)*20%),2)),'Banco de Dados'!$A1561="GO",ROUND(SUM('Banco de Dados'!$R1561*_xlfn.XLOOKUP('Banco de Dados'!$P1561,Sku!C:C,Sku!H:H)*20%),2),'Banco de Dados'!$A1561="MEI",ROUND(SUM('Banco de Dados'!$R1561*_xlfn.XLOOKUP('Banco de Dados'!$P1561,Sku!D:D,Sku!H:H)*20%),2)),0)</f>
        <v>1.71</v>
      </c>
      <c r="AN1561" s="109">
        <f ca="1">IF('Banco de Dados'!$AK1561&lt;&gt;"-",IF('Banco de Dados'!$F1561&lt;&gt;"-",_xlfn.XLOOKUP(IFERROR(IFERROR(IFERROR(VALUE(SUBSTITUTE(MID(_xlfn.TEXTAFTER('Banco de Dados'!$F1561,"Data do Pedido:
",1),1,10),"-","/")),VALUE(SUBSTITUTE(MID(_xlfn.TEXTAFTER('Banco de Dados'!$F1561,"Order date:
",1),1,10),"-","/"))),VALUE(SUBSTITUTE(MID(_xlfn.TEXTAFTER('Banco de Dados'!$F1561,"Fecha de pedido:
",1),1,10),"-","/"))),"-"),SMS!A:A,SMS!K:K),0),0)</f>
        <v>0</v>
      </c>
      <c r="AO1561" s="109">
        <f ca="1">IF('Banco de Dados'!$AK1561&lt;&gt;"-",IF('Banco de Dados'!$F1561&lt;&gt;"-",IFERROR(_xlfn.XLOOKUP(_xlfn.CONCAT('Banco de Dados'!$A1561,IFERROR(IFERROR(VALUE(SUBSTITUTE(MID(_xlfn.TEXTAFTER('Banco de Dados'!$F1561,"Data do Pedido:
",1),1,10),"-","/")),VALUE(SUBSTITUTE(MID(_xlfn.TEXTAFTER('Banco de Dados'!$F1561,"Order date:
",1),1,10),"-","/"))),0)),ProxyDD[Chave],ProxyDD[Valor por pedido]),PROXY!$P$2),0),0)</f>
        <v>0</v>
      </c>
      <c r="AP1561" s="28">
        <f ca="1">IF('Banco de Dados'!$AK1561&lt;&gt;"-",IF('Banco de Dados'!$AL1561="NÃO",IFERROR(VALUE(SUBSTITUTE(_xlfn.TEXTAFTER('Banco de Dados'!$F1561,"BRL ",1),".",",")),0),0),0)</f>
        <v>0</v>
      </c>
      <c r="AQ1561" s="28">
        <f ca="1">SUM('Banco de Dados'!$AM1561:$AP1561)</f>
        <v>1.71</v>
      </c>
      <c r="AR1561" s="8"/>
      <c r="AS1561" s="8"/>
      <c r="AT1561"/>
      <c r="AY1561" s="8"/>
    </row>
    <row r="1562" spans="1:51">
      <c r="A1562" s="5" t="str">
        <v>GO</v>
      </c>
      <c r="B1562" s="5" t="str">
        <f ca="1"/>
        <v>GO45768</v>
      </c>
      <c r="C1562" s="8" t="str">
        <v>Pedido 1549</v>
      </c>
      <c r="D1562" s="187">
        <v>45764</v>
      </c>
      <c r="E1562" s="9">
        <v>45768</v>
      </c>
      <c r="F1562" s="8" t="str">
        <v>PedidoF1480</v>
      </c>
      <c r="G1562" s="2" t="str">
        <v>CódRastreio1478</v>
      </c>
      <c r="H1562" s="5">
        <v>1</v>
      </c>
      <c r="I1562" s="182" t="str">
        <v>CPF 1508</v>
      </c>
      <c r="J1562" s="2" t="str">
        <v>Nome 1508</v>
      </c>
      <c r="K1562" s="8" t="str">
        <v>Tel 1508</v>
      </c>
      <c r="L1562" s="8" t="str">
        <v>Cep 1508</v>
      </c>
      <c r="M1562" s="8" t="str">
        <v>Rua 1508</v>
      </c>
      <c r="N1562" s="8" t="str">
        <v>Comp 1508</v>
      </c>
      <c r="O1562" s="8" t="str">
        <v>Cortador de Legumes</v>
      </c>
      <c r="P1562" s="8" t="str">
        <v>33-SVS5-1AWY</v>
      </c>
      <c r="Q1562" s="4">
        <v>45790</v>
      </c>
      <c r="R1562" s="109">
        <v>67.599999999999994</v>
      </c>
      <c r="S1562" s="11">
        <f ca="1"/>
        <v>67.599999999999994</v>
      </c>
      <c r="T1562" s="28">
        <f ca="1"/>
        <v>8.1119999999999983</v>
      </c>
      <c r="U1562" s="11">
        <f ca="1"/>
        <v>59.49</v>
      </c>
      <c r="V1562" s="11">
        <v>44.03</v>
      </c>
      <c r="W1562" s="11">
        <f ca="1"/>
        <v>0.25</v>
      </c>
      <c r="X1562" s="11">
        <f ca="1"/>
        <v>0.39877104377104378</v>
      </c>
      <c r="Y1562" s="11">
        <v>0</v>
      </c>
      <c r="Z1562" s="11">
        <f ca="1"/>
        <v>14.811228956228959</v>
      </c>
      <c r="AA1562" s="11">
        <f ca="1"/>
        <v>14.811228956228959</v>
      </c>
      <c r="AB1562" s="4">
        <f ca="1"/>
        <v>45797</v>
      </c>
      <c r="AC1562" s="4">
        <v>45797</v>
      </c>
      <c r="AD1562" s="9">
        <v>45807</v>
      </c>
      <c r="AE1562" s="9">
        <v>45810</v>
      </c>
      <c r="AF1562" s="4" t="str">
        <f t="shared" ca="1" si="104"/>
        <v>2025 05</v>
      </c>
      <c r="AG1562" s="8" t="str" cm="1">
        <f t="array" ref="AG1562">IFERROR(_xlfn.IFS('Banco de Dados'!#REF!="AG. COMPRA","Em processamento",'Banco de Dados'!#REF!="AG. RASTREIO","Em processamento",'Banco de Dados'!$AE1562&lt;&gt;"-","Faturado",'Banco de Dados'!$AD1562&lt;&gt;"-","Aguardando Pix",'Banco de Dados'!$AC1562&lt;&gt;"-","Pendente"),"Aguardando Liberação")</f>
        <v>Aguardando Liberação</v>
      </c>
      <c r="AH1562" s="5" t="str">
        <f>IF('Banco de Dados'!$F1562="-",_xlfn.CONCAT(PROPER(TEXT(AK1562,"aaaa"))," ",PROPER(TEXT(AK1562,"mm"))),_xlfn.CONCAT(PROPER(TEXT(E1562,"aaaa"))," ",PROPER(TEXT(E1562,"mm"))))</f>
        <v>2025 04</v>
      </c>
      <c r="AI1562" s="9" t="str">
        <f ca="1">IF('Banco de Dados'!$AK1562&lt;&gt;"-","REEMBOLSO",IFERROR(_xlfn.XLOOKUP(G1562,Follow[CODRASTREIO],Follow[STATUS]),"-"))</f>
        <v>ENTREGUE</v>
      </c>
      <c r="AJ1562" s="9">
        <f ca="1">IF('Banco de Dados'!$AI1562="ENTREGUE",_xlfn.XLOOKUP('Banco de Dados'!$G1562,Follow[CODRASTREIO],Follow[DATAATUALIZAÇÃO]),"-")</f>
        <v>45776</v>
      </c>
      <c r="AK1562" s="132" t="str">
        <f ca="1"/>
        <v>-</v>
      </c>
      <c r="AL1562" s="35"/>
      <c r="AM1562" s="109" cm="1">
        <f t="array" aca="1" ref="AM1562" ca="1">IF('Banco de Dados'!$AK1562&lt;&gt;"-",_xlfn.IFS('Banco de Dados'!$A1562="bv",IF('Banco de Dados'!$E1562&lt;45641,ROUND(SUM('Banco de Dados'!$R1562*_xlfn.XLOOKUP('Banco de Dados'!$P1562,Sku!B:B,Sku!#REF!)*20%),2),ROUND(SUM('Banco de Dados'!$R1562*_xlfn.XLOOKUP('Banco de Dados'!$P1562,Sku!B:B,Sku!H:H)*20%),2)),'Banco de Dados'!$A1562="GO",ROUND(SUM('Banco de Dados'!$R1562*_xlfn.XLOOKUP('Banco de Dados'!$P1562,Sku!C:C,Sku!H:H)*20%),2),'Banco de Dados'!$A1562="MEI",ROUND(SUM('Banco de Dados'!$R1562*_xlfn.XLOOKUP('Banco de Dados'!$P1562,Sku!D:D,Sku!H:H)*20%),2)),0)</f>
        <v>0</v>
      </c>
      <c r="AN1562" s="109">
        <f ca="1">IF('Banco de Dados'!$AK1562&lt;&gt;"-",IF('Banco de Dados'!$F1562&lt;&gt;"-",_xlfn.XLOOKUP(IFERROR(IFERROR(IFERROR(VALUE(SUBSTITUTE(MID(_xlfn.TEXTAFTER('Banco de Dados'!$F1562,"Data do Pedido:
",1),1,10),"-","/")),VALUE(SUBSTITUTE(MID(_xlfn.TEXTAFTER('Banco de Dados'!$F1562,"Order date:
",1),1,10),"-","/"))),VALUE(SUBSTITUTE(MID(_xlfn.TEXTAFTER('Banco de Dados'!$F1562,"Fecha de pedido:
",1),1,10),"-","/"))),"-"),SMS!A:A,SMS!K:K),0),0)</f>
        <v>0</v>
      </c>
      <c r="AO1562" s="109">
        <f ca="1">IF('Banco de Dados'!$AK1562&lt;&gt;"-",IF('Banco de Dados'!$F1562&lt;&gt;"-",IFERROR(_xlfn.XLOOKUP(_xlfn.CONCAT('Banco de Dados'!$A1562,IFERROR(IFERROR(VALUE(SUBSTITUTE(MID(_xlfn.TEXTAFTER('Banco de Dados'!$F1562,"Data do Pedido:
",1),1,10),"-","/")),VALUE(SUBSTITUTE(MID(_xlfn.TEXTAFTER('Banco de Dados'!$F1562,"Order date:
",1),1,10),"-","/"))),0)),ProxyDD[Chave],ProxyDD[Valor por pedido]),PROXY!$P$2),0),0)</f>
        <v>0</v>
      </c>
      <c r="AP1562" s="28">
        <f ca="1">IF('Banco de Dados'!$AK1562&lt;&gt;"-",IF('Banco de Dados'!$AL1562="NÃO",IFERROR(VALUE(SUBSTITUTE(_xlfn.TEXTAFTER('Banco de Dados'!$F1562,"BRL ",1),".",",")),0),0),0)</f>
        <v>0</v>
      </c>
      <c r="AQ1562" s="28">
        <f ca="1">SUM('Banco de Dados'!$AM1562:$AP1562)</f>
        <v>0</v>
      </c>
      <c r="AR1562" s="8"/>
      <c r="AS1562" s="8"/>
      <c r="AT1562"/>
      <c r="AY1562" s="8"/>
    </row>
    <row r="1563" spans="1:51">
      <c r="A1563" s="5" t="str">
        <v>GO</v>
      </c>
      <c r="B1563" s="5" t="str">
        <f ca="1"/>
        <v>GO45768</v>
      </c>
      <c r="C1563" s="8" t="str">
        <v>Pedido 1550</v>
      </c>
      <c r="D1563" s="187">
        <v>45764</v>
      </c>
      <c r="E1563" s="9">
        <v>45768</v>
      </c>
      <c r="F1563" s="8" t="str">
        <v>PedidoF1481</v>
      </c>
      <c r="G1563" s="2" t="str">
        <v>CódRastreio1479</v>
      </c>
      <c r="H1563" s="5">
        <v>1</v>
      </c>
      <c r="I1563" s="182" t="str">
        <v>CPF 1509</v>
      </c>
      <c r="J1563" s="2" t="str">
        <v>Nome 1509</v>
      </c>
      <c r="K1563" s="8" t="str">
        <v>Tel 1509</v>
      </c>
      <c r="L1563" s="8" t="str">
        <v>Cep 1509</v>
      </c>
      <c r="M1563" s="8" t="str">
        <v>Rua 1509</v>
      </c>
      <c r="N1563" s="8" t="str">
        <v>Comp 1509</v>
      </c>
      <c r="O1563" s="8" t="str">
        <v>Ventilador Rosa</v>
      </c>
      <c r="P1563" s="8" t="str">
        <v>MK-OUQW-7L3Z</v>
      </c>
      <c r="Q1563" s="4">
        <v>45790</v>
      </c>
      <c r="R1563" s="109">
        <v>64.89</v>
      </c>
      <c r="S1563" s="11">
        <f ca="1"/>
        <v>64.89</v>
      </c>
      <c r="T1563" s="28">
        <f ca="1"/>
        <v>7.7867999999999995</v>
      </c>
      <c r="U1563" s="11">
        <f ca="1"/>
        <v>57.1</v>
      </c>
      <c r="V1563" s="11">
        <v>21.77</v>
      </c>
      <c r="W1563" s="11">
        <f ca="1"/>
        <v>0.25</v>
      </c>
      <c r="X1563" s="11">
        <f ca="1"/>
        <v>0.39877104377104378</v>
      </c>
      <c r="Y1563" s="11">
        <v>0</v>
      </c>
      <c r="Z1563" s="11">
        <f ca="1"/>
        <v>34.681228956228956</v>
      </c>
      <c r="AA1563" s="11">
        <f ca="1"/>
        <v>34.681228956228956</v>
      </c>
      <c r="AB1563" s="4">
        <f ca="1"/>
        <v>45797</v>
      </c>
      <c r="AC1563" s="4">
        <v>45797</v>
      </c>
      <c r="AD1563" s="9">
        <v>45807</v>
      </c>
      <c r="AE1563" s="9">
        <v>45810</v>
      </c>
      <c r="AF1563" s="4" t="str">
        <f t="shared" ca="1" si="104"/>
        <v>2025 05</v>
      </c>
      <c r="AG1563" s="8" t="str" cm="1">
        <f t="array" ref="AG1563">IFERROR(_xlfn.IFS('Banco de Dados'!#REF!="AG. COMPRA","Em processamento",'Banco de Dados'!#REF!="AG. RASTREIO","Em processamento",'Banco de Dados'!$AE1563&lt;&gt;"-","Faturado",'Banco de Dados'!$AD1563&lt;&gt;"-","Aguardando Pix",'Banco de Dados'!$AC1563&lt;&gt;"-","Pendente"),"Aguardando Liberação")</f>
        <v>Aguardando Liberação</v>
      </c>
      <c r="AH1563" s="5" t="str">
        <f>IF('Banco de Dados'!$F1563="-",_xlfn.CONCAT(PROPER(TEXT(AK1563,"aaaa"))," ",PROPER(TEXT(AK1563,"mm"))),_xlfn.CONCAT(PROPER(TEXT(E1563,"aaaa"))," ",PROPER(TEXT(E1563,"mm"))))</f>
        <v>2025 04</v>
      </c>
      <c r="AI1563" s="9" t="str">
        <f ca="1">IF('Banco de Dados'!$AK1563&lt;&gt;"-","REEMBOLSO",IFERROR(_xlfn.XLOOKUP(G1563,Follow[CODRASTREIO],Follow[STATUS]),"-"))</f>
        <v>ENTREGUE</v>
      </c>
      <c r="AJ1563" s="9">
        <f ca="1">IF('Banco de Dados'!$AI1563="ENTREGUE",_xlfn.XLOOKUP('Banco de Dados'!$G1563,Follow[CODRASTREIO],Follow[DATAATUALIZAÇÃO]),"-")</f>
        <v>45790</v>
      </c>
      <c r="AK1563" s="132" t="str">
        <f ca="1"/>
        <v>-</v>
      </c>
      <c r="AL1563" s="35"/>
      <c r="AM1563" s="109" cm="1">
        <f t="array" aca="1" ref="AM1563" ca="1">IF('Banco de Dados'!$AK1563&lt;&gt;"-",_xlfn.IFS('Banco de Dados'!$A1563="bv",IF('Banco de Dados'!$E1563&lt;45641,ROUND(SUM('Banco de Dados'!$R1563*_xlfn.XLOOKUP('Banco de Dados'!$P1563,Sku!B:B,Sku!#REF!)*20%),2),ROUND(SUM('Banco de Dados'!$R1563*_xlfn.XLOOKUP('Banco de Dados'!$P1563,Sku!B:B,Sku!H:H)*20%),2)),'Banco de Dados'!$A1563="GO",ROUND(SUM('Banco de Dados'!$R1563*_xlfn.XLOOKUP('Banco de Dados'!$P1563,Sku!C:C,Sku!H:H)*20%),2),'Banco de Dados'!$A1563="MEI",ROUND(SUM('Banco de Dados'!$R1563*_xlfn.XLOOKUP('Banco de Dados'!$P1563,Sku!D:D,Sku!H:H)*20%),2)),0)</f>
        <v>0</v>
      </c>
      <c r="AN1563" s="109">
        <f ca="1">IF('Banco de Dados'!$AK1563&lt;&gt;"-",IF('Banco de Dados'!$F1563&lt;&gt;"-",_xlfn.XLOOKUP(IFERROR(IFERROR(IFERROR(VALUE(SUBSTITUTE(MID(_xlfn.TEXTAFTER('Banco de Dados'!$F1563,"Data do Pedido:
",1),1,10),"-","/")),VALUE(SUBSTITUTE(MID(_xlfn.TEXTAFTER('Banco de Dados'!$F1563,"Order date:
",1),1,10),"-","/"))),VALUE(SUBSTITUTE(MID(_xlfn.TEXTAFTER('Banco de Dados'!$F1563,"Fecha de pedido:
",1),1,10),"-","/"))),"-"),SMS!A:A,SMS!K:K),0),0)</f>
        <v>0</v>
      </c>
      <c r="AO1563" s="109">
        <f ca="1">IF('Banco de Dados'!$AK1563&lt;&gt;"-",IF('Banco de Dados'!$F1563&lt;&gt;"-",IFERROR(_xlfn.XLOOKUP(_xlfn.CONCAT('Banco de Dados'!$A1563,IFERROR(IFERROR(VALUE(SUBSTITUTE(MID(_xlfn.TEXTAFTER('Banco de Dados'!$F1563,"Data do Pedido:
",1),1,10),"-","/")),VALUE(SUBSTITUTE(MID(_xlfn.TEXTAFTER('Banco de Dados'!$F1563,"Order date:
",1),1,10),"-","/"))),0)),ProxyDD[Chave],ProxyDD[Valor por pedido]),PROXY!$P$2),0),0)</f>
        <v>0</v>
      </c>
      <c r="AP1563" s="28">
        <f ca="1">IF('Banco de Dados'!$AK1563&lt;&gt;"-",IF('Banco de Dados'!$AL1563="NÃO",IFERROR(VALUE(SUBSTITUTE(_xlfn.TEXTAFTER('Banco de Dados'!$F1563,"BRL ",1),".",",")),0),0),0)</f>
        <v>0</v>
      </c>
      <c r="AQ1563" s="28">
        <f ca="1">SUM('Banco de Dados'!$AM1563:$AP1563)</f>
        <v>0</v>
      </c>
      <c r="AR1563" s="8"/>
      <c r="AS1563" s="8"/>
      <c r="AT1563"/>
      <c r="AY1563" s="8"/>
    </row>
    <row r="1564" spans="1:51">
      <c r="A1564" s="5" t="str">
        <v>MEI</v>
      </c>
      <c r="B1564" s="5" t="str">
        <f ca="1"/>
        <v>MEI45768</v>
      </c>
      <c r="C1564" s="8" t="str">
        <v>Pedido 1551</v>
      </c>
      <c r="D1564" s="187">
        <v>45768</v>
      </c>
      <c r="E1564" s="9">
        <v>45768</v>
      </c>
      <c r="F1564" s="8" t="str">
        <v>PedidoF1482</v>
      </c>
      <c r="G1564" s="2" t="str">
        <v>CódRastreio1480</v>
      </c>
      <c r="H1564" s="5">
        <v>1</v>
      </c>
      <c r="I1564" s="182" t="str">
        <v>CPF 1510</v>
      </c>
      <c r="J1564" s="2" t="str">
        <v>Nome 1510</v>
      </c>
      <c r="K1564" s="8" t="str">
        <v>Tel 1510</v>
      </c>
      <c r="L1564" s="8" t="str">
        <v>Cep 1510</v>
      </c>
      <c r="M1564" s="8" t="str">
        <v>Rua 1510</v>
      </c>
      <c r="N1564" s="8" t="str">
        <v>Comp 1510</v>
      </c>
      <c r="O1564" s="8" t="str">
        <v>Ventilador Rosa</v>
      </c>
      <c r="P1564" s="8" t="str">
        <v>WR-82Y0-OV27</v>
      </c>
      <c r="Q1564" s="4">
        <v>45801</v>
      </c>
      <c r="R1564" s="109">
        <v>64.89</v>
      </c>
      <c r="S1564" s="11">
        <f ca="1"/>
        <v>0</v>
      </c>
      <c r="T1564" s="28">
        <f ca="1"/>
        <v>0</v>
      </c>
      <c r="U1564" s="11">
        <f ca="1"/>
        <v>0</v>
      </c>
      <c r="V1564" s="11">
        <v>0</v>
      </c>
      <c r="W1564" s="11">
        <f ca="1"/>
        <v>0</v>
      </c>
      <c r="X1564" s="11">
        <f ca="1"/>
        <v>0.39877104377104378</v>
      </c>
      <c r="Y1564" s="11">
        <v>0</v>
      </c>
      <c r="Z1564" s="11">
        <f ca="1"/>
        <v>-0.39877104377104378</v>
      </c>
      <c r="AA1564" s="11">
        <f ca="1"/>
        <v>-0.19938552188552189</v>
      </c>
      <c r="AB1564" s="4">
        <f ca="1"/>
        <v>45808</v>
      </c>
      <c r="AC1564" s="4">
        <v>45808</v>
      </c>
      <c r="AD1564" s="9">
        <v>45824</v>
      </c>
      <c r="AE1564" s="9">
        <v>45828</v>
      </c>
      <c r="AF1564" s="4" t="str">
        <f t="shared" ref="AF1564:AF1570" ca="1" si="105">_xlfn.CONCAT(PROPER(TEXT(AB1564,"aaaa"))," ",PROPER(TEXT(AB1564,"mm")))</f>
        <v>2025 05</v>
      </c>
      <c r="AG1564" s="8" t="str" cm="1">
        <f t="array" ref="AG1564">IFERROR(_xlfn.IFS('Banco de Dados'!#REF!="AG. COMPRA","Em processamento",'Banco de Dados'!#REF!="AG. RASTREIO","Em processamento",'Banco de Dados'!$AE1564&lt;&gt;"-","Faturado",'Banco de Dados'!$AD1564&lt;&gt;"-","Aguardando Pix",'Banco de Dados'!$AC1564&lt;&gt;"-","Pendente"),"Aguardando Liberação")</f>
        <v>Aguardando Liberação</v>
      </c>
      <c r="AH1564" s="5" t="str">
        <f>IF('Banco de Dados'!$F1564="-",_xlfn.CONCAT(PROPER(TEXT(AK1564,"aaaa"))," ",PROPER(TEXT(AK1564,"mm"))),_xlfn.CONCAT(PROPER(TEXT(E1564,"aaaa"))," ",PROPER(TEXT(E1564,"mm"))))</f>
        <v>2025 04</v>
      </c>
      <c r="AI1564" s="9" t="str">
        <f ca="1">IF('Banco de Dados'!$AK1564&lt;&gt;"-","REEMBOLSO",IFERROR(_xlfn.XLOOKUP(G1564,Follow[CODRASTREIO],Follow[STATUS]),"-"))</f>
        <v>REEMBOLSO</v>
      </c>
      <c r="AJ1564" s="9" t="str">
        <f ca="1">IF('Banco de Dados'!$AI1564="ENTREGUE",_xlfn.XLOOKUP('Banco de Dados'!$G1564,Follow[CODRASTREIO],Follow[DATAATUALIZAÇÃO]),"-")</f>
        <v>-</v>
      </c>
      <c r="AK1564" s="132">
        <f ca="1"/>
        <v>45810</v>
      </c>
      <c r="AL1564" s="35"/>
      <c r="AM1564" s="109" cm="1">
        <f t="array" aca="1" ref="AM1564" ca="1">IF('Banco de Dados'!$AK1564&lt;&gt;"-",_xlfn.IFS('Banco de Dados'!$A1564="bv",IF('Banco de Dados'!$E1564&lt;45641,ROUND(SUM('Banco de Dados'!$R1564*_xlfn.XLOOKUP('Banco de Dados'!$P1564,Sku!B:B,Sku!#REF!)*20%),2),ROUND(SUM('Banco de Dados'!$R1564*_xlfn.XLOOKUP('Banco de Dados'!$P1564,Sku!B:B,Sku!H:H)*20%),2)),'Banco de Dados'!$A1564="GO",ROUND(SUM('Banco de Dados'!$R1564*_xlfn.XLOOKUP('Banco de Dados'!$P1564,Sku!C:C,Sku!H:H)*20%),2),'Banco de Dados'!$A1564="MEI",ROUND(SUM('Banco de Dados'!$R1564*_xlfn.XLOOKUP('Banco de Dados'!$P1564,Sku!D:D,Sku!H:H)*20%),2)),0)</f>
        <v>1.69</v>
      </c>
      <c r="AN1564" s="109" t="e">
        <f ca="1">IF('Banco de Dados'!$AK1564&lt;&gt;"-",IF('Banco de Dados'!$F1564&lt;&gt;"-",_xlfn.XLOOKUP(IFERROR(IFERROR(IFERROR(VALUE(SUBSTITUTE(MID(_xlfn.TEXTAFTER('Banco de Dados'!$F1564,"Data do Pedido:
",1),1,10),"-","/")),VALUE(SUBSTITUTE(MID(_xlfn.TEXTAFTER('Banco de Dados'!$F1564,"Order date:
",1),1,10),"-","/"))),VALUE(SUBSTITUTE(MID(_xlfn.TEXTAFTER('Banco de Dados'!$F1564,"Fecha de pedido:
",1),1,10),"-","/"))),"-"),SMS!A:A,SMS!K:K),0),0)</f>
        <v>#N/A</v>
      </c>
      <c r="AO1564" s="109">
        <f ca="1">IF('Banco de Dados'!$AK1564&lt;&gt;"-",IF('Banco de Dados'!$F1564&lt;&gt;"-",IFERROR(_xlfn.XLOOKUP(_xlfn.CONCAT('Banco de Dados'!$A1564,IFERROR(IFERROR(VALUE(SUBSTITUTE(MID(_xlfn.TEXTAFTER('Banco de Dados'!$F1564,"Data do Pedido:
",1),1,10),"-","/")),VALUE(SUBSTITUTE(MID(_xlfn.TEXTAFTER('Banco de Dados'!$F1564,"Order date:
",1),1,10),"-","/"))),0)),ProxyDD[Chave],ProxyDD[Valor por pedido]),PROXY!$P$2),0),0)</f>
        <v>0.39877104377104378</v>
      </c>
      <c r="AP1564" s="28">
        <f ca="1">IF('Banco de Dados'!$AK1564&lt;&gt;"-",IF('Banco de Dados'!$AL1564="NÃO",IFERROR(VALUE(SUBSTITUTE(_xlfn.TEXTAFTER('Banco de Dados'!$F1564,"BRL ",1),".",",")),0),0),0)</f>
        <v>0</v>
      </c>
      <c r="AQ1564" s="28" t="e">
        <f ca="1">SUM('Banco de Dados'!$AM1564:$AP1564)</f>
        <v>#N/A</v>
      </c>
      <c r="AR1564" s="8"/>
      <c r="AS1564" s="8"/>
      <c r="AT1564"/>
      <c r="AY1564" s="8"/>
    </row>
    <row r="1565" spans="1:51">
      <c r="A1565" s="5" t="str">
        <v>MEI</v>
      </c>
      <c r="B1565" s="5" t="str">
        <f ca="1"/>
        <v>MEI45769</v>
      </c>
      <c r="C1565" s="8" t="str">
        <v>Pedido 1552</v>
      </c>
      <c r="D1565" s="187">
        <v>45768</v>
      </c>
      <c r="E1565" s="9">
        <v>45769</v>
      </c>
      <c r="F1565" s="8" t="str">
        <v>PedidoF1483</v>
      </c>
      <c r="G1565" s="2" t="str">
        <v>CódRastreio1481</v>
      </c>
      <c r="H1565" s="5">
        <v>1</v>
      </c>
      <c r="I1565" s="182" t="str">
        <v>CPF 1511</v>
      </c>
      <c r="J1565" s="2" t="str">
        <v>Nome 1511</v>
      </c>
      <c r="K1565" s="8" t="str">
        <v>Tel 1511</v>
      </c>
      <c r="L1565" s="8" t="str">
        <v>Cep 1511</v>
      </c>
      <c r="M1565" s="8" t="str">
        <v>Rua 1511</v>
      </c>
      <c r="N1565" s="8" t="str">
        <v>Comp 1511</v>
      </c>
      <c r="O1565" s="8" t="str">
        <v>Maçarico Culinário Portátil</v>
      </c>
      <c r="P1565" s="8" t="str">
        <v>BG-DHRO-FAEE</v>
      </c>
      <c r="Q1565" s="4">
        <v>45790</v>
      </c>
      <c r="R1565" s="109">
        <v>26.99</v>
      </c>
      <c r="S1565" s="11">
        <f ca="1"/>
        <v>26.99</v>
      </c>
      <c r="T1565" s="28">
        <f ca="1"/>
        <v>2.9688999999999997</v>
      </c>
      <c r="U1565" s="11">
        <f ca="1"/>
        <v>24.02</v>
      </c>
      <c r="V1565" s="11">
        <v>10.19</v>
      </c>
      <c r="W1565" s="11">
        <f ca="1"/>
        <v>0.18</v>
      </c>
      <c r="X1565" s="11">
        <f ca="1"/>
        <v>0.39877104377104378</v>
      </c>
      <c r="Y1565" s="11">
        <v>0</v>
      </c>
      <c r="Z1565" s="11">
        <f ca="1"/>
        <v>13.251228956228957</v>
      </c>
      <c r="AA1565" s="11">
        <f ca="1"/>
        <v>6.6256144781144783</v>
      </c>
      <c r="AB1565" s="4">
        <f ca="1"/>
        <v>45797</v>
      </c>
      <c r="AC1565" s="4">
        <v>45797</v>
      </c>
      <c r="AD1565" s="9">
        <v>45807</v>
      </c>
      <c r="AE1565" s="9">
        <v>45810</v>
      </c>
      <c r="AF1565" s="4" t="str">
        <f t="shared" ca="1" si="105"/>
        <v>2025 05</v>
      </c>
      <c r="AG1565" s="8" t="str" cm="1">
        <f t="array" ref="AG1565">IFERROR(_xlfn.IFS('Banco de Dados'!#REF!="AG. COMPRA","Em processamento",'Banco de Dados'!#REF!="AG. RASTREIO","Em processamento",'Banco de Dados'!$AE1565&lt;&gt;"-","Faturado",'Banco de Dados'!$AD1565&lt;&gt;"-","Aguardando Pix",'Banco de Dados'!$AC1565&lt;&gt;"-","Pendente"),"Aguardando Liberação")</f>
        <v>Aguardando Liberação</v>
      </c>
      <c r="AH1565" s="5" t="str">
        <f>IF('Banco de Dados'!$F1565="-",_xlfn.CONCAT(PROPER(TEXT(AK1565,"aaaa"))," ",PROPER(TEXT(AK1565,"mm"))),_xlfn.CONCAT(PROPER(TEXT(E1565,"aaaa"))," ",PROPER(TEXT(E1565,"mm"))))</f>
        <v>2025 04</v>
      </c>
      <c r="AI1565" s="9" t="str">
        <f ca="1">IF('Banco de Dados'!$AK1565&lt;&gt;"-","REEMBOLSO",IFERROR(_xlfn.XLOOKUP(G1565,Follow[CODRASTREIO],Follow[STATUS]),"-"))</f>
        <v>ENTREGUE</v>
      </c>
      <c r="AJ1565" s="9">
        <f ca="1">IF('Banco de Dados'!$AI1565="ENTREGUE",_xlfn.XLOOKUP('Banco de Dados'!$G1565,Follow[CODRASTREIO],Follow[DATAATUALIZAÇÃO]),"-")</f>
        <v>45803</v>
      </c>
      <c r="AK1565" s="132" t="str">
        <f ca="1"/>
        <v>-</v>
      </c>
      <c r="AL1565" s="35"/>
      <c r="AM1565" s="109" cm="1">
        <f t="array" aca="1" ref="AM1565" ca="1">IF('Banco de Dados'!$AK1565&lt;&gt;"-",_xlfn.IFS('Banco de Dados'!$A1565="bv",IF('Banco de Dados'!$E1565&lt;45641,ROUND(SUM('Banco de Dados'!$R1565*_xlfn.XLOOKUP('Banco de Dados'!$P1565,Sku!B:B,Sku!#REF!)*20%),2),ROUND(SUM('Banco de Dados'!$R1565*_xlfn.XLOOKUP('Banco de Dados'!$P1565,Sku!B:B,Sku!H:H)*20%),2)),'Banco de Dados'!$A1565="GO",ROUND(SUM('Banco de Dados'!$R1565*_xlfn.XLOOKUP('Banco de Dados'!$P1565,Sku!C:C,Sku!H:H)*20%),2),'Banco de Dados'!$A1565="MEI",ROUND(SUM('Banco de Dados'!$R1565*_xlfn.XLOOKUP('Banco de Dados'!$P1565,Sku!D:D,Sku!H:H)*20%),2)),0)</f>
        <v>0</v>
      </c>
      <c r="AN1565" s="109">
        <f ca="1">IF('Banco de Dados'!$AK1565&lt;&gt;"-",IF('Banco de Dados'!$F1565&lt;&gt;"-",_xlfn.XLOOKUP(IFERROR(IFERROR(IFERROR(VALUE(SUBSTITUTE(MID(_xlfn.TEXTAFTER('Banco de Dados'!$F1565,"Data do Pedido:
",1),1,10),"-","/")),VALUE(SUBSTITUTE(MID(_xlfn.TEXTAFTER('Banco de Dados'!$F1565,"Order date:
",1),1,10),"-","/"))),VALUE(SUBSTITUTE(MID(_xlfn.TEXTAFTER('Banco de Dados'!$F1565,"Fecha de pedido:
",1),1,10),"-","/"))),"-"),SMS!A:A,SMS!K:K),0),0)</f>
        <v>0</v>
      </c>
      <c r="AO1565" s="109">
        <f ca="1">IF('Banco de Dados'!$AK1565&lt;&gt;"-",IF('Banco de Dados'!$F1565&lt;&gt;"-",IFERROR(_xlfn.XLOOKUP(_xlfn.CONCAT('Banco de Dados'!$A1565,IFERROR(IFERROR(VALUE(SUBSTITUTE(MID(_xlfn.TEXTAFTER('Banco de Dados'!$F1565,"Data do Pedido:
",1),1,10),"-","/")),VALUE(SUBSTITUTE(MID(_xlfn.TEXTAFTER('Banco de Dados'!$F1565,"Order date:
",1),1,10),"-","/"))),0)),ProxyDD[Chave],ProxyDD[Valor por pedido]),PROXY!$P$2),0),0)</f>
        <v>0</v>
      </c>
      <c r="AP1565" s="28">
        <f ca="1">IF('Banco de Dados'!$AK1565&lt;&gt;"-",IF('Banco de Dados'!$AL1565="NÃO",IFERROR(VALUE(SUBSTITUTE(_xlfn.TEXTAFTER('Banco de Dados'!$F1565,"BRL ",1),".",",")),0),0),0)</f>
        <v>0</v>
      </c>
      <c r="AQ1565" s="28">
        <f ca="1">SUM('Banco de Dados'!$AM1565:$AP1565)</f>
        <v>0</v>
      </c>
      <c r="AR1565" s="8"/>
      <c r="AS1565" s="8"/>
      <c r="AT1565"/>
      <c r="AY1565" s="8"/>
    </row>
    <row r="1566" spans="1:51">
      <c r="A1566" s="5" t="str">
        <v>BV</v>
      </c>
      <c r="B1566" s="5" t="str">
        <f ca="1"/>
        <v>BV45768</v>
      </c>
      <c r="C1566" s="8" t="str">
        <v>Pedido 1553</v>
      </c>
      <c r="D1566" s="187">
        <v>45766</v>
      </c>
      <c r="E1566" s="9">
        <v>45768</v>
      </c>
      <c r="F1566" s="8" t="str">
        <v>PedidoF1484</v>
      </c>
      <c r="G1566" s="2" t="str">
        <v>CódRastreio1482</v>
      </c>
      <c r="H1566" s="5">
        <v>1</v>
      </c>
      <c r="I1566" s="182" t="str">
        <v>CPF 1512</v>
      </c>
      <c r="J1566" s="2" t="str">
        <v>Nome 1512</v>
      </c>
      <c r="K1566" s="8" t="str">
        <v>Tel 1512</v>
      </c>
      <c r="L1566" s="8" t="str">
        <v>Cep 1512</v>
      </c>
      <c r="M1566" s="8" t="str">
        <v>Rua 1512</v>
      </c>
      <c r="N1566" s="8" t="str">
        <v>Comp 1512</v>
      </c>
      <c r="O1566" s="8" t="str">
        <v>Copo Termico</v>
      </c>
      <c r="P1566" s="8" t="str">
        <v>KN-TBQL-K2MM</v>
      </c>
      <c r="Q1566" s="4">
        <v>45790</v>
      </c>
      <c r="R1566" s="109">
        <v>22.7</v>
      </c>
      <c r="S1566" s="11">
        <f ca="1"/>
        <v>22.7</v>
      </c>
      <c r="T1566" s="28">
        <f ca="1"/>
        <v>2.7239999999999998</v>
      </c>
      <c r="U1566" s="11">
        <f ca="1"/>
        <v>19.98</v>
      </c>
      <c r="V1566" s="11">
        <v>11.92</v>
      </c>
      <c r="W1566" s="11">
        <f ca="1"/>
        <v>0.25</v>
      </c>
      <c r="X1566" s="11">
        <f ca="1"/>
        <v>0.39877104377104378</v>
      </c>
      <c r="Y1566" s="11">
        <v>0</v>
      </c>
      <c r="Z1566" s="11">
        <f ca="1"/>
        <v>7.4112289562289568</v>
      </c>
      <c r="AA1566" s="11">
        <f ca="1"/>
        <v>3.7056144781144784</v>
      </c>
      <c r="AB1566" s="4">
        <f ca="1"/>
        <v>45797</v>
      </c>
      <c r="AC1566" s="4">
        <v>45797</v>
      </c>
      <c r="AD1566" s="9">
        <v>45807</v>
      </c>
      <c r="AE1566" s="9">
        <v>45810</v>
      </c>
      <c r="AF1566" s="4" t="str">
        <f t="shared" ca="1" si="105"/>
        <v>2025 05</v>
      </c>
      <c r="AG1566" s="8" t="str" cm="1">
        <f t="array" ref="AG1566">IFERROR(_xlfn.IFS('Banco de Dados'!#REF!="AG. COMPRA","Em processamento",'Banco de Dados'!#REF!="AG. RASTREIO","Em processamento",'Banco de Dados'!$AE1566&lt;&gt;"-","Faturado",'Banco de Dados'!$AD1566&lt;&gt;"-","Aguardando Pix",'Banco de Dados'!$AC1566&lt;&gt;"-","Pendente"),"Aguardando Liberação")</f>
        <v>Aguardando Liberação</v>
      </c>
      <c r="AH1566" s="5" t="str">
        <f>IF('Banco de Dados'!$F1566="-",_xlfn.CONCAT(PROPER(TEXT(AK1566,"aaaa"))," ",PROPER(TEXT(AK1566,"mm"))),_xlfn.CONCAT(PROPER(TEXT(E1566,"aaaa"))," ",PROPER(TEXT(E1566,"mm"))))</f>
        <v>2025 04</v>
      </c>
      <c r="AI1566" s="9" t="str">
        <f ca="1">IF('Banco de Dados'!$AK1566&lt;&gt;"-","REEMBOLSO",IFERROR(_xlfn.XLOOKUP(G1566,Follow[CODRASTREIO],Follow[STATUS]),"-"))</f>
        <v>ENTREGUE</v>
      </c>
      <c r="AJ1566" s="9">
        <f ca="1">IF('Banco de Dados'!$AI1566="ENTREGUE",_xlfn.XLOOKUP('Banco de Dados'!$G1566,Follow[CODRASTREIO],Follow[DATAATUALIZAÇÃO]),"-")</f>
        <v>45777</v>
      </c>
      <c r="AK1566" s="132" t="str">
        <f ca="1"/>
        <v>-</v>
      </c>
      <c r="AL1566" s="35"/>
      <c r="AM1566" s="109" cm="1">
        <f t="array" aca="1" ref="AM1566" ca="1">IF('Banco de Dados'!$AK1566&lt;&gt;"-",_xlfn.IFS('Banco de Dados'!$A1566="bv",IF('Banco de Dados'!$E1566&lt;45641,ROUND(SUM('Banco de Dados'!$R1566*_xlfn.XLOOKUP('Banco de Dados'!$P1566,Sku!B:B,Sku!#REF!)*20%),2),ROUND(SUM('Banco de Dados'!$R1566*_xlfn.XLOOKUP('Banco de Dados'!$P1566,Sku!B:B,Sku!H:H)*20%),2)),'Banco de Dados'!$A1566="GO",ROUND(_xlfn.XLOOKUP('Banco de Dados'!$P1566,Sku!C:C,Sku!H:H),2),'Banco de Dados'!$A1566="MEI",ROUND(_xlfn.XLOOKUP('Banco de Dados'!$P1566,Sku!D:D,Sku!H:H),2)),0)</f>
        <v>0</v>
      </c>
      <c r="AN1566" s="109">
        <f ca="1">IF('Banco de Dados'!$AK1566&lt;&gt;"-",IF('Banco de Dados'!$F1566&lt;&gt;"-",_xlfn.XLOOKUP(IFERROR(IFERROR(IFERROR(VALUE(SUBSTITUTE(MID(_xlfn.TEXTAFTER('Banco de Dados'!$F1566,"Data do Pedido:
",1),1,10),"-","/")),VALUE(SUBSTITUTE(MID(_xlfn.TEXTAFTER('Banco de Dados'!$F1566,"Order date:
",1),1,10),"-","/"))),VALUE(SUBSTITUTE(MID(_xlfn.TEXTAFTER('Banco de Dados'!$F1566,"Fecha de pedido:
",1),1,10),"-","/"))),"-"),SMS!A:A,SMS!K:K),0),0)</f>
        <v>0</v>
      </c>
      <c r="AO1566" s="109">
        <f ca="1">IF('Banco de Dados'!$AK1566&lt;&gt;"-",IF('Banco de Dados'!$F1566&lt;&gt;"-",IFERROR(_xlfn.XLOOKUP(_xlfn.CONCAT('Banco de Dados'!$A1566,IFERROR(IFERROR(VALUE(SUBSTITUTE(MID(_xlfn.TEXTAFTER('Banco de Dados'!$F1566,"Data do Pedido:
",1),1,10),"-","/")),VALUE(SUBSTITUTE(MID(_xlfn.TEXTAFTER('Banco de Dados'!$F1566,"Order date:
",1),1,10),"-","/"))),0)),ProxyDD[Chave],ProxyDD[Valor por pedido]),PROXY!$P$2),0),0)</f>
        <v>0</v>
      </c>
      <c r="AP1566" s="28">
        <f ca="1">IF('Banco de Dados'!$AK1566&lt;&gt;"-",IF('Banco de Dados'!$AL1566="NÃO",IFERROR(VALUE(SUBSTITUTE(_xlfn.TEXTAFTER('Banco de Dados'!$F1566,"BRL ",1),".",",")),0),0),0)</f>
        <v>0</v>
      </c>
      <c r="AQ1566" s="28">
        <f ca="1">SUM('Banco de Dados'!$AM1566:$AP1566)</f>
        <v>0</v>
      </c>
      <c r="AR1566" s="8"/>
      <c r="AS1566" s="8"/>
      <c r="AT1566"/>
      <c r="AY1566" s="8"/>
    </row>
    <row r="1567" spans="1:51">
      <c r="A1567" s="5" t="str">
        <v>BV</v>
      </c>
      <c r="B1567" s="5" t="str">
        <f ca="1"/>
        <v>BV45768</v>
      </c>
      <c r="C1567" s="8" t="str">
        <v>Pedido 1554</v>
      </c>
      <c r="D1567" s="187">
        <v>45767</v>
      </c>
      <c r="E1567" s="9">
        <v>45768</v>
      </c>
      <c r="F1567" s="8" t="str">
        <v>PedidoF1485</v>
      </c>
      <c r="G1567" s="2" t="str">
        <v>CódRastreio1483</v>
      </c>
      <c r="H1567" s="5">
        <v>1</v>
      </c>
      <c r="I1567" s="182" t="str">
        <v>CPF 1513</v>
      </c>
      <c r="J1567" s="2" t="str">
        <v>Nome 1513</v>
      </c>
      <c r="K1567" s="8" t="str">
        <v>Tel 1513</v>
      </c>
      <c r="L1567" s="8" t="str">
        <v>Cep 1513</v>
      </c>
      <c r="M1567" s="8" t="str">
        <v>Rua 1513</v>
      </c>
      <c r="N1567" s="8" t="str">
        <v>Comp 1513</v>
      </c>
      <c r="O1567" s="8" t="str">
        <v>Ventilador Umidificador Preto</v>
      </c>
      <c r="P1567" s="8" t="str">
        <v>HF-SI0F-XC7S</v>
      </c>
      <c r="Q1567" s="4">
        <v>45794</v>
      </c>
      <c r="R1567" s="109">
        <v>51</v>
      </c>
      <c r="S1567" s="11">
        <f ca="1"/>
        <v>51</v>
      </c>
      <c r="T1567" s="28">
        <f ca="1"/>
        <v>5.61</v>
      </c>
      <c r="U1567" s="11">
        <f ca="1"/>
        <v>45.39</v>
      </c>
      <c r="V1567" s="11">
        <v>38.450000000000003</v>
      </c>
      <c r="W1567" s="11">
        <f ca="1"/>
        <v>0.25</v>
      </c>
      <c r="X1567" s="11">
        <f ca="1"/>
        <v>0.39877104377104378</v>
      </c>
      <c r="Y1567" s="11">
        <v>0</v>
      </c>
      <c r="Z1567" s="11">
        <f ca="1"/>
        <v>6.2912289562289558</v>
      </c>
      <c r="AA1567" s="11">
        <f ca="1"/>
        <v>3.1456144781144779</v>
      </c>
      <c r="AB1567" s="4">
        <f ca="1"/>
        <v>45801</v>
      </c>
      <c r="AC1567" s="4">
        <v>45801</v>
      </c>
      <c r="AD1567" s="9">
        <v>45807</v>
      </c>
      <c r="AE1567" s="9">
        <v>45810</v>
      </c>
      <c r="AF1567" s="4" t="str">
        <f t="shared" ca="1" si="105"/>
        <v>2025 05</v>
      </c>
      <c r="AG1567" s="8" t="str" cm="1">
        <f t="array" ref="AG1567">IFERROR(_xlfn.IFS('Banco de Dados'!#REF!="AG. COMPRA","Em processamento",'Banco de Dados'!#REF!="AG. RASTREIO","Em processamento",'Banco de Dados'!$AE1567&lt;&gt;"-","Faturado",'Banco de Dados'!$AD1567&lt;&gt;"-","Aguardando Pix",'Banco de Dados'!$AC1567&lt;&gt;"-","Pendente"),"Aguardando Liberação")</f>
        <v>Aguardando Liberação</v>
      </c>
      <c r="AH1567" s="5" t="str">
        <f>IF('Banco de Dados'!$F1567="-",_xlfn.CONCAT(PROPER(TEXT(AK1567,"aaaa"))," ",PROPER(TEXT(AK1567,"mm"))),_xlfn.CONCAT(PROPER(TEXT(E1567,"aaaa"))," ",PROPER(TEXT(E1567,"mm"))))</f>
        <v>2025 04</v>
      </c>
      <c r="AI1567" s="9" t="str">
        <f ca="1">IF('Banco de Dados'!$AK1567&lt;&gt;"-","REEMBOLSO",IFERROR(_xlfn.XLOOKUP(G1567,Follow[CODRASTREIO],Follow[STATUS]),"-"))</f>
        <v>ENTREGUE</v>
      </c>
      <c r="AJ1567" s="9">
        <f ca="1">IF('Banco de Dados'!$AI1567="ENTREGUE",_xlfn.XLOOKUP('Banco de Dados'!$G1567,Follow[CODRASTREIO],Follow[DATAATUALIZAÇÃO]),"-")</f>
        <v>45826</v>
      </c>
      <c r="AK1567" s="132" t="str">
        <f ca="1"/>
        <v>-</v>
      </c>
      <c r="AL1567" s="35"/>
      <c r="AM1567" s="109" cm="1">
        <f t="array" aca="1" ref="AM1567" ca="1">IF('Banco de Dados'!$AK1567&lt;&gt;"-",_xlfn.IFS('Banco de Dados'!$A1567="bv",IF('Banco de Dados'!$E1567&lt;45641,ROUND(SUM('Banco de Dados'!$R1567*_xlfn.XLOOKUP('Banco de Dados'!$P1567,Sku!B:B,Sku!#REF!)*20%),2),ROUND(SUM('Banco de Dados'!$R1567*_xlfn.XLOOKUP('Banco de Dados'!$P1567,Sku!B:B,Sku!H:H)*20%),2)),'Banco de Dados'!$A1567="GO",ROUND(_xlfn.XLOOKUP('Banco de Dados'!$P1567,Sku!C:C,Sku!H:H),2),'Banco de Dados'!$A1567="MEI",ROUND(_xlfn.XLOOKUP('Banco de Dados'!$P1567,Sku!D:D,Sku!H:H),2)),0)</f>
        <v>0</v>
      </c>
      <c r="AN1567" s="109">
        <f ca="1">IF('Banco de Dados'!$AK1567&lt;&gt;"-",IF('Banco de Dados'!$F1567&lt;&gt;"-",_xlfn.XLOOKUP(IFERROR(IFERROR(IFERROR(VALUE(SUBSTITUTE(MID(_xlfn.TEXTAFTER('Banco de Dados'!$F1567,"Data do Pedido:
",1),1,10),"-","/")),VALUE(SUBSTITUTE(MID(_xlfn.TEXTAFTER('Banco de Dados'!$F1567,"Order date:
",1),1,10),"-","/"))),VALUE(SUBSTITUTE(MID(_xlfn.TEXTAFTER('Banco de Dados'!$F1567,"Fecha de pedido:
",1),1,10),"-","/"))),"-"),SMS!A:A,SMS!K:K),0),0)</f>
        <v>0</v>
      </c>
      <c r="AO1567" s="109">
        <f ca="1">IF('Banco de Dados'!$AK1567&lt;&gt;"-",IF('Banco de Dados'!$F1567&lt;&gt;"-",IFERROR(_xlfn.XLOOKUP(_xlfn.CONCAT('Banco de Dados'!$A1567,IFERROR(IFERROR(VALUE(SUBSTITUTE(MID(_xlfn.TEXTAFTER('Banco de Dados'!$F1567,"Data do Pedido:
",1),1,10),"-","/")),VALUE(SUBSTITUTE(MID(_xlfn.TEXTAFTER('Banco de Dados'!$F1567,"Order date:
",1),1,10),"-","/"))),0)),ProxyDD[Chave],ProxyDD[Valor por pedido]),PROXY!$P$2),0),0)</f>
        <v>0</v>
      </c>
      <c r="AP1567" s="28">
        <f ca="1">IF('Banco de Dados'!$AK1567&lt;&gt;"-",IF('Banco de Dados'!$AL1567="NÃO",IFERROR(VALUE(SUBSTITUTE(_xlfn.TEXTAFTER('Banco de Dados'!$F1567,"BRL ",1),".",",")),0),0),0)</f>
        <v>0</v>
      </c>
      <c r="AQ1567" s="28">
        <f ca="1">SUM('Banco de Dados'!$AM1567:$AP1567)</f>
        <v>0</v>
      </c>
      <c r="AR1567" s="8"/>
      <c r="AS1567" s="8"/>
      <c r="AT1567"/>
      <c r="AY1567" s="8"/>
    </row>
    <row r="1568" spans="1:51">
      <c r="A1568" s="5" t="str">
        <v>GO</v>
      </c>
      <c r="B1568" s="5" t="str">
        <f ca="1"/>
        <v>GO45768</v>
      </c>
      <c r="C1568" s="8" t="str">
        <v>Pedido 1555</v>
      </c>
      <c r="D1568" s="187">
        <v>45766</v>
      </c>
      <c r="E1568" s="9">
        <v>45768</v>
      </c>
      <c r="F1568" s="8" t="str">
        <v>PedidoF1486</v>
      </c>
      <c r="G1568" s="2" t="str">
        <v>CódRastreio1484</v>
      </c>
      <c r="H1568" s="5">
        <v>1</v>
      </c>
      <c r="I1568" s="182" t="str">
        <v>CPF 1514</v>
      </c>
      <c r="J1568" s="2" t="str">
        <v>Nome 1514</v>
      </c>
      <c r="K1568" s="8" t="str">
        <v>Tel 1514</v>
      </c>
      <c r="L1568" s="8" t="str">
        <v>Cep 1514</v>
      </c>
      <c r="M1568" s="8" t="str">
        <v>Rua 1514</v>
      </c>
      <c r="N1568" s="8" t="str">
        <v>Comp 1514</v>
      </c>
      <c r="O1568" s="8" t="str">
        <v>Ventilador Preto</v>
      </c>
      <c r="P1568" s="8" t="str">
        <v>EP-9PIR-BWXH</v>
      </c>
      <c r="Q1568" s="4">
        <v>45790</v>
      </c>
      <c r="R1568" s="109">
        <v>65.739999999999995</v>
      </c>
      <c r="S1568" s="11">
        <f ca="1"/>
        <v>65.739999999999995</v>
      </c>
      <c r="T1568" s="28">
        <f ca="1"/>
        <v>7.8887999999999989</v>
      </c>
      <c r="U1568" s="11">
        <f ca="1"/>
        <v>57.85</v>
      </c>
      <c r="V1568" s="11">
        <v>21.89</v>
      </c>
      <c r="W1568" s="11">
        <f ca="1"/>
        <v>0.25</v>
      </c>
      <c r="X1568" s="11">
        <f ca="1"/>
        <v>0.39877104377104378</v>
      </c>
      <c r="Y1568" s="11">
        <v>0</v>
      </c>
      <c r="Z1568" s="11">
        <f ca="1"/>
        <v>35.311228956228959</v>
      </c>
      <c r="AA1568" s="11">
        <f ca="1"/>
        <v>35.311228956228959</v>
      </c>
      <c r="AB1568" s="4">
        <f ca="1"/>
        <v>45797</v>
      </c>
      <c r="AC1568" s="4">
        <v>45797</v>
      </c>
      <c r="AD1568" s="9">
        <v>45807</v>
      </c>
      <c r="AE1568" s="9">
        <v>45810</v>
      </c>
      <c r="AF1568" s="4" t="str">
        <f t="shared" ca="1" si="105"/>
        <v>2025 05</v>
      </c>
      <c r="AG1568" s="8" t="str" cm="1">
        <f t="array" ref="AG1568">IFERROR(_xlfn.IFS('Banco de Dados'!#REF!="AG. COMPRA","Em processamento",'Banco de Dados'!#REF!="AG. RASTREIO","Em processamento",'Banco de Dados'!$AE1568&lt;&gt;"-","Faturado",'Banco de Dados'!$AD1568&lt;&gt;"-","Aguardando Pix",'Banco de Dados'!$AC1568&lt;&gt;"-","Pendente"),"Aguardando Liberação")</f>
        <v>Aguardando Liberação</v>
      </c>
      <c r="AH1568" s="5" t="str">
        <f>IF('Banco de Dados'!$F1568="-",_xlfn.CONCAT(PROPER(TEXT(AK1568,"aaaa"))," ",PROPER(TEXT(AK1568,"mm"))),_xlfn.CONCAT(PROPER(TEXT(E1568,"aaaa"))," ",PROPER(TEXT(E1568,"mm"))))</f>
        <v>2025 04</v>
      </c>
      <c r="AI1568" s="9" t="str">
        <f ca="1">IF('Banco de Dados'!$AK1568&lt;&gt;"-","REEMBOLSO",IFERROR(_xlfn.XLOOKUP(G1568,Follow[CODRASTREIO],Follow[STATUS]),"-"))</f>
        <v>ENTREGUE</v>
      </c>
      <c r="AJ1568" s="9">
        <f ca="1">IF('Banco de Dados'!$AI1568="ENTREGUE",_xlfn.XLOOKUP('Banco de Dados'!$G1568,Follow[CODRASTREIO],Follow[DATAATUALIZAÇÃO]),"-")</f>
        <v>45801</v>
      </c>
      <c r="AK1568" s="132" t="str">
        <f ca="1"/>
        <v>-</v>
      </c>
      <c r="AL1568" s="35"/>
      <c r="AM1568" s="109" cm="1">
        <f t="array" aca="1" ref="AM1568" ca="1">IF('Banco de Dados'!$AK1568&lt;&gt;"-",_xlfn.IFS('Banco de Dados'!$A1568="bv",IF('Banco de Dados'!$E1568&lt;45641,ROUND(SUM('Banco de Dados'!$R1568*_xlfn.XLOOKUP('Banco de Dados'!$P1568,Sku!B:B,Sku!#REF!)*20%),2),ROUND(SUM('Banco de Dados'!$R1568*_xlfn.XLOOKUP('Banco de Dados'!$P1568,Sku!B:B,Sku!H:H)*20%),2)),'Banco de Dados'!$A1568="GO",ROUND(SUM('Banco de Dados'!$R1568*_xlfn.XLOOKUP('Banco de Dados'!$P1568,Sku!C:C,Sku!H:H)*20%),2),'Banco de Dados'!$A1568="MEI",ROUND(SUM('Banco de Dados'!$R1568*_xlfn.XLOOKUP('Banco de Dados'!$P1568,Sku!D:D,Sku!H:H)*20%),2)),0)</f>
        <v>0</v>
      </c>
      <c r="AN1568" s="109">
        <f ca="1">IF('Banco de Dados'!$AK1568&lt;&gt;"-",IF('Banco de Dados'!$F1568&lt;&gt;"-",_xlfn.XLOOKUP(IFERROR(IFERROR(IFERROR(VALUE(SUBSTITUTE(MID(_xlfn.TEXTAFTER('Banco de Dados'!$F1568,"Data do Pedido:
",1),1,10),"-","/")),VALUE(SUBSTITUTE(MID(_xlfn.TEXTAFTER('Banco de Dados'!$F1568,"Order date:
",1),1,10),"-","/"))),VALUE(SUBSTITUTE(MID(_xlfn.TEXTAFTER('Banco de Dados'!$F1568,"Fecha de pedido:
",1),1,10),"-","/"))),"-"),SMS!A:A,SMS!K:K),0),0)</f>
        <v>0</v>
      </c>
      <c r="AO1568" s="109">
        <f ca="1">IF('Banco de Dados'!$AK1568&lt;&gt;"-",IF('Banco de Dados'!$F1568&lt;&gt;"-",IFERROR(_xlfn.XLOOKUP(_xlfn.CONCAT('Banco de Dados'!$A1568,IFERROR(IFERROR(VALUE(SUBSTITUTE(MID(_xlfn.TEXTAFTER('Banco de Dados'!$F1568,"Data do Pedido:
",1),1,10),"-","/")),VALUE(SUBSTITUTE(MID(_xlfn.TEXTAFTER('Banco de Dados'!$F1568,"Order date:
",1),1,10),"-","/"))),0)),ProxyDD[Chave],ProxyDD[Valor por pedido]),PROXY!$P$2),0),0)</f>
        <v>0</v>
      </c>
      <c r="AP1568" s="28">
        <f ca="1">IF('Banco de Dados'!$AK1568&lt;&gt;"-",IF('Banco de Dados'!$AL1568="NÃO",IFERROR(VALUE(SUBSTITUTE(_xlfn.TEXTAFTER('Banco de Dados'!$F1568,"BRL ",1),".",",")),0),0),0)</f>
        <v>0</v>
      </c>
      <c r="AQ1568" s="28">
        <f ca="1">SUM('Banco de Dados'!$AM1568:$AP1568)</f>
        <v>0</v>
      </c>
      <c r="AR1568" s="8"/>
      <c r="AS1568" s="8"/>
      <c r="AT1568"/>
      <c r="AY1568" s="8"/>
    </row>
    <row r="1569" spans="1:51">
      <c r="A1569" s="5" t="str">
        <v>GO</v>
      </c>
      <c r="B1569" s="5" t="str">
        <f ca="1"/>
        <v>GO45768</v>
      </c>
      <c r="C1569" s="8" t="str">
        <v>Pedido 1556</v>
      </c>
      <c r="D1569" s="187">
        <v>45768</v>
      </c>
      <c r="E1569" s="9">
        <v>45768</v>
      </c>
      <c r="F1569" s="8" t="str">
        <v>PedidoF1487</v>
      </c>
      <c r="G1569" s="2" t="str">
        <v>CódRastreio1485</v>
      </c>
      <c r="H1569" s="5">
        <v>1</v>
      </c>
      <c r="I1569" s="182" t="str">
        <v>CPF 1515</v>
      </c>
      <c r="J1569" s="2" t="str">
        <v>Nome 1515</v>
      </c>
      <c r="K1569" s="8" t="str">
        <v>Tel 1515</v>
      </c>
      <c r="L1569" s="8" t="str">
        <v>Cep 1515</v>
      </c>
      <c r="M1569" s="8" t="str">
        <v>Rua 1515</v>
      </c>
      <c r="N1569" s="8" t="str">
        <v>Comp 1515</v>
      </c>
      <c r="O1569" s="8" t="str">
        <v>Ventilador Rosa</v>
      </c>
      <c r="P1569" s="8" t="str">
        <v>MK-OUQW-7L3Z</v>
      </c>
      <c r="Q1569" s="4">
        <v>45801</v>
      </c>
      <c r="R1569" s="109">
        <v>64.89</v>
      </c>
      <c r="S1569" s="11">
        <f ca="1"/>
        <v>0</v>
      </c>
      <c r="T1569" s="28">
        <f ca="1"/>
        <v>0</v>
      </c>
      <c r="U1569" s="11">
        <f ca="1"/>
        <v>0</v>
      </c>
      <c r="V1569" s="11">
        <v>0</v>
      </c>
      <c r="W1569" s="11">
        <f ca="1"/>
        <v>0</v>
      </c>
      <c r="X1569" s="11">
        <f ca="1"/>
        <v>0.39877104377104378</v>
      </c>
      <c r="Y1569" s="11">
        <v>0</v>
      </c>
      <c r="Z1569" s="11">
        <f ca="1"/>
        <v>-0.39877104377104378</v>
      </c>
      <c r="AA1569" s="11">
        <f ca="1"/>
        <v>-0.39877104377104378</v>
      </c>
      <c r="AB1569" s="4">
        <f ca="1"/>
        <v>45808</v>
      </c>
      <c r="AC1569" s="4">
        <v>45808</v>
      </c>
      <c r="AD1569" s="9">
        <v>45824</v>
      </c>
      <c r="AE1569" s="9">
        <v>45828</v>
      </c>
      <c r="AF1569" s="4" t="str">
        <f t="shared" ca="1" si="105"/>
        <v>2025 05</v>
      </c>
      <c r="AG1569" s="8" t="str" cm="1">
        <f t="array" ref="AG1569">IFERROR(_xlfn.IFS('Banco de Dados'!#REF!="AG. COMPRA","Em processamento",'Banco de Dados'!#REF!="AG. RASTREIO","Em processamento",'Banco de Dados'!$AE1569&lt;&gt;"-","Faturado",'Banco de Dados'!$AD1569&lt;&gt;"-","Aguardando Pix",'Banco de Dados'!$AC1569&lt;&gt;"-","Pendente"),"Aguardando Liberação")</f>
        <v>Aguardando Liberação</v>
      </c>
      <c r="AH1569" s="5" t="str">
        <f>IF('Banco de Dados'!$F1569="-",_xlfn.CONCAT(PROPER(TEXT(AK1569,"aaaa"))," ",PROPER(TEXT(AK1569,"mm"))),_xlfn.CONCAT(PROPER(TEXT(E1569,"aaaa"))," ",PROPER(TEXT(E1569,"mm"))))</f>
        <v>2025 04</v>
      </c>
      <c r="AI1569" s="9" t="str">
        <f ca="1">IF('Banco de Dados'!$AK1569&lt;&gt;"-","REEMBOLSO",IFERROR(_xlfn.XLOOKUP(G1569,Follow[CODRASTREIO],Follow[STATUS]),"-"))</f>
        <v>REEMBOLSO</v>
      </c>
      <c r="AJ1569" s="9" t="str">
        <f ca="1">IF('Banco de Dados'!$AI1569="ENTREGUE",_xlfn.XLOOKUP('Banco de Dados'!$G1569,Follow[CODRASTREIO],Follow[DATAATUALIZAÇÃO]),"-")</f>
        <v>-</v>
      </c>
      <c r="AK1569" s="132">
        <f ca="1"/>
        <v>45810</v>
      </c>
      <c r="AL1569" s="35"/>
      <c r="AM1569" s="109" cm="1">
        <f t="array" aca="1" ref="AM1569" ca="1">IF('Banco de Dados'!$AK1569&lt;&gt;"-",_xlfn.IFS('Banco de Dados'!$A1569="bv",IF('Banco de Dados'!$E1569&lt;45641,ROUND(SUM('Banco de Dados'!$R1569*_xlfn.XLOOKUP('Banco de Dados'!$P1569,Sku!B:B,Sku!#REF!)*20%),2),ROUND(SUM('Banco de Dados'!$R1569*_xlfn.XLOOKUP('Banco de Dados'!$P1569,Sku!B:B,Sku!H:H)*20%),2)),'Banco de Dados'!$A1569="GO",ROUND(SUM('Banco de Dados'!$R1569*_xlfn.XLOOKUP('Banco de Dados'!$P1569,Sku!C:C,Sku!H:H)*20%),2),'Banco de Dados'!$A1569="MEI",ROUND(SUM('Banco de Dados'!$R1569*_xlfn.XLOOKUP('Banco de Dados'!$P1569,Sku!D:D,Sku!H:H)*20%),2)),0)</f>
        <v>1.69</v>
      </c>
      <c r="AN1569" s="109" t="e">
        <f ca="1">IF('Banco de Dados'!$AK1569&lt;&gt;"-",IF('Banco de Dados'!$F1569&lt;&gt;"-",_xlfn.XLOOKUP(IFERROR(IFERROR(IFERROR(VALUE(SUBSTITUTE(MID(_xlfn.TEXTAFTER('Banco de Dados'!$F1569,"Data do Pedido:
",1),1,10),"-","/")),VALUE(SUBSTITUTE(MID(_xlfn.TEXTAFTER('Banco de Dados'!$F1569,"Order date:
",1),1,10),"-","/"))),VALUE(SUBSTITUTE(MID(_xlfn.TEXTAFTER('Banco de Dados'!$F1569,"Fecha de pedido:
",1),1,10),"-","/"))),"-"),SMS!A:A,SMS!K:K),0),0)</f>
        <v>#N/A</v>
      </c>
      <c r="AO1569" s="109">
        <f ca="1">IF('Banco de Dados'!$AK1569&lt;&gt;"-",IF('Banco de Dados'!$F1569&lt;&gt;"-",IFERROR(_xlfn.XLOOKUP(_xlfn.CONCAT('Banco de Dados'!$A1569,IFERROR(IFERROR(VALUE(SUBSTITUTE(MID(_xlfn.TEXTAFTER('Banco de Dados'!$F1569,"Data do Pedido:
",1),1,10),"-","/")),VALUE(SUBSTITUTE(MID(_xlfn.TEXTAFTER('Banco de Dados'!$F1569,"Order date:
",1),1,10),"-","/"))),0)),ProxyDD[Chave],ProxyDD[Valor por pedido]),PROXY!$P$2),0),0)</f>
        <v>0.39877104377104378</v>
      </c>
      <c r="AP1569" s="28">
        <f ca="1">IF('Banco de Dados'!$AK1569&lt;&gt;"-",IF('Banco de Dados'!$AL1569="NÃO",IFERROR(VALUE(SUBSTITUTE(_xlfn.TEXTAFTER('Banco de Dados'!$F1569,"BRL ",1),".",",")),0),0),0)</f>
        <v>0</v>
      </c>
      <c r="AQ1569" s="28" t="e">
        <f ca="1">SUM('Banco de Dados'!$AM1569:$AP1569)</f>
        <v>#N/A</v>
      </c>
      <c r="AR1569" s="8"/>
      <c r="AS1569" s="8"/>
      <c r="AT1569"/>
      <c r="AY1569" s="8"/>
    </row>
    <row r="1570" spans="1:51">
      <c r="A1570" s="5" t="str">
        <v>GO</v>
      </c>
      <c r="B1570" s="5" t="str">
        <f ca="1"/>
        <v>GO45768</v>
      </c>
      <c r="C1570" s="8" t="str">
        <v>Pedido 1557</v>
      </c>
      <c r="D1570" s="187">
        <v>45768</v>
      </c>
      <c r="E1570" s="9">
        <v>45768</v>
      </c>
      <c r="F1570" s="8" t="str">
        <v>PedidoF1488</v>
      </c>
      <c r="G1570" s="2" t="str">
        <v>CódRastreio1486</v>
      </c>
      <c r="H1570" s="5">
        <v>1</v>
      </c>
      <c r="I1570" s="182" t="str">
        <v>CPF 1516</v>
      </c>
      <c r="J1570" s="2" t="str">
        <v>Nome 1516</v>
      </c>
      <c r="K1570" s="8" t="str">
        <v>Tel 1516</v>
      </c>
      <c r="L1570" s="8" t="str">
        <v>Cep 1516</v>
      </c>
      <c r="M1570" s="8" t="str">
        <v>Rua 1516</v>
      </c>
      <c r="N1570" s="8" t="str">
        <v>Comp 1516</v>
      </c>
      <c r="O1570" s="8" t="str">
        <v>Cortador de Legumes</v>
      </c>
      <c r="P1570" s="8" t="str">
        <v>33-SVS5-1AWY</v>
      </c>
      <c r="Q1570" s="4">
        <v>45801</v>
      </c>
      <c r="R1570" s="109">
        <v>67.599999999999994</v>
      </c>
      <c r="S1570" s="11">
        <f ca="1"/>
        <v>0</v>
      </c>
      <c r="T1570" s="28">
        <f ca="1"/>
        <v>0</v>
      </c>
      <c r="U1570" s="11">
        <f ca="1"/>
        <v>0</v>
      </c>
      <c r="V1570" s="11">
        <v>0</v>
      </c>
      <c r="W1570" s="11">
        <f ca="1"/>
        <v>0</v>
      </c>
      <c r="X1570" s="11">
        <f ca="1"/>
        <v>0.39877104377104378</v>
      </c>
      <c r="Y1570" s="11">
        <v>0</v>
      </c>
      <c r="Z1570" s="11">
        <f ca="1"/>
        <v>-0.39877104377104378</v>
      </c>
      <c r="AA1570" s="11">
        <f ca="1"/>
        <v>-0.39877104377104378</v>
      </c>
      <c r="AB1570" s="4">
        <f ca="1"/>
        <v>45808</v>
      </c>
      <c r="AC1570" s="4">
        <v>45808</v>
      </c>
      <c r="AD1570" s="9">
        <v>45824</v>
      </c>
      <c r="AE1570" s="9">
        <v>45828</v>
      </c>
      <c r="AF1570" s="4" t="str">
        <f t="shared" ca="1" si="105"/>
        <v>2025 05</v>
      </c>
      <c r="AG1570" s="8" t="str" cm="1">
        <f t="array" ref="AG1570">IFERROR(_xlfn.IFS('Banco de Dados'!#REF!="AG. COMPRA","Em processamento",'Banco de Dados'!#REF!="AG. RASTREIO","Em processamento",'Banco de Dados'!$AE1570&lt;&gt;"-","Faturado",'Banco de Dados'!$AD1570&lt;&gt;"-","Aguardando Pix",'Banco de Dados'!$AC1570&lt;&gt;"-","Pendente"),"Aguardando Liberação")</f>
        <v>Aguardando Liberação</v>
      </c>
      <c r="AH1570" s="5" t="str">
        <f>IF('Banco de Dados'!$F1570="-",_xlfn.CONCAT(PROPER(TEXT(AK1570,"aaaa"))," ",PROPER(TEXT(AK1570,"mm"))),_xlfn.CONCAT(PROPER(TEXT(E1570,"aaaa"))," ",PROPER(TEXT(E1570,"mm"))))</f>
        <v>2025 04</v>
      </c>
      <c r="AI1570" s="9" t="str">
        <f ca="1">IF('Banco de Dados'!$AK1570&lt;&gt;"-","REEMBOLSO",IFERROR(_xlfn.XLOOKUP(G1570,Follow[CODRASTREIO],Follow[STATUS]),"-"))</f>
        <v>REEMBOLSO</v>
      </c>
      <c r="AJ1570" s="9" t="str">
        <f ca="1">IF('Banco de Dados'!$AI1570="ENTREGUE",_xlfn.XLOOKUP('Banco de Dados'!$G1570,Follow[CODRASTREIO],Follow[DATAATUALIZAÇÃO]),"-")</f>
        <v>-</v>
      </c>
      <c r="AK1570" s="132">
        <f ca="1"/>
        <v>45810</v>
      </c>
      <c r="AL1570" s="35"/>
      <c r="AM1570" s="109" cm="1">
        <f t="array" aca="1" ref="AM1570" ca="1">IF('Banco de Dados'!$AK1570&lt;&gt;"-",_xlfn.IFS('Banco de Dados'!$A1570="bv",IF('Banco de Dados'!$E1570&lt;45641,ROUND(SUM('Banco de Dados'!$R1570*_xlfn.XLOOKUP('Banco de Dados'!$P1570,Sku!B:B,Sku!#REF!)*20%),2),ROUND(SUM('Banco de Dados'!$R1570*_xlfn.XLOOKUP('Banco de Dados'!$P1570,Sku!B:B,Sku!H:H)*20%),2)),'Banco de Dados'!$A1570="GO",ROUND(SUM('Banco de Dados'!$R1570*_xlfn.XLOOKUP('Banco de Dados'!$P1570,Sku!C:C,Sku!H:H)*20%),2),'Banco de Dados'!$A1570="MEI",ROUND(SUM('Banco de Dados'!$R1570*_xlfn.XLOOKUP('Banco de Dados'!$P1570,Sku!D:D,Sku!H:H)*20%),2)),0)</f>
        <v>2.0299999999999998</v>
      </c>
      <c r="AN1570" s="109" t="e">
        <f ca="1">IF('Banco de Dados'!$AK1570&lt;&gt;"-",IF('Banco de Dados'!$F1570&lt;&gt;"-",_xlfn.XLOOKUP(IFERROR(IFERROR(IFERROR(VALUE(SUBSTITUTE(MID(_xlfn.TEXTAFTER('Banco de Dados'!$F1570,"Data do Pedido:
",1),1,10),"-","/")),VALUE(SUBSTITUTE(MID(_xlfn.TEXTAFTER('Banco de Dados'!$F1570,"Order date:
",1),1,10),"-","/"))),VALUE(SUBSTITUTE(MID(_xlfn.TEXTAFTER('Banco de Dados'!$F1570,"Fecha de pedido:
",1),1,10),"-","/"))),"-"),SMS!A:A,SMS!K:K),0),0)</f>
        <v>#N/A</v>
      </c>
      <c r="AO1570" s="109">
        <f ca="1">IF('Banco de Dados'!$AK1570&lt;&gt;"-",IF('Banco de Dados'!$F1570&lt;&gt;"-",IFERROR(_xlfn.XLOOKUP(_xlfn.CONCAT('Banco de Dados'!$A1570,IFERROR(IFERROR(VALUE(SUBSTITUTE(MID(_xlfn.TEXTAFTER('Banco de Dados'!$F1570,"Data do Pedido:
",1),1,10),"-","/")),VALUE(SUBSTITUTE(MID(_xlfn.TEXTAFTER('Banco de Dados'!$F1570,"Order date:
",1),1,10),"-","/"))),0)),ProxyDD[Chave],ProxyDD[Valor por pedido]),PROXY!$P$2),0),0)</f>
        <v>0.39877104377104378</v>
      </c>
      <c r="AP1570" s="28">
        <f ca="1">IF('Banco de Dados'!$AK1570&lt;&gt;"-",IF('Banco de Dados'!$AL1570="NÃO",IFERROR(VALUE(SUBSTITUTE(_xlfn.TEXTAFTER('Banco de Dados'!$F1570,"BRL ",1),".",",")),0),0),0)</f>
        <v>0</v>
      </c>
      <c r="AQ1570" s="28" t="e">
        <f ca="1">SUM('Banco de Dados'!$AM1570:$AP1570)</f>
        <v>#N/A</v>
      </c>
      <c r="AR1570" s="8"/>
      <c r="AS1570" s="8"/>
      <c r="AT1570"/>
      <c r="AY1570" s="8"/>
    </row>
    <row r="1571" spans="1:51">
      <c r="A1571" s="5" t="str">
        <v>MEI</v>
      </c>
      <c r="B1571" s="5" t="str">
        <f ca="1"/>
        <v>MEI45769</v>
      </c>
      <c r="C1571" s="8" t="str">
        <v>Pedido 1558</v>
      </c>
      <c r="D1571" s="187">
        <v>45768</v>
      </c>
      <c r="E1571" s="9">
        <v>45769</v>
      </c>
      <c r="F1571" s="8" t="str">
        <v>PedidoF1489</v>
      </c>
      <c r="G1571" s="2" t="str">
        <v>CódRastreio1487</v>
      </c>
      <c r="H1571" s="5">
        <v>1</v>
      </c>
      <c r="I1571" s="182" t="str">
        <v>CPF 1517</v>
      </c>
      <c r="J1571" s="2" t="str">
        <v>Nome 1517</v>
      </c>
      <c r="K1571" s="8" t="str">
        <v>Tel 1517</v>
      </c>
      <c r="L1571" s="8" t="str">
        <v>Cep 1517</v>
      </c>
      <c r="M1571" s="8" t="str">
        <v>Rua 1517</v>
      </c>
      <c r="N1571" s="8" t="str">
        <v>Comp 1517</v>
      </c>
      <c r="O1571" s="8" t="str">
        <v>Maçarico Culinário Portátil</v>
      </c>
      <c r="P1571" s="8" t="str">
        <v>BG-DHRO-FAEE</v>
      </c>
      <c r="Q1571" s="4">
        <v>45794</v>
      </c>
      <c r="R1571" s="109">
        <v>26.99</v>
      </c>
      <c r="S1571" s="11">
        <f ca="1"/>
        <v>0</v>
      </c>
      <c r="T1571" s="28">
        <f ca="1"/>
        <v>0</v>
      </c>
      <c r="U1571" s="11">
        <f ca="1"/>
        <v>0</v>
      </c>
      <c r="V1571" s="11">
        <v>0</v>
      </c>
      <c r="W1571" s="11">
        <f ca="1"/>
        <v>0</v>
      </c>
      <c r="X1571" s="11">
        <f ca="1"/>
        <v>0.39877104377104378</v>
      </c>
      <c r="Y1571" s="11">
        <v>0</v>
      </c>
      <c r="Z1571" s="11">
        <f ca="1"/>
        <v>-0.39877104377104378</v>
      </c>
      <c r="AA1571" s="11">
        <f ca="1"/>
        <v>-0.19938552188552189</v>
      </c>
      <c r="AB1571" s="4">
        <f ca="1"/>
        <v>45801</v>
      </c>
      <c r="AC1571" s="4">
        <v>45801</v>
      </c>
      <c r="AD1571" s="9">
        <v>45807</v>
      </c>
      <c r="AE1571" s="9">
        <v>45810</v>
      </c>
      <c r="AF1571" s="4" t="str">
        <f t="shared" ref="AF1571:AF1578" ca="1" si="106">_xlfn.CONCAT(PROPER(TEXT(AB1571,"aaaa"))," ",PROPER(TEXT(AB1571,"mm")))</f>
        <v>2025 05</v>
      </c>
      <c r="AG1571" s="8" t="str" cm="1">
        <f t="array" ref="AG1571">IFERROR(_xlfn.IFS('Banco de Dados'!#REF!="AG. COMPRA","Em processamento",'Banco de Dados'!#REF!="AG. RASTREIO","Em processamento",'Banco de Dados'!$AE1571&lt;&gt;"-","Faturado",'Banco de Dados'!$AD1571&lt;&gt;"-","Aguardando Pix",'Banco de Dados'!$AC1571&lt;&gt;"-","Pendente"),"Aguardando Liberação")</f>
        <v>Aguardando Liberação</v>
      </c>
      <c r="AH1571" s="5" t="str">
        <f>IF('Banco de Dados'!$F1571="-",_xlfn.CONCAT(PROPER(TEXT(AK1571,"aaaa"))," ",PROPER(TEXT(AK1571,"mm"))),_xlfn.CONCAT(PROPER(TEXT(E1571,"aaaa"))," ",PROPER(TEXT(E1571,"mm"))))</f>
        <v>2025 04</v>
      </c>
      <c r="AI1571" s="9" t="str">
        <f ca="1">IF('Banco de Dados'!$AK1571&lt;&gt;"-","REEMBOLSO",IFERROR(_xlfn.XLOOKUP(G1571,Follow[CODRASTREIO],Follow[STATUS]),"-"))</f>
        <v>REEMBOLSO</v>
      </c>
      <c r="AJ1571" s="9" t="str">
        <f ca="1">IF('Banco de Dados'!$AI1571="ENTREGUE",_xlfn.XLOOKUP('Banco de Dados'!$G1571,Follow[CODRASTREIO],Follow[DATAATUALIZAÇÃO]),"-")</f>
        <v>-</v>
      </c>
      <c r="AK1571" s="132">
        <f ca="1"/>
        <v>45800</v>
      </c>
      <c r="AL1571" s="35"/>
      <c r="AM1571" s="109" cm="1">
        <f t="array" aca="1" ref="AM1571" ca="1">IF('Banco de Dados'!$AK1571&lt;&gt;"-",_xlfn.IFS('Banco de Dados'!$A1571="bv",IF('Banco de Dados'!$E1571&lt;45641,ROUND(SUM('Banco de Dados'!$R1571*_xlfn.XLOOKUP('Banco de Dados'!$P1571,Sku!B:B,Sku!#REF!)*20%),2),ROUND(SUM('Banco de Dados'!$R1571*_xlfn.XLOOKUP('Banco de Dados'!$P1571,Sku!B:B,Sku!H:H)*20%),2)),'Banco de Dados'!$A1571="GO",ROUND(SUM('Banco de Dados'!$R1571*_xlfn.XLOOKUP('Banco de Dados'!$P1571,Sku!C:C,Sku!H:H)*20%),2),'Banco de Dados'!$A1571="MEI",ROUND(SUM('Banco de Dados'!$R1571*_xlfn.XLOOKUP('Banco de Dados'!$P1571,Sku!D:D,Sku!H:H)*20%),2)),0)</f>
        <v>0.59</v>
      </c>
      <c r="AN1571" s="109" t="e">
        <f ca="1">IF('Banco de Dados'!$AK1571&lt;&gt;"-",IF('Banco de Dados'!$F1571&lt;&gt;"-",_xlfn.XLOOKUP(IFERROR(IFERROR(IFERROR(VALUE(SUBSTITUTE(MID(_xlfn.TEXTAFTER('Banco de Dados'!$F1571,"Data do Pedido:
",1),1,10),"-","/")),VALUE(SUBSTITUTE(MID(_xlfn.TEXTAFTER('Banco de Dados'!$F1571,"Order date:
",1),1,10),"-","/"))),VALUE(SUBSTITUTE(MID(_xlfn.TEXTAFTER('Banco de Dados'!$F1571,"Fecha de pedido:
",1),1,10),"-","/"))),"-"),SMS!A:A,SMS!K:K),0),0)</f>
        <v>#N/A</v>
      </c>
      <c r="AO1571" s="109">
        <f ca="1">IF('Banco de Dados'!$AK1571&lt;&gt;"-",IF('Banco de Dados'!$F1571&lt;&gt;"-",IFERROR(_xlfn.XLOOKUP(_xlfn.CONCAT('Banco de Dados'!$A1571,IFERROR(IFERROR(VALUE(SUBSTITUTE(MID(_xlfn.TEXTAFTER('Banco de Dados'!$F1571,"Data do Pedido:
",1),1,10),"-","/")),VALUE(SUBSTITUTE(MID(_xlfn.TEXTAFTER('Banco de Dados'!$F1571,"Order date:
",1),1,10),"-","/"))),0)),ProxyDD[Chave],ProxyDD[Valor por pedido]),PROXY!$P$2),0),0)</f>
        <v>0.39877104377104378</v>
      </c>
      <c r="AP1571" s="28">
        <f ca="1">IF('Banco de Dados'!$AK1571&lt;&gt;"-",IF('Banco de Dados'!$AL1571="NÃO",IFERROR(VALUE(SUBSTITUTE(_xlfn.TEXTAFTER('Banco de Dados'!$F1571,"BRL ",1),".",",")),0),0),0)</f>
        <v>0</v>
      </c>
      <c r="AQ1571" s="28" t="e">
        <f ca="1">SUM('Banco de Dados'!$AM1571:$AP1571)</f>
        <v>#N/A</v>
      </c>
      <c r="AR1571" s="8"/>
      <c r="AS1571" s="8"/>
      <c r="AT1571"/>
      <c r="AY1571" s="8"/>
    </row>
    <row r="1572" spans="1:51">
      <c r="A1572" s="5" t="str">
        <v>MEI</v>
      </c>
      <c r="B1572" s="5" t="str">
        <f ca="1"/>
        <v>MEI45769</v>
      </c>
      <c r="C1572" s="8" t="str">
        <v>Pedido 1559</v>
      </c>
      <c r="D1572" s="187">
        <v>45769</v>
      </c>
      <c r="E1572" s="9">
        <v>45769</v>
      </c>
      <c r="F1572" s="8" t="str">
        <v>PedidoF1490</v>
      </c>
      <c r="G1572" s="2" t="str">
        <v>CódRastreio1488</v>
      </c>
      <c r="H1572" s="5">
        <v>1</v>
      </c>
      <c r="I1572" s="182" t="str">
        <v>CPF 1518</v>
      </c>
      <c r="J1572" s="2" t="str">
        <v>Nome 1518</v>
      </c>
      <c r="K1572" s="8" t="str">
        <v>Tel 1518</v>
      </c>
      <c r="L1572" s="8" t="str">
        <v>Cep 1518</v>
      </c>
      <c r="M1572" s="8" t="str">
        <v>Rua 1518</v>
      </c>
      <c r="N1572" s="8" t="str">
        <v>Comp 1518</v>
      </c>
      <c r="O1572" s="8" t="str">
        <v>Maçarico Culinário Portátil</v>
      </c>
      <c r="P1572" s="8" t="str">
        <v>BG-DHRO-FAEE</v>
      </c>
      <c r="Q1572" s="4">
        <v>45794</v>
      </c>
      <c r="R1572" s="109">
        <v>26.99</v>
      </c>
      <c r="S1572" s="11">
        <f ca="1"/>
        <v>26.99</v>
      </c>
      <c r="T1572" s="28">
        <f ca="1"/>
        <v>2.9688999999999997</v>
      </c>
      <c r="U1572" s="11">
        <f ca="1"/>
        <v>24.02</v>
      </c>
      <c r="V1572" s="11">
        <v>10.55</v>
      </c>
      <c r="W1572" s="11">
        <f ca="1"/>
        <v>0.18</v>
      </c>
      <c r="X1572" s="11">
        <f ca="1"/>
        <v>0.39877104377104378</v>
      </c>
      <c r="Y1572" s="11">
        <v>0</v>
      </c>
      <c r="Z1572" s="11">
        <f ca="1"/>
        <v>12.891228956228955</v>
      </c>
      <c r="AA1572" s="11">
        <f ca="1"/>
        <v>6.4456144781144777</v>
      </c>
      <c r="AB1572" s="4">
        <f ca="1"/>
        <v>45801</v>
      </c>
      <c r="AC1572" s="4">
        <v>45801</v>
      </c>
      <c r="AD1572" s="9">
        <v>45807</v>
      </c>
      <c r="AE1572" s="9">
        <v>45810</v>
      </c>
      <c r="AF1572" s="4" t="str">
        <f t="shared" ca="1" si="106"/>
        <v>2025 05</v>
      </c>
      <c r="AG1572" s="8" t="str" cm="1">
        <f t="array" ref="AG1572">IFERROR(_xlfn.IFS('Banco de Dados'!#REF!="AG. COMPRA","Em processamento",'Banco de Dados'!#REF!="AG. RASTREIO","Em processamento",'Banco de Dados'!$AE1572&lt;&gt;"-","Faturado",'Banco de Dados'!$AD1572&lt;&gt;"-","Aguardando Pix",'Banco de Dados'!$AC1572&lt;&gt;"-","Pendente"),"Aguardando Liberação")</f>
        <v>Aguardando Liberação</v>
      </c>
      <c r="AH1572" s="5" t="str">
        <f>IF('Banco de Dados'!$F1572="-",_xlfn.CONCAT(PROPER(TEXT(AK1572,"aaaa"))," ",PROPER(TEXT(AK1572,"mm"))),_xlfn.CONCAT(PROPER(TEXT(E1572,"aaaa"))," ",PROPER(TEXT(E1572,"mm"))))</f>
        <v>2025 04</v>
      </c>
      <c r="AI1572" s="9" t="str">
        <f ca="1">IF('Banco de Dados'!$AK1572&lt;&gt;"-","REEMBOLSO",IFERROR(_xlfn.XLOOKUP(G1572,Follow[CODRASTREIO],Follow[STATUS]),"-"))</f>
        <v>ENTREGUE</v>
      </c>
      <c r="AJ1572" s="9">
        <f ca="1">IF('Banco de Dados'!$AI1572="ENTREGUE",_xlfn.XLOOKUP('Banco de Dados'!$G1572,Follow[CODRASTREIO],Follow[DATAATUALIZAÇÃO]),"-")</f>
        <v>45805</v>
      </c>
      <c r="AK1572" s="132" t="str">
        <f ca="1"/>
        <v>-</v>
      </c>
      <c r="AL1572" s="35"/>
      <c r="AM1572" s="109" cm="1">
        <f t="array" aca="1" ref="AM1572" ca="1">IF('Banco de Dados'!$AK1572&lt;&gt;"-",_xlfn.IFS('Banco de Dados'!$A1572="bv",IF('Banco de Dados'!$E1572&lt;45641,ROUND(SUM('Banco de Dados'!$R1572*_xlfn.XLOOKUP('Banco de Dados'!$P1572,Sku!B:B,Sku!#REF!)*20%),2),ROUND(SUM('Banco de Dados'!$R1572*_xlfn.XLOOKUP('Banco de Dados'!$P1572,Sku!B:B,Sku!H:H)*20%),2)),'Banco de Dados'!$A1572="GO",ROUND(SUM('Banco de Dados'!$R1572*_xlfn.XLOOKUP('Banco de Dados'!$P1572,Sku!C:C,Sku!H:H)*20%),2),'Banco de Dados'!$A1572="MEI",ROUND(SUM('Banco de Dados'!$R1572*_xlfn.XLOOKUP('Banco de Dados'!$P1572,Sku!D:D,Sku!H:H)*20%),2)),0)</f>
        <v>0</v>
      </c>
      <c r="AN1572" s="109">
        <f ca="1">IF('Banco de Dados'!$AK1572&lt;&gt;"-",IF('Banco de Dados'!$F1572&lt;&gt;"-",_xlfn.XLOOKUP(IFERROR(IFERROR(IFERROR(VALUE(SUBSTITUTE(MID(_xlfn.TEXTAFTER('Banco de Dados'!$F1572,"Data do Pedido:
",1),1,10),"-","/")),VALUE(SUBSTITUTE(MID(_xlfn.TEXTAFTER('Banco de Dados'!$F1572,"Order date:
",1),1,10),"-","/"))),VALUE(SUBSTITUTE(MID(_xlfn.TEXTAFTER('Banco de Dados'!$F1572,"Fecha de pedido:
",1),1,10),"-","/"))),"-"),SMS!A:A,SMS!K:K),0),0)</f>
        <v>0</v>
      </c>
      <c r="AO1572" s="109">
        <f ca="1">IF('Banco de Dados'!$AK1572&lt;&gt;"-",IF('Banco de Dados'!$F1572&lt;&gt;"-",IFERROR(_xlfn.XLOOKUP(_xlfn.CONCAT('Banco de Dados'!$A1572,IFERROR(IFERROR(VALUE(SUBSTITUTE(MID(_xlfn.TEXTAFTER('Banco de Dados'!$F1572,"Data do Pedido:
",1),1,10),"-","/")),VALUE(SUBSTITUTE(MID(_xlfn.TEXTAFTER('Banco de Dados'!$F1572,"Order date:
",1),1,10),"-","/"))),0)),ProxyDD[Chave],ProxyDD[Valor por pedido]),PROXY!$P$2),0),0)</f>
        <v>0</v>
      </c>
      <c r="AP1572" s="28">
        <f ca="1">IF('Banco de Dados'!$AK1572&lt;&gt;"-",IF('Banco de Dados'!$AL1572="NÃO",IFERROR(VALUE(SUBSTITUTE(_xlfn.TEXTAFTER('Banco de Dados'!$F1572,"BRL ",1),".",",")),0),0),0)</f>
        <v>0</v>
      </c>
      <c r="AQ1572" s="28">
        <f ca="1">SUM('Banco de Dados'!$AM1572:$AP1572)</f>
        <v>0</v>
      </c>
      <c r="AR1572" s="8"/>
      <c r="AS1572" s="8"/>
      <c r="AT1572"/>
      <c r="AY1572" s="8"/>
    </row>
    <row r="1573" spans="1:51">
      <c r="A1573" s="5" t="str">
        <v>MEI</v>
      </c>
      <c r="B1573" s="5" t="str">
        <f ca="1"/>
        <v>MEI45770</v>
      </c>
      <c r="C1573" s="8" t="str">
        <v>Pedido 1560</v>
      </c>
      <c r="D1573" s="187">
        <v>45769</v>
      </c>
      <c r="E1573" s="9">
        <v>45770</v>
      </c>
      <c r="F1573" s="8" t="str">
        <v>PedidoF1491</v>
      </c>
      <c r="G1573" s="2" t="str">
        <v>CódRastreio1489</v>
      </c>
      <c r="H1573" s="5">
        <v>1</v>
      </c>
      <c r="I1573" s="182" t="str">
        <v>CPF 1519</v>
      </c>
      <c r="J1573" s="2" t="str">
        <v>Nome 1519</v>
      </c>
      <c r="K1573" s="8" t="str">
        <v>Tel 1519</v>
      </c>
      <c r="L1573" s="8" t="str">
        <v>Cep 1519</v>
      </c>
      <c r="M1573" s="8" t="str">
        <v>Rua 1519</v>
      </c>
      <c r="N1573" s="8" t="str">
        <v>Comp 1519</v>
      </c>
      <c r="O1573" s="8" t="str">
        <v>Copo Termico</v>
      </c>
      <c r="P1573" s="8" t="str">
        <v>VI-4RT5-1FFO</v>
      </c>
      <c r="Q1573" s="4">
        <v>45797</v>
      </c>
      <c r="R1573" s="109">
        <v>22.7</v>
      </c>
      <c r="S1573" s="11">
        <f ca="1"/>
        <v>22.7</v>
      </c>
      <c r="T1573" s="28">
        <f ca="1"/>
        <v>2.7239999999999998</v>
      </c>
      <c r="U1573" s="11">
        <f ca="1"/>
        <v>19.98</v>
      </c>
      <c r="V1573" s="11">
        <v>19.57</v>
      </c>
      <c r="W1573" s="11">
        <f ca="1"/>
        <v>0.12</v>
      </c>
      <c r="X1573" s="11">
        <f ca="1"/>
        <v>0.39877104377104378</v>
      </c>
      <c r="Y1573" s="11">
        <v>0</v>
      </c>
      <c r="Z1573" s="11">
        <f ca="1"/>
        <v>-0.10877104377104629</v>
      </c>
      <c r="AA1573" s="11">
        <f ca="1"/>
        <v>-5.4385521885523147E-2</v>
      </c>
      <c r="AB1573" s="4">
        <f ca="1"/>
        <v>45804</v>
      </c>
      <c r="AC1573" s="4">
        <v>45804</v>
      </c>
      <c r="AD1573" s="9">
        <v>45807</v>
      </c>
      <c r="AE1573" s="9">
        <v>45810</v>
      </c>
      <c r="AF1573" s="4" t="str">
        <f t="shared" ca="1" si="106"/>
        <v>2025 05</v>
      </c>
      <c r="AG1573" s="8" t="str" cm="1">
        <f t="array" ref="AG1573">IFERROR(_xlfn.IFS('Banco de Dados'!#REF!="AG. COMPRA","Em processamento",'Banco de Dados'!#REF!="AG. RASTREIO","Em processamento",'Banco de Dados'!$AE1573&lt;&gt;"-","Faturado",'Banco de Dados'!$AD1573&lt;&gt;"-","Aguardando Pix",'Banco de Dados'!$AC1573&lt;&gt;"-","Pendente"),"Aguardando Liberação")</f>
        <v>Aguardando Liberação</v>
      </c>
      <c r="AH1573" s="5" t="str">
        <f>IF('Banco de Dados'!$F1573="-",_xlfn.CONCAT(PROPER(TEXT(AK1573,"aaaa"))," ",PROPER(TEXT(AK1573,"mm"))),_xlfn.CONCAT(PROPER(TEXT(E1573,"aaaa"))," ",PROPER(TEXT(E1573,"mm"))))</f>
        <v>2025 04</v>
      </c>
      <c r="AI1573" s="9" t="str">
        <f ca="1">IF('Banco de Dados'!$AK1573&lt;&gt;"-","REEMBOLSO",IFERROR(_xlfn.XLOOKUP(G1573,Follow[CODRASTREIO],Follow[STATUS]),"-"))</f>
        <v>ENTREGUE</v>
      </c>
      <c r="AJ1573" s="9">
        <f ca="1">IF('Banco de Dados'!$AI1573="ENTREGUE",_xlfn.XLOOKUP('Banco de Dados'!$G1573,Follow[CODRASTREIO],Follow[DATAATUALIZAÇÃO]),"-")</f>
        <v>45777</v>
      </c>
      <c r="AK1573" s="132" t="str">
        <f ca="1"/>
        <v>-</v>
      </c>
      <c r="AL1573" s="35"/>
      <c r="AM1573" s="109" cm="1">
        <f t="array" aca="1" ref="AM1573" ca="1">IF('Banco de Dados'!$AK1573&lt;&gt;"-",_xlfn.IFS('Banco de Dados'!$A1573="bv",IF('Banco de Dados'!$E1573&lt;45641,ROUND(SUM('Banco de Dados'!$R1573*_xlfn.XLOOKUP('Banco de Dados'!$P1573,Sku!B:B,Sku!#REF!)*20%),2),ROUND(SUM('Banco de Dados'!$R1573*_xlfn.XLOOKUP('Banco de Dados'!$P1573,Sku!B:B,Sku!H:H)*20%),2)),'Banco de Dados'!$A1573="GO",ROUND(SUM('Banco de Dados'!$R1573*_xlfn.XLOOKUP('Banco de Dados'!$P1573,Sku!C:C,Sku!H:H)*20%),2),'Banco de Dados'!$A1573="MEI",ROUND(SUM('Banco de Dados'!$R1573*_xlfn.XLOOKUP('Banco de Dados'!$P1573,Sku!D:D,Sku!H:H)*20%),2)),0)</f>
        <v>0</v>
      </c>
      <c r="AN1573" s="109">
        <f ca="1">IF('Banco de Dados'!$AK1573&lt;&gt;"-",IF('Banco de Dados'!$F1573&lt;&gt;"-",_xlfn.XLOOKUP(IFERROR(IFERROR(IFERROR(VALUE(SUBSTITUTE(MID(_xlfn.TEXTAFTER('Banco de Dados'!$F1573,"Data do Pedido:
",1),1,10),"-","/")),VALUE(SUBSTITUTE(MID(_xlfn.TEXTAFTER('Banco de Dados'!$F1573,"Order date:
",1),1,10),"-","/"))),VALUE(SUBSTITUTE(MID(_xlfn.TEXTAFTER('Banco de Dados'!$F1573,"Fecha de pedido:
",1),1,10),"-","/"))),"-"),SMS!A:A,SMS!K:K),0),0)</f>
        <v>0</v>
      </c>
      <c r="AO1573" s="109">
        <f ca="1">IF('Banco de Dados'!$AK1573&lt;&gt;"-",IF('Banco de Dados'!$F1573&lt;&gt;"-",IFERROR(_xlfn.XLOOKUP(_xlfn.CONCAT('Banco de Dados'!$A1573,IFERROR(IFERROR(VALUE(SUBSTITUTE(MID(_xlfn.TEXTAFTER('Banco de Dados'!$F1573,"Data do Pedido:
",1),1,10),"-","/")),VALUE(SUBSTITUTE(MID(_xlfn.TEXTAFTER('Banco de Dados'!$F1573,"Order date:
",1),1,10),"-","/"))),0)),ProxyDD[Chave],ProxyDD[Valor por pedido]),PROXY!$P$2),0),0)</f>
        <v>0</v>
      </c>
      <c r="AP1573" s="28">
        <f ca="1">IF('Banco de Dados'!$AK1573&lt;&gt;"-",IF('Banco de Dados'!$AL1573="NÃO",IFERROR(VALUE(SUBSTITUTE(_xlfn.TEXTAFTER('Banco de Dados'!$F1573,"BRL ",1),".",",")),0),0),0)</f>
        <v>0</v>
      </c>
      <c r="AQ1573" s="28">
        <f ca="1">SUM('Banco de Dados'!$AM1573:$AP1573)</f>
        <v>0</v>
      </c>
      <c r="AR1573" s="8"/>
      <c r="AS1573" s="8"/>
      <c r="AT1573"/>
      <c r="AY1573" s="8"/>
    </row>
    <row r="1574" spans="1:51">
      <c r="A1574" s="5" t="str">
        <v>MEI</v>
      </c>
      <c r="B1574" s="5" t="str">
        <f ca="1"/>
        <v>MEI45770</v>
      </c>
      <c r="C1574" s="8" t="str">
        <v>Pedido 1561</v>
      </c>
      <c r="D1574" s="187">
        <v>45769</v>
      </c>
      <c r="E1574" s="9">
        <v>45770</v>
      </c>
      <c r="F1574" s="8" t="str">
        <v>PedidoF1492</v>
      </c>
      <c r="G1574" s="2" t="str">
        <v>CódRastreio1490</v>
      </c>
      <c r="H1574" s="5">
        <v>1</v>
      </c>
      <c r="I1574" s="182" t="str">
        <v>CPF 1520</v>
      </c>
      <c r="J1574" s="2" t="str">
        <v>Nome 1520</v>
      </c>
      <c r="K1574" s="8" t="str">
        <v>Tel 1520</v>
      </c>
      <c r="L1574" s="8" t="str">
        <v>Cep 1520</v>
      </c>
      <c r="M1574" s="8" t="str">
        <v>Rua 1520</v>
      </c>
      <c r="N1574" s="8" t="str">
        <v>Comp 1520</v>
      </c>
      <c r="O1574" s="8" t="str">
        <v>Ventilador Umidificador Preto</v>
      </c>
      <c r="P1574" s="8" t="str">
        <v>71-KHMZ-MLQW</v>
      </c>
      <c r="Q1574" s="4">
        <v>45797</v>
      </c>
      <c r="R1574" s="109">
        <v>52.99</v>
      </c>
      <c r="S1574" s="11">
        <f ca="1"/>
        <v>52.99</v>
      </c>
      <c r="T1574" s="28">
        <f ca="1"/>
        <v>5.8289</v>
      </c>
      <c r="U1574" s="11">
        <f ca="1"/>
        <v>47.16</v>
      </c>
      <c r="V1574" s="11">
        <v>39.26</v>
      </c>
      <c r="W1574" s="11">
        <f ca="1"/>
        <v>0.12</v>
      </c>
      <c r="X1574" s="11">
        <f ca="1"/>
        <v>0.39877104377104378</v>
      </c>
      <c r="Y1574" s="11">
        <v>0</v>
      </c>
      <c r="Z1574" s="11">
        <f ca="1"/>
        <v>7.3812289562289592</v>
      </c>
      <c r="AA1574" s="11">
        <f ca="1"/>
        <v>3.6906144781144796</v>
      </c>
      <c r="AB1574" s="4">
        <f ca="1"/>
        <v>45804</v>
      </c>
      <c r="AC1574" s="4">
        <v>45804</v>
      </c>
      <c r="AD1574" s="9">
        <v>45807</v>
      </c>
      <c r="AE1574" s="9">
        <v>45810</v>
      </c>
      <c r="AF1574" s="4" t="str">
        <f t="shared" ca="1" si="106"/>
        <v>2025 05</v>
      </c>
      <c r="AG1574" s="8" t="str" cm="1">
        <f t="array" ref="AG1574">IFERROR(_xlfn.IFS('Banco de Dados'!#REF!="AG. COMPRA","Em processamento",'Banco de Dados'!#REF!="AG. RASTREIO","Em processamento",'Banco de Dados'!$AE1574&lt;&gt;"-","Faturado",'Banco de Dados'!$AD1574&lt;&gt;"-","Aguardando Pix",'Banco de Dados'!$AC1574&lt;&gt;"-","Pendente"),"Aguardando Liberação")</f>
        <v>Aguardando Liberação</v>
      </c>
      <c r="AH1574" s="5" t="str">
        <f>IF('Banco de Dados'!$F1574="-",_xlfn.CONCAT(PROPER(TEXT(AK1574,"aaaa"))," ",PROPER(TEXT(AK1574,"mm"))),_xlfn.CONCAT(PROPER(TEXT(E1574,"aaaa"))," ",PROPER(TEXT(E1574,"mm"))))</f>
        <v>2025 04</v>
      </c>
      <c r="AI1574" s="9" t="str">
        <f ca="1">IF('Banco de Dados'!$AK1574&lt;&gt;"-","REEMBOLSO",IFERROR(_xlfn.XLOOKUP(G1574,Follow[CODRASTREIO],Follow[STATUS]),"-"))</f>
        <v>ENTREGUE</v>
      </c>
      <c r="AJ1574" s="9">
        <f ca="1">IF('Banco de Dados'!$AI1574="ENTREGUE",_xlfn.XLOOKUP('Banco de Dados'!$G1574,Follow[CODRASTREIO],Follow[DATAATUALIZAÇÃO]),"-")</f>
        <v>45792</v>
      </c>
      <c r="AK1574" s="132" t="str">
        <f ca="1"/>
        <v>-</v>
      </c>
      <c r="AL1574" s="35"/>
      <c r="AM1574" s="109" cm="1">
        <f t="array" aca="1" ref="AM1574" ca="1">IF('Banco de Dados'!$AK1574&lt;&gt;"-",_xlfn.IFS('Banco de Dados'!$A1574="bv",IF('Banco de Dados'!$E1574&lt;45641,ROUND(SUM('Banco de Dados'!$R1574*_xlfn.XLOOKUP('Banco de Dados'!$P1574,Sku!B:B,Sku!#REF!)*20%),2),ROUND(SUM('Banco de Dados'!$R1574*_xlfn.XLOOKUP('Banco de Dados'!$P1574,Sku!B:B,Sku!H:H)*20%),2)),'Banco de Dados'!$A1574="GO",ROUND(SUM('Banco de Dados'!$R1574*_xlfn.XLOOKUP('Banco de Dados'!$P1574,Sku!C:C,Sku!H:H)*20%),2),'Banco de Dados'!$A1574="MEI",ROUND(SUM('Banco de Dados'!$R1574*_xlfn.XLOOKUP('Banco de Dados'!$P1574,Sku!D:D,Sku!H:H)*20%),2)),0)</f>
        <v>0</v>
      </c>
      <c r="AN1574" s="109">
        <f ca="1">IF('Banco de Dados'!$AK1574&lt;&gt;"-",IF('Banco de Dados'!$F1574&lt;&gt;"-",_xlfn.XLOOKUP(IFERROR(IFERROR(IFERROR(VALUE(SUBSTITUTE(MID(_xlfn.TEXTAFTER('Banco de Dados'!$F1574,"Data do Pedido:
",1),1,10),"-","/")),VALUE(SUBSTITUTE(MID(_xlfn.TEXTAFTER('Banco de Dados'!$F1574,"Order date:
",1),1,10),"-","/"))),VALUE(SUBSTITUTE(MID(_xlfn.TEXTAFTER('Banco de Dados'!$F1574,"Fecha de pedido:
",1),1,10),"-","/"))),"-"),SMS!A:A,SMS!K:K),0),0)</f>
        <v>0</v>
      </c>
      <c r="AO1574" s="109">
        <f ca="1">IF('Banco de Dados'!$AK1574&lt;&gt;"-",IF('Banco de Dados'!$F1574&lt;&gt;"-",IFERROR(_xlfn.XLOOKUP(_xlfn.CONCAT('Banco de Dados'!$A1574,IFERROR(IFERROR(VALUE(SUBSTITUTE(MID(_xlfn.TEXTAFTER('Banco de Dados'!$F1574,"Data do Pedido:
",1),1,10),"-","/")),VALUE(SUBSTITUTE(MID(_xlfn.TEXTAFTER('Banco de Dados'!$F1574,"Order date:
",1),1,10),"-","/"))),0)),ProxyDD[Chave],ProxyDD[Valor por pedido]),PROXY!$P$2),0),0)</f>
        <v>0</v>
      </c>
      <c r="AP1574" s="28">
        <f ca="1">IF('Banco de Dados'!$AK1574&lt;&gt;"-",IF('Banco de Dados'!$AL1574="NÃO",IFERROR(VALUE(SUBSTITUTE(_xlfn.TEXTAFTER('Banco de Dados'!$F1574,"BRL ",1),".",",")),0),0),0)</f>
        <v>0</v>
      </c>
      <c r="AQ1574" s="28">
        <f ca="1">SUM('Banco de Dados'!$AM1574:$AP1574)</f>
        <v>0</v>
      </c>
      <c r="AR1574" s="8"/>
      <c r="AS1574" s="8"/>
      <c r="AT1574"/>
      <c r="AY1574" s="8"/>
    </row>
    <row r="1575" spans="1:51">
      <c r="A1575" s="5" t="str">
        <v>MEI</v>
      </c>
      <c r="B1575" s="5" t="str">
        <f ca="1"/>
        <v>MEI45770</v>
      </c>
      <c r="C1575" s="8" t="str">
        <v>Pedido 1562</v>
      </c>
      <c r="D1575" s="187">
        <v>45769</v>
      </c>
      <c r="E1575" s="9">
        <v>45770</v>
      </c>
      <c r="F1575" s="8" t="str">
        <v>PedidoF1493</v>
      </c>
      <c r="G1575" s="2" t="str">
        <v>CódRastreio1491</v>
      </c>
      <c r="H1575" s="5">
        <v>1</v>
      </c>
      <c r="I1575" s="182" t="str">
        <v>CPF 1521</v>
      </c>
      <c r="J1575" s="2" t="str">
        <v>Nome 1521</v>
      </c>
      <c r="K1575" s="8" t="str">
        <v>Tel 1521</v>
      </c>
      <c r="L1575" s="8" t="str">
        <v>Cep 1521</v>
      </c>
      <c r="M1575" s="8" t="str">
        <v>Rua 1521</v>
      </c>
      <c r="N1575" s="8" t="str">
        <v>Comp 1521</v>
      </c>
      <c r="O1575" s="8" t="str">
        <v>Maçarico Culinário Portátil</v>
      </c>
      <c r="P1575" s="8" t="str">
        <v>BG-DHRO-FAEE</v>
      </c>
      <c r="Q1575" s="4">
        <v>45797</v>
      </c>
      <c r="R1575" s="109">
        <v>26.99</v>
      </c>
      <c r="S1575" s="11">
        <f ca="1"/>
        <v>26.99</v>
      </c>
      <c r="T1575" s="28">
        <f ca="1"/>
        <v>2.9688999999999997</v>
      </c>
      <c r="U1575" s="11">
        <f ca="1"/>
        <v>24.02</v>
      </c>
      <c r="V1575" s="11">
        <v>16.190000000000001</v>
      </c>
      <c r="W1575" s="11">
        <f ca="1"/>
        <v>0.12</v>
      </c>
      <c r="X1575" s="11">
        <f ca="1"/>
        <v>0.39877104377104378</v>
      </c>
      <c r="Y1575" s="11">
        <v>0</v>
      </c>
      <c r="Z1575" s="11">
        <f ca="1"/>
        <v>7.3112289562289519</v>
      </c>
      <c r="AA1575" s="11">
        <f ca="1"/>
        <v>3.6556144781144759</v>
      </c>
      <c r="AB1575" s="4">
        <f ca="1"/>
        <v>45804</v>
      </c>
      <c r="AC1575" s="4">
        <v>45804</v>
      </c>
      <c r="AD1575" s="9">
        <v>45807</v>
      </c>
      <c r="AE1575" s="9">
        <v>45810</v>
      </c>
      <c r="AF1575" s="4" t="str">
        <f t="shared" ca="1" si="106"/>
        <v>2025 05</v>
      </c>
      <c r="AG1575" s="8" t="str" cm="1">
        <f t="array" ref="AG1575">IFERROR(_xlfn.IFS('Banco de Dados'!#REF!="AG. COMPRA","Em processamento",'Banco de Dados'!#REF!="AG. RASTREIO","Em processamento",'Banco de Dados'!$AE1575&lt;&gt;"-","Faturado",'Banco de Dados'!$AD1575&lt;&gt;"-","Aguardando Pix",'Banco de Dados'!$AC1575&lt;&gt;"-","Pendente"),"Aguardando Liberação")</f>
        <v>Aguardando Liberação</v>
      </c>
      <c r="AH1575" s="5" t="str">
        <f>IF('Banco de Dados'!$F1575="-",_xlfn.CONCAT(PROPER(TEXT(AK1575,"aaaa"))," ",PROPER(TEXT(AK1575,"mm"))),_xlfn.CONCAT(PROPER(TEXT(E1575,"aaaa"))," ",PROPER(TEXT(E1575,"mm"))))</f>
        <v>2025 04</v>
      </c>
      <c r="AI1575" s="9" t="str">
        <f ca="1">IF('Banco de Dados'!$AK1575&lt;&gt;"-","REEMBOLSO",IFERROR(_xlfn.XLOOKUP(G1575,Follow[CODRASTREIO],Follow[STATUS]),"-"))</f>
        <v>ENTREGUE</v>
      </c>
      <c r="AJ1575" s="9">
        <f ca="1">IF('Banco de Dados'!$AI1575="ENTREGUE",_xlfn.XLOOKUP('Banco de Dados'!$G1575,Follow[CODRASTREIO],Follow[DATAATUALIZAÇÃO]),"-")</f>
        <v>45812</v>
      </c>
      <c r="AK1575" s="132" t="str">
        <f ca="1"/>
        <v>-</v>
      </c>
      <c r="AL1575" s="35"/>
      <c r="AM1575" s="109" cm="1">
        <f t="array" aca="1" ref="AM1575" ca="1">IF('Banco de Dados'!$AK1575&lt;&gt;"-",_xlfn.IFS('Banco de Dados'!$A1575="bv",IF('Banco de Dados'!$E1575&lt;45641,ROUND(SUM('Banco de Dados'!$R1575*_xlfn.XLOOKUP('Banco de Dados'!$P1575,Sku!B:B,Sku!#REF!)*20%),2),ROUND(SUM('Banco de Dados'!$R1575*_xlfn.XLOOKUP('Banco de Dados'!$P1575,Sku!B:B,Sku!H:H)*20%),2)),'Banco de Dados'!$A1575="GO",ROUND(SUM('Banco de Dados'!$R1575*_xlfn.XLOOKUP('Banco de Dados'!$P1575,Sku!C:C,Sku!H:H)*20%),2),'Banco de Dados'!$A1575="MEI",ROUND(SUM('Banco de Dados'!$R1575*_xlfn.XLOOKUP('Banco de Dados'!$P1575,Sku!D:D,Sku!H:H)*20%),2)),0)</f>
        <v>0</v>
      </c>
      <c r="AN1575" s="109">
        <f ca="1">IF('Banco de Dados'!$AK1575&lt;&gt;"-",IF('Banco de Dados'!$F1575&lt;&gt;"-",_xlfn.XLOOKUP(IFERROR(IFERROR(IFERROR(VALUE(SUBSTITUTE(MID(_xlfn.TEXTAFTER('Banco de Dados'!$F1575,"Data do Pedido:
",1),1,10),"-","/")),VALUE(SUBSTITUTE(MID(_xlfn.TEXTAFTER('Banco de Dados'!$F1575,"Order date:
",1),1,10),"-","/"))),VALUE(SUBSTITUTE(MID(_xlfn.TEXTAFTER('Banco de Dados'!$F1575,"Fecha de pedido:
",1),1,10),"-","/"))),"-"),SMS!A:A,SMS!K:K),0),0)</f>
        <v>0</v>
      </c>
      <c r="AO1575" s="109">
        <f ca="1">IF('Banco de Dados'!$AK1575&lt;&gt;"-",IF('Banco de Dados'!$F1575&lt;&gt;"-",IFERROR(_xlfn.XLOOKUP(_xlfn.CONCAT('Banco de Dados'!$A1575,IFERROR(IFERROR(VALUE(SUBSTITUTE(MID(_xlfn.TEXTAFTER('Banco de Dados'!$F1575,"Data do Pedido:
",1),1,10),"-","/")),VALUE(SUBSTITUTE(MID(_xlfn.TEXTAFTER('Banco de Dados'!$F1575,"Order date:
",1),1,10),"-","/"))),0)),ProxyDD[Chave],ProxyDD[Valor por pedido]),PROXY!$P$2),0),0)</f>
        <v>0</v>
      </c>
      <c r="AP1575" s="28">
        <f ca="1">IF('Banco de Dados'!$AK1575&lt;&gt;"-",IF('Banco de Dados'!$AL1575="NÃO",IFERROR(VALUE(SUBSTITUTE(_xlfn.TEXTAFTER('Banco de Dados'!$F1575,"BRL ",1),".",",")),0),0),0)</f>
        <v>0</v>
      </c>
      <c r="AQ1575" s="28">
        <f ca="1">SUM('Banco de Dados'!$AM1575:$AP1575)</f>
        <v>0</v>
      </c>
      <c r="AR1575" s="8"/>
      <c r="AS1575" s="8"/>
      <c r="AT1575"/>
      <c r="AY1575" s="8"/>
    </row>
    <row r="1576" spans="1:51">
      <c r="A1576" s="5" t="str">
        <v>MEI</v>
      </c>
      <c r="B1576" s="5" t="str">
        <f ca="1"/>
        <v>MEI45770</v>
      </c>
      <c r="C1576" s="8" t="str">
        <v>Pedido 1563</v>
      </c>
      <c r="D1576" s="187">
        <v>45769</v>
      </c>
      <c r="E1576" s="9">
        <v>45770</v>
      </c>
      <c r="F1576" s="8" t="str">
        <v>PedidoF1494</v>
      </c>
      <c r="G1576" s="2" t="str">
        <v>CódRastreio1492</v>
      </c>
      <c r="H1576" s="5">
        <v>1</v>
      </c>
      <c r="I1576" s="182" t="str">
        <v>CPF 1522</v>
      </c>
      <c r="J1576" s="2" t="str">
        <v>Nome 1522</v>
      </c>
      <c r="K1576" s="8" t="str">
        <v>Tel 1522</v>
      </c>
      <c r="L1576" s="8" t="str">
        <v>Cep 1522</v>
      </c>
      <c r="M1576" s="8" t="str">
        <v>Rua 1522</v>
      </c>
      <c r="N1576" s="8" t="str">
        <v>Comp 1522</v>
      </c>
      <c r="O1576" s="8" t="str">
        <v>Garrafa Termica</v>
      </c>
      <c r="P1576" s="8" t="str">
        <v>LF-R6MC-WKWP</v>
      </c>
      <c r="Q1576" s="4">
        <v>45797</v>
      </c>
      <c r="R1576" s="109">
        <v>32.67</v>
      </c>
      <c r="S1576" s="11">
        <f ca="1"/>
        <v>32.67</v>
      </c>
      <c r="T1576" s="28">
        <f ca="1"/>
        <v>3.9203999999999999</v>
      </c>
      <c r="U1576" s="11">
        <f ca="1"/>
        <v>28.75</v>
      </c>
      <c r="V1576" s="11">
        <v>17.3</v>
      </c>
      <c r="W1576" s="11">
        <f ca="1"/>
        <v>0.12</v>
      </c>
      <c r="X1576" s="11">
        <f ca="1"/>
        <v>0.39877104377104378</v>
      </c>
      <c r="Y1576" s="11">
        <v>0</v>
      </c>
      <c r="Z1576" s="11">
        <f ca="1"/>
        <v>10.931228956228953</v>
      </c>
      <c r="AA1576" s="11">
        <f ca="1"/>
        <v>5.4656144781144764</v>
      </c>
      <c r="AB1576" s="4">
        <f ca="1"/>
        <v>45804</v>
      </c>
      <c r="AC1576" s="4">
        <v>45804</v>
      </c>
      <c r="AD1576" s="9">
        <v>45807</v>
      </c>
      <c r="AE1576" s="9">
        <v>45810</v>
      </c>
      <c r="AF1576" s="4" t="str">
        <f t="shared" ca="1" si="106"/>
        <v>2025 05</v>
      </c>
      <c r="AG1576" s="8" t="str" cm="1">
        <f t="array" ref="AG1576">IFERROR(_xlfn.IFS('Banco de Dados'!#REF!="AG. COMPRA","Em processamento",'Banco de Dados'!#REF!="AG. RASTREIO","Em processamento",'Banco de Dados'!$AE1576&lt;&gt;"-","Faturado",'Banco de Dados'!$AD1576&lt;&gt;"-","Aguardando Pix",'Banco de Dados'!$AC1576&lt;&gt;"-","Pendente"),"Aguardando Liberação")</f>
        <v>Aguardando Liberação</v>
      </c>
      <c r="AH1576" s="5" t="str">
        <f>IF('Banco de Dados'!$F1576="-",_xlfn.CONCAT(PROPER(TEXT(AK1576,"aaaa"))," ",PROPER(TEXT(AK1576,"mm"))),_xlfn.CONCAT(PROPER(TEXT(E1576,"aaaa"))," ",PROPER(TEXT(E1576,"mm"))))</f>
        <v>2025 04</v>
      </c>
      <c r="AI1576" s="9" t="str">
        <f ca="1">IF('Banco de Dados'!$AK1576&lt;&gt;"-","REEMBOLSO",IFERROR(_xlfn.XLOOKUP(G1576,Follow[CODRASTREIO],Follow[STATUS]),"-"))</f>
        <v>ENTREGUE</v>
      </c>
      <c r="AJ1576" s="9">
        <f ca="1">IF('Banco de Dados'!$AI1576="ENTREGUE",_xlfn.XLOOKUP('Banco de Dados'!$G1576,Follow[CODRASTREIO],Follow[DATAATUALIZAÇÃO]),"-")</f>
        <v>45783</v>
      </c>
      <c r="AK1576" s="132" t="str">
        <f ca="1"/>
        <v>-</v>
      </c>
      <c r="AL1576" s="35"/>
      <c r="AM1576" s="109" cm="1">
        <f t="array" aca="1" ref="AM1576" ca="1">IF('Banco de Dados'!$AK1576&lt;&gt;"-",_xlfn.IFS('Banco de Dados'!$A1576="bv",IF('Banco de Dados'!$E1576&lt;45641,ROUND(SUM('Banco de Dados'!$R1576*_xlfn.XLOOKUP('Banco de Dados'!$P1576,Sku!B:B,Sku!#REF!)*20%),2),ROUND(SUM('Banco de Dados'!$R1576*_xlfn.XLOOKUP('Banco de Dados'!$P1576,Sku!B:B,Sku!H:H)*20%),2)),'Banco de Dados'!$A1576="GO",ROUND(SUM('Banco de Dados'!$R1576*_xlfn.XLOOKUP('Banco de Dados'!$P1576,Sku!C:C,Sku!H:H)*20%),2),'Banco de Dados'!$A1576="MEI",ROUND(SUM('Banco de Dados'!$R1576*_xlfn.XLOOKUP('Banco de Dados'!$P1576,Sku!D:D,Sku!H:H)*20%),2)),0)</f>
        <v>0</v>
      </c>
      <c r="AN1576" s="109">
        <f ca="1">IF('Banco de Dados'!$AK1576&lt;&gt;"-",IF('Banco de Dados'!$F1576&lt;&gt;"-",_xlfn.XLOOKUP(IFERROR(IFERROR(IFERROR(VALUE(SUBSTITUTE(MID(_xlfn.TEXTAFTER('Banco de Dados'!$F1576,"Data do Pedido:
",1),1,10),"-","/")),VALUE(SUBSTITUTE(MID(_xlfn.TEXTAFTER('Banco de Dados'!$F1576,"Order date:
",1),1,10),"-","/"))),VALUE(SUBSTITUTE(MID(_xlfn.TEXTAFTER('Banco de Dados'!$F1576,"Fecha de pedido:
",1),1,10),"-","/"))),"-"),SMS!A:A,SMS!K:K),0),0)</f>
        <v>0</v>
      </c>
      <c r="AO1576" s="109">
        <f ca="1">IF('Banco de Dados'!$AK1576&lt;&gt;"-",IF('Banco de Dados'!$F1576&lt;&gt;"-",IFERROR(_xlfn.XLOOKUP(_xlfn.CONCAT('Banco de Dados'!$A1576,IFERROR(IFERROR(VALUE(SUBSTITUTE(MID(_xlfn.TEXTAFTER('Banco de Dados'!$F1576,"Data do Pedido:
",1),1,10),"-","/")),VALUE(SUBSTITUTE(MID(_xlfn.TEXTAFTER('Banco de Dados'!$F1576,"Order date:
",1),1,10),"-","/"))),0)),ProxyDD[Chave],ProxyDD[Valor por pedido]),PROXY!$P$2),0),0)</f>
        <v>0</v>
      </c>
      <c r="AP1576" s="28">
        <f ca="1">IF('Banco de Dados'!$AK1576&lt;&gt;"-",IF('Banco de Dados'!$AL1576="NÃO",IFERROR(VALUE(SUBSTITUTE(_xlfn.TEXTAFTER('Banco de Dados'!$F1576,"BRL ",1),".",",")),0),0),0)</f>
        <v>0</v>
      </c>
      <c r="AQ1576" s="28">
        <f ca="1">SUM('Banco de Dados'!$AM1576:$AP1576)</f>
        <v>0</v>
      </c>
      <c r="AR1576" s="8"/>
      <c r="AS1576" s="8"/>
      <c r="AT1576"/>
      <c r="AY1576" s="8"/>
    </row>
    <row r="1577" spans="1:51">
      <c r="A1577" s="5" t="str">
        <v>BV</v>
      </c>
      <c r="B1577" s="5" t="str">
        <f ca="1"/>
        <v>BV45769</v>
      </c>
      <c r="C1577" s="8" t="str">
        <v>Pedido 1564</v>
      </c>
      <c r="D1577" s="187">
        <v>45769</v>
      </c>
      <c r="E1577" s="9">
        <v>45769</v>
      </c>
      <c r="F1577" s="8" t="str">
        <v>PedidoF1495</v>
      </c>
      <c r="G1577" s="2" t="str">
        <v>CódRastreio1493</v>
      </c>
      <c r="H1577" s="5">
        <v>1</v>
      </c>
      <c r="I1577" s="182" t="str">
        <v>CPF 1523</v>
      </c>
      <c r="J1577" s="2" t="str">
        <v>Nome 1523</v>
      </c>
      <c r="K1577" s="8" t="str">
        <v>Tel 1523</v>
      </c>
      <c r="L1577" s="8" t="str">
        <v>Cep 1523</v>
      </c>
      <c r="M1577" s="8" t="str">
        <v>Rua 1523</v>
      </c>
      <c r="N1577" s="8" t="str">
        <v>Comp 1523</v>
      </c>
      <c r="O1577" s="8" t="str">
        <v>Ventilador Preto</v>
      </c>
      <c r="P1577" s="8" t="str">
        <v>MU-J80P-95WF</v>
      </c>
      <c r="Q1577" s="4">
        <v>45791</v>
      </c>
      <c r="R1577" s="109">
        <v>65.739999999999995</v>
      </c>
      <c r="S1577" s="11">
        <f ca="1"/>
        <v>65.739999999999995</v>
      </c>
      <c r="T1577" s="28">
        <f ca="1"/>
        <v>7.8887999999999989</v>
      </c>
      <c r="U1577" s="11">
        <f ca="1"/>
        <v>57.85</v>
      </c>
      <c r="V1577" s="11">
        <v>36.049999999999997</v>
      </c>
      <c r="W1577" s="11">
        <f ca="1"/>
        <v>0.25</v>
      </c>
      <c r="X1577" s="11">
        <f ca="1"/>
        <v>0.39877104377104378</v>
      </c>
      <c r="Y1577" s="11">
        <v>0</v>
      </c>
      <c r="Z1577" s="11">
        <f ca="1"/>
        <v>21.151228956228962</v>
      </c>
      <c r="AA1577" s="11">
        <f ca="1"/>
        <v>10.575614478114481</v>
      </c>
      <c r="AB1577" s="4">
        <f ca="1"/>
        <v>45798</v>
      </c>
      <c r="AC1577" s="4">
        <v>45798</v>
      </c>
      <c r="AD1577" s="9">
        <v>45807</v>
      </c>
      <c r="AE1577" s="9">
        <v>45810</v>
      </c>
      <c r="AF1577" s="4" t="str">
        <f t="shared" ca="1" si="106"/>
        <v>2025 05</v>
      </c>
      <c r="AG1577" s="8" t="str" cm="1">
        <f t="array" ref="AG1577">IFERROR(_xlfn.IFS('Banco de Dados'!#REF!="AG. COMPRA","Em processamento",'Banco de Dados'!#REF!="AG. RASTREIO","Em processamento",'Banco de Dados'!$AE1577&lt;&gt;"-","Faturado",'Banco de Dados'!$AD1577&lt;&gt;"-","Aguardando Pix",'Banco de Dados'!$AC1577&lt;&gt;"-","Pendente"),"Aguardando Liberação")</f>
        <v>Aguardando Liberação</v>
      </c>
      <c r="AH1577" s="5" t="str">
        <f>IF('Banco de Dados'!$F1577="-",_xlfn.CONCAT(PROPER(TEXT(AK1577,"aaaa"))," ",PROPER(TEXT(AK1577,"mm"))),_xlfn.CONCAT(PROPER(TEXT(E1577,"aaaa"))," ",PROPER(TEXT(E1577,"mm"))))</f>
        <v>2025 04</v>
      </c>
      <c r="AI1577" s="9" t="str">
        <f ca="1">IF('Banco de Dados'!$AK1577&lt;&gt;"-","REEMBOLSO",IFERROR(_xlfn.XLOOKUP(G1577,Follow[CODRASTREIO],Follow[STATUS]),"-"))</f>
        <v>ENTREGUE</v>
      </c>
      <c r="AJ1577" s="9">
        <f ca="1">IF('Banco de Dados'!$AI1577="ENTREGUE",_xlfn.XLOOKUP('Banco de Dados'!$G1577,Follow[CODRASTREIO],Follow[DATAATUALIZAÇÃO]),"-")</f>
        <v>45783</v>
      </c>
      <c r="AK1577" s="132" t="str">
        <f ca="1"/>
        <v>-</v>
      </c>
      <c r="AL1577" s="35"/>
      <c r="AM1577" s="109" cm="1">
        <f t="array" aca="1" ref="AM1577" ca="1">IF('Banco de Dados'!$AK1577&lt;&gt;"-",_xlfn.IFS('Banco de Dados'!$A1577="bv",IF('Banco de Dados'!$E1577&lt;45641,ROUND(SUM('Banco de Dados'!$R1577*_xlfn.XLOOKUP('Banco de Dados'!$P1577,Sku!B:B,Sku!#REF!)*20%),2),ROUND(SUM('Banco de Dados'!$R1577*_xlfn.XLOOKUP('Banco de Dados'!$P1577,Sku!B:B,Sku!H:H)*20%),2)),'Banco de Dados'!$A1577="GO",ROUND(_xlfn.XLOOKUP('Banco de Dados'!$P1577,Sku!C:C,Sku!H:H),2),'Banco de Dados'!$A1577="MEI",ROUND(_xlfn.XLOOKUP('Banco de Dados'!$P1577,Sku!D:D,Sku!H:H),2)),0)</f>
        <v>0</v>
      </c>
      <c r="AN1577" s="109">
        <f ca="1">IF('Banco de Dados'!$AK1577&lt;&gt;"-",IF('Banco de Dados'!$F1577&lt;&gt;"-",_xlfn.XLOOKUP(IFERROR(IFERROR(IFERROR(VALUE(SUBSTITUTE(MID(_xlfn.TEXTAFTER('Banco de Dados'!$F1577,"Data do Pedido:
",1),1,10),"-","/")),VALUE(SUBSTITUTE(MID(_xlfn.TEXTAFTER('Banco de Dados'!$F1577,"Order date:
",1),1,10),"-","/"))),VALUE(SUBSTITUTE(MID(_xlfn.TEXTAFTER('Banco de Dados'!$F1577,"Fecha de pedido:
",1),1,10),"-","/"))),"-"),SMS!A:A,SMS!K:K),0),0)</f>
        <v>0</v>
      </c>
      <c r="AO1577" s="109">
        <f ca="1">IF('Banco de Dados'!$AK1577&lt;&gt;"-",IF('Banco de Dados'!$F1577&lt;&gt;"-",IFERROR(_xlfn.XLOOKUP(_xlfn.CONCAT('Banco de Dados'!$A1577,IFERROR(IFERROR(VALUE(SUBSTITUTE(MID(_xlfn.TEXTAFTER('Banco de Dados'!$F1577,"Data do Pedido:
",1),1,10),"-","/")),VALUE(SUBSTITUTE(MID(_xlfn.TEXTAFTER('Banco de Dados'!$F1577,"Order date:
",1),1,10),"-","/"))),0)),ProxyDD[Chave],ProxyDD[Valor por pedido]),PROXY!$P$2),0),0)</f>
        <v>0</v>
      </c>
      <c r="AP1577" s="28">
        <f ca="1">IF('Banco de Dados'!$AK1577&lt;&gt;"-",IF('Banco de Dados'!$AL1577="NÃO",IFERROR(VALUE(SUBSTITUTE(_xlfn.TEXTAFTER('Banco de Dados'!$F1577,"BRL ",1),".",",")),0),0),0)</f>
        <v>0</v>
      </c>
      <c r="AQ1577" s="28">
        <f ca="1">SUM('Banco de Dados'!$AM1577:$AP1577)</f>
        <v>0</v>
      </c>
      <c r="AR1577" s="8"/>
      <c r="AS1577" s="8"/>
      <c r="AT1577"/>
      <c r="AY1577" s="8"/>
    </row>
    <row r="1578" spans="1:51">
      <c r="A1578" s="5" t="str">
        <v>GO</v>
      </c>
      <c r="B1578" s="5" t="str">
        <f ca="1"/>
        <v>GO45769</v>
      </c>
      <c r="C1578" s="8" t="str">
        <v>Pedido 1565</v>
      </c>
      <c r="D1578" s="187">
        <v>45768</v>
      </c>
      <c r="E1578" s="9">
        <v>45769</v>
      </c>
      <c r="F1578" s="8" t="str">
        <v>PedidoF1496</v>
      </c>
      <c r="G1578" s="2" t="str">
        <v>CódRastreio1494</v>
      </c>
      <c r="H1578" s="5">
        <v>1</v>
      </c>
      <c r="I1578" s="182" t="str">
        <v>CPF 1524</v>
      </c>
      <c r="J1578" s="2" t="str">
        <v>Nome 1524</v>
      </c>
      <c r="K1578" s="8" t="str">
        <v>Tel 1524</v>
      </c>
      <c r="L1578" s="8" t="str">
        <v>Cep 1524</v>
      </c>
      <c r="M1578" s="8" t="str">
        <v>Rua 1524</v>
      </c>
      <c r="N1578" s="8" t="str">
        <v>Comp 1524</v>
      </c>
      <c r="O1578" s="8" t="str">
        <v>Ventilador Preto</v>
      </c>
      <c r="P1578" s="8" t="str">
        <v>EP-9PIR-BWXH</v>
      </c>
      <c r="Q1578" s="4">
        <v>45794</v>
      </c>
      <c r="R1578" s="109">
        <v>65.739999999999995</v>
      </c>
      <c r="S1578" s="11">
        <f ca="1"/>
        <v>65.739999999999995</v>
      </c>
      <c r="T1578" s="28">
        <f ca="1"/>
        <v>7.8887999999999989</v>
      </c>
      <c r="U1578" s="11">
        <f ca="1"/>
        <v>57.85</v>
      </c>
      <c r="V1578" s="11">
        <v>22.4</v>
      </c>
      <c r="W1578" s="11">
        <f ca="1"/>
        <v>0.5</v>
      </c>
      <c r="X1578" s="11">
        <f ca="1"/>
        <v>0.39877104377104378</v>
      </c>
      <c r="Y1578" s="11">
        <v>0</v>
      </c>
      <c r="Z1578" s="11">
        <f ca="1"/>
        <v>34.551228956228954</v>
      </c>
      <c r="AA1578" s="11">
        <f ca="1"/>
        <v>34.551228956228954</v>
      </c>
      <c r="AB1578" s="4">
        <f ca="1"/>
        <v>45801</v>
      </c>
      <c r="AC1578" s="4">
        <v>45801</v>
      </c>
      <c r="AD1578" s="9">
        <v>45807</v>
      </c>
      <c r="AE1578" s="9">
        <v>45810</v>
      </c>
      <c r="AF1578" s="4" t="str">
        <f t="shared" ca="1" si="106"/>
        <v>2025 05</v>
      </c>
      <c r="AG1578" s="8" t="str" cm="1">
        <f t="array" ref="AG1578">IFERROR(_xlfn.IFS('Banco de Dados'!#REF!="AG. COMPRA","Em processamento",'Banco de Dados'!#REF!="AG. RASTREIO","Em processamento",'Banco de Dados'!$AE1578&lt;&gt;"-","Faturado",'Banco de Dados'!$AD1578&lt;&gt;"-","Aguardando Pix",'Banco de Dados'!$AC1578&lt;&gt;"-","Pendente"),"Aguardando Liberação")</f>
        <v>Aguardando Liberação</v>
      </c>
      <c r="AH1578" s="5" t="str">
        <f>IF('Banco de Dados'!$F1578="-",_xlfn.CONCAT(PROPER(TEXT(AK1578,"aaaa"))," ",PROPER(TEXT(AK1578,"mm"))),_xlfn.CONCAT(PROPER(TEXT(E1578,"aaaa"))," ",PROPER(TEXT(E1578,"mm"))))</f>
        <v>2025 04</v>
      </c>
      <c r="AI1578" s="9" t="str">
        <f ca="1">IF('Banco de Dados'!$AK1578&lt;&gt;"-","REEMBOLSO",IFERROR(_xlfn.XLOOKUP(G1578,Follow[CODRASTREIO],Follow[STATUS]),"-"))</f>
        <v>ENTREGUE</v>
      </c>
      <c r="AJ1578" s="9">
        <f ca="1">IF('Banco de Dados'!$AI1578="ENTREGUE",_xlfn.XLOOKUP('Banco de Dados'!$G1578,Follow[CODRASTREIO],Follow[DATAATUALIZAÇÃO]),"-")</f>
        <v>45799</v>
      </c>
      <c r="AK1578" s="132" t="str">
        <f ca="1"/>
        <v>-</v>
      </c>
      <c r="AL1578" s="35"/>
      <c r="AM1578" s="109" cm="1">
        <f t="array" aca="1" ref="AM1578" ca="1">IF('Banco de Dados'!$AK1578&lt;&gt;"-",_xlfn.IFS('Banco de Dados'!$A1578="bv",IF('Banco de Dados'!$E1578&lt;45641,ROUND(SUM('Banco de Dados'!$R1578*_xlfn.XLOOKUP('Banco de Dados'!$P1578,Sku!B:B,Sku!#REF!)*20%),2),ROUND(SUM('Banco de Dados'!$R1578*_xlfn.XLOOKUP('Banco de Dados'!$P1578,Sku!B:B,Sku!H:H)*20%),2)),'Banco de Dados'!$A1578="GO",ROUND(SUM('Banco de Dados'!$R1578*_xlfn.XLOOKUP('Banco de Dados'!$P1578,Sku!C:C,Sku!H:H)*20%),2),'Banco de Dados'!$A1578="MEI",ROUND(SUM('Banco de Dados'!$R1578*_xlfn.XLOOKUP('Banco de Dados'!$P1578,Sku!D:D,Sku!H:H)*20%),2)),0)</f>
        <v>0</v>
      </c>
      <c r="AN1578" s="109">
        <f ca="1">IF('Banco de Dados'!$AK1578&lt;&gt;"-",IF('Banco de Dados'!$F1578&lt;&gt;"-",_xlfn.XLOOKUP(IFERROR(IFERROR(IFERROR(VALUE(SUBSTITUTE(MID(_xlfn.TEXTAFTER('Banco de Dados'!$F1578,"Data do Pedido:
",1),1,10),"-","/")),VALUE(SUBSTITUTE(MID(_xlfn.TEXTAFTER('Banco de Dados'!$F1578,"Order date:
",1),1,10),"-","/"))),VALUE(SUBSTITUTE(MID(_xlfn.TEXTAFTER('Banco de Dados'!$F1578,"Fecha de pedido:
",1),1,10),"-","/"))),"-"),SMS!A:A,SMS!K:K),0),0)</f>
        <v>0</v>
      </c>
      <c r="AO1578" s="109">
        <f ca="1">IF('Banco de Dados'!$AK1578&lt;&gt;"-",IF('Banco de Dados'!$F1578&lt;&gt;"-",IFERROR(_xlfn.XLOOKUP(_xlfn.CONCAT('Banco de Dados'!$A1578,IFERROR(IFERROR(VALUE(SUBSTITUTE(MID(_xlfn.TEXTAFTER('Banco de Dados'!$F1578,"Data do Pedido:
",1),1,10),"-","/")),VALUE(SUBSTITUTE(MID(_xlfn.TEXTAFTER('Banco de Dados'!$F1578,"Order date:
",1),1,10),"-","/"))),0)),ProxyDD[Chave],ProxyDD[Valor por pedido]),PROXY!$P$2),0),0)</f>
        <v>0</v>
      </c>
      <c r="AP1578" s="28">
        <f ca="1">IF('Banco de Dados'!$AK1578&lt;&gt;"-",IF('Banco de Dados'!$AL1578="NÃO",IFERROR(VALUE(SUBSTITUTE(_xlfn.TEXTAFTER('Banco de Dados'!$F1578,"BRL ",1),".",",")),0),0),0)</f>
        <v>0</v>
      </c>
      <c r="AQ1578" s="28">
        <f ca="1">SUM('Banco de Dados'!$AM1578:$AP1578)</f>
        <v>0</v>
      </c>
      <c r="AR1578" s="8"/>
      <c r="AS1578" s="8"/>
      <c r="AT1578"/>
      <c r="AY1578" s="8"/>
    </row>
    <row r="1579" spans="1:51">
      <c r="A1579" s="5" t="str">
        <v>MEI</v>
      </c>
      <c r="B1579" s="5" t="str">
        <f ca="1"/>
        <v>MEI45770</v>
      </c>
      <c r="C1579" s="8" t="str">
        <v>Pedido 1566</v>
      </c>
      <c r="D1579" s="187">
        <v>45769</v>
      </c>
      <c r="E1579" s="9">
        <v>45770</v>
      </c>
      <c r="F1579" s="8" t="str">
        <v>PedidoF1497</v>
      </c>
      <c r="G1579" s="2" t="str">
        <v>CódRastreio1495</v>
      </c>
      <c r="H1579" s="5">
        <v>1</v>
      </c>
      <c r="I1579" s="182" t="str">
        <v>CPF 1525</v>
      </c>
      <c r="J1579" s="2" t="str">
        <v>Nome 1525</v>
      </c>
      <c r="K1579" s="8" t="str">
        <v>Tel 1525</v>
      </c>
      <c r="L1579" s="8" t="str">
        <v>Cep 1525</v>
      </c>
      <c r="M1579" s="8" t="str">
        <v>Rua 1525</v>
      </c>
      <c r="N1579" s="8" t="str">
        <v>Comp 1525</v>
      </c>
      <c r="O1579" s="8" t="str">
        <v>Maçarico Culinário Portátil</v>
      </c>
      <c r="P1579" s="8" t="str">
        <v>BG-DHRO-FAEE</v>
      </c>
      <c r="Q1579" s="4">
        <v>45791</v>
      </c>
      <c r="R1579" s="109">
        <v>26.99</v>
      </c>
      <c r="S1579" s="11">
        <f ca="1"/>
        <v>0</v>
      </c>
      <c r="T1579" s="28">
        <f ca="1"/>
        <v>0</v>
      </c>
      <c r="U1579" s="11">
        <f ca="1"/>
        <v>0</v>
      </c>
      <c r="V1579" s="11">
        <v>0</v>
      </c>
      <c r="W1579" s="11">
        <f ca="1"/>
        <v>0</v>
      </c>
      <c r="X1579" s="11">
        <f ca="1"/>
        <v>0.39877104377104378</v>
      </c>
      <c r="Y1579" s="11">
        <v>0</v>
      </c>
      <c r="Z1579" s="11">
        <f ca="1"/>
        <v>-0.39877104377104378</v>
      </c>
      <c r="AA1579" s="11">
        <f ca="1"/>
        <v>-0.19938552188552189</v>
      </c>
      <c r="AB1579" s="4">
        <f ca="1"/>
        <v>45798</v>
      </c>
      <c r="AC1579" s="4">
        <v>45798</v>
      </c>
      <c r="AD1579" s="9">
        <v>45807</v>
      </c>
      <c r="AE1579" s="9">
        <v>45810</v>
      </c>
      <c r="AF1579" s="4" t="str">
        <f t="shared" ref="AF1579:AF1589" ca="1" si="107">_xlfn.CONCAT(PROPER(TEXT(AB1579,"aaaa"))," ",PROPER(TEXT(AB1579,"mm")))</f>
        <v>2025 05</v>
      </c>
      <c r="AG1579" s="8" t="str" cm="1">
        <f t="array" ref="AG1579">IFERROR(_xlfn.IFS('Banco de Dados'!#REF!="AG. COMPRA","Em processamento",'Banco de Dados'!#REF!="AG. RASTREIO","Em processamento",'Banco de Dados'!$AE1579&lt;&gt;"-","Faturado",'Banco de Dados'!$AD1579&lt;&gt;"-","Aguardando Pix",'Banco de Dados'!$AC1579&lt;&gt;"-","Pendente"),"Aguardando Liberação")</f>
        <v>Aguardando Liberação</v>
      </c>
      <c r="AH1579" s="5" t="str">
        <f>IF('Banco de Dados'!$F1579="-",_xlfn.CONCAT(PROPER(TEXT(AK1579,"aaaa"))," ",PROPER(TEXT(AK1579,"mm"))),_xlfn.CONCAT(PROPER(TEXT(E1579,"aaaa"))," ",PROPER(TEXT(E1579,"mm"))))</f>
        <v>2025 04</v>
      </c>
      <c r="AI1579" s="9" t="str">
        <f ca="1">IF('Banco de Dados'!$AK1579&lt;&gt;"-","REEMBOLSO",IFERROR(_xlfn.XLOOKUP(G1579,Follow[CODRASTREIO],Follow[STATUS]),"-"))</f>
        <v>REEMBOLSO</v>
      </c>
      <c r="AJ1579" s="9" t="str">
        <f ca="1">IF('Banco de Dados'!$AI1579="ENTREGUE",_xlfn.XLOOKUP('Banco de Dados'!$G1579,Follow[CODRASTREIO],Follow[DATAATUALIZAÇÃO]),"-")</f>
        <v>-</v>
      </c>
      <c r="AK1579" s="132">
        <f ca="1"/>
        <v>45803</v>
      </c>
      <c r="AL1579" s="35"/>
      <c r="AM1579" s="109" cm="1">
        <f t="array" aca="1" ref="AM1579" ca="1">IF('Banco de Dados'!$AK1579&lt;&gt;"-",_xlfn.IFS('Banco de Dados'!$A1579="bv",IF('Banco de Dados'!$E1579&lt;45641,ROUND(SUM('Banco de Dados'!$R1579*_xlfn.XLOOKUP('Banco de Dados'!$P1579,Sku!B:B,Sku!#REF!)*20%),2),ROUND(SUM('Banco de Dados'!$R1579*_xlfn.XLOOKUP('Banco de Dados'!$P1579,Sku!B:B,Sku!H:H)*20%),2)),'Banco de Dados'!$A1579="GO",ROUND(SUM('Banco de Dados'!$R1579*_xlfn.XLOOKUP('Banco de Dados'!$P1579,Sku!C:C,Sku!H:H)*20%),2),'Banco de Dados'!$A1579="MEI",ROUND(SUM('Banco de Dados'!$R1579*_xlfn.XLOOKUP('Banco de Dados'!$P1579,Sku!D:D,Sku!H:H)*20%),2)),0)</f>
        <v>0.59</v>
      </c>
      <c r="AN1579" s="109" t="e">
        <f ca="1">IF('Banco de Dados'!$AK1579&lt;&gt;"-",IF('Banco de Dados'!$F1579&lt;&gt;"-",_xlfn.XLOOKUP(IFERROR(IFERROR(IFERROR(VALUE(SUBSTITUTE(MID(_xlfn.TEXTAFTER('Banco de Dados'!$F1579,"Data do Pedido:
",1),1,10),"-","/")),VALUE(SUBSTITUTE(MID(_xlfn.TEXTAFTER('Banco de Dados'!$F1579,"Order date:
",1),1,10),"-","/"))),VALUE(SUBSTITUTE(MID(_xlfn.TEXTAFTER('Banco de Dados'!$F1579,"Fecha de pedido:
",1),1,10),"-","/"))),"-"),SMS!A:A,SMS!K:K),0),0)</f>
        <v>#N/A</v>
      </c>
      <c r="AO1579" s="109">
        <f ca="1">IF('Banco de Dados'!$AK1579&lt;&gt;"-",IF('Banco de Dados'!$F1579&lt;&gt;"-",IFERROR(_xlfn.XLOOKUP(_xlfn.CONCAT('Banco de Dados'!$A1579,IFERROR(IFERROR(VALUE(SUBSTITUTE(MID(_xlfn.TEXTAFTER('Banco de Dados'!$F1579,"Data do Pedido:
",1),1,10),"-","/")),VALUE(SUBSTITUTE(MID(_xlfn.TEXTAFTER('Banco de Dados'!$F1579,"Order date:
",1),1,10),"-","/"))),0)),ProxyDD[Chave],ProxyDD[Valor por pedido]),PROXY!$P$2),0),0)</f>
        <v>0.39877104377104378</v>
      </c>
      <c r="AP1579" s="28">
        <f ca="1">IF('Banco de Dados'!$AK1579&lt;&gt;"-",IF('Banco de Dados'!$AL1579="NÃO",IFERROR(VALUE(SUBSTITUTE(_xlfn.TEXTAFTER('Banco de Dados'!$F1579,"BRL ",1),".",",")),0),0),0)</f>
        <v>0</v>
      </c>
      <c r="AQ1579" s="28" t="e">
        <f ca="1">SUM('Banco de Dados'!$AM1579:$AP1579)</f>
        <v>#N/A</v>
      </c>
      <c r="AR1579" s="8"/>
      <c r="AS1579" s="8"/>
      <c r="AT1579"/>
      <c r="AY1579" s="8"/>
    </row>
    <row r="1580" spans="1:51">
      <c r="A1580" s="5" t="str">
        <v>MEI</v>
      </c>
      <c r="B1580" s="5" t="str">
        <f ca="1"/>
        <v>MEI45770</v>
      </c>
      <c r="C1580" s="8" t="str">
        <v>Pedido 1567</v>
      </c>
      <c r="D1580" s="187">
        <v>45769</v>
      </c>
      <c r="E1580" s="9">
        <v>45770</v>
      </c>
      <c r="F1580" s="8" t="str">
        <v>PedidoF1498</v>
      </c>
      <c r="G1580" s="2" t="str">
        <v>CódRastreio1496</v>
      </c>
      <c r="H1580" s="5">
        <v>1</v>
      </c>
      <c r="I1580" s="182" t="str">
        <v>CPF 1526</v>
      </c>
      <c r="J1580" s="2" t="str">
        <v>Nome 1526</v>
      </c>
      <c r="K1580" s="8" t="str">
        <v>Tel 1526</v>
      </c>
      <c r="L1580" s="8" t="str">
        <v>Cep 1526</v>
      </c>
      <c r="M1580" s="8" t="str">
        <v>Rua 1526</v>
      </c>
      <c r="N1580" s="8" t="str">
        <v>Comp 1526</v>
      </c>
      <c r="O1580" s="8" t="str">
        <v>Maçarico Culinário Portátil</v>
      </c>
      <c r="P1580" s="8" t="str">
        <v>BG-DHRO-FAEE</v>
      </c>
      <c r="Q1580" s="4">
        <v>45797</v>
      </c>
      <c r="R1580" s="109">
        <v>26.99</v>
      </c>
      <c r="S1580" s="11">
        <f ca="1"/>
        <v>26.99</v>
      </c>
      <c r="T1580" s="28">
        <f ca="1"/>
        <v>2.9688999999999997</v>
      </c>
      <c r="U1580" s="11">
        <f ca="1"/>
        <v>24.02</v>
      </c>
      <c r="V1580" s="11">
        <v>10.57</v>
      </c>
      <c r="W1580" s="11">
        <f ca="1"/>
        <v>0.12</v>
      </c>
      <c r="X1580" s="11">
        <f ca="1"/>
        <v>0.39877104377104378</v>
      </c>
      <c r="Y1580" s="11">
        <v>0</v>
      </c>
      <c r="Z1580" s="11">
        <f ca="1"/>
        <v>12.931228956228956</v>
      </c>
      <c r="AA1580" s="11">
        <f ca="1"/>
        <v>6.4656144781144782</v>
      </c>
      <c r="AB1580" s="4">
        <f ca="1"/>
        <v>45804</v>
      </c>
      <c r="AC1580" s="4">
        <v>45804</v>
      </c>
      <c r="AD1580" s="9">
        <v>45807</v>
      </c>
      <c r="AE1580" s="9">
        <v>45810</v>
      </c>
      <c r="AF1580" s="4" t="str">
        <f t="shared" ca="1" si="107"/>
        <v>2025 05</v>
      </c>
      <c r="AG1580" s="8" t="str" cm="1">
        <f t="array" ref="AG1580">IFERROR(_xlfn.IFS('Banco de Dados'!#REF!="AG. COMPRA","Em processamento",'Banco de Dados'!#REF!="AG. RASTREIO","Em processamento",'Banco de Dados'!$AE1580&lt;&gt;"-","Faturado",'Banco de Dados'!$AD1580&lt;&gt;"-","Aguardando Pix",'Banco de Dados'!$AC1580&lt;&gt;"-","Pendente"),"Aguardando Liberação")</f>
        <v>Aguardando Liberação</v>
      </c>
      <c r="AH1580" s="5" t="str">
        <f>IF('Banco de Dados'!$F1580="-",_xlfn.CONCAT(PROPER(TEXT(AK1580,"aaaa"))," ",PROPER(TEXT(AK1580,"mm"))),_xlfn.CONCAT(PROPER(TEXT(E1580,"aaaa"))," ",PROPER(TEXT(E1580,"mm"))))</f>
        <v>2025 04</v>
      </c>
      <c r="AI1580" s="9" t="str">
        <f ca="1">IF('Banco de Dados'!$AK1580&lt;&gt;"-","REEMBOLSO",IFERROR(_xlfn.XLOOKUP(G1580,Follow[CODRASTREIO],Follow[STATUS]),"-"))</f>
        <v>ENTREGUE</v>
      </c>
      <c r="AJ1580" s="9">
        <f ca="1">IF('Banco de Dados'!$AI1580="ENTREGUE",_xlfn.XLOOKUP('Banco de Dados'!$G1580,Follow[CODRASTREIO],Follow[DATAATUALIZAÇÃO]),"-")</f>
        <v>45791</v>
      </c>
      <c r="AK1580" s="132" t="str">
        <f ca="1"/>
        <v>-</v>
      </c>
      <c r="AL1580" s="35"/>
      <c r="AM1580" s="109" cm="1">
        <f t="array" aca="1" ref="AM1580" ca="1">IF('Banco de Dados'!$AK1580&lt;&gt;"-",_xlfn.IFS('Banco de Dados'!$A1580="bv",IF('Banco de Dados'!$E1580&lt;45641,ROUND(SUM('Banco de Dados'!$R1580*_xlfn.XLOOKUP('Banco de Dados'!$P1580,Sku!B:B,Sku!#REF!)*20%),2),ROUND(SUM('Banco de Dados'!$R1580*_xlfn.XLOOKUP('Banco de Dados'!$P1580,Sku!B:B,Sku!H:H)*20%),2)),'Banco de Dados'!$A1580="GO",ROUND(SUM('Banco de Dados'!$R1580*_xlfn.XLOOKUP('Banco de Dados'!$P1580,Sku!C:C,Sku!H:H)*20%),2),'Banco de Dados'!$A1580="MEI",ROUND(SUM('Banco de Dados'!$R1580*_xlfn.XLOOKUP('Banco de Dados'!$P1580,Sku!D:D,Sku!H:H)*20%),2)),0)</f>
        <v>0</v>
      </c>
      <c r="AN1580" s="109">
        <f ca="1">IF('Banco de Dados'!$AK1580&lt;&gt;"-",IF('Banco de Dados'!$F1580&lt;&gt;"-",_xlfn.XLOOKUP(IFERROR(IFERROR(IFERROR(VALUE(SUBSTITUTE(MID(_xlfn.TEXTAFTER('Banco de Dados'!$F1580,"Data do Pedido:
",1),1,10),"-","/")),VALUE(SUBSTITUTE(MID(_xlfn.TEXTAFTER('Banco de Dados'!$F1580,"Order date:
",1),1,10),"-","/"))),VALUE(SUBSTITUTE(MID(_xlfn.TEXTAFTER('Banco de Dados'!$F1580,"Fecha de pedido:
",1),1,10),"-","/"))),"-"),SMS!A:A,SMS!K:K),0),0)</f>
        <v>0</v>
      </c>
      <c r="AO1580" s="109">
        <f ca="1">IF('Banco de Dados'!$AK1580&lt;&gt;"-",IF('Banco de Dados'!$F1580&lt;&gt;"-",IFERROR(_xlfn.XLOOKUP(_xlfn.CONCAT('Banco de Dados'!$A1580,IFERROR(IFERROR(VALUE(SUBSTITUTE(MID(_xlfn.TEXTAFTER('Banco de Dados'!$F1580,"Data do Pedido:
",1),1,10),"-","/")),VALUE(SUBSTITUTE(MID(_xlfn.TEXTAFTER('Banco de Dados'!$F1580,"Order date:
",1),1,10),"-","/"))),0)),ProxyDD[Chave],ProxyDD[Valor por pedido]),PROXY!$P$2),0),0)</f>
        <v>0</v>
      </c>
      <c r="AP1580" s="28">
        <f ca="1">IF('Banco de Dados'!$AK1580&lt;&gt;"-",IF('Banco de Dados'!$AL1580="NÃO",IFERROR(VALUE(SUBSTITUTE(_xlfn.TEXTAFTER('Banco de Dados'!$F1580,"BRL ",1),".",",")),0),0),0)</f>
        <v>0</v>
      </c>
      <c r="AQ1580" s="28">
        <f ca="1">SUM('Banco de Dados'!$AM1580:$AP1580)</f>
        <v>0</v>
      </c>
      <c r="AR1580" s="8"/>
      <c r="AS1580" s="8"/>
      <c r="AT1580"/>
      <c r="AY1580" s="8"/>
    </row>
    <row r="1581" spans="1:51">
      <c r="A1581" s="5" t="str">
        <v>MEI</v>
      </c>
      <c r="B1581" s="5" t="str">
        <f ca="1"/>
        <v>MEI45770</v>
      </c>
      <c r="C1581" s="8" t="str">
        <v>Pedido 1568</v>
      </c>
      <c r="D1581" s="187">
        <v>45770</v>
      </c>
      <c r="E1581" s="9">
        <v>45770</v>
      </c>
      <c r="F1581" s="8" t="str">
        <v>PedidoF1499</v>
      </c>
      <c r="G1581" s="2" t="str">
        <v>CódRastreio1497</v>
      </c>
      <c r="H1581" s="5">
        <v>1</v>
      </c>
      <c r="I1581" s="182" t="str">
        <v>CPF 1527</v>
      </c>
      <c r="J1581" s="2" t="str">
        <v>Nome 1527</v>
      </c>
      <c r="K1581" s="8" t="str">
        <v>Tel 1527</v>
      </c>
      <c r="L1581" s="8" t="str">
        <v>Cep 1527</v>
      </c>
      <c r="M1581" s="8" t="str">
        <v>Rua 1527</v>
      </c>
      <c r="N1581" s="8" t="str">
        <v>Comp 1527</v>
      </c>
      <c r="O1581" s="8" t="str">
        <v>Maçarico Culinário Portátil</v>
      </c>
      <c r="P1581" s="8" t="str">
        <v>BG-DHRO-FAEE</v>
      </c>
      <c r="Q1581" s="4">
        <v>45797</v>
      </c>
      <c r="R1581" s="109">
        <v>26.99</v>
      </c>
      <c r="S1581" s="11">
        <f ca="1"/>
        <v>26.99</v>
      </c>
      <c r="T1581" s="28">
        <f ca="1"/>
        <v>2.9688999999999997</v>
      </c>
      <c r="U1581" s="11">
        <f ca="1"/>
        <v>24.02</v>
      </c>
      <c r="V1581" s="11">
        <v>16.190000000000001</v>
      </c>
      <c r="W1581" s="11">
        <f ca="1"/>
        <v>0.12</v>
      </c>
      <c r="X1581" s="11">
        <f ca="1"/>
        <v>0.39877104377104378</v>
      </c>
      <c r="Y1581" s="11">
        <v>0</v>
      </c>
      <c r="Z1581" s="11">
        <f ca="1"/>
        <v>7.3112289562289519</v>
      </c>
      <c r="AA1581" s="11">
        <f ca="1"/>
        <v>3.6556144781144759</v>
      </c>
      <c r="AB1581" s="4">
        <f ca="1"/>
        <v>45804</v>
      </c>
      <c r="AC1581" s="4">
        <v>45804</v>
      </c>
      <c r="AD1581" s="9">
        <v>45807</v>
      </c>
      <c r="AE1581" s="9">
        <v>45810</v>
      </c>
      <c r="AF1581" s="4" t="str">
        <f t="shared" ca="1" si="107"/>
        <v>2025 05</v>
      </c>
      <c r="AG1581" s="8" t="str" cm="1">
        <f t="array" ref="AG1581">IFERROR(_xlfn.IFS('Banco de Dados'!#REF!="AG. COMPRA","Em processamento",'Banco de Dados'!#REF!="AG. RASTREIO","Em processamento",'Banco de Dados'!$AE1581&lt;&gt;"-","Faturado",'Banco de Dados'!$AD1581&lt;&gt;"-","Aguardando Pix",'Banco de Dados'!$AC1581&lt;&gt;"-","Pendente"),"Aguardando Liberação")</f>
        <v>Aguardando Liberação</v>
      </c>
      <c r="AH1581" s="5" t="str">
        <f>IF('Banco de Dados'!$F1581="-",_xlfn.CONCAT(PROPER(TEXT(AK1581,"aaaa"))," ",PROPER(TEXT(AK1581,"mm"))),_xlfn.CONCAT(PROPER(TEXT(E1581,"aaaa"))," ",PROPER(TEXT(E1581,"mm"))))</f>
        <v>2025 04</v>
      </c>
      <c r="AI1581" s="9" t="str">
        <f ca="1">IF('Banco de Dados'!$AK1581&lt;&gt;"-","REEMBOLSO",IFERROR(_xlfn.XLOOKUP(G1581,Follow[CODRASTREIO],Follow[STATUS]),"-"))</f>
        <v>ENTREGUE</v>
      </c>
      <c r="AJ1581" s="9">
        <f ca="1">IF('Banco de Dados'!$AI1581="ENTREGUE",_xlfn.XLOOKUP('Banco de Dados'!$G1581,Follow[CODRASTREIO],Follow[DATAATUALIZAÇÃO]),"-")</f>
        <v>45803</v>
      </c>
      <c r="AK1581" s="132" t="str">
        <f ca="1"/>
        <v>-</v>
      </c>
      <c r="AL1581" s="35"/>
      <c r="AM1581" s="109" cm="1">
        <f t="array" aca="1" ref="AM1581" ca="1">IF('Banco de Dados'!$AK1581&lt;&gt;"-",_xlfn.IFS('Banco de Dados'!$A1581="bv",IF('Banco de Dados'!$E1581&lt;45641,ROUND(SUM('Banco de Dados'!$R1581*_xlfn.XLOOKUP('Banco de Dados'!$P1581,Sku!B:B,Sku!#REF!)*20%),2),ROUND(SUM('Banco de Dados'!$R1581*_xlfn.XLOOKUP('Banco de Dados'!$P1581,Sku!B:B,Sku!H:H)*20%),2)),'Banco de Dados'!$A1581="GO",ROUND(SUM('Banco de Dados'!$R1581*_xlfn.XLOOKUP('Banco de Dados'!$P1581,Sku!C:C,Sku!H:H)*20%),2),'Banco de Dados'!$A1581="MEI",ROUND(SUM('Banco de Dados'!$R1581*_xlfn.XLOOKUP('Banco de Dados'!$P1581,Sku!D:D,Sku!H:H)*20%),2)),0)</f>
        <v>0</v>
      </c>
      <c r="AN1581" s="109">
        <f ca="1">IF('Banco de Dados'!$AK1581&lt;&gt;"-",IF('Banco de Dados'!$F1581&lt;&gt;"-",_xlfn.XLOOKUP(IFERROR(IFERROR(IFERROR(VALUE(SUBSTITUTE(MID(_xlfn.TEXTAFTER('Banco de Dados'!$F1581,"Data do Pedido:
",1),1,10),"-","/")),VALUE(SUBSTITUTE(MID(_xlfn.TEXTAFTER('Banco de Dados'!$F1581,"Order date:
",1),1,10),"-","/"))),VALUE(SUBSTITUTE(MID(_xlfn.TEXTAFTER('Banco de Dados'!$F1581,"Fecha de pedido:
",1),1,10),"-","/"))),"-"),SMS!A:A,SMS!K:K),0),0)</f>
        <v>0</v>
      </c>
      <c r="AO1581" s="109">
        <f ca="1">IF('Banco de Dados'!$AK1581&lt;&gt;"-",IF('Banco de Dados'!$F1581&lt;&gt;"-",IFERROR(_xlfn.XLOOKUP(_xlfn.CONCAT('Banco de Dados'!$A1581,IFERROR(IFERROR(VALUE(SUBSTITUTE(MID(_xlfn.TEXTAFTER('Banco de Dados'!$F1581,"Data do Pedido:
",1),1,10),"-","/")),VALUE(SUBSTITUTE(MID(_xlfn.TEXTAFTER('Banco de Dados'!$F1581,"Order date:
",1),1,10),"-","/"))),0)),ProxyDD[Chave],ProxyDD[Valor por pedido]),PROXY!$P$2),0),0)</f>
        <v>0</v>
      </c>
      <c r="AP1581" s="28">
        <f ca="1">IF('Banco de Dados'!$AK1581&lt;&gt;"-",IF('Banco de Dados'!$AL1581="NÃO",IFERROR(VALUE(SUBSTITUTE(_xlfn.TEXTAFTER('Banco de Dados'!$F1581,"BRL ",1),".",",")),0),0),0)</f>
        <v>0</v>
      </c>
      <c r="AQ1581" s="28">
        <f ca="1">SUM('Banco de Dados'!$AM1581:$AP1581)</f>
        <v>0</v>
      </c>
      <c r="AR1581" s="8"/>
      <c r="AS1581" s="8"/>
      <c r="AT1581"/>
      <c r="AY1581" s="8"/>
    </row>
    <row r="1582" spans="1:51">
      <c r="A1582" s="5" t="str">
        <v>MEI</v>
      </c>
      <c r="B1582" s="5" t="str">
        <f ca="1"/>
        <v>MEI45770</v>
      </c>
      <c r="C1582" s="8" t="str">
        <v>Pedido 1569</v>
      </c>
      <c r="D1582" s="187">
        <v>45770</v>
      </c>
      <c r="E1582" s="9">
        <v>45770</v>
      </c>
      <c r="F1582" s="8" t="str">
        <v>PedidoF1500</v>
      </c>
      <c r="G1582" s="2" t="str">
        <v>CódRastreio1498</v>
      </c>
      <c r="H1582" s="5">
        <v>1</v>
      </c>
      <c r="I1582" s="182" t="str">
        <v>CPF 1528</v>
      </c>
      <c r="J1582" s="2" t="str">
        <v>Nome 1528</v>
      </c>
      <c r="K1582" s="8" t="str">
        <v>Tel 1528</v>
      </c>
      <c r="L1582" s="8" t="str">
        <v>Cep 1528</v>
      </c>
      <c r="M1582" s="8" t="str">
        <v>Rua 1528</v>
      </c>
      <c r="N1582" s="8" t="str">
        <v>Comp 1528</v>
      </c>
      <c r="O1582" s="8" t="str">
        <v>Luminária Azul de mesa infantil</v>
      </c>
      <c r="P1582" s="8" t="str">
        <v>NO-Z0ZJ-Z61M</v>
      </c>
      <c r="Q1582" s="4">
        <v>45804</v>
      </c>
      <c r="R1582" s="109">
        <v>49.99</v>
      </c>
      <c r="S1582" s="11">
        <f ca="1"/>
        <v>0</v>
      </c>
      <c r="T1582" s="28">
        <f ca="1"/>
        <v>0</v>
      </c>
      <c r="U1582" s="11">
        <f ca="1"/>
        <v>0</v>
      </c>
      <c r="V1582" s="11">
        <v>0</v>
      </c>
      <c r="W1582" s="11">
        <f ca="1"/>
        <v>0</v>
      </c>
      <c r="X1582" s="11">
        <f ca="1"/>
        <v>0.39877104377104378</v>
      </c>
      <c r="Y1582" s="11">
        <v>0</v>
      </c>
      <c r="Z1582" s="11">
        <f ca="1"/>
        <v>-0.39877104377104378</v>
      </c>
      <c r="AA1582" s="11">
        <f ca="1"/>
        <v>-0.19938552188552189</v>
      </c>
      <c r="AB1582" s="4">
        <f ca="1"/>
        <v>45811</v>
      </c>
      <c r="AC1582" s="4">
        <v>45811</v>
      </c>
      <c r="AD1582" s="9">
        <v>45824</v>
      </c>
      <c r="AE1582" s="9">
        <v>45828</v>
      </c>
      <c r="AF1582" s="4" t="str">
        <f t="shared" ca="1" si="107"/>
        <v>2025 06</v>
      </c>
      <c r="AG1582" s="8" t="str" cm="1">
        <f t="array" ref="AG1582">IFERROR(_xlfn.IFS('Banco de Dados'!#REF!="AG. COMPRA","Em processamento",'Banco de Dados'!#REF!="AG. RASTREIO","Em processamento",'Banco de Dados'!$AE1582&lt;&gt;"-","Faturado",'Banco de Dados'!$AD1582&lt;&gt;"-","Aguardando Pix",'Banco de Dados'!$AC1582&lt;&gt;"-","Pendente"),"Aguardando Liberação")</f>
        <v>Aguardando Liberação</v>
      </c>
      <c r="AH1582" s="5" t="str">
        <f>IF('Banco de Dados'!$F1582="-",_xlfn.CONCAT(PROPER(TEXT(AK1582,"aaaa"))," ",PROPER(TEXT(AK1582,"mm"))),_xlfn.CONCAT(PROPER(TEXT(E1582,"aaaa"))," ",PROPER(TEXT(E1582,"mm"))))</f>
        <v>2025 04</v>
      </c>
      <c r="AI1582" s="9" t="str">
        <f ca="1">IF('Banco de Dados'!$AK1582&lt;&gt;"-","REEMBOLSO",IFERROR(_xlfn.XLOOKUP(G1582,Follow[CODRASTREIO],Follow[STATUS]),"-"))</f>
        <v>REEMBOLSO</v>
      </c>
      <c r="AJ1582" s="9" t="str">
        <f ca="1">IF('Banco de Dados'!$AI1582="ENTREGUE",_xlfn.XLOOKUP('Banco de Dados'!$G1582,Follow[CODRASTREIO],Follow[DATAATUALIZAÇÃO]),"-")</f>
        <v>-</v>
      </c>
      <c r="AK1582" s="132">
        <f ca="1"/>
        <v>45806</v>
      </c>
      <c r="AL1582" s="35"/>
      <c r="AM1582" s="109" cm="1">
        <f t="array" aca="1" ref="AM1582" ca="1">IF('Banco de Dados'!$AK1582&lt;&gt;"-",_xlfn.IFS('Banco de Dados'!$A1582="bv",IF('Banco de Dados'!$E1582&lt;45641,ROUND(SUM('Banco de Dados'!$R1582*_xlfn.XLOOKUP('Banco de Dados'!$P1582,Sku!B:B,Sku!#REF!)*20%),2),ROUND(SUM('Banco de Dados'!$R1582*_xlfn.XLOOKUP('Banco de Dados'!$P1582,Sku!B:B,Sku!H:H)*20%),2)),'Banco de Dados'!$A1582="GO",ROUND(SUM('Banco de Dados'!$R1582*_xlfn.XLOOKUP('Banco de Dados'!$P1582,Sku!C:C,Sku!H:H)*20%),2),'Banco de Dados'!$A1582="MEI",ROUND(SUM('Banco de Dados'!$R1582*_xlfn.XLOOKUP('Banco de Dados'!$P1582,Sku!D:D,Sku!H:H)*20%),2)),0)</f>
        <v>1.2</v>
      </c>
      <c r="AN1582" s="109" t="e">
        <f ca="1">IF('Banco de Dados'!$AK1582&lt;&gt;"-",IF('Banco de Dados'!$F1582&lt;&gt;"-",_xlfn.XLOOKUP(IFERROR(IFERROR(IFERROR(VALUE(SUBSTITUTE(MID(_xlfn.TEXTAFTER('Banco de Dados'!$F1582,"Data do Pedido:
",1),1,10),"-","/")),VALUE(SUBSTITUTE(MID(_xlfn.TEXTAFTER('Banco de Dados'!$F1582,"Order date:
",1),1,10),"-","/"))),VALUE(SUBSTITUTE(MID(_xlfn.TEXTAFTER('Banco de Dados'!$F1582,"Fecha de pedido:
",1),1,10),"-","/"))),"-"),SMS!A:A,SMS!K:K),0),0)</f>
        <v>#N/A</v>
      </c>
      <c r="AO1582" s="109">
        <f ca="1">IF('Banco de Dados'!$AK1582&lt;&gt;"-",IF('Banco de Dados'!$F1582&lt;&gt;"-",IFERROR(_xlfn.XLOOKUP(_xlfn.CONCAT('Banco de Dados'!$A1582,IFERROR(IFERROR(VALUE(SUBSTITUTE(MID(_xlfn.TEXTAFTER('Banco de Dados'!$F1582,"Data do Pedido:
",1),1,10),"-","/")),VALUE(SUBSTITUTE(MID(_xlfn.TEXTAFTER('Banco de Dados'!$F1582,"Order date:
",1),1,10),"-","/"))),0)),ProxyDD[Chave],ProxyDD[Valor por pedido]),PROXY!$P$2),0),0)</f>
        <v>0.39877104377104378</v>
      </c>
      <c r="AP1582" s="28">
        <f ca="1">IF('Banco de Dados'!$AK1582&lt;&gt;"-",IF('Banco de Dados'!$AL1582="NÃO",IFERROR(VALUE(SUBSTITUTE(_xlfn.TEXTAFTER('Banco de Dados'!$F1582,"BRL ",1),".",",")),0),0),0)</f>
        <v>0</v>
      </c>
      <c r="AQ1582" s="28" t="e">
        <f ca="1">SUM('Banco de Dados'!$AM1582:$AP1582)</f>
        <v>#N/A</v>
      </c>
      <c r="AR1582" s="8"/>
      <c r="AS1582" s="8"/>
      <c r="AT1582"/>
      <c r="AY1582" s="8"/>
    </row>
    <row r="1583" spans="1:51">
      <c r="A1583" s="5" t="str">
        <v>MEI</v>
      </c>
      <c r="B1583" s="5" t="str">
        <f ca="1"/>
        <v>MEI45770</v>
      </c>
      <c r="C1583" s="8" t="str">
        <v>Pedido 1570</v>
      </c>
      <c r="D1583" s="187">
        <v>45770</v>
      </c>
      <c r="E1583" s="9">
        <v>45770</v>
      </c>
      <c r="F1583" s="8" t="str">
        <v>PedidoF1501</v>
      </c>
      <c r="G1583" s="2" t="str">
        <v>CódRastreio1499</v>
      </c>
      <c r="H1583" s="5">
        <v>1</v>
      </c>
      <c r="I1583" s="182" t="str">
        <v>CPF 1529</v>
      </c>
      <c r="J1583" s="2" t="str">
        <v>Nome 1529</v>
      </c>
      <c r="K1583" s="8" t="str">
        <v>Tel 1529</v>
      </c>
      <c r="L1583" s="8" t="str">
        <v>Cep 1529</v>
      </c>
      <c r="M1583" s="8" t="str">
        <v>Rua 1529</v>
      </c>
      <c r="N1583" s="8" t="str">
        <v>Comp 1529</v>
      </c>
      <c r="O1583" s="8" t="str">
        <v>Copo Termico</v>
      </c>
      <c r="P1583" s="8" t="str">
        <v>VI-4RT5-1FFO</v>
      </c>
      <c r="Q1583" s="4">
        <v>45791</v>
      </c>
      <c r="R1583" s="109">
        <v>22.7</v>
      </c>
      <c r="S1583" s="11">
        <f ca="1"/>
        <v>0</v>
      </c>
      <c r="T1583" s="28">
        <f ca="1"/>
        <v>0</v>
      </c>
      <c r="U1583" s="11">
        <f ca="1"/>
        <v>0</v>
      </c>
      <c r="V1583" s="11">
        <v>0</v>
      </c>
      <c r="W1583" s="11">
        <f ca="1"/>
        <v>0</v>
      </c>
      <c r="X1583" s="11">
        <f ca="1"/>
        <v>0.39877104377104378</v>
      </c>
      <c r="Y1583" s="11">
        <v>0</v>
      </c>
      <c r="Z1583" s="11">
        <f ca="1"/>
        <v>-0.39877104377104378</v>
      </c>
      <c r="AA1583" s="11">
        <f ca="1"/>
        <v>-0.19938552188552189</v>
      </c>
      <c r="AB1583" s="4">
        <f ca="1"/>
        <v>45798</v>
      </c>
      <c r="AC1583" s="4">
        <v>45798</v>
      </c>
      <c r="AD1583" s="9">
        <v>45807</v>
      </c>
      <c r="AE1583" s="9">
        <v>45810</v>
      </c>
      <c r="AF1583" s="4" t="str">
        <f t="shared" ca="1" si="107"/>
        <v>2025 05</v>
      </c>
      <c r="AG1583" s="8" t="str" cm="1">
        <f t="array" ref="AG1583">IFERROR(_xlfn.IFS('Banco de Dados'!#REF!="AG. COMPRA","Em processamento",'Banco de Dados'!#REF!="AG. RASTREIO","Em processamento",'Banco de Dados'!$AE1583&lt;&gt;"-","Faturado",'Banco de Dados'!$AD1583&lt;&gt;"-","Aguardando Pix",'Banco de Dados'!$AC1583&lt;&gt;"-","Pendente"),"Aguardando Liberação")</f>
        <v>Aguardando Liberação</v>
      </c>
      <c r="AH1583" s="5" t="str">
        <f>IF('Banco de Dados'!$F1583="-",_xlfn.CONCAT(PROPER(TEXT(AK1583,"aaaa"))," ",PROPER(TEXT(AK1583,"mm"))),_xlfn.CONCAT(PROPER(TEXT(E1583,"aaaa"))," ",PROPER(TEXT(E1583,"mm"))))</f>
        <v>2025 04</v>
      </c>
      <c r="AI1583" s="9" t="str">
        <f ca="1">IF('Banco de Dados'!$AK1583&lt;&gt;"-","REEMBOLSO",IFERROR(_xlfn.XLOOKUP(G1583,Follow[CODRASTREIO],Follow[STATUS]),"-"))</f>
        <v>REEMBOLSO</v>
      </c>
      <c r="AJ1583" s="9" t="str">
        <f ca="1">IF('Banco de Dados'!$AI1583="ENTREGUE",_xlfn.XLOOKUP('Banco de Dados'!$G1583,Follow[CODRASTREIO],Follow[DATAATUALIZAÇÃO]),"-")</f>
        <v>-</v>
      </c>
      <c r="AK1583" s="132">
        <f ca="1"/>
        <v>45795</v>
      </c>
      <c r="AL1583" s="35"/>
      <c r="AM1583" s="109" cm="1">
        <f t="array" aca="1" ref="AM1583" ca="1">IF('Banco de Dados'!$AK1583&lt;&gt;"-",_xlfn.IFS('Banco de Dados'!$A1583="bv",IF('Banco de Dados'!$E1583&lt;45641,ROUND(SUM('Banco de Dados'!$R1583*_xlfn.XLOOKUP('Banco de Dados'!$P1583,Sku!B:B,Sku!#REF!)*20%),2),ROUND(SUM('Banco de Dados'!$R1583*_xlfn.XLOOKUP('Banco de Dados'!$P1583,Sku!B:B,Sku!H:H)*20%),2)),'Banco de Dados'!$A1583="GO",ROUND(SUM('Banco de Dados'!$R1583*_xlfn.XLOOKUP('Banco de Dados'!$P1583,Sku!C:C,Sku!H:H)*20%),2),'Banco de Dados'!$A1583="MEI",ROUND(SUM('Banco de Dados'!$R1583*_xlfn.XLOOKUP('Banco de Dados'!$P1583,Sku!D:D,Sku!H:H)*20%),2)),0)</f>
        <v>0.59</v>
      </c>
      <c r="AN1583" s="109" t="e">
        <f ca="1">IF('Banco de Dados'!$AK1583&lt;&gt;"-",IF('Banco de Dados'!$F1583&lt;&gt;"-",_xlfn.XLOOKUP(IFERROR(IFERROR(IFERROR(VALUE(SUBSTITUTE(MID(_xlfn.TEXTAFTER('Banco de Dados'!$F1583,"Data do Pedido:
",1),1,10),"-","/")),VALUE(SUBSTITUTE(MID(_xlfn.TEXTAFTER('Banco de Dados'!$F1583,"Order date:
",1),1,10),"-","/"))),VALUE(SUBSTITUTE(MID(_xlfn.TEXTAFTER('Banco de Dados'!$F1583,"Fecha de pedido:
",1),1,10),"-","/"))),"-"),SMS!A:A,SMS!K:K),0),0)</f>
        <v>#N/A</v>
      </c>
      <c r="AO1583" s="109">
        <f ca="1">IF('Banco de Dados'!$AK1583&lt;&gt;"-",IF('Banco de Dados'!$F1583&lt;&gt;"-",IFERROR(_xlfn.XLOOKUP(_xlfn.CONCAT('Banco de Dados'!$A1583,IFERROR(IFERROR(VALUE(SUBSTITUTE(MID(_xlfn.TEXTAFTER('Banco de Dados'!$F1583,"Data do Pedido:
",1),1,10),"-","/")),VALUE(SUBSTITUTE(MID(_xlfn.TEXTAFTER('Banco de Dados'!$F1583,"Order date:
",1),1,10),"-","/"))),0)),ProxyDD[Chave],ProxyDD[Valor por pedido]),PROXY!$P$2),0),0)</f>
        <v>0.39877104377104378</v>
      </c>
      <c r="AP1583" s="28">
        <f ca="1">IF('Banco de Dados'!$AK1583&lt;&gt;"-",IF('Banco de Dados'!$AL1583="NÃO",IFERROR(VALUE(SUBSTITUTE(_xlfn.TEXTAFTER('Banco de Dados'!$F1583,"BRL ",1),".",",")),0),0),0)</f>
        <v>0</v>
      </c>
      <c r="AQ1583" s="28" t="e">
        <f ca="1">SUM('Banco de Dados'!$AM1583:$AP1583)</f>
        <v>#N/A</v>
      </c>
      <c r="AR1583" s="8"/>
      <c r="AS1583" s="8"/>
      <c r="AT1583"/>
      <c r="AY1583" s="8"/>
    </row>
    <row r="1584" spans="1:51">
      <c r="A1584" s="5" t="str">
        <v>MEI</v>
      </c>
      <c r="B1584" s="5" t="str">
        <f ca="1"/>
        <v>MEI45770</v>
      </c>
      <c r="C1584" s="8" t="str">
        <v>Pedido 1571</v>
      </c>
      <c r="D1584" s="187">
        <v>45770</v>
      </c>
      <c r="E1584" s="9">
        <v>45770</v>
      </c>
      <c r="F1584" s="8" t="str">
        <v>PedidoF1502</v>
      </c>
      <c r="G1584" s="2" t="str">
        <v>CódRastreio1500</v>
      </c>
      <c r="H1584" s="5">
        <v>1</v>
      </c>
      <c r="I1584" s="182" t="str">
        <v>CPF 1530</v>
      </c>
      <c r="J1584" s="2" t="str">
        <v>Nome 1530</v>
      </c>
      <c r="K1584" s="8" t="str">
        <v>Tel 1530</v>
      </c>
      <c r="L1584" s="8" t="str">
        <v>Cep 1530</v>
      </c>
      <c r="M1584" s="8" t="str">
        <v>Rua 1530</v>
      </c>
      <c r="N1584" s="8" t="str">
        <v>Comp 1530</v>
      </c>
      <c r="O1584" s="8" t="str">
        <v>Copo Termico</v>
      </c>
      <c r="P1584" s="8" t="str">
        <v>VI-4RT5-1FFO</v>
      </c>
      <c r="Q1584" s="4">
        <v>45792</v>
      </c>
      <c r="R1584" s="109">
        <v>22.7</v>
      </c>
      <c r="S1584" s="11">
        <f ca="1"/>
        <v>22.7</v>
      </c>
      <c r="T1584" s="28">
        <f ca="1"/>
        <v>2.7239999999999998</v>
      </c>
      <c r="U1584" s="11">
        <f ca="1"/>
        <v>19.98</v>
      </c>
      <c r="V1584" s="11">
        <v>11.92</v>
      </c>
      <c r="W1584" s="11">
        <f ca="1"/>
        <v>0.12</v>
      </c>
      <c r="X1584" s="11">
        <f ca="1"/>
        <v>0.39877104377104378</v>
      </c>
      <c r="Y1584" s="11">
        <v>0</v>
      </c>
      <c r="Z1584" s="11">
        <f ca="1"/>
        <v>7.5412289562289576</v>
      </c>
      <c r="AA1584" s="11">
        <f ca="1"/>
        <v>3.7706144781144788</v>
      </c>
      <c r="AB1584" s="4">
        <f ca="1"/>
        <v>45799</v>
      </c>
      <c r="AC1584" s="4">
        <v>45799</v>
      </c>
      <c r="AD1584" s="9">
        <v>45807</v>
      </c>
      <c r="AE1584" s="9">
        <v>45810</v>
      </c>
      <c r="AF1584" s="4" t="str">
        <f t="shared" ca="1" si="107"/>
        <v>2025 05</v>
      </c>
      <c r="AG1584" s="8" t="str" cm="1">
        <f t="array" ref="AG1584">IFERROR(_xlfn.IFS('Banco de Dados'!#REF!="AG. COMPRA","Em processamento",'Banco de Dados'!#REF!="AG. RASTREIO","Em processamento",'Banco de Dados'!$AE1584&lt;&gt;"-","Faturado",'Banco de Dados'!$AD1584&lt;&gt;"-","Aguardando Pix",'Banco de Dados'!$AC1584&lt;&gt;"-","Pendente"),"Aguardando Liberação")</f>
        <v>Aguardando Liberação</v>
      </c>
      <c r="AH1584" s="5" t="str">
        <f>IF('Banco de Dados'!$F1584="-",_xlfn.CONCAT(PROPER(TEXT(AK1584,"aaaa"))," ",PROPER(TEXT(AK1584,"mm"))),_xlfn.CONCAT(PROPER(TEXT(E1584,"aaaa"))," ",PROPER(TEXT(E1584,"mm"))))</f>
        <v>2025 04</v>
      </c>
      <c r="AI1584" s="9" t="str">
        <f ca="1">IF('Banco de Dados'!$AK1584&lt;&gt;"-","REEMBOLSO",IFERROR(_xlfn.XLOOKUP(G1584,Follow[CODRASTREIO],Follow[STATUS]),"-"))</f>
        <v>ENTREGUE</v>
      </c>
      <c r="AJ1584" s="9">
        <f ca="1">IF('Banco de Dados'!$AI1584="ENTREGUE",_xlfn.XLOOKUP('Banco de Dados'!$G1584,Follow[CODRASTREIO],Follow[DATAATUALIZAÇÃO]),"-")</f>
        <v>45776</v>
      </c>
      <c r="AK1584" s="132" t="str">
        <f ca="1"/>
        <v>-</v>
      </c>
      <c r="AL1584" s="35"/>
      <c r="AM1584" s="109" cm="1">
        <f t="array" aca="1" ref="AM1584" ca="1">IF('Banco de Dados'!$AK1584&lt;&gt;"-",_xlfn.IFS('Banco de Dados'!$A1584="bv",IF('Banco de Dados'!$E1584&lt;45641,ROUND(SUM('Banco de Dados'!$R1584*_xlfn.XLOOKUP('Banco de Dados'!$P1584,Sku!B:B,Sku!#REF!)*20%),2),ROUND(SUM('Banco de Dados'!$R1584*_xlfn.XLOOKUP('Banco de Dados'!$P1584,Sku!B:B,Sku!H:H)*20%),2)),'Banco de Dados'!$A1584="GO",ROUND(SUM('Banco de Dados'!$R1584*_xlfn.XLOOKUP('Banco de Dados'!$P1584,Sku!C:C,Sku!H:H)*20%),2),'Banco de Dados'!$A1584="MEI",ROUND(SUM('Banco de Dados'!$R1584*_xlfn.XLOOKUP('Banco de Dados'!$P1584,Sku!D:D,Sku!H:H)*20%),2)),0)</f>
        <v>0</v>
      </c>
      <c r="AN1584" s="109">
        <f ca="1">IF('Banco de Dados'!$AK1584&lt;&gt;"-",IF('Banco de Dados'!$F1584&lt;&gt;"-",_xlfn.XLOOKUP(IFERROR(IFERROR(IFERROR(VALUE(SUBSTITUTE(MID(_xlfn.TEXTAFTER('Banco de Dados'!$F1584,"Data do Pedido:
",1),1,10),"-","/")),VALUE(SUBSTITUTE(MID(_xlfn.TEXTAFTER('Banco de Dados'!$F1584,"Order date:
",1),1,10),"-","/"))),VALUE(SUBSTITUTE(MID(_xlfn.TEXTAFTER('Banco de Dados'!$F1584,"Fecha de pedido:
",1),1,10),"-","/"))),"-"),SMS!A:A,SMS!K:K),0),0)</f>
        <v>0</v>
      </c>
      <c r="AO1584" s="109">
        <f ca="1">IF('Banco de Dados'!$AK1584&lt;&gt;"-",IF('Banco de Dados'!$F1584&lt;&gt;"-",IFERROR(_xlfn.XLOOKUP(_xlfn.CONCAT('Banco de Dados'!$A1584,IFERROR(IFERROR(VALUE(SUBSTITUTE(MID(_xlfn.TEXTAFTER('Banco de Dados'!$F1584,"Data do Pedido:
",1),1,10),"-","/")),VALUE(SUBSTITUTE(MID(_xlfn.TEXTAFTER('Banco de Dados'!$F1584,"Order date:
",1),1,10),"-","/"))),0)),ProxyDD[Chave],ProxyDD[Valor por pedido]),PROXY!$P$2),0),0)</f>
        <v>0</v>
      </c>
      <c r="AP1584" s="28">
        <f ca="1">IF('Banco de Dados'!$AK1584&lt;&gt;"-",IF('Banco de Dados'!$AL1584="NÃO",IFERROR(VALUE(SUBSTITUTE(_xlfn.TEXTAFTER('Banco de Dados'!$F1584,"BRL ",1),".",",")),0),0),0)</f>
        <v>0</v>
      </c>
      <c r="AQ1584" s="28">
        <f ca="1">SUM('Banco de Dados'!$AM1584:$AP1584)</f>
        <v>0</v>
      </c>
      <c r="AR1584" s="8"/>
      <c r="AS1584" s="8"/>
      <c r="AT1584"/>
      <c r="AY1584" s="8"/>
    </row>
    <row r="1585" spans="1:51">
      <c r="A1585" s="5" t="str">
        <v>MEI</v>
      </c>
      <c r="B1585" s="5" t="str">
        <f ca="1"/>
        <v>MEI45770</v>
      </c>
      <c r="C1585" s="8" t="str">
        <v>Pedido 1572</v>
      </c>
      <c r="D1585" s="187">
        <v>45770</v>
      </c>
      <c r="E1585" s="9">
        <v>45770</v>
      </c>
      <c r="F1585" s="8" t="str">
        <v>PedidoF1503</v>
      </c>
      <c r="G1585" s="2" t="str">
        <v>CódRastreio1501</v>
      </c>
      <c r="H1585" s="5">
        <v>1</v>
      </c>
      <c r="I1585" s="182" t="str">
        <v>CPF 1531</v>
      </c>
      <c r="J1585" s="2" t="str">
        <v>Nome 1531</v>
      </c>
      <c r="K1585" s="8" t="str">
        <v>Tel 1531</v>
      </c>
      <c r="L1585" s="8" t="str">
        <v>Cep 1531</v>
      </c>
      <c r="M1585" s="8" t="str">
        <v>Rua 1531</v>
      </c>
      <c r="N1585" s="8" t="str">
        <v>Comp 1531</v>
      </c>
      <c r="O1585" s="8" t="str">
        <v>Maçarico Culinário Portátil</v>
      </c>
      <c r="P1585" s="8" t="str">
        <v>BG-DHRO-FAEE</v>
      </c>
      <c r="Q1585" s="4">
        <v>45798</v>
      </c>
      <c r="R1585" s="109">
        <v>26.99</v>
      </c>
      <c r="S1585" s="11">
        <f ca="1"/>
        <v>26.99</v>
      </c>
      <c r="T1585" s="28">
        <f ca="1"/>
        <v>2.9688999999999997</v>
      </c>
      <c r="U1585" s="11">
        <f ca="1"/>
        <v>24.02</v>
      </c>
      <c r="V1585" s="11">
        <v>16.190000000000001</v>
      </c>
      <c r="W1585" s="11">
        <f ca="1"/>
        <v>0.12</v>
      </c>
      <c r="X1585" s="11">
        <f ca="1"/>
        <v>0.39877104377104378</v>
      </c>
      <c r="Y1585" s="11">
        <v>0</v>
      </c>
      <c r="Z1585" s="11">
        <f ca="1"/>
        <v>7.3112289562289519</v>
      </c>
      <c r="AA1585" s="11">
        <f ca="1"/>
        <v>3.6556144781144759</v>
      </c>
      <c r="AB1585" s="4">
        <f ca="1"/>
        <v>45805</v>
      </c>
      <c r="AC1585" s="4">
        <v>45805</v>
      </c>
      <c r="AD1585" s="9">
        <v>45807</v>
      </c>
      <c r="AE1585" s="9">
        <v>45810</v>
      </c>
      <c r="AF1585" s="4" t="str">
        <f t="shared" ca="1" si="107"/>
        <v>2025 05</v>
      </c>
      <c r="AG1585" s="8" t="str" cm="1">
        <f t="array" ref="AG1585">IFERROR(_xlfn.IFS('Banco de Dados'!#REF!="AG. COMPRA","Em processamento",'Banco de Dados'!#REF!="AG. RASTREIO","Em processamento",'Banco de Dados'!$AE1585&lt;&gt;"-","Faturado",'Banco de Dados'!$AD1585&lt;&gt;"-","Aguardando Pix",'Banco de Dados'!$AC1585&lt;&gt;"-","Pendente"),"Aguardando Liberação")</f>
        <v>Aguardando Liberação</v>
      </c>
      <c r="AH1585" s="5" t="str">
        <f>IF('Banco de Dados'!$F1585="-",_xlfn.CONCAT(PROPER(TEXT(AK1585,"aaaa"))," ",PROPER(TEXT(AK1585,"mm"))),_xlfn.CONCAT(PROPER(TEXT(E1585,"aaaa"))," ",PROPER(TEXT(E1585,"mm"))))</f>
        <v>2025 04</v>
      </c>
      <c r="AI1585" s="9" t="str">
        <f ca="1">IF('Banco de Dados'!$AK1585&lt;&gt;"-","REEMBOLSO",IFERROR(_xlfn.XLOOKUP(G1585,Follow[CODRASTREIO],Follow[STATUS]),"-"))</f>
        <v>ENTREGUE</v>
      </c>
      <c r="AJ1585" s="9">
        <f ca="1">IF('Banco de Dados'!$AI1585="ENTREGUE",_xlfn.XLOOKUP('Banco de Dados'!$G1585,Follow[CODRASTREIO],Follow[DATAATUALIZAÇÃO]),"-")</f>
        <v>45793</v>
      </c>
      <c r="AK1585" s="132" t="str">
        <f ca="1"/>
        <v>-</v>
      </c>
      <c r="AL1585" s="35"/>
      <c r="AM1585" s="109" cm="1">
        <f t="array" aca="1" ref="AM1585" ca="1">IF('Banco de Dados'!$AK1585&lt;&gt;"-",_xlfn.IFS('Banco de Dados'!$A1585="bv",IF('Banco de Dados'!$E1585&lt;45641,ROUND(SUM('Banco de Dados'!$R1585*_xlfn.XLOOKUP('Banco de Dados'!$P1585,Sku!B:B,Sku!#REF!)*20%),2),ROUND(SUM('Banco de Dados'!$R1585*_xlfn.XLOOKUP('Banco de Dados'!$P1585,Sku!B:B,Sku!H:H)*20%),2)),'Banco de Dados'!$A1585="GO",ROUND(SUM('Banco de Dados'!$R1585*_xlfn.XLOOKUP('Banco de Dados'!$P1585,Sku!C:C,Sku!H:H)*20%),2),'Banco de Dados'!$A1585="MEI",ROUND(SUM('Banco de Dados'!$R1585*_xlfn.XLOOKUP('Banco de Dados'!$P1585,Sku!D:D,Sku!H:H)*20%),2)),0)</f>
        <v>0</v>
      </c>
      <c r="AN1585" s="109">
        <f ca="1">IF('Banco de Dados'!$AK1585&lt;&gt;"-",IF('Banco de Dados'!$F1585&lt;&gt;"-",_xlfn.XLOOKUP(IFERROR(IFERROR(IFERROR(VALUE(SUBSTITUTE(MID(_xlfn.TEXTAFTER('Banco de Dados'!$F1585,"Data do Pedido:
",1),1,10),"-","/")),VALUE(SUBSTITUTE(MID(_xlfn.TEXTAFTER('Banco de Dados'!$F1585,"Order date:
",1),1,10),"-","/"))),VALUE(SUBSTITUTE(MID(_xlfn.TEXTAFTER('Banco de Dados'!$F1585,"Fecha de pedido:
",1),1,10),"-","/"))),"-"),SMS!A:A,SMS!K:K),0),0)</f>
        <v>0</v>
      </c>
      <c r="AO1585" s="109">
        <f ca="1">IF('Banco de Dados'!$AK1585&lt;&gt;"-",IF('Banco de Dados'!$F1585&lt;&gt;"-",IFERROR(_xlfn.XLOOKUP(_xlfn.CONCAT('Banco de Dados'!$A1585,IFERROR(IFERROR(VALUE(SUBSTITUTE(MID(_xlfn.TEXTAFTER('Banco de Dados'!$F1585,"Data do Pedido:
",1),1,10),"-","/")),VALUE(SUBSTITUTE(MID(_xlfn.TEXTAFTER('Banco de Dados'!$F1585,"Order date:
",1),1,10),"-","/"))),0)),ProxyDD[Chave],ProxyDD[Valor por pedido]),PROXY!$P$2),0),0)</f>
        <v>0</v>
      </c>
      <c r="AP1585" s="28">
        <f ca="1">IF('Banco de Dados'!$AK1585&lt;&gt;"-",IF('Banco de Dados'!$AL1585="NÃO",IFERROR(VALUE(SUBSTITUTE(_xlfn.TEXTAFTER('Banco de Dados'!$F1585,"BRL ",1),".",",")),0),0),0)</f>
        <v>0</v>
      </c>
      <c r="AQ1585" s="28">
        <f ca="1">SUM('Banco de Dados'!$AM1585:$AP1585)</f>
        <v>0</v>
      </c>
      <c r="AR1585" s="8"/>
      <c r="AS1585" s="8"/>
      <c r="AT1585"/>
      <c r="AY1585" s="8"/>
    </row>
    <row r="1586" spans="1:51">
      <c r="A1586" s="5" t="str">
        <v>MEI</v>
      </c>
      <c r="B1586" s="5" t="str">
        <f ca="1"/>
        <v>MEI45770</v>
      </c>
      <c r="C1586" s="8" t="str">
        <v>Pedido 1573</v>
      </c>
      <c r="D1586" s="187">
        <v>45770</v>
      </c>
      <c r="E1586" s="9">
        <v>45770</v>
      </c>
      <c r="F1586" s="8" t="str">
        <v>PedidoF1504</v>
      </c>
      <c r="G1586" s="2" t="str">
        <v>CódRastreio1502</v>
      </c>
      <c r="H1586" s="5">
        <v>1</v>
      </c>
      <c r="I1586" s="182" t="str">
        <v>CPF 1532</v>
      </c>
      <c r="J1586" s="2" t="str">
        <v>Nome 1532</v>
      </c>
      <c r="K1586" s="8" t="str">
        <v>Tel 1532</v>
      </c>
      <c r="L1586" s="8" t="str">
        <v>Cep 1532</v>
      </c>
      <c r="M1586" s="8" t="str">
        <v>Rua 1532</v>
      </c>
      <c r="N1586" s="8" t="str">
        <v>Comp 1532</v>
      </c>
      <c r="O1586" s="8" t="str">
        <v>Copo Termico</v>
      </c>
      <c r="P1586" s="8" t="str">
        <v>VI-4RT5-1FFO</v>
      </c>
      <c r="Q1586" s="4">
        <v>45798</v>
      </c>
      <c r="R1586" s="109">
        <v>22.7</v>
      </c>
      <c r="S1586" s="11">
        <f ca="1"/>
        <v>22.7</v>
      </c>
      <c r="T1586" s="28">
        <f ca="1"/>
        <v>2.7239999999999998</v>
      </c>
      <c r="U1586" s="11">
        <f ca="1"/>
        <v>19.98</v>
      </c>
      <c r="V1586" s="11">
        <v>14.71</v>
      </c>
      <c r="W1586" s="11">
        <f ca="1"/>
        <v>0.12</v>
      </c>
      <c r="X1586" s="11">
        <f ca="1"/>
        <v>0.39877104377104378</v>
      </c>
      <c r="Y1586" s="11">
        <v>0</v>
      </c>
      <c r="Z1586" s="11">
        <f ca="1"/>
        <v>4.7512289562289567</v>
      </c>
      <c r="AA1586" s="11">
        <f ca="1"/>
        <v>2.3756144781144783</v>
      </c>
      <c r="AB1586" s="4">
        <f ca="1"/>
        <v>45805</v>
      </c>
      <c r="AC1586" s="4">
        <v>45805</v>
      </c>
      <c r="AD1586" s="9">
        <v>45807</v>
      </c>
      <c r="AE1586" s="9">
        <v>45810</v>
      </c>
      <c r="AF1586" s="4" t="str">
        <f t="shared" ca="1" si="107"/>
        <v>2025 05</v>
      </c>
      <c r="AG1586" s="8" t="str" cm="1">
        <f t="array" ref="AG1586">IFERROR(_xlfn.IFS('Banco de Dados'!#REF!="AG. COMPRA","Em processamento",'Banco de Dados'!#REF!="AG. RASTREIO","Em processamento",'Banco de Dados'!$AE1586&lt;&gt;"-","Faturado",'Banco de Dados'!$AD1586&lt;&gt;"-","Aguardando Pix",'Banco de Dados'!$AC1586&lt;&gt;"-","Pendente"),"Aguardando Liberação")</f>
        <v>Aguardando Liberação</v>
      </c>
      <c r="AH1586" s="5" t="str">
        <f>IF('Banco de Dados'!$F1586="-",_xlfn.CONCAT(PROPER(TEXT(AK1586,"aaaa"))," ",PROPER(TEXT(AK1586,"mm"))),_xlfn.CONCAT(PROPER(TEXT(E1586,"aaaa"))," ",PROPER(TEXT(E1586,"mm"))))</f>
        <v>2025 04</v>
      </c>
      <c r="AI1586" s="9" t="str">
        <f ca="1">IF('Banco de Dados'!$AK1586&lt;&gt;"-","REEMBOLSO",IFERROR(_xlfn.XLOOKUP(G1586,Follow[CODRASTREIO],Follow[STATUS]),"-"))</f>
        <v>ENTREGUE</v>
      </c>
      <c r="AJ1586" s="9">
        <f ca="1">IF('Banco de Dados'!$AI1586="ENTREGUE",_xlfn.XLOOKUP('Banco de Dados'!$G1586,Follow[CODRASTREIO],Follow[DATAATUALIZAÇÃO]),"-")</f>
        <v>45782</v>
      </c>
      <c r="AK1586" s="132" t="str">
        <f ca="1"/>
        <v>-</v>
      </c>
      <c r="AL1586" s="35"/>
      <c r="AM1586" s="109" cm="1">
        <f t="array" aca="1" ref="AM1586" ca="1">IF('Banco de Dados'!$AK1586&lt;&gt;"-",_xlfn.IFS('Banco de Dados'!$A1586="bv",IF('Banco de Dados'!$E1586&lt;45641,ROUND(SUM('Banco de Dados'!$R1586*_xlfn.XLOOKUP('Banco de Dados'!$P1586,Sku!B:B,Sku!#REF!)*20%),2),ROUND(SUM('Banco de Dados'!$R1586*_xlfn.XLOOKUP('Banco de Dados'!$P1586,Sku!B:B,Sku!H:H)*20%),2)),'Banco de Dados'!$A1586="GO",ROUND(SUM('Banco de Dados'!$R1586*_xlfn.XLOOKUP('Banco de Dados'!$P1586,Sku!C:C,Sku!H:H)*20%),2),'Banco de Dados'!$A1586="MEI",ROUND(SUM('Banco de Dados'!$R1586*_xlfn.XLOOKUP('Banco de Dados'!$P1586,Sku!D:D,Sku!H:H)*20%),2)),0)</f>
        <v>0</v>
      </c>
      <c r="AN1586" s="109">
        <f ca="1">IF('Banco de Dados'!$AK1586&lt;&gt;"-",IF('Banco de Dados'!$F1586&lt;&gt;"-",_xlfn.XLOOKUP(IFERROR(IFERROR(IFERROR(VALUE(SUBSTITUTE(MID(_xlfn.TEXTAFTER('Banco de Dados'!$F1586,"Data do Pedido:
",1),1,10),"-","/")),VALUE(SUBSTITUTE(MID(_xlfn.TEXTAFTER('Banco de Dados'!$F1586,"Order date:
",1),1,10),"-","/"))),VALUE(SUBSTITUTE(MID(_xlfn.TEXTAFTER('Banco de Dados'!$F1586,"Fecha de pedido:
",1),1,10),"-","/"))),"-"),SMS!A:A,SMS!K:K),0),0)</f>
        <v>0</v>
      </c>
      <c r="AO1586" s="109">
        <f ca="1">IF('Banco de Dados'!$AK1586&lt;&gt;"-",IF('Banco de Dados'!$F1586&lt;&gt;"-",IFERROR(_xlfn.XLOOKUP(_xlfn.CONCAT('Banco de Dados'!$A1586,IFERROR(IFERROR(VALUE(SUBSTITUTE(MID(_xlfn.TEXTAFTER('Banco de Dados'!$F1586,"Data do Pedido:
",1),1,10),"-","/")),VALUE(SUBSTITUTE(MID(_xlfn.TEXTAFTER('Banco de Dados'!$F1586,"Order date:
",1),1,10),"-","/"))),0)),ProxyDD[Chave],ProxyDD[Valor por pedido]),PROXY!$P$2),0),0)</f>
        <v>0</v>
      </c>
      <c r="AP1586" s="28">
        <f ca="1">IF('Banco de Dados'!$AK1586&lt;&gt;"-",IF('Banco de Dados'!$AL1586="NÃO",IFERROR(VALUE(SUBSTITUTE(_xlfn.TEXTAFTER('Banco de Dados'!$F1586,"BRL ",1),".",",")),0),0),0)</f>
        <v>0</v>
      </c>
      <c r="AQ1586" s="28">
        <f ca="1">SUM('Banco de Dados'!$AM1586:$AP1586)</f>
        <v>0</v>
      </c>
      <c r="AR1586" s="8"/>
      <c r="AS1586" s="8"/>
      <c r="AT1586"/>
      <c r="AY1586" s="8"/>
    </row>
    <row r="1587" spans="1:51">
      <c r="A1587" s="5" t="str">
        <v>MEI</v>
      </c>
      <c r="B1587" s="5" t="str">
        <f ca="1"/>
        <v>MEI45770</v>
      </c>
      <c r="C1587" s="8" t="str">
        <v>Pedido 1574</v>
      </c>
      <c r="D1587" s="187">
        <v>45770</v>
      </c>
      <c r="E1587" s="9">
        <v>45770</v>
      </c>
      <c r="F1587" s="8" t="str">
        <v>PedidoF1505</v>
      </c>
      <c r="G1587" s="2" t="str">
        <v>CódRastreio1503</v>
      </c>
      <c r="H1587" s="5">
        <v>1</v>
      </c>
      <c r="I1587" s="182" t="str">
        <v>CPF 1533</v>
      </c>
      <c r="J1587" s="2" t="str">
        <v>Nome 1533</v>
      </c>
      <c r="K1587" s="8" t="str">
        <v>Tel 1533</v>
      </c>
      <c r="L1587" s="8" t="str">
        <v>Cep 1533</v>
      </c>
      <c r="M1587" s="8" t="str">
        <v>Rua 1533</v>
      </c>
      <c r="N1587" s="8" t="str">
        <v>Comp 1533</v>
      </c>
      <c r="O1587" s="8" t="str">
        <v>Ventilador Umidificador Preto</v>
      </c>
      <c r="P1587" s="8" t="str">
        <v>71-KHMZ-MLQW</v>
      </c>
      <c r="Q1587" s="4">
        <v>45798</v>
      </c>
      <c r="R1587" s="109">
        <v>52.99</v>
      </c>
      <c r="S1587" s="11">
        <f ca="1"/>
        <v>52.99</v>
      </c>
      <c r="T1587" s="28">
        <f ca="1"/>
        <v>5.8289</v>
      </c>
      <c r="U1587" s="11">
        <f ca="1"/>
        <v>47.16</v>
      </c>
      <c r="V1587" s="11">
        <v>30.69</v>
      </c>
      <c r="W1587" s="11">
        <f ca="1"/>
        <v>0.12</v>
      </c>
      <c r="X1587" s="11">
        <f ca="1"/>
        <v>0.39877104377104378</v>
      </c>
      <c r="Y1587" s="11">
        <v>0</v>
      </c>
      <c r="Z1587" s="11">
        <f ca="1"/>
        <v>15.951228956228949</v>
      </c>
      <c r="AA1587" s="11">
        <f ca="1"/>
        <v>7.9756144781144744</v>
      </c>
      <c r="AB1587" s="4">
        <f ca="1"/>
        <v>45805</v>
      </c>
      <c r="AC1587" s="4">
        <v>45805</v>
      </c>
      <c r="AD1587" s="9">
        <v>45807</v>
      </c>
      <c r="AE1587" s="9">
        <v>45810</v>
      </c>
      <c r="AF1587" s="4" t="str">
        <f t="shared" ca="1" si="107"/>
        <v>2025 05</v>
      </c>
      <c r="AG1587" s="8" t="str" cm="1">
        <f t="array" ref="AG1587">IFERROR(_xlfn.IFS('Banco de Dados'!#REF!="AG. COMPRA","Em processamento",'Banco de Dados'!#REF!="AG. RASTREIO","Em processamento",'Banco de Dados'!$AE1587&lt;&gt;"-","Faturado",'Banco de Dados'!$AD1587&lt;&gt;"-","Aguardando Pix",'Banco de Dados'!$AC1587&lt;&gt;"-","Pendente"),"Aguardando Liberação")</f>
        <v>Aguardando Liberação</v>
      </c>
      <c r="AH1587" s="5" t="str">
        <f>IF('Banco de Dados'!$F1587="-",_xlfn.CONCAT(PROPER(TEXT(AK1587,"aaaa"))," ",PROPER(TEXT(AK1587,"mm"))),_xlfn.CONCAT(PROPER(TEXT(E1587,"aaaa"))," ",PROPER(TEXT(E1587,"mm"))))</f>
        <v>2025 04</v>
      </c>
      <c r="AI1587" s="9" t="str">
        <f ca="1">IF('Banco de Dados'!$AK1587&lt;&gt;"-","REEMBOLSO",IFERROR(_xlfn.XLOOKUP(G1587,Follow[CODRASTREIO],Follow[STATUS]),"-"))</f>
        <v>ENTREGUE</v>
      </c>
      <c r="AJ1587" s="9">
        <f ca="1">IF('Banco de Dados'!$AI1587="ENTREGUE",_xlfn.XLOOKUP('Banco de Dados'!$G1587,Follow[CODRASTREIO],Follow[DATAATUALIZAÇÃO]),"-")</f>
        <v>45786</v>
      </c>
      <c r="AK1587" s="132" t="str">
        <f ca="1"/>
        <v>-</v>
      </c>
      <c r="AL1587" s="35"/>
      <c r="AM1587" s="109" cm="1">
        <f t="array" aca="1" ref="AM1587" ca="1">IF('Banco de Dados'!$AK1587&lt;&gt;"-",_xlfn.IFS('Banco de Dados'!$A1587="bv",IF('Banco de Dados'!$E1587&lt;45641,ROUND(SUM('Banco de Dados'!$R1587*_xlfn.XLOOKUP('Banco de Dados'!$P1587,Sku!B:B,Sku!#REF!)*20%),2),ROUND(SUM('Banco de Dados'!$R1587*_xlfn.XLOOKUP('Banco de Dados'!$P1587,Sku!B:B,Sku!H:H)*20%),2)),'Banco de Dados'!$A1587="GO",ROUND(SUM('Banco de Dados'!$R1587*_xlfn.XLOOKUP('Banco de Dados'!$P1587,Sku!C:C,Sku!H:H)*20%),2),'Banco de Dados'!$A1587="MEI",ROUND(SUM('Banco de Dados'!$R1587*_xlfn.XLOOKUP('Banco de Dados'!$P1587,Sku!D:D,Sku!H:H)*20%),2)),0)</f>
        <v>0</v>
      </c>
      <c r="AN1587" s="109">
        <f ca="1">IF('Banco de Dados'!$AK1587&lt;&gt;"-",IF('Banco de Dados'!$F1587&lt;&gt;"-",_xlfn.XLOOKUP(IFERROR(IFERROR(IFERROR(VALUE(SUBSTITUTE(MID(_xlfn.TEXTAFTER('Banco de Dados'!$F1587,"Data do Pedido:
",1),1,10),"-","/")),VALUE(SUBSTITUTE(MID(_xlfn.TEXTAFTER('Banco de Dados'!$F1587,"Order date:
",1),1,10),"-","/"))),VALUE(SUBSTITUTE(MID(_xlfn.TEXTAFTER('Banco de Dados'!$F1587,"Fecha de pedido:
",1),1,10),"-","/"))),"-"),SMS!A:A,SMS!K:K),0),0)</f>
        <v>0</v>
      </c>
      <c r="AO1587" s="109">
        <f ca="1">IF('Banco de Dados'!$AK1587&lt;&gt;"-",IF('Banco de Dados'!$F1587&lt;&gt;"-",IFERROR(_xlfn.XLOOKUP(_xlfn.CONCAT('Banco de Dados'!$A1587,IFERROR(IFERROR(VALUE(SUBSTITUTE(MID(_xlfn.TEXTAFTER('Banco de Dados'!$F1587,"Data do Pedido:
",1),1,10),"-","/")),VALUE(SUBSTITUTE(MID(_xlfn.TEXTAFTER('Banco de Dados'!$F1587,"Order date:
",1),1,10),"-","/"))),0)),ProxyDD[Chave],ProxyDD[Valor por pedido]),PROXY!$P$2),0),0)</f>
        <v>0</v>
      </c>
      <c r="AP1587" s="28">
        <f ca="1">IF('Banco de Dados'!$AK1587&lt;&gt;"-",IF('Banco de Dados'!$AL1587="NÃO",IFERROR(VALUE(SUBSTITUTE(_xlfn.TEXTAFTER('Banco de Dados'!$F1587,"BRL ",1),".",",")),0),0),0)</f>
        <v>0</v>
      </c>
      <c r="AQ1587" s="28">
        <f ca="1">SUM('Banco de Dados'!$AM1587:$AP1587)</f>
        <v>0</v>
      </c>
      <c r="AR1587" s="8"/>
      <c r="AS1587" s="8"/>
      <c r="AT1587"/>
      <c r="AY1587" s="8"/>
    </row>
    <row r="1588" spans="1:51">
      <c r="A1588" s="5" t="str">
        <v>MEI</v>
      </c>
      <c r="B1588" s="5" t="str">
        <f ca="1"/>
        <v>MEI45770</v>
      </c>
      <c r="C1588" s="8" t="str">
        <v>Pedido 1575</v>
      </c>
      <c r="D1588" s="187">
        <v>45770</v>
      </c>
      <c r="E1588" s="9">
        <v>45770</v>
      </c>
      <c r="F1588" s="8" t="str">
        <v>PedidoF1506</v>
      </c>
      <c r="G1588" s="2" t="str">
        <v>CódRastreio1504</v>
      </c>
      <c r="H1588" s="5">
        <v>1</v>
      </c>
      <c r="I1588" s="182" t="str">
        <v>CPF 1534</v>
      </c>
      <c r="J1588" s="2" t="str">
        <v>Nome 1534</v>
      </c>
      <c r="K1588" s="8" t="str">
        <v>Tel 1534</v>
      </c>
      <c r="L1588" s="8" t="str">
        <v>Cep 1534</v>
      </c>
      <c r="M1588" s="8" t="str">
        <v>Rua 1534</v>
      </c>
      <c r="N1588" s="8" t="str">
        <v>Comp 1534</v>
      </c>
      <c r="O1588" s="8" t="str">
        <v>Maçarico Culinário Portátil</v>
      </c>
      <c r="P1588" s="8" t="str">
        <v>BG-DHRO-FAEE</v>
      </c>
      <c r="Q1588" s="4">
        <v>45792</v>
      </c>
      <c r="R1588" s="109">
        <v>26.99</v>
      </c>
      <c r="S1588" s="11">
        <f ca="1"/>
        <v>0</v>
      </c>
      <c r="T1588" s="28">
        <f ca="1"/>
        <v>0</v>
      </c>
      <c r="U1588" s="11">
        <f ca="1"/>
        <v>0</v>
      </c>
      <c r="V1588" s="11">
        <v>0</v>
      </c>
      <c r="W1588" s="11">
        <f ca="1"/>
        <v>0</v>
      </c>
      <c r="X1588" s="11">
        <f ca="1"/>
        <v>0.39877104377104378</v>
      </c>
      <c r="Y1588" s="11">
        <v>0</v>
      </c>
      <c r="Z1588" s="11">
        <f ca="1"/>
        <v>-0.39877104377104378</v>
      </c>
      <c r="AA1588" s="11">
        <f ca="1"/>
        <v>-0.19938552188552189</v>
      </c>
      <c r="AB1588" s="4">
        <f ca="1"/>
        <v>45799</v>
      </c>
      <c r="AC1588" s="4">
        <v>45799</v>
      </c>
      <c r="AD1588" s="9">
        <v>45807</v>
      </c>
      <c r="AE1588" s="9">
        <v>45810</v>
      </c>
      <c r="AF1588" s="4" t="str">
        <f t="shared" ca="1" si="107"/>
        <v>2025 05</v>
      </c>
      <c r="AG1588" s="8" t="str" cm="1">
        <f t="array" ref="AG1588">IFERROR(_xlfn.IFS('Banco de Dados'!#REF!="AG. COMPRA","Em processamento",'Banco de Dados'!#REF!="AG. RASTREIO","Em processamento",'Banco de Dados'!$AE1588&lt;&gt;"-","Faturado",'Banco de Dados'!$AD1588&lt;&gt;"-","Aguardando Pix",'Banco de Dados'!$AC1588&lt;&gt;"-","Pendente"),"Aguardando Liberação")</f>
        <v>Aguardando Liberação</v>
      </c>
      <c r="AH1588" s="5" t="str">
        <f>IF('Banco de Dados'!$F1588="-",_xlfn.CONCAT(PROPER(TEXT(AK1588,"aaaa"))," ",PROPER(TEXT(AK1588,"mm"))),_xlfn.CONCAT(PROPER(TEXT(E1588,"aaaa"))," ",PROPER(TEXT(E1588,"mm"))))</f>
        <v>2025 04</v>
      </c>
      <c r="AI1588" s="9" t="str">
        <f ca="1">IF('Banco de Dados'!$AK1588&lt;&gt;"-","REEMBOLSO",IFERROR(_xlfn.XLOOKUP(G1588,Follow[CODRASTREIO],Follow[STATUS]),"-"))</f>
        <v>REEMBOLSO</v>
      </c>
      <c r="AJ1588" s="9" t="str">
        <f ca="1">IF('Banco de Dados'!$AI1588="ENTREGUE",_xlfn.XLOOKUP('Banco de Dados'!$G1588,Follow[CODRASTREIO],Follow[DATAATUALIZAÇÃO]),"-")</f>
        <v>-</v>
      </c>
      <c r="AK1588" s="132">
        <f ca="1"/>
        <v>45792</v>
      </c>
      <c r="AL1588" s="35"/>
      <c r="AM1588" s="109" cm="1">
        <f t="array" aca="1" ref="AM1588" ca="1">IF('Banco de Dados'!$AK1588&lt;&gt;"-",_xlfn.IFS('Banco de Dados'!$A1588="bv",IF('Banco de Dados'!$E1588&lt;45641,ROUND(SUM('Banco de Dados'!$R1588*_xlfn.XLOOKUP('Banco de Dados'!$P1588,Sku!B:B,Sku!#REF!)*20%),2),ROUND(SUM('Banco de Dados'!$R1588*_xlfn.XLOOKUP('Banco de Dados'!$P1588,Sku!B:B,Sku!H:H)*20%),2)),'Banco de Dados'!$A1588="GO",ROUND(SUM('Banco de Dados'!$R1588*_xlfn.XLOOKUP('Banco de Dados'!$P1588,Sku!C:C,Sku!H:H)*20%),2),'Banco de Dados'!$A1588="MEI",ROUND(SUM('Banco de Dados'!$R1588*_xlfn.XLOOKUP('Banco de Dados'!$P1588,Sku!D:D,Sku!H:H)*20%),2)),0)</f>
        <v>0.59</v>
      </c>
      <c r="AN1588" s="109" t="e">
        <f ca="1">IF('Banco de Dados'!$AK1588&lt;&gt;"-",IF('Banco de Dados'!$F1588&lt;&gt;"-",_xlfn.XLOOKUP(IFERROR(IFERROR(IFERROR(VALUE(SUBSTITUTE(MID(_xlfn.TEXTAFTER('Banco de Dados'!$F1588,"Data do Pedido:
",1),1,10),"-","/")),VALUE(SUBSTITUTE(MID(_xlfn.TEXTAFTER('Banco de Dados'!$F1588,"Order date:
",1),1,10),"-","/"))),VALUE(SUBSTITUTE(MID(_xlfn.TEXTAFTER('Banco de Dados'!$F1588,"Fecha de pedido:
",1),1,10),"-","/"))),"-"),SMS!A:A,SMS!K:K),0),0)</f>
        <v>#N/A</v>
      </c>
      <c r="AO1588" s="109">
        <f ca="1">IF('Banco de Dados'!$AK1588&lt;&gt;"-",IF('Banco de Dados'!$F1588&lt;&gt;"-",IFERROR(_xlfn.XLOOKUP(_xlfn.CONCAT('Banco de Dados'!$A1588,IFERROR(IFERROR(VALUE(SUBSTITUTE(MID(_xlfn.TEXTAFTER('Banco de Dados'!$F1588,"Data do Pedido:
",1),1,10),"-","/")),VALUE(SUBSTITUTE(MID(_xlfn.TEXTAFTER('Banco de Dados'!$F1588,"Order date:
",1),1,10),"-","/"))),0)),ProxyDD[Chave],ProxyDD[Valor por pedido]),PROXY!$P$2),0),0)</f>
        <v>0.39877104377104378</v>
      </c>
      <c r="AP1588" s="28">
        <f ca="1">IF('Banco de Dados'!$AK1588&lt;&gt;"-",IF('Banco de Dados'!$AL1588="NÃO",IFERROR(VALUE(SUBSTITUTE(_xlfn.TEXTAFTER('Banco de Dados'!$F1588,"BRL ",1),".",",")),0),0),0)</f>
        <v>0</v>
      </c>
      <c r="AQ1588" s="28" t="e">
        <f ca="1">SUM('Banco de Dados'!$AM1588:$AP1588)</f>
        <v>#N/A</v>
      </c>
      <c r="AR1588" s="8"/>
      <c r="AS1588" s="8"/>
      <c r="AT1588"/>
      <c r="AY1588" s="8"/>
    </row>
    <row r="1589" spans="1:51">
      <c r="A1589" s="5" t="str">
        <v>GO</v>
      </c>
      <c r="B1589" s="5" t="str">
        <f ca="1"/>
        <v>GO45770</v>
      </c>
      <c r="C1589" s="8" t="str">
        <v>Pedido 1576</v>
      </c>
      <c r="D1589" s="187">
        <v>45770</v>
      </c>
      <c r="E1589" s="9">
        <v>45770</v>
      </c>
      <c r="F1589" s="8" t="str">
        <v>PedidoF1507</v>
      </c>
      <c r="G1589" s="2" t="str">
        <v>CódRastreio1505</v>
      </c>
      <c r="H1589" s="5">
        <v>1</v>
      </c>
      <c r="I1589" s="182" t="str">
        <v>CPF 1535</v>
      </c>
      <c r="J1589" s="2" t="str">
        <v>Nome 1535</v>
      </c>
      <c r="K1589" s="8" t="str">
        <v>Tel 1535</v>
      </c>
      <c r="L1589" s="8" t="str">
        <v>Cep 1535</v>
      </c>
      <c r="M1589" s="8" t="str">
        <v>Rua 1535</v>
      </c>
      <c r="N1589" s="8" t="str">
        <v>Comp 1535</v>
      </c>
      <c r="O1589" s="8" t="str">
        <v>Ventilador Preto</v>
      </c>
      <c r="P1589" s="8" t="str">
        <v>EP-9PIR-BWXH</v>
      </c>
      <c r="Q1589" s="4">
        <v>45798</v>
      </c>
      <c r="R1589" s="109">
        <v>65.739999999999995</v>
      </c>
      <c r="S1589" s="11">
        <f ca="1"/>
        <v>0</v>
      </c>
      <c r="T1589" s="28">
        <f ca="1"/>
        <v>0</v>
      </c>
      <c r="U1589" s="11">
        <f ca="1"/>
        <v>0</v>
      </c>
      <c r="V1589" s="11">
        <v>0</v>
      </c>
      <c r="W1589" s="11">
        <f ca="1"/>
        <v>0</v>
      </c>
      <c r="X1589" s="11">
        <f ca="1"/>
        <v>0.39877104377104378</v>
      </c>
      <c r="Y1589" s="11">
        <v>0</v>
      </c>
      <c r="Z1589" s="11">
        <f ca="1"/>
        <v>-0.39877104377104378</v>
      </c>
      <c r="AA1589" s="11">
        <f ca="1"/>
        <v>-0.39877104377104378</v>
      </c>
      <c r="AB1589" s="4">
        <f ca="1"/>
        <v>45805</v>
      </c>
      <c r="AC1589" s="4">
        <v>45805</v>
      </c>
      <c r="AD1589" s="9">
        <v>45807</v>
      </c>
      <c r="AE1589" s="9">
        <v>45810</v>
      </c>
      <c r="AF1589" s="4" t="str">
        <f t="shared" ca="1" si="107"/>
        <v>2025 05</v>
      </c>
      <c r="AG1589" s="8" t="str" cm="1">
        <f t="array" ref="AG1589">IFERROR(_xlfn.IFS('Banco de Dados'!#REF!="AG. COMPRA","Em processamento",'Banco de Dados'!#REF!="AG. RASTREIO","Em processamento",'Banco de Dados'!$AE1589&lt;&gt;"-","Faturado",'Banco de Dados'!$AD1589&lt;&gt;"-","Aguardando Pix",'Banco de Dados'!$AC1589&lt;&gt;"-","Pendente"),"Aguardando Liberação")</f>
        <v>Aguardando Liberação</v>
      </c>
      <c r="AH1589" s="5" t="str">
        <f>IF('Banco de Dados'!$F1589="-",_xlfn.CONCAT(PROPER(TEXT(AK1589,"aaaa"))," ",PROPER(TEXT(AK1589,"mm"))),_xlfn.CONCAT(PROPER(TEXT(E1589,"aaaa"))," ",PROPER(TEXT(E1589,"mm"))))</f>
        <v>2025 04</v>
      </c>
      <c r="AI1589" s="9" t="str">
        <f ca="1">IF('Banco de Dados'!$AK1589&lt;&gt;"-","REEMBOLSO",IFERROR(_xlfn.XLOOKUP(G1589,Follow[CODRASTREIO],Follow[STATUS]),"-"))</f>
        <v>REEMBOLSO</v>
      </c>
      <c r="AJ1589" s="9" t="str">
        <f ca="1">IF('Banco de Dados'!$AI1589="ENTREGUE",_xlfn.XLOOKUP('Banco de Dados'!$G1589,Follow[CODRASTREIO],Follow[DATAATUALIZAÇÃO]),"-")</f>
        <v>-</v>
      </c>
      <c r="AK1589" s="132">
        <f ca="1"/>
        <v>45791</v>
      </c>
      <c r="AL1589" s="35"/>
      <c r="AM1589" s="109" cm="1">
        <f t="array" aca="1" ref="AM1589" ca="1">IF('Banco de Dados'!$AK1589&lt;&gt;"-",_xlfn.IFS('Banco de Dados'!$A1589="bv",IF('Banco de Dados'!$E1589&lt;45641,ROUND(SUM('Banco de Dados'!$R1589*_xlfn.XLOOKUP('Banco de Dados'!$P1589,Sku!B:B,Sku!#REF!)*20%),2),ROUND(SUM('Banco de Dados'!$R1589*_xlfn.XLOOKUP('Banco de Dados'!$P1589,Sku!B:B,Sku!H:H)*20%),2)),'Banco de Dados'!$A1589="GO",ROUND(SUM('Banco de Dados'!$R1589*_xlfn.XLOOKUP('Banco de Dados'!$P1589,Sku!C:C,Sku!H:H)*20%),2),'Banco de Dados'!$A1589="MEI",ROUND(SUM('Banco de Dados'!$R1589*_xlfn.XLOOKUP('Banco de Dados'!$P1589,Sku!D:D,Sku!H:H)*20%),2)),0)</f>
        <v>1.71</v>
      </c>
      <c r="AN1589" s="109" t="e">
        <f ca="1">IF('Banco de Dados'!$AK1589&lt;&gt;"-",IF('Banco de Dados'!$F1589&lt;&gt;"-",_xlfn.XLOOKUP(IFERROR(IFERROR(IFERROR(VALUE(SUBSTITUTE(MID(_xlfn.TEXTAFTER('Banco de Dados'!$F1589,"Data do Pedido:
",1),1,10),"-","/")),VALUE(SUBSTITUTE(MID(_xlfn.TEXTAFTER('Banco de Dados'!$F1589,"Order date:
",1),1,10),"-","/"))),VALUE(SUBSTITUTE(MID(_xlfn.TEXTAFTER('Banco de Dados'!$F1589,"Fecha de pedido:
",1),1,10),"-","/"))),"-"),SMS!A:A,SMS!K:K),0),0)</f>
        <v>#N/A</v>
      </c>
      <c r="AO1589" s="109">
        <f ca="1">IF('Banco de Dados'!$AK1589&lt;&gt;"-",IF('Banco de Dados'!$F1589&lt;&gt;"-",IFERROR(_xlfn.XLOOKUP(_xlfn.CONCAT('Banco de Dados'!$A1589,IFERROR(IFERROR(VALUE(SUBSTITUTE(MID(_xlfn.TEXTAFTER('Banco de Dados'!$F1589,"Data do Pedido:
",1),1,10),"-","/")),VALUE(SUBSTITUTE(MID(_xlfn.TEXTAFTER('Banco de Dados'!$F1589,"Order date:
",1),1,10),"-","/"))),0)),ProxyDD[Chave],ProxyDD[Valor por pedido]),PROXY!$P$2),0),0)</f>
        <v>0.39877104377104378</v>
      </c>
      <c r="AP1589" s="28">
        <f ca="1">IF('Banco de Dados'!$AK1589&lt;&gt;"-",IF('Banco de Dados'!$AL1589="NÃO",IFERROR(VALUE(SUBSTITUTE(_xlfn.TEXTAFTER('Banco de Dados'!$F1589,"BRL ",1),".",",")),0),0),0)</f>
        <v>0</v>
      </c>
      <c r="AQ1589" s="28" t="e">
        <f ca="1">SUM('Banco de Dados'!$AM1589:$AP1589)</f>
        <v>#N/A</v>
      </c>
      <c r="AR1589" s="8"/>
      <c r="AS1589" s="8"/>
      <c r="AT1589"/>
      <c r="AY1589" s="8"/>
    </row>
    <row r="1590" spans="1:51">
      <c r="A1590" s="5" t="str">
        <v>MEI</v>
      </c>
      <c r="B1590" s="5" t="str">
        <f ca="1"/>
        <v>MEI45771</v>
      </c>
      <c r="C1590" s="8" t="str">
        <v>Pedido 1577</v>
      </c>
      <c r="D1590" s="187">
        <v>45770</v>
      </c>
      <c r="E1590" s="9">
        <v>45771</v>
      </c>
      <c r="F1590" s="8" t="str">
        <v>PedidoF1508</v>
      </c>
      <c r="G1590" s="2" t="str">
        <v>CódRastreio1506</v>
      </c>
      <c r="H1590" s="5">
        <v>1</v>
      </c>
      <c r="I1590" s="182" t="str">
        <v>CPF 1536</v>
      </c>
      <c r="J1590" s="2" t="str">
        <v>Nome 1536</v>
      </c>
      <c r="K1590" s="8" t="str">
        <v>Tel 1536</v>
      </c>
      <c r="L1590" s="8" t="str">
        <v>Cep 1536</v>
      </c>
      <c r="M1590" s="8" t="str">
        <v>Rua 1536</v>
      </c>
      <c r="N1590" s="8" t="str">
        <v>Comp 1536</v>
      </c>
      <c r="O1590" s="8" t="str">
        <v>Maçarico Culinário Portátil</v>
      </c>
      <c r="P1590" s="8" t="str">
        <v>BG-DHRO-FAEE</v>
      </c>
      <c r="Q1590" s="4">
        <v>45798</v>
      </c>
      <c r="R1590" s="109">
        <v>26.99</v>
      </c>
      <c r="S1590" s="11">
        <f ca="1"/>
        <v>26.99</v>
      </c>
      <c r="T1590" s="28">
        <f ca="1"/>
        <v>2.9688999999999997</v>
      </c>
      <c r="U1590" s="11">
        <f ca="1"/>
        <v>24.02</v>
      </c>
      <c r="V1590" s="11">
        <v>16.149999999999999</v>
      </c>
      <c r="W1590" s="11">
        <f ca="1"/>
        <v>0.28999999999999998</v>
      </c>
      <c r="X1590" s="11">
        <f ca="1"/>
        <v>0.39877104377104378</v>
      </c>
      <c r="Y1590" s="11">
        <v>0</v>
      </c>
      <c r="Z1590" s="11">
        <f ca="1"/>
        <v>7.1812289562289564</v>
      </c>
      <c r="AA1590" s="11">
        <f ca="1"/>
        <v>3.5906144781144782</v>
      </c>
      <c r="AB1590" s="4">
        <f ca="1"/>
        <v>45805</v>
      </c>
      <c r="AC1590" s="4">
        <v>45805</v>
      </c>
      <c r="AD1590" s="9">
        <v>45807</v>
      </c>
      <c r="AE1590" s="9">
        <v>45810</v>
      </c>
      <c r="AF1590" s="4" t="str">
        <f t="shared" ref="AF1590:AF1594" ca="1" si="108">_xlfn.CONCAT(PROPER(TEXT(AB1590,"aaaa"))," ",PROPER(TEXT(AB1590,"mm")))</f>
        <v>2025 05</v>
      </c>
      <c r="AG1590" s="8" t="str" cm="1">
        <f t="array" ref="AG1590">IFERROR(_xlfn.IFS('Banco de Dados'!#REF!="AG. COMPRA","Em processamento",'Banco de Dados'!#REF!="AG. RASTREIO","Em processamento",'Banco de Dados'!$AE1590&lt;&gt;"-","Faturado",'Banco de Dados'!$AD1590&lt;&gt;"-","Aguardando Pix",'Banco de Dados'!$AC1590&lt;&gt;"-","Pendente"),"Aguardando Liberação")</f>
        <v>Aguardando Liberação</v>
      </c>
      <c r="AH1590" s="5" t="str">
        <f>IF('Banco de Dados'!$F1590="-",_xlfn.CONCAT(PROPER(TEXT(AK1590,"aaaa"))," ",PROPER(TEXT(AK1590,"mm"))),_xlfn.CONCAT(PROPER(TEXT(E1590,"aaaa"))," ",PROPER(TEXT(E1590,"mm"))))</f>
        <v>2025 04</v>
      </c>
      <c r="AI1590" s="9" t="str">
        <f ca="1">IF('Banco de Dados'!$AK1590&lt;&gt;"-","REEMBOLSO",IFERROR(_xlfn.XLOOKUP(G1590,Follow[CODRASTREIO],Follow[STATUS]),"-"))</f>
        <v>ENTREGUE</v>
      </c>
      <c r="AJ1590" s="9">
        <f ca="1">IF('Banco de Dados'!$AI1590="ENTREGUE",_xlfn.XLOOKUP('Banco de Dados'!$G1590,Follow[CODRASTREIO],Follow[DATAATUALIZAÇÃO]),"-")</f>
        <v>45819.597534722219</v>
      </c>
      <c r="AK1590" s="132" t="str">
        <f ca="1"/>
        <v>-</v>
      </c>
      <c r="AL1590" s="35"/>
      <c r="AM1590" s="109" cm="1">
        <f t="array" aca="1" ref="AM1590" ca="1">IF('Banco de Dados'!$AK1590&lt;&gt;"-",_xlfn.IFS('Banco de Dados'!$A1590="bv",IF('Banco de Dados'!$E1590&lt;45641,ROUND(SUM('Banco de Dados'!$R1590*_xlfn.XLOOKUP('Banco de Dados'!$P1590,Sku!B:B,Sku!#REF!)*20%),2),ROUND(SUM('Banco de Dados'!$R1590*_xlfn.XLOOKUP('Banco de Dados'!$P1590,Sku!B:B,Sku!H:H)*20%),2)),'Banco de Dados'!$A1590="GO",ROUND(SUM('Banco de Dados'!$R1590*_xlfn.XLOOKUP('Banco de Dados'!$P1590,Sku!C:C,Sku!H:H)*20%),2),'Banco de Dados'!$A1590="MEI",ROUND(SUM('Banco de Dados'!$R1590*_xlfn.XLOOKUP('Banco de Dados'!$P1590,Sku!D:D,Sku!H:H)*20%),2)),0)</f>
        <v>0</v>
      </c>
      <c r="AN1590" s="109">
        <f ca="1">IF('Banco de Dados'!$AK1590&lt;&gt;"-",IF('Banco de Dados'!$F1590&lt;&gt;"-",_xlfn.XLOOKUP(IFERROR(IFERROR(IFERROR(VALUE(SUBSTITUTE(MID(_xlfn.TEXTAFTER('Banco de Dados'!$F1590,"Data do Pedido:
",1),1,10),"-","/")),VALUE(SUBSTITUTE(MID(_xlfn.TEXTAFTER('Banco de Dados'!$F1590,"Order date:
",1),1,10),"-","/"))),VALUE(SUBSTITUTE(MID(_xlfn.TEXTAFTER('Banco de Dados'!$F1590,"Fecha de pedido:
",1),1,10),"-","/"))),"-"),SMS!A:A,SMS!K:K),0),0)</f>
        <v>0</v>
      </c>
      <c r="AO1590" s="109">
        <f ca="1">IF('Banco de Dados'!$AK1590&lt;&gt;"-",IF('Banco de Dados'!$F1590&lt;&gt;"-",IFERROR(_xlfn.XLOOKUP(_xlfn.CONCAT('Banco de Dados'!$A1590,IFERROR(IFERROR(VALUE(SUBSTITUTE(MID(_xlfn.TEXTAFTER('Banco de Dados'!$F1590,"Data do Pedido:
",1),1,10),"-","/")),VALUE(SUBSTITUTE(MID(_xlfn.TEXTAFTER('Banco de Dados'!$F1590,"Order date:
",1),1,10),"-","/"))),0)),ProxyDD[Chave],ProxyDD[Valor por pedido]),PROXY!$P$2),0),0)</f>
        <v>0</v>
      </c>
      <c r="AP1590" s="28">
        <f ca="1">IF('Banco de Dados'!$AK1590&lt;&gt;"-",IF('Banco de Dados'!$AL1590="NÃO",IFERROR(VALUE(SUBSTITUTE(_xlfn.TEXTAFTER('Banco de Dados'!$F1590,"BRL ",1),".",",")),0),0),0)</f>
        <v>0</v>
      </c>
      <c r="AQ1590" s="28">
        <f ca="1">SUM('Banco de Dados'!$AM1590:$AP1590)</f>
        <v>0</v>
      </c>
      <c r="AR1590" s="8"/>
      <c r="AS1590" s="8"/>
      <c r="AT1590"/>
      <c r="AY1590" s="8"/>
    </row>
    <row r="1591" spans="1:51">
      <c r="A1591" s="5" t="str">
        <v>MEI</v>
      </c>
      <c r="B1591" s="5" t="str">
        <f ca="1"/>
        <v>MEI45771</v>
      </c>
      <c r="C1591" s="8" t="str">
        <v>Pedido 1578</v>
      </c>
      <c r="D1591" s="187">
        <v>45770</v>
      </c>
      <c r="E1591" s="9">
        <v>45771</v>
      </c>
      <c r="F1591" s="8" t="str">
        <v>PedidoF1509</v>
      </c>
      <c r="G1591" s="2" t="str">
        <v>CódRastreio1507</v>
      </c>
      <c r="H1591" s="5">
        <v>1</v>
      </c>
      <c r="I1591" s="182" t="str">
        <v>CPF 1537</v>
      </c>
      <c r="J1591" s="2" t="str">
        <v>Nome 1537</v>
      </c>
      <c r="K1591" s="8" t="str">
        <v>Tel 1537</v>
      </c>
      <c r="L1591" s="8" t="str">
        <v>Cep 1537</v>
      </c>
      <c r="M1591" s="8" t="str">
        <v>Rua 1537</v>
      </c>
      <c r="N1591" s="8" t="str">
        <v>Comp 1537</v>
      </c>
      <c r="O1591" s="8" t="str">
        <v>Ventilador Rosa</v>
      </c>
      <c r="P1591" s="8" t="str">
        <v>WR-82Y0-OV27</v>
      </c>
      <c r="Q1591" s="4">
        <v>45798</v>
      </c>
      <c r="R1591" s="109">
        <v>64.89</v>
      </c>
      <c r="S1591" s="11">
        <f ca="1"/>
        <v>64.89</v>
      </c>
      <c r="T1591" s="28">
        <f ca="1"/>
        <v>7.7867999999999995</v>
      </c>
      <c r="U1591" s="11">
        <f ca="1"/>
        <v>57.1</v>
      </c>
      <c r="V1591" s="11">
        <v>36.04</v>
      </c>
      <c r="W1591" s="11">
        <f ca="1"/>
        <v>0.28999999999999998</v>
      </c>
      <c r="X1591" s="11">
        <f ca="1"/>
        <v>0.39877104377104378</v>
      </c>
      <c r="Y1591" s="11">
        <v>0</v>
      </c>
      <c r="Z1591" s="11">
        <f ca="1"/>
        <v>20.371228956228961</v>
      </c>
      <c r="AA1591" s="11">
        <f ca="1"/>
        <v>10.185614478114481</v>
      </c>
      <c r="AB1591" s="4">
        <f ca="1"/>
        <v>45805</v>
      </c>
      <c r="AC1591" s="4">
        <v>45805</v>
      </c>
      <c r="AD1591" s="9">
        <v>45807</v>
      </c>
      <c r="AE1591" s="9">
        <v>45810</v>
      </c>
      <c r="AF1591" s="4" t="str">
        <f t="shared" ca="1" si="108"/>
        <v>2025 05</v>
      </c>
      <c r="AG1591" s="8" t="str" cm="1">
        <f t="array" ref="AG1591">IFERROR(_xlfn.IFS('Banco de Dados'!#REF!="AG. COMPRA","Em processamento",'Banco de Dados'!#REF!="AG. RASTREIO","Em processamento",'Banco de Dados'!$AE1591&lt;&gt;"-","Faturado",'Banco de Dados'!$AD1591&lt;&gt;"-","Aguardando Pix",'Banco de Dados'!$AC1591&lt;&gt;"-","Pendente"),"Aguardando Liberação")</f>
        <v>Aguardando Liberação</v>
      </c>
      <c r="AH1591" s="5" t="str">
        <f>IF('Banco de Dados'!$F1591="-",_xlfn.CONCAT(PROPER(TEXT(AK1591,"aaaa"))," ",PROPER(TEXT(AK1591,"mm"))),_xlfn.CONCAT(PROPER(TEXT(E1591,"aaaa"))," ",PROPER(TEXT(E1591,"mm"))))</f>
        <v>2025 04</v>
      </c>
      <c r="AI1591" s="9" t="str">
        <f ca="1">IF('Banco de Dados'!$AK1591&lt;&gt;"-","REEMBOLSO",IFERROR(_xlfn.XLOOKUP(G1591,Follow[CODRASTREIO],Follow[STATUS]),"-"))</f>
        <v>ENTREGUE</v>
      </c>
      <c r="AJ1591" s="9">
        <f ca="1">IF('Banco de Dados'!$AI1591="ENTREGUE",_xlfn.XLOOKUP('Banco de Dados'!$G1591,Follow[CODRASTREIO],Follow[DATAATUALIZAÇÃO]),"-")</f>
        <v>45799</v>
      </c>
      <c r="AK1591" s="132" t="str">
        <f ca="1"/>
        <v>-</v>
      </c>
      <c r="AL1591" s="35"/>
      <c r="AM1591" s="109" cm="1">
        <f t="array" aca="1" ref="AM1591" ca="1">IF('Banco de Dados'!$AK1591&lt;&gt;"-",_xlfn.IFS('Banco de Dados'!$A1591="bv",IF('Banco de Dados'!$E1591&lt;45641,ROUND(SUM('Banco de Dados'!$R1591*_xlfn.XLOOKUP('Banco de Dados'!$P1591,Sku!B:B,Sku!#REF!)*20%),2),ROUND(SUM('Banco de Dados'!$R1591*_xlfn.XLOOKUP('Banco de Dados'!$P1591,Sku!B:B,Sku!H:H)*20%),2)),'Banco de Dados'!$A1591="GO",ROUND(SUM('Banco de Dados'!$R1591*_xlfn.XLOOKUP('Banco de Dados'!$P1591,Sku!C:C,Sku!H:H)*20%),2),'Banco de Dados'!$A1591="MEI",ROUND(SUM('Banco de Dados'!$R1591*_xlfn.XLOOKUP('Banco de Dados'!$P1591,Sku!D:D,Sku!H:H)*20%),2)),0)</f>
        <v>0</v>
      </c>
      <c r="AN1591" s="109">
        <f ca="1">IF('Banco de Dados'!$AK1591&lt;&gt;"-",IF('Banco de Dados'!$F1591&lt;&gt;"-",_xlfn.XLOOKUP(IFERROR(IFERROR(IFERROR(VALUE(SUBSTITUTE(MID(_xlfn.TEXTAFTER('Banco de Dados'!$F1591,"Data do Pedido:
",1),1,10),"-","/")),VALUE(SUBSTITUTE(MID(_xlfn.TEXTAFTER('Banco de Dados'!$F1591,"Order date:
",1),1,10),"-","/"))),VALUE(SUBSTITUTE(MID(_xlfn.TEXTAFTER('Banco de Dados'!$F1591,"Fecha de pedido:
",1),1,10),"-","/"))),"-"),SMS!A:A,SMS!K:K),0),0)</f>
        <v>0</v>
      </c>
      <c r="AO1591" s="109">
        <f ca="1">IF('Banco de Dados'!$AK1591&lt;&gt;"-",IF('Banco de Dados'!$F1591&lt;&gt;"-",IFERROR(_xlfn.XLOOKUP(_xlfn.CONCAT('Banco de Dados'!$A1591,IFERROR(IFERROR(VALUE(SUBSTITUTE(MID(_xlfn.TEXTAFTER('Banco de Dados'!$F1591,"Data do Pedido:
",1),1,10),"-","/")),VALUE(SUBSTITUTE(MID(_xlfn.TEXTAFTER('Banco de Dados'!$F1591,"Order date:
",1),1,10),"-","/"))),0)),ProxyDD[Chave],ProxyDD[Valor por pedido]),PROXY!$P$2),0),0)</f>
        <v>0</v>
      </c>
      <c r="AP1591" s="28">
        <f ca="1">IF('Banco de Dados'!$AK1591&lt;&gt;"-",IF('Banco de Dados'!$AL1591="NÃO",IFERROR(VALUE(SUBSTITUTE(_xlfn.TEXTAFTER('Banco de Dados'!$F1591,"BRL ",1),".",",")),0),0),0)</f>
        <v>0</v>
      </c>
      <c r="AQ1591" s="28">
        <f ca="1">SUM('Banco de Dados'!$AM1591:$AP1591)</f>
        <v>0</v>
      </c>
      <c r="AR1591" s="8"/>
      <c r="AS1591" s="8"/>
      <c r="AT1591"/>
      <c r="AY1591" s="8"/>
    </row>
    <row r="1592" spans="1:51">
      <c r="A1592" s="5" t="str">
        <v>MEI</v>
      </c>
      <c r="B1592" s="5" t="str">
        <f ca="1"/>
        <v>MEI45771</v>
      </c>
      <c r="C1592" s="8" t="str">
        <v>Pedido 1579</v>
      </c>
      <c r="D1592" s="187">
        <v>45770</v>
      </c>
      <c r="E1592" s="9">
        <v>45771</v>
      </c>
      <c r="F1592" s="8" t="str">
        <v>PedidoF1510</v>
      </c>
      <c r="G1592" s="2" t="str">
        <v>CódRastreio1508</v>
      </c>
      <c r="H1592" s="5">
        <v>1</v>
      </c>
      <c r="I1592" s="182" t="str">
        <v>CPF 1538</v>
      </c>
      <c r="J1592" s="2" t="str">
        <v>Nome 1538</v>
      </c>
      <c r="K1592" s="8" t="str">
        <v>Tel 1538</v>
      </c>
      <c r="L1592" s="8" t="str">
        <v>Cep 1538</v>
      </c>
      <c r="M1592" s="8" t="str">
        <v>Rua 1538</v>
      </c>
      <c r="N1592" s="8" t="str">
        <v>Comp 1538</v>
      </c>
      <c r="O1592" s="8" t="str">
        <v>Ventilador Umidificador Preto</v>
      </c>
      <c r="P1592" s="8" t="str">
        <v>71-KHMZ-MLQW</v>
      </c>
      <c r="Q1592" s="4">
        <v>45798</v>
      </c>
      <c r="R1592" s="109">
        <v>52.99</v>
      </c>
      <c r="S1592" s="11">
        <f ca="1"/>
        <v>52.99</v>
      </c>
      <c r="T1592" s="28">
        <f ca="1"/>
        <v>5.8289</v>
      </c>
      <c r="U1592" s="11">
        <f ca="1"/>
        <v>47.16</v>
      </c>
      <c r="V1592" s="11">
        <v>31.74</v>
      </c>
      <c r="W1592" s="11">
        <f ca="1"/>
        <v>0.28999999999999998</v>
      </c>
      <c r="X1592" s="11">
        <f ca="1"/>
        <v>0.39877104377104378</v>
      </c>
      <c r="Y1592" s="11">
        <v>0</v>
      </c>
      <c r="Z1592" s="11">
        <f ca="1"/>
        <v>14.731228956228954</v>
      </c>
      <c r="AA1592" s="11">
        <f ca="1"/>
        <v>7.3656144781144768</v>
      </c>
      <c r="AB1592" s="4">
        <f ca="1"/>
        <v>45805</v>
      </c>
      <c r="AC1592" s="4">
        <v>45805</v>
      </c>
      <c r="AD1592" s="9">
        <v>45807</v>
      </c>
      <c r="AE1592" s="9">
        <v>45810</v>
      </c>
      <c r="AF1592" s="4" t="str">
        <f t="shared" ca="1" si="108"/>
        <v>2025 05</v>
      </c>
      <c r="AG1592" s="8" t="str" cm="1">
        <f t="array" ref="AG1592">IFERROR(_xlfn.IFS('Banco de Dados'!#REF!="AG. COMPRA","Em processamento",'Banco de Dados'!#REF!="AG. RASTREIO","Em processamento",'Banco de Dados'!$AE1592&lt;&gt;"-","Faturado",'Banco de Dados'!$AD1592&lt;&gt;"-","Aguardando Pix",'Banco de Dados'!$AC1592&lt;&gt;"-","Pendente"),"Aguardando Liberação")</f>
        <v>Aguardando Liberação</v>
      </c>
      <c r="AH1592" s="5" t="str">
        <f>IF('Banco de Dados'!$F1592="-",_xlfn.CONCAT(PROPER(TEXT(AK1592,"aaaa"))," ",PROPER(TEXT(AK1592,"mm"))),_xlfn.CONCAT(PROPER(TEXT(E1592,"aaaa"))," ",PROPER(TEXT(E1592,"mm"))))</f>
        <v>2025 04</v>
      </c>
      <c r="AI1592" s="9" t="str">
        <f ca="1">IF('Banco de Dados'!$AK1592&lt;&gt;"-","REEMBOLSO",IFERROR(_xlfn.XLOOKUP(G1592,Follow[CODRASTREIO],Follow[STATUS]),"-"))</f>
        <v>ENTREGUE</v>
      </c>
      <c r="AJ1592" s="9">
        <f ca="1">IF('Banco de Dados'!$AI1592="ENTREGUE",_xlfn.XLOOKUP('Banco de Dados'!$G1592,Follow[CODRASTREIO],Follow[DATAATUALIZAÇÃO]),"-")</f>
        <v>45806</v>
      </c>
      <c r="AK1592" s="132" t="str">
        <f ca="1"/>
        <v>-</v>
      </c>
      <c r="AL1592" s="35"/>
      <c r="AM1592" s="109" cm="1">
        <f t="array" aca="1" ref="AM1592" ca="1">IF('Banco de Dados'!$AK1592&lt;&gt;"-",_xlfn.IFS('Banco de Dados'!$A1592="bv",IF('Banco de Dados'!$E1592&lt;45641,ROUND(SUM('Banco de Dados'!$R1592*_xlfn.XLOOKUP('Banco de Dados'!$P1592,Sku!B:B,Sku!#REF!)*20%),2),ROUND(SUM('Banco de Dados'!$R1592*_xlfn.XLOOKUP('Banco de Dados'!$P1592,Sku!B:B,Sku!H:H)*20%),2)),'Banco de Dados'!$A1592="GO",ROUND(SUM('Banco de Dados'!$R1592*_xlfn.XLOOKUP('Banco de Dados'!$P1592,Sku!C:C,Sku!H:H)*20%),2),'Banco de Dados'!$A1592="MEI",ROUND(SUM('Banco de Dados'!$R1592*_xlfn.XLOOKUP('Banco de Dados'!$P1592,Sku!D:D,Sku!H:H)*20%),2)),0)</f>
        <v>0</v>
      </c>
      <c r="AN1592" s="109">
        <f ca="1">IF('Banco de Dados'!$AK1592&lt;&gt;"-",IF('Banco de Dados'!$F1592&lt;&gt;"-",_xlfn.XLOOKUP(IFERROR(IFERROR(IFERROR(VALUE(SUBSTITUTE(MID(_xlfn.TEXTAFTER('Banco de Dados'!$F1592,"Data do Pedido:
",1),1,10),"-","/")),VALUE(SUBSTITUTE(MID(_xlfn.TEXTAFTER('Banco de Dados'!$F1592,"Order date:
",1),1,10),"-","/"))),VALUE(SUBSTITUTE(MID(_xlfn.TEXTAFTER('Banco de Dados'!$F1592,"Fecha de pedido:
",1),1,10),"-","/"))),"-"),SMS!A:A,SMS!K:K),0),0)</f>
        <v>0</v>
      </c>
      <c r="AO1592" s="109">
        <f ca="1">IF('Banco de Dados'!$AK1592&lt;&gt;"-",IF('Banco de Dados'!$F1592&lt;&gt;"-",IFERROR(_xlfn.XLOOKUP(_xlfn.CONCAT('Banco de Dados'!$A1592,IFERROR(IFERROR(VALUE(SUBSTITUTE(MID(_xlfn.TEXTAFTER('Banco de Dados'!$F1592,"Data do Pedido:
",1),1,10),"-","/")),VALUE(SUBSTITUTE(MID(_xlfn.TEXTAFTER('Banco de Dados'!$F1592,"Order date:
",1),1,10),"-","/"))),0)),ProxyDD[Chave],ProxyDD[Valor por pedido]),PROXY!$P$2),0),0)</f>
        <v>0</v>
      </c>
      <c r="AP1592" s="28">
        <f ca="1">IF('Banco de Dados'!$AK1592&lt;&gt;"-",IF('Banco de Dados'!$AL1592="NÃO",IFERROR(VALUE(SUBSTITUTE(_xlfn.TEXTAFTER('Banco de Dados'!$F1592,"BRL ",1),".",",")),0),0),0)</f>
        <v>0</v>
      </c>
      <c r="AQ1592" s="28">
        <f ca="1">SUM('Banco de Dados'!$AM1592:$AP1592)</f>
        <v>0</v>
      </c>
      <c r="AR1592" s="8"/>
      <c r="AS1592" s="8"/>
      <c r="AT1592"/>
      <c r="AY1592" s="8"/>
    </row>
    <row r="1593" spans="1:51">
      <c r="A1593" s="5" t="str">
        <v>MEI</v>
      </c>
      <c r="B1593" s="5" t="str">
        <f ca="1"/>
        <v>MEI45771</v>
      </c>
      <c r="C1593" s="8" t="str">
        <v>Pedido 1580</v>
      </c>
      <c r="D1593" s="187">
        <v>45771</v>
      </c>
      <c r="E1593" s="9">
        <v>45771</v>
      </c>
      <c r="F1593" s="8" t="str">
        <v>PedidoF1511</v>
      </c>
      <c r="G1593" s="2" t="str">
        <v>CódRastreio1509</v>
      </c>
      <c r="H1593" s="5">
        <v>1</v>
      </c>
      <c r="I1593" s="182" t="str">
        <v>CPF 1539</v>
      </c>
      <c r="J1593" s="2" t="str">
        <v>Nome 1539</v>
      </c>
      <c r="K1593" s="8" t="str">
        <v>Tel 1539</v>
      </c>
      <c r="L1593" s="8" t="str">
        <v>Cep 1539</v>
      </c>
      <c r="M1593" s="8" t="str">
        <v>Rua 1539</v>
      </c>
      <c r="N1593" s="8" t="str">
        <v>Comp 1539</v>
      </c>
      <c r="O1593" s="8" t="str">
        <v>Ventilador Azul</v>
      </c>
      <c r="P1593" s="8" t="str">
        <v>PK-L2Z7-MQRQ</v>
      </c>
      <c r="Q1593" s="4">
        <v>45799</v>
      </c>
      <c r="R1593" s="109">
        <v>49.9</v>
      </c>
      <c r="S1593" s="11">
        <f ca="1"/>
        <v>49.9</v>
      </c>
      <c r="T1593" s="28">
        <f ca="1"/>
        <v>5.9879999999999995</v>
      </c>
      <c r="U1593" s="11">
        <f ca="1"/>
        <v>43.91</v>
      </c>
      <c r="V1593" s="11">
        <v>21.28</v>
      </c>
      <c r="W1593" s="11">
        <f ca="1"/>
        <v>0.28999999999999998</v>
      </c>
      <c r="X1593" s="11">
        <f ca="1"/>
        <v>0.39877104377104378</v>
      </c>
      <c r="Y1593" s="11">
        <v>0</v>
      </c>
      <c r="Z1593" s="11">
        <f ca="1"/>
        <v>21.941228956228951</v>
      </c>
      <c r="AA1593" s="11">
        <f ca="1"/>
        <v>10.970614478114475</v>
      </c>
      <c r="AB1593" s="4">
        <f ca="1"/>
        <v>45806</v>
      </c>
      <c r="AC1593" s="4">
        <v>45806</v>
      </c>
      <c r="AD1593" s="9">
        <v>45807</v>
      </c>
      <c r="AE1593" s="9">
        <v>45810</v>
      </c>
      <c r="AF1593" s="4" t="str">
        <f t="shared" ca="1" si="108"/>
        <v>2025 05</v>
      </c>
      <c r="AG1593" s="8" t="str" cm="1">
        <f t="array" ref="AG1593">IFERROR(_xlfn.IFS('Banco de Dados'!#REF!="AG. COMPRA","Em processamento",'Banco de Dados'!#REF!="AG. RASTREIO","Em processamento",'Banco de Dados'!$AE1593&lt;&gt;"-","Faturado",'Banco de Dados'!$AD1593&lt;&gt;"-","Aguardando Pix",'Banco de Dados'!$AC1593&lt;&gt;"-","Pendente"),"Aguardando Liberação")</f>
        <v>Aguardando Liberação</v>
      </c>
      <c r="AH1593" s="5" t="str">
        <f>IF('Banco de Dados'!$F1593="-",_xlfn.CONCAT(PROPER(TEXT(AK1593,"aaaa"))," ",PROPER(TEXT(AK1593,"mm"))),_xlfn.CONCAT(PROPER(TEXT(E1593,"aaaa"))," ",PROPER(TEXT(E1593,"mm"))))</f>
        <v>2025 04</v>
      </c>
      <c r="AI1593" s="9" t="str">
        <f ca="1">IF('Banco de Dados'!$AK1593&lt;&gt;"-","REEMBOLSO",IFERROR(_xlfn.XLOOKUP(G1593,Follow[CODRASTREIO],Follow[STATUS]),"-"))</f>
        <v>ENTREGUE</v>
      </c>
      <c r="AJ1593" s="9">
        <f ca="1">IF('Banco de Dados'!$AI1593="ENTREGUE",_xlfn.XLOOKUP('Banco de Dados'!$G1593,Follow[CODRASTREIO],Follow[DATAATUALIZAÇÃO]),"-")</f>
        <v>45829.415659722225</v>
      </c>
      <c r="AK1593" s="132" t="str">
        <f ca="1"/>
        <v>-</v>
      </c>
      <c r="AL1593" s="35"/>
      <c r="AM1593" s="109" cm="1">
        <f t="array" aca="1" ref="AM1593" ca="1">IF('Banco de Dados'!$AK1593&lt;&gt;"-",_xlfn.IFS('Banco de Dados'!$A1593="bv",IF('Banco de Dados'!$E1593&lt;45641,ROUND(SUM('Banco de Dados'!$R1593*_xlfn.XLOOKUP('Banco de Dados'!$P1593,Sku!B:B,Sku!#REF!)*20%),2),ROUND(SUM('Banco de Dados'!$R1593*_xlfn.XLOOKUP('Banco de Dados'!$P1593,Sku!B:B,Sku!H:H)*20%),2)),'Banco de Dados'!$A1593="GO",ROUND(SUM('Banco de Dados'!$R1593*_xlfn.XLOOKUP('Banco de Dados'!$P1593,Sku!C:C,Sku!H:H)*20%),2),'Banco de Dados'!$A1593="MEI",ROUND(SUM('Banco de Dados'!$R1593*_xlfn.XLOOKUP('Banco de Dados'!$P1593,Sku!D:D,Sku!H:H)*20%),2)),0)</f>
        <v>0</v>
      </c>
      <c r="AN1593" s="109">
        <f ca="1">IF('Banco de Dados'!$AK1593&lt;&gt;"-",IF('Banco de Dados'!$F1593&lt;&gt;"-",_xlfn.XLOOKUP(IFERROR(IFERROR(IFERROR(VALUE(SUBSTITUTE(MID(_xlfn.TEXTAFTER('Banco de Dados'!$F1593,"Data do Pedido:
",1),1,10),"-","/")),VALUE(SUBSTITUTE(MID(_xlfn.TEXTAFTER('Banco de Dados'!$F1593,"Order date:
",1),1,10),"-","/"))),VALUE(SUBSTITUTE(MID(_xlfn.TEXTAFTER('Banco de Dados'!$F1593,"Fecha de pedido:
",1),1,10),"-","/"))),"-"),SMS!A:A,SMS!K:K),0),0)</f>
        <v>0</v>
      </c>
      <c r="AO1593" s="109">
        <f ca="1">IF('Banco de Dados'!$AK1593&lt;&gt;"-",IF('Banco de Dados'!$F1593&lt;&gt;"-",IFERROR(_xlfn.XLOOKUP(_xlfn.CONCAT('Banco de Dados'!$A1593,IFERROR(IFERROR(VALUE(SUBSTITUTE(MID(_xlfn.TEXTAFTER('Banco de Dados'!$F1593,"Data do Pedido:
",1),1,10),"-","/")),VALUE(SUBSTITUTE(MID(_xlfn.TEXTAFTER('Banco de Dados'!$F1593,"Order date:
",1),1,10),"-","/"))),0)),ProxyDD[Chave],ProxyDD[Valor por pedido]),PROXY!$P$2),0),0)</f>
        <v>0</v>
      </c>
      <c r="AP1593" s="28">
        <f ca="1">IF('Banco de Dados'!$AK1593&lt;&gt;"-",IF('Banco de Dados'!$AL1593="NÃO",IFERROR(VALUE(SUBSTITUTE(_xlfn.TEXTAFTER('Banco de Dados'!$F1593,"BRL ",1),".",",")),0),0),0)</f>
        <v>0</v>
      </c>
      <c r="AQ1593" s="28">
        <f ca="1">SUM('Banco de Dados'!$AM1593:$AP1593)</f>
        <v>0</v>
      </c>
      <c r="AR1593" s="8"/>
      <c r="AS1593" s="8"/>
      <c r="AT1593"/>
      <c r="AY1593" s="8"/>
    </row>
    <row r="1594" spans="1:51">
      <c r="A1594" s="5" t="str">
        <v>MEI</v>
      </c>
      <c r="B1594" s="5" t="str">
        <f ca="1"/>
        <v>MEI45771</v>
      </c>
      <c r="C1594" s="8" t="str">
        <v>Pedido 1581</v>
      </c>
      <c r="D1594" s="187">
        <v>45771</v>
      </c>
      <c r="E1594" s="9">
        <v>45771</v>
      </c>
      <c r="F1594" s="8" t="str">
        <v>PedidoF1512</v>
      </c>
      <c r="G1594" s="2" t="str">
        <v>CódRastreio1510</v>
      </c>
      <c r="H1594" s="5">
        <v>1</v>
      </c>
      <c r="I1594" s="182" t="str">
        <v>CPF 1540</v>
      </c>
      <c r="J1594" s="2" t="str">
        <v>Nome 1540</v>
      </c>
      <c r="K1594" s="8" t="str">
        <v>Tel 1540</v>
      </c>
      <c r="L1594" s="8" t="str">
        <v>Cep 1540</v>
      </c>
      <c r="M1594" s="8" t="str">
        <v>Rua 1540</v>
      </c>
      <c r="N1594" s="8" t="str">
        <v>Comp 1540</v>
      </c>
      <c r="O1594" s="8" t="str">
        <v>Ventilador Azul</v>
      </c>
      <c r="P1594" s="8" t="str">
        <v>PK-L2Z7-MQRQ</v>
      </c>
      <c r="Q1594" s="4">
        <v>45799</v>
      </c>
      <c r="R1594" s="109">
        <v>49.9</v>
      </c>
      <c r="S1594" s="11">
        <f ca="1"/>
        <v>49.9</v>
      </c>
      <c r="T1594" s="28">
        <f ca="1"/>
        <v>5.9879999999999995</v>
      </c>
      <c r="U1594" s="11">
        <f ca="1"/>
        <v>43.91</v>
      </c>
      <c r="V1594" s="11">
        <v>22.12</v>
      </c>
      <c r="W1594" s="11">
        <f ca="1"/>
        <v>0.28999999999999998</v>
      </c>
      <c r="X1594" s="11">
        <f ca="1"/>
        <v>0.39877104377104378</v>
      </c>
      <c r="Y1594" s="11">
        <v>0</v>
      </c>
      <c r="Z1594" s="11">
        <f ca="1"/>
        <v>21.101228956228951</v>
      </c>
      <c r="AA1594" s="11">
        <f ca="1"/>
        <v>10.550614478114476</v>
      </c>
      <c r="AB1594" s="4">
        <f ca="1"/>
        <v>45806</v>
      </c>
      <c r="AC1594" s="4">
        <v>45806</v>
      </c>
      <c r="AD1594" s="9">
        <v>45807</v>
      </c>
      <c r="AE1594" s="9">
        <v>45810</v>
      </c>
      <c r="AF1594" s="4" t="str">
        <f t="shared" ca="1" si="108"/>
        <v>2025 05</v>
      </c>
      <c r="AG1594" s="8" t="str" cm="1">
        <f t="array" ref="AG1594">IFERROR(_xlfn.IFS('Banco de Dados'!#REF!="AG. COMPRA","Em processamento",'Banco de Dados'!#REF!="AG. RASTREIO","Em processamento",'Banco de Dados'!$AE1594&lt;&gt;"-","Faturado",'Banco de Dados'!$AD1594&lt;&gt;"-","Aguardando Pix",'Banco de Dados'!$AC1594&lt;&gt;"-","Pendente"),"Aguardando Liberação")</f>
        <v>Aguardando Liberação</v>
      </c>
      <c r="AH1594" s="5" t="str">
        <f>IF('Banco de Dados'!$F1594="-",_xlfn.CONCAT(PROPER(TEXT(AK1594,"aaaa"))," ",PROPER(TEXT(AK1594,"mm"))),_xlfn.CONCAT(PROPER(TEXT(E1594,"aaaa"))," ",PROPER(TEXT(E1594,"mm"))))</f>
        <v>2025 04</v>
      </c>
      <c r="AI1594" s="9" t="str">
        <f ca="1">IF('Banco de Dados'!$AK1594&lt;&gt;"-","REEMBOLSO",IFERROR(_xlfn.XLOOKUP(G1594,Follow[CODRASTREIO],Follow[STATUS]),"-"))</f>
        <v>ENTREGUE</v>
      </c>
      <c r="AJ1594" s="9">
        <f ca="1">IF('Banco de Dados'!$AI1594="ENTREGUE",_xlfn.XLOOKUP('Banco de Dados'!$G1594,Follow[CODRASTREIO],Follow[DATAATUALIZAÇÃO]),"-")</f>
        <v>45787</v>
      </c>
      <c r="AK1594" s="132" t="str">
        <f ca="1"/>
        <v>-</v>
      </c>
      <c r="AL1594" s="35"/>
      <c r="AM1594" s="109" cm="1">
        <f t="array" aca="1" ref="AM1594" ca="1">IF('Banco de Dados'!$AK1594&lt;&gt;"-",_xlfn.IFS('Banco de Dados'!$A1594="bv",IF('Banco de Dados'!$E1594&lt;45641,ROUND(SUM('Banco de Dados'!$R1594*_xlfn.XLOOKUP('Banco de Dados'!$P1594,Sku!B:B,Sku!#REF!)*20%),2),ROUND(SUM('Banco de Dados'!$R1594*_xlfn.XLOOKUP('Banco de Dados'!$P1594,Sku!B:B,Sku!H:H)*20%),2)),'Banco de Dados'!$A1594="GO",ROUND(SUM('Banco de Dados'!$R1594*_xlfn.XLOOKUP('Banco de Dados'!$P1594,Sku!C:C,Sku!H:H)*20%),2),'Banco de Dados'!$A1594="MEI",ROUND(SUM('Banco de Dados'!$R1594*_xlfn.XLOOKUP('Banco de Dados'!$P1594,Sku!D:D,Sku!H:H)*20%),2)),0)</f>
        <v>0</v>
      </c>
      <c r="AN1594" s="109">
        <f ca="1">IF('Banco de Dados'!$AK1594&lt;&gt;"-",IF('Banco de Dados'!$F1594&lt;&gt;"-",_xlfn.XLOOKUP(IFERROR(IFERROR(IFERROR(VALUE(SUBSTITUTE(MID(_xlfn.TEXTAFTER('Banco de Dados'!$F1594,"Data do Pedido:
",1),1,10),"-","/")),VALUE(SUBSTITUTE(MID(_xlfn.TEXTAFTER('Banco de Dados'!$F1594,"Order date:
",1),1,10),"-","/"))),VALUE(SUBSTITUTE(MID(_xlfn.TEXTAFTER('Banco de Dados'!$F1594,"Fecha de pedido:
",1),1,10),"-","/"))),"-"),SMS!A:A,SMS!K:K),0),0)</f>
        <v>0</v>
      </c>
      <c r="AO1594" s="109">
        <f ca="1">IF('Banco de Dados'!$AK1594&lt;&gt;"-",IF('Banco de Dados'!$F1594&lt;&gt;"-",IFERROR(_xlfn.XLOOKUP(_xlfn.CONCAT('Banco de Dados'!$A1594,IFERROR(IFERROR(VALUE(SUBSTITUTE(MID(_xlfn.TEXTAFTER('Banco de Dados'!$F1594,"Data do Pedido:
",1),1,10),"-","/")),VALUE(SUBSTITUTE(MID(_xlfn.TEXTAFTER('Banco de Dados'!$F1594,"Order date:
",1),1,10),"-","/"))),0)),ProxyDD[Chave],ProxyDD[Valor por pedido]),PROXY!$P$2),0),0)</f>
        <v>0</v>
      </c>
      <c r="AP1594" s="28">
        <f ca="1">IF('Banco de Dados'!$AK1594&lt;&gt;"-",IF('Banco de Dados'!$AL1594="NÃO",IFERROR(VALUE(SUBSTITUTE(_xlfn.TEXTAFTER('Banco de Dados'!$F1594,"BRL ",1),".",",")),0),0),0)</f>
        <v>0</v>
      </c>
      <c r="AQ1594" s="28">
        <f ca="1">SUM('Banco de Dados'!$AM1594:$AP1594)</f>
        <v>0</v>
      </c>
      <c r="AR1594" s="8"/>
      <c r="AS1594" s="8"/>
      <c r="AT1594"/>
      <c r="AY1594" s="8"/>
    </row>
    <row r="1595" spans="1:51">
      <c r="A1595" s="5" t="str">
        <v>MEI</v>
      </c>
      <c r="B1595" s="5" t="str">
        <f ca="1"/>
        <v>MEI45772</v>
      </c>
      <c r="C1595" s="8" t="str">
        <v>Pedido 1582</v>
      </c>
      <c r="D1595" s="187">
        <v>45771</v>
      </c>
      <c r="E1595" s="9">
        <v>45772</v>
      </c>
      <c r="F1595" s="8" t="str">
        <v>PedidoF1513</v>
      </c>
      <c r="G1595" s="2" t="str">
        <v>CódRastreio1511</v>
      </c>
      <c r="H1595" s="5">
        <v>1</v>
      </c>
      <c r="I1595" s="182" t="str">
        <v>CPF 1541</v>
      </c>
      <c r="J1595" s="2" t="str">
        <v>Nome 1541</v>
      </c>
      <c r="K1595" s="8" t="str">
        <v>Tel 1541</v>
      </c>
      <c r="L1595" s="8" t="str">
        <v>Cep 1541</v>
      </c>
      <c r="M1595" s="8" t="str">
        <v>Rua 1541</v>
      </c>
      <c r="N1595" s="8" t="str">
        <v>Comp 1541</v>
      </c>
      <c r="O1595" s="8" t="str">
        <v>Maçarico Culinário Portátil</v>
      </c>
      <c r="P1595" s="8" t="str">
        <v>BG-DHRO-FAEE</v>
      </c>
      <c r="Q1595" s="4">
        <v>45793</v>
      </c>
      <c r="R1595" s="109">
        <v>26.99</v>
      </c>
      <c r="S1595" s="11">
        <f ca="1"/>
        <v>26.99</v>
      </c>
      <c r="T1595" s="28">
        <f ca="1"/>
        <v>2.9688999999999997</v>
      </c>
      <c r="U1595" s="11">
        <f ca="1"/>
        <v>24.02</v>
      </c>
      <c r="V1595" s="11">
        <v>10.15</v>
      </c>
      <c r="W1595" s="11">
        <f ca="1"/>
        <v>0.1</v>
      </c>
      <c r="X1595" s="11">
        <f ca="1"/>
        <v>0.39877104377104378</v>
      </c>
      <c r="Y1595" s="11">
        <v>0</v>
      </c>
      <c r="Z1595" s="11">
        <f ca="1"/>
        <v>13.371228956228956</v>
      </c>
      <c r="AA1595" s="11">
        <f ca="1"/>
        <v>6.685614478114478</v>
      </c>
      <c r="AB1595" s="4">
        <f ca="1"/>
        <v>45800</v>
      </c>
      <c r="AC1595" s="4">
        <v>45800</v>
      </c>
      <c r="AD1595" s="9">
        <v>45807</v>
      </c>
      <c r="AE1595" s="9">
        <v>45810</v>
      </c>
      <c r="AF1595" s="4" t="str">
        <f t="shared" ref="AF1595:AF1598" ca="1" si="109">_xlfn.CONCAT(PROPER(TEXT(AB1595,"aaaa"))," ",PROPER(TEXT(AB1595,"mm")))</f>
        <v>2025 05</v>
      </c>
      <c r="AG1595" s="8" t="str" cm="1">
        <f t="array" ref="AG1595">IFERROR(_xlfn.IFS('Banco de Dados'!#REF!="AG. COMPRA","Em processamento",'Banco de Dados'!#REF!="AG. RASTREIO","Em processamento",'Banco de Dados'!$AE1595&lt;&gt;"-","Faturado",'Banco de Dados'!$AD1595&lt;&gt;"-","Aguardando Pix",'Banco de Dados'!$AC1595&lt;&gt;"-","Pendente"),"Aguardando Liberação")</f>
        <v>Aguardando Liberação</v>
      </c>
      <c r="AH1595" s="5" t="str">
        <f>IF('Banco de Dados'!$F1595="-",_xlfn.CONCAT(PROPER(TEXT(AK1595,"aaaa"))," ",PROPER(TEXT(AK1595,"mm"))),_xlfn.CONCAT(PROPER(TEXT(E1595,"aaaa"))," ",PROPER(TEXT(E1595,"mm"))))</f>
        <v>2025 04</v>
      </c>
      <c r="AI1595" s="9" t="str">
        <f ca="1">IF('Banco de Dados'!$AK1595&lt;&gt;"-","REEMBOLSO",IFERROR(_xlfn.XLOOKUP(G1595,Follow[CODRASTREIO],Follow[STATUS]),"-"))</f>
        <v>ENTREGUE</v>
      </c>
      <c r="AJ1595" s="9">
        <f ca="1">IF('Banco de Dados'!$AI1595="ENTREGUE",_xlfn.XLOOKUP('Banco de Dados'!$G1595,Follow[CODRASTREIO],Follow[DATAATUALIZAÇÃO]),"-")</f>
        <v>45790</v>
      </c>
      <c r="AK1595" s="132" t="str">
        <f ca="1"/>
        <v>-</v>
      </c>
      <c r="AL1595" s="35"/>
      <c r="AM1595" s="109" cm="1">
        <f t="array" aca="1" ref="AM1595" ca="1">IF('Banco de Dados'!$AK1595&lt;&gt;"-",_xlfn.IFS('Banco de Dados'!$A1595="bv",IF('Banco de Dados'!$E1595&lt;45641,ROUND(SUM('Banco de Dados'!$R1595*_xlfn.XLOOKUP('Banco de Dados'!$P1595,Sku!B:B,Sku!#REF!)*20%),2),ROUND(SUM('Banco de Dados'!$R1595*_xlfn.XLOOKUP('Banco de Dados'!$P1595,Sku!B:B,Sku!H:H)*20%),2)),'Banco de Dados'!$A1595="GO",ROUND(SUM('Banco de Dados'!$R1595*_xlfn.XLOOKUP('Banco de Dados'!$P1595,Sku!C:C,Sku!H:H)*20%),2),'Banco de Dados'!$A1595="MEI",ROUND(SUM('Banco de Dados'!$R1595*_xlfn.XLOOKUP('Banco de Dados'!$P1595,Sku!D:D,Sku!H:H)*20%),2)),0)</f>
        <v>0</v>
      </c>
      <c r="AN1595" s="109">
        <f ca="1">IF('Banco de Dados'!$AK1595&lt;&gt;"-",IF('Banco de Dados'!$F1595&lt;&gt;"-",_xlfn.XLOOKUP(IFERROR(IFERROR(IFERROR(VALUE(SUBSTITUTE(MID(_xlfn.TEXTAFTER('Banco de Dados'!$F1595,"Data do Pedido:
",1),1,10),"-","/")),VALUE(SUBSTITUTE(MID(_xlfn.TEXTAFTER('Banco de Dados'!$F1595,"Order date:
",1),1,10),"-","/"))),VALUE(SUBSTITUTE(MID(_xlfn.TEXTAFTER('Banco de Dados'!$F1595,"Fecha de pedido:
",1),1,10),"-","/"))),"-"),SMS!A:A,SMS!K:K),0),0)</f>
        <v>0</v>
      </c>
      <c r="AO1595" s="109">
        <f ca="1">IF('Banco de Dados'!$AK1595&lt;&gt;"-",IF('Banco de Dados'!$F1595&lt;&gt;"-",IFERROR(_xlfn.XLOOKUP(_xlfn.CONCAT('Banco de Dados'!$A1595,IFERROR(IFERROR(VALUE(SUBSTITUTE(MID(_xlfn.TEXTAFTER('Banco de Dados'!$F1595,"Data do Pedido:
",1),1,10),"-","/")),VALUE(SUBSTITUTE(MID(_xlfn.TEXTAFTER('Banco de Dados'!$F1595,"Order date:
",1),1,10),"-","/"))),0)),ProxyDD[Chave],ProxyDD[Valor por pedido]),PROXY!$P$2),0),0)</f>
        <v>0</v>
      </c>
      <c r="AP1595" s="28">
        <f ca="1">IF('Banco de Dados'!$AK1595&lt;&gt;"-",IF('Banco de Dados'!$AL1595="NÃO",IFERROR(VALUE(SUBSTITUTE(_xlfn.TEXTAFTER('Banco de Dados'!$F1595,"BRL ",1),".",",")),0),0),0)</f>
        <v>0</v>
      </c>
      <c r="AQ1595" s="28">
        <f ca="1">SUM('Banco de Dados'!$AM1595:$AP1595)</f>
        <v>0</v>
      </c>
      <c r="AR1595" s="8"/>
      <c r="AS1595" s="8"/>
      <c r="AT1595"/>
      <c r="AY1595" s="8"/>
    </row>
    <row r="1596" spans="1:51">
      <c r="A1596" s="5" t="str">
        <v>MEI</v>
      </c>
      <c r="B1596" s="5" t="str">
        <f ca="1"/>
        <v>MEI45772</v>
      </c>
      <c r="C1596" s="8" t="str">
        <v>Pedido 1583</v>
      </c>
      <c r="D1596" s="187">
        <v>45771</v>
      </c>
      <c r="E1596" s="9">
        <v>45772</v>
      </c>
      <c r="F1596" s="8" t="str">
        <v>PedidoF1514</v>
      </c>
      <c r="G1596" s="2" t="str">
        <v>CódRastreio1512</v>
      </c>
      <c r="H1596" s="5">
        <v>1</v>
      </c>
      <c r="I1596" s="182" t="str">
        <v>CPF 1542</v>
      </c>
      <c r="J1596" s="2" t="str">
        <v>Nome 1542</v>
      </c>
      <c r="K1596" s="8" t="str">
        <v>Tel 1542</v>
      </c>
      <c r="L1596" s="8" t="str">
        <v>Cep 1542</v>
      </c>
      <c r="M1596" s="8" t="str">
        <v>Rua 1542</v>
      </c>
      <c r="N1596" s="8" t="str">
        <v>Comp 1542</v>
      </c>
      <c r="O1596" s="8" t="str">
        <v>Lampada Led</v>
      </c>
      <c r="P1596" s="8" t="str">
        <v>T1-SWVB-UPOW</v>
      </c>
      <c r="Q1596" s="4">
        <v>45806</v>
      </c>
      <c r="R1596" s="109">
        <v>29.95</v>
      </c>
      <c r="S1596" s="11">
        <f ca="1"/>
        <v>29.95</v>
      </c>
      <c r="T1596" s="28">
        <f ca="1"/>
        <v>3.5939999999999999</v>
      </c>
      <c r="U1596" s="11">
        <f ca="1"/>
        <v>26.36</v>
      </c>
      <c r="V1596" s="11">
        <v>18.75</v>
      </c>
      <c r="W1596" s="11">
        <f ca="1"/>
        <v>0.1</v>
      </c>
      <c r="X1596" s="11">
        <f ca="1"/>
        <v>0.39877104377104378</v>
      </c>
      <c r="Y1596" s="11">
        <v>0</v>
      </c>
      <c r="Z1596" s="11">
        <f ca="1"/>
        <v>7.1112289562289526</v>
      </c>
      <c r="AA1596" s="11">
        <f ca="1"/>
        <v>3.5556144781144763</v>
      </c>
      <c r="AB1596" s="4">
        <f ca="1"/>
        <v>45813</v>
      </c>
      <c r="AC1596" s="4">
        <v>45813</v>
      </c>
      <c r="AD1596" s="9">
        <v>45824</v>
      </c>
      <c r="AE1596" s="9">
        <v>45828</v>
      </c>
      <c r="AF1596" s="4" t="str">
        <f t="shared" ca="1" si="109"/>
        <v>2025 06</v>
      </c>
      <c r="AG1596" s="8" t="str" cm="1">
        <f t="array" ref="AG1596">IFERROR(_xlfn.IFS('Banco de Dados'!#REF!="AG. COMPRA","Em processamento",'Banco de Dados'!#REF!="AG. RASTREIO","Em processamento",'Banco de Dados'!$AE1596&lt;&gt;"-","Faturado",'Banco de Dados'!$AD1596&lt;&gt;"-","Aguardando Pix",'Banco de Dados'!$AC1596&lt;&gt;"-","Pendente"),"Aguardando Liberação")</f>
        <v>Aguardando Liberação</v>
      </c>
      <c r="AH1596" s="5" t="str">
        <f>IF('Banco de Dados'!$F1596="-",_xlfn.CONCAT(PROPER(TEXT(AK1596,"aaaa"))," ",PROPER(TEXT(AK1596,"mm"))),_xlfn.CONCAT(PROPER(TEXT(E1596,"aaaa"))," ",PROPER(TEXT(E1596,"mm"))))</f>
        <v>2025 04</v>
      </c>
      <c r="AI1596" s="9" t="str">
        <f ca="1">IF('Banco de Dados'!$AK1596&lt;&gt;"-","REEMBOLSO",IFERROR(_xlfn.XLOOKUP(G1596,Follow[CODRASTREIO],Follow[STATUS]),"-"))</f>
        <v>ENTREGUE</v>
      </c>
      <c r="AJ1596" s="9">
        <f ca="1">IF('Banco de Dados'!$AI1596="ENTREGUE",_xlfn.XLOOKUP('Banco de Dados'!$G1596,Follow[CODRASTREIO],Follow[DATAATUALIZAÇÃO]),"-")</f>
        <v>45817</v>
      </c>
      <c r="AK1596" s="132" t="str">
        <f ca="1"/>
        <v>-</v>
      </c>
      <c r="AL1596" s="35"/>
      <c r="AM1596" s="109" cm="1">
        <f t="array" aca="1" ref="AM1596" ca="1">IF('Banco de Dados'!$AK1596&lt;&gt;"-",_xlfn.IFS('Banco de Dados'!$A1596="bv",IF('Banco de Dados'!$E1596&lt;45641,ROUND(SUM('Banco de Dados'!$R1596*_xlfn.XLOOKUP('Banco de Dados'!$P1596,Sku!B:B,Sku!#REF!)*20%),2),ROUND(SUM('Banco de Dados'!$R1596*_xlfn.XLOOKUP('Banco de Dados'!$P1596,Sku!B:B,Sku!H:H)*20%),2)),'Banco de Dados'!$A1596="GO",ROUND(SUM('Banco de Dados'!$R1596*_xlfn.XLOOKUP('Banco de Dados'!$P1596,Sku!C:C,Sku!H:H)*20%),2),'Banco de Dados'!$A1596="MEI",ROUND(SUM('Banco de Dados'!$R1596*_xlfn.XLOOKUP('Banco de Dados'!$P1596,Sku!D:D,Sku!H:H)*20%),2)),0)</f>
        <v>0</v>
      </c>
      <c r="AN1596" s="109">
        <f ca="1">IF('Banco de Dados'!$AK1596&lt;&gt;"-",IF('Banco de Dados'!$F1596&lt;&gt;"-",_xlfn.XLOOKUP(IFERROR(IFERROR(IFERROR(VALUE(SUBSTITUTE(MID(_xlfn.TEXTAFTER('Banco de Dados'!$F1596,"Data do Pedido:
",1),1,10),"-","/")),VALUE(SUBSTITUTE(MID(_xlfn.TEXTAFTER('Banco de Dados'!$F1596,"Order date:
",1),1,10),"-","/"))),VALUE(SUBSTITUTE(MID(_xlfn.TEXTAFTER('Banco de Dados'!$F1596,"Fecha de pedido:
",1),1,10),"-","/"))),"-"),SMS!A:A,SMS!K:K),0),0)</f>
        <v>0</v>
      </c>
      <c r="AO1596" s="109">
        <f ca="1">IF('Banco de Dados'!$AK1596&lt;&gt;"-",IF('Banco de Dados'!$F1596&lt;&gt;"-",IFERROR(_xlfn.XLOOKUP(_xlfn.CONCAT('Banco de Dados'!$A1596,IFERROR(IFERROR(VALUE(SUBSTITUTE(MID(_xlfn.TEXTAFTER('Banco de Dados'!$F1596,"Data do Pedido:
",1),1,10),"-","/")),VALUE(SUBSTITUTE(MID(_xlfn.TEXTAFTER('Banco de Dados'!$F1596,"Order date:
",1),1,10),"-","/"))),0)),ProxyDD[Chave],ProxyDD[Valor por pedido]),PROXY!$P$2),0),0)</f>
        <v>0</v>
      </c>
      <c r="AP1596" s="28">
        <f ca="1">IF('Banco de Dados'!$AK1596&lt;&gt;"-",IF('Banco de Dados'!$AL1596="NÃO",IFERROR(VALUE(SUBSTITUTE(_xlfn.TEXTAFTER('Banco de Dados'!$F1596,"BRL ",1),".",",")),0),0),0)</f>
        <v>0</v>
      </c>
      <c r="AQ1596" s="28">
        <f ca="1">SUM('Banco de Dados'!$AM1596:$AP1596)</f>
        <v>0</v>
      </c>
      <c r="AR1596" s="8"/>
      <c r="AS1596" s="8"/>
      <c r="AT1596"/>
      <c r="AY1596" s="8"/>
    </row>
    <row r="1597" spans="1:51">
      <c r="A1597" s="5" t="str">
        <v>MEI</v>
      </c>
      <c r="B1597" s="5" t="str">
        <f ca="1"/>
        <v>MEI45772</v>
      </c>
      <c r="C1597" s="8" t="str">
        <v>Pedido 1584</v>
      </c>
      <c r="D1597" s="187">
        <v>45772</v>
      </c>
      <c r="E1597" s="9">
        <v>45772</v>
      </c>
      <c r="F1597" s="8" t="str">
        <v>PedidoF1515</v>
      </c>
      <c r="G1597" s="2" t="str">
        <v>CódRastreio1513</v>
      </c>
      <c r="H1597" s="5">
        <v>1</v>
      </c>
      <c r="I1597" s="182" t="str">
        <v>CPF 1543</v>
      </c>
      <c r="J1597" s="2" t="str">
        <v>Nome 1543</v>
      </c>
      <c r="K1597" s="8" t="str">
        <v>Tel 1543</v>
      </c>
      <c r="L1597" s="8" t="str">
        <v>Cep 1543</v>
      </c>
      <c r="M1597" s="8" t="str">
        <v>Rua 1543</v>
      </c>
      <c r="N1597" s="8" t="str">
        <v>Comp 1543</v>
      </c>
      <c r="O1597" s="8" t="str">
        <v>Ventilador Umidificador Preto</v>
      </c>
      <c r="P1597" s="8" t="str">
        <v>71-KHMZ-MLQW</v>
      </c>
      <c r="Q1597" s="4">
        <v>45800</v>
      </c>
      <c r="R1597" s="109">
        <v>52.99</v>
      </c>
      <c r="S1597" s="11">
        <f ca="1"/>
        <v>52.99</v>
      </c>
      <c r="T1597" s="28">
        <f ca="1"/>
        <v>5.8289</v>
      </c>
      <c r="U1597" s="11">
        <f ca="1"/>
        <v>47.16</v>
      </c>
      <c r="V1597" s="11">
        <v>37.880000000000003</v>
      </c>
      <c r="W1597" s="11">
        <f ca="1"/>
        <v>0.1</v>
      </c>
      <c r="X1597" s="11">
        <f ca="1"/>
        <v>0.39877104377104378</v>
      </c>
      <c r="Y1597" s="11">
        <v>0</v>
      </c>
      <c r="Z1597" s="11">
        <f ca="1"/>
        <v>8.7812289562289507</v>
      </c>
      <c r="AA1597" s="11">
        <f ca="1"/>
        <v>4.3906144781144754</v>
      </c>
      <c r="AB1597" s="4">
        <f ca="1"/>
        <v>45807</v>
      </c>
      <c r="AC1597" s="4">
        <v>45807</v>
      </c>
      <c r="AD1597" s="9">
        <v>45807</v>
      </c>
      <c r="AE1597" s="9">
        <v>45810</v>
      </c>
      <c r="AF1597" s="4" t="str">
        <f t="shared" ca="1" si="109"/>
        <v>2025 05</v>
      </c>
      <c r="AG1597" s="8" t="str" cm="1">
        <f t="array" ref="AG1597">IFERROR(_xlfn.IFS('Banco de Dados'!#REF!="AG. COMPRA","Em processamento",'Banco de Dados'!#REF!="AG. RASTREIO","Em processamento",'Banco de Dados'!$AE1597&lt;&gt;"-","Faturado",'Banco de Dados'!$AD1597&lt;&gt;"-","Aguardando Pix",'Banco de Dados'!$AC1597&lt;&gt;"-","Pendente"),"Aguardando Liberação")</f>
        <v>Aguardando Liberação</v>
      </c>
      <c r="AH1597" s="5" t="str">
        <f>IF('Banco de Dados'!$F1597="-",_xlfn.CONCAT(PROPER(TEXT(AK1597,"aaaa"))," ",PROPER(TEXT(AK1597,"mm"))),_xlfn.CONCAT(PROPER(TEXT(E1597,"aaaa"))," ",PROPER(TEXT(E1597,"mm"))))</f>
        <v>2025 04</v>
      </c>
      <c r="AI1597" s="9" t="str">
        <f ca="1">IF('Banco de Dados'!$AK1597&lt;&gt;"-","REEMBOLSO",IFERROR(_xlfn.XLOOKUP(G1597,Follow[CODRASTREIO],Follow[STATUS]),"-"))</f>
        <v>ENTREGUE</v>
      </c>
      <c r="AJ1597" s="9">
        <f ca="1">IF('Banco de Dados'!$AI1597="ENTREGUE",_xlfn.XLOOKUP('Banco de Dados'!$G1597,Follow[CODRASTREIO],Follow[DATAATUALIZAÇÃO]),"-")</f>
        <v>45821.504999999997</v>
      </c>
      <c r="AK1597" s="132" t="str">
        <f ca="1"/>
        <v>-</v>
      </c>
      <c r="AL1597" s="35"/>
      <c r="AM1597" s="109" cm="1">
        <f t="array" aca="1" ref="AM1597" ca="1">IF('Banco de Dados'!$AK1597&lt;&gt;"-",_xlfn.IFS('Banco de Dados'!$A1597="bv",IF('Banco de Dados'!$E1597&lt;45641,ROUND(SUM('Banco de Dados'!$R1597*_xlfn.XLOOKUP('Banco de Dados'!$P1597,Sku!B:B,Sku!#REF!)*20%),2),ROUND(SUM('Banco de Dados'!$R1597*_xlfn.XLOOKUP('Banco de Dados'!$P1597,Sku!B:B,Sku!H:H)*20%),2)),'Banco de Dados'!$A1597="GO",ROUND(SUM('Banco de Dados'!$R1597*_xlfn.XLOOKUP('Banco de Dados'!$P1597,Sku!C:C,Sku!H:H)*20%),2),'Banco de Dados'!$A1597="MEI",ROUND(SUM('Banco de Dados'!$R1597*_xlfn.XLOOKUP('Banco de Dados'!$P1597,Sku!D:D,Sku!H:H)*20%),2)),0)</f>
        <v>0</v>
      </c>
      <c r="AN1597" s="109">
        <f ca="1">IF('Banco de Dados'!$AK1597&lt;&gt;"-",IF('Banco de Dados'!$F1597&lt;&gt;"-",_xlfn.XLOOKUP(IFERROR(IFERROR(IFERROR(VALUE(SUBSTITUTE(MID(_xlfn.TEXTAFTER('Banco de Dados'!$F1597,"Data do Pedido:
",1),1,10),"-","/")),VALUE(SUBSTITUTE(MID(_xlfn.TEXTAFTER('Banco de Dados'!$F1597,"Order date:
",1),1,10),"-","/"))),VALUE(SUBSTITUTE(MID(_xlfn.TEXTAFTER('Banco de Dados'!$F1597,"Fecha de pedido:
",1),1,10),"-","/"))),"-"),SMS!A:A,SMS!K:K),0),0)</f>
        <v>0</v>
      </c>
      <c r="AO1597" s="109">
        <f ca="1">IF('Banco de Dados'!$AK1597&lt;&gt;"-",IF('Banco de Dados'!$F1597&lt;&gt;"-",IFERROR(_xlfn.XLOOKUP(_xlfn.CONCAT('Banco de Dados'!$A1597,IFERROR(IFERROR(VALUE(SUBSTITUTE(MID(_xlfn.TEXTAFTER('Banco de Dados'!$F1597,"Data do Pedido:
",1),1,10),"-","/")),VALUE(SUBSTITUTE(MID(_xlfn.TEXTAFTER('Banco de Dados'!$F1597,"Order date:
",1),1,10),"-","/"))),0)),ProxyDD[Chave],ProxyDD[Valor por pedido]),PROXY!$P$2),0),0)</f>
        <v>0</v>
      </c>
      <c r="AP1597" s="28">
        <f ca="1">IF('Banco de Dados'!$AK1597&lt;&gt;"-",IF('Banco de Dados'!$AL1597="NÃO",IFERROR(VALUE(SUBSTITUTE(_xlfn.TEXTAFTER('Banco de Dados'!$F1597,"BRL ",1),".",",")),0),0),0)</f>
        <v>0</v>
      </c>
      <c r="AQ1597" s="28">
        <f ca="1">SUM('Banco de Dados'!$AM1597:$AP1597)</f>
        <v>0</v>
      </c>
      <c r="AR1597" s="8"/>
      <c r="AS1597" s="8"/>
      <c r="AT1597"/>
      <c r="AY1597" s="8"/>
    </row>
    <row r="1598" spans="1:51">
      <c r="A1598" s="5" t="str">
        <v>MEI</v>
      </c>
      <c r="B1598" s="5" t="str">
        <f ca="1"/>
        <v>MEI45772</v>
      </c>
      <c r="C1598" s="8" t="str">
        <v>Pedido 1585</v>
      </c>
      <c r="D1598" s="187">
        <v>45772</v>
      </c>
      <c r="E1598" s="9">
        <v>45772</v>
      </c>
      <c r="F1598" s="8" t="str">
        <v>PedidoF1516</v>
      </c>
      <c r="G1598" s="2" t="str">
        <v>CódRastreio1514</v>
      </c>
      <c r="H1598" s="5">
        <v>1</v>
      </c>
      <c r="I1598" s="182" t="str">
        <v>CPF 1544</v>
      </c>
      <c r="J1598" s="2" t="str">
        <v>Nome 1544</v>
      </c>
      <c r="K1598" s="8" t="str">
        <v>Tel 1544</v>
      </c>
      <c r="L1598" s="8" t="str">
        <v>Cep 1544</v>
      </c>
      <c r="M1598" s="8" t="str">
        <v>Rua 1544</v>
      </c>
      <c r="N1598" s="8" t="str">
        <v>Comp 1544</v>
      </c>
      <c r="O1598" s="8" t="str">
        <v>Ventilador Azul</v>
      </c>
      <c r="P1598" s="8" t="str">
        <v>PK-L2Z7-MQRQ</v>
      </c>
      <c r="Q1598" s="4">
        <v>45807</v>
      </c>
      <c r="R1598" s="109">
        <v>49.9</v>
      </c>
      <c r="S1598" s="11">
        <f ca="1"/>
        <v>49.9</v>
      </c>
      <c r="T1598" s="28">
        <f ca="1"/>
        <v>5.9879999999999995</v>
      </c>
      <c r="U1598" s="11">
        <f ca="1"/>
        <v>43.91</v>
      </c>
      <c r="V1598" s="11">
        <v>14.14</v>
      </c>
      <c r="W1598" s="11">
        <f ca="1"/>
        <v>0.1</v>
      </c>
      <c r="X1598" s="11">
        <f ca="1"/>
        <v>0.39877104377104378</v>
      </c>
      <c r="Y1598" s="11">
        <v>0</v>
      </c>
      <c r="Z1598" s="11">
        <f ca="1"/>
        <v>29.271228956228953</v>
      </c>
      <c r="AA1598" s="11">
        <f ca="1"/>
        <v>14.635614478114476</v>
      </c>
      <c r="AB1598" s="4">
        <f ca="1"/>
        <v>45814</v>
      </c>
      <c r="AC1598" s="4">
        <v>45814</v>
      </c>
      <c r="AD1598" s="9">
        <v>45824</v>
      </c>
      <c r="AE1598" s="9">
        <v>45828</v>
      </c>
      <c r="AF1598" s="4" t="str">
        <f t="shared" ca="1" si="109"/>
        <v>2025 06</v>
      </c>
      <c r="AG1598" s="8" t="str" cm="1">
        <f t="array" ref="AG1598">IFERROR(_xlfn.IFS('Banco de Dados'!#REF!="AG. COMPRA","Em processamento",'Banco de Dados'!#REF!="AG. RASTREIO","Em processamento",'Banco de Dados'!$AE1598&lt;&gt;"-","Faturado",'Banco de Dados'!$AD1598&lt;&gt;"-","Aguardando Pix",'Banco de Dados'!$AC1598&lt;&gt;"-","Pendente"),"Aguardando Liberação")</f>
        <v>Aguardando Liberação</v>
      </c>
      <c r="AH1598" s="5" t="str">
        <f>IF('Banco de Dados'!$F1598="-",_xlfn.CONCAT(PROPER(TEXT(AK1598,"aaaa"))," ",PROPER(TEXT(AK1598,"mm"))),_xlfn.CONCAT(PROPER(TEXT(E1598,"aaaa"))," ",PROPER(TEXT(E1598,"mm"))))</f>
        <v>2025 04</v>
      </c>
      <c r="AI1598" s="9" t="str">
        <f ca="1">IF('Banco de Dados'!$AK1598&lt;&gt;"-","REEMBOLSO",IFERROR(_xlfn.XLOOKUP(G1598,Follow[CODRASTREIO],Follow[STATUS]),"-"))</f>
        <v>ENTREGUE</v>
      </c>
      <c r="AJ1598" s="9">
        <f ca="1">IF('Banco de Dados'!$AI1598="ENTREGUE",_xlfn.XLOOKUP('Banco de Dados'!$G1598,Follow[CODRASTREIO],Follow[DATAATUALIZAÇÃO]),"-")</f>
        <v>45796</v>
      </c>
      <c r="AK1598" s="132" t="str">
        <f ca="1"/>
        <v>-</v>
      </c>
      <c r="AL1598" s="35"/>
      <c r="AM1598" s="109" cm="1">
        <f t="array" aca="1" ref="AM1598" ca="1">IF('Banco de Dados'!$AK1598&lt;&gt;"-",_xlfn.IFS('Banco de Dados'!$A1598="bv",IF('Banco de Dados'!$E1598&lt;45641,ROUND(SUM('Banco de Dados'!$R1598*_xlfn.XLOOKUP('Banco de Dados'!$P1598,Sku!B:B,Sku!#REF!)*20%),2),ROUND(SUM('Banco de Dados'!$R1598*_xlfn.XLOOKUP('Banco de Dados'!$P1598,Sku!B:B,Sku!H:H)*20%),2)),'Banco de Dados'!$A1598="GO",ROUND(SUM('Banco de Dados'!$R1598*_xlfn.XLOOKUP('Banco de Dados'!$P1598,Sku!C:C,Sku!H:H)*20%),2),'Banco de Dados'!$A1598="MEI",ROUND(SUM('Banco de Dados'!$R1598*_xlfn.XLOOKUP('Banco de Dados'!$P1598,Sku!D:D,Sku!H:H)*20%),2)),0)</f>
        <v>0</v>
      </c>
      <c r="AN1598" s="109">
        <f ca="1">IF('Banco de Dados'!$AK1598&lt;&gt;"-",IF('Banco de Dados'!$F1598&lt;&gt;"-",_xlfn.XLOOKUP(IFERROR(IFERROR(IFERROR(VALUE(SUBSTITUTE(MID(_xlfn.TEXTAFTER('Banco de Dados'!$F1598,"Data do Pedido:
",1),1,10),"-","/")),VALUE(SUBSTITUTE(MID(_xlfn.TEXTAFTER('Banco de Dados'!$F1598,"Order date:
",1),1,10),"-","/"))),VALUE(SUBSTITUTE(MID(_xlfn.TEXTAFTER('Banco de Dados'!$F1598,"Fecha de pedido:
",1),1,10),"-","/"))),"-"),SMS!A:A,SMS!K:K),0),0)</f>
        <v>0</v>
      </c>
      <c r="AO1598" s="109">
        <f ca="1">IF('Banco de Dados'!$AK1598&lt;&gt;"-",IF('Banco de Dados'!$F1598&lt;&gt;"-",IFERROR(_xlfn.XLOOKUP(_xlfn.CONCAT('Banco de Dados'!$A1598,IFERROR(IFERROR(VALUE(SUBSTITUTE(MID(_xlfn.TEXTAFTER('Banco de Dados'!$F1598,"Data do Pedido:
",1),1,10),"-","/")),VALUE(SUBSTITUTE(MID(_xlfn.TEXTAFTER('Banco de Dados'!$F1598,"Order date:
",1),1,10),"-","/"))),0)),ProxyDD[Chave],ProxyDD[Valor por pedido]),PROXY!$P$2),0),0)</f>
        <v>0</v>
      </c>
      <c r="AP1598" s="28">
        <f ca="1">IF('Banco de Dados'!$AK1598&lt;&gt;"-",IF('Banco de Dados'!$AL1598="NÃO",IFERROR(VALUE(SUBSTITUTE(_xlfn.TEXTAFTER('Banco de Dados'!$F1598,"BRL ",1),".",",")),0),0),0)</f>
        <v>0</v>
      </c>
      <c r="AQ1598" s="28">
        <f ca="1">SUM('Banco de Dados'!$AM1598:$AP1598)</f>
        <v>0</v>
      </c>
      <c r="AR1598" s="8"/>
      <c r="AS1598" s="8"/>
      <c r="AT1598"/>
      <c r="AY1598" s="8"/>
    </row>
    <row r="1599" spans="1:51">
      <c r="A1599" s="5" t="str">
        <v>MEI</v>
      </c>
      <c r="B1599" s="5" t="str">
        <f ca="1"/>
        <v>MEI45775</v>
      </c>
      <c r="C1599" s="8" t="str">
        <v>Pedido 1586</v>
      </c>
      <c r="D1599" s="187">
        <v>45773</v>
      </c>
      <c r="E1599" s="9">
        <v>45775</v>
      </c>
      <c r="F1599" s="8" t="str">
        <v>PedidoF1517</v>
      </c>
      <c r="G1599" s="2" t="str">
        <v>CódRastreio1515</v>
      </c>
      <c r="H1599" s="5">
        <v>1</v>
      </c>
      <c r="I1599" s="182" t="str">
        <v>CPF 1545</v>
      </c>
      <c r="J1599" s="2" t="str">
        <v>Nome 1545</v>
      </c>
      <c r="K1599" s="8" t="str">
        <v>Tel 1545</v>
      </c>
      <c r="L1599" s="8" t="str">
        <v>Cep 1545</v>
      </c>
      <c r="M1599" s="8" t="str">
        <v>Rua 1545</v>
      </c>
      <c r="N1599" s="8" t="str">
        <v>Comp 1545</v>
      </c>
      <c r="O1599" s="8" t="str">
        <v>Ventilador Azul</v>
      </c>
      <c r="P1599" s="8" t="str">
        <v>PK-L2Z7-MQRQ</v>
      </c>
      <c r="Q1599" s="4">
        <v>45800</v>
      </c>
      <c r="R1599" s="109">
        <v>49.9</v>
      </c>
      <c r="S1599" s="11">
        <f ca="1"/>
        <v>0</v>
      </c>
      <c r="T1599" s="28">
        <f ca="1"/>
        <v>0</v>
      </c>
      <c r="U1599" s="11">
        <f ca="1"/>
        <v>0</v>
      </c>
      <c r="V1599" s="11">
        <v>0</v>
      </c>
      <c r="W1599" s="11">
        <f ca="1"/>
        <v>0</v>
      </c>
      <c r="X1599" s="11">
        <f ca="1"/>
        <v>0.39877104377104378</v>
      </c>
      <c r="Y1599" s="11">
        <v>0</v>
      </c>
      <c r="Z1599" s="11">
        <f ca="1"/>
        <v>-0.39877104377104378</v>
      </c>
      <c r="AA1599" s="11">
        <f ca="1"/>
        <v>-0.19938552188552189</v>
      </c>
      <c r="AB1599" s="4">
        <f ca="1"/>
        <v>45807</v>
      </c>
      <c r="AC1599" s="4">
        <v>45807</v>
      </c>
      <c r="AD1599" s="9">
        <v>45807</v>
      </c>
      <c r="AE1599" s="9">
        <v>45810</v>
      </c>
      <c r="AF1599" s="4" t="str">
        <f t="shared" ref="AF1599:AF1625" ca="1" si="110">_xlfn.CONCAT(PROPER(TEXT(AB1599,"aaaa"))," ",PROPER(TEXT(AB1599,"mm")))</f>
        <v>2025 05</v>
      </c>
      <c r="AG1599" s="8" t="str" cm="1">
        <f t="array" ref="AG1599">IFERROR(_xlfn.IFS('Banco de Dados'!#REF!="AG. COMPRA","Em processamento",'Banco de Dados'!#REF!="AG. RASTREIO","Em processamento",'Banco de Dados'!$AE1599&lt;&gt;"-","Faturado",'Banco de Dados'!$AD1599&lt;&gt;"-","Aguardando Pix",'Banco de Dados'!$AC1599&lt;&gt;"-","Pendente"),"Aguardando Liberação")</f>
        <v>Aguardando Liberação</v>
      </c>
      <c r="AH1599" s="5" t="str">
        <f>IF('Banco de Dados'!$F1599="-",_xlfn.CONCAT(PROPER(TEXT(AK1599,"aaaa"))," ",PROPER(TEXT(AK1599,"mm"))),_xlfn.CONCAT(PROPER(TEXT(E1599,"aaaa"))," ",PROPER(TEXT(E1599,"mm"))))</f>
        <v>2025 04</v>
      </c>
      <c r="AI1599" s="9" t="str">
        <f ca="1">IF('Banco de Dados'!$AK1599&lt;&gt;"-","REEMBOLSO",IFERROR(_xlfn.XLOOKUP(G1599,Follow[CODRASTREIO],Follow[STATUS]),"-"))</f>
        <v>REEMBOLSO</v>
      </c>
      <c r="AJ1599" s="9" t="str">
        <f ca="1">IF('Banco de Dados'!$AI1599="ENTREGUE",_xlfn.XLOOKUP('Banco de Dados'!$G1599,Follow[CODRASTREIO],Follow[DATAATUALIZAÇÃO]),"-")</f>
        <v>-</v>
      </c>
      <c r="AK1599" s="132">
        <f ca="1"/>
        <v>45815</v>
      </c>
      <c r="AL1599" s="35"/>
      <c r="AM1599" s="109" cm="1">
        <f t="array" aca="1" ref="AM1599" ca="1">IF('Banco de Dados'!$AK1599&lt;&gt;"-",_xlfn.IFS('Banco de Dados'!$A1599="bv",IF('Banco de Dados'!$E1599&lt;45641,ROUND(SUM('Banco de Dados'!$R1599*_xlfn.XLOOKUP('Banco de Dados'!$P1599,Sku!B:B,Sku!#REF!)*20%),2),ROUND(SUM('Banco de Dados'!$R1599*_xlfn.XLOOKUP('Banco de Dados'!$P1599,Sku!B:B,Sku!H:H)*20%),2)),'Banco de Dados'!$A1599="GO",ROUND(SUM('Banco de Dados'!$R1599*_xlfn.XLOOKUP('Banco de Dados'!$P1599,Sku!C:C,Sku!H:H)*20%),2),'Banco de Dados'!$A1599="MEI",ROUND(SUM('Banco de Dados'!$R1599*_xlfn.XLOOKUP('Banco de Dados'!$P1599,Sku!D:D,Sku!H:H)*20%),2)),0)</f>
        <v>1.3</v>
      </c>
      <c r="AN1599" s="109" t="e">
        <f ca="1">IF('Banco de Dados'!$AK1599&lt;&gt;"-",IF('Banco de Dados'!$F1599&lt;&gt;"-",_xlfn.XLOOKUP(IFERROR(IFERROR(IFERROR(VALUE(SUBSTITUTE(MID(_xlfn.TEXTAFTER('Banco de Dados'!$F1599,"Data do Pedido:
",1),1,10),"-","/")),VALUE(SUBSTITUTE(MID(_xlfn.TEXTAFTER('Banco de Dados'!$F1599,"Order date:
",1),1,10),"-","/"))),VALUE(SUBSTITUTE(MID(_xlfn.TEXTAFTER('Banco de Dados'!$F1599,"Fecha de pedido:
",1),1,10),"-","/"))),"-"),SMS!A:A,SMS!K:K),0),0)</f>
        <v>#N/A</v>
      </c>
      <c r="AO1599" s="109">
        <f ca="1">IF('Banco de Dados'!$AK1599&lt;&gt;"-",IF('Banco de Dados'!$F1599&lt;&gt;"-",IFERROR(_xlfn.XLOOKUP(_xlfn.CONCAT('Banco de Dados'!$A1599,IFERROR(IFERROR(VALUE(SUBSTITUTE(MID(_xlfn.TEXTAFTER('Banco de Dados'!$F1599,"Data do Pedido:
",1),1,10),"-","/")),VALUE(SUBSTITUTE(MID(_xlfn.TEXTAFTER('Banco de Dados'!$F1599,"Order date:
",1),1,10),"-","/"))),0)),ProxyDD[Chave],ProxyDD[Valor por pedido]),PROXY!$P$2),0),0)</f>
        <v>0.39877104377104378</v>
      </c>
      <c r="AP1599" s="28">
        <f ca="1">IF('Banco de Dados'!$AK1599&lt;&gt;"-",IF('Banco de Dados'!$AL1599="NÃO",IFERROR(VALUE(SUBSTITUTE(_xlfn.TEXTAFTER('Banco de Dados'!$F1599,"BRL ",1),".",",")),0),0),0)</f>
        <v>0</v>
      </c>
      <c r="AQ1599" s="28" t="e">
        <f ca="1">SUM('Banco de Dados'!$AM1599:$AP1599)</f>
        <v>#N/A</v>
      </c>
      <c r="AR1599" s="8"/>
      <c r="AS1599" s="8"/>
      <c r="AT1599"/>
      <c r="AY1599" s="8"/>
    </row>
    <row r="1600" spans="1:51">
      <c r="A1600" s="5" t="str">
        <v>MEI</v>
      </c>
      <c r="B1600" s="5" t="str">
        <f ca="1"/>
        <v>MEI-</v>
      </c>
      <c r="C1600" s="8" t="str">
        <v>Pedido 1587</v>
      </c>
      <c r="D1600" s="187">
        <v>45773</v>
      </c>
      <c r="E1600" s="9" t="str">
        <v>-</v>
      </c>
      <c r="F1600" s="8" t="str">
        <v>-</v>
      </c>
      <c r="G1600" s="2" t="str">
        <v>-</v>
      </c>
      <c r="H1600" s="5">
        <v>1</v>
      </c>
      <c r="I1600" s="182" t="str">
        <v>CPF 1546</v>
      </c>
      <c r="J1600" s="2" t="str">
        <v>Nome 1546</v>
      </c>
      <c r="K1600" s="8" t="str">
        <v>Tel 1546</v>
      </c>
      <c r="L1600" s="8" t="str">
        <v>Cep 1546</v>
      </c>
      <c r="M1600" s="8" t="str">
        <v>Rua 1546</v>
      </c>
      <c r="N1600" s="8" t="str">
        <v>Comp 1546</v>
      </c>
      <c r="O1600" s="8" t="str">
        <v>Maçarico Culinário Portátil</v>
      </c>
      <c r="P1600" s="8" t="str">
        <v>BG-DHRO-FAEE</v>
      </c>
      <c r="Q1600" s="4">
        <v>45800</v>
      </c>
      <c r="R1600" s="109">
        <v>23.99</v>
      </c>
      <c r="S1600" s="11">
        <f ca="1"/>
        <v>0</v>
      </c>
      <c r="T1600" s="28">
        <f ca="1"/>
        <v>0</v>
      </c>
      <c r="U1600" s="11">
        <f ca="1"/>
        <v>0</v>
      </c>
      <c r="V1600" s="11">
        <v>18.8</v>
      </c>
      <c r="W1600" s="11">
        <f ca="1"/>
        <v>0</v>
      </c>
      <c r="X1600" s="11">
        <f ca="1"/>
        <v>0</v>
      </c>
      <c r="Y1600" s="11">
        <v>0</v>
      </c>
      <c r="Z1600" s="11">
        <f ca="1"/>
        <v>-18.8</v>
      </c>
      <c r="AA1600" s="11">
        <f ca="1"/>
        <v>-9.4</v>
      </c>
      <c r="AB1600" s="4">
        <f ca="1"/>
        <v>45807</v>
      </c>
      <c r="AC1600" s="4">
        <v>45807</v>
      </c>
      <c r="AD1600" s="9">
        <v>45807</v>
      </c>
      <c r="AE1600" s="9">
        <v>45810</v>
      </c>
      <c r="AF1600" s="4" t="str">
        <f t="shared" ca="1" si="110"/>
        <v>2025 05</v>
      </c>
      <c r="AG1600" s="8" t="str" cm="1">
        <f t="array" ref="AG1600">IFERROR(_xlfn.IFS('Banco de Dados'!#REF!="AG. COMPRA","Em processamento",'Banco de Dados'!#REF!="AG. RASTREIO","Em processamento",'Banco de Dados'!$AE1600&lt;&gt;"-","Faturado",'Banco de Dados'!$AD1600&lt;&gt;"-","Aguardando Pix",'Banco de Dados'!$AC1600&lt;&gt;"-","Pendente"),"Aguardando Liberação")</f>
        <v>Aguardando Liberação</v>
      </c>
      <c r="AH1600" s="5" t="str">
        <f ca="1">IF('Banco de Dados'!$F1600="-",_xlfn.CONCAT(PROPER(TEXT(AK1600,"aaaa"))," ",PROPER(TEXT(AK1600,"mm"))),_xlfn.CONCAT(PROPER(TEXT(E1600,"aaaa"))," ",PROPER(TEXT(E1600,"mm"))))</f>
        <v>2025 05</v>
      </c>
      <c r="AI1600" s="9" t="str">
        <f ca="1">IF('Banco de Dados'!$AK1600&lt;&gt;"-","REEMBOLSO",IFERROR(_xlfn.XLOOKUP(G1600,Follow[CODRASTREIO],Follow[STATUS]),"-"))</f>
        <v>REEMBOLSO</v>
      </c>
      <c r="AJ1600" s="9" t="str">
        <f ca="1">IF('Banco de Dados'!$AI1600="ENTREGUE",_xlfn.XLOOKUP('Banco de Dados'!$G1600,Follow[CODRASTREIO],Follow[DATAATUALIZAÇÃO]),"-")</f>
        <v>-</v>
      </c>
      <c r="AK1600" s="132">
        <f ca="1"/>
        <v>45782</v>
      </c>
      <c r="AL1600" s="35"/>
      <c r="AM1600" s="109" cm="1">
        <f t="array" aca="1" ref="AM1600" ca="1">IF('Banco de Dados'!$AK1600&lt;&gt;"-",_xlfn.IFS('Banco de Dados'!$A1600="bv",IF('Banco de Dados'!$E1600&lt;45641,ROUND(SUM('Banco de Dados'!$R1600*_xlfn.XLOOKUP('Banco de Dados'!$P1600,Sku!B:B,Sku!#REF!)*20%),2),ROUND(SUM('Banco de Dados'!$R1600*_xlfn.XLOOKUP('Banco de Dados'!$P1600,Sku!B:B,Sku!H:H)*20%),2)),'Banco de Dados'!$A1600="GO",ROUND(SUM('Banco de Dados'!$R1600*_xlfn.XLOOKUP('Banco de Dados'!$P1600,Sku!C:C,Sku!H:H)*20%),2),'Banco de Dados'!$A1600="MEI",ROUND(SUM('Banco de Dados'!$R1600*_xlfn.XLOOKUP('Banco de Dados'!$P1600,Sku!D:D,Sku!H:H)*20%),2)),0)</f>
        <v>0.53</v>
      </c>
      <c r="AN1600" s="109">
        <f ca="1">IF('Banco de Dados'!$AK1600&lt;&gt;"-",IF('Banco de Dados'!$F1600&lt;&gt;"-",_xlfn.XLOOKUP(IFERROR(IFERROR(IFERROR(VALUE(SUBSTITUTE(MID(_xlfn.TEXTAFTER('Banco de Dados'!$F1600,"Data do Pedido:
",1),1,10),"-","/")),VALUE(SUBSTITUTE(MID(_xlfn.TEXTAFTER('Banco de Dados'!$F1600,"Order date:
",1),1,10),"-","/"))),VALUE(SUBSTITUTE(MID(_xlfn.TEXTAFTER('Banco de Dados'!$F1600,"Fecha de pedido:
",1),1,10),"-","/"))),"-"),SMS!A:A,SMS!K:K),0),0)</f>
        <v>0</v>
      </c>
      <c r="AO1600" s="109">
        <f ca="1">IF('Banco de Dados'!$AK1600&lt;&gt;"-",IF('Banco de Dados'!$F1600&lt;&gt;"-",IFERROR(_xlfn.XLOOKUP(_xlfn.CONCAT('Banco de Dados'!$A1600,IFERROR(IFERROR(VALUE(SUBSTITUTE(MID(_xlfn.TEXTAFTER('Banco de Dados'!$F1600,"Data do Pedido:
",1),1,10),"-","/")),VALUE(SUBSTITUTE(MID(_xlfn.TEXTAFTER('Banco de Dados'!$F1600,"Order date:
",1),1,10),"-","/"))),0)),ProxyDD[Chave],ProxyDD[Valor por pedido]),PROXY!$P$2),0),0)</f>
        <v>0</v>
      </c>
      <c r="AP1600" s="28">
        <f ca="1">IF('Banco de Dados'!$AK1600&lt;&gt;"-",IF('Banco de Dados'!$AL1600="NÃO",IFERROR(VALUE(SUBSTITUTE(_xlfn.TEXTAFTER('Banco de Dados'!$F1600,"BRL ",1),".",",")),0),0),0)</f>
        <v>0</v>
      </c>
      <c r="AQ1600" s="28">
        <f ca="1">SUM('Banco de Dados'!$AM1600:$AP1600)</f>
        <v>0.53</v>
      </c>
      <c r="AR1600" s="8"/>
      <c r="AS1600" s="8"/>
      <c r="AT1600"/>
      <c r="AY1600" s="8"/>
    </row>
    <row r="1601" spans="1:51">
      <c r="A1601" s="5" t="str">
        <v>MEI</v>
      </c>
      <c r="B1601" s="5" t="str">
        <f ca="1"/>
        <v>MEI45775</v>
      </c>
      <c r="C1601" s="8" t="str">
        <v>Pedido 1588</v>
      </c>
      <c r="D1601" s="187">
        <v>45773</v>
      </c>
      <c r="E1601" s="9">
        <v>45775</v>
      </c>
      <c r="F1601" s="8" t="str">
        <v>PedidoF1518</v>
      </c>
      <c r="G1601" s="2" t="str">
        <v>CódRastreio1516</v>
      </c>
      <c r="H1601" s="5">
        <v>1</v>
      </c>
      <c r="I1601" s="182" t="str">
        <v>CPF 1547</v>
      </c>
      <c r="J1601" s="2" t="str">
        <v>Nome 1547</v>
      </c>
      <c r="K1601" s="8" t="str">
        <v>Tel 1547</v>
      </c>
      <c r="L1601" s="8" t="str">
        <v>Cep 1547</v>
      </c>
      <c r="M1601" s="8" t="str">
        <v>Rua 1547</v>
      </c>
      <c r="N1601" s="8" t="str">
        <v>Comp 1547</v>
      </c>
      <c r="O1601" s="8" t="str">
        <v>Ventilador Umidificador Preto</v>
      </c>
      <c r="P1601" s="8" t="str">
        <v>71-KHMZ-MLQW</v>
      </c>
      <c r="Q1601" s="4">
        <v>45807</v>
      </c>
      <c r="R1601" s="109">
        <v>49.99</v>
      </c>
      <c r="S1601" s="11">
        <f ca="1"/>
        <v>0</v>
      </c>
      <c r="T1601" s="28">
        <f ca="1"/>
        <v>0</v>
      </c>
      <c r="U1601" s="11">
        <f ca="1"/>
        <v>0</v>
      </c>
      <c r="V1601" s="11">
        <v>0</v>
      </c>
      <c r="W1601" s="11">
        <f ca="1"/>
        <v>0</v>
      </c>
      <c r="X1601" s="11">
        <f ca="1"/>
        <v>0.39877104377104378</v>
      </c>
      <c r="Y1601" s="11">
        <v>0</v>
      </c>
      <c r="Z1601" s="11">
        <f ca="1"/>
        <v>-0.39877104377104378</v>
      </c>
      <c r="AA1601" s="11">
        <f ca="1"/>
        <v>-0.19938552188552189</v>
      </c>
      <c r="AB1601" s="4">
        <f ca="1"/>
        <v>45814</v>
      </c>
      <c r="AC1601" s="4">
        <v>45814</v>
      </c>
      <c r="AD1601" s="9">
        <v>45824</v>
      </c>
      <c r="AE1601" s="9">
        <v>45828</v>
      </c>
      <c r="AF1601" s="4" t="str">
        <f t="shared" ca="1" si="110"/>
        <v>2025 06</v>
      </c>
      <c r="AG1601" s="8" t="str" cm="1">
        <f t="array" ref="AG1601">IFERROR(_xlfn.IFS('Banco de Dados'!#REF!="AG. COMPRA","Em processamento",'Banco de Dados'!#REF!="AG. RASTREIO","Em processamento",'Banco de Dados'!$AE1601&lt;&gt;"-","Faturado",'Banco de Dados'!$AD1601&lt;&gt;"-","Aguardando Pix",'Banco de Dados'!$AC1601&lt;&gt;"-","Pendente"),"Aguardando Liberação")</f>
        <v>Aguardando Liberação</v>
      </c>
      <c r="AH1601" s="5" t="str">
        <f>IF('Banco de Dados'!$F1601="-",_xlfn.CONCAT(PROPER(TEXT(AK1601,"aaaa"))," ",PROPER(TEXT(AK1601,"mm"))),_xlfn.CONCAT(PROPER(TEXT(E1601,"aaaa"))," ",PROPER(TEXT(E1601,"mm"))))</f>
        <v>2025 04</v>
      </c>
      <c r="AI1601" s="9" t="str">
        <f ca="1">IF('Banco de Dados'!$AK1601&lt;&gt;"-","REEMBOLSO",IFERROR(_xlfn.XLOOKUP(G1601,Follow[CODRASTREIO],Follow[STATUS]),"-"))</f>
        <v>REEMBOLSO</v>
      </c>
      <c r="AJ1601" s="9" t="str">
        <f ca="1">IF('Banco de Dados'!$AI1601="ENTREGUE",_xlfn.XLOOKUP('Banco de Dados'!$G1601,Follow[CODRASTREIO],Follow[DATAATUALIZAÇÃO]),"-")</f>
        <v>-</v>
      </c>
      <c r="AK1601" s="132">
        <f ca="1"/>
        <v>45817</v>
      </c>
      <c r="AL1601" s="35"/>
      <c r="AM1601" s="109" cm="1">
        <f t="array" aca="1" ref="AM1601" ca="1">IF('Banco de Dados'!$AK1601&lt;&gt;"-",_xlfn.IFS('Banco de Dados'!$A1601="bv",IF('Banco de Dados'!$E1601&lt;45641,ROUND(SUM('Banco de Dados'!$R1601*_xlfn.XLOOKUP('Banco de Dados'!$P1601,Sku!B:B,Sku!#REF!)*20%),2),ROUND(SUM('Banco de Dados'!$R1601*_xlfn.XLOOKUP('Banco de Dados'!$P1601,Sku!B:B,Sku!H:H)*20%),2)),'Banco de Dados'!$A1601="GO",ROUND(SUM('Banco de Dados'!$R1601*_xlfn.XLOOKUP('Banco de Dados'!$P1601,Sku!C:C,Sku!H:H)*20%),2),'Banco de Dados'!$A1601="MEI",ROUND(SUM('Banco de Dados'!$R1601*_xlfn.XLOOKUP('Banco de Dados'!$P1601,Sku!D:D,Sku!H:H)*20%),2)),0)</f>
        <v>1.4</v>
      </c>
      <c r="AN1601" s="109" t="e">
        <f ca="1">IF('Banco de Dados'!$AK1601&lt;&gt;"-",IF('Banco de Dados'!$F1601&lt;&gt;"-",_xlfn.XLOOKUP(IFERROR(IFERROR(IFERROR(VALUE(SUBSTITUTE(MID(_xlfn.TEXTAFTER('Banco de Dados'!$F1601,"Data do Pedido:
",1),1,10),"-","/")),VALUE(SUBSTITUTE(MID(_xlfn.TEXTAFTER('Banco de Dados'!$F1601,"Order date:
",1),1,10),"-","/"))),VALUE(SUBSTITUTE(MID(_xlfn.TEXTAFTER('Banco de Dados'!$F1601,"Fecha de pedido:
",1),1,10),"-","/"))),"-"),SMS!A:A,SMS!K:K),0),0)</f>
        <v>#N/A</v>
      </c>
      <c r="AO1601" s="109">
        <f ca="1">IF('Banco de Dados'!$AK1601&lt;&gt;"-",IF('Banco de Dados'!$F1601&lt;&gt;"-",IFERROR(_xlfn.XLOOKUP(_xlfn.CONCAT('Banco de Dados'!$A1601,IFERROR(IFERROR(VALUE(SUBSTITUTE(MID(_xlfn.TEXTAFTER('Banco de Dados'!$F1601,"Data do Pedido:
",1),1,10),"-","/")),VALUE(SUBSTITUTE(MID(_xlfn.TEXTAFTER('Banco de Dados'!$F1601,"Order date:
",1),1,10),"-","/"))),0)),ProxyDD[Chave],ProxyDD[Valor por pedido]),PROXY!$P$2),0),0)</f>
        <v>0.39877104377104378</v>
      </c>
      <c r="AP1601" s="28">
        <f ca="1">IF('Banco de Dados'!$AK1601&lt;&gt;"-",IF('Banco de Dados'!$AL1601="NÃO",IFERROR(VALUE(SUBSTITUTE(_xlfn.TEXTAFTER('Banco de Dados'!$F1601,"BRL ",1),".",",")),0),0),0)</f>
        <v>0</v>
      </c>
      <c r="AQ1601" s="28" t="e">
        <f ca="1">SUM('Banco de Dados'!$AM1601:$AP1601)</f>
        <v>#N/A</v>
      </c>
      <c r="AR1601" s="8"/>
      <c r="AS1601" s="8"/>
      <c r="AT1601"/>
      <c r="AY1601" s="8"/>
    </row>
    <row r="1602" spans="1:51">
      <c r="A1602" s="5" t="str">
        <v>MEI</v>
      </c>
      <c r="B1602" s="5" t="str">
        <f ca="1"/>
        <v>MEI45779</v>
      </c>
      <c r="C1602" s="8" t="str">
        <v>Pedido 1589</v>
      </c>
      <c r="D1602" s="187">
        <v>45773</v>
      </c>
      <c r="E1602" s="9">
        <v>45779</v>
      </c>
      <c r="F1602" s="8" t="str">
        <v>PedidoF1519</v>
      </c>
      <c r="G1602" s="2" t="str">
        <v>CódRastreio1517</v>
      </c>
      <c r="H1602" s="5">
        <v>1</v>
      </c>
      <c r="I1602" s="182" t="str">
        <v>CPF 1548</v>
      </c>
      <c r="J1602" s="2" t="str">
        <v>Nome 1548</v>
      </c>
      <c r="K1602" s="8" t="str">
        <v>Tel 1548</v>
      </c>
      <c r="L1602" s="8" t="str">
        <v>Cep 1548</v>
      </c>
      <c r="M1602" s="8" t="str">
        <v>Rua 1548</v>
      </c>
      <c r="N1602" s="8" t="str">
        <v>Comp 1548</v>
      </c>
      <c r="O1602" s="8" t="str">
        <v>Maçarico Culinário Portátil</v>
      </c>
      <c r="P1602" s="8" t="str">
        <v>BG-DHRO-FAEE</v>
      </c>
      <c r="Q1602" s="4">
        <v>45800</v>
      </c>
      <c r="R1602" s="109">
        <v>23.99</v>
      </c>
      <c r="S1602" s="11">
        <f ca="1"/>
        <v>23.99</v>
      </c>
      <c r="T1602" s="28">
        <f ca="1"/>
        <v>2.6389</v>
      </c>
      <c r="U1602" s="11">
        <f ca="1"/>
        <v>21.35</v>
      </c>
      <c r="V1602" s="11">
        <v>19.309999999999999</v>
      </c>
      <c r="W1602" s="11">
        <f ca="1"/>
        <v>0.11</v>
      </c>
      <c r="X1602" s="11">
        <f ca="1"/>
        <v>0.39877104377104378</v>
      </c>
      <c r="Y1602" s="11">
        <v>0</v>
      </c>
      <c r="Z1602" s="11">
        <f ca="1"/>
        <v>1.5312289562289578</v>
      </c>
      <c r="AA1602" s="11">
        <f ca="1"/>
        <v>0.76561447811447891</v>
      </c>
      <c r="AB1602" s="4">
        <f ca="1"/>
        <v>45807</v>
      </c>
      <c r="AC1602" s="4">
        <v>45807</v>
      </c>
      <c r="AD1602" s="9">
        <v>45807</v>
      </c>
      <c r="AE1602" s="9">
        <v>45810</v>
      </c>
      <c r="AF1602" s="4" t="str">
        <f t="shared" ca="1" si="110"/>
        <v>2025 05</v>
      </c>
      <c r="AG1602" s="8" t="str" cm="1">
        <f t="array" ref="AG1602">IFERROR(_xlfn.IFS('Banco de Dados'!#REF!="AG. COMPRA","Em processamento",'Banco de Dados'!#REF!="AG. RASTREIO","Em processamento",'Banco de Dados'!$AE1602&lt;&gt;"-","Faturado",'Banco de Dados'!$AD1602&lt;&gt;"-","Aguardando Pix",'Banco de Dados'!$AC1602&lt;&gt;"-","Pendente"),"Aguardando Liberação")</f>
        <v>Aguardando Liberação</v>
      </c>
      <c r="AH1602" s="5" t="str">
        <f>IF('Banco de Dados'!$F1602="-",_xlfn.CONCAT(PROPER(TEXT(AK1602,"aaaa"))," ",PROPER(TEXT(AK1602,"mm"))),_xlfn.CONCAT(PROPER(TEXT(E1602,"aaaa"))," ",PROPER(TEXT(E1602,"mm"))))</f>
        <v>2025 05</v>
      </c>
      <c r="AI1602" s="9" t="str">
        <f ca="1">IF('Banco de Dados'!$AK1602&lt;&gt;"-","REEMBOLSO",IFERROR(_xlfn.XLOOKUP(G1602,Follow[CODRASTREIO],Follow[STATUS]),"-"))</f>
        <v>ENTREGUE</v>
      </c>
      <c r="AJ1602" s="9">
        <f ca="1">IF('Banco de Dados'!$AI1602="ENTREGUE",_xlfn.XLOOKUP('Banco de Dados'!$G1602,Follow[CODRASTREIO],Follow[DATAATUALIZAÇÃO]),"-")</f>
        <v>45787</v>
      </c>
      <c r="AK1602" s="132" t="str">
        <f ca="1"/>
        <v>-</v>
      </c>
      <c r="AL1602" s="35"/>
      <c r="AM1602" s="109" cm="1">
        <f t="array" aca="1" ref="AM1602" ca="1">IF('Banco de Dados'!$AK1602&lt;&gt;"-",_xlfn.IFS('Banco de Dados'!$A1602="bv",IF('Banco de Dados'!$E1602&lt;45641,ROUND(SUM('Banco de Dados'!$R1602*_xlfn.XLOOKUP('Banco de Dados'!$P1602,Sku!B:B,Sku!#REF!)*20%),2),ROUND(SUM('Banco de Dados'!$R1602*_xlfn.XLOOKUP('Banco de Dados'!$P1602,Sku!B:B,Sku!H:H)*20%),2)),'Banco de Dados'!$A1602="GO",ROUND(SUM('Banco de Dados'!$R1602*_xlfn.XLOOKUP('Banco de Dados'!$P1602,Sku!C:C,Sku!H:H)*20%),2),'Banco de Dados'!$A1602="MEI",ROUND(SUM('Banco de Dados'!$R1602*_xlfn.XLOOKUP('Banco de Dados'!$P1602,Sku!D:D,Sku!H:H)*20%),2)),0)</f>
        <v>0</v>
      </c>
      <c r="AN1602" s="109">
        <f ca="1">IF('Banco de Dados'!$AK1602&lt;&gt;"-",IF('Banco de Dados'!$F1602&lt;&gt;"-",_xlfn.XLOOKUP(IFERROR(IFERROR(IFERROR(VALUE(SUBSTITUTE(MID(_xlfn.TEXTAFTER('Banco de Dados'!$F1602,"Data do Pedido:
",1),1,10),"-","/")),VALUE(SUBSTITUTE(MID(_xlfn.TEXTAFTER('Banco de Dados'!$F1602,"Order date:
",1),1,10),"-","/"))),VALUE(SUBSTITUTE(MID(_xlfn.TEXTAFTER('Banco de Dados'!$F1602,"Fecha de pedido:
",1),1,10),"-","/"))),"-"),SMS!A:A,SMS!K:K),0),0)</f>
        <v>0</v>
      </c>
      <c r="AO1602" s="109">
        <f ca="1">IF('Banco de Dados'!$AK1602&lt;&gt;"-",IF('Banco de Dados'!$F1602&lt;&gt;"-",IFERROR(_xlfn.XLOOKUP(_xlfn.CONCAT('Banco de Dados'!$A1602,IFERROR(IFERROR(VALUE(SUBSTITUTE(MID(_xlfn.TEXTAFTER('Banco de Dados'!$F1602,"Data do Pedido:
",1),1,10),"-","/")),VALUE(SUBSTITUTE(MID(_xlfn.TEXTAFTER('Banco de Dados'!$F1602,"Order date:
",1),1,10),"-","/"))),0)),ProxyDD[Chave],ProxyDD[Valor por pedido]),PROXY!$P$2),0),0)</f>
        <v>0</v>
      </c>
      <c r="AP1602" s="28">
        <f ca="1">IF('Banco de Dados'!$AK1602&lt;&gt;"-",IF('Banco de Dados'!$AL1602="NÃO",IFERROR(VALUE(SUBSTITUTE(_xlfn.TEXTAFTER('Banco de Dados'!$F1602,"BRL ",1),".",",")),0),0),0)</f>
        <v>0</v>
      </c>
      <c r="AQ1602" s="28">
        <f ca="1">SUM('Banco de Dados'!$AM1602:$AP1602)</f>
        <v>0</v>
      </c>
      <c r="AR1602" s="8"/>
      <c r="AS1602" s="8"/>
      <c r="AT1602"/>
      <c r="AY1602" s="8"/>
    </row>
    <row r="1603" spans="1:51">
      <c r="A1603" s="5" t="str">
        <v>MEI</v>
      </c>
      <c r="B1603" s="5" t="str">
        <f ca="1"/>
        <v>MEI45775</v>
      </c>
      <c r="C1603" s="8" t="str">
        <v>Pedido 1590</v>
      </c>
      <c r="D1603" s="187">
        <v>45774</v>
      </c>
      <c r="E1603" s="9">
        <v>45775</v>
      </c>
      <c r="F1603" s="8" t="str">
        <v>PedidoF1520</v>
      </c>
      <c r="G1603" s="2" t="str">
        <v>CódRastreio1518</v>
      </c>
      <c r="H1603" s="5">
        <v>1</v>
      </c>
      <c r="I1603" s="182" t="str">
        <v>CPF 1549</v>
      </c>
      <c r="J1603" s="2" t="str">
        <v>Nome 1549</v>
      </c>
      <c r="K1603" s="8" t="str">
        <v>Tel 1549</v>
      </c>
      <c r="L1603" s="8" t="str">
        <v>Cep 1549</v>
      </c>
      <c r="M1603" s="8" t="str">
        <v>Rua 1549</v>
      </c>
      <c r="N1603" s="8" t="str">
        <v>Comp 1549</v>
      </c>
      <c r="O1603" s="8" t="str">
        <v>Ventilador Rosa</v>
      </c>
      <c r="P1603" s="8" t="str">
        <v>WR-82Y0-OV27</v>
      </c>
      <c r="Q1603" s="4">
        <v>45800</v>
      </c>
      <c r="R1603" s="109">
        <v>49.9</v>
      </c>
      <c r="S1603" s="11">
        <f ca="1"/>
        <v>49.9</v>
      </c>
      <c r="T1603" s="28">
        <f ca="1"/>
        <v>5.9879999999999995</v>
      </c>
      <c r="U1603" s="11">
        <f ca="1"/>
        <v>43.91</v>
      </c>
      <c r="V1603" s="11">
        <v>22.48</v>
      </c>
      <c r="W1603" s="11">
        <f ca="1"/>
        <v>0.18</v>
      </c>
      <c r="X1603" s="11">
        <f ca="1"/>
        <v>0.39877104377104378</v>
      </c>
      <c r="Y1603" s="11">
        <v>0</v>
      </c>
      <c r="Z1603" s="11">
        <f ca="1"/>
        <v>20.851228956228951</v>
      </c>
      <c r="AA1603" s="11">
        <f ca="1"/>
        <v>10.425614478114476</v>
      </c>
      <c r="AB1603" s="4">
        <f ca="1"/>
        <v>45807</v>
      </c>
      <c r="AC1603" s="4">
        <v>45807</v>
      </c>
      <c r="AD1603" s="9">
        <v>45807</v>
      </c>
      <c r="AE1603" s="9">
        <v>45810</v>
      </c>
      <c r="AF1603" s="4" t="str">
        <f t="shared" ca="1" si="110"/>
        <v>2025 05</v>
      </c>
      <c r="AG1603" s="8" t="str" cm="1">
        <f t="array" ref="AG1603">IFERROR(_xlfn.IFS('Banco de Dados'!#REF!="AG. COMPRA","Em processamento",'Banco de Dados'!#REF!="AG. RASTREIO","Em processamento",'Banco de Dados'!$AE1603&lt;&gt;"-","Faturado",'Banco de Dados'!$AD1603&lt;&gt;"-","Aguardando Pix",'Banco de Dados'!$AC1603&lt;&gt;"-","Pendente"),"Aguardando Liberação")</f>
        <v>Aguardando Liberação</v>
      </c>
      <c r="AH1603" s="5" t="str">
        <f>IF('Banco de Dados'!$F1603="-",_xlfn.CONCAT(PROPER(TEXT(AK1603,"aaaa"))," ",PROPER(TEXT(AK1603,"mm"))),_xlfn.CONCAT(PROPER(TEXT(E1603,"aaaa"))," ",PROPER(TEXT(E1603,"mm"))))</f>
        <v>2025 04</v>
      </c>
      <c r="AI1603" s="9" t="str">
        <f ca="1">IF('Banco de Dados'!$AK1603&lt;&gt;"-","REEMBOLSO",IFERROR(_xlfn.XLOOKUP(G1603,Follow[CODRASTREIO],Follow[STATUS]),"-"))</f>
        <v>ENTREGUE</v>
      </c>
      <c r="AJ1603" s="9">
        <f ca="1">IF('Banco de Dados'!$AI1603="ENTREGUE",_xlfn.XLOOKUP('Banco de Dados'!$G1603,Follow[CODRASTREIO],Follow[DATAATUALIZAÇÃO]),"-")</f>
        <v>45794</v>
      </c>
      <c r="AK1603" s="132" t="str">
        <f ca="1"/>
        <v>-</v>
      </c>
      <c r="AL1603" s="35"/>
      <c r="AM1603" s="109" cm="1">
        <f t="array" aca="1" ref="AM1603" ca="1">IF('Banco de Dados'!$AK1603&lt;&gt;"-",_xlfn.IFS('Banco de Dados'!$A1603="bv",IF('Banco de Dados'!$E1603&lt;45641,ROUND(SUM('Banco de Dados'!$R1603*_xlfn.XLOOKUP('Banco de Dados'!$P1603,Sku!B:B,Sku!#REF!)*20%),2),ROUND(SUM('Banco de Dados'!$R1603*_xlfn.XLOOKUP('Banco de Dados'!$P1603,Sku!B:B,Sku!H:H)*20%),2)),'Banco de Dados'!$A1603="GO",ROUND(SUM('Banco de Dados'!$R1603*_xlfn.XLOOKUP('Banco de Dados'!$P1603,Sku!C:C,Sku!H:H)*20%),2),'Banco de Dados'!$A1603="MEI",ROUND(SUM('Banco de Dados'!$R1603*_xlfn.XLOOKUP('Banco de Dados'!$P1603,Sku!D:D,Sku!H:H)*20%),2)),0)</f>
        <v>0</v>
      </c>
      <c r="AN1603" s="109">
        <f ca="1">IF('Banco de Dados'!$AK1603&lt;&gt;"-",IF('Banco de Dados'!$F1603&lt;&gt;"-",_xlfn.XLOOKUP(IFERROR(IFERROR(IFERROR(VALUE(SUBSTITUTE(MID(_xlfn.TEXTAFTER('Banco de Dados'!$F1603,"Data do Pedido:
",1),1,10),"-","/")),VALUE(SUBSTITUTE(MID(_xlfn.TEXTAFTER('Banco de Dados'!$F1603,"Order date:
",1),1,10),"-","/"))),VALUE(SUBSTITUTE(MID(_xlfn.TEXTAFTER('Banco de Dados'!$F1603,"Fecha de pedido:
",1),1,10),"-","/"))),"-"),SMS!A:A,SMS!K:K),0),0)</f>
        <v>0</v>
      </c>
      <c r="AO1603" s="109">
        <f ca="1">IF('Banco de Dados'!$AK1603&lt;&gt;"-",IF('Banco de Dados'!$F1603&lt;&gt;"-",IFERROR(_xlfn.XLOOKUP(_xlfn.CONCAT('Banco de Dados'!$A1603,IFERROR(IFERROR(VALUE(SUBSTITUTE(MID(_xlfn.TEXTAFTER('Banco de Dados'!$F1603,"Data do Pedido:
",1),1,10),"-","/")),VALUE(SUBSTITUTE(MID(_xlfn.TEXTAFTER('Banco de Dados'!$F1603,"Order date:
",1),1,10),"-","/"))),0)),ProxyDD[Chave],ProxyDD[Valor por pedido]),PROXY!$P$2),0),0)</f>
        <v>0</v>
      </c>
      <c r="AP1603" s="28">
        <f ca="1">IF('Banco de Dados'!$AK1603&lt;&gt;"-",IF('Banco de Dados'!$AL1603="NÃO",IFERROR(VALUE(SUBSTITUTE(_xlfn.TEXTAFTER('Banco de Dados'!$F1603,"BRL ",1),".",",")),0),0),0)</f>
        <v>0</v>
      </c>
      <c r="AQ1603" s="28">
        <f ca="1">SUM('Banco de Dados'!$AM1603:$AP1603)</f>
        <v>0</v>
      </c>
      <c r="AR1603" s="8"/>
      <c r="AS1603" s="8"/>
      <c r="AT1603"/>
      <c r="AY1603" s="8"/>
    </row>
    <row r="1604" spans="1:51">
      <c r="A1604" s="5" t="str">
        <v>MEI</v>
      </c>
      <c r="B1604" s="5" t="str">
        <f ca="1"/>
        <v>MEI45775</v>
      </c>
      <c r="C1604" s="8" t="str">
        <v>Pedido 1591</v>
      </c>
      <c r="D1604" s="187">
        <v>45774</v>
      </c>
      <c r="E1604" s="9">
        <v>45775</v>
      </c>
      <c r="F1604" s="8" t="str">
        <v>PedidoF1521</v>
      </c>
      <c r="G1604" s="2" t="str">
        <v>CódRastreio1519</v>
      </c>
      <c r="H1604" s="5">
        <v>1</v>
      </c>
      <c r="I1604" s="182" t="str">
        <v>CPF 1550</v>
      </c>
      <c r="J1604" s="2" t="str">
        <v>Nome 1550</v>
      </c>
      <c r="K1604" s="8" t="str">
        <v>Tel 1550</v>
      </c>
      <c r="L1604" s="8" t="str">
        <v>Cep 1550</v>
      </c>
      <c r="M1604" s="8" t="str">
        <v>Rua 1550</v>
      </c>
      <c r="N1604" s="8" t="str">
        <v>Comp 1550</v>
      </c>
      <c r="O1604" s="8" t="str">
        <v>Ventilador Rosa</v>
      </c>
      <c r="P1604" s="8" t="str">
        <v>WR-82Y0-OV27</v>
      </c>
      <c r="Q1604" s="4">
        <v>45800</v>
      </c>
      <c r="R1604" s="109">
        <v>49.9</v>
      </c>
      <c r="S1604" s="11">
        <f ca="1"/>
        <v>0</v>
      </c>
      <c r="T1604" s="28">
        <f ca="1"/>
        <v>0</v>
      </c>
      <c r="U1604" s="11">
        <f ca="1"/>
        <v>0</v>
      </c>
      <c r="V1604" s="11">
        <v>0</v>
      </c>
      <c r="W1604" s="11">
        <f ca="1"/>
        <v>0</v>
      </c>
      <c r="X1604" s="11">
        <f ca="1"/>
        <v>0.39877104377104378</v>
      </c>
      <c r="Y1604" s="11">
        <v>0</v>
      </c>
      <c r="Z1604" s="11">
        <f ca="1"/>
        <v>-0.39877104377104378</v>
      </c>
      <c r="AA1604" s="11">
        <f ca="1"/>
        <v>-0.19938552188552189</v>
      </c>
      <c r="AB1604" s="4">
        <f ca="1"/>
        <v>45807</v>
      </c>
      <c r="AC1604" s="4">
        <v>45807</v>
      </c>
      <c r="AD1604" s="9">
        <v>45807</v>
      </c>
      <c r="AE1604" s="9">
        <v>45810</v>
      </c>
      <c r="AF1604" s="4" t="str">
        <f t="shared" ca="1" si="110"/>
        <v>2025 05</v>
      </c>
      <c r="AG1604" s="8" t="str" cm="1">
        <f t="array" ref="AG1604">IFERROR(_xlfn.IFS('Banco de Dados'!#REF!="AG. COMPRA","Em processamento",'Banco de Dados'!#REF!="AG. RASTREIO","Em processamento",'Banco de Dados'!$AE1604&lt;&gt;"-","Faturado",'Banco de Dados'!$AD1604&lt;&gt;"-","Aguardando Pix",'Banco de Dados'!$AC1604&lt;&gt;"-","Pendente"),"Aguardando Liberação")</f>
        <v>Aguardando Liberação</v>
      </c>
      <c r="AH1604" s="5" t="str">
        <f>IF('Banco de Dados'!$F1604="-",_xlfn.CONCAT(PROPER(TEXT(AK1604,"aaaa"))," ",PROPER(TEXT(AK1604,"mm"))),_xlfn.CONCAT(PROPER(TEXT(E1604,"aaaa"))," ",PROPER(TEXT(E1604,"mm"))))</f>
        <v>2025 04</v>
      </c>
      <c r="AI1604" s="9" t="str">
        <f ca="1">IF('Banco de Dados'!$AK1604&lt;&gt;"-","REEMBOLSO",IFERROR(_xlfn.XLOOKUP(G1604,Follow[CODRASTREIO],Follow[STATUS]),"-"))</f>
        <v>REEMBOLSO</v>
      </c>
      <c r="AJ1604" s="9" t="str">
        <f ca="1">IF('Banco de Dados'!$AI1604="ENTREGUE",_xlfn.XLOOKUP('Banco de Dados'!$G1604,Follow[CODRASTREIO],Follow[DATAATUALIZAÇÃO]),"-")</f>
        <v>-</v>
      </c>
      <c r="AK1604" s="132">
        <f ca="1"/>
        <v>45806</v>
      </c>
      <c r="AL1604" s="35"/>
      <c r="AM1604" s="109" cm="1">
        <f t="array" aca="1" ref="AM1604" ca="1">IF('Banco de Dados'!$AK1604&lt;&gt;"-",_xlfn.IFS('Banco de Dados'!$A1604="bv",IF('Banco de Dados'!$E1604&lt;45641,ROUND(SUM('Banco de Dados'!$R1604*_xlfn.XLOOKUP('Banco de Dados'!$P1604,Sku!B:B,Sku!#REF!)*20%),2),ROUND(SUM('Banco de Dados'!$R1604*_xlfn.XLOOKUP('Banco de Dados'!$P1604,Sku!B:B,Sku!H:H)*20%),2)),'Banco de Dados'!$A1604="GO",ROUND(SUM('Banco de Dados'!$R1604*_xlfn.XLOOKUP('Banco de Dados'!$P1604,Sku!C:C,Sku!H:H)*20%),2),'Banco de Dados'!$A1604="MEI",ROUND(SUM('Banco de Dados'!$R1604*_xlfn.XLOOKUP('Banco de Dados'!$P1604,Sku!D:D,Sku!H:H)*20%),2)),0)</f>
        <v>1.3</v>
      </c>
      <c r="AN1604" s="109" t="e">
        <f ca="1">IF('Banco de Dados'!$AK1604&lt;&gt;"-",IF('Banco de Dados'!$F1604&lt;&gt;"-",_xlfn.XLOOKUP(IFERROR(IFERROR(IFERROR(VALUE(SUBSTITUTE(MID(_xlfn.TEXTAFTER('Banco de Dados'!$F1604,"Data do Pedido:
",1),1,10),"-","/")),VALUE(SUBSTITUTE(MID(_xlfn.TEXTAFTER('Banco de Dados'!$F1604,"Order date:
",1),1,10),"-","/"))),VALUE(SUBSTITUTE(MID(_xlfn.TEXTAFTER('Banco de Dados'!$F1604,"Fecha de pedido:
",1),1,10),"-","/"))),"-"),SMS!A:A,SMS!K:K),0),0)</f>
        <v>#N/A</v>
      </c>
      <c r="AO1604" s="109">
        <f ca="1">IF('Banco de Dados'!$AK1604&lt;&gt;"-",IF('Banco de Dados'!$F1604&lt;&gt;"-",IFERROR(_xlfn.XLOOKUP(_xlfn.CONCAT('Banco de Dados'!$A1604,IFERROR(IFERROR(VALUE(SUBSTITUTE(MID(_xlfn.TEXTAFTER('Banco de Dados'!$F1604,"Data do Pedido:
",1),1,10),"-","/")),VALUE(SUBSTITUTE(MID(_xlfn.TEXTAFTER('Banco de Dados'!$F1604,"Order date:
",1),1,10),"-","/"))),0)),ProxyDD[Chave],ProxyDD[Valor por pedido]),PROXY!$P$2),0),0)</f>
        <v>0.39877104377104378</v>
      </c>
      <c r="AP1604" s="28">
        <f ca="1">IF('Banco de Dados'!$AK1604&lt;&gt;"-",IF('Banco de Dados'!$AL1604="NÃO",IFERROR(VALUE(SUBSTITUTE(_xlfn.TEXTAFTER('Banco de Dados'!$F1604,"BRL ",1),".",",")),0),0),0)</f>
        <v>0</v>
      </c>
      <c r="AQ1604" s="28" t="e">
        <f ca="1">SUM('Banco de Dados'!$AM1604:$AP1604)</f>
        <v>#N/A</v>
      </c>
      <c r="AR1604" s="8"/>
      <c r="AS1604" s="8"/>
      <c r="AT1604"/>
      <c r="AY1604" s="8"/>
    </row>
    <row r="1605" spans="1:51">
      <c r="A1605" s="5" t="str">
        <v>MEI</v>
      </c>
      <c r="B1605" s="5" t="str">
        <f ca="1"/>
        <v>MEI45775</v>
      </c>
      <c r="C1605" s="8" t="str">
        <v>Pedido 1592</v>
      </c>
      <c r="D1605" s="187">
        <v>45774</v>
      </c>
      <c r="E1605" s="9">
        <v>45775</v>
      </c>
      <c r="F1605" s="8" t="str">
        <v>PedidoF1522</v>
      </c>
      <c r="G1605" s="2" t="str">
        <v>CódRastreio1520</v>
      </c>
      <c r="H1605" s="5">
        <v>1</v>
      </c>
      <c r="I1605" s="182" t="str">
        <v>CPF 1551</v>
      </c>
      <c r="J1605" s="2" t="str">
        <v>Nome 1551</v>
      </c>
      <c r="K1605" s="8" t="str">
        <v>Tel 1551</v>
      </c>
      <c r="L1605" s="8" t="str">
        <v>Cep 1551</v>
      </c>
      <c r="M1605" s="8" t="str">
        <v>Rua 1551</v>
      </c>
      <c r="N1605" s="8" t="str">
        <v>Comp 1551</v>
      </c>
      <c r="O1605" s="8" t="str">
        <v>Luminária Azul de mesa infantil</v>
      </c>
      <c r="P1605" s="8" t="str">
        <v>NO-Z0ZJ-Z61M</v>
      </c>
      <c r="Q1605" s="4">
        <v>45800</v>
      </c>
      <c r="R1605" s="109">
        <v>49.99</v>
      </c>
      <c r="S1605" s="11">
        <f ca="1"/>
        <v>49.99</v>
      </c>
      <c r="T1605" s="28">
        <f ca="1"/>
        <v>5.9988000000000001</v>
      </c>
      <c r="U1605" s="11">
        <f ca="1"/>
        <v>43.99</v>
      </c>
      <c r="V1605" s="11">
        <v>17.78</v>
      </c>
      <c r="W1605" s="11">
        <f ca="1"/>
        <v>0.18</v>
      </c>
      <c r="X1605" s="11">
        <f ca="1"/>
        <v>0.39877104377104378</v>
      </c>
      <c r="Y1605" s="11">
        <v>0</v>
      </c>
      <c r="Z1605" s="11">
        <f ca="1"/>
        <v>25.631228956228956</v>
      </c>
      <c r="AA1605" s="11">
        <f ca="1"/>
        <v>12.815614478114478</v>
      </c>
      <c r="AB1605" s="4">
        <f ca="1"/>
        <v>45807</v>
      </c>
      <c r="AC1605" s="4">
        <v>45807</v>
      </c>
      <c r="AD1605" s="9">
        <v>45807</v>
      </c>
      <c r="AE1605" s="9">
        <v>45810</v>
      </c>
      <c r="AF1605" s="4" t="str">
        <f t="shared" ca="1" si="110"/>
        <v>2025 05</v>
      </c>
      <c r="AG1605" s="8" t="str" cm="1">
        <f t="array" ref="AG1605">IFERROR(_xlfn.IFS('Banco de Dados'!#REF!="AG. COMPRA","Em processamento",'Banco de Dados'!#REF!="AG. RASTREIO","Em processamento",'Banco de Dados'!$AE1605&lt;&gt;"-","Faturado",'Banco de Dados'!$AD1605&lt;&gt;"-","Aguardando Pix",'Banco de Dados'!$AC1605&lt;&gt;"-","Pendente"),"Aguardando Liberação")</f>
        <v>Aguardando Liberação</v>
      </c>
      <c r="AH1605" s="5" t="str">
        <f>IF('Banco de Dados'!$F1605="-",_xlfn.CONCAT(PROPER(TEXT(AK1605,"aaaa"))," ",PROPER(TEXT(AK1605,"mm"))),_xlfn.CONCAT(PROPER(TEXT(E1605,"aaaa"))," ",PROPER(TEXT(E1605,"mm"))))</f>
        <v>2025 04</v>
      </c>
      <c r="AI1605" s="9" t="str">
        <f ca="1">IF('Banco de Dados'!$AK1605&lt;&gt;"-","REEMBOLSO",IFERROR(_xlfn.XLOOKUP(G1605,Follow[CODRASTREIO],Follow[STATUS]),"-"))</f>
        <v>ENTREGUE</v>
      </c>
      <c r="AJ1605" s="9">
        <f ca="1">IF('Banco de Dados'!$AI1605="ENTREGUE",_xlfn.XLOOKUP('Banco de Dados'!$G1605,Follow[CODRASTREIO],Follow[DATAATUALIZAÇÃO]),"-")</f>
        <v>45784</v>
      </c>
      <c r="AK1605" s="132" t="str">
        <f ca="1"/>
        <v>-</v>
      </c>
      <c r="AL1605" s="35"/>
      <c r="AM1605" s="109" cm="1">
        <f t="array" aca="1" ref="AM1605" ca="1">IF('Banco de Dados'!$AK1605&lt;&gt;"-",_xlfn.IFS('Banco de Dados'!$A1605="bv",IF('Banco de Dados'!$E1605&lt;45641,ROUND(SUM('Banco de Dados'!$R1605*_xlfn.XLOOKUP('Banco de Dados'!$P1605,Sku!B:B,Sku!#REF!)*20%),2),ROUND(SUM('Banco de Dados'!$R1605*_xlfn.XLOOKUP('Banco de Dados'!$P1605,Sku!B:B,Sku!H:H)*20%),2)),'Banco de Dados'!$A1605="GO",ROUND(SUM('Banco de Dados'!$R1605*_xlfn.XLOOKUP('Banco de Dados'!$P1605,Sku!C:C,Sku!H:H)*20%),2),'Banco de Dados'!$A1605="MEI",ROUND(SUM('Banco de Dados'!$R1605*_xlfn.XLOOKUP('Banco de Dados'!$P1605,Sku!D:D,Sku!H:H)*20%),2)),0)</f>
        <v>0</v>
      </c>
      <c r="AN1605" s="109">
        <f ca="1">IF('Banco de Dados'!$AK1605&lt;&gt;"-",IF('Banco de Dados'!$F1605&lt;&gt;"-",_xlfn.XLOOKUP(IFERROR(IFERROR(IFERROR(VALUE(SUBSTITUTE(MID(_xlfn.TEXTAFTER('Banco de Dados'!$F1605,"Data do Pedido:
",1),1,10),"-","/")),VALUE(SUBSTITUTE(MID(_xlfn.TEXTAFTER('Banco de Dados'!$F1605,"Order date:
",1),1,10),"-","/"))),VALUE(SUBSTITUTE(MID(_xlfn.TEXTAFTER('Banco de Dados'!$F1605,"Fecha de pedido:
",1),1,10),"-","/"))),"-"),SMS!A:A,SMS!K:K),0),0)</f>
        <v>0</v>
      </c>
      <c r="AO1605" s="109">
        <f ca="1">IF('Banco de Dados'!$AK1605&lt;&gt;"-",IF('Banco de Dados'!$F1605&lt;&gt;"-",IFERROR(_xlfn.XLOOKUP(_xlfn.CONCAT('Banco de Dados'!$A1605,IFERROR(IFERROR(VALUE(SUBSTITUTE(MID(_xlfn.TEXTAFTER('Banco de Dados'!$F1605,"Data do Pedido:
",1),1,10),"-","/")),VALUE(SUBSTITUTE(MID(_xlfn.TEXTAFTER('Banco de Dados'!$F1605,"Order date:
",1),1,10),"-","/"))),0)),ProxyDD[Chave],ProxyDD[Valor por pedido]),PROXY!$P$2),0),0)</f>
        <v>0</v>
      </c>
      <c r="AP1605" s="28">
        <f ca="1">IF('Banco de Dados'!$AK1605&lt;&gt;"-",IF('Banco de Dados'!$AL1605="NÃO",IFERROR(VALUE(SUBSTITUTE(_xlfn.TEXTAFTER('Banco de Dados'!$F1605,"BRL ",1),".",",")),0),0),0)</f>
        <v>0</v>
      </c>
      <c r="AQ1605" s="28">
        <f ca="1">SUM('Banco de Dados'!$AM1605:$AP1605)</f>
        <v>0</v>
      </c>
      <c r="AR1605" s="8"/>
      <c r="AS1605" s="8"/>
      <c r="AT1605"/>
      <c r="AY1605" s="8"/>
    </row>
    <row r="1606" spans="1:51">
      <c r="A1606" s="5" t="str">
        <v>MEI</v>
      </c>
      <c r="B1606" s="5" t="str">
        <f ca="1"/>
        <v>MEI45776</v>
      </c>
      <c r="C1606" s="8" t="str">
        <v>Pedido 1593</v>
      </c>
      <c r="D1606" s="187">
        <v>45774</v>
      </c>
      <c r="E1606" s="9">
        <v>45776</v>
      </c>
      <c r="F1606" s="8" t="str">
        <v>PedidoF1523</v>
      </c>
      <c r="G1606" s="2" t="str">
        <v>CódRastreio1521</v>
      </c>
      <c r="H1606" s="5">
        <v>1</v>
      </c>
      <c r="I1606" s="182" t="str">
        <v>CPF 1552</v>
      </c>
      <c r="J1606" s="2" t="str">
        <v>Nome 1552</v>
      </c>
      <c r="K1606" s="8" t="str">
        <v>Tel 1552</v>
      </c>
      <c r="L1606" s="8" t="str">
        <v>Cep 1552</v>
      </c>
      <c r="M1606" s="8" t="str">
        <v>Rua 1552</v>
      </c>
      <c r="N1606" s="8" t="str">
        <v>Comp 1552</v>
      </c>
      <c r="O1606" s="8" t="str">
        <v>Lampada Led</v>
      </c>
      <c r="P1606" s="8" t="str">
        <v>T1-SWVB-UPOW</v>
      </c>
      <c r="Q1606" s="4">
        <v>45800</v>
      </c>
      <c r="R1606" s="109">
        <v>35.99</v>
      </c>
      <c r="S1606" s="11">
        <f ca="1"/>
        <v>35.99</v>
      </c>
      <c r="T1606" s="28">
        <f ca="1"/>
        <v>4.3188000000000004</v>
      </c>
      <c r="U1606" s="11">
        <f ca="1"/>
        <v>31.67</v>
      </c>
      <c r="V1606" s="11">
        <v>21.22</v>
      </c>
      <c r="W1606" s="11">
        <f ca="1"/>
        <v>0.14000000000000001</v>
      </c>
      <c r="X1606" s="11">
        <f ca="1"/>
        <v>0.39877104377104378</v>
      </c>
      <c r="Y1606" s="11">
        <v>0</v>
      </c>
      <c r="Z1606" s="11">
        <f ca="1"/>
        <v>9.9112289562289568</v>
      </c>
      <c r="AA1606" s="11">
        <f ca="1"/>
        <v>4.9556144781144784</v>
      </c>
      <c r="AB1606" s="4">
        <f ca="1"/>
        <v>45807</v>
      </c>
      <c r="AC1606" s="4">
        <v>45807</v>
      </c>
      <c r="AD1606" s="9">
        <v>45807</v>
      </c>
      <c r="AE1606" s="9">
        <v>45810</v>
      </c>
      <c r="AF1606" s="4" t="str">
        <f t="shared" ca="1" si="110"/>
        <v>2025 05</v>
      </c>
      <c r="AG1606" s="8" t="str" cm="1">
        <f t="array" ref="AG1606">IFERROR(_xlfn.IFS('Banco de Dados'!#REF!="AG. COMPRA","Em processamento",'Banco de Dados'!#REF!="AG. RASTREIO","Em processamento",'Banco de Dados'!$AE1606&lt;&gt;"-","Faturado",'Banco de Dados'!$AD1606&lt;&gt;"-","Aguardando Pix",'Banco de Dados'!$AC1606&lt;&gt;"-","Pendente"),"Aguardando Liberação")</f>
        <v>Aguardando Liberação</v>
      </c>
      <c r="AH1606" s="5" t="str">
        <f>IF('Banco de Dados'!$F1606="-",_xlfn.CONCAT(PROPER(TEXT(AK1606,"aaaa"))," ",PROPER(TEXT(AK1606,"mm"))),_xlfn.CONCAT(PROPER(TEXT(E1606,"aaaa"))," ",PROPER(TEXT(E1606,"mm"))))</f>
        <v>2025 04</v>
      </c>
      <c r="AI1606" s="9" t="str">
        <f ca="1">IF('Banco de Dados'!$AK1606&lt;&gt;"-","REEMBOLSO",IFERROR(_xlfn.XLOOKUP(G1606,Follow[CODRASTREIO],Follow[STATUS]),"-"))</f>
        <v>ENTREGUE</v>
      </c>
      <c r="AJ1606" s="9">
        <f ca="1">IF('Banco de Dados'!$AI1606="ENTREGUE",_xlfn.XLOOKUP('Banco de Dados'!$G1606,Follow[CODRASTREIO],Follow[DATAATUALIZAÇÃO]),"-")</f>
        <v>45792</v>
      </c>
      <c r="AK1606" s="132" t="str">
        <f ca="1"/>
        <v>-</v>
      </c>
      <c r="AL1606" s="35"/>
      <c r="AM1606" s="109" cm="1">
        <f t="array" aca="1" ref="AM1606" ca="1">IF('Banco de Dados'!$AK1606&lt;&gt;"-",_xlfn.IFS('Banco de Dados'!$A1606="bv",IF('Banco de Dados'!$E1606&lt;45641,ROUND(SUM('Banco de Dados'!$R1606*_xlfn.XLOOKUP('Banco de Dados'!$P1606,Sku!B:B,Sku!#REF!)*20%),2),ROUND(SUM('Banco de Dados'!$R1606*_xlfn.XLOOKUP('Banco de Dados'!$P1606,Sku!B:B,Sku!H:H)*20%),2)),'Banco de Dados'!$A1606="GO",ROUND(SUM('Banco de Dados'!$R1606*_xlfn.XLOOKUP('Banco de Dados'!$P1606,Sku!C:C,Sku!H:H)*20%),2),'Banco de Dados'!$A1606="MEI",ROUND(SUM('Banco de Dados'!$R1606*_xlfn.XLOOKUP('Banco de Dados'!$P1606,Sku!D:D,Sku!H:H)*20%),2)),0)</f>
        <v>0</v>
      </c>
      <c r="AN1606" s="109">
        <f ca="1">IF('Banco de Dados'!$AK1606&lt;&gt;"-",IF('Banco de Dados'!$F1606&lt;&gt;"-",_xlfn.XLOOKUP(IFERROR(IFERROR(IFERROR(VALUE(SUBSTITUTE(MID(_xlfn.TEXTAFTER('Banco de Dados'!$F1606,"Data do Pedido:
",1),1,10),"-","/")),VALUE(SUBSTITUTE(MID(_xlfn.TEXTAFTER('Banco de Dados'!$F1606,"Order date:
",1),1,10),"-","/"))),VALUE(SUBSTITUTE(MID(_xlfn.TEXTAFTER('Banco de Dados'!$F1606,"Fecha de pedido:
",1),1,10),"-","/"))),"-"),SMS!A:A,SMS!K:K),0),0)</f>
        <v>0</v>
      </c>
      <c r="AO1606" s="109">
        <f ca="1">IF('Banco de Dados'!$AK1606&lt;&gt;"-",IF('Banco de Dados'!$F1606&lt;&gt;"-",IFERROR(_xlfn.XLOOKUP(_xlfn.CONCAT('Banco de Dados'!$A1606,IFERROR(IFERROR(VALUE(SUBSTITUTE(MID(_xlfn.TEXTAFTER('Banco de Dados'!$F1606,"Data do Pedido:
",1),1,10),"-","/")),VALUE(SUBSTITUTE(MID(_xlfn.TEXTAFTER('Banco de Dados'!$F1606,"Order date:
",1),1,10),"-","/"))),0)),ProxyDD[Chave],ProxyDD[Valor por pedido]),PROXY!$P$2),0),0)</f>
        <v>0</v>
      </c>
      <c r="AP1606" s="28">
        <f ca="1">IF('Banco de Dados'!$AK1606&lt;&gt;"-",IF('Banco de Dados'!$AL1606="NÃO",IFERROR(VALUE(SUBSTITUTE(_xlfn.TEXTAFTER('Banco de Dados'!$F1606,"BRL ",1),".",",")),0),0),0)</f>
        <v>0</v>
      </c>
      <c r="AQ1606" s="28">
        <f ca="1">SUM('Banco de Dados'!$AM1606:$AP1606)</f>
        <v>0</v>
      </c>
      <c r="AR1606" s="8"/>
      <c r="AS1606" s="8"/>
      <c r="AT1606"/>
      <c r="AY1606" s="8"/>
    </row>
    <row r="1607" spans="1:51">
      <c r="A1607" s="5" t="str">
        <v>MEI</v>
      </c>
      <c r="B1607" s="5" t="str">
        <f ca="1"/>
        <v>MEI45779</v>
      </c>
      <c r="C1607" s="8" t="str">
        <v>Pedido 1594</v>
      </c>
      <c r="D1607" s="187">
        <v>45774</v>
      </c>
      <c r="E1607" s="9">
        <v>45779</v>
      </c>
      <c r="F1607" s="8" t="str">
        <v>PedidoF1524</v>
      </c>
      <c r="G1607" s="2" t="str">
        <v>CódRastreio1522</v>
      </c>
      <c r="H1607" s="5">
        <v>1</v>
      </c>
      <c r="I1607" s="182" t="str">
        <v>CPF 1553</v>
      </c>
      <c r="J1607" s="2" t="str">
        <v>Nome 1553</v>
      </c>
      <c r="K1607" s="8" t="str">
        <v>Tel 1553</v>
      </c>
      <c r="L1607" s="8" t="str">
        <v>Cep 1553</v>
      </c>
      <c r="M1607" s="8" t="str">
        <v>Rua 1553</v>
      </c>
      <c r="N1607" s="8" t="str">
        <v>Comp 1553</v>
      </c>
      <c r="O1607" s="8" t="str">
        <v>Maçarico Culinário Portátil</v>
      </c>
      <c r="P1607" s="8" t="str">
        <v>BG-DHRO-FAEE</v>
      </c>
      <c r="Q1607" s="4">
        <v>45794</v>
      </c>
      <c r="R1607" s="109">
        <v>23.99</v>
      </c>
      <c r="S1607" s="11">
        <f ca="1"/>
        <v>0</v>
      </c>
      <c r="T1607" s="28">
        <f ca="1"/>
        <v>0</v>
      </c>
      <c r="U1607" s="11">
        <f ca="1"/>
        <v>0</v>
      </c>
      <c r="V1607" s="11">
        <v>0</v>
      </c>
      <c r="W1607" s="11">
        <f ca="1"/>
        <v>0</v>
      </c>
      <c r="X1607" s="11">
        <f ca="1"/>
        <v>0.39877104377104378</v>
      </c>
      <c r="Y1607" s="11">
        <v>0</v>
      </c>
      <c r="Z1607" s="11">
        <f ca="1"/>
        <v>-0.39877104377104378</v>
      </c>
      <c r="AA1607" s="11">
        <f ca="1"/>
        <v>-0.19938552188552189</v>
      </c>
      <c r="AB1607" s="4">
        <f ca="1"/>
        <v>45801</v>
      </c>
      <c r="AC1607" s="4">
        <v>45801</v>
      </c>
      <c r="AD1607" s="9">
        <v>45807</v>
      </c>
      <c r="AE1607" s="9">
        <v>45810</v>
      </c>
      <c r="AF1607" s="4" t="str">
        <f t="shared" ca="1" si="110"/>
        <v>2025 05</v>
      </c>
      <c r="AG1607" s="8" t="str" cm="1">
        <f t="array" ref="AG1607">IFERROR(_xlfn.IFS('Banco de Dados'!#REF!="AG. COMPRA","Em processamento",'Banco de Dados'!#REF!="AG. RASTREIO","Em processamento",'Banco de Dados'!$AE1607&lt;&gt;"-","Faturado",'Banco de Dados'!$AD1607&lt;&gt;"-","Aguardando Pix",'Banco de Dados'!$AC1607&lt;&gt;"-","Pendente"),"Aguardando Liberação")</f>
        <v>Aguardando Liberação</v>
      </c>
      <c r="AH1607" s="5" t="str">
        <f>IF('Banco de Dados'!$F1607="-",_xlfn.CONCAT(PROPER(TEXT(AK1607,"aaaa"))," ",PROPER(TEXT(AK1607,"mm"))),_xlfn.CONCAT(PROPER(TEXT(E1607,"aaaa"))," ",PROPER(TEXT(E1607,"mm"))))</f>
        <v>2025 05</v>
      </c>
      <c r="AI1607" s="9" t="str">
        <f ca="1">IF('Banco de Dados'!$AK1607&lt;&gt;"-","REEMBOLSO",IFERROR(_xlfn.XLOOKUP(G1607,Follow[CODRASTREIO],Follow[STATUS]),"-"))</f>
        <v>REEMBOLSO</v>
      </c>
      <c r="AJ1607" s="9" t="str">
        <f ca="1">IF('Banco de Dados'!$AI1607="ENTREGUE",_xlfn.XLOOKUP('Banco de Dados'!$G1607,Follow[CODRASTREIO],Follow[DATAATUALIZAÇÃO]),"-")</f>
        <v>-</v>
      </c>
      <c r="AK1607" s="132">
        <f ca="1"/>
        <v>45792</v>
      </c>
      <c r="AL1607" s="35"/>
      <c r="AM1607" s="109" cm="1">
        <f t="array" aca="1" ref="AM1607" ca="1">IF('Banco de Dados'!$AK1607&lt;&gt;"-",_xlfn.IFS('Banco de Dados'!$A1607="bv",IF('Banco de Dados'!$E1607&lt;45641,ROUND(SUM('Banco de Dados'!$R1607*_xlfn.XLOOKUP('Banco de Dados'!$P1607,Sku!B:B,Sku!#REF!)*20%),2),ROUND(SUM('Banco de Dados'!$R1607*_xlfn.XLOOKUP('Banco de Dados'!$P1607,Sku!B:B,Sku!H:H)*20%),2)),'Banco de Dados'!$A1607="GO",ROUND(SUM('Banco de Dados'!$R1607*_xlfn.XLOOKUP('Banco de Dados'!$P1607,Sku!C:C,Sku!H:H)*20%),2),'Banco de Dados'!$A1607="MEI",ROUND(SUM('Banco de Dados'!$R1607*_xlfn.XLOOKUP('Banco de Dados'!$P1607,Sku!D:D,Sku!H:H)*20%),2)),0)</f>
        <v>0.53</v>
      </c>
      <c r="AN1607" s="109" t="e">
        <f ca="1">IF('Banco de Dados'!$AK1607&lt;&gt;"-",IF('Banco de Dados'!$F1607&lt;&gt;"-",_xlfn.XLOOKUP(IFERROR(IFERROR(IFERROR(VALUE(SUBSTITUTE(MID(_xlfn.TEXTAFTER('Banco de Dados'!$F1607,"Data do Pedido:
",1),1,10),"-","/")),VALUE(SUBSTITUTE(MID(_xlfn.TEXTAFTER('Banco de Dados'!$F1607,"Order date:
",1),1,10),"-","/"))),VALUE(SUBSTITUTE(MID(_xlfn.TEXTAFTER('Banco de Dados'!$F1607,"Fecha de pedido:
",1),1,10),"-","/"))),"-"),SMS!A:A,SMS!K:K),0),0)</f>
        <v>#N/A</v>
      </c>
      <c r="AO1607" s="109">
        <f ca="1">IF('Banco de Dados'!$AK1607&lt;&gt;"-",IF('Banco de Dados'!$F1607&lt;&gt;"-",IFERROR(_xlfn.XLOOKUP(_xlfn.CONCAT('Banco de Dados'!$A1607,IFERROR(IFERROR(VALUE(SUBSTITUTE(MID(_xlfn.TEXTAFTER('Banco de Dados'!$F1607,"Data do Pedido:
",1),1,10),"-","/")),VALUE(SUBSTITUTE(MID(_xlfn.TEXTAFTER('Banco de Dados'!$F1607,"Order date:
",1),1,10),"-","/"))),0)),ProxyDD[Chave],ProxyDD[Valor por pedido]),PROXY!$P$2),0),0)</f>
        <v>0.39877104377104378</v>
      </c>
      <c r="AP1607" s="28">
        <f ca="1">IF('Banco de Dados'!$AK1607&lt;&gt;"-",IF('Banco de Dados'!$AL1607="NÃO",IFERROR(VALUE(SUBSTITUTE(_xlfn.TEXTAFTER('Banco de Dados'!$F1607,"BRL ",1),".",",")),0),0),0)</f>
        <v>0</v>
      </c>
      <c r="AQ1607" s="28" t="e">
        <f ca="1">SUM('Banco de Dados'!$AM1607:$AP1607)</f>
        <v>#N/A</v>
      </c>
      <c r="AR1607" s="8"/>
      <c r="AS1607" s="8"/>
      <c r="AT1607"/>
      <c r="AY1607" s="8"/>
    </row>
    <row r="1608" spans="1:51">
      <c r="A1608" s="5" t="str">
        <v>MEI</v>
      </c>
      <c r="B1608" s="5" t="str">
        <f ca="1"/>
        <v>MEI45775</v>
      </c>
      <c r="C1608" s="8" t="str">
        <v>Pedido 1595</v>
      </c>
      <c r="D1608" s="187">
        <v>45774</v>
      </c>
      <c r="E1608" s="9">
        <v>45775</v>
      </c>
      <c r="F1608" s="8" t="str">
        <v>PedidoF1525</v>
      </c>
      <c r="G1608" s="2" t="str">
        <v>CódRastreio1523</v>
      </c>
      <c r="H1608" s="5">
        <v>1</v>
      </c>
      <c r="I1608" s="182" t="str">
        <v>CPF 1554</v>
      </c>
      <c r="J1608" s="2" t="str">
        <v>Nome 1554</v>
      </c>
      <c r="K1608" s="8" t="str">
        <v>Tel 1554</v>
      </c>
      <c r="L1608" s="8" t="str">
        <v>Cep 1554</v>
      </c>
      <c r="M1608" s="8" t="str">
        <v>Rua 1554</v>
      </c>
      <c r="N1608" s="8" t="str">
        <v>Comp 1554</v>
      </c>
      <c r="O1608" s="8" t="str">
        <v>Ventilador Azul</v>
      </c>
      <c r="P1608" s="8" t="str">
        <v>PK-L2Z7-MQRQ</v>
      </c>
      <c r="Q1608" s="4">
        <v>45794</v>
      </c>
      <c r="R1608" s="109">
        <v>49.9</v>
      </c>
      <c r="S1608" s="11">
        <f ca="1"/>
        <v>0</v>
      </c>
      <c r="T1608" s="28">
        <f ca="1"/>
        <v>0</v>
      </c>
      <c r="U1608" s="11">
        <f ca="1"/>
        <v>0</v>
      </c>
      <c r="V1608" s="11">
        <v>0</v>
      </c>
      <c r="W1608" s="11">
        <f ca="1"/>
        <v>0</v>
      </c>
      <c r="X1608" s="11">
        <f ca="1"/>
        <v>0.39877104377104378</v>
      </c>
      <c r="Y1608" s="11">
        <v>0</v>
      </c>
      <c r="Z1608" s="11">
        <f ca="1"/>
        <v>-0.39877104377104378</v>
      </c>
      <c r="AA1608" s="11">
        <f ca="1"/>
        <v>-0.19938552188552189</v>
      </c>
      <c r="AB1608" s="4">
        <f ca="1"/>
        <v>45801</v>
      </c>
      <c r="AC1608" s="4">
        <v>45801</v>
      </c>
      <c r="AD1608" s="9">
        <v>45807</v>
      </c>
      <c r="AE1608" s="9">
        <v>45810</v>
      </c>
      <c r="AF1608" s="4" t="str">
        <f t="shared" ca="1" si="110"/>
        <v>2025 05</v>
      </c>
      <c r="AG1608" s="8" t="str" cm="1">
        <f t="array" ref="AG1608">IFERROR(_xlfn.IFS('Banco de Dados'!#REF!="AG. COMPRA","Em processamento",'Banco de Dados'!#REF!="AG. RASTREIO","Em processamento",'Banco de Dados'!$AE1608&lt;&gt;"-","Faturado",'Banco de Dados'!$AD1608&lt;&gt;"-","Aguardando Pix",'Banco de Dados'!$AC1608&lt;&gt;"-","Pendente"),"Aguardando Liberação")</f>
        <v>Aguardando Liberação</v>
      </c>
      <c r="AH1608" s="5" t="str">
        <f>IF('Banco de Dados'!$F1608="-",_xlfn.CONCAT(PROPER(TEXT(AK1608,"aaaa"))," ",PROPER(TEXT(AK1608,"mm"))),_xlfn.CONCAT(PROPER(TEXT(E1608,"aaaa"))," ",PROPER(TEXT(E1608,"mm"))))</f>
        <v>2025 04</v>
      </c>
      <c r="AI1608" s="9" t="str">
        <f ca="1">IF('Banco de Dados'!$AK1608&lt;&gt;"-","REEMBOLSO",IFERROR(_xlfn.XLOOKUP(G1608,Follow[CODRASTREIO],Follow[STATUS]),"-"))</f>
        <v>REEMBOLSO</v>
      </c>
      <c r="AJ1608" s="9" t="str">
        <f ca="1">IF('Banco de Dados'!$AI1608="ENTREGUE",_xlfn.XLOOKUP('Banco de Dados'!$G1608,Follow[CODRASTREIO],Follow[DATAATUALIZAÇÃO]),"-")</f>
        <v>-</v>
      </c>
      <c r="AK1608" s="132">
        <f ca="1"/>
        <v>45822</v>
      </c>
      <c r="AL1608" s="35"/>
      <c r="AM1608" s="109" cm="1">
        <f t="array" aca="1" ref="AM1608" ca="1">IF('Banco de Dados'!$AK1608&lt;&gt;"-",_xlfn.IFS('Banco de Dados'!$A1608="bv",IF('Banco de Dados'!$E1608&lt;45641,ROUND(SUM('Banco de Dados'!$R1608*_xlfn.XLOOKUP('Banco de Dados'!$P1608,Sku!B:B,Sku!#REF!)*20%),2),ROUND(SUM('Banco de Dados'!$R1608*_xlfn.XLOOKUP('Banco de Dados'!$P1608,Sku!B:B,Sku!H:H)*20%),2)),'Banco de Dados'!$A1608="GO",ROUND(SUM('Banco de Dados'!$R1608*_xlfn.XLOOKUP('Banco de Dados'!$P1608,Sku!C:C,Sku!H:H)*20%),2),'Banco de Dados'!$A1608="MEI",ROUND(SUM('Banco de Dados'!$R1608*_xlfn.XLOOKUP('Banco de Dados'!$P1608,Sku!D:D,Sku!H:H)*20%),2)),0)</f>
        <v>1.3</v>
      </c>
      <c r="AN1608" s="109" t="e">
        <f ca="1">IF('Banco de Dados'!$AK1608&lt;&gt;"-",IF('Banco de Dados'!$F1608&lt;&gt;"-",_xlfn.XLOOKUP(IFERROR(IFERROR(IFERROR(VALUE(SUBSTITUTE(MID(_xlfn.TEXTAFTER('Banco de Dados'!$F1608,"Data do Pedido:
",1),1,10),"-","/")),VALUE(SUBSTITUTE(MID(_xlfn.TEXTAFTER('Banco de Dados'!$F1608,"Order date:
",1),1,10),"-","/"))),VALUE(SUBSTITUTE(MID(_xlfn.TEXTAFTER('Banco de Dados'!$F1608,"Fecha de pedido:
",1),1,10),"-","/"))),"-"),SMS!A:A,SMS!K:K),0),0)</f>
        <v>#N/A</v>
      </c>
      <c r="AO1608" s="109">
        <f ca="1">IF('Banco de Dados'!$AK1608&lt;&gt;"-",IF('Banco de Dados'!$F1608&lt;&gt;"-",IFERROR(_xlfn.XLOOKUP(_xlfn.CONCAT('Banco de Dados'!$A1608,IFERROR(IFERROR(VALUE(SUBSTITUTE(MID(_xlfn.TEXTAFTER('Banco de Dados'!$F1608,"Data do Pedido:
",1),1,10),"-","/")),VALUE(SUBSTITUTE(MID(_xlfn.TEXTAFTER('Banco de Dados'!$F1608,"Order date:
",1),1,10),"-","/"))),0)),ProxyDD[Chave],ProxyDD[Valor por pedido]),PROXY!$P$2),0),0)</f>
        <v>0.39877104377104378</v>
      </c>
      <c r="AP1608" s="28">
        <f ca="1">IF('Banco de Dados'!$AK1608&lt;&gt;"-",IF('Banco de Dados'!$AL1608="NÃO",IFERROR(VALUE(SUBSTITUTE(_xlfn.TEXTAFTER('Banco de Dados'!$F1608,"BRL ",1),".",",")),0),0),0)</f>
        <v>0</v>
      </c>
      <c r="AQ1608" s="28" t="e">
        <f ca="1">SUM('Banco de Dados'!$AM1608:$AP1608)</f>
        <v>#N/A</v>
      </c>
      <c r="AR1608" s="8"/>
      <c r="AS1608" s="8"/>
      <c r="AT1608"/>
      <c r="AY1608" s="8"/>
    </row>
    <row r="1609" spans="1:51">
      <c r="A1609" s="5" t="str">
        <v>MEI</v>
      </c>
      <c r="B1609" s="5" t="str">
        <f ca="1"/>
        <v>MEI45775</v>
      </c>
      <c r="C1609" s="8" t="str">
        <v>Pedido 1596</v>
      </c>
      <c r="D1609" s="187">
        <v>45774</v>
      </c>
      <c r="E1609" s="9">
        <v>45775</v>
      </c>
      <c r="F1609" s="8" t="str">
        <v>PedidoF1526</v>
      </c>
      <c r="G1609" s="2" t="str">
        <v>CódRastreio1524</v>
      </c>
      <c r="H1609" s="5">
        <v>1</v>
      </c>
      <c r="I1609" s="182" t="str">
        <v>CPF 1555</v>
      </c>
      <c r="J1609" s="2" t="str">
        <v>Nome 1555</v>
      </c>
      <c r="K1609" s="8" t="str">
        <v>Tel 1555</v>
      </c>
      <c r="L1609" s="8" t="str">
        <v>Cep 1555</v>
      </c>
      <c r="M1609" s="8" t="str">
        <v>Rua 1555</v>
      </c>
      <c r="N1609" s="8" t="str">
        <v>Comp 1555</v>
      </c>
      <c r="O1609" s="8" t="str">
        <v>Ventilador Rosa</v>
      </c>
      <c r="P1609" s="8" t="str">
        <v>WR-82Y0-OV27</v>
      </c>
      <c r="Q1609" s="4">
        <v>45800</v>
      </c>
      <c r="R1609" s="109">
        <v>49.9</v>
      </c>
      <c r="S1609" s="11">
        <f ca="1"/>
        <v>0</v>
      </c>
      <c r="T1609" s="28">
        <f ca="1"/>
        <v>0</v>
      </c>
      <c r="U1609" s="11">
        <f ca="1"/>
        <v>0</v>
      </c>
      <c r="V1609" s="11">
        <v>0</v>
      </c>
      <c r="W1609" s="11">
        <f ca="1"/>
        <v>0</v>
      </c>
      <c r="X1609" s="11">
        <f ca="1"/>
        <v>0.39877104377104378</v>
      </c>
      <c r="Y1609" s="11">
        <v>0</v>
      </c>
      <c r="Z1609" s="11">
        <f ca="1"/>
        <v>-0.39877104377104378</v>
      </c>
      <c r="AA1609" s="11">
        <f ca="1"/>
        <v>-0.19938552188552189</v>
      </c>
      <c r="AB1609" s="4">
        <f ca="1"/>
        <v>45807</v>
      </c>
      <c r="AC1609" s="4">
        <v>45807</v>
      </c>
      <c r="AD1609" s="9">
        <v>45807</v>
      </c>
      <c r="AE1609" s="9">
        <v>45810</v>
      </c>
      <c r="AF1609" s="4" t="str">
        <f t="shared" ca="1" si="110"/>
        <v>2025 05</v>
      </c>
      <c r="AG1609" s="8" t="str" cm="1">
        <f t="array" ref="AG1609">IFERROR(_xlfn.IFS('Banco de Dados'!#REF!="AG. COMPRA","Em processamento",'Banco de Dados'!#REF!="AG. RASTREIO","Em processamento",'Banco de Dados'!$AE1609&lt;&gt;"-","Faturado",'Banco de Dados'!$AD1609&lt;&gt;"-","Aguardando Pix",'Banco de Dados'!$AC1609&lt;&gt;"-","Pendente"),"Aguardando Liberação")</f>
        <v>Aguardando Liberação</v>
      </c>
      <c r="AH1609" s="5" t="str">
        <f>IF('Banco de Dados'!$F1609="-",_xlfn.CONCAT(PROPER(TEXT(AK1609,"aaaa"))," ",PROPER(TEXT(AK1609,"mm"))),_xlfn.CONCAT(PROPER(TEXT(E1609,"aaaa"))," ",PROPER(TEXT(E1609,"mm"))))</f>
        <v>2025 04</v>
      </c>
      <c r="AI1609" s="9" t="str">
        <f ca="1">IF('Banco de Dados'!$AK1609&lt;&gt;"-","REEMBOLSO",IFERROR(_xlfn.XLOOKUP(G1609,Follow[CODRASTREIO],Follow[STATUS]),"-"))</f>
        <v>REEMBOLSO</v>
      </c>
      <c r="AJ1609" s="9" t="str">
        <f ca="1">IF('Banco de Dados'!$AI1609="ENTREGUE",_xlfn.XLOOKUP('Banco de Dados'!$G1609,Follow[CODRASTREIO],Follow[DATAATUALIZAÇÃO]),"-")</f>
        <v>-</v>
      </c>
      <c r="AK1609" s="132">
        <f ca="1"/>
        <v>45806</v>
      </c>
      <c r="AL1609" s="35"/>
      <c r="AM1609" s="109" cm="1">
        <f t="array" aca="1" ref="AM1609" ca="1">IF('Banco de Dados'!$AK1609&lt;&gt;"-",_xlfn.IFS('Banco de Dados'!$A1609="bv",IF('Banco de Dados'!$E1609&lt;45641,ROUND(SUM('Banco de Dados'!$R1609*_xlfn.XLOOKUP('Banco de Dados'!$P1609,Sku!B:B,Sku!#REF!)*20%),2),ROUND(SUM('Banco de Dados'!$R1609*_xlfn.XLOOKUP('Banco de Dados'!$P1609,Sku!B:B,Sku!H:H)*20%),2)),'Banco de Dados'!$A1609="GO",ROUND(SUM('Banco de Dados'!$R1609*_xlfn.XLOOKUP('Banco de Dados'!$P1609,Sku!C:C,Sku!H:H)*20%),2),'Banco de Dados'!$A1609="MEI",ROUND(SUM('Banco de Dados'!$R1609*_xlfn.XLOOKUP('Banco de Dados'!$P1609,Sku!D:D,Sku!H:H)*20%),2)),0)</f>
        <v>1.3</v>
      </c>
      <c r="AN1609" s="109" t="e">
        <f ca="1">IF('Banco de Dados'!$AK1609&lt;&gt;"-",IF('Banco de Dados'!$F1609&lt;&gt;"-",_xlfn.XLOOKUP(IFERROR(IFERROR(IFERROR(VALUE(SUBSTITUTE(MID(_xlfn.TEXTAFTER('Banco de Dados'!$F1609,"Data do Pedido:
",1),1,10),"-","/")),VALUE(SUBSTITUTE(MID(_xlfn.TEXTAFTER('Banco de Dados'!$F1609,"Order date:
",1),1,10),"-","/"))),VALUE(SUBSTITUTE(MID(_xlfn.TEXTAFTER('Banco de Dados'!$F1609,"Fecha de pedido:
",1),1,10),"-","/"))),"-"),SMS!A:A,SMS!K:K),0),0)</f>
        <v>#N/A</v>
      </c>
      <c r="AO1609" s="109">
        <f ca="1">IF('Banco de Dados'!$AK1609&lt;&gt;"-",IF('Banco de Dados'!$F1609&lt;&gt;"-",IFERROR(_xlfn.XLOOKUP(_xlfn.CONCAT('Banco de Dados'!$A1609,IFERROR(IFERROR(VALUE(SUBSTITUTE(MID(_xlfn.TEXTAFTER('Banco de Dados'!$F1609,"Data do Pedido:
",1),1,10),"-","/")),VALUE(SUBSTITUTE(MID(_xlfn.TEXTAFTER('Banco de Dados'!$F1609,"Order date:
",1),1,10),"-","/"))),0)),ProxyDD[Chave],ProxyDD[Valor por pedido]),PROXY!$P$2),0),0)</f>
        <v>0.39877104377104378</v>
      </c>
      <c r="AP1609" s="28">
        <f ca="1">IF('Banco de Dados'!$AK1609&lt;&gt;"-",IF('Banco de Dados'!$AL1609="NÃO",IFERROR(VALUE(SUBSTITUTE(_xlfn.TEXTAFTER('Banco de Dados'!$F1609,"BRL ",1),".",",")),0),0),0)</f>
        <v>0</v>
      </c>
      <c r="AQ1609" s="28" t="e">
        <f ca="1">SUM('Banco de Dados'!$AM1609:$AP1609)</f>
        <v>#N/A</v>
      </c>
      <c r="AR1609" s="8"/>
      <c r="AS1609" s="8"/>
      <c r="AT1609"/>
      <c r="AY1609" s="8"/>
    </row>
    <row r="1610" spans="1:51">
      <c r="A1610" s="5" t="str">
        <v>MEI</v>
      </c>
      <c r="B1610" s="5" t="str">
        <f ca="1"/>
        <v>MEI45779</v>
      </c>
      <c r="C1610" s="8" t="str">
        <v>Pedido 1597</v>
      </c>
      <c r="D1610" s="187">
        <v>45774</v>
      </c>
      <c r="E1610" s="9">
        <v>45779</v>
      </c>
      <c r="F1610" s="8" t="str">
        <v>PedidoF1527</v>
      </c>
      <c r="G1610" s="2" t="str">
        <v>CódRastreio1525</v>
      </c>
      <c r="H1610" s="5">
        <v>1</v>
      </c>
      <c r="I1610" s="182" t="str">
        <v>CPF 1556</v>
      </c>
      <c r="J1610" s="2" t="str">
        <v>Nome 1556</v>
      </c>
      <c r="K1610" s="8" t="str">
        <v>Tel 1556</v>
      </c>
      <c r="L1610" s="8" t="str">
        <v>Cep 1556</v>
      </c>
      <c r="M1610" s="8" t="str">
        <v>Rua 1556</v>
      </c>
      <c r="N1610" s="8" t="str">
        <v>Comp 1556</v>
      </c>
      <c r="O1610" s="8" t="str">
        <v>Maçarico Culinário Portátil</v>
      </c>
      <c r="P1610" s="8" t="str">
        <v>BG-DHRO-FAEE</v>
      </c>
      <c r="Q1610" s="4">
        <v>45794</v>
      </c>
      <c r="R1610" s="109">
        <v>23.99</v>
      </c>
      <c r="S1610" s="11">
        <f ca="1"/>
        <v>0</v>
      </c>
      <c r="T1610" s="28">
        <f ca="1"/>
        <v>0</v>
      </c>
      <c r="U1610" s="11">
        <f ca="1"/>
        <v>0</v>
      </c>
      <c r="V1610" s="11">
        <v>0</v>
      </c>
      <c r="W1610" s="11">
        <f ca="1"/>
        <v>0</v>
      </c>
      <c r="X1610" s="11">
        <f ca="1"/>
        <v>0.39877104377104378</v>
      </c>
      <c r="Y1610" s="11">
        <v>0</v>
      </c>
      <c r="Z1610" s="11">
        <f ca="1"/>
        <v>-0.39877104377104378</v>
      </c>
      <c r="AA1610" s="11">
        <f ca="1"/>
        <v>-0.19938552188552189</v>
      </c>
      <c r="AB1610" s="4">
        <f ca="1"/>
        <v>45801</v>
      </c>
      <c r="AC1610" s="4">
        <v>45801</v>
      </c>
      <c r="AD1610" s="9">
        <v>45807</v>
      </c>
      <c r="AE1610" s="9">
        <v>45810</v>
      </c>
      <c r="AF1610" s="4" t="str">
        <f t="shared" ca="1" si="110"/>
        <v>2025 05</v>
      </c>
      <c r="AG1610" s="8" t="str" cm="1">
        <f t="array" ref="AG1610">IFERROR(_xlfn.IFS('Banco de Dados'!#REF!="AG. COMPRA","Em processamento",'Banco de Dados'!#REF!="AG. RASTREIO","Em processamento",'Banco de Dados'!$AE1610&lt;&gt;"-","Faturado",'Banco de Dados'!$AD1610&lt;&gt;"-","Aguardando Pix",'Banco de Dados'!$AC1610&lt;&gt;"-","Pendente"),"Aguardando Liberação")</f>
        <v>Aguardando Liberação</v>
      </c>
      <c r="AH1610" s="5" t="str">
        <f>IF('Banco de Dados'!$F1610="-",_xlfn.CONCAT(PROPER(TEXT(AK1610,"aaaa"))," ",PROPER(TEXT(AK1610,"mm"))),_xlfn.CONCAT(PROPER(TEXT(E1610,"aaaa"))," ",PROPER(TEXT(E1610,"mm"))))</f>
        <v>2025 05</v>
      </c>
      <c r="AI1610" s="9" t="str">
        <f ca="1">IF('Banco de Dados'!$AK1610&lt;&gt;"-","REEMBOLSO",IFERROR(_xlfn.XLOOKUP(G1610,Follow[CODRASTREIO],Follow[STATUS]),"-"))</f>
        <v>REEMBOLSO</v>
      </c>
      <c r="AJ1610" s="9" t="str">
        <f ca="1">IF('Banco de Dados'!$AI1610="ENTREGUE",_xlfn.XLOOKUP('Banco de Dados'!$G1610,Follow[CODRASTREIO],Follow[DATAATUALIZAÇÃO]),"-")</f>
        <v>-</v>
      </c>
      <c r="AK1610" s="132">
        <f ca="1"/>
        <v>45793</v>
      </c>
      <c r="AL1610" s="35"/>
      <c r="AM1610" s="109" cm="1">
        <f t="array" aca="1" ref="AM1610" ca="1">IF('Banco de Dados'!$AK1610&lt;&gt;"-",_xlfn.IFS('Banco de Dados'!$A1610="bv",IF('Banco de Dados'!$E1610&lt;45641,ROUND(SUM('Banco de Dados'!$R1610*_xlfn.XLOOKUP('Banco de Dados'!$P1610,Sku!B:B,Sku!#REF!)*20%),2),ROUND(SUM('Banco de Dados'!$R1610*_xlfn.XLOOKUP('Banco de Dados'!$P1610,Sku!B:B,Sku!H:H)*20%),2)),'Banco de Dados'!$A1610="GO",ROUND(SUM('Banco de Dados'!$R1610*_xlfn.XLOOKUP('Banco de Dados'!$P1610,Sku!C:C,Sku!H:H)*20%),2),'Banco de Dados'!$A1610="MEI",ROUND(SUM('Banco de Dados'!$R1610*_xlfn.XLOOKUP('Banco de Dados'!$P1610,Sku!D:D,Sku!H:H)*20%),2)),0)</f>
        <v>0.53</v>
      </c>
      <c r="AN1610" s="109" t="e">
        <f ca="1">IF('Banco de Dados'!$AK1610&lt;&gt;"-",IF('Banco de Dados'!$F1610&lt;&gt;"-",_xlfn.XLOOKUP(IFERROR(IFERROR(IFERROR(VALUE(SUBSTITUTE(MID(_xlfn.TEXTAFTER('Banco de Dados'!$F1610,"Data do Pedido:
",1),1,10),"-","/")),VALUE(SUBSTITUTE(MID(_xlfn.TEXTAFTER('Banco de Dados'!$F1610,"Order date:
",1),1,10),"-","/"))),VALUE(SUBSTITUTE(MID(_xlfn.TEXTAFTER('Banco de Dados'!$F1610,"Fecha de pedido:
",1),1,10),"-","/"))),"-"),SMS!A:A,SMS!K:K),0),0)</f>
        <v>#N/A</v>
      </c>
      <c r="AO1610" s="109">
        <f ca="1">IF('Banco de Dados'!$AK1610&lt;&gt;"-",IF('Banco de Dados'!$F1610&lt;&gt;"-",IFERROR(_xlfn.XLOOKUP(_xlfn.CONCAT('Banco de Dados'!$A1610,IFERROR(IFERROR(VALUE(SUBSTITUTE(MID(_xlfn.TEXTAFTER('Banco de Dados'!$F1610,"Data do Pedido:
",1),1,10),"-","/")),VALUE(SUBSTITUTE(MID(_xlfn.TEXTAFTER('Banco de Dados'!$F1610,"Order date:
",1),1,10),"-","/"))),0)),ProxyDD[Chave],ProxyDD[Valor por pedido]),PROXY!$P$2),0),0)</f>
        <v>0.39877104377104378</v>
      </c>
      <c r="AP1610" s="28">
        <f ca="1">IF('Banco de Dados'!$AK1610&lt;&gt;"-",IF('Banco de Dados'!$AL1610="NÃO",IFERROR(VALUE(SUBSTITUTE(_xlfn.TEXTAFTER('Banco de Dados'!$F1610,"BRL ",1),".",",")),0),0),0)</f>
        <v>0</v>
      </c>
      <c r="AQ1610" s="28" t="e">
        <f ca="1">SUM('Banco de Dados'!$AM1610:$AP1610)</f>
        <v>#N/A</v>
      </c>
      <c r="AR1610" s="8"/>
      <c r="AS1610" s="8"/>
      <c r="AT1610"/>
      <c r="AY1610" s="8"/>
    </row>
    <row r="1611" spans="1:51">
      <c r="A1611" s="5" t="str">
        <v>MEI</v>
      </c>
      <c r="B1611" s="5" t="str">
        <f ca="1"/>
        <v>MEI45775</v>
      </c>
      <c r="C1611" s="8" t="str">
        <v>Pedido 1598</v>
      </c>
      <c r="D1611" s="187">
        <v>45774</v>
      </c>
      <c r="E1611" s="9">
        <v>45775</v>
      </c>
      <c r="F1611" s="8" t="str">
        <v>PedidoF1528</v>
      </c>
      <c r="G1611" s="2" t="str">
        <v>CódRastreio1526</v>
      </c>
      <c r="H1611" s="5">
        <v>1</v>
      </c>
      <c r="I1611" s="182" t="str">
        <v>CPF 1557</v>
      </c>
      <c r="J1611" s="2" t="str">
        <v>Nome 1557</v>
      </c>
      <c r="K1611" s="8" t="str">
        <v>Tel 1557</v>
      </c>
      <c r="L1611" s="8" t="str">
        <v>Cep 1557</v>
      </c>
      <c r="M1611" s="8" t="str">
        <v>Rua 1557</v>
      </c>
      <c r="N1611" s="8" t="str">
        <v>Comp 1557</v>
      </c>
      <c r="O1611" s="8" t="str">
        <v>Ventilador Rosa</v>
      </c>
      <c r="P1611" s="8" t="str">
        <v>WR-82Y0-OV27</v>
      </c>
      <c r="Q1611" s="4">
        <v>45794</v>
      </c>
      <c r="R1611" s="109">
        <v>49.9</v>
      </c>
      <c r="S1611" s="11">
        <f ca="1"/>
        <v>49.9</v>
      </c>
      <c r="T1611" s="28">
        <f ca="1"/>
        <v>5.9879999999999995</v>
      </c>
      <c r="U1611" s="11">
        <f ca="1"/>
        <v>43.91</v>
      </c>
      <c r="V1611" s="11">
        <v>22.48</v>
      </c>
      <c r="W1611" s="11">
        <f ca="1"/>
        <v>0.18</v>
      </c>
      <c r="X1611" s="11">
        <f ca="1"/>
        <v>0.39877104377104378</v>
      </c>
      <c r="Y1611" s="11">
        <v>0</v>
      </c>
      <c r="Z1611" s="11">
        <f ca="1"/>
        <v>20.851228956228951</v>
      </c>
      <c r="AA1611" s="11">
        <f ca="1"/>
        <v>10.425614478114476</v>
      </c>
      <c r="AB1611" s="4">
        <f ca="1"/>
        <v>45801</v>
      </c>
      <c r="AC1611" s="4">
        <v>45801</v>
      </c>
      <c r="AD1611" s="9">
        <v>45807</v>
      </c>
      <c r="AE1611" s="9">
        <v>45810</v>
      </c>
      <c r="AF1611" s="4" t="str">
        <f t="shared" ca="1" si="110"/>
        <v>2025 05</v>
      </c>
      <c r="AG1611" s="8" t="str" cm="1">
        <f t="array" ref="AG1611">IFERROR(_xlfn.IFS('Banco de Dados'!#REF!="AG. COMPRA","Em processamento",'Banco de Dados'!#REF!="AG. RASTREIO","Em processamento",'Banco de Dados'!$AE1611&lt;&gt;"-","Faturado",'Banco de Dados'!$AD1611&lt;&gt;"-","Aguardando Pix",'Banco de Dados'!$AC1611&lt;&gt;"-","Pendente"),"Aguardando Liberação")</f>
        <v>Aguardando Liberação</v>
      </c>
      <c r="AH1611" s="5" t="str">
        <f>IF('Banco de Dados'!$F1611="-",_xlfn.CONCAT(PROPER(TEXT(AK1611,"aaaa"))," ",PROPER(TEXT(AK1611,"mm"))),_xlfn.CONCAT(PROPER(TEXT(E1611,"aaaa"))," ",PROPER(TEXT(E1611,"mm"))))</f>
        <v>2025 04</v>
      </c>
      <c r="AI1611" s="9" t="str">
        <f ca="1">IF('Banco de Dados'!$AK1611&lt;&gt;"-","REEMBOLSO",IFERROR(_xlfn.XLOOKUP(G1611,Follow[CODRASTREIO],Follow[STATUS]),"-"))</f>
        <v>ENTREGUE</v>
      </c>
      <c r="AJ1611" s="9">
        <f ca="1">IF('Banco de Dados'!$AI1611="ENTREGUE",_xlfn.XLOOKUP('Banco de Dados'!$G1611,Follow[CODRASTREIO],Follow[DATAATUALIZAÇÃO]),"-")</f>
        <v>45786</v>
      </c>
      <c r="AK1611" s="132" t="str">
        <f ca="1"/>
        <v>-</v>
      </c>
      <c r="AL1611" s="35"/>
      <c r="AM1611" s="109" cm="1">
        <f t="array" aca="1" ref="AM1611" ca="1">IF('Banco de Dados'!$AK1611&lt;&gt;"-",_xlfn.IFS('Banco de Dados'!$A1611="bv",IF('Banco de Dados'!$E1611&lt;45641,ROUND(SUM('Banco de Dados'!$R1611*_xlfn.XLOOKUP('Banco de Dados'!$P1611,Sku!B:B,Sku!#REF!)*20%),2),ROUND(SUM('Banco de Dados'!$R1611*_xlfn.XLOOKUP('Banco de Dados'!$P1611,Sku!B:B,Sku!H:H)*20%),2)),'Banco de Dados'!$A1611="GO",ROUND(SUM('Banco de Dados'!$R1611*_xlfn.XLOOKUP('Banco de Dados'!$P1611,Sku!C:C,Sku!H:H)*20%),2),'Banco de Dados'!$A1611="MEI",ROUND(SUM('Banco de Dados'!$R1611*_xlfn.XLOOKUP('Banco de Dados'!$P1611,Sku!D:D,Sku!H:H)*20%),2)),0)</f>
        <v>0</v>
      </c>
      <c r="AN1611" s="109">
        <f ca="1">IF('Banco de Dados'!$AK1611&lt;&gt;"-",IF('Banco de Dados'!$F1611&lt;&gt;"-",_xlfn.XLOOKUP(IFERROR(IFERROR(IFERROR(VALUE(SUBSTITUTE(MID(_xlfn.TEXTAFTER('Banco de Dados'!$F1611,"Data do Pedido:
",1),1,10),"-","/")),VALUE(SUBSTITUTE(MID(_xlfn.TEXTAFTER('Banco de Dados'!$F1611,"Order date:
",1),1,10),"-","/"))),VALUE(SUBSTITUTE(MID(_xlfn.TEXTAFTER('Banco de Dados'!$F1611,"Fecha de pedido:
",1),1,10),"-","/"))),"-"),SMS!A:A,SMS!K:K),0),0)</f>
        <v>0</v>
      </c>
      <c r="AO1611" s="109">
        <f ca="1">IF('Banco de Dados'!$AK1611&lt;&gt;"-",IF('Banco de Dados'!$F1611&lt;&gt;"-",IFERROR(_xlfn.XLOOKUP(_xlfn.CONCAT('Banco de Dados'!$A1611,IFERROR(IFERROR(VALUE(SUBSTITUTE(MID(_xlfn.TEXTAFTER('Banco de Dados'!$F1611,"Data do Pedido:
",1),1,10),"-","/")),VALUE(SUBSTITUTE(MID(_xlfn.TEXTAFTER('Banco de Dados'!$F1611,"Order date:
",1),1,10),"-","/"))),0)),ProxyDD[Chave],ProxyDD[Valor por pedido]),PROXY!$P$2),0),0)</f>
        <v>0</v>
      </c>
      <c r="AP1611" s="28">
        <f ca="1">IF('Banco de Dados'!$AK1611&lt;&gt;"-",IF('Banco de Dados'!$AL1611="NÃO",IFERROR(VALUE(SUBSTITUTE(_xlfn.TEXTAFTER('Banco de Dados'!$F1611,"BRL ",1),".",",")),0),0),0)</f>
        <v>0</v>
      </c>
      <c r="AQ1611" s="28">
        <f ca="1">SUM('Banco de Dados'!$AM1611:$AP1611)</f>
        <v>0</v>
      </c>
      <c r="AR1611" s="8"/>
      <c r="AS1611" s="8"/>
      <c r="AT1611"/>
      <c r="AY1611" s="8"/>
    </row>
    <row r="1612" spans="1:51">
      <c r="A1612" s="5" t="str">
        <v>MEI</v>
      </c>
      <c r="B1612" s="5" t="str">
        <f ca="1"/>
        <v>MEI45779</v>
      </c>
      <c r="C1612" s="8" t="str">
        <v>Pedido 1599</v>
      </c>
      <c r="D1612" s="187">
        <v>45774</v>
      </c>
      <c r="E1612" s="9">
        <v>45779</v>
      </c>
      <c r="F1612" s="8" t="str">
        <v>PedidoF1529</v>
      </c>
      <c r="G1612" s="2" t="str">
        <v>CódRastreio1527</v>
      </c>
      <c r="H1612" s="5">
        <v>1</v>
      </c>
      <c r="I1612" s="182" t="str">
        <v>CPF 1558</v>
      </c>
      <c r="J1612" s="2" t="str">
        <v>Nome 1558</v>
      </c>
      <c r="K1612" s="8" t="str">
        <v>Tel 1558</v>
      </c>
      <c r="L1612" s="8" t="str">
        <v>Cep 1558</v>
      </c>
      <c r="M1612" s="8" t="str">
        <v>Rua 1558</v>
      </c>
      <c r="N1612" s="8" t="str">
        <v>Comp 1558</v>
      </c>
      <c r="O1612" s="8" t="str">
        <v>Maçarico Culinário Portátil</v>
      </c>
      <c r="P1612" s="8" t="str">
        <v>BG-DHRO-FAEE</v>
      </c>
      <c r="Q1612" s="4">
        <v>45800</v>
      </c>
      <c r="R1612" s="109">
        <v>23.99</v>
      </c>
      <c r="S1612" s="11">
        <f ca="1"/>
        <v>0</v>
      </c>
      <c r="T1612" s="28">
        <f ca="1"/>
        <v>0</v>
      </c>
      <c r="U1612" s="11">
        <f ca="1"/>
        <v>0</v>
      </c>
      <c r="V1612" s="11">
        <v>0</v>
      </c>
      <c r="W1612" s="11">
        <f ca="1"/>
        <v>0</v>
      </c>
      <c r="X1612" s="11">
        <f ca="1"/>
        <v>0.39877104377104378</v>
      </c>
      <c r="Y1612" s="11">
        <v>0</v>
      </c>
      <c r="Z1612" s="11">
        <f ca="1"/>
        <v>-0.39877104377104378</v>
      </c>
      <c r="AA1612" s="11">
        <f ca="1"/>
        <v>-0.19938552188552189</v>
      </c>
      <c r="AB1612" s="4">
        <f ca="1"/>
        <v>45807</v>
      </c>
      <c r="AC1612" s="4">
        <v>45807</v>
      </c>
      <c r="AD1612" s="9">
        <v>45807</v>
      </c>
      <c r="AE1612" s="9">
        <v>45810</v>
      </c>
      <c r="AF1612" s="4" t="str">
        <f t="shared" ca="1" si="110"/>
        <v>2025 05</v>
      </c>
      <c r="AG1612" s="8" t="str" cm="1">
        <f t="array" ref="AG1612">IFERROR(_xlfn.IFS('Banco de Dados'!#REF!="AG. COMPRA","Em processamento",'Banco de Dados'!#REF!="AG. RASTREIO","Em processamento",'Banco de Dados'!$AE1612&lt;&gt;"-","Faturado",'Banco de Dados'!$AD1612&lt;&gt;"-","Aguardando Pix",'Banco de Dados'!$AC1612&lt;&gt;"-","Pendente"),"Aguardando Liberação")</f>
        <v>Aguardando Liberação</v>
      </c>
      <c r="AH1612" s="5" t="str">
        <f>IF('Banco de Dados'!$F1612="-",_xlfn.CONCAT(PROPER(TEXT(AK1612,"aaaa"))," ",PROPER(TEXT(AK1612,"mm"))),_xlfn.CONCAT(PROPER(TEXT(E1612,"aaaa"))," ",PROPER(TEXT(E1612,"mm"))))</f>
        <v>2025 05</v>
      </c>
      <c r="AI1612" s="9" t="str">
        <f ca="1">IF('Banco de Dados'!$AK1612&lt;&gt;"-","REEMBOLSO",IFERROR(_xlfn.XLOOKUP(G1612,Follow[CODRASTREIO],Follow[STATUS]),"-"))</f>
        <v>REEMBOLSO</v>
      </c>
      <c r="AJ1612" s="9" t="str">
        <f ca="1">IF('Banco de Dados'!$AI1612="ENTREGUE",_xlfn.XLOOKUP('Banco de Dados'!$G1612,Follow[CODRASTREIO],Follow[DATAATUALIZAÇÃO]),"-")</f>
        <v>-</v>
      </c>
      <c r="AK1612" s="132">
        <f ca="1"/>
        <v>45797</v>
      </c>
      <c r="AL1612" s="35"/>
      <c r="AM1612" s="109" cm="1">
        <f t="array" aca="1" ref="AM1612" ca="1">IF('Banco de Dados'!$AK1612&lt;&gt;"-",_xlfn.IFS('Banco de Dados'!$A1612="bv",IF('Banco de Dados'!$E1612&lt;45641,ROUND(SUM('Banco de Dados'!$R1612*_xlfn.XLOOKUP('Banco de Dados'!$P1612,Sku!B:B,Sku!#REF!)*20%),2),ROUND(SUM('Banco de Dados'!$R1612*_xlfn.XLOOKUP('Banco de Dados'!$P1612,Sku!B:B,Sku!H:H)*20%),2)),'Banco de Dados'!$A1612="GO",ROUND(SUM('Banco de Dados'!$R1612*_xlfn.XLOOKUP('Banco de Dados'!$P1612,Sku!C:C,Sku!H:H)*20%),2),'Banco de Dados'!$A1612="MEI",ROUND(SUM('Banco de Dados'!$R1612*_xlfn.XLOOKUP('Banco de Dados'!$P1612,Sku!D:D,Sku!H:H)*20%),2)),0)</f>
        <v>0.53</v>
      </c>
      <c r="AN1612" s="109" t="e">
        <f ca="1">IF('Banco de Dados'!$AK1612&lt;&gt;"-",IF('Banco de Dados'!$F1612&lt;&gt;"-",_xlfn.XLOOKUP(IFERROR(IFERROR(IFERROR(VALUE(SUBSTITUTE(MID(_xlfn.TEXTAFTER('Banco de Dados'!$F1612,"Data do Pedido:
",1),1,10),"-","/")),VALUE(SUBSTITUTE(MID(_xlfn.TEXTAFTER('Banco de Dados'!$F1612,"Order date:
",1),1,10),"-","/"))),VALUE(SUBSTITUTE(MID(_xlfn.TEXTAFTER('Banco de Dados'!$F1612,"Fecha de pedido:
",1),1,10),"-","/"))),"-"),SMS!A:A,SMS!K:K),0),0)</f>
        <v>#N/A</v>
      </c>
      <c r="AO1612" s="109">
        <f ca="1">IF('Banco de Dados'!$AK1612&lt;&gt;"-",IF('Banco de Dados'!$F1612&lt;&gt;"-",IFERROR(_xlfn.XLOOKUP(_xlfn.CONCAT('Banco de Dados'!$A1612,IFERROR(IFERROR(VALUE(SUBSTITUTE(MID(_xlfn.TEXTAFTER('Banco de Dados'!$F1612,"Data do Pedido:
",1),1,10),"-","/")),VALUE(SUBSTITUTE(MID(_xlfn.TEXTAFTER('Banco de Dados'!$F1612,"Order date:
",1),1,10),"-","/"))),0)),ProxyDD[Chave],ProxyDD[Valor por pedido]),PROXY!$P$2),0),0)</f>
        <v>0.39877104377104378</v>
      </c>
      <c r="AP1612" s="28">
        <f ca="1">IF('Banco de Dados'!$AK1612&lt;&gt;"-",IF('Banco de Dados'!$AL1612="NÃO",IFERROR(VALUE(SUBSTITUTE(_xlfn.TEXTAFTER('Banco de Dados'!$F1612,"BRL ",1),".",",")),0),0),0)</f>
        <v>0</v>
      </c>
      <c r="AQ1612" s="28" t="e">
        <f ca="1">SUM('Banco de Dados'!$AM1612:$AP1612)</f>
        <v>#N/A</v>
      </c>
      <c r="AR1612" s="8"/>
      <c r="AS1612" s="8"/>
      <c r="AT1612"/>
      <c r="AY1612" s="8"/>
    </row>
    <row r="1613" spans="1:51">
      <c r="A1613" s="5" t="str">
        <v>MEI</v>
      </c>
      <c r="B1613" s="5" t="str">
        <f ca="1"/>
        <v>MEI45779</v>
      </c>
      <c r="C1613" s="8" t="str">
        <v>Pedido 1600</v>
      </c>
      <c r="D1613" s="187">
        <v>45774</v>
      </c>
      <c r="E1613" s="9">
        <v>45779</v>
      </c>
      <c r="F1613" s="8" t="str">
        <v>PedidoF1530</v>
      </c>
      <c r="G1613" s="2" t="str">
        <v>CódRastreio1528</v>
      </c>
      <c r="H1613" s="5">
        <v>1</v>
      </c>
      <c r="I1613" s="182" t="str">
        <v>CPF 1559</v>
      </c>
      <c r="J1613" s="2" t="str">
        <v>Nome 1559</v>
      </c>
      <c r="K1613" s="8" t="str">
        <v>Tel 1559</v>
      </c>
      <c r="L1613" s="8" t="str">
        <v>Cep 1559</v>
      </c>
      <c r="M1613" s="8" t="str">
        <v>Rua 1559</v>
      </c>
      <c r="N1613" s="8" t="str">
        <v>Comp 1559</v>
      </c>
      <c r="O1613" s="8" t="str">
        <v>Maçarico Culinário Portátil</v>
      </c>
      <c r="P1613" s="8" t="str">
        <v>BG-DHRO-FAEE</v>
      </c>
      <c r="Q1613" s="4">
        <v>45794</v>
      </c>
      <c r="R1613" s="109">
        <v>23.99</v>
      </c>
      <c r="S1613" s="11">
        <f ca="1"/>
        <v>0</v>
      </c>
      <c r="T1613" s="28">
        <f ca="1"/>
        <v>0</v>
      </c>
      <c r="U1613" s="11">
        <f ca="1"/>
        <v>0</v>
      </c>
      <c r="V1613" s="11">
        <v>0</v>
      </c>
      <c r="W1613" s="11">
        <f ca="1"/>
        <v>0</v>
      </c>
      <c r="X1613" s="11">
        <f ca="1"/>
        <v>0.39877104377104378</v>
      </c>
      <c r="Y1613" s="11">
        <v>0</v>
      </c>
      <c r="Z1613" s="11">
        <f ca="1"/>
        <v>-0.39877104377104378</v>
      </c>
      <c r="AA1613" s="11">
        <f ca="1"/>
        <v>-0.19938552188552189</v>
      </c>
      <c r="AB1613" s="4">
        <f ca="1"/>
        <v>45801</v>
      </c>
      <c r="AC1613" s="4">
        <v>45801</v>
      </c>
      <c r="AD1613" s="9">
        <v>45807</v>
      </c>
      <c r="AE1613" s="9">
        <v>45810</v>
      </c>
      <c r="AF1613" s="4" t="str">
        <f t="shared" ca="1" si="110"/>
        <v>2025 05</v>
      </c>
      <c r="AG1613" s="8" t="str" cm="1">
        <f t="array" ref="AG1613">IFERROR(_xlfn.IFS('Banco de Dados'!#REF!="AG. COMPRA","Em processamento",'Banco de Dados'!#REF!="AG. RASTREIO","Em processamento",'Banco de Dados'!$AE1613&lt;&gt;"-","Faturado",'Banco de Dados'!$AD1613&lt;&gt;"-","Aguardando Pix",'Banco de Dados'!$AC1613&lt;&gt;"-","Pendente"),"Aguardando Liberação")</f>
        <v>Aguardando Liberação</v>
      </c>
      <c r="AH1613" s="5" t="str">
        <f>IF('Banco de Dados'!$F1613="-",_xlfn.CONCAT(PROPER(TEXT(AK1613,"aaaa"))," ",PROPER(TEXT(AK1613,"mm"))),_xlfn.CONCAT(PROPER(TEXT(E1613,"aaaa"))," ",PROPER(TEXT(E1613,"mm"))))</f>
        <v>2025 05</v>
      </c>
      <c r="AI1613" s="9" t="str">
        <f ca="1">IF('Banco de Dados'!$AK1613&lt;&gt;"-","REEMBOLSO",IFERROR(_xlfn.XLOOKUP(G1613,Follow[CODRASTREIO],Follow[STATUS]),"-"))</f>
        <v>REEMBOLSO</v>
      </c>
      <c r="AJ1613" s="9" t="str">
        <f ca="1">IF('Banco de Dados'!$AI1613="ENTREGUE",_xlfn.XLOOKUP('Banco de Dados'!$G1613,Follow[CODRASTREIO],Follow[DATAATUALIZAÇÃO]),"-")</f>
        <v>-</v>
      </c>
      <c r="AK1613" s="132">
        <f ca="1"/>
        <v>45794</v>
      </c>
      <c r="AL1613" s="35"/>
      <c r="AM1613" s="109" cm="1">
        <f t="array" aca="1" ref="AM1613" ca="1">IF('Banco de Dados'!$AK1613&lt;&gt;"-",_xlfn.IFS('Banco de Dados'!$A1613="bv",IF('Banco de Dados'!$E1613&lt;45641,ROUND(SUM('Banco de Dados'!$R1613*_xlfn.XLOOKUP('Banco de Dados'!$P1613,Sku!B:B,Sku!#REF!)*20%),2),ROUND(SUM('Banco de Dados'!$R1613*_xlfn.XLOOKUP('Banco de Dados'!$P1613,Sku!B:B,Sku!H:H)*20%),2)),'Banco de Dados'!$A1613="GO",ROUND(SUM('Banco de Dados'!$R1613*_xlfn.XLOOKUP('Banco de Dados'!$P1613,Sku!C:C,Sku!H:H)*20%),2),'Banco de Dados'!$A1613="MEI",ROUND(SUM('Banco de Dados'!$R1613*_xlfn.XLOOKUP('Banco de Dados'!$P1613,Sku!D:D,Sku!H:H)*20%),2)),0)</f>
        <v>0.53</v>
      </c>
      <c r="AN1613" s="109" t="e">
        <f ca="1">IF('Banco de Dados'!$AK1613&lt;&gt;"-",IF('Banco de Dados'!$F1613&lt;&gt;"-",_xlfn.XLOOKUP(IFERROR(IFERROR(IFERROR(VALUE(SUBSTITUTE(MID(_xlfn.TEXTAFTER('Banco de Dados'!$F1613,"Data do Pedido:
",1),1,10),"-","/")),VALUE(SUBSTITUTE(MID(_xlfn.TEXTAFTER('Banco de Dados'!$F1613,"Order date:
",1),1,10),"-","/"))),VALUE(SUBSTITUTE(MID(_xlfn.TEXTAFTER('Banco de Dados'!$F1613,"Fecha de pedido:
",1),1,10),"-","/"))),"-"),SMS!A:A,SMS!K:K),0),0)</f>
        <v>#N/A</v>
      </c>
      <c r="AO1613" s="109">
        <f ca="1">IF('Banco de Dados'!$AK1613&lt;&gt;"-",IF('Banco de Dados'!$F1613&lt;&gt;"-",IFERROR(_xlfn.XLOOKUP(_xlfn.CONCAT('Banco de Dados'!$A1613,IFERROR(IFERROR(VALUE(SUBSTITUTE(MID(_xlfn.TEXTAFTER('Banco de Dados'!$F1613,"Data do Pedido:
",1),1,10),"-","/")),VALUE(SUBSTITUTE(MID(_xlfn.TEXTAFTER('Banco de Dados'!$F1613,"Order date:
",1),1,10),"-","/"))),0)),ProxyDD[Chave],ProxyDD[Valor por pedido]),PROXY!$P$2),0),0)</f>
        <v>0.39877104377104378</v>
      </c>
      <c r="AP1613" s="28">
        <f ca="1">IF('Banco de Dados'!$AK1613&lt;&gt;"-",IF('Banco de Dados'!$AL1613="NÃO",IFERROR(VALUE(SUBSTITUTE(_xlfn.TEXTAFTER('Banco de Dados'!$F1613,"BRL ",1),".",",")),0),0),0)</f>
        <v>0</v>
      </c>
      <c r="AQ1613" s="28" t="e">
        <f ca="1">SUM('Banco de Dados'!$AM1613:$AP1613)</f>
        <v>#N/A</v>
      </c>
      <c r="AR1613" s="8"/>
      <c r="AS1613" s="8"/>
      <c r="AT1613"/>
      <c r="AY1613" s="8"/>
    </row>
    <row r="1614" spans="1:51">
      <c r="A1614" s="5" t="str">
        <v>MEI</v>
      </c>
      <c r="B1614" s="5" t="str">
        <f ca="1"/>
        <v>MEI45775</v>
      </c>
      <c r="C1614" s="8" t="str">
        <v>Pedido 1601</v>
      </c>
      <c r="D1614" s="187">
        <v>45774</v>
      </c>
      <c r="E1614" s="9">
        <v>45775</v>
      </c>
      <c r="F1614" s="8" t="str">
        <v>PedidoF1531</v>
      </c>
      <c r="G1614" s="2" t="str">
        <v>CódRastreio1529</v>
      </c>
      <c r="H1614" s="5">
        <v>1</v>
      </c>
      <c r="I1614" s="182" t="str">
        <v>CPF 1560</v>
      </c>
      <c r="J1614" s="2" t="str">
        <v>Nome 1560</v>
      </c>
      <c r="K1614" s="8" t="str">
        <v>Tel 1560</v>
      </c>
      <c r="L1614" s="8" t="str">
        <v>Cep 1560</v>
      </c>
      <c r="M1614" s="8" t="str">
        <v>Rua 1560</v>
      </c>
      <c r="N1614" s="8" t="str">
        <v>Comp 1560</v>
      </c>
      <c r="O1614" s="8" t="str">
        <v>Ventilador Rosa</v>
      </c>
      <c r="P1614" s="8" t="str">
        <v>WR-82Y0-OV27</v>
      </c>
      <c r="Q1614" s="4">
        <v>45800</v>
      </c>
      <c r="R1614" s="109">
        <v>49.9</v>
      </c>
      <c r="S1614" s="11">
        <f ca="1"/>
        <v>49.9</v>
      </c>
      <c r="T1614" s="28">
        <f ca="1"/>
        <v>5.9879999999999995</v>
      </c>
      <c r="U1614" s="11">
        <f ca="1"/>
        <v>43.91</v>
      </c>
      <c r="V1614" s="11">
        <v>22.48</v>
      </c>
      <c r="W1614" s="11">
        <f ca="1"/>
        <v>0.18</v>
      </c>
      <c r="X1614" s="11">
        <f ca="1"/>
        <v>0.39877104377104378</v>
      </c>
      <c r="Y1614" s="11">
        <v>0</v>
      </c>
      <c r="Z1614" s="11">
        <f ca="1"/>
        <v>20.851228956228951</v>
      </c>
      <c r="AA1614" s="11">
        <f ca="1"/>
        <v>10.425614478114476</v>
      </c>
      <c r="AB1614" s="4">
        <f ca="1"/>
        <v>45807</v>
      </c>
      <c r="AC1614" s="4">
        <v>45807</v>
      </c>
      <c r="AD1614" s="9">
        <v>45807</v>
      </c>
      <c r="AE1614" s="9">
        <v>45810</v>
      </c>
      <c r="AF1614" s="4" t="str">
        <f t="shared" ca="1" si="110"/>
        <v>2025 05</v>
      </c>
      <c r="AG1614" s="8" t="str" cm="1">
        <f t="array" ref="AG1614">IFERROR(_xlfn.IFS('Banco de Dados'!#REF!="AG. COMPRA","Em processamento",'Banco de Dados'!#REF!="AG. RASTREIO","Em processamento",'Banco de Dados'!$AE1614&lt;&gt;"-","Faturado",'Banco de Dados'!$AD1614&lt;&gt;"-","Aguardando Pix",'Banco de Dados'!$AC1614&lt;&gt;"-","Pendente"),"Aguardando Liberação")</f>
        <v>Aguardando Liberação</v>
      </c>
      <c r="AH1614" s="5" t="str">
        <f>IF('Banco de Dados'!$F1614="-",_xlfn.CONCAT(PROPER(TEXT(AK1614,"aaaa"))," ",PROPER(TEXT(AK1614,"mm"))),_xlfn.CONCAT(PROPER(TEXT(E1614,"aaaa"))," ",PROPER(TEXT(E1614,"mm"))))</f>
        <v>2025 04</v>
      </c>
      <c r="AI1614" s="9" t="str">
        <f ca="1">IF('Banco de Dados'!$AK1614&lt;&gt;"-","REEMBOLSO",IFERROR(_xlfn.XLOOKUP(G1614,Follow[CODRASTREIO],Follow[STATUS]),"-"))</f>
        <v>ENTREGUE</v>
      </c>
      <c r="AJ1614" s="9">
        <f ca="1">IF('Banco de Dados'!$AI1614="ENTREGUE",_xlfn.XLOOKUP('Banco de Dados'!$G1614,Follow[CODRASTREIO],Follow[DATAATUALIZAÇÃO]),"-")</f>
        <v>45800</v>
      </c>
      <c r="AK1614" s="132" t="str">
        <f ca="1"/>
        <v>-</v>
      </c>
      <c r="AL1614" s="35"/>
      <c r="AM1614" s="109" cm="1">
        <f t="array" aca="1" ref="AM1614" ca="1">IF('Banco de Dados'!$AK1614&lt;&gt;"-",_xlfn.IFS('Banco de Dados'!$A1614="bv",IF('Banco de Dados'!$E1614&lt;45641,ROUND(SUM('Banco de Dados'!$R1614*_xlfn.XLOOKUP('Banco de Dados'!$P1614,Sku!B:B,Sku!#REF!)*20%),2),ROUND(SUM('Banco de Dados'!$R1614*_xlfn.XLOOKUP('Banco de Dados'!$P1614,Sku!B:B,Sku!H:H)*20%),2)),'Banco de Dados'!$A1614="GO",ROUND(SUM('Banco de Dados'!$R1614*_xlfn.XLOOKUP('Banco de Dados'!$P1614,Sku!C:C,Sku!H:H)*20%),2),'Banco de Dados'!$A1614="MEI",ROUND(SUM('Banco de Dados'!$R1614*_xlfn.XLOOKUP('Banco de Dados'!$P1614,Sku!D:D,Sku!H:H)*20%),2)),0)</f>
        <v>0</v>
      </c>
      <c r="AN1614" s="109">
        <f ca="1">IF('Banco de Dados'!$AK1614&lt;&gt;"-",IF('Banco de Dados'!$F1614&lt;&gt;"-",_xlfn.XLOOKUP(IFERROR(IFERROR(IFERROR(VALUE(SUBSTITUTE(MID(_xlfn.TEXTAFTER('Banco de Dados'!$F1614,"Data do Pedido:
",1),1,10),"-","/")),VALUE(SUBSTITUTE(MID(_xlfn.TEXTAFTER('Banco de Dados'!$F1614,"Order date:
",1),1,10),"-","/"))),VALUE(SUBSTITUTE(MID(_xlfn.TEXTAFTER('Banco de Dados'!$F1614,"Fecha de pedido:
",1),1,10),"-","/"))),"-"),SMS!A:A,SMS!K:K),0),0)</f>
        <v>0</v>
      </c>
      <c r="AO1614" s="109">
        <f ca="1">IF('Banco de Dados'!$AK1614&lt;&gt;"-",IF('Banco de Dados'!$F1614&lt;&gt;"-",IFERROR(_xlfn.XLOOKUP(_xlfn.CONCAT('Banco de Dados'!$A1614,IFERROR(IFERROR(VALUE(SUBSTITUTE(MID(_xlfn.TEXTAFTER('Banco de Dados'!$F1614,"Data do Pedido:
",1),1,10),"-","/")),VALUE(SUBSTITUTE(MID(_xlfn.TEXTAFTER('Banco de Dados'!$F1614,"Order date:
",1),1,10),"-","/"))),0)),ProxyDD[Chave],ProxyDD[Valor por pedido]),PROXY!$P$2),0),0)</f>
        <v>0</v>
      </c>
      <c r="AP1614" s="28">
        <f ca="1">IF('Banco de Dados'!$AK1614&lt;&gt;"-",IF('Banco de Dados'!$AL1614="NÃO",IFERROR(VALUE(SUBSTITUTE(_xlfn.TEXTAFTER('Banco de Dados'!$F1614,"BRL ",1),".",",")),0),0),0)</f>
        <v>0</v>
      </c>
      <c r="AQ1614" s="28">
        <f ca="1">SUM('Banco de Dados'!$AM1614:$AP1614)</f>
        <v>0</v>
      </c>
      <c r="AR1614" s="8"/>
      <c r="AS1614" s="8"/>
      <c r="AT1614"/>
      <c r="AY1614" s="8"/>
    </row>
    <row r="1615" spans="1:51">
      <c r="A1615" s="5" t="str">
        <v>MEI</v>
      </c>
      <c r="B1615" s="5" t="str">
        <f ca="1"/>
        <v>MEI45779</v>
      </c>
      <c r="C1615" s="8" t="str">
        <v>Pedido 1602</v>
      </c>
      <c r="D1615" s="187">
        <v>45775</v>
      </c>
      <c r="E1615" s="9">
        <v>45779</v>
      </c>
      <c r="F1615" s="8" t="str">
        <v>PedidoF1532</v>
      </c>
      <c r="G1615" s="2" t="str">
        <v>CódRastreio1530</v>
      </c>
      <c r="H1615" s="5">
        <v>1</v>
      </c>
      <c r="I1615" s="182" t="str">
        <v>CPF 1561</v>
      </c>
      <c r="J1615" s="2" t="str">
        <v>Nome 1561</v>
      </c>
      <c r="K1615" s="8" t="str">
        <v>Tel 1561</v>
      </c>
      <c r="L1615" s="8" t="str">
        <v>Cep 1561</v>
      </c>
      <c r="M1615" s="8" t="str">
        <v>Rua 1561</v>
      </c>
      <c r="N1615" s="8" t="str">
        <v>Comp 1561</v>
      </c>
      <c r="O1615" s="8" t="str">
        <v>Maçarico Culinário Portátil</v>
      </c>
      <c r="P1615" s="8" t="str">
        <v>BG-DHRO-FAEE</v>
      </c>
      <c r="Q1615" s="4">
        <v>45794</v>
      </c>
      <c r="R1615" s="109">
        <v>23.99</v>
      </c>
      <c r="S1615" s="11">
        <f ca="1"/>
        <v>23.99</v>
      </c>
      <c r="T1615" s="28">
        <f ca="1"/>
        <v>2.6389</v>
      </c>
      <c r="U1615" s="11">
        <f ca="1"/>
        <v>21.35</v>
      </c>
      <c r="V1615" s="11">
        <v>19.309999999999999</v>
      </c>
      <c r="W1615" s="11">
        <f ca="1"/>
        <v>0.11</v>
      </c>
      <c r="X1615" s="11">
        <f ca="1"/>
        <v>0.39877104377104378</v>
      </c>
      <c r="Y1615" s="11">
        <v>0</v>
      </c>
      <c r="Z1615" s="11">
        <f ca="1"/>
        <v>1.5312289562289578</v>
      </c>
      <c r="AA1615" s="11">
        <f ca="1"/>
        <v>0.76561447811447891</v>
      </c>
      <c r="AB1615" s="4">
        <f ca="1"/>
        <v>45801</v>
      </c>
      <c r="AC1615" s="4">
        <v>45801</v>
      </c>
      <c r="AD1615" s="9">
        <v>45807</v>
      </c>
      <c r="AE1615" s="9">
        <v>45810</v>
      </c>
      <c r="AF1615" s="4" t="str">
        <f t="shared" ca="1" si="110"/>
        <v>2025 05</v>
      </c>
      <c r="AG1615" s="8" t="str" cm="1">
        <f t="array" ref="AG1615">IFERROR(_xlfn.IFS('Banco de Dados'!#REF!="AG. COMPRA","Em processamento",'Banco de Dados'!#REF!="AG. RASTREIO","Em processamento",'Banco de Dados'!$AE1615&lt;&gt;"-","Faturado",'Banco de Dados'!$AD1615&lt;&gt;"-","Aguardando Pix",'Banco de Dados'!$AC1615&lt;&gt;"-","Pendente"),"Aguardando Liberação")</f>
        <v>Aguardando Liberação</v>
      </c>
      <c r="AH1615" s="5" t="str">
        <f>IF('Banco de Dados'!$F1615="-",_xlfn.CONCAT(PROPER(TEXT(AK1615,"aaaa"))," ",PROPER(TEXT(AK1615,"mm"))),_xlfn.CONCAT(PROPER(TEXT(E1615,"aaaa"))," ",PROPER(TEXT(E1615,"mm"))))</f>
        <v>2025 05</v>
      </c>
      <c r="AI1615" s="9" t="str">
        <f ca="1">IF('Banco de Dados'!$AK1615&lt;&gt;"-","REEMBOLSO",IFERROR(_xlfn.XLOOKUP(G1615,Follow[CODRASTREIO],Follow[STATUS]),"-"))</f>
        <v>ENTREGUE</v>
      </c>
      <c r="AJ1615" s="9">
        <f ca="1">IF('Banco de Dados'!$AI1615="ENTREGUE",_xlfn.XLOOKUP('Banco de Dados'!$G1615,Follow[CODRASTREIO],Follow[DATAATUALIZAÇÃO]),"-")</f>
        <v>45787</v>
      </c>
      <c r="AK1615" s="132" t="str">
        <f ca="1"/>
        <v>-</v>
      </c>
      <c r="AL1615" s="35"/>
      <c r="AM1615" s="109" cm="1">
        <f t="array" aca="1" ref="AM1615" ca="1">IF('Banco de Dados'!$AK1615&lt;&gt;"-",_xlfn.IFS('Banco de Dados'!$A1615="bv",IF('Banco de Dados'!$E1615&lt;45641,ROUND(SUM('Banco de Dados'!$R1615*_xlfn.XLOOKUP('Banco de Dados'!$P1615,Sku!B:B,Sku!#REF!)*20%),2),ROUND(SUM('Banco de Dados'!$R1615*_xlfn.XLOOKUP('Banco de Dados'!$P1615,Sku!B:B,Sku!H:H)*20%),2)),'Banco de Dados'!$A1615="GO",ROUND(SUM('Banco de Dados'!$R1615*_xlfn.XLOOKUP('Banco de Dados'!$P1615,Sku!C:C,Sku!H:H)*20%),2),'Banco de Dados'!$A1615="MEI",ROUND(SUM('Banco de Dados'!$R1615*_xlfn.XLOOKUP('Banco de Dados'!$P1615,Sku!D:D,Sku!H:H)*20%),2)),0)</f>
        <v>0</v>
      </c>
      <c r="AN1615" s="109">
        <f ca="1">IF('Banco de Dados'!$AK1615&lt;&gt;"-",IF('Banco de Dados'!$F1615&lt;&gt;"-",_xlfn.XLOOKUP(IFERROR(IFERROR(IFERROR(VALUE(SUBSTITUTE(MID(_xlfn.TEXTAFTER('Banco de Dados'!$F1615,"Data do Pedido:
",1),1,10),"-","/")),VALUE(SUBSTITUTE(MID(_xlfn.TEXTAFTER('Banco de Dados'!$F1615,"Order date:
",1),1,10),"-","/"))),VALUE(SUBSTITUTE(MID(_xlfn.TEXTAFTER('Banco de Dados'!$F1615,"Fecha de pedido:
",1),1,10),"-","/"))),"-"),SMS!A:A,SMS!K:K),0),0)</f>
        <v>0</v>
      </c>
      <c r="AO1615" s="109">
        <f ca="1">IF('Banco de Dados'!$AK1615&lt;&gt;"-",IF('Banco de Dados'!$F1615&lt;&gt;"-",IFERROR(_xlfn.XLOOKUP(_xlfn.CONCAT('Banco de Dados'!$A1615,IFERROR(IFERROR(VALUE(SUBSTITUTE(MID(_xlfn.TEXTAFTER('Banco de Dados'!$F1615,"Data do Pedido:
",1),1,10),"-","/")),VALUE(SUBSTITUTE(MID(_xlfn.TEXTAFTER('Banco de Dados'!$F1615,"Order date:
",1),1,10),"-","/"))),0)),ProxyDD[Chave],ProxyDD[Valor por pedido]),PROXY!$P$2),0),0)</f>
        <v>0</v>
      </c>
      <c r="AP1615" s="28">
        <f ca="1">IF('Banco de Dados'!$AK1615&lt;&gt;"-",IF('Banco de Dados'!$AL1615="NÃO",IFERROR(VALUE(SUBSTITUTE(_xlfn.TEXTAFTER('Banco de Dados'!$F1615,"BRL ",1),".",",")),0),0),0)</f>
        <v>0</v>
      </c>
      <c r="AQ1615" s="28">
        <f ca="1">SUM('Banco de Dados'!$AM1615:$AP1615)</f>
        <v>0</v>
      </c>
      <c r="AR1615" s="8"/>
      <c r="AS1615" s="8"/>
      <c r="AT1615"/>
      <c r="AY1615" s="8"/>
    </row>
    <row r="1616" spans="1:51">
      <c r="A1616" s="5" t="str">
        <v>MEI</v>
      </c>
      <c r="B1616" s="5" t="str">
        <f ca="1"/>
        <v>MEI45775</v>
      </c>
      <c r="C1616" s="8" t="str">
        <v>Pedido 1603</v>
      </c>
      <c r="D1616" s="187">
        <v>45775</v>
      </c>
      <c r="E1616" s="9">
        <v>45775</v>
      </c>
      <c r="F1616" s="8" t="str">
        <v>PedidoF1533</v>
      </c>
      <c r="G1616" s="2" t="str">
        <v>CódRastreio1531</v>
      </c>
      <c r="H1616" s="5">
        <v>1</v>
      </c>
      <c r="I1616" s="182" t="str">
        <v>CPF 1562</v>
      </c>
      <c r="J1616" s="2" t="str">
        <v>Nome 1562</v>
      </c>
      <c r="K1616" s="8" t="str">
        <v>Tel 1562</v>
      </c>
      <c r="L1616" s="8" t="str">
        <v>Cep 1562</v>
      </c>
      <c r="M1616" s="8" t="str">
        <v>Rua 1562</v>
      </c>
      <c r="N1616" s="8" t="str">
        <v>Comp 1562</v>
      </c>
      <c r="O1616" s="8" t="str">
        <v>Copo Termico</v>
      </c>
      <c r="P1616" s="8" t="str">
        <v>VI-4RT5-1FFO</v>
      </c>
      <c r="Q1616" s="4">
        <v>45794</v>
      </c>
      <c r="R1616" s="109">
        <v>22.7</v>
      </c>
      <c r="S1616" s="11">
        <f ca="1"/>
        <v>22.7</v>
      </c>
      <c r="T1616" s="28">
        <f ca="1"/>
        <v>2.7239999999999998</v>
      </c>
      <c r="U1616" s="11">
        <f ca="1"/>
        <v>19.98</v>
      </c>
      <c r="V1616" s="11">
        <v>12.91</v>
      </c>
      <c r="W1616" s="11">
        <f ca="1"/>
        <v>0.18</v>
      </c>
      <c r="X1616" s="11">
        <f ca="1"/>
        <v>0.39877104377104378</v>
      </c>
      <c r="Y1616" s="11">
        <v>0</v>
      </c>
      <c r="Z1616" s="11">
        <f ca="1"/>
        <v>6.4912289562289569</v>
      </c>
      <c r="AA1616" s="11">
        <f ca="1"/>
        <v>3.2456144781144785</v>
      </c>
      <c r="AB1616" s="4">
        <f ca="1"/>
        <v>45801</v>
      </c>
      <c r="AC1616" s="4">
        <v>45801</v>
      </c>
      <c r="AD1616" s="9">
        <v>45807</v>
      </c>
      <c r="AE1616" s="9">
        <v>45810</v>
      </c>
      <c r="AF1616" s="4" t="str">
        <f t="shared" ca="1" si="110"/>
        <v>2025 05</v>
      </c>
      <c r="AG1616" s="8" t="str" cm="1">
        <f t="array" ref="AG1616">IFERROR(_xlfn.IFS('Banco de Dados'!#REF!="AG. COMPRA","Em processamento",'Banco de Dados'!#REF!="AG. RASTREIO","Em processamento",'Banco de Dados'!$AE1616&lt;&gt;"-","Faturado",'Banco de Dados'!$AD1616&lt;&gt;"-","Aguardando Pix",'Banco de Dados'!$AC1616&lt;&gt;"-","Pendente"),"Aguardando Liberação")</f>
        <v>Aguardando Liberação</v>
      </c>
      <c r="AH1616" s="5" t="str">
        <f>IF('Banco de Dados'!$F1616="-",_xlfn.CONCAT(PROPER(TEXT(AK1616,"aaaa"))," ",PROPER(TEXT(AK1616,"mm"))),_xlfn.CONCAT(PROPER(TEXT(E1616,"aaaa"))," ",PROPER(TEXT(E1616,"mm"))))</f>
        <v>2025 04</v>
      </c>
      <c r="AI1616" s="9" t="str">
        <f ca="1">IF('Banco de Dados'!$AK1616&lt;&gt;"-","REEMBOLSO",IFERROR(_xlfn.XLOOKUP(G1616,Follow[CODRASTREIO],Follow[STATUS]),"-"))</f>
        <v>ENTREGUE</v>
      </c>
      <c r="AJ1616" s="9">
        <f ca="1">IF('Banco de Dados'!$AI1616="ENTREGUE",_xlfn.XLOOKUP('Banco de Dados'!$G1616,Follow[CODRASTREIO],Follow[DATAATUALIZAÇÃO]),"-")</f>
        <v>45797</v>
      </c>
      <c r="AK1616" s="132" t="str">
        <f ca="1"/>
        <v>-</v>
      </c>
      <c r="AL1616" s="35"/>
      <c r="AM1616" s="109" cm="1">
        <f t="array" aca="1" ref="AM1616" ca="1">IF('Banco de Dados'!$AK1616&lt;&gt;"-",_xlfn.IFS('Banco de Dados'!$A1616="bv",IF('Banco de Dados'!$E1616&lt;45641,ROUND(SUM('Banco de Dados'!$R1616*_xlfn.XLOOKUP('Banco de Dados'!$P1616,Sku!B:B,Sku!#REF!)*20%),2),ROUND(SUM('Banco de Dados'!$R1616*_xlfn.XLOOKUP('Banco de Dados'!$P1616,Sku!B:B,Sku!H:H)*20%),2)),'Banco de Dados'!$A1616="GO",ROUND(SUM('Banco de Dados'!$R1616*_xlfn.XLOOKUP('Banco de Dados'!$P1616,Sku!C:C,Sku!H:H)*20%),2),'Banco de Dados'!$A1616="MEI",ROUND(SUM('Banco de Dados'!$R1616*_xlfn.XLOOKUP('Banco de Dados'!$P1616,Sku!D:D,Sku!H:H)*20%),2)),0)</f>
        <v>0</v>
      </c>
      <c r="AN1616" s="109">
        <f ca="1">IF('Banco de Dados'!$AK1616&lt;&gt;"-",IF('Banco de Dados'!$F1616&lt;&gt;"-",_xlfn.XLOOKUP(IFERROR(IFERROR(IFERROR(VALUE(SUBSTITUTE(MID(_xlfn.TEXTAFTER('Banco de Dados'!$F1616,"Data do Pedido:
",1),1,10),"-","/")),VALUE(SUBSTITUTE(MID(_xlfn.TEXTAFTER('Banco de Dados'!$F1616,"Order date:
",1),1,10),"-","/"))),VALUE(SUBSTITUTE(MID(_xlfn.TEXTAFTER('Banco de Dados'!$F1616,"Fecha de pedido:
",1),1,10),"-","/"))),"-"),SMS!A:A,SMS!K:K),0),0)</f>
        <v>0</v>
      </c>
      <c r="AO1616" s="109">
        <f ca="1">IF('Banco de Dados'!$AK1616&lt;&gt;"-",IF('Banco de Dados'!$F1616&lt;&gt;"-",IFERROR(_xlfn.XLOOKUP(_xlfn.CONCAT('Banco de Dados'!$A1616,IFERROR(IFERROR(VALUE(SUBSTITUTE(MID(_xlfn.TEXTAFTER('Banco de Dados'!$F1616,"Data do Pedido:
",1),1,10),"-","/")),VALUE(SUBSTITUTE(MID(_xlfn.TEXTAFTER('Banco de Dados'!$F1616,"Order date:
",1),1,10),"-","/"))),0)),ProxyDD[Chave],ProxyDD[Valor por pedido]),PROXY!$P$2),0),0)</f>
        <v>0</v>
      </c>
      <c r="AP1616" s="28">
        <f ca="1">IF('Banco de Dados'!$AK1616&lt;&gt;"-",IF('Banco de Dados'!$AL1616="NÃO",IFERROR(VALUE(SUBSTITUTE(_xlfn.TEXTAFTER('Banco de Dados'!$F1616,"BRL ",1),".",",")),0),0),0)</f>
        <v>0</v>
      </c>
      <c r="AQ1616" s="28">
        <f ca="1">SUM('Banco de Dados'!$AM1616:$AP1616)</f>
        <v>0</v>
      </c>
      <c r="AR1616" s="8"/>
      <c r="AS1616" s="8"/>
      <c r="AT1616"/>
      <c r="AY1616" s="8"/>
    </row>
    <row r="1617" spans="1:51">
      <c r="A1617" s="5" t="str">
        <v>MEI</v>
      </c>
      <c r="B1617" s="5" t="str">
        <f ca="1"/>
        <v>MEI45779</v>
      </c>
      <c r="C1617" s="8" t="str">
        <v>Pedido 1604</v>
      </c>
      <c r="D1617" s="187">
        <v>45775</v>
      </c>
      <c r="E1617" s="9">
        <v>45779</v>
      </c>
      <c r="F1617" s="8" t="str">
        <v>PedidoF1534</v>
      </c>
      <c r="G1617" s="2" t="str">
        <v>CódRastreio1532</v>
      </c>
      <c r="H1617" s="5">
        <v>1</v>
      </c>
      <c r="I1617" s="182" t="str">
        <v>CPF 1563</v>
      </c>
      <c r="J1617" s="2" t="str">
        <v>Nome 1563</v>
      </c>
      <c r="K1617" s="8" t="str">
        <v>Tel 1563</v>
      </c>
      <c r="L1617" s="8" t="str">
        <v>Cep 1563</v>
      </c>
      <c r="M1617" s="8" t="str">
        <v>Rua 1563</v>
      </c>
      <c r="N1617" s="8" t="str">
        <v>Comp 1563</v>
      </c>
      <c r="O1617" s="8" t="str">
        <v>Maçarico Culinário Portátil</v>
      </c>
      <c r="P1617" s="8" t="str">
        <v>BG-DHRO-FAEE</v>
      </c>
      <c r="Q1617" s="4">
        <v>45801</v>
      </c>
      <c r="R1617" s="109">
        <v>23.99</v>
      </c>
      <c r="S1617" s="11">
        <f ca="1"/>
        <v>0</v>
      </c>
      <c r="T1617" s="28">
        <f ca="1"/>
        <v>0</v>
      </c>
      <c r="U1617" s="11">
        <f ca="1"/>
        <v>0</v>
      </c>
      <c r="V1617" s="11">
        <v>0</v>
      </c>
      <c r="W1617" s="11">
        <f ca="1"/>
        <v>0</v>
      </c>
      <c r="X1617" s="11">
        <f ca="1"/>
        <v>0.39877104377104378</v>
      </c>
      <c r="Y1617" s="11">
        <v>0</v>
      </c>
      <c r="Z1617" s="11">
        <f ca="1"/>
        <v>-0.39877104377104378</v>
      </c>
      <c r="AA1617" s="11">
        <f ca="1"/>
        <v>-0.19938552188552189</v>
      </c>
      <c r="AB1617" s="4">
        <f ca="1"/>
        <v>45808</v>
      </c>
      <c r="AC1617" s="4">
        <v>45808</v>
      </c>
      <c r="AD1617" s="9">
        <v>45824</v>
      </c>
      <c r="AE1617" s="9">
        <v>45828</v>
      </c>
      <c r="AF1617" s="4" t="str">
        <f t="shared" ca="1" si="110"/>
        <v>2025 05</v>
      </c>
      <c r="AG1617" s="8" t="str" cm="1">
        <f t="array" ref="AG1617">IFERROR(_xlfn.IFS('Banco de Dados'!#REF!="AG. COMPRA","Em processamento",'Banco de Dados'!#REF!="AG. RASTREIO","Em processamento",'Banco de Dados'!$AE1617&lt;&gt;"-","Faturado",'Banco de Dados'!$AD1617&lt;&gt;"-","Aguardando Pix",'Banco de Dados'!$AC1617&lt;&gt;"-","Pendente"),"Aguardando Liberação")</f>
        <v>Aguardando Liberação</v>
      </c>
      <c r="AH1617" s="5" t="str">
        <f>IF('Banco de Dados'!$F1617="-",_xlfn.CONCAT(PROPER(TEXT(AK1617,"aaaa"))," ",PROPER(TEXT(AK1617,"mm"))),_xlfn.CONCAT(PROPER(TEXT(E1617,"aaaa"))," ",PROPER(TEXT(E1617,"mm"))))</f>
        <v>2025 05</v>
      </c>
      <c r="AI1617" s="9" t="str">
        <f ca="1">IF('Banco de Dados'!$AK1617&lt;&gt;"-","REEMBOLSO",IFERROR(_xlfn.XLOOKUP(G1617,Follow[CODRASTREIO],Follow[STATUS]),"-"))</f>
        <v>REEMBOLSO</v>
      </c>
      <c r="AJ1617" s="9" t="str">
        <f ca="1">IF('Banco de Dados'!$AI1617="ENTREGUE",_xlfn.XLOOKUP('Banco de Dados'!$G1617,Follow[CODRASTREIO],Follow[DATAATUALIZAÇÃO]),"-")</f>
        <v>-</v>
      </c>
      <c r="AK1617" s="132">
        <f ca="1"/>
        <v>45797</v>
      </c>
      <c r="AL1617" s="35"/>
      <c r="AM1617" s="109" cm="1">
        <f t="array" aca="1" ref="AM1617" ca="1">IF('Banco de Dados'!$AK1617&lt;&gt;"-",_xlfn.IFS('Banco de Dados'!$A1617="bv",IF('Banco de Dados'!$E1617&lt;45641,ROUND(SUM('Banco de Dados'!$R1617*_xlfn.XLOOKUP('Banco de Dados'!$P1617,Sku!B:B,Sku!#REF!)*20%),2),ROUND(SUM('Banco de Dados'!$R1617*_xlfn.XLOOKUP('Banco de Dados'!$P1617,Sku!B:B,Sku!H:H)*20%),2)),'Banco de Dados'!$A1617="GO",ROUND(SUM('Banco de Dados'!$R1617*_xlfn.XLOOKUP('Banco de Dados'!$P1617,Sku!C:C,Sku!H:H)*20%),2),'Banco de Dados'!$A1617="MEI",ROUND(SUM('Banco de Dados'!$R1617*_xlfn.XLOOKUP('Banco de Dados'!$P1617,Sku!D:D,Sku!H:H)*20%),2)),0)</f>
        <v>0.53</v>
      </c>
      <c r="AN1617" s="109" t="e">
        <f ca="1">IF('Banco de Dados'!$AK1617&lt;&gt;"-",IF('Banco de Dados'!$F1617&lt;&gt;"-",_xlfn.XLOOKUP(IFERROR(IFERROR(IFERROR(VALUE(SUBSTITUTE(MID(_xlfn.TEXTAFTER('Banco de Dados'!$F1617,"Data do Pedido:
",1),1,10),"-","/")),VALUE(SUBSTITUTE(MID(_xlfn.TEXTAFTER('Banco de Dados'!$F1617,"Order date:
",1),1,10),"-","/"))),VALUE(SUBSTITUTE(MID(_xlfn.TEXTAFTER('Banco de Dados'!$F1617,"Fecha de pedido:
",1),1,10),"-","/"))),"-"),SMS!A:A,SMS!K:K),0),0)</f>
        <v>#N/A</v>
      </c>
      <c r="AO1617" s="109">
        <f ca="1">IF('Banco de Dados'!$AK1617&lt;&gt;"-",IF('Banco de Dados'!$F1617&lt;&gt;"-",IFERROR(_xlfn.XLOOKUP(_xlfn.CONCAT('Banco de Dados'!$A1617,IFERROR(IFERROR(VALUE(SUBSTITUTE(MID(_xlfn.TEXTAFTER('Banco de Dados'!$F1617,"Data do Pedido:
",1),1,10),"-","/")),VALUE(SUBSTITUTE(MID(_xlfn.TEXTAFTER('Banco de Dados'!$F1617,"Order date:
",1),1,10),"-","/"))),0)),ProxyDD[Chave],ProxyDD[Valor por pedido]),PROXY!$P$2),0),0)</f>
        <v>0.39877104377104378</v>
      </c>
      <c r="AP1617" s="28">
        <f ca="1">IF('Banco de Dados'!$AK1617&lt;&gt;"-",IF('Banco de Dados'!$AL1617="NÃO",IFERROR(VALUE(SUBSTITUTE(_xlfn.TEXTAFTER('Banco de Dados'!$F1617,"BRL ",1),".",",")),0),0),0)</f>
        <v>0</v>
      </c>
      <c r="AQ1617" s="28" t="e">
        <f ca="1">SUM('Banco de Dados'!$AM1617:$AP1617)</f>
        <v>#N/A</v>
      </c>
      <c r="AR1617" s="8"/>
      <c r="AS1617" s="8"/>
      <c r="AT1617"/>
      <c r="AY1617" s="8"/>
    </row>
    <row r="1618" spans="1:51">
      <c r="A1618" s="5" t="str">
        <v>MEI</v>
      </c>
      <c r="B1618" s="5" t="str">
        <f ca="1"/>
        <v>MEI45775</v>
      </c>
      <c r="C1618" s="8" t="str">
        <v>Pedido 1605</v>
      </c>
      <c r="D1618" s="187">
        <v>45775</v>
      </c>
      <c r="E1618" s="9">
        <v>45775</v>
      </c>
      <c r="F1618" s="8" t="str">
        <v>PedidoF1535</v>
      </c>
      <c r="G1618" s="2" t="str">
        <v>CódRastreio1533</v>
      </c>
      <c r="H1618" s="5">
        <v>1</v>
      </c>
      <c r="I1618" s="182" t="str">
        <v>CPF 1564</v>
      </c>
      <c r="J1618" s="2" t="str">
        <v>Nome 1564</v>
      </c>
      <c r="K1618" s="8" t="str">
        <v>Tel 1564</v>
      </c>
      <c r="L1618" s="8" t="str">
        <v>Cep 1564</v>
      </c>
      <c r="M1618" s="8" t="str">
        <v>Rua 1564</v>
      </c>
      <c r="N1618" s="8" t="str">
        <v>Comp 1564</v>
      </c>
      <c r="O1618" s="8" t="str">
        <v>Ventilador Rosa</v>
      </c>
      <c r="P1618" s="8" t="str">
        <v>WR-82Y0-OV27</v>
      </c>
      <c r="Q1618" s="4">
        <v>45808</v>
      </c>
      <c r="R1618" s="109">
        <v>49.9</v>
      </c>
      <c r="S1618" s="11">
        <f ca="1"/>
        <v>0</v>
      </c>
      <c r="T1618" s="28">
        <f ca="1"/>
        <v>0</v>
      </c>
      <c r="U1618" s="11">
        <f ca="1"/>
        <v>0</v>
      </c>
      <c r="V1618" s="11">
        <v>0</v>
      </c>
      <c r="W1618" s="11">
        <f ca="1"/>
        <v>0</v>
      </c>
      <c r="X1618" s="11">
        <f ca="1"/>
        <v>0.39877104377104378</v>
      </c>
      <c r="Y1618" s="11">
        <v>0</v>
      </c>
      <c r="Z1618" s="11">
        <f ca="1"/>
        <v>-0.39877104377104378</v>
      </c>
      <c r="AA1618" s="11">
        <f ca="1"/>
        <v>-0.19938552188552189</v>
      </c>
      <c r="AB1618" s="4">
        <f ca="1"/>
        <v>45815</v>
      </c>
      <c r="AC1618" s="4">
        <v>45815</v>
      </c>
      <c r="AD1618" s="9">
        <v>45824</v>
      </c>
      <c r="AE1618" s="9">
        <v>45828</v>
      </c>
      <c r="AF1618" s="4" t="str">
        <f t="shared" ca="1" si="110"/>
        <v>2025 06</v>
      </c>
      <c r="AG1618" s="8" t="str" cm="1">
        <f t="array" ref="AG1618">IFERROR(_xlfn.IFS('Banco de Dados'!#REF!="AG. COMPRA","Em processamento",'Banco de Dados'!#REF!="AG. RASTREIO","Em processamento",'Banco de Dados'!$AE1618&lt;&gt;"-","Faturado",'Banco de Dados'!$AD1618&lt;&gt;"-","Aguardando Pix",'Banco de Dados'!$AC1618&lt;&gt;"-","Pendente"),"Aguardando Liberação")</f>
        <v>Aguardando Liberação</v>
      </c>
      <c r="AH1618" s="5" t="str">
        <f>IF('Banco de Dados'!$F1618="-",_xlfn.CONCAT(PROPER(TEXT(AK1618,"aaaa"))," ",PROPER(TEXT(AK1618,"mm"))),_xlfn.CONCAT(PROPER(TEXT(E1618,"aaaa"))," ",PROPER(TEXT(E1618,"mm"))))</f>
        <v>2025 04</v>
      </c>
      <c r="AI1618" s="9" t="str">
        <f ca="1">IF('Banco de Dados'!$AK1618&lt;&gt;"-","REEMBOLSO",IFERROR(_xlfn.XLOOKUP(G1618,Follow[CODRASTREIO],Follow[STATUS]),"-"))</f>
        <v>REEMBOLSO</v>
      </c>
      <c r="AJ1618" s="9" t="str">
        <f ca="1">IF('Banco de Dados'!$AI1618="ENTREGUE",_xlfn.XLOOKUP('Banco de Dados'!$G1618,Follow[CODRASTREIO],Follow[DATAATUALIZAÇÃO]),"-")</f>
        <v>-</v>
      </c>
      <c r="AK1618" s="132">
        <f ca="1"/>
        <v>45817</v>
      </c>
      <c r="AL1618" s="35"/>
      <c r="AM1618" s="109" cm="1">
        <f t="array" aca="1" ref="AM1618" ca="1">IF('Banco de Dados'!$AK1618&lt;&gt;"-",_xlfn.IFS('Banco de Dados'!$A1618="bv",IF('Banco de Dados'!$E1618&lt;45641,ROUND(SUM('Banco de Dados'!$R1618*_xlfn.XLOOKUP('Banco de Dados'!$P1618,Sku!B:B,Sku!#REF!)*20%),2),ROUND(SUM('Banco de Dados'!$R1618*_xlfn.XLOOKUP('Banco de Dados'!$P1618,Sku!B:B,Sku!H:H)*20%),2)),'Banco de Dados'!$A1618="GO",ROUND(SUM('Banco de Dados'!$R1618*_xlfn.XLOOKUP('Banco de Dados'!$P1618,Sku!C:C,Sku!H:H)*20%),2),'Banco de Dados'!$A1618="MEI",ROUND(SUM('Banco de Dados'!$R1618*_xlfn.XLOOKUP('Banco de Dados'!$P1618,Sku!D:D,Sku!H:H)*20%),2)),0)</f>
        <v>1.3</v>
      </c>
      <c r="AN1618" s="109" t="e">
        <f ca="1">IF('Banco de Dados'!$AK1618&lt;&gt;"-",IF('Banco de Dados'!$F1618&lt;&gt;"-",_xlfn.XLOOKUP(IFERROR(IFERROR(IFERROR(VALUE(SUBSTITUTE(MID(_xlfn.TEXTAFTER('Banco de Dados'!$F1618,"Data do Pedido:
",1),1,10),"-","/")),VALUE(SUBSTITUTE(MID(_xlfn.TEXTAFTER('Banco de Dados'!$F1618,"Order date:
",1),1,10),"-","/"))),VALUE(SUBSTITUTE(MID(_xlfn.TEXTAFTER('Banco de Dados'!$F1618,"Fecha de pedido:
",1),1,10),"-","/"))),"-"),SMS!A:A,SMS!K:K),0),0)</f>
        <v>#N/A</v>
      </c>
      <c r="AO1618" s="109">
        <f ca="1">IF('Banco de Dados'!$AK1618&lt;&gt;"-",IF('Banco de Dados'!$F1618&lt;&gt;"-",IFERROR(_xlfn.XLOOKUP(_xlfn.CONCAT('Banco de Dados'!$A1618,IFERROR(IFERROR(VALUE(SUBSTITUTE(MID(_xlfn.TEXTAFTER('Banco de Dados'!$F1618,"Data do Pedido:
",1),1,10),"-","/")),VALUE(SUBSTITUTE(MID(_xlfn.TEXTAFTER('Banco de Dados'!$F1618,"Order date:
",1),1,10),"-","/"))),0)),ProxyDD[Chave],ProxyDD[Valor por pedido]),PROXY!$P$2),0),0)</f>
        <v>0.39877104377104378</v>
      </c>
      <c r="AP1618" s="28">
        <f ca="1">IF('Banco de Dados'!$AK1618&lt;&gt;"-",IF('Banco de Dados'!$AL1618="NÃO",IFERROR(VALUE(SUBSTITUTE(_xlfn.TEXTAFTER('Banco de Dados'!$F1618,"BRL ",1),".",",")),0),0),0)</f>
        <v>0</v>
      </c>
      <c r="AQ1618" s="28" t="e">
        <f ca="1">SUM('Banco de Dados'!$AM1618:$AP1618)</f>
        <v>#N/A</v>
      </c>
      <c r="AR1618" s="8"/>
      <c r="AS1618" s="8"/>
      <c r="AT1618"/>
      <c r="AY1618" s="8"/>
    </row>
    <row r="1619" spans="1:51">
      <c r="A1619" s="5" t="str">
        <v>MEI</v>
      </c>
      <c r="B1619" s="5" t="str">
        <f ca="1"/>
        <v>MEI45775</v>
      </c>
      <c r="C1619" s="8" t="str">
        <v>Pedido 1606</v>
      </c>
      <c r="D1619" s="187">
        <v>45775</v>
      </c>
      <c r="E1619" s="9">
        <v>45775</v>
      </c>
      <c r="F1619" s="8" t="str">
        <v>PedidoF1536</v>
      </c>
      <c r="G1619" s="2" t="str">
        <v>CódRastreio1534</v>
      </c>
      <c r="H1619" s="5">
        <v>1</v>
      </c>
      <c r="I1619" s="182" t="str">
        <v>CPF 1565</v>
      </c>
      <c r="J1619" s="2" t="str">
        <v>Nome 1565</v>
      </c>
      <c r="K1619" s="8" t="str">
        <v>Tel 1565</v>
      </c>
      <c r="L1619" s="8" t="str">
        <v>Cep 1565</v>
      </c>
      <c r="M1619" s="8" t="str">
        <v>Rua 1565</v>
      </c>
      <c r="N1619" s="8" t="str">
        <v>Comp 1565</v>
      </c>
      <c r="O1619" s="8" t="str">
        <v>Ventilador Rosa</v>
      </c>
      <c r="P1619" s="8" t="str">
        <v>WR-82Y0-OV27</v>
      </c>
      <c r="Q1619" s="4">
        <v>45801</v>
      </c>
      <c r="R1619" s="109">
        <v>49.9</v>
      </c>
      <c r="S1619" s="11">
        <f ca="1"/>
        <v>49.9</v>
      </c>
      <c r="T1619" s="28">
        <f ca="1"/>
        <v>5.9879999999999995</v>
      </c>
      <c r="U1619" s="11">
        <f ca="1"/>
        <v>43.91</v>
      </c>
      <c r="V1619" s="11">
        <v>22.48</v>
      </c>
      <c r="W1619" s="11">
        <f ca="1"/>
        <v>0.18</v>
      </c>
      <c r="X1619" s="11">
        <f ca="1"/>
        <v>0.39877104377104378</v>
      </c>
      <c r="Y1619" s="11">
        <v>0</v>
      </c>
      <c r="Z1619" s="11">
        <f ca="1"/>
        <v>20.851228956228951</v>
      </c>
      <c r="AA1619" s="11">
        <f ca="1"/>
        <v>10.425614478114476</v>
      </c>
      <c r="AB1619" s="4">
        <f ca="1"/>
        <v>45808</v>
      </c>
      <c r="AC1619" s="4">
        <v>45808</v>
      </c>
      <c r="AD1619" s="9">
        <v>45824</v>
      </c>
      <c r="AE1619" s="9">
        <v>45828</v>
      </c>
      <c r="AF1619" s="4" t="str">
        <f t="shared" ca="1" si="110"/>
        <v>2025 05</v>
      </c>
      <c r="AG1619" s="8" t="str" cm="1">
        <f t="array" ref="AG1619">IFERROR(_xlfn.IFS('Banco de Dados'!#REF!="AG. COMPRA","Em processamento",'Banco de Dados'!#REF!="AG. RASTREIO","Em processamento",'Banco de Dados'!$AE1619&lt;&gt;"-","Faturado",'Banco de Dados'!$AD1619&lt;&gt;"-","Aguardando Pix",'Banco de Dados'!$AC1619&lt;&gt;"-","Pendente"),"Aguardando Liberação")</f>
        <v>Aguardando Liberação</v>
      </c>
      <c r="AH1619" s="5" t="str">
        <f>IF('Banco de Dados'!$F1619="-",_xlfn.CONCAT(PROPER(TEXT(AK1619,"aaaa"))," ",PROPER(TEXT(AK1619,"mm"))),_xlfn.CONCAT(PROPER(TEXT(E1619,"aaaa"))," ",PROPER(TEXT(E1619,"mm"))))</f>
        <v>2025 04</v>
      </c>
      <c r="AI1619" s="9" t="str">
        <f ca="1">IF('Banco de Dados'!$AK1619&lt;&gt;"-","REEMBOLSO",IFERROR(_xlfn.XLOOKUP(G1619,Follow[CODRASTREIO],Follow[STATUS]),"-"))</f>
        <v>ENTREGUE</v>
      </c>
      <c r="AJ1619" s="9">
        <f ca="1">IF('Banco de Dados'!$AI1619="ENTREGUE",_xlfn.XLOOKUP('Banco de Dados'!$G1619,Follow[CODRASTREIO],Follow[DATAATUALIZAÇÃO]),"-")</f>
        <v>45812</v>
      </c>
      <c r="AK1619" s="132" t="str">
        <f ca="1"/>
        <v>-</v>
      </c>
      <c r="AL1619" s="35"/>
      <c r="AM1619" s="109" cm="1">
        <f t="array" aca="1" ref="AM1619" ca="1">IF('Banco de Dados'!$AK1619&lt;&gt;"-",_xlfn.IFS('Banco de Dados'!$A1619="bv",IF('Banco de Dados'!$E1619&lt;45641,ROUND(SUM('Banco de Dados'!$R1619*_xlfn.XLOOKUP('Banco de Dados'!$P1619,Sku!B:B,Sku!#REF!)*20%),2),ROUND(SUM('Banco de Dados'!$R1619*_xlfn.XLOOKUP('Banco de Dados'!$P1619,Sku!B:B,Sku!H:H)*20%),2)),'Banco de Dados'!$A1619="GO",ROUND(SUM('Banco de Dados'!$R1619*_xlfn.XLOOKUP('Banco de Dados'!$P1619,Sku!C:C,Sku!H:H)*20%),2),'Banco de Dados'!$A1619="MEI",ROUND(SUM('Banco de Dados'!$R1619*_xlfn.XLOOKUP('Banco de Dados'!$P1619,Sku!D:D,Sku!H:H)*20%),2)),0)</f>
        <v>0</v>
      </c>
      <c r="AN1619" s="109">
        <f ca="1">IF('Banco de Dados'!$AK1619&lt;&gt;"-",IF('Banco de Dados'!$F1619&lt;&gt;"-",_xlfn.XLOOKUP(IFERROR(IFERROR(IFERROR(VALUE(SUBSTITUTE(MID(_xlfn.TEXTAFTER('Banco de Dados'!$F1619,"Data do Pedido:
",1),1,10),"-","/")),VALUE(SUBSTITUTE(MID(_xlfn.TEXTAFTER('Banco de Dados'!$F1619,"Order date:
",1),1,10),"-","/"))),VALUE(SUBSTITUTE(MID(_xlfn.TEXTAFTER('Banco de Dados'!$F1619,"Fecha de pedido:
",1),1,10),"-","/"))),"-"),SMS!A:A,SMS!K:K),0),0)</f>
        <v>0</v>
      </c>
      <c r="AO1619" s="109">
        <f ca="1">IF('Banco de Dados'!$AK1619&lt;&gt;"-",IF('Banco de Dados'!$F1619&lt;&gt;"-",IFERROR(_xlfn.XLOOKUP(_xlfn.CONCAT('Banco de Dados'!$A1619,IFERROR(IFERROR(VALUE(SUBSTITUTE(MID(_xlfn.TEXTAFTER('Banco de Dados'!$F1619,"Data do Pedido:
",1),1,10),"-","/")),VALUE(SUBSTITUTE(MID(_xlfn.TEXTAFTER('Banco de Dados'!$F1619,"Order date:
",1),1,10),"-","/"))),0)),ProxyDD[Chave],ProxyDD[Valor por pedido]),PROXY!$P$2),0),0)</f>
        <v>0</v>
      </c>
      <c r="AP1619" s="28">
        <f ca="1">IF('Banco de Dados'!$AK1619&lt;&gt;"-",IF('Banco de Dados'!$AL1619="NÃO",IFERROR(VALUE(SUBSTITUTE(_xlfn.TEXTAFTER('Banco de Dados'!$F1619,"BRL ",1),".",",")),0),0),0)</f>
        <v>0</v>
      </c>
      <c r="AQ1619" s="28">
        <f ca="1">SUM('Banco de Dados'!$AM1619:$AP1619)</f>
        <v>0</v>
      </c>
      <c r="AR1619" s="8"/>
      <c r="AS1619" s="8"/>
      <c r="AT1619"/>
      <c r="AY1619" s="8"/>
    </row>
    <row r="1620" spans="1:51">
      <c r="A1620" s="5" t="str">
        <v>MEI</v>
      </c>
      <c r="B1620" s="5" t="str">
        <f ca="1"/>
        <v>MEI45775</v>
      </c>
      <c r="C1620" s="8" t="str">
        <v>Pedido 1607</v>
      </c>
      <c r="D1620" s="187">
        <v>45775</v>
      </c>
      <c r="E1620" s="9">
        <v>45775</v>
      </c>
      <c r="F1620" s="8" t="str">
        <v>PedidoF1537</v>
      </c>
      <c r="G1620" s="2" t="str">
        <v>CódRastreio1535</v>
      </c>
      <c r="H1620" s="5">
        <v>1</v>
      </c>
      <c r="I1620" s="182" t="str">
        <v>CPF 1566</v>
      </c>
      <c r="J1620" s="2" t="str">
        <v>Nome 1566</v>
      </c>
      <c r="K1620" s="8" t="str">
        <v>Tel 1566</v>
      </c>
      <c r="L1620" s="8" t="str">
        <v>Cep 1566</v>
      </c>
      <c r="M1620" s="8" t="str">
        <v>Rua 1566</v>
      </c>
      <c r="N1620" s="8" t="str">
        <v>Comp 1566</v>
      </c>
      <c r="O1620" s="8" t="str">
        <v>Ventilador Azul</v>
      </c>
      <c r="P1620" s="8" t="str">
        <v>PK-L2Z7-MQRQ</v>
      </c>
      <c r="Q1620" s="4">
        <v>45797</v>
      </c>
      <c r="R1620" s="109">
        <v>49.9</v>
      </c>
      <c r="S1620" s="11">
        <f ca="1"/>
        <v>49.9</v>
      </c>
      <c r="T1620" s="28">
        <f ca="1"/>
        <v>5.9879999999999995</v>
      </c>
      <c r="U1620" s="11">
        <f ca="1"/>
        <v>43.91</v>
      </c>
      <c r="V1620" s="11">
        <v>14.03</v>
      </c>
      <c r="W1620" s="11">
        <f ca="1"/>
        <v>0.18</v>
      </c>
      <c r="X1620" s="11">
        <f ca="1"/>
        <v>0.39877104377104378</v>
      </c>
      <c r="Y1620" s="11">
        <v>0</v>
      </c>
      <c r="Z1620" s="11">
        <f ca="1"/>
        <v>29.301228956228954</v>
      </c>
      <c r="AA1620" s="11">
        <f ca="1"/>
        <v>14.650614478114477</v>
      </c>
      <c r="AB1620" s="4">
        <f ca="1"/>
        <v>45804</v>
      </c>
      <c r="AC1620" s="4">
        <v>45804</v>
      </c>
      <c r="AD1620" s="9">
        <v>45807</v>
      </c>
      <c r="AE1620" s="9">
        <v>45810</v>
      </c>
      <c r="AF1620" s="4" t="str">
        <f t="shared" ca="1" si="110"/>
        <v>2025 05</v>
      </c>
      <c r="AG1620" s="8" t="str" cm="1">
        <f t="array" ref="AG1620">IFERROR(_xlfn.IFS('Banco de Dados'!#REF!="AG. COMPRA","Em processamento",'Banco de Dados'!#REF!="AG. RASTREIO","Em processamento",'Banco de Dados'!$AE1620&lt;&gt;"-","Faturado",'Banco de Dados'!$AD1620&lt;&gt;"-","Aguardando Pix",'Banco de Dados'!$AC1620&lt;&gt;"-","Pendente"),"Aguardando Liberação")</f>
        <v>Aguardando Liberação</v>
      </c>
      <c r="AH1620" s="5" t="str">
        <f>IF('Banco de Dados'!$F1620="-",_xlfn.CONCAT(PROPER(TEXT(AK1620,"aaaa"))," ",PROPER(TEXT(AK1620,"mm"))),_xlfn.CONCAT(PROPER(TEXT(E1620,"aaaa"))," ",PROPER(TEXT(E1620,"mm"))))</f>
        <v>2025 04</v>
      </c>
      <c r="AI1620" s="9" t="str">
        <f ca="1">IF('Banco de Dados'!$AK1620&lt;&gt;"-","REEMBOLSO",IFERROR(_xlfn.XLOOKUP(G1620,Follow[CODRASTREIO],Follow[STATUS]),"-"))</f>
        <v>ENTREGUE</v>
      </c>
      <c r="AJ1620" s="9">
        <f ca="1">IF('Banco de Dados'!$AI1620="ENTREGUE",_xlfn.XLOOKUP('Banco de Dados'!$G1620,Follow[CODRASTREIO],Follow[DATAATUALIZAÇÃO]),"-")</f>
        <v>45805</v>
      </c>
      <c r="AK1620" s="132" t="str">
        <f ca="1"/>
        <v>-</v>
      </c>
      <c r="AL1620" s="35"/>
      <c r="AM1620" s="109" cm="1">
        <f t="array" aca="1" ref="AM1620" ca="1">IF('Banco de Dados'!$AK1620&lt;&gt;"-",_xlfn.IFS('Banco de Dados'!$A1620="bv",IF('Banco de Dados'!$E1620&lt;45641,ROUND(SUM('Banco de Dados'!$R1620*_xlfn.XLOOKUP('Banco de Dados'!$P1620,Sku!B:B,Sku!#REF!)*20%),2),ROUND(SUM('Banco de Dados'!$R1620*_xlfn.XLOOKUP('Banco de Dados'!$P1620,Sku!B:B,Sku!H:H)*20%),2)),'Banco de Dados'!$A1620="GO",ROUND(SUM('Banco de Dados'!$R1620*_xlfn.XLOOKUP('Banco de Dados'!$P1620,Sku!C:C,Sku!H:H)*20%),2),'Banco de Dados'!$A1620="MEI",ROUND(SUM('Banco de Dados'!$R1620*_xlfn.XLOOKUP('Banco de Dados'!$P1620,Sku!D:D,Sku!H:H)*20%),2)),0)</f>
        <v>0</v>
      </c>
      <c r="AN1620" s="109">
        <f ca="1">IF('Banco de Dados'!$AK1620&lt;&gt;"-",IF('Banco de Dados'!$F1620&lt;&gt;"-",_xlfn.XLOOKUP(IFERROR(IFERROR(IFERROR(VALUE(SUBSTITUTE(MID(_xlfn.TEXTAFTER('Banco de Dados'!$F1620,"Data do Pedido:
",1),1,10),"-","/")),VALUE(SUBSTITUTE(MID(_xlfn.TEXTAFTER('Banco de Dados'!$F1620,"Order date:
",1),1,10),"-","/"))),VALUE(SUBSTITUTE(MID(_xlfn.TEXTAFTER('Banco de Dados'!$F1620,"Fecha de pedido:
",1),1,10),"-","/"))),"-"),SMS!A:A,SMS!K:K),0),0)</f>
        <v>0</v>
      </c>
      <c r="AO1620" s="109">
        <f ca="1">IF('Banco de Dados'!$AK1620&lt;&gt;"-",IF('Banco de Dados'!$F1620&lt;&gt;"-",IFERROR(_xlfn.XLOOKUP(_xlfn.CONCAT('Banco de Dados'!$A1620,IFERROR(IFERROR(VALUE(SUBSTITUTE(MID(_xlfn.TEXTAFTER('Banco de Dados'!$F1620,"Data do Pedido:
",1),1,10),"-","/")),VALUE(SUBSTITUTE(MID(_xlfn.TEXTAFTER('Banco de Dados'!$F1620,"Order date:
",1),1,10),"-","/"))),0)),ProxyDD[Chave],ProxyDD[Valor por pedido]),PROXY!$P$2),0),0)</f>
        <v>0</v>
      </c>
      <c r="AP1620" s="28">
        <f ca="1">IF('Banco de Dados'!$AK1620&lt;&gt;"-",IF('Banco de Dados'!$AL1620="NÃO",IFERROR(VALUE(SUBSTITUTE(_xlfn.TEXTAFTER('Banco de Dados'!$F1620,"BRL ",1),".",",")),0),0),0)</f>
        <v>0</v>
      </c>
      <c r="AQ1620" s="28">
        <f ca="1">SUM('Banco de Dados'!$AM1620:$AP1620)</f>
        <v>0</v>
      </c>
      <c r="AR1620" s="8"/>
      <c r="AS1620" s="8"/>
      <c r="AT1620"/>
      <c r="AY1620" s="8"/>
    </row>
    <row r="1621" spans="1:51">
      <c r="A1621" s="5" t="str">
        <v>MEI</v>
      </c>
      <c r="B1621" s="5" t="str">
        <f ca="1"/>
        <v>MEI45779</v>
      </c>
      <c r="C1621" s="8" t="str">
        <v>Pedido 1608</v>
      </c>
      <c r="D1621" s="187">
        <v>45775</v>
      </c>
      <c r="E1621" s="9">
        <v>45779</v>
      </c>
      <c r="F1621" s="8" t="str">
        <v>PedidoF1538</v>
      </c>
      <c r="G1621" s="2" t="str">
        <v>CódRastreio1536</v>
      </c>
      <c r="H1621" s="5">
        <v>1</v>
      </c>
      <c r="I1621" s="182" t="str">
        <v>CPF 1567</v>
      </c>
      <c r="J1621" s="2" t="str">
        <v>Nome 1567</v>
      </c>
      <c r="K1621" s="8" t="str">
        <v>Tel 1567</v>
      </c>
      <c r="L1621" s="8" t="str">
        <v>Cep 1567</v>
      </c>
      <c r="M1621" s="8" t="str">
        <v>Rua 1567</v>
      </c>
      <c r="N1621" s="8" t="str">
        <v>Comp 1567</v>
      </c>
      <c r="O1621" s="8" t="str">
        <v>Maçarico Culinário Portátil</v>
      </c>
      <c r="P1621" s="8" t="str">
        <v>BG-DHRO-FAEE</v>
      </c>
      <c r="Q1621" s="4">
        <v>45801</v>
      </c>
      <c r="R1621" s="109">
        <v>23.99</v>
      </c>
      <c r="S1621" s="11">
        <f ca="1"/>
        <v>0</v>
      </c>
      <c r="T1621" s="28">
        <f ca="1"/>
        <v>0</v>
      </c>
      <c r="U1621" s="11">
        <f ca="1"/>
        <v>0</v>
      </c>
      <c r="V1621" s="11">
        <v>0</v>
      </c>
      <c r="W1621" s="11">
        <f ca="1"/>
        <v>0</v>
      </c>
      <c r="X1621" s="11">
        <f ca="1"/>
        <v>0.39877104377104378</v>
      </c>
      <c r="Y1621" s="11">
        <v>0</v>
      </c>
      <c r="Z1621" s="11">
        <f ca="1"/>
        <v>-0.39877104377104378</v>
      </c>
      <c r="AA1621" s="11">
        <f ca="1"/>
        <v>-0.19938552188552189</v>
      </c>
      <c r="AB1621" s="4">
        <f ca="1"/>
        <v>45808</v>
      </c>
      <c r="AC1621" s="4">
        <v>45808</v>
      </c>
      <c r="AD1621" s="9">
        <v>45824</v>
      </c>
      <c r="AE1621" s="9">
        <v>45828</v>
      </c>
      <c r="AF1621" s="4" t="str">
        <f t="shared" ca="1" si="110"/>
        <v>2025 05</v>
      </c>
      <c r="AG1621" s="8" t="str" cm="1">
        <f t="array" ref="AG1621">IFERROR(_xlfn.IFS('Banco de Dados'!#REF!="AG. COMPRA","Em processamento",'Banco de Dados'!#REF!="AG. RASTREIO","Em processamento",'Banco de Dados'!$AE1621&lt;&gt;"-","Faturado",'Banco de Dados'!$AD1621&lt;&gt;"-","Aguardando Pix",'Banco de Dados'!$AC1621&lt;&gt;"-","Pendente"),"Aguardando Liberação")</f>
        <v>Aguardando Liberação</v>
      </c>
      <c r="AH1621" s="5" t="str">
        <f>IF('Banco de Dados'!$F1621="-",_xlfn.CONCAT(PROPER(TEXT(AK1621,"aaaa"))," ",PROPER(TEXT(AK1621,"mm"))),_xlfn.CONCAT(PROPER(TEXT(E1621,"aaaa"))," ",PROPER(TEXT(E1621,"mm"))))</f>
        <v>2025 05</v>
      </c>
      <c r="AI1621" s="9" t="str">
        <f ca="1">IF('Banco de Dados'!$AK1621&lt;&gt;"-","REEMBOLSO",IFERROR(_xlfn.XLOOKUP(G1621,Follow[CODRASTREIO],Follow[STATUS]),"-"))</f>
        <v>REEMBOLSO</v>
      </c>
      <c r="AJ1621" s="9" t="str">
        <f ca="1">IF('Banco de Dados'!$AI1621="ENTREGUE",_xlfn.XLOOKUP('Banco de Dados'!$G1621,Follow[CODRASTREIO],Follow[DATAATUALIZAÇÃO]),"-")</f>
        <v>-</v>
      </c>
      <c r="AK1621" s="132">
        <f ca="1"/>
        <v>45797</v>
      </c>
      <c r="AL1621" s="35"/>
      <c r="AM1621" s="109" cm="1">
        <f t="array" aca="1" ref="AM1621" ca="1">IF('Banco de Dados'!$AK1621&lt;&gt;"-",_xlfn.IFS('Banco de Dados'!$A1621="bv",IF('Banco de Dados'!$E1621&lt;45641,ROUND(SUM('Banco de Dados'!$R1621*_xlfn.XLOOKUP('Banco de Dados'!$P1621,Sku!B:B,Sku!#REF!)*20%),2),ROUND(SUM('Banco de Dados'!$R1621*_xlfn.XLOOKUP('Banco de Dados'!$P1621,Sku!B:B,Sku!H:H)*20%),2)),'Banco de Dados'!$A1621="GO",ROUND(SUM('Banco de Dados'!$R1621*_xlfn.XLOOKUP('Banco de Dados'!$P1621,Sku!C:C,Sku!H:H)*20%),2),'Banco de Dados'!$A1621="MEI",ROUND(SUM('Banco de Dados'!$R1621*_xlfn.XLOOKUP('Banco de Dados'!$P1621,Sku!D:D,Sku!H:H)*20%),2)),0)</f>
        <v>0.53</v>
      </c>
      <c r="AN1621" s="109" t="e">
        <f ca="1">IF('Banco de Dados'!$AK1621&lt;&gt;"-",IF('Banco de Dados'!$F1621&lt;&gt;"-",_xlfn.XLOOKUP(IFERROR(IFERROR(IFERROR(VALUE(SUBSTITUTE(MID(_xlfn.TEXTAFTER('Banco de Dados'!$F1621,"Data do Pedido:
",1),1,10),"-","/")),VALUE(SUBSTITUTE(MID(_xlfn.TEXTAFTER('Banco de Dados'!$F1621,"Order date:
",1),1,10),"-","/"))),VALUE(SUBSTITUTE(MID(_xlfn.TEXTAFTER('Banco de Dados'!$F1621,"Fecha de pedido:
",1),1,10),"-","/"))),"-"),SMS!A:A,SMS!K:K),0),0)</f>
        <v>#N/A</v>
      </c>
      <c r="AO1621" s="109">
        <f ca="1">IF('Banco de Dados'!$AK1621&lt;&gt;"-",IF('Banco de Dados'!$F1621&lt;&gt;"-",IFERROR(_xlfn.XLOOKUP(_xlfn.CONCAT('Banco de Dados'!$A1621,IFERROR(IFERROR(VALUE(SUBSTITUTE(MID(_xlfn.TEXTAFTER('Banco de Dados'!$F1621,"Data do Pedido:
",1),1,10),"-","/")),VALUE(SUBSTITUTE(MID(_xlfn.TEXTAFTER('Banco de Dados'!$F1621,"Order date:
",1),1,10),"-","/"))),0)),ProxyDD[Chave],ProxyDD[Valor por pedido]),PROXY!$P$2),0),0)</f>
        <v>0.39877104377104378</v>
      </c>
      <c r="AP1621" s="28">
        <f ca="1">IF('Banco de Dados'!$AK1621&lt;&gt;"-",IF('Banco de Dados'!$AL1621="NÃO",IFERROR(VALUE(SUBSTITUTE(_xlfn.TEXTAFTER('Banco de Dados'!$F1621,"BRL ",1),".",",")),0),0),0)</f>
        <v>0</v>
      </c>
      <c r="AQ1621" s="28" t="e">
        <f ca="1">SUM('Banco de Dados'!$AM1621:$AP1621)</f>
        <v>#N/A</v>
      </c>
      <c r="AR1621" s="8"/>
      <c r="AS1621" s="8"/>
      <c r="AT1621"/>
      <c r="AY1621" s="8"/>
    </row>
    <row r="1622" spans="1:51">
      <c r="A1622" s="5" t="str">
        <v>MEI</v>
      </c>
      <c r="B1622" s="5" t="str">
        <f ca="1"/>
        <v>MEI45775</v>
      </c>
      <c r="C1622" s="8" t="str">
        <v>Pedido 1609</v>
      </c>
      <c r="D1622" s="187">
        <v>45775</v>
      </c>
      <c r="E1622" s="9">
        <v>45775</v>
      </c>
      <c r="F1622" s="8" t="str">
        <v>PedidoF1539</v>
      </c>
      <c r="G1622" s="2" t="str">
        <v>CódRastreio1537</v>
      </c>
      <c r="H1622" s="5">
        <v>1</v>
      </c>
      <c r="I1622" s="182" t="str">
        <v>CPF 1568</v>
      </c>
      <c r="J1622" s="2" t="str">
        <v>Nome 1568</v>
      </c>
      <c r="K1622" s="8" t="str">
        <v>Tel 1568</v>
      </c>
      <c r="L1622" s="8" t="str">
        <v>Cep 1568</v>
      </c>
      <c r="M1622" s="8" t="str">
        <v>Rua 1568</v>
      </c>
      <c r="N1622" s="8" t="str">
        <v>Comp 1568</v>
      </c>
      <c r="O1622" s="8" t="str">
        <v>Ventilador Azul</v>
      </c>
      <c r="P1622" s="8" t="str">
        <v>PK-L2Z7-MQRQ</v>
      </c>
      <c r="Q1622" s="4">
        <v>45808</v>
      </c>
      <c r="R1622" s="109">
        <v>49.9</v>
      </c>
      <c r="S1622" s="11">
        <f ca="1"/>
        <v>0</v>
      </c>
      <c r="T1622" s="28">
        <f ca="1"/>
        <v>0</v>
      </c>
      <c r="U1622" s="11">
        <f ca="1"/>
        <v>0</v>
      </c>
      <c r="V1622" s="11">
        <v>0</v>
      </c>
      <c r="W1622" s="11">
        <f ca="1"/>
        <v>0</v>
      </c>
      <c r="X1622" s="11">
        <f ca="1"/>
        <v>0.39877104377104378</v>
      </c>
      <c r="Y1622" s="11">
        <v>0</v>
      </c>
      <c r="Z1622" s="11">
        <f ca="1"/>
        <v>-0.39877104377104378</v>
      </c>
      <c r="AA1622" s="11">
        <f ca="1"/>
        <v>-0.19938552188552189</v>
      </c>
      <c r="AB1622" s="4">
        <f ca="1"/>
        <v>45815</v>
      </c>
      <c r="AC1622" s="4">
        <v>45815</v>
      </c>
      <c r="AD1622" s="9">
        <v>45824</v>
      </c>
      <c r="AE1622" s="9">
        <v>45828</v>
      </c>
      <c r="AF1622" s="4" t="str">
        <f t="shared" ca="1" si="110"/>
        <v>2025 06</v>
      </c>
      <c r="AG1622" s="8" t="str" cm="1">
        <f t="array" ref="AG1622">IFERROR(_xlfn.IFS('Banco de Dados'!#REF!="AG. COMPRA","Em processamento",'Banco de Dados'!#REF!="AG. RASTREIO","Em processamento",'Banco de Dados'!$AE1622&lt;&gt;"-","Faturado",'Banco de Dados'!$AD1622&lt;&gt;"-","Aguardando Pix",'Banco de Dados'!$AC1622&lt;&gt;"-","Pendente"),"Aguardando Liberação")</f>
        <v>Aguardando Liberação</v>
      </c>
      <c r="AH1622" s="5" t="str">
        <f>IF('Banco de Dados'!$F1622="-",_xlfn.CONCAT(PROPER(TEXT(AK1622,"aaaa"))," ",PROPER(TEXT(AK1622,"mm"))),_xlfn.CONCAT(PROPER(TEXT(E1622,"aaaa"))," ",PROPER(TEXT(E1622,"mm"))))</f>
        <v>2025 04</v>
      </c>
      <c r="AI1622" s="9" t="str">
        <f ca="1">IF('Banco de Dados'!$AK1622&lt;&gt;"-","REEMBOLSO",IFERROR(_xlfn.XLOOKUP(G1622,Follow[CODRASTREIO],Follow[STATUS]),"-"))</f>
        <v>REEMBOLSO</v>
      </c>
      <c r="AJ1622" s="9" t="str">
        <f ca="1">IF('Banco de Dados'!$AI1622="ENTREGUE",_xlfn.XLOOKUP('Banco de Dados'!$G1622,Follow[CODRASTREIO],Follow[DATAATUALIZAÇÃO]),"-")</f>
        <v>-</v>
      </c>
      <c r="AK1622" s="132">
        <f ca="1"/>
        <v>45816</v>
      </c>
      <c r="AL1622" s="35"/>
      <c r="AM1622" s="109" cm="1">
        <f t="array" aca="1" ref="AM1622" ca="1">IF('Banco de Dados'!$AK1622&lt;&gt;"-",_xlfn.IFS('Banco de Dados'!$A1622="bv",IF('Banco de Dados'!$E1622&lt;45641,ROUND(SUM('Banco de Dados'!$R1622*_xlfn.XLOOKUP('Banco de Dados'!$P1622,Sku!B:B,Sku!#REF!)*20%),2),ROUND(SUM('Banco de Dados'!$R1622*_xlfn.XLOOKUP('Banco de Dados'!$P1622,Sku!B:B,Sku!H:H)*20%),2)),'Banco de Dados'!$A1622="GO",ROUND(SUM('Banco de Dados'!$R1622*_xlfn.XLOOKUP('Banco de Dados'!$P1622,Sku!C:C,Sku!H:H)*20%),2),'Banco de Dados'!$A1622="MEI",ROUND(SUM('Banco de Dados'!$R1622*_xlfn.XLOOKUP('Banco de Dados'!$P1622,Sku!D:D,Sku!H:H)*20%),2)),0)</f>
        <v>1.3</v>
      </c>
      <c r="AN1622" s="109" t="e">
        <f ca="1">IF('Banco de Dados'!$AK1622&lt;&gt;"-",IF('Banco de Dados'!$F1622&lt;&gt;"-",_xlfn.XLOOKUP(IFERROR(IFERROR(IFERROR(VALUE(SUBSTITUTE(MID(_xlfn.TEXTAFTER('Banco de Dados'!$F1622,"Data do Pedido:
",1),1,10),"-","/")),VALUE(SUBSTITUTE(MID(_xlfn.TEXTAFTER('Banco de Dados'!$F1622,"Order date:
",1),1,10),"-","/"))),VALUE(SUBSTITUTE(MID(_xlfn.TEXTAFTER('Banco de Dados'!$F1622,"Fecha de pedido:
",1),1,10),"-","/"))),"-"),SMS!A:A,SMS!K:K),0),0)</f>
        <v>#N/A</v>
      </c>
      <c r="AO1622" s="109">
        <f ca="1">IF('Banco de Dados'!$AK1622&lt;&gt;"-",IF('Banco de Dados'!$F1622&lt;&gt;"-",IFERROR(_xlfn.XLOOKUP(_xlfn.CONCAT('Banco de Dados'!$A1622,IFERROR(IFERROR(VALUE(SUBSTITUTE(MID(_xlfn.TEXTAFTER('Banco de Dados'!$F1622,"Data do Pedido:
",1),1,10),"-","/")),VALUE(SUBSTITUTE(MID(_xlfn.TEXTAFTER('Banco de Dados'!$F1622,"Order date:
",1),1,10),"-","/"))),0)),ProxyDD[Chave],ProxyDD[Valor por pedido]),PROXY!$P$2),0),0)</f>
        <v>0.39877104377104378</v>
      </c>
      <c r="AP1622" s="28">
        <f ca="1">IF('Banco de Dados'!$AK1622&lt;&gt;"-",IF('Banco de Dados'!$AL1622="NÃO",IFERROR(VALUE(SUBSTITUTE(_xlfn.TEXTAFTER('Banco de Dados'!$F1622,"BRL ",1),".",",")),0),0),0)</f>
        <v>0</v>
      </c>
      <c r="AQ1622" s="28" t="e">
        <f ca="1">SUM('Banco de Dados'!$AM1622:$AP1622)</f>
        <v>#N/A</v>
      </c>
      <c r="AR1622" s="8"/>
      <c r="AS1622" s="8"/>
      <c r="AT1622"/>
      <c r="AY1622" s="8"/>
    </row>
    <row r="1623" spans="1:51">
      <c r="A1623" s="5" t="str">
        <v>MEI</v>
      </c>
      <c r="B1623" s="5" t="str">
        <f ca="1"/>
        <v>MEI45779</v>
      </c>
      <c r="C1623" s="8" t="str">
        <v>Pedido 1610</v>
      </c>
      <c r="D1623" s="187">
        <v>45775</v>
      </c>
      <c r="E1623" s="9">
        <v>45779</v>
      </c>
      <c r="F1623" s="8" t="str">
        <v>PedidoF1540</v>
      </c>
      <c r="G1623" s="2" t="str">
        <v>CódRastreio1538</v>
      </c>
      <c r="H1623" s="5">
        <v>1</v>
      </c>
      <c r="I1623" s="182" t="str">
        <v>CPF 1569</v>
      </c>
      <c r="J1623" s="2" t="str">
        <v>Nome 1569</v>
      </c>
      <c r="K1623" s="8" t="str">
        <v>Tel 1569</v>
      </c>
      <c r="L1623" s="8" t="str">
        <v>Cep 1569</v>
      </c>
      <c r="M1623" s="8" t="str">
        <v>Rua 1569</v>
      </c>
      <c r="N1623" s="8" t="str">
        <v>Comp 1569</v>
      </c>
      <c r="O1623" s="8" t="str">
        <v>Maçarico Culinário Portátil</v>
      </c>
      <c r="P1623" s="8" t="str">
        <v>BG-DHRO-FAEE</v>
      </c>
      <c r="Q1623" s="4">
        <v>45801</v>
      </c>
      <c r="R1623" s="109">
        <v>23.99</v>
      </c>
      <c r="S1623" s="11">
        <f ca="1"/>
        <v>0</v>
      </c>
      <c r="T1623" s="28">
        <f ca="1"/>
        <v>0</v>
      </c>
      <c r="U1623" s="11">
        <f ca="1"/>
        <v>0</v>
      </c>
      <c r="V1623" s="11">
        <v>0</v>
      </c>
      <c r="W1623" s="11">
        <f ca="1"/>
        <v>0</v>
      </c>
      <c r="X1623" s="11">
        <f ca="1"/>
        <v>0.39877104377104378</v>
      </c>
      <c r="Y1623" s="11">
        <v>0</v>
      </c>
      <c r="Z1623" s="11">
        <f ca="1"/>
        <v>-0.39877104377104378</v>
      </c>
      <c r="AA1623" s="11">
        <f ca="1"/>
        <v>-0.19938552188552189</v>
      </c>
      <c r="AB1623" s="4">
        <f ca="1"/>
        <v>45808</v>
      </c>
      <c r="AC1623" s="4">
        <v>45808</v>
      </c>
      <c r="AD1623" s="9">
        <v>45824</v>
      </c>
      <c r="AE1623" s="9">
        <v>45828</v>
      </c>
      <c r="AF1623" s="4" t="str">
        <f t="shared" ca="1" si="110"/>
        <v>2025 05</v>
      </c>
      <c r="AG1623" s="8" t="str" cm="1">
        <f t="array" ref="AG1623">IFERROR(_xlfn.IFS('Banco de Dados'!#REF!="AG. COMPRA","Em processamento",'Banco de Dados'!#REF!="AG. RASTREIO","Em processamento",'Banco de Dados'!$AE1623&lt;&gt;"-","Faturado",'Banco de Dados'!$AD1623&lt;&gt;"-","Aguardando Pix",'Banco de Dados'!$AC1623&lt;&gt;"-","Pendente"),"Aguardando Liberação")</f>
        <v>Aguardando Liberação</v>
      </c>
      <c r="AH1623" s="5" t="str">
        <f>IF('Banco de Dados'!$F1623="-",_xlfn.CONCAT(PROPER(TEXT(AK1623,"aaaa"))," ",PROPER(TEXT(AK1623,"mm"))),_xlfn.CONCAT(PROPER(TEXT(E1623,"aaaa"))," ",PROPER(TEXT(E1623,"mm"))))</f>
        <v>2025 05</v>
      </c>
      <c r="AI1623" s="9" t="str">
        <f ca="1">IF('Banco de Dados'!$AK1623&lt;&gt;"-","REEMBOLSO",IFERROR(_xlfn.XLOOKUP(G1623,Follow[CODRASTREIO],Follow[STATUS]),"-"))</f>
        <v>REEMBOLSO</v>
      </c>
      <c r="AJ1623" s="9" t="str">
        <f ca="1">IF('Banco de Dados'!$AI1623="ENTREGUE",_xlfn.XLOOKUP('Banco de Dados'!$G1623,Follow[CODRASTREIO],Follow[DATAATUALIZAÇÃO]),"-")</f>
        <v>-</v>
      </c>
      <c r="AK1623" s="132">
        <f ca="1"/>
        <v>45798</v>
      </c>
      <c r="AL1623" s="35"/>
      <c r="AM1623" s="109" cm="1">
        <f t="array" aca="1" ref="AM1623" ca="1">IF('Banco de Dados'!$AK1623&lt;&gt;"-",_xlfn.IFS('Banco de Dados'!$A1623="bv",IF('Banco de Dados'!$E1623&lt;45641,ROUND(SUM('Banco de Dados'!$R1623*_xlfn.XLOOKUP('Banco de Dados'!$P1623,Sku!B:B,Sku!#REF!)*20%),2),ROUND(SUM('Banco de Dados'!$R1623*_xlfn.XLOOKUP('Banco de Dados'!$P1623,Sku!B:B,Sku!H:H)*20%),2)),'Banco de Dados'!$A1623="GO",ROUND(SUM('Banco de Dados'!$R1623*_xlfn.XLOOKUP('Banco de Dados'!$P1623,Sku!C:C,Sku!H:H)*20%),2),'Banco de Dados'!$A1623="MEI",ROUND(SUM('Banco de Dados'!$R1623*_xlfn.XLOOKUP('Banco de Dados'!$P1623,Sku!D:D,Sku!H:H)*20%),2)),0)</f>
        <v>0.53</v>
      </c>
      <c r="AN1623" s="109" t="e">
        <f ca="1">IF('Banco de Dados'!$AK1623&lt;&gt;"-",IF('Banco de Dados'!$F1623&lt;&gt;"-",_xlfn.XLOOKUP(IFERROR(IFERROR(IFERROR(VALUE(SUBSTITUTE(MID(_xlfn.TEXTAFTER('Banco de Dados'!$F1623,"Data do Pedido:
",1),1,10),"-","/")),VALUE(SUBSTITUTE(MID(_xlfn.TEXTAFTER('Banco de Dados'!$F1623,"Order date:
",1),1,10),"-","/"))),VALUE(SUBSTITUTE(MID(_xlfn.TEXTAFTER('Banco de Dados'!$F1623,"Fecha de pedido:
",1),1,10),"-","/"))),"-"),SMS!A:A,SMS!K:K),0),0)</f>
        <v>#N/A</v>
      </c>
      <c r="AO1623" s="109">
        <f ca="1">IF('Banco de Dados'!$AK1623&lt;&gt;"-",IF('Banco de Dados'!$F1623&lt;&gt;"-",IFERROR(_xlfn.XLOOKUP(_xlfn.CONCAT('Banco de Dados'!$A1623,IFERROR(IFERROR(VALUE(SUBSTITUTE(MID(_xlfn.TEXTAFTER('Banco de Dados'!$F1623,"Data do Pedido:
",1),1,10),"-","/")),VALUE(SUBSTITUTE(MID(_xlfn.TEXTAFTER('Banco de Dados'!$F1623,"Order date:
",1),1,10),"-","/"))),0)),ProxyDD[Chave],ProxyDD[Valor por pedido]),PROXY!$P$2),0),0)</f>
        <v>0.39877104377104378</v>
      </c>
      <c r="AP1623" s="28">
        <f ca="1">IF('Banco de Dados'!$AK1623&lt;&gt;"-",IF('Banco de Dados'!$AL1623="NÃO",IFERROR(VALUE(SUBSTITUTE(_xlfn.TEXTAFTER('Banco de Dados'!$F1623,"BRL ",1),".",",")),0),0),0)</f>
        <v>0</v>
      </c>
      <c r="AQ1623" s="28" t="e">
        <f ca="1">SUM('Banco de Dados'!$AM1623:$AP1623)</f>
        <v>#N/A</v>
      </c>
      <c r="AR1623" s="8"/>
      <c r="AS1623" s="8"/>
      <c r="AT1623"/>
      <c r="AY1623" s="8"/>
    </row>
    <row r="1624" spans="1:51">
      <c r="A1624" s="5" t="str">
        <v>MEI</v>
      </c>
      <c r="B1624" s="5" t="str">
        <f ca="1"/>
        <v>MEI45777</v>
      </c>
      <c r="C1624" s="8" t="str">
        <v>Pedido 1611</v>
      </c>
      <c r="D1624" s="187">
        <v>45775</v>
      </c>
      <c r="E1624" s="9">
        <v>45777</v>
      </c>
      <c r="F1624" s="8" t="str">
        <v>PedidoF1541</v>
      </c>
      <c r="G1624" s="2" t="str">
        <v>CódRastreio1539</v>
      </c>
      <c r="H1624" s="5">
        <v>1</v>
      </c>
      <c r="I1624" s="182" t="str">
        <v>CPF 1570</v>
      </c>
      <c r="J1624" s="2" t="str">
        <v>Nome 1570</v>
      </c>
      <c r="K1624" s="8" t="str">
        <v>Tel 1570</v>
      </c>
      <c r="L1624" s="8" t="str">
        <v>Cep 1570</v>
      </c>
      <c r="M1624" s="8" t="str">
        <v>Rua 1570</v>
      </c>
      <c r="N1624" s="8" t="str">
        <v>Comp 1570</v>
      </c>
      <c r="O1624" s="8" t="str">
        <v>Copo Termico</v>
      </c>
      <c r="P1624" s="8" t="str">
        <v>VI-4RT5-1FFO</v>
      </c>
      <c r="Q1624" s="4">
        <v>45801</v>
      </c>
      <c r="R1624" s="109">
        <v>22.7</v>
      </c>
      <c r="S1624" s="11">
        <f ca="1"/>
        <v>22.7</v>
      </c>
      <c r="T1624" s="28">
        <f ca="1"/>
        <v>2.7239999999999998</v>
      </c>
      <c r="U1624" s="11">
        <f ca="1"/>
        <v>19.98</v>
      </c>
      <c r="V1624" s="11">
        <v>17.170000000000002</v>
      </c>
      <c r="W1624" s="11">
        <f ca="1"/>
        <v>0.12</v>
      </c>
      <c r="X1624" s="11">
        <f ca="1"/>
        <v>0.39877104377104378</v>
      </c>
      <c r="Y1624" s="11">
        <v>0</v>
      </c>
      <c r="Z1624" s="11">
        <f ca="1"/>
        <v>2.2912289562289523</v>
      </c>
      <c r="AA1624" s="11">
        <f ca="1"/>
        <v>1.1456144781144761</v>
      </c>
      <c r="AB1624" s="4">
        <f ca="1"/>
        <v>45808</v>
      </c>
      <c r="AC1624" s="4">
        <v>45808</v>
      </c>
      <c r="AD1624" s="9">
        <v>45824</v>
      </c>
      <c r="AE1624" s="9">
        <v>45828</v>
      </c>
      <c r="AF1624" s="4" t="str">
        <f t="shared" ca="1" si="110"/>
        <v>2025 05</v>
      </c>
      <c r="AG1624" s="8" t="str" cm="1">
        <f t="array" ref="AG1624">IFERROR(_xlfn.IFS('Banco de Dados'!#REF!="AG. COMPRA","Em processamento",'Banco de Dados'!#REF!="AG. RASTREIO","Em processamento",'Banco de Dados'!$AE1624&lt;&gt;"-","Faturado",'Banco de Dados'!$AD1624&lt;&gt;"-","Aguardando Pix",'Banco de Dados'!$AC1624&lt;&gt;"-","Pendente"),"Aguardando Liberação")</f>
        <v>Aguardando Liberação</v>
      </c>
      <c r="AH1624" s="5" t="str">
        <f>IF('Banco de Dados'!$F1624="-",_xlfn.CONCAT(PROPER(TEXT(AK1624,"aaaa"))," ",PROPER(TEXT(AK1624,"mm"))),_xlfn.CONCAT(PROPER(TEXT(E1624,"aaaa"))," ",PROPER(TEXT(E1624,"mm"))))</f>
        <v>2025 04</v>
      </c>
      <c r="AI1624" s="9" t="str">
        <f ca="1">IF('Banco de Dados'!$AK1624&lt;&gt;"-","REEMBOLSO",IFERROR(_xlfn.XLOOKUP(G1624,Follow[CODRASTREIO],Follow[STATUS]),"-"))</f>
        <v>ENTREGUE</v>
      </c>
      <c r="AJ1624" s="9">
        <f ca="1">IF('Banco de Dados'!$AI1624="ENTREGUE",_xlfn.XLOOKUP('Banco de Dados'!$G1624,Follow[CODRASTREIO],Follow[DATAATUALIZAÇÃO]),"-")</f>
        <v>45791</v>
      </c>
      <c r="AK1624" s="132" t="str">
        <f ca="1"/>
        <v>-</v>
      </c>
      <c r="AL1624" s="35"/>
      <c r="AM1624" s="109" cm="1">
        <f t="array" aca="1" ref="AM1624" ca="1">IF('Banco de Dados'!$AK1624&lt;&gt;"-",_xlfn.IFS('Banco de Dados'!$A1624="bv",IF('Banco de Dados'!$E1624&lt;45641,ROUND(SUM('Banco de Dados'!$R1624*_xlfn.XLOOKUP('Banco de Dados'!$P1624,Sku!B:B,Sku!#REF!)*20%),2),ROUND(SUM('Banco de Dados'!$R1624*_xlfn.XLOOKUP('Banco de Dados'!$P1624,Sku!B:B,Sku!H:H)*20%),2)),'Banco de Dados'!$A1624="GO",ROUND(SUM('Banco de Dados'!$R1624*_xlfn.XLOOKUP('Banco de Dados'!$P1624,Sku!C:C,Sku!H:H)*20%),2),'Banco de Dados'!$A1624="MEI",ROUND(SUM('Banco de Dados'!$R1624*_xlfn.XLOOKUP('Banco de Dados'!$P1624,Sku!D:D,Sku!H:H)*20%),2)),0)</f>
        <v>0</v>
      </c>
      <c r="AN1624" s="109">
        <f ca="1">IF('Banco de Dados'!$AK1624&lt;&gt;"-",IF('Banco de Dados'!$F1624&lt;&gt;"-",_xlfn.XLOOKUP(IFERROR(IFERROR(IFERROR(VALUE(SUBSTITUTE(MID(_xlfn.TEXTAFTER('Banco de Dados'!$F1624,"Data do Pedido:
",1),1,10),"-","/")),VALUE(SUBSTITUTE(MID(_xlfn.TEXTAFTER('Banco de Dados'!$F1624,"Order date:
",1),1,10),"-","/"))),VALUE(SUBSTITUTE(MID(_xlfn.TEXTAFTER('Banco de Dados'!$F1624,"Fecha de pedido:
",1),1,10),"-","/"))),"-"),SMS!A:A,SMS!K:K),0),0)</f>
        <v>0</v>
      </c>
      <c r="AO1624" s="109">
        <f ca="1">IF('Banco de Dados'!$AK1624&lt;&gt;"-",IF('Banco de Dados'!$F1624&lt;&gt;"-",IFERROR(_xlfn.XLOOKUP(_xlfn.CONCAT('Banco de Dados'!$A1624,IFERROR(IFERROR(VALUE(SUBSTITUTE(MID(_xlfn.TEXTAFTER('Banco de Dados'!$F1624,"Data do Pedido:
",1),1,10),"-","/")),VALUE(SUBSTITUTE(MID(_xlfn.TEXTAFTER('Banco de Dados'!$F1624,"Order date:
",1),1,10),"-","/"))),0)),ProxyDD[Chave],ProxyDD[Valor por pedido]),PROXY!$P$2),0),0)</f>
        <v>0</v>
      </c>
      <c r="AP1624" s="28">
        <f ca="1">IF('Banco de Dados'!$AK1624&lt;&gt;"-",IF('Banco de Dados'!$AL1624="NÃO",IFERROR(VALUE(SUBSTITUTE(_xlfn.TEXTAFTER('Banco de Dados'!$F1624,"BRL ",1),".",",")),0),0),0)</f>
        <v>0</v>
      </c>
      <c r="AQ1624" s="28">
        <f ca="1">SUM('Banco de Dados'!$AM1624:$AP1624)</f>
        <v>0</v>
      </c>
      <c r="AR1624" s="8"/>
      <c r="AS1624" s="8"/>
      <c r="AT1624"/>
      <c r="AY1624" s="8"/>
    </row>
    <row r="1625" spans="1:51">
      <c r="A1625" s="5" t="str">
        <v>GO</v>
      </c>
      <c r="B1625" s="5" t="str">
        <f ca="1"/>
        <v>GO45775</v>
      </c>
      <c r="C1625" s="8" t="str">
        <v>Pedido 1612</v>
      </c>
      <c r="D1625" s="187">
        <v>45772</v>
      </c>
      <c r="E1625" s="9">
        <v>45775</v>
      </c>
      <c r="F1625" s="8" t="str">
        <v>PedidoF1542</v>
      </c>
      <c r="G1625" s="2" t="str">
        <v>CódRastreio1540</v>
      </c>
      <c r="H1625" s="5">
        <v>1</v>
      </c>
      <c r="I1625" s="182" t="str">
        <v>CPF 1571</v>
      </c>
      <c r="J1625" s="2" t="str">
        <v>Nome 1571</v>
      </c>
      <c r="K1625" s="8" t="str">
        <v>Tel 1571</v>
      </c>
      <c r="L1625" s="8" t="str">
        <v>Cep 1571</v>
      </c>
      <c r="M1625" s="8" t="str">
        <v>Rua 1571</v>
      </c>
      <c r="N1625" s="8" t="str">
        <v>Comp 1571</v>
      </c>
      <c r="O1625" s="8" t="str">
        <v>Ventilador Preto</v>
      </c>
      <c r="P1625" s="8" t="str">
        <v>EP-9PIR-BWXH</v>
      </c>
      <c r="Q1625" s="4">
        <v>45800</v>
      </c>
      <c r="R1625" s="109">
        <v>65.739999999999995</v>
      </c>
      <c r="S1625" s="11">
        <f ca="1"/>
        <v>65.739999999999995</v>
      </c>
      <c r="T1625" s="28">
        <f ca="1"/>
        <v>7.8887999999999989</v>
      </c>
      <c r="U1625" s="11">
        <f ca="1"/>
        <v>57.85</v>
      </c>
      <c r="V1625" s="11">
        <v>13.82</v>
      </c>
      <c r="W1625" s="11">
        <f ca="1"/>
        <v>0.1</v>
      </c>
      <c r="X1625" s="11">
        <f ca="1"/>
        <v>0.39877104377104378</v>
      </c>
      <c r="Y1625" s="11">
        <v>0</v>
      </c>
      <c r="Z1625" s="11">
        <f ca="1"/>
        <v>43.531228956228958</v>
      </c>
      <c r="AA1625" s="11">
        <f ca="1"/>
        <v>43.531228956228958</v>
      </c>
      <c r="AB1625" s="4">
        <f ca="1"/>
        <v>45807</v>
      </c>
      <c r="AC1625" s="4">
        <v>45807</v>
      </c>
      <c r="AD1625" s="9">
        <v>45807</v>
      </c>
      <c r="AE1625" s="9">
        <v>45810</v>
      </c>
      <c r="AF1625" s="4" t="str">
        <f t="shared" ca="1" si="110"/>
        <v>2025 05</v>
      </c>
      <c r="AG1625" s="8" t="str" cm="1">
        <f t="array" ref="AG1625">IFERROR(_xlfn.IFS('Banco de Dados'!#REF!="AG. COMPRA","Em processamento",'Banco de Dados'!#REF!="AG. RASTREIO","Em processamento",'Banco de Dados'!$AE1625&lt;&gt;"-","Faturado",'Banco de Dados'!$AD1625&lt;&gt;"-","Aguardando Pix",'Banco de Dados'!$AC1625&lt;&gt;"-","Pendente"),"Aguardando Liberação")</f>
        <v>Aguardando Liberação</v>
      </c>
      <c r="AH1625" s="5" t="str">
        <f>IF('Banco de Dados'!$F1625="-",_xlfn.CONCAT(PROPER(TEXT(AK1625,"aaaa"))," ",PROPER(TEXT(AK1625,"mm"))),_xlfn.CONCAT(PROPER(TEXT(E1625,"aaaa"))," ",PROPER(TEXT(E1625,"mm"))))</f>
        <v>2025 04</v>
      </c>
      <c r="AI1625" s="9" t="str">
        <f ca="1">IF('Banco de Dados'!$AK1625&lt;&gt;"-","REEMBOLSO",IFERROR(_xlfn.XLOOKUP(G1625,Follow[CODRASTREIO],Follow[STATUS]),"-"))</f>
        <v>ENTREGUE</v>
      </c>
      <c r="AJ1625" s="9">
        <f ca="1">IF('Banco de Dados'!$AI1625="ENTREGUE",_xlfn.XLOOKUP('Banco de Dados'!$G1625,Follow[CODRASTREIO],Follow[DATAATUALIZAÇÃO]),"-")</f>
        <v>45790</v>
      </c>
      <c r="AK1625" s="132" t="str">
        <f ca="1"/>
        <v>-</v>
      </c>
      <c r="AL1625" s="35"/>
      <c r="AM1625" s="109" cm="1">
        <f t="array" aca="1" ref="AM1625" ca="1">IF('Banco de Dados'!$AK1625&lt;&gt;"-",_xlfn.IFS('Banco de Dados'!$A1625="bv",IF('Banco de Dados'!$E1625&lt;45641,ROUND(SUM('Banco de Dados'!$R1625*_xlfn.XLOOKUP('Banco de Dados'!$P1625,Sku!B:B,Sku!#REF!)*20%),2),ROUND(SUM('Banco de Dados'!$R1625*_xlfn.XLOOKUP('Banco de Dados'!$P1625,Sku!B:B,Sku!H:H)*20%),2)),'Banco de Dados'!$A1625="GO",ROUND(SUM('Banco de Dados'!$R1625*_xlfn.XLOOKUP('Banco de Dados'!$P1625,Sku!C:C,Sku!H:H)*20%),2),'Banco de Dados'!$A1625="MEI",ROUND(SUM('Banco de Dados'!$R1625*_xlfn.XLOOKUP('Banco de Dados'!$P1625,Sku!D:D,Sku!H:H)*20%),2)),0)</f>
        <v>0</v>
      </c>
      <c r="AN1625" s="109">
        <f ca="1">IF('Banco de Dados'!$AK1625&lt;&gt;"-",IF('Banco de Dados'!$F1625&lt;&gt;"-",_xlfn.XLOOKUP(IFERROR(IFERROR(IFERROR(VALUE(SUBSTITUTE(MID(_xlfn.TEXTAFTER('Banco de Dados'!$F1625,"Data do Pedido:
",1),1,10),"-","/")),VALUE(SUBSTITUTE(MID(_xlfn.TEXTAFTER('Banco de Dados'!$F1625,"Order date:
",1),1,10),"-","/"))),VALUE(SUBSTITUTE(MID(_xlfn.TEXTAFTER('Banco de Dados'!$F1625,"Fecha de pedido:
",1),1,10),"-","/"))),"-"),SMS!A:A,SMS!K:K),0),0)</f>
        <v>0</v>
      </c>
      <c r="AO1625" s="109">
        <f ca="1">IF('Banco de Dados'!$AK1625&lt;&gt;"-",IF('Banco de Dados'!$F1625&lt;&gt;"-",IFERROR(_xlfn.XLOOKUP(_xlfn.CONCAT('Banco de Dados'!$A1625,IFERROR(IFERROR(VALUE(SUBSTITUTE(MID(_xlfn.TEXTAFTER('Banco de Dados'!$F1625,"Data do Pedido:
",1),1,10),"-","/")),VALUE(SUBSTITUTE(MID(_xlfn.TEXTAFTER('Banco de Dados'!$F1625,"Order date:
",1),1,10),"-","/"))),0)),ProxyDD[Chave],ProxyDD[Valor por pedido]),PROXY!$P$2),0),0)</f>
        <v>0</v>
      </c>
      <c r="AP1625" s="28">
        <f ca="1">IF('Banco de Dados'!$AK1625&lt;&gt;"-",IF('Banco de Dados'!$AL1625="NÃO",IFERROR(VALUE(SUBSTITUTE(_xlfn.TEXTAFTER('Banco de Dados'!$F1625,"BRL ",1),".",",")),0),0),0)</f>
        <v>0</v>
      </c>
      <c r="AQ1625" s="28">
        <f ca="1">SUM('Banco de Dados'!$AM1625:$AP1625)</f>
        <v>0</v>
      </c>
      <c r="AR1625" s="8"/>
      <c r="AS1625" s="8"/>
      <c r="AT1625"/>
      <c r="AY1625" s="8"/>
    </row>
    <row r="1626" spans="1:51">
      <c r="A1626" s="5" t="str">
        <v>MEI</v>
      </c>
      <c r="B1626" s="5" t="str">
        <f ca="1"/>
        <v>MEI45776</v>
      </c>
      <c r="C1626" s="8" t="str">
        <v>Pedido 1613</v>
      </c>
      <c r="D1626" s="187">
        <v>45775</v>
      </c>
      <c r="E1626" s="9">
        <v>45776</v>
      </c>
      <c r="F1626" s="8" t="str">
        <v>PedidoF1543</v>
      </c>
      <c r="G1626" s="2" t="str">
        <v>CódRastreio1541</v>
      </c>
      <c r="H1626" s="5">
        <v>1</v>
      </c>
      <c r="I1626" s="182" t="str">
        <v>CPF 1572</v>
      </c>
      <c r="J1626" s="2" t="str">
        <v>Nome 1572</v>
      </c>
      <c r="K1626" s="8" t="str">
        <v>Tel 1572</v>
      </c>
      <c r="L1626" s="8" t="str">
        <v>Cep 1572</v>
      </c>
      <c r="M1626" s="8" t="str">
        <v>Rua 1572</v>
      </c>
      <c r="N1626" s="8" t="str">
        <v>Comp 1572</v>
      </c>
      <c r="O1626" s="8" t="str">
        <v>Ventilador Rosa</v>
      </c>
      <c r="P1626" s="8" t="str">
        <v>WR-82Y0-OV27</v>
      </c>
      <c r="Q1626" s="4">
        <v>45801</v>
      </c>
      <c r="R1626" s="109">
        <v>49.9</v>
      </c>
      <c r="S1626" s="11">
        <f ca="1"/>
        <v>49.9</v>
      </c>
      <c r="T1626" s="28">
        <f ca="1"/>
        <v>5.9879999999999995</v>
      </c>
      <c r="U1626" s="11">
        <f ca="1"/>
        <v>43.91</v>
      </c>
      <c r="V1626" s="11">
        <v>23.3</v>
      </c>
      <c r="W1626" s="11">
        <f ca="1"/>
        <v>0.14000000000000001</v>
      </c>
      <c r="X1626" s="11">
        <f ca="1"/>
        <v>0.39877104377104378</v>
      </c>
      <c r="Y1626" s="11">
        <v>0</v>
      </c>
      <c r="Z1626" s="11">
        <f ca="1"/>
        <v>20.07122895622895</v>
      </c>
      <c r="AA1626" s="11">
        <f ca="1"/>
        <v>10.035614478114475</v>
      </c>
      <c r="AB1626" s="4">
        <f ca="1"/>
        <v>45808</v>
      </c>
      <c r="AC1626" s="4">
        <v>45808</v>
      </c>
      <c r="AD1626" s="9">
        <v>45824</v>
      </c>
      <c r="AE1626" s="9">
        <v>45828</v>
      </c>
      <c r="AF1626" s="4" t="str">
        <f t="shared" ref="AF1626:AF1643" ca="1" si="111">_xlfn.CONCAT(PROPER(TEXT(AB1626,"aaaa"))," ",PROPER(TEXT(AB1626,"mm")))</f>
        <v>2025 05</v>
      </c>
      <c r="AG1626" s="8" t="str" cm="1">
        <f t="array" ref="AG1626">IFERROR(_xlfn.IFS('Banco de Dados'!#REF!="AG. COMPRA","Em processamento",'Banco de Dados'!#REF!="AG. RASTREIO","Em processamento",'Banco de Dados'!$AE1626&lt;&gt;"-","Faturado",'Banco de Dados'!$AD1626&lt;&gt;"-","Aguardando Pix",'Banco de Dados'!$AC1626&lt;&gt;"-","Pendente"),"Aguardando Liberação")</f>
        <v>Aguardando Liberação</v>
      </c>
      <c r="AH1626" s="5" t="str">
        <f>IF('Banco de Dados'!$F1626="-",_xlfn.CONCAT(PROPER(TEXT(AK1626,"aaaa"))," ",PROPER(TEXT(AK1626,"mm"))),_xlfn.CONCAT(PROPER(TEXT(E1626,"aaaa"))," ",PROPER(TEXT(E1626,"mm"))))</f>
        <v>2025 04</v>
      </c>
      <c r="AI1626" s="9" t="str">
        <f ca="1">IF('Banco de Dados'!$AK1626&lt;&gt;"-","REEMBOLSO",IFERROR(_xlfn.XLOOKUP(G1626,Follow[CODRASTREIO],Follow[STATUS]),"-"))</f>
        <v>ENTREGUE</v>
      </c>
      <c r="AJ1626" s="9">
        <f ca="1">IF('Banco de Dados'!$AI1626="ENTREGUE",_xlfn.XLOOKUP('Banco de Dados'!$G1626,Follow[CODRASTREIO],Follow[DATAATUALIZAÇÃO]),"-")</f>
        <v>45810</v>
      </c>
      <c r="AK1626" s="132" t="str">
        <f ca="1"/>
        <v>-</v>
      </c>
      <c r="AL1626" s="35"/>
      <c r="AM1626" s="109" cm="1">
        <f t="array" aca="1" ref="AM1626" ca="1">IF('Banco de Dados'!$AK1626&lt;&gt;"-",_xlfn.IFS('Banco de Dados'!$A1626="bv",IF('Banco de Dados'!$E1626&lt;45641,ROUND(SUM('Banco de Dados'!$R1626*_xlfn.XLOOKUP('Banco de Dados'!$P1626,Sku!B:B,Sku!#REF!)*20%),2),ROUND(SUM('Banco de Dados'!$R1626*_xlfn.XLOOKUP('Banco de Dados'!$P1626,Sku!B:B,Sku!H:H)*20%),2)),'Banco de Dados'!$A1626="GO",ROUND(SUM('Banco de Dados'!$R1626*_xlfn.XLOOKUP('Banco de Dados'!$P1626,Sku!C:C,Sku!H:H)*20%),2),'Banco de Dados'!$A1626="MEI",ROUND(SUM('Banco de Dados'!$R1626*_xlfn.XLOOKUP('Banco de Dados'!$P1626,Sku!D:D,Sku!H:H)*20%),2)),0)</f>
        <v>0</v>
      </c>
      <c r="AN1626" s="109">
        <f ca="1">IF('Banco de Dados'!$AK1626&lt;&gt;"-",IF('Banco de Dados'!$F1626&lt;&gt;"-",_xlfn.XLOOKUP(IFERROR(IFERROR(IFERROR(VALUE(SUBSTITUTE(MID(_xlfn.TEXTAFTER('Banco de Dados'!$F1626,"Data do Pedido:
",1),1,10),"-","/")),VALUE(SUBSTITUTE(MID(_xlfn.TEXTAFTER('Banco de Dados'!$F1626,"Order date:
",1),1,10),"-","/"))),VALUE(SUBSTITUTE(MID(_xlfn.TEXTAFTER('Banco de Dados'!$F1626,"Fecha de pedido:
",1),1,10),"-","/"))),"-"),SMS!A:A,SMS!K:K),0),0)</f>
        <v>0</v>
      </c>
      <c r="AO1626" s="109">
        <f ca="1">IF('Banco de Dados'!$AK1626&lt;&gt;"-",IF('Banco de Dados'!$F1626&lt;&gt;"-",IFERROR(_xlfn.XLOOKUP(_xlfn.CONCAT('Banco de Dados'!$A1626,IFERROR(IFERROR(VALUE(SUBSTITUTE(MID(_xlfn.TEXTAFTER('Banco de Dados'!$F1626,"Data do Pedido:
",1),1,10),"-","/")),VALUE(SUBSTITUTE(MID(_xlfn.TEXTAFTER('Banco de Dados'!$F1626,"Order date:
",1),1,10),"-","/"))),0)),ProxyDD[Chave],ProxyDD[Valor por pedido]),PROXY!$P$2),0),0)</f>
        <v>0</v>
      </c>
      <c r="AP1626" s="28">
        <f ca="1">IF('Banco de Dados'!$AK1626&lt;&gt;"-",IF('Banco de Dados'!$AL1626="NÃO",IFERROR(VALUE(SUBSTITUTE(_xlfn.TEXTAFTER('Banco de Dados'!$F1626,"BRL ",1),".",",")),0),0),0)</f>
        <v>0</v>
      </c>
      <c r="AQ1626" s="28">
        <f ca="1">SUM('Banco de Dados'!$AM1626:$AP1626)</f>
        <v>0</v>
      </c>
      <c r="AR1626" s="8"/>
      <c r="AS1626" s="8"/>
      <c r="AT1626"/>
      <c r="AY1626" s="8"/>
    </row>
    <row r="1627" spans="1:51">
      <c r="A1627" s="5" t="str">
        <v>MEI</v>
      </c>
      <c r="B1627" s="5" t="str">
        <f ca="1"/>
        <v>MEI45777</v>
      </c>
      <c r="C1627" s="8" t="str">
        <v>Pedido 1614</v>
      </c>
      <c r="D1627" s="187">
        <v>45775</v>
      </c>
      <c r="E1627" s="9">
        <v>45777</v>
      </c>
      <c r="F1627" s="8" t="str">
        <v>PedidoF1544</v>
      </c>
      <c r="G1627" s="2" t="str">
        <v>CódRastreio1542</v>
      </c>
      <c r="H1627" s="5">
        <v>1</v>
      </c>
      <c r="I1627" s="182" t="str">
        <v>CPF 1573</v>
      </c>
      <c r="J1627" s="2" t="str">
        <v>Nome 1573</v>
      </c>
      <c r="K1627" s="8" t="str">
        <v>Tel 1573</v>
      </c>
      <c r="L1627" s="8" t="str">
        <v>Cep 1573</v>
      </c>
      <c r="M1627" s="8" t="str">
        <v>Rua 1573</v>
      </c>
      <c r="N1627" s="8" t="str">
        <v>Comp 1573</v>
      </c>
      <c r="O1627" s="8" t="str">
        <v>Ventilador Rosa</v>
      </c>
      <c r="P1627" s="8" t="str">
        <v>WR-82Y0-OV27</v>
      </c>
      <c r="Q1627" s="4">
        <v>45801</v>
      </c>
      <c r="R1627" s="109">
        <v>49.9</v>
      </c>
      <c r="S1627" s="11">
        <f ca="1"/>
        <v>49.9</v>
      </c>
      <c r="T1627" s="28">
        <f ca="1"/>
        <v>5.9879999999999995</v>
      </c>
      <c r="U1627" s="11">
        <f ca="1"/>
        <v>43.91</v>
      </c>
      <c r="V1627" s="11">
        <v>20.71</v>
      </c>
      <c r="W1627" s="11">
        <f ca="1"/>
        <v>0.12</v>
      </c>
      <c r="X1627" s="11">
        <f ca="1"/>
        <v>0.39877104377104378</v>
      </c>
      <c r="Y1627" s="11">
        <v>0</v>
      </c>
      <c r="Z1627" s="11">
        <f ca="1"/>
        <v>22.681228956228949</v>
      </c>
      <c r="AA1627" s="11">
        <f ca="1"/>
        <v>11.340614478114475</v>
      </c>
      <c r="AB1627" s="4">
        <f ca="1"/>
        <v>45808</v>
      </c>
      <c r="AC1627" s="4">
        <v>45808</v>
      </c>
      <c r="AD1627" s="9">
        <v>45824</v>
      </c>
      <c r="AE1627" s="9">
        <v>45828</v>
      </c>
      <c r="AF1627" s="4" t="str">
        <f t="shared" ca="1" si="111"/>
        <v>2025 05</v>
      </c>
      <c r="AG1627" s="8" t="str" cm="1">
        <f t="array" ref="AG1627">IFERROR(_xlfn.IFS('Banco de Dados'!#REF!="AG. COMPRA","Em processamento",'Banco de Dados'!#REF!="AG. RASTREIO","Em processamento",'Banco de Dados'!$AE1627&lt;&gt;"-","Faturado",'Banco de Dados'!$AD1627&lt;&gt;"-","Aguardando Pix",'Banco de Dados'!$AC1627&lt;&gt;"-","Pendente"),"Aguardando Liberação")</f>
        <v>Aguardando Liberação</v>
      </c>
      <c r="AH1627" s="5" t="str">
        <f>IF('Banco de Dados'!$F1627="-",_xlfn.CONCAT(PROPER(TEXT(AK1627,"aaaa"))," ",PROPER(TEXT(AK1627,"mm"))),_xlfn.CONCAT(PROPER(TEXT(E1627,"aaaa"))," ",PROPER(TEXT(E1627,"mm"))))</f>
        <v>2025 04</v>
      </c>
      <c r="AI1627" s="9" t="str">
        <f ca="1">IF('Banco de Dados'!$AK1627&lt;&gt;"-","REEMBOLSO",IFERROR(_xlfn.XLOOKUP(G1627,Follow[CODRASTREIO],Follow[STATUS]),"-"))</f>
        <v>ENTREGUE</v>
      </c>
      <c r="AJ1627" s="9">
        <f ca="1">IF('Banco de Dados'!$AI1627="ENTREGUE",_xlfn.XLOOKUP('Banco de Dados'!$G1627,Follow[CODRASTREIO],Follow[DATAATUALIZAÇÃO]),"-")</f>
        <v>45807</v>
      </c>
      <c r="AK1627" s="132" t="str">
        <f ca="1"/>
        <v>-</v>
      </c>
      <c r="AL1627" s="35"/>
      <c r="AM1627" s="109" cm="1">
        <f t="array" aca="1" ref="AM1627" ca="1">IF('Banco de Dados'!$AK1627&lt;&gt;"-",_xlfn.IFS('Banco de Dados'!$A1627="bv",IF('Banco de Dados'!$E1627&lt;45641,ROUND(SUM('Banco de Dados'!$R1627*_xlfn.XLOOKUP('Banco de Dados'!$P1627,Sku!B:B,Sku!#REF!)*20%),2),ROUND(SUM('Banco de Dados'!$R1627*_xlfn.XLOOKUP('Banco de Dados'!$P1627,Sku!B:B,Sku!H:H)*20%),2)),'Banco de Dados'!$A1627="GO",ROUND(SUM('Banco de Dados'!$R1627*_xlfn.XLOOKUP('Banco de Dados'!$P1627,Sku!C:C,Sku!H:H)*20%),2),'Banco de Dados'!$A1627="MEI",ROUND(SUM('Banco de Dados'!$R1627*_xlfn.XLOOKUP('Banco de Dados'!$P1627,Sku!D:D,Sku!H:H)*20%),2)),0)</f>
        <v>0</v>
      </c>
      <c r="AN1627" s="109">
        <f ca="1">IF('Banco de Dados'!$AK1627&lt;&gt;"-",IF('Banco de Dados'!$F1627&lt;&gt;"-",_xlfn.XLOOKUP(IFERROR(IFERROR(IFERROR(VALUE(SUBSTITUTE(MID(_xlfn.TEXTAFTER('Banco de Dados'!$F1627,"Data do Pedido:
",1),1,10),"-","/")),VALUE(SUBSTITUTE(MID(_xlfn.TEXTAFTER('Banco de Dados'!$F1627,"Order date:
",1),1,10),"-","/"))),VALUE(SUBSTITUTE(MID(_xlfn.TEXTAFTER('Banco de Dados'!$F1627,"Fecha de pedido:
",1),1,10),"-","/"))),"-"),SMS!A:A,SMS!K:K),0),0)</f>
        <v>0</v>
      </c>
      <c r="AO1627" s="109">
        <f ca="1">IF('Banco de Dados'!$AK1627&lt;&gt;"-",IF('Banco de Dados'!$F1627&lt;&gt;"-",IFERROR(_xlfn.XLOOKUP(_xlfn.CONCAT('Banco de Dados'!$A1627,IFERROR(IFERROR(VALUE(SUBSTITUTE(MID(_xlfn.TEXTAFTER('Banco de Dados'!$F1627,"Data do Pedido:
",1),1,10),"-","/")),VALUE(SUBSTITUTE(MID(_xlfn.TEXTAFTER('Banco de Dados'!$F1627,"Order date:
",1),1,10),"-","/"))),0)),ProxyDD[Chave],ProxyDD[Valor por pedido]),PROXY!$P$2),0),0)</f>
        <v>0</v>
      </c>
      <c r="AP1627" s="28">
        <f ca="1">IF('Banco de Dados'!$AK1627&lt;&gt;"-",IF('Banco de Dados'!$AL1627="NÃO",IFERROR(VALUE(SUBSTITUTE(_xlfn.TEXTAFTER('Banco de Dados'!$F1627,"BRL ",1),".",",")),0),0),0)</f>
        <v>0</v>
      </c>
      <c r="AQ1627" s="28">
        <f ca="1">SUM('Banco de Dados'!$AM1627:$AP1627)</f>
        <v>0</v>
      </c>
      <c r="AR1627" s="8"/>
      <c r="AS1627" s="8"/>
      <c r="AT1627"/>
      <c r="AY1627" s="8"/>
    </row>
    <row r="1628" spans="1:51">
      <c r="A1628" s="5" t="str">
        <v>MEI</v>
      </c>
      <c r="B1628" s="5" t="str">
        <f ca="1"/>
        <v>MEI45779</v>
      </c>
      <c r="C1628" s="8" t="str">
        <v>Pedido 1615</v>
      </c>
      <c r="D1628" s="187">
        <v>45775</v>
      </c>
      <c r="E1628" s="9">
        <v>45779</v>
      </c>
      <c r="F1628" s="8" t="str">
        <v>PedidoF1545</v>
      </c>
      <c r="G1628" s="2" t="str">
        <v>CódRastreio1543</v>
      </c>
      <c r="H1628" s="5">
        <v>1</v>
      </c>
      <c r="I1628" s="182" t="str">
        <v>CPF 1574</v>
      </c>
      <c r="J1628" s="2" t="str">
        <v>Nome 1574</v>
      </c>
      <c r="K1628" s="8" t="str">
        <v>Tel 1574</v>
      </c>
      <c r="L1628" s="8" t="str">
        <v>Cep 1574</v>
      </c>
      <c r="M1628" s="8" t="str">
        <v>Rua 1574</v>
      </c>
      <c r="N1628" s="8" t="str">
        <v>Comp 1574</v>
      </c>
      <c r="O1628" s="8" t="str">
        <v>Maçarico Culinário Portátil</v>
      </c>
      <c r="P1628" s="8" t="str">
        <v>BG-DHRO-FAEE</v>
      </c>
      <c r="Q1628" s="4">
        <v>45801</v>
      </c>
      <c r="R1628" s="109">
        <v>23.99</v>
      </c>
      <c r="S1628" s="11">
        <f ca="1"/>
        <v>0</v>
      </c>
      <c r="T1628" s="28">
        <f ca="1"/>
        <v>0</v>
      </c>
      <c r="U1628" s="11">
        <f ca="1"/>
        <v>0</v>
      </c>
      <c r="V1628" s="11">
        <v>0</v>
      </c>
      <c r="W1628" s="11">
        <f ca="1"/>
        <v>0</v>
      </c>
      <c r="X1628" s="11">
        <f ca="1"/>
        <v>0.39877104377104378</v>
      </c>
      <c r="Y1628" s="11">
        <v>0</v>
      </c>
      <c r="Z1628" s="11">
        <f ca="1"/>
        <v>-0.39877104377104378</v>
      </c>
      <c r="AA1628" s="11">
        <f ca="1"/>
        <v>-0.19938552188552189</v>
      </c>
      <c r="AB1628" s="4">
        <f ca="1"/>
        <v>45808</v>
      </c>
      <c r="AC1628" s="4">
        <v>45808</v>
      </c>
      <c r="AD1628" s="9">
        <v>45824</v>
      </c>
      <c r="AE1628" s="9">
        <v>45828</v>
      </c>
      <c r="AF1628" s="4" t="str">
        <f t="shared" ca="1" si="111"/>
        <v>2025 05</v>
      </c>
      <c r="AG1628" s="8" t="str" cm="1">
        <f t="array" ref="AG1628">IFERROR(_xlfn.IFS('Banco de Dados'!#REF!="AG. COMPRA","Em processamento",'Banco de Dados'!#REF!="AG. RASTREIO","Em processamento",'Banco de Dados'!$AE1628&lt;&gt;"-","Faturado",'Banco de Dados'!$AD1628&lt;&gt;"-","Aguardando Pix",'Banco de Dados'!$AC1628&lt;&gt;"-","Pendente"),"Aguardando Liberação")</f>
        <v>Aguardando Liberação</v>
      </c>
      <c r="AH1628" s="5" t="str">
        <f>IF('Banco de Dados'!$F1628="-",_xlfn.CONCAT(PROPER(TEXT(AK1628,"aaaa"))," ",PROPER(TEXT(AK1628,"mm"))),_xlfn.CONCAT(PROPER(TEXT(E1628,"aaaa"))," ",PROPER(TEXT(E1628,"mm"))))</f>
        <v>2025 05</v>
      </c>
      <c r="AI1628" s="9" t="str">
        <f ca="1">IF('Banco de Dados'!$AK1628&lt;&gt;"-","REEMBOLSO",IFERROR(_xlfn.XLOOKUP(G1628,Follow[CODRASTREIO],Follow[STATUS]),"-"))</f>
        <v>REEMBOLSO</v>
      </c>
      <c r="AJ1628" s="9" t="str">
        <f ca="1">IF('Banco de Dados'!$AI1628="ENTREGUE",_xlfn.XLOOKUP('Banco de Dados'!$G1628,Follow[CODRASTREIO],Follow[DATAATUALIZAÇÃO]),"-")</f>
        <v>-</v>
      </c>
      <c r="AK1628" s="132">
        <f ca="1"/>
        <v>45798</v>
      </c>
      <c r="AL1628" s="35"/>
      <c r="AM1628" s="109" cm="1">
        <f t="array" aca="1" ref="AM1628" ca="1">IF('Banco de Dados'!$AK1628&lt;&gt;"-",_xlfn.IFS('Banco de Dados'!$A1628="bv",IF('Banco de Dados'!$E1628&lt;45641,ROUND(SUM('Banco de Dados'!$R1628*_xlfn.XLOOKUP('Banco de Dados'!$P1628,Sku!B:B,Sku!#REF!)*20%),2),ROUND(SUM('Banco de Dados'!$R1628*_xlfn.XLOOKUP('Banco de Dados'!$P1628,Sku!B:B,Sku!H:H)*20%),2)),'Banco de Dados'!$A1628="GO",ROUND(SUM('Banco de Dados'!$R1628*_xlfn.XLOOKUP('Banco de Dados'!$P1628,Sku!C:C,Sku!H:H)*20%),2),'Banco de Dados'!$A1628="MEI",ROUND(SUM('Banco de Dados'!$R1628*_xlfn.XLOOKUP('Banco de Dados'!$P1628,Sku!D:D,Sku!H:H)*20%),2)),0)</f>
        <v>0.53</v>
      </c>
      <c r="AN1628" s="109" t="e">
        <f ca="1">IF('Banco de Dados'!$AK1628&lt;&gt;"-",IF('Banco de Dados'!$F1628&lt;&gt;"-",_xlfn.XLOOKUP(IFERROR(IFERROR(IFERROR(VALUE(SUBSTITUTE(MID(_xlfn.TEXTAFTER('Banco de Dados'!$F1628,"Data do Pedido:
",1),1,10),"-","/")),VALUE(SUBSTITUTE(MID(_xlfn.TEXTAFTER('Banco de Dados'!$F1628,"Order date:
",1),1,10),"-","/"))),VALUE(SUBSTITUTE(MID(_xlfn.TEXTAFTER('Banco de Dados'!$F1628,"Fecha de pedido:
",1),1,10),"-","/"))),"-"),SMS!A:A,SMS!K:K),0),0)</f>
        <v>#N/A</v>
      </c>
      <c r="AO1628" s="109">
        <f ca="1">IF('Banco de Dados'!$AK1628&lt;&gt;"-",IF('Banco de Dados'!$F1628&lt;&gt;"-",IFERROR(_xlfn.XLOOKUP(_xlfn.CONCAT('Banco de Dados'!$A1628,IFERROR(IFERROR(VALUE(SUBSTITUTE(MID(_xlfn.TEXTAFTER('Banco de Dados'!$F1628,"Data do Pedido:
",1),1,10),"-","/")),VALUE(SUBSTITUTE(MID(_xlfn.TEXTAFTER('Banco de Dados'!$F1628,"Order date:
",1),1,10),"-","/"))),0)),ProxyDD[Chave],ProxyDD[Valor por pedido]),PROXY!$P$2),0),0)</f>
        <v>0.39877104377104378</v>
      </c>
      <c r="AP1628" s="28">
        <f ca="1">IF('Banco de Dados'!$AK1628&lt;&gt;"-",IF('Banco de Dados'!$AL1628="NÃO",IFERROR(VALUE(SUBSTITUTE(_xlfn.TEXTAFTER('Banco de Dados'!$F1628,"BRL ",1),".",",")),0),0),0)</f>
        <v>0</v>
      </c>
      <c r="AQ1628" s="28" t="e">
        <f ca="1">SUM('Banco de Dados'!$AM1628:$AP1628)</f>
        <v>#N/A</v>
      </c>
      <c r="AR1628" s="8"/>
      <c r="AS1628" s="8"/>
      <c r="AT1628"/>
      <c r="AY1628" s="8"/>
    </row>
    <row r="1629" spans="1:51">
      <c r="A1629" s="5" t="str">
        <v>MEI</v>
      </c>
      <c r="B1629" s="5" t="str">
        <f ca="1"/>
        <v>MEI-</v>
      </c>
      <c r="C1629" s="8" t="str">
        <v>Pedido 1616</v>
      </c>
      <c r="D1629" s="187">
        <v>45775</v>
      </c>
      <c r="E1629" s="9" t="str">
        <v>-</v>
      </c>
      <c r="F1629" s="8" t="str">
        <v>-</v>
      </c>
      <c r="G1629" s="2" t="str">
        <v>-</v>
      </c>
      <c r="H1629" s="5">
        <v>1</v>
      </c>
      <c r="I1629" s="182" t="str">
        <v>CPF 1575</v>
      </c>
      <c r="J1629" s="2" t="str">
        <v>Nome 1575</v>
      </c>
      <c r="K1629" s="8" t="str">
        <v>Tel 1575</v>
      </c>
      <c r="L1629" s="8" t="str">
        <v>Cep 1575</v>
      </c>
      <c r="M1629" s="8" t="str">
        <v>Rua 1575</v>
      </c>
      <c r="N1629" s="8" t="str">
        <v>Comp 1575</v>
      </c>
      <c r="O1629" s="8" t="str">
        <v>Ventilador Rosa</v>
      </c>
      <c r="P1629" s="8" t="str">
        <v>WR-82Y0-OV27</v>
      </c>
      <c r="Q1629" s="4">
        <v>45801</v>
      </c>
      <c r="R1629" s="109">
        <v>49.9</v>
      </c>
      <c r="S1629" s="11">
        <f ca="1"/>
        <v>49.9</v>
      </c>
      <c r="T1629" s="28">
        <f ca="1"/>
        <v>5.9879999999999995</v>
      </c>
      <c r="U1629" s="11">
        <f ca="1"/>
        <v>43.91</v>
      </c>
      <c r="V1629" s="11">
        <v>0</v>
      </c>
      <c r="W1629" s="11">
        <f ca="1"/>
        <v>0</v>
      </c>
      <c r="X1629" s="11">
        <f ca="1"/>
        <v>0</v>
      </c>
      <c r="Y1629" s="11">
        <v>0</v>
      </c>
      <c r="Z1629" s="11">
        <f ca="1"/>
        <v>43.91</v>
      </c>
      <c r="AA1629" s="11">
        <f ca="1"/>
        <v>21.954999999999998</v>
      </c>
      <c r="AB1629" s="4">
        <f ca="1"/>
        <v>45808</v>
      </c>
      <c r="AC1629" s="4">
        <v>45808</v>
      </c>
      <c r="AD1629" s="9">
        <v>45824</v>
      </c>
      <c r="AE1629" s="9">
        <v>45828</v>
      </c>
      <c r="AF1629" s="4" t="str">
        <f t="shared" ca="1" si="111"/>
        <v>2025 05</v>
      </c>
      <c r="AG1629" s="8" t="str" cm="1">
        <f t="array" ref="AG1629">IFERROR(_xlfn.IFS('Banco de Dados'!#REF!="AG. COMPRA","Em processamento",'Banco de Dados'!#REF!="AG. RASTREIO","Em processamento",'Banco de Dados'!$AE1629&lt;&gt;"-","Faturado",'Banco de Dados'!$AD1629&lt;&gt;"-","Aguardando Pix",'Banco de Dados'!$AC1629&lt;&gt;"-","Pendente"),"Aguardando Liberação")</f>
        <v>Aguardando Liberação</v>
      </c>
      <c r="AH1629" s="5" t="str">
        <f ca="1">IF('Banco de Dados'!$F1629="-",_xlfn.CONCAT(PROPER(TEXT(AK1629,"aaaa"))," ",PROPER(TEXT(AK1629,"mm"))),_xlfn.CONCAT(PROPER(TEXT(E1629,"aaaa"))," ",PROPER(TEXT(E1629,"mm"))))</f>
        <v>- -</v>
      </c>
      <c r="AI1629" s="9" t="str">
        <f ca="1">IF('Banco de Dados'!$AK1629&lt;&gt;"-","REEMBOLSO",IFERROR(_xlfn.XLOOKUP(G1629,Follow[CODRASTREIO],Follow[STATUS]),"-"))</f>
        <v>-</v>
      </c>
      <c r="AJ1629" s="9" t="str">
        <f ca="1">IF('Banco de Dados'!$AI1629="ENTREGUE",_xlfn.XLOOKUP('Banco de Dados'!$G1629,Follow[CODRASTREIO],Follow[DATAATUALIZAÇÃO]),"-")</f>
        <v>-</v>
      </c>
      <c r="AK1629" s="132" t="str">
        <f ca="1"/>
        <v>-</v>
      </c>
      <c r="AL1629" s="35"/>
      <c r="AM1629" s="109" cm="1">
        <f t="array" aca="1" ref="AM1629" ca="1">IF('Banco de Dados'!$AK1629&lt;&gt;"-",_xlfn.IFS('Banco de Dados'!$A1629="bv",IF('Banco de Dados'!$E1629&lt;45641,ROUND(SUM('Banco de Dados'!$R1629*_xlfn.XLOOKUP('Banco de Dados'!$P1629,Sku!B:B,Sku!#REF!)*20%),2),ROUND(SUM('Banco de Dados'!$R1629*_xlfn.XLOOKUP('Banco de Dados'!$P1629,Sku!B:B,Sku!H:H)*20%),2)),'Banco de Dados'!$A1629="GO",ROUND(SUM('Banco de Dados'!$R1629*_xlfn.XLOOKUP('Banco de Dados'!$P1629,Sku!C:C,Sku!H:H)*20%),2),'Banco de Dados'!$A1629="MEI",ROUND(SUM('Banco de Dados'!$R1629*_xlfn.XLOOKUP('Banco de Dados'!$P1629,Sku!D:D,Sku!H:H)*20%),2)),0)</f>
        <v>0</v>
      </c>
      <c r="AN1629" s="109">
        <f ca="1">IF('Banco de Dados'!$AK1629&lt;&gt;"-",IF('Banco de Dados'!$F1629&lt;&gt;"-",_xlfn.XLOOKUP(IFERROR(IFERROR(IFERROR(VALUE(SUBSTITUTE(MID(_xlfn.TEXTAFTER('Banco de Dados'!$F1629,"Data do Pedido:
",1),1,10),"-","/")),VALUE(SUBSTITUTE(MID(_xlfn.TEXTAFTER('Banco de Dados'!$F1629,"Order date:
",1),1,10),"-","/"))),VALUE(SUBSTITUTE(MID(_xlfn.TEXTAFTER('Banco de Dados'!$F1629,"Fecha de pedido:
",1),1,10),"-","/"))),"-"),SMS!A:A,SMS!K:K),0),0)</f>
        <v>0</v>
      </c>
      <c r="AO1629" s="109">
        <f ca="1">IF('Banco de Dados'!$AK1629&lt;&gt;"-",IF('Banco de Dados'!$F1629&lt;&gt;"-",IFERROR(_xlfn.XLOOKUP(_xlfn.CONCAT('Banco de Dados'!$A1629,IFERROR(IFERROR(VALUE(SUBSTITUTE(MID(_xlfn.TEXTAFTER('Banco de Dados'!$F1629,"Data do Pedido:
",1),1,10),"-","/")),VALUE(SUBSTITUTE(MID(_xlfn.TEXTAFTER('Banco de Dados'!$F1629,"Order date:
",1),1,10),"-","/"))),0)),ProxyDD[Chave],ProxyDD[Valor por pedido]),PROXY!$P$2),0),0)</f>
        <v>0</v>
      </c>
      <c r="AP1629" s="28">
        <f ca="1">IF('Banco de Dados'!$AK1629&lt;&gt;"-",IF('Banco de Dados'!$AL1629="NÃO",IFERROR(VALUE(SUBSTITUTE(_xlfn.TEXTAFTER('Banco de Dados'!$F1629,"BRL ",1),".",",")),0),0),0)</f>
        <v>0</v>
      </c>
      <c r="AQ1629" s="28">
        <f ca="1">SUM('Banco de Dados'!$AM1629:$AP1629)</f>
        <v>0</v>
      </c>
      <c r="AR1629" s="8"/>
      <c r="AS1629" s="8"/>
      <c r="AT1629"/>
      <c r="AY1629" s="8"/>
    </row>
    <row r="1630" spans="1:51">
      <c r="A1630" s="5" t="str">
        <v>MEI</v>
      </c>
      <c r="B1630" s="5" t="str">
        <f ca="1"/>
        <v>MEI45776</v>
      </c>
      <c r="C1630" s="8" t="str">
        <v>Pedido 1617</v>
      </c>
      <c r="D1630" s="187">
        <v>45776</v>
      </c>
      <c r="E1630" s="9">
        <v>45776</v>
      </c>
      <c r="F1630" s="8" t="str">
        <v>PedidoF1546</v>
      </c>
      <c r="G1630" s="2" t="str">
        <v>CódRastreio1544</v>
      </c>
      <c r="H1630" s="5">
        <v>1</v>
      </c>
      <c r="I1630" s="182" t="str">
        <v>CPF 1576</v>
      </c>
      <c r="J1630" s="2" t="str">
        <v>Nome 1576</v>
      </c>
      <c r="K1630" s="8" t="str">
        <v>Tel 1576</v>
      </c>
      <c r="L1630" s="8" t="str">
        <v>Cep 1576</v>
      </c>
      <c r="M1630" s="8" t="str">
        <v>Rua 1576</v>
      </c>
      <c r="N1630" s="8" t="str">
        <v>Comp 1576</v>
      </c>
      <c r="O1630" s="8" t="str">
        <v>Ventilador Umidificador Preto</v>
      </c>
      <c r="P1630" s="8" t="str">
        <v>71-KHMZ-MLQW</v>
      </c>
      <c r="Q1630" s="4">
        <v>45801</v>
      </c>
      <c r="R1630" s="109">
        <v>49.99</v>
      </c>
      <c r="S1630" s="11">
        <f ca="1"/>
        <v>0</v>
      </c>
      <c r="T1630" s="28">
        <f ca="1"/>
        <v>0</v>
      </c>
      <c r="U1630" s="11">
        <f ca="1"/>
        <v>0</v>
      </c>
      <c r="V1630" s="11">
        <v>0</v>
      </c>
      <c r="W1630" s="11">
        <f ca="1"/>
        <v>0</v>
      </c>
      <c r="X1630" s="11">
        <f ca="1"/>
        <v>0.39877104377104378</v>
      </c>
      <c r="Y1630" s="11">
        <v>0</v>
      </c>
      <c r="Z1630" s="11">
        <f ca="1"/>
        <v>-0.39877104377104378</v>
      </c>
      <c r="AA1630" s="11">
        <f ca="1"/>
        <v>-0.19938552188552189</v>
      </c>
      <c r="AB1630" s="4">
        <f ca="1"/>
        <v>45808</v>
      </c>
      <c r="AC1630" s="4">
        <v>45808</v>
      </c>
      <c r="AD1630" s="9">
        <v>45824</v>
      </c>
      <c r="AE1630" s="9">
        <v>45828</v>
      </c>
      <c r="AF1630" s="4" t="str">
        <f t="shared" ca="1" si="111"/>
        <v>2025 05</v>
      </c>
      <c r="AG1630" s="8" t="str" cm="1">
        <f t="array" ref="AG1630">IFERROR(_xlfn.IFS('Banco de Dados'!#REF!="AG. COMPRA","Em processamento",'Banco de Dados'!#REF!="AG. RASTREIO","Em processamento",'Banco de Dados'!$AE1630&lt;&gt;"-","Faturado",'Banco de Dados'!$AD1630&lt;&gt;"-","Aguardando Pix",'Banco de Dados'!$AC1630&lt;&gt;"-","Pendente"),"Aguardando Liberação")</f>
        <v>Aguardando Liberação</v>
      </c>
      <c r="AH1630" s="5" t="str">
        <f>IF('Banco de Dados'!$F1630="-",_xlfn.CONCAT(PROPER(TEXT(AK1630,"aaaa"))," ",PROPER(TEXT(AK1630,"mm"))),_xlfn.CONCAT(PROPER(TEXT(E1630,"aaaa"))," ",PROPER(TEXT(E1630,"mm"))))</f>
        <v>2025 04</v>
      </c>
      <c r="AI1630" s="9" t="str">
        <f ca="1">IF('Banco de Dados'!$AK1630&lt;&gt;"-","REEMBOLSO",IFERROR(_xlfn.XLOOKUP(G1630,Follow[CODRASTREIO],Follow[STATUS]),"-"))</f>
        <v>REEMBOLSO</v>
      </c>
      <c r="AJ1630" s="9" t="str">
        <f ca="1">IF('Banco de Dados'!$AI1630="ENTREGUE",_xlfn.XLOOKUP('Banco de Dados'!$G1630,Follow[CODRASTREIO],Follow[DATAATUALIZAÇÃO]),"-")</f>
        <v>-</v>
      </c>
      <c r="AK1630" s="132">
        <f ca="1"/>
        <v>45816</v>
      </c>
      <c r="AL1630" s="35"/>
      <c r="AM1630" s="109" cm="1">
        <f t="array" aca="1" ref="AM1630" ca="1">IF('Banco de Dados'!$AK1630&lt;&gt;"-",_xlfn.IFS('Banco de Dados'!$A1630="bv",IF('Banco de Dados'!$E1630&lt;45641,ROUND(SUM('Banco de Dados'!$R1630*_xlfn.XLOOKUP('Banco de Dados'!$P1630,Sku!B:B,Sku!#REF!)*20%),2),ROUND(SUM('Banco de Dados'!$R1630*_xlfn.XLOOKUP('Banco de Dados'!$P1630,Sku!B:B,Sku!H:H)*20%),2)),'Banco de Dados'!$A1630="GO",ROUND(SUM('Banco de Dados'!$R1630*_xlfn.XLOOKUP('Banco de Dados'!$P1630,Sku!C:C,Sku!H:H)*20%),2),'Banco de Dados'!$A1630="MEI",ROUND(SUM('Banco de Dados'!$R1630*_xlfn.XLOOKUP('Banco de Dados'!$P1630,Sku!D:D,Sku!H:H)*20%),2)),0)</f>
        <v>1.4</v>
      </c>
      <c r="AN1630" s="109" t="e">
        <f ca="1">IF('Banco de Dados'!$AK1630&lt;&gt;"-",IF('Banco de Dados'!$F1630&lt;&gt;"-",_xlfn.XLOOKUP(IFERROR(IFERROR(IFERROR(VALUE(SUBSTITUTE(MID(_xlfn.TEXTAFTER('Banco de Dados'!$F1630,"Data do Pedido:
",1),1,10),"-","/")),VALUE(SUBSTITUTE(MID(_xlfn.TEXTAFTER('Banco de Dados'!$F1630,"Order date:
",1),1,10),"-","/"))),VALUE(SUBSTITUTE(MID(_xlfn.TEXTAFTER('Banco de Dados'!$F1630,"Fecha de pedido:
",1),1,10),"-","/"))),"-"),SMS!A:A,SMS!K:K),0),0)</f>
        <v>#N/A</v>
      </c>
      <c r="AO1630" s="109">
        <f ca="1">IF('Banco de Dados'!$AK1630&lt;&gt;"-",IF('Banco de Dados'!$F1630&lt;&gt;"-",IFERROR(_xlfn.XLOOKUP(_xlfn.CONCAT('Banco de Dados'!$A1630,IFERROR(IFERROR(VALUE(SUBSTITUTE(MID(_xlfn.TEXTAFTER('Banco de Dados'!$F1630,"Data do Pedido:
",1),1,10),"-","/")),VALUE(SUBSTITUTE(MID(_xlfn.TEXTAFTER('Banco de Dados'!$F1630,"Order date:
",1),1,10),"-","/"))),0)),ProxyDD[Chave],ProxyDD[Valor por pedido]),PROXY!$P$2),0),0)</f>
        <v>0.39877104377104378</v>
      </c>
      <c r="AP1630" s="28">
        <f ca="1">IF('Banco de Dados'!$AK1630&lt;&gt;"-",IF('Banco de Dados'!$AL1630="NÃO",IFERROR(VALUE(SUBSTITUTE(_xlfn.TEXTAFTER('Banco de Dados'!$F1630,"BRL ",1),".",",")),0),0),0)</f>
        <v>0</v>
      </c>
      <c r="AQ1630" s="28" t="e">
        <f ca="1">SUM('Banco de Dados'!$AM1630:$AP1630)</f>
        <v>#N/A</v>
      </c>
      <c r="AR1630" s="8"/>
      <c r="AS1630" s="8"/>
      <c r="AT1630"/>
      <c r="AY1630" s="8"/>
    </row>
    <row r="1631" spans="1:51">
      <c r="A1631" s="5" t="str">
        <v>MEI</v>
      </c>
      <c r="B1631" s="5" t="str">
        <f ca="1"/>
        <v>MEI-</v>
      </c>
      <c r="C1631" s="8" t="str">
        <v>Pedido 1618</v>
      </c>
      <c r="D1631" s="187">
        <v>45776</v>
      </c>
      <c r="E1631" s="9" t="str">
        <v>-</v>
      </c>
      <c r="F1631" s="8" t="str">
        <v>-</v>
      </c>
      <c r="G1631" s="2" t="str">
        <v>-</v>
      </c>
      <c r="H1631" s="5">
        <v>1</v>
      </c>
      <c r="I1631" s="182" t="str">
        <v>CPF 1577</v>
      </c>
      <c r="J1631" s="2" t="str">
        <v>Nome 1577</v>
      </c>
      <c r="K1631" s="8" t="str">
        <v>Tel 1577</v>
      </c>
      <c r="L1631" s="8" t="str">
        <v>Cep 1577</v>
      </c>
      <c r="M1631" s="8" t="str">
        <v>Rua 1577</v>
      </c>
      <c r="N1631" s="8" t="str">
        <v>Comp 1577</v>
      </c>
      <c r="O1631" s="8" t="str">
        <v>Maçarico Culinário Portátil</v>
      </c>
      <c r="P1631" s="8" t="str">
        <v>BG-DHRO-FAEE</v>
      </c>
      <c r="Q1631" s="4">
        <v>45801</v>
      </c>
      <c r="R1631" s="109">
        <v>23.99</v>
      </c>
      <c r="S1631" s="11">
        <f ca="1"/>
        <v>0</v>
      </c>
      <c r="T1631" s="28">
        <f ca="1"/>
        <v>0</v>
      </c>
      <c r="U1631" s="11">
        <f ca="1"/>
        <v>0</v>
      </c>
      <c r="V1631" s="11">
        <v>0</v>
      </c>
      <c r="W1631" s="11">
        <f ca="1"/>
        <v>0</v>
      </c>
      <c r="X1631" s="11">
        <f ca="1"/>
        <v>0</v>
      </c>
      <c r="Y1631" s="11">
        <v>0</v>
      </c>
      <c r="Z1631" s="11">
        <f ca="1"/>
        <v>0</v>
      </c>
      <c r="AA1631" s="11">
        <f ca="1"/>
        <v>0</v>
      </c>
      <c r="AB1631" s="4">
        <f ca="1"/>
        <v>45808</v>
      </c>
      <c r="AC1631" s="4">
        <v>45808</v>
      </c>
      <c r="AD1631" s="9">
        <v>45824</v>
      </c>
      <c r="AE1631" s="9">
        <v>45828</v>
      </c>
      <c r="AF1631" s="4" t="str">
        <f t="shared" ca="1" si="111"/>
        <v>2025 05</v>
      </c>
      <c r="AG1631" s="8" t="str" cm="1">
        <f t="array" ref="AG1631">IFERROR(_xlfn.IFS('Banco de Dados'!#REF!="AG. COMPRA","Em processamento",'Banco de Dados'!#REF!="AG. RASTREIO","Em processamento",'Banco de Dados'!$AE1631&lt;&gt;"-","Faturado",'Banco de Dados'!$AD1631&lt;&gt;"-","Aguardando Pix",'Banco de Dados'!$AC1631&lt;&gt;"-","Pendente"),"Aguardando Liberação")</f>
        <v>Aguardando Liberação</v>
      </c>
      <c r="AH1631" s="5" t="str">
        <f ca="1">IF('Banco de Dados'!$F1631="-",_xlfn.CONCAT(PROPER(TEXT(AK1631,"aaaa"))," ",PROPER(TEXT(AK1631,"mm"))),_xlfn.CONCAT(PROPER(TEXT(E1631,"aaaa"))," ",PROPER(TEXT(E1631,"mm"))))</f>
        <v>2025 05</v>
      </c>
      <c r="AI1631" s="9" t="str">
        <f ca="1">IF('Banco de Dados'!$AK1631&lt;&gt;"-","REEMBOLSO",IFERROR(_xlfn.XLOOKUP(G1631,Follow[CODRASTREIO],Follow[STATUS]),"-"))</f>
        <v>REEMBOLSO</v>
      </c>
      <c r="AJ1631" s="9" t="str">
        <f ca="1">IF('Banco de Dados'!$AI1631="ENTREGUE",_xlfn.XLOOKUP('Banco de Dados'!$G1631,Follow[CODRASTREIO],Follow[DATAATUALIZAÇÃO]),"-")</f>
        <v>-</v>
      </c>
      <c r="AK1631" s="132">
        <f ca="1"/>
        <v>45783</v>
      </c>
      <c r="AL1631" s="35"/>
      <c r="AM1631" s="109" cm="1">
        <f t="array" aca="1" ref="AM1631" ca="1">IF('Banco de Dados'!$AK1631&lt;&gt;"-",_xlfn.IFS('Banco de Dados'!$A1631="bv",IF('Banco de Dados'!$E1631&lt;45641,ROUND(SUM('Banco de Dados'!$R1631*_xlfn.XLOOKUP('Banco de Dados'!$P1631,Sku!B:B,Sku!#REF!)*20%),2),ROUND(SUM('Banco de Dados'!$R1631*_xlfn.XLOOKUP('Banco de Dados'!$P1631,Sku!B:B,Sku!H:H)*20%),2)),'Banco de Dados'!$A1631="GO",ROUND(SUM('Banco de Dados'!$R1631*_xlfn.XLOOKUP('Banco de Dados'!$P1631,Sku!C:C,Sku!H:H)*20%),2),'Banco de Dados'!$A1631="MEI",ROUND(SUM('Banco de Dados'!$R1631*_xlfn.XLOOKUP('Banco de Dados'!$P1631,Sku!D:D,Sku!H:H)*20%),2)),0)</f>
        <v>0.53</v>
      </c>
      <c r="AN1631" s="109">
        <f ca="1">IF('Banco de Dados'!$AK1631&lt;&gt;"-",IF('Banco de Dados'!$F1631&lt;&gt;"-",_xlfn.XLOOKUP(IFERROR(IFERROR(IFERROR(VALUE(SUBSTITUTE(MID(_xlfn.TEXTAFTER('Banco de Dados'!$F1631,"Data do Pedido:
",1),1,10),"-","/")),VALUE(SUBSTITUTE(MID(_xlfn.TEXTAFTER('Banco de Dados'!$F1631,"Order date:
",1),1,10),"-","/"))),VALUE(SUBSTITUTE(MID(_xlfn.TEXTAFTER('Banco de Dados'!$F1631,"Fecha de pedido:
",1),1,10),"-","/"))),"-"),SMS!A:A,SMS!K:K),0),0)</f>
        <v>0</v>
      </c>
      <c r="AO1631" s="109">
        <f ca="1">IF('Banco de Dados'!$AK1631&lt;&gt;"-",IF('Banco de Dados'!$F1631&lt;&gt;"-",IFERROR(_xlfn.XLOOKUP(_xlfn.CONCAT('Banco de Dados'!$A1631,IFERROR(IFERROR(VALUE(SUBSTITUTE(MID(_xlfn.TEXTAFTER('Banco de Dados'!$F1631,"Data do Pedido:
",1),1,10),"-","/")),VALUE(SUBSTITUTE(MID(_xlfn.TEXTAFTER('Banco de Dados'!$F1631,"Order date:
",1),1,10),"-","/"))),0)),ProxyDD[Chave],ProxyDD[Valor por pedido]),PROXY!$P$2),0),0)</f>
        <v>0</v>
      </c>
      <c r="AP1631" s="28">
        <f ca="1">IF('Banco de Dados'!$AK1631&lt;&gt;"-",IF('Banco de Dados'!$AL1631="NÃO",IFERROR(VALUE(SUBSTITUTE(_xlfn.TEXTAFTER('Banco de Dados'!$F1631,"BRL ",1),".",",")),0),0),0)</f>
        <v>0</v>
      </c>
      <c r="AQ1631" s="28">
        <f ca="1">SUM('Banco de Dados'!$AM1631:$AP1631)</f>
        <v>0.53</v>
      </c>
      <c r="AR1631" s="8"/>
      <c r="AS1631" s="8"/>
      <c r="AT1631"/>
      <c r="AY1631" s="8"/>
    </row>
    <row r="1632" spans="1:51">
      <c r="A1632" s="5" t="str">
        <v>MEI</v>
      </c>
      <c r="B1632" s="5" t="str">
        <f ca="1"/>
        <v>MEI45776</v>
      </c>
      <c r="C1632" s="8" t="str">
        <v>Pedido 1619</v>
      </c>
      <c r="D1632" s="187">
        <v>45776</v>
      </c>
      <c r="E1632" s="9">
        <v>45776</v>
      </c>
      <c r="F1632" s="8" t="str">
        <v>PedidoF1547</v>
      </c>
      <c r="G1632" s="2" t="str">
        <v>CódRastreio1545</v>
      </c>
      <c r="H1632" s="5">
        <v>1</v>
      </c>
      <c r="I1632" s="182" t="str">
        <v>CPF 1578</v>
      </c>
      <c r="J1632" s="2" t="str">
        <v>Nome 1578</v>
      </c>
      <c r="K1632" s="8" t="str">
        <v>Tel 1578</v>
      </c>
      <c r="L1632" s="8" t="str">
        <v>Cep 1578</v>
      </c>
      <c r="M1632" s="8" t="str">
        <v>Rua 1578</v>
      </c>
      <c r="N1632" s="8" t="str">
        <v>Comp 1578</v>
      </c>
      <c r="O1632" s="8" t="str">
        <v>Ventilador Azul</v>
      </c>
      <c r="P1632" s="8" t="str">
        <v>PK-L2Z7-MQRQ</v>
      </c>
      <c r="Q1632" s="4">
        <v>45808</v>
      </c>
      <c r="R1632" s="109">
        <v>49.9</v>
      </c>
      <c r="S1632" s="11">
        <f ca="1"/>
        <v>0</v>
      </c>
      <c r="T1632" s="28">
        <f ca="1"/>
        <v>0</v>
      </c>
      <c r="U1632" s="11">
        <f ca="1"/>
        <v>0</v>
      </c>
      <c r="V1632" s="11">
        <v>0</v>
      </c>
      <c r="W1632" s="11">
        <f ca="1"/>
        <v>0</v>
      </c>
      <c r="X1632" s="11">
        <f ca="1"/>
        <v>0.39877104377104378</v>
      </c>
      <c r="Y1632" s="11">
        <v>0</v>
      </c>
      <c r="Z1632" s="11">
        <f ca="1"/>
        <v>-0.39877104377104378</v>
      </c>
      <c r="AA1632" s="11">
        <f ca="1"/>
        <v>-0.19938552188552189</v>
      </c>
      <c r="AB1632" s="4">
        <f ca="1"/>
        <v>45815</v>
      </c>
      <c r="AC1632" s="4">
        <v>45815</v>
      </c>
      <c r="AD1632" s="9">
        <v>45824</v>
      </c>
      <c r="AE1632" s="9">
        <v>45828</v>
      </c>
      <c r="AF1632" s="4" t="str">
        <f t="shared" ca="1" si="111"/>
        <v>2025 06</v>
      </c>
      <c r="AG1632" s="8" t="str" cm="1">
        <f t="array" ref="AG1632">IFERROR(_xlfn.IFS('Banco de Dados'!#REF!="AG. COMPRA","Em processamento",'Banco de Dados'!#REF!="AG. RASTREIO","Em processamento",'Banco de Dados'!$AE1632&lt;&gt;"-","Faturado",'Banco de Dados'!$AD1632&lt;&gt;"-","Aguardando Pix",'Banco de Dados'!$AC1632&lt;&gt;"-","Pendente"),"Aguardando Liberação")</f>
        <v>Aguardando Liberação</v>
      </c>
      <c r="AH1632" s="5" t="str">
        <f>IF('Banco de Dados'!$F1632="-",_xlfn.CONCAT(PROPER(TEXT(AK1632,"aaaa"))," ",PROPER(TEXT(AK1632,"mm"))),_xlfn.CONCAT(PROPER(TEXT(E1632,"aaaa"))," ",PROPER(TEXT(E1632,"mm"))))</f>
        <v>2025 04</v>
      </c>
      <c r="AI1632" s="9" t="str">
        <f ca="1">IF('Banco de Dados'!$AK1632&lt;&gt;"-","REEMBOLSO",IFERROR(_xlfn.XLOOKUP(G1632,Follow[CODRASTREIO],Follow[STATUS]),"-"))</f>
        <v>REEMBOLSO</v>
      </c>
      <c r="AJ1632" s="9" t="str">
        <f ca="1">IF('Banco de Dados'!$AI1632="ENTREGUE",_xlfn.XLOOKUP('Banco de Dados'!$G1632,Follow[CODRASTREIO],Follow[DATAATUALIZAÇÃO]),"-")</f>
        <v>-</v>
      </c>
      <c r="AK1632" s="132">
        <f ca="1"/>
        <v>45817</v>
      </c>
      <c r="AL1632" s="35"/>
      <c r="AM1632" s="109" cm="1">
        <f t="array" aca="1" ref="AM1632" ca="1">IF('Banco de Dados'!$AK1632&lt;&gt;"-",_xlfn.IFS('Banco de Dados'!$A1632="bv",IF('Banco de Dados'!$E1632&lt;45641,ROUND(SUM('Banco de Dados'!$R1632*_xlfn.XLOOKUP('Banco de Dados'!$P1632,Sku!B:B,Sku!#REF!)*20%),2),ROUND(SUM('Banco de Dados'!$R1632*_xlfn.XLOOKUP('Banco de Dados'!$P1632,Sku!B:B,Sku!H:H)*20%),2)),'Banco de Dados'!$A1632="GO",ROUND(SUM('Banco de Dados'!$R1632*_xlfn.XLOOKUP('Banco de Dados'!$P1632,Sku!C:C,Sku!H:H)*20%),2),'Banco de Dados'!$A1632="MEI",ROUND(SUM('Banco de Dados'!$R1632*_xlfn.XLOOKUP('Banco de Dados'!$P1632,Sku!D:D,Sku!H:H)*20%),2)),0)</f>
        <v>1.3</v>
      </c>
      <c r="AN1632" s="109" t="e">
        <f ca="1">IF('Banco de Dados'!$AK1632&lt;&gt;"-",IF('Banco de Dados'!$F1632&lt;&gt;"-",_xlfn.XLOOKUP(IFERROR(IFERROR(IFERROR(VALUE(SUBSTITUTE(MID(_xlfn.TEXTAFTER('Banco de Dados'!$F1632,"Data do Pedido:
",1),1,10),"-","/")),VALUE(SUBSTITUTE(MID(_xlfn.TEXTAFTER('Banco de Dados'!$F1632,"Order date:
",1),1,10),"-","/"))),VALUE(SUBSTITUTE(MID(_xlfn.TEXTAFTER('Banco de Dados'!$F1632,"Fecha de pedido:
",1),1,10),"-","/"))),"-"),SMS!A:A,SMS!K:K),0),0)</f>
        <v>#N/A</v>
      </c>
      <c r="AO1632" s="109">
        <f ca="1">IF('Banco de Dados'!$AK1632&lt;&gt;"-",IF('Banco de Dados'!$F1632&lt;&gt;"-",IFERROR(_xlfn.XLOOKUP(_xlfn.CONCAT('Banco de Dados'!$A1632,IFERROR(IFERROR(VALUE(SUBSTITUTE(MID(_xlfn.TEXTAFTER('Banco de Dados'!$F1632,"Data do Pedido:
",1),1,10),"-","/")),VALUE(SUBSTITUTE(MID(_xlfn.TEXTAFTER('Banco de Dados'!$F1632,"Order date:
",1),1,10),"-","/"))),0)),ProxyDD[Chave],ProxyDD[Valor por pedido]),PROXY!$P$2),0),0)</f>
        <v>0.39877104377104378</v>
      </c>
      <c r="AP1632" s="28">
        <f ca="1">IF('Banco de Dados'!$AK1632&lt;&gt;"-",IF('Banco de Dados'!$AL1632="NÃO",IFERROR(VALUE(SUBSTITUTE(_xlfn.TEXTAFTER('Banco de Dados'!$F1632,"BRL ",1),".",",")),0),0),0)</f>
        <v>0</v>
      </c>
      <c r="AQ1632" s="28" t="e">
        <f ca="1">SUM('Banco de Dados'!$AM1632:$AP1632)</f>
        <v>#N/A</v>
      </c>
      <c r="AR1632" s="8"/>
      <c r="AS1632" s="8"/>
      <c r="AT1632"/>
      <c r="AY1632" s="8"/>
    </row>
    <row r="1633" spans="1:51">
      <c r="A1633" s="5" t="str">
        <v>MEI</v>
      </c>
      <c r="B1633" s="5" t="str">
        <f ca="1"/>
        <v>MEI45777</v>
      </c>
      <c r="C1633" s="8" t="str">
        <v>Pedido 1620</v>
      </c>
      <c r="D1633" s="187">
        <v>45776</v>
      </c>
      <c r="E1633" s="9">
        <v>45777</v>
      </c>
      <c r="F1633" s="8" t="str">
        <v>PedidoF1548</v>
      </c>
      <c r="G1633" s="2" t="str">
        <v>CódRastreio1546</v>
      </c>
      <c r="H1633" s="5">
        <v>1</v>
      </c>
      <c r="I1633" s="182" t="str">
        <v>CPF 1579</v>
      </c>
      <c r="J1633" s="2" t="str">
        <v>Nome 1579</v>
      </c>
      <c r="K1633" s="8" t="str">
        <v>Tel 1579</v>
      </c>
      <c r="L1633" s="8" t="str">
        <v>Cep 1579</v>
      </c>
      <c r="M1633" s="8" t="str">
        <v>Rua 1579</v>
      </c>
      <c r="N1633" s="8" t="str">
        <v>Comp 1579</v>
      </c>
      <c r="O1633" s="8" t="str">
        <v>Copo Termico</v>
      </c>
      <c r="P1633" s="8" t="str">
        <v>VI-4RT5-1FFO</v>
      </c>
      <c r="Q1633" s="4">
        <v>45801</v>
      </c>
      <c r="R1633" s="109">
        <v>22.7</v>
      </c>
      <c r="S1633" s="11">
        <f ca="1"/>
        <v>22.7</v>
      </c>
      <c r="T1633" s="28">
        <f ca="1"/>
        <v>2.7239999999999998</v>
      </c>
      <c r="U1633" s="11">
        <f ca="1"/>
        <v>19.98</v>
      </c>
      <c r="V1633" s="11">
        <v>12.17</v>
      </c>
      <c r="W1633" s="11">
        <f ca="1"/>
        <v>0.12</v>
      </c>
      <c r="X1633" s="11">
        <f ca="1"/>
        <v>0.39877104377104378</v>
      </c>
      <c r="Y1633" s="11">
        <v>0</v>
      </c>
      <c r="Z1633" s="11">
        <f ca="1"/>
        <v>7.2912289562289576</v>
      </c>
      <c r="AA1633" s="11">
        <f ca="1"/>
        <v>3.6456144781144788</v>
      </c>
      <c r="AB1633" s="4">
        <f ca="1"/>
        <v>45808</v>
      </c>
      <c r="AC1633" s="4">
        <v>45808</v>
      </c>
      <c r="AD1633" s="9">
        <v>45824</v>
      </c>
      <c r="AE1633" s="9">
        <v>45828</v>
      </c>
      <c r="AF1633" s="4" t="str">
        <f t="shared" ca="1" si="111"/>
        <v>2025 05</v>
      </c>
      <c r="AG1633" s="8" t="str" cm="1">
        <f t="array" ref="AG1633">IFERROR(_xlfn.IFS('Banco de Dados'!#REF!="AG. COMPRA","Em processamento",'Banco de Dados'!#REF!="AG. RASTREIO","Em processamento",'Banco de Dados'!$AE1633&lt;&gt;"-","Faturado",'Banco de Dados'!$AD1633&lt;&gt;"-","Aguardando Pix",'Banco de Dados'!$AC1633&lt;&gt;"-","Pendente"),"Aguardando Liberação")</f>
        <v>Aguardando Liberação</v>
      </c>
      <c r="AH1633" s="5" t="str">
        <f>IF('Banco de Dados'!$F1633="-",_xlfn.CONCAT(PROPER(TEXT(AK1633,"aaaa"))," ",PROPER(TEXT(AK1633,"mm"))),_xlfn.CONCAT(PROPER(TEXT(E1633,"aaaa"))," ",PROPER(TEXT(E1633,"mm"))))</f>
        <v>2025 04</v>
      </c>
      <c r="AI1633" s="9" t="str">
        <f ca="1">IF('Banco de Dados'!$AK1633&lt;&gt;"-","REEMBOLSO",IFERROR(_xlfn.XLOOKUP(G1633,Follow[CODRASTREIO],Follow[STATUS]),"-"))</f>
        <v>ENTREGUE</v>
      </c>
      <c r="AJ1633" s="9">
        <f ca="1">IF('Banco de Dados'!$AI1633="ENTREGUE",_xlfn.XLOOKUP('Banco de Dados'!$G1633,Follow[CODRASTREIO],Follow[DATAATUALIZAÇÃO]),"-")</f>
        <v>45787</v>
      </c>
      <c r="AK1633" s="132" t="str">
        <f ca="1"/>
        <v>-</v>
      </c>
      <c r="AL1633" s="35"/>
      <c r="AM1633" s="109" cm="1">
        <f t="array" aca="1" ref="AM1633" ca="1">IF('Banco de Dados'!$AK1633&lt;&gt;"-",_xlfn.IFS('Banco de Dados'!$A1633="bv",IF('Banco de Dados'!$E1633&lt;45641,ROUND(SUM('Banco de Dados'!$R1633*_xlfn.XLOOKUP('Banco de Dados'!$P1633,Sku!B:B,Sku!#REF!)*20%),2),ROUND(SUM('Banco de Dados'!$R1633*_xlfn.XLOOKUP('Banco de Dados'!$P1633,Sku!B:B,Sku!H:H)*20%),2)),'Banco de Dados'!$A1633="GO",ROUND(SUM('Banco de Dados'!$R1633*_xlfn.XLOOKUP('Banco de Dados'!$P1633,Sku!C:C,Sku!H:H)*20%),2),'Banco de Dados'!$A1633="MEI",ROUND(SUM('Banco de Dados'!$R1633*_xlfn.XLOOKUP('Banco de Dados'!$P1633,Sku!D:D,Sku!H:H)*20%),2)),0)</f>
        <v>0</v>
      </c>
      <c r="AN1633" s="109">
        <f ca="1">IF('Banco de Dados'!$AK1633&lt;&gt;"-",IF('Banco de Dados'!$F1633&lt;&gt;"-",_xlfn.XLOOKUP(IFERROR(IFERROR(IFERROR(VALUE(SUBSTITUTE(MID(_xlfn.TEXTAFTER('Banco de Dados'!$F1633,"Data do Pedido:
",1),1,10),"-","/")),VALUE(SUBSTITUTE(MID(_xlfn.TEXTAFTER('Banco de Dados'!$F1633,"Order date:
",1),1,10),"-","/"))),VALUE(SUBSTITUTE(MID(_xlfn.TEXTAFTER('Banco de Dados'!$F1633,"Fecha de pedido:
",1),1,10),"-","/"))),"-"),SMS!A:A,SMS!K:K),0),0)</f>
        <v>0</v>
      </c>
      <c r="AO1633" s="109">
        <f ca="1">IF('Banco de Dados'!$AK1633&lt;&gt;"-",IF('Banco de Dados'!$F1633&lt;&gt;"-",IFERROR(_xlfn.XLOOKUP(_xlfn.CONCAT('Banco de Dados'!$A1633,IFERROR(IFERROR(VALUE(SUBSTITUTE(MID(_xlfn.TEXTAFTER('Banco de Dados'!$F1633,"Data do Pedido:
",1),1,10),"-","/")),VALUE(SUBSTITUTE(MID(_xlfn.TEXTAFTER('Banco de Dados'!$F1633,"Order date:
",1),1,10),"-","/"))),0)),ProxyDD[Chave],ProxyDD[Valor por pedido]),PROXY!$P$2),0),0)</f>
        <v>0</v>
      </c>
      <c r="AP1633" s="28">
        <f ca="1">IF('Banco de Dados'!$AK1633&lt;&gt;"-",IF('Banco de Dados'!$AL1633="NÃO",IFERROR(VALUE(SUBSTITUTE(_xlfn.TEXTAFTER('Banco de Dados'!$F1633,"BRL ",1),".",",")),0),0),0)</f>
        <v>0</v>
      </c>
      <c r="AQ1633" s="28">
        <f ca="1">SUM('Banco de Dados'!$AM1633:$AP1633)</f>
        <v>0</v>
      </c>
      <c r="AR1633" s="8"/>
      <c r="AS1633" s="8"/>
      <c r="AT1633"/>
      <c r="AY1633" s="8"/>
    </row>
    <row r="1634" spans="1:51">
      <c r="A1634" s="5" t="str">
        <v>MEI</v>
      </c>
      <c r="B1634" s="5" t="str">
        <f ca="1"/>
        <v>MEI45783</v>
      </c>
      <c r="C1634" s="8" t="str">
        <v>Pedido 1621</v>
      </c>
      <c r="D1634" s="187">
        <v>45776</v>
      </c>
      <c r="E1634" s="9">
        <v>45783</v>
      </c>
      <c r="F1634" s="8" t="str">
        <v>PedidoF1549</v>
      </c>
      <c r="G1634" s="2" t="str">
        <v>CódRastreio1547</v>
      </c>
      <c r="H1634" s="5">
        <v>1</v>
      </c>
      <c r="I1634" s="182" t="str">
        <v>CPF 1580</v>
      </c>
      <c r="J1634" s="2" t="str">
        <v>Nome 1580</v>
      </c>
      <c r="K1634" s="8" t="str">
        <v>Tel 1580</v>
      </c>
      <c r="L1634" s="8" t="str">
        <v>Cep 1580</v>
      </c>
      <c r="M1634" s="8" t="str">
        <v>Rua 1580</v>
      </c>
      <c r="N1634" s="8" t="str">
        <v>Comp 1580</v>
      </c>
      <c r="O1634" s="8" t="str">
        <v>Maçarico Culinário Portátil</v>
      </c>
      <c r="P1634" s="8" t="str">
        <v>BG-DHRO-FAEE</v>
      </c>
      <c r="Q1634" s="4">
        <v>45801</v>
      </c>
      <c r="R1634" s="109">
        <v>23.99</v>
      </c>
      <c r="S1634" s="11">
        <f ca="1"/>
        <v>0</v>
      </c>
      <c r="T1634" s="28">
        <f ca="1"/>
        <v>0</v>
      </c>
      <c r="U1634" s="11">
        <f ca="1"/>
        <v>0</v>
      </c>
      <c r="V1634" s="11">
        <v>0</v>
      </c>
      <c r="W1634" s="11">
        <f ca="1"/>
        <v>0</v>
      </c>
      <c r="X1634" s="11">
        <f ca="1"/>
        <v>0.39877104377104378</v>
      </c>
      <c r="Y1634" s="11">
        <v>0</v>
      </c>
      <c r="Z1634" s="11">
        <f ca="1"/>
        <v>-0.39877104377104378</v>
      </c>
      <c r="AA1634" s="11">
        <f ca="1"/>
        <v>-0.19938552188552189</v>
      </c>
      <c r="AB1634" s="4">
        <f ca="1"/>
        <v>45808</v>
      </c>
      <c r="AC1634" s="4">
        <v>45808</v>
      </c>
      <c r="AD1634" s="9">
        <v>45824</v>
      </c>
      <c r="AE1634" s="9">
        <v>45828</v>
      </c>
      <c r="AF1634" s="4" t="str">
        <f t="shared" ca="1" si="111"/>
        <v>2025 05</v>
      </c>
      <c r="AG1634" s="8" t="str" cm="1">
        <f t="array" ref="AG1634">IFERROR(_xlfn.IFS('Banco de Dados'!#REF!="AG. COMPRA","Em processamento",'Banco de Dados'!#REF!="AG. RASTREIO","Em processamento",'Banco de Dados'!$AE1634&lt;&gt;"-","Faturado",'Banco de Dados'!$AD1634&lt;&gt;"-","Aguardando Pix",'Banco de Dados'!$AC1634&lt;&gt;"-","Pendente"),"Aguardando Liberação")</f>
        <v>Aguardando Liberação</v>
      </c>
      <c r="AH1634" s="5" t="str">
        <f>IF('Banco de Dados'!$F1634="-",_xlfn.CONCAT(PROPER(TEXT(AK1634,"aaaa"))," ",PROPER(TEXT(AK1634,"mm"))),_xlfn.CONCAT(PROPER(TEXT(E1634,"aaaa"))," ",PROPER(TEXT(E1634,"mm"))))</f>
        <v>2025 05</v>
      </c>
      <c r="AI1634" s="9" t="str">
        <f ca="1">IF('Banco de Dados'!$AK1634&lt;&gt;"-","REEMBOLSO",IFERROR(_xlfn.XLOOKUP(G1634,Follow[CODRASTREIO],Follow[STATUS]),"-"))</f>
        <v>REEMBOLSO</v>
      </c>
      <c r="AJ1634" s="9" t="str">
        <f ca="1">IF('Banco de Dados'!$AI1634="ENTREGUE",_xlfn.XLOOKUP('Banco de Dados'!$G1634,Follow[CODRASTREIO],Follow[DATAATUALIZAÇÃO]),"-")</f>
        <v>-</v>
      </c>
      <c r="AK1634" s="132">
        <f ca="1"/>
        <v>45808</v>
      </c>
      <c r="AL1634" s="35"/>
      <c r="AM1634" s="109" cm="1">
        <f t="array" aca="1" ref="AM1634" ca="1">IF('Banco de Dados'!$AK1634&lt;&gt;"-",_xlfn.IFS('Banco de Dados'!$A1634="bv",IF('Banco de Dados'!$E1634&lt;45641,ROUND(SUM('Banco de Dados'!$R1634*_xlfn.XLOOKUP('Banco de Dados'!$P1634,Sku!B:B,Sku!#REF!)*20%),2),ROUND(SUM('Banco de Dados'!$R1634*_xlfn.XLOOKUP('Banco de Dados'!$P1634,Sku!B:B,Sku!H:H)*20%),2)),'Banco de Dados'!$A1634="GO",ROUND(SUM('Banco de Dados'!$R1634*_xlfn.XLOOKUP('Banco de Dados'!$P1634,Sku!C:C,Sku!H:H)*20%),2),'Banco de Dados'!$A1634="MEI",ROUND(SUM('Banco de Dados'!$R1634*_xlfn.XLOOKUP('Banco de Dados'!$P1634,Sku!D:D,Sku!H:H)*20%),2)),0)</f>
        <v>0.53</v>
      </c>
      <c r="AN1634" s="109" t="e">
        <f ca="1">IF('Banco de Dados'!$AK1634&lt;&gt;"-",IF('Banco de Dados'!$F1634&lt;&gt;"-",_xlfn.XLOOKUP(IFERROR(IFERROR(IFERROR(VALUE(SUBSTITUTE(MID(_xlfn.TEXTAFTER('Banco de Dados'!$F1634,"Data do Pedido:
",1),1,10),"-","/")),VALUE(SUBSTITUTE(MID(_xlfn.TEXTAFTER('Banco de Dados'!$F1634,"Order date:
",1),1,10),"-","/"))),VALUE(SUBSTITUTE(MID(_xlfn.TEXTAFTER('Banco de Dados'!$F1634,"Fecha de pedido:
",1),1,10),"-","/"))),"-"),SMS!A:A,SMS!K:K),0),0)</f>
        <v>#N/A</v>
      </c>
      <c r="AO1634" s="109">
        <f ca="1">IF('Banco de Dados'!$AK1634&lt;&gt;"-",IF('Banco de Dados'!$F1634&lt;&gt;"-",IFERROR(_xlfn.XLOOKUP(_xlfn.CONCAT('Banco de Dados'!$A1634,IFERROR(IFERROR(VALUE(SUBSTITUTE(MID(_xlfn.TEXTAFTER('Banco de Dados'!$F1634,"Data do Pedido:
",1),1,10),"-","/")),VALUE(SUBSTITUTE(MID(_xlfn.TEXTAFTER('Banco de Dados'!$F1634,"Order date:
",1),1,10),"-","/"))),0)),ProxyDD[Chave],ProxyDD[Valor por pedido]),PROXY!$P$2),0),0)</f>
        <v>0.39877104377104378</v>
      </c>
      <c r="AP1634" s="28">
        <f ca="1">IF('Banco de Dados'!$AK1634&lt;&gt;"-",IF('Banco de Dados'!$AL1634="NÃO",IFERROR(VALUE(SUBSTITUTE(_xlfn.TEXTAFTER('Banco de Dados'!$F1634,"BRL ",1),".",",")),0),0),0)</f>
        <v>0</v>
      </c>
      <c r="AQ1634" s="28" t="e">
        <f ca="1">SUM('Banco de Dados'!$AM1634:$AP1634)</f>
        <v>#N/A</v>
      </c>
      <c r="AR1634" s="8"/>
      <c r="AS1634" s="8"/>
      <c r="AT1634"/>
      <c r="AY1634" s="8"/>
    </row>
    <row r="1635" spans="1:51">
      <c r="A1635" s="5" t="str">
        <v>MEI</v>
      </c>
      <c r="B1635" s="5" t="str">
        <f ca="1"/>
        <v>MEI45776</v>
      </c>
      <c r="C1635" s="8" t="str">
        <v>Pedido 1622</v>
      </c>
      <c r="D1635" s="187">
        <v>45776</v>
      </c>
      <c r="E1635" s="9">
        <v>45776</v>
      </c>
      <c r="F1635" s="8" t="str">
        <v>PedidoF1550</v>
      </c>
      <c r="G1635" s="2" t="str">
        <v>CódRastreio1548</v>
      </c>
      <c r="H1635" s="5">
        <v>1</v>
      </c>
      <c r="I1635" s="182" t="str">
        <v>CPF 1581</v>
      </c>
      <c r="J1635" s="2" t="str">
        <v>Nome 1581</v>
      </c>
      <c r="K1635" s="8" t="str">
        <v>Tel 1581</v>
      </c>
      <c r="L1635" s="8" t="str">
        <v>Cep 1581</v>
      </c>
      <c r="M1635" s="8" t="str">
        <v>Rua 1581</v>
      </c>
      <c r="N1635" s="8" t="str">
        <v>Comp 1581</v>
      </c>
      <c r="O1635" s="8" t="str">
        <v>Ventilador Rosa</v>
      </c>
      <c r="P1635" s="8" t="str">
        <v>WR-82Y0-OV27</v>
      </c>
      <c r="Q1635" s="4">
        <v>45804</v>
      </c>
      <c r="R1635" s="109">
        <v>49.9</v>
      </c>
      <c r="S1635" s="11">
        <f ca="1"/>
        <v>0</v>
      </c>
      <c r="T1635" s="28">
        <f ca="1"/>
        <v>0</v>
      </c>
      <c r="U1635" s="11">
        <f ca="1"/>
        <v>0</v>
      </c>
      <c r="V1635" s="11">
        <v>0</v>
      </c>
      <c r="W1635" s="11">
        <f ca="1"/>
        <v>0</v>
      </c>
      <c r="X1635" s="11">
        <f ca="1"/>
        <v>0.39877104377104378</v>
      </c>
      <c r="Y1635" s="11">
        <v>0</v>
      </c>
      <c r="Z1635" s="11">
        <f ca="1"/>
        <v>-0.39877104377104378</v>
      </c>
      <c r="AA1635" s="11">
        <f ca="1"/>
        <v>-0.19938552188552189</v>
      </c>
      <c r="AB1635" s="4">
        <f ca="1"/>
        <v>45811</v>
      </c>
      <c r="AC1635" s="4">
        <v>45811</v>
      </c>
      <c r="AD1635" s="9">
        <v>45824</v>
      </c>
      <c r="AE1635" s="9">
        <v>45828</v>
      </c>
      <c r="AF1635" s="4" t="str">
        <f t="shared" ca="1" si="111"/>
        <v>2025 06</v>
      </c>
      <c r="AG1635" s="8" t="str" cm="1">
        <f t="array" ref="AG1635">IFERROR(_xlfn.IFS('Banco de Dados'!#REF!="AG. COMPRA","Em processamento",'Banco de Dados'!#REF!="AG. RASTREIO","Em processamento",'Banco de Dados'!$AE1635&lt;&gt;"-","Faturado",'Banco de Dados'!$AD1635&lt;&gt;"-","Aguardando Pix",'Banco de Dados'!$AC1635&lt;&gt;"-","Pendente"),"Aguardando Liberação")</f>
        <v>Aguardando Liberação</v>
      </c>
      <c r="AH1635" s="5" t="str">
        <f>IF('Banco de Dados'!$F1635="-",_xlfn.CONCAT(PROPER(TEXT(AK1635,"aaaa"))," ",PROPER(TEXT(AK1635,"mm"))),_xlfn.CONCAT(PROPER(TEXT(E1635,"aaaa"))," ",PROPER(TEXT(E1635,"mm"))))</f>
        <v>2025 04</v>
      </c>
      <c r="AI1635" s="9" t="str">
        <f ca="1">IF('Banco de Dados'!$AK1635&lt;&gt;"-","REEMBOLSO",IFERROR(_xlfn.XLOOKUP(G1635,Follow[CODRASTREIO],Follow[STATUS]),"-"))</f>
        <v>REEMBOLSO</v>
      </c>
      <c r="AJ1635" s="9" t="str">
        <f ca="1">IF('Banco de Dados'!$AI1635="ENTREGUE",_xlfn.XLOOKUP('Banco de Dados'!$G1635,Follow[CODRASTREIO],Follow[DATAATUALIZAÇÃO]),"-")</f>
        <v>-</v>
      </c>
      <c r="AK1635" s="132">
        <f ca="1"/>
        <v>45808</v>
      </c>
      <c r="AL1635" s="35"/>
      <c r="AM1635" s="109" cm="1">
        <f t="array" aca="1" ref="AM1635" ca="1">IF('Banco de Dados'!$AK1635&lt;&gt;"-",_xlfn.IFS('Banco de Dados'!$A1635="bv",IF('Banco de Dados'!$E1635&lt;45641,ROUND(SUM('Banco de Dados'!$R1635*_xlfn.XLOOKUP('Banco de Dados'!$P1635,Sku!B:B,Sku!#REF!)*20%),2),ROUND(SUM('Banco de Dados'!$R1635*_xlfn.XLOOKUP('Banco de Dados'!$P1635,Sku!B:B,Sku!H:H)*20%),2)),'Banco de Dados'!$A1635="GO",ROUND(SUM('Banco de Dados'!$R1635*_xlfn.XLOOKUP('Banco de Dados'!$P1635,Sku!C:C,Sku!H:H)*20%),2),'Banco de Dados'!$A1635="MEI",ROUND(SUM('Banco de Dados'!$R1635*_xlfn.XLOOKUP('Banco de Dados'!$P1635,Sku!D:D,Sku!H:H)*20%),2)),0)</f>
        <v>1.3</v>
      </c>
      <c r="AN1635" s="109" t="e">
        <f ca="1">IF('Banco de Dados'!$AK1635&lt;&gt;"-",IF('Banco de Dados'!$F1635&lt;&gt;"-",_xlfn.XLOOKUP(IFERROR(IFERROR(IFERROR(VALUE(SUBSTITUTE(MID(_xlfn.TEXTAFTER('Banco de Dados'!$F1635,"Data do Pedido:
",1),1,10),"-","/")),VALUE(SUBSTITUTE(MID(_xlfn.TEXTAFTER('Banco de Dados'!$F1635,"Order date:
",1),1,10),"-","/"))),VALUE(SUBSTITUTE(MID(_xlfn.TEXTAFTER('Banco de Dados'!$F1635,"Fecha de pedido:
",1),1,10),"-","/"))),"-"),SMS!A:A,SMS!K:K),0),0)</f>
        <v>#N/A</v>
      </c>
      <c r="AO1635" s="109">
        <f ca="1">IF('Banco de Dados'!$AK1635&lt;&gt;"-",IF('Banco de Dados'!$F1635&lt;&gt;"-",IFERROR(_xlfn.XLOOKUP(_xlfn.CONCAT('Banco de Dados'!$A1635,IFERROR(IFERROR(VALUE(SUBSTITUTE(MID(_xlfn.TEXTAFTER('Banco de Dados'!$F1635,"Data do Pedido:
",1),1,10),"-","/")),VALUE(SUBSTITUTE(MID(_xlfn.TEXTAFTER('Banco de Dados'!$F1635,"Order date:
",1),1,10),"-","/"))),0)),ProxyDD[Chave],ProxyDD[Valor por pedido]),PROXY!$P$2),0),0)</f>
        <v>0.39877104377104378</v>
      </c>
      <c r="AP1635" s="28">
        <f ca="1">IF('Banco de Dados'!$AK1635&lt;&gt;"-",IF('Banco de Dados'!$AL1635="NÃO",IFERROR(VALUE(SUBSTITUTE(_xlfn.TEXTAFTER('Banco de Dados'!$F1635,"BRL ",1),".",",")),0),0),0)</f>
        <v>0</v>
      </c>
      <c r="AQ1635" s="28" t="e">
        <f ca="1">SUM('Banco de Dados'!$AM1635:$AP1635)</f>
        <v>#N/A</v>
      </c>
      <c r="AR1635" s="8"/>
      <c r="AS1635" s="8"/>
      <c r="AT1635"/>
      <c r="AY1635" s="8"/>
    </row>
    <row r="1636" spans="1:51">
      <c r="A1636" s="5" t="str">
        <v>MEI</v>
      </c>
      <c r="B1636" s="5" t="str">
        <f ca="1"/>
        <v>MEI45776</v>
      </c>
      <c r="C1636" s="8" t="str">
        <v>Pedido 1623</v>
      </c>
      <c r="D1636" s="187">
        <v>45776</v>
      </c>
      <c r="E1636" s="9">
        <v>45776</v>
      </c>
      <c r="F1636" s="8" t="str">
        <v>PedidoF1551</v>
      </c>
      <c r="G1636" s="2" t="str">
        <v>CódRastreio1549</v>
      </c>
      <c r="H1636" s="5">
        <v>1</v>
      </c>
      <c r="I1636" s="182" t="str">
        <v>CPF 1582</v>
      </c>
      <c r="J1636" s="2" t="str">
        <v>Nome 1582</v>
      </c>
      <c r="K1636" s="8" t="str">
        <v>Tel 1582</v>
      </c>
      <c r="L1636" s="8" t="str">
        <v>Cep 1582</v>
      </c>
      <c r="M1636" s="8" t="str">
        <v>Rua 1582</v>
      </c>
      <c r="N1636" s="8" t="str">
        <v>Comp 1582</v>
      </c>
      <c r="O1636" s="8" t="str">
        <v>Ventilador Azul</v>
      </c>
      <c r="P1636" s="8" t="str">
        <v>PK-L2Z7-MQRQ</v>
      </c>
      <c r="Q1636" s="4">
        <v>45804</v>
      </c>
      <c r="R1636" s="109">
        <v>49.9</v>
      </c>
      <c r="S1636" s="11">
        <f ca="1"/>
        <v>49.9</v>
      </c>
      <c r="T1636" s="28">
        <f ca="1"/>
        <v>5.9879999999999995</v>
      </c>
      <c r="U1636" s="11">
        <f ca="1"/>
        <v>43.91</v>
      </c>
      <c r="V1636" s="11">
        <v>22.03</v>
      </c>
      <c r="W1636" s="11">
        <f ca="1"/>
        <v>0.14000000000000001</v>
      </c>
      <c r="X1636" s="11">
        <f ca="1"/>
        <v>0.39877104377104378</v>
      </c>
      <c r="Y1636" s="11">
        <v>0</v>
      </c>
      <c r="Z1636" s="11">
        <f ca="1"/>
        <v>21.341228956228949</v>
      </c>
      <c r="AA1636" s="11">
        <f ca="1"/>
        <v>10.670614478114475</v>
      </c>
      <c r="AB1636" s="4">
        <f ca="1"/>
        <v>45811</v>
      </c>
      <c r="AC1636" s="4">
        <v>45811</v>
      </c>
      <c r="AD1636" s="9">
        <v>45824</v>
      </c>
      <c r="AE1636" s="9">
        <v>45828</v>
      </c>
      <c r="AF1636" s="4" t="str">
        <f t="shared" ca="1" si="111"/>
        <v>2025 06</v>
      </c>
      <c r="AG1636" s="8" t="str" cm="1">
        <f t="array" ref="AG1636">IFERROR(_xlfn.IFS('Banco de Dados'!#REF!="AG. COMPRA","Em processamento",'Banco de Dados'!#REF!="AG. RASTREIO","Em processamento",'Banco de Dados'!$AE1636&lt;&gt;"-","Faturado",'Banco de Dados'!$AD1636&lt;&gt;"-","Aguardando Pix",'Banco de Dados'!$AC1636&lt;&gt;"-","Pendente"),"Aguardando Liberação")</f>
        <v>Aguardando Liberação</v>
      </c>
      <c r="AH1636" s="5" t="str">
        <f>IF('Banco de Dados'!$F1636="-",_xlfn.CONCAT(PROPER(TEXT(AK1636,"aaaa"))," ",PROPER(TEXT(AK1636,"mm"))),_xlfn.CONCAT(PROPER(TEXT(E1636,"aaaa"))," ",PROPER(TEXT(E1636,"mm"))))</f>
        <v>2025 04</v>
      </c>
      <c r="AI1636" s="9" t="str">
        <f ca="1">IF('Banco de Dados'!$AK1636&lt;&gt;"-","REEMBOLSO",IFERROR(_xlfn.XLOOKUP(G1636,Follow[CODRASTREIO],Follow[STATUS]),"-"))</f>
        <v>ENTREGUE</v>
      </c>
      <c r="AJ1636" s="9">
        <f ca="1">IF('Banco de Dados'!$AI1636="ENTREGUE",_xlfn.XLOOKUP('Banco de Dados'!$G1636,Follow[CODRASTREIO],Follow[DATAATUALIZAÇÃO]),"-")</f>
        <v>45789</v>
      </c>
      <c r="AK1636" s="132" t="str">
        <f ca="1"/>
        <v>-</v>
      </c>
      <c r="AL1636" s="35"/>
      <c r="AM1636" s="109" cm="1">
        <f t="array" aca="1" ref="AM1636" ca="1">IF('Banco de Dados'!$AK1636&lt;&gt;"-",_xlfn.IFS('Banco de Dados'!$A1636="bv",IF('Banco de Dados'!$E1636&lt;45641,ROUND(SUM('Banco de Dados'!$R1636*_xlfn.XLOOKUP('Banco de Dados'!$P1636,Sku!B:B,Sku!#REF!)*20%),2),ROUND(SUM('Banco de Dados'!$R1636*_xlfn.XLOOKUP('Banco de Dados'!$P1636,Sku!B:B,Sku!H:H)*20%),2)),'Banco de Dados'!$A1636="GO",ROUND(SUM('Banco de Dados'!$R1636*_xlfn.XLOOKUP('Banco de Dados'!$P1636,Sku!C:C,Sku!H:H)*20%),2),'Banco de Dados'!$A1636="MEI",ROUND(SUM('Banco de Dados'!$R1636*_xlfn.XLOOKUP('Banco de Dados'!$P1636,Sku!D:D,Sku!H:H)*20%),2)),0)</f>
        <v>0</v>
      </c>
      <c r="AN1636" s="109">
        <f ca="1">IF('Banco de Dados'!$AK1636&lt;&gt;"-",IF('Banco de Dados'!$F1636&lt;&gt;"-",_xlfn.XLOOKUP(IFERROR(IFERROR(IFERROR(VALUE(SUBSTITUTE(MID(_xlfn.TEXTAFTER('Banco de Dados'!$F1636,"Data do Pedido:
",1),1,10),"-","/")),VALUE(SUBSTITUTE(MID(_xlfn.TEXTAFTER('Banco de Dados'!$F1636,"Order date:
",1),1,10),"-","/"))),VALUE(SUBSTITUTE(MID(_xlfn.TEXTAFTER('Banco de Dados'!$F1636,"Fecha de pedido:
",1),1,10),"-","/"))),"-"),SMS!A:A,SMS!K:K),0),0)</f>
        <v>0</v>
      </c>
      <c r="AO1636" s="109">
        <f ca="1">IF('Banco de Dados'!$AK1636&lt;&gt;"-",IF('Banco de Dados'!$F1636&lt;&gt;"-",IFERROR(_xlfn.XLOOKUP(_xlfn.CONCAT('Banco de Dados'!$A1636,IFERROR(IFERROR(VALUE(SUBSTITUTE(MID(_xlfn.TEXTAFTER('Banco de Dados'!$F1636,"Data do Pedido:
",1),1,10),"-","/")),VALUE(SUBSTITUTE(MID(_xlfn.TEXTAFTER('Banco de Dados'!$F1636,"Order date:
",1),1,10),"-","/"))),0)),ProxyDD[Chave],ProxyDD[Valor por pedido]),PROXY!$P$2),0),0)</f>
        <v>0</v>
      </c>
      <c r="AP1636" s="28">
        <f ca="1">IF('Banco de Dados'!$AK1636&lt;&gt;"-",IF('Banco de Dados'!$AL1636="NÃO",IFERROR(VALUE(SUBSTITUTE(_xlfn.TEXTAFTER('Banco de Dados'!$F1636,"BRL ",1),".",",")),0),0),0)</f>
        <v>0</v>
      </c>
      <c r="AQ1636" s="28">
        <f ca="1">SUM('Banco de Dados'!$AM1636:$AP1636)</f>
        <v>0</v>
      </c>
      <c r="AR1636" s="8"/>
      <c r="AS1636" s="8"/>
      <c r="AT1636"/>
      <c r="AY1636" s="8"/>
    </row>
    <row r="1637" spans="1:51">
      <c r="A1637" s="5" t="str">
        <v>MEI</v>
      </c>
      <c r="B1637" s="5" t="str">
        <f ca="1"/>
        <v>MEI45776</v>
      </c>
      <c r="C1637" s="8" t="str">
        <v>Pedido 1624</v>
      </c>
      <c r="D1637" s="187">
        <v>45776</v>
      </c>
      <c r="E1637" s="9">
        <v>45776</v>
      </c>
      <c r="F1637" s="8" t="str">
        <v>PedidoF1552</v>
      </c>
      <c r="G1637" s="2" t="str">
        <v>CódRastreio1550</v>
      </c>
      <c r="H1637" s="5">
        <v>1</v>
      </c>
      <c r="I1637" s="182" t="str">
        <v>CPF 1583</v>
      </c>
      <c r="J1637" s="2" t="str">
        <v>Nome 1583</v>
      </c>
      <c r="K1637" s="8" t="str">
        <v>Tel 1583</v>
      </c>
      <c r="L1637" s="8" t="str">
        <v>Cep 1583</v>
      </c>
      <c r="M1637" s="8" t="str">
        <v>Rua 1583</v>
      </c>
      <c r="N1637" s="8" t="str">
        <v>Comp 1583</v>
      </c>
      <c r="O1637" s="8" t="str">
        <v>Ventilador Umidificador Preto</v>
      </c>
      <c r="P1637" s="8" t="str">
        <v>71-KHMZ-MLQW</v>
      </c>
      <c r="Q1637" s="4">
        <v>45804</v>
      </c>
      <c r="R1637" s="109">
        <v>49.99</v>
      </c>
      <c r="S1637" s="11">
        <f ca="1"/>
        <v>0</v>
      </c>
      <c r="T1637" s="28">
        <f ca="1"/>
        <v>0</v>
      </c>
      <c r="U1637" s="11">
        <f ca="1"/>
        <v>0</v>
      </c>
      <c r="V1637" s="11">
        <v>0</v>
      </c>
      <c r="W1637" s="11">
        <f ca="1"/>
        <v>0</v>
      </c>
      <c r="X1637" s="11">
        <f ca="1"/>
        <v>0.39877104377104378</v>
      </c>
      <c r="Y1637" s="11">
        <v>0</v>
      </c>
      <c r="Z1637" s="11">
        <f ca="1"/>
        <v>-0.39877104377104378</v>
      </c>
      <c r="AA1637" s="11">
        <f ca="1"/>
        <v>-0.19938552188552189</v>
      </c>
      <c r="AB1637" s="4">
        <f ca="1"/>
        <v>45811</v>
      </c>
      <c r="AC1637" s="4">
        <v>45811</v>
      </c>
      <c r="AD1637" s="9">
        <v>45824</v>
      </c>
      <c r="AE1637" s="9">
        <v>45828</v>
      </c>
      <c r="AF1637" s="4" t="str">
        <f t="shared" ca="1" si="111"/>
        <v>2025 06</v>
      </c>
      <c r="AG1637" s="8" t="str" cm="1">
        <f t="array" ref="AG1637">IFERROR(_xlfn.IFS('Banco de Dados'!#REF!="AG. COMPRA","Em processamento",'Banco de Dados'!#REF!="AG. RASTREIO","Em processamento",'Banco de Dados'!$AE1637&lt;&gt;"-","Faturado",'Banco de Dados'!$AD1637&lt;&gt;"-","Aguardando Pix",'Banco de Dados'!$AC1637&lt;&gt;"-","Pendente"),"Aguardando Liberação")</f>
        <v>Aguardando Liberação</v>
      </c>
      <c r="AH1637" s="5" t="str">
        <f>IF('Banco de Dados'!$F1637="-",_xlfn.CONCAT(PROPER(TEXT(AK1637,"aaaa"))," ",PROPER(TEXT(AK1637,"mm"))),_xlfn.CONCAT(PROPER(TEXT(E1637,"aaaa"))," ",PROPER(TEXT(E1637,"mm"))))</f>
        <v>2025 04</v>
      </c>
      <c r="AI1637" s="9" t="str">
        <f ca="1">IF('Banco de Dados'!$AK1637&lt;&gt;"-","REEMBOLSO",IFERROR(_xlfn.XLOOKUP(G1637,Follow[CODRASTREIO],Follow[STATUS]),"-"))</f>
        <v>REEMBOLSO</v>
      </c>
      <c r="AJ1637" s="9" t="str">
        <f ca="1">IF('Banco de Dados'!$AI1637="ENTREGUE",_xlfn.XLOOKUP('Banco de Dados'!$G1637,Follow[CODRASTREIO],Follow[DATAATUALIZAÇÃO]),"-")</f>
        <v>-</v>
      </c>
      <c r="AK1637" s="132">
        <f ca="1"/>
        <v>45834</v>
      </c>
      <c r="AL1637" s="35"/>
      <c r="AM1637" s="109" cm="1">
        <f t="array" aca="1" ref="AM1637" ca="1">IF('Banco de Dados'!$AK1637&lt;&gt;"-",_xlfn.IFS('Banco de Dados'!$A1637="bv",IF('Banco de Dados'!$E1637&lt;45641,ROUND(SUM('Banco de Dados'!$R1637*_xlfn.XLOOKUP('Banco de Dados'!$P1637,Sku!B:B,Sku!#REF!)*20%),2),ROUND(SUM('Banco de Dados'!$R1637*_xlfn.XLOOKUP('Banco de Dados'!$P1637,Sku!B:B,Sku!H:H)*20%),2)),'Banco de Dados'!$A1637="GO",ROUND(SUM('Banco de Dados'!$R1637*_xlfn.XLOOKUP('Banco de Dados'!$P1637,Sku!C:C,Sku!H:H)*20%),2),'Banco de Dados'!$A1637="MEI",ROUND(SUM('Banco de Dados'!$R1637*_xlfn.XLOOKUP('Banco de Dados'!$P1637,Sku!D:D,Sku!H:H)*20%),2)),0)</f>
        <v>1.4</v>
      </c>
      <c r="AN1637" s="109" t="e">
        <f ca="1">IF('Banco de Dados'!$AK1637&lt;&gt;"-",IF('Banco de Dados'!$F1637&lt;&gt;"-",_xlfn.XLOOKUP(IFERROR(IFERROR(IFERROR(VALUE(SUBSTITUTE(MID(_xlfn.TEXTAFTER('Banco de Dados'!$F1637,"Data do Pedido:
",1),1,10),"-","/")),VALUE(SUBSTITUTE(MID(_xlfn.TEXTAFTER('Banco de Dados'!$F1637,"Order date:
",1),1,10),"-","/"))),VALUE(SUBSTITUTE(MID(_xlfn.TEXTAFTER('Banco de Dados'!$F1637,"Fecha de pedido:
",1),1,10),"-","/"))),"-"),SMS!A:A,SMS!K:K),0),0)</f>
        <v>#N/A</v>
      </c>
      <c r="AO1637" s="109">
        <f ca="1">IF('Banco de Dados'!$AK1637&lt;&gt;"-",IF('Banco de Dados'!$F1637&lt;&gt;"-",IFERROR(_xlfn.XLOOKUP(_xlfn.CONCAT('Banco de Dados'!$A1637,IFERROR(IFERROR(VALUE(SUBSTITUTE(MID(_xlfn.TEXTAFTER('Banco de Dados'!$F1637,"Data do Pedido:
",1),1,10),"-","/")),VALUE(SUBSTITUTE(MID(_xlfn.TEXTAFTER('Banco de Dados'!$F1637,"Order date:
",1),1,10),"-","/"))),0)),ProxyDD[Chave],ProxyDD[Valor por pedido]),PROXY!$P$2),0),0)</f>
        <v>0.39877104377104378</v>
      </c>
      <c r="AP1637" s="28">
        <f ca="1">IF('Banco de Dados'!$AK1637&lt;&gt;"-",IF('Banco de Dados'!$AL1637="NÃO",IFERROR(VALUE(SUBSTITUTE(_xlfn.TEXTAFTER('Banco de Dados'!$F1637,"BRL ",1),".",",")),0),0),0)</f>
        <v>0</v>
      </c>
      <c r="AQ1637" s="28" t="e">
        <f ca="1">SUM('Banco de Dados'!$AM1637:$AP1637)</f>
        <v>#N/A</v>
      </c>
      <c r="AR1637" s="8"/>
      <c r="AS1637" s="8"/>
      <c r="AT1637"/>
      <c r="AY1637" s="8"/>
    </row>
    <row r="1638" spans="1:51">
      <c r="A1638" s="5" t="str">
        <v>MEI</v>
      </c>
      <c r="B1638" s="5" t="str">
        <f ca="1"/>
        <v>MEI45783</v>
      </c>
      <c r="C1638" s="8" t="str">
        <v>Pedido 1625</v>
      </c>
      <c r="D1638" s="187">
        <v>45776</v>
      </c>
      <c r="E1638" s="9">
        <v>45783</v>
      </c>
      <c r="F1638" s="8" t="str">
        <v>PedidoF1553</v>
      </c>
      <c r="G1638" s="2" t="str">
        <v>CódRastreio1551</v>
      </c>
      <c r="H1638" s="5">
        <v>1</v>
      </c>
      <c r="I1638" s="182" t="str">
        <v>CPF 1584</v>
      </c>
      <c r="J1638" s="2" t="str">
        <v>Nome 1584</v>
      </c>
      <c r="K1638" s="8" t="str">
        <v>Tel 1584</v>
      </c>
      <c r="L1638" s="8" t="str">
        <v>Cep 1584</v>
      </c>
      <c r="M1638" s="8" t="str">
        <v>Rua 1584</v>
      </c>
      <c r="N1638" s="8" t="str">
        <v>Comp 1584</v>
      </c>
      <c r="O1638" s="8" t="str">
        <v>Maçarico Culinário Portátil</v>
      </c>
      <c r="P1638" s="8" t="str">
        <v>BG-DHRO-FAEE</v>
      </c>
      <c r="Q1638" s="4">
        <v>45804</v>
      </c>
      <c r="R1638" s="109">
        <v>23.99</v>
      </c>
      <c r="S1638" s="11">
        <f ca="1"/>
        <v>23.99</v>
      </c>
      <c r="T1638" s="28">
        <f ca="1"/>
        <v>2.6389</v>
      </c>
      <c r="U1638" s="11">
        <f ca="1"/>
        <v>21.35</v>
      </c>
      <c r="V1638" s="11">
        <v>14.52</v>
      </c>
      <c r="W1638" s="11">
        <f ca="1"/>
        <v>0.12</v>
      </c>
      <c r="X1638" s="11">
        <f ca="1"/>
        <v>0.39877104377104378</v>
      </c>
      <c r="Y1638" s="11">
        <v>0</v>
      </c>
      <c r="Z1638" s="11">
        <f ca="1"/>
        <v>6.311228956228959</v>
      </c>
      <c r="AA1638" s="11">
        <f ca="1"/>
        <v>3.1556144781144795</v>
      </c>
      <c r="AB1638" s="4">
        <f ca="1"/>
        <v>45811</v>
      </c>
      <c r="AC1638" s="4">
        <v>45811</v>
      </c>
      <c r="AD1638" s="9">
        <v>45824</v>
      </c>
      <c r="AE1638" s="9">
        <v>45828</v>
      </c>
      <c r="AF1638" s="4" t="str">
        <f t="shared" ca="1" si="111"/>
        <v>2025 06</v>
      </c>
      <c r="AG1638" s="8" t="str" cm="1">
        <f t="array" ref="AG1638">IFERROR(_xlfn.IFS('Banco de Dados'!#REF!="AG. COMPRA","Em processamento",'Banco de Dados'!#REF!="AG. RASTREIO","Em processamento",'Banco de Dados'!$AE1638&lt;&gt;"-","Faturado",'Banco de Dados'!$AD1638&lt;&gt;"-","Aguardando Pix",'Banco de Dados'!$AC1638&lt;&gt;"-","Pendente"),"Aguardando Liberação")</f>
        <v>Aguardando Liberação</v>
      </c>
      <c r="AH1638" s="5" t="str">
        <f>IF('Banco de Dados'!$F1638="-",_xlfn.CONCAT(PROPER(TEXT(AK1638,"aaaa"))," ",PROPER(TEXT(AK1638,"mm"))),_xlfn.CONCAT(PROPER(TEXT(E1638,"aaaa"))," ",PROPER(TEXT(E1638,"mm"))))</f>
        <v>2025 05</v>
      </c>
      <c r="AI1638" s="9" t="str">
        <f ca="1">IF('Banco de Dados'!$AK1638&lt;&gt;"-","REEMBOLSO",IFERROR(_xlfn.XLOOKUP(G1638,Follow[CODRASTREIO],Follow[STATUS]),"-"))</f>
        <v>ENTREGUE</v>
      </c>
      <c r="AJ1638" s="9">
        <f ca="1">IF('Banco de Dados'!$AI1638="ENTREGUE",_xlfn.XLOOKUP('Banco de Dados'!$G1638,Follow[CODRASTREIO],Follow[DATAATUALIZAÇÃO]),"-")</f>
        <v>45790</v>
      </c>
      <c r="AK1638" s="132" t="str">
        <f ca="1"/>
        <v>-</v>
      </c>
      <c r="AL1638" s="35"/>
      <c r="AM1638" s="109" cm="1">
        <f t="array" aca="1" ref="AM1638" ca="1">IF('Banco de Dados'!$AK1638&lt;&gt;"-",_xlfn.IFS('Banco de Dados'!$A1638="bv",IF('Banco de Dados'!$E1638&lt;45641,ROUND(SUM('Banco de Dados'!$R1638*_xlfn.XLOOKUP('Banco de Dados'!$P1638,Sku!B:B,Sku!#REF!)*20%),2),ROUND(SUM('Banco de Dados'!$R1638*_xlfn.XLOOKUP('Banco de Dados'!$P1638,Sku!B:B,Sku!H:H)*20%),2)),'Banco de Dados'!$A1638="GO",ROUND(SUM('Banco de Dados'!$R1638*_xlfn.XLOOKUP('Banco de Dados'!$P1638,Sku!C:C,Sku!H:H)*20%),2),'Banco de Dados'!$A1638="MEI",ROUND(SUM('Banco de Dados'!$R1638*_xlfn.XLOOKUP('Banco de Dados'!$P1638,Sku!D:D,Sku!H:H)*20%),2)),0)</f>
        <v>0</v>
      </c>
      <c r="AN1638" s="109">
        <f ca="1">IF('Banco de Dados'!$AK1638&lt;&gt;"-",IF('Banco de Dados'!$F1638&lt;&gt;"-",_xlfn.XLOOKUP(IFERROR(IFERROR(IFERROR(VALUE(SUBSTITUTE(MID(_xlfn.TEXTAFTER('Banco de Dados'!$F1638,"Data do Pedido:
",1),1,10),"-","/")),VALUE(SUBSTITUTE(MID(_xlfn.TEXTAFTER('Banco de Dados'!$F1638,"Order date:
",1),1,10),"-","/"))),VALUE(SUBSTITUTE(MID(_xlfn.TEXTAFTER('Banco de Dados'!$F1638,"Fecha de pedido:
",1),1,10),"-","/"))),"-"),SMS!A:A,SMS!K:K),0),0)</f>
        <v>0</v>
      </c>
      <c r="AO1638" s="109">
        <f ca="1">IF('Banco de Dados'!$AK1638&lt;&gt;"-",IF('Banco de Dados'!$F1638&lt;&gt;"-",IFERROR(_xlfn.XLOOKUP(_xlfn.CONCAT('Banco de Dados'!$A1638,IFERROR(IFERROR(VALUE(SUBSTITUTE(MID(_xlfn.TEXTAFTER('Banco de Dados'!$F1638,"Data do Pedido:
",1),1,10),"-","/")),VALUE(SUBSTITUTE(MID(_xlfn.TEXTAFTER('Banco de Dados'!$F1638,"Order date:
",1),1,10),"-","/"))),0)),ProxyDD[Chave],ProxyDD[Valor por pedido]),PROXY!$P$2),0),0)</f>
        <v>0</v>
      </c>
      <c r="AP1638" s="28">
        <f ca="1">IF('Banco de Dados'!$AK1638&lt;&gt;"-",IF('Banco de Dados'!$AL1638="NÃO",IFERROR(VALUE(SUBSTITUTE(_xlfn.TEXTAFTER('Banco de Dados'!$F1638,"BRL ",1),".",",")),0),0),0)</f>
        <v>0</v>
      </c>
      <c r="AQ1638" s="28">
        <f ca="1">SUM('Banco de Dados'!$AM1638:$AP1638)</f>
        <v>0</v>
      </c>
      <c r="AR1638" s="8"/>
      <c r="AS1638" s="8"/>
      <c r="AT1638"/>
      <c r="AY1638" s="8"/>
    </row>
    <row r="1639" spans="1:51">
      <c r="A1639" s="5" t="str">
        <v>MEI</v>
      </c>
      <c r="B1639" s="5" t="str">
        <f ca="1"/>
        <v>MEI45776</v>
      </c>
      <c r="C1639" s="8" t="str">
        <v>Pedido 1626</v>
      </c>
      <c r="D1639" s="187">
        <v>45776</v>
      </c>
      <c r="E1639" s="9">
        <v>45776</v>
      </c>
      <c r="F1639" s="8" t="str">
        <v>PedidoF1554</v>
      </c>
      <c r="G1639" s="2" t="str">
        <v>CódRastreio1552</v>
      </c>
      <c r="H1639" s="5">
        <v>1</v>
      </c>
      <c r="I1639" s="182" t="str">
        <v>CPF 1585</v>
      </c>
      <c r="J1639" s="2" t="str">
        <v>Nome 1585</v>
      </c>
      <c r="K1639" s="8" t="str">
        <v>Tel 1585</v>
      </c>
      <c r="L1639" s="8" t="str">
        <v>Cep 1585</v>
      </c>
      <c r="M1639" s="8" t="str">
        <v>Rua 1585</v>
      </c>
      <c r="N1639" s="8" t="str">
        <v>Comp 1585</v>
      </c>
      <c r="O1639" s="8" t="str">
        <v>Ventilador Azul</v>
      </c>
      <c r="P1639" s="8" t="str">
        <v>PK-L2Z7-MQRQ</v>
      </c>
      <c r="Q1639" s="4">
        <v>45811</v>
      </c>
      <c r="R1639" s="109">
        <v>49.9</v>
      </c>
      <c r="S1639" s="11">
        <f ca="1"/>
        <v>49.9</v>
      </c>
      <c r="T1639" s="28">
        <f ca="1"/>
        <v>5.9879999999999995</v>
      </c>
      <c r="U1639" s="11">
        <f ca="1"/>
        <v>43.91</v>
      </c>
      <c r="V1639" s="11">
        <v>14.02</v>
      </c>
      <c r="W1639" s="11">
        <f ca="1"/>
        <v>0.14000000000000001</v>
      </c>
      <c r="X1639" s="11">
        <f ca="1"/>
        <v>0.39877104377104378</v>
      </c>
      <c r="Y1639" s="11">
        <v>0</v>
      </c>
      <c r="Z1639" s="11">
        <f ca="1"/>
        <v>29.351228956228951</v>
      </c>
      <c r="AA1639" s="11">
        <f ca="1"/>
        <v>14.675614478114476</v>
      </c>
      <c r="AB1639" s="4">
        <f ca="1"/>
        <v>45818</v>
      </c>
      <c r="AC1639" s="4">
        <v>45818</v>
      </c>
      <c r="AD1639" s="9">
        <v>45824</v>
      </c>
      <c r="AE1639" s="9">
        <v>45828</v>
      </c>
      <c r="AF1639" s="4" t="str">
        <f t="shared" ca="1" si="111"/>
        <v>2025 06</v>
      </c>
      <c r="AG1639" s="8" t="str" cm="1">
        <f t="array" ref="AG1639">IFERROR(_xlfn.IFS('Banco de Dados'!#REF!="AG. COMPRA","Em processamento",'Banco de Dados'!#REF!="AG. RASTREIO","Em processamento",'Banco de Dados'!$AE1639&lt;&gt;"-","Faturado",'Banco de Dados'!$AD1639&lt;&gt;"-","Aguardando Pix",'Banco de Dados'!$AC1639&lt;&gt;"-","Pendente"),"Aguardando Liberação")</f>
        <v>Aguardando Liberação</v>
      </c>
      <c r="AH1639" s="5" t="str">
        <f>IF('Banco de Dados'!$F1639="-",_xlfn.CONCAT(PROPER(TEXT(AK1639,"aaaa"))," ",PROPER(TEXT(AK1639,"mm"))),_xlfn.CONCAT(PROPER(TEXT(E1639,"aaaa"))," ",PROPER(TEXT(E1639,"mm"))))</f>
        <v>2025 04</v>
      </c>
      <c r="AI1639" s="9" t="str">
        <f ca="1">IF('Banco de Dados'!$AK1639&lt;&gt;"-","REEMBOLSO",IFERROR(_xlfn.XLOOKUP(G1639,Follow[CODRASTREIO],Follow[STATUS]),"-"))</f>
        <v>ENTREGUE</v>
      </c>
      <c r="AJ1639" s="9">
        <f ca="1">IF('Banco de Dados'!$AI1639="ENTREGUE",_xlfn.XLOOKUP('Banco de Dados'!$G1639,Follow[CODRASTREIO],Follow[DATAATUALIZAÇÃO]),"-")</f>
        <v>45800</v>
      </c>
      <c r="AK1639" s="132" t="str">
        <f ca="1"/>
        <v>-</v>
      </c>
      <c r="AL1639" s="35"/>
      <c r="AM1639" s="109" cm="1">
        <f t="array" aca="1" ref="AM1639" ca="1">IF('Banco de Dados'!$AK1639&lt;&gt;"-",_xlfn.IFS('Banco de Dados'!$A1639="bv",IF('Banco de Dados'!$E1639&lt;45641,ROUND(SUM('Banco de Dados'!$R1639*_xlfn.XLOOKUP('Banco de Dados'!$P1639,Sku!B:B,Sku!#REF!)*20%),2),ROUND(SUM('Banco de Dados'!$R1639*_xlfn.XLOOKUP('Banco de Dados'!$P1639,Sku!B:B,Sku!H:H)*20%),2)),'Banco de Dados'!$A1639="GO",ROUND(SUM('Banco de Dados'!$R1639*_xlfn.XLOOKUP('Banco de Dados'!$P1639,Sku!C:C,Sku!H:H)*20%),2),'Banco de Dados'!$A1639="MEI",ROUND(SUM('Banco de Dados'!$R1639*_xlfn.XLOOKUP('Banco de Dados'!$P1639,Sku!D:D,Sku!H:H)*20%),2)),0)</f>
        <v>0</v>
      </c>
      <c r="AN1639" s="109">
        <f ca="1">IF('Banco de Dados'!$AK1639&lt;&gt;"-",IF('Banco de Dados'!$F1639&lt;&gt;"-",_xlfn.XLOOKUP(IFERROR(IFERROR(IFERROR(VALUE(SUBSTITUTE(MID(_xlfn.TEXTAFTER('Banco de Dados'!$F1639,"Data do Pedido:
",1),1,10),"-","/")),VALUE(SUBSTITUTE(MID(_xlfn.TEXTAFTER('Banco de Dados'!$F1639,"Order date:
",1),1,10),"-","/"))),VALUE(SUBSTITUTE(MID(_xlfn.TEXTAFTER('Banco de Dados'!$F1639,"Fecha de pedido:
",1),1,10),"-","/"))),"-"),SMS!A:A,SMS!K:K),0),0)</f>
        <v>0</v>
      </c>
      <c r="AO1639" s="109">
        <f ca="1">IF('Banco de Dados'!$AK1639&lt;&gt;"-",IF('Banco de Dados'!$F1639&lt;&gt;"-",IFERROR(_xlfn.XLOOKUP(_xlfn.CONCAT('Banco de Dados'!$A1639,IFERROR(IFERROR(VALUE(SUBSTITUTE(MID(_xlfn.TEXTAFTER('Banco de Dados'!$F1639,"Data do Pedido:
",1),1,10),"-","/")),VALUE(SUBSTITUTE(MID(_xlfn.TEXTAFTER('Banco de Dados'!$F1639,"Order date:
",1),1,10),"-","/"))),0)),ProxyDD[Chave],ProxyDD[Valor por pedido]),PROXY!$P$2),0),0)</f>
        <v>0</v>
      </c>
      <c r="AP1639" s="28">
        <f ca="1">IF('Banco de Dados'!$AK1639&lt;&gt;"-",IF('Banco de Dados'!$AL1639="NÃO",IFERROR(VALUE(SUBSTITUTE(_xlfn.TEXTAFTER('Banco de Dados'!$F1639,"BRL ",1),".",",")),0),0),0)</f>
        <v>0</v>
      </c>
      <c r="AQ1639" s="28">
        <f ca="1">SUM('Banco de Dados'!$AM1639:$AP1639)</f>
        <v>0</v>
      </c>
      <c r="AR1639" s="8"/>
      <c r="AS1639" s="8"/>
      <c r="AT1639"/>
      <c r="AY1639" s="8"/>
    </row>
    <row r="1640" spans="1:51">
      <c r="A1640" s="5" t="str">
        <v>MEI</v>
      </c>
      <c r="B1640" s="5" t="str">
        <f ca="1"/>
        <v>MEI45776</v>
      </c>
      <c r="C1640" s="8" t="str">
        <v>Pedido 1627</v>
      </c>
      <c r="D1640" s="187">
        <v>45776</v>
      </c>
      <c r="E1640" s="9">
        <v>45776</v>
      </c>
      <c r="F1640" s="8" t="str">
        <v>PedidoF1555</v>
      </c>
      <c r="G1640" s="2" t="str">
        <v>CódRastreio1553</v>
      </c>
      <c r="H1640" s="5">
        <v>1</v>
      </c>
      <c r="I1640" s="182" t="str">
        <v>CPF 1586</v>
      </c>
      <c r="J1640" s="2" t="str">
        <v>Nome 1586</v>
      </c>
      <c r="K1640" s="8" t="str">
        <v>Tel 1586</v>
      </c>
      <c r="L1640" s="8" t="str">
        <v>Cep 1586</v>
      </c>
      <c r="M1640" s="8" t="str">
        <v>Rua 1586</v>
      </c>
      <c r="N1640" s="8" t="str">
        <v>Comp 1586</v>
      </c>
      <c r="O1640" s="8" t="str">
        <v>Ventilador Rosa</v>
      </c>
      <c r="P1640" s="8" t="str">
        <v>WR-82Y0-OV27</v>
      </c>
      <c r="Q1640" s="4">
        <v>45804</v>
      </c>
      <c r="R1640" s="109">
        <v>49.9</v>
      </c>
      <c r="S1640" s="11">
        <f ca="1"/>
        <v>49.9</v>
      </c>
      <c r="T1640" s="28">
        <f ca="1"/>
        <v>5.9879999999999995</v>
      </c>
      <c r="U1640" s="11">
        <f ca="1"/>
        <v>43.91</v>
      </c>
      <c r="V1640" s="11">
        <v>22.47</v>
      </c>
      <c r="W1640" s="11">
        <f ca="1"/>
        <v>0.14000000000000001</v>
      </c>
      <c r="X1640" s="11">
        <f ca="1"/>
        <v>0.39877104377104378</v>
      </c>
      <c r="Y1640" s="11">
        <v>0</v>
      </c>
      <c r="Z1640" s="11">
        <f ca="1"/>
        <v>20.901228956228952</v>
      </c>
      <c r="AA1640" s="11">
        <f ca="1"/>
        <v>10.450614478114476</v>
      </c>
      <c r="AB1640" s="4">
        <f ca="1"/>
        <v>45811</v>
      </c>
      <c r="AC1640" s="4">
        <v>45811</v>
      </c>
      <c r="AD1640" s="9">
        <v>45824</v>
      </c>
      <c r="AE1640" s="9">
        <v>45828</v>
      </c>
      <c r="AF1640" s="4" t="str">
        <f t="shared" ca="1" si="111"/>
        <v>2025 06</v>
      </c>
      <c r="AG1640" s="8" t="str" cm="1">
        <f t="array" ref="AG1640">IFERROR(_xlfn.IFS('Banco de Dados'!#REF!="AG. COMPRA","Em processamento",'Banco de Dados'!#REF!="AG. RASTREIO","Em processamento",'Banco de Dados'!$AE1640&lt;&gt;"-","Faturado",'Banco de Dados'!$AD1640&lt;&gt;"-","Aguardando Pix",'Banco de Dados'!$AC1640&lt;&gt;"-","Pendente"),"Aguardando Liberação")</f>
        <v>Aguardando Liberação</v>
      </c>
      <c r="AH1640" s="5" t="str">
        <f>IF('Banco de Dados'!$F1640="-",_xlfn.CONCAT(PROPER(TEXT(AK1640,"aaaa"))," ",PROPER(TEXT(AK1640,"mm"))),_xlfn.CONCAT(PROPER(TEXT(E1640,"aaaa"))," ",PROPER(TEXT(E1640,"mm"))))</f>
        <v>2025 04</v>
      </c>
      <c r="AI1640" s="9" t="str">
        <f ca="1">IF('Banco de Dados'!$AK1640&lt;&gt;"-","REEMBOLSO",IFERROR(_xlfn.XLOOKUP(G1640,Follow[CODRASTREIO],Follow[STATUS]),"-"))</f>
        <v>ENTREGUE</v>
      </c>
      <c r="AJ1640" s="9">
        <f ca="1">IF('Banco de Dados'!$AI1640="ENTREGUE",_xlfn.XLOOKUP('Banco de Dados'!$G1640,Follow[CODRASTREIO],Follow[DATAATUALIZAÇÃO]),"-")</f>
        <v>45790</v>
      </c>
      <c r="AK1640" s="132" t="str">
        <f ca="1"/>
        <v>-</v>
      </c>
      <c r="AL1640" s="35"/>
      <c r="AM1640" s="109" cm="1">
        <f t="array" aca="1" ref="AM1640" ca="1">IF('Banco de Dados'!$AK1640&lt;&gt;"-",_xlfn.IFS('Banco de Dados'!$A1640="bv",IF('Banco de Dados'!$E1640&lt;45641,ROUND(SUM('Banco de Dados'!$R1640*_xlfn.XLOOKUP('Banco de Dados'!$P1640,Sku!B:B,Sku!#REF!)*20%),2),ROUND(SUM('Banco de Dados'!$R1640*_xlfn.XLOOKUP('Banco de Dados'!$P1640,Sku!B:B,Sku!H:H)*20%),2)),'Banco de Dados'!$A1640="GO",ROUND(SUM('Banco de Dados'!$R1640*_xlfn.XLOOKUP('Banco de Dados'!$P1640,Sku!C:C,Sku!H:H)*20%),2),'Banco de Dados'!$A1640="MEI",ROUND(SUM('Banco de Dados'!$R1640*_xlfn.XLOOKUP('Banco de Dados'!$P1640,Sku!D:D,Sku!H:H)*20%),2)),0)</f>
        <v>0</v>
      </c>
      <c r="AN1640" s="109">
        <f ca="1">IF('Banco de Dados'!$AK1640&lt;&gt;"-",IF('Banco de Dados'!$F1640&lt;&gt;"-",_xlfn.XLOOKUP(IFERROR(IFERROR(IFERROR(VALUE(SUBSTITUTE(MID(_xlfn.TEXTAFTER('Banco de Dados'!$F1640,"Data do Pedido:
",1),1,10),"-","/")),VALUE(SUBSTITUTE(MID(_xlfn.TEXTAFTER('Banco de Dados'!$F1640,"Order date:
",1),1,10),"-","/"))),VALUE(SUBSTITUTE(MID(_xlfn.TEXTAFTER('Banco de Dados'!$F1640,"Fecha de pedido:
",1),1,10),"-","/"))),"-"),SMS!A:A,SMS!K:K),0),0)</f>
        <v>0</v>
      </c>
      <c r="AO1640" s="109">
        <f ca="1">IF('Banco de Dados'!$AK1640&lt;&gt;"-",IF('Banco de Dados'!$F1640&lt;&gt;"-",IFERROR(_xlfn.XLOOKUP(_xlfn.CONCAT('Banco de Dados'!$A1640,IFERROR(IFERROR(VALUE(SUBSTITUTE(MID(_xlfn.TEXTAFTER('Banco de Dados'!$F1640,"Data do Pedido:
",1),1,10),"-","/")),VALUE(SUBSTITUTE(MID(_xlfn.TEXTAFTER('Banco de Dados'!$F1640,"Order date:
",1),1,10),"-","/"))),0)),ProxyDD[Chave],ProxyDD[Valor por pedido]),PROXY!$P$2),0),0)</f>
        <v>0</v>
      </c>
      <c r="AP1640" s="28">
        <f ca="1">IF('Banco de Dados'!$AK1640&lt;&gt;"-",IF('Banco de Dados'!$AL1640="NÃO",IFERROR(VALUE(SUBSTITUTE(_xlfn.TEXTAFTER('Banco de Dados'!$F1640,"BRL ",1),".",",")),0),0),0)</f>
        <v>0</v>
      </c>
      <c r="AQ1640" s="28">
        <f ca="1">SUM('Banco de Dados'!$AM1640:$AP1640)</f>
        <v>0</v>
      </c>
      <c r="AR1640" s="8"/>
      <c r="AS1640" s="8"/>
      <c r="AT1640"/>
      <c r="AY1640" s="8"/>
    </row>
    <row r="1641" spans="1:51">
      <c r="A1641" s="5" t="str">
        <v>MEI</v>
      </c>
      <c r="B1641" s="5" t="str">
        <f ca="1"/>
        <v>MEI-</v>
      </c>
      <c r="C1641" s="8" t="str">
        <v>Pedido 1628</v>
      </c>
      <c r="D1641" s="187">
        <v>45776</v>
      </c>
      <c r="E1641" s="9" t="str">
        <v>-</v>
      </c>
      <c r="F1641" s="8" t="str">
        <v>-</v>
      </c>
      <c r="G1641" s="2" t="str">
        <v>-</v>
      </c>
      <c r="H1641" s="5">
        <v>1</v>
      </c>
      <c r="I1641" s="182" t="str">
        <v>CPF 1587</v>
      </c>
      <c r="J1641" s="2" t="str">
        <v>Nome 1587</v>
      </c>
      <c r="K1641" s="8" t="str">
        <v>Tel 1587</v>
      </c>
      <c r="L1641" s="8" t="str">
        <v>Cep 1587</v>
      </c>
      <c r="M1641" s="8" t="str">
        <v>Rua 1587</v>
      </c>
      <c r="N1641" s="8" t="str">
        <v>Comp 1587</v>
      </c>
      <c r="O1641" s="8" t="str">
        <v>Ventilador Umidificador Preto</v>
      </c>
      <c r="P1641" s="8" t="str">
        <v>71-KHMZ-MLQW</v>
      </c>
      <c r="Q1641" s="4">
        <v>45811</v>
      </c>
      <c r="R1641" s="109">
        <v>49.99</v>
      </c>
      <c r="S1641" s="11">
        <f ca="1"/>
        <v>0</v>
      </c>
      <c r="T1641" s="28">
        <f ca="1"/>
        <v>0</v>
      </c>
      <c r="U1641" s="11">
        <f ca="1"/>
        <v>0</v>
      </c>
      <c r="V1641" s="11">
        <v>0</v>
      </c>
      <c r="W1641" s="11">
        <f ca="1"/>
        <v>0</v>
      </c>
      <c r="X1641" s="11">
        <f ca="1"/>
        <v>0</v>
      </c>
      <c r="Y1641" s="11">
        <v>0</v>
      </c>
      <c r="Z1641" s="11">
        <f ca="1"/>
        <v>0</v>
      </c>
      <c r="AA1641" s="11">
        <f ca="1"/>
        <v>0</v>
      </c>
      <c r="AB1641" s="4">
        <f ca="1"/>
        <v>45818</v>
      </c>
      <c r="AC1641" s="4">
        <v>45818</v>
      </c>
      <c r="AD1641" s="9">
        <v>45824</v>
      </c>
      <c r="AE1641" s="9">
        <v>45828</v>
      </c>
      <c r="AF1641" s="4" t="str">
        <f t="shared" ca="1" si="111"/>
        <v>2025 06</v>
      </c>
      <c r="AG1641" s="8" t="str" cm="1">
        <f t="array" ref="AG1641">IFERROR(_xlfn.IFS('Banco de Dados'!#REF!="AG. COMPRA","Em processamento",'Banco de Dados'!#REF!="AG. RASTREIO","Em processamento",'Banco de Dados'!$AE1641&lt;&gt;"-","Faturado",'Banco de Dados'!$AD1641&lt;&gt;"-","Aguardando Pix",'Banco de Dados'!$AC1641&lt;&gt;"-","Pendente"),"Aguardando Liberação")</f>
        <v>Aguardando Liberação</v>
      </c>
      <c r="AH1641" s="5" t="str">
        <f ca="1">IF('Banco de Dados'!$F1641="-",_xlfn.CONCAT(PROPER(TEXT(AK1641,"aaaa"))," ",PROPER(TEXT(AK1641,"mm"))),_xlfn.CONCAT(PROPER(TEXT(E1641,"aaaa"))," ",PROPER(TEXT(E1641,"mm"))))</f>
        <v>2025 04</v>
      </c>
      <c r="AI1641" s="9" t="str">
        <f ca="1">IF('Banco de Dados'!$AK1641&lt;&gt;"-","REEMBOLSO",IFERROR(_xlfn.XLOOKUP(G1641,Follow[CODRASTREIO],Follow[STATUS]),"-"))</f>
        <v>REEMBOLSO</v>
      </c>
      <c r="AJ1641" s="9" t="str">
        <f ca="1">IF('Banco de Dados'!$AI1641="ENTREGUE",_xlfn.XLOOKUP('Banco de Dados'!$G1641,Follow[CODRASTREIO],Follow[DATAATUALIZAÇÃO]),"-")</f>
        <v>-</v>
      </c>
      <c r="AK1641" s="132">
        <f ca="1"/>
        <v>45777</v>
      </c>
      <c r="AL1641" s="35"/>
      <c r="AM1641" s="109" cm="1">
        <f t="array" aca="1" ref="AM1641" ca="1">IF('Banco de Dados'!$AK1641&lt;&gt;"-",_xlfn.IFS('Banco de Dados'!$A1641="bv",IF('Banco de Dados'!$E1641&lt;45641,ROUND(SUM('Banco de Dados'!$R1641*_xlfn.XLOOKUP('Banco de Dados'!$P1641,Sku!B:B,Sku!#REF!)*20%),2),ROUND(SUM('Banco de Dados'!$R1641*_xlfn.XLOOKUP('Banco de Dados'!$P1641,Sku!B:B,Sku!H:H)*20%),2)),'Banco de Dados'!$A1641="GO",ROUND(SUM('Banco de Dados'!$R1641*_xlfn.XLOOKUP('Banco de Dados'!$P1641,Sku!C:C,Sku!H:H)*20%),2),'Banco de Dados'!$A1641="MEI",ROUND(SUM('Banco de Dados'!$R1641*_xlfn.XLOOKUP('Banco de Dados'!$P1641,Sku!D:D,Sku!H:H)*20%),2)),0)</f>
        <v>1.4</v>
      </c>
      <c r="AN1641" s="109">
        <f ca="1">IF('Banco de Dados'!$AK1641&lt;&gt;"-",IF('Banco de Dados'!$F1641&lt;&gt;"-",_xlfn.XLOOKUP(IFERROR(IFERROR(IFERROR(VALUE(SUBSTITUTE(MID(_xlfn.TEXTAFTER('Banco de Dados'!$F1641,"Data do Pedido:
",1),1,10),"-","/")),VALUE(SUBSTITUTE(MID(_xlfn.TEXTAFTER('Banco de Dados'!$F1641,"Order date:
",1),1,10),"-","/"))),VALUE(SUBSTITUTE(MID(_xlfn.TEXTAFTER('Banco de Dados'!$F1641,"Fecha de pedido:
",1),1,10),"-","/"))),"-"),SMS!A:A,SMS!K:K),0),0)</f>
        <v>0</v>
      </c>
      <c r="AO1641" s="109">
        <f ca="1">IF('Banco de Dados'!$AK1641&lt;&gt;"-",IF('Banco de Dados'!$F1641&lt;&gt;"-",IFERROR(_xlfn.XLOOKUP(_xlfn.CONCAT('Banco de Dados'!$A1641,IFERROR(IFERROR(VALUE(SUBSTITUTE(MID(_xlfn.TEXTAFTER('Banco de Dados'!$F1641,"Data do Pedido:
",1),1,10),"-","/")),VALUE(SUBSTITUTE(MID(_xlfn.TEXTAFTER('Banco de Dados'!$F1641,"Order date:
",1),1,10),"-","/"))),0)),ProxyDD[Chave],ProxyDD[Valor por pedido]),PROXY!$P$2),0),0)</f>
        <v>0</v>
      </c>
      <c r="AP1641" s="28">
        <f ca="1">IF('Banco de Dados'!$AK1641&lt;&gt;"-",IF('Banco de Dados'!$AL1641="NÃO",IFERROR(VALUE(SUBSTITUTE(_xlfn.TEXTAFTER('Banco de Dados'!$F1641,"BRL ",1),".",",")),0),0),0)</f>
        <v>0</v>
      </c>
      <c r="AQ1641" s="28">
        <f ca="1">SUM('Banco de Dados'!$AM1641:$AP1641)</f>
        <v>1.4</v>
      </c>
      <c r="AR1641" s="8"/>
      <c r="AS1641" s="8"/>
      <c r="AT1641"/>
      <c r="AY1641" s="8"/>
    </row>
    <row r="1642" spans="1:51">
      <c r="A1642" s="5" t="str">
        <v>MEI</v>
      </c>
      <c r="B1642" s="5" t="str">
        <f ca="1"/>
        <v>MEI45777</v>
      </c>
      <c r="C1642" s="8" t="str">
        <v>Pedido 1629</v>
      </c>
      <c r="D1642" s="187">
        <v>45776</v>
      </c>
      <c r="E1642" s="9">
        <v>45777</v>
      </c>
      <c r="F1642" s="8" t="str">
        <v>PedidoF1556</v>
      </c>
      <c r="G1642" s="2" t="str">
        <v>CódRastreio1554</v>
      </c>
      <c r="H1642" s="5">
        <v>1</v>
      </c>
      <c r="I1642" s="182" t="str">
        <v>CPF 1588</v>
      </c>
      <c r="J1642" s="2" t="str">
        <v>Nome 1588</v>
      </c>
      <c r="K1642" s="8" t="str">
        <v>Tel 1588</v>
      </c>
      <c r="L1642" s="8" t="str">
        <v>Cep 1588</v>
      </c>
      <c r="M1642" s="8" t="str">
        <v>Rua 1588</v>
      </c>
      <c r="N1642" s="8" t="str">
        <v>Comp 1588</v>
      </c>
      <c r="O1642" s="8" t="str">
        <v>Ventilador Umidificador Preto</v>
      </c>
      <c r="P1642" s="8" t="str">
        <v>71-KHMZ-MLQW</v>
      </c>
      <c r="Q1642" s="4">
        <v>45811</v>
      </c>
      <c r="R1642" s="109">
        <v>49.99</v>
      </c>
      <c r="S1642" s="11">
        <f ca="1"/>
        <v>49.99</v>
      </c>
      <c r="T1642" s="28">
        <f ca="1"/>
        <v>5.4988999999999999</v>
      </c>
      <c r="U1642" s="11">
        <f ca="1"/>
        <v>44.49</v>
      </c>
      <c r="V1642" s="11">
        <v>24.58</v>
      </c>
      <c r="W1642" s="11">
        <f ca="1"/>
        <v>0.12</v>
      </c>
      <c r="X1642" s="11">
        <f ca="1"/>
        <v>0.39877104377104378</v>
      </c>
      <c r="Y1642" s="11">
        <v>0</v>
      </c>
      <c r="Z1642" s="11">
        <f ca="1"/>
        <v>19.391228956228957</v>
      </c>
      <c r="AA1642" s="11">
        <f ca="1"/>
        <v>9.6956144781144786</v>
      </c>
      <c r="AB1642" s="4">
        <f ca="1"/>
        <v>45818</v>
      </c>
      <c r="AC1642" s="4">
        <v>45818</v>
      </c>
      <c r="AD1642" s="9">
        <v>45824</v>
      </c>
      <c r="AE1642" s="9">
        <v>45828</v>
      </c>
      <c r="AF1642" s="4" t="str">
        <f t="shared" ca="1" si="111"/>
        <v>2025 06</v>
      </c>
      <c r="AG1642" s="8" t="str" cm="1">
        <f t="array" ref="AG1642">IFERROR(_xlfn.IFS('Banco de Dados'!#REF!="AG. COMPRA","Em processamento",'Banco de Dados'!#REF!="AG. RASTREIO","Em processamento",'Banco de Dados'!$AE1642&lt;&gt;"-","Faturado",'Banco de Dados'!$AD1642&lt;&gt;"-","Aguardando Pix",'Banco de Dados'!$AC1642&lt;&gt;"-","Pendente"),"Aguardando Liberação")</f>
        <v>Aguardando Liberação</v>
      </c>
      <c r="AH1642" s="5" t="str">
        <f>IF('Banco de Dados'!$F1642="-",_xlfn.CONCAT(PROPER(TEXT(AK1642,"aaaa"))," ",PROPER(TEXT(AK1642,"mm"))),_xlfn.CONCAT(PROPER(TEXT(E1642,"aaaa"))," ",PROPER(TEXT(E1642,"mm"))))</f>
        <v>2025 04</v>
      </c>
      <c r="AI1642" s="9" t="str">
        <f ca="1">IF('Banco de Dados'!$AK1642&lt;&gt;"-","REEMBOLSO",IFERROR(_xlfn.XLOOKUP(G1642,Follow[CODRASTREIO],Follow[STATUS]),"-"))</f>
        <v>ENTREGUE</v>
      </c>
      <c r="AJ1642" s="9">
        <f ca="1">IF('Banco de Dados'!$AI1642="ENTREGUE",_xlfn.XLOOKUP('Banco de Dados'!$G1642,Follow[CODRASTREIO],Follow[DATAATUALIZAÇÃO]),"-")</f>
        <v>45797</v>
      </c>
      <c r="AK1642" s="132" t="str">
        <f ca="1"/>
        <v>-</v>
      </c>
      <c r="AL1642" s="35"/>
      <c r="AM1642" s="109" cm="1">
        <f t="array" aca="1" ref="AM1642" ca="1">IF('Banco de Dados'!$AK1642&lt;&gt;"-",_xlfn.IFS('Banco de Dados'!$A1642="bv",IF('Banco de Dados'!$E1642&lt;45641,ROUND(SUM('Banco de Dados'!$R1642*_xlfn.XLOOKUP('Banco de Dados'!$P1642,Sku!B:B,Sku!#REF!)*20%),2),ROUND(SUM('Banco de Dados'!$R1642*_xlfn.XLOOKUP('Banco de Dados'!$P1642,Sku!B:B,Sku!H:H)*20%),2)),'Banco de Dados'!$A1642="GO",ROUND(SUM('Banco de Dados'!$R1642*_xlfn.XLOOKUP('Banco de Dados'!$P1642,Sku!C:C,Sku!H:H)*20%),2),'Banco de Dados'!$A1642="MEI",ROUND(SUM('Banco de Dados'!$R1642*_xlfn.XLOOKUP('Banco de Dados'!$P1642,Sku!D:D,Sku!H:H)*20%),2)),0)</f>
        <v>0</v>
      </c>
      <c r="AN1642" s="109">
        <f ca="1">IF('Banco de Dados'!$AK1642&lt;&gt;"-",IF('Banco de Dados'!$F1642&lt;&gt;"-",_xlfn.XLOOKUP(IFERROR(IFERROR(IFERROR(VALUE(SUBSTITUTE(MID(_xlfn.TEXTAFTER('Banco de Dados'!$F1642,"Data do Pedido:
",1),1,10),"-","/")),VALUE(SUBSTITUTE(MID(_xlfn.TEXTAFTER('Banco de Dados'!$F1642,"Order date:
",1),1,10),"-","/"))),VALUE(SUBSTITUTE(MID(_xlfn.TEXTAFTER('Banco de Dados'!$F1642,"Fecha de pedido:
",1),1,10),"-","/"))),"-"),SMS!A:A,SMS!K:K),0),0)</f>
        <v>0</v>
      </c>
      <c r="AO1642" s="109">
        <f ca="1">IF('Banco de Dados'!$AK1642&lt;&gt;"-",IF('Banco de Dados'!$F1642&lt;&gt;"-",IFERROR(_xlfn.XLOOKUP(_xlfn.CONCAT('Banco de Dados'!$A1642,IFERROR(IFERROR(VALUE(SUBSTITUTE(MID(_xlfn.TEXTAFTER('Banco de Dados'!$F1642,"Data do Pedido:
",1),1,10),"-","/")),VALUE(SUBSTITUTE(MID(_xlfn.TEXTAFTER('Banco de Dados'!$F1642,"Order date:
",1),1,10),"-","/"))),0)),ProxyDD[Chave],ProxyDD[Valor por pedido]),PROXY!$P$2),0),0)</f>
        <v>0</v>
      </c>
      <c r="AP1642" s="28">
        <f ca="1">IF('Banco de Dados'!$AK1642&lt;&gt;"-",IF('Banco de Dados'!$AL1642="NÃO",IFERROR(VALUE(SUBSTITUTE(_xlfn.TEXTAFTER('Banco de Dados'!$F1642,"BRL ",1),".",",")),0),0),0)</f>
        <v>0</v>
      </c>
      <c r="AQ1642" s="28">
        <f ca="1">SUM('Banco de Dados'!$AM1642:$AP1642)</f>
        <v>0</v>
      </c>
      <c r="AR1642" s="8"/>
      <c r="AS1642" s="8"/>
      <c r="AT1642"/>
      <c r="AY1642" s="8"/>
    </row>
    <row r="1643" spans="1:51">
      <c r="A1643" s="5" t="str">
        <v>MEI</v>
      </c>
      <c r="B1643" s="5" t="str">
        <f ca="1"/>
        <v>MEI45777</v>
      </c>
      <c r="C1643" s="8" t="str">
        <v>Pedido 1630</v>
      </c>
      <c r="D1643" s="187">
        <v>45776</v>
      </c>
      <c r="E1643" s="9">
        <v>45777</v>
      </c>
      <c r="F1643" s="8" t="str">
        <v>PedidoF1557</v>
      </c>
      <c r="G1643" s="2" t="str">
        <v>CódRastreio1555</v>
      </c>
      <c r="H1643" s="5">
        <v>1</v>
      </c>
      <c r="I1643" s="182" t="str">
        <v>CPF 1589</v>
      </c>
      <c r="J1643" s="2" t="str">
        <v>Nome 1589</v>
      </c>
      <c r="K1643" s="8" t="str">
        <v>Tel 1589</v>
      </c>
      <c r="L1643" s="8" t="str">
        <v>Cep 1589</v>
      </c>
      <c r="M1643" s="8" t="str">
        <v>Rua 1589</v>
      </c>
      <c r="N1643" s="8" t="str">
        <v>Comp 1589</v>
      </c>
      <c r="O1643" s="8" t="str">
        <v>Ventilador Preto</v>
      </c>
      <c r="P1643" s="8" t="str">
        <v>WU-SS4J-LFOH</v>
      </c>
      <c r="Q1643" s="4">
        <v>45798</v>
      </c>
      <c r="R1643" s="109">
        <v>65.7</v>
      </c>
      <c r="S1643" s="11">
        <f ca="1"/>
        <v>65.7</v>
      </c>
      <c r="T1643" s="28">
        <f ca="1"/>
        <v>7.8840000000000003</v>
      </c>
      <c r="U1643" s="11">
        <f ca="1"/>
        <v>57.82</v>
      </c>
      <c r="V1643" s="11">
        <v>20.91</v>
      </c>
      <c r="W1643" s="11">
        <f ca="1"/>
        <v>0.12</v>
      </c>
      <c r="X1643" s="11">
        <f ca="1"/>
        <v>0.39877104377104378</v>
      </c>
      <c r="Y1643" s="11">
        <v>0</v>
      </c>
      <c r="Z1643" s="11">
        <f ca="1"/>
        <v>36.391228956228957</v>
      </c>
      <c r="AA1643" s="11">
        <f ca="1"/>
        <v>18.195614478114479</v>
      </c>
      <c r="AB1643" s="4">
        <f ca="1"/>
        <v>45805</v>
      </c>
      <c r="AC1643" s="4">
        <v>45805</v>
      </c>
      <c r="AD1643" s="9">
        <v>45807</v>
      </c>
      <c r="AE1643" s="9">
        <v>45810</v>
      </c>
      <c r="AF1643" s="4" t="str">
        <f t="shared" ca="1" si="111"/>
        <v>2025 05</v>
      </c>
      <c r="AG1643" s="8" t="str" cm="1">
        <f t="array" ref="AG1643">IFERROR(_xlfn.IFS('Banco de Dados'!#REF!="AG. COMPRA","Em processamento",'Banco de Dados'!#REF!="AG. RASTREIO","Em processamento",'Banco de Dados'!$AE1643&lt;&gt;"-","Faturado",'Banco de Dados'!$AD1643&lt;&gt;"-","Aguardando Pix",'Banco de Dados'!$AC1643&lt;&gt;"-","Pendente"),"Aguardando Liberação")</f>
        <v>Aguardando Liberação</v>
      </c>
      <c r="AH1643" s="5" t="str">
        <f>IF('Banco de Dados'!$F1643="-",_xlfn.CONCAT(PROPER(TEXT(AK1643,"aaaa"))," ",PROPER(TEXT(AK1643,"mm"))),_xlfn.CONCAT(PROPER(TEXT(E1643,"aaaa"))," ",PROPER(TEXT(E1643,"mm"))))</f>
        <v>2025 04</v>
      </c>
      <c r="AI1643" s="9" t="str">
        <f ca="1">IF('Banco de Dados'!$AK1643&lt;&gt;"-","REEMBOLSO",IFERROR(_xlfn.XLOOKUP(G1643,Follow[CODRASTREIO],Follow[STATUS]),"-"))</f>
        <v>ENTREGUE</v>
      </c>
      <c r="AJ1643" s="9">
        <f ca="1">IF('Banco de Dados'!$AI1643="ENTREGUE",_xlfn.XLOOKUP('Banco de Dados'!$G1643,Follow[CODRASTREIO],Follow[DATAATUALIZAÇÃO]),"-")</f>
        <v>45785</v>
      </c>
      <c r="AK1643" s="132" t="str">
        <f ca="1"/>
        <v>-</v>
      </c>
      <c r="AL1643" s="35"/>
      <c r="AM1643" s="109" cm="1">
        <f t="array" aca="1" ref="AM1643" ca="1">IF('Banco de Dados'!$AK1643&lt;&gt;"-",_xlfn.IFS('Banco de Dados'!$A1643="bv",IF('Banco de Dados'!$E1643&lt;45641,ROUND(SUM('Banco de Dados'!$R1643*_xlfn.XLOOKUP('Banco de Dados'!$P1643,Sku!B:B,Sku!#REF!)*20%),2),ROUND(SUM('Banco de Dados'!$R1643*_xlfn.XLOOKUP('Banco de Dados'!$P1643,Sku!B:B,Sku!H:H)*20%),2)),'Banco de Dados'!$A1643="GO",ROUND(SUM('Banco de Dados'!$R1643*_xlfn.XLOOKUP('Banco de Dados'!$P1643,Sku!C:C,Sku!H:H)*20%),2),'Banco de Dados'!$A1643="MEI",ROUND(SUM('Banco de Dados'!$R1643*_xlfn.XLOOKUP('Banco de Dados'!$P1643,Sku!D:D,Sku!H:H)*20%),2)),0)</f>
        <v>0</v>
      </c>
      <c r="AN1643" s="109">
        <f ca="1">IF('Banco de Dados'!$AK1643&lt;&gt;"-",IF('Banco de Dados'!$F1643&lt;&gt;"-",_xlfn.XLOOKUP(IFERROR(IFERROR(IFERROR(VALUE(SUBSTITUTE(MID(_xlfn.TEXTAFTER('Banco de Dados'!$F1643,"Data do Pedido:
",1),1,10),"-","/")),VALUE(SUBSTITUTE(MID(_xlfn.TEXTAFTER('Banco de Dados'!$F1643,"Order date:
",1),1,10),"-","/"))),VALUE(SUBSTITUTE(MID(_xlfn.TEXTAFTER('Banco de Dados'!$F1643,"Fecha de pedido:
",1),1,10),"-","/"))),"-"),SMS!A:A,SMS!K:K),0),0)</f>
        <v>0</v>
      </c>
      <c r="AO1643" s="109">
        <f ca="1">IF('Banco de Dados'!$AK1643&lt;&gt;"-",IF('Banco de Dados'!$F1643&lt;&gt;"-",IFERROR(_xlfn.XLOOKUP(_xlfn.CONCAT('Banco de Dados'!$A1643,IFERROR(IFERROR(VALUE(SUBSTITUTE(MID(_xlfn.TEXTAFTER('Banco de Dados'!$F1643,"Data do Pedido:
",1),1,10),"-","/")),VALUE(SUBSTITUTE(MID(_xlfn.TEXTAFTER('Banco de Dados'!$F1643,"Order date:
",1),1,10),"-","/"))),0)),ProxyDD[Chave],ProxyDD[Valor por pedido]),PROXY!$P$2),0),0)</f>
        <v>0</v>
      </c>
      <c r="AP1643" s="28">
        <f ca="1">IF('Banco de Dados'!$AK1643&lt;&gt;"-",IF('Banco de Dados'!$AL1643="NÃO",IFERROR(VALUE(SUBSTITUTE(_xlfn.TEXTAFTER('Banco de Dados'!$F1643,"BRL ",1),".",",")),0),0),0)</f>
        <v>0</v>
      </c>
      <c r="AQ1643" s="28">
        <f ca="1">SUM('Banco de Dados'!$AM1643:$AP1643)</f>
        <v>0</v>
      </c>
      <c r="AR1643" s="8"/>
      <c r="AS1643" s="8"/>
      <c r="AT1643"/>
      <c r="AY1643" s="8"/>
    </row>
    <row r="1644" spans="1:51">
      <c r="A1644" s="5" t="str">
        <v>MEI</v>
      </c>
      <c r="B1644" s="5" t="str">
        <f ca="1"/>
        <v>MEI-</v>
      </c>
      <c r="C1644" s="8" t="str">
        <v>Pedido 1631</v>
      </c>
      <c r="D1644" s="187">
        <v>45777</v>
      </c>
      <c r="E1644" s="9" t="str">
        <v>-</v>
      </c>
      <c r="F1644" s="8" t="str">
        <v>-</v>
      </c>
      <c r="G1644" s="2" t="str">
        <v>-</v>
      </c>
      <c r="H1644" s="5">
        <v>1</v>
      </c>
      <c r="I1644" s="182" t="str">
        <v>CPF 1590</v>
      </c>
      <c r="J1644" s="2" t="str">
        <v>Nome 1590</v>
      </c>
      <c r="K1644" s="8" t="str">
        <v>Tel 1590</v>
      </c>
      <c r="L1644" s="8" t="str">
        <v>Cep 1590</v>
      </c>
      <c r="M1644" s="8" t="str">
        <v>Rua 1590</v>
      </c>
      <c r="N1644" s="8" t="str">
        <v>Comp 1590</v>
      </c>
      <c r="O1644" s="8" t="str">
        <v>Maçarico Culinário Portátil</v>
      </c>
      <c r="P1644" s="8" t="str">
        <v>BG-DHRO-FAEE</v>
      </c>
      <c r="Q1644" s="4">
        <v>45811</v>
      </c>
      <c r="R1644" s="109">
        <v>23.99</v>
      </c>
      <c r="S1644" s="11">
        <f ca="1"/>
        <v>0</v>
      </c>
      <c r="T1644" s="28">
        <f ca="1"/>
        <v>0</v>
      </c>
      <c r="U1644" s="11">
        <f ca="1"/>
        <v>0</v>
      </c>
      <c r="V1644" s="11">
        <v>0</v>
      </c>
      <c r="W1644" s="11">
        <f ca="1"/>
        <v>0</v>
      </c>
      <c r="X1644" s="11">
        <f ca="1"/>
        <v>0</v>
      </c>
      <c r="Y1644" s="11">
        <v>0</v>
      </c>
      <c r="Z1644" s="11">
        <f ca="1"/>
        <v>0</v>
      </c>
      <c r="AA1644" s="11">
        <f ca="1"/>
        <v>0</v>
      </c>
      <c r="AB1644" s="4">
        <f ca="1"/>
        <v>45818</v>
      </c>
      <c r="AC1644" s="4">
        <v>45818</v>
      </c>
      <c r="AD1644" s="9">
        <v>45824</v>
      </c>
      <c r="AE1644" s="9">
        <v>45828</v>
      </c>
      <c r="AF1644" s="4" t="str">
        <f t="shared" ref="AF1644:AF1652" ca="1" si="112">_xlfn.CONCAT(PROPER(TEXT(AB1644,"aaaa"))," ",PROPER(TEXT(AB1644,"mm")))</f>
        <v>2025 06</v>
      </c>
      <c r="AG1644" s="8" t="str" cm="1">
        <f t="array" ref="AG1644">IFERROR(_xlfn.IFS('Banco de Dados'!#REF!="AG. COMPRA","Em processamento",'Banco de Dados'!#REF!="AG. RASTREIO","Em processamento",'Banco de Dados'!$AE1644&lt;&gt;"-","Faturado",'Banco de Dados'!$AD1644&lt;&gt;"-","Aguardando Pix",'Banco de Dados'!$AC1644&lt;&gt;"-","Pendente"),"Aguardando Liberação")</f>
        <v>Aguardando Liberação</v>
      </c>
      <c r="AH1644" s="5" t="str">
        <f ca="1">IF('Banco de Dados'!$F1644="-",_xlfn.CONCAT(PROPER(TEXT(AK1644,"aaaa"))," ",PROPER(TEXT(AK1644,"mm"))),_xlfn.CONCAT(PROPER(TEXT(E1644,"aaaa"))," ",PROPER(TEXT(E1644,"mm"))))</f>
        <v>2025 05</v>
      </c>
      <c r="AI1644" s="9" t="str">
        <f ca="1">IF('Banco de Dados'!$AK1644&lt;&gt;"-","REEMBOLSO",IFERROR(_xlfn.XLOOKUP(G1644,Follow[CODRASTREIO],Follow[STATUS]),"-"))</f>
        <v>REEMBOLSO</v>
      </c>
      <c r="AJ1644" s="9" t="str">
        <f ca="1">IF('Banco de Dados'!$AI1644="ENTREGUE",_xlfn.XLOOKUP('Banco de Dados'!$G1644,Follow[CODRASTREIO],Follow[DATAATUALIZAÇÃO]),"-")</f>
        <v>-</v>
      </c>
      <c r="AK1644" s="132">
        <f ca="1"/>
        <v>45784</v>
      </c>
      <c r="AL1644" s="35"/>
      <c r="AM1644" s="109" cm="1">
        <f t="array" aca="1" ref="AM1644" ca="1">IF('Banco de Dados'!$AK1644&lt;&gt;"-",_xlfn.IFS('Banco de Dados'!$A1644="bv",IF('Banco de Dados'!$E1644&lt;45641,ROUND(SUM('Banco de Dados'!$R1644*_xlfn.XLOOKUP('Banco de Dados'!$P1644,Sku!B:B,Sku!#REF!)*20%),2),ROUND(SUM('Banco de Dados'!$R1644*_xlfn.XLOOKUP('Banco de Dados'!$P1644,Sku!B:B,Sku!H:H)*20%),2)),'Banco de Dados'!$A1644="GO",ROUND(SUM('Banco de Dados'!$R1644*_xlfn.XLOOKUP('Banco de Dados'!$P1644,Sku!C:C,Sku!H:H)*20%),2),'Banco de Dados'!$A1644="MEI",ROUND(SUM('Banco de Dados'!$R1644*_xlfn.XLOOKUP('Banco de Dados'!$P1644,Sku!D:D,Sku!H:H)*20%),2)),0)</f>
        <v>0.53</v>
      </c>
      <c r="AN1644" s="109">
        <f ca="1">IF('Banco de Dados'!$AK1644&lt;&gt;"-",IF('Banco de Dados'!$F1644&lt;&gt;"-",_xlfn.XLOOKUP(IFERROR(IFERROR(IFERROR(VALUE(SUBSTITUTE(MID(_xlfn.TEXTAFTER('Banco de Dados'!$F1644,"Data do Pedido:
",1),1,10),"-","/")),VALUE(SUBSTITUTE(MID(_xlfn.TEXTAFTER('Banco de Dados'!$F1644,"Order date:
",1),1,10),"-","/"))),VALUE(SUBSTITUTE(MID(_xlfn.TEXTAFTER('Banco de Dados'!$F1644,"Fecha de pedido:
",1),1,10),"-","/"))),"-"),SMS!A:A,SMS!K:K),0),0)</f>
        <v>0</v>
      </c>
      <c r="AO1644" s="109">
        <f ca="1">IF('Banco de Dados'!$AK1644&lt;&gt;"-",IF('Banco de Dados'!$F1644&lt;&gt;"-",IFERROR(_xlfn.XLOOKUP(_xlfn.CONCAT('Banco de Dados'!$A1644,IFERROR(IFERROR(VALUE(SUBSTITUTE(MID(_xlfn.TEXTAFTER('Banco de Dados'!$F1644,"Data do Pedido:
",1),1,10),"-","/")),VALUE(SUBSTITUTE(MID(_xlfn.TEXTAFTER('Banco de Dados'!$F1644,"Order date:
",1),1,10),"-","/"))),0)),ProxyDD[Chave],ProxyDD[Valor por pedido]),PROXY!$P$2),0),0)</f>
        <v>0</v>
      </c>
      <c r="AP1644" s="28">
        <f ca="1">IF('Banco de Dados'!$AK1644&lt;&gt;"-",IF('Banco de Dados'!$AL1644="NÃO",IFERROR(VALUE(SUBSTITUTE(_xlfn.TEXTAFTER('Banco de Dados'!$F1644,"BRL ",1),".",",")),0),0),0)</f>
        <v>0</v>
      </c>
      <c r="AQ1644" s="28">
        <f ca="1">SUM('Banco de Dados'!$AM1644:$AP1644)</f>
        <v>0.53</v>
      </c>
      <c r="AR1644" s="8"/>
      <c r="AS1644" s="8"/>
      <c r="AT1644"/>
      <c r="AY1644" s="8"/>
    </row>
    <row r="1645" spans="1:51">
      <c r="A1645" s="5" t="str">
        <v>MEI</v>
      </c>
      <c r="B1645" s="5" t="str">
        <f ca="1"/>
        <v>MEI45777</v>
      </c>
      <c r="C1645" s="8" t="str">
        <v>Pedido 1632</v>
      </c>
      <c r="D1645" s="187">
        <v>45777</v>
      </c>
      <c r="E1645" s="9">
        <v>45777</v>
      </c>
      <c r="F1645" s="8" t="str">
        <v>PedidoF1558</v>
      </c>
      <c r="G1645" s="2" t="str">
        <v>CódRastreio1556</v>
      </c>
      <c r="H1645" s="5">
        <v>1</v>
      </c>
      <c r="I1645" s="182" t="str">
        <v>CPF 1591</v>
      </c>
      <c r="J1645" s="2" t="str">
        <v>Nome 1591</v>
      </c>
      <c r="K1645" s="8" t="str">
        <v>Tel 1591</v>
      </c>
      <c r="L1645" s="8" t="str">
        <v>Cep 1591</v>
      </c>
      <c r="M1645" s="8" t="str">
        <v>Rua 1591</v>
      </c>
      <c r="N1645" s="8" t="str">
        <v>Comp 1591</v>
      </c>
      <c r="O1645" s="8" t="str">
        <v>Copo Termico</v>
      </c>
      <c r="P1645" s="8" t="str">
        <v>VI-4RT5-1FFO</v>
      </c>
      <c r="Q1645" s="4">
        <v>45798</v>
      </c>
      <c r="R1645" s="109">
        <v>22.7</v>
      </c>
      <c r="S1645" s="11">
        <f ca="1"/>
        <v>22.7</v>
      </c>
      <c r="T1645" s="28">
        <f ca="1"/>
        <v>2.7239999999999998</v>
      </c>
      <c r="U1645" s="11">
        <f ca="1"/>
        <v>19.98</v>
      </c>
      <c r="V1645" s="11">
        <v>16.2</v>
      </c>
      <c r="W1645" s="11">
        <f ca="1"/>
        <v>0.12</v>
      </c>
      <c r="X1645" s="11">
        <f ca="1"/>
        <v>0.39877104377104378</v>
      </c>
      <c r="Y1645" s="11">
        <v>0</v>
      </c>
      <c r="Z1645" s="11">
        <f ca="1"/>
        <v>3.2612289562289547</v>
      </c>
      <c r="AA1645" s="11">
        <f ca="1"/>
        <v>1.6306144781144774</v>
      </c>
      <c r="AB1645" s="4">
        <f ca="1"/>
        <v>45805</v>
      </c>
      <c r="AC1645" s="4">
        <v>45805</v>
      </c>
      <c r="AD1645" s="9">
        <v>45807</v>
      </c>
      <c r="AE1645" s="9">
        <v>45810</v>
      </c>
      <c r="AF1645" s="4" t="str">
        <f t="shared" ca="1" si="112"/>
        <v>2025 05</v>
      </c>
      <c r="AG1645" s="8" t="str" cm="1">
        <f t="array" ref="AG1645">IFERROR(_xlfn.IFS('Banco de Dados'!#REF!="AG. COMPRA","Em processamento",'Banco de Dados'!#REF!="AG. RASTREIO","Em processamento",'Banco de Dados'!$AE1645&lt;&gt;"-","Faturado",'Banco de Dados'!$AD1645&lt;&gt;"-","Aguardando Pix",'Banco de Dados'!$AC1645&lt;&gt;"-","Pendente"),"Aguardando Liberação")</f>
        <v>Aguardando Liberação</v>
      </c>
      <c r="AH1645" s="5" t="str">
        <f>IF('Banco de Dados'!$F1645="-",_xlfn.CONCAT(PROPER(TEXT(AK1645,"aaaa"))," ",PROPER(TEXT(AK1645,"mm"))),_xlfn.CONCAT(PROPER(TEXT(E1645,"aaaa"))," ",PROPER(TEXT(E1645,"mm"))))</f>
        <v>2025 04</v>
      </c>
      <c r="AI1645" s="9" t="str">
        <f ca="1">IF('Banco de Dados'!$AK1645&lt;&gt;"-","REEMBOLSO",IFERROR(_xlfn.XLOOKUP(G1645,Follow[CODRASTREIO],Follow[STATUS]),"-"))</f>
        <v>ENTREGUE</v>
      </c>
      <c r="AJ1645" s="9">
        <f ca="1">IF('Banco de Dados'!$AI1645="ENTREGUE",_xlfn.XLOOKUP('Banco de Dados'!$G1645,Follow[CODRASTREIO],Follow[DATAATUALIZAÇÃO]),"-")</f>
        <v>45805</v>
      </c>
      <c r="AK1645" s="132" t="str">
        <f ca="1"/>
        <v>-</v>
      </c>
      <c r="AL1645" s="35"/>
      <c r="AM1645" s="109" cm="1">
        <f t="array" aca="1" ref="AM1645" ca="1">IF('Banco de Dados'!$AK1645&lt;&gt;"-",_xlfn.IFS('Banco de Dados'!$A1645="bv",IF('Banco de Dados'!$E1645&lt;45641,ROUND(SUM('Banco de Dados'!$R1645*_xlfn.XLOOKUP('Banco de Dados'!$P1645,Sku!B:B,Sku!#REF!)*20%),2),ROUND(SUM('Banco de Dados'!$R1645*_xlfn.XLOOKUP('Banco de Dados'!$P1645,Sku!B:B,Sku!H:H)*20%),2)),'Banco de Dados'!$A1645="GO",ROUND(SUM('Banco de Dados'!$R1645*_xlfn.XLOOKUP('Banco de Dados'!$P1645,Sku!C:C,Sku!H:H)*20%),2),'Banco de Dados'!$A1645="MEI",ROUND(SUM('Banco de Dados'!$R1645*_xlfn.XLOOKUP('Banco de Dados'!$P1645,Sku!D:D,Sku!H:H)*20%),2)),0)</f>
        <v>0</v>
      </c>
      <c r="AN1645" s="109">
        <f ca="1">IF('Banco de Dados'!$AK1645&lt;&gt;"-",IF('Banco de Dados'!$F1645&lt;&gt;"-",_xlfn.XLOOKUP(IFERROR(IFERROR(IFERROR(VALUE(SUBSTITUTE(MID(_xlfn.TEXTAFTER('Banco de Dados'!$F1645,"Data do Pedido:
",1),1,10),"-","/")),VALUE(SUBSTITUTE(MID(_xlfn.TEXTAFTER('Banco de Dados'!$F1645,"Order date:
",1),1,10),"-","/"))),VALUE(SUBSTITUTE(MID(_xlfn.TEXTAFTER('Banco de Dados'!$F1645,"Fecha de pedido:
",1),1,10),"-","/"))),"-"),SMS!A:A,SMS!K:K),0),0)</f>
        <v>0</v>
      </c>
      <c r="AO1645" s="109">
        <f ca="1">IF('Banco de Dados'!$AK1645&lt;&gt;"-",IF('Banco de Dados'!$F1645&lt;&gt;"-",IFERROR(_xlfn.XLOOKUP(_xlfn.CONCAT('Banco de Dados'!$A1645,IFERROR(IFERROR(VALUE(SUBSTITUTE(MID(_xlfn.TEXTAFTER('Banco de Dados'!$F1645,"Data do Pedido:
",1),1,10),"-","/")),VALUE(SUBSTITUTE(MID(_xlfn.TEXTAFTER('Banco de Dados'!$F1645,"Order date:
",1),1,10),"-","/"))),0)),ProxyDD[Chave],ProxyDD[Valor por pedido]),PROXY!$P$2),0),0)</f>
        <v>0</v>
      </c>
      <c r="AP1645" s="28">
        <f ca="1">IF('Banco de Dados'!$AK1645&lt;&gt;"-",IF('Banco de Dados'!$AL1645="NÃO",IFERROR(VALUE(SUBSTITUTE(_xlfn.TEXTAFTER('Banco de Dados'!$F1645,"BRL ",1),".",",")),0),0),0)</f>
        <v>0</v>
      </c>
      <c r="AQ1645" s="28">
        <f ca="1">SUM('Banco de Dados'!$AM1645:$AP1645)</f>
        <v>0</v>
      </c>
      <c r="AR1645" s="8"/>
      <c r="AS1645" s="8"/>
      <c r="AT1645"/>
      <c r="AY1645" s="8"/>
    </row>
    <row r="1646" spans="1:51">
      <c r="A1646" s="5" t="str">
        <v>MEI</v>
      </c>
      <c r="B1646" s="5" t="str">
        <f ca="1"/>
        <v>MEI-</v>
      </c>
      <c r="C1646" s="8" t="str">
        <v>Pedido 1633</v>
      </c>
      <c r="D1646" s="187">
        <v>45777</v>
      </c>
      <c r="E1646" s="9" t="str">
        <v>-</v>
      </c>
      <c r="F1646" s="8" t="str">
        <v>-</v>
      </c>
      <c r="G1646" s="2" t="str">
        <v>-</v>
      </c>
      <c r="H1646" s="5">
        <v>1</v>
      </c>
      <c r="I1646" s="182" t="str">
        <v>CPF 1592</v>
      </c>
      <c r="J1646" s="2" t="str">
        <v>Nome 1592</v>
      </c>
      <c r="K1646" s="8" t="str">
        <v>Tel 1592</v>
      </c>
      <c r="L1646" s="8" t="str">
        <v>Cep 1592</v>
      </c>
      <c r="M1646" s="8" t="str">
        <v>Rua 1592</v>
      </c>
      <c r="N1646" s="8" t="str">
        <v>Comp 1592</v>
      </c>
      <c r="O1646" s="8" t="str">
        <v>Maçarico Culinário Portátil</v>
      </c>
      <c r="P1646" s="8" t="str">
        <v>BG-DHRO-FAEE</v>
      </c>
      <c r="Q1646" s="4">
        <v>45799</v>
      </c>
      <c r="R1646" s="109">
        <v>23.99</v>
      </c>
      <c r="S1646" s="11">
        <f ca="1"/>
        <v>0</v>
      </c>
      <c r="T1646" s="28">
        <f ca="1"/>
        <v>0</v>
      </c>
      <c r="U1646" s="11">
        <f ca="1"/>
        <v>0</v>
      </c>
      <c r="V1646" s="11">
        <v>0</v>
      </c>
      <c r="W1646" s="11">
        <f ca="1"/>
        <v>0</v>
      </c>
      <c r="X1646" s="11">
        <f ca="1"/>
        <v>0</v>
      </c>
      <c r="Y1646" s="11">
        <v>0</v>
      </c>
      <c r="Z1646" s="11">
        <f ca="1"/>
        <v>0</v>
      </c>
      <c r="AA1646" s="11">
        <f ca="1"/>
        <v>0</v>
      </c>
      <c r="AB1646" s="4">
        <f ca="1"/>
        <v>45806</v>
      </c>
      <c r="AC1646" s="4">
        <v>45806</v>
      </c>
      <c r="AD1646" s="9">
        <v>45807</v>
      </c>
      <c r="AE1646" s="9">
        <v>45810</v>
      </c>
      <c r="AF1646" s="4" t="str">
        <f t="shared" ca="1" si="112"/>
        <v>2025 05</v>
      </c>
      <c r="AG1646" s="8" t="str" cm="1">
        <f t="array" ref="AG1646">IFERROR(_xlfn.IFS('Banco de Dados'!#REF!="AG. COMPRA","Em processamento",'Banco de Dados'!#REF!="AG. RASTREIO","Em processamento",'Banco de Dados'!$AE1646&lt;&gt;"-","Faturado",'Banco de Dados'!$AD1646&lt;&gt;"-","Aguardando Pix",'Banco de Dados'!$AC1646&lt;&gt;"-","Pendente"),"Aguardando Liberação")</f>
        <v>Aguardando Liberação</v>
      </c>
      <c r="AH1646" s="5" t="str">
        <f ca="1">IF('Banco de Dados'!$F1646="-",_xlfn.CONCAT(PROPER(TEXT(AK1646,"aaaa"))," ",PROPER(TEXT(AK1646,"mm"))),_xlfn.CONCAT(PROPER(TEXT(E1646,"aaaa"))," ",PROPER(TEXT(E1646,"mm"))))</f>
        <v>2025 05</v>
      </c>
      <c r="AI1646" s="9" t="str">
        <f ca="1">IF('Banco de Dados'!$AK1646&lt;&gt;"-","REEMBOLSO",IFERROR(_xlfn.XLOOKUP(G1646,Follow[CODRASTREIO],Follow[STATUS]),"-"))</f>
        <v>REEMBOLSO</v>
      </c>
      <c r="AJ1646" s="9" t="str">
        <f ca="1">IF('Banco de Dados'!$AI1646="ENTREGUE",_xlfn.XLOOKUP('Banco de Dados'!$G1646,Follow[CODRASTREIO],Follow[DATAATUALIZAÇÃO]),"-")</f>
        <v>-</v>
      </c>
      <c r="AK1646" s="132">
        <f ca="1"/>
        <v>45785</v>
      </c>
      <c r="AL1646" s="35"/>
      <c r="AM1646" s="109" cm="1">
        <f t="array" aca="1" ref="AM1646" ca="1">IF('Banco de Dados'!$AK1646&lt;&gt;"-",_xlfn.IFS('Banco de Dados'!$A1646="bv",IF('Banco de Dados'!$E1646&lt;45641,ROUND(SUM('Banco de Dados'!$R1646*_xlfn.XLOOKUP('Banco de Dados'!$P1646,Sku!B:B,Sku!#REF!)*20%),2),ROUND(SUM('Banco de Dados'!$R1646*_xlfn.XLOOKUP('Banco de Dados'!$P1646,Sku!B:B,Sku!H:H)*20%),2)),'Banco de Dados'!$A1646="GO",ROUND(SUM('Banco de Dados'!$R1646*_xlfn.XLOOKUP('Banco de Dados'!$P1646,Sku!C:C,Sku!H:H)*20%),2),'Banco de Dados'!$A1646="MEI",ROUND(SUM('Banco de Dados'!$R1646*_xlfn.XLOOKUP('Banco de Dados'!$P1646,Sku!D:D,Sku!H:H)*20%),2)),0)</f>
        <v>0.53</v>
      </c>
      <c r="AN1646" s="109">
        <f ca="1">IF('Banco de Dados'!$AK1646&lt;&gt;"-",IF('Banco de Dados'!$F1646&lt;&gt;"-",_xlfn.XLOOKUP(IFERROR(IFERROR(IFERROR(VALUE(SUBSTITUTE(MID(_xlfn.TEXTAFTER('Banco de Dados'!$F1646,"Data do Pedido:
",1),1,10),"-","/")),VALUE(SUBSTITUTE(MID(_xlfn.TEXTAFTER('Banco de Dados'!$F1646,"Order date:
",1),1,10),"-","/"))),VALUE(SUBSTITUTE(MID(_xlfn.TEXTAFTER('Banco de Dados'!$F1646,"Fecha de pedido:
",1),1,10),"-","/"))),"-"),SMS!A:A,SMS!K:K),0),0)</f>
        <v>0</v>
      </c>
      <c r="AO1646" s="109">
        <f ca="1">IF('Banco de Dados'!$AK1646&lt;&gt;"-",IF('Banco de Dados'!$F1646&lt;&gt;"-",IFERROR(_xlfn.XLOOKUP(_xlfn.CONCAT('Banco de Dados'!$A1646,IFERROR(IFERROR(VALUE(SUBSTITUTE(MID(_xlfn.TEXTAFTER('Banco de Dados'!$F1646,"Data do Pedido:
",1),1,10),"-","/")),VALUE(SUBSTITUTE(MID(_xlfn.TEXTAFTER('Banco de Dados'!$F1646,"Order date:
",1),1,10),"-","/"))),0)),ProxyDD[Chave],ProxyDD[Valor por pedido]),PROXY!$P$2),0),0)</f>
        <v>0</v>
      </c>
      <c r="AP1646" s="28">
        <f ca="1">IF('Banco de Dados'!$AK1646&lt;&gt;"-",IF('Banco de Dados'!$AL1646="NÃO",IFERROR(VALUE(SUBSTITUTE(_xlfn.TEXTAFTER('Banco de Dados'!$F1646,"BRL ",1),".",",")),0),0),0)</f>
        <v>0</v>
      </c>
      <c r="AQ1646" s="28">
        <f ca="1">SUM('Banco de Dados'!$AM1646:$AP1646)</f>
        <v>0.53</v>
      </c>
      <c r="AR1646" s="8"/>
      <c r="AS1646" s="8"/>
      <c r="AT1646"/>
      <c r="AY1646" s="8"/>
    </row>
    <row r="1647" spans="1:51">
      <c r="A1647" s="5" t="str">
        <v>MEI</v>
      </c>
      <c r="B1647" s="5" t="str">
        <f ca="1"/>
        <v>MEI45777</v>
      </c>
      <c r="C1647" s="8" t="str">
        <v>Pedido 1634</v>
      </c>
      <c r="D1647" s="187">
        <v>45777</v>
      </c>
      <c r="E1647" s="9">
        <v>45777</v>
      </c>
      <c r="F1647" s="8" t="str">
        <v>PedidoF1559</v>
      </c>
      <c r="G1647" s="2" t="str">
        <v>CódRastreio1557</v>
      </c>
      <c r="H1647" s="5">
        <v>1</v>
      </c>
      <c r="I1647" s="182" t="str">
        <v>CPF 1593</v>
      </c>
      <c r="J1647" s="2" t="str">
        <v>Nome 1593</v>
      </c>
      <c r="K1647" s="8" t="str">
        <v>Tel 1593</v>
      </c>
      <c r="L1647" s="8" t="str">
        <v>Cep 1593</v>
      </c>
      <c r="M1647" s="8" t="str">
        <v>Rua 1593</v>
      </c>
      <c r="N1647" s="8" t="str">
        <v>Comp 1593</v>
      </c>
      <c r="O1647" s="8" t="str">
        <v>Ventilador Umidificador Preto</v>
      </c>
      <c r="P1647" s="8" t="str">
        <v>71-KHMZ-MLQW</v>
      </c>
      <c r="Q1647" s="4">
        <v>45805</v>
      </c>
      <c r="R1647" s="109">
        <v>49.99</v>
      </c>
      <c r="S1647" s="11">
        <f ca="1"/>
        <v>0</v>
      </c>
      <c r="T1647" s="28">
        <f ca="1"/>
        <v>0</v>
      </c>
      <c r="U1647" s="11">
        <f ca="1"/>
        <v>0</v>
      </c>
      <c r="V1647" s="11">
        <v>0</v>
      </c>
      <c r="W1647" s="11">
        <f ca="1"/>
        <v>0</v>
      </c>
      <c r="X1647" s="11">
        <f ca="1"/>
        <v>0.39877104377104378</v>
      </c>
      <c r="Y1647" s="11">
        <v>0</v>
      </c>
      <c r="Z1647" s="11">
        <f ca="1"/>
        <v>-0.39877104377104378</v>
      </c>
      <c r="AA1647" s="11">
        <f ca="1"/>
        <v>-0.19938552188552189</v>
      </c>
      <c r="AB1647" s="4">
        <f ca="1"/>
        <v>45812</v>
      </c>
      <c r="AC1647" s="4">
        <v>45812</v>
      </c>
      <c r="AD1647" s="9">
        <v>45824</v>
      </c>
      <c r="AE1647" s="9">
        <v>45828</v>
      </c>
      <c r="AF1647" s="4" t="str">
        <f t="shared" ca="1" si="112"/>
        <v>2025 06</v>
      </c>
      <c r="AG1647" s="8" t="str" cm="1">
        <f t="array" ref="AG1647">IFERROR(_xlfn.IFS('Banco de Dados'!#REF!="AG. COMPRA","Em processamento",'Banco de Dados'!#REF!="AG. RASTREIO","Em processamento",'Banco de Dados'!$AE1647&lt;&gt;"-","Faturado",'Banco de Dados'!$AD1647&lt;&gt;"-","Aguardando Pix",'Banco de Dados'!$AC1647&lt;&gt;"-","Pendente"),"Aguardando Liberação")</f>
        <v>Aguardando Liberação</v>
      </c>
      <c r="AH1647" s="5" t="str">
        <f>IF('Banco de Dados'!$F1647="-",_xlfn.CONCAT(PROPER(TEXT(AK1647,"aaaa"))," ",PROPER(TEXT(AK1647,"mm"))),_xlfn.CONCAT(PROPER(TEXT(E1647,"aaaa"))," ",PROPER(TEXT(E1647,"mm"))))</f>
        <v>2025 04</v>
      </c>
      <c r="AI1647" s="9" t="str">
        <f ca="1">IF('Banco de Dados'!$AK1647&lt;&gt;"-","REEMBOLSO",IFERROR(_xlfn.XLOOKUP(G1647,Follow[CODRASTREIO],Follow[STATUS]),"-"))</f>
        <v>REEMBOLSO</v>
      </c>
      <c r="AJ1647" s="9" t="str">
        <f ca="1">IF('Banco de Dados'!$AI1647="ENTREGUE",_xlfn.XLOOKUP('Banco de Dados'!$G1647,Follow[CODRASTREIO],Follow[DATAATUALIZAÇÃO]),"-")</f>
        <v>-</v>
      </c>
      <c r="AK1647" s="132">
        <f ca="1"/>
        <v>45810</v>
      </c>
      <c r="AL1647" s="35"/>
      <c r="AM1647" s="109" cm="1">
        <f t="array" aca="1" ref="AM1647" ca="1">IF('Banco de Dados'!$AK1647&lt;&gt;"-",_xlfn.IFS('Banco de Dados'!$A1647="bv",IF('Banco de Dados'!$E1647&lt;45641,ROUND(SUM('Banco de Dados'!$R1647*_xlfn.XLOOKUP('Banco de Dados'!$P1647,Sku!B:B,Sku!#REF!)*20%),2),ROUND(SUM('Banco de Dados'!$R1647*_xlfn.XLOOKUP('Banco de Dados'!$P1647,Sku!B:B,Sku!H:H)*20%),2)),'Banco de Dados'!$A1647="GO",ROUND(SUM('Banco de Dados'!$R1647*_xlfn.XLOOKUP('Banco de Dados'!$P1647,Sku!C:C,Sku!H:H)*20%),2),'Banco de Dados'!$A1647="MEI",ROUND(SUM('Banco de Dados'!$R1647*_xlfn.XLOOKUP('Banco de Dados'!$P1647,Sku!D:D,Sku!H:H)*20%),2)),0)</f>
        <v>1.4</v>
      </c>
      <c r="AN1647" s="109" t="e">
        <f ca="1">IF('Banco de Dados'!$AK1647&lt;&gt;"-",IF('Banco de Dados'!$F1647&lt;&gt;"-",_xlfn.XLOOKUP(IFERROR(IFERROR(IFERROR(VALUE(SUBSTITUTE(MID(_xlfn.TEXTAFTER('Banco de Dados'!$F1647,"Data do Pedido:
",1),1,10),"-","/")),VALUE(SUBSTITUTE(MID(_xlfn.TEXTAFTER('Banco de Dados'!$F1647,"Order date:
",1),1,10),"-","/"))),VALUE(SUBSTITUTE(MID(_xlfn.TEXTAFTER('Banco de Dados'!$F1647,"Fecha de pedido:
",1),1,10),"-","/"))),"-"),SMS!A:A,SMS!K:K),0),0)</f>
        <v>#N/A</v>
      </c>
      <c r="AO1647" s="109">
        <f ca="1">IF('Banco de Dados'!$AK1647&lt;&gt;"-",IF('Banco de Dados'!$F1647&lt;&gt;"-",IFERROR(_xlfn.XLOOKUP(_xlfn.CONCAT('Banco de Dados'!$A1647,IFERROR(IFERROR(VALUE(SUBSTITUTE(MID(_xlfn.TEXTAFTER('Banco de Dados'!$F1647,"Data do Pedido:
",1),1,10),"-","/")),VALUE(SUBSTITUTE(MID(_xlfn.TEXTAFTER('Banco de Dados'!$F1647,"Order date:
",1),1,10),"-","/"))),0)),ProxyDD[Chave],ProxyDD[Valor por pedido]),PROXY!$P$2),0),0)</f>
        <v>0.39877104377104378</v>
      </c>
      <c r="AP1647" s="28">
        <f ca="1">IF('Banco de Dados'!$AK1647&lt;&gt;"-",IF('Banco de Dados'!$AL1647="NÃO",IFERROR(VALUE(SUBSTITUTE(_xlfn.TEXTAFTER('Banco de Dados'!$F1647,"BRL ",1),".",",")),0),0),0)</f>
        <v>0</v>
      </c>
      <c r="AQ1647" s="28" t="e">
        <f ca="1">SUM('Banco de Dados'!$AM1647:$AP1647)</f>
        <v>#N/A</v>
      </c>
      <c r="AR1647" s="8"/>
      <c r="AS1647" s="8"/>
      <c r="AT1647"/>
      <c r="AY1647" s="8"/>
    </row>
    <row r="1648" spans="1:51">
      <c r="A1648" s="5" t="str">
        <v>MEI</v>
      </c>
      <c r="B1648" s="5" t="str">
        <f ca="1"/>
        <v>MEI45783</v>
      </c>
      <c r="C1648" s="8" t="str">
        <v>Pedido 1635</v>
      </c>
      <c r="D1648" s="187">
        <v>45777</v>
      </c>
      <c r="E1648" s="9">
        <v>45783</v>
      </c>
      <c r="F1648" s="8" t="str">
        <v>PedidoF1560</v>
      </c>
      <c r="G1648" s="2" t="str">
        <v>CódRastreio1558</v>
      </c>
      <c r="H1648" s="5">
        <v>1</v>
      </c>
      <c r="I1648" s="182" t="str">
        <v>CPF 1594</v>
      </c>
      <c r="J1648" s="2" t="str">
        <v>Nome 1594</v>
      </c>
      <c r="K1648" s="8" t="str">
        <v>Tel 1594</v>
      </c>
      <c r="L1648" s="8" t="str">
        <v>Cep 1594</v>
      </c>
      <c r="M1648" s="8" t="str">
        <v>Rua 1594</v>
      </c>
      <c r="N1648" s="8" t="str">
        <v>Comp 1594</v>
      </c>
      <c r="O1648" s="8" t="str">
        <v>Maçarico Culinário Portátil</v>
      </c>
      <c r="P1648" s="8" t="str">
        <v>BG-DHRO-FAEE</v>
      </c>
      <c r="Q1648" s="4">
        <v>45799</v>
      </c>
      <c r="R1648" s="109">
        <v>23.99</v>
      </c>
      <c r="S1648" s="11">
        <f ca="1"/>
        <v>23.99</v>
      </c>
      <c r="T1648" s="28">
        <f ca="1"/>
        <v>2.6389</v>
      </c>
      <c r="U1648" s="11">
        <f ca="1"/>
        <v>21.35</v>
      </c>
      <c r="V1648" s="11">
        <v>14.52</v>
      </c>
      <c r="W1648" s="11">
        <f ca="1"/>
        <v>0.12</v>
      </c>
      <c r="X1648" s="11">
        <f ca="1"/>
        <v>0.39877104377104378</v>
      </c>
      <c r="Y1648" s="11">
        <v>0</v>
      </c>
      <c r="Z1648" s="11">
        <f ca="1"/>
        <v>6.311228956228959</v>
      </c>
      <c r="AA1648" s="11">
        <f ca="1"/>
        <v>3.1556144781144795</v>
      </c>
      <c r="AB1648" s="4">
        <f ca="1"/>
        <v>45806</v>
      </c>
      <c r="AC1648" s="4">
        <v>45806</v>
      </c>
      <c r="AD1648" s="9">
        <v>45807</v>
      </c>
      <c r="AE1648" s="9">
        <v>45810</v>
      </c>
      <c r="AF1648" s="4" t="str">
        <f t="shared" ca="1" si="112"/>
        <v>2025 05</v>
      </c>
      <c r="AG1648" s="8" t="str" cm="1">
        <f t="array" ref="AG1648">IFERROR(_xlfn.IFS('Banco de Dados'!#REF!="AG. COMPRA","Em processamento",'Banco de Dados'!#REF!="AG. RASTREIO","Em processamento",'Banco de Dados'!$AE1648&lt;&gt;"-","Faturado",'Banco de Dados'!$AD1648&lt;&gt;"-","Aguardando Pix",'Banco de Dados'!$AC1648&lt;&gt;"-","Pendente"),"Aguardando Liberação")</f>
        <v>Aguardando Liberação</v>
      </c>
      <c r="AH1648" s="5" t="str">
        <f>IF('Banco de Dados'!$F1648="-",_xlfn.CONCAT(PROPER(TEXT(AK1648,"aaaa"))," ",PROPER(TEXT(AK1648,"mm"))),_xlfn.CONCAT(PROPER(TEXT(E1648,"aaaa"))," ",PROPER(TEXT(E1648,"mm"))))</f>
        <v>2025 05</v>
      </c>
      <c r="AI1648" s="9" t="str">
        <f ca="1">IF('Banco de Dados'!$AK1648&lt;&gt;"-","REEMBOLSO",IFERROR(_xlfn.XLOOKUP(G1648,Follow[CODRASTREIO],Follow[STATUS]),"-"))</f>
        <v>ENTREGUE</v>
      </c>
      <c r="AJ1648" s="9">
        <f ca="1">IF('Banco de Dados'!$AI1648="ENTREGUE",_xlfn.XLOOKUP('Banco de Dados'!$G1648,Follow[CODRASTREIO],Follow[DATAATUALIZAÇÃO]),"-")</f>
        <v>45793</v>
      </c>
      <c r="AK1648" s="132" t="str">
        <f ca="1"/>
        <v>-</v>
      </c>
      <c r="AL1648" s="35"/>
      <c r="AM1648" s="109" cm="1">
        <f t="array" aca="1" ref="AM1648" ca="1">IF('Banco de Dados'!$AK1648&lt;&gt;"-",_xlfn.IFS('Banco de Dados'!$A1648="bv",IF('Banco de Dados'!$E1648&lt;45641,ROUND(SUM('Banco de Dados'!$R1648*_xlfn.XLOOKUP('Banco de Dados'!$P1648,Sku!B:B,Sku!#REF!)*20%),2),ROUND(SUM('Banco de Dados'!$R1648*_xlfn.XLOOKUP('Banco de Dados'!$P1648,Sku!B:B,Sku!H:H)*20%),2)),'Banco de Dados'!$A1648="GO",ROUND(SUM('Banco de Dados'!$R1648*_xlfn.XLOOKUP('Banco de Dados'!$P1648,Sku!C:C,Sku!H:H)*20%),2),'Banco de Dados'!$A1648="MEI",ROUND(SUM('Banco de Dados'!$R1648*_xlfn.XLOOKUP('Banco de Dados'!$P1648,Sku!D:D,Sku!H:H)*20%),2)),0)</f>
        <v>0</v>
      </c>
      <c r="AN1648" s="109">
        <f ca="1">IF('Banco de Dados'!$AK1648&lt;&gt;"-",IF('Banco de Dados'!$F1648&lt;&gt;"-",_xlfn.XLOOKUP(IFERROR(IFERROR(IFERROR(VALUE(SUBSTITUTE(MID(_xlfn.TEXTAFTER('Banco de Dados'!$F1648,"Data do Pedido:
",1),1,10),"-","/")),VALUE(SUBSTITUTE(MID(_xlfn.TEXTAFTER('Banco de Dados'!$F1648,"Order date:
",1),1,10),"-","/"))),VALUE(SUBSTITUTE(MID(_xlfn.TEXTAFTER('Banco de Dados'!$F1648,"Fecha de pedido:
",1),1,10),"-","/"))),"-"),SMS!A:A,SMS!K:K),0),0)</f>
        <v>0</v>
      </c>
      <c r="AO1648" s="109">
        <f ca="1">IF('Banco de Dados'!$AK1648&lt;&gt;"-",IF('Banco de Dados'!$F1648&lt;&gt;"-",IFERROR(_xlfn.XLOOKUP(_xlfn.CONCAT('Banco de Dados'!$A1648,IFERROR(IFERROR(VALUE(SUBSTITUTE(MID(_xlfn.TEXTAFTER('Banco de Dados'!$F1648,"Data do Pedido:
",1),1,10),"-","/")),VALUE(SUBSTITUTE(MID(_xlfn.TEXTAFTER('Banco de Dados'!$F1648,"Order date:
",1),1,10),"-","/"))),0)),ProxyDD[Chave],ProxyDD[Valor por pedido]),PROXY!$P$2),0),0)</f>
        <v>0</v>
      </c>
      <c r="AP1648" s="28">
        <f ca="1">IF('Banco de Dados'!$AK1648&lt;&gt;"-",IF('Banco de Dados'!$AL1648="NÃO",IFERROR(VALUE(SUBSTITUTE(_xlfn.TEXTAFTER('Banco de Dados'!$F1648,"BRL ",1),".",",")),0),0),0)</f>
        <v>0</v>
      </c>
      <c r="AQ1648" s="28">
        <f ca="1">SUM('Banco de Dados'!$AM1648:$AP1648)</f>
        <v>0</v>
      </c>
      <c r="AR1648" s="8"/>
      <c r="AS1648" s="8"/>
      <c r="AT1648"/>
      <c r="AY1648" s="8"/>
    </row>
    <row r="1649" spans="1:51">
      <c r="A1649" s="5" t="str">
        <v>MEI</v>
      </c>
      <c r="B1649" s="5" t="str">
        <f ca="1"/>
        <v>MEI45777</v>
      </c>
      <c r="C1649" s="8" t="str">
        <v>Pedido 1636</v>
      </c>
      <c r="D1649" s="187">
        <v>45777</v>
      </c>
      <c r="E1649" s="9">
        <v>45777</v>
      </c>
      <c r="F1649" s="8" t="str">
        <v>PedidoF1561</v>
      </c>
      <c r="G1649" s="2" t="str">
        <v>CódRastreio1559</v>
      </c>
      <c r="H1649" s="5">
        <v>1</v>
      </c>
      <c r="I1649" s="182" t="str">
        <v>CPF 1595</v>
      </c>
      <c r="J1649" s="2" t="str">
        <v>Nome 1595</v>
      </c>
      <c r="K1649" s="8" t="str">
        <v>Tel 1595</v>
      </c>
      <c r="L1649" s="8" t="str">
        <v>Cep 1595</v>
      </c>
      <c r="M1649" s="8" t="str">
        <v>Rua 1595</v>
      </c>
      <c r="N1649" s="8" t="str">
        <v>Comp 1595</v>
      </c>
      <c r="O1649" s="8" t="str">
        <v>Ventilador Azul</v>
      </c>
      <c r="P1649" s="8" t="str">
        <v>PK-L2Z7-MQRQ</v>
      </c>
      <c r="Q1649" s="4">
        <v>45805</v>
      </c>
      <c r="R1649" s="109">
        <v>49.9</v>
      </c>
      <c r="S1649" s="11">
        <f ca="1"/>
        <v>49.9</v>
      </c>
      <c r="T1649" s="28">
        <f ca="1"/>
        <v>5.9879999999999995</v>
      </c>
      <c r="U1649" s="11">
        <f ca="1"/>
        <v>43.91</v>
      </c>
      <c r="V1649" s="11">
        <v>21.11</v>
      </c>
      <c r="W1649" s="11">
        <f ca="1"/>
        <v>0.12</v>
      </c>
      <c r="X1649" s="11">
        <f ca="1"/>
        <v>0.39877104377104378</v>
      </c>
      <c r="Y1649" s="11">
        <v>0</v>
      </c>
      <c r="Z1649" s="11">
        <f ca="1"/>
        <v>22.281228956228951</v>
      </c>
      <c r="AA1649" s="11">
        <f ca="1"/>
        <v>11.140614478114475</v>
      </c>
      <c r="AB1649" s="4">
        <f ca="1"/>
        <v>45812</v>
      </c>
      <c r="AC1649" s="4">
        <v>45812</v>
      </c>
      <c r="AD1649" s="9">
        <v>45824</v>
      </c>
      <c r="AE1649" s="9">
        <v>45828</v>
      </c>
      <c r="AF1649" s="4" t="str">
        <f t="shared" ca="1" si="112"/>
        <v>2025 06</v>
      </c>
      <c r="AG1649" s="8" t="str" cm="1">
        <f t="array" ref="AG1649">IFERROR(_xlfn.IFS('Banco de Dados'!#REF!="AG. COMPRA","Em processamento",'Banco de Dados'!#REF!="AG. RASTREIO","Em processamento",'Banco de Dados'!$AE1649&lt;&gt;"-","Faturado",'Banco de Dados'!$AD1649&lt;&gt;"-","Aguardando Pix",'Banco de Dados'!$AC1649&lt;&gt;"-","Pendente"),"Aguardando Liberação")</f>
        <v>Aguardando Liberação</v>
      </c>
      <c r="AH1649" s="5" t="str">
        <f>IF('Banco de Dados'!$F1649="-",_xlfn.CONCAT(PROPER(TEXT(AK1649,"aaaa"))," ",PROPER(TEXT(AK1649,"mm"))),_xlfn.CONCAT(PROPER(TEXT(E1649,"aaaa"))," ",PROPER(TEXT(E1649,"mm"))))</f>
        <v>2025 04</v>
      </c>
      <c r="AI1649" s="9" t="str">
        <f ca="1">IF('Banco de Dados'!$AK1649&lt;&gt;"-","REEMBOLSO",IFERROR(_xlfn.XLOOKUP(G1649,Follow[CODRASTREIO],Follow[STATUS]),"-"))</f>
        <v>ENTREGUE</v>
      </c>
      <c r="AJ1649" s="9">
        <f ca="1">IF('Banco de Dados'!$AI1649="ENTREGUE",_xlfn.XLOOKUP('Banco de Dados'!$G1649,Follow[CODRASTREIO],Follow[DATAATUALIZAÇÃO]),"-")</f>
        <v>45805</v>
      </c>
      <c r="AK1649" s="132" t="str">
        <f ca="1"/>
        <v>-</v>
      </c>
      <c r="AL1649" s="35"/>
      <c r="AM1649" s="109" cm="1">
        <f t="array" aca="1" ref="AM1649" ca="1">IF('Banco de Dados'!$AK1649&lt;&gt;"-",_xlfn.IFS('Banco de Dados'!$A1649="bv",IF('Banco de Dados'!$E1649&lt;45641,ROUND(SUM('Banco de Dados'!$R1649*_xlfn.XLOOKUP('Banco de Dados'!$P1649,Sku!B:B,Sku!#REF!)*20%),2),ROUND(SUM('Banco de Dados'!$R1649*_xlfn.XLOOKUP('Banco de Dados'!$P1649,Sku!B:B,Sku!H:H)*20%),2)),'Banco de Dados'!$A1649="GO",ROUND(SUM('Banco de Dados'!$R1649*_xlfn.XLOOKUP('Banco de Dados'!$P1649,Sku!C:C,Sku!H:H)*20%),2),'Banco de Dados'!$A1649="MEI",ROUND(SUM('Banco de Dados'!$R1649*_xlfn.XLOOKUP('Banco de Dados'!$P1649,Sku!D:D,Sku!H:H)*20%),2)),0)</f>
        <v>0</v>
      </c>
      <c r="AN1649" s="109">
        <f ca="1">IF('Banco de Dados'!$AK1649&lt;&gt;"-",IF('Banco de Dados'!$F1649&lt;&gt;"-",_xlfn.XLOOKUP(IFERROR(IFERROR(IFERROR(VALUE(SUBSTITUTE(MID(_xlfn.TEXTAFTER('Banco de Dados'!$F1649,"Data do Pedido:
",1),1,10),"-","/")),VALUE(SUBSTITUTE(MID(_xlfn.TEXTAFTER('Banco de Dados'!$F1649,"Order date:
",1),1,10),"-","/"))),VALUE(SUBSTITUTE(MID(_xlfn.TEXTAFTER('Banco de Dados'!$F1649,"Fecha de pedido:
",1),1,10),"-","/"))),"-"),SMS!A:A,SMS!K:K),0),0)</f>
        <v>0</v>
      </c>
      <c r="AO1649" s="109">
        <f ca="1">IF('Banco de Dados'!$AK1649&lt;&gt;"-",IF('Banco de Dados'!$F1649&lt;&gt;"-",IFERROR(_xlfn.XLOOKUP(_xlfn.CONCAT('Banco de Dados'!$A1649,IFERROR(IFERROR(VALUE(SUBSTITUTE(MID(_xlfn.TEXTAFTER('Banco de Dados'!$F1649,"Data do Pedido:
",1),1,10),"-","/")),VALUE(SUBSTITUTE(MID(_xlfn.TEXTAFTER('Banco de Dados'!$F1649,"Order date:
",1),1,10),"-","/"))),0)),ProxyDD[Chave],ProxyDD[Valor por pedido]),PROXY!$P$2),0),0)</f>
        <v>0</v>
      </c>
      <c r="AP1649" s="28">
        <f ca="1">IF('Banco de Dados'!$AK1649&lt;&gt;"-",IF('Banco de Dados'!$AL1649="NÃO",IFERROR(VALUE(SUBSTITUTE(_xlfn.TEXTAFTER('Banco de Dados'!$F1649,"BRL ",1),".",",")),0),0),0)</f>
        <v>0</v>
      </c>
      <c r="AQ1649" s="28">
        <f ca="1">SUM('Banco de Dados'!$AM1649:$AP1649)</f>
        <v>0</v>
      </c>
      <c r="AR1649" s="8"/>
      <c r="AS1649" s="8"/>
      <c r="AT1649"/>
      <c r="AY1649" s="8"/>
    </row>
    <row r="1650" spans="1:51">
      <c r="A1650" s="5" t="str">
        <v>MEI</v>
      </c>
      <c r="B1650" s="5" t="str">
        <f ca="1"/>
        <v>MEI45783</v>
      </c>
      <c r="C1650" s="8" t="str">
        <v>Pedido 1637</v>
      </c>
      <c r="D1650" s="187">
        <v>45777</v>
      </c>
      <c r="E1650" s="9">
        <v>45783</v>
      </c>
      <c r="F1650" s="8" t="str">
        <v>PedidoF1562</v>
      </c>
      <c r="G1650" s="2" t="str">
        <v>CódRastreio1560</v>
      </c>
      <c r="H1650" s="5">
        <v>1</v>
      </c>
      <c r="I1650" s="182" t="str">
        <v>CPF 1596</v>
      </c>
      <c r="J1650" s="2" t="str">
        <v>Nome 1596</v>
      </c>
      <c r="K1650" s="8" t="str">
        <v>Tel 1596</v>
      </c>
      <c r="L1650" s="8" t="str">
        <v>Cep 1596</v>
      </c>
      <c r="M1650" s="8" t="str">
        <v>Rua 1596</v>
      </c>
      <c r="N1650" s="8" t="str">
        <v>Comp 1596</v>
      </c>
      <c r="O1650" s="8" t="str">
        <v>Maçarico Culinário Portátil</v>
      </c>
      <c r="P1650" s="8" t="str">
        <v>BG-DHRO-FAEE</v>
      </c>
      <c r="Q1650" s="4">
        <v>45805</v>
      </c>
      <c r="R1650" s="109">
        <v>23.99</v>
      </c>
      <c r="S1650" s="11">
        <f ca="1"/>
        <v>23.99</v>
      </c>
      <c r="T1650" s="28">
        <f ca="1"/>
        <v>2.6389</v>
      </c>
      <c r="U1650" s="11">
        <f ca="1"/>
        <v>21.35</v>
      </c>
      <c r="V1650" s="11">
        <v>14.52</v>
      </c>
      <c r="W1650" s="11">
        <f ca="1"/>
        <v>0.12</v>
      </c>
      <c r="X1650" s="11">
        <f ca="1"/>
        <v>0.39877104377104378</v>
      </c>
      <c r="Y1650" s="11">
        <v>0</v>
      </c>
      <c r="Z1650" s="11">
        <f ca="1"/>
        <v>6.311228956228959</v>
      </c>
      <c r="AA1650" s="11">
        <f ca="1"/>
        <v>3.1556144781144795</v>
      </c>
      <c r="AB1650" s="4">
        <f ca="1"/>
        <v>45812</v>
      </c>
      <c r="AC1650" s="4">
        <v>45812</v>
      </c>
      <c r="AD1650" s="9">
        <v>45824</v>
      </c>
      <c r="AE1650" s="9">
        <v>45828</v>
      </c>
      <c r="AF1650" s="4" t="str">
        <f t="shared" ca="1" si="112"/>
        <v>2025 06</v>
      </c>
      <c r="AG1650" s="8" t="str" cm="1">
        <f t="array" ref="AG1650">IFERROR(_xlfn.IFS('Banco de Dados'!#REF!="AG. COMPRA","Em processamento",'Banco de Dados'!#REF!="AG. RASTREIO","Em processamento",'Banco de Dados'!$AE1650&lt;&gt;"-","Faturado",'Banco de Dados'!$AD1650&lt;&gt;"-","Aguardando Pix",'Banco de Dados'!$AC1650&lt;&gt;"-","Pendente"),"Aguardando Liberação")</f>
        <v>Aguardando Liberação</v>
      </c>
      <c r="AH1650" s="5" t="str">
        <f>IF('Banco de Dados'!$F1650="-",_xlfn.CONCAT(PROPER(TEXT(AK1650,"aaaa"))," ",PROPER(TEXT(AK1650,"mm"))),_xlfn.CONCAT(PROPER(TEXT(E1650,"aaaa"))," ",PROPER(TEXT(E1650,"mm"))))</f>
        <v>2025 05</v>
      </c>
      <c r="AI1650" s="9" t="str">
        <f ca="1">IF('Banco de Dados'!$AK1650&lt;&gt;"-","REEMBOLSO",IFERROR(_xlfn.XLOOKUP(G1650,Follow[CODRASTREIO],Follow[STATUS]),"-"))</f>
        <v>ENTREGUE</v>
      </c>
      <c r="AJ1650" s="9">
        <f ca="1">IF('Banco de Dados'!$AI1650="ENTREGUE",_xlfn.XLOOKUP('Banco de Dados'!$G1650,Follow[CODRASTREIO],Follow[DATAATUALIZAÇÃO]),"-")</f>
        <v>45789</v>
      </c>
      <c r="AK1650" s="132" t="str">
        <f ca="1"/>
        <v>-</v>
      </c>
      <c r="AL1650" s="35"/>
      <c r="AM1650" s="109" cm="1">
        <f t="array" aca="1" ref="AM1650" ca="1">IF('Banco de Dados'!$AK1650&lt;&gt;"-",_xlfn.IFS('Banco de Dados'!$A1650="bv",IF('Banco de Dados'!$E1650&lt;45641,ROUND(SUM('Banco de Dados'!$R1650*_xlfn.XLOOKUP('Banco de Dados'!$P1650,Sku!B:B,Sku!#REF!)*20%),2),ROUND(SUM('Banco de Dados'!$R1650*_xlfn.XLOOKUP('Banco de Dados'!$P1650,Sku!B:B,Sku!H:H)*20%),2)),'Banco de Dados'!$A1650="GO",ROUND(SUM('Banco de Dados'!$R1650*_xlfn.XLOOKUP('Banco de Dados'!$P1650,Sku!C:C,Sku!H:H)*20%),2),'Banco de Dados'!$A1650="MEI",ROUND(SUM('Banco de Dados'!$R1650*_xlfn.XLOOKUP('Banco de Dados'!$P1650,Sku!D:D,Sku!H:H)*20%),2)),0)</f>
        <v>0</v>
      </c>
      <c r="AN1650" s="109">
        <f ca="1">IF('Banco de Dados'!$AK1650&lt;&gt;"-",IF('Banco de Dados'!$F1650&lt;&gt;"-",_xlfn.XLOOKUP(IFERROR(IFERROR(IFERROR(VALUE(SUBSTITUTE(MID(_xlfn.TEXTAFTER('Banco de Dados'!$F1650,"Data do Pedido:
",1),1,10),"-","/")),VALUE(SUBSTITUTE(MID(_xlfn.TEXTAFTER('Banco de Dados'!$F1650,"Order date:
",1),1,10),"-","/"))),VALUE(SUBSTITUTE(MID(_xlfn.TEXTAFTER('Banco de Dados'!$F1650,"Fecha de pedido:
",1),1,10),"-","/"))),"-"),SMS!A:A,SMS!K:K),0),0)</f>
        <v>0</v>
      </c>
      <c r="AO1650" s="109">
        <f ca="1">IF('Banco de Dados'!$AK1650&lt;&gt;"-",IF('Banco de Dados'!$F1650&lt;&gt;"-",IFERROR(_xlfn.XLOOKUP(_xlfn.CONCAT('Banco de Dados'!$A1650,IFERROR(IFERROR(VALUE(SUBSTITUTE(MID(_xlfn.TEXTAFTER('Banco de Dados'!$F1650,"Data do Pedido:
",1),1,10),"-","/")),VALUE(SUBSTITUTE(MID(_xlfn.TEXTAFTER('Banco de Dados'!$F1650,"Order date:
",1),1,10),"-","/"))),0)),ProxyDD[Chave],ProxyDD[Valor por pedido]),PROXY!$P$2),0),0)</f>
        <v>0</v>
      </c>
      <c r="AP1650" s="28">
        <f ca="1">IF('Banco de Dados'!$AK1650&lt;&gt;"-",IF('Banco de Dados'!$AL1650="NÃO",IFERROR(VALUE(SUBSTITUTE(_xlfn.TEXTAFTER('Banco de Dados'!$F1650,"BRL ",1),".",",")),0),0),0)</f>
        <v>0</v>
      </c>
      <c r="AQ1650" s="28">
        <f ca="1">SUM('Banco de Dados'!$AM1650:$AP1650)</f>
        <v>0</v>
      </c>
      <c r="AR1650" s="8"/>
      <c r="AS1650" s="8"/>
      <c r="AT1650"/>
      <c r="AY1650" s="8"/>
    </row>
    <row r="1651" spans="1:51">
      <c r="A1651" s="5" t="str">
        <v>MEI</v>
      </c>
      <c r="B1651" s="5" t="str">
        <f ca="1"/>
        <v>MEI45777</v>
      </c>
      <c r="C1651" s="8" t="str">
        <v>Pedido 1638</v>
      </c>
      <c r="D1651" s="187">
        <v>45777</v>
      </c>
      <c r="E1651" s="9">
        <v>45777</v>
      </c>
      <c r="F1651" s="8" t="str">
        <v>PedidoF1563</v>
      </c>
      <c r="G1651" s="2" t="str">
        <v>CódRastreio1561</v>
      </c>
      <c r="H1651" s="5">
        <v>1</v>
      </c>
      <c r="I1651" s="182" t="str">
        <v>CPF 1597</v>
      </c>
      <c r="J1651" s="2" t="str">
        <v>Nome 1597</v>
      </c>
      <c r="K1651" s="8" t="str">
        <v>Tel 1597</v>
      </c>
      <c r="L1651" s="8" t="str">
        <v>Cep 1597</v>
      </c>
      <c r="M1651" s="8" t="str">
        <v>Rua 1597</v>
      </c>
      <c r="N1651" s="8" t="str">
        <v>Comp 1597</v>
      </c>
      <c r="O1651" s="8" t="str">
        <v>Ventilador Azul</v>
      </c>
      <c r="P1651" s="8" t="str">
        <v>PK-L2Z7-MQRQ</v>
      </c>
      <c r="Q1651" s="4">
        <v>45805</v>
      </c>
      <c r="R1651" s="109">
        <v>49.9</v>
      </c>
      <c r="S1651" s="11">
        <f ca="1"/>
        <v>49.9</v>
      </c>
      <c r="T1651" s="28">
        <f ca="1"/>
        <v>5.9879999999999995</v>
      </c>
      <c r="U1651" s="11">
        <f ca="1"/>
        <v>43.91</v>
      </c>
      <c r="V1651" s="11">
        <v>21.94</v>
      </c>
      <c r="W1651" s="11">
        <f ca="1"/>
        <v>0.12</v>
      </c>
      <c r="X1651" s="11">
        <f ca="1"/>
        <v>0.39877104377104378</v>
      </c>
      <c r="Y1651" s="11">
        <v>0</v>
      </c>
      <c r="Z1651" s="11">
        <f ca="1"/>
        <v>21.451228956228949</v>
      </c>
      <c r="AA1651" s="11">
        <f ca="1"/>
        <v>10.725614478114474</v>
      </c>
      <c r="AB1651" s="4">
        <f ca="1"/>
        <v>45812</v>
      </c>
      <c r="AC1651" s="4">
        <v>45812</v>
      </c>
      <c r="AD1651" s="9">
        <v>45824</v>
      </c>
      <c r="AE1651" s="9">
        <v>45828</v>
      </c>
      <c r="AF1651" s="4" t="str">
        <f t="shared" ca="1" si="112"/>
        <v>2025 06</v>
      </c>
      <c r="AG1651" s="8" t="str" cm="1">
        <f t="array" ref="AG1651">IFERROR(_xlfn.IFS('Banco de Dados'!#REF!="AG. COMPRA","Em processamento",'Banco de Dados'!#REF!="AG. RASTREIO","Em processamento",'Banco de Dados'!$AE1651&lt;&gt;"-","Faturado",'Banco de Dados'!$AD1651&lt;&gt;"-","Aguardando Pix",'Banco de Dados'!$AC1651&lt;&gt;"-","Pendente"),"Aguardando Liberação")</f>
        <v>Aguardando Liberação</v>
      </c>
      <c r="AH1651" s="5" t="str">
        <f>IF('Banco de Dados'!$F1651="-",_xlfn.CONCAT(PROPER(TEXT(AK1651,"aaaa"))," ",PROPER(TEXT(AK1651,"mm"))),_xlfn.CONCAT(PROPER(TEXT(E1651,"aaaa"))," ",PROPER(TEXT(E1651,"mm"))))</f>
        <v>2025 04</v>
      </c>
      <c r="AI1651" s="9" t="str">
        <f ca="1">IF('Banco de Dados'!$AK1651&lt;&gt;"-","REEMBOLSO",IFERROR(_xlfn.XLOOKUP(G1651,Follow[CODRASTREIO],Follow[STATUS]),"-"))</f>
        <v>ENTREGUE</v>
      </c>
      <c r="AJ1651" s="9">
        <f ca="1">IF('Banco de Dados'!$AI1651="ENTREGUE",_xlfn.XLOOKUP('Banco de Dados'!$G1651,Follow[CODRASTREIO],Follow[DATAATUALIZAÇÃO]),"-")</f>
        <v>45805</v>
      </c>
      <c r="AK1651" s="132" t="str">
        <f ca="1"/>
        <v>-</v>
      </c>
      <c r="AL1651" s="35"/>
      <c r="AM1651" s="109" cm="1">
        <f t="array" aca="1" ref="AM1651" ca="1">IF('Banco de Dados'!$AK1651&lt;&gt;"-",_xlfn.IFS('Banco de Dados'!$A1651="bv",IF('Banco de Dados'!$E1651&lt;45641,ROUND(SUM('Banco de Dados'!$R1651*_xlfn.XLOOKUP('Banco de Dados'!$P1651,Sku!B:B,Sku!#REF!)*20%),2),ROUND(SUM('Banco de Dados'!$R1651*_xlfn.XLOOKUP('Banco de Dados'!$P1651,Sku!B:B,Sku!H:H)*20%),2)),'Banco de Dados'!$A1651="GO",ROUND(SUM('Banco de Dados'!$R1651*_xlfn.XLOOKUP('Banco de Dados'!$P1651,Sku!C:C,Sku!H:H)*20%),2),'Banco de Dados'!$A1651="MEI",ROUND(SUM('Banco de Dados'!$R1651*_xlfn.XLOOKUP('Banco de Dados'!$P1651,Sku!D:D,Sku!H:H)*20%),2)),0)</f>
        <v>0</v>
      </c>
      <c r="AN1651" s="109">
        <f ca="1">IF('Banco de Dados'!$AK1651&lt;&gt;"-",IF('Banco de Dados'!$F1651&lt;&gt;"-",_xlfn.XLOOKUP(IFERROR(IFERROR(IFERROR(VALUE(SUBSTITUTE(MID(_xlfn.TEXTAFTER('Banco de Dados'!$F1651,"Data do Pedido:
",1),1,10),"-","/")),VALUE(SUBSTITUTE(MID(_xlfn.TEXTAFTER('Banco de Dados'!$F1651,"Order date:
",1),1,10),"-","/"))),VALUE(SUBSTITUTE(MID(_xlfn.TEXTAFTER('Banco de Dados'!$F1651,"Fecha de pedido:
",1),1,10),"-","/"))),"-"),SMS!A:A,SMS!K:K),0),0)</f>
        <v>0</v>
      </c>
      <c r="AO1651" s="109">
        <f ca="1">IF('Banco de Dados'!$AK1651&lt;&gt;"-",IF('Banco de Dados'!$F1651&lt;&gt;"-",IFERROR(_xlfn.XLOOKUP(_xlfn.CONCAT('Banco de Dados'!$A1651,IFERROR(IFERROR(VALUE(SUBSTITUTE(MID(_xlfn.TEXTAFTER('Banco de Dados'!$F1651,"Data do Pedido:
",1),1,10),"-","/")),VALUE(SUBSTITUTE(MID(_xlfn.TEXTAFTER('Banco de Dados'!$F1651,"Order date:
",1),1,10),"-","/"))),0)),ProxyDD[Chave],ProxyDD[Valor por pedido]),PROXY!$P$2),0),0)</f>
        <v>0</v>
      </c>
      <c r="AP1651" s="28">
        <f ca="1">IF('Banco de Dados'!$AK1651&lt;&gt;"-",IF('Banco de Dados'!$AL1651="NÃO",IFERROR(VALUE(SUBSTITUTE(_xlfn.TEXTAFTER('Banco de Dados'!$F1651,"BRL ",1),".",",")),0),0),0)</f>
        <v>0</v>
      </c>
      <c r="AQ1651" s="28">
        <f ca="1">SUM('Banco de Dados'!$AM1651:$AP1651)</f>
        <v>0</v>
      </c>
      <c r="AR1651" s="8"/>
      <c r="AS1651" s="8"/>
      <c r="AT1651"/>
      <c r="AY1651" s="8"/>
    </row>
    <row r="1652" spans="1:51">
      <c r="A1652" s="5" t="str">
        <v>MEI</v>
      </c>
      <c r="B1652" s="5" t="str">
        <f ca="1"/>
        <v>MEI45777</v>
      </c>
      <c r="C1652" s="8" t="str">
        <v>Pedido 1639</v>
      </c>
      <c r="D1652" s="187">
        <v>45777</v>
      </c>
      <c r="E1652" s="9">
        <v>45777</v>
      </c>
      <c r="F1652" s="8" t="str">
        <v>PedidoF1564</v>
      </c>
      <c r="G1652" s="2" t="str">
        <v>CódRastreio1562</v>
      </c>
      <c r="H1652" s="5">
        <v>1</v>
      </c>
      <c r="I1652" s="182" t="str">
        <v>CPF 1598</v>
      </c>
      <c r="J1652" s="2" t="str">
        <v>Nome 1598</v>
      </c>
      <c r="K1652" s="8" t="str">
        <v>Tel 1598</v>
      </c>
      <c r="L1652" s="8" t="str">
        <v>Cep 1598</v>
      </c>
      <c r="M1652" s="8" t="str">
        <v>Rua 1598</v>
      </c>
      <c r="N1652" s="8" t="str">
        <v>Comp 1598</v>
      </c>
      <c r="O1652" s="8" t="str">
        <v>Mini Liquidificador</v>
      </c>
      <c r="P1652" s="8" t="str">
        <v>A4-5W51-K3HF</v>
      </c>
      <c r="Q1652" s="4">
        <v>45799</v>
      </c>
      <c r="R1652" s="109">
        <v>35.799999999999997</v>
      </c>
      <c r="S1652" s="11">
        <f ca="1"/>
        <v>35.799999999999997</v>
      </c>
      <c r="T1652" s="28">
        <f ca="1"/>
        <v>4.2959999999999994</v>
      </c>
      <c r="U1652" s="11">
        <f ca="1"/>
        <v>31.5</v>
      </c>
      <c r="V1652" s="11">
        <v>19.989999999999998</v>
      </c>
      <c r="W1652" s="11">
        <f ca="1"/>
        <v>0.12</v>
      </c>
      <c r="X1652" s="11">
        <f ca="1"/>
        <v>0.39877104377104378</v>
      </c>
      <c r="Y1652" s="11">
        <v>0</v>
      </c>
      <c r="Z1652" s="11">
        <f ca="1"/>
        <v>10.991228956228955</v>
      </c>
      <c r="AA1652" s="11">
        <f ca="1"/>
        <v>5.4956144781144776</v>
      </c>
      <c r="AB1652" s="4">
        <f ca="1"/>
        <v>45806</v>
      </c>
      <c r="AC1652" s="4">
        <v>45806</v>
      </c>
      <c r="AD1652" s="9">
        <v>45807</v>
      </c>
      <c r="AE1652" s="9">
        <v>45810</v>
      </c>
      <c r="AF1652" s="4" t="str">
        <f t="shared" ca="1" si="112"/>
        <v>2025 05</v>
      </c>
      <c r="AG1652" s="8" t="str" cm="1">
        <f t="array" ref="AG1652">IFERROR(_xlfn.IFS('Banco de Dados'!#REF!="AG. COMPRA","Em processamento",'Banco de Dados'!#REF!="AG. RASTREIO","Em processamento",'Banco de Dados'!$AE1652&lt;&gt;"-","Faturado",'Banco de Dados'!$AD1652&lt;&gt;"-","Aguardando Pix",'Banco de Dados'!$AC1652&lt;&gt;"-","Pendente"),"Aguardando Liberação")</f>
        <v>Aguardando Liberação</v>
      </c>
      <c r="AH1652" s="5" t="str">
        <f>IF('Banco de Dados'!$F1652="-",_xlfn.CONCAT(PROPER(TEXT(AK1652,"aaaa"))," ",PROPER(TEXT(AK1652,"mm"))),_xlfn.CONCAT(PROPER(TEXT(E1652,"aaaa"))," ",PROPER(TEXT(E1652,"mm"))))</f>
        <v>2025 04</v>
      </c>
      <c r="AI1652" s="9" t="str">
        <f ca="1">IF('Banco de Dados'!$AK1652&lt;&gt;"-","REEMBOLSO",IFERROR(_xlfn.XLOOKUP(G1652,Follow[CODRASTREIO],Follow[STATUS]),"-"))</f>
        <v>ENTREGUE</v>
      </c>
      <c r="AJ1652" s="9">
        <f ca="1">IF('Banco de Dados'!$AI1652="ENTREGUE",_xlfn.XLOOKUP('Banco de Dados'!$G1652,Follow[CODRASTREIO],Follow[DATAATUALIZAÇÃO]),"-")</f>
        <v>45787</v>
      </c>
      <c r="AK1652" s="132" t="str">
        <f ca="1"/>
        <v>-</v>
      </c>
      <c r="AL1652" s="35"/>
      <c r="AM1652" s="109" cm="1">
        <f t="array" aca="1" ref="AM1652" ca="1">IF('Banco de Dados'!$AK1652&lt;&gt;"-",_xlfn.IFS('Banco de Dados'!$A1652="bv",IF('Banco de Dados'!$E1652&lt;45641,ROUND(SUM('Banco de Dados'!$R1652*_xlfn.XLOOKUP('Banco de Dados'!$P1652,Sku!B:B,Sku!#REF!)*20%),2),ROUND(SUM('Banco de Dados'!$R1652*_xlfn.XLOOKUP('Banco de Dados'!$P1652,Sku!B:B,Sku!H:H)*20%),2)),'Banco de Dados'!$A1652="GO",ROUND(SUM('Banco de Dados'!$R1652*_xlfn.XLOOKUP('Banco de Dados'!$P1652,Sku!C:C,Sku!H:H)*20%),2),'Banco de Dados'!$A1652="MEI",ROUND(SUM('Banco de Dados'!$R1652*_xlfn.XLOOKUP('Banco de Dados'!$P1652,Sku!D:D,Sku!H:H)*20%),2)),0)</f>
        <v>0</v>
      </c>
      <c r="AN1652" s="109">
        <f ca="1">IF('Banco de Dados'!$AK1652&lt;&gt;"-",IF('Banco de Dados'!$F1652&lt;&gt;"-",_xlfn.XLOOKUP(IFERROR(IFERROR(IFERROR(VALUE(SUBSTITUTE(MID(_xlfn.TEXTAFTER('Banco de Dados'!$F1652,"Data do Pedido:
",1),1,10),"-","/")),VALUE(SUBSTITUTE(MID(_xlfn.TEXTAFTER('Banco de Dados'!$F1652,"Order date:
",1),1,10),"-","/"))),VALUE(SUBSTITUTE(MID(_xlfn.TEXTAFTER('Banco de Dados'!$F1652,"Fecha de pedido:
",1),1,10),"-","/"))),"-"),SMS!A:A,SMS!K:K),0),0)</f>
        <v>0</v>
      </c>
      <c r="AO1652" s="109">
        <f ca="1">IF('Banco de Dados'!$AK1652&lt;&gt;"-",IF('Banco de Dados'!$F1652&lt;&gt;"-",IFERROR(_xlfn.XLOOKUP(_xlfn.CONCAT('Banco de Dados'!$A1652,IFERROR(IFERROR(VALUE(SUBSTITUTE(MID(_xlfn.TEXTAFTER('Banco de Dados'!$F1652,"Data do Pedido:
",1),1,10),"-","/")),VALUE(SUBSTITUTE(MID(_xlfn.TEXTAFTER('Banco de Dados'!$F1652,"Order date:
",1),1,10),"-","/"))),0)),ProxyDD[Chave],ProxyDD[Valor por pedido]),PROXY!$P$2),0),0)</f>
        <v>0</v>
      </c>
      <c r="AP1652" s="28">
        <f ca="1">IF('Banco de Dados'!$AK1652&lt;&gt;"-",IF('Banco de Dados'!$AL1652="NÃO",IFERROR(VALUE(SUBSTITUTE(_xlfn.TEXTAFTER('Banco de Dados'!$F1652,"BRL ",1),".",",")),0),0),0)</f>
        <v>0</v>
      </c>
      <c r="AQ1652" s="28">
        <f ca="1">SUM('Banco de Dados'!$AM1652:$AP1652)</f>
        <v>0</v>
      </c>
      <c r="AR1652" s="8"/>
      <c r="AS1652" s="8"/>
      <c r="AT1652"/>
      <c r="AY1652" s="8"/>
    </row>
    <row r="1653" spans="1:51">
      <c r="A1653" s="5" t="str">
        <v>MEI</v>
      </c>
      <c r="B1653" s="5" t="str">
        <f ca="1"/>
        <v>MEI45783</v>
      </c>
      <c r="C1653" s="8" t="str">
        <v>Pedido 1640</v>
      </c>
      <c r="D1653" s="187">
        <v>45778</v>
      </c>
      <c r="E1653" s="9">
        <v>45783</v>
      </c>
      <c r="F1653" s="8" t="str">
        <v>PedidoF1565</v>
      </c>
      <c r="G1653" s="2" t="str">
        <v>CódRastreio1563</v>
      </c>
      <c r="H1653" s="5">
        <v>1</v>
      </c>
      <c r="I1653" s="182" t="str">
        <v>CPF 1599</v>
      </c>
      <c r="J1653" s="2" t="str">
        <v>Nome 1599</v>
      </c>
      <c r="K1653" s="8" t="str">
        <v>Tel 1599</v>
      </c>
      <c r="L1653" s="8" t="str">
        <v>Cep 1599</v>
      </c>
      <c r="M1653" s="8" t="str">
        <v>Rua 1599</v>
      </c>
      <c r="N1653" s="8" t="str">
        <v>Comp 1599</v>
      </c>
      <c r="O1653" s="8" t="str">
        <v>Maçarico Culinário Portátil</v>
      </c>
      <c r="P1653" s="8" t="str">
        <v>BG-DHRO-FAEE</v>
      </c>
      <c r="Q1653" s="4">
        <v>45805</v>
      </c>
      <c r="R1653" s="109">
        <v>31.99</v>
      </c>
      <c r="S1653" s="11">
        <f ca="1"/>
        <v>0</v>
      </c>
      <c r="T1653" s="28">
        <f ca="1"/>
        <v>0</v>
      </c>
      <c r="U1653" s="11">
        <f ca="1"/>
        <v>0</v>
      </c>
      <c r="V1653" s="11">
        <v>0</v>
      </c>
      <c r="W1653" s="11">
        <f ca="1"/>
        <v>0</v>
      </c>
      <c r="X1653" s="11">
        <f ca="1"/>
        <v>0.39877104377104378</v>
      </c>
      <c r="Y1653" s="11">
        <v>0</v>
      </c>
      <c r="Z1653" s="11">
        <f ca="1"/>
        <v>-0.39877104377104378</v>
      </c>
      <c r="AA1653" s="11">
        <f ca="1"/>
        <v>-0.19938552188552189</v>
      </c>
      <c r="AB1653" s="4">
        <f ca="1"/>
        <v>45812</v>
      </c>
      <c r="AC1653" s="4">
        <v>45812</v>
      </c>
      <c r="AD1653" s="9">
        <v>45824</v>
      </c>
      <c r="AE1653" s="9">
        <v>45828</v>
      </c>
      <c r="AF1653" s="4" t="str">
        <f t="shared" ref="AF1653:AF1660" ca="1" si="113">_xlfn.CONCAT(PROPER(TEXT(AB1653,"aaaa"))," ",PROPER(TEXT(AB1653,"mm")))</f>
        <v>2025 06</v>
      </c>
      <c r="AG1653" s="8" t="str" cm="1">
        <f t="array" ref="AG1653">IFERROR(_xlfn.IFS('Banco de Dados'!#REF!="AG. COMPRA","Em processamento",'Banco de Dados'!#REF!="AG. RASTREIO","Em processamento",'Banco de Dados'!$AE1653&lt;&gt;"-","Faturado",'Banco de Dados'!$AD1653&lt;&gt;"-","Aguardando Pix",'Banco de Dados'!$AC1653&lt;&gt;"-","Pendente"),"Aguardando Liberação")</f>
        <v>Aguardando Liberação</v>
      </c>
      <c r="AH1653" s="5" t="str">
        <f>IF('Banco de Dados'!$F1653="-",_xlfn.CONCAT(PROPER(TEXT(AK1653,"aaaa"))," ",PROPER(TEXT(AK1653,"mm"))),_xlfn.CONCAT(PROPER(TEXT(E1653,"aaaa"))," ",PROPER(TEXT(E1653,"mm"))))</f>
        <v>2025 05</v>
      </c>
      <c r="AI1653" s="9" t="str">
        <f ca="1">IF('Banco de Dados'!$AK1653&lt;&gt;"-","REEMBOLSO",IFERROR(_xlfn.XLOOKUP(G1653,Follow[CODRASTREIO],Follow[STATUS]),"-"))</f>
        <v>REEMBOLSO</v>
      </c>
      <c r="AJ1653" s="9" t="str">
        <f ca="1">IF('Banco de Dados'!$AI1653="ENTREGUE",_xlfn.XLOOKUP('Banco de Dados'!$G1653,Follow[CODRASTREIO],Follow[DATAATUALIZAÇÃO]),"-")</f>
        <v>-</v>
      </c>
      <c r="AK1653" s="132">
        <f ca="1"/>
        <v>45799</v>
      </c>
      <c r="AL1653" s="35"/>
      <c r="AM1653" s="109" cm="1">
        <f t="array" aca="1" ref="AM1653" ca="1">IF('Banco de Dados'!$AK1653&lt;&gt;"-",_xlfn.IFS('Banco de Dados'!$A1653="bv",IF('Banco de Dados'!$E1653&lt;45641,ROUND(SUM('Banco de Dados'!$R1653*_xlfn.XLOOKUP('Banco de Dados'!$P1653,Sku!B:B,Sku!#REF!)*20%),2),ROUND(SUM('Banco de Dados'!$R1653*_xlfn.XLOOKUP('Banco de Dados'!$P1653,Sku!B:B,Sku!H:H)*20%),2)),'Banco de Dados'!$A1653="GO",ROUND(SUM('Banco de Dados'!$R1653*_xlfn.XLOOKUP('Banco de Dados'!$P1653,Sku!C:C,Sku!H:H)*20%),2),'Banco de Dados'!$A1653="MEI",ROUND(SUM('Banco de Dados'!$R1653*_xlfn.XLOOKUP('Banco de Dados'!$P1653,Sku!D:D,Sku!H:H)*20%),2)),0)</f>
        <v>0.7</v>
      </c>
      <c r="AN1653" s="109" t="e">
        <f ca="1">IF('Banco de Dados'!$AK1653&lt;&gt;"-",IF('Banco de Dados'!$F1653&lt;&gt;"-",_xlfn.XLOOKUP(IFERROR(IFERROR(IFERROR(VALUE(SUBSTITUTE(MID(_xlfn.TEXTAFTER('Banco de Dados'!$F1653,"Data do Pedido:
",1),1,10),"-","/")),VALUE(SUBSTITUTE(MID(_xlfn.TEXTAFTER('Banco de Dados'!$F1653,"Order date:
",1),1,10),"-","/"))),VALUE(SUBSTITUTE(MID(_xlfn.TEXTAFTER('Banco de Dados'!$F1653,"Fecha de pedido:
",1),1,10),"-","/"))),"-"),SMS!A:A,SMS!K:K),0),0)</f>
        <v>#N/A</v>
      </c>
      <c r="AO1653" s="109">
        <f ca="1">IF('Banco de Dados'!$AK1653&lt;&gt;"-",IF('Banco de Dados'!$F1653&lt;&gt;"-",IFERROR(_xlfn.XLOOKUP(_xlfn.CONCAT('Banco de Dados'!$A1653,IFERROR(IFERROR(VALUE(SUBSTITUTE(MID(_xlfn.TEXTAFTER('Banco de Dados'!$F1653,"Data do Pedido:
",1),1,10),"-","/")),VALUE(SUBSTITUTE(MID(_xlfn.TEXTAFTER('Banco de Dados'!$F1653,"Order date:
",1),1,10),"-","/"))),0)),ProxyDD[Chave],ProxyDD[Valor por pedido]),PROXY!$P$2),0),0)</f>
        <v>0.39877104377104378</v>
      </c>
      <c r="AP1653" s="28">
        <f ca="1">IF('Banco de Dados'!$AK1653&lt;&gt;"-",IF('Banco de Dados'!$AL1653="NÃO",IFERROR(VALUE(SUBSTITUTE(_xlfn.TEXTAFTER('Banco de Dados'!$F1653,"BRL ",1),".",",")),0),0),0)</f>
        <v>0</v>
      </c>
      <c r="AQ1653" s="28" t="e">
        <f ca="1">SUM('Banco de Dados'!$AM1653:$AP1653)</f>
        <v>#N/A</v>
      </c>
      <c r="AR1653" s="8"/>
      <c r="AS1653" s="8"/>
      <c r="AT1653"/>
      <c r="AY1653" s="8"/>
    </row>
    <row r="1654" spans="1:51">
      <c r="A1654" s="5" t="str">
        <v>MEI</v>
      </c>
      <c r="B1654" s="5" t="str">
        <f ca="1"/>
        <v>MEI-</v>
      </c>
      <c r="C1654" s="8" t="str">
        <v>Pedido 1641</v>
      </c>
      <c r="D1654" s="187">
        <v>45778</v>
      </c>
      <c r="E1654" s="9" t="str">
        <v>-</v>
      </c>
      <c r="F1654" s="8" t="str">
        <v>-</v>
      </c>
      <c r="G1654" s="2" t="str">
        <v>-</v>
      </c>
      <c r="H1654" s="5">
        <v>1</v>
      </c>
      <c r="I1654" s="182" t="str">
        <v>CPF 1600</v>
      </c>
      <c r="J1654" s="2" t="str">
        <v>Nome 1600</v>
      </c>
      <c r="K1654" s="8" t="str">
        <v>Tel 1600</v>
      </c>
      <c r="L1654" s="8" t="str">
        <v>Cep 1600</v>
      </c>
      <c r="M1654" s="8" t="str">
        <v>Rua 1600</v>
      </c>
      <c r="N1654" s="8" t="str">
        <v>Comp 1600</v>
      </c>
      <c r="O1654" s="8" t="str">
        <v>Maçarico Culinário Portátil</v>
      </c>
      <c r="P1654" s="8" t="str">
        <v>BG-DHRO-FAEE</v>
      </c>
      <c r="Q1654" s="4">
        <v>45812</v>
      </c>
      <c r="R1654" s="109">
        <v>31.99</v>
      </c>
      <c r="S1654" s="11">
        <f ca="1"/>
        <v>0</v>
      </c>
      <c r="T1654" s="28">
        <f ca="1"/>
        <v>0</v>
      </c>
      <c r="U1654" s="11">
        <f ca="1"/>
        <v>0</v>
      </c>
      <c r="V1654" s="11">
        <v>0</v>
      </c>
      <c r="W1654" s="11">
        <f ca="1"/>
        <v>0</v>
      </c>
      <c r="X1654" s="11">
        <f ca="1"/>
        <v>0</v>
      </c>
      <c r="Y1654" s="11">
        <v>0</v>
      </c>
      <c r="Z1654" s="11">
        <f ca="1"/>
        <v>0</v>
      </c>
      <c r="AA1654" s="11">
        <f ca="1"/>
        <v>0</v>
      </c>
      <c r="AB1654" s="4">
        <f ca="1"/>
        <v>45819</v>
      </c>
      <c r="AC1654" s="4">
        <v>45819</v>
      </c>
      <c r="AD1654" s="9">
        <v>45824</v>
      </c>
      <c r="AE1654" s="9">
        <v>45828</v>
      </c>
      <c r="AF1654" s="4" t="str">
        <f t="shared" ca="1" si="113"/>
        <v>2025 06</v>
      </c>
      <c r="AG1654" s="8" t="str" cm="1">
        <f t="array" ref="AG1654">IFERROR(_xlfn.IFS('Banco de Dados'!#REF!="AG. COMPRA","Em processamento",'Banco de Dados'!#REF!="AG. RASTREIO","Em processamento",'Banco de Dados'!$AE1654&lt;&gt;"-","Faturado",'Banco de Dados'!$AD1654&lt;&gt;"-","Aguardando Pix",'Banco de Dados'!$AC1654&lt;&gt;"-","Pendente"),"Aguardando Liberação")</f>
        <v>Aguardando Liberação</v>
      </c>
      <c r="AH1654" s="5" t="str">
        <f ca="1">IF('Banco de Dados'!$F1654="-",_xlfn.CONCAT(PROPER(TEXT(AK1654,"aaaa"))," ",PROPER(TEXT(AK1654,"mm"))),_xlfn.CONCAT(PROPER(TEXT(E1654,"aaaa"))," ",PROPER(TEXT(E1654,"mm"))))</f>
        <v>2025 05</v>
      </c>
      <c r="AI1654" s="9" t="str">
        <f ca="1">IF('Banco de Dados'!$AK1654&lt;&gt;"-","REEMBOLSO",IFERROR(_xlfn.XLOOKUP(G1654,Follow[CODRASTREIO],Follow[STATUS]),"-"))</f>
        <v>REEMBOLSO</v>
      </c>
      <c r="AJ1654" s="9" t="str">
        <f ca="1">IF('Banco de Dados'!$AI1654="ENTREGUE",_xlfn.XLOOKUP('Banco de Dados'!$G1654,Follow[CODRASTREIO],Follow[DATAATUALIZAÇÃO]),"-")</f>
        <v>-</v>
      </c>
      <c r="AK1654" s="132">
        <f ca="1"/>
        <v>45785</v>
      </c>
      <c r="AL1654" s="35"/>
      <c r="AM1654" s="109" cm="1">
        <f t="array" aca="1" ref="AM1654" ca="1">IF('Banco de Dados'!$AK1654&lt;&gt;"-",_xlfn.IFS('Banco de Dados'!$A1654="bv",IF('Banco de Dados'!$E1654&lt;45641,ROUND(SUM('Banco de Dados'!$R1654*_xlfn.XLOOKUP('Banco de Dados'!$P1654,Sku!B:B,Sku!#REF!)*20%),2),ROUND(SUM('Banco de Dados'!$R1654*_xlfn.XLOOKUP('Banco de Dados'!$P1654,Sku!B:B,Sku!H:H)*20%),2)),'Banco de Dados'!$A1654="GO",ROUND(SUM('Banco de Dados'!$R1654*_xlfn.XLOOKUP('Banco de Dados'!$P1654,Sku!C:C,Sku!H:H)*20%),2),'Banco de Dados'!$A1654="MEI",ROUND(SUM('Banco de Dados'!$R1654*_xlfn.XLOOKUP('Banco de Dados'!$P1654,Sku!D:D,Sku!H:H)*20%),2)),0)</f>
        <v>0.7</v>
      </c>
      <c r="AN1654" s="109">
        <f ca="1">IF('Banco de Dados'!$AK1654&lt;&gt;"-",IF('Banco de Dados'!$F1654&lt;&gt;"-",_xlfn.XLOOKUP(IFERROR(IFERROR(IFERROR(VALUE(SUBSTITUTE(MID(_xlfn.TEXTAFTER('Banco de Dados'!$F1654,"Data do Pedido:
",1),1,10),"-","/")),VALUE(SUBSTITUTE(MID(_xlfn.TEXTAFTER('Banco de Dados'!$F1654,"Order date:
",1),1,10),"-","/"))),VALUE(SUBSTITUTE(MID(_xlfn.TEXTAFTER('Banco de Dados'!$F1654,"Fecha de pedido:
",1),1,10),"-","/"))),"-"),SMS!A:A,SMS!K:K),0),0)</f>
        <v>0</v>
      </c>
      <c r="AO1654" s="109">
        <f ca="1">IF('Banco de Dados'!$AK1654&lt;&gt;"-",IF('Banco de Dados'!$F1654&lt;&gt;"-",IFERROR(_xlfn.XLOOKUP(_xlfn.CONCAT('Banco de Dados'!$A1654,IFERROR(IFERROR(VALUE(SUBSTITUTE(MID(_xlfn.TEXTAFTER('Banco de Dados'!$F1654,"Data do Pedido:
",1),1,10),"-","/")),VALUE(SUBSTITUTE(MID(_xlfn.TEXTAFTER('Banco de Dados'!$F1654,"Order date:
",1),1,10),"-","/"))),0)),ProxyDD[Chave],ProxyDD[Valor por pedido]),PROXY!$P$2),0),0)</f>
        <v>0</v>
      </c>
      <c r="AP1654" s="28">
        <f ca="1">IF('Banco de Dados'!$AK1654&lt;&gt;"-",IF('Banco de Dados'!$AL1654="NÃO",IFERROR(VALUE(SUBSTITUTE(_xlfn.TEXTAFTER('Banco de Dados'!$F1654,"BRL ",1),".",",")),0),0),0)</f>
        <v>0</v>
      </c>
      <c r="AQ1654" s="28">
        <f ca="1">SUM('Banco de Dados'!$AM1654:$AP1654)</f>
        <v>0.7</v>
      </c>
      <c r="AR1654" s="8"/>
      <c r="AS1654" s="8"/>
      <c r="AT1654"/>
      <c r="AY1654" s="8"/>
    </row>
    <row r="1655" spans="1:51">
      <c r="A1655" s="5" t="str">
        <v>MEI</v>
      </c>
      <c r="B1655" s="5" t="str">
        <f ca="1"/>
        <v>MEI45779</v>
      </c>
      <c r="C1655" s="8" t="str">
        <v>Pedido 1642</v>
      </c>
      <c r="D1655" s="187">
        <v>45778</v>
      </c>
      <c r="E1655" s="9">
        <v>45779</v>
      </c>
      <c r="F1655" s="8" t="str">
        <v>PedidoF1566</v>
      </c>
      <c r="G1655" s="2" t="str">
        <v>CódRastreio1564</v>
      </c>
      <c r="H1655" s="5">
        <v>1</v>
      </c>
      <c r="I1655" s="182" t="str">
        <v>CPF 1601</v>
      </c>
      <c r="J1655" s="2" t="str">
        <v>Nome 1601</v>
      </c>
      <c r="K1655" s="8" t="str">
        <v>Tel 1601</v>
      </c>
      <c r="L1655" s="8" t="str">
        <v>Cep 1601</v>
      </c>
      <c r="M1655" s="8" t="str">
        <v>Rua 1601</v>
      </c>
      <c r="N1655" s="8" t="str">
        <v>Comp 1601</v>
      </c>
      <c r="O1655" s="8" t="str">
        <v>Ventilador Azul</v>
      </c>
      <c r="P1655" s="8" t="str">
        <v>PK-L2Z7-MQRQ</v>
      </c>
      <c r="Q1655" s="4">
        <v>45799</v>
      </c>
      <c r="R1655" s="109">
        <v>48.9</v>
      </c>
      <c r="S1655" s="11">
        <f ca="1"/>
        <v>48.9</v>
      </c>
      <c r="T1655" s="28">
        <f ca="1"/>
        <v>5.8679999999999994</v>
      </c>
      <c r="U1655" s="11">
        <f ca="1"/>
        <v>43.03</v>
      </c>
      <c r="V1655" s="11">
        <v>21.44</v>
      </c>
      <c r="W1655" s="11">
        <f ca="1"/>
        <v>0.11</v>
      </c>
      <c r="X1655" s="11">
        <f ca="1"/>
        <v>0.39877104377104378</v>
      </c>
      <c r="Y1655" s="11">
        <v>0</v>
      </c>
      <c r="Z1655" s="11">
        <f ca="1"/>
        <v>21.081228956228955</v>
      </c>
      <c r="AA1655" s="11">
        <f ca="1"/>
        <v>10.540614478114477</v>
      </c>
      <c r="AB1655" s="4">
        <f ca="1"/>
        <v>45806</v>
      </c>
      <c r="AC1655" s="4">
        <v>45806</v>
      </c>
      <c r="AD1655" s="9">
        <v>45807</v>
      </c>
      <c r="AE1655" s="9">
        <v>45810</v>
      </c>
      <c r="AF1655" s="4" t="str">
        <f t="shared" ca="1" si="113"/>
        <v>2025 05</v>
      </c>
      <c r="AG1655" s="8" t="str" cm="1">
        <f t="array" ref="AG1655">IFERROR(_xlfn.IFS('Banco de Dados'!#REF!="AG. COMPRA","Em processamento",'Banco de Dados'!#REF!="AG. RASTREIO","Em processamento",'Banco de Dados'!$AE1655&lt;&gt;"-","Faturado",'Banco de Dados'!$AD1655&lt;&gt;"-","Aguardando Pix",'Banco de Dados'!$AC1655&lt;&gt;"-","Pendente"),"Aguardando Liberação")</f>
        <v>Aguardando Liberação</v>
      </c>
      <c r="AH1655" s="5" t="str">
        <f>IF('Banco de Dados'!$F1655="-",_xlfn.CONCAT(PROPER(TEXT(AK1655,"aaaa"))," ",PROPER(TEXT(AK1655,"mm"))),_xlfn.CONCAT(PROPER(TEXT(E1655,"aaaa"))," ",PROPER(TEXT(E1655,"mm"))))</f>
        <v>2025 05</v>
      </c>
      <c r="AI1655" s="9" t="str">
        <f ca="1">IF('Banco de Dados'!$AK1655&lt;&gt;"-","REEMBOLSO",IFERROR(_xlfn.XLOOKUP(G1655,Follow[CODRASTREIO],Follow[STATUS]),"-"))</f>
        <v>ENTREGUE</v>
      </c>
      <c r="AJ1655" s="9">
        <f ca="1">IF('Banco de Dados'!$AI1655="ENTREGUE",_xlfn.XLOOKUP('Banco de Dados'!$G1655,Follow[CODRASTREIO],Follow[DATAATUALIZAÇÃO]),"-")</f>
        <v>45796</v>
      </c>
      <c r="AK1655" s="132" t="str">
        <f ca="1"/>
        <v>-</v>
      </c>
      <c r="AL1655" s="35"/>
      <c r="AM1655" s="109" cm="1">
        <f t="array" aca="1" ref="AM1655" ca="1">IF('Banco de Dados'!$AK1655&lt;&gt;"-",_xlfn.IFS('Banco de Dados'!$A1655="bv",IF('Banco de Dados'!$E1655&lt;45641,ROUND(SUM('Banco de Dados'!$R1655*_xlfn.XLOOKUP('Banco de Dados'!$P1655,Sku!B:B,Sku!#REF!)*20%),2),ROUND(SUM('Banco de Dados'!$R1655*_xlfn.XLOOKUP('Banco de Dados'!$P1655,Sku!B:B,Sku!H:H)*20%),2)),'Banco de Dados'!$A1655="GO",ROUND(SUM('Banco de Dados'!$R1655*_xlfn.XLOOKUP('Banco de Dados'!$P1655,Sku!C:C,Sku!H:H)*20%),2),'Banco de Dados'!$A1655="MEI",ROUND(SUM('Banco de Dados'!$R1655*_xlfn.XLOOKUP('Banco de Dados'!$P1655,Sku!D:D,Sku!H:H)*20%),2)),0)</f>
        <v>0</v>
      </c>
      <c r="AN1655" s="109">
        <f ca="1">IF('Banco de Dados'!$AK1655&lt;&gt;"-",IF('Banco de Dados'!$F1655&lt;&gt;"-",_xlfn.XLOOKUP(IFERROR(IFERROR(IFERROR(VALUE(SUBSTITUTE(MID(_xlfn.TEXTAFTER('Banco de Dados'!$F1655,"Data do Pedido:
",1),1,10),"-","/")),VALUE(SUBSTITUTE(MID(_xlfn.TEXTAFTER('Banco de Dados'!$F1655,"Order date:
",1),1,10),"-","/"))),VALUE(SUBSTITUTE(MID(_xlfn.TEXTAFTER('Banco de Dados'!$F1655,"Fecha de pedido:
",1),1,10),"-","/"))),"-"),SMS!A:A,SMS!K:K),0),0)</f>
        <v>0</v>
      </c>
      <c r="AO1655" s="109">
        <f ca="1">IF('Banco de Dados'!$AK1655&lt;&gt;"-",IF('Banco de Dados'!$F1655&lt;&gt;"-",IFERROR(_xlfn.XLOOKUP(_xlfn.CONCAT('Banco de Dados'!$A1655,IFERROR(IFERROR(VALUE(SUBSTITUTE(MID(_xlfn.TEXTAFTER('Banco de Dados'!$F1655,"Data do Pedido:
",1),1,10),"-","/")),VALUE(SUBSTITUTE(MID(_xlfn.TEXTAFTER('Banco de Dados'!$F1655,"Order date:
",1),1,10),"-","/"))),0)),ProxyDD[Chave],ProxyDD[Valor por pedido]),PROXY!$P$2),0),0)</f>
        <v>0</v>
      </c>
      <c r="AP1655" s="28">
        <f ca="1">IF('Banco de Dados'!$AK1655&lt;&gt;"-",IF('Banco de Dados'!$AL1655="NÃO",IFERROR(VALUE(SUBSTITUTE(_xlfn.TEXTAFTER('Banco de Dados'!$F1655,"BRL ",1),".",",")),0),0),0)</f>
        <v>0</v>
      </c>
      <c r="AQ1655" s="28">
        <f ca="1">SUM('Banco de Dados'!$AM1655:$AP1655)</f>
        <v>0</v>
      </c>
      <c r="AR1655" s="8"/>
      <c r="AS1655" s="8"/>
      <c r="AT1655"/>
      <c r="AY1655" s="8"/>
    </row>
    <row r="1656" spans="1:51">
      <c r="A1656" s="5" t="str">
        <v>MEI</v>
      </c>
      <c r="B1656" s="5" t="str">
        <f ca="1"/>
        <v>MEI-</v>
      </c>
      <c r="C1656" s="8" t="str">
        <v>Pedido 1643</v>
      </c>
      <c r="D1656" s="187">
        <v>45778</v>
      </c>
      <c r="E1656" s="9" t="str">
        <v>-</v>
      </c>
      <c r="F1656" s="8" t="str">
        <v>-</v>
      </c>
      <c r="G1656" s="2" t="str">
        <v>-</v>
      </c>
      <c r="H1656" s="5">
        <v>1</v>
      </c>
      <c r="I1656" s="182" t="str">
        <v>CPF 1602</v>
      </c>
      <c r="J1656" s="2" t="str">
        <v>Nome 1602</v>
      </c>
      <c r="K1656" s="8" t="str">
        <v>Tel 1602</v>
      </c>
      <c r="L1656" s="8" t="str">
        <v>Cep 1602</v>
      </c>
      <c r="M1656" s="8" t="str">
        <v>Rua 1602</v>
      </c>
      <c r="N1656" s="8" t="str">
        <v>Comp 1602</v>
      </c>
      <c r="O1656" s="8" t="str">
        <v>Ventilador Azul</v>
      </c>
      <c r="P1656" s="8" t="str">
        <v>PK-L2Z7-MQRQ</v>
      </c>
      <c r="Q1656" s="4">
        <v>45812</v>
      </c>
      <c r="R1656" s="109">
        <v>48.9</v>
      </c>
      <c r="S1656" s="11">
        <f ca="1"/>
        <v>0</v>
      </c>
      <c r="T1656" s="28">
        <f ca="1"/>
        <v>0</v>
      </c>
      <c r="U1656" s="11">
        <f ca="1"/>
        <v>0</v>
      </c>
      <c r="V1656" s="11">
        <v>0</v>
      </c>
      <c r="W1656" s="11">
        <f ca="1"/>
        <v>0</v>
      </c>
      <c r="X1656" s="11">
        <f ca="1"/>
        <v>0</v>
      </c>
      <c r="Y1656" s="11">
        <v>0</v>
      </c>
      <c r="Z1656" s="11">
        <f ca="1"/>
        <v>0</v>
      </c>
      <c r="AA1656" s="11">
        <f ca="1"/>
        <v>0</v>
      </c>
      <c r="AB1656" s="4">
        <f ca="1"/>
        <v>45819</v>
      </c>
      <c r="AC1656" s="4">
        <v>45819</v>
      </c>
      <c r="AD1656" s="9">
        <v>45824</v>
      </c>
      <c r="AE1656" s="9">
        <v>45828</v>
      </c>
      <c r="AF1656" s="4" t="str">
        <f t="shared" ca="1" si="113"/>
        <v>2025 06</v>
      </c>
      <c r="AG1656" s="8" t="str" cm="1">
        <f t="array" ref="AG1656">IFERROR(_xlfn.IFS('Banco de Dados'!#REF!="AG. COMPRA","Em processamento",'Banco de Dados'!#REF!="AG. RASTREIO","Em processamento",'Banco de Dados'!$AE1656&lt;&gt;"-","Faturado",'Banco de Dados'!$AD1656&lt;&gt;"-","Aguardando Pix",'Banco de Dados'!$AC1656&lt;&gt;"-","Pendente"),"Aguardando Liberação")</f>
        <v>Aguardando Liberação</v>
      </c>
      <c r="AH1656" s="5" t="str">
        <f ca="1">IF('Banco de Dados'!$F1656="-",_xlfn.CONCAT(PROPER(TEXT(AK1656,"aaaa"))," ",PROPER(TEXT(AK1656,"mm"))),_xlfn.CONCAT(PROPER(TEXT(E1656,"aaaa"))," ",PROPER(TEXT(E1656,"mm"))))</f>
        <v>2025 05</v>
      </c>
      <c r="AI1656" s="9" t="str">
        <f ca="1">IF('Banco de Dados'!$AK1656&lt;&gt;"-","REEMBOLSO",IFERROR(_xlfn.XLOOKUP(G1656,Follow[CODRASTREIO],Follow[STATUS]),"-"))</f>
        <v>REEMBOLSO</v>
      </c>
      <c r="AJ1656" s="9" t="str">
        <f ca="1">IF('Banco de Dados'!$AI1656="ENTREGUE",_xlfn.XLOOKUP('Banco de Dados'!$G1656,Follow[CODRASTREIO],Follow[DATAATUALIZAÇÃO]),"-")</f>
        <v>-</v>
      </c>
      <c r="AK1656" s="132">
        <f ca="1"/>
        <v>45784</v>
      </c>
      <c r="AL1656" s="35"/>
      <c r="AM1656" s="109" cm="1">
        <f t="array" aca="1" ref="AM1656" ca="1">IF('Banco de Dados'!$AK1656&lt;&gt;"-",_xlfn.IFS('Banco de Dados'!$A1656="bv",IF('Banco de Dados'!$E1656&lt;45641,ROUND(SUM('Banco de Dados'!$R1656*_xlfn.XLOOKUP('Banco de Dados'!$P1656,Sku!B:B,Sku!#REF!)*20%),2),ROUND(SUM('Banco de Dados'!$R1656*_xlfn.XLOOKUP('Banco de Dados'!$P1656,Sku!B:B,Sku!H:H)*20%),2)),'Banco de Dados'!$A1656="GO",ROUND(SUM('Banco de Dados'!$R1656*_xlfn.XLOOKUP('Banco de Dados'!$P1656,Sku!C:C,Sku!H:H)*20%),2),'Banco de Dados'!$A1656="MEI",ROUND(SUM('Banco de Dados'!$R1656*_xlfn.XLOOKUP('Banco de Dados'!$P1656,Sku!D:D,Sku!H:H)*20%),2)),0)</f>
        <v>1.27</v>
      </c>
      <c r="AN1656" s="109">
        <f ca="1">IF('Banco de Dados'!$AK1656&lt;&gt;"-",IF('Banco de Dados'!$F1656&lt;&gt;"-",_xlfn.XLOOKUP(IFERROR(IFERROR(IFERROR(VALUE(SUBSTITUTE(MID(_xlfn.TEXTAFTER('Banco de Dados'!$F1656,"Data do Pedido:
",1),1,10),"-","/")),VALUE(SUBSTITUTE(MID(_xlfn.TEXTAFTER('Banco de Dados'!$F1656,"Order date:
",1),1,10),"-","/"))),VALUE(SUBSTITUTE(MID(_xlfn.TEXTAFTER('Banco de Dados'!$F1656,"Fecha de pedido:
",1),1,10),"-","/"))),"-"),SMS!A:A,SMS!K:K),0),0)</f>
        <v>0</v>
      </c>
      <c r="AO1656" s="109">
        <f ca="1">IF('Banco de Dados'!$AK1656&lt;&gt;"-",IF('Banco de Dados'!$F1656&lt;&gt;"-",IFERROR(_xlfn.XLOOKUP(_xlfn.CONCAT('Banco de Dados'!$A1656,IFERROR(IFERROR(VALUE(SUBSTITUTE(MID(_xlfn.TEXTAFTER('Banco de Dados'!$F1656,"Data do Pedido:
",1),1,10),"-","/")),VALUE(SUBSTITUTE(MID(_xlfn.TEXTAFTER('Banco de Dados'!$F1656,"Order date:
",1),1,10),"-","/"))),0)),ProxyDD[Chave],ProxyDD[Valor por pedido]),PROXY!$P$2),0),0)</f>
        <v>0</v>
      </c>
      <c r="AP1656" s="28">
        <f ca="1">IF('Banco de Dados'!$AK1656&lt;&gt;"-",IF('Banco de Dados'!$AL1656="NÃO",IFERROR(VALUE(SUBSTITUTE(_xlfn.TEXTAFTER('Banco de Dados'!$F1656,"BRL ",1),".",",")),0),0),0)</f>
        <v>0</v>
      </c>
      <c r="AQ1656" s="28">
        <f ca="1">SUM('Banco de Dados'!$AM1656:$AP1656)</f>
        <v>1.27</v>
      </c>
      <c r="AR1656" s="8"/>
      <c r="AS1656" s="8"/>
      <c r="AT1656"/>
      <c r="AY1656" s="8"/>
    </row>
    <row r="1657" spans="1:51">
      <c r="A1657" s="5" t="str">
        <v>MEI</v>
      </c>
      <c r="B1657" s="5" t="str">
        <f ca="1"/>
        <v>MEI45779</v>
      </c>
      <c r="C1657" s="8" t="str">
        <v>Pedido 1644</v>
      </c>
      <c r="D1657" s="187">
        <v>45779</v>
      </c>
      <c r="E1657" s="9">
        <v>45779</v>
      </c>
      <c r="F1657" s="8" t="str">
        <v>PedidoF1567</v>
      </c>
      <c r="G1657" s="2" t="str">
        <v>CódRastreio1565</v>
      </c>
      <c r="H1657" s="5">
        <v>1</v>
      </c>
      <c r="I1657" s="182" t="str">
        <v>CPF 1603</v>
      </c>
      <c r="J1657" s="2" t="str">
        <v>Nome 1603</v>
      </c>
      <c r="K1657" s="8" t="str">
        <v>Tel 1603</v>
      </c>
      <c r="L1657" s="8" t="str">
        <v>Cep 1603</v>
      </c>
      <c r="M1657" s="8" t="str">
        <v>Rua 1603</v>
      </c>
      <c r="N1657" s="8" t="str">
        <v>Comp 1603</v>
      </c>
      <c r="O1657" s="8" t="str">
        <v>Copo Termico</v>
      </c>
      <c r="P1657" s="8" t="str">
        <v>VI-4RT5-1FFO</v>
      </c>
      <c r="Q1657" s="4">
        <v>45797</v>
      </c>
      <c r="R1657" s="109">
        <v>22.7</v>
      </c>
      <c r="S1657" s="11">
        <f ca="1"/>
        <v>22.7</v>
      </c>
      <c r="T1657" s="28">
        <f ca="1"/>
        <v>2.7239999999999998</v>
      </c>
      <c r="U1657" s="11">
        <f ca="1"/>
        <v>19.98</v>
      </c>
      <c r="V1657" s="11">
        <v>11.92</v>
      </c>
      <c r="W1657" s="11">
        <f ca="1"/>
        <v>0.11</v>
      </c>
      <c r="X1657" s="11">
        <f ca="1"/>
        <v>0.39877104377104378</v>
      </c>
      <c r="Y1657" s="11">
        <v>0</v>
      </c>
      <c r="Z1657" s="11">
        <f ca="1"/>
        <v>7.5512289562289574</v>
      </c>
      <c r="AA1657" s="11">
        <f ca="1"/>
        <v>3.7756144781144787</v>
      </c>
      <c r="AB1657" s="4">
        <f ca="1"/>
        <v>45804</v>
      </c>
      <c r="AC1657" s="4">
        <v>45804</v>
      </c>
      <c r="AD1657" s="9">
        <v>45807</v>
      </c>
      <c r="AE1657" s="9">
        <v>45810</v>
      </c>
      <c r="AF1657" s="4" t="str">
        <f t="shared" ca="1" si="113"/>
        <v>2025 05</v>
      </c>
      <c r="AG1657" s="8" t="str" cm="1">
        <f t="array" ref="AG1657">IFERROR(_xlfn.IFS('Banco de Dados'!#REF!="AG. COMPRA","Em processamento",'Banco de Dados'!#REF!="AG. RASTREIO","Em processamento",'Banco de Dados'!$AE1657&lt;&gt;"-","Faturado",'Banco de Dados'!$AD1657&lt;&gt;"-","Aguardando Pix",'Banco de Dados'!$AC1657&lt;&gt;"-","Pendente"),"Aguardando Liberação")</f>
        <v>Aguardando Liberação</v>
      </c>
      <c r="AH1657" s="5" t="str">
        <f>IF('Banco de Dados'!$F1657="-",_xlfn.CONCAT(PROPER(TEXT(AK1657,"aaaa"))," ",PROPER(TEXT(AK1657,"mm"))),_xlfn.CONCAT(PROPER(TEXT(E1657,"aaaa"))," ",PROPER(TEXT(E1657,"mm"))))</f>
        <v>2025 05</v>
      </c>
      <c r="AI1657" s="9" t="str">
        <f ca="1">IF('Banco de Dados'!$AK1657&lt;&gt;"-","REEMBOLSO",IFERROR(_xlfn.XLOOKUP(G1657,Follow[CODRASTREIO],Follow[STATUS]),"-"))</f>
        <v>ENTREGUE</v>
      </c>
      <c r="AJ1657" s="9">
        <f ca="1">IF('Banco de Dados'!$AI1657="ENTREGUE",_xlfn.XLOOKUP('Banco de Dados'!$G1657,Follow[CODRASTREIO],Follow[DATAATUALIZAÇÃO]),"-")</f>
        <v>45793</v>
      </c>
      <c r="AK1657" s="132" t="str">
        <f ca="1"/>
        <v>-</v>
      </c>
      <c r="AL1657" s="35"/>
      <c r="AM1657" s="109" cm="1">
        <f t="array" aca="1" ref="AM1657" ca="1">IF('Banco de Dados'!$AK1657&lt;&gt;"-",_xlfn.IFS('Banco de Dados'!$A1657="bv",IF('Banco de Dados'!$E1657&lt;45641,ROUND(SUM('Banco de Dados'!$R1657*_xlfn.XLOOKUP('Banco de Dados'!$P1657,Sku!B:B,Sku!#REF!)*20%),2),ROUND(SUM('Banco de Dados'!$R1657*_xlfn.XLOOKUP('Banco de Dados'!$P1657,Sku!B:B,Sku!H:H)*20%),2)),'Banco de Dados'!$A1657="GO",ROUND(SUM('Banco de Dados'!$R1657*_xlfn.XLOOKUP('Banco de Dados'!$P1657,Sku!C:C,Sku!H:H)*20%),2),'Banco de Dados'!$A1657="MEI",ROUND(SUM('Banco de Dados'!$R1657*_xlfn.XLOOKUP('Banco de Dados'!$P1657,Sku!D:D,Sku!H:H)*20%),2)),0)</f>
        <v>0</v>
      </c>
      <c r="AN1657" s="109">
        <f ca="1">IF('Banco de Dados'!$AK1657&lt;&gt;"-",IF('Banco de Dados'!$F1657&lt;&gt;"-",_xlfn.XLOOKUP(IFERROR(IFERROR(IFERROR(VALUE(SUBSTITUTE(MID(_xlfn.TEXTAFTER('Banco de Dados'!$F1657,"Data do Pedido:
",1),1,10),"-","/")),VALUE(SUBSTITUTE(MID(_xlfn.TEXTAFTER('Banco de Dados'!$F1657,"Order date:
",1),1,10),"-","/"))),VALUE(SUBSTITUTE(MID(_xlfn.TEXTAFTER('Banco de Dados'!$F1657,"Fecha de pedido:
",1),1,10),"-","/"))),"-"),SMS!A:A,SMS!K:K),0),0)</f>
        <v>0</v>
      </c>
      <c r="AO1657" s="109">
        <f ca="1">IF('Banco de Dados'!$AK1657&lt;&gt;"-",IF('Banco de Dados'!$F1657&lt;&gt;"-",IFERROR(_xlfn.XLOOKUP(_xlfn.CONCAT('Banco de Dados'!$A1657,IFERROR(IFERROR(VALUE(SUBSTITUTE(MID(_xlfn.TEXTAFTER('Banco de Dados'!$F1657,"Data do Pedido:
",1),1,10),"-","/")),VALUE(SUBSTITUTE(MID(_xlfn.TEXTAFTER('Banco de Dados'!$F1657,"Order date:
",1),1,10),"-","/"))),0)),ProxyDD[Chave],ProxyDD[Valor por pedido]),PROXY!$P$2),0),0)</f>
        <v>0</v>
      </c>
      <c r="AP1657" s="28">
        <f ca="1">IF('Banco de Dados'!$AK1657&lt;&gt;"-",IF('Banco de Dados'!$AL1657="NÃO",IFERROR(VALUE(SUBSTITUTE(_xlfn.TEXTAFTER('Banco de Dados'!$F1657,"BRL ",1),".",",")),0),0),0)</f>
        <v>0</v>
      </c>
      <c r="AQ1657" s="28">
        <f ca="1">SUM('Banco de Dados'!$AM1657:$AP1657)</f>
        <v>0</v>
      </c>
      <c r="AR1657" s="8"/>
      <c r="AS1657" s="8"/>
      <c r="AT1657"/>
      <c r="AY1657" s="8"/>
    </row>
    <row r="1658" spans="1:51">
      <c r="A1658" s="5" t="str">
        <v>MEI</v>
      </c>
      <c r="B1658" s="5" t="str">
        <f ca="1"/>
        <v>MEI45779</v>
      </c>
      <c r="C1658" s="8" t="str">
        <v>Pedido 1645</v>
      </c>
      <c r="D1658" s="187">
        <v>45776</v>
      </c>
      <c r="E1658" s="9">
        <v>45779</v>
      </c>
      <c r="F1658" s="8" t="str">
        <v>PedidoF1568</v>
      </c>
      <c r="G1658" s="2" t="str">
        <v>CódRastreio1566</v>
      </c>
      <c r="H1658" s="5">
        <v>1</v>
      </c>
      <c r="I1658" s="182" t="str">
        <v>CPF 1604</v>
      </c>
      <c r="J1658" s="2" t="str">
        <v>Nome 1604</v>
      </c>
      <c r="K1658" s="8" t="str">
        <v>Tel 1604</v>
      </c>
      <c r="L1658" s="8" t="str">
        <v>Cep 1604</v>
      </c>
      <c r="M1658" s="8" t="str">
        <v>Rua 1604</v>
      </c>
      <c r="N1658" s="8" t="str">
        <v>Comp 1604</v>
      </c>
      <c r="O1658" s="8" t="str">
        <v>Mini Liquidificador</v>
      </c>
      <c r="P1658" s="8" t="str">
        <v>A4-5W51-K3HF</v>
      </c>
      <c r="Q1658" s="4">
        <v>45799</v>
      </c>
      <c r="R1658" s="109">
        <v>35.799999999999997</v>
      </c>
      <c r="S1658" s="11">
        <f ca="1"/>
        <v>0</v>
      </c>
      <c r="T1658" s="28">
        <f ca="1"/>
        <v>0</v>
      </c>
      <c r="U1658" s="11">
        <f ca="1"/>
        <v>0</v>
      </c>
      <c r="V1658" s="11">
        <v>0</v>
      </c>
      <c r="W1658" s="11">
        <f ca="1"/>
        <v>0</v>
      </c>
      <c r="X1658" s="11">
        <f ca="1"/>
        <v>0.39877104377104378</v>
      </c>
      <c r="Y1658" s="11">
        <v>0</v>
      </c>
      <c r="Z1658" s="11">
        <f ca="1"/>
        <v>-0.39877104377104378</v>
      </c>
      <c r="AA1658" s="11">
        <f ca="1"/>
        <v>-0.19938552188552189</v>
      </c>
      <c r="AB1658" s="4">
        <f ca="1"/>
        <v>45806</v>
      </c>
      <c r="AC1658" s="4">
        <v>45806</v>
      </c>
      <c r="AD1658" s="9">
        <v>45807</v>
      </c>
      <c r="AE1658" s="9">
        <v>45810</v>
      </c>
      <c r="AF1658" s="4" t="str">
        <f t="shared" ca="1" si="113"/>
        <v>2025 05</v>
      </c>
      <c r="AG1658" s="8" t="str" cm="1">
        <f t="array" ref="AG1658">IFERROR(_xlfn.IFS('Banco de Dados'!#REF!="AG. COMPRA","Em processamento",'Banco de Dados'!#REF!="AG. RASTREIO","Em processamento",'Banco de Dados'!$AE1658&lt;&gt;"-","Faturado",'Banco de Dados'!$AD1658&lt;&gt;"-","Aguardando Pix",'Banco de Dados'!$AC1658&lt;&gt;"-","Pendente"),"Aguardando Liberação")</f>
        <v>Aguardando Liberação</v>
      </c>
      <c r="AH1658" s="5" t="str">
        <f>IF('Banco de Dados'!$F1658="-",_xlfn.CONCAT(PROPER(TEXT(AK1658,"aaaa"))," ",PROPER(TEXT(AK1658,"mm"))),_xlfn.CONCAT(PROPER(TEXT(E1658,"aaaa"))," ",PROPER(TEXT(E1658,"mm"))))</f>
        <v>2025 05</v>
      </c>
      <c r="AI1658" s="9" t="str">
        <f ca="1">IF('Banco de Dados'!$AK1658&lt;&gt;"-","REEMBOLSO",IFERROR(_xlfn.XLOOKUP(G1658,Follow[CODRASTREIO],Follow[STATUS]),"-"))</f>
        <v>REEMBOLSO</v>
      </c>
      <c r="AJ1658" s="9" t="str">
        <f ca="1">IF('Banco de Dados'!$AI1658="ENTREGUE",_xlfn.XLOOKUP('Banco de Dados'!$G1658,Follow[CODRASTREIO],Follow[DATAATUALIZAÇÃO]),"-")</f>
        <v>-</v>
      </c>
      <c r="AK1658" s="132">
        <f ca="1"/>
        <v>45819</v>
      </c>
      <c r="AL1658" s="35"/>
      <c r="AM1658" s="109" cm="1">
        <f t="array" aca="1" ref="AM1658" ca="1">IF('Banco de Dados'!$AK1658&lt;&gt;"-",_xlfn.IFS('Banco de Dados'!$A1658="bv",IF('Banco de Dados'!$E1658&lt;45641,ROUND(SUM('Banco de Dados'!$R1658*_xlfn.XLOOKUP('Banco de Dados'!$P1658,Sku!B:B,Sku!#REF!)*20%),2),ROUND(SUM('Banco de Dados'!$R1658*_xlfn.XLOOKUP('Banco de Dados'!$P1658,Sku!B:B,Sku!H:H)*20%),2)),'Banco de Dados'!$A1658="GO",ROUND(SUM('Banco de Dados'!$R1658*_xlfn.XLOOKUP('Banco de Dados'!$P1658,Sku!C:C,Sku!H:H)*20%),2),'Banco de Dados'!$A1658="MEI",ROUND(SUM('Banco de Dados'!$R1658*_xlfn.XLOOKUP('Banco de Dados'!$P1658,Sku!D:D,Sku!H:H)*20%),2)),0)</f>
        <v>0.93</v>
      </c>
      <c r="AN1658" s="109" t="e">
        <f ca="1">IF('Banco de Dados'!$AK1658&lt;&gt;"-",IF('Banco de Dados'!$F1658&lt;&gt;"-",_xlfn.XLOOKUP(IFERROR(IFERROR(IFERROR(VALUE(SUBSTITUTE(MID(_xlfn.TEXTAFTER('Banco de Dados'!$F1658,"Data do Pedido:
",1),1,10),"-","/")),VALUE(SUBSTITUTE(MID(_xlfn.TEXTAFTER('Banco de Dados'!$F1658,"Order date:
",1),1,10),"-","/"))),VALUE(SUBSTITUTE(MID(_xlfn.TEXTAFTER('Banco de Dados'!$F1658,"Fecha de pedido:
",1),1,10),"-","/"))),"-"),SMS!A:A,SMS!K:K),0),0)</f>
        <v>#N/A</v>
      </c>
      <c r="AO1658" s="109">
        <f ca="1">IF('Banco de Dados'!$AK1658&lt;&gt;"-",IF('Banco de Dados'!$F1658&lt;&gt;"-",IFERROR(_xlfn.XLOOKUP(_xlfn.CONCAT('Banco de Dados'!$A1658,IFERROR(IFERROR(VALUE(SUBSTITUTE(MID(_xlfn.TEXTAFTER('Banco de Dados'!$F1658,"Data do Pedido:
",1),1,10),"-","/")),VALUE(SUBSTITUTE(MID(_xlfn.TEXTAFTER('Banco de Dados'!$F1658,"Order date:
",1),1,10),"-","/"))),0)),ProxyDD[Chave],ProxyDD[Valor por pedido]),PROXY!$P$2),0),0)</f>
        <v>0.39877104377104378</v>
      </c>
      <c r="AP1658" s="28">
        <f ca="1">IF('Banco de Dados'!$AK1658&lt;&gt;"-",IF('Banco de Dados'!$AL1658="NÃO",IFERROR(VALUE(SUBSTITUTE(_xlfn.TEXTAFTER('Banco de Dados'!$F1658,"BRL ",1),".",",")),0),0),0)</f>
        <v>0</v>
      </c>
      <c r="AQ1658" s="28" t="e">
        <f ca="1">SUM('Banco de Dados'!$AM1658:$AP1658)</f>
        <v>#N/A</v>
      </c>
      <c r="AR1658" s="8"/>
      <c r="AS1658" s="8"/>
      <c r="AT1658"/>
      <c r="AY1658" s="8"/>
    </row>
    <row r="1659" spans="1:51">
      <c r="A1659" s="5" t="str">
        <v>MEI</v>
      </c>
      <c r="B1659" s="5" t="str">
        <f ca="1"/>
        <v>MEI45779</v>
      </c>
      <c r="C1659" s="8" t="str">
        <v>Pedido 1646</v>
      </c>
      <c r="D1659" s="187">
        <v>45779</v>
      </c>
      <c r="E1659" s="9">
        <v>45779</v>
      </c>
      <c r="F1659" s="8" t="str">
        <v>PedidoF1569</v>
      </c>
      <c r="G1659" s="2" t="str">
        <v>CódRastreio1567</v>
      </c>
      <c r="H1659" s="5">
        <v>1</v>
      </c>
      <c r="I1659" s="182" t="str">
        <v>CPF 1605</v>
      </c>
      <c r="J1659" s="2" t="str">
        <v>Nome 1605</v>
      </c>
      <c r="K1659" s="8" t="str">
        <v>Tel 1605</v>
      </c>
      <c r="L1659" s="8" t="str">
        <v>Cep 1605</v>
      </c>
      <c r="M1659" s="8" t="str">
        <v>Rua 1605</v>
      </c>
      <c r="N1659" s="8" t="str">
        <v>Comp 1605</v>
      </c>
      <c r="O1659" s="8" t="str">
        <v>Ventilador Preto</v>
      </c>
      <c r="P1659" s="8" t="str">
        <v>WU-SS4J-LFOH</v>
      </c>
      <c r="Q1659" s="4">
        <v>45806</v>
      </c>
      <c r="R1659" s="109">
        <v>65.7</v>
      </c>
      <c r="S1659" s="11">
        <f ca="1"/>
        <v>65.7</v>
      </c>
      <c r="T1659" s="28">
        <f ca="1"/>
        <v>7.8840000000000003</v>
      </c>
      <c r="U1659" s="11">
        <f ca="1"/>
        <v>57.82</v>
      </c>
      <c r="V1659" s="11">
        <v>14.51</v>
      </c>
      <c r="W1659" s="11">
        <f ca="1"/>
        <v>0.11</v>
      </c>
      <c r="X1659" s="11">
        <f ca="1"/>
        <v>0.39877104377104378</v>
      </c>
      <c r="Y1659" s="11">
        <v>0</v>
      </c>
      <c r="Z1659" s="11">
        <f ca="1"/>
        <v>42.801228956228954</v>
      </c>
      <c r="AA1659" s="11">
        <f ca="1"/>
        <v>21.400614478114477</v>
      </c>
      <c r="AB1659" s="4">
        <f ca="1"/>
        <v>45813</v>
      </c>
      <c r="AC1659" s="4">
        <v>45813</v>
      </c>
      <c r="AD1659" s="9">
        <v>45824</v>
      </c>
      <c r="AE1659" s="9">
        <v>45828</v>
      </c>
      <c r="AF1659" s="4" t="str">
        <f t="shared" ca="1" si="113"/>
        <v>2025 06</v>
      </c>
      <c r="AG1659" s="8" t="str" cm="1">
        <f t="array" ref="AG1659">IFERROR(_xlfn.IFS('Banco de Dados'!#REF!="AG. COMPRA","Em processamento",'Banco de Dados'!#REF!="AG. RASTREIO","Em processamento",'Banco de Dados'!$AE1659&lt;&gt;"-","Faturado",'Banco de Dados'!$AD1659&lt;&gt;"-","Aguardando Pix",'Banco de Dados'!$AC1659&lt;&gt;"-","Pendente"),"Aguardando Liberação")</f>
        <v>Aguardando Liberação</v>
      </c>
      <c r="AH1659" s="5" t="str">
        <f>IF('Banco de Dados'!$F1659="-",_xlfn.CONCAT(PROPER(TEXT(AK1659,"aaaa"))," ",PROPER(TEXT(AK1659,"mm"))),_xlfn.CONCAT(PROPER(TEXT(E1659,"aaaa"))," ",PROPER(TEXT(E1659,"mm"))))</f>
        <v>2025 05</v>
      </c>
      <c r="AI1659" s="9" t="str">
        <f ca="1">IF('Banco de Dados'!$AK1659&lt;&gt;"-","REEMBOLSO",IFERROR(_xlfn.XLOOKUP(G1659,Follow[CODRASTREIO],Follow[STATUS]),"-"))</f>
        <v>ENTREGUE</v>
      </c>
      <c r="AJ1659" s="9">
        <f ca="1">IF('Banco de Dados'!$AI1659="ENTREGUE",_xlfn.XLOOKUP('Banco de Dados'!$G1659,Follow[CODRASTREIO],Follow[DATAATUALIZAÇÃO]),"-")</f>
        <v>45792</v>
      </c>
      <c r="AK1659" s="132" t="str">
        <f ca="1"/>
        <v>-</v>
      </c>
      <c r="AL1659" s="35"/>
      <c r="AM1659" s="109" cm="1">
        <f t="array" aca="1" ref="AM1659" ca="1">IF('Banco de Dados'!$AK1659&lt;&gt;"-",_xlfn.IFS('Banco de Dados'!$A1659="bv",IF('Banco de Dados'!$E1659&lt;45641,ROUND(SUM('Banco de Dados'!$R1659*_xlfn.XLOOKUP('Banco de Dados'!$P1659,Sku!B:B,Sku!#REF!)*20%),2),ROUND(SUM('Banco de Dados'!$R1659*_xlfn.XLOOKUP('Banco de Dados'!$P1659,Sku!B:B,Sku!H:H)*20%),2)),'Banco de Dados'!$A1659="GO",ROUND(SUM('Banco de Dados'!$R1659*_xlfn.XLOOKUP('Banco de Dados'!$P1659,Sku!C:C,Sku!H:H)*20%),2),'Banco de Dados'!$A1659="MEI",ROUND(SUM('Banco de Dados'!$R1659*_xlfn.XLOOKUP('Banco de Dados'!$P1659,Sku!D:D,Sku!H:H)*20%),2)),0)</f>
        <v>0</v>
      </c>
      <c r="AN1659" s="109">
        <f ca="1">IF('Banco de Dados'!$AK1659&lt;&gt;"-",IF('Banco de Dados'!$F1659&lt;&gt;"-",_xlfn.XLOOKUP(IFERROR(IFERROR(IFERROR(VALUE(SUBSTITUTE(MID(_xlfn.TEXTAFTER('Banco de Dados'!$F1659,"Data do Pedido:
",1),1,10),"-","/")),VALUE(SUBSTITUTE(MID(_xlfn.TEXTAFTER('Banco de Dados'!$F1659,"Order date:
",1),1,10),"-","/"))),VALUE(SUBSTITUTE(MID(_xlfn.TEXTAFTER('Banco de Dados'!$F1659,"Fecha de pedido:
",1),1,10),"-","/"))),"-"),SMS!A:A,SMS!K:K),0),0)</f>
        <v>0</v>
      </c>
      <c r="AO1659" s="109">
        <f ca="1">IF('Banco de Dados'!$AK1659&lt;&gt;"-",IF('Banco de Dados'!$F1659&lt;&gt;"-",IFERROR(_xlfn.XLOOKUP(_xlfn.CONCAT('Banco de Dados'!$A1659,IFERROR(IFERROR(VALUE(SUBSTITUTE(MID(_xlfn.TEXTAFTER('Banco de Dados'!$F1659,"Data do Pedido:
",1),1,10),"-","/")),VALUE(SUBSTITUTE(MID(_xlfn.TEXTAFTER('Banco de Dados'!$F1659,"Order date:
",1),1,10),"-","/"))),0)),ProxyDD[Chave],ProxyDD[Valor por pedido]),PROXY!$P$2),0),0)</f>
        <v>0</v>
      </c>
      <c r="AP1659" s="28">
        <f ca="1">IF('Banco de Dados'!$AK1659&lt;&gt;"-",IF('Banco de Dados'!$AL1659="NÃO",IFERROR(VALUE(SUBSTITUTE(_xlfn.TEXTAFTER('Banco de Dados'!$F1659,"BRL ",1),".",",")),0),0),0)</f>
        <v>0</v>
      </c>
      <c r="AQ1659" s="28">
        <f ca="1">SUM('Banco de Dados'!$AM1659:$AP1659)</f>
        <v>0</v>
      </c>
      <c r="AR1659" s="8"/>
      <c r="AS1659" s="8"/>
      <c r="AT1659"/>
      <c r="AY1659" s="8"/>
    </row>
    <row r="1660" spans="1:51">
      <c r="A1660" s="5" t="str">
        <v>GO</v>
      </c>
      <c r="B1660" s="5" t="str">
        <f ca="1"/>
        <v>GO45779</v>
      </c>
      <c r="C1660" s="8" t="str">
        <v>Pedido 1647</v>
      </c>
      <c r="D1660" s="187">
        <v>45779</v>
      </c>
      <c r="E1660" s="9">
        <v>45779</v>
      </c>
      <c r="F1660" s="8" t="str">
        <v>PedidoF1570</v>
      </c>
      <c r="G1660" s="2" t="str">
        <v>CódRastreio1568</v>
      </c>
      <c r="H1660" s="5">
        <v>1</v>
      </c>
      <c r="I1660" s="182" t="str">
        <v>CPF 1606</v>
      </c>
      <c r="J1660" s="2" t="str">
        <v>Nome 1606</v>
      </c>
      <c r="K1660" s="8" t="str">
        <v>Tel 1606</v>
      </c>
      <c r="L1660" s="8" t="str">
        <v>Cep 1606</v>
      </c>
      <c r="M1660" s="8" t="str">
        <v>Rua 1606</v>
      </c>
      <c r="N1660" s="8" t="str">
        <v>Comp 1606</v>
      </c>
      <c r="O1660" s="8" t="str">
        <v>Ventilador Rosa</v>
      </c>
      <c r="P1660" s="8" t="str">
        <v>MK-OUQW-7L3Z</v>
      </c>
      <c r="Q1660" s="4">
        <v>45806</v>
      </c>
      <c r="R1660" s="109">
        <v>54.9</v>
      </c>
      <c r="S1660" s="11">
        <f ca="1"/>
        <v>54.9</v>
      </c>
      <c r="T1660" s="28">
        <f ca="1"/>
        <v>6.5879999999999992</v>
      </c>
      <c r="U1660" s="11">
        <f ca="1"/>
        <v>48.31</v>
      </c>
      <c r="V1660" s="11">
        <v>13.85</v>
      </c>
      <c r="W1660" s="11">
        <f ca="1"/>
        <v>0.1</v>
      </c>
      <c r="X1660" s="11">
        <f ca="1"/>
        <v>0.39877104377104378</v>
      </c>
      <c r="Y1660" s="11">
        <v>0</v>
      </c>
      <c r="Z1660" s="11">
        <f ca="1"/>
        <v>33.961228956228958</v>
      </c>
      <c r="AA1660" s="11">
        <f ca="1"/>
        <v>33.961228956228958</v>
      </c>
      <c r="AB1660" s="4">
        <f ca="1"/>
        <v>45813</v>
      </c>
      <c r="AC1660" s="4">
        <v>45813</v>
      </c>
      <c r="AD1660" s="9">
        <v>45824</v>
      </c>
      <c r="AE1660" s="9">
        <v>45828</v>
      </c>
      <c r="AF1660" s="4" t="str">
        <f t="shared" ca="1" si="113"/>
        <v>2025 06</v>
      </c>
      <c r="AG1660" s="8" t="str" cm="1">
        <f t="array" ref="AG1660">IFERROR(_xlfn.IFS('Banco de Dados'!#REF!="AG. COMPRA","Em processamento",'Banco de Dados'!#REF!="AG. RASTREIO","Em processamento",'Banco de Dados'!$AE1660&lt;&gt;"-","Faturado",'Banco de Dados'!$AD1660&lt;&gt;"-","Aguardando Pix",'Banco de Dados'!$AC1660&lt;&gt;"-","Pendente"),"Aguardando Liberação")</f>
        <v>Aguardando Liberação</v>
      </c>
      <c r="AH1660" s="5" t="str">
        <f>IF('Banco de Dados'!$F1660="-",_xlfn.CONCAT(PROPER(TEXT(AK1660,"aaaa"))," ",PROPER(TEXT(AK1660,"mm"))),_xlfn.CONCAT(PROPER(TEXT(E1660,"aaaa"))," ",PROPER(TEXT(E1660,"mm"))))</f>
        <v>2025 05</v>
      </c>
      <c r="AI1660" s="9" t="str">
        <f ca="1">IF('Banco de Dados'!$AK1660&lt;&gt;"-","REEMBOLSO",IFERROR(_xlfn.XLOOKUP(G1660,Follow[CODRASTREIO],Follow[STATUS]),"-"))</f>
        <v>ENTREGUE</v>
      </c>
      <c r="AJ1660" s="9">
        <f ca="1">IF('Banco de Dados'!$AI1660="ENTREGUE",_xlfn.XLOOKUP('Banco de Dados'!$G1660,Follow[CODRASTREIO],Follow[DATAATUALIZAÇÃO]),"-")</f>
        <v>45799</v>
      </c>
      <c r="AK1660" s="132" t="str">
        <f ca="1"/>
        <v>-</v>
      </c>
      <c r="AL1660" s="35"/>
      <c r="AM1660" s="109" cm="1">
        <f t="array" aca="1" ref="AM1660" ca="1">IF('Banco de Dados'!$AK1660&lt;&gt;"-",_xlfn.IFS('Banco de Dados'!$A1660="bv",IF('Banco de Dados'!$E1660&lt;45641,ROUND(SUM('Banco de Dados'!$R1660*_xlfn.XLOOKUP('Banco de Dados'!$P1660,Sku!B:B,Sku!#REF!)*20%),2),ROUND(SUM('Banco de Dados'!$R1660*_xlfn.XLOOKUP('Banco de Dados'!$P1660,Sku!B:B,Sku!H:H)*20%),2)),'Banco de Dados'!$A1660="GO",ROUND(SUM('Banco de Dados'!$R1660*_xlfn.XLOOKUP('Banco de Dados'!$P1660,Sku!C:C,Sku!H:H)*20%),2),'Banco de Dados'!$A1660="MEI",ROUND(SUM('Banco de Dados'!$R1660*_xlfn.XLOOKUP('Banco de Dados'!$P1660,Sku!D:D,Sku!H:H)*20%),2)),0)</f>
        <v>0</v>
      </c>
      <c r="AN1660" s="109">
        <f ca="1">IF('Banco de Dados'!$AK1660&lt;&gt;"-",IF('Banco de Dados'!$F1660&lt;&gt;"-",_xlfn.XLOOKUP(IFERROR(IFERROR(IFERROR(VALUE(SUBSTITUTE(MID(_xlfn.TEXTAFTER('Banco de Dados'!$F1660,"Data do Pedido:
",1),1,10),"-","/")),VALUE(SUBSTITUTE(MID(_xlfn.TEXTAFTER('Banco de Dados'!$F1660,"Order date:
",1),1,10),"-","/"))),VALUE(SUBSTITUTE(MID(_xlfn.TEXTAFTER('Banco de Dados'!$F1660,"Fecha de pedido:
",1),1,10),"-","/"))),"-"),SMS!A:A,SMS!K:K),0),0)</f>
        <v>0</v>
      </c>
      <c r="AO1660" s="109">
        <f ca="1">IF('Banco de Dados'!$AK1660&lt;&gt;"-",IF('Banco de Dados'!$F1660&lt;&gt;"-",IFERROR(_xlfn.XLOOKUP(_xlfn.CONCAT('Banco de Dados'!$A1660,IFERROR(IFERROR(VALUE(SUBSTITUTE(MID(_xlfn.TEXTAFTER('Banco de Dados'!$F1660,"Data do Pedido:
",1),1,10),"-","/")),VALUE(SUBSTITUTE(MID(_xlfn.TEXTAFTER('Banco de Dados'!$F1660,"Order date:
",1),1,10),"-","/"))),0)),ProxyDD[Chave],ProxyDD[Valor por pedido]),PROXY!$P$2),0),0)</f>
        <v>0</v>
      </c>
      <c r="AP1660" s="28">
        <f ca="1">IF('Banco de Dados'!$AK1660&lt;&gt;"-",IF('Banco de Dados'!$AL1660="NÃO",IFERROR(VALUE(SUBSTITUTE(_xlfn.TEXTAFTER('Banco de Dados'!$F1660,"BRL ",1),".",",")),0),0),0)</f>
        <v>0</v>
      </c>
      <c r="AQ1660" s="28">
        <f ca="1">SUM('Banco de Dados'!$AM1660:$AP1660)</f>
        <v>0</v>
      </c>
      <c r="AR1660" s="8"/>
      <c r="AS1660" s="8"/>
      <c r="AT1660"/>
      <c r="AY1660" s="8"/>
    </row>
    <row r="1661" spans="1:51">
      <c r="A1661" s="5" t="str">
        <v>MEI</v>
      </c>
      <c r="B1661" s="5" t="str">
        <f ca="1"/>
        <v>MEI45782</v>
      </c>
      <c r="C1661" s="8" t="str">
        <v>Pedido 1648</v>
      </c>
      <c r="D1661" s="187">
        <v>45779</v>
      </c>
      <c r="E1661" s="9">
        <v>45782</v>
      </c>
      <c r="F1661" s="8" t="str">
        <v>PedidoF1571</v>
      </c>
      <c r="G1661" s="2" t="str">
        <v>CódRastreio1569</v>
      </c>
      <c r="H1661" s="5">
        <v>1</v>
      </c>
      <c r="I1661" s="182" t="str">
        <v>CPF 1607</v>
      </c>
      <c r="J1661" s="2" t="str">
        <v>Nome 1607</v>
      </c>
      <c r="K1661" s="8" t="str">
        <v>Tel 1607</v>
      </c>
      <c r="L1661" s="8" t="str">
        <v>Cep 1607</v>
      </c>
      <c r="M1661" s="8" t="str">
        <v>Rua 1607</v>
      </c>
      <c r="N1661" s="8" t="str">
        <v>Comp 1607</v>
      </c>
      <c r="O1661" s="8" t="str">
        <v>Garrafa Termica</v>
      </c>
      <c r="P1661" s="8" t="str">
        <v>LF-R6MC-WKWP</v>
      </c>
      <c r="Q1661" s="4">
        <v>45806</v>
      </c>
      <c r="R1661" s="109">
        <v>32.67</v>
      </c>
      <c r="S1661" s="11">
        <f ca="1"/>
        <v>32.67</v>
      </c>
      <c r="T1661" s="28">
        <f ca="1"/>
        <v>3.9203999999999999</v>
      </c>
      <c r="U1661" s="11">
        <f ca="1"/>
        <v>28.75</v>
      </c>
      <c r="V1661" s="11">
        <v>17.3</v>
      </c>
      <c r="W1661" s="11">
        <f ca="1"/>
        <v>0.23</v>
      </c>
      <c r="X1661" s="11">
        <f ca="1"/>
        <v>0.39877104377104378</v>
      </c>
      <c r="Y1661" s="11">
        <v>0</v>
      </c>
      <c r="Z1661" s="11">
        <f ca="1"/>
        <v>10.821228956228953</v>
      </c>
      <c r="AA1661" s="11">
        <f ca="1"/>
        <v>5.4106144781144767</v>
      </c>
      <c r="AB1661" s="4">
        <f ca="1"/>
        <v>45813</v>
      </c>
      <c r="AC1661" s="4">
        <v>45813</v>
      </c>
      <c r="AD1661" s="9">
        <v>45824</v>
      </c>
      <c r="AE1661" s="9">
        <v>45828</v>
      </c>
      <c r="AF1661" s="4" t="str">
        <f t="shared" ref="AF1661:AF1684" ca="1" si="114">_xlfn.CONCAT(PROPER(TEXT(AB1661,"aaaa"))," ",PROPER(TEXT(AB1661,"mm")))</f>
        <v>2025 06</v>
      </c>
      <c r="AG1661" s="8" t="str" cm="1">
        <f t="array" ref="AG1661">IFERROR(_xlfn.IFS('Banco de Dados'!#REF!="AG. COMPRA","Em processamento",'Banco de Dados'!#REF!="AG. RASTREIO","Em processamento",'Banco de Dados'!$AE1661&lt;&gt;"-","Faturado",'Banco de Dados'!$AD1661&lt;&gt;"-","Aguardando Pix",'Banco de Dados'!$AC1661&lt;&gt;"-","Pendente"),"Aguardando Liberação")</f>
        <v>Aguardando Liberação</v>
      </c>
      <c r="AH1661" s="5" t="str">
        <f>IF('Banco de Dados'!$F1661="-",_xlfn.CONCAT(PROPER(TEXT(AK1661,"aaaa"))," ",PROPER(TEXT(AK1661,"mm"))),_xlfn.CONCAT(PROPER(TEXT(E1661,"aaaa"))," ",PROPER(TEXT(E1661,"mm"))))</f>
        <v>2025 05</v>
      </c>
      <c r="AI1661" s="9" t="str">
        <f ca="1">IF('Banco de Dados'!$AK1661&lt;&gt;"-","REEMBOLSO",IFERROR(_xlfn.XLOOKUP(G1661,Follow[CODRASTREIO],Follow[STATUS]),"-"))</f>
        <v>ENTREGUE</v>
      </c>
      <c r="AJ1661" s="9">
        <f ca="1">IF('Banco de Dados'!$AI1661="ENTREGUE",_xlfn.XLOOKUP('Banco de Dados'!$G1661,Follow[CODRASTREIO],Follow[DATAATUALIZAÇÃO]),"-")</f>
        <v>45800</v>
      </c>
      <c r="AK1661" s="132" t="str">
        <f ca="1"/>
        <v>-</v>
      </c>
      <c r="AL1661" s="35"/>
      <c r="AM1661" s="109" cm="1">
        <f t="array" aca="1" ref="AM1661" ca="1">IF('Banco de Dados'!$AK1661&lt;&gt;"-",_xlfn.IFS('Banco de Dados'!$A1661="bv",IF('Banco de Dados'!$E1661&lt;45641,ROUND(SUM('Banco de Dados'!$R1661*_xlfn.XLOOKUP('Banco de Dados'!$P1661,Sku!B:B,Sku!#REF!)*20%),2),ROUND(SUM('Banco de Dados'!$R1661*_xlfn.XLOOKUP('Banco de Dados'!$P1661,Sku!B:B,Sku!H:H)*20%),2)),'Banco de Dados'!$A1661="GO",ROUND(SUM('Banco de Dados'!$R1661*_xlfn.XLOOKUP('Banco de Dados'!$P1661,Sku!C:C,Sku!H:H)*20%),2),'Banco de Dados'!$A1661="MEI",ROUND(SUM('Banco de Dados'!$R1661*_xlfn.XLOOKUP('Banco de Dados'!$P1661,Sku!D:D,Sku!H:H)*20%),2)),0)</f>
        <v>0</v>
      </c>
      <c r="AN1661" s="109">
        <f ca="1">IF('Banco de Dados'!$AK1661&lt;&gt;"-",IF('Banco de Dados'!$F1661&lt;&gt;"-",_xlfn.XLOOKUP(IFERROR(IFERROR(IFERROR(VALUE(SUBSTITUTE(MID(_xlfn.TEXTAFTER('Banco de Dados'!$F1661,"Data do Pedido:
",1),1,10),"-","/")),VALUE(SUBSTITUTE(MID(_xlfn.TEXTAFTER('Banco de Dados'!$F1661,"Order date:
",1),1,10),"-","/"))),VALUE(SUBSTITUTE(MID(_xlfn.TEXTAFTER('Banco de Dados'!$F1661,"Fecha de pedido:
",1),1,10),"-","/"))),"-"),SMS!A:A,SMS!K:K),0),0)</f>
        <v>0</v>
      </c>
      <c r="AO1661" s="109">
        <f ca="1">IF('Banco de Dados'!$AK1661&lt;&gt;"-",IF('Banco de Dados'!$F1661&lt;&gt;"-",IFERROR(_xlfn.XLOOKUP(_xlfn.CONCAT('Banco de Dados'!$A1661,IFERROR(IFERROR(VALUE(SUBSTITUTE(MID(_xlfn.TEXTAFTER('Banco de Dados'!$F1661,"Data do Pedido:
",1),1,10),"-","/")),VALUE(SUBSTITUTE(MID(_xlfn.TEXTAFTER('Banco de Dados'!$F1661,"Order date:
",1),1,10),"-","/"))),0)),ProxyDD[Chave],ProxyDD[Valor por pedido]),PROXY!$P$2),0),0)</f>
        <v>0</v>
      </c>
      <c r="AP1661" s="28">
        <f ca="1">IF('Banco de Dados'!$AK1661&lt;&gt;"-",IF('Banco de Dados'!$AL1661="NÃO",IFERROR(VALUE(SUBSTITUTE(_xlfn.TEXTAFTER('Banco de Dados'!$F1661,"BRL ",1),".",",")),0),0),0)</f>
        <v>0</v>
      </c>
      <c r="AQ1661" s="28">
        <f ca="1">SUM('Banco de Dados'!$AM1661:$AP1661)</f>
        <v>0</v>
      </c>
      <c r="AR1661" s="8"/>
      <c r="AS1661" s="8"/>
      <c r="AT1661"/>
      <c r="AY1661" s="8"/>
    </row>
    <row r="1662" spans="1:51">
      <c r="A1662" s="5" t="str">
        <v>MEI</v>
      </c>
      <c r="B1662" s="5" t="str">
        <f ca="1"/>
        <v>MEI45782</v>
      </c>
      <c r="C1662" s="8" t="str">
        <v>Pedido 1649</v>
      </c>
      <c r="D1662" s="187">
        <v>45779</v>
      </c>
      <c r="E1662" s="9">
        <v>45782</v>
      </c>
      <c r="F1662" s="8" t="str">
        <v>PedidoF1572</v>
      </c>
      <c r="G1662" s="2" t="str">
        <v>CódRastreio1570</v>
      </c>
      <c r="H1662" s="5">
        <v>1</v>
      </c>
      <c r="I1662" s="182" t="str">
        <v>CPF 1608</v>
      </c>
      <c r="J1662" s="2" t="str">
        <v>Nome 1608</v>
      </c>
      <c r="K1662" s="8" t="str">
        <v>Tel 1608</v>
      </c>
      <c r="L1662" s="8" t="str">
        <v>Cep 1608</v>
      </c>
      <c r="M1662" s="8" t="str">
        <v>Rua 1608</v>
      </c>
      <c r="N1662" s="8" t="str">
        <v>Comp 1608</v>
      </c>
      <c r="O1662" s="8" t="str">
        <v>Ventilador Rosa</v>
      </c>
      <c r="P1662" s="8" t="str">
        <v>WR-82Y0-OV27</v>
      </c>
      <c r="Q1662" s="4">
        <v>45813</v>
      </c>
      <c r="R1662" s="109">
        <v>49.9</v>
      </c>
      <c r="S1662" s="11">
        <f ca="1"/>
        <v>49.9</v>
      </c>
      <c r="T1662" s="28">
        <f ca="1"/>
        <v>5.9879999999999995</v>
      </c>
      <c r="U1662" s="11">
        <f ca="1"/>
        <v>43.91</v>
      </c>
      <c r="V1662" s="11">
        <v>21.12</v>
      </c>
      <c r="W1662" s="11">
        <f ca="1"/>
        <v>0.23</v>
      </c>
      <c r="X1662" s="11">
        <f ca="1"/>
        <v>0.39877104377104378</v>
      </c>
      <c r="Y1662" s="11">
        <v>0</v>
      </c>
      <c r="Z1662" s="11">
        <f ca="1"/>
        <v>22.16122895622895</v>
      </c>
      <c r="AA1662" s="11">
        <f ca="1"/>
        <v>11.080614478114475</v>
      </c>
      <c r="AB1662" s="4">
        <f ca="1"/>
        <v>45820</v>
      </c>
      <c r="AC1662" s="4">
        <v>45820</v>
      </c>
      <c r="AD1662" s="9">
        <v>45824</v>
      </c>
      <c r="AE1662" s="9">
        <v>45828</v>
      </c>
      <c r="AF1662" s="4" t="str">
        <f t="shared" ca="1" si="114"/>
        <v>2025 06</v>
      </c>
      <c r="AG1662" s="8" t="str" cm="1">
        <f t="array" ref="AG1662">IFERROR(_xlfn.IFS('Banco de Dados'!#REF!="AG. COMPRA","Em processamento",'Banco de Dados'!#REF!="AG. RASTREIO","Em processamento",'Banco de Dados'!$AE1662&lt;&gt;"-","Faturado",'Banco de Dados'!$AD1662&lt;&gt;"-","Aguardando Pix",'Banco de Dados'!$AC1662&lt;&gt;"-","Pendente"),"Aguardando Liberação")</f>
        <v>Aguardando Liberação</v>
      </c>
      <c r="AH1662" s="5" t="str">
        <f>IF('Banco de Dados'!$F1662="-",_xlfn.CONCAT(PROPER(TEXT(AK1662,"aaaa"))," ",PROPER(TEXT(AK1662,"mm"))),_xlfn.CONCAT(PROPER(TEXT(E1662,"aaaa"))," ",PROPER(TEXT(E1662,"mm"))))</f>
        <v>2025 05</v>
      </c>
      <c r="AI1662" s="9" t="str">
        <f ca="1">IF('Banco de Dados'!$AK1662&lt;&gt;"-","REEMBOLSO",IFERROR(_xlfn.XLOOKUP(G1662,Follow[CODRASTREIO],Follow[STATUS]),"-"))</f>
        <v>ENTREGUE</v>
      </c>
      <c r="AJ1662" s="9">
        <f ca="1">IF('Banco de Dados'!$AI1662="ENTREGUE",_xlfn.XLOOKUP('Banco de Dados'!$G1662,Follow[CODRASTREIO],Follow[DATAATUALIZAÇÃO]),"-")</f>
        <v>45832</v>
      </c>
      <c r="AK1662" s="132" t="str">
        <f ca="1"/>
        <v>-</v>
      </c>
      <c r="AL1662" s="35"/>
      <c r="AM1662" s="109" cm="1">
        <f t="array" aca="1" ref="AM1662" ca="1">IF('Banco de Dados'!$AK1662&lt;&gt;"-",_xlfn.IFS('Banco de Dados'!$A1662="bv",IF('Banco de Dados'!$E1662&lt;45641,ROUND(SUM('Banco de Dados'!$R1662*_xlfn.XLOOKUP('Banco de Dados'!$P1662,Sku!B:B,Sku!#REF!)*20%),2),ROUND(SUM('Banco de Dados'!$R1662*_xlfn.XLOOKUP('Banco de Dados'!$P1662,Sku!B:B,Sku!H:H)*20%),2)),'Banco de Dados'!$A1662="GO",ROUND(SUM('Banco de Dados'!$R1662*_xlfn.XLOOKUP('Banco de Dados'!$P1662,Sku!C:C,Sku!H:H)*20%),2),'Banco de Dados'!$A1662="MEI",ROUND(SUM('Banco de Dados'!$R1662*_xlfn.XLOOKUP('Banco de Dados'!$P1662,Sku!D:D,Sku!H:H)*20%),2)),0)</f>
        <v>0</v>
      </c>
      <c r="AN1662" s="109">
        <f ca="1">IF('Banco de Dados'!$AK1662&lt;&gt;"-",IF('Banco de Dados'!$F1662&lt;&gt;"-",_xlfn.XLOOKUP(IFERROR(IFERROR(IFERROR(VALUE(SUBSTITUTE(MID(_xlfn.TEXTAFTER('Banco de Dados'!$F1662,"Data do Pedido:
",1),1,10),"-","/")),VALUE(SUBSTITUTE(MID(_xlfn.TEXTAFTER('Banco de Dados'!$F1662,"Order date:
",1),1,10),"-","/"))),VALUE(SUBSTITUTE(MID(_xlfn.TEXTAFTER('Banco de Dados'!$F1662,"Fecha de pedido:
",1),1,10),"-","/"))),"-"),SMS!A:A,SMS!K:K),0),0)</f>
        <v>0</v>
      </c>
      <c r="AO1662" s="109">
        <f ca="1">IF('Banco de Dados'!$AK1662&lt;&gt;"-",IF('Banco de Dados'!$F1662&lt;&gt;"-",IFERROR(_xlfn.XLOOKUP(_xlfn.CONCAT('Banco de Dados'!$A1662,IFERROR(IFERROR(VALUE(SUBSTITUTE(MID(_xlfn.TEXTAFTER('Banco de Dados'!$F1662,"Data do Pedido:
",1),1,10),"-","/")),VALUE(SUBSTITUTE(MID(_xlfn.TEXTAFTER('Banco de Dados'!$F1662,"Order date:
",1),1,10),"-","/"))),0)),ProxyDD[Chave],ProxyDD[Valor por pedido]),PROXY!$P$2),0),0)</f>
        <v>0</v>
      </c>
      <c r="AP1662" s="28">
        <f ca="1">IF('Banco de Dados'!$AK1662&lt;&gt;"-",IF('Banco de Dados'!$AL1662="NÃO",IFERROR(VALUE(SUBSTITUTE(_xlfn.TEXTAFTER('Banco de Dados'!$F1662,"BRL ",1),".",",")),0),0),0)</f>
        <v>0</v>
      </c>
      <c r="AQ1662" s="28">
        <f ca="1">SUM('Banco de Dados'!$AM1662:$AP1662)</f>
        <v>0</v>
      </c>
      <c r="AR1662" s="8"/>
      <c r="AS1662" s="8"/>
      <c r="AT1662"/>
      <c r="AY1662" s="8"/>
    </row>
    <row r="1663" spans="1:51">
      <c r="A1663" s="5" t="str">
        <v>MEI</v>
      </c>
      <c r="B1663" s="5" t="str">
        <f ca="1"/>
        <v>MEI45782</v>
      </c>
      <c r="C1663" s="8" t="str">
        <v>Pedido 1650</v>
      </c>
      <c r="D1663" s="187">
        <v>45779</v>
      </c>
      <c r="E1663" s="9">
        <v>45782</v>
      </c>
      <c r="F1663" s="8" t="str">
        <v>PedidoF1573</v>
      </c>
      <c r="G1663" s="2" t="str">
        <v>CódRastreio1571</v>
      </c>
      <c r="H1663" s="5">
        <v>1</v>
      </c>
      <c r="I1663" s="182" t="str">
        <v>CPF 1609</v>
      </c>
      <c r="J1663" s="2" t="str">
        <v>Nome 1609</v>
      </c>
      <c r="K1663" s="8" t="str">
        <v>Tel 1609</v>
      </c>
      <c r="L1663" s="8" t="str">
        <v>Cep 1609</v>
      </c>
      <c r="M1663" s="8" t="str">
        <v>Rua 1609</v>
      </c>
      <c r="N1663" s="8" t="str">
        <v>Comp 1609</v>
      </c>
      <c r="O1663" s="8" t="str">
        <v>Ventilador Azul</v>
      </c>
      <c r="P1663" s="8" t="str">
        <v>PK-L2Z7-MQRQ</v>
      </c>
      <c r="Q1663" s="4">
        <v>45806</v>
      </c>
      <c r="R1663" s="109">
        <v>48.9</v>
      </c>
      <c r="S1663" s="11">
        <f ca="1"/>
        <v>48.9</v>
      </c>
      <c r="T1663" s="28">
        <f ca="1"/>
        <v>5.8679999999999994</v>
      </c>
      <c r="U1663" s="11">
        <f ca="1"/>
        <v>43.03</v>
      </c>
      <c r="V1663" s="11">
        <v>24.46</v>
      </c>
      <c r="W1663" s="11">
        <f ca="1"/>
        <v>0.23</v>
      </c>
      <c r="X1663" s="11">
        <f ca="1"/>
        <v>0.39877104377104378</v>
      </c>
      <c r="Y1663" s="11">
        <v>0</v>
      </c>
      <c r="Z1663" s="11">
        <f ca="1"/>
        <v>17.941228956228954</v>
      </c>
      <c r="AA1663" s="11">
        <f ca="1"/>
        <v>8.9706144781144772</v>
      </c>
      <c r="AB1663" s="4">
        <f ca="1"/>
        <v>45813</v>
      </c>
      <c r="AC1663" s="4">
        <v>45813</v>
      </c>
      <c r="AD1663" s="9">
        <v>45824</v>
      </c>
      <c r="AE1663" s="9">
        <v>45828</v>
      </c>
      <c r="AF1663" s="4" t="str">
        <f t="shared" ca="1" si="114"/>
        <v>2025 06</v>
      </c>
      <c r="AG1663" s="8" t="str" cm="1">
        <f t="array" ref="AG1663">IFERROR(_xlfn.IFS('Banco de Dados'!#REF!="AG. COMPRA","Em processamento",'Banco de Dados'!#REF!="AG. RASTREIO","Em processamento",'Banco de Dados'!$AE1663&lt;&gt;"-","Faturado",'Banco de Dados'!$AD1663&lt;&gt;"-","Aguardando Pix",'Banco de Dados'!$AC1663&lt;&gt;"-","Pendente"),"Aguardando Liberação")</f>
        <v>Aguardando Liberação</v>
      </c>
      <c r="AH1663" s="5" t="str">
        <f>IF('Banco de Dados'!$F1663="-",_xlfn.CONCAT(PROPER(TEXT(AK1663,"aaaa"))," ",PROPER(TEXT(AK1663,"mm"))),_xlfn.CONCAT(PROPER(TEXT(E1663,"aaaa"))," ",PROPER(TEXT(E1663,"mm"))))</f>
        <v>2025 05</v>
      </c>
      <c r="AI1663" s="9" t="str">
        <f ca="1">IF('Banco de Dados'!$AK1663&lt;&gt;"-","REEMBOLSO",IFERROR(_xlfn.XLOOKUP(G1663,Follow[CODRASTREIO],Follow[STATUS]),"-"))</f>
        <v>ENTREGUE</v>
      </c>
      <c r="AJ1663" s="9">
        <f ca="1">IF('Banco de Dados'!$AI1663="ENTREGUE",_xlfn.XLOOKUP('Banco de Dados'!$G1663,Follow[CODRASTREIO],Follow[DATAATUALIZAÇÃO]),"-")</f>
        <v>45796</v>
      </c>
      <c r="AK1663" s="132" t="str">
        <f ca="1"/>
        <v>-</v>
      </c>
      <c r="AL1663" s="35"/>
      <c r="AM1663" s="109" cm="1">
        <f t="array" aca="1" ref="AM1663" ca="1">IF('Banco de Dados'!$AK1663&lt;&gt;"-",_xlfn.IFS('Banco de Dados'!$A1663="bv",IF('Banco de Dados'!$E1663&lt;45641,ROUND(SUM('Banco de Dados'!$R1663*_xlfn.XLOOKUP('Banco de Dados'!$P1663,Sku!B:B,Sku!#REF!)*20%),2),ROUND(SUM('Banco de Dados'!$R1663*_xlfn.XLOOKUP('Banco de Dados'!$P1663,Sku!B:B,Sku!H:H)*20%),2)),'Banco de Dados'!$A1663="GO",ROUND(SUM('Banco de Dados'!$R1663*_xlfn.XLOOKUP('Banco de Dados'!$P1663,Sku!C:C,Sku!H:H)*20%),2),'Banco de Dados'!$A1663="MEI",ROUND(SUM('Banco de Dados'!$R1663*_xlfn.XLOOKUP('Banco de Dados'!$P1663,Sku!D:D,Sku!H:H)*20%),2)),0)</f>
        <v>0</v>
      </c>
      <c r="AN1663" s="109">
        <f ca="1">IF('Banco de Dados'!$AK1663&lt;&gt;"-",IF('Banco de Dados'!$F1663&lt;&gt;"-",_xlfn.XLOOKUP(IFERROR(IFERROR(IFERROR(VALUE(SUBSTITUTE(MID(_xlfn.TEXTAFTER('Banco de Dados'!$F1663,"Data do Pedido:
",1),1,10),"-","/")),VALUE(SUBSTITUTE(MID(_xlfn.TEXTAFTER('Banco de Dados'!$F1663,"Order date:
",1),1,10),"-","/"))),VALUE(SUBSTITUTE(MID(_xlfn.TEXTAFTER('Banco de Dados'!$F1663,"Fecha de pedido:
",1),1,10),"-","/"))),"-"),SMS!A:A,SMS!K:K),0),0)</f>
        <v>0</v>
      </c>
      <c r="AO1663" s="109">
        <f ca="1">IF('Banco de Dados'!$AK1663&lt;&gt;"-",IF('Banco de Dados'!$F1663&lt;&gt;"-",IFERROR(_xlfn.XLOOKUP(_xlfn.CONCAT('Banco de Dados'!$A1663,IFERROR(IFERROR(VALUE(SUBSTITUTE(MID(_xlfn.TEXTAFTER('Banco de Dados'!$F1663,"Data do Pedido:
",1),1,10),"-","/")),VALUE(SUBSTITUTE(MID(_xlfn.TEXTAFTER('Banco de Dados'!$F1663,"Order date:
",1),1,10),"-","/"))),0)),ProxyDD[Chave],ProxyDD[Valor por pedido]),PROXY!$P$2),0),0)</f>
        <v>0</v>
      </c>
      <c r="AP1663" s="28">
        <f ca="1">IF('Banco de Dados'!$AK1663&lt;&gt;"-",IF('Banco de Dados'!$AL1663="NÃO",IFERROR(VALUE(SUBSTITUTE(_xlfn.TEXTAFTER('Banco de Dados'!$F1663,"BRL ",1),".",",")),0),0),0)</f>
        <v>0</v>
      </c>
      <c r="AQ1663" s="28">
        <f ca="1">SUM('Banco de Dados'!$AM1663:$AP1663)</f>
        <v>0</v>
      </c>
      <c r="AR1663" s="8"/>
      <c r="AS1663" s="8"/>
      <c r="AT1663"/>
      <c r="AY1663" s="8"/>
    </row>
    <row r="1664" spans="1:51">
      <c r="A1664" s="5" t="str">
        <v>MEI</v>
      </c>
      <c r="B1664" s="5" t="str">
        <f ca="1"/>
        <v>MEI45782</v>
      </c>
      <c r="C1664" s="8" t="str">
        <v>Pedido 1651</v>
      </c>
      <c r="D1664" s="187">
        <v>45780</v>
      </c>
      <c r="E1664" s="9">
        <v>45782</v>
      </c>
      <c r="F1664" s="8" t="str">
        <v>PedidoF1574</v>
      </c>
      <c r="G1664" s="2" t="str">
        <v>CódRastreio1572</v>
      </c>
      <c r="H1664" s="5">
        <v>1</v>
      </c>
      <c r="I1664" s="182" t="str">
        <v>CPF 1610</v>
      </c>
      <c r="J1664" s="2" t="str">
        <v>Nome 1610</v>
      </c>
      <c r="K1664" s="8" t="str">
        <v>Tel 1610</v>
      </c>
      <c r="L1664" s="8" t="str">
        <v>Cep 1610</v>
      </c>
      <c r="M1664" s="8" t="str">
        <v>Rua 1610</v>
      </c>
      <c r="N1664" s="8" t="str">
        <v>Comp 1610</v>
      </c>
      <c r="O1664" s="8" t="str">
        <v>Ventilador Rosa</v>
      </c>
      <c r="P1664" s="8" t="str">
        <v>WR-82Y0-OV27</v>
      </c>
      <c r="Q1664" s="4">
        <v>45806</v>
      </c>
      <c r="R1664" s="109">
        <v>49.9</v>
      </c>
      <c r="S1664" s="11">
        <f ca="1"/>
        <v>49.9</v>
      </c>
      <c r="T1664" s="28">
        <f ca="1"/>
        <v>5.9879999999999995</v>
      </c>
      <c r="U1664" s="11">
        <f ca="1"/>
        <v>43.91</v>
      </c>
      <c r="V1664" s="11">
        <v>14.41</v>
      </c>
      <c r="W1664" s="11">
        <f ca="1"/>
        <v>0.23</v>
      </c>
      <c r="X1664" s="11">
        <f ca="1"/>
        <v>0.39877104377104378</v>
      </c>
      <c r="Y1664" s="11">
        <v>0</v>
      </c>
      <c r="Z1664" s="11">
        <f ca="1"/>
        <v>28.871228956228954</v>
      </c>
      <c r="AA1664" s="11">
        <f ca="1"/>
        <v>14.435614478114477</v>
      </c>
      <c r="AB1664" s="4">
        <f ca="1"/>
        <v>45813</v>
      </c>
      <c r="AC1664" s="4">
        <v>45813</v>
      </c>
      <c r="AD1664" s="9">
        <v>45824</v>
      </c>
      <c r="AE1664" s="9">
        <v>45828</v>
      </c>
      <c r="AF1664" s="4" t="str">
        <f t="shared" ca="1" si="114"/>
        <v>2025 06</v>
      </c>
      <c r="AG1664" s="8" t="str" cm="1">
        <f t="array" ref="AG1664">IFERROR(_xlfn.IFS('Banco de Dados'!#REF!="AG. COMPRA","Em processamento",'Banco de Dados'!#REF!="AG. RASTREIO","Em processamento",'Banco de Dados'!$AE1664&lt;&gt;"-","Faturado",'Banco de Dados'!$AD1664&lt;&gt;"-","Aguardando Pix",'Banco de Dados'!$AC1664&lt;&gt;"-","Pendente"),"Aguardando Liberação")</f>
        <v>Aguardando Liberação</v>
      </c>
      <c r="AH1664" s="5" t="str">
        <f>IF('Banco de Dados'!$F1664="-",_xlfn.CONCAT(PROPER(TEXT(AK1664,"aaaa"))," ",PROPER(TEXT(AK1664,"mm"))),_xlfn.CONCAT(PROPER(TEXT(E1664,"aaaa"))," ",PROPER(TEXT(E1664,"mm"))))</f>
        <v>2025 05</v>
      </c>
      <c r="AI1664" s="9" t="str">
        <f ca="1">IF('Banco de Dados'!$AK1664&lt;&gt;"-","REEMBOLSO",IFERROR(_xlfn.XLOOKUP(G1664,Follow[CODRASTREIO],Follow[STATUS]),"-"))</f>
        <v>ENTREGUE</v>
      </c>
      <c r="AJ1664" s="9">
        <f ca="1">IF('Banco de Dados'!$AI1664="ENTREGUE",_xlfn.XLOOKUP('Banco de Dados'!$G1664,Follow[CODRASTREIO],Follow[DATAATUALIZAÇÃO]),"-")</f>
        <v>45797</v>
      </c>
      <c r="AK1664" s="132" t="str">
        <f ca="1"/>
        <v>-</v>
      </c>
      <c r="AL1664" s="35"/>
      <c r="AM1664" s="109" cm="1">
        <f t="array" aca="1" ref="AM1664" ca="1">IF('Banco de Dados'!$AK1664&lt;&gt;"-",_xlfn.IFS('Banco de Dados'!$A1664="bv",IF('Banco de Dados'!$E1664&lt;45641,ROUND(SUM('Banco de Dados'!$R1664*_xlfn.XLOOKUP('Banco de Dados'!$P1664,Sku!B:B,Sku!#REF!)*20%),2),ROUND(SUM('Banco de Dados'!$R1664*_xlfn.XLOOKUP('Banco de Dados'!$P1664,Sku!B:B,Sku!H:H)*20%),2)),'Banco de Dados'!$A1664="GO",ROUND(SUM('Banco de Dados'!$R1664*_xlfn.XLOOKUP('Banco de Dados'!$P1664,Sku!C:C,Sku!H:H)*20%),2),'Banco de Dados'!$A1664="MEI",ROUND(SUM('Banco de Dados'!$R1664*_xlfn.XLOOKUP('Banco de Dados'!$P1664,Sku!D:D,Sku!H:H)*20%),2)),0)</f>
        <v>0</v>
      </c>
      <c r="AN1664" s="109">
        <f ca="1">IF('Banco de Dados'!$AK1664&lt;&gt;"-",IF('Banco de Dados'!$F1664&lt;&gt;"-",_xlfn.XLOOKUP(IFERROR(IFERROR(IFERROR(VALUE(SUBSTITUTE(MID(_xlfn.TEXTAFTER('Banco de Dados'!$F1664,"Data do Pedido:
",1),1,10),"-","/")),VALUE(SUBSTITUTE(MID(_xlfn.TEXTAFTER('Banco de Dados'!$F1664,"Order date:
",1),1,10),"-","/"))),VALUE(SUBSTITUTE(MID(_xlfn.TEXTAFTER('Banco de Dados'!$F1664,"Fecha de pedido:
",1),1,10),"-","/"))),"-"),SMS!A:A,SMS!K:K),0),0)</f>
        <v>0</v>
      </c>
      <c r="AO1664" s="109">
        <f ca="1">IF('Banco de Dados'!$AK1664&lt;&gt;"-",IF('Banco de Dados'!$F1664&lt;&gt;"-",IFERROR(_xlfn.XLOOKUP(_xlfn.CONCAT('Banco de Dados'!$A1664,IFERROR(IFERROR(VALUE(SUBSTITUTE(MID(_xlfn.TEXTAFTER('Banco de Dados'!$F1664,"Data do Pedido:
",1),1,10),"-","/")),VALUE(SUBSTITUTE(MID(_xlfn.TEXTAFTER('Banco de Dados'!$F1664,"Order date:
",1),1,10),"-","/"))),0)),ProxyDD[Chave],ProxyDD[Valor por pedido]),PROXY!$P$2),0),0)</f>
        <v>0</v>
      </c>
      <c r="AP1664" s="28">
        <f ca="1">IF('Banco de Dados'!$AK1664&lt;&gt;"-",IF('Banco de Dados'!$AL1664="NÃO",IFERROR(VALUE(SUBSTITUTE(_xlfn.TEXTAFTER('Banco de Dados'!$F1664,"BRL ",1),".",",")),0),0),0)</f>
        <v>0</v>
      </c>
      <c r="AQ1664" s="28">
        <f ca="1">SUM('Banco de Dados'!$AM1664:$AP1664)</f>
        <v>0</v>
      </c>
      <c r="AR1664" s="8"/>
      <c r="AS1664" s="8"/>
      <c r="AT1664"/>
      <c r="AY1664" s="8"/>
    </row>
    <row r="1665" spans="1:51">
      <c r="A1665" s="5" t="str">
        <v>MEI</v>
      </c>
      <c r="B1665" s="5" t="str">
        <f ca="1"/>
        <v>MEI45782</v>
      </c>
      <c r="C1665" s="8" t="str">
        <v>Pedido 1652</v>
      </c>
      <c r="D1665" s="187">
        <v>45780</v>
      </c>
      <c r="E1665" s="9">
        <v>45782</v>
      </c>
      <c r="F1665" s="8" t="str">
        <v>PedidoF1575</v>
      </c>
      <c r="G1665" s="2" t="str">
        <v>CódRastreio1573</v>
      </c>
      <c r="H1665" s="5">
        <v>1</v>
      </c>
      <c r="I1665" s="182" t="str">
        <v>CPF 1611</v>
      </c>
      <c r="J1665" s="2" t="str">
        <v>Nome 1611</v>
      </c>
      <c r="K1665" s="8" t="str">
        <v>Tel 1611</v>
      </c>
      <c r="L1665" s="8" t="str">
        <v>Cep 1611</v>
      </c>
      <c r="M1665" s="8" t="str">
        <v>Rua 1611</v>
      </c>
      <c r="N1665" s="8" t="str">
        <v>Comp 1611</v>
      </c>
      <c r="O1665" s="8" t="str">
        <v>Ventilador Azul</v>
      </c>
      <c r="P1665" s="8" t="str">
        <v>PK-L2Z7-MQRQ</v>
      </c>
      <c r="Q1665" s="4">
        <v>45806</v>
      </c>
      <c r="R1665" s="109">
        <v>48.9</v>
      </c>
      <c r="S1665" s="11">
        <f ca="1"/>
        <v>48.9</v>
      </c>
      <c r="T1665" s="28">
        <f ca="1"/>
        <v>5.8679999999999994</v>
      </c>
      <c r="U1665" s="11">
        <f ca="1"/>
        <v>43.03</v>
      </c>
      <c r="V1665" s="11">
        <v>14.88</v>
      </c>
      <c r="W1665" s="11">
        <f ca="1"/>
        <v>0.23</v>
      </c>
      <c r="X1665" s="11">
        <f ca="1"/>
        <v>0.39877104377104378</v>
      </c>
      <c r="Y1665" s="11">
        <v>0</v>
      </c>
      <c r="Z1665" s="11">
        <f ca="1"/>
        <v>27.521228956228956</v>
      </c>
      <c r="AA1665" s="11">
        <f ca="1"/>
        <v>13.760614478114478</v>
      </c>
      <c r="AB1665" s="4">
        <f ca="1"/>
        <v>45813</v>
      </c>
      <c r="AC1665" s="4">
        <v>45813</v>
      </c>
      <c r="AD1665" s="9">
        <v>45824</v>
      </c>
      <c r="AE1665" s="9">
        <v>45828</v>
      </c>
      <c r="AF1665" s="4" t="str">
        <f t="shared" ca="1" si="114"/>
        <v>2025 06</v>
      </c>
      <c r="AG1665" s="8" t="str" cm="1">
        <f t="array" ref="AG1665">IFERROR(_xlfn.IFS('Banco de Dados'!#REF!="AG. COMPRA","Em processamento",'Banco de Dados'!#REF!="AG. RASTREIO","Em processamento",'Banco de Dados'!$AE1665&lt;&gt;"-","Faturado",'Banco de Dados'!$AD1665&lt;&gt;"-","Aguardando Pix",'Banco de Dados'!$AC1665&lt;&gt;"-","Pendente"),"Aguardando Liberação")</f>
        <v>Aguardando Liberação</v>
      </c>
      <c r="AH1665" s="5" t="str">
        <f>IF('Banco de Dados'!$F1665="-",_xlfn.CONCAT(PROPER(TEXT(AK1665,"aaaa"))," ",PROPER(TEXT(AK1665,"mm"))),_xlfn.CONCAT(PROPER(TEXT(E1665,"aaaa"))," ",PROPER(TEXT(E1665,"mm"))))</f>
        <v>2025 05</v>
      </c>
      <c r="AI1665" s="9" t="str">
        <f ca="1">IF('Banco de Dados'!$AK1665&lt;&gt;"-","REEMBOLSO",IFERROR(_xlfn.XLOOKUP(G1665,Follow[CODRASTREIO],Follow[STATUS]),"-"))</f>
        <v>ENTREGUE</v>
      </c>
      <c r="AJ1665" s="9">
        <f ca="1">IF('Banco de Dados'!$AI1665="ENTREGUE",_xlfn.XLOOKUP('Banco de Dados'!$G1665,Follow[CODRASTREIO],Follow[DATAATUALIZAÇÃO]),"-")</f>
        <v>45800</v>
      </c>
      <c r="AK1665" s="132" t="str">
        <f ca="1"/>
        <v>-</v>
      </c>
      <c r="AL1665" s="35"/>
      <c r="AM1665" s="109" cm="1">
        <f t="array" aca="1" ref="AM1665" ca="1">IF('Banco de Dados'!$AK1665&lt;&gt;"-",_xlfn.IFS('Banco de Dados'!$A1665="bv",IF('Banco de Dados'!$E1665&lt;45641,ROUND(SUM('Banco de Dados'!$R1665*_xlfn.XLOOKUP('Banco de Dados'!$P1665,Sku!B:B,Sku!#REF!)*20%),2),ROUND(SUM('Banco de Dados'!$R1665*_xlfn.XLOOKUP('Banco de Dados'!$P1665,Sku!B:B,Sku!H:H)*20%),2)),'Banco de Dados'!$A1665="GO",ROUND(SUM('Banco de Dados'!$R1665*_xlfn.XLOOKUP('Banco de Dados'!$P1665,Sku!C:C,Sku!H:H)*20%),2),'Banco de Dados'!$A1665="MEI",ROUND(SUM('Banco de Dados'!$R1665*_xlfn.XLOOKUP('Banco de Dados'!$P1665,Sku!D:D,Sku!H:H)*20%),2)),0)</f>
        <v>0</v>
      </c>
      <c r="AN1665" s="109">
        <f ca="1">IF('Banco de Dados'!$AK1665&lt;&gt;"-",IF('Banco de Dados'!$F1665&lt;&gt;"-",_xlfn.XLOOKUP(IFERROR(IFERROR(IFERROR(VALUE(SUBSTITUTE(MID(_xlfn.TEXTAFTER('Banco de Dados'!$F1665,"Data do Pedido:
",1),1,10),"-","/")),VALUE(SUBSTITUTE(MID(_xlfn.TEXTAFTER('Banco de Dados'!$F1665,"Order date:
",1),1,10),"-","/"))),VALUE(SUBSTITUTE(MID(_xlfn.TEXTAFTER('Banco de Dados'!$F1665,"Fecha de pedido:
",1),1,10),"-","/"))),"-"),SMS!A:A,SMS!K:K),0),0)</f>
        <v>0</v>
      </c>
      <c r="AO1665" s="109">
        <f ca="1">IF('Banco de Dados'!$AK1665&lt;&gt;"-",IF('Banco de Dados'!$F1665&lt;&gt;"-",IFERROR(_xlfn.XLOOKUP(_xlfn.CONCAT('Banco de Dados'!$A1665,IFERROR(IFERROR(VALUE(SUBSTITUTE(MID(_xlfn.TEXTAFTER('Banco de Dados'!$F1665,"Data do Pedido:
",1),1,10),"-","/")),VALUE(SUBSTITUTE(MID(_xlfn.TEXTAFTER('Banco de Dados'!$F1665,"Order date:
",1),1,10),"-","/"))),0)),ProxyDD[Chave],ProxyDD[Valor por pedido]),PROXY!$P$2),0),0)</f>
        <v>0</v>
      </c>
      <c r="AP1665" s="28">
        <f ca="1">IF('Banco de Dados'!$AK1665&lt;&gt;"-",IF('Banco de Dados'!$AL1665="NÃO",IFERROR(VALUE(SUBSTITUTE(_xlfn.TEXTAFTER('Banco de Dados'!$F1665,"BRL ",1),".",",")),0),0),0)</f>
        <v>0</v>
      </c>
      <c r="AQ1665" s="28">
        <f ca="1">SUM('Banco de Dados'!$AM1665:$AP1665)</f>
        <v>0</v>
      </c>
      <c r="AR1665" s="8"/>
      <c r="AS1665" s="8"/>
      <c r="AT1665"/>
      <c r="AY1665" s="8"/>
    </row>
    <row r="1666" spans="1:51">
      <c r="A1666" s="5" t="str">
        <v>MEI</v>
      </c>
      <c r="B1666" s="5" t="str">
        <f ca="1"/>
        <v>MEI45782</v>
      </c>
      <c r="C1666" s="8" t="str">
        <v>Pedido 1653</v>
      </c>
      <c r="D1666" s="187">
        <v>45780</v>
      </c>
      <c r="E1666" s="9">
        <v>45782</v>
      </c>
      <c r="F1666" s="8" t="str">
        <v>PedidoF1576</v>
      </c>
      <c r="G1666" s="2" t="str">
        <v>CódRastreio1574</v>
      </c>
      <c r="H1666" s="5">
        <v>1</v>
      </c>
      <c r="I1666" s="182" t="str">
        <v>CPF 1612</v>
      </c>
      <c r="J1666" s="2" t="str">
        <v>Nome 1612</v>
      </c>
      <c r="K1666" s="8" t="str">
        <v>Tel 1612</v>
      </c>
      <c r="L1666" s="8" t="str">
        <v>Cep 1612</v>
      </c>
      <c r="M1666" s="8" t="str">
        <v>Rua 1612</v>
      </c>
      <c r="N1666" s="8" t="str">
        <v>Comp 1612</v>
      </c>
      <c r="O1666" s="8" t="str">
        <v>Ventilador Rosa</v>
      </c>
      <c r="P1666" s="8" t="str">
        <v>WR-82Y0-OV27</v>
      </c>
      <c r="Q1666" s="4">
        <v>45813</v>
      </c>
      <c r="R1666" s="109">
        <v>49.9</v>
      </c>
      <c r="S1666" s="11">
        <f ca="1"/>
        <v>49.9</v>
      </c>
      <c r="T1666" s="28">
        <f ca="1"/>
        <v>5.9879999999999995</v>
      </c>
      <c r="U1666" s="11">
        <f ca="1"/>
        <v>43.91</v>
      </c>
      <c r="V1666" s="11">
        <v>21.12</v>
      </c>
      <c r="W1666" s="11">
        <f ca="1"/>
        <v>0.23</v>
      </c>
      <c r="X1666" s="11">
        <f ca="1"/>
        <v>0.39877104377104378</v>
      </c>
      <c r="Y1666" s="11">
        <v>0</v>
      </c>
      <c r="Z1666" s="11">
        <f ca="1"/>
        <v>22.16122895622895</v>
      </c>
      <c r="AA1666" s="11">
        <f ca="1"/>
        <v>11.080614478114475</v>
      </c>
      <c r="AB1666" s="4">
        <f ca="1"/>
        <v>45820</v>
      </c>
      <c r="AC1666" s="4">
        <v>45820</v>
      </c>
      <c r="AD1666" s="9">
        <v>45824</v>
      </c>
      <c r="AE1666" s="9">
        <v>45828</v>
      </c>
      <c r="AF1666" s="4" t="str">
        <f t="shared" ca="1" si="114"/>
        <v>2025 06</v>
      </c>
      <c r="AG1666" s="8" t="str" cm="1">
        <f t="array" ref="AG1666">IFERROR(_xlfn.IFS('Banco de Dados'!#REF!="AG. COMPRA","Em processamento",'Banco de Dados'!#REF!="AG. RASTREIO","Em processamento",'Banco de Dados'!$AE1666&lt;&gt;"-","Faturado",'Banco de Dados'!$AD1666&lt;&gt;"-","Aguardando Pix",'Banco de Dados'!$AC1666&lt;&gt;"-","Pendente"),"Aguardando Liberação")</f>
        <v>Aguardando Liberação</v>
      </c>
      <c r="AH1666" s="5" t="str">
        <f>IF('Banco de Dados'!$F1666="-",_xlfn.CONCAT(PROPER(TEXT(AK1666,"aaaa"))," ",PROPER(TEXT(AK1666,"mm"))),_xlfn.CONCAT(PROPER(TEXT(E1666,"aaaa"))," ",PROPER(TEXT(E1666,"mm"))))</f>
        <v>2025 05</v>
      </c>
      <c r="AI1666" s="9" t="str">
        <f ca="1">IF('Banco de Dados'!$AK1666&lt;&gt;"-","REEMBOLSO",IFERROR(_xlfn.XLOOKUP(G1666,Follow[CODRASTREIO],Follow[STATUS]),"-"))</f>
        <v>ENTREGUE</v>
      </c>
      <c r="AJ1666" s="9">
        <f ca="1">IF('Banco de Dados'!$AI1666="ENTREGUE",_xlfn.XLOOKUP('Banco de Dados'!$G1666,Follow[CODRASTREIO],Follow[DATAATUALIZAÇÃO]),"-")</f>
        <v>45814</v>
      </c>
      <c r="AK1666" s="132" t="str">
        <f ca="1"/>
        <v>-</v>
      </c>
      <c r="AL1666" s="35"/>
      <c r="AM1666" s="109" cm="1">
        <f t="array" aca="1" ref="AM1666" ca="1">IF('Banco de Dados'!$AK1666&lt;&gt;"-",_xlfn.IFS('Banco de Dados'!$A1666="bv",IF('Banco de Dados'!$E1666&lt;45641,ROUND(SUM('Banco de Dados'!$R1666*_xlfn.XLOOKUP('Banco de Dados'!$P1666,Sku!B:B,Sku!#REF!)*20%),2),ROUND(SUM('Banco de Dados'!$R1666*_xlfn.XLOOKUP('Banco de Dados'!$P1666,Sku!B:B,Sku!H:H)*20%),2)),'Banco de Dados'!$A1666="GO",ROUND(SUM('Banco de Dados'!$R1666*_xlfn.XLOOKUP('Banco de Dados'!$P1666,Sku!C:C,Sku!H:H)*20%),2),'Banco de Dados'!$A1666="MEI",ROUND(SUM('Banco de Dados'!$R1666*_xlfn.XLOOKUP('Banco de Dados'!$P1666,Sku!D:D,Sku!H:H)*20%),2)),0)</f>
        <v>0</v>
      </c>
      <c r="AN1666" s="109">
        <f ca="1">IF('Banco de Dados'!$AK1666&lt;&gt;"-",IF('Banco de Dados'!$F1666&lt;&gt;"-",_xlfn.XLOOKUP(IFERROR(IFERROR(IFERROR(VALUE(SUBSTITUTE(MID(_xlfn.TEXTAFTER('Banco de Dados'!$F1666,"Data do Pedido:
",1),1,10),"-","/")),VALUE(SUBSTITUTE(MID(_xlfn.TEXTAFTER('Banco de Dados'!$F1666,"Order date:
",1),1,10),"-","/"))),VALUE(SUBSTITUTE(MID(_xlfn.TEXTAFTER('Banco de Dados'!$F1666,"Fecha de pedido:
",1),1,10),"-","/"))),"-"),SMS!A:A,SMS!K:K),0),0)</f>
        <v>0</v>
      </c>
      <c r="AO1666" s="109">
        <f ca="1">IF('Banco de Dados'!$AK1666&lt;&gt;"-",IF('Banco de Dados'!$F1666&lt;&gt;"-",IFERROR(_xlfn.XLOOKUP(_xlfn.CONCAT('Banco de Dados'!$A1666,IFERROR(IFERROR(VALUE(SUBSTITUTE(MID(_xlfn.TEXTAFTER('Banco de Dados'!$F1666,"Data do Pedido:
",1),1,10),"-","/")),VALUE(SUBSTITUTE(MID(_xlfn.TEXTAFTER('Banco de Dados'!$F1666,"Order date:
",1),1,10),"-","/"))),0)),ProxyDD[Chave],ProxyDD[Valor por pedido]),PROXY!$P$2),0),0)</f>
        <v>0</v>
      </c>
      <c r="AP1666" s="28">
        <f ca="1">IF('Banco de Dados'!$AK1666&lt;&gt;"-",IF('Banco de Dados'!$AL1666="NÃO",IFERROR(VALUE(SUBSTITUTE(_xlfn.TEXTAFTER('Banco de Dados'!$F1666,"BRL ",1),".",",")),0),0),0)</f>
        <v>0</v>
      </c>
      <c r="AQ1666" s="28">
        <f ca="1">SUM('Banco de Dados'!$AM1666:$AP1666)</f>
        <v>0</v>
      </c>
      <c r="AR1666" s="8"/>
      <c r="AS1666" s="8"/>
      <c r="AT1666"/>
      <c r="AY1666" s="8"/>
    </row>
    <row r="1667" spans="1:51">
      <c r="A1667" s="5" t="str">
        <v>MEI</v>
      </c>
      <c r="B1667" s="5" t="str">
        <f ca="1"/>
        <v>MEI45782</v>
      </c>
      <c r="C1667" s="8" t="str">
        <v>Pedido 1654</v>
      </c>
      <c r="D1667" s="187">
        <v>45780</v>
      </c>
      <c r="E1667" s="9">
        <v>45782</v>
      </c>
      <c r="F1667" s="8" t="str">
        <v>PedidoF1577</v>
      </c>
      <c r="G1667" s="2" t="str">
        <v>CódRastreio1575</v>
      </c>
      <c r="H1667" s="5">
        <v>1</v>
      </c>
      <c r="I1667" s="182" t="str">
        <v>CPF 1613</v>
      </c>
      <c r="J1667" s="2" t="str">
        <v>Nome 1613</v>
      </c>
      <c r="K1667" s="8" t="str">
        <v>Tel 1613</v>
      </c>
      <c r="L1667" s="8" t="str">
        <v>Cep 1613</v>
      </c>
      <c r="M1667" s="8" t="str">
        <v>Rua 1613</v>
      </c>
      <c r="N1667" s="8" t="str">
        <v>Comp 1613</v>
      </c>
      <c r="O1667" s="8" t="str">
        <v>Ventilador Rosa</v>
      </c>
      <c r="P1667" s="8" t="str">
        <v>WR-82Y0-OV27</v>
      </c>
      <c r="Q1667" s="4">
        <v>45806</v>
      </c>
      <c r="R1667" s="109">
        <v>49.9</v>
      </c>
      <c r="S1667" s="11">
        <f ca="1"/>
        <v>49.9</v>
      </c>
      <c r="T1667" s="28">
        <f ca="1"/>
        <v>5.9879999999999995</v>
      </c>
      <c r="U1667" s="11">
        <f ca="1"/>
        <v>43.91</v>
      </c>
      <c r="V1667" s="11">
        <v>24.95</v>
      </c>
      <c r="W1667" s="11">
        <f ca="1"/>
        <v>0.23</v>
      </c>
      <c r="X1667" s="11">
        <f ca="1"/>
        <v>0.39877104377104378</v>
      </c>
      <c r="Y1667" s="11">
        <v>0</v>
      </c>
      <c r="Z1667" s="11">
        <f ca="1"/>
        <v>18.331228956228951</v>
      </c>
      <c r="AA1667" s="11">
        <f ca="1"/>
        <v>9.1656144781144757</v>
      </c>
      <c r="AB1667" s="4">
        <f ca="1"/>
        <v>45813</v>
      </c>
      <c r="AC1667" s="4">
        <v>45813</v>
      </c>
      <c r="AD1667" s="9">
        <v>45824</v>
      </c>
      <c r="AE1667" s="9">
        <v>45828</v>
      </c>
      <c r="AF1667" s="4" t="str">
        <f t="shared" ca="1" si="114"/>
        <v>2025 06</v>
      </c>
      <c r="AG1667" s="8" t="str" cm="1">
        <f t="array" ref="AG1667">IFERROR(_xlfn.IFS('Banco de Dados'!#REF!="AG. COMPRA","Em processamento",'Banco de Dados'!#REF!="AG. RASTREIO","Em processamento",'Banco de Dados'!$AE1667&lt;&gt;"-","Faturado",'Banco de Dados'!$AD1667&lt;&gt;"-","Aguardando Pix",'Banco de Dados'!$AC1667&lt;&gt;"-","Pendente"),"Aguardando Liberação")</f>
        <v>Aguardando Liberação</v>
      </c>
      <c r="AH1667" s="5" t="str">
        <f>IF('Banco de Dados'!$F1667="-",_xlfn.CONCAT(PROPER(TEXT(AK1667,"aaaa"))," ",PROPER(TEXT(AK1667,"mm"))),_xlfn.CONCAT(PROPER(TEXT(E1667,"aaaa"))," ",PROPER(TEXT(E1667,"mm"))))</f>
        <v>2025 05</v>
      </c>
      <c r="AI1667" s="9" t="str">
        <f ca="1">IF('Banco de Dados'!$AK1667&lt;&gt;"-","REEMBOLSO",IFERROR(_xlfn.XLOOKUP(G1667,Follow[CODRASTREIO],Follow[STATUS]),"-"))</f>
        <v>ENTREGUE</v>
      </c>
      <c r="AJ1667" s="9">
        <f ca="1">IF('Banco de Dados'!$AI1667="ENTREGUE",_xlfn.XLOOKUP('Banco de Dados'!$G1667,Follow[CODRASTREIO],Follow[DATAATUALIZAÇÃO]),"-")</f>
        <v>45798</v>
      </c>
      <c r="AK1667" s="132" t="str">
        <f ca="1"/>
        <v>-</v>
      </c>
      <c r="AL1667" s="35"/>
      <c r="AM1667" s="109" cm="1">
        <f t="array" aca="1" ref="AM1667" ca="1">IF('Banco de Dados'!$AK1667&lt;&gt;"-",_xlfn.IFS('Banco de Dados'!$A1667="bv",IF('Banco de Dados'!$E1667&lt;45641,ROUND(SUM('Banco de Dados'!$R1667*_xlfn.XLOOKUP('Banco de Dados'!$P1667,Sku!B:B,Sku!#REF!)*20%),2),ROUND(SUM('Banco de Dados'!$R1667*_xlfn.XLOOKUP('Banco de Dados'!$P1667,Sku!B:B,Sku!H:H)*20%),2)),'Banco de Dados'!$A1667="GO",ROUND(SUM('Banco de Dados'!$R1667*_xlfn.XLOOKUP('Banco de Dados'!$P1667,Sku!C:C,Sku!H:H)*20%),2),'Banco de Dados'!$A1667="MEI",ROUND(SUM('Banco de Dados'!$R1667*_xlfn.XLOOKUP('Banco de Dados'!$P1667,Sku!D:D,Sku!H:H)*20%),2)),0)</f>
        <v>0</v>
      </c>
      <c r="AN1667" s="109">
        <f ca="1">IF('Banco de Dados'!$AK1667&lt;&gt;"-",IF('Banco de Dados'!$F1667&lt;&gt;"-",_xlfn.XLOOKUP(IFERROR(IFERROR(IFERROR(VALUE(SUBSTITUTE(MID(_xlfn.TEXTAFTER('Banco de Dados'!$F1667,"Data do Pedido:
",1),1,10),"-","/")),VALUE(SUBSTITUTE(MID(_xlfn.TEXTAFTER('Banco de Dados'!$F1667,"Order date:
",1),1,10),"-","/"))),VALUE(SUBSTITUTE(MID(_xlfn.TEXTAFTER('Banco de Dados'!$F1667,"Fecha de pedido:
",1),1,10),"-","/"))),"-"),SMS!A:A,SMS!K:K),0),0)</f>
        <v>0</v>
      </c>
      <c r="AO1667" s="109">
        <f ca="1">IF('Banco de Dados'!$AK1667&lt;&gt;"-",IF('Banco de Dados'!$F1667&lt;&gt;"-",IFERROR(_xlfn.XLOOKUP(_xlfn.CONCAT('Banco de Dados'!$A1667,IFERROR(IFERROR(VALUE(SUBSTITUTE(MID(_xlfn.TEXTAFTER('Banco de Dados'!$F1667,"Data do Pedido:
",1),1,10),"-","/")),VALUE(SUBSTITUTE(MID(_xlfn.TEXTAFTER('Banco de Dados'!$F1667,"Order date:
",1),1,10),"-","/"))),0)),ProxyDD[Chave],ProxyDD[Valor por pedido]),PROXY!$P$2),0),0)</f>
        <v>0</v>
      </c>
      <c r="AP1667" s="28">
        <f ca="1">IF('Banco de Dados'!$AK1667&lt;&gt;"-",IF('Banco de Dados'!$AL1667="NÃO",IFERROR(VALUE(SUBSTITUTE(_xlfn.TEXTAFTER('Banco de Dados'!$F1667,"BRL ",1),".",",")),0),0),0)</f>
        <v>0</v>
      </c>
      <c r="AQ1667" s="28">
        <f ca="1">SUM('Banco de Dados'!$AM1667:$AP1667)</f>
        <v>0</v>
      </c>
      <c r="AR1667" s="8"/>
      <c r="AS1667" s="8"/>
      <c r="AT1667"/>
      <c r="AY1667" s="8"/>
    </row>
    <row r="1668" spans="1:51">
      <c r="A1668" s="5" t="str">
        <v>MEI</v>
      </c>
      <c r="B1668" s="5" t="str">
        <f ca="1"/>
        <v>MEI45782</v>
      </c>
      <c r="C1668" s="8" t="str">
        <v>Pedido 1655</v>
      </c>
      <c r="D1668" s="187">
        <v>45780</v>
      </c>
      <c r="E1668" s="9">
        <v>45782</v>
      </c>
      <c r="F1668" s="8" t="str">
        <v>PedidoF1578</v>
      </c>
      <c r="G1668" s="2" t="str">
        <v>CódRastreio1576</v>
      </c>
      <c r="H1668" s="5">
        <v>1</v>
      </c>
      <c r="I1668" s="182" t="str">
        <v>CPF 1614</v>
      </c>
      <c r="J1668" s="2" t="str">
        <v>Nome 1614</v>
      </c>
      <c r="K1668" s="8" t="str">
        <v>Tel 1614</v>
      </c>
      <c r="L1668" s="8" t="str">
        <v>Cep 1614</v>
      </c>
      <c r="M1668" s="8" t="str">
        <v>Rua 1614</v>
      </c>
      <c r="N1668" s="8" t="str">
        <v>Comp 1614</v>
      </c>
      <c r="O1668" s="8" t="str">
        <v>Copo Termico</v>
      </c>
      <c r="P1668" s="8" t="str">
        <v>VI-4RT5-1FFO</v>
      </c>
      <c r="Q1668" s="4">
        <v>45800</v>
      </c>
      <c r="R1668" s="109">
        <v>22.7</v>
      </c>
      <c r="S1668" s="11">
        <f ca="1"/>
        <v>22.7</v>
      </c>
      <c r="T1668" s="28">
        <f ca="1"/>
        <v>2.7239999999999998</v>
      </c>
      <c r="U1668" s="11">
        <f ca="1"/>
        <v>19.98</v>
      </c>
      <c r="V1668" s="11">
        <v>19.71</v>
      </c>
      <c r="W1668" s="11">
        <f ca="1"/>
        <v>0.23</v>
      </c>
      <c r="X1668" s="11">
        <f ca="1"/>
        <v>0.39877104377104378</v>
      </c>
      <c r="Y1668" s="11">
        <v>0</v>
      </c>
      <c r="Z1668" s="11">
        <f ca="1"/>
        <v>-0.35877104377104629</v>
      </c>
      <c r="AA1668" s="11">
        <f ca="1"/>
        <v>-0.17938552188552315</v>
      </c>
      <c r="AB1668" s="4">
        <f ca="1"/>
        <v>45807</v>
      </c>
      <c r="AC1668" s="4">
        <v>45807</v>
      </c>
      <c r="AD1668" s="9">
        <v>45807</v>
      </c>
      <c r="AE1668" s="9">
        <v>45810</v>
      </c>
      <c r="AF1668" s="4" t="str">
        <f t="shared" ca="1" si="114"/>
        <v>2025 05</v>
      </c>
      <c r="AG1668" s="8" t="str" cm="1">
        <f t="array" ref="AG1668">IFERROR(_xlfn.IFS('Banco de Dados'!#REF!="AG. COMPRA","Em processamento",'Banco de Dados'!#REF!="AG. RASTREIO","Em processamento",'Banco de Dados'!$AE1668&lt;&gt;"-","Faturado",'Banco de Dados'!$AD1668&lt;&gt;"-","Aguardando Pix",'Banco de Dados'!$AC1668&lt;&gt;"-","Pendente"),"Aguardando Liberação")</f>
        <v>Aguardando Liberação</v>
      </c>
      <c r="AH1668" s="5" t="str">
        <f>IF('Banco de Dados'!$F1668="-",_xlfn.CONCAT(PROPER(TEXT(AK1668,"aaaa"))," ",PROPER(TEXT(AK1668,"mm"))),_xlfn.CONCAT(PROPER(TEXT(E1668,"aaaa"))," ",PROPER(TEXT(E1668,"mm"))))</f>
        <v>2025 05</v>
      </c>
      <c r="AI1668" s="9" t="str">
        <f ca="1">IF('Banco de Dados'!$AK1668&lt;&gt;"-","REEMBOLSO",IFERROR(_xlfn.XLOOKUP(G1668,Follow[CODRASTREIO],Follow[STATUS]),"-"))</f>
        <v>ENTREGUE</v>
      </c>
      <c r="AJ1668" s="9">
        <f ca="1">IF('Banco de Dados'!$AI1668="ENTREGUE",_xlfn.XLOOKUP('Banco de Dados'!$G1668,Follow[CODRASTREIO],Follow[DATAATUALIZAÇÃO]),"-")</f>
        <v>45790</v>
      </c>
      <c r="AK1668" s="132" t="str">
        <f ca="1"/>
        <v>-</v>
      </c>
      <c r="AL1668" s="35"/>
      <c r="AM1668" s="109" cm="1">
        <f t="array" aca="1" ref="AM1668" ca="1">IF('Banco de Dados'!$AK1668&lt;&gt;"-",_xlfn.IFS('Banco de Dados'!$A1668="bv",IF('Banco de Dados'!$E1668&lt;45641,ROUND(SUM('Banco de Dados'!$R1668*_xlfn.XLOOKUP('Banco de Dados'!$P1668,Sku!B:B,Sku!#REF!)*20%),2),ROUND(SUM('Banco de Dados'!$R1668*_xlfn.XLOOKUP('Banco de Dados'!$P1668,Sku!B:B,Sku!H:H)*20%),2)),'Banco de Dados'!$A1668="GO",ROUND(SUM('Banco de Dados'!$R1668*_xlfn.XLOOKUP('Banco de Dados'!$P1668,Sku!C:C,Sku!H:H)*20%),2),'Banco de Dados'!$A1668="MEI",ROUND(SUM('Banco de Dados'!$R1668*_xlfn.XLOOKUP('Banco de Dados'!$P1668,Sku!D:D,Sku!H:H)*20%),2)),0)</f>
        <v>0</v>
      </c>
      <c r="AN1668" s="109">
        <f ca="1">IF('Banco de Dados'!$AK1668&lt;&gt;"-",IF('Banco de Dados'!$F1668&lt;&gt;"-",_xlfn.XLOOKUP(IFERROR(IFERROR(IFERROR(VALUE(SUBSTITUTE(MID(_xlfn.TEXTAFTER('Banco de Dados'!$F1668,"Data do Pedido:
",1),1,10),"-","/")),VALUE(SUBSTITUTE(MID(_xlfn.TEXTAFTER('Banco de Dados'!$F1668,"Order date:
",1),1,10),"-","/"))),VALUE(SUBSTITUTE(MID(_xlfn.TEXTAFTER('Banco de Dados'!$F1668,"Fecha de pedido:
",1),1,10),"-","/"))),"-"),SMS!A:A,SMS!K:K),0),0)</f>
        <v>0</v>
      </c>
      <c r="AO1668" s="109">
        <f ca="1">IF('Banco de Dados'!$AK1668&lt;&gt;"-",IF('Banco de Dados'!$F1668&lt;&gt;"-",IFERROR(_xlfn.XLOOKUP(_xlfn.CONCAT('Banco de Dados'!$A1668,IFERROR(IFERROR(VALUE(SUBSTITUTE(MID(_xlfn.TEXTAFTER('Banco de Dados'!$F1668,"Data do Pedido:
",1),1,10),"-","/")),VALUE(SUBSTITUTE(MID(_xlfn.TEXTAFTER('Banco de Dados'!$F1668,"Order date:
",1),1,10),"-","/"))),0)),ProxyDD[Chave],ProxyDD[Valor por pedido]),PROXY!$P$2),0),0)</f>
        <v>0</v>
      </c>
      <c r="AP1668" s="28">
        <f ca="1">IF('Banco de Dados'!$AK1668&lt;&gt;"-",IF('Banco de Dados'!$AL1668="NÃO",IFERROR(VALUE(SUBSTITUTE(_xlfn.TEXTAFTER('Banco de Dados'!$F1668,"BRL ",1),".",",")),0),0),0)</f>
        <v>0</v>
      </c>
      <c r="AQ1668" s="28">
        <f ca="1">SUM('Banco de Dados'!$AM1668:$AP1668)</f>
        <v>0</v>
      </c>
      <c r="AR1668" s="8"/>
      <c r="AS1668" s="8"/>
      <c r="AT1668"/>
      <c r="AY1668" s="8"/>
    </row>
    <row r="1669" spans="1:51">
      <c r="A1669" s="5" t="str">
        <v>MEI</v>
      </c>
      <c r="B1669" s="5" t="str">
        <f ca="1"/>
        <v>MEI45782</v>
      </c>
      <c r="C1669" s="8" t="str">
        <v>Pedido 1656</v>
      </c>
      <c r="D1669" s="187">
        <v>45780</v>
      </c>
      <c r="E1669" s="9">
        <v>45782</v>
      </c>
      <c r="F1669" s="8" t="str">
        <v>PedidoF1579</v>
      </c>
      <c r="G1669" s="2" t="str">
        <v>CódRastreio1577</v>
      </c>
      <c r="H1669" s="5">
        <v>1</v>
      </c>
      <c r="I1669" s="182" t="str">
        <v>CPF 1615</v>
      </c>
      <c r="J1669" s="2" t="str">
        <v>Nome 1615</v>
      </c>
      <c r="K1669" s="8" t="str">
        <v>Tel 1615</v>
      </c>
      <c r="L1669" s="8" t="str">
        <v>Cep 1615</v>
      </c>
      <c r="M1669" s="8" t="str">
        <v>Rua 1615</v>
      </c>
      <c r="N1669" s="8" t="str">
        <v>Comp 1615</v>
      </c>
      <c r="O1669" s="8" t="str">
        <v>Ventilador Umidificador Preto</v>
      </c>
      <c r="P1669" s="8" t="str">
        <v>71-KHMZ-MLQW</v>
      </c>
      <c r="Q1669" s="4">
        <v>45806</v>
      </c>
      <c r="R1669" s="109">
        <v>49.99</v>
      </c>
      <c r="S1669" s="11">
        <f ca="1"/>
        <v>49.99</v>
      </c>
      <c r="T1669" s="28">
        <f ca="1"/>
        <v>5.4988999999999999</v>
      </c>
      <c r="U1669" s="11">
        <f ca="1"/>
        <v>44.49</v>
      </c>
      <c r="V1669" s="11">
        <v>40.22</v>
      </c>
      <c r="W1669" s="11">
        <f ca="1"/>
        <v>0.23</v>
      </c>
      <c r="X1669" s="11">
        <f ca="1"/>
        <v>0.39877104377104378</v>
      </c>
      <c r="Y1669" s="11">
        <v>0</v>
      </c>
      <c r="Z1669" s="11">
        <f ca="1"/>
        <v>3.6412289562289644</v>
      </c>
      <c r="AA1669" s="11">
        <f ca="1"/>
        <v>1.8206144781144822</v>
      </c>
      <c r="AB1669" s="4">
        <f ca="1"/>
        <v>45813</v>
      </c>
      <c r="AC1669" s="4">
        <v>45813</v>
      </c>
      <c r="AD1669" s="9">
        <v>45824</v>
      </c>
      <c r="AE1669" s="9">
        <v>45828</v>
      </c>
      <c r="AF1669" s="4" t="str">
        <f t="shared" ca="1" si="114"/>
        <v>2025 06</v>
      </c>
      <c r="AG1669" s="8" t="str" cm="1">
        <f t="array" ref="AG1669">IFERROR(_xlfn.IFS('Banco de Dados'!#REF!="AG. COMPRA","Em processamento",'Banco de Dados'!#REF!="AG. RASTREIO","Em processamento",'Banco de Dados'!$AE1669&lt;&gt;"-","Faturado",'Banco de Dados'!$AD1669&lt;&gt;"-","Aguardando Pix",'Banco de Dados'!$AC1669&lt;&gt;"-","Pendente"),"Aguardando Liberação")</f>
        <v>Aguardando Liberação</v>
      </c>
      <c r="AH1669" s="5" t="str">
        <f>IF('Banco de Dados'!$F1669="-",_xlfn.CONCAT(PROPER(TEXT(AK1669,"aaaa"))," ",PROPER(TEXT(AK1669,"mm"))),_xlfn.CONCAT(PROPER(TEXT(E1669,"aaaa"))," ",PROPER(TEXT(E1669,"mm"))))</f>
        <v>2025 05</v>
      </c>
      <c r="AI1669" s="9" t="str">
        <f ca="1">IF('Banco de Dados'!$AK1669&lt;&gt;"-","REEMBOLSO",IFERROR(_xlfn.XLOOKUP(G1669,Follow[CODRASTREIO],Follow[STATUS]),"-"))</f>
        <v>ENTREGUE</v>
      </c>
      <c r="AJ1669" s="9">
        <f ca="1">IF('Banco de Dados'!$AI1669="ENTREGUE",_xlfn.XLOOKUP('Banco de Dados'!$G1669,Follow[CODRASTREIO],Follow[DATAATUALIZAÇÃO]),"-")</f>
        <v>45800</v>
      </c>
      <c r="AK1669" s="132" t="str">
        <f ca="1"/>
        <v>-</v>
      </c>
      <c r="AL1669" s="35"/>
      <c r="AM1669" s="109" cm="1">
        <f t="array" aca="1" ref="AM1669" ca="1">IF('Banco de Dados'!$AK1669&lt;&gt;"-",_xlfn.IFS('Banco de Dados'!$A1669="bv",IF('Banco de Dados'!$E1669&lt;45641,ROUND(SUM('Banco de Dados'!$R1669*_xlfn.XLOOKUP('Banco de Dados'!$P1669,Sku!B:B,Sku!#REF!)*20%),2),ROUND(SUM('Banco de Dados'!$R1669*_xlfn.XLOOKUP('Banco de Dados'!$P1669,Sku!B:B,Sku!H:H)*20%),2)),'Banco de Dados'!$A1669="GO",ROUND(SUM('Banco de Dados'!$R1669*_xlfn.XLOOKUP('Banco de Dados'!$P1669,Sku!C:C,Sku!H:H)*20%),2),'Banco de Dados'!$A1669="MEI",ROUND(SUM('Banco de Dados'!$R1669*_xlfn.XLOOKUP('Banco de Dados'!$P1669,Sku!D:D,Sku!H:H)*20%),2)),0)</f>
        <v>0</v>
      </c>
      <c r="AN1669" s="109">
        <f ca="1">IF('Banco de Dados'!$AK1669&lt;&gt;"-",IF('Banco de Dados'!$F1669&lt;&gt;"-",_xlfn.XLOOKUP(IFERROR(IFERROR(IFERROR(VALUE(SUBSTITUTE(MID(_xlfn.TEXTAFTER('Banco de Dados'!$F1669,"Data do Pedido:
",1),1,10),"-","/")),VALUE(SUBSTITUTE(MID(_xlfn.TEXTAFTER('Banco de Dados'!$F1669,"Order date:
",1),1,10),"-","/"))),VALUE(SUBSTITUTE(MID(_xlfn.TEXTAFTER('Banco de Dados'!$F1669,"Fecha de pedido:
",1),1,10),"-","/"))),"-"),SMS!A:A,SMS!K:K),0),0)</f>
        <v>0</v>
      </c>
      <c r="AO1669" s="109">
        <f ca="1">IF('Banco de Dados'!$AK1669&lt;&gt;"-",IF('Banco de Dados'!$F1669&lt;&gt;"-",IFERROR(_xlfn.XLOOKUP(_xlfn.CONCAT('Banco de Dados'!$A1669,IFERROR(IFERROR(VALUE(SUBSTITUTE(MID(_xlfn.TEXTAFTER('Banco de Dados'!$F1669,"Data do Pedido:
",1),1,10),"-","/")),VALUE(SUBSTITUTE(MID(_xlfn.TEXTAFTER('Banco de Dados'!$F1669,"Order date:
",1),1,10),"-","/"))),0)),ProxyDD[Chave],ProxyDD[Valor por pedido]),PROXY!$P$2),0),0)</f>
        <v>0</v>
      </c>
      <c r="AP1669" s="28">
        <f ca="1">IF('Banco de Dados'!$AK1669&lt;&gt;"-",IF('Banco de Dados'!$AL1669="NÃO",IFERROR(VALUE(SUBSTITUTE(_xlfn.TEXTAFTER('Banco de Dados'!$F1669,"BRL ",1),".",",")),0),0),0)</f>
        <v>0</v>
      </c>
      <c r="AQ1669" s="28">
        <f ca="1">SUM('Banco de Dados'!$AM1669:$AP1669)</f>
        <v>0</v>
      </c>
      <c r="AR1669" s="8"/>
      <c r="AS1669" s="8"/>
      <c r="AT1669"/>
      <c r="AY1669" s="8"/>
    </row>
    <row r="1670" spans="1:51">
      <c r="A1670" s="5" t="str">
        <v>MEI</v>
      </c>
      <c r="B1670" s="5" t="str">
        <f ca="1"/>
        <v>MEI45782</v>
      </c>
      <c r="C1670" s="8" t="str">
        <v>Pedido 1657</v>
      </c>
      <c r="D1670" s="187">
        <v>45780</v>
      </c>
      <c r="E1670" s="9">
        <v>45782</v>
      </c>
      <c r="F1670" s="8" t="str">
        <v>PedidoF1580</v>
      </c>
      <c r="G1670" s="2" t="str">
        <v>CódRastreio1578</v>
      </c>
      <c r="H1670" s="5">
        <v>1</v>
      </c>
      <c r="I1670" s="182" t="str">
        <v>CPF 1616</v>
      </c>
      <c r="J1670" s="2" t="str">
        <v>Nome 1616</v>
      </c>
      <c r="K1670" s="8" t="str">
        <v>Tel 1616</v>
      </c>
      <c r="L1670" s="8" t="str">
        <v>Cep 1616</v>
      </c>
      <c r="M1670" s="8" t="str">
        <v>Rua 1616</v>
      </c>
      <c r="N1670" s="8" t="str">
        <v>Comp 1616</v>
      </c>
      <c r="O1670" s="8" t="str">
        <v>Ventilador Rosa</v>
      </c>
      <c r="P1670" s="8" t="str">
        <v>WR-82Y0-OV27</v>
      </c>
      <c r="Q1670" s="4">
        <v>45806</v>
      </c>
      <c r="R1670" s="109">
        <v>49.9</v>
      </c>
      <c r="S1670" s="11">
        <f ca="1"/>
        <v>49.9</v>
      </c>
      <c r="T1670" s="28">
        <f ca="1"/>
        <v>5.9879999999999995</v>
      </c>
      <c r="U1670" s="11">
        <f ca="1"/>
        <v>43.91</v>
      </c>
      <c r="V1670" s="11">
        <v>14.41</v>
      </c>
      <c r="W1670" s="11">
        <f ca="1"/>
        <v>0.23</v>
      </c>
      <c r="X1670" s="11">
        <f ca="1"/>
        <v>0.39877104377104378</v>
      </c>
      <c r="Y1670" s="11">
        <v>0</v>
      </c>
      <c r="Z1670" s="11">
        <f ca="1"/>
        <v>28.871228956228954</v>
      </c>
      <c r="AA1670" s="11">
        <f ca="1"/>
        <v>14.435614478114477</v>
      </c>
      <c r="AB1670" s="4">
        <f ca="1"/>
        <v>45813</v>
      </c>
      <c r="AC1670" s="4">
        <v>45813</v>
      </c>
      <c r="AD1670" s="9">
        <v>45824</v>
      </c>
      <c r="AE1670" s="9">
        <v>45828</v>
      </c>
      <c r="AF1670" s="4" t="str">
        <f t="shared" ca="1" si="114"/>
        <v>2025 06</v>
      </c>
      <c r="AG1670" s="8" t="str" cm="1">
        <f t="array" ref="AG1670">IFERROR(_xlfn.IFS('Banco de Dados'!#REF!="AG. COMPRA","Em processamento",'Banco de Dados'!#REF!="AG. RASTREIO","Em processamento",'Banco de Dados'!$AE1670&lt;&gt;"-","Faturado",'Banco de Dados'!$AD1670&lt;&gt;"-","Aguardando Pix",'Banco de Dados'!$AC1670&lt;&gt;"-","Pendente"),"Aguardando Liberação")</f>
        <v>Aguardando Liberação</v>
      </c>
      <c r="AH1670" s="5" t="str">
        <f>IF('Banco de Dados'!$F1670="-",_xlfn.CONCAT(PROPER(TEXT(AK1670,"aaaa"))," ",PROPER(TEXT(AK1670,"mm"))),_xlfn.CONCAT(PROPER(TEXT(E1670,"aaaa"))," ",PROPER(TEXT(E1670,"mm"))))</f>
        <v>2025 05</v>
      </c>
      <c r="AI1670" s="9" t="str">
        <f ca="1">IF('Banco de Dados'!$AK1670&lt;&gt;"-","REEMBOLSO",IFERROR(_xlfn.XLOOKUP(G1670,Follow[CODRASTREIO],Follow[STATUS]),"-"))</f>
        <v>ENTREGUE</v>
      </c>
      <c r="AJ1670" s="9">
        <f ca="1">IF('Banco de Dados'!$AI1670="ENTREGUE",_xlfn.XLOOKUP('Banco de Dados'!$G1670,Follow[CODRASTREIO],Follow[DATAATUALIZAÇÃO]),"-")</f>
        <v>45806</v>
      </c>
      <c r="AK1670" s="132" t="str">
        <f ca="1"/>
        <v>-</v>
      </c>
      <c r="AL1670" s="35"/>
      <c r="AM1670" s="109" cm="1">
        <f t="array" aca="1" ref="AM1670" ca="1">IF('Banco de Dados'!$AK1670&lt;&gt;"-",_xlfn.IFS('Banco de Dados'!$A1670="bv",IF('Banco de Dados'!$E1670&lt;45641,ROUND(SUM('Banco de Dados'!$R1670*_xlfn.XLOOKUP('Banco de Dados'!$P1670,Sku!B:B,Sku!#REF!)*20%),2),ROUND(SUM('Banco de Dados'!$R1670*_xlfn.XLOOKUP('Banco de Dados'!$P1670,Sku!B:B,Sku!H:H)*20%),2)),'Banco de Dados'!$A1670="GO",ROUND(SUM('Banco de Dados'!$R1670*_xlfn.XLOOKUP('Banco de Dados'!$P1670,Sku!C:C,Sku!H:H)*20%),2),'Banco de Dados'!$A1670="MEI",ROUND(SUM('Banco de Dados'!$R1670*_xlfn.XLOOKUP('Banco de Dados'!$P1670,Sku!D:D,Sku!H:H)*20%),2)),0)</f>
        <v>0</v>
      </c>
      <c r="AN1670" s="109">
        <f ca="1">IF('Banco de Dados'!$AK1670&lt;&gt;"-",IF('Banco de Dados'!$F1670&lt;&gt;"-",_xlfn.XLOOKUP(IFERROR(IFERROR(IFERROR(VALUE(SUBSTITUTE(MID(_xlfn.TEXTAFTER('Banco de Dados'!$F1670,"Data do Pedido:
",1),1,10),"-","/")),VALUE(SUBSTITUTE(MID(_xlfn.TEXTAFTER('Banco de Dados'!$F1670,"Order date:
",1),1,10),"-","/"))),VALUE(SUBSTITUTE(MID(_xlfn.TEXTAFTER('Banco de Dados'!$F1670,"Fecha de pedido:
",1),1,10),"-","/"))),"-"),SMS!A:A,SMS!K:K),0),0)</f>
        <v>0</v>
      </c>
      <c r="AO1670" s="109">
        <f ca="1">IF('Banco de Dados'!$AK1670&lt;&gt;"-",IF('Banco de Dados'!$F1670&lt;&gt;"-",IFERROR(_xlfn.XLOOKUP(_xlfn.CONCAT('Banco de Dados'!$A1670,IFERROR(IFERROR(VALUE(SUBSTITUTE(MID(_xlfn.TEXTAFTER('Banco de Dados'!$F1670,"Data do Pedido:
",1),1,10),"-","/")),VALUE(SUBSTITUTE(MID(_xlfn.TEXTAFTER('Banco de Dados'!$F1670,"Order date:
",1),1,10),"-","/"))),0)),ProxyDD[Chave],ProxyDD[Valor por pedido]),PROXY!$P$2),0),0)</f>
        <v>0</v>
      </c>
      <c r="AP1670" s="28">
        <f ca="1">IF('Banco de Dados'!$AK1670&lt;&gt;"-",IF('Banco de Dados'!$AL1670="NÃO",IFERROR(VALUE(SUBSTITUTE(_xlfn.TEXTAFTER('Banco de Dados'!$F1670,"BRL ",1),".",",")),0),0),0)</f>
        <v>0</v>
      </c>
      <c r="AQ1670" s="28">
        <f ca="1">SUM('Banco de Dados'!$AM1670:$AP1670)</f>
        <v>0</v>
      </c>
      <c r="AR1670" s="8"/>
      <c r="AS1670" s="8"/>
      <c r="AT1670"/>
      <c r="AY1670" s="8"/>
    </row>
    <row r="1671" spans="1:51">
      <c r="A1671" s="5" t="str">
        <v>MEI</v>
      </c>
      <c r="B1671" s="5" t="str">
        <f ca="1"/>
        <v>MEI45782</v>
      </c>
      <c r="C1671" s="8" t="str">
        <v>Pedido 1658</v>
      </c>
      <c r="D1671" s="187">
        <v>45780</v>
      </c>
      <c r="E1671" s="9">
        <v>45782</v>
      </c>
      <c r="F1671" s="8" t="str">
        <v>PedidoF1581</v>
      </c>
      <c r="G1671" s="2" t="str">
        <v>CódRastreio1579</v>
      </c>
      <c r="H1671" s="5">
        <v>1</v>
      </c>
      <c r="I1671" s="182" t="str">
        <v>CPF 1617</v>
      </c>
      <c r="J1671" s="2" t="str">
        <v>Nome 1617</v>
      </c>
      <c r="K1671" s="8" t="str">
        <v>Tel 1617</v>
      </c>
      <c r="L1671" s="8" t="str">
        <v>Cep 1617</v>
      </c>
      <c r="M1671" s="8" t="str">
        <v>Rua 1617</v>
      </c>
      <c r="N1671" s="8" t="str">
        <v>Comp 1617</v>
      </c>
      <c r="O1671" s="8" t="str">
        <v>Ventilador Preto</v>
      </c>
      <c r="P1671" s="8" t="str">
        <v>WU-SS4J-LFOH</v>
      </c>
      <c r="Q1671" s="4">
        <v>45806</v>
      </c>
      <c r="R1671" s="109">
        <v>65.7</v>
      </c>
      <c r="S1671" s="11">
        <f ca="1"/>
        <v>65.7</v>
      </c>
      <c r="T1671" s="28">
        <f ca="1"/>
        <v>7.8840000000000003</v>
      </c>
      <c r="U1671" s="11">
        <f ca="1"/>
        <v>57.82</v>
      </c>
      <c r="V1671" s="11">
        <v>21.94</v>
      </c>
      <c r="W1671" s="11">
        <f ca="1"/>
        <v>0.23</v>
      </c>
      <c r="X1671" s="11">
        <f ca="1"/>
        <v>0.39877104377104378</v>
      </c>
      <c r="Y1671" s="11">
        <v>0</v>
      </c>
      <c r="Z1671" s="11">
        <f ca="1"/>
        <v>35.251228956228957</v>
      </c>
      <c r="AA1671" s="11">
        <f ca="1"/>
        <v>17.625614478114478</v>
      </c>
      <c r="AB1671" s="4">
        <f ca="1"/>
        <v>45813</v>
      </c>
      <c r="AC1671" s="4">
        <v>45813</v>
      </c>
      <c r="AD1671" s="9">
        <v>45824</v>
      </c>
      <c r="AE1671" s="9">
        <v>45828</v>
      </c>
      <c r="AF1671" s="4" t="str">
        <f t="shared" ca="1" si="114"/>
        <v>2025 06</v>
      </c>
      <c r="AG1671" s="8" t="str" cm="1">
        <f t="array" ref="AG1671">IFERROR(_xlfn.IFS('Banco de Dados'!#REF!="AG. COMPRA","Em processamento",'Banco de Dados'!#REF!="AG. RASTREIO","Em processamento",'Banco de Dados'!$AE1671&lt;&gt;"-","Faturado",'Banco de Dados'!$AD1671&lt;&gt;"-","Aguardando Pix",'Banco de Dados'!$AC1671&lt;&gt;"-","Pendente"),"Aguardando Liberação")</f>
        <v>Aguardando Liberação</v>
      </c>
      <c r="AH1671" s="5" t="str">
        <f>IF('Banco de Dados'!$F1671="-",_xlfn.CONCAT(PROPER(TEXT(AK1671,"aaaa"))," ",PROPER(TEXT(AK1671,"mm"))),_xlfn.CONCAT(PROPER(TEXT(E1671,"aaaa"))," ",PROPER(TEXT(E1671,"mm"))))</f>
        <v>2025 05</v>
      </c>
      <c r="AI1671" s="9" t="str">
        <f ca="1">IF('Banco de Dados'!$AK1671&lt;&gt;"-","REEMBOLSO",IFERROR(_xlfn.XLOOKUP(G1671,Follow[CODRASTREIO],Follow[STATUS]),"-"))</f>
        <v>ENTREGUE</v>
      </c>
      <c r="AJ1671" s="9">
        <f ca="1">IF('Banco de Dados'!$AI1671="ENTREGUE",_xlfn.XLOOKUP('Banco de Dados'!$G1671,Follow[CODRASTREIO],Follow[DATAATUALIZAÇÃO]),"-")</f>
        <v>45803</v>
      </c>
      <c r="AK1671" s="132" t="str">
        <f ca="1"/>
        <v>-</v>
      </c>
      <c r="AL1671" s="35"/>
      <c r="AM1671" s="109" cm="1">
        <f t="array" aca="1" ref="AM1671" ca="1">IF('Banco de Dados'!$AK1671&lt;&gt;"-",_xlfn.IFS('Banco de Dados'!$A1671="bv",IF('Banco de Dados'!$E1671&lt;45641,ROUND(SUM('Banco de Dados'!$R1671*_xlfn.XLOOKUP('Banco de Dados'!$P1671,Sku!B:B,Sku!#REF!)*20%),2),ROUND(SUM('Banco de Dados'!$R1671*_xlfn.XLOOKUP('Banco de Dados'!$P1671,Sku!B:B,Sku!H:H)*20%),2)),'Banco de Dados'!$A1671="GO",ROUND(SUM('Banco de Dados'!$R1671*_xlfn.XLOOKUP('Banco de Dados'!$P1671,Sku!C:C,Sku!H:H)*20%),2),'Banco de Dados'!$A1671="MEI",ROUND(SUM('Banco de Dados'!$R1671*_xlfn.XLOOKUP('Banco de Dados'!$P1671,Sku!D:D,Sku!H:H)*20%),2)),0)</f>
        <v>0</v>
      </c>
      <c r="AN1671" s="109">
        <f ca="1">IF('Banco de Dados'!$AK1671&lt;&gt;"-",IF('Banco de Dados'!$F1671&lt;&gt;"-",_xlfn.XLOOKUP(IFERROR(IFERROR(IFERROR(VALUE(SUBSTITUTE(MID(_xlfn.TEXTAFTER('Banco de Dados'!$F1671,"Data do Pedido:
",1),1,10),"-","/")),VALUE(SUBSTITUTE(MID(_xlfn.TEXTAFTER('Banco de Dados'!$F1671,"Order date:
",1),1,10),"-","/"))),VALUE(SUBSTITUTE(MID(_xlfn.TEXTAFTER('Banco de Dados'!$F1671,"Fecha de pedido:
",1),1,10),"-","/"))),"-"),SMS!A:A,SMS!K:K),0),0)</f>
        <v>0</v>
      </c>
      <c r="AO1671" s="109">
        <f ca="1">IF('Banco de Dados'!$AK1671&lt;&gt;"-",IF('Banco de Dados'!$F1671&lt;&gt;"-",IFERROR(_xlfn.XLOOKUP(_xlfn.CONCAT('Banco de Dados'!$A1671,IFERROR(IFERROR(VALUE(SUBSTITUTE(MID(_xlfn.TEXTAFTER('Banco de Dados'!$F1671,"Data do Pedido:
",1),1,10),"-","/")),VALUE(SUBSTITUTE(MID(_xlfn.TEXTAFTER('Banco de Dados'!$F1671,"Order date:
",1),1,10),"-","/"))),0)),ProxyDD[Chave],ProxyDD[Valor por pedido]),PROXY!$P$2),0),0)</f>
        <v>0</v>
      </c>
      <c r="AP1671" s="28">
        <f ca="1">IF('Banco de Dados'!$AK1671&lt;&gt;"-",IF('Banco de Dados'!$AL1671="NÃO",IFERROR(VALUE(SUBSTITUTE(_xlfn.TEXTAFTER('Banco de Dados'!$F1671,"BRL ",1),".",",")),0),0),0)</f>
        <v>0</v>
      </c>
      <c r="AQ1671" s="28">
        <f ca="1">SUM('Banco de Dados'!$AM1671:$AP1671)</f>
        <v>0</v>
      </c>
      <c r="AR1671" s="8"/>
      <c r="AS1671" s="8"/>
      <c r="AT1671"/>
      <c r="AY1671" s="8"/>
    </row>
    <row r="1672" spans="1:51">
      <c r="A1672" s="5" t="str">
        <v>MEI</v>
      </c>
      <c r="B1672" s="5" t="str">
        <f ca="1"/>
        <v>MEI45783</v>
      </c>
      <c r="C1672" s="8" t="str">
        <v>Pedido 1659</v>
      </c>
      <c r="D1672" s="187">
        <v>45780</v>
      </c>
      <c r="E1672" s="9">
        <v>45783</v>
      </c>
      <c r="F1672" s="8" t="str">
        <v>PedidoF1582</v>
      </c>
      <c r="G1672" s="2" t="str">
        <v>CódRastreio1580</v>
      </c>
      <c r="H1672" s="5">
        <v>1</v>
      </c>
      <c r="I1672" s="182" t="str">
        <v>CPF 1618</v>
      </c>
      <c r="J1672" s="2" t="str">
        <v>Nome 1618</v>
      </c>
      <c r="K1672" s="8" t="str">
        <v>Tel 1618</v>
      </c>
      <c r="L1672" s="8" t="str">
        <v>Cep 1618</v>
      </c>
      <c r="M1672" s="8" t="str">
        <v>Rua 1618</v>
      </c>
      <c r="N1672" s="8" t="str">
        <v>Comp 1618</v>
      </c>
      <c r="O1672" s="8" t="str">
        <v>Maçarico Culinário Portátil</v>
      </c>
      <c r="P1672" s="8" t="str">
        <v>BG-DHRO-FAEE</v>
      </c>
      <c r="Q1672" s="4">
        <v>45806</v>
      </c>
      <c r="R1672" s="109">
        <v>31.99</v>
      </c>
      <c r="S1672" s="11">
        <f ca="1"/>
        <v>31.99</v>
      </c>
      <c r="T1672" s="28">
        <f ca="1"/>
        <v>3.5188999999999999</v>
      </c>
      <c r="U1672" s="11">
        <f ca="1"/>
        <v>28.47</v>
      </c>
      <c r="V1672" s="11">
        <v>14.52</v>
      </c>
      <c r="W1672" s="11">
        <f ca="1"/>
        <v>0.12</v>
      </c>
      <c r="X1672" s="11">
        <f ca="1"/>
        <v>0.39877104377104378</v>
      </c>
      <c r="Y1672" s="11">
        <v>0</v>
      </c>
      <c r="Z1672" s="11">
        <f ca="1"/>
        <v>13.431228956228956</v>
      </c>
      <c r="AA1672" s="11">
        <f ca="1"/>
        <v>6.7156144781144782</v>
      </c>
      <c r="AB1672" s="4">
        <f ca="1"/>
        <v>45813</v>
      </c>
      <c r="AC1672" s="4">
        <v>45813</v>
      </c>
      <c r="AD1672" s="9">
        <v>45824</v>
      </c>
      <c r="AE1672" s="9">
        <v>45828</v>
      </c>
      <c r="AF1672" s="4" t="str">
        <f t="shared" ca="1" si="114"/>
        <v>2025 06</v>
      </c>
      <c r="AG1672" s="8" t="str" cm="1">
        <f t="array" ref="AG1672">IFERROR(_xlfn.IFS('Banco de Dados'!#REF!="AG. COMPRA","Em processamento",'Banco de Dados'!#REF!="AG. RASTREIO","Em processamento",'Banco de Dados'!$AE1672&lt;&gt;"-","Faturado",'Banco de Dados'!$AD1672&lt;&gt;"-","Aguardando Pix",'Banco de Dados'!$AC1672&lt;&gt;"-","Pendente"),"Aguardando Liberação")</f>
        <v>Aguardando Liberação</v>
      </c>
      <c r="AH1672" s="5" t="str">
        <f>IF('Banco de Dados'!$F1672="-",_xlfn.CONCAT(PROPER(TEXT(AK1672,"aaaa"))," ",PROPER(TEXT(AK1672,"mm"))),_xlfn.CONCAT(PROPER(TEXT(E1672,"aaaa"))," ",PROPER(TEXT(E1672,"mm"))))</f>
        <v>2025 05</v>
      </c>
      <c r="AI1672" s="9" t="str">
        <f ca="1">IF('Banco de Dados'!$AK1672&lt;&gt;"-","REEMBOLSO",IFERROR(_xlfn.XLOOKUP(G1672,Follow[CODRASTREIO],Follow[STATUS]),"-"))</f>
        <v>ENTREGUE</v>
      </c>
      <c r="AJ1672" s="9">
        <f ca="1">IF('Banco de Dados'!$AI1672="ENTREGUE",_xlfn.XLOOKUP('Banco de Dados'!$G1672,Follow[CODRASTREIO],Follow[DATAATUALIZAÇÃO]),"-")</f>
        <v>45787</v>
      </c>
      <c r="AK1672" s="132" t="str">
        <f ca="1"/>
        <v>-</v>
      </c>
      <c r="AL1672" s="35"/>
      <c r="AM1672" s="109" cm="1">
        <f t="array" aca="1" ref="AM1672" ca="1">IF('Banco de Dados'!$AK1672&lt;&gt;"-",_xlfn.IFS('Banco de Dados'!$A1672="bv",IF('Banco de Dados'!$E1672&lt;45641,ROUND(SUM('Banco de Dados'!$R1672*_xlfn.XLOOKUP('Banco de Dados'!$P1672,Sku!B:B,Sku!#REF!)*20%),2),ROUND(SUM('Banco de Dados'!$R1672*_xlfn.XLOOKUP('Banco de Dados'!$P1672,Sku!B:B,Sku!H:H)*20%),2)),'Banco de Dados'!$A1672="GO",ROUND(SUM('Banco de Dados'!$R1672*_xlfn.XLOOKUP('Banco de Dados'!$P1672,Sku!C:C,Sku!H:H)*20%),2),'Banco de Dados'!$A1672="MEI",ROUND(SUM('Banco de Dados'!$R1672*_xlfn.XLOOKUP('Banco de Dados'!$P1672,Sku!D:D,Sku!H:H)*20%),2)),0)</f>
        <v>0</v>
      </c>
      <c r="AN1672" s="109">
        <f ca="1">IF('Banco de Dados'!$AK1672&lt;&gt;"-",IF('Banco de Dados'!$F1672&lt;&gt;"-",_xlfn.XLOOKUP(IFERROR(IFERROR(IFERROR(VALUE(SUBSTITUTE(MID(_xlfn.TEXTAFTER('Banco de Dados'!$F1672,"Data do Pedido:
",1),1,10),"-","/")),VALUE(SUBSTITUTE(MID(_xlfn.TEXTAFTER('Banco de Dados'!$F1672,"Order date:
",1),1,10),"-","/"))),VALUE(SUBSTITUTE(MID(_xlfn.TEXTAFTER('Banco de Dados'!$F1672,"Fecha de pedido:
",1),1,10),"-","/"))),"-"),SMS!A:A,SMS!K:K),0),0)</f>
        <v>0</v>
      </c>
      <c r="AO1672" s="109">
        <f ca="1">IF('Banco de Dados'!$AK1672&lt;&gt;"-",IF('Banco de Dados'!$F1672&lt;&gt;"-",IFERROR(_xlfn.XLOOKUP(_xlfn.CONCAT('Banco de Dados'!$A1672,IFERROR(IFERROR(VALUE(SUBSTITUTE(MID(_xlfn.TEXTAFTER('Banco de Dados'!$F1672,"Data do Pedido:
",1),1,10),"-","/")),VALUE(SUBSTITUTE(MID(_xlfn.TEXTAFTER('Banco de Dados'!$F1672,"Order date:
",1),1,10),"-","/"))),0)),ProxyDD[Chave],ProxyDD[Valor por pedido]),PROXY!$P$2),0),0)</f>
        <v>0</v>
      </c>
      <c r="AP1672" s="28">
        <f ca="1">IF('Banco de Dados'!$AK1672&lt;&gt;"-",IF('Banco de Dados'!$AL1672="NÃO",IFERROR(VALUE(SUBSTITUTE(_xlfn.TEXTAFTER('Banco de Dados'!$F1672,"BRL ",1),".",",")),0),0),0)</f>
        <v>0</v>
      </c>
      <c r="AQ1672" s="28">
        <f ca="1">SUM('Banco de Dados'!$AM1672:$AP1672)</f>
        <v>0</v>
      </c>
      <c r="AR1672" s="8"/>
      <c r="AS1672" s="8"/>
      <c r="AT1672"/>
      <c r="AY1672" s="8"/>
    </row>
    <row r="1673" spans="1:51">
      <c r="A1673" s="5" t="str">
        <v>MEI</v>
      </c>
      <c r="B1673" s="5" t="str">
        <f ca="1"/>
        <v>MEI45783</v>
      </c>
      <c r="C1673" s="8" t="str">
        <v>Pedido 1660</v>
      </c>
      <c r="D1673" s="187">
        <v>45781</v>
      </c>
      <c r="E1673" s="9">
        <v>45783</v>
      </c>
      <c r="F1673" s="8" t="str">
        <v>PedidoF1583</v>
      </c>
      <c r="G1673" s="2" t="str">
        <v>CódRastreio1581</v>
      </c>
      <c r="H1673" s="5">
        <v>1</v>
      </c>
      <c r="I1673" s="182" t="str">
        <v>CPF 1619</v>
      </c>
      <c r="J1673" s="2" t="str">
        <v>Nome 1619</v>
      </c>
      <c r="K1673" s="8" t="str">
        <v>Tel 1619</v>
      </c>
      <c r="L1673" s="8" t="str">
        <v>Cep 1619</v>
      </c>
      <c r="M1673" s="8" t="str">
        <v>Rua 1619</v>
      </c>
      <c r="N1673" s="8" t="str">
        <v>Comp 1619</v>
      </c>
      <c r="O1673" s="8" t="str">
        <v>Ventilador Rosa</v>
      </c>
      <c r="P1673" s="8" t="str">
        <v>WR-82Y0-OV27</v>
      </c>
      <c r="Q1673" s="4">
        <v>45806</v>
      </c>
      <c r="R1673" s="109">
        <v>49.9</v>
      </c>
      <c r="S1673" s="11">
        <f ca="1"/>
        <v>49.9</v>
      </c>
      <c r="T1673" s="28">
        <f ca="1"/>
        <v>5.9879999999999995</v>
      </c>
      <c r="U1673" s="11">
        <f ca="1"/>
        <v>43.91</v>
      </c>
      <c r="V1673" s="11">
        <v>21.44</v>
      </c>
      <c r="W1673" s="11">
        <f ca="1"/>
        <v>0.12</v>
      </c>
      <c r="X1673" s="11">
        <f ca="1"/>
        <v>0.39877104377104378</v>
      </c>
      <c r="Y1673" s="11">
        <v>0</v>
      </c>
      <c r="Z1673" s="11">
        <f ca="1"/>
        <v>21.951228956228949</v>
      </c>
      <c r="AA1673" s="11">
        <f ca="1"/>
        <v>10.975614478114474</v>
      </c>
      <c r="AB1673" s="4">
        <f ca="1"/>
        <v>45813</v>
      </c>
      <c r="AC1673" s="4">
        <v>45813</v>
      </c>
      <c r="AD1673" s="9">
        <v>45824</v>
      </c>
      <c r="AE1673" s="9">
        <v>45828</v>
      </c>
      <c r="AF1673" s="4" t="str">
        <f t="shared" ca="1" si="114"/>
        <v>2025 06</v>
      </c>
      <c r="AG1673" s="8" t="str" cm="1">
        <f t="array" ref="AG1673">IFERROR(_xlfn.IFS('Banco de Dados'!#REF!="AG. COMPRA","Em processamento",'Banco de Dados'!#REF!="AG. RASTREIO","Em processamento",'Banco de Dados'!$AE1673&lt;&gt;"-","Faturado",'Banco de Dados'!$AD1673&lt;&gt;"-","Aguardando Pix",'Banco de Dados'!$AC1673&lt;&gt;"-","Pendente"),"Aguardando Liberação")</f>
        <v>Aguardando Liberação</v>
      </c>
      <c r="AH1673" s="5" t="str">
        <f>IF('Banco de Dados'!$F1673="-",_xlfn.CONCAT(PROPER(TEXT(AK1673,"aaaa"))," ",PROPER(TEXT(AK1673,"mm"))),_xlfn.CONCAT(PROPER(TEXT(E1673,"aaaa"))," ",PROPER(TEXT(E1673,"mm"))))</f>
        <v>2025 05</v>
      </c>
      <c r="AI1673" s="9" t="str">
        <f ca="1">IF('Banco de Dados'!$AK1673&lt;&gt;"-","REEMBOLSO",IFERROR(_xlfn.XLOOKUP(G1673,Follow[CODRASTREIO],Follow[STATUS]),"-"))</f>
        <v>ENTREGUE</v>
      </c>
      <c r="AJ1673" s="9">
        <f ca="1">IF('Banco de Dados'!$AI1673="ENTREGUE",_xlfn.XLOOKUP('Banco de Dados'!$G1673,Follow[CODRASTREIO],Follow[DATAATUALIZAÇÃO]),"-")</f>
        <v>45798</v>
      </c>
      <c r="AK1673" s="132" t="str">
        <f ca="1"/>
        <v>-</v>
      </c>
      <c r="AL1673" s="35"/>
      <c r="AM1673" s="109" cm="1">
        <f t="array" aca="1" ref="AM1673" ca="1">IF('Banco de Dados'!$AK1673&lt;&gt;"-",_xlfn.IFS('Banco de Dados'!$A1673="bv",IF('Banco de Dados'!$E1673&lt;45641,ROUND(SUM('Banco de Dados'!$R1673*_xlfn.XLOOKUP('Banco de Dados'!$P1673,Sku!B:B,Sku!#REF!)*20%),2),ROUND(SUM('Banco de Dados'!$R1673*_xlfn.XLOOKUP('Banco de Dados'!$P1673,Sku!B:B,Sku!H:H)*20%),2)),'Banco de Dados'!$A1673="GO",ROUND(SUM('Banco de Dados'!$R1673*_xlfn.XLOOKUP('Banco de Dados'!$P1673,Sku!C:C,Sku!H:H)*20%),2),'Banco de Dados'!$A1673="MEI",ROUND(SUM('Banco de Dados'!$R1673*_xlfn.XLOOKUP('Banco de Dados'!$P1673,Sku!D:D,Sku!H:H)*20%),2)),0)</f>
        <v>0</v>
      </c>
      <c r="AN1673" s="109">
        <f ca="1">IF('Banco de Dados'!$AK1673&lt;&gt;"-",IF('Banco de Dados'!$F1673&lt;&gt;"-",_xlfn.XLOOKUP(IFERROR(IFERROR(IFERROR(VALUE(SUBSTITUTE(MID(_xlfn.TEXTAFTER('Banco de Dados'!$F1673,"Data do Pedido:
",1),1,10),"-","/")),VALUE(SUBSTITUTE(MID(_xlfn.TEXTAFTER('Banco de Dados'!$F1673,"Order date:
",1),1,10),"-","/"))),VALUE(SUBSTITUTE(MID(_xlfn.TEXTAFTER('Banco de Dados'!$F1673,"Fecha de pedido:
",1),1,10),"-","/"))),"-"),SMS!A:A,SMS!K:K),0),0)</f>
        <v>0</v>
      </c>
      <c r="AO1673" s="109">
        <f ca="1">IF('Banco de Dados'!$AK1673&lt;&gt;"-",IF('Banco de Dados'!$F1673&lt;&gt;"-",IFERROR(_xlfn.XLOOKUP(_xlfn.CONCAT('Banco de Dados'!$A1673,IFERROR(IFERROR(VALUE(SUBSTITUTE(MID(_xlfn.TEXTAFTER('Banco de Dados'!$F1673,"Data do Pedido:
",1),1,10),"-","/")),VALUE(SUBSTITUTE(MID(_xlfn.TEXTAFTER('Banco de Dados'!$F1673,"Order date:
",1),1,10),"-","/"))),0)),ProxyDD[Chave],ProxyDD[Valor por pedido]),PROXY!$P$2),0),0)</f>
        <v>0</v>
      </c>
      <c r="AP1673" s="28">
        <f ca="1">IF('Banco de Dados'!$AK1673&lt;&gt;"-",IF('Banco de Dados'!$AL1673="NÃO",IFERROR(VALUE(SUBSTITUTE(_xlfn.TEXTAFTER('Banco de Dados'!$F1673,"BRL ",1),".",",")),0),0),0)</f>
        <v>0</v>
      </c>
      <c r="AQ1673" s="28">
        <f ca="1">SUM('Banco de Dados'!$AM1673:$AP1673)</f>
        <v>0</v>
      </c>
      <c r="AR1673" s="8"/>
      <c r="AS1673" s="8"/>
      <c r="AT1673"/>
      <c r="AY1673" s="8"/>
    </row>
    <row r="1674" spans="1:51">
      <c r="A1674" s="5" t="str">
        <v>MEI</v>
      </c>
      <c r="B1674" s="5" t="str">
        <f ca="1"/>
        <v>MEI45784</v>
      </c>
      <c r="C1674" s="8" t="str">
        <v>Pedido 1661</v>
      </c>
      <c r="D1674" s="187">
        <v>45781</v>
      </c>
      <c r="E1674" s="9">
        <v>45784</v>
      </c>
      <c r="F1674" s="8" t="str">
        <v>PedidoF1584</v>
      </c>
      <c r="G1674" s="2" t="str">
        <v>CódRastreio1582</v>
      </c>
      <c r="H1674" s="5">
        <v>1</v>
      </c>
      <c r="I1674" s="182" t="str">
        <v>CPF 1620</v>
      </c>
      <c r="J1674" s="2" t="str">
        <v>Nome 1620</v>
      </c>
      <c r="K1674" s="8" t="str">
        <v>Tel 1620</v>
      </c>
      <c r="L1674" s="8" t="str">
        <v>Cep 1620</v>
      </c>
      <c r="M1674" s="8" t="str">
        <v>Rua 1620</v>
      </c>
      <c r="N1674" s="8" t="str">
        <v>Comp 1620</v>
      </c>
      <c r="O1674" s="8" t="str">
        <v>Ventilador Umidificador Preto</v>
      </c>
      <c r="P1674" s="8" t="str">
        <v>71-KHMZ-MLQW</v>
      </c>
      <c r="Q1674" s="4">
        <v>45813</v>
      </c>
      <c r="R1674" s="109">
        <v>49.99</v>
      </c>
      <c r="S1674" s="11">
        <f ca="1"/>
        <v>49.99</v>
      </c>
      <c r="T1674" s="28">
        <f ca="1"/>
        <v>5.4988999999999999</v>
      </c>
      <c r="U1674" s="11">
        <f ca="1"/>
        <v>44.49</v>
      </c>
      <c r="V1674" s="11">
        <v>24.03</v>
      </c>
      <c r="W1674" s="11">
        <f ca="1"/>
        <v>0.12</v>
      </c>
      <c r="X1674" s="11">
        <f ca="1"/>
        <v>0.39877104377104378</v>
      </c>
      <c r="Y1674" s="11">
        <v>0</v>
      </c>
      <c r="Z1674" s="11">
        <f ca="1"/>
        <v>19.941228956228954</v>
      </c>
      <c r="AA1674" s="11">
        <f ca="1"/>
        <v>9.9706144781144772</v>
      </c>
      <c r="AB1674" s="4">
        <f ca="1"/>
        <v>45820</v>
      </c>
      <c r="AC1674" s="4">
        <v>45820</v>
      </c>
      <c r="AD1674" s="9">
        <v>45824</v>
      </c>
      <c r="AE1674" s="9">
        <v>45828</v>
      </c>
      <c r="AF1674" s="4" t="str">
        <f t="shared" ca="1" si="114"/>
        <v>2025 06</v>
      </c>
      <c r="AG1674" s="8" t="str" cm="1">
        <f t="array" ref="AG1674">IFERROR(_xlfn.IFS('Banco de Dados'!#REF!="AG. COMPRA","Em processamento",'Banco de Dados'!#REF!="AG. RASTREIO","Em processamento",'Banco de Dados'!$AE1674&lt;&gt;"-","Faturado",'Banco de Dados'!$AD1674&lt;&gt;"-","Aguardando Pix",'Banco de Dados'!$AC1674&lt;&gt;"-","Pendente"),"Aguardando Liberação")</f>
        <v>Aguardando Liberação</v>
      </c>
      <c r="AH1674" s="5" t="str">
        <f>IF('Banco de Dados'!$F1674="-",_xlfn.CONCAT(PROPER(TEXT(AK1674,"aaaa"))," ",PROPER(TEXT(AK1674,"mm"))),_xlfn.CONCAT(PROPER(TEXT(E1674,"aaaa"))," ",PROPER(TEXT(E1674,"mm"))))</f>
        <v>2025 05</v>
      </c>
      <c r="AI1674" s="9" t="str">
        <f ca="1">IF('Banco de Dados'!$AK1674&lt;&gt;"-","REEMBOLSO",IFERROR(_xlfn.XLOOKUP(G1674,Follow[CODRASTREIO],Follow[STATUS]),"-"))</f>
        <v>ENTREGUE</v>
      </c>
      <c r="AJ1674" s="9">
        <f ca="1">IF('Banco de Dados'!$AI1674="ENTREGUE",_xlfn.XLOOKUP('Banco de Dados'!$G1674,Follow[CODRASTREIO],Follow[DATAATUALIZAÇÃO]),"-")</f>
        <v>45821.578958333332</v>
      </c>
      <c r="AK1674" s="132" t="str">
        <f ca="1"/>
        <v>-</v>
      </c>
      <c r="AL1674" s="35"/>
      <c r="AM1674" s="109" cm="1">
        <f t="array" aca="1" ref="AM1674" ca="1">IF('Banco de Dados'!$AK1674&lt;&gt;"-",_xlfn.IFS('Banco de Dados'!$A1674="bv",IF('Banco de Dados'!$E1674&lt;45641,ROUND(SUM('Banco de Dados'!$R1674*_xlfn.XLOOKUP('Banco de Dados'!$P1674,Sku!B:B,Sku!#REF!)*20%),2),ROUND(SUM('Banco de Dados'!$R1674*_xlfn.XLOOKUP('Banco de Dados'!$P1674,Sku!B:B,Sku!H:H)*20%),2)),'Banco de Dados'!$A1674="GO",ROUND(SUM('Banco de Dados'!$R1674*_xlfn.XLOOKUP('Banco de Dados'!$P1674,Sku!C:C,Sku!H:H)*20%),2),'Banco de Dados'!$A1674="MEI",ROUND(SUM('Banco de Dados'!$R1674*_xlfn.XLOOKUP('Banco de Dados'!$P1674,Sku!D:D,Sku!H:H)*20%),2)),0)</f>
        <v>0</v>
      </c>
      <c r="AN1674" s="109">
        <f ca="1">IF('Banco de Dados'!$AK1674&lt;&gt;"-",IF('Banco de Dados'!$F1674&lt;&gt;"-",_xlfn.XLOOKUP(IFERROR(IFERROR(IFERROR(VALUE(SUBSTITUTE(MID(_xlfn.TEXTAFTER('Banco de Dados'!$F1674,"Data do Pedido:
",1),1,10),"-","/")),VALUE(SUBSTITUTE(MID(_xlfn.TEXTAFTER('Banco de Dados'!$F1674,"Order date:
",1),1,10),"-","/"))),VALUE(SUBSTITUTE(MID(_xlfn.TEXTAFTER('Banco de Dados'!$F1674,"Fecha de pedido:
",1),1,10),"-","/"))),"-"),SMS!A:A,SMS!K:K),0),0)</f>
        <v>0</v>
      </c>
      <c r="AO1674" s="109">
        <f ca="1">IF('Banco de Dados'!$AK1674&lt;&gt;"-",IF('Banco de Dados'!$F1674&lt;&gt;"-",IFERROR(_xlfn.XLOOKUP(_xlfn.CONCAT('Banco de Dados'!$A1674,IFERROR(IFERROR(VALUE(SUBSTITUTE(MID(_xlfn.TEXTAFTER('Banco de Dados'!$F1674,"Data do Pedido:
",1),1,10),"-","/")),VALUE(SUBSTITUTE(MID(_xlfn.TEXTAFTER('Banco de Dados'!$F1674,"Order date:
",1),1,10),"-","/"))),0)),ProxyDD[Chave],ProxyDD[Valor por pedido]),PROXY!$P$2),0),0)</f>
        <v>0</v>
      </c>
      <c r="AP1674" s="28">
        <f ca="1">IF('Banco de Dados'!$AK1674&lt;&gt;"-",IF('Banco de Dados'!$AL1674="NÃO",IFERROR(VALUE(SUBSTITUTE(_xlfn.TEXTAFTER('Banco de Dados'!$F1674,"BRL ",1),".",",")),0),0),0)</f>
        <v>0</v>
      </c>
      <c r="AQ1674" s="28">
        <f ca="1">SUM('Banco de Dados'!$AM1674:$AP1674)</f>
        <v>0</v>
      </c>
      <c r="AR1674" s="8"/>
      <c r="AS1674" s="8"/>
      <c r="AT1674"/>
      <c r="AY1674" s="8"/>
    </row>
    <row r="1675" spans="1:51">
      <c r="A1675" s="5" t="str">
        <v>MEI</v>
      </c>
      <c r="B1675" s="5" t="str">
        <f ca="1"/>
        <v>MEI45784</v>
      </c>
      <c r="C1675" s="8" t="str">
        <v>Pedido 1662</v>
      </c>
      <c r="D1675" s="187">
        <v>45781</v>
      </c>
      <c r="E1675" s="9">
        <v>45784</v>
      </c>
      <c r="F1675" s="8" t="str">
        <v>PedidoF1585</v>
      </c>
      <c r="G1675" s="2" t="str">
        <v>CódRastreio1583</v>
      </c>
      <c r="H1675" s="5">
        <v>1</v>
      </c>
      <c r="I1675" s="182" t="str">
        <v>CPF 1621</v>
      </c>
      <c r="J1675" s="2" t="str">
        <v>Nome 1621</v>
      </c>
      <c r="K1675" s="8" t="str">
        <v>Tel 1621</v>
      </c>
      <c r="L1675" s="8" t="str">
        <v>Cep 1621</v>
      </c>
      <c r="M1675" s="8" t="str">
        <v>Rua 1621</v>
      </c>
      <c r="N1675" s="8" t="str">
        <v>Comp 1621</v>
      </c>
      <c r="O1675" s="8" t="str">
        <v>Copo Termico</v>
      </c>
      <c r="P1675" s="8" t="str">
        <v>VI-4RT5-1FFO</v>
      </c>
      <c r="Q1675" s="4">
        <v>45800</v>
      </c>
      <c r="R1675" s="109">
        <v>22.7</v>
      </c>
      <c r="S1675" s="11">
        <f ca="1"/>
        <v>22.7</v>
      </c>
      <c r="T1675" s="28">
        <f ca="1"/>
        <v>2.7239999999999998</v>
      </c>
      <c r="U1675" s="11">
        <f ca="1"/>
        <v>19.98</v>
      </c>
      <c r="V1675" s="11">
        <v>14.71</v>
      </c>
      <c r="W1675" s="11">
        <f ca="1"/>
        <v>0.12</v>
      </c>
      <c r="X1675" s="11">
        <f ca="1"/>
        <v>0.39877104377104378</v>
      </c>
      <c r="Y1675" s="11">
        <v>0</v>
      </c>
      <c r="Z1675" s="11">
        <f ca="1"/>
        <v>4.7512289562289567</v>
      </c>
      <c r="AA1675" s="11">
        <f ca="1"/>
        <v>2.3756144781144783</v>
      </c>
      <c r="AB1675" s="4">
        <f ca="1"/>
        <v>45807</v>
      </c>
      <c r="AC1675" s="4">
        <v>45807</v>
      </c>
      <c r="AD1675" s="9">
        <v>45807</v>
      </c>
      <c r="AE1675" s="9">
        <v>45810</v>
      </c>
      <c r="AF1675" s="4" t="str">
        <f t="shared" ca="1" si="114"/>
        <v>2025 05</v>
      </c>
      <c r="AG1675" s="8" t="str" cm="1">
        <f t="array" ref="AG1675">IFERROR(_xlfn.IFS('Banco de Dados'!#REF!="AG. COMPRA","Em processamento",'Banco de Dados'!#REF!="AG. RASTREIO","Em processamento",'Banco de Dados'!$AE1675&lt;&gt;"-","Faturado",'Banco de Dados'!$AD1675&lt;&gt;"-","Aguardando Pix",'Banco de Dados'!$AC1675&lt;&gt;"-","Pendente"),"Aguardando Liberação")</f>
        <v>Aguardando Liberação</v>
      </c>
      <c r="AH1675" s="5" t="str">
        <f>IF('Banco de Dados'!$F1675="-",_xlfn.CONCAT(PROPER(TEXT(AK1675,"aaaa"))," ",PROPER(TEXT(AK1675,"mm"))),_xlfn.CONCAT(PROPER(TEXT(E1675,"aaaa"))," ",PROPER(TEXT(E1675,"mm"))))</f>
        <v>2025 05</v>
      </c>
      <c r="AI1675" s="9" t="str">
        <f ca="1">IF('Banco de Dados'!$AK1675&lt;&gt;"-","REEMBOLSO",IFERROR(_xlfn.XLOOKUP(G1675,Follow[CODRASTREIO],Follow[STATUS]),"-"))</f>
        <v>ENTREGUE</v>
      </c>
      <c r="AJ1675" s="9">
        <f ca="1">IF('Banco de Dados'!$AI1675="ENTREGUE",_xlfn.XLOOKUP('Banco de Dados'!$G1675,Follow[CODRASTREIO],Follow[DATAATUALIZAÇÃO]),"-")</f>
        <v>45794</v>
      </c>
      <c r="AK1675" s="132" t="str">
        <f ca="1"/>
        <v>-</v>
      </c>
      <c r="AL1675" s="35"/>
      <c r="AM1675" s="109" cm="1">
        <f t="array" aca="1" ref="AM1675" ca="1">IF('Banco de Dados'!$AK1675&lt;&gt;"-",_xlfn.IFS('Banco de Dados'!$A1675="bv",IF('Banco de Dados'!$E1675&lt;45641,ROUND(SUM('Banco de Dados'!$R1675*_xlfn.XLOOKUP('Banco de Dados'!$P1675,Sku!B:B,Sku!#REF!)*20%),2),ROUND(SUM('Banco de Dados'!$R1675*_xlfn.XLOOKUP('Banco de Dados'!$P1675,Sku!B:B,Sku!H:H)*20%),2)),'Banco de Dados'!$A1675="GO",ROUND(SUM('Banco de Dados'!$R1675*_xlfn.XLOOKUP('Banco de Dados'!$P1675,Sku!C:C,Sku!H:H)*20%),2),'Banco de Dados'!$A1675="MEI",ROUND(SUM('Banco de Dados'!$R1675*_xlfn.XLOOKUP('Banco de Dados'!$P1675,Sku!D:D,Sku!H:H)*20%),2)),0)</f>
        <v>0</v>
      </c>
      <c r="AN1675" s="109">
        <f ca="1">IF('Banco de Dados'!$AK1675&lt;&gt;"-",IF('Banco de Dados'!$F1675&lt;&gt;"-",_xlfn.XLOOKUP(IFERROR(IFERROR(IFERROR(VALUE(SUBSTITUTE(MID(_xlfn.TEXTAFTER('Banco de Dados'!$F1675,"Data do Pedido:
",1),1,10),"-","/")),VALUE(SUBSTITUTE(MID(_xlfn.TEXTAFTER('Banco de Dados'!$F1675,"Order date:
",1),1,10),"-","/"))),VALUE(SUBSTITUTE(MID(_xlfn.TEXTAFTER('Banco de Dados'!$F1675,"Fecha de pedido:
",1),1,10),"-","/"))),"-"),SMS!A:A,SMS!K:K),0),0)</f>
        <v>0</v>
      </c>
      <c r="AO1675" s="109">
        <f ca="1">IF('Banco de Dados'!$AK1675&lt;&gt;"-",IF('Banco de Dados'!$F1675&lt;&gt;"-",IFERROR(_xlfn.XLOOKUP(_xlfn.CONCAT('Banco de Dados'!$A1675,IFERROR(IFERROR(VALUE(SUBSTITUTE(MID(_xlfn.TEXTAFTER('Banco de Dados'!$F1675,"Data do Pedido:
",1),1,10),"-","/")),VALUE(SUBSTITUTE(MID(_xlfn.TEXTAFTER('Banco de Dados'!$F1675,"Order date:
",1),1,10),"-","/"))),0)),ProxyDD[Chave],ProxyDD[Valor por pedido]),PROXY!$P$2),0),0)</f>
        <v>0</v>
      </c>
      <c r="AP1675" s="28">
        <f ca="1">IF('Banco de Dados'!$AK1675&lt;&gt;"-",IF('Banco de Dados'!$AL1675="NÃO",IFERROR(VALUE(SUBSTITUTE(_xlfn.TEXTAFTER('Banco de Dados'!$F1675,"BRL ",1),".",",")),0),0),0)</f>
        <v>0</v>
      </c>
      <c r="AQ1675" s="28">
        <f ca="1">SUM('Banco de Dados'!$AM1675:$AP1675)</f>
        <v>0</v>
      </c>
      <c r="AR1675" s="8"/>
      <c r="AS1675" s="8"/>
      <c r="AT1675"/>
      <c r="AY1675" s="8"/>
    </row>
    <row r="1676" spans="1:51">
      <c r="A1676" s="5" t="str">
        <v>MEI</v>
      </c>
      <c r="B1676" s="5" t="str">
        <f ca="1"/>
        <v>MEI45784</v>
      </c>
      <c r="C1676" s="8" t="str">
        <v>Pedido 1663</v>
      </c>
      <c r="D1676" s="187">
        <v>45781</v>
      </c>
      <c r="E1676" s="9">
        <v>45784</v>
      </c>
      <c r="F1676" s="8" t="str">
        <v>PedidoF1586</v>
      </c>
      <c r="G1676" s="2" t="str">
        <v>CódRastreio1584</v>
      </c>
      <c r="H1676" s="5">
        <v>1</v>
      </c>
      <c r="I1676" s="182" t="str">
        <v>CPF 1622</v>
      </c>
      <c r="J1676" s="2" t="str">
        <v>Nome 1622</v>
      </c>
      <c r="K1676" s="8" t="str">
        <v>Tel 1622</v>
      </c>
      <c r="L1676" s="8" t="str">
        <v>Cep 1622</v>
      </c>
      <c r="M1676" s="8" t="str">
        <v>Rua 1622</v>
      </c>
      <c r="N1676" s="8" t="str">
        <v>Comp 1622</v>
      </c>
      <c r="O1676" s="8" t="str">
        <v>Ventilador Umidificador Preto</v>
      </c>
      <c r="P1676" s="8" t="str">
        <v>71-KHMZ-MLQW</v>
      </c>
      <c r="Q1676" s="4">
        <v>45806</v>
      </c>
      <c r="R1676" s="109">
        <v>49.99</v>
      </c>
      <c r="S1676" s="11">
        <f ca="1"/>
        <v>0</v>
      </c>
      <c r="T1676" s="28">
        <f ca="1"/>
        <v>0</v>
      </c>
      <c r="U1676" s="11">
        <f ca="1"/>
        <v>0</v>
      </c>
      <c r="V1676" s="11">
        <v>0</v>
      </c>
      <c r="W1676" s="11">
        <f ca="1"/>
        <v>0</v>
      </c>
      <c r="X1676" s="11">
        <f ca="1"/>
        <v>0.39877104377104378</v>
      </c>
      <c r="Y1676" s="11">
        <v>0</v>
      </c>
      <c r="Z1676" s="11">
        <f ca="1"/>
        <v>-0.39877104377104378</v>
      </c>
      <c r="AA1676" s="11">
        <f ca="1"/>
        <v>-0.19938552188552189</v>
      </c>
      <c r="AB1676" s="4">
        <f ca="1"/>
        <v>45813</v>
      </c>
      <c r="AC1676" s="4">
        <v>45813</v>
      </c>
      <c r="AD1676" s="9">
        <v>45824</v>
      </c>
      <c r="AE1676" s="9">
        <v>45828</v>
      </c>
      <c r="AF1676" s="4" t="str">
        <f t="shared" ca="1" si="114"/>
        <v>2025 06</v>
      </c>
      <c r="AG1676" s="8" t="str" cm="1">
        <f t="array" ref="AG1676">IFERROR(_xlfn.IFS('Banco de Dados'!#REF!="AG. COMPRA","Em processamento",'Banco de Dados'!#REF!="AG. RASTREIO","Em processamento",'Banco de Dados'!$AE1676&lt;&gt;"-","Faturado",'Banco de Dados'!$AD1676&lt;&gt;"-","Aguardando Pix",'Banco de Dados'!$AC1676&lt;&gt;"-","Pendente"),"Aguardando Liberação")</f>
        <v>Aguardando Liberação</v>
      </c>
      <c r="AH1676" s="5" t="str">
        <f>IF('Banco de Dados'!$F1676="-",_xlfn.CONCAT(PROPER(TEXT(AK1676,"aaaa"))," ",PROPER(TEXT(AK1676,"mm"))),_xlfn.CONCAT(PROPER(TEXT(E1676,"aaaa"))," ",PROPER(TEXT(E1676,"mm"))))</f>
        <v>2025 05</v>
      </c>
      <c r="AI1676" s="9" t="str">
        <f ca="1">IF('Banco de Dados'!$AK1676&lt;&gt;"-","REEMBOLSO",IFERROR(_xlfn.XLOOKUP(G1676,Follow[CODRASTREIO],Follow[STATUS]),"-"))</f>
        <v>REEMBOLSO</v>
      </c>
      <c r="AJ1676" s="9" t="str">
        <f ca="1">IF('Banco de Dados'!$AI1676="ENTREGUE",_xlfn.XLOOKUP('Banco de Dados'!$G1676,Follow[CODRASTREIO],Follow[DATAATUALIZAÇÃO]),"-")</f>
        <v>-</v>
      </c>
      <c r="AK1676" s="132">
        <f ca="1"/>
        <v>45817</v>
      </c>
      <c r="AL1676" s="35"/>
      <c r="AM1676" s="109" cm="1">
        <f t="array" aca="1" ref="AM1676" ca="1">IF('Banco de Dados'!$AK1676&lt;&gt;"-",_xlfn.IFS('Banco de Dados'!$A1676="bv",IF('Banco de Dados'!$E1676&lt;45641,ROUND(SUM('Banco de Dados'!$R1676*_xlfn.XLOOKUP('Banco de Dados'!$P1676,Sku!B:B,Sku!#REF!)*20%),2),ROUND(SUM('Banco de Dados'!$R1676*_xlfn.XLOOKUP('Banco de Dados'!$P1676,Sku!B:B,Sku!H:H)*20%),2)),'Banco de Dados'!$A1676="GO",ROUND(SUM('Banco de Dados'!$R1676*_xlfn.XLOOKUP('Banco de Dados'!$P1676,Sku!C:C,Sku!H:H)*20%),2),'Banco de Dados'!$A1676="MEI",ROUND(SUM('Banco de Dados'!$R1676*_xlfn.XLOOKUP('Banco de Dados'!$P1676,Sku!D:D,Sku!H:H)*20%),2)),0)</f>
        <v>1.4</v>
      </c>
      <c r="AN1676" s="109" t="e">
        <f ca="1">IF('Banco de Dados'!$AK1676&lt;&gt;"-",IF('Banco de Dados'!$F1676&lt;&gt;"-",_xlfn.XLOOKUP(IFERROR(IFERROR(IFERROR(VALUE(SUBSTITUTE(MID(_xlfn.TEXTAFTER('Banco de Dados'!$F1676,"Data do Pedido:
",1),1,10),"-","/")),VALUE(SUBSTITUTE(MID(_xlfn.TEXTAFTER('Banco de Dados'!$F1676,"Order date:
",1),1,10),"-","/"))),VALUE(SUBSTITUTE(MID(_xlfn.TEXTAFTER('Banco de Dados'!$F1676,"Fecha de pedido:
",1),1,10),"-","/"))),"-"),SMS!A:A,SMS!K:K),0),0)</f>
        <v>#N/A</v>
      </c>
      <c r="AO1676" s="109">
        <f ca="1">IF('Banco de Dados'!$AK1676&lt;&gt;"-",IF('Banco de Dados'!$F1676&lt;&gt;"-",IFERROR(_xlfn.XLOOKUP(_xlfn.CONCAT('Banco de Dados'!$A1676,IFERROR(IFERROR(VALUE(SUBSTITUTE(MID(_xlfn.TEXTAFTER('Banco de Dados'!$F1676,"Data do Pedido:
",1),1,10),"-","/")),VALUE(SUBSTITUTE(MID(_xlfn.TEXTAFTER('Banco de Dados'!$F1676,"Order date:
",1),1,10),"-","/"))),0)),ProxyDD[Chave],ProxyDD[Valor por pedido]),PROXY!$P$2),0),0)</f>
        <v>0.39877104377104378</v>
      </c>
      <c r="AP1676" s="28">
        <f ca="1">IF('Banco de Dados'!$AK1676&lt;&gt;"-",IF('Banco de Dados'!$AL1676="NÃO",IFERROR(VALUE(SUBSTITUTE(_xlfn.TEXTAFTER('Banco de Dados'!$F1676,"BRL ",1),".",",")),0),0),0)</f>
        <v>0</v>
      </c>
      <c r="AQ1676" s="28" t="e">
        <f ca="1">SUM('Banco de Dados'!$AM1676:$AP1676)</f>
        <v>#N/A</v>
      </c>
      <c r="AR1676" s="8"/>
      <c r="AS1676" s="8"/>
      <c r="AT1676"/>
      <c r="AY1676" s="8"/>
    </row>
    <row r="1677" spans="1:51">
      <c r="A1677" s="5" t="str">
        <v>MEI</v>
      </c>
      <c r="B1677" s="5" t="str">
        <f ca="1"/>
        <v>MEI45784</v>
      </c>
      <c r="C1677" s="8" t="str">
        <v>Pedido 1664</v>
      </c>
      <c r="D1677" s="187">
        <v>45781</v>
      </c>
      <c r="E1677" s="9">
        <v>45784</v>
      </c>
      <c r="F1677" s="8" t="str">
        <v>PedidoF1587</v>
      </c>
      <c r="G1677" s="2" t="str">
        <v>CódRastreio1585</v>
      </c>
      <c r="H1677" s="5">
        <v>1</v>
      </c>
      <c r="I1677" s="182" t="str">
        <v>CPF 1623</v>
      </c>
      <c r="J1677" s="2" t="str">
        <v>Nome 1623</v>
      </c>
      <c r="K1677" s="8" t="str">
        <v>Tel 1623</v>
      </c>
      <c r="L1677" s="8" t="str">
        <v>Cep 1623</v>
      </c>
      <c r="M1677" s="8" t="str">
        <v>Rua 1623</v>
      </c>
      <c r="N1677" s="8" t="str">
        <v>Comp 1623</v>
      </c>
      <c r="O1677" s="8" t="str">
        <v>Ventilador Azul</v>
      </c>
      <c r="P1677" s="8" t="str">
        <v>PK-L2Z7-MQRQ</v>
      </c>
      <c r="Q1677" s="4">
        <v>45800</v>
      </c>
      <c r="R1677" s="109">
        <v>48.9</v>
      </c>
      <c r="S1677" s="11">
        <f ca="1"/>
        <v>48.9</v>
      </c>
      <c r="T1677" s="28">
        <f ca="1"/>
        <v>5.8679999999999994</v>
      </c>
      <c r="U1677" s="11">
        <f ca="1"/>
        <v>43.03</v>
      </c>
      <c r="V1677" s="11">
        <v>22.01</v>
      </c>
      <c r="W1677" s="11">
        <f ca="1"/>
        <v>0.12</v>
      </c>
      <c r="X1677" s="11">
        <f ca="1"/>
        <v>0.39877104377104378</v>
      </c>
      <c r="Y1677" s="11">
        <v>0</v>
      </c>
      <c r="Z1677" s="11">
        <f ca="1"/>
        <v>20.501228956228953</v>
      </c>
      <c r="AA1677" s="11">
        <f ca="1"/>
        <v>10.250614478114477</v>
      </c>
      <c r="AB1677" s="4">
        <f ca="1"/>
        <v>45807</v>
      </c>
      <c r="AC1677" s="4">
        <v>45807</v>
      </c>
      <c r="AD1677" s="9">
        <v>45807</v>
      </c>
      <c r="AE1677" s="9">
        <v>45810</v>
      </c>
      <c r="AF1677" s="4" t="str">
        <f t="shared" ca="1" si="114"/>
        <v>2025 05</v>
      </c>
      <c r="AG1677" s="8" t="str" cm="1">
        <f t="array" ref="AG1677">IFERROR(_xlfn.IFS('Banco de Dados'!#REF!="AG. COMPRA","Em processamento",'Banco de Dados'!#REF!="AG. RASTREIO","Em processamento",'Banco de Dados'!$AE1677&lt;&gt;"-","Faturado",'Banco de Dados'!$AD1677&lt;&gt;"-","Aguardando Pix",'Banco de Dados'!$AC1677&lt;&gt;"-","Pendente"),"Aguardando Liberação")</f>
        <v>Aguardando Liberação</v>
      </c>
      <c r="AH1677" s="5" t="str">
        <f>IF('Banco de Dados'!$F1677="-",_xlfn.CONCAT(PROPER(TEXT(AK1677,"aaaa"))," ",PROPER(TEXT(AK1677,"mm"))),_xlfn.CONCAT(PROPER(TEXT(E1677,"aaaa"))," ",PROPER(TEXT(E1677,"mm"))))</f>
        <v>2025 05</v>
      </c>
      <c r="AI1677" s="9" t="str">
        <f ca="1">IF('Banco de Dados'!$AK1677&lt;&gt;"-","REEMBOLSO",IFERROR(_xlfn.XLOOKUP(G1677,Follow[CODRASTREIO],Follow[STATUS]),"-"))</f>
        <v>ENTREGUE</v>
      </c>
      <c r="AJ1677" s="9">
        <f ca="1">IF('Banco de Dados'!$AI1677="ENTREGUE",_xlfn.XLOOKUP('Banco de Dados'!$G1677,Follow[CODRASTREIO],Follow[DATAATUALIZAÇÃO]),"-")</f>
        <v>45799</v>
      </c>
      <c r="AK1677" s="132" t="str">
        <f ca="1"/>
        <v>-</v>
      </c>
      <c r="AL1677" s="35"/>
      <c r="AM1677" s="109" cm="1">
        <f t="array" aca="1" ref="AM1677" ca="1">IF('Banco de Dados'!$AK1677&lt;&gt;"-",_xlfn.IFS('Banco de Dados'!$A1677="bv",IF('Banco de Dados'!$E1677&lt;45641,ROUND(SUM('Banco de Dados'!$R1677*_xlfn.XLOOKUP('Banco de Dados'!$P1677,Sku!B:B,Sku!#REF!)*20%),2),ROUND(SUM('Banco de Dados'!$R1677*_xlfn.XLOOKUP('Banco de Dados'!$P1677,Sku!B:B,Sku!H:H)*20%),2)),'Banco de Dados'!$A1677="GO",ROUND(SUM('Banco de Dados'!$R1677*_xlfn.XLOOKUP('Banco de Dados'!$P1677,Sku!C:C,Sku!H:H)*20%),2),'Banco de Dados'!$A1677="MEI",ROUND(SUM('Banco de Dados'!$R1677*_xlfn.XLOOKUP('Banco de Dados'!$P1677,Sku!D:D,Sku!H:H)*20%),2)),0)</f>
        <v>0</v>
      </c>
      <c r="AN1677" s="109">
        <f ca="1">IF('Banco de Dados'!$AK1677&lt;&gt;"-",IF('Banco de Dados'!$F1677&lt;&gt;"-",_xlfn.XLOOKUP(IFERROR(IFERROR(IFERROR(VALUE(SUBSTITUTE(MID(_xlfn.TEXTAFTER('Banco de Dados'!$F1677,"Data do Pedido:
",1),1,10),"-","/")),VALUE(SUBSTITUTE(MID(_xlfn.TEXTAFTER('Banco de Dados'!$F1677,"Order date:
",1),1,10),"-","/"))),VALUE(SUBSTITUTE(MID(_xlfn.TEXTAFTER('Banco de Dados'!$F1677,"Fecha de pedido:
",1),1,10),"-","/"))),"-"),SMS!A:A,SMS!K:K),0),0)</f>
        <v>0</v>
      </c>
      <c r="AO1677" s="109">
        <f ca="1">IF('Banco de Dados'!$AK1677&lt;&gt;"-",IF('Banco de Dados'!$F1677&lt;&gt;"-",IFERROR(_xlfn.XLOOKUP(_xlfn.CONCAT('Banco de Dados'!$A1677,IFERROR(IFERROR(VALUE(SUBSTITUTE(MID(_xlfn.TEXTAFTER('Banco de Dados'!$F1677,"Data do Pedido:
",1),1,10),"-","/")),VALUE(SUBSTITUTE(MID(_xlfn.TEXTAFTER('Banco de Dados'!$F1677,"Order date:
",1),1,10),"-","/"))),0)),ProxyDD[Chave],ProxyDD[Valor por pedido]),PROXY!$P$2),0),0)</f>
        <v>0</v>
      </c>
      <c r="AP1677" s="28">
        <f ca="1">IF('Banco de Dados'!$AK1677&lt;&gt;"-",IF('Banco de Dados'!$AL1677="NÃO",IFERROR(VALUE(SUBSTITUTE(_xlfn.TEXTAFTER('Banco de Dados'!$F1677,"BRL ",1),".",",")),0),0),0)</f>
        <v>0</v>
      </c>
      <c r="AQ1677" s="28">
        <f ca="1">SUM('Banco de Dados'!$AM1677:$AP1677)</f>
        <v>0</v>
      </c>
      <c r="AR1677" s="8"/>
      <c r="AS1677" s="8"/>
      <c r="AT1677"/>
      <c r="AY1677" s="8"/>
    </row>
    <row r="1678" spans="1:51">
      <c r="A1678" s="5" t="str">
        <v>MEI</v>
      </c>
      <c r="B1678" s="5" t="str">
        <f ca="1"/>
        <v>MEI45784</v>
      </c>
      <c r="C1678" s="8" t="str">
        <v>Pedido 1665</v>
      </c>
      <c r="D1678" s="187">
        <v>45782</v>
      </c>
      <c r="E1678" s="9">
        <v>45784</v>
      </c>
      <c r="F1678" s="8" t="str">
        <v>PedidoF1588</v>
      </c>
      <c r="G1678" s="2" t="str">
        <v>CódRastreio1586</v>
      </c>
      <c r="H1678" s="5">
        <v>1</v>
      </c>
      <c r="I1678" s="182" t="str">
        <v>CPF 1624</v>
      </c>
      <c r="J1678" s="2" t="str">
        <v>Nome 1624</v>
      </c>
      <c r="K1678" s="8" t="str">
        <v>Tel 1624</v>
      </c>
      <c r="L1678" s="8" t="str">
        <v>Cep 1624</v>
      </c>
      <c r="M1678" s="8" t="str">
        <v>Rua 1624</v>
      </c>
      <c r="N1678" s="8" t="str">
        <v>Comp 1624</v>
      </c>
      <c r="O1678" s="8" t="str">
        <v>Ventilador Umidificador Preto</v>
      </c>
      <c r="P1678" s="8" t="str">
        <v>71-KHMZ-MLQW</v>
      </c>
      <c r="Q1678" s="4">
        <v>45806</v>
      </c>
      <c r="R1678" s="109">
        <v>49.99</v>
      </c>
      <c r="S1678" s="11">
        <f ca="1"/>
        <v>49.99</v>
      </c>
      <c r="T1678" s="28">
        <f ca="1"/>
        <v>5.4988999999999999</v>
      </c>
      <c r="U1678" s="11">
        <f ca="1"/>
        <v>44.49</v>
      </c>
      <c r="V1678" s="11">
        <v>39.94</v>
      </c>
      <c r="W1678" s="11">
        <f ca="1"/>
        <v>0.12</v>
      </c>
      <c r="X1678" s="11">
        <f ca="1"/>
        <v>0.39877104377104378</v>
      </c>
      <c r="Y1678" s="11">
        <v>0</v>
      </c>
      <c r="Z1678" s="11">
        <f ca="1"/>
        <v>4.0312289562289649</v>
      </c>
      <c r="AA1678" s="11">
        <f ca="1"/>
        <v>2.0156144781144825</v>
      </c>
      <c r="AB1678" s="4">
        <f ca="1"/>
        <v>45813</v>
      </c>
      <c r="AC1678" s="4">
        <v>45813</v>
      </c>
      <c r="AD1678" s="9">
        <v>45824</v>
      </c>
      <c r="AE1678" s="9">
        <v>45828</v>
      </c>
      <c r="AF1678" s="4" t="str">
        <f t="shared" ca="1" si="114"/>
        <v>2025 06</v>
      </c>
      <c r="AG1678" s="8" t="str" cm="1">
        <f t="array" ref="AG1678">IFERROR(_xlfn.IFS('Banco de Dados'!#REF!="AG. COMPRA","Em processamento",'Banco de Dados'!#REF!="AG. RASTREIO","Em processamento",'Banco de Dados'!$AE1678&lt;&gt;"-","Faturado",'Banco de Dados'!$AD1678&lt;&gt;"-","Aguardando Pix",'Banco de Dados'!$AC1678&lt;&gt;"-","Pendente"),"Aguardando Liberação")</f>
        <v>Aguardando Liberação</v>
      </c>
      <c r="AH1678" s="5" t="str">
        <f>IF('Banco de Dados'!$F1678="-",_xlfn.CONCAT(PROPER(TEXT(AK1678,"aaaa"))," ",PROPER(TEXT(AK1678,"mm"))),_xlfn.CONCAT(PROPER(TEXT(E1678,"aaaa"))," ",PROPER(TEXT(E1678,"mm"))))</f>
        <v>2025 05</v>
      </c>
      <c r="AI1678" s="9" t="str">
        <f ca="1">IF('Banco de Dados'!$AK1678&lt;&gt;"-","REEMBOLSO",IFERROR(_xlfn.XLOOKUP(G1678,Follow[CODRASTREIO],Follow[STATUS]),"-"))</f>
        <v>ENTREGUE</v>
      </c>
      <c r="AJ1678" s="9">
        <f ca="1">IF('Banco de Dados'!$AI1678="ENTREGUE",_xlfn.XLOOKUP('Banco de Dados'!$G1678,Follow[CODRASTREIO],Follow[DATAATUALIZAÇÃO]),"-")</f>
        <v>45800</v>
      </c>
      <c r="AK1678" s="132" t="str">
        <f ca="1"/>
        <v>-</v>
      </c>
      <c r="AL1678" s="35"/>
      <c r="AM1678" s="109" cm="1">
        <f t="array" aca="1" ref="AM1678" ca="1">IF('Banco de Dados'!$AK1678&lt;&gt;"-",_xlfn.IFS('Banco de Dados'!$A1678="bv",IF('Banco de Dados'!$E1678&lt;45641,ROUND(SUM('Banco de Dados'!$R1678*_xlfn.XLOOKUP('Banco de Dados'!$P1678,Sku!B:B,Sku!#REF!)*20%),2),ROUND(SUM('Banco de Dados'!$R1678*_xlfn.XLOOKUP('Banco de Dados'!$P1678,Sku!B:B,Sku!H:H)*20%),2)),'Banco de Dados'!$A1678="GO",ROUND(SUM('Banco de Dados'!$R1678*_xlfn.XLOOKUP('Banco de Dados'!$P1678,Sku!C:C,Sku!H:H)*20%),2),'Banco de Dados'!$A1678="MEI",ROUND(SUM('Banco de Dados'!$R1678*_xlfn.XLOOKUP('Banco de Dados'!$P1678,Sku!D:D,Sku!H:H)*20%),2)),0)</f>
        <v>0</v>
      </c>
      <c r="AN1678" s="109">
        <f ca="1">IF('Banco de Dados'!$AK1678&lt;&gt;"-",IF('Banco de Dados'!$F1678&lt;&gt;"-",_xlfn.XLOOKUP(IFERROR(IFERROR(IFERROR(VALUE(SUBSTITUTE(MID(_xlfn.TEXTAFTER('Banco de Dados'!$F1678,"Data do Pedido:
",1),1,10),"-","/")),VALUE(SUBSTITUTE(MID(_xlfn.TEXTAFTER('Banco de Dados'!$F1678,"Order date:
",1),1,10),"-","/"))),VALUE(SUBSTITUTE(MID(_xlfn.TEXTAFTER('Banco de Dados'!$F1678,"Fecha de pedido:
",1),1,10),"-","/"))),"-"),SMS!A:A,SMS!K:K),0),0)</f>
        <v>0</v>
      </c>
      <c r="AO1678" s="109">
        <f ca="1">IF('Banco de Dados'!$AK1678&lt;&gt;"-",IF('Banco de Dados'!$F1678&lt;&gt;"-",IFERROR(_xlfn.XLOOKUP(_xlfn.CONCAT('Banco de Dados'!$A1678,IFERROR(IFERROR(VALUE(SUBSTITUTE(MID(_xlfn.TEXTAFTER('Banco de Dados'!$F1678,"Data do Pedido:
",1),1,10),"-","/")),VALUE(SUBSTITUTE(MID(_xlfn.TEXTAFTER('Banco de Dados'!$F1678,"Order date:
",1),1,10),"-","/"))),0)),ProxyDD[Chave],ProxyDD[Valor por pedido]),PROXY!$P$2),0),0)</f>
        <v>0</v>
      </c>
      <c r="AP1678" s="28">
        <f ca="1">IF('Banco de Dados'!$AK1678&lt;&gt;"-",IF('Banco de Dados'!$AL1678="NÃO",IFERROR(VALUE(SUBSTITUTE(_xlfn.TEXTAFTER('Banco de Dados'!$F1678,"BRL ",1),".",",")),0),0),0)</f>
        <v>0</v>
      </c>
      <c r="AQ1678" s="28">
        <f ca="1">SUM('Banco de Dados'!$AM1678:$AP1678)</f>
        <v>0</v>
      </c>
      <c r="AR1678" s="8"/>
      <c r="AS1678" s="8"/>
      <c r="AT1678"/>
      <c r="AY1678" s="8"/>
    </row>
    <row r="1679" spans="1:51">
      <c r="A1679" s="5" t="str">
        <v>MEI</v>
      </c>
      <c r="B1679" s="5" t="str">
        <f ca="1"/>
        <v>MEI45784</v>
      </c>
      <c r="C1679" s="8" t="str">
        <v>Pedido 1666</v>
      </c>
      <c r="D1679" s="187">
        <v>45782</v>
      </c>
      <c r="E1679" s="9">
        <v>45784</v>
      </c>
      <c r="F1679" s="8" t="str">
        <v>PedidoF1589</v>
      </c>
      <c r="G1679" s="2" t="str">
        <v>CódRastreio1587</v>
      </c>
      <c r="H1679" s="5">
        <v>1</v>
      </c>
      <c r="I1679" s="182" t="str">
        <v>CPF 1625</v>
      </c>
      <c r="J1679" s="2" t="str">
        <v>Nome 1625</v>
      </c>
      <c r="K1679" s="8" t="str">
        <v>Tel 1625</v>
      </c>
      <c r="L1679" s="8" t="str">
        <v>Cep 1625</v>
      </c>
      <c r="M1679" s="8" t="str">
        <v>Rua 1625</v>
      </c>
      <c r="N1679" s="8" t="str">
        <v>Comp 1625</v>
      </c>
      <c r="O1679" s="8" t="str">
        <v>Ventilador Umidificador Preto</v>
      </c>
      <c r="P1679" s="8" t="str">
        <v>71-KHMZ-MLQW</v>
      </c>
      <c r="Q1679" s="4">
        <v>45813</v>
      </c>
      <c r="R1679" s="109">
        <v>49.99</v>
      </c>
      <c r="S1679" s="11">
        <f ca="1"/>
        <v>49.99</v>
      </c>
      <c r="T1679" s="28">
        <f ca="1"/>
        <v>5.4988999999999999</v>
      </c>
      <c r="U1679" s="11">
        <f ca="1"/>
        <v>44.49</v>
      </c>
      <c r="V1679" s="11">
        <v>16.739999999999998</v>
      </c>
      <c r="W1679" s="11">
        <f ca="1"/>
        <v>0.12</v>
      </c>
      <c r="X1679" s="11">
        <f ca="1"/>
        <v>0.39877104377104378</v>
      </c>
      <c r="Y1679" s="11">
        <v>0</v>
      </c>
      <c r="Z1679" s="11">
        <f ca="1"/>
        <v>27.231228956228957</v>
      </c>
      <c r="AA1679" s="11">
        <f ca="1"/>
        <v>13.615614478114479</v>
      </c>
      <c r="AB1679" s="4">
        <f ca="1"/>
        <v>45820</v>
      </c>
      <c r="AC1679" s="4">
        <v>45820</v>
      </c>
      <c r="AD1679" s="9">
        <v>45824</v>
      </c>
      <c r="AE1679" s="9">
        <v>45828</v>
      </c>
      <c r="AF1679" s="4" t="str">
        <f t="shared" ca="1" si="114"/>
        <v>2025 06</v>
      </c>
      <c r="AG1679" s="8" t="str" cm="1">
        <f t="array" ref="AG1679">IFERROR(_xlfn.IFS('Banco de Dados'!#REF!="AG. COMPRA","Em processamento",'Banco de Dados'!#REF!="AG. RASTREIO","Em processamento",'Banco de Dados'!$AE1679&lt;&gt;"-","Faturado",'Banco de Dados'!$AD1679&lt;&gt;"-","Aguardando Pix",'Banco de Dados'!$AC1679&lt;&gt;"-","Pendente"),"Aguardando Liberação")</f>
        <v>Aguardando Liberação</v>
      </c>
      <c r="AH1679" s="5" t="str">
        <f>IF('Banco de Dados'!$F1679="-",_xlfn.CONCAT(PROPER(TEXT(AK1679,"aaaa"))," ",PROPER(TEXT(AK1679,"mm"))),_xlfn.CONCAT(PROPER(TEXT(E1679,"aaaa"))," ",PROPER(TEXT(E1679,"mm"))))</f>
        <v>2025 05</v>
      </c>
      <c r="AI1679" s="9" t="str">
        <f ca="1">IF('Banco de Dados'!$AK1679&lt;&gt;"-","REEMBOLSO",IFERROR(_xlfn.XLOOKUP(G1679,Follow[CODRASTREIO],Follow[STATUS]),"-"))</f>
        <v>ENTREGUE</v>
      </c>
      <c r="AJ1679" s="9">
        <f ca="1">IF('Banco de Dados'!$AI1679="ENTREGUE",_xlfn.XLOOKUP('Banco de Dados'!$G1679,Follow[CODRASTREIO],Follow[DATAATUALIZAÇÃO]),"-")</f>
        <v>45828.562071759261</v>
      </c>
      <c r="AK1679" s="132" t="str">
        <f ca="1"/>
        <v>-</v>
      </c>
      <c r="AL1679" s="35"/>
      <c r="AM1679" s="109" cm="1">
        <f t="array" aca="1" ref="AM1679" ca="1">IF('Banco de Dados'!$AK1679&lt;&gt;"-",_xlfn.IFS('Banco de Dados'!$A1679="bv",IF('Banco de Dados'!$E1679&lt;45641,ROUND(SUM('Banco de Dados'!$R1679*_xlfn.XLOOKUP('Banco de Dados'!$P1679,Sku!B:B,Sku!#REF!)*20%),2),ROUND(SUM('Banco de Dados'!$R1679*_xlfn.XLOOKUP('Banco de Dados'!$P1679,Sku!B:B,Sku!H:H)*20%),2)),'Banco de Dados'!$A1679="GO",ROUND(SUM('Banco de Dados'!$R1679*_xlfn.XLOOKUP('Banco de Dados'!$P1679,Sku!C:C,Sku!H:H)*20%),2),'Banco de Dados'!$A1679="MEI",ROUND(SUM('Banco de Dados'!$R1679*_xlfn.XLOOKUP('Banco de Dados'!$P1679,Sku!D:D,Sku!H:H)*20%),2)),0)</f>
        <v>0</v>
      </c>
      <c r="AN1679" s="109">
        <f ca="1">IF('Banco de Dados'!$AK1679&lt;&gt;"-",IF('Banco de Dados'!$F1679&lt;&gt;"-",_xlfn.XLOOKUP(IFERROR(IFERROR(IFERROR(VALUE(SUBSTITUTE(MID(_xlfn.TEXTAFTER('Banco de Dados'!$F1679,"Data do Pedido:
",1),1,10),"-","/")),VALUE(SUBSTITUTE(MID(_xlfn.TEXTAFTER('Banco de Dados'!$F1679,"Order date:
",1),1,10),"-","/"))),VALUE(SUBSTITUTE(MID(_xlfn.TEXTAFTER('Banco de Dados'!$F1679,"Fecha de pedido:
",1),1,10),"-","/"))),"-"),SMS!A:A,SMS!K:K),0),0)</f>
        <v>0</v>
      </c>
      <c r="AO1679" s="109">
        <f ca="1">IF('Banco de Dados'!$AK1679&lt;&gt;"-",IF('Banco de Dados'!$F1679&lt;&gt;"-",IFERROR(_xlfn.XLOOKUP(_xlfn.CONCAT('Banco de Dados'!$A1679,IFERROR(IFERROR(VALUE(SUBSTITUTE(MID(_xlfn.TEXTAFTER('Banco de Dados'!$F1679,"Data do Pedido:
",1),1,10),"-","/")),VALUE(SUBSTITUTE(MID(_xlfn.TEXTAFTER('Banco de Dados'!$F1679,"Order date:
",1),1,10),"-","/"))),0)),ProxyDD[Chave],ProxyDD[Valor por pedido]),PROXY!$P$2),0),0)</f>
        <v>0</v>
      </c>
      <c r="AP1679" s="28">
        <f ca="1">IF('Banco de Dados'!$AK1679&lt;&gt;"-",IF('Banco de Dados'!$AL1679="NÃO",IFERROR(VALUE(SUBSTITUTE(_xlfn.TEXTAFTER('Banco de Dados'!$F1679,"BRL ",1),".",",")),0),0),0)</f>
        <v>0</v>
      </c>
      <c r="AQ1679" s="28">
        <f ca="1">SUM('Banco de Dados'!$AM1679:$AP1679)</f>
        <v>0</v>
      </c>
      <c r="AR1679" s="8"/>
      <c r="AS1679" s="8"/>
      <c r="AT1679"/>
      <c r="AY1679" s="8"/>
    </row>
    <row r="1680" spans="1:51">
      <c r="A1680" s="5" t="str">
        <v>MEI</v>
      </c>
      <c r="B1680" s="5" t="str">
        <f ca="1"/>
        <v>MEI45784</v>
      </c>
      <c r="C1680" s="8" t="str">
        <v>Pedido 1667</v>
      </c>
      <c r="D1680" s="187">
        <v>45782</v>
      </c>
      <c r="E1680" s="9">
        <v>45784</v>
      </c>
      <c r="F1680" s="8" t="str">
        <v>PedidoF1590</v>
      </c>
      <c r="G1680" s="2" t="str">
        <v>CódRastreio1588</v>
      </c>
      <c r="H1680" s="5">
        <v>1</v>
      </c>
      <c r="I1680" s="182" t="str">
        <v>CPF 1626</v>
      </c>
      <c r="J1680" s="2" t="str">
        <v>Nome 1626</v>
      </c>
      <c r="K1680" s="8" t="str">
        <v>Tel 1626</v>
      </c>
      <c r="L1680" s="8" t="str">
        <v>Cep 1626</v>
      </c>
      <c r="M1680" s="8" t="str">
        <v>Rua 1626</v>
      </c>
      <c r="N1680" s="8" t="str">
        <v>Comp 1626</v>
      </c>
      <c r="O1680" s="8" t="str">
        <v>Luminária Azul de mesa infantil</v>
      </c>
      <c r="P1680" s="8" t="str">
        <v>NO-Z0ZJ-Z61M</v>
      </c>
      <c r="Q1680" s="4">
        <v>45814</v>
      </c>
      <c r="R1680" s="109">
        <v>49.99</v>
      </c>
      <c r="S1680" s="11">
        <f ca="1"/>
        <v>0</v>
      </c>
      <c r="T1680" s="28">
        <f ca="1"/>
        <v>0</v>
      </c>
      <c r="U1680" s="11">
        <f ca="1"/>
        <v>0</v>
      </c>
      <c r="V1680" s="11">
        <v>0</v>
      </c>
      <c r="W1680" s="11">
        <f ca="1"/>
        <v>0</v>
      </c>
      <c r="X1680" s="11">
        <f ca="1"/>
        <v>0.39877104377104378</v>
      </c>
      <c r="Y1680" s="11">
        <v>0</v>
      </c>
      <c r="Z1680" s="11">
        <f ca="1"/>
        <v>-0.39877104377104378</v>
      </c>
      <c r="AA1680" s="11">
        <f ca="1"/>
        <v>-0.19938552188552189</v>
      </c>
      <c r="AB1680" s="4">
        <f ca="1"/>
        <v>45821</v>
      </c>
      <c r="AC1680" s="4">
        <v>45821</v>
      </c>
      <c r="AD1680" s="9">
        <v>45824</v>
      </c>
      <c r="AE1680" s="9">
        <v>45828</v>
      </c>
      <c r="AF1680" s="4" t="str">
        <f t="shared" ca="1" si="114"/>
        <v>2025 06</v>
      </c>
      <c r="AG1680" s="8" t="str" cm="1">
        <f t="array" ref="AG1680">IFERROR(_xlfn.IFS('Banco de Dados'!#REF!="AG. COMPRA","Em processamento",'Banco de Dados'!#REF!="AG. RASTREIO","Em processamento",'Banco de Dados'!$AE1680&lt;&gt;"-","Faturado",'Banco de Dados'!$AD1680&lt;&gt;"-","Aguardando Pix",'Banco de Dados'!$AC1680&lt;&gt;"-","Pendente"),"Aguardando Liberação")</f>
        <v>Aguardando Liberação</v>
      </c>
      <c r="AH1680" s="5" t="str">
        <f>IF('Banco de Dados'!$F1680="-",_xlfn.CONCAT(PROPER(TEXT(AK1680,"aaaa"))," ",PROPER(TEXT(AK1680,"mm"))),_xlfn.CONCAT(PROPER(TEXT(E1680,"aaaa"))," ",PROPER(TEXT(E1680,"mm"))))</f>
        <v>2025 05</v>
      </c>
      <c r="AI1680" s="9" t="str">
        <f ca="1">IF('Banco de Dados'!$AK1680&lt;&gt;"-","REEMBOLSO",IFERROR(_xlfn.XLOOKUP(G1680,Follow[CODRASTREIO],Follow[STATUS]),"-"))</f>
        <v>REEMBOLSO</v>
      </c>
      <c r="AJ1680" s="9" t="str">
        <f ca="1">IF('Banco de Dados'!$AI1680="ENTREGUE",_xlfn.XLOOKUP('Banco de Dados'!$G1680,Follow[CODRASTREIO],Follow[DATAATUALIZAÇÃO]),"-")</f>
        <v>-</v>
      </c>
      <c r="AK1680" s="132">
        <f ca="1"/>
        <v>45832</v>
      </c>
      <c r="AL1680" s="35"/>
      <c r="AM1680" s="109" cm="1">
        <f t="array" aca="1" ref="AM1680" ca="1">IF('Banco de Dados'!$AK1680&lt;&gt;"-",_xlfn.IFS('Banco de Dados'!$A1680="bv",IF('Banco de Dados'!$E1680&lt;45641,ROUND(SUM('Banco de Dados'!$R1680*_xlfn.XLOOKUP('Banco de Dados'!$P1680,Sku!B:B,Sku!#REF!)*20%),2),ROUND(SUM('Banco de Dados'!$R1680*_xlfn.XLOOKUP('Banco de Dados'!$P1680,Sku!B:B,Sku!H:H)*20%),2)),'Banco de Dados'!$A1680="GO",ROUND(SUM('Banco de Dados'!$R1680*_xlfn.XLOOKUP('Banco de Dados'!$P1680,Sku!C:C,Sku!H:H)*20%),2),'Banco de Dados'!$A1680="MEI",ROUND(SUM('Banco de Dados'!$R1680*_xlfn.XLOOKUP('Banco de Dados'!$P1680,Sku!D:D,Sku!H:H)*20%),2)),0)</f>
        <v>1.2</v>
      </c>
      <c r="AN1680" s="109" t="e">
        <f ca="1">IF('Banco de Dados'!$AK1680&lt;&gt;"-",IF('Banco de Dados'!$F1680&lt;&gt;"-",_xlfn.XLOOKUP(IFERROR(IFERROR(IFERROR(VALUE(SUBSTITUTE(MID(_xlfn.TEXTAFTER('Banco de Dados'!$F1680,"Data do Pedido:
",1),1,10),"-","/")),VALUE(SUBSTITUTE(MID(_xlfn.TEXTAFTER('Banco de Dados'!$F1680,"Order date:
",1),1,10),"-","/"))),VALUE(SUBSTITUTE(MID(_xlfn.TEXTAFTER('Banco de Dados'!$F1680,"Fecha de pedido:
",1),1,10),"-","/"))),"-"),SMS!A:A,SMS!K:K),0),0)</f>
        <v>#N/A</v>
      </c>
      <c r="AO1680" s="109">
        <f ca="1">IF('Banco de Dados'!$AK1680&lt;&gt;"-",IF('Banco de Dados'!$F1680&lt;&gt;"-",IFERROR(_xlfn.XLOOKUP(_xlfn.CONCAT('Banco de Dados'!$A1680,IFERROR(IFERROR(VALUE(SUBSTITUTE(MID(_xlfn.TEXTAFTER('Banco de Dados'!$F1680,"Data do Pedido:
",1),1,10),"-","/")),VALUE(SUBSTITUTE(MID(_xlfn.TEXTAFTER('Banco de Dados'!$F1680,"Order date:
",1),1,10),"-","/"))),0)),ProxyDD[Chave],ProxyDD[Valor por pedido]),PROXY!$P$2),0),0)</f>
        <v>0.39877104377104378</v>
      </c>
      <c r="AP1680" s="28">
        <f ca="1">IF('Banco de Dados'!$AK1680&lt;&gt;"-",IF('Banco de Dados'!$AL1680="NÃO",IFERROR(VALUE(SUBSTITUTE(_xlfn.TEXTAFTER('Banco de Dados'!$F1680,"BRL ",1),".",",")),0),0),0)</f>
        <v>0</v>
      </c>
      <c r="AQ1680" s="28" t="e">
        <f ca="1">SUM('Banco de Dados'!$AM1680:$AP1680)</f>
        <v>#N/A</v>
      </c>
      <c r="AR1680" s="8"/>
      <c r="AS1680" s="8"/>
      <c r="AT1680"/>
      <c r="AY1680" s="8"/>
    </row>
    <row r="1681" spans="1:51">
      <c r="A1681" s="5" t="str">
        <v>MEI</v>
      </c>
      <c r="B1681" s="5" t="str">
        <f ca="1"/>
        <v>MEI45784</v>
      </c>
      <c r="C1681" s="8" t="str">
        <v>Pedido 1668</v>
      </c>
      <c r="D1681" s="187">
        <v>45782</v>
      </c>
      <c r="E1681" s="9">
        <v>45784</v>
      </c>
      <c r="F1681" s="8" t="str">
        <v>PedidoF1591</v>
      </c>
      <c r="G1681" s="2" t="str">
        <v>CódRastreio1589</v>
      </c>
      <c r="H1681" s="5">
        <v>1</v>
      </c>
      <c r="I1681" s="182" t="str">
        <v>CPF 1627</v>
      </c>
      <c r="J1681" s="2" t="str">
        <v>Nome 1627</v>
      </c>
      <c r="K1681" s="8" t="str">
        <v>Tel 1627</v>
      </c>
      <c r="L1681" s="8" t="str">
        <v>Cep 1627</v>
      </c>
      <c r="M1681" s="8" t="str">
        <v>Rua 1627</v>
      </c>
      <c r="N1681" s="8" t="str">
        <v>Comp 1627</v>
      </c>
      <c r="O1681" s="8" t="str">
        <v>Ventilador Azul</v>
      </c>
      <c r="P1681" s="8" t="str">
        <v>PK-L2Z7-MQRQ</v>
      </c>
      <c r="Q1681" s="4">
        <v>45801</v>
      </c>
      <c r="R1681" s="109">
        <v>48.9</v>
      </c>
      <c r="S1681" s="11">
        <f ca="1"/>
        <v>48.9</v>
      </c>
      <c r="T1681" s="28">
        <f ca="1"/>
        <v>5.8679999999999994</v>
      </c>
      <c r="U1681" s="11">
        <f ca="1"/>
        <v>43.03</v>
      </c>
      <c r="V1681" s="11">
        <v>22.01</v>
      </c>
      <c r="W1681" s="11">
        <f ca="1"/>
        <v>0.12</v>
      </c>
      <c r="X1681" s="11">
        <f ca="1"/>
        <v>0.39877104377104378</v>
      </c>
      <c r="Y1681" s="11">
        <v>0</v>
      </c>
      <c r="Z1681" s="11">
        <f ca="1"/>
        <v>20.501228956228953</v>
      </c>
      <c r="AA1681" s="11">
        <f ca="1"/>
        <v>10.250614478114477</v>
      </c>
      <c r="AB1681" s="4">
        <f ca="1"/>
        <v>45808</v>
      </c>
      <c r="AC1681" s="4">
        <v>45808</v>
      </c>
      <c r="AD1681" s="9">
        <v>45824</v>
      </c>
      <c r="AE1681" s="9">
        <v>45828</v>
      </c>
      <c r="AF1681" s="4" t="str">
        <f t="shared" ca="1" si="114"/>
        <v>2025 05</v>
      </c>
      <c r="AG1681" s="8" t="str" cm="1">
        <f t="array" ref="AG1681">IFERROR(_xlfn.IFS('Banco de Dados'!#REF!="AG. COMPRA","Em processamento",'Banco de Dados'!#REF!="AG. RASTREIO","Em processamento",'Banco de Dados'!$AE1681&lt;&gt;"-","Faturado",'Banco de Dados'!$AD1681&lt;&gt;"-","Aguardando Pix",'Banco de Dados'!$AC1681&lt;&gt;"-","Pendente"),"Aguardando Liberação")</f>
        <v>Aguardando Liberação</v>
      </c>
      <c r="AH1681" s="5" t="str">
        <f>IF('Banco de Dados'!$F1681="-",_xlfn.CONCAT(PROPER(TEXT(AK1681,"aaaa"))," ",PROPER(TEXT(AK1681,"mm"))),_xlfn.CONCAT(PROPER(TEXT(E1681,"aaaa"))," ",PROPER(TEXT(E1681,"mm"))))</f>
        <v>2025 05</v>
      </c>
      <c r="AI1681" s="9" t="str">
        <f ca="1">IF('Banco de Dados'!$AK1681&lt;&gt;"-","REEMBOLSO",IFERROR(_xlfn.XLOOKUP(G1681,Follow[CODRASTREIO],Follow[STATUS]),"-"))</f>
        <v>ENTREGUE</v>
      </c>
      <c r="AJ1681" s="9">
        <f ca="1">IF('Banco de Dados'!$AI1681="ENTREGUE",_xlfn.XLOOKUP('Banco de Dados'!$G1681,Follow[CODRASTREIO],Follow[DATAATUALIZAÇÃO]),"-")</f>
        <v>45797</v>
      </c>
      <c r="AK1681" s="132" t="str">
        <f ca="1"/>
        <v>-</v>
      </c>
      <c r="AL1681" s="35"/>
      <c r="AM1681" s="109" cm="1">
        <f t="array" aca="1" ref="AM1681" ca="1">IF('Banco de Dados'!$AK1681&lt;&gt;"-",_xlfn.IFS('Banco de Dados'!$A1681="bv",IF('Banco de Dados'!$E1681&lt;45641,ROUND(SUM('Banco de Dados'!$R1681*_xlfn.XLOOKUP('Banco de Dados'!$P1681,Sku!B:B,Sku!#REF!)*20%),2),ROUND(SUM('Banco de Dados'!$R1681*_xlfn.XLOOKUP('Banco de Dados'!$P1681,Sku!B:B,Sku!H:H)*20%),2)),'Banco de Dados'!$A1681="GO",ROUND(SUM('Banco de Dados'!$R1681*_xlfn.XLOOKUP('Banco de Dados'!$P1681,Sku!C:C,Sku!H:H)*20%),2),'Banco de Dados'!$A1681="MEI",ROUND(SUM('Banco de Dados'!$R1681*_xlfn.XLOOKUP('Banco de Dados'!$P1681,Sku!D:D,Sku!H:H)*20%),2)),0)</f>
        <v>0</v>
      </c>
      <c r="AN1681" s="109">
        <f ca="1">IF('Banco de Dados'!$AK1681&lt;&gt;"-",IF('Banco de Dados'!$F1681&lt;&gt;"-",_xlfn.XLOOKUP(IFERROR(IFERROR(IFERROR(VALUE(SUBSTITUTE(MID(_xlfn.TEXTAFTER('Banco de Dados'!$F1681,"Data do Pedido:
",1),1,10),"-","/")),VALUE(SUBSTITUTE(MID(_xlfn.TEXTAFTER('Banco de Dados'!$F1681,"Order date:
",1),1,10),"-","/"))),VALUE(SUBSTITUTE(MID(_xlfn.TEXTAFTER('Banco de Dados'!$F1681,"Fecha de pedido:
",1),1,10),"-","/"))),"-"),SMS!A:A,SMS!K:K),0),0)</f>
        <v>0</v>
      </c>
      <c r="AO1681" s="109">
        <f ca="1">IF('Banco de Dados'!$AK1681&lt;&gt;"-",IF('Banco de Dados'!$F1681&lt;&gt;"-",IFERROR(_xlfn.XLOOKUP(_xlfn.CONCAT('Banco de Dados'!$A1681,IFERROR(IFERROR(VALUE(SUBSTITUTE(MID(_xlfn.TEXTAFTER('Banco de Dados'!$F1681,"Data do Pedido:
",1),1,10),"-","/")),VALUE(SUBSTITUTE(MID(_xlfn.TEXTAFTER('Banco de Dados'!$F1681,"Order date:
",1),1,10),"-","/"))),0)),ProxyDD[Chave],ProxyDD[Valor por pedido]),PROXY!$P$2),0),0)</f>
        <v>0</v>
      </c>
      <c r="AP1681" s="28">
        <f ca="1">IF('Banco de Dados'!$AK1681&lt;&gt;"-",IF('Banco de Dados'!$AL1681="NÃO",IFERROR(VALUE(SUBSTITUTE(_xlfn.TEXTAFTER('Banco de Dados'!$F1681,"BRL ",1),".",",")),0),0),0)</f>
        <v>0</v>
      </c>
      <c r="AQ1681" s="28">
        <f ca="1">SUM('Banco de Dados'!$AM1681:$AP1681)</f>
        <v>0</v>
      </c>
      <c r="AR1681" s="8"/>
      <c r="AS1681" s="8"/>
      <c r="AT1681"/>
      <c r="AY1681" s="8"/>
    </row>
    <row r="1682" spans="1:51">
      <c r="A1682" s="5" t="str">
        <v>MEI</v>
      </c>
      <c r="B1682" s="5" t="str">
        <f ca="1"/>
        <v>MEI45784</v>
      </c>
      <c r="C1682" s="8" t="str">
        <v>Pedido 1669</v>
      </c>
      <c r="D1682" s="187">
        <v>45782</v>
      </c>
      <c r="E1682" s="9">
        <v>45784</v>
      </c>
      <c r="F1682" s="8" t="str">
        <v>PedidoF1592</v>
      </c>
      <c r="G1682" s="2" t="str">
        <v>CódRastreio1590</v>
      </c>
      <c r="H1682" s="5">
        <v>1</v>
      </c>
      <c r="I1682" s="182" t="str">
        <v>CPF 1628</v>
      </c>
      <c r="J1682" s="2" t="str">
        <v>Nome 1628</v>
      </c>
      <c r="K1682" s="8" t="str">
        <v>Tel 1628</v>
      </c>
      <c r="L1682" s="8" t="str">
        <v>Cep 1628</v>
      </c>
      <c r="M1682" s="8" t="str">
        <v>Rua 1628</v>
      </c>
      <c r="N1682" s="8" t="str">
        <v>Comp 1628</v>
      </c>
      <c r="O1682" s="8" t="str">
        <v>Copo Termico</v>
      </c>
      <c r="P1682" s="8" t="str">
        <v>VI-4RT5-1FFO</v>
      </c>
      <c r="Q1682" s="4">
        <v>45807</v>
      </c>
      <c r="R1682" s="109">
        <v>22.7</v>
      </c>
      <c r="S1682" s="11">
        <f ca="1"/>
        <v>22.7</v>
      </c>
      <c r="T1682" s="28">
        <f ca="1"/>
        <v>2.7239999999999998</v>
      </c>
      <c r="U1682" s="11">
        <f ca="1"/>
        <v>19.98</v>
      </c>
      <c r="V1682" s="11">
        <v>17.170000000000002</v>
      </c>
      <c r="W1682" s="11">
        <f ca="1"/>
        <v>0.12</v>
      </c>
      <c r="X1682" s="11">
        <f ca="1"/>
        <v>0.39877104377104378</v>
      </c>
      <c r="Y1682" s="11">
        <v>0</v>
      </c>
      <c r="Z1682" s="11">
        <f ca="1"/>
        <v>2.2912289562289523</v>
      </c>
      <c r="AA1682" s="11">
        <f ca="1"/>
        <v>1.1456144781144761</v>
      </c>
      <c r="AB1682" s="4">
        <f ca="1"/>
        <v>45814</v>
      </c>
      <c r="AC1682" s="4">
        <v>45814</v>
      </c>
      <c r="AD1682" s="9">
        <v>45824</v>
      </c>
      <c r="AE1682" s="9">
        <v>45828</v>
      </c>
      <c r="AF1682" s="4" t="str">
        <f t="shared" ca="1" si="114"/>
        <v>2025 06</v>
      </c>
      <c r="AG1682" s="8" t="str" cm="1">
        <f t="array" ref="AG1682">IFERROR(_xlfn.IFS('Banco de Dados'!#REF!="AG. COMPRA","Em processamento",'Banco de Dados'!#REF!="AG. RASTREIO","Em processamento",'Banco de Dados'!$AE1682&lt;&gt;"-","Faturado",'Banco de Dados'!$AD1682&lt;&gt;"-","Aguardando Pix",'Banco de Dados'!$AC1682&lt;&gt;"-","Pendente"),"Aguardando Liberação")</f>
        <v>Aguardando Liberação</v>
      </c>
      <c r="AH1682" s="5" t="str">
        <f>IF('Banco de Dados'!$F1682="-",_xlfn.CONCAT(PROPER(TEXT(AK1682,"aaaa"))," ",PROPER(TEXT(AK1682,"mm"))),_xlfn.CONCAT(PROPER(TEXT(E1682,"aaaa"))," ",PROPER(TEXT(E1682,"mm"))))</f>
        <v>2025 05</v>
      </c>
      <c r="AI1682" s="9" t="str">
        <f ca="1">IF('Banco de Dados'!$AK1682&lt;&gt;"-","REEMBOLSO",IFERROR(_xlfn.XLOOKUP(G1682,Follow[CODRASTREIO],Follow[STATUS]),"-"))</f>
        <v>ENTREGUE</v>
      </c>
      <c r="AJ1682" s="9">
        <f ca="1">IF('Banco de Dados'!$AI1682="ENTREGUE",_xlfn.XLOOKUP('Banco de Dados'!$G1682,Follow[CODRASTREIO],Follow[DATAATUALIZAÇÃO]),"-")</f>
        <v>45800</v>
      </c>
      <c r="AK1682" s="132" t="str">
        <f ca="1"/>
        <v>-</v>
      </c>
      <c r="AL1682" s="35"/>
      <c r="AM1682" s="109" cm="1">
        <f t="array" aca="1" ref="AM1682" ca="1">IF('Banco de Dados'!$AK1682&lt;&gt;"-",_xlfn.IFS('Banco de Dados'!$A1682="bv",IF('Banco de Dados'!$E1682&lt;45641,ROUND(SUM('Banco de Dados'!$R1682*_xlfn.XLOOKUP('Banco de Dados'!$P1682,Sku!B:B,Sku!#REF!)*20%),2),ROUND(SUM('Banco de Dados'!$R1682*_xlfn.XLOOKUP('Banco de Dados'!$P1682,Sku!B:B,Sku!H:H)*20%),2)),'Banco de Dados'!$A1682="GO",ROUND(SUM('Banco de Dados'!$R1682*_xlfn.XLOOKUP('Banco de Dados'!$P1682,Sku!C:C,Sku!H:H)*20%),2),'Banco de Dados'!$A1682="MEI",ROUND(SUM('Banco de Dados'!$R1682*_xlfn.XLOOKUP('Banco de Dados'!$P1682,Sku!D:D,Sku!H:H)*20%),2)),0)</f>
        <v>0</v>
      </c>
      <c r="AN1682" s="109">
        <f ca="1">IF('Banco de Dados'!$AK1682&lt;&gt;"-",IF('Banco de Dados'!$F1682&lt;&gt;"-",_xlfn.XLOOKUP(IFERROR(IFERROR(IFERROR(VALUE(SUBSTITUTE(MID(_xlfn.TEXTAFTER('Banco de Dados'!$F1682,"Data do Pedido:
",1),1,10),"-","/")),VALUE(SUBSTITUTE(MID(_xlfn.TEXTAFTER('Banco de Dados'!$F1682,"Order date:
",1),1,10),"-","/"))),VALUE(SUBSTITUTE(MID(_xlfn.TEXTAFTER('Banco de Dados'!$F1682,"Fecha de pedido:
",1),1,10),"-","/"))),"-"),SMS!A:A,SMS!K:K),0),0)</f>
        <v>0</v>
      </c>
      <c r="AO1682" s="109">
        <f ca="1">IF('Banco de Dados'!$AK1682&lt;&gt;"-",IF('Banco de Dados'!$F1682&lt;&gt;"-",IFERROR(_xlfn.XLOOKUP(_xlfn.CONCAT('Banco de Dados'!$A1682,IFERROR(IFERROR(VALUE(SUBSTITUTE(MID(_xlfn.TEXTAFTER('Banco de Dados'!$F1682,"Data do Pedido:
",1),1,10),"-","/")),VALUE(SUBSTITUTE(MID(_xlfn.TEXTAFTER('Banco de Dados'!$F1682,"Order date:
",1),1,10),"-","/"))),0)),ProxyDD[Chave],ProxyDD[Valor por pedido]),PROXY!$P$2),0),0)</f>
        <v>0</v>
      </c>
      <c r="AP1682" s="28">
        <f ca="1">IF('Banco de Dados'!$AK1682&lt;&gt;"-",IF('Banco de Dados'!$AL1682="NÃO",IFERROR(VALUE(SUBSTITUTE(_xlfn.TEXTAFTER('Banco de Dados'!$F1682,"BRL ",1),".",",")),0),0),0)</f>
        <v>0</v>
      </c>
      <c r="AQ1682" s="28">
        <f ca="1">SUM('Banco de Dados'!$AM1682:$AP1682)</f>
        <v>0</v>
      </c>
      <c r="AR1682" s="8"/>
      <c r="AS1682" s="8"/>
      <c r="AT1682"/>
      <c r="AY1682" s="8"/>
    </row>
    <row r="1683" spans="1:51">
      <c r="A1683" s="5" t="str">
        <v>MEI</v>
      </c>
      <c r="B1683" s="5" t="str">
        <f ca="1"/>
        <v>MEI45785</v>
      </c>
      <c r="C1683" s="8" t="str">
        <v>Pedido 1670</v>
      </c>
      <c r="D1683" s="187">
        <v>45782</v>
      </c>
      <c r="E1683" s="9">
        <v>45785</v>
      </c>
      <c r="F1683" s="8" t="str">
        <v>PedidoF1593</v>
      </c>
      <c r="G1683" s="2" t="str">
        <v>CódRastreio1591</v>
      </c>
      <c r="H1683" s="5">
        <v>1</v>
      </c>
      <c r="I1683" s="182" t="str">
        <v>CPF 1629</v>
      </c>
      <c r="J1683" s="2" t="str">
        <v>Nome 1629</v>
      </c>
      <c r="K1683" s="8" t="str">
        <v>Tel 1629</v>
      </c>
      <c r="L1683" s="8" t="str">
        <v>Cep 1629</v>
      </c>
      <c r="M1683" s="8" t="str">
        <v>Rua 1629</v>
      </c>
      <c r="N1683" s="8" t="str">
        <v>Comp 1629</v>
      </c>
      <c r="O1683" s="8" t="str">
        <v>Maçarico Culinário Portátil</v>
      </c>
      <c r="P1683" s="8" t="str">
        <v>BG-DHRO-FAEE</v>
      </c>
      <c r="Q1683" s="4">
        <v>45801</v>
      </c>
      <c r="R1683" s="109">
        <v>31.99</v>
      </c>
      <c r="S1683" s="11">
        <f ca="1"/>
        <v>31.99</v>
      </c>
      <c r="T1683" s="28">
        <f ca="1"/>
        <v>3.5188999999999999</v>
      </c>
      <c r="U1683" s="11">
        <f ca="1"/>
        <v>28.47</v>
      </c>
      <c r="V1683" s="11">
        <v>14.52</v>
      </c>
      <c r="W1683" s="11">
        <f ca="1"/>
        <v>0.14000000000000001</v>
      </c>
      <c r="X1683" s="11">
        <f ca="1"/>
        <v>0.39877104377104378</v>
      </c>
      <c r="Y1683" s="11">
        <v>0</v>
      </c>
      <c r="Z1683" s="11">
        <f ca="1"/>
        <v>13.411228956228955</v>
      </c>
      <c r="AA1683" s="11">
        <f ca="1"/>
        <v>6.7056144781144775</v>
      </c>
      <c r="AB1683" s="4">
        <f ca="1"/>
        <v>45808</v>
      </c>
      <c r="AC1683" s="4">
        <v>45808</v>
      </c>
      <c r="AD1683" s="9">
        <v>45824</v>
      </c>
      <c r="AE1683" s="9">
        <v>45828</v>
      </c>
      <c r="AF1683" s="4" t="str">
        <f t="shared" ca="1" si="114"/>
        <v>2025 05</v>
      </c>
      <c r="AG1683" s="8" t="str" cm="1">
        <f t="array" ref="AG1683">IFERROR(_xlfn.IFS('Banco de Dados'!#REF!="AG. COMPRA","Em processamento",'Banco de Dados'!#REF!="AG. RASTREIO","Em processamento",'Banco de Dados'!$AE1683&lt;&gt;"-","Faturado",'Banco de Dados'!$AD1683&lt;&gt;"-","Aguardando Pix",'Banco de Dados'!$AC1683&lt;&gt;"-","Pendente"),"Aguardando Liberação")</f>
        <v>Aguardando Liberação</v>
      </c>
      <c r="AH1683" s="5" t="str">
        <f>IF('Banco de Dados'!$F1683="-",_xlfn.CONCAT(PROPER(TEXT(AK1683,"aaaa"))," ",PROPER(TEXT(AK1683,"mm"))),_xlfn.CONCAT(PROPER(TEXT(E1683,"aaaa"))," ",PROPER(TEXT(E1683,"mm"))))</f>
        <v>2025 05</v>
      </c>
      <c r="AI1683" s="9" t="str">
        <f ca="1">IF('Banco de Dados'!$AK1683&lt;&gt;"-","REEMBOLSO",IFERROR(_xlfn.XLOOKUP(G1683,Follow[CODRASTREIO],Follow[STATUS]),"-"))</f>
        <v>ENTREGUE</v>
      </c>
      <c r="AJ1683" s="9">
        <f ca="1">IF('Banco de Dados'!$AI1683="ENTREGUE",_xlfn.XLOOKUP('Banco de Dados'!$G1683,Follow[CODRASTREIO],Follow[DATAATUALIZAÇÃO]),"-")</f>
        <v>45791</v>
      </c>
      <c r="AK1683" s="132" t="str">
        <f ca="1"/>
        <v>-</v>
      </c>
      <c r="AL1683" s="35"/>
      <c r="AM1683" s="109" cm="1">
        <f t="array" aca="1" ref="AM1683" ca="1">IF('Banco de Dados'!$AK1683&lt;&gt;"-",_xlfn.IFS('Banco de Dados'!$A1683="bv",IF('Banco de Dados'!$E1683&lt;45641,ROUND(SUM('Banco de Dados'!$R1683*_xlfn.XLOOKUP('Banco de Dados'!$P1683,Sku!B:B,Sku!#REF!)*20%),2),ROUND(SUM('Banco de Dados'!$R1683*_xlfn.XLOOKUP('Banco de Dados'!$P1683,Sku!B:B,Sku!H:H)*20%),2)),'Banco de Dados'!$A1683="GO",ROUND(SUM('Banco de Dados'!$R1683*_xlfn.XLOOKUP('Banco de Dados'!$P1683,Sku!C:C,Sku!H:H)*20%),2),'Banco de Dados'!$A1683="MEI",ROUND(SUM('Banco de Dados'!$R1683*_xlfn.XLOOKUP('Banco de Dados'!$P1683,Sku!D:D,Sku!H:H)*20%),2)),0)</f>
        <v>0</v>
      </c>
      <c r="AN1683" s="109">
        <f ca="1">IF('Banco de Dados'!$AK1683&lt;&gt;"-",IF('Banco de Dados'!$F1683&lt;&gt;"-",_xlfn.XLOOKUP(IFERROR(IFERROR(IFERROR(VALUE(SUBSTITUTE(MID(_xlfn.TEXTAFTER('Banco de Dados'!$F1683,"Data do Pedido:
",1),1,10),"-","/")),VALUE(SUBSTITUTE(MID(_xlfn.TEXTAFTER('Banco de Dados'!$F1683,"Order date:
",1),1,10),"-","/"))),VALUE(SUBSTITUTE(MID(_xlfn.TEXTAFTER('Banco de Dados'!$F1683,"Fecha de pedido:
",1),1,10),"-","/"))),"-"),SMS!A:A,SMS!K:K),0),0)</f>
        <v>0</v>
      </c>
      <c r="AO1683" s="109">
        <f ca="1">IF('Banco de Dados'!$AK1683&lt;&gt;"-",IF('Banco de Dados'!$F1683&lt;&gt;"-",IFERROR(_xlfn.XLOOKUP(_xlfn.CONCAT('Banco de Dados'!$A1683,IFERROR(IFERROR(VALUE(SUBSTITUTE(MID(_xlfn.TEXTAFTER('Banco de Dados'!$F1683,"Data do Pedido:
",1),1,10),"-","/")),VALUE(SUBSTITUTE(MID(_xlfn.TEXTAFTER('Banco de Dados'!$F1683,"Order date:
",1),1,10),"-","/"))),0)),ProxyDD[Chave],ProxyDD[Valor por pedido]),PROXY!$P$2),0),0)</f>
        <v>0</v>
      </c>
      <c r="AP1683" s="28">
        <f ca="1">IF('Banco de Dados'!$AK1683&lt;&gt;"-",IF('Banco de Dados'!$AL1683="NÃO",IFERROR(VALUE(SUBSTITUTE(_xlfn.TEXTAFTER('Banco de Dados'!$F1683,"BRL ",1),".",",")),0),0),0)</f>
        <v>0</v>
      </c>
      <c r="AQ1683" s="28">
        <f ca="1">SUM('Banco de Dados'!$AM1683:$AP1683)</f>
        <v>0</v>
      </c>
      <c r="AR1683" s="8"/>
      <c r="AS1683" s="8"/>
      <c r="AT1683"/>
      <c r="AY1683" s="8"/>
    </row>
    <row r="1684" spans="1:51">
      <c r="A1684" s="5" t="str">
        <v>MEI</v>
      </c>
      <c r="B1684" s="5" t="str">
        <f ca="1"/>
        <v>MEI45784</v>
      </c>
      <c r="C1684" s="8" t="str">
        <v>Pedido 1671</v>
      </c>
      <c r="D1684" s="187">
        <v>45782</v>
      </c>
      <c r="E1684" s="9">
        <v>45784</v>
      </c>
      <c r="F1684" s="8" t="str">
        <v>PedidoF1594</v>
      </c>
      <c r="G1684" s="2" t="str">
        <v>CódRastreio1592</v>
      </c>
      <c r="H1684" s="5">
        <v>1</v>
      </c>
      <c r="I1684" s="182" t="str">
        <v>CPF 1630</v>
      </c>
      <c r="J1684" s="2" t="str">
        <v>Nome 1630</v>
      </c>
      <c r="K1684" s="8" t="str">
        <v>Tel 1630</v>
      </c>
      <c r="L1684" s="8" t="str">
        <v>Cep 1630</v>
      </c>
      <c r="M1684" s="8" t="str">
        <v>Rua 1630</v>
      </c>
      <c r="N1684" s="8" t="str">
        <v>Comp 1630</v>
      </c>
      <c r="O1684" s="8" t="str">
        <v>Fone de ouvido XT60</v>
      </c>
      <c r="P1684" s="8" t="str">
        <v>FM-VW6E-NXCZ</v>
      </c>
      <c r="Q1684" s="4">
        <v>45801</v>
      </c>
      <c r="R1684" s="109">
        <v>96.87</v>
      </c>
      <c r="S1684" s="11">
        <f ca="1"/>
        <v>96.87</v>
      </c>
      <c r="T1684" s="28">
        <f ca="1"/>
        <v>12.593100000000002</v>
      </c>
      <c r="U1684" s="11">
        <f ca="1"/>
        <v>84.28</v>
      </c>
      <c r="V1684" s="11">
        <v>63.83</v>
      </c>
      <c r="W1684" s="11">
        <f ca="1"/>
        <v>0.12</v>
      </c>
      <c r="X1684" s="11">
        <f ca="1"/>
        <v>0.39877104377104378</v>
      </c>
      <c r="Y1684" s="11">
        <v>0</v>
      </c>
      <c r="Z1684" s="11">
        <f ca="1"/>
        <v>19.931228956228964</v>
      </c>
      <c r="AA1684" s="11">
        <f ca="1"/>
        <v>9.9656144781144818</v>
      </c>
      <c r="AB1684" s="4">
        <f ca="1"/>
        <v>45808</v>
      </c>
      <c r="AC1684" s="4">
        <v>45808</v>
      </c>
      <c r="AD1684" s="9">
        <v>45824</v>
      </c>
      <c r="AE1684" s="9">
        <v>45828</v>
      </c>
      <c r="AF1684" s="4" t="str">
        <f t="shared" ca="1" si="114"/>
        <v>2025 05</v>
      </c>
      <c r="AG1684" s="8" t="str" cm="1">
        <f t="array" ref="AG1684">IFERROR(_xlfn.IFS('Banco de Dados'!#REF!="AG. COMPRA","Em processamento",'Banco de Dados'!#REF!="AG. RASTREIO","Em processamento",'Banco de Dados'!$AE1684&lt;&gt;"-","Faturado",'Banco de Dados'!$AD1684&lt;&gt;"-","Aguardando Pix",'Banco de Dados'!$AC1684&lt;&gt;"-","Pendente"),"Aguardando Liberação")</f>
        <v>Aguardando Liberação</v>
      </c>
      <c r="AH1684" s="5" t="str">
        <f>IF('Banco de Dados'!$F1684="-",_xlfn.CONCAT(PROPER(TEXT(AK1684,"aaaa"))," ",PROPER(TEXT(AK1684,"mm"))),_xlfn.CONCAT(PROPER(TEXT(E1684,"aaaa"))," ",PROPER(TEXT(E1684,"mm"))))</f>
        <v>2025 05</v>
      </c>
      <c r="AI1684" s="9" t="str">
        <f ca="1">IF('Banco de Dados'!$AK1684&lt;&gt;"-","REEMBOLSO",IFERROR(_xlfn.XLOOKUP(G1684,Follow[CODRASTREIO],Follow[STATUS]),"-"))</f>
        <v>ENTREGUE</v>
      </c>
      <c r="AJ1684" s="9">
        <f ca="1">IF('Banco de Dados'!$AI1684="ENTREGUE",_xlfn.XLOOKUP('Banco de Dados'!$G1684,Follow[CODRASTREIO],Follow[DATAATUALIZAÇÃO]),"-")</f>
        <v>45797</v>
      </c>
      <c r="AK1684" s="132" t="str">
        <f ca="1"/>
        <v>-</v>
      </c>
      <c r="AL1684" s="35"/>
      <c r="AM1684" s="109" cm="1">
        <f t="array" aca="1" ref="AM1684" ca="1">IF('Banco de Dados'!$AK1684&lt;&gt;"-",_xlfn.IFS('Banco de Dados'!$A1684="bv",IF('Banco de Dados'!$E1684&lt;45641,ROUND(SUM('Banco de Dados'!$R1684*_xlfn.XLOOKUP('Banco de Dados'!$P1684,Sku!B:B,Sku!#REF!)*20%),2),ROUND(SUM('Banco de Dados'!$R1684*_xlfn.XLOOKUP('Banco de Dados'!$P1684,Sku!B:B,Sku!H:H)*20%),2)),'Banco de Dados'!$A1684="GO",ROUND(SUM('Banco de Dados'!$R1684*_xlfn.XLOOKUP('Banco de Dados'!$P1684,Sku!C:C,Sku!H:H)*20%),2),'Banco de Dados'!$A1684="MEI",ROUND(SUM('Banco de Dados'!$R1684*_xlfn.XLOOKUP('Banco de Dados'!$P1684,Sku!D:D,Sku!H:H)*20%),2)),0)</f>
        <v>0</v>
      </c>
      <c r="AN1684" s="109">
        <f ca="1">IF('Banco de Dados'!$AK1684&lt;&gt;"-",IF('Banco de Dados'!$F1684&lt;&gt;"-",_xlfn.XLOOKUP(IFERROR(IFERROR(IFERROR(VALUE(SUBSTITUTE(MID(_xlfn.TEXTAFTER('Banco de Dados'!$F1684,"Data do Pedido:
",1),1,10),"-","/")),VALUE(SUBSTITUTE(MID(_xlfn.TEXTAFTER('Banco de Dados'!$F1684,"Order date:
",1),1,10),"-","/"))),VALUE(SUBSTITUTE(MID(_xlfn.TEXTAFTER('Banco de Dados'!$F1684,"Fecha de pedido:
",1),1,10),"-","/"))),"-"),SMS!A:A,SMS!K:K),0),0)</f>
        <v>0</v>
      </c>
      <c r="AO1684" s="109">
        <f ca="1">IF('Banco de Dados'!$AK1684&lt;&gt;"-",IF('Banco de Dados'!$F1684&lt;&gt;"-",IFERROR(_xlfn.XLOOKUP(_xlfn.CONCAT('Banco de Dados'!$A1684,IFERROR(IFERROR(VALUE(SUBSTITUTE(MID(_xlfn.TEXTAFTER('Banco de Dados'!$F1684,"Data do Pedido:
",1),1,10),"-","/")),VALUE(SUBSTITUTE(MID(_xlfn.TEXTAFTER('Banco de Dados'!$F1684,"Order date:
",1),1,10),"-","/"))),0)),ProxyDD[Chave],ProxyDD[Valor por pedido]),PROXY!$P$2),0),0)</f>
        <v>0</v>
      </c>
      <c r="AP1684" s="28">
        <f ca="1">IF('Banco de Dados'!$AK1684&lt;&gt;"-",IF('Banco de Dados'!$AL1684="NÃO",IFERROR(VALUE(SUBSTITUTE(_xlfn.TEXTAFTER('Banco de Dados'!$F1684,"BRL ",1),".",",")),0),0),0)</f>
        <v>0</v>
      </c>
      <c r="AQ1684" s="28">
        <f ca="1">SUM('Banco de Dados'!$AM1684:$AP1684)</f>
        <v>0</v>
      </c>
      <c r="AR1684" s="8"/>
      <c r="AS1684" s="8"/>
      <c r="AT1684"/>
      <c r="AY1684" s="8"/>
    </row>
    <row r="1685" spans="1:51">
      <c r="A1685" s="5" t="str">
        <v>MEI</v>
      </c>
      <c r="B1685" s="5" t="str">
        <f ca="1"/>
        <v>MEI45784</v>
      </c>
      <c r="C1685" s="8" t="str">
        <v>Pedido 1672</v>
      </c>
      <c r="D1685" s="187">
        <v>45783</v>
      </c>
      <c r="E1685" s="9">
        <v>45784</v>
      </c>
      <c r="F1685" s="8" t="str">
        <v>PedidoF1595</v>
      </c>
      <c r="G1685" s="2" t="str">
        <v>CódRastreio1593</v>
      </c>
      <c r="H1685" s="5">
        <v>1</v>
      </c>
      <c r="I1685" s="182" t="str">
        <v>CPF 1631</v>
      </c>
      <c r="J1685" s="2" t="str">
        <v>Nome 1631</v>
      </c>
      <c r="K1685" s="8" t="str">
        <v>Tel 1631</v>
      </c>
      <c r="L1685" s="8" t="str">
        <v>Cep 1631</v>
      </c>
      <c r="M1685" s="8" t="str">
        <v>Rua 1631</v>
      </c>
      <c r="N1685" s="8" t="str">
        <v>Comp 1631</v>
      </c>
      <c r="O1685" s="8" t="str">
        <v>Ventilador Azul</v>
      </c>
      <c r="P1685" s="8" t="str">
        <v>PK-L2Z7-MQRQ</v>
      </c>
      <c r="Q1685" s="4">
        <v>45807</v>
      </c>
      <c r="R1685" s="109">
        <v>48.9</v>
      </c>
      <c r="S1685" s="11">
        <f ca="1"/>
        <v>48.9</v>
      </c>
      <c r="T1685" s="28">
        <f ca="1"/>
        <v>5.8679999999999994</v>
      </c>
      <c r="U1685" s="11">
        <f ca="1"/>
        <v>43.03</v>
      </c>
      <c r="V1685" s="11">
        <v>15.27</v>
      </c>
      <c r="W1685" s="11">
        <f ca="1"/>
        <v>0.12</v>
      </c>
      <c r="X1685" s="11">
        <f ca="1"/>
        <v>0.39877104377104378</v>
      </c>
      <c r="Y1685" s="11">
        <v>0</v>
      </c>
      <c r="Z1685" s="11">
        <f ca="1"/>
        <v>27.241228956228959</v>
      </c>
      <c r="AA1685" s="11">
        <f ca="1"/>
        <v>13.620614478114479</v>
      </c>
      <c r="AB1685" s="4">
        <f ca="1"/>
        <v>45814</v>
      </c>
      <c r="AC1685" s="4">
        <v>45814</v>
      </c>
      <c r="AD1685" s="9">
        <v>45824</v>
      </c>
      <c r="AE1685" s="9">
        <v>45828</v>
      </c>
      <c r="AF1685" s="4" t="str">
        <f t="shared" ref="AF1685:AF1688" ca="1" si="115">_xlfn.CONCAT(PROPER(TEXT(AB1685,"aaaa"))," ",PROPER(TEXT(AB1685,"mm")))</f>
        <v>2025 06</v>
      </c>
      <c r="AG1685" s="8" t="str" cm="1">
        <f t="array" ref="AG1685">IFERROR(_xlfn.IFS('Banco de Dados'!#REF!="AG. COMPRA","Em processamento",'Banco de Dados'!#REF!="AG. RASTREIO","Em processamento",'Banco de Dados'!$AE1685&lt;&gt;"-","Faturado",'Banco de Dados'!$AD1685&lt;&gt;"-","Aguardando Pix",'Banco de Dados'!$AC1685&lt;&gt;"-","Pendente"),"Aguardando Liberação")</f>
        <v>Aguardando Liberação</v>
      </c>
      <c r="AH1685" s="5" t="str">
        <f>IF('Banco de Dados'!$F1685="-",_xlfn.CONCAT(PROPER(TEXT(AK1685,"aaaa"))," ",PROPER(TEXT(AK1685,"mm"))),_xlfn.CONCAT(PROPER(TEXT(E1685,"aaaa"))," ",PROPER(TEXT(E1685,"mm"))))</f>
        <v>2025 05</v>
      </c>
      <c r="AI1685" s="9" t="str">
        <f ca="1">IF('Banco de Dados'!$AK1685&lt;&gt;"-","REEMBOLSO",IFERROR(_xlfn.XLOOKUP(G1685,Follow[CODRASTREIO],Follow[STATUS]),"-"))</f>
        <v>ENTREGUE</v>
      </c>
      <c r="AJ1685" s="9">
        <f ca="1">IF('Banco de Dados'!$AI1685="ENTREGUE",_xlfn.XLOOKUP('Banco de Dados'!$G1685,Follow[CODRASTREIO],Follow[DATAATUALIZAÇÃO]),"-")</f>
        <v>45798</v>
      </c>
      <c r="AK1685" s="132" t="str">
        <f ca="1"/>
        <v>-</v>
      </c>
      <c r="AL1685" s="35"/>
      <c r="AM1685" s="109" cm="1">
        <f t="array" aca="1" ref="AM1685" ca="1">IF('Banco de Dados'!$AK1685&lt;&gt;"-",_xlfn.IFS('Banco de Dados'!$A1685="bv",IF('Banco de Dados'!$E1685&lt;45641,ROUND(SUM('Banco de Dados'!$R1685*_xlfn.XLOOKUP('Banco de Dados'!$P1685,Sku!B:B,Sku!#REF!)*20%),2),ROUND(SUM('Banco de Dados'!$R1685*_xlfn.XLOOKUP('Banco de Dados'!$P1685,Sku!B:B,Sku!H:H)*20%),2)),'Banco de Dados'!$A1685="GO",ROUND(SUM('Banco de Dados'!$R1685*_xlfn.XLOOKUP('Banco de Dados'!$P1685,Sku!C:C,Sku!H:H)*20%),2),'Banco de Dados'!$A1685="MEI",ROUND(SUM('Banco de Dados'!$R1685*_xlfn.XLOOKUP('Banco de Dados'!$P1685,Sku!D:D,Sku!H:H)*20%),2)),0)</f>
        <v>0</v>
      </c>
      <c r="AN1685" s="109">
        <f ca="1">IF('Banco de Dados'!$AK1685&lt;&gt;"-",IF('Banco de Dados'!$F1685&lt;&gt;"-",_xlfn.XLOOKUP(IFERROR(IFERROR(IFERROR(VALUE(SUBSTITUTE(MID(_xlfn.TEXTAFTER('Banco de Dados'!$F1685,"Data do Pedido:
",1),1,10),"-","/")),VALUE(SUBSTITUTE(MID(_xlfn.TEXTAFTER('Banco de Dados'!$F1685,"Order date:
",1),1,10),"-","/"))),VALUE(SUBSTITUTE(MID(_xlfn.TEXTAFTER('Banco de Dados'!$F1685,"Fecha de pedido:
",1),1,10),"-","/"))),"-"),SMS!A:A,SMS!K:K),0),0)</f>
        <v>0</v>
      </c>
      <c r="AO1685" s="109">
        <f ca="1">IF('Banco de Dados'!$AK1685&lt;&gt;"-",IF('Banco de Dados'!$F1685&lt;&gt;"-",IFERROR(_xlfn.XLOOKUP(_xlfn.CONCAT('Banco de Dados'!$A1685,IFERROR(IFERROR(VALUE(SUBSTITUTE(MID(_xlfn.TEXTAFTER('Banco de Dados'!$F1685,"Data do Pedido:
",1),1,10),"-","/")),VALUE(SUBSTITUTE(MID(_xlfn.TEXTAFTER('Banco de Dados'!$F1685,"Order date:
",1),1,10),"-","/"))),0)),ProxyDD[Chave],ProxyDD[Valor por pedido]),PROXY!$P$2),0),0)</f>
        <v>0</v>
      </c>
      <c r="AP1685" s="28">
        <f ca="1">IF('Banco de Dados'!$AK1685&lt;&gt;"-",IF('Banco de Dados'!$AL1685="NÃO",IFERROR(VALUE(SUBSTITUTE(_xlfn.TEXTAFTER('Banco de Dados'!$F1685,"BRL ",1),".",",")),0),0),0)</f>
        <v>0</v>
      </c>
      <c r="AQ1685" s="28">
        <f ca="1">SUM('Banco de Dados'!$AM1685:$AP1685)</f>
        <v>0</v>
      </c>
      <c r="AR1685" s="8"/>
      <c r="AS1685" s="8"/>
      <c r="AT1685"/>
      <c r="AY1685" s="8"/>
    </row>
    <row r="1686" spans="1:51">
      <c r="A1686" s="5" t="str">
        <v>MEI</v>
      </c>
      <c r="B1686" s="5" t="str">
        <f ca="1"/>
        <v>MEI45785</v>
      </c>
      <c r="C1686" s="8" t="str">
        <v>Pedido 1673</v>
      </c>
      <c r="D1686" s="187">
        <v>45782</v>
      </c>
      <c r="E1686" s="9">
        <v>45785</v>
      </c>
      <c r="F1686" s="8" t="str">
        <v>PedidoF1596</v>
      </c>
      <c r="G1686" s="2" t="str">
        <v>CódRastreio1594</v>
      </c>
      <c r="H1686" s="5">
        <v>1</v>
      </c>
      <c r="I1686" s="182" t="str">
        <v>CPF 1632</v>
      </c>
      <c r="J1686" s="2" t="str">
        <v>Nome 1632</v>
      </c>
      <c r="K1686" s="8" t="str">
        <v>Tel 1632</v>
      </c>
      <c r="L1686" s="8" t="str">
        <v>Cep 1632</v>
      </c>
      <c r="M1686" s="8" t="str">
        <v>Rua 1632</v>
      </c>
      <c r="N1686" s="8" t="str">
        <v>Comp 1632</v>
      </c>
      <c r="O1686" s="8" t="str">
        <v>Garrafa Termica</v>
      </c>
      <c r="P1686" s="8" t="str">
        <v>LF-R6MC-WKWP</v>
      </c>
      <c r="Q1686" s="4">
        <v>45801</v>
      </c>
      <c r="R1686" s="109">
        <v>32.67</v>
      </c>
      <c r="S1686" s="11">
        <f ca="1"/>
        <v>32.67</v>
      </c>
      <c r="T1686" s="28">
        <f ca="1"/>
        <v>3.9203999999999999</v>
      </c>
      <c r="U1686" s="11">
        <f ca="1"/>
        <v>28.75</v>
      </c>
      <c r="V1686" s="11">
        <v>12.3</v>
      </c>
      <c r="W1686" s="11">
        <f ca="1"/>
        <v>0.14000000000000001</v>
      </c>
      <c r="X1686" s="11">
        <f ca="1"/>
        <v>0.39877104377104378</v>
      </c>
      <c r="Y1686" s="11">
        <v>0</v>
      </c>
      <c r="Z1686" s="11">
        <f ca="1"/>
        <v>15.911228956228955</v>
      </c>
      <c r="AA1686" s="11">
        <f ca="1"/>
        <v>7.9556144781144775</v>
      </c>
      <c r="AB1686" s="4">
        <f ca="1"/>
        <v>45808</v>
      </c>
      <c r="AC1686" s="4">
        <v>45808</v>
      </c>
      <c r="AD1686" s="9">
        <v>45824</v>
      </c>
      <c r="AE1686" s="9">
        <v>45828</v>
      </c>
      <c r="AF1686" s="4" t="str">
        <f t="shared" ca="1" si="115"/>
        <v>2025 05</v>
      </c>
      <c r="AG1686" s="8" t="str" cm="1">
        <f t="array" ref="AG1686">IFERROR(_xlfn.IFS('Banco de Dados'!#REF!="AG. COMPRA","Em processamento",'Banco de Dados'!#REF!="AG. RASTREIO","Em processamento",'Banco de Dados'!$AE1686&lt;&gt;"-","Faturado",'Banco de Dados'!$AD1686&lt;&gt;"-","Aguardando Pix",'Banco de Dados'!$AC1686&lt;&gt;"-","Pendente"),"Aguardando Liberação")</f>
        <v>Aguardando Liberação</v>
      </c>
      <c r="AH1686" s="5" t="str">
        <f>IF('Banco de Dados'!$F1686="-",_xlfn.CONCAT(PROPER(TEXT(AK1686,"aaaa"))," ",PROPER(TEXT(AK1686,"mm"))),_xlfn.CONCAT(PROPER(TEXT(E1686,"aaaa"))," ",PROPER(TEXT(E1686,"mm"))))</f>
        <v>2025 05</v>
      </c>
      <c r="AI1686" s="9" t="str">
        <f ca="1">IF('Banco de Dados'!$AK1686&lt;&gt;"-","REEMBOLSO",IFERROR(_xlfn.XLOOKUP(G1686,Follow[CODRASTREIO],Follow[STATUS]),"-"))</f>
        <v>ENTREGUE</v>
      </c>
      <c r="AJ1686" s="9">
        <f ca="1">IF('Banco de Dados'!$AI1686="ENTREGUE",_xlfn.XLOOKUP('Banco de Dados'!$G1686,Follow[CODRASTREIO],Follow[DATAATUALIZAÇÃO]),"-")</f>
        <v>45797</v>
      </c>
      <c r="AK1686" s="132" t="str">
        <f ca="1"/>
        <v>-</v>
      </c>
      <c r="AL1686" s="35"/>
      <c r="AM1686" s="109" cm="1">
        <f t="array" aca="1" ref="AM1686" ca="1">IF('Banco de Dados'!$AK1686&lt;&gt;"-",_xlfn.IFS('Banco de Dados'!$A1686="bv",IF('Banco de Dados'!$E1686&lt;45641,ROUND(SUM('Banco de Dados'!$R1686*_xlfn.XLOOKUP('Banco de Dados'!$P1686,Sku!B:B,Sku!#REF!)*20%),2),ROUND(SUM('Banco de Dados'!$R1686*_xlfn.XLOOKUP('Banco de Dados'!$P1686,Sku!B:B,Sku!H:H)*20%),2)),'Banco de Dados'!$A1686="GO",ROUND(SUM('Banco de Dados'!$R1686*_xlfn.XLOOKUP('Banco de Dados'!$P1686,Sku!C:C,Sku!H:H)*20%),2),'Banco de Dados'!$A1686="MEI",ROUND(SUM('Banco de Dados'!$R1686*_xlfn.XLOOKUP('Banco de Dados'!$P1686,Sku!D:D,Sku!H:H)*20%),2)),0)</f>
        <v>0</v>
      </c>
      <c r="AN1686" s="109">
        <f ca="1">IF('Banco de Dados'!$AK1686&lt;&gt;"-",IF('Banco de Dados'!$F1686&lt;&gt;"-",_xlfn.XLOOKUP(IFERROR(IFERROR(IFERROR(VALUE(SUBSTITUTE(MID(_xlfn.TEXTAFTER('Banco de Dados'!$F1686,"Data do Pedido:
",1),1,10),"-","/")),VALUE(SUBSTITUTE(MID(_xlfn.TEXTAFTER('Banco de Dados'!$F1686,"Order date:
",1),1,10),"-","/"))),VALUE(SUBSTITUTE(MID(_xlfn.TEXTAFTER('Banco de Dados'!$F1686,"Fecha de pedido:
",1),1,10),"-","/"))),"-"),SMS!A:A,SMS!K:K),0),0)</f>
        <v>0</v>
      </c>
      <c r="AO1686" s="109">
        <f ca="1">IF('Banco de Dados'!$AK1686&lt;&gt;"-",IF('Banco de Dados'!$F1686&lt;&gt;"-",IFERROR(_xlfn.XLOOKUP(_xlfn.CONCAT('Banco de Dados'!$A1686,IFERROR(IFERROR(VALUE(SUBSTITUTE(MID(_xlfn.TEXTAFTER('Banco de Dados'!$F1686,"Data do Pedido:
",1),1,10),"-","/")),VALUE(SUBSTITUTE(MID(_xlfn.TEXTAFTER('Banco de Dados'!$F1686,"Order date:
",1),1,10),"-","/"))),0)),ProxyDD[Chave],ProxyDD[Valor por pedido]),PROXY!$P$2),0),0)</f>
        <v>0</v>
      </c>
      <c r="AP1686" s="28">
        <f ca="1">IF('Banco de Dados'!$AK1686&lt;&gt;"-",IF('Banco de Dados'!$AL1686="NÃO",IFERROR(VALUE(SUBSTITUTE(_xlfn.TEXTAFTER('Banco de Dados'!$F1686,"BRL ",1),".",",")),0),0),0)</f>
        <v>0</v>
      </c>
      <c r="AQ1686" s="28">
        <f ca="1">SUM('Banco de Dados'!$AM1686:$AP1686)</f>
        <v>0</v>
      </c>
      <c r="AR1686" s="8"/>
      <c r="AS1686" s="8"/>
      <c r="AT1686"/>
      <c r="AY1686" s="8"/>
    </row>
    <row r="1687" spans="1:51">
      <c r="A1687" s="5" t="str">
        <v>MEI</v>
      </c>
      <c r="B1687" s="5" t="str">
        <f ca="1"/>
        <v>MEI45784</v>
      </c>
      <c r="C1687" s="8" t="str">
        <v>Pedido 1674</v>
      </c>
      <c r="D1687" s="187">
        <v>45783</v>
      </c>
      <c r="E1687" s="9">
        <v>45784</v>
      </c>
      <c r="F1687" s="8" t="str">
        <v>PedidoF1597</v>
      </c>
      <c r="G1687" s="2" t="str">
        <v>CódRastreio1595</v>
      </c>
      <c r="H1687" s="5">
        <v>1</v>
      </c>
      <c r="I1687" s="182" t="str">
        <v>CPF 1633</v>
      </c>
      <c r="J1687" s="2" t="str">
        <v>Nome 1633</v>
      </c>
      <c r="K1687" s="8" t="str">
        <v>Tel 1633</v>
      </c>
      <c r="L1687" s="8" t="str">
        <v>Cep 1633</v>
      </c>
      <c r="M1687" s="8" t="str">
        <v>Rua 1633</v>
      </c>
      <c r="N1687" s="8" t="str">
        <v>Comp 1633</v>
      </c>
      <c r="O1687" s="8" t="str">
        <v>Ventilador Azul</v>
      </c>
      <c r="P1687" s="8" t="str">
        <v>PK-L2Z7-MQRQ</v>
      </c>
      <c r="Q1687" s="4">
        <v>45808</v>
      </c>
      <c r="R1687" s="109">
        <v>48.9</v>
      </c>
      <c r="S1687" s="11">
        <f ca="1"/>
        <v>0</v>
      </c>
      <c r="T1687" s="28">
        <f ca="1"/>
        <v>0</v>
      </c>
      <c r="U1687" s="11">
        <f ca="1"/>
        <v>0</v>
      </c>
      <c r="V1687" s="11">
        <v>0</v>
      </c>
      <c r="W1687" s="11">
        <f ca="1"/>
        <v>0</v>
      </c>
      <c r="X1687" s="11">
        <f ca="1"/>
        <v>0.39877104377104378</v>
      </c>
      <c r="Y1687" s="11">
        <v>0</v>
      </c>
      <c r="Z1687" s="11">
        <f ca="1"/>
        <v>-0.39877104377104378</v>
      </c>
      <c r="AA1687" s="11">
        <f ca="1"/>
        <v>-0.19938552188552189</v>
      </c>
      <c r="AB1687" s="4">
        <f ca="1"/>
        <v>45815</v>
      </c>
      <c r="AC1687" s="4">
        <v>45815</v>
      </c>
      <c r="AD1687" s="9">
        <v>45824</v>
      </c>
      <c r="AE1687" s="9">
        <v>45828</v>
      </c>
      <c r="AF1687" s="4" t="str">
        <f t="shared" ca="1" si="115"/>
        <v>2025 06</v>
      </c>
      <c r="AG1687" s="8" t="str" cm="1">
        <f t="array" ref="AG1687">IFERROR(_xlfn.IFS('Banco de Dados'!#REF!="AG. COMPRA","Em processamento",'Banco de Dados'!#REF!="AG. RASTREIO","Em processamento",'Banco de Dados'!$AE1687&lt;&gt;"-","Faturado",'Banco de Dados'!$AD1687&lt;&gt;"-","Aguardando Pix",'Banco de Dados'!$AC1687&lt;&gt;"-","Pendente"),"Aguardando Liberação")</f>
        <v>Aguardando Liberação</v>
      </c>
      <c r="AH1687" s="5" t="str">
        <f>IF('Banco de Dados'!$F1687="-",_xlfn.CONCAT(PROPER(TEXT(AK1687,"aaaa"))," ",PROPER(TEXT(AK1687,"mm"))),_xlfn.CONCAT(PROPER(TEXT(E1687,"aaaa"))," ",PROPER(TEXT(E1687,"mm"))))</f>
        <v>2025 05</v>
      </c>
      <c r="AI1687" s="9" t="str">
        <f ca="1">IF('Banco de Dados'!$AK1687&lt;&gt;"-","REEMBOLSO",IFERROR(_xlfn.XLOOKUP(G1687,Follow[CODRASTREIO],Follow[STATUS]),"-"))</f>
        <v>REEMBOLSO</v>
      </c>
      <c r="AJ1687" s="9" t="str">
        <f ca="1">IF('Banco de Dados'!$AI1687="ENTREGUE",_xlfn.XLOOKUP('Banco de Dados'!$G1687,Follow[CODRASTREIO],Follow[DATAATUALIZAÇÃO]),"-")</f>
        <v>-</v>
      </c>
      <c r="AK1687" s="132">
        <f ca="1"/>
        <v>45818</v>
      </c>
      <c r="AL1687" s="35"/>
      <c r="AM1687" s="109" cm="1">
        <f t="array" aca="1" ref="AM1687" ca="1">IF('Banco de Dados'!$AK1687&lt;&gt;"-",_xlfn.IFS('Banco de Dados'!$A1687="bv",IF('Banco de Dados'!$E1687&lt;45641,ROUND(SUM('Banco de Dados'!$R1687*_xlfn.XLOOKUP('Banco de Dados'!$P1687,Sku!B:B,Sku!#REF!)*20%),2),ROUND(SUM('Banco de Dados'!$R1687*_xlfn.XLOOKUP('Banco de Dados'!$P1687,Sku!B:B,Sku!H:H)*20%),2)),'Banco de Dados'!$A1687="GO",ROUND(SUM('Banco de Dados'!$R1687*_xlfn.XLOOKUP('Banco de Dados'!$P1687,Sku!C:C,Sku!H:H)*20%),2),'Banco de Dados'!$A1687="MEI",ROUND(SUM('Banco de Dados'!$R1687*_xlfn.XLOOKUP('Banco de Dados'!$P1687,Sku!D:D,Sku!H:H)*20%),2)),0)</f>
        <v>1.27</v>
      </c>
      <c r="AN1687" s="109" t="e">
        <f ca="1">IF('Banco de Dados'!$AK1687&lt;&gt;"-",IF('Banco de Dados'!$F1687&lt;&gt;"-",_xlfn.XLOOKUP(IFERROR(IFERROR(IFERROR(VALUE(SUBSTITUTE(MID(_xlfn.TEXTAFTER('Banco de Dados'!$F1687,"Data do Pedido:
",1),1,10),"-","/")),VALUE(SUBSTITUTE(MID(_xlfn.TEXTAFTER('Banco de Dados'!$F1687,"Order date:
",1),1,10),"-","/"))),VALUE(SUBSTITUTE(MID(_xlfn.TEXTAFTER('Banco de Dados'!$F1687,"Fecha de pedido:
",1),1,10),"-","/"))),"-"),SMS!A:A,SMS!K:K),0),0)</f>
        <v>#N/A</v>
      </c>
      <c r="AO1687" s="109">
        <f ca="1">IF('Banco de Dados'!$AK1687&lt;&gt;"-",IF('Banco de Dados'!$F1687&lt;&gt;"-",IFERROR(_xlfn.XLOOKUP(_xlfn.CONCAT('Banco de Dados'!$A1687,IFERROR(IFERROR(VALUE(SUBSTITUTE(MID(_xlfn.TEXTAFTER('Banco de Dados'!$F1687,"Data do Pedido:
",1),1,10),"-","/")),VALUE(SUBSTITUTE(MID(_xlfn.TEXTAFTER('Banco de Dados'!$F1687,"Order date:
",1),1,10),"-","/"))),0)),ProxyDD[Chave],ProxyDD[Valor por pedido]),PROXY!$P$2),0),0)</f>
        <v>0.39877104377104378</v>
      </c>
      <c r="AP1687" s="28">
        <f ca="1">IF('Banco de Dados'!$AK1687&lt;&gt;"-",IF('Banco de Dados'!$AL1687="NÃO",IFERROR(VALUE(SUBSTITUTE(_xlfn.TEXTAFTER('Banco de Dados'!$F1687,"BRL ",1),".",",")),0),0),0)</f>
        <v>0</v>
      </c>
      <c r="AQ1687" s="28" t="e">
        <f ca="1">SUM('Banco de Dados'!$AM1687:$AP1687)</f>
        <v>#N/A</v>
      </c>
      <c r="AR1687" s="8"/>
      <c r="AS1687" s="8"/>
      <c r="AT1687"/>
      <c r="AY1687" s="8"/>
    </row>
    <row r="1688" spans="1:51">
      <c r="A1688" s="5" t="str">
        <v>MEI</v>
      </c>
      <c r="B1688" s="5" t="str">
        <f ca="1"/>
        <v>MEI45785</v>
      </c>
      <c r="C1688" s="8" t="str">
        <v>Pedido 1675</v>
      </c>
      <c r="D1688" s="187">
        <v>45783</v>
      </c>
      <c r="E1688" s="9">
        <v>45785</v>
      </c>
      <c r="F1688" s="8" t="str">
        <v>PedidoF1598</v>
      </c>
      <c r="G1688" s="2" t="str">
        <v>CódRastreio1596</v>
      </c>
      <c r="H1688" s="5">
        <v>1</v>
      </c>
      <c r="I1688" s="182" t="str">
        <v>CPF 1634</v>
      </c>
      <c r="J1688" s="2" t="str">
        <v>Nome 1634</v>
      </c>
      <c r="K1688" s="8" t="str">
        <v>Tel 1634</v>
      </c>
      <c r="L1688" s="8" t="str">
        <v>Cep 1634</v>
      </c>
      <c r="M1688" s="8" t="str">
        <v>Rua 1634</v>
      </c>
      <c r="N1688" s="8" t="str">
        <v>Comp 1634</v>
      </c>
      <c r="O1688" s="8" t="str">
        <v>Ventilador Preto</v>
      </c>
      <c r="P1688" s="8" t="str">
        <v>WU-SS4J-LFOH</v>
      </c>
      <c r="Q1688" s="4">
        <v>45804</v>
      </c>
      <c r="R1688" s="109">
        <v>65.7</v>
      </c>
      <c r="S1688" s="11">
        <f ca="1"/>
        <v>65.7</v>
      </c>
      <c r="T1688" s="28">
        <f ca="1"/>
        <v>7.8840000000000003</v>
      </c>
      <c r="U1688" s="11">
        <f ca="1"/>
        <v>57.82</v>
      </c>
      <c r="V1688" s="11">
        <v>14.3</v>
      </c>
      <c r="W1688" s="11">
        <f ca="1"/>
        <v>0.14000000000000001</v>
      </c>
      <c r="X1688" s="11">
        <f ca="1"/>
        <v>0.39877104377104378</v>
      </c>
      <c r="Y1688" s="11">
        <v>0</v>
      </c>
      <c r="Z1688" s="11">
        <f ca="1"/>
        <v>42.981228956228954</v>
      </c>
      <c r="AA1688" s="11">
        <f ca="1"/>
        <v>21.490614478114477</v>
      </c>
      <c r="AB1688" s="4">
        <f ca="1"/>
        <v>45811</v>
      </c>
      <c r="AC1688" s="4">
        <v>45811</v>
      </c>
      <c r="AD1688" s="9">
        <v>45824</v>
      </c>
      <c r="AE1688" s="9">
        <v>45828</v>
      </c>
      <c r="AF1688" s="4" t="str">
        <f t="shared" ca="1" si="115"/>
        <v>2025 06</v>
      </c>
      <c r="AG1688" s="8" t="str" cm="1">
        <f t="array" ref="AG1688">IFERROR(_xlfn.IFS('Banco de Dados'!#REF!="AG. COMPRA","Em processamento",'Banco de Dados'!#REF!="AG. RASTREIO","Em processamento",'Banco de Dados'!$AE1688&lt;&gt;"-","Faturado",'Banco de Dados'!$AD1688&lt;&gt;"-","Aguardando Pix",'Banco de Dados'!$AC1688&lt;&gt;"-","Pendente"),"Aguardando Liberação")</f>
        <v>Aguardando Liberação</v>
      </c>
      <c r="AH1688" s="5" t="str">
        <f>IF('Banco de Dados'!$F1688="-",_xlfn.CONCAT(PROPER(TEXT(AK1688,"aaaa"))," ",PROPER(TEXT(AK1688,"mm"))),_xlfn.CONCAT(PROPER(TEXT(E1688,"aaaa"))," ",PROPER(TEXT(E1688,"mm"))))</f>
        <v>2025 05</v>
      </c>
      <c r="AI1688" s="9" t="str">
        <f ca="1">IF('Banco de Dados'!$AK1688&lt;&gt;"-","REEMBOLSO",IFERROR(_xlfn.XLOOKUP(G1688,Follow[CODRASTREIO],Follow[STATUS]),"-"))</f>
        <v>ENTREGUE</v>
      </c>
      <c r="AJ1688" s="9">
        <f ca="1">IF('Banco de Dados'!$AI1688="ENTREGUE",_xlfn.XLOOKUP('Banco de Dados'!$G1688,Follow[CODRASTREIO],Follow[DATAATUALIZAÇÃO]),"-")</f>
        <v>45797</v>
      </c>
      <c r="AK1688" s="132" t="str">
        <f ca="1"/>
        <v>-</v>
      </c>
      <c r="AL1688" s="35"/>
      <c r="AM1688" s="109" cm="1">
        <f t="array" aca="1" ref="AM1688" ca="1">IF('Banco de Dados'!$AK1688&lt;&gt;"-",_xlfn.IFS('Banco de Dados'!$A1688="bv",IF('Banco de Dados'!$E1688&lt;45641,ROUND(SUM('Banco de Dados'!$R1688*_xlfn.XLOOKUP('Banco de Dados'!$P1688,Sku!B:B,Sku!#REF!)*20%),2),ROUND(SUM('Banco de Dados'!$R1688*_xlfn.XLOOKUP('Banco de Dados'!$P1688,Sku!B:B,Sku!H:H)*20%),2)),'Banco de Dados'!$A1688="GO",ROUND(SUM('Banco de Dados'!$R1688*_xlfn.XLOOKUP('Banco de Dados'!$P1688,Sku!C:C,Sku!H:H)*20%),2),'Banco de Dados'!$A1688="MEI",ROUND(SUM('Banco de Dados'!$R1688*_xlfn.XLOOKUP('Banco de Dados'!$P1688,Sku!D:D,Sku!H:H)*20%),2)),0)</f>
        <v>0</v>
      </c>
      <c r="AN1688" s="109">
        <f ca="1">IF('Banco de Dados'!$AK1688&lt;&gt;"-",IF('Banco de Dados'!$F1688&lt;&gt;"-",_xlfn.XLOOKUP(IFERROR(IFERROR(IFERROR(VALUE(SUBSTITUTE(MID(_xlfn.TEXTAFTER('Banco de Dados'!$F1688,"Data do Pedido:
",1),1,10),"-","/")),VALUE(SUBSTITUTE(MID(_xlfn.TEXTAFTER('Banco de Dados'!$F1688,"Order date:
",1),1,10),"-","/"))),VALUE(SUBSTITUTE(MID(_xlfn.TEXTAFTER('Banco de Dados'!$F1688,"Fecha de pedido:
",1),1,10),"-","/"))),"-"),SMS!A:A,SMS!K:K),0),0)</f>
        <v>0</v>
      </c>
      <c r="AO1688" s="109">
        <f ca="1">IF('Banco de Dados'!$AK1688&lt;&gt;"-",IF('Banco de Dados'!$F1688&lt;&gt;"-",IFERROR(_xlfn.XLOOKUP(_xlfn.CONCAT('Banco de Dados'!$A1688,IFERROR(IFERROR(VALUE(SUBSTITUTE(MID(_xlfn.TEXTAFTER('Banco de Dados'!$F1688,"Data do Pedido:
",1),1,10),"-","/")),VALUE(SUBSTITUTE(MID(_xlfn.TEXTAFTER('Banco de Dados'!$F1688,"Order date:
",1),1,10),"-","/"))),0)),ProxyDD[Chave],ProxyDD[Valor por pedido]),PROXY!$P$2),0),0)</f>
        <v>0</v>
      </c>
      <c r="AP1688" s="28">
        <f ca="1">IF('Banco de Dados'!$AK1688&lt;&gt;"-",IF('Banco de Dados'!$AL1688="NÃO",IFERROR(VALUE(SUBSTITUTE(_xlfn.TEXTAFTER('Banco de Dados'!$F1688,"BRL ",1),".",",")),0),0),0)</f>
        <v>0</v>
      </c>
      <c r="AQ1688" s="28">
        <f ca="1">SUM('Banco de Dados'!$AM1688:$AP1688)</f>
        <v>0</v>
      </c>
      <c r="AR1688" s="8"/>
      <c r="AS1688" s="8"/>
      <c r="AT1688"/>
      <c r="AY1688" s="8"/>
    </row>
    <row r="1689" spans="1:51">
      <c r="A1689" s="5" t="str">
        <v>MEI</v>
      </c>
      <c r="B1689" s="5" t="str">
        <f ca="1"/>
        <v>MEI45785</v>
      </c>
      <c r="C1689" s="8" t="str">
        <v>Pedido 1676</v>
      </c>
      <c r="D1689" s="187">
        <v>45784</v>
      </c>
      <c r="E1689" s="9">
        <v>45785</v>
      </c>
      <c r="F1689" s="8" t="str">
        <v>PedidoF1599</v>
      </c>
      <c r="G1689" s="2" t="str">
        <v>CódRastreio1597</v>
      </c>
      <c r="H1689" s="5">
        <v>1</v>
      </c>
      <c r="I1689" s="182" t="str">
        <v>CPF 1635</v>
      </c>
      <c r="J1689" s="2" t="str">
        <v>Nome 1635</v>
      </c>
      <c r="K1689" s="8" t="str">
        <v>Tel 1635</v>
      </c>
      <c r="L1689" s="8" t="str">
        <v>Cep 1635</v>
      </c>
      <c r="M1689" s="8" t="str">
        <v>Rua 1635</v>
      </c>
      <c r="N1689" s="8" t="str">
        <v>Comp 1635</v>
      </c>
      <c r="O1689" s="8" t="str">
        <v>Ventilador Azul</v>
      </c>
      <c r="P1689" s="8" t="str">
        <v>PK-L2Z7-MQRQ</v>
      </c>
      <c r="Q1689" s="4">
        <v>45815</v>
      </c>
      <c r="R1689" s="109">
        <v>48.9</v>
      </c>
      <c r="S1689" s="11">
        <f ca="1"/>
        <v>48.9</v>
      </c>
      <c r="T1689" s="28">
        <f ca="1"/>
        <v>5.8679999999999994</v>
      </c>
      <c r="U1689" s="11">
        <f ca="1"/>
        <v>43.03</v>
      </c>
      <c r="V1689" s="11">
        <v>21.72</v>
      </c>
      <c r="W1689" s="11">
        <f ca="1"/>
        <v>0.14000000000000001</v>
      </c>
      <c r="X1689" s="11">
        <f ca="1"/>
        <v>0.39877104377104378</v>
      </c>
      <c r="Y1689" s="11">
        <v>0</v>
      </c>
      <c r="Z1689" s="11">
        <f ca="1"/>
        <v>20.771228956228956</v>
      </c>
      <c r="AA1689" s="11">
        <f ca="1"/>
        <v>10.385614478114478</v>
      </c>
      <c r="AB1689" s="4">
        <f ca="1"/>
        <v>45822</v>
      </c>
      <c r="AC1689" s="4">
        <v>45822</v>
      </c>
      <c r="AD1689" s="9">
        <v>45824</v>
      </c>
      <c r="AE1689" s="9">
        <v>45828</v>
      </c>
      <c r="AF1689" s="4" t="str">
        <f t="shared" ref="AF1689:AF1694" ca="1" si="116">_xlfn.CONCAT(PROPER(TEXT(AB1689,"aaaa"))," ",PROPER(TEXT(AB1689,"mm")))</f>
        <v>2025 06</v>
      </c>
      <c r="AG1689" s="8" t="str" cm="1">
        <f t="array" ref="AG1689">IFERROR(_xlfn.IFS('Banco de Dados'!#REF!="AG. COMPRA","Em processamento",'Banco de Dados'!#REF!="AG. RASTREIO","Em processamento",'Banco de Dados'!$AE1689&lt;&gt;"-","Faturado",'Banco de Dados'!$AD1689&lt;&gt;"-","Aguardando Pix",'Banco de Dados'!$AC1689&lt;&gt;"-","Pendente"),"Aguardando Liberação")</f>
        <v>Aguardando Liberação</v>
      </c>
      <c r="AH1689" s="5" t="str">
        <f>IF('Banco de Dados'!$F1689="-",_xlfn.CONCAT(PROPER(TEXT(AK1689,"aaaa"))," ",PROPER(TEXT(AK1689,"mm"))),_xlfn.CONCAT(PROPER(TEXT(E1689,"aaaa"))," ",PROPER(TEXT(E1689,"mm"))))</f>
        <v>2025 05</v>
      </c>
      <c r="AI1689" s="9" t="str">
        <f ca="1">IF('Banco de Dados'!$AK1689&lt;&gt;"-","REEMBOLSO",IFERROR(_xlfn.XLOOKUP(G1689,Follow[CODRASTREIO],Follow[STATUS]),"-"))</f>
        <v>ENTREGUE</v>
      </c>
      <c r="AJ1689" s="9">
        <f ca="1">IF('Banco de Dados'!$AI1689="ENTREGUE",_xlfn.XLOOKUP('Banco de Dados'!$G1689,Follow[CODRASTREIO],Follow[DATAATUALIZAÇÃO]),"-")</f>
        <v>45830.576261574075</v>
      </c>
      <c r="AK1689" s="132" t="str">
        <f ca="1"/>
        <v>-</v>
      </c>
      <c r="AL1689" s="35"/>
      <c r="AM1689" s="109" cm="1">
        <f t="array" aca="1" ref="AM1689" ca="1">IF('Banco de Dados'!$AK1689&lt;&gt;"-",_xlfn.IFS('Banco de Dados'!$A1689="bv",IF('Banco de Dados'!$E1689&lt;45641,ROUND(SUM('Banco de Dados'!$R1689*_xlfn.XLOOKUP('Banco de Dados'!$P1689,Sku!B:B,Sku!#REF!)*20%),2),ROUND(SUM('Banco de Dados'!$R1689*_xlfn.XLOOKUP('Banco de Dados'!$P1689,Sku!B:B,Sku!H:H)*20%),2)),'Banco de Dados'!$A1689="GO",ROUND(SUM('Banco de Dados'!$R1689*_xlfn.XLOOKUP('Banco de Dados'!$P1689,Sku!C:C,Sku!H:H)*20%),2),'Banco de Dados'!$A1689="MEI",ROUND(SUM('Banco de Dados'!$R1689*_xlfn.XLOOKUP('Banco de Dados'!$P1689,Sku!D:D,Sku!H:H)*20%),2)),0)</f>
        <v>0</v>
      </c>
      <c r="AN1689" s="109">
        <f ca="1">IF('Banco de Dados'!$AK1689&lt;&gt;"-",IF('Banco de Dados'!$F1689&lt;&gt;"-",_xlfn.XLOOKUP(IFERROR(IFERROR(IFERROR(VALUE(SUBSTITUTE(MID(_xlfn.TEXTAFTER('Banco de Dados'!$F1689,"Data do Pedido:
",1),1,10),"-","/")),VALUE(SUBSTITUTE(MID(_xlfn.TEXTAFTER('Banco de Dados'!$F1689,"Order date:
",1),1,10),"-","/"))),VALUE(SUBSTITUTE(MID(_xlfn.TEXTAFTER('Banco de Dados'!$F1689,"Fecha de pedido:
",1),1,10),"-","/"))),"-"),SMS!A:A,SMS!K:K),0),0)</f>
        <v>0</v>
      </c>
      <c r="AO1689" s="109">
        <f ca="1">IF('Banco de Dados'!$AK1689&lt;&gt;"-",IF('Banco de Dados'!$F1689&lt;&gt;"-",IFERROR(_xlfn.XLOOKUP(_xlfn.CONCAT('Banco de Dados'!$A1689,IFERROR(IFERROR(VALUE(SUBSTITUTE(MID(_xlfn.TEXTAFTER('Banco de Dados'!$F1689,"Data do Pedido:
",1),1,10),"-","/")),VALUE(SUBSTITUTE(MID(_xlfn.TEXTAFTER('Banco de Dados'!$F1689,"Order date:
",1),1,10),"-","/"))),0)),ProxyDD[Chave],ProxyDD[Valor por pedido]),PROXY!$P$2),0),0)</f>
        <v>0</v>
      </c>
      <c r="AP1689" s="28">
        <f ca="1">IF('Banco de Dados'!$AK1689&lt;&gt;"-",IF('Banco de Dados'!$AL1689="NÃO",IFERROR(VALUE(SUBSTITUTE(_xlfn.TEXTAFTER('Banco de Dados'!$F1689,"BRL ",1),".",",")),0),0),0)</f>
        <v>0</v>
      </c>
      <c r="AQ1689" s="28">
        <f ca="1">SUM('Banco de Dados'!$AM1689:$AP1689)</f>
        <v>0</v>
      </c>
      <c r="AR1689" s="8"/>
      <c r="AS1689" s="8"/>
      <c r="AT1689"/>
      <c r="AY1689" s="8"/>
    </row>
    <row r="1690" spans="1:51">
      <c r="A1690" s="5" t="str">
        <v>MEI</v>
      </c>
      <c r="B1690" s="5" t="str">
        <f ca="1"/>
        <v>MEI45789</v>
      </c>
      <c r="C1690" s="8" t="str">
        <v>Pedido 1677</v>
      </c>
      <c r="D1690" s="187">
        <v>45784</v>
      </c>
      <c r="E1690" s="9">
        <v>45789</v>
      </c>
      <c r="F1690" s="8" t="str">
        <v>PedidoF1600</v>
      </c>
      <c r="G1690" s="2" t="str">
        <v>CódRastreio1598</v>
      </c>
      <c r="H1690" s="5">
        <v>1</v>
      </c>
      <c r="I1690" s="182" t="str">
        <v>CPF 1636</v>
      </c>
      <c r="J1690" s="2" t="str">
        <v>Nome 1636</v>
      </c>
      <c r="K1690" s="8" t="str">
        <v>Tel 1636</v>
      </c>
      <c r="L1690" s="8" t="str">
        <v>Cep 1636</v>
      </c>
      <c r="M1690" s="8" t="str">
        <v>Rua 1636</v>
      </c>
      <c r="N1690" s="8" t="str">
        <v>Comp 1636</v>
      </c>
      <c r="O1690" s="8" t="str">
        <v>Ventilador Umidificador Preto</v>
      </c>
      <c r="P1690" s="8" t="str">
        <v>71-KHMZ-MLQW</v>
      </c>
      <c r="Q1690" s="4">
        <v>45811</v>
      </c>
      <c r="R1690" s="109">
        <v>49.99</v>
      </c>
      <c r="S1690" s="11">
        <f ca="1"/>
        <v>0</v>
      </c>
      <c r="T1690" s="28">
        <f ca="1"/>
        <v>0</v>
      </c>
      <c r="U1690" s="11">
        <f ca="1"/>
        <v>0</v>
      </c>
      <c r="V1690" s="11">
        <v>0</v>
      </c>
      <c r="W1690" s="11">
        <f ca="1"/>
        <v>0</v>
      </c>
      <c r="X1690" s="11">
        <f ca="1"/>
        <v>0.39877104377104378</v>
      </c>
      <c r="Y1690" s="11">
        <v>0</v>
      </c>
      <c r="Z1690" s="11">
        <f ca="1"/>
        <v>-0.39877104377104378</v>
      </c>
      <c r="AA1690" s="11">
        <f ca="1"/>
        <v>-0.19938552188552189</v>
      </c>
      <c r="AB1690" s="4">
        <f ca="1"/>
        <v>45818</v>
      </c>
      <c r="AC1690" s="4">
        <v>45818</v>
      </c>
      <c r="AD1690" s="9">
        <v>45824</v>
      </c>
      <c r="AE1690" s="9">
        <v>45828</v>
      </c>
      <c r="AF1690" s="4" t="str">
        <f t="shared" ca="1" si="116"/>
        <v>2025 06</v>
      </c>
      <c r="AG1690" s="8" t="str" cm="1">
        <f t="array" ref="AG1690">IFERROR(_xlfn.IFS('Banco de Dados'!#REF!="AG. COMPRA","Em processamento",'Banco de Dados'!#REF!="AG. RASTREIO","Em processamento",'Banco de Dados'!$AE1690&lt;&gt;"-","Faturado",'Banco de Dados'!$AD1690&lt;&gt;"-","Aguardando Pix",'Banco de Dados'!$AC1690&lt;&gt;"-","Pendente"),"Aguardando Liberação")</f>
        <v>Aguardando Liberação</v>
      </c>
      <c r="AH1690" s="5" t="str">
        <f>IF('Banco de Dados'!$F1690="-",_xlfn.CONCAT(PROPER(TEXT(AK1690,"aaaa"))," ",PROPER(TEXT(AK1690,"mm"))),_xlfn.CONCAT(PROPER(TEXT(E1690,"aaaa"))," ",PROPER(TEXT(E1690,"mm"))))</f>
        <v>2025 05</v>
      </c>
      <c r="AI1690" s="9" t="str">
        <f ca="1">IF('Banco de Dados'!$AK1690&lt;&gt;"-","REEMBOLSO",IFERROR(_xlfn.XLOOKUP(G1690,Follow[CODRASTREIO],Follow[STATUS]),"-"))</f>
        <v>REEMBOLSO</v>
      </c>
      <c r="AJ1690" s="9" t="str">
        <f ca="1">IF('Banco de Dados'!$AI1690="ENTREGUE",_xlfn.XLOOKUP('Banco de Dados'!$G1690,Follow[CODRASTREIO],Follow[DATAATUALIZAÇÃO]),"-")</f>
        <v>-</v>
      </c>
      <c r="AK1690" s="132">
        <f ca="1"/>
        <v>45817</v>
      </c>
      <c r="AL1690" s="35"/>
      <c r="AM1690" s="109" cm="1">
        <f t="array" aca="1" ref="AM1690" ca="1">IF('Banco de Dados'!$AK1690&lt;&gt;"-",_xlfn.IFS('Banco de Dados'!$A1690="bv",IF('Banco de Dados'!$E1690&lt;45641,ROUND(SUM('Banco de Dados'!$R1690*_xlfn.XLOOKUP('Banco de Dados'!$P1690,Sku!B:B,Sku!#REF!)*20%),2),ROUND(SUM('Banco de Dados'!$R1690*_xlfn.XLOOKUP('Banco de Dados'!$P1690,Sku!B:B,Sku!H:H)*20%),2)),'Banco de Dados'!$A1690="GO",ROUND(SUM('Banco de Dados'!$R1690*_xlfn.XLOOKUP('Banco de Dados'!$P1690,Sku!C:C,Sku!H:H)*20%),2),'Banco de Dados'!$A1690="MEI",ROUND(SUM('Banco de Dados'!$R1690*_xlfn.XLOOKUP('Banco de Dados'!$P1690,Sku!D:D,Sku!H:H)*20%),2)),0)</f>
        <v>1.4</v>
      </c>
      <c r="AN1690" s="109" t="e">
        <f ca="1">IF('Banco de Dados'!$AK1690&lt;&gt;"-",IF('Banco de Dados'!$F1690&lt;&gt;"-",_xlfn.XLOOKUP(IFERROR(IFERROR(IFERROR(VALUE(SUBSTITUTE(MID(_xlfn.TEXTAFTER('Banco de Dados'!$F1690,"Data do Pedido:
",1),1,10),"-","/")),VALUE(SUBSTITUTE(MID(_xlfn.TEXTAFTER('Banco de Dados'!$F1690,"Order date:
",1),1,10),"-","/"))),VALUE(SUBSTITUTE(MID(_xlfn.TEXTAFTER('Banco de Dados'!$F1690,"Fecha de pedido:
",1),1,10),"-","/"))),"-"),SMS!A:A,SMS!K:K),0),0)</f>
        <v>#N/A</v>
      </c>
      <c r="AO1690" s="109">
        <f ca="1">IF('Banco de Dados'!$AK1690&lt;&gt;"-",IF('Banco de Dados'!$F1690&lt;&gt;"-",IFERROR(_xlfn.XLOOKUP(_xlfn.CONCAT('Banco de Dados'!$A1690,IFERROR(IFERROR(VALUE(SUBSTITUTE(MID(_xlfn.TEXTAFTER('Banco de Dados'!$F1690,"Data do Pedido:
",1),1,10),"-","/")),VALUE(SUBSTITUTE(MID(_xlfn.TEXTAFTER('Banco de Dados'!$F1690,"Order date:
",1),1,10),"-","/"))),0)),ProxyDD[Chave],ProxyDD[Valor por pedido]),PROXY!$P$2),0),0)</f>
        <v>0.39877104377104378</v>
      </c>
      <c r="AP1690" s="28">
        <f ca="1">IF('Banco de Dados'!$AK1690&lt;&gt;"-",IF('Banco de Dados'!$AL1690="NÃO",IFERROR(VALUE(SUBSTITUTE(_xlfn.TEXTAFTER('Banco de Dados'!$F1690,"BRL ",1),".",",")),0),0),0)</f>
        <v>0</v>
      </c>
      <c r="AQ1690" s="28" t="e">
        <f ca="1">SUM('Banco de Dados'!$AM1690:$AP1690)</f>
        <v>#N/A</v>
      </c>
      <c r="AR1690" s="8"/>
      <c r="AS1690" s="8"/>
      <c r="AT1690"/>
      <c r="AY1690" s="8"/>
    </row>
    <row r="1691" spans="1:51">
      <c r="A1691" s="5" t="str">
        <v>MEI</v>
      </c>
      <c r="B1691" s="5" t="str">
        <f ca="1"/>
        <v>MEI45785</v>
      </c>
      <c r="C1691" s="8" t="str">
        <v>Pedido 1678</v>
      </c>
      <c r="D1691" s="187">
        <v>45784</v>
      </c>
      <c r="E1691" s="9">
        <v>45785</v>
      </c>
      <c r="F1691" s="8" t="str">
        <v>PedidoF1601</v>
      </c>
      <c r="G1691" s="2" t="str">
        <v>CódRastreio1599</v>
      </c>
      <c r="H1691" s="5">
        <v>1</v>
      </c>
      <c r="I1691" s="182" t="str">
        <v>CPF 1637</v>
      </c>
      <c r="J1691" s="2" t="str">
        <v>Nome 1637</v>
      </c>
      <c r="K1691" s="8" t="str">
        <v>Tel 1637</v>
      </c>
      <c r="L1691" s="8" t="str">
        <v>Cep 1637</v>
      </c>
      <c r="M1691" s="8" t="str">
        <v>Rua 1637</v>
      </c>
      <c r="N1691" s="8" t="str">
        <v>Comp 1637</v>
      </c>
      <c r="O1691" s="8" t="str">
        <v>Lampada Led</v>
      </c>
      <c r="P1691" s="8" t="str">
        <v>T1-SWVB-UPOW</v>
      </c>
      <c r="Q1691" s="4">
        <v>45811</v>
      </c>
      <c r="R1691" s="109">
        <v>35.99</v>
      </c>
      <c r="S1691" s="11">
        <f ca="1"/>
        <v>35.99</v>
      </c>
      <c r="T1691" s="28">
        <f ca="1"/>
        <v>4.3188000000000004</v>
      </c>
      <c r="U1691" s="11">
        <f ca="1"/>
        <v>31.67</v>
      </c>
      <c r="V1691" s="11">
        <v>19.11</v>
      </c>
      <c r="W1691" s="11">
        <f ca="1"/>
        <v>0.14000000000000001</v>
      </c>
      <c r="X1691" s="11">
        <f ca="1"/>
        <v>0.39877104377104378</v>
      </c>
      <c r="Y1691" s="11">
        <v>0</v>
      </c>
      <c r="Z1691" s="11">
        <f ca="1"/>
        <v>12.021228956228956</v>
      </c>
      <c r="AA1691" s="11">
        <f ca="1"/>
        <v>6.0106144781144781</v>
      </c>
      <c r="AB1691" s="4">
        <f ca="1"/>
        <v>45818</v>
      </c>
      <c r="AC1691" s="4">
        <v>45818</v>
      </c>
      <c r="AD1691" s="9">
        <v>45824</v>
      </c>
      <c r="AE1691" s="9">
        <v>45828</v>
      </c>
      <c r="AF1691" s="4" t="str">
        <f t="shared" ca="1" si="116"/>
        <v>2025 06</v>
      </c>
      <c r="AG1691" s="8" t="str" cm="1">
        <f t="array" ref="AG1691">IFERROR(_xlfn.IFS('Banco de Dados'!#REF!="AG. COMPRA","Em processamento",'Banco de Dados'!#REF!="AG. RASTREIO","Em processamento",'Banco de Dados'!$AE1691&lt;&gt;"-","Faturado",'Banco de Dados'!$AD1691&lt;&gt;"-","Aguardando Pix",'Banco de Dados'!$AC1691&lt;&gt;"-","Pendente"),"Aguardando Liberação")</f>
        <v>Aguardando Liberação</v>
      </c>
      <c r="AH1691" s="5" t="str">
        <f>IF('Banco de Dados'!$F1691="-",_xlfn.CONCAT(PROPER(TEXT(AK1691,"aaaa"))," ",PROPER(TEXT(AK1691,"mm"))),_xlfn.CONCAT(PROPER(TEXT(E1691,"aaaa"))," ",PROPER(TEXT(E1691,"mm"))))</f>
        <v>2025 05</v>
      </c>
      <c r="AI1691" s="9" t="str">
        <f ca="1">IF('Banco de Dados'!$AK1691&lt;&gt;"-","REEMBOLSO",IFERROR(_xlfn.XLOOKUP(G1691,Follow[CODRASTREIO],Follow[STATUS]),"-"))</f>
        <v>ENTREGUE</v>
      </c>
      <c r="AJ1691" s="9">
        <f ca="1">IF('Banco de Dados'!$AI1691="ENTREGUE",_xlfn.XLOOKUP('Banco de Dados'!$G1691,Follow[CODRASTREIO],Follow[DATAATUALIZAÇÃO]),"-")</f>
        <v>45841</v>
      </c>
      <c r="AK1691" s="132" t="str">
        <f ca="1"/>
        <v>-</v>
      </c>
      <c r="AL1691" s="35"/>
      <c r="AM1691" s="109" cm="1">
        <f t="array" aca="1" ref="AM1691" ca="1">IF('Banco de Dados'!$AK1691&lt;&gt;"-",_xlfn.IFS('Banco de Dados'!$A1691="bv",IF('Banco de Dados'!$E1691&lt;45641,ROUND(SUM('Banco de Dados'!$R1691*_xlfn.XLOOKUP('Banco de Dados'!$P1691,Sku!B:B,Sku!#REF!)*20%),2),ROUND(SUM('Banco de Dados'!$R1691*_xlfn.XLOOKUP('Banco de Dados'!$P1691,Sku!B:B,Sku!H:H)*20%),2)),'Banco de Dados'!$A1691="GO",ROUND(SUM('Banco de Dados'!$R1691*_xlfn.XLOOKUP('Banco de Dados'!$P1691,Sku!C:C,Sku!H:H)*20%),2),'Banco de Dados'!$A1691="MEI",ROUND(SUM('Banco de Dados'!$R1691*_xlfn.XLOOKUP('Banco de Dados'!$P1691,Sku!D:D,Sku!H:H)*20%),2)),0)</f>
        <v>0</v>
      </c>
      <c r="AN1691" s="109">
        <f ca="1">IF('Banco de Dados'!$AK1691&lt;&gt;"-",IF('Banco de Dados'!$F1691&lt;&gt;"-",_xlfn.XLOOKUP(IFERROR(IFERROR(IFERROR(VALUE(SUBSTITUTE(MID(_xlfn.TEXTAFTER('Banco de Dados'!$F1691,"Data do Pedido:
",1),1,10),"-","/")),VALUE(SUBSTITUTE(MID(_xlfn.TEXTAFTER('Banco de Dados'!$F1691,"Order date:
",1),1,10),"-","/"))),VALUE(SUBSTITUTE(MID(_xlfn.TEXTAFTER('Banco de Dados'!$F1691,"Fecha de pedido:
",1),1,10),"-","/"))),"-"),SMS!A:A,SMS!K:K),0),0)</f>
        <v>0</v>
      </c>
      <c r="AO1691" s="109">
        <f ca="1">IF('Banco de Dados'!$AK1691&lt;&gt;"-",IF('Banco de Dados'!$F1691&lt;&gt;"-",IFERROR(_xlfn.XLOOKUP(_xlfn.CONCAT('Banco de Dados'!$A1691,IFERROR(IFERROR(VALUE(SUBSTITUTE(MID(_xlfn.TEXTAFTER('Banco de Dados'!$F1691,"Data do Pedido:
",1),1,10),"-","/")),VALUE(SUBSTITUTE(MID(_xlfn.TEXTAFTER('Banco de Dados'!$F1691,"Order date:
",1),1,10),"-","/"))),0)),ProxyDD[Chave],ProxyDD[Valor por pedido]),PROXY!$P$2),0),0)</f>
        <v>0</v>
      </c>
      <c r="AP1691" s="28">
        <f ca="1">IF('Banco de Dados'!$AK1691&lt;&gt;"-",IF('Banco de Dados'!$AL1691="NÃO",IFERROR(VALUE(SUBSTITUTE(_xlfn.TEXTAFTER('Banco de Dados'!$F1691,"BRL ",1),".",",")),0),0),0)</f>
        <v>0</v>
      </c>
      <c r="AQ1691" s="28">
        <f ca="1">SUM('Banco de Dados'!$AM1691:$AP1691)</f>
        <v>0</v>
      </c>
      <c r="AR1691" s="8"/>
      <c r="AS1691" s="8"/>
      <c r="AT1691"/>
      <c r="AY1691" s="8"/>
    </row>
    <row r="1692" spans="1:51">
      <c r="A1692" s="5" t="str">
        <v>MEI</v>
      </c>
      <c r="B1692" s="5" t="str">
        <f ca="1"/>
        <v>MEI45785</v>
      </c>
      <c r="C1692" s="8" t="str">
        <v>Pedido 1679</v>
      </c>
      <c r="D1692" s="187">
        <v>45784</v>
      </c>
      <c r="E1692" s="9">
        <v>45785</v>
      </c>
      <c r="F1692" s="8" t="str">
        <v>PedidoF1602</v>
      </c>
      <c r="G1692" s="2" t="str">
        <v>CódRastreio1600</v>
      </c>
      <c r="H1692" s="5">
        <v>1</v>
      </c>
      <c r="I1692" s="182" t="str">
        <v>CPF 1638</v>
      </c>
      <c r="J1692" s="2" t="str">
        <v>Nome 1638</v>
      </c>
      <c r="K1692" s="8" t="str">
        <v>Tel 1638</v>
      </c>
      <c r="L1692" s="8" t="str">
        <v>Cep 1638</v>
      </c>
      <c r="M1692" s="8" t="str">
        <v>Rua 1638</v>
      </c>
      <c r="N1692" s="8" t="str">
        <v>Comp 1638</v>
      </c>
      <c r="O1692" s="8" t="str">
        <v>Ventilador Rosa</v>
      </c>
      <c r="P1692" s="8" t="str">
        <v>WR-82Y0-OV27</v>
      </c>
      <c r="Q1692" s="4">
        <v>45805</v>
      </c>
      <c r="R1692" s="109">
        <v>49.9</v>
      </c>
      <c r="S1692" s="11">
        <f ca="1"/>
        <v>49.9</v>
      </c>
      <c r="T1692" s="28">
        <f ca="1"/>
        <v>5.9879999999999995</v>
      </c>
      <c r="U1692" s="11">
        <f ca="1"/>
        <v>43.91</v>
      </c>
      <c r="V1692" s="11">
        <v>14.1</v>
      </c>
      <c r="W1692" s="11">
        <f ca="1"/>
        <v>0.14000000000000001</v>
      </c>
      <c r="X1692" s="11">
        <f ca="1"/>
        <v>0.39877104377104378</v>
      </c>
      <c r="Y1692" s="11">
        <v>0</v>
      </c>
      <c r="Z1692" s="11">
        <f ca="1"/>
        <v>29.271228956228953</v>
      </c>
      <c r="AA1692" s="11">
        <f ca="1"/>
        <v>14.635614478114476</v>
      </c>
      <c r="AB1692" s="4">
        <f ca="1"/>
        <v>45812</v>
      </c>
      <c r="AC1692" s="4">
        <v>45812</v>
      </c>
      <c r="AD1692" s="9">
        <v>45824</v>
      </c>
      <c r="AE1692" s="9">
        <v>45828</v>
      </c>
      <c r="AF1692" s="4" t="str">
        <f t="shared" ca="1" si="116"/>
        <v>2025 06</v>
      </c>
      <c r="AG1692" s="8" t="str" cm="1">
        <f t="array" ref="AG1692">IFERROR(_xlfn.IFS('Banco de Dados'!#REF!="AG. COMPRA","Em processamento",'Banco de Dados'!#REF!="AG. RASTREIO","Em processamento",'Banco de Dados'!$AE1692&lt;&gt;"-","Faturado",'Banco de Dados'!$AD1692&lt;&gt;"-","Aguardando Pix",'Banco de Dados'!$AC1692&lt;&gt;"-","Pendente"),"Aguardando Liberação")</f>
        <v>Aguardando Liberação</v>
      </c>
      <c r="AH1692" s="5" t="str">
        <f>IF('Banco de Dados'!$F1692="-",_xlfn.CONCAT(PROPER(TEXT(AK1692,"aaaa"))," ",PROPER(TEXT(AK1692,"mm"))),_xlfn.CONCAT(PROPER(TEXT(E1692,"aaaa"))," ",PROPER(TEXT(E1692,"mm"))))</f>
        <v>2025 05</v>
      </c>
      <c r="AI1692" s="9" t="str">
        <f ca="1">IF('Banco de Dados'!$AK1692&lt;&gt;"-","REEMBOLSO",IFERROR(_xlfn.XLOOKUP(G1692,Follow[CODRASTREIO],Follow[STATUS]),"-"))</f>
        <v>ENTREGUE</v>
      </c>
      <c r="AJ1692" s="9">
        <f ca="1">IF('Banco de Dados'!$AI1692="ENTREGUE",_xlfn.XLOOKUP('Banco de Dados'!$G1692,Follow[CODRASTREIO],Follow[DATAATUALIZAÇÃO]),"-")</f>
        <v>45797</v>
      </c>
      <c r="AK1692" s="132" t="str">
        <f ca="1"/>
        <v>-</v>
      </c>
      <c r="AL1692" s="35"/>
      <c r="AM1692" s="109" cm="1">
        <f t="array" aca="1" ref="AM1692" ca="1">IF('Banco de Dados'!$AK1692&lt;&gt;"-",_xlfn.IFS('Banco de Dados'!$A1692="bv",IF('Banco de Dados'!$E1692&lt;45641,ROUND(SUM('Banco de Dados'!$R1692*_xlfn.XLOOKUP('Banco de Dados'!$P1692,Sku!B:B,Sku!#REF!)*20%),2),ROUND(SUM('Banco de Dados'!$R1692*_xlfn.XLOOKUP('Banco de Dados'!$P1692,Sku!B:B,Sku!H:H)*20%),2)),'Banco de Dados'!$A1692="GO",ROUND(SUM('Banco de Dados'!$R1692*_xlfn.XLOOKUP('Banco de Dados'!$P1692,Sku!C:C,Sku!H:H)*20%),2),'Banco de Dados'!$A1692="MEI",ROUND(SUM('Banco de Dados'!$R1692*_xlfn.XLOOKUP('Banco de Dados'!$P1692,Sku!D:D,Sku!H:H)*20%),2)),0)</f>
        <v>0</v>
      </c>
      <c r="AN1692" s="109">
        <f ca="1">IF('Banco de Dados'!$AK1692&lt;&gt;"-",IF('Banco de Dados'!$F1692&lt;&gt;"-",_xlfn.XLOOKUP(IFERROR(IFERROR(IFERROR(VALUE(SUBSTITUTE(MID(_xlfn.TEXTAFTER('Banco de Dados'!$F1692,"Data do Pedido:
",1),1,10),"-","/")),VALUE(SUBSTITUTE(MID(_xlfn.TEXTAFTER('Banco de Dados'!$F1692,"Order date:
",1),1,10),"-","/"))),VALUE(SUBSTITUTE(MID(_xlfn.TEXTAFTER('Banco de Dados'!$F1692,"Fecha de pedido:
",1),1,10),"-","/"))),"-"),SMS!A:A,SMS!K:K),0),0)</f>
        <v>0</v>
      </c>
      <c r="AO1692" s="109">
        <f ca="1">IF('Banco de Dados'!$AK1692&lt;&gt;"-",IF('Banco de Dados'!$F1692&lt;&gt;"-",IFERROR(_xlfn.XLOOKUP(_xlfn.CONCAT('Banco de Dados'!$A1692,IFERROR(IFERROR(VALUE(SUBSTITUTE(MID(_xlfn.TEXTAFTER('Banco de Dados'!$F1692,"Data do Pedido:
",1),1,10),"-","/")),VALUE(SUBSTITUTE(MID(_xlfn.TEXTAFTER('Banco de Dados'!$F1692,"Order date:
",1),1,10),"-","/"))),0)),ProxyDD[Chave],ProxyDD[Valor por pedido]),PROXY!$P$2),0),0)</f>
        <v>0</v>
      </c>
      <c r="AP1692" s="28">
        <f ca="1">IF('Banco de Dados'!$AK1692&lt;&gt;"-",IF('Banco de Dados'!$AL1692="NÃO",IFERROR(VALUE(SUBSTITUTE(_xlfn.TEXTAFTER('Banco de Dados'!$F1692,"BRL ",1),".",",")),0),0),0)</f>
        <v>0</v>
      </c>
      <c r="AQ1692" s="28">
        <f ca="1">SUM('Banco de Dados'!$AM1692:$AP1692)</f>
        <v>0</v>
      </c>
      <c r="AR1692" s="8"/>
      <c r="AS1692" s="8"/>
      <c r="AT1692"/>
      <c r="AY1692" s="8"/>
    </row>
    <row r="1693" spans="1:51">
      <c r="A1693" s="5" t="str">
        <v>MEI</v>
      </c>
      <c r="B1693" s="5" t="str">
        <f ca="1"/>
        <v>MEI-</v>
      </c>
      <c r="C1693" s="8" t="str">
        <v>Pedido 1680</v>
      </c>
      <c r="D1693" s="187">
        <v>45784</v>
      </c>
      <c r="E1693" s="9" t="str">
        <v>-</v>
      </c>
      <c r="F1693" s="8" t="str">
        <v>-</v>
      </c>
      <c r="G1693" s="2" t="str">
        <v>-</v>
      </c>
      <c r="H1693" s="5">
        <v>1</v>
      </c>
      <c r="I1693" s="182" t="str">
        <v>CPF 1639</v>
      </c>
      <c r="J1693" s="2" t="str">
        <v>Nome 1639</v>
      </c>
      <c r="K1693" s="8" t="str">
        <v>Tel 1639</v>
      </c>
      <c r="L1693" s="8" t="str">
        <v>Cep 1639</v>
      </c>
      <c r="M1693" s="8" t="str">
        <v>Rua 1639</v>
      </c>
      <c r="N1693" s="8" t="str">
        <v>Comp 1639</v>
      </c>
      <c r="O1693" s="8" t="str">
        <v>Ventilador Azul</v>
      </c>
      <c r="P1693" s="8" t="str">
        <v>PK-L2Z7-MQRQ</v>
      </c>
      <c r="Q1693" s="4">
        <v>45805</v>
      </c>
      <c r="R1693" s="109">
        <v>48.9</v>
      </c>
      <c r="S1693" s="11">
        <f ca="1"/>
        <v>0</v>
      </c>
      <c r="T1693" s="28">
        <f ca="1"/>
        <v>0</v>
      </c>
      <c r="U1693" s="11">
        <f ca="1"/>
        <v>0</v>
      </c>
      <c r="V1693" s="11">
        <v>0</v>
      </c>
      <c r="W1693" s="11">
        <f ca="1"/>
        <v>0</v>
      </c>
      <c r="X1693" s="11">
        <f ca="1"/>
        <v>0</v>
      </c>
      <c r="Y1693" s="11">
        <v>0</v>
      </c>
      <c r="Z1693" s="11">
        <f ca="1"/>
        <v>0</v>
      </c>
      <c r="AA1693" s="11">
        <f ca="1"/>
        <v>0</v>
      </c>
      <c r="AB1693" s="4">
        <f ca="1"/>
        <v>45812</v>
      </c>
      <c r="AC1693" s="4">
        <v>45812</v>
      </c>
      <c r="AD1693" s="9">
        <v>45824</v>
      </c>
      <c r="AE1693" s="9">
        <v>45828</v>
      </c>
      <c r="AF1693" s="4" t="str">
        <f t="shared" ca="1" si="116"/>
        <v>2025 06</v>
      </c>
      <c r="AG1693" s="8" t="str" cm="1">
        <f t="array" ref="AG1693">IFERROR(_xlfn.IFS('Banco de Dados'!#REF!="AG. COMPRA","Em processamento",'Banco de Dados'!#REF!="AG. RASTREIO","Em processamento",'Banco de Dados'!$AE1693&lt;&gt;"-","Faturado",'Banco de Dados'!$AD1693&lt;&gt;"-","Aguardando Pix",'Banco de Dados'!$AC1693&lt;&gt;"-","Pendente"),"Aguardando Liberação")</f>
        <v>Aguardando Liberação</v>
      </c>
      <c r="AH1693" s="5" t="str">
        <f ca="1">IF('Banco de Dados'!$F1693="-",_xlfn.CONCAT(PROPER(TEXT(AK1693,"aaaa"))," ",PROPER(TEXT(AK1693,"mm"))),_xlfn.CONCAT(PROPER(TEXT(E1693,"aaaa"))," ",PROPER(TEXT(E1693,"mm"))))</f>
        <v>2025 05</v>
      </c>
      <c r="AI1693" s="9" t="str">
        <f ca="1">IF('Banco de Dados'!$AK1693&lt;&gt;"-","REEMBOLSO",IFERROR(_xlfn.XLOOKUP(G1693,Follow[CODRASTREIO],Follow[STATUS]),"-"))</f>
        <v>REEMBOLSO</v>
      </c>
      <c r="AJ1693" s="9" t="str">
        <f ca="1">IF('Banco de Dados'!$AI1693="ENTREGUE",_xlfn.XLOOKUP('Banco de Dados'!$G1693,Follow[CODRASTREIO],Follow[DATAATUALIZAÇÃO]),"-")</f>
        <v>-</v>
      </c>
      <c r="AK1693" s="132">
        <f ca="1"/>
        <v>45790</v>
      </c>
      <c r="AL1693" s="35"/>
      <c r="AM1693" s="109" cm="1">
        <f t="array" aca="1" ref="AM1693" ca="1">IF('Banco de Dados'!$AK1693&lt;&gt;"-",_xlfn.IFS('Banco de Dados'!$A1693="bv",IF('Banco de Dados'!$E1693&lt;45641,ROUND(SUM('Banco de Dados'!$R1693*_xlfn.XLOOKUP('Banco de Dados'!$P1693,Sku!B:B,Sku!#REF!)*20%),2),ROUND(SUM('Banco de Dados'!$R1693*_xlfn.XLOOKUP('Banco de Dados'!$P1693,Sku!B:B,Sku!H:H)*20%),2)),'Banco de Dados'!$A1693="GO",ROUND(SUM('Banco de Dados'!$R1693*_xlfn.XLOOKUP('Banco de Dados'!$P1693,Sku!C:C,Sku!H:H)*20%),2),'Banco de Dados'!$A1693="MEI",ROUND(SUM('Banco de Dados'!$R1693*_xlfn.XLOOKUP('Banco de Dados'!$P1693,Sku!D:D,Sku!H:H)*20%),2)),0)</f>
        <v>1.27</v>
      </c>
      <c r="AN1693" s="109">
        <f ca="1">IF('Banco de Dados'!$AK1693&lt;&gt;"-",IF('Banco de Dados'!$F1693&lt;&gt;"-",_xlfn.XLOOKUP(IFERROR(IFERROR(IFERROR(VALUE(SUBSTITUTE(MID(_xlfn.TEXTAFTER('Banco de Dados'!$F1693,"Data do Pedido:
",1),1,10),"-","/")),VALUE(SUBSTITUTE(MID(_xlfn.TEXTAFTER('Banco de Dados'!$F1693,"Order date:
",1),1,10),"-","/"))),VALUE(SUBSTITUTE(MID(_xlfn.TEXTAFTER('Banco de Dados'!$F1693,"Fecha de pedido:
",1),1,10),"-","/"))),"-"),SMS!A:A,SMS!K:K),0),0)</f>
        <v>0</v>
      </c>
      <c r="AO1693" s="109">
        <f ca="1">IF('Banco de Dados'!$AK1693&lt;&gt;"-",IF('Banco de Dados'!$F1693&lt;&gt;"-",IFERROR(_xlfn.XLOOKUP(_xlfn.CONCAT('Banco de Dados'!$A1693,IFERROR(IFERROR(VALUE(SUBSTITUTE(MID(_xlfn.TEXTAFTER('Banco de Dados'!$F1693,"Data do Pedido:
",1),1,10),"-","/")),VALUE(SUBSTITUTE(MID(_xlfn.TEXTAFTER('Banco de Dados'!$F1693,"Order date:
",1),1,10),"-","/"))),0)),ProxyDD[Chave],ProxyDD[Valor por pedido]),PROXY!$P$2),0),0)</f>
        <v>0</v>
      </c>
      <c r="AP1693" s="28">
        <f ca="1">IF('Banco de Dados'!$AK1693&lt;&gt;"-",IF('Banco de Dados'!$AL1693="NÃO",IFERROR(VALUE(SUBSTITUTE(_xlfn.TEXTAFTER('Banco de Dados'!$F1693,"BRL ",1),".",",")),0),0),0)</f>
        <v>0</v>
      </c>
      <c r="AQ1693" s="28">
        <f ca="1">SUM('Banco de Dados'!$AM1693:$AP1693)</f>
        <v>1.27</v>
      </c>
      <c r="AR1693" s="8"/>
      <c r="AS1693" s="8"/>
      <c r="AT1693"/>
      <c r="AY1693" s="8"/>
    </row>
    <row r="1694" spans="1:51">
      <c r="A1694" s="5" t="str">
        <v>MEI</v>
      </c>
      <c r="B1694" s="5" t="str">
        <f ca="1"/>
        <v>MEI-</v>
      </c>
      <c r="C1694" s="8" t="str">
        <v>Pedido 1681</v>
      </c>
      <c r="D1694" s="187">
        <v>45784</v>
      </c>
      <c r="E1694" s="9" t="str">
        <v>-</v>
      </c>
      <c r="F1694" s="8" t="str">
        <v>-</v>
      </c>
      <c r="G1694" s="2" t="str">
        <v>-</v>
      </c>
      <c r="H1694" s="5">
        <v>1</v>
      </c>
      <c r="I1694" s="182" t="str">
        <v>CPF 1640</v>
      </c>
      <c r="J1694" s="2" t="str">
        <v>Nome 1640</v>
      </c>
      <c r="K1694" s="8" t="str">
        <v>Tel 1640</v>
      </c>
      <c r="L1694" s="8" t="str">
        <v>Cep 1640</v>
      </c>
      <c r="M1694" s="8" t="str">
        <v>Rua 1640</v>
      </c>
      <c r="N1694" s="8" t="str">
        <v>Comp 1640</v>
      </c>
      <c r="O1694" s="8" t="str">
        <v>Brinquedo Bola Giratória voadora</v>
      </c>
      <c r="P1694" s="8" t="str">
        <v>Z0-F6CI-18CL</v>
      </c>
      <c r="Q1694" s="4">
        <v>45811</v>
      </c>
      <c r="R1694" s="109">
        <v>39.47</v>
      </c>
      <c r="S1694" s="11">
        <f ca="1"/>
        <v>0</v>
      </c>
      <c r="T1694" s="28">
        <f ca="1"/>
        <v>0</v>
      </c>
      <c r="U1694" s="11">
        <f ca="1"/>
        <v>0</v>
      </c>
      <c r="V1694" s="11">
        <v>0</v>
      </c>
      <c r="W1694" s="11">
        <f ca="1"/>
        <v>0</v>
      </c>
      <c r="X1694" s="11">
        <f ca="1"/>
        <v>0</v>
      </c>
      <c r="Y1694" s="11">
        <v>0</v>
      </c>
      <c r="Z1694" s="11">
        <f ca="1"/>
        <v>0</v>
      </c>
      <c r="AA1694" s="11">
        <f ca="1"/>
        <v>0</v>
      </c>
      <c r="AB1694" s="4">
        <f ca="1"/>
        <v>45818</v>
      </c>
      <c r="AC1694" s="4">
        <v>45818</v>
      </c>
      <c r="AD1694" s="9">
        <v>45824</v>
      </c>
      <c r="AE1694" s="9">
        <v>45828</v>
      </c>
      <c r="AF1694" s="4" t="str">
        <f t="shared" ca="1" si="116"/>
        <v>2025 06</v>
      </c>
      <c r="AG1694" s="8" t="str" cm="1">
        <f t="array" ref="AG1694">IFERROR(_xlfn.IFS('Banco de Dados'!#REF!="AG. COMPRA","Em processamento",'Banco de Dados'!#REF!="AG. RASTREIO","Em processamento",'Banco de Dados'!$AE1694&lt;&gt;"-","Faturado",'Banco de Dados'!$AD1694&lt;&gt;"-","Aguardando Pix",'Banco de Dados'!$AC1694&lt;&gt;"-","Pendente"),"Aguardando Liberação")</f>
        <v>Aguardando Liberação</v>
      </c>
      <c r="AH1694" s="5" t="str">
        <f ca="1">IF('Banco de Dados'!$F1694="-",_xlfn.CONCAT(PROPER(TEXT(AK1694,"aaaa"))," ",PROPER(TEXT(AK1694,"mm"))),_xlfn.CONCAT(PROPER(TEXT(E1694,"aaaa"))," ",PROPER(TEXT(E1694,"mm"))))</f>
        <v>2025 05</v>
      </c>
      <c r="AI1694" s="9" t="str">
        <f ca="1">IF('Banco de Dados'!$AK1694&lt;&gt;"-","REEMBOLSO",IFERROR(_xlfn.XLOOKUP(G1694,Follow[CODRASTREIO],Follow[STATUS]),"-"))</f>
        <v>REEMBOLSO</v>
      </c>
      <c r="AJ1694" s="9" t="str">
        <f ca="1">IF('Banco de Dados'!$AI1694="ENTREGUE",_xlfn.XLOOKUP('Banco de Dados'!$G1694,Follow[CODRASTREIO],Follow[DATAATUALIZAÇÃO]),"-")</f>
        <v>-</v>
      </c>
      <c r="AK1694" s="132">
        <f ca="1"/>
        <v>45790</v>
      </c>
      <c r="AL1694" s="35"/>
      <c r="AM1694" s="109" cm="1">
        <f t="array" aca="1" ref="AM1694" ca="1">IF('Banco de Dados'!$AK1694&lt;&gt;"-",_xlfn.IFS('Banco de Dados'!$A1694="bv",IF('Banco de Dados'!$E1694&lt;45641,ROUND(SUM('Banco de Dados'!$R1694*_xlfn.XLOOKUP('Banco de Dados'!$P1694,Sku!B:B,Sku!#REF!)*20%),2),ROUND(SUM('Banco de Dados'!$R1694*_xlfn.XLOOKUP('Banco de Dados'!$P1694,Sku!B:B,Sku!H:H)*20%),2)),'Banco de Dados'!$A1694="GO",ROUND(SUM('Banco de Dados'!$R1694*_xlfn.XLOOKUP('Banco de Dados'!$P1694,Sku!C:C,Sku!H:H)*20%),2),'Banco de Dados'!$A1694="MEI",ROUND(SUM('Banco de Dados'!$R1694*_xlfn.XLOOKUP('Banco de Dados'!$P1694,Sku!D:D,Sku!H:H)*20%),2)),0)</f>
        <v>0.95</v>
      </c>
      <c r="AN1694" s="109">
        <f ca="1">IF('Banco de Dados'!$AK1694&lt;&gt;"-",IF('Banco de Dados'!$F1694&lt;&gt;"-",_xlfn.XLOOKUP(IFERROR(IFERROR(IFERROR(VALUE(SUBSTITUTE(MID(_xlfn.TEXTAFTER('Banco de Dados'!$F1694,"Data do Pedido:
",1),1,10),"-","/")),VALUE(SUBSTITUTE(MID(_xlfn.TEXTAFTER('Banco de Dados'!$F1694,"Order date:
",1),1,10),"-","/"))),VALUE(SUBSTITUTE(MID(_xlfn.TEXTAFTER('Banco de Dados'!$F1694,"Fecha de pedido:
",1),1,10),"-","/"))),"-"),SMS!A:A,SMS!K:K),0),0)</f>
        <v>0</v>
      </c>
      <c r="AO1694" s="109">
        <f ca="1">IF('Banco de Dados'!$AK1694&lt;&gt;"-",IF('Banco de Dados'!$F1694&lt;&gt;"-",IFERROR(_xlfn.XLOOKUP(_xlfn.CONCAT('Banco de Dados'!$A1694,IFERROR(IFERROR(VALUE(SUBSTITUTE(MID(_xlfn.TEXTAFTER('Banco de Dados'!$F1694,"Data do Pedido:
",1),1,10),"-","/")),VALUE(SUBSTITUTE(MID(_xlfn.TEXTAFTER('Banco de Dados'!$F1694,"Order date:
",1),1,10),"-","/"))),0)),ProxyDD[Chave],ProxyDD[Valor por pedido]),PROXY!$P$2),0),0)</f>
        <v>0</v>
      </c>
      <c r="AP1694" s="28">
        <f ca="1">IF('Banco de Dados'!$AK1694&lt;&gt;"-",IF('Banco de Dados'!$AL1694="NÃO",IFERROR(VALUE(SUBSTITUTE(_xlfn.TEXTAFTER('Banco de Dados'!$F1694,"BRL ",1),".",",")),0),0),0)</f>
        <v>0</v>
      </c>
      <c r="AQ1694" s="28">
        <f ca="1">SUM('Banco de Dados'!$AM1694:$AP1694)</f>
        <v>0.95</v>
      </c>
      <c r="AR1694" s="8"/>
      <c r="AS1694" s="8"/>
      <c r="AT1694"/>
      <c r="AY1694" s="8"/>
    </row>
    <row r="1695" spans="1:51">
      <c r="A1695" s="5" t="str">
        <v>MEI</v>
      </c>
      <c r="B1695" s="5" t="str">
        <f ca="1"/>
        <v>MEI-</v>
      </c>
      <c r="C1695" s="8" t="str">
        <v>Pedido 1682</v>
      </c>
      <c r="D1695" s="187">
        <v>45784</v>
      </c>
      <c r="E1695" s="9" t="str">
        <v>-</v>
      </c>
      <c r="F1695" s="8" t="str">
        <v>-</v>
      </c>
      <c r="G1695" s="2" t="str">
        <v>-</v>
      </c>
      <c r="H1695" s="5">
        <v>1</v>
      </c>
      <c r="I1695" s="182" t="str">
        <v>CPF 1641</v>
      </c>
      <c r="J1695" s="2" t="str">
        <v>Nome 1641</v>
      </c>
      <c r="K1695" s="8" t="str">
        <v>Tel 1641</v>
      </c>
      <c r="L1695" s="8" t="str">
        <v>Cep 1641</v>
      </c>
      <c r="M1695" s="8" t="str">
        <v>Rua 1641</v>
      </c>
      <c r="N1695" s="8" t="str">
        <v>Comp 1641</v>
      </c>
      <c r="O1695" s="8" t="str">
        <v>Ventilador Rosa</v>
      </c>
      <c r="P1695" s="8" t="str">
        <v>WR-82Y0-OV27</v>
      </c>
      <c r="Q1695" s="4">
        <v>45805</v>
      </c>
      <c r="R1695" s="109">
        <v>49.9</v>
      </c>
      <c r="S1695" s="11">
        <f ca="1"/>
        <v>0</v>
      </c>
      <c r="T1695" s="28">
        <f ca="1"/>
        <v>0</v>
      </c>
      <c r="U1695" s="11">
        <f ca="1"/>
        <v>0</v>
      </c>
      <c r="V1695" s="11">
        <v>0</v>
      </c>
      <c r="W1695" s="11">
        <f ca="1"/>
        <v>0</v>
      </c>
      <c r="X1695" s="11">
        <f ca="1"/>
        <v>0</v>
      </c>
      <c r="Y1695" s="11">
        <v>0</v>
      </c>
      <c r="Z1695" s="11">
        <f ca="1"/>
        <v>0</v>
      </c>
      <c r="AA1695" s="11">
        <f ca="1"/>
        <v>0</v>
      </c>
      <c r="AB1695" s="4">
        <f ca="1"/>
        <v>45812</v>
      </c>
      <c r="AC1695" s="4">
        <v>45812</v>
      </c>
      <c r="AD1695" s="9">
        <v>45824</v>
      </c>
      <c r="AE1695" s="9">
        <v>45828</v>
      </c>
      <c r="AF1695" s="4" t="str">
        <f t="shared" ref="AF1695:AF1698" ca="1" si="117">_xlfn.CONCAT(PROPER(TEXT(AB1695,"aaaa"))," ",PROPER(TEXT(AB1695,"mm")))</f>
        <v>2025 06</v>
      </c>
      <c r="AG1695" s="8" t="str" cm="1">
        <f t="array" ref="AG1695">IFERROR(_xlfn.IFS('Banco de Dados'!#REF!="AG. COMPRA","Em processamento",'Banco de Dados'!#REF!="AG. RASTREIO","Em processamento",'Banco de Dados'!$AE1695&lt;&gt;"-","Faturado",'Banco de Dados'!$AD1695&lt;&gt;"-","Aguardando Pix",'Banco de Dados'!$AC1695&lt;&gt;"-","Pendente"),"Aguardando Liberação")</f>
        <v>Aguardando Liberação</v>
      </c>
      <c r="AH1695" s="5" t="str">
        <f ca="1">IF('Banco de Dados'!$F1695="-",_xlfn.CONCAT(PROPER(TEXT(AK1695,"aaaa"))," ",PROPER(TEXT(AK1695,"mm"))),_xlfn.CONCAT(PROPER(TEXT(E1695,"aaaa"))," ",PROPER(TEXT(E1695,"mm"))))</f>
        <v>2025 05</v>
      </c>
      <c r="AI1695" s="9" t="str">
        <f ca="1">IF('Banco de Dados'!$AK1695&lt;&gt;"-","REEMBOLSO",IFERROR(_xlfn.XLOOKUP(G1695,Follow[CODRASTREIO],Follow[STATUS]),"-"))</f>
        <v>REEMBOLSO</v>
      </c>
      <c r="AJ1695" s="9" t="str">
        <f ca="1">IF('Banco de Dados'!$AI1695="ENTREGUE",_xlfn.XLOOKUP('Banco de Dados'!$G1695,Follow[CODRASTREIO],Follow[DATAATUALIZAÇÃO]),"-")</f>
        <v>-</v>
      </c>
      <c r="AK1695" s="132">
        <f ca="1"/>
        <v>45791</v>
      </c>
      <c r="AL1695" s="35"/>
      <c r="AM1695" s="109" cm="1">
        <f t="array" aca="1" ref="AM1695" ca="1">IF('Banco de Dados'!$AK1695&lt;&gt;"-",_xlfn.IFS('Banco de Dados'!$A1695="bv",IF('Banco de Dados'!$E1695&lt;45641,ROUND(SUM('Banco de Dados'!$R1695*_xlfn.XLOOKUP('Banco de Dados'!$P1695,Sku!B:B,Sku!#REF!)*20%),2),ROUND(SUM('Banco de Dados'!$R1695*_xlfn.XLOOKUP('Banco de Dados'!$P1695,Sku!B:B,Sku!H:H)*20%),2)),'Banco de Dados'!$A1695="GO",ROUND(SUM('Banco de Dados'!$R1695*_xlfn.XLOOKUP('Banco de Dados'!$P1695,Sku!C:C,Sku!H:H)*20%),2),'Banco de Dados'!$A1695="MEI",ROUND(SUM('Banco de Dados'!$R1695*_xlfn.XLOOKUP('Banco de Dados'!$P1695,Sku!D:D,Sku!H:H)*20%),2)),0)</f>
        <v>1.3</v>
      </c>
      <c r="AN1695" s="109">
        <f ca="1">IF('Banco de Dados'!$AK1695&lt;&gt;"-",IF('Banco de Dados'!$F1695&lt;&gt;"-",_xlfn.XLOOKUP(IFERROR(IFERROR(IFERROR(VALUE(SUBSTITUTE(MID(_xlfn.TEXTAFTER('Banco de Dados'!$F1695,"Data do Pedido:
",1),1,10),"-","/")),VALUE(SUBSTITUTE(MID(_xlfn.TEXTAFTER('Banco de Dados'!$F1695,"Order date:
",1),1,10),"-","/"))),VALUE(SUBSTITUTE(MID(_xlfn.TEXTAFTER('Banco de Dados'!$F1695,"Fecha de pedido:
",1),1,10),"-","/"))),"-"),SMS!A:A,SMS!K:K),0),0)</f>
        <v>0</v>
      </c>
      <c r="AO1695" s="109">
        <f ca="1">IF('Banco de Dados'!$AK1695&lt;&gt;"-",IF('Banco de Dados'!$F1695&lt;&gt;"-",IFERROR(_xlfn.XLOOKUP(_xlfn.CONCAT('Banco de Dados'!$A1695,IFERROR(IFERROR(VALUE(SUBSTITUTE(MID(_xlfn.TEXTAFTER('Banco de Dados'!$F1695,"Data do Pedido:
",1),1,10),"-","/")),VALUE(SUBSTITUTE(MID(_xlfn.TEXTAFTER('Banco de Dados'!$F1695,"Order date:
",1),1,10),"-","/"))),0)),ProxyDD[Chave],ProxyDD[Valor por pedido]),PROXY!$P$2),0),0)</f>
        <v>0</v>
      </c>
      <c r="AP1695" s="28">
        <f ca="1">IF('Banco de Dados'!$AK1695&lt;&gt;"-",IF('Banco de Dados'!$AL1695="NÃO",IFERROR(VALUE(SUBSTITUTE(_xlfn.TEXTAFTER('Banco de Dados'!$F1695,"BRL ",1),".",",")),0),0),0)</f>
        <v>0</v>
      </c>
      <c r="AQ1695" s="28">
        <f ca="1">SUM('Banco de Dados'!$AM1695:$AP1695)</f>
        <v>1.3</v>
      </c>
      <c r="AR1695" s="8"/>
      <c r="AS1695" s="8"/>
      <c r="AT1695"/>
      <c r="AY1695" s="8"/>
    </row>
    <row r="1696" spans="1:51">
      <c r="A1696" s="5" t="str">
        <v>MEI</v>
      </c>
      <c r="B1696" s="5" t="str">
        <f ca="1"/>
        <v>MEI45785</v>
      </c>
      <c r="C1696" s="8" t="str">
        <v>Pedido 1683</v>
      </c>
      <c r="D1696" s="187">
        <v>45784</v>
      </c>
      <c r="E1696" s="9">
        <v>45785</v>
      </c>
      <c r="F1696" s="8" t="str">
        <v>PedidoF1603</v>
      </c>
      <c r="G1696" s="2" t="str">
        <v>CódRastreio1601</v>
      </c>
      <c r="H1696" s="5">
        <v>1</v>
      </c>
      <c r="I1696" s="182" t="str">
        <v>CPF 1642</v>
      </c>
      <c r="J1696" s="2" t="str">
        <v>Nome 1642</v>
      </c>
      <c r="K1696" s="8" t="str">
        <v>Tel 1642</v>
      </c>
      <c r="L1696" s="8" t="str">
        <v>Cep 1642</v>
      </c>
      <c r="M1696" s="8" t="str">
        <v>Rua 1642</v>
      </c>
      <c r="N1696" s="8" t="str">
        <v>Comp 1642</v>
      </c>
      <c r="O1696" s="8" t="str">
        <v>Ventilador Rosa</v>
      </c>
      <c r="P1696" s="8" t="str">
        <v>WR-82Y0-OV27</v>
      </c>
      <c r="Q1696" s="4">
        <v>45811</v>
      </c>
      <c r="R1696" s="109">
        <v>49.9</v>
      </c>
      <c r="S1696" s="11">
        <f ca="1"/>
        <v>49.9</v>
      </c>
      <c r="T1696" s="28">
        <f ca="1"/>
        <v>5.9879999999999995</v>
      </c>
      <c r="U1696" s="11">
        <f ca="1"/>
        <v>43.91</v>
      </c>
      <c r="V1696" s="11">
        <v>14.58</v>
      </c>
      <c r="W1696" s="11">
        <f ca="1"/>
        <v>0.14000000000000001</v>
      </c>
      <c r="X1696" s="11">
        <f ca="1"/>
        <v>0.39877104377104378</v>
      </c>
      <c r="Y1696" s="11">
        <v>0</v>
      </c>
      <c r="Z1696" s="11">
        <f ca="1"/>
        <v>28.791228956228952</v>
      </c>
      <c r="AA1696" s="11">
        <f ca="1"/>
        <v>14.395614478114476</v>
      </c>
      <c r="AB1696" s="4">
        <f ca="1"/>
        <v>45818</v>
      </c>
      <c r="AC1696" s="4">
        <v>45818</v>
      </c>
      <c r="AD1696" s="9">
        <v>45824</v>
      </c>
      <c r="AE1696" s="9">
        <v>45828</v>
      </c>
      <c r="AF1696" s="4" t="str">
        <f t="shared" ca="1" si="117"/>
        <v>2025 06</v>
      </c>
      <c r="AG1696" s="8" t="str" cm="1">
        <f t="array" ref="AG1696">IFERROR(_xlfn.IFS('Banco de Dados'!#REF!="AG. COMPRA","Em processamento",'Banco de Dados'!#REF!="AG. RASTREIO","Em processamento",'Banco de Dados'!$AE1696&lt;&gt;"-","Faturado",'Banco de Dados'!$AD1696&lt;&gt;"-","Aguardando Pix",'Banco de Dados'!$AC1696&lt;&gt;"-","Pendente"),"Aguardando Liberação")</f>
        <v>Aguardando Liberação</v>
      </c>
      <c r="AH1696" s="5" t="str">
        <f>IF('Banco de Dados'!$F1696="-",_xlfn.CONCAT(PROPER(TEXT(AK1696,"aaaa"))," ",PROPER(TEXT(AK1696,"mm"))),_xlfn.CONCAT(PROPER(TEXT(E1696,"aaaa"))," ",PROPER(TEXT(E1696,"mm"))))</f>
        <v>2025 05</v>
      </c>
      <c r="AI1696" s="9" t="str">
        <f ca="1">IF('Banco de Dados'!$AK1696&lt;&gt;"-","REEMBOLSO",IFERROR(_xlfn.XLOOKUP(G1696,Follow[CODRASTREIO],Follow[STATUS]),"-"))</f>
        <v>ENTREGUE</v>
      </c>
      <c r="AJ1696" s="9">
        <f ca="1">IF('Banco de Dados'!$AI1696="ENTREGUE",_xlfn.XLOOKUP('Banco de Dados'!$G1696,Follow[CODRASTREIO],Follow[DATAATUALIZAÇÃO]),"-")</f>
        <v>45811</v>
      </c>
      <c r="AK1696" s="132" t="str">
        <f ca="1"/>
        <v>-</v>
      </c>
      <c r="AL1696" s="35"/>
      <c r="AM1696" s="109" cm="1">
        <f t="array" aca="1" ref="AM1696" ca="1">IF('Banco de Dados'!$AK1696&lt;&gt;"-",_xlfn.IFS('Banco de Dados'!$A1696="bv",IF('Banco de Dados'!$E1696&lt;45641,ROUND(SUM('Banco de Dados'!$R1696*_xlfn.XLOOKUP('Banco de Dados'!$P1696,Sku!B:B,Sku!#REF!)*20%),2),ROUND(SUM('Banco de Dados'!$R1696*_xlfn.XLOOKUP('Banco de Dados'!$P1696,Sku!B:B,Sku!H:H)*20%),2)),'Banco de Dados'!$A1696="GO",ROUND(SUM('Banco de Dados'!$R1696*_xlfn.XLOOKUP('Banco de Dados'!$P1696,Sku!C:C,Sku!H:H)*20%),2),'Banco de Dados'!$A1696="MEI",ROUND(SUM('Banco de Dados'!$R1696*_xlfn.XLOOKUP('Banco de Dados'!$P1696,Sku!D:D,Sku!H:H)*20%),2)),0)</f>
        <v>0</v>
      </c>
      <c r="AN1696" s="109">
        <f ca="1">IF('Banco de Dados'!$AK1696&lt;&gt;"-",IF('Banco de Dados'!$F1696&lt;&gt;"-",_xlfn.XLOOKUP(IFERROR(IFERROR(IFERROR(VALUE(SUBSTITUTE(MID(_xlfn.TEXTAFTER('Banco de Dados'!$F1696,"Data do Pedido:
",1),1,10),"-","/")),VALUE(SUBSTITUTE(MID(_xlfn.TEXTAFTER('Banco de Dados'!$F1696,"Order date:
",1),1,10),"-","/"))),VALUE(SUBSTITUTE(MID(_xlfn.TEXTAFTER('Banco de Dados'!$F1696,"Fecha de pedido:
",1),1,10),"-","/"))),"-"),SMS!A:A,SMS!K:K),0),0)</f>
        <v>0</v>
      </c>
      <c r="AO1696" s="109">
        <f ca="1">IF('Banco de Dados'!$AK1696&lt;&gt;"-",IF('Banco de Dados'!$F1696&lt;&gt;"-",IFERROR(_xlfn.XLOOKUP(_xlfn.CONCAT('Banco de Dados'!$A1696,IFERROR(IFERROR(VALUE(SUBSTITUTE(MID(_xlfn.TEXTAFTER('Banco de Dados'!$F1696,"Data do Pedido:
",1),1,10),"-","/")),VALUE(SUBSTITUTE(MID(_xlfn.TEXTAFTER('Banco de Dados'!$F1696,"Order date:
",1),1,10),"-","/"))),0)),ProxyDD[Chave],ProxyDD[Valor por pedido]),PROXY!$P$2),0),0)</f>
        <v>0</v>
      </c>
      <c r="AP1696" s="28">
        <f ca="1">IF('Banco de Dados'!$AK1696&lt;&gt;"-",IF('Banco de Dados'!$AL1696="NÃO",IFERROR(VALUE(SUBSTITUTE(_xlfn.TEXTAFTER('Banco de Dados'!$F1696,"BRL ",1),".",",")),0),0),0)</f>
        <v>0</v>
      </c>
      <c r="AQ1696" s="28">
        <f ca="1">SUM('Banco de Dados'!$AM1696:$AP1696)</f>
        <v>0</v>
      </c>
      <c r="AR1696" s="8"/>
      <c r="AS1696" s="8"/>
      <c r="AT1696"/>
      <c r="AY1696" s="8"/>
    </row>
    <row r="1697" spans="1:51">
      <c r="A1697" s="5" t="str">
        <v>MEI</v>
      </c>
      <c r="B1697" s="5" t="str">
        <f ca="1"/>
        <v>MEI45785</v>
      </c>
      <c r="C1697" s="8" t="str">
        <v>Pedido 1684</v>
      </c>
      <c r="D1697" s="187">
        <v>45785</v>
      </c>
      <c r="E1697" s="9">
        <v>45785</v>
      </c>
      <c r="F1697" s="8" t="str">
        <v>PedidoF1604</v>
      </c>
      <c r="G1697" s="2" t="str">
        <v>CódRastreio1602</v>
      </c>
      <c r="H1697" s="5">
        <v>1</v>
      </c>
      <c r="I1697" s="182" t="str">
        <v>CPF 1643</v>
      </c>
      <c r="J1697" s="2" t="str">
        <v>Nome 1643</v>
      </c>
      <c r="K1697" s="8" t="str">
        <v>Tel 1643</v>
      </c>
      <c r="L1697" s="8" t="str">
        <v>Cep 1643</v>
      </c>
      <c r="M1697" s="8" t="str">
        <v>Rua 1643</v>
      </c>
      <c r="N1697" s="8" t="str">
        <v>Comp 1643</v>
      </c>
      <c r="O1697" s="8" t="str">
        <v>Ventilador Preto</v>
      </c>
      <c r="P1697" s="8" t="str">
        <v>WU-SS4J-LFOH</v>
      </c>
      <c r="Q1697" s="4">
        <v>45806</v>
      </c>
      <c r="R1697" s="109">
        <v>65.7</v>
      </c>
      <c r="S1697" s="11">
        <f ca="1"/>
        <v>65.7</v>
      </c>
      <c r="T1697" s="28">
        <f ca="1"/>
        <v>7.8840000000000003</v>
      </c>
      <c r="U1697" s="11">
        <f ca="1"/>
        <v>57.82</v>
      </c>
      <c r="V1697" s="11">
        <v>21.51</v>
      </c>
      <c r="W1697" s="11">
        <f ca="1"/>
        <v>0.14000000000000001</v>
      </c>
      <c r="X1697" s="11">
        <f ca="1"/>
        <v>0.39877104377104378</v>
      </c>
      <c r="Y1697" s="11">
        <v>0</v>
      </c>
      <c r="Z1697" s="11">
        <f ca="1"/>
        <v>35.771228956228953</v>
      </c>
      <c r="AA1697" s="11">
        <f ca="1"/>
        <v>17.885614478114476</v>
      </c>
      <c r="AB1697" s="4">
        <f ca="1"/>
        <v>45813</v>
      </c>
      <c r="AC1697" s="4">
        <v>45813</v>
      </c>
      <c r="AD1697" s="9">
        <v>45824</v>
      </c>
      <c r="AE1697" s="9">
        <v>45828</v>
      </c>
      <c r="AF1697" s="4" t="str">
        <f t="shared" ca="1" si="117"/>
        <v>2025 06</v>
      </c>
      <c r="AG1697" s="8" t="str" cm="1">
        <f t="array" ref="AG1697">IFERROR(_xlfn.IFS('Banco de Dados'!#REF!="AG. COMPRA","Em processamento",'Banco de Dados'!#REF!="AG. RASTREIO","Em processamento",'Banco de Dados'!$AE1697&lt;&gt;"-","Faturado",'Banco de Dados'!$AD1697&lt;&gt;"-","Aguardando Pix",'Banco de Dados'!$AC1697&lt;&gt;"-","Pendente"),"Aguardando Liberação")</f>
        <v>Aguardando Liberação</v>
      </c>
      <c r="AH1697" s="5" t="str">
        <f>IF('Banco de Dados'!$F1697="-",_xlfn.CONCAT(PROPER(TEXT(AK1697,"aaaa"))," ",PROPER(TEXT(AK1697,"mm"))),_xlfn.CONCAT(PROPER(TEXT(E1697,"aaaa"))," ",PROPER(TEXT(E1697,"mm"))))</f>
        <v>2025 05</v>
      </c>
      <c r="AI1697" s="9" t="str">
        <f ca="1">IF('Banco de Dados'!$AK1697&lt;&gt;"-","REEMBOLSO",IFERROR(_xlfn.XLOOKUP(G1697,Follow[CODRASTREIO],Follow[STATUS]),"-"))</f>
        <v>ENTREGUE</v>
      </c>
      <c r="AJ1697" s="9">
        <f ca="1">IF('Banco de Dados'!$AI1697="ENTREGUE",_xlfn.XLOOKUP('Banco de Dados'!$G1697,Follow[CODRASTREIO],Follow[DATAATUALIZAÇÃO]),"-")</f>
        <v>45797</v>
      </c>
      <c r="AK1697" s="132" t="str">
        <f ca="1"/>
        <v>-</v>
      </c>
      <c r="AL1697" s="35"/>
      <c r="AM1697" s="109" cm="1">
        <f t="array" aca="1" ref="AM1697" ca="1">IF('Banco de Dados'!$AK1697&lt;&gt;"-",_xlfn.IFS('Banco de Dados'!$A1697="bv",IF('Banco de Dados'!$E1697&lt;45641,ROUND(SUM('Banco de Dados'!$R1697*_xlfn.XLOOKUP('Banco de Dados'!$P1697,Sku!B:B,Sku!#REF!)*20%),2),ROUND(SUM('Banco de Dados'!$R1697*_xlfn.XLOOKUP('Banco de Dados'!$P1697,Sku!B:B,Sku!H:H)*20%),2)),'Banco de Dados'!$A1697="GO",ROUND(SUM('Banco de Dados'!$R1697*_xlfn.XLOOKUP('Banco de Dados'!$P1697,Sku!C:C,Sku!H:H)*20%),2),'Banco de Dados'!$A1697="MEI",ROUND(SUM('Banco de Dados'!$R1697*_xlfn.XLOOKUP('Banco de Dados'!$P1697,Sku!D:D,Sku!H:H)*20%),2)),0)</f>
        <v>0</v>
      </c>
      <c r="AN1697" s="109">
        <f ca="1">IF('Banco de Dados'!$AK1697&lt;&gt;"-",IF('Banco de Dados'!$F1697&lt;&gt;"-",_xlfn.XLOOKUP(IFERROR(IFERROR(IFERROR(VALUE(SUBSTITUTE(MID(_xlfn.TEXTAFTER('Banco de Dados'!$F1697,"Data do Pedido:
",1),1,10),"-","/")),VALUE(SUBSTITUTE(MID(_xlfn.TEXTAFTER('Banco de Dados'!$F1697,"Order date:
",1),1,10),"-","/"))),VALUE(SUBSTITUTE(MID(_xlfn.TEXTAFTER('Banco de Dados'!$F1697,"Fecha de pedido:
",1),1,10),"-","/"))),"-"),SMS!A:A,SMS!K:K),0),0)</f>
        <v>0</v>
      </c>
      <c r="AO1697" s="109">
        <f ca="1">IF('Banco de Dados'!$AK1697&lt;&gt;"-",IF('Banco de Dados'!$F1697&lt;&gt;"-",IFERROR(_xlfn.XLOOKUP(_xlfn.CONCAT('Banco de Dados'!$A1697,IFERROR(IFERROR(VALUE(SUBSTITUTE(MID(_xlfn.TEXTAFTER('Banco de Dados'!$F1697,"Data do Pedido:
",1),1,10),"-","/")),VALUE(SUBSTITUTE(MID(_xlfn.TEXTAFTER('Banco de Dados'!$F1697,"Order date:
",1),1,10),"-","/"))),0)),ProxyDD[Chave],ProxyDD[Valor por pedido]),PROXY!$P$2),0),0)</f>
        <v>0</v>
      </c>
      <c r="AP1697" s="28">
        <f ca="1">IF('Banco de Dados'!$AK1697&lt;&gt;"-",IF('Banco de Dados'!$AL1697="NÃO",IFERROR(VALUE(SUBSTITUTE(_xlfn.TEXTAFTER('Banco de Dados'!$F1697,"BRL ",1),".",",")),0),0),0)</f>
        <v>0</v>
      </c>
      <c r="AQ1697" s="28">
        <f ca="1">SUM('Banco de Dados'!$AM1697:$AP1697)</f>
        <v>0</v>
      </c>
      <c r="AR1697" s="8"/>
      <c r="AS1697" s="8"/>
      <c r="AT1697"/>
      <c r="AY1697" s="8"/>
    </row>
    <row r="1698" spans="1:51">
      <c r="A1698" s="5" t="str">
        <v>MEI</v>
      </c>
      <c r="B1698" s="5" t="str">
        <f ca="1"/>
        <v>MEI45785</v>
      </c>
      <c r="C1698" s="8" t="str">
        <v>Pedido 1685</v>
      </c>
      <c r="D1698" s="187">
        <v>45785</v>
      </c>
      <c r="E1698" s="9">
        <v>45785</v>
      </c>
      <c r="F1698" s="8" t="str">
        <v>PedidoF1605</v>
      </c>
      <c r="G1698" s="2" t="str">
        <v>CódRastreio1603</v>
      </c>
      <c r="H1698" s="5">
        <v>1</v>
      </c>
      <c r="I1698" s="182" t="str">
        <v>CPF 1644</v>
      </c>
      <c r="J1698" s="2" t="str">
        <v>Nome 1644</v>
      </c>
      <c r="K1698" s="8" t="str">
        <v>Tel 1644</v>
      </c>
      <c r="L1698" s="8" t="str">
        <v>Cep 1644</v>
      </c>
      <c r="M1698" s="8" t="str">
        <v>Rua 1644</v>
      </c>
      <c r="N1698" s="8" t="str">
        <v>Comp 1644</v>
      </c>
      <c r="O1698" s="8" t="str">
        <v>Karaoke portátil</v>
      </c>
      <c r="P1698" s="8" t="str">
        <v>1I-EZPV-2Q78</v>
      </c>
      <c r="Q1698" s="4">
        <v>45812</v>
      </c>
      <c r="R1698" s="109">
        <v>52.73</v>
      </c>
      <c r="S1698" s="11">
        <f ca="1"/>
        <v>52.73</v>
      </c>
      <c r="T1698" s="28">
        <f ca="1"/>
        <v>7.9094999999999995</v>
      </c>
      <c r="U1698" s="11">
        <f ca="1"/>
        <v>44.82</v>
      </c>
      <c r="V1698" s="11">
        <v>22.29</v>
      </c>
      <c r="W1698" s="11">
        <f ca="1"/>
        <v>0.14000000000000001</v>
      </c>
      <c r="X1698" s="11">
        <f ca="1"/>
        <v>0.39877104377104378</v>
      </c>
      <c r="Y1698" s="11">
        <v>0</v>
      </c>
      <c r="Z1698" s="11">
        <f ca="1"/>
        <v>21.991228956228955</v>
      </c>
      <c r="AA1698" s="11">
        <f ca="1"/>
        <v>10.995614478114478</v>
      </c>
      <c r="AB1698" s="4">
        <f ca="1"/>
        <v>45819</v>
      </c>
      <c r="AC1698" s="4">
        <v>45819</v>
      </c>
      <c r="AD1698" s="9">
        <v>45824</v>
      </c>
      <c r="AE1698" s="9">
        <v>45828</v>
      </c>
      <c r="AF1698" s="4" t="str">
        <f t="shared" ca="1" si="117"/>
        <v>2025 06</v>
      </c>
      <c r="AG1698" s="8" t="str" cm="1">
        <f t="array" ref="AG1698">IFERROR(_xlfn.IFS('Banco de Dados'!#REF!="AG. COMPRA","Em processamento",'Banco de Dados'!#REF!="AG. RASTREIO","Em processamento",'Banco de Dados'!$AE1698&lt;&gt;"-","Faturado",'Banco de Dados'!$AD1698&lt;&gt;"-","Aguardando Pix",'Banco de Dados'!$AC1698&lt;&gt;"-","Pendente"),"Aguardando Liberação")</f>
        <v>Aguardando Liberação</v>
      </c>
      <c r="AH1698" s="5" t="str">
        <f>IF('Banco de Dados'!$F1698="-",_xlfn.CONCAT(PROPER(TEXT(AK1698,"aaaa"))," ",PROPER(TEXT(AK1698,"mm"))),_xlfn.CONCAT(PROPER(TEXT(E1698,"aaaa"))," ",PROPER(TEXT(E1698,"mm"))))</f>
        <v>2025 05</v>
      </c>
      <c r="AI1698" s="9" t="str">
        <f ca="1">IF('Banco de Dados'!$AK1698&lt;&gt;"-","REEMBOLSO",IFERROR(_xlfn.XLOOKUP(G1698,Follow[CODRASTREIO],Follow[STATUS]),"-"))</f>
        <v>ENTREGUE</v>
      </c>
      <c r="AJ1698" s="9">
        <f ca="1">IF('Banco de Dados'!$AI1698="ENTREGUE",_xlfn.XLOOKUP('Banco de Dados'!$G1698,Follow[CODRASTREIO],Follow[DATAATUALIZAÇÃO]),"-")</f>
        <v>45799</v>
      </c>
      <c r="AK1698" s="132" t="str">
        <f ca="1"/>
        <v>-</v>
      </c>
      <c r="AL1698" s="35"/>
      <c r="AM1698" s="109" cm="1">
        <f t="array" aca="1" ref="AM1698" ca="1">IF('Banco de Dados'!$AK1698&lt;&gt;"-",_xlfn.IFS('Banco de Dados'!$A1698="bv",IF('Banco de Dados'!$E1698&lt;45641,ROUND(SUM('Banco de Dados'!$R1698*_xlfn.XLOOKUP('Banco de Dados'!$P1698,Sku!B:B,Sku!#REF!)*20%),2),ROUND(SUM('Banco de Dados'!$R1698*_xlfn.XLOOKUP('Banco de Dados'!$P1698,Sku!B:B,Sku!H:H)*20%),2)),'Banco de Dados'!$A1698="GO",ROUND(SUM('Banco de Dados'!$R1698*_xlfn.XLOOKUP('Banco de Dados'!$P1698,Sku!C:C,Sku!H:H)*20%),2),'Banco de Dados'!$A1698="MEI",ROUND(SUM('Banco de Dados'!$R1698*_xlfn.XLOOKUP('Banco de Dados'!$P1698,Sku!D:D,Sku!H:H)*20%),2)),0)</f>
        <v>0</v>
      </c>
      <c r="AN1698" s="109">
        <f ca="1">IF('Banco de Dados'!$AK1698&lt;&gt;"-",IF('Banco de Dados'!$F1698&lt;&gt;"-",_xlfn.XLOOKUP(IFERROR(IFERROR(IFERROR(VALUE(SUBSTITUTE(MID(_xlfn.TEXTAFTER('Banco de Dados'!$F1698,"Data do Pedido:
",1),1,10),"-","/")),VALUE(SUBSTITUTE(MID(_xlfn.TEXTAFTER('Banco de Dados'!$F1698,"Order date:
",1),1,10),"-","/"))),VALUE(SUBSTITUTE(MID(_xlfn.TEXTAFTER('Banco de Dados'!$F1698,"Fecha de pedido:
",1),1,10),"-","/"))),"-"),SMS!A:A,SMS!K:K),0),0)</f>
        <v>0</v>
      </c>
      <c r="AO1698" s="109">
        <f ca="1">IF('Banco de Dados'!$AK1698&lt;&gt;"-",IF('Banco de Dados'!$F1698&lt;&gt;"-",IFERROR(_xlfn.XLOOKUP(_xlfn.CONCAT('Banco de Dados'!$A1698,IFERROR(IFERROR(VALUE(SUBSTITUTE(MID(_xlfn.TEXTAFTER('Banco de Dados'!$F1698,"Data do Pedido:
",1),1,10),"-","/")),VALUE(SUBSTITUTE(MID(_xlfn.TEXTAFTER('Banco de Dados'!$F1698,"Order date:
",1),1,10),"-","/"))),0)),ProxyDD[Chave],ProxyDD[Valor por pedido]),PROXY!$P$2),0),0)</f>
        <v>0</v>
      </c>
      <c r="AP1698" s="28">
        <f ca="1">IF('Banco de Dados'!$AK1698&lt;&gt;"-",IF('Banco de Dados'!$AL1698="NÃO",IFERROR(VALUE(SUBSTITUTE(_xlfn.TEXTAFTER('Banco de Dados'!$F1698,"BRL ",1),".",",")),0),0),0)</f>
        <v>0</v>
      </c>
      <c r="AQ1698" s="28">
        <f ca="1">SUM('Banco de Dados'!$AM1698:$AP1698)</f>
        <v>0</v>
      </c>
      <c r="AR1698" s="8"/>
      <c r="AS1698" s="8"/>
      <c r="AT1698"/>
      <c r="AY1698" s="8"/>
    </row>
    <row r="1699" spans="1:51">
      <c r="A1699" s="5" t="str">
        <v>MEI</v>
      </c>
      <c r="B1699" s="5" t="str">
        <f ca="1"/>
        <v>MEI-</v>
      </c>
      <c r="C1699" s="8" t="str">
        <v>Pedido 1686</v>
      </c>
      <c r="D1699" s="187">
        <v>45785</v>
      </c>
      <c r="E1699" s="9" t="str">
        <v>-</v>
      </c>
      <c r="F1699" s="8" t="str">
        <v>-</v>
      </c>
      <c r="G1699" s="2" t="str">
        <v>-</v>
      </c>
      <c r="H1699" s="5">
        <v>1</v>
      </c>
      <c r="I1699" s="182" t="str">
        <v>CPF 1645</v>
      </c>
      <c r="J1699" s="2" t="str">
        <v>Nome 1645</v>
      </c>
      <c r="K1699" s="8" t="str">
        <v>Tel 1645</v>
      </c>
      <c r="L1699" s="8" t="str">
        <v>Cep 1645</v>
      </c>
      <c r="M1699" s="8" t="str">
        <v>Rua 1645</v>
      </c>
      <c r="N1699" s="8" t="str">
        <v>Comp 1645</v>
      </c>
      <c r="O1699" s="8" t="str">
        <v>Ventilador Rosa</v>
      </c>
      <c r="P1699" s="8" t="str">
        <v>WR-82Y0-OV27</v>
      </c>
      <c r="Q1699" s="4">
        <v>45812</v>
      </c>
      <c r="R1699" s="109">
        <v>49.9</v>
      </c>
      <c r="S1699" s="11">
        <f ca="1"/>
        <v>0</v>
      </c>
      <c r="T1699" s="28">
        <f ca="1"/>
        <v>0</v>
      </c>
      <c r="U1699" s="11">
        <f ca="1"/>
        <v>0</v>
      </c>
      <c r="V1699" s="11">
        <v>0</v>
      </c>
      <c r="W1699" s="11">
        <f ca="1"/>
        <v>0</v>
      </c>
      <c r="X1699" s="11">
        <f ca="1"/>
        <v>0</v>
      </c>
      <c r="Y1699" s="11">
        <v>0</v>
      </c>
      <c r="Z1699" s="11">
        <f ca="1"/>
        <v>0</v>
      </c>
      <c r="AA1699" s="11">
        <f ca="1"/>
        <v>0</v>
      </c>
      <c r="AB1699" s="4">
        <f ca="1"/>
        <v>45819</v>
      </c>
      <c r="AC1699" s="4">
        <v>45819</v>
      </c>
      <c r="AD1699" s="9">
        <v>45824</v>
      </c>
      <c r="AE1699" s="9">
        <v>45828</v>
      </c>
      <c r="AF1699" s="4" t="str">
        <f t="shared" ref="AF1699:AF1723" ca="1" si="118">_xlfn.CONCAT(PROPER(TEXT(AB1699,"aaaa"))," ",PROPER(TEXT(AB1699,"mm")))</f>
        <v>2025 06</v>
      </c>
      <c r="AG1699" s="8" t="str" cm="1">
        <f t="array" ref="AG1699">IFERROR(_xlfn.IFS('Banco de Dados'!#REF!="AG. COMPRA","Em processamento",'Banco de Dados'!#REF!="AG. RASTREIO","Em processamento",'Banco de Dados'!$AE1699&lt;&gt;"-","Faturado",'Banco de Dados'!$AD1699&lt;&gt;"-","Aguardando Pix",'Banco de Dados'!$AC1699&lt;&gt;"-","Pendente"),"Aguardando Liberação")</f>
        <v>Aguardando Liberação</v>
      </c>
      <c r="AH1699" s="5" t="str">
        <f ca="1">IF('Banco de Dados'!$F1699="-",_xlfn.CONCAT(PROPER(TEXT(AK1699,"aaaa"))," ",PROPER(TEXT(AK1699,"mm"))),_xlfn.CONCAT(PROPER(TEXT(E1699,"aaaa"))," ",PROPER(TEXT(E1699,"mm"))))</f>
        <v>2025 05</v>
      </c>
      <c r="AI1699" s="9" t="str">
        <f ca="1">IF('Banco de Dados'!$AK1699&lt;&gt;"-","REEMBOLSO",IFERROR(_xlfn.XLOOKUP(G1699,Follow[CODRASTREIO],Follow[STATUS]),"-"))</f>
        <v>REEMBOLSO</v>
      </c>
      <c r="AJ1699" s="9" t="str">
        <f ca="1">IF('Banco de Dados'!$AI1699="ENTREGUE",_xlfn.XLOOKUP('Banco de Dados'!$G1699,Follow[CODRASTREIO],Follow[DATAATUALIZAÇÃO]),"-")</f>
        <v>-</v>
      </c>
      <c r="AK1699" s="132">
        <f ca="1"/>
        <v>45792</v>
      </c>
      <c r="AL1699" s="35"/>
      <c r="AM1699" s="109" cm="1">
        <f t="array" aca="1" ref="AM1699" ca="1">IF('Banco de Dados'!$AK1699&lt;&gt;"-",_xlfn.IFS('Banco de Dados'!$A1699="bv",IF('Banco de Dados'!$E1699&lt;45641,ROUND(SUM('Banco de Dados'!$R1699*_xlfn.XLOOKUP('Banco de Dados'!$P1699,Sku!B:B,Sku!#REF!)*20%),2),ROUND(SUM('Banco de Dados'!$R1699*_xlfn.XLOOKUP('Banco de Dados'!$P1699,Sku!B:B,Sku!H:H)*20%),2)),'Banco de Dados'!$A1699="GO",ROUND(SUM('Banco de Dados'!$R1699*_xlfn.XLOOKUP('Banco de Dados'!$P1699,Sku!C:C,Sku!H:H)*20%),2),'Banco de Dados'!$A1699="MEI",ROUND(SUM('Banco de Dados'!$R1699*_xlfn.XLOOKUP('Banco de Dados'!$P1699,Sku!D:D,Sku!H:H)*20%),2)),0)</f>
        <v>1.3</v>
      </c>
      <c r="AN1699" s="109">
        <f ca="1">IF('Banco de Dados'!$AK1699&lt;&gt;"-",IF('Banco de Dados'!$F1699&lt;&gt;"-",_xlfn.XLOOKUP(IFERROR(IFERROR(IFERROR(VALUE(SUBSTITUTE(MID(_xlfn.TEXTAFTER('Banco de Dados'!$F1699,"Data do Pedido:
",1),1,10),"-","/")),VALUE(SUBSTITUTE(MID(_xlfn.TEXTAFTER('Banco de Dados'!$F1699,"Order date:
",1),1,10),"-","/"))),VALUE(SUBSTITUTE(MID(_xlfn.TEXTAFTER('Banco de Dados'!$F1699,"Fecha de pedido:
",1),1,10),"-","/"))),"-"),SMS!A:A,SMS!K:K),0),0)</f>
        <v>0</v>
      </c>
      <c r="AO1699" s="109">
        <f ca="1">IF('Banco de Dados'!$AK1699&lt;&gt;"-",IF('Banco de Dados'!$F1699&lt;&gt;"-",IFERROR(_xlfn.XLOOKUP(_xlfn.CONCAT('Banco de Dados'!$A1699,IFERROR(IFERROR(VALUE(SUBSTITUTE(MID(_xlfn.TEXTAFTER('Banco de Dados'!$F1699,"Data do Pedido:
",1),1,10),"-","/")),VALUE(SUBSTITUTE(MID(_xlfn.TEXTAFTER('Banco de Dados'!$F1699,"Order date:
",1),1,10),"-","/"))),0)),ProxyDD[Chave],ProxyDD[Valor por pedido]),PROXY!$P$2),0),0)</f>
        <v>0</v>
      </c>
      <c r="AP1699" s="28">
        <f ca="1">IF('Banco de Dados'!$AK1699&lt;&gt;"-",IF('Banco de Dados'!$AL1699="NÃO",IFERROR(VALUE(SUBSTITUTE(_xlfn.TEXTAFTER('Banco de Dados'!$F1699,"BRL ",1),".",",")),0),0),0)</f>
        <v>0</v>
      </c>
      <c r="AQ1699" s="28">
        <f ca="1">SUM('Banco de Dados'!$AM1699:$AP1699)</f>
        <v>1.3</v>
      </c>
      <c r="AR1699" s="8"/>
      <c r="AS1699" s="8"/>
      <c r="AT1699"/>
      <c r="AY1699" s="8"/>
    </row>
    <row r="1700" spans="1:51">
      <c r="A1700" s="5" t="str">
        <v>MEI</v>
      </c>
      <c r="B1700" s="5" t="str">
        <f ca="1"/>
        <v>MEI-</v>
      </c>
      <c r="C1700" s="8" t="str">
        <v>Pedido 1687</v>
      </c>
      <c r="D1700" s="187">
        <v>45786</v>
      </c>
      <c r="E1700" s="9" t="str">
        <v>-</v>
      </c>
      <c r="F1700" s="8" t="str">
        <v>-</v>
      </c>
      <c r="G1700" s="2" t="str">
        <v>-</v>
      </c>
      <c r="H1700" s="5">
        <v>1</v>
      </c>
      <c r="I1700" s="182" t="str">
        <v>CPF 1646</v>
      </c>
      <c r="J1700" s="2" t="str">
        <v>Nome 1646</v>
      </c>
      <c r="K1700" s="8" t="str">
        <v>Tel 1646</v>
      </c>
      <c r="L1700" s="8" t="str">
        <v>Cep 1646</v>
      </c>
      <c r="M1700" s="8" t="str">
        <v>Rua 1646</v>
      </c>
      <c r="N1700" s="8" t="str">
        <v>Comp 1646</v>
      </c>
      <c r="O1700" s="8" t="str">
        <v>Luminária Azul de mesa infantil</v>
      </c>
      <c r="P1700" s="8" t="str">
        <v>NO-Z0ZJ-Z61M</v>
      </c>
      <c r="Q1700" s="4">
        <v>45813</v>
      </c>
      <c r="R1700" s="109">
        <v>49.99</v>
      </c>
      <c r="S1700" s="11">
        <f ca="1"/>
        <v>0</v>
      </c>
      <c r="T1700" s="28">
        <f ca="1"/>
        <v>0</v>
      </c>
      <c r="U1700" s="11">
        <f ca="1"/>
        <v>0</v>
      </c>
      <c r="V1700" s="11">
        <v>0</v>
      </c>
      <c r="W1700" s="11">
        <f ca="1"/>
        <v>0</v>
      </c>
      <c r="X1700" s="11">
        <f ca="1"/>
        <v>0</v>
      </c>
      <c r="Y1700" s="11">
        <v>0</v>
      </c>
      <c r="Z1700" s="11">
        <f ca="1"/>
        <v>0</v>
      </c>
      <c r="AA1700" s="11">
        <f ca="1"/>
        <v>0</v>
      </c>
      <c r="AB1700" s="4">
        <f ca="1"/>
        <v>45820</v>
      </c>
      <c r="AC1700" s="4">
        <v>45820</v>
      </c>
      <c r="AD1700" s="9">
        <v>45824</v>
      </c>
      <c r="AE1700" s="9">
        <v>45828</v>
      </c>
      <c r="AF1700" s="4" t="str">
        <f t="shared" ca="1" si="118"/>
        <v>2025 06</v>
      </c>
      <c r="AG1700" s="8" t="str" cm="1">
        <f t="array" ref="AG1700">IFERROR(_xlfn.IFS('Banco de Dados'!#REF!="AG. COMPRA","Em processamento",'Banco de Dados'!#REF!="AG. RASTREIO","Em processamento",'Banco de Dados'!$AE1700&lt;&gt;"-","Faturado",'Banco de Dados'!$AD1700&lt;&gt;"-","Aguardando Pix",'Banco de Dados'!$AC1700&lt;&gt;"-","Pendente"),"Aguardando Liberação")</f>
        <v>Aguardando Liberação</v>
      </c>
      <c r="AH1700" s="5" t="str">
        <f ca="1">IF('Banco de Dados'!$F1700="-",_xlfn.CONCAT(PROPER(TEXT(AK1700,"aaaa"))," ",PROPER(TEXT(AK1700,"mm"))),_xlfn.CONCAT(PROPER(TEXT(E1700,"aaaa"))," ",PROPER(TEXT(E1700,"mm"))))</f>
        <v>2025 05</v>
      </c>
      <c r="AI1700" s="9" t="str">
        <f ca="1">IF('Banco de Dados'!$AK1700&lt;&gt;"-","REEMBOLSO",IFERROR(_xlfn.XLOOKUP(G1700,Follow[CODRASTREIO],Follow[STATUS]),"-"))</f>
        <v>REEMBOLSO</v>
      </c>
      <c r="AJ1700" s="9" t="str">
        <f ca="1">IF('Banco de Dados'!$AI1700="ENTREGUE",_xlfn.XLOOKUP('Banco de Dados'!$G1700,Follow[CODRASTREIO],Follow[DATAATUALIZAÇÃO]),"-")</f>
        <v>-</v>
      </c>
      <c r="AK1700" s="132">
        <f ca="1"/>
        <v>45791</v>
      </c>
      <c r="AL1700" s="35"/>
      <c r="AM1700" s="109" cm="1">
        <f t="array" aca="1" ref="AM1700" ca="1">IF('Banco de Dados'!$AK1700&lt;&gt;"-",_xlfn.IFS('Banco de Dados'!$A1700="bv",IF('Banco de Dados'!$E1700&lt;45641,ROUND(SUM('Banco de Dados'!$R1700*_xlfn.XLOOKUP('Banco de Dados'!$P1700,Sku!B:B,Sku!#REF!)*20%),2),ROUND(SUM('Banco de Dados'!$R1700*_xlfn.XLOOKUP('Banco de Dados'!$P1700,Sku!B:B,Sku!H:H)*20%),2)),'Banco de Dados'!$A1700="GO",ROUND(SUM('Banco de Dados'!$R1700*_xlfn.XLOOKUP('Banco de Dados'!$P1700,Sku!C:C,Sku!H:H)*20%),2),'Banco de Dados'!$A1700="MEI",ROUND(SUM('Banco de Dados'!$R1700*_xlfn.XLOOKUP('Banco de Dados'!$P1700,Sku!D:D,Sku!H:H)*20%),2)),0)</f>
        <v>1.2</v>
      </c>
      <c r="AN1700" s="109">
        <f ca="1">IF('Banco de Dados'!$AK1700&lt;&gt;"-",IF('Banco de Dados'!$F1700&lt;&gt;"-",_xlfn.XLOOKUP(IFERROR(IFERROR(IFERROR(VALUE(SUBSTITUTE(MID(_xlfn.TEXTAFTER('Banco de Dados'!$F1700,"Data do Pedido:
",1),1,10),"-","/")),VALUE(SUBSTITUTE(MID(_xlfn.TEXTAFTER('Banco de Dados'!$F1700,"Order date:
",1),1,10),"-","/"))),VALUE(SUBSTITUTE(MID(_xlfn.TEXTAFTER('Banco de Dados'!$F1700,"Fecha de pedido:
",1),1,10),"-","/"))),"-"),SMS!A:A,SMS!K:K),0),0)</f>
        <v>0</v>
      </c>
      <c r="AO1700" s="109">
        <f ca="1">IF('Banco de Dados'!$AK1700&lt;&gt;"-",IF('Banco de Dados'!$F1700&lt;&gt;"-",IFERROR(_xlfn.XLOOKUP(_xlfn.CONCAT('Banco de Dados'!$A1700,IFERROR(IFERROR(VALUE(SUBSTITUTE(MID(_xlfn.TEXTAFTER('Banco de Dados'!$F1700,"Data do Pedido:
",1),1,10),"-","/")),VALUE(SUBSTITUTE(MID(_xlfn.TEXTAFTER('Banco de Dados'!$F1700,"Order date:
",1),1,10),"-","/"))),0)),ProxyDD[Chave],ProxyDD[Valor por pedido]),PROXY!$P$2),0),0)</f>
        <v>0</v>
      </c>
      <c r="AP1700" s="28">
        <f ca="1">IF('Banco de Dados'!$AK1700&lt;&gt;"-",IF('Banco de Dados'!$AL1700="NÃO",IFERROR(VALUE(SUBSTITUTE(_xlfn.TEXTAFTER('Banco de Dados'!$F1700,"BRL ",1),".",",")),0),0),0)</f>
        <v>0</v>
      </c>
      <c r="AQ1700" s="28">
        <f ca="1">SUM('Banco de Dados'!$AM1700:$AP1700)</f>
        <v>1.2</v>
      </c>
      <c r="AR1700" s="8"/>
      <c r="AS1700" s="8"/>
      <c r="AT1700"/>
      <c r="AY1700" s="8"/>
    </row>
    <row r="1701" spans="1:51">
      <c r="A1701" s="5" t="str">
        <v>MEI</v>
      </c>
      <c r="B1701" s="5" t="str">
        <f ca="1"/>
        <v>MEI-</v>
      </c>
      <c r="C1701" s="8" t="str">
        <v>Pedido 1688</v>
      </c>
      <c r="D1701" s="187">
        <v>45786</v>
      </c>
      <c r="E1701" s="9" t="str">
        <v>-</v>
      </c>
      <c r="F1701" s="8" t="str">
        <v>-</v>
      </c>
      <c r="G1701" s="2" t="str">
        <v>-</v>
      </c>
      <c r="H1701" s="5">
        <v>1</v>
      </c>
      <c r="I1701" s="182" t="str">
        <v>CPF 1647</v>
      </c>
      <c r="J1701" s="2" t="str">
        <v>Nome 1647</v>
      </c>
      <c r="K1701" s="8" t="str">
        <v>Tel 1647</v>
      </c>
      <c r="L1701" s="8" t="str">
        <v>Cep 1647</v>
      </c>
      <c r="M1701" s="8" t="str">
        <v>Rua 1647</v>
      </c>
      <c r="N1701" s="8" t="str">
        <v>Comp 1647</v>
      </c>
      <c r="O1701" s="8" t="str">
        <v>Ventilador Rosa</v>
      </c>
      <c r="P1701" s="8" t="str">
        <v>WR-82Y0-OV27</v>
      </c>
      <c r="Q1701" s="4">
        <v>45813</v>
      </c>
      <c r="R1701" s="109">
        <v>49.9</v>
      </c>
      <c r="S1701" s="11">
        <f ca="1"/>
        <v>0</v>
      </c>
      <c r="T1701" s="28">
        <f ca="1"/>
        <v>0</v>
      </c>
      <c r="U1701" s="11">
        <f ca="1"/>
        <v>0</v>
      </c>
      <c r="V1701" s="11">
        <v>0</v>
      </c>
      <c r="W1701" s="11">
        <f ca="1"/>
        <v>0</v>
      </c>
      <c r="X1701" s="11">
        <f ca="1"/>
        <v>0</v>
      </c>
      <c r="Y1701" s="11">
        <v>0</v>
      </c>
      <c r="Z1701" s="11">
        <f ca="1"/>
        <v>0</v>
      </c>
      <c r="AA1701" s="11">
        <f ca="1"/>
        <v>0</v>
      </c>
      <c r="AB1701" s="4">
        <f ca="1"/>
        <v>45820</v>
      </c>
      <c r="AC1701" s="4">
        <v>45820</v>
      </c>
      <c r="AD1701" s="9">
        <v>45824</v>
      </c>
      <c r="AE1701" s="9">
        <v>45828</v>
      </c>
      <c r="AF1701" s="4" t="str">
        <f t="shared" ca="1" si="118"/>
        <v>2025 06</v>
      </c>
      <c r="AG1701" s="8" t="str" cm="1">
        <f t="array" ref="AG1701">IFERROR(_xlfn.IFS('Banco de Dados'!#REF!="AG. COMPRA","Em processamento",'Banco de Dados'!#REF!="AG. RASTREIO","Em processamento",'Banco de Dados'!$AE1701&lt;&gt;"-","Faturado",'Banco de Dados'!$AD1701&lt;&gt;"-","Aguardando Pix",'Banco de Dados'!$AC1701&lt;&gt;"-","Pendente"),"Aguardando Liberação")</f>
        <v>Aguardando Liberação</v>
      </c>
      <c r="AH1701" s="5" t="str">
        <f ca="1">IF('Banco de Dados'!$F1701="-",_xlfn.CONCAT(PROPER(TEXT(AK1701,"aaaa"))," ",PROPER(TEXT(AK1701,"mm"))),_xlfn.CONCAT(PROPER(TEXT(E1701,"aaaa"))," ",PROPER(TEXT(E1701,"mm"))))</f>
        <v>2025 05</v>
      </c>
      <c r="AI1701" s="9" t="str">
        <f ca="1">IF('Banco de Dados'!$AK1701&lt;&gt;"-","REEMBOLSO",IFERROR(_xlfn.XLOOKUP(G1701,Follow[CODRASTREIO],Follow[STATUS]),"-"))</f>
        <v>REEMBOLSO</v>
      </c>
      <c r="AJ1701" s="9" t="str">
        <f ca="1">IF('Banco de Dados'!$AI1701="ENTREGUE",_xlfn.XLOOKUP('Banco de Dados'!$G1701,Follow[CODRASTREIO],Follow[DATAATUALIZAÇÃO]),"-")</f>
        <v>-</v>
      </c>
      <c r="AK1701" s="132">
        <f ca="1"/>
        <v>45804</v>
      </c>
      <c r="AL1701" s="35"/>
      <c r="AM1701" s="109" cm="1">
        <f t="array" aca="1" ref="AM1701" ca="1">IF('Banco de Dados'!$AK1701&lt;&gt;"-",_xlfn.IFS('Banco de Dados'!$A1701="bv",IF('Banco de Dados'!$E1701&lt;45641,ROUND(SUM('Banco de Dados'!$R1701*_xlfn.XLOOKUP('Banco de Dados'!$P1701,Sku!B:B,Sku!#REF!)*20%),2),ROUND(SUM('Banco de Dados'!$R1701*_xlfn.XLOOKUP('Banco de Dados'!$P1701,Sku!B:B,Sku!H:H)*20%),2)),'Banco de Dados'!$A1701="GO",ROUND(SUM('Banco de Dados'!$R1701*_xlfn.XLOOKUP('Banco de Dados'!$P1701,Sku!C:C,Sku!H:H)*20%),2),'Banco de Dados'!$A1701="MEI",ROUND(SUM('Banco de Dados'!$R1701*_xlfn.XLOOKUP('Banco de Dados'!$P1701,Sku!D:D,Sku!H:H)*20%),2)),0)</f>
        <v>1.3</v>
      </c>
      <c r="AN1701" s="109">
        <f ca="1">IF('Banco de Dados'!$AK1701&lt;&gt;"-",IF('Banco de Dados'!$F1701&lt;&gt;"-",_xlfn.XLOOKUP(IFERROR(IFERROR(IFERROR(VALUE(SUBSTITUTE(MID(_xlfn.TEXTAFTER('Banco de Dados'!$F1701,"Data do Pedido:
",1),1,10),"-","/")),VALUE(SUBSTITUTE(MID(_xlfn.TEXTAFTER('Banco de Dados'!$F1701,"Order date:
",1),1,10),"-","/"))),VALUE(SUBSTITUTE(MID(_xlfn.TEXTAFTER('Banco de Dados'!$F1701,"Fecha de pedido:
",1),1,10),"-","/"))),"-"),SMS!A:A,SMS!K:K),0),0)</f>
        <v>0</v>
      </c>
      <c r="AO1701" s="109">
        <f ca="1">IF('Banco de Dados'!$AK1701&lt;&gt;"-",IF('Banco de Dados'!$F1701&lt;&gt;"-",IFERROR(_xlfn.XLOOKUP(_xlfn.CONCAT('Banco de Dados'!$A1701,IFERROR(IFERROR(VALUE(SUBSTITUTE(MID(_xlfn.TEXTAFTER('Banco de Dados'!$F1701,"Data do Pedido:
",1),1,10),"-","/")),VALUE(SUBSTITUTE(MID(_xlfn.TEXTAFTER('Banco de Dados'!$F1701,"Order date:
",1),1,10),"-","/"))),0)),ProxyDD[Chave],ProxyDD[Valor por pedido]),PROXY!$P$2),0),0)</f>
        <v>0</v>
      </c>
      <c r="AP1701" s="28">
        <f ca="1">IF('Banco de Dados'!$AK1701&lt;&gt;"-",IF('Banco de Dados'!$AL1701="NÃO",IFERROR(VALUE(SUBSTITUTE(_xlfn.TEXTAFTER('Banco de Dados'!$F1701,"BRL ",1),".",",")),0),0),0)</f>
        <v>0</v>
      </c>
      <c r="AQ1701" s="28">
        <f ca="1">SUM('Banco de Dados'!$AM1701:$AP1701)</f>
        <v>1.3</v>
      </c>
      <c r="AR1701" s="8"/>
      <c r="AS1701" s="8"/>
      <c r="AT1701"/>
      <c r="AY1701" s="8"/>
    </row>
    <row r="1702" spans="1:51">
      <c r="A1702" s="5" t="str">
        <v>MEI</v>
      </c>
      <c r="B1702" s="5" t="str">
        <f ca="1"/>
        <v>MEI-</v>
      </c>
      <c r="C1702" s="8" t="str">
        <v>Pedido 1689</v>
      </c>
      <c r="D1702" s="187">
        <v>45786</v>
      </c>
      <c r="E1702" s="9" t="str">
        <v>-</v>
      </c>
      <c r="F1702" s="8" t="str">
        <v>-</v>
      </c>
      <c r="G1702" s="2" t="str">
        <v>-</v>
      </c>
      <c r="H1702" s="5">
        <v>1</v>
      </c>
      <c r="I1702" s="182" t="str">
        <v>CPF 1648</v>
      </c>
      <c r="J1702" s="2" t="str">
        <v>Nome 1648</v>
      </c>
      <c r="K1702" s="8" t="str">
        <v>Tel 1648</v>
      </c>
      <c r="L1702" s="8" t="str">
        <v>Cep 1648</v>
      </c>
      <c r="M1702" s="8" t="str">
        <v>Rua 1648</v>
      </c>
      <c r="N1702" s="8" t="str">
        <v>Comp 1648</v>
      </c>
      <c r="O1702" s="8" t="str">
        <v>Ventilador Rosa</v>
      </c>
      <c r="P1702" s="8" t="str">
        <v>WR-82Y0-OV27</v>
      </c>
      <c r="Q1702" s="4">
        <v>45813</v>
      </c>
      <c r="R1702" s="109">
        <v>49.9</v>
      </c>
      <c r="S1702" s="11">
        <f ca="1"/>
        <v>0</v>
      </c>
      <c r="T1702" s="28">
        <f ca="1"/>
        <v>0</v>
      </c>
      <c r="U1702" s="11">
        <f ca="1"/>
        <v>0</v>
      </c>
      <c r="V1702" s="11">
        <v>0</v>
      </c>
      <c r="W1702" s="11">
        <f ca="1"/>
        <v>0</v>
      </c>
      <c r="X1702" s="11">
        <f ca="1"/>
        <v>0</v>
      </c>
      <c r="Y1702" s="11">
        <v>0</v>
      </c>
      <c r="Z1702" s="11">
        <f ca="1"/>
        <v>0</v>
      </c>
      <c r="AA1702" s="11">
        <f ca="1"/>
        <v>0</v>
      </c>
      <c r="AB1702" s="4">
        <f ca="1"/>
        <v>45820</v>
      </c>
      <c r="AC1702" s="4">
        <v>45820</v>
      </c>
      <c r="AD1702" s="9">
        <v>45824</v>
      </c>
      <c r="AE1702" s="9">
        <v>45828</v>
      </c>
      <c r="AF1702" s="4" t="str">
        <f t="shared" ca="1" si="118"/>
        <v>2025 06</v>
      </c>
      <c r="AG1702" s="8" t="str" cm="1">
        <f t="array" ref="AG1702">IFERROR(_xlfn.IFS('Banco de Dados'!#REF!="AG. COMPRA","Em processamento",'Banco de Dados'!#REF!="AG. RASTREIO","Em processamento",'Banco de Dados'!$AE1702&lt;&gt;"-","Faturado",'Banco de Dados'!$AD1702&lt;&gt;"-","Aguardando Pix",'Banco de Dados'!$AC1702&lt;&gt;"-","Pendente"),"Aguardando Liberação")</f>
        <v>Aguardando Liberação</v>
      </c>
      <c r="AH1702" s="5" t="str">
        <f ca="1">IF('Banco de Dados'!$F1702="-",_xlfn.CONCAT(PROPER(TEXT(AK1702,"aaaa"))," ",PROPER(TEXT(AK1702,"mm"))),_xlfn.CONCAT(PROPER(TEXT(E1702,"aaaa"))," ",PROPER(TEXT(E1702,"mm"))))</f>
        <v>2025 05</v>
      </c>
      <c r="AI1702" s="9" t="str">
        <f ca="1">IF('Banco de Dados'!$AK1702&lt;&gt;"-","REEMBOLSO",IFERROR(_xlfn.XLOOKUP(G1702,Follow[CODRASTREIO],Follow[STATUS]),"-"))</f>
        <v>REEMBOLSO</v>
      </c>
      <c r="AJ1702" s="9" t="str">
        <f ca="1">IF('Banco de Dados'!$AI1702="ENTREGUE",_xlfn.XLOOKUP('Banco de Dados'!$G1702,Follow[CODRASTREIO],Follow[DATAATUALIZAÇÃO]),"-")</f>
        <v>-</v>
      </c>
      <c r="AK1702" s="132">
        <f ca="1"/>
        <v>45796</v>
      </c>
      <c r="AL1702" s="35"/>
      <c r="AM1702" s="109" cm="1">
        <f t="array" aca="1" ref="AM1702" ca="1">IF('Banco de Dados'!$AK1702&lt;&gt;"-",_xlfn.IFS('Banco de Dados'!$A1702="bv",IF('Banco de Dados'!$E1702&lt;45641,ROUND(SUM('Banco de Dados'!$R1702*_xlfn.XLOOKUP('Banco de Dados'!$P1702,Sku!B:B,Sku!#REF!)*20%),2),ROUND(SUM('Banco de Dados'!$R1702*_xlfn.XLOOKUP('Banco de Dados'!$P1702,Sku!B:B,Sku!H:H)*20%),2)),'Banco de Dados'!$A1702="GO",ROUND(SUM('Banco de Dados'!$R1702*_xlfn.XLOOKUP('Banco de Dados'!$P1702,Sku!C:C,Sku!H:H)*20%),2),'Banco de Dados'!$A1702="MEI",ROUND(SUM('Banco de Dados'!$R1702*_xlfn.XLOOKUP('Banco de Dados'!$P1702,Sku!D:D,Sku!H:H)*20%),2)),0)</f>
        <v>1.3</v>
      </c>
      <c r="AN1702" s="109">
        <f ca="1">IF('Banco de Dados'!$AK1702&lt;&gt;"-",IF('Banco de Dados'!$F1702&lt;&gt;"-",_xlfn.XLOOKUP(IFERROR(IFERROR(IFERROR(VALUE(SUBSTITUTE(MID(_xlfn.TEXTAFTER('Banco de Dados'!$F1702,"Data do Pedido:
",1),1,10),"-","/")),VALUE(SUBSTITUTE(MID(_xlfn.TEXTAFTER('Banco de Dados'!$F1702,"Order date:
",1),1,10),"-","/"))),VALUE(SUBSTITUTE(MID(_xlfn.TEXTAFTER('Banco de Dados'!$F1702,"Fecha de pedido:
",1),1,10),"-","/"))),"-"),SMS!A:A,SMS!K:K),0),0)</f>
        <v>0</v>
      </c>
      <c r="AO1702" s="109">
        <f ca="1">IF('Banco de Dados'!$AK1702&lt;&gt;"-",IF('Banco de Dados'!$F1702&lt;&gt;"-",IFERROR(_xlfn.XLOOKUP(_xlfn.CONCAT('Banco de Dados'!$A1702,IFERROR(IFERROR(VALUE(SUBSTITUTE(MID(_xlfn.TEXTAFTER('Banco de Dados'!$F1702,"Data do Pedido:
",1),1,10),"-","/")),VALUE(SUBSTITUTE(MID(_xlfn.TEXTAFTER('Banco de Dados'!$F1702,"Order date:
",1),1,10),"-","/"))),0)),ProxyDD[Chave],ProxyDD[Valor por pedido]),PROXY!$P$2),0),0)</f>
        <v>0</v>
      </c>
      <c r="AP1702" s="28">
        <f ca="1">IF('Banco de Dados'!$AK1702&lt;&gt;"-",IF('Banco de Dados'!$AL1702="NÃO",IFERROR(VALUE(SUBSTITUTE(_xlfn.TEXTAFTER('Banco de Dados'!$F1702,"BRL ",1),".",",")),0),0),0)</f>
        <v>0</v>
      </c>
      <c r="AQ1702" s="28">
        <f ca="1">SUM('Banco de Dados'!$AM1702:$AP1702)</f>
        <v>1.3</v>
      </c>
      <c r="AR1702" s="8"/>
      <c r="AS1702" s="8"/>
      <c r="AT1702"/>
      <c r="AY1702" s="8"/>
    </row>
    <row r="1703" spans="1:51">
      <c r="A1703" s="5" t="str">
        <v>MEI</v>
      </c>
      <c r="B1703" s="5" t="str">
        <f ca="1"/>
        <v>MEI-</v>
      </c>
      <c r="C1703" s="8" t="str">
        <v>Pedido 1690</v>
      </c>
      <c r="D1703" s="187">
        <v>45786</v>
      </c>
      <c r="E1703" s="9" t="str">
        <v>-</v>
      </c>
      <c r="F1703" s="8" t="str">
        <v>-</v>
      </c>
      <c r="G1703" s="2" t="str">
        <v>-</v>
      </c>
      <c r="H1703" s="5">
        <v>1</v>
      </c>
      <c r="I1703" s="182" t="str">
        <v>CPF 1649</v>
      </c>
      <c r="J1703" s="2" t="str">
        <v>Nome 1649</v>
      </c>
      <c r="K1703" s="8" t="str">
        <v>Tel 1649</v>
      </c>
      <c r="L1703" s="8" t="str">
        <v>Cep 1649</v>
      </c>
      <c r="M1703" s="8" t="str">
        <v>Rua 1649</v>
      </c>
      <c r="N1703" s="8" t="str">
        <v>Comp 1649</v>
      </c>
      <c r="O1703" s="8" t="str">
        <v>Luminária Azul de mesa infantil</v>
      </c>
      <c r="P1703" s="8" t="str">
        <v>NO-Z0ZJ-Z61M</v>
      </c>
      <c r="Q1703" s="4">
        <v>45807</v>
      </c>
      <c r="R1703" s="109">
        <v>49.99</v>
      </c>
      <c r="S1703" s="11">
        <f ca="1"/>
        <v>0</v>
      </c>
      <c r="T1703" s="28">
        <f ca="1"/>
        <v>0</v>
      </c>
      <c r="U1703" s="11">
        <f ca="1"/>
        <v>0</v>
      </c>
      <c r="V1703" s="11">
        <v>0</v>
      </c>
      <c r="W1703" s="11">
        <f ca="1"/>
        <v>0</v>
      </c>
      <c r="X1703" s="11">
        <f ca="1"/>
        <v>0</v>
      </c>
      <c r="Y1703" s="11">
        <v>0</v>
      </c>
      <c r="Z1703" s="11">
        <f ca="1"/>
        <v>0</v>
      </c>
      <c r="AA1703" s="11">
        <f ca="1"/>
        <v>0</v>
      </c>
      <c r="AB1703" s="4">
        <f ca="1"/>
        <v>45814</v>
      </c>
      <c r="AC1703" s="4">
        <v>45814</v>
      </c>
      <c r="AD1703" s="9">
        <v>45824</v>
      </c>
      <c r="AE1703" s="9">
        <v>45828</v>
      </c>
      <c r="AF1703" s="4" t="str">
        <f t="shared" ca="1" si="118"/>
        <v>2025 06</v>
      </c>
      <c r="AG1703" s="8" t="str" cm="1">
        <f t="array" ref="AG1703">IFERROR(_xlfn.IFS('Banco de Dados'!#REF!="AG. COMPRA","Em processamento",'Banco de Dados'!#REF!="AG. RASTREIO","Em processamento",'Banco de Dados'!$AE1703&lt;&gt;"-","Faturado",'Banco de Dados'!$AD1703&lt;&gt;"-","Aguardando Pix",'Banco de Dados'!$AC1703&lt;&gt;"-","Pendente"),"Aguardando Liberação")</f>
        <v>Aguardando Liberação</v>
      </c>
      <c r="AH1703" s="5" t="str">
        <f ca="1">IF('Banco de Dados'!$F1703="-",_xlfn.CONCAT(PROPER(TEXT(AK1703,"aaaa"))," ",PROPER(TEXT(AK1703,"mm"))),_xlfn.CONCAT(PROPER(TEXT(E1703,"aaaa"))," ",PROPER(TEXT(E1703,"mm"))))</f>
        <v>2025 05</v>
      </c>
      <c r="AI1703" s="9" t="str">
        <f ca="1">IF('Banco de Dados'!$AK1703&lt;&gt;"-","REEMBOLSO",IFERROR(_xlfn.XLOOKUP(G1703,Follow[CODRASTREIO],Follow[STATUS]),"-"))</f>
        <v>REEMBOLSO</v>
      </c>
      <c r="AJ1703" s="9" t="str">
        <f ca="1">IF('Banco de Dados'!$AI1703="ENTREGUE",_xlfn.XLOOKUP('Banco de Dados'!$G1703,Follow[CODRASTREIO],Follow[DATAATUALIZAÇÃO]),"-")</f>
        <v>-</v>
      </c>
      <c r="AK1703" s="132">
        <f ca="1"/>
        <v>45799</v>
      </c>
      <c r="AL1703" s="35"/>
      <c r="AM1703" s="109" cm="1">
        <f t="array" aca="1" ref="AM1703" ca="1">IF('Banco de Dados'!$AK1703&lt;&gt;"-",_xlfn.IFS('Banco de Dados'!$A1703="bv",IF('Banco de Dados'!$E1703&lt;45641,ROUND(SUM('Banco de Dados'!$R1703*_xlfn.XLOOKUP('Banco de Dados'!$P1703,Sku!B:B,Sku!#REF!)*20%),2),ROUND(SUM('Banco de Dados'!$R1703*_xlfn.XLOOKUP('Banco de Dados'!$P1703,Sku!B:B,Sku!H:H)*20%),2)),'Banco de Dados'!$A1703="GO",ROUND(SUM('Banco de Dados'!$R1703*_xlfn.XLOOKUP('Banco de Dados'!$P1703,Sku!C:C,Sku!H:H)*20%),2),'Banco de Dados'!$A1703="MEI",ROUND(SUM('Banco de Dados'!$R1703*_xlfn.XLOOKUP('Banco de Dados'!$P1703,Sku!D:D,Sku!H:H)*20%),2)),0)</f>
        <v>1.2</v>
      </c>
      <c r="AN1703" s="109">
        <f ca="1">IF('Banco de Dados'!$AK1703&lt;&gt;"-",IF('Banco de Dados'!$F1703&lt;&gt;"-",_xlfn.XLOOKUP(IFERROR(IFERROR(IFERROR(VALUE(SUBSTITUTE(MID(_xlfn.TEXTAFTER('Banco de Dados'!$F1703,"Data do Pedido:
",1),1,10),"-","/")),VALUE(SUBSTITUTE(MID(_xlfn.TEXTAFTER('Banco de Dados'!$F1703,"Order date:
",1),1,10),"-","/"))),VALUE(SUBSTITUTE(MID(_xlfn.TEXTAFTER('Banco de Dados'!$F1703,"Fecha de pedido:
",1),1,10),"-","/"))),"-"),SMS!A:A,SMS!K:K),0),0)</f>
        <v>0</v>
      </c>
      <c r="AO1703" s="109">
        <f ca="1">IF('Banco de Dados'!$AK1703&lt;&gt;"-",IF('Banco de Dados'!$F1703&lt;&gt;"-",IFERROR(_xlfn.XLOOKUP(_xlfn.CONCAT('Banco de Dados'!$A1703,IFERROR(IFERROR(VALUE(SUBSTITUTE(MID(_xlfn.TEXTAFTER('Banco de Dados'!$F1703,"Data do Pedido:
",1),1,10),"-","/")),VALUE(SUBSTITUTE(MID(_xlfn.TEXTAFTER('Banco de Dados'!$F1703,"Order date:
",1),1,10),"-","/"))),0)),ProxyDD[Chave],ProxyDD[Valor por pedido]),PROXY!$P$2),0),0)</f>
        <v>0</v>
      </c>
      <c r="AP1703" s="28">
        <f ca="1">IF('Banco de Dados'!$AK1703&lt;&gt;"-",IF('Banco de Dados'!$AL1703="NÃO",IFERROR(VALUE(SUBSTITUTE(_xlfn.TEXTAFTER('Banco de Dados'!$F1703,"BRL ",1),".",",")),0),0),0)</f>
        <v>0</v>
      </c>
      <c r="AQ1703" s="28">
        <f ca="1">SUM('Banco de Dados'!$AM1703:$AP1703)</f>
        <v>1.2</v>
      </c>
      <c r="AR1703" s="8"/>
      <c r="AS1703" s="8"/>
      <c r="AT1703"/>
      <c r="AY1703" s="8"/>
    </row>
    <row r="1704" spans="1:51">
      <c r="A1704" s="5" t="str">
        <v>MEI</v>
      </c>
      <c r="B1704" s="5" t="str">
        <f ca="1"/>
        <v>MEI-</v>
      </c>
      <c r="C1704" s="8" t="str">
        <v>Pedido 1691</v>
      </c>
      <c r="D1704" s="187">
        <v>45786</v>
      </c>
      <c r="E1704" s="9" t="str">
        <v>-</v>
      </c>
      <c r="F1704" s="8" t="str">
        <v>-</v>
      </c>
      <c r="G1704" s="2" t="str">
        <v>-</v>
      </c>
      <c r="H1704" s="5">
        <v>1</v>
      </c>
      <c r="I1704" s="182" t="str">
        <v>CPF 1650</v>
      </c>
      <c r="J1704" s="2" t="str">
        <v>Nome 1650</v>
      </c>
      <c r="K1704" s="8" t="str">
        <v>Tel 1650</v>
      </c>
      <c r="L1704" s="8" t="str">
        <v>Cep 1650</v>
      </c>
      <c r="M1704" s="8" t="str">
        <v>Rua 1650</v>
      </c>
      <c r="N1704" s="8" t="str">
        <v>Comp 1650</v>
      </c>
      <c r="O1704" s="8" t="str">
        <v>Ventilador Azul</v>
      </c>
      <c r="P1704" s="8" t="str">
        <v>PK-L2Z7-MQRQ</v>
      </c>
      <c r="Q1704" s="4">
        <v>45807</v>
      </c>
      <c r="R1704" s="109">
        <v>48.9</v>
      </c>
      <c r="S1704" s="11">
        <f ca="1"/>
        <v>0</v>
      </c>
      <c r="T1704" s="28">
        <f ca="1"/>
        <v>0</v>
      </c>
      <c r="U1704" s="11">
        <f ca="1"/>
        <v>0</v>
      </c>
      <c r="V1704" s="11">
        <v>0</v>
      </c>
      <c r="W1704" s="11">
        <f ca="1"/>
        <v>0</v>
      </c>
      <c r="X1704" s="11">
        <f ca="1"/>
        <v>0</v>
      </c>
      <c r="Y1704" s="11">
        <v>0</v>
      </c>
      <c r="Z1704" s="11">
        <f ca="1"/>
        <v>0</v>
      </c>
      <c r="AA1704" s="11">
        <f ca="1"/>
        <v>0</v>
      </c>
      <c r="AB1704" s="4">
        <f ca="1"/>
        <v>45814</v>
      </c>
      <c r="AC1704" s="4">
        <v>45814</v>
      </c>
      <c r="AD1704" s="9">
        <v>45824</v>
      </c>
      <c r="AE1704" s="9">
        <v>45828</v>
      </c>
      <c r="AF1704" s="4" t="str">
        <f t="shared" ca="1" si="118"/>
        <v>2025 06</v>
      </c>
      <c r="AG1704" s="8" t="str" cm="1">
        <f t="array" ref="AG1704">IFERROR(_xlfn.IFS('Banco de Dados'!#REF!="AG. COMPRA","Em processamento",'Banco de Dados'!#REF!="AG. RASTREIO","Em processamento",'Banco de Dados'!$AE1704&lt;&gt;"-","Faturado",'Banco de Dados'!$AD1704&lt;&gt;"-","Aguardando Pix",'Banco de Dados'!$AC1704&lt;&gt;"-","Pendente"),"Aguardando Liberação")</f>
        <v>Aguardando Liberação</v>
      </c>
      <c r="AH1704" s="5" t="str">
        <f ca="1">IF('Banco de Dados'!$F1704="-",_xlfn.CONCAT(PROPER(TEXT(AK1704,"aaaa"))," ",PROPER(TEXT(AK1704,"mm"))),_xlfn.CONCAT(PROPER(TEXT(E1704,"aaaa"))," ",PROPER(TEXT(E1704,"mm"))))</f>
        <v>2025 05</v>
      </c>
      <c r="AI1704" s="9" t="str">
        <f ca="1">IF('Banco de Dados'!$AK1704&lt;&gt;"-","REEMBOLSO",IFERROR(_xlfn.XLOOKUP(G1704,Follow[CODRASTREIO],Follow[STATUS]),"-"))</f>
        <v>REEMBOLSO</v>
      </c>
      <c r="AJ1704" s="9" t="str">
        <f ca="1">IF('Banco de Dados'!$AI1704="ENTREGUE",_xlfn.XLOOKUP('Banco de Dados'!$G1704,Follow[CODRASTREIO],Follow[DATAATUALIZAÇÃO]),"-")</f>
        <v>-</v>
      </c>
      <c r="AK1704" s="132">
        <f ca="1"/>
        <v>45799</v>
      </c>
      <c r="AL1704" s="35"/>
      <c r="AM1704" s="109" cm="1">
        <f t="array" aca="1" ref="AM1704" ca="1">IF('Banco de Dados'!$AK1704&lt;&gt;"-",_xlfn.IFS('Banco de Dados'!$A1704="bv",IF('Banco de Dados'!$E1704&lt;45641,ROUND(SUM('Banco de Dados'!$R1704*_xlfn.XLOOKUP('Banco de Dados'!$P1704,Sku!B:B,Sku!#REF!)*20%),2),ROUND(SUM('Banco de Dados'!$R1704*_xlfn.XLOOKUP('Banco de Dados'!$P1704,Sku!B:B,Sku!H:H)*20%),2)),'Banco de Dados'!$A1704="GO",ROUND(SUM('Banco de Dados'!$R1704*_xlfn.XLOOKUP('Banco de Dados'!$P1704,Sku!C:C,Sku!H:H)*20%),2),'Banco de Dados'!$A1704="MEI",ROUND(SUM('Banco de Dados'!$R1704*_xlfn.XLOOKUP('Banco de Dados'!$P1704,Sku!D:D,Sku!H:H)*20%),2)),0)</f>
        <v>1.27</v>
      </c>
      <c r="AN1704" s="109">
        <f ca="1">IF('Banco de Dados'!$AK1704&lt;&gt;"-",IF('Banco de Dados'!$F1704&lt;&gt;"-",_xlfn.XLOOKUP(IFERROR(IFERROR(IFERROR(VALUE(SUBSTITUTE(MID(_xlfn.TEXTAFTER('Banco de Dados'!$F1704,"Data do Pedido:
",1),1,10),"-","/")),VALUE(SUBSTITUTE(MID(_xlfn.TEXTAFTER('Banco de Dados'!$F1704,"Order date:
",1),1,10),"-","/"))),VALUE(SUBSTITUTE(MID(_xlfn.TEXTAFTER('Banco de Dados'!$F1704,"Fecha de pedido:
",1),1,10),"-","/"))),"-"),SMS!A:A,SMS!K:K),0),0)</f>
        <v>0</v>
      </c>
      <c r="AO1704" s="109">
        <f ca="1">IF('Banco de Dados'!$AK1704&lt;&gt;"-",IF('Banco de Dados'!$F1704&lt;&gt;"-",IFERROR(_xlfn.XLOOKUP(_xlfn.CONCAT('Banco de Dados'!$A1704,IFERROR(IFERROR(VALUE(SUBSTITUTE(MID(_xlfn.TEXTAFTER('Banco de Dados'!$F1704,"Data do Pedido:
",1),1,10),"-","/")),VALUE(SUBSTITUTE(MID(_xlfn.TEXTAFTER('Banco de Dados'!$F1704,"Order date:
",1),1,10),"-","/"))),0)),ProxyDD[Chave],ProxyDD[Valor por pedido]),PROXY!$P$2),0),0)</f>
        <v>0</v>
      </c>
      <c r="AP1704" s="28">
        <f ca="1">IF('Banco de Dados'!$AK1704&lt;&gt;"-",IF('Banco de Dados'!$AL1704="NÃO",IFERROR(VALUE(SUBSTITUTE(_xlfn.TEXTAFTER('Banco de Dados'!$F1704,"BRL ",1),".",",")),0),0),0)</f>
        <v>0</v>
      </c>
      <c r="AQ1704" s="28">
        <f ca="1">SUM('Banco de Dados'!$AM1704:$AP1704)</f>
        <v>1.27</v>
      </c>
      <c r="AR1704" s="8"/>
      <c r="AS1704" s="8"/>
      <c r="AT1704"/>
      <c r="AY1704" s="8"/>
    </row>
    <row r="1705" spans="1:51">
      <c r="A1705" s="5" t="str">
        <v>MEI</v>
      </c>
      <c r="B1705" s="5" t="str">
        <f ca="1"/>
        <v>MEI45790</v>
      </c>
      <c r="C1705" s="8" t="str">
        <v>Pedido 1692</v>
      </c>
      <c r="D1705" s="187">
        <v>45787</v>
      </c>
      <c r="E1705" s="9">
        <v>45790</v>
      </c>
      <c r="F1705" s="8" t="str">
        <v>PedidoF1606</v>
      </c>
      <c r="G1705" s="2" t="str">
        <v>CódRastreio1604</v>
      </c>
      <c r="H1705" s="5">
        <v>1</v>
      </c>
      <c r="I1705" s="182" t="str">
        <v>CPF 1651</v>
      </c>
      <c r="J1705" s="2" t="str">
        <v>Nome 1651</v>
      </c>
      <c r="K1705" s="8" t="str">
        <v>Tel 1651</v>
      </c>
      <c r="L1705" s="8" t="str">
        <v>Cep 1651</v>
      </c>
      <c r="M1705" s="8" t="str">
        <v>Rua 1651</v>
      </c>
      <c r="N1705" s="8" t="str">
        <v>Comp 1651</v>
      </c>
      <c r="O1705" s="8" t="str">
        <v>Ventilador Umidificador Preto</v>
      </c>
      <c r="P1705" s="8" t="str">
        <v>71-KHMZ-MLQW</v>
      </c>
      <c r="Q1705" s="4">
        <v>45813</v>
      </c>
      <c r="R1705" s="109">
        <v>49.99</v>
      </c>
      <c r="S1705" s="11">
        <f ca="1"/>
        <v>49.99</v>
      </c>
      <c r="T1705" s="28">
        <f ca="1"/>
        <v>5.4988999999999999</v>
      </c>
      <c r="U1705" s="11">
        <f ca="1"/>
        <v>44.49</v>
      </c>
      <c r="V1705" s="11">
        <v>37.64</v>
      </c>
      <c r="W1705" s="11">
        <f ca="1"/>
        <v>0.45</v>
      </c>
      <c r="X1705" s="11">
        <f ca="1"/>
        <v>0.39877104377104378</v>
      </c>
      <c r="Y1705" s="11">
        <v>0</v>
      </c>
      <c r="Z1705" s="11">
        <f ca="1"/>
        <v>6.0012289562289567</v>
      </c>
      <c r="AA1705" s="11">
        <f ca="1"/>
        <v>3.0006144781144783</v>
      </c>
      <c r="AB1705" s="4">
        <f ca="1"/>
        <v>45820</v>
      </c>
      <c r="AC1705" s="4">
        <v>45820</v>
      </c>
      <c r="AD1705" s="9">
        <v>45824</v>
      </c>
      <c r="AE1705" s="9">
        <v>45828</v>
      </c>
      <c r="AF1705" s="4" t="str">
        <f t="shared" ca="1" si="118"/>
        <v>2025 06</v>
      </c>
      <c r="AG1705" s="8" t="str" cm="1">
        <f t="array" ref="AG1705">IFERROR(_xlfn.IFS('Banco de Dados'!#REF!="AG. COMPRA","Em processamento",'Banco de Dados'!#REF!="AG. RASTREIO","Em processamento",'Banco de Dados'!$AE1705&lt;&gt;"-","Faturado",'Banco de Dados'!$AD1705&lt;&gt;"-","Aguardando Pix",'Banco de Dados'!$AC1705&lt;&gt;"-","Pendente"),"Aguardando Liberação")</f>
        <v>Aguardando Liberação</v>
      </c>
      <c r="AH1705" s="5" t="str">
        <f>IF('Banco de Dados'!$F1705="-",_xlfn.CONCAT(PROPER(TEXT(AK1705,"aaaa"))," ",PROPER(TEXT(AK1705,"mm"))),_xlfn.CONCAT(PROPER(TEXT(E1705,"aaaa"))," ",PROPER(TEXT(E1705,"mm"))))</f>
        <v>2025 05</v>
      </c>
      <c r="AI1705" s="9" t="str">
        <f ca="1">IF('Banco de Dados'!$AK1705&lt;&gt;"-","REEMBOLSO",IFERROR(_xlfn.XLOOKUP(G1705,Follow[CODRASTREIO],Follow[STATUS]),"-"))</f>
        <v>EM TRÂNSITO</v>
      </c>
      <c r="AJ1705" s="9" t="str">
        <f ca="1">IF('Banco de Dados'!$AI1705="ENTREGUE",_xlfn.XLOOKUP('Banco de Dados'!$G1705,Follow[CODRASTREIO],Follow[DATAATUALIZAÇÃO]),"-")</f>
        <v>-</v>
      </c>
      <c r="AK1705" s="132" t="str">
        <f ca="1"/>
        <v>-</v>
      </c>
      <c r="AL1705" s="35"/>
      <c r="AM1705" s="109" cm="1">
        <f t="array" aca="1" ref="AM1705" ca="1">IF('Banco de Dados'!$AK1705&lt;&gt;"-",_xlfn.IFS('Banco de Dados'!$A1705="bv",IF('Banco de Dados'!$E1705&lt;45641,ROUND(SUM('Banco de Dados'!$R1705*_xlfn.XLOOKUP('Banco de Dados'!$P1705,Sku!B:B,Sku!#REF!)*20%),2),ROUND(SUM('Banco de Dados'!$R1705*_xlfn.XLOOKUP('Banco de Dados'!$P1705,Sku!B:B,Sku!H:H)*20%),2)),'Banco de Dados'!$A1705="GO",ROUND(SUM('Banco de Dados'!$R1705*_xlfn.XLOOKUP('Banco de Dados'!$P1705,Sku!C:C,Sku!H:H)*20%),2),'Banco de Dados'!$A1705="MEI",ROUND(SUM('Banco de Dados'!$R1705*_xlfn.XLOOKUP('Banco de Dados'!$P1705,Sku!D:D,Sku!H:H)*20%),2)),0)</f>
        <v>0</v>
      </c>
      <c r="AN1705" s="109">
        <f ca="1">IF('Banco de Dados'!$AK1705&lt;&gt;"-",IF('Banco de Dados'!$F1705&lt;&gt;"-",_xlfn.XLOOKUP(IFERROR(IFERROR(IFERROR(VALUE(SUBSTITUTE(MID(_xlfn.TEXTAFTER('Banco de Dados'!$F1705,"Data do Pedido:
",1),1,10),"-","/")),VALUE(SUBSTITUTE(MID(_xlfn.TEXTAFTER('Banco de Dados'!$F1705,"Order date:
",1),1,10),"-","/"))),VALUE(SUBSTITUTE(MID(_xlfn.TEXTAFTER('Banco de Dados'!$F1705,"Fecha de pedido:
",1),1,10),"-","/"))),"-"),SMS!A:A,SMS!K:K),0),0)</f>
        <v>0</v>
      </c>
      <c r="AO1705" s="109">
        <f ca="1">IF('Banco de Dados'!$AK1705&lt;&gt;"-",IF('Banco de Dados'!$F1705&lt;&gt;"-",IFERROR(_xlfn.XLOOKUP(_xlfn.CONCAT('Banco de Dados'!$A1705,IFERROR(IFERROR(VALUE(SUBSTITUTE(MID(_xlfn.TEXTAFTER('Banco de Dados'!$F1705,"Data do Pedido:
",1),1,10),"-","/")),VALUE(SUBSTITUTE(MID(_xlfn.TEXTAFTER('Banco de Dados'!$F1705,"Order date:
",1),1,10),"-","/"))),0)),ProxyDD[Chave],ProxyDD[Valor por pedido]),PROXY!$P$2),0),0)</f>
        <v>0</v>
      </c>
      <c r="AP1705" s="28">
        <f ca="1">IF('Banco de Dados'!$AK1705&lt;&gt;"-",IF('Banco de Dados'!$AL1705="NÃO",IFERROR(VALUE(SUBSTITUTE(_xlfn.TEXTAFTER('Banco de Dados'!$F1705,"BRL ",1),".",",")),0),0),0)</f>
        <v>0</v>
      </c>
      <c r="AQ1705" s="28">
        <f ca="1">SUM('Banco de Dados'!$AM1705:$AP1705)</f>
        <v>0</v>
      </c>
      <c r="AR1705" s="8"/>
      <c r="AS1705" s="8"/>
      <c r="AT1705"/>
      <c r="AY1705" s="8"/>
    </row>
    <row r="1706" spans="1:51">
      <c r="A1706" s="5" t="str">
        <v>MEI</v>
      </c>
      <c r="B1706" s="5" t="str">
        <f ca="1"/>
        <v>MEI45791</v>
      </c>
      <c r="C1706" s="8" t="str">
        <v>Pedido 1693</v>
      </c>
      <c r="D1706" s="187">
        <v>45787</v>
      </c>
      <c r="E1706" s="9">
        <v>45791</v>
      </c>
      <c r="F1706" s="8" t="str">
        <v>PedidoF1607</v>
      </c>
      <c r="G1706" s="2" t="str">
        <v>CódRastreio1605</v>
      </c>
      <c r="H1706" s="5">
        <v>1</v>
      </c>
      <c r="I1706" s="182" t="str">
        <v>CPF 1652</v>
      </c>
      <c r="J1706" s="2" t="str">
        <v>Nome 1652</v>
      </c>
      <c r="K1706" s="8" t="str">
        <v>Tel 1652</v>
      </c>
      <c r="L1706" s="8" t="str">
        <v>Cep 1652</v>
      </c>
      <c r="M1706" s="8" t="str">
        <v>Rua 1652</v>
      </c>
      <c r="N1706" s="8" t="str">
        <v>Comp 1652</v>
      </c>
      <c r="O1706" s="8" t="str">
        <v>Máquina de cortar cabelo dragão</v>
      </c>
      <c r="P1706" s="8" t="str">
        <v>RX-DD1P-P5U2</v>
      </c>
      <c r="Q1706" s="4">
        <v>45813</v>
      </c>
      <c r="R1706" s="109">
        <v>26.99</v>
      </c>
      <c r="S1706" s="11">
        <f ca="1"/>
        <v>0</v>
      </c>
      <c r="T1706" s="28">
        <f ca="1"/>
        <v>0</v>
      </c>
      <c r="U1706" s="11">
        <f ca="1"/>
        <v>0</v>
      </c>
      <c r="V1706" s="11">
        <v>0</v>
      </c>
      <c r="W1706" s="11">
        <f ca="1"/>
        <v>0</v>
      </c>
      <c r="X1706" s="11">
        <f ca="1"/>
        <v>0.39877104377104378</v>
      </c>
      <c r="Y1706" s="11">
        <v>0</v>
      </c>
      <c r="Z1706" s="11">
        <f ca="1"/>
        <v>-0.39877104377104378</v>
      </c>
      <c r="AA1706" s="11">
        <f ca="1"/>
        <v>-0.19938552188552189</v>
      </c>
      <c r="AB1706" s="4">
        <f ca="1"/>
        <v>45820</v>
      </c>
      <c r="AC1706" s="4">
        <v>45820</v>
      </c>
      <c r="AD1706" s="9">
        <v>45824</v>
      </c>
      <c r="AE1706" s="9">
        <v>45828</v>
      </c>
      <c r="AF1706" s="4" t="str">
        <f t="shared" ca="1" si="118"/>
        <v>2025 06</v>
      </c>
      <c r="AG1706" s="8" t="str" cm="1">
        <f t="array" ref="AG1706">IFERROR(_xlfn.IFS('Banco de Dados'!#REF!="AG. COMPRA","Em processamento",'Banco de Dados'!#REF!="AG. RASTREIO","Em processamento",'Banco de Dados'!$AE1706&lt;&gt;"-","Faturado",'Banco de Dados'!$AD1706&lt;&gt;"-","Aguardando Pix",'Banco de Dados'!$AC1706&lt;&gt;"-","Pendente"),"Aguardando Liberação")</f>
        <v>Aguardando Liberação</v>
      </c>
      <c r="AH1706" s="5" t="str">
        <f>IF('Banco de Dados'!$F1706="-",_xlfn.CONCAT(PROPER(TEXT(AK1706,"aaaa"))," ",PROPER(TEXT(AK1706,"mm"))),_xlfn.CONCAT(PROPER(TEXT(E1706,"aaaa"))," ",PROPER(TEXT(E1706,"mm"))))</f>
        <v>2025 05</v>
      </c>
      <c r="AI1706" s="9" t="str">
        <f ca="1">IF('Banco de Dados'!$AK1706&lt;&gt;"-","REEMBOLSO",IFERROR(_xlfn.XLOOKUP(G1706,Follow[CODRASTREIO],Follow[STATUS]),"-"))</f>
        <v>REEMBOLSO</v>
      </c>
      <c r="AJ1706" s="9" t="str">
        <f ca="1">IF('Banco de Dados'!$AI1706="ENTREGUE",_xlfn.XLOOKUP('Banco de Dados'!$G1706,Follow[CODRASTREIO],Follow[DATAATUALIZAÇÃO]),"-")</f>
        <v>-</v>
      </c>
      <c r="AK1706" s="132">
        <f ca="1"/>
        <v>45831</v>
      </c>
      <c r="AL1706" s="35"/>
      <c r="AM1706" s="109" cm="1">
        <f t="array" aca="1" ref="AM1706" ca="1">IF('Banco de Dados'!$AK1706&lt;&gt;"-",_xlfn.IFS('Banco de Dados'!$A1706="bv",IF('Banco de Dados'!$E1706&lt;45641,ROUND(SUM('Banco de Dados'!$R1706*_xlfn.XLOOKUP('Banco de Dados'!$P1706,Sku!B:B,Sku!#REF!)*20%),2),ROUND(SUM('Banco de Dados'!$R1706*_xlfn.XLOOKUP('Banco de Dados'!$P1706,Sku!B:B,Sku!H:H)*20%),2)),'Banco de Dados'!$A1706="GO",ROUND(SUM('Banco de Dados'!$R1706*_xlfn.XLOOKUP('Banco de Dados'!$P1706,Sku!C:C,Sku!H:H)*20%),2),'Banco de Dados'!$A1706="MEI",ROUND(SUM('Banco de Dados'!$R1706*_xlfn.XLOOKUP('Banco de Dados'!$P1706,Sku!D:D,Sku!H:H)*20%),2)),0)</f>
        <v>0.65</v>
      </c>
      <c r="AN1706" s="109" t="e">
        <f ca="1">IF('Banco de Dados'!$AK1706&lt;&gt;"-",IF('Banco de Dados'!$F1706&lt;&gt;"-",_xlfn.XLOOKUP(IFERROR(IFERROR(IFERROR(VALUE(SUBSTITUTE(MID(_xlfn.TEXTAFTER('Banco de Dados'!$F1706,"Data do Pedido:
",1),1,10),"-","/")),VALUE(SUBSTITUTE(MID(_xlfn.TEXTAFTER('Banco de Dados'!$F1706,"Order date:
",1),1,10),"-","/"))),VALUE(SUBSTITUTE(MID(_xlfn.TEXTAFTER('Banco de Dados'!$F1706,"Fecha de pedido:
",1),1,10),"-","/"))),"-"),SMS!A:A,SMS!K:K),0),0)</f>
        <v>#N/A</v>
      </c>
      <c r="AO1706" s="109">
        <f ca="1">IF('Banco de Dados'!$AK1706&lt;&gt;"-",IF('Banco de Dados'!$F1706&lt;&gt;"-",IFERROR(_xlfn.XLOOKUP(_xlfn.CONCAT('Banco de Dados'!$A1706,IFERROR(IFERROR(VALUE(SUBSTITUTE(MID(_xlfn.TEXTAFTER('Banco de Dados'!$F1706,"Data do Pedido:
",1),1,10),"-","/")),VALUE(SUBSTITUTE(MID(_xlfn.TEXTAFTER('Banco de Dados'!$F1706,"Order date:
",1),1,10),"-","/"))),0)),ProxyDD[Chave],ProxyDD[Valor por pedido]),PROXY!$P$2),0),0)</f>
        <v>0.39877104377104378</v>
      </c>
      <c r="AP1706" s="28">
        <f ca="1">IF('Banco de Dados'!$AK1706&lt;&gt;"-",IF('Banco de Dados'!$AL1706="NÃO",IFERROR(VALUE(SUBSTITUTE(_xlfn.TEXTAFTER('Banco de Dados'!$F1706,"BRL ",1),".",",")),0),0),0)</f>
        <v>0</v>
      </c>
      <c r="AQ1706" s="28" t="e">
        <f ca="1">SUM('Banco de Dados'!$AM1706:$AP1706)</f>
        <v>#N/A</v>
      </c>
      <c r="AR1706" s="8"/>
      <c r="AS1706" s="8"/>
      <c r="AT1706"/>
      <c r="AY1706" s="8"/>
    </row>
    <row r="1707" spans="1:51">
      <c r="A1707" s="5" t="str">
        <v>MEI</v>
      </c>
      <c r="B1707" s="5" t="str">
        <f ca="1"/>
        <v>MEI45790</v>
      </c>
      <c r="C1707" s="8" t="str">
        <v>Pedido 1694</v>
      </c>
      <c r="D1707" s="187">
        <v>45787</v>
      </c>
      <c r="E1707" s="9">
        <v>45790</v>
      </c>
      <c r="F1707" s="8" t="str">
        <v>PedidoF1608</v>
      </c>
      <c r="G1707" s="2" t="str">
        <v>CódRastreio1606</v>
      </c>
      <c r="H1707" s="5">
        <v>1</v>
      </c>
      <c r="I1707" s="182" t="str">
        <v>CPF 1653</v>
      </c>
      <c r="J1707" s="2" t="str">
        <v>Nome 1653</v>
      </c>
      <c r="K1707" s="8" t="str">
        <v>Tel 1653</v>
      </c>
      <c r="L1707" s="8" t="str">
        <v>Cep 1653</v>
      </c>
      <c r="M1707" s="8" t="str">
        <v>Rua 1653</v>
      </c>
      <c r="N1707" s="8" t="str">
        <v>Comp 1653</v>
      </c>
      <c r="O1707" s="8" t="str">
        <v>Copo Termico</v>
      </c>
      <c r="P1707" s="8" t="str">
        <v>VI-4RT5-1FFO</v>
      </c>
      <c r="Q1707" s="4">
        <v>45801</v>
      </c>
      <c r="R1707" s="109">
        <v>22.7</v>
      </c>
      <c r="S1707" s="11">
        <f ca="1"/>
        <v>22.7</v>
      </c>
      <c r="T1707" s="28">
        <f ca="1"/>
        <v>2.7239999999999998</v>
      </c>
      <c r="U1707" s="11">
        <f ca="1"/>
        <v>19.98</v>
      </c>
      <c r="V1707" s="11">
        <v>14.71</v>
      </c>
      <c r="W1707" s="11">
        <f ca="1"/>
        <v>0.45</v>
      </c>
      <c r="X1707" s="11">
        <f ca="1"/>
        <v>0.39877104377104378</v>
      </c>
      <c r="Y1707" s="11">
        <v>0</v>
      </c>
      <c r="Z1707" s="11">
        <f ca="1"/>
        <v>4.4212289562289566</v>
      </c>
      <c r="AA1707" s="11">
        <f ca="1"/>
        <v>2.2106144781144783</v>
      </c>
      <c r="AB1707" s="4">
        <f ca="1"/>
        <v>45808</v>
      </c>
      <c r="AC1707" s="4">
        <v>45808</v>
      </c>
      <c r="AD1707" s="9">
        <v>45824</v>
      </c>
      <c r="AE1707" s="9">
        <v>45828</v>
      </c>
      <c r="AF1707" s="4" t="str">
        <f t="shared" ca="1" si="118"/>
        <v>2025 05</v>
      </c>
      <c r="AG1707" s="8" t="str" cm="1">
        <f t="array" ref="AG1707">IFERROR(_xlfn.IFS('Banco de Dados'!#REF!="AG. COMPRA","Em processamento",'Banco de Dados'!#REF!="AG. RASTREIO","Em processamento",'Banco de Dados'!$AE1707&lt;&gt;"-","Faturado",'Banco de Dados'!$AD1707&lt;&gt;"-","Aguardando Pix",'Banco de Dados'!$AC1707&lt;&gt;"-","Pendente"),"Aguardando Liberação")</f>
        <v>Aguardando Liberação</v>
      </c>
      <c r="AH1707" s="5" t="str">
        <f>IF('Banco de Dados'!$F1707="-",_xlfn.CONCAT(PROPER(TEXT(AK1707,"aaaa"))," ",PROPER(TEXT(AK1707,"mm"))),_xlfn.CONCAT(PROPER(TEXT(E1707,"aaaa"))," ",PROPER(TEXT(E1707,"mm"))))</f>
        <v>2025 05</v>
      </c>
      <c r="AI1707" s="9" t="str">
        <f ca="1">IF('Banco de Dados'!$AK1707&lt;&gt;"-","REEMBOLSO",IFERROR(_xlfn.XLOOKUP(G1707,Follow[CODRASTREIO],Follow[STATUS]),"-"))</f>
        <v>ENTREGUE</v>
      </c>
      <c r="AJ1707" s="9">
        <f ca="1">IF('Banco de Dados'!$AI1707="ENTREGUE",_xlfn.XLOOKUP('Banco de Dados'!$G1707,Follow[CODRASTREIO],Follow[DATAATUALIZAÇÃO]),"-")</f>
        <v>45793</v>
      </c>
      <c r="AK1707" s="132" t="str">
        <f ca="1"/>
        <v>-</v>
      </c>
      <c r="AL1707" s="35"/>
      <c r="AM1707" s="109" cm="1">
        <f t="array" aca="1" ref="AM1707" ca="1">IF('Banco de Dados'!$AK1707&lt;&gt;"-",_xlfn.IFS('Banco de Dados'!$A1707="bv",IF('Banco de Dados'!$E1707&lt;45641,ROUND(SUM('Banco de Dados'!$R1707*_xlfn.XLOOKUP('Banco de Dados'!$P1707,Sku!B:B,Sku!#REF!)*20%),2),ROUND(SUM('Banco de Dados'!$R1707*_xlfn.XLOOKUP('Banco de Dados'!$P1707,Sku!B:B,Sku!H:H)*20%),2)),'Banco de Dados'!$A1707="GO",ROUND(SUM('Banco de Dados'!$R1707*_xlfn.XLOOKUP('Banco de Dados'!$P1707,Sku!C:C,Sku!H:H)*20%),2),'Banco de Dados'!$A1707="MEI",ROUND(SUM('Banco de Dados'!$R1707*_xlfn.XLOOKUP('Banco de Dados'!$P1707,Sku!D:D,Sku!H:H)*20%),2)),0)</f>
        <v>0</v>
      </c>
      <c r="AN1707" s="109">
        <f ca="1">IF('Banco de Dados'!$AK1707&lt;&gt;"-",IF('Banco de Dados'!$F1707&lt;&gt;"-",_xlfn.XLOOKUP(IFERROR(IFERROR(IFERROR(VALUE(SUBSTITUTE(MID(_xlfn.TEXTAFTER('Banco de Dados'!$F1707,"Data do Pedido:
",1),1,10),"-","/")),VALUE(SUBSTITUTE(MID(_xlfn.TEXTAFTER('Banco de Dados'!$F1707,"Order date:
",1),1,10),"-","/"))),VALUE(SUBSTITUTE(MID(_xlfn.TEXTAFTER('Banco de Dados'!$F1707,"Fecha de pedido:
",1),1,10),"-","/"))),"-"),SMS!A:A,SMS!K:K),0),0)</f>
        <v>0</v>
      </c>
      <c r="AO1707" s="109">
        <f ca="1">IF('Banco de Dados'!$AK1707&lt;&gt;"-",IF('Banco de Dados'!$F1707&lt;&gt;"-",IFERROR(_xlfn.XLOOKUP(_xlfn.CONCAT('Banco de Dados'!$A1707,IFERROR(IFERROR(VALUE(SUBSTITUTE(MID(_xlfn.TEXTAFTER('Banco de Dados'!$F1707,"Data do Pedido:
",1),1,10),"-","/")),VALUE(SUBSTITUTE(MID(_xlfn.TEXTAFTER('Banco de Dados'!$F1707,"Order date:
",1),1,10),"-","/"))),0)),ProxyDD[Chave],ProxyDD[Valor por pedido]),PROXY!$P$2),0),0)</f>
        <v>0</v>
      </c>
      <c r="AP1707" s="28">
        <f ca="1">IF('Banco de Dados'!$AK1707&lt;&gt;"-",IF('Banco de Dados'!$AL1707="NÃO",IFERROR(VALUE(SUBSTITUTE(_xlfn.TEXTAFTER('Banco de Dados'!$F1707,"BRL ",1),".",",")),0),0),0)</f>
        <v>0</v>
      </c>
      <c r="AQ1707" s="28">
        <f ca="1">SUM('Banco de Dados'!$AM1707:$AP1707)</f>
        <v>0</v>
      </c>
      <c r="AR1707" s="8"/>
      <c r="AS1707" s="8"/>
      <c r="AT1707"/>
      <c r="AY1707" s="8"/>
    </row>
    <row r="1708" spans="1:51">
      <c r="A1708" s="5" t="str">
        <v>MEI</v>
      </c>
      <c r="B1708" s="5" t="str">
        <f ca="1"/>
        <v>MEI45791</v>
      </c>
      <c r="C1708" s="8" t="str">
        <v>Pedido 1695</v>
      </c>
      <c r="D1708" s="187">
        <v>45787</v>
      </c>
      <c r="E1708" s="9">
        <v>45791</v>
      </c>
      <c r="F1708" s="8" t="str">
        <v>PedidoF1609</v>
      </c>
      <c r="G1708" s="2" t="str">
        <v>CódRastreio1607</v>
      </c>
      <c r="H1708" s="5">
        <v>1</v>
      </c>
      <c r="I1708" s="182" t="str">
        <v>CPF 1654</v>
      </c>
      <c r="J1708" s="2" t="str">
        <v>Nome 1654</v>
      </c>
      <c r="K1708" s="8" t="str">
        <v>Tel 1654</v>
      </c>
      <c r="L1708" s="8" t="str">
        <v>Cep 1654</v>
      </c>
      <c r="M1708" s="8" t="str">
        <v>Rua 1654</v>
      </c>
      <c r="N1708" s="8" t="str">
        <v>Comp 1654</v>
      </c>
      <c r="O1708" s="8" t="str">
        <v>Ventilador Umidificador Preto</v>
      </c>
      <c r="P1708" s="8" t="str">
        <v>71-KHMZ-MLQW</v>
      </c>
      <c r="Q1708" s="4">
        <v>45807</v>
      </c>
      <c r="R1708" s="109">
        <v>49.99</v>
      </c>
      <c r="S1708" s="11">
        <f ca="1"/>
        <v>49.99</v>
      </c>
      <c r="T1708" s="28">
        <f ca="1"/>
        <v>5.4988999999999999</v>
      </c>
      <c r="U1708" s="11">
        <f ca="1"/>
        <v>44.49</v>
      </c>
      <c r="V1708" s="11">
        <v>36.659999999999997</v>
      </c>
      <c r="W1708" s="11">
        <f ca="1"/>
        <v>0.64</v>
      </c>
      <c r="X1708" s="11">
        <f ca="1"/>
        <v>0.39877104377104378</v>
      </c>
      <c r="Y1708" s="11">
        <v>0</v>
      </c>
      <c r="Z1708" s="11">
        <f ca="1"/>
        <v>6.7912289562289629</v>
      </c>
      <c r="AA1708" s="11">
        <f ca="1"/>
        <v>3.3956144781144815</v>
      </c>
      <c r="AB1708" s="4">
        <f ca="1"/>
        <v>45814</v>
      </c>
      <c r="AC1708" s="4">
        <v>45814</v>
      </c>
      <c r="AD1708" s="9">
        <v>45824</v>
      </c>
      <c r="AE1708" s="9">
        <v>45828</v>
      </c>
      <c r="AF1708" s="4" t="str">
        <f t="shared" ca="1" si="118"/>
        <v>2025 06</v>
      </c>
      <c r="AG1708" s="8" t="str" cm="1">
        <f t="array" ref="AG1708">IFERROR(_xlfn.IFS('Banco de Dados'!#REF!="AG. COMPRA","Em processamento",'Banco de Dados'!#REF!="AG. RASTREIO","Em processamento",'Banco de Dados'!$AE1708&lt;&gt;"-","Faturado",'Banco de Dados'!$AD1708&lt;&gt;"-","Aguardando Pix",'Banco de Dados'!$AC1708&lt;&gt;"-","Pendente"),"Aguardando Liberação")</f>
        <v>Aguardando Liberação</v>
      </c>
      <c r="AH1708" s="5" t="str">
        <f>IF('Banco de Dados'!$F1708="-",_xlfn.CONCAT(PROPER(TEXT(AK1708,"aaaa"))," ",PROPER(TEXT(AK1708,"mm"))),_xlfn.CONCAT(PROPER(TEXT(E1708,"aaaa"))," ",PROPER(TEXT(E1708,"mm"))))</f>
        <v>2025 05</v>
      </c>
      <c r="AI1708" s="9" t="str">
        <f ca="1">IF('Banco de Dados'!$AK1708&lt;&gt;"-","REEMBOLSO",IFERROR(_xlfn.XLOOKUP(G1708,Follow[CODRASTREIO],Follow[STATUS]),"-"))</f>
        <v>ENTREGUE</v>
      </c>
      <c r="AJ1708" s="9">
        <f ca="1">IF('Banco de Dados'!$AI1708="ENTREGUE",_xlfn.XLOOKUP('Banco de Dados'!$G1708,Follow[CODRASTREIO],Follow[DATAATUALIZAÇÃO]),"-")</f>
        <v>45819.715694444443</v>
      </c>
      <c r="AK1708" s="132" t="str">
        <f ca="1"/>
        <v>-</v>
      </c>
      <c r="AL1708" s="35"/>
      <c r="AM1708" s="109" cm="1">
        <f t="array" aca="1" ref="AM1708" ca="1">IF('Banco de Dados'!$AK1708&lt;&gt;"-",_xlfn.IFS('Banco de Dados'!$A1708="bv",IF('Banco de Dados'!$E1708&lt;45641,ROUND(SUM('Banco de Dados'!$R1708*_xlfn.XLOOKUP('Banco de Dados'!$P1708,Sku!B:B,Sku!#REF!)*20%),2),ROUND(SUM('Banco de Dados'!$R1708*_xlfn.XLOOKUP('Banco de Dados'!$P1708,Sku!B:B,Sku!H:H)*20%),2)),'Banco de Dados'!$A1708="GO",ROUND(SUM('Banco de Dados'!$R1708*_xlfn.XLOOKUP('Banco de Dados'!$P1708,Sku!C:C,Sku!H:H)*20%),2),'Banco de Dados'!$A1708="MEI",ROUND(SUM('Banco de Dados'!$R1708*_xlfn.XLOOKUP('Banco de Dados'!$P1708,Sku!D:D,Sku!H:H)*20%),2)),0)</f>
        <v>0</v>
      </c>
      <c r="AN1708" s="109">
        <f ca="1">IF('Banco de Dados'!$AK1708&lt;&gt;"-",IF('Banco de Dados'!$F1708&lt;&gt;"-",_xlfn.XLOOKUP(IFERROR(IFERROR(IFERROR(VALUE(SUBSTITUTE(MID(_xlfn.TEXTAFTER('Banco de Dados'!$F1708,"Data do Pedido:
",1),1,10),"-","/")),VALUE(SUBSTITUTE(MID(_xlfn.TEXTAFTER('Banco de Dados'!$F1708,"Order date:
",1),1,10),"-","/"))),VALUE(SUBSTITUTE(MID(_xlfn.TEXTAFTER('Banco de Dados'!$F1708,"Fecha de pedido:
",1),1,10),"-","/"))),"-"),SMS!A:A,SMS!K:K),0),0)</f>
        <v>0</v>
      </c>
      <c r="AO1708" s="109">
        <f ca="1">IF('Banco de Dados'!$AK1708&lt;&gt;"-",IF('Banco de Dados'!$F1708&lt;&gt;"-",IFERROR(_xlfn.XLOOKUP(_xlfn.CONCAT('Banco de Dados'!$A1708,IFERROR(IFERROR(VALUE(SUBSTITUTE(MID(_xlfn.TEXTAFTER('Banco de Dados'!$F1708,"Data do Pedido:
",1),1,10),"-","/")),VALUE(SUBSTITUTE(MID(_xlfn.TEXTAFTER('Banco de Dados'!$F1708,"Order date:
",1),1,10),"-","/"))),0)),ProxyDD[Chave],ProxyDD[Valor por pedido]),PROXY!$P$2),0),0)</f>
        <v>0</v>
      </c>
      <c r="AP1708" s="28">
        <f ca="1">IF('Banco de Dados'!$AK1708&lt;&gt;"-",IF('Banco de Dados'!$AL1708="NÃO",IFERROR(VALUE(SUBSTITUTE(_xlfn.TEXTAFTER('Banco de Dados'!$F1708,"BRL ",1),".",",")),0),0),0)</f>
        <v>0</v>
      </c>
      <c r="AQ1708" s="28">
        <f ca="1">SUM('Banco de Dados'!$AM1708:$AP1708)</f>
        <v>0</v>
      </c>
      <c r="AR1708" s="8"/>
      <c r="AS1708" s="8"/>
      <c r="AT1708"/>
      <c r="AY1708" s="8"/>
    </row>
    <row r="1709" spans="1:51">
      <c r="A1709" s="5" t="str">
        <v>MEI</v>
      </c>
      <c r="B1709" s="5" t="str">
        <f ca="1"/>
        <v>MEI-</v>
      </c>
      <c r="C1709" s="8" t="str">
        <v>Pedido 1696</v>
      </c>
      <c r="D1709" s="187">
        <v>45788</v>
      </c>
      <c r="E1709" s="9" t="str">
        <v>-</v>
      </c>
      <c r="F1709" s="8" t="str">
        <v>-</v>
      </c>
      <c r="G1709" s="2" t="str">
        <v>-</v>
      </c>
      <c r="H1709" s="5">
        <v>1</v>
      </c>
      <c r="I1709" s="182" t="str">
        <v>CPF 1655</v>
      </c>
      <c r="J1709" s="2" t="str">
        <v>Nome 1655</v>
      </c>
      <c r="K1709" s="8" t="str">
        <v>Tel 1655</v>
      </c>
      <c r="L1709" s="8" t="str">
        <v>Cep 1655</v>
      </c>
      <c r="M1709" s="8" t="str">
        <v>Rua 1655</v>
      </c>
      <c r="N1709" s="8" t="str">
        <v>Comp 1655</v>
      </c>
      <c r="O1709" s="8" t="str">
        <v>Ventilador Azul</v>
      </c>
      <c r="P1709" s="8" t="str">
        <v>PK-L2Z7-MQRQ</v>
      </c>
      <c r="Q1709" s="4">
        <v>45820</v>
      </c>
      <c r="R1709" s="109">
        <v>48.9</v>
      </c>
      <c r="S1709" s="11">
        <f ca="1"/>
        <v>0</v>
      </c>
      <c r="T1709" s="28">
        <f ca="1"/>
        <v>0</v>
      </c>
      <c r="U1709" s="11">
        <f ca="1"/>
        <v>0</v>
      </c>
      <c r="V1709" s="11">
        <v>0</v>
      </c>
      <c r="W1709" s="11">
        <f ca="1"/>
        <v>0</v>
      </c>
      <c r="X1709" s="11">
        <f ca="1"/>
        <v>0</v>
      </c>
      <c r="Y1709" s="11">
        <v>0</v>
      </c>
      <c r="Z1709" s="11">
        <f ca="1"/>
        <v>0</v>
      </c>
      <c r="AA1709" s="11">
        <f ca="1"/>
        <v>0</v>
      </c>
      <c r="AB1709" s="4">
        <f ca="1"/>
        <v>45827</v>
      </c>
      <c r="AC1709" s="4">
        <v>45827</v>
      </c>
      <c r="AD1709" s="9">
        <v>45838</v>
      </c>
      <c r="AE1709" s="9">
        <v>45839</v>
      </c>
      <c r="AF1709" s="4" t="str">
        <f t="shared" ca="1" si="118"/>
        <v>2025 06</v>
      </c>
      <c r="AG1709" s="8" t="str" cm="1">
        <f t="array" ref="AG1709">IFERROR(_xlfn.IFS('Banco de Dados'!#REF!="AG. COMPRA","Em processamento",'Banco de Dados'!#REF!="AG. RASTREIO","Em processamento",'Banco de Dados'!$AE1709&lt;&gt;"-","Faturado",'Banco de Dados'!$AD1709&lt;&gt;"-","Aguardando Pix",'Banco de Dados'!$AC1709&lt;&gt;"-","Pendente"),"Aguardando Liberação")</f>
        <v>Aguardando Liberação</v>
      </c>
      <c r="AH1709" s="5" t="str">
        <f ca="1">IF('Banco de Dados'!$F1709="-",_xlfn.CONCAT(PROPER(TEXT(AK1709,"aaaa"))," ",PROPER(TEXT(AK1709,"mm"))),_xlfn.CONCAT(PROPER(TEXT(E1709,"aaaa"))," ",PROPER(TEXT(E1709,"mm"))))</f>
        <v>2025 05</v>
      </c>
      <c r="AI1709" s="9" t="str">
        <f ca="1">IF('Banco de Dados'!$AK1709&lt;&gt;"-","REEMBOLSO",IFERROR(_xlfn.XLOOKUP(G1709,Follow[CODRASTREIO],Follow[STATUS]),"-"))</f>
        <v>REEMBOLSO</v>
      </c>
      <c r="AJ1709" s="9" t="str">
        <f ca="1">IF('Banco de Dados'!$AI1709="ENTREGUE",_xlfn.XLOOKUP('Banco de Dados'!$G1709,Follow[CODRASTREIO],Follow[DATAATUALIZAÇÃO]),"-")</f>
        <v>-</v>
      </c>
      <c r="AK1709" s="132">
        <f ca="1"/>
        <v>45807</v>
      </c>
      <c r="AL1709" s="35"/>
      <c r="AM1709" s="109" cm="1">
        <f t="array" aca="1" ref="AM1709" ca="1">IF('Banco de Dados'!$AK1709&lt;&gt;"-",_xlfn.IFS('Banco de Dados'!$A1709="bv",IF('Banco de Dados'!$E1709&lt;45641,ROUND(SUM('Banco de Dados'!$R1709*_xlfn.XLOOKUP('Banco de Dados'!$P1709,Sku!B:B,Sku!#REF!)*20%),2),ROUND(SUM('Banco de Dados'!$R1709*_xlfn.XLOOKUP('Banco de Dados'!$P1709,Sku!B:B,Sku!H:H)*20%),2)),'Banco de Dados'!$A1709="GO",ROUND(SUM('Banco de Dados'!$R1709*_xlfn.XLOOKUP('Banco de Dados'!$P1709,Sku!C:C,Sku!H:H)*20%),2),'Banco de Dados'!$A1709="MEI",ROUND(SUM('Banco de Dados'!$R1709*_xlfn.XLOOKUP('Banco de Dados'!$P1709,Sku!D:D,Sku!H:H)*20%),2)),0)</f>
        <v>1.27</v>
      </c>
      <c r="AN1709" s="109">
        <f ca="1">IF('Banco de Dados'!$AK1709&lt;&gt;"-",IF('Banco de Dados'!$F1709&lt;&gt;"-",_xlfn.XLOOKUP(IFERROR(IFERROR(IFERROR(VALUE(SUBSTITUTE(MID(_xlfn.TEXTAFTER('Banco de Dados'!$F1709,"Data do Pedido:
",1),1,10),"-","/")),VALUE(SUBSTITUTE(MID(_xlfn.TEXTAFTER('Banco de Dados'!$F1709,"Order date:
",1),1,10),"-","/"))),VALUE(SUBSTITUTE(MID(_xlfn.TEXTAFTER('Banco de Dados'!$F1709,"Fecha de pedido:
",1),1,10),"-","/"))),"-"),SMS!A:A,SMS!K:K),0),0)</f>
        <v>0</v>
      </c>
      <c r="AO1709" s="109">
        <f ca="1">IF('Banco de Dados'!$AK1709&lt;&gt;"-",IF('Banco de Dados'!$F1709&lt;&gt;"-",IFERROR(_xlfn.XLOOKUP(_xlfn.CONCAT('Banco de Dados'!$A1709,IFERROR(IFERROR(VALUE(SUBSTITUTE(MID(_xlfn.TEXTAFTER('Banco de Dados'!$F1709,"Data do Pedido:
",1),1,10),"-","/")),VALUE(SUBSTITUTE(MID(_xlfn.TEXTAFTER('Banco de Dados'!$F1709,"Order date:
",1),1,10),"-","/"))),0)),ProxyDD[Chave],ProxyDD[Valor por pedido]),PROXY!$P$2),0),0)</f>
        <v>0</v>
      </c>
      <c r="AP1709" s="28">
        <f ca="1">IF('Banco de Dados'!$AK1709&lt;&gt;"-",IF('Banco de Dados'!$AL1709="NÃO",IFERROR(VALUE(SUBSTITUTE(_xlfn.TEXTAFTER('Banco de Dados'!$F1709,"BRL ",1),".",",")),0),0),0)</f>
        <v>0</v>
      </c>
      <c r="AQ1709" s="28">
        <f ca="1">SUM('Banco de Dados'!$AM1709:$AP1709)</f>
        <v>1.27</v>
      </c>
      <c r="AR1709" s="8"/>
      <c r="AS1709" s="8"/>
      <c r="AT1709"/>
      <c r="AY1709" s="8"/>
    </row>
    <row r="1710" spans="1:51">
      <c r="A1710" s="5" t="str">
        <v>MEI</v>
      </c>
      <c r="B1710" s="5" t="str">
        <f ca="1"/>
        <v>MEI-</v>
      </c>
      <c r="C1710" s="8" t="str">
        <v>Pedido 1697</v>
      </c>
      <c r="D1710" s="187">
        <v>45788</v>
      </c>
      <c r="E1710" s="9" t="str">
        <v>-</v>
      </c>
      <c r="F1710" s="8" t="str">
        <v>-</v>
      </c>
      <c r="G1710" s="2" t="str">
        <v>-</v>
      </c>
      <c r="H1710" s="5">
        <v>1</v>
      </c>
      <c r="I1710" s="182" t="str">
        <v>CPF 1656</v>
      </c>
      <c r="J1710" s="2" t="str">
        <v>Nome 1656</v>
      </c>
      <c r="K1710" s="8" t="str">
        <v>Tel 1656</v>
      </c>
      <c r="L1710" s="8" t="str">
        <v>Cep 1656</v>
      </c>
      <c r="M1710" s="8" t="str">
        <v>Rua 1656</v>
      </c>
      <c r="N1710" s="8" t="str">
        <v>Comp 1656</v>
      </c>
      <c r="O1710" s="8" t="str">
        <v>Ventilador Rosa</v>
      </c>
      <c r="P1710" s="8" t="str">
        <v>WR-82Y0-OV27</v>
      </c>
      <c r="Q1710" s="4">
        <v>45807</v>
      </c>
      <c r="R1710" s="109">
        <v>49.9</v>
      </c>
      <c r="S1710" s="11">
        <f ca="1"/>
        <v>0</v>
      </c>
      <c r="T1710" s="28">
        <f ca="1"/>
        <v>0</v>
      </c>
      <c r="U1710" s="11">
        <f ca="1"/>
        <v>0</v>
      </c>
      <c r="V1710" s="11">
        <v>0</v>
      </c>
      <c r="W1710" s="11">
        <f ca="1"/>
        <v>0</v>
      </c>
      <c r="X1710" s="11">
        <f ca="1"/>
        <v>0</v>
      </c>
      <c r="Y1710" s="11">
        <v>0</v>
      </c>
      <c r="Z1710" s="11">
        <f ca="1"/>
        <v>0</v>
      </c>
      <c r="AA1710" s="11">
        <f ca="1"/>
        <v>0</v>
      </c>
      <c r="AB1710" s="4">
        <f ca="1"/>
        <v>45814</v>
      </c>
      <c r="AC1710" s="4">
        <v>45814</v>
      </c>
      <c r="AD1710" s="9">
        <v>45824</v>
      </c>
      <c r="AE1710" s="9">
        <v>45828</v>
      </c>
      <c r="AF1710" s="4" t="str">
        <f t="shared" ca="1" si="118"/>
        <v>2025 06</v>
      </c>
      <c r="AG1710" s="8" t="str" cm="1">
        <f t="array" ref="AG1710">IFERROR(_xlfn.IFS('Banco de Dados'!#REF!="AG. COMPRA","Em processamento",'Banco de Dados'!#REF!="AG. RASTREIO","Em processamento",'Banco de Dados'!$AE1710&lt;&gt;"-","Faturado",'Banco de Dados'!$AD1710&lt;&gt;"-","Aguardando Pix",'Banco de Dados'!$AC1710&lt;&gt;"-","Pendente"),"Aguardando Liberação")</f>
        <v>Aguardando Liberação</v>
      </c>
      <c r="AH1710" s="5" t="str">
        <f ca="1">IF('Banco de Dados'!$F1710="-",_xlfn.CONCAT(PROPER(TEXT(AK1710,"aaaa"))," ",PROPER(TEXT(AK1710,"mm"))),_xlfn.CONCAT(PROPER(TEXT(E1710,"aaaa"))," ",PROPER(TEXT(E1710,"mm"))))</f>
        <v>2025 05</v>
      </c>
      <c r="AI1710" s="9" t="str">
        <f ca="1">IF('Banco de Dados'!$AK1710&lt;&gt;"-","REEMBOLSO",IFERROR(_xlfn.XLOOKUP(G1710,Follow[CODRASTREIO],Follow[STATUS]),"-"))</f>
        <v>REEMBOLSO</v>
      </c>
      <c r="AJ1710" s="9" t="str">
        <f ca="1">IF('Banco de Dados'!$AI1710="ENTREGUE",_xlfn.XLOOKUP('Banco de Dados'!$G1710,Follow[CODRASTREIO],Follow[DATAATUALIZAÇÃO]),"-")</f>
        <v>-</v>
      </c>
      <c r="AK1710" s="132">
        <f ca="1"/>
        <v>45804</v>
      </c>
      <c r="AL1710" s="35"/>
      <c r="AM1710" s="109" cm="1">
        <f t="array" aca="1" ref="AM1710" ca="1">IF('Banco de Dados'!$AK1710&lt;&gt;"-",_xlfn.IFS('Banco de Dados'!$A1710="bv",IF('Banco de Dados'!$E1710&lt;45641,ROUND(SUM('Banco de Dados'!$R1710*_xlfn.XLOOKUP('Banco de Dados'!$P1710,Sku!B:B,Sku!#REF!)*20%),2),ROUND(SUM('Banco de Dados'!$R1710*_xlfn.XLOOKUP('Banco de Dados'!$P1710,Sku!B:B,Sku!H:H)*20%),2)),'Banco de Dados'!$A1710="GO",ROUND(SUM('Banco de Dados'!$R1710*_xlfn.XLOOKUP('Banco de Dados'!$P1710,Sku!C:C,Sku!H:H)*20%),2),'Banco de Dados'!$A1710="MEI",ROUND(SUM('Banco de Dados'!$R1710*_xlfn.XLOOKUP('Banco de Dados'!$P1710,Sku!D:D,Sku!H:H)*20%),2)),0)</f>
        <v>1.3</v>
      </c>
      <c r="AN1710" s="109">
        <f ca="1">IF('Banco de Dados'!$AK1710&lt;&gt;"-",IF('Banco de Dados'!$F1710&lt;&gt;"-",_xlfn.XLOOKUP(IFERROR(IFERROR(IFERROR(VALUE(SUBSTITUTE(MID(_xlfn.TEXTAFTER('Banco de Dados'!$F1710,"Data do Pedido:
",1),1,10),"-","/")),VALUE(SUBSTITUTE(MID(_xlfn.TEXTAFTER('Banco de Dados'!$F1710,"Order date:
",1),1,10),"-","/"))),VALUE(SUBSTITUTE(MID(_xlfn.TEXTAFTER('Banco de Dados'!$F1710,"Fecha de pedido:
",1),1,10),"-","/"))),"-"),SMS!A:A,SMS!K:K),0),0)</f>
        <v>0</v>
      </c>
      <c r="AO1710" s="109">
        <f ca="1">IF('Banco de Dados'!$AK1710&lt;&gt;"-",IF('Banco de Dados'!$F1710&lt;&gt;"-",IFERROR(_xlfn.XLOOKUP(_xlfn.CONCAT('Banco de Dados'!$A1710,IFERROR(IFERROR(VALUE(SUBSTITUTE(MID(_xlfn.TEXTAFTER('Banco de Dados'!$F1710,"Data do Pedido:
",1),1,10),"-","/")),VALUE(SUBSTITUTE(MID(_xlfn.TEXTAFTER('Banco de Dados'!$F1710,"Order date:
",1),1,10),"-","/"))),0)),ProxyDD[Chave],ProxyDD[Valor por pedido]),PROXY!$P$2),0),0)</f>
        <v>0</v>
      </c>
      <c r="AP1710" s="28">
        <f ca="1">IF('Banco de Dados'!$AK1710&lt;&gt;"-",IF('Banco de Dados'!$AL1710="NÃO",IFERROR(VALUE(SUBSTITUTE(_xlfn.TEXTAFTER('Banco de Dados'!$F1710,"BRL ",1),".",",")),0),0),0)</f>
        <v>0</v>
      </c>
      <c r="AQ1710" s="28">
        <f ca="1">SUM('Banco de Dados'!$AM1710:$AP1710)</f>
        <v>1.3</v>
      </c>
      <c r="AR1710" s="8"/>
      <c r="AS1710" s="8"/>
      <c r="AT1710"/>
      <c r="AY1710" s="8"/>
    </row>
    <row r="1711" spans="1:51">
      <c r="A1711" s="5" t="str">
        <v>MEI</v>
      </c>
      <c r="B1711" s="5" t="str">
        <f ca="1"/>
        <v>MEI45791</v>
      </c>
      <c r="C1711" s="8" t="str">
        <v>Pedido 1698</v>
      </c>
      <c r="D1711" s="187">
        <v>45788</v>
      </c>
      <c r="E1711" s="9">
        <v>45791</v>
      </c>
      <c r="F1711" s="8" t="str">
        <v>PedidoF1610</v>
      </c>
      <c r="G1711" s="2" t="str">
        <v>CódRastreio1608</v>
      </c>
      <c r="H1711" s="5">
        <v>1</v>
      </c>
      <c r="I1711" s="182" t="str">
        <v>CPF 1657</v>
      </c>
      <c r="J1711" s="2" t="str">
        <v>Nome 1657</v>
      </c>
      <c r="K1711" s="8" t="str">
        <v>Tel 1657</v>
      </c>
      <c r="L1711" s="8" t="str">
        <v>Cep 1657</v>
      </c>
      <c r="M1711" s="8" t="str">
        <v>Rua 1657</v>
      </c>
      <c r="N1711" s="8" t="str">
        <v>Comp 1657</v>
      </c>
      <c r="O1711" s="8" t="str">
        <v>Copo Termico</v>
      </c>
      <c r="P1711" s="8" t="str">
        <v>VI-4RT5-1FFO</v>
      </c>
      <c r="Q1711" s="4">
        <v>45813</v>
      </c>
      <c r="R1711" s="109">
        <v>22.7</v>
      </c>
      <c r="S1711" s="11">
        <f ca="1"/>
        <v>22.7</v>
      </c>
      <c r="T1711" s="28">
        <f ca="1"/>
        <v>2.7239999999999998</v>
      </c>
      <c r="U1711" s="11">
        <f ca="1"/>
        <v>19.98</v>
      </c>
      <c r="V1711" s="11">
        <v>14.71</v>
      </c>
      <c r="W1711" s="11">
        <f ca="1"/>
        <v>0.64</v>
      </c>
      <c r="X1711" s="11">
        <f ca="1"/>
        <v>0.39877104377104378</v>
      </c>
      <c r="Y1711" s="11">
        <v>0</v>
      </c>
      <c r="Z1711" s="11">
        <f ca="1"/>
        <v>4.2312289562289553</v>
      </c>
      <c r="AA1711" s="11">
        <f ca="1"/>
        <v>2.1156144781144777</v>
      </c>
      <c r="AB1711" s="4">
        <f ca="1"/>
        <v>45820</v>
      </c>
      <c r="AC1711" s="4">
        <v>45820</v>
      </c>
      <c r="AD1711" s="9">
        <v>45824</v>
      </c>
      <c r="AE1711" s="9">
        <v>45828</v>
      </c>
      <c r="AF1711" s="4" t="str">
        <f t="shared" ca="1" si="118"/>
        <v>2025 06</v>
      </c>
      <c r="AG1711" s="8" t="str" cm="1">
        <f t="array" ref="AG1711">IFERROR(_xlfn.IFS('Banco de Dados'!#REF!="AG. COMPRA","Em processamento",'Banco de Dados'!#REF!="AG. RASTREIO","Em processamento",'Banco de Dados'!$AE1711&lt;&gt;"-","Faturado",'Banco de Dados'!$AD1711&lt;&gt;"-","Aguardando Pix",'Banco de Dados'!$AC1711&lt;&gt;"-","Pendente"),"Aguardando Liberação")</f>
        <v>Aguardando Liberação</v>
      </c>
      <c r="AH1711" s="5" t="str">
        <f>IF('Banco de Dados'!$F1711="-",_xlfn.CONCAT(PROPER(TEXT(AK1711,"aaaa"))," ",PROPER(TEXT(AK1711,"mm"))),_xlfn.CONCAT(PROPER(TEXT(E1711,"aaaa"))," ",PROPER(TEXT(E1711,"mm"))))</f>
        <v>2025 05</v>
      </c>
      <c r="AI1711" s="9" t="str">
        <f ca="1">IF('Banco de Dados'!$AK1711&lt;&gt;"-","REEMBOLSO",IFERROR(_xlfn.XLOOKUP(G1711,Follow[CODRASTREIO],Follow[STATUS]),"-"))</f>
        <v>ENTREGUE</v>
      </c>
      <c r="AJ1711" s="9">
        <f ca="1">IF('Banco de Dados'!$AI1711="ENTREGUE",_xlfn.XLOOKUP('Banco de Dados'!$G1711,Follow[CODRASTREIO],Follow[DATAATUALIZAÇÃO]),"-")</f>
        <v>45799</v>
      </c>
      <c r="AK1711" s="132" t="str">
        <f ca="1"/>
        <v>-</v>
      </c>
      <c r="AL1711" s="35"/>
      <c r="AM1711" s="109" cm="1">
        <f t="array" aca="1" ref="AM1711" ca="1">IF('Banco de Dados'!$AK1711&lt;&gt;"-",_xlfn.IFS('Banco de Dados'!$A1711="bv",IF('Banco de Dados'!$E1711&lt;45641,ROUND(SUM('Banco de Dados'!$R1711*_xlfn.XLOOKUP('Banco de Dados'!$P1711,Sku!B:B,Sku!#REF!)*20%),2),ROUND(SUM('Banco de Dados'!$R1711*_xlfn.XLOOKUP('Banco de Dados'!$P1711,Sku!B:B,Sku!H:H)*20%),2)),'Banco de Dados'!$A1711="GO",ROUND(SUM('Banco de Dados'!$R1711*_xlfn.XLOOKUP('Banco de Dados'!$P1711,Sku!C:C,Sku!H:H)*20%),2),'Banco de Dados'!$A1711="MEI",ROUND(SUM('Banco de Dados'!$R1711*_xlfn.XLOOKUP('Banco de Dados'!$P1711,Sku!D:D,Sku!H:H)*20%),2)),0)</f>
        <v>0</v>
      </c>
      <c r="AN1711" s="109">
        <f ca="1">IF('Banco de Dados'!$AK1711&lt;&gt;"-",IF('Banco de Dados'!$F1711&lt;&gt;"-",_xlfn.XLOOKUP(IFERROR(IFERROR(IFERROR(VALUE(SUBSTITUTE(MID(_xlfn.TEXTAFTER('Banco de Dados'!$F1711,"Data do Pedido:
",1),1,10),"-","/")),VALUE(SUBSTITUTE(MID(_xlfn.TEXTAFTER('Banco de Dados'!$F1711,"Order date:
",1),1,10),"-","/"))),VALUE(SUBSTITUTE(MID(_xlfn.TEXTAFTER('Banco de Dados'!$F1711,"Fecha de pedido:
",1),1,10),"-","/"))),"-"),SMS!A:A,SMS!K:K),0),0)</f>
        <v>0</v>
      </c>
      <c r="AO1711" s="109">
        <f ca="1">IF('Banco de Dados'!$AK1711&lt;&gt;"-",IF('Banco de Dados'!$F1711&lt;&gt;"-",IFERROR(_xlfn.XLOOKUP(_xlfn.CONCAT('Banco de Dados'!$A1711,IFERROR(IFERROR(VALUE(SUBSTITUTE(MID(_xlfn.TEXTAFTER('Banco de Dados'!$F1711,"Data do Pedido:
",1),1,10),"-","/")),VALUE(SUBSTITUTE(MID(_xlfn.TEXTAFTER('Banco de Dados'!$F1711,"Order date:
",1),1,10),"-","/"))),0)),ProxyDD[Chave],ProxyDD[Valor por pedido]),PROXY!$P$2),0),0)</f>
        <v>0</v>
      </c>
      <c r="AP1711" s="28">
        <f ca="1">IF('Banco de Dados'!$AK1711&lt;&gt;"-",IF('Banco de Dados'!$AL1711="NÃO",IFERROR(VALUE(SUBSTITUTE(_xlfn.TEXTAFTER('Banco de Dados'!$F1711,"BRL ",1),".",",")),0),0),0)</f>
        <v>0</v>
      </c>
      <c r="AQ1711" s="28">
        <f ca="1">SUM('Banco de Dados'!$AM1711:$AP1711)</f>
        <v>0</v>
      </c>
      <c r="AR1711" s="8"/>
      <c r="AS1711" s="8"/>
      <c r="AT1711"/>
      <c r="AY1711" s="8"/>
    </row>
    <row r="1712" spans="1:51">
      <c r="A1712" s="5" t="str">
        <v>MEI</v>
      </c>
      <c r="B1712" s="5" t="str">
        <f ca="1"/>
        <v>MEI45792</v>
      </c>
      <c r="C1712" s="8" t="str">
        <v>Pedido 1699</v>
      </c>
      <c r="D1712" s="187">
        <v>45788</v>
      </c>
      <c r="E1712" s="9">
        <v>45792</v>
      </c>
      <c r="F1712" s="8" t="str">
        <v>PedidoF1611</v>
      </c>
      <c r="G1712" s="2" t="str">
        <v>CódRastreio1609</v>
      </c>
      <c r="H1712" s="5">
        <v>1</v>
      </c>
      <c r="I1712" s="182" t="str">
        <v>CPF 1658</v>
      </c>
      <c r="J1712" s="2" t="str">
        <v>Nome 1658</v>
      </c>
      <c r="K1712" s="8" t="str">
        <v>Tel 1658</v>
      </c>
      <c r="L1712" s="8" t="str">
        <v>Cep 1658</v>
      </c>
      <c r="M1712" s="8" t="str">
        <v>Rua 1658</v>
      </c>
      <c r="N1712" s="8" t="str">
        <v>Comp 1658</v>
      </c>
      <c r="O1712" s="8" t="str">
        <v>Ventilador Azul</v>
      </c>
      <c r="P1712" s="8" t="str">
        <v>PK-L2Z7-MQRQ</v>
      </c>
      <c r="Q1712" s="4">
        <v>45820</v>
      </c>
      <c r="R1712" s="109">
        <v>48.9</v>
      </c>
      <c r="S1712" s="11">
        <f ca="1"/>
        <v>48.9</v>
      </c>
      <c r="T1712" s="28">
        <f ca="1"/>
        <v>5.8679999999999994</v>
      </c>
      <c r="U1712" s="11">
        <f ca="1"/>
        <v>43.03</v>
      </c>
      <c r="V1712" s="11">
        <v>28.88</v>
      </c>
      <c r="W1712" s="11">
        <f ca="1"/>
        <v>4.0999999999999996</v>
      </c>
      <c r="X1712" s="11">
        <f ca="1"/>
        <v>0.39877104377104378</v>
      </c>
      <c r="Y1712" s="11">
        <v>0</v>
      </c>
      <c r="Z1712" s="11">
        <f ca="1"/>
        <v>9.6512289562289624</v>
      </c>
      <c r="AA1712" s="11">
        <f ca="1"/>
        <v>4.8256144781144812</v>
      </c>
      <c r="AB1712" s="4">
        <f ca="1"/>
        <v>45827</v>
      </c>
      <c r="AC1712" s="4">
        <v>45827</v>
      </c>
      <c r="AD1712" s="9">
        <v>45838</v>
      </c>
      <c r="AE1712" s="9">
        <v>45839</v>
      </c>
      <c r="AF1712" s="4" t="str">
        <f t="shared" ca="1" si="118"/>
        <v>2025 06</v>
      </c>
      <c r="AG1712" s="8" t="str" cm="1">
        <f t="array" ref="AG1712">IFERROR(_xlfn.IFS('Banco de Dados'!#REF!="AG. COMPRA","Em processamento",'Banco de Dados'!#REF!="AG. RASTREIO","Em processamento",'Banco de Dados'!$AE1712&lt;&gt;"-","Faturado",'Banco de Dados'!$AD1712&lt;&gt;"-","Aguardando Pix",'Banco de Dados'!$AC1712&lt;&gt;"-","Pendente"),"Aguardando Liberação")</f>
        <v>Aguardando Liberação</v>
      </c>
      <c r="AH1712" s="5" t="str">
        <f>IF('Banco de Dados'!$F1712="-",_xlfn.CONCAT(PROPER(TEXT(AK1712,"aaaa"))," ",PROPER(TEXT(AK1712,"mm"))),_xlfn.CONCAT(PROPER(TEXT(E1712,"aaaa"))," ",PROPER(TEXT(E1712,"mm"))))</f>
        <v>2025 05</v>
      </c>
      <c r="AI1712" s="9" t="str">
        <f ca="1">IF('Banco de Dados'!$AK1712&lt;&gt;"-","REEMBOLSO",IFERROR(_xlfn.XLOOKUP(G1712,Follow[CODRASTREIO],Follow[STATUS]),"-"))</f>
        <v>ENTREGUE</v>
      </c>
      <c r="AJ1712" s="9">
        <f ca="1">IF('Banco de Dados'!$AI1712="ENTREGUE",_xlfn.XLOOKUP('Banco de Dados'!$G1712,Follow[CODRASTREIO],Follow[DATAATUALIZAÇÃO]),"-")</f>
        <v>45812</v>
      </c>
      <c r="AK1712" s="132" t="str">
        <f ca="1"/>
        <v>-</v>
      </c>
      <c r="AL1712" s="35"/>
      <c r="AM1712" s="109" cm="1">
        <f t="array" aca="1" ref="AM1712" ca="1">IF('Banco de Dados'!$AK1712&lt;&gt;"-",_xlfn.IFS('Banco de Dados'!$A1712="bv",IF('Banco de Dados'!$E1712&lt;45641,ROUND(SUM('Banco de Dados'!$R1712*_xlfn.XLOOKUP('Banco de Dados'!$P1712,Sku!B:B,Sku!#REF!)*20%),2),ROUND(SUM('Banco de Dados'!$R1712*_xlfn.XLOOKUP('Banco de Dados'!$P1712,Sku!B:B,Sku!H:H)*20%),2)),'Banco de Dados'!$A1712="GO",ROUND(SUM('Banco de Dados'!$R1712*_xlfn.XLOOKUP('Banco de Dados'!$P1712,Sku!C:C,Sku!H:H)*20%),2),'Banco de Dados'!$A1712="MEI",ROUND(SUM('Banco de Dados'!$R1712*_xlfn.XLOOKUP('Banco de Dados'!$P1712,Sku!D:D,Sku!H:H)*20%),2)),0)</f>
        <v>0</v>
      </c>
      <c r="AN1712" s="109">
        <f ca="1">IF('Banco de Dados'!$AK1712&lt;&gt;"-",IF('Banco de Dados'!$F1712&lt;&gt;"-",_xlfn.XLOOKUP(IFERROR(IFERROR(IFERROR(VALUE(SUBSTITUTE(MID(_xlfn.TEXTAFTER('Banco de Dados'!$F1712,"Data do Pedido:
",1),1,10),"-","/")),VALUE(SUBSTITUTE(MID(_xlfn.TEXTAFTER('Banco de Dados'!$F1712,"Order date:
",1),1,10),"-","/"))),VALUE(SUBSTITUTE(MID(_xlfn.TEXTAFTER('Banco de Dados'!$F1712,"Fecha de pedido:
",1),1,10),"-","/"))),"-"),SMS!A:A,SMS!K:K),0),0)</f>
        <v>0</v>
      </c>
      <c r="AO1712" s="109">
        <f ca="1">IF('Banco de Dados'!$AK1712&lt;&gt;"-",IF('Banco de Dados'!$F1712&lt;&gt;"-",IFERROR(_xlfn.XLOOKUP(_xlfn.CONCAT('Banco de Dados'!$A1712,IFERROR(IFERROR(VALUE(SUBSTITUTE(MID(_xlfn.TEXTAFTER('Banco de Dados'!$F1712,"Data do Pedido:
",1),1,10),"-","/")),VALUE(SUBSTITUTE(MID(_xlfn.TEXTAFTER('Banco de Dados'!$F1712,"Order date:
",1),1,10),"-","/"))),0)),ProxyDD[Chave],ProxyDD[Valor por pedido]),PROXY!$P$2),0),0)</f>
        <v>0</v>
      </c>
      <c r="AP1712" s="28">
        <f ca="1">IF('Banco de Dados'!$AK1712&lt;&gt;"-",IF('Banco de Dados'!$AL1712="NÃO",IFERROR(VALUE(SUBSTITUTE(_xlfn.TEXTAFTER('Banco de Dados'!$F1712,"BRL ",1),".",",")),0),0),0)</f>
        <v>0</v>
      </c>
      <c r="AQ1712" s="28">
        <f ca="1">SUM('Banco de Dados'!$AM1712:$AP1712)</f>
        <v>0</v>
      </c>
      <c r="AR1712" s="8"/>
      <c r="AS1712" s="8"/>
      <c r="AT1712"/>
      <c r="AY1712" s="8"/>
    </row>
    <row r="1713" spans="1:51">
      <c r="A1713" s="5" t="str">
        <v>MEI</v>
      </c>
      <c r="B1713" s="5" t="str">
        <f ca="1"/>
        <v>MEI-</v>
      </c>
      <c r="C1713" s="8" t="str">
        <v>Pedido 1700</v>
      </c>
      <c r="D1713" s="187">
        <v>45788</v>
      </c>
      <c r="E1713" s="9" t="str">
        <v>-</v>
      </c>
      <c r="F1713" s="8" t="str">
        <v>-</v>
      </c>
      <c r="G1713" s="2" t="str">
        <v>-</v>
      </c>
      <c r="H1713" s="5">
        <v>1</v>
      </c>
      <c r="I1713" s="182" t="str">
        <v>CPF 1659</v>
      </c>
      <c r="J1713" s="2" t="str">
        <v>Nome 1659</v>
      </c>
      <c r="K1713" s="8" t="str">
        <v>Tel 1659</v>
      </c>
      <c r="L1713" s="8" t="str">
        <v>Cep 1659</v>
      </c>
      <c r="M1713" s="8" t="str">
        <v>Rua 1659</v>
      </c>
      <c r="N1713" s="8" t="str">
        <v>Comp 1659</v>
      </c>
      <c r="O1713" s="8" t="str">
        <v>Ventilador Rosa</v>
      </c>
      <c r="P1713" s="8" t="str">
        <v>WR-82Y0-OV27</v>
      </c>
      <c r="Q1713" s="4">
        <v>45813</v>
      </c>
      <c r="R1713" s="109">
        <v>49.9</v>
      </c>
      <c r="S1713" s="11">
        <f ca="1"/>
        <v>0</v>
      </c>
      <c r="T1713" s="28">
        <f ca="1"/>
        <v>0</v>
      </c>
      <c r="U1713" s="11">
        <f ca="1"/>
        <v>0</v>
      </c>
      <c r="V1713" s="11">
        <v>0</v>
      </c>
      <c r="W1713" s="11">
        <f ca="1"/>
        <v>0</v>
      </c>
      <c r="X1713" s="11">
        <f ca="1"/>
        <v>0</v>
      </c>
      <c r="Y1713" s="11">
        <v>0</v>
      </c>
      <c r="Z1713" s="11">
        <f ca="1"/>
        <v>0</v>
      </c>
      <c r="AA1713" s="11">
        <f ca="1"/>
        <v>0</v>
      </c>
      <c r="AB1713" s="4">
        <f ca="1"/>
        <v>45820</v>
      </c>
      <c r="AC1713" s="4">
        <v>45820</v>
      </c>
      <c r="AD1713" s="9">
        <v>45824</v>
      </c>
      <c r="AE1713" s="9">
        <v>45828</v>
      </c>
      <c r="AF1713" s="4" t="str">
        <f t="shared" ca="1" si="118"/>
        <v>2025 06</v>
      </c>
      <c r="AG1713" s="8" t="str" cm="1">
        <f t="array" ref="AG1713">IFERROR(_xlfn.IFS('Banco de Dados'!#REF!="AG. COMPRA","Em processamento",'Banco de Dados'!#REF!="AG. RASTREIO","Em processamento",'Banco de Dados'!$AE1713&lt;&gt;"-","Faturado",'Banco de Dados'!$AD1713&lt;&gt;"-","Aguardando Pix",'Banco de Dados'!$AC1713&lt;&gt;"-","Pendente"),"Aguardando Liberação")</f>
        <v>Aguardando Liberação</v>
      </c>
      <c r="AH1713" s="5" t="str">
        <f ca="1">IF('Banco de Dados'!$F1713="-",_xlfn.CONCAT(PROPER(TEXT(AK1713,"aaaa"))," ",PROPER(TEXT(AK1713,"mm"))),_xlfn.CONCAT(PROPER(TEXT(E1713,"aaaa"))," ",PROPER(TEXT(E1713,"mm"))))</f>
        <v>2025 05</v>
      </c>
      <c r="AI1713" s="9" t="str">
        <f ca="1">IF('Banco de Dados'!$AK1713&lt;&gt;"-","REEMBOLSO",IFERROR(_xlfn.XLOOKUP(G1713,Follow[CODRASTREIO],Follow[STATUS]),"-"))</f>
        <v>REEMBOLSO</v>
      </c>
      <c r="AJ1713" s="9" t="str">
        <f ca="1">IF('Banco de Dados'!$AI1713="ENTREGUE",_xlfn.XLOOKUP('Banco de Dados'!$G1713,Follow[CODRASTREIO],Follow[DATAATUALIZAÇÃO]),"-")</f>
        <v>-</v>
      </c>
      <c r="AK1713" s="132">
        <f ca="1"/>
        <v>45806</v>
      </c>
      <c r="AL1713" s="35"/>
      <c r="AM1713" s="109" cm="1">
        <f t="array" aca="1" ref="AM1713" ca="1">IF('Banco de Dados'!$AK1713&lt;&gt;"-",_xlfn.IFS('Banco de Dados'!$A1713="bv",IF('Banco de Dados'!$E1713&lt;45641,ROUND(SUM('Banco de Dados'!$R1713*_xlfn.XLOOKUP('Banco de Dados'!$P1713,Sku!B:B,Sku!#REF!)*20%),2),ROUND(SUM('Banco de Dados'!$R1713*_xlfn.XLOOKUP('Banco de Dados'!$P1713,Sku!B:B,Sku!H:H)*20%),2)),'Banco de Dados'!$A1713="GO",ROUND(SUM('Banco de Dados'!$R1713*_xlfn.XLOOKUP('Banco de Dados'!$P1713,Sku!C:C,Sku!H:H)*20%),2),'Banco de Dados'!$A1713="MEI",ROUND(SUM('Banco de Dados'!$R1713*_xlfn.XLOOKUP('Banco de Dados'!$P1713,Sku!D:D,Sku!H:H)*20%),2)),0)</f>
        <v>1.3</v>
      </c>
      <c r="AN1713" s="109">
        <f ca="1">IF('Banco de Dados'!$AK1713&lt;&gt;"-",IF('Banco de Dados'!$F1713&lt;&gt;"-",_xlfn.XLOOKUP(IFERROR(IFERROR(IFERROR(VALUE(SUBSTITUTE(MID(_xlfn.TEXTAFTER('Banco de Dados'!$F1713,"Data do Pedido:
",1),1,10),"-","/")),VALUE(SUBSTITUTE(MID(_xlfn.TEXTAFTER('Banco de Dados'!$F1713,"Order date:
",1),1,10),"-","/"))),VALUE(SUBSTITUTE(MID(_xlfn.TEXTAFTER('Banco de Dados'!$F1713,"Fecha de pedido:
",1),1,10),"-","/"))),"-"),SMS!A:A,SMS!K:K),0),0)</f>
        <v>0</v>
      </c>
      <c r="AO1713" s="109">
        <f ca="1">IF('Banco de Dados'!$AK1713&lt;&gt;"-",IF('Banco de Dados'!$F1713&lt;&gt;"-",IFERROR(_xlfn.XLOOKUP(_xlfn.CONCAT('Banco de Dados'!$A1713,IFERROR(IFERROR(VALUE(SUBSTITUTE(MID(_xlfn.TEXTAFTER('Banco de Dados'!$F1713,"Data do Pedido:
",1),1,10),"-","/")),VALUE(SUBSTITUTE(MID(_xlfn.TEXTAFTER('Banco de Dados'!$F1713,"Order date:
",1),1,10),"-","/"))),0)),ProxyDD[Chave],ProxyDD[Valor por pedido]),PROXY!$P$2),0),0)</f>
        <v>0</v>
      </c>
      <c r="AP1713" s="28">
        <f ca="1">IF('Banco de Dados'!$AK1713&lt;&gt;"-",IF('Banco de Dados'!$AL1713="NÃO",IFERROR(VALUE(SUBSTITUTE(_xlfn.TEXTAFTER('Banco de Dados'!$F1713,"BRL ",1),".",",")),0),0),0)</f>
        <v>0</v>
      </c>
      <c r="AQ1713" s="28">
        <f ca="1">SUM('Banco de Dados'!$AM1713:$AP1713)</f>
        <v>1.3</v>
      </c>
      <c r="AR1713" s="8"/>
      <c r="AS1713" s="8"/>
      <c r="AT1713"/>
      <c r="AY1713" s="8"/>
    </row>
    <row r="1714" spans="1:51">
      <c r="A1714" s="5" t="str">
        <v>MEI</v>
      </c>
      <c r="B1714" s="5" t="str">
        <f ca="1"/>
        <v>MEI-</v>
      </c>
      <c r="C1714" s="8" t="str">
        <v>Pedido 1701</v>
      </c>
      <c r="D1714" s="187">
        <v>45788</v>
      </c>
      <c r="E1714" s="9" t="str">
        <v>-</v>
      </c>
      <c r="F1714" s="8" t="str">
        <v>-</v>
      </c>
      <c r="G1714" s="2" t="str">
        <v>-</v>
      </c>
      <c r="H1714" s="5">
        <v>1</v>
      </c>
      <c r="I1714" s="182" t="str">
        <v>CPF 1660</v>
      </c>
      <c r="J1714" s="2" t="str">
        <v>Nome 1660</v>
      </c>
      <c r="K1714" s="8" t="str">
        <v>Tel 1660</v>
      </c>
      <c r="L1714" s="8" t="str">
        <v>Cep 1660</v>
      </c>
      <c r="M1714" s="8" t="str">
        <v>Rua 1660</v>
      </c>
      <c r="N1714" s="8" t="str">
        <v>Comp 1660</v>
      </c>
      <c r="O1714" s="8" t="str">
        <v>Ventilador Azul</v>
      </c>
      <c r="P1714" s="8" t="str">
        <v>PK-L2Z7-MQRQ</v>
      </c>
      <c r="Q1714" s="4">
        <v>45820</v>
      </c>
      <c r="R1714" s="109">
        <v>48.9</v>
      </c>
      <c r="S1714" s="11">
        <f ca="1"/>
        <v>0</v>
      </c>
      <c r="T1714" s="28">
        <f ca="1"/>
        <v>0</v>
      </c>
      <c r="U1714" s="11">
        <f ca="1"/>
        <v>0</v>
      </c>
      <c r="V1714" s="11">
        <v>0</v>
      </c>
      <c r="W1714" s="11">
        <f ca="1"/>
        <v>0</v>
      </c>
      <c r="X1714" s="11">
        <f ca="1"/>
        <v>0</v>
      </c>
      <c r="Y1714" s="11">
        <v>0</v>
      </c>
      <c r="Z1714" s="11">
        <f ca="1"/>
        <v>0</v>
      </c>
      <c r="AA1714" s="11">
        <f ca="1"/>
        <v>0</v>
      </c>
      <c r="AB1714" s="4">
        <f ca="1"/>
        <v>45827</v>
      </c>
      <c r="AC1714" s="4">
        <v>45827</v>
      </c>
      <c r="AD1714" s="9">
        <v>45838</v>
      </c>
      <c r="AE1714" s="9">
        <v>45839</v>
      </c>
      <c r="AF1714" s="4" t="str">
        <f t="shared" ca="1" si="118"/>
        <v>2025 06</v>
      </c>
      <c r="AG1714" s="8" t="str" cm="1">
        <f t="array" ref="AG1714">IFERROR(_xlfn.IFS('Banco de Dados'!#REF!="AG. COMPRA","Em processamento",'Banco de Dados'!#REF!="AG. RASTREIO","Em processamento",'Banco de Dados'!$AE1714&lt;&gt;"-","Faturado",'Banco de Dados'!$AD1714&lt;&gt;"-","Aguardando Pix",'Banco de Dados'!$AC1714&lt;&gt;"-","Pendente"),"Aguardando Liberação")</f>
        <v>Aguardando Liberação</v>
      </c>
      <c r="AH1714" s="5" t="str">
        <f ca="1">IF('Banco de Dados'!$F1714="-",_xlfn.CONCAT(PROPER(TEXT(AK1714,"aaaa"))," ",PROPER(TEXT(AK1714,"mm"))),_xlfn.CONCAT(PROPER(TEXT(E1714,"aaaa"))," ",PROPER(TEXT(E1714,"mm"))))</f>
        <v>2025 05</v>
      </c>
      <c r="AI1714" s="9" t="str">
        <f ca="1">IF('Banco de Dados'!$AK1714&lt;&gt;"-","REEMBOLSO",IFERROR(_xlfn.XLOOKUP(G1714,Follow[CODRASTREIO],Follow[STATUS]),"-"))</f>
        <v>REEMBOLSO</v>
      </c>
      <c r="AJ1714" s="9" t="str">
        <f ca="1">IF('Banco de Dados'!$AI1714="ENTREGUE",_xlfn.XLOOKUP('Banco de Dados'!$G1714,Follow[CODRASTREIO],Follow[DATAATUALIZAÇÃO]),"-")</f>
        <v>-</v>
      </c>
      <c r="AK1714" s="132">
        <f ca="1"/>
        <v>45807</v>
      </c>
      <c r="AL1714" s="35"/>
      <c r="AM1714" s="109" cm="1">
        <f t="array" aca="1" ref="AM1714" ca="1">IF('Banco de Dados'!$AK1714&lt;&gt;"-",_xlfn.IFS('Banco de Dados'!$A1714="bv",IF('Banco de Dados'!$E1714&lt;45641,ROUND(SUM('Banco de Dados'!$R1714*_xlfn.XLOOKUP('Banco de Dados'!$P1714,Sku!B:B,Sku!#REF!)*20%),2),ROUND(SUM('Banco de Dados'!$R1714*_xlfn.XLOOKUP('Banco de Dados'!$P1714,Sku!B:B,Sku!H:H)*20%),2)),'Banco de Dados'!$A1714="GO",ROUND(SUM('Banco de Dados'!$R1714*_xlfn.XLOOKUP('Banco de Dados'!$P1714,Sku!C:C,Sku!H:H)*20%),2),'Banco de Dados'!$A1714="MEI",ROUND(SUM('Banco de Dados'!$R1714*_xlfn.XLOOKUP('Banco de Dados'!$P1714,Sku!D:D,Sku!H:H)*20%),2)),0)</f>
        <v>1.27</v>
      </c>
      <c r="AN1714" s="109">
        <f ca="1">IF('Banco de Dados'!$AK1714&lt;&gt;"-",IF('Banco de Dados'!$F1714&lt;&gt;"-",_xlfn.XLOOKUP(IFERROR(IFERROR(IFERROR(VALUE(SUBSTITUTE(MID(_xlfn.TEXTAFTER('Banco de Dados'!$F1714,"Data do Pedido:
",1),1,10),"-","/")),VALUE(SUBSTITUTE(MID(_xlfn.TEXTAFTER('Banco de Dados'!$F1714,"Order date:
",1),1,10),"-","/"))),VALUE(SUBSTITUTE(MID(_xlfn.TEXTAFTER('Banco de Dados'!$F1714,"Fecha de pedido:
",1),1,10),"-","/"))),"-"),SMS!A:A,SMS!K:K),0),0)</f>
        <v>0</v>
      </c>
      <c r="AO1714" s="109">
        <f ca="1">IF('Banco de Dados'!$AK1714&lt;&gt;"-",IF('Banco de Dados'!$F1714&lt;&gt;"-",IFERROR(_xlfn.XLOOKUP(_xlfn.CONCAT('Banco de Dados'!$A1714,IFERROR(IFERROR(VALUE(SUBSTITUTE(MID(_xlfn.TEXTAFTER('Banco de Dados'!$F1714,"Data do Pedido:
",1),1,10),"-","/")),VALUE(SUBSTITUTE(MID(_xlfn.TEXTAFTER('Banco de Dados'!$F1714,"Order date:
",1),1,10),"-","/"))),0)),ProxyDD[Chave],ProxyDD[Valor por pedido]),PROXY!$P$2),0),0)</f>
        <v>0</v>
      </c>
      <c r="AP1714" s="28">
        <f ca="1">IF('Banco de Dados'!$AK1714&lt;&gt;"-",IF('Banco de Dados'!$AL1714="NÃO",IFERROR(VALUE(SUBSTITUTE(_xlfn.TEXTAFTER('Banco de Dados'!$F1714,"BRL ",1),".",",")),0),0),0)</f>
        <v>0</v>
      </c>
      <c r="AQ1714" s="28">
        <f ca="1">SUM('Banco de Dados'!$AM1714:$AP1714)</f>
        <v>1.27</v>
      </c>
      <c r="AR1714" s="8"/>
      <c r="AS1714" s="8"/>
      <c r="AT1714"/>
      <c r="AY1714" s="8"/>
    </row>
    <row r="1715" spans="1:51">
      <c r="A1715" s="5" t="str">
        <v>MEI</v>
      </c>
      <c r="B1715" s="5" t="str">
        <f ca="1"/>
        <v>MEI-</v>
      </c>
      <c r="C1715" s="8" t="str">
        <v>Pedido 1702</v>
      </c>
      <c r="D1715" s="187">
        <v>45788</v>
      </c>
      <c r="E1715" s="9" t="str">
        <v>-</v>
      </c>
      <c r="F1715" s="8" t="str">
        <v>-</v>
      </c>
      <c r="G1715" s="2" t="str">
        <v>-</v>
      </c>
      <c r="H1715" s="5">
        <v>1</v>
      </c>
      <c r="I1715" s="182" t="str">
        <v>CPF 1661</v>
      </c>
      <c r="J1715" s="2" t="str">
        <v>Nome 1661</v>
      </c>
      <c r="K1715" s="8" t="str">
        <v>Tel 1661</v>
      </c>
      <c r="L1715" s="8" t="str">
        <v>Cep 1661</v>
      </c>
      <c r="M1715" s="8" t="str">
        <v>Rua 1661</v>
      </c>
      <c r="N1715" s="8" t="str">
        <v>Comp 1661</v>
      </c>
      <c r="O1715" s="8" t="str">
        <v>Ventilador Azul</v>
      </c>
      <c r="P1715" s="8" t="str">
        <v>PK-L2Z7-MQRQ</v>
      </c>
      <c r="Q1715" s="4">
        <v>45820</v>
      </c>
      <c r="R1715" s="109">
        <v>48.9</v>
      </c>
      <c r="S1715" s="11">
        <f ca="1"/>
        <v>0</v>
      </c>
      <c r="T1715" s="28">
        <f ca="1"/>
        <v>0</v>
      </c>
      <c r="U1715" s="11">
        <f ca="1"/>
        <v>0</v>
      </c>
      <c r="V1715" s="11">
        <v>0</v>
      </c>
      <c r="W1715" s="11">
        <f ca="1"/>
        <v>0</v>
      </c>
      <c r="X1715" s="11">
        <f ca="1"/>
        <v>0</v>
      </c>
      <c r="Y1715" s="11">
        <v>0</v>
      </c>
      <c r="Z1715" s="11">
        <f ca="1"/>
        <v>0</v>
      </c>
      <c r="AA1715" s="11">
        <f ca="1"/>
        <v>0</v>
      </c>
      <c r="AB1715" s="4">
        <f ca="1"/>
        <v>45827</v>
      </c>
      <c r="AC1715" s="4">
        <v>45827</v>
      </c>
      <c r="AD1715" s="9">
        <v>45838</v>
      </c>
      <c r="AE1715" s="9">
        <v>45839</v>
      </c>
      <c r="AF1715" s="4" t="str">
        <f t="shared" ca="1" si="118"/>
        <v>2025 06</v>
      </c>
      <c r="AG1715" s="8" t="str" cm="1">
        <f t="array" ref="AG1715">IFERROR(_xlfn.IFS('Banco de Dados'!#REF!="AG. COMPRA","Em processamento",'Banco de Dados'!#REF!="AG. RASTREIO","Em processamento",'Banco de Dados'!$AE1715&lt;&gt;"-","Faturado",'Banco de Dados'!$AD1715&lt;&gt;"-","Aguardando Pix",'Banco de Dados'!$AC1715&lt;&gt;"-","Pendente"),"Aguardando Liberação")</f>
        <v>Aguardando Liberação</v>
      </c>
      <c r="AH1715" s="5" t="str">
        <f ca="1">IF('Banco de Dados'!$F1715="-",_xlfn.CONCAT(PROPER(TEXT(AK1715,"aaaa"))," ",PROPER(TEXT(AK1715,"mm"))),_xlfn.CONCAT(PROPER(TEXT(E1715,"aaaa"))," ",PROPER(TEXT(E1715,"mm"))))</f>
        <v>2025 05</v>
      </c>
      <c r="AI1715" s="9" t="str">
        <f ca="1">IF('Banco de Dados'!$AK1715&lt;&gt;"-","REEMBOLSO",IFERROR(_xlfn.XLOOKUP(G1715,Follow[CODRASTREIO],Follow[STATUS]),"-"))</f>
        <v>REEMBOLSO</v>
      </c>
      <c r="AJ1715" s="9" t="str">
        <f ca="1">IF('Banco de Dados'!$AI1715="ENTREGUE",_xlfn.XLOOKUP('Banco de Dados'!$G1715,Follow[CODRASTREIO],Follow[DATAATUALIZAÇÃO]),"-")</f>
        <v>-</v>
      </c>
      <c r="AK1715" s="132">
        <f ca="1"/>
        <v>45807</v>
      </c>
      <c r="AL1715" s="35"/>
      <c r="AM1715" s="109" cm="1">
        <f t="array" aca="1" ref="AM1715" ca="1">IF('Banco de Dados'!$AK1715&lt;&gt;"-",_xlfn.IFS('Banco de Dados'!$A1715="bv",IF('Banco de Dados'!$E1715&lt;45641,ROUND(SUM('Banco de Dados'!$R1715*_xlfn.XLOOKUP('Banco de Dados'!$P1715,Sku!B:B,Sku!#REF!)*20%),2),ROUND(SUM('Banco de Dados'!$R1715*_xlfn.XLOOKUP('Banco de Dados'!$P1715,Sku!B:B,Sku!H:H)*20%),2)),'Banco de Dados'!$A1715="GO",ROUND(SUM('Banco de Dados'!$R1715*_xlfn.XLOOKUP('Banco de Dados'!$P1715,Sku!C:C,Sku!H:H)*20%),2),'Banco de Dados'!$A1715="MEI",ROUND(SUM('Banco de Dados'!$R1715*_xlfn.XLOOKUP('Banco de Dados'!$P1715,Sku!D:D,Sku!H:H)*20%),2)),0)</f>
        <v>1.27</v>
      </c>
      <c r="AN1715" s="109">
        <f ca="1">IF('Banco de Dados'!$AK1715&lt;&gt;"-",IF('Banco de Dados'!$F1715&lt;&gt;"-",_xlfn.XLOOKUP(IFERROR(IFERROR(IFERROR(VALUE(SUBSTITUTE(MID(_xlfn.TEXTAFTER('Banco de Dados'!$F1715,"Data do Pedido:
",1),1,10),"-","/")),VALUE(SUBSTITUTE(MID(_xlfn.TEXTAFTER('Banco de Dados'!$F1715,"Order date:
",1),1,10),"-","/"))),VALUE(SUBSTITUTE(MID(_xlfn.TEXTAFTER('Banco de Dados'!$F1715,"Fecha de pedido:
",1),1,10),"-","/"))),"-"),SMS!A:A,SMS!K:K),0),0)</f>
        <v>0</v>
      </c>
      <c r="AO1715" s="109">
        <f ca="1">IF('Banco de Dados'!$AK1715&lt;&gt;"-",IF('Banco de Dados'!$F1715&lt;&gt;"-",IFERROR(_xlfn.XLOOKUP(_xlfn.CONCAT('Banco de Dados'!$A1715,IFERROR(IFERROR(VALUE(SUBSTITUTE(MID(_xlfn.TEXTAFTER('Banco de Dados'!$F1715,"Data do Pedido:
",1),1,10),"-","/")),VALUE(SUBSTITUTE(MID(_xlfn.TEXTAFTER('Banco de Dados'!$F1715,"Order date:
",1),1,10),"-","/"))),0)),ProxyDD[Chave],ProxyDD[Valor por pedido]),PROXY!$P$2),0),0)</f>
        <v>0</v>
      </c>
      <c r="AP1715" s="28">
        <f ca="1">IF('Banco de Dados'!$AK1715&lt;&gt;"-",IF('Banco de Dados'!$AL1715="NÃO",IFERROR(VALUE(SUBSTITUTE(_xlfn.TEXTAFTER('Banco de Dados'!$F1715,"BRL ",1),".",",")),0),0),0)</f>
        <v>0</v>
      </c>
      <c r="AQ1715" s="28">
        <f ca="1">SUM('Banco de Dados'!$AM1715:$AP1715)</f>
        <v>1.27</v>
      </c>
      <c r="AR1715" s="8"/>
      <c r="AS1715" s="8"/>
      <c r="AT1715"/>
      <c r="AY1715" s="8"/>
    </row>
    <row r="1716" spans="1:51">
      <c r="A1716" s="5" t="str">
        <v>MEI</v>
      </c>
      <c r="B1716" s="5" t="str">
        <f ca="1"/>
        <v>MEI45791</v>
      </c>
      <c r="C1716" s="8" t="str">
        <v>Pedido 1703</v>
      </c>
      <c r="D1716" s="187">
        <v>45788</v>
      </c>
      <c r="E1716" s="9">
        <v>45791</v>
      </c>
      <c r="F1716" s="8" t="str">
        <v>PedidoF1612</v>
      </c>
      <c r="G1716" s="2" t="str">
        <v>CódRastreio1610</v>
      </c>
      <c r="H1716" s="5">
        <v>1</v>
      </c>
      <c r="I1716" s="182" t="str">
        <v>CPF 1662</v>
      </c>
      <c r="J1716" s="2" t="str">
        <v>Nome 1662</v>
      </c>
      <c r="K1716" s="8" t="str">
        <v>Tel 1662</v>
      </c>
      <c r="L1716" s="8" t="str">
        <v>Cep 1662</v>
      </c>
      <c r="M1716" s="8" t="str">
        <v>Rua 1662</v>
      </c>
      <c r="N1716" s="8" t="str">
        <v>Comp 1662</v>
      </c>
      <c r="O1716" s="8" t="str">
        <v>Ventilador Umidificador Preto</v>
      </c>
      <c r="P1716" s="8" t="str">
        <v>71-KHMZ-MLQW</v>
      </c>
      <c r="Q1716" s="4">
        <v>45820</v>
      </c>
      <c r="R1716" s="109">
        <v>49.99</v>
      </c>
      <c r="S1716" s="11">
        <f ca="1"/>
        <v>0</v>
      </c>
      <c r="T1716" s="28">
        <f ca="1"/>
        <v>0</v>
      </c>
      <c r="U1716" s="11">
        <f ca="1"/>
        <v>0</v>
      </c>
      <c r="V1716" s="11">
        <v>0</v>
      </c>
      <c r="W1716" s="11">
        <f ca="1"/>
        <v>0</v>
      </c>
      <c r="X1716" s="11">
        <f ca="1"/>
        <v>0.39877104377104378</v>
      </c>
      <c r="Y1716" s="11">
        <v>0</v>
      </c>
      <c r="Z1716" s="11">
        <f ca="1"/>
        <v>-0.39877104377104378</v>
      </c>
      <c r="AA1716" s="11">
        <f ca="1"/>
        <v>-0.19938552188552189</v>
      </c>
      <c r="AB1716" s="4">
        <f ca="1"/>
        <v>45827</v>
      </c>
      <c r="AC1716" s="4">
        <v>45827</v>
      </c>
      <c r="AD1716" s="9">
        <v>45838</v>
      </c>
      <c r="AE1716" s="9">
        <v>45839</v>
      </c>
      <c r="AF1716" s="4" t="str">
        <f t="shared" ca="1" si="118"/>
        <v>2025 06</v>
      </c>
      <c r="AG1716" s="8" t="str" cm="1">
        <f t="array" ref="AG1716">IFERROR(_xlfn.IFS('Banco de Dados'!#REF!="AG. COMPRA","Em processamento",'Banco de Dados'!#REF!="AG. RASTREIO","Em processamento",'Banco de Dados'!$AE1716&lt;&gt;"-","Faturado",'Banco de Dados'!$AD1716&lt;&gt;"-","Aguardando Pix",'Banco de Dados'!$AC1716&lt;&gt;"-","Pendente"),"Aguardando Liberação")</f>
        <v>Aguardando Liberação</v>
      </c>
      <c r="AH1716" s="5" t="str">
        <f>IF('Banco de Dados'!$F1716="-",_xlfn.CONCAT(PROPER(TEXT(AK1716,"aaaa"))," ",PROPER(TEXT(AK1716,"mm"))),_xlfn.CONCAT(PROPER(TEXT(E1716,"aaaa"))," ",PROPER(TEXT(E1716,"mm"))))</f>
        <v>2025 05</v>
      </c>
      <c r="AI1716" s="9" t="str">
        <f ca="1">IF('Banco de Dados'!$AK1716&lt;&gt;"-","REEMBOLSO",IFERROR(_xlfn.XLOOKUP(G1716,Follow[CODRASTREIO],Follow[STATUS]),"-"))</f>
        <v>REEMBOLSO</v>
      </c>
      <c r="AJ1716" s="9" t="str">
        <f ca="1">IF('Banco de Dados'!$AI1716="ENTREGUE",_xlfn.XLOOKUP('Banco de Dados'!$G1716,Follow[CODRASTREIO],Follow[DATAATUALIZAÇÃO]),"-")</f>
        <v>-</v>
      </c>
      <c r="AK1716" s="132">
        <f ca="1"/>
        <v>45832</v>
      </c>
      <c r="AL1716" s="35"/>
      <c r="AM1716" s="109" cm="1">
        <f t="array" aca="1" ref="AM1716" ca="1">IF('Banco de Dados'!$AK1716&lt;&gt;"-",_xlfn.IFS('Banco de Dados'!$A1716="bv",IF('Banco de Dados'!$E1716&lt;45641,ROUND(SUM('Banco de Dados'!$R1716*_xlfn.XLOOKUP('Banco de Dados'!$P1716,Sku!B:B,Sku!#REF!)*20%),2),ROUND(SUM('Banco de Dados'!$R1716*_xlfn.XLOOKUP('Banco de Dados'!$P1716,Sku!B:B,Sku!H:H)*20%),2)),'Banco de Dados'!$A1716="GO",ROUND(SUM('Banco de Dados'!$R1716*_xlfn.XLOOKUP('Banco de Dados'!$P1716,Sku!C:C,Sku!H:H)*20%),2),'Banco de Dados'!$A1716="MEI",ROUND(SUM('Banco de Dados'!$R1716*_xlfn.XLOOKUP('Banco de Dados'!$P1716,Sku!D:D,Sku!H:H)*20%),2)),0)</f>
        <v>1.4</v>
      </c>
      <c r="AN1716" s="109" t="e">
        <f ca="1">IF('Banco de Dados'!$AK1716&lt;&gt;"-",IF('Banco de Dados'!$F1716&lt;&gt;"-",_xlfn.XLOOKUP(IFERROR(IFERROR(IFERROR(VALUE(SUBSTITUTE(MID(_xlfn.TEXTAFTER('Banco de Dados'!$F1716,"Data do Pedido:
",1),1,10),"-","/")),VALUE(SUBSTITUTE(MID(_xlfn.TEXTAFTER('Banco de Dados'!$F1716,"Order date:
",1),1,10),"-","/"))),VALUE(SUBSTITUTE(MID(_xlfn.TEXTAFTER('Banco de Dados'!$F1716,"Fecha de pedido:
",1),1,10),"-","/"))),"-"),SMS!A:A,SMS!K:K),0),0)</f>
        <v>#N/A</v>
      </c>
      <c r="AO1716" s="109">
        <f ca="1">IF('Banco de Dados'!$AK1716&lt;&gt;"-",IF('Banco de Dados'!$F1716&lt;&gt;"-",IFERROR(_xlfn.XLOOKUP(_xlfn.CONCAT('Banco de Dados'!$A1716,IFERROR(IFERROR(VALUE(SUBSTITUTE(MID(_xlfn.TEXTAFTER('Banco de Dados'!$F1716,"Data do Pedido:
",1),1,10),"-","/")),VALUE(SUBSTITUTE(MID(_xlfn.TEXTAFTER('Banco de Dados'!$F1716,"Order date:
",1),1,10),"-","/"))),0)),ProxyDD[Chave],ProxyDD[Valor por pedido]),PROXY!$P$2),0),0)</f>
        <v>0.39877104377104378</v>
      </c>
      <c r="AP1716" s="28">
        <f ca="1">IF('Banco de Dados'!$AK1716&lt;&gt;"-",IF('Banco de Dados'!$AL1716="NÃO",IFERROR(VALUE(SUBSTITUTE(_xlfn.TEXTAFTER('Banco de Dados'!$F1716,"BRL ",1),".",",")),0),0),0)</f>
        <v>0</v>
      </c>
      <c r="AQ1716" s="28" t="e">
        <f ca="1">SUM('Banco de Dados'!$AM1716:$AP1716)</f>
        <v>#N/A</v>
      </c>
      <c r="AR1716" s="8"/>
      <c r="AS1716" s="8"/>
      <c r="AT1716"/>
      <c r="AY1716" s="8"/>
    </row>
    <row r="1717" spans="1:51">
      <c r="A1717" s="5" t="str">
        <v>MEI</v>
      </c>
      <c r="B1717" s="5" t="str">
        <f ca="1"/>
        <v>MEI-</v>
      </c>
      <c r="C1717" s="8" t="str">
        <v>Pedido 1704</v>
      </c>
      <c r="D1717" s="187">
        <v>45788</v>
      </c>
      <c r="E1717" s="9" t="str">
        <v>-</v>
      </c>
      <c r="F1717" s="8" t="str">
        <v>-</v>
      </c>
      <c r="G1717" s="2" t="str">
        <v>-</v>
      </c>
      <c r="H1717" s="5">
        <v>1</v>
      </c>
      <c r="I1717" s="182" t="str">
        <v>CPF 1663</v>
      </c>
      <c r="J1717" s="2" t="str">
        <v>Nome 1663</v>
      </c>
      <c r="K1717" s="8" t="str">
        <v>Tel 1663</v>
      </c>
      <c r="L1717" s="8" t="str">
        <v>Cep 1663</v>
      </c>
      <c r="M1717" s="8" t="str">
        <v>Rua 1663</v>
      </c>
      <c r="N1717" s="8" t="str">
        <v>Comp 1663</v>
      </c>
      <c r="O1717" s="8" t="str">
        <v>Copo Termico</v>
      </c>
      <c r="P1717" s="8" t="str">
        <v>VI-4RT5-1FFO</v>
      </c>
      <c r="Q1717" s="4">
        <v>45807</v>
      </c>
      <c r="R1717" s="109">
        <v>22.7</v>
      </c>
      <c r="S1717" s="11">
        <f ca="1"/>
        <v>0</v>
      </c>
      <c r="T1717" s="28">
        <f ca="1"/>
        <v>0</v>
      </c>
      <c r="U1717" s="11">
        <f ca="1"/>
        <v>0</v>
      </c>
      <c r="V1717" s="11">
        <v>0</v>
      </c>
      <c r="W1717" s="11">
        <f ca="1"/>
        <v>0</v>
      </c>
      <c r="X1717" s="11">
        <f ca="1"/>
        <v>0</v>
      </c>
      <c r="Y1717" s="11">
        <v>0</v>
      </c>
      <c r="Z1717" s="11">
        <f ca="1"/>
        <v>0</v>
      </c>
      <c r="AA1717" s="11">
        <f ca="1"/>
        <v>0</v>
      </c>
      <c r="AB1717" s="4">
        <f ca="1"/>
        <v>45814</v>
      </c>
      <c r="AC1717" s="4">
        <v>45814</v>
      </c>
      <c r="AD1717" s="9">
        <v>45824</v>
      </c>
      <c r="AE1717" s="9">
        <v>45828</v>
      </c>
      <c r="AF1717" s="4" t="str">
        <f t="shared" ca="1" si="118"/>
        <v>2025 06</v>
      </c>
      <c r="AG1717" s="8" t="str" cm="1">
        <f t="array" ref="AG1717">IFERROR(_xlfn.IFS('Banco de Dados'!#REF!="AG. COMPRA","Em processamento",'Banco de Dados'!#REF!="AG. RASTREIO","Em processamento",'Banco de Dados'!$AE1717&lt;&gt;"-","Faturado",'Banco de Dados'!$AD1717&lt;&gt;"-","Aguardando Pix",'Banco de Dados'!$AC1717&lt;&gt;"-","Pendente"),"Aguardando Liberação")</f>
        <v>Aguardando Liberação</v>
      </c>
      <c r="AH1717" s="5" t="str">
        <f ca="1">IF('Banco de Dados'!$F1717="-",_xlfn.CONCAT(PROPER(TEXT(AK1717,"aaaa"))," ",PROPER(TEXT(AK1717,"mm"))),_xlfn.CONCAT(PROPER(TEXT(E1717,"aaaa"))," ",PROPER(TEXT(E1717,"mm"))))</f>
        <v>2025 05</v>
      </c>
      <c r="AI1717" s="9" t="str">
        <f ca="1">IF('Banco de Dados'!$AK1717&lt;&gt;"-","REEMBOLSO",IFERROR(_xlfn.XLOOKUP(G1717,Follow[CODRASTREIO],Follow[STATUS]),"-"))</f>
        <v>REEMBOLSO</v>
      </c>
      <c r="AJ1717" s="9" t="str">
        <f ca="1">IF('Banco de Dados'!$AI1717="ENTREGUE",_xlfn.XLOOKUP('Banco de Dados'!$G1717,Follow[CODRASTREIO],Follow[DATAATUALIZAÇÃO]),"-")</f>
        <v>-</v>
      </c>
      <c r="AK1717" s="132">
        <f ca="1"/>
        <v>45804</v>
      </c>
      <c r="AL1717" s="35"/>
      <c r="AM1717" s="109" cm="1">
        <f t="array" aca="1" ref="AM1717" ca="1">IF('Banco de Dados'!$AK1717&lt;&gt;"-",_xlfn.IFS('Banco de Dados'!$A1717="bv",IF('Banco de Dados'!$E1717&lt;45641,ROUND(SUM('Banco de Dados'!$R1717*_xlfn.XLOOKUP('Banco de Dados'!$P1717,Sku!B:B,Sku!#REF!)*20%),2),ROUND(SUM('Banco de Dados'!$R1717*_xlfn.XLOOKUP('Banco de Dados'!$P1717,Sku!B:B,Sku!H:H)*20%),2)),'Banco de Dados'!$A1717="GO",ROUND(SUM('Banco de Dados'!$R1717*_xlfn.XLOOKUP('Banco de Dados'!$P1717,Sku!C:C,Sku!H:H)*20%),2),'Banco de Dados'!$A1717="MEI",ROUND(SUM('Banco de Dados'!$R1717*_xlfn.XLOOKUP('Banco de Dados'!$P1717,Sku!D:D,Sku!H:H)*20%),2)),0)</f>
        <v>0.59</v>
      </c>
      <c r="AN1717" s="109">
        <f ca="1">IF('Banco de Dados'!$AK1717&lt;&gt;"-",IF('Banco de Dados'!$F1717&lt;&gt;"-",_xlfn.XLOOKUP(IFERROR(IFERROR(IFERROR(VALUE(SUBSTITUTE(MID(_xlfn.TEXTAFTER('Banco de Dados'!$F1717,"Data do Pedido:
",1),1,10),"-","/")),VALUE(SUBSTITUTE(MID(_xlfn.TEXTAFTER('Banco de Dados'!$F1717,"Order date:
",1),1,10),"-","/"))),VALUE(SUBSTITUTE(MID(_xlfn.TEXTAFTER('Banco de Dados'!$F1717,"Fecha de pedido:
",1),1,10),"-","/"))),"-"),SMS!A:A,SMS!K:K),0),0)</f>
        <v>0</v>
      </c>
      <c r="AO1717" s="109">
        <f ca="1">IF('Banco de Dados'!$AK1717&lt;&gt;"-",IF('Banco de Dados'!$F1717&lt;&gt;"-",IFERROR(_xlfn.XLOOKUP(_xlfn.CONCAT('Banco de Dados'!$A1717,IFERROR(IFERROR(VALUE(SUBSTITUTE(MID(_xlfn.TEXTAFTER('Banco de Dados'!$F1717,"Data do Pedido:
",1),1,10),"-","/")),VALUE(SUBSTITUTE(MID(_xlfn.TEXTAFTER('Banco de Dados'!$F1717,"Order date:
",1),1,10),"-","/"))),0)),ProxyDD[Chave],ProxyDD[Valor por pedido]),PROXY!$P$2),0),0)</f>
        <v>0</v>
      </c>
      <c r="AP1717" s="28">
        <f ca="1">IF('Banco de Dados'!$AK1717&lt;&gt;"-",IF('Banco de Dados'!$AL1717="NÃO",IFERROR(VALUE(SUBSTITUTE(_xlfn.TEXTAFTER('Banco de Dados'!$F1717,"BRL ",1),".",",")),0),0),0)</f>
        <v>0</v>
      </c>
      <c r="AQ1717" s="28">
        <f ca="1">SUM('Banco de Dados'!$AM1717:$AP1717)</f>
        <v>0.59</v>
      </c>
      <c r="AR1717" s="8"/>
      <c r="AS1717" s="8"/>
      <c r="AT1717"/>
      <c r="AY1717" s="8"/>
    </row>
    <row r="1718" spans="1:51">
      <c r="A1718" s="5" t="str">
        <v>MEI</v>
      </c>
      <c r="B1718" s="5" t="str">
        <f ca="1"/>
        <v>MEI-</v>
      </c>
      <c r="C1718" s="8" t="str">
        <v>Pedido 1705</v>
      </c>
      <c r="D1718" s="187">
        <v>45788</v>
      </c>
      <c r="E1718" s="9" t="str">
        <v>-</v>
      </c>
      <c r="F1718" s="8" t="str">
        <v>-</v>
      </c>
      <c r="G1718" s="2" t="str">
        <v>-</v>
      </c>
      <c r="H1718" s="5">
        <v>1</v>
      </c>
      <c r="I1718" s="182" t="str">
        <v>CPF 1664</v>
      </c>
      <c r="J1718" s="2" t="str">
        <v>Nome 1664</v>
      </c>
      <c r="K1718" s="8" t="str">
        <v>Tel 1664</v>
      </c>
      <c r="L1718" s="8" t="str">
        <v>Cep 1664</v>
      </c>
      <c r="M1718" s="8" t="str">
        <v>Rua 1664</v>
      </c>
      <c r="N1718" s="8" t="str">
        <v>Comp 1664</v>
      </c>
      <c r="O1718" s="8" t="str">
        <v>Ventilador Preto</v>
      </c>
      <c r="P1718" s="8" t="str">
        <v>WU-SS4J-LFOH</v>
      </c>
      <c r="Q1718" s="4">
        <v>45820</v>
      </c>
      <c r="R1718" s="109">
        <v>65.7</v>
      </c>
      <c r="S1718" s="11">
        <f ca="1"/>
        <v>0</v>
      </c>
      <c r="T1718" s="28">
        <f ca="1"/>
        <v>0</v>
      </c>
      <c r="U1718" s="11">
        <f ca="1"/>
        <v>0</v>
      </c>
      <c r="V1718" s="11">
        <v>0</v>
      </c>
      <c r="W1718" s="11">
        <f ca="1"/>
        <v>0</v>
      </c>
      <c r="X1718" s="11">
        <f ca="1"/>
        <v>0</v>
      </c>
      <c r="Y1718" s="11">
        <v>0</v>
      </c>
      <c r="Z1718" s="11">
        <f ca="1"/>
        <v>0</v>
      </c>
      <c r="AA1718" s="11">
        <f ca="1"/>
        <v>0</v>
      </c>
      <c r="AB1718" s="4">
        <f ca="1"/>
        <v>45827</v>
      </c>
      <c r="AC1718" s="4">
        <v>45827</v>
      </c>
      <c r="AD1718" s="9">
        <v>45838</v>
      </c>
      <c r="AE1718" s="9">
        <v>45839</v>
      </c>
      <c r="AF1718" s="4" t="str">
        <f t="shared" ca="1" si="118"/>
        <v>2025 06</v>
      </c>
      <c r="AG1718" s="8" t="str" cm="1">
        <f t="array" ref="AG1718">IFERROR(_xlfn.IFS('Banco de Dados'!#REF!="AG. COMPRA","Em processamento",'Banco de Dados'!#REF!="AG. RASTREIO","Em processamento",'Banco de Dados'!$AE1718&lt;&gt;"-","Faturado",'Banco de Dados'!$AD1718&lt;&gt;"-","Aguardando Pix",'Banco de Dados'!$AC1718&lt;&gt;"-","Pendente"),"Aguardando Liberação")</f>
        <v>Aguardando Liberação</v>
      </c>
      <c r="AH1718" s="5" t="str">
        <f ca="1">IF('Banco de Dados'!$F1718="-",_xlfn.CONCAT(PROPER(TEXT(AK1718,"aaaa"))," ",PROPER(TEXT(AK1718,"mm"))),_xlfn.CONCAT(PROPER(TEXT(E1718,"aaaa"))," ",PROPER(TEXT(E1718,"mm"))))</f>
        <v>2025 06</v>
      </c>
      <c r="AI1718" s="9" t="str">
        <f ca="1">IF('Banco de Dados'!$AK1718&lt;&gt;"-","REEMBOLSO",IFERROR(_xlfn.XLOOKUP(G1718,Follow[CODRASTREIO],Follow[STATUS]),"-"))</f>
        <v>REEMBOLSO</v>
      </c>
      <c r="AJ1718" s="9" t="str">
        <f ca="1">IF('Banco de Dados'!$AI1718="ENTREGUE",_xlfn.XLOOKUP('Banco de Dados'!$G1718,Follow[CODRASTREIO],Follow[DATAATUALIZAÇÃO]),"-")</f>
        <v>-</v>
      </c>
      <c r="AK1718" s="132">
        <f ca="1"/>
        <v>45810</v>
      </c>
      <c r="AL1718" s="35"/>
      <c r="AM1718" s="109" cm="1">
        <f t="array" aca="1" ref="AM1718" ca="1">IF('Banco de Dados'!$AK1718&lt;&gt;"-",_xlfn.IFS('Banco de Dados'!$A1718="bv",IF('Banco de Dados'!$E1718&lt;45641,ROUND(SUM('Banco de Dados'!$R1718*_xlfn.XLOOKUP('Banco de Dados'!$P1718,Sku!B:B,Sku!#REF!)*20%),2),ROUND(SUM('Banco de Dados'!$R1718*_xlfn.XLOOKUP('Banco de Dados'!$P1718,Sku!B:B,Sku!H:H)*20%),2)),'Banco de Dados'!$A1718="GO",ROUND(SUM('Banco de Dados'!$R1718*_xlfn.XLOOKUP('Banco de Dados'!$P1718,Sku!C:C,Sku!H:H)*20%),2),'Banco de Dados'!$A1718="MEI",ROUND(SUM('Banco de Dados'!$R1718*_xlfn.XLOOKUP('Banco de Dados'!$P1718,Sku!D:D,Sku!H:H)*20%),2)),0)</f>
        <v>1.71</v>
      </c>
      <c r="AN1718" s="109">
        <f ca="1">IF('Banco de Dados'!$AK1718&lt;&gt;"-",IF('Banco de Dados'!$F1718&lt;&gt;"-",_xlfn.XLOOKUP(IFERROR(IFERROR(IFERROR(VALUE(SUBSTITUTE(MID(_xlfn.TEXTAFTER('Banco de Dados'!$F1718,"Data do Pedido:
",1),1,10),"-","/")),VALUE(SUBSTITUTE(MID(_xlfn.TEXTAFTER('Banco de Dados'!$F1718,"Order date:
",1),1,10),"-","/"))),VALUE(SUBSTITUTE(MID(_xlfn.TEXTAFTER('Banco de Dados'!$F1718,"Fecha de pedido:
",1),1,10),"-","/"))),"-"),SMS!A:A,SMS!K:K),0),0)</f>
        <v>0</v>
      </c>
      <c r="AO1718" s="109">
        <f ca="1">IF('Banco de Dados'!$AK1718&lt;&gt;"-",IF('Banco de Dados'!$F1718&lt;&gt;"-",IFERROR(_xlfn.XLOOKUP(_xlfn.CONCAT('Banco de Dados'!$A1718,IFERROR(IFERROR(VALUE(SUBSTITUTE(MID(_xlfn.TEXTAFTER('Banco de Dados'!$F1718,"Data do Pedido:
",1),1,10),"-","/")),VALUE(SUBSTITUTE(MID(_xlfn.TEXTAFTER('Banco de Dados'!$F1718,"Order date:
",1),1,10),"-","/"))),0)),ProxyDD[Chave],ProxyDD[Valor por pedido]),PROXY!$P$2),0),0)</f>
        <v>0</v>
      </c>
      <c r="AP1718" s="28">
        <f ca="1">IF('Banco de Dados'!$AK1718&lt;&gt;"-",IF('Banco de Dados'!$AL1718="NÃO",IFERROR(VALUE(SUBSTITUTE(_xlfn.TEXTAFTER('Banco de Dados'!$F1718,"BRL ",1),".",",")),0),0),0)</f>
        <v>0</v>
      </c>
      <c r="AQ1718" s="28">
        <f ca="1">SUM('Banco de Dados'!$AM1718:$AP1718)</f>
        <v>1.71</v>
      </c>
      <c r="AR1718" s="8"/>
      <c r="AS1718" s="8"/>
      <c r="AT1718"/>
      <c r="AY1718" s="8"/>
    </row>
    <row r="1719" spans="1:51">
      <c r="A1719" s="5" t="str">
        <v>MEI</v>
      </c>
      <c r="B1719" s="5" t="str">
        <f ca="1"/>
        <v>MEI45793</v>
      </c>
      <c r="C1719" s="8" t="str">
        <v>Pedido 1706</v>
      </c>
      <c r="D1719" s="187">
        <v>45789</v>
      </c>
      <c r="E1719" s="9">
        <v>45793</v>
      </c>
      <c r="F1719" s="8" t="str">
        <v>PedidoF1613</v>
      </c>
      <c r="G1719" s="2" t="str">
        <v>CódRastreio1611</v>
      </c>
      <c r="H1719" s="5">
        <v>1</v>
      </c>
      <c r="I1719" s="182" t="str">
        <v>CPF 1665</v>
      </c>
      <c r="J1719" s="2" t="str">
        <v>Nome 1665</v>
      </c>
      <c r="K1719" s="8" t="str">
        <v>Tel 1665</v>
      </c>
      <c r="L1719" s="8" t="str">
        <v>Cep 1665</v>
      </c>
      <c r="M1719" s="8" t="str">
        <v>Rua 1665</v>
      </c>
      <c r="N1719" s="8" t="str">
        <v>Comp 1665</v>
      </c>
      <c r="O1719" s="8" t="str">
        <v>Ventilador Azul</v>
      </c>
      <c r="P1719" s="8" t="str">
        <v>PK-L2Z7-MQRQ</v>
      </c>
      <c r="Q1719" s="4">
        <v>45814</v>
      </c>
      <c r="R1719" s="109">
        <v>48.9</v>
      </c>
      <c r="S1719" s="11">
        <f ca="1"/>
        <v>48.9</v>
      </c>
      <c r="T1719" s="28">
        <f ca="1"/>
        <v>5.8679999999999994</v>
      </c>
      <c r="U1719" s="11">
        <f ca="1"/>
        <v>43.03</v>
      </c>
      <c r="V1719" s="11">
        <v>22.66</v>
      </c>
      <c r="W1719" s="11">
        <f ca="1"/>
        <v>0.2</v>
      </c>
      <c r="X1719" s="11">
        <f ca="1"/>
        <v>0.39877104377104378</v>
      </c>
      <c r="Y1719" s="11">
        <v>0</v>
      </c>
      <c r="Z1719" s="11">
        <f ca="1"/>
        <v>19.771228956228956</v>
      </c>
      <c r="AA1719" s="11">
        <f ca="1"/>
        <v>9.8856144781144781</v>
      </c>
      <c r="AB1719" s="4">
        <f ca="1"/>
        <v>45821</v>
      </c>
      <c r="AC1719" s="4">
        <v>45821</v>
      </c>
      <c r="AD1719" s="9">
        <v>45824</v>
      </c>
      <c r="AE1719" s="9">
        <v>45828</v>
      </c>
      <c r="AF1719" s="4" t="str">
        <f t="shared" ca="1" si="118"/>
        <v>2025 06</v>
      </c>
      <c r="AG1719" s="8" t="str" cm="1">
        <f t="array" ref="AG1719">IFERROR(_xlfn.IFS('Banco de Dados'!#REF!="AG. COMPRA","Em processamento",'Banco de Dados'!#REF!="AG. RASTREIO","Em processamento",'Banco de Dados'!$AE1719&lt;&gt;"-","Faturado",'Banco de Dados'!$AD1719&lt;&gt;"-","Aguardando Pix",'Banco de Dados'!$AC1719&lt;&gt;"-","Pendente"),"Aguardando Liberação")</f>
        <v>Aguardando Liberação</v>
      </c>
      <c r="AH1719" s="5" t="str">
        <f>IF('Banco de Dados'!$F1719="-",_xlfn.CONCAT(PROPER(TEXT(AK1719,"aaaa"))," ",PROPER(TEXT(AK1719,"mm"))),_xlfn.CONCAT(PROPER(TEXT(E1719,"aaaa"))," ",PROPER(TEXT(E1719,"mm"))))</f>
        <v>2025 05</v>
      </c>
      <c r="AI1719" s="9" t="str">
        <f ca="1">IF('Banco de Dados'!$AK1719&lt;&gt;"-","REEMBOLSO",IFERROR(_xlfn.XLOOKUP(G1719,Follow[CODRASTREIO],Follow[STATUS]),"-"))</f>
        <v>ENTREGUE</v>
      </c>
      <c r="AJ1719" s="9">
        <f ca="1">IF('Banco de Dados'!$AI1719="ENTREGUE",_xlfn.XLOOKUP('Banco de Dados'!$G1719,Follow[CODRASTREIO],Follow[DATAATUALIZAÇÃO]),"-")</f>
        <v>45807</v>
      </c>
      <c r="AK1719" s="132" t="str">
        <f ca="1"/>
        <v>-</v>
      </c>
      <c r="AL1719" s="35"/>
      <c r="AM1719" s="109" cm="1">
        <f t="array" aca="1" ref="AM1719" ca="1">IF('Banco de Dados'!$AK1719&lt;&gt;"-",_xlfn.IFS('Banco de Dados'!$A1719="bv",IF('Banco de Dados'!$E1719&lt;45641,ROUND(SUM('Banco de Dados'!$R1719*_xlfn.XLOOKUP('Banco de Dados'!$P1719,Sku!B:B,Sku!#REF!)*20%),2),ROUND(SUM('Banco de Dados'!$R1719*_xlfn.XLOOKUP('Banco de Dados'!$P1719,Sku!B:B,Sku!H:H)*20%),2)),'Banco de Dados'!$A1719="GO",ROUND(SUM('Banco de Dados'!$R1719*_xlfn.XLOOKUP('Banco de Dados'!$P1719,Sku!C:C,Sku!H:H)*20%),2),'Banco de Dados'!$A1719="MEI",ROUND(SUM('Banco de Dados'!$R1719*_xlfn.XLOOKUP('Banco de Dados'!$P1719,Sku!D:D,Sku!H:H)*20%),2)),0)</f>
        <v>0</v>
      </c>
      <c r="AN1719" s="109">
        <f ca="1">IF('Banco de Dados'!$AK1719&lt;&gt;"-",IF('Banco de Dados'!$F1719&lt;&gt;"-",_xlfn.XLOOKUP(IFERROR(IFERROR(IFERROR(VALUE(SUBSTITUTE(MID(_xlfn.TEXTAFTER('Banco de Dados'!$F1719,"Data do Pedido:
",1),1,10),"-","/")),VALUE(SUBSTITUTE(MID(_xlfn.TEXTAFTER('Banco de Dados'!$F1719,"Order date:
",1),1,10),"-","/"))),VALUE(SUBSTITUTE(MID(_xlfn.TEXTAFTER('Banco de Dados'!$F1719,"Fecha de pedido:
",1),1,10),"-","/"))),"-"),SMS!A:A,SMS!K:K),0),0)</f>
        <v>0</v>
      </c>
      <c r="AO1719" s="109">
        <f ca="1">IF('Banco de Dados'!$AK1719&lt;&gt;"-",IF('Banco de Dados'!$F1719&lt;&gt;"-",IFERROR(_xlfn.XLOOKUP(_xlfn.CONCAT('Banco de Dados'!$A1719,IFERROR(IFERROR(VALUE(SUBSTITUTE(MID(_xlfn.TEXTAFTER('Banco de Dados'!$F1719,"Data do Pedido:
",1),1,10),"-","/")),VALUE(SUBSTITUTE(MID(_xlfn.TEXTAFTER('Banco de Dados'!$F1719,"Order date:
",1),1,10),"-","/"))),0)),ProxyDD[Chave],ProxyDD[Valor por pedido]),PROXY!$P$2),0),0)</f>
        <v>0</v>
      </c>
      <c r="AP1719" s="28">
        <f ca="1">IF('Banco de Dados'!$AK1719&lt;&gt;"-",IF('Banco de Dados'!$AL1719="NÃO",IFERROR(VALUE(SUBSTITUTE(_xlfn.TEXTAFTER('Banco de Dados'!$F1719,"BRL ",1),".",",")),0),0),0)</f>
        <v>0</v>
      </c>
      <c r="AQ1719" s="28">
        <f ca="1">SUM('Banco de Dados'!$AM1719:$AP1719)</f>
        <v>0</v>
      </c>
      <c r="AR1719" s="8"/>
      <c r="AS1719" s="8"/>
      <c r="AT1719"/>
      <c r="AY1719" s="8"/>
    </row>
    <row r="1720" spans="1:51">
      <c r="A1720" s="5" t="str">
        <v>MEI</v>
      </c>
      <c r="B1720" s="5" t="str">
        <f ca="1"/>
        <v>MEI45794</v>
      </c>
      <c r="C1720" s="8" t="str">
        <v>Pedido 1707</v>
      </c>
      <c r="D1720" s="187">
        <v>45789</v>
      </c>
      <c r="E1720" s="9">
        <v>45794</v>
      </c>
      <c r="F1720" s="8" t="str">
        <v>PedidoF1614</v>
      </c>
      <c r="G1720" s="2" t="str">
        <v>CódRastreio1612</v>
      </c>
      <c r="H1720" s="5">
        <v>1</v>
      </c>
      <c r="I1720" s="182" t="str">
        <v>CPF 1666</v>
      </c>
      <c r="J1720" s="2" t="str">
        <v>Nome 1666</v>
      </c>
      <c r="K1720" s="8" t="str">
        <v>Tel 1666</v>
      </c>
      <c r="L1720" s="8" t="str">
        <v>Cep 1666</v>
      </c>
      <c r="M1720" s="8" t="str">
        <v>Rua 1666</v>
      </c>
      <c r="N1720" s="8" t="str">
        <v>Comp 1666</v>
      </c>
      <c r="O1720" s="8" t="str">
        <v>Ventilador Azul</v>
      </c>
      <c r="P1720" s="8" t="str">
        <v>PK-L2Z7-MQRQ</v>
      </c>
      <c r="Q1720" s="4">
        <v>45821</v>
      </c>
      <c r="R1720" s="109">
        <v>48.9</v>
      </c>
      <c r="S1720" s="11">
        <f ca="1"/>
        <v>48.9</v>
      </c>
      <c r="T1720" s="28">
        <f ca="1"/>
        <v>5.8679999999999994</v>
      </c>
      <c r="U1720" s="11">
        <f ca="1"/>
        <v>43.03</v>
      </c>
      <c r="V1720" s="11">
        <v>12.56</v>
      </c>
      <c r="W1720" s="11">
        <f ca="1"/>
        <v>0.3</v>
      </c>
      <c r="X1720" s="11">
        <f ca="1"/>
        <v>0.39877104377104378</v>
      </c>
      <c r="Y1720" s="11">
        <v>0</v>
      </c>
      <c r="Z1720" s="11">
        <f ca="1"/>
        <v>29.771228956228956</v>
      </c>
      <c r="AA1720" s="11">
        <f ca="1"/>
        <v>14.885614478114478</v>
      </c>
      <c r="AB1720" s="4">
        <f ca="1"/>
        <v>45828</v>
      </c>
      <c r="AC1720" s="4">
        <v>45828</v>
      </c>
      <c r="AD1720" s="9">
        <v>45838</v>
      </c>
      <c r="AE1720" s="9">
        <v>45839</v>
      </c>
      <c r="AF1720" s="4" t="str">
        <f t="shared" ca="1" si="118"/>
        <v>2025 06</v>
      </c>
      <c r="AG1720" s="8" t="str" cm="1">
        <f t="array" ref="AG1720">IFERROR(_xlfn.IFS('Banco de Dados'!#REF!="AG. COMPRA","Em processamento",'Banco de Dados'!#REF!="AG. RASTREIO","Em processamento",'Banco de Dados'!$AE1720&lt;&gt;"-","Faturado",'Banco de Dados'!$AD1720&lt;&gt;"-","Aguardando Pix",'Banco de Dados'!$AC1720&lt;&gt;"-","Pendente"),"Aguardando Liberação")</f>
        <v>Aguardando Liberação</v>
      </c>
      <c r="AH1720" s="5" t="str">
        <f>IF('Banco de Dados'!$F1720="-",_xlfn.CONCAT(PROPER(TEXT(AK1720,"aaaa"))," ",PROPER(TEXT(AK1720,"mm"))),_xlfn.CONCAT(PROPER(TEXT(E1720,"aaaa"))," ",PROPER(TEXT(E1720,"mm"))))</f>
        <v>2025 05</v>
      </c>
      <c r="AI1720" s="9" t="str">
        <f ca="1">IF('Banco de Dados'!$AK1720&lt;&gt;"-","REEMBOLSO",IFERROR(_xlfn.XLOOKUP(G1720,Follow[CODRASTREIO],Follow[STATUS]),"-"))</f>
        <v>ENTREGUE</v>
      </c>
      <c r="AJ1720" s="9">
        <f ca="1">IF('Banco de Dados'!$AI1720="ENTREGUE",_xlfn.XLOOKUP('Banco de Dados'!$G1720,Follow[CODRASTREIO],Follow[DATAATUALIZAÇÃO]),"-")</f>
        <v>45834</v>
      </c>
      <c r="AK1720" s="132" t="str">
        <f ca="1"/>
        <v>-</v>
      </c>
      <c r="AL1720" s="35"/>
      <c r="AM1720" s="109" cm="1">
        <f t="array" aca="1" ref="AM1720" ca="1">IF('Banco de Dados'!$AK1720&lt;&gt;"-",_xlfn.IFS('Banco de Dados'!$A1720="bv",IF('Banco de Dados'!$E1720&lt;45641,ROUND(SUM('Banco de Dados'!$R1720*_xlfn.XLOOKUP('Banco de Dados'!$P1720,Sku!B:B,Sku!#REF!)*20%),2),ROUND(SUM('Banco de Dados'!$R1720*_xlfn.XLOOKUP('Banco de Dados'!$P1720,Sku!B:B,Sku!H:H)*20%),2)),'Banco de Dados'!$A1720="GO",ROUND(SUM('Banco de Dados'!$R1720*_xlfn.XLOOKUP('Banco de Dados'!$P1720,Sku!C:C,Sku!H:H)*20%),2),'Banco de Dados'!$A1720="MEI",ROUND(SUM('Banco de Dados'!$R1720*_xlfn.XLOOKUP('Banco de Dados'!$P1720,Sku!D:D,Sku!H:H)*20%),2)),0)</f>
        <v>0</v>
      </c>
      <c r="AN1720" s="109">
        <f ca="1">IF('Banco de Dados'!$AK1720&lt;&gt;"-",IF('Banco de Dados'!$F1720&lt;&gt;"-",_xlfn.XLOOKUP(IFERROR(IFERROR(IFERROR(VALUE(SUBSTITUTE(MID(_xlfn.TEXTAFTER('Banco de Dados'!$F1720,"Data do Pedido:
",1),1,10),"-","/")),VALUE(SUBSTITUTE(MID(_xlfn.TEXTAFTER('Banco de Dados'!$F1720,"Order date:
",1),1,10),"-","/"))),VALUE(SUBSTITUTE(MID(_xlfn.TEXTAFTER('Banco de Dados'!$F1720,"Fecha de pedido:
",1),1,10),"-","/"))),"-"),SMS!A:A,SMS!K:K),0),0)</f>
        <v>0</v>
      </c>
      <c r="AO1720" s="109">
        <f ca="1">IF('Banco de Dados'!$AK1720&lt;&gt;"-",IF('Banco de Dados'!$F1720&lt;&gt;"-",IFERROR(_xlfn.XLOOKUP(_xlfn.CONCAT('Banco de Dados'!$A1720,IFERROR(IFERROR(VALUE(SUBSTITUTE(MID(_xlfn.TEXTAFTER('Banco de Dados'!$F1720,"Data do Pedido:
",1),1,10),"-","/")),VALUE(SUBSTITUTE(MID(_xlfn.TEXTAFTER('Banco de Dados'!$F1720,"Order date:
",1),1,10),"-","/"))),0)),ProxyDD[Chave],ProxyDD[Valor por pedido]),PROXY!$P$2),0),0)</f>
        <v>0</v>
      </c>
      <c r="AP1720" s="28">
        <f ca="1">IF('Banco de Dados'!$AK1720&lt;&gt;"-",IF('Banco de Dados'!$AL1720="NÃO",IFERROR(VALUE(SUBSTITUTE(_xlfn.TEXTAFTER('Banco de Dados'!$F1720,"BRL ",1),".",",")),0),0),0)</f>
        <v>0</v>
      </c>
      <c r="AQ1720" s="28">
        <f ca="1">SUM('Banco de Dados'!$AM1720:$AP1720)</f>
        <v>0</v>
      </c>
      <c r="AR1720" s="8"/>
      <c r="AS1720" s="8"/>
      <c r="AT1720"/>
      <c r="AY1720" s="8"/>
    </row>
    <row r="1721" spans="1:51">
      <c r="A1721" s="5" t="str">
        <v>MEI</v>
      </c>
      <c r="B1721" s="5" t="str">
        <f ca="1"/>
        <v>MEI45793</v>
      </c>
      <c r="C1721" s="8" t="str">
        <v>Pedido 1708</v>
      </c>
      <c r="D1721" s="187">
        <v>45789</v>
      </c>
      <c r="E1721" s="9">
        <v>45793</v>
      </c>
      <c r="F1721" s="8" t="str">
        <v>PedidoF1615</v>
      </c>
      <c r="G1721" s="2" t="str">
        <v>CódRastreio1613</v>
      </c>
      <c r="H1721" s="5">
        <v>1</v>
      </c>
      <c r="I1721" s="182" t="str">
        <v>CPF 1667</v>
      </c>
      <c r="J1721" s="2" t="str">
        <v>Nome 1667</v>
      </c>
      <c r="K1721" s="8" t="str">
        <v>Tel 1667</v>
      </c>
      <c r="L1721" s="8" t="str">
        <v>Cep 1667</v>
      </c>
      <c r="M1721" s="8" t="str">
        <v>Rua 1667</v>
      </c>
      <c r="N1721" s="8" t="str">
        <v>Comp 1667</v>
      </c>
      <c r="O1721" s="8" t="str">
        <v>Ventilador Rosa</v>
      </c>
      <c r="P1721" s="8" t="str">
        <v>WR-82Y0-OV27</v>
      </c>
      <c r="Q1721" s="4">
        <v>45814</v>
      </c>
      <c r="R1721" s="109">
        <v>49.9</v>
      </c>
      <c r="S1721" s="11">
        <f ca="1"/>
        <v>49.9</v>
      </c>
      <c r="T1721" s="28">
        <f ca="1"/>
        <v>5.9879999999999995</v>
      </c>
      <c r="U1721" s="11">
        <f ca="1"/>
        <v>43.91</v>
      </c>
      <c r="V1721" s="11">
        <v>12.73</v>
      </c>
      <c r="W1721" s="11">
        <f ca="1"/>
        <v>0.2</v>
      </c>
      <c r="X1721" s="11">
        <f ca="1"/>
        <v>0.39877104377104378</v>
      </c>
      <c r="Y1721" s="11">
        <v>0</v>
      </c>
      <c r="Z1721" s="11">
        <f ca="1"/>
        <v>30.581228956228955</v>
      </c>
      <c r="AA1721" s="11">
        <f ca="1"/>
        <v>15.290614478114477</v>
      </c>
      <c r="AB1721" s="4">
        <f ca="1"/>
        <v>45821</v>
      </c>
      <c r="AC1721" s="4">
        <v>45821</v>
      </c>
      <c r="AD1721" s="9">
        <v>45824</v>
      </c>
      <c r="AE1721" s="9">
        <v>45828</v>
      </c>
      <c r="AF1721" s="4" t="str">
        <f t="shared" ca="1" si="118"/>
        <v>2025 06</v>
      </c>
      <c r="AG1721" s="8" t="str" cm="1">
        <f t="array" ref="AG1721">IFERROR(_xlfn.IFS('Banco de Dados'!#REF!="AG. COMPRA","Em processamento",'Banco de Dados'!#REF!="AG. RASTREIO","Em processamento",'Banco de Dados'!$AE1721&lt;&gt;"-","Faturado",'Banco de Dados'!$AD1721&lt;&gt;"-","Aguardando Pix",'Banco de Dados'!$AC1721&lt;&gt;"-","Pendente"),"Aguardando Liberação")</f>
        <v>Aguardando Liberação</v>
      </c>
      <c r="AH1721" s="5" t="str">
        <f>IF('Banco de Dados'!$F1721="-",_xlfn.CONCAT(PROPER(TEXT(AK1721,"aaaa"))," ",PROPER(TEXT(AK1721,"mm"))),_xlfn.CONCAT(PROPER(TEXT(E1721,"aaaa"))," ",PROPER(TEXT(E1721,"mm"))))</f>
        <v>2025 05</v>
      </c>
      <c r="AI1721" s="9" t="str">
        <f ca="1">IF('Banco de Dados'!$AK1721&lt;&gt;"-","REEMBOLSO",IFERROR(_xlfn.XLOOKUP(G1721,Follow[CODRASTREIO],Follow[STATUS]),"-"))</f>
        <v>ENTREGUE</v>
      </c>
      <c r="AJ1721" s="9">
        <f ca="1">IF('Banco de Dados'!$AI1721="ENTREGUE",_xlfn.XLOOKUP('Banco de Dados'!$G1721,Follow[CODRASTREIO],Follow[DATAATUALIZAÇÃO]),"-")</f>
        <v>45810</v>
      </c>
      <c r="AK1721" s="132" t="str">
        <f ca="1"/>
        <v>-</v>
      </c>
      <c r="AL1721" s="35"/>
      <c r="AM1721" s="109" cm="1">
        <f t="array" aca="1" ref="AM1721" ca="1">IF('Banco de Dados'!$AK1721&lt;&gt;"-",_xlfn.IFS('Banco de Dados'!$A1721="bv",IF('Banco de Dados'!$E1721&lt;45641,ROUND(SUM('Banco de Dados'!$R1721*_xlfn.XLOOKUP('Banco de Dados'!$P1721,Sku!B:B,Sku!#REF!)*20%),2),ROUND(SUM('Banco de Dados'!$R1721*_xlfn.XLOOKUP('Banco de Dados'!$P1721,Sku!B:B,Sku!H:H)*20%),2)),'Banco de Dados'!$A1721="GO",ROUND(SUM('Banco de Dados'!$R1721*_xlfn.XLOOKUP('Banco de Dados'!$P1721,Sku!C:C,Sku!H:H)*20%),2),'Banco de Dados'!$A1721="MEI",ROUND(SUM('Banco de Dados'!$R1721*_xlfn.XLOOKUP('Banco de Dados'!$P1721,Sku!D:D,Sku!H:H)*20%),2)),0)</f>
        <v>0</v>
      </c>
      <c r="AN1721" s="109">
        <f ca="1">IF('Banco de Dados'!$AK1721&lt;&gt;"-",IF('Banco de Dados'!$F1721&lt;&gt;"-",_xlfn.XLOOKUP(IFERROR(IFERROR(IFERROR(VALUE(SUBSTITUTE(MID(_xlfn.TEXTAFTER('Banco de Dados'!$F1721,"Data do Pedido:
",1),1,10),"-","/")),VALUE(SUBSTITUTE(MID(_xlfn.TEXTAFTER('Banco de Dados'!$F1721,"Order date:
",1),1,10),"-","/"))),VALUE(SUBSTITUTE(MID(_xlfn.TEXTAFTER('Banco de Dados'!$F1721,"Fecha de pedido:
",1),1,10),"-","/"))),"-"),SMS!A:A,SMS!K:K),0),0)</f>
        <v>0</v>
      </c>
      <c r="AO1721" s="109">
        <f ca="1">IF('Banco de Dados'!$AK1721&lt;&gt;"-",IF('Banco de Dados'!$F1721&lt;&gt;"-",IFERROR(_xlfn.XLOOKUP(_xlfn.CONCAT('Banco de Dados'!$A1721,IFERROR(IFERROR(VALUE(SUBSTITUTE(MID(_xlfn.TEXTAFTER('Banco de Dados'!$F1721,"Data do Pedido:
",1),1,10),"-","/")),VALUE(SUBSTITUTE(MID(_xlfn.TEXTAFTER('Banco de Dados'!$F1721,"Order date:
",1),1,10),"-","/"))),0)),ProxyDD[Chave],ProxyDD[Valor por pedido]),PROXY!$P$2),0),0)</f>
        <v>0</v>
      </c>
      <c r="AP1721" s="28">
        <f ca="1">IF('Banco de Dados'!$AK1721&lt;&gt;"-",IF('Banco de Dados'!$AL1721="NÃO",IFERROR(VALUE(SUBSTITUTE(_xlfn.TEXTAFTER('Banco de Dados'!$F1721,"BRL ",1),".",",")),0),0),0)</f>
        <v>0</v>
      </c>
      <c r="AQ1721" s="28">
        <f ca="1">SUM('Banco de Dados'!$AM1721:$AP1721)</f>
        <v>0</v>
      </c>
      <c r="AR1721" s="8"/>
      <c r="AS1721" s="8"/>
      <c r="AT1721"/>
      <c r="AY1721" s="8"/>
    </row>
    <row r="1722" spans="1:51">
      <c r="A1722" s="5" t="str">
        <v>MEI</v>
      </c>
      <c r="B1722" s="5" t="str">
        <f ca="1"/>
        <v>MEI-</v>
      </c>
      <c r="C1722" s="8" t="str">
        <v>Pedido 1709</v>
      </c>
      <c r="D1722" s="187">
        <v>45789</v>
      </c>
      <c r="E1722" s="9" t="str">
        <v>-</v>
      </c>
      <c r="F1722" s="8" t="str">
        <v>-</v>
      </c>
      <c r="G1722" s="2" t="str">
        <v>-</v>
      </c>
      <c r="H1722" s="5">
        <v>1</v>
      </c>
      <c r="I1722" s="182" t="str">
        <v>CPF 1668</v>
      </c>
      <c r="J1722" s="2" t="str">
        <v>Nome 1668</v>
      </c>
      <c r="K1722" s="8" t="str">
        <v>Tel 1668</v>
      </c>
      <c r="L1722" s="8" t="str">
        <v>Cep 1668</v>
      </c>
      <c r="M1722" s="8" t="str">
        <v>Rua 1668</v>
      </c>
      <c r="N1722" s="8" t="str">
        <v>Comp 1668</v>
      </c>
      <c r="O1722" s="8" t="str">
        <v>Lampada Led</v>
      </c>
      <c r="P1722" s="8" t="str">
        <v>T1-SWVB-UPOW</v>
      </c>
      <c r="Q1722" s="4">
        <v>45821</v>
      </c>
      <c r="R1722" s="109">
        <v>35.99</v>
      </c>
      <c r="S1722" s="11">
        <f ca="1"/>
        <v>0</v>
      </c>
      <c r="T1722" s="28">
        <f ca="1"/>
        <v>0</v>
      </c>
      <c r="U1722" s="11">
        <f ca="1"/>
        <v>0</v>
      </c>
      <c r="V1722" s="11">
        <v>0</v>
      </c>
      <c r="W1722" s="11">
        <f ca="1"/>
        <v>0</v>
      </c>
      <c r="X1722" s="11">
        <f ca="1"/>
        <v>0</v>
      </c>
      <c r="Y1722" s="11">
        <v>0</v>
      </c>
      <c r="Z1722" s="11">
        <f ca="1"/>
        <v>0</v>
      </c>
      <c r="AA1722" s="11">
        <f ca="1"/>
        <v>0</v>
      </c>
      <c r="AB1722" s="4">
        <f ca="1"/>
        <v>45828</v>
      </c>
      <c r="AC1722" s="4">
        <v>45828</v>
      </c>
      <c r="AD1722" s="9">
        <v>45838</v>
      </c>
      <c r="AE1722" s="9">
        <v>45839</v>
      </c>
      <c r="AF1722" s="4" t="str">
        <f t="shared" ca="1" si="118"/>
        <v>2025 06</v>
      </c>
      <c r="AG1722" s="8" t="str" cm="1">
        <f t="array" ref="AG1722">IFERROR(_xlfn.IFS('Banco de Dados'!#REF!="AG. COMPRA","Em processamento",'Banco de Dados'!#REF!="AG. RASTREIO","Em processamento",'Banco de Dados'!$AE1722&lt;&gt;"-","Faturado",'Banco de Dados'!$AD1722&lt;&gt;"-","Aguardando Pix",'Banco de Dados'!$AC1722&lt;&gt;"-","Pendente"),"Aguardando Liberação")</f>
        <v>Aguardando Liberação</v>
      </c>
      <c r="AH1722" s="5" t="str">
        <f ca="1">IF('Banco de Dados'!$F1722="-",_xlfn.CONCAT(PROPER(TEXT(AK1722,"aaaa"))," ",PROPER(TEXT(AK1722,"mm"))),_xlfn.CONCAT(PROPER(TEXT(E1722,"aaaa"))," ",PROPER(TEXT(E1722,"mm"))))</f>
        <v>2025 06</v>
      </c>
      <c r="AI1722" s="9" t="str">
        <f ca="1">IF('Banco de Dados'!$AK1722&lt;&gt;"-","REEMBOLSO",IFERROR(_xlfn.XLOOKUP(G1722,Follow[CODRASTREIO],Follow[STATUS]),"-"))</f>
        <v>REEMBOLSO</v>
      </c>
      <c r="AJ1722" s="9" t="str">
        <f ca="1">IF('Banco de Dados'!$AI1722="ENTREGUE",_xlfn.XLOOKUP('Banco de Dados'!$G1722,Follow[CODRASTREIO],Follow[DATAATUALIZAÇÃO]),"-")</f>
        <v>-</v>
      </c>
      <c r="AK1722" s="132">
        <f ca="1"/>
        <v>45833</v>
      </c>
      <c r="AL1722" s="35"/>
      <c r="AM1722" s="109" cm="1">
        <f t="array" aca="1" ref="AM1722" ca="1">IF('Banco de Dados'!$AK1722&lt;&gt;"-",_xlfn.IFS('Banco de Dados'!$A1722="bv",IF('Banco de Dados'!$E1722&lt;45641,ROUND(SUM('Banco de Dados'!$R1722*_xlfn.XLOOKUP('Banco de Dados'!$P1722,Sku!B:B,Sku!#REF!)*20%),2),ROUND(SUM('Banco de Dados'!$R1722*_xlfn.XLOOKUP('Banco de Dados'!$P1722,Sku!B:B,Sku!H:H)*20%),2)),'Banco de Dados'!$A1722="GO",ROUND(SUM('Banco de Dados'!$R1722*_xlfn.XLOOKUP('Banco de Dados'!$P1722,Sku!C:C,Sku!H:H)*20%),2),'Banco de Dados'!$A1722="MEI",ROUND(SUM('Banco de Dados'!$R1722*_xlfn.XLOOKUP('Banco de Dados'!$P1722,Sku!D:D,Sku!H:H)*20%),2)),0)</f>
        <v>0.94</v>
      </c>
      <c r="AN1722" s="109">
        <f ca="1">IF('Banco de Dados'!$AK1722&lt;&gt;"-",IF('Banco de Dados'!$F1722&lt;&gt;"-",_xlfn.XLOOKUP(IFERROR(IFERROR(IFERROR(VALUE(SUBSTITUTE(MID(_xlfn.TEXTAFTER('Banco de Dados'!$F1722,"Data do Pedido:
",1),1,10),"-","/")),VALUE(SUBSTITUTE(MID(_xlfn.TEXTAFTER('Banco de Dados'!$F1722,"Order date:
",1),1,10),"-","/"))),VALUE(SUBSTITUTE(MID(_xlfn.TEXTAFTER('Banco de Dados'!$F1722,"Fecha de pedido:
",1),1,10),"-","/"))),"-"),SMS!A:A,SMS!K:K),0),0)</f>
        <v>0</v>
      </c>
      <c r="AO1722" s="109">
        <f ca="1">IF('Banco de Dados'!$AK1722&lt;&gt;"-",IF('Banco de Dados'!$F1722&lt;&gt;"-",IFERROR(_xlfn.XLOOKUP(_xlfn.CONCAT('Banco de Dados'!$A1722,IFERROR(IFERROR(VALUE(SUBSTITUTE(MID(_xlfn.TEXTAFTER('Banco de Dados'!$F1722,"Data do Pedido:
",1),1,10),"-","/")),VALUE(SUBSTITUTE(MID(_xlfn.TEXTAFTER('Banco de Dados'!$F1722,"Order date:
",1),1,10),"-","/"))),0)),ProxyDD[Chave],ProxyDD[Valor por pedido]),PROXY!$P$2),0),0)</f>
        <v>0</v>
      </c>
      <c r="AP1722" s="28">
        <f ca="1">IF('Banco de Dados'!$AK1722&lt;&gt;"-",IF('Banco de Dados'!$AL1722="NÃO",IFERROR(VALUE(SUBSTITUTE(_xlfn.TEXTAFTER('Banco de Dados'!$F1722,"BRL ",1),".",",")),0),0),0)</f>
        <v>0</v>
      </c>
      <c r="AQ1722" s="28">
        <f ca="1">SUM('Banco de Dados'!$AM1722:$AP1722)</f>
        <v>0.94</v>
      </c>
      <c r="AR1722" s="8"/>
      <c r="AS1722" s="8"/>
      <c r="AT1722"/>
      <c r="AY1722" s="8"/>
    </row>
    <row r="1723" spans="1:51">
      <c r="A1723" s="5" t="str">
        <v>GO</v>
      </c>
      <c r="B1723" s="5" t="str">
        <f ca="1"/>
        <v>GO-</v>
      </c>
      <c r="C1723" s="8" t="str">
        <v>Pedido 1710</v>
      </c>
      <c r="D1723" s="187">
        <v>45787</v>
      </c>
      <c r="E1723" s="9" t="str">
        <v>-</v>
      </c>
      <c r="F1723" s="8" t="str">
        <v>-</v>
      </c>
      <c r="G1723" s="2" t="str">
        <v>-</v>
      </c>
      <c r="H1723" s="5">
        <v>1</v>
      </c>
      <c r="I1723" s="182" t="str">
        <v>CPF 1669</v>
      </c>
      <c r="J1723" s="2" t="str">
        <v>Nome 1669</v>
      </c>
      <c r="K1723" s="8" t="str">
        <v>Tel 1669</v>
      </c>
      <c r="L1723" s="8" t="str">
        <v>Cep 1669</v>
      </c>
      <c r="M1723" s="8" t="str">
        <v>Rua 1669</v>
      </c>
      <c r="N1723" s="8" t="str">
        <v>Comp 1669</v>
      </c>
      <c r="O1723" s="8" t="str">
        <v>Maçarico Culinário Portátil</v>
      </c>
      <c r="P1723" s="8" t="str">
        <v>WS-5LUS-APOT</v>
      </c>
      <c r="Q1723" s="4">
        <v>45820</v>
      </c>
      <c r="R1723" s="109">
        <v>36.99</v>
      </c>
      <c r="S1723" s="11">
        <f ca="1"/>
        <v>0</v>
      </c>
      <c r="T1723" s="28">
        <f ca="1"/>
        <v>0</v>
      </c>
      <c r="U1723" s="11">
        <f ca="1"/>
        <v>0</v>
      </c>
      <c r="V1723" s="11">
        <v>0</v>
      </c>
      <c r="W1723" s="11">
        <f ca="1"/>
        <v>0</v>
      </c>
      <c r="X1723" s="11">
        <f ca="1"/>
        <v>0</v>
      </c>
      <c r="Y1723" s="11">
        <v>0</v>
      </c>
      <c r="Z1723" s="11">
        <f ca="1"/>
        <v>0</v>
      </c>
      <c r="AA1723" s="11">
        <f ca="1"/>
        <v>0</v>
      </c>
      <c r="AB1723" s="4">
        <f ca="1"/>
        <v>45827</v>
      </c>
      <c r="AC1723" s="4">
        <v>45827</v>
      </c>
      <c r="AD1723" s="9">
        <v>45838</v>
      </c>
      <c r="AE1723" s="9">
        <v>45839</v>
      </c>
      <c r="AF1723" s="4" t="str">
        <f t="shared" ca="1" si="118"/>
        <v>2025 06</v>
      </c>
      <c r="AG1723" s="8" t="str" cm="1">
        <f t="array" ref="AG1723">IFERROR(_xlfn.IFS('Banco de Dados'!#REF!="AG. COMPRA","Em processamento",'Banco de Dados'!#REF!="AG. RASTREIO","Em processamento",'Banco de Dados'!$AE1723&lt;&gt;"-","Faturado",'Banco de Dados'!$AD1723&lt;&gt;"-","Aguardando Pix",'Banco de Dados'!$AC1723&lt;&gt;"-","Pendente"),"Aguardando Liberação")</f>
        <v>Aguardando Liberação</v>
      </c>
      <c r="AH1723" s="5" t="str">
        <f ca="1">IF('Banco de Dados'!$F1723="-",_xlfn.CONCAT(PROPER(TEXT(AK1723,"aaaa"))," ",PROPER(TEXT(AK1723,"mm"))),_xlfn.CONCAT(PROPER(TEXT(E1723,"aaaa"))," ",PROPER(TEXT(E1723,"mm"))))</f>
        <v>2025 05</v>
      </c>
      <c r="AI1723" s="9" t="str">
        <f ca="1">IF('Banco de Dados'!$AK1723&lt;&gt;"-","REEMBOLSO",IFERROR(_xlfn.XLOOKUP(G1723,Follow[CODRASTREIO],Follow[STATUS]),"-"))</f>
        <v>REEMBOLSO</v>
      </c>
      <c r="AJ1723" s="9" t="str">
        <f ca="1">IF('Banco de Dados'!$AI1723="ENTREGUE",_xlfn.XLOOKUP('Banco de Dados'!$G1723,Follow[CODRASTREIO],Follow[DATAATUALIZAÇÃO]),"-")</f>
        <v>-</v>
      </c>
      <c r="AK1723" s="132">
        <f ca="1"/>
        <v>45793</v>
      </c>
      <c r="AL1723" s="35"/>
      <c r="AM1723" s="109" cm="1">
        <f t="array" aca="1" ref="AM1723" ca="1">IF('Banco de Dados'!$AK1723&lt;&gt;"-",_xlfn.IFS('Banco de Dados'!$A1723="bv",IF('Banco de Dados'!$E1723&lt;45641,ROUND(SUM('Banco de Dados'!$R1723*_xlfn.XLOOKUP('Banco de Dados'!$P1723,Sku!B:B,Sku!#REF!)*20%),2),ROUND(SUM('Banco de Dados'!$R1723*_xlfn.XLOOKUP('Banco de Dados'!$P1723,Sku!B:B,Sku!H:H)*20%),2)),'Banco de Dados'!$A1723="GO",ROUND(SUM('Banco de Dados'!$R1723*_xlfn.XLOOKUP('Banco de Dados'!$P1723,Sku!C:C,Sku!H:H)*20%),2),'Banco de Dados'!$A1723="MEI",ROUND(SUM('Banco de Dados'!$R1723*_xlfn.XLOOKUP('Banco de Dados'!$P1723,Sku!D:D,Sku!H:H)*20%),2)),0)</f>
        <v>0.81</v>
      </c>
      <c r="AN1723" s="109">
        <f ca="1">IF('Banco de Dados'!$AK1723&lt;&gt;"-",IF('Banco de Dados'!$F1723&lt;&gt;"-",_xlfn.XLOOKUP(IFERROR(IFERROR(IFERROR(VALUE(SUBSTITUTE(MID(_xlfn.TEXTAFTER('Banco de Dados'!$F1723,"Data do Pedido:
",1),1,10),"-","/")),VALUE(SUBSTITUTE(MID(_xlfn.TEXTAFTER('Banco de Dados'!$F1723,"Order date:
",1),1,10),"-","/"))),VALUE(SUBSTITUTE(MID(_xlfn.TEXTAFTER('Banco de Dados'!$F1723,"Fecha de pedido:
",1),1,10),"-","/"))),"-"),SMS!A:A,SMS!K:K),0),0)</f>
        <v>0</v>
      </c>
      <c r="AO1723" s="109">
        <f ca="1">IF('Banco de Dados'!$AK1723&lt;&gt;"-",IF('Banco de Dados'!$F1723&lt;&gt;"-",IFERROR(_xlfn.XLOOKUP(_xlfn.CONCAT('Banco de Dados'!$A1723,IFERROR(IFERROR(VALUE(SUBSTITUTE(MID(_xlfn.TEXTAFTER('Banco de Dados'!$F1723,"Data do Pedido:
",1),1,10),"-","/")),VALUE(SUBSTITUTE(MID(_xlfn.TEXTAFTER('Banco de Dados'!$F1723,"Order date:
",1),1,10),"-","/"))),0)),ProxyDD[Chave],ProxyDD[Valor por pedido]),PROXY!$P$2),0),0)</f>
        <v>0</v>
      </c>
      <c r="AP1723" s="28">
        <f ca="1">IF('Banco de Dados'!$AK1723&lt;&gt;"-",IF('Banco de Dados'!$AL1723="NÃO",IFERROR(VALUE(SUBSTITUTE(_xlfn.TEXTAFTER('Banco de Dados'!$F1723,"BRL ",1),".",",")),0),0),0)</f>
        <v>0</v>
      </c>
      <c r="AQ1723" s="28">
        <f ca="1">SUM('Banco de Dados'!$AM1723:$AP1723)</f>
        <v>0.81</v>
      </c>
      <c r="AR1723" s="8"/>
      <c r="AS1723" s="8"/>
      <c r="AT1723"/>
      <c r="AY1723" s="8"/>
    </row>
    <row r="1724" spans="1:51">
      <c r="A1724" s="5" t="str">
        <v>MEI</v>
      </c>
      <c r="B1724" s="5" t="str">
        <f ca="1"/>
        <v>MEI45807</v>
      </c>
      <c r="C1724" s="8" t="str">
        <v>Pedido 1711</v>
      </c>
      <c r="D1724" s="187">
        <v>45791</v>
      </c>
      <c r="E1724" s="9">
        <v>45807</v>
      </c>
      <c r="F1724" s="8" t="str">
        <v>PedidoF1616</v>
      </c>
      <c r="G1724" s="2" t="str">
        <v>CódRastreio1614</v>
      </c>
      <c r="H1724" s="5">
        <v>1</v>
      </c>
      <c r="I1724" s="182" t="str">
        <v>CPF 1670</v>
      </c>
      <c r="J1724" s="2" t="str">
        <v>Nome 1670</v>
      </c>
      <c r="K1724" s="8" t="str">
        <v>Tel 1670</v>
      </c>
      <c r="L1724" s="8" t="str">
        <v>Cep 1670</v>
      </c>
      <c r="M1724" s="8" t="str">
        <v>Rua 1670</v>
      </c>
      <c r="N1724" s="8" t="str">
        <v>Comp 1670</v>
      </c>
      <c r="O1724" s="8" t="str">
        <v>Karaoke portátil</v>
      </c>
      <c r="P1724" s="8" t="str">
        <v>1I-EZPV-2Q78</v>
      </c>
      <c r="Q1724" s="4">
        <v>45818</v>
      </c>
      <c r="R1724" s="109">
        <v>52.73</v>
      </c>
      <c r="S1724" s="11">
        <f ca="1"/>
        <v>52.73</v>
      </c>
      <c r="T1724" s="28">
        <f ca="1"/>
        <v>7.9094999999999995</v>
      </c>
      <c r="U1724" s="11">
        <f ca="1"/>
        <v>44.82</v>
      </c>
      <c r="V1724" s="11">
        <v>33.99</v>
      </c>
      <c r="W1724" s="11">
        <f ca="1"/>
        <v>0</v>
      </c>
      <c r="X1724" s="11">
        <f ca="1"/>
        <v>0.39877104377104378</v>
      </c>
      <c r="Y1724" s="11">
        <v>0</v>
      </c>
      <c r="Z1724" s="11">
        <f ca="1"/>
        <v>10.431228956228956</v>
      </c>
      <c r="AA1724" s="11">
        <f ca="1"/>
        <v>5.2156144781144782</v>
      </c>
      <c r="AB1724" s="4">
        <f ca="1"/>
        <v>45825</v>
      </c>
      <c r="AC1724" s="4">
        <v>45825</v>
      </c>
      <c r="AD1724" s="9">
        <v>45838</v>
      </c>
      <c r="AE1724" s="9">
        <v>45839</v>
      </c>
      <c r="AF1724" s="4" t="str">
        <f t="shared" ref="AF1724:AF1727" ca="1" si="119">_xlfn.CONCAT(PROPER(TEXT(AB1724,"aaaa"))," ",PROPER(TEXT(AB1724,"mm")))</f>
        <v>2025 06</v>
      </c>
      <c r="AG1724" s="8" t="str" cm="1">
        <f t="array" ref="AG1724">IFERROR(_xlfn.IFS('Banco de Dados'!#REF!="AG. COMPRA","Em processamento",'Banco de Dados'!#REF!="AG. RASTREIO","Em processamento",'Banco de Dados'!$AE1724&lt;&gt;"-","Faturado",'Banco de Dados'!$AD1724&lt;&gt;"-","Aguardando Pix",'Banco de Dados'!$AC1724&lt;&gt;"-","Pendente"),"Aguardando Liberação")</f>
        <v>Aguardando Liberação</v>
      </c>
      <c r="AH1724" s="5" t="str">
        <f>IF('Banco de Dados'!$F1724="-",_xlfn.CONCAT(PROPER(TEXT(AK1724,"aaaa"))," ",PROPER(TEXT(AK1724,"mm"))),_xlfn.CONCAT(PROPER(TEXT(E1724,"aaaa"))," ",PROPER(TEXT(E1724,"mm"))))</f>
        <v>2025 05</v>
      </c>
      <c r="AI1724" s="9" t="str">
        <f ca="1">IF('Banco de Dados'!$AK1724&lt;&gt;"-","REEMBOLSO",IFERROR(_xlfn.XLOOKUP(G1724,Follow[CODRASTREIO],Follow[STATUS]),"-"))</f>
        <v>ENTREGUE</v>
      </c>
      <c r="AJ1724" s="9">
        <f ca="1">IF('Banco de Dados'!$AI1724="ENTREGUE",_xlfn.XLOOKUP('Banco de Dados'!$G1724,Follow[CODRASTREIO],Follow[DATAATUALIZAÇÃO]),"-")</f>
        <v>45816</v>
      </c>
      <c r="AK1724" s="132" t="str">
        <f ca="1"/>
        <v>-</v>
      </c>
      <c r="AL1724" s="35"/>
      <c r="AM1724" s="109" cm="1">
        <f t="array" aca="1" ref="AM1724" ca="1">IF('Banco de Dados'!$AK1724&lt;&gt;"-",_xlfn.IFS('Banco de Dados'!$A1724="bv",IF('Banco de Dados'!$E1724&lt;45641,ROUND(SUM('Banco de Dados'!$R1724*_xlfn.XLOOKUP('Banco de Dados'!$P1724,Sku!B:B,Sku!#REF!)*20%),2),ROUND(SUM('Banco de Dados'!$R1724*_xlfn.XLOOKUP('Banco de Dados'!$P1724,Sku!B:B,Sku!H:H)*20%),2)),'Banco de Dados'!$A1724="GO",ROUND(SUM('Banco de Dados'!$R1724*_xlfn.XLOOKUP('Banco de Dados'!$P1724,Sku!C:C,Sku!H:H)*20%),2),'Banco de Dados'!$A1724="MEI",ROUND(SUM('Banco de Dados'!$R1724*_xlfn.XLOOKUP('Banco de Dados'!$P1724,Sku!D:D,Sku!H:H)*20%),2)),0)</f>
        <v>0</v>
      </c>
      <c r="AN1724" s="109">
        <f ca="1">IF('Banco de Dados'!$AK1724&lt;&gt;"-",IF('Banco de Dados'!$F1724&lt;&gt;"-",_xlfn.XLOOKUP(IFERROR(IFERROR(IFERROR(VALUE(SUBSTITUTE(MID(_xlfn.TEXTAFTER('Banco de Dados'!$F1724,"Data do Pedido:
",1),1,10),"-","/")),VALUE(SUBSTITUTE(MID(_xlfn.TEXTAFTER('Banco de Dados'!$F1724,"Order date:
",1),1,10),"-","/"))),VALUE(SUBSTITUTE(MID(_xlfn.TEXTAFTER('Banco de Dados'!$F1724,"Fecha de pedido:
",1),1,10),"-","/"))),"-"),SMS!A:A,SMS!K:K),0),0)</f>
        <v>0</v>
      </c>
      <c r="AO1724" s="109">
        <f ca="1">IF('Banco de Dados'!$AK1724&lt;&gt;"-",IF('Banco de Dados'!$F1724&lt;&gt;"-",IFERROR(_xlfn.XLOOKUP(_xlfn.CONCAT('Banco de Dados'!$A1724,IFERROR(IFERROR(VALUE(SUBSTITUTE(MID(_xlfn.TEXTAFTER('Banco de Dados'!$F1724,"Data do Pedido:
",1),1,10),"-","/")),VALUE(SUBSTITUTE(MID(_xlfn.TEXTAFTER('Banco de Dados'!$F1724,"Order date:
",1),1,10),"-","/"))),0)),ProxyDD[Chave],ProxyDD[Valor por pedido]),PROXY!$P$2),0),0)</f>
        <v>0</v>
      </c>
      <c r="AP1724" s="28">
        <f ca="1">IF('Banco de Dados'!$AK1724&lt;&gt;"-",IF('Banco de Dados'!$AL1724="NÃO",IFERROR(VALUE(SUBSTITUTE(_xlfn.TEXTAFTER('Banco de Dados'!$F1724,"BRL ",1),".",",")),0),0),0)</f>
        <v>0</v>
      </c>
      <c r="AQ1724" s="28">
        <f ca="1">SUM('Banco de Dados'!$AM1724:$AP1724)</f>
        <v>0</v>
      </c>
      <c r="AR1724" s="8"/>
      <c r="AS1724" s="8"/>
      <c r="AT1724"/>
      <c r="AY1724" s="8"/>
    </row>
    <row r="1725" spans="1:51">
      <c r="A1725" s="5" t="str">
        <v>MEI</v>
      </c>
      <c r="B1725" s="5" t="str">
        <f ca="1"/>
        <v>MEI45796</v>
      </c>
      <c r="C1725" s="8" t="str">
        <v>Pedido 1712</v>
      </c>
      <c r="D1725" s="187">
        <v>45791</v>
      </c>
      <c r="E1725" s="9">
        <v>45796</v>
      </c>
      <c r="F1725" s="8" t="str">
        <v>PedidoF1617</v>
      </c>
      <c r="G1725" s="2" t="str">
        <v>CódRastreio1615</v>
      </c>
      <c r="H1725" s="5">
        <v>1</v>
      </c>
      <c r="I1725" s="182" t="str">
        <v>CPF 1671</v>
      </c>
      <c r="J1725" s="2" t="str">
        <v>Nome 1671</v>
      </c>
      <c r="K1725" s="8" t="str">
        <v>Tel 1671</v>
      </c>
      <c r="L1725" s="8" t="str">
        <v>Cep 1671</v>
      </c>
      <c r="M1725" s="8" t="str">
        <v>Rua 1671</v>
      </c>
      <c r="N1725" s="8" t="str">
        <v>Comp 1671</v>
      </c>
      <c r="O1725" s="8" t="str">
        <v>Ventilador Rosa</v>
      </c>
      <c r="P1725" s="8" t="str">
        <v>WR-82Y0-OV27</v>
      </c>
      <c r="Q1725" s="4">
        <v>45818</v>
      </c>
      <c r="R1725" s="109">
        <v>49.9</v>
      </c>
      <c r="S1725" s="11">
        <f ca="1"/>
        <v>49.9</v>
      </c>
      <c r="T1725" s="28">
        <f ca="1"/>
        <v>5.9879999999999995</v>
      </c>
      <c r="U1725" s="11">
        <f ca="1"/>
        <v>43.91</v>
      </c>
      <c r="V1725" s="11">
        <v>16.18</v>
      </c>
      <c r="W1725" s="11">
        <f ca="1"/>
        <v>0.75</v>
      </c>
      <c r="X1725" s="11">
        <f ca="1"/>
        <v>0.39877104377104378</v>
      </c>
      <c r="Y1725" s="11">
        <v>0</v>
      </c>
      <c r="Z1725" s="11">
        <f ca="1"/>
        <v>26.581228956228951</v>
      </c>
      <c r="AA1725" s="11">
        <f ca="1"/>
        <v>13.290614478114476</v>
      </c>
      <c r="AB1725" s="4">
        <f ca="1"/>
        <v>45825</v>
      </c>
      <c r="AC1725" s="4">
        <v>45825</v>
      </c>
      <c r="AD1725" s="9">
        <v>45838</v>
      </c>
      <c r="AE1725" s="9">
        <v>45839</v>
      </c>
      <c r="AF1725" s="4" t="str">
        <f t="shared" ca="1" si="119"/>
        <v>2025 06</v>
      </c>
      <c r="AG1725" s="8" t="str" cm="1">
        <f t="array" ref="AG1725">IFERROR(_xlfn.IFS('Banco de Dados'!#REF!="AG. COMPRA","Em processamento",'Banco de Dados'!#REF!="AG. RASTREIO","Em processamento",'Banco de Dados'!$AE1725&lt;&gt;"-","Faturado",'Banco de Dados'!$AD1725&lt;&gt;"-","Aguardando Pix",'Banco de Dados'!$AC1725&lt;&gt;"-","Pendente"),"Aguardando Liberação")</f>
        <v>Aguardando Liberação</v>
      </c>
      <c r="AH1725" s="5" t="str">
        <f>IF('Banco de Dados'!$F1725="-",_xlfn.CONCAT(PROPER(TEXT(AK1725,"aaaa"))," ",PROPER(TEXT(AK1725,"mm"))),_xlfn.CONCAT(PROPER(TEXT(E1725,"aaaa"))," ",PROPER(TEXT(E1725,"mm"))))</f>
        <v>2025 05</v>
      </c>
      <c r="AI1725" s="9" t="str">
        <f ca="1">IF('Banco de Dados'!$AK1725&lt;&gt;"-","REEMBOLSO",IFERROR(_xlfn.XLOOKUP(G1725,Follow[CODRASTREIO],Follow[STATUS]),"-"))</f>
        <v>ENTREGUE</v>
      </c>
      <c r="AJ1725" s="9">
        <f ca="1">IF('Banco de Dados'!$AI1725="ENTREGUE",_xlfn.XLOOKUP('Banco de Dados'!$G1725,Follow[CODRASTREIO],Follow[DATAATUALIZAÇÃO]),"-")</f>
        <v>45812</v>
      </c>
      <c r="AK1725" s="132" t="str">
        <f ca="1"/>
        <v>-</v>
      </c>
      <c r="AL1725" s="35"/>
      <c r="AM1725" s="109" cm="1">
        <f t="array" aca="1" ref="AM1725" ca="1">IF('Banco de Dados'!$AK1725&lt;&gt;"-",_xlfn.IFS('Banco de Dados'!$A1725="bv",IF('Banco de Dados'!$E1725&lt;45641,ROUND(SUM('Banco de Dados'!$R1725*_xlfn.XLOOKUP('Banco de Dados'!$P1725,Sku!B:B,Sku!#REF!)*20%),2),ROUND(SUM('Banco de Dados'!$R1725*_xlfn.XLOOKUP('Banco de Dados'!$P1725,Sku!B:B,Sku!H:H)*20%),2)),'Banco de Dados'!$A1725="GO",ROUND(SUM('Banco de Dados'!$R1725*_xlfn.XLOOKUP('Banco de Dados'!$P1725,Sku!C:C,Sku!H:H)*20%),2),'Banco de Dados'!$A1725="MEI",ROUND(SUM('Banco de Dados'!$R1725*_xlfn.XLOOKUP('Banco de Dados'!$P1725,Sku!D:D,Sku!H:H)*20%),2)),0)</f>
        <v>0</v>
      </c>
      <c r="AN1725" s="109">
        <f ca="1">IF('Banco de Dados'!$AK1725&lt;&gt;"-",IF('Banco de Dados'!$F1725&lt;&gt;"-",_xlfn.XLOOKUP(IFERROR(IFERROR(IFERROR(VALUE(SUBSTITUTE(MID(_xlfn.TEXTAFTER('Banco de Dados'!$F1725,"Data do Pedido:
",1),1,10),"-","/")),VALUE(SUBSTITUTE(MID(_xlfn.TEXTAFTER('Banco de Dados'!$F1725,"Order date:
",1),1,10),"-","/"))),VALUE(SUBSTITUTE(MID(_xlfn.TEXTAFTER('Banco de Dados'!$F1725,"Fecha de pedido:
",1),1,10),"-","/"))),"-"),SMS!A:A,SMS!K:K),0),0)</f>
        <v>0</v>
      </c>
      <c r="AO1725" s="109">
        <f ca="1">IF('Banco de Dados'!$AK1725&lt;&gt;"-",IF('Banco de Dados'!$F1725&lt;&gt;"-",IFERROR(_xlfn.XLOOKUP(_xlfn.CONCAT('Banco de Dados'!$A1725,IFERROR(IFERROR(VALUE(SUBSTITUTE(MID(_xlfn.TEXTAFTER('Banco de Dados'!$F1725,"Data do Pedido:
",1),1,10),"-","/")),VALUE(SUBSTITUTE(MID(_xlfn.TEXTAFTER('Banco de Dados'!$F1725,"Order date:
",1),1,10),"-","/"))),0)),ProxyDD[Chave],ProxyDD[Valor por pedido]),PROXY!$P$2),0),0)</f>
        <v>0</v>
      </c>
      <c r="AP1725" s="28">
        <f ca="1">IF('Banco de Dados'!$AK1725&lt;&gt;"-",IF('Banco de Dados'!$AL1725="NÃO",IFERROR(VALUE(SUBSTITUTE(_xlfn.TEXTAFTER('Banco de Dados'!$F1725,"BRL ",1),".",",")),0),0),0)</f>
        <v>0</v>
      </c>
      <c r="AQ1725" s="28">
        <f ca="1">SUM('Banco de Dados'!$AM1725:$AP1725)</f>
        <v>0</v>
      </c>
      <c r="AR1725" s="8"/>
      <c r="AS1725" s="8"/>
      <c r="AT1725"/>
      <c r="AY1725" s="8"/>
    </row>
    <row r="1726" spans="1:51">
      <c r="A1726" s="5" t="str">
        <v>MEI</v>
      </c>
      <c r="B1726" s="5" t="str">
        <f ca="1"/>
        <v>MEI45797</v>
      </c>
      <c r="C1726" s="8" t="str">
        <v>Pedido 1713</v>
      </c>
      <c r="D1726" s="187">
        <v>45791</v>
      </c>
      <c r="E1726" s="9">
        <v>45797</v>
      </c>
      <c r="F1726" s="8" t="str">
        <v>PedidoF1618</v>
      </c>
      <c r="G1726" s="2" t="str">
        <v>CódRastreio1616</v>
      </c>
      <c r="H1726" s="5">
        <v>1</v>
      </c>
      <c r="I1726" s="182" t="str">
        <v>CPF 1672</v>
      </c>
      <c r="J1726" s="2" t="str">
        <v>Nome 1672</v>
      </c>
      <c r="K1726" s="8" t="str">
        <v>Tel 1672</v>
      </c>
      <c r="L1726" s="8" t="str">
        <v>Cep 1672</v>
      </c>
      <c r="M1726" s="8" t="str">
        <v>Rua 1672</v>
      </c>
      <c r="N1726" s="8" t="str">
        <v>Comp 1672</v>
      </c>
      <c r="O1726" s="8" t="str">
        <v>Ventilador Preto</v>
      </c>
      <c r="P1726" s="8" t="str">
        <v>WU-SS4J-LFOH</v>
      </c>
      <c r="Q1726" s="4">
        <v>45825</v>
      </c>
      <c r="R1726" s="109">
        <v>65.7</v>
      </c>
      <c r="S1726" s="11">
        <f ca="1"/>
        <v>65.7</v>
      </c>
      <c r="T1726" s="28">
        <f ca="1"/>
        <v>7.8840000000000003</v>
      </c>
      <c r="U1726" s="11">
        <f ca="1"/>
        <v>57.82</v>
      </c>
      <c r="V1726" s="11">
        <v>24.6</v>
      </c>
      <c r="W1726" s="11">
        <f ca="1"/>
        <v>0.9</v>
      </c>
      <c r="X1726" s="11">
        <f ca="1"/>
        <v>0.39877104377104378</v>
      </c>
      <c r="Y1726" s="11">
        <v>0</v>
      </c>
      <c r="Z1726" s="11">
        <f ca="1"/>
        <v>31.921228956228955</v>
      </c>
      <c r="AA1726" s="11">
        <f ca="1"/>
        <v>15.960614478114477</v>
      </c>
      <c r="AB1726" s="4">
        <f ca="1"/>
        <v>45832</v>
      </c>
      <c r="AC1726" s="4">
        <v>45832</v>
      </c>
      <c r="AD1726" s="9">
        <v>45838</v>
      </c>
      <c r="AE1726" s="9">
        <v>45839</v>
      </c>
      <c r="AF1726" s="4" t="str">
        <f t="shared" ca="1" si="119"/>
        <v>2025 06</v>
      </c>
      <c r="AG1726" s="8" t="str" cm="1">
        <f t="array" ref="AG1726">IFERROR(_xlfn.IFS('Banco de Dados'!#REF!="AG. COMPRA","Em processamento",'Banco de Dados'!#REF!="AG. RASTREIO","Em processamento",'Banco de Dados'!$AE1726&lt;&gt;"-","Faturado",'Banco de Dados'!$AD1726&lt;&gt;"-","Aguardando Pix",'Banco de Dados'!$AC1726&lt;&gt;"-","Pendente"),"Aguardando Liberação")</f>
        <v>Aguardando Liberação</v>
      </c>
      <c r="AH1726" s="5" t="str">
        <f>IF('Banco de Dados'!$F1726="-",_xlfn.CONCAT(PROPER(TEXT(AK1726,"aaaa"))," ",PROPER(TEXT(AK1726,"mm"))),_xlfn.CONCAT(PROPER(TEXT(E1726,"aaaa"))," ",PROPER(TEXT(E1726,"mm"))))</f>
        <v>2025 05</v>
      </c>
      <c r="AI1726" s="9" t="str">
        <f ca="1">IF('Banco de Dados'!$AK1726&lt;&gt;"-","REEMBOLSO",IFERROR(_xlfn.XLOOKUP(G1726,Follow[CODRASTREIO],Follow[STATUS]),"-"))</f>
        <v>ENTREGUE</v>
      </c>
      <c r="AJ1726" s="9">
        <f ca="1">IF('Banco de Dados'!$AI1726="ENTREGUE",_xlfn.XLOOKUP('Banco de Dados'!$G1726,Follow[CODRASTREIO],Follow[DATAATUALIZAÇÃO]),"-")</f>
        <v>45833</v>
      </c>
      <c r="AK1726" s="132" t="str">
        <f ca="1"/>
        <v>-</v>
      </c>
      <c r="AL1726" s="35"/>
      <c r="AM1726" s="109" cm="1">
        <f t="array" aca="1" ref="AM1726" ca="1">IF('Banco de Dados'!$AK1726&lt;&gt;"-",_xlfn.IFS('Banco de Dados'!$A1726="bv",IF('Banco de Dados'!$E1726&lt;45641,ROUND(SUM('Banco de Dados'!$R1726*_xlfn.XLOOKUP('Banco de Dados'!$P1726,Sku!B:B,Sku!#REF!)*20%),2),ROUND(SUM('Banco de Dados'!$R1726*_xlfn.XLOOKUP('Banco de Dados'!$P1726,Sku!B:B,Sku!H:H)*20%),2)),'Banco de Dados'!$A1726="GO",ROUND(SUM('Banco de Dados'!$R1726*_xlfn.XLOOKUP('Banco de Dados'!$P1726,Sku!C:C,Sku!H:H)*20%),2),'Banco de Dados'!$A1726="MEI",ROUND(SUM('Banco de Dados'!$R1726*_xlfn.XLOOKUP('Banco de Dados'!$P1726,Sku!D:D,Sku!H:H)*20%),2)),0)</f>
        <v>0</v>
      </c>
      <c r="AN1726" s="109">
        <f ca="1">IF('Banco de Dados'!$AK1726&lt;&gt;"-",IF('Banco de Dados'!$F1726&lt;&gt;"-",_xlfn.XLOOKUP(IFERROR(IFERROR(IFERROR(VALUE(SUBSTITUTE(MID(_xlfn.TEXTAFTER('Banco de Dados'!$F1726,"Data do Pedido:
",1),1,10),"-","/")),VALUE(SUBSTITUTE(MID(_xlfn.TEXTAFTER('Banco de Dados'!$F1726,"Order date:
",1),1,10),"-","/"))),VALUE(SUBSTITUTE(MID(_xlfn.TEXTAFTER('Banco de Dados'!$F1726,"Fecha de pedido:
",1),1,10),"-","/"))),"-"),SMS!A:A,SMS!K:K),0),0)</f>
        <v>0</v>
      </c>
      <c r="AO1726" s="109">
        <f ca="1">IF('Banco de Dados'!$AK1726&lt;&gt;"-",IF('Banco de Dados'!$F1726&lt;&gt;"-",IFERROR(_xlfn.XLOOKUP(_xlfn.CONCAT('Banco de Dados'!$A1726,IFERROR(IFERROR(VALUE(SUBSTITUTE(MID(_xlfn.TEXTAFTER('Banco de Dados'!$F1726,"Data do Pedido:
",1),1,10),"-","/")),VALUE(SUBSTITUTE(MID(_xlfn.TEXTAFTER('Banco de Dados'!$F1726,"Order date:
",1),1,10),"-","/"))),0)),ProxyDD[Chave],ProxyDD[Valor por pedido]),PROXY!$P$2),0),0)</f>
        <v>0</v>
      </c>
      <c r="AP1726" s="28">
        <f ca="1">IF('Banco de Dados'!$AK1726&lt;&gt;"-",IF('Banco de Dados'!$AL1726="NÃO",IFERROR(VALUE(SUBSTITUTE(_xlfn.TEXTAFTER('Banco de Dados'!$F1726,"BRL ",1),".",",")),0),0),0)</f>
        <v>0</v>
      </c>
      <c r="AQ1726" s="28">
        <f ca="1">SUM('Banco de Dados'!$AM1726:$AP1726)</f>
        <v>0</v>
      </c>
      <c r="AR1726" s="8"/>
      <c r="AS1726" s="8"/>
      <c r="AT1726"/>
      <c r="AY1726" s="8"/>
    </row>
    <row r="1727" spans="1:51">
      <c r="A1727" s="5" t="str">
        <v>MEI</v>
      </c>
      <c r="B1727" s="5" t="str">
        <f ca="1"/>
        <v>MEI45796</v>
      </c>
      <c r="C1727" s="8" t="str">
        <v>Pedido 1714</v>
      </c>
      <c r="D1727" s="187">
        <v>45791</v>
      </c>
      <c r="E1727" s="9">
        <v>45796</v>
      </c>
      <c r="F1727" s="8" t="str">
        <v>PedidoF1619</v>
      </c>
      <c r="G1727" s="2" t="str">
        <v>CódRastreio1617</v>
      </c>
      <c r="H1727" s="5">
        <v>1</v>
      </c>
      <c r="I1727" s="182" t="str">
        <v>CPF 1673</v>
      </c>
      <c r="J1727" s="2" t="str">
        <v>Nome 1673</v>
      </c>
      <c r="K1727" s="8" t="str">
        <v>Tel 1673</v>
      </c>
      <c r="L1727" s="8" t="str">
        <v>Cep 1673</v>
      </c>
      <c r="M1727" s="8" t="str">
        <v>Rua 1673</v>
      </c>
      <c r="N1727" s="8" t="str">
        <v>Comp 1673</v>
      </c>
      <c r="O1727" s="8" t="str">
        <v>Ventilador Umidificador Preto</v>
      </c>
      <c r="P1727" s="8" t="str">
        <v>71-KHMZ-MLQW</v>
      </c>
      <c r="Q1727" s="4">
        <v>45818</v>
      </c>
      <c r="R1727" s="109">
        <v>49.99</v>
      </c>
      <c r="S1727" s="11">
        <f ca="1"/>
        <v>49.99</v>
      </c>
      <c r="T1727" s="28">
        <f ca="1"/>
        <v>5.4988999999999999</v>
      </c>
      <c r="U1727" s="11">
        <f ca="1"/>
        <v>44.49</v>
      </c>
      <c r="V1727" s="11">
        <v>40.049999999999997</v>
      </c>
      <c r="W1727" s="11">
        <f ca="1"/>
        <v>0.75</v>
      </c>
      <c r="X1727" s="11">
        <f ca="1"/>
        <v>0.39877104377104378</v>
      </c>
      <c r="Y1727" s="11">
        <v>0</v>
      </c>
      <c r="Z1727" s="11">
        <f ca="1"/>
        <v>3.2912289562289629</v>
      </c>
      <c r="AA1727" s="11">
        <f ca="1"/>
        <v>1.6456144781144815</v>
      </c>
      <c r="AB1727" s="4">
        <f ca="1"/>
        <v>45825</v>
      </c>
      <c r="AC1727" s="4">
        <v>45825</v>
      </c>
      <c r="AD1727" s="9">
        <v>45838</v>
      </c>
      <c r="AE1727" s="9">
        <v>45839</v>
      </c>
      <c r="AF1727" s="4" t="str">
        <f t="shared" ca="1" si="119"/>
        <v>2025 06</v>
      </c>
      <c r="AG1727" s="8" t="str" cm="1">
        <f t="array" ref="AG1727">IFERROR(_xlfn.IFS('Banco de Dados'!#REF!="AG. COMPRA","Em processamento",'Banco de Dados'!#REF!="AG. RASTREIO","Em processamento",'Banco de Dados'!$AE1727&lt;&gt;"-","Faturado",'Banco de Dados'!$AD1727&lt;&gt;"-","Aguardando Pix",'Banco de Dados'!$AC1727&lt;&gt;"-","Pendente"),"Aguardando Liberação")</f>
        <v>Aguardando Liberação</v>
      </c>
      <c r="AH1727" s="5" t="str">
        <f>IF('Banco de Dados'!$F1727="-",_xlfn.CONCAT(PROPER(TEXT(AK1727,"aaaa"))," ",PROPER(TEXT(AK1727,"mm"))),_xlfn.CONCAT(PROPER(TEXT(E1727,"aaaa"))," ",PROPER(TEXT(E1727,"mm"))))</f>
        <v>2025 05</v>
      </c>
      <c r="AI1727" s="9" t="str">
        <f ca="1">IF('Banco de Dados'!$AK1727&lt;&gt;"-","REEMBOLSO",IFERROR(_xlfn.XLOOKUP(G1727,Follow[CODRASTREIO],Follow[STATUS]),"-"))</f>
        <v>ENTREGUE</v>
      </c>
      <c r="AJ1727" s="9">
        <f ca="1">IF('Banco de Dados'!$AI1727="ENTREGUE",_xlfn.XLOOKUP('Banco de Dados'!$G1727,Follow[CODRASTREIO],Follow[DATAATUALIZAÇÃO]),"-")</f>
        <v>45810</v>
      </c>
      <c r="AK1727" s="132" t="str">
        <f ca="1"/>
        <v>-</v>
      </c>
      <c r="AL1727" s="35"/>
      <c r="AM1727" s="109" cm="1">
        <f t="array" aca="1" ref="AM1727" ca="1">IF('Banco de Dados'!$AK1727&lt;&gt;"-",_xlfn.IFS('Banco de Dados'!$A1727="bv",IF('Banco de Dados'!$E1727&lt;45641,ROUND(SUM('Banco de Dados'!$R1727*_xlfn.XLOOKUP('Banco de Dados'!$P1727,Sku!B:B,Sku!#REF!)*20%),2),ROUND(SUM('Banco de Dados'!$R1727*_xlfn.XLOOKUP('Banco de Dados'!$P1727,Sku!B:B,Sku!H:H)*20%),2)),'Banco de Dados'!$A1727="GO",ROUND(SUM('Banco de Dados'!$R1727*_xlfn.XLOOKUP('Banco de Dados'!$P1727,Sku!C:C,Sku!H:H)*20%),2),'Banco de Dados'!$A1727="MEI",ROUND(SUM('Banco de Dados'!$R1727*_xlfn.XLOOKUP('Banco de Dados'!$P1727,Sku!D:D,Sku!H:H)*20%),2)),0)</f>
        <v>0</v>
      </c>
      <c r="AN1727" s="109">
        <f ca="1">IF('Banco de Dados'!$AK1727&lt;&gt;"-",IF('Banco de Dados'!$F1727&lt;&gt;"-",_xlfn.XLOOKUP(IFERROR(IFERROR(IFERROR(VALUE(SUBSTITUTE(MID(_xlfn.TEXTAFTER('Banco de Dados'!$F1727,"Data do Pedido:
",1),1,10),"-","/")),VALUE(SUBSTITUTE(MID(_xlfn.TEXTAFTER('Banco de Dados'!$F1727,"Order date:
",1),1,10),"-","/"))),VALUE(SUBSTITUTE(MID(_xlfn.TEXTAFTER('Banco de Dados'!$F1727,"Fecha de pedido:
",1),1,10),"-","/"))),"-"),SMS!A:A,SMS!K:K),0),0)</f>
        <v>0</v>
      </c>
      <c r="AO1727" s="109">
        <f ca="1">IF('Banco de Dados'!$AK1727&lt;&gt;"-",IF('Banco de Dados'!$F1727&lt;&gt;"-",IFERROR(_xlfn.XLOOKUP(_xlfn.CONCAT('Banco de Dados'!$A1727,IFERROR(IFERROR(VALUE(SUBSTITUTE(MID(_xlfn.TEXTAFTER('Banco de Dados'!$F1727,"Data do Pedido:
",1),1,10),"-","/")),VALUE(SUBSTITUTE(MID(_xlfn.TEXTAFTER('Banco de Dados'!$F1727,"Order date:
",1),1,10),"-","/"))),0)),ProxyDD[Chave],ProxyDD[Valor por pedido]),PROXY!$P$2),0),0)</f>
        <v>0</v>
      </c>
      <c r="AP1727" s="28">
        <f ca="1">IF('Banco de Dados'!$AK1727&lt;&gt;"-",IF('Banco de Dados'!$AL1727="NÃO",IFERROR(VALUE(SUBSTITUTE(_xlfn.TEXTAFTER('Banco de Dados'!$F1727,"BRL ",1),".",",")),0),0),0)</f>
        <v>0</v>
      </c>
      <c r="AQ1727" s="28">
        <f ca="1">SUM('Banco de Dados'!$AM1727:$AP1727)</f>
        <v>0</v>
      </c>
      <c r="AR1727" s="8"/>
      <c r="AS1727" s="8"/>
      <c r="AT1727"/>
      <c r="AY1727" s="8"/>
    </row>
    <row r="1728" spans="1:51">
      <c r="A1728" s="5" t="str">
        <v>MEI</v>
      </c>
      <c r="B1728" s="5" t="str">
        <f ca="1"/>
        <v>MEI45806</v>
      </c>
      <c r="C1728" s="8" t="str">
        <v>Pedido 1715</v>
      </c>
      <c r="D1728" s="187">
        <v>45792</v>
      </c>
      <c r="E1728" s="9">
        <v>45806</v>
      </c>
      <c r="F1728" s="8" t="str">
        <v>PedidoF1620</v>
      </c>
      <c r="G1728" s="2" t="str">
        <v>CódRastreio1618</v>
      </c>
      <c r="H1728" s="5">
        <v>1</v>
      </c>
      <c r="I1728" s="182" t="str">
        <v>CPF 1674</v>
      </c>
      <c r="J1728" s="2" t="str">
        <v>Nome 1674</v>
      </c>
      <c r="K1728" s="8" t="str">
        <v>Tel 1674</v>
      </c>
      <c r="L1728" s="8" t="str">
        <v>Cep 1674</v>
      </c>
      <c r="M1728" s="8" t="str">
        <v>Rua 1674</v>
      </c>
      <c r="N1728" s="8" t="str">
        <v>Comp 1674</v>
      </c>
      <c r="O1728" s="8" t="str">
        <v>Ventilador Umidificador Preto</v>
      </c>
      <c r="P1728" s="8" t="str">
        <v>71-KHMZ-MLQW</v>
      </c>
      <c r="Q1728" s="4">
        <v>45813</v>
      </c>
      <c r="R1728" s="109">
        <v>49.99</v>
      </c>
      <c r="S1728" s="11">
        <f ca="1"/>
        <v>49.99</v>
      </c>
      <c r="T1728" s="28">
        <f ca="1"/>
        <v>5.4988999999999999</v>
      </c>
      <c r="U1728" s="11">
        <f ca="1"/>
        <v>44.49</v>
      </c>
      <c r="V1728" s="11">
        <v>36.72</v>
      </c>
      <c r="W1728" s="11">
        <f ca="1"/>
        <v>0</v>
      </c>
      <c r="X1728" s="11">
        <f ca="1"/>
        <v>0.39877104377104378</v>
      </c>
      <c r="Y1728" s="11">
        <v>0</v>
      </c>
      <c r="Z1728" s="11">
        <f ca="1"/>
        <v>7.3712289562289612</v>
      </c>
      <c r="AA1728" s="11">
        <f ca="1"/>
        <v>3.6856144781144806</v>
      </c>
      <c r="AB1728" s="4">
        <f ca="1"/>
        <v>45820</v>
      </c>
      <c r="AC1728" s="4">
        <v>45820</v>
      </c>
      <c r="AD1728" s="9">
        <v>45824</v>
      </c>
      <c r="AE1728" s="9">
        <v>45828</v>
      </c>
      <c r="AF1728" s="4" t="str">
        <f t="shared" ref="AF1728:AF1733" ca="1" si="120">_xlfn.CONCAT(PROPER(TEXT(AB1728,"aaaa"))," ",PROPER(TEXT(AB1728,"mm")))</f>
        <v>2025 06</v>
      </c>
      <c r="AG1728" s="8" t="str" cm="1">
        <f t="array" ref="AG1728">IFERROR(_xlfn.IFS('Banco de Dados'!#REF!="AG. COMPRA","Em processamento",'Banco de Dados'!#REF!="AG. RASTREIO","Em processamento",'Banco de Dados'!$AE1728&lt;&gt;"-","Faturado",'Banco de Dados'!$AD1728&lt;&gt;"-","Aguardando Pix",'Banco de Dados'!$AC1728&lt;&gt;"-","Pendente"),"Aguardando Liberação")</f>
        <v>Aguardando Liberação</v>
      </c>
      <c r="AH1728" s="5" t="str">
        <f>IF('Banco de Dados'!$F1728="-",_xlfn.CONCAT(PROPER(TEXT(AK1728,"aaaa"))," ",PROPER(TEXT(AK1728,"mm"))),_xlfn.CONCAT(PROPER(TEXT(E1728,"aaaa"))," ",PROPER(TEXT(E1728,"mm"))))</f>
        <v>2025 05</v>
      </c>
      <c r="AI1728" s="9" t="str">
        <f ca="1">IF('Banco de Dados'!$AK1728&lt;&gt;"-","REEMBOLSO",IFERROR(_xlfn.XLOOKUP(G1728,Follow[CODRASTREIO],Follow[STATUS]),"-"))</f>
        <v>ENTREGUE</v>
      </c>
      <c r="AJ1728" s="9">
        <f ca="1">IF('Banco de Dados'!$AI1728="ENTREGUE",_xlfn.XLOOKUP('Banco de Dados'!$G1728,Follow[CODRASTREIO],Follow[DATAATUALIZAÇÃO]),"-")</f>
        <v>45819</v>
      </c>
      <c r="AK1728" s="132" t="str">
        <f ca="1"/>
        <v>-</v>
      </c>
      <c r="AL1728" s="35"/>
      <c r="AM1728" s="109" cm="1">
        <f t="array" aca="1" ref="AM1728" ca="1">IF('Banco de Dados'!$AK1728&lt;&gt;"-",_xlfn.IFS('Banco de Dados'!$A1728="bv",IF('Banco de Dados'!$E1728&lt;45641,ROUND(SUM('Banco de Dados'!$R1728*_xlfn.XLOOKUP('Banco de Dados'!$P1728,Sku!B:B,Sku!#REF!)*20%),2),ROUND(SUM('Banco de Dados'!$R1728*_xlfn.XLOOKUP('Banco de Dados'!$P1728,Sku!B:B,Sku!H:H)*20%),2)),'Banco de Dados'!$A1728="GO",ROUND(SUM('Banco de Dados'!$R1728*_xlfn.XLOOKUP('Banco de Dados'!$P1728,Sku!C:C,Sku!H:H)*20%),2),'Banco de Dados'!$A1728="MEI",ROUND(SUM('Banco de Dados'!$R1728*_xlfn.XLOOKUP('Banco de Dados'!$P1728,Sku!D:D,Sku!H:H)*20%),2)),0)</f>
        <v>0</v>
      </c>
      <c r="AN1728" s="109">
        <v>0</v>
      </c>
      <c r="AO1728" s="109">
        <v>0</v>
      </c>
      <c r="AP1728" s="28">
        <f ca="1">IF('Banco de Dados'!$AK1728&lt;&gt;"-",IF('Banco de Dados'!$AL1728="NÃO",IFERROR(VALUE(SUBSTITUTE(_xlfn.TEXTAFTER('Banco de Dados'!$F1728,"BRL ",1),".",",")),0),0),0)</f>
        <v>0</v>
      </c>
      <c r="AQ1728" s="28">
        <f ca="1">SUM('Banco de Dados'!$AM1728:$AP1728)</f>
        <v>0</v>
      </c>
      <c r="AR1728" s="8"/>
      <c r="AS1728" s="8"/>
      <c r="AT1728"/>
      <c r="AY1728" s="8"/>
    </row>
    <row r="1729" spans="1:51" s="148" customFormat="1">
      <c r="A1729" s="189" t="str">
        <v>MEI</v>
      </c>
      <c r="B1729" s="5" t="str">
        <f ca="1"/>
        <v>MEI-</v>
      </c>
      <c r="C1729" s="148" t="str">
        <v>Pedido 1716</v>
      </c>
      <c r="D1729" s="190">
        <v>45792</v>
      </c>
      <c r="E1729" s="149" t="str">
        <v>-</v>
      </c>
      <c r="F1729" s="191" t="str">
        <v>-</v>
      </c>
      <c r="G1729" s="192" t="str">
        <v>-</v>
      </c>
      <c r="H1729" s="5">
        <v>1</v>
      </c>
      <c r="I1729" s="193" t="str">
        <v>CPF 1675</v>
      </c>
      <c r="J1729" s="192" t="str">
        <v>Nome 1675</v>
      </c>
      <c r="K1729" s="148" t="str">
        <v>Tel 1675</v>
      </c>
      <c r="L1729" s="148" t="str">
        <v>Cep 1675</v>
      </c>
      <c r="M1729" s="148" t="str">
        <v>Rua 1675</v>
      </c>
      <c r="N1729" s="148" t="str">
        <v>Comp 1675</v>
      </c>
      <c r="O1729" s="148" t="str">
        <v>Ventilador Umidificador Preto</v>
      </c>
      <c r="P1729" s="148" t="str">
        <v>71-KHMZ-MLQW</v>
      </c>
      <c r="Q1729" s="4">
        <v>45826</v>
      </c>
      <c r="R1729" s="150">
        <v>49.99</v>
      </c>
      <c r="S1729" s="11">
        <f ca="1"/>
        <v>0</v>
      </c>
      <c r="T1729" s="28">
        <f ca="1"/>
        <v>0</v>
      </c>
      <c r="U1729" s="194">
        <f ca="1"/>
        <v>0</v>
      </c>
      <c r="V1729" s="194">
        <v>0</v>
      </c>
      <c r="W1729" s="194">
        <f ca="1"/>
        <v>0</v>
      </c>
      <c r="X1729" s="194">
        <f ca="1"/>
        <v>0</v>
      </c>
      <c r="Y1729" s="11">
        <v>0</v>
      </c>
      <c r="Z1729" s="194">
        <f ca="1"/>
        <v>0</v>
      </c>
      <c r="AA1729" s="194">
        <f ca="1"/>
        <v>0</v>
      </c>
      <c r="AB1729" s="151">
        <f ca="1"/>
        <v>45833</v>
      </c>
      <c r="AC1729" s="4">
        <v>45833</v>
      </c>
      <c r="AD1729" s="9">
        <v>45838</v>
      </c>
      <c r="AE1729" s="9">
        <v>45839</v>
      </c>
      <c r="AF1729" s="151" t="str">
        <f t="shared" ca="1" si="120"/>
        <v>2025 06</v>
      </c>
      <c r="AG1729" s="148" t="str" cm="1">
        <f t="array" ref="AG1729">IFERROR(_xlfn.IFS('Banco de Dados'!#REF!="AG. COMPRA","Em processamento",'Banco de Dados'!#REF!="AG. RASTREIO","Em processamento",'Banco de Dados'!$AE1729&lt;&gt;"-","Faturado",'Banco de Dados'!$AD1729&lt;&gt;"-","Aguardando Pix",'Banco de Dados'!$AC1729&lt;&gt;"-","Pendente"),"Aguardando Liberação")</f>
        <v>Aguardando Liberação</v>
      </c>
      <c r="AH1729" s="189" t="str">
        <f ca="1">IF('Banco de Dados'!$F1729="-",_xlfn.CONCAT(PROPER(TEXT(AK1729,"aaaa"))," ",PROPER(TEXT(AK1729,"mm"))),_xlfn.CONCAT(PROPER(TEXT(E1729,"aaaa"))," ",PROPER(TEXT(E1729,"mm"))))</f>
        <v>2025 06</v>
      </c>
      <c r="AI1729" s="149" t="str">
        <f ca="1">IF('Banco de Dados'!$AK1729&lt;&gt;"-","REEMBOLSO",IFERROR(_xlfn.XLOOKUP(G1729,Follow[CODRASTREIO],Follow[STATUS]),"-"))</f>
        <v>REEMBOLSO</v>
      </c>
      <c r="AJ1729" s="149" t="str">
        <f ca="1">IF('Banco de Dados'!$AI1729="ENTREGUE",_xlfn.XLOOKUP('Banco de Dados'!$G1729,Follow[CODRASTREIO],Follow[DATAATUALIZAÇÃO]),"-")</f>
        <v>-</v>
      </c>
      <c r="AK1729" s="153">
        <f ca="1"/>
        <v>45833</v>
      </c>
      <c r="AL1729" s="154"/>
      <c r="AM1729" s="109" cm="1">
        <f t="array" aca="1" ref="AM1729" ca="1">IF('Banco de Dados'!$AK1729&lt;&gt;"-",_xlfn.IFS('Banco de Dados'!$A1729="bv",IF('Banco de Dados'!$E1729&lt;45641,ROUND(SUM('Banco de Dados'!$R1729*_xlfn.XLOOKUP('Banco de Dados'!$P1729,Sku!B:B,Sku!#REF!)*20%),2),ROUND(SUM('Banco de Dados'!$R1729*_xlfn.XLOOKUP('Banco de Dados'!$P1729,Sku!B:B,Sku!H:H)*20%),2)),'Banco de Dados'!$A1729="GO",ROUND(SUM('Banco de Dados'!$R1729*_xlfn.XLOOKUP('Banco de Dados'!$P1729,Sku!C:C,Sku!H:H)*20%),2),'Banco de Dados'!$A1729="MEI",ROUND(SUM('Banco de Dados'!$R1729*_xlfn.XLOOKUP('Banco de Dados'!$P1729,Sku!D:D,Sku!H:H)*20%),2)),0)</f>
        <v>1.4</v>
      </c>
      <c r="AN1729" s="150">
        <f ca="1">IF('Banco de Dados'!$AK1729&lt;&gt;"-",IF('Banco de Dados'!$F1729&lt;&gt;"-",_xlfn.XLOOKUP(IFERROR(IFERROR(IFERROR(VALUE(SUBSTITUTE(MID(_xlfn.TEXTAFTER('Banco de Dados'!$F1729,"Data do Pedido:
",1),1,10),"-","/")),VALUE(SUBSTITUTE(MID(_xlfn.TEXTAFTER('Banco de Dados'!$F1729,"Order date:
",1),1,10),"-","/"))),VALUE(SUBSTITUTE(MID(_xlfn.TEXTAFTER('Banco de Dados'!$F1729,"Fecha de pedido:
",1),1,10),"-","/"))),"-"),SMS!A:A,SMS!K:K),0),0)</f>
        <v>0</v>
      </c>
      <c r="AO1729" s="150">
        <f ca="1">IF('Banco de Dados'!$AK1729&lt;&gt;"-",IF('Banco de Dados'!$F1729&lt;&gt;"-",IFERROR(_xlfn.XLOOKUP(_xlfn.CONCAT('Banco de Dados'!$A1729,IFERROR(IFERROR(VALUE(SUBSTITUTE(MID(_xlfn.TEXTAFTER('Banco de Dados'!$F1729,"Data do Pedido:
",1),1,10),"-","/")),VALUE(SUBSTITUTE(MID(_xlfn.TEXTAFTER('Banco de Dados'!$F1729,"Order date:
",1),1,10),"-","/"))),0)),ProxyDD[Chave],ProxyDD[Valor por pedido]),PROXY!$P$2),0),0)</f>
        <v>0</v>
      </c>
      <c r="AP1729" s="152">
        <f ca="1">IF('Banco de Dados'!$AK1729&lt;&gt;"-",IF('Banco de Dados'!$AL1729="NÃO",IFERROR(VALUE(SUBSTITUTE(_xlfn.TEXTAFTER('Banco de Dados'!$F1729,"BRL ",1),".",",")),0),0),0)</f>
        <v>0</v>
      </c>
      <c r="AQ1729" s="152">
        <f ca="1">SUM('Banco de Dados'!$AM1729:$AP1729)</f>
        <v>1.4</v>
      </c>
      <c r="AT1729" s="195"/>
    </row>
    <row r="1730" spans="1:51">
      <c r="A1730" s="5" t="str">
        <v>MEI</v>
      </c>
      <c r="B1730" s="5" t="str">
        <f ca="1"/>
        <v>MEI45807</v>
      </c>
      <c r="C1730" s="8" t="str">
        <v>Pedido 1717</v>
      </c>
      <c r="D1730" s="187">
        <v>45792</v>
      </c>
      <c r="E1730" s="9">
        <v>45807</v>
      </c>
      <c r="F1730" s="8" t="str">
        <v>PedidoF1621</v>
      </c>
      <c r="G1730" s="2" t="str">
        <v>CódRastreio1619</v>
      </c>
      <c r="H1730" s="5">
        <v>1</v>
      </c>
      <c r="I1730" s="182" t="str">
        <v>CPF 1676</v>
      </c>
      <c r="J1730" s="2" t="str">
        <v>Nome 1676</v>
      </c>
      <c r="K1730" s="8" t="str">
        <v>Tel 1676</v>
      </c>
      <c r="L1730" s="8" t="str">
        <v>Cep 1676</v>
      </c>
      <c r="M1730" s="8" t="str">
        <v>Rua 1676</v>
      </c>
      <c r="N1730" s="8" t="str">
        <v>Comp 1676</v>
      </c>
      <c r="O1730" s="8" t="str">
        <v>Brinquedo Bola Giratória voadora</v>
      </c>
      <c r="P1730" s="8" t="str">
        <v>Z0-F6CI-18CL</v>
      </c>
      <c r="Q1730" s="4">
        <v>45826</v>
      </c>
      <c r="R1730" s="109">
        <v>39.47</v>
      </c>
      <c r="S1730" s="11">
        <f ca="1"/>
        <v>39.47</v>
      </c>
      <c r="T1730" s="28">
        <f ca="1"/>
        <v>4.7363999999999997</v>
      </c>
      <c r="U1730" s="11">
        <f ca="1"/>
        <v>34.729999999999997</v>
      </c>
      <c r="V1730" s="11">
        <v>33.119999999999997</v>
      </c>
      <c r="W1730" s="11">
        <f ca="1"/>
        <v>0</v>
      </c>
      <c r="X1730" s="11">
        <f ca="1"/>
        <v>0.39877104377104378</v>
      </c>
      <c r="Y1730" s="11">
        <v>0</v>
      </c>
      <c r="Z1730" s="11">
        <f ca="1"/>
        <v>1.2112289562289575</v>
      </c>
      <c r="AA1730" s="11">
        <f ca="1"/>
        <v>0.60561447811447877</v>
      </c>
      <c r="AB1730" s="4">
        <f ca="1"/>
        <v>45833</v>
      </c>
      <c r="AC1730" s="4">
        <v>45833</v>
      </c>
      <c r="AD1730" s="9">
        <v>45838</v>
      </c>
      <c r="AE1730" s="9">
        <v>45839</v>
      </c>
      <c r="AF1730" s="4" t="str">
        <f t="shared" ca="1" si="120"/>
        <v>2025 06</v>
      </c>
      <c r="AG1730" s="8" t="str" cm="1">
        <f t="array" ref="AG1730">IFERROR(_xlfn.IFS('Banco de Dados'!#REF!="AG. COMPRA","Em processamento",'Banco de Dados'!#REF!="AG. RASTREIO","Em processamento",'Banco de Dados'!$AE1730&lt;&gt;"-","Faturado",'Banco de Dados'!$AD1730&lt;&gt;"-","Aguardando Pix",'Banco de Dados'!$AC1730&lt;&gt;"-","Pendente"),"Aguardando Liberação")</f>
        <v>Aguardando Liberação</v>
      </c>
      <c r="AH1730" s="5" t="str">
        <f>IF('Banco de Dados'!$F1730="-",_xlfn.CONCAT(PROPER(TEXT(AK1730,"aaaa"))," ",PROPER(TEXT(AK1730,"mm"))),_xlfn.CONCAT(PROPER(TEXT(E1730,"aaaa"))," ",PROPER(TEXT(E1730,"mm"))))</f>
        <v>2025 05</v>
      </c>
      <c r="AI1730" s="9" t="str">
        <f ca="1">IF('Banco de Dados'!$AK1730&lt;&gt;"-","REEMBOLSO",IFERROR(_xlfn.XLOOKUP(G1730,Follow[CODRASTREIO],Follow[STATUS]),"-"))</f>
        <v>ENTREGUE</v>
      </c>
      <c r="AJ1730" s="9">
        <f ca="1">IF('Banco de Dados'!$AI1730="ENTREGUE",_xlfn.XLOOKUP('Banco de Dados'!$G1730,Follow[CODRASTREIO],Follow[DATAATUALIZAÇÃO]),"-")</f>
        <v>45817</v>
      </c>
      <c r="AK1730" s="132" t="str">
        <f ca="1"/>
        <v>-</v>
      </c>
      <c r="AL1730" s="35"/>
      <c r="AM1730" s="109" cm="1">
        <f t="array" aca="1" ref="AM1730" ca="1">IF('Banco de Dados'!$AK1730&lt;&gt;"-",_xlfn.IFS('Banco de Dados'!$A1730="bv",IF('Banco de Dados'!$E1730&lt;45641,ROUND(SUM('Banco de Dados'!$R1730*_xlfn.XLOOKUP('Banco de Dados'!$P1730,Sku!B:B,Sku!#REF!)*20%),2),ROUND(SUM('Banco de Dados'!$R1730*_xlfn.XLOOKUP('Banco de Dados'!$P1730,Sku!B:B,Sku!H:H)*20%),2)),'Banco de Dados'!$A1730="GO",ROUND(SUM('Banco de Dados'!$R1730*_xlfn.XLOOKUP('Banco de Dados'!$P1730,Sku!C:C,Sku!H:H)*20%),2),'Banco de Dados'!$A1730="MEI",ROUND(SUM('Banco de Dados'!$R1730*_xlfn.XLOOKUP('Banco de Dados'!$P1730,Sku!D:D,Sku!H:H)*20%),2)),0)</f>
        <v>0</v>
      </c>
      <c r="AN1730" s="109">
        <v>0</v>
      </c>
      <c r="AO1730" s="109">
        <v>0</v>
      </c>
      <c r="AP1730" s="28">
        <f ca="1">IF('Banco de Dados'!$AK1730&lt;&gt;"-",IF('Banco de Dados'!$AL1730="NÃO",IFERROR(VALUE(SUBSTITUTE(_xlfn.TEXTAFTER('Banco de Dados'!$F1730,"BRL ",1),".",",")),0),0),0)</f>
        <v>0</v>
      </c>
      <c r="AQ1730" s="28">
        <f ca="1">SUM('Banco de Dados'!$AM1730:$AP1730)</f>
        <v>0</v>
      </c>
      <c r="AR1730" s="8"/>
      <c r="AS1730" s="8"/>
      <c r="AT1730"/>
      <c r="AY1730" s="8"/>
    </row>
    <row r="1731" spans="1:51">
      <c r="A1731" s="5" t="str">
        <v>MEI</v>
      </c>
      <c r="B1731" s="5" t="str">
        <f ca="1"/>
        <v>MEI45797</v>
      </c>
      <c r="C1731" s="8" t="str">
        <v>Pedido 1718</v>
      </c>
      <c r="D1731" s="187">
        <v>45793</v>
      </c>
      <c r="E1731" s="9">
        <v>45797</v>
      </c>
      <c r="F1731" s="8" t="str">
        <v>PedidoF1622</v>
      </c>
      <c r="G1731" s="2" t="str">
        <v>CódRastreio1620</v>
      </c>
      <c r="H1731" s="5">
        <v>1</v>
      </c>
      <c r="I1731" s="182" t="str">
        <v>CPF 1677</v>
      </c>
      <c r="J1731" s="2" t="str">
        <v>Nome 1677</v>
      </c>
      <c r="K1731" s="8" t="str">
        <v>Tel 1677</v>
      </c>
      <c r="L1731" s="8" t="str">
        <v>Cep 1677</v>
      </c>
      <c r="M1731" s="8" t="str">
        <v>Rua 1677</v>
      </c>
      <c r="N1731" s="8" t="str">
        <v>Comp 1677</v>
      </c>
      <c r="O1731" s="8" t="str">
        <v>Garrafa Termica</v>
      </c>
      <c r="P1731" s="8" t="str">
        <v>LF-R6MC-WKWP</v>
      </c>
      <c r="Q1731" s="4">
        <v>45820</v>
      </c>
      <c r="R1731" s="109">
        <v>32.67</v>
      </c>
      <c r="S1731" s="11">
        <f ca="1"/>
        <v>0</v>
      </c>
      <c r="T1731" s="28">
        <f ca="1"/>
        <v>0</v>
      </c>
      <c r="U1731" s="11">
        <f ca="1"/>
        <v>0</v>
      </c>
      <c r="V1731" s="11">
        <v>0</v>
      </c>
      <c r="W1731" s="11">
        <f ca="1"/>
        <v>0</v>
      </c>
      <c r="X1731" s="11">
        <f ca="1"/>
        <v>0.39877104377104378</v>
      </c>
      <c r="Y1731" s="11">
        <v>0</v>
      </c>
      <c r="Z1731" s="11">
        <f ca="1"/>
        <v>-0.39877104377104378</v>
      </c>
      <c r="AA1731" s="11">
        <f ca="1"/>
        <v>-0.19938552188552189</v>
      </c>
      <c r="AB1731" s="4">
        <f ca="1"/>
        <v>45827</v>
      </c>
      <c r="AC1731" s="4">
        <v>45827</v>
      </c>
      <c r="AD1731" s="9">
        <v>45838</v>
      </c>
      <c r="AE1731" s="9">
        <v>45839</v>
      </c>
      <c r="AF1731" s="4" t="str">
        <f t="shared" ca="1" si="120"/>
        <v>2025 06</v>
      </c>
      <c r="AG1731" s="8" t="str" cm="1">
        <f t="array" ref="AG1731">IFERROR(_xlfn.IFS('Banco de Dados'!#REF!="AG. COMPRA","Em processamento",'Banco de Dados'!#REF!="AG. RASTREIO","Em processamento",'Banco de Dados'!$AE1731&lt;&gt;"-","Faturado",'Banco de Dados'!$AD1731&lt;&gt;"-","Aguardando Pix",'Banco de Dados'!$AC1731&lt;&gt;"-","Pendente"),"Aguardando Liberação")</f>
        <v>Aguardando Liberação</v>
      </c>
      <c r="AH1731" s="5" t="str">
        <f>IF('Banco de Dados'!$F1731="-",_xlfn.CONCAT(PROPER(TEXT(AK1731,"aaaa"))," ",PROPER(TEXT(AK1731,"mm"))),_xlfn.CONCAT(PROPER(TEXT(E1731,"aaaa"))," ",PROPER(TEXT(E1731,"mm"))))</f>
        <v>2025 05</v>
      </c>
      <c r="AI1731" s="9" t="str">
        <f ca="1">IF('Banco de Dados'!$AK1731&lt;&gt;"-","REEMBOLSO",IFERROR(_xlfn.XLOOKUP(G1731,Follow[CODRASTREIO],Follow[STATUS]),"-"))</f>
        <v>REEMBOLSO</v>
      </c>
      <c r="AJ1731" s="9" t="str">
        <f ca="1">IF('Banco de Dados'!$AI1731="ENTREGUE",_xlfn.XLOOKUP('Banco de Dados'!$G1731,Follow[CODRASTREIO],Follow[DATAATUALIZAÇÃO]),"-")</f>
        <v>-</v>
      </c>
      <c r="AK1731" s="132">
        <f ca="1"/>
        <v>45828</v>
      </c>
      <c r="AL1731" s="35"/>
      <c r="AM1731" s="109" cm="1">
        <f t="array" aca="1" ref="AM1731" ca="1">IF('Banco de Dados'!$AK1731&lt;&gt;"-",_xlfn.IFS('Banco de Dados'!$A1731="bv",IF('Banco de Dados'!$E1731&lt;45641,ROUND(SUM('Banco de Dados'!$R1731*_xlfn.XLOOKUP('Banco de Dados'!$P1731,Sku!B:B,Sku!#REF!)*20%),2),ROUND(SUM('Banco de Dados'!$R1731*_xlfn.XLOOKUP('Banco de Dados'!$P1731,Sku!B:B,Sku!H:H)*20%),2)),'Banco de Dados'!$A1731="GO",ROUND(SUM('Banco de Dados'!$R1731*_xlfn.XLOOKUP('Banco de Dados'!$P1731,Sku!C:C,Sku!H:H)*20%),2),'Banco de Dados'!$A1731="MEI",ROUND(SUM('Banco de Dados'!$R1731*_xlfn.XLOOKUP('Banco de Dados'!$P1731,Sku!D:D,Sku!H:H)*20%),2)),0)</f>
        <v>0.85</v>
      </c>
      <c r="AN1731" s="109" t="e">
        <f ca="1">IF('Banco de Dados'!$AK1731&lt;&gt;"-",IF('Banco de Dados'!$F1731&lt;&gt;"-",_xlfn.XLOOKUP(IFERROR(IFERROR(IFERROR(VALUE(SUBSTITUTE(MID(_xlfn.TEXTAFTER('Banco de Dados'!$F1731,"Data do Pedido:
",1),1,10),"-","/")),VALUE(SUBSTITUTE(MID(_xlfn.TEXTAFTER('Banco de Dados'!$F1731,"Order date:
",1),1,10),"-","/"))),VALUE(SUBSTITUTE(MID(_xlfn.TEXTAFTER('Banco de Dados'!$F1731,"Fecha de pedido:
",1),1,10),"-","/"))),"-"),SMS!A:A,SMS!K:K),0),0)</f>
        <v>#N/A</v>
      </c>
      <c r="AO1731" s="109">
        <f ca="1">IF('Banco de Dados'!$AK1731&lt;&gt;"-",IF('Banco de Dados'!$F1731&lt;&gt;"-",IFERROR(_xlfn.XLOOKUP(_xlfn.CONCAT('Banco de Dados'!$A1731,IFERROR(IFERROR(VALUE(SUBSTITUTE(MID(_xlfn.TEXTAFTER('Banco de Dados'!$F1731,"Data do Pedido:
",1),1,10),"-","/")),VALUE(SUBSTITUTE(MID(_xlfn.TEXTAFTER('Banco de Dados'!$F1731,"Order date:
",1),1,10),"-","/"))),0)),ProxyDD[Chave],ProxyDD[Valor por pedido]),PROXY!$P$2),0),0)</f>
        <v>0.39877104377104378</v>
      </c>
      <c r="AP1731" s="28">
        <f ca="1">IF('Banco de Dados'!$AK1731&lt;&gt;"-",IF('Banco de Dados'!$AL1731="NÃO",IFERROR(VALUE(SUBSTITUTE(_xlfn.TEXTAFTER('Banco de Dados'!$F1731,"BRL ",1),".",",")),0),0),0)</f>
        <v>0</v>
      </c>
      <c r="AQ1731" s="28" t="e">
        <f ca="1">SUM('Banco de Dados'!$AM1731:$AP1731)</f>
        <v>#N/A</v>
      </c>
      <c r="AR1731" s="8"/>
      <c r="AS1731" s="8"/>
      <c r="AT1731"/>
      <c r="AY1731" s="8"/>
    </row>
    <row r="1732" spans="1:51">
      <c r="A1732" s="5" t="str">
        <v>MEI</v>
      </c>
      <c r="B1732" s="5" t="str">
        <f ca="1"/>
        <v>MEI45803</v>
      </c>
      <c r="C1732" s="8" t="str">
        <v>Pedido 1719</v>
      </c>
      <c r="D1732" s="187">
        <v>45793</v>
      </c>
      <c r="E1732" s="9">
        <v>45803</v>
      </c>
      <c r="F1732" s="8" t="str">
        <v>PedidoF1623</v>
      </c>
      <c r="G1732" s="2" t="str">
        <v>CódRastreio1621</v>
      </c>
      <c r="H1732" s="5">
        <v>1</v>
      </c>
      <c r="I1732" s="182" t="str">
        <v>CPF 1678</v>
      </c>
      <c r="J1732" s="2" t="str">
        <v>Nome 1678</v>
      </c>
      <c r="K1732" s="8" t="str">
        <v>Tel 1678</v>
      </c>
      <c r="L1732" s="8" t="str">
        <v>Cep 1678</v>
      </c>
      <c r="M1732" s="8" t="str">
        <v>Rua 1678</v>
      </c>
      <c r="N1732" s="8" t="str">
        <v>Comp 1678</v>
      </c>
      <c r="O1732" s="8" t="str">
        <v>Hand Grip Fortalecedor</v>
      </c>
      <c r="P1732" s="8" t="str">
        <v>OV-P9KI-A5LS</v>
      </c>
      <c r="Q1732" s="4">
        <v>45820</v>
      </c>
      <c r="R1732" s="109">
        <v>26.99</v>
      </c>
      <c r="S1732" s="11">
        <f ca="1"/>
        <v>26.99</v>
      </c>
      <c r="T1732" s="28">
        <f ca="1"/>
        <v>3.2387999999999999</v>
      </c>
      <c r="U1732" s="11">
        <f ca="1"/>
        <v>23.75</v>
      </c>
      <c r="V1732" s="11">
        <v>12.49</v>
      </c>
      <c r="W1732" s="11">
        <f ca="1"/>
        <v>0</v>
      </c>
      <c r="X1732" s="11">
        <f ca="1"/>
        <v>0.39877104377104378</v>
      </c>
      <c r="Y1732" s="11">
        <v>0</v>
      </c>
      <c r="Z1732" s="11">
        <f ca="1"/>
        <v>10.861228956228956</v>
      </c>
      <c r="AA1732" s="11">
        <f ca="1"/>
        <v>5.4306144781144781</v>
      </c>
      <c r="AB1732" s="4">
        <f ca="1"/>
        <v>45827</v>
      </c>
      <c r="AC1732" s="4">
        <v>45827</v>
      </c>
      <c r="AD1732" s="9">
        <v>45838</v>
      </c>
      <c r="AE1732" s="9">
        <v>45839</v>
      </c>
      <c r="AF1732" s="4" t="str">
        <f t="shared" ca="1" si="120"/>
        <v>2025 06</v>
      </c>
      <c r="AG1732" s="8" t="str" cm="1">
        <f t="array" ref="AG1732">IFERROR(_xlfn.IFS('Banco de Dados'!#REF!="AG. COMPRA","Em processamento",'Banco de Dados'!#REF!="AG. RASTREIO","Em processamento",'Banco de Dados'!$AE1732&lt;&gt;"-","Faturado",'Banco de Dados'!$AD1732&lt;&gt;"-","Aguardando Pix",'Banco de Dados'!$AC1732&lt;&gt;"-","Pendente"),"Aguardando Liberação")</f>
        <v>Aguardando Liberação</v>
      </c>
      <c r="AH1732" s="5" t="str">
        <f>IF('Banco de Dados'!$F1732="-",_xlfn.CONCAT(PROPER(TEXT(AK1732,"aaaa"))," ",PROPER(TEXT(AK1732,"mm"))),_xlfn.CONCAT(PROPER(TEXT(E1732,"aaaa"))," ",PROPER(TEXT(E1732,"mm"))))</f>
        <v>2025 05</v>
      </c>
      <c r="AI1732" s="9" t="str">
        <f ca="1">IF('Banco de Dados'!$AK1732&lt;&gt;"-","REEMBOLSO",IFERROR(_xlfn.XLOOKUP(G1732,Follow[CODRASTREIO],Follow[STATUS]),"-"))</f>
        <v>ENTREGUE</v>
      </c>
      <c r="AJ1732" s="9">
        <f ca="1">IF('Banco de Dados'!$AI1732="ENTREGUE",_xlfn.XLOOKUP('Banco de Dados'!$G1732,Follow[CODRASTREIO],Follow[DATAATUALIZAÇÃO]),"-")</f>
        <v>45815</v>
      </c>
      <c r="AK1732" s="132" t="str">
        <f ca="1"/>
        <v>-</v>
      </c>
      <c r="AL1732" s="35"/>
      <c r="AM1732" s="109" cm="1">
        <f t="array" aca="1" ref="AM1732" ca="1">IF('Banco de Dados'!$AK1732&lt;&gt;"-",_xlfn.IFS('Banco de Dados'!$A1732="bv",IF('Banco de Dados'!$E1732&lt;45641,ROUND(SUM('Banco de Dados'!$R1732*_xlfn.XLOOKUP('Banco de Dados'!$P1732,Sku!B:B,Sku!#REF!)*20%),2),ROUND(SUM('Banco de Dados'!$R1732*_xlfn.XLOOKUP('Banco de Dados'!$P1732,Sku!B:B,Sku!H:H)*20%),2)),'Banco de Dados'!$A1732="GO",ROUND(SUM('Banco de Dados'!$R1732*_xlfn.XLOOKUP('Banco de Dados'!$P1732,Sku!C:C,Sku!H:H)*20%),2),'Banco de Dados'!$A1732="MEI",ROUND(SUM('Banco de Dados'!$R1732*_xlfn.XLOOKUP('Banco de Dados'!$P1732,Sku!D:D,Sku!H:H)*20%),2)),0)</f>
        <v>0</v>
      </c>
      <c r="AN1732" s="109">
        <f ca="1">IF('Banco de Dados'!$AK1732&lt;&gt;"-",IF('Banco de Dados'!$F1732&lt;&gt;"-",_xlfn.XLOOKUP(IFERROR(IFERROR(IFERROR(VALUE(SUBSTITUTE(MID(_xlfn.TEXTAFTER('Banco de Dados'!$F1732,"Data do Pedido:
",1),1,10),"-","/")),VALUE(SUBSTITUTE(MID(_xlfn.TEXTAFTER('Banco de Dados'!$F1732,"Order date:
",1),1,10),"-","/"))),VALUE(SUBSTITUTE(MID(_xlfn.TEXTAFTER('Banco de Dados'!$F1732,"Fecha de pedido:
",1),1,10),"-","/"))),"-"),SMS!A:A,SMS!K:K),0),0)</f>
        <v>0</v>
      </c>
      <c r="AO1732" s="109">
        <f ca="1">IF('Banco de Dados'!$AK1732&lt;&gt;"-",IF('Banco de Dados'!$F1732&lt;&gt;"-",IFERROR(_xlfn.XLOOKUP(_xlfn.CONCAT('Banco de Dados'!$A1732,IFERROR(IFERROR(VALUE(SUBSTITUTE(MID(_xlfn.TEXTAFTER('Banco de Dados'!$F1732,"Data do Pedido:
",1),1,10),"-","/")),VALUE(SUBSTITUTE(MID(_xlfn.TEXTAFTER('Banco de Dados'!$F1732,"Order date:
",1),1,10),"-","/"))),0)),ProxyDD[Chave],ProxyDD[Valor por pedido]),PROXY!$P$2),0),0)</f>
        <v>0</v>
      </c>
      <c r="AP1732" s="28">
        <f ca="1">IF('Banco de Dados'!$AK1732&lt;&gt;"-",IF('Banco de Dados'!$AL1732="NÃO",IFERROR(VALUE(SUBSTITUTE(_xlfn.TEXTAFTER('Banco de Dados'!$F1732,"BRL ",1),".",",")),0),0),0)</f>
        <v>0</v>
      </c>
      <c r="AQ1732" s="28">
        <f ca="1">SUM('Banco de Dados'!$AM1732:$AP1732)</f>
        <v>0</v>
      </c>
      <c r="AR1732" s="8"/>
      <c r="AS1732" s="8"/>
      <c r="AT1732"/>
      <c r="AY1732" s="8"/>
    </row>
    <row r="1733" spans="1:51">
      <c r="A1733" s="5" t="str">
        <v>GO</v>
      </c>
      <c r="B1733" s="5" t="str">
        <f ca="1"/>
        <v>GO-</v>
      </c>
      <c r="C1733" s="8" t="str">
        <v>Pedido 1720</v>
      </c>
      <c r="D1733" s="187">
        <v>45790</v>
      </c>
      <c r="E1733" s="9" t="str">
        <v>-</v>
      </c>
      <c r="F1733" s="8" t="str">
        <v>-</v>
      </c>
      <c r="G1733" s="2" t="str">
        <v>-</v>
      </c>
      <c r="H1733" s="5">
        <v>1</v>
      </c>
      <c r="I1733" s="182" t="str">
        <v>CPF 1679</v>
      </c>
      <c r="J1733" s="2" t="str">
        <v>Nome 1679</v>
      </c>
      <c r="K1733" s="8" t="str">
        <v>Tel 1679</v>
      </c>
      <c r="L1733" s="8" t="str">
        <v>Cep 1679</v>
      </c>
      <c r="M1733" s="8" t="str">
        <v>Rua 1679</v>
      </c>
      <c r="N1733" s="8" t="str">
        <v>Comp 1679</v>
      </c>
      <c r="O1733" s="8" t="str">
        <v>Ventilador Preto</v>
      </c>
      <c r="P1733" s="8" t="str">
        <v>EP-9PIR-BWXH</v>
      </c>
      <c r="Q1733" s="4">
        <v>45819</v>
      </c>
      <c r="R1733" s="109">
        <v>70.7</v>
      </c>
      <c r="S1733" s="11">
        <f ca="1"/>
        <v>0</v>
      </c>
      <c r="T1733" s="28">
        <f ca="1"/>
        <v>0</v>
      </c>
      <c r="U1733" s="11">
        <f ca="1"/>
        <v>0</v>
      </c>
      <c r="V1733" s="11">
        <v>0</v>
      </c>
      <c r="W1733" s="11">
        <f ca="1"/>
        <v>0</v>
      </c>
      <c r="X1733" s="11">
        <f ca="1"/>
        <v>0</v>
      </c>
      <c r="Y1733" s="11">
        <v>0</v>
      </c>
      <c r="Z1733" s="11">
        <f ca="1"/>
        <v>0</v>
      </c>
      <c r="AA1733" s="11">
        <f ca="1"/>
        <v>0</v>
      </c>
      <c r="AB1733" s="4">
        <f ca="1"/>
        <v>45826</v>
      </c>
      <c r="AC1733" s="4">
        <v>45826</v>
      </c>
      <c r="AD1733" s="9">
        <v>45838</v>
      </c>
      <c r="AE1733" s="9">
        <v>45839</v>
      </c>
      <c r="AF1733" s="4" t="str">
        <f t="shared" ca="1" si="120"/>
        <v>2025 06</v>
      </c>
      <c r="AG1733" s="8" t="str" cm="1">
        <f t="array" ref="AG1733">IFERROR(_xlfn.IFS('Banco de Dados'!#REF!="AG. COMPRA","Em processamento",'Banco de Dados'!#REF!="AG. RASTREIO","Em processamento",'Banco de Dados'!$AE1733&lt;&gt;"-","Faturado",'Banco de Dados'!$AD1733&lt;&gt;"-","Aguardando Pix",'Banco de Dados'!$AC1733&lt;&gt;"-","Pendente"),"Aguardando Liberação")</f>
        <v>Aguardando Liberação</v>
      </c>
      <c r="AH1733" s="5" t="str">
        <f ca="1">IF('Banco de Dados'!$F1733="-",_xlfn.CONCAT(PROPER(TEXT(AK1733,"aaaa"))," ",PROPER(TEXT(AK1733,"mm"))),_xlfn.CONCAT(PROPER(TEXT(E1733,"aaaa"))," ",PROPER(TEXT(E1733,"mm"))))</f>
        <v>2025 05</v>
      </c>
      <c r="AI1733" s="9" t="str">
        <f ca="1">IF('Banco de Dados'!$AK1733&lt;&gt;"-","REEMBOLSO",IFERROR(_xlfn.XLOOKUP(G1733,Follow[CODRASTREIO],Follow[STATUS]),"-"))</f>
        <v>REEMBOLSO</v>
      </c>
      <c r="AJ1733" s="9" t="str">
        <f ca="1">IF('Banco de Dados'!$AI1733="ENTREGUE",_xlfn.XLOOKUP('Banco de Dados'!$G1733,Follow[CODRASTREIO],Follow[DATAATUALIZAÇÃO]),"-")</f>
        <v>-</v>
      </c>
      <c r="AK1733" s="132">
        <f ca="1"/>
        <v>45796</v>
      </c>
      <c r="AL1733" s="35"/>
      <c r="AM1733" s="109" cm="1">
        <f t="array" aca="1" ref="AM1733" ca="1">IF('Banco de Dados'!$AK1733&lt;&gt;"-",_xlfn.IFS('Banco de Dados'!$A1733="bv",IF('Banco de Dados'!$E1733&lt;45641,ROUND(SUM('Banco de Dados'!$R1733*_xlfn.XLOOKUP('Banco de Dados'!$P1733,Sku!B:B,Sku!#REF!)*20%),2),ROUND(SUM('Banco de Dados'!$R1733*_xlfn.XLOOKUP('Banco de Dados'!$P1733,Sku!B:B,Sku!H:H)*20%),2)),'Banco de Dados'!$A1733="GO",ROUND(SUM('Banco de Dados'!$R1733*_xlfn.XLOOKUP('Banco de Dados'!$P1733,Sku!C:C,Sku!H:H)*20%),2),'Banco de Dados'!$A1733="MEI",ROUND(SUM('Banco de Dados'!$R1733*_xlfn.XLOOKUP('Banco de Dados'!$P1733,Sku!D:D,Sku!H:H)*20%),2)),0)</f>
        <v>1.84</v>
      </c>
      <c r="AN1733" s="109">
        <f ca="1">IF('Banco de Dados'!$AK1733&lt;&gt;"-",IF('Banco de Dados'!$F1733&lt;&gt;"-",_xlfn.XLOOKUP(IFERROR(IFERROR(IFERROR(VALUE(SUBSTITUTE(MID(_xlfn.TEXTAFTER('Banco de Dados'!$F1733,"Data do Pedido:
",1),1,10),"-","/")),VALUE(SUBSTITUTE(MID(_xlfn.TEXTAFTER('Banco de Dados'!$F1733,"Order date:
",1),1,10),"-","/"))),VALUE(SUBSTITUTE(MID(_xlfn.TEXTAFTER('Banco de Dados'!$F1733,"Fecha de pedido:
",1),1,10),"-","/"))),"-"),SMS!A:A,SMS!K:K),0),0)</f>
        <v>0</v>
      </c>
      <c r="AO1733" s="109">
        <f ca="1">IF('Banco de Dados'!$AK1733&lt;&gt;"-",IF('Banco de Dados'!$F1733&lt;&gt;"-",IFERROR(_xlfn.XLOOKUP(_xlfn.CONCAT('Banco de Dados'!$A1733,IFERROR(IFERROR(VALUE(SUBSTITUTE(MID(_xlfn.TEXTAFTER('Banco de Dados'!$F1733,"Data do Pedido:
",1),1,10),"-","/")),VALUE(SUBSTITUTE(MID(_xlfn.TEXTAFTER('Banco de Dados'!$F1733,"Order date:
",1),1,10),"-","/"))),0)),ProxyDD[Chave],ProxyDD[Valor por pedido]),PROXY!$P$2),0),0)</f>
        <v>0</v>
      </c>
      <c r="AP1733" s="28">
        <f ca="1">IF('Banco de Dados'!$AK1733&lt;&gt;"-",IF('Banco de Dados'!$AL1733="NÃO",IFERROR(VALUE(SUBSTITUTE(_xlfn.TEXTAFTER('Banco de Dados'!$F1733,"BRL ",1),".",",")),0),0),0)</f>
        <v>0</v>
      </c>
      <c r="AQ1733" s="28">
        <f ca="1">SUM('Banco de Dados'!$AM1733:$AP1733)</f>
        <v>1.84</v>
      </c>
      <c r="AR1733" s="8"/>
      <c r="AS1733" s="8"/>
      <c r="AT1733"/>
      <c r="AY1733" s="8"/>
    </row>
    <row r="1734" spans="1:51">
      <c r="A1734" s="5" t="str">
        <v>MEI</v>
      </c>
      <c r="B1734" s="5" t="str">
        <f ca="1"/>
        <v>MEI45803</v>
      </c>
      <c r="C1734" s="8" t="str">
        <v>Pedido 1721</v>
      </c>
      <c r="D1734" s="187">
        <v>45794</v>
      </c>
      <c r="E1734" s="9">
        <v>45803</v>
      </c>
      <c r="F1734" s="8" t="str">
        <v>PedidoF1624</v>
      </c>
      <c r="G1734" s="2" t="str">
        <v>CódRastreio1622</v>
      </c>
      <c r="H1734" s="5">
        <v>1</v>
      </c>
      <c r="I1734" s="182" t="str">
        <v>CPF 1680</v>
      </c>
      <c r="J1734" s="2" t="str">
        <v>Nome 1680</v>
      </c>
      <c r="K1734" s="8" t="str">
        <v>Tel 1680</v>
      </c>
      <c r="L1734" s="8" t="str">
        <v>Cep 1680</v>
      </c>
      <c r="M1734" s="8" t="str">
        <v>Rua 1680</v>
      </c>
      <c r="N1734" s="8" t="str">
        <v>Comp 1680</v>
      </c>
      <c r="O1734" s="8" t="str">
        <v>Brinquedo Bola Giratória voadora</v>
      </c>
      <c r="P1734" s="8" t="str">
        <v>Z0-F6CI-18CL</v>
      </c>
      <c r="Q1734" s="4">
        <v>45814</v>
      </c>
      <c r="R1734" s="109">
        <v>39.47</v>
      </c>
      <c r="S1734" s="11">
        <f ca="1"/>
        <v>39.47</v>
      </c>
      <c r="T1734" s="28">
        <f ca="1"/>
        <v>4.7363999999999997</v>
      </c>
      <c r="U1734" s="11">
        <f ca="1"/>
        <v>34.729999999999997</v>
      </c>
      <c r="V1734" s="11">
        <v>30.99</v>
      </c>
      <c r="W1734" s="11">
        <f ca="1"/>
        <v>0</v>
      </c>
      <c r="X1734" s="11">
        <f ca="1"/>
        <v>0.39877104377104378</v>
      </c>
      <c r="Y1734" s="11">
        <v>0</v>
      </c>
      <c r="Z1734" s="11">
        <f ca="1"/>
        <v>3.341228956228953</v>
      </c>
      <c r="AA1734" s="11">
        <f ca="1"/>
        <v>1.6706144781144765</v>
      </c>
      <c r="AB1734" s="4">
        <f ca="1"/>
        <v>45821</v>
      </c>
      <c r="AC1734" s="4">
        <v>45821</v>
      </c>
      <c r="AD1734" s="9">
        <v>45824</v>
      </c>
      <c r="AE1734" s="9">
        <v>45828</v>
      </c>
      <c r="AF1734" s="4" t="str">
        <f t="shared" ref="AF1734:AF1745" ca="1" si="121">_xlfn.CONCAT(PROPER(TEXT(AB1734,"aaaa"))," ",PROPER(TEXT(AB1734,"mm")))</f>
        <v>2025 06</v>
      </c>
      <c r="AG1734" s="8" t="str" cm="1">
        <f t="array" ref="AG1734">IFERROR(_xlfn.IFS('Banco de Dados'!#REF!="AG. COMPRA","Em processamento",'Banco de Dados'!#REF!="AG. RASTREIO","Em processamento",'Banco de Dados'!$AE1734&lt;&gt;"-","Faturado",'Banco de Dados'!$AD1734&lt;&gt;"-","Aguardando Pix",'Banco de Dados'!$AC1734&lt;&gt;"-","Pendente"),"Aguardando Liberação")</f>
        <v>Aguardando Liberação</v>
      </c>
      <c r="AH1734" s="5" t="str">
        <f>IF('Banco de Dados'!$F1734="-",_xlfn.CONCAT(PROPER(TEXT(AK1734,"aaaa"))," ",PROPER(TEXT(AK1734,"mm"))),_xlfn.CONCAT(PROPER(TEXT(E1734,"aaaa"))," ",PROPER(TEXT(E1734,"mm"))))</f>
        <v>2025 05</v>
      </c>
      <c r="AI1734" s="9" t="str">
        <f ca="1">IF('Banco de Dados'!$AK1734&lt;&gt;"-","REEMBOLSO",IFERROR(_xlfn.XLOOKUP(G1734,Follow[CODRASTREIO],Follow[STATUS]),"-"))</f>
        <v>ENTREGUE</v>
      </c>
      <c r="AJ1734" s="9">
        <f ca="1">IF('Banco de Dados'!$AI1734="ENTREGUE",_xlfn.XLOOKUP('Banco de Dados'!$G1734,Follow[CODRASTREIO],Follow[DATAATUALIZAÇÃO]),"-")</f>
        <v>45806</v>
      </c>
      <c r="AK1734" s="132" t="str">
        <f ca="1"/>
        <v>-</v>
      </c>
      <c r="AL1734" s="35"/>
      <c r="AM1734" s="109" cm="1">
        <f t="array" aca="1" ref="AM1734" ca="1">IF('Banco de Dados'!$AK1734&lt;&gt;"-",_xlfn.IFS('Banco de Dados'!$A1734="bv",IF('Banco de Dados'!$E1734&lt;45641,ROUND(SUM('Banco de Dados'!$R1734*_xlfn.XLOOKUP('Banco de Dados'!$P1734,Sku!B:B,Sku!#REF!)*20%),2),ROUND(SUM('Banco de Dados'!$R1734*_xlfn.XLOOKUP('Banco de Dados'!$P1734,Sku!B:B,Sku!H:H)*20%),2)),'Banco de Dados'!$A1734="GO",ROUND(SUM('Banco de Dados'!$R1734*_xlfn.XLOOKUP('Banco de Dados'!$P1734,Sku!C:C,Sku!H:H)*20%),2),'Banco de Dados'!$A1734="MEI",ROUND(SUM('Banco de Dados'!$R1734*_xlfn.XLOOKUP('Banco de Dados'!$P1734,Sku!D:D,Sku!H:H)*20%),2)),0)</f>
        <v>0</v>
      </c>
      <c r="AN1734" s="109">
        <f ca="1">IF('Banco de Dados'!$AK1734&lt;&gt;"-",IF('Banco de Dados'!$F1734&lt;&gt;"-",_xlfn.XLOOKUP(IFERROR(IFERROR(IFERROR(VALUE(SUBSTITUTE(MID(_xlfn.TEXTAFTER('Banco de Dados'!$F1734,"Data do Pedido:
",1),1,10),"-","/")),VALUE(SUBSTITUTE(MID(_xlfn.TEXTAFTER('Banco de Dados'!$F1734,"Order date:
",1),1,10),"-","/"))),VALUE(SUBSTITUTE(MID(_xlfn.TEXTAFTER('Banco de Dados'!$F1734,"Fecha de pedido:
",1),1,10),"-","/"))),"-"),SMS!A:A,SMS!K:K),0),0)</f>
        <v>0</v>
      </c>
      <c r="AO1734" s="109">
        <f ca="1">IF('Banco de Dados'!$AK1734&lt;&gt;"-",IF('Banco de Dados'!$F1734&lt;&gt;"-",IFERROR(_xlfn.XLOOKUP(_xlfn.CONCAT('Banco de Dados'!$A1734,IFERROR(IFERROR(VALUE(SUBSTITUTE(MID(_xlfn.TEXTAFTER('Banco de Dados'!$F1734,"Data do Pedido:
",1),1,10),"-","/")),VALUE(SUBSTITUTE(MID(_xlfn.TEXTAFTER('Banco de Dados'!$F1734,"Order date:
",1),1,10),"-","/"))),0)),ProxyDD[Chave],ProxyDD[Valor por pedido]),PROXY!$P$2),0),0)</f>
        <v>0</v>
      </c>
      <c r="AP1734" s="28">
        <f ca="1">IF('Banco de Dados'!$AK1734&lt;&gt;"-",IF('Banco de Dados'!$AL1734="NÃO",IFERROR(VALUE(SUBSTITUTE(_xlfn.TEXTAFTER('Banco de Dados'!$F1734,"BRL ",1),".",",")),0),0),0)</f>
        <v>0</v>
      </c>
      <c r="AQ1734" s="28">
        <f ca="1">SUM('Banco de Dados'!$AM1734:$AP1734)</f>
        <v>0</v>
      </c>
      <c r="AR1734" s="8"/>
      <c r="AS1734" s="8"/>
      <c r="AT1734"/>
      <c r="AY1734" s="8"/>
    </row>
    <row r="1735" spans="1:51">
      <c r="A1735" s="5" t="str">
        <v>MEI</v>
      </c>
      <c r="B1735" s="5" t="str">
        <f ca="1"/>
        <v>MEI45803</v>
      </c>
      <c r="C1735" s="8" t="str">
        <v>Pedido 1722</v>
      </c>
      <c r="D1735" s="187">
        <v>45794</v>
      </c>
      <c r="E1735" s="9">
        <v>45803</v>
      </c>
      <c r="F1735" s="8" t="str">
        <v>PedidoF1624</v>
      </c>
      <c r="G1735" s="2" t="str">
        <v>CódRastreio1622</v>
      </c>
      <c r="H1735" s="5">
        <v>1</v>
      </c>
      <c r="I1735" s="182" t="str">
        <v>CPF 1680</v>
      </c>
      <c r="J1735" s="2" t="str">
        <v>Nome 1680</v>
      </c>
      <c r="K1735" s="8" t="str">
        <v>Tel 1680</v>
      </c>
      <c r="L1735" s="8" t="str">
        <v>Cep 1680</v>
      </c>
      <c r="M1735" s="8" t="str">
        <v>Rua 1680</v>
      </c>
      <c r="N1735" s="8" t="str">
        <v>Comp 1680</v>
      </c>
      <c r="O1735" s="8" t="str">
        <v>Brinquedo Bola Giratória voadora</v>
      </c>
      <c r="P1735" s="8" t="str">
        <v>Z0-F6CI-18CL</v>
      </c>
      <c r="Q1735" s="4">
        <v>45814</v>
      </c>
      <c r="R1735" s="109">
        <v>39.47</v>
      </c>
      <c r="S1735" s="11">
        <f ca="1"/>
        <v>39.47</v>
      </c>
      <c r="T1735" s="28">
        <f ca="1"/>
        <v>4.7363999999999997</v>
      </c>
      <c r="U1735" s="11">
        <f ca="1"/>
        <v>34.729999999999997</v>
      </c>
      <c r="V1735" s="11">
        <v>30.99</v>
      </c>
      <c r="W1735" s="11">
        <f ca="1"/>
        <v>0</v>
      </c>
      <c r="X1735" s="11">
        <f ca="1"/>
        <v>0.39877104377104378</v>
      </c>
      <c r="Y1735" s="11">
        <v>0</v>
      </c>
      <c r="Z1735" s="11">
        <f ca="1"/>
        <v>3.341228956228953</v>
      </c>
      <c r="AA1735" s="11">
        <f ca="1"/>
        <v>1.6706144781144765</v>
      </c>
      <c r="AB1735" s="4">
        <f ca="1"/>
        <v>45821</v>
      </c>
      <c r="AC1735" s="4">
        <v>45821</v>
      </c>
      <c r="AD1735" s="9">
        <v>45824</v>
      </c>
      <c r="AE1735" s="9">
        <v>45828</v>
      </c>
      <c r="AF1735" s="4" t="str">
        <f t="shared" ca="1" si="121"/>
        <v>2025 06</v>
      </c>
      <c r="AG1735" s="8" t="str" cm="1">
        <f t="array" ref="AG1735">IFERROR(_xlfn.IFS('Banco de Dados'!#REF!="AG. COMPRA","Em processamento",'Banco de Dados'!#REF!="AG. RASTREIO","Em processamento",'Banco de Dados'!$AE1735&lt;&gt;"-","Faturado",'Banco de Dados'!$AD1735&lt;&gt;"-","Aguardando Pix",'Banco de Dados'!$AC1735&lt;&gt;"-","Pendente"),"Aguardando Liberação")</f>
        <v>Aguardando Liberação</v>
      </c>
      <c r="AH1735" s="5" t="str">
        <f>IF('Banco de Dados'!$F1735="-",_xlfn.CONCAT(PROPER(TEXT(AK1735,"aaaa"))," ",PROPER(TEXT(AK1735,"mm"))),_xlfn.CONCAT(PROPER(TEXT(E1735,"aaaa"))," ",PROPER(TEXT(E1735,"mm"))))</f>
        <v>2025 05</v>
      </c>
      <c r="AI1735" s="9" t="str">
        <f ca="1">IF('Banco de Dados'!$AK1735&lt;&gt;"-","REEMBOLSO",IFERROR(_xlfn.XLOOKUP(G1735,Follow[CODRASTREIO],Follow[STATUS]),"-"))</f>
        <v>ENTREGUE</v>
      </c>
      <c r="AJ1735" s="9">
        <f ca="1">IF('Banco de Dados'!$AI1735="ENTREGUE",_xlfn.XLOOKUP('Banco de Dados'!$G1735,Follow[CODRASTREIO],Follow[DATAATUALIZAÇÃO]),"-")</f>
        <v>45806</v>
      </c>
      <c r="AK1735" s="132" t="str">
        <f ca="1"/>
        <v>-</v>
      </c>
      <c r="AL1735" s="35"/>
      <c r="AM1735" s="109" cm="1">
        <f t="array" aca="1" ref="AM1735" ca="1">IF('Banco de Dados'!$AK1735&lt;&gt;"-",_xlfn.IFS('Banco de Dados'!$A1735="bv",IF('Banco de Dados'!$E1735&lt;45641,ROUND(SUM('Banco de Dados'!$R1735*_xlfn.XLOOKUP('Banco de Dados'!$P1735,Sku!B:B,Sku!#REF!)*20%),2),ROUND(SUM('Banco de Dados'!$R1735*_xlfn.XLOOKUP('Banco de Dados'!$P1735,Sku!B:B,Sku!H:H)*20%),2)),'Banco de Dados'!$A1735="GO",ROUND(SUM('Banco de Dados'!$R1735*_xlfn.XLOOKUP('Banco de Dados'!$P1735,Sku!C:C,Sku!H:H)*20%),2),'Banco de Dados'!$A1735="MEI",ROUND(SUM('Banco de Dados'!$R1735*_xlfn.XLOOKUP('Banco de Dados'!$P1735,Sku!D:D,Sku!H:H)*20%),2)),0)</f>
        <v>0</v>
      </c>
      <c r="AN1735" s="109">
        <f ca="1">IF('Banco de Dados'!$AK1735&lt;&gt;"-",IF('Banco de Dados'!$F1735&lt;&gt;"-",_xlfn.XLOOKUP(IFERROR(IFERROR(IFERROR(VALUE(SUBSTITUTE(MID(_xlfn.TEXTAFTER('Banco de Dados'!$F1735,"Data do Pedido:
",1),1,10),"-","/")),VALUE(SUBSTITUTE(MID(_xlfn.TEXTAFTER('Banco de Dados'!$F1735,"Order date:
",1),1,10),"-","/"))),VALUE(SUBSTITUTE(MID(_xlfn.TEXTAFTER('Banco de Dados'!$F1735,"Fecha de pedido:
",1),1,10),"-","/"))),"-"),SMS!A:A,SMS!K:K),0),0)</f>
        <v>0</v>
      </c>
      <c r="AO1735" s="109">
        <f ca="1">IF('Banco de Dados'!$AK1735&lt;&gt;"-",IF('Banco de Dados'!$F1735&lt;&gt;"-",IFERROR(_xlfn.XLOOKUP(_xlfn.CONCAT('Banco de Dados'!$A1735,IFERROR(IFERROR(VALUE(SUBSTITUTE(MID(_xlfn.TEXTAFTER('Banco de Dados'!$F1735,"Data do Pedido:
",1),1,10),"-","/")),VALUE(SUBSTITUTE(MID(_xlfn.TEXTAFTER('Banco de Dados'!$F1735,"Order date:
",1),1,10),"-","/"))),0)),ProxyDD[Chave],ProxyDD[Valor por pedido]),PROXY!$P$2),0),0)</f>
        <v>0</v>
      </c>
      <c r="AP1735" s="28">
        <f ca="1">IF('Banco de Dados'!$AK1735&lt;&gt;"-",IF('Banco de Dados'!$AL1735="NÃO",IFERROR(VALUE(SUBSTITUTE(_xlfn.TEXTAFTER('Banco de Dados'!$F1735,"BRL ",1),".",",")),0),0),0)</f>
        <v>0</v>
      </c>
      <c r="AQ1735" s="28">
        <f ca="1">SUM('Banco de Dados'!$AM1735:$AP1735)</f>
        <v>0</v>
      </c>
      <c r="AR1735" s="8"/>
      <c r="AS1735" s="8"/>
      <c r="AT1735"/>
      <c r="AY1735" s="8"/>
    </row>
    <row r="1736" spans="1:51">
      <c r="A1736" s="5" t="str">
        <v>MEI</v>
      </c>
      <c r="B1736" s="5" t="str">
        <f ca="1"/>
        <v>MEI45803</v>
      </c>
      <c r="C1736" s="8" t="str">
        <v>Pedido 1723</v>
      </c>
      <c r="D1736" s="187">
        <v>45794</v>
      </c>
      <c r="E1736" s="9">
        <v>45803</v>
      </c>
      <c r="F1736" s="8" t="str">
        <v>PedidoF1625</v>
      </c>
      <c r="G1736" s="2" t="str">
        <v>CódRastreio1623</v>
      </c>
      <c r="H1736" s="5">
        <v>1</v>
      </c>
      <c r="I1736" s="182" t="str">
        <v>CPF 1681</v>
      </c>
      <c r="J1736" s="2" t="str">
        <v>Nome 1681</v>
      </c>
      <c r="K1736" s="8" t="str">
        <v>Tel 1681</v>
      </c>
      <c r="L1736" s="8" t="str">
        <v>Cep 1681</v>
      </c>
      <c r="M1736" s="8" t="str">
        <v>Rua 1681</v>
      </c>
      <c r="N1736" s="8" t="str">
        <v>Comp 1681</v>
      </c>
      <c r="O1736" s="8" t="str">
        <v>Ventilador Rosa</v>
      </c>
      <c r="P1736" s="8" t="str">
        <v>WR-82Y0-OV27</v>
      </c>
      <c r="Q1736" s="4">
        <v>45820</v>
      </c>
      <c r="R1736" s="109">
        <v>54</v>
      </c>
      <c r="S1736" s="11">
        <f ca="1"/>
        <v>54</v>
      </c>
      <c r="T1736" s="28">
        <f ca="1"/>
        <v>6.4799999999999995</v>
      </c>
      <c r="U1736" s="11">
        <f ca="1"/>
        <v>47.52</v>
      </c>
      <c r="V1736" s="11">
        <v>38.799999999999997</v>
      </c>
      <c r="W1736" s="11">
        <f ca="1"/>
        <v>0</v>
      </c>
      <c r="X1736" s="11">
        <f ca="1"/>
        <v>0.39877104377104378</v>
      </c>
      <c r="Y1736" s="11">
        <v>0</v>
      </c>
      <c r="Z1736" s="11">
        <f ca="1"/>
        <v>8.3212289562289641</v>
      </c>
      <c r="AA1736" s="11">
        <f ca="1"/>
        <v>4.160614478114482</v>
      </c>
      <c r="AB1736" s="4">
        <f ca="1"/>
        <v>45827</v>
      </c>
      <c r="AC1736" s="4">
        <v>45827</v>
      </c>
      <c r="AD1736" s="9">
        <v>45838</v>
      </c>
      <c r="AE1736" s="9">
        <v>45839</v>
      </c>
      <c r="AF1736" s="4" t="str">
        <f t="shared" ca="1" si="121"/>
        <v>2025 06</v>
      </c>
      <c r="AG1736" s="8" t="str" cm="1">
        <f t="array" ref="AG1736">IFERROR(_xlfn.IFS('Banco de Dados'!#REF!="AG. COMPRA","Em processamento",'Banco de Dados'!#REF!="AG. RASTREIO","Em processamento",'Banco de Dados'!$AE1736&lt;&gt;"-","Faturado",'Banco de Dados'!$AD1736&lt;&gt;"-","Aguardando Pix",'Banco de Dados'!$AC1736&lt;&gt;"-","Pendente"),"Aguardando Liberação")</f>
        <v>Aguardando Liberação</v>
      </c>
      <c r="AH1736" s="5" t="str">
        <f>IF('Banco de Dados'!$F1736="-",_xlfn.CONCAT(PROPER(TEXT(AK1736,"aaaa"))," ",PROPER(TEXT(AK1736,"mm"))),_xlfn.CONCAT(PROPER(TEXT(E1736,"aaaa"))," ",PROPER(TEXT(E1736,"mm"))))</f>
        <v>2025 05</v>
      </c>
      <c r="AI1736" s="9" t="str">
        <f ca="1">IF('Banco de Dados'!$AK1736&lt;&gt;"-","REEMBOLSO",IFERROR(_xlfn.XLOOKUP(G1736,Follow[CODRASTREIO],Follow[STATUS]),"-"))</f>
        <v>RETORNANDO</v>
      </c>
      <c r="AJ1736" s="9" t="str">
        <f ca="1">IF('Banco de Dados'!$AI1736="ENTREGUE",_xlfn.XLOOKUP('Banco de Dados'!$G1736,Follow[CODRASTREIO],Follow[DATAATUALIZAÇÃO]),"-")</f>
        <v>-</v>
      </c>
      <c r="AK1736" s="132" t="str">
        <f ca="1"/>
        <v>-</v>
      </c>
      <c r="AL1736" s="35"/>
      <c r="AM1736" s="109" cm="1">
        <f t="array" aca="1" ref="AM1736" ca="1">IF('Banco de Dados'!$AK1736&lt;&gt;"-",_xlfn.IFS('Banco de Dados'!$A1736="bv",IF('Banco de Dados'!$E1736&lt;45641,ROUND(SUM('Banco de Dados'!$R1736*_xlfn.XLOOKUP('Banco de Dados'!$P1736,Sku!B:B,Sku!#REF!)*20%),2),ROUND(SUM('Banco de Dados'!$R1736*_xlfn.XLOOKUP('Banco de Dados'!$P1736,Sku!B:B,Sku!H:H)*20%),2)),'Banco de Dados'!$A1736="GO",ROUND(SUM('Banco de Dados'!$R1736*_xlfn.XLOOKUP('Banco de Dados'!$P1736,Sku!C:C,Sku!H:H)*20%),2),'Banco de Dados'!$A1736="MEI",ROUND(SUM('Banco de Dados'!$R1736*_xlfn.XLOOKUP('Banco de Dados'!$P1736,Sku!D:D,Sku!H:H)*20%),2)),0)</f>
        <v>0</v>
      </c>
      <c r="AN1736" s="109">
        <f ca="1">IF('Banco de Dados'!$AK1736&lt;&gt;"-",IF('Banco de Dados'!$F1736&lt;&gt;"-",_xlfn.XLOOKUP(IFERROR(IFERROR(IFERROR(VALUE(SUBSTITUTE(MID(_xlfn.TEXTAFTER('Banco de Dados'!$F1736,"Data do Pedido:
",1),1,10),"-","/")),VALUE(SUBSTITUTE(MID(_xlfn.TEXTAFTER('Banco de Dados'!$F1736,"Order date:
",1),1,10),"-","/"))),VALUE(SUBSTITUTE(MID(_xlfn.TEXTAFTER('Banco de Dados'!$F1736,"Fecha de pedido:
",1),1,10),"-","/"))),"-"),SMS!A:A,SMS!K:K),0),0)</f>
        <v>0</v>
      </c>
      <c r="AO1736" s="109">
        <f ca="1">IF('Banco de Dados'!$AK1736&lt;&gt;"-",IF('Banco de Dados'!$F1736&lt;&gt;"-",IFERROR(_xlfn.XLOOKUP(_xlfn.CONCAT('Banco de Dados'!$A1736,IFERROR(IFERROR(VALUE(SUBSTITUTE(MID(_xlfn.TEXTAFTER('Banco de Dados'!$F1736,"Data do Pedido:
",1),1,10),"-","/")),VALUE(SUBSTITUTE(MID(_xlfn.TEXTAFTER('Banco de Dados'!$F1736,"Order date:
",1),1,10),"-","/"))),0)),ProxyDD[Chave],ProxyDD[Valor por pedido]),PROXY!$P$2),0),0)</f>
        <v>0</v>
      </c>
      <c r="AP1736" s="28">
        <f ca="1">IF('Banco de Dados'!$AK1736&lt;&gt;"-",IF('Banco de Dados'!$AL1736="NÃO",IFERROR(VALUE(SUBSTITUTE(_xlfn.TEXTAFTER('Banco de Dados'!$F1736,"BRL ",1),".",",")),0),0),0)</f>
        <v>0</v>
      </c>
      <c r="AQ1736" s="28">
        <f ca="1">SUM('Banco de Dados'!$AM1736:$AP1736)</f>
        <v>0</v>
      </c>
      <c r="AR1736" s="8"/>
      <c r="AS1736" s="8"/>
      <c r="AT1736"/>
      <c r="AY1736" s="8"/>
    </row>
    <row r="1737" spans="1:51">
      <c r="A1737" s="5" t="str">
        <v>MEI</v>
      </c>
      <c r="B1737" s="5" t="str">
        <f ca="1"/>
        <v>MEI45803</v>
      </c>
      <c r="C1737" s="8" t="str">
        <v>Pedido 1724</v>
      </c>
      <c r="D1737" s="187">
        <v>45793</v>
      </c>
      <c r="E1737" s="9">
        <v>45803</v>
      </c>
      <c r="F1737" s="8" t="str">
        <v>PedidoF1626</v>
      </c>
      <c r="G1737" s="2" t="str">
        <v>CódRastreio1624</v>
      </c>
      <c r="H1737" s="5">
        <v>1</v>
      </c>
      <c r="I1737" s="182" t="str">
        <v>CPF 1682</v>
      </c>
      <c r="J1737" s="2" t="str">
        <v>Nome 1682</v>
      </c>
      <c r="K1737" s="8" t="str">
        <v>Tel 1682</v>
      </c>
      <c r="L1737" s="8" t="str">
        <v>Cep 1682</v>
      </c>
      <c r="M1737" s="8" t="str">
        <v>Rua 1682</v>
      </c>
      <c r="N1737" s="8" t="str">
        <v>Comp 1682</v>
      </c>
      <c r="O1737" s="8" t="str">
        <v>Ventilador Preto</v>
      </c>
      <c r="P1737" s="8" t="str">
        <v>WU-SS4J-LFOH</v>
      </c>
      <c r="Q1737" s="4">
        <v>45814</v>
      </c>
      <c r="R1737" s="109">
        <v>65.7</v>
      </c>
      <c r="S1737" s="11">
        <f ca="1"/>
        <v>65.7</v>
      </c>
      <c r="T1737" s="28">
        <f ca="1"/>
        <v>7.8840000000000003</v>
      </c>
      <c r="U1737" s="11">
        <f ca="1"/>
        <v>57.82</v>
      </c>
      <c r="V1737" s="11">
        <v>57.4</v>
      </c>
      <c r="W1737" s="11">
        <f ca="1"/>
        <v>0</v>
      </c>
      <c r="X1737" s="11">
        <f ca="1"/>
        <v>0.39877104377104378</v>
      </c>
      <c r="Y1737" s="11">
        <v>0</v>
      </c>
      <c r="Z1737" s="11">
        <f ca="1"/>
        <v>2.1228956228959817E-2</v>
      </c>
      <c r="AA1737" s="11">
        <f ca="1"/>
        <v>1.0614478114479908E-2</v>
      </c>
      <c r="AB1737" s="4">
        <f ca="1"/>
        <v>45821</v>
      </c>
      <c r="AC1737" s="4">
        <v>45821</v>
      </c>
      <c r="AD1737" s="9">
        <v>45824</v>
      </c>
      <c r="AE1737" s="9">
        <v>45828</v>
      </c>
      <c r="AF1737" s="4" t="str">
        <f t="shared" ca="1" si="121"/>
        <v>2025 06</v>
      </c>
      <c r="AG1737" s="8" t="str" cm="1">
        <f t="array" ref="AG1737">IFERROR(_xlfn.IFS('Banco de Dados'!#REF!="AG. COMPRA","Em processamento",'Banco de Dados'!#REF!="AG. RASTREIO","Em processamento",'Banco de Dados'!$AE1737&lt;&gt;"-","Faturado",'Banco de Dados'!$AD1737&lt;&gt;"-","Aguardando Pix",'Banco de Dados'!$AC1737&lt;&gt;"-","Pendente"),"Aguardando Liberação")</f>
        <v>Aguardando Liberação</v>
      </c>
      <c r="AH1737" s="5" t="str">
        <f>IF('Banco de Dados'!$F1737="-",_xlfn.CONCAT(PROPER(TEXT(AK1737,"aaaa"))," ",PROPER(TEXT(AK1737,"mm"))),_xlfn.CONCAT(PROPER(TEXT(E1737,"aaaa"))," ",PROPER(TEXT(E1737,"mm"))))</f>
        <v>2025 05</v>
      </c>
      <c r="AI1737" s="9" t="str">
        <f ca="1">IF('Banco de Dados'!$AK1737&lt;&gt;"-","REEMBOLSO",IFERROR(_xlfn.XLOOKUP(G1737,Follow[CODRASTREIO],Follow[STATUS]),"-"))</f>
        <v>ENTREGUE</v>
      </c>
      <c r="AJ1737" s="9">
        <f ca="1">IF('Banco de Dados'!$AI1737="ENTREGUE",_xlfn.XLOOKUP('Banco de Dados'!$G1737,Follow[CODRASTREIO],Follow[DATAATUALIZAÇÃO]),"-")</f>
        <v>45814</v>
      </c>
      <c r="AK1737" s="132" t="str">
        <f ca="1"/>
        <v>-</v>
      </c>
      <c r="AL1737" s="35"/>
      <c r="AM1737" s="109" cm="1">
        <f t="array" aca="1" ref="AM1737" ca="1">IF('Banco de Dados'!$AK1737&lt;&gt;"-",_xlfn.IFS('Banco de Dados'!$A1737="bv",IF('Banco de Dados'!$E1737&lt;45641,ROUND(SUM('Banco de Dados'!$R1737*_xlfn.XLOOKUP('Banco de Dados'!$P1737,Sku!B:B,Sku!#REF!)*20%),2),ROUND(SUM('Banco de Dados'!$R1737*_xlfn.XLOOKUP('Banco de Dados'!$P1737,Sku!B:B,Sku!H:H)*20%),2)),'Banco de Dados'!$A1737="GO",ROUND(SUM('Banco de Dados'!$R1737*_xlfn.XLOOKUP('Banco de Dados'!$P1737,Sku!C:C,Sku!H:H)*20%),2),'Banco de Dados'!$A1737="MEI",ROUND(SUM('Banco de Dados'!$R1737*_xlfn.XLOOKUP('Banco de Dados'!$P1737,Sku!D:D,Sku!H:H)*20%),2)),0)</f>
        <v>0</v>
      </c>
      <c r="AN1737" s="109">
        <f ca="1">IF('Banco de Dados'!$AK1737&lt;&gt;"-",IF('Banco de Dados'!$F1737&lt;&gt;"-",_xlfn.XLOOKUP(IFERROR(IFERROR(IFERROR(VALUE(SUBSTITUTE(MID(_xlfn.TEXTAFTER('Banco de Dados'!$F1737,"Data do Pedido:
",1),1,10),"-","/")),VALUE(SUBSTITUTE(MID(_xlfn.TEXTAFTER('Banco de Dados'!$F1737,"Order date:
",1),1,10),"-","/"))),VALUE(SUBSTITUTE(MID(_xlfn.TEXTAFTER('Banco de Dados'!$F1737,"Fecha de pedido:
",1),1,10),"-","/"))),"-"),SMS!A:A,SMS!K:K),0),0)</f>
        <v>0</v>
      </c>
      <c r="AO1737" s="109">
        <f ca="1">IF('Banco de Dados'!$AK1737&lt;&gt;"-",IF('Banco de Dados'!$F1737&lt;&gt;"-",IFERROR(_xlfn.XLOOKUP(_xlfn.CONCAT('Banco de Dados'!$A1737,IFERROR(IFERROR(VALUE(SUBSTITUTE(MID(_xlfn.TEXTAFTER('Banco de Dados'!$F1737,"Data do Pedido:
",1),1,10),"-","/")),VALUE(SUBSTITUTE(MID(_xlfn.TEXTAFTER('Banco de Dados'!$F1737,"Order date:
",1),1,10),"-","/"))),0)),ProxyDD[Chave],ProxyDD[Valor por pedido]),PROXY!$P$2),0),0)</f>
        <v>0</v>
      </c>
      <c r="AP1737" s="28">
        <f ca="1">IF('Banco de Dados'!$AK1737&lt;&gt;"-",IF('Banco de Dados'!$AL1737="NÃO",IFERROR(VALUE(SUBSTITUTE(_xlfn.TEXTAFTER('Banco de Dados'!$F1737,"BRL ",1),".",",")),0),0),0)</f>
        <v>0</v>
      </c>
      <c r="AQ1737" s="28">
        <f ca="1">SUM('Banco de Dados'!$AM1737:$AP1737)</f>
        <v>0</v>
      </c>
      <c r="AR1737" s="8"/>
      <c r="AS1737" s="8"/>
      <c r="AT1737"/>
      <c r="AY1737" s="8"/>
    </row>
    <row r="1738" spans="1:51">
      <c r="A1738" s="5" t="str">
        <v>MEI</v>
      </c>
      <c r="B1738" s="5" t="str">
        <f ca="1"/>
        <v>MEI45803</v>
      </c>
      <c r="C1738" s="8" t="str">
        <v>Pedido 1725</v>
      </c>
      <c r="D1738" s="187">
        <v>45795</v>
      </c>
      <c r="E1738" s="9">
        <v>45803</v>
      </c>
      <c r="F1738" s="8" t="str">
        <v>PedidoF1627</v>
      </c>
      <c r="G1738" s="2" t="str">
        <v>CódRastreio1625</v>
      </c>
      <c r="H1738" s="5">
        <v>1</v>
      </c>
      <c r="I1738" s="182" t="str">
        <v>CPF 1683</v>
      </c>
      <c r="J1738" s="2" t="str">
        <v>Nome 1683</v>
      </c>
      <c r="K1738" s="8" t="str">
        <v>Tel 1683</v>
      </c>
      <c r="L1738" s="8" t="str">
        <v>Cep 1683</v>
      </c>
      <c r="M1738" s="8" t="str">
        <v>Rua 1683</v>
      </c>
      <c r="N1738" s="8" t="str">
        <v>Comp 1683</v>
      </c>
      <c r="O1738" s="8" t="str">
        <v>Ventilador Umidificador Preto</v>
      </c>
      <c r="P1738" s="8" t="str">
        <v>71-KHMZ-MLQW</v>
      </c>
      <c r="Q1738" s="4">
        <v>45820</v>
      </c>
      <c r="R1738" s="109">
        <v>49.99</v>
      </c>
      <c r="S1738" s="11">
        <f ca="1"/>
        <v>49.99</v>
      </c>
      <c r="T1738" s="28">
        <f ca="1"/>
        <v>5.4988999999999999</v>
      </c>
      <c r="U1738" s="11">
        <f ca="1"/>
        <v>44.49</v>
      </c>
      <c r="V1738" s="11">
        <v>36.72</v>
      </c>
      <c r="W1738" s="11">
        <f ca="1"/>
        <v>0</v>
      </c>
      <c r="X1738" s="11">
        <f ca="1"/>
        <v>0.39877104377104378</v>
      </c>
      <c r="Y1738" s="11">
        <v>0</v>
      </c>
      <c r="Z1738" s="11">
        <f ca="1"/>
        <v>7.3712289562289612</v>
      </c>
      <c r="AA1738" s="11">
        <f ca="1"/>
        <v>3.6856144781144806</v>
      </c>
      <c r="AB1738" s="4">
        <f ca="1"/>
        <v>45827</v>
      </c>
      <c r="AC1738" s="4">
        <v>45827</v>
      </c>
      <c r="AD1738" s="9">
        <v>45838</v>
      </c>
      <c r="AE1738" s="9">
        <v>45839</v>
      </c>
      <c r="AF1738" s="4" t="str">
        <f t="shared" ca="1" si="121"/>
        <v>2025 06</v>
      </c>
      <c r="AG1738" s="8" t="str" cm="1">
        <f t="array" ref="AG1738">IFERROR(_xlfn.IFS('Banco de Dados'!#REF!="AG. COMPRA","Em processamento",'Banco de Dados'!#REF!="AG. RASTREIO","Em processamento",'Banco de Dados'!$AE1738&lt;&gt;"-","Faturado",'Banco de Dados'!$AD1738&lt;&gt;"-","Aguardando Pix",'Banco de Dados'!$AC1738&lt;&gt;"-","Pendente"),"Aguardando Liberação")</f>
        <v>Aguardando Liberação</v>
      </c>
      <c r="AH1738" s="5" t="str">
        <f>IF('Banco de Dados'!$F1738="-",_xlfn.CONCAT(PROPER(TEXT(AK1738,"aaaa"))," ",PROPER(TEXT(AK1738,"mm"))),_xlfn.CONCAT(PROPER(TEXT(E1738,"aaaa"))," ",PROPER(TEXT(E1738,"mm"))))</f>
        <v>2025 05</v>
      </c>
      <c r="AI1738" s="9" t="str">
        <f ca="1">IF('Banco de Dados'!$AK1738&lt;&gt;"-","REEMBOLSO",IFERROR(_xlfn.XLOOKUP(G1738,Follow[CODRASTREIO],Follow[STATUS]),"-"))</f>
        <v>ENTREGUE</v>
      </c>
      <c r="AJ1738" s="9">
        <f ca="1">IF('Banco de Dados'!$AI1738="ENTREGUE",_xlfn.XLOOKUP('Banco de Dados'!$G1738,Follow[CODRASTREIO],Follow[DATAATUALIZAÇÃO]),"-")</f>
        <v>45810</v>
      </c>
      <c r="AK1738" s="132" t="str">
        <f ca="1"/>
        <v>-</v>
      </c>
      <c r="AL1738" s="35"/>
      <c r="AM1738" s="109" cm="1">
        <f t="array" aca="1" ref="AM1738" ca="1">IF('Banco de Dados'!$AK1738&lt;&gt;"-",_xlfn.IFS('Banco de Dados'!$A1738="bv",IF('Banco de Dados'!$E1738&lt;45641,ROUND(SUM('Banco de Dados'!$R1738*_xlfn.XLOOKUP('Banco de Dados'!$P1738,Sku!B:B,Sku!#REF!)*20%),2),ROUND(SUM('Banco de Dados'!$R1738*_xlfn.XLOOKUP('Banco de Dados'!$P1738,Sku!B:B,Sku!H:H)*20%),2)),'Banco de Dados'!$A1738="GO",ROUND(SUM('Banco de Dados'!$R1738*_xlfn.XLOOKUP('Banco de Dados'!$P1738,Sku!C:C,Sku!H:H)*20%),2),'Banco de Dados'!$A1738="MEI",ROUND(SUM('Banco de Dados'!$R1738*_xlfn.XLOOKUP('Banco de Dados'!$P1738,Sku!D:D,Sku!H:H)*20%),2)),0)</f>
        <v>0</v>
      </c>
      <c r="AN1738" s="109">
        <v>0</v>
      </c>
      <c r="AO1738" s="109">
        <v>0</v>
      </c>
      <c r="AP1738" s="28">
        <f ca="1">IF('Banco de Dados'!$AK1738&lt;&gt;"-",IF('Banco de Dados'!$AL1738="NÃO",IFERROR(VALUE(SUBSTITUTE(_xlfn.TEXTAFTER('Banco de Dados'!$F1738,"BRL ",1),".",",")),0),0),0)</f>
        <v>0</v>
      </c>
      <c r="AQ1738" s="28">
        <f ca="1">SUM('Banco de Dados'!$AM1738:$AP1738)</f>
        <v>0</v>
      </c>
      <c r="AR1738" s="8"/>
      <c r="AS1738" s="8"/>
      <c r="AT1738"/>
      <c r="AY1738" s="8"/>
    </row>
    <row r="1739" spans="1:51">
      <c r="A1739" s="5" t="str">
        <v>MEI</v>
      </c>
      <c r="B1739" s="5" t="str">
        <f ca="1"/>
        <v>MEI45803</v>
      </c>
      <c r="C1739" s="8" t="str">
        <v>Pedido 1726</v>
      </c>
      <c r="D1739" s="187">
        <v>45795</v>
      </c>
      <c r="E1739" s="9">
        <v>45803</v>
      </c>
      <c r="F1739" s="8" t="str">
        <v>PedidoF1628</v>
      </c>
      <c r="G1739" s="2" t="str">
        <v>CódRastreio1626</v>
      </c>
      <c r="H1739" s="5">
        <v>1</v>
      </c>
      <c r="I1739" s="182" t="str">
        <v>CPF 1684</v>
      </c>
      <c r="J1739" s="2" t="str">
        <v>Nome 1684</v>
      </c>
      <c r="K1739" s="8" t="str">
        <v>Tel 1684</v>
      </c>
      <c r="L1739" s="8" t="str">
        <v>Cep 1684</v>
      </c>
      <c r="M1739" s="8" t="str">
        <v>Rua 1684</v>
      </c>
      <c r="N1739" s="8" t="str">
        <v>Comp 1684</v>
      </c>
      <c r="O1739" s="8" t="str">
        <v>Ventilador Umidificador Preto</v>
      </c>
      <c r="P1739" s="8" t="str">
        <v>71-KHMZ-MLQW</v>
      </c>
      <c r="Q1739" s="4">
        <v>45820</v>
      </c>
      <c r="R1739" s="109">
        <v>49.99</v>
      </c>
      <c r="S1739" s="11">
        <f ca="1"/>
        <v>0</v>
      </c>
      <c r="T1739" s="28">
        <f ca="1"/>
        <v>0</v>
      </c>
      <c r="U1739" s="11">
        <f ca="1"/>
        <v>0</v>
      </c>
      <c r="V1739" s="11">
        <v>0</v>
      </c>
      <c r="W1739" s="11">
        <f ca="1"/>
        <v>0</v>
      </c>
      <c r="X1739" s="11">
        <f ca="1"/>
        <v>0.39877104377104378</v>
      </c>
      <c r="Y1739" s="11">
        <v>0</v>
      </c>
      <c r="Z1739" s="11">
        <f ca="1"/>
        <v>-0.39877104377104378</v>
      </c>
      <c r="AA1739" s="11">
        <f ca="1"/>
        <v>-0.19938552188552189</v>
      </c>
      <c r="AB1739" s="4">
        <f ca="1"/>
        <v>45827</v>
      </c>
      <c r="AC1739" s="4">
        <v>45827</v>
      </c>
      <c r="AD1739" s="9">
        <v>45838</v>
      </c>
      <c r="AE1739" s="9">
        <v>45839</v>
      </c>
      <c r="AF1739" s="4" t="str">
        <f t="shared" ca="1" si="121"/>
        <v>2025 06</v>
      </c>
      <c r="AG1739" s="8" t="str" cm="1">
        <f t="array" ref="AG1739">IFERROR(_xlfn.IFS('Banco de Dados'!#REF!="AG. COMPRA","Em processamento",'Banco de Dados'!#REF!="AG. RASTREIO","Em processamento",'Banco de Dados'!$AE1739&lt;&gt;"-","Faturado",'Banco de Dados'!$AD1739&lt;&gt;"-","Aguardando Pix",'Banco de Dados'!$AC1739&lt;&gt;"-","Pendente"),"Aguardando Liberação")</f>
        <v>Aguardando Liberação</v>
      </c>
      <c r="AH1739" s="5" t="str">
        <f>IF('Banco de Dados'!$F1739="-",_xlfn.CONCAT(PROPER(TEXT(AK1739,"aaaa"))," ",PROPER(TEXT(AK1739,"mm"))),_xlfn.CONCAT(PROPER(TEXT(E1739,"aaaa"))," ",PROPER(TEXT(E1739,"mm"))))</f>
        <v>2025 05</v>
      </c>
      <c r="AI1739" s="9" t="str">
        <f ca="1">IF('Banco de Dados'!$AK1739&lt;&gt;"-","REEMBOLSO",IFERROR(_xlfn.XLOOKUP(G1739,Follow[CODRASTREIO],Follow[STATUS]),"-"))</f>
        <v>REEMBOLSO</v>
      </c>
      <c r="AJ1739" s="9" t="str">
        <f ca="1">IF('Banco de Dados'!$AI1739="ENTREGUE",_xlfn.XLOOKUP('Banco de Dados'!$G1739,Follow[CODRASTREIO],Follow[DATAATUALIZAÇÃO]),"-")</f>
        <v>-</v>
      </c>
      <c r="AK1739" s="132">
        <f ca="1"/>
        <v>45830</v>
      </c>
      <c r="AL1739" s="35"/>
      <c r="AM1739" s="109" cm="1">
        <f t="array" aca="1" ref="AM1739" ca="1">IF('Banco de Dados'!$AK1739&lt;&gt;"-",_xlfn.IFS('Banco de Dados'!$A1739="bv",IF('Banco de Dados'!$E1739&lt;45641,ROUND(SUM('Banco de Dados'!$R1739*_xlfn.XLOOKUP('Banco de Dados'!$P1739,Sku!B:B,Sku!#REF!)*20%),2),ROUND(SUM('Banco de Dados'!$R1739*_xlfn.XLOOKUP('Banco de Dados'!$P1739,Sku!B:B,Sku!H:H)*20%),2)),'Banco de Dados'!$A1739="GO",ROUND(SUM('Banco de Dados'!$R1739*_xlfn.XLOOKUP('Banco de Dados'!$P1739,Sku!C:C,Sku!H:H)*20%),2),'Banco de Dados'!$A1739="MEI",ROUND(SUM('Banco de Dados'!$R1739*_xlfn.XLOOKUP('Banco de Dados'!$P1739,Sku!D:D,Sku!H:H)*20%),2)),0)</f>
        <v>1.4</v>
      </c>
      <c r="AN1739" s="109">
        <v>0</v>
      </c>
      <c r="AO1739" s="109">
        <v>0</v>
      </c>
      <c r="AP1739" s="28">
        <f ca="1">IF('Banco de Dados'!$AK1739&lt;&gt;"-",IF('Banco de Dados'!$AL1739="NÃO",IFERROR(VALUE(SUBSTITUTE(_xlfn.TEXTAFTER('Banco de Dados'!$F1739,"BRL ",1),".",",")),0),0),0)</f>
        <v>0</v>
      </c>
      <c r="AQ1739" s="28">
        <f ca="1">SUM('Banco de Dados'!$AM1739:$AP1739)</f>
        <v>1.4</v>
      </c>
      <c r="AR1739" s="8"/>
      <c r="AS1739" s="8"/>
      <c r="AT1739"/>
      <c r="AY1739" s="8"/>
    </row>
    <row r="1740" spans="1:51">
      <c r="A1740" s="5" t="str">
        <v>MEI</v>
      </c>
      <c r="B1740" s="5" t="str">
        <f ca="1"/>
        <v>MEI-</v>
      </c>
      <c r="C1740" s="8" t="str">
        <v>Pedido 1727</v>
      </c>
      <c r="D1740" s="187">
        <v>45795</v>
      </c>
      <c r="E1740" s="9" t="str">
        <v>-</v>
      </c>
      <c r="F1740" s="8" t="str">
        <v>-</v>
      </c>
      <c r="G1740" s="2" t="str">
        <v>-</v>
      </c>
      <c r="H1740" s="5">
        <v>1</v>
      </c>
      <c r="I1740" s="182" t="str">
        <v>CPF 1685</v>
      </c>
      <c r="J1740" s="2" t="str">
        <v>Nome 1685</v>
      </c>
      <c r="K1740" s="8" t="str">
        <v>Tel 1685</v>
      </c>
      <c r="L1740" s="8" t="str">
        <v>Cep 1685</v>
      </c>
      <c r="M1740" s="8" t="str">
        <v>Rua 1685</v>
      </c>
      <c r="N1740" s="8" t="str">
        <v>Comp 1685</v>
      </c>
      <c r="O1740" s="8" t="str">
        <v>Luminária Azul de mesa infantil</v>
      </c>
      <c r="P1740" s="8" t="str">
        <v>NO-Z0ZJ-Z61M</v>
      </c>
      <c r="Q1740" s="4">
        <v>45820</v>
      </c>
      <c r="R1740" s="109">
        <v>49.99</v>
      </c>
      <c r="S1740" s="11">
        <f ca="1"/>
        <v>0</v>
      </c>
      <c r="T1740" s="28">
        <f ca="1"/>
        <v>0</v>
      </c>
      <c r="U1740" s="11">
        <f ca="1"/>
        <v>0</v>
      </c>
      <c r="V1740" s="11">
        <v>0</v>
      </c>
      <c r="W1740" s="11">
        <f ca="1"/>
        <v>0</v>
      </c>
      <c r="X1740" s="11">
        <f ca="1"/>
        <v>0</v>
      </c>
      <c r="Y1740" s="11">
        <v>0</v>
      </c>
      <c r="Z1740" s="11">
        <f ca="1"/>
        <v>0</v>
      </c>
      <c r="AA1740" s="11">
        <f ca="1"/>
        <v>0</v>
      </c>
      <c r="AB1740" s="4">
        <f ca="1"/>
        <v>45827</v>
      </c>
      <c r="AC1740" s="4">
        <v>45827</v>
      </c>
      <c r="AD1740" s="9">
        <v>45838</v>
      </c>
      <c r="AE1740" s="9">
        <v>45839</v>
      </c>
      <c r="AF1740" s="4" t="str">
        <f t="shared" ca="1" si="121"/>
        <v>2025 06</v>
      </c>
      <c r="AG1740" s="8" t="str" cm="1">
        <f t="array" ref="AG1740">IFERROR(_xlfn.IFS('Banco de Dados'!#REF!="AG. COMPRA","Em processamento",'Banco de Dados'!#REF!="AG. RASTREIO","Em processamento",'Banco de Dados'!$AE1740&lt;&gt;"-","Faturado",'Banco de Dados'!$AD1740&lt;&gt;"-","Aguardando Pix",'Banco de Dados'!$AC1740&lt;&gt;"-","Pendente"),"Aguardando Liberação")</f>
        <v>Aguardando Liberação</v>
      </c>
      <c r="AH1740" s="5" t="str">
        <f ca="1">IF('Banco de Dados'!$F1740="-",_xlfn.CONCAT(PROPER(TEXT(AK1740,"aaaa"))," ",PROPER(TEXT(AK1740,"mm"))),_xlfn.CONCAT(PROPER(TEXT(E1740,"aaaa"))," ",PROPER(TEXT(E1740,"mm"))))</f>
        <v>2025 06</v>
      </c>
      <c r="AI1740" s="9" t="str">
        <f ca="1">IF('Banco de Dados'!$AK1740&lt;&gt;"-","REEMBOLSO",IFERROR(_xlfn.XLOOKUP(G1740,Follow[CODRASTREIO],Follow[STATUS]),"-"))</f>
        <v>REEMBOLSO</v>
      </c>
      <c r="AJ1740" s="9" t="str">
        <f ca="1">IF('Banco de Dados'!$AI1740="ENTREGUE",_xlfn.XLOOKUP('Banco de Dados'!$G1740,Follow[CODRASTREIO],Follow[DATAATUALIZAÇÃO]),"-")</f>
        <v>-</v>
      </c>
      <c r="AK1740" s="132">
        <f ca="1"/>
        <v>45833</v>
      </c>
      <c r="AL1740" s="35"/>
      <c r="AM1740" s="109" cm="1">
        <f t="array" aca="1" ref="AM1740" ca="1">IF('Banco de Dados'!$AK1740&lt;&gt;"-",_xlfn.IFS('Banco de Dados'!$A1740="bv",IF('Banco de Dados'!$E1740&lt;45641,ROUND(SUM('Banco de Dados'!$R1740*_xlfn.XLOOKUP('Banco de Dados'!$P1740,Sku!B:B,Sku!#REF!)*20%),2),ROUND(SUM('Banco de Dados'!$R1740*_xlfn.XLOOKUP('Banco de Dados'!$P1740,Sku!B:B,Sku!H:H)*20%),2)),'Banco de Dados'!$A1740="GO",ROUND(SUM('Banco de Dados'!$R1740*_xlfn.XLOOKUP('Banco de Dados'!$P1740,Sku!C:C,Sku!H:H)*20%),2),'Banco de Dados'!$A1740="MEI",ROUND(SUM('Banco de Dados'!$R1740*_xlfn.XLOOKUP('Banco de Dados'!$P1740,Sku!D:D,Sku!H:H)*20%),2)),0)</f>
        <v>1.2</v>
      </c>
      <c r="AN1740" s="109">
        <f ca="1">IF('Banco de Dados'!$AK1740&lt;&gt;"-",IF('Banco de Dados'!$F1740&lt;&gt;"-",_xlfn.XLOOKUP(IFERROR(IFERROR(IFERROR(VALUE(SUBSTITUTE(MID(_xlfn.TEXTAFTER('Banco de Dados'!$F1740,"Data do Pedido:
",1),1,10),"-","/")),VALUE(SUBSTITUTE(MID(_xlfn.TEXTAFTER('Banco de Dados'!$F1740,"Order date:
",1),1,10),"-","/"))),VALUE(SUBSTITUTE(MID(_xlfn.TEXTAFTER('Banco de Dados'!$F1740,"Fecha de pedido:
",1),1,10),"-","/"))),"-"),SMS!A:A,SMS!K:K),0),0)</f>
        <v>0</v>
      </c>
      <c r="AO1740" s="109">
        <f ca="1">IF('Banco de Dados'!$AK1740&lt;&gt;"-",IF('Banco de Dados'!$F1740&lt;&gt;"-",IFERROR(_xlfn.XLOOKUP(_xlfn.CONCAT('Banco de Dados'!$A1740,IFERROR(IFERROR(VALUE(SUBSTITUTE(MID(_xlfn.TEXTAFTER('Banco de Dados'!$F1740,"Data do Pedido:
",1),1,10),"-","/")),VALUE(SUBSTITUTE(MID(_xlfn.TEXTAFTER('Banco de Dados'!$F1740,"Order date:
",1),1,10),"-","/"))),0)),ProxyDD[Chave],ProxyDD[Valor por pedido]),PROXY!$P$2),0),0)</f>
        <v>0</v>
      </c>
      <c r="AP1740" s="28">
        <f ca="1">IF('Banco de Dados'!$AK1740&lt;&gt;"-",IF('Banco de Dados'!$AL1740="NÃO",IFERROR(VALUE(SUBSTITUTE(_xlfn.TEXTAFTER('Banco de Dados'!$F1740,"BRL ",1),".",",")),0),0),0)</f>
        <v>0</v>
      </c>
      <c r="AQ1740" s="28">
        <f ca="1">SUM('Banco de Dados'!$AM1740:$AP1740)</f>
        <v>1.2</v>
      </c>
      <c r="AR1740" s="8"/>
      <c r="AS1740" s="8"/>
      <c r="AT1740"/>
      <c r="AY1740" s="8"/>
    </row>
    <row r="1741" spans="1:51">
      <c r="A1741" s="5" t="str">
        <v>MEI</v>
      </c>
      <c r="B1741" s="5" t="str">
        <f ca="1"/>
        <v>MEI45807</v>
      </c>
      <c r="C1741" s="8" t="str">
        <v>Pedido 1728</v>
      </c>
      <c r="D1741" s="187">
        <v>45795</v>
      </c>
      <c r="E1741" s="9">
        <v>45807</v>
      </c>
      <c r="F1741" s="8" t="str">
        <v>PedidoF1629</v>
      </c>
      <c r="G1741" s="2" t="str">
        <v>CódRastreio1627</v>
      </c>
      <c r="H1741" s="5">
        <v>1</v>
      </c>
      <c r="I1741" s="182" t="str">
        <v>CPF 1686</v>
      </c>
      <c r="J1741" s="2" t="str">
        <v>Nome 1686</v>
      </c>
      <c r="K1741" s="8" t="str">
        <v>Tel 1686</v>
      </c>
      <c r="L1741" s="8" t="str">
        <v>Cep 1686</v>
      </c>
      <c r="M1741" s="8" t="str">
        <v>Rua 1686</v>
      </c>
      <c r="N1741" s="8" t="str">
        <v>Comp 1686</v>
      </c>
      <c r="O1741" s="8" t="str">
        <v>Karaoke portátil</v>
      </c>
      <c r="P1741" s="8" t="str">
        <v>1I-EZPV-2Q78</v>
      </c>
      <c r="Q1741" s="4">
        <v>45814</v>
      </c>
      <c r="R1741" s="109">
        <v>52.73</v>
      </c>
      <c r="S1741" s="11">
        <f ca="1"/>
        <v>52.73</v>
      </c>
      <c r="T1741" s="28">
        <f ca="1"/>
        <v>7.9094999999999995</v>
      </c>
      <c r="U1741" s="11">
        <f ca="1"/>
        <v>44.82</v>
      </c>
      <c r="V1741" s="11">
        <v>29.74</v>
      </c>
      <c r="W1741" s="11">
        <f ca="1"/>
        <v>0</v>
      </c>
      <c r="X1741" s="11">
        <f ca="1"/>
        <v>0.39877104377104378</v>
      </c>
      <c r="Y1741" s="11">
        <v>0</v>
      </c>
      <c r="Z1741" s="11">
        <f ca="1"/>
        <v>14.681228956228956</v>
      </c>
      <c r="AA1741" s="11">
        <f ca="1"/>
        <v>7.3406144781144782</v>
      </c>
      <c r="AB1741" s="4">
        <f ca="1"/>
        <v>45821</v>
      </c>
      <c r="AC1741" s="4">
        <v>45821</v>
      </c>
      <c r="AD1741" s="9">
        <v>45824</v>
      </c>
      <c r="AE1741" s="9">
        <v>45828</v>
      </c>
      <c r="AF1741" s="4" t="str">
        <f t="shared" ca="1" si="121"/>
        <v>2025 06</v>
      </c>
      <c r="AG1741" s="8" t="str" cm="1">
        <f t="array" ref="AG1741">IFERROR(_xlfn.IFS('Banco de Dados'!#REF!="AG. COMPRA","Em processamento",'Banco de Dados'!#REF!="AG. RASTREIO","Em processamento",'Banco de Dados'!$AE1741&lt;&gt;"-","Faturado",'Banco de Dados'!$AD1741&lt;&gt;"-","Aguardando Pix",'Banco de Dados'!$AC1741&lt;&gt;"-","Pendente"),"Aguardando Liberação")</f>
        <v>Aguardando Liberação</v>
      </c>
      <c r="AH1741" s="5" t="str">
        <f>IF('Banco de Dados'!$F1741="-",_xlfn.CONCAT(PROPER(TEXT(AK1741,"aaaa"))," ",PROPER(TEXT(AK1741,"mm"))),_xlfn.CONCAT(PROPER(TEXT(E1741,"aaaa"))," ",PROPER(TEXT(E1741,"mm"))))</f>
        <v>2025 05</v>
      </c>
      <c r="AI1741" s="9" t="str">
        <f ca="1">IF('Banco de Dados'!$AK1741&lt;&gt;"-","REEMBOLSO",IFERROR(_xlfn.XLOOKUP(G1741,Follow[CODRASTREIO],Follow[STATUS]),"-"))</f>
        <v>ENTREGUE</v>
      </c>
      <c r="AJ1741" s="9">
        <f ca="1">IF('Banco de Dados'!$AI1741="ENTREGUE",_xlfn.XLOOKUP('Banco de Dados'!$G1741,Follow[CODRASTREIO],Follow[DATAATUALIZAÇÃO]),"-")</f>
        <v>45812</v>
      </c>
      <c r="AK1741" s="132" t="str">
        <f ca="1"/>
        <v>-</v>
      </c>
      <c r="AL1741" s="35"/>
      <c r="AM1741" s="109" cm="1">
        <f t="array" aca="1" ref="AM1741" ca="1">IF('Banco de Dados'!$AK1741&lt;&gt;"-",_xlfn.IFS('Banco de Dados'!$A1741="bv",IF('Banco de Dados'!$E1741&lt;45641,ROUND(SUM('Banco de Dados'!$R1741*_xlfn.XLOOKUP('Banco de Dados'!$P1741,Sku!B:B,Sku!#REF!)*20%),2),ROUND(SUM('Banco de Dados'!$R1741*_xlfn.XLOOKUP('Banco de Dados'!$P1741,Sku!B:B,Sku!H:H)*20%),2)),'Banco de Dados'!$A1741="GO",ROUND(SUM('Banco de Dados'!$R1741*_xlfn.XLOOKUP('Banco de Dados'!$P1741,Sku!C:C,Sku!H:H)*20%),2),'Banco de Dados'!$A1741="MEI",ROUND(SUM('Banco de Dados'!$R1741*_xlfn.XLOOKUP('Banco de Dados'!$P1741,Sku!D:D,Sku!H:H)*20%),2)),0)</f>
        <v>0</v>
      </c>
      <c r="AN1741" s="109">
        <f ca="1">IF('Banco de Dados'!$AK1741&lt;&gt;"-",IF('Banco de Dados'!$F1741&lt;&gt;"-",_xlfn.XLOOKUP(IFERROR(IFERROR(IFERROR(VALUE(SUBSTITUTE(MID(_xlfn.TEXTAFTER('Banco de Dados'!$F1741,"Data do Pedido:
",1),1,10),"-","/")),VALUE(SUBSTITUTE(MID(_xlfn.TEXTAFTER('Banco de Dados'!$F1741,"Order date:
",1),1,10),"-","/"))),VALUE(SUBSTITUTE(MID(_xlfn.TEXTAFTER('Banco de Dados'!$F1741,"Fecha de pedido:
",1),1,10),"-","/"))),"-"),SMS!A:A,SMS!K:K),0),0)</f>
        <v>0</v>
      </c>
      <c r="AO1741" s="109">
        <f ca="1">IF('Banco de Dados'!$AK1741&lt;&gt;"-",IF('Banco de Dados'!$F1741&lt;&gt;"-",IFERROR(_xlfn.XLOOKUP(_xlfn.CONCAT('Banco de Dados'!$A1741,IFERROR(IFERROR(VALUE(SUBSTITUTE(MID(_xlfn.TEXTAFTER('Banco de Dados'!$F1741,"Data do Pedido:
",1),1,10),"-","/")),VALUE(SUBSTITUTE(MID(_xlfn.TEXTAFTER('Banco de Dados'!$F1741,"Order date:
",1),1,10),"-","/"))),0)),ProxyDD[Chave],ProxyDD[Valor por pedido]),PROXY!$P$2),0),0)</f>
        <v>0</v>
      </c>
      <c r="AP1741" s="28">
        <f ca="1">IF('Banco de Dados'!$AK1741&lt;&gt;"-",IF('Banco de Dados'!$AL1741="NÃO",IFERROR(VALUE(SUBSTITUTE(_xlfn.TEXTAFTER('Banco de Dados'!$F1741,"BRL ",1),".",",")),0),0),0)</f>
        <v>0</v>
      </c>
      <c r="AQ1741" s="28">
        <f ca="1">SUM('Banco de Dados'!$AM1741:$AP1741)</f>
        <v>0</v>
      </c>
      <c r="AR1741" s="8"/>
      <c r="AS1741" s="8"/>
      <c r="AT1741"/>
      <c r="AY1741" s="8"/>
    </row>
    <row r="1742" spans="1:51">
      <c r="A1742" s="5" t="str">
        <v>MEI</v>
      </c>
      <c r="B1742" s="5" t="str">
        <f ca="1"/>
        <v>MEI45807</v>
      </c>
      <c r="C1742" s="8" t="str">
        <v>Pedido 1729</v>
      </c>
      <c r="D1742" s="187">
        <v>45796</v>
      </c>
      <c r="E1742" s="9">
        <v>45807</v>
      </c>
      <c r="F1742" s="8" t="str">
        <v>PedidoF1630</v>
      </c>
      <c r="G1742" s="2" t="str">
        <v>CódRastreio1628</v>
      </c>
      <c r="H1742" s="5">
        <v>1</v>
      </c>
      <c r="I1742" s="182" t="str">
        <v>CPF 1687</v>
      </c>
      <c r="J1742" s="2" t="str">
        <v>Nome 1687</v>
      </c>
      <c r="K1742" s="8" t="str">
        <v>Tel 1687</v>
      </c>
      <c r="L1742" s="8" t="str">
        <v>Cep 1687</v>
      </c>
      <c r="M1742" s="8" t="str">
        <v>Rua 1687</v>
      </c>
      <c r="N1742" s="8" t="str">
        <v>Comp 1687</v>
      </c>
      <c r="O1742" s="8" t="str">
        <v>Maçarico Culinário Portátil</v>
      </c>
      <c r="P1742" s="8" t="str">
        <v>BG-DHRO-FAEE</v>
      </c>
      <c r="Q1742" s="4">
        <v>45815</v>
      </c>
      <c r="R1742" s="109">
        <v>31.99</v>
      </c>
      <c r="S1742" s="11">
        <f ca="1"/>
        <v>31.99</v>
      </c>
      <c r="T1742" s="28">
        <f ca="1"/>
        <v>3.5188999999999999</v>
      </c>
      <c r="U1742" s="11">
        <f ca="1"/>
        <v>28.47</v>
      </c>
      <c r="V1742" s="11">
        <v>17.16</v>
      </c>
      <c r="W1742" s="11">
        <f ca="1"/>
        <v>0</v>
      </c>
      <c r="X1742" s="11">
        <f ca="1"/>
        <v>0.39877104377104378</v>
      </c>
      <c r="Y1742" s="11">
        <v>0</v>
      </c>
      <c r="Z1742" s="11">
        <f ca="1"/>
        <v>10.911228956228953</v>
      </c>
      <c r="AA1742" s="11">
        <f ca="1"/>
        <v>5.4556144781144766</v>
      </c>
      <c r="AB1742" s="4">
        <f ca="1"/>
        <v>45822</v>
      </c>
      <c r="AC1742" s="4">
        <v>45822</v>
      </c>
      <c r="AD1742" s="9">
        <v>45824</v>
      </c>
      <c r="AE1742" s="9">
        <v>45828</v>
      </c>
      <c r="AF1742" s="4" t="str">
        <f t="shared" ca="1" si="121"/>
        <v>2025 06</v>
      </c>
      <c r="AG1742" s="8" t="str" cm="1">
        <f t="array" ref="AG1742">IFERROR(_xlfn.IFS('Banco de Dados'!#REF!="AG. COMPRA","Em processamento",'Banco de Dados'!#REF!="AG. RASTREIO","Em processamento",'Banco de Dados'!$AE1742&lt;&gt;"-","Faturado",'Banco de Dados'!$AD1742&lt;&gt;"-","Aguardando Pix",'Banco de Dados'!$AC1742&lt;&gt;"-","Pendente"),"Aguardando Liberação")</f>
        <v>Aguardando Liberação</v>
      </c>
      <c r="AH1742" s="5" t="str">
        <f>IF('Banco de Dados'!$F1742="-",_xlfn.CONCAT(PROPER(TEXT(AK1742,"aaaa"))," ",PROPER(TEXT(AK1742,"mm"))),_xlfn.CONCAT(PROPER(TEXT(E1742,"aaaa"))," ",PROPER(TEXT(E1742,"mm"))))</f>
        <v>2025 05</v>
      </c>
      <c r="AI1742" s="9" t="str">
        <f ca="1">IF('Banco de Dados'!$AK1742&lt;&gt;"-","REEMBOLSO",IFERROR(_xlfn.XLOOKUP(G1742,Follow[CODRASTREIO],Follow[STATUS]),"-"))</f>
        <v>ENTREGUE</v>
      </c>
      <c r="AJ1742" s="9">
        <f ca="1">IF('Banco de Dados'!$AI1742="ENTREGUE",_xlfn.XLOOKUP('Banco de Dados'!$G1742,Follow[CODRASTREIO],Follow[DATAATUALIZAÇÃO]),"-")</f>
        <v>45814</v>
      </c>
      <c r="AK1742" s="132" t="str">
        <f ca="1"/>
        <v>-</v>
      </c>
      <c r="AL1742" s="35"/>
      <c r="AM1742" s="109" cm="1">
        <f t="array" aca="1" ref="AM1742" ca="1">IF('Banco de Dados'!$AK1742&lt;&gt;"-",_xlfn.IFS('Banco de Dados'!$A1742="bv",IF('Banco de Dados'!$E1742&lt;45641,ROUND(SUM('Banco de Dados'!$R1742*_xlfn.XLOOKUP('Banco de Dados'!$P1742,Sku!B:B,Sku!#REF!)*20%),2),ROUND(SUM('Banco de Dados'!$R1742*_xlfn.XLOOKUP('Banco de Dados'!$P1742,Sku!B:B,Sku!H:H)*20%),2)),'Banco de Dados'!$A1742="GO",ROUND(SUM('Banco de Dados'!$R1742*_xlfn.XLOOKUP('Banco de Dados'!$P1742,Sku!C:C,Sku!H:H)*20%),2),'Banco de Dados'!$A1742="MEI",ROUND(SUM('Banco de Dados'!$R1742*_xlfn.XLOOKUP('Banco de Dados'!$P1742,Sku!D:D,Sku!H:H)*20%),2)),0)</f>
        <v>0</v>
      </c>
      <c r="AN1742" s="109">
        <v>0</v>
      </c>
      <c r="AO1742" s="109">
        <v>0</v>
      </c>
      <c r="AP1742" s="28">
        <f ca="1">IF('Banco de Dados'!$AK1742&lt;&gt;"-",IF('Banco de Dados'!$AL1742="NÃO",IFERROR(VALUE(SUBSTITUTE(_xlfn.TEXTAFTER('Banco de Dados'!$F1742,"BRL ",1),".",",")),0),0),0)</f>
        <v>0</v>
      </c>
      <c r="AQ1742" s="28">
        <f ca="1">SUM('Banco de Dados'!$AM1742:$AP1742)</f>
        <v>0</v>
      </c>
      <c r="AR1742" s="8"/>
      <c r="AS1742" s="8"/>
      <c r="AT1742"/>
      <c r="AY1742" s="8"/>
    </row>
    <row r="1743" spans="1:51">
      <c r="A1743" s="5" t="str">
        <v>MEI</v>
      </c>
      <c r="B1743" s="5" t="str">
        <f ca="1"/>
        <v>MEI45803</v>
      </c>
      <c r="C1743" s="8" t="str">
        <v>Pedido 1730</v>
      </c>
      <c r="D1743" s="187">
        <v>45796</v>
      </c>
      <c r="E1743" s="9">
        <v>45803</v>
      </c>
      <c r="F1743" s="8" t="str">
        <v>PedidoF1631</v>
      </c>
      <c r="G1743" s="2" t="str">
        <v>CódRastreio1629</v>
      </c>
      <c r="H1743" s="5">
        <v>1</v>
      </c>
      <c r="I1743" s="182" t="str">
        <v>CPF 1688</v>
      </c>
      <c r="J1743" s="2" t="str">
        <v>Nome 1688</v>
      </c>
      <c r="K1743" s="8" t="str">
        <v>Tel 1688</v>
      </c>
      <c r="L1743" s="8" t="str">
        <v>Cep 1688</v>
      </c>
      <c r="M1743" s="8" t="str">
        <v>Rua 1688</v>
      </c>
      <c r="N1743" s="8" t="str">
        <v>Comp 1688</v>
      </c>
      <c r="O1743" s="8" t="str">
        <v>Ventilador Umidificador Preto</v>
      </c>
      <c r="P1743" s="8" t="str">
        <v>71-KHMZ-MLQW</v>
      </c>
      <c r="Q1743" s="4">
        <v>45821</v>
      </c>
      <c r="R1743" s="109">
        <v>49.99</v>
      </c>
      <c r="S1743" s="11">
        <f ca="1"/>
        <v>49.99</v>
      </c>
      <c r="T1743" s="28">
        <f ca="1"/>
        <v>5.4988999999999999</v>
      </c>
      <c r="U1743" s="11">
        <f ca="1"/>
        <v>44.49</v>
      </c>
      <c r="V1743" s="11">
        <v>37.729999999999997</v>
      </c>
      <c r="W1743" s="11">
        <f ca="1"/>
        <v>0</v>
      </c>
      <c r="X1743" s="11">
        <f ca="1"/>
        <v>0.39877104377104378</v>
      </c>
      <c r="Y1743" s="11">
        <v>0</v>
      </c>
      <c r="Z1743" s="11">
        <f ca="1"/>
        <v>6.3612289562289632</v>
      </c>
      <c r="AA1743" s="11">
        <f ca="1"/>
        <v>3.1806144781144816</v>
      </c>
      <c r="AB1743" s="4">
        <f ca="1"/>
        <v>45828</v>
      </c>
      <c r="AC1743" s="4">
        <v>45828</v>
      </c>
      <c r="AD1743" s="9">
        <v>45838</v>
      </c>
      <c r="AE1743" s="9">
        <v>45839</v>
      </c>
      <c r="AF1743" s="4" t="str">
        <f t="shared" ca="1" si="121"/>
        <v>2025 06</v>
      </c>
      <c r="AG1743" s="8" t="str" cm="1">
        <f t="array" ref="AG1743">IFERROR(_xlfn.IFS('Banco de Dados'!#REF!="AG. COMPRA","Em processamento",'Banco de Dados'!#REF!="AG. RASTREIO","Em processamento",'Banco de Dados'!$AE1743&lt;&gt;"-","Faturado",'Banco de Dados'!$AD1743&lt;&gt;"-","Aguardando Pix",'Banco de Dados'!$AC1743&lt;&gt;"-","Pendente"),"Aguardando Liberação")</f>
        <v>Aguardando Liberação</v>
      </c>
      <c r="AH1743" s="5" t="str">
        <f>IF('Banco de Dados'!$F1743="-",_xlfn.CONCAT(PROPER(TEXT(AK1743,"aaaa"))," ",PROPER(TEXT(AK1743,"mm"))),_xlfn.CONCAT(PROPER(TEXT(E1743,"aaaa"))," ",PROPER(TEXT(E1743,"mm"))))</f>
        <v>2025 05</v>
      </c>
      <c r="AI1743" s="9" t="str">
        <f ca="1">IF('Banco de Dados'!$AK1743&lt;&gt;"-","REEMBOLSO",IFERROR(_xlfn.XLOOKUP(G1743,Follow[CODRASTREIO],Follow[STATUS]),"-"))</f>
        <v>ENTREGUE</v>
      </c>
      <c r="AJ1743" s="9">
        <f ca="1">IF('Banco de Dados'!$AI1743="ENTREGUE",_xlfn.XLOOKUP('Banco de Dados'!$G1743,Follow[CODRASTREIO],Follow[DATAATUALIZAÇÃO]),"-")</f>
        <v>45810</v>
      </c>
      <c r="AK1743" s="132" t="str">
        <f ca="1"/>
        <v>-</v>
      </c>
      <c r="AL1743" s="35"/>
      <c r="AM1743" s="109" cm="1">
        <f t="array" aca="1" ref="AM1743" ca="1">IF('Banco de Dados'!$AK1743&lt;&gt;"-",_xlfn.IFS('Banco de Dados'!$A1743="bv",IF('Banco de Dados'!$E1743&lt;45641,ROUND(SUM('Banco de Dados'!$R1743*_xlfn.XLOOKUP('Banco de Dados'!$P1743,Sku!B:B,Sku!#REF!)*20%),2),ROUND(SUM('Banco de Dados'!$R1743*_xlfn.XLOOKUP('Banco de Dados'!$P1743,Sku!B:B,Sku!H:H)*20%),2)),'Banco de Dados'!$A1743="GO",ROUND(SUM('Banco de Dados'!$R1743*_xlfn.XLOOKUP('Banco de Dados'!$P1743,Sku!C:C,Sku!H:H)*20%),2),'Banco de Dados'!$A1743="MEI",ROUND(SUM('Banco de Dados'!$R1743*_xlfn.XLOOKUP('Banco de Dados'!$P1743,Sku!D:D,Sku!H:H)*20%),2)),0)</f>
        <v>0</v>
      </c>
      <c r="AN1743" s="109">
        <v>0</v>
      </c>
      <c r="AO1743" s="109">
        <v>0</v>
      </c>
      <c r="AP1743" s="28">
        <f ca="1">IF('Banco de Dados'!$AK1743&lt;&gt;"-",IF('Banco de Dados'!$AL1743="NÃO",IFERROR(VALUE(SUBSTITUTE(_xlfn.TEXTAFTER('Banco de Dados'!$F1743,"BRL ",1),".",",")),0),0),0)</f>
        <v>0</v>
      </c>
      <c r="AQ1743" s="28">
        <f ca="1">SUM('Banco de Dados'!$AM1743:$AP1743)</f>
        <v>0</v>
      </c>
      <c r="AR1743" s="8"/>
      <c r="AS1743" s="8"/>
      <c r="AT1743"/>
      <c r="AY1743" s="8"/>
    </row>
    <row r="1744" spans="1:51">
      <c r="A1744" s="5" t="str">
        <v>MEI</v>
      </c>
      <c r="B1744" s="5" t="str">
        <f ca="1"/>
        <v>MEI-</v>
      </c>
      <c r="C1744" s="8" t="str">
        <v>Pedido 1731</v>
      </c>
      <c r="D1744" s="187">
        <v>45796</v>
      </c>
      <c r="E1744" s="9" t="str">
        <v>-</v>
      </c>
      <c r="F1744" s="8" t="str">
        <v>-</v>
      </c>
      <c r="G1744" s="2" t="str">
        <v>-</v>
      </c>
      <c r="H1744" s="5">
        <v>1</v>
      </c>
      <c r="I1744" s="182" t="str">
        <v>CPF 1689</v>
      </c>
      <c r="J1744" s="2" t="str">
        <v>Nome 1689</v>
      </c>
      <c r="K1744" s="8" t="str">
        <v>Tel 1689</v>
      </c>
      <c r="L1744" s="8" t="str">
        <v>Cep 1689</v>
      </c>
      <c r="M1744" s="8" t="str">
        <v>Rua 1689</v>
      </c>
      <c r="N1744" s="8" t="str">
        <v>Comp 1689</v>
      </c>
      <c r="O1744" s="8" t="str">
        <v>Luminária Azul de mesa infantil</v>
      </c>
      <c r="P1744" s="8" t="str">
        <v>NO-Z0ZJ-Z61M</v>
      </c>
      <c r="Q1744" s="4">
        <v>45815</v>
      </c>
      <c r="R1744" s="109">
        <v>49.99</v>
      </c>
      <c r="S1744" s="11">
        <f ca="1"/>
        <v>49.99</v>
      </c>
      <c r="T1744" s="28">
        <f ca="1"/>
        <v>5.9988000000000001</v>
      </c>
      <c r="U1744" s="11">
        <f ca="1"/>
        <v>43.99</v>
      </c>
      <c r="V1744" s="11">
        <v>0</v>
      </c>
      <c r="W1744" s="11">
        <f ca="1"/>
        <v>0</v>
      </c>
      <c r="X1744" s="11">
        <f ca="1"/>
        <v>0</v>
      </c>
      <c r="Y1744" s="11">
        <v>0</v>
      </c>
      <c r="Z1744" s="11">
        <f ca="1"/>
        <v>43.99</v>
      </c>
      <c r="AA1744" s="11">
        <f ca="1"/>
        <v>21.995000000000001</v>
      </c>
      <c r="AB1744" s="4">
        <f ca="1"/>
        <v>45822</v>
      </c>
      <c r="AC1744" s="4">
        <v>45822</v>
      </c>
      <c r="AD1744" s="9">
        <v>45824</v>
      </c>
      <c r="AE1744" s="9">
        <v>45828</v>
      </c>
      <c r="AF1744" s="4" t="str">
        <f t="shared" ca="1" si="121"/>
        <v>2025 06</v>
      </c>
      <c r="AG1744" s="8" t="str" cm="1">
        <f t="array" ref="AG1744">IFERROR(_xlfn.IFS('Banco de Dados'!#REF!="AG. COMPRA","Em processamento",'Banco de Dados'!#REF!="AG. RASTREIO","Em processamento",'Banco de Dados'!$AE1744&lt;&gt;"-","Faturado",'Banco de Dados'!$AD1744&lt;&gt;"-","Aguardando Pix",'Banco de Dados'!$AC1744&lt;&gt;"-","Pendente"),"Aguardando Liberação")</f>
        <v>Aguardando Liberação</v>
      </c>
      <c r="AH1744" s="5" t="str">
        <f ca="1">IF('Banco de Dados'!$F1744="-",_xlfn.CONCAT(PROPER(TEXT(AK1744,"aaaa"))," ",PROPER(TEXT(AK1744,"mm"))),_xlfn.CONCAT(PROPER(TEXT(E1744,"aaaa"))," ",PROPER(TEXT(E1744,"mm"))))</f>
        <v>- -</v>
      </c>
      <c r="AI1744" s="9" t="str">
        <f ca="1">IF('Banco de Dados'!$AK1744&lt;&gt;"-","REEMBOLSO",IFERROR(_xlfn.XLOOKUP(G1744,Follow[CODRASTREIO],Follow[STATUS]),"-"))</f>
        <v>-</v>
      </c>
      <c r="AJ1744" s="9" t="str">
        <f ca="1">IF('Banco de Dados'!$AI1744="ENTREGUE",_xlfn.XLOOKUP('Banco de Dados'!$G1744,Follow[CODRASTREIO],Follow[DATAATUALIZAÇÃO]),"-")</f>
        <v>-</v>
      </c>
      <c r="AK1744" s="132" t="str">
        <f ca="1"/>
        <v>-</v>
      </c>
      <c r="AL1744" s="35"/>
      <c r="AM1744" s="109" cm="1">
        <f t="array" aca="1" ref="AM1744" ca="1">IF('Banco de Dados'!$AK1744&lt;&gt;"-",_xlfn.IFS('Banco de Dados'!$A1744="bv",IF('Banco de Dados'!$E1744&lt;45641,ROUND(SUM('Banco de Dados'!$R1744*_xlfn.XLOOKUP('Banco de Dados'!$P1744,Sku!B:B,Sku!#REF!)*20%),2),ROUND(SUM('Banco de Dados'!$R1744*_xlfn.XLOOKUP('Banco de Dados'!$P1744,Sku!B:B,Sku!H:H)*20%),2)),'Banco de Dados'!$A1744="GO",ROUND(SUM('Banco de Dados'!$R1744*_xlfn.XLOOKUP('Banco de Dados'!$P1744,Sku!C:C,Sku!H:H)*20%),2),'Banco de Dados'!$A1744="MEI",ROUND(SUM('Banco de Dados'!$R1744*_xlfn.XLOOKUP('Banco de Dados'!$P1744,Sku!D:D,Sku!H:H)*20%),2)),0)</f>
        <v>0</v>
      </c>
      <c r="AN1744" s="109">
        <f ca="1">IF('Banco de Dados'!$AK1744&lt;&gt;"-",IF('Banco de Dados'!$F1744&lt;&gt;"-",_xlfn.XLOOKUP(IFERROR(IFERROR(IFERROR(VALUE(SUBSTITUTE(MID(_xlfn.TEXTAFTER('Banco de Dados'!$F1744,"Data do Pedido:
",1),1,10),"-","/")),VALUE(SUBSTITUTE(MID(_xlfn.TEXTAFTER('Banco de Dados'!$F1744,"Order date:
",1),1,10),"-","/"))),VALUE(SUBSTITUTE(MID(_xlfn.TEXTAFTER('Banco de Dados'!$F1744,"Fecha de pedido:
",1),1,10),"-","/"))),"-"),SMS!A:A,SMS!K:K),0),0)</f>
        <v>0</v>
      </c>
      <c r="AO1744" s="109">
        <f ca="1">IF('Banco de Dados'!$AK1744&lt;&gt;"-",IF('Banco de Dados'!$F1744&lt;&gt;"-",IFERROR(_xlfn.XLOOKUP(_xlfn.CONCAT('Banco de Dados'!$A1744,IFERROR(IFERROR(VALUE(SUBSTITUTE(MID(_xlfn.TEXTAFTER('Banco de Dados'!$F1744,"Data do Pedido:
",1),1,10),"-","/")),VALUE(SUBSTITUTE(MID(_xlfn.TEXTAFTER('Banco de Dados'!$F1744,"Order date:
",1),1,10),"-","/"))),0)),ProxyDD[Chave],ProxyDD[Valor por pedido]),PROXY!$P$2),0),0)</f>
        <v>0</v>
      </c>
      <c r="AP1744" s="28">
        <f ca="1">IF('Banco de Dados'!$AK1744&lt;&gt;"-",IF('Banco de Dados'!$AL1744="NÃO",IFERROR(VALUE(SUBSTITUTE(_xlfn.TEXTAFTER('Banco de Dados'!$F1744,"BRL ",1),".",",")),0),0),0)</f>
        <v>0</v>
      </c>
      <c r="AQ1744" s="28">
        <f ca="1">SUM('Banco de Dados'!$AM1744:$AP1744)</f>
        <v>0</v>
      </c>
      <c r="AR1744" s="8"/>
      <c r="AS1744" s="8"/>
      <c r="AT1744"/>
      <c r="AY1744" s="8"/>
    </row>
    <row r="1745" spans="1:51">
      <c r="A1745" s="5" t="str">
        <v>MEI</v>
      </c>
      <c r="B1745" s="5" t="str">
        <f ca="1"/>
        <v>MEI-</v>
      </c>
      <c r="C1745" s="8" t="str">
        <v>Pedido 1732</v>
      </c>
      <c r="D1745" s="187">
        <v>45796</v>
      </c>
      <c r="E1745" s="9" t="str">
        <v>-</v>
      </c>
      <c r="F1745" s="8" t="str">
        <v>-</v>
      </c>
      <c r="G1745" s="2" t="str">
        <v>-</v>
      </c>
      <c r="H1745" s="5">
        <v>1</v>
      </c>
      <c r="I1745" s="182" t="str">
        <v>CPF 1690</v>
      </c>
      <c r="J1745" s="2" t="str">
        <v>Nome 1690</v>
      </c>
      <c r="K1745" s="8" t="str">
        <v>Tel 1690</v>
      </c>
      <c r="L1745" s="8" t="str">
        <v>Cep 1690</v>
      </c>
      <c r="M1745" s="8" t="str">
        <v>Rua 1690</v>
      </c>
      <c r="N1745" s="8" t="str">
        <v>Comp 1690</v>
      </c>
      <c r="O1745" s="8" t="str">
        <v>Copo Termico</v>
      </c>
      <c r="P1745" s="8" t="str">
        <v>VI-4RT5-1FFO</v>
      </c>
      <c r="Q1745" s="4">
        <v>45813</v>
      </c>
      <c r="R1745" s="109">
        <v>22.7</v>
      </c>
      <c r="S1745" s="11">
        <f ca="1"/>
        <v>0</v>
      </c>
      <c r="T1745" s="28">
        <f ca="1"/>
        <v>0</v>
      </c>
      <c r="U1745" s="11">
        <f ca="1"/>
        <v>0</v>
      </c>
      <c r="V1745" s="11">
        <v>0</v>
      </c>
      <c r="W1745" s="11">
        <f ca="1"/>
        <v>0</v>
      </c>
      <c r="X1745" s="11">
        <f ca="1"/>
        <v>0</v>
      </c>
      <c r="Y1745" s="11">
        <v>0</v>
      </c>
      <c r="Z1745" s="11">
        <f ca="1"/>
        <v>0</v>
      </c>
      <c r="AA1745" s="11">
        <f ca="1"/>
        <v>0</v>
      </c>
      <c r="AB1745" s="4">
        <f ca="1"/>
        <v>45820</v>
      </c>
      <c r="AC1745" s="4">
        <v>45820</v>
      </c>
      <c r="AD1745" s="9">
        <v>45824</v>
      </c>
      <c r="AE1745" s="9">
        <v>45828</v>
      </c>
      <c r="AF1745" s="4" t="str">
        <f t="shared" ca="1" si="121"/>
        <v>2025 06</v>
      </c>
      <c r="AG1745" s="8" t="str" cm="1">
        <f t="array" ref="AG1745">IFERROR(_xlfn.IFS('Banco de Dados'!#REF!="AG. COMPRA","Em processamento",'Banco de Dados'!#REF!="AG. RASTREIO","Em processamento",'Banco de Dados'!$AE1745&lt;&gt;"-","Faturado",'Banco de Dados'!$AD1745&lt;&gt;"-","Aguardando Pix",'Banco de Dados'!$AC1745&lt;&gt;"-","Pendente"),"Aguardando Liberação")</f>
        <v>Aguardando Liberação</v>
      </c>
      <c r="AH1745" s="5" t="str">
        <f ca="1">IF('Banco de Dados'!$F1745="-",_xlfn.CONCAT(PROPER(TEXT(AK1745,"aaaa"))," ",PROPER(TEXT(AK1745,"mm"))),_xlfn.CONCAT(PROPER(TEXT(E1745,"aaaa"))," ",PROPER(TEXT(E1745,"mm"))))</f>
        <v>2025 07</v>
      </c>
      <c r="AI1745" s="9" t="str">
        <f ca="1">IF('Banco de Dados'!$AK1745&lt;&gt;"-","REEMBOLSO",IFERROR(_xlfn.XLOOKUP(G1745,Follow[CODRASTREIO],Follow[STATUS]),"-"))</f>
        <v>REEMBOLSO</v>
      </c>
      <c r="AJ1745" s="9" t="str">
        <f ca="1">IF('Banco de Dados'!$AI1745="ENTREGUE",_xlfn.XLOOKUP('Banco de Dados'!$G1745,Follow[CODRASTREIO],Follow[DATAATUALIZAÇÃO]),"-")</f>
        <v>-</v>
      </c>
      <c r="AK1745" s="132">
        <f ca="1"/>
        <v>45844</v>
      </c>
      <c r="AL1745" s="35"/>
      <c r="AM1745" s="109" cm="1">
        <f t="array" aca="1" ref="AM1745" ca="1">IF('Banco de Dados'!$AK1745&lt;&gt;"-",_xlfn.IFS('Banco de Dados'!$A1745="bv",IF('Banco de Dados'!$E1745&lt;45641,ROUND(SUM('Banco de Dados'!$R1745*_xlfn.XLOOKUP('Banco de Dados'!$P1745,Sku!B:B,Sku!#REF!)*20%),2),ROUND(SUM('Banco de Dados'!$R1745*_xlfn.XLOOKUP('Banco de Dados'!$P1745,Sku!B:B,Sku!H:H)*20%),2)),'Banco de Dados'!$A1745="GO",ROUND(SUM('Banco de Dados'!$R1745*_xlfn.XLOOKUP('Banco de Dados'!$P1745,Sku!C:C,Sku!H:H)*20%),2),'Banco de Dados'!$A1745="MEI",ROUND(SUM('Banco de Dados'!$R1745*_xlfn.XLOOKUP('Banco de Dados'!$P1745,Sku!D:D,Sku!H:H)*20%),2)),0)</f>
        <v>0.59</v>
      </c>
      <c r="AN1745" s="109">
        <f ca="1">IF('Banco de Dados'!$AK1745&lt;&gt;"-",IF('Banco de Dados'!$F1745&lt;&gt;"-",_xlfn.XLOOKUP(IFERROR(IFERROR(IFERROR(VALUE(SUBSTITUTE(MID(_xlfn.TEXTAFTER('Banco de Dados'!$F1745,"Data do Pedido:
",1),1,10),"-","/")),VALUE(SUBSTITUTE(MID(_xlfn.TEXTAFTER('Banco de Dados'!$F1745,"Order date:
",1),1,10),"-","/"))),VALUE(SUBSTITUTE(MID(_xlfn.TEXTAFTER('Banco de Dados'!$F1745,"Fecha de pedido:
",1),1,10),"-","/"))),"-"),SMS!A:A,SMS!K:K),0),0)</f>
        <v>0</v>
      </c>
      <c r="AO1745" s="109">
        <f ca="1">IF('Banco de Dados'!$AK1745&lt;&gt;"-",IF('Banco de Dados'!$F1745&lt;&gt;"-",IFERROR(_xlfn.XLOOKUP(_xlfn.CONCAT('Banco de Dados'!$A1745,IFERROR(IFERROR(VALUE(SUBSTITUTE(MID(_xlfn.TEXTAFTER('Banco de Dados'!$F1745,"Data do Pedido:
",1),1,10),"-","/")),VALUE(SUBSTITUTE(MID(_xlfn.TEXTAFTER('Banco de Dados'!$F1745,"Order date:
",1),1,10),"-","/"))),0)),ProxyDD[Chave],ProxyDD[Valor por pedido]),PROXY!$P$2),0),0)</f>
        <v>0</v>
      </c>
      <c r="AP1745" s="28">
        <f ca="1">IF('Banco de Dados'!$AK1745&lt;&gt;"-",IF('Banco de Dados'!$AL1745="NÃO",IFERROR(VALUE(SUBSTITUTE(_xlfn.TEXTAFTER('Banco de Dados'!$F1745,"BRL ",1),".",",")),0),0),0)</f>
        <v>0</v>
      </c>
      <c r="AQ1745" s="28">
        <f ca="1">SUM('Banco de Dados'!$AM1745:$AP1745)</f>
        <v>0.59</v>
      </c>
      <c r="AR1745" s="8"/>
      <c r="AS1745" s="8"/>
      <c r="AT1745"/>
      <c r="AY1745" s="8"/>
    </row>
    <row r="1746" spans="1:51">
      <c r="A1746" s="5" t="str">
        <v>MEI</v>
      </c>
      <c r="B1746" s="5" t="str">
        <f ca="1"/>
        <v>MEI-</v>
      </c>
      <c r="C1746" s="8" t="str">
        <v>Pedido 1733</v>
      </c>
      <c r="D1746" s="187">
        <v>45797</v>
      </c>
      <c r="E1746" s="9" t="str">
        <v>-</v>
      </c>
      <c r="F1746" s="8" t="str">
        <v>-</v>
      </c>
      <c r="G1746" s="2" t="str">
        <v>-</v>
      </c>
      <c r="H1746" s="5">
        <v>1</v>
      </c>
      <c r="I1746" s="182" t="str">
        <v>CPF 1691</v>
      </c>
      <c r="J1746" s="2" t="str">
        <v>Nome 1691</v>
      </c>
      <c r="K1746" s="8" t="str">
        <v>Tel 1691</v>
      </c>
      <c r="L1746" s="8" t="str">
        <v>Cep 1691</v>
      </c>
      <c r="M1746" s="8" t="str">
        <v>Rua 1691</v>
      </c>
      <c r="N1746" s="8" t="str">
        <v>Comp 1691</v>
      </c>
      <c r="O1746" s="8" t="str">
        <v>Lampada Led</v>
      </c>
      <c r="P1746" s="8" t="str">
        <v>T1-SWVB-UPOW</v>
      </c>
      <c r="Q1746" s="4">
        <v>45829</v>
      </c>
      <c r="R1746" s="109">
        <v>35</v>
      </c>
      <c r="S1746" s="11">
        <f ca="1"/>
        <v>0</v>
      </c>
      <c r="T1746" s="28">
        <f ca="1"/>
        <v>0</v>
      </c>
      <c r="U1746" s="11">
        <f ca="1"/>
        <v>0</v>
      </c>
      <c r="V1746" s="11">
        <v>0</v>
      </c>
      <c r="W1746" s="11">
        <f ca="1"/>
        <v>0</v>
      </c>
      <c r="X1746" s="11">
        <f ca="1"/>
        <v>0</v>
      </c>
      <c r="Y1746" s="11">
        <v>0</v>
      </c>
      <c r="Z1746" s="11">
        <f ca="1"/>
        <v>0</v>
      </c>
      <c r="AA1746" s="11">
        <f ca="1"/>
        <v>0</v>
      </c>
      <c r="AB1746" s="4">
        <f ca="1"/>
        <v>45836</v>
      </c>
      <c r="AC1746" s="4">
        <v>45836</v>
      </c>
      <c r="AD1746" s="9">
        <v>45838</v>
      </c>
      <c r="AE1746" s="9">
        <v>45839</v>
      </c>
      <c r="AF1746" s="4" t="str">
        <f t="shared" ref="AF1746:AF1748" ca="1" si="122">_xlfn.CONCAT(PROPER(TEXT(AB1746,"aaaa"))," ",PROPER(TEXT(AB1746,"mm")))</f>
        <v>2025 06</v>
      </c>
      <c r="AG1746" s="8" t="str" cm="1">
        <f t="array" ref="AG1746">IFERROR(_xlfn.IFS('Banco de Dados'!#REF!="AG. COMPRA","Em processamento",'Banco de Dados'!#REF!="AG. RASTREIO","Em processamento",'Banco de Dados'!$AE1746&lt;&gt;"-","Faturado",'Banco de Dados'!$AD1746&lt;&gt;"-","Aguardando Pix",'Banco de Dados'!$AC1746&lt;&gt;"-","Pendente"),"Aguardando Liberação")</f>
        <v>Aguardando Liberação</v>
      </c>
      <c r="AH1746" s="5" t="str">
        <f ca="1">IF('Banco de Dados'!$F1746="-",_xlfn.CONCAT(PROPER(TEXT(AK1746,"aaaa"))," ",PROPER(TEXT(AK1746,"mm"))),_xlfn.CONCAT(PROPER(TEXT(E1746,"aaaa"))," ",PROPER(TEXT(E1746,"mm"))))</f>
        <v>2025 07</v>
      </c>
      <c r="AI1746" s="9" t="str">
        <f ca="1">IF('Banco de Dados'!$AK1746&lt;&gt;"-","REEMBOLSO",IFERROR(_xlfn.XLOOKUP(G1746,Follow[CODRASTREIO],Follow[STATUS]),"-"))</f>
        <v>REEMBOLSO</v>
      </c>
      <c r="AJ1746" s="9" t="str">
        <f ca="1">IF('Banco de Dados'!$AI1746="ENTREGUE",_xlfn.XLOOKUP('Banco de Dados'!$G1746,Follow[CODRASTREIO],Follow[DATAATUALIZAÇÃO]),"-")</f>
        <v>-</v>
      </c>
      <c r="AK1746" s="132">
        <f ca="1"/>
        <v>45839</v>
      </c>
      <c r="AL1746" s="35"/>
      <c r="AM1746" s="109" cm="1">
        <f t="array" aca="1" ref="AM1746" ca="1">IF('Banco de Dados'!$AK1746&lt;&gt;"-",_xlfn.IFS('Banco de Dados'!$A1746="bv",IF('Banco de Dados'!$E1746&lt;45641,ROUND(SUM('Banco de Dados'!$R1746*_xlfn.XLOOKUP('Banco de Dados'!$P1746,Sku!B:B,Sku!#REF!)*20%),2),ROUND(SUM('Banco de Dados'!$R1746*_xlfn.XLOOKUP('Banco de Dados'!$P1746,Sku!B:B,Sku!H:H)*20%),2)),'Banco de Dados'!$A1746="GO",ROUND(SUM('Banco de Dados'!$R1746*_xlfn.XLOOKUP('Banco de Dados'!$P1746,Sku!C:C,Sku!H:H)*20%),2),'Banco de Dados'!$A1746="MEI",ROUND(SUM('Banco de Dados'!$R1746*_xlfn.XLOOKUP('Banco de Dados'!$P1746,Sku!D:D,Sku!H:H)*20%),2)),0)</f>
        <v>0.91</v>
      </c>
      <c r="AN1746" s="109">
        <f ca="1">IF('Banco de Dados'!$AK1746&lt;&gt;"-",IF('Banco de Dados'!$F1746&lt;&gt;"-",_xlfn.XLOOKUP(IFERROR(IFERROR(IFERROR(VALUE(SUBSTITUTE(MID(_xlfn.TEXTAFTER('Banco de Dados'!$F1746,"Data do Pedido:
",1),1,10),"-","/")),VALUE(SUBSTITUTE(MID(_xlfn.TEXTAFTER('Banco de Dados'!$F1746,"Order date:
",1),1,10),"-","/"))),VALUE(SUBSTITUTE(MID(_xlfn.TEXTAFTER('Banco de Dados'!$F1746,"Fecha de pedido:
",1),1,10),"-","/"))),"-"),SMS!A:A,SMS!K:K),0),0)</f>
        <v>0</v>
      </c>
      <c r="AO1746" s="109">
        <f ca="1">IF('Banco de Dados'!$AK1746&lt;&gt;"-",IF('Banco de Dados'!$F1746&lt;&gt;"-",IFERROR(_xlfn.XLOOKUP(_xlfn.CONCAT('Banco de Dados'!$A1746,IFERROR(IFERROR(VALUE(SUBSTITUTE(MID(_xlfn.TEXTAFTER('Banco de Dados'!$F1746,"Data do Pedido:
",1),1,10),"-","/")),VALUE(SUBSTITUTE(MID(_xlfn.TEXTAFTER('Banco de Dados'!$F1746,"Order date:
",1),1,10),"-","/"))),0)),ProxyDD[Chave],ProxyDD[Valor por pedido]),PROXY!$P$2),0),0)</f>
        <v>0</v>
      </c>
      <c r="AP1746" s="28">
        <f ca="1">IF('Banco de Dados'!$AK1746&lt;&gt;"-",IF('Banco de Dados'!$AL1746="NÃO",IFERROR(VALUE(SUBSTITUTE(_xlfn.TEXTAFTER('Banco de Dados'!$F1746,"BRL ",1),".",",")),0),0),0)</f>
        <v>0</v>
      </c>
      <c r="AQ1746" s="28">
        <f ca="1">SUM('Banco de Dados'!$AM1746:$AP1746)</f>
        <v>0.91</v>
      </c>
      <c r="AR1746" s="8"/>
      <c r="AS1746" s="8"/>
      <c r="AT1746"/>
      <c r="AY1746" s="8"/>
    </row>
    <row r="1747" spans="1:51">
      <c r="A1747" s="5" t="str">
        <v>MEI</v>
      </c>
      <c r="B1747" s="5" t="str">
        <f ca="1"/>
        <v>MEI45806</v>
      </c>
      <c r="C1747" s="8" t="str">
        <v>Pedido 1734</v>
      </c>
      <c r="D1747" s="187">
        <v>45797</v>
      </c>
      <c r="E1747" s="9">
        <v>45806</v>
      </c>
      <c r="F1747" s="8" t="str">
        <v>PedidoF1632</v>
      </c>
      <c r="G1747" s="2" t="str">
        <v>CódRastreio1630</v>
      </c>
      <c r="H1747" s="5">
        <v>1</v>
      </c>
      <c r="I1747" s="182" t="str">
        <v>CPF 1692</v>
      </c>
      <c r="J1747" s="2" t="str">
        <v>Nome 1692</v>
      </c>
      <c r="K1747" s="8" t="str">
        <v>Tel 1692</v>
      </c>
      <c r="L1747" s="8" t="str">
        <v>Cep 1692</v>
      </c>
      <c r="M1747" s="8" t="str">
        <v>Rua 1692</v>
      </c>
      <c r="N1747" s="8" t="str">
        <v>Comp 1692</v>
      </c>
      <c r="O1747" s="8" t="str">
        <v>Ventilador Rosa</v>
      </c>
      <c r="P1747" s="8" t="str">
        <v>WR-82Y0-OV27</v>
      </c>
      <c r="Q1747" s="4">
        <v>45832</v>
      </c>
      <c r="R1747" s="109">
        <v>54</v>
      </c>
      <c r="S1747" s="11">
        <f ca="1"/>
        <v>54</v>
      </c>
      <c r="T1747" s="28">
        <f ca="1"/>
        <v>6.4799999999999995</v>
      </c>
      <c r="U1747" s="11">
        <f ca="1"/>
        <v>47.52</v>
      </c>
      <c r="V1747" s="11">
        <v>43.12</v>
      </c>
      <c r="W1747" s="11">
        <f ca="1"/>
        <v>0</v>
      </c>
      <c r="X1747" s="11">
        <f ca="1"/>
        <v>0.39877104377104378</v>
      </c>
      <c r="Y1747" s="11">
        <v>0</v>
      </c>
      <c r="Z1747" s="11">
        <f ca="1"/>
        <v>4.0012289562289638</v>
      </c>
      <c r="AA1747" s="11">
        <f ca="1"/>
        <v>2.0006144781144819</v>
      </c>
      <c r="AB1747" s="4">
        <f ca="1"/>
        <v>45839</v>
      </c>
      <c r="AC1747" s="4">
        <v>45839</v>
      </c>
      <c r="AD1747" s="9">
        <v>45853</v>
      </c>
      <c r="AE1747" s="9">
        <v>45873</v>
      </c>
      <c r="AF1747" s="4" t="str">
        <f t="shared" ca="1" si="122"/>
        <v>2025 07</v>
      </c>
      <c r="AG1747" s="8" t="str" cm="1">
        <f t="array" ref="AG1747">IFERROR(_xlfn.IFS('Banco de Dados'!#REF!="AG. COMPRA","Em processamento",'Banco de Dados'!#REF!="AG. RASTREIO","Em processamento",'Banco de Dados'!$AE1747&lt;&gt;"-","Faturado",'Banco de Dados'!$AD1747&lt;&gt;"-","Aguardando Pix",'Banco de Dados'!$AC1747&lt;&gt;"-","Pendente"),"Aguardando Liberação")</f>
        <v>Aguardando Liberação</v>
      </c>
      <c r="AH1747" s="5" t="str">
        <f>IF('Banco de Dados'!$F1747="-",_xlfn.CONCAT(PROPER(TEXT(AK1747,"aaaa"))," ",PROPER(TEXT(AK1747,"mm"))),_xlfn.CONCAT(PROPER(TEXT(E1747,"aaaa"))," ",PROPER(TEXT(E1747,"mm"))))</f>
        <v>2025 05</v>
      </c>
      <c r="AI1747" s="9" t="str">
        <f ca="1">IF('Banco de Dados'!$AK1747&lt;&gt;"-","REEMBOLSO",IFERROR(_xlfn.XLOOKUP(G1747,Follow[CODRASTREIO],Follow[STATUS]),"-"))</f>
        <v>ENTREGUE</v>
      </c>
      <c r="AJ1747" s="9">
        <f ca="1">IF('Banco de Dados'!$AI1747="ENTREGUE",_xlfn.XLOOKUP('Banco de Dados'!$G1747,Follow[CODRASTREIO],Follow[DATAATUALIZAÇÃO]),"-")</f>
        <v>45819</v>
      </c>
      <c r="AK1747" s="132" t="str">
        <f ca="1"/>
        <v>-</v>
      </c>
      <c r="AL1747" s="35"/>
      <c r="AM1747" s="109" cm="1">
        <f t="array" aca="1" ref="AM1747" ca="1">IF('Banco de Dados'!$AK1747&lt;&gt;"-",_xlfn.IFS('Banco de Dados'!$A1747="bv",IF('Banco de Dados'!$E1747&lt;45641,ROUND(SUM('Banco de Dados'!$R1747*_xlfn.XLOOKUP('Banco de Dados'!$P1747,Sku!B:B,Sku!#REF!)*20%),2),ROUND(SUM('Banco de Dados'!$R1747*_xlfn.XLOOKUP('Banco de Dados'!$P1747,Sku!B:B,Sku!H:H)*20%),2)),'Banco de Dados'!$A1747="GO",ROUND(SUM('Banco de Dados'!$R1747*_xlfn.XLOOKUP('Banco de Dados'!$P1747,Sku!C:C,Sku!H:H)*20%),2),'Banco de Dados'!$A1747="MEI",ROUND(SUM('Banco de Dados'!$R1747*_xlfn.XLOOKUP('Banco de Dados'!$P1747,Sku!D:D,Sku!H:H)*20%),2)),0)</f>
        <v>0</v>
      </c>
      <c r="AN1747" s="109">
        <f ca="1">IF('Banco de Dados'!$AK1747&lt;&gt;"-",IF('Banco de Dados'!$F1747&lt;&gt;"-",_xlfn.XLOOKUP(IFERROR(IFERROR(IFERROR(VALUE(SUBSTITUTE(MID(_xlfn.TEXTAFTER('Banco de Dados'!$F1747,"Data do Pedido:
",1),1,10),"-","/")),VALUE(SUBSTITUTE(MID(_xlfn.TEXTAFTER('Banco de Dados'!$F1747,"Order date:
",1),1,10),"-","/"))),VALUE(SUBSTITUTE(MID(_xlfn.TEXTAFTER('Banco de Dados'!$F1747,"Fecha de pedido:
",1),1,10),"-","/"))),"-"),SMS!A:A,SMS!K:K),0),0)</f>
        <v>0</v>
      </c>
      <c r="AO1747" s="109">
        <f ca="1">IF('Banco de Dados'!$AK1747&lt;&gt;"-",IF('Banco de Dados'!$F1747&lt;&gt;"-",IFERROR(_xlfn.XLOOKUP(_xlfn.CONCAT('Banco de Dados'!$A1747,IFERROR(IFERROR(VALUE(SUBSTITUTE(MID(_xlfn.TEXTAFTER('Banco de Dados'!$F1747,"Data do Pedido:
",1),1,10),"-","/")),VALUE(SUBSTITUTE(MID(_xlfn.TEXTAFTER('Banco de Dados'!$F1747,"Order date:
",1),1,10),"-","/"))),0)),ProxyDD[Chave],ProxyDD[Valor por pedido]),PROXY!$P$2),0),0)</f>
        <v>0</v>
      </c>
      <c r="AP1747" s="28">
        <f ca="1">IF('Banco de Dados'!$AK1747&lt;&gt;"-",IF('Banco de Dados'!$AL1747="NÃO",IFERROR(VALUE(SUBSTITUTE(_xlfn.TEXTAFTER('Banco de Dados'!$F1747,"BRL ",1),".",",")),0),0),0)</f>
        <v>0</v>
      </c>
      <c r="AQ1747" s="28">
        <f ca="1">SUM('Banco de Dados'!$AM1747:$AP1747)</f>
        <v>0</v>
      </c>
      <c r="AR1747" s="8"/>
      <c r="AS1747" s="8"/>
      <c r="AT1747"/>
      <c r="AY1747" s="8"/>
    </row>
    <row r="1748" spans="1:51">
      <c r="A1748" s="5" t="str">
        <v>MEI</v>
      </c>
      <c r="B1748" s="5" t="str">
        <f ca="1"/>
        <v>MEI45806</v>
      </c>
      <c r="C1748" s="8" t="str">
        <v>Pedido 1735</v>
      </c>
      <c r="D1748" s="187">
        <v>45798</v>
      </c>
      <c r="E1748" s="9">
        <v>45806</v>
      </c>
      <c r="F1748" s="8" t="str">
        <v>PedidoF1633</v>
      </c>
      <c r="G1748" s="2" t="str">
        <v>CódRastreio1631</v>
      </c>
      <c r="H1748" s="5">
        <v>1</v>
      </c>
      <c r="I1748" s="182" t="str">
        <v>CPF 1693</v>
      </c>
      <c r="J1748" s="2" t="str">
        <v>Nome 1693</v>
      </c>
      <c r="K1748" s="8" t="str">
        <v>Tel 1693</v>
      </c>
      <c r="L1748" s="8" t="str">
        <v>Cep 1693</v>
      </c>
      <c r="M1748" s="8" t="str">
        <v>Rua 1693</v>
      </c>
      <c r="N1748" s="8" t="str">
        <v>Comp 1693</v>
      </c>
      <c r="O1748" s="8" t="str">
        <v>Ventilador Rosa</v>
      </c>
      <c r="P1748" s="8" t="str">
        <v>WR-82Y0-OV27</v>
      </c>
      <c r="Q1748" s="4">
        <v>45825</v>
      </c>
      <c r="R1748" s="109">
        <v>54</v>
      </c>
      <c r="S1748" s="11">
        <f ca="1"/>
        <v>54</v>
      </c>
      <c r="T1748" s="28">
        <f ca="1"/>
        <v>6.4799999999999995</v>
      </c>
      <c r="U1748" s="11">
        <f ca="1"/>
        <v>47.52</v>
      </c>
      <c r="V1748" s="11">
        <v>44.73</v>
      </c>
      <c r="W1748" s="11">
        <f ca="1"/>
        <v>0</v>
      </c>
      <c r="X1748" s="11">
        <f ca="1"/>
        <v>0.39877104377104378</v>
      </c>
      <c r="Y1748" s="11">
        <v>0</v>
      </c>
      <c r="Z1748" s="11">
        <f ca="1"/>
        <v>2.3912289562289644</v>
      </c>
      <c r="AA1748" s="11">
        <f ca="1"/>
        <v>1.1956144781144822</v>
      </c>
      <c r="AB1748" s="4">
        <f ca="1"/>
        <v>45832</v>
      </c>
      <c r="AC1748" s="4">
        <v>45832</v>
      </c>
      <c r="AD1748" s="9">
        <v>45838</v>
      </c>
      <c r="AE1748" s="9">
        <v>45839</v>
      </c>
      <c r="AF1748" s="4" t="str">
        <f t="shared" ca="1" si="122"/>
        <v>2025 06</v>
      </c>
      <c r="AG1748" s="8" t="str" cm="1">
        <f t="array" ref="AG1748">IFERROR(_xlfn.IFS('Banco de Dados'!#REF!="AG. COMPRA","Em processamento",'Banco de Dados'!#REF!="AG. RASTREIO","Em processamento",'Banco de Dados'!$AE1748&lt;&gt;"-","Faturado",'Banco de Dados'!$AD1748&lt;&gt;"-","Aguardando Pix",'Banco de Dados'!$AC1748&lt;&gt;"-","Pendente"),"Aguardando Liberação")</f>
        <v>Aguardando Liberação</v>
      </c>
      <c r="AH1748" s="5" t="str">
        <f>IF('Banco de Dados'!$F1748="-",_xlfn.CONCAT(PROPER(TEXT(AK1748,"aaaa"))," ",PROPER(TEXT(AK1748,"mm"))),_xlfn.CONCAT(PROPER(TEXT(E1748,"aaaa"))," ",PROPER(TEXT(E1748,"mm"))))</f>
        <v>2025 05</v>
      </c>
      <c r="AI1748" s="9" t="str">
        <f ca="1">IF('Banco de Dados'!$AK1748&lt;&gt;"-","REEMBOLSO",IFERROR(_xlfn.XLOOKUP(G1748,Follow[CODRASTREIO],Follow[STATUS]),"-"))</f>
        <v>ENTREGUE</v>
      </c>
      <c r="AJ1748" s="9">
        <f ca="1">IF('Banco de Dados'!$AI1748="ENTREGUE",_xlfn.XLOOKUP('Banco de Dados'!$G1748,Follow[CODRASTREIO],Follow[DATAATUALIZAÇÃO]),"-")</f>
        <v>45819</v>
      </c>
      <c r="AK1748" s="132" t="str">
        <f ca="1"/>
        <v>-</v>
      </c>
      <c r="AL1748" s="35"/>
      <c r="AM1748" s="109" cm="1">
        <f t="array" aca="1" ref="AM1748" ca="1">IF('Banco de Dados'!$AK1748&lt;&gt;"-",_xlfn.IFS('Banco de Dados'!$A1748="bv",IF('Banco de Dados'!$E1748&lt;45641,ROUND(SUM('Banco de Dados'!$R1748*_xlfn.XLOOKUP('Banco de Dados'!$P1748,Sku!B:B,Sku!#REF!)*20%),2),ROUND(SUM('Banco de Dados'!$R1748*_xlfn.XLOOKUP('Banco de Dados'!$P1748,Sku!B:B,Sku!H:H)*20%),2)),'Banco de Dados'!$A1748="GO",ROUND(SUM('Banco de Dados'!$R1748*_xlfn.XLOOKUP('Banco de Dados'!$P1748,Sku!C:C,Sku!H:H)*20%),2),'Banco de Dados'!$A1748="MEI",ROUND(SUM('Banco de Dados'!$R1748*_xlfn.XLOOKUP('Banco de Dados'!$P1748,Sku!D:D,Sku!H:H)*20%),2)),0)</f>
        <v>0</v>
      </c>
      <c r="AN1748" s="109">
        <f ca="1">IF('Banco de Dados'!$AK1748&lt;&gt;"-",IF('Banco de Dados'!$F1748&lt;&gt;"-",_xlfn.XLOOKUP(IFERROR(IFERROR(IFERROR(VALUE(SUBSTITUTE(MID(_xlfn.TEXTAFTER('Banco de Dados'!$F1748,"Data do Pedido:
",1),1,10),"-","/")),VALUE(SUBSTITUTE(MID(_xlfn.TEXTAFTER('Banco de Dados'!$F1748,"Order date:
",1),1,10),"-","/"))),VALUE(SUBSTITUTE(MID(_xlfn.TEXTAFTER('Banco de Dados'!$F1748,"Fecha de pedido:
",1),1,10),"-","/"))),"-"),SMS!A:A,SMS!K:K),0),0)</f>
        <v>0</v>
      </c>
      <c r="AO1748" s="109">
        <f ca="1">IF('Banco de Dados'!$AK1748&lt;&gt;"-",IF('Banco de Dados'!$F1748&lt;&gt;"-",IFERROR(_xlfn.XLOOKUP(_xlfn.CONCAT('Banco de Dados'!$A1748,IFERROR(IFERROR(VALUE(SUBSTITUTE(MID(_xlfn.TEXTAFTER('Banco de Dados'!$F1748,"Data do Pedido:
",1),1,10),"-","/")),VALUE(SUBSTITUTE(MID(_xlfn.TEXTAFTER('Banco de Dados'!$F1748,"Order date:
",1),1,10),"-","/"))),0)),ProxyDD[Chave],ProxyDD[Valor por pedido]),PROXY!$P$2),0),0)</f>
        <v>0</v>
      </c>
      <c r="AP1748" s="28">
        <f ca="1">IF('Banco de Dados'!$AK1748&lt;&gt;"-",IF('Banco de Dados'!$AL1748="NÃO",IFERROR(VALUE(SUBSTITUTE(_xlfn.TEXTAFTER('Banco de Dados'!$F1748,"BRL ",1),".",",")),0),0),0)</f>
        <v>0</v>
      </c>
      <c r="AQ1748" s="28">
        <f ca="1">SUM('Banco de Dados'!$AM1748:$AP1748)</f>
        <v>0</v>
      </c>
      <c r="AR1748" s="8"/>
      <c r="AS1748" s="8"/>
      <c r="AT1748"/>
      <c r="AY1748" s="8"/>
    </row>
    <row r="1749" spans="1:51">
      <c r="A1749" s="5" t="str">
        <v>MEI</v>
      </c>
      <c r="B1749" s="5" t="str">
        <f ca="1"/>
        <v>MEI45807</v>
      </c>
      <c r="C1749" s="8" t="str">
        <v>Pedido 1736</v>
      </c>
      <c r="D1749" s="187">
        <v>45799</v>
      </c>
      <c r="E1749" s="9">
        <v>45807</v>
      </c>
      <c r="F1749" s="8" t="str">
        <v>PedidoF1634</v>
      </c>
      <c r="G1749" s="2" t="str">
        <v>CódRastreio1632</v>
      </c>
      <c r="H1749" s="5">
        <v>1</v>
      </c>
      <c r="I1749" s="182" t="str">
        <v>CPF 1694</v>
      </c>
      <c r="J1749" s="2" t="str">
        <v>Nome 1694</v>
      </c>
      <c r="K1749" s="8" t="str">
        <v>Tel 1694</v>
      </c>
      <c r="L1749" s="8" t="str">
        <v>Cep 1694</v>
      </c>
      <c r="M1749" s="8" t="str">
        <v>Rua 1694</v>
      </c>
      <c r="N1749" s="8" t="str">
        <v>Comp 1694</v>
      </c>
      <c r="O1749" s="8" t="str">
        <v>Ventilador Azul</v>
      </c>
      <c r="P1749" s="8" t="str">
        <v>PK-L2Z7-MQRQ</v>
      </c>
      <c r="Q1749" s="4">
        <v>45834</v>
      </c>
      <c r="R1749" s="109">
        <v>54</v>
      </c>
      <c r="S1749" s="11">
        <f ca="1"/>
        <v>0</v>
      </c>
      <c r="T1749" s="28">
        <f ca="1"/>
        <v>0</v>
      </c>
      <c r="U1749" s="11">
        <f ca="1"/>
        <v>0</v>
      </c>
      <c r="V1749" s="11">
        <v>0</v>
      </c>
      <c r="W1749" s="11">
        <f ca="1"/>
        <v>0</v>
      </c>
      <c r="X1749" s="11">
        <f ca="1"/>
        <v>0.39877104377104378</v>
      </c>
      <c r="Y1749" s="11">
        <v>0</v>
      </c>
      <c r="Z1749" s="11">
        <f ca="1"/>
        <v>-0.39877104377104378</v>
      </c>
      <c r="AA1749" s="11">
        <f ca="1"/>
        <v>-0.19938552188552189</v>
      </c>
      <c r="AB1749" s="4">
        <f ca="1"/>
        <v>45841</v>
      </c>
      <c r="AC1749" s="4">
        <v>45841</v>
      </c>
      <c r="AD1749" s="9">
        <v>45853</v>
      </c>
      <c r="AE1749" s="9">
        <v>45873</v>
      </c>
      <c r="AF1749" s="4" t="str">
        <f t="shared" ref="AF1749:AF1753" ca="1" si="123">_xlfn.CONCAT(PROPER(TEXT(AB1749,"aaaa"))," ",PROPER(TEXT(AB1749,"mm")))</f>
        <v>2025 07</v>
      </c>
      <c r="AG1749" s="8" t="str" cm="1">
        <f t="array" ref="AG1749">IFERROR(_xlfn.IFS('Banco de Dados'!#REF!="AG. COMPRA","Em processamento",'Banco de Dados'!#REF!="AG. RASTREIO","Em processamento",'Banco de Dados'!$AE1749&lt;&gt;"-","Faturado",'Banco de Dados'!$AD1749&lt;&gt;"-","Aguardando Pix",'Banco de Dados'!$AC1749&lt;&gt;"-","Pendente"),"Aguardando Liberação")</f>
        <v>Aguardando Liberação</v>
      </c>
      <c r="AH1749" s="5" t="str">
        <f>IF('Banco de Dados'!$F1749="-",_xlfn.CONCAT(PROPER(TEXT(AK1749,"aaaa"))," ",PROPER(TEXT(AK1749,"mm"))),_xlfn.CONCAT(PROPER(TEXT(E1749,"aaaa"))," ",PROPER(TEXT(E1749,"mm"))))</f>
        <v>2025 05</v>
      </c>
      <c r="AI1749" s="9" t="str">
        <f ca="1">IF('Banco de Dados'!$AK1749&lt;&gt;"-","REEMBOLSO",IFERROR(_xlfn.XLOOKUP(G1749,Follow[CODRASTREIO],Follow[STATUS]),"-"))</f>
        <v>REEMBOLSO</v>
      </c>
      <c r="AJ1749" s="9" t="str">
        <f ca="1">IF('Banco de Dados'!$AI1749="ENTREGUE",_xlfn.XLOOKUP('Banco de Dados'!$G1749,Follow[CODRASTREIO],Follow[DATAATUALIZAÇÃO]),"-")</f>
        <v>-</v>
      </c>
      <c r="AK1749" s="132">
        <f ca="1"/>
        <v>45861</v>
      </c>
      <c r="AL1749" s="35"/>
      <c r="AM1749" s="109" cm="1">
        <f t="array" aca="1" ref="AM1749" ca="1">IF('Banco de Dados'!$AK1749&lt;&gt;"-",_xlfn.IFS('Banco de Dados'!$A1749="bv",IF('Banco de Dados'!$E1749&lt;45641,ROUND(SUM('Banco de Dados'!$R1749*_xlfn.XLOOKUP('Banco de Dados'!$P1749,Sku!B:B,Sku!#REF!)*20%),2),ROUND(SUM('Banco de Dados'!$R1749*_xlfn.XLOOKUP('Banco de Dados'!$P1749,Sku!B:B,Sku!H:H)*20%),2)),'Banco de Dados'!$A1749="GO",ROUND(SUM('Banco de Dados'!$R1749*_xlfn.XLOOKUP('Banco de Dados'!$P1749,Sku!C:C,Sku!H:H)*20%),2),'Banco de Dados'!$A1749="MEI",ROUND(SUM('Banco de Dados'!$R1749*_xlfn.XLOOKUP('Banco de Dados'!$P1749,Sku!D:D,Sku!H:H)*20%),2)),0)</f>
        <v>1.4</v>
      </c>
      <c r="AN1749" s="109">
        <v>0</v>
      </c>
      <c r="AO1749" s="109">
        <v>0</v>
      </c>
      <c r="AP1749" s="28">
        <f ca="1">IF('Banco de Dados'!$AK1749&lt;&gt;"-",IF('Banco de Dados'!$AL1749="NÃO",IFERROR(VALUE(SUBSTITUTE(_xlfn.TEXTAFTER('Banco de Dados'!$F1749,"BRL ",1),".",",")),0),0),0)</f>
        <v>0</v>
      </c>
      <c r="AQ1749" s="28">
        <f ca="1">SUM('Banco de Dados'!$AM1749:$AP1749)</f>
        <v>1.4</v>
      </c>
      <c r="AR1749" s="8"/>
      <c r="AS1749" s="8"/>
      <c r="AT1749"/>
      <c r="AY1749" s="8"/>
    </row>
    <row r="1750" spans="1:51">
      <c r="A1750" s="5" t="str">
        <v>MEI</v>
      </c>
      <c r="B1750" s="5" t="str">
        <f ca="1"/>
        <v>MEI45806</v>
      </c>
      <c r="C1750" s="8" t="str">
        <v>Pedido 1736</v>
      </c>
      <c r="D1750" s="187">
        <v>45799</v>
      </c>
      <c r="E1750" s="9">
        <v>45806</v>
      </c>
      <c r="F1750" s="8" t="str">
        <v>PedidoF1635</v>
      </c>
      <c r="G1750" s="2" t="str">
        <v>CódRastreio1633</v>
      </c>
      <c r="H1750" s="5">
        <v>1</v>
      </c>
      <c r="I1750" s="182" t="str">
        <v>CPF 1694</v>
      </c>
      <c r="J1750" s="2" t="str">
        <v>Nome 1694</v>
      </c>
      <c r="K1750" s="8" t="str">
        <v>Tel 1694</v>
      </c>
      <c r="L1750" s="8" t="str">
        <v>Cep 1694</v>
      </c>
      <c r="M1750" s="8" t="str">
        <v>Rua 1694</v>
      </c>
      <c r="N1750" s="8" t="str">
        <v>Comp 1694</v>
      </c>
      <c r="O1750" s="8" t="str">
        <v>Bomba d'agua</v>
      </c>
      <c r="P1750" s="8" t="str">
        <v>U1-D95R-HYRT</v>
      </c>
      <c r="Q1750" s="4">
        <v>45834</v>
      </c>
      <c r="R1750" s="109">
        <v>35.99</v>
      </c>
      <c r="S1750" s="11">
        <f ca="1"/>
        <v>0</v>
      </c>
      <c r="T1750" s="28">
        <f ca="1"/>
        <v>0</v>
      </c>
      <c r="U1750" s="11">
        <f ca="1"/>
        <v>0</v>
      </c>
      <c r="V1750" s="11">
        <v>0</v>
      </c>
      <c r="W1750" s="11">
        <f ca="1"/>
        <v>0</v>
      </c>
      <c r="X1750" s="11">
        <f ca="1"/>
        <v>0.39877104377104378</v>
      </c>
      <c r="Y1750" s="11">
        <v>0</v>
      </c>
      <c r="Z1750" s="11">
        <f ca="1"/>
        <v>-0.39877104377104378</v>
      </c>
      <c r="AA1750" s="11">
        <f ca="1"/>
        <v>-0.19938552188552189</v>
      </c>
      <c r="AB1750" s="4">
        <f ca="1"/>
        <v>45841</v>
      </c>
      <c r="AC1750" s="4">
        <v>45841</v>
      </c>
      <c r="AD1750" s="9">
        <v>45853</v>
      </c>
      <c r="AE1750" s="9">
        <v>45873</v>
      </c>
      <c r="AF1750" s="4" t="str">
        <f t="shared" ca="1" si="123"/>
        <v>2025 07</v>
      </c>
      <c r="AG1750" s="8" t="str" cm="1">
        <f t="array" ref="AG1750">IFERROR(_xlfn.IFS('Banco de Dados'!#REF!="AG. COMPRA","Em processamento",'Banco de Dados'!#REF!="AG. RASTREIO","Em processamento",'Banco de Dados'!$AE1750&lt;&gt;"-","Faturado",'Banco de Dados'!$AD1750&lt;&gt;"-","Aguardando Pix",'Banco de Dados'!$AC1750&lt;&gt;"-","Pendente"),"Aguardando Liberação")</f>
        <v>Aguardando Liberação</v>
      </c>
      <c r="AH1750" s="5" t="str">
        <f>IF('Banco de Dados'!$F1750="-",_xlfn.CONCAT(PROPER(TEXT(AK1750,"aaaa"))," ",PROPER(TEXT(AK1750,"mm"))),_xlfn.CONCAT(PROPER(TEXT(E1750,"aaaa"))," ",PROPER(TEXT(E1750,"mm"))))</f>
        <v>2025 05</v>
      </c>
      <c r="AI1750" s="9" t="str">
        <f ca="1">IF('Banco de Dados'!$AK1750&lt;&gt;"-","REEMBOLSO",IFERROR(_xlfn.XLOOKUP(G1750,Follow[CODRASTREIO],Follow[STATUS]),"-"))</f>
        <v>REEMBOLSO</v>
      </c>
      <c r="AJ1750" s="9" t="str">
        <f ca="1">IF('Banco de Dados'!$AI1750="ENTREGUE",_xlfn.XLOOKUP('Banco de Dados'!$G1750,Follow[CODRASTREIO],Follow[DATAATUALIZAÇÃO]),"-")</f>
        <v>-</v>
      </c>
      <c r="AK1750" s="132">
        <f ca="1"/>
        <v>45861</v>
      </c>
      <c r="AL1750" s="35"/>
      <c r="AM1750" s="109" cm="1">
        <f t="array" aca="1" ref="AM1750" ca="1">IF('Banco de Dados'!$AK1750&lt;&gt;"-",_xlfn.IFS('Banco de Dados'!$A1750="bv",IF('Banco de Dados'!$E1750&lt;45641,ROUND(SUM('Banco de Dados'!$R1750*_xlfn.XLOOKUP('Banco de Dados'!$P1750,Sku!B:B,Sku!#REF!)*20%),2),ROUND(SUM('Banco de Dados'!$R1750*_xlfn.XLOOKUP('Banco de Dados'!$P1750,Sku!B:B,Sku!H:H)*20%),2)),'Banco de Dados'!$A1750="GO",ROUND(SUM('Banco de Dados'!$R1750*_xlfn.XLOOKUP('Banco de Dados'!$P1750,Sku!C:C,Sku!H:H)*20%),2),'Banco de Dados'!$A1750="MEI",ROUND(SUM('Banco de Dados'!$R1750*_xlfn.XLOOKUP('Banco de Dados'!$P1750,Sku!D:D,Sku!H:H)*20%),2)),0)</f>
        <v>1.01</v>
      </c>
      <c r="AN1750" s="109">
        <v>0</v>
      </c>
      <c r="AO1750" s="109">
        <v>0</v>
      </c>
      <c r="AP1750" s="28">
        <f ca="1">IF('Banco de Dados'!$AK1750&lt;&gt;"-",IF('Banco de Dados'!$AL1750="NÃO",IFERROR(VALUE(SUBSTITUTE(_xlfn.TEXTAFTER('Banco de Dados'!$F1750,"BRL ",1),".",",")),0),0),0)</f>
        <v>0</v>
      </c>
      <c r="AQ1750" s="28">
        <f ca="1">SUM('Banco de Dados'!$AM1750:$AP1750)</f>
        <v>1.01</v>
      </c>
      <c r="AR1750" s="8"/>
      <c r="AS1750" s="8"/>
      <c r="AT1750"/>
      <c r="AY1750" s="8"/>
    </row>
    <row r="1751" spans="1:51">
      <c r="A1751" s="5" t="str">
        <v>MEI</v>
      </c>
      <c r="B1751" s="5" t="str">
        <f ca="1"/>
        <v>MEI45806</v>
      </c>
      <c r="C1751" s="8" t="str">
        <v>Pedido 1737</v>
      </c>
      <c r="D1751" s="187">
        <v>45801</v>
      </c>
      <c r="E1751" s="9">
        <v>45806</v>
      </c>
      <c r="F1751" s="8" t="str">
        <v>PedidoF1636</v>
      </c>
      <c r="G1751" s="2" t="str">
        <v>CódRastreio1634</v>
      </c>
      <c r="H1751" s="5">
        <v>1</v>
      </c>
      <c r="I1751" s="182" t="str">
        <v>CPF 1695</v>
      </c>
      <c r="J1751" s="2" t="str">
        <v>Nome 1695</v>
      </c>
      <c r="K1751" s="8" t="str">
        <v>Tel 1695</v>
      </c>
      <c r="L1751" s="8" t="str">
        <v>Cep 1695</v>
      </c>
      <c r="M1751" s="8" t="str">
        <v>Rua 1695</v>
      </c>
      <c r="N1751" s="8" t="str">
        <v>Comp 1695</v>
      </c>
      <c r="O1751" s="8" t="str">
        <v>Ventilador Rosa</v>
      </c>
      <c r="P1751" s="8" t="str">
        <v>WR-82Y0-OV27</v>
      </c>
      <c r="Q1751" s="4">
        <v>45827</v>
      </c>
      <c r="R1751" s="109">
        <v>54</v>
      </c>
      <c r="S1751" s="11">
        <f ca="1"/>
        <v>54</v>
      </c>
      <c r="T1751" s="28">
        <f ca="1"/>
        <v>6.4799999999999995</v>
      </c>
      <c r="U1751" s="11">
        <f ca="1"/>
        <v>47.52</v>
      </c>
      <c r="V1751" s="11">
        <v>43.12</v>
      </c>
      <c r="W1751" s="11">
        <f ca="1"/>
        <v>0</v>
      </c>
      <c r="X1751" s="11">
        <f ca="1"/>
        <v>0.39877104377104378</v>
      </c>
      <c r="Y1751" s="11">
        <v>0</v>
      </c>
      <c r="Z1751" s="11">
        <f ca="1"/>
        <v>4.0012289562289638</v>
      </c>
      <c r="AA1751" s="11">
        <f ca="1"/>
        <v>2.0006144781144819</v>
      </c>
      <c r="AB1751" s="4">
        <f ca="1"/>
        <v>45834</v>
      </c>
      <c r="AC1751" s="4">
        <v>45834</v>
      </c>
      <c r="AD1751" s="9">
        <v>45838</v>
      </c>
      <c r="AE1751" s="9">
        <v>45839</v>
      </c>
      <c r="AF1751" s="4" t="str">
        <f t="shared" ca="1" si="123"/>
        <v>2025 06</v>
      </c>
      <c r="AG1751" s="8" t="str" cm="1">
        <f t="array" ref="AG1751">IFERROR(_xlfn.IFS('Banco de Dados'!#REF!="AG. COMPRA","Em processamento",'Banco de Dados'!#REF!="AG. RASTREIO","Em processamento",'Banco de Dados'!$AE1751&lt;&gt;"-","Faturado",'Banco de Dados'!$AD1751&lt;&gt;"-","Aguardando Pix",'Banco de Dados'!$AC1751&lt;&gt;"-","Pendente"),"Aguardando Liberação")</f>
        <v>Aguardando Liberação</v>
      </c>
      <c r="AH1751" s="5" t="str">
        <f>IF('Banco de Dados'!$F1751="-",_xlfn.CONCAT(PROPER(TEXT(AK1751,"aaaa"))," ",PROPER(TEXT(AK1751,"mm"))),_xlfn.CONCAT(PROPER(TEXT(E1751,"aaaa"))," ",PROPER(TEXT(E1751,"mm"))))</f>
        <v>2025 05</v>
      </c>
      <c r="AI1751" s="9" t="str">
        <f ca="1">IF('Banco de Dados'!$AK1751&lt;&gt;"-","REEMBOLSO",IFERROR(_xlfn.XLOOKUP(G1751,Follow[CODRASTREIO],Follow[STATUS]),"-"))</f>
        <v>ENTREGUE</v>
      </c>
      <c r="AJ1751" s="9">
        <f ca="1">IF('Banco de Dados'!$AI1751="ENTREGUE",_xlfn.XLOOKUP('Banco de Dados'!$G1751,Follow[CODRASTREIO],Follow[DATAATUALIZAÇÃO]),"-")</f>
        <v>45818</v>
      </c>
      <c r="AK1751" s="132" t="str">
        <f ca="1"/>
        <v>-</v>
      </c>
      <c r="AL1751" s="35"/>
      <c r="AM1751" s="109" cm="1">
        <f t="array" aca="1" ref="AM1751" ca="1">IF('Banco de Dados'!$AK1751&lt;&gt;"-",_xlfn.IFS('Banco de Dados'!$A1751="bv",IF('Banco de Dados'!$E1751&lt;45641,ROUND(SUM('Banco de Dados'!$R1751*_xlfn.XLOOKUP('Banco de Dados'!$P1751,Sku!B:B,Sku!#REF!)*20%),2),ROUND(SUM('Banco de Dados'!$R1751*_xlfn.XLOOKUP('Banco de Dados'!$P1751,Sku!B:B,Sku!H:H)*20%),2)),'Banco de Dados'!$A1751="GO",ROUND(SUM('Banco de Dados'!$R1751*_xlfn.XLOOKUP('Banco de Dados'!$P1751,Sku!C:C,Sku!H:H)*20%),2),'Banco de Dados'!$A1751="MEI",ROUND(SUM('Banco de Dados'!$R1751*_xlfn.XLOOKUP('Banco de Dados'!$P1751,Sku!D:D,Sku!H:H)*20%),2)),0)</f>
        <v>0</v>
      </c>
      <c r="AN1751" s="109">
        <f ca="1">IF('Banco de Dados'!$AK1751&lt;&gt;"-",IF('Banco de Dados'!$F1751&lt;&gt;"-",_xlfn.XLOOKUP(IFERROR(IFERROR(IFERROR(VALUE(SUBSTITUTE(MID(_xlfn.TEXTAFTER('Banco de Dados'!$F1751,"Data do Pedido:
",1),1,10),"-","/")),VALUE(SUBSTITUTE(MID(_xlfn.TEXTAFTER('Banco de Dados'!$F1751,"Order date:
",1),1,10),"-","/"))),VALUE(SUBSTITUTE(MID(_xlfn.TEXTAFTER('Banco de Dados'!$F1751,"Fecha de pedido:
",1),1,10),"-","/"))),"-"),SMS!A:A,SMS!K:K),0),0)</f>
        <v>0</v>
      </c>
      <c r="AO1751" s="109">
        <f ca="1">IF('Banco de Dados'!$AK1751&lt;&gt;"-",IF('Banco de Dados'!$F1751&lt;&gt;"-",IFERROR(_xlfn.XLOOKUP(_xlfn.CONCAT('Banco de Dados'!$A1751,IFERROR(IFERROR(VALUE(SUBSTITUTE(MID(_xlfn.TEXTAFTER('Banco de Dados'!$F1751,"Data do Pedido:
",1),1,10),"-","/")),VALUE(SUBSTITUTE(MID(_xlfn.TEXTAFTER('Banco de Dados'!$F1751,"Order date:
",1),1,10),"-","/"))),0)),ProxyDD[Chave],ProxyDD[Valor por pedido]),PROXY!$P$2),0),0)</f>
        <v>0</v>
      </c>
      <c r="AP1751" s="28">
        <f ca="1">IF('Banco de Dados'!$AK1751&lt;&gt;"-",IF('Banco de Dados'!$AL1751="NÃO",IFERROR(VALUE(SUBSTITUTE(_xlfn.TEXTAFTER('Banco de Dados'!$F1751,"BRL ",1),".",",")),0),0),0)</f>
        <v>0</v>
      </c>
      <c r="AQ1751" s="28">
        <f ca="1">SUM('Banco de Dados'!$AM1751:$AP1751)</f>
        <v>0</v>
      </c>
      <c r="AR1751" s="8"/>
      <c r="AS1751" s="8"/>
      <c r="AT1751"/>
      <c r="AY1751" s="8"/>
    </row>
    <row r="1752" spans="1:51">
      <c r="A1752" s="5" t="str">
        <v>GO</v>
      </c>
      <c r="B1752" s="5" t="str">
        <f ca="1"/>
        <v>GO45806</v>
      </c>
      <c r="C1752" s="8" t="str">
        <v>Pedido 1738</v>
      </c>
      <c r="D1752" s="187">
        <v>45801</v>
      </c>
      <c r="E1752" s="9">
        <v>45806</v>
      </c>
      <c r="F1752" s="8" t="str">
        <v>PedidoF1637</v>
      </c>
      <c r="G1752" s="2" t="str">
        <v>CódRastreio1635</v>
      </c>
      <c r="H1752" s="5">
        <v>1</v>
      </c>
      <c r="I1752" s="182" t="str">
        <v>CPF 1696</v>
      </c>
      <c r="J1752" s="2" t="str">
        <v>Nome 1696</v>
      </c>
      <c r="K1752" s="8" t="str">
        <v>Tel 1696</v>
      </c>
      <c r="L1752" s="8" t="str">
        <v>Cep 1696</v>
      </c>
      <c r="M1752" s="8" t="str">
        <v>Rua 1696</v>
      </c>
      <c r="N1752" s="8" t="str">
        <v>Comp 1696</v>
      </c>
      <c r="O1752" s="8" t="str">
        <v>Mini Liquidificador</v>
      </c>
      <c r="P1752" s="8" t="str">
        <v>Q3-ZLM0-OEUO</v>
      </c>
      <c r="Q1752" s="4">
        <v>45827</v>
      </c>
      <c r="R1752" s="109">
        <v>40.799999999999997</v>
      </c>
      <c r="S1752" s="11">
        <f ca="1"/>
        <v>40.799999999999997</v>
      </c>
      <c r="T1752" s="28">
        <f ca="1"/>
        <v>4.8959999999999999</v>
      </c>
      <c r="U1752" s="11">
        <f ca="1"/>
        <v>35.9</v>
      </c>
      <c r="V1752" s="11">
        <v>29.51</v>
      </c>
      <c r="W1752" s="11">
        <f ca="1"/>
        <v>0</v>
      </c>
      <c r="X1752" s="11">
        <f ca="1"/>
        <v>0.39877104377104378</v>
      </c>
      <c r="Y1752" s="11">
        <v>0</v>
      </c>
      <c r="Z1752" s="11">
        <f ca="1"/>
        <v>5.9912289562289516</v>
      </c>
      <c r="AA1752" s="11">
        <f ca="1"/>
        <v>5.9912289562289516</v>
      </c>
      <c r="AB1752" s="4">
        <f ca="1"/>
        <v>45834</v>
      </c>
      <c r="AC1752" s="4">
        <v>45834</v>
      </c>
      <c r="AD1752" s="9">
        <v>45838</v>
      </c>
      <c r="AE1752" s="9">
        <v>45839</v>
      </c>
      <c r="AF1752" s="4" t="str">
        <f t="shared" ca="1" si="123"/>
        <v>2025 06</v>
      </c>
      <c r="AG1752" s="8" t="str" cm="1">
        <f t="array" ref="AG1752">IFERROR(_xlfn.IFS('Banco de Dados'!#REF!="AG. COMPRA","Em processamento",'Banco de Dados'!#REF!="AG. RASTREIO","Em processamento",'Banco de Dados'!$AE1752&lt;&gt;"-","Faturado",'Banco de Dados'!$AD1752&lt;&gt;"-","Aguardando Pix",'Banco de Dados'!$AC1752&lt;&gt;"-","Pendente"),"Aguardando Liberação")</f>
        <v>Aguardando Liberação</v>
      </c>
      <c r="AH1752" s="5" t="str">
        <f>IF('Banco de Dados'!$F1752="-",_xlfn.CONCAT(PROPER(TEXT(AK1752,"aaaa"))," ",PROPER(TEXT(AK1752,"mm"))),_xlfn.CONCAT(PROPER(TEXT(E1752,"aaaa"))," ",PROPER(TEXT(E1752,"mm"))))</f>
        <v>2025 05</v>
      </c>
      <c r="AI1752" s="9" t="str">
        <f ca="1">IF('Banco de Dados'!$AK1752&lt;&gt;"-","REEMBOLSO",IFERROR(_xlfn.XLOOKUP(G1752,Follow[CODRASTREIO],Follow[STATUS]),"-"))</f>
        <v>ENTREGUE</v>
      </c>
      <c r="AJ1752" s="9">
        <f ca="1">IF('Banco de Dados'!$AI1752="ENTREGUE",_xlfn.XLOOKUP('Banco de Dados'!$G1752,Follow[CODRASTREIO],Follow[DATAATUALIZAÇÃO]),"-")</f>
        <v>45818</v>
      </c>
      <c r="AK1752" s="132" t="str">
        <f ca="1"/>
        <v>-</v>
      </c>
      <c r="AL1752" s="35"/>
      <c r="AM1752" s="109" cm="1">
        <f t="array" aca="1" ref="AM1752" ca="1">IF('Banco de Dados'!$AK1752&lt;&gt;"-",_xlfn.IFS('Banco de Dados'!$A1752="bv",IF('Banco de Dados'!$E1752&lt;45641,ROUND(SUM('Banco de Dados'!$R1752*_xlfn.XLOOKUP('Banco de Dados'!$P1752,Sku!B:B,Sku!#REF!)*20%),2),ROUND(SUM('Banco de Dados'!$R1752*_xlfn.XLOOKUP('Banco de Dados'!$P1752,Sku!B:B,Sku!H:H)*20%),2)),'Banco de Dados'!$A1752="GO",ROUND(SUM('Banco de Dados'!$R1752*_xlfn.XLOOKUP('Banco de Dados'!$P1752,Sku!C:C,Sku!H:H)*20%),2),'Banco de Dados'!$A1752="MEI",ROUND(SUM('Banco de Dados'!$R1752*_xlfn.XLOOKUP('Banco de Dados'!$P1752,Sku!D:D,Sku!H:H)*20%),2)),0)</f>
        <v>0</v>
      </c>
      <c r="AN1752" s="109">
        <f ca="1">IF('Banco de Dados'!$AK1752&lt;&gt;"-",IF('Banco de Dados'!$F1752&lt;&gt;"-",_xlfn.XLOOKUP(IFERROR(IFERROR(IFERROR(VALUE(SUBSTITUTE(MID(_xlfn.TEXTAFTER('Banco de Dados'!$F1752,"Data do Pedido:
",1),1,10),"-","/")),VALUE(SUBSTITUTE(MID(_xlfn.TEXTAFTER('Banco de Dados'!$F1752,"Order date:
",1),1,10),"-","/"))),VALUE(SUBSTITUTE(MID(_xlfn.TEXTAFTER('Banco de Dados'!$F1752,"Fecha de pedido:
",1),1,10),"-","/"))),"-"),SMS!A:A,SMS!K:K),0),0)</f>
        <v>0</v>
      </c>
      <c r="AO1752" s="109">
        <f ca="1">IF('Banco de Dados'!$AK1752&lt;&gt;"-",IF('Banco de Dados'!$F1752&lt;&gt;"-",IFERROR(_xlfn.XLOOKUP(_xlfn.CONCAT('Banco de Dados'!$A1752,IFERROR(IFERROR(VALUE(SUBSTITUTE(MID(_xlfn.TEXTAFTER('Banco de Dados'!$F1752,"Data do Pedido:
",1),1,10),"-","/")),VALUE(SUBSTITUTE(MID(_xlfn.TEXTAFTER('Banco de Dados'!$F1752,"Order date:
",1),1,10),"-","/"))),0)),ProxyDD[Chave],ProxyDD[Valor por pedido]),PROXY!$P$2),0),0)</f>
        <v>0</v>
      </c>
      <c r="AP1752" s="28">
        <f ca="1">IF('Banco de Dados'!$AK1752&lt;&gt;"-",IF('Banco de Dados'!$AL1752="NÃO",IFERROR(VALUE(SUBSTITUTE(_xlfn.TEXTAFTER('Banco de Dados'!$F1752,"BRL ",1),".",",")),0),0),0)</f>
        <v>0</v>
      </c>
      <c r="AQ1752" s="28">
        <f ca="1">SUM('Banco de Dados'!$AM1752:$AP1752)</f>
        <v>0</v>
      </c>
      <c r="AR1752" s="8"/>
      <c r="AS1752" s="8"/>
      <c r="AT1752"/>
      <c r="AY1752" s="8"/>
    </row>
    <row r="1753" spans="1:51">
      <c r="A1753" s="5" t="str">
        <v>GO</v>
      </c>
      <c r="B1753" s="5" t="str">
        <f ca="1"/>
        <v>GO45806</v>
      </c>
      <c r="C1753" s="8" t="str">
        <v>Pedido 1739</v>
      </c>
      <c r="D1753" s="187">
        <v>45801</v>
      </c>
      <c r="E1753" s="9">
        <v>45806</v>
      </c>
      <c r="F1753" s="8" t="str">
        <v>PedidoF1638</v>
      </c>
      <c r="G1753" s="2" t="str">
        <v>CódRastreio1636</v>
      </c>
      <c r="H1753" s="5">
        <v>1</v>
      </c>
      <c r="I1753" s="182" t="str">
        <v>CPF 1697</v>
      </c>
      <c r="J1753" s="2" t="str">
        <v>Nome 1697</v>
      </c>
      <c r="K1753" s="8" t="str">
        <v>Tel 1697</v>
      </c>
      <c r="L1753" s="8" t="str">
        <v>Cep 1697</v>
      </c>
      <c r="M1753" s="8" t="str">
        <v>Rua 1697</v>
      </c>
      <c r="N1753" s="8" t="str">
        <v>Comp 1697</v>
      </c>
      <c r="O1753" s="8" t="str">
        <v>Mini Liquidificador</v>
      </c>
      <c r="P1753" s="8" t="str">
        <v>Q3-ZLM0-OEUO</v>
      </c>
      <c r="Q1753" s="4">
        <v>45835</v>
      </c>
      <c r="R1753" s="109">
        <v>40.799999999999997</v>
      </c>
      <c r="S1753" s="11">
        <f ca="1"/>
        <v>40.799999999999997</v>
      </c>
      <c r="T1753" s="28">
        <f ca="1"/>
        <v>4.8959999999999999</v>
      </c>
      <c r="U1753" s="11">
        <f ca="1"/>
        <v>35.9</v>
      </c>
      <c r="V1753" s="11">
        <v>22.99</v>
      </c>
      <c r="W1753" s="11">
        <f ca="1"/>
        <v>0</v>
      </c>
      <c r="X1753" s="11">
        <f ca="1"/>
        <v>0.39877104377104378</v>
      </c>
      <c r="Y1753" s="11">
        <v>0</v>
      </c>
      <c r="Z1753" s="11">
        <f ca="1"/>
        <v>12.511228956228955</v>
      </c>
      <c r="AA1753" s="11">
        <f ca="1"/>
        <v>12.511228956228955</v>
      </c>
      <c r="AB1753" s="4">
        <f ca="1"/>
        <v>45842</v>
      </c>
      <c r="AC1753" s="4">
        <v>45842</v>
      </c>
      <c r="AD1753" s="9">
        <v>45853</v>
      </c>
      <c r="AE1753" s="9">
        <v>45873</v>
      </c>
      <c r="AF1753" s="4" t="str">
        <f t="shared" ca="1" si="123"/>
        <v>2025 07</v>
      </c>
      <c r="AG1753" s="8" t="str" cm="1">
        <f t="array" ref="AG1753">IFERROR(_xlfn.IFS('Banco de Dados'!#REF!="AG. COMPRA","Em processamento",'Banco de Dados'!#REF!="AG. RASTREIO","Em processamento",'Banco de Dados'!$AE1753&lt;&gt;"-","Faturado",'Banco de Dados'!$AD1753&lt;&gt;"-","Aguardando Pix",'Banco de Dados'!$AC1753&lt;&gt;"-","Pendente"),"Aguardando Liberação")</f>
        <v>Aguardando Liberação</v>
      </c>
      <c r="AH1753" s="5" t="str">
        <f>IF('Banco de Dados'!$F1753="-",_xlfn.CONCAT(PROPER(TEXT(AK1753,"aaaa"))," ",PROPER(TEXT(AK1753,"mm"))),_xlfn.CONCAT(PROPER(TEXT(E1753,"aaaa"))," ",PROPER(TEXT(E1753,"mm"))))</f>
        <v>2025 05</v>
      </c>
      <c r="AI1753" s="9" t="str">
        <f ca="1">IF('Banco de Dados'!$AK1753&lt;&gt;"-","REEMBOLSO",IFERROR(_xlfn.XLOOKUP(G1753,Follow[CODRASTREIO],Follow[STATUS]),"-"))</f>
        <v>ENTREGUE</v>
      </c>
      <c r="AJ1753" s="9">
        <f ca="1">IF('Banco de Dados'!$AI1753="ENTREGUE",_xlfn.XLOOKUP('Banco de Dados'!$G1753,Follow[CODRASTREIO],Follow[DATAATUALIZAÇÃO]),"-")</f>
        <v>45817</v>
      </c>
      <c r="AK1753" s="132" t="str">
        <f ca="1"/>
        <v>-</v>
      </c>
      <c r="AL1753" s="35"/>
      <c r="AM1753" s="109" cm="1">
        <f t="array" aca="1" ref="AM1753" ca="1">IF('Banco de Dados'!$AK1753&lt;&gt;"-",_xlfn.IFS('Banco de Dados'!$A1753="bv",IF('Banco de Dados'!$E1753&lt;45641,ROUND(SUM('Banco de Dados'!$R1753*_xlfn.XLOOKUP('Banco de Dados'!$P1753,Sku!B:B,Sku!#REF!)*20%),2),ROUND(SUM('Banco de Dados'!$R1753*_xlfn.XLOOKUP('Banco de Dados'!$P1753,Sku!B:B,Sku!H:H)*20%),2)),'Banco de Dados'!$A1753="GO",ROUND(SUM('Banco de Dados'!$R1753*_xlfn.XLOOKUP('Banco de Dados'!$P1753,Sku!C:C,Sku!H:H)*20%),2),'Banco de Dados'!$A1753="MEI",ROUND(SUM('Banco de Dados'!$R1753*_xlfn.XLOOKUP('Banco de Dados'!$P1753,Sku!D:D,Sku!H:H)*20%),2)),0)</f>
        <v>0</v>
      </c>
      <c r="AN1753" s="109">
        <v>0</v>
      </c>
      <c r="AO1753" s="109">
        <v>0</v>
      </c>
      <c r="AP1753" s="28">
        <f ca="1">IF('Banco de Dados'!$AK1753&lt;&gt;"-",IF('Banco de Dados'!$AL1753="NÃO",IFERROR(VALUE(SUBSTITUTE(_xlfn.TEXTAFTER('Banco de Dados'!$F1753,"BRL ",1),".",",")),0),0),0)</f>
        <v>0</v>
      </c>
      <c r="AQ1753" s="28">
        <f ca="1">SUM('Banco de Dados'!$AM1753:$AP1753)</f>
        <v>0</v>
      </c>
      <c r="AR1753" s="8"/>
      <c r="AS1753" s="8"/>
      <c r="AT1753"/>
      <c r="AY1753" s="8"/>
    </row>
    <row r="1754" spans="1:51">
      <c r="A1754" s="5" t="str">
        <v>MEI</v>
      </c>
      <c r="B1754" s="5" t="str">
        <f ca="1"/>
        <v>MEI45806</v>
      </c>
      <c r="C1754" s="8" t="str">
        <v>Pedido 1740</v>
      </c>
      <c r="D1754" s="187">
        <v>45805</v>
      </c>
      <c r="E1754" s="9">
        <v>45806</v>
      </c>
      <c r="F1754" s="8" t="str">
        <v>PedidoF1639</v>
      </c>
      <c r="G1754" s="2" t="str">
        <v>CódRastreio1637</v>
      </c>
      <c r="H1754" s="5">
        <v>1</v>
      </c>
      <c r="I1754" s="182" t="str">
        <v>CPF 1698</v>
      </c>
      <c r="J1754" s="2" t="str">
        <v>Nome 1698</v>
      </c>
      <c r="K1754" s="8" t="str">
        <v>Tel 1698</v>
      </c>
      <c r="L1754" s="8" t="str">
        <v>Cep 1698</v>
      </c>
      <c r="M1754" s="8" t="str">
        <v>Rua 1698</v>
      </c>
      <c r="N1754" s="8" t="str">
        <v>Comp 1698</v>
      </c>
      <c r="O1754" s="8" t="str">
        <v>Ventilador Rosa</v>
      </c>
      <c r="P1754" s="8" t="str">
        <v>WR-82Y0-OV27</v>
      </c>
      <c r="Q1754" s="4">
        <v>45840</v>
      </c>
      <c r="R1754" s="109">
        <v>65.989999999999995</v>
      </c>
      <c r="S1754" s="11">
        <f ca="1"/>
        <v>65.989999999999995</v>
      </c>
      <c r="T1754" s="28">
        <f ca="1"/>
        <v>7.9187999999999992</v>
      </c>
      <c r="U1754" s="11">
        <f ca="1"/>
        <v>58.07</v>
      </c>
      <c r="V1754" s="11">
        <v>33.81</v>
      </c>
      <c r="W1754" s="11">
        <f ca="1"/>
        <v>0</v>
      </c>
      <c r="X1754" s="11">
        <f ca="1"/>
        <v>0.39877104377104378</v>
      </c>
      <c r="Y1754" s="11">
        <v>0</v>
      </c>
      <c r="Z1754" s="11">
        <f ca="1"/>
        <v>23.861228956228956</v>
      </c>
      <c r="AA1754" s="11">
        <f ca="1"/>
        <v>11.930614478114478</v>
      </c>
      <c r="AB1754" s="4">
        <f ca="1"/>
        <v>45847</v>
      </c>
      <c r="AC1754" s="4">
        <v>45847</v>
      </c>
      <c r="AD1754" s="9">
        <v>45853</v>
      </c>
      <c r="AE1754" s="9">
        <v>45873</v>
      </c>
      <c r="AF1754" s="4" t="str">
        <f t="shared" ref="AF1754:AF1755" ca="1" si="124">_xlfn.CONCAT(PROPER(TEXT(AB1754,"aaaa"))," ",PROPER(TEXT(AB1754,"mm")))</f>
        <v>2025 07</v>
      </c>
      <c r="AG1754" s="8" t="str" cm="1">
        <f t="array" ref="AG1754">IFERROR(_xlfn.IFS('Banco de Dados'!#REF!="AG. COMPRA","Em processamento",'Banco de Dados'!#REF!="AG. RASTREIO","Em processamento",'Banco de Dados'!$AE1754&lt;&gt;"-","Faturado",'Banco de Dados'!$AD1754&lt;&gt;"-","Aguardando Pix",'Banco de Dados'!$AC1754&lt;&gt;"-","Pendente"),"Aguardando Liberação")</f>
        <v>Aguardando Liberação</v>
      </c>
      <c r="AH1754" s="5" t="str">
        <f>IF('Banco de Dados'!$F1754="-",_xlfn.CONCAT(PROPER(TEXT(AK1754,"aaaa"))," ",PROPER(TEXT(AK1754,"mm"))),_xlfn.CONCAT(PROPER(TEXT(E1754,"aaaa"))," ",PROPER(TEXT(E1754,"mm"))))</f>
        <v>2025 05</v>
      </c>
      <c r="AI1754" s="9" t="str">
        <f ca="1">IF('Banco de Dados'!$AK1754&lt;&gt;"-","REEMBOLSO",IFERROR(_xlfn.XLOOKUP(G1754,Follow[CODRASTREIO],Follow[STATUS]),"-"))</f>
        <v>ENTREGUE</v>
      </c>
      <c r="AJ1754" s="9">
        <f ca="1">IF('Banco de Dados'!$AI1754="ENTREGUE",_xlfn.XLOOKUP('Banco de Dados'!$G1754,Follow[CODRASTREIO],Follow[DATAATUALIZAÇÃO]),"-")</f>
        <v>45859</v>
      </c>
      <c r="AK1754" s="132" t="str">
        <f ca="1"/>
        <v>-</v>
      </c>
      <c r="AL1754" s="35"/>
      <c r="AM1754" s="109" cm="1">
        <f t="array" aca="1" ref="AM1754" ca="1">IF('Banco de Dados'!$AK1754&lt;&gt;"-",_xlfn.IFS('Banco de Dados'!$A1754="bv",IF('Banco de Dados'!$E1754&lt;45641,ROUND(SUM('Banco de Dados'!$R1754*_xlfn.XLOOKUP('Banco de Dados'!$P1754,Sku!B:B,Sku!#REF!)*20%),2),ROUND(SUM('Banco de Dados'!$R1754*_xlfn.XLOOKUP('Banco de Dados'!$P1754,Sku!B:B,Sku!H:H)*20%),2)),'Banco de Dados'!$A1754="GO",ROUND(SUM('Banco de Dados'!$R1754*_xlfn.XLOOKUP('Banco de Dados'!$P1754,Sku!C:C,Sku!H:H)*20%),2),'Banco de Dados'!$A1754="MEI",ROUND(SUM('Banco de Dados'!$R1754*_xlfn.XLOOKUP('Banco de Dados'!$P1754,Sku!D:D,Sku!H:H)*20%),2)),0)</f>
        <v>0</v>
      </c>
      <c r="AN1754" s="109">
        <f ca="1">IF('Banco de Dados'!$AK1754&lt;&gt;"-",IF('Banco de Dados'!$F1754&lt;&gt;"-",_xlfn.XLOOKUP(IFERROR(IFERROR(IFERROR(VALUE(SUBSTITUTE(MID(_xlfn.TEXTAFTER('Banco de Dados'!$F1754,"Data do Pedido:
",1),1,10),"-","/")),VALUE(SUBSTITUTE(MID(_xlfn.TEXTAFTER('Banco de Dados'!$F1754,"Order date:
",1),1,10),"-","/"))),VALUE(SUBSTITUTE(MID(_xlfn.TEXTAFTER('Banco de Dados'!$F1754,"Fecha de pedido:
",1),1,10),"-","/"))),"-"),SMS!A:A,SMS!K:K),0),0)</f>
        <v>0</v>
      </c>
      <c r="AO1754" s="109">
        <f ca="1">IF('Banco de Dados'!$AK1754&lt;&gt;"-",IF('Banco de Dados'!$F1754&lt;&gt;"-",IFERROR(_xlfn.XLOOKUP(_xlfn.CONCAT('Banco de Dados'!$A1754,IFERROR(IFERROR(VALUE(SUBSTITUTE(MID(_xlfn.TEXTAFTER('Banco de Dados'!$F1754,"Data do Pedido:
",1),1,10),"-","/")),VALUE(SUBSTITUTE(MID(_xlfn.TEXTAFTER('Banco de Dados'!$F1754,"Order date:
",1),1,10),"-","/"))),0)),ProxyDD[Chave],ProxyDD[Valor por pedido]),PROXY!$P$2),0),0)</f>
        <v>0</v>
      </c>
      <c r="AP1754" s="28">
        <f ca="1">IF('Banco de Dados'!$AK1754&lt;&gt;"-",IF('Banco de Dados'!$AL1754="NÃO",IFERROR(VALUE(SUBSTITUTE(_xlfn.TEXTAFTER('Banco de Dados'!$F1754,"BRL ",1),".",",")),0),0),0)</f>
        <v>0</v>
      </c>
      <c r="AQ1754" s="28">
        <f ca="1">SUM('Banco de Dados'!$AM1754:$AP1754)</f>
        <v>0</v>
      </c>
      <c r="AR1754" s="8"/>
      <c r="AS1754" s="8"/>
      <c r="AT1754"/>
      <c r="AY1754" s="8"/>
    </row>
    <row r="1755" spans="1:51">
      <c r="A1755" s="5" t="str">
        <v>GO</v>
      </c>
      <c r="B1755" s="5" t="str">
        <f ca="1"/>
        <v>GO45806</v>
      </c>
      <c r="C1755" s="8" t="str">
        <v>Pedido 1741</v>
      </c>
      <c r="D1755" s="187">
        <v>45806</v>
      </c>
      <c r="E1755" s="9">
        <v>45806</v>
      </c>
      <c r="F1755" s="8" t="str">
        <v>PedidoF1640</v>
      </c>
      <c r="G1755" s="2" t="str">
        <v>CódRastreio1638</v>
      </c>
      <c r="H1755" s="5">
        <v>1</v>
      </c>
      <c r="I1755" s="182" t="str">
        <v>CPF 1699</v>
      </c>
      <c r="J1755" s="2" t="str">
        <v>Nome 1699</v>
      </c>
      <c r="K1755" s="8" t="str">
        <v>Tel 1699</v>
      </c>
      <c r="L1755" s="8" t="str">
        <v>Cep 1699</v>
      </c>
      <c r="M1755" s="8" t="str">
        <v>Rua 1699</v>
      </c>
      <c r="N1755" s="8" t="str">
        <v>Comp 1699</v>
      </c>
      <c r="O1755" s="8" t="str">
        <v>Mini Liquidificador</v>
      </c>
      <c r="P1755" s="8" t="str">
        <v>Q3-ZLM0-OEUO</v>
      </c>
      <c r="Q1755" s="4">
        <v>45841</v>
      </c>
      <c r="R1755" s="109">
        <v>40.799999999999997</v>
      </c>
      <c r="S1755" s="11">
        <f ca="1"/>
        <v>40.799999999999997</v>
      </c>
      <c r="T1755" s="28">
        <f ca="1"/>
        <v>4.8959999999999999</v>
      </c>
      <c r="U1755" s="11">
        <f ca="1"/>
        <v>35.9</v>
      </c>
      <c r="V1755" s="11">
        <v>30.38</v>
      </c>
      <c r="W1755" s="11">
        <f ca="1"/>
        <v>0</v>
      </c>
      <c r="X1755" s="11">
        <f ca="1"/>
        <v>0.39877104377104378</v>
      </c>
      <c r="Y1755" s="11">
        <v>0</v>
      </c>
      <c r="Z1755" s="11">
        <f ca="1"/>
        <v>5.1212289562289541</v>
      </c>
      <c r="AA1755" s="11">
        <f ca="1"/>
        <v>5.1212289562289541</v>
      </c>
      <c r="AB1755" s="4">
        <f ca="1"/>
        <v>45848</v>
      </c>
      <c r="AC1755" s="4">
        <v>45848</v>
      </c>
      <c r="AD1755" s="9">
        <v>45853</v>
      </c>
      <c r="AE1755" s="9">
        <v>45873</v>
      </c>
      <c r="AF1755" s="4" t="str">
        <f t="shared" ca="1" si="124"/>
        <v>2025 07</v>
      </c>
      <c r="AG1755" s="8" t="str" cm="1">
        <f t="array" ref="AG1755">IFERROR(_xlfn.IFS('Banco de Dados'!#REF!="AG. COMPRA","Em processamento",'Banco de Dados'!#REF!="AG. RASTREIO","Em processamento",'Banco de Dados'!$AE1755&lt;&gt;"-","Faturado",'Banco de Dados'!$AD1755&lt;&gt;"-","Aguardando Pix",'Banco de Dados'!$AC1755&lt;&gt;"-","Pendente"),"Aguardando Liberação")</f>
        <v>Aguardando Liberação</v>
      </c>
      <c r="AH1755" s="5" t="str">
        <f>IF('Banco de Dados'!$F1755="-",_xlfn.CONCAT(PROPER(TEXT(AK1755,"aaaa"))," ",PROPER(TEXT(AK1755,"mm"))),_xlfn.CONCAT(PROPER(TEXT(E1755,"aaaa"))," ",PROPER(TEXT(E1755,"mm"))))</f>
        <v>2025 05</v>
      </c>
      <c r="AI1755" s="9" t="str">
        <f ca="1">IF('Banco de Dados'!$AK1755&lt;&gt;"-","REEMBOLSO",IFERROR(_xlfn.XLOOKUP(G1755,Follow[CODRASTREIO],Follow[STATUS]),"-"))</f>
        <v>ENTREGUE</v>
      </c>
      <c r="AJ1755" s="9">
        <f ca="1">IF('Banco de Dados'!$AI1755="ENTREGUE",_xlfn.XLOOKUP('Banco de Dados'!$G1755,Follow[CODRASTREIO],Follow[DATAATUALIZAÇÃO]),"-")</f>
        <v>45823</v>
      </c>
      <c r="AK1755" s="132" t="str">
        <f ca="1"/>
        <v>-</v>
      </c>
      <c r="AL1755" s="35"/>
      <c r="AM1755" s="109" cm="1">
        <f t="array" aca="1" ref="AM1755" ca="1">IF('Banco de Dados'!$AK1755&lt;&gt;"-",_xlfn.IFS('Banco de Dados'!$A1755="bv",IF('Banco de Dados'!$E1755&lt;45641,ROUND(SUM('Banco de Dados'!$R1755*_xlfn.XLOOKUP('Banco de Dados'!$P1755,Sku!B:B,Sku!#REF!)*20%),2),ROUND(SUM('Banco de Dados'!$R1755*_xlfn.XLOOKUP('Banco de Dados'!$P1755,Sku!B:B,Sku!H:H)*20%),2)),'Banco de Dados'!$A1755="GO",ROUND(SUM('Banco de Dados'!$R1755*_xlfn.XLOOKUP('Banco de Dados'!$P1755,Sku!C:C,Sku!H:H)*20%),2),'Banco de Dados'!$A1755="MEI",ROUND(SUM('Banco de Dados'!$R1755*_xlfn.XLOOKUP('Banco de Dados'!$P1755,Sku!D:D,Sku!H:H)*20%),2)),0)</f>
        <v>0</v>
      </c>
      <c r="AN1755" s="109">
        <v>0</v>
      </c>
      <c r="AO1755" s="109">
        <v>0</v>
      </c>
      <c r="AP1755" s="28">
        <f ca="1">IF('Banco de Dados'!$AK1755&lt;&gt;"-",IF('Banco de Dados'!$AL1755="NÃO",IFERROR(VALUE(SUBSTITUTE(_xlfn.TEXTAFTER('Banco de Dados'!$F1755,"BRL ",1),".",",")),0),0),0)</f>
        <v>0</v>
      </c>
      <c r="AQ1755" s="28">
        <f ca="1">SUM('Banco de Dados'!$AM1755:$AP1755)</f>
        <v>0</v>
      </c>
      <c r="AR1755" s="8"/>
      <c r="AS1755" s="8"/>
      <c r="AT1755"/>
      <c r="AY1755" s="8"/>
    </row>
    <row r="1756" spans="1:51">
      <c r="A1756" s="5" t="str">
        <v>GO</v>
      </c>
      <c r="B1756" s="5" t="str">
        <f ca="1"/>
        <v>GO45810</v>
      </c>
      <c r="C1756" s="8" t="str">
        <v>Pedido 1742</v>
      </c>
      <c r="D1756" s="187">
        <v>45809</v>
      </c>
      <c r="E1756" s="9">
        <v>45810</v>
      </c>
      <c r="F1756" s="8" t="str">
        <v>PedidoF1641</v>
      </c>
      <c r="G1756" s="2" t="str">
        <v>CódRastreio1639</v>
      </c>
      <c r="H1756" s="5">
        <v>1</v>
      </c>
      <c r="I1756" s="182" t="str">
        <v>CPF 1700</v>
      </c>
      <c r="J1756" s="2" t="str">
        <v>Nome 1700</v>
      </c>
      <c r="K1756" s="8" t="str">
        <v>Tel 1700</v>
      </c>
      <c r="L1756" s="8" t="str">
        <v>Cep 1700</v>
      </c>
      <c r="M1756" s="8" t="str">
        <v>Rua 1700</v>
      </c>
      <c r="N1756" s="8" t="str">
        <v>Comp 1700</v>
      </c>
      <c r="O1756" s="8" t="str">
        <v>Escova Multifuncional</v>
      </c>
      <c r="P1756" s="8" t="str">
        <v>E7-FW3C-EHOL</v>
      </c>
      <c r="Q1756" s="4">
        <v>45835</v>
      </c>
      <c r="R1756" s="109">
        <v>40.200000000000003</v>
      </c>
      <c r="S1756" s="11">
        <f ca="1"/>
        <v>40.200000000000003</v>
      </c>
      <c r="T1756" s="28">
        <f ca="1"/>
        <v>4.8239999999999998</v>
      </c>
      <c r="U1756" s="11">
        <f ca="1"/>
        <v>35.380000000000003</v>
      </c>
      <c r="V1756" s="11">
        <v>22.99</v>
      </c>
      <c r="W1756" s="11">
        <f ca="1"/>
        <v>0</v>
      </c>
      <c r="X1756" s="11">
        <f ca="1"/>
        <v>0.39877104377104378</v>
      </c>
      <c r="Y1756" s="11">
        <v>0</v>
      </c>
      <c r="Z1756" s="11">
        <f ca="1"/>
        <v>11.991228956228959</v>
      </c>
      <c r="AA1756" s="11">
        <f ca="1"/>
        <v>11.991228956228959</v>
      </c>
      <c r="AB1756" s="4">
        <f ca="1"/>
        <v>45842</v>
      </c>
      <c r="AC1756" s="4">
        <v>45842</v>
      </c>
      <c r="AD1756" s="9">
        <v>45853</v>
      </c>
      <c r="AE1756" s="9">
        <v>45873</v>
      </c>
      <c r="AF1756" s="4" t="str">
        <f ca="1">_xlfn.CONCAT(PROPER(TEXT(AB1756,"aaaa"))," ",PROPER(TEXT(AB1756,"mm")))</f>
        <v>2025 07</v>
      </c>
      <c r="AG1756" s="8" t="str" cm="1">
        <f t="array" ref="AG1756">IFERROR(_xlfn.IFS('Banco de Dados'!#REF!="AG. COMPRA","Em processamento",'Banco de Dados'!#REF!="AG. RASTREIO","Em processamento",'Banco de Dados'!$AE1756&lt;&gt;"-","Faturado",'Banco de Dados'!$AD1756&lt;&gt;"-","Aguardando Pix",'Banco de Dados'!$AC1756&lt;&gt;"-","Pendente"),"Aguardando Liberação")</f>
        <v>Aguardando Liberação</v>
      </c>
      <c r="AH1756" s="5" t="str">
        <f>IF('Banco de Dados'!$F1756="-",_xlfn.CONCAT(PROPER(TEXT(AK1756,"aaaa"))," ",PROPER(TEXT(AK1756,"mm"))),_xlfn.CONCAT(PROPER(TEXT(E1756,"aaaa"))," ",PROPER(TEXT(E1756,"mm"))))</f>
        <v>2025 06</v>
      </c>
      <c r="AI1756" s="9" t="str">
        <f ca="1">IF('Banco de Dados'!$AK1756&lt;&gt;"-","REEMBOLSO",IFERROR(_xlfn.XLOOKUP(G1756,Follow[CODRASTREIO],Follow[STATUS]),"-"))</f>
        <v>ENTREGUE</v>
      </c>
      <c r="AJ1756" s="9">
        <f ca="1">IF('Banco de Dados'!$AI1756="ENTREGUE",_xlfn.XLOOKUP('Banco de Dados'!$G1756,Follow[CODRASTREIO],Follow[DATAATUALIZAÇÃO]),"-")</f>
        <v>45819</v>
      </c>
      <c r="AK1756" s="132" t="str">
        <f ca="1"/>
        <v>-</v>
      </c>
      <c r="AL1756" s="35"/>
      <c r="AM1756" s="109" cm="1">
        <f t="array" aca="1" ref="AM1756" ca="1">IF('Banco de Dados'!$AK1756&lt;&gt;"-",_xlfn.IFS('Banco de Dados'!$A1756="bv",IF('Banco de Dados'!$E1756&lt;45641,ROUND(SUM('Banco de Dados'!$R1756*_xlfn.XLOOKUP('Banco de Dados'!$P1756,Sku!B:B,Sku!#REF!)*20%),2),ROUND(SUM('Banco de Dados'!$R1756*_xlfn.XLOOKUP('Banco de Dados'!$P1756,Sku!B:B,Sku!H:H)*20%),2)),'Banco de Dados'!$A1756="GO",ROUND(SUM('Banco de Dados'!$R1756*_xlfn.XLOOKUP('Banco de Dados'!$P1756,Sku!C:C,Sku!H:H)*20%),2),'Banco de Dados'!$A1756="MEI",ROUND(SUM('Banco de Dados'!$R1756*_xlfn.XLOOKUP('Banco de Dados'!$P1756,Sku!D:D,Sku!H:H)*20%),2)),0)</f>
        <v>0</v>
      </c>
      <c r="AN1756" s="109">
        <v>0</v>
      </c>
      <c r="AO1756" s="109">
        <v>0</v>
      </c>
      <c r="AP1756" s="28">
        <f ca="1">IF('Banco de Dados'!$AK1756&lt;&gt;"-",IF('Banco de Dados'!$AL1756="NÃO",IFERROR(VALUE(SUBSTITUTE(_xlfn.TEXTAFTER('Banco de Dados'!$F1756,"BRL ",1),".",",")),0),0),0)</f>
        <v>0</v>
      </c>
      <c r="AQ1756" s="28">
        <f ca="1">SUM('Banco de Dados'!$AM1756:$AP1756)</f>
        <v>0</v>
      </c>
      <c r="AR1756" s="8"/>
      <c r="AS1756" s="8"/>
      <c r="AT1756"/>
      <c r="AY1756" s="8"/>
    </row>
    <row r="1757" spans="1:51">
      <c r="A1757" s="5" t="str">
        <v>BV</v>
      </c>
      <c r="B1757" s="5" t="str">
        <f ca="1"/>
        <v>BV-</v>
      </c>
      <c r="C1757" s="8" t="str">
        <v>Pedido 1743</v>
      </c>
      <c r="D1757" s="187">
        <v>45811</v>
      </c>
      <c r="E1757" s="9" t="str">
        <v>-</v>
      </c>
      <c r="F1757" s="8" t="str">
        <v>-</v>
      </c>
      <c r="G1757" s="8" t="str">
        <v>CódRastreio1640</v>
      </c>
      <c r="H1757" s="5">
        <v>1</v>
      </c>
      <c r="I1757" s="182" t="str">
        <v>CPF 1701</v>
      </c>
      <c r="J1757" s="2" t="str">
        <v>Nome 1701</v>
      </c>
      <c r="K1757" s="8" t="str">
        <v>Tel 1701</v>
      </c>
      <c r="L1757" s="8" t="str">
        <v>Cep 1701</v>
      </c>
      <c r="M1757" s="8" t="str">
        <v>Rua 1701</v>
      </c>
      <c r="N1757" s="8" t="str">
        <v>Comp 1701</v>
      </c>
      <c r="O1757" s="8" t="str">
        <v>Máquina de cortar cabelo dragão</v>
      </c>
      <c r="P1757" s="8" t="str">
        <v>HG-2FNR-01A9</v>
      </c>
      <c r="Q1757" s="4">
        <v>45832</v>
      </c>
      <c r="R1757" s="109">
        <v>25.99</v>
      </c>
      <c r="S1757" s="11">
        <f ca="1"/>
        <v>25.99</v>
      </c>
      <c r="T1757" s="28">
        <f ca="1"/>
        <v>3.1187999999999998</v>
      </c>
      <c r="U1757" s="11">
        <f ca="1"/>
        <v>22.87</v>
      </c>
      <c r="V1757" s="11">
        <v>0</v>
      </c>
      <c r="W1757" s="11">
        <f ca="1"/>
        <v>0</v>
      </c>
      <c r="X1757" s="11">
        <f ca="1"/>
        <v>0</v>
      </c>
      <c r="Y1757" s="11">
        <v>0</v>
      </c>
      <c r="Z1757" s="11">
        <f ca="1"/>
        <v>22.87</v>
      </c>
      <c r="AA1757" s="11">
        <f ca="1"/>
        <v>11.435</v>
      </c>
      <c r="AB1757" s="4">
        <f ca="1"/>
        <v>45839</v>
      </c>
      <c r="AC1757" s="4">
        <v>45839</v>
      </c>
      <c r="AD1757" s="9">
        <v>45853</v>
      </c>
      <c r="AE1757" s="9">
        <v>45873</v>
      </c>
      <c r="AF1757" s="4" t="str">
        <f t="shared" ref="AF1757:AF1766" ca="1" si="125">_xlfn.CONCAT(PROPER(TEXT(AB1757,"aaaa"))," ",PROPER(TEXT(AB1757,"mm")))</f>
        <v>2025 07</v>
      </c>
      <c r="AG1757" s="8" t="str" cm="1">
        <f t="array" ref="AG1757">IFERROR(_xlfn.IFS('Banco de Dados'!#REF!="AG. COMPRA","Em processamento",'Banco de Dados'!#REF!="AG. RASTREIO","Em processamento",'Banco de Dados'!$AE1757&lt;&gt;"-","Faturado",'Banco de Dados'!$AD1757&lt;&gt;"-","Aguardando Pix",'Banco de Dados'!$AC1757&lt;&gt;"-","Pendente"),"Aguardando Liberação")</f>
        <v>Aguardando Liberação</v>
      </c>
      <c r="AH1757" s="5" t="str">
        <f ca="1">IF('Banco de Dados'!$F1757="-",_xlfn.CONCAT(PROPER(TEXT(AK1757,"aaaa"))," ",PROPER(TEXT(AK1757,"mm"))),_xlfn.CONCAT(PROPER(TEXT(E1757,"aaaa"))," ",PROPER(TEXT(E1757,"mm"))))</f>
        <v>- -</v>
      </c>
      <c r="AI1757" s="9" t="str">
        <f ca="1">IF('Banco de Dados'!$AK1757&lt;&gt;"-","REEMBOLSO",IFERROR(_xlfn.XLOOKUP(G1757,Follow[CODRASTREIO],Follow[STATUS]),"-"))</f>
        <v>ENTREGUE</v>
      </c>
      <c r="AJ1757" s="9">
        <f ca="1">IF('Banco de Dados'!$AI1757="ENTREGUE",_xlfn.XLOOKUP('Banco de Dados'!$G1757,Follow[CODRASTREIO],Follow[DATAATUALIZAÇÃO]),"-")</f>
        <v>45815</v>
      </c>
      <c r="AK1757" s="132" t="str">
        <f ca="1"/>
        <v>-</v>
      </c>
      <c r="AL1757" s="35"/>
      <c r="AM1757" s="109" cm="1">
        <f t="array" aca="1" ref="AM1757" ca="1">IF('Banco de Dados'!$AK1757&lt;&gt;"-",_xlfn.IFS('Banco de Dados'!$A1757="bv",IF('Banco de Dados'!$E1757&lt;45641,ROUND(SUM('Banco de Dados'!$R1757*_xlfn.XLOOKUP('Banco de Dados'!$P1757,Sku!B:B,Sku!#REF!)*20%),2),ROUND(SUM('Banco de Dados'!$R1757*_xlfn.XLOOKUP('Banco de Dados'!$P1757,Sku!B:B,Sku!H:H)*20%),2)),'Banco de Dados'!$A1757="GO",ROUND(_xlfn.XLOOKUP('Banco de Dados'!$P1757,Sku!C:C,Sku!H:H),2),'Banco de Dados'!$A1757="MEI",ROUND(_xlfn.XLOOKUP('Banco de Dados'!$P1757,Sku!D:D,Sku!H:H),2)),0)</f>
        <v>0</v>
      </c>
      <c r="AN1757" s="109">
        <v>0</v>
      </c>
      <c r="AO1757" s="109">
        <v>0</v>
      </c>
      <c r="AP1757" s="28">
        <f ca="1">IF('Banco de Dados'!$AK1757&lt;&gt;"-",IF('Banco de Dados'!$AL1757="NÃO",IFERROR(VALUE(SUBSTITUTE(_xlfn.TEXTAFTER('Banco de Dados'!$F1757,"BRL ",1),".",",")),0),0),0)</f>
        <v>0</v>
      </c>
      <c r="AQ1757" s="28">
        <f ca="1">SUM('Banco de Dados'!$AM1757:$AP1757)</f>
        <v>0</v>
      </c>
      <c r="AR1757" s="8"/>
      <c r="AS1757" s="8"/>
      <c r="AT1757"/>
      <c r="AY1757" s="8"/>
    </row>
    <row r="1758" spans="1:51">
      <c r="A1758" s="5" t="str">
        <v>BV</v>
      </c>
      <c r="B1758" s="5" t="str">
        <f ca="1"/>
        <v>BV45811</v>
      </c>
      <c r="C1758" s="8" t="str">
        <v>Pedido 1744</v>
      </c>
      <c r="D1758" s="187">
        <v>45811</v>
      </c>
      <c r="E1758" s="9">
        <v>45811</v>
      </c>
      <c r="F1758" s="8" t="str">
        <v>PedidoF1642</v>
      </c>
      <c r="G1758" s="8" t="str">
        <v>CódRastreio1641</v>
      </c>
      <c r="H1758" s="5">
        <v>1</v>
      </c>
      <c r="I1758" s="182" t="str">
        <v>CPF 1702</v>
      </c>
      <c r="J1758" s="2" t="str">
        <v>Nome 1702</v>
      </c>
      <c r="K1758" s="8" t="str">
        <v>Tel 1702</v>
      </c>
      <c r="L1758" s="8" t="str">
        <v>Cep 1702</v>
      </c>
      <c r="M1758" s="8" t="str">
        <v>Rua 1702</v>
      </c>
      <c r="N1758" s="8" t="str">
        <v>Comp 1702</v>
      </c>
      <c r="O1758" s="8" t="str">
        <v>Máquina de cortar cabelo dragão</v>
      </c>
      <c r="P1758" s="8" t="str">
        <v>HG-2FNR-01A9</v>
      </c>
      <c r="Q1758" s="4">
        <v>45839</v>
      </c>
      <c r="R1758" s="109">
        <v>25.99</v>
      </c>
      <c r="S1758" s="11">
        <f ca="1"/>
        <v>25.99</v>
      </c>
      <c r="T1758" s="28">
        <f ca="1"/>
        <v>3.1187999999999998</v>
      </c>
      <c r="U1758" s="11">
        <f ca="1"/>
        <v>22.87</v>
      </c>
      <c r="V1758" s="11">
        <v>16.8</v>
      </c>
      <c r="W1758" s="11">
        <f ca="1"/>
        <v>0</v>
      </c>
      <c r="X1758" s="11">
        <f ca="1"/>
        <v>0.39877104377104378</v>
      </c>
      <c r="Y1758" s="11">
        <v>0</v>
      </c>
      <c r="Z1758" s="11">
        <f ca="1"/>
        <v>5.6712289562289548</v>
      </c>
      <c r="AA1758" s="11">
        <f ca="1"/>
        <v>2.8356144781144774</v>
      </c>
      <c r="AB1758" s="4">
        <f ca="1"/>
        <v>45846</v>
      </c>
      <c r="AC1758" s="4">
        <v>45846</v>
      </c>
      <c r="AD1758" s="9">
        <v>45853</v>
      </c>
      <c r="AE1758" s="9">
        <v>45873</v>
      </c>
      <c r="AF1758" s="4" t="str">
        <f t="shared" ca="1" si="125"/>
        <v>2025 07</v>
      </c>
      <c r="AG1758" s="8" t="str" cm="1">
        <f t="array" ref="AG1758">IFERROR(_xlfn.IFS('Banco de Dados'!#REF!="AG. COMPRA","Em processamento",'Banco de Dados'!#REF!="AG. RASTREIO","Em processamento",'Banco de Dados'!$AE1758&lt;&gt;"-","Faturado",'Banco de Dados'!$AD1758&lt;&gt;"-","Aguardando Pix",'Banco de Dados'!$AC1758&lt;&gt;"-","Pendente"),"Aguardando Liberação")</f>
        <v>Aguardando Liberação</v>
      </c>
      <c r="AH1758" s="5" t="str">
        <f>IF('Banco de Dados'!$F1758="-",_xlfn.CONCAT(PROPER(TEXT(AK1758,"aaaa"))," ",PROPER(TEXT(AK1758,"mm"))),_xlfn.CONCAT(PROPER(TEXT(E1758,"aaaa"))," ",PROPER(TEXT(E1758,"mm"))))</f>
        <v>2025 06</v>
      </c>
      <c r="AI1758" s="9" t="str">
        <f ca="1">IF('Banco de Dados'!$AK1758&lt;&gt;"-","REEMBOLSO",IFERROR(_xlfn.XLOOKUP(G1758,Follow[CODRASTREIO],Follow[STATUS]),"-"))</f>
        <v>ENTREGUE</v>
      </c>
      <c r="AJ1758" s="9">
        <f ca="1">IF('Banco de Dados'!$AI1758="ENTREGUE",_xlfn.XLOOKUP('Banco de Dados'!$G1758,Follow[CODRASTREIO],Follow[DATAATUALIZAÇÃO]),"-")</f>
        <v>45818</v>
      </c>
      <c r="AK1758" s="132" t="str">
        <f ca="1"/>
        <v>-</v>
      </c>
      <c r="AL1758" s="35"/>
      <c r="AM1758" s="109" cm="1">
        <f t="array" aca="1" ref="AM1758" ca="1">IF('Banco de Dados'!$AK1758&lt;&gt;"-",_xlfn.IFS('Banco de Dados'!$A1758="bv",IF('Banco de Dados'!$E1758&lt;45641,ROUND(SUM('Banco de Dados'!$R1758*_xlfn.XLOOKUP('Banco de Dados'!$P1758,Sku!B:B,Sku!#REF!)*20%),2),ROUND(SUM('Banco de Dados'!$R1758*_xlfn.XLOOKUP('Banco de Dados'!$P1758,Sku!B:B,Sku!H:H)*20%),2)),'Banco de Dados'!$A1758="GO",ROUND(_xlfn.XLOOKUP('Banco de Dados'!$P1758,Sku!C:C,Sku!H:H),2),'Banco de Dados'!$A1758="MEI",ROUND(_xlfn.XLOOKUP('Banco de Dados'!$P1758,Sku!D:D,Sku!H:H),2)),0)</f>
        <v>0</v>
      </c>
      <c r="AN1758" s="109">
        <v>0</v>
      </c>
      <c r="AO1758" s="109">
        <v>0</v>
      </c>
      <c r="AP1758" s="28">
        <f ca="1">IF('Banco de Dados'!$AK1758&lt;&gt;"-",IF('Banco de Dados'!$AL1758="NÃO",IFERROR(VALUE(SUBSTITUTE(_xlfn.TEXTAFTER('Banco de Dados'!$F1758,"BRL ",1),".",",")),0),0),0)</f>
        <v>0</v>
      </c>
      <c r="AQ1758" s="28">
        <f ca="1">SUM('Banco de Dados'!$AM1758:$AP1758)</f>
        <v>0</v>
      </c>
      <c r="AR1758" s="8"/>
      <c r="AS1758" s="8"/>
      <c r="AT1758"/>
      <c r="AY1758" s="8"/>
    </row>
    <row r="1759" spans="1:51">
      <c r="A1759" s="5" t="str">
        <v>BV</v>
      </c>
      <c r="B1759" s="5" t="str">
        <f ca="1"/>
        <v>BV45811</v>
      </c>
      <c r="C1759" s="8" t="str">
        <v>Pedido 1745</v>
      </c>
      <c r="D1759" s="187">
        <v>45811</v>
      </c>
      <c r="E1759" s="9">
        <v>45811</v>
      </c>
      <c r="F1759" s="8" t="str">
        <v>PedidoF1643</v>
      </c>
      <c r="G1759" s="8" t="str">
        <v>CódRastreio1641</v>
      </c>
      <c r="H1759" s="5">
        <v>1</v>
      </c>
      <c r="I1759" s="182" t="str">
        <v>CPF 1702</v>
      </c>
      <c r="J1759" s="2" t="str">
        <v>Nome 1702</v>
      </c>
      <c r="K1759" s="8" t="str">
        <v>Tel 1702</v>
      </c>
      <c r="L1759" s="8" t="str">
        <v>Cep 1702</v>
      </c>
      <c r="M1759" s="8" t="str">
        <v>Rua 1702</v>
      </c>
      <c r="N1759" s="8" t="str">
        <v>Comp 1702</v>
      </c>
      <c r="O1759" s="8" t="str">
        <v>Máquina de cortar cabelo dragão</v>
      </c>
      <c r="P1759" s="8" t="str">
        <v>HG-2FNR-01A9</v>
      </c>
      <c r="Q1759" s="4">
        <v>45839</v>
      </c>
      <c r="R1759" s="109">
        <v>25.99</v>
      </c>
      <c r="S1759" s="11">
        <f ca="1"/>
        <v>25.99</v>
      </c>
      <c r="T1759" s="28">
        <f ca="1"/>
        <v>3.1187999999999998</v>
      </c>
      <c r="U1759" s="11">
        <f ca="1"/>
        <v>22.87</v>
      </c>
      <c r="V1759" s="11">
        <v>16.809999999999999</v>
      </c>
      <c r="W1759" s="11">
        <f ca="1"/>
        <v>0</v>
      </c>
      <c r="X1759" s="11">
        <f ca="1"/>
        <v>0.39877104377104378</v>
      </c>
      <c r="Y1759" s="11">
        <v>0</v>
      </c>
      <c r="Z1759" s="11">
        <f ca="1"/>
        <v>5.6612289562289568</v>
      </c>
      <c r="AA1759" s="11">
        <f ca="1"/>
        <v>2.8306144781144784</v>
      </c>
      <c r="AB1759" s="4">
        <f ca="1"/>
        <v>45846</v>
      </c>
      <c r="AC1759" s="4">
        <v>45846</v>
      </c>
      <c r="AD1759" s="9">
        <v>45853</v>
      </c>
      <c r="AE1759" s="9">
        <v>45873</v>
      </c>
      <c r="AF1759" s="4" t="str">
        <f t="shared" ca="1" si="125"/>
        <v>2025 07</v>
      </c>
      <c r="AG1759" s="8" t="str" cm="1">
        <f t="array" ref="AG1759">IFERROR(_xlfn.IFS('Banco de Dados'!#REF!="AG. COMPRA","Em processamento",'Banco de Dados'!#REF!="AG. RASTREIO","Em processamento",'Banco de Dados'!$AE1759&lt;&gt;"-","Faturado",'Banco de Dados'!$AD1759&lt;&gt;"-","Aguardando Pix",'Banco de Dados'!$AC1759&lt;&gt;"-","Pendente"),"Aguardando Liberação")</f>
        <v>Aguardando Liberação</v>
      </c>
      <c r="AH1759" s="5" t="str">
        <f>IF('Banco de Dados'!$F1759="-",_xlfn.CONCAT(PROPER(TEXT(AK1759,"aaaa"))," ",PROPER(TEXT(AK1759,"mm"))),_xlfn.CONCAT(PROPER(TEXT(E1759,"aaaa"))," ",PROPER(TEXT(E1759,"mm"))))</f>
        <v>2025 06</v>
      </c>
      <c r="AI1759" s="9" t="str">
        <f ca="1">IF('Banco de Dados'!$AK1759&lt;&gt;"-","REEMBOLSO",IFERROR(_xlfn.XLOOKUP(G1759,Follow[CODRASTREIO],Follow[STATUS]),"-"))</f>
        <v>ENTREGUE</v>
      </c>
      <c r="AJ1759" s="9">
        <f ca="1">IF('Banco de Dados'!$AI1759="ENTREGUE",_xlfn.XLOOKUP('Banco de Dados'!$G1759,Follow[CODRASTREIO],Follow[DATAATUALIZAÇÃO]),"-")</f>
        <v>45818</v>
      </c>
      <c r="AK1759" s="132" t="str">
        <f ca="1"/>
        <v>-</v>
      </c>
      <c r="AL1759" s="35"/>
      <c r="AM1759" s="109" cm="1">
        <f t="array" aca="1" ref="AM1759" ca="1">IF('Banco de Dados'!$AK1759&lt;&gt;"-",_xlfn.IFS('Banco de Dados'!$A1759="bv",IF('Banco de Dados'!$E1759&lt;45641,ROUND(SUM('Banco de Dados'!$R1759*_xlfn.XLOOKUP('Banco de Dados'!$P1759,Sku!B:B,Sku!#REF!)*20%),2),ROUND(SUM('Banco de Dados'!$R1759*_xlfn.XLOOKUP('Banco de Dados'!$P1759,Sku!B:B,Sku!H:H)*20%),2)),'Banco de Dados'!$A1759="GO",ROUND(_xlfn.XLOOKUP('Banco de Dados'!$P1759,Sku!C:C,Sku!H:H),2),'Banco de Dados'!$A1759="MEI",ROUND(_xlfn.XLOOKUP('Banco de Dados'!$P1759,Sku!D:D,Sku!H:H),2)),0)</f>
        <v>0</v>
      </c>
      <c r="AN1759" s="109">
        <v>0</v>
      </c>
      <c r="AO1759" s="109">
        <v>0</v>
      </c>
      <c r="AP1759" s="28">
        <f ca="1">IF('Banco de Dados'!$AK1759&lt;&gt;"-",IF('Banco de Dados'!$AL1759="NÃO",IFERROR(VALUE(SUBSTITUTE(_xlfn.TEXTAFTER('Banco de Dados'!$F1759,"BRL ",1),".",",")),0),0),0)</f>
        <v>0</v>
      </c>
      <c r="AQ1759" s="28">
        <f ca="1">SUM('Banco de Dados'!$AM1759:$AP1759)</f>
        <v>0</v>
      </c>
      <c r="AR1759" s="8"/>
      <c r="AS1759" s="8"/>
      <c r="AT1759"/>
      <c r="AY1759" s="8"/>
    </row>
    <row r="1760" spans="1:51">
      <c r="A1760" s="5" t="str">
        <v>BV</v>
      </c>
      <c r="B1760" s="5" t="str">
        <f ca="1"/>
        <v>BV45817</v>
      </c>
      <c r="C1760" s="8" t="str">
        <v>Pedido 1746</v>
      </c>
      <c r="D1760" s="187">
        <v>45811</v>
      </c>
      <c r="E1760" s="9">
        <v>45817</v>
      </c>
      <c r="F1760" s="8" t="str">
        <v>PedidoF1644</v>
      </c>
      <c r="G1760" s="8" t="str">
        <v>CódRastreio1642</v>
      </c>
      <c r="H1760" s="5">
        <v>1</v>
      </c>
      <c r="I1760" s="182" t="str">
        <v>CPF 1703</v>
      </c>
      <c r="J1760" s="2" t="str">
        <v>Nome 1703</v>
      </c>
      <c r="K1760" s="8" t="str">
        <v>Tel 1703</v>
      </c>
      <c r="L1760" s="8" t="str">
        <v>Cep 1703</v>
      </c>
      <c r="M1760" s="8" t="str">
        <v>Rua 1703</v>
      </c>
      <c r="N1760" s="8" t="str">
        <v>Comp 1703</v>
      </c>
      <c r="O1760" s="8" t="str">
        <v>Máquina de cortar cabelo dragão</v>
      </c>
      <c r="P1760" s="8" t="str">
        <v>HG-2FNR-01A9</v>
      </c>
      <c r="Q1760" s="4">
        <v>45839</v>
      </c>
      <c r="R1760" s="109">
        <v>25.99</v>
      </c>
      <c r="S1760" s="11">
        <f ca="1"/>
        <v>25.99</v>
      </c>
      <c r="T1760" s="28">
        <f ca="1"/>
        <v>3.1187999999999998</v>
      </c>
      <c r="U1760" s="11">
        <f ca="1"/>
        <v>22.87</v>
      </c>
      <c r="V1760" s="11">
        <v>10.199999999999999</v>
      </c>
      <c r="W1760" s="11">
        <f ca="1"/>
        <v>0</v>
      </c>
      <c r="X1760" s="11">
        <f ca="1"/>
        <v>0.39877104377104378</v>
      </c>
      <c r="Y1760" s="11">
        <v>0</v>
      </c>
      <c r="Z1760" s="11">
        <f ca="1"/>
        <v>12.271228956228958</v>
      </c>
      <c r="AA1760" s="11">
        <f ca="1"/>
        <v>6.135614478114479</v>
      </c>
      <c r="AB1760" s="4">
        <f ca="1"/>
        <v>45846</v>
      </c>
      <c r="AC1760" s="4">
        <v>45846</v>
      </c>
      <c r="AD1760" s="9">
        <v>45853</v>
      </c>
      <c r="AE1760" s="9">
        <v>45873</v>
      </c>
      <c r="AF1760" s="4" t="str">
        <f t="shared" ca="1" si="125"/>
        <v>2025 07</v>
      </c>
      <c r="AG1760" s="8" t="str" cm="1">
        <f t="array" ref="AG1760">IFERROR(_xlfn.IFS('Banco de Dados'!#REF!="AG. COMPRA","Em processamento",'Banco de Dados'!#REF!="AG. RASTREIO","Em processamento",'Banco de Dados'!$AE1760&lt;&gt;"-","Faturado",'Banco de Dados'!$AD1760&lt;&gt;"-","Aguardando Pix",'Banco de Dados'!$AC1760&lt;&gt;"-","Pendente"),"Aguardando Liberação")</f>
        <v>Aguardando Liberação</v>
      </c>
      <c r="AH1760" s="5" t="str">
        <f>IF('Banco de Dados'!$F1760="-",_xlfn.CONCAT(PROPER(TEXT(AK1760,"aaaa"))," ",PROPER(TEXT(AK1760,"mm"))),_xlfn.CONCAT(PROPER(TEXT(E1760,"aaaa"))," ",PROPER(TEXT(E1760,"mm"))))</f>
        <v>2025 06</v>
      </c>
      <c r="AI1760" s="9" t="str">
        <f ca="1">IF('Banco de Dados'!$AK1760&lt;&gt;"-","REEMBOLSO",IFERROR(_xlfn.XLOOKUP(G1760,Follow[CODRASTREIO],Follow[STATUS]),"-"))</f>
        <v>ENTREGUE</v>
      </c>
      <c r="AJ1760" s="9">
        <f ca="1">IF('Banco de Dados'!$AI1760="ENTREGUE",_xlfn.XLOOKUP('Banco de Dados'!$G1760,Follow[CODRASTREIO],Follow[DATAATUALIZAÇÃO]),"-")</f>
        <v>45839</v>
      </c>
      <c r="AK1760" s="132" t="str">
        <f ca="1"/>
        <v>-</v>
      </c>
      <c r="AL1760" s="35"/>
      <c r="AM1760" s="109" cm="1">
        <f t="array" aca="1" ref="AM1760" ca="1">IF('Banco de Dados'!$AK1760&lt;&gt;"-",_xlfn.IFS('Banco de Dados'!$A1760="bv",IF('Banco de Dados'!$E1760&lt;45641,ROUND(SUM('Banco de Dados'!$R1760*_xlfn.XLOOKUP('Banco de Dados'!$P1760,Sku!B:B,Sku!#REF!)*20%),2),ROUND(SUM('Banco de Dados'!$R1760*_xlfn.XLOOKUP('Banco de Dados'!$P1760,Sku!B:B,Sku!H:H)*20%),2)),'Banco de Dados'!$A1760="GO",ROUND(_xlfn.XLOOKUP('Banco de Dados'!$P1760,Sku!C:C,Sku!H:H),2),'Banco de Dados'!$A1760="MEI",ROUND(_xlfn.XLOOKUP('Banco de Dados'!$P1760,Sku!D:D,Sku!H:H),2)),0)</f>
        <v>0</v>
      </c>
      <c r="AN1760" s="109">
        <f ca="1">IF('Banco de Dados'!$AK1760&lt;&gt;"-",IF('Banco de Dados'!$F1760&lt;&gt;"-",_xlfn.XLOOKUP(IFERROR(IFERROR(IFERROR(VALUE(SUBSTITUTE(MID(_xlfn.TEXTAFTER('Banco de Dados'!$F1760,"Data do Pedido:
",1),1,10),"-","/")),VALUE(SUBSTITUTE(MID(_xlfn.TEXTAFTER('Banco de Dados'!$F1760,"Order date:
",1),1,10),"-","/"))),VALUE(SUBSTITUTE(MID(_xlfn.TEXTAFTER('Banco de Dados'!$F1760,"Fecha de pedido:
",1),1,10),"-","/"))),"-"),SMS!A:A,SMS!K:K),0),0)</f>
        <v>0</v>
      </c>
      <c r="AO1760" s="109">
        <f ca="1">IF('Banco de Dados'!$AK1760&lt;&gt;"-",IF('Banco de Dados'!$F1760&lt;&gt;"-",IFERROR(_xlfn.XLOOKUP(_xlfn.CONCAT('Banco de Dados'!$A1760,IFERROR(IFERROR(VALUE(SUBSTITUTE(MID(_xlfn.TEXTAFTER('Banco de Dados'!$F1760,"Data do Pedido:
",1),1,10),"-","/")),VALUE(SUBSTITUTE(MID(_xlfn.TEXTAFTER('Banco de Dados'!$F1760,"Order date:
",1),1,10),"-","/"))),0)),ProxyDD[Chave],ProxyDD[Valor por pedido]),PROXY!$P$2),0),0)</f>
        <v>0</v>
      </c>
      <c r="AP1760" s="28">
        <f ca="1">IF('Banco de Dados'!$AK1760&lt;&gt;"-",IF('Banco de Dados'!$AL1760="NÃO",IFERROR(VALUE(SUBSTITUTE(_xlfn.TEXTAFTER('Banco de Dados'!$F1760,"BRL ",1),".",",")),0),0),0)</f>
        <v>0</v>
      </c>
      <c r="AQ1760" s="28">
        <f ca="1">SUM('Banco de Dados'!$AM1760:$AP1760)</f>
        <v>0</v>
      </c>
      <c r="AR1760" s="8"/>
      <c r="AS1760" s="8"/>
      <c r="AT1760"/>
      <c r="AY1760" s="8"/>
    </row>
    <row r="1761" spans="1:51">
      <c r="A1761" s="5" t="str">
        <v>BV</v>
      </c>
      <c r="B1761" s="5" t="str">
        <f ca="1"/>
        <v>BV45812</v>
      </c>
      <c r="C1761" s="8" t="str">
        <v>Pedido 1747</v>
      </c>
      <c r="D1761" s="187">
        <v>45812</v>
      </c>
      <c r="E1761" s="9">
        <v>45812</v>
      </c>
      <c r="F1761" s="8" t="str">
        <v>PedidoF1645</v>
      </c>
      <c r="G1761" s="8" t="str">
        <v>CódRastreio1643</v>
      </c>
      <c r="H1761" s="5">
        <v>1</v>
      </c>
      <c r="I1761" s="182" t="str">
        <v>CPF 1704</v>
      </c>
      <c r="J1761" s="2" t="str">
        <v>Nome 1704</v>
      </c>
      <c r="K1761" s="8" t="str">
        <v>Tel 1704</v>
      </c>
      <c r="L1761" s="8" t="str">
        <v>Cep 1704</v>
      </c>
      <c r="M1761" s="8" t="str">
        <v>Rua 1704</v>
      </c>
      <c r="N1761" s="8" t="str">
        <v>Comp 1704</v>
      </c>
      <c r="O1761" s="8" t="str">
        <v>Máquina de cortar cabelo dragão</v>
      </c>
      <c r="P1761" s="8" t="str">
        <v>HG-2FNR-01A9</v>
      </c>
      <c r="Q1761" s="4">
        <v>45840</v>
      </c>
      <c r="R1761" s="109">
        <v>25.99</v>
      </c>
      <c r="S1761" s="11">
        <f ca="1"/>
        <v>25.99</v>
      </c>
      <c r="T1761" s="28">
        <f ca="1"/>
        <v>3.1187999999999998</v>
      </c>
      <c r="U1761" s="11">
        <f ca="1"/>
        <v>22.87</v>
      </c>
      <c r="V1761" s="11">
        <v>18.649999999999999</v>
      </c>
      <c r="W1761" s="11">
        <f ca="1"/>
        <v>0</v>
      </c>
      <c r="X1761" s="11">
        <f ca="1"/>
        <v>0.39877104377104378</v>
      </c>
      <c r="Y1761" s="11">
        <v>0</v>
      </c>
      <c r="Z1761" s="11">
        <f ca="1"/>
        <v>3.821228956228957</v>
      </c>
      <c r="AA1761" s="11">
        <f ca="1"/>
        <v>1.9106144781144785</v>
      </c>
      <c r="AB1761" s="4">
        <f ca="1"/>
        <v>45847</v>
      </c>
      <c r="AC1761" s="4">
        <v>45847</v>
      </c>
      <c r="AD1761" s="9">
        <v>45853</v>
      </c>
      <c r="AE1761" s="9">
        <v>45873</v>
      </c>
      <c r="AF1761" s="4" t="str">
        <f t="shared" ca="1" si="125"/>
        <v>2025 07</v>
      </c>
      <c r="AG1761" s="8" t="str" cm="1">
        <f t="array" ref="AG1761">IFERROR(_xlfn.IFS('Banco de Dados'!#REF!="AG. COMPRA","Em processamento",'Banco de Dados'!#REF!="AG. RASTREIO","Em processamento",'Banco de Dados'!$AE1761&lt;&gt;"-","Faturado",'Banco de Dados'!$AD1761&lt;&gt;"-","Aguardando Pix",'Banco de Dados'!$AC1761&lt;&gt;"-","Pendente"),"Aguardando Liberação")</f>
        <v>Aguardando Liberação</v>
      </c>
      <c r="AH1761" s="5" t="str">
        <f>IF('Banco de Dados'!$F1761="-",_xlfn.CONCAT(PROPER(TEXT(AK1761,"aaaa"))," ",PROPER(TEXT(AK1761,"mm"))),_xlfn.CONCAT(PROPER(TEXT(E1761,"aaaa"))," ",PROPER(TEXT(E1761,"mm"))))</f>
        <v>2025 06</v>
      </c>
      <c r="AI1761" s="9" t="str">
        <f ca="1">IF('Banco de Dados'!$AK1761&lt;&gt;"-","REEMBOLSO",IFERROR(_xlfn.XLOOKUP(G1761,Follow[CODRASTREIO],Follow[STATUS]),"-"))</f>
        <v>ENTREGUE</v>
      </c>
      <c r="AJ1761" s="9">
        <f ca="1">IF('Banco de Dados'!$AI1761="ENTREGUE",_xlfn.XLOOKUP('Banco de Dados'!$G1761,Follow[CODRASTREIO],Follow[DATAATUALIZAÇÃO]),"-")</f>
        <v>45820</v>
      </c>
      <c r="AK1761" s="132" t="str">
        <f ca="1"/>
        <v>-</v>
      </c>
      <c r="AL1761" s="35"/>
      <c r="AM1761" s="109" cm="1">
        <f t="array" aca="1" ref="AM1761" ca="1">IF('Banco de Dados'!$AK1761&lt;&gt;"-",_xlfn.IFS('Banco de Dados'!$A1761="bv",IF('Banco de Dados'!$E1761&lt;45641,ROUND(SUM('Banco de Dados'!$R1761*_xlfn.XLOOKUP('Banco de Dados'!$P1761,Sku!B:B,Sku!#REF!)*20%),2),ROUND(SUM('Banco de Dados'!$R1761*_xlfn.XLOOKUP('Banco de Dados'!$P1761,Sku!B:B,Sku!H:H)*20%),2)),'Banco de Dados'!$A1761="GO",ROUND(_xlfn.XLOOKUP('Banco de Dados'!$P1761,Sku!C:C,Sku!H:H),2),'Banco de Dados'!$A1761="MEI",ROUND(_xlfn.XLOOKUP('Banco de Dados'!$P1761,Sku!D:D,Sku!H:H),2)),0)</f>
        <v>0</v>
      </c>
      <c r="AN1761" s="109">
        <v>0</v>
      </c>
      <c r="AO1761" s="109">
        <v>0</v>
      </c>
      <c r="AP1761" s="28">
        <f ca="1">IF('Banco de Dados'!$AK1761&lt;&gt;"-",IF('Banco de Dados'!$AL1761="NÃO",IFERROR(VALUE(SUBSTITUTE(_xlfn.TEXTAFTER('Banco de Dados'!$F1761,"BRL ",1),".",",")),0),0),0)</f>
        <v>0</v>
      </c>
      <c r="AQ1761" s="28">
        <f ca="1">SUM('Banco de Dados'!$AM1761:$AP1761)</f>
        <v>0</v>
      </c>
      <c r="AR1761" s="8"/>
      <c r="AS1761" s="8"/>
      <c r="AT1761"/>
      <c r="AY1761" s="8"/>
    </row>
    <row r="1762" spans="1:51">
      <c r="A1762" s="5" t="str">
        <v>BV</v>
      </c>
      <c r="B1762" s="5" t="str">
        <f ca="1"/>
        <v>BV45813</v>
      </c>
      <c r="C1762" s="8" t="str">
        <v>Pedido 1748</v>
      </c>
      <c r="D1762" s="187">
        <v>45813</v>
      </c>
      <c r="E1762" s="9">
        <v>45813</v>
      </c>
      <c r="F1762" s="8" t="str">
        <v>PedidoF1646</v>
      </c>
      <c r="G1762" s="8" t="str">
        <v>CódRastreio1644</v>
      </c>
      <c r="H1762" s="5">
        <v>1</v>
      </c>
      <c r="I1762" s="182" t="str">
        <v>CPF 1705</v>
      </c>
      <c r="J1762" s="2" t="str">
        <v>Nome 1705</v>
      </c>
      <c r="K1762" s="8" t="str">
        <v>Tel 1705</v>
      </c>
      <c r="L1762" s="8" t="str">
        <v>Cep 1705</v>
      </c>
      <c r="M1762" s="8" t="str">
        <v>Rua 1705</v>
      </c>
      <c r="N1762" s="8" t="str">
        <v>Comp 1705</v>
      </c>
      <c r="O1762" s="8" t="str">
        <v>Máquina de cortar cabelo dragão</v>
      </c>
      <c r="P1762" s="8" t="str">
        <v>HG-2FNR-01A9</v>
      </c>
      <c r="Q1762" s="4">
        <v>45840</v>
      </c>
      <c r="R1762" s="109">
        <v>25.99</v>
      </c>
      <c r="S1762" s="11">
        <f ca="1"/>
        <v>25.99</v>
      </c>
      <c r="T1762" s="28">
        <f ca="1"/>
        <v>3.1187999999999998</v>
      </c>
      <c r="U1762" s="11">
        <f ca="1"/>
        <v>22.87</v>
      </c>
      <c r="V1762" s="11">
        <v>18.95</v>
      </c>
      <c r="W1762" s="11">
        <f ca="1"/>
        <v>7.0000000000000007E-2</v>
      </c>
      <c r="X1762" s="11">
        <f ca="1"/>
        <v>0.39877104377104378</v>
      </c>
      <c r="Y1762" s="11">
        <v>0</v>
      </c>
      <c r="Z1762" s="11">
        <f ca="1"/>
        <v>3.451228956228956</v>
      </c>
      <c r="AA1762" s="11">
        <f ca="1"/>
        <v>1.725614478114478</v>
      </c>
      <c r="AB1762" s="4">
        <f ca="1"/>
        <v>45847</v>
      </c>
      <c r="AC1762" s="4">
        <v>45847</v>
      </c>
      <c r="AD1762" s="9">
        <v>45853</v>
      </c>
      <c r="AE1762" s="9">
        <v>45873</v>
      </c>
      <c r="AF1762" s="4" t="str">
        <f t="shared" ca="1" si="125"/>
        <v>2025 07</v>
      </c>
      <c r="AG1762" s="8" t="str" cm="1">
        <f t="array" ref="AG1762">IFERROR(_xlfn.IFS('Banco de Dados'!#REF!="AG. COMPRA","Em processamento",'Banco de Dados'!#REF!="AG. RASTREIO","Em processamento",'Banco de Dados'!$AE1762&lt;&gt;"-","Faturado",'Banco de Dados'!$AD1762&lt;&gt;"-","Aguardando Pix",'Banco de Dados'!$AC1762&lt;&gt;"-","Pendente"),"Aguardando Liberação")</f>
        <v>Aguardando Liberação</v>
      </c>
      <c r="AH1762" s="5" t="str">
        <f>IF('Banco de Dados'!$F1762="-",_xlfn.CONCAT(PROPER(TEXT(AK1762,"aaaa"))," ",PROPER(TEXT(AK1762,"mm"))),_xlfn.CONCAT(PROPER(TEXT(E1762,"aaaa"))," ",PROPER(TEXT(E1762,"mm"))))</f>
        <v>2025 06</v>
      </c>
      <c r="AI1762" s="9" t="str">
        <f ca="1">IF('Banco de Dados'!$AK1762&lt;&gt;"-","REEMBOLSO",IFERROR(_xlfn.XLOOKUP(G1762,Follow[CODRASTREIO],Follow[STATUS]),"-"))</f>
        <v>ENTREGUE</v>
      </c>
      <c r="AJ1762" s="9">
        <f ca="1">IF('Banco de Dados'!$AI1762="ENTREGUE",_xlfn.XLOOKUP('Banco de Dados'!$G1762,Follow[CODRASTREIO],Follow[DATAATUALIZAÇÃO]),"-")</f>
        <v>45831</v>
      </c>
      <c r="AK1762" s="132" t="str">
        <f ca="1"/>
        <v>-</v>
      </c>
      <c r="AL1762" s="35"/>
      <c r="AM1762" s="109" cm="1">
        <f t="array" aca="1" ref="AM1762" ca="1">IF('Banco de Dados'!$AK1762&lt;&gt;"-",_xlfn.IFS('Banco de Dados'!$A1762="bv",IF('Banco de Dados'!$E1762&lt;45641,ROUND(SUM('Banco de Dados'!$R1762*_xlfn.XLOOKUP('Banco de Dados'!$P1762,Sku!B:B,Sku!#REF!)*20%),2),ROUND(SUM('Banco de Dados'!$R1762*_xlfn.XLOOKUP('Banco de Dados'!$P1762,Sku!B:B,Sku!H:H)*20%),2)),'Banco de Dados'!$A1762="GO",ROUND(_xlfn.XLOOKUP('Banco de Dados'!$P1762,Sku!C:C,Sku!H:H),2),'Banco de Dados'!$A1762="MEI",ROUND(_xlfn.XLOOKUP('Banco de Dados'!$P1762,Sku!D:D,Sku!H:H),2)),0)</f>
        <v>0</v>
      </c>
      <c r="AN1762" s="109">
        <f ca="1">IF('Banco de Dados'!$AK1762&lt;&gt;"-",IF('Banco de Dados'!$F1762&lt;&gt;"-",_xlfn.XLOOKUP(IFERROR(IFERROR(IFERROR(VALUE(SUBSTITUTE(MID(_xlfn.TEXTAFTER('Banco de Dados'!$F1762,"Data do Pedido:
",1),1,10),"-","/")),VALUE(SUBSTITUTE(MID(_xlfn.TEXTAFTER('Banco de Dados'!$F1762,"Order date:
",1),1,10),"-","/"))),VALUE(SUBSTITUTE(MID(_xlfn.TEXTAFTER('Banco de Dados'!$F1762,"Fecha de pedido:
",1),1,10),"-","/"))),"-"),SMS!A:A,SMS!K:K),0),0)</f>
        <v>0</v>
      </c>
      <c r="AO1762" s="109">
        <f ca="1">IF('Banco de Dados'!$AK1762&lt;&gt;"-",IF('Banco de Dados'!$F1762&lt;&gt;"-",IFERROR(_xlfn.XLOOKUP(_xlfn.CONCAT('Banco de Dados'!$A1762,IFERROR(IFERROR(VALUE(SUBSTITUTE(MID(_xlfn.TEXTAFTER('Banco de Dados'!$F1762,"Data do Pedido:
",1),1,10),"-","/")),VALUE(SUBSTITUTE(MID(_xlfn.TEXTAFTER('Banco de Dados'!$F1762,"Order date:
",1),1,10),"-","/"))),0)),ProxyDD[Chave],ProxyDD[Valor por pedido]),PROXY!$P$2),0),0)</f>
        <v>0</v>
      </c>
      <c r="AP1762" s="28">
        <f ca="1">IF('Banco de Dados'!$AK1762&lt;&gt;"-",IF('Banco de Dados'!$AL1762="NÃO",IFERROR(VALUE(SUBSTITUTE(_xlfn.TEXTAFTER('Banco de Dados'!$F1762,"BRL ",1),".",",")),0),0),0)</f>
        <v>0</v>
      </c>
      <c r="AQ1762" s="28">
        <f ca="1">SUM('Banco de Dados'!$AM1762:$AP1762)</f>
        <v>0</v>
      </c>
      <c r="AR1762" s="8"/>
      <c r="AS1762" s="8"/>
      <c r="AT1762"/>
      <c r="AY1762" s="8"/>
    </row>
    <row r="1763" spans="1:51">
      <c r="A1763" s="5" t="str">
        <v>BV</v>
      </c>
      <c r="B1763" s="5" t="str">
        <f ca="1"/>
        <v>BV45813</v>
      </c>
      <c r="C1763" s="8" t="str">
        <v>Pedido 1749</v>
      </c>
      <c r="D1763" s="187">
        <v>45813</v>
      </c>
      <c r="E1763" s="9">
        <v>45813</v>
      </c>
      <c r="F1763" s="8" t="str">
        <v>PedidoF1647</v>
      </c>
      <c r="G1763" s="8" t="str">
        <v>CódRastreio1645</v>
      </c>
      <c r="H1763" s="5">
        <v>1</v>
      </c>
      <c r="I1763" s="182" t="str">
        <v>CPF 1706</v>
      </c>
      <c r="J1763" s="2" t="str">
        <v>Nome 1706</v>
      </c>
      <c r="K1763" s="8" t="str">
        <v>Tel 1706</v>
      </c>
      <c r="L1763" s="8" t="str">
        <v>Cep 1706</v>
      </c>
      <c r="M1763" s="8" t="str">
        <v>Rua 1706</v>
      </c>
      <c r="N1763" s="8" t="str">
        <v>Comp 1706</v>
      </c>
      <c r="O1763" s="8" t="str">
        <v>Máquina de cortar cabelo dragão</v>
      </c>
      <c r="P1763" s="8" t="str">
        <v>HG-2FNR-01A9</v>
      </c>
      <c r="Q1763" s="4">
        <v>45841</v>
      </c>
      <c r="R1763" s="109">
        <v>25.99</v>
      </c>
      <c r="S1763" s="11">
        <f ca="1"/>
        <v>25.99</v>
      </c>
      <c r="T1763" s="28">
        <f ca="1"/>
        <v>3.1187999999999998</v>
      </c>
      <c r="U1763" s="11">
        <f ca="1"/>
        <v>22.87</v>
      </c>
      <c r="V1763" s="11">
        <v>17.45</v>
      </c>
      <c r="W1763" s="11">
        <f ca="1"/>
        <v>7.0000000000000007E-2</v>
      </c>
      <c r="X1763" s="11">
        <f ca="1"/>
        <v>0.39877104377104378</v>
      </c>
      <c r="Y1763" s="11">
        <v>0</v>
      </c>
      <c r="Z1763" s="11">
        <f ca="1"/>
        <v>4.951228956228956</v>
      </c>
      <c r="AA1763" s="11">
        <f ca="1"/>
        <v>2.475614478114478</v>
      </c>
      <c r="AB1763" s="4">
        <f ca="1"/>
        <v>45848</v>
      </c>
      <c r="AC1763" s="4">
        <v>45848</v>
      </c>
      <c r="AD1763" s="9">
        <v>45853</v>
      </c>
      <c r="AE1763" s="9">
        <v>45873</v>
      </c>
      <c r="AF1763" s="4" t="str">
        <f t="shared" ca="1" si="125"/>
        <v>2025 07</v>
      </c>
      <c r="AG1763" s="8" t="str" cm="1">
        <f t="array" ref="AG1763">IFERROR(_xlfn.IFS('Banco de Dados'!#REF!="AG. COMPRA","Em processamento",'Banco de Dados'!#REF!="AG. RASTREIO","Em processamento",'Banco de Dados'!$AE1763&lt;&gt;"-","Faturado",'Banco de Dados'!$AD1763&lt;&gt;"-","Aguardando Pix",'Banco de Dados'!$AC1763&lt;&gt;"-","Pendente"),"Aguardando Liberação")</f>
        <v>Aguardando Liberação</v>
      </c>
      <c r="AH1763" s="5" t="str">
        <f>IF('Banco de Dados'!$F1763="-",_xlfn.CONCAT(PROPER(TEXT(AK1763,"aaaa"))," ",PROPER(TEXT(AK1763,"mm"))),_xlfn.CONCAT(PROPER(TEXT(E1763,"aaaa"))," ",PROPER(TEXT(E1763,"mm"))))</f>
        <v>2025 06</v>
      </c>
      <c r="AI1763" s="9" t="str">
        <f ca="1">IF('Banco de Dados'!$AK1763&lt;&gt;"-","REEMBOLSO",IFERROR(_xlfn.XLOOKUP(G1763,Follow[CODRASTREIO],Follow[STATUS]),"-"))</f>
        <v>ENTREGUE</v>
      </c>
      <c r="AJ1763" s="9">
        <f ca="1">IF('Banco de Dados'!$AI1763="ENTREGUE",_xlfn.XLOOKUP('Banco de Dados'!$G1763,Follow[CODRASTREIO],Follow[DATAATUALIZAÇÃO]),"-")</f>
        <v>45821</v>
      </c>
      <c r="AK1763" s="132" t="str">
        <f ca="1"/>
        <v>-</v>
      </c>
      <c r="AL1763" s="35"/>
      <c r="AM1763" s="109" cm="1">
        <f t="array" aca="1" ref="AM1763" ca="1">IF('Banco de Dados'!$AK1763&lt;&gt;"-",_xlfn.IFS('Banco de Dados'!$A1763="bv",IF('Banco de Dados'!$E1763&lt;45641,ROUND(SUM('Banco de Dados'!$R1763*_xlfn.XLOOKUP('Banco de Dados'!$P1763,Sku!B:B,Sku!#REF!)*20%),2),ROUND(SUM('Banco de Dados'!$R1763*_xlfn.XLOOKUP('Banco de Dados'!$P1763,Sku!B:B,Sku!H:H)*20%),2)),'Banco de Dados'!$A1763="GO",ROUND(_xlfn.XLOOKUP('Banco de Dados'!$P1763,Sku!C:C,Sku!H:H),2),'Banco de Dados'!$A1763="MEI",ROUND(_xlfn.XLOOKUP('Banco de Dados'!$P1763,Sku!D:D,Sku!H:H),2)),0)</f>
        <v>0</v>
      </c>
      <c r="AN1763" s="109">
        <f ca="1">IF('Banco de Dados'!$AK1763&lt;&gt;"-",IF('Banco de Dados'!$F1763&lt;&gt;"-",_xlfn.XLOOKUP(IFERROR(IFERROR(IFERROR(VALUE(SUBSTITUTE(MID(_xlfn.TEXTAFTER('Banco de Dados'!$F1763,"Data do Pedido:
",1),1,10),"-","/")),VALUE(SUBSTITUTE(MID(_xlfn.TEXTAFTER('Banco de Dados'!$F1763,"Order date:
",1),1,10),"-","/"))),VALUE(SUBSTITUTE(MID(_xlfn.TEXTAFTER('Banco de Dados'!$F1763,"Fecha de pedido:
",1),1,10),"-","/"))),"-"),SMS!A:A,SMS!K:K),0),0)</f>
        <v>0</v>
      </c>
      <c r="AO1763" s="109">
        <f ca="1">IF('Banco de Dados'!$AK1763&lt;&gt;"-",IF('Banco de Dados'!$F1763&lt;&gt;"-",IFERROR(_xlfn.XLOOKUP(_xlfn.CONCAT('Banco de Dados'!$A1763,IFERROR(IFERROR(VALUE(SUBSTITUTE(MID(_xlfn.TEXTAFTER('Banco de Dados'!$F1763,"Data do Pedido:
",1),1,10),"-","/")),VALUE(SUBSTITUTE(MID(_xlfn.TEXTAFTER('Banco de Dados'!$F1763,"Order date:
",1),1,10),"-","/"))),0)),ProxyDD[Chave],ProxyDD[Valor por pedido]),PROXY!$P$2),0),0)</f>
        <v>0</v>
      </c>
      <c r="AP1763" s="28">
        <f ca="1">IF('Banco de Dados'!$AK1763&lt;&gt;"-",IF('Banco de Dados'!$AL1763="NÃO",IFERROR(VALUE(SUBSTITUTE(_xlfn.TEXTAFTER('Banco de Dados'!$F1763,"BRL ",1),".",",")),0),0),0)</f>
        <v>0</v>
      </c>
      <c r="AQ1763" s="28">
        <f ca="1">SUM('Banco de Dados'!$AM1763:$AP1763)</f>
        <v>0</v>
      </c>
      <c r="AR1763" s="8"/>
      <c r="AS1763" s="8"/>
      <c r="AT1763"/>
      <c r="AY1763" s="8"/>
    </row>
    <row r="1764" spans="1:51">
      <c r="A1764" s="5" t="str">
        <v>BV</v>
      </c>
      <c r="B1764" s="5" t="str">
        <f ca="1"/>
        <v>BV45817</v>
      </c>
      <c r="C1764" s="8" t="str">
        <v>Pedido 1750</v>
      </c>
      <c r="D1764" s="187">
        <v>45813</v>
      </c>
      <c r="E1764" s="9">
        <v>45817</v>
      </c>
      <c r="F1764" s="8" t="str">
        <v>PedidoF1648</v>
      </c>
      <c r="G1764" s="8" t="str">
        <v>CódRastreio1646</v>
      </c>
      <c r="H1764" s="5">
        <v>1</v>
      </c>
      <c r="I1764" s="182" t="str">
        <v>CPF 1707</v>
      </c>
      <c r="J1764" s="2" t="str">
        <v>Nome 1707</v>
      </c>
      <c r="K1764" s="8" t="str">
        <v>Tel 1707</v>
      </c>
      <c r="L1764" s="8" t="str">
        <v>Cep 1707</v>
      </c>
      <c r="M1764" s="8" t="str">
        <v>Rua 1707</v>
      </c>
      <c r="N1764" s="8" t="str">
        <v>Comp 1707</v>
      </c>
      <c r="O1764" s="8" t="str">
        <v>Ventilador Azul</v>
      </c>
      <c r="P1764" s="8" t="str">
        <v>U8-2VWS-OB6M</v>
      </c>
      <c r="Q1764" s="4">
        <v>45829</v>
      </c>
      <c r="R1764" s="109">
        <v>96.91</v>
      </c>
      <c r="S1764" s="11">
        <f ca="1"/>
        <v>96.91</v>
      </c>
      <c r="T1764" s="28">
        <f ca="1"/>
        <v>11.629199999999999</v>
      </c>
      <c r="U1764" s="11">
        <f ca="1"/>
        <v>85.28</v>
      </c>
      <c r="V1764" s="11">
        <v>25.79</v>
      </c>
      <c r="W1764" s="11">
        <f ca="1"/>
        <v>0</v>
      </c>
      <c r="X1764" s="11">
        <f ca="1"/>
        <v>0.39877104377104378</v>
      </c>
      <c r="Y1764" s="11">
        <v>0</v>
      </c>
      <c r="Z1764" s="11">
        <f ca="1"/>
        <v>59.09122895622896</v>
      </c>
      <c r="AA1764" s="11">
        <f ca="1"/>
        <v>29.54561447811448</v>
      </c>
      <c r="AB1764" s="4">
        <f ca="1"/>
        <v>45836</v>
      </c>
      <c r="AC1764" s="4">
        <v>45836</v>
      </c>
      <c r="AD1764" s="9">
        <v>45838</v>
      </c>
      <c r="AE1764" s="9">
        <v>45839</v>
      </c>
      <c r="AF1764" s="4" t="str">
        <f t="shared" ca="1" si="125"/>
        <v>2025 06</v>
      </c>
      <c r="AG1764" s="8" t="str" cm="1">
        <f t="array" ref="AG1764">IFERROR(_xlfn.IFS('Banco de Dados'!#REF!="AG. COMPRA","Em processamento",'Banco de Dados'!#REF!="AG. RASTREIO","Em processamento",'Banco de Dados'!$AE1764&lt;&gt;"-","Faturado",'Banco de Dados'!$AD1764&lt;&gt;"-","Aguardando Pix",'Banco de Dados'!$AC1764&lt;&gt;"-","Pendente"),"Aguardando Liberação")</f>
        <v>Aguardando Liberação</v>
      </c>
      <c r="AH1764" s="5" t="str">
        <f>IF('Banco de Dados'!$F1764="-",_xlfn.CONCAT(PROPER(TEXT(AK1764,"aaaa"))," ",PROPER(TEXT(AK1764,"mm"))),_xlfn.CONCAT(PROPER(TEXT(E1764,"aaaa"))," ",PROPER(TEXT(E1764,"mm"))))</f>
        <v>2025 06</v>
      </c>
      <c r="AI1764" s="9" t="str">
        <f ca="1">IF('Banco de Dados'!$AK1764&lt;&gt;"-","REEMBOLSO",IFERROR(_xlfn.XLOOKUP(G1764,Follow[CODRASTREIO],Follow[STATUS]),"-"))</f>
        <v>ENTREGUE</v>
      </c>
      <c r="AJ1764" s="9">
        <f ca="1">IF('Banco de Dados'!$AI1764="ENTREGUE",_xlfn.XLOOKUP('Banco de Dados'!$G1764,Follow[CODRASTREIO],Follow[DATAATUALIZAÇÃO]),"-")</f>
        <v>45826.64203703704</v>
      </c>
      <c r="AK1764" s="132" t="str">
        <f ca="1"/>
        <v>-</v>
      </c>
      <c r="AL1764" s="35"/>
      <c r="AM1764" s="109" cm="1">
        <f t="array" aca="1" ref="AM1764" ca="1">IF('Banco de Dados'!$AK1764&lt;&gt;"-",_xlfn.IFS('Banco de Dados'!$A1764="bv",IF('Banco de Dados'!$E1764&lt;45641,ROUND(SUM('Banco de Dados'!$R1764*_xlfn.XLOOKUP('Banco de Dados'!$P1764,Sku!B:B,Sku!#REF!)*20%),2),ROUND(SUM('Banco de Dados'!$R1764*_xlfn.XLOOKUP('Banco de Dados'!$P1764,Sku!B:B,Sku!H:H)*20%),2)),'Banco de Dados'!$A1764="GO",ROUND(_xlfn.XLOOKUP('Banco de Dados'!$P1764,Sku!C:C,Sku!H:H),2),'Banco de Dados'!$A1764="MEI",ROUND(_xlfn.XLOOKUP('Banco de Dados'!$P1764,Sku!D:D,Sku!H:H),2)),0)</f>
        <v>0</v>
      </c>
      <c r="AN1764" s="109">
        <f ca="1">IF('Banco de Dados'!$AK1764&lt;&gt;"-",IF('Banco de Dados'!$F1764&lt;&gt;"-",_xlfn.XLOOKUP(IFERROR(IFERROR(IFERROR(VALUE(SUBSTITUTE(MID(_xlfn.TEXTAFTER('Banco de Dados'!$F1764,"Data do Pedido:
",1),1,10),"-","/")),VALUE(SUBSTITUTE(MID(_xlfn.TEXTAFTER('Banco de Dados'!$F1764,"Order date:
",1),1,10),"-","/"))),VALUE(SUBSTITUTE(MID(_xlfn.TEXTAFTER('Banco de Dados'!$F1764,"Fecha de pedido:
",1),1,10),"-","/"))),"-"),SMS!A:A,SMS!K:K),0),0)</f>
        <v>0</v>
      </c>
      <c r="AO1764" s="109">
        <f ca="1">IF('Banco de Dados'!$AK1764&lt;&gt;"-",IF('Banco de Dados'!$F1764&lt;&gt;"-",IFERROR(_xlfn.XLOOKUP(_xlfn.CONCAT('Banco de Dados'!$A1764,IFERROR(IFERROR(VALUE(SUBSTITUTE(MID(_xlfn.TEXTAFTER('Banco de Dados'!$F1764,"Data do Pedido:
",1),1,10),"-","/")),VALUE(SUBSTITUTE(MID(_xlfn.TEXTAFTER('Banco de Dados'!$F1764,"Order date:
",1),1,10),"-","/"))),0)),ProxyDD[Chave],ProxyDD[Valor por pedido]),PROXY!$P$2),0),0)</f>
        <v>0</v>
      </c>
      <c r="AP1764" s="28">
        <f ca="1">IF('Banco de Dados'!$AK1764&lt;&gt;"-",IF('Banco de Dados'!$AL1764="NÃO",IFERROR(VALUE(SUBSTITUTE(_xlfn.TEXTAFTER('Banco de Dados'!$F1764,"BRL ",1),".",",")),0),0),0)</f>
        <v>0</v>
      </c>
      <c r="AQ1764" s="28">
        <f ca="1">SUM('Banco de Dados'!$AM1764:$AP1764)</f>
        <v>0</v>
      </c>
      <c r="AR1764" s="8"/>
      <c r="AS1764" s="8"/>
      <c r="AT1764"/>
      <c r="AY1764" s="8"/>
    </row>
    <row r="1765" spans="1:51">
      <c r="A1765" s="5" t="str">
        <v>BV</v>
      </c>
      <c r="B1765" s="5" t="str">
        <f ca="1"/>
        <v>BV45817</v>
      </c>
      <c r="C1765" s="8" t="str">
        <v>Pedido 1751</v>
      </c>
      <c r="D1765" s="187">
        <v>45814</v>
      </c>
      <c r="E1765" s="9">
        <v>45817</v>
      </c>
      <c r="F1765" s="8" t="str">
        <v>PedidoF1649</v>
      </c>
      <c r="G1765" s="8" t="str">
        <v>CódRastreio1647</v>
      </c>
      <c r="H1765" s="5">
        <v>1</v>
      </c>
      <c r="I1765" s="182" t="str">
        <v>CPF 1708</v>
      </c>
      <c r="J1765" s="2" t="str">
        <v>Nome 1708</v>
      </c>
      <c r="K1765" s="8" t="str">
        <v>Tel 1708</v>
      </c>
      <c r="L1765" s="8" t="str">
        <v>Cep 1708</v>
      </c>
      <c r="M1765" s="8" t="str">
        <v>Rua 1708</v>
      </c>
      <c r="N1765" s="8" t="str">
        <v>Comp 1708</v>
      </c>
      <c r="O1765" s="8" t="str">
        <v>Máquina de cortar cabelo dragão</v>
      </c>
      <c r="P1765" s="8" t="str">
        <v>HG-2FNR-01A9</v>
      </c>
      <c r="Q1765" s="4">
        <v>45842</v>
      </c>
      <c r="R1765" s="109">
        <v>25.99</v>
      </c>
      <c r="S1765" s="11">
        <f ca="1"/>
        <v>25.99</v>
      </c>
      <c r="T1765" s="28">
        <f ca="1"/>
        <v>3.1187999999999998</v>
      </c>
      <c r="U1765" s="11">
        <f ca="1"/>
        <v>22.87</v>
      </c>
      <c r="V1765" s="11">
        <v>10.61</v>
      </c>
      <c r="W1765" s="11">
        <f ca="1"/>
        <v>0</v>
      </c>
      <c r="X1765" s="11">
        <f ca="1"/>
        <v>0.39877104377104378</v>
      </c>
      <c r="Y1765" s="11">
        <v>0</v>
      </c>
      <c r="Z1765" s="11">
        <f ca="1"/>
        <v>11.861228956228958</v>
      </c>
      <c r="AA1765" s="11">
        <f ca="1"/>
        <v>5.9306144781144789</v>
      </c>
      <c r="AB1765" s="4">
        <f ca="1"/>
        <v>45849</v>
      </c>
      <c r="AC1765" s="4">
        <v>45849</v>
      </c>
      <c r="AD1765" s="9">
        <v>45853</v>
      </c>
      <c r="AE1765" s="9">
        <v>45873</v>
      </c>
      <c r="AF1765" s="4" t="str">
        <f t="shared" ca="1" si="125"/>
        <v>2025 07</v>
      </c>
      <c r="AG1765" s="8" t="str" cm="1">
        <f t="array" ref="AG1765">IFERROR(_xlfn.IFS('Banco de Dados'!#REF!="AG. COMPRA","Em processamento",'Banco de Dados'!#REF!="AG. RASTREIO","Em processamento",'Banco de Dados'!$AE1765&lt;&gt;"-","Faturado",'Banco de Dados'!$AD1765&lt;&gt;"-","Aguardando Pix",'Banco de Dados'!$AC1765&lt;&gt;"-","Pendente"),"Aguardando Liberação")</f>
        <v>Aguardando Liberação</v>
      </c>
      <c r="AH1765" s="5" t="str">
        <f>IF('Banco de Dados'!$F1765="-",_xlfn.CONCAT(PROPER(TEXT(AK1765,"aaaa"))," ",PROPER(TEXT(AK1765,"mm"))),_xlfn.CONCAT(PROPER(TEXT(E1765,"aaaa"))," ",PROPER(TEXT(E1765,"mm"))))</f>
        <v>2025 06</v>
      </c>
      <c r="AI1765" s="9" t="str">
        <f ca="1">IF('Banco de Dados'!$AK1765&lt;&gt;"-","REEMBOLSO",IFERROR(_xlfn.XLOOKUP(G1765,Follow[CODRASTREIO],Follow[STATUS]),"-"))</f>
        <v>ENTREGUE</v>
      </c>
      <c r="AJ1765" s="9">
        <f ca="1">IF('Banco de Dados'!$AI1765="ENTREGUE",_xlfn.XLOOKUP('Banco de Dados'!$G1765,Follow[CODRASTREIO],Follow[DATAATUALIZAÇÃO]),"-")</f>
        <v>45841</v>
      </c>
      <c r="AK1765" s="132" t="str">
        <f ca="1"/>
        <v>-</v>
      </c>
      <c r="AL1765" s="35"/>
      <c r="AM1765" s="109" cm="1">
        <f t="array" aca="1" ref="AM1765" ca="1">IF('Banco de Dados'!$AK1765&lt;&gt;"-",_xlfn.IFS('Banco de Dados'!$A1765="bv",IF('Banco de Dados'!$E1765&lt;45641,ROUND(SUM('Banco de Dados'!$R1765*_xlfn.XLOOKUP('Banco de Dados'!$P1765,Sku!B:B,Sku!#REF!)*20%),2),ROUND(SUM('Banco de Dados'!$R1765*_xlfn.XLOOKUP('Banco de Dados'!$P1765,Sku!B:B,Sku!H:H)*20%),2)),'Banco de Dados'!$A1765="GO",ROUND(_xlfn.XLOOKUP('Banco de Dados'!$P1765,Sku!C:C,Sku!H:H),2),'Banco de Dados'!$A1765="MEI",ROUND(_xlfn.XLOOKUP('Banco de Dados'!$P1765,Sku!D:D,Sku!H:H),2)),0)</f>
        <v>0</v>
      </c>
      <c r="AN1765" s="109">
        <f ca="1">IF('Banco de Dados'!$AK1765&lt;&gt;"-",IF('Banco de Dados'!$F1765&lt;&gt;"-",_xlfn.XLOOKUP(IFERROR(IFERROR(IFERROR(VALUE(SUBSTITUTE(MID(_xlfn.TEXTAFTER('Banco de Dados'!$F1765,"Data do Pedido:
",1),1,10),"-","/")),VALUE(SUBSTITUTE(MID(_xlfn.TEXTAFTER('Banco de Dados'!$F1765,"Order date:
",1),1,10),"-","/"))),VALUE(SUBSTITUTE(MID(_xlfn.TEXTAFTER('Banco de Dados'!$F1765,"Fecha de pedido:
",1),1,10),"-","/"))),"-"),SMS!A:A,SMS!K:K),0),0)</f>
        <v>0</v>
      </c>
      <c r="AO1765" s="109">
        <f ca="1">IF('Banco de Dados'!$AK1765&lt;&gt;"-",IF('Banco de Dados'!$F1765&lt;&gt;"-",IFERROR(_xlfn.XLOOKUP(_xlfn.CONCAT('Banco de Dados'!$A1765,IFERROR(IFERROR(VALUE(SUBSTITUTE(MID(_xlfn.TEXTAFTER('Banco de Dados'!$F1765,"Data do Pedido:
",1),1,10),"-","/")),VALUE(SUBSTITUTE(MID(_xlfn.TEXTAFTER('Banco de Dados'!$F1765,"Order date:
",1),1,10),"-","/"))),0)),ProxyDD[Chave],ProxyDD[Valor por pedido]),PROXY!$P$2),0),0)</f>
        <v>0</v>
      </c>
      <c r="AP1765" s="28">
        <f ca="1">IF('Banco de Dados'!$AK1765&lt;&gt;"-",IF('Banco de Dados'!$AL1765="NÃO",IFERROR(VALUE(SUBSTITUTE(_xlfn.TEXTAFTER('Banco de Dados'!$F1765,"BRL ",1),".",",")),0),0),0)</f>
        <v>0</v>
      </c>
      <c r="AQ1765" s="28">
        <f ca="1">SUM('Banco de Dados'!$AM1765:$AP1765)</f>
        <v>0</v>
      </c>
      <c r="AR1765" s="8"/>
      <c r="AS1765" s="8"/>
      <c r="AT1765"/>
      <c r="AY1765" s="8"/>
    </row>
    <row r="1766" spans="1:51">
      <c r="A1766" s="5" t="str">
        <v>BV</v>
      </c>
      <c r="B1766" s="5" t="str">
        <f ca="1"/>
        <v>BV45819</v>
      </c>
      <c r="C1766" s="8" t="str">
        <v>Pedido 1752</v>
      </c>
      <c r="D1766" s="187">
        <v>45814</v>
      </c>
      <c r="E1766" s="9">
        <v>45819</v>
      </c>
      <c r="F1766" s="8" t="str">
        <v>PedidoF1650</v>
      </c>
      <c r="G1766" s="8" t="str">
        <v>CódRastreio1648</v>
      </c>
      <c r="H1766" s="5">
        <v>1</v>
      </c>
      <c r="I1766" s="182" t="str">
        <v>CPF 1709</v>
      </c>
      <c r="J1766" s="2" t="str">
        <v>Nome 1709</v>
      </c>
      <c r="K1766" s="8" t="str">
        <v>Tel 1709</v>
      </c>
      <c r="L1766" s="8" t="str">
        <v>Cep 1709</v>
      </c>
      <c r="M1766" s="8" t="str">
        <v>Rua 1709</v>
      </c>
      <c r="N1766" s="8" t="str">
        <v>Comp 1709</v>
      </c>
      <c r="O1766" s="8" t="str">
        <v>Máquina de cortar cabelo dragão</v>
      </c>
      <c r="P1766" s="8" t="str">
        <v>HG-2FNR-01A9</v>
      </c>
      <c r="Q1766" s="4">
        <v>45836</v>
      </c>
      <c r="R1766" s="109">
        <v>25.99</v>
      </c>
      <c r="S1766" s="11">
        <f ca="1"/>
        <v>25.99</v>
      </c>
      <c r="T1766" s="28">
        <f ca="1"/>
        <v>3.1187999999999998</v>
      </c>
      <c r="U1766" s="11">
        <f ca="1"/>
        <v>22.87</v>
      </c>
      <c r="V1766" s="11">
        <v>10.18</v>
      </c>
      <c r="W1766" s="11">
        <f ca="1"/>
        <v>0</v>
      </c>
      <c r="X1766" s="11">
        <f ca="1"/>
        <v>0.39877104377104378</v>
      </c>
      <c r="Y1766" s="11">
        <v>0</v>
      </c>
      <c r="Z1766" s="11">
        <f ca="1"/>
        <v>12.291228956228958</v>
      </c>
      <c r="AA1766" s="11">
        <f ca="1"/>
        <v>6.1456144781144788</v>
      </c>
      <c r="AB1766" s="4">
        <f ca="1"/>
        <v>45843</v>
      </c>
      <c r="AC1766" s="4">
        <v>45843</v>
      </c>
      <c r="AD1766" s="9">
        <v>45853</v>
      </c>
      <c r="AE1766" s="9">
        <v>45873</v>
      </c>
      <c r="AF1766" s="4" t="str">
        <f t="shared" ca="1" si="125"/>
        <v>2025 07</v>
      </c>
      <c r="AG1766" s="8" t="str" cm="1">
        <f t="array" ref="AG1766">IFERROR(_xlfn.IFS('Banco de Dados'!#REF!="AG. COMPRA","Em processamento",'Banco de Dados'!#REF!="AG. RASTREIO","Em processamento",'Banco de Dados'!$AE1766&lt;&gt;"-","Faturado",'Banco de Dados'!$AD1766&lt;&gt;"-","Aguardando Pix",'Banco de Dados'!$AC1766&lt;&gt;"-","Pendente"),"Aguardando Liberação")</f>
        <v>Aguardando Liberação</v>
      </c>
      <c r="AH1766" s="5" t="str">
        <f>IF('Banco de Dados'!$F1766="-",_xlfn.CONCAT(PROPER(TEXT(AK1766,"aaaa"))," ",PROPER(TEXT(AK1766,"mm"))),_xlfn.CONCAT(PROPER(TEXT(E1766,"aaaa"))," ",PROPER(TEXT(E1766,"mm"))))</f>
        <v>2025 06</v>
      </c>
      <c r="AI1766" s="9" t="str">
        <f ca="1">IF('Banco de Dados'!$AK1766&lt;&gt;"-","REEMBOLSO",IFERROR(_xlfn.XLOOKUP(G1766,Follow[CODRASTREIO],Follow[STATUS]),"-"))</f>
        <v>ENTREGUE</v>
      </c>
      <c r="AJ1766" s="9">
        <f ca="1">IF('Banco de Dados'!$AI1766="ENTREGUE",_xlfn.XLOOKUP('Banco de Dados'!$G1766,Follow[CODRASTREIO],Follow[DATAATUALIZAÇÃO]),"-")</f>
        <v>45842</v>
      </c>
      <c r="AK1766" s="132" t="str">
        <f ca="1"/>
        <v>-</v>
      </c>
      <c r="AL1766" s="35"/>
      <c r="AM1766" s="109" cm="1">
        <f t="array" aca="1" ref="AM1766" ca="1">IF('Banco de Dados'!$AK1766&lt;&gt;"-",_xlfn.IFS('Banco de Dados'!$A1766="bv",IF('Banco de Dados'!$E1766&lt;45641,ROUND(SUM('Banco de Dados'!$R1766*_xlfn.XLOOKUP('Banco de Dados'!$P1766,Sku!B:B,Sku!#REF!)*20%),2),ROUND(SUM('Banco de Dados'!$R1766*_xlfn.XLOOKUP('Banco de Dados'!$P1766,Sku!B:B,Sku!H:H)*20%),2)),'Banco de Dados'!$A1766="GO",ROUND(_xlfn.XLOOKUP('Banco de Dados'!$P1766,Sku!C:C,Sku!H:H),2),'Banco de Dados'!$A1766="MEI",ROUND(_xlfn.XLOOKUP('Banco de Dados'!$P1766,Sku!D:D,Sku!H:H),2)),0)</f>
        <v>0</v>
      </c>
      <c r="AN1766" s="109">
        <f ca="1">IF('Banco de Dados'!$AK1766&lt;&gt;"-",IF('Banco de Dados'!$F1766&lt;&gt;"-",_xlfn.XLOOKUP(IFERROR(IFERROR(IFERROR(VALUE(SUBSTITUTE(MID(_xlfn.TEXTAFTER('Banco de Dados'!$F1766,"Data do Pedido:
",1),1,10),"-","/")),VALUE(SUBSTITUTE(MID(_xlfn.TEXTAFTER('Banco de Dados'!$F1766,"Order date:
",1),1,10),"-","/"))),VALUE(SUBSTITUTE(MID(_xlfn.TEXTAFTER('Banco de Dados'!$F1766,"Fecha de pedido:
",1),1,10),"-","/"))),"-"),SMS!A:A,SMS!K:K),0),0)</f>
        <v>0</v>
      </c>
      <c r="AO1766" s="109">
        <f ca="1">IF('Banco de Dados'!$AK1766&lt;&gt;"-",IF('Banco de Dados'!$F1766&lt;&gt;"-",IFERROR(_xlfn.XLOOKUP(_xlfn.CONCAT('Banco de Dados'!$A1766,IFERROR(IFERROR(VALUE(SUBSTITUTE(MID(_xlfn.TEXTAFTER('Banco de Dados'!$F1766,"Data do Pedido:
",1),1,10),"-","/")),VALUE(SUBSTITUTE(MID(_xlfn.TEXTAFTER('Banco de Dados'!$F1766,"Order date:
",1),1,10),"-","/"))),0)),ProxyDD[Chave],ProxyDD[Valor por pedido]),PROXY!$P$2),0),0)</f>
        <v>0</v>
      </c>
      <c r="AP1766" s="28">
        <f ca="1">IF('Banco de Dados'!$AK1766&lt;&gt;"-",IF('Banco de Dados'!$AL1766="NÃO",IFERROR(VALUE(SUBSTITUTE(_xlfn.TEXTAFTER('Banco de Dados'!$F1766,"BRL ",1),".",",")),0),0),0)</f>
        <v>0</v>
      </c>
      <c r="AQ1766" s="28">
        <f ca="1">SUM('Banco de Dados'!$AM1766:$AP1766)</f>
        <v>0</v>
      </c>
      <c r="AR1766" s="8"/>
      <c r="AS1766" s="8"/>
      <c r="AT1766"/>
      <c r="AY1766" s="8"/>
    </row>
    <row r="1767" spans="1:51">
      <c r="A1767" s="5" t="str">
        <v>GO</v>
      </c>
      <c r="B1767" s="5" t="str">
        <f ca="1"/>
        <v>GO45813</v>
      </c>
      <c r="C1767" s="8" t="str">
        <v>Pedido 1753</v>
      </c>
      <c r="D1767" s="187">
        <v>45813</v>
      </c>
      <c r="E1767" s="9">
        <v>45813</v>
      </c>
      <c r="F1767" s="8" t="str">
        <v>PedidoF1651</v>
      </c>
      <c r="G1767" s="8" t="str">
        <v>CódRastreio1649</v>
      </c>
      <c r="H1767" s="5">
        <v>1</v>
      </c>
      <c r="I1767" s="182" t="str">
        <v>CPF 1710</v>
      </c>
      <c r="J1767" s="2" t="str">
        <v>Nome 1710</v>
      </c>
      <c r="K1767" s="8" t="str">
        <v>Tel 1710</v>
      </c>
      <c r="L1767" s="8" t="str">
        <v>Cep 1710</v>
      </c>
      <c r="M1767" s="8" t="str">
        <v>Rua 1710</v>
      </c>
      <c r="N1767" s="8" t="str">
        <v>Comp 1710</v>
      </c>
      <c r="O1767" s="8" t="str">
        <v>Escova Multifuncional</v>
      </c>
      <c r="P1767" s="8" t="str">
        <v>E7-FW3C-EHOL</v>
      </c>
      <c r="Q1767" s="4">
        <v>45840</v>
      </c>
      <c r="R1767" s="109">
        <v>40.200000000000003</v>
      </c>
      <c r="S1767" s="11">
        <f ca="1"/>
        <v>40.200000000000003</v>
      </c>
      <c r="T1767" s="28">
        <f ca="1"/>
        <v>4.8239999999999998</v>
      </c>
      <c r="U1767" s="11">
        <f ca="1"/>
        <v>35.380000000000003</v>
      </c>
      <c r="V1767" s="11">
        <v>24.99</v>
      </c>
      <c r="W1767" s="11">
        <f ca="1"/>
        <v>0</v>
      </c>
      <c r="X1767" s="11">
        <f ca="1"/>
        <v>0.39877104377104378</v>
      </c>
      <c r="Y1767" s="11">
        <v>0</v>
      </c>
      <c r="Z1767" s="11">
        <f ca="1"/>
        <v>9.9912289562289587</v>
      </c>
      <c r="AA1767" s="11">
        <f ca="1"/>
        <v>9.9912289562289587</v>
      </c>
      <c r="AB1767" s="4">
        <f ca="1"/>
        <v>45847</v>
      </c>
      <c r="AC1767" s="4">
        <v>45847</v>
      </c>
      <c r="AD1767" s="9">
        <v>45853</v>
      </c>
      <c r="AE1767" s="9">
        <v>45873</v>
      </c>
      <c r="AF1767" s="4" t="str">
        <f t="shared" ref="AF1767:AF1768" ca="1" si="126">_xlfn.CONCAT(PROPER(TEXT(AB1767,"aaaa"))," ",PROPER(TEXT(AB1767,"mm")))</f>
        <v>2025 07</v>
      </c>
      <c r="AG1767" s="8" t="str" cm="1">
        <f t="array" ref="AG1767">IFERROR(_xlfn.IFS('Banco de Dados'!#REF!="AG. COMPRA","Em processamento",'Banco de Dados'!#REF!="AG. RASTREIO","Em processamento",'Banco de Dados'!$AE1767&lt;&gt;"-","Faturado",'Banco de Dados'!$AD1767&lt;&gt;"-","Aguardando Pix",'Banco de Dados'!$AC1767&lt;&gt;"-","Pendente"),"Aguardando Liberação")</f>
        <v>Aguardando Liberação</v>
      </c>
      <c r="AH1767" s="5" t="str">
        <f>IF('Banco de Dados'!$F1767="-",_xlfn.CONCAT(PROPER(TEXT(AK1767,"aaaa"))," ",PROPER(TEXT(AK1767,"mm"))),_xlfn.CONCAT(PROPER(TEXT(E1767,"aaaa"))," ",PROPER(TEXT(E1767,"mm"))))</f>
        <v>2025 06</v>
      </c>
      <c r="AI1767" s="9" t="str">
        <f ca="1">IF('Banco de Dados'!$AK1767&lt;&gt;"-","REEMBOLSO",IFERROR(_xlfn.XLOOKUP(G1767,Follow[CODRASTREIO],Follow[STATUS]),"-"))</f>
        <v>ENTREGUE</v>
      </c>
      <c r="AJ1767" s="9">
        <f ca="1">IF('Banco de Dados'!$AI1767="ENTREGUE",_xlfn.XLOOKUP('Banco de Dados'!$G1767,Follow[CODRASTREIO],Follow[DATAATUALIZAÇÃO]),"-")</f>
        <v>45819</v>
      </c>
      <c r="AK1767" s="132" t="str">
        <f ca="1"/>
        <v>-</v>
      </c>
      <c r="AL1767" s="35"/>
      <c r="AM1767" s="109" cm="1">
        <f t="array" aca="1" ref="AM1767" ca="1">IF('Banco de Dados'!$AK1767&lt;&gt;"-",_xlfn.IFS('Banco de Dados'!$A1767="bv",IF('Banco de Dados'!$E1767&lt;45641,ROUND(SUM('Banco de Dados'!$R1767*_xlfn.XLOOKUP('Banco de Dados'!$P1767,Sku!B:B,Sku!#REF!)*20%),2),ROUND(SUM('Banco de Dados'!$R1767*_xlfn.XLOOKUP('Banco de Dados'!$P1767,Sku!B:B,Sku!H:H)*20%),2)),'Banco de Dados'!$A1767="GO",ROUND(SUM('Banco de Dados'!$R1767*_xlfn.XLOOKUP('Banco de Dados'!$P1767,Sku!C:C,Sku!H:H)*20%),2),'Banco de Dados'!$A1767="MEI",ROUND(SUM('Banco de Dados'!$R1767*_xlfn.XLOOKUP('Banco de Dados'!$P1767,Sku!D:D,Sku!H:H)*20%),2)),0)</f>
        <v>0</v>
      </c>
      <c r="AN1767" s="109">
        <v>0</v>
      </c>
      <c r="AO1767" s="109">
        <v>0</v>
      </c>
      <c r="AP1767" s="28">
        <f ca="1">IF('Banco de Dados'!$AK1767&lt;&gt;"-",IF('Banco de Dados'!$AL1767="NÃO",IFERROR(VALUE(SUBSTITUTE(_xlfn.TEXTAFTER('Banco de Dados'!$F1767,"BRL ",1),".",",")),0),0),0)</f>
        <v>0</v>
      </c>
      <c r="AQ1767" s="28">
        <f ca="1">SUM('Banco de Dados'!$AM1767:$AP1767)</f>
        <v>0</v>
      </c>
      <c r="AR1767" s="8"/>
      <c r="AS1767" s="8"/>
      <c r="AT1767"/>
      <c r="AY1767" s="8"/>
    </row>
    <row r="1768" spans="1:51">
      <c r="A1768" s="5" t="str">
        <v>BV</v>
      </c>
      <c r="B1768" s="5" t="str">
        <f ca="1"/>
        <v>BV45818</v>
      </c>
      <c r="C1768" s="8" t="str">
        <v>Pedido 1754</v>
      </c>
      <c r="D1768" s="187">
        <v>45815</v>
      </c>
      <c r="E1768" s="9">
        <v>45818</v>
      </c>
      <c r="F1768" s="8" t="str">
        <v>PedidoF1652</v>
      </c>
      <c r="G1768" s="2" t="str">
        <v>CódRastreio1650</v>
      </c>
      <c r="H1768" s="5">
        <v>1</v>
      </c>
      <c r="I1768" s="182" t="str">
        <v>CPF 1711</v>
      </c>
      <c r="J1768" s="2" t="str">
        <v>Nome 1711</v>
      </c>
      <c r="K1768" s="8" t="str">
        <v>Tel 1711</v>
      </c>
      <c r="L1768" s="8" t="str">
        <v>Cep 1711</v>
      </c>
      <c r="M1768" s="8" t="str">
        <v>Rua 1711</v>
      </c>
      <c r="N1768" s="8" t="str">
        <v>Comp 1711</v>
      </c>
      <c r="O1768" s="8" t="str">
        <v>Máquina de cortar cabelo dragão</v>
      </c>
      <c r="P1768" s="8" t="str">
        <v>HG-2FNR-01A9</v>
      </c>
      <c r="Q1768" s="4">
        <v>45842</v>
      </c>
      <c r="R1768" s="109">
        <v>25.99</v>
      </c>
      <c r="S1768" s="11">
        <f ca="1"/>
        <v>25.99</v>
      </c>
      <c r="T1768" s="28">
        <f ca="1"/>
        <v>3.1187999999999998</v>
      </c>
      <c r="U1768" s="11">
        <f ca="1"/>
        <v>22.87</v>
      </c>
      <c r="V1768" s="11">
        <v>10.59</v>
      </c>
      <c r="W1768" s="11">
        <f ca="1"/>
        <v>0</v>
      </c>
      <c r="X1768" s="11">
        <f ca="1"/>
        <v>0.39877104377104378</v>
      </c>
      <c r="Y1768" s="11">
        <v>0</v>
      </c>
      <c r="Z1768" s="11">
        <f ca="1"/>
        <v>11.881228956228957</v>
      </c>
      <c r="AA1768" s="11">
        <f ca="1"/>
        <v>5.9406144781144787</v>
      </c>
      <c r="AB1768" s="4">
        <f ca="1"/>
        <v>45849</v>
      </c>
      <c r="AC1768" s="4">
        <v>45849</v>
      </c>
      <c r="AD1768" s="9">
        <v>45853</v>
      </c>
      <c r="AE1768" s="9">
        <v>45873</v>
      </c>
      <c r="AF1768" s="4" t="str">
        <f t="shared" ca="1" si="126"/>
        <v>2025 07</v>
      </c>
      <c r="AG1768" s="8" t="str" cm="1">
        <f t="array" ref="AG1768">IFERROR(_xlfn.IFS('Banco de Dados'!#REF!="AG. COMPRA","Em processamento",'Banco de Dados'!#REF!="AG. RASTREIO","Em processamento",'Banco de Dados'!$AE1768&lt;&gt;"-","Faturado",'Banco de Dados'!$AD1768&lt;&gt;"-","Aguardando Pix",'Banco de Dados'!$AC1768&lt;&gt;"-","Pendente"),"Aguardando Liberação")</f>
        <v>Aguardando Liberação</v>
      </c>
      <c r="AH1768" s="5" t="str">
        <f>IF('Banco de Dados'!$F1768="-",_xlfn.CONCAT(PROPER(TEXT(AK1768,"aaaa"))," ",PROPER(TEXT(AK1768,"mm"))),_xlfn.CONCAT(PROPER(TEXT(E1768,"aaaa"))," ",PROPER(TEXT(E1768,"mm"))))</f>
        <v>2025 06</v>
      </c>
      <c r="AI1768" s="9" t="str">
        <f ca="1">IF('Banco de Dados'!$AK1768&lt;&gt;"-","REEMBOLSO",IFERROR(_xlfn.XLOOKUP(G1768,Follow[CODRASTREIO],Follow[STATUS]),"-"))</f>
        <v>ENTREGUE</v>
      </c>
      <c r="AJ1768" s="9">
        <f ca="1">IF('Banco de Dados'!$AI1768="ENTREGUE",_xlfn.XLOOKUP('Banco de Dados'!$G1768,Follow[CODRASTREIO],Follow[DATAATUALIZAÇÃO]),"-")</f>
        <v>45838</v>
      </c>
      <c r="AK1768" s="132" t="str">
        <f ca="1"/>
        <v>-</v>
      </c>
      <c r="AL1768" s="35"/>
      <c r="AM1768" s="109" cm="1">
        <f t="array" aca="1" ref="AM1768" ca="1">IF('Banco de Dados'!$AK1768&lt;&gt;"-",_xlfn.IFS('Banco de Dados'!$A1768="bv",IF('Banco de Dados'!$E1768&lt;45641,ROUND(SUM('Banco de Dados'!$R1768*_xlfn.XLOOKUP('Banco de Dados'!$P1768,Sku!B:B,Sku!#REF!)*20%),2),ROUND(SUM('Banco de Dados'!$R1768*_xlfn.XLOOKUP('Banco de Dados'!$P1768,Sku!B:B,Sku!H:H)*20%),2)),'Banco de Dados'!$A1768="GO",ROUND(_xlfn.XLOOKUP('Banco de Dados'!$P1768,Sku!C:C,Sku!H:H),2),'Banco de Dados'!$A1768="MEI",ROUND(_xlfn.XLOOKUP('Banco de Dados'!$P1768,Sku!D:D,Sku!H:H),2)),0)</f>
        <v>0</v>
      </c>
      <c r="AN1768" s="109">
        <f ca="1">IF('Banco de Dados'!$AK1768&lt;&gt;"-",IF('Banco de Dados'!$F1768&lt;&gt;"-",_xlfn.XLOOKUP(IFERROR(IFERROR(IFERROR(VALUE(SUBSTITUTE(MID(_xlfn.TEXTAFTER('Banco de Dados'!$F1768,"Data do Pedido:
",1),1,10),"-","/")),VALUE(SUBSTITUTE(MID(_xlfn.TEXTAFTER('Banco de Dados'!$F1768,"Order date:
",1),1,10),"-","/"))),VALUE(SUBSTITUTE(MID(_xlfn.TEXTAFTER('Banco de Dados'!$F1768,"Fecha de pedido:
",1),1,10),"-","/"))),"-"),SMS!A:A,SMS!K:K),0),0)</f>
        <v>0</v>
      </c>
      <c r="AO1768" s="109">
        <f ca="1">IF('Banco de Dados'!$AK1768&lt;&gt;"-",IF('Banco de Dados'!$F1768&lt;&gt;"-",IFERROR(_xlfn.XLOOKUP(_xlfn.CONCAT('Banco de Dados'!$A1768,IFERROR(IFERROR(VALUE(SUBSTITUTE(MID(_xlfn.TEXTAFTER('Banco de Dados'!$F1768,"Data do Pedido:
",1),1,10),"-","/")),VALUE(SUBSTITUTE(MID(_xlfn.TEXTAFTER('Banco de Dados'!$F1768,"Order date:
",1),1,10),"-","/"))),0)),ProxyDD[Chave],ProxyDD[Valor por pedido]),PROXY!$P$2),0),0)</f>
        <v>0</v>
      </c>
      <c r="AP1768" s="28">
        <f ca="1">IF('Banco de Dados'!$AK1768&lt;&gt;"-",IF('Banco de Dados'!$AL1768="NÃO",IFERROR(VALUE(SUBSTITUTE(_xlfn.TEXTAFTER('Banco de Dados'!$F1768,"BRL ",1),".",",")),0),0),0)</f>
        <v>0</v>
      </c>
      <c r="AQ1768" s="28">
        <f ca="1">SUM('Banco de Dados'!$AM1768:$AP1768)</f>
        <v>0</v>
      </c>
      <c r="AR1768" s="8"/>
      <c r="AS1768" s="8"/>
      <c r="AT1768"/>
      <c r="AY1768" s="8"/>
    </row>
    <row r="1769" spans="1:51">
      <c r="A1769" s="5" t="str">
        <v>BV</v>
      </c>
      <c r="B1769" s="5" t="str">
        <f ca="1"/>
        <v>BV45819</v>
      </c>
      <c r="C1769" s="8" t="str">
        <v>Pedido 1755</v>
      </c>
      <c r="D1769" s="187">
        <v>45818</v>
      </c>
      <c r="E1769" s="9">
        <v>45819</v>
      </c>
      <c r="F1769" s="8" t="str">
        <v>PedidoF1653</v>
      </c>
      <c r="G1769" s="2" t="str">
        <v>CódRastreio1651</v>
      </c>
      <c r="H1769" s="5">
        <v>1</v>
      </c>
      <c r="I1769" s="182" t="str">
        <v>CPF 1712</v>
      </c>
      <c r="J1769" s="2" t="str">
        <v>Nome 1712</v>
      </c>
      <c r="K1769" s="8" t="str">
        <v>Tel 1712</v>
      </c>
      <c r="L1769" s="8" t="str">
        <v>Cep 1712</v>
      </c>
      <c r="M1769" s="8" t="str">
        <v>Rua 1712</v>
      </c>
      <c r="N1769" s="8" t="str">
        <v>Comp 1712</v>
      </c>
      <c r="O1769" s="8" t="str">
        <v>Máquina de cortar cabelo dragão</v>
      </c>
      <c r="P1769" s="8" t="str">
        <v>NQ-IMR8-W6Q4</v>
      </c>
      <c r="Q1769" s="4">
        <v>45850</v>
      </c>
      <c r="R1769" s="109">
        <v>25.99</v>
      </c>
      <c r="S1769" s="11">
        <f ca="1"/>
        <v>0</v>
      </c>
      <c r="T1769" s="28">
        <f ca="1"/>
        <v>0</v>
      </c>
      <c r="U1769" s="11">
        <f ca="1"/>
        <v>0</v>
      </c>
      <c r="V1769" s="11">
        <v>0</v>
      </c>
      <c r="W1769" s="11">
        <f ca="1"/>
        <v>0</v>
      </c>
      <c r="X1769" s="11">
        <f ca="1"/>
        <v>0.39877104377104378</v>
      </c>
      <c r="Y1769" s="11">
        <v>0</v>
      </c>
      <c r="Z1769" s="11">
        <f ca="1"/>
        <v>-0.39877104377104378</v>
      </c>
      <c r="AA1769" s="11">
        <f ca="1"/>
        <v>-0.19938552188552189</v>
      </c>
      <c r="AB1769" s="4">
        <f ca="1"/>
        <v>45857</v>
      </c>
      <c r="AC1769" s="4">
        <v>45857</v>
      </c>
      <c r="AD1769" s="9">
        <v>45870</v>
      </c>
      <c r="AE1769" s="9">
        <v>45873</v>
      </c>
      <c r="AF1769" s="4" t="str">
        <f t="shared" ref="AF1769:AF1771" ca="1" si="127">_xlfn.CONCAT(PROPER(TEXT(AB1769,"aaaa"))," ",PROPER(TEXT(AB1769,"mm")))</f>
        <v>2025 07</v>
      </c>
      <c r="AG1769" s="8" t="str" cm="1">
        <f t="array" ref="AG1769">IFERROR(_xlfn.IFS('Banco de Dados'!#REF!="AG. COMPRA","Em processamento",'Banco de Dados'!#REF!="AG. RASTREIO","Em processamento",'Banco de Dados'!$AE1769&lt;&gt;"-","Faturado",'Banco de Dados'!$AD1769&lt;&gt;"-","Aguardando Pix",'Banco de Dados'!$AC1769&lt;&gt;"-","Pendente"),"Aguardando Liberação")</f>
        <v>Aguardando Liberação</v>
      </c>
      <c r="AH1769" s="5" t="str">
        <f>IF('Banco de Dados'!$F1769="-",_xlfn.CONCAT(PROPER(TEXT(AK1769,"aaaa"))," ",PROPER(TEXT(AK1769,"mm"))),_xlfn.CONCAT(PROPER(TEXT(E1769,"aaaa"))," ",PROPER(TEXT(E1769,"mm"))))</f>
        <v>2025 06</v>
      </c>
      <c r="AI1769" s="9" t="str">
        <f ca="1">IF('Banco de Dados'!$AK1769&lt;&gt;"-","REEMBOLSO",IFERROR(_xlfn.XLOOKUP(G1769,Follow[CODRASTREIO],Follow[STATUS]),"-"))</f>
        <v>REEMBOLSO</v>
      </c>
      <c r="AJ1769" s="9" t="str">
        <f ca="1">IF('Banco de Dados'!$AI1769="ENTREGUE",_xlfn.XLOOKUP('Banco de Dados'!$G1769,Follow[CODRASTREIO],Follow[DATAATUALIZAÇÃO]),"-")</f>
        <v>-</v>
      </c>
      <c r="AK1769" s="132">
        <f ca="1"/>
        <v>45856</v>
      </c>
      <c r="AL1769" s="35"/>
      <c r="AM1769" s="109" cm="1">
        <f t="array" aca="1" ref="AM1769" ca="1">IF('Banco de Dados'!$AK1769&lt;&gt;"-",_xlfn.IFS('Banco de Dados'!$A1769="bv",IF('Banco de Dados'!$E1769&lt;45641,ROUND(SUM('Banco de Dados'!$R1769*_xlfn.XLOOKUP('Banco de Dados'!$P1769,Sku!B:B,Sku!#REF!)*20%),2),ROUND(SUM('Banco de Dados'!$R1769*_xlfn.XLOOKUP('Banco de Dados'!$P1769,Sku!B:B,Sku!H:H)*20%),2)),'Banco de Dados'!$A1769="GO",ROUND(_xlfn.XLOOKUP('Banco de Dados'!$P1769,Sku!C:C,Sku!H:H),2),'Banco de Dados'!$A1769="MEI",ROUND(_xlfn.XLOOKUP('Banco de Dados'!$P1769,Sku!D:D,Sku!H:H),2)),0)</f>
        <v>0.62</v>
      </c>
      <c r="AN1769" s="109" t="e">
        <f ca="1">IF('Banco de Dados'!$AK1769&lt;&gt;"-",IF('Banco de Dados'!$F1769&lt;&gt;"-",_xlfn.XLOOKUP(IFERROR(IFERROR(IFERROR(VALUE(SUBSTITUTE(MID(_xlfn.TEXTAFTER('Banco de Dados'!$F1769,"Data do Pedido:
",1),1,10),"-","/")),VALUE(SUBSTITUTE(MID(_xlfn.TEXTAFTER('Banco de Dados'!$F1769,"Order date:
",1),1,10),"-","/"))),VALUE(SUBSTITUTE(MID(_xlfn.TEXTAFTER('Banco de Dados'!$F1769,"Fecha de pedido:
",1),1,10),"-","/"))),"-"),SMS!A:A,SMS!K:K),0),0)</f>
        <v>#N/A</v>
      </c>
      <c r="AO1769" s="109">
        <f ca="1">IF('Banco de Dados'!$AK1769&lt;&gt;"-",IF('Banco de Dados'!$F1769&lt;&gt;"-",IFERROR(_xlfn.XLOOKUP(_xlfn.CONCAT('Banco de Dados'!$A1769,IFERROR(IFERROR(VALUE(SUBSTITUTE(MID(_xlfn.TEXTAFTER('Banco de Dados'!$F1769,"Data do Pedido:
",1),1,10),"-","/")),VALUE(SUBSTITUTE(MID(_xlfn.TEXTAFTER('Banco de Dados'!$F1769,"Order date:
",1),1,10),"-","/"))),0)),ProxyDD[Chave],ProxyDD[Valor por pedido]),PROXY!$P$2),0),0)</f>
        <v>0.39877104377104378</v>
      </c>
      <c r="AP1769" s="28">
        <f ca="1">IF('Banco de Dados'!$AK1769&lt;&gt;"-",IF('Banco de Dados'!$AL1769="NÃO",IFERROR(VALUE(SUBSTITUTE(_xlfn.TEXTAFTER('Banco de Dados'!$F1769,"BRL ",1),".",",")),0),0),0)</f>
        <v>0</v>
      </c>
      <c r="AQ1769" s="28" t="e">
        <f ca="1">SUM('Banco de Dados'!$AM1769:$AP1769)</f>
        <v>#N/A</v>
      </c>
      <c r="AR1769" s="8"/>
      <c r="AS1769" s="8"/>
      <c r="AT1769"/>
      <c r="AY1769" s="8"/>
    </row>
    <row r="1770" spans="1:51">
      <c r="A1770" s="5" t="str">
        <v>BV</v>
      </c>
      <c r="B1770" s="5" t="str">
        <f ca="1"/>
        <v>BV45824</v>
      </c>
      <c r="C1770" s="8" t="str">
        <v>Pedido 1756</v>
      </c>
      <c r="D1770" s="187">
        <v>45818</v>
      </c>
      <c r="E1770" s="9">
        <v>45824</v>
      </c>
      <c r="F1770" s="8" t="str">
        <v>PedidoF1654</v>
      </c>
      <c r="G1770" s="2" t="str">
        <v>CódRastreio1652</v>
      </c>
      <c r="H1770" s="5">
        <v>1</v>
      </c>
      <c r="I1770" s="182" t="str">
        <v>CPF 1713</v>
      </c>
      <c r="J1770" s="2" t="str">
        <v>Nome 1713</v>
      </c>
      <c r="K1770" s="8" t="str">
        <v>Tel 1713</v>
      </c>
      <c r="L1770" s="8" t="str">
        <v>Cep 1713</v>
      </c>
      <c r="M1770" s="8" t="str">
        <v>Rua 1713</v>
      </c>
      <c r="N1770" s="8" t="str">
        <v>Comp 1713</v>
      </c>
      <c r="O1770" s="8" t="str">
        <v>Máquina de cortar cabelo dragão</v>
      </c>
      <c r="P1770" s="8" t="str">
        <v>NQ-IMR8-W6Q4</v>
      </c>
      <c r="Q1770" s="4">
        <v>45853</v>
      </c>
      <c r="R1770" s="109">
        <v>25.99</v>
      </c>
      <c r="S1770" s="11">
        <f ca="1"/>
        <v>25.99</v>
      </c>
      <c r="T1770" s="28">
        <f ca="1"/>
        <v>3.1187999999999998</v>
      </c>
      <c r="U1770" s="11">
        <f ca="1"/>
        <v>22.87</v>
      </c>
      <c r="V1770" s="11">
        <v>10.17</v>
      </c>
      <c r="W1770" s="11">
        <f ca="1"/>
        <v>0.3</v>
      </c>
      <c r="X1770" s="11">
        <f ca="1"/>
        <v>0.39877104377104378</v>
      </c>
      <c r="Y1770" s="11">
        <v>0</v>
      </c>
      <c r="Z1770" s="11">
        <f ca="1"/>
        <v>12.001228956228957</v>
      </c>
      <c r="AA1770" s="11">
        <f ca="1"/>
        <v>6.0006144781144783</v>
      </c>
      <c r="AB1770" s="4">
        <f ca="1"/>
        <v>45860</v>
      </c>
      <c r="AC1770" s="4">
        <v>45860</v>
      </c>
      <c r="AD1770" s="9">
        <v>45870</v>
      </c>
      <c r="AE1770" s="9">
        <v>45873</v>
      </c>
      <c r="AF1770" s="4" t="str">
        <f t="shared" ca="1" si="127"/>
        <v>2025 07</v>
      </c>
      <c r="AG1770" s="8" t="str" cm="1">
        <f t="array" ref="AG1770">IFERROR(_xlfn.IFS('Banco de Dados'!#REF!="AG. COMPRA","Em processamento",'Banco de Dados'!#REF!="AG. RASTREIO","Em processamento",'Banco de Dados'!$AE1770&lt;&gt;"-","Faturado",'Banco de Dados'!$AD1770&lt;&gt;"-","Aguardando Pix",'Banco de Dados'!$AC1770&lt;&gt;"-","Pendente"),"Aguardando Liberação")</f>
        <v>Aguardando Liberação</v>
      </c>
      <c r="AH1770" s="5" t="str">
        <f>IF('Banco de Dados'!$F1770="-",_xlfn.CONCAT(PROPER(TEXT(AK1770,"aaaa"))," ",PROPER(TEXT(AK1770,"mm"))),_xlfn.CONCAT(PROPER(TEXT(E1770,"aaaa"))," ",PROPER(TEXT(E1770,"mm"))))</f>
        <v>2025 06</v>
      </c>
      <c r="AI1770" s="9" t="str">
        <f ca="1">IF('Banco de Dados'!$AK1770&lt;&gt;"-","REEMBOLSO",IFERROR(_xlfn.XLOOKUP(G1770,Follow[CODRASTREIO],Follow[STATUS]),"-"))</f>
        <v>ENTREGUE</v>
      </c>
      <c r="AJ1770" s="9">
        <f ca="1">IF('Banco de Dados'!$AI1770="ENTREGUE",_xlfn.XLOOKUP('Banco de Dados'!$G1770,Follow[CODRASTREIO],Follow[DATAATUALIZAÇÃO]),"-")</f>
        <v>45866</v>
      </c>
      <c r="AK1770" s="132" t="str">
        <f ca="1"/>
        <v>-</v>
      </c>
      <c r="AL1770" s="35"/>
      <c r="AM1770" s="109" cm="1">
        <f t="array" aca="1" ref="AM1770" ca="1">IF('Banco de Dados'!$AK1770&lt;&gt;"-",_xlfn.IFS('Banco de Dados'!$A1770="bv",IF('Banco de Dados'!$E1770&lt;45641,ROUND(SUM('Banco de Dados'!$R1770*_xlfn.XLOOKUP('Banco de Dados'!$P1770,Sku!B:B,Sku!#REF!)*20%),2),ROUND(SUM('Banco de Dados'!$R1770*_xlfn.XLOOKUP('Banco de Dados'!$P1770,Sku!B:B,Sku!H:H)*20%),2)),'Banco de Dados'!$A1770="GO",ROUND(_xlfn.XLOOKUP('Banco de Dados'!$P1770,Sku!C:C,Sku!H:H),2),'Banco de Dados'!$A1770="MEI",ROUND(_xlfn.XLOOKUP('Banco de Dados'!$P1770,Sku!D:D,Sku!H:H),2)),0)</f>
        <v>0</v>
      </c>
      <c r="AN1770" s="109">
        <f ca="1">IF('Banco de Dados'!$AK1770&lt;&gt;"-",IF('Banco de Dados'!$F1770&lt;&gt;"-",_xlfn.XLOOKUP(IFERROR(IFERROR(IFERROR(VALUE(SUBSTITUTE(MID(_xlfn.TEXTAFTER('Banco de Dados'!$F1770,"Data do Pedido:
",1),1,10),"-","/")),VALUE(SUBSTITUTE(MID(_xlfn.TEXTAFTER('Banco de Dados'!$F1770,"Order date:
",1),1,10),"-","/"))),VALUE(SUBSTITUTE(MID(_xlfn.TEXTAFTER('Banco de Dados'!$F1770,"Fecha de pedido:
",1),1,10),"-","/"))),"-"),SMS!A:A,SMS!K:K),0),0)</f>
        <v>0</v>
      </c>
      <c r="AO1770" s="109">
        <f ca="1">IF('Banco de Dados'!$AK1770&lt;&gt;"-",IF('Banco de Dados'!$F1770&lt;&gt;"-",IFERROR(_xlfn.XLOOKUP(_xlfn.CONCAT('Banco de Dados'!$A1770,IFERROR(IFERROR(VALUE(SUBSTITUTE(MID(_xlfn.TEXTAFTER('Banco de Dados'!$F1770,"Data do Pedido:
",1),1,10),"-","/")),VALUE(SUBSTITUTE(MID(_xlfn.TEXTAFTER('Banco de Dados'!$F1770,"Order date:
",1),1,10),"-","/"))),0)),ProxyDD[Chave],ProxyDD[Valor por pedido]),PROXY!$P$2),0),0)</f>
        <v>0</v>
      </c>
      <c r="AP1770" s="28">
        <f ca="1">IF('Banco de Dados'!$AK1770&lt;&gt;"-",IF('Banco de Dados'!$AL1770="NÃO",IFERROR(VALUE(SUBSTITUTE(_xlfn.TEXTAFTER('Banco de Dados'!$F1770,"BRL ",1),".",",")),0),0),0)</f>
        <v>0</v>
      </c>
      <c r="AQ1770" s="28">
        <f ca="1">SUM('Banco de Dados'!$AM1770:$AP1770)</f>
        <v>0</v>
      </c>
      <c r="AR1770" s="8"/>
      <c r="AS1770" s="8"/>
      <c r="AT1770"/>
      <c r="AY1770" s="8"/>
    </row>
    <row r="1771" spans="1:51">
      <c r="A1771" s="5" t="str">
        <v>BV</v>
      </c>
      <c r="B1771" s="5" t="str">
        <f ca="1"/>
        <v>BV45819</v>
      </c>
      <c r="C1771" s="8" t="str">
        <v>Pedido 1757</v>
      </c>
      <c r="D1771" s="187">
        <v>45818</v>
      </c>
      <c r="E1771" s="9">
        <v>45819</v>
      </c>
      <c r="F1771" s="8" t="str">
        <v>PedidoF1655</v>
      </c>
      <c r="G1771" s="2" t="str">
        <v>CódRastreio1653</v>
      </c>
      <c r="H1771" s="5">
        <v>1</v>
      </c>
      <c r="I1771" s="182" t="str">
        <v>CPF 1714</v>
      </c>
      <c r="J1771" s="2" t="str">
        <v>Nome 1714</v>
      </c>
      <c r="K1771" s="8" t="str">
        <v>Tel 1714</v>
      </c>
      <c r="L1771" s="8" t="str">
        <v>Cep 1714</v>
      </c>
      <c r="M1771" s="8" t="str">
        <v>Rua 1714</v>
      </c>
      <c r="N1771" s="8" t="str">
        <v>Comp 1714</v>
      </c>
      <c r="O1771" s="8" t="str">
        <v>Máquina de cortar cabelo dragão</v>
      </c>
      <c r="P1771" s="8" t="str">
        <v>NQ-IMR8-W6Q4</v>
      </c>
      <c r="Q1771" s="4">
        <v>45853</v>
      </c>
      <c r="R1771" s="109">
        <v>25.99</v>
      </c>
      <c r="S1771" s="11">
        <f ca="1"/>
        <v>25.99</v>
      </c>
      <c r="T1771" s="28">
        <f ca="1"/>
        <v>3.1187999999999998</v>
      </c>
      <c r="U1771" s="11">
        <f ca="1"/>
        <v>22.87</v>
      </c>
      <c r="V1771" s="11">
        <v>10.18</v>
      </c>
      <c r="W1771" s="11">
        <f ca="1"/>
        <v>0</v>
      </c>
      <c r="X1771" s="11">
        <f ca="1"/>
        <v>0.39877104377104378</v>
      </c>
      <c r="Y1771" s="11">
        <v>0</v>
      </c>
      <c r="Z1771" s="11">
        <f ca="1"/>
        <v>12.291228956228958</v>
      </c>
      <c r="AA1771" s="11">
        <f ca="1"/>
        <v>6.1456144781144788</v>
      </c>
      <c r="AB1771" s="4">
        <f ca="1"/>
        <v>45860</v>
      </c>
      <c r="AC1771" s="4">
        <v>45860</v>
      </c>
      <c r="AD1771" s="9">
        <v>45870</v>
      </c>
      <c r="AE1771" s="9">
        <v>45873</v>
      </c>
      <c r="AF1771" s="4" t="str">
        <f t="shared" ca="1" si="127"/>
        <v>2025 07</v>
      </c>
      <c r="AG1771" s="8" t="str" cm="1">
        <f t="array" ref="AG1771">IFERROR(_xlfn.IFS('Banco de Dados'!#REF!="AG. COMPRA","Em processamento",'Banco de Dados'!#REF!="AG. RASTREIO","Em processamento",'Banco de Dados'!$AE1771&lt;&gt;"-","Faturado",'Banco de Dados'!$AD1771&lt;&gt;"-","Aguardando Pix",'Banco de Dados'!$AC1771&lt;&gt;"-","Pendente"),"Aguardando Liberação")</f>
        <v>Aguardando Liberação</v>
      </c>
      <c r="AH1771" s="5" t="str">
        <f>IF('Banco de Dados'!$F1771="-",_xlfn.CONCAT(PROPER(TEXT(AK1771,"aaaa"))," ",PROPER(TEXT(AK1771,"mm"))),_xlfn.CONCAT(PROPER(TEXT(E1771,"aaaa"))," ",PROPER(TEXT(E1771,"mm"))))</f>
        <v>2025 06</v>
      </c>
      <c r="AI1771" s="9" t="str">
        <f ca="1">IF('Banco de Dados'!$AK1771&lt;&gt;"-","REEMBOLSO",IFERROR(_xlfn.XLOOKUP(G1771,Follow[CODRASTREIO],Follow[STATUS]),"-"))</f>
        <v>ENTREGUE</v>
      </c>
      <c r="AJ1771" s="9">
        <f ca="1">IF('Banco de Dados'!$AI1771="ENTREGUE",_xlfn.XLOOKUP('Banco de Dados'!$G1771,Follow[CODRASTREIO],Follow[DATAATUALIZAÇÃO]),"-")</f>
        <v>45847</v>
      </c>
      <c r="AK1771" s="132" t="str">
        <f ca="1"/>
        <v>-</v>
      </c>
      <c r="AL1771" s="35"/>
      <c r="AM1771" s="109" cm="1">
        <f t="array" aca="1" ref="AM1771" ca="1">IF('Banco de Dados'!$AK1771&lt;&gt;"-",_xlfn.IFS('Banco de Dados'!$A1771="bv",IF('Banco de Dados'!$E1771&lt;45641,ROUND(SUM('Banco de Dados'!$R1771*_xlfn.XLOOKUP('Banco de Dados'!$P1771,Sku!B:B,Sku!#REF!)*20%),2),ROUND(SUM('Banco de Dados'!$R1771*_xlfn.XLOOKUP('Banco de Dados'!$P1771,Sku!B:B,Sku!H:H)*20%),2)),'Banco de Dados'!$A1771="GO",ROUND(_xlfn.XLOOKUP('Banco de Dados'!$P1771,Sku!C:C,Sku!H:H),2),'Banco de Dados'!$A1771="MEI",ROUND(_xlfn.XLOOKUP('Banco de Dados'!$P1771,Sku!D:D,Sku!H:H),2)),0)</f>
        <v>0</v>
      </c>
      <c r="AN1771" s="109">
        <f ca="1">IF('Banco de Dados'!$AK1771&lt;&gt;"-",IF('Banco de Dados'!$F1771&lt;&gt;"-",_xlfn.XLOOKUP(IFERROR(IFERROR(IFERROR(VALUE(SUBSTITUTE(MID(_xlfn.TEXTAFTER('Banco de Dados'!$F1771,"Data do Pedido:
",1),1,10),"-","/")),VALUE(SUBSTITUTE(MID(_xlfn.TEXTAFTER('Banco de Dados'!$F1771,"Order date:
",1),1,10),"-","/"))),VALUE(SUBSTITUTE(MID(_xlfn.TEXTAFTER('Banco de Dados'!$F1771,"Fecha de pedido:
",1),1,10),"-","/"))),"-"),SMS!A:A,SMS!K:K),0),0)</f>
        <v>0</v>
      </c>
      <c r="AO1771" s="109">
        <f ca="1">IF('Banco de Dados'!$AK1771&lt;&gt;"-",IF('Banco de Dados'!$F1771&lt;&gt;"-",IFERROR(_xlfn.XLOOKUP(_xlfn.CONCAT('Banco de Dados'!$A1771,IFERROR(IFERROR(VALUE(SUBSTITUTE(MID(_xlfn.TEXTAFTER('Banco de Dados'!$F1771,"Data do Pedido:
",1),1,10),"-","/")),VALUE(SUBSTITUTE(MID(_xlfn.TEXTAFTER('Banco de Dados'!$F1771,"Order date:
",1),1,10),"-","/"))),0)),ProxyDD[Chave],ProxyDD[Valor por pedido]),PROXY!$P$2),0),0)</f>
        <v>0</v>
      </c>
      <c r="AP1771" s="28">
        <f ca="1">IF('Banco de Dados'!$AK1771&lt;&gt;"-",IF('Banco de Dados'!$AL1771="NÃO",IFERROR(VALUE(SUBSTITUTE(_xlfn.TEXTAFTER('Banco de Dados'!$F1771,"BRL ",1),".",",")),0),0),0)</f>
        <v>0</v>
      </c>
      <c r="AQ1771" s="28">
        <f ca="1">SUM('Banco de Dados'!$AM1771:$AP1771)</f>
        <v>0</v>
      </c>
      <c r="AR1771" s="8"/>
      <c r="AS1771" s="8"/>
      <c r="AT1771"/>
      <c r="AY1771" s="8"/>
    </row>
    <row r="1772" spans="1:51">
      <c r="A1772" s="5" t="str">
        <v>BV</v>
      </c>
      <c r="B1772" s="5" t="str">
        <f ca="1"/>
        <v>BV45819</v>
      </c>
      <c r="C1772" s="8" t="str">
        <v>Pedido 1758</v>
      </c>
      <c r="D1772" s="187">
        <v>45819</v>
      </c>
      <c r="E1772" s="9">
        <v>45819</v>
      </c>
      <c r="F1772" s="8" t="str">
        <v>PedidoF1656</v>
      </c>
      <c r="G1772" s="2" t="str">
        <v>CódRastreio1654</v>
      </c>
      <c r="H1772" s="5">
        <v>1</v>
      </c>
      <c r="I1772" s="182" t="str">
        <v>CPF 1715</v>
      </c>
      <c r="J1772" s="2" t="str">
        <v>Nome 1715</v>
      </c>
      <c r="K1772" s="8" t="str">
        <v>Tel 1715</v>
      </c>
      <c r="L1772" s="8" t="str">
        <v>Cep 1715</v>
      </c>
      <c r="M1772" s="8" t="str">
        <v>Rua 1715</v>
      </c>
      <c r="N1772" s="8" t="str">
        <v>Comp 1715</v>
      </c>
      <c r="O1772" s="8" t="str">
        <v>Máquina de cortar cabelo dragão</v>
      </c>
      <c r="P1772" s="8" t="str">
        <v>HG-2FNR-01A9</v>
      </c>
      <c r="Q1772" s="4">
        <v>45847</v>
      </c>
      <c r="R1772" s="109">
        <v>23.79</v>
      </c>
      <c r="S1772" s="11">
        <f ca="1"/>
        <v>23.79</v>
      </c>
      <c r="T1772" s="28">
        <f ca="1"/>
        <v>2.8548</v>
      </c>
      <c r="U1772" s="11">
        <f ca="1"/>
        <v>20.94</v>
      </c>
      <c r="V1772" s="11">
        <v>10.59</v>
      </c>
      <c r="W1772" s="11">
        <f ca="1"/>
        <v>0</v>
      </c>
      <c r="X1772" s="11">
        <f ca="1"/>
        <v>0.39877104377104378</v>
      </c>
      <c r="Y1772" s="11">
        <v>0</v>
      </c>
      <c r="Z1772" s="11">
        <f ca="1"/>
        <v>9.9512289562289578</v>
      </c>
      <c r="AA1772" s="11">
        <f ca="1"/>
        <v>4.9756144781144789</v>
      </c>
      <c r="AB1772" s="4">
        <f ca="1"/>
        <v>45854</v>
      </c>
      <c r="AC1772" s="4">
        <v>45856</v>
      </c>
      <c r="AD1772" s="9">
        <v>45870</v>
      </c>
      <c r="AE1772" s="9">
        <v>45873</v>
      </c>
      <c r="AF1772" s="4" t="str">
        <f t="shared" ref="AF1772:AF1774" ca="1" si="128">_xlfn.CONCAT(PROPER(TEXT(AB1772,"aaaa"))," ",PROPER(TEXT(AB1772,"mm")))</f>
        <v>2025 07</v>
      </c>
      <c r="AG1772" s="8" t="str" cm="1">
        <f t="array" ref="AG1772">IFERROR(_xlfn.IFS('Banco de Dados'!#REF!="AG. COMPRA","Em processamento",'Banco de Dados'!#REF!="AG. RASTREIO","Em processamento",'Banco de Dados'!$AE1772&lt;&gt;"-","Faturado",'Banco de Dados'!$AD1772&lt;&gt;"-","Aguardando Pix",'Banco de Dados'!$AC1772&lt;&gt;"-","Pendente"),"Aguardando Liberação")</f>
        <v>Aguardando Liberação</v>
      </c>
      <c r="AH1772" s="5" t="str">
        <f>IF('Banco de Dados'!$F1772="-",_xlfn.CONCAT(PROPER(TEXT(AK1772,"aaaa"))," ",PROPER(TEXT(AK1772,"mm"))),_xlfn.CONCAT(PROPER(TEXT(E1772,"aaaa"))," ",PROPER(TEXT(E1772,"mm"))))</f>
        <v>2025 06</v>
      </c>
      <c r="AI1772" s="9" t="str">
        <f ca="1">IF('Banco de Dados'!$AK1772&lt;&gt;"-","REEMBOLSO",IFERROR(_xlfn.XLOOKUP(G1772,Follow[CODRASTREIO],Follow[STATUS]),"-"))</f>
        <v>ENTREGUE</v>
      </c>
      <c r="AJ1772" s="9">
        <f ca="1">IF('Banco de Dados'!$AI1772="ENTREGUE",_xlfn.XLOOKUP('Banco de Dados'!$G1772,Follow[CODRASTREIO],Follow[DATAATUALIZAÇÃO]),"-")</f>
        <v>45841</v>
      </c>
      <c r="AK1772" s="132" t="str">
        <f ca="1"/>
        <v>-</v>
      </c>
      <c r="AL1772" s="35"/>
      <c r="AM1772" s="109" cm="1">
        <f t="array" aca="1" ref="AM1772" ca="1">IF('Banco de Dados'!$AK1772&lt;&gt;"-",_xlfn.IFS('Banco de Dados'!$A1772="bv",IF('Banco de Dados'!$E1772&lt;45641,ROUND(SUM('Banco de Dados'!$R1772*_xlfn.XLOOKUP('Banco de Dados'!$P1772,Sku!B:B,Sku!#REF!)*20%),2),ROUND(SUM('Banco de Dados'!$R1772*_xlfn.XLOOKUP('Banco de Dados'!$P1772,Sku!B:B,Sku!H:H)*20%),2)),'Banco de Dados'!$A1772="GO",ROUND(_xlfn.XLOOKUP('Banco de Dados'!$P1772,Sku!C:C,Sku!H:H),2),'Banco de Dados'!$A1772="MEI",ROUND(_xlfn.XLOOKUP('Banco de Dados'!$P1772,Sku!D:D,Sku!H:H),2)),0)</f>
        <v>0</v>
      </c>
      <c r="AN1772" s="109">
        <f ca="1">IF('Banco de Dados'!$AK1772&lt;&gt;"-",IF('Banco de Dados'!$F1772&lt;&gt;"-",_xlfn.XLOOKUP(IFERROR(IFERROR(IFERROR(VALUE(SUBSTITUTE(MID(_xlfn.TEXTAFTER('Banco de Dados'!$F1772,"Data do Pedido:
",1),1,10),"-","/")),VALUE(SUBSTITUTE(MID(_xlfn.TEXTAFTER('Banco de Dados'!$F1772,"Order date:
",1),1,10),"-","/"))),VALUE(SUBSTITUTE(MID(_xlfn.TEXTAFTER('Banco de Dados'!$F1772,"Fecha de pedido:
",1),1,10),"-","/"))),"-"),SMS!A:A,SMS!K:K),0),0)</f>
        <v>0</v>
      </c>
      <c r="AO1772" s="109">
        <f ca="1">IF('Banco de Dados'!$AK1772&lt;&gt;"-",IF('Banco de Dados'!$F1772&lt;&gt;"-",IFERROR(_xlfn.XLOOKUP(_xlfn.CONCAT('Banco de Dados'!$A1772,IFERROR(IFERROR(VALUE(SUBSTITUTE(MID(_xlfn.TEXTAFTER('Banco de Dados'!$F1772,"Data do Pedido:
",1),1,10),"-","/")),VALUE(SUBSTITUTE(MID(_xlfn.TEXTAFTER('Banco de Dados'!$F1772,"Order date:
",1),1,10),"-","/"))),0)),ProxyDD[Chave],ProxyDD[Valor por pedido]),PROXY!$P$2),0),0)</f>
        <v>0</v>
      </c>
      <c r="AP1772" s="28">
        <f ca="1">IF('Banco de Dados'!$AK1772&lt;&gt;"-",IF('Banco de Dados'!$AL1772="NÃO",IFERROR(VALUE(SUBSTITUTE(_xlfn.TEXTAFTER('Banco de Dados'!$F1772,"BRL ",1),".",",")),0),0),0)</f>
        <v>0</v>
      </c>
      <c r="AQ1772" s="28">
        <f ca="1">SUM('Banco de Dados'!$AM1772:$AP1772)</f>
        <v>0</v>
      </c>
      <c r="AR1772" s="8"/>
      <c r="AS1772" s="8"/>
      <c r="AT1772"/>
      <c r="AY1772" s="8"/>
    </row>
    <row r="1773" spans="1:51">
      <c r="A1773" s="5" t="str">
        <v>BV</v>
      </c>
      <c r="B1773" s="5" t="str">
        <f ca="1"/>
        <v>BV-</v>
      </c>
      <c r="C1773" s="8" t="str">
        <v>Pedido 1759</v>
      </c>
      <c r="D1773" s="187">
        <v>45819</v>
      </c>
      <c r="E1773" s="9" t="str">
        <v>-</v>
      </c>
      <c r="F1773" s="8" t="str">
        <v>-</v>
      </c>
      <c r="G1773" s="2" t="str">
        <v>-</v>
      </c>
      <c r="H1773" s="5">
        <v>1</v>
      </c>
      <c r="I1773" s="182" t="str">
        <v>CPF 1716</v>
      </c>
      <c r="J1773" s="2" t="str">
        <v>Nome 1716</v>
      </c>
      <c r="K1773" s="8" t="str">
        <v>Tel 1716</v>
      </c>
      <c r="L1773" s="8" t="str">
        <v>Cep 1716</v>
      </c>
      <c r="M1773" s="8" t="str">
        <v>Rua 1716</v>
      </c>
      <c r="N1773" s="8" t="str">
        <v>Comp 1716</v>
      </c>
      <c r="O1773" s="8" t="str">
        <v>Máquina de cortar cabelo dragão</v>
      </c>
      <c r="P1773" s="8" t="str">
        <v>HG-2FNR-01A9</v>
      </c>
      <c r="Q1773" s="4">
        <v>45854</v>
      </c>
      <c r="R1773" s="109">
        <v>23.79</v>
      </c>
      <c r="S1773" s="11">
        <f ca="1"/>
        <v>0</v>
      </c>
      <c r="T1773" s="28">
        <f ca="1"/>
        <v>0</v>
      </c>
      <c r="U1773" s="11">
        <f ca="1"/>
        <v>0</v>
      </c>
      <c r="V1773" s="11">
        <v>0</v>
      </c>
      <c r="W1773" s="11">
        <f ca="1"/>
        <v>0</v>
      </c>
      <c r="X1773" s="11">
        <f ca="1"/>
        <v>0</v>
      </c>
      <c r="Y1773" s="11">
        <v>0</v>
      </c>
      <c r="Z1773" s="11">
        <f ca="1"/>
        <v>0</v>
      </c>
      <c r="AA1773" s="11">
        <f ca="1"/>
        <v>0</v>
      </c>
      <c r="AB1773" s="4">
        <f ca="1"/>
        <v>45861</v>
      </c>
      <c r="AC1773" s="4">
        <v>45861</v>
      </c>
      <c r="AD1773" s="9">
        <v>45870</v>
      </c>
      <c r="AE1773" s="9">
        <v>45873</v>
      </c>
      <c r="AF1773" s="4" t="str">
        <f t="shared" ca="1" si="128"/>
        <v>2025 07</v>
      </c>
      <c r="AG1773" s="8" t="str" cm="1">
        <f t="array" ref="AG1773">IFERROR(_xlfn.IFS('Banco de Dados'!#REF!="AG. COMPRA","Em processamento",'Banco de Dados'!#REF!="AG. RASTREIO","Em processamento",'Banco de Dados'!$AE1773&lt;&gt;"-","Faturado",'Banco de Dados'!$AD1773&lt;&gt;"-","Aguardando Pix",'Banco de Dados'!$AC1773&lt;&gt;"-","Pendente"),"Aguardando Liberação")</f>
        <v>Aguardando Liberação</v>
      </c>
      <c r="AH1773" s="5" t="str">
        <f ca="1">IF('Banco de Dados'!$F1773="-",_xlfn.CONCAT(PROPER(TEXT(AK1773,"aaaa"))," ",PROPER(TEXT(AK1773,"mm"))),_xlfn.CONCAT(PROPER(TEXT(E1773,"aaaa"))," ",PROPER(TEXT(E1773,"mm"))))</f>
        <v>2025 06</v>
      </c>
      <c r="AI1773" s="9" t="str">
        <f ca="1">IF('Banco de Dados'!$AK1773&lt;&gt;"-","REEMBOLSO",IFERROR(_xlfn.XLOOKUP(G1773,Follow[CODRASTREIO],Follow[STATUS]),"-"))</f>
        <v>REEMBOLSO</v>
      </c>
      <c r="AJ1773" s="9" t="str">
        <f ca="1">IF('Banco de Dados'!$AI1773="ENTREGUE",_xlfn.XLOOKUP('Banco de Dados'!$G1773,Follow[CODRASTREIO],Follow[DATAATUALIZAÇÃO]),"-")</f>
        <v>-</v>
      </c>
      <c r="AK1773" s="132">
        <f ca="1"/>
        <v>45826</v>
      </c>
      <c r="AL1773" s="35"/>
      <c r="AM1773" s="109" cm="1">
        <f t="array" aca="1" ref="AM1773" ca="1">IF('Banco de Dados'!$AK1773&lt;&gt;"-",_xlfn.IFS('Banco de Dados'!$A1773="bv",IF('Banco de Dados'!$E1773&lt;45641,ROUND(SUM('Banco de Dados'!$R1773*_xlfn.XLOOKUP('Banco de Dados'!$P1773,Sku!B:B,Sku!#REF!)*20%),2),ROUND(SUM('Banco de Dados'!$R1773*_xlfn.XLOOKUP('Banco de Dados'!$P1773,Sku!B:B,Sku!H:H)*20%),2)),'Banco de Dados'!$A1773="GO",ROUND(_xlfn.XLOOKUP('Banco de Dados'!$P1773,Sku!C:C,Sku!H:H),2),'Banco de Dados'!$A1773="MEI",ROUND(_xlfn.XLOOKUP('Banco de Dados'!$P1773,Sku!D:D,Sku!H:H),2)),0)</f>
        <v>0.62</v>
      </c>
      <c r="AN1773" s="109">
        <f ca="1">IF('Banco de Dados'!$AK1773&lt;&gt;"-",IF('Banco de Dados'!$F1773&lt;&gt;"-",_xlfn.XLOOKUP(IFERROR(IFERROR(IFERROR(VALUE(SUBSTITUTE(MID(_xlfn.TEXTAFTER('Banco de Dados'!$F1773,"Data do Pedido:
",1),1,10),"-","/")),VALUE(SUBSTITUTE(MID(_xlfn.TEXTAFTER('Banco de Dados'!$F1773,"Order date:
",1),1,10),"-","/"))),VALUE(SUBSTITUTE(MID(_xlfn.TEXTAFTER('Banco de Dados'!$F1773,"Fecha de pedido:
",1),1,10),"-","/"))),"-"),SMS!A:A,SMS!K:K),0),0)</f>
        <v>0</v>
      </c>
      <c r="AO1773" s="109">
        <f ca="1">IF('Banco de Dados'!$AK1773&lt;&gt;"-",IF('Banco de Dados'!$F1773&lt;&gt;"-",IFERROR(_xlfn.XLOOKUP(_xlfn.CONCAT('Banco de Dados'!$A1773,IFERROR(IFERROR(VALUE(SUBSTITUTE(MID(_xlfn.TEXTAFTER('Banco de Dados'!$F1773,"Data do Pedido:
",1),1,10),"-","/")),VALUE(SUBSTITUTE(MID(_xlfn.TEXTAFTER('Banco de Dados'!$F1773,"Order date:
",1),1,10),"-","/"))),0)),ProxyDD[Chave],ProxyDD[Valor por pedido]),PROXY!$P$2),0),0)</f>
        <v>0</v>
      </c>
      <c r="AP1773" s="28">
        <f ca="1">IF('Banco de Dados'!$AK1773&lt;&gt;"-",IF('Banco de Dados'!$AL1773="NÃO",IFERROR(VALUE(SUBSTITUTE(_xlfn.TEXTAFTER('Banco de Dados'!$F1773,"BRL ",1),".",",")),0),0),0)</f>
        <v>0</v>
      </c>
      <c r="AQ1773" s="28">
        <f ca="1">SUM('Banco de Dados'!$AM1773:$AP1773)</f>
        <v>0.62</v>
      </c>
      <c r="AR1773" s="8"/>
      <c r="AS1773" s="8"/>
      <c r="AT1773"/>
      <c r="AY1773" s="8"/>
    </row>
    <row r="1774" spans="1:51">
      <c r="A1774" s="5" t="str">
        <v>BV</v>
      </c>
      <c r="B1774" s="5" t="str">
        <f ca="1"/>
        <v>BV45826</v>
      </c>
      <c r="C1774" s="8" t="str">
        <v>Pedido 1760</v>
      </c>
      <c r="D1774" s="187">
        <v>45819</v>
      </c>
      <c r="E1774" s="9">
        <v>45826</v>
      </c>
      <c r="F1774" s="8" t="str">
        <v>PedidoF1657</v>
      </c>
      <c r="G1774" s="2" t="str">
        <v>CódRastreio1655</v>
      </c>
      <c r="H1774" s="5">
        <v>1</v>
      </c>
      <c r="I1774" s="182" t="str">
        <v>CPF 1717</v>
      </c>
      <c r="J1774" s="2" t="str">
        <v>Nome 1717</v>
      </c>
      <c r="K1774" s="8" t="str">
        <v>Tel 1717</v>
      </c>
      <c r="L1774" s="8" t="str">
        <v>Cep 1717</v>
      </c>
      <c r="M1774" s="8" t="str">
        <v>Rua 1717</v>
      </c>
      <c r="N1774" s="8" t="str">
        <v>Comp 1717</v>
      </c>
      <c r="O1774" s="8" t="str">
        <v>Máquina de cortar cabelo dragão</v>
      </c>
      <c r="P1774" s="8" t="str">
        <v>HG-2FNR-01A9</v>
      </c>
      <c r="Q1774" s="4">
        <v>45854</v>
      </c>
      <c r="R1774" s="109">
        <v>23.79</v>
      </c>
      <c r="S1774" s="11">
        <f ca="1"/>
        <v>23.79</v>
      </c>
      <c r="T1774" s="28">
        <f ca="1"/>
        <v>2.8548</v>
      </c>
      <c r="U1774" s="11">
        <f ca="1"/>
        <v>20.94</v>
      </c>
      <c r="V1774" s="11">
        <v>10.210000000000001</v>
      </c>
      <c r="W1774" s="11">
        <f ca="1"/>
        <v>0.49</v>
      </c>
      <c r="X1774" s="11">
        <f ca="1"/>
        <v>0.39877104377104378</v>
      </c>
      <c r="Y1774" s="11">
        <v>0</v>
      </c>
      <c r="Z1774" s="11">
        <f ca="1"/>
        <v>9.8412289562289565</v>
      </c>
      <c r="AA1774" s="11">
        <f ca="1"/>
        <v>4.9206144781144783</v>
      </c>
      <c r="AB1774" s="4">
        <f ca="1"/>
        <v>45861</v>
      </c>
      <c r="AC1774" s="4">
        <v>45861</v>
      </c>
      <c r="AD1774" s="9">
        <v>45870</v>
      </c>
      <c r="AE1774" s="9">
        <v>45873</v>
      </c>
      <c r="AF1774" s="4" t="str">
        <f t="shared" ca="1" si="128"/>
        <v>2025 07</v>
      </c>
      <c r="AG1774" s="8" t="str" cm="1">
        <f t="array" ref="AG1774">IFERROR(_xlfn.IFS('Banco de Dados'!#REF!="AG. COMPRA","Em processamento",'Banco de Dados'!#REF!="AG. RASTREIO","Em processamento",'Banco de Dados'!$AE1774&lt;&gt;"-","Faturado",'Banco de Dados'!$AD1774&lt;&gt;"-","Aguardando Pix",'Banco de Dados'!$AC1774&lt;&gt;"-","Pendente"),"Aguardando Liberação")</f>
        <v>Aguardando Liberação</v>
      </c>
      <c r="AH1774" s="5" t="str">
        <f>IF('Banco de Dados'!$F1774="-",_xlfn.CONCAT(PROPER(TEXT(AK1774,"aaaa"))," ",PROPER(TEXT(AK1774,"mm"))),_xlfn.CONCAT(PROPER(TEXT(E1774,"aaaa"))," ",PROPER(TEXT(E1774,"mm"))))</f>
        <v>2025 06</v>
      </c>
      <c r="AI1774" s="9" t="str">
        <f ca="1">IF('Banco de Dados'!$AK1774&lt;&gt;"-","REEMBOLSO",IFERROR(_xlfn.XLOOKUP(G1774,Follow[CODRASTREIO],Follow[STATUS]),"-"))</f>
        <v>ENTREGUE</v>
      </c>
      <c r="AJ1774" s="9">
        <f ca="1">IF('Banco de Dados'!$AI1774="ENTREGUE",_xlfn.XLOOKUP('Banco de Dados'!$G1774,Follow[CODRASTREIO],Follow[DATAATUALIZAÇÃO]),"-")</f>
        <v>45838</v>
      </c>
      <c r="AK1774" s="132" t="str">
        <f ca="1"/>
        <v>-</v>
      </c>
      <c r="AL1774" s="35"/>
      <c r="AM1774" s="109" cm="1">
        <f t="array" aca="1" ref="AM1774" ca="1">IF('Banco de Dados'!$AK1774&lt;&gt;"-",_xlfn.IFS('Banco de Dados'!$A1774="bv",IF('Banco de Dados'!$E1774&lt;45641,ROUND(SUM('Banco de Dados'!$R1774*_xlfn.XLOOKUP('Banco de Dados'!$P1774,Sku!B:B,Sku!#REF!)*20%),2),ROUND(SUM('Banco de Dados'!$R1774*_xlfn.XLOOKUP('Banco de Dados'!$P1774,Sku!B:B,Sku!H:H)*20%),2)),'Banco de Dados'!$A1774="GO",ROUND(_xlfn.XLOOKUP('Banco de Dados'!$P1774,Sku!C:C,Sku!H:H),2),'Banco de Dados'!$A1774="MEI",ROUND(_xlfn.XLOOKUP('Banco de Dados'!$P1774,Sku!D:D,Sku!H:H),2)),0)</f>
        <v>0</v>
      </c>
      <c r="AN1774" s="109">
        <f ca="1">IF('Banco de Dados'!$AK1774&lt;&gt;"-",IF('Banco de Dados'!$F1774&lt;&gt;"-",_xlfn.XLOOKUP(IFERROR(IFERROR(IFERROR(VALUE(SUBSTITUTE(MID(_xlfn.TEXTAFTER('Banco de Dados'!$F1774,"Data do Pedido:
",1),1,10),"-","/")),VALUE(SUBSTITUTE(MID(_xlfn.TEXTAFTER('Banco de Dados'!$F1774,"Order date:
",1),1,10),"-","/"))),VALUE(SUBSTITUTE(MID(_xlfn.TEXTAFTER('Banco de Dados'!$F1774,"Fecha de pedido:
",1),1,10),"-","/"))),"-"),SMS!A:A,SMS!K:K),0),0)</f>
        <v>0</v>
      </c>
      <c r="AO1774" s="109">
        <f ca="1">IF('Banco de Dados'!$AK1774&lt;&gt;"-",IF('Banco de Dados'!$F1774&lt;&gt;"-",IFERROR(_xlfn.XLOOKUP(_xlfn.CONCAT('Banco de Dados'!$A1774,IFERROR(IFERROR(VALUE(SUBSTITUTE(MID(_xlfn.TEXTAFTER('Banco de Dados'!$F1774,"Data do Pedido:
",1),1,10),"-","/")),VALUE(SUBSTITUTE(MID(_xlfn.TEXTAFTER('Banco de Dados'!$F1774,"Order date:
",1),1,10),"-","/"))),0)),ProxyDD[Chave],ProxyDD[Valor por pedido]),PROXY!$P$2),0),0)</f>
        <v>0</v>
      </c>
      <c r="AP1774" s="28">
        <f ca="1">IF('Banco de Dados'!$AK1774&lt;&gt;"-",IF('Banco de Dados'!$AL1774="NÃO",IFERROR(VALUE(SUBSTITUTE(_xlfn.TEXTAFTER('Banco de Dados'!$F1774,"BRL ",1),".",",")),0),0),0)</f>
        <v>0</v>
      </c>
      <c r="AQ1774" s="28">
        <f ca="1">SUM('Banco de Dados'!$AM1774:$AP1774)</f>
        <v>0</v>
      </c>
      <c r="AR1774" s="8"/>
      <c r="AS1774" s="8"/>
      <c r="AT1774"/>
      <c r="AY1774" s="8"/>
    </row>
    <row r="1775" spans="1:51">
      <c r="A1775" s="5" t="str">
        <v>BV</v>
      </c>
      <c r="B1775" s="5" t="str">
        <f ca="1"/>
        <v>BV45824</v>
      </c>
      <c r="C1775" s="8" t="str">
        <v>Pedido 1761</v>
      </c>
      <c r="D1775" s="187">
        <v>45820</v>
      </c>
      <c r="E1775" s="9">
        <v>45824</v>
      </c>
      <c r="F1775" s="2" t="str">
        <v>PedidoF1658</v>
      </c>
      <c r="G1775" s="2" t="str">
        <v>CódRastreio1656</v>
      </c>
      <c r="H1775" s="5">
        <v>1</v>
      </c>
      <c r="I1775" s="182" t="str">
        <v>CPF 1718</v>
      </c>
      <c r="J1775" s="2" t="str">
        <v>Nome 1718</v>
      </c>
      <c r="K1775" s="8" t="str">
        <v>Tel 1718</v>
      </c>
      <c r="L1775" s="8" t="str">
        <v>Cep 1718</v>
      </c>
      <c r="M1775" s="8" t="str">
        <v>Rua 1718</v>
      </c>
      <c r="N1775" s="8" t="str">
        <v>Comp 1718</v>
      </c>
      <c r="O1775" s="8" t="str">
        <v>Máquina de cortar cabelo dragão</v>
      </c>
      <c r="P1775" s="8" t="str">
        <v>HG-2FNR-01A9</v>
      </c>
      <c r="Q1775" s="4">
        <v>45848</v>
      </c>
      <c r="R1775" s="109">
        <v>23.79</v>
      </c>
      <c r="S1775" s="11">
        <f ca="1"/>
        <v>23.79</v>
      </c>
      <c r="T1775" s="28">
        <f ca="1"/>
        <v>2.8548</v>
      </c>
      <c r="U1775" s="11">
        <f ca="1"/>
        <v>20.94</v>
      </c>
      <c r="V1775" s="11">
        <v>15.37</v>
      </c>
      <c r="W1775" s="11">
        <f ca="1"/>
        <v>0.3</v>
      </c>
      <c r="X1775" s="11">
        <f ca="1"/>
        <v>0.39877104377104378</v>
      </c>
      <c r="Y1775" s="11">
        <v>0</v>
      </c>
      <c r="Z1775" s="11">
        <f ca="1"/>
        <v>4.8712289562289577</v>
      </c>
      <c r="AA1775" s="11">
        <f ca="1"/>
        <v>2.4356144781144788</v>
      </c>
      <c r="AB1775" s="4">
        <f ca="1"/>
        <v>45855</v>
      </c>
      <c r="AC1775" s="4">
        <v>45856</v>
      </c>
      <c r="AD1775" s="9">
        <v>45870</v>
      </c>
      <c r="AE1775" s="9">
        <v>45873</v>
      </c>
      <c r="AF1775" s="4" t="str">
        <f t="shared" ref="AF1775:AF1782" ca="1" si="129">_xlfn.CONCAT(PROPER(TEXT(AB1775,"aaaa"))," ",PROPER(TEXT(AB1775,"mm")))</f>
        <v>2025 07</v>
      </c>
      <c r="AG1775" s="8" t="str" cm="1">
        <f t="array" ref="AG1775">IFERROR(_xlfn.IFS('Banco de Dados'!#REF!="AG. COMPRA","Em processamento",'Banco de Dados'!#REF!="AG. RASTREIO","Em processamento",'Banco de Dados'!$AE1775&lt;&gt;"-","Faturado",'Banco de Dados'!$AD1775&lt;&gt;"-","Aguardando Pix",'Banco de Dados'!$AC1775&lt;&gt;"-","Pendente"),"Aguardando Liberação")</f>
        <v>Aguardando Liberação</v>
      </c>
      <c r="AH1775" s="5" t="str">
        <f>IF('Banco de Dados'!$F1775="-",_xlfn.CONCAT(PROPER(TEXT(AK1775,"aaaa"))," ",PROPER(TEXT(AK1775,"mm"))),_xlfn.CONCAT(PROPER(TEXT(E1775,"aaaa"))," ",PROPER(TEXT(E1775,"mm"))))</f>
        <v>2025 06</v>
      </c>
      <c r="AI1775" s="9" t="str">
        <f ca="1">IF('Banco de Dados'!$AK1775&lt;&gt;"-","REEMBOLSO",IFERROR(_xlfn.XLOOKUP(G1775,Follow[CODRASTREIO],Follow[STATUS]),"-"))</f>
        <v>ENTREGUE</v>
      </c>
      <c r="AJ1775" s="9">
        <f ca="1">IF('Banco de Dados'!$AI1775="ENTREGUE",_xlfn.XLOOKUP('Banco de Dados'!$G1775,Follow[CODRASTREIO],Follow[DATAATUALIZAÇÃO]),"-")</f>
        <v>45831</v>
      </c>
      <c r="AK1775" s="132" t="str">
        <f ca="1"/>
        <v>-</v>
      </c>
      <c r="AL1775" s="35"/>
      <c r="AM1775" s="109" cm="1">
        <f t="array" aca="1" ref="AM1775" ca="1">IF('Banco de Dados'!$AK1775&lt;&gt;"-",_xlfn.IFS('Banco de Dados'!$A1775="bv",IF('Banco de Dados'!$E1775&lt;45641,ROUND(SUM('Banco de Dados'!$R1775*_xlfn.XLOOKUP('Banco de Dados'!$P1775,Sku!B:B,Sku!#REF!)*20%),2),ROUND(SUM('Banco de Dados'!$R1775*_xlfn.XLOOKUP('Banco de Dados'!$P1775,Sku!B:B,Sku!H:H)*20%),2)),'Banco de Dados'!$A1775="GO",ROUND(_xlfn.XLOOKUP('Banco de Dados'!$P1775,Sku!C:C,Sku!H:H),2),'Banco de Dados'!$A1775="MEI",ROUND(_xlfn.XLOOKUP('Banco de Dados'!$P1775,Sku!D:D,Sku!H:H),2)),0)</f>
        <v>0</v>
      </c>
      <c r="AN1775" s="109">
        <v>0</v>
      </c>
      <c r="AO1775" s="109">
        <v>0</v>
      </c>
      <c r="AP1775" s="28">
        <f ca="1">IF('Banco de Dados'!$AK1775&lt;&gt;"-",IF('Banco de Dados'!$AL1775="NÃO",IFERROR(VALUE(SUBSTITUTE(_xlfn.TEXTAFTER('Banco de Dados'!$F1775,"BRL ",1),".",",")),0),0),0)</f>
        <v>0</v>
      </c>
      <c r="AQ1775" s="28">
        <f ca="1">SUM('Banco de Dados'!$AM1775:$AP1775)</f>
        <v>0</v>
      </c>
      <c r="AR1775" s="8"/>
      <c r="AS1775" s="8"/>
      <c r="AT1775"/>
      <c r="AY1775" s="8"/>
    </row>
    <row r="1776" spans="1:51">
      <c r="A1776" s="5" t="str">
        <v>BV</v>
      </c>
      <c r="B1776" s="5" t="str">
        <f ca="1"/>
        <v>BV45821</v>
      </c>
      <c r="C1776" s="8" t="str">
        <v>Pedido 1762</v>
      </c>
      <c r="D1776" s="187">
        <v>45820</v>
      </c>
      <c r="E1776" s="9">
        <v>45821</v>
      </c>
      <c r="F1776" s="8" t="str">
        <v>PedidoF1659</v>
      </c>
      <c r="G1776" s="2" t="str">
        <v>CódRastreio1657</v>
      </c>
      <c r="H1776" s="5">
        <v>1</v>
      </c>
      <c r="I1776" s="182" t="str">
        <v>CPF 1719</v>
      </c>
      <c r="J1776" s="2" t="str">
        <v>Nome 1719</v>
      </c>
      <c r="K1776" s="8" t="str">
        <v>Tel 1719</v>
      </c>
      <c r="L1776" s="8" t="str">
        <v>Cep 1719</v>
      </c>
      <c r="M1776" s="8" t="str">
        <v>Rua 1719</v>
      </c>
      <c r="N1776" s="8" t="str">
        <v>Comp 1719</v>
      </c>
      <c r="O1776" s="8" t="str">
        <v>Máquina de cortar cabelo dragão</v>
      </c>
      <c r="P1776" s="8" t="str">
        <v>HG-2FNR-01A9</v>
      </c>
      <c r="Q1776" s="4">
        <v>45842</v>
      </c>
      <c r="R1776" s="109">
        <v>23.79</v>
      </c>
      <c r="S1776" s="11">
        <f ca="1"/>
        <v>23.79</v>
      </c>
      <c r="T1776" s="28">
        <f ca="1"/>
        <v>2.8548</v>
      </c>
      <c r="U1776" s="11">
        <f ca="1"/>
        <v>20.94</v>
      </c>
      <c r="V1776" s="11">
        <v>17.96</v>
      </c>
      <c r="W1776" s="11">
        <f ca="1"/>
        <v>0</v>
      </c>
      <c r="X1776" s="11">
        <f ca="1"/>
        <v>0.39877104377104378</v>
      </c>
      <c r="Y1776" s="11">
        <v>0</v>
      </c>
      <c r="Z1776" s="11">
        <f ca="1"/>
        <v>2.581228956228955</v>
      </c>
      <c r="AA1776" s="11">
        <f ca="1"/>
        <v>1.2906144781144775</v>
      </c>
      <c r="AB1776" s="4">
        <f ca="1"/>
        <v>45849</v>
      </c>
      <c r="AC1776" s="4">
        <v>45849</v>
      </c>
      <c r="AD1776" s="9">
        <v>45853</v>
      </c>
      <c r="AE1776" s="9">
        <v>45873</v>
      </c>
      <c r="AF1776" s="4" t="str">
        <f t="shared" ca="1" si="129"/>
        <v>2025 07</v>
      </c>
      <c r="AG1776" s="8" t="str" cm="1">
        <f t="array" ref="AG1776">IFERROR(_xlfn.IFS('Banco de Dados'!#REF!="AG. COMPRA","Em processamento",'Banco de Dados'!#REF!="AG. RASTREIO","Em processamento",'Banco de Dados'!$AE1776&lt;&gt;"-","Faturado",'Banco de Dados'!$AD1776&lt;&gt;"-","Aguardando Pix",'Banco de Dados'!$AC1776&lt;&gt;"-","Pendente"),"Aguardando Liberação")</f>
        <v>Aguardando Liberação</v>
      </c>
      <c r="AH1776" s="5" t="str">
        <f>IF('Banco de Dados'!$F1776="-",_xlfn.CONCAT(PROPER(TEXT(AK1776,"aaaa"))," ",PROPER(TEXT(AK1776,"mm"))),_xlfn.CONCAT(PROPER(TEXT(E1776,"aaaa"))," ",PROPER(TEXT(E1776,"mm"))))</f>
        <v>2025 06</v>
      </c>
      <c r="AI1776" s="9" t="str">
        <f ca="1">IF('Banco de Dados'!$AK1776&lt;&gt;"-","REEMBOLSO",IFERROR(_xlfn.XLOOKUP(G1776,Follow[CODRASTREIO],Follow[STATUS]),"-"))</f>
        <v>ENTREGUE</v>
      </c>
      <c r="AJ1776" s="9">
        <f ca="1">IF('Banco de Dados'!$AI1776="ENTREGUE",_xlfn.XLOOKUP('Banco de Dados'!$G1776,Follow[CODRASTREIO],Follow[DATAATUALIZAÇÃO]),"-")</f>
        <v>45831.530439814815</v>
      </c>
      <c r="AK1776" s="132" t="str">
        <f ca="1"/>
        <v>-</v>
      </c>
      <c r="AL1776" s="35"/>
      <c r="AM1776" s="109" cm="1">
        <f t="array" aca="1" ref="AM1776" ca="1">IF('Banco de Dados'!$AK1776&lt;&gt;"-",_xlfn.IFS('Banco de Dados'!$A1776="bv",IF('Banco de Dados'!$E1776&lt;45641,ROUND(SUM('Banco de Dados'!$R1776*_xlfn.XLOOKUP('Banco de Dados'!$P1776,Sku!B:B,Sku!#REF!)*20%),2),ROUND(SUM('Banco de Dados'!$R1776*_xlfn.XLOOKUP('Banco de Dados'!$P1776,Sku!B:B,Sku!H:H)*20%),2)),'Banco de Dados'!$A1776="GO",ROUND(_xlfn.XLOOKUP('Banco de Dados'!$P1776,Sku!C:C,Sku!H:H),2),'Banco de Dados'!$A1776="MEI",ROUND(_xlfn.XLOOKUP('Banco de Dados'!$P1776,Sku!D:D,Sku!H:H),2)),0)</f>
        <v>0</v>
      </c>
      <c r="AN1776" s="109">
        <f ca="1">IF('Banco de Dados'!$AK1776&lt;&gt;"-",IF('Banco de Dados'!$F1776&lt;&gt;"-",_xlfn.XLOOKUP(IFERROR(IFERROR(IFERROR(VALUE(SUBSTITUTE(MID(_xlfn.TEXTAFTER('Banco de Dados'!$F1776,"Data do Pedido:
",1),1,10),"-","/")),VALUE(SUBSTITUTE(MID(_xlfn.TEXTAFTER('Banco de Dados'!$F1776,"Order date:
",1),1,10),"-","/"))),VALUE(SUBSTITUTE(MID(_xlfn.TEXTAFTER('Banco de Dados'!$F1776,"Fecha de pedido:
",1),1,10),"-","/"))),"-"),SMS!A:A,SMS!K:K),0),0)</f>
        <v>0</v>
      </c>
      <c r="AO1776" s="109">
        <f ca="1">IF('Banco de Dados'!$AK1776&lt;&gt;"-",IF('Banco de Dados'!$F1776&lt;&gt;"-",IFERROR(_xlfn.XLOOKUP(_xlfn.CONCAT('Banco de Dados'!$A1776,IFERROR(IFERROR(VALUE(SUBSTITUTE(MID(_xlfn.TEXTAFTER('Banco de Dados'!$F1776,"Data do Pedido:
",1),1,10),"-","/")),VALUE(SUBSTITUTE(MID(_xlfn.TEXTAFTER('Banco de Dados'!$F1776,"Order date:
",1),1,10),"-","/"))),0)),ProxyDD[Chave],ProxyDD[Valor por pedido]),PROXY!$P$2),0),0)</f>
        <v>0</v>
      </c>
      <c r="AP1776" s="28">
        <f ca="1">IF('Banco de Dados'!$AK1776&lt;&gt;"-",IF('Banco de Dados'!$AL1776="NÃO",IFERROR(VALUE(SUBSTITUTE(_xlfn.TEXTAFTER('Banco de Dados'!$F1776,"BRL ",1),".",",")),0),0),0)</f>
        <v>0</v>
      </c>
      <c r="AQ1776" s="28">
        <f ca="1">SUM('Banco de Dados'!$AM1776:$AP1776)</f>
        <v>0</v>
      </c>
      <c r="AR1776" s="8"/>
      <c r="AS1776" s="8"/>
      <c r="AT1776"/>
      <c r="AY1776" s="8"/>
    </row>
    <row r="1777" spans="1:51">
      <c r="A1777" s="5" t="str">
        <v>BV</v>
      </c>
      <c r="B1777" s="5" t="str">
        <f ca="1"/>
        <v>BV45826</v>
      </c>
      <c r="C1777" s="8" t="str">
        <v>Pedido 1763</v>
      </c>
      <c r="D1777" s="187">
        <v>45820</v>
      </c>
      <c r="E1777" s="9">
        <v>45826</v>
      </c>
      <c r="F1777" s="8" t="str">
        <v>PedidoF1660</v>
      </c>
      <c r="G1777" s="2" t="str">
        <v>CódRastreio1658</v>
      </c>
      <c r="H1777" s="5">
        <v>1</v>
      </c>
      <c r="I1777" s="182" t="str">
        <v>CPF 1720</v>
      </c>
      <c r="J1777" s="2" t="str">
        <v>Nome 1720</v>
      </c>
      <c r="K1777" s="8" t="str">
        <v>Tel 1720</v>
      </c>
      <c r="L1777" s="8" t="str">
        <v>Cep 1720</v>
      </c>
      <c r="M1777" s="8" t="str">
        <v>Rua 1720</v>
      </c>
      <c r="N1777" s="8" t="str">
        <v>Comp 1720</v>
      </c>
      <c r="O1777" s="8" t="str">
        <v>Máquina de cortar cabelo dragão</v>
      </c>
      <c r="P1777" s="8" t="str">
        <v>HG-2FNR-01A9</v>
      </c>
      <c r="Q1777" s="4">
        <v>45848</v>
      </c>
      <c r="R1777" s="109">
        <v>23.79</v>
      </c>
      <c r="S1777" s="11">
        <f ca="1"/>
        <v>23.79</v>
      </c>
      <c r="T1777" s="28">
        <f ca="1"/>
        <v>2.8548</v>
      </c>
      <c r="U1777" s="11">
        <f ca="1"/>
        <v>20.94</v>
      </c>
      <c r="V1777" s="11">
        <v>10.210000000000001</v>
      </c>
      <c r="W1777" s="11">
        <f ca="1"/>
        <v>0.49</v>
      </c>
      <c r="X1777" s="11">
        <f ca="1"/>
        <v>0.39877104377104378</v>
      </c>
      <c r="Y1777" s="11">
        <v>0</v>
      </c>
      <c r="Z1777" s="11">
        <f ca="1"/>
        <v>9.8412289562289565</v>
      </c>
      <c r="AA1777" s="11">
        <f ca="1"/>
        <v>4.9206144781144783</v>
      </c>
      <c r="AB1777" s="4">
        <f ca="1"/>
        <v>45855</v>
      </c>
      <c r="AC1777" s="4">
        <v>45856</v>
      </c>
      <c r="AD1777" s="9">
        <v>45870</v>
      </c>
      <c r="AE1777" s="9">
        <v>45873</v>
      </c>
      <c r="AF1777" s="4" t="str">
        <f t="shared" ca="1" si="129"/>
        <v>2025 07</v>
      </c>
      <c r="AG1777" s="8" t="str" cm="1">
        <f t="array" ref="AG1777">IFERROR(_xlfn.IFS('Banco de Dados'!#REF!="AG. COMPRA","Em processamento",'Banco de Dados'!#REF!="AG. RASTREIO","Em processamento",'Banco de Dados'!$AE1777&lt;&gt;"-","Faturado",'Banco de Dados'!$AD1777&lt;&gt;"-","Aguardando Pix",'Banco de Dados'!$AC1777&lt;&gt;"-","Pendente"),"Aguardando Liberação")</f>
        <v>Aguardando Liberação</v>
      </c>
      <c r="AH1777" s="5" t="str">
        <f>IF('Banco de Dados'!$F1777="-",_xlfn.CONCAT(PROPER(TEXT(AK1777,"aaaa"))," ",PROPER(TEXT(AK1777,"mm"))),_xlfn.CONCAT(PROPER(TEXT(E1777,"aaaa"))," ",PROPER(TEXT(E1777,"mm"))))</f>
        <v>2025 06</v>
      </c>
      <c r="AI1777" s="9" t="str">
        <f ca="1">IF('Banco de Dados'!$AK1777&lt;&gt;"-","REEMBOLSO",IFERROR(_xlfn.XLOOKUP(G1777,Follow[CODRASTREIO],Follow[STATUS]),"-"))</f>
        <v>ENTREGUE</v>
      </c>
      <c r="AJ1777" s="9">
        <f ca="1">IF('Banco de Dados'!$AI1777="ENTREGUE",_xlfn.XLOOKUP('Banco de Dados'!$G1777,Follow[CODRASTREIO],Follow[DATAATUALIZAÇÃO]),"-")</f>
        <v>45836</v>
      </c>
      <c r="AK1777" s="132" t="str">
        <f ca="1"/>
        <v>-</v>
      </c>
      <c r="AL1777" s="35"/>
      <c r="AM1777" s="109" cm="1">
        <f t="array" aca="1" ref="AM1777" ca="1">IF('Banco de Dados'!$AK1777&lt;&gt;"-",_xlfn.IFS('Banco de Dados'!$A1777="bv",IF('Banco de Dados'!$E1777&lt;45641,ROUND(SUM('Banco de Dados'!$R1777*_xlfn.XLOOKUP('Banco de Dados'!$P1777,Sku!B:B,Sku!#REF!)*20%),2),ROUND(SUM('Banco de Dados'!$R1777*_xlfn.XLOOKUP('Banco de Dados'!$P1777,Sku!B:B,Sku!H:H)*20%),2)),'Banco de Dados'!$A1777="GO",ROUND(_xlfn.XLOOKUP('Banco de Dados'!$P1777,Sku!C:C,Sku!H:H),2),'Banco de Dados'!$A1777="MEI",ROUND(_xlfn.XLOOKUP('Banco de Dados'!$P1777,Sku!D:D,Sku!H:H),2)),0)</f>
        <v>0</v>
      </c>
      <c r="AN1777" s="109">
        <f ca="1">IF('Banco de Dados'!$AK1777&lt;&gt;"-",IF('Banco de Dados'!$F1777&lt;&gt;"-",_xlfn.XLOOKUP(IFERROR(IFERROR(IFERROR(VALUE(SUBSTITUTE(MID(_xlfn.TEXTAFTER('Banco de Dados'!$F1777,"Data do Pedido:
",1),1,10),"-","/")),VALUE(SUBSTITUTE(MID(_xlfn.TEXTAFTER('Banco de Dados'!$F1777,"Order date:
",1),1,10),"-","/"))),VALUE(SUBSTITUTE(MID(_xlfn.TEXTAFTER('Banco de Dados'!$F1777,"Fecha de pedido:
",1),1,10),"-","/"))),"-"),SMS!A:A,SMS!K:K),0),0)</f>
        <v>0</v>
      </c>
      <c r="AO1777" s="109">
        <f ca="1">IF('Banco de Dados'!$AK1777&lt;&gt;"-",IF('Banco de Dados'!$F1777&lt;&gt;"-",IFERROR(_xlfn.XLOOKUP(_xlfn.CONCAT('Banco de Dados'!$A1777,IFERROR(IFERROR(VALUE(SUBSTITUTE(MID(_xlfn.TEXTAFTER('Banco de Dados'!$F1777,"Data do Pedido:
",1),1,10),"-","/")),VALUE(SUBSTITUTE(MID(_xlfn.TEXTAFTER('Banco de Dados'!$F1777,"Order date:
",1),1,10),"-","/"))),0)),ProxyDD[Chave],ProxyDD[Valor por pedido]),PROXY!$P$2),0),0)</f>
        <v>0</v>
      </c>
      <c r="AP1777" s="28">
        <f ca="1">IF('Banco de Dados'!$AK1777&lt;&gt;"-",IF('Banco de Dados'!$AL1777="NÃO",IFERROR(VALUE(SUBSTITUTE(_xlfn.TEXTAFTER('Banco de Dados'!$F1777,"BRL ",1),".",",")),0),0),0)</f>
        <v>0</v>
      </c>
      <c r="AQ1777" s="28">
        <f ca="1">SUM('Banco de Dados'!$AM1777:$AP1777)</f>
        <v>0</v>
      </c>
      <c r="AR1777" s="8"/>
      <c r="AS1777" s="8"/>
      <c r="AT1777"/>
      <c r="AY1777" s="8"/>
    </row>
    <row r="1778" spans="1:51">
      <c r="A1778" s="5" t="str">
        <v>BV</v>
      </c>
      <c r="B1778" s="5" t="str">
        <f ca="1"/>
        <v>BV45824</v>
      </c>
      <c r="C1778" s="8" t="str">
        <v>Pedido 1764</v>
      </c>
      <c r="D1778" s="187">
        <v>45821</v>
      </c>
      <c r="E1778" s="9">
        <v>45824</v>
      </c>
      <c r="F1778" s="2" t="str">
        <v>PedidoF1661</v>
      </c>
      <c r="G1778" s="2" t="str">
        <v>CódRastreio1659</v>
      </c>
      <c r="H1778" s="5">
        <v>1</v>
      </c>
      <c r="I1778" s="182" t="str">
        <v>CPF 1721</v>
      </c>
      <c r="J1778" s="2" t="str">
        <v>Nome 1721</v>
      </c>
      <c r="K1778" s="8" t="str">
        <v>Tel 1721</v>
      </c>
      <c r="L1778" s="8" t="str">
        <v>Cep 1721</v>
      </c>
      <c r="M1778" s="8" t="str">
        <v>Rua 1721</v>
      </c>
      <c r="N1778" s="8" t="str">
        <v>Comp 1721</v>
      </c>
      <c r="O1778" s="8" t="str">
        <v>Máquina de cortar cabelo dragão</v>
      </c>
      <c r="P1778" s="8" t="str">
        <v>HG-2FNR-01A9</v>
      </c>
      <c r="Q1778" s="4">
        <v>45843</v>
      </c>
      <c r="R1778" s="109">
        <v>23.79</v>
      </c>
      <c r="S1778" s="11">
        <f ca="1"/>
        <v>23.79</v>
      </c>
      <c r="T1778" s="28">
        <f ca="1"/>
        <v>2.8548</v>
      </c>
      <c r="U1778" s="11">
        <f ca="1"/>
        <v>20.94</v>
      </c>
      <c r="V1778" s="11">
        <v>15.76</v>
      </c>
      <c r="W1778" s="11">
        <f ca="1"/>
        <v>0.3</v>
      </c>
      <c r="X1778" s="11">
        <f ca="1"/>
        <v>0.39877104377104378</v>
      </c>
      <c r="Y1778" s="11">
        <v>0</v>
      </c>
      <c r="Z1778" s="11">
        <f ca="1"/>
        <v>4.4812289562289571</v>
      </c>
      <c r="AA1778" s="11">
        <f ca="1"/>
        <v>2.2406144781144786</v>
      </c>
      <c r="AB1778" s="4">
        <f ca="1"/>
        <v>45850</v>
      </c>
      <c r="AC1778" s="4">
        <v>45850</v>
      </c>
      <c r="AD1778" s="9">
        <v>45853</v>
      </c>
      <c r="AE1778" s="9">
        <v>45873</v>
      </c>
      <c r="AF1778" s="4" t="str">
        <f t="shared" ca="1" si="129"/>
        <v>2025 07</v>
      </c>
      <c r="AG1778" s="8" t="str" cm="1">
        <f t="array" ref="AG1778">IFERROR(_xlfn.IFS('Banco de Dados'!#REF!="AG. COMPRA","Em processamento",'Banco de Dados'!#REF!="AG. RASTREIO","Em processamento",'Banco de Dados'!$AE1778&lt;&gt;"-","Faturado",'Banco de Dados'!$AD1778&lt;&gt;"-","Aguardando Pix",'Banco de Dados'!$AC1778&lt;&gt;"-","Pendente"),"Aguardando Liberação")</f>
        <v>Aguardando Liberação</v>
      </c>
      <c r="AH1778" s="5" t="str">
        <f>IF('Banco de Dados'!$F1778="-",_xlfn.CONCAT(PROPER(TEXT(AK1778,"aaaa"))," ",PROPER(TEXT(AK1778,"mm"))),_xlfn.CONCAT(PROPER(TEXT(E1778,"aaaa"))," ",PROPER(TEXT(E1778,"mm"))))</f>
        <v>2025 06</v>
      </c>
      <c r="AI1778" s="9" t="str">
        <f ca="1">IF('Banco de Dados'!$AK1778&lt;&gt;"-","REEMBOLSO",IFERROR(_xlfn.XLOOKUP(G1778,Follow[CODRASTREIO],Follow[STATUS]),"-"))</f>
        <v>ENTREGUE</v>
      </c>
      <c r="AJ1778" s="9">
        <f ca="1">IF('Banco de Dados'!$AI1778="ENTREGUE",_xlfn.XLOOKUP('Banco de Dados'!$G1778,Follow[CODRASTREIO],Follow[DATAATUALIZAÇÃO]),"-")</f>
        <v>45829</v>
      </c>
      <c r="AK1778" s="132" t="str">
        <f ca="1"/>
        <v>-</v>
      </c>
      <c r="AL1778" s="35"/>
      <c r="AM1778" s="109" cm="1">
        <f t="array" aca="1" ref="AM1778" ca="1">IF('Banco de Dados'!$AK1778&lt;&gt;"-",_xlfn.IFS('Banco de Dados'!$A1778="bv",IF('Banco de Dados'!$E1778&lt;45641,ROUND(SUM('Banco de Dados'!$R1778*_xlfn.XLOOKUP('Banco de Dados'!$P1778,Sku!B:B,Sku!#REF!)*20%),2),ROUND(SUM('Banco de Dados'!$R1778*_xlfn.XLOOKUP('Banco de Dados'!$P1778,Sku!B:B,Sku!H:H)*20%),2)),'Banco de Dados'!$A1778="GO",ROUND(_xlfn.XLOOKUP('Banco de Dados'!$P1778,Sku!C:C,Sku!H:H),2),'Banco de Dados'!$A1778="MEI",ROUND(_xlfn.XLOOKUP('Banco de Dados'!$P1778,Sku!D:D,Sku!H:H),2)),0)</f>
        <v>0</v>
      </c>
      <c r="AN1778" s="109">
        <v>0</v>
      </c>
      <c r="AO1778" s="109">
        <v>0</v>
      </c>
      <c r="AP1778" s="28">
        <f ca="1">IF('Banco de Dados'!$AK1778&lt;&gt;"-",IF('Banco de Dados'!$AL1778="NÃO",IFERROR(VALUE(SUBSTITUTE(_xlfn.TEXTAFTER('Banco de Dados'!$F1778,"BRL ",1),".",",")),0),0),0)</f>
        <v>0</v>
      </c>
      <c r="AQ1778" s="28">
        <f ca="1">SUM('Banco de Dados'!$AM1778:$AP1778)</f>
        <v>0</v>
      </c>
      <c r="AR1778" s="8"/>
      <c r="AS1778" s="8"/>
      <c r="AT1778"/>
      <c r="AY1778" s="8"/>
    </row>
    <row r="1779" spans="1:51">
      <c r="A1779" s="5" t="str">
        <v>BV</v>
      </c>
      <c r="B1779" s="5" t="str">
        <f ca="1"/>
        <v>BV45824</v>
      </c>
      <c r="C1779" s="8" t="str">
        <v>Pedido 1765</v>
      </c>
      <c r="D1779" s="187">
        <v>45821</v>
      </c>
      <c r="E1779" s="9">
        <v>45824</v>
      </c>
      <c r="F1779" s="2" t="str">
        <v>PedidoF1662</v>
      </c>
      <c r="G1779" s="2" t="str">
        <v>CódRastreio1660</v>
      </c>
      <c r="H1779" s="5">
        <v>1</v>
      </c>
      <c r="I1779" s="182" t="str">
        <v>CPF 1722</v>
      </c>
      <c r="J1779" s="2" t="str">
        <v>Nome 1722</v>
      </c>
      <c r="K1779" s="8" t="str">
        <v>Tel 1722</v>
      </c>
      <c r="L1779" s="8" t="str">
        <v>Cep 1722</v>
      </c>
      <c r="M1779" s="8" t="str">
        <v>Rua 1722</v>
      </c>
      <c r="N1779" s="8" t="str">
        <v>Comp 1722</v>
      </c>
      <c r="O1779" s="8" t="str">
        <v>Máquina de cortar cabelo dragão</v>
      </c>
      <c r="P1779" s="8" t="str">
        <v>HG-2FNR-01A9</v>
      </c>
      <c r="Q1779" s="4">
        <v>45843</v>
      </c>
      <c r="R1779" s="109">
        <v>23.79</v>
      </c>
      <c r="S1779" s="11">
        <f ca="1"/>
        <v>23.79</v>
      </c>
      <c r="T1779" s="28">
        <f ca="1"/>
        <v>2.8548</v>
      </c>
      <c r="U1779" s="11">
        <f ca="1"/>
        <v>20.94</v>
      </c>
      <c r="V1779" s="11">
        <v>14.95</v>
      </c>
      <c r="W1779" s="11">
        <f ca="1"/>
        <v>0.3</v>
      </c>
      <c r="X1779" s="11">
        <f ca="1"/>
        <v>0.39877104377104378</v>
      </c>
      <c r="Y1779" s="11">
        <v>0</v>
      </c>
      <c r="Z1779" s="11">
        <f ca="1"/>
        <v>5.2912289562289576</v>
      </c>
      <c r="AA1779" s="11">
        <f ca="1"/>
        <v>2.6456144781144788</v>
      </c>
      <c r="AB1779" s="4">
        <f ca="1"/>
        <v>45850</v>
      </c>
      <c r="AC1779" s="4">
        <v>45850</v>
      </c>
      <c r="AD1779" s="9">
        <v>45853</v>
      </c>
      <c r="AE1779" s="9">
        <v>45873</v>
      </c>
      <c r="AF1779" s="4" t="str">
        <f t="shared" ca="1" si="129"/>
        <v>2025 07</v>
      </c>
      <c r="AG1779" s="8" t="str" cm="1">
        <f t="array" ref="AG1779">IFERROR(_xlfn.IFS('Banco de Dados'!#REF!="AG. COMPRA","Em processamento",'Banco de Dados'!#REF!="AG. RASTREIO","Em processamento",'Banco de Dados'!$AE1779&lt;&gt;"-","Faturado",'Banco de Dados'!$AD1779&lt;&gt;"-","Aguardando Pix",'Banco de Dados'!$AC1779&lt;&gt;"-","Pendente"),"Aguardando Liberação")</f>
        <v>Aguardando Liberação</v>
      </c>
      <c r="AH1779" s="5" t="str">
        <f>IF('Banco de Dados'!$F1779="-",_xlfn.CONCAT(PROPER(TEXT(AK1779,"aaaa"))," ",PROPER(TEXT(AK1779,"mm"))),_xlfn.CONCAT(PROPER(TEXT(E1779,"aaaa"))," ",PROPER(TEXT(E1779,"mm"))))</f>
        <v>2025 06</v>
      </c>
      <c r="AI1779" s="9" t="str">
        <f ca="1">IF('Banco de Dados'!$AK1779&lt;&gt;"-","REEMBOLSO",IFERROR(_xlfn.XLOOKUP(G1779,Follow[CODRASTREIO],Follow[STATUS]),"-"))</f>
        <v>ENTREGUE</v>
      </c>
      <c r="AJ1779" s="9">
        <f ca="1">IF('Banco de Dados'!$AI1779="ENTREGUE",_xlfn.XLOOKUP('Banco de Dados'!$G1779,Follow[CODRASTREIO],Follow[DATAATUALIZAÇÃO]),"-")</f>
        <v>45828</v>
      </c>
      <c r="AK1779" s="132" t="str">
        <f ca="1"/>
        <v>-</v>
      </c>
      <c r="AL1779" s="35"/>
      <c r="AM1779" s="109" cm="1">
        <f t="array" aca="1" ref="AM1779" ca="1">IF('Banco de Dados'!$AK1779&lt;&gt;"-",_xlfn.IFS('Banco de Dados'!$A1779="bv",IF('Banco de Dados'!$E1779&lt;45641,ROUND(SUM('Banco de Dados'!$R1779*_xlfn.XLOOKUP('Banco de Dados'!$P1779,Sku!B:B,Sku!#REF!)*20%),2),ROUND(SUM('Banco de Dados'!$R1779*_xlfn.XLOOKUP('Banco de Dados'!$P1779,Sku!B:B,Sku!H:H)*20%),2)),'Banco de Dados'!$A1779="GO",ROUND(_xlfn.XLOOKUP('Banco de Dados'!$P1779,Sku!C:C,Sku!H:H),2),'Banco de Dados'!$A1779="MEI",ROUND(_xlfn.XLOOKUP('Banco de Dados'!$P1779,Sku!D:D,Sku!H:H),2)),0)</f>
        <v>0</v>
      </c>
      <c r="AN1779" s="109">
        <v>0</v>
      </c>
      <c r="AO1779" s="109">
        <v>0</v>
      </c>
      <c r="AP1779" s="28">
        <f ca="1">IF('Banco de Dados'!$AK1779&lt;&gt;"-",IF('Banco de Dados'!$AL1779="NÃO",IFERROR(VALUE(SUBSTITUTE(_xlfn.TEXTAFTER('Banco de Dados'!$F1779,"BRL ",1),".",",")),0),0),0)</f>
        <v>0</v>
      </c>
      <c r="AQ1779" s="28">
        <f ca="1">SUM('Banco de Dados'!$AM1779:$AP1779)</f>
        <v>0</v>
      </c>
      <c r="AR1779" s="8"/>
      <c r="AS1779" s="8"/>
      <c r="AT1779"/>
      <c r="AY1779" s="8"/>
    </row>
    <row r="1780" spans="1:51">
      <c r="A1780" s="5" t="str">
        <v>BV</v>
      </c>
      <c r="B1780" s="5" t="str">
        <f ca="1"/>
        <v>BV45826</v>
      </c>
      <c r="C1780" s="8" t="str">
        <v>Pedido 1766</v>
      </c>
      <c r="D1780" s="187">
        <v>45821</v>
      </c>
      <c r="E1780" s="9">
        <v>45826</v>
      </c>
      <c r="F1780" s="8" t="str">
        <v>PedidoF1663</v>
      </c>
      <c r="G1780" s="2" t="str">
        <v>CódRastreio1661</v>
      </c>
      <c r="H1780" s="5">
        <v>1</v>
      </c>
      <c r="I1780" s="182" t="str">
        <v>CPF 1722</v>
      </c>
      <c r="J1780" s="2" t="str">
        <v>Nome 1722</v>
      </c>
      <c r="K1780" s="8" t="str">
        <v>Tel 1722</v>
      </c>
      <c r="L1780" s="8" t="str">
        <v>Cep 1722</v>
      </c>
      <c r="M1780" s="8" t="str">
        <v>Rua 1722</v>
      </c>
      <c r="N1780" s="8" t="str">
        <v>Comp 1722</v>
      </c>
      <c r="O1780" s="8" t="str">
        <v>Máquina de cortar cabelo dragão</v>
      </c>
      <c r="P1780" s="8" t="str">
        <v>HG-2FNR-01A9</v>
      </c>
      <c r="Q1780" s="4">
        <v>45849</v>
      </c>
      <c r="R1780" s="109">
        <v>23.79</v>
      </c>
      <c r="S1780" s="11">
        <f ca="1"/>
        <v>23.79</v>
      </c>
      <c r="T1780" s="28">
        <f ca="1"/>
        <v>2.8548</v>
      </c>
      <c r="U1780" s="11">
        <f ca="1"/>
        <v>20.94</v>
      </c>
      <c r="V1780" s="11">
        <v>10.56</v>
      </c>
      <c r="W1780" s="11">
        <f ca="1"/>
        <v>0.49</v>
      </c>
      <c r="X1780" s="11">
        <f ca="1"/>
        <v>0.39877104377104378</v>
      </c>
      <c r="Y1780" s="11">
        <v>0</v>
      </c>
      <c r="Z1780" s="11">
        <f ca="1"/>
        <v>9.4912289562289569</v>
      </c>
      <c r="AA1780" s="11">
        <f ca="1"/>
        <v>4.7456144781144785</v>
      </c>
      <c r="AB1780" s="4">
        <f ca="1"/>
        <v>45856</v>
      </c>
      <c r="AC1780" s="4">
        <v>45856</v>
      </c>
      <c r="AD1780" s="9">
        <v>45870</v>
      </c>
      <c r="AE1780" s="9">
        <v>45873</v>
      </c>
      <c r="AF1780" s="4" t="str">
        <f t="shared" ca="1" si="129"/>
        <v>2025 07</v>
      </c>
      <c r="AG1780" s="8" t="str" cm="1">
        <f t="array" ref="AG1780">IFERROR(_xlfn.IFS('Banco de Dados'!#REF!="AG. COMPRA","Em processamento",'Banco de Dados'!#REF!="AG. RASTREIO","Em processamento",'Banco de Dados'!$AE1780&lt;&gt;"-","Faturado",'Banco de Dados'!$AD1780&lt;&gt;"-","Aguardando Pix",'Banco de Dados'!$AC1780&lt;&gt;"-","Pendente"),"Aguardando Liberação")</f>
        <v>Aguardando Liberação</v>
      </c>
      <c r="AH1780" s="5" t="str">
        <f>IF('Banco de Dados'!$F1780="-",_xlfn.CONCAT(PROPER(TEXT(AK1780,"aaaa"))," ",PROPER(TEXT(AK1780,"mm"))),_xlfn.CONCAT(PROPER(TEXT(E1780,"aaaa"))," ",PROPER(TEXT(E1780,"mm"))))</f>
        <v>2025 06</v>
      </c>
      <c r="AI1780" s="9" t="str">
        <f ca="1">IF('Banco de Dados'!$AK1780&lt;&gt;"-","REEMBOLSO",IFERROR(_xlfn.XLOOKUP(G1780,Follow[CODRASTREIO],Follow[STATUS]),"-"))</f>
        <v>ENTREGUE</v>
      </c>
      <c r="AJ1780" s="9">
        <f ca="1">IF('Banco de Dados'!$AI1780="ENTREGUE",_xlfn.XLOOKUP('Banco de Dados'!$G1780,Follow[CODRASTREIO],Follow[DATAATUALIZAÇÃO]),"-")</f>
        <v>45845</v>
      </c>
      <c r="AK1780" s="132" t="str">
        <f ca="1"/>
        <v>-</v>
      </c>
      <c r="AL1780" s="35"/>
      <c r="AM1780" s="109" cm="1">
        <f t="array" aca="1" ref="AM1780" ca="1">IF('Banco de Dados'!$AK1780&lt;&gt;"-",_xlfn.IFS('Banco de Dados'!$A1780="bv",IF('Banco de Dados'!$E1780&lt;45641,ROUND(SUM('Banco de Dados'!$R1780*_xlfn.XLOOKUP('Banco de Dados'!$P1780,Sku!B:B,Sku!#REF!)*20%),2),ROUND(SUM('Banco de Dados'!$R1780*_xlfn.XLOOKUP('Banco de Dados'!$P1780,Sku!B:B,Sku!H:H)*20%),2)),'Banco de Dados'!$A1780="GO",ROUND(_xlfn.XLOOKUP('Banco de Dados'!$P1780,Sku!C:C,Sku!H:H),2),'Banco de Dados'!$A1780="MEI",ROUND(_xlfn.XLOOKUP('Banco de Dados'!$P1780,Sku!D:D,Sku!H:H),2)),0)</f>
        <v>0</v>
      </c>
      <c r="AN1780" s="109">
        <f ca="1">IF('Banco de Dados'!$AK1780&lt;&gt;"-",IF('Banco de Dados'!$F1780&lt;&gt;"-",_xlfn.XLOOKUP(IFERROR(IFERROR(IFERROR(VALUE(SUBSTITUTE(MID(_xlfn.TEXTAFTER('Banco de Dados'!$F1780,"Data do Pedido:
",1),1,10),"-","/")),VALUE(SUBSTITUTE(MID(_xlfn.TEXTAFTER('Banco de Dados'!$F1780,"Order date:
",1),1,10),"-","/"))),VALUE(SUBSTITUTE(MID(_xlfn.TEXTAFTER('Banco de Dados'!$F1780,"Fecha de pedido:
",1),1,10),"-","/"))),"-"),SMS!A:A,SMS!K:K),0),0)</f>
        <v>0</v>
      </c>
      <c r="AO1780" s="109">
        <f ca="1">IF('Banco de Dados'!$AK1780&lt;&gt;"-",IF('Banco de Dados'!$F1780&lt;&gt;"-",IFERROR(_xlfn.XLOOKUP(_xlfn.CONCAT('Banco de Dados'!$A1780,IFERROR(IFERROR(VALUE(SUBSTITUTE(MID(_xlfn.TEXTAFTER('Banco de Dados'!$F1780,"Data do Pedido:
",1),1,10),"-","/")),VALUE(SUBSTITUTE(MID(_xlfn.TEXTAFTER('Banco de Dados'!$F1780,"Order date:
",1),1,10),"-","/"))),0)),ProxyDD[Chave],ProxyDD[Valor por pedido]),PROXY!$P$2),0),0)</f>
        <v>0</v>
      </c>
      <c r="AP1780" s="28">
        <f ca="1">IF('Banco de Dados'!$AK1780&lt;&gt;"-",IF('Banco de Dados'!$AL1780="NÃO",IFERROR(VALUE(SUBSTITUTE(_xlfn.TEXTAFTER('Banco de Dados'!$F1780,"BRL ",1),".",",")),0),0),0)</f>
        <v>0</v>
      </c>
      <c r="AQ1780" s="28">
        <f ca="1">SUM('Banco de Dados'!$AM1780:$AP1780)</f>
        <v>0</v>
      </c>
      <c r="AR1780" s="8"/>
      <c r="AS1780" s="8"/>
      <c r="AT1780"/>
      <c r="AY1780" s="8"/>
    </row>
    <row r="1781" spans="1:51">
      <c r="A1781" s="5" t="str">
        <v>BV</v>
      </c>
      <c r="B1781" s="5" t="str">
        <f ca="1"/>
        <v>BV45824</v>
      </c>
      <c r="C1781" s="8" t="str">
        <v>Pedido 1767</v>
      </c>
      <c r="D1781" s="187">
        <v>45821</v>
      </c>
      <c r="E1781" s="9">
        <v>45824</v>
      </c>
      <c r="F1781" s="2" t="str">
        <v>PedidoF1664</v>
      </c>
      <c r="G1781" s="2" t="str">
        <v>CódRastreio1662</v>
      </c>
      <c r="H1781" s="5">
        <v>1</v>
      </c>
      <c r="I1781" s="182" t="str">
        <v>CPF 1722</v>
      </c>
      <c r="J1781" s="2" t="str">
        <v>Nome 1722</v>
      </c>
      <c r="K1781" s="8" t="str">
        <v>Tel 1722</v>
      </c>
      <c r="L1781" s="8" t="str">
        <v>Cep 1722</v>
      </c>
      <c r="M1781" s="8" t="str">
        <v>Rua 1722</v>
      </c>
      <c r="N1781" s="8" t="str">
        <v>Comp 1722</v>
      </c>
      <c r="O1781" s="8" t="str">
        <v>Máquina de cortar cabelo dragão</v>
      </c>
      <c r="P1781" s="8" t="str">
        <v>HG-2FNR-01A9</v>
      </c>
      <c r="Q1781" s="4">
        <v>45843</v>
      </c>
      <c r="R1781" s="109">
        <v>23.79</v>
      </c>
      <c r="S1781" s="11">
        <f ca="1"/>
        <v>23.79</v>
      </c>
      <c r="T1781" s="28">
        <f ca="1"/>
        <v>2.8548</v>
      </c>
      <c r="U1781" s="11">
        <f ca="1"/>
        <v>20.94</v>
      </c>
      <c r="V1781" s="11">
        <v>14.9</v>
      </c>
      <c r="W1781" s="11">
        <f ca="1"/>
        <v>0.3</v>
      </c>
      <c r="X1781" s="11">
        <f ca="1"/>
        <v>0.39877104377104378</v>
      </c>
      <c r="Y1781" s="11">
        <v>0</v>
      </c>
      <c r="Z1781" s="11">
        <f ca="1"/>
        <v>5.3412289562289565</v>
      </c>
      <c r="AA1781" s="11">
        <f ca="1"/>
        <v>2.6706144781144783</v>
      </c>
      <c r="AB1781" s="4">
        <f ca="1"/>
        <v>45850</v>
      </c>
      <c r="AC1781" s="4">
        <v>45850</v>
      </c>
      <c r="AD1781" s="9">
        <v>45853</v>
      </c>
      <c r="AE1781" s="9">
        <v>45873</v>
      </c>
      <c r="AF1781" s="4" t="str">
        <f t="shared" ca="1" si="129"/>
        <v>2025 07</v>
      </c>
      <c r="AG1781" s="8" t="str" cm="1">
        <f t="array" ref="AG1781">IFERROR(_xlfn.IFS('Banco de Dados'!#REF!="AG. COMPRA","Em processamento",'Banco de Dados'!#REF!="AG. RASTREIO","Em processamento",'Banco de Dados'!$AE1781&lt;&gt;"-","Faturado",'Banco de Dados'!$AD1781&lt;&gt;"-","Aguardando Pix",'Banco de Dados'!$AC1781&lt;&gt;"-","Pendente"),"Aguardando Liberação")</f>
        <v>Aguardando Liberação</v>
      </c>
      <c r="AH1781" s="5" t="str">
        <f>IF('Banco de Dados'!$F1781="-",_xlfn.CONCAT(PROPER(TEXT(AK1781,"aaaa"))," ",PROPER(TEXT(AK1781,"mm"))),_xlfn.CONCAT(PROPER(TEXT(E1781,"aaaa"))," ",PROPER(TEXT(E1781,"mm"))))</f>
        <v>2025 06</v>
      </c>
      <c r="AI1781" s="9" t="str">
        <f ca="1">IF('Banco de Dados'!$AK1781&lt;&gt;"-","REEMBOLSO",IFERROR(_xlfn.XLOOKUP(G1781,Follow[CODRASTREIO],Follow[STATUS]),"-"))</f>
        <v>ENTREGUE</v>
      </c>
      <c r="AJ1781" s="9">
        <f ca="1">IF('Banco de Dados'!$AI1781="ENTREGUE",_xlfn.XLOOKUP('Banco de Dados'!$G1781,Follow[CODRASTREIO],Follow[DATAATUALIZAÇÃO]),"-")</f>
        <v>45829</v>
      </c>
      <c r="AK1781" s="132" t="str">
        <f ca="1"/>
        <v>-</v>
      </c>
      <c r="AL1781" s="35"/>
      <c r="AM1781" s="109" cm="1">
        <f t="array" aca="1" ref="AM1781" ca="1">IF('Banco de Dados'!$AK1781&lt;&gt;"-",_xlfn.IFS('Banco de Dados'!$A1781="bv",IF('Banco de Dados'!$E1781&lt;45641,ROUND(SUM('Banco de Dados'!$R1781*_xlfn.XLOOKUP('Banco de Dados'!$P1781,Sku!B:B,Sku!#REF!)*20%),2),ROUND(SUM('Banco de Dados'!$R1781*_xlfn.XLOOKUP('Banco de Dados'!$P1781,Sku!B:B,Sku!H:H)*20%),2)),'Banco de Dados'!$A1781="GO",ROUND(_xlfn.XLOOKUP('Banco de Dados'!$P1781,Sku!C:C,Sku!H:H),2),'Banco de Dados'!$A1781="MEI",ROUND(_xlfn.XLOOKUP('Banco de Dados'!$P1781,Sku!D:D,Sku!H:H),2)),0)</f>
        <v>0</v>
      </c>
      <c r="AN1781" s="109">
        <v>0</v>
      </c>
      <c r="AO1781" s="109">
        <v>0</v>
      </c>
      <c r="AP1781" s="28">
        <f ca="1">IF('Banco de Dados'!$AK1781&lt;&gt;"-",IF('Banco de Dados'!$AL1781="NÃO",IFERROR(VALUE(SUBSTITUTE(_xlfn.TEXTAFTER('Banco de Dados'!$F1781,"BRL ",1),".",",")),0),0),0)</f>
        <v>0</v>
      </c>
      <c r="AQ1781" s="28">
        <f ca="1">SUM('Banco de Dados'!$AM1781:$AP1781)</f>
        <v>0</v>
      </c>
      <c r="AR1781" s="8"/>
      <c r="AS1781" s="8"/>
      <c r="AT1781"/>
      <c r="AY1781" s="8"/>
    </row>
    <row r="1782" spans="1:51">
      <c r="A1782" s="5" t="str">
        <v>BV</v>
      </c>
      <c r="B1782" s="5" t="str">
        <f ca="1"/>
        <v>BV45824</v>
      </c>
      <c r="C1782" s="8" t="str">
        <v>Pedido 1768</v>
      </c>
      <c r="D1782" s="187">
        <v>45821</v>
      </c>
      <c r="E1782" s="9">
        <v>45824</v>
      </c>
      <c r="F1782" s="2" t="str">
        <v>PedidoF1665</v>
      </c>
      <c r="G1782" s="2" t="str">
        <v>CódRastreio1663</v>
      </c>
      <c r="H1782" s="5">
        <v>1</v>
      </c>
      <c r="I1782" s="182" t="str">
        <v>CPF 1722</v>
      </c>
      <c r="J1782" s="2" t="str">
        <v>Nome 1722</v>
      </c>
      <c r="K1782" s="8" t="str">
        <v>Tel 1722</v>
      </c>
      <c r="L1782" s="8" t="str">
        <v>Cep 1722</v>
      </c>
      <c r="M1782" s="8" t="str">
        <v>Rua 1722</v>
      </c>
      <c r="N1782" s="8" t="str">
        <v>Comp 1722</v>
      </c>
      <c r="O1782" s="8" t="str">
        <v>Máquina de cortar cabelo dragão</v>
      </c>
      <c r="P1782" s="8" t="str">
        <v>HG-2FNR-01A9</v>
      </c>
      <c r="Q1782" s="4">
        <v>45849</v>
      </c>
      <c r="R1782" s="109">
        <v>23.79</v>
      </c>
      <c r="S1782" s="11">
        <f ca="1"/>
        <v>23.79</v>
      </c>
      <c r="T1782" s="28">
        <f ca="1"/>
        <v>2.8548</v>
      </c>
      <c r="U1782" s="11">
        <f ca="1"/>
        <v>20.94</v>
      </c>
      <c r="V1782" s="11">
        <v>15.11</v>
      </c>
      <c r="W1782" s="11">
        <f ca="1"/>
        <v>0.3</v>
      </c>
      <c r="X1782" s="11">
        <f ca="1"/>
        <v>0.39877104377104378</v>
      </c>
      <c r="Y1782" s="11">
        <v>0</v>
      </c>
      <c r="Z1782" s="11">
        <f ca="1"/>
        <v>5.1312289562289575</v>
      </c>
      <c r="AA1782" s="11">
        <f ca="1"/>
        <v>2.5656144781144787</v>
      </c>
      <c r="AB1782" s="4">
        <f ca="1"/>
        <v>45856</v>
      </c>
      <c r="AC1782" s="4">
        <v>45856</v>
      </c>
      <c r="AD1782" s="9">
        <v>45870</v>
      </c>
      <c r="AE1782" s="9">
        <v>45873</v>
      </c>
      <c r="AF1782" s="4" t="str">
        <f t="shared" ca="1" si="129"/>
        <v>2025 07</v>
      </c>
      <c r="AG1782" s="8" t="str" cm="1">
        <f t="array" ref="AG1782">IFERROR(_xlfn.IFS('Banco de Dados'!#REF!="AG. COMPRA","Em processamento",'Banco de Dados'!#REF!="AG. RASTREIO","Em processamento",'Banco de Dados'!$AE1782&lt;&gt;"-","Faturado",'Banco de Dados'!$AD1782&lt;&gt;"-","Aguardando Pix",'Banco de Dados'!$AC1782&lt;&gt;"-","Pendente"),"Aguardando Liberação")</f>
        <v>Aguardando Liberação</v>
      </c>
      <c r="AH1782" s="5" t="str">
        <f>IF('Banco de Dados'!$F1782="-",_xlfn.CONCAT(PROPER(TEXT(AK1782,"aaaa"))," ",PROPER(TEXT(AK1782,"mm"))),_xlfn.CONCAT(PROPER(TEXT(E1782,"aaaa"))," ",PROPER(TEXT(E1782,"mm"))))</f>
        <v>2025 06</v>
      </c>
      <c r="AI1782" s="9" t="str">
        <f ca="1">IF('Banco de Dados'!$AK1782&lt;&gt;"-","REEMBOLSO",IFERROR(_xlfn.XLOOKUP(G1782,Follow[CODRASTREIO],Follow[STATUS]),"-"))</f>
        <v>ENTREGUE</v>
      </c>
      <c r="AJ1782" s="9">
        <f ca="1">IF('Banco de Dados'!$AI1782="ENTREGUE",_xlfn.XLOOKUP('Banco de Dados'!$G1782,Follow[CODRASTREIO],Follow[DATAATUALIZAÇÃO]),"-")</f>
        <v>45831</v>
      </c>
      <c r="AK1782" s="132" t="str">
        <f ca="1"/>
        <v>-</v>
      </c>
      <c r="AL1782" s="35"/>
      <c r="AM1782" s="109" cm="1">
        <f t="array" aca="1" ref="AM1782" ca="1">IF('Banco de Dados'!$AK1782&lt;&gt;"-",_xlfn.IFS('Banco de Dados'!$A1782="bv",IF('Banco de Dados'!$E1782&lt;45641,ROUND(SUM('Banco de Dados'!$R1782*_xlfn.XLOOKUP('Banco de Dados'!$P1782,Sku!B:B,Sku!#REF!)*20%),2),ROUND(SUM('Banco de Dados'!$R1782*_xlfn.XLOOKUP('Banco de Dados'!$P1782,Sku!B:B,Sku!H:H)*20%),2)),'Banco de Dados'!$A1782="GO",ROUND(_xlfn.XLOOKUP('Banco de Dados'!$P1782,Sku!C:C,Sku!H:H),2),'Banco de Dados'!$A1782="MEI",ROUND(_xlfn.XLOOKUP('Banco de Dados'!$P1782,Sku!D:D,Sku!H:H),2)),0)</f>
        <v>0</v>
      </c>
      <c r="AN1782" s="109">
        <v>0</v>
      </c>
      <c r="AO1782" s="109">
        <v>0</v>
      </c>
      <c r="AP1782" s="28">
        <f ca="1">IF('Banco de Dados'!$AK1782&lt;&gt;"-",IF('Banco de Dados'!$AL1782="NÃO",IFERROR(VALUE(SUBSTITUTE(_xlfn.TEXTAFTER('Banco de Dados'!$F1782,"BRL ",1),".",",")),0),0),0)</f>
        <v>0</v>
      </c>
      <c r="AQ1782" s="28">
        <f ca="1">SUM('Banco de Dados'!$AM1782:$AP1782)</f>
        <v>0</v>
      </c>
      <c r="AR1782" s="8"/>
      <c r="AS1782" s="8"/>
      <c r="AT1782"/>
      <c r="AY1782" s="8"/>
    </row>
    <row r="1783" spans="1:51">
      <c r="A1783" s="5" t="str">
        <v>BV</v>
      </c>
      <c r="B1783" s="5" t="str">
        <f ca="1"/>
        <v>BV45826</v>
      </c>
      <c r="C1783" s="8" t="str">
        <v>Pedido 1769</v>
      </c>
      <c r="D1783" s="187">
        <v>45821</v>
      </c>
      <c r="E1783" s="9">
        <v>45826</v>
      </c>
      <c r="F1783" s="8" t="str">
        <v>PedidoF1666</v>
      </c>
      <c r="G1783" s="2" t="str">
        <v>CódRastreio1664</v>
      </c>
      <c r="H1783" s="5">
        <v>1</v>
      </c>
      <c r="I1783" s="182" t="str">
        <v>CPF 1726</v>
      </c>
      <c r="J1783" s="2" t="str">
        <v>Nome 1726</v>
      </c>
      <c r="K1783" s="8" t="str">
        <v>Tel 1726</v>
      </c>
      <c r="L1783" s="8" t="str">
        <v>Cep 1726</v>
      </c>
      <c r="M1783" s="8" t="str">
        <v>Rua 1726</v>
      </c>
      <c r="N1783" s="8" t="str">
        <v>Comp 1726</v>
      </c>
      <c r="O1783" s="8" t="str">
        <v>Máquina de cortar cabelo dragão</v>
      </c>
      <c r="P1783" s="8" t="str">
        <v>NQ-IMR8-W6Q4</v>
      </c>
      <c r="Q1783" s="4">
        <v>45856</v>
      </c>
      <c r="R1783" s="109">
        <v>25.99</v>
      </c>
      <c r="S1783" s="11">
        <f ca="1"/>
        <v>25.99</v>
      </c>
      <c r="T1783" s="28">
        <f ca="1"/>
        <v>3.1187999999999998</v>
      </c>
      <c r="U1783" s="11">
        <f ca="1"/>
        <v>22.87</v>
      </c>
      <c r="V1783" s="11">
        <v>10.210000000000001</v>
      </c>
      <c r="W1783" s="11">
        <f ca="1"/>
        <v>0.49</v>
      </c>
      <c r="X1783" s="11">
        <f ca="1"/>
        <v>0.39877104377104378</v>
      </c>
      <c r="Y1783" s="11">
        <v>0</v>
      </c>
      <c r="Z1783" s="11">
        <f ca="1"/>
        <v>11.771228956228956</v>
      </c>
      <c r="AA1783" s="11">
        <f ca="1"/>
        <v>5.8856144781144781</v>
      </c>
      <c r="AB1783" s="4">
        <f ca="1"/>
        <v>45863</v>
      </c>
      <c r="AC1783" s="4">
        <v>45863</v>
      </c>
      <c r="AD1783" s="9">
        <v>45870</v>
      </c>
      <c r="AE1783" s="9">
        <v>45873</v>
      </c>
      <c r="AF1783" s="4" t="str">
        <f t="shared" ref="AF1783:AF1798" ca="1" si="130">_xlfn.CONCAT(PROPER(TEXT(AB1783,"aaaa"))," ",PROPER(TEXT(AB1783,"mm")))</f>
        <v>2025 07</v>
      </c>
      <c r="AG1783" s="8" t="str" cm="1">
        <f t="array" ref="AG1783">IFERROR(_xlfn.IFS('Banco de Dados'!#REF!="AG. COMPRA","Em processamento",'Banco de Dados'!#REF!="AG. RASTREIO","Em processamento",'Banco de Dados'!$AE1783&lt;&gt;"-","Faturado",'Banco de Dados'!$AD1783&lt;&gt;"-","Aguardando Pix",'Banco de Dados'!$AC1783&lt;&gt;"-","Pendente"),"Aguardando Liberação")</f>
        <v>Aguardando Liberação</v>
      </c>
      <c r="AH1783" s="5" t="str">
        <f>IF('Banco de Dados'!$F1783="-",_xlfn.CONCAT(PROPER(TEXT(AK1783,"aaaa"))," ",PROPER(TEXT(AK1783,"mm"))),_xlfn.CONCAT(PROPER(TEXT(E1783,"aaaa"))," ",PROPER(TEXT(E1783,"mm"))))</f>
        <v>2025 06</v>
      </c>
      <c r="AI1783" s="9" t="str">
        <f ca="1">IF('Banco de Dados'!$AK1783&lt;&gt;"-","REEMBOLSO",IFERROR(_xlfn.XLOOKUP(G1783,Follow[CODRASTREIO],Follow[STATUS]),"-"))</f>
        <v>ENTREGUE</v>
      </c>
      <c r="AJ1783" s="9">
        <f ca="1">IF('Banco de Dados'!$AI1783="ENTREGUE",_xlfn.XLOOKUP('Banco de Dados'!$G1783,Follow[CODRASTREIO],Follow[DATAATUALIZAÇÃO]),"-")</f>
        <v>45838</v>
      </c>
      <c r="AK1783" s="132" t="str">
        <f ca="1"/>
        <v>-</v>
      </c>
      <c r="AL1783" s="35"/>
      <c r="AM1783" s="109" cm="1">
        <f t="array" aca="1" ref="AM1783" ca="1">IF('Banco de Dados'!$AK1783&lt;&gt;"-",_xlfn.IFS('Banco de Dados'!$A1783="bv",IF('Banco de Dados'!$E1783&lt;45641,ROUND(SUM('Banco de Dados'!$R1783*_xlfn.XLOOKUP('Banco de Dados'!$P1783,Sku!B:B,Sku!#REF!)*20%),2),ROUND(SUM('Banco de Dados'!$R1783*_xlfn.XLOOKUP('Banco de Dados'!$P1783,Sku!B:B,Sku!H:H)*20%),2)),'Banco de Dados'!$A1783="GO",ROUND(_xlfn.XLOOKUP('Banco de Dados'!$P1783,Sku!C:C,Sku!H:H),2),'Banco de Dados'!$A1783="MEI",ROUND(_xlfn.XLOOKUP('Banco de Dados'!$P1783,Sku!D:D,Sku!H:H),2)),0)</f>
        <v>0</v>
      </c>
      <c r="AN1783" s="109">
        <f ca="1">IF('Banco de Dados'!$AK1783&lt;&gt;"-",IF('Banco de Dados'!$F1783&lt;&gt;"-",_xlfn.XLOOKUP(IFERROR(IFERROR(IFERROR(VALUE(SUBSTITUTE(MID(_xlfn.TEXTAFTER('Banco de Dados'!$F1783,"Data do Pedido:
",1),1,10),"-","/")),VALUE(SUBSTITUTE(MID(_xlfn.TEXTAFTER('Banco de Dados'!$F1783,"Order date:
",1),1,10),"-","/"))),VALUE(SUBSTITUTE(MID(_xlfn.TEXTAFTER('Banco de Dados'!$F1783,"Fecha de pedido:
",1),1,10),"-","/"))),"-"),SMS!A:A,SMS!K:K),0),0)</f>
        <v>0</v>
      </c>
      <c r="AO1783" s="109">
        <f ca="1">IF('Banco de Dados'!$AK1783&lt;&gt;"-",IF('Banco de Dados'!$F1783&lt;&gt;"-",IFERROR(_xlfn.XLOOKUP(_xlfn.CONCAT('Banco de Dados'!$A1783,IFERROR(IFERROR(VALUE(SUBSTITUTE(MID(_xlfn.TEXTAFTER('Banco de Dados'!$F1783,"Data do Pedido:
",1),1,10),"-","/")),VALUE(SUBSTITUTE(MID(_xlfn.TEXTAFTER('Banco de Dados'!$F1783,"Order date:
",1),1,10),"-","/"))),0)),ProxyDD[Chave],ProxyDD[Valor por pedido]),PROXY!$P$2),0),0)</f>
        <v>0</v>
      </c>
      <c r="AP1783" s="28">
        <f ca="1">IF('Banco de Dados'!$AK1783&lt;&gt;"-",IF('Banco de Dados'!$AL1783="NÃO",IFERROR(VALUE(SUBSTITUTE(_xlfn.TEXTAFTER('Banco de Dados'!$F1783,"BRL ",1),".",",")),0),0),0)</f>
        <v>0</v>
      </c>
      <c r="AQ1783" s="28">
        <f ca="1">SUM('Banco de Dados'!$AM1783:$AP1783)</f>
        <v>0</v>
      </c>
      <c r="AR1783" s="8"/>
      <c r="AS1783" s="8"/>
      <c r="AT1783"/>
      <c r="AY1783" s="8"/>
    </row>
    <row r="1784" spans="1:51">
      <c r="A1784" s="5" t="str">
        <v>BV</v>
      </c>
      <c r="B1784" s="5" t="str">
        <f ca="1"/>
        <v>BV45826</v>
      </c>
      <c r="C1784" s="8" t="str">
        <v>Pedido 1770</v>
      </c>
      <c r="D1784" s="187">
        <v>45822</v>
      </c>
      <c r="E1784" s="9">
        <v>45826</v>
      </c>
      <c r="F1784" s="8" t="str">
        <v>PedidoF1667</v>
      </c>
      <c r="G1784" s="2" t="str">
        <v>CódRastreio1665</v>
      </c>
      <c r="H1784" s="5">
        <v>1</v>
      </c>
      <c r="I1784" s="182" t="str">
        <v>CPF 1727</v>
      </c>
      <c r="J1784" s="2" t="str">
        <v>Nome 1727</v>
      </c>
      <c r="K1784" s="8" t="str">
        <v>Tel 1727</v>
      </c>
      <c r="L1784" s="8" t="str">
        <v>Cep 1727</v>
      </c>
      <c r="M1784" s="8" t="str">
        <v>Rua 1727</v>
      </c>
      <c r="N1784" s="8" t="str">
        <v>Comp 1727</v>
      </c>
      <c r="O1784" s="8" t="str">
        <v>Máquina de cortar cabelo dragão</v>
      </c>
      <c r="P1784" s="8" t="str">
        <v>HG-2FNR-01A9</v>
      </c>
      <c r="Q1784" s="4">
        <v>45843</v>
      </c>
      <c r="R1784" s="109">
        <v>23.79</v>
      </c>
      <c r="S1784" s="11">
        <f ca="1"/>
        <v>23.79</v>
      </c>
      <c r="T1784" s="28">
        <f ca="1"/>
        <v>2.8548</v>
      </c>
      <c r="U1784" s="11">
        <f ca="1"/>
        <v>20.94</v>
      </c>
      <c r="V1784" s="11">
        <v>10.210000000000001</v>
      </c>
      <c r="W1784" s="11">
        <f ca="1"/>
        <v>0.49</v>
      </c>
      <c r="X1784" s="11">
        <f ca="1"/>
        <v>0.39877104377104378</v>
      </c>
      <c r="Y1784" s="11">
        <v>0</v>
      </c>
      <c r="Z1784" s="11">
        <f ca="1"/>
        <v>9.8412289562289565</v>
      </c>
      <c r="AA1784" s="11">
        <f ca="1"/>
        <v>4.9206144781144783</v>
      </c>
      <c r="AB1784" s="4">
        <f ca="1"/>
        <v>45850</v>
      </c>
      <c r="AC1784" s="4">
        <v>45850</v>
      </c>
      <c r="AD1784" s="9">
        <v>45853</v>
      </c>
      <c r="AE1784" s="9">
        <v>45873</v>
      </c>
      <c r="AF1784" s="4" t="str">
        <f t="shared" ca="1" si="130"/>
        <v>2025 07</v>
      </c>
      <c r="AG1784" s="8" t="str" cm="1">
        <f t="array" ref="AG1784">IFERROR(_xlfn.IFS('Banco de Dados'!#REF!="AG. COMPRA","Em processamento",'Banco de Dados'!#REF!="AG. RASTREIO","Em processamento",'Banco de Dados'!$AE1784&lt;&gt;"-","Faturado",'Banco de Dados'!$AD1784&lt;&gt;"-","Aguardando Pix",'Banco de Dados'!$AC1784&lt;&gt;"-","Pendente"),"Aguardando Liberação")</f>
        <v>Aguardando Liberação</v>
      </c>
      <c r="AH1784" s="5" t="str">
        <f>IF('Banco de Dados'!$F1784="-",_xlfn.CONCAT(PROPER(TEXT(AK1784,"aaaa"))," ",PROPER(TEXT(AK1784,"mm"))),_xlfn.CONCAT(PROPER(TEXT(E1784,"aaaa"))," ",PROPER(TEXT(E1784,"mm"))))</f>
        <v>2025 06</v>
      </c>
      <c r="AI1784" s="9" t="str">
        <f ca="1">IF('Banco de Dados'!$AK1784&lt;&gt;"-","REEMBOLSO",IFERROR(_xlfn.XLOOKUP(G1784,Follow[CODRASTREIO],Follow[STATUS]),"-"))</f>
        <v>ENTREGUE</v>
      </c>
      <c r="AJ1784" s="9">
        <f ca="1">IF('Banco de Dados'!$AI1784="ENTREGUE",_xlfn.XLOOKUP('Banco de Dados'!$G1784,Follow[CODRASTREIO],Follow[DATAATUALIZAÇÃO]),"-")</f>
        <v>45834</v>
      </c>
      <c r="AK1784" s="132" t="str">
        <f ca="1"/>
        <v>-</v>
      </c>
      <c r="AL1784" s="35"/>
      <c r="AM1784" s="109" cm="1">
        <f t="array" aca="1" ref="AM1784" ca="1">IF('Banco de Dados'!$AK1784&lt;&gt;"-",_xlfn.IFS('Banco de Dados'!$A1784="bv",IF('Banco de Dados'!$E1784&lt;45641,ROUND(SUM('Banco de Dados'!$R1784*_xlfn.XLOOKUP('Banco de Dados'!$P1784,Sku!B:B,Sku!#REF!)*20%),2),ROUND(SUM('Banco de Dados'!$R1784*_xlfn.XLOOKUP('Banco de Dados'!$P1784,Sku!B:B,Sku!H:H)*20%),2)),'Banco de Dados'!$A1784="GO",ROUND(_xlfn.XLOOKUP('Banco de Dados'!$P1784,Sku!C:C,Sku!H:H),2),'Banco de Dados'!$A1784="MEI",ROUND(_xlfn.XLOOKUP('Banco de Dados'!$P1784,Sku!D:D,Sku!H:H),2)),0)</f>
        <v>0</v>
      </c>
      <c r="AN1784" s="109">
        <f ca="1">IF('Banco de Dados'!$AK1784&lt;&gt;"-",IF('Banco de Dados'!$F1784&lt;&gt;"-",_xlfn.XLOOKUP(IFERROR(IFERROR(IFERROR(VALUE(SUBSTITUTE(MID(_xlfn.TEXTAFTER('Banco de Dados'!$F1784,"Data do Pedido:
",1),1,10),"-","/")),VALUE(SUBSTITUTE(MID(_xlfn.TEXTAFTER('Banco de Dados'!$F1784,"Order date:
",1),1,10),"-","/"))),VALUE(SUBSTITUTE(MID(_xlfn.TEXTAFTER('Banco de Dados'!$F1784,"Fecha de pedido:
",1),1,10),"-","/"))),"-"),SMS!A:A,SMS!K:K),0),0)</f>
        <v>0</v>
      </c>
      <c r="AO1784" s="109">
        <f ca="1">IF('Banco de Dados'!$AK1784&lt;&gt;"-",IF('Banco de Dados'!$F1784&lt;&gt;"-",IFERROR(_xlfn.XLOOKUP(_xlfn.CONCAT('Banco de Dados'!$A1784,IFERROR(IFERROR(VALUE(SUBSTITUTE(MID(_xlfn.TEXTAFTER('Banco de Dados'!$F1784,"Data do Pedido:
",1),1,10),"-","/")),VALUE(SUBSTITUTE(MID(_xlfn.TEXTAFTER('Banco de Dados'!$F1784,"Order date:
",1),1,10),"-","/"))),0)),ProxyDD[Chave],ProxyDD[Valor por pedido]),PROXY!$P$2),0),0)</f>
        <v>0</v>
      </c>
      <c r="AP1784" s="28">
        <f ca="1">IF('Banco de Dados'!$AK1784&lt;&gt;"-",IF('Banco de Dados'!$AL1784="NÃO",IFERROR(VALUE(SUBSTITUTE(_xlfn.TEXTAFTER('Banco de Dados'!$F1784,"BRL ",1),".",",")),0),0),0)</f>
        <v>0</v>
      </c>
      <c r="AQ1784" s="28">
        <f ca="1">SUM('Banco de Dados'!$AM1784:$AP1784)</f>
        <v>0</v>
      </c>
      <c r="AR1784" s="8"/>
      <c r="AS1784" s="8"/>
      <c r="AT1784"/>
      <c r="AY1784" s="8"/>
    </row>
    <row r="1785" spans="1:51">
      <c r="A1785" s="5" t="str">
        <v>BV</v>
      </c>
      <c r="B1785" s="5" t="str">
        <f ca="1"/>
        <v>BV45824</v>
      </c>
      <c r="C1785" s="8" t="str">
        <v>Pedido 1771</v>
      </c>
      <c r="D1785" s="187">
        <v>45822</v>
      </c>
      <c r="E1785" s="9">
        <v>45824</v>
      </c>
      <c r="F1785" s="2" t="str">
        <v>PedidoF1668</v>
      </c>
      <c r="G1785" s="2" t="str">
        <v>CódRastreio1666</v>
      </c>
      <c r="H1785" s="5">
        <v>1</v>
      </c>
      <c r="I1785" s="182" t="str">
        <v>CPF 1728</v>
      </c>
      <c r="J1785" s="2" t="str">
        <v>Nome 1728</v>
      </c>
      <c r="K1785" s="8" t="str">
        <v>Tel 1728</v>
      </c>
      <c r="L1785" s="8" t="str">
        <v>Cep 1728</v>
      </c>
      <c r="M1785" s="8" t="str">
        <v>Rua 1728</v>
      </c>
      <c r="N1785" s="8" t="str">
        <v>Comp 1728</v>
      </c>
      <c r="O1785" s="8" t="str">
        <v>Máquina de cortar cabelo dragão</v>
      </c>
      <c r="P1785" s="8" t="str">
        <v>HG-2FNR-01A9</v>
      </c>
      <c r="Q1785" s="4">
        <v>45849</v>
      </c>
      <c r="R1785" s="109">
        <v>23.79</v>
      </c>
      <c r="S1785" s="11">
        <f ca="1"/>
        <v>23.79</v>
      </c>
      <c r="T1785" s="28">
        <f ca="1"/>
        <v>2.8548</v>
      </c>
      <c r="U1785" s="11">
        <f ca="1"/>
        <v>20.94</v>
      </c>
      <c r="V1785" s="11">
        <v>14.9</v>
      </c>
      <c r="W1785" s="11">
        <f ca="1"/>
        <v>0.3</v>
      </c>
      <c r="X1785" s="11">
        <f ca="1"/>
        <v>0.39877104377104378</v>
      </c>
      <c r="Y1785" s="11">
        <v>0</v>
      </c>
      <c r="Z1785" s="11">
        <f ca="1"/>
        <v>5.3412289562289565</v>
      </c>
      <c r="AA1785" s="11">
        <f ca="1"/>
        <v>2.6706144781144783</v>
      </c>
      <c r="AB1785" s="4">
        <f ca="1"/>
        <v>45856</v>
      </c>
      <c r="AC1785" s="4">
        <v>45856</v>
      </c>
      <c r="AD1785" s="9">
        <v>45870</v>
      </c>
      <c r="AE1785" s="9">
        <v>45873</v>
      </c>
      <c r="AF1785" s="4" t="str">
        <f t="shared" ca="1" si="130"/>
        <v>2025 07</v>
      </c>
      <c r="AG1785" s="8" t="str" cm="1">
        <f t="array" ref="AG1785">IFERROR(_xlfn.IFS('Banco de Dados'!#REF!="AG. COMPRA","Em processamento",'Banco de Dados'!#REF!="AG. RASTREIO","Em processamento",'Banco de Dados'!$AE1785&lt;&gt;"-","Faturado",'Banco de Dados'!$AD1785&lt;&gt;"-","Aguardando Pix",'Banco de Dados'!$AC1785&lt;&gt;"-","Pendente"),"Aguardando Liberação")</f>
        <v>Aguardando Liberação</v>
      </c>
      <c r="AH1785" s="5" t="str">
        <f>IF('Banco de Dados'!$F1785="-",_xlfn.CONCAT(PROPER(TEXT(AK1785,"aaaa"))," ",PROPER(TEXT(AK1785,"mm"))),_xlfn.CONCAT(PROPER(TEXT(E1785,"aaaa"))," ",PROPER(TEXT(E1785,"mm"))))</f>
        <v>2025 06</v>
      </c>
      <c r="AI1785" s="9" t="str">
        <f ca="1">IF('Banco de Dados'!$AK1785&lt;&gt;"-","REEMBOLSO",IFERROR(_xlfn.XLOOKUP(G1785,Follow[CODRASTREIO],Follow[STATUS]),"-"))</f>
        <v>ENTREGUE</v>
      </c>
      <c r="AJ1785" s="9">
        <f ca="1">IF('Banco de Dados'!$AI1785="ENTREGUE",_xlfn.XLOOKUP('Banco de Dados'!$G1785,Follow[CODRASTREIO],Follow[DATAATUALIZAÇÃO]),"-")</f>
        <v>45834</v>
      </c>
      <c r="AK1785" s="132" t="str">
        <f ca="1"/>
        <v>-</v>
      </c>
      <c r="AL1785" s="35"/>
      <c r="AM1785" s="109" cm="1">
        <f t="array" aca="1" ref="AM1785" ca="1">IF('Banco de Dados'!$AK1785&lt;&gt;"-",_xlfn.IFS('Banco de Dados'!$A1785="bv",IF('Banco de Dados'!$E1785&lt;45641,ROUND(SUM('Banco de Dados'!$R1785*_xlfn.XLOOKUP('Banco de Dados'!$P1785,Sku!B:B,Sku!#REF!)*20%),2),ROUND(SUM('Banco de Dados'!$R1785*_xlfn.XLOOKUP('Banco de Dados'!$P1785,Sku!B:B,Sku!H:H)*20%),2)),'Banco de Dados'!$A1785="GO",ROUND(_xlfn.XLOOKUP('Banco de Dados'!$P1785,Sku!C:C,Sku!H:H),2),'Banco de Dados'!$A1785="MEI",ROUND(_xlfn.XLOOKUP('Banco de Dados'!$P1785,Sku!D:D,Sku!H:H),2)),0)</f>
        <v>0</v>
      </c>
      <c r="AN1785" s="109">
        <v>0</v>
      </c>
      <c r="AO1785" s="109">
        <v>0</v>
      </c>
      <c r="AP1785" s="28">
        <f ca="1">IF('Banco de Dados'!$AK1785&lt;&gt;"-",IF('Banco de Dados'!$AL1785="NÃO",IFERROR(VALUE(SUBSTITUTE(_xlfn.TEXTAFTER('Banco de Dados'!$F1785,"BRL ",1),".",",")),0),0),0)</f>
        <v>0</v>
      </c>
      <c r="AQ1785" s="28">
        <f ca="1">SUM('Banco de Dados'!$AM1785:$AP1785)</f>
        <v>0</v>
      </c>
      <c r="AR1785" s="8"/>
      <c r="AS1785" s="8"/>
      <c r="AT1785"/>
      <c r="AY1785" s="8"/>
    </row>
    <row r="1786" spans="1:51">
      <c r="A1786" s="5" t="str">
        <v>BV</v>
      </c>
      <c r="B1786" s="5" t="str">
        <f ca="1"/>
        <v>BV45826</v>
      </c>
      <c r="C1786" s="8" t="str">
        <v>Pedido 1772</v>
      </c>
      <c r="D1786" s="187">
        <v>45822</v>
      </c>
      <c r="E1786" s="9">
        <v>45826</v>
      </c>
      <c r="F1786" s="8" t="str">
        <v>PedidoF1669</v>
      </c>
      <c r="G1786" s="2" t="str">
        <v>CódRastreio1667</v>
      </c>
      <c r="H1786" s="5">
        <v>1</v>
      </c>
      <c r="I1786" s="182" t="str">
        <v>CPF 1729</v>
      </c>
      <c r="J1786" s="2" t="str">
        <v>Nome 1729</v>
      </c>
      <c r="K1786" s="8" t="str">
        <v>Tel 1729</v>
      </c>
      <c r="L1786" s="8" t="str">
        <v>Cep 1729</v>
      </c>
      <c r="M1786" s="8" t="str">
        <v>Rua 1729</v>
      </c>
      <c r="N1786" s="8" t="str">
        <v>Comp 1729</v>
      </c>
      <c r="O1786" s="8" t="str">
        <v>Máquina de cortar cabelo dragão</v>
      </c>
      <c r="P1786" s="8" t="str">
        <v>HG-2FNR-01A9</v>
      </c>
      <c r="Q1786" s="4">
        <v>45849</v>
      </c>
      <c r="R1786" s="109">
        <v>23.79</v>
      </c>
      <c r="S1786" s="11">
        <f ca="1"/>
        <v>23.79</v>
      </c>
      <c r="T1786" s="28">
        <f ca="1"/>
        <v>2.8548</v>
      </c>
      <c r="U1786" s="11">
        <f ca="1"/>
        <v>20.94</v>
      </c>
      <c r="V1786" s="11">
        <v>10.210000000000001</v>
      </c>
      <c r="W1786" s="11">
        <f ca="1"/>
        <v>0.49</v>
      </c>
      <c r="X1786" s="11">
        <f ca="1"/>
        <v>0.39877104377104378</v>
      </c>
      <c r="Y1786" s="11">
        <v>0</v>
      </c>
      <c r="Z1786" s="11">
        <f ca="1"/>
        <v>9.8412289562289565</v>
      </c>
      <c r="AA1786" s="11">
        <f ca="1"/>
        <v>4.9206144781144783</v>
      </c>
      <c r="AB1786" s="4">
        <f ca="1"/>
        <v>45856</v>
      </c>
      <c r="AC1786" s="4">
        <v>45856</v>
      </c>
      <c r="AD1786" s="9">
        <v>45870</v>
      </c>
      <c r="AE1786" s="9">
        <v>45873</v>
      </c>
      <c r="AF1786" s="4" t="str">
        <f t="shared" ca="1" si="130"/>
        <v>2025 07</v>
      </c>
      <c r="AG1786" s="8" t="str" cm="1">
        <f t="array" ref="AG1786">IFERROR(_xlfn.IFS('Banco de Dados'!#REF!="AG. COMPRA","Em processamento",'Banco de Dados'!#REF!="AG. RASTREIO","Em processamento",'Banco de Dados'!$AE1786&lt;&gt;"-","Faturado",'Banco de Dados'!$AD1786&lt;&gt;"-","Aguardando Pix",'Banco de Dados'!$AC1786&lt;&gt;"-","Pendente"),"Aguardando Liberação")</f>
        <v>Aguardando Liberação</v>
      </c>
      <c r="AH1786" s="5" t="str">
        <f>IF('Banco de Dados'!$F1786="-",_xlfn.CONCAT(PROPER(TEXT(AK1786,"aaaa"))," ",PROPER(TEXT(AK1786,"mm"))),_xlfn.CONCAT(PROPER(TEXT(E1786,"aaaa"))," ",PROPER(TEXT(E1786,"mm"))))</f>
        <v>2025 06</v>
      </c>
      <c r="AI1786" s="9" t="str">
        <f ca="1">IF('Banco de Dados'!$AK1786&lt;&gt;"-","REEMBOLSO",IFERROR(_xlfn.XLOOKUP(G1786,Follow[CODRASTREIO],Follow[STATUS]),"-"))</f>
        <v>ENTREGUE</v>
      </c>
      <c r="AJ1786" s="9">
        <f ca="1">IF('Banco de Dados'!$AI1786="ENTREGUE",_xlfn.XLOOKUP('Banco de Dados'!$G1786,Follow[CODRASTREIO],Follow[DATAATUALIZAÇÃO]),"-")</f>
        <v>45835</v>
      </c>
      <c r="AK1786" s="132" t="str">
        <f ca="1"/>
        <v>-</v>
      </c>
      <c r="AL1786" s="35"/>
      <c r="AM1786" s="109" cm="1">
        <f t="array" aca="1" ref="AM1786" ca="1">IF('Banco de Dados'!$AK1786&lt;&gt;"-",_xlfn.IFS('Banco de Dados'!$A1786="bv",IF('Banco de Dados'!$E1786&lt;45641,ROUND(SUM('Banco de Dados'!$R1786*_xlfn.XLOOKUP('Banco de Dados'!$P1786,Sku!B:B,Sku!#REF!)*20%),2),ROUND(SUM('Banco de Dados'!$R1786*_xlfn.XLOOKUP('Banco de Dados'!$P1786,Sku!B:B,Sku!H:H)*20%),2)),'Banco de Dados'!$A1786="GO",ROUND(_xlfn.XLOOKUP('Banco de Dados'!$P1786,Sku!C:C,Sku!H:H),2),'Banco de Dados'!$A1786="MEI",ROUND(_xlfn.XLOOKUP('Banco de Dados'!$P1786,Sku!D:D,Sku!H:H),2)),0)</f>
        <v>0</v>
      </c>
      <c r="AN1786" s="109">
        <f ca="1">IF('Banco de Dados'!$AK1786&lt;&gt;"-",IF('Banco de Dados'!$F1786&lt;&gt;"-",_xlfn.XLOOKUP(IFERROR(IFERROR(IFERROR(VALUE(SUBSTITUTE(MID(_xlfn.TEXTAFTER('Banco de Dados'!$F1786,"Data do Pedido:
",1),1,10),"-","/")),VALUE(SUBSTITUTE(MID(_xlfn.TEXTAFTER('Banco de Dados'!$F1786,"Order date:
",1),1,10),"-","/"))),VALUE(SUBSTITUTE(MID(_xlfn.TEXTAFTER('Banco de Dados'!$F1786,"Fecha de pedido:
",1),1,10),"-","/"))),"-"),SMS!A:A,SMS!K:K),0),0)</f>
        <v>0</v>
      </c>
      <c r="AO1786" s="109">
        <f ca="1">IF('Banco de Dados'!$AK1786&lt;&gt;"-",IF('Banco de Dados'!$F1786&lt;&gt;"-",IFERROR(_xlfn.XLOOKUP(_xlfn.CONCAT('Banco de Dados'!$A1786,IFERROR(IFERROR(VALUE(SUBSTITUTE(MID(_xlfn.TEXTAFTER('Banco de Dados'!$F1786,"Data do Pedido:
",1),1,10),"-","/")),VALUE(SUBSTITUTE(MID(_xlfn.TEXTAFTER('Banco de Dados'!$F1786,"Order date:
",1),1,10),"-","/"))),0)),ProxyDD[Chave],ProxyDD[Valor por pedido]),PROXY!$P$2),0),0)</f>
        <v>0</v>
      </c>
      <c r="AP1786" s="28">
        <f ca="1">IF('Banco de Dados'!$AK1786&lt;&gt;"-",IF('Banco de Dados'!$AL1786="NÃO",IFERROR(VALUE(SUBSTITUTE(_xlfn.TEXTAFTER('Banco de Dados'!$F1786,"BRL ",1),".",",")),0),0),0)</f>
        <v>0</v>
      </c>
      <c r="AQ1786" s="28">
        <f ca="1">SUM('Banco de Dados'!$AM1786:$AP1786)</f>
        <v>0</v>
      </c>
      <c r="AR1786" s="8"/>
      <c r="AS1786" s="8"/>
      <c r="AT1786"/>
      <c r="AY1786" s="8"/>
    </row>
    <row r="1787" spans="1:51">
      <c r="A1787" s="5" t="str">
        <v>BV</v>
      </c>
      <c r="B1787" s="5" t="str">
        <f ca="1"/>
        <v>BV45824</v>
      </c>
      <c r="C1787" s="8" t="str">
        <v>Pedido 1773</v>
      </c>
      <c r="D1787" s="187">
        <v>45823</v>
      </c>
      <c r="E1787" s="9">
        <v>45824</v>
      </c>
      <c r="F1787" s="2" t="str">
        <v>PedidoF1670</v>
      </c>
      <c r="G1787" s="2" t="str">
        <v>CódRastreio1668</v>
      </c>
      <c r="H1787" s="5">
        <v>1</v>
      </c>
      <c r="I1787" s="182" t="str">
        <v>CPF 1730</v>
      </c>
      <c r="J1787" s="2" t="str">
        <v>Nome 1730</v>
      </c>
      <c r="K1787" s="8" t="str">
        <v>Tel 1730</v>
      </c>
      <c r="L1787" s="8" t="str">
        <v>Cep 1730</v>
      </c>
      <c r="M1787" s="8" t="str">
        <v>Rua 1730</v>
      </c>
      <c r="N1787" s="8" t="str">
        <v>Comp 1730</v>
      </c>
      <c r="O1787" s="8" t="str">
        <v>Máquina de cortar cabelo dragão</v>
      </c>
      <c r="P1787" s="8" t="str">
        <v>HG-2FNR-01A9</v>
      </c>
      <c r="Q1787" s="4">
        <v>45849</v>
      </c>
      <c r="R1787" s="109">
        <v>23.79</v>
      </c>
      <c r="S1787" s="11">
        <f ca="1"/>
        <v>23.79</v>
      </c>
      <c r="T1787" s="28">
        <f ca="1"/>
        <v>2.8548</v>
      </c>
      <c r="U1787" s="11">
        <f ca="1"/>
        <v>20.94</v>
      </c>
      <c r="V1787" s="11">
        <v>14.9</v>
      </c>
      <c r="W1787" s="11">
        <f ca="1"/>
        <v>0.3</v>
      </c>
      <c r="X1787" s="11">
        <f ca="1"/>
        <v>0.39877104377104378</v>
      </c>
      <c r="Y1787" s="11">
        <v>0</v>
      </c>
      <c r="Z1787" s="11">
        <f ca="1"/>
        <v>5.3412289562289565</v>
      </c>
      <c r="AA1787" s="11">
        <f ca="1"/>
        <v>2.6706144781144783</v>
      </c>
      <c r="AB1787" s="4">
        <f ca="1"/>
        <v>45856</v>
      </c>
      <c r="AC1787" s="4">
        <v>45856</v>
      </c>
      <c r="AD1787" s="9">
        <v>45870</v>
      </c>
      <c r="AE1787" s="9">
        <v>45873</v>
      </c>
      <c r="AF1787" s="4" t="str">
        <f t="shared" ca="1" si="130"/>
        <v>2025 07</v>
      </c>
      <c r="AG1787" s="8" t="str" cm="1">
        <f t="array" ref="AG1787">IFERROR(_xlfn.IFS('Banco de Dados'!#REF!="AG. COMPRA","Em processamento",'Banco de Dados'!#REF!="AG. RASTREIO","Em processamento",'Banco de Dados'!$AE1787&lt;&gt;"-","Faturado",'Banco de Dados'!$AD1787&lt;&gt;"-","Aguardando Pix",'Banco de Dados'!$AC1787&lt;&gt;"-","Pendente"),"Aguardando Liberação")</f>
        <v>Aguardando Liberação</v>
      </c>
      <c r="AH1787" s="5" t="str">
        <f>IF('Banco de Dados'!$F1787="-",_xlfn.CONCAT(PROPER(TEXT(AK1787,"aaaa"))," ",PROPER(TEXT(AK1787,"mm"))),_xlfn.CONCAT(PROPER(TEXT(E1787,"aaaa"))," ",PROPER(TEXT(E1787,"mm"))))</f>
        <v>2025 06</v>
      </c>
      <c r="AI1787" s="9" t="str">
        <f ca="1">IF('Banco de Dados'!$AK1787&lt;&gt;"-","REEMBOLSO",IFERROR(_xlfn.XLOOKUP(G1787,Follow[CODRASTREIO],Follow[STATUS]),"-"))</f>
        <v>ENTREGUE</v>
      </c>
      <c r="AJ1787" s="9">
        <f ca="1">IF('Banco de Dados'!$AI1787="ENTREGUE",_xlfn.XLOOKUP('Banco de Dados'!$G1787,Follow[CODRASTREIO],Follow[DATAATUALIZAÇÃO]),"-")</f>
        <v>45831</v>
      </c>
      <c r="AK1787" s="132" t="str">
        <f ca="1"/>
        <v>-</v>
      </c>
      <c r="AL1787" s="35"/>
      <c r="AM1787" s="109" cm="1">
        <f t="array" aca="1" ref="AM1787" ca="1">IF('Banco de Dados'!$AK1787&lt;&gt;"-",_xlfn.IFS('Banco de Dados'!$A1787="bv",IF('Banco de Dados'!$E1787&lt;45641,ROUND(SUM('Banco de Dados'!$R1787*_xlfn.XLOOKUP('Banco de Dados'!$P1787,Sku!B:B,Sku!#REF!)*20%),2),ROUND(SUM('Banco de Dados'!$R1787*_xlfn.XLOOKUP('Banco de Dados'!$P1787,Sku!B:B,Sku!H:H)*20%),2)),'Banco de Dados'!$A1787="GO",ROUND(_xlfn.XLOOKUP('Banco de Dados'!$P1787,Sku!C:C,Sku!H:H),2),'Banco de Dados'!$A1787="MEI",ROUND(_xlfn.XLOOKUP('Banco de Dados'!$P1787,Sku!D:D,Sku!H:H),2)),0)</f>
        <v>0</v>
      </c>
      <c r="AN1787" s="109">
        <v>0</v>
      </c>
      <c r="AO1787" s="109">
        <v>0</v>
      </c>
      <c r="AP1787" s="28">
        <f ca="1">IF('Banco de Dados'!$AK1787&lt;&gt;"-",IF('Banco de Dados'!$AL1787="NÃO",IFERROR(VALUE(SUBSTITUTE(_xlfn.TEXTAFTER('Banco de Dados'!$F1787,"BRL ",1),".",",")),0),0),0)</f>
        <v>0</v>
      </c>
      <c r="AQ1787" s="28">
        <f ca="1">SUM('Banco de Dados'!$AM1787:$AP1787)</f>
        <v>0</v>
      </c>
      <c r="AR1787" s="8"/>
      <c r="AS1787" s="8"/>
      <c r="AT1787"/>
      <c r="AY1787" s="8"/>
    </row>
    <row r="1788" spans="1:51">
      <c r="A1788" s="5" t="str">
        <v>BV</v>
      </c>
      <c r="B1788" s="5" t="str">
        <f ca="1"/>
        <v>BV45826</v>
      </c>
      <c r="C1788" s="8" t="str">
        <v>Pedido 1774</v>
      </c>
      <c r="D1788" s="187">
        <v>45824</v>
      </c>
      <c r="E1788" s="9">
        <v>45826</v>
      </c>
      <c r="F1788" s="8" t="str">
        <v>PedidoF1671</v>
      </c>
      <c r="G1788" s="2" t="str">
        <v>CódRastreio1669</v>
      </c>
      <c r="H1788" s="5">
        <v>1</v>
      </c>
      <c r="I1788" s="182" t="str">
        <v>CPF 1731</v>
      </c>
      <c r="J1788" s="2" t="str">
        <v>Nome 1731</v>
      </c>
      <c r="K1788" s="8" t="str">
        <v>Tel 1731</v>
      </c>
      <c r="L1788" s="8" t="str">
        <v>Cep 1731</v>
      </c>
      <c r="M1788" s="8" t="str">
        <v>Rua 1731</v>
      </c>
      <c r="N1788" s="8" t="str">
        <v>Comp 1731</v>
      </c>
      <c r="O1788" s="8" t="str">
        <v>Máquina de cortar cabelo dragão</v>
      </c>
      <c r="P1788" s="8" t="str">
        <v>HG-2FNR-01A9</v>
      </c>
      <c r="Q1788" s="4">
        <v>45843</v>
      </c>
      <c r="R1788" s="109">
        <v>23.79</v>
      </c>
      <c r="S1788" s="11">
        <f ca="1"/>
        <v>23.79</v>
      </c>
      <c r="T1788" s="28">
        <f ca="1"/>
        <v>2.8548</v>
      </c>
      <c r="U1788" s="11">
        <f ca="1"/>
        <v>20.94</v>
      </c>
      <c r="V1788" s="11">
        <v>10.210000000000001</v>
      </c>
      <c r="W1788" s="11">
        <f ca="1"/>
        <v>0.49</v>
      </c>
      <c r="X1788" s="11">
        <f ca="1"/>
        <v>0.39877104377104378</v>
      </c>
      <c r="Y1788" s="11">
        <v>0</v>
      </c>
      <c r="Z1788" s="11">
        <f ca="1"/>
        <v>9.8412289562289565</v>
      </c>
      <c r="AA1788" s="11">
        <f ca="1"/>
        <v>4.9206144781144783</v>
      </c>
      <c r="AB1788" s="4">
        <f ca="1"/>
        <v>45850</v>
      </c>
      <c r="AC1788" s="4">
        <v>45850</v>
      </c>
      <c r="AD1788" s="9">
        <v>45853</v>
      </c>
      <c r="AE1788" s="9">
        <v>45873</v>
      </c>
      <c r="AF1788" s="4" t="str">
        <f t="shared" ca="1" si="130"/>
        <v>2025 07</v>
      </c>
      <c r="AG1788" s="8" t="str" cm="1">
        <f t="array" ref="AG1788">IFERROR(_xlfn.IFS('Banco de Dados'!#REF!="AG. COMPRA","Em processamento",'Banco de Dados'!#REF!="AG. RASTREIO","Em processamento",'Banco de Dados'!$AE1788&lt;&gt;"-","Faturado",'Banco de Dados'!$AD1788&lt;&gt;"-","Aguardando Pix",'Banco de Dados'!$AC1788&lt;&gt;"-","Pendente"),"Aguardando Liberação")</f>
        <v>Aguardando Liberação</v>
      </c>
      <c r="AH1788" s="5" t="str">
        <f>IF('Banco de Dados'!$F1788="-",_xlfn.CONCAT(PROPER(TEXT(AK1788,"aaaa"))," ",PROPER(TEXT(AK1788,"mm"))),_xlfn.CONCAT(PROPER(TEXT(E1788,"aaaa"))," ",PROPER(TEXT(E1788,"mm"))))</f>
        <v>2025 06</v>
      </c>
      <c r="AI1788" s="9" t="str">
        <f ca="1">IF('Banco de Dados'!$AK1788&lt;&gt;"-","REEMBOLSO",IFERROR(_xlfn.XLOOKUP(G1788,Follow[CODRASTREIO],Follow[STATUS]),"-"))</f>
        <v>ENTREGUE</v>
      </c>
      <c r="AJ1788" s="9">
        <f ca="1">IF('Banco de Dados'!$AI1788="ENTREGUE",_xlfn.XLOOKUP('Banco de Dados'!$G1788,Follow[CODRASTREIO],Follow[DATAATUALIZAÇÃO]),"-")</f>
        <v>45838</v>
      </c>
      <c r="AK1788" s="132" t="str">
        <f ca="1"/>
        <v>-</v>
      </c>
      <c r="AL1788" s="35"/>
      <c r="AM1788" s="109" cm="1">
        <f t="array" aca="1" ref="AM1788" ca="1">IF('Banco de Dados'!$AK1788&lt;&gt;"-",_xlfn.IFS('Banco de Dados'!$A1788="bv",IF('Banco de Dados'!$E1788&lt;45641,ROUND(SUM('Banco de Dados'!$R1788*_xlfn.XLOOKUP('Banco de Dados'!$P1788,Sku!B:B,Sku!#REF!)*20%),2),ROUND(SUM('Banco de Dados'!$R1788*_xlfn.XLOOKUP('Banco de Dados'!$P1788,Sku!B:B,Sku!H:H)*20%),2)),'Banco de Dados'!$A1788="GO",ROUND(_xlfn.XLOOKUP('Banco de Dados'!$P1788,Sku!C:C,Sku!H:H),2),'Banco de Dados'!$A1788="MEI",ROUND(_xlfn.XLOOKUP('Banco de Dados'!$P1788,Sku!D:D,Sku!H:H),2)),0)</f>
        <v>0</v>
      </c>
      <c r="AN1788" s="109">
        <f ca="1">IF('Banco de Dados'!$AK1788&lt;&gt;"-",IF('Banco de Dados'!$F1788&lt;&gt;"-",_xlfn.XLOOKUP(IFERROR(IFERROR(IFERROR(VALUE(SUBSTITUTE(MID(_xlfn.TEXTAFTER('Banco de Dados'!$F1788,"Data do Pedido:
",1),1,10),"-","/")),VALUE(SUBSTITUTE(MID(_xlfn.TEXTAFTER('Banco de Dados'!$F1788,"Order date:
",1),1,10),"-","/"))),VALUE(SUBSTITUTE(MID(_xlfn.TEXTAFTER('Banco de Dados'!$F1788,"Fecha de pedido:
",1),1,10),"-","/"))),"-"),SMS!A:A,SMS!K:K),0),0)</f>
        <v>0</v>
      </c>
      <c r="AO1788" s="109">
        <f ca="1">IF('Banco de Dados'!$AK1788&lt;&gt;"-",IF('Banco de Dados'!$F1788&lt;&gt;"-",IFERROR(_xlfn.XLOOKUP(_xlfn.CONCAT('Banco de Dados'!$A1788,IFERROR(IFERROR(VALUE(SUBSTITUTE(MID(_xlfn.TEXTAFTER('Banco de Dados'!$F1788,"Data do Pedido:
",1),1,10),"-","/")),VALUE(SUBSTITUTE(MID(_xlfn.TEXTAFTER('Banco de Dados'!$F1788,"Order date:
",1),1,10),"-","/"))),0)),ProxyDD[Chave],ProxyDD[Valor por pedido]),PROXY!$P$2),0),0)</f>
        <v>0</v>
      </c>
      <c r="AP1788" s="28">
        <f ca="1">IF('Banco de Dados'!$AK1788&lt;&gt;"-",IF('Banco de Dados'!$AL1788="NÃO",IFERROR(VALUE(SUBSTITUTE(_xlfn.TEXTAFTER('Banco de Dados'!$F1788,"BRL ",1),".",",")),0),0),0)</f>
        <v>0</v>
      </c>
      <c r="AQ1788" s="28">
        <f ca="1">SUM('Banco de Dados'!$AM1788:$AP1788)</f>
        <v>0</v>
      </c>
      <c r="AR1788" s="8"/>
      <c r="AS1788" s="8"/>
      <c r="AT1788"/>
      <c r="AY1788" s="8"/>
    </row>
    <row r="1789" spans="1:51">
      <c r="A1789" s="5" t="str">
        <v>BV</v>
      </c>
      <c r="B1789" s="5" t="str">
        <f ca="1"/>
        <v>BV45826</v>
      </c>
      <c r="C1789" s="8" t="str">
        <v>Pedido 1775</v>
      </c>
      <c r="D1789" s="187">
        <v>45824</v>
      </c>
      <c r="E1789" s="9">
        <v>45826</v>
      </c>
      <c r="F1789" s="8" t="str">
        <v>PedidoF1672</v>
      </c>
      <c r="G1789" s="2" t="str">
        <v>CódRastreio1670</v>
      </c>
      <c r="H1789" s="5">
        <v>1</v>
      </c>
      <c r="I1789" s="182" t="str">
        <v>CPF 1732</v>
      </c>
      <c r="J1789" s="2" t="str">
        <v>Nome 1732</v>
      </c>
      <c r="K1789" s="8" t="str">
        <v>Tel 1732</v>
      </c>
      <c r="L1789" s="8" t="str">
        <v>Cep 1732</v>
      </c>
      <c r="M1789" s="8" t="str">
        <v>Rua 1732</v>
      </c>
      <c r="N1789" s="8" t="str">
        <v>Comp 1732</v>
      </c>
      <c r="O1789" s="8" t="str">
        <v>Máquina de cortar cabelo dragão</v>
      </c>
      <c r="P1789" s="8" t="str">
        <v>NQ-IMR8-W6Q4</v>
      </c>
      <c r="Q1789" s="4">
        <v>45856</v>
      </c>
      <c r="R1789" s="109">
        <v>25.99</v>
      </c>
      <c r="S1789" s="11">
        <f ca="1"/>
        <v>25.99</v>
      </c>
      <c r="T1789" s="28">
        <f ca="1"/>
        <v>3.1187999999999998</v>
      </c>
      <c r="U1789" s="11">
        <f ca="1"/>
        <v>22.87</v>
      </c>
      <c r="V1789" s="11">
        <v>10.56</v>
      </c>
      <c r="W1789" s="11">
        <f ca="1"/>
        <v>0.49</v>
      </c>
      <c r="X1789" s="11">
        <f ca="1"/>
        <v>0.39877104377104378</v>
      </c>
      <c r="Y1789" s="11">
        <v>0</v>
      </c>
      <c r="Z1789" s="11">
        <f ca="1"/>
        <v>11.421228956228957</v>
      </c>
      <c r="AA1789" s="11">
        <f ca="1"/>
        <v>5.7106144781144783</v>
      </c>
      <c r="AB1789" s="4">
        <f ca="1"/>
        <v>45863</v>
      </c>
      <c r="AC1789" s="4">
        <v>45863</v>
      </c>
      <c r="AD1789" s="9">
        <v>45870</v>
      </c>
      <c r="AE1789" s="9">
        <v>45873</v>
      </c>
      <c r="AF1789" s="4" t="str">
        <f t="shared" ca="1" si="130"/>
        <v>2025 07</v>
      </c>
      <c r="AG1789" s="8" t="str" cm="1">
        <f t="array" ref="AG1789">IFERROR(_xlfn.IFS('Banco de Dados'!#REF!="AG. COMPRA","Em processamento",'Banco de Dados'!#REF!="AG. RASTREIO","Em processamento",'Banco de Dados'!$AE1789&lt;&gt;"-","Faturado",'Banco de Dados'!$AD1789&lt;&gt;"-","Aguardando Pix",'Banco de Dados'!$AC1789&lt;&gt;"-","Pendente"),"Aguardando Liberação")</f>
        <v>Aguardando Liberação</v>
      </c>
      <c r="AH1789" s="5" t="str">
        <f>IF('Banco de Dados'!$F1789="-",_xlfn.CONCAT(PROPER(TEXT(AK1789,"aaaa"))," ",PROPER(TEXT(AK1789,"mm"))),_xlfn.CONCAT(PROPER(TEXT(E1789,"aaaa"))," ",PROPER(TEXT(E1789,"mm"))))</f>
        <v>2025 06</v>
      </c>
      <c r="AI1789" s="9" t="str">
        <f ca="1">IF('Banco de Dados'!$AK1789&lt;&gt;"-","REEMBOLSO",IFERROR(_xlfn.XLOOKUP(G1789,Follow[CODRASTREIO],Follow[STATUS]),"-"))</f>
        <v>ENTREGUE</v>
      </c>
      <c r="AJ1789" s="9">
        <f ca="1">IF('Banco de Dados'!$AI1789="ENTREGUE",_xlfn.XLOOKUP('Banco de Dados'!$G1789,Follow[CODRASTREIO],Follow[DATAATUALIZAÇÃO]),"-")</f>
        <v>45845</v>
      </c>
      <c r="AK1789" s="132" t="str">
        <f ca="1"/>
        <v>-</v>
      </c>
      <c r="AL1789" s="35"/>
      <c r="AM1789" s="109" cm="1">
        <f t="array" aca="1" ref="AM1789" ca="1">IF('Banco de Dados'!$AK1789&lt;&gt;"-",_xlfn.IFS('Banco de Dados'!$A1789="bv",IF('Banco de Dados'!$E1789&lt;45641,ROUND(SUM('Banco de Dados'!$R1789*_xlfn.XLOOKUP('Banco de Dados'!$P1789,Sku!B:B,Sku!#REF!)*20%),2),ROUND(SUM('Banco de Dados'!$R1789*_xlfn.XLOOKUP('Banco de Dados'!$P1789,Sku!B:B,Sku!H:H)*20%),2)),'Banco de Dados'!$A1789="GO",ROUND(_xlfn.XLOOKUP('Banco de Dados'!$P1789,Sku!C:C,Sku!H:H),2),'Banco de Dados'!$A1789="MEI",ROUND(_xlfn.XLOOKUP('Banco de Dados'!$P1789,Sku!D:D,Sku!H:H),2)),0)</f>
        <v>0</v>
      </c>
      <c r="AN1789" s="109">
        <f ca="1">IF('Banco de Dados'!$AK1789&lt;&gt;"-",IF('Banco de Dados'!$F1789&lt;&gt;"-",_xlfn.XLOOKUP(IFERROR(IFERROR(IFERROR(VALUE(SUBSTITUTE(MID(_xlfn.TEXTAFTER('Banco de Dados'!$F1789,"Data do Pedido:
",1),1,10),"-","/")),VALUE(SUBSTITUTE(MID(_xlfn.TEXTAFTER('Banco de Dados'!$F1789,"Order date:
",1),1,10),"-","/"))),VALUE(SUBSTITUTE(MID(_xlfn.TEXTAFTER('Banco de Dados'!$F1789,"Fecha de pedido:
",1),1,10),"-","/"))),"-"),SMS!A:A,SMS!K:K),0),0)</f>
        <v>0</v>
      </c>
      <c r="AO1789" s="109">
        <f ca="1">IF('Banco de Dados'!$AK1789&lt;&gt;"-",IF('Banco de Dados'!$F1789&lt;&gt;"-",IFERROR(_xlfn.XLOOKUP(_xlfn.CONCAT('Banco de Dados'!$A1789,IFERROR(IFERROR(VALUE(SUBSTITUTE(MID(_xlfn.TEXTAFTER('Banco de Dados'!$F1789,"Data do Pedido:
",1),1,10),"-","/")),VALUE(SUBSTITUTE(MID(_xlfn.TEXTAFTER('Banco de Dados'!$F1789,"Order date:
",1),1,10),"-","/"))),0)),ProxyDD[Chave],ProxyDD[Valor por pedido]),PROXY!$P$2),0),0)</f>
        <v>0</v>
      </c>
      <c r="AP1789" s="28">
        <f ca="1">IF('Banco de Dados'!$AK1789&lt;&gt;"-",IF('Banco de Dados'!$AL1789="NÃO",IFERROR(VALUE(SUBSTITUTE(_xlfn.TEXTAFTER('Banco de Dados'!$F1789,"BRL ",1),".",",")),0),0),0)</f>
        <v>0</v>
      </c>
      <c r="AQ1789" s="28">
        <f ca="1">SUM('Banco de Dados'!$AM1789:$AP1789)</f>
        <v>0</v>
      </c>
      <c r="AR1789" s="8"/>
      <c r="AS1789" s="8"/>
      <c r="AT1789"/>
      <c r="AY1789" s="8"/>
    </row>
    <row r="1790" spans="1:51">
      <c r="A1790" s="5" t="str">
        <v>BV</v>
      </c>
      <c r="B1790" s="5" t="str">
        <f ca="1"/>
        <v>BV45826</v>
      </c>
      <c r="C1790" s="8" t="str">
        <v>Pedido 1776</v>
      </c>
      <c r="D1790" s="187">
        <v>45823</v>
      </c>
      <c r="E1790" s="9">
        <v>45826</v>
      </c>
      <c r="F1790" s="8" t="str">
        <v>PedidoF1673</v>
      </c>
      <c r="G1790" s="2" t="str">
        <v>CódRastreio1671</v>
      </c>
      <c r="H1790" s="5">
        <v>1</v>
      </c>
      <c r="I1790" s="182" t="str">
        <v>CPF 1733</v>
      </c>
      <c r="J1790" s="2" t="str">
        <v>Nome 1733</v>
      </c>
      <c r="K1790" s="8" t="str">
        <v>Tel 1733</v>
      </c>
      <c r="L1790" s="8" t="str">
        <v>Cep 1733</v>
      </c>
      <c r="M1790" s="8" t="str">
        <v>Rua 1733</v>
      </c>
      <c r="N1790" s="8" t="str">
        <v>Comp 1733</v>
      </c>
      <c r="O1790" s="8" t="str">
        <v>Máquina de cortar cabelo dragão</v>
      </c>
      <c r="P1790" s="8" t="str">
        <v>HG-2FNR-01A9</v>
      </c>
      <c r="Q1790" s="4">
        <v>45849</v>
      </c>
      <c r="R1790" s="109">
        <v>23.79</v>
      </c>
      <c r="S1790" s="11">
        <f ca="1"/>
        <v>23.79</v>
      </c>
      <c r="T1790" s="28">
        <f ca="1"/>
        <v>2.8548</v>
      </c>
      <c r="U1790" s="11">
        <f ca="1"/>
        <v>20.94</v>
      </c>
      <c r="V1790" s="11">
        <v>10.56</v>
      </c>
      <c r="W1790" s="11">
        <f ca="1"/>
        <v>0.49</v>
      </c>
      <c r="X1790" s="11">
        <f ca="1"/>
        <v>0.39877104377104378</v>
      </c>
      <c r="Y1790" s="11">
        <v>0</v>
      </c>
      <c r="Z1790" s="11">
        <f ca="1"/>
        <v>9.4912289562289569</v>
      </c>
      <c r="AA1790" s="11">
        <f ca="1"/>
        <v>4.7456144781144785</v>
      </c>
      <c r="AB1790" s="4">
        <f ca="1"/>
        <v>45856</v>
      </c>
      <c r="AC1790" s="4">
        <v>45856</v>
      </c>
      <c r="AD1790" s="9">
        <v>45870</v>
      </c>
      <c r="AE1790" s="9">
        <v>45873</v>
      </c>
      <c r="AF1790" s="4" t="str">
        <f t="shared" ca="1" si="130"/>
        <v>2025 07</v>
      </c>
      <c r="AG1790" s="8" t="str" cm="1">
        <f t="array" ref="AG1790">IFERROR(_xlfn.IFS('Banco de Dados'!#REF!="AG. COMPRA","Em processamento",'Banco de Dados'!#REF!="AG. RASTREIO","Em processamento",'Banco de Dados'!$AE1790&lt;&gt;"-","Faturado",'Banco de Dados'!$AD1790&lt;&gt;"-","Aguardando Pix",'Banco de Dados'!$AC1790&lt;&gt;"-","Pendente"),"Aguardando Liberação")</f>
        <v>Aguardando Liberação</v>
      </c>
      <c r="AH1790" s="5" t="str">
        <f>IF('Banco de Dados'!$F1790="-",_xlfn.CONCAT(PROPER(TEXT(AK1790,"aaaa"))," ",PROPER(TEXT(AK1790,"mm"))),_xlfn.CONCAT(PROPER(TEXT(E1790,"aaaa"))," ",PROPER(TEXT(E1790,"mm"))))</f>
        <v>2025 06</v>
      </c>
      <c r="AI1790" s="9" t="str">
        <f ca="1">IF('Banco de Dados'!$AK1790&lt;&gt;"-","REEMBOLSO",IFERROR(_xlfn.XLOOKUP(G1790,Follow[CODRASTREIO],Follow[STATUS]),"-"))</f>
        <v>ENTREGUE</v>
      </c>
      <c r="AJ1790" s="9">
        <f ca="1">IF('Banco de Dados'!$AI1790="ENTREGUE",_xlfn.XLOOKUP('Banco de Dados'!$G1790,Follow[CODRASTREIO],Follow[DATAATUALIZAÇÃO]),"-")</f>
        <v>45841</v>
      </c>
      <c r="AK1790" s="132" t="str">
        <f ca="1"/>
        <v>-</v>
      </c>
      <c r="AL1790" s="35"/>
      <c r="AM1790" s="109" cm="1">
        <f t="array" aca="1" ref="AM1790" ca="1">IF('Banco de Dados'!$AK1790&lt;&gt;"-",_xlfn.IFS('Banco de Dados'!$A1790="bv",IF('Banco de Dados'!$E1790&lt;45641,ROUND(SUM('Banco de Dados'!$R1790*_xlfn.XLOOKUP('Banco de Dados'!$P1790,Sku!B:B,Sku!#REF!)*20%),2),ROUND(SUM('Banco de Dados'!$R1790*_xlfn.XLOOKUP('Banco de Dados'!$P1790,Sku!B:B,Sku!H:H)*20%),2)),'Banco de Dados'!$A1790="GO",ROUND(_xlfn.XLOOKUP('Banco de Dados'!$P1790,Sku!C:C,Sku!H:H),2),'Banco de Dados'!$A1790="MEI",ROUND(_xlfn.XLOOKUP('Banco de Dados'!$P1790,Sku!D:D,Sku!H:H),2)),0)</f>
        <v>0</v>
      </c>
      <c r="AN1790" s="109">
        <f ca="1">IF('Banco de Dados'!$AK1790&lt;&gt;"-",IF('Banco de Dados'!$F1790&lt;&gt;"-",_xlfn.XLOOKUP(IFERROR(IFERROR(IFERROR(VALUE(SUBSTITUTE(MID(_xlfn.TEXTAFTER('Banco de Dados'!$F1790,"Data do Pedido:
",1),1,10),"-","/")),VALUE(SUBSTITUTE(MID(_xlfn.TEXTAFTER('Banco de Dados'!$F1790,"Order date:
",1),1,10),"-","/"))),VALUE(SUBSTITUTE(MID(_xlfn.TEXTAFTER('Banco de Dados'!$F1790,"Fecha de pedido:
",1),1,10),"-","/"))),"-"),SMS!A:A,SMS!K:K),0),0)</f>
        <v>0</v>
      </c>
      <c r="AO1790" s="109">
        <f ca="1">IF('Banco de Dados'!$AK1790&lt;&gt;"-",IF('Banco de Dados'!$F1790&lt;&gt;"-",IFERROR(_xlfn.XLOOKUP(_xlfn.CONCAT('Banco de Dados'!$A1790,IFERROR(IFERROR(VALUE(SUBSTITUTE(MID(_xlfn.TEXTAFTER('Banco de Dados'!$F1790,"Data do Pedido:
",1),1,10),"-","/")),VALUE(SUBSTITUTE(MID(_xlfn.TEXTAFTER('Banco de Dados'!$F1790,"Order date:
",1),1,10),"-","/"))),0)),ProxyDD[Chave],ProxyDD[Valor por pedido]),PROXY!$P$2),0),0)</f>
        <v>0</v>
      </c>
      <c r="AP1790" s="28">
        <f ca="1">IF('Banco de Dados'!$AK1790&lt;&gt;"-",IF('Banco de Dados'!$AL1790="NÃO",IFERROR(VALUE(SUBSTITUTE(_xlfn.TEXTAFTER('Banco de Dados'!$F1790,"BRL ",1),".",",")),0),0),0)</f>
        <v>0</v>
      </c>
      <c r="AQ1790" s="28">
        <f ca="1">SUM('Banco de Dados'!$AM1790:$AP1790)</f>
        <v>0</v>
      </c>
      <c r="AR1790" s="8"/>
      <c r="AS1790" s="8"/>
      <c r="AT1790"/>
      <c r="AY1790" s="8"/>
    </row>
    <row r="1791" spans="1:51">
      <c r="A1791" s="5" t="str">
        <v>BV</v>
      </c>
      <c r="B1791" s="5" t="str">
        <f ca="1"/>
        <v>BV45828</v>
      </c>
      <c r="C1791" s="8" t="str">
        <v>Pedido 1777</v>
      </c>
      <c r="D1791" s="187">
        <v>45824</v>
      </c>
      <c r="E1791" s="9">
        <v>45828</v>
      </c>
      <c r="F1791" s="8" t="str">
        <v>PedidoF1674</v>
      </c>
      <c r="G1791" s="2" t="str">
        <v>CódRastreio1672</v>
      </c>
      <c r="H1791" s="5">
        <v>1</v>
      </c>
      <c r="I1791" s="182" t="str">
        <v>CPF 1734</v>
      </c>
      <c r="J1791" s="2" t="str">
        <v>Nome 1734</v>
      </c>
      <c r="K1791" s="8" t="str">
        <v>Tel 1734</v>
      </c>
      <c r="L1791" s="8" t="str">
        <v>Cep 1734</v>
      </c>
      <c r="M1791" s="8" t="str">
        <v>Rua 1734</v>
      </c>
      <c r="N1791" s="8" t="str">
        <v>Comp 1734</v>
      </c>
      <c r="O1791" s="8" t="str">
        <v>Máquina de cortar cabelo dragão</v>
      </c>
      <c r="P1791" s="8" t="str">
        <v>HG-2FNR-01A9</v>
      </c>
      <c r="Q1791" s="4">
        <v>45850</v>
      </c>
      <c r="R1791" s="109">
        <v>23.79</v>
      </c>
      <c r="S1791" s="11">
        <f ca="1"/>
        <v>23.79</v>
      </c>
      <c r="T1791" s="28">
        <f ca="1"/>
        <v>2.8548</v>
      </c>
      <c r="U1791" s="11">
        <f ca="1"/>
        <v>20.94</v>
      </c>
      <c r="V1791" s="11">
        <v>10.56</v>
      </c>
      <c r="W1791" s="11">
        <f ca="1"/>
        <v>0</v>
      </c>
      <c r="X1791" s="11">
        <f ca="1"/>
        <v>0.39877104377104378</v>
      </c>
      <c r="Y1791" s="11">
        <v>0</v>
      </c>
      <c r="Z1791" s="11">
        <f ca="1"/>
        <v>9.9812289562289571</v>
      </c>
      <c r="AA1791" s="11">
        <f ca="1"/>
        <v>4.9906144781144786</v>
      </c>
      <c r="AB1791" s="4">
        <f ca="1"/>
        <v>45857</v>
      </c>
      <c r="AC1791" s="4">
        <v>45857</v>
      </c>
      <c r="AD1791" s="9">
        <v>45870</v>
      </c>
      <c r="AE1791" s="9">
        <v>45873</v>
      </c>
      <c r="AF1791" s="4" t="str">
        <f t="shared" ca="1" si="130"/>
        <v>2025 07</v>
      </c>
      <c r="AG1791" s="8" t="str" cm="1">
        <f t="array" ref="AG1791">IFERROR(_xlfn.IFS('Banco de Dados'!#REF!="AG. COMPRA","Em processamento",'Banco de Dados'!#REF!="AG. RASTREIO","Em processamento",'Banco de Dados'!$AE1791&lt;&gt;"-","Faturado",'Banco de Dados'!$AD1791&lt;&gt;"-","Aguardando Pix",'Banco de Dados'!$AC1791&lt;&gt;"-","Pendente"),"Aguardando Liberação")</f>
        <v>Aguardando Liberação</v>
      </c>
      <c r="AH1791" s="5" t="str">
        <f>IF('Banco de Dados'!$F1791="-",_xlfn.CONCAT(PROPER(TEXT(AK1791,"aaaa"))," ",PROPER(TEXT(AK1791,"mm"))),_xlfn.CONCAT(PROPER(TEXT(E1791,"aaaa"))," ",PROPER(TEXT(E1791,"mm"))))</f>
        <v>2025 06</v>
      </c>
      <c r="AI1791" s="9" t="str">
        <f ca="1">IF('Banco de Dados'!$AK1791&lt;&gt;"-","REEMBOLSO",IFERROR(_xlfn.XLOOKUP(G1791,Follow[CODRASTREIO],Follow[STATUS]),"-"))</f>
        <v>ENTREGUE</v>
      </c>
      <c r="AJ1791" s="9">
        <f ca="1">IF('Banco de Dados'!$AI1791="ENTREGUE",_xlfn.XLOOKUP('Banco de Dados'!$G1791,Follow[CODRASTREIO],Follow[DATAATUALIZAÇÃO]),"-")</f>
        <v>45839</v>
      </c>
      <c r="AK1791" s="132" t="str">
        <f ca="1"/>
        <v>-</v>
      </c>
      <c r="AL1791" s="35"/>
      <c r="AM1791" s="109" cm="1">
        <f t="array" aca="1" ref="AM1791" ca="1">IF('Banco de Dados'!$AK1791&lt;&gt;"-",_xlfn.IFS('Banco de Dados'!$A1791="bv",IF('Banco de Dados'!$E1791&lt;45641,ROUND(SUM('Banco de Dados'!$R1791*_xlfn.XLOOKUP('Banco de Dados'!$P1791,Sku!B:B,Sku!#REF!)*20%),2),ROUND(SUM('Banco de Dados'!$R1791*_xlfn.XLOOKUP('Banco de Dados'!$P1791,Sku!B:B,Sku!H:H)*20%),2)),'Banco de Dados'!$A1791="GO",ROUND(_xlfn.XLOOKUP('Banco de Dados'!$P1791,Sku!C:C,Sku!H:H),2),'Banco de Dados'!$A1791="MEI",ROUND(_xlfn.XLOOKUP('Banco de Dados'!$P1791,Sku!D:D,Sku!H:H),2)),0)</f>
        <v>0</v>
      </c>
      <c r="AN1791" s="109">
        <f ca="1">IF('Banco de Dados'!$AK1791&lt;&gt;"-",IF('Banco de Dados'!$F1791&lt;&gt;"-",_xlfn.XLOOKUP(IFERROR(IFERROR(IFERROR(VALUE(SUBSTITUTE(MID(_xlfn.TEXTAFTER('Banco de Dados'!$F1791,"Data do Pedido:
",1),1,10),"-","/")),VALUE(SUBSTITUTE(MID(_xlfn.TEXTAFTER('Banco de Dados'!$F1791,"Order date:
",1),1,10),"-","/"))),VALUE(SUBSTITUTE(MID(_xlfn.TEXTAFTER('Banco de Dados'!$F1791,"Fecha de pedido:
",1),1,10),"-","/"))),"-"),SMS!A:A,SMS!K:K),0),0)</f>
        <v>0</v>
      </c>
      <c r="AO1791" s="109">
        <f ca="1">IF('Banco de Dados'!$AK1791&lt;&gt;"-",IF('Banco de Dados'!$F1791&lt;&gt;"-",IFERROR(_xlfn.XLOOKUP(_xlfn.CONCAT('Banco de Dados'!$A1791,IFERROR(IFERROR(VALUE(SUBSTITUTE(MID(_xlfn.TEXTAFTER('Banco de Dados'!$F1791,"Data do Pedido:
",1),1,10),"-","/")),VALUE(SUBSTITUTE(MID(_xlfn.TEXTAFTER('Banco de Dados'!$F1791,"Order date:
",1),1,10),"-","/"))),0)),ProxyDD[Chave],ProxyDD[Valor por pedido]),PROXY!$P$2),0),0)</f>
        <v>0</v>
      </c>
      <c r="AP1791" s="28">
        <f ca="1">IF('Banco de Dados'!$AK1791&lt;&gt;"-",IF('Banco de Dados'!$AL1791="NÃO",IFERROR(VALUE(SUBSTITUTE(_xlfn.TEXTAFTER('Banco de Dados'!$F1791,"BRL ",1),".",",")),0),0),0)</f>
        <v>0</v>
      </c>
      <c r="AQ1791" s="28">
        <f ca="1">SUM('Banco de Dados'!$AM1791:$AP1791)</f>
        <v>0</v>
      </c>
      <c r="AR1791" s="8"/>
      <c r="AS1791" s="8"/>
      <c r="AT1791"/>
      <c r="AY1791" s="8"/>
    </row>
    <row r="1792" spans="1:51">
      <c r="A1792" s="5" t="str">
        <v>BV</v>
      </c>
      <c r="B1792" s="5" t="str">
        <f ca="1"/>
        <v>BV45828</v>
      </c>
      <c r="C1792" s="8" t="str">
        <v>Pedido 1778</v>
      </c>
      <c r="D1792" s="187">
        <v>45824</v>
      </c>
      <c r="E1792" s="9">
        <v>45828</v>
      </c>
      <c r="F1792" s="8" t="str">
        <v>PedidoF1675</v>
      </c>
      <c r="G1792" s="2" t="str">
        <v>CódRastreio1673</v>
      </c>
      <c r="H1792" s="5">
        <v>1</v>
      </c>
      <c r="I1792" s="182" t="str">
        <v>CPF 1735</v>
      </c>
      <c r="J1792" s="2" t="str">
        <v>Nome 1735</v>
      </c>
      <c r="K1792" s="8" t="str">
        <v>Tel 1735</v>
      </c>
      <c r="L1792" s="8" t="str">
        <v>Cep 1735</v>
      </c>
      <c r="M1792" s="8" t="str">
        <v>Rua 1735</v>
      </c>
      <c r="N1792" s="8" t="str">
        <v>Comp 1735</v>
      </c>
      <c r="O1792" s="8" t="str">
        <v>Máquina de cortar cabelo dragão</v>
      </c>
      <c r="P1792" s="8" t="str">
        <v>HG-2FNR-01A9</v>
      </c>
      <c r="Q1792" s="4">
        <v>45850</v>
      </c>
      <c r="R1792" s="109">
        <v>23.79</v>
      </c>
      <c r="S1792" s="11">
        <f ca="1"/>
        <v>23.79</v>
      </c>
      <c r="T1792" s="28">
        <f ca="1"/>
        <v>2.8548</v>
      </c>
      <c r="U1792" s="11">
        <f ca="1"/>
        <v>20.94</v>
      </c>
      <c r="V1792" s="11">
        <v>11.43</v>
      </c>
      <c r="W1792" s="11">
        <f ca="1"/>
        <v>0</v>
      </c>
      <c r="X1792" s="11">
        <f ca="1"/>
        <v>0.39877104377104378</v>
      </c>
      <c r="Y1792" s="11">
        <v>0</v>
      </c>
      <c r="Z1792" s="11">
        <f ca="1"/>
        <v>9.1112289562289579</v>
      </c>
      <c r="AA1792" s="11">
        <f ca="1"/>
        <v>4.5556144781144789</v>
      </c>
      <c r="AB1792" s="4">
        <f ca="1"/>
        <v>45857</v>
      </c>
      <c r="AC1792" s="4">
        <v>45857</v>
      </c>
      <c r="AD1792" s="9">
        <v>45870</v>
      </c>
      <c r="AE1792" s="9">
        <v>45873</v>
      </c>
      <c r="AF1792" s="4" t="str">
        <f t="shared" ca="1" si="130"/>
        <v>2025 07</v>
      </c>
      <c r="AG1792" s="8" t="str" cm="1">
        <f t="array" ref="AG1792">IFERROR(_xlfn.IFS('Banco de Dados'!#REF!="AG. COMPRA","Em processamento",'Banco de Dados'!#REF!="AG. RASTREIO","Em processamento",'Banco de Dados'!$AE1792&lt;&gt;"-","Faturado",'Banco de Dados'!$AD1792&lt;&gt;"-","Aguardando Pix",'Banco de Dados'!$AC1792&lt;&gt;"-","Pendente"),"Aguardando Liberação")</f>
        <v>Aguardando Liberação</v>
      </c>
      <c r="AH1792" s="5" t="str">
        <f>IF('Banco de Dados'!$F1792="-",_xlfn.CONCAT(PROPER(TEXT(AK1792,"aaaa"))," ",PROPER(TEXT(AK1792,"mm"))),_xlfn.CONCAT(PROPER(TEXT(E1792,"aaaa"))," ",PROPER(TEXT(E1792,"mm"))))</f>
        <v>2025 06</v>
      </c>
      <c r="AI1792" s="9" t="str">
        <f ca="1">IF('Banco de Dados'!$AK1792&lt;&gt;"-","REEMBOLSO",IFERROR(_xlfn.XLOOKUP(G1792,Follow[CODRASTREIO],Follow[STATUS]),"-"))</f>
        <v>ENTREGUE</v>
      </c>
      <c r="AJ1792" s="9">
        <f ca="1">IF('Banco de Dados'!$AI1792="ENTREGUE",_xlfn.XLOOKUP('Banco de Dados'!$G1792,Follow[CODRASTREIO],Follow[DATAATUALIZAÇÃO]),"-")</f>
        <v>45841</v>
      </c>
      <c r="AK1792" s="132" t="str">
        <f ca="1"/>
        <v>-</v>
      </c>
      <c r="AL1792" s="35"/>
      <c r="AM1792" s="109" cm="1">
        <f t="array" aca="1" ref="AM1792" ca="1">IF('Banco de Dados'!$AK1792&lt;&gt;"-",_xlfn.IFS('Banco de Dados'!$A1792="bv",IF('Banco de Dados'!$E1792&lt;45641,ROUND(SUM('Banco de Dados'!$R1792*_xlfn.XLOOKUP('Banco de Dados'!$P1792,Sku!B:B,Sku!#REF!)*20%),2),ROUND(SUM('Banco de Dados'!$R1792*_xlfn.XLOOKUP('Banco de Dados'!$P1792,Sku!B:B,Sku!H:H)*20%),2)),'Banco de Dados'!$A1792="GO",ROUND(_xlfn.XLOOKUP('Banco de Dados'!$P1792,Sku!C:C,Sku!H:H),2),'Banco de Dados'!$A1792="MEI",ROUND(_xlfn.XLOOKUP('Banco de Dados'!$P1792,Sku!D:D,Sku!H:H),2)),0)</f>
        <v>0</v>
      </c>
      <c r="AN1792" s="109">
        <f ca="1">IF('Banco de Dados'!$AK1792&lt;&gt;"-",IF('Banco de Dados'!$F1792&lt;&gt;"-",_xlfn.XLOOKUP(IFERROR(IFERROR(IFERROR(VALUE(SUBSTITUTE(MID(_xlfn.TEXTAFTER('Banco de Dados'!$F1792,"Data do Pedido:
",1),1,10),"-","/")),VALUE(SUBSTITUTE(MID(_xlfn.TEXTAFTER('Banco de Dados'!$F1792,"Order date:
",1),1,10),"-","/"))),VALUE(SUBSTITUTE(MID(_xlfn.TEXTAFTER('Banco de Dados'!$F1792,"Fecha de pedido:
",1),1,10),"-","/"))),"-"),SMS!A:A,SMS!K:K),0),0)</f>
        <v>0</v>
      </c>
      <c r="AO1792" s="109">
        <f ca="1">IF('Banco de Dados'!$AK1792&lt;&gt;"-",IF('Banco de Dados'!$F1792&lt;&gt;"-",IFERROR(_xlfn.XLOOKUP(_xlfn.CONCAT('Banco de Dados'!$A1792,IFERROR(IFERROR(VALUE(SUBSTITUTE(MID(_xlfn.TEXTAFTER('Banco de Dados'!$F1792,"Data do Pedido:
",1),1,10),"-","/")),VALUE(SUBSTITUTE(MID(_xlfn.TEXTAFTER('Banco de Dados'!$F1792,"Order date:
",1),1,10),"-","/"))),0)),ProxyDD[Chave],ProxyDD[Valor por pedido]),PROXY!$P$2),0),0)</f>
        <v>0</v>
      </c>
      <c r="AP1792" s="28">
        <f ca="1">IF('Banco de Dados'!$AK1792&lt;&gt;"-",IF('Banco de Dados'!$AL1792="NÃO",IFERROR(VALUE(SUBSTITUTE(_xlfn.TEXTAFTER('Banco de Dados'!$F1792,"BRL ",1),".",",")),0),0),0)</f>
        <v>0</v>
      </c>
      <c r="AQ1792" s="28">
        <f ca="1">SUM('Banco de Dados'!$AM1792:$AP1792)</f>
        <v>0</v>
      </c>
      <c r="AR1792" s="8"/>
      <c r="AS1792" s="8"/>
      <c r="AT1792"/>
      <c r="AY1792" s="8"/>
    </row>
    <row r="1793" spans="1:51">
      <c r="A1793" s="5" t="str">
        <v>BV</v>
      </c>
      <c r="B1793" s="5" t="str">
        <f ca="1"/>
        <v>BV45828</v>
      </c>
      <c r="C1793" s="8" t="str">
        <v>Pedido 1779</v>
      </c>
      <c r="D1793" s="187">
        <v>45824</v>
      </c>
      <c r="E1793" s="9">
        <v>45828</v>
      </c>
      <c r="F1793" s="8" t="str">
        <v>PedidoF1676</v>
      </c>
      <c r="G1793" s="2" t="str">
        <v>CódRastreio1674</v>
      </c>
      <c r="H1793" s="5">
        <v>1</v>
      </c>
      <c r="I1793" s="182" t="str">
        <v>CPF 1736</v>
      </c>
      <c r="J1793" s="2" t="str">
        <v>Nome 1736</v>
      </c>
      <c r="K1793" s="8" t="str">
        <v>Tel 1736</v>
      </c>
      <c r="L1793" s="8" t="str">
        <v>Cep 1736</v>
      </c>
      <c r="M1793" s="8" t="str">
        <v>Rua 1736</v>
      </c>
      <c r="N1793" s="8" t="str">
        <v>Comp 1736</v>
      </c>
      <c r="O1793" s="8" t="str">
        <v>Máquina de cortar cabelo dragão</v>
      </c>
      <c r="P1793" s="8" t="str">
        <v>NQ-IMR8-W6Q4</v>
      </c>
      <c r="Q1793" s="4">
        <v>45850</v>
      </c>
      <c r="R1793" s="109">
        <v>25.99</v>
      </c>
      <c r="S1793" s="11">
        <f ca="1"/>
        <v>25.99</v>
      </c>
      <c r="T1793" s="28">
        <f ca="1"/>
        <v>3.1187999999999998</v>
      </c>
      <c r="U1793" s="11">
        <f ca="1"/>
        <v>22.87</v>
      </c>
      <c r="V1793" s="11">
        <v>10.220000000000001</v>
      </c>
      <c r="W1793" s="11">
        <f ca="1"/>
        <v>0</v>
      </c>
      <c r="X1793" s="11">
        <f ca="1"/>
        <v>0.39877104377104378</v>
      </c>
      <c r="Y1793" s="11">
        <v>0</v>
      </c>
      <c r="Z1793" s="11">
        <f ca="1"/>
        <v>12.251228956228957</v>
      </c>
      <c r="AA1793" s="11">
        <f ca="1"/>
        <v>6.1256144781144783</v>
      </c>
      <c r="AB1793" s="4">
        <f ca="1"/>
        <v>45857</v>
      </c>
      <c r="AC1793" s="4">
        <v>45857</v>
      </c>
      <c r="AD1793" s="9">
        <v>45870</v>
      </c>
      <c r="AE1793" s="9">
        <v>45873</v>
      </c>
      <c r="AF1793" s="4" t="str">
        <f t="shared" ca="1" si="130"/>
        <v>2025 07</v>
      </c>
      <c r="AG1793" s="8" t="str" cm="1">
        <f t="array" ref="AG1793">IFERROR(_xlfn.IFS('Banco de Dados'!#REF!="AG. COMPRA","Em processamento",'Banco de Dados'!#REF!="AG. RASTREIO","Em processamento",'Banco de Dados'!$AE1793&lt;&gt;"-","Faturado",'Banco de Dados'!$AD1793&lt;&gt;"-","Aguardando Pix",'Banco de Dados'!$AC1793&lt;&gt;"-","Pendente"),"Aguardando Liberação")</f>
        <v>Aguardando Liberação</v>
      </c>
      <c r="AH1793" s="5" t="str">
        <f>IF('Banco de Dados'!$F1793="-",_xlfn.CONCAT(PROPER(TEXT(AK1793,"aaaa"))," ",PROPER(TEXT(AK1793,"mm"))),_xlfn.CONCAT(PROPER(TEXT(E1793,"aaaa"))," ",PROPER(TEXT(E1793,"mm"))))</f>
        <v>2025 06</v>
      </c>
      <c r="AI1793" s="9" t="str">
        <f ca="1">IF('Banco de Dados'!$AK1793&lt;&gt;"-","REEMBOLSO",IFERROR(_xlfn.XLOOKUP(G1793,Follow[CODRASTREIO],Follow[STATUS]),"-"))</f>
        <v>ENTREGUE</v>
      </c>
      <c r="AJ1793" s="9">
        <f ca="1">IF('Banco de Dados'!$AI1793="ENTREGUE",_xlfn.XLOOKUP('Banco de Dados'!$G1793,Follow[CODRASTREIO],Follow[DATAATUALIZAÇÃO]),"-")</f>
        <v>45847</v>
      </c>
      <c r="AK1793" s="132" t="str">
        <f ca="1"/>
        <v>-</v>
      </c>
      <c r="AL1793" s="35"/>
      <c r="AM1793" s="109" cm="1">
        <f t="array" aca="1" ref="AM1793" ca="1">IF('Banco de Dados'!$AK1793&lt;&gt;"-",_xlfn.IFS('Banco de Dados'!$A1793="bv",IF('Banco de Dados'!$E1793&lt;45641,ROUND(SUM('Banco de Dados'!$R1793*_xlfn.XLOOKUP('Banco de Dados'!$P1793,Sku!B:B,Sku!#REF!)*20%),2),ROUND(SUM('Banco de Dados'!$R1793*_xlfn.XLOOKUP('Banco de Dados'!$P1793,Sku!B:B,Sku!H:H)*20%),2)),'Banco de Dados'!$A1793="GO",ROUND(_xlfn.XLOOKUP('Banco de Dados'!$P1793,Sku!C:C,Sku!H:H),2),'Banco de Dados'!$A1793="MEI",ROUND(_xlfn.XLOOKUP('Banco de Dados'!$P1793,Sku!D:D,Sku!H:H),2)),0)</f>
        <v>0</v>
      </c>
      <c r="AN1793" s="109">
        <f ca="1">IF('Banco de Dados'!$AK1793&lt;&gt;"-",IF('Banco de Dados'!$F1793&lt;&gt;"-",_xlfn.XLOOKUP(IFERROR(IFERROR(IFERROR(VALUE(SUBSTITUTE(MID(_xlfn.TEXTAFTER('Banco de Dados'!$F1793,"Data do Pedido:
",1),1,10),"-","/")),VALUE(SUBSTITUTE(MID(_xlfn.TEXTAFTER('Banco de Dados'!$F1793,"Order date:
",1),1,10),"-","/"))),VALUE(SUBSTITUTE(MID(_xlfn.TEXTAFTER('Banco de Dados'!$F1793,"Fecha de pedido:
",1),1,10),"-","/"))),"-"),SMS!A:A,SMS!K:K),0),0)</f>
        <v>0</v>
      </c>
      <c r="AO1793" s="109">
        <f ca="1">IF('Banco de Dados'!$AK1793&lt;&gt;"-",IF('Banco de Dados'!$F1793&lt;&gt;"-",IFERROR(_xlfn.XLOOKUP(_xlfn.CONCAT('Banco de Dados'!$A1793,IFERROR(IFERROR(VALUE(SUBSTITUTE(MID(_xlfn.TEXTAFTER('Banco de Dados'!$F1793,"Data do Pedido:
",1),1,10),"-","/")),VALUE(SUBSTITUTE(MID(_xlfn.TEXTAFTER('Banco de Dados'!$F1793,"Order date:
",1),1,10),"-","/"))),0)),ProxyDD[Chave],ProxyDD[Valor por pedido]),PROXY!$P$2),0),0)</f>
        <v>0</v>
      </c>
      <c r="AP1793" s="28">
        <f ca="1">IF('Banco de Dados'!$AK1793&lt;&gt;"-",IF('Banco de Dados'!$AL1793="NÃO",IFERROR(VALUE(SUBSTITUTE(_xlfn.TEXTAFTER('Banco de Dados'!$F1793,"BRL ",1),".",",")),0),0),0)</f>
        <v>0</v>
      </c>
      <c r="AQ1793" s="28">
        <f ca="1">SUM('Banco de Dados'!$AM1793:$AP1793)</f>
        <v>0</v>
      </c>
      <c r="AR1793" s="8"/>
      <c r="AS1793" s="8"/>
      <c r="AT1793"/>
      <c r="AY1793" s="8"/>
    </row>
    <row r="1794" spans="1:51">
      <c r="A1794" s="5" t="str">
        <v>BV</v>
      </c>
      <c r="B1794" s="5" t="str">
        <f ca="1"/>
        <v>BV45828</v>
      </c>
      <c r="C1794" s="8" t="str">
        <v>Pedido 1780</v>
      </c>
      <c r="D1794" s="187">
        <v>45824</v>
      </c>
      <c r="E1794" s="9">
        <v>45828</v>
      </c>
      <c r="F1794" s="8" t="str">
        <v>PedidoF1677</v>
      </c>
      <c r="G1794" s="2" t="str">
        <v>CódRastreio1675</v>
      </c>
      <c r="H1794" s="5">
        <v>1</v>
      </c>
      <c r="I1794" s="182" t="str">
        <v>CPF 1737</v>
      </c>
      <c r="J1794" s="2" t="str">
        <v>Nome 1737</v>
      </c>
      <c r="K1794" s="8" t="str">
        <v>Tel 1737</v>
      </c>
      <c r="L1794" s="8" t="str">
        <v>Cep 1737</v>
      </c>
      <c r="M1794" s="8" t="str">
        <v>Rua 1737</v>
      </c>
      <c r="N1794" s="8" t="str">
        <v>Comp 1737</v>
      </c>
      <c r="O1794" s="8" t="str">
        <v>Máquina de cortar cabelo dragão</v>
      </c>
      <c r="P1794" s="8" t="str">
        <v>NQ-IMR8-W6Q4</v>
      </c>
      <c r="Q1794" s="4">
        <v>45857</v>
      </c>
      <c r="R1794" s="109">
        <v>25.99</v>
      </c>
      <c r="S1794" s="11">
        <f ca="1"/>
        <v>25.99</v>
      </c>
      <c r="T1794" s="28">
        <f ca="1"/>
        <v>3.1187999999999998</v>
      </c>
      <c r="U1794" s="11">
        <f ca="1"/>
        <v>22.87</v>
      </c>
      <c r="V1794" s="11">
        <v>10.220000000000001</v>
      </c>
      <c r="W1794" s="11">
        <f ca="1"/>
        <v>0</v>
      </c>
      <c r="X1794" s="11">
        <f ca="1"/>
        <v>0.39877104377104378</v>
      </c>
      <c r="Y1794" s="11">
        <v>0</v>
      </c>
      <c r="Z1794" s="11">
        <f ca="1"/>
        <v>12.251228956228957</v>
      </c>
      <c r="AA1794" s="11">
        <f ca="1"/>
        <v>6.1256144781144783</v>
      </c>
      <c r="AB1794" s="4">
        <f ca="1"/>
        <v>45864</v>
      </c>
      <c r="AC1794" s="4">
        <v>45864</v>
      </c>
      <c r="AD1794" s="9">
        <v>45870</v>
      </c>
      <c r="AE1794" s="9">
        <v>45873</v>
      </c>
      <c r="AF1794" s="4" t="str">
        <f t="shared" ca="1" si="130"/>
        <v>2025 07</v>
      </c>
      <c r="AG1794" s="8" t="str" cm="1">
        <f t="array" ref="AG1794">IFERROR(_xlfn.IFS('Banco de Dados'!#REF!="AG. COMPRA","Em processamento",'Banco de Dados'!#REF!="AG. RASTREIO","Em processamento",'Banco de Dados'!$AE1794&lt;&gt;"-","Faturado",'Banco de Dados'!$AD1794&lt;&gt;"-","Aguardando Pix",'Banco de Dados'!$AC1794&lt;&gt;"-","Pendente"),"Aguardando Liberação")</f>
        <v>Aguardando Liberação</v>
      </c>
      <c r="AH1794" s="5" t="str">
        <f>IF('Banco de Dados'!$F1794="-",_xlfn.CONCAT(PROPER(TEXT(AK1794,"aaaa"))," ",PROPER(TEXT(AK1794,"mm"))),_xlfn.CONCAT(PROPER(TEXT(E1794,"aaaa"))," ",PROPER(TEXT(E1794,"mm"))))</f>
        <v>2025 06</v>
      </c>
      <c r="AI1794" s="9" t="str">
        <f ca="1">IF('Banco de Dados'!$AK1794&lt;&gt;"-","REEMBOLSO",IFERROR(_xlfn.XLOOKUP(G1794,Follow[CODRASTREIO],Follow[STATUS]),"-"))</f>
        <v>ENTREGUE</v>
      </c>
      <c r="AJ1794" s="9">
        <f ca="1">IF('Banco de Dados'!$AI1794="ENTREGUE",_xlfn.XLOOKUP('Banco de Dados'!$G1794,Follow[CODRASTREIO],Follow[DATAATUALIZAÇÃO]),"-")</f>
        <v>45839</v>
      </c>
      <c r="AK1794" s="132" t="str">
        <f ca="1"/>
        <v>-</v>
      </c>
      <c r="AL1794" s="35"/>
      <c r="AM1794" s="109" cm="1">
        <f t="array" aca="1" ref="AM1794" ca="1">IF('Banco de Dados'!$AK1794&lt;&gt;"-",_xlfn.IFS('Banco de Dados'!$A1794="bv",IF('Banco de Dados'!$E1794&lt;45641,ROUND(SUM('Banco de Dados'!$R1794*_xlfn.XLOOKUP('Banco de Dados'!$P1794,Sku!B:B,Sku!#REF!)*20%),2),ROUND(SUM('Banco de Dados'!$R1794*_xlfn.XLOOKUP('Banco de Dados'!$P1794,Sku!B:B,Sku!H:H)*20%),2)),'Banco de Dados'!$A1794="GO",ROUND(_xlfn.XLOOKUP('Banco de Dados'!$P1794,Sku!C:C,Sku!H:H),2),'Banco de Dados'!$A1794="MEI",ROUND(_xlfn.XLOOKUP('Banco de Dados'!$P1794,Sku!D:D,Sku!H:H),2)),0)</f>
        <v>0</v>
      </c>
      <c r="AN1794" s="109">
        <f ca="1">IF('Banco de Dados'!$AK1794&lt;&gt;"-",IF('Banco de Dados'!$F1794&lt;&gt;"-",_xlfn.XLOOKUP(IFERROR(IFERROR(IFERROR(VALUE(SUBSTITUTE(MID(_xlfn.TEXTAFTER('Banco de Dados'!$F1794,"Data do Pedido:
",1),1,10),"-","/")),VALUE(SUBSTITUTE(MID(_xlfn.TEXTAFTER('Banco de Dados'!$F1794,"Order date:
",1),1,10),"-","/"))),VALUE(SUBSTITUTE(MID(_xlfn.TEXTAFTER('Banco de Dados'!$F1794,"Fecha de pedido:
",1),1,10),"-","/"))),"-"),SMS!A:A,SMS!K:K),0),0)</f>
        <v>0</v>
      </c>
      <c r="AO1794" s="109">
        <f ca="1">IF('Banco de Dados'!$AK1794&lt;&gt;"-",IF('Banco de Dados'!$F1794&lt;&gt;"-",IFERROR(_xlfn.XLOOKUP(_xlfn.CONCAT('Banco de Dados'!$A1794,IFERROR(IFERROR(VALUE(SUBSTITUTE(MID(_xlfn.TEXTAFTER('Banco de Dados'!$F1794,"Data do Pedido:
",1),1,10),"-","/")),VALUE(SUBSTITUTE(MID(_xlfn.TEXTAFTER('Banco de Dados'!$F1794,"Order date:
",1),1,10),"-","/"))),0)),ProxyDD[Chave],ProxyDD[Valor por pedido]),PROXY!$P$2),0),0)</f>
        <v>0</v>
      </c>
      <c r="AP1794" s="28">
        <f ca="1">IF('Banco de Dados'!$AK1794&lt;&gt;"-",IF('Banco de Dados'!$AL1794="NÃO",IFERROR(VALUE(SUBSTITUTE(_xlfn.TEXTAFTER('Banco de Dados'!$F1794,"BRL ",1),".",",")),0),0),0)</f>
        <v>0</v>
      </c>
      <c r="AQ1794" s="28">
        <f ca="1">SUM('Banco de Dados'!$AM1794:$AP1794)</f>
        <v>0</v>
      </c>
      <c r="AR1794" s="8"/>
      <c r="AS1794" s="8"/>
      <c r="AT1794"/>
      <c r="AY1794" s="8"/>
    </row>
    <row r="1795" spans="1:51">
      <c r="A1795" s="5" t="str">
        <v>BV</v>
      </c>
      <c r="B1795" s="5" t="str">
        <f ca="1"/>
        <v>BV45828</v>
      </c>
      <c r="C1795" s="8" t="str">
        <v>Pedido 1781</v>
      </c>
      <c r="D1795" s="187">
        <v>45824</v>
      </c>
      <c r="E1795" s="9">
        <v>45828</v>
      </c>
      <c r="F1795" s="8" t="str">
        <v>PedidoF1678</v>
      </c>
      <c r="G1795" s="2" t="str">
        <v>CódRastreio1676</v>
      </c>
      <c r="H1795" s="5">
        <v>1</v>
      </c>
      <c r="I1795" s="182" t="str">
        <v>CPF 1738</v>
      </c>
      <c r="J1795" s="2" t="str">
        <v>Nome 1738</v>
      </c>
      <c r="K1795" s="8" t="str">
        <v>Tel 1738</v>
      </c>
      <c r="L1795" s="8" t="str">
        <v>Cep 1738</v>
      </c>
      <c r="M1795" s="8" t="str">
        <v>Rua 1738</v>
      </c>
      <c r="N1795" s="8" t="str">
        <v>Comp 1738</v>
      </c>
      <c r="O1795" s="8" t="str">
        <v>Máquina de cortar cabelo dragão</v>
      </c>
      <c r="P1795" s="8" t="str">
        <v>NQ-IMR8-W6Q4</v>
      </c>
      <c r="Q1795" s="4">
        <v>45857</v>
      </c>
      <c r="R1795" s="109">
        <v>25.99</v>
      </c>
      <c r="S1795" s="11">
        <f ca="1"/>
        <v>25.99</v>
      </c>
      <c r="T1795" s="28">
        <f ca="1"/>
        <v>3.1187999999999998</v>
      </c>
      <c r="U1795" s="11">
        <f ca="1"/>
        <v>22.87</v>
      </c>
      <c r="V1795" s="11">
        <v>10.220000000000001</v>
      </c>
      <c r="W1795" s="11">
        <f ca="1"/>
        <v>0</v>
      </c>
      <c r="X1795" s="11">
        <f ca="1"/>
        <v>0.39877104377104378</v>
      </c>
      <c r="Y1795" s="11">
        <v>0</v>
      </c>
      <c r="Z1795" s="11">
        <f ca="1"/>
        <v>12.251228956228957</v>
      </c>
      <c r="AA1795" s="11">
        <f ca="1"/>
        <v>6.1256144781144783</v>
      </c>
      <c r="AB1795" s="4">
        <f ca="1"/>
        <v>45864</v>
      </c>
      <c r="AC1795" s="4">
        <v>45864</v>
      </c>
      <c r="AD1795" s="9">
        <v>45870</v>
      </c>
      <c r="AE1795" s="9">
        <v>45873</v>
      </c>
      <c r="AF1795" s="4" t="str">
        <f t="shared" ca="1" si="130"/>
        <v>2025 07</v>
      </c>
      <c r="AG1795" s="8" t="str" cm="1">
        <f t="array" ref="AG1795">IFERROR(_xlfn.IFS('Banco de Dados'!#REF!="AG. COMPRA","Em processamento",'Banco de Dados'!#REF!="AG. RASTREIO","Em processamento",'Banco de Dados'!$AE1795&lt;&gt;"-","Faturado",'Banco de Dados'!$AD1795&lt;&gt;"-","Aguardando Pix",'Banco de Dados'!$AC1795&lt;&gt;"-","Pendente"),"Aguardando Liberação")</f>
        <v>Aguardando Liberação</v>
      </c>
      <c r="AH1795" s="5" t="str">
        <f>IF('Banco de Dados'!$F1795="-",_xlfn.CONCAT(PROPER(TEXT(AK1795,"aaaa"))," ",PROPER(TEXT(AK1795,"mm"))),_xlfn.CONCAT(PROPER(TEXT(E1795,"aaaa"))," ",PROPER(TEXT(E1795,"mm"))))</f>
        <v>2025 06</v>
      </c>
      <c r="AI1795" s="9" t="str">
        <f ca="1">IF('Banco de Dados'!$AK1795&lt;&gt;"-","REEMBOLSO",IFERROR(_xlfn.XLOOKUP(G1795,Follow[CODRASTREIO],Follow[STATUS]),"-"))</f>
        <v>ENTREGUE</v>
      </c>
      <c r="AJ1795" s="9">
        <f ca="1">IF('Banco de Dados'!$AI1795="ENTREGUE",_xlfn.XLOOKUP('Banco de Dados'!$G1795,Follow[CODRASTREIO],Follow[DATAATUALIZAÇÃO]),"-")</f>
        <v>45839</v>
      </c>
      <c r="AK1795" s="132" t="str">
        <f ca="1"/>
        <v>-</v>
      </c>
      <c r="AL1795" s="35"/>
      <c r="AM1795" s="109" cm="1">
        <f t="array" aca="1" ref="AM1795" ca="1">IF('Banco de Dados'!$AK1795&lt;&gt;"-",_xlfn.IFS('Banco de Dados'!$A1795="bv",IF('Banco de Dados'!$E1795&lt;45641,ROUND(SUM('Banco de Dados'!$R1795*_xlfn.XLOOKUP('Banco de Dados'!$P1795,Sku!B:B,Sku!#REF!)*20%),2),ROUND(SUM('Banco de Dados'!$R1795*_xlfn.XLOOKUP('Banco de Dados'!$P1795,Sku!B:B,Sku!H:H)*20%),2)),'Banco de Dados'!$A1795="GO",ROUND(_xlfn.XLOOKUP('Banco de Dados'!$P1795,Sku!C:C,Sku!H:H),2),'Banco de Dados'!$A1795="MEI",ROUND(_xlfn.XLOOKUP('Banco de Dados'!$P1795,Sku!D:D,Sku!H:H),2)),0)</f>
        <v>0</v>
      </c>
      <c r="AN1795" s="109">
        <f ca="1">IF('Banco de Dados'!$AK1795&lt;&gt;"-",IF('Banco de Dados'!$F1795&lt;&gt;"-",_xlfn.XLOOKUP(IFERROR(IFERROR(IFERROR(VALUE(SUBSTITUTE(MID(_xlfn.TEXTAFTER('Banco de Dados'!$F1795,"Data do Pedido:
",1),1,10),"-","/")),VALUE(SUBSTITUTE(MID(_xlfn.TEXTAFTER('Banco de Dados'!$F1795,"Order date:
",1),1,10),"-","/"))),VALUE(SUBSTITUTE(MID(_xlfn.TEXTAFTER('Banco de Dados'!$F1795,"Fecha de pedido:
",1),1,10),"-","/"))),"-"),SMS!A:A,SMS!K:K),0),0)</f>
        <v>0</v>
      </c>
      <c r="AO1795" s="109">
        <f ca="1">IF('Banco de Dados'!$AK1795&lt;&gt;"-",IF('Banco de Dados'!$F1795&lt;&gt;"-",IFERROR(_xlfn.XLOOKUP(_xlfn.CONCAT('Banco de Dados'!$A1795,IFERROR(IFERROR(VALUE(SUBSTITUTE(MID(_xlfn.TEXTAFTER('Banco de Dados'!$F1795,"Data do Pedido:
",1),1,10),"-","/")),VALUE(SUBSTITUTE(MID(_xlfn.TEXTAFTER('Banco de Dados'!$F1795,"Order date:
",1),1,10),"-","/"))),0)),ProxyDD[Chave],ProxyDD[Valor por pedido]),PROXY!$P$2),0),0)</f>
        <v>0</v>
      </c>
      <c r="AP1795" s="28">
        <f ca="1">IF('Banco de Dados'!$AK1795&lt;&gt;"-",IF('Banco de Dados'!$AL1795="NÃO",IFERROR(VALUE(SUBSTITUTE(_xlfn.TEXTAFTER('Banco de Dados'!$F1795,"BRL ",1),".",",")),0),0),0)</f>
        <v>0</v>
      </c>
      <c r="AQ1795" s="28">
        <f ca="1">SUM('Banco de Dados'!$AM1795:$AP1795)</f>
        <v>0</v>
      </c>
      <c r="AR1795" s="8"/>
      <c r="AS1795" s="8"/>
      <c r="AT1795"/>
      <c r="AY1795" s="8"/>
    </row>
    <row r="1796" spans="1:51">
      <c r="A1796" s="5" t="str">
        <v>BV</v>
      </c>
      <c r="B1796" s="5" t="str">
        <f ca="1"/>
        <v>BV45824</v>
      </c>
      <c r="C1796" s="8" t="str">
        <v>Pedido 1782</v>
      </c>
      <c r="D1796" s="187">
        <v>45824</v>
      </c>
      <c r="E1796" s="9">
        <v>45824</v>
      </c>
      <c r="F1796" s="2" t="str">
        <v>PedidoF1679</v>
      </c>
      <c r="G1796" s="2" t="str">
        <v>CódRastreio1677</v>
      </c>
      <c r="H1796" s="5">
        <v>1</v>
      </c>
      <c r="I1796" s="182" t="str">
        <v>CPF 1739</v>
      </c>
      <c r="J1796" s="2" t="str">
        <v>Nome 1739</v>
      </c>
      <c r="K1796" s="8" t="str">
        <v>Tel 1739</v>
      </c>
      <c r="L1796" s="8" t="str">
        <v>Cep 1739</v>
      </c>
      <c r="M1796" s="8" t="str">
        <v>Rua 1739</v>
      </c>
      <c r="N1796" s="8" t="str">
        <v>Comp 1739</v>
      </c>
      <c r="O1796" s="8" t="str">
        <v>Máquina de cortar cabelo dragão</v>
      </c>
      <c r="P1796" s="8" t="str">
        <v>HG-2FNR-01A9</v>
      </c>
      <c r="Q1796" s="4">
        <v>45850</v>
      </c>
      <c r="R1796" s="109">
        <v>23.79</v>
      </c>
      <c r="S1796" s="11">
        <f ca="1"/>
        <v>23.79</v>
      </c>
      <c r="T1796" s="28">
        <f ca="1"/>
        <v>2.8548</v>
      </c>
      <c r="U1796" s="11">
        <f ca="1"/>
        <v>20.94</v>
      </c>
      <c r="V1796" s="11">
        <v>15.01</v>
      </c>
      <c r="W1796" s="11">
        <f ca="1"/>
        <v>0.3</v>
      </c>
      <c r="X1796" s="11">
        <f ca="1"/>
        <v>0.39877104377104378</v>
      </c>
      <c r="Y1796" s="11">
        <v>0</v>
      </c>
      <c r="Z1796" s="11">
        <f ca="1"/>
        <v>5.2312289562289571</v>
      </c>
      <c r="AA1796" s="11">
        <f ca="1"/>
        <v>2.6156144781144786</v>
      </c>
      <c r="AB1796" s="4">
        <f ca="1"/>
        <v>45857</v>
      </c>
      <c r="AC1796" s="4">
        <v>45857</v>
      </c>
      <c r="AD1796" s="9">
        <v>45870</v>
      </c>
      <c r="AE1796" s="9">
        <v>45873</v>
      </c>
      <c r="AF1796" s="4" t="str">
        <f t="shared" ca="1" si="130"/>
        <v>2025 07</v>
      </c>
      <c r="AG1796" s="8" t="str" cm="1">
        <f t="array" ref="AG1796">IFERROR(_xlfn.IFS('Banco de Dados'!#REF!="AG. COMPRA","Em processamento",'Banco de Dados'!#REF!="AG. RASTREIO","Em processamento",'Banco de Dados'!$AE1796&lt;&gt;"-","Faturado",'Banco de Dados'!$AD1796&lt;&gt;"-","Aguardando Pix",'Banco de Dados'!$AC1796&lt;&gt;"-","Pendente"),"Aguardando Liberação")</f>
        <v>Aguardando Liberação</v>
      </c>
      <c r="AH1796" s="5" t="str">
        <f>IF('Banco de Dados'!$F1796="-",_xlfn.CONCAT(PROPER(TEXT(AK1796,"aaaa"))," ",PROPER(TEXT(AK1796,"mm"))),_xlfn.CONCAT(PROPER(TEXT(E1796,"aaaa"))," ",PROPER(TEXT(E1796,"mm"))))</f>
        <v>2025 06</v>
      </c>
      <c r="AI1796" s="9" t="str">
        <f ca="1">IF('Banco de Dados'!$AK1796&lt;&gt;"-","REEMBOLSO",IFERROR(_xlfn.XLOOKUP(G1796,Follow[CODRASTREIO],Follow[STATUS]),"-"))</f>
        <v>ENTREGUE</v>
      </c>
      <c r="AJ1796" s="9">
        <f ca="1">IF('Banco de Dados'!$AI1796="ENTREGUE",_xlfn.XLOOKUP('Banco de Dados'!$G1796,Follow[CODRASTREIO],Follow[DATAATUALIZAÇÃO]),"-")</f>
        <v>45831</v>
      </c>
      <c r="AK1796" s="132" t="str">
        <f ca="1"/>
        <v>-</v>
      </c>
      <c r="AL1796" s="35"/>
      <c r="AM1796" s="109" cm="1">
        <f t="array" aca="1" ref="AM1796" ca="1">IF('Banco de Dados'!$AK1796&lt;&gt;"-",_xlfn.IFS('Banco de Dados'!$A1796="bv",IF('Banco de Dados'!$E1796&lt;45641,ROUND(SUM('Banco de Dados'!$R1796*_xlfn.XLOOKUP('Banco de Dados'!$P1796,Sku!B:B,Sku!#REF!)*20%),2),ROUND(SUM('Banco de Dados'!$R1796*_xlfn.XLOOKUP('Banco de Dados'!$P1796,Sku!B:B,Sku!H:H)*20%),2)),'Banco de Dados'!$A1796="GO",ROUND(_xlfn.XLOOKUP('Banco de Dados'!$P1796,Sku!C:C,Sku!H:H),2),'Banco de Dados'!$A1796="MEI",ROUND(_xlfn.XLOOKUP('Banco de Dados'!$P1796,Sku!D:D,Sku!H:H),2)),0)</f>
        <v>0</v>
      </c>
      <c r="AN1796" s="109">
        <v>0</v>
      </c>
      <c r="AO1796" s="109">
        <v>0</v>
      </c>
      <c r="AP1796" s="28">
        <f ca="1">IF('Banco de Dados'!$AK1796&lt;&gt;"-",IF('Banco de Dados'!$AL1796="NÃO",IFERROR(VALUE(SUBSTITUTE(_xlfn.TEXTAFTER('Banco de Dados'!$F1796,"BRL ",1),".",",")),0),0),0)</f>
        <v>0</v>
      </c>
      <c r="AQ1796" s="28">
        <f ca="1">SUM('Banco de Dados'!$AM1796:$AP1796)</f>
        <v>0</v>
      </c>
      <c r="AR1796" s="8"/>
      <c r="AS1796" s="8"/>
      <c r="AT1796"/>
      <c r="AY1796" s="8"/>
    </row>
    <row r="1797" spans="1:51">
      <c r="A1797" s="5" t="str">
        <v>BV</v>
      </c>
      <c r="B1797" s="5" t="str">
        <f ca="1"/>
        <v>BV45824</v>
      </c>
      <c r="C1797" s="8" t="str">
        <v>Pedido 1783</v>
      </c>
      <c r="D1797" s="187">
        <v>45824</v>
      </c>
      <c r="E1797" s="9">
        <v>45824</v>
      </c>
      <c r="F1797" s="2" t="str">
        <v>PedidoF1680</v>
      </c>
      <c r="G1797" s="2" t="str">
        <v>CódRastreio1678</v>
      </c>
      <c r="H1797" s="5">
        <v>1</v>
      </c>
      <c r="I1797" s="182" t="str">
        <v>CPF 1740</v>
      </c>
      <c r="J1797" s="2" t="str">
        <v>Nome 1740</v>
      </c>
      <c r="K1797" s="8" t="str">
        <v>Tel 1740</v>
      </c>
      <c r="L1797" s="8" t="str">
        <v>Cep 1740</v>
      </c>
      <c r="M1797" s="8" t="str">
        <v>Rua 1740</v>
      </c>
      <c r="N1797" s="8" t="str">
        <v>Comp 1740</v>
      </c>
      <c r="O1797" s="8" t="str">
        <v>Máquina de cortar cabelo dragão</v>
      </c>
      <c r="P1797" s="8" t="str">
        <v>HG-2FNR-01A9</v>
      </c>
      <c r="Q1797" s="4">
        <v>45846</v>
      </c>
      <c r="R1797" s="109">
        <v>23.79</v>
      </c>
      <c r="S1797" s="11">
        <f ca="1"/>
        <v>23.79</v>
      </c>
      <c r="T1797" s="28">
        <f ca="1"/>
        <v>2.8548</v>
      </c>
      <c r="U1797" s="11">
        <f ca="1"/>
        <v>20.94</v>
      </c>
      <c r="V1797" s="11">
        <v>15.55</v>
      </c>
      <c r="W1797" s="11">
        <f ca="1"/>
        <v>0.3</v>
      </c>
      <c r="X1797" s="11">
        <f ca="1"/>
        <v>0.39877104377104378</v>
      </c>
      <c r="Y1797" s="11">
        <v>0</v>
      </c>
      <c r="Z1797" s="11">
        <f ca="1"/>
        <v>4.6912289562289544</v>
      </c>
      <c r="AA1797" s="11">
        <f ca="1"/>
        <v>2.3456144781144772</v>
      </c>
      <c r="AB1797" s="4">
        <f ca="1"/>
        <v>45853</v>
      </c>
      <c r="AC1797" s="4">
        <v>45853</v>
      </c>
      <c r="AD1797" s="9">
        <v>45853</v>
      </c>
      <c r="AE1797" s="9">
        <v>45873</v>
      </c>
      <c r="AF1797" s="4" t="str">
        <f t="shared" ca="1" si="130"/>
        <v>2025 07</v>
      </c>
      <c r="AG1797" s="8" t="str" cm="1">
        <f t="array" ref="AG1797">IFERROR(_xlfn.IFS('Banco de Dados'!#REF!="AG. COMPRA","Em processamento",'Banco de Dados'!#REF!="AG. RASTREIO","Em processamento",'Banco de Dados'!$AE1797&lt;&gt;"-","Faturado",'Banco de Dados'!$AD1797&lt;&gt;"-","Aguardando Pix",'Banco de Dados'!$AC1797&lt;&gt;"-","Pendente"),"Aguardando Liberação")</f>
        <v>Aguardando Liberação</v>
      </c>
      <c r="AH1797" s="5" t="str">
        <f>IF('Banco de Dados'!$F1797="-",_xlfn.CONCAT(PROPER(TEXT(AK1797,"aaaa"))," ",PROPER(TEXT(AK1797,"mm"))),_xlfn.CONCAT(PROPER(TEXT(E1797,"aaaa"))," ",PROPER(TEXT(E1797,"mm"))))</f>
        <v>2025 06</v>
      </c>
      <c r="AI1797" s="9" t="str">
        <f ca="1">IF('Banco de Dados'!$AK1797&lt;&gt;"-","REEMBOLSO",IFERROR(_xlfn.XLOOKUP(G1797,Follow[CODRASTREIO],Follow[STATUS]),"-"))</f>
        <v>ENTREGUE</v>
      </c>
      <c r="AJ1797" s="9">
        <f ca="1">IF('Banco de Dados'!$AI1797="ENTREGUE",_xlfn.XLOOKUP('Banco de Dados'!$G1797,Follow[CODRASTREIO],Follow[DATAATUALIZAÇÃO]),"-")</f>
        <v>45828</v>
      </c>
      <c r="AK1797" s="132" t="str">
        <f ca="1"/>
        <v>-</v>
      </c>
      <c r="AL1797" s="35"/>
      <c r="AM1797" s="109" cm="1">
        <f t="array" aca="1" ref="AM1797" ca="1">IF('Banco de Dados'!$AK1797&lt;&gt;"-",_xlfn.IFS('Banco de Dados'!$A1797="bv",IF('Banco de Dados'!$E1797&lt;45641,ROUND(SUM('Banco de Dados'!$R1797*_xlfn.XLOOKUP('Banco de Dados'!$P1797,Sku!B:B,Sku!#REF!)*20%),2),ROUND(SUM('Banco de Dados'!$R1797*_xlfn.XLOOKUP('Banco de Dados'!$P1797,Sku!B:B,Sku!H:H)*20%),2)),'Banco de Dados'!$A1797="GO",ROUND(_xlfn.XLOOKUP('Banco de Dados'!$P1797,Sku!C:C,Sku!H:H),2),'Banco de Dados'!$A1797="MEI",ROUND(_xlfn.XLOOKUP('Banco de Dados'!$P1797,Sku!D:D,Sku!H:H),2)),0)</f>
        <v>0</v>
      </c>
      <c r="AN1797" s="109">
        <v>0</v>
      </c>
      <c r="AO1797" s="109">
        <v>0</v>
      </c>
      <c r="AP1797" s="28">
        <f ca="1">IF('Banco de Dados'!$AK1797&lt;&gt;"-",IF('Banco de Dados'!$AL1797="NÃO",IFERROR(VALUE(SUBSTITUTE(_xlfn.TEXTAFTER('Banco de Dados'!$F1797,"BRL ",1),".",",")),0),0),0)</f>
        <v>0</v>
      </c>
      <c r="AQ1797" s="28">
        <f ca="1">SUM('Banco de Dados'!$AM1797:$AP1797)</f>
        <v>0</v>
      </c>
      <c r="AR1797" s="8"/>
      <c r="AS1797" s="8"/>
      <c r="AT1797"/>
      <c r="AY1797" s="8"/>
    </row>
    <row r="1798" spans="1:51">
      <c r="A1798" s="5" t="str">
        <v>BV</v>
      </c>
      <c r="B1798" s="5" t="str">
        <f ca="1"/>
        <v>BV45828</v>
      </c>
      <c r="C1798" s="8" t="str">
        <v>Pedido 1784</v>
      </c>
      <c r="D1798" s="187">
        <v>45824</v>
      </c>
      <c r="E1798" s="9">
        <v>45828</v>
      </c>
      <c r="F1798" s="8" t="str">
        <v>PedidoF1681</v>
      </c>
      <c r="G1798" s="2" t="str">
        <v>CódRastreio1679</v>
      </c>
      <c r="H1798" s="5">
        <v>1</v>
      </c>
      <c r="I1798" s="182" t="str">
        <v>CPF 1741</v>
      </c>
      <c r="J1798" s="2" t="str">
        <v>Nome 1741</v>
      </c>
      <c r="K1798" s="8" t="str">
        <v>Tel 1741</v>
      </c>
      <c r="L1798" s="8" t="str">
        <v>Cep 1741</v>
      </c>
      <c r="M1798" s="8" t="str">
        <v>Rua 1741</v>
      </c>
      <c r="N1798" s="8" t="str">
        <v>Comp 1741</v>
      </c>
      <c r="O1798" s="8" t="str">
        <v>Máquina de cortar cabelo dragão</v>
      </c>
      <c r="P1798" s="8" t="str">
        <v>HG-2FNR-01A9</v>
      </c>
      <c r="Q1798" s="4">
        <v>45857</v>
      </c>
      <c r="R1798" s="109">
        <v>25.99</v>
      </c>
      <c r="S1798" s="11">
        <f ca="1"/>
        <v>25.99</v>
      </c>
      <c r="T1798" s="28">
        <f ca="1"/>
        <v>3.1187999999999998</v>
      </c>
      <c r="U1798" s="11">
        <f ca="1"/>
        <v>22.87</v>
      </c>
      <c r="V1798" s="11">
        <v>10.220000000000001</v>
      </c>
      <c r="W1798" s="11">
        <f ca="1"/>
        <v>0</v>
      </c>
      <c r="X1798" s="11">
        <f ca="1"/>
        <v>0.39877104377104378</v>
      </c>
      <c r="Y1798" s="11">
        <v>0</v>
      </c>
      <c r="Z1798" s="11">
        <f ca="1"/>
        <v>12.251228956228957</v>
      </c>
      <c r="AA1798" s="11">
        <f ca="1"/>
        <v>6.1256144781144783</v>
      </c>
      <c r="AB1798" s="4">
        <f ca="1"/>
        <v>45864</v>
      </c>
      <c r="AC1798" s="4">
        <v>45864</v>
      </c>
      <c r="AD1798" s="9">
        <v>45870</v>
      </c>
      <c r="AE1798" s="9">
        <v>45873</v>
      </c>
      <c r="AF1798" s="4" t="str">
        <f t="shared" ca="1" si="130"/>
        <v>2025 07</v>
      </c>
      <c r="AG1798" s="8" t="str" cm="1">
        <f t="array" ref="AG1798">IFERROR(_xlfn.IFS('Banco de Dados'!#REF!="AG. COMPRA","Em processamento",'Banco de Dados'!#REF!="AG. RASTREIO","Em processamento",'Banco de Dados'!$AE1798&lt;&gt;"-","Faturado",'Banco de Dados'!$AD1798&lt;&gt;"-","Aguardando Pix",'Banco de Dados'!$AC1798&lt;&gt;"-","Pendente"),"Aguardando Liberação")</f>
        <v>Aguardando Liberação</v>
      </c>
      <c r="AH1798" s="5" t="str">
        <f>IF('Banco de Dados'!$F1798="-",_xlfn.CONCAT(PROPER(TEXT(AK1798,"aaaa"))," ",PROPER(TEXT(AK1798,"mm"))),_xlfn.CONCAT(PROPER(TEXT(E1798,"aaaa"))," ",PROPER(TEXT(E1798,"mm"))))</f>
        <v>2025 06</v>
      </c>
      <c r="AI1798" s="9" t="str">
        <f ca="1">IF('Banco de Dados'!$AK1798&lt;&gt;"-","REEMBOLSO",IFERROR(_xlfn.XLOOKUP(G1798,Follow[CODRASTREIO],Follow[STATUS]),"-"))</f>
        <v>ENTREGUE</v>
      </c>
      <c r="AJ1798" s="9">
        <f ca="1">IF('Banco de Dados'!$AI1798="ENTREGUE",_xlfn.XLOOKUP('Banco de Dados'!$G1798,Follow[CODRASTREIO],Follow[DATAATUALIZAÇÃO]),"-")</f>
        <v>45846</v>
      </c>
      <c r="AK1798" s="132" t="str">
        <f ca="1"/>
        <v>-</v>
      </c>
      <c r="AL1798" s="35"/>
      <c r="AM1798" s="109" cm="1">
        <f t="array" aca="1" ref="AM1798" ca="1">IF('Banco de Dados'!$AK1798&lt;&gt;"-",_xlfn.IFS('Banco de Dados'!$A1798="bv",IF('Banco de Dados'!$E1798&lt;45641,ROUND(SUM('Banco de Dados'!$R1798*_xlfn.XLOOKUP('Banco de Dados'!$P1798,Sku!B:B,Sku!#REF!)*20%),2),ROUND(SUM('Banco de Dados'!$R1798*_xlfn.XLOOKUP('Banco de Dados'!$P1798,Sku!B:B,Sku!H:H)*20%),2)),'Banco de Dados'!$A1798="GO",ROUND(_xlfn.XLOOKUP('Banco de Dados'!$P1798,Sku!C:C,Sku!H:H),2),'Banco de Dados'!$A1798="MEI",ROUND(_xlfn.XLOOKUP('Banco de Dados'!$P1798,Sku!D:D,Sku!H:H),2)),0)</f>
        <v>0</v>
      </c>
      <c r="AN1798" s="109">
        <f ca="1">IF('Banco de Dados'!$AK1798&lt;&gt;"-",IF('Banco de Dados'!$F1798&lt;&gt;"-",_xlfn.XLOOKUP(IFERROR(IFERROR(IFERROR(VALUE(SUBSTITUTE(MID(_xlfn.TEXTAFTER('Banco de Dados'!$F1798,"Data do Pedido:
",1),1,10),"-","/")),VALUE(SUBSTITUTE(MID(_xlfn.TEXTAFTER('Banco de Dados'!$F1798,"Order date:
",1),1,10),"-","/"))),VALUE(SUBSTITUTE(MID(_xlfn.TEXTAFTER('Banco de Dados'!$F1798,"Fecha de pedido:
",1),1,10),"-","/"))),"-"),SMS!A:A,SMS!K:K),0),0)</f>
        <v>0</v>
      </c>
      <c r="AO1798" s="109">
        <f ca="1">IF('Banco de Dados'!$AK1798&lt;&gt;"-",IF('Banco de Dados'!$F1798&lt;&gt;"-",IFERROR(_xlfn.XLOOKUP(_xlfn.CONCAT('Banco de Dados'!$A1798,IFERROR(IFERROR(VALUE(SUBSTITUTE(MID(_xlfn.TEXTAFTER('Banco de Dados'!$F1798,"Data do Pedido:
",1),1,10),"-","/")),VALUE(SUBSTITUTE(MID(_xlfn.TEXTAFTER('Banco de Dados'!$F1798,"Order date:
",1),1,10),"-","/"))),0)),ProxyDD[Chave],ProxyDD[Valor por pedido]),PROXY!$P$2),0),0)</f>
        <v>0</v>
      </c>
      <c r="AP1798" s="28">
        <f ca="1">IF('Banco de Dados'!$AK1798&lt;&gt;"-",IF('Banco de Dados'!$AL1798="NÃO",IFERROR(VALUE(SUBSTITUTE(_xlfn.TEXTAFTER('Banco de Dados'!$F1798,"BRL ",1),".",",")),0),0),0)</f>
        <v>0</v>
      </c>
      <c r="AQ1798" s="28">
        <f ca="1">SUM('Banco de Dados'!$AM1798:$AP1798)</f>
        <v>0</v>
      </c>
      <c r="AR1798" s="8"/>
      <c r="AS1798" s="8"/>
      <c r="AT1798"/>
      <c r="AY1798" s="8"/>
    </row>
    <row r="1799" spans="1:51">
      <c r="A1799" s="5" t="str">
        <v>GO</v>
      </c>
      <c r="B1799" s="5" t="str">
        <f ca="1"/>
        <v>GO45824</v>
      </c>
      <c r="C1799" s="8" t="str">
        <v>Pedido 1785</v>
      </c>
      <c r="D1799" s="187">
        <v>45821</v>
      </c>
      <c r="E1799" s="9">
        <v>45824</v>
      </c>
      <c r="F1799" s="2" t="str">
        <v>PedidoF1682</v>
      </c>
      <c r="G1799" s="2" t="str">
        <v>CódRastreio1680</v>
      </c>
      <c r="H1799" s="5">
        <v>1</v>
      </c>
      <c r="I1799" s="182" t="str">
        <v>CPF 1742</v>
      </c>
      <c r="J1799" s="2" t="str">
        <v>Nome 1742</v>
      </c>
      <c r="K1799" s="8" t="str">
        <v>Tel 1742</v>
      </c>
      <c r="L1799" s="8" t="str">
        <v>Cep 1742</v>
      </c>
      <c r="M1799" s="8" t="str">
        <v>Rua 1742</v>
      </c>
      <c r="N1799" s="8" t="str">
        <v>Comp 1742</v>
      </c>
      <c r="O1799" s="8" t="str">
        <v>Cortador de Legumes</v>
      </c>
      <c r="P1799" s="8" t="str">
        <v>33-SVS5-1AWY</v>
      </c>
      <c r="Q1799" s="4">
        <v>45849</v>
      </c>
      <c r="R1799" s="109">
        <v>67.599999999999994</v>
      </c>
      <c r="S1799" s="11">
        <f ca="1"/>
        <v>67.599999999999994</v>
      </c>
      <c r="T1799" s="28">
        <f ca="1"/>
        <v>8.1119999999999983</v>
      </c>
      <c r="U1799" s="11">
        <f ca="1"/>
        <v>59.49</v>
      </c>
      <c r="V1799" s="11">
        <v>38.4</v>
      </c>
      <c r="W1799" s="11">
        <f ca="1"/>
        <v>0</v>
      </c>
      <c r="X1799" s="11">
        <f ca="1"/>
        <v>0.39877104377104378</v>
      </c>
      <c r="Y1799" s="11">
        <v>0</v>
      </c>
      <c r="Z1799" s="11">
        <f ca="1"/>
        <v>20.691228956228962</v>
      </c>
      <c r="AA1799" s="11">
        <f ca="1"/>
        <v>20.691228956228962</v>
      </c>
      <c r="AB1799" s="4">
        <f ca="1"/>
        <v>45856</v>
      </c>
      <c r="AC1799" s="4">
        <v>45856</v>
      </c>
      <c r="AD1799" s="9">
        <v>45870</v>
      </c>
      <c r="AE1799" s="9">
        <v>45873</v>
      </c>
      <c r="AF1799" s="4" t="str">
        <f t="shared" ref="AF1799:AF1804" ca="1" si="131">_xlfn.CONCAT(PROPER(TEXT(AB1799,"aaaa"))," ",PROPER(TEXT(AB1799,"mm")))</f>
        <v>2025 07</v>
      </c>
      <c r="AG1799" s="8" t="str" cm="1">
        <f t="array" ref="AG1799">IFERROR(_xlfn.IFS('Banco de Dados'!#REF!="AG. COMPRA","Em processamento",'Banco de Dados'!#REF!="AG. RASTREIO","Em processamento",'Banco de Dados'!$AE1799&lt;&gt;"-","Faturado",'Banco de Dados'!$AD1799&lt;&gt;"-","Aguardando Pix",'Banco de Dados'!$AC1799&lt;&gt;"-","Pendente"),"Aguardando Liberação")</f>
        <v>Aguardando Liberação</v>
      </c>
      <c r="AH1799" s="5" t="str">
        <f>IF('Banco de Dados'!$F1799="-",_xlfn.CONCAT(PROPER(TEXT(AK1799,"aaaa"))," ",PROPER(TEXT(AK1799,"mm"))),_xlfn.CONCAT(PROPER(TEXT(E1799,"aaaa"))," ",PROPER(TEXT(E1799,"mm"))))</f>
        <v>2025 06</v>
      </c>
      <c r="AI1799" s="9" t="str">
        <f ca="1">IF('Banco de Dados'!$AK1799&lt;&gt;"-","REEMBOLSO",IFERROR(_xlfn.XLOOKUP(G1799,Follow[CODRASTREIO],Follow[STATUS]),"-"))</f>
        <v>ENTREGUE</v>
      </c>
      <c r="AJ1799" s="9">
        <f ca="1">IF('Banco de Dados'!$AI1799="ENTREGUE",_xlfn.XLOOKUP('Banco de Dados'!$G1799,Follow[CODRASTREIO],Follow[DATAATUALIZAÇÃO]),"-")</f>
        <v>45834</v>
      </c>
      <c r="AK1799" s="132" t="str">
        <f ca="1"/>
        <v>-</v>
      </c>
      <c r="AL1799" s="35"/>
      <c r="AM1799" s="109" cm="1">
        <f t="array" aca="1" ref="AM1799" ca="1">IF('Banco de Dados'!$AK1799&lt;&gt;"-",_xlfn.IFS('Banco de Dados'!$A1799="bv",IF('Banco de Dados'!$E1799&lt;45641,ROUND(SUM('Banco de Dados'!$R1799*_xlfn.XLOOKUP('Banco de Dados'!$P1799,Sku!B:B,Sku!#REF!)*20%),2),ROUND(SUM('Banco de Dados'!$R1799*_xlfn.XLOOKUP('Banco de Dados'!$P1799,Sku!B:B,Sku!H:H)*20%),2)),'Banco de Dados'!$A1799="GO",ROUND(_xlfn.XLOOKUP('Banco de Dados'!$P1799,Sku!C:C,Sku!H:H),2),'Banco de Dados'!$A1799="MEI",ROUND(_xlfn.XLOOKUP('Banco de Dados'!$P1799,Sku!D:D,Sku!H:H),2)),0)</f>
        <v>0</v>
      </c>
      <c r="AN1799" s="109">
        <v>0</v>
      </c>
      <c r="AO1799" s="109">
        <v>0</v>
      </c>
      <c r="AP1799" s="28">
        <f ca="1">IF('Banco de Dados'!$AK1799&lt;&gt;"-",IF('Banco de Dados'!$AL1799="NÃO",IFERROR(VALUE(SUBSTITUTE(_xlfn.TEXTAFTER('Banco de Dados'!$F1799,"BRL ",1),".",",")),0),0),0)</f>
        <v>0</v>
      </c>
      <c r="AQ1799" s="28">
        <f ca="1">SUM('Banco de Dados'!$AM1799:$AP1799)</f>
        <v>0</v>
      </c>
      <c r="AR1799" s="8"/>
      <c r="AS1799" s="8"/>
      <c r="AT1799"/>
      <c r="AY1799" s="8"/>
    </row>
    <row r="1800" spans="1:51">
      <c r="A1800" s="5" t="str">
        <v>GO</v>
      </c>
      <c r="B1800" s="5" t="str">
        <f ca="1"/>
        <v>GO45824</v>
      </c>
      <c r="C1800" s="8" t="str">
        <v>Pedido 1786</v>
      </c>
      <c r="D1800" s="187">
        <v>45824</v>
      </c>
      <c r="E1800" s="9">
        <v>45824</v>
      </c>
      <c r="F1800" s="2" t="str">
        <v>PedidoF1683</v>
      </c>
      <c r="G1800" s="2" t="str">
        <v>CódRastreio1681</v>
      </c>
      <c r="H1800" s="5">
        <v>1</v>
      </c>
      <c r="I1800" s="182" t="str">
        <v>CPF 1743</v>
      </c>
      <c r="J1800" s="2" t="str">
        <v>Nome 1743</v>
      </c>
      <c r="K1800" s="8" t="str">
        <v>Tel 1743</v>
      </c>
      <c r="L1800" s="8" t="str">
        <v>Cep 1743</v>
      </c>
      <c r="M1800" s="8" t="str">
        <v>Rua 1743</v>
      </c>
      <c r="N1800" s="8" t="str">
        <v>Comp 1743</v>
      </c>
      <c r="O1800" s="8" t="str">
        <v>Ventilador Umidificador Preto</v>
      </c>
      <c r="P1800" s="8" t="str">
        <v>K9-YV2I-FO7H</v>
      </c>
      <c r="Q1800" s="4">
        <v>45850</v>
      </c>
      <c r="R1800" s="109">
        <v>54.99</v>
      </c>
      <c r="S1800" s="11">
        <f ca="1"/>
        <v>54.99</v>
      </c>
      <c r="T1800" s="28">
        <f ca="1"/>
        <v>6.0489000000000006</v>
      </c>
      <c r="U1800" s="11">
        <f ca="1"/>
        <v>48.94</v>
      </c>
      <c r="V1800" s="11">
        <v>38.46</v>
      </c>
      <c r="W1800" s="11">
        <f ca="1"/>
        <v>0</v>
      </c>
      <c r="X1800" s="11">
        <f ca="1"/>
        <v>0.39877104377104378</v>
      </c>
      <c r="Y1800" s="11">
        <v>0</v>
      </c>
      <c r="Z1800" s="11">
        <f ca="1"/>
        <v>10.081228956228955</v>
      </c>
      <c r="AA1800" s="11">
        <f ca="1"/>
        <v>10.081228956228955</v>
      </c>
      <c r="AB1800" s="4">
        <f ca="1"/>
        <v>45857</v>
      </c>
      <c r="AC1800" s="4">
        <v>45857</v>
      </c>
      <c r="AD1800" s="9">
        <v>45870</v>
      </c>
      <c r="AE1800" s="9">
        <v>45873</v>
      </c>
      <c r="AF1800" s="4" t="str">
        <f t="shared" ca="1" si="131"/>
        <v>2025 07</v>
      </c>
      <c r="AG1800" s="8" t="str" cm="1">
        <f t="array" ref="AG1800">IFERROR(_xlfn.IFS('Banco de Dados'!#REF!="AG. COMPRA","Em processamento",'Banco de Dados'!#REF!="AG. RASTREIO","Em processamento",'Banco de Dados'!$AE1800&lt;&gt;"-","Faturado",'Banco de Dados'!$AD1800&lt;&gt;"-","Aguardando Pix",'Banco de Dados'!$AC1800&lt;&gt;"-","Pendente"),"Aguardando Liberação")</f>
        <v>Aguardando Liberação</v>
      </c>
      <c r="AH1800" s="5" t="str">
        <f>IF('Banco de Dados'!$F1800="-",_xlfn.CONCAT(PROPER(TEXT(AK1800,"aaaa"))," ",PROPER(TEXT(AK1800,"mm"))),_xlfn.CONCAT(PROPER(TEXT(E1800,"aaaa"))," ",PROPER(TEXT(E1800,"mm"))))</f>
        <v>2025 06</v>
      </c>
      <c r="AI1800" s="9" t="str">
        <f ca="1">IF('Banco de Dados'!$AK1800&lt;&gt;"-","REEMBOLSO",IFERROR(_xlfn.XLOOKUP(G1800,Follow[CODRASTREIO],Follow[STATUS]),"-"))</f>
        <v>ENTREGUE</v>
      </c>
      <c r="AJ1800" s="9">
        <f ca="1">IF('Banco de Dados'!$AI1800="ENTREGUE",_xlfn.XLOOKUP('Banco de Dados'!$G1800,Follow[CODRASTREIO],Follow[DATAATUALIZAÇÃO]),"-")</f>
        <v>45832</v>
      </c>
      <c r="AK1800" s="132" t="str">
        <f ca="1"/>
        <v>-</v>
      </c>
      <c r="AL1800" s="35"/>
      <c r="AM1800" s="109" cm="1">
        <f t="array" aca="1" ref="AM1800" ca="1">IF('Banco de Dados'!$AK1800&lt;&gt;"-",_xlfn.IFS('Banco de Dados'!$A1800="bv",IF('Banco de Dados'!$E1800&lt;45641,ROUND(SUM('Banco de Dados'!$R1800*_xlfn.XLOOKUP('Banco de Dados'!$P1800,Sku!B:B,Sku!#REF!)*20%),2),ROUND(SUM('Banco de Dados'!$R1800*_xlfn.XLOOKUP('Banco de Dados'!$P1800,Sku!B:B,Sku!H:H)*20%),2)),'Banco de Dados'!$A1800="GO",ROUND(_xlfn.XLOOKUP('Banco de Dados'!$P1800,Sku!C:C,Sku!H:H),2),'Banco de Dados'!$A1800="MEI",ROUND(_xlfn.XLOOKUP('Banco de Dados'!$P1800,Sku!D:D,Sku!H:H),2)),0)</f>
        <v>0</v>
      </c>
      <c r="AN1800" s="109">
        <v>0</v>
      </c>
      <c r="AO1800" s="109">
        <v>0</v>
      </c>
      <c r="AP1800" s="28">
        <f ca="1">IF('Banco de Dados'!$AK1800&lt;&gt;"-",IF('Banco de Dados'!$AL1800="NÃO",IFERROR(VALUE(SUBSTITUTE(_xlfn.TEXTAFTER('Banco de Dados'!$F1800,"BRL ",1),".",",")),0),0),0)</f>
        <v>0</v>
      </c>
      <c r="AQ1800" s="28">
        <f ca="1">SUM('Banco de Dados'!$AM1800:$AP1800)</f>
        <v>0</v>
      </c>
      <c r="AR1800" s="8"/>
      <c r="AS1800" s="8"/>
      <c r="AT1800"/>
      <c r="AY1800" s="8"/>
    </row>
    <row r="1801" spans="1:51">
      <c r="A1801" s="5" t="str">
        <v>BV</v>
      </c>
      <c r="B1801" s="5" t="str">
        <f ca="1"/>
        <v>BV45831</v>
      </c>
      <c r="C1801" s="8" t="str">
        <v>Pedido 1787</v>
      </c>
      <c r="D1801" s="187">
        <v>45825</v>
      </c>
      <c r="E1801" s="9">
        <v>45831</v>
      </c>
      <c r="F1801" s="8" t="str">
        <v>PedidoF1684</v>
      </c>
      <c r="G1801" s="2" t="str">
        <v>CódRastreio1682</v>
      </c>
      <c r="H1801" s="5">
        <v>1</v>
      </c>
      <c r="I1801" s="182" t="str">
        <v>CPF 1744</v>
      </c>
      <c r="J1801" s="2" t="str">
        <v>Nome 1744</v>
      </c>
      <c r="K1801" s="8" t="str">
        <v>Tel 1744</v>
      </c>
      <c r="L1801" s="8" t="str">
        <v>Cep 1744</v>
      </c>
      <c r="M1801" s="8" t="str">
        <v>Rua 1744</v>
      </c>
      <c r="N1801" s="8" t="str">
        <v>Comp 1744</v>
      </c>
      <c r="O1801" s="8" t="str">
        <v>Máquina de cortar cabelo dragão</v>
      </c>
      <c r="P1801" s="8" t="str">
        <v>HG-2FNR-01A9</v>
      </c>
      <c r="Q1801" s="4">
        <v>45860</v>
      </c>
      <c r="R1801" s="109">
        <v>25.65</v>
      </c>
      <c r="S1801" s="11">
        <f ca="1"/>
        <v>25.65</v>
      </c>
      <c r="T1801" s="28">
        <f ca="1"/>
        <v>3.0779999999999998</v>
      </c>
      <c r="U1801" s="11">
        <f ca="1"/>
        <v>22.57</v>
      </c>
      <c r="V1801" s="11">
        <v>10.17</v>
      </c>
      <c r="W1801" s="11">
        <f ca="1"/>
        <v>0</v>
      </c>
      <c r="X1801" s="11">
        <f ca="1"/>
        <v>0.39877104377104378</v>
      </c>
      <c r="Y1801" s="11">
        <v>0</v>
      </c>
      <c r="Z1801" s="11">
        <f ca="1"/>
        <v>12.001228956228957</v>
      </c>
      <c r="AA1801" s="11">
        <f ca="1"/>
        <v>6.0006144781144783</v>
      </c>
      <c r="AB1801" s="4">
        <f ca="1"/>
        <v>45867</v>
      </c>
      <c r="AC1801" s="4">
        <v>45867</v>
      </c>
      <c r="AD1801" s="9">
        <v>45870</v>
      </c>
      <c r="AE1801" s="9">
        <v>45873</v>
      </c>
      <c r="AF1801" s="4" t="str">
        <f t="shared" ca="1" si="131"/>
        <v>2025 07</v>
      </c>
      <c r="AG1801" s="8" t="str" cm="1">
        <f t="array" ref="AG1801">IFERROR(_xlfn.IFS('Banco de Dados'!#REF!="AG. COMPRA","Em processamento",'Banco de Dados'!#REF!="AG. RASTREIO","Em processamento",'Banco de Dados'!$AE1801&lt;&gt;"-","Faturado",'Banco de Dados'!$AD1801&lt;&gt;"-","Aguardando Pix",'Banco de Dados'!$AC1801&lt;&gt;"-","Pendente"),"Aguardando Liberação")</f>
        <v>Aguardando Liberação</v>
      </c>
      <c r="AH1801" s="5" t="str">
        <f>IF('Banco de Dados'!$F1801="-",_xlfn.CONCAT(PROPER(TEXT(AK1801,"aaaa"))," ",PROPER(TEXT(AK1801,"mm"))),_xlfn.CONCAT(PROPER(TEXT(E1801,"aaaa"))," ",PROPER(TEXT(E1801,"mm"))))</f>
        <v>2025 06</v>
      </c>
      <c r="AI1801" s="9" t="str">
        <f ca="1">IF('Banco de Dados'!$AK1801&lt;&gt;"-","REEMBOLSO",IFERROR(_xlfn.XLOOKUP(G1801,Follow[CODRASTREIO],Follow[STATUS]),"-"))</f>
        <v>ENTREGUE</v>
      </c>
      <c r="AJ1801" s="9">
        <f ca="1">IF('Banco de Dados'!$AI1801="ENTREGUE",_xlfn.XLOOKUP('Banco de Dados'!$G1801,Follow[CODRASTREIO],Follow[DATAATUALIZAÇÃO]),"-")</f>
        <v>45849</v>
      </c>
      <c r="AK1801" s="132" t="str">
        <f ca="1"/>
        <v>-</v>
      </c>
      <c r="AL1801" s="35"/>
      <c r="AM1801" s="109" cm="1">
        <f t="array" aca="1" ref="AM1801" ca="1">IF('Banco de Dados'!$AK1801&lt;&gt;"-",_xlfn.IFS('Banco de Dados'!$A1801="bv",IF('Banco de Dados'!$E1801&lt;45641,ROUND(SUM('Banco de Dados'!$R1801*_xlfn.XLOOKUP('Banco de Dados'!$P1801,Sku!B:B,Sku!#REF!)*20%),2),ROUND(SUM('Banco de Dados'!$R1801*_xlfn.XLOOKUP('Banco de Dados'!$P1801,Sku!B:B,Sku!H:H)*20%),2)),'Banco de Dados'!$A1801="GO",ROUND(_xlfn.XLOOKUP('Banco de Dados'!$P1801,Sku!C:C,Sku!H:H),2),'Banco de Dados'!$A1801="MEI",ROUND(_xlfn.XLOOKUP('Banco de Dados'!$P1801,Sku!D:D,Sku!H:H),2)),0)</f>
        <v>0</v>
      </c>
      <c r="AN1801" s="109">
        <f ca="1">IF('Banco de Dados'!$AK1801&lt;&gt;"-",IF('Banco de Dados'!$F1801&lt;&gt;"-",_xlfn.XLOOKUP(IFERROR(IFERROR(IFERROR(VALUE(SUBSTITUTE(MID(_xlfn.TEXTAFTER('Banco de Dados'!$F1801,"Data do Pedido:
",1),1,10),"-","/")),VALUE(SUBSTITUTE(MID(_xlfn.TEXTAFTER('Banco de Dados'!$F1801,"Order date:
",1),1,10),"-","/"))),VALUE(SUBSTITUTE(MID(_xlfn.TEXTAFTER('Banco de Dados'!$F1801,"Fecha de pedido:
",1),1,10),"-","/"))),"-"),SMS!A:A,SMS!K:K),0),0)</f>
        <v>0</v>
      </c>
      <c r="AO1801" s="109">
        <f ca="1">IF('Banco de Dados'!$AK1801&lt;&gt;"-",IF('Banco de Dados'!$F1801&lt;&gt;"-",IFERROR(_xlfn.XLOOKUP(_xlfn.CONCAT('Banco de Dados'!$A1801,IFERROR(IFERROR(VALUE(SUBSTITUTE(MID(_xlfn.TEXTAFTER('Banco de Dados'!$F1801,"Data do Pedido:
",1),1,10),"-","/")),VALUE(SUBSTITUTE(MID(_xlfn.TEXTAFTER('Banco de Dados'!$F1801,"Order date:
",1),1,10),"-","/"))),0)),ProxyDD[Chave],ProxyDD[Valor por pedido]),PROXY!$P$2),0),0)</f>
        <v>0</v>
      </c>
      <c r="AP1801" s="28">
        <f ca="1">IF('Banco de Dados'!$AK1801&lt;&gt;"-",IF('Banco de Dados'!$AL1801="NÃO",IFERROR(VALUE(SUBSTITUTE(_xlfn.TEXTAFTER('Banco de Dados'!$F1801,"BRL ",1),".",",")),0),0),0)</f>
        <v>0</v>
      </c>
      <c r="AQ1801" s="28">
        <f ca="1">SUM('Banco de Dados'!$AM1801:$AP1801)</f>
        <v>0</v>
      </c>
      <c r="AR1801" s="8"/>
      <c r="AS1801" s="8"/>
      <c r="AT1801"/>
      <c r="AY1801" s="8"/>
    </row>
    <row r="1802" spans="1:51">
      <c r="A1802" s="5" t="str">
        <v>BV</v>
      </c>
      <c r="B1802" s="5" t="str">
        <f ca="1"/>
        <v>BV45831</v>
      </c>
      <c r="C1802" s="8" t="str">
        <v>Pedido 1788</v>
      </c>
      <c r="D1802" s="187">
        <v>45826</v>
      </c>
      <c r="E1802" s="9">
        <v>45831</v>
      </c>
      <c r="F1802" s="8" t="str">
        <v>PedidoF1685</v>
      </c>
      <c r="G1802" s="2" t="str">
        <v>CódRastreio1683</v>
      </c>
      <c r="H1802" s="5">
        <v>1</v>
      </c>
      <c r="I1802" s="182" t="str">
        <v>CPF 1745</v>
      </c>
      <c r="J1802" s="2" t="str">
        <v>Nome 1745</v>
      </c>
      <c r="K1802" s="8" t="str">
        <v>Tel 1745</v>
      </c>
      <c r="L1802" s="8" t="str">
        <v>Cep 1745</v>
      </c>
      <c r="M1802" s="8" t="str">
        <v>Rua 1745</v>
      </c>
      <c r="N1802" s="8" t="str">
        <v>Comp 1745</v>
      </c>
      <c r="O1802" s="8" t="str">
        <v>Máquina de cortar cabelo dragão</v>
      </c>
      <c r="P1802" s="8" t="str">
        <v>HG-2FNR-01A9</v>
      </c>
      <c r="Q1802" s="4">
        <v>45854</v>
      </c>
      <c r="R1802" s="109">
        <v>23.9</v>
      </c>
      <c r="S1802" s="11">
        <f ca="1"/>
        <v>23.9</v>
      </c>
      <c r="T1802" s="28">
        <f ca="1"/>
        <v>2.8679999999999999</v>
      </c>
      <c r="U1802" s="11">
        <f ca="1"/>
        <v>21.03</v>
      </c>
      <c r="V1802" s="11">
        <v>9.4</v>
      </c>
      <c r="W1802" s="11">
        <f ca="1"/>
        <v>0</v>
      </c>
      <c r="X1802" s="11">
        <f ca="1"/>
        <v>0.39877104377104378</v>
      </c>
      <c r="Y1802" s="11">
        <v>0</v>
      </c>
      <c r="Z1802" s="11">
        <f ca="1"/>
        <v>11.231228956228957</v>
      </c>
      <c r="AA1802" s="11">
        <f ca="1"/>
        <v>5.6156144781144786</v>
      </c>
      <c r="AB1802" s="4">
        <f ca="1"/>
        <v>45861</v>
      </c>
      <c r="AC1802" s="4">
        <v>45861</v>
      </c>
      <c r="AD1802" s="9">
        <v>45870</v>
      </c>
      <c r="AE1802" s="9">
        <v>45873</v>
      </c>
      <c r="AF1802" s="4" t="str">
        <f t="shared" ca="1" si="131"/>
        <v>2025 07</v>
      </c>
      <c r="AG1802" s="8" t="str" cm="1">
        <f t="array" ref="AG1802">IFERROR(_xlfn.IFS('Banco de Dados'!#REF!="AG. COMPRA","Em processamento",'Banco de Dados'!#REF!="AG. RASTREIO","Em processamento",'Banco de Dados'!$AE1802&lt;&gt;"-","Faturado",'Banco de Dados'!$AD1802&lt;&gt;"-","Aguardando Pix",'Banco de Dados'!$AC1802&lt;&gt;"-","Pendente"),"Aguardando Liberação")</f>
        <v>Aguardando Liberação</v>
      </c>
      <c r="AH1802" s="5" t="str">
        <f>IF('Banco de Dados'!$F1802="-",_xlfn.CONCAT(PROPER(TEXT(AK1802,"aaaa"))," ",PROPER(TEXT(AK1802,"mm"))),_xlfn.CONCAT(PROPER(TEXT(E1802,"aaaa"))," ",PROPER(TEXT(E1802,"mm"))))</f>
        <v>2025 06</v>
      </c>
      <c r="AI1802" s="9" t="str">
        <f ca="1">IF('Banco de Dados'!$AK1802&lt;&gt;"-","REEMBOLSO",IFERROR(_xlfn.XLOOKUP(G1802,Follow[CODRASTREIO],Follow[STATUS]),"-"))</f>
        <v>ENTREGUE</v>
      </c>
      <c r="AJ1802" s="9">
        <f ca="1">IF('Banco de Dados'!$AI1802="ENTREGUE",_xlfn.XLOOKUP('Banco de Dados'!$G1802,Follow[CODRASTREIO],Follow[DATAATUALIZAÇÃO]),"-")</f>
        <v>45840</v>
      </c>
      <c r="AK1802" s="132" t="str">
        <f ca="1"/>
        <v>-</v>
      </c>
      <c r="AL1802" s="35"/>
      <c r="AM1802" s="109" cm="1">
        <f t="array" aca="1" ref="AM1802" ca="1">IF('Banco de Dados'!$AK1802&lt;&gt;"-",_xlfn.IFS('Banco de Dados'!$A1802="bv",IF('Banco de Dados'!$E1802&lt;45641,ROUND(SUM('Banco de Dados'!$R1802*_xlfn.XLOOKUP('Banco de Dados'!$P1802,Sku!B:B,Sku!#REF!)*20%),2),ROUND(SUM('Banco de Dados'!$R1802*_xlfn.XLOOKUP('Banco de Dados'!$P1802,Sku!B:B,Sku!H:H)*20%),2)),'Banco de Dados'!$A1802="GO",ROUND(_xlfn.XLOOKUP('Banco de Dados'!$P1802,Sku!C:C,Sku!H:H),2),'Banco de Dados'!$A1802="MEI",ROUND(_xlfn.XLOOKUP('Banco de Dados'!$P1802,Sku!D:D,Sku!H:H),2)),0)</f>
        <v>0</v>
      </c>
      <c r="AN1802" s="109">
        <f ca="1">IF('Banco de Dados'!$AK1802&lt;&gt;"-",IF('Banco de Dados'!$F1802&lt;&gt;"-",_xlfn.XLOOKUP(IFERROR(IFERROR(IFERROR(VALUE(SUBSTITUTE(MID(_xlfn.TEXTAFTER('Banco de Dados'!$F1802,"Data do Pedido:
",1),1,10),"-","/")),VALUE(SUBSTITUTE(MID(_xlfn.TEXTAFTER('Banco de Dados'!$F1802,"Order date:
",1),1,10),"-","/"))),VALUE(SUBSTITUTE(MID(_xlfn.TEXTAFTER('Banco de Dados'!$F1802,"Fecha de pedido:
",1),1,10),"-","/"))),"-"),SMS!A:A,SMS!K:K),0),0)</f>
        <v>0</v>
      </c>
      <c r="AO1802" s="109">
        <f ca="1">IF('Banco de Dados'!$AK1802&lt;&gt;"-",IF('Banco de Dados'!$F1802&lt;&gt;"-",IFERROR(_xlfn.XLOOKUP(_xlfn.CONCAT('Banco de Dados'!$A1802,IFERROR(IFERROR(VALUE(SUBSTITUTE(MID(_xlfn.TEXTAFTER('Banco de Dados'!$F1802,"Data do Pedido:
",1),1,10),"-","/")),VALUE(SUBSTITUTE(MID(_xlfn.TEXTAFTER('Banco de Dados'!$F1802,"Order date:
",1),1,10),"-","/"))),0)),ProxyDD[Chave],ProxyDD[Valor por pedido]),PROXY!$P$2),0),0)</f>
        <v>0</v>
      </c>
      <c r="AP1802" s="28">
        <f ca="1">IF('Banco de Dados'!$AK1802&lt;&gt;"-",IF('Banco de Dados'!$AL1802="NÃO",IFERROR(VALUE(SUBSTITUTE(_xlfn.TEXTAFTER('Banco de Dados'!$F1802,"BRL ",1),".",",")),0),0),0)</f>
        <v>0</v>
      </c>
      <c r="AQ1802" s="28">
        <f ca="1">SUM('Banco de Dados'!$AM1802:$AP1802)</f>
        <v>0</v>
      </c>
      <c r="AR1802" s="8"/>
      <c r="AS1802" s="8"/>
      <c r="AT1802"/>
      <c r="AY1802" s="8"/>
    </row>
    <row r="1803" spans="1:51">
      <c r="A1803" s="5" t="str">
        <v>BV</v>
      </c>
      <c r="B1803" s="5" t="str">
        <f ca="1"/>
        <v>BV45831</v>
      </c>
      <c r="C1803" s="8" t="str">
        <v>Pedido 1789</v>
      </c>
      <c r="D1803" s="187">
        <v>45826</v>
      </c>
      <c r="E1803" s="9">
        <v>45831</v>
      </c>
      <c r="F1803" s="8" t="str">
        <v>PedidoF1686</v>
      </c>
      <c r="G1803" s="2" t="str">
        <v>CódRastreio1684</v>
      </c>
      <c r="H1803" s="5">
        <v>1</v>
      </c>
      <c r="I1803" s="182" t="str">
        <v>CPF 1746</v>
      </c>
      <c r="J1803" s="2" t="str">
        <v>Nome 1746</v>
      </c>
      <c r="K1803" s="8" t="str">
        <v>Tel 1746</v>
      </c>
      <c r="L1803" s="8" t="str">
        <v>Cep 1746</v>
      </c>
      <c r="M1803" s="8" t="str">
        <v>Rua 1746</v>
      </c>
      <c r="N1803" s="8" t="str">
        <v>Comp 1746</v>
      </c>
      <c r="O1803" s="8" t="str">
        <v>Máquina de cortar cabelo dragão</v>
      </c>
      <c r="P1803" s="8" t="str">
        <v>HG-2FNR-01A9</v>
      </c>
      <c r="Q1803" s="4">
        <v>45848</v>
      </c>
      <c r="R1803" s="109">
        <v>23.9</v>
      </c>
      <c r="S1803" s="11">
        <f ca="1"/>
        <v>23.9</v>
      </c>
      <c r="T1803" s="28">
        <f ca="1"/>
        <v>2.8679999999999999</v>
      </c>
      <c r="U1803" s="11">
        <f ca="1"/>
        <v>21.03</v>
      </c>
      <c r="V1803" s="11">
        <v>10.17</v>
      </c>
      <c r="W1803" s="11">
        <f ca="1"/>
        <v>0</v>
      </c>
      <c r="X1803" s="11">
        <f ca="1"/>
        <v>0.39877104377104378</v>
      </c>
      <c r="Y1803" s="11">
        <v>0</v>
      </c>
      <c r="Z1803" s="11">
        <f ca="1"/>
        <v>10.461228956228958</v>
      </c>
      <c r="AA1803" s="11">
        <f ca="1"/>
        <v>5.2306144781144788</v>
      </c>
      <c r="AB1803" s="4">
        <f ca="1"/>
        <v>45855</v>
      </c>
      <c r="AC1803" s="4">
        <v>45856</v>
      </c>
      <c r="AD1803" s="9">
        <v>45870</v>
      </c>
      <c r="AE1803" s="9">
        <v>45873</v>
      </c>
      <c r="AF1803" s="4" t="str">
        <f t="shared" ca="1" si="131"/>
        <v>2025 07</v>
      </c>
      <c r="AG1803" s="8" t="str" cm="1">
        <f t="array" ref="AG1803">IFERROR(_xlfn.IFS('Banco de Dados'!#REF!="AG. COMPRA","Em processamento",'Banco de Dados'!#REF!="AG. RASTREIO","Em processamento",'Banco de Dados'!$AE1803&lt;&gt;"-","Faturado",'Banco de Dados'!$AD1803&lt;&gt;"-","Aguardando Pix",'Banco de Dados'!$AC1803&lt;&gt;"-","Pendente"),"Aguardando Liberação")</f>
        <v>Aguardando Liberação</v>
      </c>
      <c r="AH1803" s="5" t="str">
        <f>IF('Banco de Dados'!$F1803="-",_xlfn.CONCAT(PROPER(TEXT(AK1803,"aaaa"))," ",PROPER(TEXT(AK1803,"mm"))),_xlfn.CONCAT(PROPER(TEXT(E1803,"aaaa"))," ",PROPER(TEXT(E1803,"mm"))))</f>
        <v>2025 06</v>
      </c>
      <c r="AI1803" s="9" t="str">
        <f ca="1">IF('Banco de Dados'!$AK1803&lt;&gt;"-","REEMBOLSO",IFERROR(_xlfn.XLOOKUP(G1803,Follow[CODRASTREIO],Follow[STATUS]),"-"))</f>
        <v>ENTREGUE</v>
      </c>
      <c r="AJ1803" s="9">
        <f ca="1">IF('Banco de Dados'!$AI1803="ENTREGUE",_xlfn.XLOOKUP('Banco de Dados'!$G1803,Follow[CODRASTREIO],Follow[DATAATUALIZAÇÃO]),"-")</f>
        <v>45840</v>
      </c>
      <c r="AK1803" s="132" t="str">
        <f ca="1"/>
        <v>-</v>
      </c>
      <c r="AL1803" s="35"/>
      <c r="AM1803" s="109" cm="1">
        <f t="array" aca="1" ref="AM1803" ca="1">IF('Banco de Dados'!$AK1803&lt;&gt;"-",_xlfn.IFS('Banco de Dados'!$A1803="bv",IF('Banco de Dados'!$E1803&lt;45641,ROUND(SUM('Banco de Dados'!$R1803*_xlfn.XLOOKUP('Banco de Dados'!$P1803,Sku!B:B,Sku!#REF!)*20%),2),ROUND(SUM('Banco de Dados'!$R1803*_xlfn.XLOOKUP('Banco de Dados'!$P1803,Sku!B:B,Sku!H:H)*20%),2)),'Banco de Dados'!$A1803="GO",ROUND(_xlfn.XLOOKUP('Banco de Dados'!$P1803,Sku!C:C,Sku!H:H),2),'Banco de Dados'!$A1803="MEI",ROUND(_xlfn.XLOOKUP('Banco de Dados'!$P1803,Sku!D:D,Sku!H:H),2)),0)</f>
        <v>0</v>
      </c>
      <c r="AN1803" s="109">
        <f ca="1">IF('Banco de Dados'!$AK1803&lt;&gt;"-",IF('Banco de Dados'!$F1803&lt;&gt;"-",_xlfn.XLOOKUP(IFERROR(IFERROR(IFERROR(VALUE(SUBSTITUTE(MID(_xlfn.TEXTAFTER('Banco de Dados'!$F1803,"Data do Pedido:
",1),1,10),"-","/")),VALUE(SUBSTITUTE(MID(_xlfn.TEXTAFTER('Banco de Dados'!$F1803,"Order date:
",1),1,10),"-","/"))),VALUE(SUBSTITUTE(MID(_xlfn.TEXTAFTER('Banco de Dados'!$F1803,"Fecha de pedido:
",1),1,10),"-","/"))),"-"),SMS!A:A,SMS!K:K),0),0)</f>
        <v>0</v>
      </c>
      <c r="AO1803" s="109">
        <f ca="1">IF('Banco de Dados'!$AK1803&lt;&gt;"-",IF('Banco de Dados'!$F1803&lt;&gt;"-",IFERROR(_xlfn.XLOOKUP(_xlfn.CONCAT('Banco de Dados'!$A1803,IFERROR(IFERROR(VALUE(SUBSTITUTE(MID(_xlfn.TEXTAFTER('Banco de Dados'!$F1803,"Data do Pedido:
",1),1,10),"-","/")),VALUE(SUBSTITUTE(MID(_xlfn.TEXTAFTER('Banco de Dados'!$F1803,"Order date:
",1),1,10),"-","/"))),0)),ProxyDD[Chave],ProxyDD[Valor por pedido]),PROXY!$P$2),0),0)</f>
        <v>0</v>
      </c>
      <c r="AP1803" s="28">
        <f ca="1">IF('Banco de Dados'!$AK1803&lt;&gt;"-",IF('Banco de Dados'!$AL1803="NÃO",IFERROR(VALUE(SUBSTITUTE(_xlfn.TEXTAFTER('Banco de Dados'!$F1803,"BRL ",1),".",",")),0),0),0)</f>
        <v>0</v>
      </c>
      <c r="AQ1803" s="28">
        <f ca="1">SUM('Banco de Dados'!$AM1803:$AP1803)</f>
        <v>0</v>
      </c>
      <c r="AR1803" s="8"/>
      <c r="AS1803" s="8"/>
      <c r="AT1803"/>
      <c r="AY1803" s="8"/>
    </row>
    <row r="1804" spans="1:51">
      <c r="A1804" s="5" t="str">
        <v>BV</v>
      </c>
      <c r="B1804" s="5" t="str">
        <f ca="1"/>
        <v>BV45831</v>
      </c>
      <c r="C1804" s="8" t="str">
        <v>Pedido 1790</v>
      </c>
      <c r="D1804" s="187">
        <v>45826</v>
      </c>
      <c r="E1804" s="9">
        <v>45831</v>
      </c>
      <c r="F1804" s="8" t="str">
        <v>PedidoF1687</v>
      </c>
      <c r="G1804" s="2" t="str">
        <v>CódRastreio1685</v>
      </c>
      <c r="H1804" s="5">
        <v>1</v>
      </c>
      <c r="I1804" s="182" t="str">
        <v>CPF 1747</v>
      </c>
      <c r="J1804" s="2" t="str">
        <v>Nome 1747</v>
      </c>
      <c r="K1804" s="8" t="str">
        <v>Tel 1747</v>
      </c>
      <c r="L1804" s="8" t="str">
        <v>Cep 1747</v>
      </c>
      <c r="M1804" s="8" t="str">
        <v>Rua 1747</v>
      </c>
      <c r="N1804" s="8" t="str">
        <v>Comp 1747</v>
      </c>
      <c r="O1804" s="8" t="str">
        <v>Máquina de cortar cabelo dragão</v>
      </c>
      <c r="P1804" s="8" t="str">
        <v>HG-2FNR-01A9</v>
      </c>
      <c r="Q1804" s="4">
        <v>45854</v>
      </c>
      <c r="R1804" s="109">
        <v>23.9</v>
      </c>
      <c r="S1804" s="11">
        <f ca="1"/>
        <v>23.9</v>
      </c>
      <c r="T1804" s="28">
        <f ca="1"/>
        <v>2.8679999999999999</v>
      </c>
      <c r="U1804" s="11">
        <f ca="1"/>
        <v>21.03</v>
      </c>
      <c r="V1804" s="11">
        <v>10.57</v>
      </c>
      <c r="W1804" s="11">
        <f ca="1"/>
        <v>0</v>
      </c>
      <c r="X1804" s="11">
        <f ca="1"/>
        <v>0.39877104377104378</v>
      </c>
      <c r="Y1804" s="11">
        <v>0</v>
      </c>
      <c r="Z1804" s="11">
        <f ca="1"/>
        <v>10.061228956228957</v>
      </c>
      <c r="AA1804" s="11">
        <f ca="1"/>
        <v>5.0306144781144786</v>
      </c>
      <c r="AB1804" s="4">
        <f ca="1"/>
        <v>45861</v>
      </c>
      <c r="AC1804" s="4">
        <v>45861</v>
      </c>
      <c r="AD1804" s="9">
        <v>45870</v>
      </c>
      <c r="AE1804" s="9">
        <v>45873</v>
      </c>
      <c r="AF1804" s="4" t="str">
        <f t="shared" ca="1" si="131"/>
        <v>2025 07</v>
      </c>
      <c r="AG1804" s="8" t="str" cm="1">
        <f t="array" ref="AG1804">IFERROR(_xlfn.IFS('Banco de Dados'!#REF!="AG. COMPRA","Em processamento",'Banco de Dados'!#REF!="AG. RASTREIO","Em processamento",'Banco de Dados'!$AE1804&lt;&gt;"-","Faturado",'Banco de Dados'!$AD1804&lt;&gt;"-","Aguardando Pix",'Banco de Dados'!$AC1804&lt;&gt;"-","Pendente"),"Aguardando Liberação")</f>
        <v>Aguardando Liberação</v>
      </c>
      <c r="AH1804" s="5" t="str">
        <f>IF('Banco de Dados'!$F1804="-",_xlfn.CONCAT(PROPER(TEXT(AK1804,"aaaa"))," ",PROPER(TEXT(AK1804,"mm"))),_xlfn.CONCAT(PROPER(TEXT(E1804,"aaaa"))," ",PROPER(TEXT(E1804,"mm"))))</f>
        <v>2025 06</v>
      </c>
      <c r="AI1804" s="9" t="str">
        <f ca="1">IF('Banco de Dados'!$AK1804&lt;&gt;"-","REEMBOLSO",IFERROR(_xlfn.XLOOKUP(G1804,Follow[CODRASTREIO],Follow[STATUS]),"-"))</f>
        <v>ENTREGUE</v>
      </c>
      <c r="AJ1804" s="9">
        <f ca="1">IF('Banco de Dados'!$AI1804="ENTREGUE",_xlfn.XLOOKUP('Banco de Dados'!$G1804,Follow[CODRASTREIO],Follow[DATAATUALIZAÇÃO]),"-")</f>
        <v>45845</v>
      </c>
      <c r="AK1804" s="132" t="str">
        <f ca="1"/>
        <v>-</v>
      </c>
      <c r="AL1804" s="35"/>
      <c r="AM1804" s="109" cm="1">
        <f t="array" aca="1" ref="AM1804" ca="1">IF('Banco de Dados'!$AK1804&lt;&gt;"-",_xlfn.IFS('Banco de Dados'!$A1804="bv",IF('Banco de Dados'!$E1804&lt;45641,ROUND(SUM('Banco de Dados'!$R1804*_xlfn.XLOOKUP('Banco de Dados'!$P1804,Sku!B:B,Sku!#REF!)*20%),2),ROUND(SUM('Banco de Dados'!$R1804*_xlfn.XLOOKUP('Banco de Dados'!$P1804,Sku!B:B,Sku!H:H)*20%),2)),'Banco de Dados'!$A1804="GO",ROUND(_xlfn.XLOOKUP('Banco de Dados'!$P1804,Sku!C:C,Sku!H:H),2),'Banco de Dados'!$A1804="MEI",ROUND(_xlfn.XLOOKUP('Banco de Dados'!$P1804,Sku!D:D,Sku!H:H),2)),0)</f>
        <v>0</v>
      </c>
      <c r="AN1804" s="109">
        <f ca="1">IF('Banco de Dados'!$AK1804&lt;&gt;"-",IF('Banco de Dados'!$F1804&lt;&gt;"-",_xlfn.XLOOKUP(IFERROR(IFERROR(IFERROR(VALUE(SUBSTITUTE(MID(_xlfn.TEXTAFTER('Banco de Dados'!$F1804,"Data do Pedido:
",1),1,10),"-","/")),VALUE(SUBSTITUTE(MID(_xlfn.TEXTAFTER('Banco de Dados'!$F1804,"Order date:
",1),1,10),"-","/"))),VALUE(SUBSTITUTE(MID(_xlfn.TEXTAFTER('Banco de Dados'!$F1804,"Fecha de pedido:
",1),1,10),"-","/"))),"-"),SMS!A:A,SMS!K:K),0),0)</f>
        <v>0</v>
      </c>
      <c r="AO1804" s="109">
        <f ca="1">IF('Banco de Dados'!$AK1804&lt;&gt;"-",IF('Banco de Dados'!$F1804&lt;&gt;"-",IFERROR(_xlfn.XLOOKUP(_xlfn.CONCAT('Banco de Dados'!$A1804,IFERROR(IFERROR(VALUE(SUBSTITUTE(MID(_xlfn.TEXTAFTER('Banco de Dados'!$F1804,"Data do Pedido:
",1),1,10),"-","/")),VALUE(SUBSTITUTE(MID(_xlfn.TEXTAFTER('Banco de Dados'!$F1804,"Order date:
",1),1,10),"-","/"))),0)),ProxyDD[Chave],ProxyDD[Valor por pedido]),PROXY!$P$2),0),0)</f>
        <v>0</v>
      </c>
      <c r="AP1804" s="28">
        <f ca="1">IF('Banco de Dados'!$AK1804&lt;&gt;"-",IF('Banco de Dados'!$AL1804="NÃO",IFERROR(VALUE(SUBSTITUTE(_xlfn.TEXTAFTER('Banco de Dados'!$F1804,"BRL ",1),".",",")),0),0),0)</f>
        <v>0</v>
      </c>
      <c r="AQ1804" s="28">
        <f ca="1">SUM('Banco de Dados'!$AM1804:$AP1804)</f>
        <v>0</v>
      </c>
      <c r="AR1804" s="8"/>
      <c r="AS1804" s="8"/>
      <c r="AT1804"/>
      <c r="AY1804" s="8"/>
    </row>
    <row r="1805" spans="1:51">
      <c r="A1805" s="5" t="str">
        <v>BV</v>
      </c>
      <c r="B1805" s="5" t="str">
        <f ca="1"/>
        <v>BV45831</v>
      </c>
      <c r="C1805" s="8" t="str">
        <v>Pedido 1791</v>
      </c>
      <c r="D1805" s="187">
        <v>45827</v>
      </c>
      <c r="E1805" s="9">
        <v>45831</v>
      </c>
      <c r="F1805" s="8" t="str">
        <v>PedidoF1688</v>
      </c>
      <c r="G1805" s="2" t="str">
        <v>CódRastreio1686</v>
      </c>
      <c r="H1805" s="5">
        <v>1</v>
      </c>
      <c r="I1805" s="182" t="str">
        <v>CPF 1748</v>
      </c>
      <c r="J1805" s="2" t="str">
        <v>Nome 1748</v>
      </c>
      <c r="K1805" s="8" t="str">
        <v>Tel 1748</v>
      </c>
      <c r="L1805" s="8" t="str">
        <v>Cep 1748</v>
      </c>
      <c r="M1805" s="8" t="str">
        <v>Rua 1748</v>
      </c>
      <c r="N1805" s="8" t="str">
        <v>Comp 1748</v>
      </c>
      <c r="O1805" s="8" t="str">
        <v>Máquina de cortar cabelo dragão</v>
      </c>
      <c r="P1805" s="8" t="str">
        <v>HG-2FNR-01A9</v>
      </c>
      <c r="Q1805" s="4">
        <v>45848</v>
      </c>
      <c r="R1805" s="109">
        <v>23.9</v>
      </c>
      <c r="S1805" s="11">
        <f ca="1"/>
        <v>23.9</v>
      </c>
      <c r="T1805" s="28">
        <f ca="1"/>
        <v>2.8679999999999999</v>
      </c>
      <c r="U1805" s="11">
        <f ca="1"/>
        <v>21.03</v>
      </c>
      <c r="V1805" s="11">
        <v>10.17</v>
      </c>
      <c r="W1805" s="11">
        <f ca="1"/>
        <v>0</v>
      </c>
      <c r="X1805" s="11">
        <f ca="1"/>
        <v>0.39877104377104378</v>
      </c>
      <c r="Y1805" s="11">
        <v>0</v>
      </c>
      <c r="Z1805" s="11">
        <f ca="1"/>
        <v>10.461228956228958</v>
      </c>
      <c r="AA1805" s="11">
        <f ca="1"/>
        <v>5.2306144781144788</v>
      </c>
      <c r="AB1805" s="4">
        <f ca="1"/>
        <v>45855</v>
      </c>
      <c r="AC1805" s="4">
        <v>45856</v>
      </c>
      <c r="AD1805" s="9">
        <v>45870</v>
      </c>
      <c r="AE1805" s="9">
        <v>45873</v>
      </c>
      <c r="AF1805" s="4" t="str">
        <f t="shared" ref="AF1805:AF1834" ca="1" si="132">_xlfn.CONCAT(PROPER(TEXT(AB1805,"aaaa"))," ",PROPER(TEXT(AB1805,"mm")))</f>
        <v>2025 07</v>
      </c>
      <c r="AG1805" s="8" t="str" cm="1">
        <f t="array" ref="AG1805">IFERROR(_xlfn.IFS('Banco de Dados'!#REF!="AG. COMPRA","Em processamento",'Banco de Dados'!#REF!="AG. RASTREIO","Em processamento",'Banco de Dados'!$AE1805&lt;&gt;"-","Faturado",'Banco de Dados'!$AD1805&lt;&gt;"-","Aguardando Pix",'Banco de Dados'!$AC1805&lt;&gt;"-","Pendente"),"Aguardando Liberação")</f>
        <v>Aguardando Liberação</v>
      </c>
      <c r="AH1805" s="5" t="str">
        <f>IF('Banco de Dados'!$F1805="-",_xlfn.CONCAT(PROPER(TEXT(AK1805,"aaaa"))," ",PROPER(TEXT(AK1805,"mm"))),_xlfn.CONCAT(PROPER(TEXT(E1805,"aaaa"))," ",PROPER(TEXT(E1805,"mm"))))</f>
        <v>2025 06</v>
      </c>
      <c r="AI1805" s="9" t="str">
        <f ca="1">IF('Banco de Dados'!$AK1805&lt;&gt;"-","REEMBOLSO",IFERROR(_xlfn.XLOOKUP(G1805,Follow[CODRASTREIO],Follow[STATUS]),"-"))</f>
        <v>ENTREGUE</v>
      </c>
      <c r="AJ1805" s="9">
        <f ca="1">IF('Banco de Dados'!$AI1805="ENTREGUE",_xlfn.XLOOKUP('Banco de Dados'!$G1805,Follow[CODRASTREIO],Follow[DATAATUALIZAÇÃO]),"-")</f>
        <v>45841</v>
      </c>
      <c r="AK1805" s="132" t="str">
        <f ca="1"/>
        <v>-</v>
      </c>
      <c r="AL1805" s="35"/>
      <c r="AM1805" s="109" cm="1">
        <f t="array" aca="1" ref="AM1805" ca="1">IF('Banco de Dados'!$AK1805&lt;&gt;"-",_xlfn.IFS('Banco de Dados'!$A1805="bv",IF('Banco de Dados'!$E1805&lt;45641,ROUND(SUM('Banco de Dados'!$R1805*_xlfn.XLOOKUP('Banco de Dados'!$P1805,Sku!B:B,Sku!#REF!)*20%),2),ROUND(SUM('Banco de Dados'!$R1805*_xlfn.XLOOKUP('Banco de Dados'!$P1805,Sku!B:B,Sku!H:H)*20%),2)),'Banco de Dados'!$A1805="GO",ROUND(_xlfn.XLOOKUP('Banco de Dados'!$P1805,Sku!C:C,Sku!H:H),2),'Banco de Dados'!$A1805="MEI",ROUND(_xlfn.XLOOKUP('Banco de Dados'!$P1805,Sku!D:D,Sku!H:H),2)),0)</f>
        <v>0</v>
      </c>
      <c r="AN1805" s="109">
        <f ca="1">IF('Banco de Dados'!$AK1805&lt;&gt;"-",IF('Banco de Dados'!$F1805&lt;&gt;"-",_xlfn.XLOOKUP(IFERROR(IFERROR(IFERROR(VALUE(SUBSTITUTE(MID(_xlfn.TEXTAFTER('Banco de Dados'!$F1805,"Data do Pedido:
",1),1,10),"-","/")),VALUE(SUBSTITUTE(MID(_xlfn.TEXTAFTER('Banco de Dados'!$F1805,"Order date:
",1),1,10),"-","/"))),VALUE(SUBSTITUTE(MID(_xlfn.TEXTAFTER('Banco de Dados'!$F1805,"Fecha de pedido:
",1),1,10),"-","/"))),"-"),SMS!A:A,SMS!K:K),0),0)</f>
        <v>0</v>
      </c>
      <c r="AO1805" s="109">
        <f ca="1">IF('Banco de Dados'!$AK1805&lt;&gt;"-",IF('Banco de Dados'!$F1805&lt;&gt;"-",IFERROR(_xlfn.XLOOKUP(_xlfn.CONCAT('Banco de Dados'!$A1805,IFERROR(IFERROR(VALUE(SUBSTITUTE(MID(_xlfn.TEXTAFTER('Banco de Dados'!$F1805,"Data do Pedido:
",1),1,10),"-","/")),VALUE(SUBSTITUTE(MID(_xlfn.TEXTAFTER('Banco de Dados'!$F1805,"Order date:
",1),1,10),"-","/"))),0)),ProxyDD[Chave],ProxyDD[Valor por pedido]),PROXY!$P$2),0),0)</f>
        <v>0</v>
      </c>
      <c r="AP1805" s="28">
        <f ca="1">IF('Banco de Dados'!$AK1805&lt;&gt;"-",IF('Banco de Dados'!$AL1805="NÃO",IFERROR(VALUE(SUBSTITUTE(_xlfn.TEXTAFTER('Banco de Dados'!$F1805,"BRL ",1),".",",")),0),0),0)</f>
        <v>0</v>
      </c>
      <c r="AQ1805" s="28">
        <f ca="1">SUM('Banco de Dados'!$AM1805:$AP1805)</f>
        <v>0</v>
      </c>
      <c r="AR1805" s="8"/>
      <c r="AS1805" s="8"/>
      <c r="AT1805"/>
      <c r="AY1805" s="8"/>
    </row>
    <row r="1806" spans="1:51">
      <c r="A1806" s="5" t="str">
        <v>BV</v>
      </c>
      <c r="B1806" s="5" t="str">
        <f ca="1"/>
        <v>BV45831</v>
      </c>
      <c r="C1806" s="8" t="str">
        <v>Pedido 1792</v>
      </c>
      <c r="D1806" s="187">
        <v>45827</v>
      </c>
      <c r="E1806" s="9">
        <v>45831</v>
      </c>
      <c r="F1806" s="8" t="str">
        <v>PedidoF1689</v>
      </c>
      <c r="G1806" s="2" t="str">
        <v>CódRastreio1687</v>
      </c>
      <c r="H1806" s="5">
        <v>1</v>
      </c>
      <c r="I1806" s="182" t="str">
        <v>CPF 1749</v>
      </c>
      <c r="J1806" s="2" t="str">
        <v>Nome 1749</v>
      </c>
      <c r="K1806" s="8" t="str">
        <v>Tel 1749</v>
      </c>
      <c r="L1806" s="8" t="str">
        <v>Cep 1749</v>
      </c>
      <c r="M1806" s="8" t="str">
        <v>Rua 1749</v>
      </c>
      <c r="N1806" s="8" t="str">
        <v>Comp 1749</v>
      </c>
      <c r="O1806" s="8" t="str">
        <v>Máquina de cortar cabelo dragão</v>
      </c>
      <c r="P1806" s="8" t="str">
        <v>HG-2FNR-01A9</v>
      </c>
      <c r="Q1806" s="4">
        <v>45854</v>
      </c>
      <c r="R1806" s="109">
        <v>23.9</v>
      </c>
      <c r="S1806" s="11">
        <f ca="1"/>
        <v>23.9</v>
      </c>
      <c r="T1806" s="28">
        <f ca="1"/>
        <v>2.8679999999999999</v>
      </c>
      <c r="U1806" s="11">
        <f ca="1"/>
        <v>21.03</v>
      </c>
      <c r="V1806" s="11">
        <v>15.16</v>
      </c>
      <c r="W1806" s="11">
        <f ca="1"/>
        <v>0</v>
      </c>
      <c r="X1806" s="11">
        <f ca="1"/>
        <v>0.39877104377104378</v>
      </c>
      <c r="Y1806" s="11">
        <v>0</v>
      </c>
      <c r="Z1806" s="11">
        <f ca="1"/>
        <v>5.4712289562289573</v>
      </c>
      <c r="AA1806" s="11">
        <f ca="1"/>
        <v>2.7356144781144787</v>
      </c>
      <c r="AB1806" s="4">
        <f ca="1"/>
        <v>45861</v>
      </c>
      <c r="AC1806" s="4">
        <v>45861</v>
      </c>
      <c r="AD1806" s="9">
        <v>45870</v>
      </c>
      <c r="AE1806" s="9">
        <v>45873</v>
      </c>
      <c r="AF1806" s="4" t="str">
        <f t="shared" ca="1" si="132"/>
        <v>2025 07</v>
      </c>
      <c r="AG1806" s="8" t="str" cm="1">
        <f t="array" ref="AG1806">IFERROR(_xlfn.IFS('Banco de Dados'!#REF!="AG. COMPRA","Em processamento",'Banco de Dados'!#REF!="AG. RASTREIO","Em processamento",'Banco de Dados'!$AE1806&lt;&gt;"-","Faturado",'Banco de Dados'!$AD1806&lt;&gt;"-","Aguardando Pix",'Banco de Dados'!$AC1806&lt;&gt;"-","Pendente"),"Aguardando Liberação")</f>
        <v>Aguardando Liberação</v>
      </c>
      <c r="AH1806" s="5" t="str">
        <f>IF('Banco de Dados'!$F1806="-",_xlfn.CONCAT(PROPER(TEXT(AK1806,"aaaa"))," ",PROPER(TEXT(AK1806,"mm"))),_xlfn.CONCAT(PROPER(TEXT(E1806,"aaaa"))," ",PROPER(TEXT(E1806,"mm"))))</f>
        <v>2025 06</v>
      </c>
      <c r="AI1806" s="9" t="str">
        <f ca="1">IF('Banco de Dados'!$AK1806&lt;&gt;"-","REEMBOLSO",IFERROR(_xlfn.XLOOKUP(G1806,Follow[CODRASTREIO],Follow[STATUS]),"-"))</f>
        <v>ENTREGUE</v>
      </c>
      <c r="AJ1806" s="9">
        <f ca="1">IF('Banco de Dados'!$AI1806="ENTREGUE",_xlfn.XLOOKUP('Banco de Dados'!$G1806,Follow[CODRASTREIO],Follow[DATAATUALIZAÇÃO]),"-")</f>
        <v>45845</v>
      </c>
      <c r="AK1806" s="132" t="str">
        <f ca="1"/>
        <v>-</v>
      </c>
      <c r="AL1806" s="35"/>
      <c r="AM1806" s="109" cm="1">
        <f t="array" aca="1" ref="AM1806" ca="1">IF('Banco de Dados'!$AK1806&lt;&gt;"-",_xlfn.IFS('Banco de Dados'!$A1806="bv",IF('Banco de Dados'!$E1806&lt;45641,ROUND(SUM('Banco de Dados'!$R1806*_xlfn.XLOOKUP('Banco de Dados'!$P1806,Sku!B:B,Sku!#REF!)*20%),2),ROUND(SUM('Banco de Dados'!$R1806*_xlfn.XLOOKUP('Banco de Dados'!$P1806,Sku!B:B,Sku!H:H)*20%),2)),'Banco de Dados'!$A1806="GO",ROUND(_xlfn.XLOOKUP('Banco de Dados'!$P1806,Sku!C:C,Sku!H:H),2),'Banco de Dados'!$A1806="MEI",ROUND(_xlfn.XLOOKUP('Banco de Dados'!$P1806,Sku!D:D,Sku!H:H),2)),0)</f>
        <v>0</v>
      </c>
      <c r="AN1806" s="109">
        <f ca="1">IF('Banco de Dados'!$AK1806&lt;&gt;"-",IF('Banco de Dados'!$F1806&lt;&gt;"-",_xlfn.XLOOKUP(IFERROR(IFERROR(IFERROR(VALUE(SUBSTITUTE(MID(_xlfn.TEXTAFTER('Banco de Dados'!$F1806,"Data do Pedido:
",1),1,10),"-","/")),VALUE(SUBSTITUTE(MID(_xlfn.TEXTAFTER('Banco de Dados'!$F1806,"Order date:
",1),1,10),"-","/"))),VALUE(SUBSTITUTE(MID(_xlfn.TEXTAFTER('Banco de Dados'!$F1806,"Fecha de pedido:
",1),1,10),"-","/"))),"-"),SMS!A:A,SMS!K:K),0),0)</f>
        <v>0</v>
      </c>
      <c r="AO1806" s="109">
        <f ca="1">IF('Banco de Dados'!$AK1806&lt;&gt;"-",IF('Banco de Dados'!$F1806&lt;&gt;"-",IFERROR(_xlfn.XLOOKUP(_xlfn.CONCAT('Banco de Dados'!$A1806,IFERROR(IFERROR(VALUE(SUBSTITUTE(MID(_xlfn.TEXTAFTER('Banco de Dados'!$F1806,"Data do Pedido:
",1),1,10),"-","/")),VALUE(SUBSTITUTE(MID(_xlfn.TEXTAFTER('Banco de Dados'!$F1806,"Order date:
",1),1,10),"-","/"))),0)),ProxyDD[Chave],ProxyDD[Valor por pedido]),PROXY!$P$2),0),0)</f>
        <v>0</v>
      </c>
      <c r="AP1806" s="28">
        <f ca="1">IF('Banco de Dados'!$AK1806&lt;&gt;"-",IF('Banco de Dados'!$AL1806="NÃO",IFERROR(VALUE(SUBSTITUTE(_xlfn.TEXTAFTER('Banco de Dados'!$F1806,"BRL ",1),".",",")),0),0),0)</f>
        <v>0</v>
      </c>
      <c r="AQ1806" s="28">
        <f ca="1">SUM('Banco de Dados'!$AM1806:$AP1806)</f>
        <v>0</v>
      </c>
      <c r="AR1806" s="8"/>
      <c r="AS1806" s="8"/>
      <c r="AT1806"/>
      <c r="AY1806" s="8"/>
    </row>
    <row r="1807" spans="1:51">
      <c r="A1807" s="5" t="str">
        <v>BV</v>
      </c>
      <c r="B1807" s="5" t="str">
        <f ca="1"/>
        <v>BV45831</v>
      </c>
      <c r="C1807" s="8" t="str">
        <v>Pedido 1793</v>
      </c>
      <c r="D1807" s="187">
        <v>45827</v>
      </c>
      <c r="E1807" s="9">
        <v>45831</v>
      </c>
      <c r="F1807" s="8" t="str">
        <v>PedidoF1690</v>
      </c>
      <c r="G1807" s="2" t="str">
        <v>CódRastreio1688</v>
      </c>
      <c r="H1807" s="5">
        <v>1</v>
      </c>
      <c r="I1807" s="182" t="str">
        <v>CPF 1750</v>
      </c>
      <c r="J1807" s="2" t="str">
        <v>Nome 1750</v>
      </c>
      <c r="K1807" s="8" t="str">
        <v>Tel 1750</v>
      </c>
      <c r="L1807" s="8" t="str">
        <v>Cep 1750</v>
      </c>
      <c r="M1807" s="8" t="str">
        <v>Rua 1750</v>
      </c>
      <c r="N1807" s="8" t="str">
        <v>Comp 1750</v>
      </c>
      <c r="O1807" s="8" t="str">
        <v>Máquina de cortar cabelo dragão</v>
      </c>
      <c r="P1807" s="8" t="str">
        <v>HG-2FNR-01A9</v>
      </c>
      <c r="Q1807" s="4">
        <v>45854</v>
      </c>
      <c r="R1807" s="109">
        <v>23.9</v>
      </c>
      <c r="S1807" s="11">
        <f ca="1"/>
        <v>23.9</v>
      </c>
      <c r="T1807" s="28">
        <f ca="1"/>
        <v>2.8679999999999999</v>
      </c>
      <c r="U1807" s="11">
        <f ca="1"/>
        <v>21.03</v>
      </c>
      <c r="V1807" s="11">
        <v>10.57</v>
      </c>
      <c r="W1807" s="11">
        <f ca="1"/>
        <v>0</v>
      </c>
      <c r="X1807" s="11">
        <f ca="1"/>
        <v>0.39877104377104378</v>
      </c>
      <c r="Y1807" s="11">
        <v>0</v>
      </c>
      <c r="Z1807" s="11">
        <f ca="1"/>
        <v>10.061228956228957</v>
      </c>
      <c r="AA1807" s="11">
        <f ca="1"/>
        <v>5.0306144781144786</v>
      </c>
      <c r="AB1807" s="4">
        <f ca="1"/>
        <v>45861</v>
      </c>
      <c r="AC1807" s="4">
        <v>45861</v>
      </c>
      <c r="AD1807" s="9">
        <v>45870</v>
      </c>
      <c r="AE1807" s="9">
        <v>45873</v>
      </c>
      <c r="AF1807" s="4" t="str">
        <f t="shared" ca="1" si="132"/>
        <v>2025 07</v>
      </c>
      <c r="AG1807" s="8" t="str" cm="1">
        <f t="array" ref="AG1807">IFERROR(_xlfn.IFS('Banco de Dados'!#REF!="AG. COMPRA","Em processamento",'Banco de Dados'!#REF!="AG. RASTREIO","Em processamento",'Banco de Dados'!$AE1807&lt;&gt;"-","Faturado",'Banco de Dados'!$AD1807&lt;&gt;"-","Aguardando Pix",'Banco de Dados'!$AC1807&lt;&gt;"-","Pendente"),"Aguardando Liberação")</f>
        <v>Aguardando Liberação</v>
      </c>
      <c r="AH1807" s="5" t="str">
        <f>IF('Banco de Dados'!$F1807="-",_xlfn.CONCAT(PROPER(TEXT(AK1807,"aaaa"))," ",PROPER(TEXT(AK1807,"mm"))),_xlfn.CONCAT(PROPER(TEXT(E1807,"aaaa"))," ",PROPER(TEXT(E1807,"mm"))))</f>
        <v>2025 06</v>
      </c>
      <c r="AI1807" s="9" t="str">
        <f ca="1">IF('Banco de Dados'!$AK1807&lt;&gt;"-","REEMBOLSO",IFERROR(_xlfn.XLOOKUP(G1807,Follow[CODRASTREIO],Follow[STATUS]),"-"))</f>
        <v>ENTREGUE</v>
      </c>
      <c r="AJ1807" s="9">
        <f ca="1">IF('Banco de Dados'!$AI1807="ENTREGUE",_xlfn.XLOOKUP('Banco de Dados'!$G1807,Follow[CODRASTREIO],Follow[DATAATUALIZAÇÃO]),"-")</f>
        <v>45852</v>
      </c>
      <c r="AK1807" s="132" t="str">
        <f ca="1"/>
        <v>-</v>
      </c>
      <c r="AL1807" s="35"/>
      <c r="AM1807" s="109" cm="1">
        <f t="array" aca="1" ref="AM1807" ca="1">IF('Banco de Dados'!$AK1807&lt;&gt;"-",_xlfn.IFS('Banco de Dados'!$A1807="bv",IF('Banco de Dados'!$E1807&lt;45641,ROUND(SUM('Banco de Dados'!$R1807*_xlfn.XLOOKUP('Banco de Dados'!$P1807,Sku!B:B,Sku!#REF!)*20%),2),ROUND(SUM('Banco de Dados'!$R1807*_xlfn.XLOOKUP('Banco de Dados'!$P1807,Sku!B:B,Sku!H:H)*20%),2)),'Banco de Dados'!$A1807="GO",ROUND(_xlfn.XLOOKUP('Banco de Dados'!$P1807,Sku!C:C,Sku!H:H),2),'Banco de Dados'!$A1807="MEI",ROUND(_xlfn.XLOOKUP('Banco de Dados'!$P1807,Sku!D:D,Sku!H:H),2)),0)</f>
        <v>0</v>
      </c>
      <c r="AN1807" s="109">
        <f ca="1">IF('Banco de Dados'!$AK1807&lt;&gt;"-",IF('Banco de Dados'!$F1807&lt;&gt;"-",_xlfn.XLOOKUP(IFERROR(IFERROR(IFERROR(VALUE(SUBSTITUTE(MID(_xlfn.TEXTAFTER('Banco de Dados'!$F1807,"Data do Pedido:
",1),1,10),"-","/")),VALUE(SUBSTITUTE(MID(_xlfn.TEXTAFTER('Banco de Dados'!$F1807,"Order date:
",1),1,10),"-","/"))),VALUE(SUBSTITUTE(MID(_xlfn.TEXTAFTER('Banco de Dados'!$F1807,"Fecha de pedido:
",1),1,10),"-","/"))),"-"),SMS!A:A,SMS!K:K),0),0)</f>
        <v>0</v>
      </c>
      <c r="AO1807" s="109">
        <f ca="1">IF('Banco de Dados'!$AK1807&lt;&gt;"-",IF('Banco de Dados'!$F1807&lt;&gt;"-",IFERROR(_xlfn.XLOOKUP(_xlfn.CONCAT('Banco de Dados'!$A1807,IFERROR(IFERROR(VALUE(SUBSTITUTE(MID(_xlfn.TEXTAFTER('Banco de Dados'!$F1807,"Data do Pedido:
",1),1,10),"-","/")),VALUE(SUBSTITUTE(MID(_xlfn.TEXTAFTER('Banco de Dados'!$F1807,"Order date:
",1),1,10),"-","/"))),0)),ProxyDD[Chave],ProxyDD[Valor por pedido]),PROXY!$P$2),0),0)</f>
        <v>0</v>
      </c>
      <c r="AP1807" s="28">
        <f ca="1">IF('Banco de Dados'!$AK1807&lt;&gt;"-",IF('Banco de Dados'!$AL1807="NÃO",IFERROR(VALUE(SUBSTITUTE(_xlfn.TEXTAFTER('Banco de Dados'!$F1807,"BRL ",1),".",",")),0),0),0)</f>
        <v>0</v>
      </c>
      <c r="AQ1807" s="28">
        <f ca="1">SUM('Banco de Dados'!$AM1807:$AP1807)</f>
        <v>0</v>
      </c>
      <c r="AR1807" s="8"/>
      <c r="AS1807" s="8"/>
      <c r="AT1807"/>
      <c r="AY1807" s="8"/>
    </row>
    <row r="1808" spans="1:51">
      <c r="A1808" s="5" t="str">
        <v>BV</v>
      </c>
      <c r="B1808" s="5" t="str">
        <f ca="1"/>
        <v>BV45831</v>
      </c>
      <c r="C1808" s="8" t="str">
        <v>Pedido 1794</v>
      </c>
      <c r="D1808" s="187">
        <v>45827</v>
      </c>
      <c r="E1808" s="9">
        <v>45831</v>
      </c>
      <c r="F1808" s="8" t="str">
        <v>PedidoF1691</v>
      </c>
      <c r="G1808" s="2" t="str">
        <v>CódRastreio1689</v>
      </c>
      <c r="H1808" s="5">
        <v>1</v>
      </c>
      <c r="I1808" s="182" t="str">
        <v>CPF 1751</v>
      </c>
      <c r="J1808" s="2" t="str">
        <v>Nome 1751</v>
      </c>
      <c r="K1808" s="8" t="str">
        <v>Tel 1751</v>
      </c>
      <c r="L1808" s="8" t="str">
        <v>Cep 1751</v>
      </c>
      <c r="M1808" s="8" t="str">
        <v>Rua 1751</v>
      </c>
      <c r="N1808" s="8" t="str">
        <v>Comp 1751</v>
      </c>
      <c r="O1808" s="8" t="str">
        <v>Máquina de cortar cabelo dragão</v>
      </c>
      <c r="P1808" s="8" t="str">
        <v>HG-2FNR-01A9</v>
      </c>
      <c r="Q1808" s="4">
        <v>45848</v>
      </c>
      <c r="R1808" s="109">
        <v>23.9</v>
      </c>
      <c r="S1808" s="11">
        <f ca="1"/>
        <v>23.9</v>
      </c>
      <c r="T1808" s="28">
        <f ca="1"/>
        <v>2.8679999999999999</v>
      </c>
      <c r="U1808" s="11">
        <f ca="1"/>
        <v>21.03</v>
      </c>
      <c r="V1808" s="11">
        <v>12.27</v>
      </c>
      <c r="W1808" s="11">
        <f ca="1"/>
        <v>0</v>
      </c>
      <c r="X1808" s="11">
        <f ca="1"/>
        <v>0.39877104377104378</v>
      </c>
      <c r="Y1808" s="11">
        <v>0</v>
      </c>
      <c r="Z1808" s="11">
        <f ca="1"/>
        <v>8.3612289562289579</v>
      </c>
      <c r="AA1808" s="11">
        <f ca="1"/>
        <v>4.1806144781144789</v>
      </c>
      <c r="AB1808" s="4">
        <f ca="1"/>
        <v>45855</v>
      </c>
      <c r="AC1808" s="4">
        <v>45856</v>
      </c>
      <c r="AD1808" s="9">
        <v>45870</v>
      </c>
      <c r="AE1808" s="9">
        <v>45873</v>
      </c>
      <c r="AF1808" s="4" t="str">
        <f t="shared" ca="1" si="132"/>
        <v>2025 07</v>
      </c>
      <c r="AG1808" s="8" t="str" cm="1">
        <f t="array" ref="AG1808">IFERROR(_xlfn.IFS('Banco de Dados'!#REF!="AG. COMPRA","Em processamento",'Banco de Dados'!#REF!="AG. RASTREIO","Em processamento",'Banco de Dados'!$AE1808&lt;&gt;"-","Faturado",'Banco de Dados'!$AD1808&lt;&gt;"-","Aguardando Pix",'Banco de Dados'!$AC1808&lt;&gt;"-","Pendente"),"Aguardando Liberação")</f>
        <v>Aguardando Liberação</v>
      </c>
      <c r="AH1808" s="5" t="str">
        <f>IF('Banco de Dados'!$F1808="-",_xlfn.CONCAT(PROPER(TEXT(AK1808,"aaaa"))," ",PROPER(TEXT(AK1808,"mm"))),_xlfn.CONCAT(PROPER(TEXT(E1808,"aaaa"))," ",PROPER(TEXT(E1808,"mm"))))</f>
        <v>2025 06</v>
      </c>
      <c r="AI1808" s="9" t="str">
        <f ca="1">IF('Banco de Dados'!$AK1808&lt;&gt;"-","REEMBOLSO",IFERROR(_xlfn.XLOOKUP(G1808,Follow[CODRASTREIO],Follow[STATUS]),"-"))</f>
        <v>ENTREGUE</v>
      </c>
      <c r="AJ1808" s="9">
        <f ca="1">IF('Banco de Dados'!$AI1808="ENTREGUE",_xlfn.XLOOKUP('Banco de Dados'!$G1808,Follow[CODRASTREIO],Follow[DATAATUALIZAÇÃO]),"-")</f>
        <v>45840</v>
      </c>
      <c r="AK1808" s="132" t="str">
        <f ca="1"/>
        <v>-</v>
      </c>
      <c r="AL1808" s="35"/>
      <c r="AM1808" s="109" cm="1">
        <f t="array" aca="1" ref="AM1808" ca="1">IF('Banco de Dados'!$AK1808&lt;&gt;"-",_xlfn.IFS('Banco de Dados'!$A1808="bv",IF('Banco de Dados'!$E1808&lt;45641,ROUND(SUM('Banco de Dados'!$R1808*_xlfn.XLOOKUP('Banco de Dados'!$P1808,Sku!B:B,Sku!#REF!)*20%),2),ROUND(SUM('Banco de Dados'!$R1808*_xlfn.XLOOKUP('Banco de Dados'!$P1808,Sku!B:B,Sku!H:H)*20%),2)),'Banco de Dados'!$A1808="GO",ROUND(_xlfn.XLOOKUP('Banco de Dados'!$P1808,Sku!C:C,Sku!H:H),2),'Banco de Dados'!$A1808="MEI",ROUND(_xlfn.XLOOKUP('Banco de Dados'!$P1808,Sku!D:D,Sku!H:H),2)),0)</f>
        <v>0</v>
      </c>
      <c r="AN1808" s="109">
        <f ca="1">IF('Banco de Dados'!$AK1808&lt;&gt;"-",IF('Banco de Dados'!$F1808&lt;&gt;"-",_xlfn.XLOOKUP(IFERROR(IFERROR(IFERROR(VALUE(SUBSTITUTE(MID(_xlfn.TEXTAFTER('Banco de Dados'!$F1808,"Data do Pedido:
",1),1,10),"-","/")),VALUE(SUBSTITUTE(MID(_xlfn.TEXTAFTER('Banco de Dados'!$F1808,"Order date:
",1),1,10),"-","/"))),VALUE(SUBSTITUTE(MID(_xlfn.TEXTAFTER('Banco de Dados'!$F1808,"Fecha de pedido:
",1),1,10),"-","/"))),"-"),SMS!A:A,SMS!K:K),0),0)</f>
        <v>0</v>
      </c>
      <c r="AO1808" s="109">
        <f ca="1">IF('Banco de Dados'!$AK1808&lt;&gt;"-",IF('Banco de Dados'!$F1808&lt;&gt;"-",IFERROR(_xlfn.XLOOKUP(_xlfn.CONCAT('Banco de Dados'!$A1808,IFERROR(IFERROR(VALUE(SUBSTITUTE(MID(_xlfn.TEXTAFTER('Banco de Dados'!$F1808,"Data do Pedido:
",1),1,10),"-","/")),VALUE(SUBSTITUTE(MID(_xlfn.TEXTAFTER('Banco de Dados'!$F1808,"Order date:
",1),1,10),"-","/"))),0)),ProxyDD[Chave],ProxyDD[Valor por pedido]),PROXY!$P$2),0),0)</f>
        <v>0</v>
      </c>
      <c r="AP1808" s="28">
        <f ca="1">IF('Banco de Dados'!$AK1808&lt;&gt;"-",IF('Banco de Dados'!$AL1808="NÃO",IFERROR(VALUE(SUBSTITUTE(_xlfn.TEXTAFTER('Banco de Dados'!$F1808,"BRL ",1),".",",")),0),0),0)</f>
        <v>0</v>
      </c>
      <c r="AQ1808" s="28">
        <f ca="1">SUM('Banco de Dados'!$AM1808:$AP1808)</f>
        <v>0</v>
      </c>
      <c r="AR1808" s="8"/>
      <c r="AS1808" s="8"/>
      <c r="AT1808"/>
      <c r="AY1808" s="8"/>
    </row>
    <row r="1809" spans="1:51">
      <c r="A1809" s="5" t="str">
        <v>BV</v>
      </c>
      <c r="B1809" s="5" t="str">
        <f ca="1"/>
        <v>BV45831</v>
      </c>
      <c r="C1809" s="8" t="str">
        <v>Pedido 1795</v>
      </c>
      <c r="D1809" s="187">
        <v>45828</v>
      </c>
      <c r="E1809" s="9">
        <v>45831</v>
      </c>
      <c r="F1809" s="8" t="str">
        <v>PedidoF1692</v>
      </c>
      <c r="G1809" s="2" t="str">
        <v>CódRastreio1690</v>
      </c>
      <c r="H1809" s="5">
        <v>1</v>
      </c>
      <c r="I1809" s="182" t="str">
        <v>CPF 1752</v>
      </c>
      <c r="J1809" s="2" t="str">
        <v>Nome 1752</v>
      </c>
      <c r="K1809" s="8" t="str">
        <v>Tel 1752</v>
      </c>
      <c r="L1809" s="8" t="str">
        <v>Cep 1752</v>
      </c>
      <c r="M1809" s="8" t="str">
        <v>Rua 1752</v>
      </c>
      <c r="N1809" s="8" t="str">
        <v>Comp 1752</v>
      </c>
      <c r="O1809" s="8" t="str">
        <v>Máquina de cortar cabelo dragão</v>
      </c>
      <c r="P1809" s="8" t="str">
        <v>HG-2FNR-01A9</v>
      </c>
      <c r="Q1809" s="4">
        <v>45854</v>
      </c>
      <c r="R1809" s="109">
        <v>23.9</v>
      </c>
      <c r="S1809" s="11">
        <f ca="1"/>
        <v>23.9</v>
      </c>
      <c r="T1809" s="28">
        <f ca="1"/>
        <v>2.8679999999999999</v>
      </c>
      <c r="U1809" s="11">
        <f ca="1"/>
        <v>21.03</v>
      </c>
      <c r="V1809" s="11">
        <v>9.4</v>
      </c>
      <c r="W1809" s="11">
        <f ca="1"/>
        <v>0</v>
      </c>
      <c r="X1809" s="11">
        <f ca="1"/>
        <v>0.39877104377104378</v>
      </c>
      <c r="Y1809" s="11">
        <v>0</v>
      </c>
      <c r="Z1809" s="11">
        <f ca="1"/>
        <v>11.231228956228957</v>
      </c>
      <c r="AA1809" s="11">
        <f ca="1"/>
        <v>5.6156144781144786</v>
      </c>
      <c r="AB1809" s="4">
        <f ca="1"/>
        <v>45861</v>
      </c>
      <c r="AC1809" s="4">
        <v>45861</v>
      </c>
      <c r="AD1809" s="9">
        <v>45870</v>
      </c>
      <c r="AE1809" s="9">
        <v>45873</v>
      </c>
      <c r="AF1809" s="4" t="str">
        <f t="shared" ca="1" si="132"/>
        <v>2025 07</v>
      </c>
      <c r="AG1809" s="8" t="str" cm="1">
        <f t="array" ref="AG1809">IFERROR(_xlfn.IFS('Banco de Dados'!#REF!="AG. COMPRA","Em processamento",'Banco de Dados'!#REF!="AG. RASTREIO","Em processamento",'Banco de Dados'!$AE1809&lt;&gt;"-","Faturado",'Banco de Dados'!$AD1809&lt;&gt;"-","Aguardando Pix",'Banco de Dados'!$AC1809&lt;&gt;"-","Pendente"),"Aguardando Liberação")</f>
        <v>Aguardando Liberação</v>
      </c>
      <c r="AH1809" s="5" t="str">
        <f>IF('Banco de Dados'!$F1809="-",_xlfn.CONCAT(PROPER(TEXT(AK1809,"aaaa"))," ",PROPER(TEXT(AK1809,"mm"))),_xlfn.CONCAT(PROPER(TEXT(E1809,"aaaa"))," ",PROPER(TEXT(E1809,"mm"))))</f>
        <v>2025 06</v>
      </c>
      <c r="AI1809" s="9" t="str">
        <f ca="1">IF('Banco de Dados'!$AK1809&lt;&gt;"-","REEMBOLSO",IFERROR(_xlfn.XLOOKUP(G1809,Follow[CODRASTREIO],Follow[STATUS]),"-"))</f>
        <v>ENTREGUE</v>
      </c>
      <c r="AJ1809" s="9">
        <f ca="1">IF('Banco de Dados'!$AI1809="ENTREGUE",_xlfn.XLOOKUP('Banco de Dados'!$G1809,Follow[CODRASTREIO],Follow[DATAATUALIZAÇÃO]),"-")</f>
        <v>45839</v>
      </c>
      <c r="AK1809" s="132" t="str">
        <f ca="1"/>
        <v>-</v>
      </c>
      <c r="AL1809" s="35"/>
      <c r="AM1809" s="109" cm="1">
        <f t="array" aca="1" ref="AM1809" ca="1">IF('Banco de Dados'!$AK1809&lt;&gt;"-",_xlfn.IFS('Banco de Dados'!$A1809="bv",IF('Banco de Dados'!$E1809&lt;45641,ROUND(SUM('Banco de Dados'!$R1809*_xlfn.XLOOKUP('Banco de Dados'!$P1809,Sku!B:B,Sku!#REF!)*20%),2),ROUND(SUM('Banco de Dados'!$R1809*_xlfn.XLOOKUP('Banco de Dados'!$P1809,Sku!B:B,Sku!H:H)*20%),2)),'Banco de Dados'!$A1809="GO",ROUND(_xlfn.XLOOKUP('Banco de Dados'!$P1809,Sku!C:C,Sku!H:H),2),'Banco de Dados'!$A1809="MEI",ROUND(_xlfn.XLOOKUP('Banco de Dados'!$P1809,Sku!D:D,Sku!H:H),2)),0)</f>
        <v>0</v>
      </c>
      <c r="AN1809" s="109">
        <f ca="1">IF('Banco de Dados'!$AK1809&lt;&gt;"-",IF('Banco de Dados'!$F1809&lt;&gt;"-",_xlfn.XLOOKUP(IFERROR(IFERROR(IFERROR(VALUE(SUBSTITUTE(MID(_xlfn.TEXTAFTER('Banco de Dados'!$F1809,"Data do Pedido:
",1),1,10),"-","/")),VALUE(SUBSTITUTE(MID(_xlfn.TEXTAFTER('Banco de Dados'!$F1809,"Order date:
",1),1,10),"-","/"))),VALUE(SUBSTITUTE(MID(_xlfn.TEXTAFTER('Banco de Dados'!$F1809,"Fecha de pedido:
",1),1,10),"-","/"))),"-"),SMS!A:A,SMS!K:K),0),0)</f>
        <v>0</v>
      </c>
      <c r="AO1809" s="109">
        <f ca="1">IF('Banco de Dados'!$AK1809&lt;&gt;"-",IF('Banco de Dados'!$F1809&lt;&gt;"-",IFERROR(_xlfn.XLOOKUP(_xlfn.CONCAT('Banco de Dados'!$A1809,IFERROR(IFERROR(VALUE(SUBSTITUTE(MID(_xlfn.TEXTAFTER('Banco de Dados'!$F1809,"Data do Pedido:
",1),1,10),"-","/")),VALUE(SUBSTITUTE(MID(_xlfn.TEXTAFTER('Banco de Dados'!$F1809,"Order date:
",1),1,10),"-","/"))),0)),ProxyDD[Chave],ProxyDD[Valor por pedido]),PROXY!$P$2),0),0)</f>
        <v>0</v>
      </c>
      <c r="AP1809" s="28">
        <f ca="1">IF('Banco de Dados'!$AK1809&lt;&gt;"-",IF('Banco de Dados'!$AL1809="NÃO",IFERROR(VALUE(SUBSTITUTE(_xlfn.TEXTAFTER('Banco de Dados'!$F1809,"BRL ",1),".",",")),0),0),0)</f>
        <v>0</v>
      </c>
      <c r="AQ1809" s="28">
        <f ca="1">SUM('Banco de Dados'!$AM1809:$AP1809)</f>
        <v>0</v>
      </c>
      <c r="AR1809" s="8"/>
      <c r="AS1809" s="8"/>
      <c r="AT1809"/>
      <c r="AY1809" s="8"/>
    </row>
    <row r="1810" spans="1:51">
      <c r="A1810" s="5" t="str">
        <v>BV</v>
      </c>
      <c r="B1810" s="5" t="str">
        <f ca="1"/>
        <v>BV45831</v>
      </c>
      <c r="C1810" s="8" t="str">
        <v>Pedido 1796</v>
      </c>
      <c r="D1810" s="187">
        <v>45828</v>
      </c>
      <c r="E1810" s="9">
        <v>45831</v>
      </c>
      <c r="F1810" s="8" t="str">
        <v>PedidoF1693</v>
      </c>
      <c r="G1810" s="2" t="str">
        <v>CódRastreio1691</v>
      </c>
      <c r="H1810" s="5">
        <v>1</v>
      </c>
      <c r="I1810" s="182" t="str">
        <v>CPF 1753</v>
      </c>
      <c r="J1810" s="2" t="str">
        <v>Nome 1753</v>
      </c>
      <c r="K1810" s="8" t="str">
        <v>Tel 1753</v>
      </c>
      <c r="L1810" s="8" t="str">
        <v>Cep 1753</v>
      </c>
      <c r="M1810" s="8" t="str">
        <v>Rua 1753</v>
      </c>
      <c r="N1810" s="8" t="str">
        <v>Comp 1753</v>
      </c>
      <c r="O1810" s="8" t="str">
        <v>Máquina de cortar cabelo dragão</v>
      </c>
      <c r="P1810" s="8" t="str">
        <v>HG-2FNR-01A9</v>
      </c>
      <c r="Q1810" s="4">
        <v>45848</v>
      </c>
      <c r="R1810" s="109">
        <v>23.9</v>
      </c>
      <c r="S1810" s="11">
        <f ca="1"/>
        <v>23.9</v>
      </c>
      <c r="T1810" s="28">
        <f ca="1"/>
        <v>2.8679999999999999</v>
      </c>
      <c r="U1810" s="11">
        <f ca="1"/>
        <v>21.03</v>
      </c>
      <c r="V1810" s="11">
        <v>10.17</v>
      </c>
      <c r="W1810" s="11">
        <f ca="1"/>
        <v>0</v>
      </c>
      <c r="X1810" s="11">
        <f ca="1"/>
        <v>0.39877104377104378</v>
      </c>
      <c r="Y1810" s="11">
        <v>0</v>
      </c>
      <c r="Z1810" s="11">
        <f ca="1"/>
        <v>10.461228956228958</v>
      </c>
      <c r="AA1810" s="11">
        <f ca="1"/>
        <v>5.2306144781144788</v>
      </c>
      <c r="AB1810" s="4">
        <f ca="1"/>
        <v>45855</v>
      </c>
      <c r="AC1810" s="4">
        <v>45856</v>
      </c>
      <c r="AD1810" s="9">
        <v>45870</v>
      </c>
      <c r="AE1810" s="9">
        <v>45873</v>
      </c>
      <c r="AF1810" s="4" t="str">
        <f t="shared" ca="1" si="132"/>
        <v>2025 07</v>
      </c>
      <c r="AG1810" s="8" t="str" cm="1">
        <f t="array" ref="AG1810">IFERROR(_xlfn.IFS('Banco de Dados'!#REF!="AG. COMPRA","Em processamento",'Banco de Dados'!#REF!="AG. RASTREIO","Em processamento",'Banco de Dados'!$AE1810&lt;&gt;"-","Faturado",'Banco de Dados'!$AD1810&lt;&gt;"-","Aguardando Pix",'Banco de Dados'!$AC1810&lt;&gt;"-","Pendente"),"Aguardando Liberação")</f>
        <v>Aguardando Liberação</v>
      </c>
      <c r="AH1810" s="5" t="str">
        <f>IF('Banco de Dados'!$F1810="-",_xlfn.CONCAT(PROPER(TEXT(AK1810,"aaaa"))," ",PROPER(TEXT(AK1810,"mm"))),_xlfn.CONCAT(PROPER(TEXT(E1810,"aaaa"))," ",PROPER(TEXT(E1810,"mm"))))</f>
        <v>2025 06</v>
      </c>
      <c r="AI1810" s="9" t="str">
        <f ca="1">IF('Banco de Dados'!$AK1810&lt;&gt;"-","REEMBOLSO",IFERROR(_xlfn.XLOOKUP(G1810,Follow[CODRASTREIO],Follow[STATUS]),"-"))</f>
        <v>ENTREGUE</v>
      </c>
      <c r="AJ1810" s="9">
        <f ca="1">IF('Banco de Dados'!$AI1810="ENTREGUE",_xlfn.XLOOKUP('Banco de Dados'!$G1810,Follow[CODRASTREIO],Follow[DATAATUALIZAÇÃO]),"-")</f>
        <v>45846</v>
      </c>
      <c r="AK1810" s="132" t="str">
        <f ca="1"/>
        <v>-</v>
      </c>
      <c r="AL1810" s="35"/>
      <c r="AM1810" s="109" cm="1">
        <f t="array" aca="1" ref="AM1810" ca="1">IF('Banco de Dados'!$AK1810&lt;&gt;"-",_xlfn.IFS('Banco de Dados'!$A1810="bv",IF('Banco de Dados'!$E1810&lt;45641,ROUND(SUM('Banco de Dados'!$R1810*_xlfn.XLOOKUP('Banco de Dados'!$P1810,Sku!B:B,Sku!#REF!)*20%),2),ROUND(SUM('Banco de Dados'!$R1810*_xlfn.XLOOKUP('Banco de Dados'!$P1810,Sku!B:B,Sku!H:H)*20%),2)),'Banco de Dados'!$A1810="GO",ROUND(_xlfn.XLOOKUP('Banco de Dados'!$P1810,Sku!C:C,Sku!H:H),2),'Banco de Dados'!$A1810="MEI",ROUND(_xlfn.XLOOKUP('Banco de Dados'!$P1810,Sku!D:D,Sku!H:H),2)),0)</f>
        <v>0</v>
      </c>
      <c r="AN1810" s="109">
        <f ca="1">IF('Banco de Dados'!$AK1810&lt;&gt;"-",IF('Banco de Dados'!$F1810&lt;&gt;"-",_xlfn.XLOOKUP(IFERROR(IFERROR(IFERROR(VALUE(SUBSTITUTE(MID(_xlfn.TEXTAFTER('Banco de Dados'!$F1810,"Data do Pedido:
",1),1,10),"-","/")),VALUE(SUBSTITUTE(MID(_xlfn.TEXTAFTER('Banco de Dados'!$F1810,"Order date:
",1),1,10),"-","/"))),VALUE(SUBSTITUTE(MID(_xlfn.TEXTAFTER('Banco de Dados'!$F1810,"Fecha de pedido:
",1),1,10),"-","/"))),"-"),SMS!A:A,SMS!K:K),0),0)</f>
        <v>0</v>
      </c>
      <c r="AO1810" s="109">
        <f ca="1">IF('Banco de Dados'!$AK1810&lt;&gt;"-",IF('Banco de Dados'!$F1810&lt;&gt;"-",IFERROR(_xlfn.XLOOKUP(_xlfn.CONCAT('Banco de Dados'!$A1810,IFERROR(IFERROR(VALUE(SUBSTITUTE(MID(_xlfn.TEXTAFTER('Banco de Dados'!$F1810,"Data do Pedido:
",1),1,10),"-","/")),VALUE(SUBSTITUTE(MID(_xlfn.TEXTAFTER('Banco de Dados'!$F1810,"Order date:
",1),1,10),"-","/"))),0)),ProxyDD[Chave],ProxyDD[Valor por pedido]),PROXY!$P$2),0),0)</f>
        <v>0</v>
      </c>
      <c r="AP1810" s="28">
        <f ca="1">IF('Banco de Dados'!$AK1810&lt;&gt;"-",IF('Banco de Dados'!$AL1810="NÃO",IFERROR(VALUE(SUBSTITUTE(_xlfn.TEXTAFTER('Banco de Dados'!$F1810,"BRL ",1),".",",")),0),0),0)</f>
        <v>0</v>
      </c>
      <c r="AQ1810" s="28">
        <f ca="1">SUM('Banco de Dados'!$AM1810:$AP1810)</f>
        <v>0</v>
      </c>
      <c r="AR1810" s="8"/>
      <c r="AS1810" s="8"/>
      <c r="AT1810"/>
      <c r="AY1810" s="8"/>
    </row>
    <row r="1811" spans="1:51">
      <c r="A1811" s="5" t="str">
        <v>BV</v>
      </c>
      <c r="B1811" s="5" t="str">
        <f ca="1"/>
        <v>BV45832</v>
      </c>
      <c r="C1811" s="8" t="str">
        <v>Pedido 1797</v>
      </c>
      <c r="D1811" s="187">
        <v>45828</v>
      </c>
      <c r="E1811" s="9">
        <v>45832</v>
      </c>
      <c r="F1811" s="8" t="str">
        <v>PedidoF1694</v>
      </c>
      <c r="G1811" s="2" t="str">
        <v>CódRastreio1692</v>
      </c>
      <c r="H1811" s="5">
        <v>1</v>
      </c>
      <c r="I1811" s="182" t="str">
        <v>CPF 1754</v>
      </c>
      <c r="J1811" s="2" t="str">
        <v>Nome 1754</v>
      </c>
      <c r="K1811" s="8" t="str">
        <v>Tel 1754</v>
      </c>
      <c r="L1811" s="8" t="str">
        <v>Cep 1754</v>
      </c>
      <c r="M1811" s="8" t="str">
        <v>Rua 1754</v>
      </c>
      <c r="N1811" s="8" t="str">
        <v>Comp 1754</v>
      </c>
      <c r="O1811" s="8" t="str">
        <v>Máquina de cortar cabelo dragão</v>
      </c>
      <c r="P1811" s="8" t="str">
        <v>NQ-IMR8-W6Q4</v>
      </c>
      <c r="Q1811" s="4">
        <v>45861</v>
      </c>
      <c r="R1811" s="109">
        <v>23.9</v>
      </c>
      <c r="S1811" s="11">
        <f ca="1"/>
        <v>23.9</v>
      </c>
      <c r="T1811" s="28">
        <f ca="1"/>
        <v>2.8679999999999999</v>
      </c>
      <c r="U1811" s="11">
        <f ca="1"/>
        <v>21.03</v>
      </c>
      <c r="V1811" s="11">
        <v>10.220000000000001</v>
      </c>
      <c r="W1811" s="11">
        <f ca="1"/>
        <v>0</v>
      </c>
      <c r="X1811" s="11">
        <f ca="1"/>
        <v>0.39877104377104378</v>
      </c>
      <c r="Y1811" s="11">
        <v>0</v>
      </c>
      <c r="Z1811" s="11">
        <f ca="1"/>
        <v>10.411228956228957</v>
      </c>
      <c r="AA1811" s="11">
        <f ca="1"/>
        <v>5.2056144781144784</v>
      </c>
      <c r="AB1811" s="4">
        <f ca="1"/>
        <v>45868</v>
      </c>
      <c r="AC1811" s="4">
        <v>45868</v>
      </c>
      <c r="AD1811" s="9">
        <v>45870</v>
      </c>
      <c r="AE1811" s="9">
        <v>45873</v>
      </c>
      <c r="AF1811" s="4" t="str">
        <f t="shared" ca="1" si="132"/>
        <v>2025 07</v>
      </c>
      <c r="AG1811" s="8" t="str" cm="1">
        <f t="array" ref="AG1811">IFERROR(_xlfn.IFS('Banco de Dados'!#REF!="AG. COMPRA","Em processamento",'Banco de Dados'!#REF!="AG. RASTREIO","Em processamento",'Banco de Dados'!$AE1811&lt;&gt;"-","Faturado",'Banco de Dados'!$AD1811&lt;&gt;"-","Aguardando Pix",'Banco de Dados'!$AC1811&lt;&gt;"-","Pendente"),"Aguardando Liberação")</f>
        <v>Aguardando Liberação</v>
      </c>
      <c r="AH1811" s="5" t="str">
        <f>IF('Banco de Dados'!$F1811="-",_xlfn.CONCAT(PROPER(TEXT(AK1811,"aaaa"))," ",PROPER(TEXT(AK1811,"mm"))),_xlfn.CONCAT(PROPER(TEXT(E1811,"aaaa"))," ",PROPER(TEXT(E1811,"mm"))))</f>
        <v>2025 06</v>
      </c>
      <c r="AI1811" s="9" t="str">
        <f ca="1">IF('Banco de Dados'!$AK1811&lt;&gt;"-","REEMBOLSO",IFERROR(_xlfn.XLOOKUP(G1811,Follow[CODRASTREIO],Follow[STATUS]),"-"))</f>
        <v>ENTREGUE</v>
      </c>
      <c r="AJ1811" s="9">
        <f ca="1">IF('Banco de Dados'!$AI1811="ENTREGUE",_xlfn.XLOOKUP('Banco de Dados'!$G1811,Follow[CODRASTREIO],Follow[DATAATUALIZAÇÃO]),"-")</f>
        <v>45850</v>
      </c>
      <c r="AK1811" s="132" t="str">
        <f ca="1"/>
        <v>-</v>
      </c>
      <c r="AL1811" s="35"/>
      <c r="AM1811" s="109" cm="1">
        <f t="array" aca="1" ref="AM1811" ca="1">IF('Banco de Dados'!$AK1811&lt;&gt;"-",_xlfn.IFS('Banco de Dados'!$A1811="bv",IF('Banco de Dados'!$E1811&lt;45641,ROUND(SUM('Banco de Dados'!$R1811*_xlfn.XLOOKUP('Banco de Dados'!$P1811,Sku!B:B,Sku!#REF!)*20%),2),ROUND(SUM('Banco de Dados'!$R1811*_xlfn.XLOOKUP('Banco de Dados'!$P1811,Sku!B:B,Sku!H:H)*20%),2)),'Banco de Dados'!$A1811="GO",ROUND(_xlfn.XLOOKUP('Banco de Dados'!$P1811,Sku!C:C,Sku!H:H),2),'Banco de Dados'!$A1811="MEI",ROUND(_xlfn.XLOOKUP('Banco de Dados'!$P1811,Sku!D:D,Sku!H:H),2)),0)</f>
        <v>0</v>
      </c>
      <c r="AN1811" s="109">
        <f ca="1">IF('Banco de Dados'!$AK1811&lt;&gt;"-",IF('Banco de Dados'!$F1811&lt;&gt;"-",_xlfn.XLOOKUP(IFERROR(IFERROR(IFERROR(VALUE(SUBSTITUTE(MID(_xlfn.TEXTAFTER('Banco de Dados'!$F1811,"Data do Pedido:
",1),1,10),"-","/")),VALUE(SUBSTITUTE(MID(_xlfn.TEXTAFTER('Banco de Dados'!$F1811,"Order date:
",1),1,10),"-","/"))),VALUE(SUBSTITUTE(MID(_xlfn.TEXTAFTER('Banco de Dados'!$F1811,"Fecha de pedido:
",1),1,10),"-","/"))),"-"),SMS!A:A,SMS!K:K),0),0)</f>
        <v>0</v>
      </c>
      <c r="AO1811" s="109">
        <f ca="1">IF('Banco de Dados'!$AK1811&lt;&gt;"-",IF('Banco de Dados'!$F1811&lt;&gt;"-",IFERROR(_xlfn.XLOOKUP(_xlfn.CONCAT('Banco de Dados'!$A1811,IFERROR(IFERROR(VALUE(SUBSTITUTE(MID(_xlfn.TEXTAFTER('Banco de Dados'!$F1811,"Data do Pedido:
",1),1,10),"-","/")),VALUE(SUBSTITUTE(MID(_xlfn.TEXTAFTER('Banco de Dados'!$F1811,"Order date:
",1),1,10),"-","/"))),0)),ProxyDD[Chave],ProxyDD[Valor por pedido]),PROXY!$P$2),0),0)</f>
        <v>0</v>
      </c>
      <c r="AP1811" s="28">
        <f ca="1">IF('Banco de Dados'!$AK1811&lt;&gt;"-",IF('Banco de Dados'!$AL1811="NÃO",IFERROR(VALUE(SUBSTITUTE(_xlfn.TEXTAFTER('Banco de Dados'!$F1811,"BRL ",1),".",",")),0),0),0)</f>
        <v>0</v>
      </c>
      <c r="AQ1811" s="28">
        <f ca="1">SUM('Banco de Dados'!$AM1811:$AP1811)</f>
        <v>0</v>
      </c>
      <c r="AR1811" s="8"/>
      <c r="AS1811" s="8"/>
      <c r="AT1811"/>
      <c r="AY1811" s="8"/>
    </row>
    <row r="1812" spans="1:51">
      <c r="A1812" s="5" t="str">
        <v>BV</v>
      </c>
      <c r="B1812" s="5" t="str">
        <f ca="1"/>
        <v>BV45832</v>
      </c>
      <c r="C1812" s="8" t="str">
        <v>Pedido 1798</v>
      </c>
      <c r="D1812" s="187">
        <v>45828</v>
      </c>
      <c r="E1812" s="9">
        <v>45832</v>
      </c>
      <c r="F1812" s="8" t="str">
        <v>PedidoF1695</v>
      </c>
      <c r="G1812" s="2" t="str">
        <v>CódRastreio1693</v>
      </c>
      <c r="H1812" s="5">
        <v>1</v>
      </c>
      <c r="I1812" s="182" t="str">
        <v>CPF 1755</v>
      </c>
      <c r="J1812" s="2" t="str">
        <v>Nome 1755</v>
      </c>
      <c r="K1812" s="8" t="str">
        <v>Tel 1755</v>
      </c>
      <c r="L1812" s="8" t="str">
        <v>Cep 1755</v>
      </c>
      <c r="M1812" s="8" t="str">
        <v>Rua 1755</v>
      </c>
      <c r="N1812" s="8" t="str">
        <v>Comp 1755</v>
      </c>
      <c r="O1812" s="8" t="str">
        <v>Máquina de cortar cabelo dragão</v>
      </c>
      <c r="P1812" s="8" t="str">
        <v>NQ-IMR8-W6Q4</v>
      </c>
      <c r="Q1812" s="4">
        <v>45861</v>
      </c>
      <c r="R1812" s="109">
        <v>23.9</v>
      </c>
      <c r="S1812" s="11">
        <f ca="1"/>
        <v>23.9</v>
      </c>
      <c r="T1812" s="28">
        <f ca="1"/>
        <v>2.8679999999999999</v>
      </c>
      <c r="U1812" s="11">
        <f ca="1"/>
        <v>21.03</v>
      </c>
      <c r="V1812" s="11">
        <v>10.220000000000001</v>
      </c>
      <c r="W1812" s="11">
        <f ca="1"/>
        <v>0</v>
      </c>
      <c r="X1812" s="11">
        <f ca="1"/>
        <v>0.39877104377104378</v>
      </c>
      <c r="Y1812" s="11">
        <v>0</v>
      </c>
      <c r="Z1812" s="11">
        <f ca="1"/>
        <v>10.411228956228957</v>
      </c>
      <c r="AA1812" s="11">
        <f ca="1"/>
        <v>5.2056144781144784</v>
      </c>
      <c r="AB1812" s="4">
        <f ca="1"/>
        <v>45868</v>
      </c>
      <c r="AC1812" s="4">
        <v>45868</v>
      </c>
      <c r="AD1812" s="9">
        <v>45870</v>
      </c>
      <c r="AE1812" s="9">
        <v>45873</v>
      </c>
      <c r="AF1812" s="4" t="str">
        <f t="shared" ca="1" si="132"/>
        <v>2025 07</v>
      </c>
      <c r="AG1812" s="8" t="str" cm="1">
        <f t="array" ref="AG1812">IFERROR(_xlfn.IFS('Banco de Dados'!#REF!="AG. COMPRA","Em processamento",'Banco de Dados'!#REF!="AG. RASTREIO","Em processamento",'Banco de Dados'!$AE1812&lt;&gt;"-","Faturado",'Banco de Dados'!$AD1812&lt;&gt;"-","Aguardando Pix",'Banco de Dados'!$AC1812&lt;&gt;"-","Pendente"),"Aguardando Liberação")</f>
        <v>Aguardando Liberação</v>
      </c>
      <c r="AH1812" s="5" t="str">
        <f>IF('Banco de Dados'!$F1812="-",_xlfn.CONCAT(PROPER(TEXT(AK1812,"aaaa"))," ",PROPER(TEXT(AK1812,"mm"))),_xlfn.CONCAT(PROPER(TEXT(E1812,"aaaa"))," ",PROPER(TEXT(E1812,"mm"))))</f>
        <v>2025 06</v>
      </c>
      <c r="AI1812" s="9" t="str">
        <f ca="1">IF('Banco de Dados'!$AK1812&lt;&gt;"-","REEMBOLSO",IFERROR(_xlfn.XLOOKUP(G1812,Follow[CODRASTREIO],Follow[STATUS]),"-"))</f>
        <v>ENTREGUE</v>
      </c>
      <c r="AJ1812" s="9">
        <f ca="1">IF('Banco de Dados'!$AI1812="ENTREGUE",_xlfn.XLOOKUP('Banco de Dados'!$G1812,Follow[CODRASTREIO],Follow[DATAATUALIZAÇÃO]),"-")</f>
        <v>45847</v>
      </c>
      <c r="AK1812" s="132" t="str">
        <f ca="1"/>
        <v>-</v>
      </c>
      <c r="AL1812" s="35"/>
      <c r="AM1812" s="109" cm="1">
        <f t="array" aca="1" ref="AM1812" ca="1">IF('Banco de Dados'!$AK1812&lt;&gt;"-",_xlfn.IFS('Banco de Dados'!$A1812="bv",IF('Banco de Dados'!$E1812&lt;45641,ROUND(SUM('Banco de Dados'!$R1812*_xlfn.XLOOKUP('Banco de Dados'!$P1812,Sku!B:B,Sku!#REF!)*20%),2),ROUND(SUM('Banco de Dados'!$R1812*_xlfn.XLOOKUP('Banco de Dados'!$P1812,Sku!B:B,Sku!H:H)*20%),2)),'Banco de Dados'!$A1812="GO",ROUND(_xlfn.XLOOKUP('Banco de Dados'!$P1812,Sku!C:C,Sku!H:H),2),'Banco de Dados'!$A1812="MEI",ROUND(_xlfn.XLOOKUP('Banco de Dados'!$P1812,Sku!D:D,Sku!H:H),2)),0)</f>
        <v>0</v>
      </c>
      <c r="AN1812" s="109">
        <f ca="1">IF('Banco de Dados'!$AK1812&lt;&gt;"-",IF('Banco de Dados'!$F1812&lt;&gt;"-",_xlfn.XLOOKUP(IFERROR(IFERROR(IFERROR(VALUE(SUBSTITUTE(MID(_xlfn.TEXTAFTER('Banco de Dados'!$F1812,"Data do Pedido:
",1),1,10),"-","/")),VALUE(SUBSTITUTE(MID(_xlfn.TEXTAFTER('Banco de Dados'!$F1812,"Order date:
",1),1,10),"-","/"))),VALUE(SUBSTITUTE(MID(_xlfn.TEXTAFTER('Banco de Dados'!$F1812,"Fecha de pedido:
",1),1,10),"-","/"))),"-"),SMS!A:A,SMS!K:K),0),0)</f>
        <v>0</v>
      </c>
      <c r="AO1812" s="109">
        <f ca="1">IF('Banco de Dados'!$AK1812&lt;&gt;"-",IF('Banco de Dados'!$F1812&lt;&gt;"-",IFERROR(_xlfn.XLOOKUP(_xlfn.CONCAT('Banco de Dados'!$A1812,IFERROR(IFERROR(VALUE(SUBSTITUTE(MID(_xlfn.TEXTAFTER('Banco de Dados'!$F1812,"Data do Pedido:
",1),1,10),"-","/")),VALUE(SUBSTITUTE(MID(_xlfn.TEXTAFTER('Banco de Dados'!$F1812,"Order date:
",1),1,10),"-","/"))),0)),ProxyDD[Chave],ProxyDD[Valor por pedido]),PROXY!$P$2),0),0)</f>
        <v>0</v>
      </c>
      <c r="AP1812" s="28">
        <f ca="1">IF('Banco de Dados'!$AK1812&lt;&gt;"-",IF('Banco de Dados'!$AL1812="NÃO",IFERROR(VALUE(SUBSTITUTE(_xlfn.TEXTAFTER('Banco de Dados'!$F1812,"BRL ",1),".",",")),0),0),0)</f>
        <v>0</v>
      </c>
      <c r="AQ1812" s="28">
        <f ca="1">SUM('Banco de Dados'!$AM1812:$AP1812)</f>
        <v>0</v>
      </c>
      <c r="AR1812" s="8"/>
      <c r="AS1812" s="8"/>
      <c r="AT1812"/>
      <c r="AY1812" s="8"/>
    </row>
    <row r="1813" spans="1:51">
      <c r="A1813" s="5" t="str">
        <v>BV</v>
      </c>
      <c r="B1813" s="5" t="str">
        <f ca="1"/>
        <v>BV45832</v>
      </c>
      <c r="C1813" s="8" t="str">
        <v>Pedido 1799</v>
      </c>
      <c r="D1813" s="187">
        <v>45828</v>
      </c>
      <c r="E1813" s="9">
        <v>45832</v>
      </c>
      <c r="F1813" s="8" t="str">
        <v>PedidoF1696</v>
      </c>
      <c r="G1813" s="2" t="str">
        <v>CódRastreio1694</v>
      </c>
      <c r="H1813" s="5">
        <v>1</v>
      </c>
      <c r="I1813" s="182" t="str">
        <v>CPF 1756</v>
      </c>
      <c r="J1813" s="2" t="str">
        <v>Nome 1756</v>
      </c>
      <c r="K1813" s="8" t="str">
        <v>Tel 1756</v>
      </c>
      <c r="L1813" s="8" t="str">
        <v>Cep 1756</v>
      </c>
      <c r="M1813" s="8" t="str">
        <v>Rua 1756</v>
      </c>
      <c r="N1813" s="8" t="str">
        <v>Comp 1756</v>
      </c>
      <c r="O1813" s="8" t="str">
        <v>Máquina de cortar cabelo dragão</v>
      </c>
      <c r="P1813" s="8" t="str">
        <v>NQ-IMR8-W6Q4</v>
      </c>
      <c r="Q1813" s="4">
        <v>45848</v>
      </c>
      <c r="R1813" s="109">
        <v>23.9</v>
      </c>
      <c r="S1813" s="11">
        <f ca="1"/>
        <v>23.9</v>
      </c>
      <c r="T1813" s="28">
        <f ca="1"/>
        <v>2.8679999999999999</v>
      </c>
      <c r="U1813" s="11">
        <f ca="1"/>
        <v>21.03</v>
      </c>
      <c r="V1813" s="11">
        <v>13.4</v>
      </c>
      <c r="W1813" s="11">
        <f ca="1"/>
        <v>0</v>
      </c>
      <c r="X1813" s="11">
        <f ca="1"/>
        <v>0.39877104377104378</v>
      </c>
      <c r="Y1813" s="11">
        <v>0</v>
      </c>
      <c r="Z1813" s="11">
        <f ca="1"/>
        <v>7.2312289562289571</v>
      </c>
      <c r="AA1813" s="11">
        <f ca="1"/>
        <v>3.6156144781144786</v>
      </c>
      <c r="AB1813" s="4">
        <f ca="1"/>
        <v>45855</v>
      </c>
      <c r="AC1813" s="4">
        <v>45856</v>
      </c>
      <c r="AD1813" s="9">
        <v>45870</v>
      </c>
      <c r="AE1813" s="9">
        <v>45873</v>
      </c>
      <c r="AF1813" s="4" t="str">
        <f t="shared" ca="1" si="132"/>
        <v>2025 07</v>
      </c>
      <c r="AG1813" s="8" t="str" cm="1">
        <f t="array" ref="AG1813">IFERROR(_xlfn.IFS('Banco de Dados'!#REF!="AG. COMPRA","Em processamento",'Banco de Dados'!#REF!="AG. RASTREIO","Em processamento",'Banco de Dados'!$AE1813&lt;&gt;"-","Faturado",'Banco de Dados'!$AD1813&lt;&gt;"-","Aguardando Pix",'Banco de Dados'!$AC1813&lt;&gt;"-","Pendente"),"Aguardando Liberação")</f>
        <v>Aguardando Liberação</v>
      </c>
      <c r="AH1813" s="5" t="str">
        <f>IF('Banco de Dados'!$F1813="-",_xlfn.CONCAT(PROPER(TEXT(AK1813,"aaaa"))," ",PROPER(TEXT(AK1813,"mm"))),_xlfn.CONCAT(PROPER(TEXT(E1813,"aaaa"))," ",PROPER(TEXT(E1813,"mm"))))</f>
        <v>2025 06</v>
      </c>
      <c r="AI1813" s="9" t="str">
        <f ca="1">IF('Banco de Dados'!$AK1813&lt;&gt;"-","REEMBOLSO",IFERROR(_xlfn.XLOOKUP(G1813,Follow[CODRASTREIO],Follow[STATUS]),"-"))</f>
        <v>ENTREGUE</v>
      </c>
      <c r="AJ1813" s="9">
        <f ca="1">IF('Banco de Dados'!$AI1813="ENTREGUE",_xlfn.XLOOKUP('Banco de Dados'!$G1813,Follow[CODRASTREIO],Follow[DATAATUALIZAÇÃO]),"-")</f>
        <v>45839</v>
      </c>
      <c r="AK1813" s="132" t="str">
        <f ca="1"/>
        <v>-</v>
      </c>
      <c r="AL1813" s="35"/>
      <c r="AM1813" s="109" cm="1">
        <f t="array" aca="1" ref="AM1813" ca="1">IF('Banco de Dados'!$AK1813&lt;&gt;"-",_xlfn.IFS('Banco de Dados'!$A1813="bv",IF('Banco de Dados'!$E1813&lt;45641,ROUND(SUM('Banco de Dados'!$R1813*_xlfn.XLOOKUP('Banco de Dados'!$P1813,Sku!B:B,Sku!#REF!)*20%),2),ROUND(SUM('Banco de Dados'!$R1813*_xlfn.XLOOKUP('Banco de Dados'!$P1813,Sku!B:B,Sku!H:H)*20%),2)),'Banco de Dados'!$A1813="GO",ROUND(_xlfn.XLOOKUP('Banco de Dados'!$P1813,Sku!C:C,Sku!H:H),2),'Banco de Dados'!$A1813="MEI",ROUND(_xlfn.XLOOKUP('Banco de Dados'!$P1813,Sku!D:D,Sku!H:H),2)),0)</f>
        <v>0</v>
      </c>
      <c r="AN1813" s="109">
        <f ca="1">IF('Banco de Dados'!$AK1813&lt;&gt;"-",IF('Banco de Dados'!$F1813&lt;&gt;"-",_xlfn.XLOOKUP(IFERROR(IFERROR(IFERROR(VALUE(SUBSTITUTE(MID(_xlfn.TEXTAFTER('Banco de Dados'!$F1813,"Data do Pedido:
",1),1,10),"-","/")),VALUE(SUBSTITUTE(MID(_xlfn.TEXTAFTER('Banco de Dados'!$F1813,"Order date:
",1),1,10),"-","/"))),VALUE(SUBSTITUTE(MID(_xlfn.TEXTAFTER('Banco de Dados'!$F1813,"Fecha de pedido:
",1),1,10),"-","/"))),"-"),SMS!A:A,SMS!K:K),0),0)</f>
        <v>0</v>
      </c>
      <c r="AO1813" s="109">
        <f ca="1">IF('Banco de Dados'!$AK1813&lt;&gt;"-",IF('Banco de Dados'!$F1813&lt;&gt;"-",IFERROR(_xlfn.XLOOKUP(_xlfn.CONCAT('Banco de Dados'!$A1813,IFERROR(IFERROR(VALUE(SUBSTITUTE(MID(_xlfn.TEXTAFTER('Banco de Dados'!$F1813,"Data do Pedido:
",1),1,10),"-","/")),VALUE(SUBSTITUTE(MID(_xlfn.TEXTAFTER('Banco de Dados'!$F1813,"Order date:
",1),1,10),"-","/"))),0)),ProxyDD[Chave],ProxyDD[Valor por pedido]),PROXY!$P$2),0),0)</f>
        <v>0</v>
      </c>
      <c r="AP1813" s="28">
        <f ca="1">IF('Banco de Dados'!$AK1813&lt;&gt;"-",IF('Banco de Dados'!$AL1813="NÃO",IFERROR(VALUE(SUBSTITUTE(_xlfn.TEXTAFTER('Banco de Dados'!$F1813,"BRL ",1),".",",")),0),0),0)</f>
        <v>0</v>
      </c>
      <c r="AQ1813" s="28">
        <f ca="1">SUM('Banco de Dados'!$AM1813:$AP1813)</f>
        <v>0</v>
      </c>
      <c r="AR1813" s="8"/>
      <c r="AS1813" s="8"/>
      <c r="AT1813"/>
      <c r="AY1813" s="8"/>
    </row>
    <row r="1814" spans="1:51">
      <c r="A1814" s="5" t="str">
        <v>BV</v>
      </c>
      <c r="B1814" s="5" t="str">
        <f ca="1"/>
        <v>BV45832</v>
      </c>
      <c r="C1814" s="8" t="str">
        <v>Pedido 1800</v>
      </c>
      <c r="D1814" s="187">
        <v>45830</v>
      </c>
      <c r="E1814" s="9">
        <v>45832</v>
      </c>
      <c r="F1814" s="8" t="str">
        <v>PedidoF1697</v>
      </c>
      <c r="G1814" s="2" t="str">
        <v>CódRastreio1695</v>
      </c>
      <c r="H1814" s="5">
        <v>1</v>
      </c>
      <c r="I1814" s="182" t="str">
        <v>CPF 1757</v>
      </c>
      <c r="J1814" s="2" t="str">
        <v>Nome 1757</v>
      </c>
      <c r="K1814" s="8" t="str">
        <v>Tel 1757</v>
      </c>
      <c r="L1814" s="8" t="str">
        <v>Cep 1757</v>
      </c>
      <c r="M1814" s="8" t="str">
        <v>Rua 1757</v>
      </c>
      <c r="N1814" s="8" t="str">
        <v>Comp 1757</v>
      </c>
      <c r="O1814" s="8" t="str">
        <v>Máquina de cortar cabelo dragão</v>
      </c>
      <c r="P1814" s="8" t="str">
        <v>HG-2FNR-01A9</v>
      </c>
      <c r="Q1814" s="4">
        <v>45862</v>
      </c>
      <c r="R1814" s="109">
        <v>22.79</v>
      </c>
      <c r="S1814" s="11">
        <f ca="1"/>
        <v>22.79</v>
      </c>
      <c r="T1814" s="28">
        <f ca="1"/>
        <v>2.7347999999999999</v>
      </c>
      <c r="U1814" s="11">
        <f ca="1"/>
        <v>20.059999999999999</v>
      </c>
      <c r="V1814" s="11">
        <v>10.220000000000001</v>
      </c>
      <c r="W1814" s="11">
        <f ca="1"/>
        <v>0</v>
      </c>
      <c r="X1814" s="11">
        <f ca="1"/>
        <v>0.39877104377104378</v>
      </c>
      <c r="Y1814" s="11">
        <v>0</v>
      </c>
      <c r="Z1814" s="11">
        <f ca="1"/>
        <v>9.4412289562289544</v>
      </c>
      <c r="AA1814" s="11">
        <f ca="1"/>
        <v>4.7206144781144772</v>
      </c>
      <c r="AB1814" s="4">
        <f ca="1"/>
        <v>45869</v>
      </c>
      <c r="AC1814" s="4">
        <v>45869</v>
      </c>
      <c r="AD1814" s="9">
        <v>45870</v>
      </c>
      <c r="AE1814" s="9">
        <v>45873</v>
      </c>
      <c r="AF1814" s="4" t="str">
        <f t="shared" ca="1" si="132"/>
        <v>2025 07</v>
      </c>
      <c r="AG1814" s="8" t="str" cm="1">
        <f t="array" ref="AG1814">IFERROR(_xlfn.IFS('Banco de Dados'!#REF!="AG. COMPRA","Em processamento",'Banco de Dados'!#REF!="AG. RASTREIO","Em processamento",'Banco de Dados'!$AE1814&lt;&gt;"-","Faturado",'Banco de Dados'!$AD1814&lt;&gt;"-","Aguardando Pix",'Banco de Dados'!$AC1814&lt;&gt;"-","Pendente"),"Aguardando Liberação")</f>
        <v>Aguardando Liberação</v>
      </c>
      <c r="AH1814" s="5" t="str">
        <f>IF('Banco de Dados'!$F1814="-",_xlfn.CONCAT(PROPER(TEXT(AK1814,"aaaa"))," ",PROPER(TEXT(AK1814,"mm"))),_xlfn.CONCAT(PROPER(TEXT(E1814,"aaaa"))," ",PROPER(TEXT(E1814,"mm"))))</f>
        <v>2025 06</v>
      </c>
      <c r="AI1814" s="9" t="str">
        <f ca="1">IF('Banco de Dados'!$AK1814&lt;&gt;"-","REEMBOLSO",IFERROR(_xlfn.XLOOKUP(G1814,Follow[CODRASTREIO],Follow[STATUS]),"-"))</f>
        <v>ENTREGUE</v>
      </c>
      <c r="AJ1814" s="9">
        <f ca="1">IF('Banco de Dados'!$AI1814="ENTREGUE",_xlfn.XLOOKUP('Banco de Dados'!$G1814,Follow[CODRASTREIO],Follow[DATAATUALIZAÇÃO]),"-")</f>
        <v>45847</v>
      </c>
      <c r="AK1814" s="132" t="str">
        <f ca="1"/>
        <v>-</v>
      </c>
      <c r="AL1814" s="35"/>
      <c r="AM1814" s="109" cm="1">
        <f t="array" aca="1" ref="AM1814" ca="1">IF('Banco de Dados'!$AK1814&lt;&gt;"-",_xlfn.IFS('Banco de Dados'!$A1814="bv",IF('Banco de Dados'!$E1814&lt;45641,ROUND(SUM('Banco de Dados'!$R1814*_xlfn.XLOOKUP('Banco de Dados'!$P1814,Sku!B:B,Sku!#REF!)*20%),2),ROUND(SUM('Banco de Dados'!$R1814*_xlfn.XLOOKUP('Banco de Dados'!$P1814,Sku!B:B,Sku!H:H)*20%),2)),'Banco de Dados'!$A1814="GO",ROUND(_xlfn.XLOOKUP('Banco de Dados'!$P1814,Sku!C:C,Sku!H:H),2),'Banco de Dados'!$A1814="MEI",ROUND(_xlfn.XLOOKUP('Banco de Dados'!$P1814,Sku!D:D,Sku!H:H),2)),0)</f>
        <v>0</v>
      </c>
      <c r="AN1814" s="109">
        <f ca="1">IF('Banco de Dados'!$AK1814&lt;&gt;"-",IF('Banco de Dados'!$F1814&lt;&gt;"-",_xlfn.XLOOKUP(IFERROR(IFERROR(IFERROR(VALUE(SUBSTITUTE(MID(_xlfn.TEXTAFTER('Banco de Dados'!$F1814,"Data do Pedido:
",1),1,10),"-","/")),VALUE(SUBSTITUTE(MID(_xlfn.TEXTAFTER('Banco de Dados'!$F1814,"Order date:
",1),1,10),"-","/"))),VALUE(SUBSTITUTE(MID(_xlfn.TEXTAFTER('Banco de Dados'!$F1814,"Fecha de pedido:
",1),1,10),"-","/"))),"-"),SMS!A:A,SMS!K:K),0),0)</f>
        <v>0</v>
      </c>
      <c r="AO1814" s="109">
        <f ca="1">IF('Banco de Dados'!$AK1814&lt;&gt;"-",IF('Banco de Dados'!$F1814&lt;&gt;"-",IFERROR(_xlfn.XLOOKUP(_xlfn.CONCAT('Banco de Dados'!$A1814,IFERROR(IFERROR(VALUE(SUBSTITUTE(MID(_xlfn.TEXTAFTER('Banco de Dados'!$F1814,"Data do Pedido:
",1),1,10),"-","/")),VALUE(SUBSTITUTE(MID(_xlfn.TEXTAFTER('Banco de Dados'!$F1814,"Order date:
",1),1,10),"-","/"))),0)),ProxyDD[Chave],ProxyDD[Valor por pedido]),PROXY!$P$2),0),0)</f>
        <v>0</v>
      </c>
      <c r="AP1814" s="28">
        <f ca="1">IF('Banco de Dados'!$AK1814&lt;&gt;"-",IF('Banco de Dados'!$AL1814="NÃO",IFERROR(VALUE(SUBSTITUTE(_xlfn.TEXTAFTER('Banco de Dados'!$F1814,"BRL ",1),".",",")),0),0),0)</f>
        <v>0</v>
      </c>
      <c r="AQ1814" s="28">
        <f ca="1">SUM('Banco de Dados'!$AM1814:$AP1814)</f>
        <v>0</v>
      </c>
      <c r="AR1814" s="8"/>
      <c r="AS1814" s="8"/>
      <c r="AT1814"/>
      <c r="AY1814" s="8"/>
    </row>
    <row r="1815" spans="1:51">
      <c r="A1815" s="5" t="str">
        <v>BV</v>
      </c>
      <c r="B1815" s="5" t="str">
        <f ca="1"/>
        <v>BV45832</v>
      </c>
      <c r="C1815" s="8" t="str">
        <v>Pedido 1801</v>
      </c>
      <c r="D1815" s="187">
        <v>45830</v>
      </c>
      <c r="E1815" s="9">
        <v>45832</v>
      </c>
      <c r="F1815" s="8" t="str">
        <v>PedidoF1698</v>
      </c>
      <c r="G1815" s="2" t="str">
        <v>CódRastreio1696</v>
      </c>
      <c r="H1815" s="5">
        <v>1</v>
      </c>
      <c r="I1815" s="182" t="str">
        <v>CPF 1758</v>
      </c>
      <c r="J1815" s="2" t="str">
        <v>Nome 1758</v>
      </c>
      <c r="K1815" s="8" t="str">
        <v>Tel 1758</v>
      </c>
      <c r="L1815" s="8" t="str">
        <v>Cep 1758</v>
      </c>
      <c r="M1815" s="8" t="str">
        <v>Rua 1758</v>
      </c>
      <c r="N1815" s="8" t="str">
        <v>Comp 1758</v>
      </c>
      <c r="O1815" s="8" t="str">
        <v>Máquina de cortar cabelo dragão</v>
      </c>
      <c r="P1815" s="8" t="str">
        <v>HG-2FNR-01A9</v>
      </c>
      <c r="Q1815" s="4">
        <v>45849</v>
      </c>
      <c r="R1815" s="109">
        <v>22.79</v>
      </c>
      <c r="S1815" s="11">
        <f ca="1"/>
        <v>22.79</v>
      </c>
      <c r="T1815" s="28">
        <f ca="1"/>
        <v>2.7347999999999999</v>
      </c>
      <c r="U1815" s="11">
        <f ca="1"/>
        <v>20.059999999999999</v>
      </c>
      <c r="V1815" s="11">
        <v>10.220000000000001</v>
      </c>
      <c r="W1815" s="11">
        <f ca="1"/>
        <v>0</v>
      </c>
      <c r="X1815" s="11">
        <f ca="1"/>
        <v>0.39877104377104378</v>
      </c>
      <c r="Y1815" s="11">
        <v>0</v>
      </c>
      <c r="Z1815" s="11">
        <f ca="1"/>
        <v>9.4412289562289544</v>
      </c>
      <c r="AA1815" s="11">
        <f ca="1"/>
        <v>4.7206144781144772</v>
      </c>
      <c r="AB1815" s="4">
        <f ca="1"/>
        <v>45856</v>
      </c>
      <c r="AC1815" s="4">
        <v>45856</v>
      </c>
      <c r="AD1815" s="9">
        <v>45870</v>
      </c>
      <c r="AE1815" s="9">
        <v>45873</v>
      </c>
      <c r="AF1815" s="4" t="str">
        <f t="shared" ca="1" si="132"/>
        <v>2025 07</v>
      </c>
      <c r="AG1815" s="8" t="str" cm="1">
        <f t="array" ref="AG1815">IFERROR(_xlfn.IFS('Banco de Dados'!#REF!="AG. COMPRA","Em processamento",'Banco de Dados'!#REF!="AG. RASTREIO","Em processamento",'Banco de Dados'!$AE1815&lt;&gt;"-","Faturado",'Banco de Dados'!$AD1815&lt;&gt;"-","Aguardando Pix",'Banco de Dados'!$AC1815&lt;&gt;"-","Pendente"),"Aguardando Liberação")</f>
        <v>Aguardando Liberação</v>
      </c>
      <c r="AH1815" s="5" t="str">
        <f>IF('Banco de Dados'!$F1815="-",_xlfn.CONCAT(PROPER(TEXT(AK1815,"aaaa"))," ",PROPER(TEXT(AK1815,"mm"))),_xlfn.CONCAT(PROPER(TEXT(E1815,"aaaa"))," ",PROPER(TEXT(E1815,"mm"))))</f>
        <v>2025 06</v>
      </c>
      <c r="AI1815" s="9" t="str">
        <f ca="1">IF('Banco de Dados'!$AK1815&lt;&gt;"-","REEMBOLSO",IFERROR(_xlfn.XLOOKUP(G1815,Follow[CODRASTREIO],Follow[STATUS]),"-"))</f>
        <v>ENTREGUE</v>
      </c>
      <c r="AJ1815" s="9">
        <f ca="1">IF('Banco de Dados'!$AI1815="ENTREGUE",_xlfn.XLOOKUP('Banco de Dados'!$G1815,Follow[CODRASTREIO],Follow[DATAATUALIZAÇÃO]),"-")</f>
        <v>45841</v>
      </c>
      <c r="AK1815" s="132" t="str">
        <f ca="1"/>
        <v>-</v>
      </c>
      <c r="AL1815" s="35"/>
      <c r="AM1815" s="109" cm="1">
        <f t="array" aca="1" ref="AM1815" ca="1">IF('Banco de Dados'!$AK1815&lt;&gt;"-",_xlfn.IFS('Banco de Dados'!$A1815="bv",IF('Banco de Dados'!$E1815&lt;45641,ROUND(SUM('Banco de Dados'!$R1815*_xlfn.XLOOKUP('Banco de Dados'!$P1815,Sku!B:B,Sku!#REF!)*20%),2),ROUND(SUM('Banco de Dados'!$R1815*_xlfn.XLOOKUP('Banco de Dados'!$P1815,Sku!B:B,Sku!H:H)*20%),2)),'Banco de Dados'!$A1815="GO",ROUND(_xlfn.XLOOKUP('Banco de Dados'!$P1815,Sku!C:C,Sku!H:H),2),'Banco de Dados'!$A1815="MEI",ROUND(_xlfn.XLOOKUP('Banco de Dados'!$P1815,Sku!D:D,Sku!H:H),2)),0)</f>
        <v>0</v>
      </c>
      <c r="AN1815" s="109">
        <f ca="1">IF('Banco de Dados'!$AK1815&lt;&gt;"-",IF('Banco de Dados'!$F1815&lt;&gt;"-",_xlfn.XLOOKUP(IFERROR(IFERROR(IFERROR(VALUE(SUBSTITUTE(MID(_xlfn.TEXTAFTER('Banco de Dados'!$F1815,"Data do Pedido:
",1),1,10),"-","/")),VALUE(SUBSTITUTE(MID(_xlfn.TEXTAFTER('Banco de Dados'!$F1815,"Order date:
",1),1,10),"-","/"))),VALUE(SUBSTITUTE(MID(_xlfn.TEXTAFTER('Banco de Dados'!$F1815,"Fecha de pedido:
",1),1,10),"-","/"))),"-"),SMS!A:A,SMS!K:K),0),0)</f>
        <v>0</v>
      </c>
      <c r="AO1815" s="109">
        <f ca="1">IF('Banco de Dados'!$AK1815&lt;&gt;"-",IF('Banco de Dados'!$F1815&lt;&gt;"-",IFERROR(_xlfn.XLOOKUP(_xlfn.CONCAT('Banco de Dados'!$A1815,IFERROR(IFERROR(VALUE(SUBSTITUTE(MID(_xlfn.TEXTAFTER('Banco de Dados'!$F1815,"Data do Pedido:
",1),1,10),"-","/")),VALUE(SUBSTITUTE(MID(_xlfn.TEXTAFTER('Banco de Dados'!$F1815,"Order date:
",1),1,10),"-","/"))),0)),ProxyDD[Chave],ProxyDD[Valor por pedido]),PROXY!$P$2),0),0)</f>
        <v>0</v>
      </c>
      <c r="AP1815" s="28">
        <f ca="1">IF('Banco de Dados'!$AK1815&lt;&gt;"-",IF('Banco de Dados'!$AL1815="NÃO",IFERROR(VALUE(SUBSTITUTE(_xlfn.TEXTAFTER('Banco de Dados'!$F1815,"BRL ",1),".",",")),0),0),0)</f>
        <v>0</v>
      </c>
      <c r="AQ1815" s="28">
        <f ca="1">SUM('Banco de Dados'!$AM1815:$AP1815)</f>
        <v>0</v>
      </c>
      <c r="AR1815" s="8"/>
      <c r="AS1815" s="8"/>
      <c r="AT1815"/>
      <c r="AY1815" s="8"/>
    </row>
    <row r="1816" spans="1:51">
      <c r="A1816" s="5" t="str">
        <v>BV</v>
      </c>
      <c r="B1816" s="5" t="str">
        <f ca="1"/>
        <v>BV45832</v>
      </c>
      <c r="C1816" s="8" t="str">
        <v>Pedido 1802</v>
      </c>
      <c r="D1816" s="187">
        <v>45830</v>
      </c>
      <c r="E1816" s="9">
        <v>45832</v>
      </c>
      <c r="F1816" s="8" t="str">
        <v>PedidoF1699</v>
      </c>
      <c r="G1816" s="2" t="str">
        <v>CódRastreio1697</v>
      </c>
      <c r="H1816" s="5">
        <v>1</v>
      </c>
      <c r="I1816" s="182" t="str">
        <v>CPF 1759</v>
      </c>
      <c r="J1816" s="2" t="str">
        <v>Nome 1759</v>
      </c>
      <c r="K1816" s="8" t="str">
        <v>Tel 1759</v>
      </c>
      <c r="L1816" s="8" t="str">
        <v>Cep 1759</v>
      </c>
      <c r="M1816" s="8" t="str">
        <v>Rua 1759</v>
      </c>
      <c r="N1816" s="8" t="str">
        <v>Comp 1759</v>
      </c>
      <c r="O1816" s="8" t="str">
        <v>Máquina de cortar cabelo dragão</v>
      </c>
      <c r="P1816" s="8" t="str">
        <v>HG-2FNR-01A9</v>
      </c>
      <c r="Q1816" s="4">
        <v>45855</v>
      </c>
      <c r="R1816" s="109">
        <v>22.79</v>
      </c>
      <c r="S1816" s="11">
        <f ca="1"/>
        <v>22.79</v>
      </c>
      <c r="T1816" s="28">
        <f ca="1"/>
        <v>2.7347999999999999</v>
      </c>
      <c r="U1816" s="11">
        <f ca="1"/>
        <v>20.059999999999999</v>
      </c>
      <c r="V1816" s="11">
        <v>9.4</v>
      </c>
      <c r="W1816" s="11">
        <f ca="1"/>
        <v>0</v>
      </c>
      <c r="X1816" s="11">
        <f ca="1"/>
        <v>0.39877104377104378</v>
      </c>
      <c r="Y1816" s="11">
        <v>0</v>
      </c>
      <c r="Z1816" s="11">
        <f ca="1"/>
        <v>10.261228956228955</v>
      </c>
      <c r="AA1816" s="11">
        <f ca="1"/>
        <v>5.1306144781144774</v>
      </c>
      <c r="AB1816" s="4">
        <f ca="1"/>
        <v>45862</v>
      </c>
      <c r="AC1816" s="4">
        <v>45862</v>
      </c>
      <c r="AD1816" s="9">
        <v>45870</v>
      </c>
      <c r="AE1816" s="9">
        <v>45873</v>
      </c>
      <c r="AF1816" s="4" t="str">
        <f t="shared" ca="1" si="132"/>
        <v>2025 07</v>
      </c>
      <c r="AG1816" s="8" t="str" cm="1">
        <f t="array" ref="AG1816">IFERROR(_xlfn.IFS('Banco de Dados'!#REF!="AG. COMPRA","Em processamento",'Banco de Dados'!#REF!="AG. RASTREIO","Em processamento",'Banco de Dados'!$AE1816&lt;&gt;"-","Faturado",'Banco de Dados'!$AD1816&lt;&gt;"-","Aguardando Pix",'Banco de Dados'!$AC1816&lt;&gt;"-","Pendente"),"Aguardando Liberação")</f>
        <v>Aguardando Liberação</v>
      </c>
      <c r="AH1816" s="5" t="str">
        <f>IF('Banco de Dados'!$F1816="-",_xlfn.CONCAT(PROPER(TEXT(AK1816,"aaaa"))," ",PROPER(TEXT(AK1816,"mm"))),_xlfn.CONCAT(PROPER(TEXT(E1816,"aaaa"))," ",PROPER(TEXT(E1816,"mm"))))</f>
        <v>2025 06</v>
      </c>
      <c r="AI1816" s="9" t="str">
        <f ca="1">IF('Banco de Dados'!$AK1816&lt;&gt;"-","REEMBOLSO",IFERROR(_xlfn.XLOOKUP(G1816,Follow[CODRASTREIO],Follow[STATUS]),"-"))</f>
        <v>ENTREGUE</v>
      </c>
      <c r="AJ1816" s="9">
        <f ca="1">IF('Banco de Dados'!$AI1816="ENTREGUE",_xlfn.XLOOKUP('Banco de Dados'!$G1816,Follow[CODRASTREIO],Follow[DATAATUALIZAÇÃO]),"-")</f>
        <v>45843</v>
      </c>
      <c r="AK1816" s="132" t="str">
        <f ca="1"/>
        <v>-</v>
      </c>
      <c r="AL1816" s="35"/>
      <c r="AM1816" s="109" cm="1">
        <f t="array" aca="1" ref="AM1816" ca="1">IF('Banco de Dados'!$AK1816&lt;&gt;"-",_xlfn.IFS('Banco de Dados'!$A1816="bv",IF('Banco de Dados'!$E1816&lt;45641,ROUND(SUM('Banco de Dados'!$R1816*_xlfn.XLOOKUP('Banco de Dados'!$P1816,Sku!B:B,Sku!#REF!)*20%),2),ROUND(SUM('Banco de Dados'!$R1816*_xlfn.XLOOKUP('Banco de Dados'!$P1816,Sku!B:B,Sku!H:H)*20%),2)),'Banco de Dados'!$A1816="GO",ROUND(_xlfn.XLOOKUP('Banco de Dados'!$P1816,Sku!C:C,Sku!H:H),2),'Banco de Dados'!$A1816="MEI",ROUND(_xlfn.XLOOKUP('Banco de Dados'!$P1816,Sku!D:D,Sku!H:H),2)),0)</f>
        <v>0</v>
      </c>
      <c r="AN1816" s="109">
        <f ca="1">IF('Banco de Dados'!$AK1816&lt;&gt;"-",IF('Banco de Dados'!$F1816&lt;&gt;"-",_xlfn.XLOOKUP(IFERROR(IFERROR(IFERROR(VALUE(SUBSTITUTE(MID(_xlfn.TEXTAFTER('Banco de Dados'!$F1816,"Data do Pedido:
",1),1,10),"-","/")),VALUE(SUBSTITUTE(MID(_xlfn.TEXTAFTER('Banco de Dados'!$F1816,"Order date:
",1),1,10),"-","/"))),VALUE(SUBSTITUTE(MID(_xlfn.TEXTAFTER('Banco de Dados'!$F1816,"Fecha de pedido:
",1),1,10),"-","/"))),"-"),SMS!A:A,SMS!K:K),0),0)</f>
        <v>0</v>
      </c>
      <c r="AO1816" s="109">
        <f ca="1">IF('Banco de Dados'!$AK1816&lt;&gt;"-",IF('Banco de Dados'!$F1816&lt;&gt;"-",IFERROR(_xlfn.XLOOKUP(_xlfn.CONCAT('Banco de Dados'!$A1816,IFERROR(IFERROR(VALUE(SUBSTITUTE(MID(_xlfn.TEXTAFTER('Banco de Dados'!$F1816,"Data do Pedido:
",1),1,10),"-","/")),VALUE(SUBSTITUTE(MID(_xlfn.TEXTAFTER('Banco de Dados'!$F1816,"Order date:
",1),1,10),"-","/"))),0)),ProxyDD[Chave],ProxyDD[Valor por pedido]),PROXY!$P$2),0),0)</f>
        <v>0</v>
      </c>
      <c r="AP1816" s="28">
        <f ca="1">IF('Banco de Dados'!$AK1816&lt;&gt;"-",IF('Banco de Dados'!$AL1816="NÃO",IFERROR(VALUE(SUBSTITUTE(_xlfn.TEXTAFTER('Banco de Dados'!$F1816,"BRL ",1),".",",")),0),0),0)</f>
        <v>0</v>
      </c>
      <c r="AQ1816" s="28">
        <f ca="1">SUM('Banco de Dados'!$AM1816:$AP1816)</f>
        <v>0</v>
      </c>
      <c r="AR1816" s="8"/>
      <c r="AS1816" s="8"/>
      <c r="AT1816"/>
      <c r="AY1816" s="8"/>
    </row>
    <row r="1817" spans="1:51">
      <c r="A1817" s="5" t="str">
        <v>BV</v>
      </c>
      <c r="B1817" s="5" t="str">
        <f ca="1"/>
        <v>BV45832</v>
      </c>
      <c r="C1817" s="8" t="str">
        <v>Pedido 1803</v>
      </c>
      <c r="D1817" s="187">
        <v>45830</v>
      </c>
      <c r="E1817" s="9">
        <v>45832</v>
      </c>
      <c r="F1817" s="8" t="str">
        <v>PedidoF1700</v>
      </c>
      <c r="G1817" s="2" t="str">
        <v>CódRastreio1698</v>
      </c>
      <c r="H1817" s="5">
        <v>1</v>
      </c>
      <c r="I1817" s="182" t="str">
        <v>CPF 1760</v>
      </c>
      <c r="J1817" s="2" t="str">
        <v>Nome 1760</v>
      </c>
      <c r="K1817" s="8" t="str">
        <v>Tel 1760</v>
      </c>
      <c r="L1817" s="8" t="str">
        <v>Cep 1760</v>
      </c>
      <c r="M1817" s="8" t="str">
        <v>Rua 1760</v>
      </c>
      <c r="N1817" s="8" t="str">
        <v>Comp 1760</v>
      </c>
      <c r="O1817" s="8" t="str">
        <v>Máquina de cortar cabelo dragão</v>
      </c>
      <c r="P1817" s="8" t="str">
        <v>HG-2FNR-01A9</v>
      </c>
      <c r="Q1817" s="4">
        <v>45855</v>
      </c>
      <c r="R1817" s="109">
        <v>22.79</v>
      </c>
      <c r="S1817" s="11">
        <f ca="1"/>
        <v>22.79</v>
      </c>
      <c r="T1817" s="28">
        <f ca="1"/>
        <v>2.7347999999999999</v>
      </c>
      <c r="U1817" s="11">
        <f ca="1"/>
        <v>20.059999999999999</v>
      </c>
      <c r="V1817" s="11">
        <v>10.56</v>
      </c>
      <c r="W1817" s="11">
        <f ca="1"/>
        <v>0</v>
      </c>
      <c r="X1817" s="11">
        <f ca="1"/>
        <v>0.39877104377104378</v>
      </c>
      <c r="Y1817" s="11">
        <v>0</v>
      </c>
      <c r="Z1817" s="11">
        <f ca="1"/>
        <v>9.1012289562289546</v>
      </c>
      <c r="AA1817" s="11">
        <f ca="1"/>
        <v>4.5506144781144773</v>
      </c>
      <c r="AB1817" s="4">
        <f ca="1"/>
        <v>45862</v>
      </c>
      <c r="AC1817" s="4">
        <v>45862</v>
      </c>
      <c r="AD1817" s="9">
        <v>45870</v>
      </c>
      <c r="AE1817" s="9">
        <v>45873</v>
      </c>
      <c r="AF1817" s="4" t="str">
        <f t="shared" ca="1" si="132"/>
        <v>2025 07</v>
      </c>
      <c r="AG1817" s="8" t="str" cm="1">
        <f t="array" ref="AG1817">IFERROR(_xlfn.IFS('Banco de Dados'!#REF!="AG. COMPRA","Em processamento",'Banco de Dados'!#REF!="AG. RASTREIO","Em processamento",'Banco de Dados'!$AE1817&lt;&gt;"-","Faturado",'Banco de Dados'!$AD1817&lt;&gt;"-","Aguardando Pix",'Banco de Dados'!$AC1817&lt;&gt;"-","Pendente"),"Aguardando Liberação")</f>
        <v>Aguardando Liberação</v>
      </c>
      <c r="AH1817" s="5" t="str">
        <f>IF('Banco de Dados'!$F1817="-",_xlfn.CONCAT(PROPER(TEXT(AK1817,"aaaa"))," ",PROPER(TEXT(AK1817,"mm"))),_xlfn.CONCAT(PROPER(TEXT(E1817,"aaaa"))," ",PROPER(TEXT(E1817,"mm"))))</f>
        <v>2025 06</v>
      </c>
      <c r="AI1817" s="9" t="str">
        <f ca="1">IF('Banco de Dados'!$AK1817&lt;&gt;"-","REEMBOLSO",IFERROR(_xlfn.XLOOKUP(G1817,Follow[CODRASTREIO],Follow[STATUS]),"-"))</f>
        <v>ENTREGUE</v>
      </c>
      <c r="AJ1817" s="9">
        <f ca="1">IF('Banco de Dados'!$AI1817="ENTREGUE",_xlfn.XLOOKUP('Banco de Dados'!$G1817,Follow[CODRASTREIO],Follow[DATAATUALIZAÇÃO]),"-")</f>
        <v>45842</v>
      </c>
      <c r="AK1817" s="132" t="str">
        <f ca="1"/>
        <v>-</v>
      </c>
      <c r="AL1817" s="35"/>
      <c r="AM1817" s="109" cm="1">
        <f t="array" aca="1" ref="AM1817" ca="1">IF('Banco de Dados'!$AK1817&lt;&gt;"-",_xlfn.IFS('Banco de Dados'!$A1817="bv",IF('Banco de Dados'!$E1817&lt;45641,ROUND(SUM('Banco de Dados'!$R1817*_xlfn.XLOOKUP('Banco de Dados'!$P1817,Sku!B:B,Sku!#REF!)*20%),2),ROUND(SUM('Banco de Dados'!$R1817*_xlfn.XLOOKUP('Banco de Dados'!$P1817,Sku!B:B,Sku!H:H)*20%),2)),'Banco de Dados'!$A1817="GO",ROUND(_xlfn.XLOOKUP('Banco de Dados'!$P1817,Sku!C:C,Sku!H:H),2),'Banco de Dados'!$A1817="MEI",ROUND(_xlfn.XLOOKUP('Banco de Dados'!$P1817,Sku!D:D,Sku!H:H),2)),0)</f>
        <v>0</v>
      </c>
      <c r="AN1817" s="109">
        <f ca="1">IF('Banco de Dados'!$AK1817&lt;&gt;"-",IF('Banco de Dados'!$F1817&lt;&gt;"-",_xlfn.XLOOKUP(IFERROR(IFERROR(IFERROR(VALUE(SUBSTITUTE(MID(_xlfn.TEXTAFTER('Banco de Dados'!$F1817,"Data do Pedido:
",1),1,10),"-","/")),VALUE(SUBSTITUTE(MID(_xlfn.TEXTAFTER('Banco de Dados'!$F1817,"Order date:
",1),1,10),"-","/"))),VALUE(SUBSTITUTE(MID(_xlfn.TEXTAFTER('Banco de Dados'!$F1817,"Fecha de pedido:
",1),1,10),"-","/"))),"-"),SMS!A:A,SMS!K:K),0),0)</f>
        <v>0</v>
      </c>
      <c r="AO1817" s="109">
        <f ca="1">IF('Banco de Dados'!$AK1817&lt;&gt;"-",IF('Banco de Dados'!$F1817&lt;&gt;"-",IFERROR(_xlfn.XLOOKUP(_xlfn.CONCAT('Banco de Dados'!$A1817,IFERROR(IFERROR(VALUE(SUBSTITUTE(MID(_xlfn.TEXTAFTER('Banco de Dados'!$F1817,"Data do Pedido:
",1),1,10),"-","/")),VALUE(SUBSTITUTE(MID(_xlfn.TEXTAFTER('Banco de Dados'!$F1817,"Order date:
",1),1,10),"-","/"))),0)),ProxyDD[Chave],ProxyDD[Valor por pedido]),PROXY!$P$2),0),0)</f>
        <v>0</v>
      </c>
      <c r="AP1817" s="28">
        <f ca="1">IF('Banco de Dados'!$AK1817&lt;&gt;"-",IF('Banco de Dados'!$AL1817="NÃO",IFERROR(VALUE(SUBSTITUTE(_xlfn.TEXTAFTER('Banco de Dados'!$F1817,"BRL ",1),".",",")),0),0),0)</f>
        <v>0</v>
      </c>
      <c r="AQ1817" s="28">
        <f ca="1">SUM('Banco de Dados'!$AM1817:$AP1817)</f>
        <v>0</v>
      </c>
      <c r="AR1817" s="8"/>
      <c r="AS1817" s="8"/>
      <c r="AT1817"/>
      <c r="AY1817" s="8"/>
    </row>
    <row r="1818" spans="1:51">
      <c r="A1818" s="5" t="str">
        <v>BV</v>
      </c>
      <c r="B1818" s="5" t="str">
        <f ca="1"/>
        <v>BV45833</v>
      </c>
      <c r="C1818" s="8" t="str">
        <v>Pedido 1804</v>
      </c>
      <c r="D1818" s="187">
        <v>45830</v>
      </c>
      <c r="E1818" s="9">
        <v>45833</v>
      </c>
      <c r="F1818" s="8" t="str">
        <v>PedidoF1701</v>
      </c>
      <c r="G1818" s="2" t="str">
        <v>CódRastreio1699</v>
      </c>
      <c r="H1818" s="5">
        <v>1</v>
      </c>
      <c r="I1818" s="182" t="str">
        <v>CPF 1761</v>
      </c>
      <c r="J1818" s="2" t="str">
        <v>Nome 1761</v>
      </c>
      <c r="K1818" s="8" t="str">
        <v>Tel 1761</v>
      </c>
      <c r="L1818" s="8" t="str">
        <v>Cep 1761</v>
      </c>
      <c r="M1818" s="8" t="str">
        <v>Rua 1761</v>
      </c>
      <c r="N1818" s="8" t="str">
        <v>Comp 1761</v>
      </c>
      <c r="O1818" s="8" t="str">
        <v>Máquina de cortar cabelo dragão</v>
      </c>
      <c r="P1818" s="8" t="str">
        <v>HG-2FNR-01A9</v>
      </c>
      <c r="Q1818" s="4">
        <v>45849</v>
      </c>
      <c r="R1818" s="109">
        <v>22.79</v>
      </c>
      <c r="S1818" s="11">
        <f ca="1"/>
        <v>22.79</v>
      </c>
      <c r="T1818" s="28">
        <f ca="1"/>
        <v>2.7347999999999999</v>
      </c>
      <c r="U1818" s="11">
        <f ca="1"/>
        <v>20.059999999999999</v>
      </c>
      <c r="V1818" s="11">
        <v>10.17</v>
      </c>
      <c r="W1818" s="11">
        <f ca="1"/>
        <v>0</v>
      </c>
      <c r="X1818" s="11">
        <f ca="1"/>
        <v>0.39877104377104378</v>
      </c>
      <c r="Y1818" s="11">
        <v>0</v>
      </c>
      <c r="Z1818" s="11">
        <f ca="1"/>
        <v>9.4912289562289551</v>
      </c>
      <c r="AA1818" s="11">
        <f ca="1"/>
        <v>4.7456144781144776</v>
      </c>
      <c r="AB1818" s="4">
        <f ca="1"/>
        <v>45856</v>
      </c>
      <c r="AC1818" s="4">
        <v>45856</v>
      </c>
      <c r="AD1818" s="9">
        <v>45870</v>
      </c>
      <c r="AE1818" s="9">
        <v>45873</v>
      </c>
      <c r="AF1818" s="4" t="str">
        <f t="shared" ca="1" si="132"/>
        <v>2025 07</v>
      </c>
      <c r="AG1818" s="8" t="str" cm="1">
        <f t="array" ref="AG1818">IFERROR(_xlfn.IFS('Banco de Dados'!#REF!="AG. COMPRA","Em processamento",'Banco de Dados'!#REF!="AG. RASTREIO","Em processamento",'Banco de Dados'!$AE1818&lt;&gt;"-","Faturado",'Banco de Dados'!$AD1818&lt;&gt;"-","Aguardando Pix",'Banco de Dados'!$AC1818&lt;&gt;"-","Pendente"),"Aguardando Liberação")</f>
        <v>Aguardando Liberação</v>
      </c>
      <c r="AH1818" s="5" t="str">
        <f>IF('Banco de Dados'!$F1818="-",_xlfn.CONCAT(PROPER(TEXT(AK1818,"aaaa"))," ",PROPER(TEXT(AK1818,"mm"))),_xlfn.CONCAT(PROPER(TEXT(E1818,"aaaa"))," ",PROPER(TEXT(E1818,"mm"))))</f>
        <v>2025 06</v>
      </c>
      <c r="AI1818" s="9" t="str">
        <f ca="1">IF('Banco de Dados'!$AK1818&lt;&gt;"-","REEMBOLSO",IFERROR(_xlfn.XLOOKUP(G1818,Follow[CODRASTREIO],Follow[STATUS]),"-"))</f>
        <v>ENTREGUE</v>
      </c>
      <c r="AJ1818" s="9">
        <f ca="1">IF('Banco de Dados'!$AI1818="ENTREGUE",_xlfn.XLOOKUP('Banco de Dados'!$G1818,Follow[CODRASTREIO],Follow[DATAATUALIZAÇÃO]),"-")</f>
        <v>45847</v>
      </c>
      <c r="AK1818" s="132" t="str">
        <f ca="1"/>
        <v>-</v>
      </c>
      <c r="AL1818" s="35"/>
      <c r="AM1818" s="109" cm="1">
        <f t="array" aca="1" ref="AM1818" ca="1">IF('Banco de Dados'!$AK1818&lt;&gt;"-",_xlfn.IFS('Banco de Dados'!$A1818="bv",IF('Banco de Dados'!$E1818&lt;45641,ROUND(SUM('Banco de Dados'!$R1818*_xlfn.XLOOKUP('Banco de Dados'!$P1818,Sku!B:B,Sku!#REF!)*20%),2),ROUND(SUM('Banco de Dados'!$R1818*_xlfn.XLOOKUP('Banco de Dados'!$P1818,Sku!B:B,Sku!H:H)*20%),2)),'Banco de Dados'!$A1818="GO",ROUND(_xlfn.XLOOKUP('Banco de Dados'!$P1818,Sku!C:C,Sku!H:H),2),'Banco de Dados'!$A1818="MEI",ROUND(_xlfn.XLOOKUP('Banco de Dados'!$P1818,Sku!D:D,Sku!H:H),2)),0)</f>
        <v>0</v>
      </c>
      <c r="AN1818" s="109">
        <f ca="1">IF('Banco de Dados'!$AK1818&lt;&gt;"-",IF('Banco de Dados'!$F1818&lt;&gt;"-",_xlfn.XLOOKUP(IFERROR(IFERROR(IFERROR(VALUE(SUBSTITUTE(MID(_xlfn.TEXTAFTER('Banco de Dados'!$F1818,"Data do Pedido:
",1),1,10),"-","/")),VALUE(SUBSTITUTE(MID(_xlfn.TEXTAFTER('Banco de Dados'!$F1818,"Order date:
",1),1,10),"-","/"))),VALUE(SUBSTITUTE(MID(_xlfn.TEXTAFTER('Banco de Dados'!$F1818,"Fecha de pedido:
",1),1,10),"-","/"))),"-"),SMS!A:A,SMS!K:K),0),0)</f>
        <v>0</v>
      </c>
      <c r="AO1818" s="109">
        <f ca="1">IF('Banco de Dados'!$AK1818&lt;&gt;"-",IF('Banco de Dados'!$F1818&lt;&gt;"-",IFERROR(_xlfn.XLOOKUP(_xlfn.CONCAT('Banco de Dados'!$A1818,IFERROR(IFERROR(VALUE(SUBSTITUTE(MID(_xlfn.TEXTAFTER('Banco de Dados'!$F1818,"Data do Pedido:
",1),1,10),"-","/")),VALUE(SUBSTITUTE(MID(_xlfn.TEXTAFTER('Banco de Dados'!$F1818,"Order date:
",1),1,10),"-","/"))),0)),ProxyDD[Chave],ProxyDD[Valor por pedido]),PROXY!$P$2),0),0)</f>
        <v>0</v>
      </c>
      <c r="AP1818" s="28">
        <f ca="1">IF('Banco de Dados'!$AK1818&lt;&gt;"-",IF('Banco de Dados'!$AL1818="NÃO",IFERROR(VALUE(SUBSTITUTE(_xlfn.TEXTAFTER('Banco de Dados'!$F1818,"BRL ",1),".",",")),0),0),0)</f>
        <v>0</v>
      </c>
      <c r="AQ1818" s="28">
        <f ca="1">SUM('Banco de Dados'!$AM1818:$AP1818)</f>
        <v>0</v>
      </c>
      <c r="AR1818" s="8"/>
      <c r="AS1818" s="8"/>
      <c r="AT1818"/>
      <c r="AY1818" s="8"/>
    </row>
    <row r="1819" spans="1:51">
      <c r="A1819" s="5" t="str">
        <v>BV</v>
      </c>
      <c r="B1819" s="5" t="str">
        <f ca="1"/>
        <v>BV45833</v>
      </c>
      <c r="C1819" s="8" t="str">
        <v>Pedido 1805</v>
      </c>
      <c r="D1819" s="187">
        <v>45830</v>
      </c>
      <c r="E1819" s="9">
        <v>45833</v>
      </c>
      <c r="F1819" s="8" t="str">
        <v>PedidoF1702</v>
      </c>
      <c r="G1819" s="2" t="str">
        <v>CódRastreio1700</v>
      </c>
      <c r="H1819" s="5">
        <v>1</v>
      </c>
      <c r="I1819" s="182" t="str">
        <v>CPF 1762</v>
      </c>
      <c r="J1819" s="2" t="str">
        <v>Nome 1762</v>
      </c>
      <c r="K1819" s="8" t="str">
        <v>Tel 1762</v>
      </c>
      <c r="L1819" s="8" t="str">
        <v>Cep 1762</v>
      </c>
      <c r="M1819" s="8" t="str">
        <v>Rua 1762</v>
      </c>
      <c r="N1819" s="8" t="str">
        <v>Comp 1762</v>
      </c>
      <c r="O1819" s="8" t="str">
        <v>Máquina de cortar cabelo dragão</v>
      </c>
      <c r="P1819" s="8" t="str">
        <v>HG-2FNR-01A9</v>
      </c>
      <c r="Q1819" s="4">
        <v>45855</v>
      </c>
      <c r="R1819" s="109">
        <v>22.79</v>
      </c>
      <c r="S1819" s="11">
        <f ca="1"/>
        <v>22.79</v>
      </c>
      <c r="T1819" s="28">
        <f ca="1"/>
        <v>2.7347999999999999</v>
      </c>
      <c r="U1819" s="11">
        <f ca="1"/>
        <v>20.059999999999999</v>
      </c>
      <c r="V1819" s="11">
        <v>10.57</v>
      </c>
      <c r="W1819" s="11">
        <f ca="1"/>
        <v>0</v>
      </c>
      <c r="X1819" s="11">
        <f ca="1"/>
        <v>0.39877104377104378</v>
      </c>
      <c r="Y1819" s="11">
        <v>0</v>
      </c>
      <c r="Z1819" s="11">
        <f ca="1"/>
        <v>9.0912289562289548</v>
      </c>
      <c r="AA1819" s="11">
        <f ca="1"/>
        <v>4.5456144781144774</v>
      </c>
      <c r="AB1819" s="4">
        <f ca="1"/>
        <v>45862</v>
      </c>
      <c r="AC1819" s="4">
        <v>45862</v>
      </c>
      <c r="AD1819" s="9">
        <v>45870</v>
      </c>
      <c r="AE1819" s="9">
        <v>45873</v>
      </c>
      <c r="AF1819" s="4" t="str">
        <f t="shared" ca="1" si="132"/>
        <v>2025 07</v>
      </c>
      <c r="AG1819" s="8" t="str" cm="1">
        <f t="array" ref="AG1819">IFERROR(_xlfn.IFS('Banco de Dados'!#REF!="AG. COMPRA","Em processamento",'Banco de Dados'!#REF!="AG. RASTREIO","Em processamento",'Banco de Dados'!$AE1819&lt;&gt;"-","Faturado",'Banco de Dados'!$AD1819&lt;&gt;"-","Aguardando Pix",'Banco de Dados'!$AC1819&lt;&gt;"-","Pendente"),"Aguardando Liberação")</f>
        <v>Aguardando Liberação</v>
      </c>
      <c r="AH1819" s="5" t="str">
        <f>IF('Banco de Dados'!$F1819="-",_xlfn.CONCAT(PROPER(TEXT(AK1819,"aaaa"))," ",PROPER(TEXT(AK1819,"mm"))),_xlfn.CONCAT(PROPER(TEXT(E1819,"aaaa"))," ",PROPER(TEXT(E1819,"mm"))))</f>
        <v>2025 06</v>
      </c>
      <c r="AI1819" s="9" t="str">
        <f ca="1">IF('Banco de Dados'!$AK1819&lt;&gt;"-","REEMBOLSO",IFERROR(_xlfn.XLOOKUP(G1819,Follow[CODRASTREIO],Follow[STATUS]),"-"))</f>
        <v>ENTREGUE</v>
      </c>
      <c r="AJ1819" s="9">
        <f ca="1">IF('Banco de Dados'!$AI1819="ENTREGUE",_xlfn.XLOOKUP('Banco de Dados'!$G1819,Follow[CODRASTREIO],Follow[DATAATUALIZAÇÃO]),"-")</f>
        <v>45846</v>
      </c>
      <c r="AK1819" s="132" t="str">
        <f ca="1"/>
        <v>-</v>
      </c>
      <c r="AL1819" s="35"/>
      <c r="AM1819" s="109" cm="1">
        <f t="array" aca="1" ref="AM1819" ca="1">IF('Banco de Dados'!$AK1819&lt;&gt;"-",_xlfn.IFS('Banco de Dados'!$A1819="bv",IF('Banco de Dados'!$E1819&lt;45641,ROUND(SUM('Banco de Dados'!$R1819*_xlfn.XLOOKUP('Banco de Dados'!$P1819,Sku!B:B,Sku!#REF!)*20%),2),ROUND(SUM('Banco de Dados'!$R1819*_xlfn.XLOOKUP('Banco de Dados'!$P1819,Sku!B:B,Sku!H:H)*20%),2)),'Banco de Dados'!$A1819="GO",ROUND(_xlfn.XLOOKUP('Banco de Dados'!$P1819,Sku!C:C,Sku!H:H),2),'Banco de Dados'!$A1819="MEI",ROUND(_xlfn.XLOOKUP('Banco de Dados'!$P1819,Sku!D:D,Sku!H:H),2)),0)</f>
        <v>0</v>
      </c>
      <c r="AN1819" s="109">
        <f ca="1">IF('Banco de Dados'!$AK1819&lt;&gt;"-",IF('Banco de Dados'!$F1819&lt;&gt;"-",_xlfn.XLOOKUP(IFERROR(IFERROR(IFERROR(VALUE(SUBSTITUTE(MID(_xlfn.TEXTAFTER('Banco de Dados'!$F1819,"Data do Pedido:
",1),1,10),"-","/")),VALUE(SUBSTITUTE(MID(_xlfn.TEXTAFTER('Banco de Dados'!$F1819,"Order date:
",1),1,10),"-","/"))),VALUE(SUBSTITUTE(MID(_xlfn.TEXTAFTER('Banco de Dados'!$F1819,"Fecha de pedido:
",1),1,10),"-","/"))),"-"),SMS!A:A,SMS!K:K),0),0)</f>
        <v>0</v>
      </c>
      <c r="AO1819" s="109">
        <f ca="1">IF('Banco de Dados'!$AK1819&lt;&gt;"-",IF('Banco de Dados'!$F1819&lt;&gt;"-",IFERROR(_xlfn.XLOOKUP(_xlfn.CONCAT('Banco de Dados'!$A1819,IFERROR(IFERROR(VALUE(SUBSTITUTE(MID(_xlfn.TEXTAFTER('Banco de Dados'!$F1819,"Data do Pedido:
",1),1,10),"-","/")),VALUE(SUBSTITUTE(MID(_xlfn.TEXTAFTER('Banco de Dados'!$F1819,"Order date:
",1),1,10),"-","/"))),0)),ProxyDD[Chave],ProxyDD[Valor por pedido]),PROXY!$P$2),0),0)</f>
        <v>0</v>
      </c>
      <c r="AP1819" s="28">
        <f ca="1">IF('Banco de Dados'!$AK1819&lt;&gt;"-",IF('Banco de Dados'!$AL1819="NÃO",IFERROR(VALUE(SUBSTITUTE(_xlfn.TEXTAFTER('Banco de Dados'!$F1819,"BRL ",1),".",",")),0),0),0)</f>
        <v>0</v>
      </c>
      <c r="AQ1819" s="28">
        <f ca="1">SUM('Banco de Dados'!$AM1819:$AP1819)</f>
        <v>0</v>
      </c>
      <c r="AR1819" s="8"/>
      <c r="AS1819" s="8"/>
      <c r="AT1819"/>
      <c r="AY1819" s="8"/>
    </row>
    <row r="1820" spans="1:51">
      <c r="A1820" s="5" t="str">
        <v>BV</v>
      </c>
      <c r="B1820" s="5" t="str">
        <f ca="1"/>
        <v>BV45833</v>
      </c>
      <c r="C1820" s="8" t="str">
        <v>Pedido 1806</v>
      </c>
      <c r="D1820" s="187">
        <v>45830</v>
      </c>
      <c r="E1820" s="9">
        <v>45833</v>
      </c>
      <c r="F1820" s="8" t="str">
        <v>PedidoF1703</v>
      </c>
      <c r="G1820" s="2" t="str">
        <v>CódRastreio1701</v>
      </c>
      <c r="H1820" s="5">
        <v>1</v>
      </c>
      <c r="I1820" s="182" t="str">
        <v>CPF 1763</v>
      </c>
      <c r="J1820" s="2" t="str">
        <v>Nome 1763</v>
      </c>
      <c r="K1820" s="8" t="str">
        <v>Tel 1763</v>
      </c>
      <c r="L1820" s="8" t="str">
        <v>Cep 1763</v>
      </c>
      <c r="M1820" s="8" t="str">
        <v>Rua 1763</v>
      </c>
      <c r="N1820" s="8" t="str">
        <v>Comp 1763</v>
      </c>
      <c r="O1820" s="8" t="str">
        <v>Máquina de cortar cabelo dragão</v>
      </c>
      <c r="P1820" s="8" t="str">
        <v>HG-2FNR-01A9</v>
      </c>
      <c r="Q1820" s="4">
        <v>45855</v>
      </c>
      <c r="R1820" s="109">
        <v>22.79</v>
      </c>
      <c r="S1820" s="11">
        <f ca="1"/>
        <v>22.79</v>
      </c>
      <c r="T1820" s="28">
        <f ca="1"/>
        <v>2.7347999999999999</v>
      </c>
      <c r="U1820" s="11">
        <f ca="1"/>
        <v>20.059999999999999</v>
      </c>
      <c r="V1820" s="11">
        <v>10.17</v>
      </c>
      <c r="W1820" s="11">
        <f ca="1"/>
        <v>0</v>
      </c>
      <c r="X1820" s="11">
        <f ca="1"/>
        <v>0.39877104377104378</v>
      </c>
      <c r="Y1820" s="11">
        <v>0</v>
      </c>
      <c r="Z1820" s="11">
        <f ca="1"/>
        <v>9.4912289562289551</v>
      </c>
      <c r="AA1820" s="11">
        <f ca="1"/>
        <v>4.7456144781144776</v>
      </c>
      <c r="AB1820" s="4">
        <f ca="1"/>
        <v>45862</v>
      </c>
      <c r="AC1820" s="4">
        <v>45862</v>
      </c>
      <c r="AD1820" s="9">
        <v>45870</v>
      </c>
      <c r="AE1820" s="9">
        <v>45873</v>
      </c>
      <c r="AF1820" s="4" t="str">
        <f t="shared" ca="1" si="132"/>
        <v>2025 07</v>
      </c>
      <c r="AG1820" s="8" t="str" cm="1">
        <f t="array" ref="AG1820">IFERROR(_xlfn.IFS('Banco de Dados'!#REF!="AG. COMPRA","Em processamento",'Banco de Dados'!#REF!="AG. RASTREIO","Em processamento",'Banco de Dados'!$AE1820&lt;&gt;"-","Faturado",'Banco de Dados'!$AD1820&lt;&gt;"-","Aguardando Pix",'Banco de Dados'!$AC1820&lt;&gt;"-","Pendente"),"Aguardando Liberação")</f>
        <v>Aguardando Liberação</v>
      </c>
      <c r="AH1820" s="5" t="str">
        <f>IF('Banco de Dados'!$F1820="-",_xlfn.CONCAT(PROPER(TEXT(AK1820,"aaaa"))," ",PROPER(TEXT(AK1820,"mm"))),_xlfn.CONCAT(PROPER(TEXT(E1820,"aaaa"))," ",PROPER(TEXT(E1820,"mm"))))</f>
        <v>2025 06</v>
      </c>
      <c r="AI1820" s="9" t="str">
        <f ca="1">IF('Banco de Dados'!$AK1820&lt;&gt;"-","REEMBOLSO",IFERROR(_xlfn.XLOOKUP(G1820,Follow[CODRASTREIO],Follow[STATUS]),"-"))</f>
        <v>ENTREGUE</v>
      </c>
      <c r="AJ1820" s="9">
        <f ca="1">IF('Banco de Dados'!$AI1820="ENTREGUE",_xlfn.XLOOKUP('Banco de Dados'!$G1820,Follow[CODRASTREIO],Follow[DATAATUALIZAÇÃO]),"-")</f>
        <v>45847</v>
      </c>
      <c r="AK1820" s="132" t="str">
        <f ca="1"/>
        <v>-</v>
      </c>
      <c r="AL1820" s="35"/>
      <c r="AM1820" s="109" cm="1">
        <f t="array" aca="1" ref="AM1820" ca="1">IF('Banco de Dados'!$AK1820&lt;&gt;"-",_xlfn.IFS('Banco de Dados'!$A1820="bv",IF('Banco de Dados'!$E1820&lt;45641,ROUND(SUM('Banco de Dados'!$R1820*_xlfn.XLOOKUP('Banco de Dados'!$P1820,Sku!B:B,Sku!#REF!)*20%),2),ROUND(SUM('Banco de Dados'!$R1820*_xlfn.XLOOKUP('Banco de Dados'!$P1820,Sku!B:B,Sku!H:H)*20%),2)),'Banco de Dados'!$A1820="GO",ROUND(_xlfn.XLOOKUP('Banco de Dados'!$P1820,Sku!C:C,Sku!H:H),2),'Banco de Dados'!$A1820="MEI",ROUND(_xlfn.XLOOKUP('Banco de Dados'!$P1820,Sku!D:D,Sku!H:H),2)),0)</f>
        <v>0</v>
      </c>
      <c r="AN1820" s="109">
        <f ca="1">IF('Banco de Dados'!$AK1820&lt;&gt;"-",IF('Banco de Dados'!$F1820&lt;&gt;"-",_xlfn.XLOOKUP(IFERROR(IFERROR(IFERROR(VALUE(SUBSTITUTE(MID(_xlfn.TEXTAFTER('Banco de Dados'!$F1820,"Data do Pedido:
",1),1,10),"-","/")),VALUE(SUBSTITUTE(MID(_xlfn.TEXTAFTER('Banco de Dados'!$F1820,"Order date:
",1),1,10),"-","/"))),VALUE(SUBSTITUTE(MID(_xlfn.TEXTAFTER('Banco de Dados'!$F1820,"Fecha de pedido:
",1),1,10),"-","/"))),"-"),SMS!A:A,SMS!K:K),0),0)</f>
        <v>0</v>
      </c>
      <c r="AO1820" s="109">
        <f ca="1">IF('Banco de Dados'!$AK1820&lt;&gt;"-",IF('Banco de Dados'!$F1820&lt;&gt;"-",IFERROR(_xlfn.XLOOKUP(_xlfn.CONCAT('Banco de Dados'!$A1820,IFERROR(IFERROR(VALUE(SUBSTITUTE(MID(_xlfn.TEXTAFTER('Banco de Dados'!$F1820,"Data do Pedido:
",1),1,10),"-","/")),VALUE(SUBSTITUTE(MID(_xlfn.TEXTAFTER('Banco de Dados'!$F1820,"Order date:
",1),1,10),"-","/"))),0)),ProxyDD[Chave],ProxyDD[Valor por pedido]),PROXY!$P$2),0),0)</f>
        <v>0</v>
      </c>
      <c r="AP1820" s="28">
        <f ca="1">IF('Banco de Dados'!$AK1820&lt;&gt;"-",IF('Banco de Dados'!$AL1820="NÃO",IFERROR(VALUE(SUBSTITUTE(_xlfn.TEXTAFTER('Banco de Dados'!$F1820,"BRL ",1),".",",")),0),0),0)</f>
        <v>0</v>
      </c>
      <c r="AQ1820" s="28">
        <f ca="1">SUM('Banco de Dados'!$AM1820:$AP1820)</f>
        <v>0</v>
      </c>
      <c r="AR1820" s="8"/>
      <c r="AS1820" s="8"/>
      <c r="AT1820"/>
      <c r="AY1820" s="8"/>
    </row>
    <row r="1821" spans="1:51">
      <c r="A1821" s="5" t="str">
        <v>BV</v>
      </c>
      <c r="B1821" s="5" t="str">
        <f ca="1"/>
        <v>BV45833</v>
      </c>
      <c r="C1821" s="8" t="str">
        <v>Pedido 1807</v>
      </c>
      <c r="D1821" s="187">
        <v>45831</v>
      </c>
      <c r="E1821" s="9">
        <v>45833</v>
      </c>
      <c r="F1821" s="8" t="str">
        <v>PedidoF1704</v>
      </c>
      <c r="G1821" s="2" t="str">
        <v>CódRastreio1702</v>
      </c>
      <c r="H1821" s="5">
        <v>1</v>
      </c>
      <c r="I1821" s="182" t="str">
        <v>CPF 1764</v>
      </c>
      <c r="J1821" s="2" t="str">
        <v>Nome 1764</v>
      </c>
      <c r="K1821" s="8" t="str">
        <v>Tel 1764</v>
      </c>
      <c r="L1821" s="8" t="str">
        <v>Cep 1764</v>
      </c>
      <c r="M1821" s="8" t="str">
        <v>Rua 1764</v>
      </c>
      <c r="N1821" s="8" t="str">
        <v>Comp 1764</v>
      </c>
      <c r="O1821" s="8" t="str">
        <v>Máquina de cortar cabelo dragão</v>
      </c>
      <c r="P1821" s="8" t="str">
        <v>HG-2FNR-01A9</v>
      </c>
      <c r="Q1821" s="4">
        <v>45855</v>
      </c>
      <c r="R1821" s="109">
        <v>22.79</v>
      </c>
      <c r="S1821" s="11">
        <f ca="1"/>
        <v>22.79</v>
      </c>
      <c r="T1821" s="28">
        <f ca="1"/>
        <v>2.7347999999999999</v>
      </c>
      <c r="U1821" s="11">
        <f ca="1"/>
        <v>20.059999999999999</v>
      </c>
      <c r="V1821" s="11">
        <v>10.57</v>
      </c>
      <c r="W1821" s="11">
        <f ca="1"/>
        <v>0</v>
      </c>
      <c r="X1821" s="11">
        <f ca="1"/>
        <v>0.39877104377104378</v>
      </c>
      <c r="Y1821" s="11">
        <v>0</v>
      </c>
      <c r="Z1821" s="11">
        <f ca="1"/>
        <v>9.0912289562289548</v>
      </c>
      <c r="AA1821" s="11">
        <f ca="1"/>
        <v>4.5456144781144774</v>
      </c>
      <c r="AB1821" s="4">
        <f ca="1"/>
        <v>45862</v>
      </c>
      <c r="AC1821" s="4">
        <v>45862</v>
      </c>
      <c r="AD1821" s="9">
        <v>45870</v>
      </c>
      <c r="AE1821" s="9">
        <v>45873</v>
      </c>
      <c r="AF1821" s="4" t="str">
        <f t="shared" ca="1" si="132"/>
        <v>2025 07</v>
      </c>
      <c r="AG1821" s="8" t="str" cm="1">
        <f t="array" ref="AG1821">IFERROR(_xlfn.IFS('Banco de Dados'!#REF!="AG. COMPRA","Em processamento",'Banco de Dados'!#REF!="AG. RASTREIO","Em processamento",'Banco de Dados'!$AE1821&lt;&gt;"-","Faturado",'Banco de Dados'!$AD1821&lt;&gt;"-","Aguardando Pix",'Banco de Dados'!$AC1821&lt;&gt;"-","Pendente"),"Aguardando Liberação")</f>
        <v>Aguardando Liberação</v>
      </c>
      <c r="AH1821" s="5" t="str">
        <f>IF('Banco de Dados'!$F1821="-",_xlfn.CONCAT(PROPER(TEXT(AK1821,"aaaa"))," ",PROPER(TEXT(AK1821,"mm"))),_xlfn.CONCAT(PROPER(TEXT(E1821,"aaaa"))," ",PROPER(TEXT(E1821,"mm"))))</f>
        <v>2025 06</v>
      </c>
      <c r="AI1821" s="9" t="str">
        <f ca="1">IF('Banco de Dados'!$AK1821&lt;&gt;"-","REEMBOLSO",IFERROR(_xlfn.XLOOKUP(G1821,Follow[CODRASTREIO],Follow[STATUS]),"-"))</f>
        <v>ENTREGUE</v>
      </c>
      <c r="AJ1821" s="9">
        <f ca="1">IF('Banco de Dados'!$AI1821="ENTREGUE",_xlfn.XLOOKUP('Banco de Dados'!$G1821,Follow[CODRASTREIO],Follow[DATAATUALIZAÇÃO]),"-")</f>
        <v>45849</v>
      </c>
      <c r="AK1821" s="132" t="str">
        <f ca="1"/>
        <v>-</v>
      </c>
      <c r="AL1821" s="35"/>
      <c r="AM1821" s="109" cm="1">
        <f t="array" aca="1" ref="AM1821" ca="1">IF('Banco de Dados'!$AK1821&lt;&gt;"-",_xlfn.IFS('Banco de Dados'!$A1821="bv",IF('Banco de Dados'!$E1821&lt;45641,ROUND(SUM('Banco de Dados'!$R1821*_xlfn.XLOOKUP('Banco de Dados'!$P1821,Sku!B:B,Sku!#REF!)*20%),2),ROUND(SUM('Banco de Dados'!$R1821*_xlfn.XLOOKUP('Banco de Dados'!$P1821,Sku!B:B,Sku!H:H)*20%),2)),'Banco de Dados'!$A1821="GO",ROUND(_xlfn.XLOOKUP('Banco de Dados'!$P1821,Sku!C:C,Sku!H:H),2),'Banco de Dados'!$A1821="MEI",ROUND(_xlfn.XLOOKUP('Banco de Dados'!$P1821,Sku!D:D,Sku!H:H),2)),0)</f>
        <v>0</v>
      </c>
      <c r="AN1821" s="109">
        <f ca="1">IF('Banco de Dados'!$AK1821&lt;&gt;"-",IF('Banco de Dados'!$F1821&lt;&gt;"-",_xlfn.XLOOKUP(IFERROR(IFERROR(IFERROR(VALUE(SUBSTITUTE(MID(_xlfn.TEXTAFTER('Banco de Dados'!$F1821,"Data do Pedido:
",1),1,10),"-","/")),VALUE(SUBSTITUTE(MID(_xlfn.TEXTAFTER('Banco de Dados'!$F1821,"Order date:
",1),1,10),"-","/"))),VALUE(SUBSTITUTE(MID(_xlfn.TEXTAFTER('Banco de Dados'!$F1821,"Fecha de pedido:
",1),1,10),"-","/"))),"-"),SMS!A:A,SMS!K:K),0),0)</f>
        <v>0</v>
      </c>
      <c r="AO1821" s="109">
        <f ca="1">IF('Banco de Dados'!$AK1821&lt;&gt;"-",IF('Banco de Dados'!$F1821&lt;&gt;"-",IFERROR(_xlfn.XLOOKUP(_xlfn.CONCAT('Banco de Dados'!$A1821,IFERROR(IFERROR(VALUE(SUBSTITUTE(MID(_xlfn.TEXTAFTER('Banco de Dados'!$F1821,"Data do Pedido:
",1),1,10),"-","/")),VALUE(SUBSTITUTE(MID(_xlfn.TEXTAFTER('Banco de Dados'!$F1821,"Order date:
",1),1,10),"-","/"))),0)),ProxyDD[Chave],ProxyDD[Valor por pedido]),PROXY!$P$2),0),0)</f>
        <v>0</v>
      </c>
      <c r="AP1821" s="28">
        <f ca="1">IF('Banco de Dados'!$AK1821&lt;&gt;"-",IF('Banco de Dados'!$AL1821="NÃO",IFERROR(VALUE(SUBSTITUTE(_xlfn.TEXTAFTER('Banco de Dados'!$F1821,"BRL ",1),".",",")),0),0),0)</f>
        <v>0</v>
      </c>
      <c r="AQ1821" s="28">
        <f ca="1">SUM('Banco de Dados'!$AM1821:$AP1821)</f>
        <v>0</v>
      </c>
      <c r="AR1821" s="8"/>
      <c r="AS1821" s="8"/>
      <c r="AT1821"/>
      <c r="AY1821" s="8"/>
    </row>
    <row r="1822" spans="1:51">
      <c r="A1822" s="5" t="str">
        <v>BV</v>
      </c>
      <c r="B1822" s="5" t="str">
        <f ca="1"/>
        <v>BV45833</v>
      </c>
      <c r="C1822" s="8" t="str">
        <v>Pedido 1808</v>
      </c>
      <c r="D1822" s="187">
        <v>45830</v>
      </c>
      <c r="E1822" s="9">
        <v>45833</v>
      </c>
      <c r="F1822" s="8" t="str">
        <v>PedidoF1705</v>
      </c>
      <c r="G1822" s="2" t="str">
        <v>CódRastreio1703</v>
      </c>
      <c r="H1822" s="5">
        <v>1</v>
      </c>
      <c r="I1822" s="182" t="str">
        <v>CPF 1765</v>
      </c>
      <c r="J1822" s="2" t="str">
        <v>Nome 1765</v>
      </c>
      <c r="K1822" s="8" t="str">
        <v>Tel 1765</v>
      </c>
      <c r="L1822" s="8" t="str">
        <v>Cep 1765</v>
      </c>
      <c r="M1822" s="8" t="str">
        <v>Rua 1765</v>
      </c>
      <c r="N1822" s="8" t="str">
        <v>Comp 1765</v>
      </c>
      <c r="O1822" s="8" t="str">
        <v>Máquina de cortar cabelo dragão</v>
      </c>
      <c r="P1822" s="8" t="str">
        <v>HG-2FNR-01A9</v>
      </c>
      <c r="Q1822" s="4">
        <v>45855</v>
      </c>
      <c r="R1822" s="109">
        <v>22.79</v>
      </c>
      <c r="S1822" s="11">
        <f ca="1"/>
        <v>22.79</v>
      </c>
      <c r="T1822" s="28">
        <f ca="1"/>
        <v>2.7347999999999999</v>
      </c>
      <c r="U1822" s="11">
        <f ca="1"/>
        <v>20.059999999999999</v>
      </c>
      <c r="V1822" s="11">
        <v>10.17</v>
      </c>
      <c r="W1822" s="11">
        <f ca="1"/>
        <v>0</v>
      </c>
      <c r="X1822" s="11">
        <f ca="1"/>
        <v>0.39877104377104378</v>
      </c>
      <c r="Y1822" s="11">
        <v>0</v>
      </c>
      <c r="Z1822" s="11">
        <f ca="1"/>
        <v>9.4912289562289551</v>
      </c>
      <c r="AA1822" s="11">
        <f ca="1"/>
        <v>4.7456144781144776</v>
      </c>
      <c r="AB1822" s="4">
        <f ca="1"/>
        <v>45862</v>
      </c>
      <c r="AC1822" s="4">
        <v>45862</v>
      </c>
      <c r="AD1822" s="9">
        <v>45870</v>
      </c>
      <c r="AE1822" s="9">
        <v>45873</v>
      </c>
      <c r="AF1822" s="4" t="str">
        <f t="shared" ca="1" si="132"/>
        <v>2025 07</v>
      </c>
      <c r="AG1822" s="8" t="str" cm="1">
        <f t="array" ref="AG1822">IFERROR(_xlfn.IFS('Banco de Dados'!#REF!="AG. COMPRA","Em processamento",'Banco de Dados'!#REF!="AG. RASTREIO","Em processamento",'Banco de Dados'!$AE1822&lt;&gt;"-","Faturado",'Banco de Dados'!$AD1822&lt;&gt;"-","Aguardando Pix",'Banco de Dados'!$AC1822&lt;&gt;"-","Pendente"),"Aguardando Liberação")</f>
        <v>Aguardando Liberação</v>
      </c>
      <c r="AH1822" s="5" t="str">
        <f>IF('Banco de Dados'!$F1822="-",_xlfn.CONCAT(PROPER(TEXT(AK1822,"aaaa"))," ",PROPER(TEXT(AK1822,"mm"))),_xlfn.CONCAT(PROPER(TEXT(E1822,"aaaa"))," ",PROPER(TEXT(E1822,"mm"))))</f>
        <v>2025 06</v>
      </c>
      <c r="AI1822" s="9" t="str">
        <f ca="1">IF('Banco de Dados'!$AK1822&lt;&gt;"-","REEMBOLSO",IFERROR(_xlfn.XLOOKUP(G1822,Follow[CODRASTREIO],Follow[STATUS]),"-"))</f>
        <v>ENTREGUE</v>
      </c>
      <c r="AJ1822" s="9">
        <f ca="1">IF('Banco de Dados'!$AI1822="ENTREGUE",_xlfn.XLOOKUP('Banco de Dados'!$G1822,Follow[CODRASTREIO],Follow[DATAATUALIZAÇÃO]),"-")</f>
        <v>45845</v>
      </c>
      <c r="AK1822" s="132" t="str">
        <f ca="1"/>
        <v>-</v>
      </c>
      <c r="AL1822" s="35"/>
      <c r="AM1822" s="109" cm="1">
        <f t="array" aca="1" ref="AM1822" ca="1">IF('Banco de Dados'!$AK1822&lt;&gt;"-",_xlfn.IFS('Banco de Dados'!$A1822="bv",IF('Banco de Dados'!$E1822&lt;45641,ROUND(SUM('Banco de Dados'!$R1822*_xlfn.XLOOKUP('Banco de Dados'!$P1822,Sku!B:B,Sku!#REF!)*20%),2),ROUND(SUM('Banco de Dados'!$R1822*_xlfn.XLOOKUP('Banco de Dados'!$P1822,Sku!B:B,Sku!H:H)*20%),2)),'Banco de Dados'!$A1822="GO",ROUND(_xlfn.XLOOKUP('Banco de Dados'!$P1822,Sku!C:C,Sku!H:H),2),'Banco de Dados'!$A1822="MEI",ROUND(_xlfn.XLOOKUP('Banco de Dados'!$P1822,Sku!D:D,Sku!H:H),2)),0)</f>
        <v>0</v>
      </c>
      <c r="AN1822" s="109">
        <f ca="1">IF('Banco de Dados'!$AK1822&lt;&gt;"-",IF('Banco de Dados'!$F1822&lt;&gt;"-",_xlfn.XLOOKUP(IFERROR(IFERROR(IFERROR(VALUE(SUBSTITUTE(MID(_xlfn.TEXTAFTER('Banco de Dados'!$F1822,"Data do Pedido:
",1),1,10),"-","/")),VALUE(SUBSTITUTE(MID(_xlfn.TEXTAFTER('Banco de Dados'!$F1822,"Order date:
",1),1,10),"-","/"))),VALUE(SUBSTITUTE(MID(_xlfn.TEXTAFTER('Banco de Dados'!$F1822,"Fecha de pedido:
",1),1,10),"-","/"))),"-"),SMS!A:A,SMS!K:K),0),0)</f>
        <v>0</v>
      </c>
      <c r="AO1822" s="109">
        <f ca="1">IF('Banco de Dados'!$AK1822&lt;&gt;"-",IF('Banco de Dados'!$F1822&lt;&gt;"-",IFERROR(_xlfn.XLOOKUP(_xlfn.CONCAT('Banco de Dados'!$A1822,IFERROR(IFERROR(VALUE(SUBSTITUTE(MID(_xlfn.TEXTAFTER('Banco de Dados'!$F1822,"Data do Pedido:
",1),1,10),"-","/")),VALUE(SUBSTITUTE(MID(_xlfn.TEXTAFTER('Banco de Dados'!$F1822,"Order date:
",1),1,10),"-","/"))),0)),ProxyDD[Chave],ProxyDD[Valor por pedido]),PROXY!$P$2),0),0)</f>
        <v>0</v>
      </c>
      <c r="AP1822" s="28">
        <f ca="1">IF('Banco de Dados'!$AK1822&lt;&gt;"-",IF('Banco de Dados'!$AL1822="NÃO",IFERROR(VALUE(SUBSTITUTE(_xlfn.TEXTAFTER('Banco de Dados'!$F1822,"BRL ",1),".",",")),0),0),0)</f>
        <v>0</v>
      </c>
      <c r="AQ1822" s="28">
        <f ca="1">SUM('Banco de Dados'!$AM1822:$AP1822)</f>
        <v>0</v>
      </c>
      <c r="AR1822" s="8"/>
      <c r="AS1822" s="8"/>
      <c r="AT1822"/>
      <c r="AY1822" s="8"/>
    </row>
    <row r="1823" spans="1:51">
      <c r="A1823" s="5" t="str">
        <v>BV</v>
      </c>
      <c r="B1823" s="5" t="str">
        <f ca="1"/>
        <v>BV45834</v>
      </c>
      <c r="C1823" s="8" t="str">
        <v>Pedido 1809</v>
      </c>
      <c r="D1823" s="187">
        <v>45830</v>
      </c>
      <c r="E1823" s="9">
        <v>45834</v>
      </c>
      <c r="F1823" s="2" t="str">
        <v>PedidoF1706</v>
      </c>
      <c r="G1823" s="2" t="str">
        <v>CódRastreio1704</v>
      </c>
      <c r="H1823" s="5">
        <v>1</v>
      </c>
      <c r="I1823" s="182" t="str">
        <v>CPF 1766</v>
      </c>
      <c r="J1823" s="2" t="str">
        <v>Nome 1766</v>
      </c>
      <c r="K1823" s="8" t="str">
        <v>Tel 1766</v>
      </c>
      <c r="L1823" s="8" t="str">
        <v>Cep 1766</v>
      </c>
      <c r="M1823" s="8" t="str">
        <v>Rua 1766</v>
      </c>
      <c r="N1823" s="8" t="str">
        <v>Comp 1766</v>
      </c>
      <c r="O1823" s="8" t="str">
        <v>Máquina de cortar cabelo dragão</v>
      </c>
      <c r="P1823" s="8" t="str">
        <v>HG-2FNR-01A9</v>
      </c>
      <c r="Q1823" s="4">
        <v>45849</v>
      </c>
      <c r="R1823" s="109">
        <v>22.79</v>
      </c>
      <c r="S1823" s="11">
        <f ca="1"/>
        <v>22.79</v>
      </c>
      <c r="T1823" s="28">
        <f ca="1"/>
        <v>2.7347999999999999</v>
      </c>
      <c r="U1823" s="11">
        <f ca="1"/>
        <v>20.059999999999999</v>
      </c>
      <c r="V1823" s="11">
        <v>10.18</v>
      </c>
      <c r="W1823" s="11">
        <f ca="1"/>
        <v>0</v>
      </c>
      <c r="X1823" s="11">
        <f ca="1"/>
        <v>0.39877104377104378</v>
      </c>
      <c r="Y1823" s="11">
        <v>0</v>
      </c>
      <c r="Z1823" s="11">
        <f ca="1"/>
        <v>9.4812289562289553</v>
      </c>
      <c r="AA1823" s="11">
        <f ca="1"/>
        <v>4.7406144781144777</v>
      </c>
      <c r="AB1823" s="4">
        <f ca="1"/>
        <v>45856</v>
      </c>
      <c r="AC1823" s="4">
        <v>45856</v>
      </c>
      <c r="AD1823" s="9">
        <v>45870</v>
      </c>
      <c r="AE1823" s="9">
        <v>45873</v>
      </c>
      <c r="AF1823" s="4" t="str">
        <f t="shared" ca="1" si="132"/>
        <v>2025 07</v>
      </c>
      <c r="AG1823" s="8" t="str" cm="1">
        <f t="array" ref="AG1823">IFERROR(_xlfn.IFS('Banco de Dados'!#REF!="AG. COMPRA","Em processamento",'Banco de Dados'!#REF!="AG. RASTREIO","Em processamento",'Banco de Dados'!$AE1823&lt;&gt;"-","Faturado",'Banco de Dados'!$AD1823&lt;&gt;"-","Aguardando Pix",'Banco de Dados'!$AC1823&lt;&gt;"-","Pendente"),"Aguardando Liberação")</f>
        <v>Aguardando Liberação</v>
      </c>
      <c r="AH1823" s="5" t="str">
        <f>IF('Banco de Dados'!$F1823="-",_xlfn.CONCAT(PROPER(TEXT(AK1823,"aaaa"))," ",PROPER(TEXT(AK1823,"mm"))),_xlfn.CONCAT(PROPER(TEXT(E1823,"aaaa"))," ",PROPER(TEXT(E1823,"mm"))))</f>
        <v>2025 06</v>
      </c>
      <c r="AI1823" s="9" t="str">
        <f ca="1">IF('Banco de Dados'!$AK1823&lt;&gt;"-","REEMBOLSO",IFERROR(_xlfn.XLOOKUP(G1823,Follow[CODRASTREIO],Follow[STATUS]),"-"))</f>
        <v>ENTREGUE</v>
      </c>
      <c r="AJ1823" s="9">
        <f ca="1">IF('Banco de Dados'!$AI1823="ENTREGUE",_xlfn.XLOOKUP('Banco de Dados'!$G1823,Follow[CODRASTREIO],Follow[DATAATUALIZAÇÃO]),"-")</f>
        <v>45849</v>
      </c>
      <c r="AK1823" s="132" t="str">
        <f ca="1"/>
        <v>-</v>
      </c>
      <c r="AL1823" s="35"/>
      <c r="AM1823" s="109" cm="1">
        <f t="array" aca="1" ref="AM1823" ca="1">IF('Banco de Dados'!$AK1823&lt;&gt;"-",_xlfn.IFS('Banco de Dados'!$A1823="bv",IF('Banco de Dados'!$E1823&lt;45641,ROUND(SUM('Banco de Dados'!$R1823*_xlfn.XLOOKUP('Banco de Dados'!$P1823,Sku!B:B,Sku!#REF!)*20%),2),ROUND(SUM('Banco de Dados'!$R1823*_xlfn.XLOOKUP('Banco de Dados'!$P1823,Sku!B:B,Sku!H:H)*20%),2)),'Banco de Dados'!$A1823="GO",ROUND(_xlfn.XLOOKUP('Banco de Dados'!$P1823,Sku!C:C,Sku!H:H),2),'Banco de Dados'!$A1823="MEI",ROUND(_xlfn.XLOOKUP('Banco de Dados'!$P1823,Sku!D:D,Sku!H:H),2)),0)</f>
        <v>0</v>
      </c>
      <c r="AN1823" s="109">
        <f ca="1">IF('Banco de Dados'!$AK1823&lt;&gt;"-",IF('Banco de Dados'!$F1823&lt;&gt;"-",_xlfn.XLOOKUP(IFERROR(IFERROR(IFERROR(VALUE(SUBSTITUTE(MID(_xlfn.TEXTAFTER('Banco de Dados'!$F1823,"Data do Pedido:
",1),1,10),"-","/")),VALUE(SUBSTITUTE(MID(_xlfn.TEXTAFTER('Banco de Dados'!$F1823,"Order date:
",1),1,10),"-","/"))),VALUE(SUBSTITUTE(MID(_xlfn.TEXTAFTER('Banco de Dados'!$F1823,"Fecha de pedido:
",1),1,10),"-","/"))),"-"),SMS!A:A,SMS!K:K),0),0)</f>
        <v>0</v>
      </c>
      <c r="AO1823" s="109">
        <f ca="1">IF('Banco de Dados'!$AK1823&lt;&gt;"-",IF('Banco de Dados'!$F1823&lt;&gt;"-",IFERROR(_xlfn.XLOOKUP(_xlfn.CONCAT('Banco de Dados'!$A1823,IFERROR(IFERROR(VALUE(SUBSTITUTE(MID(_xlfn.TEXTAFTER('Banco de Dados'!$F1823,"Data do Pedido:
",1),1,10),"-","/")),VALUE(SUBSTITUTE(MID(_xlfn.TEXTAFTER('Banco de Dados'!$F1823,"Order date:
",1),1,10),"-","/"))),0)),ProxyDD[Chave],ProxyDD[Valor por pedido]),PROXY!$P$2),0),0)</f>
        <v>0</v>
      </c>
      <c r="AP1823" s="28">
        <f ca="1">IF('Banco de Dados'!$AK1823&lt;&gt;"-",IF('Banco de Dados'!$AL1823="NÃO",IFERROR(VALUE(SUBSTITUTE(_xlfn.TEXTAFTER('Banco de Dados'!$F1823,"BRL ",1),".",",")),0),0),0)</f>
        <v>0</v>
      </c>
      <c r="AQ1823" s="28">
        <f ca="1">SUM('Banco de Dados'!$AM1823:$AP1823)</f>
        <v>0</v>
      </c>
      <c r="AR1823" s="8"/>
      <c r="AS1823" s="8"/>
      <c r="AT1823"/>
      <c r="AY1823" s="8"/>
    </row>
    <row r="1824" spans="1:51">
      <c r="A1824" s="5" t="str">
        <v>BV</v>
      </c>
      <c r="B1824" s="5" t="str">
        <f ca="1"/>
        <v>BV45833</v>
      </c>
      <c r="C1824" s="8" t="str">
        <v>Pedido 1810</v>
      </c>
      <c r="D1824" s="187">
        <v>45830</v>
      </c>
      <c r="E1824" s="9">
        <v>45833</v>
      </c>
      <c r="F1824" s="8" t="str">
        <v>PedidoF1707</v>
      </c>
      <c r="G1824" s="2" t="str">
        <v>CódRastreio1705</v>
      </c>
      <c r="H1824" s="5">
        <v>1</v>
      </c>
      <c r="I1824" s="182" t="str">
        <v>CPF 1767</v>
      </c>
      <c r="J1824" s="2" t="str">
        <v>Nome 1767</v>
      </c>
      <c r="K1824" s="8" t="str">
        <v>Tel 1767</v>
      </c>
      <c r="L1824" s="8" t="str">
        <v>Cep 1767</v>
      </c>
      <c r="M1824" s="8" t="str">
        <v>Rua 1767</v>
      </c>
      <c r="N1824" s="8" t="str">
        <v>Comp 1767</v>
      </c>
      <c r="O1824" s="8" t="str">
        <v>Máquina de cortar cabelo dragão</v>
      </c>
      <c r="P1824" s="8" t="str">
        <v>HG-2FNR-01A9</v>
      </c>
      <c r="Q1824" s="4">
        <v>45849</v>
      </c>
      <c r="R1824" s="109">
        <v>22.79</v>
      </c>
      <c r="S1824" s="11">
        <f ca="1"/>
        <v>22.79</v>
      </c>
      <c r="T1824" s="28">
        <f ca="1"/>
        <v>2.7347999999999999</v>
      </c>
      <c r="U1824" s="11">
        <f ca="1"/>
        <v>20.059999999999999</v>
      </c>
      <c r="V1824" s="11">
        <v>14.43</v>
      </c>
      <c r="W1824" s="11">
        <f ca="1"/>
        <v>0</v>
      </c>
      <c r="X1824" s="11">
        <f ca="1"/>
        <v>0.39877104377104378</v>
      </c>
      <c r="Y1824" s="11">
        <v>0</v>
      </c>
      <c r="Z1824" s="11">
        <f ca="1"/>
        <v>5.2312289562289553</v>
      </c>
      <c r="AA1824" s="11">
        <f ca="1"/>
        <v>2.6156144781144777</v>
      </c>
      <c r="AB1824" s="4">
        <f ca="1"/>
        <v>45856</v>
      </c>
      <c r="AC1824" s="4">
        <v>45856</v>
      </c>
      <c r="AD1824" s="9">
        <v>45870</v>
      </c>
      <c r="AE1824" s="9">
        <v>45873</v>
      </c>
      <c r="AF1824" s="4" t="str">
        <f t="shared" ca="1" si="132"/>
        <v>2025 07</v>
      </c>
      <c r="AG1824" s="8" t="str" cm="1">
        <f t="array" ref="AG1824">IFERROR(_xlfn.IFS('Banco de Dados'!#REF!="AG. COMPRA","Em processamento",'Banco de Dados'!#REF!="AG. RASTREIO","Em processamento",'Banco de Dados'!$AE1824&lt;&gt;"-","Faturado",'Banco de Dados'!$AD1824&lt;&gt;"-","Aguardando Pix",'Banco de Dados'!$AC1824&lt;&gt;"-","Pendente"),"Aguardando Liberação")</f>
        <v>Aguardando Liberação</v>
      </c>
      <c r="AH1824" s="5" t="str">
        <f>IF('Banco de Dados'!$F1824="-",_xlfn.CONCAT(PROPER(TEXT(AK1824,"aaaa"))," ",PROPER(TEXT(AK1824,"mm"))),_xlfn.CONCAT(PROPER(TEXT(E1824,"aaaa"))," ",PROPER(TEXT(E1824,"mm"))))</f>
        <v>2025 06</v>
      </c>
      <c r="AI1824" s="9" t="str">
        <f ca="1">IF('Banco de Dados'!$AK1824&lt;&gt;"-","REEMBOLSO",IFERROR(_xlfn.XLOOKUP(G1824,Follow[CODRASTREIO],Follow[STATUS]),"-"))</f>
        <v>ENTREGUE</v>
      </c>
      <c r="AJ1824" s="9">
        <f ca="1">IF('Banco de Dados'!$AI1824="ENTREGUE",_xlfn.XLOOKUP('Banco de Dados'!$G1824,Follow[CODRASTREIO],Follow[DATAATUALIZAÇÃO]),"-")</f>
        <v>45846</v>
      </c>
      <c r="AK1824" s="132" t="str">
        <f ca="1"/>
        <v>-</v>
      </c>
      <c r="AL1824" s="35"/>
      <c r="AM1824" s="109" cm="1">
        <f t="array" aca="1" ref="AM1824" ca="1">IF('Banco de Dados'!$AK1824&lt;&gt;"-",_xlfn.IFS('Banco de Dados'!$A1824="bv",IF('Banco de Dados'!$E1824&lt;45641,ROUND(SUM('Banco de Dados'!$R1824*_xlfn.XLOOKUP('Banco de Dados'!$P1824,Sku!B:B,Sku!#REF!)*20%),2),ROUND(SUM('Banco de Dados'!$R1824*_xlfn.XLOOKUP('Banco de Dados'!$P1824,Sku!B:B,Sku!H:H)*20%),2)),'Banco de Dados'!$A1824="GO",ROUND(_xlfn.XLOOKUP('Banco de Dados'!$P1824,Sku!C:C,Sku!H:H),2),'Banco de Dados'!$A1824="MEI",ROUND(_xlfn.XLOOKUP('Banco de Dados'!$P1824,Sku!D:D,Sku!H:H),2)),0)</f>
        <v>0</v>
      </c>
      <c r="AN1824" s="109">
        <f ca="1">IF('Banco de Dados'!$AK1824&lt;&gt;"-",IF('Banco de Dados'!$F1824&lt;&gt;"-",_xlfn.XLOOKUP(IFERROR(IFERROR(IFERROR(VALUE(SUBSTITUTE(MID(_xlfn.TEXTAFTER('Banco de Dados'!$F1824,"Data do Pedido:
",1),1,10),"-","/")),VALUE(SUBSTITUTE(MID(_xlfn.TEXTAFTER('Banco de Dados'!$F1824,"Order date:
",1),1,10),"-","/"))),VALUE(SUBSTITUTE(MID(_xlfn.TEXTAFTER('Banco de Dados'!$F1824,"Fecha de pedido:
",1),1,10),"-","/"))),"-"),SMS!A:A,SMS!K:K),0),0)</f>
        <v>0</v>
      </c>
      <c r="AO1824" s="109">
        <f ca="1">IF('Banco de Dados'!$AK1824&lt;&gt;"-",IF('Banco de Dados'!$F1824&lt;&gt;"-",IFERROR(_xlfn.XLOOKUP(_xlfn.CONCAT('Banco de Dados'!$A1824,IFERROR(IFERROR(VALUE(SUBSTITUTE(MID(_xlfn.TEXTAFTER('Banco de Dados'!$F1824,"Data do Pedido:
",1),1,10),"-","/")),VALUE(SUBSTITUTE(MID(_xlfn.TEXTAFTER('Banco de Dados'!$F1824,"Order date:
",1),1,10),"-","/"))),0)),ProxyDD[Chave],ProxyDD[Valor por pedido]),PROXY!$P$2),0),0)</f>
        <v>0</v>
      </c>
      <c r="AP1824" s="28">
        <f ca="1">IF('Banco de Dados'!$AK1824&lt;&gt;"-",IF('Banco de Dados'!$AL1824="NÃO",IFERROR(VALUE(SUBSTITUTE(_xlfn.TEXTAFTER('Banco de Dados'!$F1824,"BRL ",1),".",",")),0),0),0)</f>
        <v>0</v>
      </c>
      <c r="AQ1824" s="28">
        <f ca="1">SUM('Banco de Dados'!$AM1824:$AP1824)</f>
        <v>0</v>
      </c>
      <c r="AR1824" s="8"/>
      <c r="AS1824" s="8"/>
      <c r="AT1824"/>
      <c r="AY1824" s="8"/>
    </row>
    <row r="1825" spans="1:51">
      <c r="A1825" s="5" t="str">
        <v>BV</v>
      </c>
      <c r="B1825" s="5" t="str">
        <f ca="1"/>
        <v>BV45834</v>
      </c>
      <c r="C1825" s="8" t="str">
        <v>Pedido 1811</v>
      </c>
      <c r="D1825" s="187">
        <v>45830</v>
      </c>
      <c r="E1825" s="9">
        <v>45834</v>
      </c>
      <c r="F1825" s="2" t="str">
        <v>PedidoF1708</v>
      </c>
      <c r="G1825" s="2" t="str">
        <v>CódRastreio1706</v>
      </c>
      <c r="H1825" s="5">
        <v>1</v>
      </c>
      <c r="I1825" s="182" t="str">
        <v>CPF 1768</v>
      </c>
      <c r="J1825" s="2" t="str">
        <v>Nome 1768</v>
      </c>
      <c r="K1825" s="8" t="str">
        <v>Tel 1768</v>
      </c>
      <c r="L1825" s="8" t="str">
        <v>Cep 1768</v>
      </c>
      <c r="M1825" s="8" t="str">
        <v>Rua 1768</v>
      </c>
      <c r="N1825" s="8" t="str">
        <v>Comp 1768</v>
      </c>
      <c r="O1825" s="8" t="str">
        <v>Máquina de cortar cabelo dragão</v>
      </c>
      <c r="P1825" s="8" t="str">
        <v>HG-2FNR-01A9</v>
      </c>
      <c r="Q1825" s="4">
        <v>45855</v>
      </c>
      <c r="R1825" s="109">
        <v>22.79</v>
      </c>
      <c r="S1825" s="11">
        <f ca="1"/>
        <v>22.79</v>
      </c>
      <c r="T1825" s="28">
        <f ca="1"/>
        <v>2.7347999999999999</v>
      </c>
      <c r="U1825" s="11">
        <f ca="1"/>
        <v>20.059999999999999</v>
      </c>
      <c r="V1825" s="11">
        <v>10.18</v>
      </c>
      <c r="W1825" s="11">
        <f ca="1"/>
        <v>0</v>
      </c>
      <c r="X1825" s="11">
        <f ca="1"/>
        <v>0.39877104377104378</v>
      </c>
      <c r="Y1825" s="11">
        <v>0</v>
      </c>
      <c r="Z1825" s="11">
        <f ca="1"/>
        <v>9.4812289562289553</v>
      </c>
      <c r="AA1825" s="11">
        <f ca="1"/>
        <v>4.7406144781144777</v>
      </c>
      <c r="AB1825" s="4">
        <f ca="1"/>
        <v>45862</v>
      </c>
      <c r="AC1825" s="4">
        <v>45862</v>
      </c>
      <c r="AD1825" s="9">
        <v>45870</v>
      </c>
      <c r="AE1825" s="9">
        <v>45873</v>
      </c>
      <c r="AF1825" s="4" t="str">
        <f t="shared" ca="1" si="132"/>
        <v>2025 07</v>
      </c>
      <c r="AG1825" s="8" t="str" cm="1">
        <f t="array" ref="AG1825">IFERROR(_xlfn.IFS('Banco de Dados'!#REF!="AG. COMPRA","Em processamento",'Banco de Dados'!#REF!="AG. RASTREIO","Em processamento",'Banco de Dados'!$AE1825&lt;&gt;"-","Faturado",'Banco de Dados'!$AD1825&lt;&gt;"-","Aguardando Pix",'Banco de Dados'!$AC1825&lt;&gt;"-","Pendente"),"Aguardando Liberação")</f>
        <v>Aguardando Liberação</v>
      </c>
      <c r="AH1825" s="5" t="str">
        <f>IF('Banco de Dados'!$F1825="-",_xlfn.CONCAT(PROPER(TEXT(AK1825,"aaaa"))," ",PROPER(TEXT(AK1825,"mm"))),_xlfn.CONCAT(PROPER(TEXT(E1825,"aaaa"))," ",PROPER(TEXT(E1825,"mm"))))</f>
        <v>2025 06</v>
      </c>
      <c r="AI1825" s="9" t="str">
        <f ca="1">IF('Banco de Dados'!$AK1825&lt;&gt;"-","REEMBOLSO",IFERROR(_xlfn.XLOOKUP(G1825,Follow[CODRASTREIO],Follow[STATUS]),"-"))</f>
        <v>ENTREGUE</v>
      </c>
      <c r="AJ1825" s="9">
        <f ca="1">IF('Banco de Dados'!$AI1825="ENTREGUE",_xlfn.XLOOKUP('Banco de Dados'!$G1825,Follow[CODRASTREIO],Follow[DATAATUALIZAÇÃO]),"-")</f>
        <v>45852</v>
      </c>
      <c r="AK1825" s="132" t="str">
        <f ca="1"/>
        <v>-</v>
      </c>
      <c r="AL1825" s="35"/>
      <c r="AM1825" s="109" cm="1">
        <f t="array" aca="1" ref="AM1825" ca="1">IF('Banco de Dados'!$AK1825&lt;&gt;"-",_xlfn.IFS('Banco de Dados'!$A1825="bv",IF('Banco de Dados'!$E1825&lt;45641,ROUND(SUM('Banco de Dados'!$R1825*_xlfn.XLOOKUP('Banco de Dados'!$P1825,Sku!B:B,Sku!#REF!)*20%),2),ROUND(SUM('Banco de Dados'!$R1825*_xlfn.XLOOKUP('Banco de Dados'!$P1825,Sku!B:B,Sku!H:H)*20%),2)),'Banco de Dados'!$A1825="GO",ROUND(_xlfn.XLOOKUP('Banco de Dados'!$P1825,Sku!C:C,Sku!H:H),2),'Banco de Dados'!$A1825="MEI",ROUND(_xlfn.XLOOKUP('Banco de Dados'!$P1825,Sku!D:D,Sku!H:H),2)),0)</f>
        <v>0</v>
      </c>
      <c r="AN1825" s="109">
        <f ca="1">IF('Banco de Dados'!$AK1825&lt;&gt;"-",IF('Banco de Dados'!$F1825&lt;&gt;"-",_xlfn.XLOOKUP(IFERROR(IFERROR(IFERROR(VALUE(SUBSTITUTE(MID(_xlfn.TEXTAFTER('Banco de Dados'!$F1825,"Data do Pedido:
",1),1,10),"-","/")),VALUE(SUBSTITUTE(MID(_xlfn.TEXTAFTER('Banco de Dados'!$F1825,"Order date:
",1),1,10),"-","/"))),VALUE(SUBSTITUTE(MID(_xlfn.TEXTAFTER('Banco de Dados'!$F1825,"Fecha de pedido:
",1),1,10),"-","/"))),"-"),SMS!A:A,SMS!K:K),0),0)</f>
        <v>0</v>
      </c>
      <c r="AO1825" s="109">
        <f ca="1">IF('Banco de Dados'!$AK1825&lt;&gt;"-",IF('Banco de Dados'!$F1825&lt;&gt;"-",IFERROR(_xlfn.XLOOKUP(_xlfn.CONCAT('Banco de Dados'!$A1825,IFERROR(IFERROR(VALUE(SUBSTITUTE(MID(_xlfn.TEXTAFTER('Banco de Dados'!$F1825,"Data do Pedido:
",1),1,10),"-","/")),VALUE(SUBSTITUTE(MID(_xlfn.TEXTAFTER('Banco de Dados'!$F1825,"Order date:
",1),1,10),"-","/"))),0)),ProxyDD[Chave],ProxyDD[Valor por pedido]),PROXY!$P$2),0),0)</f>
        <v>0</v>
      </c>
      <c r="AP1825" s="28">
        <f ca="1">IF('Banco de Dados'!$AK1825&lt;&gt;"-",IF('Banco de Dados'!$AL1825="NÃO",IFERROR(VALUE(SUBSTITUTE(_xlfn.TEXTAFTER('Banco de Dados'!$F1825,"BRL ",1),".",",")),0),0),0)</f>
        <v>0</v>
      </c>
      <c r="AQ1825" s="28">
        <f ca="1">SUM('Banco de Dados'!$AM1825:$AP1825)</f>
        <v>0</v>
      </c>
      <c r="AR1825" s="8"/>
      <c r="AS1825" s="8"/>
      <c r="AT1825"/>
      <c r="AY1825" s="8"/>
    </row>
    <row r="1826" spans="1:51">
      <c r="A1826" s="5" t="str">
        <v>BV</v>
      </c>
      <c r="B1826" s="5" t="str">
        <f ca="1"/>
        <v>BV45834</v>
      </c>
      <c r="C1826" s="8" t="str">
        <v>Pedido 1812</v>
      </c>
      <c r="D1826" s="187">
        <v>45831</v>
      </c>
      <c r="E1826" s="9">
        <v>45834</v>
      </c>
      <c r="F1826" s="2" t="str">
        <v>PedidoF1709</v>
      </c>
      <c r="G1826" s="2" t="str">
        <v>CódRastreio1707</v>
      </c>
      <c r="H1826" s="5">
        <v>1</v>
      </c>
      <c r="I1826" s="182" t="str">
        <v>CPF 1769</v>
      </c>
      <c r="J1826" s="2" t="str">
        <v>Nome 1769</v>
      </c>
      <c r="K1826" s="8" t="str">
        <v>Tel 1769</v>
      </c>
      <c r="L1826" s="8" t="str">
        <v>Cep 1769</v>
      </c>
      <c r="M1826" s="8" t="str">
        <v>Rua 1769</v>
      </c>
      <c r="N1826" s="8" t="str">
        <v>Comp 1769</v>
      </c>
      <c r="O1826" s="8" t="str">
        <v>Máquina de cortar cabelo dragão</v>
      </c>
      <c r="P1826" s="8" t="str">
        <v>HG-2FNR-01A9</v>
      </c>
      <c r="Q1826" s="4">
        <v>45856</v>
      </c>
      <c r="R1826" s="109">
        <v>22.79</v>
      </c>
      <c r="S1826" s="11">
        <f ca="1"/>
        <v>0</v>
      </c>
      <c r="T1826" s="28">
        <f ca="1"/>
        <v>0</v>
      </c>
      <c r="U1826" s="11">
        <f ca="1"/>
        <v>0</v>
      </c>
      <c r="V1826" s="11">
        <v>0</v>
      </c>
      <c r="W1826" s="11">
        <f ca="1"/>
        <v>0</v>
      </c>
      <c r="X1826" s="11">
        <f ca="1"/>
        <v>0.39877104377104378</v>
      </c>
      <c r="Y1826" s="11">
        <v>0</v>
      </c>
      <c r="Z1826" s="11">
        <f ca="1"/>
        <v>-0.39877104377104378</v>
      </c>
      <c r="AA1826" s="11">
        <f ca="1"/>
        <v>-0.19938552188552189</v>
      </c>
      <c r="AB1826" s="4">
        <f ca="1"/>
        <v>45863</v>
      </c>
      <c r="AC1826" s="4">
        <v>45863</v>
      </c>
      <c r="AD1826" s="9">
        <v>45870</v>
      </c>
      <c r="AE1826" s="9">
        <v>45873</v>
      </c>
      <c r="AF1826" s="4" t="str">
        <f t="shared" ca="1" si="132"/>
        <v>2025 07</v>
      </c>
      <c r="AG1826" s="8" t="str" cm="1">
        <f t="array" ref="AG1826">IFERROR(_xlfn.IFS('Banco de Dados'!#REF!="AG. COMPRA","Em processamento",'Banco de Dados'!#REF!="AG. RASTREIO","Em processamento",'Banco de Dados'!$AE1826&lt;&gt;"-","Faturado",'Banco de Dados'!$AD1826&lt;&gt;"-","Aguardando Pix",'Banco de Dados'!$AC1826&lt;&gt;"-","Pendente"),"Aguardando Liberação")</f>
        <v>Aguardando Liberação</v>
      </c>
      <c r="AH1826" s="5" t="str">
        <f>IF('Banco de Dados'!$F1826="-",_xlfn.CONCAT(PROPER(TEXT(AK1826,"aaaa"))," ",PROPER(TEXT(AK1826,"mm"))),_xlfn.CONCAT(PROPER(TEXT(E1826,"aaaa"))," ",PROPER(TEXT(E1826,"mm"))))</f>
        <v>2025 06</v>
      </c>
      <c r="AI1826" s="9" t="str">
        <f ca="1">IF('Banco de Dados'!$AK1826&lt;&gt;"-","REEMBOLSO",IFERROR(_xlfn.XLOOKUP(G1826,Follow[CODRASTREIO],Follow[STATUS]),"-"))</f>
        <v>REEMBOLSO</v>
      </c>
      <c r="AJ1826" s="9" t="str">
        <f ca="1">IF('Banco de Dados'!$AI1826="ENTREGUE",_xlfn.XLOOKUP('Banco de Dados'!$G1826,Follow[CODRASTREIO],Follow[DATAATUALIZAÇÃO]),"-")</f>
        <v>-</v>
      </c>
      <c r="AK1826" s="132">
        <f ca="1"/>
        <v>45862</v>
      </c>
      <c r="AL1826" s="35"/>
      <c r="AM1826" s="109" cm="1">
        <f t="array" aca="1" ref="AM1826" ca="1">IF('Banco de Dados'!$AK1826&lt;&gt;"-",_xlfn.IFS('Banco de Dados'!$A1826="bv",IF('Banco de Dados'!$E1826&lt;45641,ROUND(SUM('Banco de Dados'!$R1826*_xlfn.XLOOKUP('Banco de Dados'!$P1826,Sku!B:B,Sku!#REF!)*20%),2),ROUND(SUM('Banco de Dados'!$R1826*_xlfn.XLOOKUP('Banco de Dados'!$P1826,Sku!B:B,Sku!H:H)*20%),2)),'Banco de Dados'!$A1826="GO",ROUND(_xlfn.XLOOKUP('Banco de Dados'!$P1826,Sku!C:C,Sku!H:H),2),'Banco de Dados'!$A1826="MEI",ROUND(_xlfn.XLOOKUP('Banco de Dados'!$P1826,Sku!D:D,Sku!H:H),2)),0)</f>
        <v>0.59</v>
      </c>
      <c r="AN1826" s="109">
        <v>0</v>
      </c>
      <c r="AO1826" s="109">
        <v>0</v>
      </c>
      <c r="AP1826" s="28">
        <v>13.16</v>
      </c>
      <c r="AQ1826" s="28">
        <f ca="1">SUM('Banco de Dados'!$AM1826:$AP1826)</f>
        <v>13.75</v>
      </c>
      <c r="AR1826" s="8"/>
      <c r="AS1826" s="8"/>
      <c r="AT1826"/>
      <c r="AY1826" s="8"/>
    </row>
    <row r="1827" spans="1:51">
      <c r="A1827" s="5" t="str">
        <v>BV</v>
      </c>
      <c r="B1827" s="5" t="str">
        <f ca="1"/>
        <v>BV45834</v>
      </c>
      <c r="C1827" s="8" t="str">
        <v>Pedido 1813</v>
      </c>
      <c r="D1827" s="187">
        <v>45831</v>
      </c>
      <c r="E1827" s="9">
        <v>45834</v>
      </c>
      <c r="F1827" s="2" t="str">
        <v>PedidoF1710</v>
      </c>
      <c r="G1827" s="2" t="str">
        <v>CódRastreio1708</v>
      </c>
      <c r="H1827" s="5">
        <v>1</v>
      </c>
      <c r="I1827" s="182" t="str">
        <v>CPF 1770</v>
      </c>
      <c r="J1827" s="2" t="str">
        <v>Nome 1770</v>
      </c>
      <c r="K1827" s="8" t="str">
        <v>Tel 1770</v>
      </c>
      <c r="L1827" s="8" t="str">
        <v>Cep 1770</v>
      </c>
      <c r="M1827" s="8" t="str">
        <v>Rua 1770</v>
      </c>
      <c r="N1827" s="8" t="str">
        <v>Comp 1770</v>
      </c>
      <c r="O1827" s="8" t="str">
        <v>Máquina de cortar cabelo dragão</v>
      </c>
      <c r="P1827" s="8" t="str">
        <v>HG-2FNR-01A9</v>
      </c>
      <c r="Q1827" s="4">
        <v>45856</v>
      </c>
      <c r="R1827" s="109">
        <v>22.79</v>
      </c>
      <c r="S1827" s="11">
        <f ca="1"/>
        <v>22.79</v>
      </c>
      <c r="T1827" s="28">
        <f ca="1"/>
        <v>2.7347999999999999</v>
      </c>
      <c r="U1827" s="11">
        <f ca="1"/>
        <v>20.059999999999999</v>
      </c>
      <c r="V1827" s="11">
        <v>10.18</v>
      </c>
      <c r="W1827" s="11">
        <f ca="1"/>
        <v>0</v>
      </c>
      <c r="X1827" s="11">
        <f ca="1"/>
        <v>0.39877104377104378</v>
      </c>
      <c r="Y1827" s="11">
        <v>0</v>
      </c>
      <c r="Z1827" s="11">
        <f ca="1"/>
        <v>9.4812289562289553</v>
      </c>
      <c r="AA1827" s="11">
        <f ca="1"/>
        <v>4.7406144781144777</v>
      </c>
      <c r="AB1827" s="4">
        <f ca="1"/>
        <v>45863</v>
      </c>
      <c r="AC1827" s="4">
        <v>45863</v>
      </c>
      <c r="AD1827" s="9">
        <v>45870</v>
      </c>
      <c r="AE1827" s="9">
        <v>45873</v>
      </c>
      <c r="AF1827" s="4" t="str">
        <f t="shared" ca="1" si="132"/>
        <v>2025 07</v>
      </c>
      <c r="AG1827" s="8" t="str" cm="1">
        <f t="array" ref="AG1827">IFERROR(_xlfn.IFS('Banco de Dados'!#REF!="AG. COMPRA","Em processamento",'Banco de Dados'!#REF!="AG. RASTREIO","Em processamento",'Banco de Dados'!$AE1827&lt;&gt;"-","Faturado",'Banco de Dados'!$AD1827&lt;&gt;"-","Aguardando Pix",'Banco de Dados'!$AC1827&lt;&gt;"-","Pendente"),"Aguardando Liberação")</f>
        <v>Aguardando Liberação</v>
      </c>
      <c r="AH1827" s="5" t="str">
        <f>IF('Banco de Dados'!$F1827="-",_xlfn.CONCAT(PROPER(TEXT(AK1827,"aaaa"))," ",PROPER(TEXT(AK1827,"mm"))),_xlfn.CONCAT(PROPER(TEXT(E1827,"aaaa"))," ",PROPER(TEXT(E1827,"mm"))))</f>
        <v>2025 06</v>
      </c>
      <c r="AI1827" s="9" t="str">
        <f ca="1">IF('Banco de Dados'!$AK1827&lt;&gt;"-","REEMBOLSO",IFERROR(_xlfn.XLOOKUP(G1827,Follow[CODRASTREIO],Follow[STATUS]),"-"))</f>
        <v>ENTREGUE</v>
      </c>
      <c r="AJ1827" s="9">
        <f ca="1">IF('Banco de Dados'!$AI1827="ENTREGUE",_xlfn.XLOOKUP('Banco de Dados'!$G1827,Follow[CODRASTREIO],Follow[DATAATUALIZAÇÃO]),"-")</f>
        <v>45852</v>
      </c>
      <c r="AK1827" s="132" t="str">
        <f ca="1"/>
        <v>-</v>
      </c>
      <c r="AL1827" s="35"/>
      <c r="AM1827" s="109" cm="1">
        <f t="array" aca="1" ref="AM1827" ca="1">IF('Banco de Dados'!$AK1827&lt;&gt;"-",_xlfn.IFS('Banco de Dados'!$A1827="bv",IF('Banco de Dados'!$E1827&lt;45641,ROUND(SUM('Banco de Dados'!$R1827*_xlfn.XLOOKUP('Banco de Dados'!$P1827,Sku!B:B,Sku!#REF!)*20%),2),ROUND(SUM('Banco de Dados'!$R1827*_xlfn.XLOOKUP('Banco de Dados'!$P1827,Sku!B:B,Sku!H:H)*20%),2)),'Banco de Dados'!$A1827="GO",ROUND(_xlfn.XLOOKUP('Banco de Dados'!$P1827,Sku!C:C,Sku!H:H),2),'Banco de Dados'!$A1827="MEI",ROUND(_xlfn.XLOOKUP('Banco de Dados'!$P1827,Sku!D:D,Sku!H:H),2)),0)</f>
        <v>0</v>
      </c>
      <c r="AN1827" s="109">
        <f ca="1">IF('Banco de Dados'!$AK1827&lt;&gt;"-",IF('Banco de Dados'!$F1827&lt;&gt;"-",_xlfn.XLOOKUP(IFERROR(IFERROR(IFERROR(VALUE(SUBSTITUTE(MID(_xlfn.TEXTAFTER('Banco de Dados'!$F1827,"Data do Pedido:
",1),1,10),"-","/")),VALUE(SUBSTITUTE(MID(_xlfn.TEXTAFTER('Banco de Dados'!$F1827,"Order date:
",1),1,10),"-","/"))),VALUE(SUBSTITUTE(MID(_xlfn.TEXTAFTER('Banco de Dados'!$F1827,"Fecha de pedido:
",1),1,10),"-","/"))),"-"),SMS!A:A,SMS!K:K),0),0)</f>
        <v>0</v>
      </c>
      <c r="AO1827" s="109">
        <f ca="1">IF('Banco de Dados'!$AK1827&lt;&gt;"-",IF('Banco de Dados'!$F1827&lt;&gt;"-",IFERROR(_xlfn.XLOOKUP(_xlfn.CONCAT('Banco de Dados'!$A1827,IFERROR(IFERROR(VALUE(SUBSTITUTE(MID(_xlfn.TEXTAFTER('Banco de Dados'!$F1827,"Data do Pedido:
",1),1,10),"-","/")),VALUE(SUBSTITUTE(MID(_xlfn.TEXTAFTER('Banco de Dados'!$F1827,"Order date:
",1),1,10),"-","/"))),0)),ProxyDD[Chave],ProxyDD[Valor por pedido]),PROXY!$P$2),0),0)</f>
        <v>0</v>
      </c>
      <c r="AP1827" s="28">
        <f ca="1">IF('Banco de Dados'!$AK1827&lt;&gt;"-",IF('Banco de Dados'!$AL1827="NÃO",IFERROR(VALUE(SUBSTITUTE(_xlfn.TEXTAFTER('Banco de Dados'!$F1827,"BRL ",1),".",",")),0),0),0)</f>
        <v>0</v>
      </c>
      <c r="AQ1827" s="28">
        <f ca="1">SUM('Banco de Dados'!$AM1827:$AP1827)</f>
        <v>0</v>
      </c>
      <c r="AR1827" s="8"/>
      <c r="AS1827" s="8"/>
      <c r="AT1827"/>
      <c r="AY1827" s="8"/>
    </row>
    <row r="1828" spans="1:51">
      <c r="A1828" s="5" t="str">
        <v>BV</v>
      </c>
      <c r="B1828" s="5" t="str">
        <f ca="1"/>
        <v>BV45834</v>
      </c>
      <c r="C1828" s="8" t="str">
        <v>Pedido 1814</v>
      </c>
      <c r="D1828" s="187">
        <v>45831</v>
      </c>
      <c r="E1828" s="9">
        <v>45834</v>
      </c>
      <c r="F1828" s="2" t="str">
        <v>PedidoF1711</v>
      </c>
      <c r="G1828" s="2" t="str">
        <v>CódRastreio1709</v>
      </c>
      <c r="H1828" s="5">
        <v>1</v>
      </c>
      <c r="I1828" s="182" t="str">
        <v>CPF 1771</v>
      </c>
      <c r="J1828" s="2" t="str">
        <v>Nome 1771</v>
      </c>
      <c r="K1828" s="8" t="str">
        <v>Tel 1771</v>
      </c>
      <c r="L1828" s="8" t="str">
        <v>Cep 1771</v>
      </c>
      <c r="M1828" s="8" t="str">
        <v>Rua 1771</v>
      </c>
      <c r="N1828" s="8" t="str">
        <v>Comp 1771</v>
      </c>
      <c r="O1828" s="8" t="str">
        <v>Máquina de cortar cabelo dragão</v>
      </c>
      <c r="P1828" s="8" t="str">
        <v>HG-2FNR-01A9</v>
      </c>
      <c r="Q1828" s="4">
        <v>45856</v>
      </c>
      <c r="R1828" s="109">
        <v>22.79</v>
      </c>
      <c r="S1828" s="11">
        <f ca="1"/>
        <v>22.79</v>
      </c>
      <c r="T1828" s="28">
        <f ca="1"/>
        <v>2.7347999999999999</v>
      </c>
      <c r="U1828" s="11">
        <f ca="1"/>
        <v>20.059999999999999</v>
      </c>
      <c r="V1828" s="11">
        <v>10.18</v>
      </c>
      <c r="W1828" s="11">
        <f ca="1"/>
        <v>0</v>
      </c>
      <c r="X1828" s="11">
        <f ca="1"/>
        <v>0.39877104377104378</v>
      </c>
      <c r="Y1828" s="11">
        <v>0</v>
      </c>
      <c r="Z1828" s="11">
        <f ca="1"/>
        <v>9.4812289562289553</v>
      </c>
      <c r="AA1828" s="11">
        <f ca="1"/>
        <v>4.7406144781144777</v>
      </c>
      <c r="AB1828" s="4">
        <f ca="1"/>
        <v>45863</v>
      </c>
      <c r="AC1828" s="4">
        <v>45863</v>
      </c>
      <c r="AD1828" s="9">
        <v>45870</v>
      </c>
      <c r="AE1828" s="9">
        <v>45873</v>
      </c>
      <c r="AF1828" s="4" t="str">
        <f t="shared" ca="1" si="132"/>
        <v>2025 07</v>
      </c>
      <c r="AG1828" s="8" t="str" cm="1">
        <f t="array" ref="AG1828">IFERROR(_xlfn.IFS('Banco de Dados'!#REF!="AG. COMPRA","Em processamento",'Banco de Dados'!#REF!="AG. RASTREIO","Em processamento",'Banco de Dados'!$AE1828&lt;&gt;"-","Faturado",'Banco de Dados'!$AD1828&lt;&gt;"-","Aguardando Pix",'Banco de Dados'!$AC1828&lt;&gt;"-","Pendente"),"Aguardando Liberação")</f>
        <v>Aguardando Liberação</v>
      </c>
      <c r="AH1828" s="5" t="str">
        <f>IF('Banco de Dados'!$F1828="-",_xlfn.CONCAT(PROPER(TEXT(AK1828,"aaaa"))," ",PROPER(TEXT(AK1828,"mm"))),_xlfn.CONCAT(PROPER(TEXT(E1828,"aaaa"))," ",PROPER(TEXT(E1828,"mm"))))</f>
        <v>2025 06</v>
      </c>
      <c r="AI1828" s="9" t="str">
        <f ca="1">IF('Banco de Dados'!$AK1828&lt;&gt;"-","REEMBOLSO",IFERROR(_xlfn.XLOOKUP(G1828,Follow[CODRASTREIO],Follow[STATUS]),"-"))</f>
        <v>ENTREGUE</v>
      </c>
      <c r="AJ1828" s="9">
        <f ca="1">IF('Banco de Dados'!$AI1828="ENTREGUE",_xlfn.XLOOKUP('Banco de Dados'!$G1828,Follow[CODRASTREIO],Follow[DATAATUALIZAÇÃO]),"-")</f>
        <v>45852</v>
      </c>
      <c r="AK1828" s="132" t="str">
        <f ca="1"/>
        <v>-</v>
      </c>
      <c r="AL1828" s="35"/>
      <c r="AM1828" s="109" cm="1">
        <f t="array" aca="1" ref="AM1828" ca="1">IF('Banco de Dados'!$AK1828&lt;&gt;"-",_xlfn.IFS('Banco de Dados'!$A1828="bv",IF('Banco de Dados'!$E1828&lt;45641,ROUND(SUM('Banco de Dados'!$R1828*_xlfn.XLOOKUP('Banco de Dados'!$P1828,Sku!B:B,Sku!#REF!)*20%),2),ROUND(SUM('Banco de Dados'!$R1828*_xlfn.XLOOKUP('Banco de Dados'!$P1828,Sku!B:B,Sku!H:H)*20%),2)),'Banco de Dados'!$A1828="GO",ROUND(_xlfn.XLOOKUP('Banco de Dados'!$P1828,Sku!C:C,Sku!H:H),2),'Banco de Dados'!$A1828="MEI",ROUND(_xlfn.XLOOKUP('Banco de Dados'!$P1828,Sku!D:D,Sku!H:H),2)),0)</f>
        <v>0</v>
      </c>
      <c r="AN1828" s="109">
        <f ca="1">IF('Banco de Dados'!$AK1828&lt;&gt;"-",IF('Banco de Dados'!$F1828&lt;&gt;"-",_xlfn.XLOOKUP(IFERROR(IFERROR(IFERROR(VALUE(SUBSTITUTE(MID(_xlfn.TEXTAFTER('Banco de Dados'!$F1828,"Data do Pedido:
",1),1,10),"-","/")),VALUE(SUBSTITUTE(MID(_xlfn.TEXTAFTER('Banco de Dados'!$F1828,"Order date:
",1),1,10),"-","/"))),VALUE(SUBSTITUTE(MID(_xlfn.TEXTAFTER('Banco de Dados'!$F1828,"Fecha de pedido:
",1),1,10),"-","/"))),"-"),SMS!A:A,SMS!K:K),0),0)</f>
        <v>0</v>
      </c>
      <c r="AO1828" s="109">
        <f ca="1">IF('Banco de Dados'!$AK1828&lt;&gt;"-",IF('Banco de Dados'!$F1828&lt;&gt;"-",IFERROR(_xlfn.XLOOKUP(_xlfn.CONCAT('Banco de Dados'!$A1828,IFERROR(IFERROR(VALUE(SUBSTITUTE(MID(_xlfn.TEXTAFTER('Banco de Dados'!$F1828,"Data do Pedido:
",1),1,10),"-","/")),VALUE(SUBSTITUTE(MID(_xlfn.TEXTAFTER('Banco de Dados'!$F1828,"Order date:
",1),1,10),"-","/"))),0)),ProxyDD[Chave],ProxyDD[Valor por pedido]),PROXY!$P$2),0),0)</f>
        <v>0</v>
      </c>
      <c r="AP1828" s="28">
        <f ca="1">IF('Banco de Dados'!$AK1828&lt;&gt;"-",IF('Banco de Dados'!$AL1828="NÃO",IFERROR(VALUE(SUBSTITUTE(_xlfn.TEXTAFTER('Banco de Dados'!$F1828,"BRL ",1),".",",")),0),0),0)</f>
        <v>0</v>
      </c>
      <c r="AQ1828" s="28">
        <f ca="1">SUM('Banco de Dados'!$AM1828:$AP1828)</f>
        <v>0</v>
      </c>
      <c r="AR1828" s="8"/>
      <c r="AS1828" s="8"/>
      <c r="AT1828"/>
      <c r="AY1828" s="8"/>
    </row>
    <row r="1829" spans="1:51">
      <c r="A1829" s="5" t="str">
        <v>BV</v>
      </c>
      <c r="B1829" s="5" t="str">
        <f ca="1"/>
        <v>BV45834</v>
      </c>
      <c r="C1829" s="8" t="str">
        <v>Pedido 1815</v>
      </c>
      <c r="D1829" s="187">
        <v>45831</v>
      </c>
      <c r="E1829" s="9">
        <v>45834</v>
      </c>
      <c r="F1829" s="2" t="str">
        <v>PedidoF1712</v>
      </c>
      <c r="G1829" s="2" t="str">
        <v>CódRastreio1710</v>
      </c>
      <c r="H1829" s="5">
        <v>1</v>
      </c>
      <c r="I1829" s="182" t="str">
        <v>CPF 1772</v>
      </c>
      <c r="J1829" s="2" t="str">
        <v>Nome 1772</v>
      </c>
      <c r="K1829" s="8" t="str">
        <v>Tel 1772</v>
      </c>
      <c r="L1829" s="8" t="str">
        <v>Cep 1772</v>
      </c>
      <c r="M1829" s="8" t="str">
        <v>Rua 1772</v>
      </c>
      <c r="N1829" s="8" t="str">
        <v>Comp 1772</v>
      </c>
      <c r="O1829" s="8" t="str">
        <v>Máquina de cortar cabelo dragão</v>
      </c>
      <c r="P1829" s="8" t="str">
        <v>HG-2FNR-01A9</v>
      </c>
      <c r="Q1829" s="4">
        <v>45850</v>
      </c>
      <c r="R1829" s="109">
        <v>22.79</v>
      </c>
      <c r="S1829" s="11">
        <f ca="1"/>
        <v>0</v>
      </c>
      <c r="T1829" s="28">
        <f ca="1"/>
        <v>0</v>
      </c>
      <c r="U1829" s="11">
        <f ca="1"/>
        <v>0</v>
      </c>
      <c r="V1829" s="11">
        <v>0</v>
      </c>
      <c r="W1829" s="11">
        <f ca="1"/>
        <v>0</v>
      </c>
      <c r="X1829" s="11">
        <f ca="1"/>
        <v>0.39877104377104378</v>
      </c>
      <c r="Y1829" s="11">
        <v>0</v>
      </c>
      <c r="Z1829" s="11">
        <f ca="1"/>
        <v>-0.39877104377104378</v>
      </c>
      <c r="AA1829" s="11">
        <f ca="1"/>
        <v>-0.19938552188552189</v>
      </c>
      <c r="AB1829" s="4">
        <f ca="1"/>
        <v>45857</v>
      </c>
      <c r="AC1829" s="4">
        <v>45857</v>
      </c>
      <c r="AD1829" s="9">
        <v>45870</v>
      </c>
      <c r="AE1829" s="9">
        <v>45873</v>
      </c>
      <c r="AF1829" s="4" t="str">
        <f t="shared" ca="1" si="132"/>
        <v>2025 07</v>
      </c>
      <c r="AG1829" s="8" t="str" cm="1">
        <f t="array" ref="AG1829">IFERROR(_xlfn.IFS('Banco de Dados'!#REF!="AG. COMPRA","Em processamento",'Banco de Dados'!#REF!="AG. RASTREIO","Em processamento",'Banco de Dados'!$AE1829&lt;&gt;"-","Faturado",'Banco de Dados'!$AD1829&lt;&gt;"-","Aguardando Pix",'Banco de Dados'!$AC1829&lt;&gt;"-","Pendente"),"Aguardando Liberação")</f>
        <v>Aguardando Liberação</v>
      </c>
      <c r="AH1829" s="5" t="str">
        <f>IF('Banco de Dados'!$F1829="-",_xlfn.CONCAT(PROPER(TEXT(AK1829,"aaaa"))," ",PROPER(TEXT(AK1829,"mm"))),_xlfn.CONCAT(PROPER(TEXT(E1829,"aaaa"))," ",PROPER(TEXT(E1829,"mm"))))</f>
        <v>2025 06</v>
      </c>
      <c r="AI1829" s="9" t="str">
        <f ca="1">IF('Banco de Dados'!$AK1829&lt;&gt;"-","REEMBOLSO",IFERROR(_xlfn.XLOOKUP(G1829,Follow[CODRASTREIO],Follow[STATUS]),"-"))</f>
        <v>REEMBOLSO</v>
      </c>
      <c r="AJ1829" s="9" t="str">
        <f ca="1">IF('Banco de Dados'!$AI1829="ENTREGUE",_xlfn.XLOOKUP('Banco de Dados'!$G1829,Follow[CODRASTREIO],Follow[DATAATUALIZAÇÃO]),"-")</f>
        <v>-</v>
      </c>
      <c r="AK1829" s="132">
        <f ca="1"/>
        <v>45862</v>
      </c>
      <c r="AL1829" s="35"/>
      <c r="AM1829" s="109" cm="1">
        <f t="array" aca="1" ref="AM1829" ca="1">IF('Banco de Dados'!$AK1829&lt;&gt;"-",_xlfn.IFS('Banco de Dados'!$A1829="bv",IF('Banco de Dados'!$E1829&lt;45641,ROUND(SUM('Banco de Dados'!$R1829*_xlfn.XLOOKUP('Banco de Dados'!$P1829,Sku!B:B,Sku!#REF!)*20%),2),ROUND(SUM('Banco de Dados'!$R1829*_xlfn.XLOOKUP('Banco de Dados'!$P1829,Sku!B:B,Sku!H:H)*20%),2)),'Banco de Dados'!$A1829="GO",ROUND(_xlfn.XLOOKUP('Banco de Dados'!$P1829,Sku!C:C,Sku!H:H),2),'Banco de Dados'!$A1829="MEI",ROUND(_xlfn.XLOOKUP('Banco de Dados'!$P1829,Sku!D:D,Sku!H:H),2)),0)</f>
        <v>0.59</v>
      </c>
      <c r="AN1829" s="109" t="e">
        <f ca="1">IF('Banco de Dados'!$AK1829&lt;&gt;"-",IF('Banco de Dados'!$F1829&lt;&gt;"-",_xlfn.XLOOKUP(IFERROR(IFERROR(IFERROR(VALUE(SUBSTITUTE(MID(_xlfn.TEXTAFTER('Banco de Dados'!$F1829,"Data do Pedido:
",1),1,10),"-","/")),VALUE(SUBSTITUTE(MID(_xlfn.TEXTAFTER('Banco de Dados'!$F1829,"Order date:
",1),1,10),"-","/"))),VALUE(SUBSTITUTE(MID(_xlfn.TEXTAFTER('Banco de Dados'!$F1829,"Fecha de pedido:
",1),1,10),"-","/"))),"-"),SMS!A:A,SMS!K:K),0),0)</f>
        <v>#N/A</v>
      </c>
      <c r="AO1829" s="109">
        <f ca="1">IF('Banco de Dados'!$AK1829&lt;&gt;"-",IF('Banco de Dados'!$F1829&lt;&gt;"-",IFERROR(_xlfn.XLOOKUP(_xlfn.CONCAT('Banco de Dados'!$A1829,IFERROR(IFERROR(VALUE(SUBSTITUTE(MID(_xlfn.TEXTAFTER('Banco de Dados'!$F1829,"Data do Pedido:
",1),1,10),"-","/")),VALUE(SUBSTITUTE(MID(_xlfn.TEXTAFTER('Banco de Dados'!$F1829,"Order date:
",1),1,10),"-","/"))),0)),ProxyDD[Chave],ProxyDD[Valor por pedido]),PROXY!$P$2),0),0)</f>
        <v>0.39877104377104378</v>
      </c>
      <c r="AP1829" s="28">
        <f ca="1">IF('Banco de Dados'!$AK1829&lt;&gt;"-",IF('Banco de Dados'!$AL1829="NÃO",IFERROR(VALUE(SUBSTITUTE(_xlfn.TEXTAFTER('Banco de Dados'!$F1829,"BRL ",1),".",",")),0),0),0)</f>
        <v>0</v>
      </c>
      <c r="AQ1829" s="28" t="e">
        <f ca="1">SUM('Banco de Dados'!$AM1829:$AP1829)</f>
        <v>#N/A</v>
      </c>
      <c r="AR1829" s="8"/>
      <c r="AS1829" s="8"/>
      <c r="AT1829"/>
      <c r="AY1829" s="8"/>
    </row>
    <row r="1830" spans="1:51">
      <c r="A1830" s="5" t="str">
        <v>BV</v>
      </c>
      <c r="B1830" s="5" t="str">
        <f ca="1"/>
        <v>BV45834</v>
      </c>
      <c r="C1830" s="8" t="str">
        <v>Pedido 1816</v>
      </c>
      <c r="D1830" s="187">
        <v>45831</v>
      </c>
      <c r="E1830" s="9">
        <v>45834</v>
      </c>
      <c r="F1830" s="2" t="str">
        <v>PedidoF1713</v>
      </c>
      <c r="G1830" s="2" t="str">
        <v>CódRastreio1711</v>
      </c>
      <c r="H1830" s="5">
        <v>1</v>
      </c>
      <c r="I1830" s="182" t="str">
        <v>CPF 1773</v>
      </c>
      <c r="J1830" s="2" t="str">
        <v>Nome 1773</v>
      </c>
      <c r="K1830" s="8" t="str">
        <v>Tel 1773</v>
      </c>
      <c r="L1830" s="8" t="str">
        <v>Cep 1773</v>
      </c>
      <c r="M1830" s="8" t="str">
        <v>Rua 1773</v>
      </c>
      <c r="N1830" s="8" t="str">
        <v>Comp 1773</v>
      </c>
      <c r="O1830" s="8" t="str">
        <v>Máquina de cortar cabelo dragão</v>
      </c>
      <c r="P1830" s="8" t="str">
        <v>NQ-IMR8-W6Q4</v>
      </c>
      <c r="Q1830" s="4">
        <v>45850</v>
      </c>
      <c r="R1830" s="109">
        <v>21.9</v>
      </c>
      <c r="S1830" s="11">
        <f ca="1"/>
        <v>0</v>
      </c>
      <c r="T1830" s="28">
        <f ca="1"/>
        <v>0</v>
      </c>
      <c r="U1830" s="11">
        <f ca="1"/>
        <v>0</v>
      </c>
      <c r="V1830" s="11">
        <v>16.16</v>
      </c>
      <c r="W1830" s="11">
        <f ca="1"/>
        <v>0</v>
      </c>
      <c r="X1830" s="11">
        <f ca="1"/>
        <v>0.39877104377104378</v>
      </c>
      <c r="Y1830" s="11">
        <v>0</v>
      </c>
      <c r="Z1830" s="11">
        <f ca="1"/>
        <v>-16.558771043771046</v>
      </c>
      <c r="AA1830" s="11">
        <f ca="1"/>
        <v>-8.2793855218855228</v>
      </c>
      <c r="AB1830" s="4">
        <f ca="1"/>
        <v>45857</v>
      </c>
      <c r="AC1830" s="4">
        <v>45857</v>
      </c>
      <c r="AD1830" s="9">
        <v>45870</v>
      </c>
      <c r="AE1830" s="9">
        <v>45873</v>
      </c>
      <c r="AF1830" s="4" t="str">
        <f t="shared" ca="1" si="132"/>
        <v>2025 07</v>
      </c>
      <c r="AG1830" s="8" t="str" cm="1">
        <f t="array" ref="AG1830">IFERROR(_xlfn.IFS('Banco de Dados'!#REF!="AG. COMPRA","Em processamento",'Banco de Dados'!#REF!="AG. RASTREIO","Em processamento",'Banco de Dados'!$AE1830&lt;&gt;"-","Faturado",'Banco de Dados'!$AD1830&lt;&gt;"-","Aguardando Pix",'Banco de Dados'!$AC1830&lt;&gt;"-","Pendente"),"Aguardando Liberação")</f>
        <v>Aguardando Liberação</v>
      </c>
      <c r="AH1830" s="5" t="str">
        <f>IF('Banco de Dados'!$F1830="-",_xlfn.CONCAT(PROPER(TEXT(AK1830,"aaaa"))," ",PROPER(TEXT(AK1830,"mm"))),_xlfn.CONCAT(PROPER(TEXT(E1830,"aaaa"))," ",PROPER(TEXT(E1830,"mm"))))</f>
        <v>2025 06</v>
      </c>
      <c r="AI1830" s="9" t="str">
        <f ca="1">IF('Banco de Dados'!$AK1830&lt;&gt;"-","REEMBOLSO",IFERROR(_xlfn.XLOOKUP(G1830,Follow[CODRASTREIO],Follow[STATUS]),"-"))</f>
        <v>REEMBOLSO</v>
      </c>
      <c r="AJ1830" s="9" t="str">
        <f ca="1">IF('Banco de Dados'!$AI1830="ENTREGUE",_xlfn.XLOOKUP('Banco de Dados'!$G1830,Follow[CODRASTREIO],Follow[DATAATUALIZAÇÃO]),"-")</f>
        <v>-</v>
      </c>
      <c r="AK1830" s="132">
        <f ca="1"/>
        <v>45856</v>
      </c>
      <c r="AL1830" s="35"/>
      <c r="AM1830" s="109" cm="1">
        <f t="array" aca="1" ref="AM1830" ca="1">IF('Banco de Dados'!$AK1830&lt;&gt;"-",_xlfn.IFS('Banco de Dados'!$A1830="bv",IF('Banco de Dados'!$E1830&lt;45641,ROUND(SUM('Banco de Dados'!$R1830*_xlfn.XLOOKUP('Banco de Dados'!$P1830,Sku!B:B,Sku!#REF!)*20%),2),ROUND(SUM('Banco de Dados'!$R1830*_xlfn.XLOOKUP('Banco de Dados'!$P1830,Sku!B:B,Sku!H:H)*20%),2)),'Banco de Dados'!$A1830="GO",ROUND(_xlfn.XLOOKUP('Banco de Dados'!$P1830,Sku!C:C,Sku!H:H),2),'Banco de Dados'!$A1830="MEI",ROUND(_xlfn.XLOOKUP('Banco de Dados'!$P1830,Sku!D:D,Sku!H:H),2)),0)</f>
        <v>0.53</v>
      </c>
      <c r="AN1830" s="109">
        <v>0</v>
      </c>
      <c r="AO1830" s="109">
        <v>0</v>
      </c>
      <c r="AP1830" s="28">
        <f ca="1">IF('Banco de Dados'!$AK1830&lt;&gt;"-",IF('Banco de Dados'!$AL1830="NÃO",IFERROR(VALUE(SUBSTITUTE(_xlfn.TEXTAFTER('Banco de Dados'!$F1830,"BRL ",1),".",",")),0),0),0)</f>
        <v>0</v>
      </c>
      <c r="AQ1830" s="28">
        <f ca="1">SUM('Banco de Dados'!$AM1830:$AP1830)</f>
        <v>0.53</v>
      </c>
      <c r="AR1830" s="8"/>
      <c r="AS1830" s="8"/>
      <c r="AT1830"/>
      <c r="AY1830" s="8"/>
    </row>
    <row r="1831" spans="1:51">
      <c r="A1831" s="5" t="str">
        <v>BV</v>
      </c>
      <c r="B1831" s="5" t="str">
        <f ca="1"/>
        <v>BV45834</v>
      </c>
      <c r="C1831" s="8" t="str">
        <v>Pedido 1817</v>
      </c>
      <c r="D1831" s="187">
        <v>45831</v>
      </c>
      <c r="E1831" s="9">
        <v>45834</v>
      </c>
      <c r="F1831" s="2" t="str">
        <v>PedidoF1714</v>
      </c>
      <c r="G1831" s="2" t="str">
        <v>CódRastreio1712</v>
      </c>
      <c r="H1831" s="5">
        <v>1</v>
      </c>
      <c r="I1831" s="182" t="str">
        <v>CPF 1774</v>
      </c>
      <c r="J1831" s="2" t="str">
        <v>Nome 1774</v>
      </c>
      <c r="K1831" s="8" t="str">
        <v>Tel 1774</v>
      </c>
      <c r="L1831" s="8" t="str">
        <v>Cep 1774</v>
      </c>
      <c r="M1831" s="8" t="str">
        <v>Rua 1774</v>
      </c>
      <c r="N1831" s="8" t="str">
        <v>Comp 1774</v>
      </c>
      <c r="O1831" s="8" t="str">
        <v>Máquina de cortar cabelo dragão</v>
      </c>
      <c r="P1831" s="8" t="str">
        <v>HG-2FNR-01A9</v>
      </c>
      <c r="Q1831" s="4">
        <v>45856</v>
      </c>
      <c r="R1831" s="109">
        <v>22.79</v>
      </c>
      <c r="S1831" s="11">
        <f ca="1"/>
        <v>22.79</v>
      </c>
      <c r="T1831" s="28">
        <f ca="1"/>
        <v>2.7347999999999999</v>
      </c>
      <c r="U1831" s="11">
        <f ca="1"/>
        <v>20.059999999999999</v>
      </c>
      <c r="V1831" s="11">
        <v>10.18</v>
      </c>
      <c r="W1831" s="11">
        <f ca="1"/>
        <v>0</v>
      </c>
      <c r="X1831" s="11">
        <f ca="1"/>
        <v>0.39877104377104378</v>
      </c>
      <c r="Y1831" s="11">
        <v>0</v>
      </c>
      <c r="Z1831" s="11">
        <f ca="1"/>
        <v>9.4812289562289553</v>
      </c>
      <c r="AA1831" s="11">
        <f ca="1"/>
        <v>4.7406144781144777</v>
      </c>
      <c r="AB1831" s="4">
        <f ca="1"/>
        <v>45863</v>
      </c>
      <c r="AC1831" s="4">
        <v>45863</v>
      </c>
      <c r="AD1831" s="9">
        <v>45870</v>
      </c>
      <c r="AE1831" s="9">
        <v>45873</v>
      </c>
      <c r="AF1831" s="4" t="str">
        <f t="shared" ca="1" si="132"/>
        <v>2025 07</v>
      </c>
      <c r="AG1831" s="8" t="str" cm="1">
        <f t="array" ref="AG1831">IFERROR(_xlfn.IFS('Banco de Dados'!#REF!="AG. COMPRA","Em processamento",'Banco de Dados'!#REF!="AG. RASTREIO","Em processamento",'Banco de Dados'!$AE1831&lt;&gt;"-","Faturado",'Banco de Dados'!$AD1831&lt;&gt;"-","Aguardando Pix",'Banco de Dados'!$AC1831&lt;&gt;"-","Pendente"),"Aguardando Liberação")</f>
        <v>Aguardando Liberação</v>
      </c>
      <c r="AH1831" s="5" t="str">
        <f>IF('Banco de Dados'!$F1831="-",_xlfn.CONCAT(PROPER(TEXT(AK1831,"aaaa"))," ",PROPER(TEXT(AK1831,"mm"))),_xlfn.CONCAT(PROPER(TEXT(E1831,"aaaa"))," ",PROPER(TEXT(E1831,"mm"))))</f>
        <v>2025 06</v>
      </c>
      <c r="AI1831" s="9" t="str">
        <f ca="1">IF('Banco de Dados'!$AK1831&lt;&gt;"-","REEMBOLSO",IFERROR(_xlfn.XLOOKUP(G1831,Follow[CODRASTREIO],Follow[STATUS]),"-"))</f>
        <v>ENTREGUE</v>
      </c>
      <c r="AJ1831" s="9">
        <f ca="1">IF('Banco de Dados'!$AI1831="ENTREGUE",_xlfn.XLOOKUP('Banco de Dados'!$G1831,Follow[CODRASTREIO],Follow[DATAATUALIZAÇÃO]),"-")</f>
        <v>45853</v>
      </c>
      <c r="AK1831" s="132" t="str">
        <f ca="1"/>
        <v>-</v>
      </c>
      <c r="AL1831" s="35"/>
      <c r="AM1831" s="109" cm="1">
        <f t="array" aca="1" ref="AM1831" ca="1">IF('Banco de Dados'!$AK1831&lt;&gt;"-",_xlfn.IFS('Banco de Dados'!$A1831="bv",IF('Banco de Dados'!$E1831&lt;45641,ROUND(SUM('Banco de Dados'!$R1831*_xlfn.XLOOKUP('Banco de Dados'!$P1831,Sku!B:B,Sku!#REF!)*20%),2),ROUND(SUM('Banco de Dados'!$R1831*_xlfn.XLOOKUP('Banco de Dados'!$P1831,Sku!B:B,Sku!H:H)*20%),2)),'Banco de Dados'!$A1831="GO",ROUND(_xlfn.XLOOKUP('Banco de Dados'!$P1831,Sku!C:C,Sku!H:H),2),'Banco de Dados'!$A1831="MEI",ROUND(_xlfn.XLOOKUP('Banco de Dados'!$P1831,Sku!D:D,Sku!H:H),2)),0)</f>
        <v>0</v>
      </c>
      <c r="AN1831" s="109">
        <f ca="1">IF('Banco de Dados'!$AK1831&lt;&gt;"-",IF('Banco de Dados'!$F1831&lt;&gt;"-",_xlfn.XLOOKUP(IFERROR(IFERROR(IFERROR(VALUE(SUBSTITUTE(MID(_xlfn.TEXTAFTER('Banco de Dados'!$F1831,"Data do Pedido:
",1),1,10),"-","/")),VALUE(SUBSTITUTE(MID(_xlfn.TEXTAFTER('Banco de Dados'!$F1831,"Order date:
",1),1,10),"-","/"))),VALUE(SUBSTITUTE(MID(_xlfn.TEXTAFTER('Banco de Dados'!$F1831,"Fecha de pedido:
",1),1,10),"-","/"))),"-"),SMS!A:A,SMS!K:K),0),0)</f>
        <v>0</v>
      </c>
      <c r="AO1831" s="109">
        <f ca="1">IF('Banco de Dados'!$AK1831&lt;&gt;"-",IF('Banco de Dados'!$F1831&lt;&gt;"-",IFERROR(_xlfn.XLOOKUP(_xlfn.CONCAT('Banco de Dados'!$A1831,IFERROR(IFERROR(VALUE(SUBSTITUTE(MID(_xlfn.TEXTAFTER('Banco de Dados'!$F1831,"Data do Pedido:
",1),1,10),"-","/")),VALUE(SUBSTITUTE(MID(_xlfn.TEXTAFTER('Banco de Dados'!$F1831,"Order date:
",1),1,10),"-","/"))),0)),ProxyDD[Chave],ProxyDD[Valor por pedido]),PROXY!$P$2),0),0)</f>
        <v>0</v>
      </c>
      <c r="AP1831" s="28">
        <f ca="1">IF('Banco de Dados'!$AK1831&lt;&gt;"-",IF('Banco de Dados'!$AL1831="NÃO",IFERROR(VALUE(SUBSTITUTE(_xlfn.TEXTAFTER('Banco de Dados'!$F1831,"BRL ",1),".",",")),0),0),0)</f>
        <v>0</v>
      </c>
      <c r="AQ1831" s="28">
        <f ca="1">SUM('Banco de Dados'!$AM1831:$AP1831)</f>
        <v>0</v>
      </c>
      <c r="AR1831" s="8"/>
      <c r="AS1831" s="8"/>
      <c r="AT1831"/>
      <c r="AY1831" s="8"/>
    </row>
    <row r="1832" spans="1:51">
      <c r="A1832" s="5" t="str">
        <v>BV</v>
      </c>
      <c r="B1832" s="5" t="str">
        <f ca="1"/>
        <v>BV45834</v>
      </c>
      <c r="C1832" s="8" t="str">
        <v>Pedido 1818</v>
      </c>
      <c r="D1832" s="187">
        <v>45831</v>
      </c>
      <c r="E1832" s="9">
        <v>45834</v>
      </c>
      <c r="F1832" s="2" t="str">
        <v>PedidoF1715</v>
      </c>
      <c r="G1832" s="2" t="str">
        <v>CódRastreio1713</v>
      </c>
      <c r="H1832" s="5">
        <v>1</v>
      </c>
      <c r="I1832" s="182" t="str">
        <v>CPF 1775</v>
      </c>
      <c r="J1832" s="2" t="str">
        <v>Nome 1775</v>
      </c>
      <c r="K1832" s="8" t="str">
        <v>Tel 1775</v>
      </c>
      <c r="L1832" s="8" t="str">
        <v>Cep 1775</v>
      </c>
      <c r="M1832" s="8" t="str">
        <v>Rua 1775</v>
      </c>
      <c r="N1832" s="8" t="str">
        <v>Comp 1775</v>
      </c>
      <c r="O1832" s="8" t="str">
        <v>Máquina de cortar cabelo dragão</v>
      </c>
      <c r="P1832" s="8" t="str">
        <v>HG-2FNR-01A9</v>
      </c>
      <c r="Q1832" s="4">
        <v>45850</v>
      </c>
      <c r="R1832" s="109">
        <v>22.79</v>
      </c>
      <c r="S1832" s="11">
        <f ca="1"/>
        <v>22.79</v>
      </c>
      <c r="T1832" s="28">
        <f ca="1"/>
        <v>2.7347999999999999</v>
      </c>
      <c r="U1832" s="11">
        <f ca="1"/>
        <v>20.059999999999999</v>
      </c>
      <c r="V1832" s="11">
        <v>10.18</v>
      </c>
      <c r="W1832" s="11">
        <f ca="1"/>
        <v>0</v>
      </c>
      <c r="X1832" s="11">
        <f ca="1"/>
        <v>0.39877104377104378</v>
      </c>
      <c r="Y1832" s="11">
        <v>0</v>
      </c>
      <c r="Z1832" s="11">
        <f ca="1"/>
        <v>9.4812289562289553</v>
      </c>
      <c r="AA1832" s="11">
        <f ca="1"/>
        <v>4.7406144781144777</v>
      </c>
      <c r="AB1832" s="4">
        <f ca="1"/>
        <v>45857</v>
      </c>
      <c r="AC1832" s="4">
        <v>45857</v>
      </c>
      <c r="AD1832" s="9">
        <v>45870</v>
      </c>
      <c r="AE1832" s="9">
        <v>45873</v>
      </c>
      <c r="AF1832" s="4" t="str">
        <f t="shared" ca="1" si="132"/>
        <v>2025 07</v>
      </c>
      <c r="AG1832" s="8" t="str" cm="1">
        <f t="array" ref="AG1832">IFERROR(_xlfn.IFS('Banco de Dados'!#REF!="AG. COMPRA","Em processamento",'Banco de Dados'!#REF!="AG. RASTREIO","Em processamento",'Banco de Dados'!$AE1832&lt;&gt;"-","Faturado",'Banco de Dados'!$AD1832&lt;&gt;"-","Aguardando Pix",'Banco de Dados'!$AC1832&lt;&gt;"-","Pendente"),"Aguardando Liberação")</f>
        <v>Aguardando Liberação</v>
      </c>
      <c r="AH1832" s="5" t="str">
        <f>IF('Banco de Dados'!$F1832="-",_xlfn.CONCAT(PROPER(TEXT(AK1832,"aaaa"))," ",PROPER(TEXT(AK1832,"mm"))),_xlfn.CONCAT(PROPER(TEXT(E1832,"aaaa"))," ",PROPER(TEXT(E1832,"mm"))))</f>
        <v>2025 06</v>
      </c>
      <c r="AI1832" s="9" t="str">
        <f ca="1">IF('Banco de Dados'!$AK1832&lt;&gt;"-","REEMBOLSO",IFERROR(_xlfn.XLOOKUP(G1832,Follow[CODRASTREIO],Follow[STATUS]),"-"))</f>
        <v>ENTREGUE</v>
      </c>
      <c r="AJ1832" s="9">
        <f ca="1">IF('Banco de Dados'!$AI1832="ENTREGUE",_xlfn.XLOOKUP('Banco de Dados'!$G1832,Follow[CODRASTREIO],Follow[DATAATUALIZAÇÃO]),"-")</f>
        <v>45881</v>
      </c>
      <c r="AK1832" s="132" t="str">
        <f ca="1"/>
        <v>-</v>
      </c>
      <c r="AL1832" s="35"/>
      <c r="AM1832" s="109" cm="1">
        <f t="array" aca="1" ref="AM1832" ca="1">IF('Banco de Dados'!$AK1832&lt;&gt;"-",_xlfn.IFS('Banco de Dados'!$A1832="bv",IF('Banco de Dados'!$E1832&lt;45641,ROUND(SUM('Banco de Dados'!$R1832*_xlfn.XLOOKUP('Banco de Dados'!$P1832,Sku!B:B,Sku!#REF!)*20%),2),ROUND(SUM('Banco de Dados'!$R1832*_xlfn.XLOOKUP('Banco de Dados'!$P1832,Sku!B:B,Sku!H:H)*20%),2)),'Banco de Dados'!$A1832="GO",ROUND(_xlfn.XLOOKUP('Banco de Dados'!$P1832,Sku!C:C,Sku!H:H),2),'Banco de Dados'!$A1832="MEI",ROUND(_xlfn.XLOOKUP('Banco de Dados'!$P1832,Sku!D:D,Sku!H:H),2)),0)</f>
        <v>0</v>
      </c>
      <c r="AN1832" s="109">
        <f ca="1">IF('Banco de Dados'!$AK1832&lt;&gt;"-",IF('Banco de Dados'!$F1832&lt;&gt;"-",_xlfn.XLOOKUP(IFERROR(IFERROR(IFERROR(VALUE(SUBSTITUTE(MID(_xlfn.TEXTAFTER('Banco de Dados'!$F1832,"Data do Pedido:
",1),1,10),"-","/")),VALUE(SUBSTITUTE(MID(_xlfn.TEXTAFTER('Banco de Dados'!$F1832,"Order date:
",1),1,10),"-","/"))),VALUE(SUBSTITUTE(MID(_xlfn.TEXTAFTER('Banco de Dados'!$F1832,"Fecha de pedido:
",1),1,10),"-","/"))),"-"),SMS!A:A,SMS!K:K),0),0)</f>
        <v>0</v>
      </c>
      <c r="AO1832" s="109">
        <f ca="1">IF('Banco de Dados'!$AK1832&lt;&gt;"-",IF('Banco de Dados'!$F1832&lt;&gt;"-",IFERROR(_xlfn.XLOOKUP(_xlfn.CONCAT('Banco de Dados'!$A1832,IFERROR(IFERROR(VALUE(SUBSTITUTE(MID(_xlfn.TEXTAFTER('Banco de Dados'!$F1832,"Data do Pedido:
",1),1,10),"-","/")),VALUE(SUBSTITUTE(MID(_xlfn.TEXTAFTER('Banco de Dados'!$F1832,"Order date:
",1),1,10),"-","/"))),0)),ProxyDD[Chave],ProxyDD[Valor por pedido]),PROXY!$P$2),0),0)</f>
        <v>0</v>
      </c>
      <c r="AP1832" s="28">
        <f ca="1">IF('Banco de Dados'!$AK1832&lt;&gt;"-",IF('Banco de Dados'!$AL1832="NÃO",IFERROR(VALUE(SUBSTITUTE(_xlfn.TEXTAFTER('Banco de Dados'!$F1832,"BRL ",1),".",",")),0),0),0)</f>
        <v>0</v>
      </c>
      <c r="AQ1832" s="28">
        <f ca="1">SUM('Banco de Dados'!$AM1832:$AP1832)</f>
        <v>0</v>
      </c>
      <c r="AR1832" s="8"/>
      <c r="AS1832" s="8"/>
      <c r="AT1832"/>
      <c r="AY1832" s="8"/>
    </row>
    <row r="1833" spans="1:51">
      <c r="A1833" s="5" t="str">
        <v>BV</v>
      </c>
      <c r="B1833" s="5" t="str">
        <f ca="1"/>
        <v>BV45835</v>
      </c>
      <c r="C1833" s="8" t="str">
        <v>Pedido 1819</v>
      </c>
      <c r="D1833" s="187">
        <v>45831</v>
      </c>
      <c r="E1833" s="9">
        <v>45835</v>
      </c>
      <c r="F1833" s="2" t="str">
        <v>PedidoF1716</v>
      </c>
      <c r="G1833" s="2" t="str">
        <v>CódRastreio1714</v>
      </c>
      <c r="H1833" s="5">
        <v>1</v>
      </c>
      <c r="I1833" s="182" t="str">
        <v>CPF 1776</v>
      </c>
      <c r="J1833" s="2" t="str">
        <v>Nome 1776</v>
      </c>
      <c r="K1833" s="8" t="str">
        <v>Tel 1776</v>
      </c>
      <c r="L1833" s="8" t="str">
        <v>Cep 1776</v>
      </c>
      <c r="M1833" s="8" t="str">
        <v>Rua 1776</v>
      </c>
      <c r="N1833" s="8" t="str">
        <v>Comp 1776</v>
      </c>
      <c r="O1833" s="8" t="str">
        <v>Máquina de cortar cabelo dragão</v>
      </c>
      <c r="P1833" s="8" t="str">
        <v>HG-2FNR-01A9</v>
      </c>
      <c r="Q1833" s="4">
        <v>45856</v>
      </c>
      <c r="R1833" s="109">
        <v>22.79</v>
      </c>
      <c r="S1833" s="11">
        <f ca="1"/>
        <v>22.79</v>
      </c>
      <c r="T1833" s="28">
        <f ca="1"/>
        <v>2.7347999999999999</v>
      </c>
      <c r="U1833" s="11">
        <f ca="1"/>
        <v>20.059999999999999</v>
      </c>
      <c r="V1833" s="11">
        <v>10.53</v>
      </c>
      <c r="W1833" s="11">
        <f ca="1"/>
        <v>0</v>
      </c>
      <c r="X1833" s="11">
        <f ca="1"/>
        <v>0.39877104377104378</v>
      </c>
      <c r="Y1833" s="11">
        <v>0</v>
      </c>
      <c r="Z1833" s="11">
        <f ca="1"/>
        <v>9.1312289562289557</v>
      </c>
      <c r="AA1833" s="11">
        <f ca="1"/>
        <v>4.5656144781144778</v>
      </c>
      <c r="AB1833" s="4">
        <f ca="1"/>
        <v>45863</v>
      </c>
      <c r="AC1833" s="4">
        <v>45863</v>
      </c>
      <c r="AD1833" s="9">
        <v>45870</v>
      </c>
      <c r="AE1833" s="9">
        <v>45873</v>
      </c>
      <c r="AF1833" s="4" t="str">
        <f t="shared" ca="1" si="132"/>
        <v>2025 07</v>
      </c>
      <c r="AG1833" s="8" t="str" cm="1">
        <f t="array" ref="AG1833">IFERROR(_xlfn.IFS('Banco de Dados'!#REF!="AG. COMPRA","Em processamento",'Banco de Dados'!#REF!="AG. RASTREIO","Em processamento",'Banco de Dados'!$AE1833&lt;&gt;"-","Faturado",'Banco de Dados'!$AD1833&lt;&gt;"-","Aguardando Pix",'Banco de Dados'!$AC1833&lt;&gt;"-","Pendente"),"Aguardando Liberação")</f>
        <v>Aguardando Liberação</v>
      </c>
      <c r="AH1833" s="5" t="str">
        <f>IF('Banco de Dados'!$F1833="-",_xlfn.CONCAT(PROPER(TEXT(AK1833,"aaaa"))," ",PROPER(TEXT(AK1833,"mm"))),_xlfn.CONCAT(PROPER(TEXT(E1833,"aaaa"))," ",PROPER(TEXT(E1833,"mm"))))</f>
        <v>2025 06</v>
      </c>
      <c r="AI1833" s="9" t="str">
        <f ca="1">IF('Banco de Dados'!$AK1833&lt;&gt;"-","REEMBOLSO",IFERROR(_xlfn.XLOOKUP(G1833,Follow[CODRASTREIO],Follow[STATUS]),"-"))</f>
        <v>EM TRÂNSITO</v>
      </c>
      <c r="AJ1833" s="9" t="str">
        <f ca="1">IF('Banco de Dados'!$AI1833="ENTREGUE",_xlfn.XLOOKUP('Banco de Dados'!$G1833,Follow[CODRASTREIO],Follow[DATAATUALIZAÇÃO]),"-")</f>
        <v>-</v>
      </c>
      <c r="AK1833" s="132" t="str">
        <f ca="1"/>
        <v>-</v>
      </c>
      <c r="AL1833" s="35"/>
      <c r="AM1833" s="109" cm="1">
        <f t="array" aca="1" ref="AM1833" ca="1">IF('Banco de Dados'!$AK1833&lt;&gt;"-",_xlfn.IFS('Banco de Dados'!$A1833="bv",IF('Banco de Dados'!$E1833&lt;45641,ROUND(SUM('Banco de Dados'!$R1833*_xlfn.XLOOKUP('Banco de Dados'!$P1833,Sku!B:B,Sku!#REF!)*20%),2),ROUND(SUM('Banco de Dados'!$R1833*_xlfn.XLOOKUP('Banco de Dados'!$P1833,Sku!B:B,Sku!H:H)*20%),2)),'Banco de Dados'!$A1833="GO",ROUND(_xlfn.XLOOKUP('Banco de Dados'!$P1833,Sku!C:C,Sku!H:H),2),'Banco de Dados'!$A1833="MEI",ROUND(_xlfn.XLOOKUP('Banco de Dados'!$P1833,Sku!D:D,Sku!H:H),2)),0)</f>
        <v>0</v>
      </c>
      <c r="AN1833" s="109">
        <f ca="1">IF('Banco de Dados'!$AK1833&lt;&gt;"-",IF('Banco de Dados'!$F1833&lt;&gt;"-",_xlfn.XLOOKUP(IFERROR(IFERROR(IFERROR(VALUE(SUBSTITUTE(MID(_xlfn.TEXTAFTER('Banco de Dados'!$F1833,"Data do Pedido:
",1),1,10),"-","/")),VALUE(SUBSTITUTE(MID(_xlfn.TEXTAFTER('Banco de Dados'!$F1833,"Order date:
",1),1,10),"-","/"))),VALUE(SUBSTITUTE(MID(_xlfn.TEXTAFTER('Banco de Dados'!$F1833,"Fecha de pedido:
",1),1,10),"-","/"))),"-"),SMS!A:A,SMS!K:K),0),0)</f>
        <v>0</v>
      </c>
      <c r="AO1833" s="109">
        <f ca="1">IF('Banco de Dados'!$AK1833&lt;&gt;"-",IF('Banco de Dados'!$F1833&lt;&gt;"-",IFERROR(_xlfn.XLOOKUP(_xlfn.CONCAT('Banco de Dados'!$A1833,IFERROR(IFERROR(VALUE(SUBSTITUTE(MID(_xlfn.TEXTAFTER('Banco de Dados'!$F1833,"Data do Pedido:
",1),1,10),"-","/")),VALUE(SUBSTITUTE(MID(_xlfn.TEXTAFTER('Banco de Dados'!$F1833,"Order date:
",1),1,10),"-","/"))),0)),ProxyDD[Chave],ProxyDD[Valor por pedido]),PROXY!$P$2),0),0)</f>
        <v>0</v>
      </c>
      <c r="AP1833" s="28">
        <f ca="1">IF('Banco de Dados'!$AK1833&lt;&gt;"-",IF('Banco de Dados'!$AL1833="NÃO",IFERROR(VALUE(SUBSTITUTE(_xlfn.TEXTAFTER('Banco de Dados'!$F1833,"BRL ",1),".",",")),0),0),0)</f>
        <v>0</v>
      </c>
      <c r="AQ1833" s="28">
        <f ca="1">SUM('Banco de Dados'!$AM1833:$AP1833)</f>
        <v>0</v>
      </c>
      <c r="AR1833" s="8"/>
      <c r="AS1833" s="8"/>
      <c r="AT1833"/>
      <c r="AY1833" s="8"/>
    </row>
    <row r="1834" spans="1:51">
      <c r="A1834" s="5" t="str">
        <v>BV</v>
      </c>
      <c r="B1834" s="5" t="str">
        <f ca="1"/>
        <v>BV-</v>
      </c>
      <c r="C1834" s="8" t="str">
        <v>Pedido 1820</v>
      </c>
      <c r="D1834" s="187">
        <v>45831</v>
      </c>
      <c r="E1834" s="9" t="str">
        <v>-</v>
      </c>
      <c r="F1834" s="8" t="str">
        <v>-</v>
      </c>
      <c r="G1834" s="2" t="str">
        <v>-</v>
      </c>
      <c r="H1834" s="5">
        <v>1</v>
      </c>
      <c r="I1834" s="182" t="str">
        <v>CPF 1777</v>
      </c>
      <c r="J1834" s="2" t="str">
        <v>Nome 1777</v>
      </c>
      <c r="K1834" s="8" t="str">
        <v>Tel 1777</v>
      </c>
      <c r="L1834" s="8" t="str">
        <v>Cep 1777</v>
      </c>
      <c r="M1834" s="8" t="str">
        <v>Rua 1777</v>
      </c>
      <c r="N1834" s="8" t="str">
        <v>Comp 1777</v>
      </c>
      <c r="O1834" s="8" t="str">
        <v>Máquina de cortar cabelo dragão</v>
      </c>
      <c r="P1834" s="8" t="str">
        <v>HG-2FNR-01A9</v>
      </c>
      <c r="Q1834" s="4">
        <v>45856</v>
      </c>
      <c r="R1834" s="109">
        <v>22.79</v>
      </c>
      <c r="S1834" s="11">
        <f ca="1"/>
        <v>0</v>
      </c>
      <c r="T1834" s="28">
        <f ca="1"/>
        <v>0</v>
      </c>
      <c r="U1834" s="11">
        <f ca="1"/>
        <v>0</v>
      </c>
      <c r="V1834" s="11">
        <v>0</v>
      </c>
      <c r="W1834" s="11">
        <f ca="1"/>
        <v>0</v>
      </c>
      <c r="X1834" s="11">
        <f ca="1"/>
        <v>0</v>
      </c>
      <c r="Y1834" s="11">
        <v>0</v>
      </c>
      <c r="Z1834" s="11">
        <f ca="1"/>
        <v>0</v>
      </c>
      <c r="AA1834" s="11">
        <f ca="1"/>
        <v>0</v>
      </c>
      <c r="AB1834" s="4">
        <f ca="1"/>
        <v>45863</v>
      </c>
      <c r="AC1834" s="4">
        <v>45863</v>
      </c>
      <c r="AD1834" s="9">
        <v>45870</v>
      </c>
      <c r="AE1834" s="9">
        <v>45873</v>
      </c>
      <c r="AF1834" s="4" t="str">
        <f t="shared" ca="1" si="132"/>
        <v>2025 07</v>
      </c>
      <c r="AG1834" s="8" t="str" cm="1">
        <f t="array" ref="AG1834">IFERROR(_xlfn.IFS('Banco de Dados'!#REF!="AG. COMPRA","Em processamento",'Banco de Dados'!#REF!="AG. RASTREIO","Em processamento",'Banco de Dados'!$AE1834&lt;&gt;"-","Faturado",'Banco de Dados'!$AD1834&lt;&gt;"-","Aguardando Pix",'Banco de Dados'!$AC1834&lt;&gt;"-","Pendente"),"Aguardando Liberação")</f>
        <v>Aguardando Liberação</v>
      </c>
      <c r="AH1834" s="5" t="str">
        <f ca="1">IF('Banco de Dados'!$F1834="-",_xlfn.CONCAT(PROPER(TEXT(AK1834,"aaaa"))," ",PROPER(TEXT(AK1834,"mm"))),_xlfn.CONCAT(PROPER(TEXT(E1834,"aaaa"))," ",PROPER(TEXT(E1834,"mm"))))</f>
        <v>2025 06</v>
      </c>
      <c r="AI1834" s="9" t="str">
        <f ca="1">IF('Banco de Dados'!$AK1834&lt;&gt;"-","REEMBOLSO",IFERROR(_xlfn.XLOOKUP(G1834,Follow[CODRASTREIO],Follow[STATUS]),"-"))</f>
        <v>REEMBOLSO</v>
      </c>
      <c r="AJ1834" s="9" t="str">
        <f ca="1">IF('Banco de Dados'!$AI1834="ENTREGUE",_xlfn.XLOOKUP('Banco de Dados'!$G1834,Follow[CODRASTREIO],Follow[DATAATUALIZAÇÃO]),"-")</f>
        <v>-</v>
      </c>
      <c r="AK1834" s="132">
        <f ca="1"/>
        <v>45838</v>
      </c>
      <c r="AL1834" s="35"/>
      <c r="AM1834" s="109" cm="1">
        <f t="array" aca="1" ref="AM1834" ca="1">IF('Banco de Dados'!$AK1834&lt;&gt;"-",_xlfn.IFS('Banco de Dados'!$A1834="bv",IF('Banco de Dados'!$E1834&lt;45641,ROUND(SUM('Banco de Dados'!$R1834*_xlfn.XLOOKUP('Banco de Dados'!$P1834,Sku!B:B,Sku!#REF!)*20%),2),ROUND(SUM('Banco de Dados'!$R1834*_xlfn.XLOOKUP('Banco de Dados'!$P1834,Sku!B:B,Sku!H:H)*20%),2)),'Banco de Dados'!$A1834="GO",ROUND(_xlfn.XLOOKUP('Banco de Dados'!$P1834,Sku!C:C,Sku!H:H),2),'Banco de Dados'!$A1834="MEI",ROUND(_xlfn.XLOOKUP('Banco de Dados'!$P1834,Sku!D:D,Sku!H:H),2)),0)</f>
        <v>0.59</v>
      </c>
      <c r="AN1834" s="109">
        <f ca="1">IF('Banco de Dados'!$AK1834&lt;&gt;"-",IF('Banco de Dados'!$F1834&lt;&gt;"-",_xlfn.XLOOKUP(IFERROR(IFERROR(IFERROR(VALUE(SUBSTITUTE(MID(_xlfn.TEXTAFTER('Banco de Dados'!$F1834,"Data do Pedido:
",1),1,10),"-","/")),VALUE(SUBSTITUTE(MID(_xlfn.TEXTAFTER('Banco de Dados'!$F1834,"Order date:
",1),1,10),"-","/"))),VALUE(SUBSTITUTE(MID(_xlfn.TEXTAFTER('Banco de Dados'!$F1834,"Fecha de pedido:
",1),1,10),"-","/"))),"-"),SMS!A:A,SMS!K:K),0),0)</f>
        <v>0</v>
      </c>
      <c r="AO1834" s="109">
        <f ca="1">IF('Banco de Dados'!$AK1834&lt;&gt;"-",IF('Banco de Dados'!$F1834&lt;&gt;"-",IFERROR(_xlfn.XLOOKUP(_xlfn.CONCAT('Banco de Dados'!$A1834,IFERROR(IFERROR(VALUE(SUBSTITUTE(MID(_xlfn.TEXTAFTER('Banco de Dados'!$F1834,"Data do Pedido:
",1),1,10),"-","/")),VALUE(SUBSTITUTE(MID(_xlfn.TEXTAFTER('Banco de Dados'!$F1834,"Order date:
",1),1,10),"-","/"))),0)),ProxyDD[Chave],ProxyDD[Valor por pedido]),PROXY!$P$2),0),0)</f>
        <v>0</v>
      </c>
      <c r="AP1834" s="28">
        <f ca="1">IF('Banco de Dados'!$AK1834&lt;&gt;"-",IF('Banco de Dados'!$AL1834="NÃO",IFERROR(VALUE(SUBSTITUTE(_xlfn.TEXTAFTER('Banco de Dados'!$F1834,"BRL ",1),".",",")),0),0),0)</f>
        <v>0</v>
      </c>
      <c r="AQ1834" s="28">
        <f ca="1">SUM('Banco de Dados'!$AM1834:$AP1834)</f>
        <v>0.59</v>
      </c>
      <c r="AR1834" s="8"/>
      <c r="AS1834" s="8"/>
      <c r="AT1834"/>
      <c r="AY1834" s="8"/>
    </row>
    <row r="1835" spans="1:51">
      <c r="A1835" s="5" t="str">
        <v>BV</v>
      </c>
      <c r="B1835" s="5" t="str">
        <f ca="1"/>
        <v>BV-</v>
      </c>
      <c r="C1835" s="8" t="str">
        <v>Pedido 1821</v>
      </c>
      <c r="D1835" s="187">
        <v>45832</v>
      </c>
      <c r="E1835" s="9" t="str">
        <v>-</v>
      </c>
      <c r="F1835" s="8" t="str">
        <v>-</v>
      </c>
      <c r="G1835" s="2" t="str">
        <v>-</v>
      </c>
      <c r="H1835" s="5">
        <v>1</v>
      </c>
      <c r="I1835" s="182" t="str">
        <v>CPF 1778</v>
      </c>
      <c r="J1835" s="2" t="str">
        <v>Nome 1778</v>
      </c>
      <c r="K1835" s="8" t="str">
        <v>Tel 1778</v>
      </c>
      <c r="L1835" s="8" t="str">
        <v>Cep 1778</v>
      </c>
      <c r="M1835" s="8" t="str">
        <v>Rua 1778</v>
      </c>
      <c r="N1835" s="8" t="str">
        <v>Comp 1778</v>
      </c>
      <c r="O1835" s="8" t="str">
        <v>Máquina de cortar cabelo dragão</v>
      </c>
      <c r="P1835" s="8" t="str">
        <v>HG-2FNR-01A9</v>
      </c>
      <c r="Q1835" s="4">
        <v>45856</v>
      </c>
      <c r="R1835" s="109">
        <v>22.79</v>
      </c>
      <c r="S1835" s="11">
        <f ca="1"/>
        <v>0</v>
      </c>
      <c r="T1835" s="28">
        <f ca="1"/>
        <v>0</v>
      </c>
      <c r="U1835" s="11">
        <f ca="1"/>
        <v>0</v>
      </c>
      <c r="V1835" s="11">
        <v>0</v>
      </c>
      <c r="W1835" s="11">
        <f ca="1"/>
        <v>0</v>
      </c>
      <c r="X1835" s="11">
        <f ca="1"/>
        <v>0</v>
      </c>
      <c r="Y1835" s="11">
        <v>0</v>
      </c>
      <c r="Z1835" s="11">
        <f ca="1"/>
        <v>0</v>
      </c>
      <c r="AA1835" s="11">
        <f ca="1"/>
        <v>0</v>
      </c>
      <c r="AB1835" s="4">
        <f ca="1"/>
        <v>45863</v>
      </c>
      <c r="AC1835" s="4">
        <v>45863</v>
      </c>
      <c r="AD1835" s="9">
        <v>45870</v>
      </c>
      <c r="AE1835" s="9">
        <v>45873</v>
      </c>
      <c r="AF1835" s="4" t="str">
        <f t="shared" ref="AF1835:AF1852" ca="1" si="133">_xlfn.CONCAT(PROPER(TEXT(AB1835,"aaaa"))," ",PROPER(TEXT(AB1835,"mm")))</f>
        <v>2025 07</v>
      </c>
      <c r="AG1835" s="8" t="str" cm="1">
        <f t="array" ref="AG1835">IFERROR(_xlfn.IFS('Banco de Dados'!#REF!="AG. COMPRA","Em processamento",'Banco de Dados'!#REF!="AG. RASTREIO","Em processamento",'Banco de Dados'!$AE1835&lt;&gt;"-","Faturado",'Banco de Dados'!$AD1835&lt;&gt;"-","Aguardando Pix",'Banco de Dados'!$AC1835&lt;&gt;"-","Pendente"),"Aguardando Liberação")</f>
        <v>Aguardando Liberação</v>
      </c>
      <c r="AH1835" s="5" t="str">
        <f ca="1">IF('Banco de Dados'!$F1835="-",_xlfn.CONCAT(PROPER(TEXT(AK1835,"aaaa"))," ",PROPER(TEXT(AK1835,"mm"))),_xlfn.CONCAT(PROPER(TEXT(E1835,"aaaa"))," ",PROPER(TEXT(E1835,"mm"))))</f>
        <v>2025 06</v>
      </c>
      <c r="AI1835" s="9" t="str">
        <f ca="1">IF('Banco de Dados'!$AK1835&lt;&gt;"-","REEMBOLSO",IFERROR(_xlfn.XLOOKUP(G1835,Follow[CODRASTREIO],Follow[STATUS]),"-"))</f>
        <v>REEMBOLSO</v>
      </c>
      <c r="AJ1835" s="9" t="str">
        <f ca="1">IF('Banco de Dados'!$AI1835="ENTREGUE",_xlfn.XLOOKUP('Banco de Dados'!$G1835,Follow[CODRASTREIO],Follow[DATAATUALIZAÇÃO]),"-")</f>
        <v>-</v>
      </c>
      <c r="AK1835" s="132">
        <f ca="1"/>
        <v>45838</v>
      </c>
      <c r="AL1835" s="35"/>
      <c r="AM1835" s="109" cm="1">
        <f t="array" aca="1" ref="AM1835" ca="1">IF('Banco de Dados'!$AK1835&lt;&gt;"-",_xlfn.IFS('Banco de Dados'!$A1835="bv",IF('Banco de Dados'!$E1835&lt;45641,ROUND(SUM('Banco de Dados'!$R1835*_xlfn.XLOOKUP('Banco de Dados'!$P1835,Sku!B:B,Sku!#REF!)*20%),2),ROUND(SUM('Banco de Dados'!$R1835*_xlfn.XLOOKUP('Banco de Dados'!$P1835,Sku!B:B,Sku!H:H)*20%),2)),'Banco de Dados'!$A1835="GO",ROUND(_xlfn.XLOOKUP('Banco de Dados'!$P1835,Sku!C:C,Sku!H:H),2),'Banco de Dados'!$A1835="MEI",ROUND(_xlfn.XLOOKUP('Banco de Dados'!$P1835,Sku!D:D,Sku!H:H),2)),0)</f>
        <v>0.59</v>
      </c>
      <c r="AN1835" s="109">
        <f ca="1">IF('Banco de Dados'!$AK1835&lt;&gt;"-",IF('Banco de Dados'!$F1835&lt;&gt;"-",_xlfn.XLOOKUP(IFERROR(IFERROR(IFERROR(VALUE(SUBSTITUTE(MID(_xlfn.TEXTAFTER('Banco de Dados'!$F1835,"Data do Pedido:
",1),1,10),"-","/")),VALUE(SUBSTITUTE(MID(_xlfn.TEXTAFTER('Banco de Dados'!$F1835,"Order date:
",1),1,10),"-","/"))),VALUE(SUBSTITUTE(MID(_xlfn.TEXTAFTER('Banco de Dados'!$F1835,"Fecha de pedido:
",1),1,10),"-","/"))),"-"),SMS!A:A,SMS!K:K),0),0)</f>
        <v>0</v>
      </c>
      <c r="AO1835" s="109">
        <f ca="1">IF('Banco de Dados'!$AK1835&lt;&gt;"-",IF('Banco de Dados'!$F1835&lt;&gt;"-",IFERROR(_xlfn.XLOOKUP(_xlfn.CONCAT('Banco de Dados'!$A1835,IFERROR(IFERROR(VALUE(SUBSTITUTE(MID(_xlfn.TEXTAFTER('Banco de Dados'!$F1835,"Data do Pedido:
",1),1,10),"-","/")),VALUE(SUBSTITUTE(MID(_xlfn.TEXTAFTER('Banco de Dados'!$F1835,"Order date:
",1),1,10),"-","/"))),0)),ProxyDD[Chave],ProxyDD[Valor por pedido]),PROXY!$P$2),0),0)</f>
        <v>0</v>
      </c>
      <c r="AP1835" s="28">
        <f ca="1">IF('Banco de Dados'!$AK1835&lt;&gt;"-",IF('Banco de Dados'!$AL1835="NÃO",IFERROR(VALUE(SUBSTITUTE(_xlfn.TEXTAFTER('Banco de Dados'!$F1835,"BRL ",1),".",",")),0),0),0)</f>
        <v>0</v>
      </c>
      <c r="AQ1835" s="28">
        <f ca="1">SUM('Banco de Dados'!$AM1835:$AP1835)</f>
        <v>0.59</v>
      </c>
      <c r="AR1835" s="8"/>
      <c r="AS1835" s="8"/>
      <c r="AT1835"/>
      <c r="AY1835" s="8"/>
    </row>
    <row r="1836" spans="1:51">
      <c r="A1836" s="5" t="str">
        <v>BV</v>
      </c>
      <c r="B1836" s="5" t="str">
        <f ca="1"/>
        <v>BV45835</v>
      </c>
      <c r="C1836" s="8" t="str">
        <v>Pedido 1822</v>
      </c>
      <c r="D1836" s="187">
        <v>45832</v>
      </c>
      <c r="E1836" s="9">
        <v>45835</v>
      </c>
      <c r="F1836" s="2" t="str">
        <v>PedidoF1717</v>
      </c>
      <c r="G1836" s="2" t="str">
        <v>CódRastreio1715</v>
      </c>
      <c r="H1836" s="5">
        <v>1</v>
      </c>
      <c r="I1836" s="182" t="str">
        <v>CPF 1779</v>
      </c>
      <c r="J1836" s="2" t="str">
        <v>Nome 1779</v>
      </c>
      <c r="K1836" s="8" t="str">
        <v>Tel 1779</v>
      </c>
      <c r="L1836" s="8" t="str">
        <v>Cep 1779</v>
      </c>
      <c r="M1836" s="8" t="str">
        <v>Rua 1779</v>
      </c>
      <c r="N1836" s="8" t="str">
        <v>Comp 1779</v>
      </c>
      <c r="O1836" s="8" t="str">
        <v>Máquina de cortar cabelo dragão</v>
      </c>
      <c r="P1836" s="8" t="str">
        <v>NQ-IMR8-W6Q4</v>
      </c>
      <c r="Q1836" s="4">
        <v>45856</v>
      </c>
      <c r="R1836" s="109">
        <v>21.19</v>
      </c>
      <c r="S1836" s="11">
        <f ca="1"/>
        <v>21.19</v>
      </c>
      <c r="T1836" s="28">
        <f ca="1"/>
        <v>2.5428000000000002</v>
      </c>
      <c r="U1836" s="11">
        <f ca="1"/>
        <v>18.649999999999999</v>
      </c>
      <c r="V1836" s="11">
        <v>10.17</v>
      </c>
      <c r="W1836" s="11">
        <f ca="1"/>
        <v>0</v>
      </c>
      <c r="X1836" s="11">
        <f ca="1"/>
        <v>0.39877104377104378</v>
      </c>
      <c r="Y1836" s="11">
        <v>0</v>
      </c>
      <c r="Z1836" s="11">
        <f ca="1"/>
        <v>8.081228956228955</v>
      </c>
      <c r="AA1836" s="11">
        <f ca="1"/>
        <v>4.0406144781144775</v>
      </c>
      <c r="AB1836" s="4">
        <f ca="1"/>
        <v>45863</v>
      </c>
      <c r="AC1836" s="4">
        <v>45863</v>
      </c>
      <c r="AD1836" s="9">
        <v>45870</v>
      </c>
      <c r="AE1836" s="9">
        <v>45873</v>
      </c>
      <c r="AF1836" s="4" t="str">
        <f t="shared" ca="1" si="133"/>
        <v>2025 07</v>
      </c>
      <c r="AG1836" s="8" t="str" cm="1">
        <f t="array" ref="AG1836">IFERROR(_xlfn.IFS('Banco de Dados'!#REF!="AG. COMPRA","Em processamento",'Banco de Dados'!#REF!="AG. RASTREIO","Em processamento",'Banco de Dados'!$AE1836&lt;&gt;"-","Faturado",'Banco de Dados'!$AD1836&lt;&gt;"-","Aguardando Pix",'Banco de Dados'!$AC1836&lt;&gt;"-","Pendente"),"Aguardando Liberação")</f>
        <v>Aguardando Liberação</v>
      </c>
      <c r="AH1836" s="5" t="str">
        <f>IF('Banco de Dados'!$F1836="-",_xlfn.CONCAT(PROPER(TEXT(AK1836,"aaaa"))," ",PROPER(TEXT(AK1836,"mm"))),_xlfn.CONCAT(PROPER(TEXT(E1836,"aaaa"))," ",PROPER(TEXT(E1836,"mm"))))</f>
        <v>2025 06</v>
      </c>
      <c r="AI1836" s="9" t="str">
        <f ca="1">IF('Banco de Dados'!$AK1836&lt;&gt;"-","REEMBOLSO",IFERROR(_xlfn.XLOOKUP(G1836,Follow[CODRASTREIO],Follow[STATUS]),"-"))</f>
        <v>ENTREGUE</v>
      </c>
      <c r="AJ1836" s="9">
        <f ca="1">IF('Banco de Dados'!$AI1836="ENTREGUE",_xlfn.XLOOKUP('Banco de Dados'!$G1836,Follow[CODRASTREIO],Follow[DATAATUALIZAÇÃO]),"-")</f>
        <v>45855</v>
      </c>
      <c r="AK1836" s="132" t="str">
        <f ca="1"/>
        <v>-</v>
      </c>
      <c r="AL1836" s="35"/>
      <c r="AM1836" s="109" cm="1">
        <f t="array" aca="1" ref="AM1836" ca="1">IF('Banco de Dados'!$AK1836&lt;&gt;"-",_xlfn.IFS('Banco de Dados'!$A1836="bv",IF('Banco de Dados'!$E1836&lt;45641,ROUND(SUM('Banco de Dados'!$R1836*_xlfn.XLOOKUP('Banco de Dados'!$P1836,Sku!B:B,Sku!#REF!)*20%),2),ROUND(SUM('Banco de Dados'!$R1836*_xlfn.XLOOKUP('Banco de Dados'!$P1836,Sku!B:B,Sku!H:H)*20%),2)),'Banco de Dados'!$A1836="GO",ROUND(_xlfn.XLOOKUP('Banco de Dados'!$P1836,Sku!C:C,Sku!H:H),2),'Banco de Dados'!$A1836="MEI",ROUND(_xlfn.XLOOKUP('Banco de Dados'!$P1836,Sku!D:D,Sku!H:H),2)),0)</f>
        <v>0</v>
      </c>
      <c r="AN1836" s="109">
        <f ca="1">IF('Banco de Dados'!$AK1836&lt;&gt;"-",IF('Banco de Dados'!$F1836&lt;&gt;"-",_xlfn.XLOOKUP(IFERROR(IFERROR(IFERROR(VALUE(SUBSTITUTE(MID(_xlfn.TEXTAFTER('Banco de Dados'!$F1836,"Data do Pedido:
",1),1,10),"-","/")),VALUE(SUBSTITUTE(MID(_xlfn.TEXTAFTER('Banco de Dados'!$F1836,"Order date:
",1),1,10),"-","/"))),VALUE(SUBSTITUTE(MID(_xlfn.TEXTAFTER('Banco de Dados'!$F1836,"Fecha de pedido:
",1),1,10),"-","/"))),"-"),SMS!A:A,SMS!K:K),0),0)</f>
        <v>0</v>
      </c>
      <c r="AO1836" s="109">
        <f ca="1">IF('Banco de Dados'!$AK1836&lt;&gt;"-",IF('Banco de Dados'!$F1836&lt;&gt;"-",IFERROR(_xlfn.XLOOKUP(_xlfn.CONCAT('Banco de Dados'!$A1836,IFERROR(IFERROR(VALUE(SUBSTITUTE(MID(_xlfn.TEXTAFTER('Banco de Dados'!$F1836,"Data do Pedido:
",1),1,10),"-","/")),VALUE(SUBSTITUTE(MID(_xlfn.TEXTAFTER('Banco de Dados'!$F1836,"Order date:
",1),1,10),"-","/"))),0)),ProxyDD[Chave],ProxyDD[Valor por pedido]),PROXY!$P$2),0),0)</f>
        <v>0</v>
      </c>
      <c r="AP1836" s="28">
        <f ca="1">IF('Banco de Dados'!$AK1836&lt;&gt;"-",IF('Banco de Dados'!$AL1836="NÃO",IFERROR(VALUE(SUBSTITUTE(_xlfn.TEXTAFTER('Banco de Dados'!$F1836,"BRL ",1),".",",")),0),0),0)</f>
        <v>0</v>
      </c>
      <c r="AQ1836" s="28">
        <f ca="1">SUM('Banco de Dados'!$AM1836:$AP1836)</f>
        <v>0</v>
      </c>
      <c r="AR1836" s="8"/>
      <c r="AS1836" s="8"/>
      <c r="AT1836"/>
      <c r="AY1836" s="8"/>
    </row>
    <row r="1837" spans="1:51">
      <c r="A1837" s="5" t="str">
        <v>BV</v>
      </c>
      <c r="B1837" s="5" t="str">
        <f ca="1"/>
        <v>BV45835</v>
      </c>
      <c r="C1837" s="8" t="str">
        <v>Pedido 1823</v>
      </c>
      <c r="D1837" s="187">
        <v>45832</v>
      </c>
      <c r="E1837" s="9">
        <v>45835</v>
      </c>
      <c r="F1837" s="2" t="str">
        <v>PedidoF1718</v>
      </c>
      <c r="G1837" s="2" t="str">
        <v>CódRastreio1716</v>
      </c>
      <c r="H1837" s="5">
        <v>1</v>
      </c>
      <c r="I1837" s="182" t="str">
        <v>CPF 1780</v>
      </c>
      <c r="J1837" s="2" t="str">
        <v>Nome 1780</v>
      </c>
      <c r="K1837" s="8" t="str">
        <v>Tel 1780</v>
      </c>
      <c r="L1837" s="8" t="str">
        <v>Cep 1780</v>
      </c>
      <c r="M1837" s="8" t="str">
        <v>Rua 1780</v>
      </c>
      <c r="N1837" s="8" t="str">
        <v>Comp 1780</v>
      </c>
      <c r="O1837" s="8" t="str">
        <v>Máquina de cortar cabelo dragão</v>
      </c>
      <c r="P1837" s="8" t="str">
        <v>NQ-IMR8-W6Q4</v>
      </c>
      <c r="Q1837" s="4">
        <v>45857</v>
      </c>
      <c r="R1837" s="109">
        <v>21.19</v>
      </c>
      <c r="S1837" s="11">
        <f ca="1"/>
        <v>21.19</v>
      </c>
      <c r="T1837" s="28">
        <f ca="1"/>
        <v>2.5428000000000002</v>
      </c>
      <c r="U1837" s="11">
        <f ca="1"/>
        <v>18.649999999999999</v>
      </c>
      <c r="V1837" s="11">
        <v>10.53</v>
      </c>
      <c r="W1837" s="11">
        <f ca="1"/>
        <v>0</v>
      </c>
      <c r="X1837" s="11">
        <f ca="1"/>
        <v>0.39877104377104378</v>
      </c>
      <c r="Y1837" s="11">
        <v>0</v>
      </c>
      <c r="Z1837" s="11">
        <f ca="1"/>
        <v>7.7212289562289556</v>
      </c>
      <c r="AA1837" s="11">
        <f ca="1"/>
        <v>3.8606144781144778</v>
      </c>
      <c r="AB1837" s="4">
        <f ca="1"/>
        <v>45864</v>
      </c>
      <c r="AC1837" s="4">
        <v>45864</v>
      </c>
      <c r="AD1837" s="9">
        <v>45870</v>
      </c>
      <c r="AE1837" s="9">
        <v>45873</v>
      </c>
      <c r="AF1837" s="4" t="str">
        <f t="shared" ca="1" si="133"/>
        <v>2025 07</v>
      </c>
      <c r="AG1837" s="8" t="str" cm="1">
        <f t="array" ref="AG1837">IFERROR(_xlfn.IFS('Banco de Dados'!#REF!="AG. COMPRA","Em processamento",'Banco de Dados'!#REF!="AG. RASTREIO","Em processamento",'Banco de Dados'!$AE1837&lt;&gt;"-","Faturado",'Banco de Dados'!$AD1837&lt;&gt;"-","Aguardando Pix",'Banco de Dados'!$AC1837&lt;&gt;"-","Pendente"),"Aguardando Liberação")</f>
        <v>Aguardando Liberação</v>
      </c>
      <c r="AH1837" s="5" t="str">
        <f>IF('Banco de Dados'!$F1837="-",_xlfn.CONCAT(PROPER(TEXT(AK1837,"aaaa"))," ",PROPER(TEXT(AK1837,"mm"))),_xlfn.CONCAT(PROPER(TEXT(E1837,"aaaa"))," ",PROPER(TEXT(E1837,"mm"))))</f>
        <v>2025 06</v>
      </c>
      <c r="AI1837" s="9" t="str">
        <f ca="1">IF('Banco de Dados'!$AK1837&lt;&gt;"-","REEMBOLSO",IFERROR(_xlfn.XLOOKUP(G1837,Follow[CODRASTREIO],Follow[STATUS]),"-"))</f>
        <v>ENTREGUE</v>
      </c>
      <c r="AJ1837" s="9">
        <f ca="1">IF('Banco de Dados'!$AI1837="ENTREGUE",_xlfn.XLOOKUP('Banco de Dados'!$G1837,Follow[CODRASTREIO],Follow[DATAATUALIZAÇÃO]),"-")</f>
        <v>45855</v>
      </c>
      <c r="AK1837" s="132" t="str">
        <f ca="1"/>
        <v>-</v>
      </c>
      <c r="AL1837" s="35"/>
      <c r="AM1837" s="109" cm="1">
        <f t="array" aca="1" ref="AM1837" ca="1">IF('Banco de Dados'!$AK1837&lt;&gt;"-",_xlfn.IFS('Banco de Dados'!$A1837="bv",IF('Banco de Dados'!$E1837&lt;45641,ROUND(SUM('Banco de Dados'!$R1837*_xlfn.XLOOKUP('Banco de Dados'!$P1837,Sku!B:B,Sku!#REF!)*20%),2),ROUND(SUM('Banco de Dados'!$R1837*_xlfn.XLOOKUP('Banco de Dados'!$P1837,Sku!B:B,Sku!H:H)*20%),2)),'Banco de Dados'!$A1837="GO",ROUND(_xlfn.XLOOKUP('Banco de Dados'!$P1837,Sku!C:C,Sku!H:H),2),'Banco de Dados'!$A1837="MEI",ROUND(_xlfn.XLOOKUP('Banco de Dados'!$P1837,Sku!D:D,Sku!H:H),2)),0)</f>
        <v>0</v>
      </c>
      <c r="AN1837" s="109">
        <f ca="1">IF('Banco de Dados'!$AK1837&lt;&gt;"-",IF('Banco de Dados'!$F1837&lt;&gt;"-",_xlfn.XLOOKUP(IFERROR(IFERROR(IFERROR(VALUE(SUBSTITUTE(MID(_xlfn.TEXTAFTER('Banco de Dados'!$F1837,"Data do Pedido:
",1),1,10),"-","/")),VALUE(SUBSTITUTE(MID(_xlfn.TEXTAFTER('Banco de Dados'!$F1837,"Order date:
",1),1,10),"-","/"))),VALUE(SUBSTITUTE(MID(_xlfn.TEXTAFTER('Banco de Dados'!$F1837,"Fecha de pedido:
",1),1,10),"-","/"))),"-"),SMS!A:A,SMS!K:K),0),0)</f>
        <v>0</v>
      </c>
      <c r="AO1837" s="109">
        <f ca="1">IF('Banco de Dados'!$AK1837&lt;&gt;"-",IF('Banco de Dados'!$F1837&lt;&gt;"-",IFERROR(_xlfn.XLOOKUP(_xlfn.CONCAT('Banco de Dados'!$A1837,IFERROR(IFERROR(VALUE(SUBSTITUTE(MID(_xlfn.TEXTAFTER('Banco de Dados'!$F1837,"Data do Pedido:
",1),1,10),"-","/")),VALUE(SUBSTITUTE(MID(_xlfn.TEXTAFTER('Banco de Dados'!$F1837,"Order date:
",1),1,10),"-","/"))),0)),ProxyDD[Chave],ProxyDD[Valor por pedido]),PROXY!$P$2),0),0)</f>
        <v>0</v>
      </c>
      <c r="AP1837" s="28">
        <f ca="1">IF('Banco de Dados'!$AK1837&lt;&gt;"-",IF('Banco de Dados'!$AL1837="NÃO",IFERROR(VALUE(SUBSTITUTE(_xlfn.TEXTAFTER('Banco de Dados'!$F1837,"BRL ",1),".",",")),0),0),0)</f>
        <v>0</v>
      </c>
      <c r="AQ1837" s="28">
        <f ca="1">SUM('Banco de Dados'!$AM1837:$AP1837)</f>
        <v>0</v>
      </c>
      <c r="AR1837" s="8"/>
      <c r="AS1837" s="8"/>
      <c r="AT1837"/>
      <c r="AY1837" s="8"/>
    </row>
    <row r="1838" spans="1:51">
      <c r="A1838" s="5" t="str">
        <v>BV</v>
      </c>
      <c r="B1838" s="5" t="str">
        <f ca="1"/>
        <v>BV45835</v>
      </c>
      <c r="C1838" s="8" t="str">
        <v>Pedido 1824</v>
      </c>
      <c r="D1838" s="187">
        <v>45832</v>
      </c>
      <c r="E1838" s="9">
        <v>45835</v>
      </c>
      <c r="F1838" s="2" t="str">
        <v>PedidoF1719</v>
      </c>
      <c r="G1838" s="2" t="str">
        <v>CódRastreio1717</v>
      </c>
      <c r="H1838" s="5">
        <v>1</v>
      </c>
      <c r="I1838" s="182" t="str">
        <v>CPF 1781</v>
      </c>
      <c r="J1838" s="2" t="str">
        <v>Nome 1781</v>
      </c>
      <c r="K1838" s="8" t="str">
        <v>Tel 1781</v>
      </c>
      <c r="L1838" s="8" t="str">
        <v>Cep 1781</v>
      </c>
      <c r="M1838" s="8" t="str">
        <v>Rua 1781</v>
      </c>
      <c r="N1838" s="8" t="str">
        <v>Comp 1781</v>
      </c>
      <c r="O1838" s="8" t="str">
        <v>Máquina de cortar cabelo dragão</v>
      </c>
      <c r="P1838" s="8" t="str">
        <v>HG-2FNR-01A9</v>
      </c>
      <c r="Q1838" s="4">
        <v>45853</v>
      </c>
      <c r="R1838" s="109">
        <v>21.99</v>
      </c>
      <c r="S1838" s="11">
        <f ca="1"/>
        <v>21.99</v>
      </c>
      <c r="T1838" s="28">
        <f ca="1"/>
        <v>2.6387999999999998</v>
      </c>
      <c r="U1838" s="11">
        <f ca="1"/>
        <v>19.350000000000001</v>
      </c>
      <c r="V1838" s="11">
        <v>10.17</v>
      </c>
      <c r="W1838" s="11">
        <f ca="1"/>
        <v>0</v>
      </c>
      <c r="X1838" s="11">
        <f ca="1"/>
        <v>0.39877104377104378</v>
      </c>
      <c r="Y1838" s="11">
        <v>0</v>
      </c>
      <c r="Z1838" s="11">
        <f ca="1"/>
        <v>8.7812289562289578</v>
      </c>
      <c r="AA1838" s="11">
        <f ca="1"/>
        <v>4.3906144781144789</v>
      </c>
      <c r="AB1838" s="4">
        <f ca="1"/>
        <v>45860</v>
      </c>
      <c r="AC1838" s="4">
        <v>45860</v>
      </c>
      <c r="AD1838" s="9">
        <v>45870</v>
      </c>
      <c r="AE1838" s="9">
        <v>45873</v>
      </c>
      <c r="AF1838" s="4" t="str">
        <f t="shared" ca="1" si="133"/>
        <v>2025 07</v>
      </c>
      <c r="AG1838" s="8" t="str" cm="1">
        <f t="array" ref="AG1838">IFERROR(_xlfn.IFS('Banco de Dados'!#REF!="AG. COMPRA","Em processamento",'Banco de Dados'!#REF!="AG. RASTREIO","Em processamento",'Banco de Dados'!$AE1838&lt;&gt;"-","Faturado",'Banco de Dados'!$AD1838&lt;&gt;"-","Aguardando Pix",'Banco de Dados'!$AC1838&lt;&gt;"-","Pendente"),"Aguardando Liberação")</f>
        <v>Aguardando Liberação</v>
      </c>
      <c r="AH1838" s="5" t="str">
        <f>IF('Banco de Dados'!$F1838="-",_xlfn.CONCAT(PROPER(TEXT(AK1838,"aaaa"))," ",PROPER(TEXT(AK1838,"mm"))),_xlfn.CONCAT(PROPER(TEXT(E1838,"aaaa"))," ",PROPER(TEXT(E1838,"mm"))))</f>
        <v>2025 06</v>
      </c>
      <c r="AI1838" s="9" t="str">
        <f ca="1">IF('Banco de Dados'!$AK1838&lt;&gt;"-","REEMBOLSO",IFERROR(_xlfn.XLOOKUP(G1838,Follow[CODRASTREIO],Follow[STATUS]),"-"))</f>
        <v>ENTREGUE</v>
      </c>
      <c r="AJ1838" s="9">
        <f ca="1">IF('Banco de Dados'!$AI1838="ENTREGUE",_xlfn.XLOOKUP('Banco de Dados'!$G1838,Follow[CODRASTREIO],Follow[DATAATUALIZAÇÃO]),"-")</f>
        <v>45852</v>
      </c>
      <c r="AK1838" s="132" t="str">
        <f ca="1"/>
        <v>-</v>
      </c>
      <c r="AL1838" s="35"/>
      <c r="AM1838" s="109" cm="1">
        <f t="array" aca="1" ref="AM1838" ca="1">IF('Banco de Dados'!$AK1838&lt;&gt;"-",_xlfn.IFS('Banco de Dados'!$A1838="bv",IF('Banco de Dados'!$E1838&lt;45641,ROUND(SUM('Banco de Dados'!$R1838*_xlfn.XLOOKUP('Banco de Dados'!$P1838,Sku!B:B,Sku!#REF!)*20%),2),ROUND(SUM('Banco de Dados'!$R1838*_xlfn.XLOOKUP('Banco de Dados'!$P1838,Sku!B:B,Sku!H:H)*20%),2)),'Banco de Dados'!$A1838="GO",ROUND(_xlfn.XLOOKUP('Banco de Dados'!$P1838,Sku!C:C,Sku!H:H),2),'Banco de Dados'!$A1838="MEI",ROUND(_xlfn.XLOOKUP('Banco de Dados'!$P1838,Sku!D:D,Sku!H:H),2)),0)</f>
        <v>0</v>
      </c>
      <c r="AN1838" s="109">
        <f ca="1">IF('Banco de Dados'!$AK1838&lt;&gt;"-",IF('Banco de Dados'!$F1838&lt;&gt;"-",_xlfn.XLOOKUP(IFERROR(IFERROR(IFERROR(VALUE(SUBSTITUTE(MID(_xlfn.TEXTAFTER('Banco de Dados'!$F1838,"Data do Pedido:
",1),1,10),"-","/")),VALUE(SUBSTITUTE(MID(_xlfn.TEXTAFTER('Banco de Dados'!$F1838,"Order date:
",1),1,10),"-","/"))),VALUE(SUBSTITUTE(MID(_xlfn.TEXTAFTER('Banco de Dados'!$F1838,"Fecha de pedido:
",1),1,10),"-","/"))),"-"),SMS!A:A,SMS!K:K),0),0)</f>
        <v>0</v>
      </c>
      <c r="AO1838" s="109">
        <f ca="1">IF('Banco de Dados'!$AK1838&lt;&gt;"-",IF('Banco de Dados'!$F1838&lt;&gt;"-",IFERROR(_xlfn.XLOOKUP(_xlfn.CONCAT('Banco de Dados'!$A1838,IFERROR(IFERROR(VALUE(SUBSTITUTE(MID(_xlfn.TEXTAFTER('Banco de Dados'!$F1838,"Data do Pedido:
",1),1,10),"-","/")),VALUE(SUBSTITUTE(MID(_xlfn.TEXTAFTER('Banco de Dados'!$F1838,"Order date:
",1),1,10),"-","/"))),0)),ProxyDD[Chave],ProxyDD[Valor por pedido]),PROXY!$P$2),0),0)</f>
        <v>0</v>
      </c>
      <c r="AP1838" s="28">
        <f ca="1">IF('Banco de Dados'!$AK1838&lt;&gt;"-",IF('Banco de Dados'!$AL1838="NÃO",IFERROR(VALUE(SUBSTITUTE(_xlfn.TEXTAFTER('Banco de Dados'!$F1838,"BRL ",1),".",",")),0),0),0)</f>
        <v>0</v>
      </c>
      <c r="AQ1838" s="28">
        <f ca="1">SUM('Banco de Dados'!$AM1838:$AP1838)</f>
        <v>0</v>
      </c>
      <c r="AR1838" s="8"/>
      <c r="AS1838" s="8"/>
      <c r="AT1838"/>
      <c r="AY1838" s="8"/>
    </row>
    <row r="1839" spans="1:51">
      <c r="A1839" s="5" t="str">
        <v>BV</v>
      </c>
      <c r="B1839" s="5" t="str">
        <f ca="1"/>
        <v>BV45835</v>
      </c>
      <c r="C1839" s="8" t="str">
        <v>Pedido 1825</v>
      </c>
      <c r="D1839" s="187">
        <v>45832</v>
      </c>
      <c r="E1839" s="9">
        <v>45835</v>
      </c>
      <c r="F1839" s="2" t="str">
        <v>PedidoF1720</v>
      </c>
      <c r="G1839" s="2" t="str">
        <v>CódRastreio1718</v>
      </c>
      <c r="H1839" s="5">
        <v>1</v>
      </c>
      <c r="I1839" s="182" t="str">
        <v>CPF 1782</v>
      </c>
      <c r="J1839" s="2" t="str">
        <v>Nome 1782</v>
      </c>
      <c r="K1839" s="8" t="str">
        <v>Tel 1782</v>
      </c>
      <c r="L1839" s="8" t="str">
        <v>Cep 1782</v>
      </c>
      <c r="M1839" s="8" t="str">
        <v>Rua 1782</v>
      </c>
      <c r="N1839" s="8" t="str">
        <v>Comp 1782</v>
      </c>
      <c r="O1839" s="8" t="str">
        <v>Máquina de cortar cabelo dragão</v>
      </c>
      <c r="P1839" s="8" t="str">
        <v>NQ-IMR8-W6Q4</v>
      </c>
      <c r="Q1839" s="4">
        <v>45864</v>
      </c>
      <c r="R1839" s="109">
        <v>21.19</v>
      </c>
      <c r="S1839" s="11">
        <f ca="1"/>
        <v>21.19</v>
      </c>
      <c r="T1839" s="28">
        <f ca="1"/>
        <v>2.5428000000000002</v>
      </c>
      <c r="U1839" s="11">
        <f ca="1"/>
        <v>18.649999999999999</v>
      </c>
      <c r="V1839" s="11">
        <v>10.17</v>
      </c>
      <c r="W1839" s="11">
        <f ca="1"/>
        <v>0</v>
      </c>
      <c r="X1839" s="11">
        <f ca="1"/>
        <v>0.39877104377104378</v>
      </c>
      <c r="Y1839" s="11">
        <v>0</v>
      </c>
      <c r="Z1839" s="11">
        <f ca="1"/>
        <v>8.081228956228955</v>
      </c>
      <c r="AA1839" s="11">
        <f ca="1"/>
        <v>4.0406144781144775</v>
      </c>
      <c r="AB1839" s="4">
        <f ca="1"/>
        <v>45871</v>
      </c>
      <c r="AC1839" s="4">
        <v>45871</v>
      </c>
      <c r="AD1839" s="9">
        <v>45887</v>
      </c>
      <c r="AE1839" s="9">
        <v>45888</v>
      </c>
      <c r="AF1839" s="4" t="str">
        <f t="shared" ca="1" si="133"/>
        <v>2025 08</v>
      </c>
      <c r="AG1839" s="8" t="str" cm="1">
        <f t="array" ref="AG1839">IFERROR(_xlfn.IFS('Banco de Dados'!#REF!="AG. COMPRA","Em processamento",'Banco de Dados'!#REF!="AG. RASTREIO","Em processamento",'Banco de Dados'!$AE1839&lt;&gt;"-","Faturado",'Banco de Dados'!$AD1839&lt;&gt;"-","Aguardando Pix",'Banco de Dados'!$AC1839&lt;&gt;"-","Pendente"),"Aguardando Liberação")</f>
        <v>Aguardando Liberação</v>
      </c>
      <c r="AH1839" s="5" t="str">
        <f>IF('Banco de Dados'!$F1839="-",_xlfn.CONCAT(PROPER(TEXT(AK1839,"aaaa"))," ",PROPER(TEXT(AK1839,"mm"))),_xlfn.CONCAT(PROPER(TEXT(E1839,"aaaa"))," ",PROPER(TEXT(E1839,"mm"))))</f>
        <v>2025 06</v>
      </c>
      <c r="AI1839" s="9" t="str">
        <f ca="1">IF('Banco de Dados'!$AK1839&lt;&gt;"-","REEMBOLSO",IFERROR(_xlfn.XLOOKUP(G1839,Follow[CODRASTREIO],Follow[STATUS]),"-"))</f>
        <v>ENTREGUE</v>
      </c>
      <c r="AJ1839" s="9">
        <f ca="1">IF('Banco de Dados'!$AI1839="ENTREGUE",_xlfn.XLOOKUP('Banco de Dados'!$G1839,Follow[CODRASTREIO],Follow[DATAATUALIZAÇÃO]),"-")</f>
        <v>45856</v>
      </c>
      <c r="AK1839" s="132" t="str">
        <f ca="1"/>
        <v>-</v>
      </c>
      <c r="AL1839" s="35"/>
      <c r="AM1839" s="109" cm="1">
        <f t="array" aca="1" ref="AM1839" ca="1">IF('Banco de Dados'!$AK1839&lt;&gt;"-",_xlfn.IFS('Banco de Dados'!$A1839="bv",IF('Banco de Dados'!$E1839&lt;45641,ROUND(SUM('Banco de Dados'!$R1839*_xlfn.XLOOKUP('Banco de Dados'!$P1839,Sku!B:B,Sku!#REF!)*20%),2),ROUND(SUM('Banco de Dados'!$R1839*_xlfn.XLOOKUP('Banco de Dados'!$P1839,Sku!B:B,Sku!H:H)*20%),2)),'Banco de Dados'!$A1839="GO",ROUND(_xlfn.XLOOKUP('Banco de Dados'!$P1839,Sku!C:C,Sku!H:H),2),'Banco de Dados'!$A1839="MEI",ROUND(_xlfn.XLOOKUP('Banco de Dados'!$P1839,Sku!D:D,Sku!H:H),2)),0)</f>
        <v>0</v>
      </c>
      <c r="AN1839" s="109">
        <f ca="1">IF('Banco de Dados'!$AK1839&lt;&gt;"-",IF('Banco de Dados'!$F1839&lt;&gt;"-",_xlfn.XLOOKUP(IFERROR(IFERROR(IFERROR(VALUE(SUBSTITUTE(MID(_xlfn.TEXTAFTER('Banco de Dados'!$F1839,"Data do Pedido:
",1),1,10),"-","/")),VALUE(SUBSTITUTE(MID(_xlfn.TEXTAFTER('Banco de Dados'!$F1839,"Order date:
",1),1,10),"-","/"))),VALUE(SUBSTITUTE(MID(_xlfn.TEXTAFTER('Banco de Dados'!$F1839,"Fecha de pedido:
",1),1,10),"-","/"))),"-"),SMS!A:A,SMS!K:K),0),0)</f>
        <v>0</v>
      </c>
      <c r="AO1839" s="109">
        <f ca="1">IF('Banco de Dados'!$AK1839&lt;&gt;"-",IF('Banco de Dados'!$F1839&lt;&gt;"-",IFERROR(_xlfn.XLOOKUP(_xlfn.CONCAT('Banco de Dados'!$A1839,IFERROR(IFERROR(VALUE(SUBSTITUTE(MID(_xlfn.TEXTAFTER('Banco de Dados'!$F1839,"Data do Pedido:
",1),1,10),"-","/")),VALUE(SUBSTITUTE(MID(_xlfn.TEXTAFTER('Banco de Dados'!$F1839,"Order date:
",1),1,10),"-","/"))),0)),ProxyDD[Chave],ProxyDD[Valor por pedido]),PROXY!$P$2),0),0)</f>
        <v>0</v>
      </c>
      <c r="AP1839" s="28">
        <f ca="1">IF('Banco de Dados'!$AK1839&lt;&gt;"-",IF('Banco de Dados'!$AL1839="NÃO",IFERROR(VALUE(SUBSTITUTE(_xlfn.TEXTAFTER('Banco de Dados'!$F1839,"BRL ",1),".",",")),0),0),0)</f>
        <v>0</v>
      </c>
      <c r="AQ1839" s="28">
        <f ca="1">SUM('Banco de Dados'!$AM1839:$AP1839)</f>
        <v>0</v>
      </c>
      <c r="AR1839" s="8"/>
      <c r="AS1839" s="8"/>
      <c r="AT1839"/>
      <c r="AY1839" s="8"/>
    </row>
    <row r="1840" spans="1:51">
      <c r="A1840" s="5" t="str">
        <v>BV</v>
      </c>
      <c r="B1840" s="5" t="str">
        <f ca="1"/>
        <v>BV45835</v>
      </c>
      <c r="C1840" s="8" t="str">
        <v>Pedido 1826</v>
      </c>
      <c r="D1840" s="187">
        <v>45832</v>
      </c>
      <c r="E1840" s="9">
        <v>45835</v>
      </c>
      <c r="F1840" s="2" t="str">
        <v>PedidoF1721</v>
      </c>
      <c r="G1840" s="2" t="str">
        <v>CódRastreio1719</v>
      </c>
      <c r="H1840" s="5">
        <v>1</v>
      </c>
      <c r="I1840" s="182" t="str">
        <v>CPF 1783</v>
      </c>
      <c r="J1840" s="2" t="str">
        <v>Nome 1783</v>
      </c>
      <c r="K1840" s="8" t="str">
        <v>Tel 1783</v>
      </c>
      <c r="L1840" s="8" t="str">
        <v>Cep 1783</v>
      </c>
      <c r="M1840" s="8" t="str">
        <v>Rua 1783</v>
      </c>
      <c r="N1840" s="8" t="str">
        <v>Comp 1783</v>
      </c>
      <c r="O1840" s="8" t="str">
        <v>Máquina de cortar cabelo dragão</v>
      </c>
      <c r="P1840" s="8" t="str">
        <v>NQ-IMR8-W6Q4</v>
      </c>
      <c r="Q1840" s="4">
        <v>45857</v>
      </c>
      <c r="R1840" s="109">
        <v>21.19</v>
      </c>
      <c r="S1840" s="11">
        <f ca="1"/>
        <v>21.19</v>
      </c>
      <c r="T1840" s="28">
        <f ca="1"/>
        <v>2.5428000000000002</v>
      </c>
      <c r="U1840" s="11">
        <f ca="1"/>
        <v>18.649999999999999</v>
      </c>
      <c r="V1840" s="11">
        <v>10.53</v>
      </c>
      <c r="W1840" s="11">
        <f ca="1"/>
        <v>0</v>
      </c>
      <c r="X1840" s="11">
        <f ca="1"/>
        <v>0.39877104377104378</v>
      </c>
      <c r="Y1840" s="11">
        <v>0</v>
      </c>
      <c r="Z1840" s="11">
        <f ca="1"/>
        <v>7.7212289562289556</v>
      </c>
      <c r="AA1840" s="11">
        <f ca="1"/>
        <v>3.8606144781144778</v>
      </c>
      <c r="AB1840" s="4">
        <f ca="1"/>
        <v>45864</v>
      </c>
      <c r="AC1840" s="4">
        <v>45864</v>
      </c>
      <c r="AD1840" s="9">
        <v>45870</v>
      </c>
      <c r="AE1840" s="9">
        <v>45873</v>
      </c>
      <c r="AF1840" s="4" t="str">
        <f t="shared" ca="1" si="133"/>
        <v>2025 07</v>
      </c>
      <c r="AG1840" s="8" t="str" cm="1">
        <f t="array" ref="AG1840">IFERROR(_xlfn.IFS('Banco de Dados'!#REF!="AG. COMPRA","Em processamento",'Banco de Dados'!#REF!="AG. RASTREIO","Em processamento",'Banco de Dados'!$AE1840&lt;&gt;"-","Faturado",'Banco de Dados'!$AD1840&lt;&gt;"-","Aguardando Pix",'Banco de Dados'!$AC1840&lt;&gt;"-","Pendente"),"Aguardando Liberação")</f>
        <v>Aguardando Liberação</v>
      </c>
      <c r="AH1840" s="5" t="str">
        <f>IF('Banco de Dados'!$F1840="-",_xlfn.CONCAT(PROPER(TEXT(AK1840,"aaaa"))," ",PROPER(TEXT(AK1840,"mm"))),_xlfn.CONCAT(PROPER(TEXT(E1840,"aaaa"))," ",PROPER(TEXT(E1840,"mm"))))</f>
        <v>2025 06</v>
      </c>
      <c r="AI1840" s="9" t="str">
        <f ca="1">IF('Banco de Dados'!$AK1840&lt;&gt;"-","REEMBOLSO",IFERROR(_xlfn.XLOOKUP(G1840,Follow[CODRASTREIO],Follow[STATUS]),"-"))</f>
        <v>ENTREGUE</v>
      </c>
      <c r="AJ1840" s="9">
        <f ca="1">IF('Banco de Dados'!$AI1840="ENTREGUE",_xlfn.XLOOKUP('Banco de Dados'!$G1840,Follow[CODRASTREIO],Follow[DATAATUALIZAÇÃO]),"-")</f>
        <v>45850</v>
      </c>
      <c r="AK1840" s="132" t="str">
        <f ca="1"/>
        <v>-</v>
      </c>
      <c r="AL1840" s="35"/>
      <c r="AM1840" s="109" cm="1">
        <f t="array" aca="1" ref="AM1840" ca="1">IF('Banco de Dados'!$AK1840&lt;&gt;"-",_xlfn.IFS('Banco de Dados'!$A1840="bv",IF('Banco de Dados'!$E1840&lt;45641,ROUND(SUM('Banco de Dados'!$R1840*_xlfn.XLOOKUP('Banco de Dados'!$P1840,Sku!B:B,Sku!#REF!)*20%),2),ROUND(SUM('Banco de Dados'!$R1840*_xlfn.XLOOKUP('Banco de Dados'!$P1840,Sku!B:B,Sku!H:H)*20%),2)),'Banco de Dados'!$A1840="GO",ROUND(_xlfn.XLOOKUP('Banco de Dados'!$P1840,Sku!C:C,Sku!H:H),2),'Banco de Dados'!$A1840="MEI",ROUND(_xlfn.XLOOKUP('Banco de Dados'!$P1840,Sku!D:D,Sku!H:H),2)),0)</f>
        <v>0</v>
      </c>
      <c r="AN1840" s="109">
        <f ca="1">IF('Banco de Dados'!$AK1840&lt;&gt;"-",IF('Banco de Dados'!$F1840&lt;&gt;"-",_xlfn.XLOOKUP(IFERROR(IFERROR(IFERROR(VALUE(SUBSTITUTE(MID(_xlfn.TEXTAFTER('Banco de Dados'!$F1840,"Data do Pedido:
",1),1,10),"-","/")),VALUE(SUBSTITUTE(MID(_xlfn.TEXTAFTER('Banco de Dados'!$F1840,"Order date:
",1),1,10),"-","/"))),VALUE(SUBSTITUTE(MID(_xlfn.TEXTAFTER('Banco de Dados'!$F1840,"Fecha de pedido:
",1),1,10),"-","/"))),"-"),SMS!A:A,SMS!K:K),0),0)</f>
        <v>0</v>
      </c>
      <c r="AO1840" s="109">
        <f ca="1">IF('Banco de Dados'!$AK1840&lt;&gt;"-",IF('Banco de Dados'!$F1840&lt;&gt;"-",IFERROR(_xlfn.XLOOKUP(_xlfn.CONCAT('Banco de Dados'!$A1840,IFERROR(IFERROR(VALUE(SUBSTITUTE(MID(_xlfn.TEXTAFTER('Banco de Dados'!$F1840,"Data do Pedido:
",1),1,10),"-","/")),VALUE(SUBSTITUTE(MID(_xlfn.TEXTAFTER('Banco de Dados'!$F1840,"Order date:
",1),1,10),"-","/"))),0)),ProxyDD[Chave],ProxyDD[Valor por pedido]),PROXY!$P$2),0),0)</f>
        <v>0</v>
      </c>
      <c r="AP1840" s="28">
        <f ca="1">IF('Banco de Dados'!$AK1840&lt;&gt;"-",IF('Banco de Dados'!$AL1840="NÃO",IFERROR(VALUE(SUBSTITUTE(_xlfn.TEXTAFTER('Banco de Dados'!$F1840,"BRL ",1),".",",")),0),0),0)</f>
        <v>0</v>
      </c>
      <c r="AQ1840" s="28">
        <f ca="1">SUM('Banco de Dados'!$AM1840:$AP1840)</f>
        <v>0</v>
      </c>
      <c r="AR1840" s="8"/>
      <c r="AS1840" s="8"/>
      <c r="AT1840"/>
      <c r="AY1840" s="8"/>
    </row>
    <row r="1841" spans="1:51">
      <c r="A1841" s="5" t="str">
        <v>BV</v>
      </c>
      <c r="B1841" s="5" t="str">
        <f ca="1"/>
        <v>BV-</v>
      </c>
      <c r="C1841" s="8" t="str">
        <v>Pedido 1827</v>
      </c>
      <c r="D1841" s="187">
        <v>45832</v>
      </c>
      <c r="E1841" s="9" t="str">
        <v>-</v>
      </c>
      <c r="F1841" s="8" t="str">
        <v>-</v>
      </c>
      <c r="G1841" s="2" t="str">
        <v>-</v>
      </c>
      <c r="H1841" s="5">
        <v>1</v>
      </c>
      <c r="I1841" s="182" t="str">
        <v>CPF 1784</v>
      </c>
      <c r="J1841" s="2" t="str">
        <v>Nome 1784</v>
      </c>
      <c r="K1841" s="8" t="str">
        <v>Tel 1784</v>
      </c>
      <c r="L1841" s="8" t="str">
        <v>Cep 1784</v>
      </c>
      <c r="M1841" s="8" t="str">
        <v>Rua 1784</v>
      </c>
      <c r="N1841" s="8" t="str">
        <v>Comp 1784</v>
      </c>
      <c r="O1841" s="8" t="str">
        <v>Máquina de cortar cabelo dragão</v>
      </c>
      <c r="P1841" s="8" t="str">
        <v>HG-2FNR-01A9</v>
      </c>
      <c r="Q1841" s="4">
        <v>45853</v>
      </c>
      <c r="R1841" s="109">
        <v>21.99</v>
      </c>
      <c r="S1841" s="11">
        <f ca="1"/>
        <v>0</v>
      </c>
      <c r="T1841" s="28">
        <f ca="1"/>
        <v>0</v>
      </c>
      <c r="U1841" s="11">
        <f ca="1"/>
        <v>0</v>
      </c>
      <c r="V1841" s="11">
        <v>0</v>
      </c>
      <c r="W1841" s="11">
        <f ca="1"/>
        <v>0</v>
      </c>
      <c r="X1841" s="11">
        <f ca="1"/>
        <v>0</v>
      </c>
      <c r="Y1841" s="11">
        <v>0</v>
      </c>
      <c r="Z1841" s="11">
        <f ca="1"/>
        <v>0</v>
      </c>
      <c r="AA1841" s="11">
        <f ca="1"/>
        <v>0</v>
      </c>
      <c r="AB1841" s="4">
        <f ca="1"/>
        <v>45860</v>
      </c>
      <c r="AC1841" s="4">
        <v>45860</v>
      </c>
      <c r="AD1841" s="9">
        <v>45870</v>
      </c>
      <c r="AE1841" s="9">
        <v>45873</v>
      </c>
      <c r="AF1841" s="4" t="str">
        <f t="shared" ca="1" si="133"/>
        <v>2025 07</v>
      </c>
      <c r="AG1841" s="8" t="str" cm="1">
        <f t="array" ref="AG1841">IFERROR(_xlfn.IFS('Banco de Dados'!#REF!="AG. COMPRA","Em processamento",'Banco de Dados'!#REF!="AG. RASTREIO","Em processamento",'Banco de Dados'!$AE1841&lt;&gt;"-","Faturado",'Banco de Dados'!$AD1841&lt;&gt;"-","Aguardando Pix",'Banco de Dados'!$AC1841&lt;&gt;"-","Pendente"),"Aguardando Liberação")</f>
        <v>Aguardando Liberação</v>
      </c>
      <c r="AH1841" s="5" t="str">
        <f ca="1">IF('Banco de Dados'!$F1841="-",_xlfn.CONCAT(PROPER(TEXT(AK1841,"aaaa"))," ",PROPER(TEXT(AK1841,"mm"))),_xlfn.CONCAT(PROPER(TEXT(E1841,"aaaa"))," ",PROPER(TEXT(E1841,"mm"))))</f>
        <v>2025 07</v>
      </c>
      <c r="AI1841" s="9" t="str">
        <f ca="1">IF('Banco de Dados'!$AK1841&lt;&gt;"-","REEMBOLSO",IFERROR(_xlfn.XLOOKUP(G1841,Follow[CODRASTREIO],Follow[STATUS]),"-"))</f>
        <v>REEMBOLSO</v>
      </c>
      <c r="AJ1841" s="9" t="str">
        <f ca="1">IF('Banco de Dados'!$AI1841="ENTREGUE",_xlfn.XLOOKUP('Banco de Dados'!$G1841,Follow[CODRASTREIO],Follow[DATAATUALIZAÇÃO]),"-")</f>
        <v>-</v>
      </c>
      <c r="AK1841" s="132">
        <f ca="1"/>
        <v>45839</v>
      </c>
      <c r="AL1841" s="35"/>
      <c r="AM1841" s="109" cm="1">
        <f t="array" aca="1" ref="AM1841" ca="1">IF('Banco de Dados'!$AK1841&lt;&gt;"-",_xlfn.IFS('Banco de Dados'!$A1841="bv",IF('Banco de Dados'!$E1841&lt;45641,ROUND(SUM('Banco de Dados'!$R1841*_xlfn.XLOOKUP('Banco de Dados'!$P1841,Sku!B:B,Sku!#REF!)*20%),2),ROUND(SUM('Banco de Dados'!$R1841*_xlfn.XLOOKUP('Banco de Dados'!$P1841,Sku!B:B,Sku!H:H)*20%),2)),'Banco de Dados'!$A1841="GO",ROUND(_xlfn.XLOOKUP('Banco de Dados'!$P1841,Sku!C:C,Sku!H:H),2),'Banco de Dados'!$A1841="MEI",ROUND(_xlfn.XLOOKUP('Banco de Dados'!$P1841,Sku!D:D,Sku!H:H),2)),0)</f>
        <v>0.56999999999999995</v>
      </c>
      <c r="AN1841" s="109">
        <f ca="1">IF('Banco de Dados'!$AK1841&lt;&gt;"-",IF('Banco de Dados'!$F1841&lt;&gt;"-",_xlfn.XLOOKUP(IFERROR(IFERROR(IFERROR(VALUE(SUBSTITUTE(MID(_xlfn.TEXTAFTER('Banco de Dados'!$F1841,"Data do Pedido:
",1),1,10),"-","/")),VALUE(SUBSTITUTE(MID(_xlfn.TEXTAFTER('Banco de Dados'!$F1841,"Order date:
",1),1,10),"-","/"))),VALUE(SUBSTITUTE(MID(_xlfn.TEXTAFTER('Banco de Dados'!$F1841,"Fecha de pedido:
",1),1,10),"-","/"))),"-"),SMS!A:A,SMS!K:K),0),0)</f>
        <v>0</v>
      </c>
      <c r="AO1841" s="109">
        <f ca="1">IF('Banco de Dados'!$AK1841&lt;&gt;"-",IF('Banco de Dados'!$F1841&lt;&gt;"-",IFERROR(_xlfn.XLOOKUP(_xlfn.CONCAT('Banco de Dados'!$A1841,IFERROR(IFERROR(VALUE(SUBSTITUTE(MID(_xlfn.TEXTAFTER('Banco de Dados'!$F1841,"Data do Pedido:
",1),1,10),"-","/")),VALUE(SUBSTITUTE(MID(_xlfn.TEXTAFTER('Banco de Dados'!$F1841,"Order date:
",1),1,10),"-","/"))),0)),ProxyDD[Chave],ProxyDD[Valor por pedido]),PROXY!$P$2),0),0)</f>
        <v>0</v>
      </c>
      <c r="AP1841" s="28">
        <f ca="1">IF('Banco de Dados'!$AK1841&lt;&gt;"-",IF('Banco de Dados'!$AL1841="NÃO",IFERROR(VALUE(SUBSTITUTE(_xlfn.TEXTAFTER('Banco de Dados'!$F1841,"BRL ",1),".",",")),0),0),0)</f>
        <v>0</v>
      </c>
      <c r="AQ1841" s="28">
        <f ca="1">SUM('Banco de Dados'!$AM1841:$AP1841)</f>
        <v>0.56999999999999995</v>
      </c>
      <c r="AR1841" s="8"/>
      <c r="AS1841" s="8"/>
      <c r="AT1841"/>
      <c r="AY1841" s="8"/>
    </row>
    <row r="1842" spans="1:51">
      <c r="A1842" s="5" t="str">
        <v>BV</v>
      </c>
      <c r="B1842" s="5" t="str">
        <f ca="1"/>
        <v>BV45835</v>
      </c>
      <c r="C1842" s="8" t="str">
        <v>Pedido 1828</v>
      </c>
      <c r="D1842" s="187">
        <v>45832</v>
      </c>
      <c r="E1842" s="9">
        <v>45835</v>
      </c>
      <c r="F1842" s="2" t="str">
        <v>PedidoF1722</v>
      </c>
      <c r="G1842" s="2" t="str">
        <v>CódRastreio1720</v>
      </c>
      <c r="H1842" s="5">
        <v>1</v>
      </c>
      <c r="I1842" s="182" t="str">
        <v>CPF 1785</v>
      </c>
      <c r="J1842" s="2" t="str">
        <v>Nome 1785</v>
      </c>
      <c r="K1842" s="8" t="str">
        <v>Tel 1785</v>
      </c>
      <c r="L1842" s="8" t="str">
        <v>Cep 1785</v>
      </c>
      <c r="M1842" s="8" t="str">
        <v>Rua 1785</v>
      </c>
      <c r="N1842" s="8" t="str">
        <v>Comp 1785</v>
      </c>
      <c r="O1842" s="8" t="str">
        <v>Máquina de cortar cabelo dragão</v>
      </c>
      <c r="P1842" s="8" t="str">
        <v>HG-2FNR-01A9</v>
      </c>
      <c r="Q1842" s="4">
        <v>45857</v>
      </c>
      <c r="R1842" s="109">
        <v>21.99</v>
      </c>
      <c r="S1842" s="11">
        <f ca="1"/>
        <v>21.99</v>
      </c>
      <c r="T1842" s="28">
        <f ca="1"/>
        <v>2.6387999999999998</v>
      </c>
      <c r="U1842" s="11">
        <f ca="1"/>
        <v>19.350000000000001</v>
      </c>
      <c r="V1842" s="11">
        <v>10.17</v>
      </c>
      <c r="W1842" s="11">
        <f ca="1"/>
        <v>0</v>
      </c>
      <c r="X1842" s="11">
        <f ca="1"/>
        <v>0.39877104377104378</v>
      </c>
      <c r="Y1842" s="11">
        <v>0</v>
      </c>
      <c r="Z1842" s="11">
        <f ca="1"/>
        <v>8.7812289562289578</v>
      </c>
      <c r="AA1842" s="11">
        <f ca="1"/>
        <v>4.3906144781144789</v>
      </c>
      <c r="AB1842" s="4">
        <f ca="1"/>
        <v>45864</v>
      </c>
      <c r="AC1842" s="4">
        <v>45864</v>
      </c>
      <c r="AD1842" s="9">
        <v>45870</v>
      </c>
      <c r="AE1842" s="9">
        <v>45873</v>
      </c>
      <c r="AF1842" s="4" t="str">
        <f t="shared" ca="1" si="133"/>
        <v>2025 07</v>
      </c>
      <c r="AG1842" s="8" t="str" cm="1">
        <f t="array" ref="AG1842">IFERROR(_xlfn.IFS('Banco de Dados'!#REF!="AG. COMPRA","Em processamento",'Banco de Dados'!#REF!="AG. RASTREIO","Em processamento",'Banco de Dados'!$AE1842&lt;&gt;"-","Faturado",'Banco de Dados'!$AD1842&lt;&gt;"-","Aguardando Pix",'Banco de Dados'!$AC1842&lt;&gt;"-","Pendente"),"Aguardando Liberação")</f>
        <v>Aguardando Liberação</v>
      </c>
      <c r="AH1842" s="5" t="str">
        <f>IF('Banco de Dados'!$F1842="-",_xlfn.CONCAT(PROPER(TEXT(AK1842,"aaaa"))," ",PROPER(TEXT(AK1842,"mm"))),_xlfn.CONCAT(PROPER(TEXT(E1842,"aaaa"))," ",PROPER(TEXT(E1842,"mm"))))</f>
        <v>2025 06</v>
      </c>
      <c r="AI1842" s="9" t="str">
        <f ca="1">IF('Banco de Dados'!$AK1842&lt;&gt;"-","REEMBOLSO",IFERROR(_xlfn.XLOOKUP(G1842,Follow[CODRASTREIO],Follow[STATUS]),"-"))</f>
        <v>ENTREGUE</v>
      </c>
      <c r="AJ1842" s="9">
        <f ca="1">IF('Banco de Dados'!$AI1842="ENTREGUE",_xlfn.XLOOKUP('Banco de Dados'!$G1842,Follow[CODRASTREIO],Follow[DATAATUALIZAÇÃO]),"-")</f>
        <v>45853</v>
      </c>
      <c r="AK1842" s="132" t="str">
        <f ca="1"/>
        <v>-</v>
      </c>
      <c r="AL1842" s="35"/>
      <c r="AM1842" s="109" cm="1">
        <f t="array" aca="1" ref="AM1842" ca="1">IF('Banco de Dados'!$AK1842&lt;&gt;"-",_xlfn.IFS('Banco de Dados'!$A1842="bv",IF('Banco de Dados'!$E1842&lt;45641,ROUND(SUM('Banco de Dados'!$R1842*_xlfn.XLOOKUP('Banco de Dados'!$P1842,Sku!B:B,Sku!#REF!)*20%),2),ROUND(SUM('Banco de Dados'!$R1842*_xlfn.XLOOKUP('Banco de Dados'!$P1842,Sku!B:B,Sku!H:H)*20%),2)),'Banco de Dados'!$A1842="GO",ROUND(_xlfn.XLOOKUP('Banco de Dados'!$P1842,Sku!C:C,Sku!H:H),2),'Banco de Dados'!$A1842="MEI",ROUND(_xlfn.XLOOKUP('Banco de Dados'!$P1842,Sku!D:D,Sku!H:H),2)),0)</f>
        <v>0</v>
      </c>
      <c r="AN1842" s="109">
        <f ca="1">IF('Banco de Dados'!$AK1842&lt;&gt;"-",IF('Banco de Dados'!$F1842&lt;&gt;"-",_xlfn.XLOOKUP(IFERROR(IFERROR(IFERROR(VALUE(SUBSTITUTE(MID(_xlfn.TEXTAFTER('Banco de Dados'!$F1842,"Data do Pedido:
",1),1,10),"-","/")),VALUE(SUBSTITUTE(MID(_xlfn.TEXTAFTER('Banco de Dados'!$F1842,"Order date:
",1),1,10),"-","/"))),VALUE(SUBSTITUTE(MID(_xlfn.TEXTAFTER('Banco de Dados'!$F1842,"Fecha de pedido:
",1),1,10),"-","/"))),"-"),SMS!A:A,SMS!K:K),0),0)</f>
        <v>0</v>
      </c>
      <c r="AO1842" s="109">
        <f ca="1">IF('Banco de Dados'!$AK1842&lt;&gt;"-",IF('Banco de Dados'!$F1842&lt;&gt;"-",IFERROR(_xlfn.XLOOKUP(_xlfn.CONCAT('Banco de Dados'!$A1842,IFERROR(IFERROR(VALUE(SUBSTITUTE(MID(_xlfn.TEXTAFTER('Banco de Dados'!$F1842,"Data do Pedido:
",1),1,10),"-","/")),VALUE(SUBSTITUTE(MID(_xlfn.TEXTAFTER('Banco de Dados'!$F1842,"Order date:
",1),1,10),"-","/"))),0)),ProxyDD[Chave],ProxyDD[Valor por pedido]),PROXY!$P$2),0),0)</f>
        <v>0</v>
      </c>
      <c r="AP1842" s="28">
        <f ca="1">IF('Banco de Dados'!$AK1842&lt;&gt;"-",IF('Banco de Dados'!$AL1842="NÃO",IFERROR(VALUE(SUBSTITUTE(_xlfn.TEXTAFTER('Banco de Dados'!$F1842,"BRL ",1),".",",")),0),0),0)</f>
        <v>0</v>
      </c>
      <c r="AQ1842" s="28">
        <f ca="1">SUM('Banco de Dados'!$AM1842:$AP1842)</f>
        <v>0</v>
      </c>
      <c r="AR1842" s="8"/>
      <c r="AS1842" s="8"/>
      <c r="AT1842"/>
      <c r="AY1842" s="8"/>
    </row>
    <row r="1843" spans="1:51">
      <c r="A1843" s="5" t="str">
        <v>BV</v>
      </c>
      <c r="B1843" s="5" t="str">
        <f ca="1"/>
        <v>BV-</v>
      </c>
      <c r="C1843" s="8" t="str">
        <v>Pedido 1829</v>
      </c>
      <c r="D1843" s="187">
        <v>45832</v>
      </c>
      <c r="E1843" s="9" t="str">
        <v>-</v>
      </c>
      <c r="F1843" s="8" t="str">
        <v>-</v>
      </c>
      <c r="G1843" s="2" t="str">
        <v>-</v>
      </c>
      <c r="H1843" s="5">
        <v>1</v>
      </c>
      <c r="I1843" s="182" t="str">
        <v>CPF 1786</v>
      </c>
      <c r="J1843" s="2" t="str">
        <v>Nome 1786</v>
      </c>
      <c r="K1843" s="8" t="str">
        <v>Tel 1786</v>
      </c>
      <c r="L1843" s="8" t="str">
        <v>Cep 1786</v>
      </c>
      <c r="M1843" s="8" t="str">
        <v>Rua 1786</v>
      </c>
      <c r="N1843" s="8" t="str">
        <v>Comp 1786</v>
      </c>
      <c r="O1843" s="8" t="str">
        <v>Máquina de cortar cabelo dragão</v>
      </c>
      <c r="P1843" s="8" t="str">
        <v>HG-2FNR-01A9</v>
      </c>
      <c r="Q1843" s="4">
        <v>45853</v>
      </c>
      <c r="R1843" s="109">
        <v>21.99</v>
      </c>
      <c r="S1843" s="11">
        <f ca="1"/>
        <v>0</v>
      </c>
      <c r="T1843" s="28">
        <f ca="1"/>
        <v>0</v>
      </c>
      <c r="U1843" s="11">
        <f ca="1"/>
        <v>0</v>
      </c>
      <c r="V1843" s="11">
        <v>0</v>
      </c>
      <c r="W1843" s="11">
        <f ca="1"/>
        <v>0</v>
      </c>
      <c r="X1843" s="11">
        <f ca="1"/>
        <v>0</v>
      </c>
      <c r="Y1843" s="11">
        <v>0</v>
      </c>
      <c r="Z1843" s="11">
        <f ca="1"/>
        <v>0</v>
      </c>
      <c r="AA1843" s="11">
        <f ca="1"/>
        <v>0</v>
      </c>
      <c r="AB1843" s="4">
        <f ca="1"/>
        <v>45860</v>
      </c>
      <c r="AC1843" s="4">
        <v>45860</v>
      </c>
      <c r="AD1843" s="9">
        <v>45870</v>
      </c>
      <c r="AE1843" s="9">
        <v>45873</v>
      </c>
      <c r="AF1843" s="4" t="str">
        <f t="shared" ca="1" si="133"/>
        <v>2025 07</v>
      </c>
      <c r="AG1843" s="8" t="str" cm="1">
        <f t="array" ref="AG1843">IFERROR(_xlfn.IFS('Banco de Dados'!#REF!="AG. COMPRA","Em processamento",'Banco de Dados'!#REF!="AG. RASTREIO","Em processamento",'Banco de Dados'!$AE1843&lt;&gt;"-","Faturado",'Banco de Dados'!$AD1843&lt;&gt;"-","Aguardando Pix",'Banco de Dados'!$AC1843&lt;&gt;"-","Pendente"),"Aguardando Liberação")</f>
        <v>Aguardando Liberação</v>
      </c>
      <c r="AH1843" s="5" t="str">
        <f ca="1">IF('Banco de Dados'!$F1843="-",_xlfn.CONCAT(PROPER(TEXT(AK1843,"aaaa"))," ",PROPER(TEXT(AK1843,"mm"))),_xlfn.CONCAT(PROPER(TEXT(E1843,"aaaa"))," ",PROPER(TEXT(E1843,"mm"))))</f>
        <v>2025 07</v>
      </c>
      <c r="AI1843" s="9" t="str">
        <f ca="1">IF('Banco de Dados'!$AK1843&lt;&gt;"-","REEMBOLSO",IFERROR(_xlfn.XLOOKUP(G1843,Follow[CODRASTREIO],Follow[STATUS]),"-"))</f>
        <v>REEMBOLSO</v>
      </c>
      <c r="AJ1843" s="9" t="str">
        <f ca="1">IF('Banco de Dados'!$AI1843="ENTREGUE",_xlfn.XLOOKUP('Banco de Dados'!$G1843,Follow[CODRASTREIO],Follow[DATAATUALIZAÇÃO]),"-")</f>
        <v>-</v>
      </c>
      <c r="AK1843" s="132">
        <f ca="1"/>
        <v>45839</v>
      </c>
      <c r="AL1843" s="35"/>
      <c r="AM1843" s="109" cm="1">
        <f t="array" aca="1" ref="AM1843" ca="1">IF('Banco de Dados'!$AK1843&lt;&gt;"-",_xlfn.IFS('Banco de Dados'!$A1843="bv",IF('Banco de Dados'!$E1843&lt;45641,ROUND(SUM('Banco de Dados'!$R1843*_xlfn.XLOOKUP('Banco de Dados'!$P1843,Sku!B:B,Sku!#REF!)*20%),2),ROUND(SUM('Banco de Dados'!$R1843*_xlfn.XLOOKUP('Banco de Dados'!$P1843,Sku!B:B,Sku!H:H)*20%),2)),'Banco de Dados'!$A1843="GO",ROUND(_xlfn.XLOOKUP('Banco de Dados'!$P1843,Sku!C:C,Sku!H:H),2),'Banco de Dados'!$A1843="MEI",ROUND(_xlfn.XLOOKUP('Banco de Dados'!$P1843,Sku!D:D,Sku!H:H),2)),0)</f>
        <v>0.56999999999999995</v>
      </c>
      <c r="AN1843" s="109">
        <f ca="1">IF('Banco de Dados'!$AK1843&lt;&gt;"-",IF('Banco de Dados'!$F1843&lt;&gt;"-",_xlfn.XLOOKUP(IFERROR(IFERROR(IFERROR(VALUE(SUBSTITUTE(MID(_xlfn.TEXTAFTER('Banco de Dados'!$F1843,"Data do Pedido:
",1),1,10),"-","/")),VALUE(SUBSTITUTE(MID(_xlfn.TEXTAFTER('Banco de Dados'!$F1843,"Order date:
",1),1,10),"-","/"))),VALUE(SUBSTITUTE(MID(_xlfn.TEXTAFTER('Banco de Dados'!$F1843,"Fecha de pedido:
",1),1,10),"-","/"))),"-"),SMS!A:A,SMS!K:K),0),0)</f>
        <v>0</v>
      </c>
      <c r="AO1843" s="109">
        <f ca="1">IF('Banco de Dados'!$AK1843&lt;&gt;"-",IF('Banco de Dados'!$F1843&lt;&gt;"-",IFERROR(_xlfn.XLOOKUP(_xlfn.CONCAT('Banco de Dados'!$A1843,IFERROR(IFERROR(VALUE(SUBSTITUTE(MID(_xlfn.TEXTAFTER('Banco de Dados'!$F1843,"Data do Pedido:
",1),1,10),"-","/")),VALUE(SUBSTITUTE(MID(_xlfn.TEXTAFTER('Banco de Dados'!$F1843,"Order date:
",1),1,10),"-","/"))),0)),ProxyDD[Chave],ProxyDD[Valor por pedido]),PROXY!$P$2),0),0)</f>
        <v>0</v>
      </c>
      <c r="AP1843" s="28">
        <f ca="1">IF('Banco de Dados'!$AK1843&lt;&gt;"-",IF('Banco de Dados'!$AL1843="NÃO",IFERROR(VALUE(SUBSTITUTE(_xlfn.TEXTAFTER('Banco de Dados'!$F1843,"BRL ",1),".",",")),0),0),0)</f>
        <v>0</v>
      </c>
      <c r="AQ1843" s="28">
        <f ca="1">SUM('Banco de Dados'!$AM1843:$AP1843)</f>
        <v>0.56999999999999995</v>
      </c>
      <c r="AR1843" s="8"/>
      <c r="AS1843" s="8"/>
      <c r="AT1843"/>
      <c r="AY1843" s="8"/>
    </row>
    <row r="1844" spans="1:51">
      <c r="A1844" s="5" t="str">
        <v>BV</v>
      </c>
      <c r="B1844" s="5" t="str">
        <f ca="1"/>
        <v>BV45835</v>
      </c>
      <c r="C1844" s="8" t="str">
        <v>Pedido 1830</v>
      </c>
      <c r="D1844" s="187">
        <v>45832</v>
      </c>
      <c r="E1844" s="9">
        <v>45835</v>
      </c>
      <c r="F1844" s="2" t="str">
        <v>PedidoF1723</v>
      </c>
      <c r="G1844" s="2" t="str">
        <v>CódRastreio1721</v>
      </c>
      <c r="H1844" s="5">
        <v>1</v>
      </c>
      <c r="I1844" s="182" t="str">
        <v>CPF 1787</v>
      </c>
      <c r="J1844" s="2" t="str">
        <v>Nome 1787</v>
      </c>
      <c r="K1844" s="8" t="str">
        <v>Tel 1787</v>
      </c>
      <c r="L1844" s="8" t="str">
        <v>Cep 1787</v>
      </c>
      <c r="M1844" s="8" t="str">
        <v>Rua 1787</v>
      </c>
      <c r="N1844" s="8" t="str">
        <v>Comp 1787</v>
      </c>
      <c r="O1844" s="8" t="str">
        <v>Máquina de cortar cabelo dragão</v>
      </c>
      <c r="P1844" s="8" t="str">
        <v>NQ-IMR8-W6Q4</v>
      </c>
      <c r="Q1844" s="4">
        <v>45864</v>
      </c>
      <c r="R1844" s="109">
        <v>21.19</v>
      </c>
      <c r="S1844" s="11">
        <f ca="1"/>
        <v>21.19</v>
      </c>
      <c r="T1844" s="28">
        <f ca="1"/>
        <v>2.5428000000000002</v>
      </c>
      <c r="U1844" s="11">
        <f ca="1"/>
        <v>18.649999999999999</v>
      </c>
      <c r="V1844" s="11">
        <v>16.16</v>
      </c>
      <c r="W1844" s="11">
        <f ca="1"/>
        <v>0</v>
      </c>
      <c r="X1844" s="11">
        <f ca="1"/>
        <v>0.39877104377104378</v>
      </c>
      <c r="Y1844" s="11">
        <v>0</v>
      </c>
      <c r="Z1844" s="11">
        <f ca="1"/>
        <v>2.091228956228953</v>
      </c>
      <c r="AA1844" s="11">
        <f ca="1"/>
        <v>1.0456144781144765</v>
      </c>
      <c r="AB1844" s="4">
        <f ca="1"/>
        <v>45871</v>
      </c>
      <c r="AC1844" s="4">
        <v>45871</v>
      </c>
      <c r="AD1844" s="9">
        <v>45887</v>
      </c>
      <c r="AE1844" s="9">
        <v>45888</v>
      </c>
      <c r="AF1844" s="4" t="str">
        <f t="shared" ca="1" si="133"/>
        <v>2025 08</v>
      </c>
      <c r="AG1844" s="8" t="str" cm="1">
        <f t="array" ref="AG1844">IFERROR(_xlfn.IFS('Banco de Dados'!#REF!="AG. COMPRA","Em processamento",'Banco de Dados'!#REF!="AG. RASTREIO","Em processamento",'Banco de Dados'!$AE1844&lt;&gt;"-","Faturado",'Banco de Dados'!$AD1844&lt;&gt;"-","Aguardando Pix",'Banco de Dados'!$AC1844&lt;&gt;"-","Pendente"),"Aguardando Liberação")</f>
        <v>Aguardando Liberação</v>
      </c>
      <c r="AH1844" s="5" t="str">
        <f>IF('Banco de Dados'!$F1844="-",_xlfn.CONCAT(PROPER(TEXT(AK1844,"aaaa"))," ",PROPER(TEXT(AK1844,"mm"))),_xlfn.CONCAT(PROPER(TEXT(E1844,"aaaa"))," ",PROPER(TEXT(E1844,"mm"))))</f>
        <v>2025 06</v>
      </c>
      <c r="AI1844" s="9" t="str">
        <f ca="1">IF('Banco de Dados'!$AK1844&lt;&gt;"-","REEMBOLSO",IFERROR(_xlfn.XLOOKUP(G1844,Follow[CODRASTREIO],Follow[STATUS]),"-"))</f>
        <v>ENTREGUE</v>
      </c>
      <c r="AJ1844" s="9">
        <f ca="1">IF('Banco de Dados'!$AI1844="ENTREGUE",_xlfn.XLOOKUP('Banco de Dados'!$G1844,Follow[CODRASTREIO],Follow[DATAATUALIZAÇÃO]),"-")</f>
        <v>45841</v>
      </c>
      <c r="AK1844" s="132" t="str">
        <f ca="1"/>
        <v>-</v>
      </c>
      <c r="AL1844" s="35"/>
      <c r="AM1844" s="109" cm="1">
        <f t="array" aca="1" ref="AM1844" ca="1">IF('Banco de Dados'!$AK1844&lt;&gt;"-",_xlfn.IFS('Banco de Dados'!$A1844="bv",IF('Banco de Dados'!$E1844&lt;45641,ROUND(SUM('Banco de Dados'!$R1844*_xlfn.XLOOKUP('Banco de Dados'!$P1844,Sku!B:B,Sku!#REF!)*20%),2),ROUND(SUM('Banco de Dados'!$R1844*_xlfn.XLOOKUP('Banco de Dados'!$P1844,Sku!B:B,Sku!H:H)*20%),2)),'Banco de Dados'!$A1844="GO",ROUND(_xlfn.XLOOKUP('Banco de Dados'!$P1844,Sku!C:C,Sku!H:H),2),'Banco de Dados'!$A1844="MEI",ROUND(_xlfn.XLOOKUP('Banco de Dados'!$P1844,Sku!D:D,Sku!H:H),2)),0)</f>
        <v>0</v>
      </c>
      <c r="AN1844" s="109">
        <v>0</v>
      </c>
      <c r="AO1844" s="109">
        <v>0</v>
      </c>
      <c r="AP1844" s="28">
        <f ca="1">IF('Banco de Dados'!$AK1844&lt;&gt;"-",IF('Banco de Dados'!$AL1844="NÃO",IFERROR(VALUE(SUBSTITUTE(_xlfn.TEXTAFTER('Banco de Dados'!$F1844,"BRL ",1),".",",")),0),0),0)</f>
        <v>0</v>
      </c>
      <c r="AQ1844" s="28">
        <f ca="1">SUM('Banco de Dados'!$AM1844:$AP1844)</f>
        <v>0</v>
      </c>
      <c r="AR1844" s="8"/>
      <c r="AS1844" s="8"/>
      <c r="AT1844"/>
      <c r="AY1844" s="8"/>
    </row>
    <row r="1845" spans="1:51">
      <c r="A1845" s="5" t="str">
        <v>BV</v>
      </c>
      <c r="B1845" s="5" t="str">
        <f ca="1"/>
        <v>BV45835</v>
      </c>
      <c r="C1845" s="8" t="str">
        <v>Pedido 1831</v>
      </c>
      <c r="D1845" s="187">
        <v>45832</v>
      </c>
      <c r="E1845" s="9">
        <v>45835</v>
      </c>
      <c r="F1845" s="2" t="str">
        <v>PedidoF1723</v>
      </c>
      <c r="G1845" s="2" t="str">
        <v>CódRastreio1721</v>
      </c>
      <c r="H1845" s="5">
        <v>1</v>
      </c>
      <c r="I1845" s="182" t="str">
        <v>CPF 1787</v>
      </c>
      <c r="J1845" s="2" t="str">
        <v>Nome 1787</v>
      </c>
      <c r="K1845" s="8" t="str">
        <v>Tel 1787</v>
      </c>
      <c r="L1845" s="8" t="str">
        <v>Cep 1787</v>
      </c>
      <c r="M1845" s="8" t="str">
        <v>Rua 1787</v>
      </c>
      <c r="N1845" s="8" t="str">
        <v>Comp 1787</v>
      </c>
      <c r="O1845" s="8" t="str">
        <v>Máquina de cortar cabelo dragão</v>
      </c>
      <c r="P1845" s="8" t="str">
        <v>NQ-IMR8-W6Q4</v>
      </c>
      <c r="Q1845" s="4">
        <v>45864</v>
      </c>
      <c r="R1845" s="109">
        <v>21.19</v>
      </c>
      <c r="S1845" s="11">
        <f ca="1"/>
        <v>21.19</v>
      </c>
      <c r="T1845" s="28">
        <f ca="1"/>
        <v>2.5428000000000002</v>
      </c>
      <c r="U1845" s="11">
        <f ca="1"/>
        <v>18.649999999999999</v>
      </c>
      <c r="V1845" s="11">
        <v>16.16</v>
      </c>
      <c r="W1845" s="11">
        <f ca="1"/>
        <v>0</v>
      </c>
      <c r="X1845" s="11">
        <f ca="1"/>
        <v>0.39877104377104378</v>
      </c>
      <c r="Y1845" s="11">
        <v>0</v>
      </c>
      <c r="Z1845" s="11">
        <f ca="1"/>
        <v>2.091228956228953</v>
      </c>
      <c r="AA1845" s="11">
        <f ca="1"/>
        <v>1.0456144781144765</v>
      </c>
      <c r="AB1845" s="4">
        <f ca="1"/>
        <v>45871</v>
      </c>
      <c r="AC1845" s="4">
        <v>45871</v>
      </c>
      <c r="AD1845" s="9">
        <v>45887</v>
      </c>
      <c r="AE1845" s="9">
        <v>45888</v>
      </c>
      <c r="AF1845" s="4" t="str">
        <f t="shared" ca="1" si="133"/>
        <v>2025 08</v>
      </c>
      <c r="AG1845" s="8" t="str" cm="1">
        <f t="array" ref="AG1845">IFERROR(_xlfn.IFS('Banco de Dados'!#REF!="AG. COMPRA","Em processamento",'Banco de Dados'!#REF!="AG. RASTREIO","Em processamento",'Banco de Dados'!$AE1845&lt;&gt;"-","Faturado",'Banco de Dados'!$AD1845&lt;&gt;"-","Aguardando Pix",'Banco de Dados'!$AC1845&lt;&gt;"-","Pendente"),"Aguardando Liberação")</f>
        <v>Aguardando Liberação</v>
      </c>
      <c r="AH1845" s="5" t="str">
        <f>IF('Banco de Dados'!$F1845="-",_xlfn.CONCAT(PROPER(TEXT(AK1845,"aaaa"))," ",PROPER(TEXT(AK1845,"mm"))),_xlfn.CONCAT(PROPER(TEXT(E1845,"aaaa"))," ",PROPER(TEXT(E1845,"mm"))))</f>
        <v>2025 06</v>
      </c>
      <c r="AI1845" s="9" t="str">
        <f ca="1">IF('Banco de Dados'!$AK1845&lt;&gt;"-","REEMBOLSO",IFERROR(_xlfn.XLOOKUP(G1845,Follow[CODRASTREIO],Follow[STATUS]),"-"))</f>
        <v>ENTREGUE</v>
      </c>
      <c r="AJ1845" s="9">
        <f ca="1">IF('Banco de Dados'!$AI1845="ENTREGUE",_xlfn.XLOOKUP('Banco de Dados'!$G1845,Follow[CODRASTREIO],Follow[DATAATUALIZAÇÃO]),"-")</f>
        <v>45841</v>
      </c>
      <c r="AK1845" s="132" t="str">
        <f ca="1"/>
        <v>-</v>
      </c>
      <c r="AL1845" s="35"/>
      <c r="AM1845" s="109" cm="1">
        <f t="array" aca="1" ref="AM1845" ca="1">IF('Banco de Dados'!$AK1845&lt;&gt;"-",_xlfn.IFS('Banco de Dados'!$A1845="bv",IF('Banco de Dados'!$E1845&lt;45641,ROUND(SUM('Banco de Dados'!$R1845*_xlfn.XLOOKUP('Banco de Dados'!$P1845,Sku!B:B,Sku!#REF!)*20%),2),ROUND(SUM('Banco de Dados'!$R1845*_xlfn.XLOOKUP('Banco de Dados'!$P1845,Sku!B:B,Sku!H:H)*20%),2)),'Banco de Dados'!$A1845="GO",ROUND(_xlfn.XLOOKUP('Banco de Dados'!$P1845,Sku!C:C,Sku!H:H),2),'Banco de Dados'!$A1845="MEI",ROUND(_xlfn.XLOOKUP('Banco de Dados'!$P1845,Sku!D:D,Sku!H:H),2)),0)</f>
        <v>0</v>
      </c>
      <c r="AN1845" s="109">
        <v>0</v>
      </c>
      <c r="AO1845" s="109">
        <v>0</v>
      </c>
      <c r="AP1845" s="28">
        <f ca="1">IF('Banco de Dados'!$AK1845&lt;&gt;"-",IF('Banco de Dados'!$AL1845="NÃO",IFERROR(VALUE(SUBSTITUTE(_xlfn.TEXTAFTER('Banco de Dados'!$F1845,"BRL ",1),".",",")),0),0),0)</f>
        <v>0</v>
      </c>
      <c r="AQ1845" s="28">
        <f ca="1">SUM('Banco de Dados'!$AM1845:$AP1845)</f>
        <v>0</v>
      </c>
      <c r="AR1845" s="8"/>
      <c r="AS1845" s="8"/>
      <c r="AT1845"/>
      <c r="AY1845" s="8"/>
    </row>
    <row r="1846" spans="1:51">
      <c r="A1846" s="5" t="str">
        <v>BV</v>
      </c>
      <c r="B1846" s="5" t="str">
        <f ca="1"/>
        <v>BV45835</v>
      </c>
      <c r="C1846" s="8" t="str">
        <v>Pedido 1832</v>
      </c>
      <c r="D1846" s="187">
        <v>45832</v>
      </c>
      <c r="E1846" s="9">
        <v>45835</v>
      </c>
      <c r="F1846" s="2" t="str">
        <v>PedidoF1724</v>
      </c>
      <c r="G1846" s="2" t="str">
        <v>CódRastreio1722</v>
      </c>
      <c r="H1846" s="5">
        <v>1</v>
      </c>
      <c r="I1846" s="182" t="str">
        <v>CPF 1788</v>
      </c>
      <c r="J1846" s="2" t="str">
        <v>Nome 1788</v>
      </c>
      <c r="K1846" s="8" t="str">
        <v>Tel 1788</v>
      </c>
      <c r="L1846" s="8" t="str">
        <v>Cep 1788</v>
      </c>
      <c r="M1846" s="8" t="str">
        <v>Rua 1788</v>
      </c>
      <c r="N1846" s="8" t="str">
        <v>Comp 1788</v>
      </c>
      <c r="O1846" s="8" t="str">
        <v>Máquina de cortar cabelo dragão</v>
      </c>
      <c r="P1846" s="8" t="str">
        <v>NQ-IMR8-W6Q4</v>
      </c>
      <c r="Q1846" s="4">
        <v>45857</v>
      </c>
      <c r="R1846" s="109">
        <v>21.19</v>
      </c>
      <c r="S1846" s="11">
        <f ca="1"/>
        <v>21.19</v>
      </c>
      <c r="T1846" s="28">
        <f ca="1"/>
        <v>2.5428000000000002</v>
      </c>
      <c r="U1846" s="11">
        <f ca="1"/>
        <v>18.649999999999999</v>
      </c>
      <c r="V1846" s="11">
        <v>10.17</v>
      </c>
      <c r="W1846" s="11">
        <f ca="1"/>
        <v>0</v>
      </c>
      <c r="X1846" s="11">
        <f ca="1"/>
        <v>0.39877104377104378</v>
      </c>
      <c r="Y1846" s="11">
        <v>0</v>
      </c>
      <c r="Z1846" s="11">
        <f ca="1"/>
        <v>8.081228956228955</v>
      </c>
      <c r="AA1846" s="11">
        <f ca="1"/>
        <v>4.0406144781144775</v>
      </c>
      <c r="AB1846" s="4">
        <f ca="1"/>
        <v>45864</v>
      </c>
      <c r="AC1846" s="4">
        <v>45864</v>
      </c>
      <c r="AD1846" s="9">
        <v>45870</v>
      </c>
      <c r="AE1846" s="9">
        <v>45873</v>
      </c>
      <c r="AF1846" s="4" t="str">
        <f t="shared" ca="1" si="133"/>
        <v>2025 07</v>
      </c>
      <c r="AG1846" s="8" t="str" cm="1">
        <f t="array" ref="AG1846">IFERROR(_xlfn.IFS('Banco de Dados'!#REF!="AG. COMPRA","Em processamento",'Banco de Dados'!#REF!="AG. RASTREIO","Em processamento",'Banco de Dados'!$AE1846&lt;&gt;"-","Faturado",'Banco de Dados'!$AD1846&lt;&gt;"-","Aguardando Pix",'Banco de Dados'!$AC1846&lt;&gt;"-","Pendente"),"Aguardando Liberação")</f>
        <v>Aguardando Liberação</v>
      </c>
      <c r="AH1846" s="5" t="str">
        <f>IF('Banco de Dados'!$F1846="-",_xlfn.CONCAT(PROPER(TEXT(AK1846,"aaaa"))," ",PROPER(TEXT(AK1846,"mm"))),_xlfn.CONCAT(PROPER(TEXT(E1846,"aaaa"))," ",PROPER(TEXT(E1846,"mm"))))</f>
        <v>2025 06</v>
      </c>
      <c r="AI1846" s="9" t="str">
        <f ca="1">IF('Banco de Dados'!$AK1846&lt;&gt;"-","REEMBOLSO",IFERROR(_xlfn.XLOOKUP(G1846,Follow[CODRASTREIO],Follow[STATUS]),"-"))</f>
        <v>ENTREGUE</v>
      </c>
      <c r="AJ1846" s="9">
        <f ca="1">IF('Banco de Dados'!$AI1846="ENTREGUE",_xlfn.XLOOKUP('Banco de Dados'!$G1846,Follow[CODRASTREIO],Follow[DATAATUALIZAÇÃO]),"-")</f>
        <v>45855</v>
      </c>
      <c r="AK1846" s="132" t="str">
        <f ca="1"/>
        <v>-</v>
      </c>
      <c r="AL1846" s="35"/>
      <c r="AM1846" s="109" cm="1">
        <f t="array" aca="1" ref="AM1846" ca="1">IF('Banco de Dados'!$AK1846&lt;&gt;"-",_xlfn.IFS('Banco de Dados'!$A1846="bv",IF('Banco de Dados'!$E1846&lt;45641,ROUND(SUM('Banco de Dados'!$R1846*_xlfn.XLOOKUP('Banco de Dados'!$P1846,Sku!B:B,Sku!#REF!)*20%),2),ROUND(SUM('Banco de Dados'!$R1846*_xlfn.XLOOKUP('Banco de Dados'!$P1846,Sku!B:B,Sku!H:H)*20%),2)),'Banco de Dados'!$A1846="GO",ROUND(_xlfn.XLOOKUP('Banco de Dados'!$P1846,Sku!C:C,Sku!H:H),2),'Banco de Dados'!$A1846="MEI",ROUND(_xlfn.XLOOKUP('Banco de Dados'!$P1846,Sku!D:D,Sku!H:H),2)),0)</f>
        <v>0</v>
      </c>
      <c r="AN1846" s="109">
        <f ca="1">IF('Banco de Dados'!$AK1846&lt;&gt;"-",IF('Banco de Dados'!$F1846&lt;&gt;"-",_xlfn.XLOOKUP(IFERROR(IFERROR(IFERROR(VALUE(SUBSTITUTE(MID(_xlfn.TEXTAFTER('Banco de Dados'!$F1846,"Data do Pedido:
",1),1,10),"-","/")),VALUE(SUBSTITUTE(MID(_xlfn.TEXTAFTER('Banco de Dados'!$F1846,"Order date:
",1),1,10),"-","/"))),VALUE(SUBSTITUTE(MID(_xlfn.TEXTAFTER('Banco de Dados'!$F1846,"Fecha de pedido:
",1),1,10),"-","/"))),"-"),SMS!A:A,SMS!K:K),0),0)</f>
        <v>0</v>
      </c>
      <c r="AO1846" s="109">
        <f ca="1">IF('Banco de Dados'!$AK1846&lt;&gt;"-",IF('Banco de Dados'!$F1846&lt;&gt;"-",IFERROR(_xlfn.XLOOKUP(_xlfn.CONCAT('Banco de Dados'!$A1846,IFERROR(IFERROR(VALUE(SUBSTITUTE(MID(_xlfn.TEXTAFTER('Banco de Dados'!$F1846,"Data do Pedido:
",1),1,10),"-","/")),VALUE(SUBSTITUTE(MID(_xlfn.TEXTAFTER('Banco de Dados'!$F1846,"Order date:
",1),1,10),"-","/"))),0)),ProxyDD[Chave],ProxyDD[Valor por pedido]),PROXY!$P$2),0),0)</f>
        <v>0</v>
      </c>
      <c r="AP1846" s="28">
        <f ca="1">IF('Banco de Dados'!$AK1846&lt;&gt;"-",IF('Banco de Dados'!$AL1846="NÃO",IFERROR(VALUE(SUBSTITUTE(_xlfn.TEXTAFTER('Banco de Dados'!$F1846,"BRL ",1),".",",")),0),0),0)</f>
        <v>0</v>
      </c>
      <c r="AQ1846" s="28">
        <f ca="1">SUM('Banco de Dados'!$AM1846:$AP1846)</f>
        <v>0</v>
      </c>
      <c r="AR1846" s="8"/>
      <c r="AS1846" s="8"/>
      <c r="AT1846"/>
      <c r="AY1846" s="8"/>
    </row>
    <row r="1847" spans="1:51">
      <c r="A1847" s="5" t="str">
        <v>BV</v>
      </c>
      <c r="B1847" s="5" t="str">
        <f ca="1"/>
        <v>BV-</v>
      </c>
      <c r="C1847" s="8" t="str">
        <v>Pedido 1833</v>
      </c>
      <c r="D1847" s="187">
        <v>45832</v>
      </c>
      <c r="E1847" s="9" t="str">
        <v>-</v>
      </c>
      <c r="F1847" s="8" t="str">
        <v>-</v>
      </c>
      <c r="G1847" s="2" t="str">
        <v>-</v>
      </c>
      <c r="H1847" s="5">
        <v>1</v>
      </c>
      <c r="I1847" s="182" t="str">
        <v>CPF 1789</v>
      </c>
      <c r="J1847" s="2" t="str">
        <v>Nome 1789</v>
      </c>
      <c r="K1847" s="8" t="str">
        <v>Tel 1789</v>
      </c>
      <c r="L1847" s="8" t="str">
        <v>Cep 1789</v>
      </c>
      <c r="M1847" s="8" t="str">
        <v>Rua 1789</v>
      </c>
      <c r="N1847" s="8" t="str">
        <v>Comp 1789</v>
      </c>
      <c r="O1847" s="8" t="str">
        <v>Máquina de cortar cabelo dragão</v>
      </c>
      <c r="P1847" s="8" t="str">
        <v>NQ-IMR8-W6Q4</v>
      </c>
      <c r="Q1847" s="4">
        <v>45857</v>
      </c>
      <c r="R1847" s="109">
        <v>21.19</v>
      </c>
      <c r="S1847" s="11">
        <f ca="1"/>
        <v>0</v>
      </c>
      <c r="T1847" s="28">
        <f ca="1"/>
        <v>0</v>
      </c>
      <c r="U1847" s="11">
        <f ca="1"/>
        <v>0</v>
      </c>
      <c r="V1847" s="11">
        <v>0</v>
      </c>
      <c r="W1847" s="11">
        <f ca="1"/>
        <v>0</v>
      </c>
      <c r="X1847" s="11">
        <f ca="1"/>
        <v>0</v>
      </c>
      <c r="Y1847" s="11">
        <v>0</v>
      </c>
      <c r="Z1847" s="11">
        <f ca="1"/>
        <v>0</v>
      </c>
      <c r="AA1847" s="11">
        <f ca="1"/>
        <v>0</v>
      </c>
      <c r="AB1847" s="4">
        <f ca="1"/>
        <v>45864</v>
      </c>
      <c r="AC1847" s="4">
        <v>45864</v>
      </c>
      <c r="AD1847" s="9">
        <v>45870</v>
      </c>
      <c r="AE1847" s="9">
        <v>45873</v>
      </c>
      <c r="AF1847" s="4" t="str">
        <f t="shared" ca="1" si="133"/>
        <v>2025 07</v>
      </c>
      <c r="AG1847" s="8" t="str" cm="1">
        <f t="array" ref="AG1847">IFERROR(_xlfn.IFS('Banco de Dados'!#REF!="AG. COMPRA","Em processamento",'Banco de Dados'!#REF!="AG. RASTREIO","Em processamento",'Banco de Dados'!$AE1847&lt;&gt;"-","Faturado",'Banco de Dados'!$AD1847&lt;&gt;"-","Aguardando Pix",'Banco de Dados'!$AC1847&lt;&gt;"-","Pendente"),"Aguardando Liberação")</f>
        <v>Aguardando Liberação</v>
      </c>
      <c r="AH1847" s="5" t="str">
        <f ca="1">IF('Banco de Dados'!$F1847="-",_xlfn.CONCAT(PROPER(TEXT(AK1847,"aaaa"))," ",PROPER(TEXT(AK1847,"mm"))),_xlfn.CONCAT(PROPER(TEXT(E1847,"aaaa"))," ",PROPER(TEXT(E1847,"mm"))))</f>
        <v>2025 07</v>
      </c>
      <c r="AI1847" s="9" t="str">
        <f ca="1">IF('Banco de Dados'!$AK1847&lt;&gt;"-","REEMBOLSO",IFERROR(_xlfn.XLOOKUP(G1847,Follow[CODRASTREIO],Follow[STATUS]),"-"))</f>
        <v>REEMBOLSO</v>
      </c>
      <c r="AJ1847" s="9" t="str">
        <f ca="1">IF('Banco de Dados'!$AI1847="ENTREGUE",_xlfn.XLOOKUP('Banco de Dados'!$G1847,Follow[CODRASTREIO],Follow[DATAATUALIZAÇÃO]),"-")</f>
        <v>-</v>
      </c>
      <c r="AK1847" s="132">
        <f ca="1"/>
        <v>45839</v>
      </c>
      <c r="AL1847" s="35"/>
      <c r="AM1847" s="109" cm="1">
        <f t="array" aca="1" ref="AM1847" ca="1">IF('Banco de Dados'!$AK1847&lt;&gt;"-",_xlfn.IFS('Banco de Dados'!$A1847="bv",IF('Banco de Dados'!$E1847&lt;45641,ROUND(SUM('Banco de Dados'!$R1847*_xlfn.XLOOKUP('Banco de Dados'!$P1847,Sku!B:B,Sku!#REF!)*20%),2),ROUND(SUM('Banco de Dados'!$R1847*_xlfn.XLOOKUP('Banco de Dados'!$P1847,Sku!B:B,Sku!H:H)*20%),2)),'Banco de Dados'!$A1847="GO",ROUND(_xlfn.XLOOKUP('Banco de Dados'!$P1847,Sku!C:C,Sku!H:H),2),'Banco de Dados'!$A1847="MEI",ROUND(_xlfn.XLOOKUP('Banco de Dados'!$P1847,Sku!D:D,Sku!H:H),2)),0)</f>
        <v>0.51</v>
      </c>
      <c r="AN1847" s="109">
        <f ca="1">IF('Banco de Dados'!$AK1847&lt;&gt;"-",IF('Banco de Dados'!$F1847&lt;&gt;"-",_xlfn.XLOOKUP(IFERROR(IFERROR(IFERROR(VALUE(SUBSTITUTE(MID(_xlfn.TEXTAFTER('Banco de Dados'!$F1847,"Data do Pedido:
",1),1,10),"-","/")),VALUE(SUBSTITUTE(MID(_xlfn.TEXTAFTER('Banco de Dados'!$F1847,"Order date:
",1),1,10),"-","/"))),VALUE(SUBSTITUTE(MID(_xlfn.TEXTAFTER('Banco de Dados'!$F1847,"Fecha de pedido:
",1),1,10),"-","/"))),"-"),SMS!A:A,SMS!K:K),0),0)</f>
        <v>0</v>
      </c>
      <c r="AO1847" s="109">
        <f ca="1">IF('Banco de Dados'!$AK1847&lt;&gt;"-",IF('Banco de Dados'!$F1847&lt;&gt;"-",IFERROR(_xlfn.XLOOKUP(_xlfn.CONCAT('Banco de Dados'!$A1847,IFERROR(IFERROR(VALUE(SUBSTITUTE(MID(_xlfn.TEXTAFTER('Banco de Dados'!$F1847,"Data do Pedido:
",1),1,10),"-","/")),VALUE(SUBSTITUTE(MID(_xlfn.TEXTAFTER('Banco de Dados'!$F1847,"Order date:
",1),1,10),"-","/"))),0)),ProxyDD[Chave],ProxyDD[Valor por pedido]),PROXY!$P$2),0),0)</f>
        <v>0</v>
      </c>
      <c r="AP1847" s="28">
        <f ca="1">IF('Banco de Dados'!$AK1847&lt;&gt;"-",IF('Banco de Dados'!$AL1847="NÃO",IFERROR(VALUE(SUBSTITUTE(_xlfn.TEXTAFTER('Banco de Dados'!$F1847,"BRL ",1),".",",")),0),0),0)</f>
        <v>0</v>
      </c>
      <c r="AQ1847" s="28">
        <f ca="1">SUM('Banco de Dados'!$AM1847:$AP1847)</f>
        <v>0.51</v>
      </c>
      <c r="AR1847" s="8"/>
      <c r="AS1847" s="8"/>
      <c r="AT1847"/>
      <c r="AY1847" s="8"/>
    </row>
    <row r="1848" spans="1:51">
      <c r="A1848" s="5" t="str">
        <v>BV</v>
      </c>
      <c r="B1848" s="5" t="str">
        <f ca="1"/>
        <v>BV45835</v>
      </c>
      <c r="C1848" s="8" t="str">
        <v>Pedido 1834</v>
      </c>
      <c r="D1848" s="187">
        <v>45832</v>
      </c>
      <c r="E1848" s="9">
        <v>45835</v>
      </c>
      <c r="F1848" s="2" t="str">
        <v>PedidoF1725</v>
      </c>
      <c r="G1848" s="2" t="str">
        <v>CódRastreio1723</v>
      </c>
      <c r="H1848" s="5">
        <v>1</v>
      </c>
      <c r="I1848" s="182" t="str">
        <v>CPF 1790</v>
      </c>
      <c r="J1848" s="2" t="str">
        <v>Nome 1790</v>
      </c>
      <c r="K1848" s="8" t="str">
        <v>Tel 1790</v>
      </c>
      <c r="L1848" s="8" t="str">
        <v>Cep 1790</v>
      </c>
      <c r="M1848" s="8" t="str">
        <v>Rua 1790</v>
      </c>
      <c r="N1848" s="8" t="str">
        <v>Comp 1790</v>
      </c>
      <c r="O1848" s="8" t="str">
        <v>Máquina de cortar cabelo dragão</v>
      </c>
      <c r="P1848" s="8" t="str">
        <v>NQ-IMR8-W6Q4</v>
      </c>
      <c r="Q1848" s="4">
        <v>45864</v>
      </c>
      <c r="R1848" s="109">
        <v>21.19</v>
      </c>
      <c r="S1848" s="11">
        <f ca="1"/>
        <v>21.19</v>
      </c>
      <c r="T1848" s="28">
        <f ca="1"/>
        <v>2.5428000000000002</v>
      </c>
      <c r="U1848" s="11">
        <f ca="1"/>
        <v>18.649999999999999</v>
      </c>
      <c r="V1848" s="11">
        <v>10.17</v>
      </c>
      <c r="W1848" s="11">
        <f ca="1"/>
        <v>0</v>
      </c>
      <c r="X1848" s="11">
        <f ca="1"/>
        <v>0.39877104377104378</v>
      </c>
      <c r="Y1848" s="11">
        <v>0</v>
      </c>
      <c r="Z1848" s="11">
        <f ca="1"/>
        <v>8.081228956228955</v>
      </c>
      <c r="AA1848" s="11">
        <f ca="1"/>
        <v>4.0406144781144775</v>
      </c>
      <c r="AB1848" s="4">
        <f ca="1"/>
        <v>45871</v>
      </c>
      <c r="AC1848" s="4">
        <v>45871</v>
      </c>
      <c r="AD1848" s="9">
        <v>45887</v>
      </c>
      <c r="AE1848" s="9">
        <v>45888</v>
      </c>
      <c r="AF1848" s="4" t="str">
        <f t="shared" ca="1" si="133"/>
        <v>2025 08</v>
      </c>
      <c r="AG1848" s="8" t="str" cm="1">
        <f t="array" ref="AG1848">IFERROR(_xlfn.IFS('Banco de Dados'!#REF!="AG. COMPRA","Em processamento",'Banco de Dados'!#REF!="AG. RASTREIO","Em processamento",'Banco de Dados'!$AE1848&lt;&gt;"-","Faturado",'Banco de Dados'!$AD1848&lt;&gt;"-","Aguardando Pix",'Banco de Dados'!$AC1848&lt;&gt;"-","Pendente"),"Aguardando Liberação")</f>
        <v>Aguardando Liberação</v>
      </c>
      <c r="AH1848" s="5" t="str">
        <f>IF('Banco de Dados'!$F1848="-",_xlfn.CONCAT(PROPER(TEXT(AK1848,"aaaa"))," ",PROPER(TEXT(AK1848,"mm"))),_xlfn.CONCAT(PROPER(TEXT(E1848,"aaaa"))," ",PROPER(TEXT(E1848,"mm"))))</f>
        <v>2025 06</v>
      </c>
      <c r="AI1848" s="9" t="str">
        <f ca="1">IF('Banco de Dados'!$AK1848&lt;&gt;"-","REEMBOLSO",IFERROR(_xlfn.XLOOKUP(G1848,Follow[CODRASTREIO],Follow[STATUS]),"-"))</f>
        <v>ENTREGUE</v>
      </c>
      <c r="AJ1848" s="9">
        <f ca="1">IF('Banco de Dados'!$AI1848="ENTREGUE",_xlfn.XLOOKUP('Banco de Dados'!$G1848,Follow[CODRASTREIO],Follow[DATAATUALIZAÇÃO]),"-")</f>
        <v>45873</v>
      </c>
      <c r="AK1848" s="132" t="str">
        <f ca="1"/>
        <v>-</v>
      </c>
      <c r="AL1848" s="35"/>
      <c r="AM1848" s="109" cm="1">
        <f t="array" aca="1" ref="AM1848" ca="1">IF('Banco de Dados'!$AK1848&lt;&gt;"-",_xlfn.IFS('Banco de Dados'!$A1848="bv",IF('Banco de Dados'!$E1848&lt;45641,ROUND(SUM('Banco de Dados'!$R1848*_xlfn.XLOOKUP('Banco de Dados'!$P1848,Sku!B:B,Sku!#REF!)*20%),2),ROUND(SUM('Banco de Dados'!$R1848*_xlfn.XLOOKUP('Banco de Dados'!$P1848,Sku!B:B,Sku!H:H)*20%),2)),'Banco de Dados'!$A1848="GO",ROUND(_xlfn.XLOOKUP('Banco de Dados'!$P1848,Sku!C:C,Sku!H:H),2),'Banco de Dados'!$A1848="MEI",ROUND(_xlfn.XLOOKUP('Banco de Dados'!$P1848,Sku!D:D,Sku!H:H),2)),0)</f>
        <v>0</v>
      </c>
      <c r="AN1848" s="109">
        <f ca="1">IF('Banco de Dados'!$AK1848&lt;&gt;"-",IF('Banco de Dados'!$F1848&lt;&gt;"-",_xlfn.XLOOKUP(IFERROR(IFERROR(IFERROR(VALUE(SUBSTITUTE(MID(_xlfn.TEXTAFTER('Banco de Dados'!$F1848,"Data do Pedido:
",1),1,10),"-","/")),VALUE(SUBSTITUTE(MID(_xlfn.TEXTAFTER('Banco de Dados'!$F1848,"Order date:
",1),1,10),"-","/"))),VALUE(SUBSTITUTE(MID(_xlfn.TEXTAFTER('Banco de Dados'!$F1848,"Fecha de pedido:
",1),1,10),"-","/"))),"-"),SMS!A:A,SMS!K:K),0),0)</f>
        <v>0</v>
      </c>
      <c r="AO1848" s="109">
        <f ca="1">IF('Banco de Dados'!$AK1848&lt;&gt;"-",IF('Banco de Dados'!$F1848&lt;&gt;"-",IFERROR(_xlfn.XLOOKUP(_xlfn.CONCAT('Banco de Dados'!$A1848,IFERROR(IFERROR(VALUE(SUBSTITUTE(MID(_xlfn.TEXTAFTER('Banco de Dados'!$F1848,"Data do Pedido:
",1),1,10),"-","/")),VALUE(SUBSTITUTE(MID(_xlfn.TEXTAFTER('Banco de Dados'!$F1848,"Order date:
",1),1,10),"-","/"))),0)),ProxyDD[Chave],ProxyDD[Valor por pedido]),PROXY!$P$2),0),0)</f>
        <v>0</v>
      </c>
      <c r="AP1848" s="28">
        <f ca="1">IF('Banco de Dados'!$AK1848&lt;&gt;"-",IF('Banco de Dados'!$AL1848="NÃO",IFERROR(VALUE(SUBSTITUTE(_xlfn.TEXTAFTER('Banco de Dados'!$F1848,"BRL ",1),".",",")),0),0),0)</f>
        <v>0</v>
      </c>
      <c r="AQ1848" s="28">
        <f ca="1">SUM('Banco de Dados'!$AM1848:$AP1848)</f>
        <v>0</v>
      </c>
      <c r="AR1848" s="8"/>
      <c r="AS1848" s="8"/>
      <c r="AT1848"/>
      <c r="AY1848" s="8"/>
    </row>
    <row r="1849" spans="1:51">
      <c r="A1849" s="5" t="str">
        <v>BV</v>
      </c>
      <c r="B1849" s="5" t="str">
        <f ca="1"/>
        <v>BV-</v>
      </c>
      <c r="C1849" s="8" t="str">
        <v>Pedido 1835</v>
      </c>
      <c r="D1849" s="187">
        <v>45832</v>
      </c>
      <c r="E1849" s="9" t="str">
        <v>-</v>
      </c>
      <c r="F1849" s="8" t="str">
        <v>-</v>
      </c>
      <c r="G1849" s="2" t="str">
        <v>-</v>
      </c>
      <c r="H1849" s="5">
        <v>1</v>
      </c>
      <c r="I1849" s="182" t="str">
        <v>CPF 1791</v>
      </c>
      <c r="J1849" s="2" t="str">
        <v>Nome 1791</v>
      </c>
      <c r="K1849" s="8" t="str">
        <v>Tel 1791</v>
      </c>
      <c r="L1849" s="8" t="str">
        <v>Cep 1791</v>
      </c>
      <c r="M1849" s="8" t="str">
        <v>Rua 1791</v>
      </c>
      <c r="N1849" s="8" t="str">
        <v>Comp 1791</v>
      </c>
      <c r="O1849" s="8" t="str">
        <v>Máquina de cortar cabelo dragão</v>
      </c>
      <c r="P1849" s="8" t="str">
        <v>NQ-IMR8-W6Q4</v>
      </c>
      <c r="Q1849" s="4">
        <v>45857</v>
      </c>
      <c r="R1849" s="109">
        <v>21.19</v>
      </c>
      <c r="S1849" s="11">
        <f ca="1"/>
        <v>0</v>
      </c>
      <c r="T1849" s="28">
        <f ca="1"/>
        <v>0</v>
      </c>
      <c r="U1849" s="11">
        <f ca="1"/>
        <v>0</v>
      </c>
      <c r="V1849" s="11">
        <v>0</v>
      </c>
      <c r="W1849" s="11">
        <f ca="1"/>
        <v>0</v>
      </c>
      <c r="X1849" s="11">
        <f ca="1"/>
        <v>0</v>
      </c>
      <c r="Y1849" s="11">
        <v>0</v>
      </c>
      <c r="Z1849" s="11">
        <f ca="1"/>
        <v>0</v>
      </c>
      <c r="AA1849" s="11">
        <f ca="1"/>
        <v>0</v>
      </c>
      <c r="AB1849" s="4">
        <f ca="1"/>
        <v>45864</v>
      </c>
      <c r="AC1849" s="4">
        <v>45864</v>
      </c>
      <c r="AD1849" s="9">
        <v>45870</v>
      </c>
      <c r="AE1849" s="9">
        <v>45873</v>
      </c>
      <c r="AF1849" s="4" t="str">
        <f t="shared" ca="1" si="133"/>
        <v>2025 07</v>
      </c>
      <c r="AG1849" s="8" t="str" cm="1">
        <f t="array" ref="AG1849">IFERROR(_xlfn.IFS('Banco de Dados'!#REF!="AG. COMPRA","Em processamento",'Banco de Dados'!#REF!="AG. RASTREIO","Em processamento",'Banco de Dados'!$AE1849&lt;&gt;"-","Faturado",'Banco de Dados'!$AD1849&lt;&gt;"-","Aguardando Pix",'Banco de Dados'!$AC1849&lt;&gt;"-","Pendente"),"Aguardando Liberação")</f>
        <v>Aguardando Liberação</v>
      </c>
      <c r="AH1849" s="5" t="str">
        <f ca="1">IF('Banco de Dados'!$F1849="-",_xlfn.CONCAT(PROPER(TEXT(AK1849,"aaaa"))," ",PROPER(TEXT(AK1849,"mm"))),_xlfn.CONCAT(PROPER(TEXT(E1849,"aaaa"))," ",PROPER(TEXT(E1849,"mm"))))</f>
        <v>2025 07</v>
      </c>
      <c r="AI1849" s="9" t="str">
        <f ca="1">IF('Banco de Dados'!$AK1849&lt;&gt;"-","REEMBOLSO",IFERROR(_xlfn.XLOOKUP(G1849,Follow[CODRASTREIO],Follow[STATUS]),"-"))</f>
        <v>REEMBOLSO</v>
      </c>
      <c r="AJ1849" s="9" t="str">
        <f ca="1">IF('Banco de Dados'!$AI1849="ENTREGUE",_xlfn.XLOOKUP('Banco de Dados'!$G1849,Follow[CODRASTREIO],Follow[DATAATUALIZAÇÃO]),"-")</f>
        <v>-</v>
      </c>
      <c r="AK1849" s="132">
        <f ca="1"/>
        <v>45840</v>
      </c>
      <c r="AL1849" s="35"/>
      <c r="AM1849" s="109" cm="1">
        <f t="array" aca="1" ref="AM1849" ca="1">IF('Banco de Dados'!$AK1849&lt;&gt;"-",_xlfn.IFS('Banco de Dados'!$A1849="bv",IF('Banco de Dados'!$E1849&lt;45641,ROUND(SUM('Banco de Dados'!$R1849*_xlfn.XLOOKUP('Banco de Dados'!$P1849,Sku!B:B,Sku!#REF!)*20%),2),ROUND(SUM('Banco de Dados'!$R1849*_xlfn.XLOOKUP('Banco de Dados'!$P1849,Sku!B:B,Sku!H:H)*20%),2)),'Banco de Dados'!$A1849="GO",ROUND(_xlfn.XLOOKUP('Banco de Dados'!$P1849,Sku!C:C,Sku!H:H),2),'Banco de Dados'!$A1849="MEI",ROUND(_xlfn.XLOOKUP('Banco de Dados'!$P1849,Sku!D:D,Sku!H:H),2)),0)</f>
        <v>0.51</v>
      </c>
      <c r="AN1849" s="109">
        <f ca="1">IF('Banco de Dados'!$AK1849&lt;&gt;"-",IF('Banco de Dados'!$F1849&lt;&gt;"-",_xlfn.XLOOKUP(IFERROR(IFERROR(IFERROR(VALUE(SUBSTITUTE(MID(_xlfn.TEXTAFTER('Banco de Dados'!$F1849,"Data do Pedido:
",1),1,10),"-","/")),VALUE(SUBSTITUTE(MID(_xlfn.TEXTAFTER('Banco de Dados'!$F1849,"Order date:
",1),1,10),"-","/"))),VALUE(SUBSTITUTE(MID(_xlfn.TEXTAFTER('Banco de Dados'!$F1849,"Fecha de pedido:
",1),1,10),"-","/"))),"-"),SMS!A:A,SMS!K:K),0),0)</f>
        <v>0</v>
      </c>
      <c r="AO1849" s="109">
        <f ca="1">IF('Banco de Dados'!$AK1849&lt;&gt;"-",IF('Banco de Dados'!$F1849&lt;&gt;"-",IFERROR(_xlfn.XLOOKUP(_xlfn.CONCAT('Banco de Dados'!$A1849,IFERROR(IFERROR(VALUE(SUBSTITUTE(MID(_xlfn.TEXTAFTER('Banco de Dados'!$F1849,"Data do Pedido:
",1),1,10),"-","/")),VALUE(SUBSTITUTE(MID(_xlfn.TEXTAFTER('Banco de Dados'!$F1849,"Order date:
",1),1,10),"-","/"))),0)),ProxyDD[Chave],ProxyDD[Valor por pedido]),PROXY!$P$2),0),0)</f>
        <v>0</v>
      </c>
      <c r="AP1849" s="28">
        <f ca="1">IF('Banco de Dados'!$AK1849&lt;&gt;"-",IF('Banco de Dados'!$AL1849="NÃO",IFERROR(VALUE(SUBSTITUTE(_xlfn.TEXTAFTER('Banco de Dados'!$F1849,"BRL ",1),".",",")),0),0),0)</f>
        <v>0</v>
      </c>
      <c r="AQ1849" s="28">
        <f ca="1">SUM('Banco de Dados'!$AM1849:$AP1849)</f>
        <v>0.51</v>
      </c>
      <c r="AR1849" s="8"/>
      <c r="AS1849" s="8"/>
      <c r="AT1849"/>
      <c r="AY1849" s="8"/>
    </row>
    <row r="1850" spans="1:51">
      <c r="A1850" s="5" t="str">
        <v>BV</v>
      </c>
      <c r="B1850" s="5" t="str">
        <f ca="1"/>
        <v>BV-</v>
      </c>
      <c r="C1850" s="8" t="str">
        <v>Pedido 1836</v>
      </c>
      <c r="D1850" s="187">
        <v>45832</v>
      </c>
      <c r="E1850" s="9" t="str">
        <v>-</v>
      </c>
      <c r="F1850" s="8" t="str">
        <v>-</v>
      </c>
      <c r="G1850" s="2" t="str">
        <v>-</v>
      </c>
      <c r="H1850" s="5">
        <v>1</v>
      </c>
      <c r="I1850" s="182" t="str">
        <v>CPF 1792</v>
      </c>
      <c r="J1850" s="2" t="str">
        <v>Nome 1792</v>
      </c>
      <c r="K1850" s="8" t="str">
        <v>Tel 1792</v>
      </c>
      <c r="L1850" s="8" t="str">
        <v>Cep 1792</v>
      </c>
      <c r="M1850" s="8" t="str">
        <v>Rua 1792</v>
      </c>
      <c r="N1850" s="8" t="str">
        <v>Comp 1792</v>
      </c>
      <c r="O1850" s="8" t="str">
        <v>Máquina de cortar cabelo dragão</v>
      </c>
      <c r="P1850" s="8" t="str">
        <v>NQ-IMR8-W6Q4</v>
      </c>
      <c r="Q1850" s="4">
        <v>45857</v>
      </c>
      <c r="R1850" s="109">
        <v>21.19</v>
      </c>
      <c r="S1850" s="11">
        <f ca="1"/>
        <v>0</v>
      </c>
      <c r="T1850" s="28">
        <f ca="1"/>
        <v>0</v>
      </c>
      <c r="U1850" s="11">
        <f ca="1"/>
        <v>0</v>
      </c>
      <c r="V1850" s="11">
        <v>0</v>
      </c>
      <c r="W1850" s="11">
        <f ca="1"/>
        <v>0</v>
      </c>
      <c r="X1850" s="11">
        <f ca="1"/>
        <v>0</v>
      </c>
      <c r="Y1850" s="11">
        <v>0</v>
      </c>
      <c r="Z1850" s="11">
        <f ca="1"/>
        <v>0</v>
      </c>
      <c r="AA1850" s="11">
        <f ca="1"/>
        <v>0</v>
      </c>
      <c r="AB1850" s="4">
        <f ca="1"/>
        <v>45864</v>
      </c>
      <c r="AC1850" s="4">
        <v>45864</v>
      </c>
      <c r="AD1850" s="9">
        <v>45870</v>
      </c>
      <c r="AE1850" s="9">
        <v>45873</v>
      </c>
      <c r="AF1850" s="4" t="str">
        <f t="shared" ca="1" si="133"/>
        <v>2025 07</v>
      </c>
      <c r="AG1850" s="8" t="str" cm="1">
        <f t="array" ref="AG1850">IFERROR(_xlfn.IFS('Banco de Dados'!#REF!="AG. COMPRA","Em processamento",'Banco de Dados'!#REF!="AG. RASTREIO","Em processamento",'Banco de Dados'!$AE1850&lt;&gt;"-","Faturado",'Banco de Dados'!$AD1850&lt;&gt;"-","Aguardando Pix",'Banco de Dados'!$AC1850&lt;&gt;"-","Pendente"),"Aguardando Liberação")</f>
        <v>Aguardando Liberação</v>
      </c>
      <c r="AH1850" s="5" t="str">
        <f ca="1">IF('Banco de Dados'!$F1850="-",_xlfn.CONCAT(PROPER(TEXT(AK1850,"aaaa"))," ",PROPER(TEXT(AK1850,"mm"))),_xlfn.CONCAT(PROPER(TEXT(E1850,"aaaa"))," ",PROPER(TEXT(E1850,"mm"))))</f>
        <v>2025 07</v>
      </c>
      <c r="AI1850" s="9" t="str">
        <f ca="1">IF('Banco de Dados'!$AK1850&lt;&gt;"-","REEMBOLSO",IFERROR(_xlfn.XLOOKUP(G1850,Follow[CODRASTREIO],Follow[STATUS]),"-"))</f>
        <v>REEMBOLSO</v>
      </c>
      <c r="AJ1850" s="9" t="str">
        <f ca="1">IF('Banco de Dados'!$AI1850="ENTREGUE",_xlfn.XLOOKUP('Banco de Dados'!$G1850,Follow[CODRASTREIO],Follow[DATAATUALIZAÇÃO]),"-")</f>
        <v>-</v>
      </c>
      <c r="AK1850" s="132">
        <f ca="1"/>
        <v>45840</v>
      </c>
      <c r="AL1850" s="35"/>
      <c r="AM1850" s="109" cm="1">
        <f t="array" aca="1" ref="AM1850" ca="1">IF('Banco de Dados'!$AK1850&lt;&gt;"-",_xlfn.IFS('Banco de Dados'!$A1850="bv",IF('Banco de Dados'!$E1850&lt;45641,ROUND(SUM('Banco de Dados'!$R1850*_xlfn.XLOOKUP('Banco de Dados'!$P1850,Sku!B:B,Sku!#REF!)*20%),2),ROUND(SUM('Banco de Dados'!$R1850*_xlfn.XLOOKUP('Banco de Dados'!$P1850,Sku!B:B,Sku!H:H)*20%),2)),'Banco de Dados'!$A1850="GO",ROUND(_xlfn.XLOOKUP('Banco de Dados'!$P1850,Sku!C:C,Sku!H:H),2),'Banco de Dados'!$A1850="MEI",ROUND(_xlfn.XLOOKUP('Banco de Dados'!$P1850,Sku!D:D,Sku!H:H),2)),0)</f>
        <v>0.51</v>
      </c>
      <c r="AN1850" s="109">
        <f ca="1">IF('Banco de Dados'!$AK1850&lt;&gt;"-",IF('Banco de Dados'!$F1850&lt;&gt;"-",_xlfn.XLOOKUP(IFERROR(IFERROR(IFERROR(VALUE(SUBSTITUTE(MID(_xlfn.TEXTAFTER('Banco de Dados'!$F1850,"Data do Pedido:
",1),1,10),"-","/")),VALUE(SUBSTITUTE(MID(_xlfn.TEXTAFTER('Banco de Dados'!$F1850,"Order date:
",1),1,10),"-","/"))),VALUE(SUBSTITUTE(MID(_xlfn.TEXTAFTER('Banco de Dados'!$F1850,"Fecha de pedido:
",1),1,10),"-","/"))),"-"),SMS!A:A,SMS!K:K),0),0)</f>
        <v>0</v>
      </c>
      <c r="AO1850" s="109">
        <f ca="1">IF('Banco de Dados'!$AK1850&lt;&gt;"-",IF('Banco de Dados'!$F1850&lt;&gt;"-",IFERROR(_xlfn.XLOOKUP(_xlfn.CONCAT('Banco de Dados'!$A1850,IFERROR(IFERROR(VALUE(SUBSTITUTE(MID(_xlfn.TEXTAFTER('Banco de Dados'!$F1850,"Data do Pedido:
",1),1,10),"-","/")),VALUE(SUBSTITUTE(MID(_xlfn.TEXTAFTER('Banco de Dados'!$F1850,"Order date:
",1),1,10),"-","/"))),0)),ProxyDD[Chave],ProxyDD[Valor por pedido]),PROXY!$P$2),0),0)</f>
        <v>0</v>
      </c>
      <c r="AP1850" s="28">
        <f ca="1">IF('Banco de Dados'!$AK1850&lt;&gt;"-",IF('Banco de Dados'!$AL1850="NÃO",IFERROR(VALUE(SUBSTITUTE(_xlfn.TEXTAFTER('Banco de Dados'!$F1850,"BRL ",1),".",",")),0),0),0)</f>
        <v>0</v>
      </c>
      <c r="AQ1850" s="28">
        <f ca="1">SUM('Banco de Dados'!$AM1850:$AP1850)</f>
        <v>0.51</v>
      </c>
      <c r="AR1850" s="8"/>
      <c r="AS1850" s="8"/>
      <c r="AT1850"/>
      <c r="AY1850" s="8"/>
    </row>
    <row r="1851" spans="1:51">
      <c r="A1851" s="5" t="str">
        <v>BV</v>
      </c>
      <c r="B1851" s="5" t="str">
        <f ca="1"/>
        <v>BV-</v>
      </c>
      <c r="C1851" s="8" t="str">
        <v>Pedido 1837</v>
      </c>
      <c r="D1851" s="187">
        <v>45832</v>
      </c>
      <c r="E1851" s="9" t="str">
        <v>-</v>
      </c>
      <c r="F1851" s="8" t="str">
        <v>-</v>
      </c>
      <c r="G1851" s="2" t="str">
        <v>-</v>
      </c>
      <c r="H1851" s="5">
        <v>1</v>
      </c>
      <c r="I1851" s="182" t="str">
        <v>CPF 1793</v>
      </c>
      <c r="J1851" s="2" t="str">
        <v>Nome 1793</v>
      </c>
      <c r="K1851" s="8" t="str">
        <v>Tel 1793</v>
      </c>
      <c r="L1851" s="8" t="str">
        <v>Cep 1793</v>
      </c>
      <c r="M1851" s="8" t="str">
        <v>Rua 1793</v>
      </c>
      <c r="N1851" s="8" t="str">
        <v>Comp 1793</v>
      </c>
      <c r="O1851" s="8" t="str">
        <v>Máquina de cortar cabelo dragão</v>
      </c>
      <c r="P1851" s="8" t="str">
        <v>NQ-IMR8-W6Q4</v>
      </c>
      <c r="Q1851" s="4">
        <v>45857</v>
      </c>
      <c r="R1851" s="109">
        <v>21.19</v>
      </c>
      <c r="S1851" s="11">
        <f ca="1"/>
        <v>0</v>
      </c>
      <c r="T1851" s="28">
        <f ca="1"/>
        <v>0</v>
      </c>
      <c r="U1851" s="11">
        <f ca="1"/>
        <v>0</v>
      </c>
      <c r="V1851" s="11">
        <v>0</v>
      </c>
      <c r="W1851" s="11">
        <f ca="1"/>
        <v>0</v>
      </c>
      <c r="X1851" s="11">
        <f ca="1"/>
        <v>0</v>
      </c>
      <c r="Y1851" s="11">
        <v>0</v>
      </c>
      <c r="Z1851" s="11">
        <f ca="1"/>
        <v>0</v>
      </c>
      <c r="AA1851" s="11">
        <f ca="1"/>
        <v>0</v>
      </c>
      <c r="AB1851" s="4">
        <f ca="1"/>
        <v>45864</v>
      </c>
      <c r="AC1851" s="4">
        <v>45864</v>
      </c>
      <c r="AD1851" s="9">
        <v>45870</v>
      </c>
      <c r="AE1851" s="9">
        <v>45873</v>
      </c>
      <c r="AF1851" s="4" t="str">
        <f t="shared" ca="1" si="133"/>
        <v>2025 07</v>
      </c>
      <c r="AG1851" s="8" t="str" cm="1">
        <f t="array" ref="AG1851">IFERROR(_xlfn.IFS('Banco de Dados'!#REF!="AG. COMPRA","Em processamento",'Banco de Dados'!#REF!="AG. RASTREIO","Em processamento",'Banco de Dados'!$AE1851&lt;&gt;"-","Faturado",'Banco de Dados'!$AD1851&lt;&gt;"-","Aguardando Pix",'Banco de Dados'!$AC1851&lt;&gt;"-","Pendente"),"Aguardando Liberação")</f>
        <v>Aguardando Liberação</v>
      </c>
      <c r="AH1851" s="5" t="str">
        <f ca="1">IF('Banco de Dados'!$F1851="-",_xlfn.CONCAT(PROPER(TEXT(AK1851,"aaaa"))," ",PROPER(TEXT(AK1851,"mm"))),_xlfn.CONCAT(PROPER(TEXT(E1851,"aaaa"))," ",PROPER(TEXT(E1851,"mm"))))</f>
        <v>2025 07</v>
      </c>
      <c r="AI1851" s="9" t="str">
        <f ca="1">IF('Banco de Dados'!$AK1851&lt;&gt;"-","REEMBOLSO",IFERROR(_xlfn.XLOOKUP(G1851,Follow[CODRASTREIO],Follow[STATUS]),"-"))</f>
        <v>REEMBOLSO</v>
      </c>
      <c r="AJ1851" s="9" t="str">
        <f ca="1">IF('Banco de Dados'!$AI1851="ENTREGUE",_xlfn.XLOOKUP('Banco de Dados'!$G1851,Follow[CODRASTREIO],Follow[DATAATUALIZAÇÃO]),"-")</f>
        <v>-</v>
      </c>
      <c r="AK1851" s="132">
        <f ca="1"/>
        <v>45840</v>
      </c>
      <c r="AL1851" s="35"/>
      <c r="AM1851" s="109" cm="1">
        <f t="array" aca="1" ref="AM1851" ca="1">IF('Banco de Dados'!$AK1851&lt;&gt;"-",_xlfn.IFS('Banco de Dados'!$A1851="bv",IF('Banco de Dados'!$E1851&lt;45641,ROUND(SUM('Banco de Dados'!$R1851*_xlfn.XLOOKUP('Banco de Dados'!$P1851,Sku!B:B,Sku!#REF!)*20%),2),ROUND(SUM('Banco de Dados'!$R1851*_xlfn.XLOOKUP('Banco de Dados'!$P1851,Sku!B:B,Sku!H:H)*20%),2)),'Banco de Dados'!$A1851="GO",ROUND(_xlfn.XLOOKUP('Banco de Dados'!$P1851,Sku!C:C,Sku!H:H),2),'Banco de Dados'!$A1851="MEI",ROUND(_xlfn.XLOOKUP('Banco de Dados'!$P1851,Sku!D:D,Sku!H:H),2)),0)</f>
        <v>0.51</v>
      </c>
      <c r="AN1851" s="109">
        <f ca="1">IF('Banco de Dados'!$AK1851&lt;&gt;"-",IF('Banco de Dados'!$F1851&lt;&gt;"-",_xlfn.XLOOKUP(IFERROR(IFERROR(IFERROR(VALUE(SUBSTITUTE(MID(_xlfn.TEXTAFTER('Banco de Dados'!$F1851,"Data do Pedido:
",1),1,10),"-","/")),VALUE(SUBSTITUTE(MID(_xlfn.TEXTAFTER('Banco de Dados'!$F1851,"Order date:
",1),1,10),"-","/"))),VALUE(SUBSTITUTE(MID(_xlfn.TEXTAFTER('Banco de Dados'!$F1851,"Fecha de pedido:
",1),1,10),"-","/"))),"-"),SMS!A:A,SMS!K:K),0),0)</f>
        <v>0</v>
      </c>
      <c r="AO1851" s="109">
        <f ca="1">IF('Banco de Dados'!$AK1851&lt;&gt;"-",IF('Banco de Dados'!$F1851&lt;&gt;"-",IFERROR(_xlfn.XLOOKUP(_xlfn.CONCAT('Banco de Dados'!$A1851,IFERROR(IFERROR(VALUE(SUBSTITUTE(MID(_xlfn.TEXTAFTER('Banco de Dados'!$F1851,"Data do Pedido:
",1),1,10),"-","/")),VALUE(SUBSTITUTE(MID(_xlfn.TEXTAFTER('Banco de Dados'!$F1851,"Order date:
",1),1,10),"-","/"))),0)),ProxyDD[Chave],ProxyDD[Valor por pedido]),PROXY!$P$2),0),0)</f>
        <v>0</v>
      </c>
      <c r="AP1851" s="28">
        <f ca="1">IF('Banco de Dados'!$AK1851&lt;&gt;"-",IF('Banco de Dados'!$AL1851="NÃO",IFERROR(VALUE(SUBSTITUTE(_xlfn.TEXTAFTER('Banco de Dados'!$F1851,"BRL ",1),".",",")),0),0),0)</f>
        <v>0</v>
      </c>
      <c r="AQ1851" s="28">
        <f ca="1">SUM('Banco de Dados'!$AM1851:$AP1851)</f>
        <v>0.51</v>
      </c>
      <c r="AR1851" s="8"/>
      <c r="AS1851" s="8"/>
      <c r="AT1851"/>
      <c r="AY1851" s="8"/>
    </row>
    <row r="1852" spans="1:51">
      <c r="A1852" s="5" t="str">
        <v>BV</v>
      </c>
      <c r="B1852" s="5" t="str">
        <f ca="1"/>
        <v>BV-</v>
      </c>
      <c r="C1852" s="8" t="str">
        <v>Pedido 1838</v>
      </c>
      <c r="D1852" s="187">
        <v>45832</v>
      </c>
      <c r="E1852" s="9" t="str">
        <v>-</v>
      </c>
      <c r="F1852" s="8" t="str">
        <v>-</v>
      </c>
      <c r="G1852" s="2" t="str">
        <v>-</v>
      </c>
      <c r="H1852" s="5">
        <v>1</v>
      </c>
      <c r="I1852" s="182" t="str">
        <v>CPF 1794</v>
      </c>
      <c r="J1852" s="2" t="str">
        <v>Nome 1794</v>
      </c>
      <c r="K1852" s="8" t="str">
        <v>Tel 1794</v>
      </c>
      <c r="L1852" s="8" t="str">
        <v>Cep 1794</v>
      </c>
      <c r="M1852" s="8" t="str">
        <v>Rua 1794</v>
      </c>
      <c r="N1852" s="8" t="str">
        <v>Comp 1794</v>
      </c>
      <c r="O1852" s="8" t="str">
        <v>Máquina de cortar cabelo dragão</v>
      </c>
      <c r="P1852" s="8" t="str">
        <v>HG-2FNR-01A9</v>
      </c>
      <c r="Q1852" s="4">
        <v>45857</v>
      </c>
      <c r="R1852" s="109">
        <v>21.99</v>
      </c>
      <c r="S1852" s="11">
        <f ca="1"/>
        <v>0</v>
      </c>
      <c r="T1852" s="28">
        <f ca="1"/>
        <v>0</v>
      </c>
      <c r="U1852" s="11">
        <f ca="1"/>
        <v>0</v>
      </c>
      <c r="V1852" s="11">
        <v>0</v>
      </c>
      <c r="W1852" s="11">
        <f ca="1"/>
        <v>0</v>
      </c>
      <c r="X1852" s="11">
        <f ca="1"/>
        <v>0</v>
      </c>
      <c r="Y1852" s="11">
        <v>0</v>
      </c>
      <c r="Z1852" s="11">
        <f ca="1"/>
        <v>0</v>
      </c>
      <c r="AA1852" s="11">
        <f ca="1"/>
        <v>0</v>
      </c>
      <c r="AB1852" s="4">
        <f ca="1"/>
        <v>45864</v>
      </c>
      <c r="AC1852" s="4">
        <v>45864</v>
      </c>
      <c r="AD1852" s="9">
        <v>45870</v>
      </c>
      <c r="AE1852" s="9">
        <v>45873</v>
      </c>
      <c r="AF1852" s="4" t="str">
        <f t="shared" ca="1" si="133"/>
        <v>2025 07</v>
      </c>
      <c r="AG1852" s="8" t="str" cm="1">
        <f t="array" ref="AG1852">IFERROR(_xlfn.IFS('Banco de Dados'!#REF!="AG. COMPRA","Em processamento",'Banco de Dados'!#REF!="AG. RASTREIO","Em processamento",'Banco de Dados'!$AE1852&lt;&gt;"-","Faturado",'Banco de Dados'!$AD1852&lt;&gt;"-","Aguardando Pix",'Banco de Dados'!$AC1852&lt;&gt;"-","Pendente"),"Aguardando Liberação")</f>
        <v>Aguardando Liberação</v>
      </c>
      <c r="AH1852" s="5" t="str">
        <f ca="1">IF('Banco de Dados'!$F1852="-",_xlfn.CONCAT(PROPER(TEXT(AK1852,"aaaa"))," ",PROPER(TEXT(AK1852,"mm"))),_xlfn.CONCAT(PROPER(TEXT(E1852,"aaaa"))," ",PROPER(TEXT(E1852,"mm"))))</f>
        <v>2025 07</v>
      </c>
      <c r="AI1852" s="9" t="str">
        <f ca="1">IF('Banco de Dados'!$AK1852&lt;&gt;"-","REEMBOLSO",IFERROR(_xlfn.XLOOKUP(G1852,Follow[CODRASTREIO],Follow[STATUS]),"-"))</f>
        <v>REEMBOLSO</v>
      </c>
      <c r="AJ1852" s="9" t="str">
        <f ca="1">IF('Banco de Dados'!$AI1852="ENTREGUE",_xlfn.XLOOKUP('Banco de Dados'!$G1852,Follow[CODRASTREIO],Follow[DATAATUALIZAÇÃO]),"-")</f>
        <v>-</v>
      </c>
      <c r="AK1852" s="132">
        <f ca="1"/>
        <v>45841</v>
      </c>
      <c r="AL1852" s="35"/>
      <c r="AM1852" s="109" cm="1">
        <f t="array" aca="1" ref="AM1852" ca="1">IF('Banco de Dados'!$AK1852&lt;&gt;"-",_xlfn.IFS('Banco de Dados'!$A1852="bv",IF('Banco de Dados'!$E1852&lt;45641,ROUND(SUM('Banco de Dados'!$R1852*_xlfn.XLOOKUP('Banco de Dados'!$P1852,Sku!B:B,Sku!#REF!)*20%),2),ROUND(SUM('Banco de Dados'!$R1852*_xlfn.XLOOKUP('Banco de Dados'!$P1852,Sku!B:B,Sku!H:H)*20%),2)),'Banco de Dados'!$A1852="GO",ROUND(_xlfn.XLOOKUP('Banco de Dados'!$P1852,Sku!C:C,Sku!H:H),2),'Banco de Dados'!$A1852="MEI",ROUND(_xlfn.XLOOKUP('Banco de Dados'!$P1852,Sku!D:D,Sku!H:H),2)),0)</f>
        <v>0.56999999999999995</v>
      </c>
      <c r="AN1852" s="109">
        <f ca="1">IF('Banco de Dados'!$AK1852&lt;&gt;"-",IF('Banco de Dados'!$F1852&lt;&gt;"-",_xlfn.XLOOKUP(IFERROR(IFERROR(IFERROR(VALUE(SUBSTITUTE(MID(_xlfn.TEXTAFTER('Banco de Dados'!$F1852,"Data do Pedido:
",1),1,10),"-","/")),VALUE(SUBSTITUTE(MID(_xlfn.TEXTAFTER('Banco de Dados'!$F1852,"Order date:
",1),1,10),"-","/"))),VALUE(SUBSTITUTE(MID(_xlfn.TEXTAFTER('Banco de Dados'!$F1852,"Fecha de pedido:
",1),1,10),"-","/"))),"-"),SMS!A:A,SMS!K:K),0),0)</f>
        <v>0</v>
      </c>
      <c r="AO1852" s="109">
        <f ca="1">IF('Banco de Dados'!$AK1852&lt;&gt;"-",IF('Banco de Dados'!$F1852&lt;&gt;"-",IFERROR(_xlfn.XLOOKUP(_xlfn.CONCAT('Banco de Dados'!$A1852,IFERROR(IFERROR(VALUE(SUBSTITUTE(MID(_xlfn.TEXTAFTER('Banco de Dados'!$F1852,"Data do Pedido:
",1),1,10),"-","/")),VALUE(SUBSTITUTE(MID(_xlfn.TEXTAFTER('Banco de Dados'!$F1852,"Order date:
",1),1,10),"-","/"))),0)),ProxyDD[Chave],ProxyDD[Valor por pedido]),PROXY!$P$2),0),0)</f>
        <v>0</v>
      </c>
      <c r="AP1852" s="28">
        <f ca="1">IF('Banco de Dados'!$AK1852&lt;&gt;"-",IF('Banco de Dados'!$AL1852="NÃO",IFERROR(VALUE(SUBSTITUTE(_xlfn.TEXTAFTER('Banco de Dados'!$F1852,"BRL ",1),".",",")),0),0),0)</f>
        <v>0</v>
      </c>
      <c r="AQ1852" s="28">
        <f ca="1">SUM('Banco de Dados'!$AM1852:$AP1852)</f>
        <v>0.56999999999999995</v>
      </c>
      <c r="AR1852" s="8"/>
      <c r="AS1852" s="8"/>
      <c r="AT1852"/>
      <c r="AY1852" s="8"/>
    </row>
    <row r="1853" spans="1:51">
      <c r="A1853" s="5" t="str">
        <v>BV</v>
      </c>
      <c r="B1853" s="5" t="str">
        <f ca="1"/>
        <v>BV-</v>
      </c>
      <c r="C1853" s="8" t="str">
        <v>Pedido 1839</v>
      </c>
      <c r="D1853" s="187">
        <v>45833</v>
      </c>
      <c r="E1853" s="9" t="str">
        <v>-</v>
      </c>
      <c r="F1853" s="8" t="str">
        <v>-</v>
      </c>
      <c r="G1853" s="2" t="str">
        <v>-</v>
      </c>
      <c r="H1853" s="5">
        <v>1</v>
      </c>
      <c r="I1853" s="182" t="str">
        <v>CPF 1795</v>
      </c>
      <c r="J1853" s="2" t="str">
        <v>Nome 1795</v>
      </c>
      <c r="K1853" s="8" t="str">
        <v>Tel 1795</v>
      </c>
      <c r="L1853" s="8" t="str">
        <v>Cep 1795</v>
      </c>
      <c r="M1853" s="8" t="str">
        <v>Rua 1795</v>
      </c>
      <c r="N1853" s="8" t="str">
        <v>Comp 1795</v>
      </c>
      <c r="O1853" s="8" t="str">
        <v>Máquina de cortar cabelo dragão</v>
      </c>
      <c r="P1853" s="8" t="str">
        <v>NQ-IMR8-W6Q4</v>
      </c>
      <c r="Q1853" s="4">
        <v>45857</v>
      </c>
      <c r="R1853" s="109">
        <v>21.19</v>
      </c>
      <c r="S1853" s="11">
        <f ca="1"/>
        <v>0</v>
      </c>
      <c r="T1853" s="28">
        <f ca="1"/>
        <v>0</v>
      </c>
      <c r="U1853" s="11">
        <f ca="1"/>
        <v>0</v>
      </c>
      <c r="V1853" s="11">
        <v>0</v>
      </c>
      <c r="W1853" s="11">
        <f ca="1"/>
        <v>0</v>
      </c>
      <c r="X1853" s="11">
        <f ca="1"/>
        <v>0</v>
      </c>
      <c r="Y1853" s="11">
        <v>0</v>
      </c>
      <c r="Z1853" s="11">
        <f ca="1"/>
        <v>0</v>
      </c>
      <c r="AA1853" s="11">
        <f ca="1"/>
        <v>0</v>
      </c>
      <c r="AB1853" s="4">
        <f ca="1"/>
        <v>45864</v>
      </c>
      <c r="AC1853" s="4">
        <v>45864</v>
      </c>
      <c r="AD1853" s="9">
        <v>45870</v>
      </c>
      <c r="AE1853" s="9">
        <v>45873</v>
      </c>
      <c r="AF1853" s="4" t="str">
        <f t="shared" ref="AF1853:AF1859" ca="1" si="134">_xlfn.CONCAT(PROPER(TEXT(AB1853,"aaaa"))," ",PROPER(TEXT(AB1853,"mm")))</f>
        <v>2025 07</v>
      </c>
      <c r="AG1853" s="8" t="str" cm="1">
        <f t="array" ref="AG1853">IFERROR(_xlfn.IFS('Banco de Dados'!#REF!="AG. COMPRA","Em processamento",'Banco de Dados'!#REF!="AG. RASTREIO","Em processamento",'Banco de Dados'!$AE1853&lt;&gt;"-","Faturado",'Banco de Dados'!$AD1853&lt;&gt;"-","Aguardando Pix",'Banco de Dados'!$AC1853&lt;&gt;"-","Pendente"),"Aguardando Liberação")</f>
        <v>Aguardando Liberação</v>
      </c>
      <c r="AH1853" s="5" t="str">
        <f ca="1">IF('Banco de Dados'!$F1853="-",_xlfn.CONCAT(PROPER(TEXT(AK1853,"aaaa"))," ",PROPER(TEXT(AK1853,"mm"))),_xlfn.CONCAT(PROPER(TEXT(E1853,"aaaa"))," ",PROPER(TEXT(E1853,"mm"))))</f>
        <v>2025 07</v>
      </c>
      <c r="AI1853" s="9" t="str">
        <f ca="1">IF('Banco de Dados'!$AK1853&lt;&gt;"-","REEMBOLSO",IFERROR(_xlfn.XLOOKUP(G1853,Follow[CODRASTREIO],Follow[STATUS]),"-"))</f>
        <v>REEMBOLSO</v>
      </c>
      <c r="AJ1853" s="9" t="str">
        <f ca="1">IF('Banco de Dados'!$AI1853="ENTREGUE",_xlfn.XLOOKUP('Banco de Dados'!$G1853,Follow[CODRASTREIO],Follow[DATAATUALIZAÇÃO]),"-")</f>
        <v>-</v>
      </c>
      <c r="AK1853" s="132">
        <f ca="1"/>
        <v>45841</v>
      </c>
      <c r="AL1853" s="35"/>
      <c r="AM1853" s="109" cm="1">
        <f t="array" aca="1" ref="AM1853" ca="1">IF('Banco de Dados'!$AK1853&lt;&gt;"-",_xlfn.IFS('Banco de Dados'!$A1853="bv",IF('Banco de Dados'!$E1853&lt;45641,ROUND(SUM('Banco de Dados'!$R1853*_xlfn.XLOOKUP('Banco de Dados'!$P1853,Sku!B:B,Sku!#REF!)*20%),2),ROUND(SUM('Banco de Dados'!$R1853*_xlfn.XLOOKUP('Banco de Dados'!$P1853,Sku!B:B,Sku!H:H)*20%),2)),'Banco de Dados'!$A1853="GO",ROUND(_xlfn.XLOOKUP('Banco de Dados'!$P1853,Sku!C:C,Sku!H:H),2),'Banco de Dados'!$A1853="MEI",ROUND(_xlfn.XLOOKUP('Banco de Dados'!$P1853,Sku!D:D,Sku!H:H),2)),0)</f>
        <v>0.51</v>
      </c>
      <c r="AN1853" s="109">
        <f ca="1">IF('Banco de Dados'!$AK1853&lt;&gt;"-",IF('Banco de Dados'!$F1853&lt;&gt;"-",_xlfn.XLOOKUP(IFERROR(IFERROR(IFERROR(VALUE(SUBSTITUTE(MID(_xlfn.TEXTAFTER('Banco de Dados'!$F1853,"Data do Pedido:
",1),1,10),"-","/")),VALUE(SUBSTITUTE(MID(_xlfn.TEXTAFTER('Banco de Dados'!$F1853,"Order date:
",1),1,10),"-","/"))),VALUE(SUBSTITUTE(MID(_xlfn.TEXTAFTER('Banco de Dados'!$F1853,"Fecha de pedido:
",1),1,10),"-","/"))),"-"),SMS!A:A,SMS!K:K),0),0)</f>
        <v>0</v>
      </c>
      <c r="AO1853" s="109">
        <f ca="1">IF('Banco de Dados'!$AK1853&lt;&gt;"-",IF('Banco de Dados'!$F1853&lt;&gt;"-",IFERROR(_xlfn.XLOOKUP(_xlfn.CONCAT('Banco de Dados'!$A1853,IFERROR(IFERROR(VALUE(SUBSTITUTE(MID(_xlfn.TEXTAFTER('Banco de Dados'!$F1853,"Data do Pedido:
",1),1,10),"-","/")),VALUE(SUBSTITUTE(MID(_xlfn.TEXTAFTER('Banco de Dados'!$F1853,"Order date:
",1),1,10),"-","/"))),0)),ProxyDD[Chave],ProxyDD[Valor por pedido]),PROXY!$P$2),0),0)</f>
        <v>0</v>
      </c>
      <c r="AP1853" s="28">
        <f ca="1">IF('Banco de Dados'!$AK1853&lt;&gt;"-",IF('Banco de Dados'!$AL1853="NÃO",IFERROR(VALUE(SUBSTITUTE(_xlfn.TEXTAFTER('Banco de Dados'!$F1853,"BRL ",1),".",",")),0),0),0)</f>
        <v>0</v>
      </c>
      <c r="AQ1853" s="28">
        <f ca="1">SUM('Banco de Dados'!$AM1853:$AP1853)</f>
        <v>0.51</v>
      </c>
      <c r="AR1853" s="8"/>
      <c r="AS1853" s="8"/>
      <c r="AT1853"/>
      <c r="AY1853" s="8"/>
    </row>
    <row r="1854" spans="1:51">
      <c r="A1854" s="5" t="str">
        <v>BV</v>
      </c>
      <c r="B1854" s="5" t="str">
        <f ca="1"/>
        <v>BV-</v>
      </c>
      <c r="C1854" s="8" t="str">
        <v>Pedido 1840</v>
      </c>
      <c r="D1854" s="187">
        <v>45833</v>
      </c>
      <c r="E1854" s="9" t="str">
        <v>-</v>
      </c>
      <c r="F1854" s="8" t="str">
        <v>-</v>
      </c>
      <c r="G1854" s="2" t="str">
        <v>-</v>
      </c>
      <c r="H1854" s="5">
        <v>1</v>
      </c>
      <c r="I1854" s="182" t="str">
        <v>CPF 1796</v>
      </c>
      <c r="J1854" s="2" t="str">
        <v>Nome 1796</v>
      </c>
      <c r="K1854" s="8" t="str">
        <v>Tel 1796</v>
      </c>
      <c r="L1854" s="8" t="str">
        <v>Cep 1796</v>
      </c>
      <c r="M1854" s="8" t="str">
        <v>Rua 1796</v>
      </c>
      <c r="N1854" s="8" t="str">
        <v>Comp 1796</v>
      </c>
      <c r="O1854" s="8" t="str">
        <v>Máquina de cortar cabelo dragão</v>
      </c>
      <c r="P1854" s="8" t="str">
        <v>NQ-IMR8-W6Q4</v>
      </c>
      <c r="Q1854" s="4">
        <v>45857</v>
      </c>
      <c r="R1854" s="109">
        <v>23.9</v>
      </c>
      <c r="S1854" s="11">
        <f ca="1"/>
        <v>0</v>
      </c>
      <c r="T1854" s="28">
        <f ca="1"/>
        <v>0</v>
      </c>
      <c r="U1854" s="11">
        <f ca="1"/>
        <v>0</v>
      </c>
      <c r="V1854" s="11">
        <v>0</v>
      </c>
      <c r="W1854" s="11">
        <f ca="1"/>
        <v>0</v>
      </c>
      <c r="X1854" s="11">
        <f ca="1"/>
        <v>0</v>
      </c>
      <c r="Y1854" s="11">
        <v>0</v>
      </c>
      <c r="Z1854" s="11">
        <f ca="1"/>
        <v>0</v>
      </c>
      <c r="AA1854" s="11">
        <f ca="1"/>
        <v>0</v>
      </c>
      <c r="AB1854" s="4">
        <f ca="1"/>
        <v>45864</v>
      </c>
      <c r="AC1854" s="4">
        <v>45864</v>
      </c>
      <c r="AD1854" s="9">
        <v>45870</v>
      </c>
      <c r="AE1854" s="9">
        <v>45873</v>
      </c>
      <c r="AF1854" s="4" t="str">
        <f t="shared" ca="1" si="134"/>
        <v>2025 07</v>
      </c>
      <c r="AG1854" s="8" t="str" cm="1">
        <f t="array" ref="AG1854">IFERROR(_xlfn.IFS('Banco de Dados'!#REF!="AG. COMPRA","Em processamento",'Banco de Dados'!#REF!="AG. RASTREIO","Em processamento",'Banco de Dados'!$AE1854&lt;&gt;"-","Faturado",'Banco de Dados'!$AD1854&lt;&gt;"-","Aguardando Pix",'Banco de Dados'!$AC1854&lt;&gt;"-","Pendente"),"Aguardando Liberação")</f>
        <v>Aguardando Liberação</v>
      </c>
      <c r="AH1854" s="5" t="str">
        <f ca="1">IF('Banco de Dados'!$F1854="-",_xlfn.CONCAT(PROPER(TEXT(AK1854,"aaaa"))," ",PROPER(TEXT(AK1854,"mm"))),_xlfn.CONCAT(PROPER(TEXT(E1854,"aaaa"))," ",PROPER(TEXT(E1854,"mm"))))</f>
        <v>2025 07</v>
      </c>
      <c r="AI1854" s="9" t="str">
        <f ca="1">IF('Banco de Dados'!$AK1854&lt;&gt;"-","REEMBOLSO",IFERROR(_xlfn.XLOOKUP(G1854,Follow[CODRASTREIO],Follow[STATUS]),"-"))</f>
        <v>REEMBOLSO</v>
      </c>
      <c r="AJ1854" s="9" t="str">
        <f ca="1">IF('Banco de Dados'!$AI1854="ENTREGUE",_xlfn.XLOOKUP('Banco de Dados'!$G1854,Follow[CODRASTREIO],Follow[DATAATUALIZAÇÃO]),"-")</f>
        <v>-</v>
      </c>
      <c r="AK1854" s="132">
        <f ca="1"/>
        <v>45841</v>
      </c>
      <c r="AL1854" s="35"/>
      <c r="AM1854" s="109" cm="1">
        <f t="array" aca="1" ref="AM1854" ca="1">IF('Banco de Dados'!$AK1854&lt;&gt;"-",_xlfn.IFS('Banco de Dados'!$A1854="bv",IF('Banco de Dados'!$E1854&lt;45641,ROUND(SUM('Banco de Dados'!$R1854*_xlfn.XLOOKUP('Banco de Dados'!$P1854,Sku!B:B,Sku!#REF!)*20%),2),ROUND(SUM('Banco de Dados'!$R1854*_xlfn.XLOOKUP('Banco de Dados'!$P1854,Sku!B:B,Sku!H:H)*20%),2)),'Banco de Dados'!$A1854="GO",ROUND(_xlfn.XLOOKUP('Banco de Dados'!$P1854,Sku!C:C,Sku!H:H),2),'Banco de Dados'!$A1854="MEI",ROUND(_xlfn.XLOOKUP('Banco de Dados'!$P1854,Sku!D:D,Sku!H:H),2)),0)</f>
        <v>0.56999999999999995</v>
      </c>
      <c r="AN1854" s="109">
        <f ca="1">IF('Banco de Dados'!$AK1854&lt;&gt;"-",IF('Banco de Dados'!$F1854&lt;&gt;"-",_xlfn.XLOOKUP(IFERROR(IFERROR(IFERROR(VALUE(SUBSTITUTE(MID(_xlfn.TEXTAFTER('Banco de Dados'!$F1854,"Data do Pedido:
",1),1,10),"-","/")),VALUE(SUBSTITUTE(MID(_xlfn.TEXTAFTER('Banco de Dados'!$F1854,"Order date:
",1),1,10),"-","/"))),VALUE(SUBSTITUTE(MID(_xlfn.TEXTAFTER('Banco de Dados'!$F1854,"Fecha de pedido:
",1),1,10),"-","/"))),"-"),SMS!A:A,SMS!K:K),0),0)</f>
        <v>0</v>
      </c>
      <c r="AO1854" s="109">
        <f ca="1">IF('Banco de Dados'!$AK1854&lt;&gt;"-",IF('Banco de Dados'!$F1854&lt;&gt;"-",IFERROR(_xlfn.XLOOKUP(_xlfn.CONCAT('Banco de Dados'!$A1854,IFERROR(IFERROR(VALUE(SUBSTITUTE(MID(_xlfn.TEXTAFTER('Banco de Dados'!$F1854,"Data do Pedido:
",1),1,10),"-","/")),VALUE(SUBSTITUTE(MID(_xlfn.TEXTAFTER('Banco de Dados'!$F1854,"Order date:
",1),1,10),"-","/"))),0)),ProxyDD[Chave],ProxyDD[Valor por pedido]),PROXY!$P$2),0),0)</f>
        <v>0</v>
      </c>
      <c r="AP1854" s="28">
        <f ca="1">IF('Banco de Dados'!$AK1854&lt;&gt;"-",IF('Banco de Dados'!$AL1854="NÃO",IFERROR(VALUE(SUBSTITUTE(_xlfn.TEXTAFTER('Banco de Dados'!$F1854,"BRL ",1),".",",")),0),0),0)</f>
        <v>0</v>
      </c>
      <c r="AQ1854" s="28">
        <f ca="1">SUM('Banco de Dados'!$AM1854:$AP1854)</f>
        <v>0.56999999999999995</v>
      </c>
      <c r="AR1854" s="8"/>
      <c r="AS1854" s="8"/>
      <c r="AT1854"/>
      <c r="AY1854" s="8"/>
    </row>
    <row r="1855" spans="1:51">
      <c r="A1855" s="5" t="str">
        <v>BV</v>
      </c>
      <c r="B1855" s="5" t="str">
        <f ca="1"/>
        <v>BV45839</v>
      </c>
      <c r="C1855" s="8" t="str">
        <v>Pedido 1841</v>
      </c>
      <c r="D1855" s="187">
        <v>45833</v>
      </c>
      <c r="E1855" s="9">
        <v>45839</v>
      </c>
      <c r="F1855" s="8" t="str">
        <v>PedidoF1726</v>
      </c>
      <c r="G1855" s="2" t="str">
        <v>CódRastreio1724</v>
      </c>
      <c r="H1855" s="5">
        <v>1</v>
      </c>
      <c r="I1855" s="182" t="str">
        <v>CPF 1797</v>
      </c>
      <c r="J1855" s="2" t="str">
        <v>Nome 1797</v>
      </c>
      <c r="K1855" s="8" t="str">
        <v>Tel 1797</v>
      </c>
      <c r="L1855" s="8" t="str">
        <v>Cep 1797</v>
      </c>
      <c r="M1855" s="8" t="str">
        <v>Rua 1797</v>
      </c>
      <c r="N1855" s="8" t="str">
        <v>Comp 1797</v>
      </c>
      <c r="O1855" s="8" t="str">
        <v>Máquina de cortar cabelo dragão</v>
      </c>
      <c r="P1855" s="8" t="str">
        <v>HG-2FNR-01A9</v>
      </c>
      <c r="Q1855" s="4">
        <v>45860</v>
      </c>
      <c r="R1855" s="109">
        <v>23.9</v>
      </c>
      <c r="S1855" s="11">
        <f ca="1"/>
        <v>0</v>
      </c>
      <c r="T1855" s="28">
        <f ca="1"/>
        <v>0</v>
      </c>
      <c r="U1855" s="11">
        <f ca="1"/>
        <v>0</v>
      </c>
      <c r="V1855" s="11">
        <v>0</v>
      </c>
      <c r="W1855" s="11">
        <f ca="1"/>
        <v>0</v>
      </c>
      <c r="X1855" s="11">
        <f ca="1"/>
        <v>0.39877104377104378</v>
      </c>
      <c r="Y1855" s="11">
        <v>0</v>
      </c>
      <c r="Z1855" s="11">
        <f ca="1"/>
        <v>-0.39877104377104378</v>
      </c>
      <c r="AA1855" s="11">
        <f ca="1"/>
        <v>-0.19938552188552189</v>
      </c>
      <c r="AB1855" s="4">
        <f ca="1"/>
        <v>45867</v>
      </c>
      <c r="AC1855" s="4">
        <v>45867</v>
      </c>
      <c r="AD1855" s="9">
        <v>45870</v>
      </c>
      <c r="AE1855" s="9">
        <v>45873</v>
      </c>
      <c r="AF1855" s="4" t="str">
        <f t="shared" ca="1" si="134"/>
        <v>2025 07</v>
      </c>
      <c r="AG1855" s="8" t="str" cm="1">
        <f t="array" ref="AG1855">IFERROR(_xlfn.IFS('Banco de Dados'!#REF!="AG. COMPRA","Em processamento",'Banco de Dados'!#REF!="AG. RASTREIO","Em processamento",'Banco de Dados'!$AE1855&lt;&gt;"-","Faturado",'Banco de Dados'!$AD1855&lt;&gt;"-","Aguardando Pix",'Banco de Dados'!$AC1855&lt;&gt;"-","Pendente"),"Aguardando Liberação")</f>
        <v>Aguardando Liberação</v>
      </c>
      <c r="AH1855" s="5" t="str">
        <f>IF('Banco de Dados'!$F1855="-",_xlfn.CONCAT(PROPER(TEXT(AK1855,"aaaa"))," ",PROPER(TEXT(AK1855,"mm"))),_xlfn.CONCAT(PROPER(TEXT(E1855,"aaaa"))," ",PROPER(TEXT(E1855,"mm"))))</f>
        <v>2025 07</v>
      </c>
      <c r="AI1855" s="9" t="str">
        <f ca="1">IF('Banco de Dados'!$AK1855&lt;&gt;"-","REEMBOLSO",IFERROR(_xlfn.XLOOKUP(G1855,Follow[CODRASTREIO],Follow[STATUS]),"-"))</f>
        <v>REEMBOLSO</v>
      </c>
      <c r="AJ1855" s="9" t="str">
        <f ca="1">IF('Banco de Dados'!$AI1855="ENTREGUE",_xlfn.XLOOKUP('Banco de Dados'!$G1855,Follow[CODRASTREIO],Follow[DATAATUALIZAÇÃO]),"-")</f>
        <v>-</v>
      </c>
      <c r="AK1855" s="132">
        <f ca="1"/>
        <v>45867</v>
      </c>
      <c r="AL1855" s="35"/>
      <c r="AM1855" s="109" cm="1">
        <f t="array" aca="1" ref="AM1855" ca="1">IF('Banco de Dados'!$AK1855&lt;&gt;"-",_xlfn.IFS('Banco de Dados'!$A1855="bv",IF('Banco de Dados'!$E1855&lt;45641,ROUND(SUM('Banco de Dados'!$R1855*_xlfn.XLOOKUP('Banco de Dados'!$P1855,Sku!B:B,Sku!#REF!)*20%),2),ROUND(SUM('Banco de Dados'!$R1855*_xlfn.XLOOKUP('Banco de Dados'!$P1855,Sku!B:B,Sku!H:H)*20%),2)),'Banco de Dados'!$A1855="GO",ROUND(_xlfn.XLOOKUP('Banco de Dados'!$P1855,Sku!C:C,Sku!H:H),2),'Banco de Dados'!$A1855="MEI",ROUND(_xlfn.XLOOKUP('Banco de Dados'!$P1855,Sku!D:D,Sku!H:H),2)),0)</f>
        <v>0.62</v>
      </c>
      <c r="AN1855" s="109" t="e">
        <f ca="1">IF('Banco de Dados'!$AK1855&lt;&gt;"-",IF('Banco de Dados'!$F1855&lt;&gt;"-",_xlfn.XLOOKUP(IFERROR(IFERROR(IFERROR(VALUE(SUBSTITUTE(MID(_xlfn.TEXTAFTER('Banco de Dados'!$F1855,"Data do Pedido:
",1),1,10),"-","/")),VALUE(SUBSTITUTE(MID(_xlfn.TEXTAFTER('Banco de Dados'!$F1855,"Order date:
",1),1,10),"-","/"))),VALUE(SUBSTITUTE(MID(_xlfn.TEXTAFTER('Banco de Dados'!$F1855,"Fecha de pedido:
",1),1,10),"-","/"))),"-"),SMS!A:A,SMS!K:K),0),0)</f>
        <v>#N/A</v>
      </c>
      <c r="AO1855" s="109">
        <f ca="1">IF('Banco de Dados'!$AK1855&lt;&gt;"-",IF('Banco de Dados'!$F1855&lt;&gt;"-",IFERROR(_xlfn.XLOOKUP(_xlfn.CONCAT('Banco de Dados'!$A1855,IFERROR(IFERROR(VALUE(SUBSTITUTE(MID(_xlfn.TEXTAFTER('Banco de Dados'!$F1855,"Data do Pedido:
",1),1,10),"-","/")),VALUE(SUBSTITUTE(MID(_xlfn.TEXTAFTER('Banco de Dados'!$F1855,"Order date:
",1),1,10),"-","/"))),0)),ProxyDD[Chave],ProxyDD[Valor por pedido]),PROXY!$P$2),0),0)</f>
        <v>0.39877104377104378</v>
      </c>
      <c r="AP1855" s="28">
        <f ca="1">IF('Banco de Dados'!$AK1855&lt;&gt;"-",IF('Banco de Dados'!$AL1855="NÃO",IFERROR(VALUE(SUBSTITUTE(_xlfn.TEXTAFTER('Banco de Dados'!$F1855,"BRL ",1),".",",")),0),0),0)</f>
        <v>0</v>
      </c>
      <c r="AQ1855" s="28" t="e">
        <f ca="1">SUM('Banco de Dados'!$AM1855:$AP1855)</f>
        <v>#N/A</v>
      </c>
      <c r="AR1855" s="8"/>
      <c r="AS1855" s="8"/>
      <c r="AT1855"/>
      <c r="AY1855" s="8"/>
    </row>
    <row r="1856" spans="1:51">
      <c r="A1856" s="5" t="str">
        <v>BV</v>
      </c>
      <c r="B1856" s="5" t="str">
        <f ca="1"/>
        <v>BV45839</v>
      </c>
      <c r="C1856" s="8" t="str">
        <v>Pedido 1842</v>
      </c>
      <c r="D1856" s="187">
        <v>45833</v>
      </c>
      <c r="E1856" s="9">
        <v>45839</v>
      </c>
      <c r="F1856" s="8" t="str">
        <v>PedidoF1727</v>
      </c>
      <c r="G1856" s="2" t="str">
        <v>CódRastreio1725</v>
      </c>
      <c r="H1856" s="5">
        <v>1</v>
      </c>
      <c r="I1856" s="182" t="str">
        <v>CPF 1798</v>
      </c>
      <c r="J1856" s="2" t="str">
        <v>Nome 1798</v>
      </c>
      <c r="K1856" s="8" t="str">
        <v>Tel 1798</v>
      </c>
      <c r="L1856" s="8" t="str">
        <v>Cep 1798</v>
      </c>
      <c r="M1856" s="8" t="str">
        <v>Rua 1798</v>
      </c>
      <c r="N1856" s="8" t="str">
        <v>Comp 1798</v>
      </c>
      <c r="O1856" s="8" t="str">
        <v>Máquina de cortar cabelo dragão</v>
      </c>
      <c r="P1856" s="8" t="str">
        <v>HG-2FNR-01A9</v>
      </c>
      <c r="Q1856" s="4">
        <v>45854</v>
      </c>
      <c r="R1856" s="109">
        <v>21.99</v>
      </c>
      <c r="S1856" s="11">
        <f ca="1"/>
        <v>21.99</v>
      </c>
      <c r="T1856" s="28">
        <f ca="1"/>
        <v>2.6387999999999998</v>
      </c>
      <c r="U1856" s="11">
        <f ca="1"/>
        <v>19.350000000000001</v>
      </c>
      <c r="V1856" s="11">
        <v>10.15</v>
      </c>
      <c r="W1856" s="11">
        <f ca="1"/>
        <v>0</v>
      </c>
      <c r="X1856" s="11">
        <f ca="1"/>
        <v>0.39877104377104378</v>
      </c>
      <c r="Y1856" s="11">
        <v>0</v>
      </c>
      <c r="Z1856" s="11">
        <f ca="1"/>
        <v>8.8012289562289574</v>
      </c>
      <c r="AA1856" s="11">
        <f ca="1"/>
        <v>4.4006144781144787</v>
      </c>
      <c r="AB1856" s="4">
        <f ca="1"/>
        <v>45861</v>
      </c>
      <c r="AC1856" s="4">
        <v>45861</v>
      </c>
      <c r="AD1856" s="9">
        <v>45870</v>
      </c>
      <c r="AE1856" s="9">
        <v>45873</v>
      </c>
      <c r="AF1856" s="4" t="str">
        <f t="shared" ca="1" si="134"/>
        <v>2025 07</v>
      </c>
      <c r="AG1856" s="8" t="str" cm="1">
        <f t="array" ref="AG1856">IFERROR(_xlfn.IFS('Banco de Dados'!#REF!="AG. COMPRA","Em processamento",'Banco de Dados'!#REF!="AG. RASTREIO","Em processamento",'Banco de Dados'!$AE1856&lt;&gt;"-","Faturado",'Banco de Dados'!$AD1856&lt;&gt;"-","Aguardando Pix",'Banco de Dados'!$AC1856&lt;&gt;"-","Pendente"),"Aguardando Liberação")</f>
        <v>Aguardando Liberação</v>
      </c>
      <c r="AH1856" s="5" t="str">
        <f>IF('Banco de Dados'!$F1856="-",_xlfn.CONCAT(PROPER(TEXT(AK1856,"aaaa"))," ",PROPER(TEXT(AK1856,"mm"))),_xlfn.CONCAT(PROPER(TEXT(E1856,"aaaa"))," ",PROPER(TEXT(E1856,"mm"))))</f>
        <v>2025 07</v>
      </c>
      <c r="AI1856" s="9" t="str">
        <f ca="1">IF('Banco de Dados'!$AK1856&lt;&gt;"-","REEMBOLSO",IFERROR(_xlfn.XLOOKUP(G1856,Follow[CODRASTREIO],Follow[STATUS]),"-"))</f>
        <v>ENTREGUE</v>
      </c>
      <c r="AJ1856" s="9">
        <f ca="1">IF('Banco de Dados'!$AI1856="ENTREGUE",_xlfn.XLOOKUP('Banco de Dados'!$G1856,Follow[CODRASTREIO],Follow[DATAATUALIZAÇÃO]),"-")</f>
        <v>45870</v>
      </c>
      <c r="AK1856" s="132" t="str">
        <f ca="1"/>
        <v>-</v>
      </c>
      <c r="AL1856" s="35"/>
      <c r="AM1856" s="109" cm="1">
        <f t="array" aca="1" ref="AM1856" ca="1">IF('Banco de Dados'!$AK1856&lt;&gt;"-",_xlfn.IFS('Banco de Dados'!$A1856="bv",IF('Banco de Dados'!$E1856&lt;45641,ROUND(SUM('Banco de Dados'!$R1856*_xlfn.XLOOKUP('Banco de Dados'!$P1856,Sku!B:B,Sku!#REF!)*20%),2),ROUND(SUM('Banco de Dados'!$R1856*_xlfn.XLOOKUP('Banco de Dados'!$P1856,Sku!B:B,Sku!H:H)*20%),2)),'Banco de Dados'!$A1856="GO",ROUND(_xlfn.XLOOKUP('Banco de Dados'!$P1856,Sku!C:C,Sku!H:H),2),'Banco de Dados'!$A1856="MEI",ROUND(_xlfn.XLOOKUP('Banco de Dados'!$P1856,Sku!D:D,Sku!H:H),2)),0)</f>
        <v>0</v>
      </c>
      <c r="AN1856" s="109">
        <f ca="1">IF('Banco de Dados'!$AK1856&lt;&gt;"-",IF('Banco de Dados'!$F1856&lt;&gt;"-",_xlfn.XLOOKUP(IFERROR(IFERROR(IFERROR(VALUE(SUBSTITUTE(MID(_xlfn.TEXTAFTER('Banco de Dados'!$F1856,"Data do Pedido:
",1),1,10),"-","/")),VALUE(SUBSTITUTE(MID(_xlfn.TEXTAFTER('Banco de Dados'!$F1856,"Order date:
",1),1,10),"-","/"))),VALUE(SUBSTITUTE(MID(_xlfn.TEXTAFTER('Banco de Dados'!$F1856,"Fecha de pedido:
",1),1,10),"-","/"))),"-"),SMS!A:A,SMS!K:K),0),0)</f>
        <v>0</v>
      </c>
      <c r="AO1856" s="109">
        <f ca="1">IF('Banco de Dados'!$AK1856&lt;&gt;"-",IF('Banco de Dados'!$F1856&lt;&gt;"-",IFERROR(_xlfn.XLOOKUP(_xlfn.CONCAT('Banco de Dados'!$A1856,IFERROR(IFERROR(VALUE(SUBSTITUTE(MID(_xlfn.TEXTAFTER('Banco de Dados'!$F1856,"Data do Pedido:
",1),1,10),"-","/")),VALUE(SUBSTITUTE(MID(_xlfn.TEXTAFTER('Banco de Dados'!$F1856,"Order date:
",1),1,10),"-","/"))),0)),ProxyDD[Chave],ProxyDD[Valor por pedido]),PROXY!$P$2),0),0)</f>
        <v>0</v>
      </c>
      <c r="AP1856" s="28">
        <f ca="1">IF('Banco de Dados'!$AK1856&lt;&gt;"-",IF('Banco de Dados'!$AL1856="NÃO",IFERROR(VALUE(SUBSTITUTE(_xlfn.TEXTAFTER('Banco de Dados'!$F1856,"BRL ",1),".",",")),0),0),0)</f>
        <v>0</v>
      </c>
      <c r="AQ1856" s="28">
        <f ca="1">SUM('Banco de Dados'!$AM1856:$AP1856)</f>
        <v>0</v>
      </c>
      <c r="AR1856" s="8"/>
      <c r="AS1856" s="8"/>
      <c r="AT1856"/>
      <c r="AY1856" s="8"/>
    </row>
    <row r="1857" spans="1:51">
      <c r="A1857" s="5" t="str">
        <v>BV</v>
      </c>
      <c r="B1857" s="5" t="str">
        <f ca="1"/>
        <v>BV45839</v>
      </c>
      <c r="C1857" s="8" t="str">
        <v>Pedido 1843</v>
      </c>
      <c r="D1857" s="187">
        <v>45833</v>
      </c>
      <c r="E1857" s="9">
        <v>45839</v>
      </c>
      <c r="F1857" s="8" t="str">
        <v>PedidoF1728</v>
      </c>
      <c r="G1857" s="2" t="str">
        <v>CódRastreio1726</v>
      </c>
      <c r="H1857" s="5">
        <v>1</v>
      </c>
      <c r="I1857" s="182" t="str">
        <v>CPF 1799</v>
      </c>
      <c r="J1857" s="2" t="str">
        <v>Nome 1799</v>
      </c>
      <c r="K1857" s="8" t="str">
        <v>Tel 1799</v>
      </c>
      <c r="L1857" s="8" t="str">
        <v>Cep 1799</v>
      </c>
      <c r="M1857" s="8" t="str">
        <v>Rua 1799</v>
      </c>
      <c r="N1857" s="8" t="str">
        <v>Comp 1799</v>
      </c>
      <c r="O1857" s="8" t="str">
        <v>Máquina de cortar cabelo dragão</v>
      </c>
      <c r="P1857" s="8" t="str">
        <v>NQ-IMR8-W6Q4</v>
      </c>
      <c r="Q1857" s="4">
        <v>45860</v>
      </c>
      <c r="R1857" s="109">
        <v>23.9</v>
      </c>
      <c r="S1857" s="11">
        <f ca="1"/>
        <v>0</v>
      </c>
      <c r="T1857" s="28">
        <f ca="1"/>
        <v>0</v>
      </c>
      <c r="U1857" s="11">
        <f ca="1"/>
        <v>0</v>
      </c>
      <c r="V1857" s="11">
        <v>0</v>
      </c>
      <c r="W1857" s="11">
        <f ca="1"/>
        <v>0</v>
      </c>
      <c r="X1857" s="11">
        <f ca="1"/>
        <v>0.39877104377104378</v>
      </c>
      <c r="Y1857" s="11">
        <v>0</v>
      </c>
      <c r="Z1857" s="11">
        <f ca="1"/>
        <v>-0.39877104377104378</v>
      </c>
      <c r="AA1857" s="11">
        <f ca="1"/>
        <v>-0.19938552188552189</v>
      </c>
      <c r="AB1857" s="4">
        <f ca="1"/>
        <v>45867</v>
      </c>
      <c r="AC1857" s="4">
        <v>45867</v>
      </c>
      <c r="AD1857" s="9">
        <v>45870</v>
      </c>
      <c r="AE1857" s="9">
        <v>45873</v>
      </c>
      <c r="AF1857" s="4" t="str">
        <f t="shared" ca="1" si="134"/>
        <v>2025 07</v>
      </c>
      <c r="AG1857" s="8" t="str" cm="1">
        <f t="array" ref="AG1857">IFERROR(_xlfn.IFS('Banco de Dados'!#REF!="AG. COMPRA","Em processamento",'Banco de Dados'!#REF!="AG. RASTREIO","Em processamento",'Banco de Dados'!$AE1857&lt;&gt;"-","Faturado",'Banco de Dados'!$AD1857&lt;&gt;"-","Aguardando Pix",'Banco de Dados'!$AC1857&lt;&gt;"-","Pendente"),"Aguardando Liberação")</f>
        <v>Aguardando Liberação</v>
      </c>
      <c r="AH1857" s="5" t="str">
        <f>IF('Banco de Dados'!$F1857="-",_xlfn.CONCAT(PROPER(TEXT(AK1857,"aaaa"))," ",PROPER(TEXT(AK1857,"mm"))),_xlfn.CONCAT(PROPER(TEXT(E1857,"aaaa"))," ",PROPER(TEXT(E1857,"mm"))))</f>
        <v>2025 07</v>
      </c>
      <c r="AI1857" s="9" t="str">
        <f ca="1">IF('Banco de Dados'!$AK1857&lt;&gt;"-","REEMBOLSO",IFERROR(_xlfn.XLOOKUP(G1857,Follow[CODRASTREIO],Follow[STATUS]),"-"))</f>
        <v>REEMBOLSO</v>
      </c>
      <c r="AJ1857" s="9" t="str">
        <f ca="1">IF('Banco de Dados'!$AI1857="ENTREGUE",_xlfn.XLOOKUP('Banco de Dados'!$G1857,Follow[CODRASTREIO],Follow[DATAATUALIZAÇÃO]),"-")</f>
        <v>-</v>
      </c>
      <c r="AK1857" s="132">
        <f ca="1"/>
        <v>45859</v>
      </c>
      <c r="AL1857" s="35"/>
      <c r="AM1857" s="109" cm="1">
        <f t="array" aca="1" ref="AM1857" ca="1">IF('Banco de Dados'!$AK1857&lt;&gt;"-",_xlfn.IFS('Banco de Dados'!$A1857="bv",IF('Banco de Dados'!$E1857&lt;45641,ROUND(SUM('Banco de Dados'!$R1857*_xlfn.XLOOKUP('Banco de Dados'!$P1857,Sku!B:B,Sku!#REF!)*20%),2),ROUND(SUM('Banco de Dados'!$R1857*_xlfn.XLOOKUP('Banco de Dados'!$P1857,Sku!B:B,Sku!H:H)*20%),2)),'Banco de Dados'!$A1857="GO",ROUND(_xlfn.XLOOKUP('Banco de Dados'!$P1857,Sku!C:C,Sku!H:H),2),'Banco de Dados'!$A1857="MEI",ROUND(_xlfn.XLOOKUP('Banco de Dados'!$P1857,Sku!D:D,Sku!H:H),2)),0)</f>
        <v>0.56999999999999995</v>
      </c>
      <c r="AN1857" s="109" t="e">
        <f ca="1">IF('Banco de Dados'!$AK1857&lt;&gt;"-",IF('Banco de Dados'!$F1857&lt;&gt;"-",_xlfn.XLOOKUP(IFERROR(IFERROR(IFERROR(VALUE(SUBSTITUTE(MID(_xlfn.TEXTAFTER('Banco de Dados'!$F1857,"Data do Pedido:
",1),1,10),"-","/")),VALUE(SUBSTITUTE(MID(_xlfn.TEXTAFTER('Banco de Dados'!$F1857,"Order date:
",1),1,10),"-","/"))),VALUE(SUBSTITUTE(MID(_xlfn.TEXTAFTER('Banco de Dados'!$F1857,"Fecha de pedido:
",1),1,10),"-","/"))),"-"),SMS!A:A,SMS!K:K),0),0)</f>
        <v>#N/A</v>
      </c>
      <c r="AO1857" s="109">
        <f ca="1">IF('Banco de Dados'!$AK1857&lt;&gt;"-",IF('Banco de Dados'!$F1857&lt;&gt;"-",IFERROR(_xlfn.XLOOKUP(_xlfn.CONCAT('Banco de Dados'!$A1857,IFERROR(IFERROR(VALUE(SUBSTITUTE(MID(_xlfn.TEXTAFTER('Banco de Dados'!$F1857,"Data do Pedido:
",1),1,10),"-","/")),VALUE(SUBSTITUTE(MID(_xlfn.TEXTAFTER('Banco de Dados'!$F1857,"Order date:
",1),1,10),"-","/"))),0)),ProxyDD[Chave],ProxyDD[Valor por pedido]),PROXY!$P$2),0),0)</f>
        <v>0.39877104377104378</v>
      </c>
      <c r="AP1857" s="28">
        <f ca="1">IF('Banco de Dados'!$AK1857&lt;&gt;"-",IF('Banco de Dados'!$AL1857="NÃO",IFERROR(VALUE(SUBSTITUTE(_xlfn.TEXTAFTER('Banco de Dados'!$F1857,"BRL ",1),".",",")),0),0),0)</f>
        <v>0</v>
      </c>
      <c r="AQ1857" s="28" t="e">
        <f ca="1">SUM('Banco de Dados'!$AM1857:$AP1857)</f>
        <v>#N/A</v>
      </c>
      <c r="AR1857" s="8"/>
      <c r="AS1857" s="8"/>
      <c r="AT1857"/>
      <c r="AY1857" s="8"/>
    </row>
    <row r="1858" spans="1:51">
      <c r="A1858" s="5" t="str">
        <v>BV</v>
      </c>
      <c r="B1858" s="5" t="str">
        <f ca="1"/>
        <v>BV45841</v>
      </c>
      <c r="C1858" s="8" t="str">
        <v>Pedido 1844</v>
      </c>
      <c r="D1858" s="187">
        <v>45834</v>
      </c>
      <c r="E1858" s="9">
        <v>45841</v>
      </c>
      <c r="F1858" s="2" t="str">
        <v>PedidoF1729</v>
      </c>
      <c r="G1858" s="2" t="str">
        <v>CódRastreio1727</v>
      </c>
      <c r="H1858" s="5">
        <v>1</v>
      </c>
      <c r="I1858" s="182" t="str">
        <v>CPF 1800</v>
      </c>
      <c r="J1858" s="2" t="str">
        <v>Nome 1800</v>
      </c>
      <c r="K1858" s="8" t="str">
        <v>Tel 1800</v>
      </c>
      <c r="L1858" s="8" t="str">
        <v>Cep 1800</v>
      </c>
      <c r="M1858" s="8" t="str">
        <v>Rua 1800</v>
      </c>
      <c r="N1858" s="8" t="str">
        <v>Comp 1800</v>
      </c>
      <c r="O1858" s="8" t="str">
        <v>Máquina de cortar cabelo dragão</v>
      </c>
      <c r="P1858" s="8" t="str">
        <v>HG-2FNR-01A9</v>
      </c>
      <c r="Q1858" s="4">
        <v>45861</v>
      </c>
      <c r="R1858" s="109">
        <v>23.9</v>
      </c>
      <c r="S1858" s="11">
        <f ca="1"/>
        <v>23.9</v>
      </c>
      <c r="T1858" s="28">
        <f ca="1"/>
        <v>2.8679999999999999</v>
      </c>
      <c r="U1858" s="11">
        <f ca="1"/>
        <v>21.03</v>
      </c>
      <c r="V1858" s="11">
        <v>17.14</v>
      </c>
      <c r="W1858" s="11">
        <f ca="1"/>
        <v>0</v>
      </c>
      <c r="X1858" s="11">
        <f ca="1"/>
        <v>0.39877104377104378</v>
      </c>
      <c r="Y1858" s="11">
        <v>0</v>
      </c>
      <c r="Z1858" s="11">
        <f ca="1"/>
        <v>3.4912289562289551</v>
      </c>
      <c r="AA1858" s="11">
        <f ca="1"/>
        <v>1.7456144781144776</v>
      </c>
      <c r="AB1858" s="4">
        <f ca="1"/>
        <v>45868</v>
      </c>
      <c r="AC1858" s="4">
        <v>45868</v>
      </c>
      <c r="AD1858" s="9">
        <v>45870</v>
      </c>
      <c r="AE1858" s="9">
        <v>45873</v>
      </c>
      <c r="AF1858" s="4" t="str">
        <f t="shared" ca="1" si="134"/>
        <v>2025 07</v>
      </c>
      <c r="AG1858" s="8" t="str" cm="1">
        <f t="array" ref="AG1858">IFERROR(_xlfn.IFS('Banco de Dados'!#REF!="AG. COMPRA","Em processamento",'Banco de Dados'!#REF!="AG. RASTREIO","Em processamento",'Banco de Dados'!$AE1858&lt;&gt;"-","Faturado",'Banco de Dados'!$AD1858&lt;&gt;"-","Aguardando Pix",'Banco de Dados'!$AC1858&lt;&gt;"-","Pendente"),"Aguardando Liberação")</f>
        <v>Aguardando Liberação</v>
      </c>
      <c r="AH1858" s="5" t="str">
        <f>IF('Banco de Dados'!$F1858="-",_xlfn.CONCAT(PROPER(TEXT(AK1858,"aaaa"))," ",PROPER(TEXT(AK1858,"mm"))),_xlfn.CONCAT(PROPER(TEXT(E1858,"aaaa"))," ",PROPER(TEXT(E1858,"mm"))))</f>
        <v>2025 07</v>
      </c>
      <c r="AI1858" s="9" t="str">
        <f ca="1">IF('Banco de Dados'!$AK1858&lt;&gt;"-","REEMBOLSO",IFERROR(_xlfn.XLOOKUP(G1858,Follow[CODRASTREIO],Follow[STATUS]),"-"))</f>
        <v>ENTREGUE</v>
      </c>
      <c r="AJ1858" s="9">
        <f ca="1">IF('Banco de Dados'!$AI1858="ENTREGUE",_xlfn.XLOOKUP('Banco de Dados'!$G1858,Follow[CODRASTREIO],Follow[DATAATUALIZAÇÃO]),"-")</f>
        <v>45870</v>
      </c>
      <c r="AK1858" s="132" t="str">
        <f ca="1"/>
        <v>-</v>
      </c>
      <c r="AL1858" s="35"/>
      <c r="AM1858" s="109" cm="1">
        <f t="array" aca="1" ref="AM1858" ca="1">IF('Banco de Dados'!$AK1858&lt;&gt;"-",_xlfn.IFS('Banco de Dados'!$A1858="bv",IF('Banco de Dados'!$E1858&lt;45641,ROUND(SUM('Banco de Dados'!$R1858*_xlfn.XLOOKUP('Banco de Dados'!$P1858,Sku!B:B,Sku!#REF!)*20%),2),ROUND(SUM('Banco de Dados'!$R1858*_xlfn.XLOOKUP('Banco de Dados'!$P1858,Sku!B:B,Sku!H:H)*20%),2)),'Banco de Dados'!$A1858="GO",ROUND(_xlfn.XLOOKUP('Banco de Dados'!$P1858,Sku!C:C,Sku!H:H),2),'Banco de Dados'!$A1858="MEI",ROUND(_xlfn.XLOOKUP('Banco de Dados'!$P1858,Sku!D:D,Sku!H:H),2)),0)</f>
        <v>0</v>
      </c>
      <c r="AN1858" s="109">
        <v>0</v>
      </c>
      <c r="AO1858" s="109">
        <v>0</v>
      </c>
      <c r="AP1858" s="28">
        <f ca="1">IF('Banco de Dados'!$AK1858&lt;&gt;"-",IF('Banco de Dados'!$AL1858="NÃO",IFERROR(VALUE(SUBSTITUTE(_xlfn.TEXTAFTER('Banco de Dados'!$F1858,"BRL ",1),".",",")),0),0),0)</f>
        <v>0</v>
      </c>
      <c r="AQ1858" s="28">
        <f ca="1">SUM('Banco de Dados'!$AM1858:$AP1858)</f>
        <v>0</v>
      </c>
      <c r="AR1858" s="8"/>
      <c r="AS1858" s="8"/>
      <c r="AT1858"/>
      <c r="AY1858" s="8"/>
    </row>
    <row r="1859" spans="1:51">
      <c r="A1859" s="5" t="str">
        <v>BV</v>
      </c>
      <c r="B1859" s="5" t="str">
        <f ca="1"/>
        <v>BV45839</v>
      </c>
      <c r="C1859" s="8" t="str">
        <v>Pedido 1845</v>
      </c>
      <c r="D1859" s="187">
        <v>45834</v>
      </c>
      <c r="E1859" s="9">
        <v>45839</v>
      </c>
      <c r="F1859" s="8" t="str">
        <v>PedidoF1730</v>
      </c>
      <c r="G1859" s="2" t="str">
        <v>CódRastreio1728</v>
      </c>
      <c r="H1859" s="5">
        <v>1</v>
      </c>
      <c r="I1859" s="182" t="str">
        <v>CPF 1801</v>
      </c>
      <c r="J1859" s="2" t="str">
        <v>Nome 1801</v>
      </c>
      <c r="K1859" s="8" t="str">
        <v>Tel 1801</v>
      </c>
      <c r="L1859" s="8" t="str">
        <v>Cep 1801</v>
      </c>
      <c r="M1859" s="8" t="str">
        <v>Rua 1801</v>
      </c>
      <c r="N1859" s="8" t="str">
        <v>Comp 1801</v>
      </c>
      <c r="O1859" s="8" t="str">
        <v>Máquina de cortar cabelo dragão</v>
      </c>
      <c r="P1859" s="8" t="str">
        <v>HG-2FNR-01A9</v>
      </c>
      <c r="Q1859" s="4">
        <v>45868</v>
      </c>
      <c r="R1859" s="109">
        <v>23.9</v>
      </c>
      <c r="S1859" s="11">
        <f ca="1"/>
        <v>23.9</v>
      </c>
      <c r="T1859" s="28">
        <f ca="1"/>
        <v>2.8679999999999999</v>
      </c>
      <c r="U1859" s="11">
        <f ca="1"/>
        <v>21.03</v>
      </c>
      <c r="V1859" s="11">
        <v>10.15</v>
      </c>
      <c r="W1859" s="11">
        <f ca="1"/>
        <v>0</v>
      </c>
      <c r="X1859" s="11">
        <f ca="1"/>
        <v>0.39877104377104378</v>
      </c>
      <c r="Y1859" s="11">
        <v>0</v>
      </c>
      <c r="Z1859" s="11">
        <f ca="1"/>
        <v>10.481228956228957</v>
      </c>
      <c r="AA1859" s="11">
        <f ca="1"/>
        <v>5.2406144781144786</v>
      </c>
      <c r="AB1859" s="4">
        <f ca="1"/>
        <v>45875</v>
      </c>
      <c r="AC1859" s="4">
        <v>45875</v>
      </c>
      <c r="AD1859" s="9">
        <v>45887</v>
      </c>
      <c r="AE1859" s="9">
        <v>45888</v>
      </c>
      <c r="AF1859" s="4" t="str">
        <f t="shared" ca="1" si="134"/>
        <v>2025 08</v>
      </c>
      <c r="AG1859" s="8" t="str" cm="1">
        <f t="array" ref="AG1859">IFERROR(_xlfn.IFS('Banco de Dados'!#REF!="AG. COMPRA","Em processamento",'Banco de Dados'!#REF!="AG. RASTREIO","Em processamento",'Banco de Dados'!$AE1859&lt;&gt;"-","Faturado",'Banco de Dados'!$AD1859&lt;&gt;"-","Aguardando Pix",'Banco de Dados'!$AC1859&lt;&gt;"-","Pendente"),"Aguardando Liberação")</f>
        <v>Aguardando Liberação</v>
      </c>
      <c r="AH1859" s="5" t="str">
        <f>IF('Banco de Dados'!$F1859="-",_xlfn.CONCAT(PROPER(TEXT(AK1859,"aaaa"))," ",PROPER(TEXT(AK1859,"mm"))),_xlfn.CONCAT(PROPER(TEXT(E1859,"aaaa"))," ",PROPER(TEXT(E1859,"mm"))))</f>
        <v>2025 07</v>
      </c>
      <c r="AI1859" s="9" t="str">
        <f ca="1">IF('Banco de Dados'!$AK1859&lt;&gt;"-","REEMBOLSO",IFERROR(_xlfn.XLOOKUP(G1859,Follow[CODRASTREIO],Follow[STATUS]),"-"))</f>
        <v>ENTREGUE</v>
      </c>
      <c r="AJ1859" s="9">
        <f ca="1">IF('Banco de Dados'!$AI1859="ENTREGUE",_xlfn.XLOOKUP('Banco de Dados'!$G1859,Follow[CODRASTREIO],Follow[DATAATUALIZAÇÃO]),"-")</f>
        <v>45856</v>
      </c>
      <c r="AK1859" s="132" t="str">
        <f ca="1"/>
        <v>-</v>
      </c>
      <c r="AL1859" s="35"/>
      <c r="AM1859" s="109" cm="1">
        <f t="array" aca="1" ref="AM1859" ca="1">IF('Banco de Dados'!$AK1859&lt;&gt;"-",_xlfn.IFS('Banco de Dados'!$A1859="bv",IF('Banco de Dados'!$E1859&lt;45641,ROUND(SUM('Banco de Dados'!$R1859*_xlfn.XLOOKUP('Banco de Dados'!$P1859,Sku!B:B,Sku!#REF!)*20%),2),ROUND(SUM('Banco de Dados'!$R1859*_xlfn.XLOOKUP('Banco de Dados'!$P1859,Sku!B:B,Sku!H:H)*20%),2)),'Banco de Dados'!$A1859="GO",ROUND(_xlfn.XLOOKUP('Banco de Dados'!$P1859,Sku!C:C,Sku!H:H),2),'Banco de Dados'!$A1859="MEI",ROUND(_xlfn.XLOOKUP('Banco de Dados'!$P1859,Sku!D:D,Sku!H:H),2)),0)</f>
        <v>0</v>
      </c>
      <c r="AN1859" s="109">
        <f ca="1">IF('Banco de Dados'!$AK1859&lt;&gt;"-",IF('Banco de Dados'!$F1859&lt;&gt;"-",_xlfn.XLOOKUP(IFERROR(IFERROR(IFERROR(VALUE(SUBSTITUTE(MID(_xlfn.TEXTAFTER('Banco de Dados'!$F1859,"Data do Pedido:
",1),1,10),"-","/")),VALUE(SUBSTITUTE(MID(_xlfn.TEXTAFTER('Banco de Dados'!$F1859,"Order date:
",1),1,10),"-","/"))),VALUE(SUBSTITUTE(MID(_xlfn.TEXTAFTER('Banco de Dados'!$F1859,"Fecha de pedido:
",1),1,10),"-","/"))),"-"),SMS!A:A,SMS!K:K),0),0)</f>
        <v>0</v>
      </c>
      <c r="AO1859" s="109">
        <f ca="1">IF('Banco de Dados'!$AK1859&lt;&gt;"-",IF('Banco de Dados'!$F1859&lt;&gt;"-",IFERROR(_xlfn.XLOOKUP(_xlfn.CONCAT('Banco de Dados'!$A1859,IFERROR(IFERROR(VALUE(SUBSTITUTE(MID(_xlfn.TEXTAFTER('Banco de Dados'!$F1859,"Data do Pedido:
",1),1,10),"-","/")),VALUE(SUBSTITUTE(MID(_xlfn.TEXTAFTER('Banco de Dados'!$F1859,"Order date:
",1),1,10),"-","/"))),0)),ProxyDD[Chave],ProxyDD[Valor por pedido]),PROXY!$P$2),0),0)</f>
        <v>0</v>
      </c>
      <c r="AP1859" s="28">
        <f ca="1">IF('Banco de Dados'!$AK1859&lt;&gt;"-",IF('Banco de Dados'!$AL1859="NÃO",IFERROR(VALUE(SUBSTITUTE(_xlfn.TEXTAFTER('Banco de Dados'!$F1859,"BRL ",1),".",",")),0),0),0)</f>
        <v>0</v>
      </c>
      <c r="AQ1859" s="28">
        <f ca="1">SUM('Banco de Dados'!$AM1859:$AP1859)</f>
        <v>0</v>
      </c>
      <c r="AR1859" s="8"/>
      <c r="AS1859" s="8"/>
      <c r="AT1859"/>
      <c r="AY1859" s="8"/>
    </row>
    <row r="1860" spans="1:51">
      <c r="A1860" s="5" t="str">
        <v>BV</v>
      </c>
      <c r="B1860" s="5" t="str">
        <f ca="1"/>
        <v>BV45841</v>
      </c>
      <c r="C1860" s="8" t="str">
        <v>Pedido 1846</v>
      </c>
      <c r="D1860" s="187">
        <v>45836</v>
      </c>
      <c r="E1860" s="9">
        <v>45841</v>
      </c>
      <c r="F1860" s="2" t="str">
        <v>PedidoF1731</v>
      </c>
      <c r="G1860" s="2" t="str">
        <v>CódRastreio1729</v>
      </c>
      <c r="H1860" s="5">
        <v>1</v>
      </c>
      <c r="I1860" s="182" t="str">
        <v>CPF 1802</v>
      </c>
      <c r="J1860" s="2" t="str">
        <v>Nome 1802</v>
      </c>
      <c r="K1860" s="8" t="str">
        <v>Tel 1802</v>
      </c>
      <c r="L1860" s="8" t="str">
        <v>Cep 1802</v>
      </c>
      <c r="M1860" s="8" t="str">
        <v>Rua 1802</v>
      </c>
      <c r="N1860" s="8" t="str">
        <v>Comp 1802</v>
      </c>
      <c r="O1860" s="8" t="str">
        <v>Máquina de cortar cabelo dragão</v>
      </c>
      <c r="P1860" s="8" t="str">
        <v>NQ-IMR8-W6Q4</v>
      </c>
      <c r="Q1860" s="4">
        <v>45862</v>
      </c>
      <c r="R1860" s="109">
        <v>23.9</v>
      </c>
      <c r="S1860" s="11">
        <f ca="1"/>
        <v>23.9</v>
      </c>
      <c r="T1860" s="28">
        <f ca="1"/>
        <v>2.8679999999999999</v>
      </c>
      <c r="U1860" s="11">
        <f ca="1"/>
        <v>21.03</v>
      </c>
      <c r="V1860" s="11">
        <v>17.8</v>
      </c>
      <c r="W1860" s="11">
        <f ca="1"/>
        <v>0</v>
      </c>
      <c r="X1860" s="11">
        <f ca="1"/>
        <v>0.39877104377104378</v>
      </c>
      <c r="Y1860" s="11">
        <v>0</v>
      </c>
      <c r="Z1860" s="11">
        <f ca="1"/>
        <v>2.831228956228955</v>
      </c>
      <c r="AA1860" s="11">
        <f ca="1"/>
        <v>1.4156144781144775</v>
      </c>
      <c r="AB1860" s="4">
        <f ca="1"/>
        <v>45869</v>
      </c>
      <c r="AC1860" s="4">
        <v>45869</v>
      </c>
      <c r="AD1860" s="9">
        <v>45870</v>
      </c>
      <c r="AE1860" s="9">
        <v>45873</v>
      </c>
      <c r="AF1860" s="4" t="str">
        <f t="shared" ref="AF1860:AF1861" ca="1" si="135">_xlfn.CONCAT(PROPER(TEXT(AB1860,"aaaa"))," ",PROPER(TEXT(AB1860,"mm")))</f>
        <v>2025 07</v>
      </c>
      <c r="AG1860" s="8" t="str" cm="1">
        <f t="array" ref="AG1860">IFERROR(_xlfn.IFS('Banco de Dados'!#REF!="AG. COMPRA","Em processamento",'Banco de Dados'!#REF!="AG. RASTREIO","Em processamento",'Banco de Dados'!$AE1860&lt;&gt;"-","Faturado",'Banco de Dados'!$AD1860&lt;&gt;"-","Aguardando Pix",'Banco de Dados'!$AC1860&lt;&gt;"-","Pendente"),"Aguardando Liberação")</f>
        <v>Aguardando Liberação</v>
      </c>
      <c r="AH1860" s="5" t="str">
        <f>IF('Banco de Dados'!$F1860="-",_xlfn.CONCAT(PROPER(TEXT(AK1860,"aaaa"))," ",PROPER(TEXT(AK1860,"mm"))),_xlfn.CONCAT(PROPER(TEXT(E1860,"aaaa"))," ",PROPER(TEXT(E1860,"mm"))))</f>
        <v>2025 07</v>
      </c>
      <c r="AI1860" s="9" t="str">
        <f ca="1">IF('Banco de Dados'!$AK1860&lt;&gt;"-","REEMBOLSO",IFERROR(_xlfn.XLOOKUP(G1860,Follow[CODRASTREIO],Follow[STATUS]),"-"))</f>
        <v>ENTREGUE</v>
      </c>
      <c r="AJ1860" s="9">
        <f ca="1">IF('Banco de Dados'!$AI1860="ENTREGUE",_xlfn.XLOOKUP('Banco de Dados'!$G1860,Follow[CODRASTREIO],Follow[DATAATUALIZAÇÃO]),"-")</f>
        <v>45848</v>
      </c>
      <c r="AK1860" s="132" t="str">
        <f ca="1"/>
        <v>-</v>
      </c>
      <c r="AL1860" s="35"/>
      <c r="AM1860" s="109" cm="1">
        <f t="array" aca="1" ref="AM1860" ca="1">IF('Banco de Dados'!$AK1860&lt;&gt;"-",_xlfn.IFS('Banco de Dados'!$A1860="bv",IF('Banco de Dados'!$E1860&lt;45641,ROUND(SUM('Banco de Dados'!$R1860*_xlfn.XLOOKUP('Banco de Dados'!$P1860,Sku!B:B,Sku!#REF!)*20%),2),ROUND(SUM('Banco de Dados'!$R1860*_xlfn.XLOOKUP('Banco de Dados'!$P1860,Sku!B:B,Sku!H:H)*20%),2)),'Banco de Dados'!$A1860="GO",ROUND(_xlfn.XLOOKUP('Banco de Dados'!$P1860,Sku!C:C,Sku!H:H),2),'Banco de Dados'!$A1860="MEI",ROUND(_xlfn.XLOOKUP('Banco de Dados'!$P1860,Sku!D:D,Sku!H:H),2)),0)</f>
        <v>0</v>
      </c>
      <c r="AN1860" s="109">
        <v>0</v>
      </c>
      <c r="AO1860" s="109">
        <v>0</v>
      </c>
      <c r="AP1860" s="28">
        <f ca="1">IF('Banco de Dados'!$AK1860&lt;&gt;"-",IF('Banco de Dados'!$AL1860="NÃO",IFERROR(VALUE(SUBSTITUTE(_xlfn.TEXTAFTER('Banco de Dados'!$F1860,"BRL ",1),".",",")),0),0),0)</f>
        <v>0</v>
      </c>
      <c r="AQ1860" s="28">
        <f ca="1">SUM('Banco de Dados'!$AM1860:$AP1860)</f>
        <v>0</v>
      </c>
      <c r="AR1860" s="8"/>
      <c r="AS1860" s="8"/>
      <c r="AT1860"/>
      <c r="AY1860" s="8"/>
    </row>
    <row r="1861" spans="1:51">
      <c r="A1861" s="5" t="str">
        <v>BV</v>
      </c>
      <c r="B1861" s="5" t="str">
        <f ca="1"/>
        <v>BV45841</v>
      </c>
      <c r="C1861" s="8" t="str">
        <v>Pedido 1847</v>
      </c>
      <c r="D1861" s="187">
        <v>45837</v>
      </c>
      <c r="E1861" s="9">
        <v>45841</v>
      </c>
      <c r="F1861" s="2" t="str">
        <v>PedidoF1732</v>
      </c>
      <c r="G1861" s="2" t="str">
        <v>CódRastreio1730</v>
      </c>
      <c r="H1861" s="5">
        <v>1</v>
      </c>
      <c r="I1861" s="182" t="str">
        <v>CPF 1803</v>
      </c>
      <c r="J1861" s="2" t="str">
        <v>Nome 1803</v>
      </c>
      <c r="K1861" s="8" t="str">
        <v>Tel 1803</v>
      </c>
      <c r="L1861" s="8" t="str">
        <v>Cep 1803</v>
      </c>
      <c r="M1861" s="8" t="str">
        <v>Rua 1803</v>
      </c>
      <c r="N1861" s="8" t="str">
        <v>Comp 1803</v>
      </c>
      <c r="O1861" s="8" t="str">
        <v>Máquina de cortar cabelo dragão</v>
      </c>
      <c r="P1861" s="8" t="str">
        <v>HG-2FNR-01A9</v>
      </c>
      <c r="Q1861" s="4">
        <v>45863</v>
      </c>
      <c r="R1861" s="109">
        <v>23</v>
      </c>
      <c r="S1861" s="11">
        <f ca="1"/>
        <v>23</v>
      </c>
      <c r="T1861" s="28">
        <f ca="1"/>
        <v>2.76</v>
      </c>
      <c r="U1861" s="11">
        <f ca="1"/>
        <v>20.239999999999998</v>
      </c>
      <c r="V1861" s="11">
        <v>16.78</v>
      </c>
      <c r="W1861" s="11">
        <f ca="1"/>
        <v>0</v>
      </c>
      <c r="X1861" s="11">
        <f ca="1"/>
        <v>0.39877104377104378</v>
      </c>
      <c r="Y1861" s="11">
        <v>0</v>
      </c>
      <c r="Z1861" s="11">
        <f ca="1"/>
        <v>3.0612289562289519</v>
      </c>
      <c r="AA1861" s="11">
        <f ca="1"/>
        <v>1.5306144781144759</v>
      </c>
      <c r="AB1861" s="4">
        <f ca="1"/>
        <v>45870</v>
      </c>
      <c r="AC1861" s="4">
        <v>45870</v>
      </c>
      <c r="AD1861" s="9">
        <v>45870</v>
      </c>
      <c r="AE1861" s="9">
        <v>45873</v>
      </c>
      <c r="AF1861" s="4" t="str">
        <f t="shared" ca="1" si="135"/>
        <v>2025 08</v>
      </c>
      <c r="AG1861" s="8" t="str" cm="1">
        <f t="array" ref="AG1861">IFERROR(_xlfn.IFS('Banco de Dados'!#REF!="AG. COMPRA","Em processamento",'Banco de Dados'!#REF!="AG. RASTREIO","Em processamento",'Banco de Dados'!$AE1861&lt;&gt;"-","Faturado",'Banco de Dados'!$AD1861&lt;&gt;"-","Aguardando Pix",'Banco de Dados'!$AC1861&lt;&gt;"-","Pendente"),"Aguardando Liberação")</f>
        <v>Aguardando Liberação</v>
      </c>
      <c r="AH1861" s="5" t="str">
        <f>IF('Banco de Dados'!$F1861="-",_xlfn.CONCAT(PROPER(TEXT(AK1861,"aaaa"))," ",PROPER(TEXT(AK1861,"mm"))),_xlfn.CONCAT(PROPER(TEXT(E1861,"aaaa"))," ",PROPER(TEXT(E1861,"mm"))))</f>
        <v>2025 07</v>
      </c>
      <c r="AI1861" s="9" t="str">
        <f ca="1">IF('Banco de Dados'!$AK1861&lt;&gt;"-","REEMBOLSO",IFERROR(_xlfn.XLOOKUP(G1861,Follow[CODRASTREIO],Follow[STATUS]),"-"))</f>
        <v>ENTREGUE</v>
      </c>
      <c r="AJ1861" s="9">
        <f ca="1">IF('Banco de Dados'!$AI1861="ENTREGUE",_xlfn.XLOOKUP('Banco de Dados'!$G1861,Follow[CODRASTREIO],Follow[DATAATUALIZAÇÃO]),"-")</f>
        <v>45848</v>
      </c>
      <c r="AK1861" s="132" t="str">
        <f ca="1"/>
        <v>-</v>
      </c>
      <c r="AL1861" s="35"/>
      <c r="AM1861" s="109" cm="1">
        <f t="array" aca="1" ref="AM1861" ca="1">IF('Banco de Dados'!$AK1861&lt;&gt;"-",_xlfn.IFS('Banco de Dados'!$A1861="bv",IF('Banco de Dados'!$E1861&lt;45641,ROUND(SUM('Banco de Dados'!$R1861*_xlfn.XLOOKUP('Banco de Dados'!$P1861,Sku!B:B,Sku!#REF!)*20%),2),ROUND(SUM('Banco de Dados'!$R1861*_xlfn.XLOOKUP('Banco de Dados'!$P1861,Sku!B:B,Sku!H:H)*20%),2)),'Banco de Dados'!$A1861="GO",ROUND(_xlfn.XLOOKUP('Banco de Dados'!$P1861,Sku!C:C,Sku!H:H),2),'Banco de Dados'!$A1861="MEI",ROUND(_xlfn.XLOOKUP('Banco de Dados'!$P1861,Sku!D:D,Sku!H:H),2)),0)</f>
        <v>0</v>
      </c>
      <c r="AN1861" s="109">
        <v>0</v>
      </c>
      <c r="AO1861" s="109">
        <v>0</v>
      </c>
      <c r="AP1861" s="28">
        <f ca="1">IF('Banco de Dados'!$AK1861&lt;&gt;"-",IF('Banco de Dados'!$AL1861="NÃO",IFERROR(VALUE(SUBSTITUTE(_xlfn.TEXTAFTER('Banco de Dados'!$F1861,"BRL ",1),".",",")),0),0),0)</f>
        <v>0</v>
      </c>
      <c r="AQ1861" s="28">
        <f ca="1">SUM('Banco de Dados'!$AM1861:$AP1861)</f>
        <v>0</v>
      </c>
      <c r="AR1861" s="8"/>
      <c r="AS1861" s="8"/>
      <c r="AT1861"/>
      <c r="AY1861" s="8"/>
    </row>
    <row r="1862" spans="1:51">
      <c r="A1862" s="5" t="str">
        <v>BV</v>
      </c>
      <c r="B1862" s="5" t="str">
        <f ca="1"/>
        <v>BV45839</v>
      </c>
      <c r="C1862" s="8" t="str">
        <v>Pedido 1848</v>
      </c>
      <c r="D1862" s="187">
        <v>45839</v>
      </c>
      <c r="E1862" s="9">
        <v>45839</v>
      </c>
      <c r="F1862" s="8" t="str">
        <v>PedidoF1733</v>
      </c>
      <c r="G1862" s="2" t="str">
        <v>CódRastreio1731</v>
      </c>
      <c r="H1862" s="5">
        <v>1</v>
      </c>
      <c r="I1862" s="182" t="str">
        <v>CPF 1804</v>
      </c>
      <c r="J1862" s="2" t="str">
        <v>Nome 1804</v>
      </c>
      <c r="K1862" s="8" t="str">
        <v>Tel 1804</v>
      </c>
      <c r="L1862" s="8" t="str">
        <v>Cep 1804</v>
      </c>
      <c r="M1862" s="8" t="str">
        <v>Rua 1804</v>
      </c>
      <c r="N1862" s="8" t="str">
        <v>Comp 1804</v>
      </c>
      <c r="O1862" s="8" t="str">
        <v>Máquina de cortar cabelo dragão</v>
      </c>
      <c r="P1862" s="8" t="str">
        <v>HG-2FNR-01A9</v>
      </c>
      <c r="Q1862" s="4">
        <v>45863</v>
      </c>
      <c r="R1862" s="109">
        <v>23</v>
      </c>
      <c r="S1862" s="11">
        <f ca="1"/>
        <v>23</v>
      </c>
      <c r="T1862" s="28">
        <f ca="1"/>
        <v>2.76</v>
      </c>
      <c r="U1862" s="11">
        <f ca="1"/>
        <v>20.239999999999998</v>
      </c>
      <c r="V1862" s="11">
        <v>10.51</v>
      </c>
      <c r="W1862" s="11">
        <f ca="1"/>
        <v>0</v>
      </c>
      <c r="X1862" s="11">
        <f ca="1"/>
        <v>0.39877104377104378</v>
      </c>
      <c r="Y1862" s="11">
        <v>0</v>
      </c>
      <c r="Z1862" s="11">
        <f ca="1"/>
        <v>9.331228956228955</v>
      </c>
      <c r="AA1862" s="11">
        <f ca="1"/>
        <v>4.6656144781144775</v>
      </c>
      <c r="AB1862" s="4">
        <f ca="1"/>
        <v>45870</v>
      </c>
      <c r="AC1862" s="4">
        <v>45870</v>
      </c>
      <c r="AD1862" s="9">
        <v>45870</v>
      </c>
      <c r="AE1862" s="9">
        <v>45873</v>
      </c>
      <c r="AF1862" s="4" t="str">
        <f t="shared" ref="AF1862:AF1873" ca="1" si="136">_xlfn.CONCAT(PROPER(TEXT(AB1862,"aaaa"))," ",PROPER(TEXT(AB1862,"mm")))</f>
        <v>2025 08</v>
      </c>
      <c r="AG1862" s="8" t="str" cm="1">
        <f t="array" ref="AG1862">IFERROR(_xlfn.IFS('Banco de Dados'!#REF!="AG. COMPRA","Em processamento",'Banco de Dados'!#REF!="AG. RASTREIO","Em processamento",'Banco de Dados'!$AE1862&lt;&gt;"-","Faturado",'Banco de Dados'!$AD1862&lt;&gt;"-","Aguardando Pix",'Banco de Dados'!$AC1862&lt;&gt;"-","Pendente"),"Aguardando Liberação")</f>
        <v>Aguardando Liberação</v>
      </c>
      <c r="AH1862" s="5" t="str">
        <f>IF('Banco de Dados'!$F1862="-",_xlfn.CONCAT(PROPER(TEXT(AK1862,"aaaa"))," ",PROPER(TEXT(AK1862,"mm"))),_xlfn.CONCAT(PROPER(TEXT(E1862,"aaaa"))," ",PROPER(TEXT(E1862,"mm"))))</f>
        <v>2025 07</v>
      </c>
      <c r="AI1862" s="9" t="str">
        <f ca="1">IF('Banco de Dados'!$AK1862&lt;&gt;"-","REEMBOLSO",IFERROR(_xlfn.XLOOKUP(G1862,Follow[CODRASTREIO],Follow[STATUS]),"-"))</f>
        <v>ENTREGUE</v>
      </c>
      <c r="AJ1862" s="9">
        <f ca="1">IF('Banco de Dados'!$AI1862="ENTREGUE",_xlfn.XLOOKUP('Banco de Dados'!$G1862,Follow[CODRASTREIO],Follow[DATAATUALIZAÇÃO]),"-")</f>
        <v>45853</v>
      </c>
      <c r="AK1862" s="132" t="str">
        <f ca="1"/>
        <v>-</v>
      </c>
      <c r="AL1862" s="35"/>
      <c r="AM1862" s="109" cm="1">
        <f t="array" aca="1" ref="AM1862" ca="1">IF('Banco de Dados'!$AK1862&lt;&gt;"-",_xlfn.IFS('Banco de Dados'!$A1862="bv",IF('Banco de Dados'!$E1862&lt;45641,ROUND(SUM('Banco de Dados'!$R1862*_xlfn.XLOOKUP('Banco de Dados'!$P1862,Sku!B:B,Sku!#REF!)*20%),2),ROUND(SUM('Banco de Dados'!$R1862*_xlfn.XLOOKUP('Banco de Dados'!$P1862,Sku!B:B,Sku!H:H)*20%),2)),'Banco de Dados'!$A1862="GO",ROUND(_xlfn.XLOOKUP('Banco de Dados'!$P1862,Sku!C:C,Sku!H:H),2),'Banco de Dados'!$A1862="MEI",ROUND(_xlfn.XLOOKUP('Banco de Dados'!$P1862,Sku!D:D,Sku!H:H),2)),0)</f>
        <v>0</v>
      </c>
      <c r="AN1862" s="109">
        <f ca="1">IF('Banco de Dados'!$AK1862&lt;&gt;"-",IF('Banco de Dados'!$F1862&lt;&gt;"-",_xlfn.XLOOKUP(IFERROR(IFERROR(IFERROR(VALUE(SUBSTITUTE(MID(_xlfn.TEXTAFTER('Banco de Dados'!$F1862,"Data do Pedido:
",1),1,10),"-","/")),VALUE(SUBSTITUTE(MID(_xlfn.TEXTAFTER('Banco de Dados'!$F1862,"Order date:
",1),1,10),"-","/"))),VALUE(SUBSTITUTE(MID(_xlfn.TEXTAFTER('Banco de Dados'!$F1862,"Fecha de pedido:
",1),1,10),"-","/"))),"-"),SMS!A:A,SMS!K:K),0),0)</f>
        <v>0</v>
      </c>
      <c r="AO1862" s="109">
        <f ca="1">IF('Banco de Dados'!$AK1862&lt;&gt;"-",IF('Banco de Dados'!$F1862&lt;&gt;"-",IFERROR(_xlfn.XLOOKUP(_xlfn.CONCAT('Banco de Dados'!$A1862,IFERROR(IFERROR(VALUE(SUBSTITUTE(MID(_xlfn.TEXTAFTER('Banco de Dados'!$F1862,"Data do Pedido:
",1),1,10),"-","/")),VALUE(SUBSTITUTE(MID(_xlfn.TEXTAFTER('Banco de Dados'!$F1862,"Order date:
",1),1,10),"-","/"))),0)),ProxyDD[Chave],ProxyDD[Valor por pedido]),PROXY!$P$2),0),0)</f>
        <v>0</v>
      </c>
      <c r="AP1862" s="28">
        <f ca="1">IF('Banco de Dados'!$AK1862&lt;&gt;"-",IF('Banco de Dados'!$AL1862="NÃO",IFERROR(VALUE(SUBSTITUTE(_xlfn.TEXTAFTER('Banco de Dados'!$F1862,"BRL ",1),".",",")),0),0),0)</f>
        <v>0</v>
      </c>
      <c r="AQ1862" s="28">
        <f ca="1">SUM('Banco de Dados'!$AM1862:$AP1862)</f>
        <v>0</v>
      </c>
      <c r="AR1862" s="8"/>
      <c r="AS1862" s="8"/>
      <c r="AT1862"/>
      <c r="AY1862" s="8"/>
    </row>
    <row r="1863" spans="1:51">
      <c r="A1863" s="5" t="str">
        <v>BV</v>
      </c>
      <c r="B1863" s="5" t="str">
        <f ca="1"/>
        <v>BV45841</v>
      </c>
      <c r="C1863" s="8" t="str">
        <v>Pedido 1849</v>
      </c>
      <c r="D1863" s="187">
        <v>45839</v>
      </c>
      <c r="E1863" s="9">
        <v>45841</v>
      </c>
      <c r="F1863" s="2" t="str">
        <v>PedidoF1734</v>
      </c>
      <c r="G1863" s="2" t="str">
        <v>CódRastreio1732</v>
      </c>
      <c r="H1863" s="5">
        <v>1</v>
      </c>
      <c r="I1863" s="182" t="str">
        <v>CPF 1805</v>
      </c>
      <c r="J1863" s="2" t="str">
        <v>Nome 1805</v>
      </c>
      <c r="K1863" s="8" t="str">
        <v>Tel 1805</v>
      </c>
      <c r="L1863" s="8" t="str">
        <v>Cep 1805</v>
      </c>
      <c r="M1863" s="8" t="str">
        <v>Rua 1805</v>
      </c>
      <c r="N1863" s="8" t="str">
        <v>Comp 1805</v>
      </c>
      <c r="O1863" s="8" t="str">
        <v>Máquina de cortar cabelo dragão</v>
      </c>
      <c r="P1863" s="8" t="str">
        <v>HG-2FNR-01A9</v>
      </c>
      <c r="Q1863" s="4">
        <v>45863</v>
      </c>
      <c r="R1863" s="109">
        <v>23</v>
      </c>
      <c r="S1863" s="11">
        <f ca="1"/>
        <v>23</v>
      </c>
      <c r="T1863" s="28">
        <f ca="1"/>
        <v>2.76</v>
      </c>
      <c r="U1863" s="11">
        <f ca="1"/>
        <v>20.239999999999998</v>
      </c>
      <c r="V1863" s="11">
        <v>17.89</v>
      </c>
      <c r="W1863" s="11">
        <f ca="1"/>
        <v>0</v>
      </c>
      <c r="X1863" s="11">
        <f ca="1"/>
        <v>0.39877104377104378</v>
      </c>
      <c r="Y1863" s="11">
        <v>0</v>
      </c>
      <c r="Z1863" s="11">
        <f ca="1"/>
        <v>1.9512289562289524</v>
      </c>
      <c r="AA1863" s="11">
        <f ca="1"/>
        <v>0.97561447811447621</v>
      </c>
      <c r="AB1863" s="4">
        <f ca="1"/>
        <v>45870</v>
      </c>
      <c r="AC1863" s="4">
        <v>45870</v>
      </c>
      <c r="AD1863" s="9">
        <v>45870</v>
      </c>
      <c r="AE1863" s="9">
        <v>45873</v>
      </c>
      <c r="AF1863" s="4" t="str">
        <f t="shared" ca="1" si="136"/>
        <v>2025 08</v>
      </c>
      <c r="AG1863" s="8" t="str" cm="1">
        <f t="array" ref="AG1863">IFERROR(_xlfn.IFS('Banco de Dados'!#REF!="AG. COMPRA","Em processamento",'Banco de Dados'!#REF!="AG. RASTREIO","Em processamento",'Banco de Dados'!$AE1863&lt;&gt;"-","Faturado",'Banco de Dados'!$AD1863&lt;&gt;"-","Aguardando Pix",'Banco de Dados'!$AC1863&lt;&gt;"-","Pendente"),"Aguardando Liberação")</f>
        <v>Aguardando Liberação</v>
      </c>
      <c r="AH1863" s="5" t="str">
        <f>IF('Banco de Dados'!$F1863="-",_xlfn.CONCAT(PROPER(TEXT(AK1863,"aaaa"))," ",PROPER(TEXT(AK1863,"mm"))),_xlfn.CONCAT(PROPER(TEXT(E1863,"aaaa"))," ",PROPER(TEXT(E1863,"mm"))))</f>
        <v>2025 07</v>
      </c>
      <c r="AI1863" s="9" t="str">
        <f ca="1">IF('Banco de Dados'!$AK1863&lt;&gt;"-","REEMBOLSO",IFERROR(_xlfn.XLOOKUP(G1863,Follow[CODRASTREIO],Follow[STATUS]),"-"))</f>
        <v>ENTREGUE</v>
      </c>
      <c r="AJ1863" s="9">
        <f ca="1">IF('Banco de Dados'!$AI1863="ENTREGUE",_xlfn.XLOOKUP('Banco de Dados'!$G1863,Follow[CODRASTREIO],Follow[DATAATUALIZAÇÃO]),"-")</f>
        <v>45847</v>
      </c>
      <c r="AK1863" s="132" t="str">
        <f ca="1"/>
        <v>-</v>
      </c>
      <c r="AL1863" s="35"/>
      <c r="AM1863" s="109" cm="1">
        <f t="array" aca="1" ref="AM1863" ca="1">IF('Banco de Dados'!$AK1863&lt;&gt;"-",_xlfn.IFS('Banco de Dados'!$A1863="bv",IF('Banco de Dados'!$E1863&lt;45641,ROUND(SUM('Banco de Dados'!$R1863*_xlfn.XLOOKUP('Banco de Dados'!$P1863,Sku!B:B,Sku!#REF!)*20%),2),ROUND(SUM('Banco de Dados'!$R1863*_xlfn.XLOOKUP('Banco de Dados'!$P1863,Sku!B:B,Sku!H:H)*20%),2)),'Banco de Dados'!$A1863="GO",ROUND(_xlfn.XLOOKUP('Banco de Dados'!$P1863,Sku!C:C,Sku!H:H),2),'Banco de Dados'!$A1863="MEI",ROUND(_xlfn.XLOOKUP('Banco de Dados'!$P1863,Sku!D:D,Sku!H:H),2)),0)</f>
        <v>0</v>
      </c>
      <c r="AN1863" s="109">
        <v>0</v>
      </c>
      <c r="AO1863" s="109">
        <v>0</v>
      </c>
      <c r="AP1863" s="28">
        <f ca="1">IF('Banco de Dados'!$AK1863&lt;&gt;"-",IF('Banco de Dados'!$AL1863="NÃO",IFERROR(VALUE(SUBSTITUTE(_xlfn.TEXTAFTER('Banco de Dados'!$F1863,"BRL ",1),".",",")),0),0),0)</f>
        <v>0</v>
      </c>
      <c r="AQ1863" s="28">
        <f ca="1">SUM('Banco de Dados'!$AM1863:$AP1863)</f>
        <v>0</v>
      </c>
      <c r="AR1863" s="8"/>
      <c r="AS1863" s="8"/>
      <c r="AT1863"/>
      <c r="AY1863" s="8"/>
    </row>
    <row r="1864" spans="1:51">
      <c r="A1864" s="5" t="str">
        <v>BV</v>
      </c>
      <c r="B1864" s="5" t="str">
        <f ca="1"/>
        <v>BV45839</v>
      </c>
      <c r="C1864" s="8" t="str">
        <v>Pedido 1850</v>
      </c>
      <c r="D1864" s="187">
        <v>45839</v>
      </c>
      <c r="E1864" s="9">
        <v>45839</v>
      </c>
      <c r="F1864" s="8" t="str">
        <v>PedidoF1735</v>
      </c>
      <c r="G1864" s="2" t="str">
        <v>CódRastreio1733</v>
      </c>
      <c r="H1864" s="5">
        <v>1</v>
      </c>
      <c r="I1864" s="182" t="str">
        <v>CPF 1806</v>
      </c>
      <c r="J1864" s="2" t="str">
        <v>Nome 1806</v>
      </c>
      <c r="K1864" s="8" t="str">
        <v>Tel 1806</v>
      </c>
      <c r="L1864" s="8" t="str">
        <v>Cep 1806</v>
      </c>
      <c r="M1864" s="8" t="str">
        <v>Rua 1806</v>
      </c>
      <c r="N1864" s="8" t="str">
        <v>Comp 1806</v>
      </c>
      <c r="O1864" s="8" t="str">
        <v>Máquina de cortar cabelo dragão</v>
      </c>
      <c r="P1864" s="8" t="str">
        <v>HG-2FNR-01A9</v>
      </c>
      <c r="Q1864" s="4">
        <v>45857</v>
      </c>
      <c r="R1864" s="109">
        <v>23</v>
      </c>
      <c r="S1864" s="11">
        <f ca="1"/>
        <v>23</v>
      </c>
      <c r="T1864" s="28">
        <f ca="1"/>
        <v>2.76</v>
      </c>
      <c r="U1864" s="11">
        <f ca="1"/>
        <v>20.239999999999998</v>
      </c>
      <c r="V1864" s="11">
        <v>10.15</v>
      </c>
      <c r="W1864" s="11">
        <f ca="1"/>
        <v>0</v>
      </c>
      <c r="X1864" s="11">
        <f ca="1"/>
        <v>0.39877104377104378</v>
      </c>
      <c r="Y1864" s="11">
        <v>0</v>
      </c>
      <c r="Z1864" s="11">
        <f ca="1"/>
        <v>9.6912289562289544</v>
      </c>
      <c r="AA1864" s="11">
        <f ca="1"/>
        <v>4.8456144781144772</v>
      </c>
      <c r="AB1864" s="4">
        <f ca="1"/>
        <v>45864</v>
      </c>
      <c r="AC1864" s="4">
        <v>45864</v>
      </c>
      <c r="AD1864" s="9">
        <v>45870</v>
      </c>
      <c r="AE1864" s="9">
        <v>45873</v>
      </c>
      <c r="AF1864" s="4" t="str">
        <f t="shared" ca="1" si="136"/>
        <v>2025 07</v>
      </c>
      <c r="AG1864" s="8" t="str" cm="1">
        <f t="array" ref="AG1864">IFERROR(_xlfn.IFS('Banco de Dados'!#REF!="AG. COMPRA","Em processamento",'Banco de Dados'!#REF!="AG. RASTREIO","Em processamento",'Banco de Dados'!$AE1864&lt;&gt;"-","Faturado",'Banco de Dados'!$AD1864&lt;&gt;"-","Aguardando Pix",'Banco de Dados'!$AC1864&lt;&gt;"-","Pendente"),"Aguardando Liberação")</f>
        <v>Aguardando Liberação</v>
      </c>
      <c r="AH1864" s="5" t="str">
        <f>IF('Banco de Dados'!$F1864="-",_xlfn.CONCAT(PROPER(TEXT(AK1864,"aaaa"))," ",PROPER(TEXT(AK1864,"mm"))),_xlfn.CONCAT(PROPER(TEXT(E1864,"aaaa"))," ",PROPER(TEXT(E1864,"mm"))))</f>
        <v>2025 07</v>
      </c>
      <c r="AI1864" s="9" t="str">
        <f ca="1">IF('Banco de Dados'!$AK1864&lt;&gt;"-","REEMBOLSO",IFERROR(_xlfn.XLOOKUP(G1864,Follow[CODRASTREIO],Follow[STATUS]),"-"))</f>
        <v>ENTREGUE</v>
      </c>
      <c r="AJ1864" s="9">
        <f ca="1">IF('Banco de Dados'!$AI1864="ENTREGUE",_xlfn.XLOOKUP('Banco de Dados'!$G1864,Follow[CODRASTREIO],Follow[DATAATUALIZAÇÃO]),"-")</f>
        <v>45852</v>
      </c>
      <c r="AK1864" s="132" t="str">
        <f ca="1"/>
        <v>-</v>
      </c>
      <c r="AL1864" s="35"/>
      <c r="AM1864" s="109" cm="1">
        <f t="array" aca="1" ref="AM1864" ca="1">IF('Banco de Dados'!$AK1864&lt;&gt;"-",_xlfn.IFS('Banco de Dados'!$A1864="bv",IF('Banco de Dados'!$E1864&lt;45641,ROUND(SUM('Banco de Dados'!$R1864*_xlfn.XLOOKUP('Banco de Dados'!$P1864,Sku!B:B,Sku!#REF!)*20%),2),ROUND(SUM('Banco de Dados'!$R1864*_xlfn.XLOOKUP('Banco de Dados'!$P1864,Sku!B:B,Sku!H:H)*20%),2)),'Banco de Dados'!$A1864="GO",ROUND(_xlfn.XLOOKUP('Banco de Dados'!$P1864,Sku!C:C,Sku!H:H),2),'Banco de Dados'!$A1864="MEI",ROUND(_xlfn.XLOOKUP('Banco de Dados'!$P1864,Sku!D:D,Sku!H:H),2)),0)</f>
        <v>0</v>
      </c>
      <c r="AN1864" s="109">
        <f ca="1">IF('Banco de Dados'!$AK1864&lt;&gt;"-",IF('Banco de Dados'!$F1864&lt;&gt;"-",_xlfn.XLOOKUP(IFERROR(IFERROR(IFERROR(VALUE(SUBSTITUTE(MID(_xlfn.TEXTAFTER('Banco de Dados'!$F1864,"Data do Pedido:
",1),1,10),"-","/")),VALUE(SUBSTITUTE(MID(_xlfn.TEXTAFTER('Banco de Dados'!$F1864,"Order date:
",1),1,10),"-","/"))),VALUE(SUBSTITUTE(MID(_xlfn.TEXTAFTER('Banco de Dados'!$F1864,"Fecha de pedido:
",1),1,10),"-","/"))),"-"),SMS!A:A,SMS!K:K),0),0)</f>
        <v>0</v>
      </c>
      <c r="AO1864" s="109">
        <f ca="1">IF('Banco de Dados'!$AK1864&lt;&gt;"-",IF('Banco de Dados'!$F1864&lt;&gt;"-",IFERROR(_xlfn.XLOOKUP(_xlfn.CONCAT('Banco de Dados'!$A1864,IFERROR(IFERROR(VALUE(SUBSTITUTE(MID(_xlfn.TEXTAFTER('Banco de Dados'!$F1864,"Data do Pedido:
",1),1,10),"-","/")),VALUE(SUBSTITUTE(MID(_xlfn.TEXTAFTER('Banco de Dados'!$F1864,"Order date:
",1),1,10),"-","/"))),0)),ProxyDD[Chave],ProxyDD[Valor por pedido]),PROXY!$P$2),0),0)</f>
        <v>0</v>
      </c>
      <c r="AP1864" s="28">
        <f ca="1">IF('Banco de Dados'!$AK1864&lt;&gt;"-",IF('Banco de Dados'!$AL1864="NÃO",IFERROR(VALUE(SUBSTITUTE(_xlfn.TEXTAFTER('Banco de Dados'!$F1864,"BRL ",1),".",",")),0),0),0)</f>
        <v>0</v>
      </c>
      <c r="AQ1864" s="28">
        <f ca="1">SUM('Banco de Dados'!$AM1864:$AP1864)</f>
        <v>0</v>
      </c>
      <c r="AR1864" s="8"/>
      <c r="AS1864" s="8"/>
      <c r="AT1864"/>
      <c r="AY1864" s="8"/>
    </row>
    <row r="1865" spans="1:51">
      <c r="A1865" s="5" t="str">
        <v>BV</v>
      </c>
      <c r="B1865" s="5" t="str">
        <f ca="1"/>
        <v>BV45841</v>
      </c>
      <c r="C1865" s="8" t="str">
        <v>Pedido 1851</v>
      </c>
      <c r="D1865" s="187">
        <v>45839</v>
      </c>
      <c r="E1865" s="9">
        <v>45841</v>
      </c>
      <c r="F1865" s="2" t="str">
        <v>PedidoF1736</v>
      </c>
      <c r="G1865" s="2" t="str">
        <v>CódRastreio1734</v>
      </c>
      <c r="H1865" s="5">
        <v>1</v>
      </c>
      <c r="I1865" s="182" t="str">
        <v>CPF 1807</v>
      </c>
      <c r="J1865" s="2" t="str">
        <v>Nome 1807</v>
      </c>
      <c r="K1865" s="8" t="str">
        <v>Tel 1807</v>
      </c>
      <c r="L1865" s="8" t="str">
        <v>Cep 1807</v>
      </c>
      <c r="M1865" s="8" t="str">
        <v>Rua 1807</v>
      </c>
      <c r="N1865" s="8" t="str">
        <v>Comp 1807</v>
      </c>
      <c r="O1865" s="8" t="str">
        <v>Máquina de cortar cabelo dragão</v>
      </c>
      <c r="P1865" s="8" t="str">
        <v>HG-2FNR-01A9</v>
      </c>
      <c r="Q1865" s="4">
        <v>45863</v>
      </c>
      <c r="R1865" s="109">
        <v>23</v>
      </c>
      <c r="S1865" s="11">
        <f ca="1"/>
        <v>23</v>
      </c>
      <c r="T1865" s="28">
        <f ca="1"/>
        <v>2.76</v>
      </c>
      <c r="U1865" s="11">
        <f ca="1"/>
        <v>20.239999999999998</v>
      </c>
      <c r="V1865" s="11">
        <v>20.49</v>
      </c>
      <c r="W1865" s="11">
        <f ca="1"/>
        <v>0</v>
      </c>
      <c r="X1865" s="11">
        <f ca="1"/>
        <v>0.39877104377104378</v>
      </c>
      <c r="Y1865" s="11">
        <v>0</v>
      </c>
      <c r="Z1865" s="11">
        <f ca="1"/>
        <v>-0.64877104377104544</v>
      </c>
      <c r="AA1865" s="11">
        <f ca="1"/>
        <v>-0.32438552188552272</v>
      </c>
      <c r="AB1865" s="4">
        <f ca="1"/>
        <v>45870</v>
      </c>
      <c r="AC1865" s="4">
        <v>45870</v>
      </c>
      <c r="AD1865" s="9">
        <v>45870</v>
      </c>
      <c r="AE1865" s="9">
        <v>45873</v>
      </c>
      <c r="AF1865" s="4" t="str">
        <f t="shared" ca="1" si="136"/>
        <v>2025 08</v>
      </c>
      <c r="AG1865" s="8" t="str" cm="1">
        <f t="array" ref="AG1865">IFERROR(_xlfn.IFS('Banco de Dados'!#REF!="AG. COMPRA","Em processamento",'Banco de Dados'!#REF!="AG. RASTREIO","Em processamento",'Banco de Dados'!$AE1865&lt;&gt;"-","Faturado",'Banco de Dados'!$AD1865&lt;&gt;"-","Aguardando Pix",'Banco de Dados'!$AC1865&lt;&gt;"-","Pendente"),"Aguardando Liberação")</f>
        <v>Aguardando Liberação</v>
      </c>
      <c r="AH1865" s="5" t="str">
        <f>IF('Banco de Dados'!$F1865="-",_xlfn.CONCAT(PROPER(TEXT(AK1865,"aaaa"))," ",PROPER(TEXT(AK1865,"mm"))),_xlfn.CONCAT(PROPER(TEXT(E1865,"aaaa"))," ",PROPER(TEXT(E1865,"mm"))))</f>
        <v>2025 07</v>
      </c>
      <c r="AI1865" s="9" t="str">
        <f ca="1">IF('Banco de Dados'!$AK1865&lt;&gt;"-","REEMBOLSO",IFERROR(_xlfn.XLOOKUP(G1865,Follow[CODRASTREIO],Follow[STATUS]),"-"))</f>
        <v>ENTREGUE</v>
      </c>
      <c r="AJ1865" s="9">
        <f ca="1">IF('Banco de Dados'!$AI1865="ENTREGUE",_xlfn.XLOOKUP('Banco de Dados'!$G1865,Follow[CODRASTREIO],Follow[DATAATUALIZAÇÃO]),"-")</f>
        <v>45849</v>
      </c>
      <c r="AK1865" s="132" t="str">
        <f ca="1"/>
        <v>-</v>
      </c>
      <c r="AL1865" s="35"/>
      <c r="AM1865" s="109" cm="1">
        <f t="array" aca="1" ref="AM1865" ca="1">IF('Banco de Dados'!$AK1865&lt;&gt;"-",_xlfn.IFS('Banco de Dados'!$A1865="bv",IF('Banco de Dados'!$E1865&lt;45641,ROUND(SUM('Banco de Dados'!$R1865*_xlfn.XLOOKUP('Banco de Dados'!$P1865,Sku!B:B,Sku!#REF!)*20%),2),ROUND(SUM('Banco de Dados'!$R1865*_xlfn.XLOOKUP('Banco de Dados'!$P1865,Sku!B:B,Sku!H:H)*20%),2)),'Banco de Dados'!$A1865="GO",ROUND(_xlfn.XLOOKUP('Banco de Dados'!$P1865,Sku!C:C,Sku!H:H),2),'Banco de Dados'!$A1865="MEI",ROUND(_xlfn.XLOOKUP('Banco de Dados'!$P1865,Sku!D:D,Sku!H:H),2)),0)</f>
        <v>0</v>
      </c>
      <c r="AN1865" s="109">
        <v>0</v>
      </c>
      <c r="AO1865" s="109">
        <v>0</v>
      </c>
      <c r="AP1865" s="28">
        <f ca="1">IF('Banco de Dados'!$AK1865&lt;&gt;"-",IF('Banco de Dados'!$AL1865="NÃO",IFERROR(VALUE(SUBSTITUTE(_xlfn.TEXTAFTER('Banco de Dados'!$F1865,"BRL ",1),".",",")),0),0),0)</f>
        <v>0</v>
      </c>
      <c r="AQ1865" s="28">
        <f ca="1">SUM('Banco de Dados'!$AM1865:$AP1865)</f>
        <v>0</v>
      </c>
      <c r="AR1865" s="8"/>
      <c r="AS1865" s="8"/>
      <c r="AT1865"/>
      <c r="AY1865" s="8"/>
    </row>
    <row r="1866" spans="1:51">
      <c r="A1866" s="5" t="str">
        <v>BV</v>
      </c>
      <c r="B1866" s="5" t="str">
        <f ca="1"/>
        <v>BV45841</v>
      </c>
      <c r="C1866" s="8" t="str">
        <v>Pedido 1852</v>
      </c>
      <c r="D1866" s="187">
        <v>45839</v>
      </c>
      <c r="E1866" s="9">
        <v>45841</v>
      </c>
      <c r="F1866" s="2" t="str">
        <v>PedidoF1737</v>
      </c>
      <c r="G1866" s="2" t="str">
        <v>CódRastreio1735</v>
      </c>
      <c r="H1866" s="5">
        <v>1</v>
      </c>
      <c r="I1866" s="182" t="str">
        <v>CPF 1808</v>
      </c>
      <c r="J1866" s="2" t="str">
        <v>Nome 1808</v>
      </c>
      <c r="K1866" s="8" t="str">
        <v>Tel 1808</v>
      </c>
      <c r="L1866" s="8" t="str">
        <v>Cep 1808</v>
      </c>
      <c r="M1866" s="8" t="str">
        <v>Rua 1808</v>
      </c>
      <c r="N1866" s="8" t="str">
        <v>Comp 1808</v>
      </c>
      <c r="O1866" s="8" t="str">
        <v>Máquina de cortar cabelo dragão</v>
      </c>
      <c r="P1866" s="8" t="str">
        <v>HG-2FNR-01A9</v>
      </c>
      <c r="Q1866" s="4">
        <v>45864</v>
      </c>
      <c r="R1866" s="109">
        <v>23</v>
      </c>
      <c r="S1866" s="11">
        <f ca="1"/>
        <v>23</v>
      </c>
      <c r="T1866" s="28">
        <f ca="1"/>
        <v>2.76</v>
      </c>
      <c r="U1866" s="11">
        <f ca="1"/>
        <v>20.239999999999998</v>
      </c>
      <c r="V1866" s="11">
        <v>14.9</v>
      </c>
      <c r="W1866" s="11">
        <f ca="1"/>
        <v>0</v>
      </c>
      <c r="X1866" s="11">
        <f ca="1"/>
        <v>0.39877104377104378</v>
      </c>
      <c r="Y1866" s="11">
        <v>0</v>
      </c>
      <c r="Z1866" s="11">
        <f ca="1"/>
        <v>4.9412289562289544</v>
      </c>
      <c r="AA1866" s="11">
        <f ca="1"/>
        <v>2.4706144781144772</v>
      </c>
      <c r="AB1866" s="4">
        <f ca="1"/>
        <v>45871</v>
      </c>
      <c r="AC1866" s="4">
        <v>45871</v>
      </c>
      <c r="AD1866" s="9">
        <v>45887</v>
      </c>
      <c r="AE1866" s="9">
        <v>45888</v>
      </c>
      <c r="AF1866" s="4" t="str">
        <f t="shared" ca="1" si="136"/>
        <v>2025 08</v>
      </c>
      <c r="AG1866" s="8" t="str" cm="1">
        <f t="array" ref="AG1866">IFERROR(_xlfn.IFS('Banco de Dados'!#REF!="AG. COMPRA","Em processamento",'Banco de Dados'!#REF!="AG. RASTREIO","Em processamento",'Banco de Dados'!$AE1866&lt;&gt;"-","Faturado",'Banco de Dados'!$AD1866&lt;&gt;"-","Aguardando Pix",'Banco de Dados'!$AC1866&lt;&gt;"-","Pendente"),"Aguardando Liberação")</f>
        <v>Aguardando Liberação</v>
      </c>
      <c r="AH1866" s="5" t="str">
        <f>IF('Banco de Dados'!$F1866="-",_xlfn.CONCAT(PROPER(TEXT(AK1866,"aaaa"))," ",PROPER(TEXT(AK1866,"mm"))),_xlfn.CONCAT(PROPER(TEXT(E1866,"aaaa"))," ",PROPER(TEXT(E1866,"mm"))))</f>
        <v>2025 07</v>
      </c>
      <c r="AI1866" s="9" t="str">
        <f ca="1">IF('Banco de Dados'!$AK1866&lt;&gt;"-","REEMBOLSO",IFERROR(_xlfn.XLOOKUP(G1866,Follow[CODRASTREIO],Follow[STATUS]),"-"))</f>
        <v>ENTREGUE</v>
      </c>
      <c r="AJ1866" s="9">
        <f ca="1">IF('Banco de Dados'!$AI1866="ENTREGUE",_xlfn.XLOOKUP('Banco de Dados'!$G1866,Follow[CODRASTREIO],Follow[DATAATUALIZAÇÃO]),"-")</f>
        <v>45848</v>
      </c>
      <c r="AK1866" s="132" t="str">
        <f ca="1"/>
        <v>-</v>
      </c>
      <c r="AL1866" s="35"/>
      <c r="AM1866" s="109" cm="1">
        <f t="array" aca="1" ref="AM1866" ca="1">IF('Banco de Dados'!$AK1866&lt;&gt;"-",_xlfn.IFS('Banco de Dados'!$A1866="bv",IF('Banco de Dados'!$E1866&lt;45641,ROUND(SUM('Banco de Dados'!$R1866*_xlfn.XLOOKUP('Banco de Dados'!$P1866,Sku!B:B,Sku!#REF!)*20%),2),ROUND(SUM('Banco de Dados'!$R1866*_xlfn.XLOOKUP('Banco de Dados'!$P1866,Sku!B:B,Sku!H:H)*20%),2)),'Banco de Dados'!$A1866="GO",ROUND(_xlfn.XLOOKUP('Banco de Dados'!$P1866,Sku!C:C,Sku!H:H),2),'Banco de Dados'!$A1866="MEI",ROUND(_xlfn.XLOOKUP('Banco de Dados'!$P1866,Sku!D:D,Sku!H:H),2)),0)</f>
        <v>0</v>
      </c>
      <c r="AN1866" s="109">
        <v>0</v>
      </c>
      <c r="AO1866" s="109">
        <v>0</v>
      </c>
      <c r="AP1866" s="28">
        <f ca="1">IF('Banco de Dados'!$AK1866&lt;&gt;"-",IF('Banco de Dados'!$AL1866="NÃO",IFERROR(VALUE(SUBSTITUTE(_xlfn.TEXTAFTER('Banco de Dados'!$F1866,"BRL ",1),".",",")),0),0),0)</f>
        <v>0</v>
      </c>
      <c r="AQ1866" s="28">
        <f ca="1">SUM('Banco de Dados'!$AM1866:$AP1866)</f>
        <v>0</v>
      </c>
      <c r="AR1866" s="8"/>
      <c r="AS1866" s="8"/>
      <c r="AT1866"/>
      <c r="AY1866" s="8"/>
    </row>
    <row r="1867" spans="1:51">
      <c r="A1867" s="5" t="str">
        <v>BV</v>
      </c>
      <c r="B1867" s="5" t="str">
        <f ca="1"/>
        <v>BV45841</v>
      </c>
      <c r="C1867" s="8" t="str">
        <v>Pedido 1853</v>
      </c>
      <c r="D1867" s="187">
        <v>45839</v>
      </c>
      <c r="E1867" s="9">
        <v>45841</v>
      </c>
      <c r="F1867" s="2" t="str">
        <v>PedidoF1738</v>
      </c>
      <c r="G1867" s="2" t="str">
        <v>CódRastreio1736</v>
      </c>
      <c r="H1867" s="5">
        <v>1</v>
      </c>
      <c r="I1867" s="182" t="str">
        <v>CPF 1809</v>
      </c>
      <c r="J1867" s="2" t="str">
        <v>Nome 1809</v>
      </c>
      <c r="K1867" s="8" t="str">
        <v>Tel 1809</v>
      </c>
      <c r="L1867" s="8" t="str">
        <v>Cep 1809</v>
      </c>
      <c r="M1867" s="8" t="str">
        <v>Rua 1809</v>
      </c>
      <c r="N1867" s="8" t="str">
        <v>Comp 1809</v>
      </c>
      <c r="O1867" s="8" t="str">
        <v>Máquina de cortar cabelo dragão</v>
      </c>
      <c r="P1867" s="8" t="str">
        <v>HG-2FNR-01A9</v>
      </c>
      <c r="Q1867" s="4">
        <v>45864</v>
      </c>
      <c r="R1867" s="109">
        <v>23</v>
      </c>
      <c r="S1867" s="11">
        <f ca="1"/>
        <v>23</v>
      </c>
      <c r="T1867" s="28">
        <f ca="1"/>
        <v>2.76</v>
      </c>
      <c r="U1867" s="11">
        <f ca="1"/>
        <v>20.239999999999998</v>
      </c>
      <c r="V1867" s="11">
        <v>15.65</v>
      </c>
      <c r="W1867" s="11">
        <f ca="1"/>
        <v>0</v>
      </c>
      <c r="X1867" s="11">
        <f ca="1"/>
        <v>0.39877104377104378</v>
      </c>
      <c r="Y1867" s="11">
        <v>0</v>
      </c>
      <c r="Z1867" s="11">
        <f ca="1"/>
        <v>4.1912289562289544</v>
      </c>
      <c r="AA1867" s="11">
        <f ca="1"/>
        <v>2.0956144781144772</v>
      </c>
      <c r="AB1867" s="4">
        <f ca="1"/>
        <v>45871</v>
      </c>
      <c r="AC1867" s="4">
        <v>45871</v>
      </c>
      <c r="AD1867" s="9">
        <v>45887</v>
      </c>
      <c r="AE1867" s="9">
        <v>45888</v>
      </c>
      <c r="AF1867" s="4" t="str">
        <f t="shared" ca="1" si="136"/>
        <v>2025 08</v>
      </c>
      <c r="AG1867" s="8" t="str" cm="1">
        <f t="array" ref="AG1867">IFERROR(_xlfn.IFS('Banco de Dados'!#REF!="AG. COMPRA","Em processamento",'Banco de Dados'!#REF!="AG. RASTREIO","Em processamento",'Banco de Dados'!$AE1867&lt;&gt;"-","Faturado",'Banco de Dados'!$AD1867&lt;&gt;"-","Aguardando Pix",'Banco de Dados'!$AC1867&lt;&gt;"-","Pendente"),"Aguardando Liberação")</f>
        <v>Aguardando Liberação</v>
      </c>
      <c r="AH1867" s="5" t="str">
        <f>IF('Banco de Dados'!$F1867="-",_xlfn.CONCAT(PROPER(TEXT(AK1867,"aaaa"))," ",PROPER(TEXT(AK1867,"mm"))),_xlfn.CONCAT(PROPER(TEXT(E1867,"aaaa"))," ",PROPER(TEXT(E1867,"mm"))))</f>
        <v>2025 07</v>
      </c>
      <c r="AI1867" s="9" t="str">
        <f ca="1">IF('Banco de Dados'!$AK1867&lt;&gt;"-","REEMBOLSO",IFERROR(_xlfn.XLOOKUP(G1867,Follow[CODRASTREIO],Follow[STATUS]),"-"))</f>
        <v>ENTREGUE</v>
      </c>
      <c r="AJ1867" s="9">
        <f ca="1">IF('Banco de Dados'!$AI1867="ENTREGUE",_xlfn.XLOOKUP('Banco de Dados'!$G1867,Follow[CODRASTREIO],Follow[DATAATUALIZAÇÃO]),"-")</f>
        <v>45846</v>
      </c>
      <c r="AK1867" s="132" t="str">
        <f ca="1"/>
        <v>-</v>
      </c>
      <c r="AL1867" s="35"/>
      <c r="AM1867" s="109" cm="1">
        <f t="array" aca="1" ref="AM1867" ca="1">IF('Banco de Dados'!$AK1867&lt;&gt;"-",_xlfn.IFS('Banco de Dados'!$A1867="bv",IF('Banco de Dados'!$E1867&lt;45641,ROUND(SUM('Banco de Dados'!$R1867*_xlfn.XLOOKUP('Banco de Dados'!$P1867,Sku!B:B,Sku!#REF!)*20%),2),ROUND(SUM('Banco de Dados'!$R1867*_xlfn.XLOOKUP('Banco de Dados'!$P1867,Sku!B:B,Sku!H:H)*20%),2)),'Banco de Dados'!$A1867="GO",ROUND(_xlfn.XLOOKUP('Banco de Dados'!$P1867,Sku!C:C,Sku!H:H),2),'Banco de Dados'!$A1867="MEI",ROUND(_xlfn.XLOOKUP('Banco de Dados'!$P1867,Sku!D:D,Sku!H:H),2)),0)</f>
        <v>0</v>
      </c>
      <c r="AN1867" s="109">
        <v>0</v>
      </c>
      <c r="AO1867" s="109">
        <v>0</v>
      </c>
      <c r="AP1867" s="28">
        <f ca="1">IF('Banco de Dados'!$AK1867&lt;&gt;"-",IF('Banco de Dados'!$AL1867="NÃO",IFERROR(VALUE(SUBSTITUTE(_xlfn.TEXTAFTER('Banco de Dados'!$F1867,"BRL ",1),".",",")),0),0),0)</f>
        <v>0</v>
      </c>
      <c r="AQ1867" s="28">
        <f ca="1">SUM('Banco de Dados'!$AM1867:$AP1867)</f>
        <v>0</v>
      </c>
      <c r="AR1867" s="8"/>
      <c r="AS1867" s="8"/>
      <c r="AT1867"/>
      <c r="AY1867" s="8"/>
    </row>
    <row r="1868" spans="1:51">
      <c r="A1868" s="5" t="str">
        <v>BV</v>
      </c>
      <c r="B1868" s="5" t="str">
        <f ca="1"/>
        <v>BV45841</v>
      </c>
      <c r="C1868" s="8" t="str">
        <v>Pedido 1854</v>
      </c>
      <c r="D1868" s="187">
        <v>45839</v>
      </c>
      <c r="E1868" s="9">
        <v>45841</v>
      </c>
      <c r="F1868" s="2" t="str">
        <v>PedidoF1739</v>
      </c>
      <c r="G1868" s="2" t="str">
        <v>CódRastreio1737</v>
      </c>
      <c r="H1868" s="5">
        <v>1</v>
      </c>
      <c r="I1868" s="182" t="str">
        <v>CPF 1810</v>
      </c>
      <c r="J1868" s="2" t="str">
        <v>Nome 1810</v>
      </c>
      <c r="K1868" s="8" t="str">
        <v>Tel 1810</v>
      </c>
      <c r="L1868" s="8" t="str">
        <v>Cep 1810</v>
      </c>
      <c r="M1868" s="8" t="str">
        <v>Rua 1810</v>
      </c>
      <c r="N1868" s="8" t="str">
        <v>Comp 1810</v>
      </c>
      <c r="O1868" s="8" t="str">
        <v>Máquina de cortar cabelo dragão</v>
      </c>
      <c r="P1868" s="8" t="str">
        <v>HG-2FNR-01A9</v>
      </c>
      <c r="Q1868" s="4">
        <v>45864</v>
      </c>
      <c r="R1868" s="109">
        <v>23</v>
      </c>
      <c r="S1868" s="11">
        <f ca="1"/>
        <v>23</v>
      </c>
      <c r="T1868" s="28">
        <f ca="1"/>
        <v>2.76</v>
      </c>
      <c r="U1868" s="11">
        <f ca="1"/>
        <v>20.239999999999998</v>
      </c>
      <c r="V1868" s="11">
        <v>21.5</v>
      </c>
      <c r="W1868" s="11">
        <f ca="1"/>
        <v>0</v>
      </c>
      <c r="X1868" s="11">
        <f ca="1"/>
        <v>0.39877104377104378</v>
      </c>
      <c r="Y1868" s="11">
        <v>0</v>
      </c>
      <c r="Z1868" s="11">
        <f ca="1"/>
        <v>-1.658771043771047</v>
      </c>
      <c r="AA1868" s="11">
        <f ca="1"/>
        <v>-0.8293855218855235</v>
      </c>
      <c r="AB1868" s="4">
        <f ca="1"/>
        <v>45871</v>
      </c>
      <c r="AC1868" s="4">
        <v>45871</v>
      </c>
      <c r="AD1868" s="9">
        <v>45887</v>
      </c>
      <c r="AE1868" s="9">
        <v>45888</v>
      </c>
      <c r="AF1868" s="4" t="str">
        <f t="shared" ca="1" si="136"/>
        <v>2025 08</v>
      </c>
      <c r="AG1868" s="8" t="str" cm="1">
        <f t="array" ref="AG1868">IFERROR(_xlfn.IFS('Banco de Dados'!#REF!="AG. COMPRA","Em processamento",'Banco de Dados'!#REF!="AG. RASTREIO","Em processamento",'Banco de Dados'!$AE1868&lt;&gt;"-","Faturado",'Banco de Dados'!$AD1868&lt;&gt;"-","Aguardando Pix",'Banco de Dados'!$AC1868&lt;&gt;"-","Pendente"),"Aguardando Liberação")</f>
        <v>Aguardando Liberação</v>
      </c>
      <c r="AH1868" s="5" t="str">
        <f>IF('Banco de Dados'!$F1868="-",_xlfn.CONCAT(PROPER(TEXT(AK1868,"aaaa"))," ",PROPER(TEXT(AK1868,"mm"))),_xlfn.CONCAT(PROPER(TEXT(E1868,"aaaa"))," ",PROPER(TEXT(E1868,"mm"))))</f>
        <v>2025 07</v>
      </c>
      <c r="AI1868" s="9" t="str">
        <f ca="1">IF('Banco de Dados'!$AK1868&lt;&gt;"-","REEMBOLSO",IFERROR(_xlfn.XLOOKUP(G1868,Follow[CODRASTREIO],Follow[STATUS]),"-"))</f>
        <v>ENTREGUE</v>
      </c>
      <c r="AJ1868" s="9">
        <f ca="1">IF('Banco de Dados'!$AI1868="ENTREGUE",_xlfn.XLOOKUP('Banco de Dados'!$G1868,Follow[CODRASTREIO],Follow[DATAATUALIZAÇÃO]),"-")</f>
        <v>45850</v>
      </c>
      <c r="AK1868" s="132" t="str">
        <f ca="1"/>
        <v>-</v>
      </c>
      <c r="AL1868" s="35"/>
      <c r="AM1868" s="109" cm="1">
        <f t="array" aca="1" ref="AM1868" ca="1">IF('Banco de Dados'!$AK1868&lt;&gt;"-",_xlfn.IFS('Banco de Dados'!$A1868="bv",IF('Banco de Dados'!$E1868&lt;45641,ROUND(SUM('Banco de Dados'!$R1868*_xlfn.XLOOKUP('Banco de Dados'!$P1868,Sku!B:B,Sku!#REF!)*20%),2),ROUND(SUM('Banco de Dados'!$R1868*_xlfn.XLOOKUP('Banco de Dados'!$P1868,Sku!B:B,Sku!H:H)*20%),2)),'Banco de Dados'!$A1868="GO",ROUND(_xlfn.XLOOKUP('Banco de Dados'!$P1868,Sku!C:C,Sku!H:H),2),'Banco de Dados'!$A1868="MEI",ROUND(_xlfn.XLOOKUP('Banco de Dados'!$P1868,Sku!D:D,Sku!H:H),2)),0)</f>
        <v>0</v>
      </c>
      <c r="AN1868" s="109">
        <v>0</v>
      </c>
      <c r="AO1868" s="109">
        <v>0</v>
      </c>
      <c r="AP1868" s="28">
        <f ca="1">IF('Banco de Dados'!$AK1868&lt;&gt;"-",IF('Banco de Dados'!$AL1868="NÃO",IFERROR(VALUE(SUBSTITUTE(_xlfn.TEXTAFTER('Banco de Dados'!$F1868,"BRL ",1),".",",")),0),0),0)</f>
        <v>0</v>
      </c>
      <c r="AQ1868" s="28">
        <f ca="1">SUM('Banco de Dados'!$AM1868:$AP1868)</f>
        <v>0</v>
      </c>
      <c r="AR1868" s="8"/>
      <c r="AS1868" s="8"/>
      <c r="AT1868"/>
      <c r="AY1868" s="8"/>
    </row>
    <row r="1869" spans="1:51">
      <c r="A1869" s="5" t="str">
        <v>BV</v>
      </c>
      <c r="B1869" s="5" t="str">
        <f ca="1"/>
        <v>BV45841</v>
      </c>
      <c r="C1869" s="8" t="str">
        <v>Pedido 1855</v>
      </c>
      <c r="D1869" s="187">
        <v>45839</v>
      </c>
      <c r="E1869" s="9">
        <v>45841</v>
      </c>
      <c r="F1869" s="2" t="str">
        <v>PedidoF1740</v>
      </c>
      <c r="G1869" s="2" t="str">
        <v>CódRastreio1738</v>
      </c>
      <c r="H1869" s="5">
        <v>1</v>
      </c>
      <c r="I1869" s="182" t="str">
        <v>CPF 1811</v>
      </c>
      <c r="J1869" s="2" t="str">
        <v>Nome 1811</v>
      </c>
      <c r="K1869" s="8" t="str">
        <v>Tel 1811</v>
      </c>
      <c r="L1869" s="8" t="str">
        <v>Cep 1811</v>
      </c>
      <c r="M1869" s="8" t="str">
        <v>Rua 1811</v>
      </c>
      <c r="N1869" s="8" t="str">
        <v>Comp 1811</v>
      </c>
      <c r="O1869" s="8" t="str">
        <v>Máquina de cortar cabelo dragão</v>
      </c>
      <c r="P1869" s="8" t="str">
        <v>HG-2FNR-01A9</v>
      </c>
      <c r="Q1869" s="4">
        <v>45860</v>
      </c>
      <c r="R1869" s="109">
        <v>23</v>
      </c>
      <c r="S1869" s="11">
        <f ca="1"/>
        <v>23</v>
      </c>
      <c r="T1869" s="28">
        <f ca="1"/>
        <v>2.76</v>
      </c>
      <c r="U1869" s="11">
        <f ca="1"/>
        <v>20.239999999999998</v>
      </c>
      <c r="V1869" s="11">
        <v>14.9</v>
      </c>
      <c r="W1869" s="11">
        <f ca="1"/>
        <v>0</v>
      </c>
      <c r="X1869" s="11">
        <f ca="1"/>
        <v>0.39877104377104378</v>
      </c>
      <c r="Y1869" s="11">
        <v>0</v>
      </c>
      <c r="Z1869" s="11">
        <f ca="1"/>
        <v>4.9412289562289544</v>
      </c>
      <c r="AA1869" s="11">
        <f ca="1"/>
        <v>2.4706144781144772</v>
      </c>
      <c r="AB1869" s="4">
        <f ca="1"/>
        <v>45867</v>
      </c>
      <c r="AC1869" s="4">
        <v>45867</v>
      </c>
      <c r="AD1869" s="9">
        <v>45870</v>
      </c>
      <c r="AE1869" s="9">
        <v>45873</v>
      </c>
      <c r="AF1869" s="4" t="str">
        <f t="shared" ca="1" si="136"/>
        <v>2025 07</v>
      </c>
      <c r="AG1869" s="8" t="str" cm="1">
        <f t="array" ref="AG1869">IFERROR(_xlfn.IFS('Banco de Dados'!#REF!="AG. COMPRA","Em processamento",'Banco de Dados'!#REF!="AG. RASTREIO","Em processamento",'Banco de Dados'!$AE1869&lt;&gt;"-","Faturado",'Banco de Dados'!$AD1869&lt;&gt;"-","Aguardando Pix",'Banco de Dados'!$AC1869&lt;&gt;"-","Pendente"),"Aguardando Liberação")</f>
        <v>Aguardando Liberação</v>
      </c>
      <c r="AH1869" s="5" t="str">
        <f>IF('Banco de Dados'!$F1869="-",_xlfn.CONCAT(PROPER(TEXT(AK1869,"aaaa"))," ",PROPER(TEXT(AK1869,"mm"))),_xlfn.CONCAT(PROPER(TEXT(E1869,"aaaa"))," ",PROPER(TEXT(E1869,"mm"))))</f>
        <v>2025 07</v>
      </c>
      <c r="AI1869" s="9" t="str">
        <f ca="1">IF('Banco de Dados'!$AK1869&lt;&gt;"-","REEMBOLSO",IFERROR(_xlfn.XLOOKUP(G1869,Follow[CODRASTREIO],Follow[STATUS]),"-"))</f>
        <v>ENTREGUE</v>
      </c>
      <c r="AJ1869" s="9">
        <f ca="1">IF('Banco de Dados'!$AI1869="ENTREGUE",_xlfn.XLOOKUP('Banco de Dados'!$G1869,Follow[CODRASTREIO],Follow[DATAATUALIZAÇÃO]),"-")</f>
        <v>45845</v>
      </c>
      <c r="AK1869" s="132" t="str">
        <f ca="1"/>
        <v>-</v>
      </c>
      <c r="AL1869" s="35"/>
      <c r="AM1869" s="109" cm="1">
        <f t="array" aca="1" ref="AM1869" ca="1">IF('Banco de Dados'!$AK1869&lt;&gt;"-",_xlfn.IFS('Banco de Dados'!$A1869="bv",IF('Banco de Dados'!$E1869&lt;45641,ROUND(SUM('Banco de Dados'!$R1869*_xlfn.XLOOKUP('Banco de Dados'!$P1869,Sku!B:B,Sku!#REF!)*20%),2),ROUND(SUM('Banco de Dados'!$R1869*_xlfn.XLOOKUP('Banco de Dados'!$P1869,Sku!B:B,Sku!H:H)*20%),2)),'Banco de Dados'!$A1869="GO",ROUND(_xlfn.XLOOKUP('Banco de Dados'!$P1869,Sku!C:C,Sku!H:H),2),'Banco de Dados'!$A1869="MEI",ROUND(_xlfn.XLOOKUP('Banco de Dados'!$P1869,Sku!D:D,Sku!H:H),2)),0)</f>
        <v>0</v>
      </c>
      <c r="AN1869" s="109">
        <v>0</v>
      </c>
      <c r="AO1869" s="109">
        <v>0</v>
      </c>
      <c r="AP1869" s="28">
        <f ca="1">IF('Banco de Dados'!$AK1869&lt;&gt;"-",IF('Banco de Dados'!$AL1869="NÃO",IFERROR(VALUE(SUBSTITUTE(_xlfn.TEXTAFTER('Banco de Dados'!$F1869,"BRL ",1),".",",")),0),0),0)</f>
        <v>0</v>
      </c>
      <c r="AQ1869" s="28">
        <f ca="1">SUM('Banco de Dados'!$AM1869:$AP1869)</f>
        <v>0</v>
      </c>
      <c r="AR1869" s="8"/>
      <c r="AS1869" s="8"/>
      <c r="AT1869"/>
      <c r="AY1869" s="8"/>
    </row>
    <row r="1870" spans="1:51">
      <c r="A1870" s="5" t="str">
        <v>BV</v>
      </c>
      <c r="B1870" s="5" t="str">
        <f ca="1"/>
        <v>BV45841</v>
      </c>
      <c r="C1870" s="8" t="str">
        <v>Pedido 1856</v>
      </c>
      <c r="D1870" s="187">
        <v>45839</v>
      </c>
      <c r="E1870" s="9">
        <v>45841</v>
      </c>
      <c r="F1870" s="2" t="str">
        <v>PedidoF1741</v>
      </c>
      <c r="G1870" s="2" t="str">
        <v>CódRastreio1739</v>
      </c>
      <c r="H1870" s="5">
        <v>1</v>
      </c>
      <c r="I1870" s="182" t="str">
        <v>CPF 1812</v>
      </c>
      <c r="J1870" s="2" t="str">
        <v>Nome 1812</v>
      </c>
      <c r="K1870" s="8" t="str">
        <v>Tel 1812</v>
      </c>
      <c r="L1870" s="8" t="str">
        <v>Cep 1812</v>
      </c>
      <c r="M1870" s="8" t="str">
        <v>Rua 1812</v>
      </c>
      <c r="N1870" s="8" t="str">
        <v>Comp 1812</v>
      </c>
      <c r="O1870" s="8" t="str">
        <v>Máquina de cortar cabelo dragão</v>
      </c>
      <c r="P1870" s="8" t="str">
        <v>HG-2FNR-01A9</v>
      </c>
      <c r="Q1870" s="4">
        <v>45860</v>
      </c>
      <c r="R1870" s="109">
        <v>23</v>
      </c>
      <c r="S1870" s="11">
        <f ca="1"/>
        <v>23</v>
      </c>
      <c r="T1870" s="28">
        <f ca="1"/>
        <v>2.76</v>
      </c>
      <c r="U1870" s="11">
        <f ca="1"/>
        <v>20.239999999999998</v>
      </c>
      <c r="V1870" s="11">
        <v>14.9</v>
      </c>
      <c r="W1870" s="11">
        <f ca="1"/>
        <v>0</v>
      </c>
      <c r="X1870" s="11">
        <f ca="1"/>
        <v>0.39877104377104378</v>
      </c>
      <c r="Y1870" s="11">
        <v>0</v>
      </c>
      <c r="Z1870" s="11">
        <f ca="1"/>
        <v>4.9412289562289544</v>
      </c>
      <c r="AA1870" s="11">
        <f ca="1"/>
        <v>2.4706144781144772</v>
      </c>
      <c r="AB1870" s="4">
        <f ca="1"/>
        <v>45867</v>
      </c>
      <c r="AC1870" s="4">
        <v>45867</v>
      </c>
      <c r="AD1870" s="9">
        <v>45870</v>
      </c>
      <c r="AE1870" s="9">
        <v>45873</v>
      </c>
      <c r="AF1870" s="4" t="str">
        <f t="shared" ca="1" si="136"/>
        <v>2025 07</v>
      </c>
      <c r="AG1870" s="8" t="str" cm="1">
        <f t="array" ref="AG1870">IFERROR(_xlfn.IFS('Banco de Dados'!#REF!="AG. COMPRA","Em processamento",'Banco de Dados'!#REF!="AG. RASTREIO","Em processamento",'Banco de Dados'!$AE1870&lt;&gt;"-","Faturado",'Banco de Dados'!$AD1870&lt;&gt;"-","Aguardando Pix",'Banco de Dados'!$AC1870&lt;&gt;"-","Pendente"),"Aguardando Liberação")</f>
        <v>Aguardando Liberação</v>
      </c>
      <c r="AH1870" s="5" t="str">
        <f>IF('Banco de Dados'!$F1870="-",_xlfn.CONCAT(PROPER(TEXT(AK1870,"aaaa"))," ",PROPER(TEXT(AK1870,"mm"))),_xlfn.CONCAT(PROPER(TEXT(E1870,"aaaa"))," ",PROPER(TEXT(E1870,"mm"))))</f>
        <v>2025 07</v>
      </c>
      <c r="AI1870" s="9" t="str">
        <f ca="1">IF('Banco de Dados'!$AK1870&lt;&gt;"-","REEMBOLSO",IFERROR(_xlfn.XLOOKUP(G1870,Follow[CODRASTREIO],Follow[STATUS]),"-"))</f>
        <v>ENTREGUE</v>
      </c>
      <c r="AJ1870" s="9">
        <f ca="1">IF('Banco de Dados'!$AI1870="ENTREGUE",_xlfn.XLOOKUP('Banco de Dados'!$G1870,Follow[CODRASTREIO],Follow[DATAATUALIZAÇÃO]),"-")</f>
        <v>45848</v>
      </c>
      <c r="AK1870" s="132" t="str">
        <f ca="1"/>
        <v>-</v>
      </c>
      <c r="AL1870" s="35"/>
      <c r="AM1870" s="109" cm="1">
        <f t="array" aca="1" ref="AM1870" ca="1">IF('Banco de Dados'!$AK1870&lt;&gt;"-",_xlfn.IFS('Banco de Dados'!$A1870="bv",IF('Banco de Dados'!$E1870&lt;45641,ROUND(SUM('Banco de Dados'!$R1870*_xlfn.XLOOKUP('Banco de Dados'!$P1870,Sku!B:B,Sku!#REF!)*20%),2),ROUND(SUM('Banco de Dados'!$R1870*_xlfn.XLOOKUP('Banco de Dados'!$P1870,Sku!B:B,Sku!H:H)*20%),2)),'Banco de Dados'!$A1870="GO",ROUND(_xlfn.XLOOKUP('Banco de Dados'!$P1870,Sku!C:C,Sku!H:H),2),'Banco de Dados'!$A1870="MEI",ROUND(_xlfn.XLOOKUP('Banco de Dados'!$P1870,Sku!D:D,Sku!H:H),2)),0)</f>
        <v>0</v>
      </c>
      <c r="AN1870" s="109">
        <v>0</v>
      </c>
      <c r="AO1870" s="109">
        <v>0</v>
      </c>
      <c r="AP1870" s="28">
        <f ca="1">IF('Banco de Dados'!$AK1870&lt;&gt;"-",IF('Banco de Dados'!$AL1870="NÃO",IFERROR(VALUE(SUBSTITUTE(_xlfn.TEXTAFTER('Banco de Dados'!$F1870,"BRL ",1),".",",")),0),0),0)</f>
        <v>0</v>
      </c>
      <c r="AQ1870" s="28">
        <f ca="1">SUM('Banco de Dados'!$AM1870:$AP1870)</f>
        <v>0</v>
      </c>
      <c r="AR1870" s="8"/>
      <c r="AS1870" s="8"/>
      <c r="AT1870"/>
      <c r="AY1870" s="8"/>
    </row>
    <row r="1871" spans="1:51">
      <c r="A1871" s="5" t="str">
        <v>BV</v>
      </c>
      <c r="B1871" s="5" t="str">
        <f ca="1"/>
        <v>BV45841</v>
      </c>
      <c r="C1871" s="8" t="str">
        <v>Pedido 1857</v>
      </c>
      <c r="D1871" s="187">
        <v>45839</v>
      </c>
      <c r="E1871" s="9">
        <v>45841</v>
      </c>
      <c r="F1871" s="2" t="str">
        <v>PedidoF1742</v>
      </c>
      <c r="G1871" s="2" t="str">
        <v>CódRastreio1740</v>
      </c>
      <c r="H1871" s="5">
        <v>1</v>
      </c>
      <c r="I1871" s="182" t="str">
        <v>CPF 1813</v>
      </c>
      <c r="J1871" s="2" t="str">
        <v>Nome 1813</v>
      </c>
      <c r="K1871" s="8" t="str">
        <v>Tel 1813</v>
      </c>
      <c r="L1871" s="8" t="str">
        <v>Cep 1813</v>
      </c>
      <c r="M1871" s="8" t="str">
        <v>Rua 1813</v>
      </c>
      <c r="N1871" s="8" t="str">
        <v>Comp 1813</v>
      </c>
      <c r="O1871" s="8" t="str">
        <v>Máquina de cortar cabelo dragão</v>
      </c>
      <c r="P1871" s="8" t="str">
        <v>HG-2FNR-01A9</v>
      </c>
      <c r="Q1871" s="4">
        <v>45864</v>
      </c>
      <c r="R1871" s="109">
        <v>23</v>
      </c>
      <c r="S1871" s="11">
        <f ca="1"/>
        <v>23</v>
      </c>
      <c r="T1871" s="28">
        <f ca="1"/>
        <v>2.76</v>
      </c>
      <c r="U1871" s="11">
        <f ca="1"/>
        <v>20.239999999999998</v>
      </c>
      <c r="V1871" s="11">
        <v>23.73</v>
      </c>
      <c r="W1871" s="11">
        <f ca="1"/>
        <v>0</v>
      </c>
      <c r="X1871" s="11">
        <f ca="1"/>
        <v>0.39877104377104378</v>
      </c>
      <c r="Y1871" s="11">
        <v>0</v>
      </c>
      <c r="Z1871" s="11">
        <f ca="1"/>
        <v>-3.8887710437710474</v>
      </c>
      <c r="AA1871" s="11">
        <f ca="1"/>
        <v>-1.9443855218855237</v>
      </c>
      <c r="AB1871" s="4">
        <f ca="1"/>
        <v>45871</v>
      </c>
      <c r="AC1871" s="4">
        <v>45871</v>
      </c>
      <c r="AD1871" s="9">
        <v>45887</v>
      </c>
      <c r="AE1871" s="9">
        <v>45888</v>
      </c>
      <c r="AF1871" s="4" t="str">
        <f t="shared" ca="1" si="136"/>
        <v>2025 08</v>
      </c>
      <c r="AG1871" s="8" t="str" cm="1">
        <f t="array" ref="AG1871">IFERROR(_xlfn.IFS('Banco de Dados'!#REF!="AG. COMPRA","Em processamento",'Banco de Dados'!#REF!="AG. RASTREIO","Em processamento",'Banco de Dados'!$AE1871&lt;&gt;"-","Faturado",'Banco de Dados'!$AD1871&lt;&gt;"-","Aguardando Pix",'Banco de Dados'!$AC1871&lt;&gt;"-","Pendente"),"Aguardando Liberação")</f>
        <v>Aguardando Liberação</v>
      </c>
      <c r="AH1871" s="5" t="str">
        <f>IF('Banco de Dados'!$F1871="-",_xlfn.CONCAT(PROPER(TEXT(AK1871,"aaaa"))," ",PROPER(TEXT(AK1871,"mm"))),_xlfn.CONCAT(PROPER(TEXT(E1871,"aaaa"))," ",PROPER(TEXT(E1871,"mm"))))</f>
        <v>2025 07</v>
      </c>
      <c r="AI1871" s="9" t="str">
        <f ca="1">IF('Banco de Dados'!$AK1871&lt;&gt;"-","REEMBOLSO",IFERROR(_xlfn.XLOOKUP(G1871,Follow[CODRASTREIO],Follow[STATUS]),"-"))</f>
        <v>EM TRÂNSITO</v>
      </c>
      <c r="AJ1871" s="9" t="str">
        <f ca="1">IF('Banco de Dados'!$AI1871="ENTREGUE",_xlfn.XLOOKUP('Banco de Dados'!$G1871,Follow[CODRASTREIO],Follow[DATAATUALIZAÇÃO]),"-")</f>
        <v>-</v>
      </c>
      <c r="AK1871" s="132" t="str">
        <f ca="1"/>
        <v>-</v>
      </c>
      <c r="AL1871" s="35"/>
      <c r="AM1871" s="109" cm="1">
        <f t="array" aca="1" ref="AM1871" ca="1">IF('Banco de Dados'!$AK1871&lt;&gt;"-",_xlfn.IFS('Banco de Dados'!$A1871="bv",IF('Banco de Dados'!$E1871&lt;45641,ROUND(SUM('Banco de Dados'!$R1871*_xlfn.XLOOKUP('Banco de Dados'!$P1871,Sku!B:B,Sku!#REF!)*20%),2),ROUND(SUM('Banco de Dados'!$R1871*_xlfn.XLOOKUP('Banco de Dados'!$P1871,Sku!B:B,Sku!H:H)*20%),2)),'Banco de Dados'!$A1871="GO",ROUND(_xlfn.XLOOKUP('Banco de Dados'!$P1871,Sku!C:C,Sku!H:H),2),'Banco de Dados'!$A1871="MEI",ROUND(_xlfn.XLOOKUP('Banco de Dados'!$P1871,Sku!D:D,Sku!H:H),2)),0)</f>
        <v>0</v>
      </c>
      <c r="AN1871" s="109">
        <v>0</v>
      </c>
      <c r="AO1871" s="109">
        <v>0</v>
      </c>
      <c r="AP1871" s="28">
        <f ca="1">IF('Banco de Dados'!$AK1871&lt;&gt;"-",IF('Banco de Dados'!$AL1871="NÃO",IFERROR(VALUE(SUBSTITUTE(_xlfn.TEXTAFTER('Banco de Dados'!$F1871,"BRL ",1),".",",")),0),0),0)</f>
        <v>0</v>
      </c>
      <c r="AQ1871" s="28">
        <f ca="1">SUM('Banco de Dados'!$AM1871:$AP1871)</f>
        <v>0</v>
      </c>
      <c r="AR1871" s="8"/>
      <c r="AS1871" s="8"/>
      <c r="AT1871"/>
      <c r="AY1871" s="8"/>
    </row>
    <row r="1872" spans="1:51">
      <c r="A1872" s="5" t="str">
        <v>BV</v>
      </c>
      <c r="B1872" s="5" t="str">
        <f ca="1"/>
        <v>BV45841</v>
      </c>
      <c r="C1872" s="8" t="str">
        <v>Pedido 1858</v>
      </c>
      <c r="D1872" s="187">
        <v>45839</v>
      </c>
      <c r="E1872" s="9">
        <v>45841</v>
      </c>
      <c r="F1872" s="2" t="str">
        <v>PedidoF1743</v>
      </c>
      <c r="G1872" s="2" t="str">
        <v>CódRastreio1741</v>
      </c>
      <c r="H1872" s="5">
        <v>1</v>
      </c>
      <c r="I1872" s="182" t="str">
        <v>CPF 1814</v>
      </c>
      <c r="J1872" s="2" t="str">
        <v>Nome 1814</v>
      </c>
      <c r="K1872" s="8" t="str">
        <v>Tel 1814</v>
      </c>
      <c r="L1872" s="8" t="str">
        <v>Cep 1814</v>
      </c>
      <c r="M1872" s="8" t="str">
        <v>Rua 1814</v>
      </c>
      <c r="N1872" s="8" t="str">
        <v>Comp 1814</v>
      </c>
      <c r="O1872" s="8" t="str">
        <v>Máquina de cortar cabelo dragão</v>
      </c>
      <c r="P1872" s="8" t="str">
        <v>HG-2FNR-01A9</v>
      </c>
      <c r="Q1872" s="4">
        <v>45864</v>
      </c>
      <c r="R1872" s="109">
        <v>23</v>
      </c>
      <c r="S1872" s="11">
        <f ca="1"/>
        <v>23</v>
      </c>
      <c r="T1872" s="28">
        <f ca="1"/>
        <v>2.76</v>
      </c>
      <c r="U1872" s="11">
        <f ca="1"/>
        <v>20.239999999999998</v>
      </c>
      <c r="V1872" s="11">
        <v>14.9</v>
      </c>
      <c r="W1872" s="11">
        <f ca="1"/>
        <v>0</v>
      </c>
      <c r="X1872" s="11">
        <f ca="1"/>
        <v>0.39877104377104378</v>
      </c>
      <c r="Y1872" s="11">
        <v>0</v>
      </c>
      <c r="Z1872" s="11">
        <f ca="1"/>
        <v>4.9412289562289544</v>
      </c>
      <c r="AA1872" s="11">
        <f ca="1"/>
        <v>2.4706144781144772</v>
      </c>
      <c r="AB1872" s="4">
        <f ca="1"/>
        <v>45871</v>
      </c>
      <c r="AC1872" s="4">
        <v>45871</v>
      </c>
      <c r="AD1872" s="9">
        <v>45887</v>
      </c>
      <c r="AE1872" s="9">
        <v>45888</v>
      </c>
      <c r="AF1872" s="4" t="str">
        <f t="shared" ca="1" si="136"/>
        <v>2025 08</v>
      </c>
      <c r="AG1872" s="8" t="str" cm="1">
        <f t="array" ref="AG1872">IFERROR(_xlfn.IFS('Banco de Dados'!#REF!="AG. COMPRA","Em processamento",'Banco de Dados'!#REF!="AG. RASTREIO","Em processamento",'Banco de Dados'!$AE1872&lt;&gt;"-","Faturado",'Banco de Dados'!$AD1872&lt;&gt;"-","Aguardando Pix",'Banco de Dados'!$AC1872&lt;&gt;"-","Pendente"),"Aguardando Liberação")</f>
        <v>Aguardando Liberação</v>
      </c>
      <c r="AH1872" s="5" t="str">
        <f>IF('Banco de Dados'!$F1872="-",_xlfn.CONCAT(PROPER(TEXT(AK1872,"aaaa"))," ",PROPER(TEXT(AK1872,"mm"))),_xlfn.CONCAT(PROPER(TEXT(E1872,"aaaa"))," ",PROPER(TEXT(E1872,"mm"))))</f>
        <v>2025 07</v>
      </c>
      <c r="AI1872" s="9" t="str">
        <f ca="1">IF('Banco de Dados'!$AK1872&lt;&gt;"-","REEMBOLSO",IFERROR(_xlfn.XLOOKUP(G1872,Follow[CODRASTREIO],Follow[STATUS]),"-"))</f>
        <v>ENTREGUE</v>
      </c>
      <c r="AJ1872" s="9">
        <f ca="1">IF('Banco de Dados'!$AI1872="ENTREGUE",_xlfn.XLOOKUP('Banco de Dados'!$G1872,Follow[CODRASTREIO],Follow[DATAATUALIZAÇÃO]),"-")</f>
        <v>45845</v>
      </c>
      <c r="AK1872" s="132" t="str">
        <f ca="1"/>
        <v>-</v>
      </c>
      <c r="AL1872" s="35"/>
      <c r="AM1872" s="109" cm="1">
        <f t="array" aca="1" ref="AM1872" ca="1">IF('Banco de Dados'!$AK1872&lt;&gt;"-",_xlfn.IFS('Banco de Dados'!$A1872="bv",IF('Banco de Dados'!$E1872&lt;45641,ROUND(SUM('Banco de Dados'!$R1872*_xlfn.XLOOKUP('Banco de Dados'!$P1872,Sku!B:B,Sku!#REF!)*20%),2),ROUND(SUM('Banco de Dados'!$R1872*_xlfn.XLOOKUP('Banco de Dados'!$P1872,Sku!B:B,Sku!H:H)*20%),2)),'Banco de Dados'!$A1872="GO",ROUND(_xlfn.XLOOKUP('Banco de Dados'!$P1872,Sku!C:C,Sku!H:H),2),'Banco de Dados'!$A1872="MEI",ROUND(_xlfn.XLOOKUP('Banco de Dados'!$P1872,Sku!D:D,Sku!H:H),2)),0)</f>
        <v>0</v>
      </c>
      <c r="AN1872" s="109">
        <v>0</v>
      </c>
      <c r="AO1872" s="109">
        <v>0</v>
      </c>
      <c r="AP1872" s="28">
        <f ca="1">IF('Banco de Dados'!$AK1872&lt;&gt;"-",IF('Banco de Dados'!$AL1872="NÃO",IFERROR(VALUE(SUBSTITUTE(_xlfn.TEXTAFTER('Banco de Dados'!$F1872,"BRL ",1),".",",")),0),0),0)</f>
        <v>0</v>
      </c>
      <c r="AQ1872" s="28">
        <f ca="1">SUM('Banco de Dados'!$AM1872:$AP1872)</f>
        <v>0</v>
      </c>
      <c r="AR1872" s="8"/>
      <c r="AS1872" s="8"/>
      <c r="AT1872"/>
      <c r="AY1872" s="8"/>
    </row>
    <row r="1873" spans="1:51">
      <c r="A1873" s="5" t="str">
        <v>BV</v>
      </c>
      <c r="B1873" s="5" t="str">
        <f ca="1"/>
        <v>BV45841</v>
      </c>
      <c r="C1873" s="8" t="str">
        <v>Pedido 1859</v>
      </c>
      <c r="D1873" s="187">
        <v>45839</v>
      </c>
      <c r="E1873" s="9">
        <v>45841</v>
      </c>
      <c r="F1873" s="2" t="str">
        <v>PedidoF1744</v>
      </c>
      <c r="G1873" s="2" t="str">
        <v>CódRastreio1742</v>
      </c>
      <c r="H1873" s="5">
        <v>1</v>
      </c>
      <c r="I1873" s="182" t="str">
        <v>CPF 1815</v>
      </c>
      <c r="J1873" s="2" t="str">
        <v>Nome 1815</v>
      </c>
      <c r="K1873" s="8" t="str">
        <v>Tel 1815</v>
      </c>
      <c r="L1873" s="8" t="str">
        <v>Cep 1815</v>
      </c>
      <c r="M1873" s="8" t="str">
        <v>Rua 1815</v>
      </c>
      <c r="N1873" s="8" t="str">
        <v>Comp 1815</v>
      </c>
      <c r="O1873" s="8" t="str">
        <v>Máquina de cortar cabelo dragão</v>
      </c>
      <c r="P1873" s="8" t="str">
        <v>HG-2FNR-01A9</v>
      </c>
      <c r="Q1873" s="4">
        <v>45864</v>
      </c>
      <c r="R1873" s="109">
        <v>23</v>
      </c>
      <c r="S1873" s="11">
        <f ca="1"/>
        <v>23</v>
      </c>
      <c r="T1873" s="28">
        <f ca="1"/>
        <v>2.76</v>
      </c>
      <c r="U1873" s="11">
        <f ca="1"/>
        <v>20.239999999999998</v>
      </c>
      <c r="V1873" s="11">
        <v>14.9</v>
      </c>
      <c r="W1873" s="11">
        <f ca="1"/>
        <v>0</v>
      </c>
      <c r="X1873" s="11">
        <f ca="1"/>
        <v>0.39877104377104378</v>
      </c>
      <c r="Y1873" s="11">
        <v>0</v>
      </c>
      <c r="Z1873" s="11">
        <f ca="1"/>
        <v>4.9412289562289544</v>
      </c>
      <c r="AA1873" s="11">
        <f ca="1"/>
        <v>2.4706144781144772</v>
      </c>
      <c r="AB1873" s="4">
        <f ca="1"/>
        <v>45871</v>
      </c>
      <c r="AC1873" s="4">
        <v>45871</v>
      </c>
      <c r="AD1873" s="9">
        <v>45887</v>
      </c>
      <c r="AE1873" s="9">
        <v>45888</v>
      </c>
      <c r="AF1873" s="4" t="str">
        <f t="shared" ca="1" si="136"/>
        <v>2025 08</v>
      </c>
      <c r="AG1873" s="8" t="str" cm="1">
        <f t="array" ref="AG1873">IFERROR(_xlfn.IFS('Banco de Dados'!#REF!="AG. COMPRA","Em processamento",'Banco de Dados'!#REF!="AG. RASTREIO","Em processamento",'Banco de Dados'!$AE1873&lt;&gt;"-","Faturado",'Banco de Dados'!$AD1873&lt;&gt;"-","Aguardando Pix",'Banco de Dados'!$AC1873&lt;&gt;"-","Pendente"),"Aguardando Liberação")</f>
        <v>Aguardando Liberação</v>
      </c>
      <c r="AH1873" s="5" t="str">
        <f>IF('Banco de Dados'!$F1873="-",_xlfn.CONCAT(PROPER(TEXT(AK1873,"aaaa"))," ",PROPER(TEXT(AK1873,"mm"))),_xlfn.CONCAT(PROPER(TEXT(E1873,"aaaa"))," ",PROPER(TEXT(E1873,"mm"))))</f>
        <v>2025 07</v>
      </c>
      <c r="AI1873" s="9" t="str">
        <f ca="1">IF('Banco de Dados'!$AK1873&lt;&gt;"-","REEMBOLSO",IFERROR(_xlfn.XLOOKUP(G1873,Follow[CODRASTREIO],Follow[STATUS]),"-"))</f>
        <v>ENTREGUE</v>
      </c>
      <c r="AJ1873" s="9">
        <f ca="1">IF('Banco de Dados'!$AI1873="ENTREGUE",_xlfn.XLOOKUP('Banco de Dados'!$G1873,Follow[CODRASTREIO],Follow[DATAATUALIZAÇÃO]),"-")</f>
        <v>45852</v>
      </c>
      <c r="AK1873" s="132" t="str">
        <f ca="1"/>
        <v>-</v>
      </c>
      <c r="AL1873" s="35"/>
      <c r="AM1873" s="109" cm="1">
        <f t="array" aca="1" ref="AM1873" ca="1">IF('Banco de Dados'!$AK1873&lt;&gt;"-",_xlfn.IFS('Banco de Dados'!$A1873="bv",IF('Banco de Dados'!$E1873&lt;45641,ROUND(SUM('Banco de Dados'!$R1873*_xlfn.XLOOKUP('Banco de Dados'!$P1873,Sku!B:B,Sku!#REF!)*20%),2),ROUND(SUM('Banco de Dados'!$R1873*_xlfn.XLOOKUP('Banco de Dados'!$P1873,Sku!B:B,Sku!H:H)*20%),2)),'Banco de Dados'!$A1873="GO",ROUND(_xlfn.XLOOKUP('Banco de Dados'!$P1873,Sku!C:C,Sku!H:H),2),'Banco de Dados'!$A1873="MEI",ROUND(_xlfn.XLOOKUP('Banco de Dados'!$P1873,Sku!D:D,Sku!H:H),2)),0)</f>
        <v>0</v>
      </c>
      <c r="AN1873" s="109">
        <v>0</v>
      </c>
      <c r="AO1873" s="109">
        <v>0</v>
      </c>
      <c r="AP1873" s="28">
        <f ca="1">IF('Banco de Dados'!$AK1873&lt;&gt;"-",IF('Banco de Dados'!$AL1873="NÃO",IFERROR(VALUE(SUBSTITUTE(_xlfn.TEXTAFTER('Banco de Dados'!$F1873,"BRL ",1),".",",")),0),0),0)</f>
        <v>0</v>
      </c>
      <c r="AQ1873" s="28">
        <f ca="1">SUM('Banco de Dados'!$AM1873:$AP1873)</f>
        <v>0</v>
      </c>
      <c r="AR1873" s="8"/>
      <c r="AS1873" s="8"/>
      <c r="AT1873"/>
      <c r="AY1873" s="8"/>
    </row>
    <row r="1874" spans="1:51">
      <c r="A1874" s="5" t="str">
        <v>BV</v>
      </c>
      <c r="B1874" s="5" t="str">
        <f ca="1"/>
        <v>BV45841</v>
      </c>
      <c r="C1874" s="8" t="str">
        <v>Pedido 1860</v>
      </c>
      <c r="D1874" s="187">
        <v>45840</v>
      </c>
      <c r="E1874" s="9">
        <v>45841</v>
      </c>
      <c r="F1874" s="2" t="str">
        <v>PedidoF1745</v>
      </c>
      <c r="G1874" s="2" t="str">
        <v>CódRastreio1743</v>
      </c>
      <c r="H1874" s="5">
        <v>1</v>
      </c>
      <c r="I1874" s="182" t="str">
        <v>CPF 1816</v>
      </c>
      <c r="J1874" s="2" t="str">
        <v>Nome 1816</v>
      </c>
      <c r="K1874" s="8" t="str">
        <v>Tel 1816</v>
      </c>
      <c r="L1874" s="8" t="str">
        <v>Cep 1816</v>
      </c>
      <c r="M1874" s="8" t="str">
        <v>Rua 1816</v>
      </c>
      <c r="N1874" s="8" t="str">
        <v>Comp 1816</v>
      </c>
      <c r="O1874" s="8" t="str">
        <v>Máquina de cortar cabelo dragão</v>
      </c>
      <c r="P1874" s="8" t="str">
        <v>HG-2FNR-01A9</v>
      </c>
      <c r="Q1874" s="4">
        <v>45867</v>
      </c>
      <c r="R1874" s="109">
        <v>23</v>
      </c>
      <c r="S1874" s="11">
        <f ca="1"/>
        <v>23</v>
      </c>
      <c r="T1874" s="28">
        <f ca="1"/>
        <v>2.76</v>
      </c>
      <c r="U1874" s="11">
        <f ca="1"/>
        <v>20.239999999999998</v>
      </c>
      <c r="V1874" s="11">
        <v>14.9</v>
      </c>
      <c r="W1874" s="11">
        <f ca="1"/>
        <v>0</v>
      </c>
      <c r="X1874" s="11">
        <f ca="1"/>
        <v>0.39877104377104378</v>
      </c>
      <c r="Y1874" s="11">
        <v>0</v>
      </c>
      <c r="Z1874" s="11">
        <f ca="1"/>
        <v>4.9412289562289544</v>
      </c>
      <c r="AA1874" s="11">
        <f ca="1"/>
        <v>2.4706144781144772</v>
      </c>
      <c r="AB1874" s="4">
        <f ca="1"/>
        <v>45874</v>
      </c>
      <c r="AC1874" s="4">
        <v>45874</v>
      </c>
      <c r="AD1874" s="9">
        <v>45887</v>
      </c>
      <c r="AE1874" s="9">
        <v>45888</v>
      </c>
      <c r="AF1874" s="4" t="str">
        <f t="shared" ref="AF1874:AF1878" ca="1" si="137">_xlfn.CONCAT(PROPER(TEXT(AB1874,"aaaa"))," ",PROPER(TEXT(AB1874,"mm")))</f>
        <v>2025 08</v>
      </c>
      <c r="AG1874" s="8" t="str" cm="1">
        <f t="array" ref="AG1874">IFERROR(_xlfn.IFS('Banco de Dados'!#REF!="AG. COMPRA","Em processamento",'Banco de Dados'!#REF!="AG. RASTREIO","Em processamento",'Banco de Dados'!$AE1874&lt;&gt;"-","Faturado",'Banco de Dados'!$AD1874&lt;&gt;"-","Aguardando Pix",'Banco de Dados'!$AC1874&lt;&gt;"-","Pendente"),"Aguardando Liberação")</f>
        <v>Aguardando Liberação</v>
      </c>
      <c r="AH1874" s="5" t="str">
        <f>IF('Banco de Dados'!$F1874="-",_xlfn.CONCAT(PROPER(TEXT(AK1874,"aaaa"))," ",PROPER(TEXT(AK1874,"mm"))),_xlfn.CONCAT(PROPER(TEXT(E1874,"aaaa"))," ",PROPER(TEXT(E1874,"mm"))))</f>
        <v>2025 07</v>
      </c>
      <c r="AI1874" s="9" t="str">
        <f ca="1">IF('Banco de Dados'!$AK1874&lt;&gt;"-","REEMBOLSO",IFERROR(_xlfn.XLOOKUP(G1874,Follow[CODRASTREIO],Follow[STATUS]),"-"))</f>
        <v>ENTREGUE</v>
      </c>
      <c r="AJ1874" s="9">
        <f ca="1">IF('Banco de Dados'!$AI1874="ENTREGUE",_xlfn.XLOOKUP('Banco de Dados'!$G1874,Follow[CODRASTREIO],Follow[DATAATUALIZAÇÃO]),"-")</f>
        <v>45847</v>
      </c>
      <c r="AK1874" s="132" t="str">
        <f ca="1"/>
        <v>-</v>
      </c>
      <c r="AL1874" s="35"/>
      <c r="AM1874" s="109" cm="1">
        <f t="array" aca="1" ref="AM1874" ca="1">IF('Banco de Dados'!$AK1874&lt;&gt;"-",_xlfn.IFS('Banco de Dados'!$A1874="bv",IF('Banco de Dados'!$E1874&lt;45641,ROUND(SUM('Banco de Dados'!$R1874*_xlfn.XLOOKUP('Banco de Dados'!$P1874,Sku!B:B,Sku!#REF!)*20%),2),ROUND(SUM('Banco de Dados'!$R1874*_xlfn.XLOOKUP('Banco de Dados'!$P1874,Sku!B:B,Sku!H:H)*20%),2)),'Banco de Dados'!$A1874="GO",ROUND(_xlfn.XLOOKUP('Banco de Dados'!$P1874,Sku!C:C,Sku!H:H),2),'Banco de Dados'!$A1874="MEI",ROUND(_xlfn.XLOOKUP('Banco de Dados'!$P1874,Sku!D:D,Sku!H:H),2)),0)</f>
        <v>0</v>
      </c>
      <c r="AN1874" s="109">
        <v>0</v>
      </c>
      <c r="AO1874" s="109">
        <v>0</v>
      </c>
      <c r="AP1874" s="28">
        <f ca="1">IF('Banco de Dados'!$AK1874&lt;&gt;"-",IF('Banco de Dados'!$AL1874="NÃO",IFERROR(VALUE(SUBSTITUTE(_xlfn.TEXTAFTER('Banco de Dados'!$F1874,"BRL ",1),".",",")),0),0),0)</f>
        <v>0</v>
      </c>
      <c r="AQ1874" s="28">
        <f ca="1">SUM('Banco de Dados'!$AM1874:$AP1874)</f>
        <v>0</v>
      </c>
      <c r="AR1874" s="8"/>
      <c r="AS1874" s="8"/>
      <c r="AT1874"/>
      <c r="AY1874" s="8"/>
    </row>
    <row r="1875" spans="1:51">
      <c r="A1875" s="5" t="str">
        <v>BV</v>
      </c>
      <c r="B1875" s="5" t="str">
        <f ca="1"/>
        <v>BV45841</v>
      </c>
      <c r="C1875" s="8" t="str">
        <v>Pedido 1861</v>
      </c>
      <c r="D1875" s="187">
        <v>45840</v>
      </c>
      <c r="E1875" s="9">
        <v>45841</v>
      </c>
      <c r="F1875" s="2" t="str">
        <v>PedidoF1746</v>
      </c>
      <c r="G1875" s="2" t="str">
        <v>CódRastreio1744</v>
      </c>
      <c r="H1875" s="5">
        <v>1</v>
      </c>
      <c r="I1875" s="182" t="str">
        <v>CPF 1817</v>
      </c>
      <c r="J1875" s="2" t="str">
        <v>Nome 1817</v>
      </c>
      <c r="K1875" s="8" t="str">
        <v>Tel 1817</v>
      </c>
      <c r="L1875" s="8" t="str">
        <v>Cep 1817</v>
      </c>
      <c r="M1875" s="8" t="str">
        <v>Rua 1817</v>
      </c>
      <c r="N1875" s="8" t="str">
        <v>Comp 1817</v>
      </c>
      <c r="O1875" s="8" t="str">
        <v>Máquina de cortar cabelo dragão</v>
      </c>
      <c r="P1875" s="8" t="str">
        <v>HG-2FNR-01A9</v>
      </c>
      <c r="Q1875" s="4">
        <v>45867</v>
      </c>
      <c r="R1875" s="109">
        <v>23</v>
      </c>
      <c r="S1875" s="11">
        <f ca="1"/>
        <v>23</v>
      </c>
      <c r="T1875" s="28">
        <f ca="1"/>
        <v>2.76</v>
      </c>
      <c r="U1875" s="11">
        <f ca="1"/>
        <v>20.239999999999998</v>
      </c>
      <c r="V1875" s="11">
        <v>15.68</v>
      </c>
      <c r="W1875" s="11">
        <f ca="1"/>
        <v>0</v>
      </c>
      <c r="X1875" s="11">
        <f ca="1"/>
        <v>0.39877104377104378</v>
      </c>
      <c r="Y1875" s="11">
        <v>0</v>
      </c>
      <c r="Z1875" s="11">
        <f ca="1"/>
        <v>4.1612289562289533</v>
      </c>
      <c r="AA1875" s="11">
        <f ca="1"/>
        <v>2.0806144781144766</v>
      </c>
      <c r="AB1875" s="4">
        <f ca="1"/>
        <v>45874</v>
      </c>
      <c r="AC1875" s="4">
        <v>45874</v>
      </c>
      <c r="AD1875" s="9">
        <v>45887</v>
      </c>
      <c r="AE1875" s="9">
        <v>45888</v>
      </c>
      <c r="AF1875" s="4" t="str">
        <f t="shared" ca="1" si="137"/>
        <v>2025 08</v>
      </c>
      <c r="AG1875" s="8" t="str" cm="1">
        <f t="array" ref="AG1875">IFERROR(_xlfn.IFS('Banco de Dados'!#REF!="AG. COMPRA","Em processamento",'Banco de Dados'!#REF!="AG. RASTREIO","Em processamento",'Banco de Dados'!$AE1875&lt;&gt;"-","Faturado",'Banco de Dados'!$AD1875&lt;&gt;"-","Aguardando Pix",'Banco de Dados'!$AC1875&lt;&gt;"-","Pendente"),"Aguardando Liberação")</f>
        <v>Aguardando Liberação</v>
      </c>
      <c r="AH1875" s="5" t="str">
        <f>IF('Banco de Dados'!$F1875="-",_xlfn.CONCAT(PROPER(TEXT(AK1875,"aaaa"))," ",PROPER(TEXT(AK1875,"mm"))),_xlfn.CONCAT(PROPER(TEXT(E1875,"aaaa"))," ",PROPER(TEXT(E1875,"mm"))))</f>
        <v>2025 07</v>
      </c>
      <c r="AI1875" s="9" t="str">
        <f ca="1">IF('Banco de Dados'!$AK1875&lt;&gt;"-","REEMBOLSO",IFERROR(_xlfn.XLOOKUP(G1875,Follow[CODRASTREIO],Follow[STATUS]),"-"))</f>
        <v>ENTREGUE</v>
      </c>
      <c r="AJ1875" s="9">
        <f ca="1">IF('Banco de Dados'!$AI1875="ENTREGUE",_xlfn.XLOOKUP('Banco de Dados'!$G1875,Follow[CODRASTREIO],Follow[DATAATUALIZAÇÃO]),"-")</f>
        <v>45845</v>
      </c>
      <c r="AK1875" s="132" t="str">
        <f ca="1"/>
        <v>-</v>
      </c>
      <c r="AL1875" s="35"/>
      <c r="AM1875" s="109" cm="1">
        <f t="array" aca="1" ref="AM1875" ca="1">IF('Banco de Dados'!$AK1875&lt;&gt;"-",_xlfn.IFS('Banco de Dados'!$A1875="bv",IF('Banco de Dados'!$E1875&lt;45641,ROUND(SUM('Banco de Dados'!$R1875*_xlfn.XLOOKUP('Banco de Dados'!$P1875,Sku!B:B,Sku!#REF!)*20%),2),ROUND(SUM('Banco de Dados'!$R1875*_xlfn.XLOOKUP('Banco de Dados'!$P1875,Sku!B:B,Sku!H:H)*20%),2)),'Banco de Dados'!$A1875="GO",ROUND(_xlfn.XLOOKUP('Banco de Dados'!$P1875,Sku!C:C,Sku!H:H),2),'Banco de Dados'!$A1875="MEI",ROUND(_xlfn.XLOOKUP('Banco de Dados'!$P1875,Sku!D:D,Sku!H:H),2)),0)</f>
        <v>0</v>
      </c>
      <c r="AN1875" s="109">
        <v>0</v>
      </c>
      <c r="AO1875" s="109">
        <v>0</v>
      </c>
      <c r="AP1875" s="28">
        <f ca="1">IF('Banco de Dados'!$AK1875&lt;&gt;"-",IF('Banco de Dados'!$AL1875="NÃO",IFERROR(VALUE(SUBSTITUTE(_xlfn.TEXTAFTER('Banco de Dados'!$F1875,"BRL ",1),".",",")),0),0),0)</f>
        <v>0</v>
      </c>
      <c r="AQ1875" s="28">
        <f ca="1">SUM('Banco de Dados'!$AM1875:$AP1875)</f>
        <v>0</v>
      </c>
      <c r="AR1875" s="8"/>
      <c r="AS1875" s="8"/>
      <c r="AT1875"/>
      <c r="AY1875" s="8"/>
    </row>
    <row r="1876" spans="1:51">
      <c r="A1876" s="5" t="str">
        <v>BV</v>
      </c>
      <c r="B1876" s="5" t="str">
        <f ca="1"/>
        <v>BV45841</v>
      </c>
      <c r="C1876" s="8" t="str">
        <v>Pedido 1862</v>
      </c>
      <c r="D1876" s="187">
        <v>45841</v>
      </c>
      <c r="E1876" s="9">
        <v>45841</v>
      </c>
      <c r="F1876" s="2" t="str">
        <v>PedidoF1747</v>
      </c>
      <c r="G1876" s="2" t="str">
        <v>CódRastreio1745</v>
      </c>
      <c r="H1876" s="5">
        <v>1</v>
      </c>
      <c r="I1876" s="182" t="str">
        <v>CPF 1818</v>
      </c>
      <c r="J1876" s="2" t="str">
        <v>Nome 1818</v>
      </c>
      <c r="K1876" s="8" t="str">
        <v>Tel 1818</v>
      </c>
      <c r="L1876" s="184" t="str">
        <v>Cep 1818</v>
      </c>
      <c r="M1876" s="8" t="str">
        <v>Rua 1818</v>
      </c>
      <c r="N1876" s="8" t="str">
        <v>Comp 1818</v>
      </c>
      <c r="O1876" s="8" t="str">
        <v>Máquina de cortar cabelo dragão</v>
      </c>
      <c r="P1876" s="8" t="str">
        <v>HG-2FNR-01A9</v>
      </c>
      <c r="Q1876" s="4">
        <v>45861</v>
      </c>
      <c r="R1876" s="109">
        <v>23</v>
      </c>
      <c r="S1876" s="11">
        <f ca="1"/>
        <v>23</v>
      </c>
      <c r="T1876" s="28">
        <f ca="1"/>
        <v>2.76</v>
      </c>
      <c r="U1876" s="11">
        <f ca="1"/>
        <v>20.239999999999998</v>
      </c>
      <c r="V1876" s="11">
        <v>14.9</v>
      </c>
      <c r="W1876" s="11">
        <f ca="1"/>
        <v>0</v>
      </c>
      <c r="X1876" s="11">
        <f ca="1"/>
        <v>0.39877104377104378</v>
      </c>
      <c r="Y1876" s="11">
        <v>0</v>
      </c>
      <c r="Z1876" s="11">
        <f ca="1"/>
        <v>4.9412289562289544</v>
      </c>
      <c r="AA1876" s="11">
        <f ca="1"/>
        <v>2.4706144781144772</v>
      </c>
      <c r="AB1876" s="4">
        <f ca="1"/>
        <v>45868</v>
      </c>
      <c r="AC1876" s="4">
        <v>45868</v>
      </c>
      <c r="AD1876" s="9">
        <v>45870</v>
      </c>
      <c r="AE1876" s="9">
        <v>45873</v>
      </c>
      <c r="AF1876" s="4" t="str">
        <f t="shared" ca="1" si="137"/>
        <v>2025 07</v>
      </c>
      <c r="AG1876" s="8" t="str" cm="1">
        <f t="array" ref="AG1876">IFERROR(_xlfn.IFS('Banco de Dados'!#REF!="AG. COMPRA","Em processamento",'Banco de Dados'!#REF!="AG. RASTREIO","Em processamento",'Banco de Dados'!$AE1876&lt;&gt;"-","Faturado",'Banco de Dados'!$AD1876&lt;&gt;"-","Aguardando Pix",'Banco de Dados'!$AC1876&lt;&gt;"-","Pendente"),"Aguardando Liberação")</f>
        <v>Aguardando Liberação</v>
      </c>
      <c r="AH1876" s="5" t="str">
        <f>IF('Banco de Dados'!$F1876="-",_xlfn.CONCAT(PROPER(TEXT(AK1876,"aaaa"))," ",PROPER(TEXT(AK1876,"mm"))),_xlfn.CONCAT(PROPER(TEXT(E1876,"aaaa"))," ",PROPER(TEXT(E1876,"mm"))))</f>
        <v>2025 07</v>
      </c>
      <c r="AI1876" s="9" t="str">
        <f ca="1">IF('Banco de Dados'!$AK1876&lt;&gt;"-","REEMBOLSO",IFERROR(_xlfn.XLOOKUP(G1876,Follow[CODRASTREIO],Follow[STATUS]),"-"))</f>
        <v>ENTREGUE</v>
      </c>
      <c r="AJ1876" s="9">
        <f ca="1">IF('Banco de Dados'!$AI1876="ENTREGUE",_xlfn.XLOOKUP('Banco de Dados'!$G1876,Follow[CODRASTREIO],Follow[DATAATUALIZAÇÃO]),"-")</f>
        <v>45846</v>
      </c>
      <c r="AK1876" s="132" t="str">
        <f ca="1"/>
        <v>-</v>
      </c>
      <c r="AL1876" s="35"/>
      <c r="AM1876" s="109" cm="1">
        <f t="array" aca="1" ref="AM1876" ca="1">IF('Banco de Dados'!$AK1876&lt;&gt;"-",_xlfn.IFS('Banco de Dados'!$A1876="bv",IF('Banco de Dados'!$E1876&lt;45641,ROUND(SUM('Banco de Dados'!$R1876*_xlfn.XLOOKUP('Banco de Dados'!$P1876,Sku!B:B,Sku!#REF!)*20%),2),ROUND(SUM('Banco de Dados'!$R1876*_xlfn.XLOOKUP('Banco de Dados'!$P1876,Sku!B:B,Sku!H:H)*20%),2)),'Banco de Dados'!$A1876="GO",ROUND(_xlfn.XLOOKUP('Banco de Dados'!$P1876,Sku!C:C,Sku!H:H),2),'Banco de Dados'!$A1876="MEI",ROUND(_xlfn.XLOOKUP('Banco de Dados'!$P1876,Sku!D:D,Sku!H:H),2)),0)</f>
        <v>0</v>
      </c>
      <c r="AN1876" s="109">
        <v>0</v>
      </c>
      <c r="AO1876" s="109">
        <v>0</v>
      </c>
      <c r="AP1876" s="28">
        <f ca="1">IF('Banco de Dados'!$AK1876&lt;&gt;"-",IF('Banco de Dados'!$AL1876="NÃO",IFERROR(VALUE(SUBSTITUTE(_xlfn.TEXTAFTER('Banco de Dados'!$F1876,"BRL ",1),".",",")),0),0),0)</f>
        <v>0</v>
      </c>
      <c r="AQ1876" s="28">
        <f ca="1">SUM('Banco de Dados'!$AM1876:$AP1876)</f>
        <v>0</v>
      </c>
      <c r="AR1876" s="8"/>
      <c r="AS1876" s="8"/>
      <c r="AT1876"/>
      <c r="AY1876" s="8"/>
    </row>
    <row r="1877" spans="1:51">
      <c r="A1877" s="5" t="str">
        <v>BV</v>
      </c>
      <c r="B1877" s="5" t="str">
        <f ca="1"/>
        <v>BV45841</v>
      </c>
      <c r="C1877" s="8" t="str">
        <v>Pedido 1863</v>
      </c>
      <c r="D1877" s="187">
        <v>45841</v>
      </c>
      <c r="E1877" s="9">
        <v>45841</v>
      </c>
      <c r="F1877" s="2" t="str">
        <v>PedidoF1748</v>
      </c>
      <c r="G1877" s="2" t="str">
        <v>CódRastreio1746</v>
      </c>
      <c r="H1877" s="5">
        <v>1</v>
      </c>
      <c r="I1877" s="182" t="str">
        <v>CPF 1819</v>
      </c>
      <c r="J1877" s="2" t="str">
        <v>Nome 1819</v>
      </c>
      <c r="K1877" s="8" t="str">
        <v>Tel 1819</v>
      </c>
      <c r="L1877" s="8" t="str">
        <v>Cep 1819</v>
      </c>
      <c r="M1877" s="8" t="str">
        <v>Rua 1819</v>
      </c>
      <c r="N1877" s="8" t="str">
        <v>Comp 1819</v>
      </c>
      <c r="O1877" s="8" t="str">
        <v>Máquina de cortar cabelo dragão</v>
      </c>
      <c r="P1877" s="8" t="str">
        <v>HG-2FNR-01A9</v>
      </c>
      <c r="Q1877" s="4">
        <v>45861</v>
      </c>
      <c r="R1877" s="109">
        <v>23</v>
      </c>
      <c r="S1877" s="11">
        <f ca="1"/>
        <v>23</v>
      </c>
      <c r="T1877" s="28">
        <f ca="1"/>
        <v>2.76</v>
      </c>
      <c r="U1877" s="11">
        <f ca="1"/>
        <v>20.239999999999998</v>
      </c>
      <c r="V1877" s="11">
        <v>14.9</v>
      </c>
      <c r="W1877" s="11">
        <f ca="1"/>
        <v>0</v>
      </c>
      <c r="X1877" s="11">
        <f ca="1"/>
        <v>0.39877104377104378</v>
      </c>
      <c r="Y1877" s="11">
        <v>0</v>
      </c>
      <c r="Z1877" s="11">
        <f ca="1"/>
        <v>4.9412289562289544</v>
      </c>
      <c r="AA1877" s="11">
        <f ca="1"/>
        <v>2.4706144781144772</v>
      </c>
      <c r="AB1877" s="4">
        <f ca="1"/>
        <v>45868</v>
      </c>
      <c r="AC1877" s="4">
        <v>45868</v>
      </c>
      <c r="AD1877" s="9">
        <v>45870</v>
      </c>
      <c r="AE1877" s="9">
        <v>45873</v>
      </c>
      <c r="AF1877" s="4" t="str">
        <f t="shared" ca="1" si="137"/>
        <v>2025 07</v>
      </c>
      <c r="AG1877" s="8" t="str" cm="1">
        <f t="array" ref="AG1877">IFERROR(_xlfn.IFS('Banco de Dados'!#REF!="AG. COMPRA","Em processamento",'Banco de Dados'!#REF!="AG. RASTREIO","Em processamento",'Banco de Dados'!$AE1877&lt;&gt;"-","Faturado",'Banco de Dados'!$AD1877&lt;&gt;"-","Aguardando Pix",'Banco de Dados'!$AC1877&lt;&gt;"-","Pendente"),"Aguardando Liberação")</f>
        <v>Aguardando Liberação</v>
      </c>
      <c r="AH1877" s="5" t="str">
        <f>IF('Banco de Dados'!$F1877="-",_xlfn.CONCAT(PROPER(TEXT(AK1877,"aaaa"))," ",PROPER(TEXT(AK1877,"mm"))),_xlfn.CONCAT(PROPER(TEXT(E1877,"aaaa"))," ",PROPER(TEXT(E1877,"mm"))))</f>
        <v>2025 07</v>
      </c>
      <c r="AI1877" s="9" t="str">
        <f ca="1">IF('Banco de Dados'!$AK1877&lt;&gt;"-","REEMBOLSO",IFERROR(_xlfn.XLOOKUP(G1877,Follow[CODRASTREIO],Follow[STATUS]),"-"))</f>
        <v>ENTREGUE</v>
      </c>
      <c r="AJ1877" s="9">
        <f ca="1">IF('Banco de Dados'!$AI1877="ENTREGUE",_xlfn.XLOOKUP('Banco de Dados'!$G1877,Follow[CODRASTREIO],Follow[DATAATUALIZAÇÃO]),"-")</f>
        <v>45845</v>
      </c>
      <c r="AK1877" s="132" t="str">
        <f ca="1"/>
        <v>-</v>
      </c>
      <c r="AL1877" s="35"/>
      <c r="AM1877" s="109" cm="1">
        <f t="array" aca="1" ref="AM1877" ca="1">IF('Banco de Dados'!$AK1877&lt;&gt;"-",_xlfn.IFS('Banco de Dados'!$A1877="bv",IF('Banco de Dados'!$E1877&lt;45641,ROUND(SUM('Banco de Dados'!$R1877*_xlfn.XLOOKUP('Banco de Dados'!$P1877,Sku!B:B,Sku!#REF!)*20%),2),ROUND(SUM('Banco de Dados'!$R1877*_xlfn.XLOOKUP('Banco de Dados'!$P1877,Sku!B:B,Sku!H:H)*20%),2)),'Banco de Dados'!$A1877="GO",ROUND(_xlfn.XLOOKUP('Banco de Dados'!$P1877,Sku!C:C,Sku!H:H),2),'Banco de Dados'!$A1877="MEI",ROUND(_xlfn.XLOOKUP('Banco de Dados'!$P1877,Sku!D:D,Sku!H:H),2)),0)</f>
        <v>0</v>
      </c>
      <c r="AN1877" s="109">
        <v>0</v>
      </c>
      <c r="AO1877" s="109">
        <v>0</v>
      </c>
      <c r="AP1877" s="28">
        <f ca="1">IF('Banco de Dados'!$AK1877&lt;&gt;"-",IF('Banco de Dados'!$AL1877="NÃO",IFERROR(VALUE(SUBSTITUTE(_xlfn.TEXTAFTER('Banco de Dados'!$F1877,"BRL ",1),".",",")),0),0),0)</f>
        <v>0</v>
      </c>
      <c r="AQ1877" s="28">
        <f ca="1">SUM('Banco de Dados'!$AM1877:$AP1877)</f>
        <v>0</v>
      </c>
      <c r="AR1877" s="8"/>
      <c r="AS1877" s="8"/>
      <c r="AT1877"/>
      <c r="AY1877" s="8"/>
    </row>
    <row r="1878" spans="1:51">
      <c r="A1878" s="5" t="str">
        <v>BV</v>
      </c>
      <c r="B1878" s="5" t="str">
        <f ca="1"/>
        <v>BV45841</v>
      </c>
      <c r="C1878" s="8" t="str">
        <v>Pedido 1864</v>
      </c>
      <c r="D1878" s="187">
        <v>45841</v>
      </c>
      <c r="E1878" s="9">
        <v>45841</v>
      </c>
      <c r="F1878" s="2" t="str">
        <v>PedidoF1749</v>
      </c>
      <c r="G1878" s="2" t="str">
        <v>CódRastreio1747</v>
      </c>
      <c r="H1878" s="5">
        <v>1</v>
      </c>
      <c r="I1878" s="182" t="str">
        <v>CPF 1820</v>
      </c>
      <c r="J1878" s="2" t="str">
        <v>Nome 1820</v>
      </c>
      <c r="K1878" s="8" t="str">
        <v>Tel 1820</v>
      </c>
      <c r="L1878" s="8" t="str">
        <v>Cep 1820</v>
      </c>
      <c r="M1878" s="8" t="str">
        <v>Rua 1820</v>
      </c>
      <c r="N1878" s="8" t="str">
        <v>Comp 1820</v>
      </c>
      <c r="O1878" s="8" t="str">
        <v>Máquina de cortar cabelo dragão</v>
      </c>
      <c r="P1878" s="8" t="str">
        <v>HG-2FNR-01A9</v>
      </c>
      <c r="Q1878" s="4">
        <v>45875</v>
      </c>
      <c r="R1878" s="109">
        <v>23</v>
      </c>
      <c r="S1878" s="11">
        <f ca="1"/>
        <v>23</v>
      </c>
      <c r="T1878" s="28">
        <f ca="1"/>
        <v>2.76</v>
      </c>
      <c r="U1878" s="11">
        <f ca="1"/>
        <v>20.239999999999998</v>
      </c>
      <c r="V1878" s="11">
        <v>19.27</v>
      </c>
      <c r="W1878" s="11">
        <f ca="1"/>
        <v>0</v>
      </c>
      <c r="X1878" s="11">
        <f ca="1"/>
        <v>0.39877104377104378</v>
      </c>
      <c r="Y1878" s="11">
        <v>0</v>
      </c>
      <c r="Z1878" s="11">
        <f ca="1"/>
        <v>0.57122895622895342</v>
      </c>
      <c r="AA1878" s="11">
        <f ca="1"/>
        <v>0.28561447811447671</v>
      </c>
      <c r="AB1878" s="4">
        <f ca="1"/>
        <v>45882</v>
      </c>
      <c r="AC1878" s="4">
        <v>45882</v>
      </c>
      <c r="AD1878" s="9">
        <v>45887</v>
      </c>
      <c r="AE1878" s="9">
        <v>45888</v>
      </c>
      <c r="AF1878" s="4" t="str">
        <f t="shared" ca="1" si="137"/>
        <v>2025 08</v>
      </c>
      <c r="AG1878" s="8" t="str" cm="1">
        <f t="array" ref="AG1878">IFERROR(_xlfn.IFS('Banco de Dados'!#REF!="AG. COMPRA","Em processamento",'Banco de Dados'!#REF!="AG. RASTREIO","Em processamento",'Banco de Dados'!$AE1878&lt;&gt;"-","Faturado",'Banco de Dados'!$AD1878&lt;&gt;"-","Aguardando Pix",'Banco de Dados'!$AC1878&lt;&gt;"-","Pendente"),"Aguardando Liberação")</f>
        <v>Aguardando Liberação</v>
      </c>
      <c r="AH1878" s="5" t="str">
        <f>IF('Banco de Dados'!$F1878="-",_xlfn.CONCAT(PROPER(TEXT(AK1878,"aaaa"))," ",PROPER(TEXT(AK1878,"mm"))),_xlfn.CONCAT(PROPER(TEXT(E1878,"aaaa"))," ",PROPER(TEXT(E1878,"mm"))))</f>
        <v>2025 07</v>
      </c>
      <c r="AI1878" s="9" t="str">
        <f ca="1">IF('Banco de Dados'!$AK1878&lt;&gt;"-","REEMBOLSO",IFERROR(_xlfn.XLOOKUP(G1878,Follow[CODRASTREIO],Follow[STATUS]),"-"))</f>
        <v>ENTREGUE</v>
      </c>
      <c r="AJ1878" s="9">
        <f ca="1">IF('Banco de Dados'!$AI1878="ENTREGUE",_xlfn.XLOOKUP('Banco de Dados'!$G1878,Follow[CODRASTREIO],Follow[DATAATUALIZAÇÃO]),"-")</f>
        <v>45843</v>
      </c>
      <c r="AK1878" s="132" t="str">
        <f ca="1"/>
        <v>-</v>
      </c>
      <c r="AL1878" s="35"/>
      <c r="AM1878" s="109" cm="1">
        <f t="array" aca="1" ref="AM1878" ca="1">IF('Banco de Dados'!$AK1878&lt;&gt;"-",_xlfn.IFS('Banco de Dados'!$A1878="bv",IF('Banco de Dados'!$E1878&lt;45641,ROUND(SUM('Banco de Dados'!$R1878*_xlfn.XLOOKUP('Banco de Dados'!$P1878,Sku!B:B,Sku!#REF!)*20%),2),ROUND(SUM('Banco de Dados'!$R1878*_xlfn.XLOOKUP('Banco de Dados'!$P1878,Sku!B:B,Sku!H:H)*20%),2)),'Banco de Dados'!$A1878="GO",ROUND(_xlfn.XLOOKUP('Banco de Dados'!$P1878,Sku!C:C,Sku!H:H),2),'Banco de Dados'!$A1878="MEI",ROUND(_xlfn.XLOOKUP('Banco de Dados'!$P1878,Sku!D:D,Sku!H:H),2)),0)</f>
        <v>0</v>
      </c>
      <c r="AN1878" s="109">
        <v>0</v>
      </c>
      <c r="AO1878" s="109">
        <v>0</v>
      </c>
      <c r="AP1878" s="28">
        <f ca="1">IF('Banco de Dados'!$AK1878&lt;&gt;"-",IF('Banco de Dados'!$AL1878="NÃO",IFERROR(VALUE(SUBSTITUTE(_xlfn.TEXTAFTER('Banco de Dados'!$F1878,"BRL ",1),".",",")),0),0),0)</f>
        <v>0</v>
      </c>
      <c r="AQ1878" s="28">
        <f ca="1">SUM('Banco de Dados'!$AM1878:$AP1878)</f>
        <v>0</v>
      </c>
      <c r="AR1878" s="8"/>
      <c r="AS1878" s="8"/>
      <c r="AT1878"/>
      <c r="AY1878" s="8"/>
    </row>
    <row r="1879" spans="1:51">
      <c r="A1879" s="5" t="str">
        <v>BV</v>
      </c>
      <c r="B1879" s="5" t="str">
        <f ca="1"/>
        <v>BV45845</v>
      </c>
      <c r="C1879" s="8" t="str">
        <v>Pedido 1865</v>
      </c>
      <c r="D1879" s="187">
        <v>45843</v>
      </c>
      <c r="E1879" s="9">
        <v>45845</v>
      </c>
      <c r="F1879" s="2" t="str">
        <v>PedidoF1750</v>
      </c>
      <c r="G1879" s="2" t="str">
        <v>CódRastreio1748</v>
      </c>
      <c r="H1879" s="5">
        <v>1</v>
      </c>
      <c r="I1879" s="182" t="str">
        <v>CPF 1821</v>
      </c>
      <c r="J1879" s="2" t="str">
        <v>Nome 1821</v>
      </c>
      <c r="K1879" s="8" t="str">
        <v>Tel 1821</v>
      </c>
      <c r="L1879" s="184" t="str">
        <v>Cep 1821</v>
      </c>
      <c r="M1879" s="8" t="str">
        <v>Rua 1821</v>
      </c>
      <c r="N1879" s="8" t="str">
        <v>Comp 1821</v>
      </c>
      <c r="O1879" s="8" t="str">
        <v>Máquina de cortar cabelo dragão</v>
      </c>
      <c r="P1879" s="8" t="str">
        <v>HG-2FNR-01A9</v>
      </c>
      <c r="Q1879" s="4">
        <v>45857</v>
      </c>
      <c r="R1879" s="109">
        <v>23</v>
      </c>
      <c r="S1879" s="11">
        <f ca="1"/>
        <v>23</v>
      </c>
      <c r="T1879" s="28">
        <f ca="1"/>
        <v>2.76</v>
      </c>
      <c r="U1879" s="11">
        <f ca="1"/>
        <v>20.239999999999998</v>
      </c>
      <c r="V1879" s="11">
        <v>13.41</v>
      </c>
      <c r="W1879" s="11">
        <f ca="1"/>
        <v>0</v>
      </c>
      <c r="X1879" s="11">
        <f ca="1"/>
        <v>0.39877104377104378</v>
      </c>
      <c r="Y1879" s="11">
        <v>0</v>
      </c>
      <c r="Z1879" s="11">
        <f ca="1"/>
        <v>6.4312289562289546</v>
      </c>
      <c r="AA1879" s="11">
        <f ca="1"/>
        <v>3.2156144781144773</v>
      </c>
      <c r="AB1879" s="4">
        <f ca="1"/>
        <v>45864</v>
      </c>
      <c r="AC1879" s="4">
        <v>45864</v>
      </c>
      <c r="AD1879" s="9">
        <v>45870</v>
      </c>
      <c r="AE1879" s="9">
        <v>45873</v>
      </c>
      <c r="AF1879" s="4" t="str">
        <f t="shared" ref="AF1879:AF1901" ca="1" si="138">_xlfn.CONCAT(PROPER(TEXT(AB1879,"aaaa"))," ",PROPER(TEXT(AB1879,"mm")))</f>
        <v>2025 07</v>
      </c>
      <c r="AG1879" s="8" t="str" cm="1">
        <f t="array" ref="AG1879">IFERROR(_xlfn.IFS('Banco de Dados'!#REF!="AG. COMPRA","Em processamento",'Banco de Dados'!#REF!="AG. RASTREIO","Em processamento",'Banco de Dados'!$AE1879&lt;&gt;"-","Faturado",'Banco de Dados'!$AD1879&lt;&gt;"-","Aguardando Pix",'Banco de Dados'!$AC1879&lt;&gt;"-","Pendente"),"Aguardando Liberação")</f>
        <v>Aguardando Liberação</v>
      </c>
      <c r="AH1879" s="5" t="str">
        <f>IF('Banco de Dados'!$F1879="-",_xlfn.CONCAT(PROPER(TEXT(AK1879,"aaaa"))," ",PROPER(TEXT(AK1879,"mm"))),_xlfn.CONCAT(PROPER(TEXT(E1879,"aaaa"))," ",PROPER(TEXT(E1879,"mm"))))</f>
        <v>2025 07</v>
      </c>
      <c r="AI1879" s="9" t="str">
        <f ca="1">IF('Banco de Dados'!$AK1879&lt;&gt;"-","REEMBOLSO",IFERROR(_xlfn.XLOOKUP(G1879,Follow[CODRASTREIO],Follow[STATUS]),"-"))</f>
        <v>ENTREGUE</v>
      </c>
      <c r="AJ1879" s="9">
        <f ca="1">IF('Banco de Dados'!$AI1879="ENTREGUE",_xlfn.XLOOKUP('Banco de Dados'!$G1879,Follow[CODRASTREIO],Follow[DATAATUALIZAÇÃO]),"-")</f>
        <v>45847</v>
      </c>
      <c r="AK1879" s="132" t="str">
        <f ca="1"/>
        <v>-</v>
      </c>
      <c r="AL1879" s="35"/>
      <c r="AM1879" s="109" cm="1">
        <f t="array" aca="1" ref="AM1879" ca="1">IF('Banco de Dados'!$AK1879&lt;&gt;"-",_xlfn.IFS('Banco de Dados'!$A1879="bv",IF('Banco de Dados'!$E1879&lt;45641,ROUND(SUM('Banco de Dados'!$R1879*_xlfn.XLOOKUP('Banco de Dados'!$P1879,Sku!B:B,Sku!#REF!)*20%),2),ROUND(SUM('Banco de Dados'!$R1879*_xlfn.XLOOKUP('Banco de Dados'!$P1879,Sku!B:B,Sku!H:H)*20%),2)),'Banco de Dados'!$A1879="GO",ROUND(_xlfn.XLOOKUP('Banco de Dados'!$P1879,Sku!C:C,Sku!H:H),2),'Banco de Dados'!$A1879="MEI",ROUND(_xlfn.XLOOKUP('Banco de Dados'!$P1879,Sku!D:D,Sku!H:H),2)),0)</f>
        <v>0</v>
      </c>
      <c r="AN1879" s="109">
        <v>0</v>
      </c>
      <c r="AO1879" s="109">
        <v>0</v>
      </c>
      <c r="AP1879" s="28">
        <f ca="1">IF('Banco de Dados'!$AK1879&lt;&gt;"-",IF('Banco de Dados'!$AL1879="NÃO",IFERROR(VALUE(SUBSTITUTE(_xlfn.TEXTAFTER('Banco de Dados'!$F1879,"BRL ",1),".",",")),0),0),0)</f>
        <v>0</v>
      </c>
      <c r="AQ1879" s="28">
        <f ca="1">SUM('Banco de Dados'!$AM1879:$AP1879)</f>
        <v>0</v>
      </c>
      <c r="AR1879" s="8"/>
      <c r="AS1879" s="8"/>
      <c r="AT1879"/>
      <c r="AY1879" s="8"/>
    </row>
    <row r="1880" spans="1:51">
      <c r="A1880" s="5" t="str">
        <v>BV</v>
      </c>
      <c r="B1880" s="5" t="str">
        <f ca="1"/>
        <v>BV45845</v>
      </c>
      <c r="C1880" s="8" t="str">
        <v>Pedido 1866</v>
      </c>
      <c r="D1880" s="187">
        <v>45843</v>
      </c>
      <c r="E1880" s="9">
        <v>45845</v>
      </c>
      <c r="F1880" s="2" t="str">
        <v>PedidoF1751</v>
      </c>
      <c r="G1880" s="2" t="str">
        <v>CódRastreio1749</v>
      </c>
      <c r="H1880" s="5">
        <v>1</v>
      </c>
      <c r="I1880" s="182" t="str">
        <v>CPF 1822</v>
      </c>
      <c r="J1880" s="2" t="str">
        <v>Nome 1822</v>
      </c>
      <c r="K1880" s="8" t="str">
        <v>Tel 1822</v>
      </c>
      <c r="L1880" s="8" t="str">
        <v>Cep 1822</v>
      </c>
      <c r="M1880" s="8" t="str">
        <v>Rua 1822</v>
      </c>
      <c r="N1880" s="8" t="str">
        <v>Comp 1822</v>
      </c>
      <c r="O1880" s="8" t="str">
        <v>Máquina de cortar cabelo dragão</v>
      </c>
      <c r="P1880" s="8" t="str">
        <v>NQ-IMR8-W6Q4</v>
      </c>
      <c r="Q1880" s="4">
        <v>45882</v>
      </c>
      <c r="R1880" s="109">
        <v>23.9</v>
      </c>
      <c r="S1880" s="11">
        <f ca="1"/>
        <v>23.9</v>
      </c>
      <c r="T1880" s="28">
        <f ca="1"/>
        <v>2.8679999999999999</v>
      </c>
      <c r="U1880" s="11">
        <f ca="1"/>
        <v>21.03</v>
      </c>
      <c r="V1880" s="11">
        <v>17.21</v>
      </c>
      <c r="W1880" s="11">
        <f ca="1"/>
        <v>0</v>
      </c>
      <c r="X1880" s="11">
        <f ca="1"/>
        <v>0.39877104377104378</v>
      </c>
      <c r="Y1880" s="11">
        <v>15</v>
      </c>
      <c r="Z1880" s="11">
        <f ca="1"/>
        <v>-11.578771043771042</v>
      </c>
      <c r="AA1880" s="11">
        <f ca="1"/>
        <v>-5.7893855218855208</v>
      </c>
      <c r="AB1880" s="4">
        <f ca="1"/>
        <v>45889</v>
      </c>
      <c r="AC1880" s="4">
        <v>45889</v>
      </c>
      <c r="AD1880" s="9">
        <v>45915</v>
      </c>
      <c r="AE1880" s="9">
        <v>45888</v>
      </c>
      <c r="AF1880" s="4" t="str">
        <f t="shared" ca="1" si="138"/>
        <v>2025 08</v>
      </c>
      <c r="AG1880" s="8" t="str" cm="1">
        <f t="array" ref="AG1880">IFERROR(_xlfn.IFS('Banco de Dados'!#REF!="AG. COMPRA","Em processamento",'Banco de Dados'!#REF!="AG. RASTREIO","Em processamento",'Banco de Dados'!$AE1880&lt;&gt;"-","Faturado",'Banco de Dados'!$AD1880&lt;&gt;"-","Aguardando Pix",'Banco de Dados'!$AC1880&lt;&gt;"-","Pendente"),"Aguardando Liberação")</f>
        <v>Aguardando Liberação</v>
      </c>
      <c r="AH1880" s="5" t="str">
        <f>IF('Banco de Dados'!$F1880="-",_xlfn.CONCAT(PROPER(TEXT(AK1880,"aaaa"))," ",PROPER(TEXT(AK1880,"mm"))),_xlfn.CONCAT(PROPER(TEXT(E1880,"aaaa"))," ",PROPER(TEXT(E1880,"mm"))))</f>
        <v>2025 07</v>
      </c>
      <c r="AI1880" s="9" t="str">
        <f ca="1">IF('Banco de Dados'!$AK1880&lt;&gt;"-","REEMBOLSO",IFERROR(_xlfn.XLOOKUP(G1880,Follow[CODRASTREIO],Follow[STATUS]),"-"))</f>
        <v>ENTREGUE</v>
      </c>
      <c r="AJ1880" s="9">
        <f ca="1">IF('Banco de Dados'!$AI1880="ENTREGUE",_xlfn.XLOOKUP('Banco de Dados'!$G1880,Follow[CODRASTREIO],Follow[DATAATUALIZAÇÃO]),"-")</f>
        <v>45854</v>
      </c>
      <c r="AK1880" s="132" t="str">
        <f ca="1"/>
        <v>-</v>
      </c>
      <c r="AL1880" s="35"/>
      <c r="AM1880" s="109" cm="1">
        <f t="array" aca="1" ref="AM1880" ca="1">IF('Banco de Dados'!$AK1880&lt;&gt;"-",_xlfn.IFS('Banco de Dados'!$A1880="bv",IF('Banco de Dados'!$E1880&lt;45641,ROUND(SUM('Banco de Dados'!$R1880*_xlfn.XLOOKUP('Banco de Dados'!$P1880,Sku!B:B,Sku!#REF!)*20%),2),ROUND(SUM('Banco de Dados'!$R1880*_xlfn.XLOOKUP('Banco de Dados'!$P1880,Sku!B:B,Sku!H:H)*20%),2)),'Banco de Dados'!$A1880="GO",ROUND(_xlfn.XLOOKUP('Banco de Dados'!$P1880,Sku!C:C,Sku!H:H),2),'Banco de Dados'!$A1880="MEI",ROUND(_xlfn.XLOOKUP('Banco de Dados'!$P1880,Sku!D:D,Sku!H:H),2)),0)</f>
        <v>0</v>
      </c>
      <c r="AN1880" s="109">
        <v>0</v>
      </c>
      <c r="AO1880" s="109">
        <v>0</v>
      </c>
      <c r="AP1880" s="28">
        <f ca="1">IF('Banco de Dados'!$AK1880&lt;&gt;"-",IF('Banco de Dados'!$AL1880="NÃO",IFERROR(VALUE(SUBSTITUTE(_xlfn.TEXTAFTER('Banco de Dados'!$F1880,"BRL ",1),".",",")),0),0),0)</f>
        <v>0</v>
      </c>
      <c r="AQ1880" s="28">
        <f ca="1">SUM('Banco de Dados'!$AM1880:$AP1880)</f>
        <v>0</v>
      </c>
      <c r="AR1880" s="8"/>
      <c r="AS1880" s="8"/>
      <c r="AT1880"/>
      <c r="AY1880" s="8"/>
    </row>
    <row r="1881" spans="1:51">
      <c r="A1881" s="5" t="str">
        <v>BV</v>
      </c>
      <c r="B1881" s="5" t="str">
        <f ca="1"/>
        <v>BV45845</v>
      </c>
      <c r="C1881" s="8" t="str">
        <v>Pedido 1867</v>
      </c>
      <c r="D1881" s="187">
        <v>45843</v>
      </c>
      <c r="E1881" s="9">
        <v>45845</v>
      </c>
      <c r="F1881" s="2" t="str">
        <v>PedidoF1752</v>
      </c>
      <c r="G1881" s="2" t="str">
        <v>CódRastreio1750</v>
      </c>
      <c r="H1881" s="5">
        <v>1</v>
      </c>
      <c r="I1881" s="182" t="str">
        <v>CPF 1823</v>
      </c>
      <c r="J1881" s="2" t="str">
        <v>Nome 1823</v>
      </c>
      <c r="K1881" s="8" t="str">
        <v>Tel 1823</v>
      </c>
      <c r="L1881" s="8" t="str">
        <v>Cep 1823</v>
      </c>
      <c r="M1881" s="8" t="str">
        <v>Rua 1823</v>
      </c>
      <c r="N1881" s="8" t="str">
        <v>Comp 1823</v>
      </c>
      <c r="O1881" s="8" t="str">
        <v>Máquina de cortar cabelo dragão</v>
      </c>
      <c r="P1881" s="8" t="str">
        <v>HG-2FNR-01A9</v>
      </c>
      <c r="Q1881" s="4">
        <v>45857</v>
      </c>
      <c r="R1881" s="109">
        <v>23</v>
      </c>
      <c r="S1881" s="11">
        <f ca="1"/>
        <v>23</v>
      </c>
      <c r="T1881" s="28">
        <f ca="1"/>
        <v>2.76</v>
      </c>
      <c r="U1881" s="11">
        <f ca="1"/>
        <v>20.239999999999998</v>
      </c>
      <c r="V1881" s="11">
        <v>13.41</v>
      </c>
      <c r="W1881" s="11">
        <f ca="1"/>
        <v>0</v>
      </c>
      <c r="X1881" s="11">
        <f ca="1"/>
        <v>0.39877104377104378</v>
      </c>
      <c r="Y1881" s="11">
        <v>0</v>
      </c>
      <c r="Z1881" s="11">
        <f ca="1"/>
        <v>6.4312289562289546</v>
      </c>
      <c r="AA1881" s="11">
        <f ca="1"/>
        <v>3.2156144781144773</v>
      </c>
      <c r="AB1881" s="4">
        <f ca="1"/>
        <v>45864</v>
      </c>
      <c r="AC1881" s="4">
        <v>45864</v>
      </c>
      <c r="AD1881" s="9">
        <v>45870</v>
      </c>
      <c r="AE1881" s="9">
        <v>45873</v>
      </c>
      <c r="AF1881" s="4" t="str">
        <f t="shared" ca="1" si="138"/>
        <v>2025 07</v>
      </c>
      <c r="AG1881" s="8" t="str" cm="1">
        <f t="array" ref="AG1881">IFERROR(_xlfn.IFS('Banco de Dados'!#REF!="AG. COMPRA","Em processamento",'Banco de Dados'!#REF!="AG. RASTREIO","Em processamento",'Banco de Dados'!$AE1881&lt;&gt;"-","Faturado",'Banco de Dados'!$AD1881&lt;&gt;"-","Aguardando Pix",'Banco de Dados'!$AC1881&lt;&gt;"-","Pendente"),"Aguardando Liberação")</f>
        <v>Aguardando Liberação</v>
      </c>
      <c r="AH1881" s="5" t="str">
        <f>IF('Banco de Dados'!$F1881="-",_xlfn.CONCAT(PROPER(TEXT(AK1881,"aaaa"))," ",PROPER(TEXT(AK1881,"mm"))),_xlfn.CONCAT(PROPER(TEXT(E1881,"aaaa"))," ",PROPER(TEXT(E1881,"mm"))))</f>
        <v>2025 07</v>
      </c>
      <c r="AI1881" s="9" t="str">
        <f ca="1">IF('Banco de Dados'!$AK1881&lt;&gt;"-","REEMBOLSO",IFERROR(_xlfn.XLOOKUP(G1881,Follow[CODRASTREIO],Follow[STATUS]),"-"))</f>
        <v>ENTREGUE</v>
      </c>
      <c r="AJ1881" s="9">
        <f ca="1">IF('Banco de Dados'!$AI1881="ENTREGUE",_xlfn.XLOOKUP('Banco de Dados'!$G1881,Follow[CODRASTREIO],Follow[DATAATUALIZAÇÃO]),"-")</f>
        <v>45848</v>
      </c>
      <c r="AK1881" s="132" t="str">
        <f ca="1"/>
        <v>-</v>
      </c>
      <c r="AL1881" s="35"/>
      <c r="AM1881" s="109" cm="1">
        <f t="array" aca="1" ref="AM1881" ca="1">IF('Banco de Dados'!$AK1881&lt;&gt;"-",_xlfn.IFS('Banco de Dados'!$A1881="bv",IF('Banco de Dados'!$E1881&lt;45641,ROUND(SUM('Banco de Dados'!$R1881*_xlfn.XLOOKUP('Banco de Dados'!$P1881,Sku!B:B,Sku!#REF!)*20%),2),ROUND(SUM('Banco de Dados'!$R1881*_xlfn.XLOOKUP('Banco de Dados'!$P1881,Sku!B:B,Sku!H:H)*20%),2)),'Banco de Dados'!$A1881="GO",ROUND(_xlfn.XLOOKUP('Banco de Dados'!$P1881,Sku!C:C,Sku!H:H),2),'Banco de Dados'!$A1881="MEI",ROUND(_xlfn.XLOOKUP('Banco de Dados'!$P1881,Sku!D:D,Sku!H:H),2)),0)</f>
        <v>0</v>
      </c>
      <c r="AN1881" s="109">
        <v>0</v>
      </c>
      <c r="AO1881" s="109">
        <v>0</v>
      </c>
      <c r="AP1881" s="28">
        <f ca="1">IF('Banco de Dados'!$AK1881&lt;&gt;"-",IF('Banco de Dados'!$AL1881="NÃO",IFERROR(VALUE(SUBSTITUTE(_xlfn.TEXTAFTER('Banco de Dados'!$F1881,"BRL ",1),".",",")),0),0),0)</f>
        <v>0</v>
      </c>
      <c r="AQ1881" s="28">
        <f ca="1">SUM('Banco de Dados'!$AM1881:$AP1881)</f>
        <v>0</v>
      </c>
      <c r="AR1881" s="8"/>
      <c r="AS1881" s="8"/>
      <c r="AT1881"/>
      <c r="AY1881" s="8"/>
    </row>
    <row r="1882" spans="1:51">
      <c r="A1882" s="5" t="str">
        <v>BV</v>
      </c>
      <c r="B1882" s="5" t="str">
        <f ca="1"/>
        <v>BV45845</v>
      </c>
      <c r="C1882" s="8" t="str">
        <v>Pedido 1868</v>
      </c>
      <c r="D1882" s="187">
        <v>45844</v>
      </c>
      <c r="E1882" s="9">
        <v>45845</v>
      </c>
      <c r="F1882" s="2" t="str">
        <v>PedidoF1753</v>
      </c>
      <c r="G1882" s="2" t="str">
        <v>CódRastreio1751</v>
      </c>
      <c r="H1882" s="5">
        <v>1</v>
      </c>
      <c r="I1882" s="182" t="str">
        <v>CPF 1824</v>
      </c>
      <c r="J1882" s="2" t="str">
        <v>Nome 1824</v>
      </c>
      <c r="K1882" s="8" t="str">
        <v>Tel 1824</v>
      </c>
      <c r="L1882" s="8" t="str">
        <v>Cep 1824</v>
      </c>
      <c r="M1882" s="8" t="str">
        <v>Rua 1824</v>
      </c>
      <c r="N1882" s="8" t="str">
        <v>Comp 1824</v>
      </c>
      <c r="O1882" s="8" t="str">
        <v>Bolsa térmica</v>
      </c>
      <c r="P1882" s="8" t="str">
        <v>6I-CK1S-8HYZ</v>
      </c>
      <c r="Q1882" s="4">
        <v>45863</v>
      </c>
      <c r="R1882" s="109">
        <v>28.5</v>
      </c>
      <c r="S1882" s="11">
        <f ca="1"/>
        <v>28.5</v>
      </c>
      <c r="T1882" s="28">
        <f ca="1"/>
        <v>3.42</v>
      </c>
      <c r="U1882" s="11">
        <f ca="1"/>
        <v>25.08</v>
      </c>
      <c r="V1882" s="11">
        <v>18.940000000000001</v>
      </c>
      <c r="W1882" s="11">
        <f ca="1"/>
        <v>0</v>
      </c>
      <c r="X1882" s="11">
        <f ca="1"/>
        <v>0.39877104377104378</v>
      </c>
      <c r="Y1882" s="11">
        <v>0</v>
      </c>
      <c r="Z1882" s="11">
        <f ca="1"/>
        <v>5.7412289562289516</v>
      </c>
      <c r="AA1882" s="11">
        <f ca="1"/>
        <v>2.8706144781144758</v>
      </c>
      <c r="AB1882" s="4">
        <f ca="1"/>
        <v>45870</v>
      </c>
      <c r="AC1882" s="4">
        <v>45870</v>
      </c>
      <c r="AD1882" s="9">
        <v>45870</v>
      </c>
      <c r="AE1882" s="9">
        <v>45873</v>
      </c>
      <c r="AF1882" s="4" t="str">
        <f t="shared" ca="1" si="138"/>
        <v>2025 08</v>
      </c>
      <c r="AG1882" s="8" t="str" cm="1">
        <f t="array" ref="AG1882">IFERROR(_xlfn.IFS('Banco de Dados'!#REF!="AG. COMPRA","Em processamento",'Banco de Dados'!#REF!="AG. RASTREIO","Em processamento",'Banco de Dados'!$AE1882&lt;&gt;"-","Faturado",'Banco de Dados'!$AD1882&lt;&gt;"-","Aguardando Pix",'Banco de Dados'!$AC1882&lt;&gt;"-","Pendente"),"Aguardando Liberação")</f>
        <v>Aguardando Liberação</v>
      </c>
      <c r="AH1882" s="5" t="str">
        <f>IF('Banco de Dados'!$F1882="-",_xlfn.CONCAT(PROPER(TEXT(AK1882,"aaaa"))," ",PROPER(TEXT(AK1882,"mm"))),_xlfn.CONCAT(PROPER(TEXT(E1882,"aaaa"))," ",PROPER(TEXT(E1882,"mm"))))</f>
        <v>2025 07</v>
      </c>
      <c r="AI1882" s="9" t="str">
        <f ca="1">IF('Banco de Dados'!$AK1882&lt;&gt;"-","REEMBOLSO",IFERROR(_xlfn.XLOOKUP(G1882,Follow[CODRASTREIO],Follow[STATUS]),"-"))</f>
        <v>ENTREGUE</v>
      </c>
      <c r="AJ1882" s="9">
        <f ca="1">IF('Banco de Dados'!$AI1882="ENTREGUE",_xlfn.XLOOKUP('Banco de Dados'!$G1882,Follow[CODRASTREIO],Follow[DATAATUALIZAÇÃO]),"-")</f>
        <v>45848</v>
      </c>
      <c r="AK1882" s="132" t="str">
        <f ca="1"/>
        <v>-</v>
      </c>
      <c r="AL1882" s="35"/>
      <c r="AM1882" s="109" cm="1">
        <f t="array" aca="1" ref="AM1882" ca="1">IF('Banco de Dados'!$AK1882&lt;&gt;"-",_xlfn.IFS('Banco de Dados'!$A1882="bv",IF('Banco de Dados'!$E1882&lt;45641,ROUND(SUM('Banco de Dados'!$R1882*_xlfn.XLOOKUP('Banco de Dados'!$P1882,Sku!B:B,Sku!#REF!)*20%),2),ROUND(SUM('Banco de Dados'!$R1882*_xlfn.XLOOKUP('Banco de Dados'!$P1882,Sku!B:B,Sku!H:H)*20%),2)),'Banco de Dados'!$A1882="GO",ROUND(_xlfn.XLOOKUP('Banco de Dados'!$P1882,Sku!C:C,Sku!H:H),2),'Banco de Dados'!$A1882="MEI",ROUND(_xlfn.XLOOKUP('Banco de Dados'!$P1882,Sku!D:D,Sku!H:H),2)),0)</f>
        <v>0</v>
      </c>
      <c r="AN1882" s="109">
        <v>0</v>
      </c>
      <c r="AO1882" s="109">
        <v>0</v>
      </c>
      <c r="AP1882" s="28">
        <f ca="1">IF('Banco de Dados'!$AK1882&lt;&gt;"-",IF('Banco de Dados'!$AL1882="NÃO",IFERROR(VALUE(SUBSTITUTE(_xlfn.TEXTAFTER('Banco de Dados'!$F1882,"BRL ",1),".",",")),0),0),0)</f>
        <v>0</v>
      </c>
      <c r="AQ1882" s="28">
        <f ca="1">SUM('Banco de Dados'!$AM1882:$AP1882)</f>
        <v>0</v>
      </c>
      <c r="AR1882" s="8"/>
      <c r="AS1882" s="8"/>
      <c r="AT1882"/>
      <c r="AY1882" s="8"/>
    </row>
    <row r="1883" spans="1:51">
      <c r="A1883" s="5" t="str">
        <v>BV</v>
      </c>
      <c r="B1883" s="5" t="str">
        <f ca="1"/>
        <v>BV45845</v>
      </c>
      <c r="C1883" s="8" t="str">
        <v>Pedido 1869</v>
      </c>
      <c r="D1883" s="187">
        <v>45844</v>
      </c>
      <c r="E1883" s="9">
        <v>45845</v>
      </c>
      <c r="F1883" s="2" t="str">
        <v>PedidoF1754</v>
      </c>
      <c r="G1883" s="2" t="str">
        <v>CódRastreio1752</v>
      </c>
      <c r="H1883" s="5">
        <v>1</v>
      </c>
      <c r="I1883" s="182" t="str">
        <v>CPF 1825</v>
      </c>
      <c r="J1883" s="2" t="str">
        <v>Nome 1825</v>
      </c>
      <c r="K1883" s="8" t="str">
        <v>Tel 1825</v>
      </c>
      <c r="L1883" s="8" t="str">
        <v>Cep 1825</v>
      </c>
      <c r="M1883" s="8" t="str">
        <v>Rua 1825</v>
      </c>
      <c r="N1883" s="8" t="str">
        <v>Comp 1825</v>
      </c>
      <c r="O1883" s="8" t="str">
        <v>Máquina de cortar cabelo dragão</v>
      </c>
      <c r="P1883" s="8" t="str">
        <v>HG-2FNR-01A9</v>
      </c>
      <c r="Q1883" s="4">
        <v>45861</v>
      </c>
      <c r="R1883" s="109">
        <v>23</v>
      </c>
      <c r="S1883" s="11">
        <f ca="1"/>
        <v>23</v>
      </c>
      <c r="T1883" s="28">
        <f ca="1"/>
        <v>2.76</v>
      </c>
      <c r="U1883" s="11">
        <f ca="1"/>
        <v>20.239999999999998</v>
      </c>
      <c r="V1883" s="11">
        <v>15.37</v>
      </c>
      <c r="W1883" s="11">
        <f ca="1"/>
        <v>0</v>
      </c>
      <c r="X1883" s="11">
        <f ca="1"/>
        <v>0.39877104377104378</v>
      </c>
      <c r="Y1883" s="11">
        <v>0</v>
      </c>
      <c r="Z1883" s="11">
        <f ca="1"/>
        <v>4.4712289562289556</v>
      </c>
      <c r="AA1883" s="11">
        <f ca="1"/>
        <v>2.2356144781144778</v>
      </c>
      <c r="AB1883" s="4">
        <f ca="1"/>
        <v>45868</v>
      </c>
      <c r="AC1883" s="4">
        <v>45868</v>
      </c>
      <c r="AD1883" s="9">
        <v>45870</v>
      </c>
      <c r="AE1883" s="9">
        <v>45873</v>
      </c>
      <c r="AF1883" s="4" t="str">
        <f t="shared" ca="1" si="138"/>
        <v>2025 07</v>
      </c>
      <c r="AG1883" s="8" t="str" cm="1">
        <f t="array" ref="AG1883">IFERROR(_xlfn.IFS('Banco de Dados'!#REF!="AG. COMPRA","Em processamento",'Banco de Dados'!#REF!="AG. RASTREIO","Em processamento",'Banco de Dados'!$AE1883&lt;&gt;"-","Faturado",'Banco de Dados'!$AD1883&lt;&gt;"-","Aguardando Pix",'Banco de Dados'!$AC1883&lt;&gt;"-","Pendente"),"Aguardando Liberação")</f>
        <v>Aguardando Liberação</v>
      </c>
      <c r="AH1883" s="5" t="str">
        <f>IF('Banco de Dados'!$F1883="-",_xlfn.CONCAT(PROPER(TEXT(AK1883,"aaaa"))," ",PROPER(TEXT(AK1883,"mm"))),_xlfn.CONCAT(PROPER(TEXT(E1883,"aaaa"))," ",PROPER(TEXT(E1883,"mm"))))</f>
        <v>2025 07</v>
      </c>
      <c r="AI1883" s="9" t="str">
        <f ca="1">IF('Banco de Dados'!$AK1883&lt;&gt;"-","REEMBOLSO",IFERROR(_xlfn.XLOOKUP(G1883,Follow[CODRASTREIO],Follow[STATUS]),"-"))</f>
        <v>ENTREGUE</v>
      </c>
      <c r="AJ1883" s="9">
        <f ca="1">IF('Banco de Dados'!$AI1883="ENTREGUE",_xlfn.XLOOKUP('Banco de Dados'!$G1883,Follow[CODRASTREIO],Follow[DATAATUALIZAÇÃO]),"-")</f>
        <v>45849</v>
      </c>
      <c r="AK1883" s="132" t="str">
        <f ca="1"/>
        <v>-</v>
      </c>
      <c r="AL1883" s="35"/>
      <c r="AM1883" s="109" cm="1">
        <f t="array" aca="1" ref="AM1883" ca="1">IF('Banco de Dados'!$AK1883&lt;&gt;"-",_xlfn.IFS('Banco de Dados'!$A1883="bv",IF('Banco de Dados'!$E1883&lt;45641,ROUND(SUM('Banco de Dados'!$R1883*_xlfn.XLOOKUP('Banco de Dados'!$P1883,Sku!B:B,Sku!#REF!)*20%),2),ROUND(SUM('Banco de Dados'!$R1883*_xlfn.XLOOKUP('Banco de Dados'!$P1883,Sku!B:B,Sku!H:H)*20%),2)),'Banco de Dados'!$A1883="GO",ROUND(_xlfn.XLOOKUP('Banco de Dados'!$P1883,Sku!C:C,Sku!H:H),2),'Banco de Dados'!$A1883="MEI",ROUND(_xlfn.XLOOKUP('Banco de Dados'!$P1883,Sku!D:D,Sku!H:H),2)),0)</f>
        <v>0</v>
      </c>
      <c r="AN1883" s="109">
        <v>0</v>
      </c>
      <c r="AO1883" s="109">
        <v>0</v>
      </c>
      <c r="AP1883" s="28">
        <f ca="1">IF('Banco de Dados'!$AK1883&lt;&gt;"-",IF('Banco de Dados'!$AL1883="NÃO",IFERROR(VALUE(SUBSTITUTE(_xlfn.TEXTAFTER('Banco de Dados'!$F1883,"BRL ",1),".",",")),0),0),0)</f>
        <v>0</v>
      </c>
      <c r="AQ1883" s="28">
        <f ca="1">SUM('Banco de Dados'!$AM1883:$AP1883)</f>
        <v>0</v>
      </c>
      <c r="AR1883" s="8"/>
      <c r="AS1883" s="8"/>
      <c r="AT1883"/>
      <c r="AY1883" s="8"/>
    </row>
    <row r="1884" spans="1:51">
      <c r="A1884" s="5" t="str">
        <v>BV</v>
      </c>
      <c r="B1884" s="5" t="str">
        <f ca="1"/>
        <v>BV45845</v>
      </c>
      <c r="C1884" s="8" t="str">
        <v>Pedido 1870</v>
      </c>
      <c r="D1884" s="187">
        <v>45844</v>
      </c>
      <c r="E1884" s="9">
        <v>45845</v>
      </c>
      <c r="F1884" s="2" t="str">
        <v>PedidoF1755</v>
      </c>
      <c r="G1884" s="2" t="str">
        <v>CódRastreio1753</v>
      </c>
      <c r="H1884" s="5">
        <v>1</v>
      </c>
      <c r="I1884" s="182" t="str">
        <v>CPF 1826</v>
      </c>
      <c r="J1884" s="2" t="str">
        <v>Nome 1826</v>
      </c>
      <c r="K1884" s="8" t="str">
        <v>Tel 1826</v>
      </c>
      <c r="L1884" s="8" t="str">
        <v>Cep 1826</v>
      </c>
      <c r="M1884" s="8" t="str">
        <v>Rua 1826</v>
      </c>
      <c r="N1884" s="8" t="str">
        <v>Comp 1826</v>
      </c>
      <c r="O1884" s="8" t="str">
        <v>Máquina de cortar cabelo dragão</v>
      </c>
      <c r="P1884" s="8" t="str">
        <v>HG-2FNR-01A9</v>
      </c>
      <c r="Q1884" s="4">
        <v>45863</v>
      </c>
      <c r="R1884" s="109">
        <v>23</v>
      </c>
      <c r="S1884" s="11">
        <f ca="1"/>
        <v>23</v>
      </c>
      <c r="T1884" s="28">
        <f ca="1"/>
        <v>2.76</v>
      </c>
      <c r="U1884" s="11">
        <f ca="1"/>
        <v>20.239999999999998</v>
      </c>
      <c r="V1884" s="11">
        <v>16.63</v>
      </c>
      <c r="W1884" s="11">
        <f ca="1"/>
        <v>0</v>
      </c>
      <c r="X1884" s="11">
        <f ca="1"/>
        <v>0.39877104377104378</v>
      </c>
      <c r="Y1884" s="11">
        <v>0</v>
      </c>
      <c r="Z1884" s="11">
        <f ca="1"/>
        <v>3.211228956228954</v>
      </c>
      <c r="AA1884" s="11">
        <f ca="1"/>
        <v>1.605614478114477</v>
      </c>
      <c r="AB1884" s="4">
        <f ca="1"/>
        <v>45870</v>
      </c>
      <c r="AC1884" s="4">
        <v>45870</v>
      </c>
      <c r="AD1884" s="9">
        <v>45870</v>
      </c>
      <c r="AE1884" s="9">
        <v>45873</v>
      </c>
      <c r="AF1884" s="4" t="str">
        <f t="shared" ca="1" si="138"/>
        <v>2025 08</v>
      </c>
      <c r="AG1884" s="8" t="str" cm="1">
        <f t="array" ref="AG1884">IFERROR(_xlfn.IFS('Banco de Dados'!#REF!="AG. COMPRA","Em processamento",'Banco de Dados'!#REF!="AG. RASTREIO","Em processamento",'Banco de Dados'!$AE1884&lt;&gt;"-","Faturado",'Banco de Dados'!$AD1884&lt;&gt;"-","Aguardando Pix",'Banco de Dados'!$AC1884&lt;&gt;"-","Pendente"),"Aguardando Liberação")</f>
        <v>Aguardando Liberação</v>
      </c>
      <c r="AH1884" s="5" t="str">
        <f>IF('Banco de Dados'!$F1884="-",_xlfn.CONCAT(PROPER(TEXT(AK1884,"aaaa"))," ",PROPER(TEXT(AK1884,"mm"))),_xlfn.CONCAT(PROPER(TEXT(E1884,"aaaa"))," ",PROPER(TEXT(E1884,"mm"))))</f>
        <v>2025 07</v>
      </c>
      <c r="AI1884" s="9" t="str">
        <f ca="1">IF('Banco de Dados'!$AK1884&lt;&gt;"-","REEMBOLSO",IFERROR(_xlfn.XLOOKUP(G1884,Follow[CODRASTREIO],Follow[STATUS]),"-"))</f>
        <v>ENTREGUE</v>
      </c>
      <c r="AJ1884" s="9">
        <f ca="1">IF('Banco de Dados'!$AI1884="ENTREGUE",_xlfn.XLOOKUP('Banco de Dados'!$G1884,Follow[CODRASTREIO],Follow[DATAATUALIZAÇÃO]),"-")</f>
        <v>45850</v>
      </c>
      <c r="AK1884" s="132" t="str">
        <f ca="1"/>
        <v>-</v>
      </c>
      <c r="AL1884" s="35"/>
      <c r="AM1884" s="109" cm="1">
        <f t="array" aca="1" ref="AM1884" ca="1">IF('Banco de Dados'!$AK1884&lt;&gt;"-",_xlfn.IFS('Banco de Dados'!$A1884="bv",IF('Banco de Dados'!$E1884&lt;45641,ROUND(SUM('Banco de Dados'!$R1884*_xlfn.XLOOKUP('Banco de Dados'!$P1884,Sku!B:B,Sku!#REF!)*20%),2),ROUND(SUM('Banco de Dados'!$R1884*_xlfn.XLOOKUP('Banco de Dados'!$P1884,Sku!B:B,Sku!H:H)*20%),2)),'Banco de Dados'!$A1884="GO",ROUND(_xlfn.XLOOKUP('Banco de Dados'!$P1884,Sku!C:C,Sku!H:H),2),'Banco de Dados'!$A1884="MEI",ROUND(_xlfn.XLOOKUP('Banco de Dados'!$P1884,Sku!D:D,Sku!H:H),2)),0)</f>
        <v>0</v>
      </c>
      <c r="AN1884" s="109">
        <v>0</v>
      </c>
      <c r="AO1884" s="109">
        <v>0</v>
      </c>
      <c r="AP1884" s="28">
        <f ca="1">IF('Banco de Dados'!$AK1884&lt;&gt;"-",IF('Banco de Dados'!$AL1884="NÃO",IFERROR(VALUE(SUBSTITUTE(_xlfn.TEXTAFTER('Banco de Dados'!$F1884,"BRL ",1),".",",")),0),0),0)</f>
        <v>0</v>
      </c>
      <c r="AQ1884" s="28">
        <f ca="1">SUM('Banco de Dados'!$AM1884:$AP1884)</f>
        <v>0</v>
      </c>
      <c r="AR1884" s="8"/>
      <c r="AS1884" s="8"/>
      <c r="AT1884"/>
      <c r="AY1884" s="8"/>
    </row>
    <row r="1885" spans="1:51">
      <c r="A1885" s="5" t="str">
        <v>BV</v>
      </c>
      <c r="B1885" s="5" t="str">
        <f ca="1"/>
        <v>BV45845</v>
      </c>
      <c r="C1885" s="8" t="str">
        <v>Pedido 1871</v>
      </c>
      <c r="D1885" s="187">
        <v>45844</v>
      </c>
      <c r="E1885" s="9">
        <v>45845</v>
      </c>
      <c r="F1885" s="2" t="str">
        <v>PedidoF1756</v>
      </c>
      <c r="G1885" s="2" t="str">
        <v>CódRastreio1754</v>
      </c>
      <c r="H1885" s="5">
        <v>1</v>
      </c>
      <c r="I1885" s="182" t="str">
        <v>CPF 1827</v>
      </c>
      <c r="J1885" s="2" t="str">
        <v>Nome 1827</v>
      </c>
      <c r="K1885" s="8" t="str">
        <v>Tel 1827</v>
      </c>
      <c r="L1885" s="8" t="str">
        <v>Cep 1827</v>
      </c>
      <c r="M1885" s="8" t="str">
        <v>Rua 1827</v>
      </c>
      <c r="N1885" s="8" t="str">
        <v>Comp 1827</v>
      </c>
      <c r="O1885" s="8" t="str">
        <v>Bolsa térmica</v>
      </c>
      <c r="P1885" s="8" t="str">
        <v>6I-CK1S-8HYZ</v>
      </c>
      <c r="Q1885" s="4">
        <v>45863</v>
      </c>
      <c r="R1885" s="109">
        <v>28.5</v>
      </c>
      <c r="S1885" s="11">
        <f ca="1"/>
        <v>28.5</v>
      </c>
      <c r="T1885" s="28">
        <f ca="1"/>
        <v>3.42</v>
      </c>
      <c r="U1885" s="11">
        <f ca="1"/>
        <v>25.08</v>
      </c>
      <c r="V1885" s="11">
        <v>18.57</v>
      </c>
      <c r="W1885" s="11">
        <f ca="1"/>
        <v>0</v>
      </c>
      <c r="X1885" s="11">
        <f ca="1"/>
        <v>0.39877104377104378</v>
      </c>
      <c r="Y1885" s="11">
        <v>0</v>
      </c>
      <c r="Z1885" s="11">
        <f ca="1"/>
        <v>6.1112289562289526</v>
      </c>
      <c r="AA1885" s="11">
        <f ca="1"/>
        <v>3.0556144781144763</v>
      </c>
      <c r="AB1885" s="4">
        <f ca="1"/>
        <v>45870</v>
      </c>
      <c r="AC1885" s="4">
        <v>45870</v>
      </c>
      <c r="AD1885" s="9">
        <v>45870</v>
      </c>
      <c r="AE1885" s="9">
        <v>45873</v>
      </c>
      <c r="AF1885" s="4" t="str">
        <f t="shared" ca="1" si="138"/>
        <v>2025 08</v>
      </c>
      <c r="AG1885" s="8" t="str" cm="1">
        <f t="array" ref="AG1885">IFERROR(_xlfn.IFS('Banco de Dados'!#REF!="AG. COMPRA","Em processamento",'Banco de Dados'!#REF!="AG. RASTREIO","Em processamento",'Banco de Dados'!$AE1885&lt;&gt;"-","Faturado",'Banco de Dados'!$AD1885&lt;&gt;"-","Aguardando Pix",'Banco de Dados'!$AC1885&lt;&gt;"-","Pendente"),"Aguardando Liberação")</f>
        <v>Aguardando Liberação</v>
      </c>
      <c r="AH1885" s="5" t="str">
        <f>IF('Banco de Dados'!$F1885="-",_xlfn.CONCAT(PROPER(TEXT(AK1885,"aaaa"))," ",PROPER(TEXT(AK1885,"mm"))),_xlfn.CONCAT(PROPER(TEXT(E1885,"aaaa"))," ",PROPER(TEXT(E1885,"mm"))))</f>
        <v>2025 07</v>
      </c>
      <c r="AI1885" s="9" t="str">
        <f ca="1">IF('Banco de Dados'!$AK1885&lt;&gt;"-","REEMBOLSO",IFERROR(_xlfn.XLOOKUP(G1885,Follow[CODRASTREIO],Follow[STATUS]),"-"))</f>
        <v>ENTREGUE</v>
      </c>
      <c r="AJ1885" s="9">
        <f ca="1">IF('Banco de Dados'!$AI1885="ENTREGUE",_xlfn.XLOOKUP('Banco de Dados'!$G1885,Follow[CODRASTREIO],Follow[DATAATUALIZAÇÃO]),"-")</f>
        <v>45848</v>
      </c>
      <c r="AK1885" s="132" t="str">
        <f ca="1"/>
        <v>-</v>
      </c>
      <c r="AL1885" s="35"/>
      <c r="AM1885" s="109" cm="1">
        <f t="array" aca="1" ref="AM1885" ca="1">IF('Banco de Dados'!$AK1885&lt;&gt;"-",_xlfn.IFS('Banco de Dados'!$A1885="bv",IF('Banco de Dados'!$E1885&lt;45641,ROUND(SUM('Banco de Dados'!$R1885*_xlfn.XLOOKUP('Banco de Dados'!$P1885,Sku!B:B,Sku!#REF!)*20%),2),ROUND(SUM('Banco de Dados'!$R1885*_xlfn.XLOOKUP('Banco de Dados'!$P1885,Sku!B:B,Sku!H:H)*20%),2)),'Banco de Dados'!$A1885="GO",ROUND(_xlfn.XLOOKUP('Banco de Dados'!$P1885,Sku!C:C,Sku!H:H),2),'Banco de Dados'!$A1885="MEI",ROUND(_xlfn.XLOOKUP('Banco de Dados'!$P1885,Sku!D:D,Sku!H:H),2)),0)</f>
        <v>0</v>
      </c>
      <c r="AN1885" s="109">
        <v>0</v>
      </c>
      <c r="AO1885" s="109">
        <v>0</v>
      </c>
      <c r="AP1885" s="28">
        <f ca="1">IF('Banco de Dados'!$AK1885&lt;&gt;"-",IF('Banco de Dados'!$AL1885="NÃO",IFERROR(VALUE(SUBSTITUTE(_xlfn.TEXTAFTER('Banco de Dados'!$F1885,"BRL ",1),".",",")),0),0),0)</f>
        <v>0</v>
      </c>
      <c r="AQ1885" s="28">
        <f ca="1">SUM('Banco de Dados'!$AM1885:$AP1885)</f>
        <v>0</v>
      </c>
      <c r="AR1885" s="8"/>
      <c r="AS1885" s="8"/>
      <c r="AT1885"/>
      <c r="AY1885" s="8"/>
    </row>
    <row r="1886" spans="1:51">
      <c r="A1886" s="5" t="str">
        <v>BV</v>
      </c>
      <c r="B1886" s="5" t="str">
        <f ca="1"/>
        <v>BV45845</v>
      </c>
      <c r="C1886" s="8" t="str">
        <v>Pedido 1872</v>
      </c>
      <c r="D1886" s="187">
        <v>45844</v>
      </c>
      <c r="E1886" s="9">
        <v>45845</v>
      </c>
      <c r="F1886" s="2" t="str">
        <v>PedidoF1757</v>
      </c>
      <c r="G1886" s="2" t="str">
        <v>CódRastreio1755</v>
      </c>
      <c r="H1886" s="5">
        <v>1</v>
      </c>
      <c r="I1886" s="182" t="str">
        <v>CPF 1828</v>
      </c>
      <c r="J1886" s="2" t="str">
        <v>Nome 1828</v>
      </c>
      <c r="K1886" s="8" t="str">
        <v>Tel 1828</v>
      </c>
      <c r="L1886" s="184" t="str">
        <v>Cep 1828</v>
      </c>
      <c r="M1886" s="8" t="str">
        <v>Rua 1828</v>
      </c>
      <c r="N1886" s="8" t="str">
        <v>Comp 1828</v>
      </c>
      <c r="O1886" s="8" t="str">
        <v>Bolsa térmica</v>
      </c>
      <c r="P1886" s="8" t="str">
        <v>6I-CK1S-8HYZ</v>
      </c>
      <c r="Q1886" s="4">
        <v>45857</v>
      </c>
      <c r="R1886" s="109">
        <v>28.5</v>
      </c>
      <c r="S1886" s="11">
        <f ca="1"/>
        <v>28.5</v>
      </c>
      <c r="T1886" s="28">
        <f ca="1"/>
        <v>3.42</v>
      </c>
      <c r="U1886" s="11">
        <f ca="1"/>
        <v>25.08</v>
      </c>
      <c r="V1886" s="11">
        <v>18.420000000000002</v>
      </c>
      <c r="W1886" s="11">
        <f ca="1"/>
        <v>0</v>
      </c>
      <c r="X1886" s="11">
        <f ca="1"/>
        <v>0.39877104377104378</v>
      </c>
      <c r="Y1886" s="11">
        <v>0</v>
      </c>
      <c r="Z1886" s="11">
        <f ca="1"/>
        <v>6.2612289562289511</v>
      </c>
      <c r="AA1886" s="11">
        <f ca="1"/>
        <v>3.1306144781144756</v>
      </c>
      <c r="AB1886" s="4">
        <f ca="1"/>
        <v>45864</v>
      </c>
      <c r="AC1886" s="4">
        <v>45864</v>
      </c>
      <c r="AD1886" s="9">
        <v>45870</v>
      </c>
      <c r="AE1886" s="9">
        <v>45873</v>
      </c>
      <c r="AF1886" s="4" t="str">
        <f t="shared" ca="1" si="138"/>
        <v>2025 07</v>
      </c>
      <c r="AG1886" s="8" t="str" cm="1">
        <f t="array" ref="AG1886">IFERROR(_xlfn.IFS('Banco de Dados'!#REF!="AG. COMPRA","Em processamento",'Banco de Dados'!#REF!="AG. RASTREIO","Em processamento",'Banco de Dados'!$AE1886&lt;&gt;"-","Faturado",'Banco de Dados'!$AD1886&lt;&gt;"-","Aguardando Pix",'Banco de Dados'!$AC1886&lt;&gt;"-","Pendente"),"Aguardando Liberação")</f>
        <v>Aguardando Liberação</v>
      </c>
      <c r="AH1886" s="5" t="str">
        <f>IF('Banco de Dados'!$F1886="-",_xlfn.CONCAT(PROPER(TEXT(AK1886,"aaaa"))," ",PROPER(TEXT(AK1886,"mm"))),_xlfn.CONCAT(PROPER(TEXT(E1886,"aaaa"))," ",PROPER(TEXT(E1886,"mm"))))</f>
        <v>2025 07</v>
      </c>
      <c r="AI1886" s="9" t="str">
        <f ca="1">IF('Banco de Dados'!$AK1886&lt;&gt;"-","REEMBOLSO",IFERROR(_xlfn.XLOOKUP(G1886,Follow[CODRASTREIO],Follow[STATUS]),"-"))</f>
        <v>ENTREGUE</v>
      </c>
      <c r="AJ1886" s="9">
        <f ca="1">IF('Banco de Dados'!$AI1886="ENTREGUE",_xlfn.XLOOKUP('Banco de Dados'!$G1886,Follow[CODRASTREIO],Follow[DATAATUALIZAÇÃO]),"-")</f>
        <v>45847</v>
      </c>
      <c r="AK1886" s="132" t="str">
        <f ca="1"/>
        <v>-</v>
      </c>
      <c r="AL1886" s="35"/>
      <c r="AM1886" s="109" cm="1">
        <f t="array" aca="1" ref="AM1886" ca="1">IF('Banco de Dados'!$AK1886&lt;&gt;"-",_xlfn.IFS('Banco de Dados'!$A1886="bv",IF('Banco de Dados'!$E1886&lt;45641,ROUND(SUM('Banco de Dados'!$R1886*_xlfn.XLOOKUP('Banco de Dados'!$P1886,Sku!B:B,Sku!#REF!)*20%),2),ROUND(SUM('Banco de Dados'!$R1886*_xlfn.XLOOKUP('Banco de Dados'!$P1886,Sku!B:B,Sku!H:H)*20%),2)),'Banco de Dados'!$A1886="GO",ROUND(_xlfn.XLOOKUP('Banco de Dados'!$P1886,Sku!C:C,Sku!H:H),2),'Banco de Dados'!$A1886="MEI",ROUND(_xlfn.XLOOKUP('Banco de Dados'!$P1886,Sku!D:D,Sku!H:H),2)),0)</f>
        <v>0</v>
      </c>
      <c r="AN1886" s="109">
        <v>0</v>
      </c>
      <c r="AO1886" s="109">
        <v>0</v>
      </c>
      <c r="AP1886" s="28">
        <f ca="1">IF('Banco de Dados'!$AK1886&lt;&gt;"-",IF('Banco de Dados'!$AL1886="NÃO",IFERROR(VALUE(SUBSTITUTE(_xlfn.TEXTAFTER('Banco de Dados'!$F1886,"BRL ",1),".",",")),0),0),0)</f>
        <v>0</v>
      </c>
      <c r="AQ1886" s="28">
        <f ca="1">SUM('Banco de Dados'!$AM1886:$AP1886)</f>
        <v>0</v>
      </c>
      <c r="AR1886" s="8"/>
      <c r="AS1886" s="8"/>
      <c r="AT1886"/>
      <c r="AY1886" s="8"/>
    </row>
    <row r="1887" spans="1:51">
      <c r="A1887" s="5" t="str">
        <v>BV</v>
      </c>
      <c r="B1887" s="5" t="str">
        <f ca="1"/>
        <v>BV45845</v>
      </c>
      <c r="C1887" s="8" t="str">
        <v>Pedido 1873</v>
      </c>
      <c r="D1887" s="187">
        <v>45844</v>
      </c>
      <c r="E1887" s="9">
        <v>45845</v>
      </c>
      <c r="F1887" s="2" t="str">
        <v>PedidoF1758</v>
      </c>
      <c r="G1887" s="2" t="str">
        <v>CódRastreio1756</v>
      </c>
      <c r="H1887" s="5">
        <v>1</v>
      </c>
      <c r="I1887" s="182" t="str">
        <v>CPF 1829</v>
      </c>
      <c r="J1887" s="2" t="str">
        <v>Nome 1829</v>
      </c>
      <c r="K1887" s="8" t="str">
        <v>Tel 1829</v>
      </c>
      <c r="L1887" s="8" t="str">
        <v>Cep 1829</v>
      </c>
      <c r="M1887" s="8" t="str">
        <v>Rua 1829</v>
      </c>
      <c r="N1887" s="8" t="str">
        <v>Comp 1829</v>
      </c>
      <c r="O1887" s="8" t="str">
        <v>Máquina de cortar cabelo dragão</v>
      </c>
      <c r="P1887" s="8" t="str">
        <v>HG-2FNR-01A9</v>
      </c>
      <c r="Q1887" s="4">
        <v>45857</v>
      </c>
      <c r="R1887" s="109">
        <v>23</v>
      </c>
      <c r="S1887" s="11">
        <f ca="1"/>
        <v>23</v>
      </c>
      <c r="T1887" s="28">
        <f ca="1"/>
        <v>2.76</v>
      </c>
      <c r="U1887" s="11">
        <f ca="1"/>
        <v>20.239999999999998</v>
      </c>
      <c r="V1887" s="11">
        <v>14.42</v>
      </c>
      <c r="W1887" s="11">
        <f ca="1"/>
        <v>0</v>
      </c>
      <c r="X1887" s="11">
        <f ca="1"/>
        <v>0.39877104377104378</v>
      </c>
      <c r="Y1887" s="11">
        <v>0</v>
      </c>
      <c r="Z1887" s="11">
        <f ca="1"/>
        <v>5.4212289562289548</v>
      </c>
      <c r="AA1887" s="11">
        <f ca="1"/>
        <v>2.7106144781144774</v>
      </c>
      <c r="AB1887" s="4">
        <f ca="1"/>
        <v>45864</v>
      </c>
      <c r="AC1887" s="4">
        <v>45864</v>
      </c>
      <c r="AD1887" s="9">
        <v>45870</v>
      </c>
      <c r="AE1887" s="9">
        <v>45873</v>
      </c>
      <c r="AF1887" s="4" t="str">
        <f t="shared" ca="1" si="138"/>
        <v>2025 07</v>
      </c>
      <c r="AG1887" s="8" t="str" cm="1">
        <f t="array" ref="AG1887">IFERROR(_xlfn.IFS('Banco de Dados'!#REF!="AG. COMPRA","Em processamento",'Banco de Dados'!#REF!="AG. RASTREIO","Em processamento",'Banco de Dados'!$AE1887&lt;&gt;"-","Faturado",'Banco de Dados'!$AD1887&lt;&gt;"-","Aguardando Pix",'Banco de Dados'!$AC1887&lt;&gt;"-","Pendente"),"Aguardando Liberação")</f>
        <v>Aguardando Liberação</v>
      </c>
      <c r="AH1887" s="5" t="str">
        <f>IF('Banco de Dados'!$F1887="-",_xlfn.CONCAT(PROPER(TEXT(AK1887,"aaaa"))," ",PROPER(TEXT(AK1887,"mm"))),_xlfn.CONCAT(PROPER(TEXT(E1887,"aaaa"))," ",PROPER(TEXT(E1887,"mm"))))</f>
        <v>2025 07</v>
      </c>
      <c r="AI1887" s="9" t="str">
        <f ca="1">IF('Banco de Dados'!$AK1887&lt;&gt;"-","REEMBOLSO",IFERROR(_xlfn.XLOOKUP(G1887,Follow[CODRASTREIO],Follow[STATUS]),"-"))</f>
        <v>ENTREGUE</v>
      </c>
      <c r="AJ1887" s="9">
        <f ca="1">IF('Banco de Dados'!$AI1887="ENTREGUE",_xlfn.XLOOKUP('Banco de Dados'!$G1887,Follow[CODRASTREIO],Follow[DATAATUALIZAÇÃO]),"-")</f>
        <v>45848</v>
      </c>
      <c r="AK1887" s="132" t="str">
        <f ca="1"/>
        <v>-</v>
      </c>
      <c r="AL1887" s="35"/>
      <c r="AM1887" s="109" cm="1">
        <f t="array" aca="1" ref="AM1887" ca="1">IF('Banco de Dados'!$AK1887&lt;&gt;"-",_xlfn.IFS('Banco de Dados'!$A1887="bv",IF('Banco de Dados'!$E1887&lt;45641,ROUND(SUM('Banco de Dados'!$R1887*_xlfn.XLOOKUP('Banco de Dados'!$P1887,Sku!B:B,Sku!#REF!)*20%),2),ROUND(SUM('Banco de Dados'!$R1887*_xlfn.XLOOKUP('Banco de Dados'!$P1887,Sku!B:B,Sku!H:H)*20%),2)),'Banco de Dados'!$A1887="GO",ROUND(_xlfn.XLOOKUP('Banco de Dados'!$P1887,Sku!C:C,Sku!H:H),2),'Banco de Dados'!$A1887="MEI",ROUND(_xlfn.XLOOKUP('Banco de Dados'!$P1887,Sku!D:D,Sku!H:H),2)),0)</f>
        <v>0</v>
      </c>
      <c r="AN1887" s="109">
        <v>0</v>
      </c>
      <c r="AO1887" s="109">
        <v>0</v>
      </c>
      <c r="AP1887" s="28">
        <f ca="1">IF('Banco de Dados'!$AK1887&lt;&gt;"-",IF('Banco de Dados'!$AL1887="NÃO",IFERROR(VALUE(SUBSTITUTE(_xlfn.TEXTAFTER('Banco de Dados'!$F1887,"BRL ",1),".",",")),0),0),0)</f>
        <v>0</v>
      </c>
      <c r="AQ1887" s="28">
        <f ca="1">SUM('Banco de Dados'!$AM1887:$AP1887)</f>
        <v>0</v>
      </c>
      <c r="AR1887" s="8"/>
      <c r="AS1887" s="8"/>
      <c r="AT1887"/>
      <c r="AY1887" s="8"/>
    </row>
    <row r="1888" spans="1:51">
      <c r="A1888" s="5" t="str">
        <v>BV</v>
      </c>
      <c r="B1888" s="5" t="str">
        <f ca="1"/>
        <v>BV45845</v>
      </c>
      <c r="C1888" s="8" t="str">
        <v>Pedido 1874</v>
      </c>
      <c r="D1888" s="187">
        <v>45844</v>
      </c>
      <c r="E1888" s="9">
        <v>45845</v>
      </c>
      <c r="F1888" s="2" t="str">
        <v>PedidoF1759</v>
      </c>
      <c r="G1888" s="2" t="str">
        <v>CódRastreio1757</v>
      </c>
      <c r="H1888" s="5">
        <v>1</v>
      </c>
      <c r="I1888" s="182" t="str">
        <v>CPF 1830</v>
      </c>
      <c r="J1888" s="2" t="str">
        <v>Nome 1830</v>
      </c>
      <c r="K1888" s="8" t="str">
        <v>Tel 1830</v>
      </c>
      <c r="L1888" s="8" t="str">
        <v>Cep 1830</v>
      </c>
      <c r="M1888" s="8" t="str">
        <v>Rua 1830</v>
      </c>
      <c r="N1888" s="8" t="str">
        <v>Comp 1830</v>
      </c>
      <c r="O1888" s="8" t="str">
        <v>Bolsa térmica</v>
      </c>
      <c r="P1888" s="8" t="str">
        <v>6I-CK1S-8HYZ</v>
      </c>
      <c r="Q1888" s="4">
        <v>45861</v>
      </c>
      <c r="R1888" s="109">
        <v>28.5</v>
      </c>
      <c r="S1888" s="11">
        <f ca="1"/>
        <v>28.5</v>
      </c>
      <c r="T1888" s="28">
        <f ca="1"/>
        <v>3.42</v>
      </c>
      <c r="U1888" s="11">
        <f ca="1"/>
        <v>25.08</v>
      </c>
      <c r="V1888" s="11">
        <v>19.309999999999999</v>
      </c>
      <c r="W1888" s="11">
        <f ca="1"/>
        <v>0</v>
      </c>
      <c r="X1888" s="11">
        <f ca="1"/>
        <v>0.39877104377104378</v>
      </c>
      <c r="Y1888" s="11">
        <v>0</v>
      </c>
      <c r="Z1888" s="11">
        <f ca="1"/>
        <v>5.3712289562289541</v>
      </c>
      <c r="AA1888" s="11">
        <f ca="1"/>
        <v>2.6856144781144771</v>
      </c>
      <c r="AB1888" s="4">
        <f ca="1"/>
        <v>45868</v>
      </c>
      <c r="AC1888" s="4">
        <v>45868</v>
      </c>
      <c r="AD1888" s="9">
        <v>45870</v>
      </c>
      <c r="AE1888" s="9">
        <v>45873</v>
      </c>
      <c r="AF1888" s="4" t="str">
        <f t="shared" ca="1" si="138"/>
        <v>2025 07</v>
      </c>
      <c r="AG1888" s="8" t="str" cm="1">
        <f t="array" ref="AG1888">IFERROR(_xlfn.IFS('Banco de Dados'!#REF!="AG. COMPRA","Em processamento",'Banco de Dados'!#REF!="AG. RASTREIO","Em processamento",'Banco de Dados'!$AE1888&lt;&gt;"-","Faturado",'Banco de Dados'!$AD1888&lt;&gt;"-","Aguardando Pix",'Banco de Dados'!$AC1888&lt;&gt;"-","Pendente"),"Aguardando Liberação")</f>
        <v>Aguardando Liberação</v>
      </c>
      <c r="AH1888" s="5" t="str">
        <f>IF('Banco de Dados'!$F1888="-",_xlfn.CONCAT(PROPER(TEXT(AK1888,"aaaa"))," ",PROPER(TEXT(AK1888,"mm"))),_xlfn.CONCAT(PROPER(TEXT(E1888,"aaaa"))," ",PROPER(TEXT(E1888,"mm"))))</f>
        <v>2025 07</v>
      </c>
      <c r="AI1888" s="9" t="str">
        <f ca="1">IF('Banco de Dados'!$AK1888&lt;&gt;"-","REEMBOLSO",IFERROR(_xlfn.XLOOKUP(G1888,Follow[CODRASTREIO],Follow[STATUS]),"-"))</f>
        <v>ENTREGUE</v>
      </c>
      <c r="AJ1888" s="9">
        <f ca="1">IF('Banco de Dados'!$AI1888="ENTREGUE",_xlfn.XLOOKUP('Banco de Dados'!$G1888,Follow[CODRASTREIO],Follow[DATAATUALIZAÇÃO]),"-")</f>
        <v>45848</v>
      </c>
      <c r="AK1888" s="132" t="str">
        <f ca="1"/>
        <v>-</v>
      </c>
      <c r="AL1888" s="35"/>
      <c r="AM1888" s="109" cm="1">
        <f t="array" aca="1" ref="AM1888" ca="1">IF('Banco de Dados'!$AK1888&lt;&gt;"-",_xlfn.IFS('Banco de Dados'!$A1888="bv",IF('Banco de Dados'!$E1888&lt;45641,ROUND(SUM('Banco de Dados'!$R1888*_xlfn.XLOOKUP('Banco de Dados'!$P1888,Sku!B:B,Sku!#REF!)*20%),2),ROUND(SUM('Banco de Dados'!$R1888*_xlfn.XLOOKUP('Banco de Dados'!$P1888,Sku!B:B,Sku!H:H)*20%),2)),'Banco de Dados'!$A1888="GO",ROUND(_xlfn.XLOOKUP('Banco de Dados'!$P1888,Sku!C:C,Sku!H:H),2),'Banco de Dados'!$A1888="MEI",ROUND(_xlfn.XLOOKUP('Banco de Dados'!$P1888,Sku!D:D,Sku!H:H),2)),0)</f>
        <v>0</v>
      </c>
      <c r="AN1888" s="109">
        <v>0</v>
      </c>
      <c r="AO1888" s="109">
        <v>0</v>
      </c>
      <c r="AP1888" s="28">
        <f ca="1">IF('Banco de Dados'!$AK1888&lt;&gt;"-",IF('Banco de Dados'!$AL1888="NÃO",IFERROR(VALUE(SUBSTITUTE(_xlfn.TEXTAFTER('Banco de Dados'!$F1888,"BRL ",1),".",",")),0),0),0)</f>
        <v>0</v>
      </c>
      <c r="AQ1888" s="28">
        <f ca="1">SUM('Banco de Dados'!$AM1888:$AP1888)</f>
        <v>0</v>
      </c>
      <c r="AR1888" s="8"/>
      <c r="AS1888" s="8"/>
      <c r="AT1888"/>
      <c r="AY1888" s="8"/>
    </row>
    <row r="1889" spans="1:51">
      <c r="A1889" s="5" t="str">
        <v>BV</v>
      </c>
      <c r="B1889" s="5" t="str">
        <f ca="1"/>
        <v>BV45845</v>
      </c>
      <c r="C1889" s="8" t="str">
        <v>Pedido 1875</v>
      </c>
      <c r="D1889" s="187">
        <v>45844</v>
      </c>
      <c r="E1889" s="9">
        <v>45845</v>
      </c>
      <c r="F1889" s="2" t="str">
        <v>PedidoF1760</v>
      </c>
      <c r="G1889" s="2" t="str">
        <v>CódRastreio1758</v>
      </c>
      <c r="H1889" s="5">
        <v>1</v>
      </c>
      <c r="I1889" s="182" t="str">
        <v>CPF 1831</v>
      </c>
      <c r="J1889" s="2" t="str">
        <v>Nome 1831</v>
      </c>
      <c r="K1889" s="8" t="str">
        <v>Tel 1831</v>
      </c>
      <c r="L1889" s="8" t="str">
        <v>Cep 1831</v>
      </c>
      <c r="M1889" s="8" t="str">
        <v>Rua 1831</v>
      </c>
      <c r="N1889" s="8" t="str">
        <v>Comp 1831</v>
      </c>
      <c r="O1889" s="8" t="str">
        <v>Bolsa térmica</v>
      </c>
      <c r="P1889" s="8" t="str">
        <v>6I-CK1S-8HYZ</v>
      </c>
      <c r="Q1889" s="4">
        <v>45863</v>
      </c>
      <c r="R1889" s="109">
        <v>28.5</v>
      </c>
      <c r="S1889" s="11">
        <f ca="1"/>
        <v>28.5</v>
      </c>
      <c r="T1889" s="28">
        <f ca="1"/>
        <v>3.42</v>
      </c>
      <c r="U1889" s="11">
        <f ca="1"/>
        <v>25.08</v>
      </c>
      <c r="V1889" s="11">
        <v>20.09</v>
      </c>
      <c r="W1889" s="11">
        <f ca="1"/>
        <v>0</v>
      </c>
      <c r="X1889" s="11">
        <f ca="1"/>
        <v>0.39877104377104378</v>
      </c>
      <c r="Y1889" s="11">
        <v>0</v>
      </c>
      <c r="Z1889" s="11">
        <f ca="1"/>
        <v>4.591228956228953</v>
      </c>
      <c r="AA1889" s="11">
        <f ca="1"/>
        <v>2.2956144781144765</v>
      </c>
      <c r="AB1889" s="4">
        <f ca="1"/>
        <v>45870</v>
      </c>
      <c r="AC1889" s="4">
        <v>45870</v>
      </c>
      <c r="AD1889" s="9">
        <v>45870</v>
      </c>
      <c r="AE1889" s="9">
        <v>45873</v>
      </c>
      <c r="AF1889" s="4" t="str">
        <f t="shared" ca="1" si="138"/>
        <v>2025 08</v>
      </c>
      <c r="AG1889" s="8" t="str" cm="1">
        <f t="array" ref="AG1889">IFERROR(_xlfn.IFS('Banco de Dados'!#REF!="AG. COMPRA","Em processamento",'Banco de Dados'!#REF!="AG. RASTREIO","Em processamento",'Banco de Dados'!$AE1889&lt;&gt;"-","Faturado",'Banco de Dados'!$AD1889&lt;&gt;"-","Aguardando Pix",'Banco de Dados'!$AC1889&lt;&gt;"-","Pendente"),"Aguardando Liberação")</f>
        <v>Aguardando Liberação</v>
      </c>
      <c r="AH1889" s="5" t="str">
        <f>IF('Banco de Dados'!$F1889="-",_xlfn.CONCAT(PROPER(TEXT(AK1889,"aaaa"))," ",PROPER(TEXT(AK1889,"mm"))),_xlfn.CONCAT(PROPER(TEXT(E1889,"aaaa"))," ",PROPER(TEXT(E1889,"mm"))))</f>
        <v>2025 07</v>
      </c>
      <c r="AI1889" s="9" t="str">
        <f ca="1">IF('Banco de Dados'!$AK1889&lt;&gt;"-","REEMBOLSO",IFERROR(_xlfn.XLOOKUP(G1889,Follow[CODRASTREIO],Follow[STATUS]),"-"))</f>
        <v>ENTREGUE</v>
      </c>
      <c r="AJ1889" s="9">
        <f ca="1">IF('Banco de Dados'!$AI1889="ENTREGUE",_xlfn.XLOOKUP('Banco de Dados'!$G1889,Follow[CODRASTREIO],Follow[DATAATUALIZAÇÃO]),"-")</f>
        <v>45849</v>
      </c>
      <c r="AK1889" s="132" t="str">
        <f ca="1"/>
        <v>-</v>
      </c>
      <c r="AL1889" s="35"/>
      <c r="AM1889" s="109" cm="1">
        <f t="array" aca="1" ref="AM1889" ca="1">IF('Banco de Dados'!$AK1889&lt;&gt;"-",_xlfn.IFS('Banco de Dados'!$A1889="bv",IF('Banco de Dados'!$E1889&lt;45641,ROUND(SUM('Banco de Dados'!$R1889*_xlfn.XLOOKUP('Banco de Dados'!$P1889,Sku!B:B,Sku!#REF!)*20%),2),ROUND(SUM('Banco de Dados'!$R1889*_xlfn.XLOOKUP('Banco de Dados'!$P1889,Sku!B:B,Sku!H:H)*20%),2)),'Banco de Dados'!$A1889="GO",ROUND(_xlfn.XLOOKUP('Banco de Dados'!$P1889,Sku!C:C,Sku!H:H),2),'Banco de Dados'!$A1889="MEI",ROUND(_xlfn.XLOOKUP('Banco de Dados'!$P1889,Sku!D:D,Sku!H:H),2)),0)</f>
        <v>0</v>
      </c>
      <c r="AN1889" s="109">
        <v>0</v>
      </c>
      <c r="AO1889" s="109">
        <v>0</v>
      </c>
      <c r="AP1889" s="28">
        <f ca="1">IF('Banco de Dados'!$AK1889&lt;&gt;"-",IF('Banco de Dados'!$AL1889="NÃO",IFERROR(VALUE(SUBSTITUTE(_xlfn.TEXTAFTER('Banco de Dados'!$F1889,"BRL ",1),".",",")),0),0),0)</f>
        <v>0</v>
      </c>
      <c r="AQ1889" s="28">
        <f ca="1">SUM('Banco de Dados'!$AM1889:$AP1889)</f>
        <v>0</v>
      </c>
      <c r="AR1889" s="8"/>
      <c r="AS1889" s="8"/>
      <c r="AT1889"/>
      <c r="AY1889" s="8"/>
    </row>
    <row r="1890" spans="1:51">
      <c r="A1890" s="5" t="str">
        <v>BV</v>
      </c>
      <c r="B1890" s="5" t="str">
        <f ca="1"/>
        <v>BV45845</v>
      </c>
      <c r="C1890" s="8" t="str">
        <v>Pedido 1876</v>
      </c>
      <c r="D1890" s="187">
        <v>45845</v>
      </c>
      <c r="E1890" s="9">
        <v>45845</v>
      </c>
      <c r="F1890" s="2" t="str">
        <v>PedidoF1761</v>
      </c>
      <c r="G1890" s="2" t="str">
        <v>CódRastreio1759</v>
      </c>
      <c r="H1890" s="5">
        <v>2</v>
      </c>
      <c r="I1890" s="182" t="str">
        <v>CPF 1832</v>
      </c>
      <c r="J1890" s="2" t="str">
        <v>Nome 1832</v>
      </c>
      <c r="K1890" s="8" t="str">
        <v>Tel 1832</v>
      </c>
      <c r="L1890" s="8" t="str">
        <v>Cep 1832</v>
      </c>
      <c r="M1890" s="8" t="str">
        <v>Rua 1832</v>
      </c>
      <c r="N1890" s="8" t="str">
        <v>Comp 1832</v>
      </c>
      <c r="O1890" s="8" t="str">
        <v>Bolsa térmica</v>
      </c>
      <c r="P1890" s="8" t="str">
        <v>6I-CK1S-8HYZ</v>
      </c>
      <c r="Q1890" s="4">
        <v>45861</v>
      </c>
      <c r="R1890" s="109">
        <v>57</v>
      </c>
      <c r="S1890" s="11">
        <f ca="1"/>
        <v>57</v>
      </c>
      <c r="T1890" s="28">
        <f ca="1"/>
        <v>6.84</v>
      </c>
      <c r="U1890" s="11">
        <f ca="1"/>
        <v>50.16</v>
      </c>
      <c r="V1890" s="11">
        <v>36.96</v>
      </c>
      <c r="W1890" s="11">
        <f ca="1"/>
        <v>0</v>
      </c>
      <c r="X1890" s="11">
        <f ca="1"/>
        <v>0.39877104377104378</v>
      </c>
      <c r="Y1890" s="11">
        <v>0</v>
      </c>
      <c r="Z1890" s="11">
        <f ca="1"/>
        <v>12.801228956228954</v>
      </c>
      <c r="AA1890" s="11">
        <f ca="1"/>
        <v>6.4006144781144769</v>
      </c>
      <c r="AB1890" s="4">
        <f ca="1"/>
        <v>45868</v>
      </c>
      <c r="AC1890" s="4">
        <v>45868</v>
      </c>
      <c r="AD1890" s="9">
        <v>45870</v>
      </c>
      <c r="AE1890" s="9">
        <v>45873</v>
      </c>
      <c r="AF1890" s="4" t="str">
        <f t="shared" ca="1" si="138"/>
        <v>2025 07</v>
      </c>
      <c r="AG1890" s="8" t="str" cm="1">
        <f t="array" ref="AG1890">IFERROR(_xlfn.IFS('Banco de Dados'!#REF!="AG. COMPRA","Em processamento",'Banco de Dados'!#REF!="AG. RASTREIO","Em processamento",'Banco de Dados'!$AE1890&lt;&gt;"-","Faturado",'Banco de Dados'!$AD1890&lt;&gt;"-","Aguardando Pix",'Banco de Dados'!$AC1890&lt;&gt;"-","Pendente"),"Aguardando Liberação")</f>
        <v>Aguardando Liberação</v>
      </c>
      <c r="AH1890" s="5" t="str">
        <f>IF('Banco de Dados'!$F1890="-",_xlfn.CONCAT(PROPER(TEXT(AK1890,"aaaa"))," ",PROPER(TEXT(AK1890,"mm"))),_xlfn.CONCAT(PROPER(TEXT(E1890,"aaaa"))," ",PROPER(TEXT(E1890,"mm"))))</f>
        <v>2025 07</v>
      </c>
      <c r="AI1890" s="9" t="str">
        <f ca="1">IF('Banco de Dados'!$AK1890&lt;&gt;"-","REEMBOLSO",IFERROR(_xlfn.XLOOKUP(G1890,Follow[CODRASTREIO],Follow[STATUS]),"-"))</f>
        <v>ENTREGUE</v>
      </c>
      <c r="AJ1890" s="9">
        <f ca="1">IF('Banco de Dados'!$AI1890="ENTREGUE",_xlfn.XLOOKUP('Banco de Dados'!$G1890,Follow[CODRASTREIO],Follow[DATAATUALIZAÇÃO]),"-")</f>
        <v>45849</v>
      </c>
      <c r="AK1890" s="132" t="str">
        <f ca="1"/>
        <v>-</v>
      </c>
      <c r="AL1890" s="35"/>
      <c r="AM1890" s="109" cm="1">
        <f t="array" aca="1" ref="AM1890" ca="1">IF('Banco de Dados'!$AK1890&lt;&gt;"-",_xlfn.IFS('Banco de Dados'!$A1890="bv",IF('Banco de Dados'!$E1890&lt;45641,ROUND(SUM('Banco de Dados'!$R1890*_xlfn.XLOOKUP('Banco de Dados'!$P1890,Sku!B:B,Sku!#REF!)*20%),2),ROUND(SUM('Banco de Dados'!$R1890*_xlfn.XLOOKUP('Banco de Dados'!$P1890,Sku!B:B,Sku!H:H)*20%),2)),'Banco de Dados'!$A1890="GO",ROUND(_xlfn.XLOOKUP('Banco de Dados'!$P1890,Sku!C:C,Sku!H:H),2),'Banco de Dados'!$A1890="MEI",ROUND(_xlfn.XLOOKUP('Banco de Dados'!$P1890,Sku!D:D,Sku!H:H),2)),0)</f>
        <v>0</v>
      </c>
      <c r="AN1890" s="109">
        <v>0</v>
      </c>
      <c r="AO1890" s="109">
        <v>0</v>
      </c>
      <c r="AP1890" s="28">
        <f ca="1">IF('Banco de Dados'!$AK1890&lt;&gt;"-",IF('Banco de Dados'!$AL1890="NÃO",IFERROR(VALUE(SUBSTITUTE(_xlfn.TEXTAFTER('Banco de Dados'!$F1890,"BRL ",1),".",",")),0),0),0)</f>
        <v>0</v>
      </c>
      <c r="AQ1890" s="28">
        <f ca="1">SUM('Banco de Dados'!$AM1890:$AP1890)</f>
        <v>0</v>
      </c>
      <c r="AR1890" s="8"/>
      <c r="AS1890" s="8"/>
      <c r="AT1890"/>
      <c r="AY1890" s="8"/>
    </row>
    <row r="1891" spans="1:51">
      <c r="A1891" s="5" t="str">
        <v>BV</v>
      </c>
      <c r="B1891" s="5" t="str">
        <f ca="1"/>
        <v>BV45845</v>
      </c>
      <c r="C1891" s="8" t="str">
        <v>Pedido 1877</v>
      </c>
      <c r="D1891" s="187">
        <v>45845</v>
      </c>
      <c r="E1891" s="9">
        <v>45845</v>
      </c>
      <c r="F1891" s="2" t="str">
        <v>PedidoF1762</v>
      </c>
      <c r="G1891" s="2" t="str">
        <v>CódRastreio1760</v>
      </c>
      <c r="H1891" s="5">
        <v>1</v>
      </c>
      <c r="I1891" s="182" t="str">
        <v>CPF 1833</v>
      </c>
      <c r="J1891" s="2" t="str">
        <v>Nome 1833</v>
      </c>
      <c r="K1891" s="8" t="str">
        <v>Tel 1833</v>
      </c>
      <c r="L1891" s="8" t="str">
        <v>Cep 1833</v>
      </c>
      <c r="M1891" s="8" t="str">
        <v>Rua 1833</v>
      </c>
      <c r="N1891" s="8" t="str">
        <v>Comp 1833</v>
      </c>
      <c r="O1891" s="8" t="str">
        <v>Bolsa térmica</v>
      </c>
      <c r="P1891" s="8" t="str">
        <v>6I-CK1S-8HYZ</v>
      </c>
      <c r="Q1891" s="4">
        <v>45857</v>
      </c>
      <c r="R1891" s="109">
        <v>28.5</v>
      </c>
      <c r="S1891" s="11">
        <f ca="1"/>
        <v>28.5</v>
      </c>
      <c r="T1891" s="28">
        <f ca="1"/>
        <v>3.42</v>
      </c>
      <c r="U1891" s="11">
        <f ca="1"/>
        <v>25.08</v>
      </c>
      <c r="V1891" s="11">
        <v>19.989999999999998</v>
      </c>
      <c r="W1891" s="11">
        <f ca="1"/>
        <v>0</v>
      </c>
      <c r="X1891" s="11">
        <f ca="1"/>
        <v>0.39877104377104378</v>
      </c>
      <c r="Y1891" s="11">
        <v>0</v>
      </c>
      <c r="Z1891" s="11">
        <f ca="1"/>
        <v>4.6912289562289544</v>
      </c>
      <c r="AA1891" s="11">
        <f ca="1"/>
        <v>2.3456144781144772</v>
      </c>
      <c r="AB1891" s="4">
        <f ca="1"/>
        <v>45864</v>
      </c>
      <c r="AC1891" s="4">
        <v>45864</v>
      </c>
      <c r="AD1891" s="9">
        <v>45870</v>
      </c>
      <c r="AE1891" s="9">
        <v>45873</v>
      </c>
      <c r="AF1891" s="4" t="str">
        <f t="shared" ca="1" si="138"/>
        <v>2025 07</v>
      </c>
      <c r="AG1891" s="8" t="str" cm="1">
        <f t="array" ref="AG1891">IFERROR(_xlfn.IFS('Banco de Dados'!#REF!="AG. COMPRA","Em processamento",'Banco de Dados'!#REF!="AG. RASTREIO","Em processamento",'Banco de Dados'!$AE1891&lt;&gt;"-","Faturado",'Banco de Dados'!$AD1891&lt;&gt;"-","Aguardando Pix",'Banco de Dados'!$AC1891&lt;&gt;"-","Pendente"),"Aguardando Liberação")</f>
        <v>Aguardando Liberação</v>
      </c>
      <c r="AH1891" s="5" t="str">
        <f>IF('Banco de Dados'!$F1891="-",_xlfn.CONCAT(PROPER(TEXT(AK1891,"aaaa"))," ",PROPER(TEXT(AK1891,"mm"))),_xlfn.CONCAT(PROPER(TEXT(E1891,"aaaa"))," ",PROPER(TEXT(E1891,"mm"))))</f>
        <v>2025 07</v>
      </c>
      <c r="AI1891" s="9" t="str">
        <f ca="1">IF('Banco de Dados'!$AK1891&lt;&gt;"-","REEMBOLSO",IFERROR(_xlfn.XLOOKUP(G1891,Follow[CODRASTREIO],Follow[STATUS]),"-"))</f>
        <v>ENTREGUE</v>
      </c>
      <c r="AJ1891" s="9">
        <f ca="1">IF('Banco de Dados'!$AI1891="ENTREGUE",_xlfn.XLOOKUP('Banco de Dados'!$G1891,Follow[CODRASTREIO],Follow[DATAATUALIZAÇÃO]),"-")</f>
        <v>45848</v>
      </c>
      <c r="AK1891" s="132" t="str">
        <f ca="1"/>
        <v>-</v>
      </c>
      <c r="AL1891" s="35"/>
      <c r="AM1891" s="109" cm="1">
        <f t="array" aca="1" ref="AM1891" ca="1">IF('Banco de Dados'!$AK1891&lt;&gt;"-",_xlfn.IFS('Banco de Dados'!$A1891="bv",IF('Banco de Dados'!$E1891&lt;45641,ROUND(SUM('Banco de Dados'!$R1891*_xlfn.XLOOKUP('Banco de Dados'!$P1891,Sku!B:B,Sku!#REF!)*20%),2),ROUND(SUM('Banco de Dados'!$R1891*_xlfn.XLOOKUP('Banco de Dados'!$P1891,Sku!B:B,Sku!H:H)*20%),2)),'Banco de Dados'!$A1891="GO",ROUND(_xlfn.XLOOKUP('Banco de Dados'!$P1891,Sku!C:C,Sku!H:H),2),'Banco de Dados'!$A1891="MEI",ROUND(_xlfn.XLOOKUP('Banco de Dados'!$P1891,Sku!D:D,Sku!H:H),2)),0)</f>
        <v>0</v>
      </c>
      <c r="AN1891" s="109">
        <v>0</v>
      </c>
      <c r="AO1891" s="109">
        <v>0</v>
      </c>
      <c r="AP1891" s="28">
        <f ca="1">IF('Banco de Dados'!$AK1891&lt;&gt;"-",IF('Banco de Dados'!$AL1891="NÃO",IFERROR(VALUE(SUBSTITUTE(_xlfn.TEXTAFTER('Banco de Dados'!$F1891,"BRL ",1),".",",")),0),0),0)</f>
        <v>0</v>
      </c>
      <c r="AQ1891" s="28">
        <f ca="1">SUM('Banco de Dados'!$AM1891:$AP1891)</f>
        <v>0</v>
      </c>
      <c r="AR1891" s="8"/>
      <c r="AS1891" s="8"/>
      <c r="AT1891"/>
      <c r="AY1891" s="8"/>
    </row>
    <row r="1892" spans="1:51">
      <c r="A1892" s="5" t="str">
        <v>BV</v>
      </c>
      <c r="B1892" s="5" t="str">
        <f ca="1"/>
        <v>BV45845</v>
      </c>
      <c r="C1892" s="8" t="str">
        <v>Pedido 1878</v>
      </c>
      <c r="D1892" s="187">
        <v>45844</v>
      </c>
      <c r="E1892" s="9">
        <v>45845</v>
      </c>
      <c r="F1892" s="2" t="str">
        <v>PedidoF1763</v>
      </c>
      <c r="G1892" s="2" t="str">
        <v>CódRastreio1761</v>
      </c>
      <c r="H1892" s="5">
        <v>1</v>
      </c>
      <c r="I1892" s="182" t="str">
        <v>CPF 1834</v>
      </c>
      <c r="J1892" s="2" t="str">
        <v>Nome 1834</v>
      </c>
      <c r="K1892" s="8" t="str">
        <v>Tel 1834</v>
      </c>
      <c r="L1892" s="184" t="str">
        <v>Cep 1834</v>
      </c>
      <c r="M1892" s="8" t="str">
        <v>Rua 1834</v>
      </c>
      <c r="N1892" s="8" t="str">
        <v>Comp 1834</v>
      </c>
      <c r="O1892" s="8" t="str">
        <v>Bolsa térmica</v>
      </c>
      <c r="P1892" s="8" t="str">
        <v>6I-CK1S-8HYZ</v>
      </c>
      <c r="Q1892" s="4">
        <v>45857</v>
      </c>
      <c r="R1892" s="109">
        <v>28.5</v>
      </c>
      <c r="S1892" s="11">
        <f ca="1"/>
        <v>28.5</v>
      </c>
      <c r="T1892" s="28">
        <f ca="1"/>
        <v>3.42</v>
      </c>
      <c r="U1892" s="11">
        <f ca="1"/>
        <v>25.08</v>
      </c>
      <c r="V1892" s="11">
        <v>18.38</v>
      </c>
      <c r="W1892" s="11">
        <f ca="1"/>
        <v>0</v>
      </c>
      <c r="X1892" s="11">
        <f ca="1"/>
        <v>0.39877104377104378</v>
      </c>
      <c r="Y1892" s="11">
        <v>0</v>
      </c>
      <c r="Z1892" s="11">
        <f ca="1"/>
        <v>6.3012289562289538</v>
      </c>
      <c r="AA1892" s="11">
        <f ca="1"/>
        <v>3.1506144781144769</v>
      </c>
      <c r="AB1892" s="4">
        <f ca="1"/>
        <v>45864</v>
      </c>
      <c r="AC1892" s="4">
        <v>45864</v>
      </c>
      <c r="AD1892" s="9">
        <v>45870</v>
      </c>
      <c r="AE1892" s="9">
        <v>45873</v>
      </c>
      <c r="AF1892" s="4" t="str">
        <f t="shared" ca="1" si="138"/>
        <v>2025 07</v>
      </c>
      <c r="AG1892" s="8" t="str" cm="1">
        <f t="array" ref="AG1892">IFERROR(_xlfn.IFS('Banco de Dados'!#REF!="AG. COMPRA","Em processamento",'Banco de Dados'!#REF!="AG. RASTREIO","Em processamento",'Banco de Dados'!$AE1892&lt;&gt;"-","Faturado",'Banco de Dados'!$AD1892&lt;&gt;"-","Aguardando Pix",'Banco de Dados'!$AC1892&lt;&gt;"-","Pendente"),"Aguardando Liberação")</f>
        <v>Aguardando Liberação</v>
      </c>
      <c r="AH1892" s="5" t="str">
        <f>IF('Banco de Dados'!$F1892="-",_xlfn.CONCAT(PROPER(TEXT(AK1892,"aaaa"))," ",PROPER(TEXT(AK1892,"mm"))),_xlfn.CONCAT(PROPER(TEXT(E1892,"aaaa"))," ",PROPER(TEXT(E1892,"mm"))))</f>
        <v>2025 07</v>
      </c>
      <c r="AI1892" s="9" t="str">
        <f ca="1">IF('Banco de Dados'!$AK1892&lt;&gt;"-","REEMBOLSO",IFERROR(_xlfn.XLOOKUP(G1892,Follow[CODRASTREIO],Follow[STATUS]),"-"))</f>
        <v>ENTREGUE</v>
      </c>
      <c r="AJ1892" s="9">
        <f ca="1">IF('Banco de Dados'!$AI1892="ENTREGUE",_xlfn.XLOOKUP('Banco de Dados'!$G1892,Follow[CODRASTREIO],Follow[DATAATUALIZAÇÃO]),"-")</f>
        <v>45848</v>
      </c>
      <c r="AK1892" s="132" t="str">
        <f ca="1"/>
        <v>-</v>
      </c>
      <c r="AL1892" s="35"/>
      <c r="AM1892" s="109" cm="1">
        <f t="array" aca="1" ref="AM1892" ca="1">IF('Banco de Dados'!$AK1892&lt;&gt;"-",_xlfn.IFS('Banco de Dados'!$A1892="bv",IF('Banco de Dados'!$E1892&lt;45641,ROUND(SUM('Banco de Dados'!$R1892*_xlfn.XLOOKUP('Banco de Dados'!$P1892,Sku!B:B,Sku!#REF!)*20%),2),ROUND(SUM('Banco de Dados'!$R1892*_xlfn.XLOOKUP('Banco de Dados'!$P1892,Sku!B:B,Sku!H:H)*20%),2)),'Banco de Dados'!$A1892="GO",ROUND(_xlfn.XLOOKUP('Banco de Dados'!$P1892,Sku!C:C,Sku!H:H),2),'Banco de Dados'!$A1892="MEI",ROUND(_xlfn.XLOOKUP('Banco de Dados'!$P1892,Sku!D:D,Sku!H:H),2)),0)</f>
        <v>0</v>
      </c>
      <c r="AN1892" s="109">
        <v>0</v>
      </c>
      <c r="AO1892" s="109">
        <v>0</v>
      </c>
      <c r="AP1892" s="28">
        <f ca="1">IF('Banco de Dados'!$AK1892&lt;&gt;"-",IF('Banco de Dados'!$AL1892="NÃO",IFERROR(VALUE(SUBSTITUTE(_xlfn.TEXTAFTER('Banco de Dados'!$F1892,"BRL ",1),".",",")),0),0),0)</f>
        <v>0</v>
      </c>
      <c r="AQ1892" s="28">
        <f ca="1">SUM('Banco de Dados'!$AM1892:$AP1892)</f>
        <v>0</v>
      </c>
      <c r="AR1892" s="8"/>
      <c r="AS1892" s="8"/>
      <c r="AT1892"/>
      <c r="AY1892" s="8"/>
    </row>
    <row r="1893" spans="1:51">
      <c r="A1893" s="5" t="str">
        <v>BV</v>
      </c>
      <c r="B1893" s="5" t="str">
        <f ca="1"/>
        <v>BV45845</v>
      </c>
      <c r="C1893" s="8" t="str">
        <v>Pedido 1879</v>
      </c>
      <c r="D1893" s="187">
        <v>45845</v>
      </c>
      <c r="E1893" s="9">
        <v>45845</v>
      </c>
      <c r="F1893" s="2" t="str">
        <v>PedidoF1764</v>
      </c>
      <c r="G1893" s="2" t="str">
        <v>CódRastreio1762</v>
      </c>
      <c r="H1893" s="5">
        <v>1</v>
      </c>
      <c r="I1893" s="182" t="str">
        <v>CPF 1835</v>
      </c>
      <c r="J1893" s="2" t="str">
        <v>Nome 1835</v>
      </c>
      <c r="K1893" s="8" t="str">
        <v>Tel 1835</v>
      </c>
      <c r="L1893" s="184" t="str">
        <v>Cep 1835</v>
      </c>
      <c r="M1893" s="8" t="str">
        <v>Rua 1835</v>
      </c>
      <c r="N1893" s="8" t="str">
        <v>Comp 1835</v>
      </c>
      <c r="O1893" s="8" t="str">
        <v>Bolsa térmica</v>
      </c>
      <c r="P1893" s="8" t="str">
        <v>6I-CK1S-8HYZ</v>
      </c>
      <c r="Q1893" s="4">
        <v>45860</v>
      </c>
      <c r="R1893" s="109">
        <v>28.5</v>
      </c>
      <c r="S1893" s="11">
        <f ca="1"/>
        <v>28.5</v>
      </c>
      <c r="T1893" s="28">
        <f ca="1"/>
        <v>3.42</v>
      </c>
      <c r="U1893" s="11">
        <f ca="1"/>
        <v>25.08</v>
      </c>
      <c r="V1893" s="11">
        <v>18</v>
      </c>
      <c r="W1893" s="11">
        <f ca="1"/>
        <v>0</v>
      </c>
      <c r="X1893" s="11">
        <f ca="1"/>
        <v>0.39877104377104378</v>
      </c>
      <c r="Y1893" s="11">
        <v>0</v>
      </c>
      <c r="Z1893" s="11">
        <f ca="1"/>
        <v>6.6812289562289529</v>
      </c>
      <c r="AA1893" s="11">
        <f ca="1"/>
        <v>3.3406144781144764</v>
      </c>
      <c r="AB1893" s="4">
        <f ca="1"/>
        <v>45867</v>
      </c>
      <c r="AC1893" s="4">
        <v>45867</v>
      </c>
      <c r="AD1893" s="9">
        <v>45870</v>
      </c>
      <c r="AE1893" s="9">
        <v>45873</v>
      </c>
      <c r="AF1893" s="4" t="str">
        <f t="shared" ca="1" si="138"/>
        <v>2025 07</v>
      </c>
      <c r="AG1893" s="8" t="str" cm="1">
        <f t="array" ref="AG1893">IFERROR(_xlfn.IFS('Banco de Dados'!#REF!="AG. COMPRA","Em processamento",'Banco de Dados'!#REF!="AG. RASTREIO","Em processamento",'Banco de Dados'!$AE1893&lt;&gt;"-","Faturado",'Banco de Dados'!$AD1893&lt;&gt;"-","Aguardando Pix",'Banco de Dados'!$AC1893&lt;&gt;"-","Pendente"),"Aguardando Liberação")</f>
        <v>Aguardando Liberação</v>
      </c>
      <c r="AH1893" s="5" t="str">
        <f>IF('Banco de Dados'!$F1893="-",_xlfn.CONCAT(PROPER(TEXT(AK1893,"aaaa"))," ",PROPER(TEXT(AK1893,"mm"))),_xlfn.CONCAT(PROPER(TEXT(E1893,"aaaa"))," ",PROPER(TEXT(E1893,"mm"))))</f>
        <v>2025 07</v>
      </c>
      <c r="AI1893" s="9" t="str">
        <f ca="1">IF('Banco de Dados'!$AK1893&lt;&gt;"-","REEMBOLSO",IFERROR(_xlfn.XLOOKUP(G1893,Follow[CODRASTREIO],Follow[STATUS]),"-"))</f>
        <v>ENTREGUE</v>
      </c>
      <c r="AJ1893" s="9">
        <f ca="1">IF('Banco de Dados'!$AI1893="ENTREGUE",_xlfn.XLOOKUP('Banco de Dados'!$G1893,Follow[CODRASTREIO],Follow[DATAATUALIZAÇÃO]),"-")</f>
        <v>45848</v>
      </c>
      <c r="AK1893" s="132" t="str">
        <f ca="1"/>
        <v>-</v>
      </c>
      <c r="AL1893" s="35"/>
      <c r="AM1893" s="109" cm="1">
        <f t="array" aca="1" ref="AM1893" ca="1">IF('Banco de Dados'!$AK1893&lt;&gt;"-",_xlfn.IFS('Banco de Dados'!$A1893="bv",IF('Banco de Dados'!$E1893&lt;45641,ROUND(SUM('Banco de Dados'!$R1893*_xlfn.XLOOKUP('Banco de Dados'!$P1893,Sku!B:B,Sku!#REF!)*20%),2),ROUND(SUM('Banco de Dados'!$R1893*_xlfn.XLOOKUP('Banco de Dados'!$P1893,Sku!B:B,Sku!H:H)*20%),2)),'Banco de Dados'!$A1893="GO",ROUND(_xlfn.XLOOKUP('Banco de Dados'!$P1893,Sku!C:C,Sku!H:H),2),'Banco de Dados'!$A1893="MEI",ROUND(_xlfn.XLOOKUP('Banco de Dados'!$P1893,Sku!D:D,Sku!H:H),2)),0)</f>
        <v>0</v>
      </c>
      <c r="AN1893" s="109">
        <v>0</v>
      </c>
      <c r="AO1893" s="109">
        <v>0</v>
      </c>
      <c r="AP1893" s="28">
        <f ca="1">IF('Banco de Dados'!$AK1893&lt;&gt;"-",IF('Banco de Dados'!$AL1893="NÃO",IFERROR(VALUE(SUBSTITUTE(_xlfn.TEXTAFTER('Banco de Dados'!$F1893,"BRL ",1),".",",")),0),0),0)</f>
        <v>0</v>
      </c>
      <c r="AQ1893" s="28">
        <f ca="1">SUM('Banco de Dados'!$AM1893:$AP1893)</f>
        <v>0</v>
      </c>
      <c r="AR1893" s="8"/>
      <c r="AS1893" s="8"/>
      <c r="AT1893"/>
      <c r="AY1893" s="8"/>
    </row>
    <row r="1894" spans="1:51">
      <c r="A1894" s="5" t="str">
        <v>BV</v>
      </c>
      <c r="B1894" s="5" t="str">
        <f ca="1"/>
        <v>BV45845</v>
      </c>
      <c r="C1894" s="8" t="str">
        <v>Pedido 1880</v>
      </c>
      <c r="D1894" s="187">
        <v>45845</v>
      </c>
      <c r="E1894" s="9">
        <v>45845</v>
      </c>
      <c r="F1894" s="2" t="str">
        <v>PedidoF1765</v>
      </c>
      <c r="G1894" s="2" t="str">
        <v>CódRastreio1763</v>
      </c>
      <c r="H1894" s="5">
        <v>1</v>
      </c>
      <c r="I1894" s="182" t="str">
        <v>CPF 1836</v>
      </c>
      <c r="J1894" s="2" t="str">
        <v>Nome 1836</v>
      </c>
      <c r="K1894" s="8" t="str">
        <v>Tel 1836</v>
      </c>
      <c r="L1894" s="8" t="str">
        <v>Cep 1836</v>
      </c>
      <c r="M1894" s="8" t="str">
        <v>Rua 1836</v>
      </c>
      <c r="N1894" s="8" t="str">
        <v>Comp 1836</v>
      </c>
      <c r="O1894" s="8" t="str">
        <v>Bolsa térmica</v>
      </c>
      <c r="P1894" s="8" t="str">
        <v>6I-CK1S-8HYZ</v>
      </c>
      <c r="Q1894" s="4">
        <v>45864</v>
      </c>
      <c r="R1894" s="109">
        <v>28.5</v>
      </c>
      <c r="S1894" s="11">
        <f ca="1"/>
        <v>28.5</v>
      </c>
      <c r="T1894" s="28">
        <f ca="1"/>
        <v>3.42</v>
      </c>
      <c r="U1894" s="11">
        <f ca="1"/>
        <v>25.08</v>
      </c>
      <c r="V1894" s="11">
        <v>18.649999999999999</v>
      </c>
      <c r="W1894" s="11">
        <f ca="1"/>
        <v>0</v>
      </c>
      <c r="X1894" s="11">
        <f ca="1"/>
        <v>0.39877104377104378</v>
      </c>
      <c r="Y1894" s="11">
        <v>0</v>
      </c>
      <c r="Z1894" s="11">
        <f ca="1"/>
        <v>6.0312289562289543</v>
      </c>
      <c r="AA1894" s="11">
        <f ca="1"/>
        <v>3.0156144781144771</v>
      </c>
      <c r="AB1894" s="4">
        <f ca="1"/>
        <v>45871</v>
      </c>
      <c r="AC1894" s="4">
        <v>45871</v>
      </c>
      <c r="AD1894" s="9">
        <v>45887</v>
      </c>
      <c r="AE1894" s="9">
        <v>45888</v>
      </c>
      <c r="AF1894" s="4" t="str">
        <f t="shared" ca="1" si="138"/>
        <v>2025 08</v>
      </c>
      <c r="AG1894" s="8" t="str" cm="1">
        <f t="array" ref="AG1894">IFERROR(_xlfn.IFS('Banco de Dados'!#REF!="AG. COMPRA","Em processamento",'Banco de Dados'!#REF!="AG. RASTREIO","Em processamento",'Banco de Dados'!$AE1894&lt;&gt;"-","Faturado",'Banco de Dados'!$AD1894&lt;&gt;"-","Aguardando Pix",'Banco de Dados'!$AC1894&lt;&gt;"-","Pendente"),"Aguardando Liberação")</f>
        <v>Aguardando Liberação</v>
      </c>
      <c r="AH1894" s="5" t="str">
        <f>IF('Banco de Dados'!$F1894="-",_xlfn.CONCAT(PROPER(TEXT(AK1894,"aaaa"))," ",PROPER(TEXT(AK1894,"mm"))),_xlfn.CONCAT(PROPER(TEXT(E1894,"aaaa"))," ",PROPER(TEXT(E1894,"mm"))))</f>
        <v>2025 07</v>
      </c>
      <c r="AI1894" s="9" t="str">
        <f ca="1">IF('Banco de Dados'!$AK1894&lt;&gt;"-","REEMBOLSO",IFERROR(_xlfn.XLOOKUP(G1894,Follow[CODRASTREIO],Follow[STATUS]),"-"))</f>
        <v>ENTREGUE</v>
      </c>
      <c r="AJ1894" s="9">
        <f ca="1">IF('Banco de Dados'!$AI1894="ENTREGUE",_xlfn.XLOOKUP('Banco de Dados'!$G1894,Follow[CODRASTREIO],Follow[DATAATUALIZAÇÃO]),"-")</f>
        <v>45849</v>
      </c>
      <c r="AK1894" s="132" t="str">
        <f ca="1"/>
        <v>-</v>
      </c>
      <c r="AL1894" s="35"/>
      <c r="AM1894" s="109" cm="1">
        <f t="array" aca="1" ref="AM1894" ca="1">IF('Banco de Dados'!$AK1894&lt;&gt;"-",_xlfn.IFS('Banco de Dados'!$A1894="bv",IF('Banco de Dados'!$E1894&lt;45641,ROUND(SUM('Banco de Dados'!$R1894*_xlfn.XLOOKUP('Banco de Dados'!$P1894,Sku!B:B,Sku!#REF!)*20%),2),ROUND(SUM('Banco de Dados'!$R1894*_xlfn.XLOOKUP('Banco de Dados'!$P1894,Sku!B:B,Sku!H:H)*20%),2)),'Banco de Dados'!$A1894="GO",ROUND(_xlfn.XLOOKUP('Banco de Dados'!$P1894,Sku!C:C,Sku!H:H),2),'Banco de Dados'!$A1894="MEI",ROUND(_xlfn.XLOOKUP('Banco de Dados'!$P1894,Sku!D:D,Sku!H:H),2)),0)</f>
        <v>0</v>
      </c>
      <c r="AN1894" s="109">
        <v>0</v>
      </c>
      <c r="AO1894" s="109">
        <v>0</v>
      </c>
      <c r="AP1894" s="28">
        <f ca="1">IF('Banco de Dados'!$AK1894&lt;&gt;"-",IF('Banco de Dados'!$AL1894="NÃO",IFERROR(VALUE(SUBSTITUTE(_xlfn.TEXTAFTER('Banco de Dados'!$F1894,"BRL ",1),".",",")),0),0),0)</f>
        <v>0</v>
      </c>
      <c r="AQ1894" s="28">
        <f ca="1">SUM('Banco de Dados'!$AM1894:$AP1894)</f>
        <v>0</v>
      </c>
      <c r="AR1894" s="8"/>
      <c r="AS1894" s="8"/>
      <c r="AT1894"/>
      <c r="AY1894" s="8"/>
    </row>
    <row r="1895" spans="1:51">
      <c r="A1895" s="5" t="str">
        <v>BV</v>
      </c>
      <c r="B1895" s="5" t="str">
        <f ca="1"/>
        <v>BV45845</v>
      </c>
      <c r="C1895" s="8" t="str">
        <v>Pedido 1881</v>
      </c>
      <c r="D1895" s="187">
        <v>45845</v>
      </c>
      <c r="E1895" s="9">
        <v>45845</v>
      </c>
      <c r="F1895" s="2" t="str">
        <v>PedidoF1766</v>
      </c>
      <c r="G1895" s="2" t="str">
        <v>CódRastreio1764</v>
      </c>
      <c r="H1895" s="5">
        <v>1</v>
      </c>
      <c r="I1895" s="182" t="str">
        <v>CPF 1837</v>
      </c>
      <c r="J1895" s="2" t="str">
        <v>Nome 1837</v>
      </c>
      <c r="K1895" s="8" t="str">
        <v>Tel 1837</v>
      </c>
      <c r="L1895" s="8" t="str">
        <v>Cep 1837</v>
      </c>
      <c r="M1895" s="8" t="str">
        <v>Rua 1837</v>
      </c>
      <c r="N1895" s="8" t="str">
        <v>Comp 1837</v>
      </c>
      <c r="O1895" s="8" t="str">
        <v>Bolsa térmica</v>
      </c>
      <c r="P1895" s="8" t="str">
        <v>6I-CK1S-8HYZ</v>
      </c>
      <c r="Q1895" s="4">
        <v>45862</v>
      </c>
      <c r="R1895" s="109">
        <v>28.5</v>
      </c>
      <c r="S1895" s="11">
        <f ca="1"/>
        <v>28.5</v>
      </c>
      <c r="T1895" s="28">
        <f ca="1"/>
        <v>3.42</v>
      </c>
      <c r="U1895" s="11">
        <f ca="1"/>
        <v>25.08</v>
      </c>
      <c r="V1895" s="11">
        <v>20.05</v>
      </c>
      <c r="W1895" s="11">
        <f ca="1"/>
        <v>0</v>
      </c>
      <c r="X1895" s="11">
        <f ca="1"/>
        <v>0.39877104377104378</v>
      </c>
      <c r="Y1895" s="11">
        <v>0</v>
      </c>
      <c r="Z1895" s="11">
        <f ca="1"/>
        <v>4.6312289562289521</v>
      </c>
      <c r="AA1895" s="11">
        <f ca="1"/>
        <v>2.3156144781144761</v>
      </c>
      <c r="AB1895" s="4">
        <f ca="1"/>
        <v>45869</v>
      </c>
      <c r="AC1895" s="4">
        <v>45869</v>
      </c>
      <c r="AD1895" s="9">
        <v>45870</v>
      </c>
      <c r="AE1895" s="9">
        <v>45873</v>
      </c>
      <c r="AF1895" s="4" t="str">
        <f t="shared" ca="1" si="138"/>
        <v>2025 07</v>
      </c>
      <c r="AG1895" s="8" t="str" cm="1">
        <f t="array" ref="AG1895">IFERROR(_xlfn.IFS('Banco de Dados'!#REF!="AG. COMPRA","Em processamento",'Banco de Dados'!#REF!="AG. RASTREIO","Em processamento",'Banco de Dados'!$AE1895&lt;&gt;"-","Faturado",'Banco de Dados'!$AD1895&lt;&gt;"-","Aguardando Pix",'Banco de Dados'!$AC1895&lt;&gt;"-","Pendente"),"Aguardando Liberação")</f>
        <v>Aguardando Liberação</v>
      </c>
      <c r="AH1895" s="5" t="str">
        <f>IF('Banco de Dados'!$F1895="-",_xlfn.CONCAT(PROPER(TEXT(AK1895,"aaaa"))," ",PROPER(TEXT(AK1895,"mm"))),_xlfn.CONCAT(PROPER(TEXT(E1895,"aaaa"))," ",PROPER(TEXT(E1895,"mm"))))</f>
        <v>2025 07</v>
      </c>
      <c r="AI1895" s="9" t="str">
        <f ca="1">IF('Banco de Dados'!$AK1895&lt;&gt;"-","REEMBOLSO",IFERROR(_xlfn.XLOOKUP(G1895,Follow[CODRASTREIO],Follow[STATUS]),"-"))</f>
        <v>ENTREGUE</v>
      </c>
      <c r="AJ1895" s="9">
        <f ca="1">IF('Banco de Dados'!$AI1895="ENTREGUE",_xlfn.XLOOKUP('Banco de Dados'!$G1895,Follow[CODRASTREIO],Follow[DATAATUALIZAÇÃO]),"-")</f>
        <v>45850</v>
      </c>
      <c r="AK1895" s="132" t="str">
        <f ca="1"/>
        <v>-</v>
      </c>
      <c r="AL1895" s="35"/>
      <c r="AM1895" s="109" cm="1">
        <f t="array" aca="1" ref="AM1895" ca="1">IF('Banco de Dados'!$AK1895&lt;&gt;"-",_xlfn.IFS('Banco de Dados'!$A1895="bv",IF('Banco de Dados'!$E1895&lt;45641,ROUND(SUM('Banco de Dados'!$R1895*_xlfn.XLOOKUP('Banco de Dados'!$P1895,Sku!B:B,Sku!#REF!)*20%),2),ROUND(SUM('Banco de Dados'!$R1895*_xlfn.XLOOKUP('Banco de Dados'!$P1895,Sku!B:B,Sku!H:H)*20%),2)),'Banco de Dados'!$A1895="GO",ROUND(_xlfn.XLOOKUP('Banco de Dados'!$P1895,Sku!C:C,Sku!H:H),2),'Banco de Dados'!$A1895="MEI",ROUND(_xlfn.XLOOKUP('Banco de Dados'!$P1895,Sku!D:D,Sku!H:H),2)),0)</f>
        <v>0</v>
      </c>
      <c r="AN1895" s="109">
        <v>0</v>
      </c>
      <c r="AO1895" s="109">
        <v>0</v>
      </c>
      <c r="AP1895" s="28">
        <f ca="1">IF('Banco de Dados'!$AK1895&lt;&gt;"-",IF('Banco de Dados'!$AL1895="NÃO",IFERROR(VALUE(SUBSTITUTE(_xlfn.TEXTAFTER('Banco de Dados'!$F1895,"BRL ",1),".",",")),0),0),0)</f>
        <v>0</v>
      </c>
      <c r="AQ1895" s="28">
        <f ca="1">SUM('Banco de Dados'!$AM1895:$AP1895)</f>
        <v>0</v>
      </c>
      <c r="AR1895" s="8"/>
      <c r="AS1895" s="8"/>
      <c r="AT1895"/>
      <c r="AY1895" s="8"/>
    </row>
    <row r="1896" spans="1:51">
      <c r="A1896" s="5" t="str">
        <v>BV</v>
      </c>
      <c r="B1896" s="5" t="str">
        <f ca="1"/>
        <v>BV45845</v>
      </c>
      <c r="C1896" s="8" t="str">
        <v>Pedido 1882</v>
      </c>
      <c r="D1896" s="187">
        <v>45845</v>
      </c>
      <c r="E1896" s="9">
        <v>45845</v>
      </c>
      <c r="F1896" s="2" t="str">
        <v>PedidoF1767</v>
      </c>
      <c r="G1896" s="2" t="str">
        <v>CódRastreio1765</v>
      </c>
      <c r="H1896" s="5">
        <v>1</v>
      </c>
      <c r="I1896" s="182" t="str">
        <v>CPF 1838</v>
      </c>
      <c r="J1896" s="2" t="str">
        <v>Nome 1838</v>
      </c>
      <c r="K1896" s="8" t="str">
        <v>Tel 1838</v>
      </c>
      <c r="L1896" s="8" t="str">
        <v>Cep 1838</v>
      </c>
      <c r="M1896" s="8" t="str">
        <v>Rua 1838</v>
      </c>
      <c r="N1896" s="8" t="str">
        <v>Comp 1838</v>
      </c>
      <c r="O1896" s="8" t="str">
        <v>Brinquedo Bola Giratória voadora</v>
      </c>
      <c r="P1896" s="8" t="str">
        <v>ZV-W7II-K7TO</v>
      </c>
      <c r="Q1896" s="4">
        <v>45860</v>
      </c>
      <c r="R1896" s="109">
        <v>41.9</v>
      </c>
      <c r="S1896" s="11">
        <f ca="1"/>
        <v>41.9</v>
      </c>
      <c r="T1896" s="28">
        <f ca="1"/>
        <v>5.0279999999999996</v>
      </c>
      <c r="U1896" s="11">
        <f ca="1"/>
        <v>36.869999999999997</v>
      </c>
      <c r="V1896" s="11">
        <v>33.299999999999997</v>
      </c>
      <c r="W1896" s="11">
        <f ca="1"/>
        <v>0</v>
      </c>
      <c r="X1896" s="11">
        <f ca="1"/>
        <v>0.39877104377104378</v>
      </c>
      <c r="Y1896" s="11">
        <v>0</v>
      </c>
      <c r="Z1896" s="11">
        <f ca="1"/>
        <v>3.1712289562289584</v>
      </c>
      <c r="AA1896" s="11">
        <f ca="1"/>
        <v>1.5856144781144792</v>
      </c>
      <c r="AB1896" s="4">
        <f ca="1"/>
        <v>45867</v>
      </c>
      <c r="AC1896" s="4">
        <v>45867</v>
      </c>
      <c r="AD1896" s="9">
        <v>45870</v>
      </c>
      <c r="AE1896" s="9">
        <v>45873</v>
      </c>
      <c r="AF1896" s="4" t="str">
        <f t="shared" ca="1" si="138"/>
        <v>2025 07</v>
      </c>
      <c r="AG1896" s="8" t="str" cm="1">
        <f t="array" ref="AG1896">IFERROR(_xlfn.IFS('Banco de Dados'!#REF!="AG. COMPRA","Em processamento",'Banco de Dados'!#REF!="AG. RASTREIO","Em processamento",'Banco de Dados'!$AE1896&lt;&gt;"-","Faturado",'Banco de Dados'!$AD1896&lt;&gt;"-","Aguardando Pix",'Banco de Dados'!$AC1896&lt;&gt;"-","Pendente"),"Aguardando Liberação")</f>
        <v>Aguardando Liberação</v>
      </c>
      <c r="AH1896" s="5" t="str">
        <f>IF('Banco de Dados'!$F1896="-",_xlfn.CONCAT(PROPER(TEXT(AK1896,"aaaa"))," ",PROPER(TEXT(AK1896,"mm"))),_xlfn.CONCAT(PROPER(TEXT(E1896,"aaaa"))," ",PROPER(TEXT(E1896,"mm"))))</f>
        <v>2025 07</v>
      </c>
      <c r="AI1896" s="9" t="str">
        <f ca="1">IF('Banco de Dados'!$AK1896&lt;&gt;"-","REEMBOLSO",IFERROR(_xlfn.XLOOKUP(G1896,Follow[CODRASTREIO],Follow[STATUS]),"-"))</f>
        <v>ENTREGUE</v>
      </c>
      <c r="AJ1896" s="9">
        <f ca="1">IF('Banco de Dados'!$AI1896="ENTREGUE",_xlfn.XLOOKUP('Banco de Dados'!$G1896,Follow[CODRASTREIO],Follow[DATAATUALIZAÇÃO]),"-")</f>
        <v>45849</v>
      </c>
      <c r="AK1896" s="132" t="str">
        <f ca="1"/>
        <v>-</v>
      </c>
      <c r="AL1896" s="35"/>
      <c r="AM1896" s="109" cm="1">
        <f t="array" aca="1" ref="AM1896" ca="1">IF('Banco de Dados'!$AK1896&lt;&gt;"-",_xlfn.IFS('Banco de Dados'!$A1896="bv",IF('Banco de Dados'!$E1896&lt;45641,ROUND(SUM('Banco de Dados'!$R1896*_xlfn.XLOOKUP('Banco de Dados'!$P1896,Sku!B:B,Sku!#REF!)*20%),2),ROUND(SUM('Banco de Dados'!$R1896*_xlfn.XLOOKUP('Banco de Dados'!$P1896,Sku!B:B,Sku!H:H)*20%),2)),'Banco de Dados'!$A1896="GO",ROUND(_xlfn.XLOOKUP('Banco de Dados'!$P1896,Sku!C:C,Sku!H:H),2),'Banco de Dados'!$A1896="MEI",ROUND(_xlfn.XLOOKUP('Banco de Dados'!$P1896,Sku!D:D,Sku!H:H),2)),0)</f>
        <v>0</v>
      </c>
      <c r="AN1896" s="109">
        <v>0</v>
      </c>
      <c r="AO1896" s="109">
        <v>0</v>
      </c>
      <c r="AP1896" s="28">
        <f ca="1">IF('Banco de Dados'!$AK1896&lt;&gt;"-",IF('Banco de Dados'!$AL1896="NÃO",IFERROR(VALUE(SUBSTITUTE(_xlfn.TEXTAFTER('Banco de Dados'!$F1896,"BRL ",1),".",",")),0),0),0)</f>
        <v>0</v>
      </c>
      <c r="AQ1896" s="28">
        <f ca="1">SUM('Banco de Dados'!$AM1896:$AP1896)</f>
        <v>0</v>
      </c>
      <c r="AR1896" s="8"/>
      <c r="AS1896" s="8"/>
      <c r="AT1896"/>
      <c r="AY1896" s="8"/>
    </row>
    <row r="1897" spans="1:51">
      <c r="A1897" s="5" t="str">
        <v>BV</v>
      </c>
      <c r="B1897" s="5" t="str">
        <f ca="1"/>
        <v>BV45845</v>
      </c>
      <c r="C1897" s="8" t="str">
        <v>Pedido 1883</v>
      </c>
      <c r="D1897" s="187">
        <v>45845</v>
      </c>
      <c r="E1897" s="9">
        <v>45845</v>
      </c>
      <c r="F1897" s="2" t="str">
        <v>PedidoF1768</v>
      </c>
      <c r="G1897" s="2" t="str">
        <v>CódRastreio1766</v>
      </c>
      <c r="H1897" s="5">
        <v>1</v>
      </c>
      <c r="I1897" s="182" t="str">
        <v>CPF 1839</v>
      </c>
      <c r="J1897" s="2" t="str">
        <v>Nome 1839</v>
      </c>
      <c r="K1897" s="8" t="str">
        <v>Tel 1839</v>
      </c>
      <c r="L1897" s="8" t="str">
        <v>Cep 1839</v>
      </c>
      <c r="M1897" s="8" t="str">
        <v>Rua 1839</v>
      </c>
      <c r="N1897" s="8" t="str">
        <v>Comp 1839</v>
      </c>
      <c r="O1897" s="8" t="str">
        <v>Bolsa térmica</v>
      </c>
      <c r="P1897" s="8" t="str">
        <v>6I-CK1S-8HYZ</v>
      </c>
      <c r="Q1897" s="4">
        <v>45864</v>
      </c>
      <c r="R1897" s="109">
        <v>28.5</v>
      </c>
      <c r="S1897" s="11">
        <f ca="1"/>
        <v>28.5</v>
      </c>
      <c r="T1897" s="28">
        <f ca="1"/>
        <v>3.42</v>
      </c>
      <c r="U1897" s="11">
        <f ca="1"/>
        <v>25.08</v>
      </c>
      <c r="V1897" s="11">
        <v>21.27</v>
      </c>
      <c r="W1897" s="11">
        <f ca="1"/>
        <v>0</v>
      </c>
      <c r="X1897" s="11">
        <f ca="1"/>
        <v>0.39877104377104378</v>
      </c>
      <c r="Y1897" s="11">
        <v>1</v>
      </c>
      <c r="Z1897" s="11">
        <f ca="1"/>
        <v>2.4112289562289533</v>
      </c>
      <c r="AA1897" s="11">
        <f ca="1"/>
        <v>1.2056144781144766</v>
      </c>
      <c r="AB1897" s="4">
        <f ca="1"/>
        <v>45871</v>
      </c>
      <c r="AC1897" s="4">
        <v>45871</v>
      </c>
      <c r="AD1897" s="9">
        <v>45887</v>
      </c>
      <c r="AE1897" s="9">
        <v>45888</v>
      </c>
      <c r="AF1897" s="4" t="str">
        <f t="shared" ca="1" si="138"/>
        <v>2025 08</v>
      </c>
      <c r="AG1897" s="8" t="str" cm="1">
        <f t="array" ref="AG1897">IFERROR(_xlfn.IFS('Banco de Dados'!#REF!="AG. COMPRA","Em processamento",'Banco de Dados'!#REF!="AG. RASTREIO","Em processamento",'Banco de Dados'!$AE1897&lt;&gt;"-","Faturado",'Banco de Dados'!$AD1897&lt;&gt;"-","Aguardando Pix",'Banco de Dados'!$AC1897&lt;&gt;"-","Pendente"),"Aguardando Liberação")</f>
        <v>Aguardando Liberação</v>
      </c>
      <c r="AH1897" s="5" t="str">
        <f>IF('Banco de Dados'!$F1897="-",_xlfn.CONCAT(PROPER(TEXT(AK1897,"aaaa"))," ",PROPER(TEXT(AK1897,"mm"))),_xlfn.CONCAT(PROPER(TEXT(E1897,"aaaa"))," ",PROPER(TEXT(E1897,"mm"))))</f>
        <v>2025 07</v>
      </c>
      <c r="AI1897" s="9" t="str">
        <f ca="1">IF('Banco de Dados'!$AK1897&lt;&gt;"-","REEMBOLSO",IFERROR(_xlfn.XLOOKUP(G1897,Follow[CODRASTREIO],Follow[STATUS]),"-"))</f>
        <v>ENTREGUE</v>
      </c>
      <c r="AJ1897" s="9">
        <f ca="1">IF('Banco de Dados'!$AI1897="ENTREGUE",_xlfn.XLOOKUP('Banco de Dados'!$G1897,Follow[CODRASTREIO],Follow[DATAATUALIZAÇÃO]),"-")</f>
        <v>45850</v>
      </c>
      <c r="AK1897" s="132" t="str">
        <f ca="1"/>
        <v>-</v>
      </c>
      <c r="AL1897" s="35"/>
      <c r="AM1897" s="109" cm="1">
        <f t="array" aca="1" ref="AM1897" ca="1">IF('Banco de Dados'!$AK1897&lt;&gt;"-",_xlfn.IFS('Banco de Dados'!$A1897="bv",IF('Banco de Dados'!$E1897&lt;45641,ROUND(SUM('Banco de Dados'!$R1897*_xlfn.XLOOKUP('Banco de Dados'!$P1897,Sku!B:B,Sku!#REF!)*20%),2),ROUND(SUM('Banco de Dados'!$R1897*_xlfn.XLOOKUP('Banco de Dados'!$P1897,Sku!B:B,Sku!H:H)*20%),2)),'Banco de Dados'!$A1897="GO",ROUND(_xlfn.XLOOKUP('Banco de Dados'!$P1897,Sku!C:C,Sku!H:H),2),'Banco de Dados'!$A1897="MEI",ROUND(_xlfn.XLOOKUP('Banco de Dados'!$P1897,Sku!D:D,Sku!H:H),2)),0)</f>
        <v>0</v>
      </c>
      <c r="AN1897" s="109">
        <v>0</v>
      </c>
      <c r="AO1897" s="109">
        <v>0</v>
      </c>
      <c r="AP1897" s="28">
        <f ca="1">IF('Banco de Dados'!$AK1897&lt;&gt;"-",IF('Banco de Dados'!$AL1897="NÃO",IFERROR(VALUE(SUBSTITUTE(_xlfn.TEXTAFTER('Banco de Dados'!$F1897,"BRL ",1),".",",")),0),0),0)</f>
        <v>0</v>
      </c>
      <c r="AQ1897" s="28">
        <f ca="1">SUM('Banco de Dados'!$AM1897:$AP1897)</f>
        <v>0</v>
      </c>
      <c r="AR1897" s="8"/>
      <c r="AS1897" s="8"/>
      <c r="AT1897"/>
      <c r="AY1897" s="8"/>
    </row>
    <row r="1898" spans="1:51">
      <c r="A1898" s="5" t="str">
        <v>BV</v>
      </c>
      <c r="B1898" s="5" t="str">
        <f ca="1"/>
        <v>BV45845</v>
      </c>
      <c r="C1898" s="8" t="str">
        <v>Pedido 1884</v>
      </c>
      <c r="D1898" s="187">
        <v>45845</v>
      </c>
      <c r="E1898" s="9">
        <v>45845</v>
      </c>
      <c r="F1898" s="2" t="str">
        <v>PedidoF1769</v>
      </c>
      <c r="G1898" s="2" t="str">
        <v>CódRastreio1767</v>
      </c>
      <c r="H1898" s="5">
        <v>1</v>
      </c>
      <c r="I1898" s="182" t="str">
        <v>CPF 1840</v>
      </c>
      <c r="J1898" s="2" t="str">
        <v>Nome 1840</v>
      </c>
      <c r="K1898" s="8" t="str">
        <v>Tel 1840</v>
      </c>
      <c r="L1898" s="8" t="str">
        <v>Cep 1840</v>
      </c>
      <c r="M1898" s="8" t="str">
        <v>Rua 1840</v>
      </c>
      <c r="N1898" s="8" t="str">
        <v>Comp 1840</v>
      </c>
      <c r="O1898" s="8" t="str">
        <v>Bolsa térmica</v>
      </c>
      <c r="P1898" s="8" t="str">
        <v>6I-CK1S-8HYZ</v>
      </c>
      <c r="Q1898" s="4">
        <v>45864</v>
      </c>
      <c r="R1898" s="109">
        <v>28.5</v>
      </c>
      <c r="S1898" s="11">
        <f ca="1"/>
        <v>28.5</v>
      </c>
      <c r="T1898" s="28">
        <f ca="1"/>
        <v>3.42</v>
      </c>
      <c r="U1898" s="11">
        <f ca="1"/>
        <v>25.08</v>
      </c>
      <c r="V1898" s="11">
        <v>18.920000000000002</v>
      </c>
      <c r="W1898" s="11">
        <f ca="1"/>
        <v>0</v>
      </c>
      <c r="X1898" s="11">
        <f ca="1"/>
        <v>0.39877104377104378</v>
      </c>
      <c r="Y1898" s="11">
        <v>0</v>
      </c>
      <c r="Z1898" s="11">
        <f ca="1"/>
        <v>5.7612289562289511</v>
      </c>
      <c r="AA1898" s="11">
        <f ca="1"/>
        <v>2.8806144781144756</v>
      </c>
      <c r="AB1898" s="4">
        <f ca="1"/>
        <v>45871</v>
      </c>
      <c r="AC1898" s="4">
        <v>45871</v>
      </c>
      <c r="AD1898" s="9">
        <v>45887</v>
      </c>
      <c r="AE1898" s="9">
        <v>45888</v>
      </c>
      <c r="AF1898" s="4" t="str">
        <f t="shared" ca="1" si="138"/>
        <v>2025 08</v>
      </c>
      <c r="AG1898" s="8" t="str" cm="1">
        <f t="array" ref="AG1898">IFERROR(_xlfn.IFS('Banco de Dados'!#REF!="AG. COMPRA","Em processamento",'Banco de Dados'!#REF!="AG. RASTREIO","Em processamento",'Banco de Dados'!$AE1898&lt;&gt;"-","Faturado",'Banco de Dados'!$AD1898&lt;&gt;"-","Aguardando Pix",'Banco de Dados'!$AC1898&lt;&gt;"-","Pendente"),"Aguardando Liberação")</f>
        <v>Aguardando Liberação</v>
      </c>
      <c r="AH1898" s="5" t="str">
        <f>IF('Banco de Dados'!$F1898="-",_xlfn.CONCAT(PROPER(TEXT(AK1898,"aaaa"))," ",PROPER(TEXT(AK1898,"mm"))),_xlfn.CONCAT(PROPER(TEXT(E1898,"aaaa"))," ",PROPER(TEXT(E1898,"mm"))))</f>
        <v>2025 07</v>
      </c>
      <c r="AI1898" s="9" t="str">
        <f ca="1">IF('Banco de Dados'!$AK1898&lt;&gt;"-","REEMBOLSO",IFERROR(_xlfn.XLOOKUP(G1898,Follow[CODRASTREIO],Follow[STATUS]),"-"))</f>
        <v>ENTREGUE</v>
      </c>
      <c r="AJ1898" s="9">
        <f ca="1">IF('Banco de Dados'!$AI1898="ENTREGUE",_xlfn.XLOOKUP('Banco de Dados'!$G1898,Follow[CODRASTREIO],Follow[DATAATUALIZAÇÃO]),"-")</f>
        <v>45853</v>
      </c>
      <c r="AK1898" s="132" t="str">
        <f ca="1"/>
        <v>-</v>
      </c>
      <c r="AL1898" s="35"/>
      <c r="AM1898" s="109" cm="1">
        <f t="array" aca="1" ref="AM1898" ca="1">IF('Banco de Dados'!$AK1898&lt;&gt;"-",_xlfn.IFS('Banco de Dados'!$A1898="bv",IF('Banco de Dados'!$E1898&lt;45641,ROUND(SUM('Banco de Dados'!$R1898*_xlfn.XLOOKUP('Banco de Dados'!$P1898,Sku!B:B,Sku!#REF!)*20%),2),ROUND(SUM('Banco de Dados'!$R1898*_xlfn.XLOOKUP('Banco de Dados'!$P1898,Sku!B:B,Sku!H:H)*20%),2)),'Banco de Dados'!$A1898="GO",ROUND(_xlfn.XLOOKUP('Banco de Dados'!$P1898,Sku!C:C,Sku!H:H),2),'Banco de Dados'!$A1898="MEI",ROUND(_xlfn.XLOOKUP('Banco de Dados'!$P1898,Sku!D:D,Sku!H:H),2)),0)</f>
        <v>0</v>
      </c>
      <c r="AN1898" s="109">
        <v>0</v>
      </c>
      <c r="AO1898" s="109">
        <v>0</v>
      </c>
      <c r="AP1898" s="28">
        <f ca="1">IF('Banco de Dados'!$AK1898&lt;&gt;"-",IF('Banco de Dados'!$AL1898="NÃO",IFERROR(VALUE(SUBSTITUTE(_xlfn.TEXTAFTER('Banco de Dados'!$F1898,"BRL ",1),".",",")),0),0),0)</f>
        <v>0</v>
      </c>
      <c r="AQ1898" s="28">
        <f ca="1">SUM('Banco de Dados'!$AM1898:$AP1898)</f>
        <v>0</v>
      </c>
      <c r="AR1898" s="8"/>
      <c r="AS1898" s="8"/>
      <c r="AT1898"/>
      <c r="AY1898" s="8"/>
    </row>
    <row r="1899" spans="1:51">
      <c r="A1899" s="5" t="str">
        <v>BV</v>
      </c>
      <c r="B1899" s="5" t="str">
        <f ca="1"/>
        <v>BV45845</v>
      </c>
      <c r="C1899" s="8" t="str">
        <v>Pedido 1885</v>
      </c>
      <c r="D1899" s="187">
        <v>45845</v>
      </c>
      <c r="E1899" s="9">
        <v>45845</v>
      </c>
      <c r="F1899" s="2" t="str">
        <v>PedidoF1770</v>
      </c>
      <c r="G1899" s="2" t="str">
        <v>CódRastreio1768</v>
      </c>
      <c r="H1899" s="5">
        <v>1</v>
      </c>
      <c r="I1899" s="182" t="str">
        <v>CPF 1841</v>
      </c>
      <c r="J1899" s="2" t="str">
        <v>Nome 1841</v>
      </c>
      <c r="K1899" s="8" t="str">
        <v>Tel 1841</v>
      </c>
      <c r="L1899" s="8" t="str">
        <v>Cep 1841</v>
      </c>
      <c r="M1899" s="8" t="str">
        <v>Rua 1841</v>
      </c>
      <c r="N1899" s="8" t="str">
        <v>Comp 1841</v>
      </c>
      <c r="O1899" s="8" t="str">
        <v>Bolsa térmica</v>
      </c>
      <c r="P1899" s="8" t="str">
        <v>6I-CK1S-8HYZ</v>
      </c>
      <c r="Q1899" s="4">
        <v>45870</v>
      </c>
      <c r="R1899" s="109">
        <v>28.5</v>
      </c>
      <c r="S1899" s="11">
        <f ca="1"/>
        <v>28.5</v>
      </c>
      <c r="T1899" s="28">
        <f ca="1"/>
        <v>3.42</v>
      </c>
      <c r="U1899" s="11">
        <f ca="1"/>
        <v>25.08</v>
      </c>
      <c r="V1899" s="11">
        <v>20.75</v>
      </c>
      <c r="W1899" s="11">
        <f ca="1"/>
        <v>0</v>
      </c>
      <c r="X1899" s="11">
        <f ca="1"/>
        <v>0.39877104377104378</v>
      </c>
      <c r="Y1899" s="11">
        <v>3</v>
      </c>
      <c r="Z1899" s="11">
        <f ca="1"/>
        <v>0.93122895622895285</v>
      </c>
      <c r="AA1899" s="11">
        <f ca="1"/>
        <v>0.46561447811447643</v>
      </c>
      <c r="AB1899" s="4">
        <f ca="1"/>
        <v>45877</v>
      </c>
      <c r="AC1899" s="4">
        <v>45877</v>
      </c>
      <c r="AD1899" s="9">
        <v>45887</v>
      </c>
      <c r="AE1899" s="9">
        <v>45888</v>
      </c>
      <c r="AF1899" s="4" t="str">
        <f t="shared" ca="1" si="138"/>
        <v>2025 08</v>
      </c>
      <c r="AG1899" s="8" t="str" cm="1">
        <f t="array" ref="AG1899">IFERROR(_xlfn.IFS('Banco de Dados'!#REF!="AG. COMPRA","Em processamento",'Banco de Dados'!#REF!="AG. RASTREIO","Em processamento",'Banco de Dados'!$AE1899&lt;&gt;"-","Faturado",'Banco de Dados'!$AD1899&lt;&gt;"-","Aguardando Pix",'Banco de Dados'!$AC1899&lt;&gt;"-","Pendente"),"Aguardando Liberação")</f>
        <v>Aguardando Liberação</v>
      </c>
      <c r="AH1899" s="5" t="str">
        <f>IF('Banco de Dados'!$F1899="-",_xlfn.CONCAT(PROPER(TEXT(AK1899,"aaaa"))," ",PROPER(TEXT(AK1899,"mm"))),_xlfn.CONCAT(PROPER(TEXT(E1899,"aaaa"))," ",PROPER(TEXT(E1899,"mm"))))</f>
        <v>2025 07</v>
      </c>
      <c r="AI1899" s="9" t="str">
        <f ca="1">IF('Banco de Dados'!$AK1899&lt;&gt;"-","REEMBOLSO",IFERROR(_xlfn.XLOOKUP(G1899,Follow[CODRASTREIO],Follow[STATUS]),"-"))</f>
        <v>ENTREGUE</v>
      </c>
      <c r="AJ1899" s="9">
        <f ca="1">IF('Banco de Dados'!$AI1899="ENTREGUE",_xlfn.XLOOKUP('Banco de Dados'!$G1899,Follow[CODRASTREIO],Follow[DATAATUALIZAÇÃO]),"-")</f>
        <v>45849</v>
      </c>
      <c r="AK1899" s="132" t="str">
        <f ca="1"/>
        <v>-</v>
      </c>
      <c r="AL1899" s="35"/>
      <c r="AM1899" s="109" cm="1">
        <f t="array" aca="1" ref="AM1899" ca="1">IF('Banco de Dados'!$AK1899&lt;&gt;"-",_xlfn.IFS('Banco de Dados'!$A1899="bv",IF('Banco de Dados'!$E1899&lt;45641,ROUND(SUM('Banco de Dados'!$R1899*_xlfn.XLOOKUP('Banco de Dados'!$P1899,Sku!B:B,Sku!#REF!)*20%),2),ROUND(SUM('Banco de Dados'!$R1899*_xlfn.XLOOKUP('Banco de Dados'!$P1899,Sku!B:B,Sku!H:H)*20%),2)),'Banco de Dados'!$A1899="GO",ROUND(_xlfn.XLOOKUP('Banco de Dados'!$P1899,Sku!C:C,Sku!H:H),2),'Banco de Dados'!$A1899="MEI",ROUND(_xlfn.XLOOKUP('Banco de Dados'!$P1899,Sku!D:D,Sku!H:H),2)),0)</f>
        <v>0</v>
      </c>
      <c r="AN1899" s="109">
        <v>0</v>
      </c>
      <c r="AO1899" s="109">
        <v>0</v>
      </c>
      <c r="AP1899" s="28">
        <f ca="1">IF('Banco de Dados'!$AK1899&lt;&gt;"-",IF('Banco de Dados'!$AL1899="NÃO",IFERROR(VALUE(SUBSTITUTE(_xlfn.TEXTAFTER('Banco de Dados'!$F1899,"BRL ",1),".",",")),0),0),0)</f>
        <v>0</v>
      </c>
      <c r="AQ1899" s="28">
        <f ca="1">SUM('Banco de Dados'!$AM1899:$AP1899)</f>
        <v>0</v>
      </c>
      <c r="AR1899" s="8"/>
      <c r="AS1899" s="8"/>
      <c r="AT1899"/>
      <c r="AY1899" s="8"/>
    </row>
    <row r="1900" spans="1:51">
      <c r="A1900" s="5" t="str">
        <v>BV</v>
      </c>
      <c r="B1900" s="5" t="str">
        <f ca="1"/>
        <v>BV45845</v>
      </c>
      <c r="C1900" s="8" t="str">
        <v>Pedido 1886</v>
      </c>
      <c r="D1900" s="187">
        <v>45845</v>
      </c>
      <c r="E1900" s="9">
        <v>45845</v>
      </c>
      <c r="F1900" s="2" t="str">
        <v>PedidoF1771</v>
      </c>
      <c r="G1900" s="2" t="str">
        <v>CódRastreio1769</v>
      </c>
      <c r="H1900" s="5">
        <v>1</v>
      </c>
      <c r="I1900" s="182" t="str">
        <v>CPF 1842</v>
      </c>
      <c r="J1900" s="2" t="str">
        <v>Nome 1842</v>
      </c>
      <c r="K1900" s="8" t="str">
        <v>Tel 1842</v>
      </c>
      <c r="L1900" s="8" t="str">
        <v>Cep 1842</v>
      </c>
      <c r="M1900" s="8" t="str">
        <v>Rua 1842</v>
      </c>
      <c r="N1900" s="8" t="str">
        <v>Comp 1842</v>
      </c>
      <c r="O1900" s="8" t="str">
        <v>Bolsa térmica</v>
      </c>
      <c r="P1900" s="8" t="str">
        <v>6I-CK1S-8HYZ</v>
      </c>
      <c r="Q1900" s="4">
        <v>45862</v>
      </c>
      <c r="R1900" s="109">
        <v>28.5</v>
      </c>
      <c r="S1900" s="11">
        <f ca="1"/>
        <v>28.5</v>
      </c>
      <c r="T1900" s="28">
        <f ca="1"/>
        <v>3.42</v>
      </c>
      <c r="U1900" s="11">
        <f ca="1"/>
        <v>25.08</v>
      </c>
      <c r="V1900" s="11">
        <v>22.56</v>
      </c>
      <c r="W1900" s="11">
        <f ca="1"/>
        <v>0</v>
      </c>
      <c r="X1900" s="11">
        <f ca="1"/>
        <v>0.39877104377104378</v>
      </c>
      <c r="Y1900" s="11">
        <v>0</v>
      </c>
      <c r="Z1900" s="11">
        <f ca="1"/>
        <v>2.1212289562289541</v>
      </c>
      <c r="AA1900" s="11">
        <f ca="1"/>
        <v>1.0606144781144771</v>
      </c>
      <c r="AB1900" s="4">
        <f ca="1"/>
        <v>45869</v>
      </c>
      <c r="AC1900" s="4">
        <v>45869</v>
      </c>
      <c r="AD1900" s="9">
        <v>45870</v>
      </c>
      <c r="AE1900" s="9">
        <v>45873</v>
      </c>
      <c r="AF1900" s="4" t="str">
        <f t="shared" ca="1" si="138"/>
        <v>2025 07</v>
      </c>
      <c r="AG1900" s="8" t="str" cm="1">
        <f t="array" ref="AG1900">IFERROR(_xlfn.IFS('Banco de Dados'!#REF!="AG. COMPRA","Em processamento",'Banco de Dados'!#REF!="AG. RASTREIO","Em processamento",'Banco de Dados'!$AE1900&lt;&gt;"-","Faturado",'Banco de Dados'!$AD1900&lt;&gt;"-","Aguardando Pix",'Banco de Dados'!$AC1900&lt;&gt;"-","Pendente"),"Aguardando Liberação")</f>
        <v>Aguardando Liberação</v>
      </c>
      <c r="AH1900" s="5" t="str">
        <f>IF('Banco de Dados'!$F1900="-",_xlfn.CONCAT(PROPER(TEXT(AK1900,"aaaa"))," ",PROPER(TEXT(AK1900,"mm"))),_xlfn.CONCAT(PROPER(TEXT(E1900,"aaaa"))," ",PROPER(TEXT(E1900,"mm"))))</f>
        <v>2025 07</v>
      </c>
      <c r="AI1900" s="9" t="str">
        <f ca="1">IF('Banco de Dados'!$AK1900&lt;&gt;"-","REEMBOLSO",IFERROR(_xlfn.XLOOKUP(G1900,Follow[CODRASTREIO],Follow[STATUS]),"-"))</f>
        <v>EM TRÂNSITO</v>
      </c>
      <c r="AJ1900" s="9" t="str">
        <f ca="1">IF('Banco de Dados'!$AI1900="ENTREGUE",_xlfn.XLOOKUP('Banco de Dados'!$G1900,Follow[CODRASTREIO],Follow[DATAATUALIZAÇÃO]),"-")</f>
        <v>-</v>
      </c>
      <c r="AK1900" s="132" t="str">
        <f ca="1"/>
        <v>-</v>
      </c>
      <c r="AL1900" s="35"/>
      <c r="AM1900" s="109" cm="1">
        <f t="array" aca="1" ref="AM1900" ca="1">IF('Banco de Dados'!$AK1900&lt;&gt;"-",_xlfn.IFS('Banco de Dados'!$A1900="bv",IF('Banco de Dados'!$E1900&lt;45641,ROUND(SUM('Banco de Dados'!$R1900*_xlfn.XLOOKUP('Banco de Dados'!$P1900,Sku!B:B,Sku!#REF!)*20%),2),ROUND(SUM('Banco de Dados'!$R1900*_xlfn.XLOOKUP('Banco de Dados'!$P1900,Sku!B:B,Sku!H:H)*20%),2)),'Banco de Dados'!$A1900="GO",ROUND(_xlfn.XLOOKUP('Banco de Dados'!$P1900,Sku!C:C,Sku!H:H),2),'Banco de Dados'!$A1900="MEI",ROUND(_xlfn.XLOOKUP('Banco de Dados'!$P1900,Sku!D:D,Sku!H:H),2)),0)</f>
        <v>0</v>
      </c>
      <c r="AN1900" s="109">
        <v>0</v>
      </c>
      <c r="AO1900" s="109">
        <v>0</v>
      </c>
      <c r="AP1900" s="28">
        <f ca="1">IF('Banco de Dados'!$AK1900&lt;&gt;"-",IF('Banco de Dados'!$AL1900="NÃO",IFERROR(VALUE(SUBSTITUTE(_xlfn.TEXTAFTER('Banco de Dados'!$F1900,"BRL ",1),".",",")),0),0),0)</f>
        <v>0</v>
      </c>
      <c r="AQ1900" s="28">
        <f ca="1">SUM('Banco de Dados'!$AM1900:$AP1900)</f>
        <v>0</v>
      </c>
      <c r="AR1900" s="8"/>
      <c r="AS1900" s="8"/>
      <c r="AT1900"/>
      <c r="AY1900" s="8"/>
    </row>
    <row r="1901" spans="1:51">
      <c r="A1901" s="5" t="str">
        <v>BV</v>
      </c>
      <c r="B1901" s="5" t="str">
        <f ca="1"/>
        <v>BV45845</v>
      </c>
      <c r="C1901" s="8" t="str">
        <v>Pedido 1887</v>
      </c>
      <c r="D1901" s="187">
        <v>45845</v>
      </c>
      <c r="E1901" s="9">
        <v>45845</v>
      </c>
      <c r="F1901" s="2" t="str">
        <v>PedidoF1772</v>
      </c>
      <c r="G1901" s="2" t="str">
        <v>CódRastreio1770</v>
      </c>
      <c r="H1901" s="5">
        <v>1</v>
      </c>
      <c r="I1901" s="182" t="str">
        <v>CPF 1843</v>
      </c>
      <c r="J1901" s="2" t="str">
        <v>Nome 1843</v>
      </c>
      <c r="K1901" s="8" t="str">
        <v>Tel 1843</v>
      </c>
      <c r="L1901" s="8" t="str">
        <v>Cep 1843</v>
      </c>
      <c r="M1901" s="8" t="str">
        <v>Rua 1843</v>
      </c>
      <c r="N1901" s="8" t="str">
        <v>Comp 1843</v>
      </c>
      <c r="O1901" s="8" t="str">
        <v>Bolsa térmica</v>
      </c>
      <c r="P1901" s="8" t="str">
        <v>6I-CK1S-8HYZ</v>
      </c>
      <c r="Q1901" s="4">
        <v>45862</v>
      </c>
      <c r="R1901" s="109">
        <v>28.5</v>
      </c>
      <c r="S1901" s="11">
        <f ca="1"/>
        <v>28.5</v>
      </c>
      <c r="T1901" s="28">
        <f ca="1"/>
        <v>3.42</v>
      </c>
      <c r="U1901" s="11">
        <f ca="1"/>
        <v>25.08</v>
      </c>
      <c r="V1901" s="11">
        <v>22.73</v>
      </c>
      <c r="W1901" s="11">
        <f ca="1"/>
        <v>0</v>
      </c>
      <c r="X1901" s="11">
        <f ca="1"/>
        <v>0.39877104377104378</v>
      </c>
      <c r="Y1901" s="11">
        <v>0</v>
      </c>
      <c r="Z1901" s="11">
        <f ca="1"/>
        <v>1.9512289562289524</v>
      </c>
      <c r="AA1901" s="11">
        <f ca="1"/>
        <v>0.97561447811447621</v>
      </c>
      <c r="AB1901" s="4">
        <f ca="1"/>
        <v>45869</v>
      </c>
      <c r="AC1901" s="4">
        <v>45869</v>
      </c>
      <c r="AD1901" s="9">
        <v>45870</v>
      </c>
      <c r="AE1901" s="9">
        <v>45873</v>
      </c>
      <c r="AF1901" s="4" t="str">
        <f t="shared" ca="1" si="138"/>
        <v>2025 07</v>
      </c>
      <c r="AG1901" s="8" t="str" cm="1">
        <f t="array" ref="AG1901">IFERROR(_xlfn.IFS('Banco de Dados'!#REF!="AG. COMPRA","Em processamento",'Banco de Dados'!#REF!="AG. RASTREIO","Em processamento",'Banco de Dados'!$AE1901&lt;&gt;"-","Faturado",'Banco de Dados'!$AD1901&lt;&gt;"-","Aguardando Pix",'Banco de Dados'!$AC1901&lt;&gt;"-","Pendente"),"Aguardando Liberação")</f>
        <v>Aguardando Liberação</v>
      </c>
      <c r="AH1901" s="5" t="str">
        <f>IF('Banco de Dados'!$F1901="-",_xlfn.CONCAT(PROPER(TEXT(AK1901,"aaaa"))," ",PROPER(TEXT(AK1901,"mm"))),_xlfn.CONCAT(PROPER(TEXT(E1901,"aaaa"))," ",PROPER(TEXT(E1901,"mm"))))</f>
        <v>2025 07</v>
      </c>
      <c r="AI1901" s="9" t="str">
        <f ca="1">IF('Banco de Dados'!$AK1901&lt;&gt;"-","REEMBOLSO",IFERROR(_xlfn.XLOOKUP(G1901,Follow[CODRASTREIO],Follow[STATUS]),"-"))</f>
        <v>ENTREGUE</v>
      </c>
      <c r="AJ1901" s="9">
        <f ca="1">IF('Banco de Dados'!$AI1901="ENTREGUE",_xlfn.XLOOKUP('Banco de Dados'!$G1901,Follow[CODRASTREIO],Follow[DATAATUALIZAÇÃO]),"-")</f>
        <v>45849</v>
      </c>
      <c r="AK1901" s="132" t="str">
        <f ca="1"/>
        <v>-</v>
      </c>
      <c r="AL1901" s="35"/>
      <c r="AM1901" s="109" cm="1">
        <f t="array" aca="1" ref="AM1901" ca="1">IF('Banco de Dados'!$AK1901&lt;&gt;"-",_xlfn.IFS('Banco de Dados'!$A1901="bv",IF('Banco de Dados'!$E1901&lt;45641,ROUND(SUM('Banco de Dados'!$R1901*_xlfn.XLOOKUP('Banco de Dados'!$P1901,Sku!B:B,Sku!#REF!)*20%),2),ROUND(SUM('Banco de Dados'!$R1901*_xlfn.XLOOKUP('Banco de Dados'!$P1901,Sku!B:B,Sku!H:H)*20%),2)),'Banco de Dados'!$A1901="GO",ROUND(_xlfn.XLOOKUP('Banco de Dados'!$P1901,Sku!C:C,Sku!H:H),2),'Banco de Dados'!$A1901="MEI",ROUND(_xlfn.XLOOKUP('Banco de Dados'!$P1901,Sku!D:D,Sku!H:H),2)),0)</f>
        <v>0</v>
      </c>
      <c r="AN1901" s="109">
        <v>0</v>
      </c>
      <c r="AO1901" s="109">
        <v>0</v>
      </c>
      <c r="AP1901" s="28">
        <f ca="1">IF('Banco de Dados'!$AK1901&lt;&gt;"-",IF('Banco de Dados'!$AL1901="NÃO",IFERROR(VALUE(SUBSTITUTE(_xlfn.TEXTAFTER('Banco de Dados'!$F1901,"BRL ",1),".",",")),0),0),0)</f>
        <v>0</v>
      </c>
      <c r="AQ1901" s="28">
        <f ca="1">SUM('Banco de Dados'!$AM1901:$AP1901)</f>
        <v>0</v>
      </c>
      <c r="AR1901" s="8"/>
      <c r="AS1901" s="8"/>
      <c r="AT1901"/>
      <c r="AY1901" s="8"/>
    </row>
    <row r="1902" spans="1:51">
      <c r="A1902" s="5" t="str">
        <v>BV</v>
      </c>
      <c r="B1902" s="5" t="str">
        <f ca="1"/>
        <v>BV45846</v>
      </c>
      <c r="C1902" s="8" t="str">
        <v>Pedido 1888</v>
      </c>
      <c r="D1902" s="187">
        <v>45845</v>
      </c>
      <c r="E1902" s="9">
        <v>45846</v>
      </c>
      <c r="F1902" s="2" t="str">
        <v>PedidoF1773</v>
      </c>
      <c r="G1902" s="2" t="str">
        <v>CódRastreio1771</v>
      </c>
      <c r="H1902" s="5">
        <v>1</v>
      </c>
      <c r="I1902" s="182" t="str">
        <v>CPF 1844</v>
      </c>
      <c r="J1902" s="2" t="str">
        <v>Nome 1844</v>
      </c>
      <c r="K1902" s="8" t="str">
        <v>Tel 1844</v>
      </c>
      <c r="L1902" s="8" t="str">
        <v>Cep 1844</v>
      </c>
      <c r="M1902" s="8" t="str">
        <v>Rua 1844</v>
      </c>
      <c r="N1902" s="8" t="str">
        <v>Comp 1844</v>
      </c>
      <c r="O1902" s="8" t="str">
        <v>Brinquedo Bola Giratória voadora</v>
      </c>
      <c r="P1902" s="8" t="str">
        <v>ZV-W7II-K7TO</v>
      </c>
      <c r="Q1902" s="4">
        <v>45864</v>
      </c>
      <c r="R1902" s="109">
        <v>41.9</v>
      </c>
      <c r="S1902" s="11">
        <f ca="1"/>
        <v>41.9</v>
      </c>
      <c r="T1902" s="28">
        <f ca="1"/>
        <v>5.0279999999999996</v>
      </c>
      <c r="U1902" s="11">
        <f ca="1"/>
        <v>36.869999999999997</v>
      </c>
      <c r="V1902" s="11">
        <v>40.369999999999997</v>
      </c>
      <c r="W1902" s="11">
        <f ca="1"/>
        <v>0</v>
      </c>
      <c r="X1902" s="11">
        <f ca="1"/>
        <v>0.39877104377104378</v>
      </c>
      <c r="Y1902" s="11">
        <v>1</v>
      </c>
      <c r="Z1902" s="11">
        <f ca="1"/>
        <v>-4.8987710437710419</v>
      </c>
      <c r="AA1902" s="11">
        <f ca="1"/>
        <v>-2.4493855218855209</v>
      </c>
      <c r="AB1902" s="4">
        <f ca="1"/>
        <v>45871</v>
      </c>
      <c r="AC1902" s="4">
        <v>45871</v>
      </c>
      <c r="AD1902" s="9">
        <v>45887</v>
      </c>
      <c r="AE1902" s="9">
        <v>45888</v>
      </c>
      <c r="AF1902" s="4" t="str">
        <f t="shared" ref="AF1902:AF1916" ca="1" si="139">_xlfn.CONCAT(PROPER(TEXT(AB1902,"aaaa"))," ",PROPER(TEXT(AB1902,"mm")))</f>
        <v>2025 08</v>
      </c>
      <c r="AG1902" s="8" t="str" cm="1">
        <f t="array" ref="AG1902">IFERROR(_xlfn.IFS('Banco de Dados'!#REF!="AG. COMPRA","Em processamento",'Banco de Dados'!#REF!="AG. RASTREIO","Em processamento",'Banco de Dados'!$AE1902&lt;&gt;"-","Faturado",'Banco de Dados'!$AD1902&lt;&gt;"-","Aguardando Pix",'Banco de Dados'!$AC1902&lt;&gt;"-","Pendente"),"Aguardando Liberação")</f>
        <v>Aguardando Liberação</v>
      </c>
      <c r="AH1902" s="5" t="str">
        <f>IF('Banco de Dados'!$F1902="-",_xlfn.CONCAT(PROPER(TEXT(AK1902,"aaaa"))," ",PROPER(TEXT(AK1902,"mm"))),_xlfn.CONCAT(PROPER(TEXT(E1902,"aaaa"))," ",PROPER(TEXT(E1902,"mm"))))</f>
        <v>2025 07</v>
      </c>
      <c r="AI1902" s="9" t="str">
        <f ca="1">IF('Banco de Dados'!$AK1902&lt;&gt;"-","REEMBOLSO",IFERROR(_xlfn.XLOOKUP(G1902,Follow[CODRASTREIO],Follow[STATUS]),"-"))</f>
        <v>ENTREGUE</v>
      </c>
      <c r="AJ1902" s="9">
        <f ca="1">IF('Banco de Dados'!$AI1902="ENTREGUE",_xlfn.XLOOKUP('Banco de Dados'!$G1902,Follow[CODRASTREIO],Follow[DATAATUALIZAÇÃO]),"-")</f>
        <v>45852</v>
      </c>
      <c r="AK1902" s="132" t="str">
        <f ca="1"/>
        <v>-</v>
      </c>
      <c r="AL1902" s="35"/>
      <c r="AM1902" s="109" cm="1">
        <f t="array" aca="1" ref="AM1902" ca="1">IF('Banco de Dados'!$AK1902&lt;&gt;"-",_xlfn.IFS('Banco de Dados'!$A1902="bv",IF('Banco de Dados'!$E1902&lt;45641,ROUND(SUM('Banco de Dados'!$R1902*_xlfn.XLOOKUP('Banco de Dados'!$P1902,Sku!B:B,Sku!#REF!)*20%),2),ROUND(SUM('Banco de Dados'!$R1902*_xlfn.XLOOKUP('Banco de Dados'!$P1902,Sku!B:B,Sku!H:H)*20%),2)),'Banco de Dados'!$A1902="GO",ROUND(_xlfn.XLOOKUP('Banco de Dados'!$P1902,Sku!C:C,Sku!H:H),2),'Banco de Dados'!$A1902="MEI",ROUND(_xlfn.XLOOKUP('Banco de Dados'!$P1902,Sku!D:D,Sku!H:H),2)),0)</f>
        <v>0</v>
      </c>
      <c r="AN1902" s="109">
        <v>0</v>
      </c>
      <c r="AO1902" s="109">
        <v>0</v>
      </c>
      <c r="AP1902" s="28">
        <f ca="1">IF('Banco de Dados'!$AK1902&lt;&gt;"-",IF('Banco de Dados'!$AL1902="NÃO",IFERROR(VALUE(SUBSTITUTE(_xlfn.TEXTAFTER('Banco de Dados'!$F1902,"BRL ",1),".",",")),0),0),0)</f>
        <v>0</v>
      </c>
      <c r="AQ1902" s="28">
        <f ca="1">SUM('Banco de Dados'!$AM1902:$AP1902)</f>
        <v>0</v>
      </c>
      <c r="AR1902" s="8"/>
      <c r="AS1902" s="8"/>
      <c r="AT1902"/>
      <c r="AY1902" s="8"/>
    </row>
    <row r="1903" spans="1:51">
      <c r="A1903" s="5" t="str">
        <v>BV</v>
      </c>
      <c r="B1903" s="5" t="str">
        <f ca="1"/>
        <v>BV45846</v>
      </c>
      <c r="C1903" s="8" t="str">
        <v>Pedido 1889</v>
      </c>
      <c r="D1903" s="187">
        <v>45845</v>
      </c>
      <c r="E1903" s="9">
        <v>45846</v>
      </c>
      <c r="F1903" s="2" t="str">
        <v>PedidoF1774</v>
      </c>
      <c r="G1903" s="2" t="str">
        <v>CódRastreio1772</v>
      </c>
      <c r="H1903" s="5">
        <v>1</v>
      </c>
      <c r="I1903" s="182" t="str">
        <v>CPF 1845</v>
      </c>
      <c r="J1903" s="2" t="str">
        <v>Nome 1845</v>
      </c>
      <c r="K1903" s="8" t="str">
        <v>Tel 1845</v>
      </c>
      <c r="L1903" s="8" t="str">
        <v>Cep 1845</v>
      </c>
      <c r="M1903" s="8" t="str">
        <v>Rua 1845</v>
      </c>
      <c r="N1903" s="8" t="str">
        <v>Comp 1845</v>
      </c>
      <c r="O1903" s="8" t="str">
        <v>Brinquedo Bola Giratória voadora</v>
      </c>
      <c r="P1903" s="8" t="str">
        <v>ZV-W7II-K7TO</v>
      </c>
      <c r="Q1903" s="4">
        <v>45862</v>
      </c>
      <c r="R1903" s="109">
        <v>41.9</v>
      </c>
      <c r="S1903" s="11">
        <f ca="1"/>
        <v>41.9</v>
      </c>
      <c r="T1903" s="28">
        <f ca="1"/>
        <v>5.0279999999999996</v>
      </c>
      <c r="U1903" s="11">
        <f ca="1"/>
        <v>36.869999999999997</v>
      </c>
      <c r="V1903" s="11">
        <v>40.799999999999997</v>
      </c>
      <c r="W1903" s="11">
        <f ca="1"/>
        <v>0</v>
      </c>
      <c r="X1903" s="11">
        <f ca="1"/>
        <v>0.39877104377104378</v>
      </c>
      <c r="Y1903" s="11">
        <v>0</v>
      </c>
      <c r="Z1903" s="11">
        <f ca="1"/>
        <v>-4.3287710437710416</v>
      </c>
      <c r="AA1903" s="11">
        <f ca="1"/>
        <v>-2.1643855218855208</v>
      </c>
      <c r="AB1903" s="4">
        <f ca="1"/>
        <v>45869</v>
      </c>
      <c r="AC1903" s="4">
        <v>45869</v>
      </c>
      <c r="AD1903" s="9">
        <v>45870</v>
      </c>
      <c r="AE1903" s="9">
        <v>45873</v>
      </c>
      <c r="AF1903" s="4" t="str">
        <f t="shared" ca="1" si="139"/>
        <v>2025 07</v>
      </c>
      <c r="AG1903" s="8" t="str" cm="1">
        <f t="array" ref="AG1903">IFERROR(_xlfn.IFS('Banco de Dados'!#REF!="AG. COMPRA","Em processamento",'Banco de Dados'!#REF!="AG. RASTREIO","Em processamento",'Banco de Dados'!$AE1903&lt;&gt;"-","Faturado",'Banco de Dados'!$AD1903&lt;&gt;"-","Aguardando Pix",'Banco de Dados'!$AC1903&lt;&gt;"-","Pendente"),"Aguardando Liberação")</f>
        <v>Aguardando Liberação</v>
      </c>
      <c r="AH1903" s="5" t="str">
        <f>IF('Banco de Dados'!$F1903="-",_xlfn.CONCAT(PROPER(TEXT(AK1903,"aaaa"))," ",PROPER(TEXT(AK1903,"mm"))),_xlfn.CONCAT(PROPER(TEXT(E1903,"aaaa"))," ",PROPER(TEXT(E1903,"mm"))))</f>
        <v>2025 07</v>
      </c>
      <c r="AI1903" s="9" t="str">
        <f ca="1">IF('Banco de Dados'!$AK1903&lt;&gt;"-","REEMBOLSO",IFERROR(_xlfn.XLOOKUP(G1903,Follow[CODRASTREIO],Follow[STATUS]),"-"))</f>
        <v>ENTREGUE</v>
      </c>
      <c r="AJ1903" s="9">
        <f ca="1">IF('Banco de Dados'!$AI1903="ENTREGUE",_xlfn.XLOOKUP('Banco de Dados'!$G1903,Follow[CODRASTREIO],Follow[DATAATUALIZAÇÃO]),"-")</f>
        <v>45851</v>
      </c>
      <c r="AK1903" s="132" t="str">
        <f ca="1"/>
        <v>-</v>
      </c>
      <c r="AL1903" s="35"/>
      <c r="AM1903" s="109" cm="1">
        <f t="array" aca="1" ref="AM1903" ca="1">IF('Banco de Dados'!$AK1903&lt;&gt;"-",_xlfn.IFS('Banco de Dados'!$A1903="bv",IF('Banco de Dados'!$E1903&lt;45641,ROUND(SUM('Banco de Dados'!$R1903*_xlfn.XLOOKUP('Banco de Dados'!$P1903,Sku!B:B,Sku!#REF!)*20%),2),ROUND(SUM('Banco de Dados'!$R1903*_xlfn.XLOOKUP('Banco de Dados'!$P1903,Sku!B:B,Sku!H:H)*20%),2)),'Banco de Dados'!$A1903="GO",ROUND(_xlfn.XLOOKUP('Banco de Dados'!$P1903,Sku!C:C,Sku!H:H),2),'Banco de Dados'!$A1903="MEI",ROUND(_xlfn.XLOOKUP('Banco de Dados'!$P1903,Sku!D:D,Sku!H:H),2)),0)</f>
        <v>0</v>
      </c>
      <c r="AN1903" s="109">
        <v>0</v>
      </c>
      <c r="AO1903" s="109">
        <v>0</v>
      </c>
      <c r="AP1903" s="28">
        <f ca="1">IF('Banco de Dados'!$AK1903&lt;&gt;"-",IF('Banco de Dados'!$AL1903="NÃO",IFERROR(VALUE(SUBSTITUTE(_xlfn.TEXTAFTER('Banco de Dados'!$F1903,"BRL ",1),".",",")),0),0),0)</f>
        <v>0</v>
      </c>
      <c r="AQ1903" s="28">
        <f ca="1">SUM('Banco de Dados'!$AM1903:$AP1903)</f>
        <v>0</v>
      </c>
      <c r="AR1903" s="8"/>
      <c r="AS1903" s="8"/>
      <c r="AT1903"/>
      <c r="AY1903" s="8"/>
    </row>
    <row r="1904" spans="1:51">
      <c r="A1904" s="5" t="str">
        <v>BV</v>
      </c>
      <c r="B1904" s="5" t="str">
        <f ca="1"/>
        <v>BV45847</v>
      </c>
      <c r="C1904" s="8" t="str">
        <v>Pedido 1890</v>
      </c>
      <c r="D1904" s="187">
        <v>45845</v>
      </c>
      <c r="E1904" s="9">
        <v>45847</v>
      </c>
      <c r="F1904" s="2" t="str">
        <v>PedidoF1775</v>
      </c>
      <c r="G1904" s="2" t="str">
        <v>CódRastreio1773</v>
      </c>
      <c r="H1904" s="5">
        <v>1</v>
      </c>
      <c r="I1904" s="182" t="str">
        <v>CPF 1846</v>
      </c>
      <c r="J1904" s="2" t="str">
        <v>Nome 1846</v>
      </c>
      <c r="K1904" s="8" t="str">
        <v>Tel 1846</v>
      </c>
      <c r="L1904" s="8" t="str">
        <v>Cep 1846</v>
      </c>
      <c r="M1904" s="8" t="str">
        <v>Rua 1846</v>
      </c>
      <c r="N1904" s="8" t="str">
        <v>Comp 1846</v>
      </c>
      <c r="O1904" s="8" t="str">
        <v>Máquina de cortar cabelo dragão</v>
      </c>
      <c r="P1904" s="8" t="str">
        <v>HG-2FNR-01A9</v>
      </c>
      <c r="Q1904" s="4">
        <v>45862</v>
      </c>
      <c r="R1904" s="109">
        <v>23</v>
      </c>
      <c r="S1904" s="11">
        <f ca="1"/>
        <v>23</v>
      </c>
      <c r="T1904" s="28">
        <f ca="1"/>
        <v>2.76</v>
      </c>
      <c r="U1904" s="11">
        <f ca="1"/>
        <v>20.239999999999998</v>
      </c>
      <c r="V1904" s="11">
        <v>16.93</v>
      </c>
      <c r="W1904" s="11">
        <f ca="1"/>
        <v>0</v>
      </c>
      <c r="X1904" s="11">
        <f ca="1"/>
        <v>0.39877104377104378</v>
      </c>
      <c r="Y1904" s="11">
        <v>0</v>
      </c>
      <c r="Z1904" s="11">
        <f ca="1"/>
        <v>2.9112289562289533</v>
      </c>
      <c r="AA1904" s="11">
        <f ca="1"/>
        <v>1.4556144781144766</v>
      </c>
      <c r="AB1904" s="4">
        <f ca="1"/>
        <v>45869</v>
      </c>
      <c r="AC1904" s="4">
        <v>45869</v>
      </c>
      <c r="AD1904" s="9">
        <v>45870</v>
      </c>
      <c r="AE1904" s="9">
        <v>45873</v>
      </c>
      <c r="AF1904" s="4" t="str">
        <f t="shared" ca="1" si="139"/>
        <v>2025 07</v>
      </c>
      <c r="AG1904" s="8" t="str" cm="1">
        <f t="array" ref="AG1904">IFERROR(_xlfn.IFS('Banco de Dados'!#REF!="AG. COMPRA","Em processamento",'Banco de Dados'!#REF!="AG. RASTREIO","Em processamento",'Banco de Dados'!$AE1904&lt;&gt;"-","Faturado",'Banco de Dados'!$AD1904&lt;&gt;"-","Aguardando Pix",'Banco de Dados'!$AC1904&lt;&gt;"-","Pendente"),"Aguardando Liberação")</f>
        <v>Aguardando Liberação</v>
      </c>
      <c r="AH1904" s="5" t="str">
        <f>IF('Banco de Dados'!$F1904="-",_xlfn.CONCAT(PROPER(TEXT(AK1904,"aaaa"))," ",PROPER(TEXT(AK1904,"mm"))),_xlfn.CONCAT(PROPER(TEXT(E1904,"aaaa"))," ",PROPER(TEXT(E1904,"mm"))))</f>
        <v>2025 07</v>
      </c>
      <c r="AI1904" s="9" t="str">
        <f ca="1">IF('Banco de Dados'!$AK1904&lt;&gt;"-","REEMBOLSO",IFERROR(_xlfn.XLOOKUP(G1904,Follow[CODRASTREIO],Follow[STATUS]),"-"))</f>
        <v>ENTREGUE</v>
      </c>
      <c r="AJ1904" s="9">
        <f ca="1">IF('Banco de Dados'!$AI1904="ENTREGUE",_xlfn.XLOOKUP('Banco de Dados'!$G1904,Follow[CODRASTREIO],Follow[DATAATUALIZAÇÃO]),"-")</f>
        <v>45856</v>
      </c>
      <c r="AK1904" s="132" t="str">
        <f ca="1"/>
        <v>-</v>
      </c>
      <c r="AL1904" s="35"/>
      <c r="AM1904" s="109" cm="1">
        <f t="array" aca="1" ref="AM1904" ca="1">IF('Banco de Dados'!$AK1904&lt;&gt;"-",_xlfn.IFS('Banco de Dados'!$A1904="bv",IF('Banco de Dados'!$E1904&lt;45641,ROUND(SUM('Banco de Dados'!$R1904*_xlfn.XLOOKUP('Banco de Dados'!$P1904,Sku!B:B,Sku!#REF!)*20%),2),ROUND(SUM('Banco de Dados'!$R1904*_xlfn.XLOOKUP('Banco de Dados'!$P1904,Sku!B:B,Sku!H:H)*20%),2)),'Banco de Dados'!$A1904="GO",ROUND(_xlfn.XLOOKUP('Banco de Dados'!$P1904,Sku!C:C,Sku!H:H),2),'Banco de Dados'!$A1904="MEI",ROUND(_xlfn.XLOOKUP('Banco de Dados'!$P1904,Sku!D:D,Sku!H:H),2)),0)</f>
        <v>0</v>
      </c>
      <c r="AN1904" s="109">
        <v>0</v>
      </c>
      <c r="AO1904" s="109">
        <v>0</v>
      </c>
      <c r="AP1904" s="28">
        <f ca="1">IF('Banco de Dados'!$AK1904&lt;&gt;"-",IF('Banco de Dados'!$AL1904="NÃO",IFERROR(VALUE(SUBSTITUTE(_xlfn.TEXTAFTER('Banco de Dados'!$F1904,"BRL ",1),".",",")),0),0),0)</f>
        <v>0</v>
      </c>
      <c r="AQ1904" s="28">
        <f ca="1">SUM('Banco de Dados'!$AM1904:$AP1904)</f>
        <v>0</v>
      </c>
      <c r="AR1904" s="8"/>
      <c r="AS1904" s="8"/>
      <c r="AT1904"/>
      <c r="AY1904" s="8"/>
    </row>
    <row r="1905" spans="1:51">
      <c r="A1905" s="5" t="str">
        <v>BV</v>
      </c>
      <c r="B1905" s="5" t="str">
        <f ca="1"/>
        <v>BV45847</v>
      </c>
      <c r="C1905" s="8" t="str">
        <v>Pedido 1891</v>
      </c>
      <c r="D1905" s="187">
        <v>45846</v>
      </c>
      <c r="E1905" s="9">
        <v>45847</v>
      </c>
      <c r="F1905" s="2" t="str">
        <v>PedidoF1776</v>
      </c>
      <c r="G1905" s="2" t="str">
        <v>CódRastreio1774</v>
      </c>
      <c r="H1905" s="5">
        <v>1</v>
      </c>
      <c r="I1905" s="182" t="str">
        <v>CPF 1847</v>
      </c>
      <c r="J1905" s="2" t="str">
        <v>Nome 1847</v>
      </c>
      <c r="K1905" s="8" t="str">
        <v>Tel 1847</v>
      </c>
      <c r="L1905" s="8" t="str">
        <v>Cep 1847</v>
      </c>
      <c r="M1905" s="8" t="str">
        <v>Rua 1847</v>
      </c>
      <c r="N1905" s="8" t="str">
        <v>Comp 1847</v>
      </c>
      <c r="O1905" s="8" t="str">
        <v>Máquina de cortar cabelo dragão</v>
      </c>
      <c r="P1905" s="8" t="str">
        <v>HG-2FNR-01A9</v>
      </c>
      <c r="Q1905" s="4">
        <v>45864</v>
      </c>
      <c r="R1905" s="109">
        <v>23</v>
      </c>
      <c r="S1905" s="11">
        <f ca="1"/>
        <v>23</v>
      </c>
      <c r="T1905" s="28">
        <f ca="1"/>
        <v>2.76</v>
      </c>
      <c r="U1905" s="11">
        <f ca="1"/>
        <v>20.239999999999998</v>
      </c>
      <c r="V1905" s="11">
        <v>17.03</v>
      </c>
      <c r="W1905" s="11">
        <f ca="1"/>
        <v>0</v>
      </c>
      <c r="X1905" s="11">
        <f ca="1"/>
        <v>0.39877104377104378</v>
      </c>
      <c r="Y1905" s="11">
        <v>0</v>
      </c>
      <c r="Z1905" s="11">
        <f ca="1"/>
        <v>2.8112289562289519</v>
      </c>
      <c r="AA1905" s="11">
        <f ca="1"/>
        <v>1.4056144781144759</v>
      </c>
      <c r="AB1905" s="4">
        <f ca="1"/>
        <v>45871</v>
      </c>
      <c r="AC1905" s="4">
        <v>45871</v>
      </c>
      <c r="AD1905" s="9">
        <v>45887</v>
      </c>
      <c r="AE1905" s="9">
        <v>45888</v>
      </c>
      <c r="AF1905" s="4" t="str">
        <f t="shared" ca="1" si="139"/>
        <v>2025 08</v>
      </c>
      <c r="AG1905" s="8" t="str" cm="1">
        <f t="array" ref="AG1905">IFERROR(_xlfn.IFS('Banco de Dados'!#REF!="AG. COMPRA","Em processamento",'Banco de Dados'!#REF!="AG. RASTREIO","Em processamento",'Banco de Dados'!$AE1905&lt;&gt;"-","Faturado",'Banco de Dados'!$AD1905&lt;&gt;"-","Aguardando Pix",'Banco de Dados'!$AC1905&lt;&gt;"-","Pendente"),"Aguardando Liberação")</f>
        <v>Aguardando Liberação</v>
      </c>
      <c r="AH1905" s="5" t="str">
        <f>IF('Banco de Dados'!$F1905="-",_xlfn.CONCAT(PROPER(TEXT(AK1905,"aaaa"))," ",PROPER(TEXT(AK1905,"mm"))),_xlfn.CONCAT(PROPER(TEXT(E1905,"aaaa"))," ",PROPER(TEXT(E1905,"mm"))))</f>
        <v>2025 07</v>
      </c>
      <c r="AI1905" s="9" t="str">
        <f ca="1">IF('Banco de Dados'!$AK1905&lt;&gt;"-","REEMBOLSO",IFERROR(_xlfn.XLOOKUP(G1905,Follow[CODRASTREIO],Follow[STATUS]),"-"))</f>
        <v>ENTREGUE</v>
      </c>
      <c r="AJ1905" s="9">
        <f ca="1">IF('Banco de Dados'!$AI1905="ENTREGUE",_xlfn.XLOOKUP('Banco de Dados'!$G1905,Follow[CODRASTREIO],Follow[DATAATUALIZAÇÃO]),"-")</f>
        <v>45859</v>
      </c>
      <c r="AK1905" s="132" t="str">
        <f ca="1"/>
        <v>-</v>
      </c>
      <c r="AL1905" s="35"/>
      <c r="AM1905" s="109" cm="1">
        <f t="array" aca="1" ref="AM1905" ca="1">IF('Banco de Dados'!$AK1905&lt;&gt;"-",_xlfn.IFS('Banco de Dados'!$A1905="bv",IF('Banco de Dados'!$E1905&lt;45641,ROUND(SUM('Banco de Dados'!$R1905*_xlfn.XLOOKUP('Banco de Dados'!$P1905,Sku!B:B,Sku!#REF!)*20%),2),ROUND(SUM('Banco de Dados'!$R1905*_xlfn.XLOOKUP('Banco de Dados'!$P1905,Sku!B:B,Sku!H:H)*20%),2)),'Banco de Dados'!$A1905="GO",ROUND(_xlfn.XLOOKUP('Banco de Dados'!$P1905,Sku!C:C,Sku!H:H),2),'Banco de Dados'!$A1905="MEI",ROUND(_xlfn.XLOOKUP('Banco de Dados'!$P1905,Sku!D:D,Sku!H:H),2)),0)</f>
        <v>0</v>
      </c>
      <c r="AN1905" s="109">
        <v>0</v>
      </c>
      <c r="AO1905" s="109">
        <v>0</v>
      </c>
      <c r="AP1905" s="28">
        <f ca="1">IF('Banco de Dados'!$AK1905&lt;&gt;"-",IF('Banco de Dados'!$AL1905="NÃO",IFERROR(VALUE(SUBSTITUTE(_xlfn.TEXTAFTER('Banco de Dados'!$F1905,"BRL ",1),".",",")),0),0),0)</f>
        <v>0</v>
      </c>
      <c r="AQ1905" s="28">
        <f ca="1">SUM('Banco de Dados'!$AM1905:$AP1905)</f>
        <v>0</v>
      </c>
      <c r="AR1905" s="8"/>
      <c r="AS1905" s="8"/>
      <c r="AT1905"/>
      <c r="AY1905" s="8"/>
    </row>
    <row r="1906" spans="1:51">
      <c r="A1906" s="5" t="str">
        <v>BV</v>
      </c>
      <c r="B1906" s="5" t="str">
        <f ca="1"/>
        <v>BV45849</v>
      </c>
      <c r="C1906" s="8" t="str">
        <v>Pedido 1892</v>
      </c>
      <c r="D1906" s="187">
        <v>45846</v>
      </c>
      <c r="E1906" s="9">
        <v>45849</v>
      </c>
      <c r="F1906" s="2" t="str">
        <v>PedidoF1777</v>
      </c>
      <c r="G1906" s="2" t="str">
        <v>CódRastreio1775</v>
      </c>
      <c r="H1906" s="5">
        <v>1</v>
      </c>
      <c r="I1906" s="182" t="str">
        <v>CPF 1848</v>
      </c>
      <c r="J1906" s="2" t="str">
        <v>Nome 1848</v>
      </c>
      <c r="K1906" s="8" t="str">
        <v>Tel 1848</v>
      </c>
      <c r="L1906" s="8" t="str">
        <v>Cep 1848</v>
      </c>
      <c r="M1906" s="8" t="str">
        <v>Rua 1848</v>
      </c>
      <c r="N1906" s="8" t="str">
        <v>Comp 1848</v>
      </c>
      <c r="O1906" s="8" t="str">
        <v>Bolsa térmica</v>
      </c>
      <c r="P1906" s="8" t="str">
        <v>6I-CK1S-8HYZ</v>
      </c>
      <c r="Q1906" s="4">
        <v>45864</v>
      </c>
      <c r="R1906" s="109">
        <v>28.5</v>
      </c>
      <c r="S1906" s="11">
        <f ca="1"/>
        <v>28.5</v>
      </c>
      <c r="T1906" s="28">
        <f ca="1"/>
        <v>3.42</v>
      </c>
      <c r="U1906" s="11">
        <f ca="1"/>
        <v>25.08</v>
      </c>
      <c r="V1906" s="11">
        <v>20</v>
      </c>
      <c r="W1906" s="11">
        <f ca="1"/>
        <v>0</v>
      </c>
      <c r="X1906" s="11">
        <f ca="1"/>
        <v>0.39877104377104378</v>
      </c>
      <c r="Y1906" s="11">
        <v>0</v>
      </c>
      <c r="Z1906" s="11">
        <f ca="1"/>
        <v>4.6812289562289529</v>
      </c>
      <c r="AA1906" s="11">
        <f ca="1"/>
        <v>2.3406144781144764</v>
      </c>
      <c r="AB1906" s="4">
        <f ca="1"/>
        <v>45871</v>
      </c>
      <c r="AC1906" s="4">
        <v>45871</v>
      </c>
      <c r="AD1906" s="9">
        <v>45887</v>
      </c>
      <c r="AE1906" s="9">
        <v>45888</v>
      </c>
      <c r="AF1906" s="4" t="str">
        <f t="shared" ca="1" si="139"/>
        <v>2025 08</v>
      </c>
      <c r="AG1906" s="8" t="str" cm="1">
        <f t="array" ref="AG1906">IFERROR(_xlfn.IFS('Banco de Dados'!#REF!="AG. COMPRA","Em processamento",'Banco de Dados'!#REF!="AG. RASTREIO","Em processamento",'Banco de Dados'!$AE1906&lt;&gt;"-","Faturado",'Banco de Dados'!$AD1906&lt;&gt;"-","Aguardando Pix",'Banco de Dados'!$AC1906&lt;&gt;"-","Pendente"),"Aguardando Liberação")</f>
        <v>Aguardando Liberação</v>
      </c>
      <c r="AH1906" s="5" t="str">
        <f>IF('Banco de Dados'!$F1906="-",_xlfn.CONCAT(PROPER(TEXT(AK1906,"aaaa"))," ",PROPER(TEXT(AK1906,"mm"))),_xlfn.CONCAT(PROPER(TEXT(E1906,"aaaa"))," ",PROPER(TEXT(E1906,"mm"))))</f>
        <v>2025 07</v>
      </c>
      <c r="AI1906" s="9" t="str">
        <f ca="1">IF('Banco de Dados'!$AK1906&lt;&gt;"-","REEMBOLSO",IFERROR(_xlfn.XLOOKUP(G1906,Follow[CODRASTREIO],Follow[STATUS]),"-"))</f>
        <v>ENTREGUE</v>
      </c>
      <c r="AJ1906" s="9">
        <f ca="1">IF('Banco de Dados'!$AI1906="ENTREGUE",_xlfn.XLOOKUP('Banco de Dados'!$G1906,Follow[CODRASTREIO],Follow[DATAATUALIZAÇÃO]),"-")</f>
        <v>45852</v>
      </c>
      <c r="AK1906" s="132" t="str">
        <f ca="1"/>
        <v>-</v>
      </c>
      <c r="AL1906" s="35"/>
      <c r="AM1906" s="109" cm="1">
        <f t="array" aca="1" ref="AM1906" ca="1">IF('Banco de Dados'!$AK1906&lt;&gt;"-",_xlfn.IFS('Banco de Dados'!$A1906="bv",IF('Banco de Dados'!$E1906&lt;45641,ROUND(SUM('Banco de Dados'!$R1906*_xlfn.XLOOKUP('Banco de Dados'!$P1906,Sku!B:B,Sku!#REF!)*20%),2),ROUND(SUM('Banco de Dados'!$R1906*_xlfn.XLOOKUP('Banco de Dados'!$P1906,Sku!B:B,Sku!H:H)*20%),2)),'Banco de Dados'!$A1906="GO",ROUND(_xlfn.XLOOKUP('Banco de Dados'!$P1906,Sku!C:C,Sku!H:H),2),'Banco de Dados'!$A1906="MEI",ROUND(_xlfn.XLOOKUP('Banco de Dados'!$P1906,Sku!D:D,Sku!H:H),2)),0)</f>
        <v>0</v>
      </c>
      <c r="AN1906" s="109">
        <v>0</v>
      </c>
      <c r="AO1906" s="109">
        <v>0</v>
      </c>
      <c r="AP1906" s="28">
        <f ca="1">IF('Banco de Dados'!$AK1906&lt;&gt;"-",IF('Banco de Dados'!$AL1906="NÃO",IFERROR(VALUE(SUBSTITUTE(_xlfn.TEXTAFTER('Banco de Dados'!$F1906,"BRL ",1),".",",")),0),0),0)</f>
        <v>0</v>
      </c>
      <c r="AQ1906" s="28">
        <f ca="1">SUM('Banco de Dados'!$AM1906:$AP1906)</f>
        <v>0</v>
      </c>
      <c r="AR1906" s="8"/>
      <c r="AS1906" s="8"/>
      <c r="AT1906"/>
      <c r="AY1906" s="8"/>
    </row>
    <row r="1907" spans="1:51">
      <c r="A1907" s="5" t="str">
        <v>BV</v>
      </c>
      <c r="B1907" s="5" t="str">
        <f ca="1"/>
        <v>BV45849</v>
      </c>
      <c r="C1907" s="8" t="str">
        <v>Pedido 1893</v>
      </c>
      <c r="D1907" s="187">
        <v>45846</v>
      </c>
      <c r="E1907" s="9">
        <v>45849</v>
      </c>
      <c r="F1907" s="2" t="str">
        <v>PedidoF1778</v>
      </c>
      <c r="G1907" s="2" t="str">
        <v>CódRastreio1776</v>
      </c>
      <c r="H1907" s="5">
        <v>1</v>
      </c>
      <c r="I1907" s="182" t="str">
        <v>CPF 1849</v>
      </c>
      <c r="J1907" s="2" t="str">
        <v>Nome 1849</v>
      </c>
      <c r="K1907" s="8" t="str">
        <v>Tel 1849</v>
      </c>
      <c r="L1907" s="8" t="str">
        <v>Cep 1849</v>
      </c>
      <c r="M1907" s="8" t="str">
        <v>Rua 1849</v>
      </c>
      <c r="N1907" s="8" t="str">
        <v>Comp 1849</v>
      </c>
      <c r="O1907" s="8" t="str">
        <v>Bolsa térmica</v>
      </c>
      <c r="P1907" s="8" t="str">
        <v>6I-CK1S-8HYZ</v>
      </c>
      <c r="Q1907" s="4">
        <v>45864</v>
      </c>
      <c r="R1907" s="109">
        <v>28.5</v>
      </c>
      <c r="S1907" s="11">
        <f ca="1"/>
        <v>28.5</v>
      </c>
      <c r="T1907" s="28">
        <f ca="1"/>
        <v>3.42</v>
      </c>
      <c r="U1907" s="11">
        <f ca="1"/>
        <v>25.08</v>
      </c>
      <c r="V1907" s="11">
        <v>20.190000000000001</v>
      </c>
      <c r="W1907" s="11">
        <f ca="1"/>
        <v>0</v>
      </c>
      <c r="X1907" s="11">
        <f ca="1"/>
        <v>0.39877104377104378</v>
      </c>
      <c r="Y1907" s="11">
        <v>0</v>
      </c>
      <c r="Z1907" s="11">
        <f ca="1"/>
        <v>4.4912289562289516</v>
      </c>
      <c r="AA1907" s="11">
        <f ca="1"/>
        <v>2.2456144781144758</v>
      </c>
      <c r="AB1907" s="4">
        <f ca="1"/>
        <v>45871</v>
      </c>
      <c r="AC1907" s="4">
        <v>45871</v>
      </c>
      <c r="AD1907" s="9">
        <v>45887</v>
      </c>
      <c r="AE1907" s="9">
        <v>45888</v>
      </c>
      <c r="AF1907" s="4" t="str">
        <f t="shared" ca="1" si="139"/>
        <v>2025 08</v>
      </c>
      <c r="AG1907" s="8" t="str" cm="1">
        <f t="array" ref="AG1907">IFERROR(_xlfn.IFS('Banco de Dados'!#REF!="AG. COMPRA","Em processamento",'Banco de Dados'!#REF!="AG. RASTREIO","Em processamento",'Banco de Dados'!$AE1907&lt;&gt;"-","Faturado",'Banco de Dados'!$AD1907&lt;&gt;"-","Aguardando Pix",'Banco de Dados'!$AC1907&lt;&gt;"-","Pendente"),"Aguardando Liberação")</f>
        <v>Aguardando Liberação</v>
      </c>
      <c r="AH1907" s="5" t="str">
        <f>IF('Banco de Dados'!$F1907="-",_xlfn.CONCAT(PROPER(TEXT(AK1907,"aaaa"))," ",PROPER(TEXT(AK1907,"mm"))),_xlfn.CONCAT(PROPER(TEXT(E1907,"aaaa"))," ",PROPER(TEXT(E1907,"mm"))))</f>
        <v>2025 07</v>
      </c>
      <c r="AI1907" s="9" t="str">
        <f ca="1">IF('Banco de Dados'!$AK1907&lt;&gt;"-","REEMBOLSO",IFERROR(_xlfn.XLOOKUP(G1907,Follow[CODRASTREIO],Follow[STATUS]),"-"))</f>
        <v>ENTREGUE</v>
      </c>
      <c r="AJ1907" s="9">
        <f ca="1">IF('Banco de Dados'!$AI1907="ENTREGUE",_xlfn.XLOOKUP('Banco de Dados'!$G1907,Follow[CODRASTREIO],Follow[DATAATUALIZAÇÃO]),"-")</f>
        <v>45859</v>
      </c>
      <c r="AK1907" s="132" t="str">
        <f ca="1"/>
        <v>-</v>
      </c>
      <c r="AL1907" s="35"/>
      <c r="AM1907" s="109" cm="1">
        <f t="array" aca="1" ref="AM1907" ca="1">IF('Banco de Dados'!$AK1907&lt;&gt;"-",_xlfn.IFS('Banco de Dados'!$A1907="bv",IF('Banco de Dados'!$E1907&lt;45641,ROUND(SUM('Banco de Dados'!$R1907*_xlfn.XLOOKUP('Banco de Dados'!$P1907,Sku!B:B,Sku!#REF!)*20%),2),ROUND(SUM('Banco de Dados'!$R1907*_xlfn.XLOOKUP('Banco de Dados'!$P1907,Sku!B:B,Sku!H:H)*20%),2)),'Banco de Dados'!$A1907="GO",ROUND(_xlfn.XLOOKUP('Banco de Dados'!$P1907,Sku!C:C,Sku!H:H),2),'Banco de Dados'!$A1907="MEI",ROUND(_xlfn.XLOOKUP('Banco de Dados'!$P1907,Sku!D:D,Sku!H:H),2)),0)</f>
        <v>0</v>
      </c>
      <c r="AN1907" s="109">
        <v>0</v>
      </c>
      <c r="AO1907" s="109">
        <v>0</v>
      </c>
      <c r="AP1907" s="28">
        <f ca="1">IF('Banco de Dados'!$AK1907&lt;&gt;"-",IF('Banco de Dados'!$AL1907="NÃO",IFERROR(VALUE(SUBSTITUTE(_xlfn.TEXTAFTER('Banco de Dados'!$F1907,"BRL ",1),".",",")),0),0),0)</f>
        <v>0</v>
      </c>
      <c r="AQ1907" s="28">
        <f ca="1">SUM('Banco de Dados'!$AM1907:$AP1907)</f>
        <v>0</v>
      </c>
      <c r="AR1907" s="8"/>
      <c r="AS1907" s="8"/>
      <c r="AT1907"/>
      <c r="AY1907" s="8"/>
    </row>
    <row r="1908" spans="1:51">
      <c r="A1908" s="5" t="str">
        <v>BV</v>
      </c>
      <c r="B1908" s="5" t="str">
        <f ca="1"/>
        <v>BV45849</v>
      </c>
      <c r="C1908" s="8" t="str">
        <v>Pedido 1894</v>
      </c>
      <c r="D1908" s="187">
        <v>45846</v>
      </c>
      <c r="E1908" s="9">
        <v>45849</v>
      </c>
      <c r="F1908" s="2" t="str">
        <v>PedidoF1779</v>
      </c>
      <c r="G1908" s="2" t="str">
        <v>CódRastreio1777</v>
      </c>
      <c r="H1908" s="5">
        <v>1</v>
      </c>
      <c r="I1908" s="182" t="str">
        <v>CPF 1850</v>
      </c>
      <c r="J1908" s="2" t="str">
        <v>Nome 1850</v>
      </c>
      <c r="K1908" s="8" t="str">
        <v>Tel 1850</v>
      </c>
      <c r="L1908" s="8" t="str">
        <v>Cep 1850</v>
      </c>
      <c r="M1908" s="8" t="str">
        <v>Rua 1850</v>
      </c>
      <c r="N1908" s="8" t="str">
        <v>Comp 1850</v>
      </c>
      <c r="O1908" s="8" t="str">
        <v>Bolsa térmica</v>
      </c>
      <c r="P1908" s="8" t="str">
        <v>6I-CK1S-8HYZ</v>
      </c>
      <c r="Q1908" s="4">
        <v>45864</v>
      </c>
      <c r="R1908" s="109">
        <v>28.5</v>
      </c>
      <c r="S1908" s="11">
        <f ca="1"/>
        <v>28.5</v>
      </c>
      <c r="T1908" s="28">
        <f ca="1"/>
        <v>3.42</v>
      </c>
      <c r="U1908" s="11">
        <f ca="1"/>
        <v>25.08</v>
      </c>
      <c r="V1908" s="11">
        <v>20.3</v>
      </c>
      <c r="W1908" s="11">
        <f ca="1"/>
        <v>0</v>
      </c>
      <c r="X1908" s="11">
        <f ca="1"/>
        <v>0.39877104377104378</v>
      </c>
      <c r="Y1908" s="11">
        <v>0</v>
      </c>
      <c r="Z1908" s="11">
        <f ca="1"/>
        <v>4.3812289562289521</v>
      </c>
      <c r="AA1908" s="11">
        <f ca="1"/>
        <v>2.1906144781144761</v>
      </c>
      <c r="AB1908" s="4">
        <f ca="1"/>
        <v>45871</v>
      </c>
      <c r="AC1908" s="4">
        <v>45871</v>
      </c>
      <c r="AD1908" s="9">
        <v>45887</v>
      </c>
      <c r="AE1908" s="9">
        <v>45888</v>
      </c>
      <c r="AF1908" s="4" t="str">
        <f t="shared" ca="1" si="139"/>
        <v>2025 08</v>
      </c>
      <c r="AG1908" s="8" t="str" cm="1">
        <f t="array" ref="AG1908">IFERROR(_xlfn.IFS('Banco de Dados'!#REF!="AG. COMPRA","Em processamento",'Banco de Dados'!#REF!="AG. RASTREIO","Em processamento",'Banco de Dados'!$AE1908&lt;&gt;"-","Faturado",'Banco de Dados'!$AD1908&lt;&gt;"-","Aguardando Pix",'Banco de Dados'!$AC1908&lt;&gt;"-","Pendente"),"Aguardando Liberação")</f>
        <v>Aguardando Liberação</v>
      </c>
      <c r="AH1908" s="5" t="str">
        <f>IF('Banco de Dados'!$F1908="-",_xlfn.CONCAT(PROPER(TEXT(AK1908,"aaaa"))," ",PROPER(TEXT(AK1908,"mm"))),_xlfn.CONCAT(PROPER(TEXT(E1908,"aaaa"))," ",PROPER(TEXT(E1908,"mm"))))</f>
        <v>2025 07</v>
      </c>
      <c r="AI1908" s="9" t="str">
        <f ca="1">IF('Banco de Dados'!$AK1908&lt;&gt;"-","REEMBOLSO",IFERROR(_xlfn.XLOOKUP(G1908,Follow[CODRASTREIO],Follow[STATUS]),"-"))</f>
        <v>ENTREGUE</v>
      </c>
      <c r="AJ1908" s="9">
        <f ca="1">IF('Banco de Dados'!$AI1908="ENTREGUE",_xlfn.XLOOKUP('Banco de Dados'!$G1908,Follow[CODRASTREIO],Follow[DATAATUALIZAÇÃO]),"-")</f>
        <v>45859</v>
      </c>
      <c r="AK1908" s="132" t="str">
        <f ca="1"/>
        <v>-</v>
      </c>
      <c r="AL1908" s="35"/>
      <c r="AM1908" s="109" cm="1">
        <f t="array" aca="1" ref="AM1908" ca="1">IF('Banco de Dados'!$AK1908&lt;&gt;"-",_xlfn.IFS('Banco de Dados'!$A1908="bv",IF('Banco de Dados'!$E1908&lt;45641,ROUND(SUM('Banco de Dados'!$R1908*_xlfn.XLOOKUP('Banco de Dados'!$P1908,Sku!B:B,Sku!#REF!)*20%),2),ROUND(SUM('Banco de Dados'!$R1908*_xlfn.XLOOKUP('Banco de Dados'!$P1908,Sku!B:B,Sku!H:H)*20%),2)),'Banco de Dados'!$A1908="GO",ROUND(_xlfn.XLOOKUP('Banco de Dados'!$P1908,Sku!C:C,Sku!H:H),2),'Banco de Dados'!$A1908="MEI",ROUND(_xlfn.XLOOKUP('Banco de Dados'!$P1908,Sku!D:D,Sku!H:H),2)),0)</f>
        <v>0</v>
      </c>
      <c r="AN1908" s="109">
        <v>0</v>
      </c>
      <c r="AO1908" s="109">
        <v>0</v>
      </c>
      <c r="AP1908" s="28">
        <f ca="1">IF('Banco de Dados'!$AK1908&lt;&gt;"-",IF('Banco de Dados'!$AL1908="NÃO",IFERROR(VALUE(SUBSTITUTE(_xlfn.TEXTAFTER('Banco de Dados'!$F1908,"BRL ",1),".",",")),0),0),0)</f>
        <v>0</v>
      </c>
      <c r="AQ1908" s="28">
        <f ca="1">SUM('Banco de Dados'!$AM1908:$AP1908)</f>
        <v>0</v>
      </c>
      <c r="AR1908" s="8"/>
      <c r="AS1908" s="8"/>
      <c r="AT1908"/>
      <c r="AY1908" s="8"/>
    </row>
    <row r="1909" spans="1:51">
      <c r="A1909" s="5" t="str">
        <v>BV</v>
      </c>
      <c r="B1909" s="5" t="str">
        <f ca="1"/>
        <v>BV45849</v>
      </c>
      <c r="C1909" s="8" t="str">
        <v>Pedido 1895</v>
      </c>
      <c r="D1909" s="187">
        <v>45846</v>
      </c>
      <c r="E1909" s="9">
        <v>45849</v>
      </c>
      <c r="F1909" s="2" t="str">
        <v>PedidoF1780</v>
      </c>
      <c r="G1909" s="2" t="str">
        <v>CódRastreio1778</v>
      </c>
      <c r="H1909" s="5">
        <v>1</v>
      </c>
      <c r="I1909" s="182" t="str">
        <v>CPF 1851</v>
      </c>
      <c r="J1909" s="2" t="str">
        <v>Nome 1851</v>
      </c>
      <c r="K1909" s="8" t="str">
        <v>Tel 1851</v>
      </c>
      <c r="L1909" s="8" t="str">
        <v>Cep 1851</v>
      </c>
      <c r="M1909" s="8" t="str">
        <v>Rua 1851</v>
      </c>
      <c r="N1909" s="8" t="str">
        <v>Comp 1851</v>
      </c>
      <c r="O1909" s="8" t="str">
        <v>Bolsa térmica</v>
      </c>
      <c r="P1909" s="8" t="str">
        <v>6I-CK1S-8HYZ</v>
      </c>
      <c r="Q1909" s="4">
        <v>45867</v>
      </c>
      <c r="R1909" s="109">
        <v>28.5</v>
      </c>
      <c r="S1909" s="11">
        <f ca="1"/>
        <v>28.5</v>
      </c>
      <c r="T1909" s="28">
        <f ca="1"/>
        <v>3.42</v>
      </c>
      <c r="U1909" s="11">
        <f ca="1"/>
        <v>25.08</v>
      </c>
      <c r="V1909" s="11">
        <v>19.7</v>
      </c>
      <c r="W1909" s="11">
        <f ca="1"/>
        <v>0</v>
      </c>
      <c r="X1909" s="11">
        <f ca="1"/>
        <v>0.39877104377104378</v>
      </c>
      <c r="Y1909" s="11">
        <v>1</v>
      </c>
      <c r="Z1909" s="11">
        <f ca="1"/>
        <v>3.9812289562289536</v>
      </c>
      <c r="AA1909" s="11">
        <f ca="1"/>
        <v>1.9906144781144768</v>
      </c>
      <c r="AB1909" s="4">
        <f ca="1"/>
        <v>45874</v>
      </c>
      <c r="AC1909" s="4">
        <v>45874</v>
      </c>
      <c r="AD1909" s="9">
        <v>45887</v>
      </c>
      <c r="AE1909" s="9">
        <v>45888</v>
      </c>
      <c r="AF1909" s="4" t="str">
        <f t="shared" ca="1" si="139"/>
        <v>2025 08</v>
      </c>
      <c r="AG1909" s="8" t="str" cm="1">
        <f t="array" ref="AG1909">IFERROR(_xlfn.IFS('Banco de Dados'!#REF!="AG. COMPRA","Em processamento",'Banco de Dados'!#REF!="AG. RASTREIO","Em processamento",'Banco de Dados'!$AE1909&lt;&gt;"-","Faturado",'Banco de Dados'!$AD1909&lt;&gt;"-","Aguardando Pix",'Banco de Dados'!$AC1909&lt;&gt;"-","Pendente"),"Aguardando Liberação")</f>
        <v>Aguardando Liberação</v>
      </c>
      <c r="AH1909" s="5" t="str">
        <f>IF('Banco de Dados'!$F1909="-",_xlfn.CONCAT(PROPER(TEXT(AK1909,"aaaa"))," ",PROPER(TEXT(AK1909,"mm"))),_xlfn.CONCAT(PROPER(TEXT(E1909,"aaaa"))," ",PROPER(TEXT(E1909,"mm"))))</f>
        <v>2025 07</v>
      </c>
      <c r="AI1909" s="9" t="str">
        <f ca="1">IF('Banco de Dados'!$AK1909&lt;&gt;"-","REEMBOLSO",IFERROR(_xlfn.XLOOKUP(G1909,Follow[CODRASTREIO],Follow[STATUS]),"-"))</f>
        <v>ENTREGUE</v>
      </c>
      <c r="AJ1909" s="9">
        <f ca="1">IF('Banco de Dados'!$AI1909="ENTREGUE",_xlfn.XLOOKUP('Banco de Dados'!$G1909,Follow[CODRASTREIO],Follow[DATAATUALIZAÇÃO]),"-")</f>
        <v>45860</v>
      </c>
      <c r="AK1909" s="132" t="str">
        <f ca="1"/>
        <v>-</v>
      </c>
      <c r="AL1909" s="35"/>
      <c r="AM1909" s="109" cm="1">
        <f t="array" aca="1" ref="AM1909" ca="1">IF('Banco de Dados'!$AK1909&lt;&gt;"-",_xlfn.IFS('Banco de Dados'!$A1909="bv",IF('Banco de Dados'!$E1909&lt;45641,ROUND(SUM('Banco de Dados'!$R1909*_xlfn.XLOOKUP('Banco de Dados'!$P1909,Sku!B:B,Sku!#REF!)*20%),2),ROUND(SUM('Banco de Dados'!$R1909*_xlfn.XLOOKUP('Banco de Dados'!$P1909,Sku!B:B,Sku!H:H)*20%),2)),'Banco de Dados'!$A1909="GO",ROUND(_xlfn.XLOOKUP('Banco de Dados'!$P1909,Sku!C:C,Sku!H:H),2),'Banco de Dados'!$A1909="MEI",ROUND(_xlfn.XLOOKUP('Banco de Dados'!$P1909,Sku!D:D,Sku!H:H),2)),0)</f>
        <v>0</v>
      </c>
      <c r="AN1909" s="109">
        <v>0</v>
      </c>
      <c r="AO1909" s="109">
        <v>0</v>
      </c>
      <c r="AP1909" s="28">
        <f ca="1">IF('Banco de Dados'!$AK1909&lt;&gt;"-",IF('Banco de Dados'!$AL1909="NÃO",IFERROR(VALUE(SUBSTITUTE(_xlfn.TEXTAFTER('Banco de Dados'!$F1909,"BRL ",1),".",",")),0),0),0)</f>
        <v>0</v>
      </c>
      <c r="AQ1909" s="28">
        <f ca="1">SUM('Banco de Dados'!$AM1909:$AP1909)</f>
        <v>0</v>
      </c>
      <c r="AR1909" s="8"/>
      <c r="AS1909" s="8"/>
      <c r="AT1909"/>
      <c r="AY1909" s="8"/>
    </row>
    <row r="1910" spans="1:51">
      <c r="A1910" s="5" t="str">
        <v>BV</v>
      </c>
      <c r="B1910" s="5" t="str">
        <f ca="1"/>
        <v>BV45849</v>
      </c>
      <c r="C1910" s="8" t="str">
        <v>Pedido 1896</v>
      </c>
      <c r="D1910" s="187">
        <v>45846</v>
      </c>
      <c r="E1910" s="9">
        <v>45849</v>
      </c>
      <c r="F1910" s="2" t="str">
        <v>PedidoF1781</v>
      </c>
      <c r="G1910" s="2" t="str">
        <v>CódRastreio1779</v>
      </c>
      <c r="H1910" s="5">
        <v>2</v>
      </c>
      <c r="I1910" s="182" t="str">
        <v>CPF 1852</v>
      </c>
      <c r="J1910" s="2" t="str">
        <v>Nome 1852</v>
      </c>
      <c r="K1910" s="8" t="str">
        <v>Tel 1852</v>
      </c>
      <c r="L1910" s="8" t="str">
        <v>Cep 1852</v>
      </c>
      <c r="M1910" s="8" t="str">
        <v>Rua 1852</v>
      </c>
      <c r="N1910" s="8" t="str">
        <v>Comp 1852</v>
      </c>
      <c r="O1910" s="8" t="str">
        <v>Bolsa térmica</v>
      </c>
      <c r="P1910" s="8" t="str">
        <v>6I-CK1S-8HYZ</v>
      </c>
      <c r="Q1910" s="4">
        <v>45863</v>
      </c>
      <c r="R1910" s="109">
        <v>57</v>
      </c>
      <c r="S1910" s="11">
        <f ca="1"/>
        <v>57</v>
      </c>
      <c r="T1910" s="28">
        <f ca="1"/>
        <v>6.84</v>
      </c>
      <c r="U1910" s="11">
        <f ca="1"/>
        <v>50.16</v>
      </c>
      <c r="V1910" s="11">
        <v>39.950000000000003</v>
      </c>
      <c r="W1910" s="11">
        <f ca="1"/>
        <v>0</v>
      </c>
      <c r="X1910" s="11">
        <f ca="1"/>
        <v>0.39877104377104378</v>
      </c>
      <c r="Y1910" s="11">
        <v>0</v>
      </c>
      <c r="Z1910" s="11">
        <f ca="1"/>
        <v>9.8112289562289519</v>
      </c>
      <c r="AA1910" s="11">
        <f ca="1"/>
        <v>4.9056144781144759</v>
      </c>
      <c r="AB1910" s="4">
        <f ca="1"/>
        <v>45870</v>
      </c>
      <c r="AC1910" s="4">
        <v>45870</v>
      </c>
      <c r="AD1910" s="9">
        <v>45870</v>
      </c>
      <c r="AE1910" s="9">
        <v>45873</v>
      </c>
      <c r="AF1910" s="4" t="str">
        <f t="shared" ca="1" si="139"/>
        <v>2025 08</v>
      </c>
      <c r="AG1910" s="8" t="str" cm="1">
        <f t="array" ref="AG1910">IFERROR(_xlfn.IFS('Banco de Dados'!#REF!="AG. COMPRA","Em processamento",'Banco de Dados'!#REF!="AG. RASTREIO","Em processamento",'Banco de Dados'!$AE1910&lt;&gt;"-","Faturado",'Banco de Dados'!$AD1910&lt;&gt;"-","Aguardando Pix",'Banco de Dados'!$AC1910&lt;&gt;"-","Pendente"),"Aguardando Liberação")</f>
        <v>Aguardando Liberação</v>
      </c>
      <c r="AH1910" s="5" t="str">
        <f>IF('Banco de Dados'!$F1910="-",_xlfn.CONCAT(PROPER(TEXT(AK1910,"aaaa"))," ",PROPER(TEXT(AK1910,"mm"))),_xlfn.CONCAT(PROPER(TEXT(E1910,"aaaa"))," ",PROPER(TEXT(E1910,"mm"))))</f>
        <v>2025 07</v>
      </c>
      <c r="AI1910" s="9" t="str">
        <f ca="1">IF('Banco de Dados'!$AK1910&lt;&gt;"-","REEMBOLSO",IFERROR(_xlfn.XLOOKUP(G1910,Follow[CODRASTREIO],Follow[STATUS]),"-"))</f>
        <v>ENTREGUE</v>
      </c>
      <c r="AJ1910" s="9">
        <f ca="1">IF('Banco de Dados'!$AI1910="ENTREGUE",_xlfn.XLOOKUP('Banco de Dados'!$G1910,Follow[CODRASTREIO],Follow[DATAATUALIZAÇÃO]),"-")</f>
        <v>45853</v>
      </c>
      <c r="AK1910" s="132" t="str">
        <f ca="1"/>
        <v>-</v>
      </c>
      <c r="AL1910" s="35"/>
      <c r="AM1910" s="109" cm="1">
        <f t="array" aca="1" ref="AM1910" ca="1">IF('Banco de Dados'!$AK1910&lt;&gt;"-",_xlfn.IFS('Banco de Dados'!$A1910="bv",IF('Banco de Dados'!$E1910&lt;45641,ROUND(SUM('Banco de Dados'!$R1910*_xlfn.XLOOKUP('Banco de Dados'!$P1910,Sku!B:B,Sku!#REF!)*20%),2),ROUND(SUM('Banco de Dados'!$R1910*_xlfn.XLOOKUP('Banco de Dados'!$P1910,Sku!B:B,Sku!H:H)*20%),2)),'Banco de Dados'!$A1910="GO",ROUND(_xlfn.XLOOKUP('Banco de Dados'!$P1910,Sku!C:C,Sku!H:H),2),'Banco de Dados'!$A1910="MEI",ROUND(_xlfn.XLOOKUP('Banco de Dados'!$P1910,Sku!D:D,Sku!H:H),2)),0)</f>
        <v>0</v>
      </c>
      <c r="AN1910" s="109">
        <v>0</v>
      </c>
      <c r="AO1910" s="109">
        <v>0</v>
      </c>
      <c r="AP1910" s="28">
        <f ca="1">IF('Banco de Dados'!$AK1910&lt;&gt;"-",IF('Banco de Dados'!$AL1910="NÃO",IFERROR(VALUE(SUBSTITUTE(_xlfn.TEXTAFTER('Banco de Dados'!$F1910,"BRL ",1),".",",")),0),0),0)</f>
        <v>0</v>
      </c>
      <c r="AQ1910" s="28">
        <f ca="1">SUM('Banco de Dados'!$AM1910:$AP1910)</f>
        <v>0</v>
      </c>
      <c r="AR1910" s="8"/>
      <c r="AS1910" s="8"/>
      <c r="AT1910"/>
      <c r="AY1910" s="8"/>
    </row>
    <row r="1911" spans="1:51">
      <c r="A1911" s="5" t="str">
        <v>BV</v>
      </c>
      <c r="B1911" s="5" t="str">
        <f ca="1"/>
        <v>BV45847</v>
      </c>
      <c r="C1911" s="8" t="str">
        <v>Pedido 1897</v>
      </c>
      <c r="D1911" s="187">
        <v>45846</v>
      </c>
      <c r="E1911" s="9">
        <v>45847</v>
      </c>
      <c r="F1911" s="2" t="str">
        <v>PedidoF1782</v>
      </c>
      <c r="G1911" s="2" t="str">
        <v>CódRastreio1780</v>
      </c>
      <c r="H1911" s="5">
        <v>1</v>
      </c>
      <c r="I1911" s="182" t="str">
        <v>CPF 1853</v>
      </c>
      <c r="J1911" s="2" t="str">
        <v>Nome 1853</v>
      </c>
      <c r="K1911" s="8" t="str">
        <v>Tel 1853</v>
      </c>
      <c r="L1911" s="8" t="str">
        <v>Cep 1853</v>
      </c>
      <c r="M1911" s="8" t="str">
        <v>Rua 1853</v>
      </c>
      <c r="N1911" s="8" t="str">
        <v>Comp 1853</v>
      </c>
      <c r="O1911" s="8" t="str">
        <v>Brinquedo Bola Giratória voadora</v>
      </c>
      <c r="P1911" s="8" t="str">
        <v>ZV-W7II-K7TO</v>
      </c>
      <c r="Q1911" s="4">
        <v>45863</v>
      </c>
      <c r="R1911" s="109">
        <v>43.99</v>
      </c>
      <c r="S1911" s="11">
        <f ca="1"/>
        <v>43.99</v>
      </c>
      <c r="T1911" s="28">
        <f ca="1"/>
        <v>5.2788000000000004</v>
      </c>
      <c r="U1911" s="11">
        <f ca="1"/>
        <v>38.71</v>
      </c>
      <c r="V1911" s="11">
        <v>33.630000000000003</v>
      </c>
      <c r="W1911" s="11">
        <f ca="1"/>
        <v>0</v>
      </c>
      <c r="X1911" s="11">
        <f ca="1"/>
        <v>0.39877104377104378</v>
      </c>
      <c r="Y1911" s="11">
        <v>0</v>
      </c>
      <c r="Z1911" s="11">
        <f ca="1"/>
        <v>4.6812289562289564</v>
      </c>
      <c r="AA1911" s="11">
        <f ca="1"/>
        <v>2.3406144781144782</v>
      </c>
      <c r="AB1911" s="4">
        <f ca="1"/>
        <v>45870</v>
      </c>
      <c r="AC1911" s="4">
        <v>45870</v>
      </c>
      <c r="AD1911" s="9">
        <v>45870</v>
      </c>
      <c r="AE1911" s="9">
        <v>45873</v>
      </c>
      <c r="AF1911" s="4" t="str">
        <f t="shared" ca="1" si="139"/>
        <v>2025 08</v>
      </c>
      <c r="AG1911" s="8" t="str" cm="1">
        <f t="array" ref="AG1911">IFERROR(_xlfn.IFS('Banco de Dados'!#REF!="AG. COMPRA","Em processamento",'Banco de Dados'!#REF!="AG. RASTREIO","Em processamento",'Banco de Dados'!$AE1911&lt;&gt;"-","Faturado",'Banco de Dados'!$AD1911&lt;&gt;"-","Aguardando Pix",'Banco de Dados'!$AC1911&lt;&gt;"-","Pendente"),"Aguardando Liberação")</f>
        <v>Aguardando Liberação</v>
      </c>
      <c r="AH1911" s="5" t="str">
        <f>IF('Banco de Dados'!$F1911="-",_xlfn.CONCAT(PROPER(TEXT(AK1911,"aaaa"))," ",PROPER(TEXT(AK1911,"mm"))),_xlfn.CONCAT(PROPER(TEXT(E1911,"aaaa"))," ",PROPER(TEXT(E1911,"mm"))))</f>
        <v>2025 07</v>
      </c>
      <c r="AI1911" s="9" t="str">
        <f ca="1">IF('Banco de Dados'!$AK1911&lt;&gt;"-","REEMBOLSO",IFERROR(_xlfn.XLOOKUP(G1911,Follow[CODRASTREIO],Follow[STATUS]),"-"))</f>
        <v>ENTREGUE</v>
      </c>
      <c r="AJ1911" s="9">
        <f ca="1">IF('Banco de Dados'!$AI1911="ENTREGUE",_xlfn.XLOOKUP('Banco de Dados'!$G1911,Follow[CODRASTREIO],Follow[DATAATUALIZAÇÃO]),"-")</f>
        <v>45851</v>
      </c>
      <c r="AK1911" s="132" t="str">
        <f ca="1"/>
        <v>-</v>
      </c>
      <c r="AL1911" s="35"/>
      <c r="AM1911" s="109" cm="1">
        <f t="array" aca="1" ref="AM1911" ca="1">IF('Banco de Dados'!$AK1911&lt;&gt;"-",_xlfn.IFS('Banco de Dados'!$A1911="bv",IF('Banco de Dados'!$E1911&lt;45641,ROUND(SUM('Banco de Dados'!$R1911*_xlfn.XLOOKUP('Banco de Dados'!$P1911,Sku!B:B,Sku!#REF!)*20%),2),ROUND(SUM('Banco de Dados'!$R1911*_xlfn.XLOOKUP('Banco de Dados'!$P1911,Sku!B:B,Sku!H:H)*20%),2)),'Banco de Dados'!$A1911="GO",ROUND(_xlfn.XLOOKUP('Banco de Dados'!$P1911,Sku!C:C,Sku!H:H),2),'Banco de Dados'!$A1911="MEI",ROUND(_xlfn.XLOOKUP('Banco de Dados'!$P1911,Sku!D:D,Sku!H:H),2)),0)</f>
        <v>0</v>
      </c>
      <c r="AN1911" s="109">
        <v>0</v>
      </c>
      <c r="AO1911" s="109">
        <v>0</v>
      </c>
      <c r="AP1911" s="28">
        <f ca="1">IF('Banco de Dados'!$AK1911&lt;&gt;"-",IF('Banco de Dados'!$AL1911="NÃO",IFERROR(VALUE(SUBSTITUTE(_xlfn.TEXTAFTER('Banco de Dados'!$F1911,"BRL ",1),".",",")),0),0),0)</f>
        <v>0</v>
      </c>
      <c r="AQ1911" s="28">
        <f ca="1">SUM('Banco de Dados'!$AM1911:$AP1911)</f>
        <v>0</v>
      </c>
      <c r="AR1911" s="8"/>
      <c r="AS1911" s="8"/>
      <c r="AT1911"/>
      <c r="AY1911" s="8"/>
    </row>
    <row r="1912" spans="1:51">
      <c r="A1912" s="5" t="str">
        <v>BV</v>
      </c>
      <c r="B1912" s="5" t="str">
        <f ca="1"/>
        <v>BV45849</v>
      </c>
      <c r="C1912" s="8" t="str">
        <v>Pedido 1898</v>
      </c>
      <c r="D1912" s="187">
        <v>45846</v>
      </c>
      <c r="E1912" s="9">
        <v>45849</v>
      </c>
      <c r="F1912" s="2" t="str">
        <v>PedidoF1783</v>
      </c>
      <c r="G1912" s="2" t="str">
        <v>CódRastreio1781</v>
      </c>
      <c r="H1912" s="5">
        <v>1</v>
      </c>
      <c r="I1912" s="182" t="str">
        <v>CPF 1854</v>
      </c>
      <c r="J1912" s="2" t="str">
        <v>Nome 1854</v>
      </c>
      <c r="K1912" s="8" t="str">
        <v>Tel 1854</v>
      </c>
      <c r="L1912" s="8" t="str">
        <v>Cep 1854</v>
      </c>
      <c r="M1912" s="8" t="str">
        <v>Rua 1854</v>
      </c>
      <c r="N1912" s="8" t="str">
        <v>Comp 1854</v>
      </c>
      <c r="O1912" s="8" t="str">
        <v>Bolsa térmica</v>
      </c>
      <c r="P1912" s="8" t="str">
        <v>6I-CK1S-8HYZ</v>
      </c>
      <c r="Q1912" s="4">
        <v>45863</v>
      </c>
      <c r="R1912" s="109">
        <v>28.5</v>
      </c>
      <c r="S1912" s="11">
        <f ca="1"/>
        <v>28.5</v>
      </c>
      <c r="T1912" s="28">
        <f ca="1"/>
        <v>3.42</v>
      </c>
      <c r="U1912" s="11">
        <f ca="1"/>
        <v>25.08</v>
      </c>
      <c r="V1912" s="11">
        <v>20.260000000000002</v>
      </c>
      <c r="W1912" s="11">
        <f ca="1"/>
        <v>0</v>
      </c>
      <c r="X1912" s="11">
        <f ca="1"/>
        <v>0.39877104377104378</v>
      </c>
      <c r="Y1912" s="11">
        <v>0</v>
      </c>
      <c r="Z1912" s="11">
        <f ca="1"/>
        <v>4.4212289562289513</v>
      </c>
      <c r="AA1912" s="11">
        <f ca="1"/>
        <v>2.2106144781144756</v>
      </c>
      <c r="AB1912" s="4">
        <f ca="1"/>
        <v>45870</v>
      </c>
      <c r="AC1912" s="4">
        <v>45870</v>
      </c>
      <c r="AD1912" s="9">
        <v>45870</v>
      </c>
      <c r="AE1912" s="9">
        <v>45873</v>
      </c>
      <c r="AF1912" s="4" t="str">
        <f t="shared" ca="1" si="139"/>
        <v>2025 08</v>
      </c>
      <c r="AG1912" s="8" t="str" cm="1">
        <f t="array" ref="AG1912">IFERROR(_xlfn.IFS('Banco de Dados'!#REF!="AG. COMPRA","Em processamento",'Banco de Dados'!#REF!="AG. RASTREIO","Em processamento",'Banco de Dados'!$AE1912&lt;&gt;"-","Faturado",'Banco de Dados'!$AD1912&lt;&gt;"-","Aguardando Pix",'Banco de Dados'!$AC1912&lt;&gt;"-","Pendente"),"Aguardando Liberação")</f>
        <v>Aguardando Liberação</v>
      </c>
      <c r="AH1912" s="5" t="str">
        <f>IF('Banco de Dados'!$F1912="-",_xlfn.CONCAT(PROPER(TEXT(AK1912,"aaaa"))," ",PROPER(TEXT(AK1912,"mm"))),_xlfn.CONCAT(PROPER(TEXT(E1912,"aaaa"))," ",PROPER(TEXT(E1912,"mm"))))</f>
        <v>2025 07</v>
      </c>
      <c r="AI1912" s="9" t="str">
        <f ca="1">IF('Banco de Dados'!$AK1912&lt;&gt;"-","REEMBOLSO",IFERROR(_xlfn.XLOOKUP(G1912,Follow[CODRASTREIO],Follow[STATUS]),"-"))</f>
        <v>ENTREGUE</v>
      </c>
      <c r="AJ1912" s="9">
        <f ca="1">IF('Banco de Dados'!$AI1912="ENTREGUE",_xlfn.XLOOKUP('Banco de Dados'!$G1912,Follow[CODRASTREIO],Follow[DATAATUALIZAÇÃO]),"-")</f>
        <v>45859</v>
      </c>
      <c r="AK1912" s="132" t="str">
        <f ca="1"/>
        <v>-</v>
      </c>
      <c r="AL1912" s="35"/>
      <c r="AM1912" s="109" cm="1">
        <f t="array" aca="1" ref="AM1912" ca="1">IF('Banco de Dados'!$AK1912&lt;&gt;"-",_xlfn.IFS('Banco de Dados'!$A1912="bv",IF('Banco de Dados'!$E1912&lt;45641,ROUND(SUM('Banco de Dados'!$R1912*_xlfn.XLOOKUP('Banco de Dados'!$P1912,Sku!B:B,Sku!#REF!)*20%),2),ROUND(SUM('Banco de Dados'!$R1912*_xlfn.XLOOKUP('Banco de Dados'!$P1912,Sku!B:B,Sku!H:H)*20%),2)),'Banco de Dados'!$A1912="GO",ROUND(_xlfn.XLOOKUP('Banco de Dados'!$P1912,Sku!C:C,Sku!H:H),2),'Banco de Dados'!$A1912="MEI",ROUND(_xlfn.XLOOKUP('Banco de Dados'!$P1912,Sku!D:D,Sku!H:H),2)),0)</f>
        <v>0</v>
      </c>
      <c r="AN1912" s="109">
        <v>0</v>
      </c>
      <c r="AO1912" s="109">
        <v>0</v>
      </c>
      <c r="AP1912" s="28">
        <f ca="1">IF('Banco de Dados'!$AK1912&lt;&gt;"-",IF('Banco de Dados'!$AL1912="NÃO",IFERROR(VALUE(SUBSTITUTE(_xlfn.TEXTAFTER('Banco de Dados'!$F1912,"BRL ",1),".",",")),0),0),0)</f>
        <v>0</v>
      </c>
      <c r="AQ1912" s="28">
        <f ca="1">SUM('Banco de Dados'!$AM1912:$AP1912)</f>
        <v>0</v>
      </c>
      <c r="AR1912" s="8"/>
      <c r="AS1912" s="8"/>
      <c r="AT1912"/>
      <c r="AY1912" s="8"/>
    </row>
    <row r="1913" spans="1:51">
      <c r="A1913" s="5" t="str">
        <v>BV</v>
      </c>
      <c r="B1913" s="5" t="str">
        <f ca="1"/>
        <v>BV45849</v>
      </c>
      <c r="C1913" s="8" t="str">
        <v>Pedido 1899</v>
      </c>
      <c r="D1913" s="187">
        <v>45846</v>
      </c>
      <c r="E1913" s="9">
        <v>45849</v>
      </c>
      <c r="F1913" s="2" t="str">
        <v>PedidoF1784</v>
      </c>
      <c r="G1913" s="2" t="str">
        <v>CódRastreio1782</v>
      </c>
      <c r="H1913" s="5">
        <v>1</v>
      </c>
      <c r="I1913" s="182" t="str">
        <v>CPF 1855</v>
      </c>
      <c r="J1913" s="2" t="str">
        <v>Nome 1855</v>
      </c>
      <c r="K1913" s="8" t="str">
        <v>Tel 1855</v>
      </c>
      <c r="L1913" s="8" t="str">
        <v>Cep 1855</v>
      </c>
      <c r="M1913" s="8" t="str">
        <v>Rua 1855</v>
      </c>
      <c r="N1913" s="8" t="str">
        <v>Comp 1855</v>
      </c>
      <c r="O1913" s="8" t="str">
        <v>Bolsa térmica</v>
      </c>
      <c r="P1913" s="8" t="str">
        <v>6I-CK1S-8HYZ</v>
      </c>
      <c r="Q1913" s="4">
        <v>45863</v>
      </c>
      <c r="R1913" s="109">
        <v>28.5</v>
      </c>
      <c r="S1913" s="11">
        <f ca="1"/>
        <v>28.5</v>
      </c>
      <c r="T1913" s="28">
        <f ca="1"/>
        <v>3.42</v>
      </c>
      <c r="U1913" s="11">
        <f ca="1"/>
        <v>25.08</v>
      </c>
      <c r="V1913" s="11">
        <v>20.16</v>
      </c>
      <c r="W1913" s="11">
        <f ca="1"/>
        <v>0</v>
      </c>
      <c r="X1913" s="11">
        <f ca="1"/>
        <v>0.39877104377104378</v>
      </c>
      <c r="Y1913" s="11">
        <v>0</v>
      </c>
      <c r="Z1913" s="11">
        <f ca="1"/>
        <v>4.5212289562289527</v>
      </c>
      <c r="AA1913" s="11">
        <f ca="1"/>
        <v>2.2606144781144764</v>
      </c>
      <c r="AB1913" s="4">
        <f ca="1"/>
        <v>45870</v>
      </c>
      <c r="AC1913" s="4">
        <v>45870</v>
      </c>
      <c r="AD1913" s="9">
        <v>45870</v>
      </c>
      <c r="AE1913" s="9">
        <v>45873</v>
      </c>
      <c r="AF1913" s="4" t="str">
        <f t="shared" ca="1" si="139"/>
        <v>2025 08</v>
      </c>
      <c r="AG1913" s="8" t="str" cm="1">
        <f t="array" ref="AG1913">IFERROR(_xlfn.IFS('Banco de Dados'!#REF!="AG. COMPRA","Em processamento",'Banco de Dados'!#REF!="AG. RASTREIO","Em processamento",'Banco de Dados'!$AE1913&lt;&gt;"-","Faturado",'Banco de Dados'!$AD1913&lt;&gt;"-","Aguardando Pix",'Banco de Dados'!$AC1913&lt;&gt;"-","Pendente"),"Aguardando Liberação")</f>
        <v>Aguardando Liberação</v>
      </c>
      <c r="AH1913" s="5" t="str">
        <f>IF('Banco de Dados'!$F1913="-",_xlfn.CONCAT(PROPER(TEXT(AK1913,"aaaa"))," ",PROPER(TEXT(AK1913,"mm"))),_xlfn.CONCAT(PROPER(TEXT(E1913,"aaaa"))," ",PROPER(TEXT(E1913,"mm"))))</f>
        <v>2025 07</v>
      </c>
      <c r="AI1913" s="9" t="str">
        <f ca="1">IF('Banco de Dados'!$AK1913&lt;&gt;"-","REEMBOLSO",IFERROR(_xlfn.XLOOKUP(G1913,Follow[CODRASTREIO],Follow[STATUS]),"-"))</f>
        <v>ENTREGUE</v>
      </c>
      <c r="AJ1913" s="9">
        <f ca="1">IF('Banco de Dados'!$AI1913="ENTREGUE",_xlfn.XLOOKUP('Banco de Dados'!$G1913,Follow[CODRASTREIO],Follow[DATAATUALIZAÇÃO]),"-")</f>
        <v>45859</v>
      </c>
      <c r="AK1913" s="132" t="str">
        <f ca="1"/>
        <v>-</v>
      </c>
      <c r="AL1913" s="35"/>
      <c r="AM1913" s="109" cm="1">
        <f t="array" aca="1" ref="AM1913" ca="1">IF('Banco de Dados'!$AK1913&lt;&gt;"-",_xlfn.IFS('Banco de Dados'!$A1913="bv",IF('Banco de Dados'!$E1913&lt;45641,ROUND(SUM('Banco de Dados'!$R1913*_xlfn.XLOOKUP('Banco de Dados'!$P1913,Sku!B:B,Sku!#REF!)*20%),2),ROUND(SUM('Banco de Dados'!$R1913*_xlfn.XLOOKUP('Banco de Dados'!$P1913,Sku!B:B,Sku!H:H)*20%),2)),'Banco de Dados'!$A1913="GO",ROUND(_xlfn.XLOOKUP('Banco de Dados'!$P1913,Sku!C:C,Sku!H:H),2),'Banco de Dados'!$A1913="MEI",ROUND(_xlfn.XLOOKUP('Banco de Dados'!$P1913,Sku!D:D,Sku!H:H),2)),0)</f>
        <v>0</v>
      </c>
      <c r="AN1913" s="109">
        <v>0</v>
      </c>
      <c r="AO1913" s="109">
        <v>0</v>
      </c>
      <c r="AP1913" s="28">
        <f ca="1">IF('Banco de Dados'!$AK1913&lt;&gt;"-",IF('Banco de Dados'!$AL1913="NÃO",IFERROR(VALUE(SUBSTITUTE(_xlfn.TEXTAFTER('Banco de Dados'!$F1913,"BRL ",1),".",",")),0),0),0)</f>
        <v>0</v>
      </c>
      <c r="AQ1913" s="28">
        <f ca="1">SUM('Banco de Dados'!$AM1913:$AP1913)</f>
        <v>0</v>
      </c>
      <c r="AR1913" s="8"/>
      <c r="AS1913" s="8"/>
      <c r="AT1913"/>
      <c r="AY1913" s="8"/>
    </row>
    <row r="1914" spans="1:51">
      <c r="A1914" s="5" t="str">
        <v>BV</v>
      </c>
      <c r="B1914" s="5" t="str">
        <f ca="1"/>
        <v>BV45849</v>
      </c>
      <c r="C1914" s="8" t="str">
        <v>Pedido 1900</v>
      </c>
      <c r="D1914" s="187">
        <v>45846</v>
      </c>
      <c r="E1914" s="9">
        <v>45849</v>
      </c>
      <c r="F1914" s="2" t="str">
        <v>PedidoF1785</v>
      </c>
      <c r="G1914" s="2" t="str">
        <v>CódRastreio1783</v>
      </c>
      <c r="H1914" s="5">
        <v>1</v>
      </c>
      <c r="I1914" s="182" t="str">
        <v>CPF 1856</v>
      </c>
      <c r="J1914" s="2" t="str">
        <v>Nome 1856</v>
      </c>
      <c r="K1914" s="8" t="str">
        <v>Tel 1856</v>
      </c>
      <c r="L1914" s="8" t="str">
        <v>Cep 1856</v>
      </c>
      <c r="M1914" s="8" t="str">
        <v>Rua 1856</v>
      </c>
      <c r="N1914" s="8" t="str">
        <v>Comp 1856</v>
      </c>
      <c r="O1914" s="8" t="str">
        <v>Bolsa térmica</v>
      </c>
      <c r="P1914" s="8" t="str">
        <v>6I-CK1S-8HYZ</v>
      </c>
      <c r="Q1914" s="4">
        <v>45863</v>
      </c>
      <c r="R1914" s="109">
        <v>28.5</v>
      </c>
      <c r="S1914" s="11">
        <f ca="1"/>
        <v>28.5</v>
      </c>
      <c r="T1914" s="28">
        <f ca="1"/>
        <v>3.42</v>
      </c>
      <c r="U1914" s="11">
        <f ca="1"/>
        <v>25.08</v>
      </c>
      <c r="V1914" s="11">
        <v>20.239999999999998</v>
      </c>
      <c r="W1914" s="11">
        <f ca="1"/>
        <v>0</v>
      </c>
      <c r="X1914" s="11">
        <f ca="1"/>
        <v>0.39877104377104378</v>
      </c>
      <c r="Y1914" s="11">
        <v>0</v>
      </c>
      <c r="Z1914" s="11">
        <f ca="1"/>
        <v>4.4412289562289544</v>
      </c>
      <c r="AA1914" s="11">
        <f ca="1"/>
        <v>2.2206144781144772</v>
      </c>
      <c r="AB1914" s="4">
        <f ca="1"/>
        <v>45870</v>
      </c>
      <c r="AC1914" s="4">
        <v>45870</v>
      </c>
      <c r="AD1914" s="9">
        <v>45870</v>
      </c>
      <c r="AE1914" s="9">
        <v>45873</v>
      </c>
      <c r="AF1914" s="4" t="str">
        <f t="shared" ca="1" si="139"/>
        <v>2025 08</v>
      </c>
      <c r="AG1914" s="8" t="str" cm="1">
        <f t="array" ref="AG1914">IFERROR(_xlfn.IFS('Banco de Dados'!#REF!="AG. COMPRA","Em processamento",'Banco de Dados'!#REF!="AG. RASTREIO","Em processamento",'Banco de Dados'!$AE1914&lt;&gt;"-","Faturado",'Banco de Dados'!$AD1914&lt;&gt;"-","Aguardando Pix",'Banco de Dados'!$AC1914&lt;&gt;"-","Pendente"),"Aguardando Liberação")</f>
        <v>Aguardando Liberação</v>
      </c>
      <c r="AH1914" s="5" t="str">
        <f>IF('Banco de Dados'!$F1914="-",_xlfn.CONCAT(PROPER(TEXT(AK1914,"aaaa"))," ",PROPER(TEXT(AK1914,"mm"))),_xlfn.CONCAT(PROPER(TEXT(E1914,"aaaa"))," ",PROPER(TEXT(E1914,"mm"))))</f>
        <v>2025 07</v>
      </c>
      <c r="AI1914" s="9" t="str">
        <f ca="1">IF('Banco de Dados'!$AK1914&lt;&gt;"-","REEMBOLSO",IFERROR(_xlfn.XLOOKUP(G1914,Follow[CODRASTREIO],Follow[STATUS]),"-"))</f>
        <v>ENTREGUE</v>
      </c>
      <c r="AJ1914" s="9">
        <f ca="1">IF('Banco de Dados'!$AI1914="ENTREGUE",_xlfn.XLOOKUP('Banco de Dados'!$G1914,Follow[CODRASTREIO],Follow[DATAATUALIZAÇÃO]),"-")</f>
        <v>45859</v>
      </c>
      <c r="AK1914" s="132" t="str">
        <f ca="1"/>
        <v>-</v>
      </c>
      <c r="AL1914" s="35"/>
      <c r="AM1914" s="109" cm="1">
        <f t="array" aca="1" ref="AM1914" ca="1">IF('Banco de Dados'!$AK1914&lt;&gt;"-",_xlfn.IFS('Banco de Dados'!$A1914="bv",IF('Banco de Dados'!$E1914&lt;45641,ROUND(SUM('Banco de Dados'!$R1914*_xlfn.XLOOKUP('Banco de Dados'!$P1914,Sku!B:B,Sku!#REF!)*20%),2),ROUND(SUM('Banco de Dados'!$R1914*_xlfn.XLOOKUP('Banco de Dados'!$P1914,Sku!B:B,Sku!H:H)*20%),2)),'Banco de Dados'!$A1914="GO",ROUND(_xlfn.XLOOKUP('Banco de Dados'!$P1914,Sku!C:C,Sku!H:H),2),'Banco de Dados'!$A1914="MEI",ROUND(_xlfn.XLOOKUP('Banco de Dados'!$P1914,Sku!D:D,Sku!H:H),2)),0)</f>
        <v>0</v>
      </c>
      <c r="AN1914" s="109">
        <v>0</v>
      </c>
      <c r="AO1914" s="109">
        <v>0</v>
      </c>
      <c r="AP1914" s="28">
        <f ca="1">IF('Banco de Dados'!$AK1914&lt;&gt;"-",IF('Banco de Dados'!$AL1914="NÃO",IFERROR(VALUE(SUBSTITUTE(_xlfn.TEXTAFTER('Banco de Dados'!$F1914,"BRL ",1),".",",")),0),0),0)</f>
        <v>0</v>
      </c>
      <c r="AQ1914" s="28">
        <f ca="1">SUM('Banco de Dados'!$AM1914:$AP1914)</f>
        <v>0</v>
      </c>
      <c r="AR1914" s="8"/>
      <c r="AS1914" s="8"/>
      <c r="AT1914"/>
      <c r="AY1914" s="8"/>
    </row>
    <row r="1915" spans="1:51">
      <c r="A1915" s="5" t="str">
        <v>BV</v>
      </c>
      <c r="B1915" s="5" t="str">
        <f ca="1"/>
        <v>BV45849</v>
      </c>
      <c r="C1915" s="8" t="str">
        <v>Pedido 1901</v>
      </c>
      <c r="D1915" s="187">
        <v>45846</v>
      </c>
      <c r="E1915" s="9">
        <v>45849</v>
      </c>
      <c r="F1915" s="2" t="str">
        <v>PedidoF1786</v>
      </c>
      <c r="G1915" s="2" t="str">
        <v>CódRastreio1784</v>
      </c>
      <c r="H1915" s="5">
        <v>1</v>
      </c>
      <c r="I1915" s="182" t="str">
        <v>CPF 1857</v>
      </c>
      <c r="J1915" s="2" t="str">
        <v>Nome 1857</v>
      </c>
      <c r="K1915" s="8" t="str">
        <v>Tel 1857</v>
      </c>
      <c r="L1915" s="8" t="str">
        <v>Cep 1857</v>
      </c>
      <c r="M1915" s="8" t="str">
        <v>Rua 1857</v>
      </c>
      <c r="N1915" s="8" t="str">
        <v>Comp 1857</v>
      </c>
      <c r="O1915" s="8" t="str">
        <v>Bolsa térmica</v>
      </c>
      <c r="P1915" s="8" t="str">
        <v>6I-CK1S-8HYZ</v>
      </c>
      <c r="Q1915" s="4">
        <v>45867</v>
      </c>
      <c r="R1915" s="109">
        <v>28.5</v>
      </c>
      <c r="S1915" s="11">
        <f ca="1"/>
        <v>28.5</v>
      </c>
      <c r="T1915" s="28">
        <f ca="1"/>
        <v>3.42</v>
      </c>
      <c r="U1915" s="11">
        <f ca="1"/>
        <v>25.08</v>
      </c>
      <c r="V1915" s="11">
        <v>20.37</v>
      </c>
      <c r="W1915" s="11">
        <f ca="1"/>
        <v>0</v>
      </c>
      <c r="X1915" s="11">
        <f ca="1"/>
        <v>0.39877104377104378</v>
      </c>
      <c r="Y1915" s="11">
        <v>0</v>
      </c>
      <c r="Z1915" s="11">
        <f ca="1"/>
        <v>4.3112289562289519</v>
      </c>
      <c r="AA1915" s="11">
        <f ca="1"/>
        <v>2.1556144781144759</v>
      </c>
      <c r="AB1915" s="4">
        <f ca="1"/>
        <v>45874</v>
      </c>
      <c r="AC1915" s="4">
        <v>45874</v>
      </c>
      <c r="AD1915" s="9">
        <v>45887</v>
      </c>
      <c r="AE1915" s="9">
        <v>45888</v>
      </c>
      <c r="AF1915" s="4" t="str">
        <f t="shared" ca="1" si="139"/>
        <v>2025 08</v>
      </c>
      <c r="AG1915" s="8" t="str" cm="1">
        <f t="array" ref="AG1915">IFERROR(_xlfn.IFS('Banco de Dados'!#REF!="AG. COMPRA","Em processamento",'Banco de Dados'!#REF!="AG. RASTREIO","Em processamento",'Banco de Dados'!$AE1915&lt;&gt;"-","Faturado",'Banco de Dados'!$AD1915&lt;&gt;"-","Aguardando Pix",'Banco de Dados'!$AC1915&lt;&gt;"-","Pendente"),"Aguardando Liberação")</f>
        <v>Aguardando Liberação</v>
      </c>
      <c r="AH1915" s="5" t="str">
        <f>IF('Banco de Dados'!$F1915="-",_xlfn.CONCAT(PROPER(TEXT(AK1915,"aaaa"))," ",PROPER(TEXT(AK1915,"mm"))),_xlfn.CONCAT(PROPER(TEXT(E1915,"aaaa"))," ",PROPER(TEXT(E1915,"mm"))))</f>
        <v>2025 07</v>
      </c>
      <c r="AI1915" s="9" t="str">
        <f ca="1">IF('Banco de Dados'!$AK1915&lt;&gt;"-","REEMBOLSO",IFERROR(_xlfn.XLOOKUP(G1915,Follow[CODRASTREIO],Follow[STATUS]),"-"))</f>
        <v>ENTREGUE</v>
      </c>
      <c r="AJ1915" s="9">
        <f ca="1">IF('Banco de Dados'!$AI1915="ENTREGUE",_xlfn.XLOOKUP('Banco de Dados'!$G1915,Follow[CODRASTREIO],Follow[DATAATUALIZAÇÃO]),"-")</f>
        <v>45858</v>
      </c>
      <c r="AK1915" s="132" t="str">
        <f ca="1"/>
        <v>-</v>
      </c>
      <c r="AL1915" s="35"/>
      <c r="AM1915" s="109" cm="1">
        <f t="array" aca="1" ref="AM1915" ca="1">IF('Banco de Dados'!$AK1915&lt;&gt;"-",_xlfn.IFS('Banco de Dados'!$A1915="bv",IF('Banco de Dados'!$E1915&lt;45641,ROUND(SUM('Banco de Dados'!$R1915*_xlfn.XLOOKUP('Banco de Dados'!$P1915,Sku!B:B,Sku!#REF!)*20%),2),ROUND(SUM('Banco de Dados'!$R1915*_xlfn.XLOOKUP('Banco de Dados'!$P1915,Sku!B:B,Sku!H:H)*20%),2)),'Banco de Dados'!$A1915="GO",ROUND(_xlfn.XLOOKUP('Banco de Dados'!$P1915,Sku!C:C,Sku!H:H),2),'Banco de Dados'!$A1915="MEI",ROUND(_xlfn.XLOOKUP('Banco de Dados'!$P1915,Sku!D:D,Sku!H:H),2)),0)</f>
        <v>0</v>
      </c>
      <c r="AN1915" s="109">
        <v>0</v>
      </c>
      <c r="AO1915" s="109">
        <v>0</v>
      </c>
      <c r="AP1915" s="28">
        <f ca="1">IF('Banco de Dados'!$AK1915&lt;&gt;"-",IF('Banco de Dados'!$AL1915="NÃO",IFERROR(VALUE(SUBSTITUTE(_xlfn.TEXTAFTER('Banco de Dados'!$F1915,"BRL ",1),".",",")),0),0),0)</f>
        <v>0</v>
      </c>
      <c r="AQ1915" s="28">
        <f ca="1">SUM('Banco de Dados'!$AM1915:$AP1915)</f>
        <v>0</v>
      </c>
      <c r="AR1915" s="8"/>
      <c r="AS1915" s="8"/>
      <c r="AT1915"/>
      <c r="AY1915" s="8"/>
    </row>
    <row r="1916" spans="1:51">
      <c r="A1916" s="5" t="str">
        <v>BV</v>
      </c>
      <c r="B1916" s="5" t="str">
        <f ca="1"/>
        <v>BV45849</v>
      </c>
      <c r="C1916" s="8" t="str">
        <v>Pedido 1902</v>
      </c>
      <c r="D1916" s="187">
        <v>45846</v>
      </c>
      <c r="E1916" s="9">
        <v>45849</v>
      </c>
      <c r="F1916" s="2" t="str">
        <v>PedidoF1787</v>
      </c>
      <c r="G1916" s="2" t="str">
        <v>CódRastreio1785</v>
      </c>
      <c r="H1916" s="5">
        <v>1</v>
      </c>
      <c r="I1916" s="182" t="str">
        <v>CPF 1858</v>
      </c>
      <c r="J1916" s="2" t="str">
        <v>Nome 1858</v>
      </c>
      <c r="K1916" s="8" t="str">
        <v>Tel 1858</v>
      </c>
      <c r="L1916" s="8" t="str">
        <v>Cep 1858</v>
      </c>
      <c r="M1916" s="8" t="str">
        <v>Rua 1858</v>
      </c>
      <c r="N1916" s="8" t="str">
        <v>Comp 1858</v>
      </c>
      <c r="O1916" s="8" t="str">
        <v>Bolsa térmica</v>
      </c>
      <c r="P1916" s="8" t="str">
        <v>6I-CK1S-8HYZ</v>
      </c>
      <c r="Q1916" s="4">
        <v>45867</v>
      </c>
      <c r="R1916" s="109">
        <v>28.5</v>
      </c>
      <c r="S1916" s="11">
        <f ca="1"/>
        <v>28.5</v>
      </c>
      <c r="T1916" s="28">
        <f ca="1"/>
        <v>3.42</v>
      </c>
      <c r="U1916" s="11">
        <f ca="1"/>
        <v>25.08</v>
      </c>
      <c r="V1916" s="11">
        <v>19.5</v>
      </c>
      <c r="W1916" s="11">
        <f ca="1"/>
        <v>0</v>
      </c>
      <c r="X1916" s="11">
        <f ca="1"/>
        <v>0.39877104377104378</v>
      </c>
      <c r="Y1916" s="11">
        <v>0</v>
      </c>
      <c r="Z1916" s="11">
        <f ca="1"/>
        <v>5.1812289562289529</v>
      </c>
      <c r="AA1916" s="11">
        <f ca="1"/>
        <v>2.5906144781144764</v>
      </c>
      <c r="AB1916" s="4">
        <f ca="1"/>
        <v>45874</v>
      </c>
      <c r="AC1916" s="4">
        <v>45874</v>
      </c>
      <c r="AD1916" s="9">
        <v>45887</v>
      </c>
      <c r="AE1916" s="9">
        <v>45888</v>
      </c>
      <c r="AF1916" s="4" t="str">
        <f t="shared" ca="1" si="139"/>
        <v>2025 08</v>
      </c>
      <c r="AG1916" s="8" t="str" cm="1">
        <f t="array" ref="AG1916">IFERROR(_xlfn.IFS('Banco de Dados'!#REF!="AG. COMPRA","Em processamento",'Banco de Dados'!#REF!="AG. RASTREIO","Em processamento",'Banco de Dados'!$AE1916&lt;&gt;"-","Faturado",'Banco de Dados'!$AD1916&lt;&gt;"-","Aguardando Pix",'Banco de Dados'!$AC1916&lt;&gt;"-","Pendente"),"Aguardando Liberação")</f>
        <v>Aguardando Liberação</v>
      </c>
      <c r="AH1916" s="5" t="str">
        <f>IF('Banco de Dados'!$F1916="-",_xlfn.CONCAT(PROPER(TEXT(AK1916,"aaaa"))," ",PROPER(TEXT(AK1916,"mm"))),_xlfn.CONCAT(PROPER(TEXT(E1916,"aaaa"))," ",PROPER(TEXT(E1916,"mm"))))</f>
        <v>2025 07</v>
      </c>
      <c r="AI1916" s="9" t="str">
        <f ca="1">IF('Banco de Dados'!$AK1916&lt;&gt;"-","REEMBOLSO",IFERROR(_xlfn.XLOOKUP(G1916,Follow[CODRASTREIO],Follow[STATUS]),"-"))</f>
        <v>ENTREGUE</v>
      </c>
      <c r="AJ1916" s="9">
        <f ca="1">IF('Banco de Dados'!$AI1916="ENTREGUE",_xlfn.XLOOKUP('Banco de Dados'!$G1916,Follow[CODRASTREIO],Follow[DATAATUALIZAÇÃO]),"-")</f>
        <v>45861</v>
      </c>
      <c r="AK1916" s="132" t="str">
        <f ca="1"/>
        <v>-</v>
      </c>
      <c r="AL1916" s="35"/>
      <c r="AM1916" s="109" cm="1">
        <f t="array" aca="1" ref="AM1916" ca="1">IF('Banco de Dados'!$AK1916&lt;&gt;"-",_xlfn.IFS('Banco de Dados'!$A1916="bv",IF('Banco de Dados'!$E1916&lt;45641,ROUND(SUM('Banco de Dados'!$R1916*_xlfn.XLOOKUP('Banco de Dados'!$P1916,Sku!B:B,Sku!#REF!)*20%),2),ROUND(SUM('Banco de Dados'!$R1916*_xlfn.XLOOKUP('Banco de Dados'!$P1916,Sku!B:B,Sku!H:H)*20%),2)),'Banco de Dados'!$A1916="GO",ROUND(_xlfn.XLOOKUP('Banco de Dados'!$P1916,Sku!C:C,Sku!H:H),2),'Banco de Dados'!$A1916="MEI",ROUND(_xlfn.XLOOKUP('Banco de Dados'!$P1916,Sku!D:D,Sku!H:H),2)),0)</f>
        <v>0</v>
      </c>
      <c r="AN1916" s="109">
        <v>0</v>
      </c>
      <c r="AO1916" s="109">
        <v>0</v>
      </c>
      <c r="AP1916" s="28">
        <f ca="1">IF('Banco de Dados'!$AK1916&lt;&gt;"-",IF('Banco de Dados'!$AL1916="NÃO",IFERROR(VALUE(SUBSTITUTE(_xlfn.TEXTAFTER('Banco de Dados'!$F1916,"BRL ",1),".",",")),0),0),0)</f>
        <v>0</v>
      </c>
      <c r="AQ1916" s="28">
        <f ca="1">SUM('Banco de Dados'!$AM1916:$AP1916)</f>
        <v>0</v>
      </c>
      <c r="AR1916" s="8"/>
      <c r="AS1916" s="8"/>
      <c r="AT1916"/>
      <c r="AY1916" s="8"/>
    </row>
    <row r="1917" spans="1:51">
      <c r="A1917" s="5" t="str">
        <v>BV</v>
      </c>
      <c r="B1917" s="5" t="str">
        <f ca="1"/>
        <v>BV45849</v>
      </c>
      <c r="C1917" s="8" t="str">
        <v>Pedido 1903</v>
      </c>
      <c r="D1917" s="187">
        <v>45846</v>
      </c>
      <c r="E1917" s="9">
        <v>45849</v>
      </c>
      <c r="F1917" s="2" t="str">
        <v>PedidoF1788</v>
      </c>
      <c r="G1917" s="2" t="str">
        <v>CódRastreio1786</v>
      </c>
      <c r="H1917" s="5">
        <v>1</v>
      </c>
      <c r="I1917" s="182" t="str">
        <v>CPF 1859</v>
      </c>
      <c r="J1917" s="2" t="str">
        <v>Nome 1859</v>
      </c>
      <c r="K1917" s="8" t="str">
        <v>Tel 1859</v>
      </c>
      <c r="L1917" s="8" t="str">
        <v>Cep 1859</v>
      </c>
      <c r="M1917" s="8" t="str">
        <v>Rua 1859</v>
      </c>
      <c r="N1917" s="8" t="str">
        <v>Comp 1859</v>
      </c>
      <c r="O1917" s="8" t="str">
        <v>Bolsa térmica</v>
      </c>
      <c r="P1917" s="8" t="str">
        <v>6I-CK1S-8HYZ</v>
      </c>
      <c r="Q1917" s="4">
        <v>45867</v>
      </c>
      <c r="R1917" s="109">
        <v>28.5</v>
      </c>
      <c r="S1917" s="11">
        <f ca="1"/>
        <v>28.5</v>
      </c>
      <c r="T1917" s="28">
        <f ca="1"/>
        <v>3.42</v>
      </c>
      <c r="U1917" s="11">
        <f ca="1"/>
        <v>25.08</v>
      </c>
      <c r="V1917" s="11">
        <v>20.29</v>
      </c>
      <c r="W1917" s="11">
        <f ca="1"/>
        <v>0</v>
      </c>
      <c r="X1917" s="11">
        <f ca="1"/>
        <v>0.39877104377104378</v>
      </c>
      <c r="Y1917" s="11">
        <v>0</v>
      </c>
      <c r="Z1917" s="11">
        <f ca="1"/>
        <v>4.3912289562289537</v>
      </c>
      <c r="AA1917" s="11">
        <f ca="1"/>
        <v>2.1956144781144769</v>
      </c>
      <c r="AB1917" s="4">
        <f ca="1"/>
        <v>45874</v>
      </c>
      <c r="AC1917" s="4">
        <v>45874</v>
      </c>
      <c r="AD1917" s="9">
        <v>45887</v>
      </c>
      <c r="AE1917" s="9">
        <v>45888</v>
      </c>
      <c r="AF1917" s="4" t="str">
        <f t="shared" ref="AF1917" ca="1" si="140">_xlfn.CONCAT(PROPER(TEXT(AB1917,"aaaa"))," ",PROPER(TEXT(AB1917,"mm")))</f>
        <v>2025 08</v>
      </c>
      <c r="AG1917" s="8" t="str" cm="1">
        <f t="array" ref="AG1917">IFERROR(_xlfn.IFS('Banco de Dados'!#REF!="AG. COMPRA","Em processamento",'Banco de Dados'!#REF!="AG. RASTREIO","Em processamento",'Banco de Dados'!$AE1917&lt;&gt;"-","Faturado",'Banco de Dados'!$AD1917&lt;&gt;"-","Aguardando Pix",'Banco de Dados'!$AC1917&lt;&gt;"-","Pendente"),"Aguardando Liberação")</f>
        <v>Aguardando Liberação</v>
      </c>
      <c r="AH1917" s="5" t="str">
        <f>IF('Banco de Dados'!$F1917="-",_xlfn.CONCAT(PROPER(TEXT(AK1917,"aaaa"))," ",PROPER(TEXT(AK1917,"mm"))),_xlfn.CONCAT(PROPER(TEXT(E1917,"aaaa"))," ",PROPER(TEXT(E1917,"mm"))))</f>
        <v>2025 07</v>
      </c>
      <c r="AI1917" s="9" t="str">
        <f ca="1">IF('Banco de Dados'!$AK1917&lt;&gt;"-","REEMBOLSO",IFERROR(_xlfn.XLOOKUP(G1917,Follow[CODRASTREIO],Follow[STATUS]),"-"))</f>
        <v>ENTREGUE</v>
      </c>
      <c r="AJ1917" s="9">
        <f ca="1">IF('Banco de Dados'!$AI1917="ENTREGUE",_xlfn.XLOOKUP('Banco de Dados'!$G1917,Follow[CODRASTREIO],Follow[DATAATUALIZAÇÃO]),"-")</f>
        <v>45859</v>
      </c>
      <c r="AK1917" s="132" t="str">
        <f ca="1"/>
        <v>-</v>
      </c>
      <c r="AL1917" s="35"/>
      <c r="AM1917" s="109" cm="1">
        <f t="array" aca="1" ref="AM1917" ca="1">IF('Banco de Dados'!$AK1917&lt;&gt;"-",_xlfn.IFS('Banco de Dados'!$A1917="bv",IF('Banco de Dados'!$E1917&lt;45641,ROUND(SUM('Banco de Dados'!$R1917*_xlfn.XLOOKUP('Banco de Dados'!$P1917,Sku!B:B,Sku!#REF!)*20%),2),ROUND(SUM('Banco de Dados'!$R1917*_xlfn.XLOOKUP('Banco de Dados'!$P1917,Sku!B:B,Sku!H:H)*20%),2)),'Banco de Dados'!$A1917="GO",ROUND(_xlfn.XLOOKUP('Banco de Dados'!$P1917,Sku!C:C,Sku!H:H),2),'Banco de Dados'!$A1917="MEI",ROUND(_xlfn.XLOOKUP('Banco de Dados'!$P1917,Sku!D:D,Sku!H:H),2)),0)</f>
        <v>0</v>
      </c>
      <c r="AN1917" s="109">
        <v>0</v>
      </c>
      <c r="AO1917" s="109">
        <v>0</v>
      </c>
      <c r="AP1917" s="28">
        <f ca="1">IF('Banco de Dados'!$AK1917&lt;&gt;"-",IF('Banco de Dados'!$AL1917="NÃO",IFERROR(VALUE(SUBSTITUTE(_xlfn.TEXTAFTER('Banco de Dados'!$F1917,"BRL ",1),".",",")),0),0),0)</f>
        <v>0</v>
      </c>
      <c r="AQ1917" s="28">
        <f ca="1">SUM('Banco de Dados'!$AM1917:$AP1917)</f>
        <v>0</v>
      </c>
      <c r="AR1917" s="8"/>
      <c r="AS1917" s="8"/>
      <c r="AT1917"/>
      <c r="AY1917" s="8"/>
    </row>
    <row r="1918" spans="1:51">
      <c r="A1918" s="5" t="str">
        <v>BV</v>
      </c>
      <c r="B1918" s="5" t="str">
        <f ca="1"/>
        <v>BV45852</v>
      </c>
      <c r="C1918" s="8" t="str">
        <v>Pedido 1904</v>
      </c>
      <c r="D1918" s="187">
        <v>45846</v>
      </c>
      <c r="E1918" s="9">
        <v>45852</v>
      </c>
      <c r="F1918" s="2" t="str">
        <v>PedidoF1789</v>
      </c>
      <c r="G1918" s="2" t="str">
        <v>CódRastreio1787</v>
      </c>
      <c r="H1918" s="5">
        <v>1</v>
      </c>
      <c r="I1918" s="182" t="str">
        <v>CPF 1860</v>
      </c>
      <c r="J1918" s="2" t="str">
        <v>Nome 1860</v>
      </c>
      <c r="K1918" s="8" t="str">
        <v>Tel 1860</v>
      </c>
      <c r="L1918" s="8" t="str">
        <v>Cep 1860</v>
      </c>
      <c r="M1918" s="8" t="str">
        <v>Rua 1860</v>
      </c>
      <c r="N1918" s="8" t="str">
        <v>Comp 1860</v>
      </c>
      <c r="O1918" s="8" t="str">
        <v>Máquina de cortar cabelo dragão</v>
      </c>
      <c r="P1918" s="8" t="str">
        <v>HG-2FNR-01A9</v>
      </c>
      <c r="Q1918" s="4">
        <v>45871</v>
      </c>
      <c r="R1918" s="109">
        <v>23.9</v>
      </c>
      <c r="S1918" s="11">
        <f ca="1"/>
        <v>23.9</v>
      </c>
      <c r="T1918" s="28">
        <f ca="1"/>
        <v>2.8679999999999999</v>
      </c>
      <c r="U1918" s="11">
        <f ca="1"/>
        <v>21.03</v>
      </c>
      <c r="V1918" s="11">
        <v>20.170000000000002</v>
      </c>
      <c r="W1918" s="11">
        <f ca="1"/>
        <v>0</v>
      </c>
      <c r="X1918" s="11">
        <f ca="1"/>
        <v>0.39877104377104378</v>
      </c>
      <c r="Y1918" s="11">
        <v>5</v>
      </c>
      <c r="Z1918" s="11">
        <f ca="1"/>
        <v>-4.538771043771046</v>
      </c>
      <c r="AA1918" s="11">
        <f ca="1"/>
        <v>-2.269385521885523</v>
      </c>
      <c r="AB1918" s="4">
        <f ca="1"/>
        <v>45878</v>
      </c>
      <c r="AC1918" s="4">
        <v>45878</v>
      </c>
      <c r="AD1918" s="9">
        <v>45887</v>
      </c>
      <c r="AE1918" s="9">
        <v>45888</v>
      </c>
      <c r="AF1918" s="4" t="str">
        <f t="shared" ref="AF1918:AF1929" ca="1" si="141">_xlfn.CONCAT(PROPER(TEXT(AB1918,"aaaa"))," ",PROPER(TEXT(AB1918,"mm")))</f>
        <v>2025 08</v>
      </c>
      <c r="AG1918" s="8" t="str" cm="1">
        <f t="array" ref="AG1918">IFERROR(_xlfn.IFS('Banco de Dados'!#REF!="AG. COMPRA","Em processamento",'Banco de Dados'!#REF!="AG. RASTREIO","Em processamento",'Banco de Dados'!$AE1918&lt;&gt;"-","Faturado",'Banco de Dados'!$AD1918&lt;&gt;"-","Aguardando Pix",'Banco de Dados'!$AC1918&lt;&gt;"-","Pendente"),"Aguardando Liberação")</f>
        <v>Aguardando Liberação</v>
      </c>
      <c r="AH1918" s="5" t="str">
        <f>IF('Banco de Dados'!$F1918="-",_xlfn.CONCAT(PROPER(TEXT(AK1918,"aaaa"))," ",PROPER(TEXT(AK1918,"mm"))),_xlfn.CONCAT(PROPER(TEXT(E1918,"aaaa"))," ",PROPER(TEXT(E1918,"mm"))))</f>
        <v>2025 07</v>
      </c>
      <c r="AI1918" s="9" t="str">
        <f ca="1">IF('Banco de Dados'!$AK1918&lt;&gt;"-","REEMBOLSO",IFERROR(_xlfn.XLOOKUP(G1918,Follow[CODRASTREIO],Follow[STATUS]),"-"))</f>
        <v>ENTREGUE</v>
      </c>
      <c r="AJ1918" s="9">
        <f ca="1">IF('Banco de Dados'!$AI1918="ENTREGUE",_xlfn.XLOOKUP('Banco de Dados'!$G1918,Follow[CODRASTREIO],Follow[DATAATUALIZAÇÃO]),"-")</f>
        <v>45861</v>
      </c>
      <c r="AK1918" s="132" t="str">
        <f ca="1"/>
        <v>-</v>
      </c>
      <c r="AL1918" s="35"/>
      <c r="AM1918" s="109" cm="1">
        <f t="array" aca="1" ref="AM1918" ca="1">IF('Banco de Dados'!$AK1918&lt;&gt;"-",_xlfn.IFS('Banco de Dados'!$A1918="bv",IF('Banco de Dados'!$E1918&lt;45641,ROUND(SUM('Banco de Dados'!$R1918*_xlfn.XLOOKUP('Banco de Dados'!$P1918,Sku!B:B,Sku!#REF!)*20%),2),ROUND(SUM('Banco de Dados'!$R1918*_xlfn.XLOOKUP('Banco de Dados'!$P1918,Sku!B:B,Sku!H:H)*20%),2)),'Banco de Dados'!$A1918="GO",ROUND(_xlfn.XLOOKUP('Banco de Dados'!$P1918,Sku!C:C,Sku!H:H),2),'Banco de Dados'!$A1918="MEI",ROUND(_xlfn.XLOOKUP('Banco de Dados'!$P1918,Sku!D:D,Sku!H:H),2)),0)</f>
        <v>0</v>
      </c>
      <c r="AN1918" s="109">
        <v>0</v>
      </c>
      <c r="AO1918" s="109">
        <v>0</v>
      </c>
      <c r="AP1918" s="28">
        <f ca="1">IF('Banco de Dados'!$AK1918&lt;&gt;"-",IF('Banco de Dados'!$AL1918="NÃO",IFERROR(VALUE(SUBSTITUTE(_xlfn.TEXTAFTER('Banco de Dados'!$F1918,"BRL ",1),".",",")),0),0),0)</f>
        <v>0</v>
      </c>
      <c r="AQ1918" s="28">
        <f ca="1">SUM('Banco de Dados'!$AM1918:$AP1918)</f>
        <v>0</v>
      </c>
      <c r="AR1918" s="8"/>
      <c r="AS1918" s="8"/>
      <c r="AT1918"/>
      <c r="AY1918" s="8"/>
    </row>
    <row r="1919" spans="1:51">
      <c r="A1919" s="5" t="str">
        <v>BV</v>
      </c>
      <c r="B1919" s="5" t="str">
        <f ca="1"/>
        <v>BV45849</v>
      </c>
      <c r="C1919" s="8" t="str">
        <v>Pedido 1905</v>
      </c>
      <c r="D1919" s="187">
        <v>45846</v>
      </c>
      <c r="E1919" s="9">
        <v>45849</v>
      </c>
      <c r="F1919" s="2" t="str">
        <v>PedidoF1790</v>
      </c>
      <c r="G1919" s="2" t="str">
        <v>CódRastreio1788</v>
      </c>
      <c r="H1919" s="5">
        <v>1</v>
      </c>
      <c r="I1919" s="182" t="str">
        <v>CPF 1861</v>
      </c>
      <c r="J1919" s="2" t="str">
        <v>Nome 1861</v>
      </c>
      <c r="K1919" s="8" t="str">
        <v>Tel 1861</v>
      </c>
      <c r="L1919" s="8" t="str">
        <v>Cep 1861</v>
      </c>
      <c r="M1919" s="8" t="str">
        <v>Rua 1861</v>
      </c>
      <c r="N1919" s="8" t="str">
        <v>Comp 1861</v>
      </c>
      <c r="O1919" s="8" t="str">
        <v>Bolsa térmica</v>
      </c>
      <c r="P1919" s="8" t="str">
        <v>6I-CK1S-8HYZ</v>
      </c>
      <c r="Q1919" s="4">
        <v>45867</v>
      </c>
      <c r="R1919" s="109">
        <v>28.5</v>
      </c>
      <c r="S1919" s="11">
        <f ca="1"/>
        <v>28.5</v>
      </c>
      <c r="T1919" s="28">
        <f ca="1"/>
        <v>3.42</v>
      </c>
      <c r="U1919" s="11">
        <f ca="1"/>
        <v>25.08</v>
      </c>
      <c r="V1919" s="11">
        <v>19.89</v>
      </c>
      <c r="W1919" s="11">
        <f ca="1"/>
        <v>0</v>
      </c>
      <c r="X1919" s="11">
        <f ca="1"/>
        <v>0.39877104377104378</v>
      </c>
      <c r="Y1919" s="11">
        <v>0</v>
      </c>
      <c r="Z1919" s="11">
        <f ca="1"/>
        <v>4.7912289562289523</v>
      </c>
      <c r="AA1919" s="11">
        <f ca="1"/>
        <v>2.3956144781144761</v>
      </c>
      <c r="AB1919" s="4">
        <f ca="1"/>
        <v>45874</v>
      </c>
      <c r="AC1919" s="4">
        <v>45874</v>
      </c>
      <c r="AD1919" s="9">
        <v>45887</v>
      </c>
      <c r="AE1919" s="9">
        <v>45888</v>
      </c>
      <c r="AF1919" s="4" t="str">
        <f t="shared" ca="1" si="141"/>
        <v>2025 08</v>
      </c>
      <c r="AG1919" s="8" t="str" cm="1">
        <f t="array" ref="AG1919">IFERROR(_xlfn.IFS('Banco de Dados'!#REF!="AG. COMPRA","Em processamento",'Banco de Dados'!#REF!="AG. RASTREIO","Em processamento",'Banco de Dados'!$AE1919&lt;&gt;"-","Faturado",'Banco de Dados'!$AD1919&lt;&gt;"-","Aguardando Pix",'Banco de Dados'!$AC1919&lt;&gt;"-","Pendente"),"Aguardando Liberação")</f>
        <v>Aguardando Liberação</v>
      </c>
      <c r="AH1919" s="5" t="str">
        <f>IF('Banco de Dados'!$F1919="-",_xlfn.CONCAT(PROPER(TEXT(AK1919,"aaaa"))," ",PROPER(TEXT(AK1919,"mm"))),_xlfn.CONCAT(PROPER(TEXT(E1919,"aaaa"))," ",PROPER(TEXT(E1919,"mm"))))</f>
        <v>2025 07</v>
      </c>
      <c r="AI1919" s="9" t="str">
        <f ca="1">IF('Banco de Dados'!$AK1919&lt;&gt;"-","REEMBOLSO",IFERROR(_xlfn.XLOOKUP(G1919,Follow[CODRASTREIO],Follow[STATUS]),"-"))</f>
        <v>ENTREGUE</v>
      </c>
      <c r="AJ1919" s="9">
        <f ca="1">IF('Banco de Dados'!$AI1919="ENTREGUE",_xlfn.XLOOKUP('Banco de Dados'!$G1919,Follow[CODRASTREIO],Follow[DATAATUALIZAÇÃO]),"-")</f>
        <v>45859</v>
      </c>
      <c r="AK1919" s="132" t="str">
        <f ca="1"/>
        <v>-</v>
      </c>
      <c r="AL1919" s="35"/>
      <c r="AM1919" s="109" cm="1">
        <f t="array" aca="1" ref="AM1919" ca="1">IF('Banco de Dados'!$AK1919&lt;&gt;"-",_xlfn.IFS('Banco de Dados'!$A1919="bv",IF('Banco de Dados'!$E1919&lt;45641,ROUND(SUM('Banco de Dados'!$R1919*_xlfn.XLOOKUP('Banco de Dados'!$P1919,Sku!B:B,Sku!#REF!)*20%),2),ROUND(SUM('Banco de Dados'!$R1919*_xlfn.XLOOKUP('Banco de Dados'!$P1919,Sku!B:B,Sku!H:H)*20%),2)),'Banco de Dados'!$A1919="GO",ROUND(_xlfn.XLOOKUP('Banco de Dados'!$P1919,Sku!C:C,Sku!H:H),2),'Banco de Dados'!$A1919="MEI",ROUND(_xlfn.XLOOKUP('Banco de Dados'!$P1919,Sku!D:D,Sku!H:H),2)),0)</f>
        <v>0</v>
      </c>
      <c r="AN1919" s="109">
        <v>0</v>
      </c>
      <c r="AO1919" s="109">
        <v>0</v>
      </c>
      <c r="AP1919" s="28">
        <f ca="1">IF('Banco de Dados'!$AK1919&lt;&gt;"-",IF('Banco de Dados'!$AL1919="NÃO",IFERROR(VALUE(SUBSTITUTE(_xlfn.TEXTAFTER('Banco de Dados'!$F1919,"BRL ",1),".",",")),0),0),0)</f>
        <v>0</v>
      </c>
      <c r="AQ1919" s="28">
        <f ca="1">SUM('Banco de Dados'!$AM1919:$AP1919)</f>
        <v>0</v>
      </c>
      <c r="AR1919" s="8"/>
      <c r="AS1919" s="8"/>
      <c r="AT1919"/>
      <c r="AY1919" s="8"/>
    </row>
    <row r="1920" spans="1:51">
      <c r="A1920" s="5" t="str">
        <v>BV</v>
      </c>
      <c r="B1920" s="5" t="str">
        <f ca="1"/>
        <v>BV45849</v>
      </c>
      <c r="C1920" s="8" t="str">
        <v>Pedido 1906</v>
      </c>
      <c r="D1920" s="187">
        <v>45846</v>
      </c>
      <c r="E1920" s="9">
        <v>45849</v>
      </c>
      <c r="F1920" s="2" t="str">
        <v>PedidoF1791</v>
      </c>
      <c r="G1920" s="2" t="str">
        <v>CódRastreio1789</v>
      </c>
      <c r="H1920" s="5">
        <v>1</v>
      </c>
      <c r="I1920" s="182" t="str">
        <v>CPF 1862</v>
      </c>
      <c r="J1920" s="2" t="str">
        <v>Nome 1862</v>
      </c>
      <c r="K1920" s="8" t="str">
        <v>Tel 1862</v>
      </c>
      <c r="L1920" s="8" t="str">
        <v>Cep 1862</v>
      </c>
      <c r="M1920" s="8" t="str">
        <v>Rua 1862</v>
      </c>
      <c r="N1920" s="8" t="str">
        <v>Comp 1862</v>
      </c>
      <c r="O1920" s="8" t="str">
        <v>Bolsa térmica</v>
      </c>
      <c r="P1920" s="8" t="str">
        <v>6I-CK1S-8HYZ</v>
      </c>
      <c r="Q1920" s="4">
        <v>45863</v>
      </c>
      <c r="R1920" s="109">
        <v>28.5</v>
      </c>
      <c r="S1920" s="11">
        <f ca="1"/>
        <v>28.5</v>
      </c>
      <c r="T1920" s="28">
        <f ca="1"/>
        <v>3.42</v>
      </c>
      <c r="U1920" s="11">
        <f ca="1"/>
        <v>25.08</v>
      </c>
      <c r="V1920" s="11">
        <v>20.32</v>
      </c>
      <c r="W1920" s="11">
        <f ca="1"/>
        <v>0</v>
      </c>
      <c r="X1920" s="11">
        <f ca="1"/>
        <v>0.39877104377104378</v>
      </c>
      <c r="Y1920" s="11">
        <v>0</v>
      </c>
      <c r="Z1920" s="11">
        <f ca="1"/>
        <v>4.3612289562289526</v>
      </c>
      <c r="AA1920" s="11">
        <f ca="1"/>
        <v>2.1806144781144763</v>
      </c>
      <c r="AB1920" s="4">
        <f ca="1"/>
        <v>45870</v>
      </c>
      <c r="AC1920" s="4">
        <v>45870</v>
      </c>
      <c r="AD1920" s="9">
        <v>45870</v>
      </c>
      <c r="AE1920" s="9">
        <v>45873</v>
      </c>
      <c r="AF1920" s="4" t="str">
        <f t="shared" ca="1" si="141"/>
        <v>2025 08</v>
      </c>
      <c r="AG1920" s="8" t="str" cm="1">
        <f t="array" ref="AG1920">IFERROR(_xlfn.IFS('Banco de Dados'!#REF!="AG. COMPRA","Em processamento",'Banco de Dados'!#REF!="AG. RASTREIO","Em processamento",'Banco de Dados'!$AE1920&lt;&gt;"-","Faturado",'Banco de Dados'!$AD1920&lt;&gt;"-","Aguardando Pix",'Banco de Dados'!$AC1920&lt;&gt;"-","Pendente"),"Aguardando Liberação")</f>
        <v>Aguardando Liberação</v>
      </c>
      <c r="AH1920" s="5" t="str">
        <f>IF('Banco de Dados'!$F1920="-",_xlfn.CONCAT(PROPER(TEXT(AK1920,"aaaa"))," ",PROPER(TEXT(AK1920,"mm"))),_xlfn.CONCAT(PROPER(TEXT(E1920,"aaaa"))," ",PROPER(TEXT(E1920,"mm"))))</f>
        <v>2025 07</v>
      </c>
      <c r="AI1920" s="9" t="str">
        <f ca="1">IF('Banco de Dados'!$AK1920&lt;&gt;"-","REEMBOLSO",IFERROR(_xlfn.XLOOKUP(G1920,Follow[CODRASTREIO],Follow[STATUS]),"-"))</f>
        <v>ENTREGUE</v>
      </c>
      <c r="AJ1920" s="9">
        <f ca="1">IF('Banco de Dados'!$AI1920="ENTREGUE",_xlfn.XLOOKUP('Banco de Dados'!$G1920,Follow[CODRASTREIO],Follow[DATAATUALIZAÇÃO]),"-")</f>
        <v>45859</v>
      </c>
      <c r="AK1920" s="132" t="str">
        <f ca="1"/>
        <v>-</v>
      </c>
      <c r="AL1920" s="35"/>
      <c r="AM1920" s="109" cm="1">
        <f t="array" aca="1" ref="AM1920" ca="1">IF('Banco de Dados'!$AK1920&lt;&gt;"-",_xlfn.IFS('Banco de Dados'!$A1920="bv",IF('Banco de Dados'!$E1920&lt;45641,ROUND(SUM('Banco de Dados'!$R1920*_xlfn.XLOOKUP('Banco de Dados'!$P1920,Sku!B:B,Sku!#REF!)*20%),2),ROUND(SUM('Banco de Dados'!$R1920*_xlfn.XLOOKUP('Banco de Dados'!$P1920,Sku!B:B,Sku!H:H)*20%),2)),'Banco de Dados'!$A1920="GO",ROUND(_xlfn.XLOOKUP('Banco de Dados'!$P1920,Sku!C:C,Sku!H:H),2),'Banco de Dados'!$A1920="MEI",ROUND(_xlfn.XLOOKUP('Banco de Dados'!$P1920,Sku!D:D,Sku!H:H),2)),0)</f>
        <v>0</v>
      </c>
      <c r="AN1920" s="109">
        <v>0</v>
      </c>
      <c r="AO1920" s="109">
        <v>0</v>
      </c>
      <c r="AP1920" s="28">
        <f ca="1">IF('Banco de Dados'!$AK1920&lt;&gt;"-",IF('Banco de Dados'!$AL1920="NÃO",IFERROR(VALUE(SUBSTITUTE(_xlfn.TEXTAFTER('Banco de Dados'!$F1920,"BRL ",1),".",",")),0),0),0)</f>
        <v>0</v>
      </c>
      <c r="AQ1920" s="28">
        <f ca="1">SUM('Banco de Dados'!$AM1920:$AP1920)</f>
        <v>0</v>
      </c>
      <c r="AR1920" s="8"/>
      <c r="AS1920" s="8"/>
      <c r="AT1920"/>
      <c r="AY1920" s="8"/>
    </row>
    <row r="1921" spans="1:51">
      <c r="A1921" s="5" t="str">
        <v>BV</v>
      </c>
      <c r="B1921" s="5" t="str">
        <f ca="1"/>
        <v>BV45849</v>
      </c>
      <c r="C1921" s="8" t="str">
        <v>Pedido 1907</v>
      </c>
      <c r="D1921" s="187">
        <v>45847</v>
      </c>
      <c r="E1921" s="9">
        <v>45849</v>
      </c>
      <c r="F1921" s="2" t="str">
        <v>PedidoF1792</v>
      </c>
      <c r="G1921" s="2" t="str">
        <v>CódRastreio1790</v>
      </c>
      <c r="H1921" s="5">
        <v>1</v>
      </c>
      <c r="I1921" s="182" t="str">
        <v>CPF 1863</v>
      </c>
      <c r="J1921" s="2" t="str">
        <v>Nome 1863</v>
      </c>
      <c r="K1921" s="8" t="str">
        <v>Tel 1863</v>
      </c>
      <c r="L1921" s="8" t="str">
        <v>Cep 1863</v>
      </c>
      <c r="M1921" s="8" t="str">
        <v>Rua 1863</v>
      </c>
      <c r="N1921" s="8" t="str">
        <v>Comp 1863</v>
      </c>
      <c r="O1921" s="8" t="str">
        <v>Bolsa térmica</v>
      </c>
      <c r="P1921" s="8" t="str">
        <v>6I-CK1S-8HYZ</v>
      </c>
      <c r="Q1921" s="4">
        <v>45868</v>
      </c>
      <c r="R1921" s="109">
        <v>28.5</v>
      </c>
      <c r="S1921" s="11">
        <f ca="1"/>
        <v>28.5</v>
      </c>
      <c r="T1921" s="28">
        <f ca="1"/>
        <v>3.42</v>
      </c>
      <c r="U1921" s="11">
        <f ca="1"/>
        <v>25.08</v>
      </c>
      <c r="V1921" s="11">
        <v>19.5</v>
      </c>
      <c r="W1921" s="11">
        <f ca="1"/>
        <v>0</v>
      </c>
      <c r="X1921" s="11">
        <f ca="1"/>
        <v>0.39877104377104378</v>
      </c>
      <c r="Y1921" s="11">
        <v>0</v>
      </c>
      <c r="Z1921" s="11">
        <f ca="1"/>
        <v>5.1812289562289529</v>
      </c>
      <c r="AA1921" s="11">
        <f ca="1"/>
        <v>2.5906144781144764</v>
      </c>
      <c r="AB1921" s="4">
        <f ca="1"/>
        <v>45875</v>
      </c>
      <c r="AC1921" s="4">
        <v>45875</v>
      </c>
      <c r="AD1921" s="9">
        <v>45887</v>
      </c>
      <c r="AE1921" s="9">
        <v>45888</v>
      </c>
      <c r="AF1921" s="4" t="str">
        <f t="shared" ca="1" si="141"/>
        <v>2025 08</v>
      </c>
      <c r="AG1921" s="8" t="str" cm="1">
        <f t="array" ref="AG1921">IFERROR(_xlfn.IFS('Banco de Dados'!#REF!="AG. COMPRA","Em processamento",'Banco de Dados'!#REF!="AG. RASTREIO","Em processamento",'Banco de Dados'!$AE1921&lt;&gt;"-","Faturado",'Banco de Dados'!$AD1921&lt;&gt;"-","Aguardando Pix",'Banco de Dados'!$AC1921&lt;&gt;"-","Pendente"),"Aguardando Liberação")</f>
        <v>Aguardando Liberação</v>
      </c>
      <c r="AH1921" s="5" t="str">
        <f>IF('Banco de Dados'!$F1921="-",_xlfn.CONCAT(PROPER(TEXT(AK1921,"aaaa"))," ",PROPER(TEXT(AK1921,"mm"))),_xlfn.CONCAT(PROPER(TEXT(E1921,"aaaa"))," ",PROPER(TEXT(E1921,"mm"))))</f>
        <v>2025 07</v>
      </c>
      <c r="AI1921" s="9" t="str">
        <f ca="1">IF('Banco de Dados'!$AK1921&lt;&gt;"-","REEMBOLSO",IFERROR(_xlfn.XLOOKUP(G1921,Follow[CODRASTREIO],Follow[STATUS]),"-"))</f>
        <v>ENTREGUE</v>
      </c>
      <c r="AJ1921" s="9">
        <f ca="1">IF('Banco de Dados'!$AI1921="ENTREGUE",_xlfn.XLOOKUP('Banco de Dados'!$G1921,Follow[CODRASTREIO],Follow[DATAATUALIZAÇÃO]),"-")</f>
        <v>45860</v>
      </c>
      <c r="AK1921" s="132" t="str">
        <f ca="1"/>
        <v>-</v>
      </c>
      <c r="AL1921" s="35"/>
      <c r="AM1921" s="109" cm="1">
        <f t="array" aca="1" ref="AM1921" ca="1">IF('Banco de Dados'!$AK1921&lt;&gt;"-",_xlfn.IFS('Banco de Dados'!$A1921="bv",IF('Banco de Dados'!$E1921&lt;45641,ROUND(SUM('Banco de Dados'!$R1921*_xlfn.XLOOKUP('Banco de Dados'!$P1921,Sku!B:B,Sku!#REF!)*20%),2),ROUND(SUM('Banco de Dados'!$R1921*_xlfn.XLOOKUP('Banco de Dados'!$P1921,Sku!B:B,Sku!H:H)*20%),2)),'Banco de Dados'!$A1921="GO",ROUND(_xlfn.XLOOKUP('Banco de Dados'!$P1921,Sku!C:C,Sku!H:H),2),'Banco de Dados'!$A1921="MEI",ROUND(_xlfn.XLOOKUP('Banco de Dados'!$P1921,Sku!D:D,Sku!H:H),2)),0)</f>
        <v>0</v>
      </c>
      <c r="AN1921" s="109">
        <v>0</v>
      </c>
      <c r="AO1921" s="109">
        <v>0</v>
      </c>
      <c r="AP1921" s="28">
        <f ca="1">IF('Banco de Dados'!$AK1921&lt;&gt;"-",IF('Banco de Dados'!$AL1921="NÃO",IFERROR(VALUE(SUBSTITUTE(_xlfn.TEXTAFTER('Banco de Dados'!$F1921,"BRL ",1),".",",")),0),0),0)</f>
        <v>0</v>
      </c>
      <c r="AQ1921" s="28">
        <f ca="1">SUM('Banco de Dados'!$AM1921:$AP1921)</f>
        <v>0</v>
      </c>
      <c r="AR1921" s="8"/>
      <c r="AS1921" s="8"/>
      <c r="AT1921"/>
      <c r="AY1921" s="8"/>
    </row>
    <row r="1922" spans="1:51">
      <c r="A1922" s="5" t="str">
        <v>BV</v>
      </c>
      <c r="B1922" s="5" t="str">
        <f ca="1"/>
        <v>BV45849</v>
      </c>
      <c r="C1922" s="8" t="str">
        <v>Pedido 1908</v>
      </c>
      <c r="D1922" s="187">
        <v>45847</v>
      </c>
      <c r="E1922" s="9">
        <v>45849</v>
      </c>
      <c r="F1922" s="2" t="str">
        <v>PedidoF1793</v>
      </c>
      <c r="G1922" s="2" t="str">
        <v>CódRastreio1791</v>
      </c>
      <c r="H1922" s="5">
        <v>1</v>
      </c>
      <c r="I1922" s="182" t="str">
        <v>CPF 1864</v>
      </c>
      <c r="J1922" s="2" t="str">
        <v>Nome 1864</v>
      </c>
      <c r="K1922" s="8" t="str">
        <v>Tel 1864</v>
      </c>
      <c r="L1922" s="8" t="str">
        <v>Cep 1864</v>
      </c>
      <c r="M1922" s="8" t="str">
        <v>Rua 1864</v>
      </c>
      <c r="N1922" s="8" t="str">
        <v>Comp 1864</v>
      </c>
      <c r="O1922" s="8" t="str">
        <v>Bolsa térmica</v>
      </c>
      <c r="P1922" s="8" t="str">
        <v>6I-CK1S-8HYZ</v>
      </c>
      <c r="Q1922" s="4">
        <v>45874</v>
      </c>
      <c r="R1922" s="109">
        <v>28.5</v>
      </c>
      <c r="S1922" s="11">
        <f ca="1"/>
        <v>28.5</v>
      </c>
      <c r="T1922" s="28">
        <f ca="1"/>
        <v>3.42</v>
      </c>
      <c r="U1922" s="11">
        <f ca="1"/>
        <v>25.08</v>
      </c>
      <c r="V1922" s="11">
        <v>20.18</v>
      </c>
      <c r="W1922" s="11">
        <f ca="1"/>
        <v>0</v>
      </c>
      <c r="X1922" s="11">
        <f ca="1"/>
        <v>0.39877104377104378</v>
      </c>
      <c r="Y1922" s="11">
        <v>3</v>
      </c>
      <c r="Z1922" s="11">
        <f ca="1"/>
        <v>1.5012289562289531</v>
      </c>
      <c r="AA1922" s="11">
        <f ca="1"/>
        <v>0.75061447811447657</v>
      </c>
      <c r="AB1922" s="4">
        <f ca="1"/>
        <v>45881</v>
      </c>
      <c r="AC1922" s="4">
        <v>45881</v>
      </c>
      <c r="AD1922" s="9">
        <v>45887</v>
      </c>
      <c r="AE1922" s="9">
        <v>45888</v>
      </c>
      <c r="AF1922" s="4" t="str">
        <f t="shared" ca="1" si="141"/>
        <v>2025 08</v>
      </c>
      <c r="AG1922" s="8" t="str" cm="1">
        <f t="array" ref="AG1922">IFERROR(_xlfn.IFS('Banco de Dados'!#REF!="AG. COMPRA","Em processamento",'Banco de Dados'!#REF!="AG. RASTREIO","Em processamento",'Banco de Dados'!$AE1922&lt;&gt;"-","Faturado",'Banco de Dados'!$AD1922&lt;&gt;"-","Aguardando Pix",'Banco de Dados'!$AC1922&lt;&gt;"-","Pendente"),"Aguardando Liberação")</f>
        <v>Aguardando Liberação</v>
      </c>
      <c r="AH1922" s="5" t="str">
        <f>IF('Banco de Dados'!$F1922="-",_xlfn.CONCAT(PROPER(TEXT(AK1922,"aaaa"))," ",PROPER(TEXT(AK1922,"mm"))),_xlfn.CONCAT(PROPER(TEXT(E1922,"aaaa"))," ",PROPER(TEXT(E1922,"mm"))))</f>
        <v>2025 07</v>
      </c>
      <c r="AI1922" s="9" t="str">
        <f ca="1">IF('Banco de Dados'!$AK1922&lt;&gt;"-","REEMBOLSO",IFERROR(_xlfn.XLOOKUP(G1922,Follow[CODRASTREIO],Follow[STATUS]),"-"))</f>
        <v>ENTREGUE</v>
      </c>
      <c r="AJ1922" s="9">
        <f ca="1">IF('Banco de Dados'!$AI1922="ENTREGUE",_xlfn.XLOOKUP('Banco de Dados'!$G1922,Follow[CODRASTREIO],Follow[DATAATUALIZAÇÃO]),"-")</f>
        <v>45861</v>
      </c>
      <c r="AK1922" s="132" t="str">
        <f ca="1"/>
        <v>-</v>
      </c>
      <c r="AL1922" s="35"/>
      <c r="AM1922" s="109" cm="1">
        <f t="array" aca="1" ref="AM1922" ca="1">IF('Banco de Dados'!$AK1922&lt;&gt;"-",_xlfn.IFS('Banco de Dados'!$A1922="bv",IF('Banco de Dados'!$E1922&lt;45641,ROUND(SUM('Banco de Dados'!$R1922*_xlfn.XLOOKUP('Banco de Dados'!$P1922,Sku!B:B,Sku!#REF!)*20%),2),ROUND(SUM('Banco de Dados'!$R1922*_xlfn.XLOOKUP('Banco de Dados'!$P1922,Sku!B:B,Sku!H:H)*20%),2)),'Banco de Dados'!$A1922="GO",ROUND(_xlfn.XLOOKUP('Banco de Dados'!$P1922,Sku!C:C,Sku!H:H),2),'Banco de Dados'!$A1922="MEI",ROUND(_xlfn.XLOOKUP('Banco de Dados'!$P1922,Sku!D:D,Sku!H:H),2)),0)</f>
        <v>0</v>
      </c>
      <c r="AN1922" s="109">
        <v>0</v>
      </c>
      <c r="AO1922" s="109">
        <v>0</v>
      </c>
      <c r="AP1922" s="28">
        <f ca="1">IF('Banco de Dados'!$AK1922&lt;&gt;"-",IF('Banco de Dados'!$AL1922="NÃO",IFERROR(VALUE(SUBSTITUTE(_xlfn.TEXTAFTER('Banco de Dados'!$F1922,"BRL ",1),".",",")),0),0),0)</f>
        <v>0</v>
      </c>
      <c r="AQ1922" s="28">
        <f ca="1">SUM('Banco de Dados'!$AM1922:$AP1922)</f>
        <v>0</v>
      </c>
      <c r="AR1922" s="8"/>
      <c r="AS1922" s="8"/>
      <c r="AT1922"/>
      <c r="AY1922" s="8"/>
    </row>
    <row r="1923" spans="1:51">
      <c r="A1923" s="5" t="str">
        <v>BV</v>
      </c>
      <c r="B1923" s="5" t="str">
        <f ca="1"/>
        <v>BV45852</v>
      </c>
      <c r="C1923" s="8" t="str">
        <v>Pedido 1909</v>
      </c>
      <c r="D1923" s="187">
        <v>45847</v>
      </c>
      <c r="E1923" s="9">
        <v>45852</v>
      </c>
      <c r="F1923" s="2" t="str">
        <v>PedidoF1794</v>
      </c>
      <c r="G1923" s="2" t="str">
        <v>CódRastreio1792</v>
      </c>
      <c r="H1923" s="5">
        <v>1</v>
      </c>
      <c r="I1923" s="182" t="str">
        <v>CPF 1865</v>
      </c>
      <c r="J1923" s="2" t="str">
        <v>Nome 1865</v>
      </c>
      <c r="K1923" s="8" t="str">
        <v>Tel 1865</v>
      </c>
      <c r="L1923" s="8" t="str">
        <v>Cep 1865</v>
      </c>
      <c r="M1923" s="8" t="str">
        <v>Rua 1865</v>
      </c>
      <c r="N1923" s="8" t="str">
        <v>Comp 1865</v>
      </c>
      <c r="O1923" s="8" t="str">
        <v>Máquina de cortar cabelo dragão</v>
      </c>
      <c r="P1923" s="8" t="str">
        <v>HG-2FNR-01A9</v>
      </c>
      <c r="Q1923" s="4">
        <v>45874</v>
      </c>
      <c r="R1923" s="109">
        <v>23.9</v>
      </c>
      <c r="S1923" s="11">
        <f ca="1"/>
        <v>23.9</v>
      </c>
      <c r="T1923" s="28">
        <f ca="1"/>
        <v>2.8679999999999999</v>
      </c>
      <c r="U1923" s="11">
        <f ca="1"/>
        <v>21.03</v>
      </c>
      <c r="V1923" s="11">
        <v>22.78</v>
      </c>
      <c r="W1923" s="11">
        <f ca="1"/>
        <v>0</v>
      </c>
      <c r="X1923" s="11">
        <f ca="1"/>
        <v>0.39877104377104378</v>
      </c>
      <c r="Y1923" s="11">
        <v>5</v>
      </c>
      <c r="Z1923" s="11">
        <f ca="1"/>
        <v>-7.1487710437710454</v>
      </c>
      <c r="AA1923" s="11">
        <f ca="1"/>
        <v>-3.5743855218855227</v>
      </c>
      <c r="AB1923" s="4">
        <f ca="1"/>
        <v>45881</v>
      </c>
      <c r="AC1923" s="4">
        <v>45881</v>
      </c>
      <c r="AD1923" s="9">
        <v>45887</v>
      </c>
      <c r="AE1923" s="9">
        <v>45888</v>
      </c>
      <c r="AF1923" s="4" t="str">
        <f t="shared" ca="1" si="141"/>
        <v>2025 08</v>
      </c>
      <c r="AG1923" s="8" t="str" cm="1">
        <f t="array" ref="AG1923">IFERROR(_xlfn.IFS('Banco de Dados'!#REF!="AG. COMPRA","Em processamento",'Banco de Dados'!#REF!="AG. RASTREIO","Em processamento",'Banco de Dados'!$AE1923&lt;&gt;"-","Faturado",'Banco de Dados'!$AD1923&lt;&gt;"-","Aguardando Pix",'Banco de Dados'!$AC1923&lt;&gt;"-","Pendente"),"Aguardando Liberação")</f>
        <v>Aguardando Liberação</v>
      </c>
      <c r="AH1923" s="5" t="str">
        <f>IF('Banco de Dados'!$F1923="-",_xlfn.CONCAT(PROPER(TEXT(AK1923,"aaaa"))," ",PROPER(TEXT(AK1923,"mm"))),_xlfn.CONCAT(PROPER(TEXT(E1923,"aaaa"))," ",PROPER(TEXT(E1923,"mm"))))</f>
        <v>2025 07</v>
      </c>
      <c r="AI1923" s="9" t="str">
        <f ca="1">IF('Banco de Dados'!$AK1923&lt;&gt;"-","REEMBOLSO",IFERROR(_xlfn.XLOOKUP(G1923,Follow[CODRASTREIO],Follow[STATUS]),"-"))</f>
        <v>ENTREGUE</v>
      </c>
      <c r="AJ1923" s="9">
        <f ca="1">IF('Banco de Dados'!$AI1923="ENTREGUE",_xlfn.XLOOKUP('Banco de Dados'!$G1923,Follow[CODRASTREIO],Follow[DATAATUALIZAÇÃO]),"-")</f>
        <v>45862</v>
      </c>
      <c r="AK1923" s="132" t="str">
        <f ca="1"/>
        <v>-</v>
      </c>
      <c r="AL1923" s="35"/>
      <c r="AM1923" s="109" cm="1">
        <f t="array" aca="1" ref="AM1923" ca="1">IF('Banco de Dados'!$AK1923&lt;&gt;"-",_xlfn.IFS('Banco de Dados'!$A1923="bv",IF('Banco de Dados'!$E1923&lt;45641,ROUND(SUM('Banco de Dados'!$R1923*_xlfn.XLOOKUP('Banco de Dados'!$P1923,Sku!B:B,Sku!#REF!)*20%),2),ROUND(SUM('Banco de Dados'!$R1923*_xlfn.XLOOKUP('Banco de Dados'!$P1923,Sku!B:B,Sku!H:H)*20%),2)),'Banco de Dados'!$A1923="GO",ROUND(_xlfn.XLOOKUP('Banco de Dados'!$P1923,Sku!C:C,Sku!H:H),2),'Banco de Dados'!$A1923="MEI",ROUND(_xlfn.XLOOKUP('Banco de Dados'!$P1923,Sku!D:D,Sku!H:H),2)),0)</f>
        <v>0</v>
      </c>
      <c r="AN1923" s="109">
        <v>0</v>
      </c>
      <c r="AO1923" s="109">
        <v>0</v>
      </c>
      <c r="AP1923" s="28">
        <f ca="1">IF('Banco de Dados'!$AK1923&lt;&gt;"-",IF('Banco de Dados'!$AL1923="NÃO",IFERROR(VALUE(SUBSTITUTE(_xlfn.TEXTAFTER('Banco de Dados'!$F1923,"BRL ",1),".",",")),0),0),0)</f>
        <v>0</v>
      </c>
      <c r="AQ1923" s="28">
        <f ca="1">SUM('Banco de Dados'!$AM1923:$AP1923)</f>
        <v>0</v>
      </c>
      <c r="AR1923" s="8"/>
      <c r="AS1923" s="8"/>
      <c r="AT1923"/>
      <c r="AY1923" s="8"/>
    </row>
    <row r="1924" spans="1:51">
      <c r="A1924" s="5" t="str">
        <v>BV</v>
      </c>
      <c r="B1924" s="5" t="str">
        <f ca="1"/>
        <v>BV45852</v>
      </c>
      <c r="C1924" s="8" t="str">
        <v>Pedido 1910</v>
      </c>
      <c r="D1924" s="187">
        <v>45847</v>
      </c>
      <c r="E1924" s="9">
        <v>45852</v>
      </c>
      <c r="F1924" s="2" t="str">
        <v>PedidoF1795</v>
      </c>
      <c r="G1924" s="2" t="str">
        <v>CódRastreio1793</v>
      </c>
      <c r="H1924" s="5">
        <v>1</v>
      </c>
      <c r="I1924" s="182" t="str">
        <v>CPF 1866</v>
      </c>
      <c r="J1924" s="2" t="str">
        <v>Nome 1866</v>
      </c>
      <c r="K1924" s="8" t="str">
        <v>Tel 1866</v>
      </c>
      <c r="L1924" s="8" t="str">
        <v>Cep 1866</v>
      </c>
      <c r="M1924" s="8" t="str">
        <v>Rua 1866</v>
      </c>
      <c r="N1924" s="8" t="str">
        <v>Comp 1866</v>
      </c>
      <c r="O1924" s="8" t="str">
        <v>Máquina de cortar cabelo dragão</v>
      </c>
      <c r="P1924" s="8" t="str">
        <v>HG-2FNR-01A9</v>
      </c>
      <c r="Q1924" s="4">
        <v>45874</v>
      </c>
      <c r="R1924" s="109">
        <v>23.9</v>
      </c>
      <c r="S1924" s="11">
        <f ca="1"/>
        <v>23.9</v>
      </c>
      <c r="T1924" s="28">
        <f ca="1"/>
        <v>2.8679999999999999</v>
      </c>
      <c r="U1924" s="11">
        <f ca="1"/>
        <v>21.03</v>
      </c>
      <c r="V1924" s="11">
        <v>16.98</v>
      </c>
      <c r="W1924" s="11">
        <f ca="1"/>
        <v>0</v>
      </c>
      <c r="X1924" s="11">
        <f ca="1"/>
        <v>0.39877104377104378</v>
      </c>
      <c r="Y1924" s="11">
        <v>3</v>
      </c>
      <c r="Z1924" s="11">
        <f ca="1"/>
        <v>0.65122895622895527</v>
      </c>
      <c r="AA1924" s="11">
        <f ca="1"/>
        <v>0.32561447811447763</v>
      </c>
      <c r="AB1924" s="4">
        <f ca="1"/>
        <v>45881</v>
      </c>
      <c r="AC1924" s="4">
        <v>45881</v>
      </c>
      <c r="AD1924" s="9">
        <v>45887</v>
      </c>
      <c r="AE1924" s="9">
        <v>45888</v>
      </c>
      <c r="AF1924" s="4" t="str">
        <f t="shared" ca="1" si="141"/>
        <v>2025 08</v>
      </c>
      <c r="AG1924" s="8" t="str" cm="1">
        <f t="array" ref="AG1924">IFERROR(_xlfn.IFS('Banco de Dados'!#REF!="AG. COMPRA","Em processamento",'Banco de Dados'!#REF!="AG. RASTREIO","Em processamento",'Banco de Dados'!$AE1924&lt;&gt;"-","Faturado",'Banco de Dados'!$AD1924&lt;&gt;"-","Aguardando Pix",'Banco de Dados'!$AC1924&lt;&gt;"-","Pendente"),"Aguardando Liberação")</f>
        <v>Aguardando Liberação</v>
      </c>
      <c r="AH1924" s="5" t="str">
        <f>IF('Banco de Dados'!$F1924="-",_xlfn.CONCAT(PROPER(TEXT(AK1924,"aaaa"))," ",PROPER(TEXT(AK1924,"mm"))),_xlfn.CONCAT(PROPER(TEXT(E1924,"aaaa"))," ",PROPER(TEXT(E1924,"mm"))))</f>
        <v>2025 07</v>
      </c>
      <c r="AI1924" s="9" t="str">
        <f ca="1">IF('Banco de Dados'!$AK1924&lt;&gt;"-","REEMBOLSO",IFERROR(_xlfn.XLOOKUP(G1924,Follow[CODRASTREIO],Follow[STATUS]),"-"))</f>
        <v>ENTREGUE</v>
      </c>
      <c r="AJ1924" s="9">
        <f ca="1">IF('Banco de Dados'!$AI1924="ENTREGUE",_xlfn.XLOOKUP('Banco de Dados'!$G1924,Follow[CODRASTREIO],Follow[DATAATUALIZAÇÃO]),"-")</f>
        <v>45866</v>
      </c>
      <c r="AK1924" s="132" t="str">
        <f ca="1"/>
        <v>-</v>
      </c>
      <c r="AL1924" s="35"/>
      <c r="AM1924" s="109" cm="1">
        <f t="array" aca="1" ref="AM1924" ca="1">IF('Banco de Dados'!$AK1924&lt;&gt;"-",_xlfn.IFS('Banco de Dados'!$A1924="bv",IF('Banco de Dados'!$E1924&lt;45641,ROUND(SUM('Banco de Dados'!$R1924*_xlfn.XLOOKUP('Banco de Dados'!$P1924,Sku!B:B,Sku!#REF!)*20%),2),ROUND(SUM('Banco de Dados'!$R1924*_xlfn.XLOOKUP('Banco de Dados'!$P1924,Sku!B:B,Sku!H:H)*20%),2)),'Banco de Dados'!$A1924="GO",ROUND(_xlfn.XLOOKUP('Banco de Dados'!$P1924,Sku!C:C,Sku!H:H),2),'Banco de Dados'!$A1924="MEI",ROUND(_xlfn.XLOOKUP('Banco de Dados'!$P1924,Sku!D:D,Sku!H:H),2)),0)</f>
        <v>0</v>
      </c>
      <c r="AN1924" s="109">
        <v>0</v>
      </c>
      <c r="AO1924" s="109">
        <v>0</v>
      </c>
      <c r="AP1924" s="28">
        <f ca="1">IF('Banco de Dados'!$AK1924&lt;&gt;"-",IF('Banco de Dados'!$AL1924="NÃO",IFERROR(VALUE(SUBSTITUTE(_xlfn.TEXTAFTER('Banco de Dados'!$F1924,"BRL ",1),".",",")),0),0),0)</f>
        <v>0</v>
      </c>
      <c r="AQ1924" s="28">
        <f ca="1">SUM('Banco de Dados'!$AM1924:$AP1924)</f>
        <v>0</v>
      </c>
      <c r="AR1924" s="8"/>
      <c r="AS1924" s="8"/>
      <c r="AT1924"/>
      <c r="AY1924" s="8"/>
    </row>
    <row r="1925" spans="1:51">
      <c r="A1925" s="5" t="str">
        <v>BV</v>
      </c>
      <c r="B1925" s="5" t="str">
        <f ca="1"/>
        <v>BV45849</v>
      </c>
      <c r="C1925" s="8" t="str">
        <v>Pedido 1911</v>
      </c>
      <c r="D1925" s="187">
        <v>45847</v>
      </c>
      <c r="E1925" s="9">
        <v>45849</v>
      </c>
      <c r="F1925" s="2" t="str">
        <v>PedidoF1796</v>
      </c>
      <c r="G1925" s="2" t="str">
        <v>CódRastreio1794</v>
      </c>
      <c r="H1925" s="5">
        <v>1</v>
      </c>
      <c r="I1925" s="182" t="str">
        <v>CPF 1867</v>
      </c>
      <c r="J1925" s="2" t="str">
        <v>Nome 1867</v>
      </c>
      <c r="K1925" s="8" t="str">
        <v>Tel 1867</v>
      </c>
      <c r="L1925" s="8" t="str">
        <v>Cep 1867</v>
      </c>
      <c r="M1925" s="8" t="str">
        <v>Rua 1867</v>
      </c>
      <c r="N1925" s="8" t="str">
        <v>Comp 1867</v>
      </c>
      <c r="O1925" s="8" t="str">
        <v>Bolsa térmica</v>
      </c>
      <c r="P1925" s="8" t="str">
        <v>6I-CK1S-8HYZ</v>
      </c>
      <c r="Q1925" s="4">
        <v>45868</v>
      </c>
      <c r="R1925" s="109">
        <v>28.5</v>
      </c>
      <c r="S1925" s="11">
        <f ca="1"/>
        <v>28.5</v>
      </c>
      <c r="T1925" s="28">
        <f ca="1"/>
        <v>3.42</v>
      </c>
      <c r="U1925" s="11">
        <f ca="1"/>
        <v>25.08</v>
      </c>
      <c r="V1925" s="11">
        <v>20.41</v>
      </c>
      <c r="W1925" s="11">
        <f ca="1"/>
        <v>0</v>
      </c>
      <c r="X1925" s="11">
        <f ca="1"/>
        <v>0.39877104377104378</v>
      </c>
      <c r="Y1925" s="11">
        <v>0</v>
      </c>
      <c r="Z1925" s="11">
        <f ca="1"/>
        <v>4.2712289562289527</v>
      </c>
      <c r="AA1925" s="11">
        <f ca="1"/>
        <v>2.1356144781144764</v>
      </c>
      <c r="AB1925" s="4">
        <f ca="1"/>
        <v>45875</v>
      </c>
      <c r="AC1925" s="4">
        <v>45875</v>
      </c>
      <c r="AD1925" s="9">
        <v>45887</v>
      </c>
      <c r="AE1925" s="9">
        <v>45888</v>
      </c>
      <c r="AF1925" s="4" t="str">
        <f t="shared" ca="1" si="141"/>
        <v>2025 08</v>
      </c>
      <c r="AG1925" s="8" t="str" cm="1">
        <f t="array" ref="AG1925">IFERROR(_xlfn.IFS('Banco de Dados'!#REF!="AG. COMPRA","Em processamento",'Banco de Dados'!#REF!="AG. RASTREIO","Em processamento",'Banco de Dados'!$AE1925&lt;&gt;"-","Faturado",'Banco de Dados'!$AD1925&lt;&gt;"-","Aguardando Pix",'Banco de Dados'!$AC1925&lt;&gt;"-","Pendente"),"Aguardando Liberação")</f>
        <v>Aguardando Liberação</v>
      </c>
      <c r="AH1925" s="5" t="str">
        <f>IF('Banco de Dados'!$F1925="-",_xlfn.CONCAT(PROPER(TEXT(AK1925,"aaaa"))," ",PROPER(TEXT(AK1925,"mm"))),_xlfn.CONCAT(PROPER(TEXT(E1925,"aaaa"))," ",PROPER(TEXT(E1925,"mm"))))</f>
        <v>2025 07</v>
      </c>
      <c r="AI1925" s="9" t="str">
        <f ca="1">IF('Banco de Dados'!$AK1925&lt;&gt;"-","REEMBOLSO",IFERROR(_xlfn.XLOOKUP(G1925,Follow[CODRASTREIO],Follow[STATUS]),"-"))</f>
        <v>ENTREGUE</v>
      </c>
      <c r="AJ1925" s="9">
        <f ca="1">IF('Banco de Dados'!$AI1925="ENTREGUE",_xlfn.XLOOKUP('Banco de Dados'!$G1925,Follow[CODRASTREIO],Follow[DATAATUALIZAÇÃO]),"-")</f>
        <v>45861</v>
      </c>
      <c r="AK1925" s="132" t="str">
        <f ca="1"/>
        <v>-</v>
      </c>
      <c r="AL1925" s="35"/>
      <c r="AM1925" s="109" cm="1">
        <f t="array" aca="1" ref="AM1925" ca="1">IF('Banco de Dados'!$AK1925&lt;&gt;"-",_xlfn.IFS('Banco de Dados'!$A1925="bv",IF('Banco de Dados'!$E1925&lt;45641,ROUND(SUM('Banco de Dados'!$R1925*_xlfn.XLOOKUP('Banco de Dados'!$P1925,Sku!B:B,Sku!#REF!)*20%),2),ROUND(SUM('Banco de Dados'!$R1925*_xlfn.XLOOKUP('Banco de Dados'!$P1925,Sku!B:B,Sku!H:H)*20%),2)),'Banco de Dados'!$A1925="GO",ROUND(_xlfn.XLOOKUP('Banco de Dados'!$P1925,Sku!C:C,Sku!H:H),2),'Banco de Dados'!$A1925="MEI",ROUND(_xlfn.XLOOKUP('Banco de Dados'!$P1925,Sku!D:D,Sku!H:H),2)),0)</f>
        <v>0</v>
      </c>
      <c r="AN1925" s="109">
        <v>0</v>
      </c>
      <c r="AO1925" s="109">
        <v>0</v>
      </c>
      <c r="AP1925" s="28">
        <f ca="1">IF('Banco de Dados'!$AK1925&lt;&gt;"-",IF('Banco de Dados'!$AL1925="NÃO",IFERROR(VALUE(SUBSTITUTE(_xlfn.TEXTAFTER('Banco de Dados'!$F1925,"BRL ",1),".",",")),0),0),0)</f>
        <v>0</v>
      </c>
      <c r="AQ1925" s="28">
        <f ca="1">SUM('Banco de Dados'!$AM1925:$AP1925)</f>
        <v>0</v>
      </c>
      <c r="AR1925" s="8"/>
      <c r="AS1925" s="8"/>
      <c r="AT1925"/>
      <c r="AY1925" s="8"/>
    </row>
    <row r="1926" spans="1:51">
      <c r="A1926" s="5" t="str">
        <v>BV</v>
      </c>
      <c r="B1926" s="5" t="str">
        <f ca="1"/>
        <v>BV45849</v>
      </c>
      <c r="C1926" s="8" t="str">
        <v>Pedido 1912</v>
      </c>
      <c r="D1926" s="187">
        <v>45847</v>
      </c>
      <c r="E1926" s="9">
        <v>45849</v>
      </c>
      <c r="F1926" s="2" t="str">
        <v>PedidoF1797</v>
      </c>
      <c r="G1926" s="2" t="str">
        <v>CódRastreio1795</v>
      </c>
      <c r="H1926" s="5">
        <v>1</v>
      </c>
      <c r="I1926" s="182" t="str">
        <v>CPF 1868</v>
      </c>
      <c r="J1926" s="2" t="str">
        <v>Nome 1868</v>
      </c>
      <c r="K1926" s="8" t="str">
        <v>Tel 1868</v>
      </c>
      <c r="L1926" s="8" t="str">
        <v>Cep 1868</v>
      </c>
      <c r="M1926" s="8" t="str">
        <v>Rua 1868</v>
      </c>
      <c r="N1926" s="8" t="str">
        <v>Comp 1868</v>
      </c>
      <c r="O1926" s="8" t="str">
        <v>Bolsa térmica</v>
      </c>
      <c r="P1926" s="8" t="str">
        <v>6I-CK1S-8HYZ</v>
      </c>
      <c r="Q1926" s="4">
        <v>45868</v>
      </c>
      <c r="R1926" s="109">
        <v>28.5</v>
      </c>
      <c r="S1926" s="11">
        <f ca="1"/>
        <v>28.5</v>
      </c>
      <c r="T1926" s="28">
        <f ca="1"/>
        <v>3.42</v>
      </c>
      <c r="U1926" s="11">
        <f ca="1"/>
        <v>25.08</v>
      </c>
      <c r="V1926" s="11">
        <v>19.5</v>
      </c>
      <c r="W1926" s="11">
        <f ca="1"/>
        <v>0</v>
      </c>
      <c r="X1926" s="11">
        <f ca="1"/>
        <v>0.39877104377104378</v>
      </c>
      <c r="Y1926" s="11">
        <v>0</v>
      </c>
      <c r="Z1926" s="11">
        <f ca="1"/>
        <v>5.1812289562289529</v>
      </c>
      <c r="AA1926" s="11">
        <f ca="1"/>
        <v>2.5906144781144764</v>
      </c>
      <c r="AB1926" s="4">
        <f ca="1"/>
        <v>45875</v>
      </c>
      <c r="AC1926" s="4">
        <v>45875</v>
      </c>
      <c r="AD1926" s="9">
        <v>45887</v>
      </c>
      <c r="AE1926" s="9">
        <v>45888</v>
      </c>
      <c r="AF1926" s="4" t="str">
        <f t="shared" ca="1" si="141"/>
        <v>2025 08</v>
      </c>
      <c r="AG1926" s="8" t="str" cm="1">
        <f t="array" ref="AG1926">IFERROR(_xlfn.IFS('Banco de Dados'!#REF!="AG. COMPRA","Em processamento",'Banco de Dados'!#REF!="AG. RASTREIO","Em processamento",'Banco de Dados'!$AE1926&lt;&gt;"-","Faturado",'Banco de Dados'!$AD1926&lt;&gt;"-","Aguardando Pix",'Banco de Dados'!$AC1926&lt;&gt;"-","Pendente"),"Aguardando Liberação")</f>
        <v>Aguardando Liberação</v>
      </c>
      <c r="AH1926" s="5" t="str">
        <f>IF('Banco de Dados'!$F1926="-",_xlfn.CONCAT(PROPER(TEXT(AK1926,"aaaa"))," ",PROPER(TEXT(AK1926,"mm"))),_xlfn.CONCAT(PROPER(TEXT(E1926,"aaaa"))," ",PROPER(TEXT(E1926,"mm"))))</f>
        <v>2025 07</v>
      </c>
      <c r="AI1926" s="9" t="str">
        <f ca="1">IF('Banco de Dados'!$AK1926&lt;&gt;"-","REEMBOLSO",IFERROR(_xlfn.XLOOKUP(G1926,Follow[CODRASTREIO],Follow[STATUS]),"-"))</f>
        <v>ENTREGUE</v>
      </c>
      <c r="AJ1926" s="9">
        <f ca="1">IF('Banco de Dados'!$AI1926="ENTREGUE",_xlfn.XLOOKUP('Banco de Dados'!$G1926,Follow[CODRASTREIO],Follow[DATAATUALIZAÇÃO]),"-")</f>
        <v>45854</v>
      </c>
      <c r="AK1926" s="132" t="str">
        <f ca="1"/>
        <v>-</v>
      </c>
      <c r="AL1926" s="35"/>
      <c r="AM1926" s="109" cm="1">
        <f t="array" aca="1" ref="AM1926" ca="1">IF('Banco de Dados'!$AK1926&lt;&gt;"-",_xlfn.IFS('Banco de Dados'!$A1926="bv",IF('Banco de Dados'!$E1926&lt;45641,ROUND(SUM('Banco de Dados'!$R1926*_xlfn.XLOOKUP('Banco de Dados'!$P1926,Sku!B:B,Sku!#REF!)*20%),2),ROUND(SUM('Banco de Dados'!$R1926*_xlfn.XLOOKUP('Banco de Dados'!$P1926,Sku!B:B,Sku!H:H)*20%),2)),'Banco de Dados'!$A1926="GO",ROUND(_xlfn.XLOOKUP('Banco de Dados'!$P1926,Sku!C:C,Sku!H:H),2),'Banco de Dados'!$A1926="MEI",ROUND(_xlfn.XLOOKUP('Banco de Dados'!$P1926,Sku!D:D,Sku!H:H),2)),0)</f>
        <v>0</v>
      </c>
      <c r="AN1926" s="109">
        <v>0</v>
      </c>
      <c r="AO1926" s="109">
        <v>0</v>
      </c>
      <c r="AP1926" s="28">
        <f ca="1">IF('Banco de Dados'!$AK1926&lt;&gt;"-",IF('Banco de Dados'!$AL1926="NÃO",IFERROR(VALUE(SUBSTITUTE(_xlfn.TEXTAFTER('Banco de Dados'!$F1926,"BRL ",1),".",",")),0),0),0)</f>
        <v>0</v>
      </c>
      <c r="AQ1926" s="28">
        <f ca="1">SUM('Banco de Dados'!$AM1926:$AP1926)</f>
        <v>0</v>
      </c>
      <c r="AR1926" s="8"/>
      <c r="AS1926" s="8"/>
      <c r="AT1926"/>
      <c r="AY1926" s="8"/>
    </row>
    <row r="1927" spans="1:51">
      <c r="A1927" s="5" t="str">
        <v>BV</v>
      </c>
      <c r="B1927" s="5" t="str">
        <f ca="1"/>
        <v>BV45849</v>
      </c>
      <c r="C1927" s="8" t="str">
        <v>Pedido 1913</v>
      </c>
      <c r="D1927" s="187">
        <v>45847</v>
      </c>
      <c r="E1927" s="9">
        <v>45849</v>
      </c>
      <c r="F1927" s="2" t="str">
        <v>PedidoF1798</v>
      </c>
      <c r="G1927" s="2" t="str">
        <v>CódRastreio1796</v>
      </c>
      <c r="H1927" s="5">
        <v>1</v>
      </c>
      <c r="I1927" s="182" t="str">
        <v>CPF 1869</v>
      </c>
      <c r="J1927" s="2" t="str">
        <v>Nome 1869</v>
      </c>
      <c r="K1927" s="8" t="str">
        <v>Tel 1869</v>
      </c>
      <c r="L1927" s="8" t="str">
        <v>Cep 1869</v>
      </c>
      <c r="M1927" s="8" t="str">
        <v>Rua 1869</v>
      </c>
      <c r="N1927" s="8" t="str">
        <v>Comp 1869</v>
      </c>
      <c r="O1927" s="8" t="str">
        <v>Bolsa térmica</v>
      </c>
      <c r="P1927" s="8" t="str">
        <v>6I-CK1S-8HYZ</v>
      </c>
      <c r="Q1927" s="4">
        <v>45868</v>
      </c>
      <c r="R1927" s="109">
        <v>28.5</v>
      </c>
      <c r="S1927" s="11">
        <f ca="1"/>
        <v>28.5</v>
      </c>
      <c r="T1927" s="28">
        <f ca="1"/>
        <v>3.42</v>
      </c>
      <c r="U1927" s="11">
        <f ca="1"/>
        <v>25.08</v>
      </c>
      <c r="V1927" s="11">
        <v>20.53</v>
      </c>
      <c r="W1927" s="11">
        <f ca="1"/>
        <v>0</v>
      </c>
      <c r="X1927" s="11">
        <f ca="1"/>
        <v>0.39877104377104378</v>
      </c>
      <c r="Y1927" s="11">
        <v>0</v>
      </c>
      <c r="Z1927" s="11">
        <f ca="1"/>
        <v>4.1512289562289517</v>
      </c>
      <c r="AA1927" s="11">
        <f ca="1"/>
        <v>2.0756144781144759</v>
      </c>
      <c r="AB1927" s="4">
        <f ca="1"/>
        <v>45875</v>
      </c>
      <c r="AC1927" s="4">
        <v>45875</v>
      </c>
      <c r="AD1927" s="9">
        <v>45887</v>
      </c>
      <c r="AE1927" s="9">
        <v>45888</v>
      </c>
      <c r="AF1927" s="4" t="str">
        <f t="shared" ca="1" si="141"/>
        <v>2025 08</v>
      </c>
      <c r="AG1927" s="8" t="str" cm="1">
        <f t="array" ref="AG1927">IFERROR(_xlfn.IFS('Banco de Dados'!#REF!="AG. COMPRA","Em processamento",'Banco de Dados'!#REF!="AG. RASTREIO","Em processamento",'Banco de Dados'!$AE1927&lt;&gt;"-","Faturado",'Banco de Dados'!$AD1927&lt;&gt;"-","Aguardando Pix",'Banco de Dados'!$AC1927&lt;&gt;"-","Pendente"),"Aguardando Liberação")</f>
        <v>Aguardando Liberação</v>
      </c>
      <c r="AH1927" s="5" t="str">
        <f>IF('Banco de Dados'!$F1927="-",_xlfn.CONCAT(PROPER(TEXT(AK1927,"aaaa"))," ",PROPER(TEXT(AK1927,"mm"))),_xlfn.CONCAT(PROPER(TEXT(E1927,"aaaa"))," ",PROPER(TEXT(E1927,"mm"))))</f>
        <v>2025 07</v>
      </c>
      <c r="AI1927" s="9" t="str">
        <f ca="1">IF('Banco de Dados'!$AK1927&lt;&gt;"-","REEMBOLSO",IFERROR(_xlfn.XLOOKUP(G1927,Follow[CODRASTREIO],Follow[STATUS]),"-"))</f>
        <v>ENTREGUE</v>
      </c>
      <c r="AJ1927" s="9">
        <f ca="1">IF('Banco de Dados'!$AI1927="ENTREGUE",_xlfn.XLOOKUP('Banco de Dados'!$G1927,Follow[CODRASTREIO],Follow[DATAATUALIZAÇÃO]),"-")</f>
        <v>45859</v>
      </c>
      <c r="AK1927" s="132" t="str">
        <f ca="1"/>
        <v>-</v>
      </c>
      <c r="AL1927" s="35"/>
      <c r="AM1927" s="109" cm="1">
        <f t="array" aca="1" ref="AM1927" ca="1">IF('Banco de Dados'!$AK1927&lt;&gt;"-",_xlfn.IFS('Banco de Dados'!$A1927="bv",IF('Banco de Dados'!$E1927&lt;45641,ROUND(SUM('Banco de Dados'!$R1927*_xlfn.XLOOKUP('Banco de Dados'!$P1927,Sku!B:B,Sku!#REF!)*20%),2),ROUND(SUM('Banco de Dados'!$R1927*_xlfn.XLOOKUP('Banco de Dados'!$P1927,Sku!B:B,Sku!H:H)*20%),2)),'Banco de Dados'!$A1927="GO",ROUND(_xlfn.XLOOKUP('Banco de Dados'!$P1927,Sku!C:C,Sku!H:H),2),'Banco de Dados'!$A1927="MEI",ROUND(_xlfn.XLOOKUP('Banco de Dados'!$P1927,Sku!D:D,Sku!H:H),2)),0)</f>
        <v>0</v>
      </c>
      <c r="AN1927" s="109">
        <v>0</v>
      </c>
      <c r="AO1927" s="109">
        <v>0</v>
      </c>
      <c r="AP1927" s="28">
        <f ca="1">IF('Banco de Dados'!$AK1927&lt;&gt;"-",IF('Banco de Dados'!$AL1927="NÃO",IFERROR(VALUE(SUBSTITUTE(_xlfn.TEXTAFTER('Banco de Dados'!$F1927,"BRL ",1),".",",")),0),0),0)</f>
        <v>0</v>
      </c>
      <c r="AQ1927" s="28">
        <f ca="1">SUM('Banco de Dados'!$AM1927:$AP1927)</f>
        <v>0</v>
      </c>
      <c r="AR1927" s="8"/>
      <c r="AS1927" s="8"/>
      <c r="AT1927"/>
      <c r="AY1927" s="8"/>
    </row>
    <row r="1928" spans="1:51">
      <c r="A1928" s="5" t="str">
        <v>BV</v>
      </c>
      <c r="B1928" s="5" t="str">
        <f ca="1"/>
        <v>BV45849</v>
      </c>
      <c r="C1928" s="8" t="str">
        <v>Pedido 1914</v>
      </c>
      <c r="D1928" s="187">
        <v>45847</v>
      </c>
      <c r="E1928" s="9">
        <v>45849</v>
      </c>
      <c r="F1928" s="2" t="str">
        <v>PedidoF1799</v>
      </c>
      <c r="G1928" s="2" t="str">
        <v>CódRastreio1797</v>
      </c>
      <c r="H1928" s="5">
        <v>1</v>
      </c>
      <c r="I1928" s="182" t="str">
        <v>CPF 1870</v>
      </c>
      <c r="J1928" s="2" t="str">
        <v>Nome 1870</v>
      </c>
      <c r="K1928" s="8" t="str">
        <v>Tel 1870</v>
      </c>
      <c r="L1928" s="8" t="str">
        <v>Cep 1870</v>
      </c>
      <c r="M1928" s="8" t="str">
        <v>Rua 1870</v>
      </c>
      <c r="N1928" s="8" t="str">
        <v>Comp 1870</v>
      </c>
      <c r="O1928" s="8" t="str">
        <v>Bolsa térmica</v>
      </c>
      <c r="P1928" s="8" t="str">
        <v>6I-CK1S-8HYZ</v>
      </c>
      <c r="Q1928" s="4">
        <v>45868</v>
      </c>
      <c r="R1928" s="109">
        <v>28.5</v>
      </c>
      <c r="S1928" s="11">
        <f ca="1"/>
        <v>28.5</v>
      </c>
      <c r="T1928" s="28">
        <f ca="1"/>
        <v>3.42</v>
      </c>
      <c r="U1928" s="11">
        <f ca="1"/>
        <v>25.08</v>
      </c>
      <c r="V1928" s="11">
        <v>20.58</v>
      </c>
      <c r="W1928" s="11">
        <f ca="1"/>
        <v>0</v>
      </c>
      <c r="X1928" s="11">
        <f ca="1"/>
        <v>0.39877104377104378</v>
      </c>
      <c r="Y1928" s="11">
        <v>0</v>
      </c>
      <c r="Z1928" s="11">
        <f ca="1"/>
        <v>4.1012289562289546</v>
      </c>
      <c r="AA1928" s="11">
        <f ca="1"/>
        <v>2.0506144781144773</v>
      </c>
      <c r="AB1928" s="4">
        <f ca="1"/>
        <v>45875</v>
      </c>
      <c r="AC1928" s="4">
        <v>45875</v>
      </c>
      <c r="AD1928" s="9">
        <v>45887</v>
      </c>
      <c r="AE1928" s="9">
        <v>45888</v>
      </c>
      <c r="AF1928" s="4" t="str">
        <f t="shared" ca="1" si="141"/>
        <v>2025 08</v>
      </c>
      <c r="AG1928" s="8" t="str" cm="1">
        <f t="array" ref="AG1928">IFERROR(_xlfn.IFS('Banco de Dados'!#REF!="AG. COMPRA","Em processamento",'Banco de Dados'!#REF!="AG. RASTREIO","Em processamento",'Banco de Dados'!$AE1928&lt;&gt;"-","Faturado",'Banco de Dados'!$AD1928&lt;&gt;"-","Aguardando Pix",'Banco de Dados'!$AC1928&lt;&gt;"-","Pendente"),"Aguardando Liberação")</f>
        <v>Aguardando Liberação</v>
      </c>
      <c r="AH1928" s="5" t="str">
        <f>IF('Banco de Dados'!$F1928="-",_xlfn.CONCAT(PROPER(TEXT(AK1928,"aaaa"))," ",PROPER(TEXT(AK1928,"mm"))),_xlfn.CONCAT(PROPER(TEXT(E1928,"aaaa"))," ",PROPER(TEXT(E1928,"mm"))))</f>
        <v>2025 07</v>
      </c>
      <c r="AI1928" s="9" t="str">
        <f ca="1">IF('Banco de Dados'!$AK1928&lt;&gt;"-","REEMBOLSO",IFERROR(_xlfn.XLOOKUP(G1928,Follow[CODRASTREIO],Follow[STATUS]),"-"))</f>
        <v>ENTREGUE</v>
      </c>
      <c r="AJ1928" s="9">
        <f ca="1">IF('Banco de Dados'!$AI1928="ENTREGUE",_xlfn.XLOOKUP('Banco de Dados'!$G1928,Follow[CODRASTREIO],Follow[DATAATUALIZAÇÃO]),"-")</f>
        <v>45859</v>
      </c>
      <c r="AK1928" s="132" t="str">
        <f ca="1"/>
        <v>-</v>
      </c>
      <c r="AL1928" s="35"/>
      <c r="AM1928" s="109" cm="1">
        <f t="array" aca="1" ref="AM1928" ca="1">IF('Banco de Dados'!$AK1928&lt;&gt;"-",_xlfn.IFS('Banco de Dados'!$A1928="bv",IF('Banco de Dados'!$E1928&lt;45641,ROUND(SUM('Banco de Dados'!$R1928*_xlfn.XLOOKUP('Banco de Dados'!$P1928,Sku!B:B,Sku!#REF!)*20%),2),ROUND(SUM('Banco de Dados'!$R1928*_xlfn.XLOOKUP('Banco de Dados'!$P1928,Sku!B:B,Sku!H:H)*20%),2)),'Banco de Dados'!$A1928="GO",ROUND(_xlfn.XLOOKUP('Banco de Dados'!$P1928,Sku!C:C,Sku!H:H),2),'Banco de Dados'!$A1928="MEI",ROUND(_xlfn.XLOOKUP('Banco de Dados'!$P1928,Sku!D:D,Sku!H:H),2)),0)</f>
        <v>0</v>
      </c>
      <c r="AN1928" s="109">
        <v>0</v>
      </c>
      <c r="AO1928" s="109">
        <v>0</v>
      </c>
      <c r="AP1928" s="28">
        <f ca="1">IF('Banco de Dados'!$AK1928&lt;&gt;"-",IF('Banco de Dados'!$AL1928="NÃO",IFERROR(VALUE(SUBSTITUTE(_xlfn.TEXTAFTER('Banco de Dados'!$F1928,"BRL ",1),".",",")),0),0),0)</f>
        <v>0</v>
      </c>
      <c r="AQ1928" s="28">
        <f ca="1">SUM('Banco de Dados'!$AM1928:$AP1928)</f>
        <v>0</v>
      </c>
      <c r="AR1928" s="8"/>
      <c r="AS1928" s="8"/>
      <c r="AT1928"/>
      <c r="AY1928" s="8"/>
    </row>
    <row r="1929" spans="1:51">
      <c r="A1929" s="5" t="str">
        <v>BV</v>
      </c>
      <c r="B1929" s="5" t="str">
        <f ca="1"/>
        <v>BV45852</v>
      </c>
      <c r="C1929" s="8" t="str">
        <v>Pedido 1915</v>
      </c>
      <c r="D1929" s="187">
        <v>45847</v>
      </c>
      <c r="E1929" s="9">
        <v>45852</v>
      </c>
      <c r="F1929" s="2" t="str">
        <v>PedidoF1800</v>
      </c>
      <c r="G1929" s="2" t="str">
        <v>CódRastreio1798</v>
      </c>
      <c r="H1929" s="5">
        <v>1</v>
      </c>
      <c r="I1929" s="182" t="str">
        <v>CPF 1871</v>
      </c>
      <c r="J1929" s="2" t="str">
        <v>Nome 1871</v>
      </c>
      <c r="K1929" s="8" t="str">
        <v>Tel 1871</v>
      </c>
      <c r="L1929" s="8" t="str">
        <v>Cep 1871</v>
      </c>
      <c r="M1929" s="8" t="str">
        <v>Rua 1871</v>
      </c>
      <c r="N1929" s="8" t="str">
        <v>Comp 1871</v>
      </c>
      <c r="O1929" s="8" t="str">
        <v>Máquina de cortar cabelo dragão</v>
      </c>
      <c r="P1929" s="8" t="str">
        <v>HG-2FNR-01A9</v>
      </c>
      <c r="Q1929" s="4">
        <v>45874</v>
      </c>
      <c r="R1929" s="109">
        <v>23.9</v>
      </c>
      <c r="S1929" s="11">
        <f ca="1"/>
        <v>23.9</v>
      </c>
      <c r="T1929" s="28">
        <f ca="1"/>
        <v>2.8679999999999999</v>
      </c>
      <c r="U1929" s="11">
        <f ca="1"/>
        <v>21.03</v>
      </c>
      <c r="V1929" s="11">
        <v>16.98</v>
      </c>
      <c r="W1929" s="11">
        <f ca="1"/>
        <v>0</v>
      </c>
      <c r="X1929" s="11">
        <f ca="1"/>
        <v>0.39877104377104378</v>
      </c>
      <c r="Y1929" s="11">
        <v>3</v>
      </c>
      <c r="Z1929" s="11">
        <f ca="1"/>
        <v>0.65122895622895527</v>
      </c>
      <c r="AA1929" s="11">
        <f ca="1"/>
        <v>0.32561447811447763</v>
      </c>
      <c r="AB1929" s="4">
        <f ca="1"/>
        <v>45881</v>
      </c>
      <c r="AC1929" s="4">
        <v>45881</v>
      </c>
      <c r="AD1929" s="9">
        <v>45887</v>
      </c>
      <c r="AE1929" s="9">
        <v>45888</v>
      </c>
      <c r="AF1929" s="4" t="str">
        <f t="shared" ca="1" si="141"/>
        <v>2025 08</v>
      </c>
      <c r="AG1929" s="8" t="str" cm="1">
        <f t="array" ref="AG1929">IFERROR(_xlfn.IFS('Banco de Dados'!#REF!="AG. COMPRA","Em processamento",'Banco de Dados'!#REF!="AG. RASTREIO","Em processamento",'Banco de Dados'!$AE1929&lt;&gt;"-","Faturado",'Banco de Dados'!$AD1929&lt;&gt;"-","Aguardando Pix",'Banco de Dados'!$AC1929&lt;&gt;"-","Pendente"),"Aguardando Liberação")</f>
        <v>Aguardando Liberação</v>
      </c>
      <c r="AH1929" s="5" t="str">
        <f>IF('Banco de Dados'!$F1929="-",_xlfn.CONCAT(PROPER(TEXT(AK1929,"aaaa"))," ",PROPER(TEXT(AK1929,"mm"))),_xlfn.CONCAT(PROPER(TEXT(E1929,"aaaa"))," ",PROPER(TEXT(E1929,"mm"))))</f>
        <v>2025 07</v>
      </c>
      <c r="AI1929" s="9" t="str">
        <f ca="1">IF('Banco de Dados'!$AK1929&lt;&gt;"-","REEMBOLSO",IFERROR(_xlfn.XLOOKUP(G1929,Follow[CODRASTREIO],Follow[STATUS]),"-"))</f>
        <v>ENTREGUE</v>
      </c>
      <c r="AJ1929" s="9">
        <f ca="1">IF('Banco de Dados'!$AI1929="ENTREGUE",_xlfn.XLOOKUP('Banco de Dados'!$G1929,Follow[CODRASTREIO],Follow[DATAATUALIZAÇÃO]),"-")</f>
        <v>45862</v>
      </c>
      <c r="AK1929" s="132" t="str">
        <f ca="1"/>
        <v>-</v>
      </c>
      <c r="AL1929" s="35"/>
      <c r="AM1929" s="109" cm="1">
        <f t="array" aca="1" ref="AM1929" ca="1">IF('Banco de Dados'!$AK1929&lt;&gt;"-",_xlfn.IFS('Banco de Dados'!$A1929="bv",IF('Banco de Dados'!$E1929&lt;45641,ROUND(SUM('Banco de Dados'!$R1929*_xlfn.XLOOKUP('Banco de Dados'!$P1929,Sku!B:B,Sku!#REF!)*20%),2),ROUND(SUM('Banco de Dados'!$R1929*_xlfn.XLOOKUP('Banco de Dados'!$P1929,Sku!B:B,Sku!H:H)*20%),2)),'Banco de Dados'!$A1929="GO",ROUND(_xlfn.XLOOKUP('Banco de Dados'!$P1929,Sku!C:C,Sku!H:H),2),'Banco de Dados'!$A1929="MEI",ROUND(_xlfn.XLOOKUP('Banco de Dados'!$P1929,Sku!D:D,Sku!H:H),2)),0)</f>
        <v>0</v>
      </c>
      <c r="AN1929" s="109">
        <v>0</v>
      </c>
      <c r="AO1929" s="109">
        <v>0</v>
      </c>
      <c r="AP1929" s="28">
        <f ca="1">IF('Banco de Dados'!$AK1929&lt;&gt;"-",IF('Banco de Dados'!$AL1929="NÃO",IFERROR(VALUE(SUBSTITUTE(_xlfn.TEXTAFTER('Banco de Dados'!$F1929,"BRL ",1),".",",")),0),0),0)</f>
        <v>0</v>
      </c>
      <c r="AQ1929" s="28">
        <f ca="1">SUM('Banco de Dados'!$AM1929:$AP1929)</f>
        <v>0</v>
      </c>
      <c r="AR1929" s="8"/>
      <c r="AS1929" s="8"/>
      <c r="AT1929"/>
      <c r="AY1929" s="8"/>
    </row>
    <row r="1930" spans="1:51">
      <c r="A1930" s="5" t="str">
        <v>BV</v>
      </c>
      <c r="B1930" s="5" t="str">
        <f ca="1"/>
        <v>BV45853</v>
      </c>
      <c r="C1930" s="8" t="str">
        <v>Pedido 1916</v>
      </c>
      <c r="D1930" s="187">
        <v>45847</v>
      </c>
      <c r="E1930" s="9">
        <v>45853</v>
      </c>
      <c r="F1930" s="2" t="str">
        <v>PedidoF1801</v>
      </c>
      <c r="G1930" s="2" t="str">
        <v>CódRastreio1799</v>
      </c>
      <c r="H1930" s="5">
        <v>1</v>
      </c>
      <c r="I1930" s="182" t="str">
        <v>CPF 1872</v>
      </c>
      <c r="J1930" s="2" t="str">
        <v>Nome 1872</v>
      </c>
      <c r="K1930" s="8" t="str">
        <v>Tel 1872</v>
      </c>
      <c r="L1930" s="8" t="str">
        <v>Cep 1872</v>
      </c>
      <c r="M1930" s="8" t="str">
        <v>Rua 1872</v>
      </c>
      <c r="N1930" s="8" t="str">
        <v>Comp 1872</v>
      </c>
      <c r="O1930" s="8" t="str">
        <v>Bolsa térmica</v>
      </c>
      <c r="P1930" s="8" t="str">
        <v>6I-CK1S-8HYZ</v>
      </c>
      <c r="Q1930" s="4">
        <v>45868</v>
      </c>
      <c r="R1930" s="109">
        <v>28.5</v>
      </c>
      <c r="S1930" s="11">
        <f ca="1"/>
        <v>28.5</v>
      </c>
      <c r="T1930" s="28">
        <f ca="1"/>
        <v>3.42</v>
      </c>
      <c r="U1930" s="11">
        <f ca="1"/>
        <v>25.08</v>
      </c>
      <c r="V1930" s="11">
        <v>14.38</v>
      </c>
      <c r="W1930" s="11">
        <f ca="1"/>
        <v>0</v>
      </c>
      <c r="X1930" s="11">
        <f ca="1"/>
        <v>0.39877104377104378</v>
      </c>
      <c r="Y1930" s="11">
        <v>0</v>
      </c>
      <c r="Z1930" s="11">
        <f ca="1"/>
        <v>10.301228956228954</v>
      </c>
      <c r="AA1930" s="11">
        <f ca="1"/>
        <v>5.1506144781144769</v>
      </c>
      <c r="AB1930" s="4">
        <f ca="1"/>
        <v>45875</v>
      </c>
      <c r="AC1930" s="4">
        <v>45875</v>
      </c>
      <c r="AD1930" s="9">
        <v>45887</v>
      </c>
      <c r="AE1930" s="9">
        <v>45888</v>
      </c>
      <c r="AF1930" s="4" t="str">
        <f t="shared" ref="AF1930:AF1936" ca="1" si="142">_xlfn.CONCAT(PROPER(TEXT(AB1930,"aaaa"))," ",PROPER(TEXT(AB1930,"mm")))</f>
        <v>2025 08</v>
      </c>
      <c r="AG1930" s="8" t="str" cm="1">
        <f t="array" ref="AG1930">IFERROR(_xlfn.IFS('Banco de Dados'!#REF!="AG. COMPRA","Em processamento",'Banco de Dados'!#REF!="AG. RASTREIO","Em processamento",'Banco de Dados'!$AE1930&lt;&gt;"-","Faturado",'Banco de Dados'!$AD1930&lt;&gt;"-","Aguardando Pix",'Banco de Dados'!$AC1930&lt;&gt;"-","Pendente"),"Aguardando Liberação")</f>
        <v>Aguardando Liberação</v>
      </c>
      <c r="AH1930" s="5" t="str">
        <f>IF('Banco de Dados'!$F1930="-",_xlfn.CONCAT(PROPER(TEXT(AK1930,"aaaa"))," ",PROPER(TEXT(AK1930,"mm"))),_xlfn.CONCAT(PROPER(TEXT(E1930,"aaaa"))," ",PROPER(TEXT(E1930,"mm"))))</f>
        <v>2025 07</v>
      </c>
      <c r="AI1930" s="9" t="str">
        <f ca="1">IF('Banco de Dados'!$AK1930&lt;&gt;"-","REEMBOLSO",IFERROR(_xlfn.XLOOKUP(G1930,Follow[CODRASTREIO],Follow[STATUS]),"-"))</f>
        <v>ENTREGUE</v>
      </c>
      <c r="AJ1930" s="9">
        <f ca="1">IF('Banco de Dados'!$AI1930="ENTREGUE",_xlfn.XLOOKUP('Banco de Dados'!$G1930,Follow[CODRASTREIO],Follow[DATAATUALIZAÇÃO]),"-")</f>
        <v>45874</v>
      </c>
      <c r="AK1930" s="132" t="str">
        <f ca="1"/>
        <v>-</v>
      </c>
      <c r="AL1930" s="35"/>
      <c r="AM1930" s="109" cm="1">
        <f t="array" aca="1" ref="AM1930" ca="1">IF('Banco de Dados'!$AK1930&lt;&gt;"-",_xlfn.IFS('Banco de Dados'!$A1930="bv",IF('Banco de Dados'!$E1930&lt;45641,ROUND(SUM('Banco de Dados'!$R1930*_xlfn.XLOOKUP('Banco de Dados'!$P1930,Sku!B:B,Sku!#REF!)*20%),2),ROUND(SUM('Banco de Dados'!$R1930*_xlfn.XLOOKUP('Banco de Dados'!$P1930,Sku!B:B,Sku!H:H)*20%),2)),'Banco de Dados'!$A1930="GO",ROUND(_xlfn.XLOOKUP('Banco de Dados'!$P1930,Sku!C:C,Sku!H:H),2),'Banco de Dados'!$A1930="MEI",ROUND(_xlfn.XLOOKUP('Banco de Dados'!$P1930,Sku!D:D,Sku!H:H),2)),0)</f>
        <v>0</v>
      </c>
      <c r="AN1930" s="109">
        <f ca="1">IF('Banco de Dados'!$AK1930&lt;&gt;"-",IF('Banco de Dados'!$F1930&lt;&gt;"-",_xlfn.XLOOKUP(IFERROR(IFERROR(IFERROR(VALUE(SUBSTITUTE(MID(_xlfn.TEXTAFTER('Banco de Dados'!$F1930,"Data do Pedido:
",1),1,10),"-","/")),VALUE(SUBSTITUTE(MID(_xlfn.TEXTAFTER('Banco de Dados'!$F1930,"Order date:
",1),1,10),"-","/"))),VALUE(SUBSTITUTE(MID(_xlfn.TEXTAFTER('Banco de Dados'!$F1930,"Fecha de pedido:
",1),1,10),"-","/"))),"-"),SMS!A:A,SMS!K:K),0),0)</f>
        <v>0</v>
      </c>
      <c r="AO1930" s="109">
        <f ca="1">IF('Banco de Dados'!$AK1930&lt;&gt;"-",IF('Banco de Dados'!$F1930&lt;&gt;"-",IFERROR(_xlfn.XLOOKUP(_xlfn.CONCAT('Banco de Dados'!$A1930,IFERROR(IFERROR(VALUE(SUBSTITUTE(MID(_xlfn.TEXTAFTER('Banco de Dados'!$F1930,"Data do Pedido:
",1),1,10),"-","/")),VALUE(SUBSTITUTE(MID(_xlfn.TEXTAFTER('Banco de Dados'!$F1930,"Order date:
",1),1,10),"-","/"))),0)),ProxyDD[Chave],ProxyDD[Valor por pedido]),PROXY!$P$2),0),0)</f>
        <v>0</v>
      </c>
      <c r="AP1930" s="28">
        <f ca="1">IF('Banco de Dados'!$AK1930&lt;&gt;"-",IF('Banco de Dados'!$AL1930="NÃO",IFERROR(VALUE(SUBSTITUTE(_xlfn.TEXTAFTER('Banco de Dados'!$F1930,"BRL ",1),".",",")),0),0),0)</f>
        <v>0</v>
      </c>
      <c r="AQ1930" s="28">
        <f ca="1">SUM('Banco de Dados'!$AM1930:$AP1930)</f>
        <v>0</v>
      </c>
      <c r="AR1930" s="8"/>
      <c r="AS1930" s="8"/>
      <c r="AT1930"/>
      <c r="AY1930" s="8"/>
    </row>
    <row r="1931" spans="1:51">
      <c r="A1931" s="5" t="str">
        <v>BV</v>
      </c>
      <c r="B1931" s="5" t="str">
        <f ca="1"/>
        <v>BV45853</v>
      </c>
      <c r="C1931" s="8" t="str">
        <v>Pedido 1917</v>
      </c>
      <c r="D1931" s="187">
        <v>45847</v>
      </c>
      <c r="E1931" s="9">
        <v>45853</v>
      </c>
      <c r="F1931" s="2" t="str">
        <v>PedidoF1802</v>
      </c>
      <c r="G1931" s="2" t="str">
        <v>CódRastreio1800</v>
      </c>
      <c r="H1931" s="5">
        <v>1</v>
      </c>
      <c r="I1931" s="182" t="str">
        <v>CPF 1873</v>
      </c>
      <c r="J1931" s="2" t="str">
        <v>Nome 1873</v>
      </c>
      <c r="K1931" s="8" t="str">
        <v>Tel 1873</v>
      </c>
      <c r="L1931" s="8" t="str">
        <v>Cep 1873</v>
      </c>
      <c r="M1931" s="8" t="str">
        <v>Rua 1873</v>
      </c>
      <c r="N1931" s="8" t="str">
        <v>Comp 1873</v>
      </c>
      <c r="O1931" s="8" t="str">
        <v>Bolsa térmica</v>
      </c>
      <c r="P1931" s="8" t="str">
        <v>6I-CK1S-8HYZ</v>
      </c>
      <c r="Q1931" s="4">
        <v>45868</v>
      </c>
      <c r="R1931" s="109">
        <v>28.5</v>
      </c>
      <c r="S1931" s="11">
        <f ca="1"/>
        <v>28.5</v>
      </c>
      <c r="T1931" s="28">
        <f ca="1"/>
        <v>3.42</v>
      </c>
      <c r="U1931" s="11">
        <f ca="1"/>
        <v>25.08</v>
      </c>
      <c r="V1931" s="11">
        <v>18.25</v>
      </c>
      <c r="W1931" s="11">
        <f ca="1"/>
        <v>0</v>
      </c>
      <c r="X1931" s="11">
        <f ca="1"/>
        <v>0.39877104377104378</v>
      </c>
      <c r="Y1931" s="11">
        <v>0</v>
      </c>
      <c r="Z1931" s="11">
        <f ca="1"/>
        <v>6.4312289562289529</v>
      </c>
      <c r="AA1931" s="11">
        <f ca="1"/>
        <v>3.2156144781144764</v>
      </c>
      <c r="AB1931" s="4">
        <f ca="1"/>
        <v>45875</v>
      </c>
      <c r="AC1931" s="4">
        <v>45875</v>
      </c>
      <c r="AD1931" s="9">
        <v>45887</v>
      </c>
      <c r="AE1931" s="9">
        <v>45888</v>
      </c>
      <c r="AF1931" s="4" t="str">
        <f t="shared" ca="1" si="142"/>
        <v>2025 08</v>
      </c>
      <c r="AG1931" s="8" t="str" cm="1">
        <f t="array" ref="AG1931">IFERROR(_xlfn.IFS('Banco de Dados'!#REF!="AG. COMPRA","Em processamento",'Banco de Dados'!#REF!="AG. RASTREIO","Em processamento",'Banco de Dados'!$AE1931&lt;&gt;"-","Faturado",'Banco de Dados'!$AD1931&lt;&gt;"-","Aguardando Pix",'Banco de Dados'!$AC1931&lt;&gt;"-","Pendente"),"Aguardando Liberação")</f>
        <v>Aguardando Liberação</v>
      </c>
      <c r="AH1931" s="5" t="str">
        <f>IF('Banco de Dados'!$F1931="-",_xlfn.CONCAT(PROPER(TEXT(AK1931,"aaaa"))," ",PROPER(TEXT(AK1931,"mm"))),_xlfn.CONCAT(PROPER(TEXT(E1931,"aaaa"))," ",PROPER(TEXT(E1931,"mm"))))</f>
        <v>2025 07</v>
      </c>
      <c r="AI1931" s="9" t="str">
        <f ca="1">IF('Banco de Dados'!$AK1931&lt;&gt;"-","REEMBOLSO",IFERROR(_xlfn.XLOOKUP(G1931,Follow[CODRASTREIO],Follow[STATUS]),"-"))</f>
        <v>ENTREGUE</v>
      </c>
      <c r="AJ1931" s="9">
        <f ca="1">IF('Banco de Dados'!$AI1931="ENTREGUE",_xlfn.XLOOKUP('Banco de Dados'!$G1931,Follow[CODRASTREIO],Follow[DATAATUALIZAÇÃO]),"-")</f>
        <v>45859</v>
      </c>
      <c r="AK1931" s="132" t="str">
        <f ca="1"/>
        <v>-</v>
      </c>
      <c r="AL1931" s="35"/>
      <c r="AM1931" s="109" cm="1">
        <f t="array" aca="1" ref="AM1931" ca="1">IF('Banco de Dados'!$AK1931&lt;&gt;"-",_xlfn.IFS('Banco de Dados'!$A1931="bv",IF('Banco de Dados'!$E1931&lt;45641,ROUND(SUM('Banco de Dados'!$R1931*_xlfn.XLOOKUP('Banco de Dados'!$P1931,Sku!B:B,Sku!#REF!)*20%),2),ROUND(SUM('Banco de Dados'!$R1931*_xlfn.XLOOKUP('Banco de Dados'!$P1931,Sku!B:B,Sku!H:H)*20%),2)),'Banco de Dados'!$A1931="GO",ROUND(_xlfn.XLOOKUP('Banco de Dados'!$P1931,Sku!C:C,Sku!H:H),2),'Banco de Dados'!$A1931="MEI",ROUND(_xlfn.XLOOKUP('Banco de Dados'!$P1931,Sku!D:D,Sku!H:H),2)),0)</f>
        <v>0</v>
      </c>
      <c r="AN1931" s="109">
        <v>0</v>
      </c>
      <c r="AO1931" s="109">
        <v>0</v>
      </c>
      <c r="AP1931" s="28">
        <f ca="1">IF('Banco de Dados'!$AK1931&lt;&gt;"-",IF('Banco de Dados'!$AL1931="NÃO",IFERROR(VALUE(SUBSTITUTE(_xlfn.TEXTAFTER('Banco de Dados'!$F1931,"BRL ",1),".",",")),0),0),0)</f>
        <v>0</v>
      </c>
      <c r="AQ1931" s="28">
        <f ca="1">SUM('Banco de Dados'!$AM1931:$AP1931)</f>
        <v>0</v>
      </c>
      <c r="AR1931" s="8"/>
      <c r="AS1931" s="8"/>
      <c r="AT1931"/>
      <c r="AY1931" s="8"/>
    </row>
    <row r="1932" spans="1:51">
      <c r="A1932" s="5" t="str">
        <v>BV</v>
      </c>
      <c r="B1932" s="5" t="str">
        <f ca="1"/>
        <v>BV45853</v>
      </c>
      <c r="C1932" s="8" t="str">
        <v>Pedido 1918</v>
      </c>
      <c r="D1932" s="187">
        <v>45847</v>
      </c>
      <c r="E1932" s="9">
        <v>45853</v>
      </c>
      <c r="F1932" s="2" t="str">
        <v>PedidoF1803</v>
      </c>
      <c r="G1932" s="2" t="str">
        <v>CódRastreio1801</v>
      </c>
      <c r="H1932" s="5">
        <v>1</v>
      </c>
      <c r="I1932" s="182" t="str">
        <v>CPF 1874</v>
      </c>
      <c r="J1932" s="2" t="str">
        <v>Nome 1874</v>
      </c>
      <c r="K1932" s="8" t="str">
        <v>Tel 1874</v>
      </c>
      <c r="L1932" s="8" t="str">
        <v>Cep 1874</v>
      </c>
      <c r="M1932" s="8" t="str">
        <v>Rua 1874</v>
      </c>
      <c r="N1932" s="8" t="str">
        <v>Comp 1874</v>
      </c>
      <c r="O1932" s="8" t="str">
        <v>Bolsa térmica</v>
      </c>
      <c r="P1932" s="8" t="str">
        <v>6I-CK1S-8HYZ</v>
      </c>
      <c r="Q1932" s="4">
        <v>45868</v>
      </c>
      <c r="R1932" s="109">
        <v>28.5</v>
      </c>
      <c r="S1932" s="11">
        <f ca="1"/>
        <v>28.5</v>
      </c>
      <c r="T1932" s="28">
        <f ca="1"/>
        <v>3.42</v>
      </c>
      <c r="U1932" s="11">
        <f ca="1"/>
        <v>25.08</v>
      </c>
      <c r="V1932" s="11">
        <v>20.03</v>
      </c>
      <c r="W1932" s="11">
        <f ca="1"/>
        <v>0</v>
      </c>
      <c r="X1932" s="11">
        <f ca="1"/>
        <v>0.39877104377104378</v>
      </c>
      <c r="Y1932" s="11">
        <v>0</v>
      </c>
      <c r="Z1932" s="11">
        <f ca="1"/>
        <v>4.6512289562289517</v>
      </c>
      <c r="AA1932" s="11">
        <f ca="1"/>
        <v>2.3256144781144759</v>
      </c>
      <c r="AB1932" s="4">
        <f ca="1"/>
        <v>45875</v>
      </c>
      <c r="AC1932" s="4">
        <v>45875</v>
      </c>
      <c r="AD1932" s="9">
        <v>45887</v>
      </c>
      <c r="AE1932" s="9">
        <v>45888</v>
      </c>
      <c r="AF1932" s="4" t="str">
        <f t="shared" ca="1" si="142"/>
        <v>2025 08</v>
      </c>
      <c r="AG1932" s="8" t="str" cm="1">
        <f t="array" ref="AG1932">IFERROR(_xlfn.IFS('Banco de Dados'!#REF!="AG. COMPRA","Em processamento",'Banco de Dados'!#REF!="AG. RASTREIO","Em processamento",'Banco de Dados'!$AE1932&lt;&gt;"-","Faturado",'Banco de Dados'!$AD1932&lt;&gt;"-","Aguardando Pix",'Banco de Dados'!$AC1932&lt;&gt;"-","Pendente"),"Aguardando Liberação")</f>
        <v>Aguardando Liberação</v>
      </c>
      <c r="AH1932" s="5" t="str">
        <f>IF('Banco de Dados'!$F1932="-",_xlfn.CONCAT(PROPER(TEXT(AK1932,"aaaa"))," ",PROPER(TEXT(AK1932,"mm"))),_xlfn.CONCAT(PROPER(TEXT(E1932,"aaaa"))," ",PROPER(TEXT(E1932,"mm"))))</f>
        <v>2025 07</v>
      </c>
      <c r="AI1932" s="9" t="str">
        <f ca="1">IF('Banco de Dados'!$AK1932&lt;&gt;"-","REEMBOLSO",IFERROR(_xlfn.XLOOKUP(G1932,Follow[CODRASTREIO],Follow[STATUS]),"-"))</f>
        <v>ENTREGUE</v>
      </c>
      <c r="AJ1932" s="9">
        <f ca="1">IF('Banco de Dados'!$AI1932="ENTREGUE",_xlfn.XLOOKUP('Banco de Dados'!$G1932,Follow[CODRASTREIO],Follow[DATAATUALIZAÇÃO]),"-")</f>
        <v>45861</v>
      </c>
      <c r="AK1932" s="132" t="str">
        <f ca="1"/>
        <v>-</v>
      </c>
      <c r="AL1932" s="35"/>
      <c r="AM1932" s="109" cm="1">
        <f t="array" aca="1" ref="AM1932" ca="1">IF('Banco de Dados'!$AK1932&lt;&gt;"-",_xlfn.IFS('Banco de Dados'!$A1932="bv",IF('Banco de Dados'!$E1932&lt;45641,ROUND(SUM('Banco de Dados'!$R1932*_xlfn.XLOOKUP('Banco de Dados'!$P1932,Sku!B:B,Sku!#REF!)*20%),2),ROUND(SUM('Banco de Dados'!$R1932*_xlfn.XLOOKUP('Banco de Dados'!$P1932,Sku!B:B,Sku!H:H)*20%),2)),'Banco de Dados'!$A1932="GO",ROUND(_xlfn.XLOOKUP('Banco de Dados'!$P1932,Sku!C:C,Sku!H:H),2),'Banco de Dados'!$A1932="MEI",ROUND(_xlfn.XLOOKUP('Banco de Dados'!$P1932,Sku!D:D,Sku!H:H),2)),0)</f>
        <v>0</v>
      </c>
      <c r="AN1932" s="109">
        <v>0</v>
      </c>
      <c r="AO1932" s="109">
        <v>0</v>
      </c>
      <c r="AP1932" s="28">
        <f ca="1">IF('Banco de Dados'!$AK1932&lt;&gt;"-",IF('Banco de Dados'!$AL1932="NÃO",IFERROR(VALUE(SUBSTITUTE(_xlfn.TEXTAFTER('Banco de Dados'!$F1932,"BRL ",1),".",",")),0),0),0)</f>
        <v>0</v>
      </c>
      <c r="AQ1932" s="28">
        <f ca="1">SUM('Banco de Dados'!$AM1932:$AP1932)</f>
        <v>0</v>
      </c>
      <c r="AR1932" s="8"/>
      <c r="AS1932" s="8"/>
      <c r="AT1932"/>
      <c r="AY1932" s="8"/>
    </row>
    <row r="1933" spans="1:51">
      <c r="A1933" s="5" t="str">
        <v>BV</v>
      </c>
      <c r="B1933" s="5" t="str">
        <f ca="1"/>
        <v>BV45853</v>
      </c>
      <c r="C1933" s="8" t="str">
        <v>Pedido 1919</v>
      </c>
      <c r="D1933" s="187">
        <v>45847</v>
      </c>
      <c r="E1933" s="9">
        <v>45853</v>
      </c>
      <c r="F1933" s="2" t="str">
        <v>PedidoF1804</v>
      </c>
      <c r="G1933" s="2" t="str">
        <v>CódRastreio1802</v>
      </c>
      <c r="H1933" s="5">
        <v>1</v>
      </c>
      <c r="I1933" s="182" t="str">
        <v>CPF 1875</v>
      </c>
      <c r="J1933" s="2" t="str">
        <v>Nome 1875</v>
      </c>
      <c r="K1933" s="8" t="str">
        <v>Tel 1875</v>
      </c>
      <c r="L1933" s="8" t="str">
        <v>Cep 1875</v>
      </c>
      <c r="M1933" s="8" t="str">
        <v>Rua 1875</v>
      </c>
      <c r="N1933" s="8" t="str">
        <v>Comp 1875</v>
      </c>
      <c r="O1933" s="8" t="str">
        <v>Bolsa térmica</v>
      </c>
      <c r="P1933" s="8" t="str">
        <v>6I-CK1S-8HYZ</v>
      </c>
      <c r="Q1933" s="4">
        <v>45868</v>
      </c>
      <c r="R1933" s="109">
        <v>28.5</v>
      </c>
      <c r="S1933" s="11">
        <f ca="1"/>
        <v>28.5</v>
      </c>
      <c r="T1933" s="28">
        <f ca="1"/>
        <v>3.42</v>
      </c>
      <c r="U1933" s="11">
        <f ca="1"/>
        <v>25.08</v>
      </c>
      <c r="V1933" s="11">
        <v>19.579999999999998</v>
      </c>
      <c r="W1933" s="11">
        <f ca="1"/>
        <v>0</v>
      </c>
      <c r="X1933" s="11">
        <f ca="1"/>
        <v>0.39877104377104378</v>
      </c>
      <c r="Y1933" s="11">
        <v>0</v>
      </c>
      <c r="Z1933" s="11">
        <f ca="1"/>
        <v>5.1012289562289546</v>
      </c>
      <c r="AA1933" s="11">
        <f ca="1"/>
        <v>2.5506144781144773</v>
      </c>
      <c r="AB1933" s="4">
        <f ca="1"/>
        <v>45875</v>
      </c>
      <c r="AC1933" s="4">
        <v>45875</v>
      </c>
      <c r="AD1933" s="9">
        <v>45887</v>
      </c>
      <c r="AE1933" s="9">
        <v>45888</v>
      </c>
      <c r="AF1933" s="4" t="str">
        <f t="shared" ca="1" si="142"/>
        <v>2025 08</v>
      </c>
      <c r="AG1933" s="8" t="str" cm="1">
        <f t="array" ref="AG1933">IFERROR(_xlfn.IFS('Banco de Dados'!#REF!="AG. COMPRA","Em processamento",'Banco de Dados'!#REF!="AG. RASTREIO","Em processamento",'Banco de Dados'!$AE1933&lt;&gt;"-","Faturado",'Banco de Dados'!$AD1933&lt;&gt;"-","Aguardando Pix",'Banco de Dados'!$AC1933&lt;&gt;"-","Pendente"),"Aguardando Liberação")</f>
        <v>Aguardando Liberação</v>
      </c>
      <c r="AH1933" s="5" t="str">
        <f>IF('Banco de Dados'!$F1933="-",_xlfn.CONCAT(PROPER(TEXT(AK1933,"aaaa"))," ",PROPER(TEXT(AK1933,"mm"))),_xlfn.CONCAT(PROPER(TEXT(E1933,"aaaa"))," ",PROPER(TEXT(E1933,"mm"))))</f>
        <v>2025 07</v>
      </c>
      <c r="AI1933" s="9" t="str">
        <f ca="1">IF('Banco de Dados'!$AK1933&lt;&gt;"-","REEMBOLSO",IFERROR(_xlfn.XLOOKUP(G1933,Follow[CODRASTREIO],Follow[STATUS]),"-"))</f>
        <v>ENTREGUE</v>
      </c>
      <c r="AJ1933" s="9">
        <f ca="1">IF('Banco de Dados'!$AI1933="ENTREGUE",_xlfn.XLOOKUP('Banco de Dados'!$G1933,Follow[CODRASTREIO],Follow[DATAATUALIZAÇÃO]),"-")</f>
        <v>45859</v>
      </c>
      <c r="AK1933" s="132" t="str">
        <f ca="1"/>
        <v>-</v>
      </c>
      <c r="AL1933" s="35"/>
      <c r="AM1933" s="109" cm="1">
        <f t="array" aca="1" ref="AM1933" ca="1">IF('Banco de Dados'!$AK1933&lt;&gt;"-",_xlfn.IFS('Banco de Dados'!$A1933="bv",IF('Banco de Dados'!$E1933&lt;45641,ROUND(SUM('Banco de Dados'!$R1933*_xlfn.XLOOKUP('Banco de Dados'!$P1933,Sku!B:B,Sku!#REF!)*20%),2),ROUND(SUM('Banco de Dados'!$R1933*_xlfn.XLOOKUP('Banco de Dados'!$P1933,Sku!B:B,Sku!H:H)*20%),2)),'Banco de Dados'!$A1933="GO",ROUND(_xlfn.XLOOKUP('Banco de Dados'!$P1933,Sku!C:C,Sku!H:H),2),'Banco de Dados'!$A1933="MEI",ROUND(_xlfn.XLOOKUP('Banco de Dados'!$P1933,Sku!D:D,Sku!H:H),2)),0)</f>
        <v>0</v>
      </c>
      <c r="AN1933" s="109">
        <v>0</v>
      </c>
      <c r="AO1933" s="109">
        <v>0</v>
      </c>
      <c r="AP1933" s="28">
        <f ca="1">IF('Banco de Dados'!$AK1933&lt;&gt;"-",IF('Banco de Dados'!$AL1933="NÃO",IFERROR(VALUE(SUBSTITUTE(_xlfn.TEXTAFTER('Banco de Dados'!$F1933,"BRL ",1),".",",")),0),0),0)</f>
        <v>0</v>
      </c>
      <c r="AQ1933" s="28">
        <f ca="1">SUM('Banco de Dados'!$AM1933:$AP1933)</f>
        <v>0</v>
      </c>
      <c r="AR1933" s="8"/>
      <c r="AS1933" s="8"/>
      <c r="AT1933"/>
      <c r="AY1933" s="8"/>
    </row>
    <row r="1934" spans="1:51">
      <c r="A1934" s="5" t="str">
        <v>BV</v>
      </c>
      <c r="B1934" s="5" t="str">
        <f ca="1"/>
        <v>BV45852</v>
      </c>
      <c r="C1934" s="8" t="str">
        <v>Pedido 1920</v>
      </c>
      <c r="D1934" s="187">
        <v>45848</v>
      </c>
      <c r="E1934" s="9">
        <v>45852</v>
      </c>
      <c r="F1934" s="2" t="str">
        <v>PedidoF1805</v>
      </c>
      <c r="G1934" s="2" t="str">
        <v>CódRastreio1803</v>
      </c>
      <c r="H1934" s="5">
        <v>1</v>
      </c>
      <c r="I1934" s="182" t="str">
        <v>CPF 1876</v>
      </c>
      <c r="J1934" s="2" t="str">
        <v>Nome 1876</v>
      </c>
      <c r="K1934" s="8" t="str">
        <v>Tel 1876</v>
      </c>
      <c r="L1934" s="184" t="str">
        <v>Cep 1876</v>
      </c>
      <c r="M1934" s="8" t="str">
        <v>Rua 1876</v>
      </c>
      <c r="N1934" s="8" t="str">
        <v>Comp 1876</v>
      </c>
      <c r="O1934" s="8" t="str">
        <v>Máquina de cortar cabelo dragão</v>
      </c>
      <c r="P1934" s="8" t="str">
        <v>HG-2FNR-01A9</v>
      </c>
      <c r="Q1934" s="4">
        <v>45862</v>
      </c>
      <c r="R1934" s="109">
        <v>23.9</v>
      </c>
      <c r="S1934" s="11">
        <f ca="1"/>
        <v>23.9</v>
      </c>
      <c r="T1934" s="28">
        <f ca="1"/>
        <v>2.8679999999999999</v>
      </c>
      <c r="U1934" s="11">
        <f ca="1"/>
        <v>21.03</v>
      </c>
      <c r="V1934" s="11">
        <v>16.98</v>
      </c>
      <c r="W1934" s="11">
        <f ca="1"/>
        <v>0</v>
      </c>
      <c r="X1934" s="11">
        <f ca="1"/>
        <v>0.39877104377104378</v>
      </c>
      <c r="Y1934" s="11">
        <v>0</v>
      </c>
      <c r="Z1934" s="11">
        <f ca="1"/>
        <v>3.6512289562289553</v>
      </c>
      <c r="AA1934" s="11">
        <f ca="1"/>
        <v>1.8256144781144776</v>
      </c>
      <c r="AB1934" s="4">
        <f ca="1"/>
        <v>45869</v>
      </c>
      <c r="AC1934" s="4">
        <v>45869</v>
      </c>
      <c r="AD1934" s="9">
        <v>45870</v>
      </c>
      <c r="AE1934" s="9">
        <v>45873</v>
      </c>
      <c r="AF1934" s="4" t="str">
        <f t="shared" ca="1" si="142"/>
        <v>2025 07</v>
      </c>
      <c r="AG1934" s="8" t="str" cm="1">
        <f t="array" ref="AG1934">IFERROR(_xlfn.IFS('Banco de Dados'!#REF!="AG. COMPRA","Em processamento",'Banco de Dados'!#REF!="AG. RASTREIO","Em processamento",'Banco de Dados'!$AE1934&lt;&gt;"-","Faturado",'Banco de Dados'!$AD1934&lt;&gt;"-","Aguardando Pix",'Banco de Dados'!$AC1934&lt;&gt;"-","Pendente"),"Aguardando Liberação")</f>
        <v>Aguardando Liberação</v>
      </c>
      <c r="AH1934" s="5" t="str">
        <f>IF('Banco de Dados'!$F1934="-",_xlfn.CONCAT(PROPER(TEXT(AK1934,"aaaa"))," ",PROPER(TEXT(AK1934,"mm"))),_xlfn.CONCAT(PROPER(TEXT(E1934,"aaaa"))," ",PROPER(TEXT(E1934,"mm"))))</f>
        <v>2025 07</v>
      </c>
      <c r="AI1934" s="9" t="str">
        <f ca="1">IF('Banco de Dados'!$AK1934&lt;&gt;"-","REEMBOLSO",IFERROR(_xlfn.XLOOKUP(G1934,Follow[CODRASTREIO],Follow[STATUS]),"-"))</f>
        <v>ENTREGUE</v>
      </c>
      <c r="AJ1934" s="9">
        <f ca="1">IF('Banco de Dados'!$AI1934="ENTREGUE",_xlfn.XLOOKUP('Banco de Dados'!$G1934,Follow[CODRASTREIO],Follow[DATAATUALIZAÇÃO]),"-")</f>
        <v>45864</v>
      </c>
      <c r="AK1934" s="132" t="str">
        <f ca="1"/>
        <v>-</v>
      </c>
      <c r="AL1934" s="35"/>
      <c r="AM1934" s="109" cm="1">
        <f t="array" aca="1" ref="AM1934" ca="1">IF('Banco de Dados'!$AK1934&lt;&gt;"-",_xlfn.IFS('Banco de Dados'!$A1934="bv",IF('Banco de Dados'!$E1934&lt;45641,ROUND(SUM('Banco de Dados'!$R1934*_xlfn.XLOOKUP('Banco de Dados'!$P1934,Sku!B:B,Sku!#REF!)*20%),2),ROUND(SUM('Banco de Dados'!$R1934*_xlfn.XLOOKUP('Banco de Dados'!$P1934,Sku!B:B,Sku!H:H)*20%),2)),'Banco de Dados'!$A1934="GO",ROUND(_xlfn.XLOOKUP('Banco de Dados'!$P1934,Sku!C:C,Sku!H:H),2),'Banco de Dados'!$A1934="MEI",ROUND(_xlfn.XLOOKUP('Banco de Dados'!$P1934,Sku!D:D,Sku!H:H),2)),0)</f>
        <v>0</v>
      </c>
      <c r="AN1934" s="109">
        <v>0</v>
      </c>
      <c r="AO1934" s="109">
        <v>0</v>
      </c>
      <c r="AP1934" s="28">
        <f ca="1">IF('Banco de Dados'!$AK1934&lt;&gt;"-",IF('Banco de Dados'!$AL1934="NÃO",IFERROR(VALUE(SUBSTITUTE(_xlfn.TEXTAFTER('Banco de Dados'!$F1934,"BRL ",1),".",",")),0),0),0)</f>
        <v>0</v>
      </c>
      <c r="AQ1934" s="28">
        <f ca="1">SUM('Banco de Dados'!$AM1934:$AP1934)</f>
        <v>0</v>
      </c>
      <c r="AR1934" s="8"/>
      <c r="AS1934" s="8"/>
      <c r="AT1934"/>
      <c r="AY1934" s="8"/>
    </row>
    <row r="1935" spans="1:51">
      <c r="A1935" s="5" t="str">
        <v>BV</v>
      </c>
      <c r="B1935" s="5" t="str">
        <f ca="1"/>
        <v>BV45852</v>
      </c>
      <c r="C1935" s="8" t="str">
        <v>Pedido 1921</v>
      </c>
      <c r="D1935" s="187">
        <v>45848</v>
      </c>
      <c r="E1935" s="9">
        <v>45852</v>
      </c>
      <c r="F1935" s="2" t="str">
        <v>PedidoF1806</v>
      </c>
      <c r="G1935" s="2" t="str">
        <v>CódRastreio1804</v>
      </c>
      <c r="H1935" s="5">
        <v>1</v>
      </c>
      <c r="I1935" s="182" t="str">
        <v>CPF 1877</v>
      </c>
      <c r="J1935" s="2" t="str">
        <v>Nome 1877</v>
      </c>
      <c r="K1935" s="8" t="str">
        <v>Tel 1877</v>
      </c>
      <c r="L1935" s="8" t="str">
        <v>Cep 1877</v>
      </c>
      <c r="M1935" s="8" t="str">
        <v>Rua 1877</v>
      </c>
      <c r="N1935" s="8" t="str">
        <v>Comp 1877</v>
      </c>
      <c r="O1935" s="8" t="str">
        <v>Máquina de cortar cabelo dragão</v>
      </c>
      <c r="P1935" s="8" t="str">
        <v>HG-2FNR-01A9</v>
      </c>
      <c r="Q1935" s="4">
        <v>45875</v>
      </c>
      <c r="R1935" s="109">
        <v>23.9</v>
      </c>
      <c r="S1935" s="11">
        <f ca="1"/>
        <v>23.9</v>
      </c>
      <c r="T1935" s="28">
        <f ca="1"/>
        <v>2.8679999999999999</v>
      </c>
      <c r="U1935" s="11">
        <f ca="1"/>
        <v>21.03</v>
      </c>
      <c r="V1935" s="11">
        <v>21.23</v>
      </c>
      <c r="W1935" s="11">
        <f ca="1"/>
        <v>0</v>
      </c>
      <c r="X1935" s="11">
        <f ca="1"/>
        <v>0.39877104377104378</v>
      </c>
      <c r="Y1935" s="11">
        <v>5</v>
      </c>
      <c r="Z1935" s="11">
        <f ca="1"/>
        <v>-5.5987710437710447</v>
      </c>
      <c r="AA1935" s="11">
        <f ca="1"/>
        <v>-2.7993855218855224</v>
      </c>
      <c r="AB1935" s="4">
        <f ca="1"/>
        <v>45882</v>
      </c>
      <c r="AC1935" s="4">
        <v>45882</v>
      </c>
      <c r="AD1935" s="9">
        <v>45887</v>
      </c>
      <c r="AE1935" s="9">
        <v>45888</v>
      </c>
      <c r="AF1935" s="4" t="str">
        <f t="shared" ca="1" si="142"/>
        <v>2025 08</v>
      </c>
      <c r="AG1935" s="8" t="str" cm="1">
        <f t="array" ref="AG1935">IFERROR(_xlfn.IFS('Banco de Dados'!#REF!="AG. COMPRA","Em processamento",'Banco de Dados'!#REF!="AG. RASTREIO","Em processamento",'Banco de Dados'!$AE1935&lt;&gt;"-","Faturado",'Banco de Dados'!$AD1935&lt;&gt;"-","Aguardando Pix",'Banco de Dados'!$AC1935&lt;&gt;"-","Pendente"),"Aguardando Liberação")</f>
        <v>Aguardando Liberação</v>
      </c>
      <c r="AH1935" s="5" t="str">
        <f>IF('Banco de Dados'!$F1935="-",_xlfn.CONCAT(PROPER(TEXT(AK1935,"aaaa"))," ",PROPER(TEXT(AK1935,"mm"))),_xlfn.CONCAT(PROPER(TEXT(E1935,"aaaa"))," ",PROPER(TEXT(E1935,"mm"))))</f>
        <v>2025 07</v>
      </c>
      <c r="AI1935" s="9" t="str">
        <f ca="1">IF('Banco de Dados'!$AK1935&lt;&gt;"-","REEMBOLSO",IFERROR(_xlfn.XLOOKUP(G1935,Follow[CODRASTREIO],Follow[STATUS]),"-"))</f>
        <v>ENTREGUE</v>
      </c>
      <c r="AJ1935" s="9">
        <f ca="1">IF('Banco de Dados'!$AI1935="ENTREGUE",_xlfn.XLOOKUP('Banco de Dados'!$G1935,Follow[CODRASTREIO],Follow[DATAATUALIZAÇÃO]),"-")</f>
        <v>45861</v>
      </c>
      <c r="AK1935" s="132" t="str">
        <f ca="1"/>
        <v>-</v>
      </c>
      <c r="AL1935" s="35"/>
      <c r="AM1935" s="109" cm="1">
        <f t="array" aca="1" ref="AM1935" ca="1">IF('Banco de Dados'!$AK1935&lt;&gt;"-",_xlfn.IFS('Banco de Dados'!$A1935="bv",IF('Banco de Dados'!$E1935&lt;45641,ROUND(SUM('Banco de Dados'!$R1935*_xlfn.XLOOKUP('Banco de Dados'!$P1935,Sku!B:B,Sku!#REF!)*20%),2),ROUND(SUM('Banco de Dados'!$R1935*_xlfn.XLOOKUP('Banco de Dados'!$P1935,Sku!B:B,Sku!H:H)*20%),2)),'Banco de Dados'!$A1935="GO",ROUND(_xlfn.XLOOKUP('Banco de Dados'!$P1935,Sku!C:C,Sku!H:H),2),'Banco de Dados'!$A1935="MEI",ROUND(_xlfn.XLOOKUP('Banco de Dados'!$P1935,Sku!D:D,Sku!H:H),2)),0)</f>
        <v>0</v>
      </c>
      <c r="AN1935" s="109">
        <v>0</v>
      </c>
      <c r="AO1935" s="109">
        <v>0</v>
      </c>
      <c r="AP1935" s="28">
        <f ca="1">IF('Banco de Dados'!$AK1935&lt;&gt;"-",IF('Banco de Dados'!$AL1935="NÃO",IFERROR(VALUE(SUBSTITUTE(_xlfn.TEXTAFTER('Banco de Dados'!$F1935,"BRL ",1),".",",")),0),0),0)</f>
        <v>0</v>
      </c>
      <c r="AQ1935" s="28">
        <f ca="1">SUM('Banco de Dados'!$AM1935:$AP1935)</f>
        <v>0</v>
      </c>
      <c r="AR1935" s="8"/>
      <c r="AS1935" s="8"/>
      <c r="AT1935"/>
      <c r="AY1935" s="8"/>
    </row>
    <row r="1936" spans="1:51">
      <c r="A1936" s="5" t="str">
        <v>BV</v>
      </c>
      <c r="B1936" s="5" t="str">
        <f ca="1"/>
        <v>BV45853</v>
      </c>
      <c r="C1936" s="8" t="str">
        <v>Pedido 1922</v>
      </c>
      <c r="D1936" s="187">
        <v>45848</v>
      </c>
      <c r="E1936" s="9">
        <v>45853</v>
      </c>
      <c r="F1936" s="2" t="str">
        <v>PedidoF1807</v>
      </c>
      <c r="G1936" s="2" t="str">
        <v>CódRastreio1805</v>
      </c>
      <c r="H1936" s="5">
        <v>2</v>
      </c>
      <c r="I1936" s="182" t="str">
        <v>CPF 1878</v>
      </c>
      <c r="J1936" s="2" t="str">
        <v>Nome 1878</v>
      </c>
      <c r="K1936" s="8" t="str">
        <v>Tel 1878</v>
      </c>
      <c r="L1936" s="8" t="str">
        <v>Cep 1878</v>
      </c>
      <c r="M1936" s="8" t="str">
        <v>Rua 1878</v>
      </c>
      <c r="N1936" s="8" t="str">
        <v>Comp 1878</v>
      </c>
      <c r="O1936" s="8" t="str">
        <v>Bolsa térmica</v>
      </c>
      <c r="P1936" s="8" t="str">
        <v>6I-CK1S-8HYZ</v>
      </c>
      <c r="Q1936" s="4">
        <v>45869</v>
      </c>
      <c r="R1936" s="109">
        <v>57</v>
      </c>
      <c r="S1936" s="11">
        <f ca="1"/>
        <v>57</v>
      </c>
      <c r="T1936" s="28">
        <f ca="1"/>
        <v>6.84</v>
      </c>
      <c r="U1936" s="11">
        <f ca="1"/>
        <v>50.16</v>
      </c>
      <c r="V1936" s="11">
        <v>35.86</v>
      </c>
      <c r="W1936" s="11">
        <f ca="1"/>
        <v>0</v>
      </c>
      <c r="X1936" s="11">
        <f ca="1"/>
        <v>0.39877104377104378</v>
      </c>
      <c r="Y1936" s="11">
        <v>0</v>
      </c>
      <c r="Z1936" s="11">
        <f ca="1"/>
        <v>13.901228956228955</v>
      </c>
      <c r="AA1936" s="11">
        <f ca="1"/>
        <v>6.9506144781144776</v>
      </c>
      <c r="AB1936" s="4">
        <f ca="1"/>
        <v>45876</v>
      </c>
      <c r="AC1936" s="4">
        <v>45876</v>
      </c>
      <c r="AD1936" s="9">
        <v>45887</v>
      </c>
      <c r="AE1936" s="9">
        <v>45888</v>
      </c>
      <c r="AF1936" s="4" t="str">
        <f t="shared" ca="1" si="142"/>
        <v>2025 08</v>
      </c>
      <c r="AG1936" s="8" t="str" cm="1">
        <f t="array" ref="AG1936">IFERROR(_xlfn.IFS('Banco de Dados'!#REF!="AG. COMPRA","Em processamento",'Banco de Dados'!#REF!="AG. RASTREIO","Em processamento",'Banco de Dados'!$AE1936&lt;&gt;"-","Faturado",'Banco de Dados'!$AD1936&lt;&gt;"-","Aguardando Pix",'Banco de Dados'!$AC1936&lt;&gt;"-","Pendente"),"Aguardando Liberação")</f>
        <v>Aguardando Liberação</v>
      </c>
      <c r="AH1936" s="5" t="str">
        <f>IF('Banco de Dados'!$F1936="-",_xlfn.CONCAT(PROPER(TEXT(AK1936,"aaaa"))," ",PROPER(TEXT(AK1936,"mm"))),_xlfn.CONCAT(PROPER(TEXT(E1936,"aaaa"))," ",PROPER(TEXT(E1936,"mm"))))</f>
        <v>2025 07</v>
      </c>
      <c r="AI1936" s="9" t="str">
        <f ca="1">IF('Banco de Dados'!$AK1936&lt;&gt;"-","REEMBOLSO",IFERROR(_xlfn.XLOOKUP(G1936,Follow[CODRASTREIO],Follow[STATUS]),"-"))</f>
        <v>ENTREGUE</v>
      </c>
      <c r="AJ1936" s="9">
        <f ca="1">IF('Banco de Dados'!$AI1936="ENTREGUE",_xlfn.XLOOKUP('Banco de Dados'!$G1936,Follow[CODRASTREIO],Follow[DATAATUALIZAÇÃO]),"-")</f>
        <v>45859</v>
      </c>
      <c r="AK1936" s="132" t="str">
        <f ca="1"/>
        <v>-</v>
      </c>
      <c r="AL1936" s="35"/>
      <c r="AM1936" s="109" cm="1">
        <f t="array" aca="1" ref="AM1936" ca="1">IF('Banco de Dados'!$AK1936&lt;&gt;"-",_xlfn.IFS('Banco de Dados'!$A1936="bv",IF('Banco de Dados'!$E1936&lt;45641,ROUND(SUM('Banco de Dados'!$R1936*_xlfn.XLOOKUP('Banco de Dados'!$P1936,Sku!B:B,Sku!#REF!)*20%),2),ROUND(SUM('Banco de Dados'!$R1936*_xlfn.XLOOKUP('Banco de Dados'!$P1936,Sku!B:B,Sku!H:H)*20%),2)),'Banco de Dados'!$A1936="GO",ROUND(_xlfn.XLOOKUP('Banco de Dados'!$P1936,Sku!C:C,Sku!H:H),2),'Banco de Dados'!$A1936="MEI",ROUND(_xlfn.XLOOKUP('Banco de Dados'!$P1936,Sku!D:D,Sku!H:H),2)),0)</f>
        <v>0</v>
      </c>
      <c r="AN1936" s="109">
        <v>0</v>
      </c>
      <c r="AO1936" s="109">
        <v>0</v>
      </c>
      <c r="AP1936" s="28">
        <f ca="1">IF('Banco de Dados'!$AK1936&lt;&gt;"-",IF('Banco de Dados'!$AL1936="NÃO",IFERROR(VALUE(SUBSTITUTE(_xlfn.TEXTAFTER('Banco de Dados'!$F1936,"BRL ",1),".",",")),0),0),0)</f>
        <v>0</v>
      </c>
      <c r="AQ1936" s="28">
        <f ca="1">SUM('Banco de Dados'!$AM1936:$AP1936)</f>
        <v>0</v>
      </c>
      <c r="AR1936" s="8"/>
      <c r="AS1936" s="8"/>
      <c r="AT1936"/>
      <c r="AY1936" s="8"/>
    </row>
    <row r="1937" spans="1:51">
      <c r="A1937" s="5" t="str">
        <v>BV</v>
      </c>
      <c r="B1937" s="5" t="str">
        <f ca="1"/>
        <v>BV45853</v>
      </c>
      <c r="C1937" s="8" t="str">
        <v>Pedido 1923</v>
      </c>
      <c r="D1937" s="187">
        <v>45848</v>
      </c>
      <c r="E1937" s="9">
        <v>45853</v>
      </c>
      <c r="F1937" s="2" t="str">
        <v>PedidoF1808</v>
      </c>
      <c r="G1937" s="2" t="str">
        <v>CódRastreio1806</v>
      </c>
      <c r="H1937" s="5">
        <v>1</v>
      </c>
      <c r="I1937" s="182" t="str">
        <v>CPF 1879</v>
      </c>
      <c r="J1937" s="2" t="str">
        <v>Nome 1879</v>
      </c>
      <c r="K1937" s="8" t="str">
        <v>Tel 1879</v>
      </c>
      <c r="L1937" s="8" t="str">
        <v>Cep 1879</v>
      </c>
      <c r="M1937" s="8" t="str">
        <v>Rua 1879</v>
      </c>
      <c r="N1937" s="8" t="str">
        <v>Comp 1879</v>
      </c>
      <c r="O1937" s="8" t="str">
        <v>Bolsa térmica</v>
      </c>
      <c r="P1937" s="8" t="str">
        <v>6I-CK1S-8HYZ</v>
      </c>
      <c r="Q1937" s="4">
        <v>45869</v>
      </c>
      <c r="R1937" s="109">
        <v>28.5</v>
      </c>
      <c r="S1937" s="11">
        <f ca="1"/>
        <v>28.5</v>
      </c>
      <c r="T1937" s="28">
        <f ca="1"/>
        <v>3.42</v>
      </c>
      <c r="U1937" s="11">
        <f ca="1"/>
        <v>25.08</v>
      </c>
      <c r="V1937" s="11">
        <v>18.38</v>
      </c>
      <c r="W1937" s="11">
        <f ca="1"/>
        <v>0</v>
      </c>
      <c r="X1937" s="11">
        <f ca="1"/>
        <v>0.39877104377104378</v>
      </c>
      <c r="Y1937" s="11">
        <v>1</v>
      </c>
      <c r="Z1937" s="11">
        <f ca="1"/>
        <v>5.3012289562289538</v>
      </c>
      <c r="AA1937" s="11">
        <f ca="1"/>
        <v>2.6506144781144769</v>
      </c>
      <c r="AB1937" s="4">
        <f ca="1"/>
        <v>45876</v>
      </c>
      <c r="AC1937" s="4">
        <v>45876</v>
      </c>
      <c r="AD1937" s="9">
        <v>45887</v>
      </c>
      <c r="AE1937" s="9">
        <v>45888</v>
      </c>
      <c r="AF1937" s="4" t="str">
        <f t="shared" ref="AF1937:AF1948" ca="1" si="143">_xlfn.CONCAT(PROPER(TEXT(AB1937,"aaaa"))," ",PROPER(TEXT(AB1937,"mm")))</f>
        <v>2025 08</v>
      </c>
      <c r="AG1937" s="8" t="str" cm="1">
        <f t="array" ref="AG1937">IFERROR(_xlfn.IFS('Banco de Dados'!#REF!="AG. COMPRA","Em processamento",'Banco de Dados'!#REF!="AG. RASTREIO","Em processamento",'Banco de Dados'!$AE1937&lt;&gt;"-","Faturado",'Banco de Dados'!$AD1937&lt;&gt;"-","Aguardando Pix",'Banco de Dados'!$AC1937&lt;&gt;"-","Pendente"),"Aguardando Liberação")</f>
        <v>Aguardando Liberação</v>
      </c>
      <c r="AH1937" s="5" t="str">
        <f>IF('Banco de Dados'!$F1937="-",_xlfn.CONCAT(PROPER(TEXT(AK1937,"aaaa"))," ",PROPER(TEXT(AK1937,"mm"))),_xlfn.CONCAT(PROPER(TEXT(E1937,"aaaa"))," ",PROPER(TEXT(E1937,"mm"))))</f>
        <v>2025 07</v>
      </c>
      <c r="AI1937" s="9" t="str">
        <f ca="1">IF('Banco de Dados'!$AK1937&lt;&gt;"-","REEMBOLSO",IFERROR(_xlfn.XLOOKUP(G1937,Follow[CODRASTREIO],Follow[STATUS]),"-"))</f>
        <v>ENTREGUE</v>
      </c>
      <c r="AJ1937" s="9">
        <f ca="1">IF('Banco de Dados'!$AI1937="ENTREGUE",_xlfn.XLOOKUP('Banco de Dados'!$G1937,Follow[CODRASTREIO],Follow[DATAATUALIZAÇÃO]),"-")</f>
        <v>45859</v>
      </c>
      <c r="AK1937" s="132" t="str">
        <f ca="1"/>
        <v>-</v>
      </c>
      <c r="AL1937" s="35"/>
      <c r="AM1937" s="109" cm="1">
        <f t="array" aca="1" ref="AM1937" ca="1">IF('Banco de Dados'!$AK1937&lt;&gt;"-",_xlfn.IFS('Banco de Dados'!$A1937="bv",IF('Banco de Dados'!$E1937&lt;45641,ROUND(SUM('Banco de Dados'!$R1937*_xlfn.XLOOKUP('Banco de Dados'!$P1937,Sku!B:B,Sku!#REF!)*20%),2),ROUND(SUM('Banco de Dados'!$R1937*_xlfn.XLOOKUP('Banco de Dados'!$P1937,Sku!B:B,Sku!H:H)*20%),2)),'Banco de Dados'!$A1937="GO",ROUND(_xlfn.XLOOKUP('Banco de Dados'!$P1937,Sku!C:C,Sku!H:H),2),'Banco de Dados'!$A1937="MEI",ROUND(_xlfn.XLOOKUP('Banco de Dados'!$P1937,Sku!D:D,Sku!H:H),2)),0)</f>
        <v>0</v>
      </c>
      <c r="AN1937" s="109">
        <v>0</v>
      </c>
      <c r="AO1937" s="109">
        <v>0</v>
      </c>
      <c r="AP1937" s="28">
        <f ca="1">IF('Banco de Dados'!$AK1937&lt;&gt;"-",IF('Banco de Dados'!$AL1937="NÃO",IFERROR(VALUE(SUBSTITUTE(_xlfn.TEXTAFTER('Banco de Dados'!$F1937,"BRL ",1),".",",")),0),0),0)</f>
        <v>0</v>
      </c>
      <c r="AQ1937" s="28">
        <f ca="1">SUM('Banco de Dados'!$AM1937:$AP1937)</f>
        <v>0</v>
      </c>
      <c r="AR1937" s="8"/>
      <c r="AS1937" s="8"/>
      <c r="AT1937"/>
      <c r="AY1937" s="8"/>
    </row>
    <row r="1938" spans="1:51">
      <c r="A1938" s="5" t="str">
        <v>BV</v>
      </c>
      <c r="B1938" s="5" t="str">
        <f ca="1"/>
        <v>BV45853</v>
      </c>
      <c r="C1938" s="8" t="str">
        <v>Pedido 1924</v>
      </c>
      <c r="D1938" s="187">
        <v>45848</v>
      </c>
      <c r="E1938" s="9">
        <v>45853</v>
      </c>
      <c r="F1938" s="2" t="str">
        <v>PedidoF1809</v>
      </c>
      <c r="G1938" s="2" t="str">
        <v>CódRastreio1807</v>
      </c>
      <c r="H1938" s="5">
        <v>2</v>
      </c>
      <c r="I1938" s="182" t="str">
        <v>CPF 1880</v>
      </c>
      <c r="J1938" s="2" t="str">
        <v>Nome 1880</v>
      </c>
      <c r="K1938" s="8" t="str">
        <v>Tel 1880</v>
      </c>
      <c r="L1938" s="8" t="str">
        <v>Cep 1880</v>
      </c>
      <c r="M1938" s="8" t="str">
        <v>Rua 1880</v>
      </c>
      <c r="N1938" s="8" t="str">
        <v>Comp 1880</v>
      </c>
      <c r="O1938" s="8" t="str">
        <v>Bolsa térmica</v>
      </c>
      <c r="P1938" s="8" t="str">
        <v>6I-CK1S-8HYZ</v>
      </c>
      <c r="Q1938" s="4">
        <v>45869</v>
      </c>
      <c r="R1938" s="109">
        <v>57</v>
      </c>
      <c r="S1938" s="11">
        <f ca="1"/>
        <v>57</v>
      </c>
      <c r="T1938" s="28">
        <f ca="1"/>
        <v>6.84</v>
      </c>
      <c r="U1938" s="11">
        <f ca="1"/>
        <v>50.16</v>
      </c>
      <c r="V1938" s="11">
        <v>36.32</v>
      </c>
      <c r="W1938" s="11">
        <f ca="1"/>
        <v>0</v>
      </c>
      <c r="X1938" s="11">
        <f ca="1"/>
        <v>0.39877104377104378</v>
      </c>
      <c r="Y1938" s="11">
        <v>0</v>
      </c>
      <c r="Z1938" s="11">
        <f ca="1"/>
        <v>13.441228956228954</v>
      </c>
      <c r="AA1938" s="11">
        <f ca="1"/>
        <v>6.7206144781144772</v>
      </c>
      <c r="AB1938" s="4">
        <f ca="1"/>
        <v>45876</v>
      </c>
      <c r="AC1938" s="4">
        <v>45876</v>
      </c>
      <c r="AD1938" s="9">
        <v>45887</v>
      </c>
      <c r="AE1938" s="9">
        <v>45888</v>
      </c>
      <c r="AF1938" s="4" t="str">
        <f t="shared" ca="1" si="143"/>
        <v>2025 08</v>
      </c>
      <c r="AG1938" s="8" t="str" cm="1">
        <f t="array" ref="AG1938">IFERROR(_xlfn.IFS('Banco de Dados'!#REF!="AG. COMPRA","Em processamento",'Banco de Dados'!#REF!="AG. RASTREIO","Em processamento",'Banco de Dados'!$AE1938&lt;&gt;"-","Faturado",'Banco de Dados'!$AD1938&lt;&gt;"-","Aguardando Pix",'Banco de Dados'!$AC1938&lt;&gt;"-","Pendente"),"Aguardando Liberação")</f>
        <v>Aguardando Liberação</v>
      </c>
      <c r="AH1938" s="5" t="str">
        <f>IF('Banco de Dados'!$F1938="-",_xlfn.CONCAT(PROPER(TEXT(AK1938,"aaaa"))," ",PROPER(TEXT(AK1938,"mm"))),_xlfn.CONCAT(PROPER(TEXT(E1938,"aaaa"))," ",PROPER(TEXT(E1938,"mm"))))</f>
        <v>2025 07</v>
      </c>
      <c r="AI1938" s="9" t="str">
        <f ca="1">IF('Banco de Dados'!$AK1938&lt;&gt;"-","REEMBOLSO",IFERROR(_xlfn.XLOOKUP(G1938,Follow[CODRASTREIO],Follow[STATUS]),"-"))</f>
        <v>ENTREGUE</v>
      </c>
      <c r="AJ1938" s="9">
        <f ca="1">IF('Banco de Dados'!$AI1938="ENTREGUE",_xlfn.XLOOKUP('Banco de Dados'!$G1938,Follow[CODRASTREIO],Follow[DATAATUALIZAÇÃO]),"-")</f>
        <v>45859</v>
      </c>
      <c r="AK1938" s="132" t="str">
        <f ca="1"/>
        <v>-</v>
      </c>
      <c r="AL1938" s="35"/>
      <c r="AM1938" s="109" cm="1">
        <f t="array" aca="1" ref="AM1938" ca="1">IF('Banco de Dados'!$AK1938&lt;&gt;"-",_xlfn.IFS('Banco de Dados'!$A1938="bv",IF('Banco de Dados'!$E1938&lt;45641,ROUND(SUM('Banco de Dados'!$R1938*_xlfn.XLOOKUP('Banco de Dados'!$P1938,Sku!B:B,Sku!#REF!)*20%),2),ROUND(SUM('Banco de Dados'!$R1938*_xlfn.XLOOKUP('Banco de Dados'!$P1938,Sku!B:B,Sku!H:H)*20%),2)),'Banco de Dados'!$A1938="GO",ROUND(_xlfn.XLOOKUP('Banco de Dados'!$P1938,Sku!C:C,Sku!H:H),2),'Banco de Dados'!$A1938="MEI",ROUND(_xlfn.XLOOKUP('Banco de Dados'!$P1938,Sku!D:D,Sku!H:H),2)),0)</f>
        <v>0</v>
      </c>
      <c r="AN1938" s="109">
        <v>0</v>
      </c>
      <c r="AO1938" s="109">
        <v>0</v>
      </c>
      <c r="AP1938" s="28">
        <f ca="1">IF('Banco de Dados'!$AK1938&lt;&gt;"-",IF('Banco de Dados'!$AL1938="NÃO",IFERROR(VALUE(SUBSTITUTE(_xlfn.TEXTAFTER('Banco de Dados'!$F1938,"BRL ",1),".",",")),0),0),0)</f>
        <v>0</v>
      </c>
      <c r="AQ1938" s="28">
        <f ca="1">SUM('Banco de Dados'!$AM1938:$AP1938)</f>
        <v>0</v>
      </c>
      <c r="AR1938" s="8"/>
      <c r="AS1938" s="8"/>
      <c r="AT1938"/>
      <c r="AY1938" s="8"/>
    </row>
    <row r="1939" spans="1:51">
      <c r="A1939" s="5" t="str">
        <v>BV</v>
      </c>
      <c r="B1939" s="5" t="str">
        <f ca="1"/>
        <v>BV45853</v>
      </c>
      <c r="C1939" s="8" t="str">
        <v>Pedido 1925</v>
      </c>
      <c r="D1939" s="187">
        <v>45849</v>
      </c>
      <c r="E1939" s="9">
        <v>45853</v>
      </c>
      <c r="F1939" s="2" t="str">
        <v>PedidoF1810</v>
      </c>
      <c r="G1939" s="2" t="str">
        <v>CódRastreio1808</v>
      </c>
      <c r="H1939" s="5">
        <v>1</v>
      </c>
      <c r="I1939" s="182" t="str">
        <v>CPF 1881</v>
      </c>
      <c r="J1939" s="2" t="str">
        <v>Nome 1881</v>
      </c>
      <c r="K1939" s="8" t="str">
        <v>Tel 1881</v>
      </c>
      <c r="L1939" s="184" t="str">
        <v>Cep 1881</v>
      </c>
      <c r="M1939" s="8" t="str">
        <v>Rua 1881</v>
      </c>
      <c r="N1939" s="8" t="str">
        <v>Comp 1881</v>
      </c>
      <c r="O1939" s="8" t="str">
        <v>Bolsa térmica</v>
      </c>
      <c r="P1939" s="8" t="str">
        <v>6I-CK1S-8HYZ</v>
      </c>
      <c r="Q1939" s="4">
        <v>45863</v>
      </c>
      <c r="R1939" s="109">
        <v>28.5</v>
      </c>
      <c r="S1939" s="11">
        <f ca="1"/>
        <v>28.5</v>
      </c>
      <c r="T1939" s="28">
        <f ca="1"/>
        <v>3.42</v>
      </c>
      <c r="U1939" s="11">
        <f ca="1"/>
        <v>25.08</v>
      </c>
      <c r="V1939" s="11">
        <v>17.55</v>
      </c>
      <c r="W1939" s="11">
        <f ca="1"/>
        <v>0</v>
      </c>
      <c r="X1939" s="11">
        <f ca="1"/>
        <v>0.39877104377104378</v>
      </c>
      <c r="Y1939" s="11">
        <v>0</v>
      </c>
      <c r="Z1939" s="11">
        <f ca="1"/>
        <v>7.1312289562289521</v>
      </c>
      <c r="AA1939" s="11">
        <f ca="1"/>
        <v>3.5656144781144761</v>
      </c>
      <c r="AB1939" s="4">
        <f ca="1"/>
        <v>45870</v>
      </c>
      <c r="AC1939" s="4">
        <v>45870</v>
      </c>
      <c r="AD1939" s="9">
        <v>45870</v>
      </c>
      <c r="AE1939" s="9">
        <v>45873</v>
      </c>
      <c r="AF1939" s="4" t="str">
        <f t="shared" ca="1" si="143"/>
        <v>2025 08</v>
      </c>
      <c r="AG1939" s="8" t="str" cm="1">
        <f t="array" ref="AG1939">IFERROR(_xlfn.IFS('Banco de Dados'!#REF!="AG. COMPRA","Em processamento",'Banco de Dados'!#REF!="AG. RASTREIO","Em processamento",'Banco de Dados'!$AE1939&lt;&gt;"-","Faturado",'Banco de Dados'!$AD1939&lt;&gt;"-","Aguardando Pix",'Banco de Dados'!$AC1939&lt;&gt;"-","Pendente"),"Aguardando Liberação")</f>
        <v>Aguardando Liberação</v>
      </c>
      <c r="AH1939" s="5" t="str">
        <f>IF('Banco de Dados'!$F1939="-",_xlfn.CONCAT(PROPER(TEXT(AK1939,"aaaa"))," ",PROPER(TEXT(AK1939,"mm"))),_xlfn.CONCAT(PROPER(TEXT(E1939,"aaaa"))," ",PROPER(TEXT(E1939,"mm"))))</f>
        <v>2025 07</v>
      </c>
      <c r="AI1939" s="9" t="str">
        <f ca="1">IF('Banco de Dados'!$AK1939&lt;&gt;"-","REEMBOLSO",IFERROR(_xlfn.XLOOKUP(G1939,Follow[CODRASTREIO],Follow[STATUS]),"-"))</f>
        <v>ENTREGUE</v>
      </c>
      <c r="AJ1939" s="9">
        <f ca="1">IF('Banco de Dados'!$AI1939="ENTREGUE",_xlfn.XLOOKUP('Banco de Dados'!$G1939,Follow[CODRASTREIO],Follow[DATAATUALIZAÇÃO]),"-")</f>
        <v>45857</v>
      </c>
      <c r="AK1939" s="132" t="str">
        <f ca="1"/>
        <v>-</v>
      </c>
      <c r="AL1939" s="35"/>
      <c r="AM1939" s="109" cm="1">
        <f t="array" aca="1" ref="AM1939" ca="1">IF('Banco de Dados'!$AK1939&lt;&gt;"-",_xlfn.IFS('Banco de Dados'!$A1939="bv",IF('Banco de Dados'!$E1939&lt;45641,ROUND(SUM('Banco de Dados'!$R1939*_xlfn.XLOOKUP('Banco de Dados'!$P1939,Sku!B:B,Sku!#REF!)*20%),2),ROUND(SUM('Banco de Dados'!$R1939*_xlfn.XLOOKUP('Banco de Dados'!$P1939,Sku!B:B,Sku!H:H)*20%),2)),'Banco de Dados'!$A1939="GO",ROUND(_xlfn.XLOOKUP('Banco de Dados'!$P1939,Sku!C:C,Sku!H:H),2),'Banco de Dados'!$A1939="MEI",ROUND(_xlfn.XLOOKUP('Banco de Dados'!$P1939,Sku!D:D,Sku!H:H),2)),0)</f>
        <v>0</v>
      </c>
      <c r="AN1939" s="109">
        <v>0</v>
      </c>
      <c r="AO1939" s="109">
        <v>0</v>
      </c>
      <c r="AP1939" s="28">
        <f ca="1">IF('Banco de Dados'!$AK1939&lt;&gt;"-",IF('Banco de Dados'!$AL1939="NÃO",IFERROR(VALUE(SUBSTITUTE(_xlfn.TEXTAFTER('Banco de Dados'!$F1939,"BRL ",1),".",",")),0),0),0)</f>
        <v>0</v>
      </c>
      <c r="AQ1939" s="28">
        <f ca="1">SUM('Banco de Dados'!$AM1939:$AP1939)</f>
        <v>0</v>
      </c>
      <c r="AR1939" s="8"/>
      <c r="AS1939" s="8"/>
      <c r="AT1939"/>
      <c r="AY1939" s="8"/>
    </row>
    <row r="1940" spans="1:51">
      <c r="A1940" s="5" t="str">
        <v>BV</v>
      </c>
      <c r="B1940" s="5" t="str">
        <f ca="1"/>
        <v>BV45853</v>
      </c>
      <c r="C1940" s="8" t="str">
        <v>Pedido 1926</v>
      </c>
      <c r="D1940" s="187">
        <v>45849</v>
      </c>
      <c r="E1940" s="9">
        <v>45853</v>
      </c>
      <c r="F1940" s="2" t="str">
        <v>PedidoF1811</v>
      </c>
      <c r="G1940" s="2" t="str">
        <v>CódRastreio1809</v>
      </c>
      <c r="H1940" s="5">
        <v>1</v>
      </c>
      <c r="I1940" s="182" t="str">
        <v>CPF 1882</v>
      </c>
      <c r="J1940" s="2" t="str">
        <v>Nome 1882</v>
      </c>
      <c r="K1940" s="8" t="str">
        <v>Tel 1882</v>
      </c>
      <c r="L1940" s="184" t="str">
        <v>Cep 1882</v>
      </c>
      <c r="M1940" s="8" t="str">
        <v>Rua 1882</v>
      </c>
      <c r="N1940" s="8" t="str">
        <v>Comp 1882</v>
      </c>
      <c r="O1940" s="8" t="str">
        <v>Brinquedo Bola Giratória voadora</v>
      </c>
      <c r="P1940" s="8" t="str">
        <v>ZV-W7II-K7TO</v>
      </c>
      <c r="Q1940" s="4">
        <v>45863</v>
      </c>
      <c r="R1940" s="109">
        <v>49.99</v>
      </c>
      <c r="S1940" s="11">
        <f ca="1"/>
        <v>0</v>
      </c>
      <c r="T1940" s="28">
        <f ca="1"/>
        <v>0</v>
      </c>
      <c r="U1940" s="11">
        <f ca="1"/>
        <v>0</v>
      </c>
      <c r="V1940" s="11">
        <v>0</v>
      </c>
      <c r="W1940" s="11">
        <f ca="1"/>
        <v>0</v>
      </c>
      <c r="X1940" s="11">
        <f ca="1"/>
        <v>0.39877104377104378</v>
      </c>
      <c r="Y1940" s="11">
        <v>0</v>
      </c>
      <c r="Z1940" s="11">
        <f ca="1"/>
        <v>-0.39877104377104378</v>
      </c>
      <c r="AA1940" s="11">
        <f ca="1"/>
        <v>-0.19938552188552189</v>
      </c>
      <c r="AB1940" s="4">
        <f ca="1"/>
        <v>45870</v>
      </c>
      <c r="AC1940" s="4">
        <v>45870</v>
      </c>
      <c r="AD1940" s="9">
        <v>45870</v>
      </c>
      <c r="AE1940" s="9">
        <v>45873</v>
      </c>
      <c r="AF1940" s="4" t="str">
        <f t="shared" ca="1" si="143"/>
        <v>2025 08</v>
      </c>
      <c r="AG1940" s="8" t="str" cm="1">
        <f t="array" ref="AG1940">IFERROR(_xlfn.IFS('Banco de Dados'!#REF!="AG. COMPRA","Em processamento",'Banco de Dados'!#REF!="AG. RASTREIO","Em processamento",'Banco de Dados'!$AE1940&lt;&gt;"-","Faturado",'Banco de Dados'!$AD1940&lt;&gt;"-","Aguardando Pix",'Banco de Dados'!$AC1940&lt;&gt;"-","Pendente"),"Aguardando Liberação")</f>
        <v>Aguardando Liberação</v>
      </c>
      <c r="AH1940" s="5" t="str">
        <f>IF('Banco de Dados'!$F1940="-",_xlfn.CONCAT(PROPER(TEXT(AK1940,"aaaa"))," ",PROPER(TEXT(AK1940,"mm"))),_xlfn.CONCAT(PROPER(TEXT(E1940,"aaaa"))," ",PROPER(TEXT(E1940,"mm"))))</f>
        <v>2025 07</v>
      </c>
      <c r="AI1940" s="9" t="str">
        <f ca="1">IF('Banco de Dados'!$AK1940&lt;&gt;"-","REEMBOLSO",IFERROR(_xlfn.XLOOKUP(G1940,Follow[CODRASTREIO],Follow[STATUS]),"-"))</f>
        <v>REEMBOLSO</v>
      </c>
      <c r="AJ1940" s="9" t="str">
        <f ca="1">IF('Banco de Dados'!$AI1940="ENTREGUE",_xlfn.XLOOKUP('Banco de Dados'!$G1940,Follow[CODRASTREIO],Follow[DATAATUALIZAÇÃO]),"-")</f>
        <v>-</v>
      </c>
      <c r="AK1940" s="132">
        <f ca="1"/>
        <v>45873</v>
      </c>
      <c r="AL1940" s="35"/>
      <c r="AM1940" s="109" cm="1">
        <f t="array" aca="1" ref="AM1940" ca="1">IF('Banco de Dados'!$AK1940&lt;&gt;"-",_xlfn.IFS('Banco de Dados'!$A1940="bv",IF('Banco de Dados'!$E1940&lt;45641,ROUND(SUM('Banco de Dados'!$R1940*_xlfn.XLOOKUP('Banco de Dados'!$P1940,Sku!B:B,Sku!#REF!)*20%),2),ROUND(SUM('Banco de Dados'!$R1940*_xlfn.XLOOKUP('Banco de Dados'!$P1940,Sku!B:B,Sku!H:H)*20%),2)),'Banco de Dados'!$A1940="GO",ROUND(_xlfn.XLOOKUP('Banco de Dados'!$P1940,Sku!C:C,Sku!H:H),2),'Banco de Dados'!$A1940="MEI",ROUND(_xlfn.XLOOKUP('Banco de Dados'!$P1940,Sku!D:D,Sku!H:H),2)),0)</f>
        <v>1.2</v>
      </c>
      <c r="AN1940" s="109">
        <v>0</v>
      </c>
      <c r="AO1940" s="109">
        <v>0.4</v>
      </c>
      <c r="AP1940" s="28">
        <f ca="1">IF('Banco de Dados'!$AK1940&lt;&gt;"-",IF('Banco de Dados'!$AL1940="NÃO",IFERROR(VALUE(SUBSTITUTE(_xlfn.TEXTAFTER('Banco de Dados'!$F1940,"BRL ",1),".",",")),0),0),0)</f>
        <v>0</v>
      </c>
      <c r="AQ1940" s="28">
        <f ca="1">SUM('Banco de Dados'!$AM1940:$AP1940)</f>
        <v>1.6</v>
      </c>
      <c r="AR1940" s="8"/>
      <c r="AS1940" s="8"/>
      <c r="AT1940"/>
      <c r="AY1940" s="8"/>
    </row>
    <row r="1941" spans="1:51">
      <c r="A1941" s="5" t="str">
        <v>BV</v>
      </c>
      <c r="B1941" s="5" t="str">
        <f ca="1"/>
        <v>BV45853</v>
      </c>
      <c r="C1941" s="8" t="str">
        <v>Pedido 1927</v>
      </c>
      <c r="D1941" s="187">
        <v>45849</v>
      </c>
      <c r="E1941" s="9">
        <v>45853</v>
      </c>
      <c r="F1941" s="2" t="str">
        <v>PedidoF1812</v>
      </c>
      <c r="G1941" s="2" t="str">
        <v>CódRastreio1810</v>
      </c>
      <c r="H1941" s="5">
        <v>1</v>
      </c>
      <c r="I1941" s="182" t="str">
        <v>CPF 1883</v>
      </c>
      <c r="J1941" s="2" t="str">
        <v>Nome 1883</v>
      </c>
      <c r="K1941" s="8" t="str">
        <v>Tel 1883</v>
      </c>
      <c r="L1941" s="184" t="str">
        <v>Cep 1883</v>
      </c>
      <c r="M1941" s="8" t="str">
        <v>Rua 1883</v>
      </c>
      <c r="N1941" s="8" t="str">
        <v>Comp 1883</v>
      </c>
      <c r="O1941" s="8" t="str">
        <v>Bolsa térmica</v>
      </c>
      <c r="P1941" s="8" t="str">
        <v>6I-CK1S-8HYZ</v>
      </c>
      <c r="Q1941" s="4">
        <v>45863</v>
      </c>
      <c r="R1941" s="109">
        <v>28.5</v>
      </c>
      <c r="S1941" s="11">
        <f ca="1"/>
        <v>28.5</v>
      </c>
      <c r="T1941" s="28">
        <f ca="1"/>
        <v>3.42</v>
      </c>
      <c r="U1941" s="11">
        <f ca="1"/>
        <v>25.08</v>
      </c>
      <c r="V1941" s="11">
        <v>17.600000000000001</v>
      </c>
      <c r="W1941" s="11">
        <f ca="1"/>
        <v>0</v>
      </c>
      <c r="X1941" s="11">
        <f ca="1"/>
        <v>0.39877104377104378</v>
      </c>
      <c r="Y1941" s="11">
        <v>0</v>
      </c>
      <c r="Z1941" s="11">
        <f ca="1"/>
        <v>7.0812289562289514</v>
      </c>
      <c r="AA1941" s="11">
        <f ca="1"/>
        <v>3.5406144781144757</v>
      </c>
      <c r="AB1941" s="4">
        <f ca="1"/>
        <v>45870</v>
      </c>
      <c r="AC1941" s="4">
        <v>45870</v>
      </c>
      <c r="AD1941" s="9">
        <v>45870</v>
      </c>
      <c r="AE1941" s="9">
        <v>45873</v>
      </c>
      <c r="AF1941" s="4" t="str">
        <f t="shared" ca="1" si="143"/>
        <v>2025 08</v>
      </c>
      <c r="AG1941" s="8" t="str" cm="1">
        <f t="array" ref="AG1941">IFERROR(_xlfn.IFS('Banco de Dados'!#REF!="AG. COMPRA","Em processamento",'Banco de Dados'!#REF!="AG. RASTREIO","Em processamento",'Banco de Dados'!$AE1941&lt;&gt;"-","Faturado",'Banco de Dados'!$AD1941&lt;&gt;"-","Aguardando Pix",'Banco de Dados'!$AC1941&lt;&gt;"-","Pendente"),"Aguardando Liberação")</f>
        <v>Aguardando Liberação</v>
      </c>
      <c r="AH1941" s="5" t="str">
        <f>IF('Banco de Dados'!$F1941="-",_xlfn.CONCAT(PROPER(TEXT(AK1941,"aaaa"))," ",PROPER(TEXT(AK1941,"mm"))),_xlfn.CONCAT(PROPER(TEXT(E1941,"aaaa"))," ",PROPER(TEXT(E1941,"mm"))))</f>
        <v>2025 07</v>
      </c>
      <c r="AI1941" s="9" t="str">
        <f ca="1">IF('Banco de Dados'!$AK1941&lt;&gt;"-","REEMBOLSO",IFERROR(_xlfn.XLOOKUP(G1941,Follow[CODRASTREIO],Follow[STATUS]),"-"))</f>
        <v>ENTREGUE</v>
      </c>
      <c r="AJ1941" s="9">
        <f ca="1">IF('Banco de Dados'!$AI1941="ENTREGUE",_xlfn.XLOOKUP('Banco de Dados'!$G1941,Follow[CODRASTREIO],Follow[DATAATUALIZAÇÃO]),"-")</f>
        <v>45857</v>
      </c>
      <c r="AK1941" s="132" t="str">
        <f ca="1"/>
        <v>-</v>
      </c>
      <c r="AL1941" s="35"/>
      <c r="AM1941" s="109" cm="1">
        <f t="array" aca="1" ref="AM1941" ca="1">IF('Banco de Dados'!$AK1941&lt;&gt;"-",_xlfn.IFS('Banco de Dados'!$A1941="bv",IF('Banco de Dados'!$E1941&lt;45641,ROUND(SUM('Banco de Dados'!$R1941*_xlfn.XLOOKUP('Banco de Dados'!$P1941,Sku!B:B,Sku!#REF!)*20%),2),ROUND(SUM('Banco de Dados'!$R1941*_xlfn.XLOOKUP('Banco de Dados'!$P1941,Sku!B:B,Sku!H:H)*20%),2)),'Banco de Dados'!$A1941="GO",ROUND(_xlfn.XLOOKUP('Banco de Dados'!$P1941,Sku!C:C,Sku!H:H),2),'Banco de Dados'!$A1941="MEI",ROUND(_xlfn.XLOOKUP('Banco de Dados'!$P1941,Sku!D:D,Sku!H:H),2)),0)</f>
        <v>0</v>
      </c>
      <c r="AN1941" s="109">
        <v>0</v>
      </c>
      <c r="AO1941" s="109">
        <v>0</v>
      </c>
      <c r="AP1941" s="28">
        <f ca="1">IF('Banco de Dados'!$AK1941&lt;&gt;"-",IF('Banco de Dados'!$AL1941="NÃO",IFERROR(VALUE(SUBSTITUTE(_xlfn.TEXTAFTER('Banco de Dados'!$F1941,"BRL ",1),".",",")),0),0),0)</f>
        <v>0</v>
      </c>
      <c r="AQ1941" s="28">
        <f ca="1">SUM('Banco de Dados'!$AM1941:$AP1941)</f>
        <v>0</v>
      </c>
      <c r="AR1941" s="8"/>
      <c r="AS1941" s="8"/>
      <c r="AT1941"/>
      <c r="AY1941" s="8"/>
    </row>
    <row r="1942" spans="1:51">
      <c r="A1942" s="5" t="str">
        <v>BV</v>
      </c>
      <c r="B1942" s="5" t="str">
        <f ca="1"/>
        <v>BV45853</v>
      </c>
      <c r="C1942" s="8" t="str">
        <v>Pedido 1928</v>
      </c>
      <c r="D1942" s="187">
        <v>45849</v>
      </c>
      <c r="E1942" s="9">
        <v>45853</v>
      </c>
      <c r="F1942" s="2" t="str">
        <v>PedidoF1813</v>
      </c>
      <c r="G1942" s="2" t="str">
        <v>CódRastreio1811</v>
      </c>
      <c r="H1942" s="5">
        <v>1</v>
      </c>
      <c r="I1942" s="182" t="str">
        <v>CPF 1884</v>
      </c>
      <c r="J1942" s="2" t="str">
        <v>Nome 1884</v>
      </c>
      <c r="K1942" s="8" t="str">
        <v>Tel 1884</v>
      </c>
      <c r="L1942" s="8" t="str">
        <v>Cep 1884</v>
      </c>
      <c r="M1942" s="8" t="str">
        <v>Rua 1884</v>
      </c>
      <c r="N1942" s="8" t="str">
        <v>Comp 1884</v>
      </c>
      <c r="O1942" s="8" t="str">
        <v>Bolsa térmica</v>
      </c>
      <c r="P1942" s="8" t="str">
        <v>6I-CK1S-8HYZ</v>
      </c>
      <c r="Q1942" s="4">
        <v>45863</v>
      </c>
      <c r="R1942" s="109">
        <v>28.5</v>
      </c>
      <c r="S1942" s="11">
        <f ca="1"/>
        <v>28.5</v>
      </c>
      <c r="T1942" s="28">
        <f ca="1"/>
        <v>3.42</v>
      </c>
      <c r="U1942" s="11">
        <f ca="1"/>
        <v>25.08</v>
      </c>
      <c r="V1942" s="11">
        <v>23.36</v>
      </c>
      <c r="W1942" s="11">
        <f ca="1"/>
        <v>0</v>
      </c>
      <c r="X1942" s="11">
        <f ca="1"/>
        <v>0.39877104377104378</v>
      </c>
      <c r="Y1942" s="11">
        <v>0</v>
      </c>
      <c r="Z1942" s="11">
        <f ca="1"/>
        <v>1.3212289562289534</v>
      </c>
      <c r="AA1942" s="11">
        <f ca="1"/>
        <v>0.66061447811447671</v>
      </c>
      <c r="AB1942" s="4">
        <f ca="1"/>
        <v>45870</v>
      </c>
      <c r="AC1942" s="4">
        <v>45870</v>
      </c>
      <c r="AD1942" s="9">
        <v>45870</v>
      </c>
      <c r="AE1942" s="9">
        <v>45873</v>
      </c>
      <c r="AF1942" s="4" t="str">
        <f t="shared" ca="1" si="143"/>
        <v>2025 08</v>
      </c>
      <c r="AG1942" s="8" t="str" cm="1">
        <f t="array" ref="AG1942">IFERROR(_xlfn.IFS('Banco de Dados'!#REF!="AG. COMPRA","Em processamento",'Banco de Dados'!#REF!="AG. RASTREIO","Em processamento",'Banco de Dados'!$AE1942&lt;&gt;"-","Faturado",'Banco de Dados'!$AD1942&lt;&gt;"-","Aguardando Pix",'Banco de Dados'!$AC1942&lt;&gt;"-","Pendente"),"Aguardando Liberação")</f>
        <v>Aguardando Liberação</v>
      </c>
      <c r="AH1942" s="5" t="str">
        <f>IF('Banco de Dados'!$F1942="-",_xlfn.CONCAT(PROPER(TEXT(AK1942,"aaaa"))," ",PROPER(TEXT(AK1942,"mm"))),_xlfn.CONCAT(PROPER(TEXT(E1942,"aaaa"))," ",PROPER(TEXT(E1942,"mm"))))</f>
        <v>2025 07</v>
      </c>
      <c r="AI1942" s="9" t="str">
        <f ca="1">IF('Banco de Dados'!$AK1942&lt;&gt;"-","REEMBOLSO",IFERROR(_xlfn.XLOOKUP(G1942,Follow[CODRASTREIO],Follow[STATUS]),"-"))</f>
        <v>ENTREGUE</v>
      </c>
      <c r="AJ1942" s="9">
        <f ca="1">IF('Banco de Dados'!$AI1942="ENTREGUE",_xlfn.XLOOKUP('Banco de Dados'!$G1942,Follow[CODRASTREIO],Follow[DATAATUALIZAÇÃO]),"-")</f>
        <v>45859</v>
      </c>
      <c r="AK1942" s="132" t="str">
        <f ca="1"/>
        <v>-</v>
      </c>
      <c r="AL1942" s="35"/>
      <c r="AM1942" s="109" cm="1">
        <f t="array" aca="1" ref="AM1942" ca="1">IF('Banco de Dados'!$AK1942&lt;&gt;"-",_xlfn.IFS('Banco de Dados'!$A1942="bv",IF('Banco de Dados'!$E1942&lt;45641,ROUND(SUM('Banco de Dados'!$R1942*_xlfn.XLOOKUP('Banco de Dados'!$P1942,Sku!B:B,Sku!#REF!)*20%),2),ROUND(SUM('Banco de Dados'!$R1942*_xlfn.XLOOKUP('Banco de Dados'!$P1942,Sku!B:B,Sku!H:H)*20%),2)),'Banco de Dados'!$A1942="GO",ROUND(_xlfn.XLOOKUP('Banco de Dados'!$P1942,Sku!C:C,Sku!H:H),2),'Banco de Dados'!$A1942="MEI",ROUND(_xlfn.XLOOKUP('Banco de Dados'!$P1942,Sku!D:D,Sku!H:H),2)),0)</f>
        <v>0</v>
      </c>
      <c r="AN1942" s="109">
        <v>0</v>
      </c>
      <c r="AO1942" s="109">
        <v>0</v>
      </c>
      <c r="AP1942" s="28">
        <f ca="1">IF('Banco de Dados'!$AK1942&lt;&gt;"-",IF('Banco de Dados'!$AL1942="NÃO",IFERROR(VALUE(SUBSTITUTE(_xlfn.TEXTAFTER('Banco de Dados'!$F1942,"BRL ",1),".",",")),0),0),0)</f>
        <v>0</v>
      </c>
      <c r="AQ1942" s="28">
        <f ca="1">SUM('Banco de Dados'!$AM1942:$AP1942)</f>
        <v>0</v>
      </c>
      <c r="AR1942" s="8"/>
      <c r="AS1942" s="8"/>
      <c r="AT1942"/>
      <c r="AY1942" s="8"/>
    </row>
    <row r="1943" spans="1:51">
      <c r="A1943" s="5" t="str">
        <v>BV</v>
      </c>
      <c r="B1943" s="5" t="str">
        <f ca="1"/>
        <v>BV45853</v>
      </c>
      <c r="C1943" s="8" t="str">
        <v>Pedido 1929</v>
      </c>
      <c r="D1943" s="187">
        <v>45849</v>
      </c>
      <c r="E1943" s="9">
        <v>45853</v>
      </c>
      <c r="F1943" s="2" t="str">
        <v>PedidoF1814</v>
      </c>
      <c r="G1943" s="2" t="str">
        <v>CódRastreio1812</v>
      </c>
      <c r="H1943" s="5">
        <v>1</v>
      </c>
      <c r="I1943" s="182" t="str">
        <v>CPF 1885</v>
      </c>
      <c r="J1943" s="2" t="str">
        <v>Nome 1885</v>
      </c>
      <c r="K1943" s="8" t="str">
        <v>Tel 1885</v>
      </c>
      <c r="L1943" s="184" t="str">
        <v>Cep 1885</v>
      </c>
      <c r="M1943" s="8" t="str">
        <v>Rua 1885</v>
      </c>
      <c r="N1943" s="8" t="str">
        <v>Comp 1885</v>
      </c>
      <c r="O1943" s="8" t="str">
        <v>Bolsa térmica</v>
      </c>
      <c r="P1943" s="8" t="str">
        <v>6I-CK1S-8HYZ</v>
      </c>
      <c r="Q1943" s="4">
        <v>45864</v>
      </c>
      <c r="R1943" s="109">
        <v>28.5</v>
      </c>
      <c r="S1943" s="11">
        <f ca="1"/>
        <v>28.5</v>
      </c>
      <c r="T1943" s="28">
        <f ca="1"/>
        <v>3.42</v>
      </c>
      <c r="U1943" s="11">
        <f ca="1"/>
        <v>25.08</v>
      </c>
      <c r="V1943" s="11">
        <v>21.96</v>
      </c>
      <c r="W1943" s="11">
        <f ca="1"/>
        <v>0</v>
      </c>
      <c r="X1943" s="11">
        <f ca="1"/>
        <v>0.39877104377104378</v>
      </c>
      <c r="Y1943" s="11">
        <v>0</v>
      </c>
      <c r="Z1943" s="11">
        <f ca="1"/>
        <v>2.721228956228952</v>
      </c>
      <c r="AA1943" s="11">
        <f ca="1"/>
        <v>1.360614478114476</v>
      </c>
      <c r="AB1943" s="4">
        <f ca="1"/>
        <v>45871</v>
      </c>
      <c r="AC1943" s="4">
        <v>45871</v>
      </c>
      <c r="AD1943" s="9">
        <v>45887</v>
      </c>
      <c r="AE1943" s="9">
        <v>45888</v>
      </c>
      <c r="AF1943" s="4" t="str">
        <f t="shared" ca="1" si="143"/>
        <v>2025 08</v>
      </c>
      <c r="AG1943" s="8" t="str" cm="1">
        <f t="array" ref="AG1943">IFERROR(_xlfn.IFS('Banco de Dados'!#REF!="AG. COMPRA","Em processamento",'Banco de Dados'!#REF!="AG. RASTREIO","Em processamento",'Banco de Dados'!$AE1943&lt;&gt;"-","Faturado",'Banco de Dados'!$AD1943&lt;&gt;"-","Aguardando Pix",'Banco de Dados'!$AC1943&lt;&gt;"-","Pendente"),"Aguardando Liberação")</f>
        <v>Aguardando Liberação</v>
      </c>
      <c r="AH1943" s="5" t="str">
        <f>IF('Banco de Dados'!$F1943="-",_xlfn.CONCAT(PROPER(TEXT(AK1943,"aaaa"))," ",PROPER(TEXT(AK1943,"mm"))),_xlfn.CONCAT(PROPER(TEXT(E1943,"aaaa"))," ",PROPER(TEXT(E1943,"mm"))))</f>
        <v>2025 07</v>
      </c>
      <c r="AI1943" s="9" t="str">
        <f ca="1">IF('Banco de Dados'!$AK1943&lt;&gt;"-","REEMBOLSO",IFERROR(_xlfn.XLOOKUP(G1943,Follow[CODRASTREIO],Follow[STATUS]),"-"))</f>
        <v>ENTREGUE</v>
      </c>
      <c r="AJ1943" s="9">
        <f ca="1">IF('Banco de Dados'!$AI1943="ENTREGUE",_xlfn.XLOOKUP('Banco de Dados'!$G1943,Follow[CODRASTREIO],Follow[DATAATUALIZAÇÃO]),"-")</f>
        <v>45859</v>
      </c>
      <c r="AK1943" s="132" t="str">
        <f ca="1"/>
        <v>-</v>
      </c>
      <c r="AL1943" s="35"/>
      <c r="AM1943" s="109" cm="1">
        <f t="array" aca="1" ref="AM1943" ca="1">IF('Banco de Dados'!$AK1943&lt;&gt;"-",_xlfn.IFS('Banco de Dados'!$A1943="bv",IF('Banco de Dados'!$E1943&lt;45641,ROUND(SUM('Banco de Dados'!$R1943*_xlfn.XLOOKUP('Banco de Dados'!$P1943,Sku!B:B,Sku!#REF!)*20%),2),ROUND(SUM('Banco de Dados'!$R1943*_xlfn.XLOOKUP('Banco de Dados'!$P1943,Sku!B:B,Sku!H:H)*20%),2)),'Banco de Dados'!$A1943="GO",ROUND(_xlfn.XLOOKUP('Banco de Dados'!$P1943,Sku!C:C,Sku!H:H),2),'Banco de Dados'!$A1943="MEI",ROUND(_xlfn.XLOOKUP('Banco de Dados'!$P1943,Sku!D:D,Sku!H:H),2)),0)</f>
        <v>0</v>
      </c>
      <c r="AN1943" s="109">
        <v>0</v>
      </c>
      <c r="AO1943" s="109">
        <v>0</v>
      </c>
      <c r="AP1943" s="28">
        <f ca="1">IF('Banco de Dados'!$AK1943&lt;&gt;"-",IF('Banco de Dados'!$AL1943="NÃO",IFERROR(VALUE(SUBSTITUTE(_xlfn.TEXTAFTER('Banco de Dados'!$F1943,"BRL ",1),".",",")),0),0),0)</f>
        <v>0</v>
      </c>
      <c r="AQ1943" s="28">
        <f ca="1">SUM('Banco de Dados'!$AM1943:$AP1943)</f>
        <v>0</v>
      </c>
      <c r="AR1943" s="8"/>
      <c r="AS1943" s="8"/>
      <c r="AT1943"/>
      <c r="AY1943" s="8"/>
    </row>
    <row r="1944" spans="1:51">
      <c r="A1944" s="5" t="str">
        <v>BV</v>
      </c>
      <c r="B1944" s="5" t="str">
        <f ca="1"/>
        <v>BV45854</v>
      </c>
      <c r="C1944" s="8" t="str">
        <v>Pedido 1930</v>
      </c>
      <c r="D1944" s="187">
        <v>45849</v>
      </c>
      <c r="E1944" s="9">
        <v>45854</v>
      </c>
      <c r="F1944" s="2" t="str">
        <v>PedidoF1815</v>
      </c>
      <c r="G1944" s="2" t="str">
        <v>CódRastreio1813</v>
      </c>
      <c r="H1944" s="5">
        <v>1</v>
      </c>
      <c r="I1944" s="182" t="str">
        <v>CPF 1886</v>
      </c>
      <c r="J1944" s="2" t="str">
        <v>Nome 1886</v>
      </c>
      <c r="K1944" s="8" t="str">
        <v>Tel 1886</v>
      </c>
      <c r="L1944" s="8" t="str">
        <v>Cep 1886</v>
      </c>
      <c r="M1944" s="8" t="str">
        <v>Rua 1886</v>
      </c>
      <c r="N1944" s="8" t="str">
        <v>Comp 1886</v>
      </c>
      <c r="O1944" s="8" t="str">
        <v>Bolsa térmica</v>
      </c>
      <c r="P1944" s="8" t="str">
        <v>6I-CK1S-8HYZ</v>
      </c>
      <c r="Q1944" s="4">
        <v>45870</v>
      </c>
      <c r="R1944" s="109">
        <v>28.5</v>
      </c>
      <c r="S1944" s="11">
        <f ca="1"/>
        <v>28.5</v>
      </c>
      <c r="T1944" s="28">
        <f ca="1"/>
        <v>3.42</v>
      </c>
      <c r="U1944" s="11">
        <f ca="1"/>
        <v>25.08</v>
      </c>
      <c r="V1944" s="11">
        <v>24.57</v>
      </c>
      <c r="W1944" s="11">
        <f ca="1"/>
        <v>0</v>
      </c>
      <c r="X1944" s="11">
        <f ca="1"/>
        <v>0.39877104377104378</v>
      </c>
      <c r="Y1944" s="11">
        <v>0</v>
      </c>
      <c r="Z1944" s="11">
        <f ca="1"/>
        <v>0.11122895622895257</v>
      </c>
      <c r="AA1944" s="11">
        <f ca="1"/>
        <v>5.5614478114476285E-2</v>
      </c>
      <c r="AB1944" s="4">
        <f ca="1"/>
        <v>45877</v>
      </c>
      <c r="AC1944" s="4">
        <v>45877</v>
      </c>
      <c r="AD1944" s="9">
        <v>45887</v>
      </c>
      <c r="AE1944" s="9">
        <v>45888</v>
      </c>
      <c r="AF1944" s="4" t="str">
        <f t="shared" ca="1" si="143"/>
        <v>2025 08</v>
      </c>
      <c r="AG1944" s="8" t="str" cm="1">
        <f t="array" ref="AG1944">IFERROR(_xlfn.IFS('Banco de Dados'!#REF!="AG. COMPRA","Em processamento",'Banco de Dados'!#REF!="AG. RASTREIO","Em processamento",'Banco de Dados'!$AE1944&lt;&gt;"-","Faturado",'Banco de Dados'!$AD1944&lt;&gt;"-","Aguardando Pix",'Banco de Dados'!$AC1944&lt;&gt;"-","Pendente"),"Aguardando Liberação")</f>
        <v>Aguardando Liberação</v>
      </c>
      <c r="AH1944" s="5" t="str">
        <f>IF('Banco de Dados'!$F1944="-",_xlfn.CONCAT(PROPER(TEXT(AK1944,"aaaa"))," ",PROPER(TEXT(AK1944,"mm"))),_xlfn.CONCAT(PROPER(TEXT(E1944,"aaaa"))," ",PROPER(TEXT(E1944,"mm"))))</f>
        <v>2025 07</v>
      </c>
      <c r="AI1944" s="9" t="str">
        <f ca="1">IF('Banco de Dados'!$AK1944&lt;&gt;"-","REEMBOLSO",IFERROR(_xlfn.XLOOKUP(G1944,Follow[CODRASTREIO],Follow[STATUS]),"-"))</f>
        <v>ENTREGUE</v>
      </c>
      <c r="AJ1944" s="9">
        <f ca="1">IF('Banco de Dados'!$AI1944="ENTREGUE",_xlfn.XLOOKUP('Banco de Dados'!$G1944,Follow[CODRASTREIO],Follow[DATAATUALIZAÇÃO]),"-")</f>
        <v>45859</v>
      </c>
      <c r="AK1944" s="132" t="str">
        <f ca="1"/>
        <v>-</v>
      </c>
      <c r="AL1944" s="35"/>
      <c r="AM1944" s="109" cm="1">
        <f t="array" aca="1" ref="AM1944" ca="1">IF('Banco de Dados'!$AK1944&lt;&gt;"-",_xlfn.IFS('Banco de Dados'!$A1944="bv",IF('Banco de Dados'!$E1944&lt;45641,ROUND(SUM('Banco de Dados'!$R1944*_xlfn.XLOOKUP('Banco de Dados'!$P1944,Sku!B:B,Sku!#REF!)*20%),2),ROUND(SUM('Banco de Dados'!$R1944*_xlfn.XLOOKUP('Banco de Dados'!$P1944,Sku!B:B,Sku!H:H)*20%),2)),'Banco de Dados'!$A1944="GO",ROUND(_xlfn.XLOOKUP('Banco de Dados'!$P1944,Sku!C:C,Sku!H:H),2),'Banco de Dados'!$A1944="MEI",ROUND(_xlfn.XLOOKUP('Banco de Dados'!$P1944,Sku!D:D,Sku!H:H),2)),0)</f>
        <v>0</v>
      </c>
      <c r="AN1944" s="109">
        <v>0</v>
      </c>
      <c r="AO1944" s="109">
        <v>0</v>
      </c>
      <c r="AP1944" s="28">
        <f ca="1">IF('Banco de Dados'!$AK1944&lt;&gt;"-",IF('Banco de Dados'!$AL1944="NÃO",IFERROR(VALUE(SUBSTITUTE(_xlfn.TEXTAFTER('Banco de Dados'!$F1944,"BRL ",1),".",",")),0),0),0)</f>
        <v>0</v>
      </c>
      <c r="AQ1944" s="28">
        <f ca="1">SUM('Banco de Dados'!$AM1944:$AP1944)</f>
        <v>0</v>
      </c>
      <c r="AR1944" s="8"/>
      <c r="AS1944" s="8"/>
      <c r="AT1944"/>
      <c r="AY1944" s="8"/>
    </row>
    <row r="1945" spans="1:51">
      <c r="A1945" s="5" t="str">
        <v>BV</v>
      </c>
      <c r="B1945" s="5" t="str">
        <f ca="1"/>
        <v>BV45855</v>
      </c>
      <c r="C1945" s="8" t="str">
        <v>Pedido 1931</v>
      </c>
      <c r="D1945" s="187">
        <v>45849</v>
      </c>
      <c r="E1945" s="9">
        <v>45855</v>
      </c>
      <c r="F1945" s="2" t="str">
        <v>PedidoF1816</v>
      </c>
      <c r="G1945" s="2" t="str">
        <v>CódRastreio1814</v>
      </c>
      <c r="H1945" s="5">
        <v>1</v>
      </c>
      <c r="I1945" s="182" t="str">
        <v>CPF 1887</v>
      </c>
      <c r="J1945" s="2" t="str">
        <v>Nome 1887</v>
      </c>
      <c r="K1945" s="8" t="str">
        <v>Tel 1887</v>
      </c>
      <c r="L1945" s="8" t="str">
        <v>Cep 1887</v>
      </c>
      <c r="M1945" s="8" t="str">
        <v>Rua 1887</v>
      </c>
      <c r="N1945" s="8" t="str">
        <v>Comp 1887</v>
      </c>
      <c r="O1945" s="8" t="str">
        <v>Bolsa térmica</v>
      </c>
      <c r="P1945" s="8" t="str">
        <v>6I-CK1S-8HYZ</v>
      </c>
      <c r="Q1945" s="4">
        <v>45868</v>
      </c>
      <c r="R1945" s="109">
        <v>28.5</v>
      </c>
      <c r="S1945" s="11">
        <f ca="1"/>
        <v>28.5</v>
      </c>
      <c r="T1945" s="28">
        <f ca="1"/>
        <v>3.42</v>
      </c>
      <c r="U1945" s="11">
        <f ca="1"/>
        <v>25.08</v>
      </c>
      <c r="V1945" s="11">
        <v>22.58</v>
      </c>
      <c r="W1945" s="11">
        <f ca="1"/>
        <v>0</v>
      </c>
      <c r="X1945" s="11">
        <f ca="1"/>
        <v>0.39877104377104378</v>
      </c>
      <c r="Y1945" s="11">
        <v>0</v>
      </c>
      <c r="Z1945" s="11">
        <f ca="1"/>
        <v>2.1012289562289546</v>
      </c>
      <c r="AA1945" s="11">
        <f ca="1"/>
        <v>1.0506144781144773</v>
      </c>
      <c r="AB1945" s="4">
        <f ca="1"/>
        <v>45875</v>
      </c>
      <c r="AC1945" s="4">
        <v>45875</v>
      </c>
      <c r="AD1945" s="9">
        <v>45887</v>
      </c>
      <c r="AE1945" s="9">
        <v>45888</v>
      </c>
      <c r="AF1945" s="4" t="str">
        <f t="shared" ca="1" si="143"/>
        <v>2025 08</v>
      </c>
      <c r="AG1945" s="8" t="str" cm="1">
        <f t="array" ref="AG1945">IFERROR(_xlfn.IFS('Banco de Dados'!#REF!="AG. COMPRA","Em processamento",'Banco de Dados'!#REF!="AG. RASTREIO","Em processamento",'Banco de Dados'!$AE1945&lt;&gt;"-","Faturado",'Banco de Dados'!$AD1945&lt;&gt;"-","Aguardando Pix",'Banco de Dados'!$AC1945&lt;&gt;"-","Pendente"),"Aguardando Liberação")</f>
        <v>Aguardando Liberação</v>
      </c>
      <c r="AH1945" s="5" t="str">
        <f>IF('Banco de Dados'!$F1945="-",_xlfn.CONCAT(PROPER(TEXT(AK1945,"aaaa"))," ",PROPER(TEXT(AK1945,"mm"))),_xlfn.CONCAT(PROPER(TEXT(E1945,"aaaa"))," ",PROPER(TEXT(E1945,"mm"))))</f>
        <v>2025 07</v>
      </c>
      <c r="AI1945" s="9" t="str">
        <f ca="1">IF('Banco de Dados'!$AK1945&lt;&gt;"-","REEMBOLSO",IFERROR(_xlfn.XLOOKUP(G1945,Follow[CODRASTREIO],Follow[STATUS]),"-"))</f>
        <v>ENTREGUE</v>
      </c>
      <c r="AJ1945" s="9">
        <f ca="1">IF('Banco de Dados'!$AI1945="ENTREGUE",_xlfn.XLOOKUP('Banco de Dados'!$G1945,Follow[CODRASTREIO],Follow[DATAATUALIZAÇÃO]),"-")</f>
        <v>45860</v>
      </c>
      <c r="AK1945" s="132" t="str">
        <f ca="1"/>
        <v>-</v>
      </c>
      <c r="AL1945" s="35"/>
      <c r="AM1945" s="109" cm="1">
        <f t="array" aca="1" ref="AM1945" ca="1">IF('Banco de Dados'!$AK1945&lt;&gt;"-",_xlfn.IFS('Banco de Dados'!$A1945="bv",IF('Banco de Dados'!$E1945&lt;45641,ROUND(SUM('Banco de Dados'!$R1945*_xlfn.XLOOKUP('Banco de Dados'!$P1945,Sku!B:B,Sku!#REF!)*20%),2),ROUND(SUM('Banco de Dados'!$R1945*_xlfn.XLOOKUP('Banco de Dados'!$P1945,Sku!B:B,Sku!H:H)*20%),2)),'Banco de Dados'!$A1945="GO",ROUND(_xlfn.XLOOKUP('Banco de Dados'!$P1945,Sku!C:C,Sku!H:H),2),'Banco de Dados'!$A1945="MEI",ROUND(_xlfn.XLOOKUP('Banco de Dados'!$P1945,Sku!D:D,Sku!H:H),2)),0)</f>
        <v>0</v>
      </c>
      <c r="AN1945" s="109">
        <v>0</v>
      </c>
      <c r="AO1945" s="109">
        <v>0</v>
      </c>
      <c r="AP1945" s="28">
        <f ca="1">IF('Banco de Dados'!$AK1945&lt;&gt;"-",IF('Banco de Dados'!$AL1945="NÃO",IFERROR(VALUE(SUBSTITUTE(_xlfn.TEXTAFTER('Banco de Dados'!$F1945,"BRL ",1),".",",")),0),0),0)</f>
        <v>0</v>
      </c>
      <c r="AQ1945" s="28">
        <f ca="1">SUM('Banco de Dados'!$AM1945:$AP1945)</f>
        <v>0</v>
      </c>
      <c r="AR1945" s="8"/>
      <c r="AS1945" s="8"/>
      <c r="AT1945"/>
      <c r="AY1945" s="8"/>
    </row>
    <row r="1946" spans="1:51">
      <c r="A1946" s="5" t="str">
        <v>BV</v>
      </c>
      <c r="B1946" s="5" t="str">
        <f ca="1"/>
        <v>BV45855</v>
      </c>
      <c r="C1946" s="8" t="str">
        <v>Pedido 1932</v>
      </c>
      <c r="D1946" s="187">
        <v>45849</v>
      </c>
      <c r="E1946" s="9">
        <v>45855</v>
      </c>
      <c r="F1946" s="2" t="str">
        <v>PedidoF1817</v>
      </c>
      <c r="G1946" s="2" t="str">
        <v>CódRastreio1815</v>
      </c>
      <c r="H1946" s="5">
        <v>1</v>
      </c>
      <c r="I1946" s="182" t="str">
        <v>CPF 1888</v>
      </c>
      <c r="J1946" s="2" t="str">
        <v>Nome 1888</v>
      </c>
      <c r="K1946" s="8" t="str">
        <v>Tel 1888</v>
      </c>
      <c r="L1946" s="8" t="str">
        <v>Cep 1888</v>
      </c>
      <c r="M1946" s="8" t="str">
        <v>Rua 1888</v>
      </c>
      <c r="N1946" s="8" t="str">
        <v>Comp 1888</v>
      </c>
      <c r="O1946" s="8" t="str">
        <v>Bolsa térmica</v>
      </c>
      <c r="P1946" s="8" t="str">
        <v>6I-CK1S-8HYZ</v>
      </c>
      <c r="Q1946" s="4">
        <v>45864</v>
      </c>
      <c r="R1946" s="109">
        <v>28.5</v>
      </c>
      <c r="S1946" s="11">
        <f ca="1"/>
        <v>28.5</v>
      </c>
      <c r="T1946" s="28">
        <f ca="1"/>
        <v>3.42</v>
      </c>
      <c r="U1946" s="11">
        <f ca="1"/>
        <v>25.08</v>
      </c>
      <c r="V1946" s="11">
        <v>23.21</v>
      </c>
      <c r="W1946" s="11">
        <f ca="1"/>
        <v>0</v>
      </c>
      <c r="X1946" s="11">
        <f ca="1"/>
        <v>0.39877104377104378</v>
      </c>
      <c r="Y1946" s="11">
        <v>0</v>
      </c>
      <c r="Z1946" s="11">
        <f ca="1"/>
        <v>1.471228956228952</v>
      </c>
      <c r="AA1946" s="11">
        <f ca="1"/>
        <v>0.735614478114476</v>
      </c>
      <c r="AB1946" s="4">
        <f ca="1"/>
        <v>45871</v>
      </c>
      <c r="AC1946" s="4">
        <v>45871</v>
      </c>
      <c r="AD1946" s="9">
        <v>45887</v>
      </c>
      <c r="AE1946" s="9">
        <v>45888</v>
      </c>
      <c r="AF1946" s="4" t="str">
        <f t="shared" ca="1" si="143"/>
        <v>2025 08</v>
      </c>
      <c r="AG1946" s="8" t="str" cm="1">
        <f t="array" ref="AG1946">IFERROR(_xlfn.IFS('Banco de Dados'!#REF!="AG. COMPRA","Em processamento",'Banco de Dados'!#REF!="AG. RASTREIO","Em processamento",'Banco de Dados'!$AE1946&lt;&gt;"-","Faturado",'Banco de Dados'!$AD1946&lt;&gt;"-","Aguardando Pix",'Banco de Dados'!$AC1946&lt;&gt;"-","Pendente"),"Aguardando Liberação")</f>
        <v>Aguardando Liberação</v>
      </c>
      <c r="AH1946" s="5" t="str">
        <f>IF('Banco de Dados'!$F1946="-",_xlfn.CONCAT(PROPER(TEXT(AK1946,"aaaa"))," ",PROPER(TEXT(AK1946,"mm"))),_xlfn.CONCAT(PROPER(TEXT(E1946,"aaaa"))," ",PROPER(TEXT(E1946,"mm"))))</f>
        <v>2025 07</v>
      </c>
      <c r="AI1946" s="9" t="str">
        <f ca="1">IF('Banco de Dados'!$AK1946&lt;&gt;"-","REEMBOLSO",IFERROR(_xlfn.XLOOKUP(G1946,Follow[CODRASTREIO],Follow[STATUS]),"-"))</f>
        <v>ENTREGUE</v>
      </c>
      <c r="AJ1946" s="9">
        <f ca="1">IF('Banco de Dados'!$AI1946="ENTREGUE",_xlfn.XLOOKUP('Banco de Dados'!$G1946,Follow[CODRASTREIO],Follow[DATAATUALIZAÇÃO]),"-")</f>
        <v>45859</v>
      </c>
      <c r="AK1946" s="132" t="str">
        <f ca="1"/>
        <v>-</v>
      </c>
      <c r="AL1946" s="35"/>
      <c r="AM1946" s="109" cm="1">
        <f t="array" aca="1" ref="AM1946" ca="1">IF('Banco de Dados'!$AK1946&lt;&gt;"-",_xlfn.IFS('Banco de Dados'!$A1946="bv",IF('Banco de Dados'!$E1946&lt;45641,ROUND(SUM('Banco de Dados'!$R1946*_xlfn.XLOOKUP('Banco de Dados'!$P1946,Sku!B:B,Sku!#REF!)*20%),2),ROUND(SUM('Banco de Dados'!$R1946*_xlfn.XLOOKUP('Banco de Dados'!$P1946,Sku!B:B,Sku!H:H)*20%),2)),'Banco de Dados'!$A1946="GO",ROUND(_xlfn.XLOOKUP('Banco de Dados'!$P1946,Sku!C:C,Sku!H:H),2),'Banco de Dados'!$A1946="MEI",ROUND(_xlfn.XLOOKUP('Banco de Dados'!$P1946,Sku!D:D,Sku!H:H),2)),0)</f>
        <v>0</v>
      </c>
      <c r="AN1946" s="109">
        <v>0</v>
      </c>
      <c r="AO1946" s="109">
        <v>0</v>
      </c>
      <c r="AP1946" s="28">
        <f ca="1">IF('Banco de Dados'!$AK1946&lt;&gt;"-",IF('Banco de Dados'!$AL1946="NÃO",IFERROR(VALUE(SUBSTITUTE(_xlfn.TEXTAFTER('Banco de Dados'!$F1946,"BRL ",1),".",",")),0),0),0)</f>
        <v>0</v>
      </c>
      <c r="AQ1946" s="28">
        <f ca="1">SUM('Banco de Dados'!$AM1946:$AP1946)</f>
        <v>0</v>
      </c>
      <c r="AR1946" s="8"/>
      <c r="AS1946" s="8"/>
      <c r="AT1946"/>
      <c r="AY1946" s="8"/>
    </row>
    <row r="1947" spans="1:51">
      <c r="A1947" s="5" t="str">
        <v>BV</v>
      </c>
      <c r="B1947" s="5" t="str">
        <f ca="1"/>
        <v>BV45855</v>
      </c>
      <c r="C1947" s="8" t="str">
        <v>Pedido 1933</v>
      </c>
      <c r="D1947" s="187">
        <v>45849</v>
      </c>
      <c r="E1947" s="9">
        <v>45855</v>
      </c>
      <c r="F1947" s="2" t="str">
        <v>PedidoF1818</v>
      </c>
      <c r="G1947" s="2" t="str">
        <v>CódRastreio1816</v>
      </c>
      <c r="H1947" s="5">
        <v>1</v>
      </c>
      <c r="I1947" s="182" t="str">
        <v>CPF 1889</v>
      </c>
      <c r="J1947" s="2" t="str">
        <v>Nome 1889</v>
      </c>
      <c r="K1947" s="8" t="str">
        <v>Tel 1889</v>
      </c>
      <c r="L1947" s="8" t="str">
        <v>Cep 1889</v>
      </c>
      <c r="M1947" s="8" t="str">
        <v>Rua 1889</v>
      </c>
      <c r="N1947" s="8" t="str">
        <v>Comp 1889</v>
      </c>
      <c r="O1947" s="8" t="str">
        <v>Bolsa térmica</v>
      </c>
      <c r="P1947" s="8" t="str">
        <v>6I-CK1S-8HYZ</v>
      </c>
      <c r="Q1947" s="4">
        <v>45864</v>
      </c>
      <c r="R1947" s="109">
        <v>28.5</v>
      </c>
      <c r="S1947" s="11">
        <f ca="1"/>
        <v>28.5</v>
      </c>
      <c r="T1947" s="28">
        <f ca="1"/>
        <v>3.42</v>
      </c>
      <c r="U1947" s="11">
        <f ca="1"/>
        <v>25.08</v>
      </c>
      <c r="V1947" s="11">
        <v>23.49</v>
      </c>
      <c r="W1947" s="11">
        <f ca="1"/>
        <v>0</v>
      </c>
      <c r="X1947" s="11">
        <f ca="1"/>
        <v>0.39877104377104378</v>
      </c>
      <c r="Y1947" s="11">
        <v>0</v>
      </c>
      <c r="Z1947" s="11">
        <f ca="1"/>
        <v>1.1912289562289544</v>
      </c>
      <c r="AA1947" s="11">
        <f ca="1"/>
        <v>0.59561447811447721</v>
      </c>
      <c r="AB1947" s="4">
        <f ca="1"/>
        <v>45871</v>
      </c>
      <c r="AC1947" s="4">
        <v>45871</v>
      </c>
      <c r="AD1947" s="9">
        <v>45887</v>
      </c>
      <c r="AE1947" s="9">
        <v>45888</v>
      </c>
      <c r="AF1947" s="4" t="str">
        <f t="shared" ca="1" si="143"/>
        <v>2025 08</v>
      </c>
      <c r="AG1947" s="8" t="str" cm="1">
        <f t="array" ref="AG1947">IFERROR(_xlfn.IFS('Banco de Dados'!#REF!="AG. COMPRA","Em processamento",'Banco de Dados'!#REF!="AG. RASTREIO","Em processamento",'Banco de Dados'!$AE1947&lt;&gt;"-","Faturado",'Banco de Dados'!$AD1947&lt;&gt;"-","Aguardando Pix",'Banco de Dados'!$AC1947&lt;&gt;"-","Pendente"),"Aguardando Liberação")</f>
        <v>Aguardando Liberação</v>
      </c>
      <c r="AH1947" s="5" t="str">
        <f>IF('Banco de Dados'!$F1947="-",_xlfn.CONCAT(PROPER(TEXT(AK1947,"aaaa"))," ",PROPER(TEXT(AK1947,"mm"))),_xlfn.CONCAT(PROPER(TEXT(E1947,"aaaa"))," ",PROPER(TEXT(E1947,"mm"))))</f>
        <v>2025 07</v>
      </c>
      <c r="AI1947" s="9" t="str">
        <f ca="1">IF('Banco de Dados'!$AK1947&lt;&gt;"-","REEMBOLSO",IFERROR(_xlfn.XLOOKUP(G1947,Follow[CODRASTREIO],Follow[STATUS]),"-"))</f>
        <v>ENTREGUE</v>
      </c>
      <c r="AJ1947" s="9">
        <f ca="1">IF('Banco de Dados'!$AI1947="ENTREGUE",_xlfn.XLOOKUP('Banco de Dados'!$G1947,Follow[CODRASTREIO],Follow[DATAATUALIZAÇÃO]),"-")</f>
        <v>45859</v>
      </c>
      <c r="AK1947" s="132" t="str">
        <f ca="1"/>
        <v>-</v>
      </c>
      <c r="AL1947" s="35"/>
      <c r="AM1947" s="109" cm="1">
        <f t="array" aca="1" ref="AM1947" ca="1">IF('Banco de Dados'!$AK1947&lt;&gt;"-",_xlfn.IFS('Banco de Dados'!$A1947="bv",IF('Banco de Dados'!$E1947&lt;45641,ROUND(SUM('Banco de Dados'!$R1947*_xlfn.XLOOKUP('Banco de Dados'!$P1947,Sku!B:B,Sku!#REF!)*20%),2),ROUND(SUM('Banco de Dados'!$R1947*_xlfn.XLOOKUP('Banco de Dados'!$P1947,Sku!B:B,Sku!H:H)*20%),2)),'Banco de Dados'!$A1947="GO",ROUND(_xlfn.XLOOKUP('Banco de Dados'!$P1947,Sku!C:C,Sku!H:H),2),'Banco de Dados'!$A1947="MEI",ROUND(_xlfn.XLOOKUP('Banco de Dados'!$P1947,Sku!D:D,Sku!H:H),2)),0)</f>
        <v>0</v>
      </c>
      <c r="AN1947" s="109">
        <v>0</v>
      </c>
      <c r="AO1947" s="109">
        <v>0</v>
      </c>
      <c r="AP1947" s="28">
        <f ca="1">IF('Banco de Dados'!$AK1947&lt;&gt;"-",IF('Banco de Dados'!$AL1947="NÃO",IFERROR(VALUE(SUBSTITUTE(_xlfn.TEXTAFTER('Banco de Dados'!$F1947,"BRL ",1),".",",")),0),0),0)</f>
        <v>0</v>
      </c>
      <c r="AQ1947" s="28">
        <f ca="1">SUM('Banco de Dados'!$AM1947:$AP1947)</f>
        <v>0</v>
      </c>
      <c r="AR1947" s="8"/>
      <c r="AS1947" s="8"/>
      <c r="AT1947"/>
      <c r="AY1947" s="8"/>
    </row>
    <row r="1948" spans="1:51">
      <c r="A1948" s="5" t="str">
        <v>GO</v>
      </c>
      <c r="B1948" s="5" t="str">
        <f ca="1"/>
        <v>GO45854</v>
      </c>
      <c r="C1948" s="8" t="str">
        <v>Pedido 1934</v>
      </c>
      <c r="D1948" s="187">
        <v>45849</v>
      </c>
      <c r="E1948" s="9">
        <v>45854</v>
      </c>
      <c r="F1948" s="2" t="str">
        <v>PedidoF1819</v>
      </c>
      <c r="G1948" s="2" t="str">
        <v>CódRastreio1817</v>
      </c>
      <c r="H1948" s="5">
        <v>1</v>
      </c>
      <c r="I1948" s="182" t="str">
        <v>CPF 1890</v>
      </c>
      <c r="J1948" s="2" t="str">
        <v>Nome 1890</v>
      </c>
      <c r="K1948" s="8" t="str">
        <v>Tel 1890</v>
      </c>
      <c r="L1948" s="8" t="str">
        <v>Cep 1890</v>
      </c>
      <c r="M1948" s="8" t="str">
        <v>Rua 1890</v>
      </c>
      <c r="N1948" s="8" t="str">
        <v>Comp 1890</v>
      </c>
      <c r="O1948" s="8" t="str">
        <v>Brinquedo Bola Giratória voadora</v>
      </c>
      <c r="P1948" s="8" t="str">
        <v>EL-YKJD-0WWL</v>
      </c>
      <c r="Q1948" s="4">
        <v>45875</v>
      </c>
      <c r="R1948" s="109">
        <v>54.99</v>
      </c>
      <c r="S1948" s="11">
        <f ca="1"/>
        <v>0</v>
      </c>
      <c r="T1948" s="28">
        <f ca="1"/>
        <v>0</v>
      </c>
      <c r="U1948" s="11">
        <f ca="1"/>
        <v>0</v>
      </c>
      <c r="V1948" s="11">
        <v>0</v>
      </c>
      <c r="W1948" s="11">
        <f ca="1"/>
        <v>0</v>
      </c>
      <c r="X1948" s="11">
        <f ca="1"/>
        <v>0.39877104377104378</v>
      </c>
      <c r="Y1948" s="11">
        <v>0</v>
      </c>
      <c r="Z1948" s="11">
        <f ca="1"/>
        <v>-0.39877104377104378</v>
      </c>
      <c r="AA1948" s="11">
        <f ca="1"/>
        <v>-0.39877104377104378</v>
      </c>
      <c r="AB1948" s="4">
        <f ca="1"/>
        <v>45882</v>
      </c>
      <c r="AC1948" s="4">
        <v>45882</v>
      </c>
      <c r="AD1948" s="9">
        <v>45887</v>
      </c>
      <c r="AE1948" s="9">
        <v>45888</v>
      </c>
      <c r="AF1948" s="4" t="str">
        <f t="shared" ca="1" si="143"/>
        <v>2025 08</v>
      </c>
      <c r="AG1948" s="8" t="str" cm="1">
        <f t="array" ref="AG1948">IFERROR(_xlfn.IFS('Banco de Dados'!#REF!="AG. COMPRA","Em processamento",'Banco de Dados'!#REF!="AG. RASTREIO","Em processamento",'Banco de Dados'!$AE1948&lt;&gt;"-","Faturado",'Banco de Dados'!$AD1948&lt;&gt;"-","Aguardando Pix",'Banco de Dados'!$AC1948&lt;&gt;"-","Pendente"),"Aguardando Liberação")</f>
        <v>Aguardando Liberação</v>
      </c>
      <c r="AH1948" s="5" t="str">
        <f>IF('Banco de Dados'!$F1948="-",_xlfn.CONCAT(PROPER(TEXT(AK1948,"aaaa"))," ",PROPER(TEXT(AK1948,"mm"))),_xlfn.CONCAT(PROPER(TEXT(E1948,"aaaa"))," ",PROPER(TEXT(E1948,"mm"))))</f>
        <v>2025 07</v>
      </c>
      <c r="AI1948" s="9" t="str">
        <f ca="1">IF('Banco de Dados'!$AK1948&lt;&gt;"-","REEMBOLSO",IFERROR(_xlfn.XLOOKUP(G1948,Follow[CODRASTREIO],Follow[STATUS]),"-"))</f>
        <v>REEMBOLSO</v>
      </c>
      <c r="AJ1948" s="9" t="str">
        <f ca="1">IF('Banco de Dados'!$AI1948="ENTREGUE",_xlfn.XLOOKUP('Banco de Dados'!$G1948,Follow[CODRASTREIO],Follow[DATAATUALIZAÇÃO]),"-")</f>
        <v>-</v>
      </c>
      <c r="AK1948" s="132">
        <f ca="1"/>
        <v>45856</v>
      </c>
      <c r="AL1948" s="35"/>
      <c r="AM1948" s="109">
        <v>0</v>
      </c>
      <c r="AN1948" s="109">
        <v>0</v>
      </c>
      <c r="AO1948" s="109">
        <v>0</v>
      </c>
      <c r="AP1948" s="28">
        <v>45.29</v>
      </c>
      <c r="AQ1948" s="28">
        <f>SUM('Banco de Dados'!$AM1948:$AP1948)</f>
        <v>45.29</v>
      </c>
      <c r="AR1948" s="8"/>
      <c r="AS1948" s="8"/>
      <c r="AT1948"/>
      <c r="AY1948" s="8"/>
    </row>
    <row r="1949" spans="1:51">
      <c r="A1949" s="5" t="str">
        <v>BV</v>
      </c>
      <c r="B1949" s="5" t="str">
        <f ca="1"/>
        <v>BV45855</v>
      </c>
      <c r="C1949" s="8" t="str">
        <v>Pedido 1935</v>
      </c>
      <c r="D1949" s="187">
        <v>45850</v>
      </c>
      <c r="E1949" s="9">
        <v>45855</v>
      </c>
      <c r="F1949" s="2" t="str">
        <v>PedidoF1820</v>
      </c>
      <c r="G1949" s="2" t="str">
        <v>CódRastreio1818</v>
      </c>
      <c r="H1949" s="5">
        <v>1</v>
      </c>
      <c r="I1949" s="182" t="str">
        <v>CPF 1891</v>
      </c>
      <c r="J1949" s="2" t="str">
        <v>Nome 1891</v>
      </c>
      <c r="K1949" s="8" t="str">
        <v>Tel 1891</v>
      </c>
      <c r="L1949" s="8" t="str">
        <v>Cep 1891</v>
      </c>
      <c r="M1949" s="8" t="str">
        <v>Rua 1891</v>
      </c>
      <c r="N1949" s="8" t="str">
        <v>Comp 1891</v>
      </c>
      <c r="O1949" s="8" t="str">
        <v>Bolsa térmica</v>
      </c>
      <c r="P1949" s="8" t="str">
        <v>6I-CK1S-8HYZ</v>
      </c>
      <c r="Q1949" s="4">
        <v>45864</v>
      </c>
      <c r="R1949" s="109">
        <v>28.5</v>
      </c>
      <c r="S1949" s="11">
        <f ca="1"/>
        <v>28.5</v>
      </c>
      <c r="T1949" s="28">
        <f ca="1"/>
        <v>3.42</v>
      </c>
      <c r="U1949" s="11">
        <f ca="1"/>
        <v>25.08</v>
      </c>
      <c r="V1949" s="11">
        <v>22.58</v>
      </c>
      <c r="W1949" s="11">
        <f ca="1"/>
        <v>0</v>
      </c>
      <c r="X1949" s="11">
        <f ca="1"/>
        <v>0.39877104377104378</v>
      </c>
      <c r="Y1949" s="11">
        <v>0</v>
      </c>
      <c r="Z1949" s="11">
        <f ca="1"/>
        <v>2.1012289562289546</v>
      </c>
      <c r="AA1949" s="11">
        <f ca="1"/>
        <v>1.0506144781144773</v>
      </c>
      <c r="AB1949" s="4">
        <f ca="1"/>
        <v>45871</v>
      </c>
      <c r="AC1949" s="4">
        <v>45871</v>
      </c>
      <c r="AD1949" s="9">
        <v>45887</v>
      </c>
      <c r="AE1949" s="9">
        <v>45888</v>
      </c>
      <c r="AF1949" s="4" t="str">
        <f t="shared" ref="AF1949:AF1979" ca="1" si="144">_xlfn.CONCAT(PROPER(TEXT(AB1949,"aaaa"))," ",PROPER(TEXT(AB1949,"mm")))</f>
        <v>2025 08</v>
      </c>
      <c r="AG1949" s="8" t="str" cm="1">
        <f t="array" ref="AG1949">IFERROR(_xlfn.IFS('Banco de Dados'!#REF!="AG. COMPRA","Em processamento",'Banco de Dados'!#REF!="AG. RASTREIO","Em processamento",'Banco de Dados'!$AE1949&lt;&gt;"-","Faturado",'Banco de Dados'!$AD1949&lt;&gt;"-","Aguardando Pix",'Banco de Dados'!$AC1949&lt;&gt;"-","Pendente"),"Aguardando Liberação")</f>
        <v>Aguardando Liberação</v>
      </c>
      <c r="AH1949" s="5" t="str">
        <f>IF('Banco de Dados'!$F1949="-",_xlfn.CONCAT(PROPER(TEXT(AK1949,"aaaa"))," ",PROPER(TEXT(AK1949,"mm"))),_xlfn.CONCAT(PROPER(TEXT(E1949,"aaaa"))," ",PROPER(TEXT(E1949,"mm"))))</f>
        <v>2025 07</v>
      </c>
      <c r="AI1949" s="9" t="str">
        <f ca="1">IF('Banco de Dados'!$AK1949&lt;&gt;"-","REEMBOLSO",IFERROR(_xlfn.XLOOKUP(G1949,Follow[CODRASTREIO],Follow[STATUS]),"-"))</f>
        <v>ENTREGUE</v>
      </c>
      <c r="AJ1949" s="9">
        <f ca="1">IF('Banco de Dados'!$AI1949="ENTREGUE",_xlfn.XLOOKUP('Banco de Dados'!$G1949,Follow[CODRASTREIO],Follow[DATAATUALIZAÇÃO]),"-")</f>
        <v>45859</v>
      </c>
      <c r="AK1949" s="132" t="str">
        <f ca="1"/>
        <v>-</v>
      </c>
      <c r="AL1949" s="35"/>
      <c r="AM1949" s="109" cm="1">
        <f t="array" aca="1" ref="AM1949" ca="1">IF('Banco de Dados'!$AK1949&lt;&gt;"-",_xlfn.IFS('Banco de Dados'!$A1949="bv",IF('Banco de Dados'!$E1949&lt;45641,ROUND(SUM('Banco de Dados'!$R1949*_xlfn.XLOOKUP('Banco de Dados'!$P1949,Sku!B:B,Sku!#REF!)*20%),2),ROUND(SUM('Banco de Dados'!$R1949*_xlfn.XLOOKUP('Banco de Dados'!$P1949,Sku!B:B,Sku!H:H)*20%),2)),'Banco de Dados'!$A1949="GO",ROUND(_xlfn.XLOOKUP('Banco de Dados'!$P1949,Sku!C:C,Sku!H:H),2),'Banco de Dados'!$A1949="MEI",ROUND(_xlfn.XLOOKUP('Banco de Dados'!$P1949,Sku!D:D,Sku!H:H),2)),0)</f>
        <v>0</v>
      </c>
      <c r="AN1949" s="109">
        <v>0</v>
      </c>
      <c r="AO1949" s="109">
        <v>0</v>
      </c>
      <c r="AP1949" s="28">
        <f ca="1">IF('Banco de Dados'!$AK1949&lt;&gt;"-",IF('Banco de Dados'!$AL1949="NÃO",IFERROR(VALUE(SUBSTITUTE(_xlfn.TEXTAFTER('Banco de Dados'!$F1949,"BRL ",1),".",",")),0),0),0)</f>
        <v>0</v>
      </c>
      <c r="AQ1949" s="28">
        <f ca="1">SUM('Banco de Dados'!$AM1949:$AP1949)</f>
        <v>0</v>
      </c>
      <c r="AR1949" s="8"/>
      <c r="AS1949" s="8"/>
      <c r="AT1949"/>
      <c r="AY1949" s="8"/>
    </row>
    <row r="1950" spans="1:51">
      <c r="A1950" s="5" t="str">
        <v>BV</v>
      </c>
      <c r="B1950" s="5" t="str">
        <f ca="1"/>
        <v>BV45855</v>
      </c>
      <c r="C1950" s="8" t="str">
        <v>Pedido 1936</v>
      </c>
      <c r="D1950" s="187">
        <v>45850</v>
      </c>
      <c r="E1950" s="9">
        <v>45855</v>
      </c>
      <c r="F1950" s="2" t="str">
        <v>PedidoF1821</v>
      </c>
      <c r="G1950" s="2" t="str">
        <v>CódRastreio1819</v>
      </c>
      <c r="H1950" s="5">
        <v>1</v>
      </c>
      <c r="I1950" s="182" t="str">
        <v>CPF 1892</v>
      </c>
      <c r="J1950" s="2" t="str">
        <v>Nome 1892</v>
      </c>
      <c r="K1950" s="8" t="str">
        <v>Tel 1892</v>
      </c>
      <c r="L1950" s="8" t="str">
        <v>Cep 1892</v>
      </c>
      <c r="M1950" s="8" t="str">
        <v>Rua 1892</v>
      </c>
      <c r="N1950" s="8" t="str">
        <v>Comp 1892</v>
      </c>
      <c r="O1950" s="8" t="str">
        <v>Bolsa térmica</v>
      </c>
      <c r="P1950" s="8" t="str">
        <v>6I-CK1S-8HYZ</v>
      </c>
      <c r="Q1950" s="4">
        <v>45868</v>
      </c>
      <c r="R1950" s="109">
        <v>28.5</v>
      </c>
      <c r="S1950" s="11">
        <f ca="1"/>
        <v>28.5</v>
      </c>
      <c r="T1950" s="28">
        <f ca="1"/>
        <v>3.42</v>
      </c>
      <c r="U1950" s="11">
        <f ca="1"/>
        <v>25.08</v>
      </c>
      <c r="V1950" s="11">
        <v>22.58</v>
      </c>
      <c r="W1950" s="11">
        <f ca="1"/>
        <v>0</v>
      </c>
      <c r="X1950" s="11">
        <f ca="1"/>
        <v>0.39877104377104378</v>
      </c>
      <c r="Y1950" s="11">
        <v>0</v>
      </c>
      <c r="Z1950" s="11">
        <f ca="1"/>
        <v>2.1012289562289546</v>
      </c>
      <c r="AA1950" s="11">
        <f ca="1"/>
        <v>1.0506144781144773</v>
      </c>
      <c r="AB1950" s="4">
        <f ca="1"/>
        <v>45875</v>
      </c>
      <c r="AC1950" s="4">
        <v>45875</v>
      </c>
      <c r="AD1950" s="9">
        <v>45887</v>
      </c>
      <c r="AE1950" s="9">
        <v>45888</v>
      </c>
      <c r="AF1950" s="4" t="str">
        <f t="shared" ca="1" si="144"/>
        <v>2025 08</v>
      </c>
      <c r="AG1950" s="8" t="str" cm="1">
        <f t="array" ref="AG1950">IFERROR(_xlfn.IFS('Banco de Dados'!#REF!="AG. COMPRA","Em processamento",'Banco de Dados'!#REF!="AG. RASTREIO","Em processamento",'Banco de Dados'!$AE1950&lt;&gt;"-","Faturado",'Banco de Dados'!$AD1950&lt;&gt;"-","Aguardando Pix",'Banco de Dados'!$AC1950&lt;&gt;"-","Pendente"),"Aguardando Liberação")</f>
        <v>Aguardando Liberação</v>
      </c>
      <c r="AH1950" s="5" t="str">
        <f>IF('Banco de Dados'!$F1950="-",_xlfn.CONCAT(PROPER(TEXT(AK1950,"aaaa"))," ",PROPER(TEXT(AK1950,"mm"))),_xlfn.CONCAT(PROPER(TEXT(E1950,"aaaa"))," ",PROPER(TEXT(E1950,"mm"))))</f>
        <v>2025 07</v>
      </c>
      <c r="AI1950" s="9" t="str">
        <f ca="1">IF('Banco de Dados'!$AK1950&lt;&gt;"-","REEMBOLSO",IFERROR(_xlfn.XLOOKUP(G1950,Follow[CODRASTREIO],Follow[STATUS]),"-"))</f>
        <v>ENTREGUE</v>
      </c>
      <c r="AJ1950" s="9">
        <f ca="1">IF('Banco de Dados'!$AI1950="ENTREGUE",_xlfn.XLOOKUP('Banco de Dados'!$G1950,Follow[CODRASTREIO],Follow[DATAATUALIZAÇÃO]),"-")</f>
        <v>45860</v>
      </c>
      <c r="AK1950" s="132" t="str">
        <f ca="1"/>
        <v>-</v>
      </c>
      <c r="AL1950" s="35"/>
      <c r="AM1950" s="109" cm="1">
        <f t="array" aca="1" ref="AM1950" ca="1">IF('Banco de Dados'!$AK1950&lt;&gt;"-",_xlfn.IFS('Banco de Dados'!$A1950="bv",IF('Banco de Dados'!$E1950&lt;45641,ROUND(SUM('Banco de Dados'!$R1950*_xlfn.XLOOKUP('Banco de Dados'!$P1950,Sku!B:B,Sku!#REF!)*20%),2),ROUND(SUM('Banco de Dados'!$R1950*_xlfn.XLOOKUP('Banco de Dados'!$P1950,Sku!B:B,Sku!H:H)*20%),2)),'Banco de Dados'!$A1950="GO",ROUND(_xlfn.XLOOKUP('Banco de Dados'!$P1950,Sku!C:C,Sku!H:H),2),'Banco de Dados'!$A1950="MEI",ROUND(_xlfn.XLOOKUP('Banco de Dados'!$P1950,Sku!D:D,Sku!H:H),2)),0)</f>
        <v>0</v>
      </c>
      <c r="AN1950" s="109">
        <v>0</v>
      </c>
      <c r="AO1950" s="109">
        <v>0</v>
      </c>
      <c r="AP1950" s="28">
        <f ca="1">IF('Banco de Dados'!$AK1950&lt;&gt;"-",IF('Banco de Dados'!$AL1950="NÃO",IFERROR(VALUE(SUBSTITUTE(_xlfn.TEXTAFTER('Banco de Dados'!$F1950,"BRL ",1),".",",")),0),0),0)</f>
        <v>0</v>
      </c>
      <c r="AQ1950" s="28">
        <f ca="1">SUM('Banco de Dados'!$AM1950:$AP1950)</f>
        <v>0</v>
      </c>
      <c r="AR1950" s="8"/>
      <c r="AS1950" s="8"/>
      <c r="AT1950"/>
      <c r="AY1950" s="8"/>
    </row>
    <row r="1951" spans="1:51">
      <c r="A1951" s="5" t="str">
        <v>BV</v>
      </c>
      <c r="B1951" s="5" t="str">
        <f ca="1"/>
        <v>BV45855</v>
      </c>
      <c r="C1951" s="8" t="str">
        <v>Pedido 1937</v>
      </c>
      <c r="D1951" s="187">
        <v>45850</v>
      </c>
      <c r="E1951" s="9">
        <v>45855</v>
      </c>
      <c r="F1951" s="2" t="str">
        <v>PedidoF1822</v>
      </c>
      <c r="G1951" s="2" t="str">
        <v>CódRastreio1820</v>
      </c>
      <c r="H1951" s="5">
        <v>1</v>
      </c>
      <c r="I1951" s="182" t="str">
        <v>CPF 1893</v>
      </c>
      <c r="J1951" s="2" t="str">
        <v>Nome 1893</v>
      </c>
      <c r="K1951" s="8" t="str">
        <v>Tel 1893</v>
      </c>
      <c r="L1951" s="8" t="str">
        <v>Cep 1893</v>
      </c>
      <c r="M1951" s="8" t="str">
        <v>Rua 1893</v>
      </c>
      <c r="N1951" s="8" t="str">
        <v>Comp 1893</v>
      </c>
      <c r="O1951" s="8" t="str">
        <v>Bolsa térmica</v>
      </c>
      <c r="P1951" s="8" t="str">
        <v>6I-CK1S-8HYZ</v>
      </c>
      <c r="Q1951" s="4">
        <v>45870</v>
      </c>
      <c r="R1951" s="109">
        <v>28.5</v>
      </c>
      <c r="S1951" s="11">
        <f ca="1"/>
        <v>28.5</v>
      </c>
      <c r="T1951" s="28">
        <f ca="1"/>
        <v>3.42</v>
      </c>
      <c r="U1951" s="11">
        <f ca="1"/>
        <v>25.08</v>
      </c>
      <c r="V1951" s="11">
        <v>22.58</v>
      </c>
      <c r="W1951" s="11">
        <f ca="1"/>
        <v>0</v>
      </c>
      <c r="X1951" s="11">
        <f ca="1"/>
        <v>0.39877104377104378</v>
      </c>
      <c r="Y1951" s="11">
        <v>0</v>
      </c>
      <c r="Z1951" s="11">
        <f ca="1"/>
        <v>2.1012289562289546</v>
      </c>
      <c r="AA1951" s="11">
        <f ca="1"/>
        <v>1.0506144781144773</v>
      </c>
      <c r="AB1951" s="4">
        <f ca="1"/>
        <v>45877</v>
      </c>
      <c r="AC1951" s="4">
        <v>45877</v>
      </c>
      <c r="AD1951" s="9">
        <v>45887</v>
      </c>
      <c r="AE1951" s="9">
        <v>45888</v>
      </c>
      <c r="AF1951" s="4" t="str">
        <f t="shared" ca="1" si="144"/>
        <v>2025 08</v>
      </c>
      <c r="AG1951" s="8" t="str" cm="1">
        <f t="array" ref="AG1951">IFERROR(_xlfn.IFS('Banco de Dados'!#REF!="AG. COMPRA","Em processamento",'Banco de Dados'!#REF!="AG. RASTREIO","Em processamento",'Banco de Dados'!$AE1951&lt;&gt;"-","Faturado",'Banco de Dados'!$AD1951&lt;&gt;"-","Aguardando Pix",'Banco de Dados'!$AC1951&lt;&gt;"-","Pendente"),"Aguardando Liberação")</f>
        <v>Aguardando Liberação</v>
      </c>
      <c r="AH1951" s="5" t="str">
        <f>IF('Banco de Dados'!$F1951="-",_xlfn.CONCAT(PROPER(TEXT(AK1951,"aaaa"))," ",PROPER(TEXT(AK1951,"mm"))),_xlfn.CONCAT(PROPER(TEXT(E1951,"aaaa"))," ",PROPER(TEXT(E1951,"mm"))))</f>
        <v>2025 07</v>
      </c>
      <c r="AI1951" s="9" t="str">
        <f ca="1">IF('Banco de Dados'!$AK1951&lt;&gt;"-","REEMBOLSO",IFERROR(_xlfn.XLOOKUP(G1951,Follow[CODRASTREIO],Follow[STATUS]),"-"))</f>
        <v>ENTREGUE</v>
      </c>
      <c r="AJ1951" s="9">
        <f ca="1">IF('Banco de Dados'!$AI1951="ENTREGUE",_xlfn.XLOOKUP('Banco de Dados'!$G1951,Follow[CODRASTREIO],Follow[DATAATUALIZAÇÃO]),"-")</f>
        <v>45860</v>
      </c>
      <c r="AK1951" s="132" t="str">
        <f ca="1"/>
        <v>-</v>
      </c>
      <c r="AL1951" s="35"/>
      <c r="AM1951" s="109" cm="1">
        <f t="array" aca="1" ref="AM1951" ca="1">IF('Banco de Dados'!$AK1951&lt;&gt;"-",_xlfn.IFS('Banco de Dados'!$A1951="bv",IF('Banco de Dados'!$E1951&lt;45641,ROUND(SUM('Banco de Dados'!$R1951*_xlfn.XLOOKUP('Banco de Dados'!$P1951,Sku!B:B,Sku!#REF!)*20%),2),ROUND(SUM('Banco de Dados'!$R1951*_xlfn.XLOOKUP('Banco de Dados'!$P1951,Sku!B:B,Sku!H:H)*20%),2)),'Banco de Dados'!$A1951="GO",ROUND(_xlfn.XLOOKUP('Banco de Dados'!$P1951,Sku!C:C,Sku!H:H),2),'Banco de Dados'!$A1951="MEI",ROUND(_xlfn.XLOOKUP('Banco de Dados'!$P1951,Sku!D:D,Sku!H:H),2)),0)</f>
        <v>0</v>
      </c>
      <c r="AN1951" s="109">
        <v>0</v>
      </c>
      <c r="AO1951" s="109">
        <v>0</v>
      </c>
      <c r="AP1951" s="28">
        <f ca="1">IF('Banco de Dados'!$AK1951&lt;&gt;"-",IF('Banco de Dados'!$AL1951="NÃO",IFERROR(VALUE(SUBSTITUTE(_xlfn.TEXTAFTER('Banco de Dados'!$F1951,"BRL ",1),".",",")),0),0),0)</f>
        <v>0</v>
      </c>
      <c r="AQ1951" s="28">
        <f ca="1">SUM('Banco de Dados'!$AM1951:$AP1951)</f>
        <v>0</v>
      </c>
      <c r="AR1951" s="8"/>
      <c r="AS1951" s="8"/>
      <c r="AT1951"/>
      <c r="AY1951" s="8"/>
    </row>
    <row r="1952" spans="1:51">
      <c r="A1952" s="5" t="str">
        <v>BV</v>
      </c>
      <c r="B1952" s="5" t="str">
        <f ca="1"/>
        <v>BV45855</v>
      </c>
      <c r="C1952" s="8" t="str">
        <v>Pedido 1938</v>
      </c>
      <c r="D1952" s="187">
        <v>45850</v>
      </c>
      <c r="E1952" s="9">
        <v>45855</v>
      </c>
      <c r="F1952" s="2" t="str">
        <v>PedidoF1823</v>
      </c>
      <c r="G1952" s="2" t="str">
        <v>CódRastreio1821</v>
      </c>
      <c r="H1952" s="5">
        <v>1</v>
      </c>
      <c r="I1952" s="182" t="str">
        <v>CPF 1894</v>
      </c>
      <c r="J1952" s="2" t="str">
        <v>Nome 1894</v>
      </c>
      <c r="K1952" s="8" t="str">
        <v>Tel 1894</v>
      </c>
      <c r="L1952" s="8" t="str">
        <v>Cep 1894</v>
      </c>
      <c r="M1952" s="8" t="str">
        <v>Rua 1894</v>
      </c>
      <c r="N1952" s="8" t="str">
        <v>Comp 1894</v>
      </c>
      <c r="O1952" s="8" t="str">
        <v>Bolsa térmica</v>
      </c>
      <c r="P1952" s="8" t="str">
        <v>6I-CK1S-8HYZ</v>
      </c>
      <c r="Q1952" s="4">
        <v>45864</v>
      </c>
      <c r="R1952" s="109">
        <v>28.5</v>
      </c>
      <c r="S1952" s="11">
        <f ca="1"/>
        <v>28.5</v>
      </c>
      <c r="T1952" s="28">
        <f ca="1"/>
        <v>3.42</v>
      </c>
      <c r="U1952" s="11">
        <f ca="1"/>
        <v>25.08</v>
      </c>
      <c r="V1952" s="11">
        <v>22.58</v>
      </c>
      <c r="W1952" s="11">
        <f ca="1"/>
        <v>0</v>
      </c>
      <c r="X1952" s="11">
        <f ca="1"/>
        <v>0.39877104377104378</v>
      </c>
      <c r="Y1952" s="11">
        <v>0</v>
      </c>
      <c r="Z1952" s="11">
        <f ca="1"/>
        <v>2.1012289562289546</v>
      </c>
      <c r="AA1952" s="11">
        <f ca="1"/>
        <v>1.0506144781144773</v>
      </c>
      <c r="AB1952" s="4">
        <f ca="1"/>
        <v>45871</v>
      </c>
      <c r="AC1952" s="4">
        <v>45871</v>
      </c>
      <c r="AD1952" s="9">
        <v>45887</v>
      </c>
      <c r="AE1952" s="9">
        <v>45888</v>
      </c>
      <c r="AF1952" s="4" t="str">
        <f t="shared" ca="1" si="144"/>
        <v>2025 08</v>
      </c>
      <c r="AG1952" s="8" t="str" cm="1">
        <f t="array" ref="AG1952">IFERROR(_xlfn.IFS('Banco de Dados'!#REF!="AG. COMPRA","Em processamento",'Banco de Dados'!#REF!="AG. RASTREIO","Em processamento",'Banco de Dados'!$AE1952&lt;&gt;"-","Faturado",'Banco de Dados'!$AD1952&lt;&gt;"-","Aguardando Pix",'Banco de Dados'!$AC1952&lt;&gt;"-","Pendente"),"Aguardando Liberação")</f>
        <v>Aguardando Liberação</v>
      </c>
      <c r="AH1952" s="5" t="str">
        <f>IF('Banco de Dados'!$F1952="-",_xlfn.CONCAT(PROPER(TEXT(AK1952,"aaaa"))," ",PROPER(TEXT(AK1952,"mm"))),_xlfn.CONCAT(PROPER(TEXT(E1952,"aaaa"))," ",PROPER(TEXT(E1952,"mm"))))</f>
        <v>2025 07</v>
      </c>
      <c r="AI1952" s="9" t="str">
        <f ca="1">IF('Banco de Dados'!$AK1952&lt;&gt;"-","REEMBOLSO",IFERROR(_xlfn.XLOOKUP(G1952,Follow[CODRASTREIO],Follow[STATUS]),"-"))</f>
        <v>ENTREGUE</v>
      </c>
      <c r="AJ1952" s="9">
        <f ca="1">IF('Banco de Dados'!$AI1952="ENTREGUE",_xlfn.XLOOKUP('Banco de Dados'!$G1952,Follow[CODRASTREIO],Follow[DATAATUALIZAÇÃO]),"-")</f>
        <v>45859</v>
      </c>
      <c r="AK1952" s="132" t="str">
        <f ca="1"/>
        <v>-</v>
      </c>
      <c r="AL1952" s="35"/>
      <c r="AM1952" s="109" cm="1">
        <f t="array" aca="1" ref="AM1952" ca="1">IF('Banco de Dados'!$AK1952&lt;&gt;"-",_xlfn.IFS('Banco de Dados'!$A1952="bv",IF('Banco de Dados'!$E1952&lt;45641,ROUND(SUM('Banco de Dados'!$R1952*_xlfn.XLOOKUP('Banco de Dados'!$P1952,Sku!B:B,Sku!#REF!)*20%),2),ROUND(SUM('Banco de Dados'!$R1952*_xlfn.XLOOKUP('Banco de Dados'!$P1952,Sku!B:B,Sku!H:H)*20%),2)),'Banco de Dados'!$A1952="GO",ROUND(_xlfn.XLOOKUP('Banco de Dados'!$P1952,Sku!C:C,Sku!H:H),2),'Banco de Dados'!$A1952="MEI",ROUND(_xlfn.XLOOKUP('Banco de Dados'!$P1952,Sku!D:D,Sku!H:H),2)),0)</f>
        <v>0</v>
      </c>
      <c r="AN1952" s="109">
        <v>0</v>
      </c>
      <c r="AO1952" s="109">
        <v>0</v>
      </c>
      <c r="AP1952" s="28">
        <f ca="1">IF('Banco de Dados'!$AK1952&lt;&gt;"-",IF('Banco de Dados'!$AL1952="NÃO",IFERROR(VALUE(SUBSTITUTE(_xlfn.TEXTAFTER('Banco de Dados'!$F1952,"BRL ",1),".",",")),0),0),0)</f>
        <v>0</v>
      </c>
      <c r="AQ1952" s="28">
        <f ca="1">SUM('Banco de Dados'!$AM1952:$AP1952)</f>
        <v>0</v>
      </c>
      <c r="AR1952" s="8"/>
      <c r="AS1952" s="8"/>
      <c r="AT1952"/>
      <c r="AY1952" s="8"/>
    </row>
    <row r="1953" spans="1:51">
      <c r="A1953" s="5" t="str">
        <v>BV</v>
      </c>
      <c r="B1953" s="5" t="str">
        <f ca="1"/>
        <v>BV45855</v>
      </c>
      <c r="C1953" s="8" t="str">
        <v>Pedido 1939</v>
      </c>
      <c r="D1953" s="187">
        <v>45850</v>
      </c>
      <c r="E1953" s="9">
        <v>45855</v>
      </c>
      <c r="F1953" s="2" t="str">
        <v>PedidoF1824</v>
      </c>
      <c r="G1953" s="2" t="str">
        <v>CódRastreio1822</v>
      </c>
      <c r="H1953" s="5">
        <v>1</v>
      </c>
      <c r="I1953" s="182" t="str">
        <v>CPF 1895</v>
      </c>
      <c r="J1953" s="2" t="str">
        <v>Nome 1895</v>
      </c>
      <c r="K1953" s="8" t="str">
        <v>Tel 1895</v>
      </c>
      <c r="L1953" s="8" t="str">
        <v>Cep 1895</v>
      </c>
      <c r="M1953" s="8" t="str">
        <v>Rua 1895</v>
      </c>
      <c r="N1953" s="8" t="str">
        <v>Comp 1895</v>
      </c>
      <c r="O1953" s="8" t="str">
        <v>Bolsa térmica</v>
      </c>
      <c r="P1953" s="8" t="str">
        <v>6I-CK1S-8HYZ</v>
      </c>
      <c r="Q1953" s="4">
        <v>45864</v>
      </c>
      <c r="R1953" s="109">
        <v>28.5</v>
      </c>
      <c r="S1953" s="11">
        <f ca="1"/>
        <v>28.5</v>
      </c>
      <c r="T1953" s="28">
        <f ca="1"/>
        <v>3.42</v>
      </c>
      <c r="U1953" s="11">
        <f ca="1"/>
        <v>25.08</v>
      </c>
      <c r="V1953" s="11">
        <v>22.58</v>
      </c>
      <c r="W1953" s="11">
        <f ca="1"/>
        <v>0</v>
      </c>
      <c r="X1953" s="11">
        <f ca="1"/>
        <v>0.39877104377104378</v>
      </c>
      <c r="Y1953" s="11">
        <v>0</v>
      </c>
      <c r="Z1953" s="11">
        <f ca="1"/>
        <v>2.1012289562289546</v>
      </c>
      <c r="AA1953" s="11">
        <f ca="1"/>
        <v>1.0506144781144773</v>
      </c>
      <c r="AB1953" s="4">
        <f ca="1"/>
        <v>45871</v>
      </c>
      <c r="AC1953" s="4">
        <v>45871</v>
      </c>
      <c r="AD1953" s="9">
        <v>45887</v>
      </c>
      <c r="AE1953" s="9">
        <v>45888</v>
      </c>
      <c r="AF1953" s="4" t="str">
        <f t="shared" ca="1" si="144"/>
        <v>2025 08</v>
      </c>
      <c r="AG1953" s="8" t="str" cm="1">
        <f t="array" ref="AG1953">IFERROR(_xlfn.IFS('Banco de Dados'!#REF!="AG. COMPRA","Em processamento",'Banco de Dados'!#REF!="AG. RASTREIO","Em processamento",'Banco de Dados'!$AE1953&lt;&gt;"-","Faturado",'Banco de Dados'!$AD1953&lt;&gt;"-","Aguardando Pix",'Banco de Dados'!$AC1953&lt;&gt;"-","Pendente"),"Aguardando Liberação")</f>
        <v>Aguardando Liberação</v>
      </c>
      <c r="AH1953" s="5" t="str">
        <f>IF('Banco de Dados'!$F1953="-",_xlfn.CONCAT(PROPER(TEXT(AK1953,"aaaa"))," ",PROPER(TEXT(AK1953,"mm"))),_xlfn.CONCAT(PROPER(TEXT(E1953,"aaaa"))," ",PROPER(TEXT(E1953,"mm"))))</f>
        <v>2025 07</v>
      </c>
      <c r="AI1953" s="9" t="str">
        <f ca="1">IF('Banco de Dados'!$AK1953&lt;&gt;"-","REEMBOLSO",IFERROR(_xlfn.XLOOKUP(G1953,Follow[CODRASTREIO],Follow[STATUS]),"-"))</f>
        <v>ENTREGUE</v>
      </c>
      <c r="AJ1953" s="9">
        <f ca="1">IF('Banco de Dados'!$AI1953="ENTREGUE",_xlfn.XLOOKUP('Banco de Dados'!$G1953,Follow[CODRASTREIO],Follow[DATAATUALIZAÇÃO]),"-")</f>
        <v>45859</v>
      </c>
      <c r="AK1953" s="132" t="str">
        <f ca="1"/>
        <v>-</v>
      </c>
      <c r="AL1953" s="35"/>
      <c r="AM1953" s="109" cm="1">
        <f t="array" aca="1" ref="AM1953" ca="1">IF('Banco de Dados'!$AK1953&lt;&gt;"-",_xlfn.IFS('Banco de Dados'!$A1953="bv",IF('Banco de Dados'!$E1953&lt;45641,ROUND(SUM('Banco de Dados'!$R1953*_xlfn.XLOOKUP('Banco de Dados'!$P1953,Sku!B:B,Sku!#REF!)*20%),2),ROUND(SUM('Banco de Dados'!$R1953*_xlfn.XLOOKUP('Banco de Dados'!$P1953,Sku!B:B,Sku!H:H)*20%),2)),'Banco de Dados'!$A1953="GO",ROUND(_xlfn.XLOOKUP('Banco de Dados'!$P1953,Sku!C:C,Sku!H:H),2),'Banco de Dados'!$A1953="MEI",ROUND(_xlfn.XLOOKUP('Banco de Dados'!$P1953,Sku!D:D,Sku!H:H),2)),0)</f>
        <v>0</v>
      </c>
      <c r="AN1953" s="109">
        <v>0</v>
      </c>
      <c r="AO1953" s="109">
        <v>0</v>
      </c>
      <c r="AP1953" s="28">
        <f ca="1">IF('Banco de Dados'!$AK1953&lt;&gt;"-",IF('Banco de Dados'!$AL1953="NÃO",IFERROR(VALUE(SUBSTITUTE(_xlfn.TEXTAFTER('Banco de Dados'!$F1953,"BRL ",1),".",",")),0),0),0)</f>
        <v>0</v>
      </c>
      <c r="AQ1953" s="28">
        <f ca="1">SUM('Banco de Dados'!$AM1953:$AP1953)</f>
        <v>0</v>
      </c>
      <c r="AR1953" s="8"/>
      <c r="AS1953" s="8"/>
      <c r="AT1953"/>
      <c r="AY1953" s="8"/>
    </row>
    <row r="1954" spans="1:51">
      <c r="A1954" s="5" t="str">
        <v>BV</v>
      </c>
      <c r="B1954" s="5" t="str">
        <f ca="1"/>
        <v>BV45855</v>
      </c>
      <c r="C1954" s="8" t="str">
        <v>Pedido 1940</v>
      </c>
      <c r="D1954" s="187">
        <v>45850</v>
      </c>
      <c r="E1954" s="9">
        <v>45855</v>
      </c>
      <c r="F1954" s="2" t="str">
        <v>PedidoF1825</v>
      </c>
      <c r="G1954" s="2" t="str">
        <v>CódRastreio1823</v>
      </c>
      <c r="H1954" s="5">
        <v>1</v>
      </c>
      <c r="I1954" s="182" t="str">
        <v>CPF 1896</v>
      </c>
      <c r="J1954" s="2" t="str">
        <v>Nome 1896</v>
      </c>
      <c r="K1954" s="8" t="str">
        <v>Tel 1896</v>
      </c>
      <c r="L1954" s="8" t="str">
        <v>Cep 1896</v>
      </c>
      <c r="M1954" s="8" t="str">
        <v>Rua 1896</v>
      </c>
      <c r="N1954" s="8" t="str">
        <v>Comp 1896</v>
      </c>
      <c r="O1954" s="8" t="str">
        <v>Bolsa térmica</v>
      </c>
      <c r="P1954" s="8" t="str">
        <v>6I-CK1S-8HYZ</v>
      </c>
      <c r="Q1954" s="4">
        <v>45864</v>
      </c>
      <c r="R1954" s="109">
        <v>28.5</v>
      </c>
      <c r="S1954" s="11">
        <f ca="1"/>
        <v>28.5</v>
      </c>
      <c r="T1954" s="28">
        <f ca="1"/>
        <v>3.42</v>
      </c>
      <c r="U1954" s="11">
        <f ca="1"/>
        <v>25.08</v>
      </c>
      <c r="V1954" s="11">
        <v>23.21</v>
      </c>
      <c r="W1954" s="11">
        <f ca="1"/>
        <v>0</v>
      </c>
      <c r="X1954" s="11">
        <f ca="1"/>
        <v>0.39877104377104378</v>
      </c>
      <c r="Y1954" s="11">
        <v>0</v>
      </c>
      <c r="Z1954" s="11">
        <f ca="1"/>
        <v>1.471228956228952</v>
      </c>
      <c r="AA1954" s="11">
        <f ca="1"/>
        <v>0.735614478114476</v>
      </c>
      <c r="AB1954" s="4">
        <f ca="1"/>
        <v>45871</v>
      </c>
      <c r="AC1954" s="4">
        <v>45871</v>
      </c>
      <c r="AD1954" s="9">
        <v>45887</v>
      </c>
      <c r="AE1954" s="9">
        <v>45888</v>
      </c>
      <c r="AF1954" s="4" t="str">
        <f t="shared" ca="1" si="144"/>
        <v>2025 08</v>
      </c>
      <c r="AG1954" s="8" t="str" cm="1">
        <f t="array" ref="AG1954">IFERROR(_xlfn.IFS('Banco de Dados'!#REF!="AG. COMPRA","Em processamento",'Banco de Dados'!#REF!="AG. RASTREIO","Em processamento",'Banco de Dados'!$AE1954&lt;&gt;"-","Faturado",'Banco de Dados'!$AD1954&lt;&gt;"-","Aguardando Pix",'Banco de Dados'!$AC1954&lt;&gt;"-","Pendente"),"Aguardando Liberação")</f>
        <v>Aguardando Liberação</v>
      </c>
      <c r="AH1954" s="5" t="str">
        <f>IF('Banco de Dados'!$F1954="-",_xlfn.CONCAT(PROPER(TEXT(AK1954,"aaaa"))," ",PROPER(TEXT(AK1954,"mm"))),_xlfn.CONCAT(PROPER(TEXT(E1954,"aaaa"))," ",PROPER(TEXT(E1954,"mm"))))</f>
        <v>2025 07</v>
      </c>
      <c r="AI1954" s="9" t="str">
        <f ca="1">IF('Banco de Dados'!$AK1954&lt;&gt;"-","REEMBOLSO",IFERROR(_xlfn.XLOOKUP(G1954,Follow[CODRASTREIO],Follow[STATUS]),"-"))</f>
        <v>ENTREGUE</v>
      </c>
      <c r="AJ1954" s="9">
        <f ca="1">IF('Banco de Dados'!$AI1954="ENTREGUE",_xlfn.XLOOKUP('Banco de Dados'!$G1954,Follow[CODRASTREIO],Follow[DATAATUALIZAÇÃO]),"-")</f>
        <v>45859</v>
      </c>
      <c r="AK1954" s="132" t="str">
        <f ca="1"/>
        <v>-</v>
      </c>
      <c r="AL1954" s="35"/>
      <c r="AM1954" s="109" cm="1">
        <f t="array" aca="1" ref="AM1954" ca="1">IF('Banco de Dados'!$AK1954&lt;&gt;"-",_xlfn.IFS('Banco de Dados'!$A1954="bv",IF('Banco de Dados'!$E1954&lt;45641,ROUND(SUM('Banco de Dados'!$R1954*_xlfn.XLOOKUP('Banco de Dados'!$P1954,Sku!B:B,Sku!#REF!)*20%),2),ROUND(SUM('Banco de Dados'!$R1954*_xlfn.XLOOKUP('Banco de Dados'!$P1954,Sku!B:B,Sku!H:H)*20%),2)),'Banco de Dados'!$A1954="GO",ROUND(_xlfn.XLOOKUP('Banco de Dados'!$P1954,Sku!C:C,Sku!H:H),2),'Banco de Dados'!$A1954="MEI",ROUND(_xlfn.XLOOKUP('Banco de Dados'!$P1954,Sku!D:D,Sku!H:H),2)),0)</f>
        <v>0</v>
      </c>
      <c r="AN1954" s="109">
        <v>0</v>
      </c>
      <c r="AO1954" s="109">
        <v>0</v>
      </c>
      <c r="AP1954" s="28">
        <f ca="1">IF('Banco de Dados'!$AK1954&lt;&gt;"-",IF('Banco de Dados'!$AL1954="NÃO",IFERROR(VALUE(SUBSTITUTE(_xlfn.TEXTAFTER('Banco de Dados'!$F1954,"BRL ",1),".",",")),0),0),0)</f>
        <v>0</v>
      </c>
      <c r="AQ1954" s="28">
        <f ca="1">SUM('Banco de Dados'!$AM1954:$AP1954)</f>
        <v>0</v>
      </c>
      <c r="AR1954" s="8"/>
      <c r="AS1954" s="8"/>
      <c r="AT1954"/>
      <c r="AY1954" s="8"/>
    </row>
    <row r="1955" spans="1:51">
      <c r="A1955" s="5" t="str">
        <v>BV</v>
      </c>
      <c r="B1955" s="5" t="str">
        <f ca="1"/>
        <v>BV45855</v>
      </c>
      <c r="C1955" s="8" t="str">
        <v>Pedido 1941</v>
      </c>
      <c r="D1955" s="187">
        <v>45850</v>
      </c>
      <c r="E1955" s="9">
        <v>45855</v>
      </c>
      <c r="F1955" s="2" t="str">
        <v>PedidoF1826</v>
      </c>
      <c r="G1955" s="2" t="str">
        <v>CódRastreio1824</v>
      </c>
      <c r="H1955" s="5">
        <v>1</v>
      </c>
      <c r="I1955" s="182" t="str">
        <v>CPF 1897</v>
      </c>
      <c r="J1955" s="2" t="str">
        <v>Nome 1897</v>
      </c>
      <c r="K1955" s="8" t="str">
        <v>Tel 1897</v>
      </c>
      <c r="L1955" s="8" t="str">
        <v>Cep 1897</v>
      </c>
      <c r="M1955" s="8" t="str">
        <v>Rua 1897</v>
      </c>
      <c r="N1955" s="8" t="str">
        <v>Comp 1897</v>
      </c>
      <c r="O1955" s="8" t="str">
        <v>Bolsa térmica</v>
      </c>
      <c r="P1955" s="8" t="str">
        <v>6I-CK1S-8HYZ</v>
      </c>
      <c r="Q1955" s="4">
        <v>45864</v>
      </c>
      <c r="R1955" s="109">
        <v>28.5</v>
      </c>
      <c r="S1955" s="11">
        <f ca="1"/>
        <v>28.5</v>
      </c>
      <c r="T1955" s="28">
        <f ca="1"/>
        <v>3.42</v>
      </c>
      <c r="U1955" s="11">
        <f ca="1"/>
        <v>25.08</v>
      </c>
      <c r="V1955" s="11">
        <v>22.58</v>
      </c>
      <c r="W1955" s="11">
        <f ca="1"/>
        <v>0</v>
      </c>
      <c r="X1955" s="11">
        <f ca="1"/>
        <v>0.39877104377104378</v>
      </c>
      <c r="Y1955" s="11">
        <v>0</v>
      </c>
      <c r="Z1955" s="11">
        <f ca="1"/>
        <v>2.1012289562289546</v>
      </c>
      <c r="AA1955" s="11">
        <f ca="1"/>
        <v>1.0506144781144773</v>
      </c>
      <c r="AB1955" s="4">
        <f ca="1"/>
        <v>45871</v>
      </c>
      <c r="AC1955" s="4">
        <v>45871</v>
      </c>
      <c r="AD1955" s="9">
        <v>45887</v>
      </c>
      <c r="AE1955" s="9">
        <v>45888</v>
      </c>
      <c r="AF1955" s="4" t="str">
        <f t="shared" ca="1" si="144"/>
        <v>2025 08</v>
      </c>
      <c r="AG1955" s="8" t="str" cm="1">
        <f t="array" ref="AG1955">IFERROR(_xlfn.IFS('Banco de Dados'!#REF!="AG. COMPRA","Em processamento",'Banco de Dados'!#REF!="AG. RASTREIO","Em processamento",'Banco de Dados'!$AE1955&lt;&gt;"-","Faturado",'Banco de Dados'!$AD1955&lt;&gt;"-","Aguardando Pix",'Banco de Dados'!$AC1955&lt;&gt;"-","Pendente"),"Aguardando Liberação")</f>
        <v>Aguardando Liberação</v>
      </c>
      <c r="AH1955" s="5" t="str">
        <f>IF('Banco de Dados'!$F1955="-",_xlfn.CONCAT(PROPER(TEXT(AK1955,"aaaa"))," ",PROPER(TEXT(AK1955,"mm"))),_xlfn.CONCAT(PROPER(TEXT(E1955,"aaaa"))," ",PROPER(TEXT(E1955,"mm"))))</f>
        <v>2025 07</v>
      </c>
      <c r="AI1955" s="9" t="str">
        <f ca="1">IF('Banco de Dados'!$AK1955&lt;&gt;"-","REEMBOLSO",IFERROR(_xlfn.XLOOKUP(G1955,Follow[CODRASTREIO],Follow[STATUS]),"-"))</f>
        <v>ENTREGUE</v>
      </c>
      <c r="AJ1955" s="9">
        <f ca="1">IF('Banco de Dados'!$AI1955="ENTREGUE",_xlfn.XLOOKUP('Banco de Dados'!$G1955,Follow[CODRASTREIO],Follow[DATAATUALIZAÇÃO]),"-")</f>
        <v>45858</v>
      </c>
      <c r="AK1955" s="132" t="str">
        <f ca="1"/>
        <v>-</v>
      </c>
      <c r="AL1955" s="35"/>
      <c r="AM1955" s="109" cm="1">
        <f t="array" aca="1" ref="AM1955" ca="1">IF('Banco de Dados'!$AK1955&lt;&gt;"-",_xlfn.IFS('Banco de Dados'!$A1955="bv",IF('Banco de Dados'!$E1955&lt;45641,ROUND(SUM('Banco de Dados'!$R1955*_xlfn.XLOOKUP('Banco de Dados'!$P1955,Sku!B:B,Sku!#REF!)*20%),2),ROUND(SUM('Banco de Dados'!$R1955*_xlfn.XLOOKUP('Banco de Dados'!$P1955,Sku!B:B,Sku!H:H)*20%),2)),'Banco de Dados'!$A1955="GO",ROUND(_xlfn.XLOOKUP('Banco de Dados'!$P1955,Sku!C:C,Sku!H:H),2),'Banco de Dados'!$A1955="MEI",ROUND(_xlfn.XLOOKUP('Banco de Dados'!$P1955,Sku!D:D,Sku!H:H),2)),0)</f>
        <v>0</v>
      </c>
      <c r="AN1955" s="109">
        <v>0</v>
      </c>
      <c r="AO1955" s="109">
        <v>0</v>
      </c>
      <c r="AP1955" s="28">
        <f ca="1">IF('Banco de Dados'!$AK1955&lt;&gt;"-",IF('Banco de Dados'!$AL1955="NÃO",IFERROR(VALUE(SUBSTITUTE(_xlfn.TEXTAFTER('Banco de Dados'!$F1955,"BRL ",1),".",",")),0),0),0)</f>
        <v>0</v>
      </c>
      <c r="AQ1955" s="28">
        <f ca="1">SUM('Banco de Dados'!$AM1955:$AP1955)</f>
        <v>0</v>
      </c>
      <c r="AR1955" s="8"/>
      <c r="AS1955" s="8"/>
      <c r="AT1955"/>
      <c r="AY1955" s="8"/>
    </row>
    <row r="1956" spans="1:51">
      <c r="A1956" s="5" t="str">
        <v>BV</v>
      </c>
      <c r="B1956" s="5" t="str">
        <f ca="1"/>
        <v>BV45855</v>
      </c>
      <c r="C1956" s="8" t="str">
        <v>Pedido 1942</v>
      </c>
      <c r="D1956" s="187">
        <v>45850</v>
      </c>
      <c r="E1956" s="9">
        <v>45855</v>
      </c>
      <c r="F1956" s="2" t="str">
        <v>PedidoF1827</v>
      </c>
      <c r="G1956" s="2" t="str">
        <v>CódRastreio1825</v>
      </c>
      <c r="H1956" s="5">
        <v>1</v>
      </c>
      <c r="I1956" s="182" t="str">
        <v>CPF 1898</v>
      </c>
      <c r="J1956" s="2" t="str">
        <v>Nome 1898</v>
      </c>
      <c r="K1956" s="8" t="str">
        <v>Tel 1898</v>
      </c>
      <c r="L1956" s="8" t="str">
        <v>Cep 1898</v>
      </c>
      <c r="M1956" s="8" t="str">
        <v>Rua 1898</v>
      </c>
      <c r="N1956" s="8" t="str">
        <v>Comp 1898</v>
      </c>
      <c r="O1956" s="8" t="str">
        <v>Bolsa térmica</v>
      </c>
      <c r="P1956" s="8" t="str">
        <v>6I-CK1S-8HYZ</v>
      </c>
      <c r="Q1956" s="4">
        <v>45870</v>
      </c>
      <c r="R1956" s="109">
        <v>28.5</v>
      </c>
      <c r="S1956" s="11">
        <f ca="1"/>
        <v>28.5</v>
      </c>
      <c r="T1956" s="28">
        <f ca="1"/>
        <v>3.42</v>
      </c>
      <c r="U1956" s="11">
        <f ca="1"/>
        <v>25.08</v>
      </c>
      <c r="V1956" s="11">
        <v>23.49</v>
      </c>
      <c r="W1956" s="11">
        <f ca="1"/>
        <v>0</v>
      </c>
      <c r="X1956" s="11">
        <f ca="1"/>
        <v>0.39877104377104378</v>
      </c>
      <c r="Y1956" s="11">
        <v>0</v>
      </c>
      <c r="Z1956" s="11">
        <f ca="1"/>
        <v>1.1912289562289544</v>
      </c>
      <c r="AA1956" s="11">
        <f ca="1"/>
        <v>0.59561447811447721</v>
      </c>
      <c r="AB1956" s="4">
        <f ca="1"/>
        <v>45877</v>
      </c>
      <c r="AC1956" s="4">
        <v>45877</v>
      </c>
      <c r="AD1956" s="9">
        <v>45887</v>
      </c>
      <c r="AE1956" s="9">
        <v>45888</v>
      </c>
      <c r="AF1956" s="4" t="str">
        <f t="shared" ca="1" si="144"/>
        <v>2025 08</v>
      </c>
      <c r="AG1956" s="8" t="str" cm="1">
        <f t="array" ref="AG1956">IFERROR(_xlfn.IFS('Banco de Dados'!#REF!="AG. COMPRA","Em processamento",'Banco de Dados'!#REF!="AG. RASTREIO","Em processamento",'Banco de Dados'!$AE1956&lt;&gt;"-","Faturado",'Banco de Dados'!$AD1956&lt;&gt;"-","Aguardando Pix",'Banco de Dados'!$AC1956&lt;&gt;"-","Pendente"),"Aguardando Liberação")</f>
        <v>Aguardando Liberação</v>
      </c>
      <c r="AH1956" s="5" t="str">
        <f>IF('Banco de Dados'!$F1956="-",_xlfn.CONCAT(PROPER(TEXT(AK1956,"aaaa"))," ",PROPER(TEXT(AK1956,"mm"))),_xlfn.CONCAT(PROPER(TEXT(E1956,"aaaa"))," ",PROPER(TEXT(E1956,"mm"))))</f>
        <v>2025 07</v>
      </c>
      <c r="AI1956" s="9" t="str">
        <f ca="1">IF('Banco de Dados'!$AK1956&lt;&gt;"-","REEMBOLSO",IFERROR(_xlfn.XLOOKUP(G1956,Follow[CODRASTREIO],Follow[STATUS]),"-"))</f>
        <v>ENTREGUE</v>
      </c>
      <c r="AJ1956" s="9">
        <f ca="1">IF('Banco de Dados'!$AI1956="ENTREGUE",_xlfn.XLOOKUP('Banco de Dados'!$G1956,Follow[CODRASTREIO],Follow[DATAATUALIZAÇÃO]),"-")</f>
        <v>45860</v>
      </c>
      <c r="AK1956" s="132" t="str">
        <f ca="1"/>
        <v>-</v>
      </c>
      <c r="AL1956" s="35"/>
      <c r="AM1956" s="109" cm="1">
        <f t="array" aca="1" ref="AM1956" ca="1">IF('Banco de Dados'!$AK1956&lt;&gt;"-",_xlfn.IFS('Banco de Dados'!$A1956="bv",IF('Banco de Dados'!$E1956&lt;45641,ROUND(SUM('Banco de Dados'!$R1956*_xlfn.XLOOKUP('Banco de Dados'!$P1956,Sku!B:B,Sku!#REF!)*20%),2),ROUND(SUM('Banco de Dados'!$R1956*_xlfn.XLOOKUP('Banco de Dados'!$P1956,Sku!B:B,Sku!H:H)*20%),2)),'Banco de Dados'!$A1956="GO",ROUND(_xlfn.XLOOKUP('Banco de Dados'!$P1956,Sku!C:C,Sku!H:H),2),'Banco de Dados'!$A1956="MEI",ROUND(_xlfn.XLOOKUP('Banco de Dados'!$P1956,Sku!D:D,Sku!H:H),2)),0)</f>
        <v>0</v>
      </c>
      <c r="AN1956" s="109">
        <v>0</v>
      </c>
      <c r="AO1956" s="109">
        <v>0</v>
      </c>
      <c r="AP1956" s="28">
        <f ca="1">IF('Banco de Dados'!$AK1956&lt;&gt;"-",IF('Banco de Dados'!$AL1956="NÃO",IFERROR(VALUE(SUBSTITUTE(_xlfn.TEXTAFTER('Banco de Dados'!$F1956,"BRL ",1),".",",")),0),0),0)</f>
        <v>0</v>
      </c>
      <c r="AQ1956" s="28">
        <f ca="1">SUM('Banco de Dados'!$AM1956:$AP1956)</f>
        <v>0</v>
      </c>
      <c r="AR1956" s="8"/>
      <c r="AS1956" s="8"/>
      <c r="AT1956"/>
      <c r="AY1956" s="8"/>
    </row>
    <row r="1957" spans="1:51">
      <c r="A1957" s="5" t="str">
        <v>BV</v>
      </c>
      <c r="B1957" s="5" t="str">
        <f ca="1"/>
        <v>BV45855</v>
      </c>
      <c r="C1957" s="8" t="str">
        <v>Pedido 1943</v>
      </c>
      <c r="D1957" s="187">
        <v>45850</v>
      </c>
      <c r="E1957" s="9">
        <v>45855</v>
      </c>
      <c r="F1957" s="2" t="str">
        <v>PedidoF1828</v>
      </c>
      <c r="G1957" s="2" t="str">
        <v>CódRastreio1826</v>
      </c>
      <c r="H1957" s="5">
        <v>1</v>
      </c>
      <c r="I1957" s="182" t="str">
        <v>CPF 1899</v>
      </c>
      <c r="J1957" s="2" t="str">
        <v>Nome 1899</v>
      </c>
      <c r="K1957" s="8" t="str">
        <v>Tel 1899</v>
      </c>
      <c r="L1957" s="8" t="str">
        <v>Cep 1899</v>
      </c>
      <c r="M1957" s="8" t="str">
        <v>Rua 1899</v>
      </c>
      <c r="N1957" s="8" t="str">
        <v>Comp 1899</v>
      </c>
      <c r="O1957" s="8" t="str">
        <v>Bolsa térmica</v>
      </c>
      <c r="P1957" s="8" t="str">
        <v>6I-CK1S-8HYZ</v>
      </c>
      <c r="Q1957" s="4">
        <v>45868</v>
      </c>
      <c r="R1957" s="109">
        <v>28.5</v>
      </c>
      <c r="S1957" s="11">
        <f ca="1"/>
        <v>28.5</v>
      </c>
      <c r="T1957" s="28">
        <f ca="1"/>
        <v>3.42</v>
      </c>
      <c r="U1957" s="11">
        <f ca="1"/>
        <v>25.08</v>
      </c>
      <c r="V1957" s="11">
        <v>22.58</v>
      </c>
      <c r="W1957" s="11">
        <f ca="1"/>
        <v>0</v>
      </c>
      <c r="X1957" s="11">
        <f ca="1"/>
        <v>0.39877104377104378</v>
      </c>
      <c r="Y1957" s="11">
        <v>0</v>
      </c>
      <c r="Z1957" s="11">
        <f ca="1"/>
        <v>2.1012289562289546</v>
      </c>
      <c r="AA1957" s="11">
        <f ca="1"/>
        <v>1.0506144781144773</v>
      </c>
      <c r="AB1957" s="4">
        <f ca="1"/>
        <v>45875</v>
      </c>
      <c r="AC1957" s="4">
        <v>45875</v>
      </c>
      <c r="AD1957" s="9">
        <v>45887</v>
      </c>
      <c r="AE1957" s="9">
        <v>45888</v>
      </c>
      <c r="AF1957" s="4" t="str">
        <f t="shared" ca="1" si="144"/>
        <v>2025 08</v>
      </c>
      <c r="AG1957" s="8" t="str" cm="1">
        <f t="array" ref="AG1957">IFERROR(_xlfn.IFS('Banco de Dados'!#REF!="AG. COMPRA","Em processamento",'Banco de Dados'!#REF!="AG. RASTREIO","Em processamento",'Banco de Dados'!$AE1957&lt;&gt;"-","Faturado",'Banco de Dados'!$AD1957&lt;&gt;"-","Aguardando Pix",'Banco de Dados'!$AC1957&lt;&gt;"-","Pendente"),"Aguardando Liberação")</f>
        <v>Aguardando Liberação</v>
      </c>
      <c r="AH1957" s="5" t="str">
        <f>IF('Banco de Dados'!$F1957="-",_xlfn.CONCAT(PROPER(TEXT(AK1957,"aaaa"))," ",PROPER(TEXT(AK1957,"mm"))),_xlfn.CONCAT(PROPER(TEXT(E1957,"aaaa"))," ",PROPER(TEXT(E1957,"mm"))))</f>
        <v>2025 07</v>
      </c>
      <c r="AI1957" s="9" t="str">
        <f ca="1">IF('Banco de Dados'!$AK1957&lt;&gt;"-","REEMBOLSO",IFERROR(_xlfn.XLOOKUP(G1957,Follow[CODRASTREIO],Follow[STATUS]),"-"))</f>
        <v>ENTREGUE</v>
      </c>
      <c r="AJ1957" s="9">
        <f ca="1">IF('Banco de Dados'!$AI1957="ENTREGUE",_xlfn.XLOOKUP('Banco de Dados'!$G1957,Follow[CODRASTREIO],Follow[DATAATUALIZAÇÃO]),"-")</f>
        <v>45860</v>
      </c>
      <c r="AK1957" s="132" t="str">
        <f ca="1"/>
        <v>-</v>
      </c>
      <c r="AL1957" s="35"/>
      <c r="AM1957" s="109" cm="1">
        <f t="array" aca="1" ref="AM1957" ca="1">IF('Banco de Dados'!$AK1957&lt;&gt;"-",_xlfn.IFS('Banco de Dados'!$A1957="bv",IF('Banco de Dados'!$E1957&lt;45641,ROUND(SUM('Banco de Dados'!$R1957*_xlfn.XLOOKUP('Banco de Dados'!$P1957,Sku!B:B,Sku!#REF!)*20%),2),ROUND(SUM('Banco de Dados'!$R1957*_xlfn.XLOOKUP('Banco de Dados'!$P1957,Sku!B:B,Sku!H:H)*20%),2)),'Banco de Dados'!$A1957="GO",ROUND(_xlfn.XLOOKUP('Banco de Dados'!$P1957,Sku!C:C,Sku!H:H),2),'Banco de Dados'!$A1957="MEI",ROUND(_xlfn.XLOOKUP('Banco de Dados'!$P1957,Sku!D:D,Sku!H:H),2)),0)</f>
        <v>0</v>
      </c>
      <c r="AN1957" s="109">
        <v>0</v>
      </c>
      <c r="AO1957" s="109">
        <v>0</v>
      </c>
      <c r="AP1957" s="28">
        <f ca="1">IF('Banco de Dados'!$AK1957&lt;&gt;"-",IF('Banco de Dados'!$AL1957="NÃO",IFERROR(VALUE(SUBSTITUTE(_xlfn.TEXTAFTER('Banco de Dados'!$F1957,"BRL ",1),".",",")),0),0),0)</f>
        <v>0</v>
      </c>
      <c r="AQ1957" s="28">
        <f ca="1">SUM('Banco de Dados'!$AM1957:$AP1957)</f>
        <v>0</v>
      </c>
      <c r="AR1957" s="8"/>
      <c r="AS1957" s="8"/>
      <c r="AT1957"/>
      <c r="AY1957" s="8"/>
    </row>
    <row r="1958" spans="1:51">
      <c r="A1958" s="5" t="str">
        <v>BV</v>
      </c>
      <c r="B1958" s="5" t="str">
        <f ca="1"/>
        <v>BV45855</v>
      </c>
      <c r="C1958" s="8" t="str">
        <v>Pedido 1944</v>
      </c>
      <c r="D1958" s="187">
        <v>45850</v>
      </c>
      <c r="E1958" s="9">
        <v>45855</v>
      </c>
      <c r="F1958" s="2" t="str">
        <v>PedidoF1829</v>
      </c>
      <c r="G1958" s="2" t="str">
        <v>CódRastreio1827</v>
      </c>
      <c r="H1958" s="5">
        <v>1</v>
      </c>
      <c r="I1958" s="182" t="str">
        <v>CPF 1900</v>
      </c>
      <c r="J1958" s="2" t="str">
        <v>Nome 1900</v>
      </c>
      <c r="K1958" s="8" t="str">
        <v>Tel 1900</v>
      </c>
      <c r="L1958" s="8" t="str">
        <v>Cep 1900</v>
      </c>
      <c r="M1958" s="8" t="str">
        <v>Rua 1900</v>
      </c>
      <c r="N1958" s="8" t="str">
        <v>Comp 1900</v>
      </c>
      <c r="O1958" s="8" t="str">
        <v>Bolsa térmica</v>
      </c>
      <c r="P1958" s="8" t="str">
        <v>6I-CK1S-8HYZ</v>
      </c>
      <c r="Q1958" s="4">
        <v>45864</v>
      </c>
      <c r="R1958" s="109">
        <v>28.5</v>
      </c>
      <c r="S1958" s="11">
        <f ca="1"/>
        <v>28.5</v>
      </c>
      <c r="T1958" s="28">
        <f ca="1"/>
        <v>3.42</v>
      </c>
      <c r="U1958" s="11">
        <f ca="1"/>
        <v>25.08</v>
      </c>
      <c r="V1958" s="11">
        <v>23.43</v>
      </c>
      <c r="W1958" s="11">
        <f ca="1"/>
        <v>0</v>
      </c>
      <c r="X1958" s="11">
        <f ca="1"/>
        <v>0.39877104377104378</v>
      </c>
      <c r="Y1958" s="11">
        <v>0</v>
      </c>
      <c r="Z1958" s="11">
        <f ca="1"/>
        <v>1.2512289562289531</v>
      </c>
      <c r="AA1958" s="11">
        <f ca="1"/>
        <v>0.62561447811447657</v>
      </c>
      <c r="AB1958" s="4">
        <f ca="1"/>
        <v>45871</v>
      </c>
      <c r="AC1958" s="4">
        <v>45871</v>
      </c>
      <c r="AD1958" s="9">
        <v>45887</v>
      </c>
      <c r="AE1958" s="9">
        <v>45888</v>
      </c>
      <c r="AF1958" s="4" t="str">
        <f t="shared" ca="1" si="144"/>
        <v>2025 08</v>
      </c>
      <c r="AG1958" s="8" t="str" cm="1">
        <f t="array" ref="AG1958">IFERROR(_xlfn.IFS('Banco de Dados'!#REF!="AG. COMPRA","Em processamento",'Banco de Dados'!#REF!="AG. RASTREIO","Em processamento",'Banco de Dados'!$AE1958&lt;&gt;"-","Faturado",'Banco de Dados'!$AD1958&lt;&gt;"-","Aguardando Pix",'Banco de Dados'!$AC1958&lt;&gt;"-","Pendente"),"Aguardando Liberação")</f>
        <v>Aguardando Liberação</v>
      </c>
      <c r="AH1958" s="5" t="str">
        <f>IF('Banco de Dados'!$F1958="-",_xlfn.CONCAT(PROPER(TEXT(AK1958,"aaaa"))," ",PROPER(TEXT(AK1958,"mm"))),_xlfn.CONCAT(PROPER(TEXT(E1958,"aaaa"))," ",PROPER(TEXT(E1958,"mm"))))</f>
        <v>2025 07</v>
      </c>
      <c r="AI1958" s="9" t="str">
        <f ca="1">IF('Banco de Dados'!$AK1958&lt;&gt;"-","REEMBOLSO",IFERROR(_xlfn.XLOOKUP(G1958,Follow[CODRASTREIO],Follow[STATUS]),"-"))</f>
        <v>ENTREGUE</v>
      </c>
      <c r="AJ1958" s="9">
        <f ca="1">IF('Banco de Dados'!$AI1958="ENTREGUE",_xlfn.XLOOKUP('Banco de Dados'!$G1958,Follow[CODRASTREIO],Follow[DATAATUALIZAÇÃO]),"-")</f>
        <v>45859</v>
      </c>
      <c r="AK1958" s="132" t="str">
        <f ca="1"/>
        <v>-</v>
      </c>
      <c r="AL1958" s="35"/>
      <c r="AM1958" s="109" cm="1">
        <f t="array" aca="1" ref="AM1958" ca="1">IF('Banco de Dados'!$AK1958&lt;&gt;"-",_xlfn.IFS('Banco de Dados'!$A1958="bv",IF('Banco de Dados'!$E1958&lt;45641,ROUND(SUM('Banco de Dados'!$R1958*_xlfn.XLOOKUP('Banco de Dados'!$P1958,Sku!B:B,Sku!#REF!)*20%),2),ROUND(SUM('Banco de Dados'!$R1958*_xlfn.XLOOKUP('Banco de Dados'!$P1958,Sku!B:B,Sku!H:H)*20%),2)),'Banco de Dados'!$A1958="GO",ROUND(_xlfn.XLOOKUP('Banco de Dados'!$P1958,Sku!C:C,Sku!H:H),2),'Banco de Dados'!$A1958="MEI",ROUND(_xlfn.XLOOKUP('Banco de Dados'!$P1958,Sku!D:D,Sku!H:H),2)),0)</f>
        <v>0</v>
      </c>
      <c r="AN1958" s="109">
        <v>0</v>
      </c>
      <c r="AO1958" s="109">
        <v>0</v>
      </c>
      <c r="AP1958" s="28">
        <f ca="1">IF('Banco de Dados'!$AK1958&lt;&gt;"-",IF('Banco de Dados'!$AL1958="NÃO",IFERROR(VALUE(SUBSTITUTE(_xlfn.TEXTAFTER('Banco de Dados'!$F1958,"BRL ",1),".",",")),0),0),0)</f>
        <v>0</v>
      </c>
      <c r="AQ1958" s="28">
        <f ca="1">SUM('Banco de Dados'!$AM1958:$AP1958)</f>
        <v>0</v>
      </c>
      <c r="AR1958" s="8"/>
      <c r="AS1958" s="8"/>
      <c r="AT1958"/>
      <c r="AY1958" s="8"/>
    </row>
    <row r="1959" spans="1:51">
      <c r="A1959" s="5" t="str">
        <v>BV</v>
      </c>
      <c r="B1959" s="5" t="str">
        <f ca="1"/>
        <v>BV45856</v>
      </c>
      <c r="C1959" s="8" t="str">
        <v>Pedido 1945</v>
      </c>
      <c r="D1959" s="187">
        <v>45851</v>
      </c>
      <c r="E1959" s="9">
        <v>45856</v>
      </c>
      <c r="F1959" s="2" t="str">
        <v>PedidoF1830</v>
      </c>
      <c r="G1959" s="2" t="str">
        <v>CódRastreio1828</v>
      </c>
      <c r="H1959" s="5">
        <v>1</v>
      </c>
      <c r="I1959" s="182" t="str">
        <v>CPF 1901</v>
      </c>
      <c r="J1959" s="2" t="str">
        <v>Nome 1901</v>
      </c>
      <c r="K1959" s="8" t="str">
        <v>Tel 1901</v>
      </c>
      <c r="L1959" s="8" t="str">
        <v>Cep 1901</v>
      </c>
      <c r="M1959" s="8" t="str">
        <v>Rua 1901</v>
      </c>
      <c r="N1959" s="8" t="str">
        <v>Comp 1901</v>
      </c>
      <c r="O1959" s="8" t="str">
        <v>Bolsa térmica</v>
      </c>
      <c r="P1959" s="8" t="str">
        <v>6I-CK1S-8HYZ</v>
      </c>
      <c r="Q1959" s="4">
        <v>45870</v>
      </c>
      <c r="R1959" s="109">
        <v>28.5</v>
      </c>
      <c r="S1959" s="11">
        <f ca="1"/>
        <v>28.5</v>
      </c>
      <c r="T1959" s="28">
        <f ca="1"/>
        <v>3.42</v>
      </c>
      <c r="U1959" s="11">
        <f ca="1"/>
        <v>25.08</v>
      </c>
      <c r="V1959" s="11">
        <v>22.58</v>
      </c>
      <c r="W1959" s="11">
        <f ca="1"/>
        <v>0</v>
      </c>
      <c r="X1959" s="11">
        <f ca="1"/>
        <v>0.39877104377104378</v>
      </c>
      <c r="Y1959" s="11">
        <v>0</v>
      </c>
      <c r="Z1959" s="11">
        <f ca="1"/>
        <v>2.1012289562289546</v>
      </c>
      <c r="AA1959" s="11">
        <f ca="1"/>
        <v>1.0506144781144773</v>
      </c>
      <c r="AB1959" s="4">
        <f ca="1"/>
        <v>45877</v>
      </c>
      <c r="AC1959" s="4">
        <v>45877</v>
      </c>
      <c r="AD1959" s="9">
        <v>45887</v>
      </c>
      <c r="AE1959" s="9">
        <v>45888</v>
      </c>
      <c r="AF1959" s="4" t="str">
        <f t="shared" ca="1" si="144"/>
        <v>2025 08</v>
      </c>
      <c r="AG1959" s="8" t="str" cm="1">
        <f t="array" ref="AG1959">IFERROR(_xlfn.IFS('Banco de Dados'!#REF!="AG. COMPRA","Em processamento",'Banco de Dados'!#REF!="AG. RASTREIO","Em processamento",'Banco de Dados'!$AE1959&lt;&gt;"-","Faturado",'Banco de Dados'!$AD1959&lt;&gt;"-","Aguardando Pix",'Banco de Dados'!$AC1959&lt;&gt;"-","Pendente"),"Aguardando Liberação")</f>
        <v>Aguardando Liberação</v>
      </c>
      <c r="AH1959" s="5" t="str">
        <f>IF('Banco de Dados'!$F1959="-",_xlfn.CONCAT(PROPER(TEXT(AK1959,"aaaa"))," ",PROPER(TEXT(AK1959,"mm"))),_xlfn.CONCAT(PROPER(TEXT(E1959,"aaaa"))," ",PROPER(TEXT(E1959,"mm"))))</f>
        <v>2025 07</v>
      </c>
      <c r="AI1959" s="9" t="str">
        <f ca="1">IF('Banco de Dados'!$AK1959&lt;&gt;"-","REEMBOLSO",IFERROR(_xlfn.XLOOKUP(G1959,Follow[CODRASTREIO],Follow[STATUS]),"-"))</f>
        <v>ENTREGUE</v>
      </c>
      <c r="AJ1959" s="9">
        <f ca="1">IF('Banco de Dados'!$AI1959="ENTREGUE",_xlfn.XLOOKUP('Banco de Dados'!$G1959,Follow[CODRASTREIO],Follow[DATAATUALIZAÇÃO]),"-")</f>
        <v>45859</v>
      </c>
      <c r="AK1959" s="132" t="str">
        <f ca="1"/>
        <v>-</v>
      </c>
      <c r="AL1959" s="35"/>
      <c r="AM1959" s="109" cm="1">
        <f t="array" aca="1" ref="AM1959" ca="1">IF('Banco de Dados'!$AK1959&lt;&gt;"-",_xlfn.IFS('Banco de Dados'!$A1959="bv",IF('Banco de Dados'!$E1959&lt;45641,ROUND(SUM('Banco de Dados'!$R1959*_xlfn.XLOOKUP('Banco de Dados'!$P1959,Sku!B:B,Sku!#REF!)*20%),2),ROUND(SUM('Banco de Dados'!$R1959*_xlfn.XLOOKUP('Banco de Dados'!$P1959,Sku!B:B,Sku!H:H)*20%),2)),'Banco de Dados'!$A1959="GO",ROUND(_xlfn.XLOOKUP('Banco de Dados'!$P1959,Sku!C:C,Sku!H:H),2),'Banco de Dados'!$A1959="MEI",ROUND(_xlfn.XLOOKUP('Banco de Dados'!$P1959,Sku!D:D,Sku!H:H),2)),0)</f>
        <v>0</v>
      </c>
      <c r="AN1959" s="109">
        <v>0</v>
      </c>
      <c r="AO1959" s="109">
        <v>0</v>
      </c>
      <c r="AP1959" s="28">
        <f ca="1">IF('Banco de Dados'!$AK1959&lt;&gt;"-",IF('Banco de Dados'!$AL1959="NÃO",IFERROR(VALUE(SUBSTITUTE(_xlfn.TEXTAFTER('Banco de Dados'!$F1959,"BRL ",1),".",",")),0),0),0)</f>
        <v>0</v>
      </c>
      <c r="AQ1959" s="28">
        <f ca="1">SUM('Banco de Dados'!$AM1959:$AP1959)</f>
        <v>0</v>
      </c>
      <c r="AR1959" s="8"/>
      <c r="AS1959" s="8"/>
      <c r="AT1959"/>
      <c r="AY1959" s="8"/>
    </row>
    <row r="1960" spans="1:51">
      <c r="A1960" s="5" t="str">
        <v>BV</v>
      </c>
      <c r="B1960" s="5" t="str">
        <f ca="1"/>
        <v>BV45855</v>
      </c>
      <c r="C1960" s="8" t="str">
        <v>Pedido 1946</v>
      </c>
      <c r="D1960" s="187">
        <v>45851</v>
      </c>
      <c r="E1960" s="9">
        <v>45855</v>
      </c>
      <c r="F1960" s="2" t="str">
        <v>PedidoF1831</v>
      </c>
      <c r="G1960" s="2" t="str">
        <v>CódRastreio1829</v>
      </c>
      <c r="H1960" s="5">
        <v>1</v>
      </c>
      <c r="I1960" s="182" t="str">
        <v>CPF 1902</v>
      </c>
      <c r="J1960" s="2" t="str">
        <v>Nome 1902</v>
      </c>
      <c r="K1960" s="8" t="str">
        <v>Tel 1902</v>
      </c>
      <c r="L1960" s="8" t="str">
        <v>Cep 1902</v>
      </c>
      <c r="M1960" s="8" t="str">
        <v>Rua 1902</v>
      </c>
      <c r="N1960" s="8" t="str">
        <v>Comp 1902</v>
      </c>
      <c r="O1960" s="8" t="str">
        <v>Bolsa térmica</v>
      </c>
      <c r="P1960" s="8" t="str">
        <v>6I-CK1S-8HYZ</v>
      </c>
      <c r="Q1960" s="4">
        <v>45870</v>
      </c>
      <c r="R1960" s="109">
        <v>28.5</v>
      </c>
      <c r="S1960" s="11">
        <f ca="1"/>
        <v>28.5</v>
      </c>
      <c r="T1960" s="28">
        <f ca="1"/>
        <v>3.42</v>
      </c>
      <c r="U1960" s="11">
        <f ca="1"/>
        <v>25.08</v>
      </c>
      <c r="V1960" s="11">
        <v>22.58</v>
      </c>
      <c r="W1960" s="11">
        <f ca="1"/>
        <v>0</v>
      </c>
      <c r="X1960" s="11">
        <f ca="1"/>
        <v>0.39877104377104378</v>
      </c>
      <c r="Y1960" s="11">
        <v>0</v>
      </c>
      <c r="Z1960" s="11">
        <f ca="1"/>
        <v>2.1012289562289546</v>
      </c>
      <c r="AA1960" s="11">
        <f ca="1"/>
        <v>1.0506144781144773</v>
      </c>
      <c r="AB1960" s="4">
        <f ca="1"/>
        <v>45877</v>
      </c>
      <c r="AC1960" s="4">
        <v>45877</v>
      </c>
      <c r="AD1960" s="9">
        <v>45887</v>
      </c>
      <c r="AE1960" s="9">
        <v>45888</v>
      </c>
      <c r="AF1960" s="4" t="str">
        <f t="shared" ca="1" si="144"/>
        <v>2025 08</v>
      </c>
      <c r="AG1960" s="8" t="str" cm="1">
        <f t="array" ref="AG1960">IFERROR(_xlfn.IFS('Banco de Dados'!#REF!="AG. COMPRA","Em processamento",'Banco de Dados'!#REF!="AG. RASTREIO","Em processamento",'Banco de Dados'!$AE1960&lt;&gt;"-","Faturado",'Banco de Dados'!$AD1960&lt;&gt;"-","Aguardando Pix",'Banco de Dados'!$AC1960&lt;&gt;"-","Pendente"),"Aguardando Liberação")</f>
        <v>Aguardando Liberação</v>
      </c>
      <c r="AH1960" s="5" t="str">
        <f>IF('Banco de Dados'!$F1960="-",_xlfn.CONCAT(PROPER(TEXT(AK1960,"aaaa"))," ",PROPER(TEXT(AK1960,"mm"))),_xlfn.CONCAT(PROPER(TEXT(E1960,"aaaa"))," ",PROPER(TEXT(E1960,"mm"))))</f>
        <v>2025 07</v>
      </c>
      <c r="AI1960" s="9" t="str">
        <f ca="1">IF('Banco de Dados'!$AK1960&lt;&gt;"-","REEMBOLSO",IFERROR(_xlfn.XLOOKUP(G1960,Follow[CODRASTREIO],Follow[STATUS]),"-"))</f>
        <v>ENTREGUE</v>
      </c>
      <c r="AJ1960" s="9">
        <f ca="1">IF('Banco de Dados'!$AI1960="ENTREGUE",_xlfn.XLOOKUP('Banco de Dados'!$G1960,Follow[CODRASTREIO],Follow[DATAATUALIZAÇÃO]),"-")</f>
        <v>45860</v>
      </c>
      <c r="AK1960" s="132" t="str">
        <f ca="1"/>
        <v>-</v>
      </c>
      <c r="AL1960" s="35"/>
      <c r="AM1960" s="109" cm="1">
        <f t="array" aca="1" ref="AM1960" ca="1">IF('Banco de Dados'!$AK1960&lt;&gt;"-",_xlfn.IFS('Banco de Dados'!$A1960="bv",IF('Banco de Dados'!$E1960&lt;45641,ROUND(SUM('Banco de Dados'!$R1960*_xlfn.XLOOKUP('Banco de Dados'!$P1960,Sku!B:B,Sku!#REF!)*20%),2),ROUND(SUM('Banco de Dados'!$R1960*_xlfn.XLOOKUP('Banco de Dados'!$P1960,Sku!B:B,Sku!H:H)*20%),2)),'Banco de Dados'!$A1960="GO",ROUND(_xlfn.XLOOKUP('Banco de Dados'!$P1960,Sku!C:C,Sku!H:H),2),'Banco de Dados'!$A1960="MEI",ROUND(_xlfn.XLOOKUP('Banco de Dados'!$P1960,Sku!D:D,Sku!H:H),2)),0)</f>
        <v>0</v>
      </c>
      <c r="AN1960" s="109">
        <v>0</v>
      </c>
      <c r="AO1960" s="109">
        <v>0</v>
      </c>
      <c r="AP1960" s="28">
        <f ca="1">IF('Banco de Dados'!$AK1960&lt;&gt;"-",IF('Banco de Dados'!$AL1960="NÃO",IFERROR(VALUE(SUBSTITUTE(_xlfn.TEXTAFTER('Banco de Dados'!$F1960,"BRL ",1),".",",")),0),0),0)</f>
        <v>0</v>
      </c>
      <c r="AQ1960" s="28">
        <f ca="1">SUM('Banco de Dados'!$AM1960:$AP1960)</f>
        <v>0</v>
      </c>
      <c r="AR1960" s="8"/>
      <c r="AS1960" s="8"/>
      <c r="AT1960"/>
      <c r="AY1960" s="8"/>
    </row>
    <row r="1961" spans="1:51">
      <c r="A1961" s="5" t="str">
        <v>BV</v>
      </c>
      <c r="B1961" s="5" t="str">
        <f ca="1"/>
        <v>BV45853</v>
      </c>
      <c r="C1961" s="8" t="str">
        <v>Pedido 1947</v>
      </c>
      <c r="D1961" s="187">
        <v>45851</v>
      </c>
      <c r="E1961" s="9">
        <v>45853</v>
      </c>
      <c r="F1961" s="2" t="str">
        <v>PedidoF1832</v>
      </c>
      <c r="G1961" s="2" t="str">
        <v>CódRastreio1830</v>
      </c>
      <c r="H1961" s="5">
        <v>2</v>
      </c>
      <c r="I1961" s="182" t="str">
        <v>CPF 1903</v>
      </c>
      <c r="J1961" s="2" t="str">
        <v>Nome 1903</v>
      </c>
      <c r="K1961" s="8" t="str">
        <v>Tel 1903</v>
      </c>
      <c r="L1961" s="8" t="str">
        <v>Cep 1903</v>
      </c>
      <c r="M1961" s="8" t="str">
        <v>Rua 1903</v>
      </c>
      <c r="N1961" s="8" t="str">
        <v>Comp 1903</v>
      </c>
      <c r="O1961" s="8" t="str">
        <v>Bolsa térmica</v>
      </c>
      <c r="P1961" s="8" t="str">
        <v>6I-CK1S-8HYZ</v>
      </c>
      <c r="Q1961" s="4">
        <v>45864</v>
      </c>
      <c r="R1961" s="109">
        <v>57</v>
      </c>
      <c r="S1961" s="11">
        <f ca="1"/>
        <v>57</v>
      </c>
      <c r="T1961" s="28">
        <f ca="1"/>
        <v>6.84</v>
      </c>
      <c r="U1961" s="11">
        <f ca="1"/>
        <v>50.16</v>
      </c>
      <c r="V1961" s="11">
        <v>35.26</v>
      </c>
      <c r="W1961" s="11">
        <f ca="1"/>
        <v>0</v>
      </c>
      <c r="X1961" s="11">
        <f ca="1"/>
        <v>0.39877104377104378</v>
      </c>
      <c r="Y1961" s="11">
        <v>0</v>
      </c>
      <c r="Z1961" s="11">
        <f ca="1"/>
        <v>14.501228956228957</v>
      </c>
      <c r="AA1961" s="11">
        <f ca="1"/>
        <v>7.2506144781144783</v>
      </c>
      <c r="AB1961" s="4">
        <f ca="1"/>
        <v>45871</v>
      </c>
      <c r="AC1961" s="4">
        <v>45871</v>
      </c>
      <c r="AD1961" s="9">
        <v>45887</v>
      </c>
      <c r="AE1961" s="9">
        <v>45888</v>
      </c>
      <c r="AF1961" s="4" t="str">
        <f t="shared" ca="1" si="144"/>
        <v>2025 08</v>
      </c>
      <c r="AG1961" s="8" t="str" cm="1">
        <f t="array" ref="AG1961">IFERROR(_xlfn.IFS('Banco de Dados'!#REF!="AG. COMPRA","Em processamento",'Banco de Dados'!#REF!="AG. RASTREIO","Em processamento",'Banco de Dados'!$AE1961&lt;&gt;"-","Faturado",'Banco de Dados'!$AD1961&lt;&gt;"-","Aguardando Pix",'Banco de Dados'!$AC1961&lt;&gt;"-","Pendente"),"Aguardando Liberação")</f>
        <v>Aguardando Liberação</v>
      </c>
      <c r="AH1961" s="5" t="str">
        <f>IF('Banco de Dados'!$F1961="-",_xlfn.CONCAT(PROPER(TEXT(AK1961,"aaaa"))," ",PROPER(TEXT(AK1961,"mm"))),_xlfn.CONCAT(PROPER(TEXT(E1961,"aaaa"))," ",PROPER(TEXT(E1961,"mm"))))</f>
        <v>2025 07</v>
      </c>
      <c r="AI1961" s="9" t="str">
        <f ca="1">IF('Banco de Dados'!$AK1961&lt;&gt;"-","REEMBOLSO",IFERROR(_xlfn.XLOOKUP(G1961,Follow[CODRASTREIO],Follow[STATUS]),"-"))</f>
        <v>ENTREGUE</v>
      </c>
      <c r="AJ1961" s="9">
        <f ca="1">IF('Banco de Dados'!$AI1961="ENTREGUE",_xlfn.XLOOKUP('Banco de Dados'!$G1961,Follow[CODRASTREIO],Follow[DATAATUALIZAÇÃO]),"-")</f>
        <v>45856</v>
      </c>
      <c r="AK1961" s="132" t="str">
        <f ca="1"/>
        <v>-</v>
      </c>
      <c r="AL1961" s="35"/>
      <c r="AM1961" s="109" cm="1">
        <f t="array" aca="1" ref="AM1961" ca="1">IF('Banco de Dados'!$AK1961&lt;&gt;"-",_xlfn.IFS('Banco de Dados'!$A1961="bv",IF('Banco de Dados'!$E1961&lt;45641,ROUND(SUM('Banco de Dados'!$R1961*_xlfn.XLOOKUP('Banco de Dados'!$P1961,Sku!B:B,Sku!#REF!)*20%),2),ROUND(SUM('Banco de Dados'!$R1961*_xlfn.XLOOKUP('Banco de Dados'!$P1961,Sku!B:B,Sku!H:H)*20%),2)),'Banco de Dados'!$A1961="GO",ROUND(_xlfn.XLOOKUP('Banco de Dados'!$P1961,Sku!C:C,Sku!H:H),2),'Banco de Dados'!$A1961="MEI",ROUND(_xlfn.XLOOKUP('Banco de Dados'!$P1961,Sku!D:D,Sku!H:H),2)),0)</f>
        <v>0</v>
      </c>
      <c r="AN1961" s="109">
        <v>0</v>
      </c>
      <c r="AO1961" s="109">
        <v>0</v>
      </c>
      <c r="AP1961" s="28">
        <f ca="1">IF('Banco de Dados'!$AK1961&lt;&gt;"-",IF('Banco de Dados'!$AL1961="NÃO",IFERROR(VALUE(SUBSTITUTE(_xlfn.TEXTAFTER('Banco de Dados'!$F1961,"BRL ",1),".",",")),0),0),0)</f>
        <v>0</v>
      </c>
      <c r="AQ1961" s="28">
        <f ca="1">SUM('Banco de Dados'!$AM1961:$AP1961)</f>
        <v>0</v>
      </c>
      <c r="AR1961" s="8"/>
      <c r="AS1961" s="8"/>
      <c r="AT1961"/>
      <c r="AY1961" s="8"/>
    </row>
    <row r="1962" spans="1:51">
      <c r="A1962" s="5" t="str">
        <v>BV</v>
      </c>
      <c r="B1962" s="5" t="str">
        <f ca="1"/>
        <v>BV45856</v>
      </c>
      <c r="C1962" s="8" t="str">
        <v>Pedido 1948</v>
      </c>
      <c r="D1962" s="187">
        <v>45851</v>
      </c>
      <c r="E1962" s="9">
        <v>45856</v>
      </c>
      <c r="F1962" s="2" t="str">
        <v>PedidoF1833</v>
      </c>
      <c r="G1962" s="2" t="str">
        <v>CódRastreio1831</v>
      </c>
      <c r="H1962" s="5">
        <v>1</v>
      </c>
      <c r="I1962" s="182" t="str">
        <v>CPF 1904</v>
      </c>
      <c r="J1962" s="2" t="str">
        <v>Nome 1904</v>
      </c>
      <c r="K1962" s="8" t="str">
        <v>Tel 1904</v>
      </c>
      <c r="L1962" s="8" t="str">
        <v>Cep 1904</v>
      </c>
      <c r="M1962" s="8" t="str">
        <v>Rua 1904</v>
      </c>
      <c r="N1962" s="8" t="str">
        <v>Comp 1904</v>
      </c>
      <c r="O1962" s="8" t="str">
        <v>Bolsa térmica</v>
      </c>
      <c r="P1962" s="8" t="str">
        <v>6I-CK1S-8HYZ</v>
      </c>
      <c r="Q1962" s="4">
        <v>45868</v>
      </c>
      <c r="R1962" s="109">
        <v>28.5</v>
      </c>
      <c r="S1962" s="11">
        <f ca="1"/>
        <v>28.5</v>
      </c>
      <c r="T1962" s="28">
        <f ca="1"/>
        <v>3.42</v>
      </c>
      <c r="U1962" s="11">
        <f ca="1"/>
        <v>25.08</v>
      </c>
      <c r="V1962" s="11">
        <v>22.58</v>
      </c>
      <c r="W1962" s="11">
        <f ca="1"/>
        <v>0</v>
      </c>
      <c r="X1962" s="11">
        <f ca="1"/>
        <v>0.39877104377104378</v>
      </c>
      <c r="Y1962" s="11">
        <v>0</v>
      </c>
      <c r="Z1962" s="11">
        <f ca="1"/>
        <v>2.1012289562289546</v>
      </c>
      <c r="AA1962" s="11">
        <f ca="1"/>
        <v>1.0506144781144773</v>
      </c>
      <c r="AB1962" s="4">
        <f ca="1"/>
        <v>45875</v>
      </c>
      <c r="AC1962" s="4">
        <v>45875</v>
      </c>
      <c r="AD1962" s="9">
        <v>45887</v>
      </c>
      <c r="AE1962" s="9">
        <v>45888</v>
      </c>
      <c r="AF1962" s="4" t="str">
        <f t="shared" ca="1" si="144"/>
        <v>2025 08</v>
      </c>
      <c r="AG1962" s="8" t="str" cm="1">
        <f t="array" ref="AG1962">IFERROR(_xlfn.IFS('Banco de Dados'!#REF!="AG. COMPRA","Em processamento",'Banco de Dados'!#REF!="AG. RASTREIO","Em processamento",'Banco de Dados'!$AE1962&lt;&gt;"-","Faturado",'Banco de Dados'!$AD1962&lt;&gt;"-","Aguardando Pix",'Banco de Dados'!$AC1962&lt;&gt;"-","Pendente"),"Aguardando Liberação")</f>
        <v>Aguardando Liberação</v>
      </c>
      <c r="AH1962" s="5" t="str">
        <f>IF('Banco de Dados'!$F1962="-",_xlfn.CONCAT(PROPER(TEXT(AK1962,"aaaa"))," ",PROPER(TEXT(AK1962,"mm"))),_xlfn.CONCAT(PROPER(TEXT(E1962,"aaaa"))," ",PROPER(TEXT(E1962,"mm"))))</f>
        <v>2025 07</v>
      </c>
      <c r="AI1962" s="9" t="str">
        <f ca="1">IF('Banco de Dados'!$AK1962&lt;&gt;"-","REEMBOLSO",IFERROR(_xlfn.XLOOKUP(G1962,Follow[CODRASTREIO],Follow[STATUS]),"-"))</f>
        <v>ENTREGUE</v>
      </c>
      <c r="AJ1962" s="9">
        <f ca="1">IF('Banco de Dados'!$AI1962="ENTREGUE",_xlfn.XLOOKUP('Banco de Dados'!$G1962,Follow[CODRASTREIO],Follow[DATAATUALIZAÇÃO]),"-")</f>
        <v>45860</v>
      </c>
      <c r="AK1962" s="132" t="str">
        <f ca="1"/>
        <v>-</v>
      </c>
      <c r="AL1962" s="35"/>
      <c r="AM1962" s="109" cm="1">
        <f t="array" aca="1" ref="AM1962" ca="1">IF('Banco de Dados'!$AK1962&lt;&gt;"-",_xlfn.IFS('Banco de Dados'!$A1962="bv",IF('Banco de Dados'!$E1962&lt;45641,ROUND(SUM('Banco de Dados'!$R1962*_xlfn.XLOOKUP('Banco de Dados'!$P1962,Sku!B:B,Sku!#REF!)*20%),2),ROUND(SUM('Banco de Dados'!$R1962*_xlfn.XLOOKUP('Banco de Dados'!$P1962,Sku!B:B,Sku!H:H)*20%),2)),'Banco de Dados'!$A1962="GO",ROUND(_xlfn.XLOOKUP('Banco de Dados'!$P1962,Sku!C:C,Sku!H:H),2),'Banco de Dados'!$A1962="MEI",ROUND(_xlfn.XLOOKUP('Banco de Dados'!$P1962,Sku!D:D,Sku!H:H),2)),0)</f>
        <v>0</v>
      </c>
      <c r="AN1962" s="109">
        <v>0</v>
      </c>
      <c r="AO1962" s="109">
        <v>0</v>
      </c>
      <c r="AP1962" s="28">
        <f ca="1">IF('Banco de Dados'!$AK1962&lt;&gt;"-",IF('Banco de Dados'!$AL1962="NÃO",IFERROR(VALUE(SUBSTITUTE(_xlfn.TEXTAFTER('Banco de Dados'!$F1962,"BRL ",1),".",",")),0),0),0)</f>
        <v>0</v>
      </c>
      <c r="AQ1962" s="28">
        <f ca="1">SUM('Banco de Dados'!$AM1962:$AP1962)</f>
        <v>0</v>
      </c>
      <c r="AR1962" s="8"/>
      <c r="AS1962" s="8"/>
      <c r="AT1962"/>
      <c r="AY1962" s="8"/>
    </row>
    <row r="1963" spans="1:51">
      <c r="A1963" s="5" t="str">
        <v>BV</v>
      </c>
      <c r="B1963" s="5" t="str">
        <f ca="1"/>
        <v>BV45856</v>
      </c>
      <c r="C1963" s="8" t="str">
        <v>Pedido 1949</v>
      </c>
      <c r="D1963" s="187">
        <v>45851</v>
      </c>
      <c r="E1963" s="9">
        <v>45856</v>
      </c>
      <c r="F1963" s="2" t="str">
        <v>PedidoF1834</v>
      </c>
      <c r="G1963" s="2" t="str">
        <v>CódRastreio1832</v>
      </c>
      <c r="H1963" s="5">
        <v>1</v>
      </c>
      <c r="I1963" s="182" t="str">
        <v>CPF 1905</v>
      </c>
      <c r="J1963" s="2" t="str">
        <v>Nome 1905</v>
      </c>
      <c r="K1963" s="8" t="str">
        <v>Tel 1905</v>
      </c>
      <c r="L1963" s="8" t="str">
        <v>Cep 1905</v>
      </c>
      <c r="M1963" s="8" t="str">
        <v>Rua 1905</v>
      </c>
      <c r="N1963" s="8" t="str">
        <v>Comp 1905</v>
      </c>
      <c r="O1963" s="8" t="str">
        <v>Bolsa térmica</v>
      </c>
      <c r="P1963" s="8" t="str">
        <v>6I-CK1S-8HYZ</v>
      </c>
      <c r="Q1963" s="4">
        <v>45864</v>
      </c>
      <c r="R1963" s="109">
        <v>28.5</v>
      </c>
      <c r="S1963" s="11">
        <f ca="1"/>
        <v>28.5</v>
      </c>
      <c r="T1963" s="28">
        <f ca="1"/>
        <v>3.42</v>
      </c>
      <c r="U1963" s="11">
        <f ca="1"/>
        <v>25.08</v>
      </c>
      <c r="V1963" s="11">
        <v>22.58</v>
      </c>
      <c r="W1963" s="11">
        <f ca="1"/>
        <v>0</v>
      </c>
      <c r="X1963" s="11">
        <f ca="1"/>
        <v>0.39877104377104378</v>
      </c>
      <c r="Y1963" s="11">
        <v>0</v>
      </c>
      <c r="Z1963" s="11">
        <f ca="1"/>
        <v>2.1012289562289546</v>
      </c>
      <c r="AA1963" s="11">
        <f ca="1"/>
        <v>1.0506144781144773</v>
      </c>
      <c r="AB1963" s="4">
        <f ca="1"/>
        <v>45871</v>
      </c>
      <c r="AC1963" s="4">
        <v>45871</v>
      </c>
      <c r="AD1963" s="9">
        <v>45887</v>
      </c>
      <c r="AE1963" s="9">
        <v>45888</v>
      </c>
      <c r="AF1963" s="4" t="str">
        <f t="shared" ca="1" si="144"/>
        <v>2025 08</v>
      </c>
      <c r="AG1963" s="8" t="str" cm="1">
        <f t="array" ref="AG1963">IFERROR(_xlfn.IFS('Banco de Dados'!#REF!="AG. COMPRA","Em processamento",'Banco de Dados'!#REF!="AG. RASTREIO","Em processamento",'Banco de Dados'!$AE1963&lt;&gt;"-","Faturado",'Banco de Dados'!$AD1963&lt;&gt;"-","Aguardando Pix",'Banco de Dados'!$AC1963&lt;&gt;"-","Pendente"),"Aguardando Liberação")</f>
        <v>Aguardando Liberação</v>
      </c>
      <c r="AH1963" s="5" t="str">
        <f>IF('Banco de Dados'!$F1963="-",_xlfn.CONCAT(PROPER(TEXT(AK1963,"aaaa"))," ",PROPER(TEXT(AK1963,"mm"))),_xlfn.CONCAT(PROPER(TEXT(E1963,"aaaa"))," ",PROPER(TEXT(E1963,"mm"))))</f>
        <v>2025 07</v>
      </c>
      <c r="AI1963" s="9" t="str">
        <f ca="1">IF('Banco de Dados'!$AK1963&lt;&gt;"-","REEMBOLSO",IFERROR(_xlfn.XLOOKUP(G1963,Follow[CODRASTREIO],Follow[STATUS]),"-"))</f>
        <v>ENTREGUE</v>
      </c>
      <c r="AJ1963" s="9">
        <f ca="1">IF('Banco de Dados'!$AI1963="ENTREGUE",_xlfn.XLOOKUP('Banco de Dados'!$G1963,Follow[CODRASTREIO],Follow[DATAATUALIZAÇÃO]),"-")</f>
        <v>45859</v>
      </c>
      <c r="AK1963" s="132" t="str">
        <f ca="1"/>
        <v>-</v>
      </c>
      <c r="AL1963" s="35"/>
      <c r="AM1963" s="109" cm="1">
        <f t="array" aca="1" ref="AM1963" ca="1">IF('Banco de Dados'!$AK1963&lt;&gt;"-",_xlfn.IFS('Banco de Dados'!$A1963="bv",IF('Banco de Dados'!$E1963&lt;45641,ROUND(SUM('Banco de Dados'!$R1963*_xlfn.XLOOKUP('Banco de Dados'!$P1963,Sku!B:B,Sku!#REF!)*20%),2),ROUND(SUM('Banco de Dados'!$R1963*_xlfn.XLOOKUP('Banco de Dados'!$P1963,Sku!B:B,Sku!H:H)*20%),2)),'Banco de Dados'!$A1963="GO",ROUND(_xlfn.XLOOKUP('Banco de Dados'!$P1963,Sku!C:C,Sku!H:H),2),'Banco de Dados'!$A1963="MEI",ROUND(_xlfn.XLOOKUP('Banco de Dados'!$P1963,Sku!D:D,Sku!H:H),2)),0)</f>
        <v>0</v>
      </c>
      <c r="AN1963" s="109">
        <v>0</v>
      </c>
      <c r="AO1963" s="109">
        <v>0</v>
      </c>
      <c r="AP1963" s="28">
        <f ca="1">IF('Banco de Dados'!$AK1963&lt;&gt;"-",IF('Banco de Dados'!$AL1963="NÃO",IFERROR(VALUE(SUBSTITUTE(_xlfn.TEXTAFTER('Banco de Dados'!$F1963,"BRL ",1),".",",")),0),0),0)</f>
        <v>0</v>
      </c>
      <c r="AQ1963" s="28">
        <f ca="1">SUM('Banco de Dados'!$AM1963:$AP1963)</f>
        <v>0</v>
      </c>
      <c r="AR1963" s="8"/>
      <c r="AS1963" s="8"/>
      <c r="AT1963"/>
      <c r="AY1963" s="8"/>
    </row>
    <row r="1964" spans="1:51">
      <c r="A1964" s="5" t="str">
        <v>BV</v>
      </c>
      <c r="B1964" s="5" t="str">
        <f ca="1"/>
        <v>BV45856</v>
      </c>
      <c r="C1964" s="8" t="str">
        <v>Pedido 1950</v>
      </c>
      <c r="D1964" s="187">
        <v>45851</v>
      </c>
      <c r="E1964" s="9">
        <v>45856</v>
      </c>
      <c r="F1964" s="2" t="str">
        <v>PedidoF1835</v>
      </c>
      <c r="G1964" s="2" t="str">
        <v>CódRastreio1833</v>
      </c>
      <c r="H1964" s="5">
        <v>1</v>
      </c>
      <c r="I1964" s="182" t="str">
        <v>CPF 1906</v>
      </c>
      <c r="J1964" s="2" t="str">
        <v>Nome 1906</v>
      </c>
      <c r="K1964" s="8" t="str">
        <v>Tel 1906</v>
      </c>
      <c r="L1964" s="8" t="str">
        <v>Cep 1906</v>
      </c>
      <c r="M1964" s="8" t="str">
        <v>Rua 1906</v>
      </c>
      <c r="N1964" s="8" t="str">
        <v>Comp 1906</v>
      </c>
      <c r="O1964" s="8" t="str">
        <v>Bolsa térmica</v>
      </c>
      <c r="P1964" s="8" t="str">
        <v>6I-CK1S-8HYZ</v>
      </c>
      <c r="Q1964" s="4">
        <v>45864</v>
      </c>
      <c r="R1964" s="109">
        <v>28.5</v>
      </c>
      <c r="S1964" s="11">
        <f ca="1"/>
        <v>28.5</v>
      </c>
      <c r="T1964" s="28">
        <f ca="1"/>
        <v>3.42</v>
      </c>
      <c r="U1964" s="11">
        <f ca="1"/>
        <v>25.08</v>
      </c>
      <c r="V1964" s="11">
        <v>22.58</v>
      </c>
      <c r="W1964" s="11">
        <f ca="1"/>
        <v>0</v>
      </c>
      <c r="X1964" s="11">
        <f ca="1"/>
        <v>0.39877104377104378</v>
      </c>
      <c r="Y1964" s="11">
        <v>0</v>
      </c>
      <c r="Z1964" s="11">
        <f ca="1"/>
        <v>2.1012289562289546</v>
      </c>
      <c r="AA1964" s="11">
        <f ca="1"/>
        <v>1.0506144781144773</v>
      </c>
      <c r="AB1964" s="4">
        <f ca="1"/>
        <v>45871</v>
      </c>
      <c r="AC1964" s="4">
        <v>45871</v>
      </c>
      <c r="AD1964" s="9">
        <v>45887</v>
      </c>
      <c r="AE1964" s="9">
        <v>45888</v>
      </c>
      <c r="AF1964" s="4" t="str">
        <f t="shared" ca="1" si="144"/>
        <v>2025 08</v>
      </c>
      <c r="AG1964" s="8" t="str" cm="1">
        <f t="array" ref="AG1964">IFERROR(_xlfn.IFS('Banco de Dados'!#REF!="AG. COMPRA","Em processamento",'Banco de Dados'!#REF!="AG. RASTREIO","Em processamento",'Banco de Dados'!$AE1964&lt;&gt;"-","Faturado",'Banco de Dados'!$AD1964&lt;&gt;"-","Aguardando Pix",'Banco de Dados'!$AC1964&lt;&gt;"-","Pendente"),"Aguardando Liberação")</f>
        <v>Aguardando Liberação</v>
      </c>
      <c r="AH1964" s="5" t="str">
        <f>IF('Banco de Dados'!$F1964="-",_xlfn.CONCAT(PROPER(TEXT(AK1964,"aaaa"))," ",PROPER(TEXT(AK1964,"mm"))),_xlfn.CONCAT(PROPER(TEXT(E1964,"aaaa"))," ",PROPER(TEXT(E1964,"mm"))))</f>
        <v>2025 07</v>
      </c>
      <c r="AI1964" s="9" t="str">
        <f ca="1">IF('Banco de Dados'!$AK1964&lt;&gt;"-","REEMBOLSO",IFERROR(_xlfn.XLOOKUP(G1964,Follow[CODRASTREIO],Follow[STATUS]),"-"))</f>
        <v>ENTREGUE</v>
      </c>
      <c r="AJ1964" s="9">
        <f ca="1">IF('Banco de Dados'!$AI1964="ENTREGUE",_xlfn.XLOOKUP('Banco de Dados'!$G1964,Follow[CODRASTREIO],Follow[DATAATUALIZAÇÃO]),"-")</f>
        <v>45859</v>
      </c>
      <c r="AK1964" s="132" t="str">
        <f ca="1"/>
        <v>-</v>
      </c>
      <c r="AL1964" s="35"/>
      <c r="AM1964" s="109" cm="1">
        <f t="array" aca="1" ref="AM1964" ca="1">IF('Banco de Dados'!$AK1964&lt;&gt;"-",_xlfn.IFS('Banco de Dados'!$A1964="bv",IF('Banco de Dados'!$E1964&lt;45641,ROUND(SUM('Banco de Dados'!$R1964*_xlfn.XLOOKUP('Banco de Dados'!$P1964,Sku!B:B,Sku!#REF!)*20%),2),ROUND(SUM('Banco de Dados'!$R1964*_xlfn.XLOOKUP('Banco de Dados'!$P1964,Sku!B:B,Sku!H:H)*20%),2)),'Banco de Dados'!$A1964="GO",ROUND(_xlfn.XLOOKUP('Banco de Dados'!$P1964,Sku!C:C,Sku!H:H),2),'Banco de Dados'!$A1964="MEI",ROUND(_xlfn.XLOOKUP('Banco de Dados'!$P1964,Sku!D:D,Sku!H:H),2)),0)</f>
        <v>0</v>
      </c>
      <c r="AN1964" s="109">
        <v>0</v>
      </c>
      <c r="AO1964" s="109">
        <v>0</v>
      </c>
      <c r="AP1964" s="28">
        <f ca="1">IF('Banco de Dados'!$AK1964&lt;&gt;"-",IF('Banco de Dados'!$AL1964="NÃO",IFERROR(VALUE(SUBSTITUTE(_xlfn.TEXTAFTER('Banco de Dados'!$F1964,"BRL ",1),".",",")),0),0),0)</f>
        <v>0</v>
      </c>
      <c r="AQ1964" s="28">
        <f ca="1">SUM('Banco de Dados'!$AM1964:$AP1964)</f>
        <v>0</v>
      </c>
      <c r="AR1964" s="8"/>
      <c r="AS1964" s="8"/>
      <c r="AT1964"/>
      <c r="AY1964" s="8"/>
    </row>
    <row r="1965" spans="1:51">
      <c r="A1965" s="5" t="str">
        <v>BV</v>
      </c>
      <c r="B1965" s="5" t="str">
        <f ca="1"/>
        <v>BV45852</v>
      </c>
      <c r="C1965" s="8" t="str">
        <v>Pedido 1951</v>
      </c>
      <c r="D1965" s="187">
        <v>45850</v>
      </c>
      <c r="E1965" s="9">
        <v>45852</v>
      </c>
      <c r="F1965" s="2" t="str">
        <v>PedidoF1836</v>
      </c>
      <c r="G1965" s="2" t="str">
        <v>CódRastreio1834</v>
      </c>
      <c r="H1965" s="5">
        <v>1</v>
      </c>
      <c r="I1965" s="182" t="str">
        <v>CPF 1907</v>
      </c>
      <c r="J1965" s="2" t="str">
        <v>Nome 1907</v>
      </c>
      <c r="K1965" s="8" t="str">
        <v>Tel 1907</v>
      </c>
      <c r="L1965" s="8" t="str">
        <v>Cep 1907</v>
      </c>
      <c r="M1965" s="8" t="str">
        <v>Rua 1907</v>
      </c>
      <c r="N1965" s="8" t="str">
        <v>Comp 1907</v>
      </c>
      <c r="O1965" s="8" t="str">
        <v>Máquina de cortar cabelo dragão</v>
      </c>
      <c r="P1965" s="8" t="str">
        <v>HG-2FNR-01A9</v>
      </c>
      <c r="Q1965" s="4">
        <v>45868</v>
      </c>
      <c r="R1965" s="109">
        <v>23.9</v>
      </c>
      <c r="S1965" s="11">
        <f ca="1"/>
        <v>23.9</v>
      </c>
      <c r="T1965" s="28">
        <f ca="1"/>
        <v>2.8679999999999999</v>
      </c>
      <c r="U1965" s="11">
        <f ca="1"/>
        <v>21.03</v>
      </c>
      <c r="V1965" s="11">
        <v>16.98</v>
      </c>
      <c r="W1965" s="11">
        <f ca="1"/>
        <v>0</v>
      </c>
      <c r="X1965" s="11">
        <f ca="1"/>
        <v>0.39877104377104378</v>
      </c>
      <c r="Y1965" s="11">
        <v>0</v>
      </c>
      <c r="Z1965" s="11">
        <f ca="1"/>
        <v>3.6512289562289553</v>
      </c>
      <c r="AA1965" s="11">
        <f ca="1"/>
        <v>1.8256144781144776</v>
      </c>
      <c r="AB1965" s="4">
        <f ca="1"/>
        <v>45875</v>
      </c>
      <c r="AC1965" s="4">
        <v>45875</v>
      </c>
      <c r="AD1965" s="9">
        <v>45887</v>
      </c>
      <c r="AE1965" s="9">
        <v>45888</v>
      </c>
      <c r="AF1965" s="4" t="str">
        <f t="shared" ca="1" si="144"/>
        <v>2025 08</v>
      </c>
      <c r="AG1965" s="8" t="str" cm="1">
        <f t="array" ref="AG1965">IFERROR(_xlfn.IFS('Banco de Dados'!#REF!="AG. COMPRA","Em processamento",'Banco de Dados'!#REF!="AG. RASTREIO","Em processamento",'Banco de Dados'!$AE1965&lt;&gt;"-","Faturado",'Banco de Dados'!$AD1965&lt;&gt;"-","Aguardando Pix",'Banco de Dados'!$AC1965&lt;&gt;"-","Pendente"),"Aguardando Liberação")</f>
        <v>Aguardando Liberação</v>
      </c>
      <c r="AH1965" s="5" t="str">
        <f>IF('Banco de Dados'!$F1965="-",_xlfn.CONCAT(PROPER(TEXT(AK1965,"aaaa"))," ",PROPER(TEXT(AK1965,"mm"))),_xlfn.CONCAT(PROPER(TEXT(E1965,"aaaa"))," ",PROPER(TEXT(E1965,"mm"))))</f>
        <v>2025 07</v>
      </c>
      <c r="AI1965" s="9" t="str">
        <f ca="1">IF('Banco de Dados'!$AK1965&lt;&gt;"-","REEMBOLSO",IFERROR(_xlfn.XLOOKUP(G1965,Follow[CODRASTREIO],Follow[STATUS]),"-"))</f>
        <v>ENTREGUE</v>
      </c>
      <c r="AJ1965" s="9">
        <f ca="1">IF('Banco de Dados'!$AI1965="ENTREGUE",_xlfn.XLOOKUP('Banco de Dados'!$G1965,Follow[CODRASTREIO],Follow[DATAATUALIZAÇÃO]),"-")</f>
        <v>45859</v>
      </c>
      <c r="AK1965" s="132" t="str">
        <f ca="1"/>
        <v>-</v>
      </c>
      <c r="AL1965" s="35"/>
      <c r="AM1965" s="109" cm="1">
        <f t="array" aca="1" ref="AM1965" ca="1">IF('Banco de Dados'!$AK1965&lt;&gt;"-",_xlfn.IFS('Banco de Dados'!$A1965="bv",IF('Banco de Dados'!$E1965&lt;45641,ROUND(SUM('Banco de Dados'!$R1965*_xlfn.XLOOKUP('Banco de Dados'!$P1965,Sku!B:B,Sku!#REF!)*20%),2),ROUND(SUM('Banco de Dados'!$R1965*_xlfn.XLOOKUP('Banco de Dados'!$P1965,Sku!B:B,Sku!H:H)*20%),2)),'Banco de Dados'!$A1965="GO",ROUND(_xlfn.XLOOKUP('Banco de Dados'!$P1965,Sku!C:C,Sku!H:H),2),'Banco de Dados'!$A1965="MEI",ROUND(_xlfn.XLOOKUP('Banco de Dados'!$P1965,Sku!D:D,Sku!H:H),2)),0)</f>
        <v>0</v>
      </c>
      <c r="AN1965" s="109">
        <v>0</v>
      </c>
      <c r="AO1965" s="109">
        <v>0</v>
      </c>
      <c r="AP1965" s="28">
        <f ca="1">IF('Banco de Dados'!$AK1965&lt;&gt;"-",IF('Banco de Dados'!$AL1965="NÃO",IFERROR(VALUE(SUBSTITUTE(_xlfn.TEXTAFTER('Banco de Dados'!$F1965,"BRL ",1),".",",")),0),0),0)</f>
        <v>0</v>
      </c>
      <c r="AQ1965" s="28">
        <f ca="1">SUM('Banco de Dados'!$AM1965:$AP1965)</f>
        <v>0</v>
      </c>
      <c r="AR1965" s="8"/>
      <c r="AS1965" s="8"/>
      <c r="AT1965"/>
      <c r="AY1965" s="8"/>
    </row>
    <row r="1966" spans="1:51">
      <c r="A1966" s="5" t="str">
        <v>BV</v>
      </c>
      <c r="B1966" s="5" t="str">
        <f ca="1"/>
        <v>BV45856</v>
      </c>
      <c r="C1966" s="8" t="str">
        <v>Pedido 1952</v>
      </c>
      <c r="D1966" s="187">
        <v>45852</v>
      </c>
      <c r="E1966" s="9">
        <v>45856</v>
      </c>
      <c r="F1966" s="2" t="str">
        <v>PedidoF1837</v>
      </c>
      <c r="G1966" s="2" t="str">
        <v>CódRastreio1835</v>
      </c>
      <c r="H1966" s="5">
        <v>1</v>
      </c>
      <c r="I1966" s="182" t="str">
        <v>CPF 1908</v>
      </c>
      <c r="J1966" s="2" t="str">
        <v>Nome 1908</v>
      </c>
      <c r="K1966" s="8" t="str">
        <v>Tel 1908</v>
      </c>
      <c r="L1966" s="8" t="str">
        <v>Cep 1908</v>
      </c>
      <c r="M1966" s="8" t="str">
        <v>Rua 1908</v>
      </c>
      <c r="N1966" s="8" t="str">
        <v>Comp 1908</v>
      </c>
      <c r="O1966" s="8" t="str">
        <v>Bolsa térmica</v>
      </c>
      <c r="P1966" s="8" t="str">
        <v>6I-CK1S-8HYZ</v>
      </c>
      <c r="Q1966" s="4">
        <v>45867</v>
      </c>
      <c r="R1966" s="109">
        <v>28.5</v>
      </c>
      <c r="S1966" s="11">
        <f ca="1"/>
        <v>28.5</v>
      </c>
      <c r="T1966" s="28">
        <f ca="1"/>
        <v>3.42</v>
      </c>
      <c r="U1966" s="11">
        <f ca="1"/>
        <v>25.08</v>
      </c>
      <c r="V1966" s="11">
        <v>22.58</v>
      </c>
      <c r="W1966" s="11">
        <f ca="1"/>
        <v>0</v>
      </c>
      <c r="X1966" s="11">
        <f ca="1"/>
        <v>0.39877104377104378</v>
      </c>
      <c r="Y1966" s="11">
        <v>0</v>
      </c>
      <c r="Z1966" s="11">
        <f ca="1"/>
        <v>2.1012289562289546</v>
      </c>
      <c r="AA1966" s="11">
        <f ca="1"/>
        <v>1.0506144781144773</v>
      </c>
      <c r="AB1966" s="4">
        <f ca="1"/>
        <v>45874</v>
      </c>
      <c r="AC1966" s="4">
        <v>45874</v>
      </c>
      <c r="AD1966" s="9">
        <v>45887</v>
      </c>
      <c r="AE1966" s="9">
        <v>45888</v>
      </c>
      <c r="AF1966" s="4" t="str">
        <f t="shared" ca="1" si="144"/>
        <v>2025 08</v>
      </c>
      <c r="AG1966" s="8" t="str" cm="1">
        <f t="array" ref="AG1966">IFERROR(_xlfn.IFS('Banco de Dados'!#REF!="AG. COMPRA","Em processamento",'Banco de Dados'!#REF!="AG. RASTREIO","Em processamento",'Banco de Dados'!$AE1966&lt;&gt;"-","Faturado",'Banco de Dados'!$AD1966&lt;&gt;"-","Aguardando Pix",'Banco de Dados'!$AC1966&lt;&gt;"-","Pendente"),"Aguardando Liberação")</f>
        <v>Aguardando Liberação</v>
      </c>
      <c r="AH1966" s="5" t="str">
        <f>IF('Banco de Dados'!$F1966="-",_xlfn.CONCAT(PROPER(TEXT(AK1966,"aaaa"))," ",PROPER(TEXT(AK1966,"mm"))),_xlfn.CONCAT(PROPER(TEXT(E1966,"aaaa"))," ",PROPER(TEXT(E1966,"mm"))))</f>
        <v>2025 07</v>
      </c>
      <c r="AI1966" s="9" t="str">
        <f ca="1">IF('Banco de Dados'!$AK1966&lt;&gt;"-","REEMBOLSO",IFERROR(_xlfn.XLOOKUP(G1966,Follow[CODRASTREIO],Follow[STATUS]),"-"))</f>
        <v>ENTREGUE</v>
      </c>
      <c r="AJ1966" s="9">
        <f ca="1">IF('Banco de Dados'!$AI1966="ENTREGUE",_xlfn.XLOOKUP('Banco de Dados'!$G1966,Follow[CODRASTREIO],Follow[DATAATUALIZAÇÃO]),"-")</f>
        <v>45859</v>
      </c>
      <c r="AK1966" s="132" t="str">
        <f ca="1"/>
        <v>-</v>
      </c>
      <c r="AL1966" s="35"/>
      <c r="AM1966" s="109" cm="1">
        <f t="array" aca="1" ref="AM1966" ca="1">IF('Banco de Dados'!$AK1966&lt;&gt;"-",_xlfn.IFS('Banco de Dados'!$A1966="bv",IF('Banco de Dados'!$E1966&lt;45641,ROUND(SUM('Banco de Dados'!$R1966*_xlfn.XLOOKUP('Banco de Dados'!$P1966,Sku!B:B,Sku!#REF!)*20%),2),ROUND(SUM('Banco de Dados'!$R1966*_xlfn.XLOOKUP('Banco de Dados'!$P1966,Sku!B:B,Sku!H:H)*20%),2)),'Banco de Dados'!$A1966="GO",ROUND(_xlfn.XLOOKUP('Banco de Dados'!$P1966,Sku!C:C,Sku!H:H),2),'Banco de Dados'!$A1966="MEI",ROUND(_xlfn.XLOOKUP('Banco de Dados'!$P1966,Sku!D:D,Sku!H:H),2)),0)</f>
        <v>0</v>
      </c>
      <c r="AN1966" s="109">
        <v>0</v>
      </c>
      <c r="AO1966" s="109">
        <v>0</v>
      </c>
      <c r="AP1966" s="28">
        <f ca="1">IF('Banco de Dados'!$AK1966&lt;&gt;"-",IF('Banco de Dados'!$AL1966="NÃO",IFERROR(VALUE(SUBSTITUTE(_xlfn.TEXTAFTER('Banco de Dados'!$F1966,"BRL ",1),".",",")),0),0),0)</f>
        <v>0</v>
      </c>
      <c r="AQ1966" s="28">
        <f ca="1">SUM('Banco de Dados'!$AM1966:$AP1966)</f>
        <v>0</v>
      </c>
      <c r="AR1966" s="8"/>
      <c r="AS1966" s="8"/>
      <c r="AT1966"/>
      <c r="AY1966" s="8"/>
    </row>
    <row r="1967" spans="1:51">
      <c r="A1967" s="5" t="str">
        <v>BV</v>
      </c>
      <c r="B1967" s="5" t="str">
        <f ca="1"/>
        <v>BV45856</v>
      </c>
      <c r="C1967" s="8" t="str">
        <v>Pedido 1953</v>
      </c>
      <c r="D1967" s="187">
        <v>45852</v>
      </c>
      <c r="E1967" s="9">
        <v>45856</v>
      </c>
      <c r="F1967" s="2" t="str">
        <v>PedidoF1838</v>
      </c>
      <c r="G1967" s="2" t="str">
        <v>CódRastreio1836</v>
      </c>
      <c r="H1967" s="5">
        <v>1</v>
      </c>
      <c r="I1967" s="182" t="str">
        <v>CPF 1909</v>
      </c>
      <c r="J1967" s="2" t="str">
        <v>Nome 1909</v>
      </c>
      <c r="K1967" s="8" t="str">
        <v>Tel 1909</v>
      </c>
      <c r="L1967" s="8" t="str">
        <v>Cep 1909</v>
      </c>
      <c r="M1967" s="8" t="str">
        <v>Rua 1909</v>
      </c>
      <c r="N1967" s="8" t="str">
        <v>Comp 1909</v>
      </c>
      <c r="O1967" s="8" t="str">
        <v>Bolsa térmica</v>
      </c>
      <c r="P1967" s="8" t="str">
        <v>6I-CK1S-8HYZ</v>
      </c>
      <c r="Q1967" s="4">
        <v>45867</v>
      </c>
      <c r="R1967" s="109">
        <v>28.5</v>
      </c>
      <c r="S1967" s="11">
        <f ca="1"/>
        <v>28.5</v>
      </c>
      <c r="T1967" s="28">
        <f ca="1"/>
        <v>3.42</v>
      </c>
      <c r="U1967" s="11">
        <f ca="1"/>
        <v>25.08</v>
      </c>
      <c r="V1967" s="11">
        <v>22.58</v>
      </c>
      <c r="W1967" s="11">
        <f ca="1"/>
        <v>0</v>
      </c>
      <c r="X1967" s="11">
        <f ca="1"/>
        <v>0.39877104377104378</v>
      </c>
      <c r="Y1967" s="11">
        <v>0</v>
      </c>
      <c r="Z1967" s="11">
        <f ca="1"/>
        <v>2.1012289562289546</v>
      </c>
      <c r="AA1967" s="11">
        <f ca="1"/>
        <v>1.0506144781144773</v>
      </c>
      <c r="AB1967" s="4">
        <f ca="1"/>
        <v>45874</v>
      </c>
      <c r="AC1967" s="4">
        <v>45874</v>
      </c>
      <c r="AD1967" s="9">
        <v>45887</v>
      </c>
      <c r="AE1967" s="9">
        <v>45888</v>
      </c>
      <c r="AF1967" s="4" t="str">
        <f t="shared" ca="1" si="144"/>
        <v>2025 08</v>
      </c>
      <c r="AG1967" s="8" t="str" cm="1">
        <f t="array" ref="AG1967">IFERROR(_xlfn.IFS('Banco de Dados'!#REF!="AG. COMPRA","Em processamento",'Banco de Dados'!#REF!="AG. RASTREIO","Em processamento",'Banco de Dados'!$AE1967&lt;&gt;"-","Faturado",'Banco de Dados'!$AD1967&lt;&gt;"-","Aguardando Pix",'Banco de Dados'!$AC1967&lt;&gt;"-","Pendente"),"Aguardando Liberação")</f>
        <v>Aguardando Liberação</v>
      </c>
      <c r="AH1967" s="5" t="str">
        <f>IF('Banco de Dados'!$F1967="-",_xlfn.CONCAT(PROPER(TEXT(AK1967,"aaaa"))," ",PROPER(TEXT(AK1967,"mm"))),_xlfn.CONCAT(PROPER(TEXT(E1967,"aaaa"))," ",PROPER(TEXT(E1967,"mm"))))</f>
        <v>2025 07</v>
      </c>
      <c r="AI1967" s="9" t="str">
        <f ca="1">IF('Banco de Dados'!$AK1967&lt;&gt;"-","REEMBOLSO",IFERROR(_xlfn.XLOOKUP(G1967,Follow[CODRASTREIO],Follow[STATUS]),"-"))</f>
        <v>ENTREGUE</v>
      </c>
      <c r="AJ1967" s="9">
        <f ca="1">IF('Banco de Dados'!$AI1967="ENTREGUE",_xlfn.XLOOKUP('Banco de Dados'!$G1967,Follow[CODRASTREIO],Follow[DATAATUALIZAÇÃO]),"-")</f>
        <v>45860</v>
      </c>
      <c r="AK1967" s="132" t="str">
        <f ca="1"/>
        <v>-</v>
      </c>
      <c r="AL1967" s="35"/>
      <c r="AM1967" s="109" cm="1">
        <f t="array" aca="1" ref="AM1967" ca="1">IF('Banco de Dados'!$AK1967&lt;&gt;"-",_xlfn.IFS('Banco de Dados'!$A1967="bv",IF('Banco de Dados'!$E1967&lt;45641,ROUND(SUM('Banco de Dados'!$R1967*_xlfn.XLOOKUP('Banco de Dados'!$P1967,Sku!B:B,Sku!#REF!)*20%),2),ROUND(SUM('Banco de Dados'!$R1967*_xlfn.XLOOKUP('Banco de Dados'!$P1967,Sku!B:B,Sku!H:H)*20%),2)),'Banco de Dados'!$A1967="GO",ROUND(_xlfn.XLOOKUP('Banco de Dados'!$P1967,Sku!C:C,Sku!H:H),2),'Banco de Dados'!$A1967="MEI",ROUND(_xlfn.XLOOKUP('Banco de Dados'!$P1967,Sku!D:D,Sku!H:H),2)),0)</f>
        <v>0</v>
      </c>
      <c r="AN1967" s="109">
        <v>0</v>
      </c>
      <c r="AO1967" s="109">
        <v>0</v>
      </c>
      <c r="AP1967" s="28">
        <f ca="1">IF('Banco de Dados'!$AK1967&lt;&gt;"-",IF('Banco de Dados'!$AL1967="NÃO",IFERROR(VALUE(SUBSTITUTE(_xlfn.TEXTAFTER('Banco de Dados'!$F1967,"BRL ",1),".",",")),0),0),0)</f>
        <v>0</v>
      </c>
      <c r="AQ1967" s="28">
        <f ca="1">SUM('Banco de Dados'!$AM1967:$AP1967)</f>
        <v>0</v>
      </c>
      <c r="AR1967" s="8"/>
      <c r="AS1967" s="8"/>
      <c r="AT1967"/>
      <c r="AY1967" s="8"/>
    </row>
    <row r="1968" spans="1:51">
      <c r="A1968" s="5" t="str">
        <v>BV</v>
      </c>
      <c r="B1968" s="5" t="str">
        <f ca="1"/>
        <v>BV45856</v>
      </c>
      <c r="C1968" s="8" t="str">
        <v>Pedido 1954</v>
      </c>
      <c r="D1968" s="187">
        <v>45852</v>
      </c>
      <c r="E1968" s="9">
        <v>45856</v>
      </c>
      <c r="F1968" s="2" t="str">
        <v>PedidoF1839</v>
      </c>
      <c r="G1968" s="2" t="str">
        <v>CódRastreio1837</v>
      </c>
      <c r="H1968" s="5">
        <v>1</v>
      </c>
      <c r="I1968" s="182" t="str">
        <v>CPF 1910</v>
      </c>
      <c r="J1968" s="2" t="str">
        <v>Nome 1910</v>
      </c>
      <c r="K1968" s="8" t="str">
        <v>Tel 1910</v>
      </c>
      <c r="L1968" s="8" t="str">
        <v>Cep 1910</v>
      </c>
      <c r="M1968" s="8" t="str">
        <v>Rua 1910</v>
      </c>
      <c r="N1968" s="8" t="str">
        <v>Comp 1910</v>
      </c>
      <c r="O1968" s="8" t="str">
        <v>Bolsa térmica</v>
      </c>
      <c r="P1968" s="8" t="str">
        <v>6I-CK1S-8HYZ</v>
      </c>
      <c r="Q1968" s="4">
        <v>45867</v>
      </c>
      <c r="R1968" s="109">
        <v>28.5</v>
      </c>
      <c r="S1968" s="11">
        <f ca="1"/>
        <v>28.5</v>
      </c>
      <c r="T1968" s="28">
        <f ca="1"/>
        <v>3.42</v>
      </c>
      <c r="U1968" s="11">
        <f ca="1"/>
        <v>25.08</v>
      </c>
      <c r="V1968" s="11">
        <v>22.58</v>
      </c>
      <c r="W1968" s="11">
        <f ca="1"/>
        <v>0</v>
      </c>
      <c r="X1968" s="11">
        <f ca="1"/>
        <v>0.39877104377104378</v>
      </c>
      <c r="Y1968" s="11">
        <v>0</v>
      </c>
      <c r="Z1968" s="11">
        <f ca="1"/>
        <v>2.1012289562289546</v>
      </c>
      <c r="AA1968" s="11">
        <f ca="1"/>
        <v>1.0506144781144773</v>
      </c>
      <c r="AB1968" s="4">
        <f ca="1"/>
        <v>45874</v>
      </c>
      <c r="AC1968" s="4">
        <v>45874</v>
      </c>
      <c r="AD1968" s="9">
        <v>45887</v>
      </c>
      <c r="AE1968" s="9">
        <v>45888</v>
      </c>
      <c r="AF1968" s="4" t="str">
        <f t="shared" ca="1" si="144"/>
        <v>2025 08</v>
      </c>
      <c r="AG1968" s="8" t="str" cm="1">
        <f t="array" ref="AG1968">IFERROR(_xlfn.IFS('Banco de Dados'!#REF!="AG. COMPRA","Em processamento",'Banco de Dados'!#REF!="AG. RASTREIO","Em processamento",'Banco de Dados'!$AE1968&lt;&gt;"-","Faturado",'Banco de Dados'!$AD1968&lt;&gt;"-","Aguardando Pix",'Banco de Dados'!$AC1968&lt;&gt;"-","Pendente"),"Aguardando Liberação")</f>
        <v>Aguardando Liberação</v>
      </c>
      <c r="AH1968" s="5" t="str">
        <f>IF('Banco de Dados'!$F1968="-",_xlfn.CONCAT(PROPER(TEXT(AK1968,"aaaa"))," ",PROPER(TEXT(AK1968,"mm"))),_xlfn.CONCAT(PROPER(TEXT(E1968,"aaaa"))," ",PROPER(TEXT(E1968,"mm"))))</f>
        <v>2025 07</v>
      </c>
      <c r="AI1968" s="9" t="str">
        <f ca="1">IF('Banco de Dados'!$AK1968&lt;&gt;"-","REEMBOLSO",IFERROR(_xlfn.XLOOKUP(G1968,Follow[CODRASTREIO],Follow[STATUS]),"-"))</f>
        <v>ENTREGUE</v>
      </c>
      <c r="AJ1968" s="9">
        <f ca="1">IF('Banco de Dados'!$AI1968="ENTREGUE",_xlfn.XLOOKUP('Banco de Dados'!$G1968,Follow[CODRASTREIO],Follow[DATAATUALIZAÇÃO]),"-")</f>
        <v>45859</v>
      </c>
      <c r="AK1968" s="132" t="str">
        <f ca="1"/>
        <v>-</v>
      </c>
      <c r="AL1968" s="35"/>
      <c r="AM1968" s="109" cm="1">
        <f t="array" aca="1" ref="AM1968" ca="1">IF('Banco de Dados'!$AK1968&lt;&gt;"-",_xlfn.IFS('Banco de Dados'!$A1968="bv",IF('Banco de Dados'!$E1968&lt;45641,ROUND(SUM('Banco de Dados'!$R1968*_xlfn.XLOOKUP('Banco de Dados'!$P1968,Sku!B:B,Sku!#REF!)*20%),2),ROUND(SUM('Banco de Dados'!$R1968*_xlfn.XLOOKUP('Banco de Dados'!$P1968,Sku!B:B,Sku!H:H)*20%),2)),'Banco de Dados'!$A1968="GO",ROUND(_xlfn.XLOOKUP('Banco de Dados'!$P1968,Sku!C:C,Sku!H:H),2),'Banco de Dados'!$A1968="MEI",ROUND(_xlfn.XLOOKUP('Banco de Dados'!$P1968,Sku!D:D,Sku!H:H),2)),0)</f>
        <v>0</v>
      </c>
      <c r="AN1968" s="109">
        <v>0</v>
      </c>
      <c r="AO1968" s="109">
        <v>0</v>
      </c>
      <c r="AP1968" s="28">
        <f ca="1">IF('Banco de Dados'!$AK1968&lt;&gt;"-",IF('Banco de Dados'!$AL1968="NÃO",IFERROR(VALUE(SUBSTITUTE(_xlfn.TEXTAFTER('Banco de Dados'!$F1968,"BRL ",1),".",",")),0),0),0)</f>
        <v>0</v>
      </c>
      <c r="AQ1968" s="28">
        <f ca="1">SUM('Banco de Dados'!$AM1968:$AP1968)</f>
        <v>0</v>
      </c>
      <c r="AR1968" s="8"/>
      <c r="AS1968" s="8"/>
      <c r="AT1968"/>
      <c r="AY1968" s="8"/>
    </row>
    <row r="1969" spans="1:51">
      <c r="A1969" s="5" t="str">
        <v>BV</v>
      </c>
      <c r="B1969" s="5" t="str">
        <f ca="1"/>
        <v>BV45856</v>
      </c>
      <c r="C1969" s="8" t="str">
        <v>Pedido 1955</v>
      </c>
      <c r="D1969" s="187">
        <v>45852</v>
      </c>
      <c r="E1969" s="9">
        <v>45856</v>
      </c>
      <c r="F1969" s="2" t="str">
        <v>PedidoF1840</v>
      </c>
      <c r="G1969" s="2" t="str">
        <v>CódRastreio1838</v>
      </c>
      <c r="H1969" s="5">
        <v>1</v>
      </c>
      <c r="I1969" s="182" t="str">
        <v>CPF 1911</v>
      </c>
      <c r="J1969" s="2" t="str">
        <v>Nome 1911</v>
      </c>
      <c r="K1969" s="8" t="str">
        <v>Tel 1911</v>
      </c>
      <c r="L1969" s="8" t="str">
        <v>Cep 1911</v>
      </c>
      <c r="M1969" s="8" t="str">
        <v>Rua 1911</v>
      </c>
      <c r="N1969" s="8" t="str">
        <v>Comp 1911</v>
      </c>
      <c r="O1969" s="8" t="str">
        <v>Bolsa térmica</v>
      </c>
      <c r="P1969" s="8" t="str">
        <v>6I-CK1S-8HYZ</v>
      </c>
      <c r="Q1969" s="4">
        <v>45867</v>
      </c>
      <c r="R1969" s="109">
        <v>28.5</v>
      </c>
      <c r="S1969" s="11">
        <f ca="1"/>
        <v>28.5</v>
      </c>
      <c r="T1969" s="28">
        <f ca="1"/>
        <v>3.42</v>
      </c>
      <c r="U1969" s="11">
        <f ca="1"/>
        <v>25.08</v>
      </c>
      <c r="V1969" s="11">
        <v>22.58</v>
      </c>
      <c r="W1969" s="11">
        <f ca="1"/>
        <v>0</v>
      </c>
      <c r="X1969" s="11">
        <f ca="1"/>
        <v>0.39877104377104378</v>
      </c>
      <c r="Y1969" s="11">
        <v>0</v>
      </c>
      <c r="Z1969" s="11">
        <f ca="1"/>
        <v>2.1012289562289546</v>
      </c>
      <c r="AA1969" s="11">
        <f ca="1"/>
        <v>1.0506144781144773</v>
      </c>
      <c r="AB1969" s="4">
        <f ca="1"/>
        <v>45874</v>
      </c>
      <c r="AC1969" s="4">
        <v>45874</v>
      </c>
      <c r="AD1969" s="9">
        <v>45887</v>
      </c>
      <c r="AE1969" s="9">
        <v>45888</v>
      </c>
      <c r="AF1969" s="4" t="str">
        <f t="shared" ca="1" si="144"/>
        <v>2025 08</v>
      </c>
      <c r="AG1969" s="8" t="str" cm="1">
        <f t="array" ref="AG1969">IFERROR(_xlfn.IFS('Banco de Dados'!#REF!="AG. COMPRA","Em processamento",'Banco de Dados'!#REF!="AG. RASTREIO","Em processamento",'Banco de Dados'!$AE1969&lt;&gt;"-","Faturado",'Banco de Dados'!$AD1969&lt;&gt;"-","Aguardando Pix",'Banco de Dados'!$AC1969&lt;&gt;"-","Pendente"),"Aguardando Liberação")</f>
        <v>Aguardando Liberação</v>
      </c>
      <c r="AH1969" s="5" t="str">
        <f>IF('Banco de Dados'!$F1969="-",_xlfn.CONCAT(PROPER(TEXT(AK1969,"aaaa"))," ",PROPER(TEXT(AK1969,"mm"))),_xlfn.CONCAT(PROPER(TEXT(E1969,"aaaa"))," ",PROPER(TEXT(E1969,"mm"))))</f>
        <v>2025 07</v>
      </c>
      <c r="AI1969" s="9" t="str">
        <f ca="1">IF('Banco de Dados'!$AK1969&lt;&gt;"-","REEMBOLSO",IFERROR(_xlfn.XLOOKUP(G1969,Follow[CODRASTREIO],Follow[STATUS]),"-"))</f>
        <v>ENTREGUE</v>
      </c>
      <c r="AJ1969" s="9">
        <f ca="1">IF('Banco de Dados'!$AI1969="ENTREGUE",_xlfn.XLOOKUP('Banco de Dados'!$G1969,Follow[CODRASTREIO],Follow[DATAATUALIZAÇÃO]),"-")</f>
        <v>45858</v>
      </c>
      <c r="AK1969" s="132" t="str">
        <f ca="1"/>
        <v>-</v>
      </c>
      <c r="AL1969" s="35"/>
      <c r="AM1969" s="109" cm="1">
        <f t="array" aca="1" ref="AM1969" ca="1">IF('Banco de Dados'!$AK1969&lt;&gt;"-",_xlfn.IFS('Banco de Dados'!$A1969="bv",IF('Banco de Dados'!$E1969&lt;45641,ROUND(SUM('Banco de Dados'!$R1969*_xlfn.XLOOKUP('Banco de Dados'!$P1969,Sku!B:B,Sku!#REF!)*20%),2),ROUND(SUM('Banco de Dados'!$R1969*_xlfn.XLOOKUP('Banco de Dados'!$P1969,Sku!B:B,Sku!H:H)*20%),2)),'Banco de Dados'!$A1969="GO",ROUND(_xlfn.XLOOKUP('Banco de Dados'!$P1969,Sku!C:C,Sku!H:H),2),'Banco de Dados'!$A1969="MEI",ROUND(_xlfn.XLOOKUP('Banco de Dados'!$P1969,Sku!D:D,Sku!H:H),2)),0)</f>
        <v>0</v>
      </c>
      <c r="AN1969" s="109">
        <v>0</v>
      </c>
      <c r="AO1969" s="109">
        <v>0</v>
      </c>
      <c r="AP1969" s="28">
        <f ca="1">IF('Banco de Dados'!$AK1969&lt;&gt;"-",IF('Banco de Dados'!$AL1969="NÃO",IFERROR(VALUE(SUBSTITUTE(_xlfn.TEXTAFTER('Banco de Dados'!$F1969,"BRL ",1),".",",")),0),0),0)</f>
        <v>0</v>
      </c>
      <c r="AQ1969" s="28">
        <f ca="1">SUM('Banco de Dados'!$AM1969:$AP1969)</f>
        <v>0</v>
      </c>
      <c r="AR1969" s="8"/>
      <c r="AS1969" s="8"/>
      <c r="AT1969"/>
      <c r="AY1969" s="8"/>
    </row>
    <row r="1970" spans="1:51">
      <c r="A1970" s="5" t="str">
        <v>BV</v>
      </c>
      <c r="B1970" s="5" t="str">
        <f ca="1"/>
        <v>BV45856</v>
      </c>
      <c r="C1970" s="8" t="str">
        <v>Pedido 1956</v>
      </c>
      <c r="D1970" s="187">
        <v>45852</v>
      </c>
      <c r="E1970" s="9">
        <v>45856</v>
      </c>
      <c r="F1970" s="2" t="str">
        <v>PedidoF1841</v>
      </c>
      <c r="G1970" s="2" t="str">
        <v>CódRastreio1839</v>
      </c>
      <c r="H1970" s="5">
        <v>1</v>
      </c>
      <c r="I1970" s="182" t="str">
        <v>CPF 1912</v>
      </c>
      <c r="J1970" s="2" t="str">
        <v>Nome 1912</v>
      </c>
      <c r="K1970" s="8" t="str">
        <v>Tel 1912</v>
      </c>
      <c r="L1970" s="8" t="str">
        <v>Cep 1912</v>
      </c>
      <c r="M1970" s="8" t="str">
        <v>Rua 1912</v>
      </c>
      <c r="N1970" s="8" t="str">
        <v>Comp 1912</v>
      </c>
      <c r="O1970" s="8" t="str">
        <v>Bolsa térmica</v>
      </c>
      <c r="P1970" s="8" t="str">
        <v>6I-CK1S-8HYZ</v>
      </c>
      <c r="Q1970" s="4">
        <v>45867</v>
      </c>
      <c r="R1970" s="109">
        <v>28.5</v>
      </c>
      <c r="S1970" s="11">
        <f ca="1"/>
        <v>28.5</v>
      </c>
      <c r="T1970" s="28">
        <f ca="1"/>
        <v>3.42</v>
      </c>
      <c r="U1970" s="11">
        <f ca="1"/>
        <v>25.08</v>
      </c>
      <c r="V1970" s="11">
        <v>22.58</v>
      </c>
      <c r="W1970" s="11">
        <f ca="1"/>
        <v>0</v>
      </c>
      <c r="X1970" s="11">
        <f ca="1"/>
        <v>0.39877104377104378</v>
      </c>
      <c r="Y1970" s="11">
        <v>0</v>
      </c>
      <c r="Z1970" s="11">
        <f ca="1"/>
        <v>2.1012289562289546</v>
      </c>
      <c r="AA1970" s="11">
        <f ca="1"/>
        <v>1.0506144781144773</v>
      </c>
      <c r="AB1970" s="4">
        <f ca="1"/>
        <v>45874</v>
      </c>
      <c r="AC1970" s="4">
        <v>45874</v>
      </c>
      <c r="AD1970" s="9">
        <v>45887</v>
      </c>
      <c r="AE1970" s="9">
        <v>45888</v>
      </c>
      <c r="AF1970" s="4" t="str">
        <f t="shared" ca="1" si="144"/>
        <v>2025 08</v>
      </c>
      <c r="AG1970" s="8" t="str" cm="1">
        <f t="array" ref="AG1970">IFERROR(_xlfn.IFS('Banco de Dados'!#REF!="AG. COMPRA","Em processamento",'Banco de Dados'!#REF!="AG. RASTREIO","Em processamento",'Banco de Dados'!$AE1970&lt;&gt;"-","Faturado",'Banco de Dados'!$AD1970&lt;&gt;"-","Aguardando Pix",'Banco de Dados'!$AC1970&lt;&gt;"-","Pendente"),"Aguardando Liberação")</f>
        <v>Aguardando Liberação</v>
      </c>
      <c r="AH1970" s="5" t="str">
        <f>IF('Banco de Dados'!$F1970="-",_xlfn.CONCAT(PROPER(TEXT(AK1970,"aaaa"))," ",PROPER(TEXT(AK1970,"mm"))),_xlfn.CONCAT(PROPER(TEXT(E1970,"aaaa"))," ",PROPER(TEXT(E1970,"mm"))))</f>
        <v>2025 07</v>
      </c>
      <c r="AI1970" s="9" t="str">
        <f ca="1">IF('Banco de Dados'!$AK1970&lt;&gt;"-","REEMBOLSO",IFERROR(_xlfn.XLOOKUP(G1970,Follow[CODRASTREIO],Follow[STATUS]),"-"))</f>
        <v>ENTREGUE</v>
      </c>
      <c r="AJ1970" s="9">
        <f ca="1">IF('Banco de Dados'!$AI1970="ENTREGUE",_xlfn.XLOOKUP('Banco de Dados'!$G1970,Follow[CODRASTREIO],Follow[DATAATUALIZAÇÃO]),"-")</f>
        <v>45859</v>
      </c>
      <c r="AK1970" s="132" t="str">
        <f ca="1"/>
        <v>-</v>
      </c>
      <c r="AL1970" s="35"/>
      <c r="AM1970" s="109" cm="1">
        <f t="array" aca="1" ref="AM1970" ca="1">IF('Banco de Dados'!$AK1970&lt;&gt;"-",_xlfn.IFS('Banco de Dados'!$A1970="bv",IF('Banco de Dados'!$E1970&lt;45641,ROUND(SUM('Banco de Dados'!$R1970*_xlfn.XLOOKUP('Banco de Dados'!$P1970,Sku!B:B,Sku!#REF!)*20%),2),ROUND(SUM('Banco de Dados'!$R1970*_xlfn.XLOOKUP('Banco de Dados'!$P1970,Sku!B:B,Sku!H:H)*20%),2)),'Banco de Dados'!$A1970="GO",ROUND(_xlfn.XLOOKUP('Banco de Dados'!$P1970,Sku!C:C,Sku!H:H),2),'Banco de Dados'!$A1970="MEI",ROUND(_xlfn.XLOOKUP('Banco de Dados'!$P1970,Sku!D:D,Sku!H:H),2)),0)</f>
        <v>0</v>
      </c>
      <c r="AN1970" s="109">
        <v>0</v>
      </c>
      <c r="AO1970" s="109">
        <v>0</v>
      </c>
      <c r="AP1970" s="28">
        <f ca="1">IF('Banco de Dados'!$AK1970&lt;&gt;"-",IF('Banco de Dados'!$AL1970="NÃO",IFERROR(VALUE(SUBSTITUTE(_xlfn.TEXTAFTER('Banco de Dados'!$F1970,"BRL ",1),".",",")),0),0),0)</f>
        <v>0</v>
      </c>
      <c r="AQ1970" s="28">
        <f ca="1">SUM('Banco de Dados'!$AM1970:$AP1970)</f>
        <v>0</v>
      </c>
      <c r="AR1970" s="8"/>
      <c r="AS1970" s="8"/>
      <c r="AT1970"/>
      <c r="AY1970" s="8"/>
    </row>
    <row r="1971" spans="1:51">
      <c r="A1971" s="5" t="str">
        <v>BV</v>
      </c>
      <c r="B1971" s="5" t="str">
        <f ca="1"/>
        <v>BV45856</v>
      </c>
      <c r="C1971" s="8" t="str">
        <v>Pedido 1957</v>
      </c>
      <c r="D1971" s="187">
        <v>45852</v>
      </c>
      <c r="E1971" s="9">
        <v>45856</v>
      </c>
      <c r="F1971" s="2" t="str">
        <v>PedidoF1842</v>
      </c>
      <c r="G1971" s="2" t="str">
        <v>CódRastreio1840</v>
      </c>
      <c r="H1971" s="5">
        <v>1</v>
      </c>
      <c r="I1971" s="182" t="str">
        <v>CPF 1913</v>
      </c>
      <c r="J1971" s="2" t="str">
        <v>Nome 1913</v>
      </c>
      <c r="K1971" s="8" t="str">
        <v>Tel 1913</v>
      </c>
      <c r="L1971" s="8" t="str">
        <v>Cep 1913</v>
      </c>
      <c r="M1971" s="8" t="str">
        <v>Rua 1913</v>
      </c>
      <c r="N1971" s="8" t="str">
        <v>Comp 1913</v>
      </c>
      <c r="O1971" s="8" t="str">
        <v>Bolsa térmica</v>
      </c>
      <c r="P1971" s="8" t="str">
        <v>6I-CK1S-8HYZ</v>
      </c>
      <c r="Q1971" s="4">
        <v>45871</v>
      </c>
      <c r="R1971" s="109">
        <v>28.5</v>
      </c>
      <c r="S1971" s="11">
        <f ca="1"/>
        <v>28.5</v>
      </c>
      <c r="T1971" s="28">
        <f ca="1"/>
        <v>3.42</v>
      </c>
      <c r="U1971" s="11">
        <f ca="1"/>
        <v>25.08</v>
      </c>
      <c r="V1971" s="11">
        <v>22.58</v>
      </c>
      <c r="W1971" s="11">
        <f ca="1"/>
        <v>0</v>
      </c>
      <c r="X1971" s="11">
        <f ca="1"/>
        <v>0.39877104377104378</v>
      </c>
      <c r="Y1971" s="11">
        <v>0</v>
      </c>
      <c r="Z1971" s="11">
        <f ca="1"/>
        <v>2.1012289562289546</v>
      </c>
      <c r="AA1971" s="11">
        <f ca="1"/>
        <v>1.0506144781144773</v>
      </c>
      <c r="AB1971" s="4">
        <f ca="1"/>
        <v>45878</v>
      </c>
      <c r="AC1971" s="4">
        <v>45878</v>
      </c>
      <c r="AD1971" s="9">
        <v>45887</v>
      </c>
      <c r="AE1971" s="9">
        <v>45888</v>
      </c>
      <c r="AF1971" s="4" t="str">
        <f t="shared" ca="1" si="144"/>
        <v>2025 08</v>
      </c>
      <c r="AG1971" s="8" t="str" cm="1">
        <f t="array" ref="AG1971">IFERROR(_xlfn.IFS('Banco de Dados'!#REF!="AG. COMPRA","Em processamento",'Banco de Dados'!#REF!="AG. RASTREIO","Em processamento",'Banco de Dados'!$AE1971&lt;&gt;"-","Faturado",'Banco de Dados'!$AD1971&lt;&gt;"-","Aguardando Pix",'Banco de Dados'!$AC1971&lt;&gt;"-","Pendente"),"Aguardando Liberação")</f>
        <v>Aguardando Liberação</v>
      </c>
      <c r="AH1971" s="5" t="str">
        <f>IF('Banco de Dados'!$F1971="-",_xlfn.CONCAT(PROPER(TEXT(AK1971,"aaaa"))," ",PROPER(TEXT(AK1971,"mm"))),_xlfn.CONCAT(PROPER(TEXT(E1971,"aaaa"))," ",PROPER(TEXT(E1971,"mm"))))</f>
        <v>2025 07</v>
      </c>
      <c r="AI1971" s="9" t="str">
        <f ca="1">IF('Banco de Dados'!$AK1971&lt;&gt;"-","REEMBOLSO",IFERROR(_xlfn.XLOOKUP(G1971,Follow[CODRASTREIO],Follow[STATUS]),"-"))</f>
        <v>ENTREGUE</v>
      </c>
      <c r="AJ1971" s="9">
        <f ca="1">IF('Banco de Dados'!$AI1971="ENTREGUE",_xlfn.XLOOKUP('Banco de Dados'!$G1971,Follow[CODRASTREIO],Follow[DATAATUALIZAÇÃO]),"-")</f>
        <v>45860</v>
      </c>
      <c r="AK1971" s="132" t="str">
        <f ca="1"/>
        <v>-</v>
      </c>
      <c r="AL1971" s="35"/>
      <c r="AM1971" s="109" cm="1">
        <f t="array" aca="1" ref="AM1971" ca="1">IF('Banco de Dados'!$AK1971&lt;&gt;"-",_xlfn.IFS('Banco de Dados'!$A1971="bv",IF('Banco de Dados'!$E1971&lt;45641,ROUND(SUM('Banco de Dados'!$R1971*_xlfn.XLOOKUP('Banco de Dados'!$P1971,Sku!B:B,Sku!#REF!)*20%),2),ROUND(SUM('Banco de Dados'!$R1971*_xlfn.XLOOKUP('Banco de Dados'!$P1971,Sku!B:B,Sku!H:H)*20%),2)),'Banco de Dados'!$A1971="GO",ROUND(_xlfn.XLOOKUP('Banco de Dados'!$P1971,Sku!C:C,Sku!H:H),2),'Banco de Dados'!$A1971="MEI",ROUND(_xlfn.XLOOKUP('Banco de Dados'!$P1971,Sku!D:D,Sku!H:H),2)),0)</f>
        <v>0</v>
      </c>
      <c r="AN1971" s="109">
        <v>0</v>
      </c>
      <c r="AO1971" s="109">
        <v>0</v>
      </c>
      <c r="AP1971" s="28">
        <f ca="1">IF('Banco de Dados'!$AK1971&lt;&gt;"-",IF('Banco de Dados'!$AL1971="NÃO",IFERROR(VALUE(SUBSTITUTE(_xlfn.TEXTAFTER('Banco de Dados'!$F1971,"BRL ",1),".",",")),0),0),0)</f>
        <v>0</v>
      </c>
      <c r="AQ1971" s="28">
        <f ca="1">SUM('Banco de Dados'!$AM1971:$AP1971)</f>
        <v>0</v>
      </c>
      <c r="AR1971" s="8"/>
      <c r="AS1971" s="8"/>
      <c r="AT1971"/>
      <c r="AY1971" s="8"/>
    </row>
    <row r="1972" spans="1:51">
      <c r="A1972" s="5" t="str">
        <v>BV</v>
      </c>
      <c r="B1972" s="5" t="str">
        <f ca="1"/>
        <v>BV45856</v>
      </c>
      <c r="C1972" s="8" t="str">
        <v>Pedido 1958</v>
      </c>
      <c r="D1972" s="187">
        <v>45852</v>
      </c>
      <c r="E1972" s="9">
        <v>45856</v>
      </c>
      <c r="F1972" s="2" t="str">
        <v>PedidoF1843</v>
      </c>
      <c r="G1972" s="2" t="str">
        <v>CódRastreio1841</v>
      </c>
      <c r="H1972" s="5">
        <v>1</v>
      </c>
      <c r="I1972" s="182" t="str">
        <v>CPF 1914</v>
      </c>
      <c r="J1972" s="2" t="str">
        <v>Nome 1914</v>
      </c>
      <c r="K1972" s="8" t="str">
        <v>Tel 1914</v>
      </c>
      <c r="L1972" s="8" t="str">
        <v>Cep 1914</v>
      </c>
      <c r="M1972" s="8" t="str">
        <v>Rua 1914</v>
      </c>
      <c r="N1972" s="8" t="str">
        <v>Comp 1914</v>
      </c>
      <c r="O1972" s="8" t="str">
        <v>Bolsa térmica</v>
      </c>
      <c r="P1972" s="8" t="str">
        <v>6I-CK1S-8HYZ</v>
      </c>
      <c r="Q1972" s="4">
        <v>45877</v>
      </c>
      <c r="R1972" s="109">
        <v>28.5</v>
      </c>
      <c r="S1972" s="11">
        <f ca="1"/>
        <v>28.5</v>
      </c>
      <c r="T1972" s="28">
        <f ca="1"/>
        <v>3.42</v>
      </c>
      <c r="U1972" s="11">
        <f ca="1"/>
        <v>25.08</v>
      </c>
      <c r="V1972" s="11">
        <v>22.58</v>
      </c>
      <c r="W1972" s="11">
        <f ca="1"/>
        <v>0</v>
      </c>
      <c r="X1972" s="11">
        <f ca="1"/>
        <v>0.39877104377104378</v>
      </c>
      <c r="Y1972" s="11">
        <v>2</v>
      </c>
      <c r="Z1972" s="11">
        <f ca="1"/>
        <v>0.10122895622895456</v>
      </c>
      <c r="AA1972" s="11">
        <f ca="1"/>
        <v>5.0614478114477279E-2</v>
      </c>
      <c r="AB1972" s="4">
        <f ca="1"/>
        <v>45884</v>
      </c>
      <c r="AC1972" s="4">
        <v>45884</v>
      </c>
      <c r="AD1972" s="9">
        <v>45887</v>
      </c>
      <c r="AE1972" s="9">
        <v>45888</v>
      </c>
      <c r="AF1972" s="4" t="str">
        <f t="shared" ca="1" si="144"/>
        <v>2025 08</v>
      </c>
      <c r="AG1972" s="8" t="str" cm="1">
        <f t="array" ref="AG1972">IFERROR(_xlfn.IFS('Banco de Dados'!#REF!="AG. COMPRA","Em processamento",'Banco de Dados'!#REF!="AG. RASTREIO","Em processamento",'Banco de Dados'!$AE1972&lt;&gt;"-","Faturado",'Banco de Dados'!$AD1972&lt;&gt;"-","Aguardando Pix",'Banco de Dados'!$AC1972&lt;&gt;"-","Pendente"),"Aguardando Liberação")</f>
        <v>Aguardando Liberação</v>
      </c>
      <c r="AH1972" s="5" t="str">
        <f>IF('Banco de Dados'!$F1972="-",_xlfn.CONCAT(PROPER(TEXT(AK1972,"aaaa"))," ",PROPER(TEXT(AK1972,"mm"))),_xlfn.CONCAT(PROPER(TEXT(E1972,"aaaa"))," ",PROPER(TEXT(E1972,"mm"))))</f>
        <v>2025 07</v>
      </c>
      <c r="AI1972" s="9" t="str">
        <f ca="1">IF('Banco de Dados'!$AK1972&lt;&gt;"-","REEMBOLSO",IFERROR(_xlfn.XLOOKUP(G1972,Follow[CODRASTREIO],Follow[STATUS]),"-"))</f>
        <v>ENTREGUE</v>
      </c>
      <c r="AJ1972" s="9">
        <f ca="1">IF('Banco de Dados'!$AI1972="ENTREGUE",_xlfn.XLOOKUP('Banco de Dados'!$G1972,Follow[CODRASTREIO],Follow[DATAATUALIZAÇÃO]),"-")</f>
        <v>45862</v>
      </c>
      <c r="AK1972" s="132" t="str">
        <f ca="1"/>
        <v>-</v>
      </c>
      <c r="AL1972" s="35"/>
      <c r="AM1972" s="109" cm="1">
        <f t="array" aca="1" ref="AM1972" ca="1">IF('Banco de Dados'!$AK1972&lt;&gt;"-",_xlfn.IFS('Banco de Dados'!$A1972="bv",IF('Banco de Dados'!$E1972&lt;45641,ROUND(SUM('Banco de Dados'!$R1972*_xlfn.XLOOKUP('Banco de Dados'!$P1972,Sku!B:B,Sku!#REF!)*20%),2),ROUND(SUM('Banco de Dados'!$R1972*_xlfn.XLOOKUP('Banco de Dados'!$P1972,Sku!B:B,Sku!H:H)*20%),2)),'Banco de Dados'!$A1972="GO",ROUND(_xlfn.XLOOKUP('Banco de Dados'!$P1972,Sku!C:C,Sku!H:H),2),'Banco de Dados'!$A1972="MEI",ROUND(_xlfn.XLOOKUP('Banco de Dados'!$P1972,Sku!D:D,Sku!H:H),2)),0)</f>
        <v>0</v>
      </c>
      <c r="AN1972" s="109">
        <v>0</v>
      </c>
      <c r="AO1972" s="109">
        <v>0</v>
      </c>
      <c r="AP1972" s="28">
        <f ca="1">IF('Banco de Dados'!$AK1972&lt;&gt;"-",IF('Banco de Dados'!$AL1972="NÃO",IFERROR(VALUE(SUBSTITUTE(_xlfn.TEXTAFTER('Banco de Dados'!$F1972,"BRL ",1),".",",")),0),0),0)</f>
        <v>0</v>
      </c>
      <c r="AQ1972" s="28">
        <f ca="1">SUM('Banco de Dados'!$AM1972:$AP1972)</f>
        <v>0</v>
      </c>
      <c r="AR1972" s="8"/>
      <c r="AS1972" s="8"/>
      <c r="AT1972"/>
      <c r="AY1972" s="8"/>
    </row>
    <row r="1973" spans="1:51">
      <c r="A1973" s="5" t="str">
        <v>BV</v>
      </c>
      <c r="B1973" s="5" t="str">
        <f ca="1"/>
        <v>BV45856</v>
      </c>
      <c r="C1973" s="8" t="str">
        <v>Pedido 1959</v>
      </c>
      <c r="D1973" s="187">
        <v>45852</v>
      </c>
      <c r="E1973" s="9">
        <v>45856</v>
      </c>
      <c r="F1973" s="2" t="str">
        <v>PedidoF1844</v>
      </c>
      <c r="G1973" s="2" t="str">
        <v>CódRastreio1842</v>
      </c>
      <c r="H1973" s="5">
        <v>1</v>
      </c>
      <c r="I1973" s="182" t="str">
        <v>CPF 1915</v>
      </c>
      <c r="J1973" s="2" t="str">
        <v>Nome 1915</v>
      </c>
      <c r="K1973" s="8" t="str">
        <v>Tel 1915</v>
      </c>
      <c r="L1973" s="8" t="str">
        <v>Cep 1915</v>
      </c>
      <c r="M1973" s="8" t="str">
        <v>Rua 1915</v>
      </c>
      <c r="N1973" s="8" t="str">
        <v>Comp 1915</v>
      </c>
      <c r="O1973" s="8" t="str">
        <v>Bolsa térmica</v>
      </c>
      <c r="P1973" s="8" t="str">
        <v>6I-CK1S-8HYZ</v>
      </c>
      <c r="Q1973" s="4">
        <v>45867</v>
      </c>
      <c r="R1973" s="109">
        <v>28.5</v>
      </c>
      <c r="S1973" s="11">
        <f ca="1"/>
        <v>28.5</v>
      </c>
      <c r="T1973" s="28">
        <f ca="1"/>
        <v>3.42</v>
      </c>
      <c r="U1973" s="11">
        <f ca="1"/>
        <v>25.08</v>
      </c>
      <c r="V1973" s="11">
        <v>22.58</v>
      </c>
      <c r="W1973" s="11">
        <f ca="1"/>
        <v>0</v>
      </c>
      <c r="X1973" s="11">
        <f ca="1"/>
        <v>0.39877104377104378</v>
      </c>
      <c r="Y1973" s="11">
        <v>0</v>
      </c>
      <c r="Z1973" s="11">
        <f ca="1"/>
        <v>2.1012289562289546</v>
      </c>
      <c r="AA1973" s="11">
        <f ca="1"/>
        <v>1.0506144781144773</v>
      </c>
      <c r="AB1973" s="4">
        <f ca="1"/>
        <v>45874</v>
      </c>
      <c r="AC1973" s="4">
        <v>45874</v>
      </c>
      <c r="AD1973" s="9">
        <v>45887</v>
      </c>
      <c r="AE1973" s="9">
        <v>45888</v>
      </c>
      <c r="AF1973" s="4" t="str">
        <f t="shared" ca="1" si="144"/>
        <v>2025 08</v>
      </c>
      <c r="AG1973" s="8" t="str" cm="1">
        <f t="array" ref="AG1973">IFERROR(_xlfn.IFS('Banco de Dados'!#REF!="AG. COMPRA","Em processamento",'Banco de Dados'!#REF!="AG. RASTREIO","Em processamento",'Banco de Dados'!$AE1973&lt;&gt;"-","Faturado",'Banco de Dados'!$AD1973&lt;&gt;"-","Aguardando Pix",'Banco de Dados'!$AC1973&lt;&gt;"-","Pendente"),"Aguardando Liberação")</f>
        <v>Aguardando Liberação</v>
      </c>
      <c r="AH1973" s="5" t="str">
        <f>IF('Banco de Dados'!$F1973="-",_xlfn.CONCAT(PROPER(TEXT(AK1973,"aaaa"))," ",PROPER(TEXT(AK1973,"mm"))),_xlfn.CONCAT(PROPER(TEXT(E1973,"aaaa"))," ",PROPER(TEXT(E1973,"mm"))))</f>
        <v>2025 07</v>
      </c>
      <c r="AI1973" s="9" t="str">
        <f ca="1">IF('Banco de Dados'!$AK1973&lt;&gt;"-","REEMBOLSO",IFERROR(_xlfn.XLOOKUP(G1973,Follow[CODRASTREIO],Follow[STATUS]),"-"))</f>
        <v>ENTREGUE</v>
      </c>
      <c r="AJ1973" s="9">
        <f ca="1">IF('Banco de Dados'!$AI1973="ENTREGUE",_xlfn.XLOOKUP('Banco de Dados'!$G1973,Follow[CODRASTREIO],Follow[DATAATUALIZAÇÃO]),"-")</f>
        <v>45859</v>
      </c>
      <c r="AK1973" s="132" t="str">
        <f ca="1"/>
        <v>-</v>
      </c>
      <c r="AL1973" s="35"/>
      <c r="AM1973" s="109" cm="1">
        <f t="array" aca="1" ref="AM1973" ca="1">IF('Banco de Dados'!$AK1973&lt;&gt;"-",_xlfn.IFS('Banco de Dados'!$A1973="bv",IF('Banco de Dados'!$E1973&lt;45641,ROUND(SUM('Banco de Dados'!$R1973*_xlfn.XLOOKUP('Banco de Dados'!$P1973,Sku!B:B,Sku!#REF!)*20%),2),ROUND(SUM('Banco de Dados'!$R1973*_xlfn.XLOOKUP('Banco de Dados'!$P1973,Sku!B:B,Sku!H:H)*20%),2)),'Banco de Dados'!$A1973="GO",ROUND(_xlfn.XLOOKUP('Banco de Dados'!$P1973,Sku!C:C,Sku!H:H),2),'Banco de Dados'!$A1973="MEI",ROUND(_xlfn.XLOOKUP('Banco de Dados'!$P1973,Sku!D:D,Sku!H:H),2)),0)</f>
        <v>0</v>
      </c>
      <c r="AN1973" s="109">
        <v>0</v>
      </c>
      <c r="AO1973" s="109">
        <v>0</v>
      </c>
      <c r="AP1973" s="28">
        <f ca="1">IF('Banco de Dados'!$AK1973&lt;&gt;"-",IF('Banco de Dados'!$AL1973="NÃO",IFERROR(VALUE(SUBSTITUTE(_xlfn.TEXTAFTER('Banco de Dados'!$F1973,"BRL ",1),".",",")),0),0),0)</f>
        <v>0</v>
      </c>
      <c r="AQ1973" s="28">
        <f ca="1">SUM('Banco de Dados'!$AM1973:$AP1973)</f>
        <v>0</v>
      </c>
      <c r="AR1973" s="8"/>
      <c r="AS1973" s="8"/>
      <c r="AT1973"/>
      <c r="AY1973" s="8"/>
    </row>
    <row r="1974" spans="1:51">
      <c r="A1974" s="5" t="str">
        <v>BV</v>
      </c>
      <c r="B1974" s="5" t="str">
        <f ca="1"/>
        <v>BV45853</v>
      </c>
      <c r="C1974" s="8" t="str">
        <v>Pedido 1960</v>
      </c>
      <c r="D1974" s="187">
        <v>45852</v>
      </c>
      <c r="E1974" s="9">
        <v>45853</v>
      </c>
      <c r="F1974" s="2" t="str">
        <v>PedidoF1845</v>
      </c>
      <c r="G1974" s="2" t="str">
        <v>CódRastreio1843</v>
      </c>
      <c r="H1974" s="5">
        <v>3</v>
      </c>
      <c r="I1974" s="182" t="str">
        <v>CPF 1916</v>
      </c>
      <c r="J1974" s="2" t="str">
        <v>Nome 1916</v>
      </c>
      <c r="K1974" s="8" t="str">
        <v>Tel 1916</v>
      </c>
      <c r="L1974" s="8" t="str">
        <v>Cep 1916</v>
      </c>
      <c r="M1974" s="8" t="str">
        <v>Rua 1916</v>
      </c>
      <c r="N1974" s="8" t="str">
        <v>Comp 1916</v>
      </c>
      <c r="O1974" s="8" t="str">
        <v>Bolsa térmica</v>
      </c>
      <c r="P1974" s="8" t="str">
        <v>6I-CK1S-8HYZ</v>
      </c>
      <c r="Q1974" s="4">
        <v>45869</v>
      </c>
      <c r="R1974" s="109">
        <v>85.5</v>
      </c>
      <c r="S1974" s="11">
        <f ca="1"/>
        <v>85.5</v>
      </c>
      <c r="T1974" s="28">
        <f ca="1"/>
        <v>10.26</v>
      </c>
      <c r="U1974" s="11">
        <f ca="1"/>
        <v>75.239999999999995</v>
      </c>
      <c r="V1974" s="11">
        <v>56.18</v>
      </c>
      <c r="W1974" s="11">
        <f ca="1"/>
        <v>0</v>
      </c>
      <c r="X1974" s="11">
        <f ca="1"/>
        <v>0.39877104377104378</v>
      </c>
      <c r="Y1974" s="11">
        <v>0</v>
      </c>
      <c r="Z1974" s="11">
        <f ca="1"/>
        <v>18.661228956228953</v>
      </c>
      <c r="AA1974" s="11">
        <f ca="1"/>
        <v>9.3306144781144766</v>
      </c>
      <c r="AB1974" s="4">
        <f ca="1"/>
        <v>45876</v>
      </c>
      <c r="AC1974" s="4">
        <v>45876</v>
      </c>
      <c r="AD1974" s="9">
        <v>45887</v>
      </c>
      <c r="AE1974" s="9">
        <v>45888</v>
      </c>
      <c r="AF1974" s="4" t="str">
        <f t="shared" ca="1" si="144"/>
        <v>2025 08</v>
      </c>
      <c r="AG1974" s="8" t="str" cm="1">
        <f t="array" ref="AG1974">IFERROR(_xlfn.IFS('Banco de Dados'!#REF!="AG. COMPRA","Em processamento",'Banco de Dados'!#REF!="AG. RASTREIO","Em processamento",'Banco de Dados'!$AE1974&lt;&gt;"-","Faturado",'Banco de Dados'!$AD1974&lt;&gt;"-","Aguardando Pix",'Banco de Dados'!$AC1974&lt;&gt;"-","Pendente"),"Aguardando Liberação")</f>
        <v>Aguardando Liberação</v>
      </c>
      <c r="AH1974" s="5" t="str">
        <f>IF('Banco de Dados'!$F1974="-",_xlfn.CONCAT(PROPER(TEXT(AK1974,"aaaa"))," ",PROPER(TEXT(AK1974,"mm"))),_xlfn.CONCAT(PROPER(TEXT(E1974,"aaaa"))," ",PROPER(TEXT(E1974,"mm"))))</f>
        <v>2025 07</v>
      </c>
      <c r="AI1974" s="9" t="str">
        <f ca="1">IF('Banco de Dados'!$AK1974&lt;&gt;"-","REEMBOLSO",IFERROR(_xlfn.XLOOKUP(G1974,Follow[CODRASTREIO],Follow[STATUS]),"-"))</f>
        <v>ENTREGUE</v>
      </c>
      <c r="AJ1974" s="9">
        <f ca="1">IF('Banco de Dados'!$AI1974="ENTREGUE",_xlfn.XLOOKUP('Banco de Dados'!$G1974,Follow[CODRASTREIO],Follow[DATAATUALIZAÇÃO]),"-")</f>
        <v>45859</v>
      </c>
      <c r="AK1974" s="132" t="str">
        <f ca="1"/>
        <v>-</v>
      </c>
      <c r="AL1974" s="35"/>
      <c r="AM1974" s="109" cm="1">
        <f t="array" aca="1" ref="AM1974" ca="1">IF('Banco de Dados'!$AK1974&lt;&gt;"-",_xlfn.IFS('Banco de Dados'!$A1974="bv",IF('Banco de Dados'!$E1974&lt;45641,ROUND(SUM('Banco de Dados'!$R1974*_xlfn.XLOOKUP('Banco de Dados'!$P1974,Sku!B:B,Sku!#REF!)*20%),2),ROUND(SUM('Banco de Dados'!$R1974*_xlfn.XLOOKUP('Banco de Dados'!$P1974,Sku!B:B,Sku!H:H)*20%),2)),'Banco de Dados'!$A1974="GO",ROUND(_xlfn.XLOOKUP('Banco de Dados'!$P1974,Sku!C:C,Sku!H:H),2),'Banco de Dados'!$A1974="MEI",ROUND(_xlfn.XLOOKUP('Banco de Dados'!$P1974,Sku!D:D,Sku!H:H),2)),0)</f>
        <v>0</v>
      </c>
      <c r="AN1974" s="109">
        <v>0</v>
      </c>
      <c r="AO1974" s="109">
        <v>0</v>
      </c>
      <c r="AP1974" s="28">
        <f ca="1">IF('Banco de Dados'!$AK1974&lt;&gt;"-",IF('Banco de Dados'!$AL1974="NÃO",IFERROR(VALUE(SUBSTITUTE(_xlfn.TEXTAFTER('Banco de Dados'!$F1974,"BRL ",1),".",",")),0),0),0)</f>
        <v>0</v>
      </c>
      <c r="AQ1974" s="28">
        <f ca="1">SUM('Banco de Dados'!$AM1974:$AP1974)</f>
        <v>0</v>
      </c>
      <c r="AR1974" s="8"/>
      <c r="AS1974" s="8"/>
      <c r="AT1974"/>
      <c r="AY1974" s="8"/>
    </row>
    <row r="1975" spans="1:51">
      <c r="A1975" s="5" t="str">
        <v>BV</v>
      </c>
      <c r="B1975" s="5" t="str">
        <f ca="1"/>
        <v>BV45856</v>
      </c>
      <c r="C1975" s="8" t="str">
        <v>Pedido 1961</v>
      </c>
      <c r="D1975" s="187">
        <v>45852</v>
      </c>
      <c r="E1975" s="9">
        <v>45856</v>
      </c>
      <c r="F1975" s="2" t="str">
        <v>PedidoF1846</v>
      </c>
      <c r="G1975" s="2" t="str">
        <v>CódRastreio1844</v>
      </c>
      <c r="H1975" s="5">
        <v>1</v>
      </c>
      <c r="I1975" s="182" t="str">
        <v>CPF 1917</v>
      </c>
      <c r="J1975" s="2" t="str">
        <v>Nome 1917</v>
      </c>
      <c r="K1975" s="8" t="str">
        <v>Tel 1917</v>
      </c>
      <c r="L1975" s="8" t="str">
        <v>Cep 1917</v>
      </c>
      <c r="M1975" s="8" t="str">
        <v>Rua 1917</v>
      </c>
      <c r="N1975" s="8" t="str">
        <v>Comp 1917</v>
      </c>
      <c r="O1975" s="8" t="str">
        <v>Bolsa térmica</v>
      </c>
      <c r="P1975" s="8" t="str">
        <v>6I-CK1S-8HYZ</v>
      </c>
      <c r="Q1975" s="4">
        <v>45867</v>
      </c>
      <c r="R1975" s="109">
        <v>28.5</v>
      </c>
      <c r="S1975" s="11">
        <f ca="1"/>
        <v>28.5</v>
      </c>
      <c r="T1975" s="28">
        <f ca="1"/>
        <v>3.42</v>
      </c>
      <c r="U1975" s="11">
        <f ca="1"/>
        <v>25.08</v>
      </c>
      <c r="V1975" s="11">
        <v>22.58</v>
      </c>
      <c r="W1975" s="11">
        <f ca="1"/>
        <v>0</v>
      </c>
      <c r="X1975" s="11">
        <f ca="1"/>
        <v>0.39877104377104378</v>
      </c>
      <c r="Y1975" s="11">
        <v>0</v>
      </c>
      <c r="Z1975" s="11">
        <f ca="1"/>
        <v>2.1012289562289546</v>
      </c>
      <c r="AA1975" s="11">
        <f ca="1"/>
        <v>1.0506144781144773</v>
      </c>
      <c r="AB1975" s="4">
        <f ca="1"/>
        <v>45874</v>
      </c>
      <c r="AC1975" s="4">
        <v>45874</v>
      </c>
      <c r="AD1975" s="9">
        <v>45887</v>
      </c>
      <c r="AE1975" s="9">
        <v>45888</v>
      </c>
      <c r="AF1975" s="4" t="str">
        <f t="shared" ca="1" si="144"/>
        <v>2025 08</v>
      </c>
      <c r="AG1975" s="8" t="str" cm="1">
        <f t="array" ref="AG1975">IFERROR(_xlfn.IFS('Banco de Dados'!#REF!="AG. COMPRA","Em processamento",'Banco de Dados'!#REF!="AG. RASTREIO","Em processamento",'Banco de Dados'!$AE1975&lt;&gt;"-","Faturado",'Banco de Dados'!$AD1975&lt;&gt;"-","Aguardando Pix",'Banco de Dados'!$AC1975&lt;&gt;"-","Pendente"),"Aguardando Liberação")</f>
        <v>Aguardando Liberação</v>
      </c>
      <c r="AH1975" s="5" t="str">
        <f>IF('Banco de Dados'!$F1975="-",_xlfn.CONCAT(PROPER(TEXT(AK1975,"aaaa"))," ",PROPER(TEXT(AK1975,"mm"))),_xlfn.CONCAT(PROPER(TEXT(E1975,"aaaa"))," ",PROPER(TEXT(E1975,"mm"))))</f>
        <v>2025 07</v>
      </c>
      <c r="AI1975" s="9" t="str">
        <f ca="1">IF('Banco de Dados'!$AK1975&lt;&gt;"-","REEMBOLSO",IFERROR(_xlfn.XLOOKUP(G1975,Follow[CODRASTREIO],Follow[STATUS]),"-"))</f>
        <v>ENTREGUE</v>
      </c>
      <c r="AJ1975" s="9">
        <f ca="1">IF('Banco de Dados'!$AI1975="ENTREGUE",_xlfn.XLOOKUP('Banco de Dados'!$G1975,Follow[CODRASTREIO],Follow[DATAATUALIZAÇÃO]),"-")</f>
        <v>45860</v>
      </c>
      <c r="AK1975" s="132" t="str">
        <f ca="1"/>
        <v>-</v>
      </c>
      <c r="AL1975" s="35"/>
      <c r="AM1975" s="109" cm="1">
        <f t="array" aca="1" ref="AM1975" ca="1">IF('Banco de Dados'!$AK1975&lt;&gt;"-",_xlfn.IFS('Banco de Dados'!$A1975="bv",IF('Banco de Dados'!$E1975&lt;45641,ROUND(SUM('Banco de Dados'!$R1975*_xlfn.XLOOKUP('Banco de Dados'!$P1975,Sku!B:B,Sku!#REF!)*20%),2),ROUND(SUM('Banco de Dados'!$R1975*_xlfn.XLOOKUP('Banco de Dados'!$P1975,Sku!B:B,Sku!H:H)*20%),2)),'Banco de Dados'!$A1975="GO",ROUND(_xlfn.XLOOKUP('Banco de Dados'!$P1975,Sku!C:C,Sku!H:H),2),'Banco de Dados'!$A1975="MEI",ROUND(_xlfn.XLOOKUP('Banco de Dados'!$P1975,Sku!D:D,Sku!H:H),2)),0)</f>
        <v>0</v>
      </c>
      <c r="AN1975" s="109">
        <v>0</v>
      </c>
      <c r="AO1975" s="109">
        <v>0</v>
      </c>
      <c r="AP1975" s="28">
        <f ca="1">IF('Banco de Dados'!$AK1975&lt;&gt;"-",IF('Banco de Dados'!$AL1975="NÃO",IFERROR(VALUE(SUBSTITUTE(_xlfn.TEXTAFTER('Banco de Dados'!$F1975,"BRL ",1),".",",")),0),0),0)</f>
        <v>0</v>
      </c>
      <c r="AQ1975" s="28">
        <f ca="1">SUM('Banco de Dados'!$AM1975:$AP1975)</f>
        <v>0</v>
      </c>
      <c r="AR1975" s="8"/>
      <c r="AS1975" s="8"/>
      <c r="AT1975"/>
      <c r="AY1975" s="8"/>
    </row>
    <row r="1976" spans="1:51">
      <c r="A1976" s="5" t="str">
        <v>BV</v>
      </c>
      <c r="B1976" s="5" t="str">
        <f ca="1"/>
        <v>BV45856</v>
      </c>
      <c r="C1976" s="8" t="str">
        <v>Pedido 1962</v>
      </c>
      <c r="D1976" s="187">
        <v>45852</v>
      </c>
      <c r="E1976" s="9">
        <v>45856</v>
      </c>
      <c r="F1976" s="2" t="str">
        <v>PedidoF1847</v>
      </c>
      <c r="G1976" s="2" t="str">
        <v>CódRastreio1845</v>
      </c>
      <c r="H1976" s="5">
        <v>1</v>
      </c>
      <c r="I1976" s="182" t="str">
        <v>CPF 1918</v>
      </c>
      <c r="J1976" s="2" t="str">
        <v>Nome 1918</v>
      </c>
      <c r="K1976" s="8" t="str">
        <v>Tel 1918</v>
      </c>
      <c r="L1976" s="8" t="str">
        <v>Cep 1918</v>
      </c>
      <c r="M1976" s="8" t="str">
        <v>Rua 1918</v>
      </c>
      <c r="N1976" s="8" t="str">
        <v>Comp 1918</v>
      </c>
      <c r="O1976" s="8" t="str">
        <v>Bolsa térmica</v>
      </c>
      <c r="P1976" s="8" t="str">
        <v>6I-CK1S-8HYZ</v>
      </c>
      <c r="Q1976" s="4">
        <v>45871</v>
      </c>
      <c r="R1976" s="109">
        <v>28.5</v>
      </c>
      <c r="S1976" s="11">
        <f ca="1"/>
        <v>28.5</v>
      </c>
      <c r="T1976" s="28">
        <f ca="1"/>
        <v>3.42</v>
      </c>
      <c r="U1976" s="11">
        <f ca="1"/>
        <v>25.08</v>
      </c>
      <c r="V1976" s="11">
        <v>22.58</v>
      </c>
      <c r="W1976" s="11">
        <f ca="1"/>
        <v>0</v>
      </c>
      <c r="X1976" s="11">
        <f ca="1"/>
        <v>0.39877104377104378</v>
      </c>
      <c r="Y1976" s="11">
        <v>0</v>
      </c>
      <c r="Z1976" s="11">
        <f ca="1"/>
        <v>2.1012289562289546</v>
      </c>
      <c r="AA1976" s="11">
        <f ca="1"/>
        <v>1.0506144781144773</v>
      </c>
      <c r="AB1976" s="4">
        <f ca="1"/>
        <v>45878</v>
      </c>
      <c r="AC1976" s="4">
        <v>45878</v>
      </c>
      <c r="AD1976" s="9">
        <v>45887</v>
      </c>
      <c r="AE1976" s="9">
        <v>45888</v>
      </c>
      <c r="AF1976" s="4" t="str">
        <f t="shared" ca="1" si="144"/>
        <v>2025 08</v>
      </c>
      <c r="AG1976" s="8" t="str" cm="1">
        <f t="array" ref="AG1976">IFERROR(_xlfn.IFS('Banco de Dados'!#REF!="AG. COMPRA","Em processamento",'Banco de Dados'!#REF!="AG. RASTREIO","Em processamento",'Banco de Dados'!$AE1976&lt;&gt;"-","Faturado",'Banco de Dados'!$AD1976&lt;&gt;"-","Aguardando Pix",'Banco de Dados'!$AC1976&lt;&gt;"-","Pendente"),"Aguardando Liberação")</f>
        <v>Aguardando Liberação</v>
      </c>
      <c r="AH1976" s="5" t="str">
        <f>IF('Banco de Dados'!$F1976="-",_xlfn.CONCAT(PROPER(TEXT(AK1976,"aaaa"))," ",PROPER(TEXT(AK1976,"mm"))),_xlfn.CONCAT(PROPER(TEXT(E1976,"aaaa"))," ",PROPER(TEXT(E1976,"mm"))))</f>
        <v>2025 07</v>
      </c>
      <c r="AI1976" s="9" t="str">
        <f ca="1">IF('Banco de Dados'!$AK1976&lt;&gt;"-","REEMBOLSO",IFERROR(_xlfn.XLOOKUP(G1976,Follow[CODRASTREIO],Follow[STATUS]),"-"))</f>
        <v>ENTREGUE</v>
      </c>
      <c r="AJ1976" s="9">
        <f ca="1">IF('Banco de Dados'!$AI1976="ENTREGUE",_xlfn.XLOOKUP('Banco de Dados'!$G1976,Follow[CODRASTREIO],Follow[DATAATUALIZAÇÃO]),"-")</f>
        <v>45860</v>
      </c>
      <c r="AK1976" s="132" t="str">
        <f ca="1"/>
        <v>-</v>
      </c>
      <c r="AL1976" s="35"/>
      <c r="AM1976" s="109" cm="1">
        <f t="array" aca="1" ref="AM1976" ca="1">IF('Banco de Dados'!$AK1976&lt;&gt;"-",_xlfn.IFS('Banco de Dados'!$A1976="bv",IF('Banco de Dados'!$E1976&lt;45641,ROUND(SUM('Banco de Dados'!$R1976*_xlfn.XLOOKUP('Banco de Dados'!$P1976,Sku!B:B,Sku!#REF!)*20%),2),ROUND(SUM('Banco de Dados'!$R1976*_xlfn.XLOOKUP('Banco de Dados'!$P1976,Sku!B:B,Sku!H:H)*20%),2)),'Banco de Dados'!$A1976="GO",ROUND(_xlfn.XLOOKUP('Banco de Dados'!$P1976,Sku!C:C,Sku!H:H),2),'Banco de Dados'!$A1976="MEI",ROUND(_xlfn.XLOOKUP('Banco de Dados'!$P1976,Sku!D:D,Sku!H:H),2)),0)</f>
        <v>0</v>
      </c>
      <c r="AN1976" s="109">
        <v>0</v>
      </c>
      <c r="AO1976" s="109">
        <v>0</v>
      </c>
      <c r="AP1976" s="28">
        <f ca="1">IF('Banco de Dados'!$AK1976&lt;&gt;"-",IF('Banco de Dados'!$AL1976="NÃO",IFERROR(VALUE(SUBSTITUTE(_xlfn.TEXTAFTER('Banco de Dados'!$F1976,"BRL ",1),".",",")),0),0),0)</f>
        <v>0</v>
      </c>
      <c r="AQ1976" s="28">
        <f ca="1">SUM('Banco de Dados'!$AM1976:$AP1976)</f>
        <v>0</v>
      </c>
      <c r="AR1976" s="8"/>
      <c r="AS1976" s="8"/>
      <c r="AT1976"/>
      <c r="AY1976" s="8"/>
    </row>
    <row r="1977" spans="1:51">
      <c r="A1977" s="5" t="str">
        <v>BV</v>
      </c>
      <c r="B1977" s="5" t="str">
        <f ca="1"/>
        <v>BV45853</v>
      </c>
      <c r="C1977" s="8" t="str">
        <v>Pedido 1963</v>
      </c>
      <c r="D1977" s="187">
        <v>45852</v>
      </c>
      <c r="E1977" s="9">
        <v>45853</v>
      </c>
      <c r="F1977" s="2" t="str">
        <v>PedidoF1848</v>
      </c>
      <c r="G1977" s="2" t="str">
        <v>CódRastreio1846</v>
      </c>
      <c r="H1977" s="5">
        <v>1</v>
      </c>
      <c r="I1977" s="182" t="str">
        <v>CPF 1919</v>
      </c>
      <c r="J1977" s="2" t="str">
        <v>Nome 1919</v>
      </c>
      <c r="K1977" s="8" t="str">
        <v>Tel 1919</v>
      </c>
      <c r="L1977" s="8" t="str">
        <v>Cep 1919</v>
      </c>
      <c r="M1977" s="8" t="str">
        <v>Rua 1919</v>
      </c>
      <c r="N1977" s="8" t="str">
        <v>Comp 1919</v>
      </c>
      <c r="O1977" s="8" t="str">
        <v>Bolsa térmica</v>
      </c>
      <c r="P1977" s="8" t="str">
        <v>6I-CK1S-8HYZ</v>
      </c>
      <c r="Q1977" s="4">
        <v>45871</v>
      </c>
      <c r="R1977" s="109">
        <v>28.5</v>
      </c>
      <c r="S1977" s="11">
        <f ca="1"/>
        <v>28.5</v>
      </c>
      <c r="T1977" s="28">
        <f ca="1"/>
        <v>3.42</v>
      </c>
      <c r="U1977" s="11">
        <f ca="1"/>
        <v>25.08</v>
      </c>
      <c r="V1977" s="11">
        <v>25.2</v>
      </c>
      <c r="W1977" s="11">
        <f ca="1"/>
        <v>0</v>
      </c>
      <c r="X1977" s="11">
        <f ca="1"/>
        <v>0.39877104377104378</v>
      </c>
      <c r="Y1977" s="11">
        <v>10</v>
      </c>
      <c r="Z1977" s="11">
        <f ca="1"/>
        <v>-10.518771043771046</v>
      </c>
      <c r="AA1977" s="11">
        <f ca="1"/>
        <v>-5.2593855218855232</v>
      </c>
      <c r="AB1977" s="4">
        <f ca="1"/>
        <v>45878</v>
      </c>
      <c r="AC1977" s="4">
        <v>45878</v>
      </c>
      <c r="AD1977" s="9">
        <v>45887</v>
      </c>
      <c r="AE1977" s="9">
        <v>45888</v>
      </c>
      <c r="AF1977" s="4" t="str">
        <f t="shared" ca="1" si="144"/>
        <v>2025 08</v>
      </c>
      <c r="AG1977" s="8" t="str" cm="1">
        <f t="array" ref="AG1977">IFERROR(_xlfn.IFS('Banco de Dados'!#REF!="AG. COMPRA","Em processamento",'Banco de Dados'!#REF!="AG. RASTREIO","Em processamento",'Banco de Dados'!$AE1977&lt;&gt;"-","Faturado",'Banco de Dados'!$AD1977&lt;&gt;"-","Aguardando Pix",'Banco de Dados'!$AC1977&lt;&gt;"-","Pendente"),"Aguardando Liberação")</f>
        <v>Aguardando Liberação</v>
      </c>
      <c r="AH1977" s="5" t="str">
        <f>IF('Banco de Dados'!$F1977="-",_xlfn.CONCAT(PROPER(TEXT(AK1977,"aaaa"))," ",PROPER(TEXT(AK1977,"mm"))),_xlfn.CONCAT(PROPER(TEXT(E1977,"aaaa"))," ",PROPER(TEXT(E1977,"mm"))))</f>
        <v>2025 07</v>
      </c>
      <c r="AI1977" s="9" t="str">
        <f ca="1">IF('Banco de Dados'!$AK1977&lt;&gt;"-","REEMBOLSO",IFERROR(_xlfn.XLOOKUP(G1977,Follow[CODRASTREIO],Follow[STATUS]),"-"))</f>
        <v>ENTREGUE</v>
      </c>
      <c r="AJ1977" s="9">
        <f ca="1">IF('Banco de Dados'!$AI1977="ENTREGUE",_xlfn.XLOOKUP('Banco de Dados'!$G1977,Follow[CODRASTREIO],Follow[DATAATUALIZAÇÃO]),"-")</f>
        <v>45860</v>
      </c>
      <c r="AK1977" s="132" t="str">
        <f ca="1"/>
        <v>-</v>
      </c>
      <c r="AL1977" s="35"/>
      <c r="AM1977" s="109" cm="1">
        <f t="array" aca="1" ref="AM1977" ca="1">IF('Banco de Dados'!$AK1977&lt;&gt;"-",_xlfn.IFS('Banco de Dados'!$A1977="bv",IF('Banco de Dados'!$E1977&lt;45641,ROUND(SUM('Banco de Dados'!$R1977*_xlfn.XLOOKUP('Banco de Dados'!$P1977,Sku!B:B,Sku!#REF!)*20%),2),ROUND(SUM('Banco de Dados'!$R1977*_xlfn.XLOOKUP('Banco de Dados'!$P1977,Sku!B:B,Sku!H:H)*20%),2)),'Banco de Dados'!$A1977="GO",ROUND(_xlfn.XLOOKUP('Banco de Dados'!$P1977,Sku!C:C,Sku!H:H),2),'Banco de Dados'!$A1977="MEI",ROUND(_xlfn.XLOOKUP('Banco de Dados'!$P1977,Sku!D:D,Sku!H:H),2)),0)</f>
        <v>0</v>
      </c>
      <c r="AN1977" s="109">
        <v>0</v>
      </c>
      <c r="AO1977" s="109">
        <v>0</v>
      </c>
      <c r="AP1977" s="28">
        <f ca="1">IF('Banco de Dados'!$AK1977&lt;&gt;"-",IF('Banco de Dados'!$AL1977="NÃO",IFERROR(VALUE(SUBSTITUTE(_xlfn.TEXTAFTER('Banco de Dados'!$F1977,"BRL ",1),".",",")),0),0),0)</f>
        <v>0</v>
      </c>
      <c r="AQ1977" s="28">
        <f ca="1">SUM('Banco de Dados'!$AM1977:$AP1977)</f>
        <v>0</v>
      </c>
      <c r="AR1977" s="8"/>
      <c r="AS1977" s="8"/>
      <c r="AT1977"/>
      <c r="AY1977" s="8"/>
    </row>
    <row r="1978" spans="1:51">
      <c r="A1978" s="5" t="str">
        <v>BV</v>
      </c>
      <c r="B1978" s="5" t="str">
        <f ca="1"/>
        <v>BV45853</v>
      </c>
      <c r="C1978" s="8" t="str">
        <v>Pedido 1964</v>
      </c>
      <c r="D1978" s="187">
        <v>45852</v>
      </c>
      <c r="E1978" s="9">
        <v>45853</v>
      </c>
      <c r="F1978" s="2" t="str">
        <v>PedidoF1849</v>
      </c>
      <c r="G1978" s="2" t="str">
        <v>CódRastreio1847</v>
      </c>
      <c r="H1978" s="5">
        <v>1</v>
      </c>
      <c r="I1978" s="182" t="str">
        <v>CPF 1920</v>
      </c>
      <c r="J1978" s="2" t="str">
        <v>Nome 1920</v>
      </c>
      <c r="K1978" s="8" t="str">
        <v>Tel 1920</v>
      </c>
      <c r="L1978" s="8" t="str">
        <v>Cep 1920</v>
      </c>
      <c r="M1978" s="8" t="str">
        <v>Rua 1920</v>
      </c>
      <c r="N1978" s="8" t="str">
        <v>Comp 1920</v>
      </c>
      <c r="O1978" s="8" t="str">
        <v>Brinquedo Bola Giratória voadora</v>
      </c>
      <c r="P1978" s="8" t="str">
        <v>ZV-W7II-K7TO</v>
      </c>
      <c r="Q1978" s="4">
        <v>45877</v>
      </c>
      <c r="R1978" s="109">
        <v>49.99</v>
      </c>
      <c r="S1978" s="11">
        <f ca="1"/>
        <v>49.99</v>
      </c>
      <c r="T1978" s="28">
        <f ca="1"/>
        <v>5.9988000000000001</v>
      </c>
      <c r="U1978" s="11">
        <f ca="1"/>
        <v>43.99</v>
      </c>
      <c r="V1978" s="11">
        <v>10.59</v>
      </c>
      <c r="W1978" s="11">
        <f ca="1"/>
        <v>0</v>
      </c>
      <c r="X1978" s="11">
        <f ca="1"/>
        <v>0.39877104377104378</v>
      </c>
      <c r="Y1978" s="11">
        <v>3</v>
      </c>
      <c r="Z1978" s="11">
        <f ca="1"/>
        <v>30.001228956228957</v>
      </c>
      <c r="AA1978" s="11">
        <f ca="1"/>
        <v>15.000614478114478</v>
      </c>
      <c r="AB1978" s="4">
        <f ca="1"/>
        <v>45884</v>
      </c>
      <c r="AC1978" s="4">
        <v>45884</v>
      </c>
      <c r="AD1978" s="9">
        <v>45887</v>
      </c>
      <c r="AE1978" s="9">
        <v>45888</v>
      </c>
      <c r="AF1978" s="4" t="str">
        <f t="shared" ca="1" si="144"/>
        <v>2025 08</v>
      </c>
      <c r="AG1978" s="8" t="str" cm="1">
        <f t="array" ref="AG1978">IFERROR(_xlfn.IFS('Banco de Dados'!#REF!="AG. COMPRA","Em processamento",'Banco de Dados'!#REF!="AG. RASTREIO","Em processamento",'Banco de Dados'!$AE1978&lt;&gt;"-","Faturado",'Banco de Dados'!$AD1978&lt;&gt;"-","Aguardando Pix",'Banco de Dados'!$AC1978&lt;&gt;"-","Pendente"),"Aguardando Liberação")</f>
        <v>Aguardando Liberação</v>
      </c>
      <c r="AH1978" s="5" t="str">
        <f>IF('Banco de Dados'!$F1978="-",_xlfn.CONCAT(PROPER(TEXT(AK1978,"aaaa"))," ",PROPER(TEXT(AK1978,"mm"))),_xlfn.CONCAT(PROPER(TEXT(E1978,"aaaa"))," ",PROPER(TEXT(E1978,"mm"))))</f>
        <v>2025 07</v>
      </c>
      <c r="AI1978" s="9" t="str">
        <f ca="1">IF('Banco de Dados'!$AK1978&lt;&gt;"-","REEMBOLSO",IFERROR(_xlfn.XLOOKUP(G1978,Follow[CODRASTREIO],Follow[STATUS]),"-"))</f>
        <v>ENTREGUE</v>
      </c>
      <c r="AJ1978" s="9">
        <f ca="1">IF('Banco de Dados'!$AI1978="ENTREGUE",_xlfn.XLOOKUP('Banco de Dados'!$G1978,Follow[CODRASTREIO],Follow[DATAATUALIZAÇÃO]),"-")</f>
        <v>45870</v>
      </c>
      <c r="AK1978" s="132" t="str">
        <f ca="1"/>
        <v>-</v>
      </c>
      <c r="AL1978" s="35"/>
      <c r="AM1978" s="109" cm="1">
        <f t="array" aca="1" ref="AM1978" ca="1">IF('Banco de Dados'!$AK1978&lt;&gt;"-",_xlfn.IFS('Banco de Dados'!$A1978="bv",IF('Banco de Dados'!$E1978&lt;45641,ROUND(SUM('Banco de Dados'!$R1978*_xlfn.XLOOKUP('Banco de Dados'!$P1978,Sku!B:B,Sku!#REF!)*20%),2),ROUND(SUM('Banco de Dados'!$R1978*_xlfn.XLOOKUP('Banco de Dados'!$P1978,Sku!B:B,Sku!H:H)*20%),2)),'Banco de Dados'!$A1978="GO",ROUND(_xlfn.XLOOKUP('Banco de Dados'!$P1978,Sku!C:C,Sku!H:H),2),'Banco de Dados'!$A1978="MEI",ROUND(_xlfn.XLOOKUP('Banco de Dados'!$P1978,Sku!D:D,Sku!H:H),2)),0)</f>
        <v>0</v>
      </c>
      <c r="AN1978" s="109">
        <f ca="1">IF('Banco de Dados'!$AK1978&lt;&gt;"-",IF('Banco de Dados'!$F1978&lt;&gt;"-",_xlfn.XLOOKUP(IFERROR(IFERROR(IFERROR(VALUE(SUBSTITUTE(MID(_xlfn.TEXTAFTER('Banco de Dados'!$F1978,"Data do Pedido:
",1),1,10),"-","/")),VALUE(SUBSTITUTE(MID(_xlfn.TEXTAFTER('Banco de Dados'!$F1978,"Order date:
",1),1,10),"-","/"))),VALUE(SUBSTITUTE(MID(_xlfn.TEXTAFTER('Banco de Dados'!$F1978,"Fecha de pedido:
",1),1,10),"-","/"))),"-"),SMS!A:A,SMS!K:K),0),0)</f>
        <v>0</v>
      </c>
      <c r="AO1978" s="109">
        <f ca="1">IF('Banco de Dados'!$AK1978&lt;&gt;"-",IF('Banco de Dados'!$F1978&lt;&gt;"-",IFERROR(_xlfn.XLOOKUP(_xlfn.CONCAT('Banco de Dados'!$A1978,IFERROR(IFERROR(VALUE(SUBSTITUTE(MID(_xlfn.TEXTAFTER('Banco de Dados'!$F1978,"Data do Pedido:
",1),1,10),"-","/")),VALUE(SUBSTITUTE(MID(_xlfn.TEXTAFTER('Banco de Dados'!$F1978,"Order date:
",1),1,10),"-","/"))),0)),ProxyDD[Chave],ProxyDD[Valor por pedido]),PROXY!$P$2),0),0)</f>
        <v>0</v>
      </c>
      <c r="AP1978" s="28">
        <f ca="1">IF('Banco de Dados'!$AK1978&lt;&gt;"-",IF('Banco de Dados'!$AL1978="NÃO",IFERROR(VALUE(SUBSTITUTE(_xlfn.TEXTAFTER('Banco de Dados'!$F1978,"BRL ",1),".",",")),0),0),0)</f>
        <v>0</v>
      </c>
      <c r="AQ1978" s="28">
        <f ca="1">SUM('Banco de Dados'!$AM1978:$AP1978)</f>
        <v>0</v>
      </c>
      <c r="AR1978" s="8"/>
      <c r="AS1978" s="8"/>
      <c r="AT1978"/>
      <c r="AY1978" s="8"/>
    </row>
    <row r="1979" spans="1:51">
      <c r="A1979" s="5" t="str">
        <v>GO</v>
      </c>
      <c r="B1979" s="5" t="str">
        <f ca="1"/>
        <v>GO-</v>
      </c>
      <c r="C1979" s="8" t="str">
        <v>Pedido 1965</v>
      </c>
      <c r="D1979" s="187">
        <v>45851</v>
      </c>
      <c r="E1979" s="9" t="str">
        <v>-</v>
      </c>
      <c r="F1979" s="2" t="str">
        <v>-</v>
      </c>
      <c r="G1979" s="2" t="str">
        <v>-</v>
      </c>
      <c r="H1979" s="5">
        <v>1</v>
      </c>
      <c r="I1979" s="182" t="str">
        <v>CPF 1921</v>
      </c>
      <c r="J1979" s="2" t="str">
        <v>Nome 1921</v>
      </c>
      <c r="K1979" s="8" t="str">
        <v>Tel 1921</v>
      </c>
      <c r="L1979" s="8" t="str">
        <v>Cep 1921</v>
      </c>
      <c r="M1979" s="8" t="str">
        <v>Rua 1921</v>
      </c>
      <c r="N1979" s="8" t="str">
        <v>Comp 1921</v>
      </c>
      <c r="O1979" s="8" t="str">
        <v>Ventilador Umidificador Preto</v>
      </c>
      <c r="P1979" s="8" t="str">
        <v>K9-YV2I-FO7H</v>
      </c>
      <c r="Q1979" s="4">
        <v>45876</v>
      </c>
      <c r="R1979" s="109">
        <v>54.99</v>
      </c>
      <c r="S1979" s="11">
        <f ca="1"/>
        <v>0</v>
      </c>
      <c r="T1979" s="28">
        <f ca="1"/>
        <v>0</v>
      </c>
      <c r="U1979" s="11">
        <f ca="1"/>
        <v>0</v>
      </c>
      <c r="V1979" s="11">
        <v>0</v>
      </c>
      <c r="W1979" s="11">
        <f ca="1"/>
        <v>0</v>
      </c>
      <c r="X1979" s="11">
        <f ca="1"/>
        <v>0</v>
      </c>
      <c r="Y1979" s="11">
        <v>0</v>
      </c>
      <c r="Z1979" s="11">
        <f ca="1"/>
        <v>0</v>
      </c>
      <c r="AA1979" s="11">
        <f ca="1"/>
        <v>0</v>
      </c>
      <c r="AB1979" s="4">
        <f ca="1"/>
        <v>45883</v>
      </c>
      <c r="AC1979" s="4">
        <v>45883</v>
      </c>
      <c r="AD1979" s="9">
        <v>45887</v>
      </c>
      <c r="AE1979" s="9">
        <v>45888</v>
      </c>
      <c r="AF1979" s="4" t="str">
        <f t="shared" ca="1" si="144"/>
        <v>2025 08</v>
      </c>
      <c r="AG1979" s="8" t="str" cm="1">
        <f t="array" ref="AG1979">IFERROR(_xlfn.IFS('Banco de Dados'!#REF!="AG. COMPRA","Em processamento",'Banco de Dados'!#REF!="AG. RASTREIO","Em processamento",'Banco de Dados'!$AE1979&lt;&gt;"-","Faturado",'Banco de Dados'!$AD1979&lt;&gt;"-","Aguardando Pix",'Banco de Dados'!$AC1979&lt;&gt;"-","Pendente"),"Aguardando Liberação")</f>
        <v>Aguardando Liberação</v>
      </c>
      <c r="AH1979" s="5" t="str">
        <f ca="1">IF('Banco de Dados'!$F1979="-",_xlfn.CONCAT(PROPER(TEXT(AK1979,"aaaa"))," ",PROPER(TEXT(AK1979,"mm"))),_xlfn.CONCAT(PROPER(TEXT(E1979,"aaaa"))," ",PROPER(TEXT(E1979,"mm"))))</f>
        <v>2025 07</v>
      </c>
      <c r="AI1979" s="9" t="str">
        <f ca="1">IF('Banco de Dados'!$AK1979&lt;&gt;"-","REEMBOLSO",IFERROR(_xlfn.XLOOKUP(G1979,Follow[CODRASTREIO],Follow[STATUS]),"-"))</f>
        <v>REEMBOLSO</v>
      </c>
      <c r="AJ1979" s="9" t="str">
        <f ca="1">IF('Banco de Dados'!$AI1979="ENTREGUE",_xlfn.XLOOKUP('Banco de Dados'!$G1979,Follow[CODRASTREIO],Follow[DATAATUALIZAÇÃO]),"-")</f>
        <v>-</v>
      </c>
      <c r="AK1979" s="132">
        <f ca="1"/>
        <v>45856</v>
      </c>
      <c r="AL1979" s="35"/>
      <c r="AM1979" s="109" cm="1">
        <f t="array" aca="1" ref="AM1979" ca="1">IF('Banco de Dados'!$AK1979&lt;&gt;"-",_xlfn.IFS('Banco de Dados'!$A1979="bv",IF('Banco de Dados'!$E1979&lt;45641,ROUND(SUM('Banco de Dados'!$R1979*_xlfn.XLOOKUP('Banco de Dados'!$P1979,Sku!B:B,Sku!#REF!)*20%),2),ROUND(SUM('Banco de Dados'!$R1979*_xlfn.XLOOKUP('Banco de Dados'!$P1979,Sku!B:B,Sku!H:H)*20%),2)),'Banco de Dados'!$A1979="GO",ROUND(_xlfn.XLOOKUP('Banco de Dados'!$P1979,Sku!C:C,Sku!H:H),2),'Banco de Dados'!$A1979="MEI",ROUND(_xlfn.XLOOKUP('Banco de Dados'!$P1979,Sku!D:D,Sku!H:H),2)),0)</f>
        <v>0.14000000000000001</v>
      </c>
      <c r="AN1979" s="109">
        <f ca="1">IF('Banco de Dados'!$AK1979&lt;&gt;"-",IF('Banco de Dados'!$F1979&lt;&gt;"-",_xlfn.XLOOKUP(IFERROR(IFERROR(IFERROR(VALUE(SUBSTITUTE(MID(_xlfn.TEXTAFTER('Banco de Dados'!$F1979,"Data do Pedido:
",1),1,10),"-","/")),VALUE(SUBSTITUTE(MID(_xlfn.TEXTAFTER('Banco de Dados'!$F1979,"Order date:
",1),1,10),"-","/"))),VALUE(SUBSTITUTE(MID(_xlfn.TEXTAFTER('Banco de Dados'!$F1979,"Fecha de pedido:
",1),1,10),"-","/"))),"-"),SMS!A:A,SMS!K:K),0),0)</f>
        <v>0</v>
      </c>
      <c r="AO1979" s="109">
        <f ca="1">IF('Banco de Dados'!$AK1979&lt;&gt;"-",IF('Banco de Dados'!$F1979&lt;&gt;"-",IFERROR(_xlfn.XLOOKUP(_xlfn.CONCAT('Banco de Dados'!$A1979,IFERROR(IFERROR(VALUE(SUBSTITUTE(MID(_xlfn.TEXTAFTER('Banco de Dados'!$F1979,"Data do Pedido:
",1),1,10),"-","/")),VALUE(SUBSTITUTE(MID(_xlfn.TEXTAFTER('Banco de Dados'!$F1979,"Order date:
",1),1,10),"-","/"))),0)),ProxyDD[Chave],ProxyDD[Valor por pedido]),PROXY!$P$2),0),0)</f>
        <v>0</v>
      </c>
      <c r="AP1979" s="28">
        <f ca="1">IF('Banco de Dados'!$AK1979&lt;&gt;"-",IF('Banco de Dados'!$AL1979="NÃO",IFERROR(VALUE(SUBSTITUTE(_xlfn.TEXTAFTER('Banco de Dados'!$F1979,"BRL ",1),".",",")),0),0),0)</f>
        <v>0</v>
      </c>
      <c r="AQ1979" s="28">
        <f ca="1">SUM('Banco de Dados'!$AM1979:$AP1979)</f>
        <v>0.14000000000000001</v>
      </c>
      <c r="AR1979" s="8"/>
      <c r="AS1979" s="8"/>
      <c r="AT1979"/>
      <c r="AY1979" s="8"/>
    </row>
    <row r="1980" spans="1:51">
      <c r="A1980" s="5" t="str">
        <v>BV</v>
      </c>
      <c r="B1980" s="5" t="str">
        <f ca="1"/>
        <v>BV45856</v>
      </c>
      <c r="C1980" s="8" t="str">
        <v>Pedido 1966</v>
      </c>
      <c r="D1980" s="187">
        <v>45852</v>
      </c>
      <c r="E1980" s="9">
        <v>45856</v>
      </c>
      <c r="F1980" s="2" t="str">
        <v>PedidoF1850</v>
      </c>
      <c r="G1980" s="2" t="str">
        <v>CódRastreio1848</v>
      </c>
      <c r="H1980" s="5">
        <v>1</v>
      </c>
      <c r="I1980" s="182" t="str">
        <v>CPF 1922</v>
      </c>
      <c r="J1980" s="2" t="str">
        <v>Nome 1922</v>
      </c>
      <c r="K1980" s="8" t="str">
        <v>Tel 1922</v>
      </c>
      <c r="L1980" s="8" t="str">
        <v>Cep 1922</v>
      </c>
      <c r="M1980" s="8" t="str">
        <v>Rua 1922</v>
      </c>
      <c r="N1980" s="8" t="str">
        <v>Comp 1922</v>
      </c>
      <c r="O1980" s="8" t="str">
        <v>Bolsa térmica</v>
      </c>
      <c r="P1980" s="8" t="str">
        <v>6I-CK1S-8HYZ</v>
      </c>
      <c r="Q1980" s="4">
        <v>45867</v>
      </c>
      <c r="R1980" s="109">
        <v>28.5</v>
      </c>
      <c r="S1980" s="11">
        <f ca="1"/>
        <v>28.5</v>
      </c>
      <c r="T1980" s="28">
        <f ca="1"/>
        <v>3.42</v>
      </c>
      <c r="U1980" s="11">
        <f ca="1"/>
        <v>25.08</v>
      </c>
      <c r="V1980" s="11">
        <v>22.58</v>
      </c>
      <c r="W1980" s="11">
        <f ca="1"/>
        <v>0</v>
      </c>
      <c r="X1980" s="11">
        <f ca="1"/>
        <v>0.39877104377104378</v>
      </c>
      <c r="Y1980" s="11">
        <v>0</v>
      </c>
      <c r="Z1980" s="11">
        <f ca="1"/>
        <v>2.1012289562289546</v>
      </c>
      <c r="AA1980" s="11">
        <f ca="1"/>
        <v>1.0506144781144773</v>
      </c>
      <c r="AB1980" s="4">
        <f ca="1"/>
        <v>45874</v>
      </c>
      <c r="AC1980" s="4">
        <v>45874</v>
      </c>
      <c r="AD1980" s="9">
        <v>45887</v>
      </c>
      <c r="AE1980" s="9">
        <v>45888</v>
      </c>
      <c r="AF1980" s="4" t="str">
        <f t="shared" ref="AF1980:AF2028" ca="1" si="145">_xlfn.CONCAT(PROPER(TEXT(AB1980,"aaaa"))," ",PROPER(TEXT(AB1980,"mm")))</f>
        <v>2025 08</v>
      </c>
      <c r="AG1980" s="8" t="str" cm="1">
        <f t="array" ref="AG1980">IFERROR(_xlfn.IFS('Banco de Dados'!#REF!="AG. COMPRA","Em processamento",'Banco de Dados'!#REF!="AG. RASTREIO","Em processamento",'Banco de Dados'!$AE1980&lt;&gt;"-","Faturado",'Banco de Dados'!$AD1980&lt;&gt;"-","Aguardando Pix",'Banco de Dados'!$AC1980&lt;&gt;"-","Pendente"),"Aguardando Liberação")</f>
        <v>Aguardando Liberação</v>
      </c>
      <c r="AH1980" s="5" t="str">
        <f>IF('Banco de Dados'!$F1980="-",_xlfn.CONCAT(PROPER(TEXT(AK1980,"aaaa"))," ",PROPER(TEXT(AK1980,"mm"))),_xlfn.CONCAT(PROPER(TEXT(E1980,"aaaa"))," ",PROPER(TEXT(E1980,"mm"))))</f>
        <v>2025 07</v>
      </c>
      <c r="AI1980" s="9" t="str">
        <f ca="1">IF('Banco de Dados'!$AK1980&lt;&gt;"-","REEMBOLSO",IFERROR(_xlfn.XLOOKUP(G1980,Follow[CODRASTREIO],Follow[STATUS]),"-"))</f>
        <v>ENTREGUE</v>
      </c>
      <c r="AJ1980" s="9">
        <f ca="1">IF('Banco de Dados'!$AI1980="ENTREGUE",_xlfn.XLOOKUP('Banco de Dados'!$G1980,Follow[CODRASTREIO],Follow[DATAATUALIZAÇÃO]),"-")</f>
        <v>45859</v>
      </c>
      <c r="AK1980" s="132" t="str">
        <f ca="1"/>
        <v>-</v>
      </c>
      <c r="AL1980" s="35"/>
      <c r="AM1980" s="109" cm="1">
        <f t="array" aca="1" ref="AM1980" ca="1">IF('Banco de Dados'!$AK1980&lt;&gt;"-",_xlfn.IFS('Banco de Dados'!$A1980="bv",IF('Banco de Dados'!$E1980&lt;45641,ROUND(SUM('Banco de Dados'!$R1980*_xlfn.XLOOKUP('Banco de Dados'!$P1980,Sku!B:B,Sku!#REF!)*20%),2),ROUND(SUM('Banco de Dados'!$R1980*_xlfn.XLOOKUP('Banco de Dados'!$P1980,Sku!B:B,Sku!H:H)*20%),2)),'Banco de Dados'!$A1980="GO",ROUND(_xlfn.XLOOKUP('Banco de Dados'!$P1980,Sku!C:C,Sku!H:H),2),'Banco de Dados'!$A1980="MEI",ROUND(_xlfn.XLOOKUP('Banco de Dados'!$P1980,Sku!D:D,Sku!H:H),2)),0)</f>
        <v>0</v>
      </c>
      <c r="AN1980" s="109">
        <v>0</v>
      </c>
      <c r="AO1980" s="109">
        <v>0</v>
      </c>
      <c r="AP1980" s="28">
        <f ca="1">IF('Banco de Dados'!$AK1980&lt;&gt;"-",IF('Banco de Dados'!$AL1980="NÃO",IFERROR(VALUE(SUBSTITUTE(_xlfn.TEXTAFTER('Banco de Dados'!$F1980,"BRL ",1),".",",")),0),0),0)</f>
        <v>0</v>
      </c>
      <c r="AQ1980" s="28">
        <f ca="1">SUM('Banco de Dados'!$AM1980:$AP1980)</f>
        <v>0</v>
      </c>
      <c r="AR1980" s="8"/>
      <c r="AS1980" s="8"/>
      <c r="AT1980"/>
      <c r="AY1980" s="8"/>
    </row>
    <row r="1981" spans="1:51">
      <c r="A1981" s="5" t="str">
        <v>BV</v>
      </c>
      <c r="B1981" s="5" t="str">
        <f ca="1"/>
        <v>BV45856</v>
      </c>
      <c r="C1981" s="8" t="str">
        <v>Pedido 1967</v>
      </c>
      <c r="D1981" s="187">
        <v>45852</v>
      </c>
      <c r="E1981" s="9">
        <v>45856</v>
      </c>
      <c r="F1981" s="2" t="str">
        <v>PedidoF1851</v>
      </c>
      <c r="G1981" s="2" t="str">
        <v>CódRastreio1849</v>
      </c>
      <c r="H1981" s="5">
        <v>1</v>
      </c>
      <c r="I1981" s="182" t="str">
        <v>CPF 1923</v>
      </c>
      <c r="J1981" s="2" t="str">
        <v>Nome 1923</v>
      </c>
      <c r="K1981" s="8" t="str">
        <v>Tel 1923</v>
      </c>
      <c r="L1981" s="8" t="str">
        <v>Cep 1923</v>
      </c>
      <c r="M1981" s="8" t="str">
        <v>Rua 1923</v>
      </c>
      <c r="N1981" s="8" t="str">
        <v>Comp 1923</v>
      </c>
      <c r="O1981" s="8" t="str">
        <v>Bolsa térmica</v>
      </c>
      <c r="P1981" s="8" t="str">
        <v>6I-CK1S-8HYZ</v>
      </c>
      <c r="Q1981" s="4">
        <v>45867</v>
      </c>
      <c r="R1981" s="109">
        <v>28.5</v>
      </c>
      <c r="S1981" s="11">
        <f ca="1"/>
        <v>28.5</v>
      </c>
      <c r="T1981" s="28">
        <f ca="1"/>
        <v>3.42</v>
      </c>
      <c r="U1981" s="11">
        <f ca="1"/>
        <v>25.08</v>
      </c>
      <c r="V1981" s="11">
        <v>22.58</v>
      </c>
      <c r="W1981" s="11">
        <f ca="1"/>
        <v>0</v>
      </c>
      <c r="X1981" s="11">
        <f ca="1"/>
        <v>0.39877104377104378</v>
      </c>
      <c r="Y1981" s="11">
        <v>0</v>
      </c>
      <c r="Z1981" s="11">
        <f ca="1"/>
        <v>2.1012289562289546</v>
      </c>
      <c r="AA1981" s="11">
        <f ca="1"/>
        <v>1.0506144781144773</v>
      </c>
      <c r="AB1981" s="4">
        <f ca="1"/>
        <v>45874</v>
      </c>
      <c r="AC1981" s="4">
        <v>45874</v>
      </c>
      <c r="AD1981" s="9">
        <v>45887</v>
      </c>
      <c r="AE1981" s="9">
        <v>45888</v>
      </c>
      <c r="AF1981" s="4" t="str">
        <f t="shared" ca="1" si="145"/>
        <v>2025 08</v>
      </c>
      <c r="AG1981" s="8" t="str" cm="1">
        <f t="array" ref="AG1981">IFERROR(_xlfn.IFS('Banco de Dados'!#REF!="AG. COMPRA","Em processamento",'Banco de Dados'!#REF!="AG. RASTREIO","Em processamento",'Banco de Dados'!$AE1981&lt;&gt;"-","Faturado",'Banco de Dados'!$AD1981&lt;&gt;"-","Aguardando Pix",'Banco de Dados'!$AC1981&lt;&gt;"-","Pendente"),"Aguardando Liberação")</f>
        <v>Aguardando Liberação</v>
      </c>
      <c r="AH1981" s="5" t="str">
        <f>IF('Banco de Dados'!$F1981="-",_xlfn.CONCAT(PROPER(TEXT(AK1981,"aaaa"))," ",PROPER(TEXT(AK1981,"mm"))),_xlfn.CONCAT(PROPER(TEXT(E1981,"aaaa"))," ",PROPER(TEXT(E1981,"mm"))))</f>
        <v>2025 07</v>
      </c>
      <c r="AI1981" s="9" t="str">
        <f ca="1">IF('Banco de Dados'!$AK1981&lt;&gt;"-","REEMBOLSO",IFERROR(_xlfn.XLOOKUP(G1981,Follow[CODRASTREIO],Follow[STATUS]),"-"))</f>
        <v>ENTREGUE</v>
      </c>
      <c r="AJ1981" s="9">
        <f ca="1">IF('Banco de Dados'!$AI1981="ENTREGUE",_xlfn.XLOOKUP('Banco de Dados'!$G1981,Follow[CODRASTREIO],Follow[DATAATUALIZAÇÃO]),"-")</f>
        <v>45859</v>
      </c>
      <c r="AK1981" s="132" t="str">
        <f ca="1"/>
        <v>-</v>
      </c>
      <c r="AL1981" s="35"/>
      <c r="AM1981" s="109" cm="1">
        <f t="array" aca="1" ref="AM1981" ca="1">IF('Banco de Dados'!$AK1981&lt;&gt;"-",_xlfn.IFS('Banco de Dados'!$A1981="bv",IF('Banco de Dados'!$E1981&lt;45641,ROUND(SUM('Banco de Dados'!$R1981*_xlfn.XLOOKUP('Banco de Dados'!$P1981,Sku!B:B,Sku!#REF!)*20%),2),ROUND(SUM('Banco de Dados'!$R1981*_xlfn.XLOOKUP('Banco de Dados'!$P1981,Sku!B:B,Sku!H:H)*20%),2)),'Banco de Dados'!$A1981="GO",ROUND(_xlfn.XLOOKUP('Banco de Dados'!$P1981,Sku!C:C,Sku!H:H),2),'Banco de Dados'!$A1981="MEI",ROUND(_xlfn.XLOOKUP('Banco de Dados'!$P1981,Sku!D:D,Sku!H:H),2)),0)</f>
        <v>0</v>
      </c>
      <c r="AN1981" s="109">
        <v>0</v>
      </c>
      <c r="AO1981" s="109">
        <v>0</v>
      </c>
      <c r="AP1981" s="28">
        <f ca="1">IF('Banco de Dados'!$AK1981&lt;&gt;"-",IF('Banco de Dados'!$AL1981="NÃO",IFERROR(VALUE(SUBSTITUTE(_xlfn.TEXTAFTER('Banco de Dados'!$F1981,"BRL ",1),".",",")),0),0),0)</f>
        <v>0</v>
      </c>
      <c r="AQ1981" s="28">
        <f ca="1">SUM('Banco de Dados'!$AM1981:$AP1981)</f>
        <v>0</v>
      </c>
      <c r="AR1981" s="8"/>
      <c r="AS1981" s="8"/>
      <c r="AT1981"/>
      <c r="AY1981" s="8"/>
    </row>
    <row r="1982" spans="1:51">
      <c r="A1982" s="5" t="str">
        <v>BV</v>
      </c>
      <c r="B1982" s="5" t="str">
        <f ca="1"/>
        <v>BV45856</v>
      </c>
      <c r="C1982" s="8" t="str">
        <v>Pedido 1968</v>
      </c>
      <c r="D1982" s="187">
        <v>45852</v>
      </c>
      <c r="E1982" s="9">
        <v>45856</v>
      </c>
      <c r="F1982" s="2" t="str">
        <v>PedidoF1852</v>
      </c>
      <c r="G1982" s="2" t="str">
        <v>CódRastreio1850</v>
      </c>
      <c r="H1982" s="5">
        <v>1</v>
      </c>
      <c r="I1982" s="182" t="str">
        <v>CPF 1924</v>
      </c>
      <c r="J1982" s="2" t="str">
        <v>Nome 1924</v>
      </c>
      <c r="K1982" s="8" t="str">
        <v>Tel 1924</v>
      </c>
      <c r="L1982" s="8" t="str">
        <v>Cep 1924</v>
      </c>
      <c r="M1982" s="8" t="str">
        <v>Rua 1924</v>
      </c>
      <c r="N1982" s="8" t="str">
        <v>Comp 1924</v>
      </c>
      <c r="O1982" s="8" t="str">
        <v>Bolsa térmica</v>
      </c>
      <c r="P1982" s="8" t="str">
        <v>6I-CK1S-8HYZ</v>
      </c>
      <c r="Q1982" s="4">
        <v>45867</v>
      </c>
      <c r="R1982" s="109">
        <v>28.5</v>
      </c>
      <c r="S1982" s="11">
        <f ca="1"/>
        <v>28.5</v>
      </c>
      <c r="T1982" s="28">
        <f ca="1"/>
        <v>3.42</v>
      </c>
      <c r="U1982" s="11">
        <f ca="1"/>
        <v>25.08</v>
      </c>
      <c r="V1982" s="11">
        <v>22.58</v>
      </c>
      <c r="W1982" s="11">
        <f ca="1"/>
        <v>0</v>
      </c>
      <c r="X1982" s="11">
        <f ca="1"/>
        <v>0.39877104377104378</v>
      </c>
      <c r="Y1982" s="11">
        <v>0</v>
      </c>
      <c r="Z1982" s="11">
        <f ca="1"/>
        <v>2.1012289562289546</v>
      </c>
      <c r="AA1982" s="11">
        <f ca="1"/>
        <v>1.0506144781144773</v>
      </c>
      <c r="AB1982" s="4">
        <f ca="1"/>
        <v>45874</v>
      </c>
      <c r="AC1982" s="4">
        <v>45874</v>
      </c>
      <c r="AD1982" s="9">
        <v>45887</v>
      </c>
      <c r="AE1982" s="9">
        <v>45888</v>
      </c>
      <c r="AF1982" s="4" t="str">
        <f t="shared" ca="1" si="145"/>
        <v>2025 08</v>
      </c>
      <c r="AG1982" s="8" t="str" cm="1">
        <f t="array" ref="AG1982">IFERROR(_xlfn.IFS('Banco de Dados'!#REF!="AG. COMPRA","Em processamento",'Banco de Dados'!#REF!="AG. RASTREIO","Em processamento",'Banco de Dados'!$AE1982&lt;&gt;"-","Faturado",'Banco de Dados'!$AD1982&lt;&gt;"-","Aguardando Pix",'Banco de Dados'!$AC1982&lt;&gt;"-","Pendente"),"Aguardando Liberação")</f>
        <v>Aguardando Liberação</v>
      </c>
      <c r="AH1982" s="5" t="str">
        <f>IF('Banco de Dados'!$F1982="-",_xlfn.CONCAT(PROPER(TEXT(AK1982,"aaaa"))," ",PROPER(TEXT(AK1982,"mm"))),_xlfn.CONCAT(PROPER(TEXT(E1982,"aaaa"))," ",PROPER(TEXT(E1982,"mm"))))</f>
        <v>2025 07</v>
      </c>
      <c r="AI1982" s="9" t="str">
        <f ca="1">IF('Banco de Dados'!$AK1982&lt;&gt;"-","REEMBOLSO",IFERROR(_xlfn.XLOOKUP(G1982,Follow[CODRASTREIO],Follow[STATUS]),"-"))</f>
        <v>ENTREGUE</v>
      </c>
      <c r="AJ1982" s="9">
        <f ca="1">IF('Banco de Dados'!$AI1982="ENTREGUE",_xlfn.XLOOKUP('Banco de Dados'!$G1982,Follow[CODRASTREIO],Follow[DATAATUALIZAÇÃO]),"-")</f>
        <v>45859</v>
      </c>
      <c r="AK1982" s="132" t="str">
        <f ca="1"/>
        <v>-</v>
      </c>
      <c r="AL1982" s="35"/>
      <c r="AM1982" s="109" cm="1">
        <f t="array" aca="1" ref="AM1982" ca="1">IF('Banco de Dados'!$AK1982&lt;&gt;"-",_xlfn.IFS('Banco de Dados'!$A1982="bv",IF('Banco de Dados'!$E1982&lt;45641,ROUND(SUM('Banco de Dados'!$R1982*_xlfn.XLOOKUP('Banco de Dados'!$P1982,Sku!B:B,Sku!#REF!)*20%),2),ROUND(SUM('Banco de Dados'!$R1982*_xlfn.XLOOKUP('Banco de Dados'!$P1982,Sku!B:B,Sku!H:H)*20%),2)),'Banco de Dados'!$A1982="GO",ROUND(_xlfn.XLOOKUP('Banco de Dados'!$P1982,Sku!C:C,Sku!H:H),2),'Banco de Dados'!$A1982="MEI",ROUND(_xlfn.XLOOKUP('Banco de Dados'!$P1982,Sku!D:D,Sku!H:H),2)),0)</f>
        <v>0</v>
      </c>
      <c r="AN1982" s="109">
        <v>0</v>
      </c>
      <c r="AO1982" s="109">
        <v>0</v>
      </c>
      <c r="AP1982" s="28">
        <f ca="1">IF('Banco de Dados'!$AK1982&lt;&gt;"-",IF('Banco de Dados'!$AL1982="NÃO",IFERROR(VALUE(SUBSTITUTE(_xlfn.TEXTAFTER('Banco de Dados'!$F1982,"BRL ",1),".",",")),0),0),0)</f>
        <v>0</v>
      </c>
      <c r="AQ1982" s="28">
        <f ca="1">SUM('Banco de Dados'!$AM1982:$AP1982)</f>
        <v>0</v>
      </c>
      <c r="AR1982" s="8"/>
      <c r="AS1982" s="8"/>
      <c r="AT1982"/>
      <c r="AY1982" s="8"/>
    </row>
    <row r="1983" spans="1:51">
      <c r="A1983" s="5" t="str">
        <v>BV</v>
      </c>
      <c r="B1983" s="5" t="str">
        <f ca="1"/>
        <v>BV45854</v>
      </c>
      <c r="C1983" s="8" t="str">
        <v>Pedido 1969</v>
      </c>
      <c r="D1983" s="187">
        <v>45853</v>
      </c>
      <c r="E1983" s="9">
        <v>45854</v>
      </c>
      <c r="F1983" s="2" t="str">
        <v>PedidoF1853</v>
      </c>
      <c r="G1983" s="2" t="str">
        <v>CódRastreio1851</v>
      </c>
      <c r="H1983" s="5">
        <v>2</v>
      </c>
      <c r="I1983" s="182" t="str">
        <v>CPF 1925</v>
      </c>
      <c r="J1983" s="2" t="str">
        <v>Nome 1925</v>
      </c>
      <c r="K1983" s="8" t="str">
        <v>Tel 1925</v>
      </c>
      <c r="L1983" s="8" t="str">
        <v>Cep 1925</v>
      </c>
      <c r="M1983" s="8" t="str">
        <v>Rua 1925</v>
      </c>
      <c r="N1983" s="8" t="str">
        <v>Comp 1925</v>
      </c>
      <c r="O1983" s="8" t="str">
        <v>Bolsa térmica</v>
      </c>
      <c r="P1983" s="8" t="str">
        <v>6I-CK1S-8HYZ</v>
      </c>
      <c r="Q1983" s="4">
        <v>45871</v>
      </c>
      <c r="R1983" s="109">
        <v>57</v>
      </c>
      <c r="S1983" s="11">
        <f ca="1"/>
        <v>57</v>
      </c>
      <c r="T1983" s="28">
        <f ca="1"/>
        <v>6.84</v>
      </c>
      <c r="U1983" s="11">
        <f ca="1"/>
        <v>50.16</v>
      </c>
      <c r="V1983" s="11">
        <v>41.19</v>
      </c>
      <c r="W1983" s="11">
        <f ca="1"/>
        <v>0</v>
      </c>
      <c r="X1983" s="11">
        <f ca="1"/>
        <v>0.39877104377104378</v>
      </c>
      <c r="Y1983" s="11">
        <v>0</v>
      </c>
      <c r="Z1983" s="11">
        <f ca="1"/>
        <v>8.571228956228957</v>
      </c>
      <c r="AA1983" s="11">
        <f ca="1"/>
        <v>4.2856144781144785</v>
      </c>
      <c r="AB1983" s="4">
        <f ca="1"/>
        <v>45878</v>
      </c>
      <c r="AC1983" s="4">
        <v>45878</v>
      </c>
      <c r="AD1983" s="9">
        <v>45887</v>
      </c>
      <c r="AE1983" s="9">
        <v>45888</v>
      </c>
      <c r="AF1983" s="4" t="str">
        <f t="shared" ca="1" si="145"/>
        <v>2025 08</v>
      </c>
      <c r="AG1983" s="8" t="str" cm="1">
        <f t="array" ref="AG1983">IFERROR(_xlfn.IFS('Banco de Dados'!#REF!="AG. COMPRA","Em processamento",'Banco de Dados'!#REF!="AG. RASTREIO","Em processamento",'Banco de Dados'!$AE1983&lt;&gt;"-","Faturado",'Banco de Dados'!$AD1983&lt;&gt;"-","Aguardando Pix",'Banco de Dados'!$AC1983&lt;&gt;"-","Pendente"),"Aguardando Liberação")</f>
        <v>Aguardando Liberação</v>
      </c>
      <c r="AH1983" s="5" t="str">
        <f>IF('Banco de Dados'!$F1983="-",_xlfn.CONCAT(PROPER(TEXT(AK1983,"aaaa"))," ",PROPER(TEXT(AK1983,"mm"))),_xlfn.CONCAT(PROPER(TEXT(E1983,"aaaa"))," ",PROPER(TEXT(E1983,"mm"))))</f>
        <v>2025 07</v>
      </c>
      <c r="AI1983" s="9" t="str">
        <f ca="1">IF('Banco de Dados'!$AK1983&lt;&gt;"-","REEMBOLSO",IFERROR(_xlfn.XLOOKUP(G1983,Follow[CODRASTREIO],Follow[STATUS]),"-"))</f>
        <v>ENTREGUE</v>
      </c>
      <c r="AJ1983" s="9">
        <f ca="1">IF('Banco de Dados'!$AI1983="ENTREGUE",_xlfn.XLOOKUP('Banco de Dados'!$G1983,Follow[CODRASTREIO],Follow[DATAATUALIZAÇÃO]),"-")</f>
        <v>45860</v>
      </c>
      <c r="AK1983" s="132" t="str">
        <f ca="1"/>
        <v>-</v>
      </c>
      <c r="AL1983" s="35"/>
      <c r="AM1983" s="109" cm="1">
        <f t="array" aca="1" ref="AM1983" ca="1">IF('Banco de Dados'!$AK1983&lt;&gt;"-",_xlfn.IFS('Banco de Dados'!$A1983="bv",IF('Banco de Dados'!$E1983&lt;45641,ROUND(SUM('Banco de Dados'!$R1983*_xlfn.XLOOKUP('Banco de Dados'!$P1983,Sku!B:B,Sku!#REF!)*20%),2),ROUND(SUM('Banco de Dados'!$R1983*_xlfn.XLOOKUP('Banco de Dados'!$P1983,Sku!B:B,Sku!H:H)*20%),2)),'Banco de Dados'!$A1983="GO",ROUND(_xlfn.XLOOKUP('Banco de Dados'!$P1983,Sku!C:C,Sku!H:H),2),'Banco de Dados'!$A1983="MEI",ROUND(_xlfn.XLOOKUP('Banco de Dados'!$P1983,Sku!D:D,Sku!H:H),2)),0)</f>
        <v>0</v>
      </c>
      <c r="AN1983" s="109">
        <f ca="1">IF('Banco de Dados'!$AK1983&lt;&gt;"-",IF('Banco de Dados'!$F1983&lt;&gt;"-",_xlfn.XLOOKUP(IFERROR(IFERROR(IFERROR(VALUE(SUBSTITUTE(MID(_xlfn.TEXTAFTER('Banco de Dados'!$F1983,"Data do Pedido:
",1),1,10),"-","/")),VALUE(SUBSTITUTE(MID(_xlfn.TEXTAFTER('Banco de Dados'!$F1983,"Order date:
",1),1,10),"-","/"))),VALUE(SUBSTITUTE(MID(_xlfn.TEXTAFTER('Banco de Dados'!$F1983,"Fecha de pedido:
",1),1,10),"-","/"))),"-"),SMS!A:A,SMS!K:K),0),0)</f>
        <v>0</v>
      </c>
      <c r="AO1983" s="109">
        <f ca="1">IF('Banco de Dados'!$AK1983&lt;&gt;"-",IF('Banco de Dados'!$F1983&lt;&gt;"-",IFERROR(_xlfn.XLOOKUP(_xlfn.CONCAT('Banco de Dados'!$A1983,IFERROR(IFERROR(VALUE(SUBSTITUTE(MID(_xlfn.TEXTAFTER('Banco de Dados'!$F1983,"Data do Pedido:
",1),1,10),"-","/")),VALUE(SUBSTITUTE(MID(_xlfn.TEXTAFTER('Banco de Dados'!$F1983,"Order date:
",1),1,10),"-","/"))),0)),ProxyDD[Chave],ProxyDD[Valor por pedido]),PROXY!$P$2),0),0)</f>
        <v>0</v>
      </c>
      <c r="AP1983" s="28">
        <f ca="1">IF('Banco de Dados'!$AK1983&lt;&gt;"-",IF('Banco de Dados'!$AL1983="NÃO",IFERROR(VALUE(SUBSTITUTE(_xlfn.TEXTAFTER('Banco de Dados'!$F1983,"BRL ",1),".",",")),0),0),0)</f>
        <v>0</v>
      </c>
      <c r="AQ1983" s="28">
        <f ca="1">SUM('Banco de Dados'!$AM1983:$AP1983)</f>
        <v>0</v>
      </c>
      <c r="AR1983" s="8"/>
      <c r="AS1983" s="8"/>
      <c r="AT1983"/>
      <c r="AY1983" s="8"/>
    </row>
    <row r="1984" spans="1:51">
      <c r="A1984" s="5" t="str">
        <v>BV</v>
      </c>
      <c r="B1984" s="5" t="str">
        <f ca="1"/>
        <v>BV45856</v>
      </c>
      <c r="C1984" s="8" t="str">
        <v>Pedido 1970</v>
      </c>
      <c r="D1984" s="187">
        <v>45852</v>
      </c>
      <c r="E1984" s="9">
        <v>45856</v>
      </c>
      <c r="F1984" s="2" t="str">
        <v>PedidoF1854</v>
      </c>
      <c r="G1984" s="2" t="str">
        <v>CódRastreio1852</v>
      </c>
      <c r="H1984" s="5">
        <v>1</v>
      </c>
      <c r="I1984" s="182" t="str">
        <v>CPF 1926</v>
      </c>
      <c r="J1984" s="2" t="str">
        <v>Nome 1926</v>
      </c>
      <c r="K1984" s="8" t="str">
        <v>Tel 1926</v>
      </c>
      <c r="L1984" s="8" t="str">
        <v>Cep 1926</v>
      </c>
      <c r="M1984" s="8" t="str">
        <v>Rua 1926</v>
      </c>
      <c r="N1984" s="8" t="str">
        <v>Comp 1926</v>
      </c>
      <c r="O1984" s="8" t="str">
        <v>Bolsa térmica</v>
      </c>
      <c r="P1984" s="8" t="str">
        <v>6I-CK1S-8HYZ</v>
      </c>
      <c r="Q1984" s="4">
        <v>45871</v>
      </c>
      <c r="R1984" s="109">
        <v>29.5</v>
      </c>
      <c r="S1984" s="11">
        <f ca="1"/>
        <v>29.5</v>
      </c>
      <c r="T1984" s="28">
        <f ca="1"/>
        <v>3.54</v>
      </c>
      <c r="U1984" s="11">
        <f ca="1"/>
        <v>25.96</v>
      </c>
      <c r="V1984" s="11">
        <v>23.56</v>
      </c>
      <c r="W1984" s="11">
        <f ca="1"/>
        <v>0</v>
      </c>
      <c r="X1984" s="11">
        <f ca="1"/>
        <v>0.39877104377104378</v>
      </c>
      <c r="Y1984" s="11">
        <v>0</v>
      </c>
      <c r="Z1984" s="11">
        <f ca="1"/>
        <v>2.0012289562289567</v>
      </c>
      <c r="AA1984" s="11">
        <f ca="1"/>
        <v>1.0006144781144783</v>
      </c>
      <c r="AB1984" s="4">
        <f ca="1"/>
        <v>45878</v>
      </c>
      <c r="AC1984" s="4">
        <v>45878</v>
      </c>
      <c r="AD1984" s="9">
        <v>45887</v>
      </c>
      <c r="AE1984" s="9">
        <v>45888</v>
      </c>
      <c r="AF1984" s="4" t="str">
        <f t="shared" ca="1" si="145"/>
        <v>2025 08</v>
      </c>
      <c r="AG1984" s="8" t="str" cm="1">
        <f t="array" ref="AG1984">IFERROR(_xlfn.IFS('Banco de Dados'!#REF!="AG. COMPRA","Em processamento",'Banco de Dados'!#REF!="AG. RASTREIO","Em processamento",'Banco de Dados'!$AE1984&lt;&gt;"-","Faturado",'Banco de Dados'!$AD1984&lt;&gt;"-","Aguardando Pix",'Banco de Dados'!$AC1984&lt;&gt;"-","Pendente"),"Aguardando Liberação")</f>
        <v>Aguardando Liberação</v>
      </c>
      <c r="AH1984" s="5" t="str">
        <f>IF('Banco de Dados'!$F1984="-",_xlfn.CONCAT(PROPER(TEXT(AK1984,"aaaa"))," ",PROPER(TEXT(AK1984,"mm"))),_xlfn.CONCAT(PROPER(TEXT(E1984,"aaaa"))," ",PROPER(TEXT(E1984,"mm"))))</f>
        <v>2025 07</v>
      </c>
      <c r="AI1984" s="9" t="str">
        <f ca="1">IF('Banco de Dados'!$AK1984&lt;&gt;"-","REEMBOLSO",IFERROR(_xlfn.XLOOKUP(G1984,Follow[CODRASTREIO],Follow[STATUS]),"-"))</f>
        <v>ENTREGUE</v>
      </c>
      <c r="AJ1984" s="9">
        <f ca="1">IF('Banco de Dados'!$AI1984="ENTREGUE",_xlfn.XLOOKUP('Banco de Dados'!$G1984,Follow[CODRASTREIO],Follow[DATAATUALIZAÇÃO]),"-")</f>
        <v>45862</v>
      </c>
      <c r="AK1984" s="132" t="str">
        <f ca="1"/>
        <v>-</v>
      </c>
      <c r="AL1984" s="35"/>
      <c r="AM1984" s="109" cm="1">
        <f t="array" aca="1" ref="AM1984" ca="1">IF('Banco de Dados'!$AK1984&lt;&gt;"-",_xlfn.IFS('Banco de Dados'!$A1984="bv",IF('Banco de Dados'!$E1984&lt;45641,ROUND(SUM('Banco de Dados'!$R1984*_xlfn.XLOOKUP('Banco de Dados'!$P1984,Sku!B:B,Sku!#REF!)*20%),2),ROUND(SUM('Banco de Dados'!$R1984*_xlfn.XLOOKUP('Banco de Dados'!$P1984,Sku!B:B,Sku!H:H)*20%),2)),'Banco de Dados'!$A1984="GO",ROUND(_xlfn.XLOOKUP('Banco de Dados'!$P1984,Sku!C:C,Sku!H:H),2),'Banco de Dados'!$A1984="MEI",ROUND(_xlfn.XLOOKUP('Banco de Dados'!$P1984,Sku!D:D,Sku!H:H),2)),0)</f>
        <v>0</v>
      </c>
      <c r="AN1984" s="109">
        <v>0</v>
      </c>
      <c r="AO1984" s="109">
        <v>0</v>
      </c>
      <c r="AP1984" s="28">
        <f ca="1">IF('Banco de Dados'!$AK1984&lt;&gt;"-",IF('Banco de Dados'!$AL1984="NÃO",IFERROR(VALUE(SUBSTITUTE(_xlfn.TEXTAFTER('Banco de Dados'!$F1984,"BRL ",1),".",",")),0),0),0)</f>
        <v>0</v>
      </c>
      <c r="AQ1984" s="28">
        <f ca="1">SUM('Banco de Dados'!$AM1984:$AP1984)</f>
        <v>0</v>
      </c>
      <c r="AR1984" s="8"/>
      <c r="AS1984" s="8"/>
      <c r="AT1984"/>
      <c r="AY1984" s="8"/>
    </row>
    <row r="1985" spans="1:51">
      <c r="A1985" s="5" t="str">
        <v>BV</v>
      </c>
      <c r="B1985" s="5" t="str">
        <f ca="1"/>
        <v>BV45856</v>
      </c>
      <c r="C1985" s="8" t="str">
        <v>Pedido 1971</v>
      </c>
      <c r="D1985" s="187">
        <v>45853</v>
      </c>
      <c r="E1985" s="9">
        <v>45856</v>
      </c>
      <c r="F1985" s="2" t="str">
        <v>PedidoF1855</v>
      </c>
      <c r="G1985" s="3" t="str">
        <v>CódRastreio1853</v>
      </c>
      <c r="H1985" s="5">
        <v>1</v>
      </c>
      <c r="I1985" s="182" t="str">
        <v>CPF 1927</v>
      </c>
      <c r="J1985" s="2" t="str">
        <v>Nome 1927</v>
      </c>
      <c r="K1985" s="8" t="str">
        <v>Tel 1927</v>
      </c>
      <c r="L1985" s="8" t="str">
        <v>Cep 1927</v>
      </c>
      <c r="M1985" s="8" t="str">
        <v>Rua 1927</v>
      </c>
      <c r="N1985" s="8" t="str">
        <v>Comp 1927</v>
      </c>
      <c r="O1985" s="8" t="str">
        <v>Bolsa térmica</v>
      </c>
      <c r="P1985" s="8" t="str">
        <v>6I-CK1S-8HYZ</v>
      </c>
      <c r="Q1985" s="4">
        <v>45891</v>
      </c>
      <c r="R1985" s="109">
        <v>29.5</v>
      </c>
      <c r="S1985" s="11">
        <f ca="1"/>
        <v>29.5</v>
      </c>
      <c r="T1985" s="28">
        <f ca="1"/>
        <v>3.54</v>
      </c>
      <c r="U1985" s="11">
        <f ca="1"/>
        <v>25.96</v>
      </c>
      <c r="V1985" s="11">
        <v>22.58</v>
      </c>
      <c r="W1985" s="11">
        <f ca="1"/>
        <v>0</v>
      </c>
      <c r="X1985" s="11">
        <f ca="1"/>
        <v>0.39877104377104378</v>
      </c>
      <c r="Y1985" s="11">
        <v>5</v>
      </c>
      <c r="Z1985" s="11">
        <f ca="1"/>
        <v>-2.0187710437710429</v>
      </c>
      <c r="AA1985" s="11">
        <f ca="1"/>
        <v>-1.0093855218855214</v>
      </c>
      <c r="AB1985" s="4">
        <f ca="1"/>
        <v>45898</v>
      </c>
      <c r="AC1985" s="4">
        <v>45898</v>
      </c>
      <c r="AD1985" s="9">
        <v>45915</v>
      </c>
      <c r="AE1985" s="9">
        <v>45888</v>
      </c>
      <c r="AF1985" s="4" t="str">
        <f t="shared" ca="1" si="145"/>
        <v>2025 08</v>
      </c>
      <c r="AG1985" s="8" t="str" cm="1">
        <f t="array" ref="AG1985">IFERROR(_xlfn.IFS('Banco de Dados'!#REF!="AG. COMPRA","Em processamento",'Banco de Dados'!#REF!="AG. RASTREIO","Em processamento",'Banco de Dados'!$AE1985&lt;&gt;"-","Faturado",'Banco de Dados'!$AD1985&lt;&gt;"-","Aguardando Pix",'Banco de Dados'!$AC1985&lt;&gt;"-","Pendente"),"Aguardando Liberação")</f>
        <v>Aguardando Liberação</v>
      </c>
      <c r="AH1985" s="5" t="str">
        <f>IF('Banco de Dados'!$F1985="-",_xlfn.CONCAT(PROPER(TEXT(AK1985,"aaaa"))," ",PROPER(TEXT(AK1985,"mm"))),_xlfn.CONCAT(PROPER(TEXT(E1985,"aaaa"))," ",PROPER(TEXT(E1985,"mm"))))</f>
        <v>2025 07</v>
      </c>
      <c r="AI1985" s="9" t="str">
        <f ca="1">IF('Banco de Dados'!$AK1985&lt;&gt;"-","REEMBOLSO",IFERROR(_xlfn.XLOOKUP(G1985,Follow[CODRASTREIO],Follow[STATUS]),"-"))</f>
        <v>ENTREGUE</v>
      </c>
      <c r="AJ1985" s="9">
        <f ca="1">IF('Banco de Dados'!$AI1985="ENTREGUE",_xlfn.XLOOKUP('Banco de Dados'!$G1985,Follow[CODRASTREIO],Follow[DATAATUALIZAÇÃO]),"-")</f>
        <v>45866</v>
      </c>
      <c r="AK1985" s="132" t="str">
        <f ca="1"/>
        <v>-</v>
      </c>
      <c r="AL1985" s="35"/>
      <c r="AM1985" s="109" cm="1">
        <f t="array" aca="1" ref="AM1985" ca="1">IF('Banco de Dados'!$AK1985&lt;&gt;"-",_xlfn.IFS('Banco de Dados'!$A1985="bv",IF('Banco de Dados'!$E1985&lt;45641,ROUND(SUM('Banco de Dados'!$R1985*_xlfn.XLOOKUP('Banco de Dados'!$P1985,Sku!B:B,Sku!#REF!)*20%),2),ROUND(SUM('Banco de Dados'!$R1985*_xlfn.XLOOKUP('Banco de Dados'!$P1985,Sku!B:B,Sku!H:H)*20%),2)),'Banco de Dados'!$A1985="GO",ROUND(_xlfn.XLOOKUP('Banco de Dados'!$P1985,Sku!C:C,Sku!H:H),2),'Banco de Dados'!$A1985="MEI",ROUND(_xlfn.XLOOKUP('Banco de Dados'!$P1985,Sku!D:D,Sku!H:H),2)),0)</f>
        <v>0</v>
      </c>
      <c r="AN1985" s="109">
        <v>0</v>
      </c>
      <c r="AO1985" s="109">
        <v>0</v>
      </c>
      <c r="AP1985" s="28">
        <f ca="1">IF('Banco de Dados'!$AK1985&lt;&gt;"-",IF('Banco de Dados'!$AL1985="NÃO",IFERROR(VALUE(SUBSTITUTE(_xlfn.TEXTAFTER('Banco de Dados'!$F1985,"BRL ",1),".",",")),0),0),0)</f>
        <v>0</v>
      </c>
      <c r="AQ1985" s="28">
        <f ca="1">SUM('Banco de Dados'!$AM1985:$AP1985)</f>
        <v>0</v>
      </c>
      <c r="AR1985" s="8"/>
      <c r="AS1985" s="8"/>
      <c r="AT1985"/>
      <c r="AY1985" s="8"/>
    </row>
    <row r="1986" spans="1:51">
      <c r="A1986" s="5" t="str">
        <v>BV</v>
      </c>
      <c r="B1986" s="5" t="str">
        <f ca="1"/>
        <v>BV45854</v>
      </c>
      <c r="C1986" s="8" t="str">
        <v>Pedido 1972</v>
      </c>
      <c r="D1986" s="187">
        <v>45853</v>
      </c>
      <c r="E1986" s="9">
        <v>45854</v>
      </c>
      <c r="F1986" s="2" t="str">
        <v>PedidoF1856</v>
      </c>
      <c r="G1986" s="2" t="str">
        <v>CódRastreio1854</v>
      </c>
      <c r="H1986" s="5">
        <v>1</v>
      </c>
      <c r="I1986" s="182" t="str">
        <v>CPF 1928</v>
      </c>
      <c r="J1986" s="2" t="str">
        <v>Nome 1928</v>
      </c>
      <c r="K1986" s="8" t="str">
        <v>Tel 1928</v>
      </c>
      <c r="L1986" s="8" t="str">
        <v>Cep 1928</v>
      </c>
      <c r="M1986" s="8" t="str">
        <v>Rua 1928</v>
      </c>
      <c r="N1986" s="8" t="str">
        <v>Comp 1928</v>
      </c>
      <c r="O1986" s="8" t="str">
        <v>Máquina de cortar cabelo dragão</v>
      </c>
      <c r="P1986" s="8" t="str">
        <v>HG-2FNR-01A9</v>
      </c>
      <c r="Q1986" s="4">
        <v>45878</v>
      </c>
      <c r="R1986" s="109">
        <v>23.9</v>
      </c>
      <c r="S1986" s="11">
        <f ca="1"/>
        <v>23.9</v>
      </c>
      <c r="T1986" s="28">
        <f ca="1"/>
        <v>2.8679999999999999</v>
      </c>
      <c r="U1986" s="11">
        <f ca="1"/>
        <v>21.03</v>
      </c>
      <c r="V1986" s="11">
        <v>18.97</v>
      </c>
      <c r="W1986" s="11">
        <f ca="1"/>
        <v>0</v>
      </c>
      <c r="X1986" s="11">
        <f ca="1"/>
        <v>0.39877104377104378</v>
      </c>
      <c r="Y1986" s="11">
        <v>10</v>
      </c>
      <c r="Z1986" s="11">
        <f ca="1"/>
        <v>-8.3387710437710432</v>
      </c>
      <c r="AA1986" s="11">
        <f ca="1"/>
        <v>-4.1693855218855216</v>
      </c>
      <c r="AB1986" s="4">
        <f ca="1"/>
        <v>45885</v>
      </c>
      <c r="AC1986" s="4">
        <v>45885</v>
      </c>
      <c r="AD1986" s="9">
        <v>45887</v>
      </c>
      <c r="AE1986" s="9">
        <v>45888</v>
      </c>
      <c r="AF1986" s="4" t="str">
        <f t="shared" ca="1" si="145"/>
        <v>2025 08</v>
      </c>
      <c r="AG1986" s="8" t="str" cm="1">
        <f t="array" ref="AG1986">IFERROR(_xlfn.IFS('Banco de Dados'!#REF!="AG. COMPRA","Em processamento",'Banco de Dados'!#REF!="AG. RASTREIO","Em processamento",'Banco de Dados'!$AE1986&lt;&gt;"-","Faturado",'Banco de Dados'!$AD1986&lt;&gt;"-","Aguardando Pix",'Banco de Dados'!$AC1986&lt;&gt;"-","Pendente"),"Aguardando Liberação")</f>
        <v>Aguardando Liberação</v>
      </c>
      <c r="AH1986" s="5" t="str">
        <f>IF('Banco de Dados'!$F1986="-",_xlfn.CONCAT(PROPER(TEXT(AK1986,"aaaa"))," ",PROPER(TEXT(AK1986,"mm"))),_xlfn.CONCAT(PROPER(TEXT(E1986,"aaaa"))," ",PROPER(TEXT(E1986,"mm"))))</f>
        <v>2025 07</v>
      </c>
      <c r="AI1986" s="9" t="str">
        <f ca="1">IF('Banco de Dados'!$AK1986&lt;&gt;"-","REEMBOLSO",IFERROR(_xlfn.XLOOKUP(G1986,Follow[CODRASTREIO],Follow[STATUS]),"-"))</f>
        <v>ENTREGUE</v>
      </c>
      <c r="AJ1986" s="9">
        <f ca="1">IF('Banco de Dados'!$AI1986="ENTREGUE",_xlfn.XLOOKUP('Banco de Dados'!$G1986,Follow[CODRASTREIO],Follow[DATAATUALIZAÇÃO]),"-")</f>
        <v>45862</v>
      </c>
      <c r="AK1986" s="132" t="str">
        <f ca="1"/>
        <v>-</v>
      </c>
      <c r="AL1986" s="35"/>
      <c r="AM1986" s="109" cm="1">
        <f t="array" aca="1" ref="AM1986" ca="1">IF('Banco de Dados'!$AK1986&lt;&gt;"-",_xlfn.IFS('Banco de Dados'!$A1986="bv",IF('Banco de Dados'!$E1986&lt;45641,ROUND(SUM('Banco de Dados'!$R1986*_xlfn.XLOOKUP('Banco de Dados'!$P1986,Sku!B:B,Sku!#REF!)*20%),2),ROUND(SUM('Banco de Dados'!$R1986*_xlfn.XLOOKUP('Banco de Dados'!$P1986,Sku!B:B,Sku!H:H)*20%),2)),'Banco de Dados'!$A1986="GO",ROUND(_xlfn.XLOOKUP('Banco de Dados'!$P1986,Sku!C:C,Sku!H:H),2),'Banco de Dados'!$A1986="MEI",ROUND(_xlfn.XLOOKUP('Banco de Dados'!$P1986,Sku!D:D,Sku!H:H),2)),0)</f>
        <v>0</v>
      </c>
      <c r="AN1986" s="109">
        <v>0</v>
      </c>
      <c r="AO1986" s="109">
        <v>0</v>
      </c>
      <c r="AP1986" s="28">
        <f ca="1">IF('Banco de Dados'!$AK1986&lt;&gt;"-",IF('Banco de Dados'!$AL1986="NÃO",IFERROR(VALUE(SUBSTITUTE(_xlfn.TEXTAFTER('Banco de Dados'!$F1986,"BRL ",1),".",",")),0),0),0)</f>
        <v>0</v>
      </c>
      <c r="AQ1986" s="28">
        <f ca="1">SUM('Banco de Dados'!$AM1986:$AP1986)</f>
        <v>0</v>
      </c>
      <c r="AR1986" s="8"/>
      <c r="AS1986" s="8"/>
      <c r="AT1986"/>
      <c r="AY1986" s="8"/>
    </row>
    <row r="1987" spans="1:51">
      <c r="A1987" s="5" t="str">
        <v>BV</v>
      </c>
      <c r="B1987" s="5" t="str">
        <f ca="1"/>
        <v>BV45856</v>
      </c>
      <c r="C1987" s="8" t="str">
        <v>Pedido 1973</v>
      </c>
      <c r="D1987" s="187">
        <v>45853</v>
      </c>
      <c r="E1987" s="9">
        <v>45856</v>
      </c>
      <c r="F1987" s="2" t="str">
        <v>PedidoF1857</v>
      </c>
      <c r="G1987" s="2" t="str">
        <v>CódRastreio1855</v>
      </c>
      <c r="H1987" s="5">
        <v>1</v>
      </c>
      <c r="I1987" s="182" t="str">
        <v>CPF 1929</v>
      </c>
      <c r="J1987" s="2" t="str">
        <v>Nome 1929</v>
      </c>
      <c r="K1987" s="8" t="str">
        <v>Tel 1929</v>
      </c>
      <c r="L1987" s="8" t="str">
        <v>Cep 1929</v>
      </c>
      <c r="M1987" s="8" t="str">
        <v>Rua 1929</v>
      </c>
      <c r="N1987" s="8" t="str">
        <v>Comp 1929</v>
      </c>
      <c r="O1987" s="8" t="str">
        <v>Bolsa térmica</v>
      </c>
      <c r="P1987" s="8" t="str">
        <v>6I-CK1S-8HYZ</v>
      </c>
      <c r="Q1987" s="4">
        <v>45874</v>
      </c>
      <c r="R1987" s="109">
        <v>29.5</v>
      </c>
      <c r="S1987" s="11">
        <f ca="1"/>
        <v>29.5</v>
      </c>
      <c r="T1987" s="28">
        <f ca="1"/>
        <v>3.54</v>
      </c>
      <c r="U1987" s="11">
        <f ca="1"/>
        <v>25.96</v>
      </c>
      <c r="V1987" s="11">
        <v>22.58</v>
      </c>
      <c r="W1987" s="11">
        <f ca="1"/>
        <v>0</v>
      </c>
      <c r="X1987" s="11">
        <f ca="1"/>
        <v>0.39877104377104378</v>
      </c>
      <c r="Y1987" s="11">
        <v>0</v>
      </c>
      <c r="Z1987" s="11">
        <f ca="1"/>
        <v>2.9812289562289571</v>
      </c>
      <c r="AA1987" s="11">
        <f ca="1"/>
        <v>1.4906144781144786</v>
      </c>
      <c r="AB1987" s="4">
        <f ca="1"/>
        <v>45881</v>
      </c>
      <c r="AC1987" s="4">
        <v>45881</v>
      </c>
      <c r="AD1987" s="9">
        <v>45887</v>
      </c>
      <c r="AE1987" s="9">
        <v>45888</v>
      </c>
      <c r="AF1987" s="4" t="str">
        <f t="shared" ca="1" si="145"/>
        <v>2025 08</v>
      </c>
      <c r="AG1987" s="8" t="str" cm="1">
        <f t="array" ref="AG1987">IFERROR(_xlfn.IFS('Banco de Dados'!#REF!="AG. COMPRA","Em processamento",'Banco de Dados'!#REF!="AG. RASTREIO","Em processamento",'Banco de Dados'!$AE1987&lt;&gt;"-","Faturado",'Banco de Dados'!$AD1987&lt;&gt;"-","Aguardando Pix",'Banco de Dados'!$AC1987&lt;&gt;"-","Pendente"),"Aguardando Liberação")</f>
        <v>Aguardando Liberação</v>
      </c>
      <c r="AH1987" s="5" t="str">
        <f>IF('Banco de Dados'!$F1987="-",_xlfn.CONCAT(PROPER(TEXT(AK1987,"aaaa"))," ",PROPER(TEXT(AK1987,"mm"))),_xlfn.CONCAT(PROPER(TEXT(E1987,"aaaa"))," ",PROPER(TEXT(E1987,"mm"))))</f>
        <v>2025 07</v>
      </c>
      <c r="AI1987" s="9" t="str">
        <f ca="1">IF('Banco de Dados'!$AK1987&lt;&gt;"-","REEMBOLSO",IFERROR(_xlfn.XLOOKUP(G1987,Follow[CODRASTREIO],Follow[STATUS]),"-"))</f>
        <v>ENTREGUE</v>
      </c>
      <c r="AJ1987" s="9">
        <f ca="1">IF('Banco de Dados'!$AI1987="ENTREGUE",_xlfn.XLOOKUP('Banco de Dados'!$G1987,Follow[CODRASTREIO],Follow[DATAATUALIZAÇÃO]),"-")</f>
        <v>45863</v>
      </c>
      <c r="AK1987" s="132" t="str">
        <f ca="1"/>
        <v>-</v>
      </c>
      <c r="AL1987" s="35"/>
      <c r="AM1987" s="109" cm="1">
        <f t="array" aca="1" ref="AM1987" ca="1">IF('Banco de Dados'!$AK1987&lt;&gt;"-",_xlfn.IFS('Banco de Dados'!$A1987="bv",IF('Banco de Dados'!$E1987&lt;45641,ROUND(SUM('Banco de Dados'!$R1987*_xlfn.XLOOKUP('Banco de Dados'!$P1987,Sku!B:B,Sku!#REF!)*20%),2),ROUND(SUM('Banco de Dados'!$R1987*_xlfn.XLOOKUP('Banco de Dados'!$P1987,Sku!B:B,Sku!H:H)*20%),2)),'Banco de Dados'!$A1987="GO",ROUND(_xlfn.XLOOKUP('Banco de Dados'!$P1987,Sku!C:C,Sku!H:H),2),'Banco de Dados'!$A1987="MEI",ROUND(_xlfn.XLOOKUP('Banco de Dados'!$P1987,Sku!D:D,Sku!H:H),2)),0)</f>
        <v>0</v>
      </c>
      <c r="AN1987" s="109">
        <v>0</v>
      </c>
      <c r="AO1987" s="109">
        <v>0</v>
      </c>
      <c r="AP1987" s="28">
        <f ca="1">IF('Banco de Dados'!$AK1987&lt;&gt;"-",IF('Banco de Dados'!$AL1987="NÃO",IFERROR(VALUE(SUBSTITUTE(_xlfn.TEXTAFTER('Banco de Dados'!$F1987,"BRL ",1),".",",")),0),0),0)</f>
        <v>0</v>
      </c>
      <c r="AQ1987" s="28">
        <f ca="1">SUM('Banco de Dados'!$AM1987:$AP1987)</f>
        <v>0</v>
      </c>
      <c r="AR1987" s="8"/>
      <c r="AS1987" s="8"/>
      <c r="AT1987"/>
      <c r="AY1987" s="8"/>
    </row>
    <row r="1988" spans="1:51">
      <c r="A1988" s="5" t="str">
        <v>BV</v>
      </c>
      <c r="B1988" s="5" t="str">
        <f ca="1"/>
        <v>BV45854</v>
      </c>
      <c r="C1988" s="8" t="str">
        <v>Pedido 1974</v>
      </c>
      <c r="D1988" s="187">
        <v>45853</v>
      </c>
      <c r="E1988" s="9">
        <v>45854</v>
      </c>
      <c r="F1988" s="2" t="str">
        <v>PedidoF1858</v>
      </c>
      <c r="G1988" s="2" t="str">
        <v>CódRastreio1856</v>
      </c>
      <c r="H1988" s="5">
        <v>2</v>
      </c>
      <c r="I1988" s="182" t="str">
        <v>CPF 1930</v>
      </c>
      <c r="J1988" s="2" t="str">
        <v>Nome 1930</v>
      </c>
      <c r="K1988" s="8" t="str">
        <v>Tel 1930</v>
      </c>
      <c r="L1988" s="8" t="str">
        <v>Cep 1930</v>
      </c>
      <c r="M1988" s="8" t="str">
        <v>Rua 1930</v>
      </c>
      <c r="N1988" s="8" t="str">
        <v>Comp 1930</v>
      </c>
      <c r="O1988" s="8" t="str">
        <v>Bolsa térmica</v>
      </c>
      <c r="P1988" s="8" t="str">
        <v>6I-CK1S-8HYZ</v>
      </c>
      <c r="Q1988" s="4">
        <v>45868</v>
      </c>
      <c r="R1988" s="109">
        <v>59</v>
      </c>
      <c r="S1988" s="11">
        <f ca="1"/>
        <v>59</v>
      </c>
      <c r="T1988" s="28">
        <f ca="1"/>
        <v>7.08</v>
      </c>
      <c r="U1988" s="11">
        <f ca="1"/>
        <v>51.92</v>
      </c>
      <c r="V1988" s="11">
        <v>39.79</v>
      </c>
      <c r="W1988" s="11">
        <f ca="1"/>
        <v>0</v>
      </c>
      <c r="X1988" s="11">
        <f ca="1"/>
        <v>0.39877104377104378</v>
      </c>
      <c r="Y1988" s="11">
        <v>0</v>
      </c>
      <c r="Z1988" s="11">
        <f ca="1"/>
        <v>11.731228956228961</v>
      </c>
      <c r="AA1988" s="11">
        <f ca="1"/>
        <v>5.8656144781144803</v>
      </c>
      <c r="AB1988" s="4">
        <f ca="1"/>
        <v>45875</v>
      </c>
      <c r="AC1988" s="4">
        <v>45875</v>
      </c>
      <c r="AD1988" s="9">
        <v>45887</v>
      </c>
      <c r="AE1988" s="9">
        <v>45888</v>
      </c>
      <c r="AF1988" s="4" t="str">
        <f t="shared" ca="1" si="145"/>
        <v>2025 08</v>
      </c>
      <c r="AG1988" s="8" t="str" cm="1">
        <f t="array" ref="AG1988">IFERROR(_xlfn.IFS('Banco de Dados'!#REF!="AG. COMPRA","Em processamento",'Banco de Dados'!#REF!="AG. RASTREIO","Em processamento",'Banco de Dados'!$AE1988&lt;&gt;"-","Faturado",'Banco de Dados'!$AD1988&lt;&gt;"-","Aguardando Pix",'Banco de Dados'!$AC1988&lt;&gt;"-","Pendente"),"Aguardando Liberação")</f>
        <v>Aguardando Liberação</v>
      </c>
      <c r="AH1988" s="5" t="str">
        <f>IF('Banco de Dados'!$F1988="-",_xlfn.CONCAT(PROPER(TEXT(AK1988,"aaaa"))," ",PROPER(TEXT(AK1988,"mm"))),_xlfn.CONCAT(PROPER(TEXT(E1988,"aaaa"))," ",PROPER(TEXT(E1988,"mm"))))</f>
        <v>2025 07</v>
      </c>
      <c r="AI1988" s="9" t="str">
        <f ca="1">IF('Banco de Dados'!$AK1988&lt;&gt;"-","REEMBOLSO",IFERROR(_xlfn.XLOOKUP(G1988,Follow[CODRASTREIO],Follow[STATUS]),"-"))</f>
        <v>ENTREGUE</v>
      </c>
      <c r="AJ1988" s="9">
        <f ca="1">IF('Banco de Dados'!$AI1988="ENTREGUE",_xlfn.XLOOKUP('Banco de Dados'!$G1988,Follow[CODRASTREIO],Follow[DATAATUALIZAÇÃO]),"-")</f>
        <v>45859</v>
      </c>
      <c r="AK1988" s="132" t="str">
        <f ca="1"/>
        <v>-</v>
      </c>
      <c r="AL1988" s="35"/>
      <c r="AM1988" s="109" cm="1">
        <f t="array" aca="1" ref="AM1988" ca="1">IF('Banco de Dados'!$AK1988&lt;&gt;"-",_xlfn.IFS('Banco de Dados'!$A1988="bv",IF('Banco de Dados'!$E1988&lt;45641,ROUND(SUM('Banco de Dados'!$R1988*_xlfn.XLOOKUP('Banco de Dados'!$P1988,Sku!B:B,Sku!#REF!)*20%),2),ROUND(SUM('Banco de Dados'!$R1988*_xlfn.XLOOKUP('Banco de Dados'!$P1988,Sku!B:B,Sku!H:H)*20%),2)),'Banco de Dados'!$A1988="GO",ROUND(_xlfn.XLOOKUP('Banco de Dados'!$P1988,Sku!C:C,Sku!H:H),2),'Banco de Dados'!$A1988="MEI",ROUND(_xlfn.XLOOKUP('Banco de Dados'!$P1988,Sku!D:D,Sku!H:H),2)),0)</f>
        <v>0</v>
      </c>
      <c r="AN1988" s="109">
        <f ca="1">IF('Banco de Dados'!$AK1988&lt;&gt;"-",IF('Banco de Dados'!$F1988&lt;&gt;"-",_xlfn.XLOOKUP(IFERROR(IFERROR(IFERROR(VALUE(SUBSTITUTE(MID(_xlfn.TEXTAFTER('Banco de Dados'!$F1988,"Data do Pedido:
",1),1,10),"-","/")),VALUE(SUBSTITUTE(MID(_xlfn.TEXTAFTER('Banco de Dados'!$F1988,"Order date:
",1),1,10),"-","/"))),VALUE(SUBSTITUTE(MID(_xlfn.TEXTAFTER('Banco de Dados'!$F1988,"Fecha de pedido:
",1),1,10),"-","/"))),"-"),SMS!A:A,SMS!K:K),0),0)</f>
        <v>0</v>
      </c>
      <c r="AO1988" s="109">
        <f ca="1">IF('Banco de Dados'!$AK1988&lt;&gt;"-",IF('Banco de Dados'!$F1988&lt;&gt;"-",IFERROR(_xlfn.XLOOKUP(_xlfn.CONCAT('Banco de Dados'!$A1988,IFERROR(IFERROR(VALUE(SUBSTITUTE(MID(_xlfn.TEXTAFTER('Banco de Dados'!$F1988,"Data do Pedido:
",1),1,10),"-","/")),VALUE(SUBSTITUTE(MID(_xlfn.TEXTAFTER('Banco de Dados'!$F1988,"Order date:
",1),1,10),"-","/"))),0)),ProxyDD[Chave],ProxyDD[Valor por pedido]),PROXY!$P$2),0),0)</f>
        <v>0</v>
      </c>
      <c r="AP1988" s="28">
        <f ca="1">IF('Banco de Dados'!$AK1988&lt;&gt;"-",IF('Banco de Dados'!$AL1988="NÃO",IFERROR(VALUE(SUBSTITUTE(_xlfn.TEXTAFTER('Banco de Dados'!$F1988,"BRL ",1),".",",")),0),0),0)</f>
        <v>0</v>
      </c>
      <c r="AQ1988" s="28">
        <f ca="1">SUM('Banco de Dados'!$AM1988:$AP1988)</f>
        <v>0</v>
      </c>
      <c r="AR1988" s="8"/>
      <c r="AS1988" s="8"/>
      <c r="AT1988"/>
      <c r="AY1988" s="8"/>
    </row>
    <row r="1989" spans="1:51">
      <c r="A1989" s="5" t="str">
        <v>BV</v>
      </c>
      <c r="B1989" s="5" t="str">
        <f ca="1"/>
        <v>BV45856</v>
      </c>
      <c r="C1989" s="8" t="str">
        <v>Pedido 1975</v>
      </c>
      <c r="D1989" s="187">
        <v>45853</v>
      </c>
      <c r="E1989" s="9">
        <v>45856</v>
      </c>
      <c r="F1989" s="2" t="str">
        <v>PedidoF1859</v>
      </c>
      <c r="G1989" s="2" t="str">
        <v>CódRastreio1857</v>
      </c>
      <c r="H1989" s="5">
        <v>1</v>
      </c>
      <c r="I1989" s="182" t="str">
        <v>CPF 1931</v>
      </c>
      <c r="J1989" s="2" t="str">
        <v>Nome 1931</v>
      </c>
      <c r="K1989" s="8" t="str">
        <v>Tel 1931</v>
      </c>
      <c r="L1989" s="8" t="str">
        <v>Cep 1931</v>
      </c>
      <c r="M1989" s="8" t="str">
        <v>Rua 1931</v>
      </c>
      <c r="N1989" s="8" t="str">
        <v>Comp 1931</v>
      </c>
      <c r="O1989" s="8" t="str">
        <v>Bolsa térmica</v>
      </c>
      <c r="P1989" s="8" t="str">
        <v>6I-CK1S-8HYZ</v>
      </c>
      <c r="Q1989" s="4">
        <v>45874</v>
      </c>
      <c r="R1989" s="109">
        <v>29.5</v>
      </c>
      <c r="S1989" s="11">
        <f ca="1"/>
        <v>29.5</v>
      </c>
      <c r="T1989" s="28">
        <f ca="1"/>
        <v>3.54</v>
      </c>
      <c r="U1989" s="11">
        <f ca="1"/>
        <v>25.96</v>
      </c>
      <c r="V1989" s="11">
        <v>22.58</v>
      </c>
      <c r="W1989" s="11">
        <f ca="1"/>
        <v>0</v>
      </c>
      <c r="X1989" s="11">
        <f ca="1"/>
        <v>0.39877104377104378</v>
      </c>
      <c r="Y1989" s="11">
        <v>0</v>
      </c>
      <c r="Z1989" s="11">
        <f ca="1"/>
        <v>2.9812289562289571</v>
      </c>
      <c r="AA1989" s="11">
        <f ca="1"/>
        <v>1.4906144781144786</v>
      </c>
      <c r="AB1989" s="4">
        <f ca="1"/>
        <v>45881</v>
      </c>
      <c r="AC1989" s="4">
        <v>45881</v>
      </c>
      <c r="AD1989" s="9">
        <v>45887</v>
      </c>
      <c r="AE1989" s="9">
        <v>45888</v>
      </c>
      <c r="AF1989" s="4" t="str">
        <f t="shared" ca="1" si="145"/>
        <v>2025 08</v>
      </c>
      <c r="AG1989" s="8" t="str" cm="1">
        <f t="array" ref="AG1989">IFERROR(_xlfn.IFS('Banco de Dados'!#REF!="AG. COMPRA","Em processamento",'Banco de Dados'!#REF!="AG. RASTREIO","Em processamento",'Banco de Dados'!$AE1989&lt;&gt;"-","Faturado",'Banco de Dados'!$AD1989&lt;&gt;"-","Aguardando Pix",'Banco de Dados'!$AC1989&lt;&gt;"-","Pendente"),"Aguardando Liberação")</f>
        <v>Aguardando Liberação</v>
      </c>
      <c r="AH1989" s="5" t="str">
        <f>IF('Banco de Dados'!$F1989="-",_xlfn.CONCAT(PROPER(TEXT(AK1989,"aaaa"))," ",PROPER(TEXT(AK1989,"mm"))),_xlfn.CONCAT(PROPER(TEXT(E1989,"aaaa"))," ",PROPER(TEXT(E1989,"mm"))))</f>
        <v>2025 07</v>
      </c>
      <c r="AI1989" s="9" t="str">
        <f ca="1">IF('Banco de Dados'!$AK1989&lt;&gt;"-","REEMBOLSO",IFERROR(_xlfn.XLOOKUP(G1989,Follow[CODRASTREIO],Follow[STATUS]),"-"))</f>
        <v>ENTREGUE</v>
      </c>
      <c r="AJ1989" s="9">
        <f ca="1">IF('Banco de Dados'!$AI1989="ENTREGUE",_xlfn.XLOOKUP('Banco de Dados'!$G1989,Follow[CODRASTREIO],Follow[DATAATUALIZAÇÃO]),"-")</f>
        <v>45868</v>
      </c>
      <c r="AK1989" s="132" t="str">
        <f ca="1"/>
        <v>-</v>
      </c>
      <c r="AL1989" s="35"/>
      <c r="AM1989" s="109" cm="1">
        <f t="array" aca="1" ref="AM1989" ca="1">IF('Banco de Dados'!$AK1989&lt;&gt;"-",_xlfn.IFS('Banco de Dados'!$A1989="bv",IF('Banco de Dados'!$E1989&lt;45641,ROUND(SUM('Banco de Dados'!$R1989*_xlfn.XLOOKUP('Banco de Dados'!$P1989,Sku!B:B,Sku!#REF!)*20%),2),ROUND(SUM('Banco de Dados'!$R1989*_xlfn.XLOOKUP('Banco de Dados'!$P1989,Sku!B:B,Sku!H:H)*20%),2)),'Banco de Dados'!$A1989="GO",ROUND(_xlfn.XLOOKUP('Banco de Dados'!$P1989,Sku!C:C,Sku!H:H),2),'Banco de Dados'!$A1989="MEI",ROUND(_xlfn.XLOOKUP('Banco de Dados'!$P1989,Sku!D:D,Sku!H:H),2)),0)</f>
        <v>0</v>
      </c>
      <c r="AN1989" s="109">
        <v>0</v>
      </c>
      <c r="AO1989" s="109">
        <v>0</v>
      </c>
      <c r="AP1989" s="28">
        <f ca="1">IF('Banco de Dados'!$AK1989&lt;&gt;"-",IF('Banco de Dados'!$AL1989="NÃO",IFERROR(VALUE(SUBSTITUTE(_xlfn.TEXTAFTER('Banco de Dados'!$F1989,"BRL ",1),".",",")),0),0),0)</f>
        <v>0</v>
      </c>
      <c r="AQ1989" s="28">
        <f ca="1">SUM('Banco de Dados'!$AM1989:$AP1989)</f>
        <v>0</v>
      </c>
      <c r="AR1989" s="8"/>
      <c r="AS1989" s="8"/>
      <c r="AT1989"/>
      <c r="AY1989" s="8"/>
    </row>
    <row r="1990" spans="1:51">
      <c r="A1990" s="5" t="str">
        <v>BV</v>
      </c>
      <c r="B1990" s="5" t="str">
        <f ca="1"/>
        <v>BV45856</v>
      </c>
      <c r="C1990" s="8" t="str">
        <v>Pedido 1976</v>
      </c>
      <c r="D1990" s="187">
        <v>45853</v>
      </c>
      <c r="E1990" s="9">
        <v>45856</v>
      </c>
      <c r="F1990" s="2" t="str">
        <v>PedidoF1860</v>
      </c>
      <c r="G1990" s="2" t="str">
        <v>CódRastreio1858</v>
      </c>
      <c r="H1990" s="5">
        <v>1</v>
      </c>
      <c r="I1990" s="182" t="str">
        <v>CPF 1932</v>
      </c>
      <c r="J1990" s="2" t="str">
        <v>Nome 1932</v>
      </c>
      <c r="K1990" s="8" t="str">
        <v>Tel 1932</v>
      </c>
      <c r="L1990" s="8" t="str">
        <v>Cep 1932</v>
      </c>
      <c r="M1990" s="8" t="str">
        <v>Rua 1932</v>
      </c>
      <c r="N1990" s="8" t="str">
        <v>Comp 1932</v>
      </c>
      <c r="O1990" s="8" t="str">
        <v>Bolsa térmica</v>
      </c>
      <c r="P1990" s="8" t="str">
        <v>6I-CK1S-8HYZ</v>
      </c>
      <c r="Q1990" s="4">
        <v>45870</v>
      </c>
      <c r="R1990" s="109">
        <v>29.5</v>
      </c>
      <c r="S1990" s="11">
        <f ca="1"/>
        <v>29.5</v>
      </c>
      <c r="T1990" s="28">
        <f ca="1"/>
        <v>3.54</v>
      </c>
      <c r="U1990" s="11">
        <f ca="1"/>
        <v>25.96</v>
      </c>
      <c r="V1990" s="11">
        <v>22.58</v>
      </c>
      <c r="W1990" s="11">
        <f ca="1"/>
        <v>0</v>
      </c>
      <c r="X1990" s="11">
        <f ca="1"/>
        <v>0.39877104377104378</v>
      </c>
      <c r="Y1990" s="11">
        <v>0</v>
      </c>
      <c r="Z1990" s="11">
        <f ca="1"/>
        <v>2.9812289562289571</v>
      </c>
      <c r="AA1990" s="11">
        <f ca="1"/>
        <v>1.4906144781144786</v>
      </c>
      <c r="AB1990" s="4">
        <f ca="1"/>
        <v>45877</v>
      </c>
      <c r="AC1990" s="4">
        <v>45877</v>
      </c>
      <c r="AD1990" s="9">
        <v>45887</v>
      </c>
      <c r="AE1990" s="9">
        <v>45888</v>
      </c>
      <c r="AF1990" s="4" t="str">
        <f t="shared" ca="1" si="145"/>
        <v>2025 08</v>
      </c>
      <c r="AG1990" s="8" t="str" cm="1">
        <f t="array" ref="AG1990">IFERROR(_xlfn.IFS('Banco de Dados'!#REF!="AG. COMPRA","Em processamento",'Banco de Dados'!#REF!="AG. RASTREIO","Em processamento",'Banco de Dados'!$AE1990&lt;&gt;"-","Faturado",'Banco de Dados'!$AD1990&lt;&gt;"-","Aguardando Pix",'Banco de Dados'!$AC1990&lt;&gt;"-","Pendente"),"Aguardando Liberação")</f>
        <v>Aguardando Liberação</v>
      </c>
      <c r="AH1990" s="5" t="str">
        <f>IF('Banco de Dados'!$F1990="-",_xlfn.CONCAT(PROPER(TEXT(AK1990,"aaaa"))," ",PROPER(TEXT(AK1990,"mm"))),_xlfn.CONCAT(PROPER(TEXT(E1990,"aaaa"))," ",PROPER(TEXT(E1990,"mm"))))</f>
        <v>2025 07</v>
      </c>
      <c r="AI1990" s="9" t="str">
        <f ca="1">IF('Banco de Dados'!$AK1990&lt;&gt;"-","REEMBOLSO",IFERROR(_xlfn.XLOOKUP(G1990,Follow[CODRASTREIO],Follow[STATUS]),"-"))</f>
        <v>ENTREGUE</v>
      </c>
      <c r="AJ1990" s="9">
        <f ca="1">IF('Banco de Dados'!$AI1990="ENTREGUE",_xlfn.XLOOKUP('Banco de Dados'!$G1990,Follow[CODRASTREIO],Follow[DATAATUALIZAÇÃO]),"-")</f>
        <v>45862</v>
      </c>
      <c r="AK1990" s="132" t="str">
        <f ca="1"/>
        <v>-</v>
      </c>
      <c r="AL1990" s="35"/>
      <c r="AM1990" s="109" cm="1">
        <f t="array" aca="1" ref="AM1990" ca="1">IF('Banco de Dados'!$AK1990&lt;&gt;"-",_xlfn.IFS('Banco de Dados'!$A1990="bv",IF('Banco de Dados'!$E1990&lt;45641,ROUND(SUM('Banco de Dados'!$R1990*_xlfn.XLOOKUP('Banco de Dados'!$P1990,Sku!B:B,Sku!#REF!)*20%),2),ROUND(SUM('Banco de Dados'!$R1990*_xlfn.XLOOKUP('Banco de Dados'!$P1990,Sku!B:B,Sku!H:H)*20%),2)),'Banco de Dados'!$A1990="GO",ROUND(_xlfn.XLOOKUP('Banco de Dados'!$P1990,Sku!C:C,Sku!H:H),2),'Banco de Dados'!$A1990="MEI",ROUND(_xlfn.XLOOKUP('Banco de Dados'!$P1990,Sku!D:D,Sku!H:H),2)),0)</f>
        <v>0</v>
      </c>
      <c r="AN1990" s="109">
        <v>0</v>
      </c>
      <c r="AO1990" s="109">
        <v>0</v>
      </c>
      <c r="AP1990" s="28">
        <f ca="1">IF('Banco de Dados'!$AK1990&lt;&gt;"-",IF('Banco de Dados'!$AL1990="NÃO",IFERROR(VALUE(SUBSTITUTE(_xlfn.TEXTAFTER('Banco de Dados'!$F1990,"BRL ",1),".",",")),0),0),0)</f>
        <v>0</v>
      </c>
      <c r="AQ1990" s="28">
        <f ca="1">SUM('Banco de Dados'!$AM1990:$AP1990)</f>
        <v>0</v>
      </c>
      <c r="AR1990" s="8"/>
      <c r="AS1990" s="8"/>
      <c r="AT1990"/>
      <c r="AY1990" s="8"/>
    </row>
    <row r="1991" spans="1:51">
      <c r="A1991" s="5" t="str">
        <v>BV</v>
      </c>
      <c r="B1991" s="5" t="str">
        <f ca="1"/>
        <v>BV45856</v>
      </c>
      <c r="C1991" s="8" t="str">
        <v>Pedido 1977</v>
      </c>
      <c r="D1991" s="187">
        <v>45853</v>
      </c>
      <c r="E1991" s="9">
        <v>45856</v>
      </c>
      <c r="F1991" s="2" t="str">
        <v>PedidoF1861</v>
      </c>
      <c r="G1991" s="2" t="str">
        <v>CódRastreio1859</v>
      </c>
      <c r="H1991" s="5">
        <v>1</v>
      </c>
      <c r="I1991" s="182" t="str">
        <v>CPF 1933</v>
      </c>
      <c r="J1991" s="2" t="str">
        <v>Nome 1933</v>
      </c>
      <c r="K1991" s="8" t="str">
        <v>Tel 1933</v>
      </c>
      <c r="L1991" s="8" t="str">
        <v>Cep 1933</v>
      </c>
      <c r="M1991" s="8" t="str">
        <v>Rua 1933</v>
      </c>
      <c r="N1991" s="8" t="str">
        <v>Comp 1933</v>
      </c>
      <c r="O1991" s="8" t="str">
        <v>Bolsa térmica</v>
      </c>
      <c r="P1991" s="8" t="str">
        <v>6I-CK1S-8HYZ</v>
      </c>
      <c r="Q1991" s="4">
        <v>45868</v>
      </c>
      <c r="R1991" s="109">
        <v>29.5</v>
      </c>
      <c r="S1991" s="11">
        <f ca="1"/>
        <v>29.5</v>
      </c>
      <c r="T1991" s="28">
        <f ca="1"/>
        <v>3.54</v>
      </c>
      <c r="U1991" s="11">
        <f ca="1"/>
        <v>25.96</v>
      </c>
      <c r="V1991" s="11">
        <v>22.58</v>
      </c>
      <c r="W1991" s="11">
        <f ca="1"/>
        <v>0</v>
      </c>
      <c r="X1991" s="11">
        <f ca="1"/>
        <v>0.39877104377104378</v>
      </c>
      <c r="Y1991" s="11">
        <v>0</v>
      </c>
      <c r="Z1991" s="11">
        <f ca="1"/>
        <v>2.9812289562289571</v>
      </c>
      <c r="AA1991" s="11">
        <f ca="1"/>
        <v>1.4906144781144786</v>
      </c>
      <c r="AB1991" s="4">
        <f ca="1"/>
        <v>45875</v>
      </c>
      <c r="AC1991" s="4">
        <v>45875</v>
      </c>
      <c r="AD1991" s="9">
        <v>45887</v>
      </c>
      <c r="AE1991" s="9">
        <v>45888</v>
      </c>
      <c r="AF1991" s="4" t="str">
        <f t="shared" ca="1" si="145"/>
        <v>2025 08</v>
      </c>
      <c r="AG1991" s="8" t="str" cm="1">
        <f t="array" ref="AG1991">IFERROR(_xlfn.IFS('Banco de Dados'!#REF!="AG. COMPRA","Em processamento",'Banco de Dados'!#REF!="AG. RASTREIO","Em processamento",'Banco de Dados'!$AE1991&lt;&gt;"-","Faturado",'Banco de Dados'!$AD1991&lt;&gt;"-","Aguardando Pix",'Banco de Dados'!$AC1991&lt;&gt;"-","Pendente"),"Aguardando Liberação")</f>
        <v>Aguardando Liberação</v>
      </c>
      <c r="AH1991" s="5" t="str">
        <f>IF('Banco de Dados'!$F1991="-",_xlfn.CONCAT(PROPER(TEXT(AK1991,"aaaa"))," ",PROPER(TEXT(AK1991,"mm"))),_xlfn.CONCAT(PROPER(TEXT(E1991,"aaaa"))," ",PROPER(TEXT(E1991,"mm"))))</f>
        <v>2025 07</v>
      </c>
      <c r="AI1991" s="9" t="str">
        <f ca="1">IF('Banco de Dados'!$AK1991&lt;&gt;"-","REEMBOLSO",IFERROR(_xlfn.XLOOKUP(G1991,Follow[CODRASTREIO],Follow[STATUS]),"-"))</f>
        <v>EM TRÂNSITO</v>
      </c>
      <c r="AJ1991" s="9" t="str">
        <f ca="1">IF('Banco de Dados'!$AI1991="ENTREGUE",_xlfn.XLOOKUP('Banco de Dados'!$G1991,Follow[CODRASTREIO],Follow[DATAATUALIZAÇÃO]),"-")</f>
        <v>-</v>
      </c>
      <c r="AK1991" s="132" t="str">
        <f ca="1"/>
        <v>-</v>
      </c>
      <c r="AL1991" s="35"/>
      <c r="AM1991" s="109" cm="1">
        <f t="array" aca="1" ref="AM1991" ca="1">IF('Banco de Dados'!$AK1991&lt;&gt;"-",_xlfn.IFS('Banco de Dados'!$A1991="bv",IF('Banco de Dados'!$E1991&lt;45641,ROUND(SUM('Banco de Dados'!$R1991*_xlfn.XLOOKUP('Banco de Dados'!$P1991,Sku!B:B,Sku!#REF!)*20%),2),ROUND(SUM('Banco de Dados'!$R1991*_xlfn.XLOOKUP('Banco de Dados'!$P1991,Sku!B:B,Sku!H:H)*20%),2)),'Banco de Dados'!$A1991="GO",ROUND(_xlfn.XLOOKUP('Banco de Dados'!$P1991,Sku!C:C,Sku!H:H),2),'Banco de Dados'!$A1991="MEI",ROUND(_xlfn.XLOOKUP('Banco de Dados'!$P1991,Sku!D:D,Sku!H:H),2)),0)</f>
        <v>0</v>
      </c>
      <c r="AN1991" s="109">
        <v>0</v>
      </c>
      <c r="AO1991" s="109">
        <v>0</v>
      </c>
      <c r="AP1991" s="28">
        <f ca="1">IF('Banco de Dados'!$AK1991&lt;&gt;"-",IF('Banco de Dados'!$AL1991="NÃO",IFERROR(VALUE(SUBSTITUTE(_xlfn.TEXTAFTER('Banco de Dados'!$F1991,"BRL ",1),".",",")),0),0),0)</f>
        <v>0</v>
      </c>
      <c r="AQ1991" s="28">
        <f ca="1">SUM('Banco de Dados'!$AM1991:$AP1991)</f>
        <v>0</v>
      </c>
      <c r="AR1991" s="8"/>
      <c r="AS1991" s="8"/>
      <c r="AT1991"/>
      <c r="AY1991" s="8"/>
    </row>
    <row r="1992" spans="1:51">
      <c r="A1992" s="5" t="str">
        <v>BV</v>
      </c>
      <c r="B1992" s="5" t="str">
        <f ca="1"/>
        <v>BV45854</v>
      </c>
      <c r="C1992" s="8" t="str">
        <v>Pedido 1978</v>
      </c>
      <c r="D1992" s="187">
        <v>45853</v>
      </c>
      <c r="E1992" s="9">
        <v>45854</v>
      </c>
      <c r="F1992" s="2" t="str">
        <v>PedidoF1862</v>
      </c>
      <c r="G1992" s="2" t="str">
        <v>CódRastreio1860</v>
      </c>
      <c r="H1992" s="5">
        <v>1</v>
      </c>
      <c r="I1992" s="182" t="str">
        <v>CPF 1934</v>
      </c>
      <c r="J1992" s="2" t="str">
        <v>Nome 1934</v>
      </c>
      <c r="K1992" s="8" t="str">
        <v>Tel 1934</v>
      </c>
      <c r="L1992" s="8" t="str">
        <v>Cep 1934</v>
      </c>
      <c r="M1992" s="8" t="str">
        <v>Rua 1934</v>
      </c>
      <c r="N1992" s="8" t="str">
        <v>Comp 1934</v>
      </c>
      <c r="O1992" s="8" t="str">
        <v>Máquina de cortar cabelo dragão</v>
      </c>
      <c r="P1992" s="8" t="str">
        <v>HG-2FNR-01A9</v>
      </c>
      <c r="Q1992" s="4">
        <v>45870</v>
      </c>
      <c r="R1992" s="109">
        <v>23.9</v>
      </c>
      <c r="S1992" s="11">
        <f ca="1"/>
        <v>23.9</v>
      </c>
      <c r="T1992" s="28">
        <f ca="1"/>
        <v>2.8679999999999999</v>
      </c>
      <c r="U1992" s="11">
        <f ca="1"/>
        <v>21.03</v>
      </c>
      <c r="V1992" s="11">
        <v>14.99</v>
      </c>
      <c r="W1992" s="11">
        <f ca="1"/>
        <v>0</v>
      </c>
      <c r="X1992" s="11">
        <f ca="1"/>
        <v>0.39877104377104378</v>
      </c>
      <c r="Y1992" s="11">
        <v>0</v>
      </c>
      <c r="Z1992" s="11">
        <f ca="1"/>
        <v>5.6412289562289573</v>
      </c>
      <c r="AA1992" s="11">
        <f ca="1"/>
        <v>2.8206144781144786</v>
      </c>
      <c r="AB1992" s="4">
        <f ca="1"/>
        <v>45877</v>
      </c>
      <c r="AC1992" s="4">
        <v>45877</v>
      </c>
      <c r="AD1992" s="9">
        <v>45887</v>
      </c>
      <c r="AE1992" s="9">
        <v>45888</v>
      </c>
      <c r="AF1992" s="4" t="str">
        <f t="shared" ca="1" si="145"/>
        <v>2025 08</v>
      </c>
      <c r="AG1992" s="8" t="str" cm="1">
        <f t="array" ref="AG1992">IFERROR(_xlfn.IFS('Banco de Dados'!#REF!="AG. COMPRA","Em processamento",'Banco de Dados'!#REF!="AG. RASTREIO","Em processamento",'Banco de Dados'!$AE1992&lt;&gt;"-","Faturado",'Banco de Dados'!$AD1992&lt;&gt;"-","Aguardando Pix",'Banco de Dados'!$AC1992&lt;&gt;"-","Pendente"),"Aguardando Liberação")</f>
        <v>Aguardando Liberação</v>
      </c>
      <c r="AH1992" s="5" t="str">
        <f>IF('Banco de Dados'!$F1992="-",_xlfn.CONCAT(PROPER(TEXT(AK1992,"aaaa"))," ",PROPER(TEXT(AK1992,"mm"))),_xlfn.CONCAT(PROPER(TEXT(E1992,"aaaa"))," ",PROPER(TEXT(E1992,"mm"))))</f>
        <v>2025 07</v>
      </c>
      <c r="AI1992" s="9" t="str">
        <f ca="1">IF('Banco de Dados'!$AK1992&lt;&gt;"-","REEMBOLSO",IFERROR(_xlfn.XLOOKUP(G1992,Follow[CODRASTREIO],Follow[STATUS]),"-"))</f>
        <v>ENTREGUE</v>
      </c>
      <c r="AJ1992" s="9">
        <f ca="1">IF('Banco de Dados'!$AI1992="ENTREGUE",_xlfn.XLOOKUP('Banco de Dados'!$G1992,Follow[CODRASTREIO],Follow[DATAATUALIZAÇÃO]),"-")</f>
        <v>45859</v>
      </c>
      <c r="AK1992" s="132" t="str">
        <f ca="1"/>
        <v>-</v>
      </c>
      <c r="AL1992" s="35"/>
      <c r="AM1992" s="109" cm="1">
        <f t="array" aca="1" ref="AM1992" ca="1">IF('Banco de Dados'!$AK1992&lt;&gt;"-",_xlfn.IFS('Banco de Dados'!$A1992="bv",IF('Banco de Dados'!$E1992&lt;45641,ROUND(SUM('Banco de Dados'!$R1992*_xlfn.XLOOKUP('Banco de Dados'!$P1992,Sku!B:B,Sku!#REF!)*20%),2),ROUND(SUM('Banco de Dados'!$R1992*_xlfn.XLOOKUP('Banco de Dados'!$P1992,Sku!B:B,Sku!H:H)*20%),2)),'Banco de Dados'!$A1992="GO",ROUND(_xlfn.XLOOKUP('Banco de Dados'!$P1992,Sku!C:C,Sku!H:H),2),'Banco de Dados'!$A1992="MEI",ROUND(_xlfn.XLOOKUP('Banco de Dados'!$P1992,Sku!D:D,Sku!H:H),2)),0)</f>
        <v>0</v>
      </c>
      <c r="AN1992" s="109">
        <v>0</v>
      </c>
      <c r="AO1992" s="109">
        <v>0</v>
      </c>
      <c r="AP1992" s="28">
        <f ca="1">IF('Banco de Dados'!$AK1992&lt;&gt;"-",IF('Banco de Dados'!$AL1992="NÃO",IFERROR(VALUE(SUBSTITUTE(_xlfn.TEXTAFTER('Banco de Dados'!$F1992,"BRL ",1),".",",")),0),0),0)</f>
        <v>0</v>
      </c>
      <c r="AQ1992" s="28">
        <f ca="1">SUM('Banco de Dados'!$AM1992:$AP1992)</f>
        <v>0</v>
      </c>
      <c r="AR1992" s="8"/>
      <c r="AS1992" s="8"/>
      <c r="AT1992"/>
      <c r="AY1992" s="8"/>
    </row>
    <row r="1993" spans="1:51">
      <c r="A1993" s="5" t="str">
        <v>BV</v>
      </c>
      <c r="B1993" s="5" t="str">
        <f ca="1"/>
        <v>BV45856</v>
      </c>
      <c r="C1993" s="8" t="str">
        <v>Pedido 1979</v>
      </c>
      <c r="D1993" s="187">
        <v>45853</v>
      </c>
      <c r="E1993" s="9">
        <v>45856</v>
      </c>
      <c r="F1993" s="2" t="str">
        <v>PedidoF1863</v>
      </c>
      <c r="G1993" s="2" t="str">
        <v>CódRastreio1861</v>
      </c>
      <c r="H1993" s="5">
        <v>1</v>
      </c>
      <c r="I1993" s="182" t="str">
        <v>CPF 1935</v>
      </c>
      <c r="J1993" s="2" t="str">
        <v>Nome 1935</v>
      </c>
      <c r="K1993" s="8" t="str">
        <v>Tel 1935</v>
      </c>
      <c r="L1993" s="8" t="str">
        <v>Cep 1935</v>
      </c>
      <c r="M1993" s="8" t="str">
        <v>Rua 1935</v>
      </c>
      <c r="N1993" s="8" t="str">
        <v>Comp 1935</v>
      </c>
      <c r="O1993" s="8" t="str">
        <v>Bolsa térmica</v>
      </c>
      <c r="P1993" s="8" t="str">
        <v>6I-CK1S-8HYZ</v>
      </c>
      <c r="Q1993" s="4">
        <v>45878</v>
      </c>
      <c r="R1993" s="109">
        <v>29.5</v>
      </c>
      <c r="S1993" s="11">
        <f ca="1"/>
        <v>29.5</v>
      </c>
      <c r="T1993" s="28">
        <f ca="1"/>
        <v>3.54</v>
      </c>
      <c r="U1993" s="11">
        <f ca="1"/>
        <v>25.96</v>
      </c>
      <c r="V1993" s="11">
        <v>22.58</v>
      </c>
      <c r="W1993" s="11">
        <f ca="1"/>
        <v>0</v>
      </c>
      <c r="X1993" s="11">
        <f ca="1"/>
        <v>0.39877104377104378</v>
      </c>
      <c r="Y1993" s="11">
        <v>3</v>
      </c>
      <c r="Z1993" s="11">
        <f ca="1"/>
        <v>-1.8771043771042883E-2</v>
      </c>
      <c r="AA1993" s="11">
        <f ca="1"/>
        <v>-9.3855218855214417E-3</v>
      </c>
      <c r="AB1993" s="4">
        <f ca="1"/>
        <v>45885</v>
      </c>
      <c r="AC1993" s="4">
        <v>45885</v>
      </c>
      <c r="AD1993" s="9">
        <v>45887</v>
      </c>
      <c r="AE1993" s="9">
        <v>45888</v>
      </c>
      <c r="AF1993" s="4" t="str">
        <f t="shared" ca="1" si="145"/>
        <v>2025 08</v>
      </c>
      <c r="AG1993" s="8" t="str" cm="1">
        <f t="array" ref="AG1993">IFERROR(_xlfn.IFS('Banco de Dados'!#REF!="AG. COMPRA","Em processamento",'Banco de Dados'!#REF!="AG. RASTREIO","Em processamento",'Banco de Dados'!$AE1993&lt;&gt;"-","Faturado",'Banco de Dados'!$AD1993&lt;&gt;"-","Aguardando Pix",'Banco de Dados'!$AC1993&lt;&gt;"-","Pendente"),"Aguardando Liberação")</f>
        <v>Aguardando Liberação</v>
      </c>
      <c r="AH1993" s="5" t="str">
        <f>IF('Banco de Dados'!$F1993="-",_xlfn.CONCAT(PROPER(TEXT(AK1993,"aaaa"))," ",PROPER(TEXT(AK1993,"mm"))),_xlfn.CONCAT(PROPER(TEXT(E1993,"aaaa"))," ",PROPER(TEXT(E1993,"mm"))))</f>
        <v>2025 07</v>
      </c>
      <c r="AI1993" s="9" t="str">
        <f ca="1">IF('Banco de Dados'!$AK1993&lt;&gt;"-","REEMBOLSO",IFERROR(_xlfn.XLOOKUP(G1993,Follow[CODRASTREIO],Follow[STATUS]),"-"))</f>
        <v>ENTREGUE</v>
      </c>
      <c r="AJ1993" s="9">
        <f ca="1">IF('Banco de Dados'!$AI1993="ENTREGUE",_xlfn.XLOOKUP('Banco de Dados'!$G1993,Follow[CODRASTREIO],Follow[DATAATUALIZAÇÃO]),"-")</f>
        <v>45864</v>
      </c>
      <c r="AK1993" s="132" t="str">
        <f ca="1"/>
        <v>-</v>
      </c>
      <c r="AL1993" s="35"/>
      <c r="AM1993" s="109" cm="1">
        <f t="array" aca="1" ref="AM1993" ca="1">IF('Banco de Dados'!$AK1993&lt;&gt;"-",_xlfn.IFS('Banco de Dados'!$A1993="bv",IF('Banco de Dados'!$E1993&lt;45641,ROUND(SUM('Banco de Dados'!$R1993*_xlfn.XLOOKUP('Banco de Dados'!$P1993,Sku!B:B,Sku!#REF!)*20%),2),ROUND(SUM('Banco de Dados'!$R1993*_xlfn.XLOOKUP('Banco de Dados'!$P1993,Sku!B:B,Sku!H:H)*20%),2)),'Banco de Dados'!$A1993="GO",ROUND(_xlfn.XLOOKUP('Banco de Dados'!$P1993,Sku!C:C,Sku!H:H),2),'Banco de Dados'!$A1993="MEI",ROUND(_xlfn.XLOOKUP('Banco de Dados'!$P1993,Sku!D:D,Sku!H:H),2)),0)</f>
        <v>0</v>
      </c>
      <c r="AN1993" s="109">
        <v>0</v>
      </c>
      <c r="AO1993" s="109">
        <v>0</v>
      </c>
      <c r="AP1993" s="28">
        <f ca="1">IF('Banco de Dados'!$AK1993&lt;&gt;"-",IF('Banco de Dados'!$AL1993="NÃO",IFERROR(VALUE(SUBSTITUTE(_xlfn.TEXTAFTER('Banco de Dados'!$F1993,"BRL ",1),".",",")),0),0),0)</f>
        <v>0</v>
      </c>
      <c r="AQ1993" s="28">
        <f ca="1">SUM('Banco de Dados'!$AM1993:$AP1993)</f>
        <v>0</v>
      </c>
      <c r="AR1993" s="8"/>
      <c r="AS1993" s="8"/>
      <c r="AT1993"/>
      <c r="AY1993" s="8"/>
    </row>
    <row r="1994" spans="1:51">
      <c r="A1994" s="5" t="str">
        <v>BV</v>
      </c>
      <c r="B1994" s="5" t="str">
        <f ca="1"/>
        <v>BV45856</v>
      </c>
      <c r="C1994" s="8" t="str">
        <v>Pedido 1980</v>
      </c>
      <c r="D1994" s="187">
        <v>45853</v>
      </c>
      <c r="E1994" s="9">
        <v>45856</v>
      </c>
      <c r="F1994" s="2" t="str">
        <v>PedidoF1864</v>
      </c>
      <c r="G1994" s="2" t="str">
        <v>CódRastreio1862</v>
      </c>
      <c r="H1994" s="5">
        <v>1</v>
      </c>
      <c r="I1994" s="182" t="str">
        <v>CPF 1936</v>
      </c>
      <c r="J1994" s="2" t="str">
        <v>Nome 1936</v>
      </c>
      <c r="K1994" s="8" t="str">
        <v>Tel 1936</v>
      </c>
      <c r="L1994" s="8" t="str">
        <v>Cep 1936</v>
      </c>
      <c r="M1994" s="8" t="str">
        <v>Rua 1936</v>
      </c>
      <c r="N1994" s="8" t="str">
        <v>Comp 1936</v>
      </c>
      <c r="O1994" s="8" t="str">
        <v>Bolsa térmica</v>
      </c>
      <c r="P1994" s="8" t="str">
        <v>6I-CK1S-8HYZ</v>
      </c>
      <c r="Q1994" s="4">
        <v>45868</v>
      </c>
      <c r="R1994" s="109">
        <v>29.5</v>
      </c>
      <c r="S1994" s="11">
        <f ca="1"/>
        <v>29.5</v>
      </c>
      <c r="T1994" s="28">
        <f ca="1"/>
        <v>3.54</v>
      </c>
      <c r="U1994" s="11">
        <f ca="1"/>
        <v>25.96</v>
      </c>
      <c r="V1994" s="11">
        <v>22.58</v>
      </c>
      <c r="W1994" s="11">
        <f ca="1"/>
        <v>0</v>
      </c>
      <c r="X1994" s="11">
        <f ca="1"/>
        <v>0.39877104377104378</v>
      </c>
      <c r="Y1994" s="11">
        <v>0</v>
      </c>
      <c r="Z1994" s="11">
        <f ca="1"/>
        <v>2.9812289562289571</v>
      </c>
      <c r="AA1994" s="11">
        <f ca="1"/>
        <v>1.4906144781144786</v>
      </c>
      <c r="AB1994" s="4">
        <f ca="1"/>
        <v>45875</v>
      </c>
      <c r="AC1994" s="4">
        <v>45875</v>
      </c>
      <c r="AD1994" s="9">
        <v>45887</v>
      </c>
      <c r="AE1994" s="9">
        <v>45888</v>
      </c>
      <c r="AF1994" s="4" t="str">
        <f t="shared" ca="1" si="145"/>
        <v>2025 08</v>
      </c>
      <c r="AG1994" s="8" t="str" cm="1">
        <f t="array" ref="AG1994">IFERROR(_xlfn.IFS('Banco de Dados'!#REF!="AG. COMPRA","Em processamento",'Banco de Dados'!#REF!="AG. RASTREIO","Em processamento",'Banco de Dados'!$AE1994&lt;&gt;"-","Faturado",'Banco de Dados'!$AD1994&lt;&gt;"-","Aguardando Pix",'Banco de Dados'!$AC1994&lt;&gt;"-","Pendente"),"Aguardando Liberação")</f>
        <v>Aguardando Liberação</v>
      </c>
      <c r="AH1994" s="5" t="str">
        <f>IF('Banco de Dados'!$F1994="-",_xlfn.CONCAT(PROPER(TEXT(AK1994,"aaaa"))," ",PROPER(TEXT(AK1994,"mm"))),_xlfn.CONCAT(PROPER(TEXT(E1994,"aaaa"))," ",PROPER(TEXT(E1994,"mm"))))</f>
        <v>2025 07</v>
      </c>
      <c r="AI1994" s="9" t="str">
        <f ca="1">IF('Banco de Dados'!$AK1994&lt;&gt;"-","REEMBOLSO",IFERROR(_xlfn.XLOOKUP(G1994,Follow[CODRASTREIO],Follow[STATUS]),"-"))</f>
        <v>ENTREGUE</v>
      </c>
      <c r="AJ1994" s="9">
        <f ca="1">IF('Banco de Dados'!$AI1994="ENTREGUE",_xlfn.XLOOKUP('Banco de Dados'!$G1994,Follow[CODRASTREIO],Follow[DATAATUALIZAÇÃO]),"-")</f>
        <v>45861</v>
      </c>
      <c r="AK1994" s="132" t="str">
        <f ca="1"/>
        <v>-</v>
      </c>
      <c r="AL1994" s="35"/>
      <c r="AM1994" s="109" cm="1">
        <f t="array" aca="1" ref="AM1994" ca="1">IF('Banco de Dados'!$AK1994&lt;&gt;"-",_xlfn.IFS('Banco de Dados'!$A1994="bv",IF('Banco de Dados'!$E1994&lt;45641,ROUND(SUM('Banco de Dados'!$R1994*_xlfn.XLOOKUP('Banco de Dados'!$P1994,Sku!B:B,Sku!#REF!)*20%),2),ROUND(SUM('Banco de Dados'!$R1994*_xlfn.XLOOKUP('Banco de Dados'!$P1994,Sku!B:B,Sku!H:H)*20%),2)),'Banco de Dados'!$A1994="GO",ROUND(_xlfn.XLOOKUP('Banco de Dados'!$P1994,Sku!C:C,Sku!H:H),2),'Banco de Dados'!$A1994="MEI",ROUND(_xlfn.XLOOKUP('Banco de Dados'!$P1994,Sku!D:D,Sku!H:H),2)),0)</f>
        <v>0</v>
      </c>
      <c r="AN1994" s="109">
        <v>0</v>
      </c>
      <c r="AO1994" s="109">
        <v>0</v>
      </c>
      <c r="AP1994" s="28">
        <f ca="1">IF('Banco de Dados'!$AK1994&lt;&gt;"-",IF('Banco de Dados'!$AL1994="NÃO",IFERROR(VALUE(SUBSTITUTE(_xlfn.TEXTAFTER('Banco de Dados'!$F1994,"BRL ",1),".",",")),0),0),0)</f>
        <v>0</v>
      </c>
      <c r="AQ1994" s="28">
        <f ca="1">SUM('Banco de Dados'!$AM1994:$AP1994)</f>
        <v>0</v>
      </c>
      <c r="AR1994" s="8"/>
      <c r="AS1994" s="8"/>
      <c r="AT1994"/>
      <c r="AY1994" s="8"/>
    </row>
    <row r="1995" spans="1:51">
      <c r="A1995" s="5" t="str">
        <v>BV</v>
      </c>
      <c r="B1995" s="5" t="str">
        <f ca="1"/>
        <v>BV45856</v>
      </c>
      <c r="C1995" s="8" t="str">
        <v>Pedido 1981</v>
      </c>
      <c r="D1995" s="187">
        <v>45853</v>
      </c>
      <c r="E1995" s="9">
        <v>45856</v>
      </c>
      <c r="F1995" s="2" t="str">
        <v>PedidoF1865</v>
      </c>
      <c r="G1995" s="2" t="str">
        <v>CódRastreio1863</v>
      </c>
      <c r="H1995" s="5">
        <v>1</v>
      </c>
      <c r="I1995" s="182" t="str">
        <v>CPF 1937</v>
      </c>
      <c r="J1995" s="2" t="str">
        <v>Nome 1937</v>
      </c>
      <c r="K1995" s="8" t="str">
        <v>Tel 1937</v>
      </c>
      <c r="L1995" s="8" t="str">
        <v>Cep 1937</v>
      </c>
      <c r="M1995" s="8" t="str">
        <v>Rua 1937</v>
      </c>
      <c r="N1995" s="8" t="str">
        <v>Comp 1937</v>
      </c>
      <c r="O1995" s="8" t="str">
        <v>Bolsa térmica</v>
      </c>
      <c r="P1995" s="8" t="str">
        <v>6I-CK1S-8HYZ</v>
      </c>
      <c r="Q1995" s="4">
        <v>45874</v>
      </c>
      <c r="R1995" s="109">
        <v>29.5</v>
      </c>
      <c r="S1995" s="11">
        <f ca="1"/>
        <v>29.5</v>
      </c>
      <c r="T1995" s="28">
        <f ca="1"/>
        <v>3.54</v>
      </c>
      <c r="U1995" s="11">
        <f ca="1"/>
        <v>25.96</v>
      </c>
      <c r="V1995" s="11">
        <v>22.58</v>
      </c>
      <c r="W1995" s="11">
        <f ca="1"/>
        <v>0</v>
      </c>
      <c r="X1995" s="11">
        <f ca="1"/>
        <v>0.39877104377104378</v>
      </c>
      <c r="Y1995" s="11">
        <v>1</v>
      </c>
      <c r="Z1995" s="11">
        <f ca="1"/>
        <v>1.9812289562289571</v>
      </c>
      <c r="AA1995" s="11">
        <f ca="1"/>
        <v>0.99061447811447856</v>
      </c>
      <c r="AB1995" s="4">
        <f ca="1"/>
        <v>45881</v>
      </c>
      <c r="AC1995" s="4">
        <v>45881</v>
      </c>
      <c r="AD1995" s="9">
        <v>45887</v>
      </c>
      <c r="AE1995" s="9">
        <v>45888</v>
      </c>
      <c r="AF1995" s="4" t="str">
        <f t="shared" ca="1" si="145"/>
        <v>2025 08</v>
      </c>
      <c r="AG1995" s="8" t="str" cm="1">
        <f t="array" ref="AG1995">IFERROR(_xlfn.IFS('Banco de Dados'!#REF!="AG. COMPRA","Em processamento",'Banco de Dados'!#REF!="AG. RASTREIO","Em processamento",'Banco de Dados'!$AE1995&lt;&gt;"-","Faturado",'Banco de Dados'!$AD1995&lt;&gt;"-","Aguardando Pix",'Banco de Dados'!$AC1995&lt;&gt;"-","Pendente"),"Aguardando Liberação")</f>
        <v>Aguardando Liberação</v>
      </c>
      <c r="AH1995" s="5" t="str">
        <f>IF('Banco de Dados'!$F1995="-",_xlfn.CONCAT(PROPER(TEXT(AK1995,"aaaa"))," ",PROPER(TEXT(AK1995,"mm"))),_xlfn.CONCAT(PROPER(TEXT(E1995,"aaaa"))," ",PROPER(TEXT(E1995,"mm"))))</f>
        <v>2025 07</v>
      </c>
      <c r="AI1995" s="9" t="str">
        <f ca="1">IF('Banco de Dados'!$AK1995&lt;&gt;"-","REEMBOLSO",IFERROR(_xlfn.XLOOKUP(G1995,Follow[CODRASTREIO],Follow[STATUS]),"-"))</f>
        <v>ENTREGUE</v>
      </c>
      <c r="AJ1995" s="9">
        <f ca="1">IF('Banco de Dados'!$AI1995="ENTREGUE",_xlfn.XLOOKUP('Banco de Dados'!$G1995,Follow[CODRASTREIO],Follow[DATAATUALIZAÇÃO]),"-")</f>
        <v>45862</v>
      </c>
      <c r="AK1995" s="132" t="str">
        <f ca="1"/>
        <v>-</v>
      </c>
      <c r="AL1995" s="35"/>
      <c r="AM1995" s="109" cm="1">
        <f t="array" aca="1" ref="AM1995" ca="1">IF('Banco de Dados'!$AK1995&lt;&gt;"-",_xlfn.IFS('Banco de Dados'!$A1995="bv",IF('Banco de Dados'!$E1995&lt;45641,ROUND(SUM('Banco de Dados'!$R1995*_xlfn.XLOOKUP('Banco de Dados'!$P1995,Sku!B:B,Sku!#REF!)*20%),2),ROUND(SUM('Banco de Dados'!$R1995*_xlfn.XLOOKUP('Banco de Dados'!$P1995,Sku!B:B,Sku!H:H)*20%),2)),'Banco de Dados'!$A1995="GO",ROUND(_xlfn.XLOOKUP('Banco de Dados'!$P1995,Sku!C:C,Sku!H:H),2),'Banco de Dados'!$A1995="MEI",ROUND(_xlfn.XLOOKUP('Banco de Dados'!$P1995,Sku!D:D,Sku!H:H),2)),0)</f>
        <v>0</v>
      </c>
      <c r="AN1995" s="109">
        <v>0</v>
      </c>
      <c r="AO1995" s="109">
        <v>0</v>
      </c>
      <c r="AP1995" s="28">
        <f ca="1">IF('Banco de Dados'!$AK1995&lt;&gt;"-",IF('Banco de Dados'!$AL1995="NÃO",IFERROR(VALUE(SUBSTITUTE(_xlfn.TEXTAFTER('Banco de Dados'!$F1995,"BRL ",1),".",",")),0),0),0)</f>
        <v>0</v>
      </c>
      <c r="AQ1995" s="28">
        <f ca="1">SUM('Banco de Dados'!$AM1995:$AP1995)</f>
        <v>0</v>
      </c>
      <c r="AR1995" s="8"/>
      <c r="AS1995" s="8"/>
      <c r="AT1995"/>
      <c r="AY1995" s="8"/>
    </row>
    <row r="1996" spans="1:51">
      <c r="A1996" s="5" t="str">
        <v>BV</v>
      </c>
      <c r="B1996" s="5" t="str">
        <f ca="1"/>
        <v>BV45856</v>
      </c>
      <c r="C1996" s="8" t="str">
        <v>Pedido 1982</v>
      </c>
      <c r="D1996" s="187">
        <v>45853</v>
      </c>
      <c r="E1996" s="9">
        <v>45856</v>
      </c>
      <c r="F1996" s="2" t="str">
        <v>PedidoF1866</v>
      </c>
      <c r="G1996" s="2" t="str">
        <v>CódRastreio1864</v>
      </c>
      <c r="H1996" s="5">
        <v>1</v>
      </c>
      <c r="I1996" s="182" t="str">
        <v>CPF 1938</v>
      </c>
      <c r="J1996" s="2" t="str">
        <v>Nome 1938</v>
      </c>
      <c r="K1996" s="8" t="str">
        <v>Tel 1938</v>
      </c>
      <c r="L1996" s="8" t="str">
        <v>Cep 1938</v>
      </c>
      <c r="M1996" s="8" t="str">
        <v>Rua 1938</v>
      </c>
      <c r="N1996" s="8" t="str">
        <v>Comp 1938</v>
      </c>
      <c r="O1996" s="8" t="str">
        <v>Bolsa térmica</v>
      </c>
      <c r="P1996" s="8" t="str">
        <v>6I-CK1S-8HYZ</v>
      </c>
      <c r="Q1996" s="4">
        <v>45874</v>
      </c>
      <c r="R1996" s="109">
        <v>29.5</v>
      </c>
      <c r="S1996" s="11">
        <f ca="1"/>
        <v>29.5</v>
      </c>
      <c r="T1996" s="28">
        <f ca="1"/>
        <v>3.54</v>
      </c>
      <c r="U1996" s="11">
        <f ca="1"/>
        <v>25.96</v>
      </c>
      <c r="V1996" s="11">
        <v>22.58</v>
      </c>
      <c r="W1996" s="11">
        <f ca="1"/>
        <v>0</v>
      </c>
      <c r="X1996" s="11">
        <f ca="1"/>
        <v>0.39877104377104378</v>
      </c>
      <c r="Y1996" s="11">
        <v>0</v>
      </c>
      <c r="Z1996" s="11">
        <f ca="1"/>
        <v>2.9812289562289571</v>
      </c>
      <c r="AA1996" s="11">
        <f ca="1"/>
        <v>1.4906144781144786</v>
      </c>
      <c r="AB1996" s="4">
        <f ca="1"/>
        <v>45881</v>
      </c>
      <c r="AC1996" s="4">
        <v>45881</v>
      </c>
      <c r="AD1996" s="9">
        <v>45887</v>
      </c>
      <c r="AE1996" s="9">
        <v>45888</v>
      </c>
      <c r="AF1996" s="4" t="str">
        <f t="shared" ca="1" si="145"/>
        <v>2025 08</v>
      </c>
      <c r="AG1996" s="8" t="str" cm="1">
        <f t="array" ref="AG1996">IFERROR(_xlfn.IFS('Banco de Dados'!#REF!="AG. COMPRA","Em processamento",'Banco de Dados'!#REF!="AG. RASTREIO","Em processamento",'Banco de Dados'!$AE1996&lt;&gt;"-","Faturado",'Banco de Dados'!$AD1996&lt;&gt;"-","Aguardando Pix",'Banco de Dados'!$AC1996&lt;&gt;"-","Pendente"),"Aguardando Liberação")</f>
        <v>Aguardando Liberação</v>
      </c>
      <c r="AH1996" s="5" t="str">
        <f>IF('Banco de Dados'!$F1996="-",_xlfn.CONCAT(PROPER(TEXT(AK1996,"aaaa"))," ",PROPER(TEXT(AK1996,"mm"))),_xlfn.CONCAT(PROPER(TEXT(E1996,"aaaa"))," ",PROPER(TEXT(E1996,"mm"))))</f>
        <v>2025 07</v>
      </c>
      <c r="AI1996" s="9" t="str">
        <f ca="1">IF('Banco de Dados'!$AK1996&lt;&gt;"-","REEMBOLSO",IFERROR(_xlfn.XLOOKUP(G1996,Follow[CODRASTREIO],Follow[STATUS]),"-"))</f>
        <v>ENTREGUE</v>
      </c>
      <c r="AJ1996" s="9">
        <f ca="1">IF('Banco de Dados'!$AI1996="ENTREGUE",_xlfn.XLOOKUP('Banco de Dados'!$G1996,Follow[CODRASTREIO],Follow[DATAATUALIZAÇÃO]),"-")</f>
        <v>45862</v>
      </c>
      <c r="AK1996" s="132" t="str">
        <f ca="1"/>
        <v>-</v>
      </c>
      <c r="AL1996" s="35"/>
      <c r="AM1996" s="109" cm="1">
        <f t="array" aca="1" ref="AM1996" ca="1">IF('Banco de Dados'!$AK1996&lt;&gt;"-",_xlfn.IFS('Banco de Dados'!$A1996="bv",IF('Banco de Dados'!$E1996&lt;45641,ROUND(SUM('Banco de Dados'!$R1996*_xlfn.XLOOKUP('Banco de Dados'!$P1996,Sku!B:B,Sku!#REF!)*20%),2),ROUND(SUM('Banco de Dados'!$R1996*_xlfn.XLOOKUP('Banco de Dados'!$P1996,Sku!B:B,Sku!H:H)*20%),2)),'Banco de Dados'!$A1996="GO",ROUND(_xlfn.XLOOKUP('Banco de Dados'!$P1996,Sku!C:C,Sku!H:H),2),'Banco de Dados'!$A1996="MEI",ROUND(_xlfn.XLOOKUP('Banco de Dados'!$P1996,Sku!D:D,Sku!H:H),2)),0)</f>
        <v>0</v>
      </c>
      <c r="AN1996" s="109">
        <v>0</v>
      </c>
      <c r="AO1996" s="109">
        <v>0</v>
      </c>
      <c r="AP1996" s="28">
        <f ca="1">IF('Banco de Dados'!$AK1996&lt;&gt;"-",IF('Banco de Dados'!$AL1996="NÃO",IFERROR(VALUE(SUBSTITUTE(_xlfn.TEXTAFTER('Banco de Dados'!$F1996,"BRL ",1),".",",")),0),0),0)</f>
        <v>0</v>
      </c>
      <c r="AQ1996" s="28">
        <f ca="1">SUM('Banco de Dados'!$AM1996:$AP1996)</f>
        <v>0</v>
      </c>
      <c r="AR1996" s="8"/>
      <c r="AS1996" s="8"/>
      <c r="AT1996"/>
      <c r="AY1996" s="8"/>
    </row>
    <row r="1997" spans="1:51">
      <c r="A1997" s="5" t="str">
        <v>BV</v>
      </c>
      <c r="B1997" s="5" t="str">
        <f ca="1"/>
        <v>BV45856</v>
      </c>
      <c r="C1997" s="8" t="str">
        <v>Pedido 1983</v>
      </c>
      <c r="D1997" s="187">
        <v>45853</v>
      </c>
      <c r="E1997" s="9">
        <v>45856</v>
      </c>
      <c r="F1997" s="2" t="str">
        <v>PedidoF1867</v>
      </c>
      <c r="G1997" s="2" t="str">
        <v>CódRastreio1865</v>
      </c>
      <c r="H1997" s="5">
        <v>1</v>
      </c>
      <c r="I1997" s="182" t="str">
        <v>CPF 1939</v>
      </c>
      <c r="J1997" s="2" t="str">
        <v>Nome 1939</v>
      </c>
      <c r="K1997" s="8" t="str">
        <v>Tel 1939</v>
      </c>
      <c r="L1997" s="8" t="str">
        <v>Cep 1939</v>
      </c>
      <c r="M1997" s="8" t="str">
        <v>Rua 1939</v>
      </c>
      <c r="N1997" s="8" t="str">
        <v>Comp 1939</v>
      </c>
      <c r="O1997" s="8" t="str">
        <v>Bolsa térmica</v>
      </c>
      <c r="P1997" s="8" t="str">
        <v>6I-CK1S-8HYZ</v>
      </c>
      <c r="Q1997" s="4">
        <v>45868</v>
      </c>
      <c r="R1997" s="109">
        <v>29.5</v>
      </c>
      <c r="S1997" s="11">
        <f ca="1"/>
        <v>29.5</v>
      </c>
      <c r="T1997" s="28">
        <f ca="1"/>
        <v>3.54</v>
      </c>
      <c r="U1997" s="11">
        <f ca="1"/>
        <v>25.96</v>
      </c>
      <c r="V1997" s="11">
        <v>22.58</v>
      </c>
      <c r="W1997" s="11">
        <f ca="1"/>
        <v>0</v>
      </c>
      <c r="X1997" s="11">
        <f ca="1"/>
        <v>0.39877104377104378</v>
      </c>
      <c r="Y1997" s="11">
        <v>0</v>
      </c>
      <c r="Z1997" s="11">
        <f ca="1"/>
        <v>2.9812289562289571</v>
      </c>
      <c r="AA1997" s="11">
        <f ca="1"/>
        <v>1.4906144781144786</v>
      </c>
      <c r="AB1997" s="4">
        <f ca="1"/>
        <v>45875</v>
      </c>
      <c r="AC1997" s="4">
        <v>45875</v>
      </c>
      <c r="AD1997" s="9">
        <v>45887</v>
      </c>
      <c r="AE1997" s="9">
        <v>45888</v>
      </c>
      <c r="AF1997" s="4" t="str">
        <f t="shared" ca="1" si="145"/>
        <v>2025 08</v>
      </c>
      <c r="AG1997" s="8" t="str" cm="1">
        <f t="array" ref="AG1997">IFERROR(_xlfn.IFS('Banco de Dados'!#REF!="AG. COMPRA","Em processamento",'Banco de Dados'!#REF!="AG. RASTREIO","Em processamento",'Banco de Dados'!$AE1997&lt;&gt;"-","Faturado",'Banco de Dados'!$AD1997&lt;&gt;"-","Aguardando Pix",'Banco de Dados'!$AC1997&lt;&gt;"-","Pendente"),"Aguardando Liberação")</f>
        <v>Aguardando Liberação</v>
      </c>
      <c r="AH1997" s="5" t="str">
        <f>IF('Banco de Dados'!$F1997="-",_xlfn.CONCAT(PROPER(TEXT(AK1997,"aaaa"))," ",PROPER(TEXT(AK1997,"mm"))),_xlfn.CONCAT(PROPER(TEXT(E1997,"aaaa"))," ",PROPER(TEXT(E1997,"mm"))))</f>
        <v>2025 07</v>
      </c>
      <c r="AI1997" s="9" t="str">
        <f ca="1">IF('Banco de Dados'!$AK1997&lt;&gt;"-","REEMBOLSO",IFERROR(_xlfn.XLOOKUP(G1997,Follow[CODRASTREIO],Follow[STATUS]),"-"))</f>
        <v>ENTREGUE</v>
      </c>
      <c r="AJ1997" s="9">
        <f ca="1">IF('Banco de Dados'!$AI1997="ENTREGUE",_xlfn.XLOOKUP('Banco de Dados'!$G1997,Follow[CODRASTREIO],Follow[DATAATUALIZAÇÃO]),"-")</f>
        <v>45861</v>
      </c>
      <c r="AK1997" s="132" t="str">
        <f ca="1"/>
        <v>-</v>
      </c>
      <c r="AL1997" s="35"/>
      <c r="AM1997" s="109" cm="1">
        <f t="array" aca="1" ref="AM1997" ca="1">IF('Banco de Dados'!$AK1997&lt;&gt;"-",_xlfn.IFS('Banco de Dados'!$A1997="bv",IF('Banco de Dados'!$E1997&lt;45641,ROUND(SUM('Banco de Dados'!$R1997*_xlfn.XLOOKUP('Banco de Dados'!$P1997,Sku!B:B,Sku!#REF!)*20%),2),ROUND(SUM('Banco de Dados'!$R1997*_xlfn.XLOOKUP('Banco de Dados'!$P1997,Sku!B:B,Sku!H:H)*20%),2)),'Banco de Dados'!$A1997="GO",ROUND(_xlfn.XLOOKUP('Banco de Dados'!$P1997,Sku!C:C,Sku!H:H),2),'Banco de Dados'!$A1997="MEI",ROUND(_xlfn.XLOOKUP('Banco de Dados'!$P1997,Sku!D:D,Sku!H:H),2)),0)</f>
        <v>0</v>
      </c>
      <c r="AN1997" s="109">
        <v>0</v>
      </c>
      <c r="AO1997" s="109">
        <v>0</v>
      </c>
      <c r="AP1997" s="28">
        <f ca="1">IF('Banco de Dados'!$AK1997&lt;&gt;"-",IF('Banco de Dados'!$AL1997="NÃO",IFERROR(VALUE(SUBSTITUTE(_xlfn.TEXTAFTER('Banco de Dados'!$F1997,"BRL ",1),".",",")),0),0),0)</f>
        <v>0</v>
      </c>
      <c r="AQ1997" s="28">
        <f ca="1">SUM('Banco de Dados'!$AM1997:$AP1997)</f>
        <v>0</v>
      </c>
      <c r="AR1997" s="8"/>
      <c r="AS1997" s="8"/>
      <c r="AT1997"/>
      <c r="AY1997" s="8"/>
    </row>
    <row r="1998" spans="1:51">
      <c r="A1998" s="5" t="str">
        <v>BV</v>
      </c>
      <c r="B1998" s="5" t="str">
        <f ca="1"/>
        <v>BV45856</v>
      </c>
      <c r="C1998" s="8" t="str">
        <v>Pedido 1984</v>
      </c>
      <c r="D1998" s="187">
        <v>45853</v>
      </c>
      <c r="E1998" s="9">
        <v>45856</v>
      </c>
      <c r="F1998" s="2" t="str">
        <v>PedidoF1868</v>
      </c>
      <c r="G1998" s="2" t="str">
        <v>CódRastreio1866</v>
      </c>
      <c r="H1998" s="5">
        <v>1</v>
      </c>
      <c r="I1998" s="182" t="str">
        <v>CPF 1940</v>
      </c>
      <c r="J1998" s="2" t="str">
        <v>Nome 1940</v>
      </c>
      <c r="K1998" s="8" t="str">
        <v>Tel 1940</v>
      </c>
      <c r="L1998" s="8" t="str">
        <v>Cep 1940</v>
      </c>
      <c r="M1998" s="8" t="str">
        <v>Rua 1940</v>
      </c>
      <c r="N1998" s="8" t="str">
        <v>Comp 1940</v>
      </c>
      <c r="O1998" s="8" t="str">
        <v>Bolsa térmica</v>
      </c>
      <c r="P1998" s="8" t="str">
        <v>6I-CK1S-8HYZ</v>
      </c>
      <c r="Q1998" s="4">
        <v>45874</v>
      </c>
      <c r="R1998" s="109">
        <v>29.5</v>
      </c>
      <c r="S1998" s="11">
        <f ca="1"/>
        <v>29.5</v>
      </c>
      <c r="T1998" s="28">
        <f ca="1"/>
        <v>3.54</v>
      </c>
      <c r="U1998" s="11">
        <f ca="1"/>
        <v>25.96</v>
      </c>
      <c r="V1998" s="11">
        <v>22.58</v>
      </c>
      <c r="W1998" s="11">
        <f ca="1"/>
        <v>0</v>
      </c>
      <c r="X1998" s="11">
        <f ca="1"/>
        <v>0.39877104377104378</v>
      </c>
      <c r="Y1998" s="11">
        <v>0</v>
      </c>
      <c r="Z1998" s="11">
        <f ca="1"/>
        <v>2.9812289562289571</v>
      </c>
      <c r="AA1998" s="11">
        <f ca="1"/>
        <v>1.4906144781144786</v>
      </c>
      <c r="AB1998" s="4">
        <f ca="1"/>
        <v>45881</v>
      </c>
      <c r="AC1998" s="4">
        <v>45881</v>
      </c>
      <c r="AD1998" s="9">
        <v>45887</v>
      </c>
      <c r="AE1998" s="9">
        <v>45888</v>
      </c>
      <c r="AF1998" s="4" t="str">
        <f t="shared" ca="1" si="145"/>
        <v>2025 08</v>
      </c>
      <c r="AG1998" s="8" t="str" cm="1">
        <f t="array" ref="AG1998">IFERROR(_xlfn.IFS('Banco de Dados'!#REF!="AG. COMPRA","Em processamento",'Banco de Dados'!#REF!="AG. RASTREIO","Em processamento",'Banco de Dados'!$AE1998&lt;&gt;"-","Faturado",'Banco de Dados'!$AD1998&lt;&gt;"-","Aguardando Pix",'Banco de Dados'!$AC1998&lt;&gt;"-","Pendente"),"Aguardando Liberação")</f>
        <v>Aguardando Liberação</v>
      </c>
      <c r="AH1998" s="5" t="str">
        <f>IF('Banco de Dados'!$F1998="-",_xlfn.CONCAT(PROPER(TEXT(AK1998,"aaaa"))," ",PROPER(TEXT(AK1998,"mm"))),_xlfn.CONCAT(PROPER(TEXT(E1998,"aaaa"))," ",PROPER(TEXT(E1998,"mm"))))</f>
        <v>2025 07</v>
      </c>
      <c r="AI1998" s="9" t="str">
        <f ca="1">IF('Banco de Dados'!$AK1998&lt;&gt;"-","REEMBOLSO",IFERROR(_xlfn.XLOOKUP(G1998,Follow[CODRASTREIO],Follow[STATUS]),"-"))</f>
        <v>ENTREGUE</v>
      </c>
      <c r="AJ1998" s="9">
        <f ca="1">IF('Banco de Dados'!$AI1998="ENTREGUE",_xlfn.XLOOKUP('Banco de Dados'!$G1998,Follow[CODRASTREIO],Follow[DATAATUALIZAÇÃO]),"-")</f>
        <v>45862</v>
      </c>
      <c r="AK1998" s="132" t="str">
        <f ca="1"/>
        <v>-</v>
      </c>
      <c r="AL1998" s="35"/>
      <c r="AM1998" s="109" cm="1">
        <f t="array" aca="1" ref="AM1998" ca="1">IF('Banco de Dados'!$AK1998&lt;&gt;"-",_xlfn.IFS('Banco de Dados'!$A1998="bv",IF('Banco de Dados'!$E1998&lt;45641,ROUND(SUM('Banco de Dados'!$R1998*_xlfn.XLOOKUP('Banco de Dados'!$P1998,Sku!B:B,Sku!#REF!)*20%),2),ROUND(SUM('Banco de Dados'!$R1998*_xlfn.XLOOKUP('Banco de Dados'!$P1998,Sku!B:B,Sku!H:H)*20%),2)),'Banco de Dados'!$A1998="GO",ROUND(_xlfn.XLOOKUP('Banco de Dados'!$P1998,Sku!C:C,Sku!H:H),2),'Banco de Dados'!$A1998="MEI",ROUND(_xlfn.XLOOKUP('Banco de Dados'!$P1998,Sku!D:D,Sku!H:H),2)),0)</f>
        <v>0</v>
      </c>
      <c r="AN1998" s="109">
        <v>0</v>
      </c>
      <c r="AO1998" s="109">
        <v>0</v>
      </c>
      <c r="AP1998" s="28">
        <f ca="1">IF('Banco de Dados'!$AK1998&lt;&gt;"-",IF('Banco de Dados'!$AL1998="NÃO",IFERROR(VALUE(SUBSTITUTE(_xlfn.TEXTAFTER('Banco de Dados'!$F1998,"BRL ",1),".",",")),0),0),0)</f>
        <v>0</v>
      </c>
      <c r="AQ1998" s="28">
        <f ca="1">SUM('Banco de Dados'!$AM1998:$AP1998)</f>
        <v>0</v>
      </c>
      <c r="AR1998" s="8"/>
      <c r="AS1998" s="8"/>
      <c r="AT1998"/>
      <c r="AY1998" s="8"/>
    </row>
    <row r="1999" spans="1:51">
      <c r="A1999" s="5" t="str">
        <v>BV</v>
      </c>
      <c r="B1999" s="5" t="str">
        <f ca="1"/>
        <v>BV45856</v>
      </c>
      <c r="C1999" s="8" t="str">
        <v>Pedido 1985</v>
      </c>
      <c r="D1999" s="187">
        <v>45853</v>
      </c>
      <c r="E1999" s="9">
        <v>45856</v>
      </c>
      <c r="F1999" s="2" t="str">
        <v>PedidoF1869</v>
      </c>
      <c r="G1999" s="2" t="str">
        <v>CódRastreio1867</v>
      </c>
      <c r="H1999" s="5">
        <v>1</v>
      </c>
      <c r="I1999" s="182" t="str">
        <v>CPF 1941</v>
      </c>
      <c r="J1999" s="2" t="str">
        <v>Nome 1941</v>
      </c>
      <c r="K1999" s="8" t="str">
        <v>Tel 1941</v>
      </c>
      <c r="L1999" s="8" t="str">
        <v>Cep 1941</v>
      </c>
      <c r="M1999" s="8" t="str">
        <v>Rua 1941</v>
      </c>
      <c r="N1999" s="8" t="str">
        <v>Comp 1941</v>
      </c>
      <c r="O1999" s="8" t="str">
        <v>Bolsa térmica</v>
      </c>
      <c r="P1999" s="8" t="str">
        <v>6I-CK1S-8HYZ</v>
      </c>
      <c r="Q1999" s="4">
        <v>45874</v>
      </c>
      <c r="R1999" s="109">
        <v>29.5</v>
      </c>
      <c r="S1999" s="11">
        <f ca="1"/>
        <v>29.5</v>
      </c>
      <c r="T1999" s="28">
        <f ca="1"/>
        <v>3.54</v>
      </c>
      <c r="U1999" s="11">
        <f ca="1"/>
        <v>25.96</v>
      </c>
      <c r="V1999" s="11">
        <v>22.58</v>
      </c>
      <c r="W1999" s="11">
        <f ca="1"/>
        <v>0</v>
      </c>
      <c r="X1999" s="11">
        <f ca="1"/>
        <v>0.39877104377104378</v>
      </c>
      <c r="Y1999" s="11">
        <v>1</v>
      </c>
      <c r="Z1999" s="11">
        <f ca="1"/>
        <v>1.9812289562289571</v>
      </c>
      <c r="AA1999" s="11">
        <f ca="1"/>
        <v>0.99061447811447856</v>
      </c>
      <c r="AB1999" s="4">
        <f ca="1"/>
        <v>45881</v>
      </c>
      <c r="AC1999" s="4">
        <v>45881</v>
      </c>
      <c r="AD1999" s="9">
        <v>45887</v>
      </c>
      <c r="AE1999" s="9">
        <v>45888</v>
      </c>
      <c r="AF1999" s="4" t="str">
        <f t="shared" ca="1" si="145"/>
        <v>2025 08</v>
      </c>
      <c r="AG1999" s="8" t="str" cm="1">
        <f t="array" ref="AG1999">IFERROR(_xlfn.IFS('Banco de Dados'!#REF!="AG. COMPRA","Em processamento",'Banco de Dados'!#REF!="AG. RASTREIO","Em processamento",'Banco de Dados'!$AE1999&lt;&gt;"-","Faturado",'Banco de Dados'!$AD1999&lt;&gt;"-","Aguardando Pix",'Banco de Dados'!$AC1999&lt;&gt;"-","Pendente"),"Aguardando Liberação")</f>
        <v>Aguardando Liberação</v>
      </c>
      <c r="AH1999" s="5" t="str">
        <f>IF('Banco de Dados'!$F1999="-",_xlfn.CONCAT(PROPER(TEXT(AK1999,"aaaa"))," ",PROPER(TEXT(AK1999,"mm"))),_xlfn.CONCAT(PROPER(TEXT(E1999,"aaaa"))," ",PROPER(TEXT(E1999,"mm"))))</f>
        <v>2025 07</v>
      </c>
      <c r="AI1999" s="9" t="str">
        <f ca="1">IF('Banco de Dados'!$AK1999&lt;&gt;"-","REEMBOLSO",IFERROR(_xlfn.XLOOKUP(G1999,Follow[CODRASTREIO],Follow[STATUS]),"-"))</f>
        <v>ENTREGUE</v>
      </c>
      <c r="AJ1999" s="9">
        <f ca="1">IF('Banco de Dados'!$AI1999="ENTREGUE",_xlfn.XLOOKUP('Banco de Dados'!$G1999,Follow[CODRASTREIO],Follow[DATAATUALIZAÇÃO]),"-")</f>
        <v>45863</v>
      </c>
      <c r="AK1999" s="132" t="str">
        <f ca="1"/>
        <v>-</v>
      </c>
      <c r="AL1999" s="35"/>
      <c r="AM1999" s="109" cm="1">
        <f t="array" aca="1" ref="AM1999" ca="1">IF('Banco de Dados'!$AK1999&lt;&gt;"-",_xlfn.IFS('Banco de Dados'!$A1999="bv",IF('Banco de Dados'!$E1999&lt;45641,ROUND(SUM('Banco de Dados'!$R1999*_xlfn.XLOOKUP('Banco de Dados'!$P1999,Sku!B:B,Sku!#REF!)*20%),2),ROUND(SUM('Banco de Dados'!$R1999*_xlfn.XLOOKUP('Banco de Dados'!$P1999,Sku!B:B,Sku!H:H)*20%),2)),'Banco de Dados'!$A1999="GO",ROUND(_xlfn.XLOOKUP('Banco de Dados'!$P1999,Sku!C:C,Sku!H:H),2),'Banco de Dados'!$A1999="MEI",ROUND(_xlfn.XLOOKUP('Banco de Dados'!$P1999,Sku!D:D,Sku!H:H),2)),0)</f>
        <v>0</v>
      </c>
      <c r="AN1999" s="109">
        <v>0</v>
      </c>
      <c r="AO1999" s="109">
        <v>0</v>
      </c>
      <c r="AP1999" s="28">
        <f ca="1">IF('Banco de Dados'!$AK1999&lt;&gt;"-",IF('Banco de Dados'!$AL1999="NÃO",IFERROR(VALUE(SUBSTITUTE(_xlfn.TEXTAFTER('Banco de Dados'!$F1999,"BRL ",1),".",",")),0),0),0)</f>
        <v>0</v>
      </c>
      <c r="AQ1999" s="28">
        <f ca="1">SUM('Banco de Dados'!$AM1999:$AP1999)</f>
        <v>0</v>
      </c>
      <c r="AR1999" s="8"/>
      <c r="AS1999" s="8"/>
      <c r="AT1999"/>
      <c r="AY1999" s="8"/>
    </row>
    <row r="2000" spans="1:51">
      <c r="A2000" s="5" t="str">
        <v>BV</v>
      </c>
      <c r="B2000" s="5" t="str">
        <f ca="1"/>
        <v>BV45856</v>
      </c>
      <c r="C2000" s="8" t="str">
        <v>Pedido 1986</v>
      </c>
      <c r="D2000" s="187">
        <v>45853</v>
      </c>
      <c r="E2000" s="9">
        <v>45856</v>
      </c>
      <c r="F2000" s="2" t="str">
        <v>PedidoF1870</v>
      </c>
      <c r="G2000" s="2" t="str">
        <v>CódRastreio1868</v>
      </c>
      <c r="H2000" s="5">
        <v>1</v>
      </c>
      <c r="I2000" s="182" t="str">
        <v>CPF 1942</v>
      </c>
      <c r="J2000" s="2" t="str">
        <v>Nome 1942</v>
      </c>
      <c r="K2000" s="8" t="str">
        <v>Tel 1942</v>
      </c>
      <c r="L2000" s="8" t="str">
        <v>Cep 1942</v>
      </c>
      <c r="M2000" s="8" t="str">
        <v>Rua 1942</v>
      </c>
      <c r="N2000" s="8" t="str">
        <v>Comp 1942</v>
      </c>
      <c r="O2000" s="8" t="str">
        <v>Bolsa térmica</v>
      </c>
      <c r="P2000" s="8" t="str">
        <v>6I-CK1S-8HYZ</v>
      </c>
      <c r="Q2000" s="4">
        <v>45874</v>
      </c>
      <c r="R2000" s="109">
        <v>29.5</v>
      </c>
      <c r="S2000" s="11">
        <f ca="1"/>
        <v>29.5</v>
      </c>
      <c r="T2000" s="28">
        <f ca="1"/>
        <v>3.54</v>
      </c>
      <c r="U2000" s="11">
        <f ca="1"/>
        <v>25.96</v>
      </c>
      <c r="V2000" s="11">
        <v>22.58</v>
      </c>
      <c r="W2000" s="11">
        <f ca="1"/>
        <v>0</v>
      </c>
      <c r="X2000" s="11">
        <f ca="1"/>
        <v>0.39877104377104378</v>
      </c>
      <c r="Y2000" s="11">
        <v>1</v>
      </c>
      <c r="Z2000" s="11">
        <f ca="1"/>
        <v>1.9812289562289571</v>
      </c>
      <c r="AA2000" s="11">
        <f ca="1"/>
        <v>0.99061447811447856</v>
      </c>
      <c r="AB2000" s="4">
        <f ca="1"/>
        <v>45881</v>
      </c>
      <c r="AC2000" s="4">
        <v>45881</v>
      </c>
      <c r="AD2000" s="9">
        <v>45887</v>
      </c>
      <c r="AE2000" s="9">
        <v>45888</v>
      </c>
      <c r="AF2000" s="4" t="str">
        <f t="shared" ca="1" si="145"/>
        <v>2025 08</v>
      </c>
      <c r="AG2000" s="8" t="str" cm="1">
        <f t="array" ref="AG2000">IFERROR(_xlfn.IFS('Banco de Dados'!#REF!="AG. COMPRA","Em processamento",'Banco de Dados'!#REF!="AG. RASTREIO","Em processamento",'Banco de Dados'!$AE2000&lt;&gt;"-","Faturado",'Banco de Dados'!$AD2000&lt;&gt;"-","Aguardando Pix",'Banco de Dados'!$AC2000&lt;&gt;"-","Pendente"),"Aguardando Liberação")</f>
        <v>Aguardando Liberação</v>
      </c>
      <c r="AH2000" s="5" t="str">
        <f>IF('Banco de Dados'!$F2000="-",_xlfn.CONCAT(PROPER(TEXT(AK2000,"aaaa"))," ",PROPER(TEXT(AK2000,"mm"))),_xlfn.CONCAT(PROPER(TEXT(E2000,"aaaa"))," ",PROPER(TEXT(E2000,"mm"))))</f>
        <v>2025 07</v>
      </c>
      <c r="AI2000" s="9" t="str">
        <f ca="1">IF('Banco de Dados'!$AK2000&lt;&gt;"-","REEMBOLSO",IFERROR(_xlfn.XLOOKUP(G2000,Follow[CODRASTREIO],Follow[STATUS]),"-"))</f>
        <v>ENTREGUE</v>
      </c>
      <c r="AJ2000" s="9">
        <f ca="1">IF('Banco de Dados'!$AI2000="ENTREGUE",_xlfn.XLOOKUP('Banco de Dados'!$G2000,Follow[CODRASTREIO],Follow[DATAATUALIZAÇÃO]),"-")</f>
        <v>45862</v>
      </c>
      <c r="AK2000" s="132" t="str">
        <f ca="1"/>
        <v>-</v>
      </c>
      <c r="AL2000" s="35"/>
      <c r="AM2000" s="109" cm="1">
        <f t="array" aca="1" ref="AM2000" ca="1">IF('Banco de Dados'!$AK2000&lt;&gt;"-",_xlfn.IFS('Banco de Dados'!$A2000="bv",IF('Banco de Dados'!$E2000&lt;45641,ROUND(SUM('Banco de Dados'!$R2000*_xlfn.XLOOKUP('Banco de Dados'!$P2000,Sku!B:B,Sku!#REF!)*20%),2),ROUND(SUM('Banco de Dados'!$R2000*_xlfn.XLOOKUP('Banco de Dados'!$P2000,Sku!B:B,Sku!H:H)*20%),2)),'Banco de Dados'!$A2000="GO",ROUND(_xlfn.XLOOKUP('Banco de Dados'!$P2000,Sku!C:C,Sku!H:H),2),'Banco de Dados'!$A2000="MEI",ROUND(_xlfn.XLOOKUP('Banco de Dados'!$P2000,Sku!D:D,Sku!H:H),2)),0)</f>
        <v>0</v>
      </c>
      <c r="AN2000" s="109">
        <v>0</v>
      </c>
      <c r="AO2000" s="109">
        <v>0</v>
      </c>
      <c r="AP2000" s="28">
        <f ca="1">IF('Banco de Dados'!$AK2000&lt;&gt;"-",IF('Banco de Dados'!$AL2000="NÃO",IFERROR(VALUE(SUBSTITUTE(_xlfn.TEXTAFTER('Banco de Dados'!$F2000,"BRL ",1),".",",")),0),0),0)</f>
        <v>0</v>
      </c>
      <c r="AQ2000" s="28">
        <f ca="1">SUM('Banco de Dados'!$AM2000:$AP2000)</f>
        <v>0</v>
      </c>
      <c r="AR2000" s="8"/>
      <c r="AS2000" s="8"/>
      <c r="AT2000"/>
      <c r="AY2000" s="8"/>
    </row>
    <row r="2001" spans="1:51">
      <c r="A2001" s="5" t="str">
        <v>BV</v>
      </c>
      <c r="B2001" s="5" t="str">
        <f ca="1"/>
        <v>BV45856</v>
      </c>
      <c r="C2001" s="8" t="str">
        <v>Pedido 1987</v>
      </c>
      <c r="D2001" s="187">
        <v>45853</v>
      </c>
      <c r="E2001" s="9">
        <v>45856</v>
      </c>
      <c r="F2001" s="2" t="str">
        <v>PedidoF1871</v>
      </c>
      <c r="G2001" s="2" t="str">
        <v>CódRastreio1869</v>
      </c>
      <c r="H2001" s="5">
        <v>1</v>
      </c>
      <c r="I2001" s="182" t="str">
        <v>CPF 1943</v>
      </c>
      <c r="J2001" s="2" t="str">
        <v>Nome 1943</v>
      </c>
      <c r="K2001" s="8" t="str">
        <v>Tel 1943</v>
      </c>
      <c r="L2001" s="8" t="str">
        <v>Cep 1943</v>
      </c>
      <c r="M2001" s="8" t="str">
        <v>Rua 1943</v>
      </c>
      <c r="N2001" s="8" t="str">
        <v>Comp 1943</v>
      </c>
      <c r="O2001" s="8" t="str">
        <v>Bolsa térmica</v>
      </c>
      <c r="P2001" s="8" t="str">
        <v>6I-CK1S-8HYZ</v>
      </c>
      <c r="Q2001" s="4">
        <v>45870</v>
      </c>
      <c r="R2001" s="109">
        <v>29.5</v>
      </c>
      <c r="S2001" s="11">
        <f ca="1"/>
        <v>29.5</v>
      </c>
      <c r="T2001" s="28">
        <f ca="1"/>
        <v>3.54</v>
      </c>
      <c r="U2001" s="11">
        <f ca="1"/>
        <v>25.96</v>
      </c>
      <c r="V2001" s="11">
        <v>22.58</v>
      </c>
      <c r="W2001" s="11">
        <f ca="1"/>
        <v>0</v>
      </c>
      <c r="X2001" s="11">
        <f ca="1"/>
        <v>0.39877104377104378</v>
      </c>
      <c r="Y2001" s="11">
        <v>0</v>
      </c>
      <c r="Z2001" s="11">
        <f ca="1"/>
        <v>2.9812289562289571</v>
      </c>
      <c r="AA2001" s="11">
        <f ca="1"/>
        <v>1.4906144781144786</v>
      </c>
      <c r="AB2001" s="4">
        <f ca="1"/>
        <v>45877</v>
      </c>
      <c r="AC2001" s="4">
        <v>45877</v>
      </c>
      <c r="AD2001" s="9">
        <v>45887</v>
      </c>
      <c r="AE2001" s="9">
        <v>45888</v>
      </c>
      <c r="AF2001" s="4" t="str">
        <f t="shared" ca="1" si="145"/>
        <v>2025 08</v>
      </c>
      <c r="AG2001" s="8" t="str" cm="1">
        <f t="array" ref="AG2001">IFERROR(_xlfn.IFS('Banco de Dados'!#REF!="AG. COMPRA","Em processamento",'Banco de Dados'!#REF!="AG. RASTREIO","Em processamento",'Banco de Dados'!$AE2001&lt;&gt;"-","Faturado",'Banco de Dados'!$AD2001&lt;&gt;"-","Aguardando Pix",'Banco de Dados'!$AC2001&lt;&gt;"-","Pendente"),"Aguardando Liberação")</f>
        <v>Aguardando Liberação</v>
      </c>
      <c r="AH2001" s="5" t="str">
        <f>IF('Banco de Dados'!$F2001="-",_xlfn.CONCAT(PROPER(TEXT(AK2001,"aaaa"))," ",PROPER(TEXT(AK2001,"mm"))),_xlfn.CONCAT(PROPER(TEXT(E2001,"aaaa"))," ",PROPER(TEXT(E2001,"mm"))))</f>
        <v>2025 07</v>
      </c>
      <c r="AI2001" s="9" t="str">
        <f ca="1">IF('Banco de Dados'!$AK2001&lt;&gt;"-","REEMBOLSO",IFERROR(_xlfn.XLOOKUP(G2001,Follow[CODRASTREIO],Follow[STATUS]),"-"))</f>
        <v>ENTREGUE</v>
      </c>
      <c r="AJ2001" s="9">
        <f ca="1">IF('Banco de Dados'!$AI2001="ENTREGUE",_xlfn.XLOOKUP('Banco de Dados'!$G2001,Follow[CODRASTREIO],Follow[DATAATUALIZAÇÃO]),"-")</f>
        <v>45863</v>
      </c>
      <c r="AK2001" s="132" t="str">
        <f ca="1"/>
        <v>-</v>
      </c>
      <c r="AL2001" s="35"/>
      <c r="AM2001" s="109" cm="1">
        <f t="array" aca="1" ref="AM2001" ca="1">IF('Banco de Dados'!$AK2001&lt;&gt;"-",_xlfn.IFS('Banco de Dados'!$A2001="bv",IF('Banco de Dados'!$E2001&lt;45641,ROUND(SUM('Banco de Dados'!$R2001*_xlfn.XLOOKUP('Banco de Dados'!$P2001,Sku!B:B,Sku!#REF!)*20%),2),ROUND(SUM('Banco de Dados'!$R2001*_xlfn.XLOOKUP('Banco de Dados'!$P2001,Sku!B:B,Sku!H:H)*20%),2)),'Banco de Dados'!$A2001="GO",ROUND(_xlfn.XLOOKUP('Banco de Dados'!$P2001,Sku!C:C,Sku!H:H),2),'Banco de Dados'!$A2001="MEI",ROUND(_xlfn.XLOOKUP('Banco de Dados'!$P2001,Sku!D:D,Sku!H:H),2)),0)</f>
        <v>0</v>
      </c>
      <c r="AN2001" s="109">
        <v>0</v>
      </c>
      <c r="AO2001" s="109">
        <v>0</v>
      </c>
      <c r="AP2001" s="28">
        <f ca="1">IF('Banco de Dados'!$AK2001&lt;&gt;"-",IF('Banco de Dados'!$AL2001="NÃO",IFERROR(VALUE(SUBSTITUTE(_xlfn.TEXTAFTER('Banco de Dados'!$F2001,"BRL ",1),".",",")),0),0),0)</f>
        <v>0</v>
      </c>
      <c r="AQ2001" s="28">
        <f ca="1">SUM('Banco de Dados'!$AM2001:$AP2001)</f>
        <v>0</v>
      </c>
      <c r="AR2001" s="8"/>
      <c r="AS2001" s="8"/>
      <c r="AT2001"/>
      <c r="AY2001" s="8"/>
    </row>
    <row r="2002" spans="1:51">
      <c r="A2002" s="5" t="str">
        <v>BV</v>
      </c>
      <c r="B2002" s="5" t="str">
        <f ca="1"/>
        <v>BV45856</v>
      </c>
      <c r="C2002" s="8" t="str">
        <v>Pedido 1988</v>
      </c>
      <c r="D2002" s="187">
        <v>45853</v>
      </c>
      <c r="E2002" s="9">
        <v>45856</v>
      </c>
      <c r="F2002" s="2" t="str">
        <v>PedidoF1872</v>
      </c>
      <c r="G2002" s="2" t="str">
        <v>CódRastreio1870</v>
      </c>
      <c r="H2002" s="5">
        <v>1</v>
      </c>
      <c r="I2002" s="182" t="str">
        <v>CPF 1944</v>
      </c>
      <c r="J2002" s="2" t="str">
        <v>Nome 1944</v>
      </c>
      <c r="K2002" s="8" t="str">
        <v>Tel 1944</v>
      </c>
      <c r="L2002" s="8" t="str">
        <v>Cep 1944</v>
      </c>
      <c r="M2002" s="8" t="str">
        <v>Rua 1944</v>
      </c>
      <c r="N2002" s="8" t="str">
        <v>Comp 1944</v>
      </c>
      <c r="O2002" s="8" t="str">
        <v>Bolsa térmica</v>
      </c>
      <c r="P2002" s="8" t="str">
        <v>6I-CK1S-8HYZ</v>
      </c>
      <c r="Q2002" s="4">
        <v>45868</v>
      </c>
      <c r="R2002" s="109">
        <v>29.5</v>
      </c>
      <c r="S2002" s="11">
        <f ca="1"/>
        <v>29.5</v>
      </c>
      <c r="T2002" s="28">
        <f ca="1"/>
        <v>3.54</v>
      </c>
      <c r="U2002" s="11">
        <f ca="1"/>
        <v>25.96</v>
      </c>
      <c r="V2002" s="11">
        <v>22.58</v>
      </c>
      <c r="W2002" s="11">
        <f ca="1"/>
        <v>0</v>
      </c>
      <c r="X2002" s="11">
        <f ca="1"/>
        <v>0.39877104377104378</v>
      </c>
      <c r="Y2002" s="11">
        <v>0</v>
      </c>
      <c r="Z2002" s="11">
        <f ca="1"/>
        <v>2.9812289562289571</v>
      </c>
      <c r="AA2002" s="11">
        <f ca="1"/>
        <v>1.4906144781144786</v>
      </c>
      <c r="AB2002" s="4">
        <f ca="1"/>
        <v>45875</v>
      </c>
      <c r="AC2002" s="4">
        <v>45875</v>
      </c>
      <c r="AD2002" s="9">
        <v>45887</v>
      </c>
      <c r="AE2002" s="9">
        <v>45888</v>
      </c>
      <c r="AF2002" s="4" t="str">
        <f t="shared" ca="1" si="145"/>
        <v>2025 08</v>
      </c>
      <c r="AG2002" s="8" t="str" cm="1">
        <f t="array" ref="AG2002">IFERROR(_xlfn.IFS('Banco de Dados'!#REF!="AG. COMPRA","Em processamento",'Banco de Dados'!#REF!="AG. RASTREIO","Em processamento",'Banco de Dados'!$AE2002&lt;&gt;"-","Faturado",'Banco de Dados'!$AD2002&lt;&gt;"-","Aguardando Pix",'Banco de Dados'!$AC2002&lt;&gt;"-","Pendente"),"Aguardando Liberação")</f>
        <v>Aguardando Liberação</v>
      </c>
      <c r="AH2002" s="5" t="str">
        <f>IF('Banco de Dados'!$F2002="-",_xlfn.CONCAT(PROPER(TEXT(AK2002,"aaaa"))," ",PROPER(TEXT(AK2002,"mm"))),_xlfn.CONCAT(PROPER(TEXT(E2002,"aaaa"))," ",PROPER(TEXT(E2002,"mm"))))</f>
        <v>2025 07</v>
      </c>
      <c r="AI2002" s="9" t="str">
        <f ca="1">IF('Banco de Dados'!$AK2002&lt;&gt;"-","REEMBOLSO",IFERROR(_xlfn.XLOOKUP(G2002,Follow[CODRASTREIO],Follow[STATUS]),"-"))</f>
        <v>ENTREGUE</v>
      </c>
      <c r="AJ2002" s="9">
        <f ca="1">IF('Banco de Dados'!$AI2002="ENTREGUE",_xlfn.XLOOKUP('Banco de Dados'!$G2002,Follow[CODRASTREIO],Follow[DATAATUALIZAÇÃO]),"-")</f>
        <v>45866</v>
      </c>
      <c r="AK2002" s="132" t="str">
        <f ca="1"/>
        <v>-</v>
      </c>
      <c r="AL2002" s="35"/>
      <c r="AM2002" s="109" cm="1">
        <f t="array" aca="1" ref="AM2002" ca="1">IF('Banco de Dados'!$AK2002&lt;&gt;"-",_xlfn.IFS('Banco de Dados'!$A2002="bv",IF('Banco de Dados'!$E2002&lt;45641,ROUND(SUM('Banco de Dados'!$R2002*_xlfn.XLOOKUP('Banco de Dados'!$P2002,Sku!B:B,Sku!#REF!)*20%),2),ROUND(SUM('Banco de Dados'!$R2002*_xlfn.XLOOKUP('Banco de Dados'!$P2002,Sku!B:B,Sku!H:H)*20%),2)),'Banco de Dados'!$A2002="GO",ROUND(_xlfn.XLOOKUP('Banco de Dados'!$P2002,Sku!C:C,Sku!H:H),2),'Banco de Dados'!$A2002="MEI",ROUND(_xlfn.XLOOKUP('Banco de Dados'!$P2002,Sku!D:D,Sku!H:H),2)),0)</f>
        <v>0</v>
      </c>
      <c r="AN2002" s="109">
        <v>0</v>
      </c>
      <c r="AO2002" s="109">
        <v>0</v>
      </c>
      <c r="AP2002" s="28">
        <f ca="1">IF('Banco de Dados'!$AK2002&lt;&gt;"-",IF('Banco de Dados'!$AL2002="NÃO",IFERROR(VALUE(SUBSTITUTE(_xlfn.TEXTAFTER('Banco de Dados'!$F2002,"BRL ",1),".",",")),0),0),0)</f>
        <v>0</v>
      </c>
      <c r="AQ2002" s="28">
        <f ca="1">SUM('Banco de Dados'!$AM2002:$AP2002)</f>
        <v>0</v>
      </c>
      <c r="AR2002" s="8"/>
      <c r="AS2002" s="8"/>
      <c r="AT2002"/>
      <c r="AY2002" s="8"/>
    </row>
    <row r="2003" spans="1:51">
      <c r="A2003" s="5" t="str">
        <v>BV</v>
      </c>
      <c r="B2003" s="5" t="str">
        <f ca="1"/>
        <v>BV45856</v>
      </c>
      <c r="C2003" s="8" t="str">
        <v>Pedido 1989</v>
      </c>
      <c r="D2003" s="187">
        <v>45853</v>
      </c>
      <c r="E2003" s="9">
        <v>45856</v>
      </c>
      <c r="F2003" s="2" t="str">
        <v>PedidoF1873</v>
      </c>
      <c r="G2003" s="2" t="str">
        <v>CódRastreio1871</v>
      </c>
      <c r="H2003" s="5">
        <v>1</v>
      </c>
      <c r="I2003" s="182" t="str">
        <v>CPF 1945</v>
      </c>
      <c r="J2003" s="2" t="str">
        <v>Nome 1945</v>
      </c>
      <c r="K2003" s="8" t="str">
        <v>Tel 1945</v>
      </c>
      <c r="L2003" s="8" t="str">
        <v>Cep 1945</v>
      </c>
      <c r="M2003" s="8" t="str">
        <v>Rua 1945</v>
      </c>
      <c r="N2003" s="8" t="str">
        <v>Comp 1945</v>
      </c>
      <c r="O2003" s="8" t="str">
        <v>Bolsa térmica</v>
      </c>
      <c r="P2003" s="8" t="str">
        <v>6I-CK1S-8HYZ</v>
      </c>
      <c r="Q2003" s="4">
        <v>45874</v>
      </c>
      <c r="R2003" s="109">
        <v>29.5</v>
      </c>
      <c r="S2003" s="11">
        <f ca="1"/>
        <v>29.5</v>
      </c>
      <c r="T2003" s="28">
        <f ca="1"/>
        <v>3.54</v>
      </c>
      <c r="U2003" s="11">
        <f ca="1"/>
        <v>25.96</v>
      </c>
      <c r="V2003" s="11">
        <v>22.58</v>
      </c>
      <c r="W2003" s="11">
        <f ca="1"/>
        <v>0</v>
      </c>
      <c r="X2003" s="11">
        <f ca="1"/>
        <v>0.39877104377104378</v>
      </c>
      <c r="Y2003" s="11">
        <v>0</v>
      </c>
      <c r="Z2003" s="11">
        <f ca="1"/>
        <v>2.9812289562289571</v>
      </c>
      <c r="AA2003" s="11">
        <f ca="1"/>
        <v>1.4906144781144786</v>
      </c>
      <c r="AB2003" s="4">
        <f ca="1"/>
        <v>45881</v>
      </c>
      <c r="AC2003" s="4">
        <v>45881</v>
      </c>
      <c r="AD2003" s="9">
        <v>45887</v>
      </c>
      <c r="AE2003" s="9">
        <v>45888</v>
      </c>
      <c r="AF2003" s="4" t="str">
        <f t="shared" ca="1" si="145"/>
        <v>2025 08</v>
      </c>
      <c r="AG2003" s="8" t="str" cm="1">
        <f t="array" ref="AG2003">IFERROR(_xlfn.IFS('Banco de Dados'!#REF!="AG. COMPRA","Em processamento",'Banco de Dados'!#REF!="AG. RASTREIO","Em processamento",'Banco de Dados'!$AE2003&lt;&gt;"-","Faturado",'Banco de Dados'!$AD2003&lt;&gt;"-","Aguardando Pix",'Banco de Dados'!$AC2003&lt;&gt;"-","Pendente"),"Aguardando Liberação")</f>
        <v>Aguardando Liberação</v>
      </c>
      <c r="AH2003" s="5" t="str">
        <f>IF('Banco de Dados'!$F2003="-",_xlfn.CONCAT(PROPER(TEXT(AK2003,"aaaa"))," ",PROPER(TEXT(AK2003,"mm"))),_xlfn.CONCAT(PROPER(TEXT(E2003,"aaaa"))," ",PROPER(TEXT(E2003,"mm"))))</f>
        <v>2025 07</v>
      </c>
      <c r="AI2003" s="9" t="str">
        <f ca="1">IF('Banco de Dados'!$AK2003&lt;&gt;"-","REEMBOLSO",IFERROR(_xlfn.XLOOKUP(G2003,Follow[CODRASTREIO],Follow[STATUS]),"-"))</f>
        <v>ENTREGUE</v>
      </c>
      <c r="AJ2003" s="9">
        <f ca="1">IF('Banco de Dados'!$AI2003="ENTREGUE",_xlfn.XLOOKUP('Banco de Dados'!$G2003,Follow[CODRASTREIO],Follow[DATAATUALIZAÇÃO]),"-")</f>
        <v>45862</v>
      </c>
      <c r="AK2003" s="132" t="str">
        <f ca="1"/>
        <v>-</v>
      </c>
      <c r="AL2003" s="35"/>
      <c r="AM2003" s="109" cm="1">
        <f t="array" aca="1" ref="AM2003" ca="1">IF('Banco de Dados'!$AK2003&lt;&gt;"-",_xlfn.IFS('Banco de Dados'!$A2003="bv",IF('Banco de Dados'!$E2003&lt;45641,ROUND(SUM('Banco de Dados'!$R2003*_xlfn.XLOOKUP('Banco de Dados'!$P2003,Sku!B:B,Sku!#REF!)*20%),2),ROUND(SUM('Banco de Dados'!$R2003*_xlfn.XLOOKUP('Banco de Dados'!$P2003,Sku!B:B,Sku!H:H)*20%),2)),'Banco de Dados'!$A2003="GO",ROUND(_xlfn.XLOOKUP('Banco de Dados'!$P2003,Sku!C:C,Sku!H:H),2),'Banco de Dados'!$A2003="MEI",ROUND(_xlfn.XLOOKUP('Banco de Dados'!$P2003,Sku!D:D,Sku!H:H),2)),0)</f>
        <v>0</v>
      </c>
      <c r="AN2003" s="109">
        <v>0</v>
      </c>
      <c r="AO2003" s="109">
        <v>0</v>
      </c>
      <c r="AP2003" s="28">
        <f ca="1">IF('Banco de Dados'!$AK2003&lt;&gt;"-",IF('Banco de Dados'!$AL2003="NÃO",IFERROR(VALUE(SUBSTITUTE(_xlfn.TEXTAFTER('Banco de Dados'!$F2003,"BRL ",1),".",",")),0),0),0)</f>
        <v>0</v>
      </c>
      <c r="AQ2003" s="28">
        <f ca="1">SUM('Banco de Dados'!$AM2003:$AP2003)</f>
        <v>0</v>
      </c>
      <c r="AR2003" s="8"/>
      <c r="AS2003" s="8"/>
      <c r="AT2003"/>
      <c r="AY2003" s="8"/>
    </row>
    <row r="2004" spans="1:51">
      <c r="A2004" s="5" t="str">
        <v>BV</v>
      </c>
      <c r="B2004" s="5" t="str">
        <f ca="1"/>
        <v>BV45856</v>
      </c>
      <c r="C2004" s="8" t="str">
        <v>Pedido 1990</v>
      </c>
      <c r="D2004" s="187">
        <v>45853</v>
      </c>
      <c r="E2004" s="9">
        <v>45856</v>
      </c>
      <c r="F2004" s="2" t="str">
        <v>PedidoF1874</v>
      </c>
      <c r="G2004" s="2" t="str">
        <v>CódRastreio1872</v>
      </c>
      <c r="H2004" s="5">
        <v>1</v>
      </c>
      <c r="I2004" s="182" t="str">
        <v>CPF 1946</v>
      </c>
      <c r="J2004" s="2" t="str">
        <v>Nome 1946</v>
      </c>
      <c r="K2004" s="8" t="str">
        <v>Tel 1946</v>
      </c>
      <c r="L2004" s="8" t="str">
        <v>Cep 1946</v>
      </c>
      <c r="M2004" s="8" t="str">
        <v>Rua 1946</v>
      </c>
      <c r="N2004" s="8" t="str">
        <v>Comp 1946</v>
      </c>
      <c r="O2004" s="8" t="str">
        <v>Bolsa térmica</v>
      </c>
      <c r="P2004" s="8" t="str">
        <v>6I-CK1S-8HYZ</v>
      </c>
      <c r="Q2004" s="4">
        <v>45874</v>
      </c>
      <c r="R2004" s="109">
        <v>29.5</v>
      </c>
      <c r="S2004" s="11">
        <f ca="1"/>
        <v>29.5</v>
      </c>
      <c r="T2004" s="28">
        <f ca="1"/>
        <v>3.54</v>
      </c>
      <c r="U2004" s="11">
        <f ca="1"/>
        <v>25.96</v>
      </c>
      <c r="V2004" s="11">
        <v>22.58</v>
      </c>
      <c r="W2004" s="11">
        <f ca="1"/>
        <v>0</v>
      </c>
      <c r="X2004" s="11">
        <f ca="1"/>
        <v>0.39877104377104378</v>
      </c>
      <c r="Y2004" s="11">
        <v>0</v>
      </c>
      <c r="Z2004" s="11">
        <f ca="1"/>
        <v>2.9812289562289571</v>
      </c>
      <c r="AA2004" s="11">
        <f ca="1"/>
        <v>1.4906144781144786</v>
      </c>
      <c r="AB2004" s="4">
        <f ca="1"/>
        <v>45881</v>
      </c>
      <c r="AC2004" s="4">
        <v>45881</v>
      </c>
      <c r="AD2004" s="9">
        <v>45887</v>
      </c>
      <c r="AE2004" s="9">
        <v>45888</v>
      </c>
      <c r="AF2004" s="4" t="str">
        <f t="shared" ca="1" si="145"/>
        <v>2025 08</v>
      </c>
      <c r="AG2004" s="8" t="str" cm="1">
        <f t="array" ref="AG2004">IFERROR(_xlfn.IFS('Banco de Dados'!#REF!="AG. COMPRA","Em processamento",'Banco de Dados'!#REF!="AG. RASTREIO","Em processamento",'Banco de Dados'!$AE2004&lt;&gt;"-","Faturado",'Banco de Dados'!$AD2004&lt;&gt;"-","Aguardando Pix",'Banco de Dados'!$AC2004&lt;&gt;"-","Pendente"),"Aguardando Liberação")</f>
        <v>Aguardando Liberação</v>
      </c>
      <c r="AH2004" s="5" t="str">
        <f>IF('Banco de Dados'!$F2004="-",_xlfn.CONCAT(PROPER(TEXT(AK2004,"aaaa"))," ",PROPER(TEXT(AK2004,"mm"))),_xlfn.CONCAT(PROPER(TEXT(E2004,"aaaa"))," ",PROPER(TEXT(E2004,"mm"))))</f>
        <v>2025 07</v>
      </c>
      <c r="AI2004" s="9" t="str">
        <f ca="1">IF('Banco de Dados'!$AK2004&lt;&gt;"-","REEMBOLSO",IFERROR(_xlfn.XLOOKUP(G2004,Follow[CODRASTREIO],Follow[STATUS]),"-"))</f>
        <v>ENTREGUE</v>
      </c>
      <c r="AJ2004" s="9">
        <f ca="1">IF('Banco de Dados'!$AI2004="ENTREGUE",_xlfn.XLOOKUP('Banco de Dados'!$G2004,Follow[CODRASTREIO],Follow[DATAATUALIZAÇÃO]),"-")</f>
        <v>45863</v>
      </c>
      <c r="AK2004" s="132" t="str">
        <f ca="1"/>
        <v>-</v>
      </c>
      <c r="AL2004" s="35"/>
      <c r="AM2004" s="109" cm="1">
        <f t="array" aca="1" ref="AM2004" ca="1">IF('Banco de Dados'!$AK2004&lt;&gt;"-",_xlfn.IFS('Banco de Dados'!$A2004="bv",IF('Banco de Dados'!$E2004&lt;45641,ROUND(SUM('Banco de Dados'!$R2004*_xlfn.XLOOKUP('Banco de Dados'!$P2004,Sku!B:B,Sku!#REF!)*20%),2),ROUND(SUM('Banco de Dados'!$R2004*_xlfn.XLOOKUP('Banco de Dados'!$P2004,Sku!B:B,Sku!H:H)*20%),2)),'Banco de Dados'!$A2004="GO",ROUND(_xlfn.XLOOKUP('Banco de Dados'!$P2004,Sku!C:C,Sku!H:H),2),'Banco de Dados'!$A2004="MEI",ROUND(_xlfn.XLOOKUP('Banco de Dados'!$P2004,Sku!D:D,Sku!H:H),2)),0)</f>
        <v>0</v>
      </c>
      <c r="AN2004" s="109">
        <v>0</v>
      </c>
      <c r="AO2004" s="109">
        <v>0</v>
      </c>
      <c r="AP2004" s="28">
        <f ca="1">IF('Banco de Dados'!$AK2004&lt;&gt;"-",IF('Banco de Dados'!$AL2004="NÃO",IFERROR(VALUE(SUBSTITUTE(_xlfn.TEXTAFTER('Banco de Dados'!$F2004,"BRL ",1),".",",")),0),0),0)</f>
        <v>0</v>
      </c>
      <c r="AQ2004" s="28">
        <f ca="1">SUM('Banco de Dados'!$AM2004:$AP2004)</f>
        <v>0</v>
      </c>
      <c r="AR2004" s="8"/>
      <c r="AS2004" s="8"/>
      <c r="AT2004"/>
      <c r="AY2004" s="8"/>
    </row>
    <row r="2005" spans="1:51">
      <c r="A2005" s="5" t="str">
        <v>BV</v>
      </c>
      <c r="B2005" s="5" t="str">
        <f ca="1"/>
        <v>BV45856</v>
      </c>
      <c r="C2005" s="8" t="str">
        <v>Pedido 1991</v>
      </c>
      <c r="D2005" s="187">
        <v>45853</v>
      </c>
      <c r="E2005" s="9">
        <v>45856</v>
      </c>
      <c r="F2005" s="2" t="str">
        <v>PedidoF1875</v>
      </c>
      <c r="G2005" s="2" t="str">
        <v>CódRastreio1873</v>
      </c>
      <c r="H2005" s="5">
        <v>1</v>
      </c>
      <c r="I2005" s="182" t="str">
        <v>CPF 1947</v>
      </c>
      <c r="J2005" s="2" t="str">
        <v>Nome 1947</v>
      </c>
      <c r="K2005" s="8" t="str">
        <v>Tel 1947</v>
      </c>
      <c r="L2005" s="8" t="str">
        <v>Cep 1947</v>
      </c>
      <c r="M2005" s="8" t="str">
        <v>Rua 1947</v>
      </c>
      <c r="N2005" s="8" t="str">
        <v>Comp 1947</v>
      </c>
      <c r="O2005" s="8" t="str">
        <v>Bolsa térmica</v>
      </c>
      <c r="P2005" s="8" t="str">
        <v>6I-CK1S-8HYZ</v>
      </c>
      <c r="Q2005" s="4">
        <v>45868</v>
      </c>
      <c r="R2005" s="109">
        <v>29.5</v>
      </c>
      <c r="S2005" s="11">
        <f ca="1"/>
        <v>29.5</v>
      </c>
      <c r="T2005" s="28">
        <f ca="1"/>
        <v>3.54</v>
      </c>
      <c r="U2005" s="11">
        <f ca="1"/>
        <v>25.96</v>
      </c>
      <c r="V2005" s="11">
        <v>22.58</v>
      </c>
      <c r="W2005" s="11">
        <f ca="1"/>
        <v>0</v>
      </c>
      <c r="X2005" s="11">
        <f ca="1"/>
        <v>0.39877104377104378</v>
      </c>
      <c r="Y2005" s="11">
        <v>0</v>
      </c>
      <c r="Z2005" s="11">
        <f ca="1"/>
        <v>2.9812289562289571</v>
      </c>
      <c r="AA2005" s="11">
        <f ca="1"/>
        <v>1.4906144781144786</v>
      </c>
      <c r="AB2005" s="4">
        <f ca="1"/>
        <v>45875</v>
      </c>
      <c r="AC2005" s="4">
        <v>45875</v>
      </c>
      <c r="AD2005" s="9">
        <v>45887</v>
      </c>
      <c r="AE2005" s="9">
        <v>45888</v>
      </c>
      <c r="AF2005" s="4" t="str">
        <f t="shared" ca="1" si="145"/>
        <v>2025 08</v>
      </c>
      <c r="AG2005" s="8" t="str" cm="1">
        <f t="array" ref="AG2005">IFERROR(_xlfn.IFS('Banco de Dados'!#REF!="AG. COMPRA","Em processamento",'Banco de Dados'!#REF!="AG. RASTREIO","Em processamento",'Banco de Dados'!$AE2005&lt;&gt;"-","Faturado",'Banco de Dados'!$AD2005&lt;&gt;"-","Aguardando Pix",'Banco de Dados'!$AC2005&lt;&gt;"-","Pendente"),"Aguardando Liberação")</f>
        <v>Aguardando Liberação</v>
      </c>
      <c r="AH2005" s="5" t="str">
        <f>IF('Banco de Dados'!$F2005="-",_xlfn.CONCAT(PROPER(TEXT(AK2005,"aaaa"))," ",PROPER(TEXT(AK2005,"mm"))),_xlfn.CONCAT(PROPER(TEXT(E2005,"aaaa"))," ",PROPER(TEXT(E2005,"mm"))))</f>
        <v>2025 07</v>
      </c>
      <c r="AI2005" s="9" t="str">
        <f ca="1">IF('Banco de Dados'!$AK2005&lt;&gt;"-","REEMBOLSO",IFERROR(_xlfn.XLOOKUP(G2005,Follow[CODRASTREIO],Follow[STATUS]),"-"))</f>
        <v>ENTREGUE</v>
      </c>
      <c r="AJ2005" s="9">
        <f ca="1">IF('Banco de Dados'!$AI2005="ENTREGUE",_xlfn.XLOOKUP('Banco de Dados'!$G2005,Follow[CODRASTREIO],Follow[DATAATUALIZAÇÃO]),"-")</f>
        <v>45861</v>
      </c>
      <c r="AK2005" s="132" t="str">
        <f ca="1"/>
        <v>-</v>
      </c>
      <c r="AL2005" s="35"/>
      <c r="AM2005" s="109" cm="1">
        <f t="array" aca="1" ref="AM2005" ca="1">IF('Banco de Dados'!$AK2005&lt;&gt;"-",_xlfn.IFS('Banco de Dados'!$A2005="bv",IF('Banco de Dados'!$E2005&lt;45641,ROUND(SUM('Banco de Dados'!$R2005*_xlfn.XLOOKUP('Banco de Dados'!$P2005,Sku!B:B,Sku!#REF!)*20%),2),ROUND(SUM('Banco de Dados'!$R2005*_xlfn.XLOOKUP('Banco de Dados'!$P2005,Sku!B:B,Sku!H:H)*20%),2)),'Banco de Dados'!$A2005="GO",ROUND(_xlfn.XLOOKUP('Banco de Dados'!$P2005,Sku!C:C,Sku!H:H),2),'Banco de Dados'!$A2005="MEI",ROUND(_xlfn.XLOOKUP('Banco de Dados'!$P2005,Sku!D:D,Sku!H:H),2)),0)</f>
        <v>0</v>
      </c>
      <c r="AN2005" s="109">
        <v>0</v>
      </c>
      <c r="AO2005" s="109">
        <v>0</v>
      </c>
      <c r="AP2005" s="28">
        <f ca="1">IF('Banco de Dados'!$AK2005&lt;&gt;"-",IF('Banco de Dados'!$AL2005="NÃO",IFERROR(VALUE(SUBSTITUTE(_xlfn.TEXTAFTER('Banco de Dados'!$F2005,"BRL ",1),".",",")),0),0),0)</f>
        <v>0</v>
      </c>
      <c r="AQ2005" s="28">
        <f ca="1">SUM('Banco de Dados'!$AM2005:$AP2005)</f>
        <v>0</v>
      </c>
      <c r="AR2005" s="8"/>
      <c r="AS2005" s="8"/>
      <c r="AT2005"/>
      <c r="AY2005" s="8"/>
    </row>
    <row r="2006" spans="1:51">
      <c r="A2006" s="5" t="str">
        <v>BV</v>
      </c>
      <c r="B2006" s="5" t="str">
        <f ca="1"/>
        <v>BV45856</v>
      </c>
      <c r="C2006" s="8" t="str">
        <v>Pedido 1992</v>
      </c>
      <c r="D2006" s="187">
        <v>45853</v>
      </c>
      <c r="E2006" s="9">
        <v>45856</v>
      </c>
      <c r="F2006" s="2" t="str">
        <v>PedidoF1876</v>
      </c>
      <c r="G2006" s="2" t="str">
        <v>CódRastreio1874</v>
      </c>
      <c r="H2006" s="5">
        <v>1</v>
      </c>
      <c r="I2006" s="182" t="str">
        <v>CPF 1948</v>
      </c>
      <c r="J2006" s="2" t="str">
        <v>Nome 1948</v>
      </c>
      <c r="K2006" s="8" t="str">
        <v>Tel 1948</v>
      </c>
      <c r="L2006" s="8" t="str">
        <v>Cep 1948</v>
      </c>
      <c r="M2006" s="8" t="str">
        <v>Rua 1948</v>
      </c>
      <c r="N2006" s="8" t="str">
        <v>Comp 1948</v>
      </c>
      <c r="O2006" s="8" t="str">
        <v>Bolsa térmica</v>
      </c>
      <c r="P2006" s="8" t="str">
        <v>6I-CK1S-8HYZ</v>
      </c>
      <c r="Q2006" s="4">
        <v>45868</v>
      </c>
      <c r="R2006" s="109">
        <v>29.5</v>
      </c>
      <c r="S2006" s="11">
        <f ca="1"/>
        <v>29.5</v>
      </c>
      <c r="T2006" s="28">
        <f ca="1"/>
        <v>3.54</v>
      </c>
      <c r="U2006" s="11">
        <f ca="1"/>
        <v>25.96</v>
      </c>
      <c r="V2006" s="11">
        <v>22.58</v>
      </c>
      <c r="W2006" s="11">
        <f ca="1"/>
        <v>0</v>
      </c>
      <c r="X2006" s="11">
        <f ca="1"/>
        <v>0.39877104377104378</v>
      </c>
      <c r="Y2006" s="11">
        <v>0</v>
      </c>
      <c r="Z2006" s="11">
        <f ca="1"/>
        <v>2.9812289562289571</v>
      </c>
      <c r="AA2006" s="11">
        <f ca="1"/>
        <v>1.4906144781144786</v>
      </c>
      <c r="AB2006" s="4">
        <f ca="1"/>
        <v>45875</v>
      </c>
      <c r="AC2006" s="4">
        <v>45875</v>
      </c>
      <c r="AD2006" s="9">
        <v>45887</v>
      </c>
      <c r="AE2006" s="9">
        <v>45888</v>
      </c>
      <c r="AF2006" s="4" t="str">
        <f t="shared" ca="1" si="145"/>
        <v>2025 08</v>
      </c>
      <c r="AG2006" s="8" t="str" cm="1">
        <f t="array" ref="AG2006">IFERROR(_xlfn.IFS('Banco de Dados'!#REF!="AG. COMPRA","Em processamento",'Banco de Dados'!#REF!="AG. RASTREIO","Em processamento",'Banco de Dados'!$AE2006&lt;&gt;"-","Faturado",'Banco de Dados'!$AD2006&lt;&gt;"-","Aguardando Pix",'Banco de Dados'!$AC2006&lt;&gt;"-","Pendente"),"Aguardando Liberação")</f>
        <v>Aguardando Liberação</v>
      </c>
      <c r="AH2006" s="5" t="str">
        <f>IF('Banco de Dados'!$F2006="-",_xlfn.CONCAT(PROPER(TEXT(AK2006,"aaaa"))," ",PROPER(TEXT(AK2006,"mm"))),_xlfn.CONCAT(PROPER(TEXT(E2006,"aaaa"))," ",PROPER(TEXT(E2006,"mm"))))</f>
        <v>2025 07</v>
      </c>
      <c r="AI2006" s="9" t="str">
        <f ca="1">IF('Banco de Dados'!$AK2006&lt;&gt;"-","REEMBOLSO",IFERROR(_xlfn.XLOOKUP(G2006,Follow[CODRASTREIO],Follow[STATUS]),"-"))</f>
        <v>ENTREGUE</v>
      </c>
      <c r="AJ2006" s="9">
        <f ca="1">IF('Banco de Dados'!$AI2006="ENTREGUE",_xlfn.XLOOKUP('Banco de Dados'!$G2006,Follow[CODRASTREIO],Follow[DATAATUALIZAÇÃO]),"-")</f>
        <v>45860</v>
      </c>
      <c r="AK2006" s="132" t="str">
        <f ca="1"/>
        <v>-</v>
      </c>
      <c r="AL2006" s="35"/>
      <c r="AM2006" s="109" cm="1">
        <f t="array" aca="1" ref="AM2006" ca="1">IF('Banco de Dados'!$AK2006&lt;&gt;"-",_xlfn.IFS('Banco de Dados'!$A2006="bv",IF('Banco de Dados'!$E2006&lt;45641,ROUND(SUM('Banco de Dados'!$R2006*_xlfn.XLOOKUP('Banco de Dados'!$P2006,Sku!B:B,Sku!#REF!)*20%),2),ROUND(SUM('Banco de Dados'!$R2006*_xlfn.XLOOKUP('Banco de Dados'!$P2006,Sku!B:B,Sku!H:H)*20%),2)),'Banco de Dados'!$A2006="GO",ROUND(_xlfn.XLOOKUP('Banco de Dados'!$P2006,Sku!C:C,Sku!H:H),2),'Banco de Dados'!$A2006="MEI",ROUND(_xlfn.XLOOKUP('Banco de Dados'!$P2006,Sku!D:D,Sku!H:H),2)),0)</f>
        <v>0</v>
      </c>
      <c r="AN2006" s="109">
        <v>0</v>
      </c>
      <c r="AO2006" s="109">
        <v>0</v>
      </c>
      <c r="AP2006" s="28">
        <f ca="1">IF('Banco de Dados'!$AK2006&lt;&gt;"-",IF('Banco de Dados'!$AL2006="NÃO",IFERROR(VALUE(SUBSTITUTE(_xlfn.TEXTAFTER('Banco de Dados'!$F2006,"BRL ",1),".",",")),0),0),0)</f>
        <v>0</v>
      </c>
      <c r="AQ2006" s="28">
        <f ca="1">SUM('Banco de Dados'!$AM2006:$AP2006)</f>
        <v>0</v>
      </c>
      <c r="AR2006" s="8"/>
      <c r="AS2006" s="8"/>
      <c r="AT2006"/>
      <c r="AY2006" s="8"/>
    </row>
    <row r="2007" spans="1:51">
      <c r="A2007" s="5" t="str">
        <v>BV</v>
      </c>
      <c r="B2007" s="5" t="str">
        <f ca="1"/>
        <v>BV45856</v>
      </c>
      <c r="C2007" s="8" t="str">
        <v>Pedido 1993</v>
      </c>
      <c r="D2007" s="187">
        <v>45853</v>
      </c>
      <c r="E2007" s="9">
        <v>45856</v>
      </c>
      <c r="F2007" s="2" t="str">
        <v>PedidoF1877</v>
      </c>
      <c r="G2007" s="2" t="str">
        <v>CódRastreio1875</v>
      </c>
      <c r="H2007" s="5">
        <v>1</v>
      </c>
      <c r="I2007" s="182" t="str">
        <v>CPF 1949</v>
      </c>
      <c r="J2007" s="2" t="str">
        <v>Nome 1949</v>
      </c>
      <c r="K2007" s="8" t="str">
        <v>Tel 1949</v>
      </c>
      <c r="L2007" s="8" t="str">
        <v>Cep 1949</v>
      </c>
      <c r="M2007" s="8" t="str">
        <v>Rua 1949</v>
      </c>
      <c r="N2007" s="8" t="str">
        <v>Comp 1949</v>
      </c>
      <c r="O2007" s="8" t="str">
        <v>Bolsa térmica</v>
      </c>
      <c r="P2007" s="8" t="str">
        <v>6I-CK1S-8HYZ</v>
      </c>
      <c r="Q2007" s="4">
        <v>45868</v>
      </c>
      <c r="R2007" s="109">
        <v>28.5</v>
      </c>
      <c r="S2007" s="11">
        <f ca="1"/>
        <v>28.5</v>
      </c>
      <c r="T2007" s="28">
        <f ca="1"/>
        <v>3.42</v>
      </c>
      <c r="U2007" s="11">
        <f ca="1"/>
        <v>25.08</v>
      </c>
      <c r="V2007" s="11">
        <v>22.58</v>
      </c>
      <c r="W2007" s="11">
        <f ca="1"/>
        <v>0</v>
      </c>
      <c r="X2007" s="11">
        <f ca="1"/>
        <v>0.39877104377104378</v>
      </c>
      <c r="Y2007" s="11">
        <v>0</v>
      </c>
      <c r="Z2007" s="11">
        <f ca="1"/>
        <v>2.1012289562289546</v>
      </c>
      <c r="AA2007" s="11">
        <f ca="1"/>
        <v>1.0506144781144773</v>
      </c>
      <c r="AB2007" s="4">
        <f ca="1"/>
        <v>45875</v>
      </c>
      <c r="AC2007" s="4">
        <v>45875</v>
      </c>
      <c r="AD2007" s="9">
        <v>45887</v>
      </c>
      <c r="AE2007" s="9">
        <v>45888</v>
      </c>
      <c r="AF2007" s="4" t="str">
        <f t="shared" ca="1" si="145"/>
        <v>2025 08</v>
      </c>
      <c r="AG2007" s="8" t="str" cm="1">
        <f t="array" ref="AG2007">IFERROR(_xlfn.IFS('Banco de Dados'!#REF!="AG. COMPRA","Em processamento",'Banco de Dados'!#REF!="AG. RASTREIO","Em processamento",'Banco de Dados'!$AE2007&lt;&gt;"-","Faturado",'Banco de Dados'!$AD2007&lt;&gt;"-","Aguardando Pix",'Banco de Dados'!$AC2007&lt;&gt;"-","Pendente"),"Aguardando Liberação")</f>
        <v>Aguardando Liberação</v>
      </c>
      <c r="AH2007" s="5" t="str">
        <f>IF('Banco de Dados'!$F2007="-",_xlfn.CONCAT(PROPER(TEXT(AK2007,"aaaa"))," ",PROPER(TEXT(AK2007,"mm"))),_xlfn.CONCAT(PROPER(TEXT(E2007,"aaaa"))," ",PROPER(TEXT(E2007,"mm"))))</f>
        <v>2025 07</v>
      </c>
      <c r="AI2007" s="9" t="str">
        <f ca="1">IF('Banco de Dados'!$AK2007&lt;&gt;"-","REEMBOLSO",IFERROR(_xlfn.XLOOKUP(G2007,Follow[CODRASTREIO],Follow[STATUS]),"-"))</f>
        <v>ENTREGUE</v>
      </c>
      <c r="AJ2007" s="9">
        <f ca="1">IF('Banco de Dados'!$AI2007="ENTREGUE",_xlfn.XLOOKUP('Banco de Dados'!$G2007,Follow[CODRASTREIO],Follow[DATAATUALIZAÇÃO]),"-")</f>
        <v>45861</v>
      </c>
      <c r="AK2007" s="132" t="str">
        <f ca="1"/>
        <v>-</v>
      </c>
      <c r="AL2007" s="35"/>
      <c r="AM2007" s="109" cm="1">
        <f t="array" aca="1" ref="AM2007" ca="1">IF('Banco de Dados'!$AK2007&lt;&gt;"-",_xlfn.IFS('Banco de Dados'!$A2007="bv",IF('Banco de Dados'!$E2007&lt;45641,ROUND(SUM('Banco de Dados'!$R2007*_xlfn.XLOOKUP('Banco de Dados'!$P2007,Sku!B:B,Sku!#REF!)*20%),2),ROUND(SUM('Banco de Dados'!$R2007*_xlfn.XLOOKUP('Banco de Dados'!$P2007,Sku!B:B,Sku!H:H)*20%),2)),'Banco de Dados'!$A2007="GO",ROUND(_xlfn.XLOOKUP('Banco de Dados'!$P2007,Sku!C:C,Sku!H:H),2),'Banco de Dados'!$A2007="MEI",ROUND(_xlfn.XLOOKUP('Banco de Dados'!$P2007,Sku!D:D,Sku!H:H),2)),0)</f>
        <v>0</v>
      </c>
      <c r="AN2007" s="109">
        <v>0</v>
      </c>
      <c r="AO2007" s="109">
        <v>0</v>
      </c>
      <c r="AP2007" s="28">
        <f ca="1">IF('Banco de Dados'!$AK2007&lt;&gt;"-",IF('Banco de Dados'!$AL2007="NÃO",IFERROR(VALUE(SUBSTITUTE(_xlfn.TEXTAFTER('Banco de Dados'!$F2007,"BRL ",1),".",",")),0),0),0)</f>
        <v>0</v>
      </c>
      <c r="AQ2007" s="28">
        <f ca="1">SUM('Banco de Dados'!$AM2007:$AP2007)</f>
        <v>0</v>
      </c>
      <c r="AR2007" s="8"/>
      <c r="AS2007" s="8"/>
      <c r="AT2007"/>
      <c r="AY2007" s="8"/>
    </row>
    <row r="2008" spans="1:51">
      <c r="A2008" s="5" t="str">
        <v>BV</v>
      </c>
      <c r="B2008" s="5" t="str">
        <f ca="1"/>
        <v>BV45854</v>
      </c>
      <c r="C2008" s="8" t="str">
        <v>Pedido 1994</v>
      </c>
      <c r="D2008" s="187">
        <v>45854</v>
      </c>
      <c r="E2008" s="9">
        <v>45854</v>
      </c>
      <c r="F2008" s="2" t="str">
        <v>PedidoF1878</v>
      </c>
      <c r="G2008" s="2" t="str">
        <v>CódRastreio1876</v>
      </c>
      <c r="H2008" s="5">
        <v>1</v>
      </c>
      <c r="I2008" s="182" t="str">
        <v>CPF 1950</v>
      </c>
      <c r="J2008" s="2" t="str">
        <v>Nome 1950</v>
      </c>
      <c r="K2008" s="8" t="str">
        <v>Tel 1950</v>
      </c>
      <c r="L2008" s="8" t="str">
        <v>Cep 1950</v>
      </c>
      <c r="M2008" s="8" t="str">
        <v>Rua 1950</v>
      </c>
      <c r="N2008" s="8" t="str">
        <v>Comp 1950</v>
      </c>
      <c r="O2008" s="8" t="str">
        <v>Máquina de cortar cabelo dragão</v>
      </c>
      <c r="P2008" s="8" t="str">
        <v>NQ-IMR8-W6Q4</v>
      </c>
      <c r="Q2008" s="4">
        <v>45881</v>
      </c>
      <c r="R2008" s="109">
        <v>23.9</v>
      </c>
      <c r="S2008" s="11">
        <f ca="1"/>
        <v>23.9</v>
      </c>
      <c r="T2008" s="28">
        <f ca="1"/>
        <v>2.8679999999999999</v>
      </c>
      <c r="U2008" s="11">
        <f ca="1"/>
        <v>21.03</v>
      </c>
      <c r="V2008" s="11">
        <v>14.99</v>
      </c>
      <c r="W2008" s="11">
        <f ca="1"/>
        <v>0</v>
      </c>
      <c r="X2008" s="11">
        <f ca="1"/>
        <v>0.39877104377104378</v>
      </c>
      <c r="Y2008" s="11">
        <v>5</v>
      </c>
      <c r="Z2008" s="11">
        <f ca="1"/>
        <v>0.64122895622895726</v>
      </c>
      <c r="AA2008" s="11">
        <f ca="1"/>
        <v>0.32061447811447863</v>
      </c>
      <c r="AB2008" s="4">
        <f ca="1"/>
        <v>45888</v>
      </c>
      <c r="AC2008" s="4">
        <v>45888</v>
      </c>
      <c r="AD2008" s="9">
        <v>45915</v>
      </c>
      <c r="AE2008" s="9">
        <v>45888</v>
      </c>
      <c r="AF2008" s="4" t="str">
        <f t="shared" ca="1" si="145"/>
        <v>2025 08</v>
      </c>
      <c r="AG2008" s="8" t="str" cm="1">
        <f t="array" ref="AG2008">IFERROR(_xlfn.IFS('Banco de Dados'!#REF!="AG. COMPRA","Em processamento",'Banco de Dados'!#REF!="AG. RASTREIO","Em processamento",'Banco de Dados'!$AE2008&lt;&gt;"-","Faturado",'Banco de Dados'!$AD2008&lt;&gt;"-","Aguardando Pix",'Banco de Dados'!$AC2008&lt;&gt;"-","Pendente"),"Aguardando Liberação")</f>
        <v>Aguardando Liberação</v>
      </c>
      <c r="AH2008" s="5" t="str">
        <f>IF('Banco de Dados'!$F2008="-",_xlfn.CONCAT(PROPER(TEXT(AK2008,"aaaa"))," ",PROPER(TEXT(AK2008,"mm"))),_xlfn.CONCAT(PROPER(TEXT(E2008,"aaaa"))," ",PROPER(TEXT(E2008,"mm"))))</f>
        <v>2025 07</v>
      </c>
      <c r="AI2008" s="9" t="str">
        <f ca="1">IF('Banco de Dados'!$AK2008&lt;&gt;"-","REEMBOLSO",IFERROR(_xlfn.XLOOKUP(G2008,Follow[CODRASTREIO],Follow[STATUS]),"-"))</f>
        <v>ENTREGUE</v>
      </c>
      <c r="AJ2008" s="9">
        <f ca="1">IF('Banco de Dados'!$AI2008="ENTREGUE",_xlfn.XLOOKUP('Banco de Dados'!$G2008,Follow[CODRASTREIO],Follow[DATAATUALIZAÇÃO]),"-")</f>
        <v>45862</v>
      </c>
      <c r="AK2008" s="132" t="str">
        <f ca="1"/>
        <v>-</v>
      </c>
      <c r="AL2008" s="35"/>
      <c r="AM2008" s="109" cm="1">
        <f t="array" aca="1" ref="AM2008" ca="1">IF('Banco de Dados'!$AK2008&lt;&gt;"-",_xlfn.IFS('Banco de Dados'!$A2008="bv",IF('Banco de Dados'!$E2008&lt;45641,ROUND(SUM('Banco de Dados'!$R2008*_xlfn.XLOOKUP('Banco de Dados'!$P2008,Sku!B:B,Sku!#REF!)*20%),2),ROUND(SUM('Banco de Dados'!$R2008*_xlfn.XLOOKUP('Banco de Dados'!$P2008,Sku!B:B,Sku!H:H)*20%),2)),'Banco de Dados'!$A2008="GO",ROUND(_xlfn.XLOOKUP('Banco de Dados'!$P2008,Sku!C:C,Sku!H:H),2),'Banco de Dados'!$A2008="MEI",ROUND(_xlfn.XLOOKUP('Banco de Dados'!$P2008,Sku!D:D,Sku!H:H),2)),0)</f>
        <v>0</v>
      </c>
      <c r="AN2008" s="109">
        <v>0</v>
      </c>
      <c r="AO2008" s="109">
        <v>0</v>
      </c>
      <c r="AP2008" s="28">
        <f ca="1">IF('Banco de Dados'!$AK2008&lt;&gt;"-",IF('Banco de Dados'!$AL2008="NÃO",IFERROR(VALUE(SUBSTITUTE(_xlfn.TEXTAFTER('Banco de Dados'!$F2008,"BRL ",1),".",",")),0),0),0)</f>
        <v>0</v>
      </c>
      <c r="AQ2008" s="28">
        <f ca="1">SUM('Banco de Dados'!$AM2008:$AP2008)</f>
        <v>0</v>
      </c>
      <c r="AR2008" s="8"/>
      <c r="AS2008" s="8"/>
      <c r="AT2008"/>
      <c r="AY2008" s="8"/>
    </row>
    <row r="2009" spans="1:51">
      <c r="A2009" s="5" t="str">
        <v>BV</v>
      </c>
      <c r="B2009" s="5" t="str">
        <f ca="1"/>
        <v>BV45859</v>
      </c>
      <c r="C2009" s="8" t="str">
        <v>Pedido 1995</v>
      </c>
      <c r="D2009" s="187">
        <v>45854</v>
      </c>
      <c r="E2009" s="9">
        <v>45859</v>
      </c>
      <c r="F2009" s="2" t="str">
        <v>PedidoF1879</v>
      </c>
      <c r="G2009" s="2" t="str">
        <v>CódRastreio1877</v>
      </c>
      <c r="H2009" s="5">
        <v>1</v>
      </c>
      <c r="I2009" s="182" t="str">
        <v>CPF 1951</v>
      </c>
      <c r="J2009" s="2" t="str">
        <v>Nome 1951</v>
      </c>
      <c r="K2009" s="8" t="str">
        <v>Tel 1951</v>
      </c>
      <c r="L2009" s="8" t="str">
        <v>Cep 1951</v>
      </c>
      <c r="M2009" s="8" t="str">
        <v>Rua 1951</v>
      </c>
      <c r="N2009" s="8" t="str">
        <v>Comp 1951</v>
      </c>
      <c r="O2009" s="8" t="str">
        <v>Bolsa térmica</v>
      </c>
      <c r="P2009" s="8" t="str">
        <v>6I-CK1S-8HYZ</v>
      </c>
      <c r="Q2009" s="4">
        <v>45875</v>
      </c>
      <c r="R2009" s="109">
        <v>29.5</v>
      </c>
      <c r="S2009" s="11">
        <f ca="1"/>
        <v>29.5</v>
      </c>
      <c r="T2009" s="28">
        <f ca="1"/>
        <v>3.54</v>
      </c>
      <c r="U2009" s="11">
        <f ca="1"/>
        <v>25.96</v>
      </c>
      <c r="V2009" s="11">
        <v>22.58</v>
      </c>
      <c r="W2009" s="11">
        <f ca="1"/>
        <v>0</v>
      </c>
      <c r="X2009" s="11">
        <f ca="1"/>
        <v>0.39877104377104378</v>
      </c>
      <c r="Y2009" s="11">
        <v>0</v>
      </c>
      <c r="Z2009" s="11">
        <f ca="1"/>
        <v>2.9812289562289571</v>
      </c>
      <c r="AA2009" s="11">
        <f ca="1"/>
        <v>1.4906144781144786</v>
      </c>
      <c r="AB2009" s="4">
        <f ca="1"/>
        <v>45882</v>
      </c>
      <c r="AC2009" s="4">
        <v>45882</v>
      </c>
      <c r="AD2009" s="9">
        <v>45887</v>
      </c>
      <c r="AE2009" s="9">
        <v>45888</v>
      </c>
      <c r="AF2009" s="4" t="str">
        <f t="shared" ca="1" si="145"/>
        <v>2025 08</v>
      </c>
      <c r="AG2009" s="8" t="str" cm="1">
        <f t="array" ref="AG2009">IFERROR(_xlfn.IFS('Banco de Dados'!#REF!="AG. COMPRA","Em processamento",'Banco de Dados'!#REF!="AG. RASTREIO","Em processamento",'Banco de Dados'!$AE2009&lt;&gt;"-","Faturado",'Banco de Dados'!$AD2009&lt;&gt;"-","Aguardando Pix",'Banco de Dados'!$AC2009&lt;&gt;"-","Pendente"),"Aguardando Liberação")</f>
        <v>Aguardando Liberação</v>
      </c>
      <c r="AH2009" s="5" t="str">
        <f>IF('Banco de Dados'!$F2009="-",_xlfn.CONCAT(PROPER(TEXT(AK2009,"aaaa"))," ",PROPER(TEXT(AK2009,"mm"))),_xlfn.CONCAT(PROPER(TEXT(E2009,"aaaa"))," ",PROPER(TEXT(E2009,"mm"))))</f>
        <v>2025 07</v>
      </c>
      <c r="AI2009" s="9" t="str">
        <f ca="1">IF('Banco de Dados'!$AK2009&lt;&gt;"-","REEMBOLSO",IFERROR(_xlfn.XLOOKUP(G2009,Follow[CODRASTREIO],Follow[STATUS]),"-"))</f>
        <v>ENTREGUE</v>
      </c>
      <c r="AJ2009" s="9">
        <f ca="1">IF('Banco de Dados'!$AI2009="ENTREGUE",_xlfn.XLOOKUP('Banco de Dados'!$G2009,Follow[CODRASTREIO],Follow[DATAATUALIZAÇÃO]),"-")</f>
        <v>45866</v>
      </c>
      <c r="AK2009" s="132" t="str">
        <f ca="1"/>
        <v>-</v>
      </c>
      <c r="AL2009" s="35"/>
      <c r="AM2009" s="109" cm="1">
        <f t="array" aca="1" ref="AM2009" ca="1">IF('Banco de Dados'!$AK2009&lt;&gt;"-",_xlfn.IFS('Banco de Dados'!$A2009="bv",IF('Banco de Dados'!$E2009&lt;45641,ROUND(SUM('Banco de Dados'!$R2009*_xlfn.XLOOKUP('Banco de Dados'!$P2009,Sku!B:B,Sku!#REF!)*20%),2),ROUND(SUM('Banco de Dados'!$R2009*_xlfn.XLOOKUP('Banco de Dados'!$P2009,Sku!B:B,Sku!H:H)*20%),2)),'Banco de Dados'!$A2009="GO",ROUND(_xlfn.XLOOKUP('Banco de Dados'!$P2009,Sku!C:C,Sku!H:H),2),'Banco de Dados'!$A2009="MEI",ROUND(_xlfn.XLOOKUP('Banco de Dados'!$P2009,Sku!D:D,Sku!H:H),2)),0)</f>
        <v>0</v>
      </c>
      <c r="AN2009" s="109">
        <v>0</v>
      </c>
      <c r="AO2009" s="109">
        <v>0</v>
      </c>
      <c r="AP2009" s="28">
        <f ca="1">IF('Banco de Dados'!$AK2009&lt;&gt;"-",IF('Banco de Dados'!$AL2009="NÃO",IFERROR(VALUE(SUBSTITUTE(_xlfn.TEXTAFTER('Banco de Dados'!$F2009,"BRL ",1),".",",")),0),0),0)</f>
        <v>0</v>
      </c>
      <c r="AQ2009" s="28">
        <f ca="1">SUM('Banco de Dados'!$AM2009:$AP2009)</f>
        <v>0</v>
      </c>
      <c r="AR2009" s="8"/>
      <c r="AS2009" s="8"/>
      <c r="AT2009"/>
      <c r="AY2009" s="8"/>
    </row>
    <row r="2010" spans="1:51">
      <c r="A2010" s="5" t="str">
        <v>BV</v>
      </c>
      <c r="B2010" s="5" t="str">
        <f ca="1"/>
        <v>BV45859</v>
      </c>
      <c r="C2010" s="8" t="str">
        <v>Pedido 1996</v>
      </c>
      <c r="D2010" s="187">
        <v>45854</v>
      </c>
      <c r="E2010" s="9">
        <v>45859</v>
      </c>
      <c r="F2010" s="2" t="str">
        <v>PedidoF1880</v>
      </c>
      <c r="G2010" s="2" t="str">
        <v>CódRastreio1878</v>
      </c>
      <c r="H2010" s="5">
        <v>1</v>
      </c>
      <c r="I2010" s="182" t="str">
        <v>CPF 1952</v>
      </c>
      <c r="J2010" s="2" t="str">
        <v>Nome 1952</v>
      </c>
      <c r="K2010" s="8" t="str">
        <v>Tel 1952</v>
      </c>
      <c r="L2010" s="8" t="str">
        <v>Cep 1952</v>
      </c>
      <c r="M2010" s="8" t="str">
        <v>Rua 1952</v>
      </c>
      <c r="N2010" s="8" t="str">
        <v>Comp 1952</v>
      </c>
      <c r="O2010" s="8" t="str">
        <v>Bolsa térmica</v>
      </c>
      <c r="P2010" s="8" t="str">
        <v>6I-CK1S-8HYZ</v>
      </c>
      <c r="Q2010" s="4">
        <v>45875</v>
      </c>
      <c r="R2010" s="109">
        <v>29.5</v>
      </c>
      <c r="S2010" s="11">
        <f ca="1"/>
        <v>29.5</v>
      </c>
      <c r="T2010" s="28">
        <f ca="1"/>
        <v>3.54</v>
      </c>
      <c r="U2010" s="11">
        <f ca="1"/>
        <v>25.96</v>
      </c>
      <c r="V2010" s="11">
        <v>22.58</v>
      </c>
      <c r="W2010" s="11">
        <f ca="1"/>
        <v>0</v>
      </c>
      <c r="X2010" s="11">
        <f ca="1"/>
        <v>0.39877104377104378</v>
      </c>
      <c r="Y2010" s="11">
        <v>1</v>
      </c>
      <c r="Z2010" s="11">
        <f ca="1"/>
        <v>1.9812289562289571</v>
      </c>
      <c r="AA2010" s="11">
        <f ca="1"/>
        <v>0.99061447811447856</v>
      </c>
      <c r="AB2010" s="4">
        <f ca="1"/>
        <v>45882</v>
      </c>
      <c r="AC2010" s="4">
        <v>45882</v>
      </c>
      <c r="AD2010" s="9">
        <v>45887</v>
      </c>
      <c r="AE2010" s="9">
        <v>45888</v>
      </c>
      <c r="AF2010" s="4" t="str">
        <f t="shared" ca="1" si="145"/>
        <v>2025 08</v>
      </c>
      <c r="AG2010" s="8" t="str" cm="1">
        <f t="array" ref="AG2010">IFERROR(_xlfn.IFS('Banco de Dados'!#REF!="AG. COMPRA","Em processamento",'Banco de Dados'!#REF!="AG. RASTREIO","Em processamento",'Banco de Dados'!$AE2010&lt;&gt;"-","Faturado",'Banco de Dados'!$AD2010&lt;&gt;"-","Aguardando Pix",'Banco de Dados'!$AC2010&lt;&gt;"-","Pendente"),"Aguardando Liberação")</f>
        <v>Aguardando Liberação</v>
      </c>
      <c r="AH2010" s="5" t="str">
        <f>IF('Banco de Dados'!$F2010="-",_xlfn.CONCAT(PROPER(TEXT(AK2010,"aaaa"))," ",PROPER(TEXT(AK2010,"mm"))),_xlfn.CONCAT(PROPER(TEXT(E2010,"aaaa"))," ",PROPER(TEXT(E2010,"mm"))))</f>
        <v>2025 07</v>
      </c>
      <c r="AI2010" s="9" t="str">
        <f ca="1">IF('Banco de Dados'!$AK2010&lt;&gt;"-","REEMBOLSO",IFERROR(_xlfn.XLOOKUP(G2010,Follow[CODRASTREIO],Follow[STATUS]),"-"))</f>
        <v>ENTREGUE</v>
      </c>
      <c r="AJ2010" s="9">
        <f ca="1">IF('Banco de Dados'!$AI2010="ENTREGUE",_xlfn.XLOOKUP('Banco de Dados'!$G2010,Follow[CODRASTREIO],Follow[DATAATUALIZAÇÃO]),"-")</f>
        <v>45868</v>
      </c>
      <c r="AK2010" s="132" t="str">
        <f ca="1"/>
        <v>-</v>
      </c>
      <c r="AL2010" s="35"/>
      <c r="AM2010" s="109" cm="1">
        <f t="array" aca="1" ref="AM2010" ca="1">IF('Banco de Dados'!$AK2010&lt;&gt;"-",_xlfn.IFS('Banco de Dados'!$A2010="bv",IF('Banco de Dados'!$E2010&lt;45641,ROUND(SUM('Banco de Dados'!$R2010*_xlfn.XLOOKUP('Banco de Dados'!$P2010,Sku!B:B,Sku!#REF!)*20%),2),ROUND(SUM('Banco de Dados'!$R2010*_xlfn.XLOOKUP('Banco de Dados'!$P2010,Sku!B:B,Sku!H:H)*20%),2)),'Banco de Dados'!$A2010="GO",ROUND(_xlfn.XLOOKUP('Banco de Dados'!$P2010,Sku!C:C,Sku!H:H),2),'Banco de Dados'!$A2010="MEI",ROUND(_xlfn.XLOOKUP('Banco de Dados'!$P2010,Sku!D:D,Sku!H:H),2)),0)</f>
        <v>0</v>
      </c>
      <c r="AN2010" s="109">
        <v>0</v>
      </c>
      <c r="AO2010" s="109">
        <v>0</v>
      </c>
      <c r="AP2010" s="28">
        <f ca="1">IF('Banco de Dados'!$AK2010&lt;&gt;"-",IF('Banco de Dados'!$AL2010="NÃO",IFERROR(VALUE(SUBSTITUTE(_xlfn.TEXTAFTER('Banco de Dados'!$F2010,"BRL ",1),".",",")),0),0),0)</f>
        <v>0</v>
      </c>
      <c r="AQ2010" s="28">
        <f ca="1">SUM('Banco de Dados'!$AM2010:$AP2010)</f>
        <v>0</v>
      </c>
      <c r="AR2010" s="8"/>
      <c r="AS2010" s="8"/>
      <c r="AT2010"/>
      <c r="AY2010" s="8"/>
    </row>
    <row r="2011" spans="1:51">
      <c r="A2011" s="5" t="str">
        <v>BV</v>
      </c>
      <c r="B2011" s="5" t="str">
        <f ca="1"/>
        <v>BV45859</v>
      </c>
      <c r="C2011" s="8" t="str">
        <v>Pedido 1997</v>
      </c>
      <c r="D2011" s="187">
        <v>45854</v>
      </c>
      <c r="E2011" s="9">
        <v>45859</v>
      </c>
      <c r="F2011" s="2" t="str">
        <v>PedidoF1881</v>
      </c>
      <c r="G2011" s="2" t="str">
        <v>CódRastreio1879</v>
      </c>
      <c r="H2011" s="5">
        <v>1</v>
      </c>
      <c r="I2011" s="182" t="str">
        <v>CPF 1953</v>
      </c>
      <c r="J2011" s="2" t="str">
        <v>Nome 1953</v>
      </c>
      <c r="K2011" s="8" t="str">
        <v>Tel 1953</v>
      </c>
      <c r="L2011" s="8" t="str">
        <v>Cep 1953</v>
      </c>
      <c r="M2011" s="8" t="str">
        <v>Rua 1953</v>
      </c>
      <c r="N2011" s="8" t="str">
        <v>Comp 1953</v>
      </c>
      <c r="O2011" s="8" t="str">
        <v>Bolsa térmica</v>
      </c>
      <c r="P2011" s="8" t="str">
        <v>6I-CK1S-8HYZ</v>
      </c>
      <c r="Q2011" s="4">
        <v>45869</v>
      </c>
      <c r="R2011" s="109">
        <v>29.5</v>
      </c>
      <c r="S2011" s="11">
        <f ca="1"/>
        <v>29.5</v>
      </c>
      <c r="T2011" s="28">
        <f ca="1"/>
        <v>3.54</v>
      </c>
      <c r="U2011" s="11">
        <f ca="1"/>
        <v>25.96</v>
      </c>
      <c r="V2011" s="11">
        <v>22.58</v>
      </c>
      <c r="W2011" s="11">
        <f ca="1"/>
        <v>0</v>
      </c>
      <c r="X2011" s="11">
        <f ca="1"/>
        <v>0.39877104377104378</v>
      </c>
      <c r="Y2011" s="11">
        <v>0</v>
      </c>
      <c r="Z2011" s="11">
        <f ca="1"/>
        <v>2.9812289562289571</v>
      </c>
      <c r="AA2011" s="11">
        <f ca="1"/>
        <v>1.4906144781144786</v>
      </c>
      <c r="AB2011" s="4">
        <f ca="1"/>
        <v>45876</v>
      </c>
      <c r="AC2011" s="4">
        <v>45876</v>
      </c>
      <c r="AD2011" s="9">
        <v>45887</v>
      </c>
      <c r="AE2011" s="9">
        <v>45888</v>
      </c>
      <c r="AF2011" s="4" t="str">
        <f t="shared" ca="1" si="145"/>
        <v>2025 08</v>
      </c>
      <c r="AG2011" s="8" t="str" cm="1">
        <f t="array" ref="AG2011">IFERROR(_xlfn.IFS('Banco de Dados'!#REF!="AG. COMPRA","Em processamento",'Banco de Dados'!#REF!="AG. RASTREIO","Em processamento",'Banco de Dados'!$AE2011&lt;&gt;"-","Faturado",'Banco de Dados'!$AD2011&lt;&gt;"-","Aguardando Pix",'Banco de Dados'!$AC2011&lt;&gt;"-","Pendente"),"Aguardando Liberação")</f>
        <v>Aguardando Liberação</v>
      </c>
      <c r="AH2011" s="5" t="str">
        <f>IF('Banco de Dados'!$F2011="-",_xlfn.CONCAT(PROPER(TEXT(AK2011,"aaaa"))," ",PROPER(TEXT(AK2011,"mm"))),_xlfn.CONCAT(PROPER(TEXT(E2011,"aaaa"))," ",PROPER(TEXT(E2011,"mm"))))</f>
        <v>2025 07</v>
      </c>
      <c r="AI2011" s="9" t="str">
        <f ca="1">IF('Banco de Dados'!$AK2011&lt;&gt;"-","REEMBOLSO",IFERROR(_xlfn.XLOOKUP(G2011,Follow[CODRASTREIO],Follow[STATUS]),"-"))</f>
        <v>ENTREGUE</v>
      </c>
      <c r="AJ2011" s="9">
        <f ca="1">IF('Banco de Dados'!$AI2011="ENTREGUE",_xlfn.XLOOKUP('Banco de Dados'!$G2011,Follow[CODRASTREIO],Follow[DATAATUALIZAÇÃO]),"-")</f>
        <v>45863</v>
      </c>
      <c r="AK2011" s="132" t="str">
        <f ca="1"/>
        <v>-</v>
      </c>
      <c r="AL2011" s="35"/>
      <c r="AM2011" s="109" cm="1">
        <f t="array" aca="1" ref="AM2011" ca="1">IF('Banco de Dados'!$AK2011&lt;&gt;"-",_xlfn.IFS('Banco de Dados'!$A2011="bv",IF('Banco de Dados'!$E2011&lt;45641,ROUND(SUM('Banco de Dados'!$R2011*_xlfn.XLOOKUP('Banco de Dados'!$P2011,Sku!B:B,Sku!#REF!)*20%),2),ROUND(SUM('Banco de Dados'!$R2011*_xlfn.XLOOKUP('Banco de Dados'!$P2011,Sku!B:B,Sku!H:H)*20%),2)),'Banco de Dados'!$A2011="GO",ROUND(_xlfn.XLOOKUP('Banco de Dados'!$P2011,Sku!C:C,Sku!H:H),2),'Banco de Dados'!$A2011="MEI",ROUND(_xlfn.XLOOKUP('Banco de Dados'!$P2011,Sku!D:D,Sku!H:H),2)),0)</f>
        <v>0</v>
      </c>
      <c r="AN2011" s="109">
        <v>0</v>
      </c>
      <c r="AO2011" s="109">
        <v>0</v>
      </c>
      <c r="AP2011" s="28">
        <f ca="1">IF('Banco de Dados'!$AK2011&lt;&gt;"-",IF('Banco de Dados'!$AL2011="NÃO",IFERROR(VALUE(SUBSTITUTE(_xlfn.TEXTAFTER('Banco de Dados'!$F2011,"BRL ",1),".",",")),0),0),0)</f>
        <v>0</v>
      </c>
      <c r="AQ2011" s="28">
        <f ca="1">SUM('Banco de Dados'!$AM2011:$AP2011)</f>
        <v>0</v>
      </c>
      <c r="AR2011" s="8"/>
      <c r="AS2011" s="8"/>
      <c r="AT2011"/>
      <c r="AY2011" s="8"/>
    </row>
    <row r="2012" spans="1:51">
      <c r="A2012" s="5" t="str">
        <v>BV</v>
      </c>
      <c r="B2012" s="5" t="str">
        <f ca="1"/>
        <v>BV45859</v>
      </c>
      <c r="C2012" s="8" t="str">
        <v>Pedido 1998</v>
      </c>
      <c r="D2012" s="187">
        <v>45854</v>
      </c>
      <c r="E2012" s="9">
        <v>45859</v>
      </c>
      <c r="F2012" s="2" t="str">
        <v>PedidoF1882</v>
      </c>
      <c r="G2012" s="2" t="str">
        <v>CódRastreio1880</v>
      </c>
      <c r="H2012" s="5">
        <v>1</v>
      </c>
      <c r="I2012" s="182" t="str">
        <v>CPF 1954</v>
      </c>
      <c r="J2012" s="2" t="str">
        <v>Nome 1954</v>
      </c>
      <c r="K2012" s="8" t="str">
        <v>Tel 1954</v>
      </c>
      <c r="L2012" s="8" t="str">
        <v>Cep 1954</v>
      </c>
      <c r="M2012" s="8" t="str">
        <v>Rua 1954</v>
      </c>
      <c r="N2012" s="8" t="str">
        <v>Comp 1954</v>
      </c>
      <c r="O2012" s="8" t="str">
        <v>Bolsa térmica</v>
      </c>
      <c r="P2012" s="8" t="str">
        <v>6I-CK1S-8HYZ</v>
      </c>
      <c r="Q2012" s="4">
        <v>45869</v>
      </c>
      <c r="R2012" s="109">
        <v>29.5</v>
      </c>
      <c r="S2012" s="11">
        <f ca="1"/>
        <v>29.5</v>
      </c>
      <c r="T2012" s="28">
        <f ca="1"/>
        <v>3.54</v>
      </c>
      <c r="U2012" s="11">
        <f ca="1"/>
        <v>25.96</v>
      </c>
      <c r="V2012" s="11">
        <v>22.58</v>
      </c>
      <c r="W2012" s="11">
        <f ca="1"/>
        <v>0</v>
      </c>
      <c r="X2012" s="11">
        <f ca="1"/>
        <v>0.39877104377104378</v>
      </c>
      <c r="Y2012" s="11">
        <v>0</v>
      </c>
      <c r="Z2012" s="11">
        <f ca="1"/>
        <v>2.9812289562289571</v>
      </c>
      <c r="AA2012" s="11">
        <f ca="1"/>
        <v>1.4906144781144786</v>
      </c>
      <c r="AB2012" s="4">
        <f ca="1"/>
        <v>45876</v>
      </c>
      <c r="AC2012" s="4">
        <v>45876</v>
      </c>
      <c r="AD2012" s="9">
        <v>45887</v>
      </c>
      <c r="AE2012" s="9">
        <v>45888</v>
      </c>
      <c r="AF2012" s="4" t="str">
        <f t="shared" ca="1" si="145"/>
        <v>2025 08</v>
      </c>
      <c r="AG2012" s="8" t="str" cm="1">
        <f t="array" ref="AG2012">IFERROR(_xlfn.IFS('Banco de Dados'!#REF!="AG. COMPRA","Em processamento",'Banco de Dados'!#REF!="AG. RASTREIO","Em processamento",'Banco de Dados'!$AE2012&lt;&gt;"-","Faturado",'Banco de Dados'!$AD2012&lt;&gt;"-","Aguardando Pix",'Banco de Dados'!$AC2012&lt;&gt;"-","Pendente"),"Aguardando Liberação")</f>
        <v>Aguardando Liberação</v>
      </c>
      <c r="AH2012" s="5" t="str">
        <f>IF('Banco de Dados'!$F2012="-",_xlfn.CONCAT(PROPER(TEXT(AK2012,"aaaa"))," ",PROPER(TEXT(AK2012,"mm"))),_xlfn.CONCAT(PROPER(TEXT(E2012,"aaaa"))," ",PROPER(TEXT(E2012,"mm"))))</f>
        <v>2025 07</v>
      </c>
      <c r="AI2012" s="9" t="str">
        <f ca="1">IF('Banco de Dados'!$AK2012&lt;&gt;"-","REEMBOLSO",IFERROR(_xlfn.XLOOKUP(G2012,Follow[CODRASTREIO],Follow[STATUS]),"-"))</f>
        <v>ENTREGUE</v>
      </c>
      <c r="AJ2012" s="9">
        <f ca="1">IF('Banco de Dados'!$AI2012="ENTREGUE",_xlfn.XLOOKUP('Banco de Dados'!$G2012,Follow[CODRASTREIO],Follow[DATAATUALIZAÇÃO]),"-")</f>
        <v>45863</v>
      </c>
      <c r="AK2012" s="132" t="str">
        <f ca="1"/>
        <v>-</v>
      </c>
      <c r="AL2012" s="35"/>
      <c r="AM2012" s="109" cm="1">
        <f t="array" aca="1" ref="AM2012" ca="1">IF('Banco de Dados'!$AK2012&lt;&gt;"-",_xlfn.IFS('Banco de Dados'!$A2012="bv",IF('Banco de Dados'!$E2012&lt;45641,ROUND(SUM('Banco de Dados'!$R2012*_xlfn.XLOOKUP('Banco de Dados'!$P2012,Sku!B:B,Sku!#REF!)*20%),2),ROUND(SUM('Banco de Dados'!$R2012*_xlfn.XLOOKUP('Banco de Dados'!$P2012,Sku!B:B,Sku!H:H)*20%),2)),'Banco de Dados'!$A2012="GO",ROUND(_xlfn.XLOOKUP('Banco de Dados'!$P2012,Sku!C:C,Sku!H:H),2),'Banco de Dados'!$A2012="MEI",ROUND(_xlfn.XLOOKUP('Banco de Dados'!$P2012,Sku!D:D,Sku!H:H),2)),0)</f>
        <v>0</v>
      </c>
      <c r="AN2012" s="109">
        <v>0</v>
      </c>
      <c r="AO2012" s="109">
        <v>0</v>
      </c>
      <c r="AP2012" s="28">
        <f ca="1">IF('Banco de Dados'!$AK2012&lt;&gt;"-",IF('Banco de Dados'!$AL2012="NÃO",IFERROR(VALUE(SUBSTITUTE(_xlfn.TEXTAFTER('Banco de Dados'!$F2012,"BRL ",1),".",",")),0),0),0)</f>
        <v>0</v>
      </c>
      <c r="AQ2012" s="28">
        <f ca="1">SUM('Banco de Dados'!$AM2012:$AP2012)</f>
        <v>0</v>
      </c>
      <c r="AR2012" s="8"/>
      <c r="AS2012" s="8"/>
      <c r="AT2012"/>
      <c r="AY2012" s="8"/>
    </row>
    <row r="2013" spans="1:51">
      <c r="A2013" s="5" t="str">
        <v>BV</v>
      </c>
      <c r="B2013" s="5" t="str">
        <f ca="1"/>
        <v>BV45859</v>
      </c>
      <c r="C2013" s="8" t="str">
        <v>Pedido 1999</v>
      </c>
      <c r="D2013" s="187">
        <v>45854</v>
      </c>
      <c r="E2013" s="9">
        <v>45859</v>
      </c>
      <c r="F2013" s="2" t="str">
        <v>PedidoF1883</v>
      </c>
      <c r="G2013" s="2" t="str">
        <v>CódRastreio1881</v>
      </c>
      <c r="H2013" s="5">
        <v>1</v>
      </c>
      <c r="I2013" s="182" t="str">
        <v>CPF 1955</v>
      </c>
      <c r="J2013" s="2" t="str">
        <v>Nome 1955</v>
      </c>
      <c r="K2013" s="8" t="str">
        <v>Tel 1955</v>
      </c>
      <c r="L2013" s="8" t="str">
        <v>Cep 1955</v>
      </c>
      <c r="M2013" s="8" t="str">
        <v>Rua 1955</v>
      </c>
      <c r="N2013" s="8" t="str">
        <v>Comp 1955</v>
      </c>
      <c r="O2013" s="8" t="str">
        <v>Bolsa térmica</v>
      </c>
      <c r="P2013" s="8" t="str">
        <v>6I-CK1S-8HYZ</v>
      </c>
      <c r="Q2013" s="4">
        <v>45875</v>
      </c>
      <c r="R2013" s="109">
        <v>29.5</v>
      </c>
      <c r="S2013" s="11">
        <f ca="1"/>
        <v>29.5</v>
      </c>
      <c r="T2013" s="28">
        <f ca="1"/>
        <v>3.54</v>
      </c>
      <c r="U2013" s="11">
        <f ca="1"/>
        <v>25.96</v>
      </c>
      <c r="V2013" s="11">
        <v>22.58</v>
      </c>
      <c r="W2013" s="11">
        <f ca="1"/>
        <v>0</v>
      </c>
      <c r="X2013" s="11">
        <f ca="1"/>
        <v>0.39877104377104378</v>
      </c>
      <c r="Y2013" s="11">
        <v>0</v>
      </c>
      <c r="Z2013" s="11">
        <f ca="1"/>
        <v>2.9812289562289571</v>
      </c>
      <c r="AA2013" s="11">
        <f ca="1"/>
        <v>1.4906144781144786</v>
      </c>
      <c r="AB2013" s="4">
        <f ca="1"/>
        <v>45882</v>
      </c>
      <c r="AC2013" s="4">
        <v>45882</v>
      </c>
      <c r="AD2013" s="9">
        <v>45887</v>
      </c>
      <c r="AE2013" s="9">
        <v>45888</v>
      </c>
      <c r="AF2013" s="4" t="str">
        <f t="shared" ca="1" si="145"/>
        <v>2025 08</v>
      </c>
      <c r="AG2013" s="8" t="str" cm="1">
        <f t="array" ref="AG2013">IFERROR(_xlfn.IFS('Banco de Dados'!#REF!="AG. COMPRA","Em processamento",'Banco de Dados'!#REF!="AG. RASTREIO","Em processamento",'Banco de Dados'!$AE2013&lt;&gt;"-","Faturado",'Banco de Dados'!$AD2013&lt;&gt;"-","Aguardando Pix",'Banco de Dados'!$AC2013&lt;&gt;"-","Pendente"),"Aguardando Liberação")</f>
        <v>Aguardando Liberação</v>
      </c>
      <c r="AH2013" s="5" t="str">
        <f>IF('Banco de Dados'!$F2013="-",_xlfn.CONCAT(PROPER(TEXT(AK2013,"aaaa"))," ",PROPER(TEXT(AK2013,"mm"))),_xlfn.CONCAT(PROPER(TEXT(E2013,"aaaa"))," ",PROPER(TEXT(E2013,"mm"))))</f>
        <v>2025 07</v>
      </c>
      <c r="AI2013" s="9" t="str">
        <f ca="1">IF('Banco de Dados'!$AK2013&lt;&gt;"-","REEMBOLSO",IFERROR(_xlfn.XLOOKUP(G2013,Follow[CODRASTREIO],Follow[STATUS]),"-"))</f>
        <v>ENTREGUE</v>
      </c>
      <c r="AJ2013" s="9">
        <f ca="1">IF('Banco de Dados'!$AI2013="ENTREGUE",_xlfn.XLOOKUP('Banco de Dados'!$G2013,Follow[CODRASTREIO],Follow[DATAATUALIZAÇÃO]),"-")</f>
        <v>45867</v>
      </c>
      <c r="AK2013" s="132" t="str">
        <f ca="1"/>
        <v>-</v>
      </c>
      <c r="AL2013" s="35"/>
      <c r="AM2013" s="109" cm="1">
        <f t="array" aca="1" ref="AM2013" ca="1">IF('Banco de Dados'!$AK2013&lt;&gt;"-",_xlfn.IFS('Banco de Dados'!$A2013="bv",IF('Banco de Dados'!$E2013&lt;45641,ROUND(SUM('Banco de Dados'!$R2013*_xlfn.XLOOKUP('Banco de Dados'!$P2013,Sku!B:B,Sku!#REF!)*20%),2),ROUND(SUM('Banco de Dados'!$R2013*_xlfn.XLOOKUP('Banco de Dados'!$P2013,Sku!B:B,Sku!H:H)*20%),2)),'Banco de Dados'!$A2013="GO",ROUND(_xlfn.XLOOKUP('Banco de Dados'!$P2013,Sku!C:C,Sku!H:H),2),'Banco de Dados'!$A2013="MEI",ROUND(_xlfn.XLOOKUP('Banco de Dados'!$P2013,Sku!D:D,Sku!H:H),2)),0)</f>
        <v>0</v>
      </c>
      <c r="AN2013" s="109">
        <v>0</v>
      </c>
      <c r="AO2013" s="109">
        <v>0</v>
      </c>
      <c r="AP2013" s="28">
        <f ca="1">IF('Banco de Dados'!$AK2013&lt;&gt;"-",IF('Banco de Dados'!$AL2013="NÃO",IFERROR(VALUE(SUBSTITUTE(_xlfn.TEXTAFTER('Banco de Dados'!$F2013,"BRL ",1),".",",")),0),0),0)</f>
        <v>0</v>
      </c>
      <c r="AQ2013" s="28">
        <f ca="1">SUM('Banco de Dados'!$AM2013:$AP2013)</f>
        <v>0</v>
      </c>
      <c r="AR2013" s="8"/>
      <c r="AS2013" s="8"/>
      <c r="AT2013"/>
      <c r="AY2013" s="8"/>
    </row>
    <row r="2014" spans="1:51">
      <c r="A2014" s="5" t="str">
        <v>BV</v>
      </c>
      <c r="B2014" s="5" t="str">
        <f ca="1"/>
        <v>BV45859</v>
      </c>
      <c r="C2014" s="8" t="str">
        <v>Pedido 2000</v>
      </c>
      <c r="D2014" s="187">
        <v>45854</v>
      </c>
      <c r="E2014" s="9">
        <v>45859</v>
      </c>
      <c r="F2014" s="2" t="str">
        <v>PedidoF1884</v>
      </c>
      <c r="G2014" s="2" t="str">
        <v>CódRastreio1882</v>
      </c>
      <c r="H2014" s="5">
        <v>1</v>
      </c>
      <c r="I2014" s="182" t="str">
        <v>CPF 1956</v>
      </c>
      <c r="J2014" s="2" t="str">
        <v>Nome 1956</v>
      </c>
      <c r="K2014" s="8" t="str">
        <v>Tel 1956</v>
      </c>
      <c r="L2014" s="8" t="str">
        <v>Cep 1956</v>
      </c>
      <c r="M2014" s="8" t="str">
        <v>Rua 1956</v>
      </c>
      <c r="N2014" s="8" t="str">
        <v>Comp 1956</v>
      </c>
      <c r="O2014" s="8" t="str">
        <v>Bolsa térmica</v>
      </c>
      <c r="P2014" s="8" t="str">
        <v>6I-CK1S-8HYZ</v>
      </c>
      <c r="Q2014" s="4">
        <v>45875</v>
      </c>
      <c r="R2014" s="109">
        <v>29.5</v>
      </c>
      <c r="S2014" s="11">
        <f ca="1"/>
        <v>29.5</v>
      </c>
      <c r="T2014" s="28">
        <f ca="1"/>
        <v>3.54</v>
      </c>
      <c r="U2014" s="11">
        <f ca="1"/>
        <v>25.96</v>
      </c>
      <c r="V2014" s="11">
        <v>22.58</v>
      </c>
      <c r="W2014" s="11">
        <f ca="1"/>
        <v>0</v>
      </c>
      <c r="X2014" s="11">
        <f ca="1"/>
        <v>0.39877104377104378</v>
      </c>
      <c r="Y2014" s="11">
        <v>0</v>
      </c>
      <c r="Z2014" s="11">
        <f ca="1"/>
        <v>2.9812289562289571</v>
      </c>
      <c r="AA2014" s="11">
        <f ca="1"/>
        <v>1.4906144781144786</v>
      </c>
      <c r="AB2014" s="4">
        <f ca="1"/>
        <v>45882</v>
      </c>
      <c r="AC2014" s="4">
        <v>45882</v>
      </c>
      <c r="AD2014" s="9">
        <v>45887</v>
      </c>
      <c r="AE2014" s="9">
        <v>45888</v>
      </c>
      <c r="AF2014" s="4" t="str">
        <f t="shared" ca="1" si="145"/>
        <v>2025 08</v>
      </c>
      <c r="AG2014" s="8" t="str" cm="1">
        <f t="array" ref="AG2014">IFERROR(_xlfn.IFS('Banco de Dados'!#REF!="AG. COMPRA","Em processamento",'Banco de Dados'!#REF!="AG. RASTREIO","Em processamento",'Banco de Dados'!$AE2014&lt;&gt;"-","Faturado",'Banco de Dados'!$AD2014&lt;&gt;"-","Aguardando Pix",'Banco de Dados'!$AC2014&lt;&gt;"-","Pendente"),"Aguardando Liberação")</f>
        <v>Aguardando Liberação</v>
      </c>
      <c r="AH2014" s="5" t="str">
        <f>IF('Banco de Dados'!$F2014="-",_xlfn.CONCAT(PROPER(TEXT(AK2014,"aaaa"))," ",PROPER(TEXT(AK2014,"mm"))),_xlfn.CONCAT(PROPER(TEXT(E2014,"aaaa"))," ",PROPER(TEXT(E2014,"mm"))))</f>
        <v>2025 07</v>
      </c>
      <c r="AI2014" s="9" t="str">
        <f ca="1">IF('Banco de Dados'!$AK2014&lt;&gt;"-","REEMBOLSO",IFERROR(_xlfn.XLOOKUP(G2014,Follow[CODRASTREIO],Follow[STATUS]),"-"))</f>
        <v>ENTREGUE</v>
      </c>
      <c r="AJ2014" s="9">
        <f ca="1">IF('Banco de Dados'!$AI2014="ENTREGUE",_xlfn.XLOOKUP('Banco de Dados'!$G2014,Follow[CODRASTREIO],Follow[DATAATUALIZAÇÃO]),"-")</f>
        <v>45863</v>
      </c>
      <c r="AK2014" s="132" t="str">
        <f ca="1"/>
        <v>-</v>
      </c>
      <c r="AL2014" s="35"/>
      <c r="AM2014" s="109" cm="1">
        <f t="array" aca="1" ref="AM2014" ca="1">IF('Banco de Dados'!$AK2014&lt;&gt;"-",_xlfn.IFS('Banco de Dados'!$A2014="bv",IF('Banco de Dados'!$E2014&lt;45641,ROUND(SUM('Banco de Dados'!$R2014*_xlfn.XLOOKUP('Banco de Dados'!$P2014,Sku!B:B,Sku!#REF!)*20%),2),ROUND(SUM('Banco de Dados'!$R2014*_xlfn.XLOOKUP('Banco de Dados'!$P2014,Sku!B:B,Sku!H:H)*20%),2)),'Banco de Dados'!$A2014="GO",ROUND(_xlfn.XLOOKUP('Banco de Dados'!$P2014,Sku!C:C,Sku!H:H),2),'Banco de Dados'!$A2014="MEI",ROUND(_xlfn.XLOOKUP('Banco de Dados'!$P2014,Sku!D:D,Sku!H:H),2)),0)</f>
        <v>0</v>
      </c>
      <c r="AN2014" s="109">
        <v>0</v>
      </c>
      <c r="AO2014" s="109">
        <v>0</v>
      </c>
      <c r="AP2014" s="28">
        <f ca="1">IF('Banco de Dados'!$AK2014&lt;&gt;"-",IF('Banco de Dados'!$AL2014="NÃO",IFERROR(VALUE(SUBSTITUTE(_xlfn.TEXTAFTER('Banco de Dados'!$F2014,"BRL ",1),".",",")),0),0),0)</f>
        <v>0</v>
      </c>
      <c r="AQ2014" s="28">
        <f ca="1">SUM('Banco de Dados'!$AM2014:$AP2014)</f>
        <v>0</v>
      </c>
      <c r="AR2014" s="8"/>
      <c r="AS2014" s="8"/>
      <c r="AT2014"/>
      <c r="AY2014" s="8"/>
    </row>
    <row r="2015" spans="1:51">
      <c r="A2015" s="5" t="str">
        <v>BV</v>
      </c>
      <c r="B2015" s="5" t="str">
        <f ca="1"/>
        <v>BV45859</v>
      </c>
      <c r="C2015" s="8" t="str">
        <v>Pedido 2001</v>
      </c>
      <c r="D2015" s="187">
        <v>45854</v>
      </c>
      <c r="E2015" s="9">
        <v>45859</v>
      </c>
      <c r="F2015" s="2" t="str">
        <v>PedidoF1885</v>
      </c>
      <c r="G2015" s="2" t="str">
        <v>CódRastreio1883</v>
      </c>
      <c r="H2015" s="5">
        <v>1</v>
      </c>
      <c r="I2015" s="182" t="str">
        <v>CPF 1957</v>
      </c>
      <c r="J2015" s="2" t="str">
        <v>Nome 1957</v>
      </c>
      <c r="K2015" s="8" t="str">
        <v>Tel 1957</v>
      </c>
      <c r="L2015" s="8" t="str">
        <v>Cep 1957</v>
      </c>
      <c r="M2015" s="8" t="str">
        <v>Rua 1957</v>
      </c>
      <c r="N2015" s="8" t="str">
        <v>Comp 1957</v>
      </c>
      <c r="O2015" s="8" t="str">
        <v>Bolsa térmica</v>
      </c>
      <c r="P2015" s="8" t="str">
        <v>6I-CK1S-8HYZ</v>
      </c>
      <c r="Q2015" s="4">
        <v>45869</v>
      </c>
      <c r="R2015" s="109">
        <v>29.5</v>
      </c>
      <c r="S2015" s="11">
        <f ca="1"/>
        <v>29.5</v>
      </c>
      <c r="T2015" s="28">
        <f ca="1"/>
        <v>3.54</v>
      </c>
      <c r="U2015" s="11">
        <f ca="1"/>
        <v>25.96</v>
      </c>
      <c r="V2015" s="11">
        <v>22.58</v>
      </c>
      <c r="W2015" s="11">
        <f ca="1"/>
        <v>0</v>
      </c>
      <c r="X2015" s="11">
        <f ca="1"/>
        <v>0.39877104377104378</v>
      </c>
      <c r="Y2015" s="11">
        <v>0</v>
      </c>
      <c r="Z2015" s="11">
        <f ca="1"/>
        <v>2.9812289562289571</v>
      </c>
      <c r="AA2015" s="11">
        <f ca="1"/>
        <v>1.4906144781144786</v>
      </c>
      <c r="AB2015" s="4">
        <f ca="1"/>
        <v>45876</v>
      </c>
      <c r="AC2015" s="4">
        <v>45876</v>
      </c>
      <c r="AD2015" s="9">
        <v>45887</v>
      </c>
      <c r="AE2015" s="9">
        <v>45888</v>
      </c>
      <c r="AF2015" s="4" t="str">
        <f t="shared" ca="1" si="145"/>
        <v>2025 08</v>
      </c>
      <c r="AG2015" s="8" t="str" cm="1">
        <f t="array" ref="AG2015">IFERROR(_xlfn.IFS('Banco de Dados'!#REF!="AG. COMPRA","Em processamento",'Banco de Dados'!#REF!="AG. RASTREIO","Em processamento",'Banco de Dados'!$AE2015&lt;&gt;"-","Faturado",'Banco de Dados'!$AD2015&lt;&gt;"-","Aguardando Pix",'Banco de Dados'!$AC2015&lt;&gt;"-","Pendente"),"Aguardando Liberação")</f>
        <v>Aguardando Liberação</v>
      </c>
      <c r="AH2015" s="5" t="str">
        <f>IF('Banco de Dados'!$F2015="-",_xlfn.CONCAT(PROPER(TEXT(AK2015,"aaaa"))," ",PROPER(TEXT(AK2015,"mm"))),_xlfn.CONCAT(PROPER(TEXT(E2015,"aaaa"))," ",PROPER(TEXT(E2015,"mm"))))</f>
        <v>2025 07</v>
      </c>
      <c r="AI2015" s="9" t="str">
        <f ca="1">IF('Banco de Dados'!$AK2015&lt;&gt;"-","REEMBOLSO",IFERROR(_xlfn.XLOOKUP(G2015,Follow[CODRASTREIO],Follow[STATUS]),"-"))</f>
        <v>ENTREGUE</v>
      </c>
      <c r="AJ2015" s="9">
        <f ca="1">IF('Banco de Dados'!$AI2015="ENTREGUE",_xlfn.XLOOKUP('Banco de Dados'!$G2015,Follow[CODRASTREIO],Follow[DATAATUALIZAÇÃO]),"-")</f>
        <v>45863</v>
      </c>
      <c r="AK2015" s="132" t="str">
        <f ca="1"/>
        <v>-</v>
      </c>
      <c r="AL2015" s="35"/>
      <c r="AM2015" s="109" cm="1">
        <f t="array" aca="1" ref="AM2015" ca="1">IF('Banco de Dados'!$AK2015&lt;&gt;"-",_xlfn.IFS('Banco de Dados'!$A2015="bv",IF('Banco de Dados'!$E2015&lt;45641,ROUND(SUM('Banco de Dados'!$R2015*_xlfn.XLOOKUP('Banco de Dados'!$P2015,Sku!B:B,Sku!#REF!)*20%),2),ROUND(SUM('Banco de Dados'!$R2015*_xlfn.XLOOKUP('Banco de Dados'!$P2015,Sku!B:B,Sku!H:H)*20%),2)),'Banco de Dados'!$A2015="GO",ROUND(_xlfn.XLOOKUP('Banco de Dados'!$P2015,Sku!C:C,Sku!H:H),2),'Banco de Dados'!$A2015="MEI",ROUND(_xlfn.XLOOKUP('Banco de Dados'!$P2015,Sku!D:D,Sku!H:H),2)),0)</f>
        <v>0</v>
      </c>
      <c r="AN2015" s="109">
        <v>0</v>
      </c>
      <c r="AO2015" s="109">
        <v>0</v>
      </c>
      <c r="AP2015" s="28">
        <f ca="1">IF('Banco de Dados'!$AK2015&lt;&gt;"-",IF('Banco de Dados'!$AL2015="NÃO",IFERROR(VALUE(SUBSTITUTE(_xlfn.TEXTAFTER('Banco de Dados'!$F2015,"BRL ",1),".",",")),0),0),0)</f>
        <v>0</v>
      </c>
      <c r="AQ2015" s="28">
        <f ca="1">SUM('Banco de Dados'!$AM2015:$AP2015)</f>
        <v>0</v>
      </c>
      <c r="AR2015" s="8"/>
      <c r="AS2015" s="8"/>
      <c r="AT2015"/>
      <c r="AY2015" s="8"/>
    </row>
    <row r="2016" spans="1:51">
      <c r="A2016" s="5" t="str">
        <v>BV</v>
      </c>
      <c r="B2016" s="5" t="str">
        <f ca="1"/>
        <v>BV45854</v>
      </c>
      <c r="C2016" s="8" t="str">
        <v>Pedido 2002</v>
      </c>
      <c r="D2016" s="187">
        <v>45854</v>
      </c>
      <c r="E2016" s="9">
        <v>45854</v>
      </c>
      <c r="F2016" s="2" t="str">
        <v>PedidoF1886</v>
      </c>
      <c r="G2016" s="2" t="str">
        <v>CódRastreio1884</v>
      </c>
      <c r="H2016" s="5">
        <v>2</v>
      </c>
      <c r="I2016" s="182" t="str">
        <v>CPF 1958</v>
      </c>
      <c r="J2016" s="2" t="str">
        <v>Nome 1958</v>
      </c>
      <c r="K2016" s="8" t="str">
        <v>Tel 1958</v>
      </c>
      <c r="L2016" s="8" t="str">
        <v>Cep 1958</v>
      </c>
      <c r="M2016" s="8" t="str">
        <v>Rua 1958</v>
      </c>
      <c r="N2016" s="8" t="str">
        <v>Comp 1958</v>
      </c>
      <c r="O2016" s="8" t="str">
        <v>Bolsa térmica</v>
      </c>
      <c r="P2016" s="8" t="str">
        <v>6I-CK1S-8HYZ</v>
      </c>
      <c r="Q2016" s="4">
        <v>45875</v>
      </c>
      <c r="R2016" s="109">
        <v>59</v>
      </c>
      <c r="S2016" s="11">
        <f ca="1"/>
        <v>59</v>
      </c>
      <c r="T2016" s="28">
        <f ca="1"/>
        <v>7.08</v>
      </c>
      <c r="U2016" s="11">
        <f ca="1"/>
        <v>51.92</v>
      </c>
      <c r="V2016" s="11">
        <v>38.590000000000003</v>
      </c>
      <c r="W2016" s="11">
        <f ca="1"/>
        <v>0</v>
      </c>
      <c r="X2016" s="11">
        <f ca="1"/>
        <v>0.39877104377104378</v>
      </c>
      <c r="Y2016" s="11">
        <v>0</v>
      </c>
      <c r="Z2016" s="11">
        <f ca="1"/>
        <v>12.931228956228956</v>
      </c>
      <c r="AA2016" s="11">
        <f ca="1"/>
        <v>6.4656144781144782</v>
      </c>
      <c r="AB2016" s="4">
        <f ca="1"/>
        <v>45882</v>
      </c>
      <c r="AC2016" s="4">
        <v>45882</v>
      </c>
      <c r="AD2016" s="9">
        <v>45887</v>
      </c>
      <c r="AE2016" s="9">
        <v>45888</v>
      </c>
      <c r="AF2016" s="4" t="str">
        <f t="shared" ca="1" si="145"/>
        <v>2025 08</v>
      </c>
      <c r="AG2016" s="8" t="str" cm="1">
        <f t="array" ref="AG2016">IFERROR(_xlfn.IFS('Banco de Dados'!#REF!="AG. COMPRA","Em processamento",'Banco de Dados'!#REF!="AG. RASTREIO","Em processamento",'Banco de Dados'!$AE2016&lt;&gt;"-","Faturado",'Banco de Dados'!$AD2016&lt;&gt;"-","Aguardando Pix",'Banco de Dados'!$AC2016&lt;&gt;"-","Pendente"),"Aguardando Liberação")</f>
        <v>Aguardando Liberação</v>
      </c>
      <c r="AH2016" s="5" t="str">
        <f>IF('Banco de Dados'!$F2016="-",_xlfn.CONCAT(PROPER(TEXT(AK2016,"aaaa"))," ",PROPER(TEXT(AK2016,"mm"))),_xlfn.CONCAT(PROPER(TEXT(E2016,"aaaa"))," ",PROPER(TEXT(E2016,"mm"))))</f>
        <v>2025 07</v>
      </c>
      <c r="AI2016" s="9" t="str">
        <f ca="1">IF('Banco de Dados'!$AK2016&lt;&gt;"-","REEMBOLSO",IFERROR(_xlfn.XLOOKUP(G2016,Follow[CODRASTREIO],Follow[STATUS]),"-"))</f>
        <v>ENTREGUE</v>
      </c>
      <c r="AJ2016" s="9">
        <f ca="1">IF('Banco de Dados'!$AI2016="ENTREGUE",_xlfn.XLOOKUP('Banco de Dados'!$G2016,Follow[CODRASTREIO],Follow[DATAATUALIZAÇÃO]),"-")</f>
        <v>45859</v>
      </c>
      <c r="AK2016" s="132" t="str">
        <f ca="1"/>
        <v>-</v>
      </c>
      <c r="AL2016" s="35"/>
      <c r="AM2016" s="109" cm="1">
        <f t="array" aca="1" ref="AM2016" ca="1">IF('Banco de Dados'!$AK2016&lt;&gt;"-",_xlfn.IFS('Banco de Dados'!$A2016="bv",IF('Banco de Dados'!$E2016&lt;45641,ROUND(SUM('Banco de Dados'!$R2016*_xlfn.XLOOKUP('Banco de Dados'!$P2016,Sku!B:B,Sku!#REF!)*20%),2),ROUND(SUM('Banco de Dados'!$R2016*_xlfn.XLOOKUP('Banco de Dados'!$P2016,Sku!B:B,Sku!H:H)*20%),2)),'Banco de Dados'!$A2016="GO",ROUND(_xlfn.XLOOKUP('Banco de Dados'!$P2016,Sku!C:C,Sku!H:H),2),'Banco de Dados'!$A2016="MEI",ROUND(_xlfn.XLOOKUP('Banco de Dados'!$P2016,Sku!D:D,Sku!H:H),2)),0)</f>
        <v>0</v>
      </c>
      <c r="AN2016" s="109">
        <f ca="1">IF('Banco de Dados'!$AK2016&lt;&gt;"-",IF('Banco de Dados'!$F2016&lt;&gt;"-",_xlfn.XLOOKUP(IFERROR(IFERROR(IFERROR(VALUE(SUBSTITUTE(MID(_xlfn.TEXTAFTER('Banco de Dados'!$F2016,"Data do Pedido:
",1),1,10),"-","/")),VALUE(SUBSTITUTE(MID(_xlfn.TEXTAFTER('Banco de Dados'!$F2016,"Order date:
",1),1,10),"-","/"))),VALUE(SUBSTITUTE(MID(_xlfn.TEXTAFTER('Banco de Dados'!$F2016,"Fecha de pedido:
",1),1,10),"-","/"))),"-"),SMS!A:A,SMS!K:K),0),0)</f>
        <v>0</v>
      </c>
      <c r="AO2016" s="109">
        <f ca="1">IF('Banco de Dados'!$AK2016&lt;&gt;"-",IF('Banco de Dados'!$F2016&lt;&gt;"-",IFERROR(_xlfn.XLOOKUP(_xlfn.CONCAT('Banco de Dados'!$A2016,IFERROR(IFERROR(VALUE(SUBSTITUTE(MID(_xlfn.TEXTAFTER('Banco de Dados'!$F2016,"Data do Pedido:
",1),1,10),"-","/")),VALUE(SUBSTITUTE(MID(_xlfn.TEXTAFTER('Banco de Dados'!$F2016,"Order date:
",1),1,10),"-","/"))),0)),ProxyDD[Chave],ProxyDD[Valor por pedido]),PROXY!$P$2),0),0)</f>
        <v>0</v>
      </c>
      <c r="AP2016" s="28">
        <f ca="1">IF('Banco de Dados'!$AK2016&lt;&gt;"-",IF('Banco de Dados'!$AL2016="NÃO",IFERROR(VALUE(SUBSTITUTE(_xlfn.TEXTAFTER('Banco de Dados'!$F2016,"BRL ",1),".",",")),0),0),0)</f>
        <v>0</v>
      </c>
      <c r="AQ2016" s="28">
        <f ca="1">SUM('Banco de Dados'!$AM2016:$AP2016)</f>
        <v>0</v>
      </c>
      <c r="AR2016" s="8"/>
      <c r="AS2016" s="8"/>
      <c r="AT2016"/>
      <c r="AY2016" s="8"/>
    </row>
    <row r="2017" spans="1:51">
      <c r="A2017" s="5" t="str">
        <v>BV</v>
      </c>
      <c r="B2017" s="5" t="str">
        <f ca="1"/>
        <v>BV45854</v>
      </c>
      <c r="C2017" s="8" t="str">
        <v>Pedido 2003</v>
      </c>
      <c r="D2017" s="187">
        <v>45854</v>
      </c>
      <c r="E2017" s="9">
        <v>45854</v>
      </c>
      <c r="F2017" s="2" t="str">
        <v>PedidoF1887</v>
      </c>
      <c r="G2017" s="2" t="str">
        <v>CódRastreio1885</v>
      </c>
      <c r="H2017" s="5">
        <v>1</v>
      </c>
      <c r="I2017" s="182" t="str">
        <v>CPF 1959</v>
      </c>
      <c r="J2017" s="2" t="str">
        <v>Nome 1959</v>
      </c>
      <c r="K2017" s="8" t="str">
        <v>Tel 1959</v>
      </c>
      <c r="L2017" s="8" t="str">
        <v>Cep 1959</v>
      </c>
      <c r="M2017" s="8" t="str">
        <v>Rua 1959</v>
      </c>
      <c r="N2017" s="8" t="str">
        <v>Comp 1959</v>
      </c>
      <c r="O2017" s="8" t="str">
        <v>Máquina de cortar cabelo dragão</v>
      </c>
      <c r="P2017" s="8" t="str">
        <v>HG-2FNR-01A9</v>
      </c>
      <c r="Q2017" s="4">
        <v>45869</v>
      </c>
      <c r="R2017" s="109">
        <v>23.9</v>
      </c>
      <c r="S2017" s="11">
        <f ca="1"/>
        <v>0</v>
      </c>
      <c r="T2017" s="28">
        <f ca="1"/>
        <v>0</v>
      </c>
      <c r="U2017" s="11">
        <f ca="1"/>
        <v>0</v>
      </c>
      <c r="V2017" s="11">
        <v>0</v>
      </c>
      <c r="W2017" s="11">
        <f ca="1"/>
        <v>0</v>
      </c>
      <c r="X2017" s="11">
        <f ca="1"/>
        <v>0.39877104377104378</v>
      </c>
      <c r="Y2017" s="11">
        <v>0</v>
      </c>
      <c r="Z2017" s="11">
        <f ca="1"/>
        <v>-0.39877104377104378</v>
      </c>
      <c r="AA2017" s="11">
        <f ca="1"/>
        <v>-0.19938552188552189</v>
      </c>
      <c r="AB2017" s="4">
        <f ca="1"/>
        <v>45876</v>
      </c>
      <c r="AC2017" s="4">
        <v>45876</v>
      </c>
      <c r="AD2017" s="9">
        <v>45887</v>
      </c>
      <c r="AE2017" s="9">
        <v>45888</v>
      </c>
      <c r="AF2017" s="4" t="str">
        <f t="shared" ca="1" si="145"/>
        <v>2025 08</v>
      </c>
      <c r="AG2017" s="8" t="str" cm="1">
        <f t="array" ref="AG2017">IFERROR(_xlfn.IFS('Banco de Dados'!#REF!="AG. COMPRA","Em processamento",'Banco de Dados'!#REF!="AG. RASTREIO","Em processamento",'Banco de Dados'!$AE2017&lt;&gt;"-","Faturado",'Banco de Dados'!$AD2017&lt;&gt;"-","Aguardando Pix",'Banco de Dados'!$AC2017&lt;&gt;"-","Pendente"),"Aguardando Liberação")</f>
        <v>Aguardando Liberação</v>
      </c>
      <c r="AH2017" s="5" t="str">
        <f>IF('Banco de Dados'!$F2017="-",_xlfn.CONCAT(PROPER(TEXT(AK2017,"aaaa"))," ",PROPER(TEXT(AK2017,"mm"))),_xlfn.CONCAT(PROPER(TEXT(E2017,"aaaa"))," ",PROPER(TEXT(E2017,"mm"))))</f>
        <v>2025 07</v>
      </c>
      <c r="AI2017" s="9" t="str">
        <f ca="1">IF('Banco de Dados'!$AK2017&lt;&gt;"-","REEMBOLSO",IFERROR(_xlfn.XLOOKUP(G2017,Follow[CODRASTREIO],Follow[STATUS]),"-"))</f>
        <v>REEMBOLSO</v>
      </c>
      <c r="AJ2017" s="9" t="str">
        <f ca="1">IF('Banco de Dados'!$AI2017="ENTREGUE",_xlfn.XLOOKUP('Banco de Dados'!$G2017,Follow[CODRASTREIO],Follow[DATAATUALIZAÇÃO]),"-")</f>
        <v>-</v>
      </c>
      <c r="AK2017" s="132">
        <f ca="1"/>
        <v>45870</v>
      </c>
      <c r="AL2017" s="35"/>
      <c r="AM2017" s="109" cm="1">
        <f t="array" aca="1" ref="AM2017" ca="1">IF('Banco de Dados'!$AK2017&lt;&gt;"-",_xlfn.IFS('Banco de Dados'!$A2017="bv",IF('Banco de Dados'!$E2017&lt;45641,ROUND(SUM('Banco de Dados'!$R2017*_xlfn.XLOOKUP('Banco de Dados'!$P2017,Sku!B:B,Sku!#REF!)*20%),2),ROUND(SUM('Banco de Dados'!$R2017*_xlfn.XLOOKUP('Banco de Dados'!$P2017,Sku!B:B,Sku!H:H)*20%),2)),'Banco de Dados'!$A2017="GO",ROUND(_xlfn.XLOOKUP('Banco de Dados'!$P2017,Sku!C:C,Sku!H:H),2),'Banco de Dados'!$A2017="MEI",ROUND(_xlfn.XLOOKUP('Banco de Dados'!$P2017,Sku!D:D,Sku!H:H),2)),0)</f>
        <v>0.62</v>
      </c>
      <c r="AN2017" s="109">
        <v>0</v>
      </c>
      <c r="AO2017" s="109">
        <v>0</v>
      </c>
      <c r="AP2017" s="28">
        <v>14.99</v>
      </c>
      <c r="AQ2017" s="28">
        <f ca="1">SUM('Banco de Dados'!$AM2017:$AP2017)</f>
        <v>15.61</v>
      </c>
      <c r="AR2017" s="8"/>
      <c r="AS2017" s="8"/>
      <c r="AT2017"/>
      <c r="AY2017" s="8"/>
    </row>
    <row r="2018" spans="1:51">
      <c r="A2018" s="5" t="str">
        <v>BV</v>
      </c>
      <c r="B2018" s="5" t="str">
        <f ca="1"/>
        <v>BV45859</v>
      </c>
      <c r="C2018" s="8" t="str">
        <v>Pedido 2004</v>
      </c>
      <c r="D2018" s="187">
        <v>45854</v>
      </c>
      <c r="E2018" s="9">
        <v>45859</v>
      </c>
      <c r="F2018" s="2" t="str">
        <v>PedidoF1888</v>
      </c>
      <c r="G2018" s="2" t="str">
        <v>CódRastreio1886</v>
      </c>
      <c r="H2018" s="5">
        <v>1</v>
      </c>
      <c r="I2018" s="182" t="str">
        <v>CPF 1960</v>
      </c>
      <c r="J2018" s="2" t="str">
        <v>Nome 1960</v>
      </c>
      <c r="K2018" s="8" t="str">
        <v>Tel 1960</v>
      </c>
      <c r="L2018" s="8" t="str">
        <v>Cep 1960</v>
      </c>
      <c r="M2018" s="8" t="str">
        <v>Rua 1960</v>
      </c>
      <c r="N2018" s="8" t="str">
        <v>Comp 1960</v>
      </c>
      <c r="O2018" s="8" t="str">
        <v>Bolsa térmica</v>
      </c>
      <c r="P2018" s="8" t="str">
        <v>6I-CK1S-8HYZ</v>
      </c>
      <c r="Q2018" s="4">
        <v>45871</v>
      </c>
      <c r="R2018" s="109">
        <v>29.5</v>
      </c>
      <c r="S2018" s="11">
        <f ca="1"/>
        <v>29.5</v>
      </c>
      <c r="T2018" s="28">
        <f ca="1"/>
        <v>3.54</v>
      </c>
      <c r="U2018" s="11">
        <f ca="1"/>
        <v>25.96</v>
      </c>
      <c r="V2018" s="11">
        <v>22.58</v>
      </c>
      <c r="W2018" s="11">
        <f ca="1"/>
        <v>0</v>
      </c>
      <c r="X2018" s="11">
        <f ca="1"/>
        <v>0.39877104377104378</v>
      </c>
      <c r="Y2018" s="11">
        <v>0</v>
      </c>
      <c r="Z2018" s="11">
        <f ca="1"/>
        <v>2.9812289562289571</v>
      </c>
      <c r="AA2018" s="11">
        <f ca="1"/>
        <v>1.4906144781144786</v>
      </c>
      <c r="AB2018" s="4">
        <f ca="1"/>
        <v>45878</v>
      </c>
      <c r="AC2018" s="4">
        <v>45878</v>
      </c>
      <c r="AD2018" s="9">
        <v>45887</v>
      </c>
      <c r="AE2018" s="9">
        <v>45888</v>
      </c>
      <c r="AF2018" s="4" t="str">
        <f t="shared" ca="1" si="145"/>
        <v>2025 08</v>
      </c>
      <c r="AG2018" s="8" t="str" cm="1">
        <f t="array" ref="AG2018">IFERROR(_xlfn.IFS('Banco de Dados'!#REF!="AG. COMPRA","Em processamento",'Banco de Dados'!#REF!="AG. RASTREIO","Em processamento",'Banco de Dados'!$AE2018&lt;&gt;"-","Faturado",'Banco de Dados'!$AD2018&lt;&gt;"-","Aguardando Pix",'Banco de Dados'!$AC2018&lt;&gt;"-","Pendente"),"Aguardando Liberação")</f>
        <v>Aguardando Liberação</v>
      </c>
      <c r="AH2018" s="5" t="str">
        <f>IF('Banco de Dados'!$F2018="-",_xlfn.CONCAT(PROPER(TEXT(AK2018,"aaaa"))," ",PROPER(TEXT(AK2018,"mm"))),_xlfn.CONCAT(PROPER(TEXT(E2018,"aaaa"))," ",PROPER(TEXT(E2018,"mm"))))</f>
        <v>2025 07</v>
      </c>
      <c r="AI2018" s="9" t="str">
        <f ca="1">IF('Banco de Dados'!$AK2018&lt;&gt;"-","REEMBOLSO",IFERROR(_xlfn.XLOOKUP(G2018,Follow[CODRASTREIO],Follow[STATUS]),"-"))</f>
        <v>ENTREGUE</v>
      </c>
      <c r="AJ2018" s="9">
        <f ca="1">IF('Banco de Dados'!$AI2018="ENTREGUE",_xlfn.XLOOKUP('Banco de Dados'!$G2018,Follow[CODRASTREIO],Follow[DATAATUALIZAÇÃO]),"-")</f>
        <v>45864</v>
      </c>
      <c r="AK2018" s="132" t="str">
        <f ca="1"/>
        <v>-</v>
      </c>
      <c r="AL2018" s="35"/>
      <c r="AM2018" s="109" cm="1">
        <f t="array" aca="1" ref="AM2018" ca="1">IF('Banco de Dados'!$AK2018&lt;&gt;"-",_xlfn.IFS('Banco de Dados'!$A2018="bv",IF('Banco de Dados'!$E2018&lt;45641,ROUND(SUM('Banco de Dados'!$R2018*_xlfn.XLOOKUP('Banco de Dados'!$P2018,Sku!B:B,Sku!#REF!)*20%),2),ROUND(SUM('Banco de Dados'!$R2018*_xlfn.XLOOKUP('Banco de Dados'!$P2018,Sku!B:B,Sku!H:H)*20%),2)),'Banco de Dados'!$A2018="GO",ROUND(_xlfn.XLOOKUP('Banco de Dados'!$P2018,Sku!C:C,Sku!H:H),2),'Banco de Dados'!$A2018="MEI",ROUND(_xlfn.XLOOKUP('Banco de Dados'!$P2018,Sku!D:D,Sku!H:H),2)),0)</f>
        <v>0</v>
      </c>
      <c r="AN2018" s="109">
        <v>0</v>
      </c>
      <c r="AO2018" s="109">
        <v>0</v>
      </c>
      <c r="AP2018" s="28">
        <f ca="1">IF('Banco de Dados'!$AK2018&lt;&gt;"-",IF('Banco de Dados'!$AL2018="NÃO",IFERROR(VALUE(SUBSTITUTE(_xlfn.TEXTAFTER('Banco de Dados'!$F2018,"BRL ",1),".",",")),0),0),0)</f>
        <v>0</v>
      </c>
      <c r="AQ2018" s="28">
        <f ca="1">SUM('Banco de Dados'!$AM2018:$AP2018)</f>
        <v>0</v>
      </c>
      <c r="AR2018" s="8"/>
      <c r="AS2018" s="8"/>
      <c r="AT2018"/>
      <c r="AY2018" s="8"/>
    </row>
    <row r="2019" spans="1:51">
      <c r="A2019" s="5" t="str">
        <v>BV</v>
      </c>
      <c r="B2019" s="5" t="str">
        <f ca="1"/>
        <v>BV45854</v>
      </c>
      <c r="C2019" s="8" t="str">
        <v>Pedido 2005</v>
      </c>
      <c r="D2019" s="187">
        <v>45854</v>
      </c>
      <c r="E2019" s="9">
        <v>45854</v>
      </c>
      <c r="F2019" s="2" t="str">
        <v>PedidoF1889</v>
      </c>
      <c r="G2019" s="2" t="str">
        <v>CódRastreio1887</v>
      </c>
      <c r="H2019" s="5">
        <v>1</v>
      </c>
      <c r="I2019" s="182" t="str">
        <v>CPF 1961</v>
      </c>
      <c r="J2019" s="2" t="str">
        <v>Nome 1961</v>
      </c>
      <c r="K2019" s="8" t="str">
        <v>Tel 1961</v>
      </c>
      <c r="L2019" s="8" t="str">
        <v>Cep 1961</v>
      </c>
      <c r="M2019" s="8" t="str">
        <v>Rua 1961</v>
      </c>
      <c r="N2019" s="8" t="str">
        <v>Comp 1961</v>
      </c>
      <c r="O2019" s="8" t="str">
        <v>Brinquedo Bola Giratória voadora</v>
      </c>
      <c r="P2019" s="8" t="str">
        <v>ZV-W7II-K7TO</v>
      </c>
      <c r="Q2019" s="4">
        <v>45871</v>
      </c>
      <c r="R2019" s="109">
        <v>49.99</v>
      </c>
      <c r="S2019" s="11">
        <f ca="1"/>
        <v>49.99</v>
      </c>
      <c r="T2019" s="28">
        <f ca="1"/>
        <v>5.9988000000000001</v>
      </c>
      <c r="U2019" s="11">
        <f ca="1"/>
        <v>43.99</v>
      </c>
      <c r="V2019" s="11">
        <v>38.99</v>
      </c>
      <c r="W2019" s="11">
        <f ca="1"/>
        <v>0</v>
      </c>
      <c r="X2019" s="11">
        <f ca="1"/>
        <v>0.39877104377104378</v>
      </c>
      <c r="Y2019" s="11">
        <v>0</v>
      </c>
      <c r="Z2019" s="11">
        <f ca="1"/>
        <v>4.6012289562289581</v>
      </c>
      <c r="AA2019" s="11">
        <f ca="1"/>
        <v>2.3006144781144791</v>
      </c>
      <c r="AB2019" s="4">
        <f ca="1"/>
        <v>45878</v>
      </c>
      <c r="AC2019" s="4">
        <v>45878</v>
      </c>
      <c r="AD2019" s="9">
        <v>45887</v>
      </c>
      <c r="AE2019" s="9">
        <v>45888</v>
      </c>
      <c r="AF2019" s="4" t="str">
        <f t="shared" ca="1" si="145"/>
        <v>2025 08</v>
      </c>
      <c r="AG2019" s="8" t="str" cm="1">
        <f t="array" ref="AG2019">IFERROR(_xlfn.IFS('Banco de Dados'!#REF!="AG. COMPRA","Em processamento",'Banco de Dados'!#REF!="AG. RASTREIO","Em processamento",'Banco de Dados'!$AE2019&lt;&gt;"-","Faturado",'Banco de Dados'!$AD2019&lt;&gt;"-","Aguardando Pix",'Banco de Dados'!$AC2019&lt;&gt;"-","Pendente"),"Aguardando Liberação")</f>
        <v>Aguardando Liberação</v>
      </c>
      <c r="AH2019" s="5" t="str">
        <f>IF('Banco de Dados'!$F2019="-",_xlfn.CONCAT(PROPER(TEXT(AK2019,"aaaa"))," ",PROPER(TEXT(AK2019,"mm"))),_xlfn.CONCAT(PROPER(TEXT(E2019,"aaaa"))," ",PROPER(TEXT(E2019,"mm"))))</f>
        <v>2025 07</v>
      </c>
      <c r="AI2019" s="9" t="str">
        <f ca="1">IF('Banco de Dados'!$AK2019&lt;&gt;"-","REEMBOLSO",IFERROR(_xlfn.XLOOKUP(G2019,Follow[CODRASTREIO],Follow[STATUS]),"-"))</f>
        <v>ENTREGUE</v>
      </c>
      <c r="AJ2019" s="9">
        <f ca="1">IF('Banco de Dados'!$AI2019="ENTREGUE",_xlfn.XLOOKUP('Banco de Dados'!$G2019,Follow[CODRASTREIO],Follow[DATAATUALIZAÇÃO]),"-")</f>
        <v>45859</v>
      </c>
      <c r="AK2019" s="132" t="str">
        <f ca="1"/>
        <v>-</v>
      </c>
      <c r="AL2019" s="35"/>
      <c r="AM2019" s="109" cm="1">
        <f t="array" aca="1" ref="AM2019" ca="1">IF('Banco de Dados'!$AK2019&lt;&gt;"-",_xlfn.IFS('Banco de Dados'!$A2019="bv",IF('Banco de Dados'!$E2019&lt;45641,ROUND(SUM('Banco de Dados'!$R2019*_xlfn.XLOOKUP('Banco de Dados'!$P2019,Sku!B:B,Sku!#REF!)*20%),2),ROUND(SUM('Banco de Dados'!$R2019*_xlfn.XLOOKUP('Banco de Dados'!$P2019,Sku!B:B,Sku!H:H)*20%),2)),'Banco de Dados'!$A2019="GO",ROUND(_xlfn.XLOOKUP('Banco de Dados'!$P2019,Sku!C:C,Sku!H:H),2),'Banco de Dados'!$A2019="MEI",ROUND(_xlfn.XLOOKUP('Banco de Dados'!$P2019,Sku!D:D,Sku!H:H),2)),0)</f>
        <v>0</v>
      </c>
      <c r="AN2019" s="109">
        <f ca="1">IF('Banco de Dados'!$AK2019&lt;&gt;"-",IF('Banco de Dados'!$F2019&lt;&gt;"-",_xlfn.XLOOKUP(IFERROR(IFERROR(IFERROR(VALUE(SUBSTITUTE(MID(_xlfn.TEXTAFTER('Banco de Dados'!$F2019,"Data do Pedido:
",1),1,10),"-","/")),VALUE(SUBSTITUTE(MID(_xlfn.TEXTAFTER('Banco de Dados'!$F2019,"Order date:
",1),1,10),"-","/"))),VALUE(SUBSTITUTE(MID(_xlfn.TEXTAFTER('Banco de Dados'!$F2019,"Fecha de pedido:
",1),1,10),"-","/"))),"-"),SMS!A:A,SMS!K:K),0),0)</f>
        <v>0</v>
      </c>
      <c r="AO2019" s="109">
        <f ca="1">IF('Banco de Dados'!$AK2019&lt;&gt;"-",IF('Banco de Dados'!$F2019&lt;&gt;"-",IFERROR(_xlfn.XLOOKUP(_xlfn.CONCAT('Banco de Dados'!$A2019,IFERROR(IFERROR(VALUE(SUBSTITUTE(MID(_xlfn.TEXTAFTER('Banco de Dados'!$F2019,"Data do Pedido:
",1),1,10),"-","/")),VALUE(SUBSTITUTE(MID(_xlfn.TEXTAFTER('Banco de Dados'!$F2019,"Order date:
",1),1,10),"-","/"))),0)),ProxyDD[Chave],ProxyDD[Valor por pedido]),PROXY!$P$2),0),0)</f>
        <v>0</v>
      </c>
      <c r="AP2019" s="28">
        <f ca="1">IF('Banco de Dados'!$AK2019&lt;&gt;"-",IF('Banco de Dados'!$AL2019="NÃO",IFERROR(VALUE(SUBSTITUTE(_xlfn.TEXTAFTER('Banco de Dados'!$F2019,"BRL ",1),".",",")),0),0),0)</f>
        <v>0</v>
      </c>
      <c r="AQ2019" s="28">
        <f ca="1">SUM('Banco de Dados'!$AM2019:$AP2019)</f>
        <v>0</v>
      </c>
      <c r="AR2019" s="8"/>
      <c r="AS2019" s="8"/>
      <c r="AT2019"/>
      <c r="AY2019" s="8"/>
    </row>
    <row r="2020" spans="1:51">
      <c r="A2020" s="5" t="str">
        <v>BV</v>
      </c>
      <c r="B2020" s="5" t="str">
        <f ca="1"/>
        <v>BV45854</v>
      </c>
      <c r="C2020" s="8" t="str">
        <v>Pedido 2006</v>
      </c>
      <c r="D2020" s="187">
        <v>45854</v>
      </c>
      <c r="E2020" s="9">
        <v>45854</v>
      </c>
      <c r="F2020" s="2" t="str">
        <v>PedidoF1890</v>
      </c>
      <c r="G2020" s="2" t="str">
        <v>CódRastreio1888</v>
      </c>
      <c r="H2020" s="5">
        <v>1</v>
      </c>
      <c r="I2020" s="182" t="str">
        <v>CPF 1962</v>
      </c>
      <c r="J2020" s="2" t="str">
        <v>Nome 1962</v>
      </c>
      <c r="K2020" s="8" t="str">
        <v>Tel 1962</v>
      </c>
      <c r="L2020" s="8" t="str">
        <v>Cep 1962</v>
      </c>
      <c r="M2020" s="8" t="str">
        <v>Rua 1962</v>
      </c>
      <c r="N2020" s="8" t="str">
        <v>Comp 1962</v>
      </c>
      <c r="O2020" s="8" t="str">
        <v>Máquina de cortar cabelo dragão</v>
      </c>
      <c r="P2020" s="8" t="str">
        <v>HG-2FNR-01A9</v>
      </c>
      <c r="Q2020" s="4">
        <v>45871</v>
      </c>
      <c r="R2020" s="109">
        <v>23.9</v>
      </c>
      <c r="S2020" s="11">
        <f ca="1"/>
        <v>23.9</v>
      </c>
      <c r="T2020" s="28">
        <f ca="1"/>
        <v>2.8679999999999999</v>
      </c>
      <c r="U2020" s="11">
        <f ca="1"/>
        <v>21.03</v>
      </c>
      <c r="V2020" s="11">
        <v>15.15</v>
      </c>
      <c r="W2020" s="11">
        <f ca="1"/>
        <v>0</v>
      </c>
      <c r="X2020" s="11">
        <f ca="1"/>
        <v>0.39877104377104378</v>
      </c>
      <c r="Y2020" s="11">
        <v>0</v>
      </c>
      <c r="Z2020" s="11">
        <f ca="1"/>
        <v>5.4812289562289571</v>
      </c>
      <c r="AA2020" s="11">
        <f ca="1"/>
        <v>2.7406144781144786</v>
      </c>
      <c r="AB2020" s="4">
        <f ca="1"/>
        <v>45878</v>
      </c>
      <c r="AC2020" s="4">
        <v>45878</v>
      </c>
      <c r="AD2020" s="9">
        <v>45887</v>
      </c>
      <c r="AE2020" s="9">
        <v>45888</v>
      </c>
      <c r="AF2020" s="4" t="str">
        <f t="shared" ca="1" si="145"/>
        <v>2025 08</v>
      </c>
      <c r="AG2020" s="8" t="str" cm="1">
        <f t="array" ref="AG2020">IFERROR(_xlfn.IFS('Banco de Dados'!#REF!="AG. COMPRA","Em processamento",'Banco de Dados'!#REF!="AG. RASTREIO","Em processamento",'Banco de Dados'!$AE2020&lt;&gt;"-","Faturado",'Banco de Dados'!$AD2020&lt;&gt;"-","Aguardando Pix",'Banco de Dados'!$AC2020&lt;&gt;"-","Pendente"),"Aguardando Liberação")</f>
        <v>Aguardando Liberação</v>
      </c>
      <c r="AH2020" s="5" t="str">
        <f>IF('Banco de Dados'!$F2020="-",_xlfn.CONCAT(PROPER(TEXT(AK2020,"aaaa"))," ",PROPER(TEXT(AK2020,"mm"))),_xlfn.CONCAT(PROPER(TEXT(E2020,"aaaa"))," ",PROPER(TEXT(E2020,"mm"))))</f>
        <v>2025 07</v>
      </c>
      <c r="AI2020" s="9" t="str">
        <f ca="1">IF('Banco de Dados'!$AK2020&lt;&gt;"-","REEMBOLSO",IFERROR(_xlfn.XLOOKUP(G2020,Follow[CODRASTREIO],Follow[STATUS]),"-"))</f>
        <v>ENTREGUE</v>
      </c>
      <c r="AJ2020" s="9">
        <f ca="1">IF('Banco de Dados'!$AI2020="ENTREGUE",_xlfn.XLOOKUP('Banco de Dados'!$G2020,Follow[CODRASTREIO],Follow[DATAATUALIZAÇÃO]),"-")</f>
        <v>45859</v>
      </c>
      <c r="AK2020" s="132" t="str">
        <f ca="1"/>
        <v>-</v>
      </c>
      <c r="AL2020" s="35"/>
      <c r="AM2020" s="109" cm="1">
        <f t="array" aca="1" ref="AM2020" ca="1">IF('Banco de Dados'!$AK2020&lt;&gt;"-",_xlfn.IFS('Banco de Dados'!$A2020="bv",IF('Banco de Dados'!$E2020&lt;45641,ROUND(SUM('Banco de Dados'!$R2020*_xlfn.XLOOKUP('Banco de Dados'!$P2020,Sku!B:B,Sku!#REF!)*20%),2),ROUND(SUM('Banco de Dados'!$R2020*_xlfn.XLOOKUP('Banco de Dados'!$P2020,Sku!B:B,Sku!H:H)*20%),2)),'Banco de Dados'!$A2020="GO",ROUND(_xlfn.XLOOKUP('Banco de Dados'!$P2020,Sku!C:C,Sku!H:H),2),'Banco de Dados'!$A2020="MEI",ROUND(_xlfn.XLOOKUP('Banco de Dados'!$P2020,Sku!D:D,Sku!H:H),2)),0)</f>
        <v>0</v>
      </c>
      <c r="AN2020" s="109">
        <v>0</v>
      </c>
      <c r="AO2020" s="109">
        <v>0</v>
      </c>
      <c r="AP2020" s="28">
        <f ca="1">IF('Banco de Dados'!$AK2020&lt;&gt;"-",IF('Banco de Dados'!$AL2020="NÃO",IFERROR(VALUE(SUBSTITUTE(_xlfn.TEXTAFTER('Banco de Dados'!$F2020,"BRL ",1),".",",")),0),0),0)</f>
        <v>0</v>
      </c>
      <c r="AQ2020" s="28">
        <f ca="1">SUM('Banco de Dados'!$AM2020:$AP2020)</f>
        <v>0</v>
      </c>
      <c r="AR2020" s="8"/>
      <c r="AS2020" s="8"/>
      <c r="AT2020"/>
      <c r="AY2020" s="8"/>
    </row>
    <row r="2021" spans="1:51">
      <c r="A2021" s="5" t="str">
        <v>BV</v>
      </c>
      <c r="B2021" s="5" t="str">
        <f ca="1"/>
        <v>BV45859</v>
      </c>
      <c r="C2021" s="8" t="str">
        <v>Pedido 2007</v>
      </c>
      <c r="D2021" s="187">
        <v>45854</v>
      </c>
      <c r="E2021" s="9">
        <v>45859</v>
      </c>
      <c r="F2021" s="2" t="str">
        <v>PedidoF1891</v>
      </c>
      <c r="G2021" s="2" t="str">
        <v>CódRastreio1889</v>
      </c>
      <c r="H2021" s="5">
        <v>1</v>
      </c>
      <c r="I2021" s="182" t="str">
        <v>CPF 1963</v>
      </c>
      <c r="J2021" s="2" t="str">
        <v>Nome 1963</v>
      </c>
      <c r="K2021" s="8" t="str">
        <v>Tel 1963</v>
      </c>
      <c r="L2021" s="8" t="str">
        <v>Cep 1963</v>
      </c>
      <c r="M2021" s="8" t="str">
        <v>Rua 1963</v>
      </c>
      <c r="N2021" s="8" t="str">
        <v>Comp 1963</v>
      </c>
      <c r="O2021" s="8" t="str">
        <v>Bolsa térmica</v>
      </c>
      <c r="P2021" s="8" t="str">
        <v>6I-CK1S-8HYZ</v>
      </c>
      <c r="Q2021" s="4">
        <v>45875</v>
      </c>
      <c r="R2021" s="109">
        <v>29.5</v>
      </c>
      <c r="S2021" s="11">
        <f ca="1"/>
        <v>29.5</v>
      </c>
      <c r="T2021" s="28">
        <f ca="1"/>
        <v>3.54</v>
      </c>
      <c r="U2021" s="11">
        <f ca="1"/>
        <v>25.96</v>
      </c>
      <c r="V2021" s="11">
        <v>22.58</v>
      </c>
      <c r="W2021" s="11">
        <f ca="1"/>
        <v>0</v>
      </c>
      <c r="X2021" s="11">
        <f ca="1"/>
        <v>0.39877104377104378</v>
      </c>
      <c r="Y2021" s="11">
        <v>0</v>
      </c>
      <c r="Z2021" s="11">
        <f ca="1"/>
        <v>2.9812289562289571</v>
      </c>
      <c r="AA2021" s="11">
        <f ca="1"/>
        <v>1.4906144781144786</v>
      </c>
      <c r="AB2021" s="4">
        <f ca="1"/>
        <v>45882</v>
      </c>
      <c r="AC2021" s="4">
        <v>45882</v>
      </c>
      <c r="AD2021" s="9">
        <v>45887</v>
      </c>
      <c r="AE2021" s="9">
        <v>45888</v>
      </c>
      <c r="AF2021" s="4" t="str">
        <f t="shared" ca="1" si="145"/>
        <v>2025 08</v>
      </c>
      <c r="AG2021" s="8" t="str" cm="1">
        <f t="array" ref="AG2021">IFERROR(_xlfn.IFS('Banco de Dados'!#REF!="AG. COMPRA","Em processamento",'Banco de Dados'!#REF!="AG. RASTREIO","Em processamento",'Banco de Dados'!$AE2021&lt;&gt;"-","Faturado",'Banco de Dados'!$AD2021&lt;&gt;"-","Aguardando Pix",'Banco de Dados'!$AC2021&lt;&gt;"-","Pendente"),"Aguardando Liberação")</f>
        <v>Aguardando Liberação</v>
      </c>
      <c r="AH2021" s="5" t="str">
        <f>IF('Banco de Dados'!$F2021="-",_xlfn.CONCAT(PROPER(TEXT(AK2021,"aaaa"))," ",PROPER(TEXT(AK2021,"mm"))),_xlfn.CONCAT(PROPER(TEXT(E2021,"aaaa"))," ",PROPER(TEXT(E2021,"mm"))))</f>
        <v>2025 07</v>
      </c>
      <c r="AI2021" s="9" t="str">
        <f ca="1">IF('Banco de Dados'!$AK2021&lt;&gt;"-","REEMBOLSO",IFERROR(_xlfn.XLOOKUP(G2021,Follow[CODRASTREIO],Follow[STATUS]),"-"))</f>
        <v>ENTREGUE</v>
      </c>
      <c r="AJ2021" s="9">
        <f ca="1">IF('Banco de Dados'!$AI2021="ENTREGUE",_xlfn.XLOOKUP('Banco de Dados'!$G2021,Follow[CODRASTREIO],Follow[DATAATUALIZAÇÃO]),"-")</f>
        <v>45868</v>
      </c>
      <c r="AK2021" s="132" t="str">
        <f ca="1"/>
        <v>-</v>
      </c>
      <c r="AL2021" s="35"/>
      <c r="AM2021" s="109" cm="1">
        <f t="array" aca="1" ref="AM2021" ca="1">IF('Banco de Dados'!$AK2021&lt;&gt;"-",_xlfn.IFS('Banco de Dados'!$A2021="bv",IF('Banco de Dados'!$E2021&lt;45641,ROUND(SUM('Banco de Dados'!$R2021*_xlfn.XLOOKUP('Banco de Dados'!$P2021,Sku!B:B,Sku!#REF!)*20%),2),ROUND(SUM('Banco de Dados'!$R2021*_xlfn.XLOOKUP('Banco de Dados'!$P2021,Sku!B:B,Sku!H:H)*20%),2)),'Banco de Dados'!$A2021="GO",ROUND(_xlfn.XLOOKUP('Banco de Dados'!$P2021,Sku!C:C,Sku!H:H),2),'Banco de Dados'!$A2021="MEI",ROUND(_xlfn.XLOOKUP('Banco de Dados'!$P2021,Sku!D:D,Sku!H:H),2)),0)</f>
        <v>0</v>
      </c>
      <c r="AN2021" s="109">
        <v>0</v>
      </c>
      <c r="AO2021" s="109">
        <v>0</v>
      </c>
      <c r="AP2021" s="28">
        <f ca="1">IF('Banco de Dados'!$AK2021&lt;&gt;"-",IF('Banco de Dados'!$AL2021="NÃO",IFERROR(VALUE(SUBSTITUTE(_xlfn.TEXTAFTER('Banco de Dados'!$F2021,"BRL ",1),".",",")),0),0),0)</f>
        <v>0</v>
      </c>
      <c r="AQ2021" s="28">
        <f ca="1">SUM('Banco de Dados'!$AM2021:$AP2021)</f>
        <v>0</v>
      </c>
      <c r="AR2021" s="8"/>
      <c r="AS2021" s="8"/>
      <c r="AT2021"/>
      <c r="AY2021" s="8"/>
    </row>
    <row r="2022" spans="1:51">
      <c r="A2022" s="5" t="str">
        <v>BV</v>
      </c>
      <c r="B2022" s="5" t="str">
        <f ca="1"/>
        <v>BV45854</v>
      </c>
      <c r="C2022" s="8" t="str">
        <v>Pedido 2008</v>
      </c>
      <c r="D2022" s="187">
        <v>45854</v>
      </c>
      <c r="E2022" s="9">
        <v>45854</v>
      </c>
      <c r="F2022" s="2" t="str">
        <v>PedidoF1892</v>
      </c>
      <c r="G2022" s="2" t="str">
        <v>CódRastreio1890</v>
      </c>
      <c r="H2022" s="5">
        <v>1</v>
      </c>
      <c r="I2022" s="182" t="str">
        <v>CPF 1964</v>
      </c>
      <c r="J2022" s="2" t="str">
        <v>Nome 1964</v>
      </c>
      <c r="K2022" s="8" t="str">
        <v>Tel 1964</v>
      </c>
      <c r="L2022" s="8" t="str">
        <v>Cep 1964</v>
      </c>
      <c r="M2022" s="8" t="str">
        <v>Rua 1964</v>
      </c>
      <c r="N2022" s="8" t="str">
        <v>Comp 1964</v>
      </c>
      <c r="O2022" s="8" t="str">
        <v>Máquina de cortar cabelo dragão</v>
      </c>
      <c r="P2022" s="8" t="str">
        <v>HG-2FNR-01A9</v>
      </c>
      <c r="Q2022" s="4">
        <v>45869</v>
      </c>
      <c r="R2022" s="109">
        <v>23.9</v>
      </c>
      <c r="S2022" s="11">
        <f ca="1"/>
        <v>23.9</v>
      </c>
      <c r="T2022" s="28">
        <f ca="1"/>
        <v>2.8679999999999999</v>
      </c>
      <c r="U2022" s="11">
        <f ca="1"/>
        <v>21.03</v>
      </c>
      <c r="V2022" s="11">
        <v>15.46</v>
      </c>
      <c r="W2022" s="11">
        <f ca="1"/>
        <v>0</v>
      </c>
      <c r="X2022" s="11">
        <f ca="1"/>
        <v>0.39877104377104378</v>
      </c>
      <c r="Y2022" s="11">
        <v>0</v>
      </c>
      <c r="Z2022" s="11">
        <f ca="1"/>
        <v>5.1712289562289566</v>
      </c>
      <c r="AA2022" s="11">
        <f ca="1"/>
        <v>2.5856144781144783</v>
      </c>
      <c r="AB2022" s="4">
        <f ca="1"/>
        <v>45876</v>
      </c>
      <c r="AC2022" s="4">
        <v>45876</v>
      </c>
      <c r="AD2022" s="9">
        <v>45887</v>
      </c>
      <c r="AE2022" s="9">
        <v>45888</v>
      </c>
      <c r="AF2022" s="4" t="str">
        <f t="shared" ca="1" si="145"/>
        <v>2025 08</v>
      </c>
      <c r="AG2022" s="8" t="str" cm="1">
        <f t="array" ref="AG2022">IFERROR(_xlfn.IFS('Banco de Dados'!#REF!="AG. COMPRA","Em processamento",'Banco de Dados'!#REF!="AG. RASTREIO","Em processamento",'Banco de Dados'!$AE2022&lt;&gt;"-","Faturado",'Banco de Dados'!$AD2022&lt;&gt;"-","Aguardando Pix",'Banco de Dados'!$AC2022&lt;&gt;"-","Pendente"),"Aguardando Liberação")</f>
        <v>Aguardando Liberação</v>
      </c>
      <c r="AH2022" s="5" t="str">
        <f>IF('Banco de Dados'!$F2022="-",_xlfn.CONCAT(PROPER(TEXT(AK2022,"aaaa"))," ",PROPER(TEXT(AK2022,"mm"))),_xlfn.CONCAT(PROPER(TEXT(E2022,"aaaa"))," ",PROPER(TEXT(E2022,"mm"))))</f>
        <v>2025 07</v>
      </c>
      <c r="AI2022" s="9" t="str">
        <f ca="1">IF('Banco de Dados'!$AK2022&lt;&gt;"-","REEMBOLSO",IFERROR(_xlfn.XLOOKUP(G2022,Follow[CODRASTREIO],Follow[STATUS]),"-"))</f>
        <v>ENTREGUE</v>
      </c>
      <c r="AJ2022" s="9">
        <f ca="1">IF('Banco de Dados'!$AI2022="ENTREGUE",_xlfn.XLOOKUP('Banco de Dados'!$G2022,Follow[CODRASTREIO],Follow[DATAATUALIZAÇÃO]),"-")</f>
        <v>45857</v>
      </c>
      <c r="AK2022" s="132" t="str">
        <f ca="1"/>
        <v>-</v>
      </c>
      <c r="AL2022" s="35"/>
      <c r="AM2022" s="109" cm="1">
        <f t="array" aca="1" ref="AM2022" ca="1">IF('Banco de Dados'!$AK2022&lt;&gt;"-",_xlfn.IFS('Banco de Dados'!$A2022="bv",IF('Banco de Dados'!$E2022&lt;45641,ROUND(SUM('Banco de Dados'!$R2022*_xlfn.XLOOKUP('Banco de Dados'!$P2022,Sku!B:B,Sku!#REF!)*20%),2),ROUND(SUM('Banco de Dados'!$R2022*_xlfn.XLOOKUP('Banco de Dados'!$P2022,Sku!B:B,Sku!H:H)*20%),2)),'Banco de Dados'!$A2022="GO",ROUND(_xlfn.XLOOKUP('Banco de Dados'!$P2022,Sku!C:C,Sku!H:H),2),'Banco de Dados'!$A2022="MEI",ROUND(_xlfn.XLOOKUP('Banco de Dados'!$P2022,Sku!D:D,Sku!H:H),2)),0)</f>
        <v>0</v>
      </c>
      <c r="AN2022" s="109">
        <v>0</v>
      </c>
      <c r="AO2022" s="109">
        <v>0</v>
      </c>
      <c r="AP2022" s="28">
        <f ca="1">IF('Banco de Dados'!$AK2022&lt;&gt;"-",IF('Banco de Dados'!$AL2022="NÃO",IFERROR(VALUE(SUBSTITUTE(_xlfn.TEXTAFTER('Banco de Dados'!$F2022,"BRL ",1),".",",")),0),0),0)</f>
        <v>0</v>
      </c>
      <c r="AQ2022" s="28">
        <f ca="1">SUM('Banco de Dados'!$AM2022:$AP2022)</f>
        <v>0</v>
      </c>
      <c r="AR2022" s="8"/>
      <c r="AS2022" s="8"/>
      <c r="AT2022"/>
      <c r="AY2022" s="8"/>
    </row>
    <row r="2023" spans="1:51">
      <c r="A2023" s="5" t="str">
        <v>BV</v>
      </c>
      <c r="B2023" s="5" t="str">
        <f ca="1"/>
        <v>BV45859</v>
      </c>
      <c r="C2023" s="8" t="str">
        <v>Pedido 2009</v>
      </c>
      <c r="D2023" s="187">
        <v>45854</v>
      </c>
      <c r="E2023" s="9">
        <v>45859</v>
      </c>
      <c r="F2023" s="2" t="str">
        <v>PedidoF1893</v>
      </c>
      <c r="G2023" s="2" t="str">
        <v>CódRastreio1891</v>
      </c>
      <c r="H2023" s="5">
        <v>1</v>
      </c>
      <c r="I2023" s="182" t="str">
        <v>CPF 1965</v>
      </c>
      <c r="J2023" s="2" t="str">
        <v>Nome 1965</v>
      </c>
      <c r="K2023" s="8" t="str">
        <v>Tel 1965</v>
      </c>
      <c r="L2023" s="8" t="str">
        <v>Cep 1965</v>
      </c>
      <c r="M2023" s="8" t="str">
        <v>Rua 1965</v>
      </c>
      <c r="N2023" s="8" t="str">
        <v>Comp 1965</v>
      </c>
      <c r="O2023" s="8" t="str">
        <v>Bolsa térmica</v>
      </c>
      <c r="P2023" s="8" t="str">
        <v>6I-CK1S-8HYZ</v>
      </c>
      <c r="Q2023" s="4">
        <v>45875</v>
      </c>
      <c r="R2023" s="109">
        <v>29.5</v>
      </c>
      <c r="S2023" s="11">
        <f ca="1"/>
        <v>29.5</v>
      </c>
      <c r="T2023" s="28">
        <f ca="1"/>
        <v>3.54</v>
      </c>
      <c r="U2023" s="11">
        <f ca="1"/>
        <v>25.96</v>
      </c>
      <c r="V2023" s="11">
        <v>22.58</v>
      </c>
      <c r="W2023" s="11">
        <f ca="1"/>
        <v>0</v>
      </c>
      <c r="X2023" s="11">
        <f ca="1"/>
        <v>0.39877104377104378</v>
      </c>
      <c r="Y2023" s="11">
        <v>0</v>
      </c>
      <c r="Z2023" s="11">
        <f ca="1"/>
        <v>2.9812289562289571</v>
      </c>
      <c r="AA2023" s="11">
        <f ca="1"/>
        <v>1.4906144781144786</v>
      </c>
      <c r="AB2023" s="4">
        <f ca="1"/>
        <v>45882</v>
      </c>
      <c r="AC2023" s="4">
        <v>45882</v>
      </c>
      <c r="AD2023" s="9">
        <v>45887</v>
      </c>
      <c r="AE2023" s="9">
        <v>45888</v>
      </c>
      <c r="AF2023" s="4" t="str">
        <f t="shared" ca="1" si="145"/>
        <v>2025 08</v>
      </c>
      <c r="AG2023" s="8" t="str" cm="1">
        <f t="array" ref="AG2023">IFERROR(_xlfn.IFS('Banco de Dados'!#REF!="AG. COMPRA","Em processamento",'Banco de Dados'!#REF!="AG. RASTREIO","Em processamento",'Banco de Dados'!$AE2023&lt;&gt;"-","Faturado",'Banco de Dados'!$AD2023&lt;&gt;"-","Aguardando Pix",'Banco de Dados'!$AC2023&lt;&gt;"-","Pendente"),"Aguardando Liberação")</f>
        <v>Aguardando Liberação</v>
      </c>
      <c r="AH2023" s="5" t="str">
        <f>IF('Banco de Dados'!$F2023="-",_xlfn.CONCAT(PROPER(TEXT(AK2023,"aaaa"))," ",PROPER(TEXT(AK2023,"mm"))),_xlfn.CONCAT(PROPER(TEXT(E2023,"aaaa"))," ",PROPER(TEXT(E2023,"mm"))))</f>
        <v>2025 07</v>
      </c>
      <c r="AI2023" s="9" t="str">
        <f ca="1">IF('Banco de Dados'!$AK2023&lt;&gt;"-","REEMBOLSO",IFERROR(_xlfn.XLOOKUP(G2023,Follow[CODRASTREIO],Follow[STATUS]),"-"))</f>
        <v>ENTREGUE</v>
      </c>
      <c r="AJ2023" s="9">
        <f ca="1">IF('Banco de Dados'!$AI2023="ENTREGUE",_xlfn.XLOOKUP('Banco de Dados'!$G2023,Follow[CODRASTREIO],Follow[DATAATUALIZAÇÃO]),"-")</f>
        <v>45866</v>
      </c>
      <c r="AK2023" s="132" t="str">
        <f ca="1"/>
        <v>-</v>
      </c>
      <c r="AL2023" s="35"/>
      <c r="AM2023" s="109" cm="1">
        <f t="array" aca="1" ref="AM2023" ca="1">IF('Banco de Dados'!$AK2023&lt;&gt;"-",_xlfn.IFS('Banco de Dados'!$A2023="bv",IF('Banco de Dados'!$E2023&lt;45641,ROUND(SUM('Banco de Dados'!$R2023*_xlfn.XLOOKUP('Banco de Dados'!$P2023,Sku!B:B,Sku!#REF!)*20%),2),ROUND(SUM('Banco de Dados'!$R2023*_xlfn.XLOOKUP('Banco de Dados'!$P2023,Sku!B:B,Sku!H:H)*20%),2)),'Banco de Dados'!$A2023="GO",ROUND(_xlfn.XLOOKUP('Banco de Dados'!$P2023,Sku!C:C,Sku!H:H),2),'Banco de Dados'!$A2023="MEI",ROUND(_xlfn.XLOOKUP('Banco de Dados'!$P2023,Sku!D:D,Sku!H:H),2)),0)</f>
        <v>0</v>
      </c>
      <c r="AN2023" s="109">
        <v>0</v>
      </c>
      <c r="AO2023" s="109">
        <v>0</v>
      </c>
      <c r="AP2023" s="28">
        <f ca="1">IF('Banco de Dados'!$AK2023&lt;&gt;"-",IF('Banco de Dados'!$AL2023="NÃO",IFERROR(VALUE(SUBSTITUTE(_xlfn.TEXTAFTER('Banco de Dados'!$F2023,"BRL ",1),".",",")),0),0),0)</f>
        <v>0</v>
      </c>
      <c r="AQ2023" s="28">
        <f ca="1">SUM('Banco de Dados'!$AM2023:$AP2023)</f>
        <v>0</v>
      </c>
      <c r="AR2023" s="8"/>
      <c r="AS2023" s="8"/>
      <c r="AT2023"/>
      <c r="AY2023" s="8"/>
    </row>
    <row r="2024" spans="1:51">
      <c r="A2024" s="5" t="str">
        <v>BV</v>
      </c>
      <c r="B2024" s="5" t="str">
        <f ca="1"/>
        <v>BV45854</v>
      </c>
      <c r="C2024" s="8" t="str">
        <v>Pedido 2010</v>
      </c>
      <c r="D2024" s="187">
        <v>45854</v>
      </c>
      <c r="E2024" s="9">
        <v>45854</v>
      </c>
      <c r="F2024" s="2" t="str">
        <v>PedidoF1894</v>
      </c>
      <c r="G2024" s="2" t="str">
        <v>CódRastreio1892</v>
      </c>
      <c r="H2024" s="5">
        <v>1</v>
      </c>
      <c r="I2024" s="182" t="str">
        <v>CPF 1966</v>
      </c>
      <c r="J2024" s="2" t="str">
        <v>Nome 1966</v>
      </c>
      <c r="K2024" s="8" t="str">
        <v>Tel 1966</v>
      </c>
      <c r="L2024" s="8" t="str">
        <v>Cep 1966</v>
      </c>
      <c r="M2024" s="8" t="str">
        <v>Rua 1966</v>
      </c>
      <c r="N2024" s="8" t="str">
        <v>Comp 1966</v>
      </c>
      <c r="O2024" s="8" t="str">
        <v>Máquina de cortar cabelo dragão</v>
      </c>
      <c r="P2024" s="8" t="str">
        <v>HG-2FNR-01A9</v>
      </c>
      <c r="Q2024" s="4">
        <v>45869</v>
      </c>
      <c r="R2024" s="109">
        <v>23.9</v>
      </c>
      <c r="S2024" s="11">
        <f ca="1"/>
        <v>23.9</v>
      </c>
      <c r="T2024" s="28">
        <f ca="1"/>
        <v>2.8679999999999999</v>
      </c>
      <c r="U2024" s="11">
        <f ca="1"/>
        <v>21.03</v>
      </c>
      <c r="V2024" s="11">
        <v>15.82</v>
      </c>
      <c r="W2024" s="11">
        <f ca="1"/>
        <v>0</v>
      </c>
      <c r="X2024" s="11">
        <f ca="1"/>
        <v>0.39877104377104378</v>
      </c>
      <c r="Y2024" s="11">
        <v>0</v>
      </c>
      <c r="Z2024" s="11">
        <f ca="1"/>
        <v>4.8112289562289554</v>
      </c>
      <c r="AA2024" s="11">
        <f ca="1"/>
        <v>2.4056144781144777</v>
      </c>
      <c r="AB2024" s="4">
        <f ca="1"/>
        <v>45876</v>
      </c>
      <c r="AC2024" s="4">
        <v>45876</v>
      </c>
      <c r="AD2024" s="9">
        <v>45887</v>
      </c>
      <c r="AE2024" s="9">
        <v>45888</v>
      </c>
      <c r="AF2024" s="4" t="str">
        <f t="shared" ca="1" si="145"/>
        <v>2025 08</v>
      </c>
      <c r="AG2024" s="8" t="str" cm="1">
        <f t="array" ref="AG2024">IFERROR(_xlfn.IFS('Banco de Dados'!#REF!="AG. COMPRA","Em processamento",'Banco de Dados'!#REF!="AG. RASTREIO","Em processamento",'Banco de Dados'!$AE2024&lt;&gt;"-","Faturado",'Banco de Dados'!$AD2024&lt;&gt;"-","Aguardando Pix",'Banco de Dados'!$AC2024&lt;&gt;"-","Pendente"),"Aguardando Liberação")</f>
        <v>Aguardando Liberação</v>
      </c>
      <c r="AH2024" s="5" t="str">
        <f>IF('Banco de Dados'!$F2024="-",_xlfn.CONCAT(PROPER(TEXT(AK2024,"aaaa"))," ",PROPER(TEXT(AK2024,"mm"))),_xlfn.CONCAT(PROPER(TEXT(E2024,"aaaa"))," ",PROPER(TEXT(E2024,"mm"))))</f>
        <v>2025 07</v>
      </c>
      <c r="AI2024" s="9" t="str">
        <f ca="1">IF('Banco de Dados'!$AK2024&lt;&gt;"-","REEMBOLSO",IFERROR(_xlfn.XLOOKUP(G2024,Follow[CODRASTREIO],Follow[STATUS]),"-"))</f>
        <v>EM TRÂNSITO</v>
      </c>
      <c r="AJ2024" s="9" t="str">
        <f ca="1">IF('Banco de Dados'!$AI2024="ENTREGUE",_xlfn.XLOOKUP('Banco de Dados'!$G2024,Follow[CODRASTREIO],Follow[DATAATUALIZAÇÃO]),"-")</f>
        <v>-</v>
      </c>
      <c r="AK2024" s="132" t="str">
        <f ca="1"/>
        <v>-</v>
      </c>
      <c r="AL2024" s="35"/>
      <c r="AM2024" s="109" cm="1">
        <f t="array" aca="1" ref="AM2024" ca="1">IF('Banco de Dados'!$AK2024&lt;&gt;"-",_xlfn.IFS('Banco de Dados'!$A2024="bv",IF('Banco de Dados'!$E2024&lt;45641,ROUND(SUM('Banco de Dados'!$R2024*_xlfn.XLOOKUP('Banco de Dados'!$P2024,Sku!B:B,Sku!#REF!)*20%),2),ROUND(SUM('Banco de Dados'!$R2024*_xlfn.XLOOKUP('Banco de Dados'!$P2024,Sku!B:B,Sku!H:H)*20%),2)),'Banco de Dados'!$A2024="GO",ROUND(_xlfn.XLOOKUP('Banco de Dados'!$P2024,Sku!C:C,Sku!H:H),2),'Banco de Dados'!$A2024="MEI",ROUND(_xlfn.XLOOKUP('Banco de Dados'!$P2024,Sku!D:D,Sku!H:H),2)),0)</f>
        <v>0</v>
      </c>
      <c r="AN2024" s="109">
        <v>0</v>
      </c>
      <c r="AO2024" s="109">
        <v>0</v>
      </c>
      <c r="AP2024" s="28">
        <f ca="1">IF('Banco de Dados'!$AK2024&lt;&gt;"-",IF('Banco de Dados'!$AL2024="NÃO",IFERROR(VALUE(SUBSTITUTE(_xlfn.TEXTAFTER('Banco de Dados'!$F2024,"BRL ",1),".",",")),0),0),0)</f>
        <v>0</v>
      </c>
      <c r="AQ2024" s="28">
        <f ca="1">SUM('Banco de Dados'!$AM2024:$AP2024)</f>
        <v>0</v>
      </c>
      <c r="AR2024" s="8"/>
      <c r="AS2024" s="8"/>
      <c r="AT2024"/>
      <c r="AY2024" s="8"/>
    </row>
    <row r="2025" spans="1:51">
      <c r="A2025" s="5" t="str">
        <v>GO</v>
      </c>
      <c r="B2025" s="5" t="str">
        <f ca="1"/>
        <v>GO45854</v>
      </c>
      <c r="C2025" s="8" t="str">
        <v>Pedido 2011</v>
      </c>
      <c r="D2025" s="187">
        <v>45853</v>
      </c>
      <c r="E2025" s="9">
        <v>45854</v>
      </c>
      <c r="F2025" s="2" t="str">
        <v>PedidoF1895</v>
      </c>
      <c r="G2025" s="2" t="str">
        <v>CódRastreio1893</v>
      </c>
      <c r="H2025" s="5">
        <v>1</v>
      </c>
      <c r="I2025" s="182" t="str">
        <v>CPF 1967</v>
      </c>
      <c r="J2025" s="2" t="str">
        <v>Nome 1967</v>
      </c>
      <c r="K2025" s="8" t="str">
        <v>Tel 1967</v>
      </c>
      <c r="L2025" s="8" t="str">
        <v>Cep 1967</v>
      </c>
      <c r="M2025" s="8" t="str">
        <v>Rua 1967</v>
      </c>
      <c r="N2025" s="8" t="str">
        <v>Comp 1967</v>
      </c>
      <c r="O2025" s="8" t="str">
        <v>Ventilador Umidificador Preto</v>
      </c>
      <c r="P2025" s="8" t="str">
        <v>K9-YV2I-FO7H</v>
      </c>
      <c r="Q2025" s="4">
        <v>45868</v>
      </c>
      <c r="R2025" s="109">
        <v>54.99</v>
      </c>
      <c r="S2025" s="11">
        <f ca="1"/>
        <v>54.99</v>
      </c>
      <c r="T2025" s="28">
        <f ca="1"/>
        <v>6.0489000000000006</v>
      </c>
      <c r="U2025" s="11">
        <f ca="1"/>
        <v>48.94</v>
      </c>
      <c r="V2025" s="11">
        <v>32.99</v>
      </c>
      <c r="W2025" s="11">
        <f ca="1"/>
        <v>0</v>
      </c>
      <c r="X2025" s="11">
        <f ca="1"/>
        <v>0.39877104377104378</v>
      </c>
      <c r="Y2025" s="11">
        <v>0</v>
      </c>
      <c r="Z2025" s="11">
        <f ca="1"/>
        <v>15.551228956228954</v>
      </c>
      <c r="AA2025" s="11">
        <f ca="1"/>
        <v>15.551228956228954</v>
      </c>
      <c r="AB2025" s="4">
        <f ca="1"/>
        <v>45875</v>
      </c>
      <c r="AC2025" s="4">
        <v>45875</v>
      </c>
      <c r="AD2025" s="9">
        <v>45887</v>
      </c>
      <c r="AE2025" s="9">
        <v>45888</v>
      </c>
      <c r="AF2025" s="4" t="str">
        <f t="shared" ca="1" si="145"/>
        <v>2025 08</v>
      </c>
      <c r="AG2025" s="8" t="str" cm="1">
        <f t="array" ref="AG2025">IFERROR(_xlfn.IFS('Banco de Dados'!#REF!="AG. COMPRA","Em processamento",'Banco de Dados'!#REF!="AG. RASTREIO","Em processamento",'Banco de Dados'!$AE2025&lt;&gt;"-","Faturado",'Banco de Dados'!$AD2025&lt;&gt;"-","Aguardando Pix",'Banco de Dados'!$AC2025&lt;&gt;"-","Pendente"),"Aguardando Liberação")</f>
        <v>Aguardando Liberação</v>
      </c>
      <c r="AH2025" s="5" t="str">
        <f>IF('Banco de Dados'!$F2025="-",_xlfn.CONCAT(PROPER(TEXT(AK2025,"aaaa"))," ",PROPER(TEXT(AK2025,"mm"))),_xlfn.CONCAT(PROPER(TEXT(E2025,"aaaa"))," ",PROPER(TEXT(E2025,"mm"))))</f>
        <v>2025 07</v>
      </c>
      <c r="AI2025" s="9" t="str">
        <f ca="1">IF('Banco de Dados'!$AK2025&lt;&gt;"-","REEMBOLSO",IFERROR(_xlfn.XLOOKUP(G2025,Follow[CODRASTREIO],Follow[STATUS]),"-"))</f>
        <v>ENTREGUE</v>
      </c>
      <c r="AJ2025" s="9">
        <f ca="1">IF('Banco de Dados'!$AI2025="ENTREGUE",_xlfn.XLOOKUP('Banco de Dados'!$G2025,Follow[CODRASTREIO],Follow[DATAATUALIZAÇÃO]),"-")</f>
        <v>45859</v>
      </c>
      <c r="AK2025" s="132" t="str">
        <f ca="1"/>
        <v>-</v>
      </c>
      <c r="AL2025" s="35"/>
      <c r="AM2025" s="109" cm="1">
        <f t="array" aca="1" ref="AM2025" ca="1">IF('Banco de Dados'!$AK2025&lt;&gt;"-",_xlfn.IFS('Banco de Dados'!$A2025="bv",IF('Banco de Dados'!$E2025&lt;45641,ROUND(SUM('Banco de Dados'!$R2025*_xlfn.XLOOKUP('Banco de Dados'!$P2025,Sku!B:B,Sku!#REF!)*20%),2),ROUND(SUM('Banco de Dados'!$R2025*_xlfn.XLOOKUP('Banco de Dados'!$P2025,Sku!B:B,Sku!H:H)*20%),2)),'Banco de Dados'!$A2025="GO",ROUND(_xlfn.XLOOKUP('Banco de Dados'!$P2025,Sku!C:C,Sku!H:H),2),'Banco de Dados'!$A2025="MEI",ROUND(_xlfn.XLOOKUP('Banco de Dados'!$P2025,Sku!D:D,Sku!H:H),2)),0)</f>
        <v>0</v>
      </c>
      <c r="AN2025" s="109">
        <f ca="1">IF('Banco de Dados'!$AK2025&lt;&gt;"-",IF('Banco de Dados'!$F2025&lt;&gt;"-",_xlfn.XLOOKUP(IFERROR(IFERROR(IFERROR(VALUE(SUBSTITUTE(MID(_xlfn.TEXTAFTER('Banco de Dados'!$F2025,"Data do Pedido:
",1),1,10),"-","/")),VALUE(SUBSTITUTE(MID(_xlfn.TEXTAFTER('Banco de Dados'!$F2025,"Order date:
",1),1,10),"-","/"))),VALUE(SUBSTITUTE(MID(_xlfn.TEXTAFTER('Banco de Dados'!$F2025,"Fecha de pedido:
",1),1,10),"-","/"))),"-"),SMS!A:A,SMS!K:K),0),0)</f>
        <v>0</v>
      </c>
      <c r="AO2025" s="109">
        <f ca="1">IF('Banco de Dados'!$AK2025&lt;&gt;"-",IF('Banco de Dados'!$F2025&lt;&gt;"-",IFERROR(_xlfn.XLOOKUP(_xlfn.CONCAT('Banco de Dados'!$A2025,IFERROR(IFERROR(VALUE(SUBSTITUTE(MID(_xlfn.TEXTAFTER('Banco de Dados'!$F2025,"Data do Pedido:
",1),1,10),"-","/")),VALUE(SUBSTITUTE(MID(_xlfn.TEXTAFTER('Banco de Dados'!$F2025,"Order date:
",1),1,10),"-","/"))),0)),ProxyDD[Chave],ProxyDD[Valor por pedido]),PROXY!$P$2),0),0)</f>
        <v>0</v>
      </c>
      <c r="AP2025" s="28">
        <f ca="1">IF('Banco de Dados'!$AK2025&lt;&gt;"-",IF('Banco de Dados'!$AL2025="NÃO",IFERROR(VALUE(SUBSTITUTE(_xlfn.TEXTAFTER('Banco de Dados'!$F2025,"BRL ",1),".",",")),0),0),0)</f>
        <v>0</v>
      </c>
      <c r="AQ2025" s="28">
        <f ca="1">SUM('Banco de Dados'!$AM2025:$AP2025)</f>
        <v>0</v>
      </c>
      <c r="AR2025" s="8"/>
      <c r="AS2025" s="8"/>
      <c r="AT2025"/>
      <c r="AY2025" s="8"/>
    </row>
    <row r="2026" spans="1:51">
      <c r="A2026" s="5" t="str">
        <v>GO</v>
      </c>
      <c r="B2026" s="5" t="str">
        <f ca="1"/>
        <v>GO45854</v>
      </c>
      <c r="C2026" s="8" t="str">
        <v>Pedido 2012</v>
      </c>
      <c r="D2026" s="187">
        <v>45853</v>
      </c>
      <c r="E2026" s="9">
        <v>45854</v>
      </c>
      <c r="F2026" s="2" t="str">
        <v>PedidoF1896</v>
      </c>
      <c r="G2026" s="2" t="str">
        <v>CódRastreio1894</v>
      </c>
      <c r="H2026" s="5">
        <v>1</v>
      </c>
      <c r="I2026" s="182" t="str">
        <v>CPF 1968</v>
      </c>
      <c r="J2026" s="2" t="str">
        <v>Nome 1968</v>
      </c>
      <c r="K2026" s="8" t="str">
        <v>Tel 1968</v>
      </c>
      <c r="L2026" s="8" t="str">
        <v>Cep 1968</v>
      </c>
      <c r="M2026" s="8" t="str">
        <v>Rua 1968</v>
      </c>
      <c r="N2026" s="8" t="str">
        <v>Comp 1968</v>
      </c>
      <c r="O2026" s="8" t="str">
        <v>Ventilador Umidificador Preto</v>
      </c>
      <c r="P2026" s="8" t="str">
        <v>K9-YV2I-FO7H</v>
      </c>
      <c r="Q2026" s="4">
        <v>45874</v>
      </c>
      <c r="R2026" s="109">
        <v>54.99</v>
      </c>
      <c r="S2026" s="11">
        <f ca="1"/>
        <v>54.99</v>
      </c>
      <c r="T2026" s="28">
        <f ca="1"/>
        <v>6.0489000000000006</v>
      </c>
      <c r="U2026" s="11">
        <f ca="1"/>
        <v>48.94</v>
      </c>
      <c r="V2026" s="11">
        <v>32.99</v>
      </c>
      <c r="W2026" s="11">
        <f ca="1"/>
        <v>0</v>
      </c>
      <c r="X2026" s="11">
        <f ca="1"/>
        <v>0.39877104377104378</v>
      </c>
      <c r="Y2026" s="11">
        <v>0</v>
      </c>
      <c r="Z2026" s="11">
        <f ca="1"/>
        <v>15.551228956228954</v>
      </c>
      <c r="AA2026" s="11">
        <f ca="1"/>
        <v>15.551228956228954</v>
      </c>
      <c r="AB2026" s="4">
        <f ca="1"/>
        <v>45881</v>
      </c>
      <c r="AC2026" s="4">
        <v>45881</v>
      </c>
      <c r="AD2026" s="9">
        <v>45887</v>
      </c>
      <c r="AE2026" s="9">
        <v>45888</v>
      </c>
      <c r="AF2026" s="4" t="str">
        <f t="shared" ca="1" si="145"/>
        <v>2025 08</v>
      </c>
      <c r="AG2026" s="8" t="str" cm="1">
        <f t="array" ref="AG2026">IFERROR(_xlfn.IFS('Banco de Dados'!#REF!="AG. COMPRA","Em processamento",'Banco de Dados'!#REF!="AG. RASTREIO","Em processamento",'Banco de Dados'!$AE2026&lt;&gt;"-","Faturado",'Banco de Dados'!$AD2026&lt;&gt;"-","Aguardando Pix",'Banco de Dados'!$AC2026&lt;&gt;"-","Pendente"),"Aguardando Liberação")</f>
        <v>Aguardando Liberação</v>
      </c>
      <c r="AH2026" s="5" t="str">
        <f>IF('Banco de Dados'!$F2026="-",_xlfn.CONCAT(PROPER(TEXT(AK2026,"aaaa"))," ",PROPER(TEXT(AK2026,"mm"))),_xlfn.CONCAT(PROPER(TEXT(E2026,"aaaa"))," ",PROPER(TEXT(E2026,"mm"))))</f>
        <v>2025 07</v>
      </c>
      <c r="AI2026" s="9" t="str">
        <f ca="1">IF('Banco de Dados'!$AK2026&lt;&gt;"-","REEMBOLSO",IFERROR(_xlfn.XLOOKUP(G2026,Follow[CODRASTREIO],Follow[STATUS]),"-"))</f>
        <v>ENTREGUE</v>
      </c>
      <c r="AJ2026" s="9">
        <f ca="1">IF('Banco de Dados'!$AI2026="ENTREGUE",_xlfn.XLOOKUP('Banco de Dados'!$G2026,Follow[CODRASTREIO],Follow[DATAATUALIZAÇÃO]),"-")</f>
        <v>45868</v>
      </c>
      <c r="AK2026" s="132" t="str">
        <f ca="1"/>
        <v>-</v>
      </c>
      <c r="AL2026" s="35"/>
      <c r="AM2026" s="109" cm="1">
        <f t="array" aca="1" ref="AM2026" ca="1">IF('Banco de Dados'!$AK2026&lt;&gt;"-",_xlfn.IFS('Banco de Dados'!$A2026="bv",IF('Banco de Dados'!$E2026&lt;45641,ROUND(SUM('Banco de Dados'!$R2026*_xlfn.XLOOKUP('Banco de Dados'!$P2026,Sku!B:B,Sku!#REF!)*20%),2),ROUND(SUM('Banco de Dados'!$R2026*_xlfn.XLOOKUP('Banco de Dados'!$P2026,Sku!B:B,Sku!H:H)*20%),2)),'Banco de Dados'!$A2026="GO",ROUND(_xlfn.XLOOKUP('Banco de Dados'!$P2026,Sku!C:C,Sku!H:H),2),'Banco de Dados'!$A2026="MEI",ROUND(_xlfn.XLOOKUP('Banco de Dados'!$P2026,Sku!D:D,Sku!H:H),2)),0)</f>
        <v>0</v>
      </c>
      <c r="AN2026" s="109">
        <f ca="1">IF('Banco de Dados'!$AK2026&lt;&gt;"-",IF('Banco de Dados'!$F2026&lt;&gt;"-",_xlfn.XLOOKUP(IFERROR(IFERROR(IFERROR(VALUE(SUBSTITUTE(MID(_xlfn.TEXTAFTER('Banco de Dados'!$F2026,"Data do Pedido:
",1),1,10),"-","/")),VALUE(SUBSTITUTE(MID(_xlfn.TEXTAFTER('Banco de Dados'!$F2026,"Order date:
",1),1,10),"-","/"))),VALUE(SUBSTITUTE(MID(_xlfn.TEXTAFTER('Banco de Dados'!$F2026,"Fecha de pedido:
",1),1,10),"-","/"))),"-"),SMS!A:A,SMS!K:K),0),0)</f>
        <v>0</v>
      </c>
      <c r="AO2026" s="109">
        <f ca="1">IF('Banco de Dados'!$AK2026&lt;&gt;"-",IF('Banco de Dados'!$F2026&lt;&gt;"-",IFERROR(_xlfn.XLOOKUP(_xlfn.CONCAT('Banco de Dados'!$A2026,IFERROR(IFERROR(VALUE(SUBSTITUTE(MID(_xlfn.TEXTAFTER('Banco de Dados'!$F2026,"Data do Pedido:
",1),1,10),"-","/")),VALUE(SUBSTITUTE(MID(_xlfn.TEXTAFTER('Banco de Dados'!$F2026,"Order date:
",1),1,10),"-","/"))),0)),ProxyDD[Chave],ProxyDD[Valor por pedido]),PROXY!$P$2),0),0)</f>
        <v>0</v>
      </c>
      <c r="AP2026" s="28">
        <f ca="1">IF('Banco de Dados'!$AK2026&lt;&gt;"-",IF('Banco de Dados'!$AL2026="NÃO",IFERROR(VALUE(SUBSTITUTE(_xlfn.TEXTAFTER('Banco de Dados'!$F2026,"BRL ",1),".",",")),0),0),0)</f>
        <v>0</v>
      </c>
      <c r="AQ2026" s="28">
        <f ca="1">SUM('Banco de Dados'!$AM2026:$AP2026)</f>
        <v>0</v>
      </c>
      <c r="AR2026" s="8"/>
      <c r="AS2026" s="8"/>
      <c r="AT2026"/>
      <c r="AY2026" s="8"/>
    </row>
    <row r="2027" spans="1:51">
      <c r="A2027" s="5" t="str">
        <v>GO</v>
      </c>
      <c r="B2027" s="5" t="str">
        <f ca="1"/>
        <v>GO45854</v>
      </c>
      <c r="C2027" s="8" t="str">
        <v>Pedido 2013</v>
      </c>
      <c r="D2027" s="187">
        <v>45853</v>
      </c>
      <c r="E2027" s="9">
        <v>45854</v>
      </c>
      <c r="F2027" s="2" t="str">
        <v>PedidoF1897</v>
      </c>
      <c r="G2027" s="2" t="str">
        <v>CódRastreio1895</v>
      </c>
      <c r="H2027" s="5">
        <v>1</v>
      </c>
      <c r="I2027" s="182" t="str">
        <v>CPF 1969</v>
      </c>
      <c r="J2027" s="2" t="str">
        <v>Nome 1969</v>
      </c>
      <c r="K2027" s="8" t="str">
        <v>Tel 1969</v>
      </c>
      <c r="L2027" s="8" t="str">
        <v>Cep 1969</v>
      </c>
      <c r="M2027" s="8" t="str">
        <v>Rua 1969</v>
      </c>
      <c r="N2027" s="8" t="str">
        <v>Comp 1969</v>
      </c>
      <c r="O2027" s="8" t="str">
        <v>Brinquedo Bola Giratória voadora</v>
      </c>
      <c r="P2027" s="8" t="str">
        <v>EL-YKJD-0WWL</v>
      </c>
      <c r="Q2027" s="4">
        <v>45874</v>
      </c>
      <c r="R2027" s="109">
        <v>54.99</v>
      </c>
      <c r="S2027" s="11">
        <f ca="1"/>
        <v>54.99</v>
      </c>
      <c r="T2027" s="28">
        <f ca="1"/>
        <v>6.5987999999999998</v>
      </c>
      <c r="U2027" s="11">
        <f ca="1"/>
        <v>48.39</v>
      </c>
      <c r="V2027" s="11">
        <v>44.17</v>
      </c>
      <c r="W2027" s="11">
        <f ca="1"/>
        <v>0</v>
      </c>
      <c r="X2027" s="11">
        <f ca="1"/>
        <v>0.39877104377104378</v>
      </c>
      <c r="Y2027" s="11">
        <v>0</v>
      </c>
      <c r="Z2027" s="11">
        <f ca="1"/>
        <v>3.821228956228957</v>
      </c>
      <c r="AA2027" s="11">
        <f ca="1"/>
        <v>3.821228956228957</v>
      </c>
      <c r="AB2027" s="4">
        <f ca="1"/>
        <v>45881</v>
      </c>
      <c r="AC2027" s="4">
        <v>45881</v>
      </c>
      <c r="AD2027" s="9">
        <v>45887</v>
      </c>
      <c r="AE2027" s="9">
        <v>45888</v>
      </c>
      <c r="AF2027" s="4" t="str">
        <f t="shared" ca="1" si="145"/>
        <v>2025 08</v>
      </c>
      <c r="AG2027" s="8" t="str" cm="1">
        <f t="array" ref="AG2027">IFERROR(_xlfn.IFS('Banco de Dados'!#REF!="AG. COMPRA","Em processamento",'Banco de Dados'!#REF!="AG. RASTREIO","Em processamento",'Banco de Dados'!$AE2027&lt;&gt;"-","Faturado",'Banco de Dados'!$AD2027&lt;&gt;"-","Aguardando Pix",'Banco de Dados'!$AC2027&lt;&gt;"-","Pendente"),"Aguardando Liberação")</f>
        <v>Aguardando Liberação</v>
      </c>
      <c r="AH2027" s="5" t="str">
        <f>IF('Banco de Dados'!$F2027="-",_xlfn.CONCAT(PROPER(TEXT(AK2027,"aaaa"))," ",PROPER(TEXT(AK2027,"mm"))),_xlfn.CONCAT(PROPER(TEXT(E2027,"aaaa"))," ",PROPER(TEXT(E2027,"mm"))))</f>
        <v>2025 07</v>
      </c>
      <c r="AI2027" s="9" t="str">
        <f ca="1">IF('Banco de Dados'!$AK2027&lt;&gt;"-","REEMBOLSO",IFERROR(_xlfn.XLOOKUP(G2027,Follow[CODRASTREIO],Follow[STATUS]),"-"))</f>
        <v>ENTREGUE</v>
      </c>
      <c r="AJ2027" s="9">
        <f ca="1">IF('Banco de Dados'!$AI2027="ENTREGUE",_xlfn.XLOOKUP('Banco de Dados'!$G2027,Follow[CODRASTREIO],Follow[DATAATUALIZAÇÃO]),"-")</f>
        <v>45867</v>
      </c>
      <c r="AK2027" s="132" t="str">
        <f ca="1"/>
        <v>-</v>
      </c>
      <c r="AL2027" s="35"/>
      <c r="AM2027" s="109" cm="1">
        <f t="array" aca="1" ref="AM2027" ca="1">IF('Banco de Dados'!$AK2027&lt;&gt;"-",_xlfn.IFS('Banco de Dados'!$A2027="bv",IF('Banco de Dados'!$E2027&lt;45641,ROUND(SUM('Banco de Dados'!$R2027*_xlfn.XLOOKUP('Banco de Dados'!$P2027,Sku!B:B,Sku!#REF!)*20%),2),ROUND(SUM('Banco de Dados'!$R2027*_xlfn.XLOOKUP('Banco de Dados'!$P2027,Sku!B:B,Sku!H:H)*20%),2)),'Banco de Dados'!$A2027="GO",ROUND(_xlfn.XLOOKUP('Banco de Dados'!$P2027,Sku!C:C,Sku!H:H),2),'Banco de Dados'!$A2027="MEI",ROUND(_xlfn.XLOOKUP('Banco de Dados'!$P2027,Sku!D:D,Sku!H:H),2)),0)</f>
        <v>0</v>
      </c>
      <c r="AN2027" s="109">
        <v>0</v>
      </c>
      <c r="AO2027" s="109">
        <v>0</v>
      </c>
      <c r="AP2027" s="28">
        <f ca="1">IF('Banco de Dados'!$AK2027&lt;&gt;"-",IF('Banco de Dados'!$AL2027="NÃO",IFERROR(VALUE(SUBSTITUTE(_xlfn.TEXTAFTER('Banco de Dados'!$F2027,"BRL ",1),".",",")),0),0),0)</f>
        <v>0</v>
      </c>
      <c r="AQ2027" s="28">
        <f ca="1">SUM('Banco de Dados'!$AM2027:$AP2027)</f>
        <v>0</v>
      </c>
      <c r="AR2027" s="8"/>
      <c r="AS2027" s="8"/>
      <c r="AT2027"/>
      <c r="AY2027" s="8"/>
    </row>
    <row r="2028" spans="1:51">
      <c r="A2028" s="5" t="str">
        <v>GO</v>
      </c>
      <c r="B2028" s="5" t="str">
        <f ca="1"/>
        <v>GO45854</v>
      </c>
      <c r="C2028" s="8" t="str">
        <v>Pedido 2014</v>
      </c>
      <c r="D2028" s="187">
        <v>45854</v>
      </c>
      <c r="E2028" s="9">
        <v>45854</v>
      </c>
      <c r="F2028" s="2" t="str">
        <v>PedidoF1898</v>
      </c>
      <c r="G2028" s="2" t="str">
        <v>CódRastreio1896</v>
      </c>
      <c r="H2028" s="5">
        <v>1</v>
      </c>
      <c r="I2028" s="182" t="str">
        <v>CPF 1970</v>
      </c>
      <c r="J2028" s="2" t="str">
        <v>Nome 1970</v>
      </c>
      <c r="K2028" s="8" t="str">
        <v>Tel 1970</v>
      </c>
      <c r="L2028" s="8" t="str">
        <v>Cep 1970</v>
      </c>
      <c r="M2028" s="8" t="str">
        <v>Rua 1970</v>
      </c>
      <c r="N2028" s="8" t="str">
        <v>Comp 1970</v>
      </c>
      <c r="O2028" s="8" t="str">
        <v>Ventilador Umidificador Preto</v>
      </c>
      <c r="P2028" s="8" t="str">
        <v>K9-YV2I-FO7H</v>
      </c>
      <c r="Q2028" s="4">
        <v>45881</v>
      </c>
      <c r="R2028" s="109">
        <v>54.99</v>
      </c>
      <c r="S2028" s="11">
        <f ca="1"/>
        <v>54.99</v>
      </c>
      <c r="T2028" s="28">
        <f ca="1"/>
        <v>6.0489000000000006</v>
      </c>
      <c r="U2028" s="11">
        <f ca="1"/>
        <v>48.94</v>
      </c>
      <c r="V2028" s="11">
        <v>32.99</v>
      </c>
      <c r="W2028" s="11">
        <f ca="1"/>
        <v>0</v>
      </c>
      <c r="X2028" s="11">
        <f ca="1"/>
        <v>0.39877104377104378</v>
      </c>
      <c r="Y2028" s="11">
        <v>0</v>
      </c>
      <c r="Z2028" s="11">
        <f ca="1"/>
        <v>15.551228956228954</v>
      </c>
      <c r="AA2028" s="11">
        <f ca="1"/>
        <v>15.551228956228954</v>
      </c>
      <c r="AB2028" s="4">
        <f ca="1"/>
        <v>45888</v>
      </c>
      <c r="AC2028" s="4">
        <v>45888</v>
      </c>
      <c r="AD2028" s="9">
        <v>45915</v>
      </c>
      <c r="AE2028" s="9">
        <v>45888</v>
      </c>
      <c r="AF2028" s="4" t="str">
        <f t="shared" ca="1" si="145"/>
        <v>2025 08</v>
      </c>
      <c r="AG2028" s="8" t="str" cm="1">
        <f t="array" ref="AG2028">IFERROR(_xlfn.IFS('Banco de Dados'!#REF!="AG. COMPRA","Em processamento",'Banco de Dados'!#REF!="AG. RASTREIO","Em processamento",'Banco de Dados'!$AE2028&lt;&gt;"-","Faturado",'Banco de Dados'!$AD2028&lt;&gt;"-","Aguardando Pix",'Banco de Dados'!$AC2028&lt;&gt;"-","Pendente"),"Aguardando Liberação")</f>
        <v>Aguardando Liberação</v>
      </c>
      <c r="AH2028" s="5" t="str">
        <f>IF('Banco de Dados'!$F2028="-",_xlfn.CONCAT(PROPER(TEXT(AK2028,"aaaa"))," ",PROPER(TEXT(AK2028,"mm"))),_xlfn.CONCAT(PROPER(TEXT(E2028,"aaaa"))," ",PROPER(TEXT(E2028,"mm"))))</f>
        <v>2025 07</v>
      </c>
      <c r="AI2028" s="9" t="str">
        <f ca="1">IF('Banco de Dados'!$AK2028&lt;&gt;"-","REEMBOLSO",IFERROR(_xlfn.XLOOKUP(G2028,Follow[CODRASTREIO],Follow[STATUS]),"-"))</f>
        <v>ENTREGUE</v>
      </c>
      <c r="AJ2028" s="9">
        <f ca="1">IF('Banco de Dados'!$AI2028="ENTREGUE",_xlfn.XLOOKUP('Banco de Dados'!$G2028,Follow[CODRASTREIO],Follow[DATAATUALIZAÇÃO]),"-")</f>
        <v>45861</v>
      </c>
      <c r="AK2028" s="132" t="str">
        <f ca="1"/>
        <v>-</v>
      </c>
      <c r="AL2028" s="35"/>
      <c r="AM2028" s="109" cm="1">
        <f t="array" aca="1" ref="AM2028" ca="1">IF('Banco de Dados'!$AK2028&lt;&gt;"-",_xlfn.IFS('Banco de Dados'!$A2028="bv",IF('Banco de Dados'!$E2028&lt;45641,ROUND(SUM('Banco de Dados'!$R2028*_xlfn.XLOOKUP('Banco de Dados'!$P2028,Sku!B:B,Sku!#REF!)*20%),2),ROUND(SUM('Banco de Dados'!$R2028*_xlfn.XLOOKUP('Banco de Dados'!$P2028,Sku!B:B,Sku!H:H)*20%),2)),'Banco de Dados'!$A2028="GO",ROUND(_xlfn.XLOOKUP('Banco de Dados'!$P2028,Sku!C:C,Sku!H:H),2),'Banco de Dados'!$A2028="MEI",ROUND(_xlfn.XLOOKUP('Banco de Dados'!$P2028,Sku!D:D,Sku!H:H),2)),0)</f>
        <v>0</v>
      </c>
      <c r="AN2028" s="109">
        <f ca="1">IF('Banco de Dados'!$AK2028&lt;&gt;"-",IF('Banco de Dados'!$F2028&lt;&gt;"-",_xlfn.XLOOKUP(IFERROR(IFERROR(IFERROR(VALUE(SUBSTITUTE(MID(_xlfn.TEXTAFTER('Banco de Dados'!$F2028,"Data do Pedido:
",1),1,10),"-","/")),VALUE(SUBSTITUTE(MID(_xlfn.TEXTAFTER('Banco de Dados'!$F2028,"Order date:
",1),1,10),"-","/"))),VALUE(SUBSTITUTE(MID(_xlfn.TEXTAFTER('Banco de Dados'!$F2028,"Fecha de pedido:
",1),1,10),"-","/"))),"-"),SMS!A:A,SMS!K:K),0),0)</f>
        <v>0</v>
      </c>
      <c r="AO2028" s="109">
        <f ca="1">IF('Banco de Dados'!$AK2028&lt;&gt;"-",IF('Banco de Dados'!$F2028&lt;&gt;"-",IFERROR(_xlfn.XLOOKUP(_xlfn.CONCAT('Banco de Dados'!$A2028,IFERROR(IFERROR(VALUE(SUBSTITUTE(MID(_xlfn.TEXTAFTER('Banco de Dados'!$F2028,"Data do Pedido:
",1),1,10),"-","/")),VALUE(SUBSTITUTE(MID(_xlfn.TEXTAFTER('Banco de Dados'!$F2028,"Order date:
",1),1,10),"-","/"))),0)),ProxyDD[Chave],ProxyDD[Valor por pedido]),PROXY!$P$2),0),0)</f>
        <v>0</v>
      </c>
      <c r="AP2028" s="28">
        <f ca="1">IF('Banco de Dados'!$AK2028&lt;&gt;"-",IF('Banco de Dados'!$AL2028="NÃO",IFERROR(VALUE(SUBSTITUTE(_xlfn.TEXTAFTER('Banco de Dados'!$F2028,"BRL ",1),".",",")),0),0),0)</f>
        <v>0</v>
      </c>
      <c r="AQ2028" s="28">
        <f ca="1">SUM('Banco de Dados'!$AM2028:$AP2028)</f>
        <v>0</v>
      </c>
      <c r="AR2028" s="8"/>
      <c r="AS2028" s="8"/>
      <c r="AT2028"/>
      <c r="AY2028" s="8"/>
    </row>
    <row r="2029" spans="1:51">
      <c r="A2029" s="5" t="str">
        <v>BV</v>
      </c>
      <c r="B2029" s="5" t="str">
        <f ca="1"/>
        <v>BV45859</v>
      </c>
      <c r="C2029" s="8" t="str">
        <v>Pedido 2015</v>
      </c>
      <c r="D2029" s="187">
        <v>45854</v>
      </c>
      <c r="E2029" s="9">
        <v>45859</v>
      </c>
      <c r="F2029" s="2" t="str">
        <v>PedidoF1899</v>
      </c>
      <c r="G2029" s="2" t="str">
        <v>CódRastreio1897</v>
      </c>
      <c r="H2029" s="5">
        <v>1</v>
      </c>
      <c r="I2029" s="182" t="str">
        <v>CPF 1971</v>
      </c>
      <c r="J2029" s="2" t="str">
        <v>Nome 1971</v>
      </c>
      <c r="K2029" s="8" t="str">
        <v>Tel 1971</v>
      </c>
      <c r="L2029" s="8" t="str">
        <v>Cep 1971</v>
      </c>
      <c r="M2029" s="8" t="str">
        <v>Rua 1971</v>
      </c>
      <c r="N2029" s="8" t="str">
        <v>Comp 1971</v>
      </c>
      <c r="O2029" s="8" t="str">
        <v>Bolsa térmica</v>
      </c>
      <c r="P2029" s="8" t="str">
        <v>6I-CK1S-8HYZ</v>
      </c>
      <c r="Q2029" s="4">
        <v>45875</v>
      </c>
      <c r="R2029" s="109">
        <v>29.5</v>
      </c>
      <c r="S2029" s="11">
        <f ca="1"/>
        <v>29.5</v>
      </c>
      <c r="T2029" s="28">
        <f ca="1"/>
        <v>3.54</v>
      </c>
      <c r="U2029" s="11">
        <f ca="1"/>
        <v>25.96</v>
      </c>
      <c r="V2029" s="11">
        <v>22.58</v>
      </c>
      <c r="W2029" s="11">
        <f ca="1"/>
        <v>0</v>
      </c>
      <c r="X2029" s="11">
        <f ca="1"/>
        <v>0.39877104377104378</v>
      </c>
      <c r="Y2029" s="11">
        <v>0</v>
      </c>
      <c r="Z2029" s="11">
        <f ca="1"/>
        <v>2.9812289562289571</v>
      </c>
      <c r="AA2029" s="11">
        <f ca="1"/>
        <v>1.4906144781144786</v>
      </c>
      <c r="AB2029" s="4">
        <f ca="1"/>
        <v>45882</v>
      </c>
      <c r="AC2029" s="4">
        <v>45882</v>
      </c>
      <c r="AD2029" s="9">
        <v>45887</v>
      </c>
      <c r="AE2029" s="9">
        <v>45888</v>
      </c>
      <c r="AF2029" s="4" t="str">
        <f t="shared" ref="AF2029:AF2054" ca="1" si="146">_xlfn.CONCAT(PROPER(TEXT(AB2029,"aaaa"))," ",PROPER(TEXT(AB2029,"mm")))</f>
        <v>2025 08</v>
      </c>
      <c r="AG2029" s="8" t="str" cm="1">
        <f t="array" ref="AG2029">IFERROR(_xlfn.IFS('Banco de Dados'!#REF!="AG. COMPRA","Em processamento",'Banco de Dados'!#REF!="AG. RASTREIO","Em processamento",'Banco de Dados'!$AE2029&lt;&gt;"-","Faturado",'Banco de Dados'!$AD2029&lt;&gt;"-","Aguardando Pix",'Banco de Dados'!$AC2029&lt;&gt;"-","Pendente"),"Aguardando Liberação")</f>
        <v>Aguardando Liberação</v>
      </c>
      <c r="AH2029" s="5" t="str">
        <f>IF('Banco de Dados'!$F2029="-",_xlfn.CONCAT(PROPER(TEXT(AK2029,"aaaa"))," ",PROPER(TEXT(AK2029,"mm"))),_xlfn.CONCAT(PROPER(TEXT(E2029,"aaaa"))," ",PROPER(TEXT(E2029,"mm"))))</f>
        <v>2025 07</v>
      </c>
      <c r="AI2029" s="9" t="str">
        <f ca="1">IF('Banco de Dados'!$AK2029&lt;&gt;"-","REEMBOLSO",IFERROR(_xlfn.XLOOKUP(G2029,Follow[CODRASTREIO],Follow[STATUS]),"-"))</f>
        <v>ENTREGUE</v>
      </c>
      <c r="AJ2029" s="9">
        <f ca="1">IF('Banco de Dados'!$AI2029="ENTREGUE",_xlfn.XLOOKUP('Banco de Dados'!$G2029,Follow[CODRASTREIO],Follow[DATAATUALIZAÇÃO]),"-")</f>
        <v>45864</v>
      </c>
      <c r="AK2029" s="132" t="str">
        <f ca="1"/>
        <v>-</v>
      </c>
      <c r="AL2029" s="35"/>
      <c r="AM2029" s="109" cm="1">
        <f t="array" aca="1" ref="AM2029" ca="1">IF('Banco de Dados'!$AK2029&lt;&gt;"-",_xlfn.IFS('Banco de Dados'!$A2029="bv",IF('Banco de Dados'!$E2029&lt;45641,ROUND(SUM('Banco de Dados'!$R2029*_xlfn.XLOOKUP('Banco de Dados'!$P2029,Sku!B:B,Sku!#REF!)*20%),2),ROUND(SUM('Banco de Dados'!$R2029*_xlfn.XLOOKUP('Banco de Dados'!$P2029,Sku!B:B,Sku!H:H)*20%),2)),'Banco de Dados'!$A2029="GO",ROUND(_xlfn.XLOOKUP('Banco de Dados'!$P2029,Sku!C:C,Sku!H:H),2),'Banco de Dados'!$A2029="MEI",ROUND(_xlfn.XLOOKUP('Banco de Dados'!$P2029,Sku!D:D,Sku!H:H),2)),0)</f>
        <v>0</v>
      </c>
      <c r="AN2029" s="109">
        <v>0</v>
      </c>
      <c r="AO2029" s="109">
        <v>0</v>
      </c>
      <c r="AP2029" s="28">
        <f ca="1">IF('Banco de Dados'!$AK2029&lt;&gt;"-",IF('Banco de Dados'!$AL2029="NÃO",IFERROR(VALUE(SUBSTITUTE(_xlfn.TEXTAFTER('Banco de Dados'!$F2029,"BRL ",1),".",",")),0),0),0)</f>
        <v>0</v>
      </c>
      <c r="AQ2029" s="28">
        <f ca="1">SUM('Banco de Dados'!$AM2029:$AP2029)</f>
        <v>0</v>
      </c>
      <c r="AR2029" s="8"/>
      <c r="AS2029" s="8"/>
      <c r="AT2029"/>
      <c r="AY2029" s="8"/>
    </row>
    <row r="2030" spans="1:51">
      <c r="A2030" s="5" t="str">
        <v>BV</v>
      </c>
      <c r="B2030" s="5" t="str">
        <f ca="1"/>
        <v>BV45859</v>
      </c>
      <c r="C2030" s="8" t="str">
        <v>Pedido 2016</v>
      </c>
      <c r="D2030" s="187">
        <v>45854</v>
      </c>
      <c r="E2030" s="9">
        <v>45859</v>
      </c>
      <c r="F2030" s="2" t="str">
        <v>PedidoF1900</v>
      </c>
      <c r="G2030" s="2" t="str">
        <v>CódRastreio1898</v>
      </c>
      <c r="H2030" s="5">
        <v>1</v>
      </c>
      <c r="I2030" s="182" t="str">
        <v>CPF 1972</v>
      </c>
      <c r="J2030" s="2" t="str">
        <v>Nome 1972</v>
      </c>
      <c r="K2030" s="8" t="str">
        <v>Tel 1972</v>
      </c>
      <c r="L2030" s="8" t="str">
        <v>Cep 1972</v>
      </c>
      <c r="M2030" s="8" t="str">
        <v>Rua 1972</v>
      </c>
      <c r="N2030" s="8" t="str">
        <v>Comp 1972</v>
      </c>
      <c r="O2030" s="8" t="str">
        <v>Bolsa térmica</v>
      </c>
      <c r="P2030" s="8" t="str">
        <v>6I-CK1S-8HYZ</v>
      </c>
      <c r="Q2030" s="4">
        <v>45871</v>
      </c>
      <c r="R2030" s="109">
        <v>29.5</v>
      </c>
      <c r="S2030" s="11">
        <f ca="1"/>
        <v>29.5</v>
      </c>
      <c r="T2030" s="28">
        <f ca="1"/>
        <v>3.54</v>
      </c>
      <c r="U2030" s="11">
        <f ca="1"/>
        <v>25.96</v>
      </c>
      <c r="V2030" s="11">
        <v>22.58</v>
      </c>
      <c r="W2030" s="11">
        <f ca="1"/>
        <v>0</v>
      </c>
      <c r="X2030" s="11">
        <f ca="1"/>
        <v>0.39877104377104378</v>
      </c>
      <c r="Y2030" s="11">
        <v>0</v>
      </c>
      <c r="Z2030" s="11">
        <f ca="1"/>
        <v>2.9812289562289571</v>
      </c>
      <c r="AA2030" s="11">
        <f ca="1"/>
        <v>1.4906144781144786</v>
      </c>
      <c r="AB2030" s="4">
        <f ca="1"/>
        <v>45878</v>
      </c>
      <c r="AC2030" s="4">
        <v>45878</v>
      </c>
      <c r="AD2030" s="9">
        <v>45887</v>
      </c>
      <c r="AE2030" s="9">
        <v>45888</v>
      </c>
      <c r="AF2030" s="4" t="str">
        <f t="shared" ca="1" si="146"/>
        <v>2025 08</v>
      </c>
      <c r="AG2030" s="8" t="str" cm="1">
        <f t="array" ref="AG2030">IFERROR(_xlfn.IFS('Banco de Dados'!#REF!="AG. COMPRA","Em processamento",'Banco de Dados'!#REF!="AG. RASTREIO","Em processamento",'Banco de Dados'!$AE2030&lt;&gt;"-","Faturado",'Banco de Dados'!$AD2030&lt;&gt;"-","Aguardando Pix",'Banco de Dados'!$AC2030&lt;&gt;"-","Pendente"),"Aguardando Liberação")</f>
        <v>Aguardando Liberação</v>
      </c>
      <c r="AH2030" s="5" t="str">
        <f>IF('Banco de Dados'!$F2030="-",_xlfn.CONCAT(PROPER(TEXT(AK2030,"aaaa"))," ",PROPER(TEXT(AK2030,"mm"))),_xlfn.CONCAT(PROPER(TEXT(E2030,"aaaa"))," ",PROPER(TEXT(E2030,"mm"))))</f>
        <v>2025 07</v>
      </c>
      <c r="AI2030" s="9" t="str">
        <f ca="1">IF('Banco de Dados'!$AK2030&lt;&gt;"-","REEMBOLSO",IFERROR(_xlfn.XLOOKUP(G2030,Follow[CODRASTREIO],Follow[STATUS]),"-"))</f>
        <v>ENTREGUE</v>
      </c>
      <c r="AJ2030" s="9">
        <f ca="1">IF('Banco de Dados'!$AI2030="ENTREGUE",_xlfn.XLOOKUP('Banco de Dados'!$G2030,Follow[CODRASTREIO],Follow[DATAATUALIZAÇÃO]),"-")</f>
        <v>45864</v>
      </c>
      <c r="AK2030" s="132" t="str">
        <f ca="1"/>
        <v>-</v>
      </c>
      <c r="AL2030" s="35"/>
      <c r="AM2030" s="109" cm="1">
        <f t="array" aca="1" ref="AM2030" ca="1">IF('Banco de Dados'!$AK2030&lt;&gt;"-",_xlfn.IFS('Banco de Dados'!$A2030="bv",IF('Banco de Dados'!$E2030&lt;45641,ROUND(SUM('Banco de Dados'!$R2030*_xlfn.XLOOKUP('Banco de Dados'!$P2030,Sku!B:B,Sku!#REF!)*20%),2),ROUND(SUM('Banco de Dados'!$R2030*_xlfn.XLOOKUP('Banco de Dados'!$P2030,Sku!B:B,Sku!H:H)*20%),2)),'Banco de Dados'!$A2030="GO",ROUND(_xlfn.XLOOKUP('Banco de Dados'!$P2030,Sku!C:C,Sku!H:H),2),'Banco de Dados'!$A2030="MEI",ROUND(_xlfn.XLOOKUP('Banco de Dados'!$P2030,Sku!D:D,Sku!H:H),2)),0)</f>
        <v>0</v>
      </c>
      <c r="AN2030" s="109">
        <v>0</v>
      </c>
      <c r="AO2030" s="109">
        <v>0</v>
      </c>
      <c r="AP2030" s="28">
        <f ca="1">IF('Banco de Dados'!$AK2030&lt;&gt;"-",IF('Banco de Dados'!$AL2030="NÃO",IFERROR(VALUE(SUBSTITUTE(_xlfn.TEXTAFTER('Banco de Dados'!$F2030,"BRL ",1),".",",")),0),0),0)</f>
        <v>0</v>
      </c>
      <c r="AQ2030" s="28">
        <f ca="1">SUM('Banco de Dados'!$AM2030:$AP2030)</f>
        <v>0</v>
      </c>
      <c r="AR2030" s="8"/>
      <c r="AS2030" s="8"/>
      <c r="AT2030"/>
      <c r="AY2030" s="8"/>
    </row>
    <row r="2031" spans="1:51">
      <c r="A2031" s="5" t="str">
        <v>BV</v>
      </c>
      <c r="B2031" s="5" t="str">
        <f ca="1"/>
        <v>BV45859</v>
      </c>
      <c r="C2031" s="8" t="str">
        <v>Pedido 2017</v>
      </c>
      <c r="D2031" s="187">
        <v>45854</v>
      </c>
      <c r="E2031" s="9">
        <v>45859</v>
      </c>
      <c r="F2031" s="2" t="str">
        <v>PedidoF1901</v>
      </c>
      <c r="G2031" s="2" t="str">
        <v>CódRastreio1899</v>
      </c>
      <c r="H2031" s="5">
        <v>1</v>
      </c>
      <c r="I2031" s="182" t="str">
        <v>CPF 1973</v>
      </c>
      <c r="J2031" s="2" t="str">
        <v>Nome 1973</v>
      </c>
      <c r="K2031" s="8" t="str">
        <v>Tel 1973</v>
      </c>
      <c r="L2031" s="8" t="str">
        <v>Cep 1973</v>
      </c>
      <c r="M2031" s="8" t="str">
        <v>Rua 1973</v>
      </c>
      <c r="N2031" s="8" t="str">
        <v>Comp 1973</v>
      </c>
      <c r="O2031" s="8" t="str">
        <v>Bolsa térmica</v>
      </c>
      <c r="P2031" s="8" t="str">
        <v>6I-CK1S-8HYZ</v>
      </c>
      <c r="Q2031" s="4">
        <v>45869</v>
      </c>
      <c r="R2031" s="109">
        <v>29.5</v>
      </c>
      <c r="S2031" s="11">
        <f ca="1"/>
        <v>29.5</v>
      </c>
      <c r="T2031" s="28">
        <f ca="1"/>
        <v>3.54</v>
      </c>
      <c r="U2031" s="11">
        <f ca="1"/>
        <v>25.96</v>
      </c>
      <c r="V2031" s="11">
        <v>22.58</v>
      </c>
      <c r="W2031" s="11">
        <f ca="1"/>
        <v>0</v>
      </c>
      <c r="X2031" s="11">
        <f ca="1"/>
        <v>0.39877104377104378</v>
      </c>
      <c r="Y2031" s="11">
        <v>0</v>
      </c>
      <c r="Z2031" s="11">
        <f ca="1"/>
        <v>2.9812289562289571</v>
      </c>
      <c r="AA2031" s="11">
        <f ca="1"/>
        <v>1.4906144781144786</v>
      </c>
      <c r="AB2031" s="4">
        <f ca="1"/>
        <v>45876</v>
      </c>
      <c r="AC2031" s="4">
        <v>45876</v>
      </c>
      <c r="AD2031" s="9">
        <v>45887</v>
      </c>
      <c r="AE2031" s="9">
        <v>45888</v>
      </c>
      <c r="AF2031" s="4" t="str">
        <f t="shared" ca="1" si="146"/>
        <v>2025 08</v>
      </c>
      <c r="AG2031" s="8" t="str" cm="1">
        <f t="array" ref="AG2031">IFERROR(_xlfn.IFS('Banco de Dados'!#REF!="AG. COMPRA","Em processamento",'Banco de Dados'!#REF!="AG. RASTREIO","Em processamento",'Banco de Dados'!$AE2031&lt;&gt;"-","Faturado",'Banco de Dados'!$AD2031&lt;&gt;"-","Aguardando Pix",'Banco de Dados'!$AC2031&lt;&gt;"-","Pendente"),"Aguardando Liberação")</f>
        <v>Aguardando Liberação</v>
      </c>
      <c r="AH2031" s="5" t="str">
        <f>IF('Banco de Dados'!$F2031="-",_xlfn.CONCAT(PROPER(TEXT(AK2031,"aaaa"))," ",PROPER(TEXT(AK2031,"mm"))),_xlfn.CONCAT(PROPER(TEXT(E2031,"aaaa"))," ",PROPER(TEXT(E2031,"mm"))))</f>
        <v>2025 07</v>
      </c>
      <c r="AI2031" s="9" t="str">
        <f ca="1">IF('Banco de Dados'!$AK2031&lt;&gt;"-","REEMBOLSO",IFERROR(_xlfn.XLOOKUP(G2031,Follow[CODRASTREIO],Follow[STATUS]),"-"))</f>
        <v>EM TRÂNSITO</v>
      </c>
      <c r="AJ2031" s="9" t="str">
        <f ca="1">IF('Banco de Dados'!$AI2031="ENTREGUE",_xlfn.XLOOKUP('Banco de Dados'!$G2031,Follow[CODRASTREIO],Follow[DATAATUALIZAÇÃO]),"-")</f>
        <v>-</v>
      </c>
      <c r="AK2031" s="132" t="str">
        <f ca="1"/>
        <v>-</v>
      </c>
      <c r="AL2031" s="35"/>
      <c r="AM2031" s="109" cm="1">
        <f t="array" aca="1" ref="AM2031" ca="1">IF('Banco de Dados'!$AK2031&lt;&gt;"-",_xlfn.IFS('Banco de Dados'!$A2031="bv",IF('Banco de Dados'!$E2031&lt;45641,ROUND(SUM('Banco de Dados'!$R2031*_xlfn.XLOOKUP('Banco de Dados'!$P2031,Sku!B:B,Sku!#REF!)*20%),2),ROUND(SUM('Banco de Dados'!$R2031*_xlfn.XLOOKUP('Banco de Dados'!$P2031,Sku!B:B,Sku!H:H)*20%),2)),'Banco de Dados'!$A2031="GO",ROUND(_xlfn.XLOOKUP('Banco de Dados'!$P2031,Sku!C:C,Sku!H:H),2),'Banco de Dados'!$A2031="MEI",ROUND(_xlfn.XLOOKUP('Banco de Dados'!$P2031,Sku!D:D,Sku!H:H),2)),0)</f>
        <v>0</v>
      </c>
      <c r="AN2031" s="109">
        <v>0</v>
      </c>
      <c r="AO2031" s="109">
        <v>0</v>
      </c>
      <c r="AP2031" s="28">
        <f ca="1">IF('Banco de Dados'!$AK2031&lt;&gt;"-",IF('Banco de Dados'!$AL2031="NÃO",IFERROR(VALUE(SUBSTITUTE(_xlfn.TEXTAFTER('Banco de Dados'!$F2031,"BRL ",1),".",",")),0),0),0)</f>
        <v>0</v>
      </c>
      <c r="AQ2031" s="28">
        <f ca="1">SUM('Banco de Dados'!$AM2031:$AP2031)</f>
        <v>0</v>
      </c>
      <c r="AR2031" s="8"/>
      <c r="AS2031" s="8"/>
      <c r="AT2031"/>
      <c r="AY2031" s="8"/>
    </row>
    <row r="2032" spans="1:51">
      <c r="A2032" s="5" t="str">
        <v>BV</v>
      </c>
      <c r="B2032" s="5" t="str">
        <f ca="1"/>
        <v>BV45859</v>
      </c>
      <c r="C2032" s="8" t="str">
        <v>Pedido 2018</v>
      </c>
      <c r="D2032" s="187">
        <v>45854</v>
      </c>
      <c r="E2032" s="9">
        <v>45859</v>
      </c>
      <c r="F2032" s="2" t="str">
        <v>PedidoF1902</v>
      </c>
      <c r="G2032" s="2" t="str">
        <v>CódRastreio1900</v>
      </c>
      <c r="H2032" s="5">
        <v>1</v>
      </c>
      <c r="I2032" s="182" t="str">
        <v>CPF 1974</v>
      </c>
      <c r="J2032" s="2" t="str">
        <v>Nome 1974</v>
      </c>
      <c r="K2032" s="8" t="str">
        <v>Tel 1974</v>
      </c>
      <c r="L2032" s="8" t="str">
        <v>Cep 1974</v>
      </c>
      <c r="M2032" s="8" t="str">
        <v>Rua 1974</v>
      </c>
      <c r="N2032" s="8" t="str">
        <v>Comp 1974</v>
      </c>
      <c r="O2032" s="8" t="str">
        <v>Bolsa térmica</v>
      </c>
      <c r="P2032" s="8" t="str">
        <v>6I-CK1S-8HYZ</v>
      </c>
      <c r="Q2032" s="4">
        <v>45869</v>
      </c>
      <c r="R2032" s="109">
        <v>29.5</v>
      </c>
      <c r="S2032" s="11">
        <f ca="1"/>
        <v>29.5</v>
      </c>
      <c r="T2032" s="28">
        <f ca="1"/>
        <v>3.54</v>
      </c>
      <c r="U2032" s="11">
        <f ca="1"/>
        <v>25.96</v>
      </c>
      <c r="V2032" s="11">
        <v>22.58</v>
      </c>
      <c r="W2032" s="11">
        <f ca="1"/>
        <v>0</v>
      </c>
      <c r="X2032" s="11">
        <f ca="1"/>
        <v>0.39877104377104378</v>
      </c>
      <c r="Y2032" s="11">
        <v>0</v>
      </c>
      <c r="Z2032" s="11">
        <f ca="1"/>
        <v>2.9812289562289571</v>
      </c>
      <c r="AA2032" s="11">
        <f ca="1"/>
        <v>1.4906144781144786</v>
      </c>
      <c r="AB2032" s="4">
        <f ca="1"/>
        <v>45876</v>
      </c>
      <c r="AC2032" s="4">
        <v>45876</v>
      </c>
      <c r="AD2032" s="9">
        <v>45887</v>
      </c>
      <c r="AE2032" s="9">
        <v>45888</v>
      </c>
      <c r="AF2032" s="4" t="str">
        <f t="shared" ca="1" si="146"/>
        <v>2025 08</v>
      </c>
      <c r="AG2032" s="8" t="str" cm="1">
        <f t="array" ref="AG2032">IFERROR(_xlfn.IFS('Banco de Dados'!#REF!="AG. COMPRA","Em processamento",'Banco de Dados'!#REF!="AG. RASTREIO","Em processamento",'Banco de Dados'!$AE2032&lt;&gt;"-","Faturado",'Banco de Dados'!$AD2032&lt;&gt;"-","Aguardando Pix",'Banco de Dados'!$AC2032&lt;&gt;"-","Pendente"),"Aguardando Liberação")</f>
        <v>Aguardando Liberação</v>
      </c>
      <c r="AH2032" s="5" t="str">
        <f>IF('Banco de Dados'!$F2032="-",_xlfn.CONCAT(PROPER(TEXT(AK2032,"aaaa"))," ",PROPER(TEXT(AK2032,"mm"))),_xlfn.CONCAT(PROPER(TEXT(E2032,"aaaa"))," ",PROPER(TEXT(E2032,"mm"))))</f>
        <v>2025 07</v>
      </c>
      <c r="AI2032" s="9" t="str">
        <f ca="1">IF('Banco de Dados'!$AK2032&lt;&gt;"-","REEMBOLSO",IFERROR(_xlfn.XLOOKUP(G2032,Follow[CODRASTREIO],Follow[STATUS]),"-"))</f>
        <v>ENTREGUE</v>
      </c>
      <c r="AJ2032" s="9">
        <f ca="1">IF('Banco de Dados'!$AI2032="ENTREGUE",_xlfn.XLOOKUP('Banco de Dados'!$G2032,Follow[CODRASTREIO],Follow[DATAATUALIZAÇÃO]),"-")</f>
        <v>45863</v>
      </c>
      <c r="AK2032" s="132" t="str">
        <f ca="1"/>
        <v>-</v>
      </c>
      <c r="AL2032" s="35"/>
      <c r="AM2032" s="109" cm="1">
        <f t="array" aca="1" ref="AM2032" ca="1">IF('Banco de Dados'!$AK2032&lt;&gt;"-",_xlfn.IFS('Banco de Dados'!$A2032="bv",IF('Banco de Dados'!$E2032&lt;45641,ROUND(SUM('Banco de Dados'!$R2032*_xlfn.XLOOKUP('Banco de Dados'!$P2032,Sku!B:B,Sku!#REF!)*20%),2),ROUND(SUM('Banco de Dados'!$R2032*_xlfn.XLOOKUP('Banco de Dados'!$P2032,Sku!B:B,Sku!H:H)*20%),2)),'Banco de Dados'!$A2032="GO",ROUND(_xlfn.XLOOKUP('Banco de Dados'!$P2032,Sku!C:C,Sku!H:H),2),'Banco de Dados'!$A2032="MEI",ROUND(_xlfn.XLOOKUP('Banco de Dados'!$P2032,Sku!D:D,Sku!H:H),2)),0)</f>
        <v>0</v>
      </c>
      <c r="AN2032" s="109">
        <v>0</v>
      </c>
      <c r="AO2032" s="109">
        <v>0</v>
      </c>
      <c r="AP2032" s="28">
        <f ca="1">IF('Banco de Dados'!$AK2032&lt;&gt;"-",IF('Banco de Dados'!$AL2032="NÃO",IFERROR(VALUE(SUBSTITUTE(_xlfn.TEXTAFTER('Banco de Dados'!$F2032,"BRL ",1),".",",")),0),0),0)</f>
        <v>0</v>
      </c>
      <c r="AQ2032" s="28">
        <f ca="1">SUM('Banco de Dados'!$AM2032:$AP2032)</f>
        <v>0</v>
      </c>
      <c r="AR2032" s="8"/>
      <c r="AS2032" s="8"/>
      <c r="AT2032"/>
      <c r="AY2032" s="8"/>
    </row>
    <row r="2033" spans="1:51">
      <c r="A2033" s="5" t="str">
        <v>BV</v>
      </c>
      <c r="B2033" s="5" t="str">
        <f ca="1"/>
        <v>BV45860</v>
      </c>
      <c r="C2033" s="8" t="str">
        <v>Pedido 2019</v>
      </c>
      <c r="D2033" s="187">
        <v>45854</v>
      </c>
      <c r="E2033" s="9">
        <v>45860</v>
      </c>
      <c r="F2033" s="2" t="str">
        <v>PedidoF1903</v>
      </c>
      <c r="G2033" s="2" t="str">
        <v>CódRastreio1901</v>
      </c>
      <c r="H2033" s="5">
        <v>1</v>
      </c>
      <c r="I2033" s="182" t="str">
        <v>CPF 1975</v>
      </c>
      <c r="J2033" s="2" t="str">
        <v>Nome 1975</v>
      </c>
      <c r="K2033" s="8" t="str">
        <v>Tel 1975</v>
      </c>
      <c r="L2033" s="8" t="str">
        <v>Cep 1975</v>
      </c>
      <c r="M2033" s="8" t="str">
        <v>Rua 1975</v>
      </c>
      <c r="N2033" s="8" t="str">
        <v>Comp 1975</v>
      </c>
      <c r="O2033" s="8" t="str">
        <v>Brinquedo Bola Giratória voadora</v>
      </c>
      <c r="P2033" s="8" t="str">
        <v>ZV-W7II-K7TO</v>
      </c>
      <c r="Q2033" s="4">
        <v>45875</v>
      </c>
      <c r="R2033" s="109">
        <v>49.99</v>
      </c>
      <c r="S2033" s="11">
        <f ca="1"/>
        <v>49.99</v>
      </c>
      <c r="T2033" s="28">
        <f ca="1"/>
        <v>5.9988000000000001</v>
      </c>
      <c r="U2033" s="11">
        <f ca="1"/>
        <v>43.99</v>
      </c>
      <c r="V2033" s="11">
        <v>39.86</v>
      </c>
      <c r="W2033" s="11">
        <f ca="1"/>
        <v>0</v>
      </c>
      <c r="X2033" s="11">
        <f ca="1"/>
        <v>0.39877104377104378</v>
      </c>
      <c r="Y2033" s="11">
        <v>0</v>
      </c>
      <c r="Z2033" s="11">
        <f ca="1"/>
        <v>3.7312289562289607</v>
      </c>
      <c r="AA2033" s="11">
        <f ca="1"/>
        <v>1.8656144781144803</v>
      </c>
      <c r="AB2033" s="4">
        <f ca="1"/>
        <v>45882</v>
      </c>
      <c r="AC2033" s="4">
        <v>45882</v>
      </c>
      <c r="AD2033" s="9">
        <v>45887</v>
      </c>
      <c r="AE2033" s="9">
        <v>45888</v>
      </c>
      <c r="AF2033" s="4" t="str">
        <f t="shared" ca="1" si="146"/>
        <v>2025 08</v>
      </c>
      <c r="AG2033" s="8" t="str" cm="1">
        <f t="array" ref="AG2033">IFERROR(_xlfn.IFS('Banco de Dados'!#REF!="AG. COMPRA","Em processamento",'Banco de Dados'!#REF!="AG. RASTREIO","Em processamento",'Banco de Dados'!$AE2033&lt;&gt;"-","Faturado",'Banco de Dados'!$AD2033&lt;&gt;"-","Aguardando Pix",'Banco de Dados'!$AC2033&lt;&gt;"-","Pendente"),"Aguardando Liberação")</f>
        <v>Aguardando Liberação</v>
      </c>
      <c r="AH2033" s="5" t="str">
        <f>IF('Banco de Dados'!$F2033="-",_xlfn.CONCAT(PROPER(TEXT(AK2033,"aaaa"))," ",PROPER(TEXT(AK2033,"mm"))),_xlfn.CONCAT(PROPER(TEXT(E2033,"aaaa"))," ",PROPER(TEXT(E2033,"mm"))))</f>
        <v>2025 07</v>
      </c>
      <c r="AI2033" s="9" t="str">
        <f ca="1">IF('Banco de Dados'!$AK2033&lt;&gt;"-","REEMBOLSO",IFERROR(_xlfn.XLOOKUP(G2033,Follow[CODRASTREIO],Follow[STATUS]),"-"))</f>
        <v>ENTREGUE</v>
      </c>
      <c r="AJ2033" s="9">
        <f ca="1">IF('Banco de Dados'!$AI2033="ENTREGUE",_xlfn.XLOOKUP('Banco de Dados'!$G2033,Follow[CODRASTREIO],Follow[DATAATUALIZAÇÃO]),"-")</f>
        <v>45866</v>
      </c>
      <c r="AK2033" s="132" t="str">
        <f ca="1"/>
        <v>-</v>
      </c>
      <c r="AL2033" s="35"/>
      <c r="AM2033" s="109" cm="1">
        <f t="array" aca="1" ref="AM2033" ca="1">IF('Banco de Dados'!$AK2033&lt;&gt;"-",_xlfn.IFS('Banco de Dados'!$A2033="bv",IF('Banco de Dados'!$E2033&lt;45641,ROUND(SUM('Banco de Dados'!$R2033*_xlfn.XLOOKUP('Banco de Dados'!$P2033,Sku!B:B,Sku!#REF!)*20%),2),ROUND(SUM('Banco de Dados'!$R2033*_xlfn.XLOOKUP('Banco de Dados'!$P2033,Sku!B:B,Sku!H:H)*20%),2)),'Banco de Dados'!$A2033="GO",ROUND(_xlfn.XLOOKUP('Banco de Dados'!$P2033,Sku!C:C,Sku!H:H),2),'Banco de Dados'!$A2033="MEI",ROUND(_xlfn.XLOOKUP('Banco de Dados'!$P2033,Sku!D:D,Sku!H:H),2)),0)</f>
        <v>0</v>
      </c>
      <c r="AN2033" s="109">
        <v>0</v>
      </c>
      <c r="AO2033" s="109">
        <v>0</v>
      </c>
      <c r="AP2033" s="28">
        <f ca="1">IF('Banco de Dados'!$AK2033&lt;&gt;"-",IF('Banco de Dados'!$AL2033="NÃO",IFERROR(VALUE(SUBSTITUTE(_xlfn.TEXTAFTER('Banco de Dados'!$F2033,"BRL ",1),".",",")),0),0),0)</f>
        <v>0</v>
      </c>
      <c r="AQ2033" s="28">
        <f ca="1">SUM('Banco de Dados'!$AM2033:$AP2033)</f>
        <v>0</v>
      </c>
      <c r="AR2033" s="8"/>
      <c r="AS2033" s="8"/>
      <c r="AT2033"/>
      <c r="AY2033" s="8"/>
    </row>
    <row r="2034" spans="1:51">
      <c r="A2034" s="5" t="str">
        <v>BV</v>
      </c>
      <c r="B2034" s="5" t="str">
        <f ca="1"/>
        <v>BV45859</v>
      </c>
      <c r="C2034" s="8" t="str">
        <v>Pedido 2020</v>
      </c>
      <c r="D2034" s="187">
        <v>45854</v>
      </c>
      <c r="E2034" s="9">
        <v>45859</v>
      </c>
      <c r="F2034" s="2" t="str">
        <v>PedidoF1904</v>
      </c>
      <c r="G2034" s="2" t="str">
        <v>CódRastreio1902</v>
      </c>
      <c r="H2034" s="5">
        <v>1</v>
      </c>
      <c r="I2034" s="182" t="str">
        <v>CPF 1976</v>
      </c>
      <c r="J2034" s="2" t="str">
        <v>Nome 1976</v>
      </c>
      <c r="K2034" s="8" t="str">
        <v>Tel 1976</v>
      </c>
      <c r="L2034" s="8" t="str">
        <v>Cep 1976</v>
      </c>
      <c r="M2034" s="8" t="str">
        <v>Rua 1976</v>
      </c>
      <c r="N2034" s="8" t="str">
        <v>Comp 1976</v>
      </c>
      <c r="O2034" s="8" t="str">
        <v>Bolsa térmica</v>
      </c>
      <c r="P2034" s="8" t="str">
        <v>6I-CK1S-8HYZ</v>
      </c>
      <c r="Q2034" s="4">
        <v>45875</v>
      </c>
      <c r="R2034" s="109">
        <v>29.5</v>
      </c>
      <c r="S2034" s="11">
        <f ca="1"/>
        <v>29.5</v>
      </c>
      <c r="T2034" s="28">
        <f ca="1"/>
        <v>3.54</v>
      </c>
      <c r="U2034" s="11">
        <f ca="1"/>
        <v>25.96</v>
      </c>
      <c r="V2034" s="11">
        <v>22.58</v>
      </c>
      <c r="W2034" s="11">
        <f ca="1"/>
        <v>0</v>
      </c>
      <c r="X2034" s="11">
        <f ca="1"/>
        <v>0.39877104377104378</v>
      </c>
      <c r="Y2034" s="11">
        <v>0</v>
      </c>
      <c r="Z2034" s="11">
        <f ca="1"/>
        <v>2.9812289562289571</v>
      </c>
      <c r="AA2034" s="11">
        <f ca="1"/>
        <v>1.4906144781144786</v>
      </c>
      <c r="AB2034" s="4">
        <f ca="1"/>
        <v>45882</v>
      </c>
      <c r="AC2034" s="4">
        <v>45882</v>
      </c>
      <c r="AD2034" s="9">
        <v>45887</v>
      </c>
      <c r="AE2034" s="9">
        <v>45888</v>
      </c>
      <c r="AF2034" s="4" t="str">
        <f t="shared" ca="1" si="146"/>
        <v>2025 08</v>
      </c>
      <c r="AG2034" s="8" t="str" cm="1">
        <f t="array" ref="AG2034">IFERROR(_xlfn.IFS('Banco de Dados'!#REF!="AG. COMPRA","Em processamento",'Banco de Dados'!#REF!="AG. RASTREIO","Em processamento",'Banco de Dados'!$AE2034&lt;&gt;"-","Faturado",'Banco de Dados'!$AD2034&lt;&gt;"-","Aguardando Pix",'Banco de Dados'!$AC2034&lt;&gt;"-","Pendente"),"Aguardando Liberação")</f>
        <v>Aguardando Liberação</v>
      </c>
      <c r="AH2034" s="5" t="str">
        <f>IF('Banco de Dados'!$F2034="-",_xlfn.CONCAT(PROPER(TEXT(AK2034,"aaaa"))," ",PROPER(TEXT(AK2034,"mm"))),_xlfn.CONCAT(PROPER(TEXT(E2034,"aaaa"))," ",PROPER(TEXT(E2034,"mm"))))</f>
        <v>2025 07</v>
      </c>
      <c r="AI2034" s="9" t="str">
        <f ca="1">IF('Banco de Dados'!$AK2034&lt;&gt;"-","REEMBOLSO",IFERROR(_xlfn.XLOOKUP(G2034,Follow[CODRASTREIO],Follow[STATUS]),"-"))</f>
        <v>ENTREGUE</v>
      </c>
      <c r="AJ2034" s="9">
        <f ca="1">IF('Banco de Dados'!$AI2034="ENTREGUE",_xlfn.XLOOKUP('Banco de Dados'!$G2034,Follow[CODRASTREIO],Follow[DATAATUALIZAÇÃO]),"-")</f>
        <v>45866</v>
      </c>
      <c r="AK2034" s="132" t="str">
        <f ca="1"/>
        <v>-</v>
      </c>
      <c r="AL2034" s="35"/>
      <c r="AM2034" s="109" cm="1">
        <f t="array" aca="1" ref="AM2034" ca="1">IF('Banco de Dados'!$AK2034&lt;&gt;"-",_xlfn.IFS('Banco de Dados'!$A2034="bv",IF('Banco de Dados'!$E2034&lt;45641,ROUND(SUM('Banco de Dados'!$R2034*_xlfn.XLOOKUP('Banco de Dados'!$P2034,Sku!B:B,Sku!#REF!)*20%),2),ROUND(SUM('Banco de Dados'!$R2034*_xlfn.XLOOKUP('Banco de Dados'!$P2034,Sku!B:B,Sku!H:H)*20%),2)),'Banco de Dados'!$A2034="GO",ROUND(_xlfn.XLOOKUP('Banco de Dados'!$P2034,Sku!C:C,Sku!H:H),2),'Banco de Dados'!$A2034="MEI",ROUND(_xlfn.XLOOKUP('Banco de Dados'!$P2034,Sku!D:D,Sku!H:H),2)),0)</f>
        <v>0</v>
      </c>
      <c r="AN2034" s="109">
        <v>0</v>
      </c>
      <c r="AO2034" s="109">
        <v>0</v>
      </c>
      <c r="AP2034" s="28">
        <f ca="1">IF('Banco de Dados'!$AK2034&lt;&gt;"-",IF('Banco de Dados'!$AL2034="NÃO",IFERROR(VALUE(SUBSTITUTE(_xlfn.TEXTAFTER('Banco de Dados'!$F2034,"BRL ",1),".",",")),0),0),0)</f>
        <v>0</v>
      </c>
      <c r="AQ2034" s="28">
        <f ca="1">SUM('Banco de Dados'!$AM2034:$AP2034)</f>
        <v>0</v>
      </c>
      <c r="AR2034" s="8"/>
      <c r="AS2034" s="8"/>
      <c r="AT2034"/>
      <c r="AY2034" s="8"/>
    </row>
    <row r="2035" spans="1:51">
      <c r="A2035" s="5" t="str">
        <v>BV</v>
      </c>
      <c r="B2035" s="5" t="str">
        <f ca="1"/>
        <v>BV45860</v>
      </c>
      <c r="C2035" s="8" t="str">
        <v>Pedido 2021</v>
      </c>
      <c r="D2035" s="187">
        <v>45854</v>
      </c>
      <c r="E2035" s="9">
        <v>45860</v>
      </c>
      <c r="F2035" s="2" t="str">
        <v>PedidoF1905</v>
      </c>
      <c r="G2035" s="2" t="str">
        <v>CódRastreio1903</v>
      </c>
      <c r="H2035" s="5">
        <v>1</v>
      </c>
      <c r="I2035" s="182" t="str">
        <v>CPF 1977</v>
      </c>
      <c r="J2035" s="2" t="str">
        <v>Nome 1977</v>
      </c>
      <c r="K2035" s="8" t="str">
        <v>Tel 1977</v>
      </c>
      <c r="L2035" s="8" t="str">
        <v>Cep 1977</v>
      </c>
      <c r="M2035" s="8" t="str">
        <v>Rua 1977</v>
      </c>
      <c r="N2035" s="8" t="str">
        <v>Comp 1977</v>
      </c>
      <c r="O2035" s="8" t="str">
        <v>Máquina de cortar cabelo dragão</v>
      </c>
      <c r="P2035" s="8" t="str">
        <v>HG-2FNR-01A9</v>
      </c>
      <c r="Q2035" s="4">
        <v>45871</v>
      </c>
      <c r="R2035" s="109">
        <v>23.9</v>
      </c>
      <c r="S2035" s="11">
        <f ca="1"/>
        <v>23.9</v>
      </c>
      <c r="T2035" s="28">
        <f ca="1"/>
        <v>2.8679999999999999</v>
      </c>
      <c r="U2035" s="11">
        <f ca="1"/>
        <v>21.03</v>
      </c>
      <c r="V2035" s="11">
        <v>15.99</v>
      </c>
      <c r="W2035" s="11">
        <f ca="1"/>
        <v>0</v>
      </c>
      <c r="X2035" s="11">
        <f ca="1"/>
        <v>0.39877104377104378</v>
      </c>
      <c r="Y2035" s="11">
        <v>0</v>
      </c>
      <c r="Z2035" s="11">
        <f ca="1"/>
        <v>4.6412289562289573</v>
      </c>
      <c r="AA2035" s="11">
        <f ca="1"/>
        <v>2.3206144781144786</v>
      </c>
      <c r="AB2035" s="4">
        <f ca="1"/>
        <v>45878</v>
      </c>
      <c r="AC2035" s="4">
        <v>45878</v>
      </c>
      <c r="AD2035" s="9">
        <v>45887</v>
      </c>
      <c r="AE2035" s="9">
        <v>45888</v>
      </c>
      <c r="AF2035" s="4" t="str">
        <f t="shared" ca="1" si="146"/>
        <v>2025 08</v>
      </c>
      <c r="AG2035" s="8" t="str" cm="1">
        <f t="array" ref="AG2035">IFERROR(_xlfn.IFS('Banco de Dados'!#REF!="AG. COMPRA","Em processamento",'Banco de Dados'!#REF!="AG. RASTREIO","Em processamento",'Banco de Dados'!$AE2035&lt;&gt;"-","Faturado",'Banco de Dados'!$AD2035&lt;&gt;"-","Aguardando Pix",'Banco de Dados'!$AC2035&lt;&gt;"-","Pendente"),"Aguardando Liberação")</f>
        <v>Aguardando Liberação</v>
      </c>
      <c r="AH2035" s="5" t="str">
        <f>IF('Banco de Dados'!$F2035="-",_xlfn.CONCAT(PROPER(TEXT(AK2035,"aaaa"))," ",PROPER(TEXT(AK2035,"mm"))),_xlfn.CONCAT(PROPER(TEXT(E2035,"aaaa"))," ",PROPER(TEXT(E2035,"mm"))))</f>
        <v>2025 07</v>
      </c>
      <c r="AI2035" s="9" t="str">
        <f ca="1">IF('Banco de Dados'!$AK2035&lt;&gt;"-","REEMBOLSO",IFERROR(_xlfn.XLOOKUP(G2035,Follow[CODRASTREIO],Follow[STATUS]),"-"))</f>
        <v>ENTREGUE</v>
      </c>
      <c r="AJ2035" s="9">
        <f ca="1">IF('Banco de Dados'!$AI2035="ENTREGUE",_xlfn.XLOOKUP('Banco de Dados'!$G2035,Follow[CODRASTREIO],Follow[DATAATUALIZAÇÃO]),"-")</f>
        <v>45866</v>
      </c>
      <c r="AK2035" s="132" t="str">
        <f ca="1"/>
        <v>-</v>
      </c>
      <c r="AL2035" s="35"/>
      <c r="AM2035" s="109" cm="1">
        <f t="array" aca="1" ref="AM2035" ca="1">IF('Banco de Dados'!$AK2035&lt;&gt;"-",_xlfn.IFS('Banco de Dados'!$A2035="bv",IF('Banco de Dados'!$E2035&lt;45641,ROUND(SUM('Banco de Dados'!$R2035*_xlfn.XLOOKUP('Banco de Dados'!$P2035,Sku!B:B,Sku!#REF!)*20%),2),ROUND(SUM('Banco de Dados'!$R2035*_xlfn.XLOOKUP('Banco de Dados'!$P2035,Sku!B:B,Sku!H:H)*20%),2)),'Banco de Dados'!$A2035="GO",ROUND(_xlfn.XLOOKUP('Banco de Dados'!$P2035,Sku!C:C,Sku!H:H),2),'Banco de Dados'!$A2035="MEI",ROUND(_xlfn.XLOOKUP('Banco de Dados'!$P2035,Sku!D:D,Sku!H:H),2)),0)</f>
        <v>0</v>
      </c>
      <c r="AN2035" s="109">
        <v>0</v>
      </c>
      <c r="AO2035" s="109">
        <v>0</v>
      </c>
      <c r="AP2035" s="28">
        <f ca="1">IF('Banco de Dados'!$AK2035&lt;&gt;"-",IF('Banco de Dados'!$AL2035="NÃO",IFERROR(VALUE(SUBSTITUTE(_xlfn.TEXTAFTER('Banco de Dados'!$F2035,"BRL ",1),".",",")),0),0),0)</f>
        <v>0</v>
      </c>
      <c r="AQ2035" s="28">
        <f ca="1">SUM('Banco de Dados'!$AM2035:$AP2035)</f>
        <v>0</v>
      </c>
      <c r="AR2035" s="8"/>
      <c r="AS2035" s="8"/>
      <c r="AT2035"/>
      <c r="AY2035" s="8"/>
    </row>
    <row r="2036" spans="1:51">
      <c r="A2036" s="5" t="str">
        <v>BV</v>
      </c>
      <c r="B2036" s="5" t="str">
        <f ca="1"/>
        <v>BV45859</v>
      </c>
      <c r="C2036" s="8" t="str">
        <v>Pedido 2022</v>
      </c>
      <c r="D2036" s="187">
        <v>45854</v>
      </c>
      <c r="E2036" s="9">
        <v>45859</v>
      </c>
      <c r="F2036" s="2" t="str">
        <v>PedidoF1906</v>
      </c>
      <c r="G2036" s="2" t="str">
        <v>CódRastreio1904</v>
      </c>
      <c r="H2036" s="5">
        <v>1</v>
      </c>
      <c r="I2036" s="182" t="str">
        <v>CPF 1978</v>
      </c>
      <c r="J2036" s="2" t="str">
        <v>Nome 1978</v>
      </c>
      <c r="K2036" s="8" t="str">
        <v>Tel 1978</v>
      </c>
      <c r="L2036" s="8" t="str">
        <v>Cep 1978</v>
      </c>
      <c r="M2036" s="8" t="str">
        <v>Rua 1978</v>
      </c>
      <c r="N2036" s="8" t="str">
        <v>Comp 1978</v>
      </c>
      <c r="O2036" s="8" t="str">
        <v>Bolsa térmica</v>
      </c>
      <c r="P2036" s="8" t="str">
        <v>6I-CK1S-8HYZ</v>
      </c>
      <c r="Q2036" s="4">
        <v>45869</v>
      </c>
      <c r="R2036" s="109">
        <v>29.5</v>
      </c>
      <c r="S2036" s="11">
        <f ca="1"/>
        <v>29.5</v>
      </c>
      <c r="T2036" s="28">
        <f ca="1"/>
        <v>3.54</v>
      </c>
      <c r="U2036" s="11">
        <f ca="1"/>
        <v>25.96</v>
      </c>
      <c r="V2036" s="11">
        <v>22.58</v>
      </c>
      <c r="W2036" s="11">
        <f ca="1"/>
        <v>0</v>
      </c>
      <c r="X2036" s="11">
        <f ca="1"/>
        <v>0.39877104377104378</v>
      </c>
      <c r="Y2036" s="11">
        <v>0</v>
      </c>
      <c r="Z2036" s="11">
        <f ca="1"/>
        <v>2.9812289562289571</v>
      </c>
      <c r="AA2036" s="11">
        <f ca="1"/>
        <v>1.4906144781144786</v>
      </c>
      <c r="AB2036" s="4">
        <f ca="1"/>
        <v>45876</v>
      </c>
      <c r="AC2036" s="4">
        <v>45876</v>
      </c>
      <c r="AD2036" s="9">
        <v>45887</v>
      </c>
      <c r="AE2036" s="9">
        <v>45888</v>
      </c>
      <c r="AF2036" s="4" t="str">
        <f t="shared" ca="1" si="146"/>
        <v>2025 08</v>
      </c>
      <c r="AG2036" s="8" t="str" cm="1">
        <f t="array" ref="AG2036">IFERROR(_xlfn.IFS('Banco de Dados'!#REF!="AG. COMPRA","Em processamento",'Banco de Dados'!#REF!="AG. RASTREIO","Em processamento",'Banco de Dados'!$AE2036&lt;&gt;"-","Faturado",'Banco de Dados'!$AD2036&lt;&gt;"-","Aguardando Pix",'Banco de Dados'!$AC2036&lt;&gt;"-","Pendente"),"Aguardando Liberação")</f>
        <v>Aguardando Liberação</v>
      </c>
      <c r="AH2036" s="5" t="str">
        <f>IF('Banco de Dados'!$F2036="-",_xlfn.CONCAT(PROPER(TEXT(AK2036,"aaaa"))," ",PROPER(TEXT(AK2036,"mm"))),_xlfn.CONCAT(PROPER(TEXT(E2036,"aaaa"))," ",PROPER(TEXT(E2036,"mm"))))</f>
        <v>2025 07</v>
      </c>
      <c r="AI2036" s="9" t="str">
        <f ca="1">IF('Banco de Dados'!$AK2036&lt;&gt;"-","REEMBOLSO",IFERROR(_xlfn.XLOOKUP(G2036,Follow[CODRASTREIO],Follow[STATUS]),"-"))</f>
        <v>ENTREGUE</v>
      </c>
      <c r="AJ2036" s="9">
        <f ca="1">IF('Banco de Dados'!$AI2036="ENTREGUE",_xlfn.XLOOKUP('Banco de Dados'!$G2036,Follow[CODRASTREIO],Follow[DATAATUALIZAÇÃO]),"-")</f>
        <v>45864</v>
      </c>
      <c r="AK2036" s="132" t="str">
        <f ca="1"/>
        <v>-</v>
      </c>
      <c r="AL2036" s="35"/>
      <c r="AM2036" s="109" cm="1">
        <f t="array" aca="1" ref="AM2036" ca="1">IF('Banco de Dados'!$AK2036&lt;&gt;"-",_xlfn.IFS('Banco de Dados'!$A2036="bv",IF('Banco de Dados'!$E2036&lt;45641,ROUND(SUM('Banco de Dados'!$R2036*_xlfn.XLOOKUP('Banco de Dados'!$P2036,Sku!B:B,Sku!#REF!)*20%),2),ROUND(SUM('Banco de Dados'!$R2036*_xlfn.XLOOKUP('Banco de Dados'!$P2036,Sku!B:B,Sku!H:H)*20%),2)),'Banco de Dados'!$A2036="GO",ROUND(_xlfn.XLOOKUP('Banco de Dados'!$P2036,Sku!C:C,Sku!H:H),2),'Banco de Dados'!$A2036="MEI",ROUND(_xlfn.XLOOKUP('Banco de Dados'!$P2036,Sku!D:D,Sku!H:H),2)),0)</f>
        <v>0</v>
      </c>
      <c r="AN2036" s="109">
        <v>0</v>
      </c>
      <c r="AO2036" s="109">
        <v>0</v>
      </c>
      <c r="AP2036" s="28">
        <f ca="1">IF('Banco de Dados'!$AK2036&lt;&gt;"-",IF('Banco de Dados'!$AL2036="NÃO",IFERROR(VALUE(SUBSTITUTE(_xlfn.TEXTAFTER('Banco de Dados'!$F2036,"BRL ",1),".",",")),0),0),0)</f>
        <v>0</v>
      </c>
      <c r="AQ2036" s="28">
        <f ca="1">SUM('Banco de Dados'!$AM2036:$AP2036)</f>
        <v>0</v>
      </c>
      <c r="AR2036" s="8"/>
      <c r="AS2036" s="8"/>
      <c r="AT2036"/>
      <c r="AY2036" s="8"/>
    </row>
    <row r="2037" spans="1:51">
      <c r="A2037" s="5" t="str">
        <v>BV</v>
      </c>
      <c r="B2037" s="5" t="str">
        <f ca="1"/>
        <v>BV45859</v>
      </c>
      <c r="C2037" s="8" t="str">
        <v>Pedido 2023</v>
      </c>
      <c r="D2037" s="187">
        <v>45854</v>
      </c>
      <c r="E2037" s="9">
        <v>45859</v>
      </c>
      <c r="F2037" s="2" t="str">
        <v>PedidoF1907</v>
      </c>
      <c r="G2037" s="2" t="str">
        <v>CódRastreio1905</v>
      </c>
      <c r="H2037" s="5">
        <v>1</v>
      </c>
      <c r="I2037" s="182" t="str">
        <v>CPF 1979</v>
      </c>
      <c r="J2037" s="2" t="str">
        <v>Nome 1979</v>
      </c>
      <c r="K2037" s="8" t="str">
        <v>Tel 1979</v>
      </c>
      <c r="L2037" s="8" t="str">
        <v>Cep 1979</v>
      </c>
      <c r="M2037" s="8" t="str">
        <v>Rua 1979</v>
      </c>
      <c r="N2037" s="8" t="str">
        <v>Comp 1979</v>
      </c>
      <c r="O2037" s="8" t="str">
        <v>Bolsa térmica</v>
      </c>
      <c r="P2037" s="8" t="str">
        <v>6I-CK1S-8HYZ</v>
      </c>
      <c r="Q2037" s="4">
        <v>45871</v>
      </c>
      <c r="R2037" s="109">
        <v>29.5</v>
      </c>
      <c r="S2037" s="11">
        <f ca="1"/>
        <v>29.5</v>
      </c>
      <c r="T2037" s="28">
        <f ca="1"/>
        <v>3.54</v>
      </c>
      <c r="U2037" s="11">
        <f ca="1"/>
        <v>25.96</v>
      </c>
      <c r="V2037" s="11">
        <v>22.58</v>
      </c>
      <c r="W2037" s="11">
        <f ca="1"/>
        <v>0</v>
      </c>
      <c r="X2037" s="11">
        <f ca="1"/>
        <v>0.39877104377104378</v>
      </c>
      <c r="Y2037" s="11">
        <v>0</v>
      </c>
      <c r="Z2037" s="11">
        <f ca="1"/>
        <v>2.9812289562289571</v>
      </c>
      <c r="AA2037" s="11">
        <f ca="1"/>
        <v>1.4906144781144786</v>
      </c>
      <c r="AB2037" s="4">
        <f ca="1"/>
        <v>45878</v>
      </c>
      <c r="AC2037" s="4">
        <v>45878</v>
      </c>
      <c r="AD2037" s="9">
        <v>45887</v>
      </c>
      <c r="AE2037" s="9">
        <v>45888</v>
      </c>
      <c r="AF2037" s="4" t="str">
        <f t="shared" ca="1" si="146"/>
        <v>2025 08</v>
      </c>
      <c r="AG2037" s="8" t="str" cm="1">
        <f t="array" ref="AG2037">IFERROR(_xlfn.IFS('Banco de Dados'!#REF!="AG. COMPRA","Em processamento",'Banco de Dados'!#REF!="AG. RASTREIO","Em processamento",'Banco de Dados'!$AE2037&lt;&gt;"-","Faturado",'Banco de Dados'!$AD2037&lt;&gt;"-","Aguardando Pix",'Banco de Dados'!$AC2037&lt;&gt;"-","Pendente"),"Aguardando Liberação")</f>
        <v>Aguardando Liberação</v>
      </c>
      <c r="AH2037" s="5" t="str">
        <f>IF('Banco de Dados'!$F2037="-",_xlfn.CONCAT(PROPER(TEXT(AK2037,"aaaa"))," ",PROPER(TEXT(AK2037,"mm"))),_xlfn.CONCAT(PROPER(TEXT(E2037,"aaaa"))," ",PROPER(TEXT(E2037,"mm"))))</f>
        <v>2025 07</v>
      </c>
      <c r="AI2037" s="9" t="str">
        <f ca="1">IF('Banco de Dados'!$AK2037&lt;&gt;"-","REEMBOLSO",IFERROR(_xlfn.XLOOKUP(G2037,Follow[CODRASTREIO],Follow[STATUS]),"-"))</f>
        <v>ENTREGUE</v>
      </c>
      <c r="AJ2037" s="9">
        <f ca="1">IF('Banco de Dados'!$AI2037="ENTREGUE",_xlfn.XLOOKUP('Banco de Dados'!$G2037,Follow[CODRASTREIO],Follow[DATAATUALIZAÇÃO]),"-")</f>
        <v>45864</v>
      </c>
      <c r="AK2037" s="132" t="str">
        <f ca="1"/>
        <v>-</v>
      </c>
      <c r="AL2037" s="35"/>
      <c r="AM2037" s="109" cm="1">
        <f t="array" aca="1" ref="AM2037" ca="1">IF('Banco de Dados'!$AK2037&lt;&gt;"-",_xlfn.IFS('Banco de Dados'!$A2037="bv",IF('Banco de Dados'!$E2037&lt;45641,ROUND(SUM('Banco de Dados'!$R2037*_xlfn.XLOOKUP('Banco de Dados'!$P2037,Sku!B:B,Sku!#REF!)*20%),2),ROUND(SUM('Banco de Dados'!$R2037*_xlfn.XLOOKUP('Banco de Dados'!$P2037,Sku!B:B,Sku!H:H)*20%),2)),'Banco de Dados'!$A2037="GO",ROUND(_xlfn.XLOOKUP('Banco de Dados'!$P2037,Sku!C:C,Sku!H:H),2),'Banco de Dados'!$A2037="MEI",ROUND(_xlfn.XLOOKUP('Banco de Dados'!$P2037,Sku!D:D,Sku!H:H),2)),0)</f>
        <v>0</v>
      </c>
      <c r="AN2037" s="109">
        <v>0</v>
      </c>
      <c r="AO2037" s="109">
        <v>0</v>
      </c>
      <c r="AP2037" s="28">
        <f ca="1">IF('Banco de Dados'!$AK2037&lt;&gt;"-",IF('Banco de Dados'!$AL2037="NÃO",IFERROR(VALUE(SUBSTITUTE(_xlfn.TEXTAFTER('Banco de Dados'!$F2037,"BRL ",1),".",",")),0),0),0)</f>
        <v>0</v>
      </c>
      <c r="AQ2037" s="28">
        <f ca="1">SUM('Banco de Dados'!$AM2037:$AP2037)</f>
        <v>0</v>
      </c>
      <c r="AR2037" s="8"/>
      <c r="AS2037" s="8"/>
      <c r="AT2037"/>
      <c r="AY2037" s="8"/>
    </row>
    <row r="2038" spans="1:51">
      <c r="A2038" s="5" t="str">
        <v>BV</v>
      </c>
      <c r="B2038" s="5" t="str">
        <f ca="1"/>
        <v>BV45859</v>
      </c>
      <c r="C2038" s="8" t="str">
        <v>Pedido 2024</v>
      </c>
      <c r="D2038" s="187">
        <v>45854</v>
      </c>
      <c r="E2038" s="9">
        <v>45859</v>
      </c>
      <c r="F2038" s="2" t="str">
        <v>PedidoF1908</v>
      </c>
      <c r="G2038" s="2" t="str">
        <v>CódRastreio1906</v>
      </c>
      <c r="H2038" s="5">
        <v>2</v>
      </c>
      <c r="I2038" s="182" t="str">
        <v>CPF 1980</v>
      </c>
      <c r="J2038" s="2" t="str">
        <v>Nome 1980</v>
      </c>
      <c r="K2038" s="8" t="str">
        <v>Tel 1980</v>
      </c>
      <c r="L2038" s="8" t="str">
        <v>Cep 1980</v>
      </c>
      <c r="M2038" s="8" t="str">
        <v>Rua 1980</v>
      </c>
      <c r="N2038" s="8" t="str">
        <v>Comp 1980</v>
      </c>
      <c r="O2038" s="8" t="str">
        <v>Bolsa térmica</v>
      </c>
      <c r="P2038" s="8" t="str">
        <v>6I-CK1S-8HYZ</v>
      </c>
      <c r="Q2038" s="4">
        <v>45869</v>
      </c>
      <c r="R2038" s="109">
        <v>59</v>
      </c>
      <c r="S2038" s="11">
        <f ca="1"/>
        <v>59</v>
      </c>
      <c r="T2038" s="28">
        <f ca="1"/>
        <v>7.08</v>
      </c>
      <c r="U2038" s="11">
        <f ca="1"/>
        <v>51.92</v>
      </c>
      <c r="V2038" s="11">
        <v>40.659999999999997</v>
      </c>
      <c r="W2038" s="11">
        <f ca="1"/>
        <v>0</v>
      </c>
      <c r="X2038" s="11">
        <f ca="1"/>
        <v>0.39877104377104378</v>
      </c>
      <c r="Y2038" s="11">
        <v>0</v>
      </c>
      <c r="Z2038" s="11">
        <f ca="1"/>
        <v>10.861228956228963</v>
      </c>
      <c r="AA2038" s="11">
        <f ca="1"/>
        <v>5.4306144781144816</v>
      </c>
      <c r="AB2038" s="4">
        <f ca="1"/>
        <v>45876</v>
      </c>
      <c r="AC2038" s="4">
        <v>45876</v>
      </c>
      <c r="AD2038" s="9">
        <v>45887</v>
      </c>
      <c r="AE2038" s="9">
        <v>45888</v>
      </c>
      <c r="AF2038" s="4" t="str">
        <f t="shared" ca="1" si="146"/>
        <v>2025 08</v>
      </c>
      <c r="AG2038" s="8" t="str" cm="1">
        <f t="array" ref="AG2038">IFERROR(_xlfn.IFS('Banco de Dados'!#REF!="AG. COMPRA","Em processamento",'Banco de Dados'!#REF!="AG. RASTREIO","Em processamento",'Banco de Dados'!$AE2038&lt;&gt;"-","Faturado",'Banco de Dados'!$AD2038&lt;&gt;"-","Aguardando Pix",'Banco de Dados'!$AC2038&lt;&gt;"-","Pendente"),"Aguardando Liberação")</f>
        <v>Aguardando Liberação</v>
      </c>
      <c r="AH2038" s="5" t="str">
        <f>IF('Banco de Dados'!$F2038="-",_xlfn.CONCAT(PROPER(TEXT(AK2038,"aaaa"))," ",PROPER(TEXT(AK2038,"mm"))),_xlfn.CONCAT(PROPER(TEXT(E2038,"aaaa"))," ",PROPER(TEXT(E2038,"mm"))))</f>
        <v>2025 07</v>
      </c>
      <c r="AI2038" s="9" t="str">
        <f ca="1">IF('Banco de Dados'!$AK2038&lt;&gt;"-","REEMBOLSO",IFERROR(_xlfn.XLOOKUP(G2038,Follow[CODRASTREIO],Follow[STATUS]),"-"))</f>
        <v>ENTREGUE</v>
      </c>
      <c r="AJ2038" s="9">
        <f ca="1">IF('Banco de Dados'!$AI2038="ENTREGUE",_xlfn.XLOOKUP('Banco de Dados'!$G2038,Follow[CODRASTREIO],Follow[DATAATUALIZAÇÃO]),"-")</f>
        <v>45863</v>
      </c>
      <c r="AK2038" s="132" t="str">
        <f ca="1"/>
        <v>-</v>
      </c>
      <c r="AL2038" s="35"/>
      <c r="AM2038" s="109" cm="1">
        <f t="array" aca="1" ref="AM2038" ca="1">IF('Banco de Dados'!$AK2038&lt;&gt;"-",_xlfn.IFS('Banco de Dados'!$A2038="bv",IF('Banco de Dados'!$E2038&lt;45641,ROUND(SUM('Banco de Dados'!$R2038*_xlfn.XLOOKUP('Banco de Dados'!$P2038,Sku!B:B,Sku!#REF!)*20%),2),ROUND(SUM('Banco de Dados'!$R2038*_xlfn.XLOOKUP('Banco de Dados'!$P2038,Sku!B:B,Sku!H:H)*20%),2)),'Banco de Dados'!$A2038="GO",ROUND(_xlfn.XLOOKUP('Banco de Dados'!$P2038,Sku!C:C,Sku!H:H),2),'Banco de Dados'!$A2038="MEI",ROUND(_xlfn.XLOOKUP('Banco de Dados'!$P2038,Sku!D:D,Sku!H:H),2)),0)</f>
        <v>0</v>
      </c>
      <c r="AN2038" s="109">
        <v>0</v>
      </c>
      <c r="AO2038" s="109">
        <v>0</v>
      </c>
      <c r="AP2038" s="28">
        <f ca="1">IF('Banco de Dados'!$AK2038&lt;&gt;"-",IF('Banco de Dados'!$AL2038="NÃO",IFERROR(VALUE(SUBSTITUTE(_xlfn.TEXTAFTER('Banco de Dados'!$F2038,"BRL ",1),".",",")),0),0),0)</f>
        <v>0</v>
      </c>
      <c r="AQ2038" s="28">
        <f ca="1">SUM('Banco de Dados'!$AM2038:$AP2038)</f>
        <v>0</v>
      </c>
      <c r="AR2038" s="8"/>
      <c r="AS2038" s="8"/>
      <c r="AT2038"/>
      <c r="AY2038" s="8"/>
    </row>
    <row r="2039" spans="1:51">
      <c r="A2039" s="5" t="str">
        <v>BV</v>
      </c>
      <c r="B2039" s="5" t="str">
        <f ca="1"/>
        <v>BV45860</v>
      </c>
      <c r="C2039" s="8" t="str">
        <v>Pedido 2025</v>
      </c>
      <c r="D2039" s="187">
        <v>45854</v>
      </c>
      <c r="E2039" s="9">
        <v>45860</v>
      </c>
      <c r="F2039" s="2" t="str">
        <v>PedidoF1909</v>
      </c>
      <c r="G2039" s="2" t="str">
        <v>CódRastreio1907</v>
      </c>
      <c r="H2039" s="5">
        <v>1</v>
      </c>
      <c r="I2039" s="182" t="str">
        <v>CPF 1981</v>
      </c>
      <c r="J2039" s="2" t="str">
        <v>Nome 1981</v>
      </c>
      <c r="K2039" s="8" t="str">
        <v>Tel 1981</v>
      </c>
      <c r="L2039" s="8" t="str">
        <v>Cep 1981</v>
      </c>
      <c r="M2039" s="8" t="str">
        <v>Rua 1981</v>
      </c>
      <c r="N2039" s="8" t="str">
        <v>Comp 1981</v>
      </c>
      <c r="O2039" s="8" t="str">
        <v>Máquina de cortar cabelo dragão</v>
      </c>
      <c r="P2039" s="8" t="str">
        <v>HG-2FNR-01A9</v>
      </c>
      <c r="Q2039" s="4">
        <v>45869</v>
      </c>
      <c r="R2039" s="109">
        <v>23.9</v>
      </c>
      <c r="S2039" s="11">
        <f ca="1"/>
        <v>23.9</v>
      </c>
      <c r="T2039" s="28">
        <f ca="1"/>
        <v>2.8679999999999999</v>
      </c>
      <c r="U2039" s="11">
        <f ca="1"/>
        <v>21.03</v>
      </c>
      <c r="V2039" s="11">
        <v>15.99</v>
      </c>
      <c r="W2039" s="11">
        <f ca="1"/>
        <v>0</v>
      </c>
      <c r="X2039" s="11">
        <f ca="1"/>
        <v>0.39877104377104378</v>
      </c>
      <c r="Y2039" s="11">
        <v>0</v>
      </c>
      <c r="Z2039" s="11">
        <f ca="1"/>
        <v>4.6412289562289573</v>
      </c>
      <c r="AA2039" s="11">
        <f ca="1"/>
        <v>2.3206144781144786</v>
      </c>
      <c r="AB2039" s="4">
        <f ca="1"/>
        <v>45876</v>
      </c>
      <c r="AC2039" s="4">
        <v>45876</v>
      </c>
      <c r="AD2039" s="9">
        <v>45887</v>
      </c>
      <c r="AE2039" s="9">
        <v>45888</v>
      </c>
      <c r="AF2039" s="4" t="str">
        <f t="shared" ca="1" si="146"/>
        <v>2025 08</v>
      </c>
      <c r="AG2039" s="8" t="str" cm="1">
        <f t="array" ref="AG2039">IFERROR(_xlfn.IFS('Banco de Dados'!#REF!="AG. COMPRA","Em processamento",'Banco de Dados'!#REF!="AG. RASTREIO","Em processamento",'Banco de Dados'!$AE2039&lt;&gt;"-","Faturado",'Banco de Dados'!$AD2039&lt;&gt;"-","Aguardando Pix",'Banco de Dados'!$AC2039&lt;&gt;"-","Pendente"),"Aguardando Liberação")</f>
        <v>Aguardando Liberação</v>
      </c>
      <c r="AH2039" s="5" t="str">
        <f>IF('Banco de Dados'!$F2039="-",_xlfn.CONCAT(PROPER(TEXT(AK2039,"aaaa"))," ",PROPER(TEXT(AK2039,"mm"))),_xlfn.CONCAT(PROPER(TEXT(E2039,"aaaa"))," ",PROPER(TEXT(E2039,"mm"))))</f>
        <v>2025 07</v>
      </c>
      <c r="AI2039" s="9" t="str">
        <f ca="1">IF('Banco de Dados'!$AK2039&lt;&gt;"-","REEMBOLSO",IFERROR(_xlfn.XLOOKUP(G2039,Follow[CODRASTREIO],Follow[STATUS]),"-"))</f>
        <v>ENTREGUE</v>
      </c>
      <c r="AJ2039" s="9">
        <f ca="1">IF('Banco de Dados'!$AI2039="ENTREGUE",_xlfn.XLOOKUP('Banco de Dados'!$G2039,Follow[CODRASTREIO],Follow[DATAATUALIZAÇÃO]),"-")</f>
        <v>45862</v>
      </c>
      <c r="AK2039" s="132" t="str">
        <f ca="1"/>
        <v>-</v>
      </c>
      <c r="AL2039" s="35"/>
      <c r="AM2039" s="109" cm="1">
        <f t="array" aca="1" ref="AM2039" ca="1">IF('Banco de Dados'!$AK2039&lt;&gt;"-",_xlfn.IFS('Banco de Dados'!$A2039="bv",IF('Banco de Dados'!$E2039&lt;45641,ROUND(SUM('Banco de Dados'!$R2039*_xlfn.XLOOKUP('Banco de Dados'!$P2039,Sku!B:B,Sku!#REF!)*20%),2),ROUND(SUM('Banco de Dados'!$R2039*_xlfn.XLOOKUP('Banco de Dados'!$P2039,Sku!B:B,Sku!H:H)*20%),2)),'Banco de Dados'!$A2039="GO",ROUND(_xlfn.XLOOKUP('Banco de Dados'!$P2039,Sku!C:C,Sku!H:H),2),'Banco de Dados'!$A2039="MEI",ROUND(_xlfn.XLOOKUP('Banco de Dados'!$P2039,Sku!D:D,Sku!H:H),2)),0)</f>
        <v>0</v>
      </c>
      <c r="AN2039" s="109">
        <v>0</v>
      </c>
      <c r="AO2039" s="109">
        <v>0</v>
      </c>
      <c r="AP2039" s="28">
        <f ca="1">IF('Banco de Dados'!$AK2039&lt;&gt;"-",IF('Banco de Dados'!$AL2039="NÃO",IFERROR(VALUE(SUBSTITUTE(_xlfn.TEXTAFTER('Banco de Dados'!$F2039,"BRL ",1),".",",")),0),0),0)</f>
        <v>0</v>
      </c>
      <c r="AQ2039" s="28">
        <f ca="1">SUM('Banco de Dados'!$AM2039:$AP2039)</f>
        <v>0</v>
      </c>
      <c r="AR2039" s="8"/>
      <c r="AS2039" s="8"/>
      <c r="AT2039"/>
      <c r="AY2039" s="8"/>
    </row>
    <row r="2040" spans="1:51">
      <c r="A2040" s="5" t="str">
        <v>BV</v>
      </c>
      <c r="B2040" s="5" t="str">
        <f ca="1"/>
        <v>BV45859</v>
      </c>
      <c r="C2040" s="8" t="str">
        <v>Pedido 2026</v>
      </c>
      <c r="D2040" s="187">
        <v>45854</v>
      </c>
      <c r="E2040" s="9">
        <v>45859</v>
      </c>
      <c r="F2040" s="2" t="str">
        <v>PedidoF1910</v>
      </c>
      <c r="G2040" s="2" t="str">
        <v>CódRastreio1908</v>
      </c>
      <c r="H2040" s="5">
        <v>1</v>
      </c>
      <c r="I2040" s="182" t="str">
        <v>CPF 1982</v>
      </c>
      <c r="J2040" s="2" t="str">
        <v>Nome 1982</v>
      </c>
      <c r="K2040" s="8" t="str">
        <v>Tel 1982</v>
      </c>
      <c r="L2040" s="8" t="str">
        <v>Cep 1982</v>
      </c>
      <c r="M2040" s="8" t="str">
        <v>Rua 1982</v>
      </c>
      <c r="N2040" s="8" t="str">
        <v>Comp 1982</v>
      </c>
      <c r="O2040" s="8" t="str">
        <v>Bolsa térmica</v>
      </c>
      <c r="P2040" s="8" t="str">
        <v>6I-CK1S-8HYZ</v>
      </c>
      <c r="Q2040" s="4">
        <v>45871</v>
      </c>
      <c r="R2040" s="109">
        <v>29.5</v>
      </c>
      <c r="S2040" s="11">
        <f ca="1"/>
        <v>29.5</v>
      </c>
      <c r="T2040" s="28">
        <f ca="1"/>
        <v>3.54</v>
      </c>
      <c r="U2040" s="11">
        <f ca="1"/>
        <v>25.96</v>
      </c>
      <c r="V2040" s="11">
        <v>22.58</v>
      </c>
      <c r="W2040" s="11">
        <f ca="1"/>
        <v>0</v>
      </c>
      <c r="X2040" s="11">
        <f ca="1"/>
        <v>0.39877104377104378</v>
      </c>
      <c r="Y2040" s="11">
        <v>0</v>
      </c>
      <c r="Z2040" s="11">
        <f ca="1"/>
        <v>2.9812289562289571</v>
      </c>
      <c r="AA2040" s="11">
        <f ca="1"/>
        <v>1.4906144781144786</v>
      </c>
      <c r="AB2040" s="4">
        <f ca="1"/>
        <v>45878</v>
      </c>
      <c r="AC2040" s="4">
        <v>45878</v>
      </c>
      <c r="AD2040" s="9">
        <v>45887</v>
      </c>
      <c r="AE2040" s="9">
        <v>45888</v>
      </c>
      <c r="AF2040" s="4" t="str">
        <f t="shared" ca="1" si="146"/>
        <v>2025 08</v>
      </c>
      <c r="AG2040" s="8" t="str" cm="1">
        <f t="array" ref="AG2040">IFERROR(_xlfn.IFS('Banco de Dados'!#REF!="AG. COMPRA","Em processamento",'Banco de Dados'!#REF!="AG. RASTREIO","Em processamento",'Banco de Dados'!$AE2040&lt;&gt;"-","Faturado",'Banco de Dados'!$AD2040&lt;&gt;"-","Aguardando Pix",'Banco de Dados'!$AC2040&lt;&gt;"-","Pendente"),"Aguardando Liberação")</f>
        <v>Aguardando Liberação</v>
      </c>
      <c r="AH2040" s="5" t="str">
        <f>IF('Banco de Dados'!$F2040="-",_xlfn.CONCAT(PROPER(TEXT(AK2040,"aaaa"))," ",PROPER(TEXT(AK2040,"mm"))),_xlfn.CONCAT(PROPER(TEXT(E2040,"aaaa"))," ",PROPER(TEXT(E2040,"mm"))))</f>
        <v>2025 07</v>
      </c>
      <c r="AI2040" s="9" t="str">
        <f ca="1">IF('Banco de Dados'!$AK2040&lt;&gt;"-","REEMBOLSO",IFERROR(_xlfn.XLOOKUP(G2040,Follow[CODRASTREIO],Follow[STATUS]),"-"))</f>
        <v>ENTREGUE</v>
      </c>
      <c r="AJ2040" s="9">
        <f ca="1">IF('Banco de Dados'!$AI2040="ENTREGUE",_xlfn.XLOOKUP('Banco de Dados'!$G2040,Follow[CODRASTREIO],Follow[DATAATUALIZAÇÃO]),"-")</f>
        <v>45864</v>
      </c>
      <c r="AK2040" s="132" t="str">
        <f ca="1"/>
        <v>-</v>
      </c>
      <c r="AL2040" s="35"/>
      <c r="AM2040" s="109" cm="1">
        <f t="array" aca="1" ref="AM2040" ca="1">IF('Banco de Dados'!$AK2040&lt;&gt;"-",_xlfn.IFS('Banco de Dados'!$A2040="bv",IF('Banco de Dados'!$E2040&lt;45641,ROUND(SUM('Banco de Dados'!$R2040*_xlfn.XLOOKUP('Banco de Dados'!$P2040,Sku!B:B,Sku!#REF!)*20%),2),ROUND(SUM('Banco de Dados'!$R2040*_xlfn.XLOOKUP('Banco de Dados'!$P2040,Sku!B:B,Sku!H:H)*20%),2)),'Banco de Dados'!$A2040="GO",ROUND(_xlfn.XLOOKUP('Banco de Dados'!$P2040,Sku!C:C,Sku!H:H),2),'Banco de Dados'!$A2040="MEI",ROUND(_xlfn.XLOOKUP('Banco de Dados'!$P2040,Sku!D:D,Sku!H:H),2)),0)</f>
        <v>0</v>
      </c>
      <c r="AN2040" s="109">
        <v>0</v>
      </c>
      <c r="AO2040" s="109">
        <v>0</v>
      </c>
      <c r="AP2040" s="28">
        <f ca="1">IF('Banco de Dados'!$AK2040&lt;&gt;"-",IF('Banco de Dados'!$AL2040="NÃO",IFERROR(VALUE(SUBSTITUTE(_xlfn.TEXTAFTER('Banco de Dados'!$F2040,"BRL ",1),".",",")),0),0),0)</f>
        <v>0</v>
      </c>
      <c r="AQ2040" s="28">
        <f ca="1">SUM('Banco de Dados'!$AM2040:$AP2040)</f>
        <v>0</v>
      </c>
      <c r="AR2040" s="8"/>
      <c r="AS2040" s="8"/>
      <c r="AT2040"/>
      <c r="AY2040" s="8"/>
    </row>
    <row r="2041" spans="1:51">
      <c r="A2041" s="5" t="str">
        <v>BV</v>
      </c>
      <c r="B2041" s="5" t="str">
        <f ca="1"/>
        <v>BV45859</v>
      </c>
      <c r="C2041" s="8" t="str">
        <v>Pedido 2027</v>
      </c>
      <c r="D2041" s="187">
        <v>45854</v>
      </c>
      <c r="E2041" s="9">
        <v>45859</v>
      </c>
      <c r="F2041" s="2" t="str">
        <v>PedidoF1911</v>
      </c>
      <c r="G2041" s="2" t="str">
        <v>CódRastreio1909</v>
      </c>
      <c r="H2041" s="5">
        <v>1</v>
      </c>
      <c r="I2041" s="182" t="str">
        <v>CPF 1983</v>
      </c>
      <c r="J2041" s="2" t="str">
        <v>Nome 1983</v>
      </c>
      <c r="K2041" s="8" t="str">
        <v>Tel 1983</v>
      </c>
      <c r="L2041" s="184" t="str">
        <v>Cep 1983</v>
      </c>
      <c r="M2041" s="8" t="str">
        <v>Rua 1983</v>
      </c>
      <c r="N2041" s="8" t="str">
        <v>Comp 1983</v>
      </c>
      <c r="O2041" s="8" t="str">
        <v>Bolsa térmica</v>
      </c>
      <c r="P2041" s="8" t="str">
        <v>6I-CK1S-8HYZ</v>
      </c>
      <c r="Q2041" s="4">
        <v>45869</v>
      </c>
      <c r="R2041" s="109">
        <v>29.5</v>
      </c>
      <c r="S2041" s="11">
        <f ca="1"/>
        <v>29.5</v>
      </c>
      <c r="T2041" s="28">
        <f ca="1"/>
        <v>3.54</v>
      </c>
      <c r="U2041" s="11">
        <f ca="1"/>
        <v>25.96</v>
      </c>
      <c r="V2041" s="11">
        <v>22.58</v>
      </c>
      <c r="W2041" s="11">
        <f ca="1"/>
        <v>0</v>
      </c>
      <c r="X2041" s="11">
        <f ca="1"/>
        <v>0.39877104377104378</v>
      </c>
      <c r="Y2041" s="11">
        <v>0</v>
      </c>
      <c r="Z2041" s="11">
        <f ca="1"/>
        <v>2.9812289562289571</v>
      </c>
      <c r="AA2041" s="11">
        <f ca="1"/>
        <v>1.4906144781144786</v>
      </c>
      <c r="AB2041" s="4">
        <f ca="1"/>
        <v>45876</v>
      </c>
      <c r="AC2041" s="4">
        <v>45876</v>
      </c>
      <c r="AD2041" s="9">
        <v>45887</v>
      </c>
      <c r="AE2041" s="9">
        <v>45888</v>
      </c>
      <c r="AF2041" s="4" t="str">
        <f t="shared" ca="1" si="146"/>
        <v>2025 08</v>
      </c>
      <c r="AG2041" s="8" t="str" cm="1">
        <f t="array" ref="AG2041">IFERROR(_xlfn.IFS('Banco de Dados'!#REF!="AG. COMPRA","Em processamento",'Banco de Dados'!#REF!="AG. RASTREIO","Em processamento",'Banco de Dados'!$AE2041&lt;&gt;"-","Faturado",'Banco de Dados'!$AD2041&lt;&gt;"-","Aguardando Pix",'Banco de Dados'!$AC2041&lt;&gt;"-","Pendente"),"Aguardando Liberação")</f>
        <v>Aguardando Liberação</v>
      </c>
      <c r="AH2041" s="5" t="str">
        <f>IF('Banco de Dados'!$F2041="-",_xlfn.CONCAT(PROPER(TEXT(AK2041,"aaaa"))," ",PROPER(TEXT(AK2041,"mm"))),_xlfn.CONCAT(PROPER(TEXT(E2041,"aaaa"))," ",PROPER(TEXT(E2041,"mm"))))</f>
        <v>2025 07</v>
      </c>
      <c r="AI2041" s="9" t="str">
        <f ca="1">IF('Banco de Dados'!$AK2041&lt;&gt;"-","REEMBOLSO",IFERROR(_xlfn.XLOOKUP(G2041,Follow[CODRASTREIO],Follow[STATUS]),"-"))</f>
        <v>ENTREGUE</v>
      </c>
      <c r="AJ2041" s="9">
        <f ca="1">IF('Banco de Dados'!$AI2041="ENTREGUE",_xlfn.XLOOKUP('Banco de Dados'!$G2041,Follow[CODRASTREIO],Follow[DATAATUALIZAÇÃO]),"-")</f>
        <v>45863</v>
      </c>
      <c r="AK2041" s="132" t="str">
        <f ca="1"/>
        <v>-</v>
      </c>
      <c r="AL2041" s="35"/>
      <c r="AM2041" s="109" cm="1">
        <f t="array" aca="1" ref="AM2041" ca="1">IF('Banco de Dados'!$AK2041&lt;&gt;"-",_xlfn.IFS('Banco de Dados'!$A2041="bv",IF('Banco de Dados'!$E2041&lt;45641,ROUND(SUM('Banco de Dados'!$R2041*_xlfn.XLOOKUP('Banco de Dados'!$P2041,Sku!B:B,Sku!#REF!)*20%),2),ROUND(SUM('Banco de Dados'!$R2041*_xlfn.XLOOKUP('Banco de Dados'!$P2041,Sku!B:B,Sku!H:H)*20%),2)),'Banco de Dados'!$A2041="GO",ROUND(_xlfn.XLOOKUP('Banco de Dados'!$P2041,Sku!C:C,Sku!H:H),2),'Banco de Dados'!$A2041="MEI",ROUND(_xlfn.XLOOKUP('Banco de Dados'!$P2041,Sku!D:D,Sku!H:H),2)),0)</f>
        <v>0</v>
      </c>
      <c r="AN2041" s="109">
        <v>0</v>
      </c>
      <c r="AO2041" s="109">
        <v>0</v>
      </c>
      <c r="AP2041" s="28">
        <f ca="1">IF('Banco de Dados'!$AK2041&lt;&gt;"-",IF('Banco de Dados'!$AL2041="NÃO",IFERROR(VALUE(SUBSTITUTE(_xlfn.TEXTAFTER('Banco de Dados'!$F2041,"BRL ",1),".",",")),0),0),0)</f>
        <v>0</v>
      </c>
      <c r="AQ2041" s="28">
        <f ca="1">SUM('Banco de Dados'!$AM2041:$AP2041)</f>
        <v>0</v>
      </c>
      <c r="AR2041" s="8"/>
      <c r="AS2041" s="8"/>
      <c r="AT2041"/>
      <c r="AY2041" s="8"/>
    </row>
    <row r="2042" spans="1:51">
      <c r="A2042" s="5" t="str">
        <v>BV</v>
      </c>
      <c r="B2042" s="5" t="str">
        <f ca="1"/>
        <v>BV45859</v>
      </c>
      <c r="C2042" s="8" t="str">
        <v>Pedido 2028</v>
      </c>
      <c r="D2042" s="187">
        <v>45854</v>
      </c>
      <c r="E2042" s="9">
        <v>45859</v>
      </c>
      <c r="F2042" s="2" t="str">
        <v>PedidoF1912</v>
      </c>
      <c r="G2042" s="2" t="str">
        <v>CódRastreio1910</v>
      </c>
      <c r="H2042" s="5">
        <v>1</v>
      </c>
      <c r="I2042" s="182" t="str">
        <v>CPF 1984</v>
      </c>
      <c r="J2042" s="2" t="str">
        <v>Nome 1984</v>
      </c>
      <c r="K2042" s="8" t="str">
        <v>Tel 1984</v>
      </c>
      <c r="L2042" s="8" t="str">
        <v>Cep 1984</v>
      </c>
      <c r="M2042" s="8" t="str">
        <v>Rua 1984</v>
      </c>
      <c r="N2042" s="8" t="str">
        <v>Comp 1984</v>
      </c>
      <c r="O2042" s="8" t="str">
        <v>Bolsa térmica</v>
      </c>
      <c r="P2042" s="8" t="str">
        <v>6I-CK1S-8HYZ</v>
      </c>
      <c r="Q2042" s="4">
        <v>45869</v>
      </c>
      <c r="R2042" s="109">
        <v>29.5</v>
      </c>
      <c r="S2042" s="11">
        <f ca="1"/>
        <v>29.5</v>
      </c>
      <c r="T2042" s="28">
        <f ca="1"/>
        <v>3.54</v>
      </c>
      <c r="U2042" s="11">
        <f ca="1"/>
        <v>25.96</v>
      </c>
      <c r="V2042" s="11">
        <v>22.58</v>
      </c>
      <c r="W2042" s="11">
        <f ca="1"/>
        <v>0</v>
      </c>
      <c r="X2042" s="11">
        <f ca="1"/>
        <v>0.39877104377104378</v>
      </c>
      <c r="Y2042" s="11">
        <v>0</v>
      </c>
      <c r="Z2042" s="11">
        <f ca="1"/>
        <v>2.9812289562289571</v>
      </c>
      <c r="AA2042" s="11">
        <f ca="1"/>
        <v>1.4906144781144786</v>
      </c>
      <c r="AB2042" s="4">
        <f ca="1"/>
        <v>45876</v>
      </c>
      <c r="AC2042" s="4">
        <v>45876</v>
      </c>
      <c r="AD2042" s="9">
        <v>45887</v>
      </c>
      <c r="AE2042" s="9">
        <v>45888</v>
      </c>
      <c r="AF2042" s="4" t="str">
        <f t="shared" ca="1" si="146"/>
        <v>2025 08</v>
      </c>
      <c r="AG2042" s="8" t="str" cm="1">
        <f t="array" ref="AG2042">IFERROR(_xlfn.IFS('Banco de Dados'!#REF!="AG. COMPRA","Em processamento",'Banco de Dados'!#REF!="AG. RASTREIO","Em processamento",'Banco de Dados'!$AE2042&lt;&gt;"-","Faturado",'Banco de Dados'!$AD2042&lt;&gt;"-","Aguardando Pix",'Banco de Dados'!$AC2042&lt;&gt;"-","Pendente"),"Aguardando Liberação")</f>
        <v>Aguardando Liberação</v>
      </c>
      <c r="AH2042" s="5" t="str">
        <f>IF('Banco de Dados'!$F2042="-",_xlfn.CONCAT(PROPER(TEXT(AK2042,"aaaa"))," ",PROPER(TEXT(AK2042,"mm"))),_xlfn.CONCAT(PROPER(TEXT(E2042,"aaaa"))," ",PROPER(TEXT(E2042,"mm"))))</f>
        <v>2025 07</v>
      </c>
      <c r="AI2042" s="9" t="str">
        <f ca="1">IF('Banco de Dados'!$AK2042&lt;&gt;"-","REEMBOLSO",IFERROR(_xlfn.XLOOKUP(G2042,Follow[CODRASTREIO],Follow[STATUS]),"-"))</f>
        <v>ENTREGUE</v>
      </c>
      <c r="AJ2042" s="9">
        <f ca="1">IF('Banco de Dados'!$AI2042="ENTREGUE",_xlfn.XLOOKUP('Banco de Dados'!$G2042,Follow[CODRASTREIO],Follow[DATAATUALIZAÇÃO]),"-")</f>
        <v>45863</v>
      </c>
      <c r="AK2042" s="132" t="str">
        <f ca="1"/>
        <v>-</v>
      </c>
      <c r="AL2042" s="35"/>
      <c r="AM2042" s="109" cm="1">
        <f t="array" aca="1" ref="AM2042" ca="1">IF('Banco de Dados'!$AK2042&lt;&gt;"-",_xlfn.IFS('Banco de Dados'!$A2042="bv",IF('Banco de Dados'!$E2042&lt;45641,ROUND(SUM('Banco de Dados'!$R2042*_xlfn.XLOOKUP('Banco de Dados'!$P2042,Sku!B:B,Sku!#REF!)*20%),2),ROUND(SUM('Banco de Dados'!$R2042*_xlfn.XLOOKUP('Banco de Dados'!$P2042,Sku!B:B,Sku!H:H)*20%),2)),'Banco de Dados'!$A2042="GO",ROUND(_xlfn.XLOOKUP('Banco de Dados'!$P2042,Sku!C:C,Sku!H:H),2),'Banco de Dados'!$A2042="MEI",ROUND(_xlfn.XLOOKUP('Banco de Dados'!$P2042,Sku!D:D,Sku!H:H),2)),0)</f>
        <v>0</v>
      </c>
      <c r="AN2042" s="109">
        <v>0</v>
      </c>
      <c r="AO2042" s="109">
        <v>0</v>
      </c>
      <c r="AP2042" s="28">
        <f ca="1">IF('Banco de Dados'!$AK2042&lt;&gt;"-",IF('Banco de Dados'!$AL2042="NÃO",IFERROR(VALUE(SUBSTITUTE(_xlfn.TEXTAFTER('Banco de Dados'!$F2042,"BRL ",1),".",",")),0),0),0)</f>
        <v>0</v>
      </c>
      <c r="AQ2042" s="28">
        <f ca="1">SUM('Banco de Dados'!$AM2042:$AP2042)</f>
        <v>0</v>
      </c>
      <c r="AR2042" s="8"/>
      <c r="AS2042" s="8"/>
      <c r="AT2042"/>
      <c r="AY2042" s="8"/>
    </row>
    <row r="2043" spans="1:51">
      <c r="A2043" s="5" t="str">
        <v>BV</v>
      </c>
      <c r="B2043" s="5" t="str">
        <f ca="1"/>
        <v>BV45860</v>
      </c>
      <c r="C2043" s="8" t="str">
        <v>Pedido 2029</v>
      </c>
      <c r="D2043" s="187">
        <v>45854</v>
      </c>
      <c r="E2043" s="9">
        <v>45860</v>
      </c>
      <c r="F2043" s="2" t="str">
        <v>PedidoF1913</v>
      </c>
      <c r="G2043" s="2" t="str">
        <v>CódRastreio1911</v>
      </c>
      <c r="H2043" s="5">
        <v>1</v>
      </c>
      <c r="I2043" s="182" t="str">
        <v>CPF 1985</v>
      </c>
      <c r="J2043" s="2" t="str">
        <v>Nome 1985</v>
      </c>
      <c r="K2043" s="8" t="str">
        <v>Tel 1985</v>
      </c>
      <c r="L2043" s="8" t="str">
        <v>Cep 1985</v>
      </c>
      <c r="M2043" s="8" t="str">
        <v>Rua 1985</v>
      </c>
      <c r="N2043" s="8" t="str">
        <v>Comp 1985</v>
      </c>
      <c r="O2043" s="8" t="str">
        <v>Bolsa térmica</v>
      </c>
      <c r="P2043" s="8" t="str">
        <v>6I-CK1S-8HYZ</v>
      </c>
      <c r="Q2043" s="4">
        <v>45875</v>
      </c>
      <c r="R2043" s="109">
        <v>29.5</v>
      </c>
      <c r="S2043" s="11">
        <f ca="1"/>
        <v>29.5</v>
      </c>
      <c r="T2043" s="28">
        <f ca="1"/>
        <v>3.54</v>
      </c>
      <c r="U2043" s="11">
        <f ca="1"/>
        <v>25.96</v>
      </c>
      <c r="V2043" s="11">
        <v>22.58</v>
      </c>
      <c r="W2043" s="11">
        <f ca="1"/>
        <v>0</v>
      </c>
      <c r="X2043" s="11">
        <f ca="1"/>
        <v>0.39877104377104378</v>
      </c>
      <c r="Y2043" s="11">
        <v>0</v>
      </c>
      <c r="Z2043" s="11">
        <f ca="1"/>
        <v>2.9812289562289571</v>
      </c>
      <c r="AA2043" s="11">
        <f ca="1"/>
        <v>1.4906144781144786</v>
      </c>
      <c r="AB2043" s="4">
        <f ca="1"/>
        <v>45882</v>
      </c>
      <c r="AC2043" s="4">
        <v>45882</v>
      </c>
      <c r="AD2043" s="9">
        <v>45887</v>
      </c>
      <c r="AE2043" s="9">
        <v>45888</v>
      </c>
      <c r="AF2043" s="4" t="str">
        <f t="shared" ca="1" si="146"/>
        <v>2025 08</v>
      </c>
      <c r="AG2043" s="8" t="str" cm="1">
        <f t="array" ref="AG2043">IFERROR(_xlfn.IFS('Banco de Dados'!#REF!="AG. COMPRA","Em processamento",'Banco de Dados'!#REF!="AG. RASTREIO","Em processamento",'Banco de Dados'!$AE2043&lt;&gt;"-","Faturado",'Banco de Dados'!$AD2043&lt;&gt;"-","Aguardando Pix",'Banco de Dados'!$AC2043&lt;&gt;"-","Pendente"),"Aguardando Liberação")</f>
        <v>Aguardando Liberação</v>
      </c>
      <c r="AH2043" s="5" t="str">
        <f>IF('Banco de Dados'!$F2043="-",_xlfn.CONCAT(PROPER(TEXT(AK2043,"aaaa"))," ",PROPER(TEXT(AK2043,"mm"))),_xlfn.CONCAT(PROPER(TEXT(E2043,"aaaa"))," ",PROPER(TEXT(E2043,"mm"))))</f>
        <v>2025 07</v>
      </c>
      <c r="AI2043" s="9" t="str">
        <f ca="1">IF('Banco de Dados'!$AK2043&lt;&gt;"-","REEMBOLSO",IFERROR(_xlfn.XLOOKUP(G2043,Follow[CODRASTREIO],Follow[STATUS]),"-"))</f>
        <v>ENTREGUE</v>
      </c>
      <c r="AJ2043" s="9">
        <f ca="1">IF('Banco de Dados'!$AI2043="ENTREGUE",_xlfn.XLOOKUP('Banco de Dados'!$G2043,Follow[CODRASTREIO],Follow[DATAATUALIZAÇÃO]),"-")</f>
        <v>45864</v>
      </c>
      <c r="AK2043" s="132" t="str">
        <f ca="1"/>
        <v>-</v>
      </c>
      <c r="AL2043" s="35"/>
      <c r="AM2043" s="109" cm="1">
        <f t="array" aca="1" ref="AM2043" ca="1">IF('Banco de Dados'!$AK2043&lt;&gt;"-",_xlfn.IFS('Banco de Dados'!$A2043="bv",IF('Banco de Dados'!$E2043&lt;45641,ROUND(SUM('Banco de Dados'!$R2043*_xlfn.XLOOKUP('Banco de Dados'!$P2043,Sku!B:B,Sku!#REF!)*20%),2),ROUND(SUM('Banco de Dados'!$R2043*_xlfn.XLOOKUP('Banco de Dados'!$P2043,Sku!B:B,Sku!H:H)*20%),2)),'Banco de Dados'!$A2043="GO",ROUND(_xlfn.XLOOKUP('Banco de Dados'!$P2043,Sku!C:C,Sku!H:H),2),'Banco de Dados'!$A2043="MEI",ROUND(_xlfn.XLOOKUP('Banco de Dados'!$P2043,Sku!D:D,Sku!H:H),2)),0)</f>
        <v>0</v>
      </c>
      <c r="AN2043" s="109">
        <v>0</v>
      </c>
      <c r="AO2043" s="109">
        <v>0</v>
      </c>
      <c r="AP2043" s="28">
        <f ca="1">IF('Banco de Dados'!$AK2043&lt;&gt;"-",IF('Banco de Dados'!$AL2043="NÃO",IFERROR(VALUE(SUBSTITUTE(_xlfn.TEXTAFTER('Banco de Dados'!$F2043,"BRL ",1),".",",")),0),0),0)</f>
        <v>0</v>
      </c>
      <c r="AQ2043" s="28">
        <f ca="1">SUM('Banco de Dados'!$AM2043:$AP2043)</f>
        <v>0</v>
      </c>
      <c r="AR2043" s="8"/>
      <c r="AS2043" s="8"/>
      <c r="AT2043"/>
      <c r="AY2043" s="8"/>
    </row>
    <row r="2044" spans="1:51">
      <c r="A2044" s="5" t="str">
        <v>BV</v>
      </c>
      <c r="B2044" s="5" t="str">
        <f ca="1"/>
        <v>BV45860</v>
      </c>
      <c r="C2044" s="8" t="str">
        <v>Pedido 2030</v>
      </c>
      <c r="D2044" s="187">
        <v>45854</v>
      </c>
      <c r="E2044" s="9">
        <v>45860</v>
      </c>
      <c r="F2044" s="2" t="str">
        <v>PedidoF1914</v>
      </c>
      <c r="G2044" s="2" t="str">
        <v>CódRastreio1912</v>
      </c>
      <c r="H2044" s="5">
        <v>1</v>
      </c>
      <c r="I2044" s="182" t="str">
        <v>CPF 1986</v>
      </c>
      <c r="J2044" s="2" t="str">
        <v>Nome 1986</v>
      </c>
      <c r="K2044" s="8" t="str">
        <v>Tel 1986</v>
      </c>
      <c r="L2044" s="8" t="str">
        <v>Cep 1986</v>
      </c>
      <c r="M2044" s="8" t="str">
        <v>Rua 1986</v>
      </c>
      <c r="N2044" s="8" t="str">
        <v>Comp 1986</v>
      </c>
      <c r="O2044" s="8" t="str">
        <v>Bolsa térmica</v>
      </c>
      <c r="P2044" s="8" t="str">
        <v>6I-CK1S-8HYZ</v>
      </c>
      <c r="Q2044" s="4">
        <v>45869</v>
      </c>
      <c r="R2044" s="109">
        <v>29.5</v>
      </c>
      <c r="S2044" s="11">
        <f ca="1"/>
        <v>29.5</v>
      </c>
      <c r="T2044" s="28">
        <f ca="1"/>
        <v>3.54</v>
      </c>
      <c r="U2044" s="11">
        <f ca="1"/>
        <v>25.96</v>
      </c>
      <c r="V2044" s="11">
        <v>22.58</v>
      </c>
      <c r="W2044" s="11">
        <f ca="1"/>
        <v>0</v>
      </c>
      <c r="X2044" s="11">
        <f ca="1"/>
        <v>0.39877104377104378</v>
      </c>
      <c r="Y2044" s="11">
        <v>0</v>
      </c>
      <c r="Z2044" s="11">
        <f ca="1"/>
        <v>2.9812289562289571</v>
      </c>
      <c r="AA2044" s="11">
        <f ca="1"/>
        <v>1.4906144781144786</v>
      </c>
      <c r="AB2044" s="4">
        <f ca="1"/>
        <v>45876</v>
      </c>
      <c r="AC2044" s="4">
        <v>45876</v>
      </c>
      <c r="AD2044" s="9">
        <v>45887</v>
      </c>
      <c r="AE2044" s="9">
        <v>45888</v>
      </c>
      <c r="AF2044" s="4" t="str">
        <f t="shared" ca="1" si="146"/>
        <v>2025 08</v>
      </c>
      <c r="AG2044" s="8" t="str" cm="1">
        <f t="array" ref="AG2044">IFERROR(_xlfn.IFS('Banco de Dados'!#REF!="AG. COMPRA","Em processamento",'Banco de Dados'!#REF!="AG. RASTREIO","Em processamento",'Banco de Dados'!$AE2044&lt;&gt;"-","Faturado",'Banco de Dados'!$AD2044&lt;&gt;"-","Aguardando Pix",'Banco de Dados'!$AC2044&lt;&gt;"-","Pendente"),"Aguardando Liberação")</f>
        <v>Aguardando Liberação</v>
      </c>
      <c r="AH2044" s="5" t="str">
        <f>IF('Banco de Dados'!$F2044="-",_xlfn.CONCAT(PROPER(TEXT(AK2044,"aaaa"))," ",PROPER(TEXT(AK2044,"mm"))),_xlfn.CONCAT(PROPER(TEXT(E2044,"aaaa"))," ",PROPER(TEXT(E2044,"mm"))))</f>
        <v>2025 07</v>
      </c>
      <c r="AI2044" s="9" t="str">
        <f ca="1">IF('Banco de Dados'!$AK2044&lt;&gt;"-","REEMBOLSO",IFERROR(_xlfn.XLOOKUP(G2044,Follow[CODRASTREIO],Follow[STATUS]),"-"))</f>
        <v>ENTREGUE</v>
      </c>
      <c r="AJ2044" s="9">
        <f ca="1">IF('Banco de Dados'!$AI2044="ENTREGUE",_xlfn.XLOOKUP('Banco de Dados'!$G2044,Follow[CODRASTREIO],Follow[DATAATUALIZAÇÃO]),"-")</f>
        <v>45864</v>
      </c>
      <c r="AK2044" s="132" t="str">
        <f ca="1"/>
        <v>-</v>
      </c>
      <c r="AL2044" s="35"/>
      <c r="AM2044" s="109" cm="1">
        <f t="array" aca="1" ref="AM2044" ca="1">IF('Banco de Dados'!$AK2044&lt;&gt;"-",_xlfn.IFS('Banco de Dados'!$A2044="bv",IF('Banco de Dados'!$E2044&lt;45641,ROUND(SUM('Banco de Dados'!$R2044*_xlfn.XLOOKUP('Banco de Dados'!$P2044,Sku!B:B,Sku!#REF!)*20%),2),ROUND(SUM('Banco de Dados'!$R2044*_xlfn.XLOOKUP('Banco de Dados'!$P2044,Sku!B:B,Sku!H:H)*20%),2)),'Banco de Dados'!$A2044="GO",ROUND(_xlfn.XLOOKUP('Banco de Dados'!$P2044,Sku!C:C,Sku!H:H),2),'Banco de Dados'!$A2044="MEI",ROUND(_xlfn.XLOOKUP('Banco de Dados'!$P2044,Sku!D:D,Sku!H:H),2)),0)</f>
        <v>0</v>
      </c>
      <c r="AN2044" s="109">
        <v>0</v>
      </c>
      <c r="AO2044" s="109">
        <v>0</v>
      </c>
      <c r="AP2044" s="28">
        <f ca="1">IF('Banco de Dados'!$AK2044&lt;&gt;"-",IF('Banco de Dados'!$AL2044="NÃO",IFERROR(VALUE(SUBSTITUTE(_xlfn.TEXTAFTER('Banco de Dados'!$F2044,"BRL ",1),".",",")),0),0),0)</f>
        <v>0</v>
      </c>
      <c r="AQ2044" s="28">
        <f ca="1">SUM('Banco de Dados'!$AM2044:$AP2044)</f>
        <v>0</v>
      </c>
      <c r="AR2044" s="8"/>
      <c r="AS2044" s="8"/>
      <c r="AT2044"/>
      <c r="AY2044" s="8"/>
    </row>
    <row r="2045" spans="1:51">
      <c r="A2045" s="5" t="str">
        <v>BV</v>
      </c>
      <c r="B2045" s="5" t="str">
        <f ca="1"/>
        <v>BV45860</v>
      </c>
      <c r="C2045" s="8" t="str">
        <v>Pedido 2031</v>
      </c>
      <c r="D2045" s="187">
        <v>45854</v>
      </c>
      <c r="E2045" s="9">
        <v>45860</v>
      </c>
      <c r="F2045" s="2" t="str">
        <v>PedidoF1915</v>
      </c>
      <c r="G2045" s="2" t="str">
        <v>CódRastreio1913</v>
      </c>
      <c r="H2045" s="5">
        <v>1</v>
      </c>
      <c r="I2045" s="182" t="str">
        <v>CPF 1987</v>
      </c>
      <c r="J2045" s="2" t="str">
        <v>Nome 1987</v>
      </c>
      <c r="K2045" s="8" t="str">
        <v>Tel 1987</v>
      </c>
      <c r="L2045" s="8" t="str">
        <v>Cep 1987</v>
      </c>
      <c r="M2045" s="8" t="str">
        <v>Rua 1987</v>
      </c>
      <c r="N2045" s="8" t="str">
        <v>Comp 1987</v>
      </c>
      <c r="O2045" s="8" t="str">
        <v>Bolsa térmica</v>
      </c>
      <c r="P2045" s="8" t="str">
        <v>6I-CK1S-8HYZ</v>
      </c>
      <c r="Q2045" s="4">
        <v>45875</v>
      </c>
      <c r="R2045" s="109">
        <v>29.5</v>
      </c>
      <c r="S2045" s="11">
        <f ca="1"/>
        <v>29.5</v>
      </c>
      <c r="T2045" s="28">
        <f ca="1"/>
        <v>3.54</v>
      </c>
      <c r="U2045" s="11">
        <f ca="1"/>
        <v>25.96</v>
      </c>
      <c r="V2045" s="11">
        <v>22.58</v>
      </c>
      <c r="W2045" s="11">
        <f ca="1"/>
        <v>0</v>
      </c>
      <c r="X2045" s="11">
        <f ca="1"/>
        <v>0.39877104377104378</v>
      </c>
      <c r="Y2045" s="11">
        <v>0</v>
      </c>
      <c r="Z2045" s="11">
        <f ca="1"/>
        <v>2.9812289562289571</v>
      </c>
      <c r="AA2045" s="11">
        <f ca="1"/>
        <v>1.4906144781144786</v>
      </c>
      <c r="AB2045" s="4">
        <f ca="1"/>
        <v>45882</v>
      </c>
      <c r="AC2045" s="4">
        <v>45882</v>
      </c>
      <c r="AD2045" s="9">
        <v>45887</v>
      </c>
      <c r="AE2045" s="9">
        <v>45888</v>
      </c>
      <c r="AF2045" s="4" t="str">
        <f t="shared" ca="1" si="146"/>
        <v>2025 08</v>
      </c>
      <c r="AG2045" s="8" t="str" cm="1">
        <f t="array" ref="AG2045">IFERROR(_xlfn.IFS('Banco de Dados'!#REF!="AG. COMPRA","Em processamento",'Banco de Dados'!#REF!="AG. RASTREIO","Em processamento",'Banco de Dados'!$AE2045&lt;&gt;"-","Faturado",'Banco de Dados'!$AD2045&lt;&gt;"-","Aguardando Pix",'Banco de Dados'!$AC2045&lt;&gt;"-","Pendente"),"Aguardando Liberação")</f>
        <v>Aguardando Liberação</v>
      </c>
      <c r="AH2045" s="5" t="str">
        <f>IF('Banco de Dados'!$F2045="-",_xlfn.CONCAT(PROPER(TEXT(AK2045,"aaaa"))," ",PROPER(TEXT(AK2045,"mm"))),_xlfn.CONCAT(PROPER(TEXT(E2045,"aaaa"))," ",PROPER(TEXT(E2045,"mm"))))</f>
        <v>2025 07</v>
      </c>
      <c r="AI2045" s="9" t="str">
        <f ca="1">IF('Banco de Dados'!$AK2045&lt;&gt;"-","REEMBOLSO",IFERROR(_xlfn.XLOOKUP(G2045,Follow[CODRASTREIO],Follow[STATUS]),"-"))</f>
        <v>ENTREGUE</v>
      </c>
      <c r="AJ2045" s="9">
        <f ca="1">IF('Banco de Dados'!$AI2045="ENTREGUE",_xlfn.XLOOKUP('Banco de Dados'!$G2045,Follow[CODRASTREIO],Follow[DATAATUALIZAÇÃO]),"-")</f>
        <v>45864</v>
      </c>
      <c r="AK2045" s="132" t="str">
        <f ca="1"/>
        <v>-</v>
      </c>
      <c r="AL2045" s="35"/>
      <c r="AM2045" s="109" cm="1">
        <f t="array" aca="1" ref="AM2045" ca="1">IF('Banco de Dados'!$AK2045&lt;&gt;"-",_xlfn.IFS('Banco de Dados'!$A2045="bv",IF('Banco de Dados'!$E2045&lt;45641,ROUND(SUM('Banco de Dados'!$R2045*_xlfn.XLOOKUP('Banco de Dados'!$P2045,Sku!B:B,Sku!#REF!)*20%),2),ROUND(SUM('Banco de Dados'!$R2045*_xlfn.XLOOKUP('Banco de Dados'!$P2045,Sku!B:B,Sku!H:H)*20%),2)),'Banco de Dados'!$A2045="GO",ROUND(_xlfn.XLOOKUP('Banco de Dados'!$P2045,Sku!C:C,Sku!H:H),2),'Banco de Dados'!$A2045="MEI",ROUND(_xlfn.XLOOKUP('Banco de Dados'!$P2045,Sku!D:D,Sku!H:H),2)),0)</f>
        <v>0</v>
      </c>
      <c r="AN2045" s="109">
        <v>0</v>
      </c>
      <c r="AO2045" s="109">
        <v>0</v>
      </c>
      <c r="AP2045" s="28">
        <f ca="1">IF('Banco de Dados'!$AK2045&lt;&gt;"-",IF('Banco de Dados'!$AL2045="NÃO",IFERROR(VALUE(SUBSTITUTE(_xlfn.TEXTAFTER('Banco de Dados'!$F2045,"BRL ",1),".",",")),0),0),0)</f>
        <v>0</v>
      </c>
      <c r="AQ2045" s="28">
        <f ca="1">SUM('Banco de Dados'!$AM2045:$AP2045)</f>
        <v>0</v>
      </c>
      <c r="AR2045" s="8"/>
      <c r="AS2045" s="8"/>
      <c r="AT2045"/>
      <c r="AY2045" s="8"/>
    </row>
    <row r="2046" spans="1:51">
      <c r="A2046" s="5" t="str">
        <v>BV</v>
      </c>
      <c r="B2046" s="5" t="str">
        <f ca="1"/>
        <v>BV45860</v>
      </c>
      <c r="C2046" s="8" t="str">
        <v>Pedido 2032</v>
      </c>
      <c r="D2046" s="187">
        <v>45854</v>
      </c>
      <c r="E2046" s="9">
        <v>45860</v>
      </c>
      <c r="F2046" s="2" t="str">
        <v>PedidoF1916</v>
      </c>
      <c r="G2046" s="2" t="str">
        <v>CódRastreio1914</v>
      </c>
      <c r="H2046" s="5">
        <v>1</v>
      </c>
      <c r="I2046" s="182" t="str">
        <v>CPF 1988</v>
      </c>
      <c r="J2046" s="2" t="str">
        <v>Nome 1988</v>
      </c>
      <c r="K2046" s="8" t="str">
        <v>Tel 1988</v>
      </c>
      <c r="L2046" s="8" t="str">
        <v>Cep 1988</v>
      </c>
      <c r="M2046" s="8" t="str">
        <v>Rua 1988</v>
      </c>
      <c r="N2046" s="8" t="str">
        <v>Comp 1988</v>
      </c>
      <c r="O2046" s="8" t="str">
        <v>Bolsa térmica</v>
      </c>
      <c r="P2046" s="8" t="str">
        <v>6I-CK1S-8HYZ</v>
      </c>
      <c r="Q2046" s="4">
        <v>45875</v>
      </c>
      <c r="R2046" s="109">
        <v>29.5</v>
      </c>
      <c r="S2046" s="11">
        <f ca="1"/>
        <v>29.5</v>
      </c>
      <c r="T2046" s="28">
        <f ca="1"/>
        <v>3.54</v>
      </c>
      <c r="U2046" s="11">
        <f ca="1"/>
        <v>25.96</v>
      </c>
      <c r="V2046" s="11">
        <v>22.58</v>
      </c>
      <c r="W2046" s="11">
        <f ca="1"/>
        <v>0</v>
      </c>
      <c r="X2046" s="11">
        <f ca="1"/>
        <v>0.39877104377104378</v>
      </c>
      <c r="Y2046" s="11">
        <v>0</v>
      </c>
      <c r="Z2046" s="11">
        <f ca="1"/>
        <v>2.9812289562289571</v>
      </c>
      <c r="AA2046" s="11">
        <f ca="1"/>
        <v>1.4906144781144786</v>
      </c>
      <c r="AB2046" s="4">
        <f ca="1"/>
        <v>45882</v>
      </c>
      <c r="AC2046" s="4">
        <v>45882</v>
      </c>
      <c r="AD2046" s="9">
        <v>45887</v>
      </c>
      <c r="AE2046" s="9">
        <v>45888</v>
      </c>
      <c r="AF2046" s="4" t="str">
        <f t="shared" ca="1" si="146"/>
        <v>2025 08</v>
      </c>
      <c r="AG2046" s="8" t="str" cm="1">
        <f t="array" ref="AG2046">IFERROR(_xlfn.IFS('Banco de Dados'!#REF!="AG. COMPRA","Em processamento",'Banco de Dados'!#REF!="AG. RASTREIO","Em processamento",'Banco de Dados'!$AE2046&lt;&gt;"-","Faturado",'Banco de Dados'!$AD2046&lt;&gt;"-","Aguardando Pix",'Banco de Dados'!$AC2046&lt;&gt;"-","Pendente"),"Aguardando Liberação")</f>
        <v>Aguardando Liberação</v>
      </c>
      <c r="AH2046" s="5" t="str">
        <f>IF('Banco de Dados'!$F2046="-",_xlfn.CONCAT(PROPER(TEXT(AK2046,"aaaa"))," ",PROPER(TEXT(AK2046,"mm"))),_xlfn.CONCAT(PROPER(TEXT(E2046,"aaaa"))," ",PROPER(TEXT(E2046,"mm"))))</f>
        <v>2025 07</v>
      </c>
      <c r="AI2046" s="9" t="str">
        <f ca="1">IF('Banco de Dados'!$AK2046&lt;&gt;"-","REEMBOLSO",IFERROR(_xlfn.XLOOKUP(G2046,Follow[CODRASTREIO],Follow[STATUS]),"-"))</f>
        <v>ENTREGUE</v>
      </c>
      <c r="AJ2046" s="9">
        <f ca="1">IF('Banco de Dados'!$AI2046="ENTREGUE",_xlfn.XLOOKUP('Banco de Dados'!$G2046,Follow[CODRASTREIO],Follow[DATAATUALIZAÇÃO]),"-")</f>
        <v>45864</v>
      </c>
      <c r="AK2046" s="132" t="str">
        <f ca="1"/>
        <v>-</v>
      </c>
      <c r="AL2046" s="35"/>
      <c r="AM2046" s="109" cm="1">
        <f t="array" aca="1" ref="AM2046" ca="1">IF('Banco de Dados'!$AK2046&lt;&gt;"-",_xlfn.IFS('Banco de Dados'!$A2046="bv",IF('Banco de Dados'!$E2046&lt;45641,ROUND(SUM('Banco de Dados'!$R2046*_xlfn.XLOOKUP('Banco de Dados'!$P2046,Sku!B:B,Sku!#REF!)*20%),2),ROUND(SUM('Banco de Dados'!$R2046*_xlfn.XLOOKUP('Banco de Dados'!$P2046,Sku!B:B,Sku!H:H)*20%),2)),'Banco de Dados'!$A2046="GO",ROUND(_xlfn.XLOOKUP('Banco de Dados'!$P2046,Sku!C:C,Sku!H:H),2),'Banco de Dados'!$A2046="MEI",ROUND(_xlfn.XLOOKUP('Banco de Dados'!$P2046,Sku!D:D,Sku!H:H),2)),0)</f>
        <v>0</v>
      </c>
      <c r="AN2046" s="109">
        <v>0</v>
      </c>
      <c r="AO2046" s="109">
        <v>0</v>
      </c>
      <c r="AP2046" s="28">
        <f ca="1">IF('Banco de Dados'!$AK2046&lt;&gt;"-",IF('Banco de Dados'!$AL2046="NÃO",IFERROR(VALUE(SUBSTITUTE(_xlfn.TEXTAFTER('Banco de Dados'!$F2046,"BRL ",1),".",",")),0),0),0)</f>
        <v>0</v>
      </c>
      <c r="AQ2046" s="28">
        <f ca="1">SUM('Banco de Dados'!$AM2046:$AP2046)</f>
        <v>0</v>
      </c>
      <c r="AR2046" s="8"/>
      <c r="AS2046" s="8"/>
      <c r="AT2046"/>
      <c r="AY2046" s="8"/>
    </row>
    <row r="2047" spans="1:51">
      <c r="A2047" s="5" t="str">
        <v>BV</v>
      </c>
      <c r="B2047" s="5" t="str">
        <f ca="1"/>
        <v>BV45860</v>
      </c>
      <c r="C2047" s="8" t="str">
        <v>Pedido 2033</v>
      </c>
      <c r="D2047" s="187">
        <v>45854</v>
      </c>
      <c r="E2047" s="9">
        <v>45860</v>
      </c>
      <c r="F2047" s="2" t="str">
        <v>PedidoF1917</v>
      </c>
      <c r="G2047" s="2" t="str">
        <v>CódRastreio1915</v>
      </c>
      <c r="H2047" s="5">
        <v>1</v>
      </c>
      <c r="I2047" s="182" t="str">
        <v>CPF 1989</v>
      </c>
      <c r="J2047" s="2" t="str">
        <v>Nome 1989</v>
      </c>
      <c r="K2047" s="8" t="str">
        <v>Tel 1989</v>
      </c>
      <c r="L2047" s="8" t="str">
        <v>Cep 1989</v>
      </c>
      <c r="M2047" s="8" t="str">
        <v>Rua 1989</v>
      </c>
      <c r="N2047" s="8" t="str">
        <v>Comp 1989</v>
      </c>
      <c r="O2047" s="8" t="str">
        <v>Bolsa térmica</v>
      </c>
      <c r="P2047" s="8" t="str">
        <v>6I-CK1S-8HYZ</v>
      </c>
      <c r="Q2047" s="4">
        <v>45869</v>
      </c>
      <c r="R2047" s="109">
        <v>29.5</v>
      </c>
      <c r="S2047" s="11">
        <f ca="1"/>
        <v>29.5</v>
      </c>
      <c r="T2047" s="28">
        <f ca="1"/>
        <v>3.54</v>
      </c>
      <c r="U2047" s="11">
        <f ca="1"/>
        <v>25.96</v>
      </c>
      <c r="V2047" s="11">
        <v>22.58</v>
      </c>
      <c r="W2047" s="11">
        <f ca="1"/>
        <v>0</v>
      </c>
      <c r="X2047" s="11">
        <f ca="1"/>
        <v>0.39877104377104378</v>
      </c>
      <c r="Y2047" s="11">
        <v>0</v>
      </c>
      <c r="Z2047" s="11">
        <f ca="1"/>
        <v>2.9812289562289571</v>
      </c>
      <c r="AA2047" s="11">
        <f ca="1"/>
        <v>1.4906144781144786</v>
      </c>
      <c r="AB2047" s="4">
        <f ca="1"/>
        <v>45876</v>
      </c>
      <c r="AC2047" s="4">
        <v>45876</v>
      </c>
      <c r="AD2047" s="9">
        <v>45887</v>
      </c>
      <c r="AE2047" s="9">
        <v>45888</v>
      </c>
      <c r="AF2047" s="4" t="str">
        <f t="shared" ca="1" si="146"/>
        <v>2025 08</v>
      </c>
      <c r="AG2047" s="8" t="str" cm="1">
        <f t="array" ref="AG2047">IFERROR(_xlfn.IFS('Banco de Dados'!#REF!="AG. COMPRA","Em processamento",'Banco de Dados'!#REF!="AG. RASTREIO","Em processamento",'Banco de Dados'!$AE2047&lt;&gt;"-","Faturado",'Banco de Dados'!$AD2047&lt;&gt;"-","Aguardando Pix",'Banco de Dados'!$AC2047&lt;&gt;"-","Pendente"),"Aguardando Liberação")</f>
        <v>Aguardando Liberação</v>
      </c>
      <c r="AH2047" s="5" t="str">
        <f>IF('Banco de Dados'!$F2047="-",_xlfn.CONCAT(PROPER(TEXT(AK2047,"aaaa"))," ",PROPER(TEXT(AK2047,"mm"))),_xlfn.CONCAT(PROPER(TEXT(E2047,"aaaa"))," ",PROPER(TEXT(E2047,"mm"))))</f>
        <v>2025 07</v>
      </c>
      <c r="AI2047" s="9" t="str">
        <f ca="1">IF('Banco de Dados'!$AK2047&lt;&gt;"-","REEMBOLSO",IFERROR(_xlfn.XLOOKUP(G2047,Follow[CODRASTREIO],Follow[STATUS]),"-"))</f>
        <v>ENTREGUE</v>
      </c>
      <c r="AJ2047" s="9">
        <f ca="1">IF('Banco de Dados'!$AI2047="ENTREGUE",_xlfn.XLOOKUP('Banco de Dados'!$G2047,Follow[CODRASTREIO],Follow[DATAATUALIZAÇÃO]),"-")</f>
        <v>45863</v>
      </c>
      <c r="AK2047" s="132" t="str">
        <f ca="1"/>
        <v>-</v>
      </c>
      <c r="AL2047" s="35"/>
      <c r="AM2047" s="109" cm="1">
        <f t="array" aca="1" ref="AM2047" ca="1">IF('Banco de Dados'!$AK2047&lt;&gt;"-",_xlfn.IFS('Banco de Dados'!$A2047="bv",IF('Banco de Dados'!$E2047&lt;45641,ROUND(SUM('Banco de Dados'!$R2047*_xlfn.XLOOKUP('Banco de Dados'!$P2047,Sku!B:B,Sku!#REF!)*20%),2),ROUND(SUM('Banco de Dados'!$R2047*_xlfn.XLOOKUP('Banco de Dados'!$P2047,Sku!B:B,Sku!H:H)*20%),2)),'Banco de Dados'!$A2047="GO",ROUND(_xlfn.XLOOKUP('Banco de Dados'!$P2047,Sku!C:C,Sku!H:H),2),'Banco de Dados'!$A2047="MEI",ROUND(_xlfn.XLOOKUP('Banco de Dados'!$P2047,Sku!D:D,Sku!H:H),2)),0)</f>
        <v>0</v>
      </c>
      <c r="AN2047" s="109">
        <v>0</v>
      </c>
      <c r="AO2047" s="109">
        <v>0</v>
      </c>
      <c r="AP2047" s="28">
        <f ca="1">IF('Banco de Dados'!$AK2047&lt;&gt;"-",IF('Banco de Dados'!$AL2047="NÃO",IFERROR(VALUE(SUBSTITUTE(_xlfn.TEXTAFTER('Banco de Dados'!$F2047,"BRL ",1),".",",")),0),0),0)</f>
        <v>0</v>
      </c>
      <c r="AQ2047" s="28">
        <f ca="1">SUM('Banco de Dados'!$AM2047:$AP2047)</f>
        <v>0</v>
      </c>
      <c r="AR2047" s="8"/>
      <c r="AS2047" s="8"/>
      <c r="AT2047"/>
      <c r="AY2047" s="8"/>
    </row>
    <row r="2048" spans="1:51">
      <c r="A2048" s="5" t="str">
        <v>BV</v>
      </c>
      <c r="B2048" s="5" t="str">
        <f ca="1"/>
        <v>BV45860</v>
      </c>
      <c r="C2048" s="8" t="str">
        <v>Pedido 2034</v>
      </c>
      <c r="D2048" s="187">
        <v>45855</v>
      </c>
      <c r="E2048" s="9">
        <v>45860</v>
      </c>
      <c r="F2048" s="2" t="str">
        <v>PedidoF1918</v>
      </c>
      <c r="G2048" s="2" t="str">
        <v>CódRastreio1916</v>
      </c>
      <c r="H2048" s="5">
        <v>1</v>
      </c>
      <c r="I2048" s="182" t="str">
        <v>CPF 1990</v>
      </c>
      <c r="J2048" s="2" t="str">
        <v>Nome 1990</v>
      </c>
      <c r="K2048" s="8" t="str">
        <v>Tel 1990</v>
      </c>
      <c r="L2048" s="8" t="str">
        <v>Cep 1990</v>
      </c>
      <c r="M2048" s="8" t="str">
        <v>Rua 1990</v>
      </c>
      <c r="N2048" s="8" t="str">
        <v>Comp 1990</v>
      </c>
      <c r="O2048" s="8" t="str">
        <v>Bolsa térmica</v>
      </c>
      <c r="P2048" s="8" t="str">
        <v>6I-CK1S-8HYZ</v>
      </c>
      <c r="Q2048" s="4">
        <v>45870</v>
      </c>
      <c r="R2048" s="109">
        <v>29.5</v>
      </c>
      <c r="S2048" s="11">
        <f ca="1"/>
        <v>29.5</v>
      </c>
      <c r="T2048" s="28">
        <f ca="1"/>
        <v>3.54</v>
      </c>
      <c r="U2048" s="11">
        <f ca="1"/>
        <v>25.96</v>
      </c>
      <c r="V2048" s="11">
        <v>22.58</v>
      </c>
      <c r="W2048" s="11">
        <f ca="1"/>
        <v>0</v>
      </c>
      <c r="X2048" s="11">
        <f ca="1"/>
        <v>0.39877104377104378</v>
      </c>
      <c r="Y2048" s="11">
        <v>0</v>
      </c>
      <c r="Z2048" s="11">
        <f ca="1"/>
        <v>2.9812289562289571</v>
      </c>
      <c r="AA2048" s="11">
        <f ca="1"/>
        <v>1.4906144781144786</v>
      </c>
      <c r="AB2048" s="4">
        <f ca="1"/>
        <v>45877</v>
      </c>
      <c r="AC2048" s="4">
        <v>45877</v>
      </c>
      <c r="AD2048" s="9">
        <v>45887</v>
      </c>
      <c r="AE2048" s="9">
        <v>45888</v>
      </c>
      <c r="AF2048" s="4" t="str">
        <f t="shared" ca="1" si="146"/>
        <v>2025 08</v>
      </c>
      <c r="AG2048" s="8" t="str" cm="1">
        <f t="array" ref="AG2048">IFERROR(_xlfn.IFS('Banco de Dados'!#REF!="AG. COMPRA","Em processamento",'Banco de Dados'!#REF!="AG. RASTREIO","Em processamento",'Banco de Dados'!$AE2048&lt;&gt;"-","Faturado",'Banco de Dados'!$AD2048&lt;&gt;"-","Aguardando Pix",'Banco de Dados'!$AC2048&lt;&gt;"-","Pendente"),"Aguardando Liberação")</f>
        <v>Aguardando Liberação</v>
      </c>
      <c r="AH2048" s="5" t="str">
        <f>IF('Banco de Dados'!$F2048="-",_xlfn.CONCAT(PROPER(TEXT(AK2048,"aaaa"))," ",PROPER(TEXT(AK2048,"mm"))),_xlfn.CONCAT(PROPER(TEXT(E2048,"aaaa"))," ",PROPER(TEXT(E2048,"mm"))))</f>
        <v>2025 07</v>
      </c>
      <c r="AI2048" s="9" t="str">
        <f ca="1">IF('Banco de Dados'!$AK2048&lt;&gt;"-","REEMBOLSO",IFERROR(_xlfn.XLOOKUP(G2048,Follow[CODRASTREIO],Follow[STATUS]),"-"))</f>
        <v>EM TRÂNSITO</v>
      </c>
      <c r="AJ2048" s="9" t="str">
        <f ca="1">IF('Banco de Dados'!$AI2048="ENTREGUE",_xlfn.XLOOKUP('Banco de Dados'!$G2048,Follow[CODRASTREIO],Follow[DATAATUALIZAÇÃO]),"-")</f>
        <v>-</v>
      </c>
      <c r="AK2048" s="132" t="str">
        <f ca="1"/>
        <v>-</v>
      </c>
      <c r="AL2048" s="35"/>
      <c r="AM2048" s="109" cm="1">
        <f t="array" aca="1" ref="AM2048" ca="1">IF('Banco de Dados'!$AK2048&lt;&gt;"-",_xlfn.IFS('Banco de Dados'!$A2048="bv",IF('Banco de Dados'!$E2048&lt;45641,ROUND(SUM('Banco de Dados'!$R2048*_xlfn.XLOOKUP('Banco de Dados'!$P2048,Sku!B:B,Sku!#REF!)*20%),2),ROUND(SUM('Banco de Dados'!$R2048*_xlfn.XLOOKUP('Banco de Dados'!$P2048,Sku!B:B,Sku!H:H)*20%),2)),'Banco de Dados'!$A2048="GO",ROUND(_xlfn.XLOOKUP('Banco de Dados'!$P2048,Sku!C:C,Sku!H:H),2),'Banco de Dados'!$A2048="MEI",ROUND(_xlfn.XLOOKUP('Banco de Dados'!$P2048,Sku!D:D,Sku!H:H),2)),0)</f>
        <v>0</v>
      </c>
      <c r="AN2048" s="109">
        <v>0</v>
      </c>
      <c r="AO2048" s="109">
        <v>0</v>
      </c>
      <c r="AP2048" s="28">
        <f ca="1">IF('Banco de Dados'!$AK2048&lt;&gt;"-",IF('Banco de Dados'!$AL2048="NÃO",IFERROR(VALUE(SUBSTITUTE(_xlfn.TEXTAFTER('Banco de Dados'!$F2048,"BRL ",1),".",",")),0),0),0)</f>
        <v>0</v>
      </c>
      <c r="AQ2048" s="28">
        <f ca="1">SUM('Banco de Dados'!$AM2048:$AP2048)</f>
        <v>0</v>
      </c>
      <c r="AR2048" s="8"/>
      <c r="AS2048" s="8"/>
      <c r="AT2048"/>
      <c r="AY2048" s="8"/>
    </row>
    <row r="2049" spans="1:51">
      <c r="A2049" s="5" t="str">
        <v>BV</v>
      </c>
      <c r="B2049" s="5" t="str">
        <f ca="1"/>
        <v>BV45860</v>
      </c>
      <c r="C2049" s="8" t="str">
        <v>Pedido 2035</v>
      </c>
      <c r="D2049" s="187">
        <v>45855</v>
      </c>
      <c r="E2049" s="9">
        <v>45860</v>
      </c>
      <c r="F2049" s="2" t="str">
        <v>PedidoF1919</v>
      </c>
      <c r="G2049" s="2" t="str">
        <v>CódRastreio1917</v>
      </c>
      <c r="H2049" s="5">
        <v>1</v>
      </c>
      <c r="I2049" s="182" t="str">
        <v>CPF 1991</v>
      </c>
      <c r="J2049" s="2" t="str">
        <v>Nome 1991</v>
      </c>
      <c r="K2049" s="8" t="str">
        <v>Tel 1991</v>
      </c>
      <c r="L2049" s="8" t="str">
        <v>Cep 1991</v>
      </c>
      <c r="M2049" s="8" t="str">
        <v>Rua 1991</v>
      </c>
      <c r="N2049" s="8" t="str">
        <v>Comp 1991</v>
      </c>
      <c r="O2049" s="8" t="str">
        <v>Bolsa térmica</v>
      </c>
      <c r="P2049" s="8" t="str">
        <v>6I-CK1S-8HYZ</v>
      </c>
      <c r="Q2049" s="4">
        <v>45870</v>
      </c>
      <c r="R2049" s="109">
        <v>29.5</v>
      </c>
      <c r="S2049" s="11">
        <f ca="1"/>
        <v>29.5</v>
      </c>
      <c r="T2049" s="28">
        <f ca="1"/>
        <v>3.54</v>
      </c>
      <c r="U2049" s="11">
        <f ca="1"/>
        <v>25.96</v>
      </c>
      <c r="V2049" s="11">
        <v>22.58</v>
      </c>
      <c r="W2049" s="11">
        <f ca="1"/>
        <v>0</v>
      </c>
      <c r="X2049" s="11">
        <f ca="1"/>
        <v>0.39877104377104378</v>
      </c>
      <c r="Y2049" s="11">
        <v>0</v>
      </c>
      <c r="Z2049" s="11">
        <f ca="1"/>
        <v>2.9812289562289571</v>
      </c>
      <c r="AA2049" s="11">
        <f ca="1"/>
        <v>1.4906144781144786</v>
      </c>
      <c r="AB2049" s="4">
        <f ca="1"/>
        <v>45877</v>
      </c>
      <c r="AC2049" s="4">
        <v>45877</v>
      </c>
      <c r="AD2049" s="9">
        <v>45887</v>
      </c>
      <c r="AE2049" s="9">
        <v>45888</v>
      </c>
      <c r="AF2049" s="4" t="str">
        <f t="shared" ca="1" si="146"/>
        <v>2025 08</v>
      </c>
      <c r="AG2049" s="8" t="str" cm="1">
        <f t="array" ref="AG2049">IFERROR(_xlfn.IFS('Banco de Dados'!#REF!="AG. COMPRA","Em processamento",'Banco de Dados'!#REF!="AG. RASTREIO","Em processamento",'Banco de Dados'!$AE2049&lt;&gt;"-","Faturado",'Banco de Dados'!$AD2049&lt;&gt;"-","Aguardando Pix",'Banco de Dados'!$AC2049&lt;&gt;"-","Pendente"),"Aguardando Liberação")</f>
        <v>Aguardando Liberação</v>
      </c>
      <c r="AH2049" s="5" t="str">
        <f>IF('Banco de Dados'!$F2049="-",_xlfn.CONCAT(PROPER(TEXT(AK2049,"aaaa"))," ",PROPER(TEXT(AK2049,"mm"))),_xlfn.CONCAT(PROPER(TEXT(E2049,"aaaa"))," ",PROPER(TEXT(E2049,"mm"))))</f>
        <v>2025 07</v>
      </c>
      <c r="AI2049" s="9" t="str">
        <f ca="1">IF('Banco de Dados'!$AK2049&lt;&gt;"-","REEMBOLSO",IFERROR(_xlfn.XLOOKUP(G2049,Follow[CODRASTREIO],Follow[STATUS]),"-"))</f>
        <v>ENTREGUE</v>
      </c>
      <c r="AJ2049" s="9">
        <f ca="1">IF('Banco de Dados'!$AI2049="ENTREGUE",_xlfn.XLOOKUP('Banco de Dados'!$G2049,Follow[CODRASTREIO],Follow[DATAATUALIZAÇÃO]),"-")</f>
        <v>45862</v>
      </c>
      <c r="AK2049" s="132" t="str">
        <f ca="1"/>
        <v>-</v>
      </c>
      <c r="AL2049" s="35"/>
      <c r="AM2049" s="109" cm="1">
        <f t="array" aca="1" ref="AM2049" ca="1">IF('Banco de Dados'!$AK2049&lt;&gt;"-",_xlfn.IFS('Banco de Dados'!$A2049="bv",IF('Banco de Dados'!$E2049&lt;45641,ROUND(SUM('Banco de Dados'!$R2049*_xlfn.XLOOKUP('Banco de Dados'!$P2049,Sku!B:B,Sku!#REF!)*20%),2),ROUND(SUM('Banco de Dados'!$R2049*_xlfn.XLOOKUP('Banco de Dados'!$P2049,Sku!B:B,Sku!H:H)*20%),2)),'Banco de Dados'!$A2049="GO",ROUND(_xlfn.XLOOKUP('Banco de Dados'!$P2049,Sku!C:C,Sku!H:H),2),'Banco de Dados'!$A2049="MEI",ROUND(_xlfn.XLOOKUP('Banco de Dados'!$P2049,Sku!D:D,Sku!H:H),2)),0)</f>
        <v>0</v>
      </c>
      <c r="AN2049" s="109">
        <v>0</v>
      </c>
      <c r="AO2049" s="109">
        <v>0</v>
      </c>
      <c r="AP2049" s="28">
        <f ca="1">IF('Banco de Dados'!$AK2049&lt;&gt;"-",IF('Banco de Dados'!$AL2049="NÃO",IFERROR(VALUE(SUBSTITUTE(_xlfn.TEXTAFTER('Banco de Dados'!$F2049,"BRL ",1),".",",")),0),0),0)</f>
        <v>0</v>
      </c>
      <c r="AQ2049" s="28">
        <f ca="1">SUM('Banco de Dados'!$AM2049:$AP2049)</f>
        <v>0</v>
      </c>
      <c r="AR2049" s="8"/>
      <c r="AS2049" s="8"/>
      <c r="AT2049"/>
      <c r="AY2049" s="8"/>
    </row>
    <row r="2050" spans="1:51">
      <c r="A2050" s="5" t="str">
        <v>BV</v>
      </c>
      <c r="B2050" s="5" t="str">
        <f ca="1"/>
        <v>BV45860</v>
      </c>
      <c r="C2050" s="8" t="str">
        <v>Pedido 2036</v>
      </c>
      <c r="D2050" s="187">
        <v>45855</v>
      </c>
      <c r="E2050" s="9">
        <v>45860</v>
      </c>
      <c r="F2050" s="2" t="str">
        <v>PedidoF1920</v>
      </c>
      <c r="G2050" s="2" t="str">
        <v>CódRastreio1918</v>
      </c>
      <c r="H2050" s="5">
        <v>1</v>
      </c>
      <c r="I2050" s="182" t="str">
        <v>CPF 1992</v>
      </c>
      <c r="J2050" s="2" t="str">
        <v>Nome 1992</v>
      </c>
      <c r="K2050" s="8" t="str">
        <v>Tel 1992</v>
      </c>
      <c r="L2050" s="8" t="str">
        <v>Cep 1992</v>
      </c>
      <c r="M2050" s="8" t="str">
        <v>Rua 1992</v>
      </c>
      <c r="N2050" s="8" t="str">
        <v>Comp 1992</v>
      </c>
      <c r="O2050" s="8" t="str">
        <v>Bolsa térmica</v>
      </c>
      <c r="P2050" s="8" t="str">
        <v>6I-CK1S-8HYZ</v>
      </c>
      <c r="Q2050" s="4">
        <v>45870</v>
      </c>
      <c r="R2050" s="109">
        <v>29.5</v>
      </c>
      <c r="S2050" s="11">
        <f ca="1"/>
        <v>29.5</v>
      </c>
      <c r="T2050" s="28">
        <f ca="1"/>
        <v>3.54</v>
      </c>
      <c r="U2050" s="11">
        <f ca="1"/>
        <v>25.96</v>
      </c>
      <c r="V2050" s="11">
        <v>22.58</v>
      </c>
      <c r="W2050" s="11">
        <f ca="1"/>
        <v>0</v>
      </c>
      <c r="X2050" s="11">
        <f ca="1"/>
        <v>0.39877104377104378</v>
      </c>
      <c r="Y2050" s="11">
        <v>0</v>
      </c>
      <c r="Z2050" s="11">
        <f ca="1"/>
        <v>2.9812289562289571</v>
      </c>
      <c r="AA2050" s="11">
        <f ca="1"/>
        <v>1.4906144781144786</v>
      </c>
      <c r="AB2050" s="4">
        <f ca="1"/>
        <v>45877</v>
      </c>
      <c r="AC2050" s="4">
        <v>45877</v>
      </c>
      <c r="AD2050" s="9">
        <v>45887</v>
      </c>
      <c r="AE2050" s="9">
        <v>45888</v>
      </c>
      <c r="AF2050" s="4" t="str">
        <f t="shared" ca="1" si="146"/>
        <v>2025 08</v>
      </c>
      <c r="AG2050" s="8" t="str" cm="1">
        <f t="array" ref="AG2050">IFERROR(_xlfn.IFS('Banco de Dados'!#REF!="AG. COMPRA","Em processamento",'Banco de Dados'!#REF!="AG. RASTREIO","Em processamento",'Banco de Dados'!$AE2050&lt;&gt;"-","Faturado",'Banco de Dados'!$AD2050&lt;&gt;"-","Aguardando Pix",'Banco de Dados'!$AC2050&lt;&gt;"-","Pendente"),"Aguardando Liberação")</f>
        <v>Aguardando Liberação</v>
      </c>
      <c r="AH2050" s="5" t="str">
        <f>IF('Banco de Dados'!$F2050="-",_xlfn.CONCAT(PROPER(TEXT(AK2050,"aaaa"))," ",PROPER(TEXT(AK2050,"mm"))),_xlfn.CONCAT(PROPER(TEXT(E2050,"aaaa"))," ",PROPER(TEXT(E2050,"mm"))))</f>
        <v>2025 07</v>
      </c>
      <c r="AI2050" s="9" t="str">
        <f ca="1">IF('Banco de Dados'!$AK2050&lt;&gt;"-","REEMBOLSO",IFERROR(_xlfn.XLOOKUP(G2050,Follow[CODRASTREIO],Follow[STATUS]),"-"))</f>
        <v>ENTREGUE</v>
      </c>
      <c r="AJ2050" s="9">
        <f ca="1">IF('Banco de Dados'!$AI2050="ENTREGUE",_xlfn.XLOOKUP('Banco de Dados'!$G2050,Follow[CODRASTREIO],Follow[DATAATUALIZAÇÃO]),"-")</f>
        <v>45863</v>
      </c>
      <c r="AK2050" s="132" t="str">
        <f ca="1"/>
        <v>-</v>
      </c>
      <c r="AL2050" s="35"/>
      <c r="AM2050" s="109" cm="1">
        <f t="array" aca="1" ref="AM2050" ca="1">IF('Banco de Dados'!$AK2050&lt;&gt;"-",_xlfn.IFS('Banco de Dados'!$A2050="bv",IF('Banco de Dados'!$E2050&lt;45641,ROUND(SUM('Banco de Dados'!$R2050*_xlfn.XLOOKUP('Banco de Dados'!$P2050,Sku!B:B,Sku!#REF!)*20%),2),ROUND(SUM('Banco de Dados'!$R2050*_xlfn.XLOOKUP('Banco de Dados'!$P2050,Sku!B:B,Sku!H:H)*20%),2)),'Banco de Dados'!$A2050="GO",ROUND(_xlfn.XLOOKUP('Banco de Dados'!$P2050,Sku!C:C,Sku!H:H),2),'Banco de Dados'!$A2050="MEI",ROUND(_xlfn.XLOOKUP('Banco de Dados'!$P2050,Sku!D:D,Sku!H:H),2)),0)</f>
        <v>0</v>
      </c>
      <c r="AN2050" s="109">
        <v>0</v>
      </c>
      <c r="AO2050" s="109">
        <v>0</v>
      </c>
      <c r="AP2050" s="28">
        <f ca="1">IF('Banco de Dados'!$AK2050&lt;&gt;"-",IF('Banco de Dados'!$AL2050="NÃO",IFERROR(VALUE(SUBSTITUTE(_xlfn.TEXTAFTER('Banco de Dados'!$F2050,"BRL ",1),".",",")),0),0),0)</f>
        <v>0</v>
      </c>
      <c r="AQ2050" s="28">
        <f ca="1">SUM('Banco de Dados'!$AM2050:$AP2050)</f>
        <v>0</v>
      </c>
      <c r="AR2050" s="8"/>
      <c r="AS2050" s="8"/>
      <c r="AT2050"/>
      <c r="AY2050" s="8"/>
    </row>
    <row r="2051" spans="1:51">
      <c r="A2051" s="5" t="str">
        <v>BV</v>
      </c>
      <c r="B2051" s="5" t="str">
        <f ca="1"/>
        <v>BV45860</v>
      </c>
      <c r="C2051" s="8" t="str">
        <v>Pedido 2037</v>
      </c>
      <c r="D2051" s="187">
        <v>45855</v>
      </c>
      <c r="E2051" s="9">
        <v>45860</v>
      </c>
      <c r="F2051" s="2" t="str">
        <v>PedidoF1921</v>
      </c>
      <c r="G2051" s="2" t="str">
        <v>CódRastreio1919</v>
      </c>
      <c r="H2051" s="5">
        <v>1</v>
      </c>
      <c r="I2051" s="182" t="str">
        <v>CPF 1993</v>
      </c>
      <c r="J2051" s="2" t="str">
        <v>Nome 1993</v>
      </c>
      <c r="K2051" s="8" t="str">
        <v>Tel 1993</v>
      </c>
      <c r="L2051" s="8" t="str">
        <v>Cep 1993</v>
      </c>
      <c r="M2051" s="8" t="str">
        <v>Rua 1993</v>
      </c>
      <c r="N2051" s="8" t="str">
        <v>Comp 1993</v>
      </c>
      <c r="O2051" s="8" t="str">
        <v>Bolsa térmica</v>
      </c>
      <c r="P2051" s="8" t="str">
        <v>6I-CK1S-8HYZ</v>
      </c>
      <c r="Q2051" s="4">
        <v>45876</v>
      </c>
      <c r="R2051" s="109">
        <v>29.5</v>
      </c>
      <c r="S2051" s="11">
        <f ca="1"/>
        <v>29.5</v>
      </c>
      <c r="T2051" s="28">
        <f ca="1"/>
        <v>3.54</v>
      </c>
      <c r="U2051" s="11">
        <f ca="1"/>
        <v>25.96</v>
      </c>
      <c r="V2051" s="11">
        <v>22.58</v>
      </c>
      <c r="W2051" s="11">
        <f ca="1"/>
        <v>0</v>
      </c>
      <c r="X2051" s="11">
        <f ca="1"/>
        <v>0.39877104377104378</v>
      </c>
      <c r="Y2051" s="11">
        <v>0</v>
      </c>
      <c r="Z2051" s="11">
        <f ca="1"/>
        <v>2.9812289562289571</v>
      </c>
      <c r="AA2051" s="11">
        <f ca="1"/>
        <v>1.4906144781144786</v>
      </c>
      <c r="AB2051" s="4">
        <f ca="1"/>
        <v>45883</v>
      </c>
      <c r="AC2051" s="4">
        <v>45883</v>
      </c>
      <c r="AD2051" s="9">
        <v>45887</v>
      </c>
      <c r="AE2051" s="9">
        <v>45888</v>
      </c>
      <c r="AF2051" s="4" t="str">
        <f t="shared" ca="1" si="146"/>
        <v>2025 08</v>
      </c>
      <c r="AG2051" s="8" t="str" cm="1">
        <f t="array" ref="AG2051">IFERROR(_xlfn.IFS('Banco de Dados'!#REF!="AG. COMPRA","Em processamento",'Banco de Dados'!#REF!="AG. RASTREIO","Em processamento",'Banco de Dados'!$AE2051&lt;&gt;"-","Faturado",'Banco de Dados'!$AD2051&lt;&gt;"-","Aguardando Pix",'Banco de Dados'!$AC2051&lt;&gt;"-","Pendente"),"Aguardando Liberação")</f>
        <v>Aguardando Liberação</v>
      </c>
      <c r="AH2051" s="5" t="str">
        <f>IF('Banco de Dados'!$F2051="-",_xlfn.CONCAT(PROPER(TEXT(AK2051,"aaaa"))," ",PROPER(TEXT(AK2051,"mm"))),_xlfn.CONCAT(PROPER(TEXT(E2051,"aaaa"))," ",PROPER(TEXT(E2051,"mm"))))</f>
        <v>2025 07</v>
      </c>
      <c r="AI2051" s="9" t="str">
        <f ca="1">IF('Banco de Dados'!$AK2051&lt;&gt;"-","REEMBOLSO",IFERROR(_xlfn.XLOOKUP(G2051,Follow[CODRASTREIO],Follow[STATUS]),"-"))</f>
        <v>ENTREGUE</v>
      </c>
      <c r="AJ2051" s="9">
        <f ca="1">IF('Banco de Dados'!$AI2051="ENTREGUE",_xlfn.XLOOKUP('Banco de Dados'!$G2051,Follow[CODRASTREIO],Follow[DATAATUALIZAÇÃO]),"-")</f>
        <v>45864</v>
      </c>
      <c r="AK2051" s="132" t="str">
        <f ca="1"/>
        <v>-</v>
      </c>
      <c r="AL2051" s="35"/>
      <c r="AM2051" s="109" cm="1">
        <f t="array" aca="1" ref="AM2051" ca="1">IF('Banco de Dados'!$AK2051&lt;&gt;"-",_xlfn.IFS('Banco de Dados'!$A2051="bv",IF('Banco de Dados'!$E2051&lt;45641,ROUND(SUM('Banco de Dados'!$R2051*_xlfn.XLOOKUP('Banco de Dados'!$P2051,Sku!B:B,Sku!#REF!)*20%),2),ROUND(SUM('Banco de Dados'!$R2051*_xlfn.XLOOKUP('Banco de Dados'!$P2051,Sku!B:B,Sku!H:H)*20%),2)),'Banco de Dados'!$A2051="GO",ROUND(_xlfn.XLOOKUP('Banco de Dados'!$P2051,Sku!C:C,Sku!H:H),2),'Banco de Dados'!$A2051="MEI",ROUND(_xlfn.XLOOKUP('Banco de Dados'!$P2051,Sku!D:D,Sku!H:H),2)),0)</f>
        <v>0</v>
      </c>
      <c r="AN2051" s="109">
        <v>0</v>
      </c>
      <c r="AO2051" s="109">
        <v>0</v>
      </c>
      <c r="AP2051" s="28">
        <f ca="1">IF('Banco de Dados'!$AK2051&lt;&gt;"-",IF('Banco de Dados'!$AL2051="NÃO",IFERROR(VALUE(SUBSTITUTE(_xlfn.TEXTAFTER('Banco de Dados'!$F2051,"BRL ",1),".",",")),0),0),0)</f>
        <v>0</v>
      </c>
      <c r="AQ2051" s="28">
        <f ca="1">SUM('Banco de Dados'!$AM2051:$AP2051)</f>
        <v>0</v>
      </c>
      <c r="AR2051" s="8"/>
      <c r="AS2051" s="8"/>
      <c r="AT2051"/>
      <c r="AY2051" s="8"/>
    </row>
    <row r="2052" spans="1:51">
      <c r="A2052" s="5" t="str">
        <v>BV</v>
      </c>
      <c r="B2052" s="5" t="str">
        <f ca="1"/>
        <v>BV45860</v>
      </c>
      <c r="C2052" s="8" t="str">
        <v>Pedido 2038</v>
      </c>
      <c r="D2052" s="187">
        <v>45855</v>
      </c>
      <c r="E2052" s="9">
        <v>45860</v>
      </c>
      <c r="F2052" s="2" t="str">
        <v>PedidoF1922</v>
      </c>
      <c r="G2052" s="2" t="str">
        <v>CódRastreio1920</v>
      </c>
      <c r="H2052" s="5">
        <v>2</v>
      </c>
      <c r="I2052" s="182" t="str">
        <v>CPF 1994</v>
      </c>
      <c r="J2052" s="2" t="str">
        <v>Nome 1994</v>
      </c>
      <c r="K2052" s="8" t="str">
        <v>Tel 1994</v>
      </c>
      <c r="L2052" s="8" t="str">
        <v>Cep 1994</v>
      </c>
      <c r="M2052" s="8" t="str">
        <v>Rua 1994</v>
      </c>
      <c r="N2052" s="8" t="str">
        <v>Comp 1994</v>
      </c>
      <c r="O2052" s="8" t="str">
        <v>Bolsa térmica</v>
      </c>
      <c r="P2052" s="8" t="str">
        <v>6I-CK1S-8HYZ</v>
      </c>
      <c r="Q2052" s="4">
        <v>45876</v>
      </c>
      <c r="R2052" s="109">
        <v>59</v>
      </c>
      <c r="S2052" s="11">
        <f ca="1"/>
        <v>59</v>
      </c>
      <c r="T2052" s="28">
        <f ca="1"/>
        <v>7.08</v>
      </c>
      <c r="U2052" s="11">
        <f ca="1"/>
        <v>51.92</v>
      </c>
      <c r="V2052" s="11">
        <v>40.659999999999997</v>
      </c>
      <c r="W2052" s="11">
        <f ca="1"/>
        <v>0</v>
      </c>
      <c r="X2052" s="11">
        <f ca="1"/>
        <v>0.39877104377104378</v>
      </c>
      <c r="Y2052" s="11">
        <v>0</v>
      </c>
      <c r="Z2052" s="11">
        <f ca="1"/>
        <v>10.861228956228963</v>
      </c>
      <c r="AA2052" s="11">
        <f ca="1"/>
        <v>5.4306144781144816</v>
      </c>
      <c r="AB2052" s="4">
        <f ca="1"/>
        <v>45883</v>
      </c>
      <c r="AC2052" s="4">
        <v>45883</v>
      </c>
      <c r="AD2052" s="9">
        <v>45887</v>
      </c>
      <c r="AE2052" s="9">
        <v>45888</v>
      </c>
      <c r="AF2052" s="4" t="str">
        <f t="shared" ca="1" si="146"/>
        <v>2025 08</v>
      </c>
      <c r="AG2052" s="8" t="str" cm="1">
        <f t="array" ref="AG2052">IFERROR(_xlfn.IFS('Banco de Dados'!#REF!="AG. COMPRA","Em processamento",'Banco de Dados'!#REF!="AG. RASTREIO","Em processamento",'Banco de Dados'!$AE2052&lt;&gt;"-","Faturado",'Banco de Dados'!$AD2052&lt;&gt;"-","Aguardando Pix",'Banco de Dados'!$AC2052&lt;&gt;"-","Pendente"),"Aguardando Liberação")</f>
        <v>Aguardando Liberação</v>
      </c>
      <c r="AH2052" s="5" t="str">
        <f>IF('Banco de Dados'!$F2052="-",_xlfn.CONCAT(PROPER(TEXT(AK2052,"aaaa"))," ",PROPER(TEXT(AK2052,"mm"))),_xlfn.CONCAT(PROPER(TEXT(E2052,"aaaa"))," ",PROPER(TEXT(E2052,"mm"))))</f>
        <v>2025 07</v>
      </c>
      <c r="AI2052" s="9" t="str">
        <f ca="1">IF('Banco de Dados'!$AK2052&lt;&gt;"-","REEMBOLSO",IFERROR(_xlfn.XLOOKUP(G2052,Follow[CODRASTREIO],Follow[STATUS]),"-"))</f>
        <v>ENTREGUE</v>
      </c>
      <c r="AJ2052" s="9">
        <f ca="1">IF('Banco de Dados'!$AI2052="ENTREGUE",_xlfn.XLOOKUP('Banco de Dados'!$G2052,Follow[CODRASTREIO],Follow[DATAATUALIZAÇÃO]),"-")</f>
        <v>45866</v>
      </c>
      <c r="AK2052" s="132" t="str">
        <f ca="1"/>
        <v>-</v>
      </c>
      <c r="AL2052" s="35"/>
      <c r="AM2052" s="109" cm="1">
        <f t="array" aca="1" ref="AM2052" ca="1">IF('Banco de Dados'!$AK2052&lt;&gt;"-",_xlfn.IFS('Banco de Dados'!$A2052="bv",IF('Banco de Dados'!$E2052&lt;45641,ROUND(SUM('Banco de Dados'!$R2052*_xlfn.XLOOKUP('Banco de Dados'!$P2052,Sku!B:B,Sku!#REF!)*20%),2),ROUND(SUM('Banco de Dados'!$R2052*_xlfn.XLOOKUP('Banco de Dados'!$P2052,Sku!B:B,Sku!H:H)*20%),2)),'Banco de Dados'!$A2052="GO",ROUND(_xlfn.XLOOKUP('Banco de Dados'!$P2052,Sku!C:C,Sku!H:H),2),'Banco de Dados'!$A2052="MEI",ROUND(_xlfn.XLOOKUP('Banco de Dados'!$P2052,Sku!D:D,Sku!H:H),2)),0)</f>
        <v>0</v>
      </c>
      <c r="AN2052" s="109">
        <v>0</v>
      </c>
      <c r="AO2052" s="109">
        <v>0</v>
      </c>
      <c r="AP2052" s="28">
        <f ca="1">IF('Banco de Dados'!$AK2052&lt;&gt;"-",IF('Banco de Dados'!$AL2052="NÃO",IFERROR(VALUE(SUBSTITUTE(_xlfn.TEXTAFTER('Banco de Dados'!$F2052,"BRL ",1),".",",")),0),0),0)</f>
        <v>0</v>
      </c>
      <c r="AQ2052" s="28">
        <f ca="1">SUM('Banco de Dados'!$AM2052:$AP2052)</f>
        <v>0</v>
      </c>
      <c r="AR2052" s="8"/>
      <c r="AS2052" s="8"/>
      <c r="AT2052"/>
      <c r="AY2052" s="8"/>
    </row>
    <row r="2053" spans="1:51">
      <c r="A2053" s="5" t="str">
        <v>BV</v>
      </c>
      <c r="B2053" s="5" t="str">
        <f ca="1"/>
        <v>BV45860</v>
      </c>
      <c r="C2053" s="8" t="str">
        <v>Pedido 2039</v>
      </c>
      <c r="D2053" s="187">
        <v>45855</v>
      </c>
      <c r="E2053" s="9">
        <v>45860</v>
      </c>
      <c r="F2053" s="2" t="str">
        <v>PedidoF1923</v>
      </c>
      <c r="G2053" s="2" t="str">
        <v>CódRastreio1921</v>
      </c>
      <c r="H2053" s="5">
        <v>1</v>
      </c>
      <c r="I2053" s="182" t="str">
        <v>CPF 1995</v>
      </c>
      <c r="J2053" s="2" t="str">
        <v>Nome 1995</v>
      </c>
      <c r="K2053" s="8" t="str">
        <v>Tel 1995</v>
      </c>
      <c r="L2053" s="8" t="str">
        <v>Cep 1995</v>
      </c>
      <c r="M2053" s="8" t="str">
        <v>Rua 1995</v>
      </c>
      <c r="N2053" s="8" t="str">
        <v>Comp 1995</v>
      </c>
      <c r="O2053" s="8" t="str">
        <v>Bolsa térmica</v>
      </c>
      <c r="P2053" s="8" t="str">
        <v>6I-CK1S-8HYZ</v>
      </c>
      <c r="Q2053" s="4">
        <v>45876</v>
      </c>
      <c r="R2053" s="109">
        <v>29.5</v>
      </c>
      <c r="S2053" s="11">
        <f ca="1"/>
        <v>29.5</v>
      </c>
      <c r="T2053" s="28">
        <f ca="1"/>
        <v>3.54</v>
      </c>
      <c r="U2053" s="11">
        <f ca="1"/>
        <v>25.96</v>
      </c>
      <c r="V2053" s="11">
        <v>22.58</v>
      </c>
      <c r="W2053" s="11">
        <f ca="1"/>
        <v>0</v>
      </c>
      <c r="X2053" s="11">
        <f ca="1"/>
        <v>0.39877104377104378</v>
      </c>
      <c r="Y2053" s="11">
        <v>1</v>
      </c>
      <c r="Z2053" s="11">
        <f ca="1"/>
        <v>1.9812289562289571</v>
      </c>
      <c r="AA2053" s="11">
        <f ca="1"/>
        <v>0.99061447811447856</v>
      </c>
      <c r="AB2053" s="4">
        <f ca="1"/>
        <v>45883</v>
      </c>
      <c r="AC2053" s="4">
        <v>45883</v>
      </c>
      <c r="AD2053" s="9">
        <v>45887</v>
      </c>
      <c r="AE2053" s="9">
        <v>45888</v>
      </c>
      <c r="AF2053" s="4" t="str">
        <f t="shared" ca="1" si="146"/>
        <v>2025 08</v>
      </c>
      <c r="AG2053" s="8" t="str" cm="1">
        <f t="array" ref="AG2053">IFERROR(_xlfn.IFS('Banco de Dados'!#REF!="AG. COMPRA","Em processamento",'Banco de Dados'!#REF!="AG. RASTREIO","Em processamento",'Banco de Dados'!$AE2053&lt;&gt;"-","Faturado",'Banco de Dados'!$AD2053&lt;&gt;"-","Aguardando Pix",'Banco de Dados'!$AC2053&lt;&gt;"-","Pendente"),"Aguardando Liberação")</f>
        <v>Aguardando Liberação</v>
      </c>
      <c r="AH2053" s="5" t="str">
        <f>IF('Banco de Dados'!$F2053="-",_xlfn.CONCAT(PROPER(TEXT(AK2053,"aaaa"))," ",PROPER(TEXT(AK2053,"mm"))),_xlfn.CONCAT(PROPER(TEXT(E2053,"aaaa"))," ",PROPER(TEXT(E2053,"mm"))))</f>
        <v>2025 07</v>
      </c>
      <c r="AI2053" s="9" t="str">
        <f ca="1">IF('Banco de Dados'!$AK2053&lt;&gt;"-","REEMBOLSO",IFERROR(_xlfn.XLOOKUP(G2053,Follow[CODRASTREIO],Follow[STATUS]),"-"))</f>
        <v>ENTREGUE</v>
      </c>
      <c r="AJ2053" s="9">
        <f ca="1">IF('Banco de Dados'!$AI2053="ENTREGUE",_xlfn.XLOOKUP('Banco de Dados'!$G2053,Follow[CODRASTREIO],Follow[DATAATUALIZAÇÃO]),"-")</f>
        <v>45864</v>
      </c>
      <c r="AK2053" s="132" t="str">
        <f ca="1"/>
        <v>-</v>
      </c>
      <c r="AL2053" s="35"/>
      <c r="AM2053" s="109" cm="1">
        <f t="array" aca="1" ref="AM2053" ca="1">IF('Banco de Dados'!$AK2053&lt;&gt;"-",_xlfn.IFS('Banco de Dados'!$A2053="bv",IF('Banco de Dados'!$E2053&lt;45641,ROUND(SUM('Banco de Dados'!$R2053*_xlfn.XLOOKUP('Banco de Dados'!$P2053,Sku!B:B,Sku!#REF!)*20%),2),ROUND(SUM('Banco de Dados'!$R2053*_xlfn.XLOOKUP('Banco de Dados'!$P2053,Sku!B:B,Sku!H:H)*20%),2)),'Banco de Dados'!$A2053="GO",ROUND(_xlfn.XLOOKUP('Banco de Dados'!$P2053,Sku!C:C,Sku!H:H),2),'Banco de Dados'!$A2053="MEI",ROUND(_xlfn.XLOOKUP('Banco de Dados'!$P2053,Sku!D:D,Sku!H:H),2)),0)</f>
        <v>0</v>
      </c>
      <c r="AN2053" s="109">
        <v>0</v>
      </c>
      <c r="AO2053" s="109">
        <v>0</v>
      </c>
      <c r="AP2053" s="28">
        <f ca="1">IF('Banco de Dados'!$AK2053&lt;&gt;"-",IF('Banco de Dados'!$AL2053="NÃO",IFERROR(VALUE(SUBSTITUTE(_xlfn.TEXTAFTER('Banco de Dados'!$F2053,"BRL ",1),".",",")),0),0),0)</f>
        <v>0</v>
      </c>
      <c r="AQ2053" s="28">
        <f ca="1">SUM('Banco de Dados'!$AM2053:$AP2053)</f>
        <v>0</v>
      </c>
      <c r="AR2053" s="8"/>
      <c r="AS2053" s="8"/>
      <c r="AT2053"/>
      <c r="AY2053" s="8"/>
    </row>
    <row r="2054" spans="1:51">
      <c r="A2054" s="5" t="str">
        <v>GO</v>
      </c>
      <c r="B2054" s="5" t="str">
        <f ca="1"/>
        <v>GO45860</v>
      </c>
      <c r="C2054" s="8" t="str">
        <v>Pedido 2040</v>
      </c>
      <c r="D2054" s="187">
        <v>45855</v>
      </c>
      <c r="E2054" s="9">
        <v>45860</v>
      </c>
      <c r="F2054" s="2" t="str">
        <v>PedidoF1924</v>
      </c>
      <c r="G2054" s="2" t="str">
        <v>CódRastreio1922</v>
      </c>
      <c r="H2054" s="5">
        <v>1</v>
      </c>
      <c r="I2054" s="182" t="str">
        <v>CPF 1996</v>
      </c>
      <c r="J2054" s="2" t="str">
        <v>Nome 1996</v>
      </c>
      <c r="K2054" s="8" t="str">
        <v>Tel 1996</v>
      </c>
      <c r="L2054" s="8" t="str">
        <v>Cep 1996</v>
      </c>
      <c r="M2054" s="8" t="str">
        <v>Rua 1996</v>
      </c>
      <c r="N2054" s="8" t="str">
        <v>Comp 1996</v>
      </c>
      <c r="O2054" s="8" t="str">
        <v>Ventilador Umidificador Preto</v>
      </c>
      <c r="P2054" s="8" t="str">
        <v>K9-YV2I-FO7H</v>
      </c>
      <c r="Q2054" s="4">
        <v>45881</v>
      </c>
      <c r="R2054" s="109">
        <v>54.99</v>
      </c>
      <c r="S2054" s="11">
        <f ca="1"/>
        <v>54.99</v>
      </c>
      <c r="T2054" s="28">
        <f ca="1"/>
        <v>6.0489000000000006</v>
      </c>
      <c r="U2054" s="11">
        <f ca="1"/>
        <v>48.94</v>
      </c>
      <c r="V2054" s="11">
        <v>36.72</v>
      </c>
      <c r="W2054" s="11">
        <f ca="1"/>
        <v>0</v>
      </c>
      <c r="X2054" s="11">
        <f ca="1"/>
        <v>0.39877104377104378</v>
      </c>
      <c r="Y2054" s="11">
        <v>0</v>
      </c>
      <c r="Z2054" s="11">
        <f ca="1"/>
        <v>11.821228956228957</v>
      </c>
      <c r="AA2054" s="11">
        <f ca="1"/>
        <v>11.821228956228957</v>
      </c>
      <c r="AB2054" s="4">
        <f ca="1"/>
        <v>45888</v>
      </c>
      <c r="AC2054" s="4">
        <v>45888</v>
      </c>
      <c r="AD2054" s="9">
        <v>45915</v>
      </c>
      <c r="AE2054" s="9">
        <v>45888</v>
      </c>
      <c r="AF2054" s="4" t="str">
        <f t="shared" ca="1" si="146"/>
        <v>2025 08</v>
      </c>
      <c r="AG2054" s="8" t="str" cm="1">
        <f t="array" ref="AG2054">IFERROR(_xlfn.IFS('Banco de Dados'!#REF!="AG. COMPRA","Em processamento",'Banco de Dados'!#REF!="AG. RASTREIO","Em processamento",'Banco de Dados'!$AE2054&lt;&gt;"-","Faturado",'Banco de Dados'!$AD2054&lt;&gt;"-","Aguardando Pix",'Banco de Dados'!$AC2054&lt;&gt;"-","Pendente"),"Aguardando Liberação")</f>
        <v>Aguardando Liberação</v>
      </c>
      <c r="AH2054" s="5" t="str">
        <f>IF('Banco de Dados'!$F2054="-",_xlfn.CONCAT(PROPER(TEXT(AK2054,"aaaa"))," ",PROPER(TEXT(AK2054,"mm"))),_xlfn.CONCAT(PROPER(TEXT(E2054,"aaaa"))," ",PROPER(TEXT(E2054,"mm"))))</f>
        <v>2025 07</v>
      </c>
      <c r="AI2054" s="9" t="str">
        <f ca="1">IF('Banco de Dados'!$AK2054&lt;&gt;"-","REEMBOLSO",IFERROR(_xlfn.XLOOKUP(G2054,Follow[CODRASTREIO],Follow[STATUS]),"-"))</f>
        <v>ENTREGUE</v>
      </c>
      <c r="AJ2054" s="9">
        <f ca="1">IF('Banco de Dados'!$AI2054="ENTREGUE",_xlfn.XLOOKUP('Banco de Dados'!$G2054,Follow[CODRASTREIO],Follow[DATAATUALIZAÇÃO]),"-")</f>
        <v>45864</v>
      </c>
      <c r="AK2054" s="132" t="str">
        <f ca="1"/>
        <v>-</v>
      </c>
      <c r="AL2054" s="35"/>
      <c r="AM2054" s="109" cm="1">
        <f t="array" aca="1" ref="AM2054" ca="1">IF('Banco de Dados'!$AK2054&lt;&gt;"-",_xlfn.IFS('Banco de Dados'!$A2054="bv",IF('Banco de Dados'!$E2054&lt;45641,ROUND(SUM('Banco de Dados'!$R2054*_xlfn.XLOOKUP('Banco de Dados'!$P2054,Sku!B:B,Sku!#REF!)*20%),2),ROUND(SUM('Banco de Dados'!$R2054*_xlfn.XLOOKUP('Banco de Dados'!$P2054,Sku!B:B,Sku!H:H)*20%),2)),'Banco de Dados'!$A2054="GO",ROUND(_xlfn.XLOOKUP('Banco de Dados'!$P2054,Sku!C:C,Sku!H:H),2),'Banco de Dados'!$A2054="MEI",ROUND(_xlfn.XLOOKUP('Banco de Dados'!$P2054,Sku!D:D,Sku!H:H),2)),0)</f>
        <v>0</v>
      </c>
      <c r="AN2054" s="109">
        <v>0</v>
      </c>
      <c r="AO2054" s="109">
        <v>0</v>
      </c>
      <c r="AP2054" s="28">
        <f ca="1">IF('Banco de Dados'!$AK2054&lt;&gt;"-",IF('Banco de Dados'!$AL2054="NÃO",IFERROR(VALUE(SUBSTITUTE(_xlfn.TEXTAFTER('Banco de Dados'!$F2054,"BRL ",1),".",",")),0),0),0)</f>
        <v>0</v>
      </c>
      <c r="AQ2054" s="28">
        <f ca="1">SUM('Banco de Dados'!$AM2054:$AP2054)</f>
        <v>0</v>
      </c>
      <c r="AR2054" s="8"/>
      <c r="AS2054" s="8"/>
      <c r="AT2054"/>
      <c r="AY2054" s="8"/>
    </row>
    <row r="2055" spans="1:51">
      <c r="A2055" s="5" t="str">
        <v>BV</v>
      </c>
      <c r="B2055" s="5" t="str">
        <f ca="1"/>
        <v>BV45861</v>
      </c>
      <c r="C2055" s="8" t="str">
        <v>Pedido 2041</v>
      </c>
      <c r="D2055" s="187">
        <v>45856</v>
      </c>
      <c r="E2055" s="9">
        <v>45861</v>
      </c>
      <c r="F2055" s="2" t="str">
        <v>PedidoF1925</v>
      </c>
      <c r="G2055" s="2" t="str">
        <v>CódRastreio1923</v>
      </c>
      <c r="H2055" s="5">
        <v>1</v>
      </c>
      <c r="I2055" s="182" t="str">
        <v>CPF 1997</v>
      </c>
      <c r="J2055" s="2" t="str">
        <v>Nome 1997</v>
      </c>
      <c r="K2055" s="8" t="str">
        <v>Tel 1997</v>
      </c>
      <c r="L2055" s="8" t="str">
        <v>Cep 1997</v>
      </c>
      <c r="M2055" s="8" t="str">
        <v>Rua 1997</v>
      </c>
      <c r="N2055" s="8" t="str">
        <v>Comp 1997</v>
      </c>
      <c r="O2055" s="8" t="str">
        <v>Bolsa térmica</v>
      </c>
      <c r="P2055" s="8" t="str">
        <v>6I-CK1S-8HYZ</v>
      </c>
      <c r="Q2055" s="4">
        <v>45870</v>
      </c>
      <c r="R2055" s="109">
        <v>29.5</v>
      </c>
      <c r="S2055" s="11">
        <f ca="1"/>
        <v>29.5</v>
      </c>
      <c r="T2055" s="28">
        <f ca="1"/>
        <v>3.54</v>
      </c>
      <c r="U2055" s="11">
        <f ca="1"/>
        <v>25.96</v>
      </c>
      <c r="V2055" s="11">
        <v>22.58</v>
      </c>
      <c r="W2055" s="11">
        <f ca="1"/>
        <v>0</v>
      </c>
      <c r="X2055" s="11">
        <f ca="1"/>
        <v>0.39877104377104378</v>
      </c>
      <c r="Y2055" s="11">
        <v>0</v>
      </c>
      <c r="Z2055" s="11">
        <f ca="1"/>
        <v>2.9812289562289571</v>
      </c>
      <c r="AA2055" s="11">
        <f ca="1"/>
        <v>1.4906144781144786</v>
      </c>
      <c r="AB2055" s="4">
        <f ca="1"/>
        <v>45877</v>
      </c>
      <c r="AC2055" s="4">
        <v>45877</v>
      </c>
      <c r="AD2055" s="9">
        <v>45887</v>
      </c>
      <c r="AE2055" s="9">
        <v>45888</v>
      </c>
      <c r="AF2055" s="4" t="str">
        <f t="shared" ref="AF2055:AF2059" ca="1" si="147">_xlfn.CONCAT(PROPER(TEXT(AB2055,"aaaa"))," ",PROPER(TEXT(AB2055,"mm")))</f>
        <v>2025 08</v>
      </c>
      <c r="AG2055" s="8" t="str" cm="1">
        <f t="array" ref="AG2055">IFERROR(_xlfn.IFS('Banco de Dados'!#REF!="AG. COMPRA","Em processamento",'Banco de Dados'!#REF!="AG. RASTREIO","Em processamento",'Banco de Dados'!$AE2055&lt;&gt;"-","Faturado",'Banco de Dados'!$AD2055&lt;&gt;"-","Aguardando Pix",'Banco de Dados'!$AC2055&lt;&gt;"-","Pendente"),"Aguardando Liberação")</f>
        <v>Aguardando Liberação</v>
      </c>
      <c r="AH2055" s="5" t="str">
        <f>IF('Banco de Dados'!$F2055="-",_xlfn.CONCAT(PROPER(TEXT(AK2055,"aaaa"))," ",PROPER(TEXT(AK2055,"mm"))),_xlfn.CONCAT(PROPER(TEXT(E2055,"aaaa"))," ",PROPER(TEXT(E2055,"mm"))))</f>
        <v>2025 07</v>
      </c>
      <c r="AI2055" s="9" t="str">
        <f ca="1">IF('Banco de Dados'!$AK2055&lt;&gt;"-","REEMBOLSO",IFERROR(_xlfn.XLOOKUP(G2055,Follow[CODRASTREIO],Follow[STATUS]),"-"))</f>
        <v>ENTREGUE</v>
      </c>
      <c r="AJ2055" s="9">
        <f ca="1">IF('Banco de Dados'!$AI2055="ENTREGUE",_xlfn.XLOOKUP('Banco de Dados'!$G2055,Follow[CODRASTREIO],Follow[DATAATUALIZAÇÃO]),"-")</f>
        <v>45866</v>
      </c>
      <c r="AK2055" s="132" t="str">
        <f ca="1"/>
        <v>-</v>
      </c>
      <c r="AL2055" s="35"/>
      <c r="AM2055" s="109" cm="1">
        <f t="array" aca="1" ref="AM2055" ca="1">IF('Banco de Dados'!$AK2055&lt;&gt;"-",_xlfn.IFS('Banco de Dados'!$A2055="bv",IF('Banco de Dados'!$E2055&lt;45641,ROUND(SUM('Banco de Dados'!$R2055*_xlfn.XLOOKUP('Banco de Dados'!$P2055,Sku!B:B,Sku!#REF!)*20%),2),ROUND(SUM('Banco de Dados'!$R2055*_xlfn.XLOOKUP('Banco de Dados'!$P2055,Sku!B:B,Sku!H:H)*20%),2)),'Banco de Dados'!$A2055="GO",ROUND(_xlfn.XLOOKUP('Banco de Dados'!$P2055,Sku!C:C,Sku!H:H),2),'Banco de Dados'!$A2055="MEI",ROUND(_xlfn.XLOOKUP('Banco de Dados'!$P2055,Sku!D:D,Sku!H:H),2)),0)</f>
        <v>0</v>
      </c>
      <c r="AN2055" s="109">
        <v>0</v>
      </c>
      <c r="AO2055" s="109">
        <v>0</v>
      </c>
      <c r="AP2055" s="28">
        <f ca="1">IF('Banco de Dados'!$AK2055&lt;&gt;"-",IF('Banco de Dados'!$AL2055="NÃO",IFERROR(VALUE(SUBSTITUTE(_xlfn.TEXTAFTER('Banco de Dados'!$F2055,"BRL ",1),".",",")),0),0),0)</f>
        <v>0</v>
      </c>
      <c r="AQ2055" s="28">
        <f ca="1">SUM('Banco de Dados'!$AM2055:$AP2055)</f>
        <v>0</v>
      </c>
      <c r="AR2055" s="8"/>
      <c r="AS2055" s="8"/>
      <c r="AT2055"/>
      <c r="AY2055" s="8"/>
    </row>
    <row r="2056" spans="1:51">
      <c r="A2056" s="5" t="str">
        <v>BV</v>
      </c>
      <c r="B2056" s="5" t="str">
        <f ca="1"/>
        <v>BV45861</v>
      </c>
      <c r="C2056" s="8" t="str">
        <v>Pedido 2042</v>
      </c>
      <c r="D2056" s="187">
        <v>45856</v>
      </c>
      <c r="E2056" s="9">
        <v>45861</v>
      </c>
      <c r="F2056" s="2" t="str">
        <v>PedidoF1926</v>
      </c>
      <c r="G2056" s="2" t="str">
        <v>CódRastreio1924</v>
      </c>
      <c r="H2056" s="5">
        <v>1</v>
      </c>
      <c r="I2056" s="182" t="str">
        <v>CPF 1998</v>
      </c>
      <c r="J2056" s="2" t="str">
        <v>Nome 1998</v>
      </c>
      <c r="K2056" s="8" t="str">
        <v>Tel 1998</v>
      </c>
      <c r="L2056" s="8" t="str">
        <v>Cep 1998</v>
      </c>
      <c r="M2056" s="8" t="str">
        <v>Rua 1998</v>
      </c>
      <c r="N2056" s="8" t="str">
        <v>Comp 1998</v>
      </c>
      <c r="O2056" s="8" t="str">
        <v>Bolsa térmica</v>
      </c>
      <c r="P2056" s="8" t="str">
        <v>6I-CK1S-8HYZ</v>
      </c>
      <c r="Q2056" s="4">
        <v>45871</v>
      </c>
      <c r="R2056" s="109">
        <v>29.5</v>
      </c>
      <c r="S2056" s="11">
        <f ca="1"/>
        <v>29.5</v>
      </c>
      <c r="T2056" s="28">
        <f ca="1"/>
        <v>3.54</v>
      </c>
      <c r="U2056" s="11">
        <f ca="1"/>
        <v>25.96</v>
      </c>
      <c r="V2056" s="11">
        <v>22.58</v>
      </c>
      <c r="W2056" s="11">
        <f ca="1"/>
        <v>0</v>
      </c>
      <c r="X2056" s="11">
        <f ca="1"/>
        <v>0.39877104377104378</v>
      </c>
      <c r="Y2056" s="11">
        <v>0</v>
      </c>
      <c r="Z2056" s="11">
        <f ca="1"/>
        <v>2.9812289562289571</v>
      </c>
      <c r="AA2056" s="11">
        <f ca="1"/>
        <v>1.4906144781144786</v>
      </c>
      <c r="AB2056" s="4">
        <f ca="1"/>
        <v>45878</v>
      </c>
      <c r="AC2056" s="4">
        <v>45878</v>
      </c>
      <c r="AD2056" s="9">
        <v>45887</v>
      </c>
      <c r="AE2056" s="9">
        <v>45888</v>
      </c>
      <c r="AF2056" s="4" t="str">
        <f t="shared" ca="1" si="147"/>
        <v>2025 08</v>
      </c>
      <c r="AG2056" s="8" t="str" cm="1">
        <f t="array" ref="AG2056">IFERROR(_xlfn.IFS('Banco de Dados'!#REF!="AG. COMPRA","Em processamento",'Banco de Dados'!#REF!="AG. RASTREIO","Em processamento",'Banco de Dados'!$AE2056&lt;&gt;"-","Faturado",'Banco de Dados'!$AD2056&lt;&gt;"-","Aguardando Pix",'Banco de Dados'!$AC2056&lt;&gt;"-","Pendente"),"Aguardando Liberação")</f>
        <v>Aguardando Liberação</v>
      </c>
      <c r="AH2056" s="5" t="str">
        <f>IF('Banco de Dados'!$F2056="-",_xlfn.CONCAT(PROPER(TEXT(AK2056,"aaaa"))," ",PROPER(TEXT(AK2056,"mm"))),_xlfn.CONCAT(PROPER(TEXT(E2056,"aaaa"))," ",PROPER(TEXT(E2056,"mm"))))</f>
        <v>2025 07</v>
      </c>
      <c r="AI2056" s="9" t="str">
        <f ca="1">IF('Banco de Dados'!$AK2056&lt;&gt;"-","REEMBOLSO",IFERROR(_xlfn.XLOOKUP(G2056,Follow[CODRASTREIO],Follow[STATUS]),"-"))</f>
        <v>EM TRÂNSITO</v>
      </c>
      <c r="AJ2056" s="9" t="str">
        <f ca="1">IF('Banco de Dados'!$AI2056="ENTREGUE",_xlfn.XLOOKUP('Banco de Dados'!$G2056,Follow[CODRASTREIO],Follow[DATAATUALIZAÇÃO]),"-")</f>
        <v>-</v>
      </c>
      <c r="AK2056" s="132" t="str">
        <f ca="1"/>
        <v>-</v>
      </c>
      <c r="AL2056" s="35"/>
      <c r="AM2056" s="109" cm="1">
        <f t="array" aca="1" ref="AM2056" ca="1">IF('Banco de Dados'!$AK2056&lt;&gt;"-",_xlfn.IFS('Banco de Dados'!$A2056="bv",IF('Banco de Dados'!$E2056&lt;45641,ROUND(SUM('Banco de Dados'!$R2056*_xlfn.XLOOKUP('Banco de Dados'!$P2056,Sku!B:B,Sku!#REF!)*20%),2),ROUND(SUM('Banco de Dados'!$R2056*_xlfn.XLOOKUP('Banco de Dados'!$P2056,Sku!B:B,Sku!H:H)*20%),2)),'Banco de Dados'!$A2056="GO",ROUND(_xlfn.XLOOKUP('Banco de Dados'!$P2056,Sku!C:C,Sku!H:H),2),'Banco de Dados'!$A2056="MEI",ROUND(_xlfn.XLOOKUP('Banco de Dados'!$P2056,Sku!D:D,Sku!H:H),2)),0)</f>
        <v>0</v>
      </c>
      <c r="AN2056" s="109">
        <v>0</v>
      </c>
      <c r="AO2056" s="109">
        <v>0</v>
      </c>
      <c r="AP2056" s="28">
        <f ca="1">IF('Banco de Dados'!$AK2056&lt;&gt;"-",IF('Banco de Dados'!$AL2056="NÃO",IFERROR(VALUE(SUBSTITUTE(_xlfn.TEXTAFTER('Banco de Dados'!$F2056,"BRL ",1),".",",")),0),0),0)</f>
        <v>0</v>
      </c>
      <c r="AQ2056" s="28">
        <f ca="1">SUM('Banco de Dados'!$AM2056:$AP2056)</f>
        <v>0</v>
      </c>
      <c r="AR2056" s="8"/>
      <c r="AS2056" s="8"/>
      <c r="AT2056"/>
      <c r="AY2056" s="8"/>
    </row>
    <row r="2057" spans="1:51">
      <c r="A2057" s="5" t="str">
        <v>BV</v>
      </c>
      <c r="B2057" s="5" t="str">
        <f ca="1"/>
        <v>BV45861</v>
      </c>
      <c r="C2057" s="8" t="str">
        <v>Pedido 2043</v>
      </c>
      <c r="D2057" s="187">
        <v>45856</v>
      </c>
      <c r="E2057" s="9">
        <v>45861</v>
      </c>
      <c r="F2057" s="2" t="str">
        <v>PedidoF1927</v>
      </c>
      <c r="G2057" s="2" t="str">
        <v>CódRastreio1925</v>
      </c>
      <c r="H2057" s="5">
        <v>1</v>
      </c>
      <c r="I2057" s="182" t="str">
        <v>CPF 1999</v>
      </c>
      <c r="J2057" s="2" t="str">
        <v>Nome 1999</v>
      </c>
      <c r="K2057" s="8" t="str">
        <v>Tel 1999</v>
      </c>
      <c r="L2057" s="8" t="str">
        <v>Cep 1999</v>
      </c>
      <c r="M2057" s="8" t="str">
        <v>Rua 1999</v>
      </c>
      <c r="N2057" s="8" t="str">
        <v>Comp 1999</v>
      </c>
      <c r="O2057" s="8" t="str">
        <v>Bolsa térmica</v>
      </c>
      <c r="P2057" s="8" t="str">
        <v>6I-CK1S-8HYZ</v>
      </c>
      <c r="Q2057" s="4">
        <v>45875</v>
      </c>
      <c r="R2057" s="109">
        <v>29.5</v>
      </c>
      <c r="S2057" s="11">
        <f ca="1"/>
        <v>29.5</v>
      </c>
      <c r="T2057" s="28">
        <f ca="1"/>
        <v>3.54</v>
      </c>
      <c r="U2057" s="11">
        <f ca="1"/>
        <v>25.96</v>
      </c>
      <c r="V2057" s="11">
        <v>22.58</v>
      </c>
      <c r="W2057" s="11">
        <f ca="1"/>
        <v>0</v>
      </c>
      <c r="X2057" s="11">
        <f ca="1"/>
        <v>0.39877104377104378</v>
      </c>
      <c r="Y2057" s="11">
        <v>0</v>
      </c>
      <c r="Z2057" s="11">
        <f ca="1"/>
        <v>2.9812289562289571</v>
      </c>
      <c r="AA2057" s="11">
        <f ca="1"/>
        <v>1.4906144781144786</v>
      </c>
      <c r="AB2057" s="4">
        <f ca="1"/>
        <v>45882</v>
      </c>
      <c r="AC2057" s="4">
        <v>45882</v>
      </c>
      <c r="AD2057" s="9">
        <v>45887</v>
      </c>
      <c r="AE2057" s="9">
        <v>45888</v>
      </c>
      <c r="AF2057" s="4" t="str">
        <f t="shared" ca="1" si="147"/>
        <v>2025 08</v>
      </c>
      <c r="AG2057" s="8" t="str" cm="1">
        <f t="array" ref="AG2057">IFERROR(_xlfn.IFS('Banco de Dados'!#REF!="AG. COMPRA","Em processamento",'Banco de Dados'!#REF!="AG. RASTREIO","Em processamento",'Banco de Dados'!$AE2057&lt;&gt;"-","Faturado",'Banco de Dados'!$AD2057&lt;&gt;"-","Aguardando Pix",'Banco de Dados'!$AC2057&lt;&gt;"-","Pendente"),"Aguardando Liberação")</f>
        <v>Aguardando Liberação</v>
      </c>
      <c r="AH2057" s="5" t="str">
        <f>IF('Banco de Dados'!$F2057="-",_xlfn.CONCAT(PROPER(TEXT(AK2057,"aaaa"))," ",PROPER(TEXT(AK2057,"mm"))),_xlfn.CONCAT(PROPER(TEXT(E2057,"aaaa"))," ",PROPER(TEXT(E2057,"mm"))))</f>
        <v>2025 07</v>
      </c>
      <c r="AI2057" s="9" t="str">
        <f ca="1">IF('Banco de Dados'!$AK2057&lt;&gt;"-","REEMBOLSO",IFERROR(_xlfn.XLOOKUP(G2057,Follow[CODRASTREIO],Follow[STATUS]),"-"))</f>
        <v>ENTREGUE</v>
      </c>
      <c r="AJ2057" s="9">
        <f ca="1">IF('Banco de Dados'!$AI2057="ENTREGUE",_xlfn.XLOOKUP('Banco de Dados'!$G2057,Follow[CODRASTREIO],Follow[DATAATUALIZAÇÃO]),"-")</f>
        <v>45866</v>
      </c>
      <c r="AK2057" s="132" t="str">
        <f ca="1"/>
        <v>-</v>
      </c>
      <c r="AL2057" s="35"/>
      <c r="AM2057" s="109" cm="1">
        <f t="array" aca="1" ref="AM2057" ca="1">IF('Banco de Dados'!$AK2057&lt;&gt;"-",_xlfn.IFS('Banco de Dados'!$A2057="bv",IF('Banco de Dados'!$E2057&lt;45641,ROUND(SUM('Banco de Dados'!$R2057*_xlfn.XLOOKUP('Banco de Dados'!$P2057,Sku!B:B,Sku!#REF!)*20%),2),ROUND(SUM('Banco de Dados'!$R2057*_xlfn.XLOOKUP('Banco de Dados'!$P2057,Sku!B:B,Sku!H:H)*20%),2)),'Banco de Dados'!$A2057="GO",ROUND(_xlfn.XLOOKUP('Banco de Dados'!$P2057,Sku!C:C,Sku!H:H),2),'Banco de Dados'!$A2057="MEI",ROUND(_xlfn.XLOOKUP('Banco de Dados'!$P2057,Sku!D:D,Sku!H:H),2)),0)</f>
        <v>0</v>
      </c>
      <c r="AN2057" s="109">
        <v>0</v>
      </c>
      <c r="AO2057" s="109">
        <v>0</v>
      </c>
      <c r="AP2057" s="28">
        <f ca="1">IF('Banco de Dados'!$AK2057&lt;&gt;"-",IF('Banco de Dados'!$AL2057="NÃO",IFERROR(VALUE(SUBSTITUTE(_xlfn.TEXTAFTER('Banco de Dados'!$F2057,"BRL ",1),".",",")),0),0),0)</f>
        <v>0</v>
      </c>
      <c r="AQ2057" s="28">
        <f ca="1">SUM('Banco de Dados'!$AM2057:$AP2057)</f>
        <v>0</v>
      </c>
      <c r="AR2057" s="8"/>
      <c r="AS2057" s="8"/>
      <c r="AT2057"/>
      <c r="AY2057" s="8"/>
    </row>
    <row r="2058" spans="1:51">
      <c r="A2058" s="5" t="str">
        <v>BV</v>
      </c>
      <c r="B2058" s="5" t="str">
        <f ca="1"/>
        <v>BV45861</v>
      </c>
      <c r="C2058" s="8" t="str">
        <v>Pedido 2044</v>
      </c>
      <c r="D2058" s="187">
        <v>45856</v>
      </c>
      <c r="E2058" s="9">
        <v>45861</v>
      </c>
      <c r="F2058" s="2" t="str">
        <v>PedidoF1928</v>
      </c>
      <c r="G2058" s="2" t="str">
        <v>CódRastreio1926</v>
      </c>
      <c r="H2058" s="5">
        <v>1</v>
      </c>
      <c r="I2058" s="182" t="str">
        <v>CPF 2000</v>
      </c>
      <c r="J2058" s="2" t="str">
        <v>Nome 2000</v>
      </c>
      <c r="K2058" s="8" t="str">
        <v>Tel 2000</v>
      </c>
      <c r="L2058" s="8" t="str">
        <v>Cep 2000</v>
      </c>
      <c r="M2058" s="8" t="str">
        <v>Rua 2000</v>
      </c>
      <c r="N2058" s="8" t="str">
        <v>Comp 2000</v>
      </c>
      <c r="O2058" s="8" t="str">
        <v>Bolsa térmica</v>
      </c>
      <c r="P2058" s="8" t="str">
        <v>6I-CK1S-8HYZ</v>
      </c>
      <c r="Q2058" s="4">
        <v>45877</v>
      </c>
      <c r="R2058" s="109">
        <v>29.5</v>
      </c>
      <c r="S2058" s="11">
        <f ca="1"/>
        <v>29.5</v>
      </c>
      <c r="T2058" s="28">
        <f ca="1"/>
        <v>3.54</v>
      </c>
      <c r="U2058" s="11">
        <f ca="1"/>
        <v>25.96</v>
      </c>
      <c r="V2058" s="11">
        <v>22.58</v>
      </c>
      <c r="W2058" s="11">
        <f ca="1"/>
        <v>0</v>
      </c>
      <c r="X2058" s="11">
        <f ca="1"/>
        <v>0.39877104377104378</v>
      </c>
      <c r="Y2058" s="11">
        <v>0</v>
      </c>
      <c r="Z2058" s="11">
        <f ca="1"/>
        <v>2.9812289562289571</v>
      </c>
      <c r="AA2058" s="11">
        <f ca="1"/>
        <v>1.4906144781144786</v>
      </c>
      <c r="AB2058" s="4">
        <f ca="1"/>
        <v>45884</v>
      </c>
      <c r="AC2058" s="4">
        <v>45884</v>
      </c>
      <c r="AD2058" s="9">
        <v>45887</v>
      </c>
      <c r="AE2058" s="9">
        <v>45888</v>
      </c>
      <c r="AF2058" s="4" t="str">
        <f t="shared" ca="1" si="147"/>
        <v>2025 08</v>
      </c>
      <c r="AG2058" s="8" t="str" cm="1">
        <f t="array" ref="AG2058">IFERROR(_xlfn.IFS('Banco de Dados'!#REF!="AG. COMPRA","Em processamento",'Banco de Dados'!#REF!="AG. RASTREIO","Em processamento",'Banco de Dados'!$AE2058&lt;&gt;"-","Faturado",'Banco de Dados'!$AD2058&lt;&gt;"-","Aguardando Pix",'Banco de Dados'!$AC2058&lt;&gt;"-","Pendente"),"Aguardando Liberação")</f>
        <v>Aguardando Liberação</v>
      </c>
      <c r="AH2058" s="5" t="str">
        <f>IF('Banco de Dados'!$F2058="-",_xlfn.CONCAT(PROPER(TEXT(AK2058,"aaaa"))," ",PROPER(TEXT(AK2058,"mm"))),_xlfn.CONCAT(PROPER(TEXT(E2058,"aaaa"))," ",PROPER(TEXT(E2058,"mm"))))</f>
        <v>2025 07</v>
      </c>
      <c r="AI2058" s="9" t="str">
        <f ca="1">IF('Banco de Dados'!$AK2058&lt;&gt;"-","REEMBOLSO",IFERROR(_xlfn.XLOOKUP(G2058,Follow[CODRASTREIO],Follow[STATUS]),"-"))</f>
        <v>ENTREGUE</v>
      </c>
      <c r="AJ2058" s="9">
        <f ca="1">IF('Banco de Dados'!$AI2058="ENTREGUE",_xlfn.XLOOKUP('Banco de Dados'!$G2058,Follow[CODRASTREIO],Follow[DATAATUALIZAÇÃO]),"-")</f>
        <v>45867</v>
      </c>
      <c r="AK2058" s="132" t="str">
        <f ca="1"/>
        <v>-</v>
      </c>
      <c r="AL2058" s="35"/>
      <c r="AM2058" s="109" cm="1">
        <f t="array" aca="1" ref="AM2058" ca="1">IF('Banco de Dados'!$AK2058&lt;&gt;"-",_xlfn.IFS('Banco de Dados'!$A2058="bv",IF('Banco de Dados'!$E2058&lt;45641,ROUND(SUM('Banco de Dados'!$R2058*_xlfn.XLOOKUP('Banco de Dados'!$P2058,Sku!B:B,Sku!#REF!)*20%),2),ROUND(SUM('Banco de Dados'!$R2058*_xlfn.XLOOKUP('Banco de Dados'!$P2058,Sku!B:B,Sku!H:H)*20%),2)),'Banco de Dados'!$A2058="GO",ROUND(_xlfn.XLOOKUP('Banco de Dados'!$P2058,Sku!C:C,Sku!H:H),2),'Banco de Dados'!$A2058="MEI",ROUND(_xlfn.XLOOKUP('Banco de Dados'!$P2058,Sku!D:D,Sku!H:H),2)),0)</f>
        <v>0</v>
      </c>
      <c r="AN2058" s="109">
        <v>0</v>
      </c>
      <c r="AO2058" s="109">
        <v>0</v>
      </c>
      <c r="AP2058" s="28">
        <f ca="1">IF('Banco de Dados'!$AK2058&lt;&gt;"-",IF('Banco de Dados'!$AL2058="NÃO",IFERROR(VALUE(SUBSTITUTE(_xlfn.TEXTAFTER('Banco de Dados'!$F2058,"BRL ",1),".",",")),0),0),0)</f>
        <v>0</v>
      </c>
      <c r="AQ2058" s="28">
        <f ca="1">SUM('Banco de Dados'!$AM2058:$AP2058)</f>
        <v>0</v>
      </c>
      <c r="AR2058" s="8"/>
      <c r="AS2058" s="8"/>
      <c r="AT2058"/>
      <c r="AY2058" s="8"/>
    </row>
    <row r="2059" spans="1:51">
      <c r="A2059" s="5" t="str">
        <v>BV</v>
      </c>
      <c r="B2059" s="5" t="str">
        <f ca="1"/>
        <v>BV45861</v>
      </c>
      <c r="C2059" s="8" t="str">
        <v>Pedido 2045</v>
      </c>
      <c r="D2059" s="187">
        <v>45859</v>
      </c>
      <c r="E2059" s="9">
        <v>45861</v>
      </c>
      <c r="F2059" s="2" t="str">
        <v>PedidoF1929</v>
      </c>
      <c r="G2059" s="2" t="str">
        <v>CódRastreio1927</v>
      </c>
      <c r="H2059" s="5">
        <v>1</v>
      </c>
      <c r="I2059" s="182" t="str">
        <v>CPF 2001</v>
      </c>
      <c r="J2059" s="2" t="str">
        <v>Nome 2001</v>
      </c>
      <c r="K2059" s="8" t="str">
        <v>Tel 2001</v>
      </c>
      <c r="L2059" s="8" t="str">
        <v>Cep 2001</v>
      </c>
      <c r="M2059" s="8" t="str">
        <v>Rua 2001</v>
      </c>
      <c r="N2059" s="8" t="str">
        <v>Comp 2001</v>
      </c>
      <c r="O2059" s="8" t="str">
        <v>Bolsa térmica</v>
      </c>
      <c r="P2059" s="8" t="str">
        <v>6I-CK1S-8HYZ</v>
      </c>
      <c r="Q2059" s="4">
        <v>45875</v>
      </c>
      <c r="R2059" s="109">
        <v>31.99</v>
      </c>
      <c r="S2059" s="11">
        <f ca="1"/>
        <v>31.99</v>
      </c>
      <c r="T2059" s="28">
        <f ca="1"/>
        <v>3.8387999999999995</v>
      </c>
      <c r="U2059" s="11">
        <f ca="1"/>
        <v>28.15</v>
      </c>
      <c r="V2059" s="11">
        <v>22.58</v>
      </c>
      <c r="W2059" s="11">
        <f ca="1"/>
        <v>0</v>
      </c>
      <c r="X2059" s="11">
        <f ca="1"/>
        <v>0.39877104377104378</v>
      </c>
      <c r="Y2059" s="11">
        <v>0</v>
      </c>
      <c r="Z2059" s="11">
        <f ca="1"/>
        <v>5.1712289562289548</v>
      </c>
      <c r="AA2059" s="11">
        <f ca="1"/>
        <v>2.5856144781144774</v>
      </c>
      <c r="AB2059" s="4">
        <f ca="1"/>
        <v>45882</v>
      </c>
      <c r="AC2059" s="4">
        <v>45882</v>
      </c>
      <c r="AD2059" s="9">
        <v>45887</v>
      </c>
      <c r="AE2059" s="9">
        <v>45888</v>
      </c>
      <c r="AF2059" s="4" t="str">
        <f t="shared" ca="1" si="147"/>
        <v>2025 08</v>
      </c>
      <c r="AG2059" s="8" t="str" cm="1">
        <f t="array" ref="AG2059">IFERROR(_xlfn.IFS('Banco de Dados'!#REF!="AG. COMPRA","Em processamento",'Banco de Dados'!#REF!="AG. RASTREIO","Em processamento",'Banco de Dados'!$AE2059&lt;&gt;"-","Faturado",'Banco de Dados'!$AD2059&lt;&gt;"-","Aguardando Pix",'Banco de Dados'!$AC2059&lt;&gt;"-","Pendente"),"Aguardando Liberação")</f>
        <v>Aguardando Liberação</v>
      </c>
      <c r="AH2059" s="5" t="str">
        <f>IF('Banco de Dados'!$F2059="-",_xlfn.CONCAT(PROPER(TEXT(AK2059,"aaaa"))," ",PROPER(TEXT(AK2059,"mm"))),_xlfn.CONCAT(PROPER(TEXT(E2059,"aaaa"))," ",PROPER(TEXT(E2059,"mm"))))</f>
        <v>2025 07</v>
      </c>
      <c r="AI2059" s="9" t="str">
        <f ca="1">IF('Banco de Dados'!$AK2059&lt;&gt;"-","REEMBOLSO",IFERROR(_xlfn.XLOOKUP(G2059,Follow[CODRASTREIO],Follow[STATUS]),"-"))</f>
        <v>ENTREGUE</v>
      </c>
      <c r="AJ2059" s="9">
        <f ca="1">IF('Banco de Dados'!$AI2059="ENTREGUE",_xlfn.XLOOKUP('Banco de Dados'!$G2059,Follow[CODRASTREIO],Follow[DATAATUALIZAÇÃO]),"-")</f>
        <v>45866</v>
      </c>
      <c r="AK2059" s="132" t="str">
        <f ca="1"/>
        <v>-</v>
      </c>
      <c r="AL2059" s="35"/>
      <c r="AM2059" s="109" cm="1">
        <f t="array" aca="1" ref="AM2059" ca="1">IF('Banco de Dados'!$AK2059&lt;&gt;"-",_xlfn.IFS('Banco de Dados'!$A2059="bv",IF('Banco de Dados'!$E2059&lt;45641,ROUND(SUM('Banco de Dados'!$R2059*_xlfn.XLOOKUP('Banco de Dados'!$P2059,Sku!B:B,Sku!#REF!)*20%),2),ROUND(SUM('Banco de Dados'!$R2059*_xlfn.XLOOKUP('Banco de Dados'!$P2059,Sku!B:B,Sku!H:H)*20%),2)),'Banco de Dados'!$A2059="GO",ROUND(_xlfn.XLOOKUP('Banco de Dados'!$P2059,Sku!C:C,Sku!H:H),2),'Banco de Dados'!$A2059="MEI",ROUND(_xlfn.XLOOKUP('Banco de Dados'!$P2059,Sku!D:D,Sku!H:H),2)),0)</f>
        <v>0</v>
      </c>
      <c r="AN2059" s="109">
        <v>0</v>
      </c>
      <c r="AO2059" s="109">
        <v>0</v>
      </c>
      <c r="AP2059" s="28">
        <f ca="1">IF('Banco de Dados'!$AK2059&lt;&gt;"-",IF('Banco de Dados'!$AL2059="NÃO",IFERROR(VALUE(SUBSTITUTE(_xlfn.TEXTAFTER('Banco de Dados'!$F2059,"BRL ",1),".",",")),0),0),0)</f>
        <v>0</v>
      </c>
      <c r="AQ2059" s="28">
        <f ca="1">SUM('Banco de Dados'!$AM2059:$AP2059)</f>
        <v>0</v>
      </c>
      <c r="AR2059" s="8"/>
      <c r="AS2059" s="8"/>
      <c r="AT2059"/>
      <c r="AY2059" s="8"/>
    </row>
    <row r="2060" spans="1:51">
      <c r="A2060" s="5" t="str">
        <v>GO</v>
      </c>
      <c r="B2060" s="5" t="str">
        <f ca="1"/>
        <v>GO45860</v>
      </c>
      <c r="C2060" s="8" t="str">
        <v>Pedido 2046</v>
      </c>
      <c r="D2060" s="187">
        <v>45860</v>
      </c>
      <c r="E2060" s="9">
        <v>45860</v>
      </c>
      <c r="F2060" s="2" t="str">
        <v>PedidoF1930</v>
      </c>
      <c r="G2060" s="2" t="str">
        <v>CódRastreio1928</v>
      </c>
      <c r="H2060" s="5">
        <v>1</v>
      </c>
      <c r="I2060" s="182" t="str">
        <v>CPF 2002</v>
      </c>
      <c r="J2060" s="2" t="str">
        <v>Nome 2002</v>
      </c>
      <c r="K2060" s="8" t="str">
        <v>Tel 2002</v>
      </c>
      <c r="L2060" s="8" t="str">
        <v>Cep 2002</v>
      </c>
      <c r="M2060" s="8" t="str">
        <v>Rua 2002</v>
      </c>
      <c r="N2060" s="8" t="str">
        <v>Comp 2002</v>
      </c>
      <c r="O2060" s="8" t="str">
        <v>Ventilador Umidificador Preto</v>
      </c>
      <c r="P2060" s="8" t="str">
        <v>K9-YV2I-FO7H</v>
      </c>
      <c r="Q2060" s="4">
        <v>45881</v>
      </c>
      <c r="R2060" s="109">
        <v>54.99</v>
      </c>
      <c r="S2060" s="11">
        <f ca="1"/>
        <v>54.99</v>
      </c>
      <c r="T2060" s="28">
        <f ca="1"/>
        <v>6.0489000000000006</v>
      </c>
      <c r="U2060" s="11">
        <f ca="1"/>
        <v>48.94</v>
      </c>
      <c r="V2060" s="11">
        <v>36.72</v>
      </c>
      <c r="W2060" s="11">
        <f ca="1"/>
        <v>0</v>
      </c>
      <c r="X2060" s="11">
        <f ca="1"/>
        <v>0.39877104377104378</v>
      </c>
      <c r="Y2060" s="11">
        <v>0</v>
      </c>
      <c r="Z2060" s="11">
        <f ca="1"/>
        <v>11.821228956228957</v>
      </c>
      <c r="AA2060" s="11">
        <f ca="1"/>
        <v>11.821228956228957</v>
      </c>
      <c r="AB2060" s="4">
        <f ca="1"/>
        <v>45888</v>
      </c>
      <c r="AC2060" s="4">
        <v>45888</v>
      </c>
      <c r="AD2060" s="9">
        <v>45915</v>
      </c>
      <c r="AE2060" s="9">
        <v>45888</v>
      </c>
      <c r="AF2060" s="4" t="str">
        <f t="shared" ref="AF2060:AF2063" ca="1" si="148">_xlfn.CONCAT(PROPER(TEXT(AB2060,"aaaa"))," ",PROPER(TEXT(AB2060,"mm")))</f>
        <v>2025 08</v>
      </c>
      <c r="AG2060" s="8" t="str" cm="1">
        <f t="array" ref="AG2060">IFERROR(_xlfn.IFS('Banco de Dados'!#REF!="AG. COMPRA","Em processamento",'Banco de Dados'!#REF!="AG. RASTREIO","Em processamento",'Banco de Dados'!$AE2060&lt;&gt;"-","Faturado",'Banco de Dados'!$AD2060&lt;&gt;"-","Aguardando Pix",'Banco de Dados'!$AC2060&lt;&gt;"-","Pendente"),"Aguardando Liberação")</f>
        <v>Aguardando Liberação</v>
      </c>
      <c r="AH2060" s="5" t="str">
        <f>IF('Banco de Dados'!$F2060="-",_xlfn.CONCAT(PROPER(TEXT(AK2060,"aaaa"))," ",PROPER(TEXT(AK2060,"mm"))),_xlfn.CONCAT(PROPER(TEXT(E2060,"aaaa"))," ",PROPER(TEXT(E2060,"mm"))))</f>
        <v>2025 07</v>
      </c>
      <c r="AI2060" s="9" t="str">
        <f ca="1">IF('Banco de Dados'!$AK2060&lt;&gt;"-","REEMBOLSO",IFERROR(_xlfn.XLOOKUP(G2060,Follow[CODRASTREIO],Follow[STATUS]),"-"))</f>
        <v>ENTREGUE</v>
      </c>
      <c r="AJ2060" s="9">
        <f ca="1">IF('Banco de Dados'!$AI2060="ENTREGUE",_xlfn.XLOOKUP('Banco de Dados'!$G2060,Follow[CODRASTREIO],Follow[DATAATUALIZAÇÃO]),"-")</f>
        <v>45864</v>
      </c>
      <c r="AK2060" s="132" t="str">
        <f ca="1"/>
        <v>-</v>
      </c>
      <c r="AL2060" s="35"/>
      <c r="AM2060" s="109" cm="1">
        <f t="array" aca="1" ref="AM2060" ca="1">IF('Banco de Dados'!$AK2060&lt;&gt;"-",_xlfn.IFS('Banco de Dados'!$A2060="bv",IF('Banco de Dados'!$E2060&lt;45641,ROUND(SUM('Banco de Dados'!$R2060*_xlfn.XLOOKUP('Banco de Dados'!$P2060,Sku!B:B,Sku!#REF!)*20%),2),ROUND(SUM('Banco de Dados'!$R2060*_xlfn.XLOOKUP('Banco de Dados'!$P2060,Sku!B:B,Sku!H:H)*20%),2)),'Banco de Dados'!$A2060="GO",ROUND(_xlfn.XLOOKUP('Banco de Dados'!$P2060,Sku!C:C,Sku!H:H),2),'Banco de Dados'!$A2060="MEI",ROUND(_xlfn.XLOOKUP('Banco de Dados'!$P2060,Sku!D:D,Sku!H:H),2)),0)</f>
        <v>0</v>
      </c>
      <c r="AN2060" s="109">
        <v>0</v>
      </c>
      <c r="AO2060" s="109">
        <v>0</v>
      </c>
      <c r="AP2060" s="28">
        <f ca="1">IF('Banco de Dados'!$AK2060&lt;&gt;"-",IF('Banco de Dados'!$AL2060="NÃO",IFERROR(VALUE(SUBSTITUTE(_xlfn.TEXTAFTER('Banco de Dados'!$F2060,"BRL ",1),".",",")),0),0),0)</f>
        <v>0</v>
      </c>
      <c r="AQ2060" s="28">
        <f ca="1">SUM('Banco de Dados'!$AM2060:$AP2060)</f>
        <v>0</v>
      </c>
      <c r="AR2060" s="8"/>
      <c r="AS2060" s="8"/>
      <c r="AT2060"/>
      <c r="AY2060" s="8"/>
    </row>
    <row r="2061" spans="1:51">
      <c r="A2061" s="5" t="str">
        <v>GO</v>
      </c>
      <c r="B2061" s="5" t="str">
        <f ca="1"/>
        <v>GO45860</v>
      </c>
      <c r="C2061" s="8" t="str">
        <v>Pedido 2047</v>
      </c>
      <c r="D2061" s="187">
        <v>45860</v>
      </c>
      <c r="E2061" s="9">
        <v>45860</v>
      </c>
      <c r="F2061" s="2" t="str">
        <v>PedidoF1930</v>
      </c>
      <c r="G2061" s="2" t="str">
        <v>CódRastreio1928</v>
      </c>
      <c r="H2061" s="5">
        <v>1</v>
      </c>
      <c r="I2061" s="182" t="str">
        <v>CPF 2002</v>
      </c>
      <c r="J2061" s="2" t="str">
        <v>Nome 2002</v>
      </c>
      <c r="K2061" s="8" t="str">
        <v>Tel 2002</v>
      </c>
      <c r="L2061" s="8" t="str">
        <v>Cep 2002</v>
      </c>
      <c r="M2061" s="8" t="str">
        <v>Rua 2002</v>
      </c>
      <c r="N2061" s="8" t="str">
        <v>Comp 2002</v>
      </c>
      <c r="O2061" s="8" t="str">
        <v>Ventilador Umidificador Preto</v>
      </c>
      <c r="P2061" s="8" t="str">
        <v>K9-YV2I-FO7H</v>
      </c>
      <c r="Q2061" s="4">
        <v>45881</v>
      </c>
      <c r="R2061" s="109">
        <v>54.99</v>
      </c>
      <c r="S2061" s="11">
        <f ca="1"/>
        <v>54.99</v>
      </c>
      <c r="T2061" s="28">
        <f ca="1"/>
        <v>6.0489000000000006</v>
      </c>
      <c r="U2061" s="11">
        <f ca="1"/>
        <v>48.94</v>
      </c>
      <c r="V2061" s="11">
        <v>36.72</v>
      </c>
      <c r="W2061" s="11">
        <f ca="1"/>
        <v>0</v>
      </c>
      <c r="X2061" s="11">
        <f ca="1"/>
        <v>0.39877104377104378</v>
      </c>
      <c r="Y2061" s="11">
        <v>0</v>
      </c>
      <c r="Z2061" s="11">
        <f ca="1"/>
        <v>11.821228956228957</v>
      </c>
      <c r="AA2061" s="11">
        <f ca="1"/>
        <v>11.821228956228957</v>
      </c>
      <c r="AB2061" s="4">
        <f ca="1"/>
        <v>45888</v>
      </c>
      <c r="AC2061" s="4">
        <v>45888</v>
      </c>
      <c r="AD2061" s="9">
        <v>45915</v>
      </c>
      <c r="AE2061" s="9">
        <v>45888</v>
      </c>
      <c r="AF2061" s="4" t="str">
        <f t="shared" ca="1" si="148"/>
        <v>2025 08</v>
      </c>
      <c r="AG2061" s="8" t="str" cm="1">
        <f t="array" ref="AG2061">IFERROR(_xlfn.IFS('Banco de Dados'!#REF!="AG. COMPRA","Em processamento",'Banco de Dados'!#REF!="AG. RASTREIO","Em processamento",'Banco de Dados'!$AE2061&lt;&gt;"-","Faturado",'Banco de Dados'!$AD2061&lt;&gt;"-","Aguardando Pix",'Banco de Dados'!$AC2061&lt;&gt;"-","Pendente"),"Aguardando Liberação")</f>
        <v>Aguardando Liberação</v>
      </c>
      <c r="AH2061" s="5" t="str">
        <f>IF('Banco de Dados'!$F2061="-",_xlfn.CONCAT(PROPER(TEXT(AK2061,"aaaa"))," ",PROPER(TEXT(AK2061,"mm"))),_xlfn.CONCAT(PROPER(TEXT(E2061,"aaaa"))," ",PROPER(TEXT(E2061,"mm"))))</f>
        <v>2025 07</v>
      </c>
      <c r="AI2061" s="9" t="str">
        <f ca="1">IF('Banco de Dados'!$AK2061&lt;&gt;"-","REEMBOLSO",IFERROR(_xlfn.XLOOKUP(G2061,Follow[CODRASTREIO],Follow[STATUS]),"-"))</f>
        <v>ENTREGUE</v>
      </c>
      <c r="AJ2061" s="9">
        <f ca="1">IF('Banco de Dados'!$AI2061="ENTREGUE",_xlfn.XLOOKUP('Banco de Dados'!$G2061,Follow[CODRASTREIO],Follow[DATAATUALIZAÇÃO]),"-")</f>
        <v>45864</v>
      </c>
      <c r="AK2061" s="132" t="str">
        <f ca="1"/>
        <v>-</v>
      </c>
      <c r="AL2061" s="35"/>
      <c r="AM2061" s="109" cm="1">
        <f t="array" aca="1" ref="AM2061" ca="1">IF('Banco de Dados'!$AK2061&lt;&gt;"-",_xlfn.IFS('Banco de Dados'!$A2061="bv",IF('Banco de Dados'!$E2061&lt;45641,ROUND(SUM('Banco de Dados'!$R2061*_xlfn.XLOOKUP('Banco de Dados'!$P2061,Sku!B:B,Sku!#REF!)*20%),2),ROUND(SUM('Banco de Dados'!$R2061*_xlfn.XLOOKUP('Banco de Dados'!$P2061,Sku!B:B,Sku!H:H)*20%),2)),'Banco de Dados'!$A2061="GO",ROUND(_xlfn.XLOOKUP('Banco de Dados'!$P2061,Sku!C:C,Sku!H:H),2),'Banco de Dados'!$A2061="MEI",ROUND(_xlfn.XLOOKUP('Banco de Dados'!$P2061,Sku!D:D,Sku!H:H),2)),0)</f>
        <v>0</v>
      </c>
      <c r="AN2061" s="109">
        <v>0</v>
      </c>
      <c r="AO2061" s="109">
        <v>0</v>
      </c>
      <c r="AP2061" s="28">
        <f ca="1">IF('Banco de Dados'!$AK2061&lt;&gt;"-",IF('Banco de Dados'!$AL2061="NÃO",IFERROR(VALUE(SUBSTITUTE(_xlfn.TEXTAFTER('Banco de Dados'!$F2061,"BRL ",1),".",",")),0),0),0)</f>
        <v>0</v>
      </c>
      <c r="AQ2061" s="28">
        <f ca="1">SUM('Banco de Dados'!$AM2061:$AP2061)</f>
        <v>0</v>
      </c>
      <c r="AR2061" s="8"/>
      <c r="AS2061" s="8"/>
      <c r="AT2061"/>
      <c r="AY2061" s="8"/>
    </row>
    <row r="2062" spans="1:51">
      <c r="A2062" s="5" t="str">
        <v>GO</v>
      </c>
      <c r="B2062" s="5" t="str">
        <f ca="1"/>
        <v>GO45860</v>
      </c>
      <c r="C2062" s="8" t="str">
        <v>Pedido 2048</v>
      </c>
      <c r="D2062" s="187">
        <v>45860</v>
      </c>
      <c r="E2062" s="9">
        <v>45860</v>
      </c>
      <c r="F2062" s="2" t="str">
        <v>PedidoF1931</v>
      </c>
      <c r="G2062" s="2" t="str">
        <v>CódRastreio1929</v>
      </c>
      <c r="H2062" s="5">
        <v>1</v>
      </c>
      <c r="I2062" s="182" t="str">
        <v>CPF 2003</v>
      </c>
      <c r="J2062" s="2" t="str">
        <v>Nome 2003</v>
      </c>
      <c r="K2062" s="8" t="str">
        <v>Tel 2003</v>
      </c>
      <c r="L2062" s="8" t="str">
        <v>Cep 2003</v>
      </c>
      <c r="M2062" s="8" t="str">
        <v>Rua 2003</v>
      </c>
      <c r="N2062" s="8" t="str">
        <v>Comp 2003</v>
      </c>
      <c r="O2062" s="8" t="str">
        <v>Bolsa térmica</v>
      </c>
      <c r="P2062" s="8" t="str">
        <v>UX-4N1H-UQ8A</v>
      </c>
      <c r="Q2062" s="4">
        <v>45874</v>
      </c>
      <c r="R2062" s="109">
        <v>30.99</v>
      </c>
      <c r="S2062" s="11">
        <f ca="1"/>
        <v>30.99</v>
      </c>
      <c r="T2062" s="28">
        <f ca="1"/>
        <v>3.7187999999999999</v>
      </c>
      <c r="U2062" s="11">
        <f ca="1"/>
        <v>27.27</v>
      </c>
      <c r="V2062" s="11">
        <v>22.58</v>
      </c>
      <c r="W2062" s="11">
        <f ca="1"/>
        <v>0</v>
      </c>
      <c r="X2062" s="11">
        <f ca="1"/>
        <v>0.39877104377104378</v>
      </c>
      <c r="Y2062" s="11">
        <v>0</v>
      </c>
      <c r="Z2062" s="11">
        <f ca="1"/>
        <v>4.2912289562289558</v>
      </c>
      <c r="AA2062" s="11">
        <f ca="1"/>
        <v>4.2912289562289558</v>
      </c>
      <c r="AB2062" s="4">
        <f ca="1"/>
        <v>45881</v>
      </c>
      <c r="AC2062" s="4">
        <v>45881</v>
      </c>
      <c r="AD2062" s="9">
        <v>45887</v>
      </c>
      <c r="AE2062" s="9">
        <v>45888</v>
      </c>
      <c r="AF2062" s="4" t="str">
        <f t="shared" ca="1" si="148"/>
        <v>2025 08</v>
      </c>
      <c r="AG2062" s="8" t="str" cm="1">
        <f t="array" ref="AG2062">IFERROR(_xlfn.IFS('Banco de Dados'!#REF!="AG. COMPRA","Em processamento",'Banco de Dados'!#REF!="AG. RASTREIO","Em processamento",'Banco de Dados'!$AE2062&lt;&gt;"-","Faturado",'Banco de Dados'!$AD2062&lt;&gt;"-","Aguardando Pix",'Banco de Dados'!$AC2062&lt;&gt;"-","Pendente"),"Aguardando Liberação")</f>
        <v>Aguardando Liberação</v>
      </c>
      <c r="AH2062" s="5" t="str">
        <f>IF('Banco de Dados'!$F2062="-",_xlfn.CONCAT(PROPER(TEXT(AK2062,"aaaa"))," ",PROPER(TEXT(AK2062,"mm"))),_xlfn.CONCAT(PROPER(TEXT(E2062,"aaaa"))," ",PROPER(TEXT(E2062,"mm"))))</f>
        <v>2025 07</v>
      </c>
      <c r="AI2062" s="9" t="str">
        <f ca="1">IF('Banco de Dados'!$AK2062&lt;&gt;"-","REEMBOLSO",IFERROR(_xlfn.XLOOKUP(G2062,Follow[CODRASTREIO],Follow[STATUS]),"-"))</f>
        <v>ENTREGUE</v>
      </c>
      <c r="AJ2062" s="9">
        <f ca="1">IF('Banco de Dados'!$AI2062="ENTREGUE",_xlfn.XLOOKUP('Banco de Dados'!$G2062,Follow[CODRASTREIO],Follow[DATAATUALIZAÇÃO]),"-")</f>
        <v>45867</v>
      </c>
      <c r="AK2062" s="132" t="str">
        <f ca="1"/>
        <v>-</v>
      </c>
      <c r="AL2062" s="35"/>
      <c r="AM2062" s="109" cm="1">
        <f t="array" aca="1" ref="AM2062" ca="1">IF('Banco de Dados'!$AK2062&lt;&gt;"-",_xlfn.IFS('Banco de Dados'!$A2062="bv",IF('Banco de Dados'!$E2062&lt;45641,ROUND(SUM('Banco de Dados'!$R2062*_xlfn.XLOOKUP('Banco de Dados'!$P2062,Sku!B:B,Sku!#REF!)*20%),2),ROUND(SUM('Banco de Dados'!$R2062*_xlfn.XLOOKUP('Banco de Dados'!$P2062,Sku!B:B,Sku!H:H)*20%),2)),'Banco de Dados'!$A2062="GO",ROUND(_xlfn.XLOOKUP('Banco de Dados'!$P2062,Sku!C:C,Sku!H:H),2),'Banco de Dados'!$A2062="MEI",ROUND(_xlfn.XLOOKUP('Banco de Dados'!$P2062,Sku!D:D,Sku!H:H),2)),0)</f>
        <v>0</v>
      </c>
      <c r="AN2062" s="109">
        <v>0</v>
      </c>
      <c r="AO2062" s="109">
        <v>0</v>
      </c>
      <c r="AP2062" s="28">
        <f ca="1">IF('Banco de Dados'!$AK2062&lt;&gt;"-",IF('Banco de Dados'!$AL2062="NÃO",IFERROR(VALUE(SUBSTITUTE(_xlfn.TEXTAFTER('Banco de Dados'!$F2062,"BRL ",1),".",",")),0),0),0)</f>
        <v>0</v>
      </c>
      <c r="AQ2062" s="28">
        <f ca="1">SUM('Banco de Dados'!$AM2062:$AP2062)</f>
        <v>0</v>
      </c>
      <c r="AR2062" s="8"/>
      <c r="AS2062" s="8"/>
      <c r="AT2062"/>
      <c r="AY2062" s="8"/>
    </row>
    <row r="2063" spans="1:51">
      <c r="A2063" s="5" t="str">
        <v>GO</v>
      </c>
      <c r="B2063" s="5" t="str">
        <f ca="1"/>
        <v>GO45860</v>
      </c>
      <c r="C2063" s="8" t="str">
        <v>Pedido 2049</v>
      </c>
      <c r="D2063" s="187">
        <v>45860</v>
      </c>
      <c r="E2063" s="9">
        <v>45860</v>
      </c>
      <c r="F2063" s="2" t="str">
        <v>PedidoF1932</v>
      </c>
      <c r="G2063" s="2" t="str">
        <v>CódRastreio1930</v>
      </c>
      <c r="H2063" s="5">
        <v>1</v>
      </c>
      <c r="I2063" s="182" t="str">
        <v>CPF 2004</v>
      </c>
      <c r="J2063" s="2" t="str">
        <v>Nome 2004</v>
      </c>
      <c r="K2063" s="8" t="str">
        <v>Tel 2004</v>
      </c>
      <c r="L2063" s="8" t="str">
        <v>Cep 2004</v>
      </c>
      <c r="M2063" s="8" t="str">
        <v>Rua 2004</v>
      </c>
      <c r="N2063" s="8" t="str">
        <v>Comp 2004</v>
      </c>
      <c r="O2063" s="8" t="str">
        <v>Bolsa térmica</v>
      </c>
      <c r="P2063" s="8" t="str">
        <v>UX-4N1H-UQ8A</v>
      </c>
      <c r="Q2063" s="4">
        <v>45869</v>
      </c>
      <c r="R2063" s="109">
        <v>30.97</v>
      </c>
      <c r="S2063" s="11">
        <f ca="1"/>
        <v>30.97</v>
      </c>
      <c r="T2063" s="28">
        <f ca="1"/>
        <v>3.7163999999999997</v>
      </c>
      <c r="U2063" s="11">
        <f ca="1"/>
        <v>27.25</v>
      </c>
      <c r="V2063" s="11">
        <v>22.58</v>
      </c>
      <c r="W2063" s="11">
        <f ca="1"/>
        <v>0</v>
      </c>
      <c r="X2063" s="11">
        <f ca="1"/>
        <v>0.39877104377104378</v>
      </c>
      <c r="Y2063" s="11">
        <v>0</v>
      </c>
      <c r="Z2063" s="11">
        <f ca="1"/>
        <v>4.2712289562289563</v>
      </c>
      <c r="AA2063" s="11">
        <f ca="1"/>
        <v>4.2712289562289563</v>
      </c>
      <c r="AB2063" s="4">
        <f ca="1"/>
        <v>45876</v>
      </c>
      <c r="AC2063" s="4">
        <v>45876</v>
      </c>
      <c r="AD2063" s="9">
        <v>45887</v>
      </c>
      <c r="AE2063" s="9">
        <v>45888</v>
      </c>
      <c r="AF2063" s="4" t="str">
        <f t="shared" ca="1" si="148"/>
        <v>2025 08</v>
      </c>
      <c r="AG2063" s="8" t="str" cm="1">
        <f t="array" ref="AG2063">IFERROR(_xlfn.IFS('Banco de Dados'!#REF!="AG. COMPRA","Em processamento",'Banco de Dados'!#REF!="AG. RASTREIO","Em processamento",'Banco de Dados'!$AE2063&lt;&gt;"-","Faturado",'Banco de Dados'!$AD2063&lt;&gt;"-","Aguardando Pix",'Banco de Dados'!$AC2063&lt;&gt;"-","Pendente"),"Aguardando Liberação")</f>
        <v>Aguardando Liberação</v>
      </c>
      <c r="AH2063" s="5" t="str">
        <f>IF('Banco de Dados'!$F2063="-",_xlfn.CONCAT(PROPER(TEXT(AK2063,"aaaa"))," ",PROPER(TEXT(AK2063,"mm"))),_xlfn.CONCAT(PROPER(TEXT(E2063,"aaaa"))," ",PROPER(TEXT(E2063,"mm"))))</f>
        <v>2025 07</v>
      </c>
      <c r="AI2063" s="9" t="str">
        <f ca="1">IF('Banco de Dados'!$AK2063&lt;&gt;"-","REEMBOLSO",IFERROR(_xlfn.XLOOKUP(G2063,Follow[CODRASTREIO],Follow[STATUS]),"-"))</f>
        <v>ENTREGUE</v>
      </c>
      <c r="AJ2063" s="9">
        <f ca="1">IF('Banco de Dados'!$AI2063="ENTREGUE",_xlfn.XLOOKUP('Banco de Dados'!$G2063,Follow[CODRASTREIO],Follow[DATAATUALIZAÇÃO]),"-")</f>
        <v>45863</v>
      </c>
      <c r="AK2063" s="132" t="str">
        <f ca="1"/>
        <v>-</v>
      </c>
      <c r="AL2063" s="35"/>
      <c r="AM2063" s="109" cm="1">
        <f t="array" aca="1" ref="AM2063" ca="1">IF('Banco de Dados'!$AK2063&lt;&gt;"-",_xlfn.IFS('Banco de Dados'!$A2063="bv",IF('Banco de Dados'!$E2063&lt;45641,ROUND(SUM('Banco de Dados'!$R2063*_xlfn.XLOOKUP('Banco de Dados'!$P2063,Sku!B:B,Sku!#REF!)*20%),2),ROUND(SUM('Banco de Dados'!$R2063*_xlfn.XLOOKUP('Banco de Dados'!$P2063,Sku!B:B,Sku!H:H)*20%),2)),'Banco de Dados'!$A2063="GO",ROUND(_xlfn.XLOOKUP('Banco de Dados'!$P2063,Sku!C:C,Sku!H:H),2),'Banco de Dados'!$A2063="MEI",ROUND(_xlfn.XLOOKUP('Banco de Dados'!$P2063,Sku!D:D,Sku!H:H),2)),0)</f>
        <v>0</v>
      </c>
      <c r="AN2063" s="109">
        <v>0</v>
      </c>
      <c r="AO2063" s="109">
        <v>0</v>
      </c>
      <c r="AP2063" s="28">
        <f ca="1">IF('Banco de Dados'!$AK2063&lt;&gt;"-",IF('Banco de Dados'!$AL2063="NÃO",IFERROR(VALUE(SUBSTITUTE(_xlfn.TEXTAFTER('Banco de Dados'!$F2063,"BRL ",1),".",",")),0),0),0)</f>
        <v>0</v>
      </c>
      <c r="AQ2063" s="28">
        <f ca="1">SUM('Banco de Dados'!$AM2063:$AP2063)</f>
        <v>0</v>
      </c>
      <c r="AR2063" s="8"/>
      <c r="AS2063" s="8"/>
      <c r="AT2063"/>
      <c r="AY2063" s="8"/>
    </row>
    <row r="2064" spans="1:51">
      <c r="A2064" s="5" t="str">
        <v>GO</v>
      </c>
      <c r="B2064" s="5" t="str">
        <f ca="1"/>
        <v>GO45861</v>
      </c>
      <c r="C2064" s="8" t="str">
        <v>Pedido 2050</v>
      </c>
      <c r="D2064" s="187">
        <v>45860</v>
      </c>
      <c r="E2064" s="9">
        <v>45861</v>
      </c>
      <c r="F2064" s="2" t="str">
        <v>PedidoF1933</v>
      </c>
      <c r="G2064" s="2" t="str">
        <v>CódRastreio1931</v>
      </c>
      <c r="H2064" s="5">
        <v>1</v>
      </c>
      <c r="I2064" s="182" t="str">
        <v>CPF 2005</v>
      </c>
      <c r="J2064" s="2" t="str">
        <v>Nome 2005</v>
      </c>
      <c r="K2064" s="8" t="str">
        <v>Tel 2005</v>
      </c>
      <c r="L2064" s="8" t="str">
        <v>Cep 2005</v>
      </c>
      <c r="M2064" s="8" t="str">
        <v>Rua 2005</v>
      </c>
      <c r="N2064" s="8" t="str">
        <v>Comp 2005</v>
      </c>
      <c r="O2064" s="8" t="str">
        <v>Bolsa térmica</v>
      </c>
      <c r="P2064" s="8" t="str">
        <v>UX-4N1H-UQ8A</v>
      </c>
      <c r="Q2064" s="4">
        <v>45869</v>
      </c>
      <c r="R2064" s="109">
        <v>30.97</v>
      </c>
      <c r="S2064" s="11">
        <f ca="1"/>
        <v>30.97</v>
      </c>
      <c r="T2064" s="28">
        <f ca="1"/>
        <v>3.7163999999999997</v>
      </c>
      <c r="U2064" s="11">
        <f ca="1"/>
        <v>27.25</v>
      </c>
      <c r="V2064" s="11">
        <v>22.58</v>
      </c>
      <c r="W2064" s="11">
        <f ca="1"/>
        <v>0</v>
      </c>
      <c r="X2064" s="11">
        <f ca="1"/>
        <v>0.39877104377104378</v>
      </c>
      <c r="Y2064" s="11">
        <v>0</v>
      </c>
      <c r="Z2064" s="11">
        <f ca="1"/>
        <v>4.2712289562289563</v>
      </c>
      <c r="AA2064" s="11">
        <f ca="1"/>
        <v>4.2712289562289563</v>
      </c>
      <c r="AB2064" s="4">
        <f ca="1"/>
        <v>45876</v>
      </c>
      <c r="AC2064" s="4">
        <v>45876</v>
      </c>
      <c r="AD2064" s="9">
        <v>45887</v>
      </c>
      <c r="AE2064" s="9">
        <v>45888</v>
      </c>
      <c r="AF2064" s="4" t="str">
        <f t="shared" ref="AF2064:AF2074" ca="1" si="149">_xlfn.CONCAT(PROPER(TEXT(AB2064,"aaaa"))," ",PROPER(TEXT(AB2064,"mm")))</f>
        <v>2025 08</v>
      </c>
      <c r="AG2064" s="8" t="str" cm="1">
        <f t="array" ref="AG2064">IFERROR(_xlfn.IFS('Banco de Dados'!#REF!="AG. COMPRA","Em processamento",'Banco de Dados'!#REF!="AG. RASTREIO","Em processamento",'Banco de Dados'!$AE2064&lt;&gt;"-","Faturado",'Banco de Dados'!$AD2064&lt;&gt;"-","Aguardando Pix",'Banco de Dados'!$AC2064&lt;&gt;"-","Pendente"),"Aguardando Liberação")</f>
        <v>Aguardando Liberação</v>
      </c>
      <c r="AH2064" s="5" t="str">
        <f>IF('Banco de Dados'!$F2064="-",_xlfn.CONCAT(PROPER(TEXT(AK2064,"aaaa"))," ",PROPER(TEXT(AK2064,"mm"))),_xlfn.CONCAT(PROPER(TEXT(E2064,"aaaa"))," ",PROPER(TEXT(E2064,"mm"))))</f>
        <v>2025 07</v>
      </c>
      <c r="AI2064" s="9" t="str">
        <f ca="1">IF('Banco de Dados'!$AK2064&lt;&gt;"-","REEMBOLSO",IFERROR(_xlfn.XLOOKUP(G2064,Follow[CODRASTREIO],Follow[STATUS]),"-"))</f>
        <v>ENTREGUE</v>
      </c>
      <c r="AJ2064" s="9">
        <f ca="1">IF('Banco de Dados'!$AI2064="ENTREGUE",_xlfn.XLOOKUP('Banco de Dados'!$G2064,Follow[CODRASTREIO],Follow[DATAATUALIZAÇÃO]),"-")</f>
        <v>45866</v>
      </c>
      <c r="AK2064" s="132" t="str">
        <f ca="1"/>
        <v>-</v>
      </c>
      <c r="AL2064" s="35"/>
      <c r="AM2064" s="109" cm="1">
        <f t="array" aca="1" ref="AM2064" ca="1">IF('Banco de Dados'!$AK2064&lt;&gt;"-",_xlfn.IFS('Banco de Dados'!$A2064="bv",IF('Banco de Dados'!$E2064&lt;45641,ROUND(SUM('Banco de Dados'!$R2064*_xlfn.XLOOKUP('Banco de Dados'!$P2064,Sku!B:B,Sku!#REF!)*20%),2),ROUND(SUM('Banco de Dados'!$R2064*_xlfn.XLOOKUP('Banco de Dados'!$P2064,Sku!B:B,Sku!H:H)*20%),2)),'Banco de Dados'!$A2064="GO",ROUND(_xlfn.XLOOKUP('Banco de Dados'!$P2064,Sku!C:C,Sku!H:H),2),'Banco de Dados'!$A2064="MEI",ROUND(_xlfn.XLOOKUP('Banco de Dados'!$P2064,Sku!D:D,Sku!H:H),2)),0)</f>
        <v>0</v>
      </c>
      <c r="AN2064" s="109">
        <v>0</v>
      </c>
      <c r="AO2064" s="109">
        <v>0</v>
      </c>
      <c r="AP2064" s="28">
        <f ca="1">IF('Banco de Dados'!$AK2064&lt;&gt;"-",IF('Banco de Dados'!$AL2064="NÃO",IFERROR(VALUE(SUBSTITUTE(_xlfn.TEXTAFTER('Banco de Dados'!$F2064,"BRL ",1),".",",")),0),0),0)</f>
        <v>0</v>
      </c>
      <c r="AQ2064" s="28">
        <f ca="1">SUM('Banco de Dados'!$AM2064:$AP2064)</f>
        <v>0</v>
      </c>
      <c r="AR2064" s="8"/>
      <c r="AS2064" s="8"/>
      <c r="AT2064"/>
      <c r="AY2064" s="8"/>
    </row>
    <row r="2065" spans="1:51">
      <c r="A2065" s="5" t="str">
        <v>GO</v>
      </c>
      <c r="B2065" s="5" t="str">
        <f ca="1"/>
        <v>GO45861</v>
      </c>
      <c r="C2065" s="8" t="str">
        <v>Pedido 2051</v>
      </c>
      <c r="D2065" s="187">
        <v>45861</v>
      </c>
      <c r="E2065" s="9">
        <v>45861</v>
      </c>
      <c r="F2065" s="2" t="str">
        <v>PedidoF1934</v>
      </c>
      <c r="G2065" s="2" t="str">
        <v>CódRastreio1932</v>
      </c>
      <c r="H2065" s="5">
        <v>2</v>
      </c>
      <c r="I2065" s="182" t="str">
        <v>CPF 2006</v>
      </c>
      <c r="J2065" s="2" t="str">
        <v>Nome 2006</v>
      </c>
      <c r="K2065" s="8" t="str">
        <v>Tel 2006</v>
      </c>
      <c r="L2065" s="8" t="str">
        <v>Cep 2006</v>
      </c>
      <c r="M2065" s="8" t="str">
        <v>Rua 2006</v>
      </c>
      <c r="N2065" s="8" t="str">
        <v>Comp 2006</v>
      </c>
      <c r="O2065" s="8" t="str">
        <v>Bolsa térmica</v>
      </c>
      <c r="P2065" s="8" t="str">
        <v>UX-4N1H-UQ8A</v>
      </c>
      <c r="Q2065" s="4">
        <v>45869</v>
      </c>
      <c r="R2065" s="109">
        <v>61.94</v>
      </c>
      <c r="S2065" s="11">
        <f ca="1"/>
        <v>61.94</v>
      </c>
      <c r="T2065" s="28">
        <f ca="1"/>
        <v>7.4327999999999994</v>
      </c>
      <c r="U2065" s="11">
        <f ca="1"/>
        <v>54.51</v>
      </c>
      <c r="V2065" s="11">
        <v>40.659999999999997</v>
      </c>
      <c r="W2065" s="11">
        <f ca="1"/>
        <v>0</v>
      </c>
      <c r="X2065" s="11">
        <f ca="1"/>
        <v>0.39877104377104378</v>
      </c>
      <c r="Y2065" s="11">
        <v>0</v>
      </c>
      <c r="Z2065" s="11">
        <f ca="1"/>
        <v>13.45122895622896</v>
      </c>
      <c r="AA2065" s="11">
        <f ca="1"/>
        <v>13.45122895622896</v>
      </c>
      <c r="AB2065" s="4">
        <f ca="1"/>
        <v>45876</v>
      </c>
      <c r="AC2065" s="4">
        <v>45876</v>
      </c>
      <c r="AD2065" s="9">
        <v>45887</v>
      </c>
      <c r="AE2065" s="9">
        <v>45888</v>
      </c>
      <c r="AF2065" s="4" t="str">
        <f t="shared" ca="1" si="149"/>
        <v>2025 08</v>
      </c>
      <c r="AG2065" s="8" t="str" cm="1">
        <f t="array" ref="AG2065">IFERROR(_xlfn.IFS('Banco de Dados'!#REF!="AG. COMPRA","Em processamento",'Banco de Dados'!#REF!="AG. RASTREIO","Em processamento",'Banco de Dados'!$AE2065&lt;&gt;"-","Faturado",'Banco de Dados'!$AD2065&lt;&gt;"-","Aguardando Pix",'Banco de Dados'!$AC2065&lt;&gt;"-","Pendente"),"Aguardando Liberação")</f>
        <v>Aguardando Liberação</v>
      </c>
      <c r="AH2065" s="5" t="str">
        <f>IF('Banco de Dados'!$F2065="-",_xlfn.CONCAT(PROPER(TEXT(AK2065,"aaaa"))," ",PROPER(TEXT(AK2065,"mm"))),_xlfn.CONCAT(PROPER(TEXT(E2065,"aaaa"))," ",PROPER(TEXT(E2065,"mm"))))</f>
        <v>2025 07</v>
      </c>
      <c r="AI2065" s="9" t="str">
        <f ca="1">IF('Banco de Dados'!$AK2065&lt;&gt;"-","REEMBOLSO",IFERROR(_xlfn.XLOOKUP(G2065,Follow[CODRASTREIO],Follow[STATUS]),"-"))</f>
        <v>ENTREGUE</v>
      </c>
      <c r="AJ2065" s="9">
        <f ca="1">IF('Banco de Dados'!$AI2065="ENTREGUE",_xlfn.XLOOKUP('Banco de Dados'!$G2065,Follow[CODRASTREIO],Follow[DATAATUALIZAÇÃO]),"-")</f>
        <v>45866</v>
      </c>
      <c r="AK2065" s="132" t="str">
        <f ca="1"/>
        <v>-</v>
      </c>
      <c r="AL2065" s="35"/>
      <c r="AM2065" s="109" cm="1">
        <f t="array" aca="1" ref="AM2065" ca="1">IF('Banco de Dados'!$AK2065&lt;&gt;"-",_xlfn.IFS('Banco de Dados'!$A2065="bv",IF('Banco de Dados'!$E2065&lt;45641,ROUND(SUM('Banco de Dados'!$R2065*_xlfn.XLOOKUP('Banco de Dados'!$P2065,Sku!B:B,Sku!#REF!)*20%),2),ROUND(SUM('Banco de Dados'!$R2065*_xlfn.XLOOKUP('Banco de Dados'!$P2065,Sku!B:B,Sku!H:H)*20%),2)),'Banco de Dados'!$A2065="GO",ROUND(_xlfn.XLOOKUP('Banco de Dados'!$P2065,Sku!C:C,Sku!H:H),2),'Banco de Dados'!$A2065="MEI",ROUND(_xlfn.XLOOKUP('Banco de Dados'!$P2065,Sku!D:D,Sku!H:H),2)),0)</f>
        <v>0</v>
      </c>
      <c r="AN2065" s="109">
        <v>0</v>
      </c>
      <c r="AO2065" s="109">
        <v>0</v>
      </c>
      <c r="AP2065" s="28">
        <f ca="1">IF('Banco de Dados'!$AK2065&lt;&gt;"-",IF('Banco de Dados'!$AL2065="NÃO",IFERROR(VALUE(SUBSTITUTE(_xlfn.TEXTAFTER('Banco de Dados'!$F2065,"BRL ",1),".",",")),0),0),0)</f>
        <v>0</v>
      </c>
      <c r="AQ2065" s="28">
        <f ca="1">SUM('Banco de Dados'!$AM2065:$AP2065)</f>
        <v>0</v>
      </c>
      <c r="AR2065" s="8"/>
      <c r="AS2065" s="8"/>
      <c r="AT2065"/>
      <c r="AY2065" s="8"/>
    </row>
    <row r="2066" spans="1:51">
      <c r="A2066" s="5" t="str">
        <v>GO</v>
      </c>
      <c r="B2066" s="5" t="str">
        <f ca="1"/>
        <v>GO45861</v>
      </c>
      <c r="C2066" s="8" t="str">
        <v>Pedido 2052</v>
      </c>
      <c r="D2066" s="187">
        <v>45861</v>
      </c>
      <c r="E2066" s="9">
        <v>45861</v>
      </c>
      <c r="F2066" s="2" t="str">
        <v>PedidoF1935</v>
      </c>
      <c r="G2066" s="2" t="str">
        <v>CódRastreio1933</v>
      </c>
      <c r="H2066" s="5">
        <v>2</v>
      </c>
      <c r="I2066" s="182" t="str">
        <v>CPF 2007</v>
      </c>
      <c r="J2066" s="2" t="str">
        <v>Nome 2007</v>
      </c>
      <c r="K2066" s="8" t="str">
        <v>Tel 2007</v>
      </c>
      <c r="L2066" s="8" t="str">
        <v>Cep 2007</v>
      </c>
      <c r="M2066" s="8" t="str">
        <v>Rua 2007</v>
      </c>
      <c r="N2066" s="8" t="str">
        <v>Comp 2007</v>
      </c>
      <c r="O2066" s="8" t="str">
        <v>Bolsa térmica</v>
      </c>
      <c r="P2066" s="8" t="str">
        <v>UX-4N1H-UQ8A</v>
      </c>
      <c r="Q2066" s="4">
        <v>45875</v>
      </c>
      <c r="R2066" s="109">
        <v>61.94</v>
      </c>
      <c r="S2066" s="11">
        <f ca="1"/>
        <v>61.94</v>
      </c>
      <c r="T2066" s="28">
        <f ca="1"/>
        <v>7.4327999999999994</v>
      </c>
      <c r="U2066" s="11">
        <f ca="1"/>
        <v>54.51</v>
      </c>
      <c r="V2066" s="11">
        <v>40.659999999999997</v>
      </c>
      <c r="W2066" s="11">
        <f ca="1"/>
        <v>0</v>
      </c>
      <c r="X2066" s="11">
        <f ca="1"/>
        <v>0.39877104377104378</v>
      </c>
      <c r="Y2066" s="11">
        <v>0</v>
      </c>
      <c r="Z2066" s="11">
        <f ca="1"/>
        <v>13.45122895622896</v>
      </c>
      <c r="AA2066" s="11">
        <f ca="1"/>
        <v>13.45122895622896</v>
      </c>
      <c r="AB2066" s="4">
        <f ca="1"/>
        <v>45882</v>
      </c>
      <c r="AC2066" s="4">
        <v>45882</v>
      </c>
      <c r="AD2066" s="9">
        <v>45887</v>
      </c>
      <c r="AE2066" s="9">
        <v>45888</v>
      </c>
      <c r="AF2066" s="4" t="str">
        <f t="shared" ca="1" si="149"/>
        <v>2025 08</v>
      </c>
      <c r="AG2066" s="8" t="str" cm="1">
        <f t="array" ref="AG2066">IFERROR(_xlfn.IFS('Banco de Dados'!#REF!="AG. COMPRA","Em processamento",'Banco de Dados'!#REF!="AG. RASTREIO","Em processamento",'Banco de Dados'!$AE2066&lt;&gt;"-","Faturado",'Banco de Dados'!$AD2066&lt;&gt;"-","Aguardando Pix",'Banco de Dados'!$AC2066&lt;&gt;"-","Pendente"),"Aguardando Liberação")</f>
        <v>Aguardando Liberação</v>
      </c>
      <c r="AH2066" s="5" t="str">
        <f>IF('Banco de Dados'!$F2066="-",_xlfn.CONCAT(PROPER(TEXT(AK2066,"aaaa"))," ",PROPER(TEXT(AK2066,"mm"))),_xlfn.CONCAT(PROPER(TEXT(E2066,"aaaa"))," ",PROPER(TEXT(E2066,"mm"))))</f>
        <v>2025 07</v>
      </c>
      <c r="AI2066" s="9" t="str">
        <f ca="1">IF('Banco de Dados'!$AK2066&lt;&gt;"-","REEMBOLSO",IFERROR(_xlfn.XLOOKUP(G2066,Follow[CODRASTREIO],Follow[STATUS]),"-"))</f>
        <v>ENTREGUE</v>
      </c>
      <c r="AJ2066" s="9">
        <f ca="1">IF('Banco de Dados'!$AI2066="ENTREGUE",_xlfn.XLOOKUP('Banco de Dados'!$G2066,Follow[CODRASTREIO],Follow[DATAATUALIZAÇÃO]),"-")</f>
        <v>45866</v>
      </c>
      <c r="AK2066" s="132" t="str">
        <f ca="1"/>
        <v>-</v>
      </c>
      <c r="AL2066" s="35"/>
      <c r="AM2066" s="109" cm="1">
        <f t="array" aca="1" ref="AM2066" ca="1">IF('Banco de Dados'!$AK2066&lt;&gt;"-",_xlfn.IFS('Banco de Dados'!$A2066="bv",IF('Banco de Dados'!$E2066&lt;45641,ROUND(SUM('Banco de Dados'!$R2066*_xlfn.XLOOKUP('Banco de Dados'!$P2066,Sku!B:B,Sku!#REF!)*20%),2),ROUND(SUM('Banco de Dados'!$R2066*_xlfn.XLOOKUP('Banco de Dados'!$P2066,Sku!B:B,Sku!H:H)*20%),2)),'Banco de Dados'!$A2066="GO",ROUND(_xlfn.XLOOKUP('Banco de Dados'!$P2066,Sku!C:C,Sku!H:H),2),'Banco de Dados'!$A2066="MEI",ROUND(_xlfn.XLOOKUP('Banco de Dados'!$P2066,Sku!D:D,Sku!H:H),2)),0)</f>
        <v>0</v>
      </c>
      <c r="AN2066" s="109">
        <v>0</v>
      </c>
      <c r="AO2066" s="109">
        <v>0</v>
      </c>
      <c r="AP2066" s="28">
        <f ca="1">IF('Banco de Dados'!$AK2066&lt;&gt;"-",IF('Banco de Dados'!$AL2066="NÃO",IFERROR(VALUE(SUBSTITUTE(_xlfn.TEXTAFTER('Banco de Dados'!$F2066,"BRL ",1),".",",")),0),0),0)</f>
        <v>0</v>
      </c>
      <c r="AQ2066" s="28">
        <f ca="1">SUM('Banco de Dados'!$AM2066:$AP2066)</f>
        <v>0</v>
      </c>
      <c r="AR2066" s="8"/>
      <c r="AS2066" s="8"/>
      <c r="AT2066"/>
      <c r="AY2066" s="8"/>
    </row>
    <row r="2067" spans="1:51">
      <c r="A2067" s="5" t="str">
        <v>GO</v>
      </c>
      <c r="B2067" s="5" t="str">
        <f ca="1"/>
        <v>GO45861</v>
      </c>
      <c r="C2067" s="8" t="str">
        <v>Pedido 2053</v>
      </c>
      <c r="D2067" s="187">
        <v>45861</v>
      </c>
      <c r="E2067" s="9">
        <v>45861</v>
      </c>
      <c r="F2067" s="2" t="str">
        <v>PedidoF1936</v>
      </c>
      <c r="G2067" s="2" t="str">
        <v>CódRastreio1934</v>
      </c>
      <c r="H2067" s="5">
        <v>1</v>
      </c>
      <c r="I2067" s="182" t="str">
        <v>CPF 2008</v>
      </c>
      <c r="J2067" s="2" t="str">
        <v>Nome 2008</v>
      </c>
      <c r="K2067" s="8" t="str">
        <v>Tel 2008</v>
      </c>
      <c r="L2067" s="8" t="str">
        <v>Cep 2008</v>
      </c>
      <c r="M2067" s="8" t="str">
        <v>Rua 2008</v>
      </c>
      <c r="N2067" s="8" t="str">
        <v>Comp 2008</v>
      </c>
      <c r="O2067" s="8" t="str">
        <v>Bolsa térmica</v>
      </c>
      <c r="P2067" s="8" t="str">
        <v>UX-4N1H-UQ8A</v>
      </c>
      <c r="Q2067" s="4">
        <v>45875</v>
      </c>
      <c r="R2067" s="109">
        <v>30.97</v>
      </c>
      <c r="S2067" s="11">
        <f ca="1"/>
        <v>30.97</v>
      </c>
      <c r="T2067" s="28">
        <f ca="1"/>
        <v>3.7163999999999997</v>
      </c>
      <c r="U2067" s="11">
        <f ca="1"/>
        <v>27.25</v>
      </c>
      <c r="V2067" s="11">
        <v>22.58</v>
      </c>
      <c r="W2067" s="11">
        <f ca="1"/>
        <v>0</v>
      </c>
      <c r="X2067" s="11">
        <f ca="1"/>
        <v>0.39877104377104378</v>
      </c>
      <c r="Y2067" s="11">
        <v>0</v>
      </c>
      <c r="Z2067" s="11">
        <f ca="1"/>
        <v>4.2712289562289563</v>
      </c>
      <c r="AA2067" s="11">
        <f ca="1"/>
        <v>4.2712289562289563</v>
      </c>
      <c r="AB2067" s="4">
        <f ca="1"/>
        <v>45882</v>
      </c>
      <c r="AC2067" s="4">
        <v>45882</v>
      </c>
      <c r="AD2067" s="9">
        <v>45887</v>
      </c>
      <c r="AE2067" s="9">
        <v>45888</v>
      </c>
      <c r="AF2067" s="4" t="str">
        <f t="shared" ca="1" si="149"/>
        <v>2025 08</v>
      </c>
      <c r="AG2067" s="8" t="str" cm="1">
        <f t="array" ref="AG2067">IFERROR(_xlfn.IFS('Banco de Dados'!#REF!="AG. COMPRA","Em processamento",'Banco de Dados'!#REF!="AG. RASTREIO","Em processamento",'Banco de Dados'!$AE2067&lt;&gt;"-","Faturado",'Banco de Dados'!$AD2067&lt;&gt;"-","Aguardando Pix",'Banco de Dados'!$AC2067&lt;&gt;"-","Pendente"),"Aguardando Liberação")</f>
        <v>Aguardando Liberação</v>
      </c>
      <c r="AH2067" s="5" t="str">
        <f>IF('Banco de Dados'!$F2067="-",_xlfn.CONCAT(PROPER(TEXT(AK2067,"aaaa"))," ",PROPER(TEXT(AK2067,"mm"))),_xlfn.CONCAT(PROPER(TEXT(E2067,"aaaa"))," ",PROPER(TEXT(E2067,"mm"))))</f>
        <v>2025 07</v>
      </c>
      <c r="AI2067" s="9" t="str">
        <f ca="1">IF('Banco de Dados'!$AK2067&lt;&gt;"-","REEMBOLSO",IFERROR(_xlfn.XLOOKUP(G2067,Follow[CODRASTREIO],Follow[STATUS]),"-"))</f>
        <v>ENTREGUE</v>
      </c>
      <c r="AJ2067" s="9">
        <f ca="1">IF('Banco de Dados'!$AI2067="ENTREGUE",_xlfn.XLOOKUP('Banco de Dados'!$G2067,Follow[CODRASTREIO],Follow[DATAATUALIZAÇÃO]),"-")</f>
        <v>45867</v>
      </c>
      <c r="AK2067" s="132" t="str">
        <f ca="1"/>
        <v>-</v>
      </c>
      <c r="AL2067" s="35"/>
      <c r="AM2067" s="109" cm="1">
        <f t="array" aca="1" ref="AM2067" ca="1">IF('Banco de Dados'!$AK2067&lt;&gt;"-",_xlfn.IFS('Banco de Dados'!$A2067="bv",IF('Banco de Dados'!$E2067&lt;45641,ROUND(SUM('Banco de Dados'!$R2067*_xlfn.XLOOKUP('Banco de Dados'!$P2067,Sku!B:B,Sku!#REF!)*20%),2),ROUND(SUM('Banco de Dados'!$R2067*_xlfn.XLOOKUP('Banco de Dados'!$P2067,Sku!B:B,Sku!H:H)*20%),2)),'Banco de Dados'!$A2067="GO",ROUND(_xlfn.XLOOKUP('Banco de Dados'!$P2067,Sku!C:C,Sku!H:H),2),'Banco de Dados'!$A2067="MEI",ROUND(_xlfn.XLOOKUP('Banco de Dados'!$P2067,Sku!D:D,Sku!H:H),2)),0)</f>
        <v>0</v>
      </c>
      <c r="AN2067" s="109">
        <v>0</v>
      </c>
      <c r="AO2067" s="109">
        <v>0</v>
      </c>
      <c r="AP2067" s="28">
        <f ca="1">IF('Banco de Dados'!$AK2067&lt;&gt;"-",IF('Banco de Dados'!$AL2067="NÃO",IFERROR(VALUE(SUBSTITUTE(_xlfn.TEXTAFTER('Banco de Dados'!$F2067,"BRL ",1),".",",")),0),0),0)</f>
        <v>0</v>
      </c>
      <c r="AQ2067" s="28">
        <f ca="1">SUM('Banco de Dados'!$AM2067:$AP2067)</f>
        <v>0</v>
      </c>
      <c r="AR2067" s="8"/>
      <c r="AS2067" s="8"/>
      <c r="AT2067"/>
      <c r="AY2067" s="8"/>
    </row>
    <row r="2068" spans="1:51">
      <c r="A2068" s="5" t="str">
        <v>GO</v>
      </c>
      <c r="B2068" s="5" t="str">
        <f ca="1"/>
        <v>GO45861</v>
      </c>
      <c r="C2068" s="8" t="str">
        <v>Pedido 2054</v>
      </c>
      <c r="D2068" s="187">
        <v>45861</v>
      </c>
      <c r="E2068" s="9">
        <v>45861</v>
      </c>
      <c r="F2068" s="2" t="str">
        <v>PedidoF1937</v>
      </c>
      <c r="G2068" s="2" t="str">
        <v>CódRastreio1935</v>
      </c>
      <c r="H2068" s="5">
        <v>1</v>
      </c>
      <c r="I2068" s="182" t="str">
        <v>CPF 2009</v>
      </c>
      <c r="J2068" s="2" t="str">
        <v>Nome 2009</v>
      </c>
      <c r="K2068" s="8" t="str">
        <v>Tel 2009</v>
      </c>
      <c r="L2068" s="8" t="str">
        <v>Cep 2009</v>
      </c>
      <c r="M2068" s="8" t="str">
        <v>Rua 2009</v>
      </c>
      <c r="N2068" s="8" t="str">
        <v>Comp 2009</v>
      </c>
      <c r="O2068" s="8" t="str">
        <v>Bolsa térmica</v>
      </c>
      <c r="P2068" s="8" t="str">
        <v>UX-4N1H-UQ8A</v>
      </c>
      <c r="Q2068" s="4">
        <v>45881</v>
      </c>
      <c r="R2068" s="109">
        <v>30.97</v>
      </c>
      <c r="S2068" s="11">
        <f ca="1"/>
        <v>30.97</v>
      </c>
      <c r="T2068" s="28">
        <f ca="1"/>
        <v>3.7163999999999997</v>
      </c>
      <c r="U2068" s="11">
        <f ca="1"/>
        <v>27.25</v>
      </c>
      <c r="V2068" s="11">
        <v>22.58</v>
      </c>
      <c r="W2068" s="11">
        <f ca="1"/>
        <v>0</v>
      </c>
      <c r="X2068" s="11">
        <f ca="1"/>
        <v>0.39877104377104378</v>
      </c>
      <c r="Y2068" s="11">
        <v>0</v>
      </c>
      <c r="Z2068" s="11">
        <f ca="1"/>
        <v>4.2712289562289563</v>
      </c>
      <c r="AA2068" s="11">
        <f ca="1"/>
        <v>4.2712289562289563</v>
      </c>
      <c r="AB2068" s="4">
        <f ca="1"/>
        <v>45888</v>
      </c>
      <c r="AC2068" s="4">
        <v>45888</v>
      </c>
      <c r="AD2068" s="9">
        <v>45915</v>
      </c>
      <c r="AE2068" s="9">
        <v>45888</v>
      </c>
      <c r="AF2068" s="4" t="str">
        <f t="shared" ca="1" si="149"/>
        <v>2025 08</v>
      </c>
      <c r="AG2068" s="8" t="str" cm="1">
        <f t="array" ref="AG2068">IFERROR(_xlfn.IFS('Banco de Dados'!#REF!="AG. COMPRA","Em processamento",'Banco de Dados'!#REF!="AG. RASTREIO","Em processamento",'Banco de Dados'!$AE2068&lt;&gt;"-","Faturado",'Banco de Dados'!$AD2068&lt;&gt;"-","Aguardando Pix",'Banco de Dados'!$AC2068&lt;&gt;"-","Pendente"),"Aguardando Liberação")</f>
        <v>Aguardando Liberação</v>
      </c>
      <c r="AH2068" s="5" t="str">
        <f>IF('Banco de Dados'!$F2068="-",_xlfn.CONCAT(PROPER(TEXT(AK2068,"aaaa"))," ",PROPER(TEXT(AK2068,"mm"))),_xlfn.CONCAT(PROPER(TEXT(E2068,"aaaa"))," ",PROPER(TEXT(E2068,"mm"))))</f>
        <v>2025 07</v>
      </c>
      <c r="AI2068" s="9" t="str">
        <f ca="1">IF('Banco de Dados'!$AK2068&lt;&gt;"-","REEMBOLSO",IFERROR(_xlfn.XLOOKUP(G2068,Follow[CODRASTREIO],Follow[STATUS]),"-"))</f>
        <v>ENTREGUE</v>
      </c>
      <c r="AJ2068" s="9">
        <f ca="1">IF('Banco de Dados'!$AI2068="ENTREGUE",_xlfn.XLOOKUP('Banco de Dados'!$G2068,Follow[CODRASTREIO],Follow[DATAATUALIZAÇÃO]),"-")</f>
        <v>45867</v>
      </c>
      <c r="AK2068" s="132" t="str">
        <f ca="1"/>
        <v>-</v>
      </c>
      <c r="AL2068" s="35"/>
      <c r="AM2068" s="109" cm="1">
        <f t="array" aca="1" ref="AM2068" ca="1">IF('Banco de Dados'!$AK2068&lt;&gt;"-",_xlfn.IFS('Banco de Dados'!$A2068="bv",IF('Banco de Dados'!$E2068&lt;45641,ROUND(SUM('Banco de Dados'!$R2068*_xlfn.XLOOKUP('Banco de Dados'!$P2068,Sku!B:B,Sku!#REF!)*20%),2),ROUND(SUM('Banco de Dados'!$R2068*_xlfn.XLOOKUP('Banco de Dados'!$P2068,Sku!B:B,Sku!H:H)*20%),2)),'Banco de Dados'!$A2068="GO",ROUND(_xlfn.XLOOKUP('Banco de Dados'!$P2068,Sku!C:C,Sku!H:H),2),'Banco de Dados'!$A2068="MEI",ROUND(_xlfn.XLOOKUP('Banco de Dados'!$P2068,Sku!D:D,Sku!H:H),2)),0)</f>
        <v>0</v>
      </c>
      <c r="AN2068" s="109">
        <v>0</v>
      </c>
      <c r="AO2068" s="109">
        <v>0</v>
      </c>
      <c r="AP2068" s="28">
        <f ca="1">IF('Banco de Dados'!$AK2068&lt;&gt;"-",IF('Banco de Dados'!$AL2068="NÃO",IFERROR(VALUE(SUBSTITUTE(_xlfn.TEXTAFTER('Banco de Dados'!$F2068,"BRL ",1),".",",")),0),0),0)</f>
        <v>0</v>
      </c>
      <c r="AQ2068" s="28">
        <f ca="1">SUM('Banco de Dados'!$AM2068:$AP2068)</f>
        <v>0</v>
      </c>
      <c r="AR2068" s="8"/>
      <c r="AS2068" s="8"/>
      <c r="AT2068"/>
      <c r="AY2068" s="8"/>
    </row>
    <row r="2069" spans="1:51">
      <c r="A2069" s="5" t="str">
        <v>GO</v>
      </c>
      <c r="B2069" s="5" t="str">
        <f ca="1"/>
        <v>GO45861</v>
      </c>
      <c r="C2069" s="8" t="str">
        <v>Pedido 2055</v>
      </c>
      <c r="D2069" s="187">
        <v>45861</v>
      </c>
      <c r="E2069" s="9">
        <v>45861</v>
      </c>
      <c r="F2069" s="2" t="str">
        <v>PedidoF1938</v>
      </c>
      <c r="G2069" s="2" t="str">
        <v>CódRastreio1936</v>
      </c>
      <c r="H2069" s="5">
        <v>1</v>
      </c>
      <c r="I2069" s="182" t="str">
        <v>CPF 2010</v>
      </c>
      <c r="J2069" s="2" t="str">
        <v>Nome 2010</v>
      </c>
      <c r="K2069" s="8" t="str">
        <v>Tel 2010</v>
      </c>
      <c r="L2069" s="8" t="str">
        <v>Cep 2010</v>
      </c>
      <c r="M2069" s="8" t="str">
        <v>Rua 2010</v>
      </c>
      <c r="N2069" s="8" t="str">
        <v>Comp 2010</v>
      </c>
      <c r="O2069" s="8" t="str">
        <v>Bolsa térmica</v>
      </c>
      <c r="P2069" s="8" t="str">
        <v>UX-4N1H-UQ8A</v>
      </c>
      <c r="Q2069" s="4">
        <v>45869</v>
      </c>
      <c r="R2069" s="109">
        <v>30.97</v>
      </c>
      <c r="S2069" s="11">
        <f ca="1"/>
        <v>30.97</v>
      </c>
      <c r="T2069" s="28">
        <f ca="1"/>
        <v>3.7163999999999997</v>
      </c>
      <c r="U2069" s="11">
        <f ca="1"/>
        <v>27.25</v>
      </c>
      <c r="V2069" s="11">
        <v>22.58</v>
      </c>
      <c r="W2069" s="11">
        <f ca="1"/>
        <v>0</v>
      </c>
      <c r="X2069" s="11">
        <f ca="1"/>
        <v>0.39877104377104378</v>
      </c>
      <c r="Y2069" s="11">
        <v>0</v>
      </c>
      <c r="Z2069" s="11">
        <f ca="1"/>
        <v>4.2712289562289563</v>
      </c>
      <c r="AA2069" s="11">
        <f ca="1"/>
        <v>4.2712289562289563</v>
      </c>
      <c r="AB2069" s="4">
        <f ca="1"/>
        <v>45876</v>
      </c>
      <c r="AC2069" s="4">
        <v>45876</v>
      </c>
      <c r="AD2069" s="9">
        <v>45887</v>
      </c>
      <c r="AE2069" s="9">
        <v>45888</v>
      </c>
      <c r="AF2069" s="4" t="str">
        <f t="shared" ca="1" si="149"/>
        <v>2025 08</v>
      </c>
      <c r="AG2069" s="8" t="str" cm="1">
        <f t="array" ref="AG2069">IFERROR(_xlfn.IFS('Banco de Dados'!#REF!="AG. COMPRA","Em processamento",'Banco de Dados'!#REF!="AG. RASTREIO","Em processamento",'Banco de Dados'!$AE2069&lt;&gt;"-","Faturado",'Banco de Dados'!$AD2069&lt;&gt;"-","Aguardando Pix",'Banco de Dados'!$AC2069&lt;&gt;"-","Pendente"),"Aguardando Liberação")</f>
        <v>Aguardando Liberação</v>
      </c>
      <c r="AH2069" s="5" t="str">
        <f>IF('Banco de Dados'!$F2069="-",_xlfn.CONCAT(PROPER(TEXT(AK2069,"aaaa"))," ",PROPER(TEXT(AK2069,"mm"))),_xlfn.CONCAT(PROPER(TEXT(E2069,"aaaa"))," ",PROPER(TEXT(E2069,"mm"))))</f>
        <v>2025 07</v>
      </c>
      <c r="AI2069" s="9" t="str">
        <f ca="1">IF('Banco de Dados'!$AK2069&lt;&gt;"-","REEMBOLSO",IFERROR(_xlfn.XLOOKUP(G2069,Follow[CODRASTREIO],Follow[STATUS]),"-"))</f>
        <v>ENTREGUE</v>
      </c>
      <c r="AJ2069" s="9">
        <f ca="1">IF('Banco de Dados'!$AI2069="ENTREGUE",_xlfn.XLOOKUP('Banco de Dados'!$G2069,Follow[CODRASTREIO],Follow[DATAATUALIZAÇÃO]),"-")</f>
        <v>45866</v>
      </c>
      <c r="AK2069" s="132" t="str">
        <f ca="1"/>
        <v>-</v>
      </c>
      <c r="AL2069" s="35"/>
      <c r="AM2069" s="109" cm="1">
        <f t="array" aca="1" ref="AM2069" ca="1">IF('Banco de Dados'!$AK2069&lt;&gt;"-",_xlfn.IFS('Banco de Dados'!$A2069="bv",IF('Banco de Dados'!$E2069&lt;45641,ROUND(SUM('Banco de Dados'!$R2069*_xlfn.XLOOKUP('Banco de Dados'!$P2069,Sku!B:B,Sku!#REF!)*20%),2),ROUND(SUM('Banco de Dados'!$R2069*_xlfn.XLOOKUP('Banco de Dados'!$P2069,Sku!B:B,Sku!H:H)*20%),2)),'Banco de Dados'!$A2069="GO",ROUND(_xlfn.XLOOKUP('Banco de Dados'!$P2069,Sku!C:C,Sku!H:H),2),'Banco de Dados'!$A2069="MEI",ROUND(_xlfn.XLOOKUP('Banco de Dados'!$P2069,Sku!D:D,Sku!H:H),2)),0)</f>
        <v>0</v>
      </c>
      <c r="AN2069" s="109">
        <v>0</v>
      </c>
      <c r="AO2069" s="109">
        <v>0</v>
      </c>
      <c r="AP2069" s="28">
        <f ca="1">IF('Banco de Dados'!$AK2069&lt;&gt;"-",IF('Banco de Dados'!$AL2069="NÃO",IFERROR(VALUE(SUBSTITUTE(_xlfn.TEXTAFTER('Banco de Dados'!$F2069,"BRL ",1),".",",")),0),0),0)</f>
        <v>0</v>
      </c>
      <c r="AQ2069" s="28">
        <f ca="1">SUM('Banco de Dados'!$AM2069:$AP2069)</f>
        <v>0</v>
      </c>
      <c r="AR2069" s="8"/>
      <c r="AS2069" s="8"/>
      <c r="AT2069"/>
      <c r="AY2069" s="8"/>
    </row>
    <row r="2070" spans="1:51">
      <c r="A2070" s="5" t="str">
        <v>GO</v>
      </c>
      <c r="B2070" s="5" t="str">
        <f ca="1"/>
        <v>GO45861</v>
      </c>
      <c r="C2070" s="8" t="str">
        <v>Pedido 2056</v>
      </c>
      <c r="D2070" s="187">
        <v>45861</v>
      </c>
      <c r="E2070" s="9">
        <v>45861</v>
      </c>
      <c r="F2070" s="2" t="str">
        <v>PedidoF1939</v>
      </c>
      <c r="G2070" s="2" t="str">
        <v>CódRastreio1937</v>
      </c>
      <c r="H2070" s="5">
        <v>1</v>
      </c>
      <c r="I2070" s="182" t="str">
        <v>CPF 2011</v>
      </c>
      <c r="J2070" s="2" t="str">
        <v>Nome 2011</v>
      </c>
      <c r="K2070" s="8" t="str">
        <v>Tel 2011</v>
      </c>
      <c r="L2070" s="8" t="str">
        <v>Cep 2011</v>
      </c>
      <c r="M2070" s="8" t="str">
        <v>Rua 2011</v>
      </c>
      <c r="N2070" s="8" t="str">
        <v>Comp 2011</v>
      </c>
      <c r="O2070" s="8" t="str">
        <v>Bolsa térmica</v>
      </c>
      <c r="P2070" s="8" t="str">
        <v>UX-4N1H-UQ8A</v>
      </c>
      <c r="Q2070" s="4">
        <v>45874</v>
      </c>
      <c r="R2070" s="109">
        <v>30.97</v>
      </c>
      <c r="S2070" s="11">
        <f ca="1"/>
        <v>30.97</v>
      </c>
      <c r="T2070" s="28">
        <f ca="1"/>
        <v>3.7163999999999997</v>
      </c>
      <c r="U2070" s="11">
        <f ca="1"/>
        <v>27.25</v>
      </c>
      <c r="V2070" s="11">
        <v>22.58</v>
      </c>
      <c r="W2070" s="11">
        <f ca="1"/>
        <v>0</v>
      </c>
      <c r="X2070" s="11">
        <f ca="1"/>
        <v>0.39877104377104378</v>
      </c>
      <c r="Y2070" s="11">
        <v>0</v>
      </c>
      <c r="Z2070" s="11">
        <f ca="1"/>
        <v>4.2712289562289563</v>
      </c>
      <c r="AA2070" s="11">
        <f ca="1"/>
        <v>4.2712289562289563</v>
      </c>
      <c r="AB2070" s="4">
        <f ca="1"/>
        <v>45881</v>
      </c>
      <c r="AC2070" s="4">
        <v>45881</v>
      </c>
      <c r="AD2070" s="9">
        <v>45887</v>
      </c>
      <c r="AE2070" s="9">
        <v>45888</v>
      </c>
      <c r="AF2070" s="4" t="str">
        <f t="shared" ca="1" si="149"/>
        <v>2025 08</v>
      </c>
      <c r="AG2070" s="8" t="str" cm="1">
        <f t="array" ref="AG2070">IFERROR(_xlfn.IFS('Banco de Dados'!#REF!="AG. COMPRA","Em processamento",'Banco de Dados'!#REF!="AG. RASTREIO","Em processamento",'Banco de Dados'!$AE2070&lt;&gt;"-","Faturado",'Banco de Dados'!$AD2070&lt;&gt;"-","Aguardando Pix",'Banco de Dados'!$AC2070&lt;&gt;"-","Pendente"),"Aguardando Liberação")</f>
        <v>Aguardando Liberação</v>
      </c>
      <c r="AH2070" s="5" t="str">
        <f>IF('Banco de Dados'!$F2070="-",_xlfn.CONCAT(PROPER(TEXT(AK2070,"aaaa"))," ",PROPER(TEXT(AK2070,"mm"))),_xlfn.CONCAT(PROPER(TEXT(E2070,"aaaa"))," ",PROPER(TEXT(E2070,"mm"))))</f>
        <v>2025 07</v>
      </c>
      <c r="AI2070" s="9" t="str">
        <f ca="1">IF('Banco de Dados'!$AK2070&lt;&gt;"-","REEMBOLSO",IFERROR(_xlfn.XLOOKUP(G2070,Follow[CODRASTREIO],Follow[STATUS]),"-"))</f>
        <v>ENTREGUE</v>
      </c>
      <c r="AJ2070" s="9">
        <f ca="1">IF('Banco de Dados'!$AI2070="ENTREGUE",_xlfn.XLOOKUP('Banco de Dados'!$G2070,Follow[CODRASTREIO],Follow[DATAATUALIZAÇÃO]),"-")</f>
        <v>45866</v>
      </c>
      <c r="AK2070" s="132" t="str">
        <f ca="1"/>
        <v>-</v>
      </c>
      <c r="AL2070" s="35"/>
      <c r="AM2070" s="109" cm="1">
        <f t="array" aca="1" ref="AM2070" ca="1">IF('Banco de Dados'!$AK2070&lt;&gt;"-",_xlfn.IFS('Banco de Dados'!$A2070="bv",IF('Banco de Dados'!$E2070&lt;45641,ROUND(SUM('Banco de Dados'!$R2070*_xlfn.XLOOKUP('Banco de Dados'!$P2070,Sku!B:B,Sku!#REF!)*20%),2),ROUND(SUM('Banco de Dados'!$R2070*_xlfn.XLOOKUP('Banco de Dados'!$P2070,Sku!B:B,Sku!H:H)*20%),2)),'Banco de Dados'!$A2070="GO",ROUND(_xlfn.XLOOKUP('Banco de Dados'!$P2070,Sku!C:C,Sku!H:H),2),'Banco de Dados'!$A2070="MEI",ROUND(_xlfn.XLOOKUP('Banco de Dados'!$P2070,Sku!D:D,Sku!H:H),2)),0)</f>
        <v>0</v>
      </c>
      <c r="AN2070" s="109">
        <v>0</v>
      </c>
      <c r="AO2070" s="109">
        <v>0</v>
      </c>
      <c r="AP2070" s="28">
        <f ca="1">IF('Banco de Dados'!$AK2070&lt;&gt;"-",IF('Banco de Dados'!$AL2070="NÃO",IFERROR(VALUE(SUBSTITUTE(_xlfn.TEXTAFTER('Banco de Dados'!$F2070,"BRL ",1),".",",")),0),0),0)</f>
        <v>0</v>
      </c>
      <c r="AQ2070" s="28">
        <f ca="1">SUM('Banco de Dados'!$AM2070:$AP2070)</f>
        <v>0</v>
      </c>
      <c r="AR2070" s="8"/>
      <c r="AS2070" s="8"/>
      <c r="AT2070"/>
      <c r="AY2070" s="8"/>
    </row>
    <row r="2071" spans="1:51">
      <c r="A2071" s="5" t="str">
        <v>GO</v>
      </c>
      <c r="B2071" s="5" t="str">
        <f ca="1"/>
        <v>GO45861</v>
      </c>
      <c r="C2071" s="8" t="str">
        <v>Pedido 2057</v>
      </c>
      <c r="D2071" s="187">
        <v>45861</v>
      </c>
      <c r="E2071" s="9">
        <v>45861</v>
      </c>
      <c r="F2071" s="2" t="str">
        <v>PedidoF1940</v>
      </c>
      <c r="G2071" s="2" t="str">
        <v>CódRastreio1938</v>
      </c>
      <c r="H2071" s="5">
        <v>1</v>
      </c>
      <c r="I2071" s="182" t="str">
        <v>CPF 2012</v>
      </c>
      <c r="J2071" s="2" t="str">
        <v>Nome 2012</v>
      </c>
      <c r="K2071" s="8" t="str">
        <v>Tel 2012</v>
      </c>
      <c r="L2071" s="8" t="str">
        <v>Cep 2012</v>
      </c>
      <c r="M2071" s="8" t="str">
        <v>Rua 2012</v>
      </c>
      <c r="N2071" s="8" t="str">
        <v>Comp 2012</v>
      </c>
      <c r="O2071" s="8" t="str">
        <v>Bolsa térmica</v>
      </c>
      <c r="P2071" s="8" t="str">
        <v>UX-4N1H-UQ8A</v>
      </c>
      <c r="Q2071" s="4">
        <v>45870</v>
      </c>
      <c r="R2071" s="109">
        <v>30.97</v>
      </c>
      <c r="S2071" s="11">
        <f ca="1"/>
        <v>30.97</v>
      </c>
      <c r="T2071" s="28">
        <f ca="1"/>
        <v>3.7163999999999997</v>
      </c>
      <c r="U2071" s="11">
        <f ca="1"/>
        <v>27.25</v>
      </c>
      <c r="V2071" s="11">
        <v>22.58</v>
      </c>
      <c r="W2071" s="11">
        <f ca="1"/>
        <v>0</v>
      </c>
      <c r="X2071" s="11">
        <f ca="1"/>
        <v>0.39877104377104378</v>
      </c>
      <c r="Y2071" s="11">
        <v>0</v>
      </c>
      <c r="Z2071" s="11">
        <f ca="1"/>
        <v>4.2712289562289563</v>
      </c>
      <c r="AA2071" s="11">
        <f ca="1"/>
        <v>4.2712289562289563</v>
      </c>
      <c r="AB2071" s="4">
        <f ca="1"/>
        <v>45877</v>
      </c>
      <c r="AC2071" s="4">
        <v>45877</v>
      </c>
      <c r="AD2071" s="9">
        <v>45887</v>
      </c>
      <c r="AE2071" s="9">
        <v>45888</v>
      </c>
      <c r="AF2071" s="4" t="str">
        <f t="shared" ca="1" si="149"/>
        <v>2025 08</v>
      </c>
      <c r="AG2071" s="8" t="str" cm="1">
        <f t="array" ref="AG2071">IFERROR(_xlfn.IFS('Banco de Dados'!#REF!="AG. COMPRA","Em processamento",'Banco de Dados'!#REF!="AG. RASTREIO","Em processamento",'Banco de Dados'!$AE2071&lt;&gt;"-","Faturado",'Banco de Dados'!$AD2071&lt;&gt;"-","Aguardando Pix",'Banco de Dados'!$AC2071&lt;&gt;"-","Pendente"),"Aguardando Liberação")</f>
        <v>Aguardando Liberação</v>
      </c>
      <c r="AH2071" s="5" t="str">
        <f>IF('Banco de Dados'!$F2071="-",_xlfn.CONCAT(PROPER(TEXT(AK2071,"aaaa"))," ",PROPER(TEXT(AK2071,"mm"))),_xlfn.CONCAT(PROPER(TEXT(E2071,"aaaa"))," ",PROPER(TEXT(E2071,"mm"))))</f>
        <v>2025 07</v>
      </c>
      <c r="AI2071" s="9" t="str">
        <f ca="1">IF('Banco de Dados'!$AK2071&lt;&gt;"-","REEMBOLSO",IFERROR(_xlfn.XLOOKUP(G2071,Follow[CODRASTREIO],Follow[STATUS]),"-"))</f>
        <v>ENTREGUE</v>
      </c>
      <c r="AJ2071" s="9">
        <f ca="1">IF('Banco de Dados'!$AI2071="ENTREGUE",_xlfn.XLOOKUP('Banco de Dados'!$G2071,Follow[CODRASTREIO],Follow[DATAATUALIZAÇÃO]),"-")</f>
        <v>45866</v>
      </c>
      <c r="AK2071" s="132" t="str">
        <f ca="1"/>
        <v>-</v>
      </c>
      <c r="AL2071" s="35"/>
      <c r="AM2071" s="109" cm="1">
        <f t="array" aca="1" ref="AM2071" ca="1">IF('Banco de Dados'!$AK2071&lt;&gt;"-",_xlfn.IFS('Banco de Dados'!$A2071="bv",IF('Banco de Dados'!$E2071&lt;45641,ROUND(SUM('Banco de Dados'!$R2071*_xlfn.XLOOKUP('Banco de Dados'!$P2071,Sku!B:B,Sku!#REF!)*20%),2),ROUND(SUM('Banco de Dados'!$R2071*_xlfn.XLOOKUP('Banco de Dados'!$P2071,Sku!B:B,Sku!H:H)*20%),2)),'Banco de Dados'!$A2071="GO",ROUND(_xlfn.XLOOKUP('Banco de Dados'!$P2071,Sku!C:C,Sku!H:H),2),'Banco de Dados'!$A2071="MEI",ROUND(_xlfn.XLOOKUP('Banco de Dados'!$P2071,Sku!D:D,Sku!H:H),2)),0)</f>
        <v>0</v>
      </c>
      <c r="AN2071" s="109">
        <v>0</v>
      </c>
      <c r="AO2071" s="109">
        <v>0</v>
      </c>
      <c r="AP2071" s="28">
        <f ca="1">IF('Banco de Dados'!$AK2071&lt;&gt;"-",IF('Banco de Dados'!$AL2071="NÃO",IFERROR(VALUE(SUBSTITUTE(_xlfn.TEXTAFTER('Banco de Dados'!$F2071,"BRL ",1),".",",")),0),0),0)</f>
        <v>0</v>
      </c>
      <c r="AQ2071" s="28">
        <f ca="1">SUM('Banco de Dados'!$AM2071:$AP2071)</f>
        <v>0</v>
      </c>
      <c r="AR2071" s="8"/>
      <c r="AS2071" s="8"/>
      <c r="AT2071"/>
      <c r="AY2071" s="8"/>
    </row>
    <row r="2072" spans="1:51">
      <c r="A2072" s="5" t="str">
        <v>GO</v>
      </c>
      <c r="B2072" s="5" t="str">
        <f ca="1"/>
        <v>GO45861</v>
      </c>
      <c r="C2072" s="8" t="str">
        <v>Pedido 2058</v>
      </c>
      <c r="D2072" s="187">
        <v>45861</v>
      </c>
      <c r="E2072" s="9">
        <v>45861</v>
      </c>
      <c r="F2072" s="2" t="str">
        <v>PedidoF1941</v>
      </c>
      <c r="G2072" s="2" t="str">
        <v>CódRastreio1939</v>
      </c>
      <c r="H2072" s="5">
        <v>1</v>
      </c>
      <c r="I2072" s="182" t="str">
        <v>CPF 2013</v>
      </c>
      <c r="J2072" s="2" t="str">
        <v>Nome 2013</v>
      </c>
      <c r="K2072" s="8" t="str">
        <v>Tel 2013</v>
      </c>
      <c r="L2072" s="8" t="str">
        <v>Cep 2013</v>
      </c>
      <c r="M2072" s="8" t="str">
        <v>Rua 2013</v>
      </c>
      <c r="N2072" s="8" t="str">
        <v>Comp 2013</v>
      </c>
      <c r="O2072" s="8" t="str">
        <v>Bolsa térmica</v>
      </c>
      <c r="P2072" s="8" t="str">
        <v>UX-4N1H-UQ8A</v>
      </c>
      <c r="Q2072" s="4">
        <v>45876</v>
      </c>
      <c r="R2072" s="109">
        <v>30.97</v>
      </c>
      <c r="S2072" s="11">
        <f ca="1"/>
        <v>30.97</v>
      </c>
      <c r="T2072" s="28">
        <f ca="1"/>
        <v>3.7163999999999997</v>
      </c>
      <c r="U2072" s="11">
        <f ca="1"/>
        <v>27.25</v>
      </c>
      <c r="V2072" s="11">
        <v>22.58</v>
      </c>
      <c r="W2072" s="11">
        <f ca="1"/>
        <v>0</v>
      </c>
      <c r="X2072" s="11">
        <f ca="1"/>
        <v>0.39877104377104378</v>
      </c>
      <c r="Y2072" s="11">
        <v>0</v>
      </c>
      <c r="Z2072" s="11">
        <f ca="1"/>
        <v>4.2712289562289563</v>
      </c>
      <c r="AA2072" s="11">
        <f ca="1"/>
        <v>4.2712289562289563</v>
      </c>
      <c r="AB2072" s="4">
        <f ca="1"/>
        <v>45883</v>
      </c>
      <c r="AC2072" s="4">
        <v>45883</v>
      </c>
      <c r="AD2072" s="9">
        <v>45887</v>
      </c>
      <c r="AE2072" s="9">
        <v>45888</v>
      </c>
      <c r="AF2072" s="4" t="str">
        <f t="shared" ca="1" si="149"/>
        <v>2025 08</v>
      </c>
      <c r="AG2072" s="8" t="str" cm="1">
        <f t="array" ref="AG2072">IFERROR(_xlfn.IFS('Banco de Dados'!#REF!="AG. COMPRA","Em processamento",'Banco de Dados'!#REF!="AG. RASTREIO","Em processamento",'Banco de Dados'!$AE2072&lt;&gt;"-","Faturado",'Banco de Dados'!$AD2072&lt;&gt;"-","Aguardando Pix",'Banco de Dados'!$AC2072&lt;&gt;"-","Pendente"),"Aguardando Liberação")</f>
        <v>Aguardando Liberação</v>
      </c>
      <c r="AH2072" s="5" t="str">
        <f>IF('Banco de Dados'!$F2072="-",_xlfn.CONCAT(PROPER(TEXT(AK2072,"aaaa"))," ",PROPER(TEXT(AK2072,"mm"))),_xlfn.CONCAT(PROPER(TEXT(E2072,"aaaa"))," ",PROPER(TEXT(E2072,"mm"))))</f>
        <v>2025 07</v>
      </c>
      <c r="AI2072" s="9" t="str">
        <f ca="1">IF('Banco de Dados'!$AK2072&lt;&gt;"-","REEMBOLSO",IFERROR(_xlfn.XLOOKUP(G2072,Follow[CODRASTREIO],Follow[STATUS]),"-"))</f>
        <v>ENTREGUE</v>
      </c>
      <c r="AJ2072" s="9">
        <f ca="1">IF('Banco de Dados'!$AI2072="ENTREGUE",_xlfn.XLOOKUP('Banco de Dados'!$G2072,Follow[CODRASTREIO],Follow[DATAATUALIZAÇÃO]),"-")</f>
        <v>45869</v>
      </c>
      <c r="AK2072" s="132" t="str">
        <f ca="1"/>
        <v>-</v>
      </c>
      <c r="AL2072" s="35"/>
      <c r="AM2072" s="109" cm="1">
        <f t="array" aca="1" ref="AM2072" ca="1">IF('Banco de Dados'!$AK2072&lt;&gt;"-",_xlfn.IFS('Banco de Dados'!$A2072="bv",IF('Banco de Dados'!$E2072&lt;45641,ROUND(SUM('Banco de Dados'!$R2072*_xlfn.XLOOKUP('Banco de Dados'!$P2072,Sku!B:B,Sku!#REF!)*20%),2),ROUND(SUM('Banco de Dados'!$R2072*_xlfn.XLOOKUP('Banco de Dados'!$P2072,Sku!B:B,Sku!H:H)*20%),2)),'Banco de Dados'!$A2072="GO",ROUND(_xlfn.XLOOKUP('Banco de Dados'!$P2072,Sku!C:C,Sku!H:H),2),'Banco de Dados'!$A2072="MEI",ROUND(_xlfn.XLOOKUP('Banco de Dados'!$P2072,Sku!D:D,Sku!H:H),2)),0)</f>
        <v>0</v>
      </c>
      <c r="AN2072" s="109">
        <v>0</v>
      </c>
      <c r="AO2072" s="109">
        <v>0</v>
      </c>
      <c r="AP2072" s="28">
        <f ca="1">IF('Banco de Dados'!$AK2072&lt;&gt;"-",IF('Banco de Dados'!$AL2072="NÃO",IFERROR(VALUE(SUBSTITUTE(_xlfn.TEXTAFTER('Banco de Dados'!$F2072,"BRL ",1),".",",")),0),0),0)</f>
        <v>0</v>
      </c>
      <c r="AQ2072" s="28">
        <f ca="1">SUM('Banco de Dados'!$AM2072:$AP2072)</f>
        <v>0</v>
      </c>
      <c r="AR2072" s="8"/>
      <c r="AS2072" s="8"/>
      <c r="AT2072"/>
      <c r="AY2072" s="8"/>
    </row>
    <row r="2073" spans="1:51">
      <c r="A2073" s="5" t="str">
        <v>GO</v>
      </c>
      <c r="B2073" s="5" t="str">
        <f ca="1"/>
        <v>GO45861</v>
      </c>
      <c r="C2073" s="8" t="str">
        <v>Pedido 2059</v>
      </c>
      <c r="D2073" s="187">
        <v>45861</v>
      </c>
      <c r="E2073" s="9">
        <v>45861</v>
      </c>
      <c r="F2073" s="2" t="str">
        <v>PedidoF1942</v>
      </c>
      <c r="G2073" s="2" t="str">
        <v>CódRastreio1940</v>
      </c>
      <c r="H2073" s="5">
        <v>1</v>
      </c>
      <c r="I2073" s="182" t="str">
        <v>CPF 2014</v>
      </c>
      <c r="J2073" s="2" t="str">
        <v>Nome 2014</v>
      </c>
      <c r="K2073" s="8" t="str">
        <v>Tel 2014</v>
      </c>
      <c r="L2073" s="8" t="str">
        <v>Cep 2014</v>
      </c>
      <c r="M2073" s="8" t="str">
        <v>Rua 2014</v>
      </c>
      <c r="N2073" s="8" t="str">
        <v>Comp 2014</v>
      </c>
      <c r="O2073" s="8" t="str">
        <v>Bolsa térmica</v>
      </c>
      <c r="P2073" s="8" t="str">
        <v>UX-4N1H-UQ8A</v>
      </c>
      <c r="Q2073" s="4">
        <v>45870</v>
      </c>
      <c r="R2073" s="109">
        <v>30.97</v>
      </c>
      <c r="S2073" s="11">
        <f ca="1"/>
        <v>30.97</v>
      </c>
      <c r="T2073" s="28">
        <f ca="1"/>
        <v>3.7163999999999997</v>
      </c>
      <c r="U2073" s="11">
        <f ca="1"/>
        <v>27.25</v>
      </c>
      <c r="V2073" s="11">
        <v>22.58</v>
      </c>
      <c r="W2073" s="11">
        <f ca="1"/>
        <v>0</v>
      </c>
      <c r="X2073" s="11">
        <f ca="1"/>
        <v>0.39877104377104378</v>
      </c>
      <c r="Y2073" s="11">
        <v>0</v>
      </c>
      <c r="Z2073" s="11">
        <f ca="1"/>
        <v>4.2712289562289563</v>
      </c>
      <c r="AA2073" s="11">
        <f ca="1"/>
        <v>4.2712289562289563</v>
      </c>
      <c r="AB2073" s="4">
        <f ca="1"/>
        <v>45877</v>
      </c>
      <c r="AC2073" s="4">
        <v>45877</v>
      </c>
      <c r="AD2073" s="9">
        <v>45887</v>
      </c>
      <c r="AE2073" s="9">
        <v>45888</v>
      </c>
      <c r="AF2073" s="4" t="str">
        <f t="shared" ca="1" si="149"/>
        <v>2025 08</v>
      </c>
      <c r="AG2073" s="8" t="str" cm="1">
        <f t="array" ref="AG2073">IFERROR(_xlfn.IFS('Banco de Dados'!#REF!="AG. COMPRA","Em processamento",'Banco de Dados'!#REF!="AG. RASTREIO","Em processamento",'Banco de Dados'!$AE2073&lt;&gt;"-","Faturado",'Banco de Dados'!$AD2073&lt;&gt;"-","Aguardando Pix",'Banco de Dados'!$AC2073&lt;&gt;"-","Pendente"),"Aguardando Liberação")</f>
        <v>Aguardando Liberação</v>
      </c>
      <c r="AH2073" s="5" t="str">
        <f>IF('Banco de Dados'!$F2073="-",_xlfn.CONCAT(PROPER(TEXT(AK2073,"aaaa"))," ",PROPER(TEXT(AK2073,"mm"))),_xlfn.CONCAT(PROPER(TEXT(E2073,"aaaa"))," ",PROPER(TEXT(E2073,"mm"))))</f>
        <v>2025 07</v>
      </c>
      <c r="AI2073" s="9" t="str">
        <f ca="1">IF('Banco de Dados'!$AK2073&lt;&gt;"-","REEMBOLSO",IFERROR(_xlfn.XLOOKUP(G2073,Follow[CODRASTREIO],Follow[STATUS]),"-"))</f>
        <v>ENTREGUE</v>
      </c>
      <c r="AJ2073" s="9">
        <f ca="1">IF('Banco de Dados'!$AI2073="ENTREGUE",_xlfn.XLOOKUP('Banco de Dados'!$G2073,Follow[CODRASTREIO],Follow[DATAATUALIZAÇÃO]),"-")</f>
        <v>45866</v>
      </c>
      <c r="AK2073" s="132" t="str">
        <f ca="1"/>
        <v>-</v>
      </c>
      <c r="AL2073" s="35"/>
      <c r="AM2073" s="109" cm="1">
        <f t="array" aca="1" ref="AM2073" ca="1">IF('Banco de Dados'!$AK2073&lt;&gt;"-",_xlfn.IFS('Banco de Dados'!$A2073="bv",IF('Banco de Dados'!$E2073&lt;45641,ROUND(SUM('Banco de Dados'!$R2073*_xlfn.XLOOKUP('Banco de Dados'!$P2073,Sku!B:B,Sku!#REF!)*20%),2),ROUND(SUM('Banco de Dados'!$R2073*_xlfn.XLOOKUP('Banco de Dados'!$P2073,Sku!B:B,Sku!H:H)*20%),2)),'Banco de Dados'!$A2073="GO",ROUND(_xlfn.XLOOKUP('Banco de Dados'!$P2073,Sku!C:C,Sku!H:H),2),'Banco de Dados'!$A2073="MEI",ROUND(_xlfn.XLOOKUP('Banco de Dados'!$P2073,Sku!D:D,Sku!H:H),2)),0)</f>
        <v>0</v>
      </c>
      <c r="AN2073" s="109">
        <v>0</v>
      </c>
      <c r="AO2073" s="109">
        <v>0</v>
      </c>
      <c r="AP2073" s="28">
        <f ca="1">IF('Banco de Dados'!$AK2073&lt;&gt;"-",IF('Banco de Dados'!$AL2073="NÃO",IFERROR(VALUE(SUBSTITUTE(_xlfn.TEXTAFTER('Banco de Dados'!$F2073,"BRL ",1),".",",")),0),0),0)</f>
        <v>0</v>
      </c>
      <c r="AQ2073" s="28">
        <f ca="1">SUM('Banco de Dados'!$AM2073:$AP2073)</f>
        <v>0</v>
      </c>
      <c r="AR2073" s="8"/>
      <c r="AS2073" s="8"/>
      <c r="AT2073"/>
      <c r="AY2073" s="8"/>
    </row>
    <row r="2074" spans="1:51">
      <c r="A2074" s="5" t="str">
        <v>GO</v>
      </c>
      <c r="B2074" s="5" t="str">
        <f ca="1"/>
        <v>GO45861</v>
      </c>
      <c r="C2074" s="8" t="str">
        <v>Pedido 2060</v>
      </c>
      <c r="D2074" s="187">
        <v>45861</v>
      </c>
      <c r="E2074" s="9">
        <v>45861</v>
      </c>
      <c r="F2074" s="2" t="str">
        <v>PedidoF1943</v>
      </c>
      <c r="G2074" s="2" t="str">
        <v>CódRastreio1941</v>
      </c>
      <c r="H2074" s="5">
        <v>4</v>
      </c>
      <c r="I2074" s="182" t="str">
        <v>CPF 2015</v>
      </c>
      <c r="J2074" s="2" t="str">
        <v>Nome 2015</v>
      </c>
      <c r="K2074" s="8" t="str">
        <v>Tel 2015</v>
      </c>
      <c r="L2074" s="8" t="str">
        <v>Cep 2015</v>
      </c>
      <c r="M2074" s="8" t="str">
        <v>Rua 2015</v>
      </c>
      <c r="N2074" s="8" t="str">
        <v>Comp 2015</v>
      </c>
      <c r="O2074" s="8" t="str">
        <v>Bolsa térmica</v>
      </c>
      <c r="P2074" s="8" t="str">
        <v>UX-4N1H-UQ8A</v>
      </c>
      <c r="Q2074" s="4">
        <v>45876</v>
      </c>
      <c r="R2074" s="109">
        <v>123.88</v>
      </c>
      <c r="S2074" s="11">
        <f ca="1"/>
        <v>123.88</v>
      </c>
      <c r="T2074" s="28">
        <f ca="1"/>
        <v>14.865599999999999</v>
      </c>
      <c r="U2074" s="11">
        <f ca="1"/>
        <v>109.01</v>
      </c>
      <c r="V2074" s="11">
        <v>81.319999999999993</v>
      </c>
      <c r="W2074" s="11">
        <f ca="1"/>
        <v>0</v>
      </c>
      <c r="X2074" s="11">
        <f ca="1"/>
        <v>0.39877104377104378</v>
      </c>
      <c r="Y2074" s="11">
        <v>0</v>
      </c>
      <c r="Z2074" s="11">
        <f ca="1"/>
        <v>27.291228956228963</v>
      </c>
      <c r="AA2074" s="11">
        <f ca="1"/>
        <v>27.291228956228963</v>
      </c>
      <c r="AB2074" s="4">
        <f ca="1"/>
        <v>45883</v>
      </c>
      <c r="AC2074" s="4">
        <v>45883</v>
      </c>
      <c r="AD2074" s="9">
        <v>45887</v>
      </c>
      <c r="AE2074" s="9">
        <v>45888</v>
      </c>
      <c r="AF2074" s="4" t="str">
        <f t="shared" ca="1" si="149"/>
        <v>2025 08</v>
      </c>
      <c r="AG2074" s="8" t="str" cm="1">
        <f t="array" ref="AG2074">IFERROR(_xlfn.IFS('Banco de Dados'!#REF!="AG. COMPRA","Em processamento",'Banco de Dados'!#REF!="AG. RASTREIO","Em processamento",'Banco de Dados'!$AE2074&lt;&gt;"-","Faturado",'Banco de Dados'!$AD2074&lt;&gt;"-","Aguardando Pix",'Banco de Dados'!$AC2074&lt;&gt;"-","Pendente"),"Aguardando Liberação")</f>
        <v>Aguardando Liberação</v>
      </c>
      <c r="AH2074" s="5" t="str">
        <f>IF('Banco de Dados'!$F2074="-",_xlfn.CONCAT(PROPER(TEXT(AK2074,"aaaa"))," ",PROPER(TEXT(AK2074,"mm"))),_xlfn.CONCAT(PROPER(TEXT(E2074,"aaaa"))," ",PROPER(TEXT(E2074,"mm"))))</f>
        <v>2025 07</v>
      </c>
      <c r="AI2074" s="9" t="str">
        <f ca="1">IF('Banco de Dados'!$AK2074&lt;&gt;"-","REEMBOLSO",IFERROR(_xlfn.XLOOKUP(G2074,Follow[CODRASTREIO],Follow[STATUS]),"-"))</f>
        <v>ENTREGUE</v>
      </c>
      <c r="AJ2074" s="9">
        <f ca="1">IF('Banco de Dados'!$AI2074="ENTREGUE",_xlfn.XLOOKUP('Banco de Dados'!$G2074,Follow[CODRASTREIO],Follow[DATAATUALIZAÇÃO]),"-")</f>
        <v>45867</v>
      </c>
      <c r="AK2074" s="132" t="str">
        <f ca="1"/>
        <v>-</v>
      </c>
      <c r="AL2074" s="35"/>
      <c r="AM2074" s="109" cm="1">
        <f t="array" aca="1" ref="AM2074" ca="1">IF('Banco de Dados'!$AK2074&lt;&gt;"-",_xlfn.IFS('Banco de Dados'!$A2074="bv",IF('Banco de Dados'!$E2074&lt;45641,ROUND(SUM('Banco de Dados'!$R2074*_xlfn.XLOOKUP('Banco de Dados'!$P2074,Sku!B:B,Sku!#REF!)*20%),2),ROUND(SUM('Banco de Dados'!$R2074*_xlfn.XLOOKUP('Banco de Dados'!$P2074,Sku!B:B,Sku!H:H)*20%),2)),'Banco de Dados'!$A2074="GO",ROUND(_xlfn.XLOOKUP('Banco de Dados'!$P2074,Sku!C:C,Sku!H:H),2),'Banco de Dados'!$A2074="MEI",ROUND(_xlfn.XLOOKUP('Banco de Dados'!$P2074,Sku!D:D,Sku!H:H),2)),0)</f>
        <v>0</v>
      </c>
      <c r="AN2074" s="109">
        <v>0</v>
      </c>
      <c r="AO2074" s="109">
        <v>0</v>
      </c>
      <c r="AP2074" s="28">
        <f ca="1">IF('Banco de Dados'!$AK2074&lt;&gt;"-",IF('Banco de Dados'!$AL2074="NÃO",IFERROR(VALUE(SUBSTITUTE(_xlfn.TEXTAFTER('Banco de Dados'!$F2074,"BRL ",1),".",",")),0),0),0)</f>
        <v>0</v>
      </c>
      <c r="AQ2074" s="28">
        <f ca="1">SUM('Banco de Dados'!$AM2074:$AP2074)</f>
        <v>0</v>
      </c>
      <c r="AR2074" s="8"/>
      <c r="AS2074" s="8"/>
      <c r="AT2074"/>
      <c r="AY2074" s="8"/>
    </row>
    <row r="2075" spans="1:51">
      <c r="A2075" s="5" t="str">
        <v>GO</v>
      </c>
      <c r="B2075" s="5" t="str">
        <f ca="1"/>
        <v>GO45861</v>
      </c>
      <c r="C2075" s="8" t="str">
        <v>Pedido 2061</v>
      </c>
      <c r="D2075" s="187">
        <v>45861</v>
      </c>
      <c r="E2075" s="9">
        <v>45861</v>
      </c>
      <c r="F2075" s="2" t="str">
        <v>PedidoF1944</v>
      </c>
      <c r="G2075" s="2" t="str">
        <v>CódRastreio1942</v>
      </c>
      <c r="H2075" s="5">
        <v>1</v>
      </c>
      <c r="I2075" s="182" t="str">
        <v>CPF 2016</v>
      </c>
      <c r="J2075" s="2" t="str">
        <v>Nome 2016</v>
      </c>
      <c r="K2075" s="8" t="str">
        <v>Tel 2016</v>
      </c>
      <c r="L2075" s="8" t="str">
        <v>Cep 2016</v>
      </c>
      <c r="M2075" s="8" t="str">
        <v>Rua 2016</v>
      </c>
      <c r="N2075" s="8" t="str">
        <v>Comp 2016</v>
      </c>
      <c r="O2075" s="8" t="str">
        <v>Bolsa térmica</v>
      </c>
      <c r="P2075" s="8" t="str">
        <v>UX-4N1H-UQ8A</v>
      </c>
      <c r="Q2075" s="4">
        <v>45870</v>
      </c>
      <c r="R2075" s="109">
        <v>30.97</v>
      </c>
      <c r="S2075" s="11">
        <f ca="1"/>
        <v>30.97</v>
      </c>
      <c r="T2075" s="28">
        <f ca="1"/>
        <v>3.7163999999999997</v>
      </c>
      <c r="U2075" s="11">
        <f ca="1"/>
        <v>27.25</v>
      </c>
      <c r="V2075" s="11">
        <v>22.58</v>
      </c>
      <c r="W2075" s="11">
        <f ca="1"/>
        <v>0</v>
      </c>
      <c r="X2075" s="11">
        <f ca="1"/>
        <v>0.39877104377104378</v>
      </c>
      <c r="Y2075" s="11">
        <v>0</v>
      </c>
      <c r="Z2075" s="11">
        <f ca="1"/>
        <v>4.2712289562289563</v>
      </c>
      <c r="AA2075" s="11">
        <f ca="1"/>
        <v>4.2712289562289563</v>
      </c>
      <c r="AB2075" s="4">
        <f ca="1"/>
        <v>45877</v>
      </c>
      <c r="AC2075" s="4">
        <v>45877</v>
      </c>
      <c r="AD2075" s="9">
        <v>45887</v>
      </c>
      <c r="AE2075" s="9">
        <v>45888</v>
      </c>
      <c r="AF2075" s="4" t="str">
        <f t="shared" ref="AF2075:AF2076" ca="1" si="150">_xlfn.CONCAT(PROPER(TEXT(AB2075,"aaaa"))," ",PROPER(TEXT(AB2075,"mm")))</f>
        <v>2025 08</v>
      </c>
      <c r="AG2075" s="8" t="str" cm="1">
        <f t="array" ref="AG2075">IFERROR(_xlfn.IFS('Banco de Dados'!#REF!="AG. COMPRA","Em processamento",'Banco de Dados'!#REF!="AG. RASTREIO","Em processamento",'Banco de Dados'!$AE2075&lt;&gt;"-","Faturado",'Banco de Dados'!$AD2075&lt;&gt;"-","Aguardando Pix",'Banco de Dados'!$AC2075&lt;&gt;"-","Pendente"),"Aguardando Liberação")</f>
        <v>Aguardando Liberação</v>
      </c>
      <c r="AH2075" s="5" t="str">
        <f>IF('Banco de Dados'!$F2075="-",_xlfn.CONCAT(PROPER(TEXT(AK2075,"aaaa"))," ",PROPER(TEXT(AK2075,"mm"))),_xlfn.CONCAT(PROPER(TEXT(E2075,"aaaa"))," ",PROPER(TEXT(E2075,"mm"))))</f>
        <v>2025 07</v>
      </c>
      <c r="AI2075" s="9" t="str">
        <f ca="1">IF('Banco de Dados'!$AK2075&lt;&gt;"-","REEMBOLSO",IFERROR(_xlfn.XLOOKUP(G2075,Follow[CODRASTREIO],Follow[STATUS]),"-"))</f>
        <v>ENTREGUE</v>
      </c>
      <c r="AJ2075" s="9">
        <f ca="1">IF('Banco de Dados'!$AI2075="ENTREGUE",_xlfn.XLOOKUP('Banco de Dados'!$G2075,Follow[CODRASTREIO],Follow[DATAATUALIZAÇÃO]),"-")</f>
        <v>45865</v>
      </c>
      <c r="AK2075" s="132" t="str">
        <f ca="1"/>
        <v>-</v>
      </c>
      <c r="AL2075" s="35"/>
      <c r="AM2075" s="109" cm="1">
        <f t="array" aca="1" ref="AM2075" ca="1">IF('Banco de Dados'!$AK2075&lt;&gt;"-",_xlfn.IFS('Banco de Dados'!$A2075="bv",IF('Banco de Dados'!$E2075&lt;45641,ROUND(SUM('Banco de Dados'!$R2075*_xlfn.XLOOKUP('Banco de Dados'!$P2075,Sku!B:B,Sku!#REF!)*20%),2),ROUND(SUM('Banco de Dados'!$R2075*_xlfn.XLOOKUP('Banco de Dados'!$P2075,Sku!B:B,Sku!H:H)*20%),2)),'Banco de Dados'!$A2075="GO",ROUND(_xlfn.XLOOKUP('Banco de Dados'!$P2075,Sku!C:C,Sku!H:H),2),'Banco de Dados'!$A2075="MEI",ROUND(_xlfn.XLOOKUP('Banco de Dados'!$P2075,Sku!D:D,Sku!H:H),2)),0)</f>
        <v>0</v>
      </c>
      <c r="AN2075" s="109">
        <v>0</v>
      </c>
      <c r="AO2075" s="109">
        <v>0</v>
      </c>
      <c r="AP2075" s="28">
        <f ca="1">IF('Banco de Dados'!$AK2075&lt;&gt;"-",IF('Banco de Dados'!$AL2075="NÃO",IFERROR(VALUE(SUBSTITUTE(_xlfn.TEXTAFTER('Banco de Dados'!$F2075,"BRL ",1),".",",")),0),0),0)</f>
        <v>0</v>
      </c>
      <c r="AQ2075" s="28">
        <f ca="1">SUM('Banco de Dados'!$AM2075:$AP2075)</f>
        <v>0</v>
      </c>
      <c r="AR2075" s="8"/>
      <c r="AS2075" s="8"/>
      <c r="AT2075"/>
      <c r="AY2075" s="8"/>
    </row>
    <row r="2076" spans="1:51">
      <c r="A2076" s="5" t="str">
        <v>GO</v>
      </c>
      <c r="B2076" s="5" t="str">
        <f ca="1"/>
        <v>GO45861</v>
      </c>
      <c r="C2076" s="8" t="str">
        <v>Pedido 2062</v>
      </c>
      <c r="D2076" s="187">
        <v>45862</v>
      </c>
      <c r="E2076" s="9">
        <v>45861</v>
      </c>
      <c r="F2076" s="2" t="str">
        <v>PedidoF1945</v>
      </c>
      <c r="G2076" s="2" t="str">
        <v>CódRastreio1943</v>
      </c>
      <c r="H2076" s="5">
        <v>1</v>
      </c>
      <c r="I2076" s="182" t="str">
        <v>CPF 2017</v>
      </c>
      <c r="J2076" s="2" t="str">
        <v>Nome 2017</v>
      </c>
      <c r="K2076" s="8" t="str">
        <v>Tel 2017</v>
      </c>
      <c r="L2076" s="8" t="str">
        <v>Cep 2017</v>
      </c>
      <c r="M2076" s="8" t="str">
        <v>Rua 2017</v>
      </c>
      <c r="N2076" s="8" t="str">
        <v>Comp 2017</v>
      </c>
      <c r="O2076" s="8" t="str">
        <v>Bolsa térmica</v>
      </c>
      <c r="P2076" s="8" t="str">
        <v>UX-4N1H-UQ8A</v>
      </c>
      <c r="Q2076" s="4">
        <v>45876</v>
      </c>
      <c r="R2076" s="109">
        <v>30.97</v>
      </c>
      <c r="S2076" s="11">
        <f ca="1"/>
        <v>30.97</v>
      </c>
      <c r="T2076" s="28">
        <f ca="1"/>
        <v>3.7163999999999997</v>
      </c>
      <c r="U2076" s="11">
        <f ca="1"/>
        <v>27.25</v>
      </c>
      <c r="V2076" s="11">
        <v>22.58</v>
      </c>
      <c r="W2076" s="11">
        <f ca="1"/>
        <v>0</v>
      </c>
      <c r="X2076" s="11">
        <f ca="1"/>
        <v>0.39877104377104378</v>
      </c>
      <c r="Y2076" s="11">
        <v>0</v>
      </c>
      <c r="Z2076" s="11">
        <f ca="1"/>
        <v>4.2712289562289563</v>
      </c>
      <c r="AA2076" s="11">
        <f ca="1"/>
        <v>4.2712289562289563</v>
      </c>
      <c r="AB2076" s="4">
        <f ca="1"/>
        <v>45883</v>
      </c>
      <c r="AC2076" s="4">
        <v>45883</v>
      </c>
      <c r="AD2076" s="9">
        <v>45887</v>
      </c>
      <c r="AE2076" s="9">
        <v>45888</v>
      </c>
      <c r="AF2076" s="4" t="str">
        <f t="shared" ca="1" si="150"/>
        <v>2025 08</v>
      </c>
      <c r="AG2076" s="8" t="str" cm="1">
        <f t="array" ref="AG2076">IFERROR(_xlfn.IFS('Banco de Dados'!#REF!="AG. COMPRA","Em processamento",'Banco de Dados'!#REF!="AG. RASTREIO","Em processamento",'Banco de Dados'!$AE2076&lt;&gt;"-","Faturado",'Banco de Dados'!$AD2076&lt;&gt;"-","Aguardando Pix",'Banco de Dados'!$AC2076&lt;&gt;"-","Pendente"),"Aguardando Liberação")</f>
        <v>Aguardando Liberação</v>
      </c>
      <c r="AH2076" s="5" t="str">
        <f>IF('Banco de Dados'!$F2076="-",_xlfn.CONCAT(PROPER(TEXT(AK2076,"aaaa"))," ",PROPER(TEXT(AK2076,"mm"))),_xlfn.CONCAT(PROPER(TEXT(E2076,"aaaa"))," ",PROPER(TEXT(E2076,"mm"))))</f>
        <v>2025 07</v>
      </c>
      <c r="AI2076" s="9" t="str">
        <f ca="1">IF('Banco de Dados'!$AK2076&lt;&gt;"-","REEMBOLSO",IFERROR(_xlfn.XLOOKUP(G2076,Follow[CODRASTREIO],Follow[STATUS]),"-"))</f>
        <v>ENTREGUE</v>
      </c>
      <c r="AJ2076" s="9">
        <f ca="1">IF('Banco de Dados'!$AI2076="ENTREGUE",_xlfn.XLOOKUP('Banco de Dados'!$G2076,Follow[CODRASTREIO],Follow[DATAATUALIZAÇÃO]),"-")</f>
        <v>45866</v>
      </c>
      <c r="AK2076" s="132" t="str">
        <f ca="1"/>
        <v>-</v>
      </c>
      <c r="AL2076" s="35"/>
      <c r="AM2076" s="109" cm="1">
        <f t="array" aca="1" ref="AM2076" ca="1">IF('Banco de Dados'!$AK2076&lt;&gt;"-",_xlfn.IFS('Banco de Dados'!$A2076="bv",IF('Banco de Dados'!$E2076&lt;45641,ROUND(SUM('Banco de Dados'!$R2076*_xlfn.XLOOKUP('Banco de Dados'!$P2076,Sku!B:B,Sku!#REF!)*20%),2),ROUND(SUM('Banco de Dados'!$R2076*_xlfn.XLOOKUP('Banco de Dados'!$P2076,Sku!B:B,Sku!H:H)*20%),2)),'Banco de Dados'!$A2076="GO",ROUND(_xlfn.XLOOKUP('Banco de Dados'!$P2076,Sku!C:C,Sku!H:H),2),'Banco de Dados'!$A2076="MEI",ROUND(_xlfn.XLOOKUP('Banco de Dados'!$P2076,Sku!D:D,Sku!H:H),2)),0)</f>
        <v>0</v>
      </c>
      <c r="AN2076" s="109">
        <v>0</v>
      </c>
      <c r="AO2076" s="109">
        <v>0</v>
      </c>
      <c r="AP2076" s="28">
        <f ca="1">IF('Banco de Dados'!$AK2076&lt;&gt;"-",IF('Banco de Dados'!$AL2076="NÃO",IFERROR(VALUE(SUBSTITUTE(_xlfn.TEXTAFTER('Banco de Dados'!$F2076,"BRL ",1),".",",")),0),0),0)</f>
        <v>0</v>
      </c>
      <c r="AQ2076" s="28">
        <f ca="1">SUM('Banco de Dados'!$AM2076:$AP2076)</f>
        <v>0</v>
      </c>
      <c r="AR2076" s="8"/>
      <c r="AS2076" s="8"/>
      <c r="AT2076"/>
      <c r="AY2076" s="8"/>
    </row>
    <row r="2077" spans="1:51">
      <c r="A2077" s="5" t="str">
        <v>GO</v>
      </c>
      <c r="B2077" s="5" t="str">
        <f ca="1"/>
        <v>GO45862</v>
      </c>
      <c r="C2077" s="8" t="str">
        <v>Pedido 2063</v>
      </c>
      <c r="D2077" s="187">
        <v>45862</v>
      </c>
      <c r="E2077" s="9">
        <v>45862</v>
      </c>
      <c r="F2077" s="2" t="str">
        <v>PedidoF1946</v>
      </c>
      <c r="G2077" s="2" t="str">
        <v>CódRastreio1944</v>
      </c>
      <c r="H2077" s="5">
        <v>1</v>
      </c>
      <c r="I2077" s="182" t="str">
        <v>CPF 2018</v>
      </c>
      <c r="J2077" s="2" t="str">
        <v>Nome 2018</v>
      </c>
      <c r="K2077" s="8" t="str">
        <v>Tel 2018</v>
      </c>
      <c r="L2077" s="8" t="str">
        <v>Cep 2018</v>
      </c>
      <c r="M2077" s="8" t="str">
        <v>Rua 2018</v>
      </c>
      <c r="N2077" s="8" t="str">
        <v>Comp 2018</v>
      </c>
      <c r="O2077" s="8" t="str">
        <v>Bolsa térmica</v>
      </c>
      <c r="P2077" s="8" t="str">
        <v>UX-4N1H-UQ8A</v>
      </c>
      <c r="Q2077" s="4">
        <v>45889</v>
      </c>
      <c r="R2077" s="109">
        <v>30.97</v>
      </c>
      <c r="S2077" s="11">
        <f ca="1"/>
        <v>30.97</v>
      </c>
      <c r="T2077" s="28">
        <f ca="1"/>
        <v>3.7163999999999997</v>
      </c>
      <c r="U2077" s="11">
        <f ca="1"/>
        <v>27.25</v>
      </c>
      <c r="V2077" s="11">
        <v>22.58</v>
      </c>
      <c r="W2077" s="11">
        <f ca="1"/>
        <v>0</v>
      </c>
      <c r="X2077" s="11">
        <f ca="1"/>
        <v>0.39877104377104378</v>
      </c>
      <c r="Y2077" s="11">
        <v>0</v>
      </c>
      <c r="Z2077" s="11">
        <f ca="1"/>
        <v>4.2712289562289563</v>
      </c>
      <c r="AA2077" s="11">
        <f ca="1"/>
        <v>4.2712289562289563</v>
      </c>
      <c r="AB2077" s="4">
        <f ca="1"/>
        <v>45896</v>
      </c>
      <c r="AC2077" s="4">
        <v>45896</v>
      </c>
      <c r="AD2077" s="9">
        <v>45915</v>
      </c>
      <c r="AE2077" s="9">
        <v>45888</v>
      </c>
      <c r="AF2077" s="4" t="str">
        <f t="shared" ref="AF2077:AF2082" ca="1" si="151">_xlfn.CONCAT(PROPER(TEXT(AB2077,"aaaa"))," ",PROPER(TEXT(AB2077,"mm")))</f>
        <v>2025 08</v>
      </c>
      <c r="AG2077" s="8" t="str" cm="1">
        <f t="array" ref="AG2077">IFERROR(_xlfn.IFS('Banco de Dados'!#REF!="AG. COMPRA","Em processamento",'Banco de Dados'!#REF!="AG. RASTREIO","Em processamento",'Banco de Dados'!$AE2077&lt;&gt;"-","Faturado",'Banco de Dados'!$AD2077&lt;&gt;"-","Aguardando Pix",'Banco de Dados'!$AC2077&lt;&gt;"-","Pendente"),"Aguardando Liberação")</f>
        <v>Aguardando Liberação</v>
      </c>
      <c r="AH2077" s="5" t="str">
        <f>IF('Banco de Dados'!$F2077="-",_xlfn.CONCAT(PROPER(TEXT(AK2077,"aaaa"))," ",PROPER(TEXT(AK2077,"mm"))),_xlfn.CONCAT(PROPER(TEXT(E2077,"aaaa"))," ",PROPER(TEXT(E2077,"mm"))))</f>
        <v>2025 07</v>
      </c>
      <c r="AI2077" s="9" t="str">
        <f ca="1">IF('Banco de Dados'!$AK2077&lt;&gt;"-","REEMBOLSO",IFERROR(_xlfn.XLOOKUP(G2077,Follow[CODRASTREIO],Follow[STATUS]),"-"))</f>
        <v>ENTREGUE</v>
      </c>
      <c r="AJ2077" s="9">
        <f ca="1">IF('Banco de Dados'!$AI2077="ENTREGUE",_xlfn.XLOOKUP('Banco de Dados'!$G2077,Follow[CODRASTREIO],Follow[DATAATUALIZAÇÃO]),"-")</f>
        <v>45867</v>
      </c>
      <c r="AK2077" s="132" t="str">
        <f ca="1"/>
        <v>-</v>
      </c>
      <c r="AL2077" s="35"/>
      <c r="AM2077" s="109" cm="1">
        <f t="array" aca="1" ref="AM2077" ca="1">IF('Banco de Dados'!$AK2077&lt;&gt;"-",_xlfn.IFS('Banco de Dados'!$A2077="bv",IF('Banco de Dados'!$E2077&lt;45641,ROUND(SUM('Banco de Dados'!$R2077*_xlfn.XLOOKUP('Banco de Dados'!$P2077,Sku!B:B,Sku!#REF!)*20%),2),ROUND(SUM('Banco de Dados'!$R2077*_xlfn.XLOOKUP('Banco de Dados'!$P2077,Sku!B:B,Sku!H:H)*20%),2)),'Banco de Dados'!$A2077="GO",ROUND(_xlfn.XLOOKUP('Banco de Dados'!$P2077,Sku!C:C,Sku!H:H),2),'Banco de Dados'!$A2077="MEI",ROUND(_xlfn.XLOOKUP('Banco de Dados'!$P2077,Sku!D:D,Sku!H:H),2)),0)</f>
        <v>0</v>
      </c>
      <c r="AN2077" s="109">
        <v>0</v>
      </c>
      <c r="AO2077" s="109">
        <v>0</v>
      </c>
      <c r="AP2077" s="28">
        <f ca="1">IF('Banco de Dados'!$AK2077&lt;&gt;"-",IF('Banco de Dados'!$AL2077="NÃO",IFERROR(VALUE(SUBSTITUTE(_xlfn.TEXTAFTER('Banco de Dados'!$F2077,"BRL ",1),".",",")),0),0),0)</f>
        <v>0</v>
      </c>
      <c r="AQ2077" s="28">
        <f ca="1">SUM('Banco de Dados'!$AM2077:$AP2077)</f>
        <v>0</v>
      </c>
      <c r="AR2077" s="8"/>
      <c r="AS2077" s="8"/>
      <c r="AT2077"/>
      <c r="AY2077" s="8"/>
    </row>
    <row r="2078" spans="1:51">
      <c r="A2078" s="5" t="str">
        <v>GO</v>
      </c>
      <c r="B2078" s="5" t="str">
        <f ca="1"/>
        <v>GO45862</v>
      </c>
      <c r="C2078" s="8" t="str">
        <v>Pedido 2064</v>
      </c>
      <c r="D2078" s="187">
        <v>45862</v>
      </c>
      <c r="E2078" s="9">
        <v>45862</v>
      </c>
      <c r="F2078" s="2" t="str">
        <v>PedidoF1947</v>
      </c>
      <c r="G2078" s="2" t="str">
        <v>CódRastreio1945</v>
      </c>
      <c r="H2078" s="5">
        <v>1</v>
      </c>
      <c r="I2078" s="182" t="str">
        <v>CPF 2019</v>
      </c>
      <c r="J2078" s="2" t="str">
        <v>Nome 2019</v>
      </c>
      <c r="K2078" s="8" t="str">
        <v>Tel 2019</v>
      </c>
      <c r="L2078" s="8" t="str">
        <v>Cep 2019</v>
      </c>
      <c r="M2078" s="8" t="str">
        <v>Rua 2019</v>
      </c>
      <c r="N2078" s="8" t="str">
        <v>Comp 2019</v>
      </c>
      <c r="O2078" s="8" t="str">
        <v>Bolsa térmica</v>
      </c>
      <c r="P2078" s="8" t="str">
        <v>UX-4N1H-UQ8A</v>
      </c>
      <c r="Q2078" s="4">
        <v>45883</v>
      </c>
      <c r="R2078" s="109">
        <v>30.97</v>
      </c>
      <c r="S2078" s="11">
        <f ca="1"/>
        <v>30.97</v>
      </c>
      <c r="T2078" s="28">
        <f ca="1"/>
        <v>3.7163999999999997</v>
      </c>
      <c r="U2078" s="11">
        <f ca="1"/>
        <v>27.25</v>
      </c>
      <c r="V2078" s="11">
        <v>22.58</v>
      </c>
      <c r="W2078" s="11">
        <f ca="1"/>
        <v>0</v>
      </c>
      <c r="X2078" s="11">
        <f ca="1"/>
        <v>0.39877104377104378</v>
      </c>
      <c r="Y2078" s="11">
        <v>0</v>
      </c>
      <c r="Z2078" s="11">
        <f ca="1"/>
        <v>4.2712289562289563</v>
      </c>
      <c r="AA2078" s="11">
        <f ca="1"/>
        <v>4.2712289562289563</v>
      </c>
      <c r="AB2078" s="4">
        <f ca="1"/>
        <v>45890</v>
      </c>
      <c r="AC2078" s="4">
        <v>45890</v>
      </c>
      <c r="AD2078" s="9">
        <v>45915</v>
      </c>
      <c r="AE2078" s="9">
        <v>45888</v>
      </c>
      <c r="AF2078" s="4" t="str">
        <f t="shared" ca="1" si="151"/>
        <v>2025 08</v>
      </c>
      <c r="AG2078" s="8" t="str" cm="1">
        <f t="array" ref="AG2078">IFERROR(_xlfn.IFS('Banco de Dados'!#REF!="AG. COMPRA","Em processamento",'Banco de Dados'!#REF!="AG. RASTREIO","Em processamento",'Banco de Dados'!$AE2078&lt;&gt;"-","Faturado",'Banco de Dados'!$AD2078&lt;&gt;"-","Aguardando Pix",'Banco de Dados'!$AC2078&lt;&gt;"-","Pendente"),"Aguardando Liberação")</f>
        <v>Aguardando Liberação</v>
      </c>
      <c r="AH2078" s="5" t="str">
        <f>IF('Banco de Dados'!$F2078="-",_xlfn.CONCAT(PROPER(TEXT(AK2078,"aaaa"))," ",PROPER(TEXT(AK2078,"mm"))),_xlfn.CONCAT(PROPER(TEXT(E2078,"aaaa"))," ",PROPER(TEXT(E2078,"mm"))))</f>
        <v>2025 07</v>
      </c>
      <c r="AI2078" s="9" t="str">
        <f ca="1">IF('Banco de Dados'!$AK2078&lt;&gt;"-","REEMBOLSO",IFERROR(_xlfn.XLOOKUP(G2078,Follow[CODRASTREIO],Follow[STATUS]),"-"))</f>
        <v>ENTREGUE</v>
      </c>
      <c r="AJ2078" s="9">
        <f ca="1">IF('Banco de Dados'!$AI2078="ENTREGUE",_xlfn.XLOOKUP('Banco de Dados'!$G2078,Follow[CODRASTREIO],Follow[DATAATUALIZAÇÃO]),"-")</f>
        <v>45867</v>
      </c>
      <c r="AK2078" s="132" t="str">
        <f ca="1"/>
        <v>-</v>
      </c>
      <c r="AL2078" s="35"/>
      <c r="AM2078" s="109" cm="1">
        <f t="array" aca="1" ref="AM2078" ca="1">IF('Banco de Dados'!$AK2078&lt;&gt;"-",_xlfn.IFS('Banco de Dados'!$A2078="bv",IF('Banco de Dados'!$E2078&lt;45641,ROUND(SUM('Banco de Dados'!$R2078*_xlfn.XLOOKUP('Banco de Dados'!$P2078,Sku!B:B,Sku!#REF!)*20%),2),ROUND(SUM('Banco de Dados'!$R2078*_xlfn.XLOOKUP('Banco de Dados'!$P2078,Sku!B:B,Sku!H:H)*20%),2)),'Banco de Dados'!$A2078="GO",ROUND(_xlfn.XLOOKUP('Banco de Dados'!$P2078,Sku!C:C,Sku!H:H),2),'Banco de Dados'!$A2078="MEI",ROUND(_xlfn.XLOOKUP('Banco de Dados'!$P2078,Sku!D:D,Sku!H:H),2)),0)</f>
        <v>0</v>
      </c>
      <c r="AN2078" s="109">
        <v>0</v>
      </c>
      <c r="AO2078" s="109">
        <v>0</v>
      </c>
      <c r="AP2078" s="28">
        <f ca="1">IF('Banco de Dados'!$AK2078&lt;&gt;"-",IF('Banco de Dados'!$AL2078="NÃO",IFERROR(VALUE(SUBSTITUTE(_xlfn.TEXTAFTER('Banco de Dados'!$F2078,"BRL ",1),".",",")),0),0),0)</f>
        <v>0</v>
      </c>
      <c r="AQ2078" s="28">
        <f ca="1">SUM('Banco de Dados'!$AM2078:$AP2078)</f>
        <v>0</v>
      </c>
      <c r="AR2078" s="8"/>
      <c r="AS2078" s="8"/>
      <c r="AT2078"/>
      <c r="AY2078" s="8"/>
    </row>
    <row r="2079" spans="1:51">
      <c r="A2079" s="5" t="str">
        <v>GO</v>
      </c>
      <c r="B2079" s="5" t="str">
        <f ca="1"/>
        <v>GO45862</v>
      </c>
      <c r="C2079" s="8" t="str">
        <v>Pedido 2065</v>
      </c>
      <c r="D2079" s="187">
        <v>45862</v>
      </c>
      <c r="E2079" s="9">
        <v>45862</v>
      </c>
      <c r="F2079" s="2" t="str">
        <v>PedidoF1948</v>
      </c>
      <c r="G2079" s="2" t="str">
        <v>CódRastreio1946</v>
      </c>
      <c r="H2079" s="5">
        <v>1</v>
      </c>
      <c r="I2079" s="182" t="str">
        <v>CPF 1896</v>
      </c>
      <c r="J2079" s="2" t="str">
        <v>Nome 1896</v>
      </c>
      <c r="K2079" s="8" t="str">
        <v>Tel 1896</v>
      </c>
      <c r="L2079" s="8" t="str">
        <v>Cep 1896</v>
      </c>
      <c r="M2079" s="8" t="str">
        <v>Rua 1896</v>
      </c>
      <c r="N2079" s="8" t="str">
        <v>Comp 1896</v>
      </c>
      <c r="O2079" s="8" t="str">
        <v>Bolsa térmica</v>
      </c>
      <c r="P2079" s="8" t="str">
        <v>UX-4N1H-UQ8A</v>
      </c>
      <c r="Q2079" s="4">
        <v>45877</v>
      </c>
      <c r="R2079" s="109">
        <v>30.97</v>
      </c>
      <c r="S2079" s="11">
        <f ca="1"/>
        <v>30.97</v>
      </c>
      <c r="T2079" s="28">
        <f ca="1"/>
        <v>3.7163999999999997</v>
      </c>
      <c r="U2079" s="11">
        <f ca="1"/>
        <v>27.25</v>
      </c>
      <c r="V2079" s="11">
        <v>22.58</v>
      </c>
      <c r="W2079" s="11">
        <f ca="1"/>
        <v>0</v>
      </c>
      <c r="X2079" s="11">
        <f ca="1"/>
        <v>0.39877104377104378</v>
      </c>
      <c r="Y2079" s="11">
        <v>0</v>
      </c>
      <c r="Z2079" s="11">
        <f ca="1"/>
        <v>4.2712289562289563</v>
      </c>
      <c r="AA2079" s="11">
        <f ca="1"/>
        <v>4.2712289562289563</v>
      </c>
      <c r="AB2079" s="4">
        <f ca="1"/>
        <v>45884</v>
      </c>
      <c r="AC2079" s="4">
        <v>45884</v>
      </c>
      <c r="AD2079" s="9">
        <v>45887</v>
      </c>
      <c r="AE2079" s="9">
        <v>45888</v>
      </c>
      <c r="AF2079" s="4" t="str">
        <f t="shared" ca="1" si="151"/>
        <v>2025 08</v>
      </c>
      <c r="AG2079" s="8" t="str" cm="1">
        <f t="array" ref="AG2079">IFERROR(_xlfn.IFS('Banco de Dados'!#REF!="AG. COMPRA","Em processamento",'Banco de Dados'!#REF!="AG. RASTREIO","Em processamento",'Banco de Dados'!$AE2079&lt;&gt;"-","Faturado",'Banco de Dados'!$AD2079&lt;&gt;"-","Aguardando Pix",'Banco de Dados'!$AC2079&lt;&gt;"-","Pendente"),"Aguardando Liberação")</f>
        <v>Aguardando Liberação</v>
      </c>
      <c r="AH2079" s="5" t="str">
        <f>IF('Banco de Dados'!$F2079="-",_xlfn.CONCAT(PROPER(TEXT(AK2079,"aaaa"))," ",PROPER(TEXT(AK2079,"mm"))),_xlfn.CONCAT(PROPER(TEXT(E2079,"aaaa"))," ",PROPER(TEXT(E2079,"mm"))))</f>
        <v>2025 07</v>
      </c>
      <c r="AI2079" s="9" t="str">
        <f ca="1">IF('Banco de Dados'!$AK2079&lt;&gt;"-","REEMBOLSO",IFERROR(_xlfn.XLOOKUP(G2079,Follow[CODRASTREIO],Follow[STATUS]),"-"))</f>
        <v>ENTREGUE</v>
      </c>
      <c r="AJ2079" s="9">
        <f ca="1">IF('Banco de Dados'!$AI2079="ENTREGUE",_xlfn.XLOOKUP('Banco de Dados'!$G2079,Follow[CODRASTREIO],Follow[DATAATUALIZAÇÃO]),"-")</f>
        <v>45866</v>
      </c>
      <c r="AK2079" s="132" t="str">
        <f ca="1"/>
        <v>-</v>
      </c>
      <c r="AL2079" s="35"/>
      <c r="AM2079" s="109" cm="1">
        <f t="array" aca="1" ref="AM2079" ca="1">IF('Banco de Dados'!$AK2079&lt;&gt;"-",_xlfn.IFS('Banco de Dados'!$A2079="bv",IF('Banco de Dados'!$E2079&lt;45641,ROUND(SUM('Banco de Dados'!$R2079*_xlfn.XLOOKUP('Banco de Dados'!$P2079,Sku!B:B,Sku!#REF!)*20%),2),ROUND(SUM('Banco de Dados'!$R2079*_xlfn.XLOOKUP('Banco de Dados'!$P2079,Sku!B:B,Sku!H:H)*20%),2)),'Banco de Dados'!$A2079="GO",ROUND(_xlfn.XLOOKUP('Banco de Dados'!$P2079,Sku!C:C,Sku!H:H),2),'Banco de Dados'!$A2079="MEI",ROUND(_xlfn.XLOOKUP('Banco de Dados'!$P2079,Sku!D:D,Sku!H:H),2)),0)</f>
        <v>0</v>
      </c>
      <c r="AN2079" s="109">
        <v>0</v>
      </c>
      <c r="AO2079" s="109">
        <v>0</v>
      </c>
      <c r="AP2079" s="28">
        <f ca="1">IF('Banco de Dados'!$AK2079&lt;&gt;"-",IF('Banco de Dados'!$AL2079="NÃO",IFERROR(VALUE(SUBSTITUTE(_xlfn.TEXTAFTER('Banco de Dados'!$F2079,"BRL ",1),".",",")),0),0),0)</f>
        <v>0</v>
      </c>
      <c r="AQ2079" s="28">
        <f ca="1">SUM('Banco de Dados'!$AM2079:$AP2079)</f>
        <v>0</v>
      </c>
      <c r="AR2079" s="8"/>
      <c r="AS2079" s="8"/>
      <c r="AT2079"/>
      <c r="AY2079" s="8"/>
    </row>
    <row r="2080" spans="1:51">
      <c r="A2080" s="5" t="str">
        <v>GO</v>
      </c>
      <c r="B2080" s="5" t="str">
        <f ca="1"/>
        <v>GO45866</v>
      </c>
      <c r="C2080" s="8" t="str">
        <v>Pedido 2066</v>
      </c>
      <c r="D2080" s="187">
        <v>45863</v>
      </c>
      <c r="E2080" s="9">
        <v>45866</v>
      </c>
      <c r="F2080" s="2" t="str">
        <v>PedidoF1949</v>
      </c>
      <c r="G2080" s="2" t="str">
        <v>CódRastreio1947</v>
      </c>
      <c r="H2080" s="5">
        <v>1</v>
      </c>
      <c r="I2080" s="182" t="str">
        <v>CPF 2021</v>
      </c>
      <c r="J2080" s="2" t="str">
        <v>Nome 2021</v>
      </c>
      <c r="K2080" s="8" t="str">
        <v>Tel 2021</v>
      </c>
      <c r="L2080" s="8" t="str">
        <v>Cep 2021</v>
      </c>
      <c r="M2080" s="8" t="str">
        <v>Rua 2021</v>
      </c>
      <c r="N2080" s="8" t="str">
        <v>Comp 2021</v>
      </c>
      <c r="O2080" s="8" t="str">
        <v>Bolsa térmica</v>
      </c>
      <c r="P2080" s="8" t="str">
        <v>UX-4N1H-UQ8A</v>
      </c>
      <c r="Q2080" s="4">
        <v>45877</v>
      </c>
      <c r="R2080" s="109">
        <v>30.97</v>
      </c>
      <c r="S2080" s="11">
        <f ca="1"/>
        <v>30.97</v>
      </c>
      <c r="T2080" s="28">
        <f ca="1"/>
        <v>3.7163999999999997</v>
      </c>
      <c r="U2080" s="11">
        <f ca="1"/>
        <v>27.25</v>
      </c>
      <c r="V2080" s="11">
        <v>22.58</v>
      </c>
      <c r="W2080" s="11">
        <f ca="1"/>
        <v>0</v>
      </c>
      <c r="X2080" s="11">
        <f ca="1"/>
        <v>0.39877104377104378</v>
      </c>
      <c r="Y2080" s="11">
        <v>0</v>
      </c>
      <c r="Z2080" s="11">
        <f ca="1"/>
        <v>4.2712289562289563</v>
      </c>
      <c r="AA2080" s="11">
        <f ca="1"/>
        <v>4.2712289562289563</v>
      </c>
      <c r="AB2080" s="4">
        <f ca="1"/>
        <v>45884</v>
      </c>
      <c r="AC2080" s="4">
        <v>45884</v>
      </c>
      <c r="AD2080" s="9">
        <v>45887</v>
      </c>
      <c r="AE2080" s="9">
        <v>45888</v>
      </c>
      <c r="AF2080" s="4" t="str">
        <f t="shared" ca="1" si="151"/>
        <v>2025 08</v>
      </c>
      <c r="AG2080" s="8" t="str" cm="1">
        <f t="array" ref="AG2080">IFERROR(_xlfn.IFS('Banco de Dados'!#REF!="AG. COMPRA","Em processamento",'Banco de Dados'!#REF!="AG. RASTREIO","Em processamento",'Banco de Dados'!$AE2080&lt;&gt;"-","Faturado",'Banco de Dados'!$AD2080&lt;&gt;"-","Aguardando Pix",'Banco de Dados'!$AC2080&lt;&gt;"-","Pendente"),"Aguardando Liberação")</f>
        <v>Aguardando Liberação</v>
      </c>
      <c r="AH2080" s="5" t="str">
        <f>IF('Banco de Dados'!$F2080="-",_xlfn.CONCAT(PROPER(TEXT(AK2080,"aaaa"))," ",PROPER(TEXT(AK2080,"mm"))),_xlfn.CONCAT(PROPER(TEXT(E2080,"aaaa"))," ",PROPER(TEXT(E2080,"mm"))))</f>
        <v>2025 07</v>
      </c>
      <c r="AI2080" s="9" t="str">
        <f ca="1">IF('Banco de Dados'!$AK2080&lt;&gt;"-","REEMBOLSO",IFERROR(_xlfn.XLOOKUP(G2080,Follow[CODRASTREIO],Follow[STATUS]),"-"))</f>
        <v>ENTREGUE</v>
      </c>
      <c r="AJ2080" s="9">
        <f ca="1">IF('Banco de Dados'!$AI2080="ENTREGUE",_xlfn.XLOOKUP('Banco de Dados'!$G2080,Follow[CODRASTREIO],Follow[DATAATUALIZAÇÃO]),"-")</f>
        <v>45870</v>
      </c>
      <c r="AK2080" s="132" t="str">
        <f ca="1"/>
        <v>-</v>
      </c>
      <c r="AL2080" s="35"/>
      <c r="AM2080" s="109" cm="1">
        <f t="array" aca="1" ref="AM2080" ca="1">IF('Banco de Dados'!$AK2080&lt;&gt;"-",_xlfn.IFS('Banco de Dados'!$A2080="bv",IF('Banco de Dados'!$E2080&lt;45641,ROUND(SUM('Banco de Dados'!$R2080*_xlfn.XLOOKUP('Banco de Dados'!$P2080,Sku!B:B,Sku!#REF!)*20%),2),ROUND(SUM('Banco de Dados'!$R2080*_xlfn.XLOOKUP('Banco de Dados'!$P2080,Sku!B:B,Sku!H:H)*20%),2)),'Banco de Dados'!$A2080="GO",ROUND(_xlfn.XLOOKUP('Banco de Dados'!$P2080,Sku!C:C,Sku!H:H),2),'Banco de Dados'!$A2080="MEI",ROUND(_xlfn.XLOOKUP('Banco de Dados'!$P2080,Sku!D:D,Sku!H:H),2)),0)</f>
        <v>0</v>
      </c>
      <c r="AN2080" s="109">
        <v>0</v>
      </c>
      <c r="AO2080" s="109">
        <v>0</v>
      </c>
      <c r="AP2080" s="28">
        <f ca="1">IF('Banco de Dados'!$AK2080&lt;&gt;"-",IF('Banco de Dados'!$AL2080="NÃO",IFERROR(VALUE(SUBSTITUTE(_xlfn.TEXTAFTER('Banco de Dados'!$F2080,"BRL ",1),".",",")),0),0),0)</f>
        <v>0</v>
      </c>
      <c r="AQ2080" s="28">
        <f ca="1">SUM('Banco de Dados'!$AM2080:$AP2080)</f>
        <v>0</v>
      </c>
      <c r="AR2080" s="8"/>
      <c r="AS2080" s="8"/>
      <c r="AT2080"/>
      <c r="AY2080" s="8"/>
    </row>
    <row r="2081" spans="1:51">
      <c r="A2081" s="5" t="str">
        <v>GO</v>
      </c>
      <c r="B2081" s="5" t="str">
        <f ca="1"/>
        <v>GO45866</v>
      </c>
      <c r="C2081" s="8" t="str">
        <v>Pedido 2067</v>
      </c>
      <c r="D2081" s="187">
        <v>45866</v>
      </c>
      <c r="E2081" s="9">
        <v>45866</v>
      </c>
      <c r="F2081" s="2" t="str">
        <v>PedidoF1950</v>
      </c>
      <c r="G2081" s="2" t="str">
        <v>CódRastreio1948</v>
      </c>
      <c r="H2081" s="5">
        <v>1</v>
      </c>
      <c r="I2081" s="182" t="str">
        <v>CPF 2022</v>
      </c>
      <c r="J2081" s="2" t="str">
        <v>Nome 2022</v>
      </c>
      <c r="K2081" s="8" t="str">
        <v>Tel 2022</v>
      </c>
      <c r="L2081" s="8" t="str">
        <v>Cep 2022</v>
      </c>
      <c r="M2081" s="8" t="str">
        <v>Rua 2022</v>
      </c>
      <c r="N2081" s="8" t="str">
        <v>Comp 2022</v>
      </c>
      <c r="O2081" s="8" t="str">
        <v>Ventilador Umidificador Preto</v>
      </c>
      <c r="P2081" s="8" t="str">
        <v>K9-YV2I-FO7H</v>
      </c>
      <c r="Q2081" s="4">
        <v>45883</v>
      </c>
      <c r="R2081" s="109">
        <v>54.99</v>
      </c>
      <c r="S2081" s="11">
        <f ca="1"/>
        <v>54.99</v>
      </c>
      <c r="T2081" s="28">
        <f ca="1"/>
        <v>6.0489000000000006</v>
      </c>
      <c r="U2081" s="11">
        <f ca="1"/>
        <v>48.94</v>
      </c>
      <c r="V2081" s="11">
        <v>36.72</v>
      </c>
      <c r="W2081" s="11">
        <f ca="1"/>
        <v>0</v>
      </c>
      <c r="X2081" s="11">
        <f ca="1"/>
        <v>0.39877104377104378</v>
      </c>
      <c r="Y2081" s="11">
        <v>0</v>
      </c>
      <c r="Z2081" s="11">
        <f ca="1"/>
        <v>11.821228956228957</v>
      </c>
      <c r="AA2081" s="11">
        <f ca="1"/>
        <v>11.821228956228957</v>
      </c>
      <c r="AB2081" s="4">
        <f ca="1"/>
        <v>45890</v>
      </c>
      <c r="AC2081" s="4">
        <v>45890</v>
      </c>
      <c r="AD2081" s="9">
        <v>45915</v>
      </c>
      <c r="AE2081" s="9">
        <v>45888</v>
      </c>
      <c r="AF2081" s="4" t="str">
        <f t="shared" ca="1" si="151"/>
        <v>2025 08</v>
      </c>
      <c r="AG2081" s="8" t="str" cm="1">
        <f t="array" ref="AG2081">IFERROR(_xlfn.IFS('Banco de Dados'!#REF!="AG. COMPRA","Em processamento",'Banco de Dados'!#REF!="AG. RASTREIO","Em processamento",'Banco de Dados'!$AE2081&lt;&gt;"-","Faturado",'Banco de Dados'!$AD2081&lt;&gt;"-","Aguardando Pix",'Banco de Dados'!$AC2081&lt;&gt;"-","Pendente"),"Aguardando Liberação")</f>
        <v>Aguardando Liberação</v>
      </c>
      <c r="AH2081" s="5" t="str">
        <f>IF('Banco de Dados'!$F2081="-",_xlfn.CONCAT(PROPER(TEXT(AK2081,"aaaa"))," ",PROPER(TEXT(AK2081,"mm"))),_xlfn.CONCAT(PROPER(TEXT(E2081,"aaaa"))," ",PROPER(TEXT(E2081,"mm"))))</f>
        <v>2025 07</v>
      </c>
      <c r="AI2081" s="9" t="str">
        <f ca="1">IF('Banco de Dados'!$AK2081&lt;&gt;"-","REEMBOLSO",IFERROR(_xlfn.XLOOKUP(G2081,Follow[CODRASTREIO],Follow[STATUS]),"-"))</f>
        <v>ENTREGUE</v>
      </c>
      <c r="AJ2081" s="9">
        <f ca="1">IF('Banco de Dados'!$AI2081="ENTREGUE",_xlfn.XLOOKUP('Banco de Dados'!$G2081,Follow[CODRASTREIO],Follow[DATAATUALIZAÇÃO]),"-")</f>
        <v>45870</v>
      </c>
      <c r="AK2081" s="132" t="str">
        <f ca="1"/>
        <v>-</v>
      </c>
      <c r="AL2081" s="35"/>
      <c r="AM2081" s="109" cm="1">
        <f t="array" aca="1" ref="AM2081" ca="1">IF('Banco de Dados'!$AK2081&lt;&gt;"-",_xlfn.IFS('Banco de Dados'!$A2081="bv",IF('Banco de Dados'!$E2081&lt;45641,ROUND(SUM('Banco de Dados'!$R2081*_xlfn.XLOOKUP('Banco de Dados'!$P2081,Sku!B:B,Sku!#REF!)*20%),2),ROUND(SUM('Banco de Dados'!$R2081*_xlfn.XLOOKUP('Banco de Dados'!$P2081,Sku!B:B,Sku!H:H)*20%),2)),'Banco de Dados'!$A2081="GO",ROUND(_xlfn.XLOOKUP('Banco de Dados'!$P2081,Sku!C:C,Sku!H:H),2),'Banco de Dados'!$A2081="MEI",ROUND(_xlfn.XLOOKUP('Banco de Dados'!$P2081,Sku!D:D,Sku!H:H),2)),0)</f>
        <v>0</v>
      </c>
      <c r="AN2081" s="109">
        <v>0</v>
      </c>
      <c r="AO2081" s="109">
        <v>0</v>
      </c>
      <c r="AP2081" s="28">
        <f ca="1">IF('Banco de Dados'!$AK2081&lt;&gt;"-",IF('Banco de Dados'!$AL2081="NÃO",IFERROR(VALUE(SUBSTITUTE(_xlfn.TEXTAFTER('Banco de Dados'!$F2081,"BRL ",1),".",",")),0),0),0)</f>
        <v>0</v>
      </c>
      <c r="AQ2081" s="28">
        <f ca="1">SUM('Banco de Dados'!$AM2081:$AP2081)</f>
        <v>0</v>
      </c>
      <c r="AR2081" s="8"/>
      <c r="AS2081" s="8"/>
      <c r="AT2081"/>
      <c r="AY2081" s="8"/>
    </row>
    <row r="2082" spans="1:51">
      <c r="A2082" s="5" t="str">
        <v>GO</v>
      </c>
      <c r="B2082" s="5" t="str">
        <f ca="1"/>
        <v>GO45866</v>
      </c>
      <c r="C2082" s="8" t="str">
        <v>Pedido 2068</v>
      </c>
      <c r="D2082" s="187">
        <v>45866</v>
      </c>
      <c r="E2082" s="9">
        <v>45866</v>
      </c>
      <c r="F2082" s="2" t="str">
        <v>PedidoF1951</v>
      </c>
      <c r="G2082" s="2" t="str">
        <v>CódRastreio1949</v>
      </c>
      <c r="H2082" s="5">
        <v>1</v>
      </c>
      <c r="I2082" s="182" t="str">
        <v>CPF 2023</v>
      </c>
      <c r="J2082" s="2" t="str">
        <v>Nome 2023</v>
      </c>
      <c r="K2082" s="8" t="str">
        <v>Tel 2023</v>
      </c>
      <c r="L2082" s="8" t="str">
        <v>Cep 2023</v>
      </c>
      <c r="M2082" s="8" t="str">
        <v>Rua 2023</v>
      </c>
      <c r="N2082" s="8" t="str">
        <v>Comp 2023</v>
      </c>
      <c r="O2082" s="8" t="str">
        <v>Bolsa térmica</v>
      </c>
      <c r="P2082" s="8" t="str">
        <v>UX-4N1H-UQ8A</v>
      </c>
      <c r="Q2082" s="4">
        <v>45881</v>
      </c>
      <c r="R2082" s="109">
        <v>29.5</v>
      </c>
      <c r="S2082" s="11">
        <f ca="1"/>
        <v>29.5</v>
      </c>
      <c r="T2082" s="28">
        <f ca="1"/>
        <v>3.54</v>
      </c>
      <c r="U2082" s="11">
        <f ca="1"/>
        <v>25.96</v>
      </c>
      <c r="V2082" s="11">
        <v>22.58</v>
      </c>
      <c r="W2082" s="11">
        <f ca="1"/>
        <v>0</v>
      </c>
      <c r="X2082" s="11">
        <f ca="1"/>
        <v>0.39877104377104378</v>
      </c>
      <c r="Y2082" s="11">
        <v>0</v>
      </c>
      <c r="Z2082" s="11">
        <f ca="1"/>
        <v>2.9812289562289571</v>
      </c>
      <c r="AA2082" s="11">
        <f ca="1"/>
        <v>2.9812289562289571</v>
      </c>
      <c r="AB2082" s="4">
        <f ca="1"/>
        <v>45888</v>
      </c>
      <c r="AC2082" s="4">
        <v>45888</v>
      </c>
      <c r="AD2082" s="9">
        <v>45915</v>
      </c>
      <c r="AE2082" s="9">
        <v>45888</v>
      </c>
      <c r="AF2082" s="4" t="str">
        <f t="shared" ca="1" si="151"/>
        <v>2025 08</v>
      </c>
      <c r="AG2082" s="8" t="str" cm="1">
        <f t="array" ref="AG2082">IFERROR(_xlfn.IFS('Banco de Dados'!#REF!="AG. COMPRA","Em processamento",'Banco de Dados'!#REF!="AG. RASTREIO","Em processamento",'Banco de Dados'!$AE2082&lt;&gt;"-","Faturado",'Banco de Dados'!$AD2082&lt;&gt;"-","Aguardando Pix",'Banco de Dados'!$AC2082&lt;&gt;"-","Pendente"),"Aguardando Liberação")</f>
        <v>Aguardando Liberação</v>
      </c>
      <c r="AH2082" s="5" t="str">
        <f>IF('Banco de Dados'!$F2082="-",_xlfn.CONCAT(PROPER(TEXT(AK2082,"aaaa"))," ",PROPER(TEXT(AK2082,"mm"))),_xlfn.CONCAT(PROPER(TEXT(E2082,"aaaa"))," ",PROPER(TEXT(E2082,"mm"))))</f>
        <v>2025 07</v>
      </c>
      <c r="AI2082" s="9" t="str">
        <f ca="1">IF('Banco de Dados'!$AK2082&lt;&gt;"-","REEMBOLSO",IFERROR(_xlfn.XLOOKUP(G2082,Follow[CODRASTREIO],Follow[STATUS]),"-"))</f>
        <v>ENTREGUE</v>
      </c>
      <c r="AJ2082" s="9">
        <f ca="1">IF('Banco de Dados'!$AI2082="ENTREGUE",_xlfn.XLOOKUP('Banco de Dados'!$G2082,Follow[CODRASTREIO],Follow[DATAATUALIZAÇÃO]),"-")</f>
        <v>45870</v>
      </c>
      <c r="AK2082" s="132" t="str">
        <f ca="1"/>
        <v>-</v>
      </c>
      <c r="AL2082" s="35"/>
      <c r="AM2082" s="109" cm="1">
        <f t="array" aca="1" ref="AM2082" ca="1">IF('Banco de Dados'!$AK2082&lt;&gt;"-",_xlfn.IFS('Banco de Dados'!$A2082="bv",IF('Banco de Dados'!$E2082&lt;45641,ROUND(SUM('Banco de Dados'!$R2082*_xlfn.XLOOKUP('Banco de Dados'!$P2082,Sku!B:B,Sku!#REF!)*20%),2),ROUND(SUM('Banco de Dados'!$R2082*_xlfn.XLOOKUP('Banco de Dados'!$P2082,Sku!B:B,Sku!H:H)*20%),2)),'Banco de Dados'!$A2082="GO",ROUND(_xlfn.XLOOKUP('Banco de Dados'!$P2082,Sku!C:C,Sku!H:H),2),'Banco de Dados'!$A2082="MEI",ROUND(_xlfn.XLOOKUP('Banco de Dados'!$P2082,Sku!D:D,Sku!H:H),2)),0)</f>
        <v>0</v>
      </c>
      <c r="AN2082" s="109">
        <v>0</v>
      </c>
      <c r="AO2082" s="109">
        <v>0</v>
      </c>
      <c r="AP2082" s="28">
        <f ca="1">IF('Banco de Dados'!$AK2082&lt;&gt;"-",IF('Banco de Dados'!$AL2082="NÃO",IFERROR(VALUE(SUBSTITUTE(_xlfn.TEXTAFTER('Banco de Dados'!$F2082,"BRL ",1),".",",")),0),0),0)</f>
        <v>0</v>
      </c>
      <c r="AQ2082" s="28">
        <f ca="1">SUM('Banco de Dados'!$AM2082:$AP2082)</f>
        <v>0</v>
      </c>
      <c r="AR2082" s="8"/>
      <c r="AS2082" s="8"/>
      <c r="AT2082"/>
      <c r="AY2082" s="8"/>
    </row>
    <row r="2083" spans="1:51">
      <c r="A2083" s="5" t="str">
        <v>BV</v>
      </c>
      <c r="B2083" s="5" t="str">
        <f ca="1"/>
        <v>BV45875</v>
      </c>
      <c r="C2083" s="8" t="str">
        <v>Pedido 2069</v>
      </c>
      <c r="D2083" s="187">
        <v>45872</v>
      </c>
      <c r="E2083" s="9">
        <v>45875</v>
      </c>
      <c r="F2083" s="2" t="str">
        <v>PedidoF1952</v>
      </c>
      <c r="G2083" s="2" t="str">
        <v>CódRastreio1950</v>
      </c>
      <c r="H2083" s="5">
        <v>2</v>
      </c>
      <c r="I2083" s="182" t="str">
        <v>CPF 2024</v>
      </c>
      <c r="J2083" s="2" t="str">
        <v>Nome 2024</v>
      </c>
      <c r="K2083" s="8" t="str">
        <v>Tel 2024</v>
      </c>
      <c r="L2083" s="8" t="str">
        <v>Cep 2024</v>
      </c>
      <c r="M2083" s="8" t="str">
        <v>Rua 2024</v>
      </c>
      <c r="N2083" s="8" t="str">
        <v>Comp 2024</v>
      </c>
      <c r="O2083" s="8" t="str">
        <v>Máquina de cortar cabelo dragão</v>
      </c>
      <c r="P2083" s="8" t="str">
        <v>HG-2FNR-01A9</v>
      </c>
      <c r="Q2083" s="4">
        <v>45885</v>
      </c>
      <c r="R2083" s="109">
        <v>47.8</v>
      </c>
      <c r="S2083" s="11">
        <f ca="1"/>
        <v>47.8</v>
      </c>
      <c r="T2083" s="28">
        <f ca="1"/>
        <v>5.7359999999999998</v>
      </c>
      <c r="U2083" s="11">
        <f ca="1"/>
        <v>42.06</v>
      </c>
      <c r="V2083" s="11">
        <v>32.07</v>
      </c>
      <c r="W2083" s="11">
        <f ca="1"/>
        <v>0</v>
      </c>
      <c r="X2083" s="11">
        <f ca="1"/>
        <v>0.39877104377104378</v>
      </c>
      <c r="Y2083" s="11">
        <v>0</v>
      </c>
      <c r="Z2083" s="11">
        <f ca="1"/>
        <v>9.5912289562289601</v>
      </c>
      <c r="AA2083" s="11">
        <f ca="1"/>
        <v>4.7956144781144801</v>
      </c>
      <c r="AB2083" s="4">
        <f ca="1"/>
        <v>45892</v>
      </c>
      <c r="AC2083" s="4">
        <v>45892</v>
      </c>
      <c r="AD2083" s="9">
        <v>45915</v>
      </c>
      <c r="AE2083" s="9">
        <v>45888</v>
      </c>
      <c r="AF2083" s="4" t="str">
        <f t="shared" ref="AF2083:AF2084" ca="1" si="152">_xlfn.CONCAT(PROPER(TEXT(AB2083,"aaaa"))," ",PROPER(TEXT(AB2083,"mm")))</f>
        <v>2025 08</v>
      </c>
      <c r="AG2083" s="8" t="str" cm="1">
        <f t="array" ref="AG2083">IFERROR(_xlfn.IFS('Banco de Dados'!#REF!="AG. COMPRA","Em processamento",'Banco de Dados'!#REF!="AG. RASTREIO","Em processamento",'Banco de Dados'!$AE2083&lt;&gt;"-","Faturado",'Banco de Dados'!$AD2083&lt;&gt;"-","Aguardando Pix",'Banco de Dados'!$AC2083&lt;&gt;"-","Pendente"),"Aguardando Liberação")</f>
        <v>Aguardando Liberação</v>
      </c>
      <c r="AH2083" s="5" t="str">
        <f>IF('Banco de Dados'!$F2083="-",_xlfn.CONCAT(PROPER(TEXT(AK2083,"aaaa"))," ",PROPER(TEXT(AK2083,"mm"))),_xlfn.CONCAT(PROPER(TEXT(E2083,"aaaa"))," ",PROPER(TEXT(E2083,"mm"))))</f>
        <v>2025 08</v>
      </c>
      <c r="AI2083" s="9" t="str">
        <f ca="1">IF('Banco de Dados'!$AK2083&lt;&gt;"-","REEMBOLSO",IFERROR(_xlfn.XLOOKUP(G2083,Follow[CODRASTREIO],Follow[STATUS]),"-"))</f>
        <v>EM TRÂNSITO</v>
      </c>
      <c r="AJ2083" s="9" t="str">
        <f ca="1">IF('Banco de Dados'!$AI2083="ENTREGUE",_xlfn.XLOOKUP('Banco de Dados'!$G2083,Follow[CODRASTREIO],Follow[DATAATUALIZAÇÃO]),"-")</f>
        <v>-</v>
      </c>
      <c r="AK2083" s="132" t="str">
        <f ca="1"/>
        <v>-</v>
      </c>
      <c r="AL2083" s="35"/>
      <c r="AM2083" s="109" cm="1">
        <f t="array" aca="1" ref="AM2083" ca="1">IF('Banco de Dados'!$AK2083&lt;&gt;"-",_xlfn.IFS('Banco de Dados'!$A2083="bv",IF('Banco de Dados'!$E2083&lt;45641,ROUND(SUM('Banco de Dados'!$R2083*_xlfn.XLOOKUP('Banco de Dados'!$P2083,Sku!B:B,Sku!#REF!)*20%),2),ROUND(SUM('Banco de Dados'!$R2083*_xlfn.XLOOKUP('Banco de Dados'!$P2083,Sku!B:B,Sku!H:H)*20%),2)),'Banco de Dados'!$A2083="GO",ROUND(_xlfn.XLOOKUP('Banco de Dados'!$P2083,Sku!C:C,Sku!H:H),2),'Banco de Dados'!$A2083="MEI",ROUND(_xlfn.XLOOKUP('Banco de Dados'!$P2083,Sku!D:D,Sku!H:H),2)),0)</f>
        <v>0</v>
      </c>
      <c r="AN2083" s="109">
        <v>0</v>
      </c>
      <c r="AO2083" s="109">
        <v>0</v>
      </c>
      <c r="AP2083" s="28">
        <f ca="1">IF('Banco de Dados'!$AK2083&lt;&gt;"-",IF('Banco de Dados'!$AL2083="NÃO",IFERROR(VALUE(SUBSTITUTE(_xlfn.TEXTAFTER('Banco de Dados'!$F2083,"BRL ",1),".",",")),0),0),0)</f>
        <v>0</v>
      </c>
      <c r="AQ2083" s="28">
        <f ca="1">SUM('Banco de Dados'!$AM2083:$AP2083)</f>
        <v>0</v>
      </c>
      <c r="AR2083" s="8"/>
      <c r="AS2083" s="8"/>
      <c r="AT2083"/>
      <c r="AY2083" s="8"/>
    </row>
    <row r="2084" spans="1:51">
      <c r="A2084" s="5" t="str">
        <v>BV</v>
      </c>
      <c r="B2084" s="5" t="str">
        <f ca="1"/>
        <v>BV45875</v>
      </c>
      <c r="C2084" s="8" t="str">
        <v>Pedido 2070</v>
      </c>
      <c r="D2084" s="187">
        <v>45873</v>
      </c>
      <c r="E2084" s="9">
        <v>45875</v>
      </c>
      <c r="F2084" s="2" t="str">
        <v>PedidoF1953</v>
      </c>
      <c r="G2084" s="2" t="str">
        <v>CódRastreio1951</v>
      </c>
      <c r="H2084" s="5">
        <v>1</v>
      </c>
      <c r="I2084" s="182" t="str">
        <v>CPF 2025</v>
      </c>
      <c r="J2084" s="2" t="str">
        <v>Nome 2025</v>
      </c>
      <c r="K2084" s="8" t="str">
        <v>Tel 2025</v>
      </c>
      <c r="L2084" s="8" t="str">
        <v>Cep 2025</v>
      </c>
      <c r="M2084" s="8" t="str">
        <v>Rua 2025</v>
      </c>
      <c r="N2084" s="8" t="str">
        <v>Comp 2025</v>
      </c>
      <c r="O2084" s="8" t="str">
        <v>Máquina de cortar cabelo dragão</v>
      </c>
      <c r="P2084" s="8" t="str">
        <v>HG-2FNR-01A9</v>
      </c>
      <c r="Q2084" s="4">
        <v>45898</v>
      </c>
      <c r="R2084" s="109">
        <v>25.99</v>
      </c>
      <c r="S2084" s="11">
        <f ca="1"/>
        <v>25.99</v>
      </c>
      <c r="T2084" s="28">
        <f ca="1"/>
        <v>3.1187999999999998</v>
      </c>
      <c r="U2084" s="11">
        <f ca="1"/>
        <v>22.87</v>
      </c>
      <c r="V2084" s="11">
        <v>10.54</v>
      </c>
      <c r="W2084" s="11">
        <f ca="1"/>
        <v>0</v>
      </c>
      <c r="X2084" s="11">
        <f ca="1"/>
        <v>0.39877104377104378</v>
      </c>
      <c r="Y2084" s="11">
        <v>0</v>
      </c>
      <c r="Z2084" s="11">
        <f ca="1"/>
        <v>11.931228956228958</v>
      </c>
      <c r="AA2084" s="11">
        <f ca="1"/>
        <v>5.9656144781144791</v>
      </c>
      <c r="AB2084" s="4">
        <f ca="1"/>
        <v>45905</v>
      </c>
      <c r="AC2084" s="4">
        <v>45905</v>
      </c>
      <c r="AD2084" s="9">
        <v>45915</v>
      </c>
      <c r="AE2084" s="9">
        <v>45915</v>
      </c>
      <c r="AF2084" s="4" t="str">
        <f t="shared" ca="1" si="152"/>
        <v>2025 09</v>
      </c>
      <c r="AG2084" s="8" t="str" cm="1">
        <f t="array" ref="AG2084">IFERROR(_xlfn.IFS('Banco de Dados'!#REF!="AG. COMPRA","Em processamento",'Banco de Dados'!#REF!="AG. RASTREIO","Em processamento",'Banco de Dados'!$AE2084&lt;&gt;"-","Faturado",'Banco de Dados'!$AD2084&lt;&gt;"-","Aguardando Pix",'Banco de Dados'!$AC2084&lt;&gt;"-","Pendente"),"Aguardando Liberação")</f>
        <v>Aguardando Liberação</v>
      </c>
      <c r="AH2084" s="5" t="str">
        <f>IF('Banco de Dados'!$F2084="-",_xlfn.CONCAT(PROPER(TEXT(AK2084,"aaaa"))," ",PROPER(TEXT(AK2084,"mm"))),_xlfn.CONCAT(PROPER(TEXT(E2084,"aaaa"))," ",PROPER(TEXT(E2084,"mm"))))</f>
        <v>2025 08</v>
      </c>
      <c r="AI2084" s="9" t="str">
        <f ca="1">IF('Banco de Dados'!$AK2084&lt;&gt;"-","REEMBOLSO",IFERROR(_xlfn.XLOOKUP(G2084,Follow[CODRASTREIO],Follow[STATUS]),"-"))</f>
        <v>ENTREGUE</v>
      </c>
      <c r="AJ2084" s="9">
        <f ca="1">IF('Banco de Dados'!$AI2084="ENTREGUE",_xlfn.XLOOKUP('Banco de Dados'!$G2084,Follow[CODRASTREIO],Follow[DATAATUALIZAÇÃO]),"-")</f>
        <v>45888</v>
      </c>
      <c r="AK2084" s="132" t="str">
        <f ca="1"/>
        <v>-</v>
      </c>
      <c r="AL2084" s="35"/>
      <c r="AM2084" s="109" cm="1">
        <f t="array" aca="1" ref="AM2084" ca="1">IF('Banco de Dados'!$AK2084&lt;&gt;"-",_xlfn.IFS('Banco de Dados'!$A2084="bv",IF('Banco de Dados'!$E2084&lt;45641,ROUND(SUM('Banco de Dados'!$R2084*_xlfn.XLOOKUP('Banco de Dados'!$P2084,Sku!B:B,Sku!#REF!)*20%),2),ROUND(SUM('Banco de Dados'!$R2084*_xlfn.XLOOKUP('Banco de Dados'!$P2084,Sku!B:B,Sku!H:H)*20%),2)),'Banco de Dados'!$A2084="GO",ROUND(_xlfn.XLOOKUP('Banco de Dados'!$P2084,Sku!C:C,Sku!H:H),2),'Banco de Dados'!$A2084="MEI",ROUND(_xlfn.XLOOKUP('Banco de Dados'!$P2084,Sku!D:D,Sku!H:H),2)),0)</f>
        <v>0</v>
      </c>
      <c r="AN2084" s="109">
        <v>0</v>
      </c>
      <c r="AO2084" s="109">
        <v>0</v>
      </c>
      <c r="AP2084" s="28">
        <f ca="1">IF('Banco de Dados'!$AK2084&lt;&gt;"-",IF('Banco de Dados'!$AL2084="NÃO",IFERROR(VALUE(SUBSTITUTE(_xlfn.TEXTAFTER('Banco de Dados'!$F2084,"BRL ",1),".",",")),0),0),0)</f>
        <v>0</v>
      </c>
      <c r="AQ2084" s="28">
        <f ca="1">SUM('Banco de Dados'!$AM2084:$AP2084)</f>
        <v>0</v>
      </c>
      <c r="AR2084" s="8"/>
      <c r="AS2084" s="8"/>
      <c r="AT2084"/>
      <c r="AY2084" s="8"/>
    </row>
    <row r="2085" spans="1:51">
      <c r="A2085" s="5" t="str">
        <v>GO</v>
      </c>
      <c r="B2085" s="5" t="str">
        <f ca="1"/>
        <v>GO45875</v>
      </c>
      <c r="C2085" s="8" t="str">
        <v>Pedido 2071</v>
      </c>
      <c r="D2085" s="187">
        <v>45875</v>
      </c>
      <c r="E2085" s="9">
        <v>45875</v>
      </c>
      <c r="F2085" s="2" t="str">
        <v>PedidoF1954</v>
      </c>
      <c r="G2085" s="2" t="str">
        <v>CódRastreio1952</v>
      </c>
      <c r="H2085" s="5">
        <v>1</v>
      </c>
      <c r="I2085" s="182" t="str">
        <v>CPF 2026</v>
      </c>
      <c r="J2085" s="2" t="str">
        <v>Nome 2026</v>
      </c>
      <c r="K2085" s="8" t="str">
        <v>Tel 2026</v>
      </c>
      <c r="L2085" s="8" t="str">
        <v>Cep 2026</v>
      </c>
      <c r="M2085" s="8" t="str">
        <v>Rua 2026</v>
      </c>
      <c r="N2085" s="8" t="str">
        <v>Comp 2026</v>
      </c>
      <c r="O2085" s="8" t="str">
        <v>Bolsa térmica</v>
      </c>
      <c r="P2085" s="8" t="str">
        <v>UX-4N1H-UQ8A</v>
      </c>
      <c r="Q2085" s="4">
        <v>45899</v>
      </c>
      <c r="R2085" s="109">
        <v>35.99</v>
      </c>
      <c r="S2085" s="11">
        <f ca="1"/>
        <v>35.99</v>
      </c>
      <c r="T2085" s="28">
        <f ca="1"/>
        <v>4.3188000000000004</v>
      </c>
      <c r="U2085" s="11">
        <f ca="1"/>
        <v>31.67</v>
      </c>
      <c r="V2085" s="11">
        <v>26.48</v>
      </c>
      <c r="W2085" s="11">
        <f ca="1"/>
        <v>0</v>
      </c>
      <c r="X2085" s="11">
        <f ca="1"/>
        <v>0.39877104377104378</v>
      </c>
      <c r="Y2085" s="11">
        <v>0</v>
      </c>
      <c r="Z2085" s="11">
        <f ca="1"/>
        <v>4.7912289562289558</v>
      </c>
      <c r="AA2085" s="11">
        <f ca="1"/>
        <v>4.7912289562289558</v>
      </c>
      <c r="AB2085" s="4">
        <f ca="1"/>
        <v>45906</v>
      </c>
      <c r="AC2085" s="4">
        <v>45906</v>
      </c>
      <c r="AD2085" s="9">
        <v>45915</v>
      </c>
      <c r="AE2085" s="9">
        <v>45915</v>
      </c>
      <c r="AF2085" s="4" t="str">
        <f t="shared" ref="AF2085:AF2086" ca="1" si="153">_xlfn.CONCAT(PROPER(TEXT(AB2085,"aaaa"))," ",PROPER(TEXT(AB2085,"mm")))</f>
        <v>2025 09</v>
      </c>
      <c r="AG2085" s="8" t="str" cm="1">
        <f t="array" ref="AG2085">IFERROR(_xlfn.IFS('Banco de Dados'!#REF!="AG. COMPRA","Em processamento",'Banco de Dados'!#REF!="AG. RASTREIO","Em processamento",'Banco de Dados'!$AE2085&lt;&gt;"-","Faturado",'Banco de Dados'!$AD2085&lt;&gt;"-","Aguardando Pix",'Banco de Dados'!$AC2085&lt;&gt;"-","Pendente"),"Aguardando Liberação")</f>
        <v>Aguardando Liberação</v>
      </c>
      <c r="AH2085" s="5" t="str">
        <f>IF('Banco de Dados'!$F2085="-",_xlfn.CONCAT(PROPER(TEXT(AK2085,"aaaa"))," ",PROPER(TEXT(AK2085,"mm"))),_xlfn.CONCAT(PROPER(TEXT(E2085,"aaaa"))," ",PROPER(TEXT(E2085,"mm"))))</f>
        <v>2025 08</v>
      </c>
      <c r="AI2085" s="9" t="str">
        <f ca="1">IF('Banco de Dados'!$AK2085&lt;&gt;"-","REEMBOLSO",IFERROR(_xlfn.XLOOKUP(G2085,Follow[CODRASTREIO],Follow[STATUS]),"-"))</f>
        <v>EM TRÂNSITO</v>
      </c>
      <c r="AJ2085" s="9" t="str">
        <f ca="1">IF('Banco de Dados'!$AI2085="ENTREGUE",_xlfn.XLOOKUP('Banco de Dados'!$G2085,Follow[CODRASTREIO],Follow[DATAATUALIZAÇÃO]),"-")</f>
        <v>-</v>
      </c>
      <c r="AK2085" s="132" t="str">
        <f ca="1"/>
        <v>-</v>
      </c>
      <c r="AL2085" s="35"/>
      <c r="AM2085" s="109" cm="1">
        <f t="array" aca="1" ref="AM2085" ca="1">IF('Banco de Dados'!$AK2085&lt;&gt;"-",_xlfn.IFS('Banco de Dados'!$A2085="bv",IF('Banco de Dados'!$E2085&lt;45641,ROUND(SUM('Banco de Dados'!$R2085*_xlfn.XLOOKUP('Banco de Dados'!$P2085,Sku!B:B,Sku!#REF!)*20%),2),ROUND(SUM('Banco de Dados'!$R2085*_xlfn.XLOOKUP('Banco de Dados'!$P2085,Sku!B:B,Sku!H:H)*20%),2)),'Banco de Dados'!$A2085="GO",ROUND(_xlfn.XLOOKUP('Banco de Dados'!$P2085,Sku!C:C,Sku!H:H),2),'Banco de Dados'!$A2085="MEI",ROUND(_xlfn.XLOOKUP('Banco de Dados'!$P2085,Sku!D:D,Sku!H:H),2)),0)</f>
        <v>0</v>
      </c>
      <c r="AN2085" s="109">
        <v>0</v>
      </c>
      <c r="AO2085" s="109">
        <v>0</v>
      </c>
      <c r="AP2085" s="28">
        <f ca="1">IF('Banco de Dados'!$AK2085&lt;&gt;"-",IF('Banco de Dados'!$AL2085="NÃO",IFERROR(VALUE(SUBSTITUTE(_xlfn.TEXTAFTER('Banco de Dados'!$F2085,"BRL ",1),".",",")),0),0),0)</f>
        <v>0</v>
      </c>
      <c r="AQ2085" s="28">
        <f ca="1">SUM('Banco de Dados'!$AM2085:$AP2085)</f>
        <v>0</v>
      </c>
      <c r="AR2085" s="8"/>
      <c r="AS2085" s="8"/>
      <c r="AT2085"/>
      <c r="AY2085" s="8"/>
    </row>
    <row r="2086" spans="1:51">
      <c r="A2086" s="5" t="str">
        <v>GO</v>
      </c>
      <c r="B2086" s="5" t="str">
        <f ca="1"/>
        <v>GO45875</v>
      </c>
      <c r="C2086" s="8" t="str">
        <v>Pedido 2072</v>
      </c>
      <c r="D2086" s="187">
        <v>45875</v>
      </c>
      <c r="E2086" s="9">
        <v>45875</v>
      </c>
      <c r="F2086" s="2" t="str">
        <v>PedidoF1955</v>
      </c>
      <c r="G2086" s="2" t="str">
        <v>CódRastreio1953</v>
      </c>
      <c r="H2086" s="5">
        <v>1</v>
      </c>
      <c r="I2086" s="182" t="str">
        <v>CPF 2027</v>
      </c>
      <c r="J2086" s="2" t="str">
        <v>Nome 2027</v>
      </c>
      <c r="K2086" s="8" t="str">
        <v>Tel 2027</v>
      </c>
      <c r="L2086" s="8" t="str">
        <v>Cep 2027</v>
      </c>
      <c r="M2086" s="8" t="str">
        <v>Rua 2027</v>
      </c>
      <c r="N2086" s="8" t="str">
        <v>Comp 2027</v>
      </c>
      <c r="O2086" s="8" t="str">
        <v>Mini Liquidificador</v>
      </c>
      <c r="P2086" s="8" t="str">
        <v>Q3-ZLM0-OEUO</v>
      </c>
      <c r="Q2086" s="4">
        <v>45896</v>
      </c>
      <c r="R2086" s="109">
        <v>26.99</v>
      </c>
      <c r="S2086" s="11">
        <f ca="1"/>
        <v>26.99</v>
      </c>
      <c r="T2086" s="28">
        <f ca="1"/>
        <v>3.2387999999999999</v>
      </c>
      <c r="U2086" s="11">
        <f ca="1"/>
        <v>23.75</v>
      </c>
      <c r="V2086" s="11">
        <v>6.99</v>
      </c>
      <c r="W2086" s="11">
        <f ca="1"/>
        <v>0</v>
      </c>
      <c r="X2086" s="11">
        <f ca="1"/>
        <v>0.39877104377104378</v>
      </c>
      <c r="Y2086" s="11">
        <v>0</v>
      </c>
      <c r="Z2086" s="11">
        <f ca="1"/>
        <v>16.361228956228956</v>
      </c>
      <c r="AA2086" s="11">
        <f ca="1"/>
        <v>16.361228956228956</v>
      </c>
      <c r="AB2086" s="4">
        <f ca="1"/>
        <v>45903</v>
      </c>
      <c r="AC2086" s="4">
        <v>45903</v>
      </c>
      <c r="AD2086" s="9">
        <v>45915</v>
      </c>
      <c r="AE2086" s="9">
        <v>45915</v>
      </c>
      <c r="AF2086" s="4" t="str">
        <f t="shared" ca="1" si="153"/>
        <v>2025 09</v>
      </c>
      <c r="AG2086" s="8" t="str" cm="1">
        <f t="array" ref="AG2086">IFERROR(_xlfn.IFS('Banco de Dados'!#REF!="AG. COMPRA","Em processamento",'Banco de Dados'!#REF!="AG. RASTREIO","Em processamento",'Banco de Dados'!$AE2086&lt;&gt;"-","Faturado",'Banco de Dados'!$AD2086&lt;&gt;"-","Aguardando Pix",'Banco de Dados'!$AC2086&lt;&gt;"-","Pendente"),"Aguardando Liberação")</f>
        <v>Aguardando Liberação</v>
      </c>
      <c r="AH2086" s="5" t="str">
        <f>IF('Banco de Dados'!$F2086="-",_xlfn.CONCAT(PROPER(TEXT(AK2086,"aaaa"))," ",PROPER(TEXT(AK2086,"mm"))),_xlfn.CONCAT(PROPER(TEXT(E2086,"aaaa"))," ",PROPER(TEXT(E2086,"mm"))))</f>
        <v>2025 08</v>
      </c>
      <c r="AI2086" s="9" t="str">
        <f ca="1">IF('Banco de Dados'!$AK2086&lt;&gt;"-","REEMBOLSO",IFERROR(_xlfn.XLOOKUP(G2086,Follow[CODRASTREIO],Follow[STATUS]),"-"))</f>
        <v>ENTREGUE</v>
      </c>
      <c r="AJ2086" s="9">
        <f ca="1">IF('Banco de Dados'!$AI2086="ENTREGUE",_xlfn.XLOOKUP('Banco de Dados'!$G2086,Follow[CODRASTREIO],Follow[DATAATUALIZAÇÃO]),"-")</f>
        <v>45881</v>
      </c>
      <c r="AK2086" s="132" t="str">
        <f ca="1"/>
        <v>-</v>
      </c>
      <c r="AL2086" s="35"/>
      <c r="AM2086" s="109" cm="1">
        <f t="array" aca="1" ref="AM2086" ca="1">IF('Banco de Dados'!$AK2086&lt;&gt;"-",_xlfn.IFS('Banco de Dados'!$A2086="bv",IF('Banco de Dados'!$E2086&lt;45641,ROUND(SUM('Banco de Dados'!$R2086*_xlfn.XLOOKUP('Banco de Dados'!$P2086,Sku!B:B,Sku!#REF!)*20%),2),ROUND(SUM('Banco de Dados'!$R2086*_xlfn.XLOOKUP('Banco de Dados'!$P2086,Sku!B:B,Sku!H:H)*20%),2)),'Banco de Dados'!$A2086="GO",ROUND(_xlfn.XLOOKUP('Banco de Dados'!$P2086,Sku!C:C,Sku!H:H),2),'Banco de Dados'!$A2086="MEI",ROUND(_xlfn.XLOOKUP('Banco de Dados'!$P2086,Sku!D:D,Sku!H:H),2)),0)</f>
        <v>0</v>
      </c>
      <c r="AN2086" s="109">
        <v>0</v>
      </c>
      <c r="AO2086" s="109">
        <v>0</v>
      </c>
      <c r="AP2086" s="28">
        <f ca="1">IF('Banco de Dados'!$AK2086&lt;&gt;"-",IF('Banco de Dados'!$AL2086="NÃO",IFERROR(VALUE(SUBSTITUTE(_xlfn.TEXTAFTER('Banco de Dados'!$F2086,"BRL ",1),".",",")),0),0),0)</f>
        <v>0</v>
      </c>
      <c r="AQ2086" s="28">
        <f ca="1">SUM('Banco de Dados'!$AM2086:$AP2086)</f>
        <v>0</v>
      </c>
      <c r="AR2086" s="8"/>
      <c r="AS2086" s="8"/>
      <c r="AT2086"/>
      <c r="AY2086" s="8"/>
    </row>
    <row r="2087" spans="1:51">
      <c r="A2087" s="5" t="str">
        <v>GO</v>
      </c>
      <c r="B2087" s="5" t="str">
        <f ca="1"/>
        <v>GO45880</v>
      </c>
      <c r="C2087" s="8" t="str">
        <v>Pedido 2073</v>
      </c>
      <c r="D2087" s="187">
        <v>45878</v>
      </c>
      <c r="E2087" s="9">
        <v>45880</v>
      </c>
      <c r="F2087" s="2" t="str">
        <v>PedidoF1956</v>
      </c>
      <c r="G2087" s="2" t="str">
        <v>CódRastreio1954</v>
      </c>
      <c r="H2087" s="5">
        <v>1</v>
      </c>
      <c r="I2087" s="182" t="str">
        <v>CPF 2028</v>
      </c>
      <c r="J2087" s="2" t="str">
        <v>Nome 2028</v>
      </c>
      <c r="K2087" s="8" t="str">
        <v>Tel 2028</v>
      </c>
      <c r="L2087" s="8" t="str">
        <v>Cep 2028</v>
      </c>
      <c r="M2087" s="8" t="str">
        <v>Rua 2028</v>
      </c>
      <c r="N2087" s="8" t="str">
        <v>Comp 2028</v>
      </c>
      <c r="O2087" s="8" t="str">
        <v>Mini Liquidificador</v>
      </c>
      <c r="P2087" s="8" t="str">
        <v>Q3-ZLM0-OEUO</v>
      </c>
      <c r="Q2087" s="4">
        <v>45903</v>
      </c>
      <c r="R2087" s="109">
        <v>26.99</v>
      </c>
      <c r="S2087" s="11">
        <f ca="1"/>
        <v>26.99</v>
      </c>
      <c r="T2087" s="28">
        <f ca="1"/>
        <v>3.2387999999999999</v>
      </c>
      <c r="U2087" s="11">
        <f ca="1"/>
        <v>23.75</v>
      </c>
      <c r="V2087" s="11">
        <v>11.99</v>
      </c>
      <c r="W2087" s="11">
        <f ca="1"/>
        <v>0</v>
      </c>
      <c r="X2087" s="11">
        <f ca="1"/>
        <v>0.39877104377104378</v>
      </c>
      <c r="Y2087" s="11">
        <v>0</v>
      </c>
      <c r="Z2087" s="11">
        <f ca="1"/>
        <v>11.361228956228956</v>
      </c>
      <c r="AA2087" s="11">
        <f ca="1"/>
        <v>11.361228956228956</v>
      </c>
      <c r="AB2087" s="4">
        <f ca="1"/>
        <v>45910</v>
      </c>
      <c r="AC2087" s="4">
        <v>45910</v>
      </c>
      <c r="AD2087" s="9">
        <v>45915</v>
      </c>
      <c r="AE2087" s="9">
        <v>45915</v>
      </c>
      <c r="AF2087" s="4" t="str">
        <f t="shared" ref="AF2087" ca="1" si="154">_xlfn.CONCAT(PROPER(TEXT(AB2087,"aaaa"))," ",PROPER(TEXT(AB2087,"mm")))</f>
        <v>2025 09</v>
      </c>
      <c r="AG2087" s="8" t="str" cm="1">
        <f t="array" ref="AG2087">IFERROR(_xlfn.IFS('Banco de Dados'!#REF!="AG. COMPRA","Em processamento",'Banco de Dados'!#REF!="AG. RASTREIO","Em processamento",'Banco de Dados'!$AE2087&lt;&gt;"-","Faturado",'Banco de Dados'!$AD2087&lt;&gt;"-","Aguardando Pix",'Banco de Dados'!$AC2087&lt;&gt;"-","Pendente"),"Aguardando Liberação")</f>
        <v>Aguardando Liberação</v>
      </c>
      <c r="AH2087" s="5" t="str">
        <f>IF('Banco de Dados'!$F2087="-",_xlfn.CONCAT(PROPER(TEXT(AK2087,"aaaa"))," ",PROPER(TEXT(AK2087,"mm"))),_xlfn.CONCAT(PROPER(TEXT(E2087,"aaaa"))," ",PROPER(TEXT(E2087,"mm"))))</f>
        <v>2025 08</v>
      </c>
      <c r="AI2087" s="9" t="str">
        <f ca="1">IF('Banco de Dados'!$AK2087&lt;&gt;"-","REEMBOLSO",IFERROR(_xlfn.XLOOKUP(G2087,Follow[CODRASTREIO],Follow[STATUS]),"-"))</f>
        <v>ENTREGUE</v>
      </c>
      <c r="AJ2087" s="9">
        <f ca="1">IF('Banco de Dados'!$AI2087="ENTREGUE",_xlfn.XLOOKUP('Banco de Dados'!$G2087,Follow[CODRASTREIO],Follow[DATAATUALIZAÇÃO]),"-")</f>
        <v>45889</v>
      </c>
      <c r="AK2087" s="132" t="str">
        <f ca="1"/>
        <v>-</v>
      </c>
      <c r="AL2087" s="35"/>
      <c r="AM2087" s="109" cm="1">
        <f t="array" aca="1" ref="AM2087" ca="1">IF('Banco de Dados'!$AK2087&lt;&gt;"-",_xlfn.IFS('Banco de Dados'!$A2087="bv",IF('Banco de Dados'!$E2087&lt;45641,ROUND(SUM('Banco de Dados'!$R2087*_xlfn.XLOOKUP('Banco de Dados'!$P2087,Sku!B:B,Sku!#REF!)*20%),2),ROUND(SUM('Banco de Dados'!$R2087*_xlfn.XLOOKUP('Banco de Dados'!$P2087,Sku!B:B,Sku!H:H)*20%),2)),'Banco de Dados'!$A2087="GO",ROUND(_xlfn.XLOOKUP('Banco de Dados'!$P2087,Sku!C:C,Sku!H:H),2),'Banco de Dados'!$A2087="MEI",ROUND(_xlfn.XLOOKUP('Banco de Dados'!$P2087,Sku!D:D,Sku!H:H),2)),0)</f>
        <v>0</v>
      </c>
      <c r="AN2087" s="109">
        <v>0</v>
      </c>
      <c r="AO2087" s="109">
        <v>0</v>
      </c>
      <c r="AP2087" s="28">
        <f ca="1">IF('Banco de Dados'!$AK2087&lt;&gt;"-",IF('Banco de Dados'!$AL2087="NÃO",IFERROR(VALUE(SUBSTITUTE(_xlfn.TEXTAFTER('Banco de Dados'!$F2087,"BRL ",1),".",",")),0),0),0)</f>
        <v>0</v>
      </c>
      <c r="AQ2087" s="28">
        <f ca="1">SUM('Banco de Dados'!$AM2087:$AP2087)</f>
        <v>0</v>
      </c>
      <c r="AR2087" s="8"/>
      <c r="AS2087" s="8"/>
      <c r="AT2087"/>
      <c r="AY2087" s="8"/>
    </row>
    <row r="2088" spans="1:51">
      <c r="A2088" s="5" t="str">
        <v>BV</v>
      </c>
      <c r="B2088" s="5" t="str">
        <f ca="1"/>
        <v>BV45882</v>
      </c>
      <c r="C2088" s="8" t="str">
        <v>Pedido 2074</v>
      </c>
      <c r="D2088" s="187">
        <v>45880</v>
      </c>
      <c r="E2088" s="9">
        <v>45882</v>
      </c>
      <c r="F2088" s="2" t="str">
        <v>PedidoF1957</v>
      </c>
      <c r="G2088" s="2" t="str">
        <v>CódRastreio1955</v>
      </c>
      <c r="H2088" s="5">
        <v>1</v>
      </c>
      <c r="I2088" s="182" t="str">
        <v>CPF 2029</v>
      </c>
      <c r="J2088" s="2" t="str">
        <v>Nome 2029</v>
      </c>
      <c r="K2088" s="8" t="str">
        <v>Tel 2029</v>
      </c>
      <c r="L2088" s="8" t="str">
        <v>Cep 2029</v>
      </c>
      <c r="M2088" s="8" t="str">
        <v>Rua 2029</v>
      </c>
      <c r="N2088" s="8" t="str">
        <v>Comp 2029</v>
      </c>
      <c r="O2088" s="8" t="str">
        <v>Máquina de cortar cabelo dragão</v>
      </c>
      <c r="P2088" s="8" t="str">
        <v>NQ-IMR8-W6Q4</v>
      </c>
      <c r="Q2088" s="4">
        <v>45899</v>
      </c>
      <c r="R2088" s="109">
        <v>25.99</v>
      </c>
      <c r="S2088" s="11">
        <f ca="1"/>
        <v>25.99</v>
      </c>
      <c r="T2088" s="28">
        <f ca="1"/>
        <v>3.1187999999999998</v>
      </c>
      <c r="U2088" s="11">
        <f ca="1"/>
        <v>22.87</v>
      </c>
      <c r="V2088" s="11">
        <v>23.689999999999998</v>
      </c>
      <c r="W2088" s="11">
        <f ca="1"/>
        <v>0</v>
      </c>
      <c r="X2088" s="11">
        <f ca="1"/>
        <v>0.39877104377104378</v>
      </c>
      <c r="Y2088" s="11">
        <v>0</v>
      </c>
      <c r="Z2088" s="11">
        <f ca="1"/>
        <v>-1.2187710437710422</v>
      </c>
      <c r="AA2088" s="11">
        <f ca="1"/>
        <v>-0.60938552188552109</v>
      </c>
      <c r="AB2088" s="4">
        <f ca="1"/>
        <v>45906</v>
      </c>
      <c r="AC2088" s="4">
        <v>45906</v>
      </c>
      <c r="AD2088" s="9">
        <v>45915</v>
      </c>
      <c r="AE2088" s="9">
        <v>45915</v>
      </c>
      <c r="AF2088" s="4" t="str">
        <f t="shared" ref="AF2088:AF2090" ca="1" si="155">_xlfn.CONCAT(PROPER(TEXT(AB2088,"aaaa"))," ",PROPER(TEXT(AB2088,"mm")))</f>
        <v>2025 09</v>
      </c>
      <c r="AG2088" s="8" t="str" cm="1">
        <f t="array" ref="AG2088">IFERROR(_xlfn.IFS('Banco de Dados'!#REF!="AG. COMPRA","Em processamento",'Banco de Dados'!#REF!="AG. RASTREIO","Em processamento",'Banco de Dados'!$AE2088&lt;&gt;"-","Faturado",'Banco de Dados'!$AD2088&lt;&gt;"-","Aguardando Pix",'Banco de Dados'!$AC2088&lt;&gt;"-","Pendente"),"Aguardando Liberação")</f>
        <v>Aguardando Liberação</v>
      </c>
      <c r="AH2088" s="5" t="str">
        <f>IF('Banco de Dados'!$F2088="-",_xlfn.CONCAT(PROPER(TEXT(AK2088,"aaaa"))," ",PROPER(TEXT(AK2088,"mm"))),_xlfn.CONCAT(PROPER(TEXT(E2088,"aaaa"))," ",PROPER(TEXT(E2088,"mm"))))</f>
        <v>2025 08</v>
      </c>
      <c r="AI2088" s="9" t="str">
        <f ca="1">IF('Banco de Dados'!$AK2088&lt;&gt;"-","REEMBOLSO",IFERROR(_xlfn.XLOOKUP(G2088,Follow[CODRASTREIO],Follow[STATUS]),"-"))</f>
        <v>RETIRADA</v>
      </c>
      <c r="AJ2088" s="9" t="str">
        <f ca="1">IF('Banco de Dados'!$AI2088="ENTREGUE",_xlfn.XLOOKUP('Banco de Dados'!$G2088,Follow[CODRASTREIO],Follow[DATAATUALIZAÇÃO]),"-")</f>
        <v>-</v>
      </c>
      <c r="AK2088" s="132" t="str">
        <f ca="1"/>
        <v>-</v>
      </c>
      <c r="AL2088" s="35"/>
      <c r="AM2088" s="109" cm="1">
        <f t="array" aca="1" ref="AM2088" ca="1">IF('Banco de Dados'!$AK2088&lt;&gt;"-",_xlfn.IFS('Banco de Dados'!$A2088="bv",IF('Banco de Dados'!$E2088&lt;45641,ROUND(SUM('Banco de Dados'!$R2088*_xlfn.XLOOKUP('Banco de Dados'!$P2088,Sku!B:B,Sku!#REF!)*20%),2),ROUND(SUM('Banco de Dados'!$R2088*_xlfn.XLOOKUP('Banco de Dados'!$P2088,Sku!B:B,Sku!H:H)*20%),2)),'Banco de Dados'!$A2088="GO",ROUND(_xlfn.XLOOKUP('Banco de Dados'!$P2088,Sku!C:C,Sku!H:H),2),'Banco de Dados'!$A2088="MEI",ROUND(_xlfn.XLOOKUP('Banco de Dados'!$P2088,Sku!D:D,Sku!H:H),2)),0)</f>
        <v>0</v>
      </c>
      <c r="AN2088" s="109">
        <v>0</v>
      </c>
      <c r="AO2088" s="109">
        <v>0</v>
      </c>
      <c r="AP2088" s="28">
        <f ca="1">IF('Banco de Dados'!$AK2088&lt;&gt;"-",IF('Banco de Dados'!$AL2088="NÃO",IFERROR(VALUE(SUBSTITUTE(_xlfn.TEXTAFTER('Banco de Dados'!$F2088,"BRL ",1),".",",")),0),0),0)</f>
        <v>0</v>
      </c>
      <c r="AQ2088" s="28">
        <f ca="1">SUM('Banco de Dados'!$AM2088:$AP2088)</f>
        <v>0</v>
      </c>
      <c r="AR2088" s="8"/>
      <c r="AS2088" s="8"/>
      <c r="AT2088"/>
      <c r="AY2088" s="8"/>
    </row>
    <row r="2089" spans="1:51">
      <c r="A2089" s="5" t="str">
        <v>BV</v>
      </c>
      <c r="B2089" s="5" t="str">
        <f ca="1"/>
        <v>BV45882</v>
      </c>
      <c r="C2089" s="8" t="str">
        <v>Pedido 2075</v>
      </c>
      <c r="D2089" s="187">
        <v>45880</v>
      </c>
      <c r="E2089" s="9">
        <v>45882</v>
      </c>
      <c r="F2089" s="2" t="str">
        <v>PedidoF1958</v>
      </c>
      <c r="G2089" s="2" t="str">
        <v>CódRastreio1956</v>
      </c>
      <c r="H2089" s="5">
        <v>1</v>
      </c>
      <c r="I2089" s="182" t="str">
        <v>CPF 2030</v>
      </c>
      <c r="J2089" s="2" t="str">
        <v>Nome 2030</v>
      </c>
      <c r="K2089" s="8" t="str">
        <v>Tel 2030</v>
      </c>
      <c r="L2089" s="8" t="str">
        <v>Cep 2030</v>
      </c>
      <c r="M2089" s="8" t="str">
        <v>Rua 2030</v>
      </c>
      <c r="N2089" s="8" t="str">
        <v>Comp 2030</v>
      </c>
      <c r="O2089" s="8" t="str">
        <v>Bolsa térmica</v>
      </c>
      <c r="P2089" s="8" t="str">
        <v>6I-CK1S-8HYZ</v>
      </c>
      <c r="Q2089" s="4">
        <v>45899</v>
      </c>
      <c r="R2089" s="109">
        <v>35.99</v>
      </c>
      <c r="S2089" s="11">
        <f ca="1"/>
        <v>35.99</v>
      </c>
      <c r="T2089" s="28">
        <f ca="1"/>
        <v>4.3188000000000004</v>
      </c>
      <c r="U2089" s="11">
        <f ca="1"/>
        <v>31.67</v>
      </c>
      <c r="V2089" s="11">
        <v>20.05</v>
      </c>
      <c r="W2089" s="11">
        <f ca="1"/>
        <v>0</v>
      </c>
      <c r="X2089" s="11">
        <f ca="1"/>
        <v>0.39877104377104378</v>
      </c>
      <c r="Y2089" s="11">
        <v>0</v>
      </c>
      <c r="Z2089" s="11">
        <f ca="1"/>
        <v>11.221228956228956</v>
      </c>
      <c r="AA2089" s="11">
        <f ca="1"/>
        <v>5.6106144781144778</v>
      </c>
      <c r="AB2089" s="4">
        <f ca="1"/>
        <v>45906</v>
      </c>
      <c r="AC2089" s="4">
        <v>45906</v>
      </c>
      <c r="AD2089" s="9">
        <v>45915</v>
      </c>
      <c r="AE2089" s="9">
        <v>45915</v>
      </c>
      <c r="AF2089" s="4" t="str">
        <f t="shared" ca="1" si="155"/>
        <v>2025 09</v>
      </c>
      <c r="AG2089" s="8" t="str" cm="1">
        <f t="array" ref="AG2089">IFERROR(_xlfn.IFS('Banco de Dados'!#REF!="AG. COMPRA","Em processamento",'Banco de Dados'!#REF!="AG. RASTREIO","Em processamento",'Banco de Dados'!$AE2089&lt;&gt;"-","Faturado",'Banco de Dados'!$AD2089&lt;&gt;"-","Aguardando Pix",'Banco de Dados'!$AC2089&lt;&gt;"-","Pendente"),"Aguardando Liberação")</f>
        <v>Aguardando Liberação</v>
      </c>
      <c r="AH2089" s="5" t="str">
        <f>IF('Banco de Dados'!$F2089="-",_xlfn.CONCAT(PROPER(TEXT(AK2089,"aaaa"))," ",PROPER(TEXT(AK2089,"mm"))),_xlfn.CONCAT(PROPER(TEXT(E2089,"aaaa"))," ",PROPER(TEXT(E2089,"mm"))))</f>
        <v>2025 08</v>
      </c>
      <c r="AI2089" s="9" t="str">
        <f ca="1">IF('Banco de Dados'!$AK2089&lt;&gt;"-","REEMBOLSO",IFERROR(_xlfn.XLOOKUP(G2089,Follow[CODRASTREIO],Follow[STATUS]),"-"))</f>
        <v>ENTREGUE</v>
      </c>
      <c r="AJ2089" s="9">
        <f ca="1">IF('Banco de Dados'!$AI2089="ENTREGUE",_xlfn.XLOOKUP('Banco de Dados'!$G2089,Follow[CODRASTREIO],Follow[DATAATUALIZAÇÃO]),"-")</f>
        <v>45891</v>
      </c>
      <c r="AK2089" s="132" t="str">
        <f ca="1"/>
        <v>-</v>
      </c>
      <c r="AL2089" s="35"/>
      <c r="AM2089" s="109" cm="1">
        <f t="array" aca="1" ref="AM2089" ca="1">IF('Banco de Dados'!$AK2089&lt;&gt;"-",_xlfn.IFS('Banco de Dados'!$A2089="bv",IF('Banco de Dados'!$E2089&lt;45641,ROUND(SUM('Banco de Dados'!$R2089*_xlfn.XLOOKUP('Banco de Dados'!$P2089,Sku!B:B,Sku!#REF!)*20%),2),ROUND(SUM('Banco de Dados'!$R2089*_xlfn.XLOOKUP('Banco de Dados'!$P2089,Sku!B:B,Sku!H:H)*20%),2)),'Banco de Dados'!$A2089="GO",ROUND(_xlfn.XLOOKUP('Banco de Dados'!$P2089,Sku!C:C,Sku!H:H),2),'Banco de Dados'!$A2089="MEI",ROUND(_xlfn.XLOOKUP('Banco de Dados'!$P2089,Sku!D:D,Sku!H:H),2)),0)</f>
        <v>0</v>
      </c>
      <c r="AN2089" s="109">
        <v>0</v>
      </c>
      <c r="AO2089" s="109">
        <v>0</v>
      </c>
      <c r="AP2089" s="28">
        <f ca="1">IF('Banco de Dados'!$AK2089&lt;&gt;"-",IF('Banco de Dados'!$AL2089="NÃO",IFERROR(VALUE(SUBSTITUTE(_xlfn.TEXTAFTER('Banco de Dados'!$F2089,"BRL ",1),".",",")),0),0),0)</f>
        <v>0</v>
      </c>
      <c r="AQ2089" s="28">
        <f ca="1">SUM('Banco de Dados'!$AM2089:$AP2089)</f>
        <v>0</v>
      </c>
      <c r="AR2089" s="8"/>
      <c r="AS2089" s="8"/>
      <c r="AT2089"/>
      <c r="AY2089" s="8"/>
    </row>
    <row r="2090" spans="1:51">
      <c r="A2090" s="5" t="str">
        <v>GO</v>
      </c>
      <c r="B2090" s="5" t="str">
        <f ca="1"/>
        <v>GO45882</v>
      </c>
      <c r="C2090" s="8" t="str">
        <v>Pedido 2076</v>
      </c>
      <c r="D2090" s="187">
        <v>45880</v>
      </c>
      <c r="E2090" s="9">
        <v>45882</v>
      </c>
      <c r="F2090" s="2" t="str">
        <v>PedidoF1959</v>
      </c>
      <c r="G2090" s="2" t="str">
        <v>CódRastreio1957</v>
      </c>
      <c r="H2090" s="5">
        <v>1</v>
      </c>
      <c r="I2090" s="182" t="str">
        <v>CPF 2031</v>
      </c>
      <c r="J2090" s="2" t="str">
        <v>Nome 2031</v>
      </c>
      <c r="K2090" s="8" t="str">
        <v>Tel 2031</v>
      </c>
      <c r="L2090" s="8" t="str">
        <v>Cep 2031</v>
      </c>
      <c r="M2090" s="8" t="str">
        <v>Rua 2031</v>
      </c>
      <c r="N2090" s="8" t="str">
        <v>Comp 2031</v>
      </c>
      <c r="O2090" s="8" t="str">
        <v>Luminária Rosa de mesa infantil</v>
      </c>
      <c r="P2090" s="8" t="str">
        <v>WE-ZKJU-QB71</v>
      </c>
      <c r="Q2090" s="4">
        <v>45899</v>
      </c>
      <c r="R2090" s="109">
        <v>49.99</v>
      </c>
      <c r="S2090" s="11">
        <f ca="1"/>
        <v>49.99</v>
      </c>
      <c r="T2090" s="28">
        <f ca="1"/>
        <v>5.9988000000000001</v>
      </c>
      <c r="U2090" s="11">
        <f ca="1"/>
        <v>43.99</v>
      </c>
      <c r="V2090" s="11">
        <v>12.37</v>
      </c>
      <c r="W2090" s="11">
        <f ca="1"/>
        <v>0</v>
      </c>
      <c r="X2090" s="11">
        <f ca="1"/>
        <v>0.39877104377104378</v>
      </c>
      <c r="Y2090" s="11">
        <v>0</v>
      </c>
      <c r="Z2090" s="11">
        <f ca="1"/>
        <v>31.221228956228959</v>
      </c>
      <c r="AA2090" s="11">
        <f ca="1"/>
        <v>31.221228956228959</v>
      </c>
      <c r="AB2090" s="4">
        <f ca="1"/>
        <v>45906</v>
      </c>
      <c r="AC2090" s="4">
        <v>45906</v>
      </c>
      <c r="AD2090" s="9">
        <v>45915</v>
      </c>
      <c r="AE2090" s="9">
        <v>45915</v>
      </c>
      <c r="AF2090" s="4" t="str">
        <f t="shared" ca="1" si="155"/>
        <v>2025 09</v>
      </c>
      <c r="AG2090" s="8" t="str" cm="1">
        <f t="array" ref="AG2090">IFERROR(_xlfn.IFS('Banco de Dados'!#REF!="AG. COMPRA","Em processamento",'Banco de Dados'!#REF!="AG. RASTREIO","Em processamento",'Banco de Dados'!$AE2090&lt;&gt;"-","Faturado",'Banco de Dados'!$AD2090&lt;&gt;"-","Aguardando Pix",'Banco de Dados'!$AC2090&lt;&gt;"-","Pendente"),"Aguardando Liberação")</f>
        <v>Aguardando Liberação</v>
      </c>
      <c r="AH2090" s="5" t="str">
        <f>IF('Banco de Dados'!$F2090="-",_xlfn.CONCAT(PROPER(TEXT(AK2090,"aaaa"))," ",PROPER(TEXT(AK2090,"mm"))),_xlfn.CONCAT(PROPER(TEXT(E2090,"aaaa"))," ",PROPER(TEXT(E2090,"mm"))))</f>
        <v>2025 08</v>
      </c>
      <c r="AI2090" s="9" t="str">
        <f ca="1">IF('Banco de Dados'!$AK2090&lt;&gt;"-","REEMBOLSO",IFERROR(_xlfn.XLOOKUP(G2090,Follow[CODRASTREIO],Follow[STATUS]),"-"))</f>
        <v>ENTREGUE</v>
      </c>
      <c r="AJ2090" s="9">
        <f ca="1">IF('Banco de Dados'!$AI2090="ENTREGUE",_xlfn.XLOOKUP('Banco de Dados'!$G2090,Follow[CODRASTREIO],Follow[DATAATUALIZAÇÃO]),"-")</f>
        <v>45891</v>
      </c>
      <c r="AK2090" s="132" t="str">
        <f ca="1"/>
        <v>-</v>
      </c>
      <c r="AL2090" s="35"/>
      <c r="AM2090" s="109" cm="1">
        <f t="array" aca="1" ref="AM2090" ca="1">IF('Banco de Dados'!$AK2090&lt;&gt;"-",_xlfn.IFS('Banco de Dados'!$A2090="bv",IF('Banco de Dados'!$E2090&lt;45641,ROUND(SUM('Banco de Dados'!$R2090*_xlfn.XLOOKUP('Banco de Dados'!$P2090,Sku!B:B,Sku!#REF!)*20%),2),ROUND(SUM('Banco de Dados'!$R2090*_xlfn.XLOOKUP('Banco de Dados'!$P2090,Sku!B:B,Sku!H:H)*20%),2)),'Banco de Dados'!$A2090="GO",ROUND(_xlfn.XLOOKUP('Banco de Dados'!$P2090,Sku!C:C,Sku!H:H),2),'Banco de Dados'!$A2090="MEI",ROUND(_xlfn.XLOOKUP('Banco de Dados'!$P2090,Sku!D:D,Sku!H:H),2)),0)</f>
        <v>0</v>
      </c>
      <c r="AN2090" s="109">
        <v>0</v>
      </c>
      <c r="AO2090" s="109">
        <v>0</v>
      </c>
      <c r="AP2090" s="28">
        <f ca="1">IF('Banco de Dados'!$AK2090&lt;&gt;"-",IF('Banco de Dados'!$AL2090="NÃO",IFERROR(VALUE(SUBSTITUTE(_xlfn.TEXTAFTER('Banco de Dados'!$F2090,"BRL ",1),".",",")),0),0),0)</f>
        <v>0</v>
      </c>
      <c r="AQ2090" s="28">
        <f ca="1">SUM('Banco de Dados'!$AM2090:$AP2090)</f>
        <v>0</v>
      </c>
      <c r="AR2090" s="8"/>
      <c r="AS2090" s="8"/>
      <c r="AT2090"/>
      <c r="AY2090" s="8"/>
    </row>
    <row r="2091" spans="1:51">
      <c r="A2091" s="5" t="str">
        <v>GO</v>
      </c>
      <c r="B2091" s="5" t="str">
        <f ca="1"/>
        <v>GO45883</v>
      </c>
      <c r="C2091" s="8" t="str">
        <v>Pedido 2077</v>
      </c>
      <c r="D2091" s="187">
        <v>45883</v>
      </c>
      <c r="E2091" s="9">
        <v>45883</v>
      </c>
      <c r="F2091" s="2" t="str">
        <v>PedidoF1960</v>
      </c>
      <c r="G2091" s="2" t="str">
        <v>CódRastreio1958</v>
      </c>
      <c r="H2091" s="5">
        <v>1</v>
      </c>
      <c r="I2091" s="182" t="str">
        <v>CPF 2032</v>
      </c>
      <c r="J2091" s="2" t="str">
        <v>Nome 2032</v>
      </c>
      <c r="K2091" s="8" t="str">
        <v>Tel 2032</v>
      </c>
      <c r="L2091" s="8" t="str">
        <v>Cep 2032</v>
      </c>
      <c r="M2091" s="8" t="str">
        <v>Rua 2032</v>
      </c>
      <c r="N2091" s="8" t="str">
        <v>Comp 2032</v>
      </c>
      <c r="O2091" s="8" t="str">
        <v>Mini Liquidificador</v>
      </c>
      <c r="P2091" s="8" t="str">
        <v>Q3-ZLM0-OEUO</v>
      </c>
      <c r="Q2091" s="4">
        <v>45909</v>
      </c>
      <c r="R2091" s="109">
        <v>26.99</v>
      </c>
      <c r="S2091" s="11">
        <f ca="1"/>
        <v>26.99</v>
      </c>
      <c r="T2091" s="28">
        <f ca="1"/>
        <v>3.2387999999999999</v>
      </c>
      <c r="U2091" s="11">
        <f ca="1"/>
        <v>23.75</v>
      </c>
      <c r="V2091" s="11">
        <v>10.99</v>
      </c>
      <c r="W2091" s="11">
        <f ca="1"/>
        <v>0</v>
      </c>
      <c r="X2091" s="11">
        <f ca="1"/>
        <v>0.39877104377104378</v>
      </c>
      <c r="Y2091" s="11">
        <v>0</v>
      </c>
      <c r="Z2091" s="11">
        <f ca="1"/>
        <v>12.361228956228956</v>
      </c>
      <c r="AA2091" s="11">
        <f ca="1"/>
        <v>12.361228956228956</v>
      </c>
      <c r="AB2091" s="4">
        <f ca="1"/>
        <v>45916</v>
      </c>
      <c r="AC2091" s="4">
        <v>45930</v>
      </c>
      <c r="AD2091" s="9" t="s">
        <v>37</v>
      </c>
      <c r="AE2091" s="9" t="s">
        <v>37</v>
      </c>
      <c r="AF2091" s="4" t="str">
        <f t="shared" ref="AF2091" ca="1" si="156">_xlfn.CONCAT(PROPER(TEXT(AB2091,"aaaa"))," ",PROPER(TEXT(AB2091,"mm")))</f>
        <v>2025 09</v>
      </c>
      <c r="AG2091" s="8" t="str" cm="1">
        <f t="array" ref="AG2091">IFERROR(_xlfn.IFS('Banco de Dados'!#REF!="AG. COMPRA","Em processamento",'Banco de Dados'!#REF!="AG. RASTREIO","Em processamento",'Banco de Dados'!$AE2091&lt;&gt;"-","Faturado",'Banco de Dados'!$AD2091&lt;&gt;"-","Aguardando Pix",'Banco de Dados'!$AC2091&lt;&gt;"-","Pendente"),"Aguardando Liberação")</f>
        <v>Aguardando Liberação</v>
      </c>
      <c r="AH2091" s="5" t="str">
        <f>IF('Banco de Dados'!$F2091="-",_xlfn.CONCAT(PROPER(TEXT(AK2091,"aaaa"))," ",PROPER(TEXT(AK2091,"mm"))),_xlfn.CONCAT(PROPER(TEXT(E2091,"aaaa"))," ",PROPER(TEXT(E2091,"mm"))))</f>
        <v>2025 08</v>
      </c>
      <c r="AI2091" s="9" t="str">
        <f ca="1">IF('Banco de Dados'!$AK2091&lt;&gt;"-","REEMBOLSO",IFERROR(_xlfn.XLOOKUP(G2091,Follow[CODRASTREIO],Follow[STATUS]),"-"))</f>
        <v>ENTREGUE</v>
      </c>
      <c r="AJ2091" s="9">
        <f ca="1">IF('Banco de Dados'!$AI2091="ENTREGUE",_xlfn.XLOOKUP('Banco de Dados'!$G2091,Follow[CODRASTREIO],Follow[DATAATUALIZAÇÃO]),"-")</f>
        <v>45891</v>
      </c>
      <c r="AK2091" s="132" t="str">
        <f ca="1"/>
        <v>-</v>
      </c>
      <c r="AL2091" s="35"/>
      <c r="AM2091" s="109" cm="1">
        <f t="array" aca="1" ref="AM2091" ca="1">IF('Banco de Dados'!$AK2091&lt;&gt;"-",_xlfn.IFS('Banco de Dados'!$A2091="bv",IF('Banco de Dados'!$E2091&lt;45641,ROUND(SUM('Banco de Dados'!$R2091*_xlfn.XLOOKUP('Banco de Dados'!$P2091,Sku!B:B,Sku!#REF!)*20%),2),ROUND(SUM('Banco de Dados'!$R2091*_xlfn.XLOOKUP('Banco de Dados'!$P2091,Sku!B:B,Sku!H:H)*20%),2)),'Banco de Dados'!$A2091="GO",ROUND(_xlfn.XLOOKUP('Banco de Dados'!$P2091,Sku!C:C,Sku!H:H),2),'Banco de Dados'!$A2091="MEI",ROUND(_xlfn.XLOOKUP('Banco de Dados'!$P2091,Sku!D:D,Sku!H:H),2)),0)</f>
        <v>0</v>
      </c>
      <c r="AN2091" s="109">
        <v>0</v>
      </c>
      <c r="AO2091" s="109">
        <v>0</v>
      </c>
      <c r="AP2091" s="28">
        <f ca="1">IF('Banco de Dados'!$AK2091&lt;&gt;"-",IF('Banco de Dados'!$AL2091="NÃO",IFERROR(VALUE(SUBSTITUTE(_xlfn.TEXTAFTER('Banco de Dados'!$F2091,"BRL ",1),".",",")),0),0),0)</f>
        <v>0</v>
      </c>
      <c r="AQ2091" s="28">
        <f ca="1">SUM('Banco de Dados'!$AM2091:$AP2091)</f>
        <v>0</v>
      </c>
      <c r="AR2091" s="8"/>
      <c r="AS2091" s="8"/>
      <c r="AT2091"/>
      <c r="AY2091" s="8"/>
    </row>
    <row r="2092" spans="1:51">
      <c r="A2092" s="5" t="str">
        <v>GO</v>
      </c>
      <c r="B2092" s="5" t="str">
        <f ca="1"/>
        <v>GO45887</v>
      </c>
      <c r="C2092" s="8" t="str">
        <v>Pedido 2078</v>
      </c>
      <c r="D2092" s="187">
        <v>45884</v>
      </c>
      <c r="E2092" s="9">
        <v>45887</v>
      </c>
      <c r="F2092" s="2" t="str">
        <v>PedidoF1961</v>
      </c>
      <c r="G2092" s="2" t="str">
        <v>CódRastreio1959</v>
      </c>
      <c r="H2092" s="5">
        <v>1</v>
      </c>
      <c r="I2092" s="182" t="str">
        <v>CPF 2033</v>
      </c>
      <c r="J2092" s="2" t="str">
        <v>Nome 2033</v>
      </c>
      <c r="K2092" s="8" t="str">
        <v>Tel 2033</v>
      </c>
      <c r="L2092" s="8" t="str">
        <v>Cep 2033</v>
      </c>
      <c r="M2092" s="8" t="str">
        <v>Rua 2033</v>
      </c>
      <c r="N2092" s="8" t="str">
        <v>Comp 2033</v>
      </c>
      <c r="O2092" s="8" t="str">
        <v>Mini Liquidificador</v>
      </c>
      <c r="P2092" s="8" t="str">
        <v>Q3-ZLM0-OEUO</v>
      </c>
      <c r="Q2092" s="4">
        <v>45899</v>
      </c>
      <c r="R2092" s="109">
        <v>26.99</v>
      </c>
      <c r="S2092" s="11">
        <f ca="1"/>
        <v>26.99</v>
      </c>
      <c r="T2092" s="28">
        <f ca="1"/>
        <v>3.2387999999999999</v>
      </c>
      <c r="U2092" s="11">
        <f ca="1"/>
        <v>23.75</v>
      </c>
      <c r="V2092" s="11">
        <v>17.989999999999998</v>
      </c>
      <c r="W2092" s="11">
        <f ca="1"/>
        <v>0</v>
      </c>
      <c r="X2092" s="11">
        <f ca="1"/>
        <v>0.39877104377104378</v>
      </c>
      <c r="Y2092" s="11">
        <v>0</v>
      </c>
      <c r="Z2092" s="11">
        <f ca="1"/>
        <v>5.3612289562289561</v>
      </c>
      <c r="AA2092" s="11">
        <f ca="1"/>
        <v>5.3612289562289561</v>
      </c>
      <c r="AB2092" s="4">
        <f ca="1"/>
        <v>45906</v>
      </c>
      <c r="AC2092" s="4">
        <v>45906</v>
      </c>
      <c r="AD2092" s="9">
        <v>45915</v>
      </c>
      <c r="AE2092" s="9">
        <v>45915</v>
      </c>
      <c r="AF2092" s="4" t="str">
        <f t="shared" ref="AF2092:AF2093" ca="1" si="157">_xlfn.CONCAT(PROPER(TEXT(AB2092,"aaaa"))," ",PROPER(TEXT(AB2092,"mm")))</f>
        <v>2025 09</v>
      </c>
      <c r="AG2092" s="8" t="str" cm="1">
        <f t="array" ref="AG2092">IFERROR(_xlfn.IFS('Banco de Dados'!#REF!="AG. COMPRA","Em processamento",'Banco de Dados'!#REF!="AG. RASTREIO","Em processamento",'Banco de Dados'!$AE2092&lt;&gt;"-","Faturado",'Banco de Dados'!$AD2092&lt;&gt;"-","Aguardando Pix",'Banco de Dados'!$AC2092&lt;&gt;"-","Pendente"),"Aguardando Liberação")</f>
        <v>Aguardando Liberação</v>
      </c>
      <c r="AH2092" s="5" t="str">
        <f>IF('Banco de Dados'!$F2092="-",_xlfn.CONCAT(PROPER(TEXT(AK2092,"aaaa"))," ",PROPER(TEXT(AK2092,"mm"))),_xlfn.CONCAT(PROPER(TEXT(E2092,"aaaa"))," ",PROPER(TEXT(E2092,"mm"))))</f>
        <v>2025 08</v>
      </c>
      <c r="AI2092" s="9" t="str">
        <f ca="1">IF('Banco de Dados'!$AK2092&lt;&gt;"-","REEMBOLSO",IFERROR(_xlfn.XLOOKUP(G2092,Follow[CODRASTREIO],Follow[STATUS]),"-"))</f>
        <v>ENTREGUE</v>
      </c>
      <c r="AJ2092" s="9">
        <f ca="1">IF('Banco de Dados'!$AI2092="ENTREGUE",_xlfn.XLOOKUP('Banco de Dados'!$G2092,Follow[CODRASTREIO],Follow[DATAATUALIZAÇÃO]),"-")</f>
        <v>45896</v>
      </c>
      <c r="AK2092" s="132" t="str">
        <f ca="1"/>
        <v>-</v>
      </c>
      <c r="AL2092" s="35"/>
      <c r="AM2092" s="109" cm="1">
        <f t="array" aca="1" ref="AM2092" ca="1">IF('Banco de Dados'!$AK2092&lt;&gt;"-",_xlfn.IFS('Banco de Dados'!$A2092="bv",IF('Banco de Dados'!$E2092&lt;45641,ROUND(SUM('Banco de Dados'!$R2092*_xlfn.XLOOKUP('Banco de Dados'!$P2092,Sku!B:B,Sku!#REF!)*20%),2),ROUND(SUM('Banco de Dados'!$R2092*_xlfn.XLOOKUP('Banco de Dados'!$P2092,Sku!B:B,Sku!H:H)*20%),2)),'Banco de Dados'!$A2092="GO",ROUND(_xlfn.XLOOKUP('Banco de Dados'!$P2092,Sku!C:C,Sku!H:H),2),'Banco de Dados'!$A2092="MEI",ROUND(_xlfn.XLOOKUP('Banco de Dados'!$P2092,Sku!D:D,Sku!H:H),2)),0)</f>
        <v>0</v>
      </c>
      <c r="AN2092" s="109">
        <v>0</v>
      </c>
      <c r="AO2092" s="109">
        <v>0</v>
      </c>
      <c r="AP2092" s="28">
        <f ca="1">IF('Banco de Dados'!$AK2092&lt;&gt;"-",IF('Banco de Dados'!$AL2092="NÃO",IFERROR(VALUE(SUBSTITUTE(_xlfn.TEXTAFTER('Banco de Dados'!$F2092,"BRL ",1),".",",")),0),0),0)</f>
        <v>0</v>
      </c>
      <c r="AQ2092" s="28">
        <f ca="1">SUM('Banco de Dados'!$AM2092:$AP2092)</f>
        <v>0</v>
      </c>
      <c r="AR2092" s="8"/>
      <c r="AS2092" s="8"/>
      <c r="AT2092"/>
      <c r="AY2092" s="8"/>
    </row>
    <row r="2093" spans="1:51">
      <c r="A2093" s="5" t="str">
        <v>GO</v>
      </c>
      <c r="B2093" s="5" t="str">
        <f ca="1"/>
        <v>GO45887</v>
      </c>
      <c r="C2093" s="8" t="str">
        <v>Pedido 2079</v>
      </c>
      <c r="D2093" s="187">
        <v>45887</v>
      </c>
      <c r="E2093" s="9">
        <v>45887</v>
      </c>
      <c r="F2093" s="2" t="str">
        <v>PedidoF1962</v>
      </c>
      <c r="G2093" s="2" t="str">
        <v>CódRastreio1960</v>
      </c>
      <c r="H2093" s="5">
        <v>1</v>
      </c>
      <c r="I2093" s="182" t="str">
        <v>CPF 2034</v>
      </c>
      <c r="J2093" s="2" t="str">
        <v>Nome 2034</v>
      </c>
      <c r="K2093" s="8" t="str">
        <v>Tel 2034</v>
      </c>
      <c r="L2093" s="8" t="str">
        <v>Cep 2034</v>
      </c>
      <c r="M2093" s="8" t="str">
        <v>Rua 2034</v>
      </c>
      <c r="N2093" s="8" t="str">
        <v>Comp 2034</v>
      </c>
      <c r="O2093" s="8" t="str">
        <v>Ventilador Rosa</v>
      </c>
      <c r="P2093" s="8" t="str">
        <v>MK-OUQW-7L3Z</v>
      </c>
      <c r="Q2093" s="4">
        <v>45912</v>
      </c>
      <c r="R2093" s="109">
        <v>50.99</v>
      </c>
      <c r="S2093" s="11">
        <f ca="1"/>
        <v>50.99</v>
      </c>
      <c r="T2093" s="28">
        <f ca="1"/>
        <v>6.1188000000000002</v>
      </c>
      <c r="U2093" s="11">
        <f ca="1"/>
        <v>44.87</v>
      </c>
      <c r="V2093" s="11">
        <v>22.08</v>
      </c>
      <c r="W2093" s="11">
        <f ca="1"/>
        <v>0</v>
      </c>
      <c r="X2093" s="11">
        <f ca="1"/>
        <v>0.39877104377104378</v>
      </c>
      <c r="Y2093" s="11">
        <v>0</v>
      </c>
      <c r="Z2093" s="11">
        <f ca="1"/>
        <v>22.391228956228954</v>
      </c>
      <c r="AA2093" s="11">
        <f ca="1"/>
        <v>22.391228956228954</v>
      </c>
      <c r="AB2093" s="4">
        <f ca="1"/>
        <v>45919</v>
      </c>
      <c r="AC2093" s="4">
        <v>45930</v>
      </c>
      <c r="AD2093" s="9" t="s">
        <v>37</v>
      </c>
      <c r="AE2093" s="9" t="s">
        <v>37</v>
      </c>
      <c r="AF2093" s="4" t="str">
        <f t="shared" ca="1" si="157"/>
        <v>2025 09</v>
      </c>
      <c r="AG2093" s="8" t="str" cm="1">
        <f t="array" ref="AG2093">IFERROR(_xlfn.IFS('Banco de Dados'!#REF!="AG. COMPRA","Em processamento",'Banco de Dados'!#REF!="AG. RASTREIO","Em processamento",'Banco de Dados'!$AE2093&lt;&gt;"-","Faturado",'Banco de Dados'!$AD2093&lt;&gt;"-","Aguardando Pix",'Banco de Dados'!$AC2093&lt;&gt;"-","Pendente"),"Aguardando Liberação")</f>
        <v>Aguardando Liberação</v>
      </c>
      <c r="AH2093" s="5" t="str">
        <f>IF('Banco de Dados'!$F2093="-",_xlfn.CONCAT(PROPER(TEXT(AK2093,"aaaa"))," ",PROPER(TEXT(AK2093,"mm"))),_xlfn.CONCAT(PROPER(TEXT(E2093,"aaaa"))," ",PROPER(TEXT(E2093,"mm"))))</f>
        <v>2025 08</v>
      </c>
      <c r="AI2093" s="9" t="str">
        <f ca="1">IF('Banco de Dados'!$AK2093&lt;&gt;"-","REEMBOLSO",IFERROR(_xlfn.XLOOKUP(G2093,Follow[CODRASTREIO],Follow[STATUS]),"-"))</f>
        <v>EM SEPARAÇÃO</v>
      </c>
      <c r="AJ2093" s="9" t="str">
        <f ca="1">IF('Banco de Dados'!$AI2093="ENTREGUE",_xlfn.XLOOKUP('Banco de Dados'!$G2093,Follow[CODRASTREIO],Follow[DATAATUALIZAÇÃO]),"-")</f>
        <v>-</v>
      </c>
      <c r="AK2093" s="132" t="str">
        <f ca="1"/>
        <v>-</v>
      </c>
      <c r="AL2093" s="35"/>
      <c r="AM2093" s="109" cm="1">
        <f t="array" aca="1" ref="AM2093" ca="1">IF('Banco de Dados'!$AK2093&lt;&gt;"-",_xlfn.IFS('Banco de Dados'!$A2093="bv",IF('Banco de Dados'!$E2093&lt;45641,ROUND(SUM('Banco de Dados'!$R2093*_xlfn.XLOOKUP('Banco de Dados'!$P2093,Sku!B:B,Sku!#REF!)*20%),2),ROUND(SUM('Banco de Dados'!$R2093*_xlfn.XLOOKUP('Banco de Dados'!$P2093,Sku!B:B,Sku!H:H)*20%),2)),'Banco de Dados'!$A2093="GO",ROUND(_xlfn.XLOOKUP('Banco de Dados'!$P2093,Sku!C:C,Sku!H:H),2),'Banco de Dados'!$A2093="MEI",ROUND(_xlfn.XLOOKUP('Banco de Dados'!$P2093,Sku!D:D,Sku!H:H),2)),0)</f>
        <v>0</v>
      </c>
      <c r="AN2093" s="109">
        <v>0</v>
      </c>
      <c r="AO2093" s="109">
        <v>0</v>
      </c>
      <c r="AP2093" s="28">
        <f ca="1">IF('Banco de Dados'!$AK2093&lt;&gt;"-",IF('Banco de Dados'!$AL2093="NÃO",IFERROR(VALUE(SUBSTITUTE(_xlfn.TEXTAFTER('Banco de Dados'!$F2093,"BRL ",1),".",",")),0),0),0)</f>
        <v>0</v>
      </c>
      <c r="AQ2093" s="28">
        <f ca="1">SUM('Banco de Dados'!$AM2093:$AP2093)</f>
        <v>0</v>
      </c>
      <c r="AR2093" s="8"/>
      <c r="AS2093" s="8"/>
      <c r="AT2093"/>
      <c r="AY2093" s="8"/>
    </row>
    <row r="2094" spans="1:51">
      <c r="A2094" s="5" t="str">
        <v>GO</v>
      </c>
      <c r="B2094" s="5" t="str">
        <f ca="1"/>
        <v>GO45888</v>
      </c>
      <c r="C2094" s="8" t="str">
        <v>Pedido 2080</v>
      </c>
      <c r="D2094" s="187">
        <v>45888</v>
      </c>
      <c r="E2094" s="9">
        <v>45888</v>
      </c>
      <c r="F2094" s="2" t="str">
        <v>PedidoF1963</v>
      </c>
      <c r="G2094" s="2" t="str">
        <v>CódRastreio1961</v>
      </c>
      <c r="H2094" s="5">
        <v>1</v>
      </c>
      <c r="I2094" s="182" t="str">
        <v>CPF 2035</v>
      </c>
      <c r="J2094" s="2" t="str">
        <v>Nome 2035</v>
      </c>
      <c r="K2094" s="8" t="str">
        <v>Tel 2035</v>
      </c>
      <c r="L2094" s="8" t="str">
        <v>Cep 2035</v>
      </c>
      <c r="M2094" s="8" t="str">
        <v>Rua 2035</v>
      </c>
      <c r="N2094" s="8" t="str">
        <v>Comp 2035</v>
      </c>
      <c r="O2094" s="8" t="str">
        <v>Mini Liquidificador</v>
      </c>
      <c r="P2094" s="8" t="str">
        <v>Q3-ZLM0-OEUO</v>
      </c>
      <c r="Q2094" s="4">
        <v>45908</v>
      </c>
      <c r="R2094" s="109">
        <v>26.99</v>
      </c>
      <c r="S2094" s="11">
        <f ca="1"/>
        <v>26.99</v>
      </c>
      <c r="T2094" s="28">
        <f ca="1"/>
        <v>3.2387999999999999</v>
      </c>
      <c r="U2094" s="11">
        <f ca="1"/>
        <v>23.75</v>
      </c>
      <c r="V2094" s="11">
        <v>15.99</v>
      </c>
      <c r="W2094" s="11">
        <f ca="1"/>
        <v>0</v>
      </c>
      <c r="X2094" s="11">
        <f ca="1"/>
        <v>0.39877104377104378</v>
      </c>
      <c r="Y2094" s="11">
        <v>0</v>
      </c>
      <c r="Z2094" s="11">
        <f ca="1"/>
        <v>7.3612289562289561</v>
      </c>
      <c r="AA2094" s="11">
        <f ca="1"/>
        <v>7.3612289562289561</v>
      </c>
      <c r="AB2094" s="4">
        <f ca="1"/>
        <v>45915</v>
      </c>
      <c r="AC2094" s="4">
        <v>45915</v>
      </c>
      <c r="AD2094" s="9">
        <v>45915</v>
      </c>
      <c r="AE2094" s="9">
        <v>45915</v>
      </c>
      <c r="AF2094" s="4" t="str">
        <f t="shared" ref="AF2094" ca="1" si="158">_xlfn.CONCAT(PROPER(TEXT(AB2094,"aaaa"))," ",PROPER(TEXT(AB2094,"mm")))</f>
        <v>2025 09</v>
      </c>
      <c r="AG2094" s="8" t="str" cm="1">
        <f t="array" ref="AG2094">IFERROR(_xlfn.IFS('Banco de Dados'!#REF!="AG. COMPRA","Em processamento",'Banco de Dados'!#REF!="AG. RASTREIO","Em processamento",'Banco de Dados'!$AE2094&lt;&gt;"-","Faturado",'Banco de Dados'!$AD2094&lt;&gt;"-","Aguardando Pix",'Banco de Dados'!$AC2094&lt;&gt;"-","Pendente"),"Aguardando Liberação")</f>
        <v>Aguardando Liberação</v>
      </c>
      <c r="AH2094" s="5" t="str">
        <f>IF('Banco de Dados'!$F2094="-",_xlfn.CONCAT(PROPER(TEXT(AK2094,"aaaa"))," ",PROPER(TEXT(AK2094,"mm"))),_xlfn.CONCAT(PROPER(TEXT(E2094,"aaaa"))," ",PROPER(TEXT(E2094,"mm"))))</f>
        <v>2025 08</v>
      </c>
      <c r="AI2094" s="9" t="str">
        <f ca="1">IF('Banco de Dados'!$AK2094&lt;&gt;"-","REEMBOLSO",IFERROR(_xlfn.XLOOKUP(G2094,Follow[CODRASTREIO],Follow[STATUS]),"-"))</f>
        <v>ENTREGUE</v>
      </c>
      <c r="AJ2094" s="9">
        <f ca="1">IF('Banco de Dados'!$AI2094="ENTREGUE",_xlfn.XLOOKUP('Banco de Dados'!$G2094,Follow[CODRASTREIO],Follow[DATAATUALIZAÇÃO]),"-")</f>
        <v>45894</v>
      </c>
      <c r="AK2094" s="132" t="str">
        <f ca="1"/>
        <v>-</v>
      </c>
      <c r="AL2094" s="35"/>
      <c r="AM2094" s="109" cm="1">
        <f t="array" aca="1" ref="AM2094" ca="1">IF('Banco de Dados'!$AK2094&lt;&gt;"-",_xlfn.IFS('Banco de Dados'!$A2094="bv",IF('Banco de Dados'!$E2094&lt;45641,ROUND(SUM('Banco de Dados'!$R2094*_xlfn.XLOOKUP('Banco de Dados'!$P2094,Sku!B:B,Sku!#REF!)*20%),2),ROUND(SUM('Banco de Dados'!$R2094*_xlfn.XLOOKUP('Banco de Dados'!$P2094,Sku!B:B,Sku!H:H)*20%),2)),'Banco de Dados'!$A2094="GO",ROUND(_xlfn.XLOOKUP('Banco de Dados'!$P2094,Sku!C:C,Sku!H:H),2),'Banco de Dados'!$A2094="MEI",ROUND(_xlfn.XLOOKUP('Banco de Dados'!$P2094,Sku!D:D,Sku!H:H),2)),0)</f>
        <v>0</v>
      </c>
      <c r="AN2094" s="109">
        <v>0</v>
      </c>
      <c r="AO2094" s="109">
        <v>0</v>
      </c>
      <c r="AP2094" s="28">
        <f ca="1">IF('Banco de Dados'!$AK2094&lt;&gt;"-",IF('Banco de Dados'!$AL2094="NÃO",IFERROR(VALUE(SUBSTITUTE(_xlfn.TEXTAFTER('Banco de Dados'!$F2094,"BRL ",1),".",",")),0),0),0)</f>
        <v>0</v>
      </c>
      <c r="AQ2094" s="28">
        <f ca="1">SUM('Banco de Dados'!$AM2094:$AP2094)</f>
        <v>0</v>
      </c>
      <c r="AR2094" s="8"/>
      <c r="AS2094" s="8"/>
      <c r="AT2094"/>
      <c r="AY2094" s="8"/>
    </row>
    <row r="2095" spans="1:51">
      <c r="A2095" s="5" t="str">
        <v>GO</v>
      </c>
      <c r="B2095" s="5" t="str">
        <f ca="1"/>
        <v>GO45894</v>
      </c>
      <c r="C2095" s="8" t="str">
        <v>Pedido 2081</v>
      </c>
      <c r="D2095" s="187">
        <v>45892</v>
      </c>
      <c r="E2095" s="9">
        <v>45894</v>
      </c>
      <c r="F2095" s="2" t="str">
        <v>PedidoF1964</v>
      </c>
      <c r="G2095" s="2" t="str">
        <v>CódRastreio1962</v>
      </c>
      <c r="H2095" s="5">
        <v>1</v>
      </c>
      <c r="I2095" s="182" t="str">
        <v>CPF 2036</v>
      </c>
      <c r="J2095" s="2" t="str">
        <v>Nome 2036</v>
      </c>
      <c r="K2095" s="8" t="str">
        <v>Tel 2036</v>
      </c>
      <c r="L2095" s="8" t="str">
        <v>Cep 2036</v>
      </c>
      <c r="M2095" s="8" t="str">
        <v>Rua 2036</v>
      </c>
      <c r="N2095" s="8" t="str">
        <v>Comp 2036</v>
      </c>
      <c r="O2095" s="8" t="str">
        <v>Brinquedo Bola Giratória voadora</v>
      </c>
      <c r="P2095" s="8" t="str">
        <v>EL-YKJD-0WWL</v>
      </c>
      <c r="Q2095" s="4">
        <v>45925</v>
      </c>
      <c r="R2095" s="109">
        <v>38.99</v>
      </c>
      <c r="S2095" s="11">
        <f ca="1"/>
        <v>38.99</v>
      </c>
      <c r="T2095" s="28">
        <f ca="1"/>
        <v>4.6787999999999998</v>
      </c>
      <c r="U2095" s="11">
        <f ca="1"/>
        <v>34.31</v>
      </c>
      <c r="V2095" s="11">
        <v>25.03</v>
      </c>
      <c r="W2095" s="11">
        <f ca="1"/>
        <v>0</v>
      </c>
      <c r="X2095" s="11">
        <f ca="1"/>
        <v>0.39877104377104378</v>
      </c>
      <c r="Y2095" s="11">
        <v>0</v>
      </c>
      <c r="Z2095" s="11">
        <f ca="1"/>
        <v>8.8812289562289557</v>
      </c>
      <c r="AA2095" s="11">
        <f ca="1"/>
        <v>8.8812289562289557</v>
      </c>
      <c r="AB2095" s="4">
        <f ca="1"/>
        <v>45932</v>
      </c>
      <c r="AC2095" s="4" t="s">
        <v>37</v>
      </c>
      <c r="AD2095" s="9" t="s">
        <v>37</v>
      </c>
      <c r="AE2095" s="9" t="s">
        <v>37</v>
      </c>
      <c r="AF2095" s="4" t="str">
        <f t="shared" ref="AF2095:AF2099" ca="1" si="159">_xlfn.CONCAT(PROPER(TEXT(AB2095,"aaaa"))," ",PROPER(TEXT(AB2095,"mm")))</f>
        <v>2025 10</v>
      </c>
      <c r="AG2095" s="8" t="str" cm="1">
        <f t="array" ref="AG2095">IFERROR(_xlfn.IFS('Banco de Dados'!#REF!="AG. COMPRA","Em processamento",'Banco de Dados'!#REF!="AG. RASTREIO","Em processamento",'Banco de Dados'!$AE2095&lt;&gt;"-","Faturado",'Banco de Dados'!$AD2095&lt;&gt;"-","Aguardando Pix",'Banco de Dados'!$AC2095&lt;&gt;"-","Pendente"),"Aguardando Liberação")</f>
        <v>Aguardando Liberação</v>
      </c>
      <c r="AH2095" s="5" t="str">
        <f>IF('Banco de Dados'!$F2095="-",_xlfn.CONCAT(PROPER(TEXT(AK2095,"aaaa"))," ",PROPER(TEXT(AK2095,"mm"))),_xlfn.CONCAT(PROPER(TEXT(E2095,"aaaa"))," ",PROPER(TEXT(E2095,"mm"))))</f>
        <v>2025 08</v>
      </c>
      <c r="AI2095" s="9" t="str">
        <f ca="1">IF('Banco de Dados'!$AK2095&lt;&gt;"-","REEMBOLSO",IFERROR(_xlfn.XLOOKUP(G2095,Follow[CODRASTREIO],Follow[STATUS]),"-"))</f>
        <v>EM SEPARAÇÃO</v>
      </c>
      <c r="AJ2095" s="9" t="str">
        <f ca="1">IF('Banco de Dados'!$AI2095="ENTREGUE",_xlfn.XLOOKUP('Banco de Dados'!$G2095,Follow[CODRASTREIO],Follow[DATAATUALIZAÇÃO]),"-")</f>
        <v>-</v>
      </c>
      <c r="AK2095" s="132" t="str">
        <f ca="1"/>
        <v>-</v>
      </c>
      <c r="AL2095" s="35"/>
      <c r="AM2095" s="109" cm="1">
        <f t="array" aca="1" ref="AM2095" ca="1">IF('Banco de Dados'!$AK2095&lt;&gt;"-",_xlfn.IFS('Banco de Dados'!$A2095="bv",IF('Banco de Dados'!$E2095&lt;45641,ROUND(SUM('Banco de Dados'!$R2095*_xlfn.XLOOKUP('Banco de Dados'!$P2095,Sku!B:B,Sku!#REF!)*20%),2),ROUND(SUM('Banco de Dados'!$R2095*_xlfn.XLOOKUP('Banco de Dados'!$P2095,Sku!B:B,Sku!H:H)*20%),2)),'Banco de Dados'!$A2095="GO",ROUND(_xlfn.XLOOKUP('Banco de Dados'!$P2095,Sku!C:C,Sku!H:H),2),'Banco de Dados'!$A2095="MEI",ROUND(_xlfn.XLOOKUP('Banco de Dados'!$P2095,Sku!D:D,Sku!H:H),2)),0)</f>
        <v>0</v>
      </c>
      <c r="AN2095" s="109">
        <v>0</v>
      </c>
      <c r="AO2095" s="109">
        <v>0</v>
      </c>
      <c r="AP2095" s="28">
        <f ca="1">IF('Banco de Dados'!$AK2095&lt;&gt;"-",IF('Banco de Dados'!$AL2095="NÃO",IFERROR(VALUE(SUBSTITUTE(_xlfn.TEXTAFTER('Banco de Dados'!$F2095,"BRL ",1),".",",")),0),0),0)</f>
        <v>0</v>
      </c>
      <c r="AQ2095" s="28">
        <f ca="1">SUM('Banco de Dados'!$AM2095:$AP2095)</f>
        <v>0</v>
      </c>
      <c r="AR2095" s="8"/>
      <c r="AS2095" s="8"/>
      <c r="AT2095"/>
      <c r="AY2095" s="8"/>
    </row>
    <row r="2096" spans="1:51">
      <c r="A2096" s="5" t="str">
        <v>GO</v>
      </c>
      <c r="B2096" s="5" t="str">
        <f ca="1"/>
        <v>GO45894</v>
      </c>
      <c r="C2096" s="8" t="str">
        <v>Pedido 2082</v>
      </c>
      <c r="D2096" s="187">
        <v>45893</v>
      </c>
      <c r="E2096" s="9">
        <v>45894</v>
      </c>
      <c r="F2096" s="2" t="str">
        <v>PedidoF1965</v>
      </c>
      <c r="G2096" s="2" t="str">
        <v>CódRastreio1963</v>
      </c>
      <c r="H2096" s="5">
        <v>1</v>
      </c>
      <c r="I2096" s="182" t="str">
        <v>CPF 2037</v>
      </c>
      <c r="J2096" s="2" t="str">
        <v>Nome 2037</v>
      </c>
      <c r="K2096" s="8" t="str">
        <v>Tel 2037</v>
      </c>
      <c r="L2096" s="8" t="str">
        <v>Cep 2037</v>
      </c>
      <c r="M2096" s="8" t="str">
        <v>Rua 2037</v>
      </c>
      <c r="N2096" s="8" t="str">
        <v>Comp 2037</v>
      </c>
      <c r="O2096" s="8" t="str">
        <v>Brinquedo Bola Giratória voadora</v>
      </c>
      <c r="P2096" s="8" t="str">
        <v>EL-YKJD-0WWL</v>
      </c>
      <c r="Q2096" s="4">
        <v>45912</v>
      </c>
      <c r="R2096" s="109">
        <v>38.99</v>
      </c>
      <c r="S2096" s="11">
        <f ca="1"/>
        <v>38.99</v>
      </c>
      <c r="T2096" s="28">
        <f ca="1"/>
        <v>4.6787999999999998</v>
      </c>
      <c r="U2096" s="11">
        <f ca="1"/>
        <v>34.31</v>
      </c>
      <c r="V2096" s="11">
        <v>25.03</v>
      </c>
      <c r="W2096" s="11">
        <f ca="1"/>
        <v>0</v>
      </c>
      <c r="X2096" s="11">
        <f ca="1"/>
        <v>0.39877104377104378</v>
      </c>
      <c r="Y2096" s="11">
        <v>0</v>
      </c>
      <c r="Z2096" s="11">
        <f ca="1"/>
        <v>8.8812289562289557</v>
      </c>
      <c r="AA2096" s="11">
        <f ca="1"/>
        <v>8.8812289562289557</v>
      </c>
      <c r="AB2096" s="4">
        <f ca="1"/>
        <v>45919</v>
      </c>
      <c r="AC2096" s="4">
        <v>45930</v>
      </c>
      <c r="AD2096" s="9" t="s">
        <v>37</v>
      </c>
      <c r="AE2096" s="9" t="s">
        <v>37</v>
      </c>
      <c r="AF2096" s="4" t="str">
        <f t="shared" ca="1" si="159"/>
        <v>2025 09</v>
      </c>
      <c r="AG2096" s="8" t="str" cm="1">
        <f t="array" ref="AG2096">IFERROR(_xlfn.IFS('Banco de Dados'!#REF!="AG. COMPRA","Em processamento",'Banco de Dados'!#REF!="AG. RASTREIO","Em processamento",'Banco de Dados'!$AE2096&lt;&gt;"-","Faturado",'Banco de Dados'!$AD2096&lt;&gt;"-","Aguardando Pix",'Banco de Dados'!$AC2096&lt;&gt;"-","Pendente"),"Aguardando Liberação")</f>
        <v>Aguardando Liberação</v>
      </c>
      <c r="AH2096" s="5" t="str">
        <f>IF('Banco de Dados'!$F2096="-",_xlfn.CONCAT(PROPER(TEXT(AK2096,"aaaa"))," ",PROPER(TEXT(AK2096,"mm"))),_xlfn.CONCAT(PROPER(TEXT(E2096,"aaaa"))," ",PROPER(TEXT(E2096,"mm"))))</f>
        <v>2025 08</v>
      </c>
      <c r="AI2096" s="9" t="str">
        <f ca="1">IF('Banco de Dados'!$AK2096&lt;&gt;"-","REEMBOLSO",IFERROR(_xlfn.XLOOKUP(G2096,Follow[CODRASTREIO],Follow[STATUS]),"-"))</f>
        <v>EM SEPARAÇÃO</v>
      </c>
      <c r="AJ2096" s="9" t="str">
        <f ca="1">IF('Banco de Dados'!$AI2096="ENTREGUE",_xlfn.XLOOKUP('Banco de Dados'!$G2096,Follow[CODRASTREIO],Follow[DATAATUALIZAÇÃO]),"-")</f>
        <v>-</v>
      </c>
      <c r="AK2096" s="132" t="str">
        <f ca="1"/>
        <v>-</v>
      </c>
      <c r="AL2096" s="35"/>
      <c r="AM2096" s="109" cm="1">
        <f t="array" aca="1" ref="AM2096" ca="1">IF('Banco de Dados'!$AK2096&lt;&gt;"-",_xlfn.IFS('Banco de Dados'!$A2096="bv",IF('Banco de Dados'!$E2096&lt;45641,ROUND(SUM('Banco de Dados'!$R2096*_xlfn.XLOOKUP('Banco de Dados'!$P2096,Sku!B:B,Sku!#REF!)*20%),2),ROUND(SUM('Banco de Dados'!$R2096*_xlfn.XLOOKUP('Banco de Dados'!$P2096,Sku!B:B,Sku!H:H)*20%),2)),'Banco de Dados'!$A2096="GO",ROUND(_xlfn.XLOOKUP('Banco de Dados'!$P2096,Sku!C:C,Sku!H:H),2),'Banco de Dados'!$A2096="MEI",ROUND(_xlfn.XLOOKUP('Banco de Dados'!$P2096,Sku!D:D,Sku!H:H),2)),0)</f>
        <v>0</v>
      </c>
      <c r="AN2096" s="109">
        <v>0</v>
      </c>
      <c r="AO2096" s="109">
        <v>0</v>
      </c>
      <c r="AP2096" s="28">
        <f ca="1">IF('Banco de Dados'!$AK2096&lt;&gt;"-",IF('Banco de Dados'!$AL2096="NÃO",IFERROR(VALUE(SUBSTITUTE(_xlfn.TEXTAFTER('Banco de Dados'!$F2096,"BRL ",1),".",",")),0),0),0)</f>
        <v>0</v>
      </c>
      <c r="AQ2096" s="28">
        <f ca="1">SUM('Banco de Dados'!$AM2096:$AP2096)</f>
        <v>0</v>
      </c>
      <c r="AR2096" s="8"/>
      <c r="AS2096" s="8"/>
      <c r="AT2096"/>
      <c r="AY2096" s="8"/>
    </row>
    <row r="2097" spans="1:51">
      <c r="A2097" s="5" t="str">
        <v>MEI</v>
      </c>
      <c r="B2097" s="5" t="str">
        <f ca="1"/>
        <v>MEI45894</v>
      </c>
      <c r="C2097" s="8" t="str">
        <v>Pedido 2083</v>
      </c>
      <c r="D2097" s="187">
        <v>45891</v>
      </c>
      <c r="E2097" s="9">
        <v>45894</v>
      </c>
      <c r="F2097" s="2" t="str">
        <v>PedidoF1966</v>
      </c>
      <c r="G2097" s="2" t="str">
        <v>CódRastreio1964</v>
      </c>
      <c r="H2097" s="5">
        <v>1</v>
      </c>
      <c r="I2097" s="182" t="str">
        <v>CPF 2038</v>
      </c>
      <c r="J2097" s="2" t="str">
        <v>Nome 2038</v>
      </c>
      <c r="K2097" s="8" t="str">
        <v>Tel 2038</v>
      </c>
      <c r="L2097" s="8" t="str">
        <v>Cep 2038</v>
      </c>
      <c r="M2097" s="8" t="str">
        <v>Rua 2038</v>
      </c>
      <c r="N2097" s="8" t="str">
        <v>Comp 2038</v>
      </c>
      <c r="O2097" s="8" t="str">
        <v>Brinquedo Bola Giratória voadora</v>
      </c>
      <c r="P2097" s="8" t="str">
        <v>Z0-F6CI-18CL</v>
      </c>
      <c r="Q2097" s="4">
        <v>45917</v>
      </c>
      <c r="R2097" s="109">
        <v>38.99</v>
      </c>
      <c r="S2097" s="11">
        <f ca="1"/>
        <v>38.99</v>
      </c>
      <c r="T2097" s="28">
        <f ca="1"/>
        <v>4.6787999999999998</v>
      </c>
      <c r="U2097" s="11">
        <f ca="1"/>
        <v>34.31</v>
      </c>
      <c r="V2097" s="11">
        <v>25.03</v>
      </c>
      <c r="W2097" s="11">
        <f ca="1"/>
        <v>0</v>
      </c>
      <c r="X2097" s="11">
        <f ca="1"/>
        <v>0.39877104377104378</v>
      </c>
      <c r="Y2097" s="11">
        <v>0</v>
      </c>
      <c r="Z2097" s="11">
        <f ca="1"/>
        <v>8.8812289562289557</v>
      </c>
      <c r="AA2097" s="11">
        <f ca="1"/>
        <v>4.4406144781144778</v>
      </c>
      <c r="AB2097" s="4">
        <f ca="1"/>
        <v>45924</v>
      </c>
      <c r="AC2097" s="4">
        <v>45930</v>
      </c>
      <c r="AD2097" s="9" t="s">
        <v>37</v>
      </c>
      <c r="AE2097" s="9" t="s">
        <v>37</v>
      </c>
      <c r="AF2097" s="4" t="str">
        <f t="shared" ca="1" si="159"/>
        <v>2025 09</v>
      </c>
      <c r="AG2097" s="8" t="str" cm="1">
        <f t="array" ref="AG2097">IFERROR(_xlfn.IFS('Banco de Dados'!#REF!="AG. COMPRA","Em processamento",'Banco de Dados'!#REF!="AG. RASTREIO","Em processamento",'Banco de Dados'!$AE2097&lt;&gt;"-","Faturado",'Banco de Dados'!$AD2097&lt;&gt;"-","Aguardando Pix",'Banco de Dados'!$AC2097&lt;&gt;"-","Pendente"),"Aguardando Liberação")</f>
        <v>Aguardando Liberação</v>
      </c>
      <c r="AH2097" s="5" t="str">
        <f>IF('Banco de Dados'!$F2097="-",_xlfn.CONCAT(PROPER(TEXT(AK2097,"aaaa"))," ",PROPER(TEXT(AK2097,"mm"))),_xlfn.CONCAT(PROPER(TEXT(E2097,"aaaa"))," ",PROPER(TEXT(E2097,"mm"))))</f>
        <v>2025 08</v>
      </c>
      <c r="AI2097" s="9" t="str">
        <f ca="1">IF('Banco de Dados'!$AK2097&lt;&gt;"-","REEMBOLSO",IFERROR(_xlfn.XLOOKUP(G2097,Follow[CODRASTREIO],Follow[STATUS]),"-"))</f>
        <v>EM SEPARAÇÃO</v>
      </c>
      <c r="AJ2097" s="9" t="str">
        <f ca="1">IF('Banco de Dados'!$AI2097="ENTREGUE",_xlfn.XLOOKUP('Banco de Dados'!$G2097,Follow[CODRASTREIO],Follow[DATAATUALIZAÇÃO]),"-")</f>
        <v>-</v>
      </c>
      <c r="AK2097" s="132" t="str">
        <f ca="1"/>
        <v>-</v>
      </c>
      <c r="AL2097" s="35"/>
      <c r="AM2097" s="109" cm="1">
        <f t="array" aca="1" ref="AM2097" ca="1">IF('Banco de Dados'!$AK2097&lt;&gt;"-",_xlfn.IFS('Banco de Dados'!$A2097="bv",IF('Banco de Dados'!$E2097&lt;45641,ROUND(SUM('Banco de Dados'!$R2097*_xlfn.XLOOKUP('Banco de Dados'!$P2097,Sku!B:B,Sku!#REF!)*20%),2),ROUND(SUM('Banco de Dados'!$R2097*_xlfn.XLOOKUP('Banco de Dados'!$P2097,Sku!B:B,Sku!H:H)*20%),2)),'Banco de Dados'!$A2097="GO",ROUND(_xlfn.XLOOKUP('Banco de Dados'!$P2097,Sku!C:C,Sku!H:H),2),'Banco de Dados'!$A2097="MEI",ROUND(_xlfn.XLOOKUP('Banco de Dados'!$P2097,Sku!D:D,Sku!H:H),2)),0)</f>
        <v>0</v>
      </c>
      <c r="AN2097" s="109">
        <v>0</v>
      </c>
      <c r="AO2097" s="109">
        <v>0</v>
      </c>
      <c r="AP2097" s="28">
        <f ca="1">IF('Banco de Dados'!$AK2097&lt;&gt;"-",IF('Banco de Dados'!$AL2097="NÃO",IFERROR(VALUE(SUBSTITUTE(_xlfn.TEXTAFTER('Banco de Dados'!$F2097,"BRL ",1),".",",")),0),0),0)</f>
        <v>0</v>
      </c>
      <c r="AQ2097" s="28">
        <f ca="1">SUM('Banco de Dados'!$AM2097:$AP2097)</f>
        <v>0</v>
      </c>
      <c r="AR2097" s="8"/>
      <c r="AS2097" s="8"/>
      <c r="AT2097"/>
      <c r="AY2097" s="8"/>
    </row>
    <row r="2098" spans="1:51">
      <c r="A2098" s="5" t="str">
        <v>MEI</v>
      </c>
      <c r="B2098" s="5" t="str">
        <f ca="1"/>
        <v>MEI45894</v>
      </c>
      <c r="C2098" s="8" t="str">
        <v>Pedido 2084</v>
      </c>
      <c r="D2098" s="187">
        <v>45893</v>
      </c>
      <c r="E2098" s="9">
        <v>45894</v>
      </c>
      <c r="F2098" s="2" t="str">
        <v>PedidoF1967</v>
      </c>
      <c r="G2098" s="2" t="str">
        <v>CódRastreio1965</v>
      </c>
      <c r="H2098" s="5">
        <v>1</v>
      </c>
      <c r="I2098" s="182" t="str">
        <v>CPF 2039</v>
      </c>
      <c r="J2098" s="2" t="str">
        <v>Nome 2039</v>
      </c>
      <c r="K2098" s="8" t="str">
        <v>Tel 2039</v>
      </c>
      <c r="L2098" s="8" t="str">
        <v>Cep 2039</v>
      </c>
      <c r="M2098" s="8" t="str">
        <v>Rua 2039</v>
      </c>
      <c r="N2098" s="8" t="str">
        <v>Comp 2039</v>
      </c>
      <c r="O2098" s="8" t="str">
        <v>Brinquedo Bola Giratória voadora</v>
      </c>
      <c r="P2098" s="8" t="str">
        <v>Z0-F6CI-18CL</v>
      </c>
      <c r="Q2098" s="4">
        <v>45912</v>
      </c>
      <c r="R2098" s="109">
        <v>38.99</v>
      </c>
      <c r="S2098" s="11">
        <f ca="1"/>
        <v>38.99</v>
      </c>
      <c r="T2098" s="28">
        <f ca="1"/>
        <v>4.6787999999999998</v>
      </c>
      <c r="U2098" s="11">
        <f ca="1"/>
        <v>34.31</v>
      </c>
      <c r="V2098" s="11">
        <v>25.03</v>
      </c>
      <c r="W2098" s="11">
        <f ca="1"/>
        <v>0</v>
      </c>
      <c r="X2098" s="11">
        <f ca="1"/>
        <v>0.39877104377104378</v>
      </c>
      <c r="Y2098" s="11">
        <v>0</v>
      </c>
      <c r="Z2098" s="11">
        <f ca="1"/>
        <v>8.8812289562289557</v>
      </c>
      <c r="AA2098" s="11">
        <f ca="1"/>
        <v>4.4406144781144778</v>
      </c>
      <c r="AB2098" s="4">
        <f ca="1"/>
        <v>45919</v>
      </c>
      <c r="AC2098" s="4">
        <v>45930</v>
      </c>
      <c r="AD2098" s="9" t="s">
        <v>37</v>
      </c>
      <c r="AE2098" s="9" t="s">
        <v>37</v>
      </c>
      <c r="AF2098" s="4" t="str">
        <f t="shared" ca="1" si="159"/>
        <v>2025 09</v>
      </c>
      <c r="AG2098" s="8" t="str" cm="1">
        <f t="array" ref="AG2098">IFERROR(_xlfn.IFS('Banco de Dados'!#REF!="AG. COMPRA","Em processamento",'Banco de Dados'!#REF!="AG. RASTREIO","Em processamento",'Banco de Dados'!$AE2098&lt;&gt;"-","Faturado",'Banco de Dados'!$AD2098&lt;&gt;"-","Aguardando Pix",'Banco de Dados'!$AC2098&lt;&gt;"-","Pendente"),"Aguardando Liberação")</f>
        <v>Aguardando Liberação</v>
      </c>
      <c r="AH2098" s="5" t="str">
        <f>IF('Banco de Dados'!$F2098="-",_xlfn.CONCAT(PROPER(TEXT(AK2098,"aaaa"))," ",PROPER(TEXT(AK2098,"mm"))),_xlfn.CONCAT(PROPER(TEXT(E2098,"aaaa"))," ",PROPER(TEXT(E2098,"mm"))))</f>
        <v>2025 08</v>
      </c>
      <c r="AI2098" s="9" t="str">
        <f ca="1">IF('Banco de Dados'!$AK2098&lt;&gt;"-","REEMBOLSO",IFERROR(_xlfn.XLOOKUP(G2098,Follow[CODRASTREIO],Follow[STATUS]),"-"))</f>
        <v>EM SEPARAÇÃO</v>
      </c>
      <c r="AJ2098" s="9" t="str">
        <f ca="1">IF('Banco de Dados'!$AI2098="ENTREGUE",_xlfn.XLOOKUP('Banco de Dados'!$G2098,Follow[CODRASTREIO],Follow[DATAATUALIZAÇÃO]),"-")</f>
        <v>-</v>
      </c>
      <c r="AK2098" s="132" t="str">
        <f ca="1"/>
        <v>-</v>
      </c>
      <c r="AL2098" s="35"/>
      <c r="AM2098" s="109" cm="1">
        <f t="array" aca="1" ref="AM2098" ca="1">IF('Banco de Dados'!$AK2098&lt;&gt;"-",_xlfn.IFS('Banco de Dados'!$A2098="bv",IF('Banco de Dados'!$E2098&lt;45641,ROUND(SUM('Banco de Dados'!$R2098*_xlfn.XLOOKUP('Banco de Dados'!$P2098,Sku!B:B,Sku!#REF!)*20%),2),ROUND(SUM('Banco de Dados'!$R2098*_xlfn.XLOOKUP('Banco de Dados'!$P2098,Sku!B:B,Sku!H:H)*20%),2)),'Banco de Dados'!$A2098="GO",ROUND(_xlfn.XLOOKUP('Banco de Dados'!$P2098,Sku!C:C,Sku!H:H),2),'Banco de Dados'!$A2098="MEI",ROUND(_xlfn.XLOOKUP('Banco de Dados'!$P2098,Sku!D:D,Sku!H:H),2)),0)</f>
        <v>0</v>
      </c>
      <c r="AN2098" s="109">
        <v>0</v>
      </c>
      <c r="AO2098" s="109">
        <v>0</v>
      </c>
      <c r="AP2098" s="28">
        <f ca="1">IF('Banco de Dados'!$AK2098&lt;&gt;"-",IF('Banco de Dados'!$AL2098="NÃO",IFERROR(VALUE(SUBSTITUTE(_xlfn.TEXTAFTER('Banco de Dados'!$F2098,"BRL ",1),".",",")),0),0),0)</f>
        <v>0</v>
      </c>
      <c r="AQ2098" s="28">
        <f ca="1">SUM('Banco de Dados'!$AM2098:$AP2098)</f>
        <v>0</v>
      </c>
      <c r="AR2098" s="8"/>
      <c r="AS2098" s="8"/>
      <c r="AT2098"/>
      <c r="AY2098" s="8"/>
    </row>
    <row r="2099" spans="1:51">
      <c r="A2099" s="5" t="str">
        <v>MEI</v>
      </c>
      <c r="B2099" s="5" t="str">
        <f ca="1"/>
        <v>MEI45894</v>
      </c>
      <c r="C2099" s="8" t="str">
        <v>Pedido 2085</v>
      </c>
      <c r="D2099" s="187">
        <v>45893</v>
      </c>
      <c r="E2099" s="9">
        <v>45894</v>
      </c>
      <c r="F2099" s="2" t="str">
        <v>PedidoF1968</v>
      </c>
      <c r="G2099" s="2" t="str">
        <v>CódRastreio1966</v>
      </c>
      <c r="H2099" s="5">
        <v>1</v>
      </c>
      <c r="I2099" s="182" t="str">
        <v>CPF 2040</v>
      </c>
      <c r="J2099" s="2" t="str">
        <v>Nome 2040</v>
      </c>
      <c r="K2099" s="8" t="str">
        <v>Tel 2040</v>
      </c>
      <c r="L2099" s="8" t="str">
        <v>Cep 2040</v>
      </c>
      <c r="M2099" s="8" t="str">
        <v>Rua 2040</v>
      </c>
      <c r="N2099" s="8" t="str">
        <v>Comp 2040</v>
      </c>
      <c r="O2099" s="8" t="str">
        <v>Brinquedo Bola Giratória voadora</v>
      </c>
      <c r="P2099" s="8" t="str">
        <v>Z0-F6CI-18CL</v>
      </c>
      <c r="Q2099" s="4">
        <v>45912</v>
      </c>
      <c r="R2099" s="109">
        <v>38.99</v>
      </c>
      <c r="S2099" s="11">
        <f ca="1"/>
        <v>38.99</v>
      </c>
      <c r="T2099" s="28">
        <f ca="1"/>
        <v>4.6787999999999998</v>
      </c>
      <c r="U2099" s="11">
        <f ca="1"/>
        <v>34.31</v>
      </c>
      <c r="V2099" s="11">
        <v>25.03</v>
      </c>
      <c r="W2099" s="11">
        <f ca="1"/>
        <v>0</v>
      </c>
      <c r="X2099" s="11">
        <f ca="1"/>
        <v>0.39877104377104378</v>
      </c>
      <c r="Y2099" s="11">
        <v>0</v>
      </c>
      <c r="Z2099" s="11">
        <f ca="1"/>
        <v>8.8812289562289557</v>
      </c>
      <c r="AA2099" s="11">
        <f ca="1"/>
        <v>4.4406144781144778</v>
      </c>
      <c r="AB2099" s="4">
        <f ca="1"/>
        <v>45919</v>
      </c>
      <c r="AC2099" s="4">
        <v>45930</v>
      </c>
      <c r="AD2099" s="9" t="s">
        <v>37</v>
      </c>
      <c r="AE2099" s="9" t="s">
        <v>37</v>
      </c>
      <c r="AF2099" s="4" t="str">
        <f t="shared" ca="1" si="159"/>
        <v>2025 09</v>
      </c>
      <c r="AG2099" s="8" t="str" cm="1">
        <f t="array" ref="AG2099">IFERROR(_xlfn.IFS('Banco de Dados'!#REF!="AG. COMPRA","Em processamento",'Banco de Dados'!#REF!="AG. RASTREIO","Em processamento",'Banco de Dados'!$AE2099&lt;&gt;"-","Faturado",'Banco de Dados'!$AD2099&lt;&gt;"-","Aguardando Pix",'Banco de Dados'!$AC2099&lt;&gt;"-","Pendente"),"Aguardando Liberação")</f>
        <v>Aguardando Liberação</v>
      </c>
      <c r="AH2099" s="5" t="str">
        <f>IF('Banco de Dados'!$F2099="-",_xlfn.CONCAT(PROPER(TEXT(AK2099,"aaaa"))," ",PROPER(TEXT(AK2099,"mm"))),_xlfn.CONCAT(PROPER(TEXT(E2099,"aaaa"))," ",PROPER(TEXT(E2099,"mm"))))</f>
        <v>2025 08</v>
      </c>
      <c r="AI2099" s="9" t="str">
        <f ca="1">IF('Banco de Dados'!$AK2099&lt;&gt;"-","REEMBOLSO",IFERROR(_xlfn.XLOOKUP(G2099,Follow[CODRASTREIO],Follow[STATUS]),"-"))</f>
        <v>EM SEPARAÇÃO</v>
      </c>
      <c r="AJ2099" s="9" t="str">
        <f ca="1">IF('Banco de Dados'!$AI2099="ENTREGUE",_xlfn.XLOOKUP('Banco de Dados'!$G2099,Follow[CODRASTREIO],Follow[DATAATUALIZAÇÃO]),"-")</f>
        <v>-</v>
      </c>
      <c r="AK2099" s="132" t="str">
        <f ca="1"/>
        <v>-</v>
      </c>
      <c r="AL2099" s="35"/>
      <c r="AM2099" s="109" cm="1">
        <f t="array" aca="1" ref="AM2099" ca="1">IF('Banco de Dados'!$AK2099&lt;&gt;"-",_xlfn.IFS('Banco de Dados'!$A2099="bv",IF('Banco de Dados'!$E2099&lt;45641,ROUND(SUM('Banco de Dados'!$R2099*_xlfn.XLOOKUP('Banco de Dados'!$P2099,Sku!B:B,Sku!#REF!)*20%),2),ROUND(SUM('Banco de Dados'!$R2099*_xlfn.XLOOKUP('Banco de Dados'!$P2099,Sku!B:B,Sku!H:H)*20%),2)),'Banco de Dados'!$A2099="GO",ROUND(_xlfn.XLOOKUP('Banco de Dados'!$P2099,Sku!C:C,Sku!H:H),2),'Banco de Dados'!$A2099="MEI",ROUND(_xlfn.XLOOKUP('Banco de Dados'!$P2099,Sku!D:D,Sku!H:H),2)),0)</f>
        <v>0</v>
      </c>
      <c r="AN2099" s="109">
        <v>0</v>
      </c>
      <c r="AO2099" s="109">
        <v>0</v>
      </c>
      <c r="AP2099" s="28">
        <f ca="1">IF('Banco de Dados'!$AK2099&lt;&gt;"-",IF('Banco de Dados'!$AL2099="NÃO",IFERROR(VALUE(SUBSTITUTE(_xlfn.TEXTAFTER('Banco de Dados'!$F2099,"BRL ",1),".",",")),0),0),0)</f>
        <v>0</v>
      </c>
      <c r="AQ2099" s="28">
        <f ca="1">SUM('Banco de Dados'!$AM2099:$AP2099)</f>
        <v>0</v>
      </c>
      <c r="AR2099" s="8"/>
      <c r="AS2099" s="8"/>
      <c r="AT2099"/>
      <c r="AY2099" s="8"/>
    </row>
    <row r="2100" spans="1:51">
      <c r="A2100" s="5" t="str">
        <v>GO</v>
      </c>
      <c r="B2100" s="5" t="str">
        <f ca="1"/>
        <v>GO45895</v>
      </c>
      <c r="C2100" s="8" t="str">
        <v>Pedido 2086</v>
      </c>
      <c r="D2100" s="187">
        <v>45894</v>
      </c>
      <c r="E2100" s="9">
        <v>45895</v>
      </c>
      <c r="F2100" s="2" t="str">
        <v>PedidoF1969</v>
      </c>
      <c r="G2100" s="2" t="str">
        <v>CódRastreio1967</v>
      </c>
      <c r="H2100" s="5">
        <v>1</v>
      </c>
      <c r="I2100" s="182" t="str">
        <v>CPF 2041</v>
      </c>
      <c r="J2100" s="2" t="str">
        <v>Nome 2041</v>
      </c>
      <c r="K2100" s="8" t="str">
        <v>Tel 2041</v>
      </c>
      <c r="L2100" s="8" t="str">
        <v>Cep 2041</v>
      </c>
      <c r="M2100" s="8" t="str">
        <v>Rua 2041</v>
      </c>
      <c r="N2100" s="8" t="str">
        <v>Comp 2041</v>
      </c>
      <c r="O2100" s="8" t="str">
        <v>Brinquedo Bola Giratória voadora</v>
      </c>
      <c r="P2100" s="8" t="str">
        <v>EL-YKJD-0WWL</v>
      </c>
      <c r="Q2100" s="4">
        <v>45912</v>
      </c>
      <c r="R2100" s="109">
        <v>38.99</v>
      </c>
      <c r="S2100" s="11">
        <f ca="1"/>
        <v>38.99</v>
      </c>
      <c r="T2100" s="28">
        <f ca="1"/>
        <v>4.6787999999999998</v>
      </c>
      <c r="U2100" s="11">
        <f ca="1"/>
        <v>34.31</v>
      </c>
      <c r="V2100" s="11">
        <v>26.34</v>
      </c>
      <c r="W2100" s="11">
        <f ca="1"/>
        <v>0</v>
      </c>
      <c r="X2100" s="11">
        <f ca="1"/>
        <v>0.39877104377104378</v>
      </c>
      <c r="Y2100" s="11">
        <v>0</v>
      </c>
      <c r="Z2100" s="11">
        <f ca="1"/>
        <v>7.571228956228957</v>
      </c>
      <c r="AA2100" s="11">
        <f ca="1"/>
        <v>7.571228956228957</v>
      </c>
      <c r="AB2100" s="4">
        <f ca="1"/>
        <v>45919</v>
      </c>
      <c r="AC2100" s="4">
        <v>45930</v>
      </c>
      <c r="AD2100" s="9" t="s">
        <v>37</v>
      </c>
      <c r="AE2100" s="9" t="s">
        <v>37</v>
      </c>
      <c r="AF2100" s="4" t="str">
        <f t="shared" ref="AF2100" ca="1" si="160">_xlfn.CONCAT(PROPER(TEXT(AB2100,"aaaa"))," ",PROPER(TEXT(AB2100,"mm")))</f>
        <v>2025 09</v>
      </c>
      <c r="AG2100" s="8" t="str" cm="1">
        <f t="array" ref="AG2100">IFERROR(_xlfn.IFS('Banco de Dados'!#REF!="AG. COMPRA","Em processamento",'Banco de Dados'!#REF!="AG. RASTREIO","Em processamento",'Banco de Dados'!$AE2100&lt;&gt;"-","Faturado",'Banco de Dados'!$AD2100&lt;&gt;"-","Aguardando Pix",'Banco de Dados'!$AC2100&lt;&gt;"-","Pendente"),"Aguardando Liberação")</f>
        <v>Aguardando Liberação</v>
      </c>
      <c r="AH2100" s="5" t="str">
        <f>IF('Banco de Dados'!$F2100="-",_xlfn.CONCAT(PROPER(TEXT(AK2100,"aaaa"))," ",PROPER(TEXT(AK2100,"mm"))),_xlfn.CONCAT(PROPER(TEXT(E2100,"aaaa"))," ",PROPER(TEXT(E2100,"mm"))))</f>
        <v>2025 08</v>
      </c>
      <c r="AI2100" s="9" t="str">
        <f ca="1">IF('Banco de Dados'!$AK2100&lt;&gt;"-","REEMBOLSO",IFERROR(_xlfn.XLOOKUP(G2100,Follow[CODRASTREIO],Follow[STATUS]),"-"))</f>
        <v>EM SEPARAÇÃO</v>
      </c>
      <c r="AJ2100" s="9" t="str">
        <f ca="1">IF('Banco de Dados'!$AI2100="ENTREGUE",_xlfn.XLOOKUP('Banco de Dados'!$G2100,Follow[CODRASTREIO],Follow[DATAATUALIZAÇÃO]),"-")</f>
        <v>-</v>
      </c>
      <c r="AK2100" s="132" t="str">
        <f ca="1"/>
        <v>-</v>
      </c>
      <c r="AL2100" s="35"/>
      <c r="AM2100" s="109" cm="1">
        <f t="array" aca="1" ref="AM2100" ca="1">IF('Banco de Dados'!$AK2100&lt;&gt;"-",_xlfn.IFS('Banco de Dados'!$A2100="bv",IF('Banco de Dados'!$E2100&lt;45641,ROUND(SUM('Banco de Dados'!$R2100*_xlfn.XLOOKUP('Banco de Dados'!$P2100,Sku!B:B,Sku!#REF!)*20%),2),ROUND(SUM('Banco de Dados'!$R2100*_xlfn.XLOOKUP('Banco de Dados'!$P2100,Sku!B:B,Sku!H:H)*20%),2)),'Banco de Dados'!$A2100="GO",ROUND(_xlfn.XLOOKUP('Banco de Dados'!$P2100,Sku!C:C,Sku!H:H),2),'Banco de Dados'!$A2100="MEI",ROUND(_xlfn.XLOOKUP('Banco de Dados'!$P2100,Sku!D:D,Sku!H:H),2)),0)</f>
        <v>0</v>
      </c>
      <c r="AN2100" s="109">
        <v>0</v>
      </c>
      <c r="AO2100" s="109">
        <v>0</v>
      </c>
      <c r="AP2100" s="28">
        <f ca="1">IF('Banco de Dados'!$AK2100&lt;&gt;"-",IF('Banco de Dados'!$AL2100="NÃO",IFERROR(VALUE(SUBSTITUTE(_xlfn.TEXTAFTER('Banco de Dados'!$F2100,"BRL ",1),".",",")),0),0),0)</f>
        <v>0</v>
      </c>
      <c r="AQ2100" s="28">
        <f ca="1">SUM('Banco de Dados'!$AM2100:$AP2100)</f>
        <v>0</v>
      </c>
      <c r="AR2100" s="8"/>
      <c r="AS2100" s="8"/>
      <c r="AT2100"/>
      <c r="AY2100" s="8"/>
    </row>
    <row r="2101" spans="1:51">
      <c r="A2101" s="5" t="str">
        <v>MEI</v>
      </c>
      <c r="B2101" s="5" t="str">
        <f ca="1"/>
        <v>MEI45897</v>
      </c>
      <c r="C2101" s="8" t="str">
        <v>Pedido 2087</v>
      </c>
      <c r="D2101" s="187">
        <v>45896</v>
      </c>
      <c r="E2101" s="9">
        <v>45897</v>
      </c>
      <c r="F2101" s="2" t="str">
        <v>PedidoF1970</v>
      </c>
      <c r="G2101" s="2" t="str">
        <v>CódRastreio1968</v>
      </c>
      <c r="H2101" s="5">
        <v>1</v>
      </c>
      <c r="I2101" s="182" t="str">
        <v>CPF 2042</v>
      </c>
      <c r="J2101" s="2" t="str">
        <v>Nome 2042</v>
      </c>
      <c r="K2101" s="8" t="str">
        <v>Tel 2042</v>
      </c>
      <c r="L2101" s="8" t="str">
        <v>Cep 2042</v>
      </c>
      <c r="M2101" s="8" t="str">
        <v>Rua 2042</v>
      </c>
      <c r="N2101" s="8" t="str">
        <v>Comp 2042</v>
      </c>
      <c r="O2101" s="8" t="str">
        <v>Brinquedo Bola Giratória voadora</v>
      </c>
      <c r="P2101" s="8" t="str">
        <v>Z0-F6CI-18CL</v>
      </c>
      <c r="Q2101" s="4">
        <v>45917</v>
      </c>
      <c r="R2101" s="109">
        <v>49.99</v>
      </c>
      <c r="S2101" s="11">
        <f ca="1"/>
        <v>49.99</v>
      </c>
      <c r="T2101" s="28">
        <f ca="1"/>
        <v>5.9988000000000001</v>
      </c>
      <c r="U2101" s="11">
        <f ca="1"/>
        <v>43.99</v>
      </c>
      <c r="V2101" s="11">
        <v>24.4</v>
      </c>
      <c r="W2101" s="11">
        <f ca="1"/>
        <v>0</v>
      </c>
      <c r="X2101" s="11">
        <f ca="1"/>
        <v>0.39877104377104378</v>
      </c>
      <c r="Y2101" s="11">
        <v>0</v>
      </c>
      <c r="Z2101" s="11">
        <f ca="1"/>
        <v>19.191228956228958</v>
      </c>
      <c r="AA2101" s="11">
        <f ca="1"/>
        <v>9.595614478114479</v>
      </c>
      <c r="AB2101" s="4">
        <f ca="1"/>
        <v>45924</v>
      </c>
      <c r="AC2101" s="4">
        <v>45930</v>
      </c>
      <c r="AD2101" s="9" t="s">
        <v>37</v>
      </c>
      <c r="AE2101" s="9" t="s">
        <v>37</v>
      </c>
      <c r="AF2101" s="4" t="str">
        <f t="shared" ref="AF2101:AF2102" ca="1" si="161">_xlfn.CONCAT(PROPER(TEXT(AB2101,"aaaa"))," ",PROPER(TEXT(AB2101,"mm")))</f>
        <v>2025 09</v>
      </c>
      <c r="AG2101" s="8" t="str" cm="1">
        <f t="array" ref="AG2101">IFERROR(_xlfn.IFS('Banco de Dados'!#REF!="AG. COMPRA","Em processamento",'Banco de Dados'!#REF!="AG. RASTREIO","Em processamento",'Banco de Dados'!$AE2101&lt;&gt;"-","Faturado",'Banco de Dados'!$AD2101&lt;&gt;"-","Aguardando Pix",'Banco de Dados'!$AC2101&lt;&gt;"-","Pendente"),"Aguardando Liberação")</f>
        <v>Aguardando Liberação</v>
      </c>
      <c r="AH2101" s="5" t="str">
        <f>IF('Banco de Dados'!$F2101="-",_xlfn.CONCAT(PROPER(TEXT(AK2101,"aaaa"))," ",PROPER(TEXT(AK2101,"mm"))),_xlfn.CONCAT(PROPER(TEXT(E2101,"aaaa"))," ",PROPER(TEXT(E2101,"mm"))))</f>
        <v>2025 08</v>
      </c>
      <c r="AI2101" s="9" t="str">
        <f ca="1">IF('Banco de Dados'!$AK2101&lt;&gt;"-","REEMBOLSO",IFERROR(_xlfn.XLOOKUP(G2101,Follow[CODRASTREIO],Follow[STATUS]),"-"))</f>
        <v>EM SEPARAÇÃO</v>
      </c>
      <c r="AJ2101" s="9" t="str">
        <f ca="1">IF('Banco de Dados'!$AI2101="ENTREGUE",_xlfn.XLOOKUP('Banco de Dados'!$G2101,Follow[CODRASTREIO],Follow[DATAATUALIZAÇÃO]),"-")</f>
        <v>-</v>
      </c>
      <c r="AK2101" s="132" t="str">
        <f ca="1"/>
        <v>-</v>
      </c>
      <c r="AL2101" s="35"/>
      <c r="AM2101" s="109" cm="1">
        <f t="array" aca="1" ref="AM2101" ca="1">IF('Banco de Dados'!$AK2101&lt;&gt;"-",_xlfn.IFS('Banco de Dados'!$A2101="bv",IF('Banco de Dados'!$E2101&lt;45641,ROUND(SUM('Banco de Dados'!$R2101*_xlfn.XLOOKUP('Banco de Dados'!$P2101,Sku!B:B,Sku!#REF!)*20%),2),ROUND(SUM('Banco de Dados'!$R2101*_xlfn.XLOOKUP('Banco de Dados'!$P2101,Sku!B:B,Sku!H:H)*20%),2)),'Banco de Dados'!$A2101="GO",ROUND(_xlfn.XLOOKUP('Banco de Dados'!$P2101,Sku!C:C,Sku!H:H),2),'Banco de Dados'!$A2101="MEI",ROUND(_xlfn.XLOOKUP('Banco de Dados'!$P2101,Sku!D:D,Sku!H:H),2)),0)</f>
        <v>0</v>
      </c>
      <c r="AN2101" s="109">
        <v>0</v>
      </c>
      <c r="AO2101" s="109">
        <v>0</v>
      </c>
      <c r="AP2101" s="28">
        <f ca="1">IF('Banco de Dados'!$AK2101&lt;&gt;"-",IF('Banco de Dados'!$AL2101="NÃO",IFERROR(VALUE(SUBSTITUTE(_xlfn.TEXTAFTER('Banco de Dados'!$F2101,"BRL ",1),".",",")),0),0),0)</f>
        <v>0</v>
      </c>
      <c r="AQ2101" s="28">
        <f ca="1">SUM('Banco de Dados'!$AM2101:$AP2101)</f>
        <v>0</v>
      </c>
      <c r="AR2101" s="8"/>
      <c r="AS2101" s="8"/>
      <c r="AT2101"/>
      <c r="AY2101" s="8"/>
    </row>
    <row r="2102" spans="1:51">
      <c r="A2102" s="5" t="str">
        <v>MEI</v>
      </c>
      <c r="B2102" s="5" t="str">
        <f ca="1"/>
        <v>MEI45898</v>
      </c>
      <c r="C2102" s="8" t="str">
        <v>Pedido 2088</v>
      </c>
      <c r="D2102" s="187">
        <v>45896</v>
      </c>
      <c r="E2102" s="9">
        <v>45898</v>
      </c>
      <c r="F2102" s="2" t="str">
        <v>PedidoF1971</v>
      </c>
      <c r="G2102" s="2" t="str">
        <v>CódRastreio1969</v>
      </c>
      <c r="H2102" s="5">
        <v>1</v>
      </c>
      <c r="I2102" s="182" t="str">
        <v>CPF 2043</v>
      </c>
      <c r="J2102" s="2" t="str">
        <v>Nome 2043</v>
      </c>
      <c r="K2102" s="8" t="str">
        <v>Tel 2043</v>
      </c>
      <c r="L2102" s="8" t="str">
        <v>Cep 2043</v>
      </c>
      <c r="M2102" s="8" t="str">
        <v>Rua 2043</v>
      </c>
      <c r="N2102" s="8" t="str">
        <v>Comp 2043</v>
      </c>
      <c r="O2102" s="8" t="str">
        <v>Ventilador Rosa</v>
      </c>
      <c r="P2102" s="8" t="str">
        <v>WR-82Y0-OV27</v>
      </c>
      <c r="Q2102" s="4">
        <v>45917</v>
      </c>
      <c r="R2102" s="109">
        <v>50.99</v>
      </c>
      <c r="S2102" s="11">
        <f ca="1"/>
        <v>50.99</v>
      </c>
      <c r="T2102" s="28">
        <f ca="1"/>
        <v>6.1188000000000002</v>
      </c>
      <c r="U2102" s="11">
        <f ca="1"/>
        <v>44.87</v>
      </c>
      <c r="V2102" s="11">
        <v>36.619999999999997</v>
      </c>
      <c r="W2102" s="11">
        <f ca="1"/>
        <v>0</v>
      </c>
      <c r="X2102" s="11">
        <f ca="1"/>
        <v>0.39877104377104378</v>
      </c>
      <c r="Y2102" s="11">
        <v>0</v>
      </c>
      <c r="Z2102" s="11">
        <f ca="1"/>
        <v>7.8512289562289581</v>
      </c>
      <c r="AA2102" s="11">
        <f ca="1"/>
        <v>3.9256144781144791</v>
      </c>
      <c r="AB2102" s="4">
        <f ca="1"/>
        <v>45924</v>
      </c>
      <c r="AC2102" s="4">
        <v>45930</v>
      </c>
      <c r="AD2102" s="9" t="s">
        <v>37</v>
      </c>
      <c r="AE2102" s="9" t="s">
        <v>37</v>
      </c>
      <c r="AF2102" s="4" t="str">
        <f t="shared" ca="1" si="161"/>
        <v>2025 09</v>
      </c>
      <c r="AG2102" s="8" t="str" cm="1">
        <f t="array" ref="AG2102">IFERROR(_xlfn.IFS('Banco de Dados'!#REF!="AG. COMPRA","Em processamento",'Banco de Dados'!#REF!="AG. RASTREIO","Em processamento",'Banco de Dados'!$AE2102&lt;&gt;"-","Faturado",'Banco de Dados'!$AD2102&lt;&gt;"-","Aguardando Pix",'Banco de Dados'!$AC2102&lt;&gt;"-","Pendente"),"Aguardando Liberação")</f>
        <v>Aguardando Liberação</v>
      </c>
      <c r="AH2102" s="5" t="str">
        <f>IF('Banco de Dados'!$F2102="-",_xlfn.CONCAT(PROPER(TEXT(AK2102,"aaaa"))," ",PROPER(TEXT(AK2102,"mm"))),_xlfn.CONCAT(PROPER(TEXT(E2102,"aaaa"))," ",PROPER(TEXT(E2102,"mm"))))</f>
        <v>2025 08</v>
      </c>
      <c r="AI2102" s="9" t="str">
        <f ca="1">IF('Banco de Dados'!$AK2102&lt;&gt;"-","REEMBOLSO",IFERROR(_xlfn.XLOOKUP(G2102,Follow[CODRASTREIO],Follow[STATUS]),"-"))</f>
        <v>EM SEPARAÇÃO</v>
      </c>
      <c r="AJ2102" s="9" t="str">
        <f ca="1">IF('Banco de Dados'!$AI2102="ENTREGUE",_xlfn.XLOOKUP('Banco de Dados'!$G2102,Follow[CODRASTREIO],Follow[DATAATUALIZAÇÃO]),"-")</f>
        <v>-</v>
      </c>
      <c r="AK2102" s="132" t="str">
        <f ca="1"/>
        <v>-</v>
      </c>
      <c r="AL2102" s="35"/>
      <c r="AM2102" s="109" cm="1">
        <f t="array" aca="1" ref="AM2102" ca="1">IF('Banco de Dados'!$AK2102&lt;&gt;"-",_xlfn.IFS('Banco de Dados'!$A2102="bv",IF('Banco de Dados'!$E2102&lt;45641,ROUND(SUM('Banco de Dados'!$R2102*_xlfn.XLOOKUP('Banco de Dados'!$P2102,Sku!B:B,Sku!#REF!)*20%),2),ROUND(SUM('Banco de Dados'!$R2102*_xlfn.XLOOKUP('Banco de Dados'!$P2102,Sku!B:B,Sku!H:H)*20%),2)),'Banco de Dados'!$A2102="GO",ROUND(_xlfn.XLOOKUP('Banco de Dados'!$P2102,Sku!C:C,Sku!H:H),2),'Banco de Dados'!$A2102="MEI",ROUND(_xlfn.XLOOKUP('Banco de Dados'!$P2102,Sku!D:D,Sku!H:H),2)),0)</f>
        <v>0</v>
      </c>
      <c r="AN2102" s="109">
        <v>0</v>
      </c>
      <c r="AO2102" s="109">
        <v>0</v>
      </c>
      <c r="AP2102" s="28">
        <f ca="1">IF('Banco de Dados'!$AK2102&lt;&gt;"-",IF('Banco de Dados'!$AL2102="NÃO",IFERROR(VALUE(SUBSTITUTE(_xlfn.TEXTAFTER('Banco de Dados'!$F2102,"BRL ",1),".",",")),0),0),0)</f>
        <v>0</v>
      </c>
      <c r="AQ2102" s="28">
        <f ca="1">SUM('Banco de Dados'!$AM2102:$AP2102)</f>
        <v>0</v>
      </c>
      <c r="AR2102" s="8"/>
      <c r="AS2102" s="8"/>
      <c r="AT2102"/>
      <c r="AY2102" s="8"/>
    </row>
    <row r="2103" spans="1:51">
      <c r="A2103" s="5" t="str">
        <v>MEI</v>
      </c>
      <c r="B2103" s="5" t="str">
        <f ca="1"/>
        <v>MEI45902</v>
      </c>
      <c r="C2103" s="8" t="str">
        <v>Pedido 2089</v>
      </c>
      <c r="D2103" s="187">
        <v>45898</v>
      </c>
      <c r="E2103" s="9">
        <v>45902</v>
      </c>
      <c r="F2103" s="2" t="str">
        <v>PedidoF1972</v>
      </c>
      <c r="G2103" s="2" t="str">
        <v>CódRastreio1970</v>
      </c>
      <c r="H2103" s="5">
        <v>1</v>
      </c>
      <c r="I2103" s="182" t="str">
        <v>CPF 2044</v>
      </c>
      <c r="J2103" s="2" t="str">
        <v>Nome 2044</v>
      </c>
      <c r="K2103" s="8" t="str">
        <v>Tel 2044</v>
      </c>
      <c r="L2103" s="8" t="str">
        <v>Cep 2044</v>
      </c>
      <c r="M2103" s="8" t="str">
        <v>Rua 2044</v>
      </c>
      <c r="N2103" s="8" t="str">
        <v>Comp 2044</v>
      </c>
      <c r="O2103" s="8" t="str">
        <v>Ventilador Rosa</v>
      </c>
      <c r="P2103" s="8" t="str">
        <v>WR-82Y0-OV27</v>
      </c>
      <c r="Q2103" s="4">
        <v>45925</v>
      </c>
      <c r="R2103" s="109">
        <v>50.99</v>
      </c>
      <c r="S2103" s="11">
        <f ca="1"/>
        <v>0</v>
      </c>
      <c r="T2103" s="28">
        <f ca="1"/>
        <v>0</v>
      </c>
      <c r="U2103" s="11">
        <f ca="1"/>
        <v>0</v>
      </c>
      <c r="V2103" s="11">
        <v>0</v>
      </c>
      <c r="W2103" s="11">
        <f ca="1"/>
        <v>0</v>
      </c>
      <c r="X2103" s="11">
        <f ca="1"/>
        <v>0.39877104377104378</v>
      </c>
      <c r="Y2103" s="11">
        <v>0</v>
      </c>
      <c r="Z2103" s="11">
        <f ca="1"/>
        <v>-0.39877104377104378</v>
      </c>
      <c r="AA2103" s="11">
        <f ca="1"/>
        <v>-0.19938552188552189</v>
      </c>
      <c r="AB2103" s="4">
        <f ca="1"/>
        <v>45932</v>
      </c>
      <c r="AC2103" s="4" t="s">
        <v>37</v>
      </c>
      <c r="AD2103" s="9" t="s">
        <v>37</v>
      </c>
      <c r="AE2103" s="9" t="s">
        <v>37</v>
      </c>
      <c r="AF2103" s="4" t="str">
        <f t="shared" ref="AF2103:AF2107" ca="1" si="162">_xlfn.CONCAT(PROPER(TEXT(AB2103,"aaaa"))," ",PROPER(TEXT(AB2103,"mm")))</f>
        <v>2025 10</v>
      </c>
      <c r="AG2103" s="8" t="str" cm="1">
        <f t="array" ref="AG2103">IFERROR(_xlfn.IFS('Banco de Dados'!#REF!="AG. COMPRA","Em processamento",'Banco de Dados'!#REF!="AG. RASTREIO","Em processamento",'Banco de Dados'!$AE2103&lt;&gt;"-","Faturado",'Banco de Dados'!$AD2103&lt;&gt;"-","Aguardando Pix",'Banco de Dados'!$AC2103&lt;&gt;"-","Pendente"),"Aguardando Liberação")</f>
        <v>Aguardando Liberação</v>
      </c>
      <c r="AH2103" s="5" t="str">
        <f>IF('Banco de Dados'!$F2103="-",_xlfn.CONCAT(PROPER(TEXT(AK2103,"aaaa"))," ",PROPER(TEXT(AK2103,"mm"))),_xlfn.CONCAT(PROPER(TEXT(E2103,"aaaa"))," ",PROPER(TEXT(E2103,"mm"))))</f>
        <v>2025 09</v>
      </c>
      <c r="AI2103" s="9" t="str">
        <f ca="1">IF('Banco de Dados'!$AK2103&lt;&gt;"-","REEMBOLSO",IFERROR(_xlfn.XLOOKUP(G2103,Follow[CODRASTREIO],Follow[STATUS]),"-"))</f>
        <v>REEMBOLSO</v>
      </c>
      <c r="AJ2103" s="9" t="str">
        <f ca="1">IF('Banco de Dados'!$AI2103="ENTREGUE",_xlfn.XLOOKUP('Banco de Dados'!$G2103,Follow[CODRASTREIO],Follow[DATAATUALIZAÇÃO]),"-")</f>
        <v>-</v>
      </c>
      <c r="AK2103" s="132">
        <f ca="1"/>
        <v>45944</v>
      </c>
      <c r="AL2103" s="35"/>
      <c r="AM2103" s="109" cm="1">
        <f t="array" aca="1" ref="AM2103" ca="1">IF('Banco de Dados'!$AK2103&lt;&gt;"-",_xlfn.IFS('Banco de Dados'!$A2103="bv",IF('Banco de Dados'!$E2103&lt;45641,ROUND(SUM('Banco de Dados'!$R2103*_xlfn.XLOOKUP('Banco de Dados'!$P2103,Sku!B:B,Sku!#REF!)*20%),2),ROUND(SUM('Banco de Dados'!$R2103*_xlfn.XLOOKUP('Banco de Dados'!$P2103,Sku!B:B,Sku!H:H)*20%),2)),'Banco de Dados'!$A2103="GO",ROUND(_xlfn.XLOOKUP('Banco de Dados'!$P2103,Sku!C:C,Sku!H:H),2),'Banco de Dados'!$A2103="MEI",ROUND(_xlfn.XLOOKUP('Banco de Dados'!$P2103,Sku!D:D,Sku!H:H),2)),0)</f>
        <v>0.13</v>
      </c>
      <c r="AN2103" s="109">
        <v>0</v>
      </c>
      <c r="AO2103" s="109">
        <v>0</v>
      </c>
      <c r="AP2103" s="28">
        <f ca="1">IF('Banco de Dados'!$AK2103&lt;&gt;"-",IF('Banco de Dados'!$AL2103="NÃO",IFERROR(VALUE(SUBSTITUTE(_xlfn.TEXTAFTER('Banco de Dados'!$F2103,"BRL ",1),".",",")),0),0),0)</f>
        <v>0</v>
      </c>
      <c r="AQ2103" s="28">
        <f ca="1">SUM('Banco de Dados'!$AM2103:$AP2103)</f>
        <v>0.13</v>
      </c>
      <c r="AR2103" s="8"/>
      <c r="AS2103" s="8"/>
      <c r="AT2103"/>
      <c r="AY2103" s="8"/>
    </row>
    <row r="2104" spans="1:51">
      <c r="A2104" s="5" t="str">
        <v>MEI</v>
      </c>
      <c r="B2104" s="5" t="str">
        <f ca="1"/>
        <v>MEI45902</v>
      </c>
      <c r="C2104" s="8" t="str">
        <v>Pedido 2090</v>
      </c>
      <c r="D2104" s="187">
        <v>45902</v>
      </c>
      <c r="E2104" s="9">
        <v>45902</v>
      </c>
      <c r="F2104" s="2" t="str">
        <v>PedidoF1973</v>
      </c>
      <c r="G2104" s="2" t="str">
        <v>CódRastreio1971</v>
      </c>
      <c r="H2104" s="5">
        <v>1</v>
      </c>
      <c r="I2104" s="182" t="str">
        <v>CPF 2045</v>
      </c>
      <c r="J2104" s="2" t="str">
        <v>Nome 2045</v>
      </c>
      <c r="K2104" s="8" t="str">
        <v>Tel 2045</v>
      </c>
      <c r="L2104" s="8" t="str">
        <v>Cep 2045</v>
      </c>
      <c r="M2104" s="8" t="str">
        <v>Rua 2045</v>
      </c>
      <c r="N2104" s="8" t="str">
        <v>Comp 2045</v>
      </c>
      <c r="O2104" s="8" t="str">
        <v>Brinquedo Bola Giratória voadora</v>
      </c>
      <c r="P2104" s="8" t="str">
        <v>Z0-F6CI-18CL</v>
      </c>
      <c r="Q2104" s="4">
        <v>45923</v>
      </c>
      <c r="R2104" s="109">
        <v>49.99</v>
      </c>
      <c r="S2104" s="11">
        <f ca="1"/>
        <v>49.99</v>
      </c>
      <c r="T2104" s="28">
        <f ca="1"/>
        <v>5.9988000000000001</v>
      </c>
      <c r="U2104" s="11">
        <f ca="1"/>
        <v>43.99</v>
      </c>
      <c r="V2104" s="11">
        <v>24.97</v>
      </c>
      <c r="W2104" s="11">
        <f ca="1"/>
        <v>0</v>
      </c>
      <c r="X2104" s="11">
        <f ca="1"/>
        <v>0.39877104377104378</v>
      </c>
      <c r="Y2104" s="11">
        <v>0</v>
      </c>
      <c r="Z2104" s="11">
        <f ca="1"/>
        <v>18.621228956228958</v>
      </c>
      <c r="AA2104" s="11">
        <f ca="1"/>
        <v>9.3106144781144788</v>
      </c>
      <c r="AB2104" s="4">
        <f ca="1"/>
        <v>45930</v>
      </c>
      <c r="AC2104" s="4">
        <v>45930</v>
      </c>
      <c r="AD2104" s="9" t="s">
        <v>37</v>
      </c>
      <c r="AE2104" s="9" t="s">
        <v>37</v>
      </c>
      <c r="AF2104" s="4" t="str">
        <f t="shared" ca="1" si="162"/>
        <v>2025 09</v>
      </c>
      <c r="AG2104" s="8" t="str" cm="1">
        <f t="array" ref="AG2104">IFERROR(_xlfn.IFS('Banco de Dados'!#REF!="AG. COMPRA","Em processamento",'Banco de Dados'!#REF!="AG. RASTREIO","Em processamento",'Banco de Dados'!$AE2104&lt;&gt;"-","Faturado",'Banco de Dados'!$AD2104&lt;&gt;"-","Aguardando Pix",'Banco de Dados'!$AC2104&lt;&gt;"-","Pendente"),"Aguardando Liberação")</f>
        <v>Aguardando Liberação</v>
      </c>
      <c r="AH2104" s="5" t="str">
        <f>IF('Banco de Dados'!$F2104="-",_xlfn.CONCAT(PROPER(TEXT(AK2104,"aaaa"))," ",PROPER(TEXT(AK2104,"mm"))),_xlfn.CONCAT(PROPER(TEXT(E2104,"aaaa"))," ",PROPER(TEXT(E2104,"mm"))))</f>
        <v>2025 09</v>
      </c>
      <c r="AI2104" s="9" t="str">
        <f ca="1">IF('Banco de Dados'!$AK2104&lt;&gt;"-","REEMBOLSO",IFERROR(_xlfn.XLOOKUP(G2104,Follow[CODRASTREIO],Follow[STATUS]),"-"))</f>
        <v>EM SEPARAÇÃO</v>
      </c>
      <c r="AJ2104" s="9" t="str">
        <f ca="1">IF('Banco de Dados'!$AI2104="ENTREGUE",_xlfn.XLOOKUP('Banco de Dados'!$G2104,Follow[CODRASTREIO],Follow[DATAATUALIZAÇÃO]),"-")</f>
        <v>-</v>
      </c>
      <c r="AK2104" s="132" t="str">
        <f ca="1"/>
        <v>-</v>
      </c>
      <c r="AL2104" s="35"/>
      <c r="AM2104" s="109" cm="1">
        <f t="array" aca="1" ref="AM2104" ca="1">IF('Banco de Dados'!$AK2104&lt;&gt;"-",_xlfn.IFS('Banco de Dados'!$A2104="bv",IF('Banco de Dados'!$E2104&lt;45641,ROUND(SUM('Banco de Dados'!$R2104*_xlfn.XLOOKUP('Banco de Dados'!$P2104,Sku!B:B,Sku!#REF!)*20%),2),ROUND(SUM('Banco de Dados'!$R2104*_xlfn.XLOOKUP('Banco de Dados'!$P2104,Sku!B:B,Sku!H:H)*20%),2)),'Banco de Dados'!$A2104="GO",ROUND(_xlfn.XLOOKUP('Banco de Dados'!$P2104,Sku!C:C,Sku!H:H),2),'Banco de Dados'!$A2104="MEI",ROUND(_xlfn.XLOOKUP('Banco de Dados'!$P2104,Sku!D:D,Sku!H:H),2)),0)</f>
        <v>0</v>
      </c>
      <c r="AN2104" s="109">
        <v>0</v>
      </c>
      <c r="AO2104" s="109">
        <v>0</v>
      </c>
      <c r="AP2104" s="28">
        <f ca="1">IF('Banco de Dados'!$AK2104&lt;&gt;"-",IF('Banco de Dados'!$AL2104="NÃO",IFERROR(VALUE(SUBSTITUTE(_xlfn.TEXTAFTER('Banco de Dados'!$F2104,"BRL ",1),".",",")),0),0),0)</f>
        <v>0</v>
      </c>
      <c r="AQ2104" s="28">
        <f ca="1">SUM('Banco de Dados'!$AM2104:$AP2104)</f>
        <v>0</v>
      </c>
      <c r="AR2104" s="8"/>
      <c r="AS2104" s="8"/>
      <c r="AT2104"/>
      <c r="AY2104" s="8"/>
    </row>
    <row r="2105" spans="1:51">
      <c r="A2105" s="5" t="str">
        <v>GO</v>
      </c>
      <c r="B2105" s="5" t="str">
        <f ca="1"/>
        <v>GO45902</v>
      </c>
      <c r="C2105" s="8" t="str">
        <v>Pedido 2091</v>
      </c>
      <c r="D2105" s="187">
        <v>45901</v>
      </c>
      <c r="E2105" s="9">
        <v>45902</v>
      </c>
      <c r="F2105" s="2" t="str">
        <v>PedidoF1974</v>
      </c>
      <c r="G2105" s="2" t="str">
        <v>CódRastreio1972</v>
      </c>
      <c r="H2105" s="5">
        <v>1</v>
      </c>
      <c r="I2105" s="182" t="str">
        <v>CPF 2046</v>
      </c>
      <c r="J2105" s="2" t="str">
        <v>Nome 2046</v>
      </c>
      <c r="K2105" s="8" t="str">
        <v>Tel 2046</v>
      </c>
      <c r="L2105" s="8" t="str">
        <v>Cep 2046</v>
      </c>
      <c r="M2105" s="8" t="str">
        <v>Rua 2046</v>
      </c>
      <c r="N2105" s="8" t="str">
        <v>Comp 2046</v>
      </c>
      <c r="O2105" s="8" t="str">
        <v>Mini Liquidificador</v>
      </c>
      <c r="P2105" s="8" t="str">
        <v>Q3-ZLM0-OEUO</v>
      </c>
      <c r="Q2105" s="4">
        <v>45913</v>
      </c>
      <c r="R2105" s="109">
        <v>31.99</v>
      </c>
      <c r="S2105" s="11">
        <f ca="1"/>
        <v>31.99</v>
      </c>
      <c r="T2105" s="28">
        <f ca="1"/>
        <v>3.8387999999999995</v>
      </c>
      <c r="U2105" s="11">
        <f ca="1"/>
        <v>28.15</v>
      </c>
      <c r="V2105" s="11">
        <v>25.99</v>
      </c>
      <c r="W2105" s="11">
        <f ca="1"/>
        <v>0</v>
      </c>
      <c r="X2105" s="11">
        <f ca="1"/>
        <v>0.39877104377104378</v>
      </c>
      <c r="Y2105" s="11">
        <v>0</v>
      </c>
      <c r="Z2105" s="11">
        <f ca="1"/>
        <v>1.7612289562289547</v>
      </c>
      <c r="AA2105" s="11">
        <f ca="1"/>
        <v>1.7612289562289547</v>
      </c>
      <c r="AB2105" s="4">
        <f ca="1"/>
        <v>45920</v>
      </c>
      <c r="AC2105" s="4">
        <v>45930</v>
      </c>
      <c r="AD2105" s="9" t="s">
        <v>37</v>
      </c>
      <c r="AE2105" s="9" t="s">
        <v>37</v>
      </c>
      <c r="AF2105" s="4" t="str">
        <f t="shared" ca="1" si="162"/>
        <v>2025 09</v>
      </c>
      <c r="AG2105" s="8" t="str" cm="1">
        <f t="array" ref="AG2105">IFERROR(_xlfn.IFS('Banco de Dados'!#REF!="AG. COMPRA","Em processamento",'Banco de Dados'!#REF!="AG. RASTREIO","Em processamento",'Banco de Dados'!$AE2105&lt;&gt;"-","Faturado",'Banco de Dados'!$AD2105&lt;&gt;"-","Aguardando Pix",'Banco de Dados'!$AC2105&lt;&gt;"-","Pendente"),"Aguardando Liberação")</f>
        <v>Aguardando Liberação</v>
      </c>
      <c r="AH2105" s="5" t="str">
        <f>IF('Banco de Dados'!$F2105="-",_xlfn.CONCAT(PROPER(TEXT(AK2105,"aaaa"))," ",PROPER(TEXT(AK2105,"mm"))),_xlfn.CONCAT(PROPER(TEXT(E2105,"aaaa"))," ",PROPER(TEXT(E2105,"mm"))))</f>
        <v>2025 09</v>
      </c>
      <c r="AI2105" s="9" t="str">
        <f ca="1">IF('Banco de Dados'!$AK2105&lt;&gt;"-","REEMBOLSO",IFERROR(_xlfn.XLOOKUP(G2105,Follow[CODRASTREIO],Follow[STATUS]),"-"))</f>
        <v>EM SEPARAÇÃO</v>
      </c>
      <c r="AJ2105" s="9" t="str">
        <f ca="1">IF('Banco de Dados'!$AI2105="ENTREGUE",_xlfn.XLOOKUP('Banco de Dados'!$G2105,Follow[CODRASTREIO],Follow[DATAATUALIZAÇÃO]),"-")</f>
        <v>-</v>
      </c>
      <c r="AK2105" s="132" t="str">
        <f ca="1"/>
        <v>-</v>
      </c>
      <c r="AL2105" s="35"/>
      <c r="AM2105" s="109" cm="1">
        <f t="array" aca="1" ref="AM2105" ca="1">IF('Banco de Dados'!$AK2105&lt;&gt;"-",_xlfn.IFS('Banco de Dados'!$A2105="bv",IF('Banco de Dados'!$E2105&lt;45641,ROUND(SUM('Banco de Dados'!$R2105*_xlfn.XLOOKUP('Banco de Dados'!$P2105,Sku!B:B,Sku!#REF!)*20%),2),ROUND(SUM('Banco de Dados'!$R2105*_xlfn.XLOOKUP('Banco de Dados'!$P2105,Sku!B:B,Sku!H:H)*20%),2)),'Banco de Dados'!$A2105="GO",ROUND(_xlfn.XLOOKUP('Banco de Dados'!$P2105,Sku!C:C,Sku!H:H),2),'Banco de Dados'!$A2105="MEI",ROUND(_xlfn.XLOOKUP('Banco de Dados'!$P2105,Sku!D:D,Sku!H:H),2)),0)</f>
        <v>0</v>
      </c>
      <c r="AN2105" s="109">
        <v>0</v>
      </c>
      <c r="AO2105" s="109">
        <v>0</v>
      </c>
      <c r="AP2105" s="28">
        <f ca="1">IF('Banco de Dados'!$AK2105&lt;&gt;"-",IF('Banco de Dados'!$AL2105="NÃO",IFERROR(VALUE(SUBSTITUTE(_xlfn.TEXTAFTER('Banco de Dados'!$F2105,"BRL ",1),".",",")),0),0),0)</f>
        <v>0</v>
      </c>
      <c r="AQ2105" s="28">
        <f ca="1">SUM('Banco de Dados'!$AM2105:$AP2105)</f>
        <v>0</v>
      </c>
      <c r="AR2105" s="8"/>
      <c r="AS2105" s="8"/>
      <c r="AT2105"/>
      <c r="AY2105" s="8"/>
    </row>
    <row r="2106" spans="1:51">
      <c r="A2106" s="5" t="str">
        <v>GO</v>
      </c>
      <c r="B2106" s="5" t="str">
        <f ca="1"/>
        <v>GO45902</v>
      </c>
      <c r="C2106" s="8" t="str">
        <v>Pedido 2092</v>
      </c>
      <c r="D2106" s="187">
        <v>45902</v>
      </c>
      <c r="E2106" s="9">
        <v>45902</v>
      </c>
      <c r="F2106" s="2" t="str">
        <v>PedidoF1975</v>
      </c>
      <c r="G2106" s="2" t="str">
        <v>CódRastreio1973</v>
      </c>
      <c r="H2106" s="5">
        <v>1</v>
      </c>
      <c r="I2106" s="182" t="str">
        <v>CPF 2047</v>
      </c>
      <c r="J2106" s="2" t="str">
        <v>Nome 2047</v>
      </c>
      <c r="K2106" s="8" t="str">
        <v>Tel 2047</v>
      </c>
      <c r="L2106" s="8" t="str">
        <v>Cep 2047</v>
      </c>
      <c r="M2106" s="8" t="str">
        <v>Rua 2047</v>
      </c>
      <c r="N2106" s="8" t="str">
        <v>Comp 2047</v>
      </c>
      <c r="O2106" s="8" t="str">
        <v>Mini Liquidificador</v>
      </c>
      <c r="P2106" s="8" t="str">
        <v>Q3-ZLM0-OEUO</v>
      </c>
      <c r="Q2106" s="4">
        <v>45916</v>
      </c>
      <c r="R2106" s="109">
        <v>31.99</v>
      </c>
      <c r="S2106" s="11">
        <f ca="1"/>
        <v>31.99</v>
      </c>
      <c r="T2106" s="28">
        <f ca="1"/>
        <v>3.8387999999999995</v>
      </c>
      <c r="U2106" s="11">
        <f ca="1"/>
        <v>28.15</v>
      </c>
      <c r="V2106" s="11">
        <v>25.99</v>
      </c>
      <c r="W2106" s="11">
        <f ca="1"/>
        <v>0</v>
      </c>
      <c r="X2106" s="11">
        <f ca="1"/>
        <v>0.39877104377104378</v>
      </c>
      <c r="Y2106" s="11">
        <v>0</v>
      </c>
      <c r="Z2106" s="11">
        <f ca="1"/>
        <v>1.7612289562289547</v>
      </c>
      <c r="AA2106" s="11">
        <f ca="1"/>
        <v>1.7612289562289547</v>
      </c>
      <c r="AB2106" s="4">
        <f ca="1"/>
        <v>45923</v>
      </c>
      <c r="AC2106" s="4">
        <v>45930</v>
      </c>
      <c r="AD2106" s="9" t="s">
        <v>37</v>
      </c>
      <c r="AE2106" s="9" t="s">
        <v>37</v>
      </c>
      <c r="AF2106" s="4" t="str">
        <f t="shared" ca="1" si="162"/>
        <v>2025 09</v>
      </c>
      <c r="AG2106" s="8" t="str" cm="1">
        <f t="array" ref="AG2106">IFERROR(_xlfn.IFS('Banco de Dados'!#REF!="AG. COMPRA","Em processamento",'Banco de Dados'!#REF!="AG. RASTREIO","Em processamento",'Banco de Dados'!$AE2106&lt;&gt;"-","Faturado",'Banco de Dados'!$AD2106&lt;&gt;"-","Aguardando Pix",'Banco de Dados'!$AC2106&lt;&gt;"-","Pendente"),"Aguardando Liberação")</f>
        <v>Aguardando Liberação</v>
      </c>
      <c r="AH2106" s="5" t="str">
        <f>IF('Banco de Dados'!$F2106="-",_xlfn.CONCAT(PROPER(TEXT(AK2106,"aaaa"))," ",PROPER(TEXT(AK2106,"mm"))),_xlfn.CONCAT(PROPER(TEXT(E2106,"aaaa"))," ",PROPER(TEXT(E2106,"mm"))))</f>
        <v>2025 09</v>
      </c>
      <c r="AI2106" s="9" t="str">
        <f ca="1">IF('Banco de Dados'!$AK2106&lt;&gt;"-","REEMBOLSO",IFERROR(_xlfn.XLOOKUP(G2106,Follow[CODRASTREIO],Follow[STATUS]),"-"))</f>
        <v>EM SEPARAÇÃO</v>
      </c>
      <c r="AJ2106" s="9" t="str">
        <f ca="1">IF('Banco de Dados'!$AI2106="ENTREGUE",_xlfn.XLOOKUP('Banco de Dados'!$G2106,Follow[CODRASTREIO],Follow[DATAATUALIZAÇÃO]),"-")</f>
        <v>-</v>
      </c>
      <c r="AK2106" s="132" t="str">
        <f ca="1"/>
        <v>-</v>
      </c>
      <c r="AL2106" s="35"/>
      <c r="AM2106" s="109" cm="1">
        <f t="array" aca="1" ref="AM2106" ca="1">IF('Banco de Dados'!$AK2106&lt;&gt;"-",_xlfn.IFS('Banco de Dados'!$A2106="bv",IF('Banco de Dados'!$E2106&lt;45641,ROUND(SUM('Banco de Dados'!$R2106*_xlfn.XLOOKUP('Banco de Dados'!$P2106,Sku!B:B,Sku!#REF!)*20%),2),ROUND(SUM('Banco de Dados'!$R2106*_xlfn.XLOOKUP('Banco de Dados'!$P2106,Sku!B:B,Sku!H:H)*20%),2)),'Banco de Dados'!$A2106="GO",ROUND(_xlfn.XLOOKUP('Banco de Dados'!$P2106,Sku!C:C,Sku!H:H),2),'Banco de Dados'!$A2106="MEI",ROUND(_xlfn.XLOOKUP('Banco de Dados'!$P2106,Sku!D:D,Sku!H:H),2)),0)</f>
        <v>0</v>
      </c>
      <c r="AN2106" s="109">
        <v>0</v>
      </c>
      <c r="AO2106" s="109">
        <v>0</v>
      </c>
      <c r="AP2106" s="28">
        <f ca="1">IF('Banco de Dados'!$AK2106&lt;&gt;"-",IF('Banco de Dados'!$AL2106="NÃO",IFERROR(VALUE(SUBSTITUTE(_xlfn.TEXTAFTER('Banco de Dados'!$F2106,"BRL ",1),".",",")),0),0),0)</f>
        <v>0</v>
      </c>
      <c r="AQ2106" s="28">
        <f ca="1">SUM('Banco de Dados'!$AM2106:$AP2106)</f>
        <v>0</v>
      </c>
      <c r="AR2106" s="8"/>
      <c r="AS2106" s="8"/>
      <c r="AT2106"/>
      <c r="AY2106" s="8"/>
    </row>
    <row r="2107" spans="1:51">
      <c r="A2107" s="5" t="str">
        <v>GO</v>
      </c>
      <c r="B2107" s="5" t="str">
        <f ca="1"/>
        <v>GO45902</v>
      </c>
      <c r="C2107" s="8" t="str">
        <v>Pedido 2093</v>
      </c>
      <c r="D2107" s="187">
        <v>45902</v>
      </c>
      <c r="E2107" s="9">
        <v>45902</v>
      </c>
      <c r="F2107" s="2" t="str">
        <v>PedidoF1976</v>
      </c>
      <c r="G2107" s="2" t="str">
        <v>CódRastreio1974</v>
      </c>
      <c r="H2107" s="5">
        <v>1</v>
      </c>
      <c r="I2107" s="182" t="str">
        <v>CPF 2048</v>
      </c>
      <c r="J2107" s="2" t="str">
        <v>Nome 2048</v>
      </c>
      <c r="K2107" s="8" t="str">
        <v>Tel 2048</v>
      </c>
      <c r="L2107" s="8" t="str">
        <v>Cep 2048</v>
      </c>
      <c r="M2107" s="8" t="str">
        <v>Rua 2048</v>
      </c>
      <c r="N2107" s="8" t="str">
        <v>Comp 2048</v>
      </c>
      <c r="O2107" s="8" t="str">
        <v>Mini Liquidificador</v>
      </c>
      <c r="P2107" s="8" t="str">
        <v>Q3-ZLM0-OEUO</v>
      </c>
      <c r="Q2107" s="4">
        <v>45920</v>
      </c>
      <c r="R2107" s="109">
        <v>31.99</v>
      </c>
      <c r="S2107" s="11">
        <f ca="1"/>
        <v>31.99</v>
      </c>
      <c r="T2107" s="28">
        <f ca="1"/>
        <v>3.8387999999999995</v>
      </c>
      <c r="U2107" s="11">
        <f ca="1"/>
        <v>28.15</v>
      </c>
      <c r="V2107" s="11">
        <v>25.99</v>
      </c>
      <c r="W2107" s="11">
        <f ca="1"/>
        <v>0</v>
      </c>
      <c r="X2107" s="11">
        <f ca="1"/>
        <v>0.39877104377104378</v>
      </c>
      <c r="Y2107" s="11">
        <v>0</v>
      </c>
      <c r="Z2107" s="11">
        <f ca="1"/>
        <v>1.7612289562289547</v>
      </c>
      <c r="AA2107" s="11">
        <f ca="1"/>
        <v>1.7612289562289547</v>
      </c>
      <c r="AB2107" s="4">
        <f ca="1"/>
        <v>45927</v>
      </c>
      <c r="AC2107" s="4">
        <v>45930</v>
      </c>
      <c r="AD2107" s="9" t="s">
        <v>37</v>
      </c>
      <c r="AE2107" s="9" t="s">
        <v>37</v>
      </c>
      <c r="AF2107" s="4" t="str">
        <f t="shared" ca="1" si="162"/>
        <v>2025 09</v>
      </c>
      <c r="AG2107" s="8" t="str" cm="1">
        <f t="array" ref="AG2107">IFERROR(_xlfn.IFS('Banco de Dados'!#REF!="AG. COMPRA","Em processamento",'Banco de Dados'!#REF!="AG. RASTREIO","Em processamento",'Banco de Dados'!$AE2107&lt;&gt;"-","Faturado",'Banco de Dados'!$AD2107&lt;&gt;"-","Aguardando Pix",'Banco de Dados'!$AC2107&lt;&gt;"-","Pendente"),"Aguardando Liberação")</f>
        <v>Aguardando Liberação</v>
      </c>
      <c r="AH2107" s="5" t="str">
        <f>IF('Banco de Dados'!$F2107="-",_xlfn.CONCAT(PROPER(TEXT(AK2107,"aaaa"))," ",PROPER(TEXT(AK2107,"mm"))),_xlfn.CONCAT(PROPER(TEXT(E2107,"aaaa"))," ",PROPER(TEXT(E2107,"mm"))))</f>
        <v>2025 09</v>
      </c>
      <c r="AI2107" s="9" t="str">
        <f ca="1">IF('Banco de Dados'!$AK2107&lt;&gt;"-","REEMBOLSO",IFERROR(_xlfn.XLOOKUP(G2107,Follow[CODRASTREIO],Follow[STATUS]),"-"))</f>
        <v>EM SEPARAÇÃO</v>
      </c>
      <c r="AJ2107" s="9" t="str">
        <f ca="1">IF('Banco de Dados'!$AI2107="ENTREGUE",_xlfn.XLOOKUP('Banco de Dados'!$G2107,Follow[CODRASTREIO],Follow[DATAATUALIZAÇÃO]),"-")</f>
        <v>-</v>
      </c>
      <c r="AK2107" s="132" t="str">
        <f ca="1"/>
        <v>-</v>
      </c>
      <c r="AL2107" s="35"/>
      <c r="AM2107" s="109" cm="1">
        <f t="array" aca="1" ref="AM2107" ca="1">IF('Banco de Dados'!$AK2107&lt;&gt;"-",_xlfn.IFS('Banco de Dados'!$A2107="bv",IF('Banco de Dados'!$E2107&lt;45641,ROUND(SUM('Banco de Dados'!$R2107*_xlfn.XLOOKUP('Banco de Dados'!$P2107,Sku!B:B,Sku!#REF!)*20%),2),ROUND(SUM('Banco de Dados'!$R2107*_xlfn.XLOOKUP('Banco de Dados'!$P2107,Sku!B:B,Sku!H:H)*20%),2)),'Banco de Dados'!$A2107="GO",ROUND(_xlfn.XLOOKUP('Banco de Dados'!$P2107,Sku!C:C,Sku!H:H),2),'Banco de Dados'!$A2107="MEI",ROUND(_xlfn.XLOOKUP('Banco de Dados'!$P2107,Sku!D:D,Sku!H:H),2)),0)</f>
        <v>0</v>
      </c>
      <c r="AN2107" s="109">
        <v>0</v>
      </c>
      <c r="AO2107" s="109">
        <v>0</v>
      </c>
      <c r="AP2107" s="28">
        <f ca="1">IF('Banco de Dados'!$AK2107&lt;&gt;"-",IF('Banco de Dados'!$AL2107="NÃO",IFERROR(VALUE(SUBSTITUTE(_xlfn.TEXTAFTER('Banco de Dados'!$F2107,"BRL ",1),".",",")),0),0),0)</f>
        <v>0</v>
      </c>
      <c r="AQ2107" s="28">
        <f ca="1">SUM('Banco de Dados'!$AM2107:$AP2107)</f>
        <v>0</v>
      </c>
      <c r="AR2107" s="8"/>
      <c r="AS2107" s="8"/>
      <c r="AT2107"/>
      <c r="AY2107" s="8"/>
    </row>
    <row r="2108" spans="1:51">
      <c r="A2108" s="5" t="str">
        <v>GO</v>
      </c>
      <c r="B2108" s="5" t="str">
        <f ca="1"/>
        <v>GO45908</v>
      </c>
      <c r="C2108" s="8" t="str">
        <v>Pedido 2094</v>
      </c>
      <c r="D2108" s="187">
        <v>45905</v>
      </c>
      <c r="E2108" s="9">
        <v>45908</v>
      </c>
      <c r="F2108" s="2" t="str">
        <v>PedidoF1977</v>
      </c>
      <c r="G2108" s="2" t="str">
        <v>CódRastreio1975</v>
      </c>
      <c r="H2108" s="5">
        <v>1</v>
      </c>
      <c r="I2108" s="182" t="str">
        <v>CPF 2049</v>
      </c>
      <c r="J2108" s="2" t="str">
        <v>Nome 2049</v>
      </c>
      <c r="K2108" s="8" t="str">
        <v>Tel 2049</v>
      </c>
      <c r="L2108" s="8" t="str">
        <v>Cep 2049</v>
      </c>
      <c r="M2108" s="8" t="str">
        <v>Rua 2049</v>
      </c>
      <c r="N2108" s="8" t="str">
        <v>Comp 2049</v>
      </c>
      <c r="O2108" s="8" t="str">
        <v>Mini Liquidificador</v>
      </c>
      <c r="P2108" s="8" t="str">
        <v>Q3-ZLM0-OEUO</v>
      </c>
      <c r="Q2108" s="4">
        <v>45920</v>
      </c>
      <c r="R2108" s="109">
        <v>31.99</v>
      </c>
      <c r="S2108" s="11">
        <f ca="1"/>
        <v>31.99</v>
      </c>
      <c r="T2108" s="28">
        <f ca="1"/>
        <v>3.8387999999999995</v>
      </c>
      <c r="U2108" s="11">
        <f ca="1"/>
        <v>28.15</v>
      </c>
      <c r="V2108" s="11">
        <v>23.99</v>
      </c>
      <c r="W2108" s="11">
        <f ca="1"/>
        <v>0</v>
      </c>
      <c r="X2108" s="11">
        <f ca="1"/>
        <v>0.39877104377104378</v>
      </c>
      <c r="Y2108" s="11">
        <v>0</v>
      </c>
      <c r="Z2108" s="11">
        <f ca="1"/>
        <v>3.7612289562289547</v>
      </c>
      <c r="AA2108" s="11">
        <f ca="1"/>
        <v>3.7612289562289547</v>
      </c>
      <c r="AB2108" s="4">
        <f ca="1"/>
        <v>45927</v>
      </c>
      <c r="AC2108" s="4">
        <v>45930</v>
      </c>
      <c r="AD2108" s="9" t="s">
        <v>37</v>
      </c>
      <c r="AE2108" s="9" t="s">
        <v>37</v>
      </c>
      <c r="AF2108" s="4" t="str">
        <f t="shared" ref="AF2108:AF2109" ca="1" si="163">_xlfn.CONCAT(PROPER(TEXT(AB2108,"aaaa"))," ",PROPER(TEXT(AB2108,"mm")))</f>
        <v>2025 09</v>
      </c>
      <c r="AG2108" s="8" t="str" cm="1">
        <f t="array" ref="AG2108">IFERROR(_xlfn.IFS('Banco de Dados'!#REF!="AG. COMPRA","Em processamento",'Banco de Dados'!#REF!="AG. RASTREIO","Em processamento",'Banco de Dados'!$AE2108&lt;&gt;"-","Faturado",'Banco de Dados'!$AD2108&lt;&gt;"-","Aguardando Pix",'Banco de Dados'!$AC2108&lt;&gt;"-","Pendente"),"Aguardando Liberação")</f>
        <v>Aguardando Liberação</v>
      </c>
      <c r="AH2108" s="5" t="str">
        <f>IF('Banco de Dados'!$F2108="-",_xlfn.CONCAT(PROPER(TEXT(AK2108,"aaaa"))," ",PROPER(TEXT(AK2108,"mm"))),_xlfn.CONCAT(PROPER(TEXT(E2108,"aaaa"))," ",PROPER(TEXT(E2108,"mm"))))</f>
        <v>2025 09</v>
      </c>
      <c r="AI2108" s="9" t="str">
        <f ca="1">IF('Banco de Dados'!$AK2108&lt;&gt;"-","REEMBOLSO",IFERROR(_xlfn.XLOOKUP(G2108,Follow[CODRASTREIO],Follow[STATUS]),"-"))</f>
        <v>-</v>
      </c>
      <c r="AJ2108" s="9" t="str">
        <f ca="1">IF('Banco de Dados'!$AI2108="ENTREGUE",_xlfn.XLOOKUP('Banco de Dados'!$G2108,Follow[CODRASTREIO],Follow[DATAATUALIZAÇÃO]),"-")</f>
        <v>-</v>
      </c>
      <c r="AK2108" s="132" t="str">
        <f ca="1"/>
        <v>-</v>
      </c>
      <c r="AL2108" s="35"/>
      <c r="AM2108" s="109" cm="1">
        <f t="array" aca="1" ref="AM2108" ca="1">IF('Banco de Dados'!$AK2108&lt;&gt;"-",_xlfn.IFS('Banco de Dados'!$A2108="bv",IF('Banco de Dados'!$E2108&lt;45641,ROUND(SUM('Banco de Dados'!$R2108*_xlfn.XLOOKUP('Banco de Dados'!$P2108,Sku!B:B,Sku!#REF!)*20%),2),ROUND(SUM('Banco de Dados'!$R2108*_xlfn.XLOOKUP('Banco de Dados'!$P2108,Sku!B:B,Sku!H:H)*20%),2)),'Banco de Dados'!$A2108="GO",ROUND(_xlfn.XLOOKUP('Banco de Dados'!$P2108,Sku!C:C,Sku!H:H),2),'Banco de Dados'!$A2108="MEI",ROUND(_xlfn.XLOOKUP('Banco de Dados'!$P2108,Sku!D:D,Sku!H:H),2)),0)</f>
        <v>0</v>
      </c>
      <c r="AN2108" s="109">
        <v>0</v>
      </c>
      <c r="AO2108" s="109">
        <v>0</v>
      </c>
      <c r="AP2108" s="28">
        <f ca="1">IF('Banco de Dados'!$AK2108&lt;&gt;"-",IF('Banco de Dados'!$AL2108="NÃO",IFERROR(VALUE(SUBSTITUTE(_xlfn.TEXTAFTER('Banco de Dados'!$F2108,"BRL ",1),".",",")),0),0),0)</f>
        <v>0</v>
      </c>
      <c r="AQ2108" s="28">
        <f ca="1">SUM('Banco de Dados'!$AM2108:$AP2108)</f>
        <v>0</v>
      </c>
      <c r="AR2108" s="8"/>
      <c r="AS2108" s="8"/>
      <c r="AT2108"/>
      <c r="AY2108" s="8"/>
    </row>
    <row r="2109" spans="1:51">
      <c r="A2109" s="5" t="str">
        <v>GO</v>
      </c>
      <c r="B2109" s="5" t="str">
        <f ca="1"/>
        <v>GO45908</v>
      </c>
      <c r="C2109" s="8" t="str">
        <v>Pedido 2095</v>
      </c>
      <c r="D2109" s="187">
        <v>45908</v>
      </c>
      <c r="E2109" s="9">
        <v>45908</v>
      </c>
      <c r="F2109" s="2" t="str">
        <v>PedidoF1978</v>
      </c>
      <c r="G2109" s="2" t="str">
        <v>CódRastreio1976</v>
      </c>
      <c r="H2109" s="5">
        <v>1</v>
      </c>
      <c r="I2109" s="182" t="str">
        <v>CPF 2050</v>
      </c>
      <c r="J2109" s="2" t="str">
        <v>Nome 2050</v>
      </c>
      <c r="K2109" s="8" t="str">
        <v>Tel 2050</v>
      </c>
      <c r="L2109" s="8" t="str">
        <v>Cep 2050</v>
      </c>
      <c r="M2109" s="8" t="str">
        <v>Rua 2050</v>
      </c>
      <c r="N2109" s="8" t="str">
        <v>Comp 2050</v>
      </c>
      <c r="O2109" s="8" t="str">
        <v>Mini Liquidificador</v>
      </c>
      <c r="P2109" s="8" t="str">
        <v>Q3-ZLM0-OEUO</v>
      </c>
      <c r="Q2109" s="4">
        <v>45923</v>
      </c>
      <c r="R2109" s="109">
        <v>31.99</v>
      </c>
      <c r="S2109" s="11">
        <f ca="1"/>
        <v>31.99</v>
      </c>
      <c r="T2109" s="28">
        <f ca="1"/>
        <v>3.8387999999999995</v>
      </c>
      <c r="U2109" s="11">
        <f ca="1"/>
        <v>28.15</v>
      </c>
      <c r="V2109" s="11">
        <v>23.99</v>
      </c>
      <c r="W2109" s="11">
        <f ca="1"/>
        <v>0</v>
      </c>
      <c r="X2109" s="11">
        <f ca="1"/>
        <v>0.39877104377104378</v>
      </c>
      <c r="Y2109" s="11">
        <v>0</v>
      </c>
      <c r="Z2109" s="11">
        <f ca="1"/>
        <v>3.7612289562289547</v>
      </c>
      <c r="AA2109" s="11">
        <f ca="1"/>
        <v>3.7612289562289547</v>
      </c>
      <c r="AB2109" s="4">
        <f ca="1"/>
        <v>45930</v>
      </c>
      <c r="AC2109" s="4">
        <v>45930</v>
      </c>
      <c r="AD2109" s="9" t="s">
        <v>37</v>
      </c>
      <c r="AE2109" s="9" t="s">
        <v>37</v>
      </c>
      <c r="AF2109" s="4" t="str">
        <f t="shared" ca="1" si="163"/>
        <v>2025 09</v>
      </c>
      <c r="AG2109" s="8" t="str" cm="1">
        <f t="array" ref="AG2109">IFERROR(_xlfn.IFS('Banco de Dados'!#REF!="AG. COMPRA","Em processamento",'Banco de Dados'!#REF!="AG. RASTREIO","Em processamento",'Banco de Dados'!$AE2109&lt;&gt;"-","Faturado",'Banco de Dados'!$AD2109&lt;&gt;"-","Aguardando Pix",'Banco de Dados'!$AC2109&lt;&gt;"-","Pendente"),"Aguardando Liberação")</f>
        <v>Aguardando Liberação</v>
      </c>
      <c r="AH2109" s="5" t="str">
        <f>IF('Banco de Dados'!$F2109="-",_xlfn.CONCAT(PROPER(TEXT(AK2109,"aaaa"))," ",PROPER(TEXT(AK2109,"mm"))),_xlfn.CONCAT(PROPER(TEXT(E2109,"aaaa"))," ",PROPER(TEXT(E2109,"mm"))))</f>
        <v>2025 09</v>
      </c>
      <c r="AI2109" s="9" t="str">
        <f ca="1">IF('Banco de Dados'!$AK2109&lt;&gt;"-","REEMBOLSO",IFERROR(_xlfn.XLOOKUP(G2109,Follow[CODRASTREIO],Follow[STATUS]),"-"))</f>
        <v>-</v>
      </c>
      <c r="AJ2109" s="9" t="str">
        <f ca="1">IF('Banco de Dados'!$AI2109="ENTREGUE",_xlfn.XLOOKUP('Banco de Dados'!$G2109,Follow[CODRASTREIO],Follow[DATAATUALIZAÇÃO]),"-")</f>
        <v>-</v>
      </c>
      <c r="AK2109" s="132" t="str">
        <f ca="1"/>
        <v>-</v>
      </c>
      <c r="AL2109" s="35"/>
      <c r="AM2109" s="109" cm="1">
        <f t="array" aca="1" ref="AM2109" ca="1">IF('Banco de Dados'!$AK2109&lt;&gt;"-",_xlfn.IFS('Banco de Dados'!$A2109="bv",IF('Banco de Dados'!$E2109&lt;45641,ROUND(SUM('Banco de Dados'!$R2109*_xlfn.XLOOKUP('Banco de Dados'!$P2109,Sku!B:B,Sku!#REF!)*20%),2),ROUND(SUM('Banco de Dados'!$R2109*_xlfn.XLOOKUP('Banco de Dados'!$P2109,Sku!B:B,Sku!H:H)*20%),2)),'Banco de Dados'!$A2109="GO",ROUND(_xlfn.XLOOKUP('Banco de Dados'!$P2109,Sku!C:C,Sku!H:H),2),'Banco de Dados'!$A2109="MEI",ROUND(_xlfn.XLOOKUP('Banco de Dados'!$P2109,Sku!D:D,Sku!H:H),2)),0)</f>
        <v>0</v>
      </c>
      <c r="AN2109" s="109">
        <v>0</v>
      </c>
      <c r="AO2109" s="109">
        <v>0</v>
      </c>
      <c r="AP2109" s="28">
        <f ca="1">IF('Banco de Dados'!$AK2109&lt;&gt;"-",IF('Banco de Dados'!$AL2109="NÃO",IFERROR(VALUE(SUBSTITUTE(_xlfn.TEXTAFTER('Banco de Dados'!$F2109,"BRL ",1),".",",")),0),0),0)</f>
        <v>0</v>
      </c>
      <c r="AQ2109" s="28">
        <f ca="1">SUM('Banco de Dados'!$AM2109:$AP2109)</f>
        <v>0</v>
      </c>
      <c r="AR2109" s="8"/>
      <c r="AS2109" s="8"/>
      <c r="AT2109"/>
      <c r="AY2109" s="8"/>
    </row>
    <row r="2110" spans="1:51">
      <c r="A2110" s="5" t="str">
        <v>MEI</v>
      </c>
      <c r="B2110" s="5" t="str">
        <f ca="1"/>
        <v>MEI45910</v>
      </c>
      <c r="C2110" s="8" t="str">
        <v>Pedido 2096</v>
      </c>
      <c r="D2110" s="187">
        <v>45909</v>
      </c>
      <c r="E2110" s="9">
        <v>45910</v>
      </c>
      <c r="F2110" s="2" t="str">
        <v>PedidoF1979</v>
      </c>
      <c r="G2110" s="2" t="str">
        <v>CódRastreio1977</v>
      </c>
      <c r="H2110" s="5">
        <v>1</v>
      </c>
      <c r="I2110" s="182" t="str">
        <v>CPF 2051</v>
      </c>
      <c r="J2110" s="2" t="str">
        <v>Nome 2051</v>
      </c>
      <c r="K2110" s="8" t="str">
        <v>Tel 2051</v>
      </c>
      <c r="L2110" s="8" t="str">
        <v>Cep 2051</v>
      </c>
      <c r="M2110" s="8" t="str">
        <v>Rua 2051</v>
      </c>
      <c r="N2110" s="8" t="str">
        <v>Comp 2051</v>
      </c>
      <c r="O2110" s="8" t="str">
        <v>Ventilador Rosa</v>
      </c>
      <c r="P2110" s="8" t="str">
        <v>WR-82Y0-OV27</v>
      </c>
      <c r="Q2110" s="4">
        <v>45940</v>
      </c>
      <c r="R2110" s="109">
        <v>50.99</v>
      </c>
      <c r="S2110" s="11">
        <f ca="1"/>
        <v>50.99</v>
      </c>
      <c r="T2110" s="28">
        <f ca="1"/>
        <v>6.1188000000000002</v>
      </c>
      <c r="U2110" s="11">
        <f ca="1"/>
        <v>44.87</v>
      </c>
      <c r="V2110" s="11">
        <v>25.27</v>
      </c>
      <c r="W2110" s="11">
        <f ca="1"/>
        <v>0</v>
      </c>
      <c r="X2110" s="11">
        <f ca="1"/>
        <v>0.39877104377104378</v>
      </c>
      <c r="Y2110" s="11">
        <v>0</v>
      </c>
      <c r="Z2110" s="11">
        <f ca="1"/>
        <v>19.201228956228952</v>
      </c>
      <c r="AA2110" s="11">
        <f ca="1"/>
        <v>9.6006144781144762</v>
      </c>
      <c r="AB2110" s="4">
        <f ca="1"/>
        <v>45947</v>
      </c>
      <c r="AC2110" s="4" t="s">
        <v>37</v>
      </c>
      <c r="AD2110" s="9" t="s">
        <v>37</v>
      </c>
      <c r="AE2110" s="9" t="s">
        <v>37</v>
      </c>
      <c r="AF2110" s="4" t="str">
        <f t="shared" ref="AF2110" ca="1" si="164">_xlfn.CONCAT(PROPER(TEXT(AB2110,"aaaa"))," ",PROPER(TEXT(AB2110,"mm")))</f>
        <v>2025 10</v>
      </c>
      <c r="AG2110" s="8" t="str" cm="1">
        <f t="array" ref="AG2110">IFERROR(_xlfn.IFS('Banco de Dados'!#REF!="AG. COMPRA","Em processamento",'Banco de Dados'!#REF!="AG. RASTREIO","Em processamento",'Banco de Dados'!$AE2110&lt;&gt;"-","Faturado",'Banco de Dados'!$AD2110&lt;&gt;"-","Aguardando Pix",'Banco de Dados'!$AC2110&lt;&gt;"-","Pendente"),"Aguardando Liberação")</f>
        <v>Aguardando Liberação</v>
      </c>
      <c r="AH2110" s="5" t="str">
        <f>IF('Banco de Dados'!$F2110="-",_xlfn.CONCAT(PROPER(TEXT(AK2110,"aaaa"))," ",PROPER(TEXT(AK2110,"mm"))),_xlfn.CONCAT(PROPER(TEXT(E2110,"aaaa"))," ",PROPER(TEXT(E2110,"mm"))))</f>
        <v>2025 09</v>
      </c>
      <c r="AI2110" s="9" t="str">
        <f ca="1">IF('Banco de Dados'!$AK2110&lt;&gt;"-","REEMBOLSO",IFERROR(_xlfn.XLOOKUP(G2110,Follow[CODRASTREIO],Follow[STATUS]),"-"))</f>
        <v>-</v>
      </c>
      <c r="AJ2110" s="9" t="str">
        <f ca="1">IF('Banco de Dados'!$AI2110="ENTREGUE",_xlfn.XLOOKUP('Banco de Dados'!$G2110,Follow[CODRASTREIO],Follow[DATAATUALIZAÇÃO]),"-")</f>
        <v>-</v>
      </c>
      <c r="AK2110" s="132" t="str">
        <f ca="1"/>
        <v>-</v>
      </c>
      <c r="AL2110" s="35"/>
      <c r="AM2110" s="109" cm="1">
        <f t="array" aca="1" ref="AM2110" ca="1">IF('Banco de Dados'!$AK2110&lt;&gt;"-",_xlfn.IFS('Banco de Dados'!$A2110="bv",IF('Banco de Dados'!$E2110&lt;45641,ROUND(SUM('Banco de Dados'!$R2110*_xlfn.XLOOKUP('Banco de Dados'!$P2110,Sku!B:B,Sku!#REF!)*20%),2),ROUND(SUM('Banco de Dados'!$R2110*_xlfn.XLOOKUP('Banco de Dados'!$P2110,Sku!B:B,Sku!H:H)*20%),2)),'Banco de Dados'!$A2110="GO",ROUND(_xlfn.XLOOKUP('Banco de Dados'!$P2110,Sku!C:C,Sku!H:H),2),'Banco de Dados'!$A2110="MEI",ROUND(_xlfn.XLOOKUP('Banco de Dados'!$P2110,Sku!D:D,Sku!H:H),2)),0)</f>
        <v>0</v>
      </c>
      <c r="AN2110" s="109">
        <v>0</v>
      </c>
      <c r="AO2110" s="109">
        <v>0</v>
      </c>
      <c r="AP2110" s="28">
        <f ca="1">IF('Banco de Dados'!$AK2110&lt;&gt;"-",IF('Banco de Dados'!$AL2110="NÃO",IFERROR(VALUE(SUBSTITUTE(_xlfn.TEXTAFTER('Banco de Dados'!$F2110,"BRL ",1),".",",")),0),0),0)</f>
        <v>0</v>
      </c>
      <c r="AQ2110" s="28">
        <f ca="1">SUM('Banco de Dados'!$AM2110:$AP2110)</f>
        <v>0</v>
      </c>
      <c r="AR2110" s="8"/>
      <c r="AS2110" s="8"/>
      <c r="AT2110"/>
      <c r="AY2110" s="8"/>
    </row>
    <row r="2111" spans="1:51">
      <c r="A2111" s="5" t="str">
        <v>MEI</v>
      </c>
      <c r="B2111" s="5" t="str">
        <f ca="1"/>
        <v>MEI45916</v>
      </c>
      <c r="C2111" s="8" t="str">
        <v>Pedido 2097</v>
      </c>
      <c r="D2111" s="187">
        <v>45911</v>
      </c>
      <c r="E2111" s="9">
        <v>45916</v>
      </c>
      <c r="F2111" s="2" t="str">
        <v>PedidoF1980</v>
      </c>
      <c r="G2111" s="2" t="str">
        <v>CódRastreio1978</v>
      </c>
      <c r="H2111" s="5">
        <v>1</v>
      </c>
      <c r="I2111" s="182" t="str">
        <v>CPF 2052</v>
      </c>
      <c r="J2111" s="2" t="str">
        <v>Nome 2052</v>
      </c>
      <c r="K2111" s="8" t="str">
        <v>Tel 2052</v>
      </c>
      <c r="L2111" s="8" t="str">
        <v>Cep 2052</v>
      </c>
      <c r="M2111" s="8" t="str">
        <v>Rua 2052</v>
      </c>
      <c r="N2111" s="8" t="str">
        <v>Comp 2052</v>
      </c>
      <c r="O2111" s="8" t="str">
        <v>Ventilador Azul</v>
      </c>
      <c r="P2111" s="8" t="str">
        <v>PK-L2Z7-MQRQ</v>
      </c>
      <c r="Q2111" s="4">
        <v>45932</v>
      </c>
      <c r="R2111" s="109">
        <v>48.5</v>
      </c>
      <c r="S2111" s="11">
        <f ca="1"/>
        <v>48.5</v>
      </c>
      <c r="T2111" s="28">
        <f ca="1"/>
        <v>5.8199999999999994</v>
      </c>
      <c r="U2111" s="11">
        <f ca="1"/>
        <v>42.68</v>
      </c>
      <c r="V2111" s="11">
        <v>16.97</v>
      </c>
      <c r="W2111" s="11">
        <f ca="1"/>
        <v>0</v>
      </c>
      <c r="X2111" s="11">
        <f ca="1"/>
        <v>0.39877104377104378</v>
      </c>
      <c r="Y2111" s="11">
        <v>0</v>
      </c>
      <c r="Z2111" s="11">
        <f ca="1"/>
        <v>25.311228956228955</v>
      </c>
      <c r="AA2111" s="11">
        <f ca="1"/>
        <v>12.655614478114478</v>
      </c>
      <c r="AB2111" s="4">
        <f ca="1"/>
        <v>45939</v>
      </c>
      <c r="AC2111" s="4" t="s">
        <v>37</v>
      </c>
      <c r="AD2111" s="9" t="s">
        <v>37</v>
      </c>
      <c r="AE2111" s="9" t="s">
        <v>37</v>
      </c>
      <c r="AF2111" s="4" t="str">
        <f t="shared" ref="AF2111:AF2113" ca="1" si="165">_xlfn.CONCAT(PROPER(TEXT(AB2111,"aaaa"))," ",PROPER(TEXT(AB2111,"mm")))</f>
        <v>2025 10</v>
      </c>
      <c r="AG2111" s="8" t="str" cm="1">
        <f t="array" ref="AG2111">IFERROR(_xlfn.IFS('Banco de Dados'!#REF!="AG. COMPRA","Em processamento",'Banco de Dados'!#REF!="AG. RASTREIO","Em processamento",'Banco de Dados'!$AE2111&lt;&gt;"-","Faturado",'Banco de Dados'!$AD2111&lt;&gt;"-","Aguardando Pix",'Banco de Dados'!$AC2111&lt;&gt;"-","Pendente"),"Aguardando Liberação")</f>
        <v>Aguardando Liberação</v>
      </c>
      <c r="AH2111" s="5" t="str">
        <f>IF('Banco de Dados'!$F2111="-",_xlfn.CONCAT(PROPER(TEXT(AK2111,"aaaa"))," ",PROPER(TEXT(AK2111,"mm"))),_xlfn.CONCAT(PROPER(TEXT(E2111,"aaaa"))," ",PROPER(TEXT(E2111,"mm"))))</f>
        <v>2025 09</v>
      </c>
      <c r="AI2111" s="9" t="str">
        <f ca="1">IF('Banco de Dados'!$AK2111&lt;&gt;"-","REEMBOLSO",IFERROR(_xlfn.XLOOKUP(G2111,Follow[CODRASTREIO],Follow[STATUS]),"-"))</f>
        <v>-</v>
      </c>
      <c r="AJ2111" s="9" t="str">
        <f ca="1">IF('Banco de Dados'!$AI2111="ENTREGUE",_xlfn.XLOOKUP('Banco de Dados'!$G2111,Follow[CODRASTREIO],Follow[DATAATUALIZAÇÃO]),"-")</f>
        <v>-</v>
      </c>
      <c r="AK2111" s="132" t="str">
        <f ca="1"/>
        <v>-</v>
      </c>
      <c r="AL2111" s="35"/>
      <c r="AM2111" s="109" cm="1">
        <f t="array" aca="1" ref="AM2111" ca="1">IF('Banco de Dados'!$AK2111&lt;&gt;"-",_xlfn.IFS('Banco de Dados'!$A2111="bv",IF('Banco de Dados'!$E2111&lt;45641,ROUND(SUM('Banco de Dados'!$R2111*_xlfn.XLOOKUP('Banco de Dados'!$P2111,Sku!B:B,Sku!#REF!)*20%),2),ROUND(SUM('Banco de Dados'!$R2111*_xlfn.XLOOKUP('Banco de Dados'!$P2111,Sku!B:B,Sku!H:H)*20%),2)),'Banco de Dados'!$A2111="GO",ROUND(_xlfn.XLOOKUP('Banco de Dados'!$P2111,Sku!C:C,Sku!H:H),2),'Banco de Dados'!$A2111="MEI",ROUND(_xlfn.XLOOKUP('Banco de Dados'!$P2111,Sku!D:D,Sku!H:H),2)),0)</f>
        <v>0</v>
      </c>
      <c r="AN2111" s="109">
        <v>0</v>
      </c>
      <c r="AO2111" s="109">
        <v>0</v>
      </c>
      <c r="AP2111" s="28">
        <f ca="1">IF('Banco de Dados'!$AK2111&lt;&gt;"-",IF('Banco de Dados'!$AL2111="NÃO",IFERROR(VALUE(SUBSTITUTE(_xlfn.TEXTAFTER('Banco de Dados'!$F2111,"BRL ",1),".",",")),0),0),0)</f>
        <v>0</v>
      </c>
      <c r="AQ2111" s="28">
        <f ca="1">SUM('Banco de Dados'!$AM2111:$AP2111)</f>
        <v>0</v>
      </c>
      <c r="AR2111" s="8"/>
      <c r="AS2111" s="8"/>
      <c r="AT2111"/>
      <c r="AY2111" s="8"/>
    </row>
    <row r="2112" spans="1:51">
      <c r="A2112" s="5" t="str">
        <v>MEI</v>
      </c>
      <c r="B2112" s="5" t="str">
        <f ca="1"/>
        <v>MEI45915</v>
      </c>
      <c r="C2112" s="8" t="str">
        <v>Pedido 2097</v>
      </c>
      <c r="D2112" s="187">
        <v>45911</v>
      </c>
      <c r="E2112" s="9">
        <v>45915</v>
      </c>
      <c r="F2112" s="2" t="str">
        <v>PedidoF1981</v>
      </c>
      <c r="G2112" s="2" t="str">
        <v>CódRastreio1979</v>
      </c>
      <c r="H2112" s="5">
        <v>1</v>
      </c>
      <c r="I2112" s="182" t="str">
        <v>CPF 2052</v>
      </c>
      <c r="J2112" s="2" t="str">
        <v>Nome 2052</v>
      </c>
      <c r="K2112" s="8" t="str">
        <v>Tel 2052</v>
      </c>
      <c r="L2112" s="8" t="str">
        <v>Cep 2052</v>
      </c>
      <c r="M2112" s="8" t="str">
        <v>Rua 2052</v>
      </c>
      <c r="N2112" s="8" t="str">
        <v>Comp 2052</v>
      </c>
      <c r="O2112" s="8" t="str">
        <v>Ventilador Rosa</v>
      </c>
      <c r="P2112" s="8" t="str">
        <v>WR-82Y0-OV27</v>
      </c>
      <c r="Q2112" s="4">
        <v>45932</v>
      </c>
      <c r="R2112" s="109">
        <v>50.99</v>
      </c>
      <c r="S2112" s="11">
        <f ca="1"/>
        <v>50.99</v>
      </c>
      <c r="T2112" s="28">
        <f ca="1"/>
        <v>6.1188000000000002</v>
      </c>
      <c r="U2112" s="11">
        <f ca="1"/>
        <v>44.87</v>
      </c>
      <c r="V2112" s="11">
        <v>23.31</v>
      </c>
      <c r="W2112" s="11">
        <f ca="1"/>
        <v>0</v>
      </c>
      <c r="X2112" s="11">
        <f ca="1"/>
        <v>0.39877104377104378</v>
      </c>
      <c r="Y2112" s="11">
        <v>0</v>
      </c>
      <c r="Z2112" s="11">
        <f ca="1"/>
        <v>21.161228956228953</v>
      </c>
      <c r="AA2112" s="11">
        <f ca="1"/>
        <v>10.580614478114477</v>
      </c>
      <c r="AB2112" s="4">
        <f ca="1"/>
        <v>45939</v>
      </c>
      <c r="AC2112" s="4" t="s">
        <v>37</v>
      </c>
      <c r="AD2112" s="9" t="s">
        <v>37</v>
      </c>
      <c r="AE2112" s="9" t="s">
        <v>37</v>
      </c>
      <c r="AF2112" s="4" t="str">
        <f t="shared" ca="1" si="165"/>
        <v>2025 10</v>
      </c>
      <c r="AG2112" s="8" t="str" cm="1">
        <f t="array" ref="AG2112">IFERROR(_xlfn.IFS('Banco de Dados'!#REF!="AG. COMPRA","Em processamento",'Banco de Dados'!#REF!="AG. RASTREIO","Em processamento",'Banco de Dados'!$AE2112&lt;&gt;"-","Faturado",'Banco de Dados'!$AD2112&lt;&gt;"-","Aguardando Pix",'Banco de Dados'!$AC2112&lt;&gt;"-","Pendente"),"Aguardando Liberação")</f>
        <v>Aguardando Liberação</v>
      </c>
      <c r="AH2112" s="5" t="str">
        <f>IF('Banco de Dados'!$F2112="-",_xlfn.CONCAT(PROPER(TEXT(AK2112,"aaaa"))," ",PROPER(TEXT(AK2112,"mm"))),_xlfn.CONCAT(PROPER(TEXT(E2112,"aaaa"))," ",PROPER(TEXT(E2112,"mm"))))</f>
        <v>2025 09</v>
      </c>
      <c r="AI2112" s="9" t="str">
        <f ca="1">IF('Banco de Dados'!$AK2112&lt;&gt;"-","REEMBOLSO",IFERROR(_xlfn.XLOOKUP(G2112,Follow[CODRASTREIO],Follow[STATUS]),"-"))</f>
        <v>-</v>
      </c>
      <c r="AJ2112" s="9" t="str">
        <f ca="1">IF('Banco de Dados'!$AI2112="ENTREGUE",_xlfn.XLOOKUP('Banco de Dados'!$G2112,Follow[CODRASTREIO],Follow[DATAATUALIZAÇÃO]),"-")</f>
        <v>-</v>
      </c>
      <c r="AK2112" s="132" t="str">
        <f ca="1"/>
        <v>-</v>
      </c>
      <c r="AL2112" s="35"/>
      <c r="AM2112" s="109" cm="1">
        <f t="array" aca="1" ref="AM2112" ca="1">IF('Banco de Dados'!$AK2112&lt;&gt;"-",_xlfn.IFS('Banco de Dados'!$A2112="bv",IF('Banco de Dados'!$E2112&lt;45641,ROUND(SUM('Banco de Dados'!$R2112*_xlfn.XLOOKUP('Banco de Dados'!$P2112,Sku!B:B,Sku!#REF!)*20%),2),ROUND(SUM('Banco de Dados'!$R2112*_xlfn.XLOOKUP('Banco de Dados'!$P2112,Sku!B:B,Sku!H:H)*20%),2)),'Banco de Dados'!$A2112="GO",ROUND(_xlfn.XLOOKUP('Banco de Dados'!$P2112,Sku!C:C,Sku!H:H),2),'Banco de Dados'!$A2112="MEI",ROUND(_xlfn.XLOOKUP('Banco de Dados'!$P2112,Sku!D:D,Sku!H:H),2)),0)</f>
        <v>0</v>
      </c>
      <c r="AN2112" s="109">
        <v>0</v>
      </c>
      <c r="AO2112" s="109">
        <v>0</v>
      </c>
      <c r="AP2112" s="28">
        <f ca="1">IF('Banco de Dados'!$AK2112&lt;&gt;"-",IF('Banco de Dados'!$AL2112="NÃO",IFERROR(VALUE(SUBSTITUTE(_xlfn.TEXTAFTER('Banco de Dados'!$F2112,"BRL ",1),".",",")),0),0),0)</f>
        <v>0</v>
      </c>
      <c r="AQ2112" s="28">
        <f ca="1">SUM('Banco de Dados'!$AM2112:$AP2112)</f>
        <v>0</v>
      </c>
      <c r="AR2112" s="8"/>
      <c r="AS2112" s="8"/>
      <c r="AT2112"/>
      <c r="AY2112" s="8"/>
    </row>
    <row r="2113" spans="1:51">
      <c r="A2113" s="5" t="str">
        <v>GO</v>
      </c>
      <c r="B2113" s="5" t="str">
        <f ca="1"/>
        <v>GO45915</v>
      </c>
      <c r="C2113" s="8" t="str">
        <v>Pedido 2098</v>
      </c>
      <c r="D2113" s="187">
        <v>45911</v>
      </c>
      <c r="E2113" s="9">
        <v>45915</v>
      </c>
      <c r="F2113" s="2" t="str">
        <v>PedidoF1982</v>
      </c>
      <c r="G2113" s="2" t="str">
        <v>CódRastreio1980</v>
      </c>
      <c r="H2113" s="5">
        <v>1</v>
      </c>
      <c r="I2113" s="182" t="str">
        <v>CPF 2053</v>
      </c>
      <c r="J2113" s="2" t="str">
        <v>Nome 2053</v>
      </c>
      <c r="K2113" s="8" t="str">
        <v>Tel 2053</v>
      </c>
      <c r="L2113" s="8" t="str">
        <v>Cep 2053</v>
      </c>
      <c r="M2113" s="8" t="str">
        <v>Rua 2053</v>
      </c>
      <c r="N2113" s="8" t="str">
        <v>Comp 2053</v>
      </c>
      <c r="O2113" s="8" t="str">
        <v>Mini Liquidificador</v>
      </c>
      <c r="P2113" s="8" t="str">
        <v>Q3-ZLM0-OEUO</v>
      </c>
      <c r="Q2113" s="4">
        <v>45938</v>
      </c>
      <c r="R2113" s="109">
        <v>31.99</v>
      </c>
      <c r="S2113" s="11">
        <f ca="1"/>
        <v>31.99</v>
      </c>
      <c r="T2113" s="28">
        <f ca="1"/>
        <v>3.8387999999999995</v>
      </c>
      <c r="U2113" s="11">
        <f ca="1"/>
        <v>28.15</v>
      </c>
      <c r="V2113" s="11">
        <v>19.989999999999998</v>
      </c>
      <c r="W2113" s="11">
        <f ca="1"/>
        <v>0</v>
      </c>
      <c r="X2113" s="11">
        <f ca="1"/>
        <v>0.39877104377104378</v>
      </c>
      <c r="Y2113" s="11">
        <v>0</v>
      </c>
      <c r="Z2113" s="11">
        <f ca="1"/>
        <v>7.7612289562289547</v>
      </c>
      <c r="AA2113" s="11">
        <f ca="1"/>
        <v>7.7612289562289547</v>
      </c>
      <c r="AB2113" s="4">
        <f ca="1"/>
        <v>45945</v>
      </c>
      <c r="AC2113" s="4" t="s">
        <v>37</v>
      </c>
      <c r="AD2113" s="9" t="s">
        <v>37</v>
      </c>
      <c r="AE2113" s="9" t="s">
        <v>37</v>
      </c>
      <c r="AF2113" s="4" t="str">
        <f t="shared" ca="1" si="165"/>
        <v>2025 10</v>
      </c>
      <c r="AG2113" s="8" t="str" cm="1">
        <f t="array" ref="AG2113">IFERROR(_xlfn.IFS('Banco de Dados'!#REF!="AG. COMPRA","Em processamento",'Banco de Dados'!#REF!="AG. RASTREIO","Em processamento",'Banco de Dados'!$AE2113&lt;&gt;"-","Faturado",'Banco de Dados'!$AD2113&lt;&gt;"-","Aguardando Pix",'Banco de Dados'!$AC2113&lt;&gt;"-","Pendente"),"Aguardando Liberação")</f>
        <v>Aguardando Liberação</v>
      </c>
      <c r="AH2113" s="5" t="str">
        <f>IF('Banco de Dados'!$F2113="-",_xlfn.CONCAT(PROPER(TEXT(AK2113,"aaaa"))," ",PROPER(TEXT(AK2113,"mm"))),_xlfn.CONCAT(PROPER(TEXT(E2113,"aaaa"))," ",PROPER(TEXT(E2113,"mm"))))</f>
        <v>2025 09</v>
      </c>
      <c r="AI2113" s="9" t="str">
        <f ca="1">IF('Banco de Dados'!$AK2113&lt;&gt;"-","REEMBOLSO",IFERROR(_xlfn.XLOOKUP(G2113,Follow[CODRASTREIO],Follow[STATUS]),"-"))</f>
        <v>-</v>
      </c>
      <c r="AJ2113" s="9" t="str">
        <f ca="1">IF('Banco de Dados'!$AI2113="ENTREGUE",_xlfn.XLOOKUP('Banco de Dados'!$G2113,Follow[CODRASTREIO],Follow[DATAATUALIZAÇÃO]),"-")</f>
        <v>-</v>
      </c>
      <c r="AK2113" s="132" t="str">
        <f ca="1"/>
        <v>-</v>
      </c>
      <c r="AL2113" s="35"/>
      <c r="AM2113" s="109" cm="1">
        <f t="array" aca="1" ref="AM2113" ca="1">IF('Banco de Dados'!$AK2113&lt;&gt;"-",_xlfn.IFS('Banco de Dados'!$A2113="bv",IF('Banco de Dados'!$E2113&lt;45641,ROUND(SUM('Banco de Dados'!$R2113*_xlfn.XLOOKUP('Banco de Dados'!$P2113,Sku!B:B,Sku!#REF!)*20%),2),ROUND(SUM('Banco de Dados'!$R2113*_xlfn.XLOOKUP('Banco de Dados'!$P2113,Sku!B:B,Sku!H:H)*20%),2)),'Banco de Dados'!$A2113="GO",ROUND(_xlfn.XLOOKUP('Banco de Dados'!$P2113,Sku!C:C,Sku!H:H),2),'Banco de Dados'!$A2113="MEI",ROUND(_xlfn.XLOOKUP('Banco de Dados'!$P2113,Sku!D:D,Sku!H:H),2)),0)</f>
        <v>0</v>
      </c>
      <c r="AN2113" s="109">
        <v>0</v>
      </c>
      <c r="AO2113" s="109">
        <v>0</v>
      </c>
      <c r="AP2113" s="28">
        <f ca="1">IF('Banco de Dados'!$AK2113&lt;&gt;"-",IF('Banco de Dados'!$AL2113="NÃO",IFERROR(VALUE(SUBSTITUTE(_xlfn.TEXTAFTER('Banco de Dados'!$F2113,"BRL ",1),".",",")),0),0),0)</f>
        <v>0</v>
      </c>
      <c r="AQ2113" s="28">
        <f ca="1">SUM('Banco de Dados'!$AM2113:$AP2113)</f>
        <v>0</v>
      </c>
      <c r="AR2113" s="8"/>
      <c r="AS2113" s="8"/>
      <c r="AT2113"/>
      <c r="AY2113" s="8"/>
    </row>
    <row r="2114" spans="1:51">
      <c r="A2114" s="5" t="str">
        <v>MEI</v>
      </c>
      <c r="B2114" s="5" t="str">
        <f ca="1"/>
        <v>MEI45916</v>
      </c>
      <c r="C2114" s="8" t="str">
        <v>Pedido 2099</v>
      </c>
      <c r="D2114" s="187">
        <v>45915</v>
      </c>
      <c r="E2114" s="9">
        <v>45916</v>
      </c>
      <c r="F2114" s="2" t="str">
        <v>PedidoF1983</v>
      </c>
      <c r="G2114" s="2" t="str">
        <v>CódRastreio1981</v>
      </c>
      <c r="H2114" s="5">
        <v>1</v>
      </c>
      <c r="I2114" s="182" t="str">
        <v>CPF 2054</v>
      </c>
      <c r="J2114" s="2" t="str">
        <v>Nome 2054</v>
      </c>
      <c r="K2114" s="8" t="str">
        <v>Tel 2054</v>
      </c>
      <c r="L2114" s="8" t="str">
        <v>Cep 2054</v>
      </c>
      <c r="M2114" s="8" t="str">
        <v>Rua 2054</v>
      </c>
      <c r="N2114" s="8" t="str">
        <v>Comp 2054</v>
      </c>
      <c r="O2114" s="8" t="str">
        <v>Ventilador Rosa</v>
      </c>
      <c r="P2114" s="8" t="str">
        <v>WR-82Y0-OV27</v>
      </c>
      <c r="Q2114" s="4">
        <v>45946</v>
      </c>
      <c r="R2114" s="109">
        <v>50.99</v>
      </c>
      <c r="S2114" s="11">
        <f ca="1"/>
        <v>50.99</v>
      </c>
      <c r="T2114" s="28">
        <f ca="1"/>
        <v>6.1188000000000002</v>
      </c>
      <c r="U2114" s="11">
        <f ca="1"/>
        <v>44.87</v>
      </c>
      <c r="V2114" s="11">
        <v>22.71</v>
      </c>
      <c r="W2114" s="11">
        <f ca="1"/>
        <v>0</v>
      </c>
      <c r="X2114" s="11">
        <f ca="1"/>
        <v>0.39877104377104378</v>
      </c>
      <c r="Y2114" s="11">
        <v>0</v>
      </c>
      <c r="Z2114" s="11">
        <f ca="1"/>
        <v>21.761228956228951</v>
      </c>
      <c r="AA2114" s="11">
        <f ca="1"/>
        <v>10.880614478114476</v>
      </c>
      <c r="AB2114" s="4">
        <f ca="1"/>
        <v>45953</v>
      </c>
      <c r="AC2114" s="4" t="s">
        <v>37</v>
      </c>
      <c r="AD2114" s="9" t="s">
        <v>37</v>
      </c>
      <c r="AE2114" s="9" t="s">
        <v>37</v>
      </c>
      <c r="AF2114" s="4" t="str">
        <f t="shared" ref="AF2114:AF2116" ca="1" si="166">_xlfn.CONCAT(PROPER(TEXT(AB2114,"aaaa"))," ",PROPER(TEXT(AB2114,"mm")))</f>
        <v>2025 10</v>
      </c>
      <c r="AG2114" s="8" t="str" cm="1">
        <f t="array" ref="AG2114">IFERROR(_xlfn.IFS('Banco de Dados'!#REF!="AG. COMPRA","Em processamento",'Banco de Dados'!#REF!="AG. RASTREIO","Em processamento",'Banco de Dados'!$AE2114&lt;&gt;"-","Faturado",'Banco de Dados'!$AD2114&lt;&gt;"-","Aguardando Pix",'Banco de Dados'!$AC2114&lt;&gt;"-","Pendente"),"Aguardando Liberação")</f>
        <v>Aguardando Liberação</v>
      </c>
      <c r="AH2114" s="5" t="str">
        <f>IF('Banco de Dados'!$F2114="-",_xlfn.CONCAT(PROPER(TEXT(AK2114,"aaaa"))," ",PROPER(TEXT(AK2114,"mm"))),_xlfn.CONCAT(PROPER(TEXT(E2114,"aaaa"))," ",PROPER(TEXT(E2114,"mm"))))</f>
        <v>2025 09</v>
      </c>
      <c r="AI2114" s="9" t="str">
        <f ca="1">IF('Banco de Dados'!$AK2114&lt;&gt;"-","REEMBOLSO",IFERROR(_xlfn.XLOOKUP(G2114,Follow[CODRASTREIO],Follow[STATUS]),"-"))</f>
        <v>-</v>
      </c>
      <c r="AJ2114" s="9" t="str">
        <f ca="1">IF('Banco de Dados'!$AI2114="ENTREGUE",_xlfn.XLOOKUP('Banco de Dados'!$G2114,Follow[CODRASTREIO],Follow[DATAATUALIZAÇÃO]),"-")</f>
        <v>-</v>
      </c>
      <c r="AK2114" s="132" t="str">
        <f ca="1"/>
        <v>-</v>
      </c>
      <c r="AL2114" s="35"/>
      <c r="AM2114" s="109" cm="1">
        <f t="array" aca="1" ref="AM2114" ca="1">IF('Banco de Dados'!$AK2114&lt;&gt;"-",_xlfn.IFS('Banco de Dados'!$A2114="bv",IF('Banco de Dados'!$E2114&lt;45641,ROUND(SUM('Banco de Dados'!$R2114*_xlfn.XLOOKUP('Banco de Dados'!$P2114,Sku!B:B,Sku!#REF!)*20%),2),ROUND(SUM('Banco de Dados'!$R2114*_xlfn.XLOOKUP('Banco de Dados'!$P2114,Sku!B:B,Sku!H:H)*20%),2)),'Banco de Dados'!$A2114="GO",ROUND(_xlfn.XLOOKUP('Banco de Dados'!$P2114,Sku!C:C,Sku!H:H),2),'Banco de Dados'!$A2114="MEI",ROUND(_xlfn.XLOOKUP('Banco de Dados'!$P2114,Sku!D:D,Sku!H:H),2)),0)</f>
        <v>0</v>
      </c>
      <c r="AN2114" s="109">
        <v>0</v>
      </c>
      <c r="AO2114" s="109">
        <v>0</v>
      </c>
      <c r="AP2114" s="28">
        <f ca="1">IF('Banco de Dados'!$AK2114&lt;&gt;"-",IF('Banco de Dados'!$AL2114="NÃO",IFERROR(VALUE(SUBSTITUTE(_xlfn.TEXTAFTER('Banco de Dados'!$F2114,"BRL ",1),".",",")),0),0),0)</f>
        <v>0</v>
      </c>
      <c r="AQ2114" s="28">
        <f ca="1">SUM('Banco de Dados'!$AM2114:$AP2114)</f>
        <v>0</v>
      </c>
      <c r="AR2114" s="8"/>
      <c r="AS2114" s="8"/>
      <c r="AT2114"/>
      <c r="AY2114" s="8"/>
    </row>
    <row r="2115" spans="1:51">
      <c r="A2115" s="5" t="str">
        <v>GO</v>
      </c>
      <c r="B2115" s="5" t="str">
        <f ca="1"/>
        <v>GO45916</v>
      </c>
      <c r="C2115" s="8" t="str">
        <v>Pedido 2100</v>
      </c>
      <c r="D2115" s="187">
        <v>45915</v>
      </c>
      <c r="E2115" s="9">
        <v>45916</v>
      </c>
      <c r="F2115" s="2" t="str">
        <v>PedidoF1984</v>
      </c>
      <c r="G2115" s="2" t="str">
        <v>CódRastreio1982</v>
      </c>
      <c r="H2115" s="5">
        <v>1</v>
      </c>
      <c r="I2115" s="182" t="str">
        <v>CPF 2055</v>
      </c>
      <c r="J2115" s="2" t="str">
        <v>Nome 2055</v>
      </c>
      <c r="K2115" s="8" t="str">
        <v>Tel 2055</v>
      </c>
      <c r="L2115" s="8" t="str">
        <v>Cep 2055</v>
      </c>
      <c r="M2115" s="8" t="str">
        <v>Rua 2055</v>
      </c>
      <c r="N2115" s="8" t="str">
        <v>Comp 2055</v>
      </c>
      <c r="O2115" s="8" t="str">
        <v>Mini Liquidificador</v>
      </c>
      <c r="P2115" s="8" t="str">
        <v>Q3-ZLM0-OEUO</v>
      </c>
      <c r="Q2115" s="4">
        <v>45933</v>
      </c>
      <c r="R2115" s="109">
        <v>31.99</v>
      </c>
      <c r="S2115" s="11">
        <f ca="1"/>
        <v>31.99</v>
      </c>
      <c r="T2115" s="28">
        <f ca="1"/>
        <v>3.8387999999999995</v>
      </c>
      <c r="U2115" s="11">
        <f ca="1"/>
        <v>28.15</v>
      </c>
      <c r="V2115" s="11">
        <v>19.989999999999998</v>
      </c>
      <c r="W2115" s="11">
        <f ca="1"/>
        <v>0</v>
      </c>
      <c r="X2115" s="11">
        <f ca="1"/>
        <v>0.39877104377104378</v>
      </c>
      <c r="Y2115" s="11">
        <v>0</v>
      </c>
      <c r="Z2115" s="11">
        <f ca="1"/>
        <v>7.7612289562289547</v>
      </c>
      <c r="AA2115" s="11">
        <f ca="1"/>
        <v>7.7612289562289547</v>
      </c>
      <c r="AB2115" s="4">
        <f ca="1"/>
        <v>45940</v>
      </c>
      <c r="AC2115" s="4" t="s">
        <v>37</v>
      </c>
      <c r="AD2115" s="9" t="s">
        <v>37</v>
      </c>
      <c r="AE2115" s="9" t="s">
        <v>37</v>
      </c>
      <c r="AF2115" s="4" t="str">
        <f t="shared" ca="1" si="166"/>
        <v>2025 10</v>
      </c>
      <c r="AG2115" s="8" t="str" cm="1">
        <f t="array" ref="AG2115">IFERROR(_xlfn.IFS('Banco de Dados'!#REF!="AG. COMPRA","Em processamento",'Banco de Dados'!#REF!="AG. RASTREIO","Em processamento",'Banco de Dados'!$AE2115&lt;&gt;"-","Faturado",'Banco de Dados'!$AD2115&lt;&gt;"-","Aguardando Pix",'Banco de Dados'!$AC2115&lt;&gt;"-","Pendente"),"Aguardando Liberação")</f>
        <v>Aguardando Liberação</v>
      </c>
      <c r="AH2115" s="5" t="str">
        <f>IF('Banco de Dados'!$F2115="-",_xlfn.CONCAT(PROPER(TEXT(AK2115,"aaaa"))," ",PROPER(TEXT(AK2115,"mm"))),_xlfn.CONCAT(PROPER(TEXT(E2115,"aaaa"))," ",PROPER(TEXT(E2115,"mm"))))</f>
        <v>2025 09</v>
      </c>
      <c r="AI2115" s="9" t="str">
        <f ca="1">IF('Banco de Dados'!$AK2115&lt;&gt;"-","REEMBOLSO",IFERROR(_xlfn.XLOOKUP(G2115,Follow[CODRASTREIO],Follow[STATUS]),"-"))</f>
        <v>-</v>
      </c>
      <c r="AJ2115" s="9" t="str">
        <f ca="1">IF('Banco de Dados'!$AI2115="ENTREGUE",_xlfn.XLOOKUP('Banco de Dados'!$G2115,Follow[CODRASTREIO],Follow[DATAATUALIZAÇÃO]),"-")</f>
        <v>-</v>
      </c>
      <c r="AK2115" s="132" t="str">
        <f ca="1"/>
        <v>-</v>
      </c>
      <c r="AL2115" s="35"/>
      <c r="AM2115" s="109" cm="1">
        <f t="array" aca="1" ref="AM2115" ca="1">IF('Banco de Dados'!$AK2115&lt;&gt;"-",_xlfn.IFS('Banco de Dados'!$A2115="bv",IF('Banco de Dados'!$E2115&lt;45641,ROUND(SUM('Banco de Dados'!$R2115*_xlfn.XLOOKUP('Banco de Dados'!$P2115,Sku!B:B,Sku!#REF!)*20%),2),ROUND(SUM('Banco de Dados'!$R2115*_xlfn.XLOOKUP('Banco de Dados'!$P2115,Sku!B:B,Sku!H:H)*20%),2)),'Banco de Dados'!$A2115="GO",ROUND(_xlfn.XLOOKUP('Banco de Dados'!$P2115,Sku!C:C,Sku!H:H),2),'Banco de Dados'!$A2115="MEI",ROUND(_xlfn.XLOOKUP('Banco de Dados'!$P2115,Sku!D:D,Sku!H:H),2)),0)</f>
        <v>0</v>
      </c>
      <c r="AN2115" s="109">
        <v>0</v>
      </c>
      <c r="AO2115" s="109">
        <v>0</v>
      </c>
      <c r="AP2115" s="28">
        <f ca="1">IF('Banco de Dados'!$AK2115&lt;&gt;"-",IF('Banco de Dados'!$AL2115="NÃO",IFERROR(VALUE(SUBSTITUTE(_xlfn.TEXTAFTER('Banco de Dados'!$F2115,"BRL ",1),".",",")),0),0),0)</f>
        <v>0</v>
      </c>
      <c r="AQ2115" s="28">
        <f ca="1">SUM('Banco de Dados'!$AM2115:$AP2115)</f>
        <v>0</v>
      </c>
      <c r="AR2115" s="8"/>
      <c r="AS2115" s="8"/>
      <c r="AT2115"/>
      <c r="AY2115" s="8"/>
    </row>
    <row r="2116" spans="1:51">
      <c r="A2116" s="5" t="str">
        <v>GO</v>
      </c>
      <c r="B2116" s="5" t="str">
        <f ca="1"/>
        <v>GO45916</v>
      </c>
      <c r="C2116" s="8" t="str">
        <v>Pedido 2101</v>
      </c>
      <c r="D2116" s="187">
        <v>45916</v>
      </c>
      <c r="E2116" s="9">
        <v>45916</v>
      </c>
      <c r="F2116" s="2" t="str">
        <v>PedidoF1985</v>
      </c>
      <c r="G2116" s="2" t="str">
        <v>CódRastreio1983</v>
      </c>
      <c r="H2116" s="5">
        <v>1</v>
      </c>
      <c r="I2116" s="182" t="str">
        <v>CPF 2056</v>
      </c>
      <c r="J2116" s="2" t="str">
        <v>Nome 2056</v>
      </c>
      <c r="K2116" s="8" t="str">
        <v>Tel 2056</v>
      </c>
      <c r="L2116" s="8" t="str">
        <v>Cep 2056</v>
      </c>
      <c r="M2116" s="8" t="str">
        <v>Rua 2056</v>
      </c>
      <c r="N2116" s="8" t="str">
        <v>Comp 2056</v>
      </c>
      <c r="O2116" s="8" t="str">
        <v>Mini Liquidificador</v>
      </c>
      <c r="P2116" s="8" t="str">
        <v>Q3-ZLM0-OEUO</v>
      </c>
      <c r="Q2116" s="4">
        <v>45940</v>
      </c>
      <c r="R2116" s="109">
        <v>31.99</v>
      </c>
      <c r="S2116" s="11">
        <f ca="1"/>
        <v>31.99</v>
      </c>
      <c r="T2116" s="28">
        <f ca="1"/>
        <v>3.8387999999999995</v>
      </c>
      <c r="U2116" s="11">
        <f ca="1"/>
        <v>28.15</v>
      </c>
      <c r="V2116" s="11">
        <v>19.989999999999998</v>
      </c>
      <c r="W2116" s="11">
        <f ca="1"/>
        <v>0</v>
      </c>
      <c r="X2116" s="11">
        <f ca="1"/>
        <v>0.39877104377104378</v>
      </c>
      <c r="Y2116" s="11">
        <v>0</v>
      </c>
      <c r="Z2116" s="11">
        <f ca="1"/>
        <v>7.7612289562289547</v>
      </c>
      <c r="AA2116" s="11">
        <f ca="1"/>
        <v>7.7612289562289547</v>
      </c>
      <c r="AB2116" s="4">
        <f ca="1"/>
        <v>45947</v>
      </c>
      <c r="AC2116" s="4" t="s">
        <v>37</v>
      </c>
      <c r="AD2116" s="9" t="s">
        <v>37</v>
      </c>
      <c r="AE2116" s="9" t="s">
        <v>37</v>
      </c>
      <c r="AF2116" s="4" t="str">
        <f t="shared" ca="1" si="166"/>
        <v>2025 10</v>
      </c>
      <c r="AG2116" s="8" t="str" cm="1">
        <f t="array" ref="AG2116">IFERROR(_xlfn.IFS('Banco de Dados'!#REF!="AG. COMPRA","Em processamento",'Banco de Dados'!#REF!="AG. RASTREIO","Em processamento",'Banco de Dados'!$AE2116&lt;&gt;"-","Faturado",'Banco de Dados'!$AD2116&lt;&gt;"-","Aguardando Pix",'Banco de Dados'!$AC2116&lt;&gt;"-","Pendente"),"Aguardando Liberação")</f>
        <v>Aguardando Liberação</v>
      </c>
      <c r="AH2116" s="5" t="str">
        <f>IF('Banco de Dados'!$F2116="-",_xlfn.CONCAT(PROPER(TEXT(AK2116,"aaaa"))," ",PROPER(TEXT(AK2116,"mm"))),_xlfn.CONCAT(PROPER(TEXT(E2116,"aaaa"))," ",PROPER(TEXT(E2116,"mm"))))</f>
        <v>2025 09</v>
      </c>
      <c r="AI2116" s="9" t="str">
        <f ca="1">IF('Banco de Dados'!$AK2116&lt;&gt;"-","REEMBOLSO",IFERROR(_xlfn.XLOOKUP(G2116,Follow[CODRASTREIO],Follow[STATUS]),"-"))</f>
        <v>-</v>
      </c>
      <c r="AJ2116" s="9" t="str">
        <f ca="1">IF('Banco de Dados'!$AI2116="ENTREGUE",_xlfn.XLOOKUP('Banco de Dados'!$G2116,Follow[CODRASTREIO],Follow[DATAATUALIZAÇÃO]),"-")</f>
        <v>-</v>
      </c>
      <c r="AK2116" s="132" t="str">
        <f ca="1"/>
        <v>-</v>
      </c>
      <c r="AL2116" s="35"/>
      <c r="AM2116" s="109" cm="1">
        <f t="array" aca="1" ref="AM2116" ca="1">IF('Banco de Dados'!$AK2116&lt;&gt;"-",_xlfn.IFS('Banco de Dados'!$A2116="bv",IF('Banco de Dados'!$E2116&lt;45641,ROUND(SUM('Banco de Dados'!$R2116*_xlfn.XLOOKUP('Banco de Dados'!$P2116,Sku!B:B,Sku!#REF!)*20%),2),ROUND(SUM('Banco de Dados'!$R2116*_xlfn.XLOOKUP('Banco de Dados'!$P2116,Sku!B:B,Sku!H:H)*20%),2)),'Banco de Dados'!$A2116="GO",ROUND(_xlfn.XLOOKUP('Banco de Dados'!$P2116,Sku!C:C,Sku!H:H),2),'Banco de Dados'!$A2116="MEI",ROUND(_xlfn.XLOOKUP('Banco de Dados'!$P2116,Sku!D:D,Sku!H:H),2)),0)</f>
        <v>0</v>
      </c>
      <c r="AN2116" s="109">
        <v>0</v>
      </c>
      <c r="AO2116" s="109">
        <v>0</v>
      </c>
      <c r="AP2116" s="28">
        <f ca="1">IF('Banco de Dados'!$AK2116&lt;&gt;"-",IF('Banco de Dados'!$AL2116="NÃO",IFERROR(VALUE(SUBSTITUTE(_xlfn.TEXTAFTER('Banco de Dados'!$F2116,"BRL ",1),".",",")),0),0),0)</f>
        <v>0</v>
      </c>
      <c r="AQ2116" s="28">
        <f ca="1">SUM('Banco de Dados'!$AM2116:$AP2116)</f>
        <v>0</v>
      </c>
      <c r="AR2116" s="8"/>
      <c r="AS2116" s="8"/>
      <c r="AT2116"/>
      <c r="AY2116" s="8"/>
    </row>
    <row r="2117" spans="1:51">
      <c r="A2117" s="5" t="str">
        <v>GO</v>
      </c>
      <c r="B2117" s="5" t="str">
        <f ca="1"/>
        <v>GO45922</v>
      </c>
      <c r="C2117" s="8" t="str">
        <v>Pedido 2102</v>
      </c>
      <c r="D2117" s="187">
        <v>45918</v>
      </c>
      <c r="E2117" s="9">
        <v>45922</v>
      </c>
      <c r="F2117" s="196" t="str">
        <v>PedidoF1986</v>
      </c>
      <c r="G2117" s="10" t="str">
        <v>CódRastreio1984</v>
      </c>
      <c r="H2117" s="5">
        <v>1</v>
      </c>
      <c r="I2117" s="182" t="str">
        <v>CPF 2057</v>
      </c>
      <c r="J2117" s="2" t="str">
        <v>Nome 2057</v>
      </c>
      <c r="K2117" s="8" t="str">
        <v>Tel 2057</v>
      </c>
      <c r="L2117" s="8" t="str">
        <v>Cep 2057</v>
      </c>
      <c r="M2117" s="8" t="str">
        <v>Rua 2057</v>
      </c>
      <c r="N2117" s="8" t="str">
        <v>Comp 2057</v>
      </c>
      <c r="O2117" s="8" t="str">
        <v>Mini Liquidificador</v>
      </c>
      <c r="P2117" s="8" t="str">
        <v>Q3-ZLM0-OEUO</v>
      </c>
      <c r="Q2117" s="4">
        <v>45939</v>
      </c>
      <c r="R2117" s="109">
        <v>31.99</v>
      </c>
      <c r="S2117" s="11">
        <f ca="1"/>
        <v>31.99</v>
      </c>
      <c r="T2117" s="28">
        <f ca="1"/>
        <v>3.8387999999999995</v>
      </c>
      <c r="U2117" s="11">
        <f ca="1"/>
        <v>28.15</v>
      </c>
      <c r="V2117" s="11">
        <v>19.8</v>
      </c>
      <c r="W2117" s="11">
        <f ca="1"/>
        <v>0</v>
      </c>
      <c r="X2117" s="11">
        <f ca="1"/>
        <v>0.39877104377104378</v>
      </c>
      <c r="Y2117" s="11">
        <v>0</v>
      </c>
      <c r="Z2117" s="11">
        <f ca="1"/>
        <v>7.9512289562289524</v>
      </c>
      <c r="AA2117" s="11">
        <f ca="1"/>
        <v>7.9512289562289524</v>
      </c>
      <c r="AB2117" s="4">
        <f ca="1"/>
        <v>45946</v>
      </c>
      <c r="AC2117" s="4" t="s">
        <v>37</v>
      </c>
      <c r="AD2117" s="9" t="s">
        <v>37</v>
      </c>
      <c r="AE2117" s="9" t="s">
        <v>37</v>
      </c>
      <c r="AF2117" s="4" t="str">
        <f t="shared" ref="AF2117:AF2119" ca="1" si="167">_xlfn.CONCAT(PROPER(TEXT(AB2117,"aaaa"))," ",PROPER(TEXT(AB2117,"mm")))</f>
        <v>2025 10</v>
      </c>
      <c r="AG2117" s="8" t="str" cm="1">
        <f t="array" ref="AG2117">IFERROR(_xlfn.IFS('Banco de Dados'!#REF!="AG. COMPRA","Em processamento",'Banco de Dados'!#REF!="AG. RASTREIO","Em processamento",'Banco de Dados'!$AE2117&lt;&gt;"-","Faturado",'Banco de Dados'!$AD2117&lt;&gt;"-","Aguardando Pix",'Banco de Dados'!$AC2117&lt;&gt;"-","Pendente"),"Aguardando Liberação")</f>
        <v>Aguardando Liberação</v>
      </c>
      <c r="AH2117" s="5" t="str">
        <f>IF('Banco de Dados'!$F2117="-",_xlfn.CONCAT(PROPER(TEXT(AK2117,"aaaa"))," ",PROPER(TEXT(AK2117,"mm"))),_xlfn.CONCAT(PROPER(TEXT(E2117,"aaaa"))," ",PROPER(TEXT(E2117,"mm"))))</f>
        <v>2025 09</v>
      </c>
      <c r="AI2117" s="9" t="str">
        <f ca="1">IF('Banco de Dados'!$AK2117&lt;&gt;"-","REEMBOLSO",IFERROR(_xlfn.XLOOKUP(G2117,Follow[CODRASTREIO],Follow[STATUS]),"-"))</f>
        <v>-</v>
      </c>
      <c r="AJ2117" s="9" t="str">
        <f ca="1">IF('Banco de Dados'!$AI2117="ENTREGUE",_xlfn.XLOOKUP('Banco de Dados'!$G2117,Follow[CODRASTREIO],Follow[DATAATUALIZAÇÃO]),"-")</f>
        <v>-</v>
      </c>
      <c r="AK2117" s="132" t="str">
        <f ca="1"/>
        <v>-</v>
      </c>
      <c r="AL2117" s="35"/>
      <c r="AM2117" s="109" cm="1">
        <f t="array" aca="1" ref="AM2117" ca="1">IF('Banco de Dados'!$AK2117&lt;&gt;"-",_xlfn.IFS('Banco de Dados'!$A2117="bv",IF('Banco de Dados'!$E2117&lt;45641,ROUND(SUM('Banco de Dados'!$R2117*_xlfn.XLOOKUP('Banco de Dados'!$P2117,Sku!B:B,Sku!#REF!)*20%),2),ROUND(SUM('Banco de Dados'!$R2117*_xlfn.XLOOKUP('Banco de Dados'!$P2117,Sku!B:B,Sku!H:H)*20%),2)),'Banco de Dados'!$A2117="GO",ROUND(_xlfn.XLOOKUP('Banco de Dados'!$P2117,Sku!C:C,Sku!H:H),2),'Banco de Dados'!$A2117="MEI",ROUND(_xlfn.XLOOKUP('Banco de Dados'!$P2117,Sku!D:D,Sku!H:H),2)),0)</f>
        <v>0</v>
      </c>
      <c r="AN2117" s="109">
        <v>0</v>
      </c>
      <c r="AO2117" s="109">
        <v>0</v>
      </c>
      <c r="AP2117" s="28">
        <f ca="1">IF('Banco de Dados'!$AK2117&lt;&gt;"-",IF('Banco de Dados'!$AL2117="NÃO",IFERROR(VALUE(SUBSTITUTE(_xlfn.TEXTAFTER('Banco de Dados'!$F2117,"BRL ",1),".",",")),0),0),0)</f>
        <v>0</v>
      </c>
      <c r="AQ2117" s="28">
        <f ca="1">SUM('Banco de Dados'!$AM2117:$AP2117)</f>
        <v>0</v>
      </c>
      <c r="AR2117" s="8"/>
      <c r="AS2117" s="8"/>
      <c r="AT2117"/>
      <c r="AY2117" s="8"/>
    </row>
    <row r="2118" spans="1:51">
      <c r="A2118" s="5" t="str">
        <v>GO</v>
      </c>
      <c r="B2118" s="5" t="str">
        <f ca="1"/>
        <v>GO45922</v>
      </c>
      <c r="C2118" s="8" t="str">
        <v>Pedido 2103</v>
      </c>
      <c r="D2118" s="187">
        <v>45918</v>
      </c>
      <c r="E2118" s="9">
        <v>45922</v>
      </c>
      <c r="F2118" s="197" t="str">
        <v>PedidoF1987</v>
      </c>
      <c r="G2118" s="10" t="str">
        <v>CódRastreio1985</v>
      </c>
      <c r="H2118" s="5">
        <v>1</v>
      </c>
      <c r="I2118" s="182" t="str">
        <v>CPF 2031</v>
      </c>
      <c r="J2118" s="2" t="str">
        <v>Nome 2031</v>
      </c>
      <c r="K2118" s="8" t="str">
        <v>Tel 2031</v>
      </c>
      <c r="L2118" s="184" t="str">
        <v>Cep 2031</v>
      </c>
      <c r="M2118" s="8" t="str">
        <v>Rua 2031</v>
      </c>
      <c r="N2118" s="8" t="str">
        <v>Comp 2031</v>
      </c>
      <c r="O2118" s="8" t="str">
        <v>Luminária Azul de mesa infantil</v>
      </c>
      <c r="P2118" s="8" t="str">
        <v>0M-4B77-4TO6</v>
      </c>
      <c r="Q2118" s="4">
        <v>45939</v>
      </c>
      <c r="R2118" s="109">
        <v>54.99</v>
      </c>
      <c r="S2118" s="11">
        <f ca="1"/>
        <v>54.99</v>
      </c>
      <c r="T2118" s="28">
        <f ca="1"/>
        <v>6.5987999999999998</v>
      </c>
      <c r="U2118" s="11">
        <f ca="1"/>
        <v>48.39</v>
      </c>
      <c r="V2118" s="11">
        <v>45.84</v>
      </c>
      <c r="W2118" s="11">
        <f ca="1"/>
        <v>0</v>
      </c>
      <c r="X2118" s="11">
        <f ca="1"/>
        <v>0.39877104377104378</v>
      </c>
      <c r="Y2118" s="11">
        <v>0</v>
      </c>
      <c r="Z2118" s="11">
        <f ca="1"/>
        <v>2.1512289562289553</v>
      </c>
      <c r="AA2118" s="11">
        <f ca="1"/>
        <v>2.1512289562289553</v>
      </c>
      <c r="AB2118" s="4">
        <f ca="1"/>
        <v>45946</v>
      </c>
      <c r="AC2118" s="4" t="s">
        <v>37</v>
      </c>
      <c r="AD2118" s="9" t="s">
        <v>37</v>
      </c>
      <c r="AE2118" s="9" t="s">
        <v>37</v>
      </c>
      <c r="AF2118" s="4" t="str">
        <f t="shared" ca="1" si="167"/>
        <v>2025 10</v>
      </c>
      <c r="AG2118" s="8" t="str" cm="1">
        <f t="array" ref="AG2118">IFERROR(_xlfn.IFS('Banco de Dados'!#REF!="AG. COMPRA","Em processamento",'Banco de Dados'!#REF!="AG. RASTREIO","Em processamento",'Banco de Dados'!$AE2118&lt;&gt;"-","Faturado",'Banco de Dados'!$AD2118&lt;&gt;"-","Aguardando Pix",'Banco de Dados'!$AC2118&lt;&gt;"-","Pendente"),"Aguardando Liberação")</f>
        <v>Aguardando Liberação</v>
      </c>
      <c r="AH2118" s="5" t="str">
        <f>IF('Banco de Dados'!$F2118="-",_xlfn.CONCAT(PROPER(TEXT(AK2118,"aaaa"))," ",PROPER(TEXT(AK2118,"mm"))),_xlfn.CONCAT(PROPER(TEXT(E2118,"aaaa"))," ",PROPER(TEXT(E2118,"mm"))))</f>
        <v>2025 09</v>
      </c>
      <c r="AI2118" s="9" t="str">
        <f ca="1">IF('Banco de Dados'!$AK2118&lt;&gt;"-","REEMBOLSO",IFERROR(_xlfn.XLOOKUP(G2118,Follow[CODRASTREIO],Follow[STATUS]),"-"))</f>
        <v>-</v>
      </c>
      <c r="AJ2118" s="9" t="str">
        <f ca="1">IF('Banco de Dados'!$AI2118="ENTREGUE",_xlfn.XLOOKUP('Banco de Dados'!$G2118,Follow[CODRASTREIO],Follow[DATAATUALIZAÇÃO]),"-")</f>
        <v>-</v>
      </c>
      <c r="AK2118" s="132" t="str">
        <f ca="1"/>
        <v>-</v>
      </c>
      <c r="AL2118" s="35"/>
      <c r="AM2118" s="109" cm="1">
        <f t="array" aca="1" ref="AM2118" ca="1">IF('Banco de Dados'!$AK2118&lt;&gt;"-",_xlfn.IFS('Banco de Dados'!$A2118="bv",IF('Banco de Dados'!$E2118&lt;45641,ROUND(SUM('Banco de Dados'!$R2118*_xlfn.XLOOKUP('Banco de Dados'!$P2118,Sku!B:B,Sku!#REF!)*20%),2),ROUND(SUM('Banco de Dados'!$R2118*_xlfn.XLOOKUP('Banco de Dados'!$P2118,Sku!B:B,Sku!H:H)*20%),2)),'Banco de Dados'!$A2118="GO",ROUND(_xlfn.XLOOKUP('Banco de Dados'!$P2118,Sku!C:C,Sku!H:H),2),'Banco de Dados'!$A2118="MEI",ROUND(_xlfn.XLOOKUP('Banco de Dados'!$P2118,Sku!D:D,Sku!H:H),2)),0)</f>
        <v>0</v>
      </c>
      <c r="AN2118" s="109">
        <v>0</v>
      </c>
      <c r="AO2118" s="109">
        <v>0</v>
      </c>
      <c r="AP2118" s="28">
        <f ca="1">IF('Banco de Dados'!$AK2118&lt;&gt;"-",IF('Banco de Dados'!$AL2118="NÃO",IFERROR(VALUE(SUBSTITUTE(_xlfn.TEXTAFTER('Banco de Dados'!$F2118,"BRL ",1),".",",")),0),0),0)</f>
        <v>0</v>
      </c>
      <c r="AQ2118" s="28">
        <f ca="1">SUM('Banco de Dados'!$AM2118:$AP2118)</f>
        <v>0</v>
      </c>
      <c r="AR2118" s="8"/>
      <c r="AS2118" s="8"/>
      <c r="AT2118"/>
      <c r="AY2118" s="8"/>
    </row>
    <row r="2119" spans="1:51">
      <c r="A2119" s="5" t="str">
        <v>GO</v>
      </c>
      <c r="B2119" s="5" t="str">
        <f ca="1"/>
        <v>GO45922</v>
      </c>
      <c r="C2119" s="8" t="str">
        <v>Pedido 2104</v>
      </c>
      <c r="D2119" s="187">
        <v>45922</v>
      </c>
      <c r="E2119" s="9">
        <v>45922</v>
      </c>
      <c r="F2119" s="196" t="str">
        <v>PedidoF1988</v>
      </c>
      <c r="G2119" s="10" t="str">
        <v>CódRastreio1986</v>
      </c>
      <c r="H2119" s="5">
        <v>1</v>
      </c>
      <c r="I2119" s="182" t="str">
        <v>CPF 2058</v>
      </c>
      <c r="J2119" s="2" t="str">
        <v>Nome 2058</v>
      </c>
      <c r="K2119" s="8" t="str">
        <v>Tel 2058</v>
      </c>
      <c r="L2119" s="8" t="str">
        <v>Cep 2058</v>
      </c>
      <c r="M2119" s="8" t="str">
        <v>Rua 2058</v>
      </c>
      <c r="N2119" s="8" t="str">
        <v>Comp 2058</v>
      </c>
      <c r="O2119" s="8" t="str">
        <v>Mini Liquidificador</v>
      </c>
      <c r="P2119" s="8" t="str">
        <v>Q3-ZLM0-OEUO</v>
      </c>
      <c r="Q2119" s="4">
        <v>45947</v>
      </c>
      <c r="R2119" s="109">
        <v>31.99</v>
      </c>
      <c r="S2119" s="11">
        <f ca="1"/>
        <v>31.99</v>
      </c>
      <c r="T2119" s="28">
        <f ca="1"/>
        <v>3.8387999999999995</v>
      </c>
      <c r="U2119" s="11">
        <f ca="1"/>
        <v>28.15</v>
      </c>
      <c r="V2119" s="11">
        <v>19.8</v>
      </c>
      <c r="W2119" s="11">
        <f ca="1"/>
        <v>0</v>
      </c>
      <c r="X2119" s="11">
        <f ca="1"/>
        <v>0.39877104377104378</v>
      </c>
      <c r="Y2119" s="11">
        <v>0</v>
      </c>
      <c r="Z2119" s="11">
        <f ca="1"/>
        <v>7.9512289562289524</v>
      </c>
      <c r="AA2119" s="11">
        <f ca="1"/>
        <v>7.9512289562289524</v>
      </c>
      <c r="AB2119" s="4">
        <f ca="1"/>
        <v>45954</v>
      </c>
      <c r="AC2119" s="4" t="s">
        <v>37</v>
      </c>
      <c r="AD2119" s="9" t="s">
        <v>37</v>
      </c>
      <c r="AE2119" s="9" t="s">
        <v>37</v>
      </c>
      <c r="AF2119" s="4" t="str">
        <f t="shared" ca="1" si="167"/>
        <v>2025 10</v>
      </c>
      <c r="AG2119" s="8" t="str" cm="1">
        <f t="array" ref="AG2119">IFERROR(_xlfn.IFS('Banco de Dados'!#REF!="AG. COMPRA","Em processamento",'Banco de Dados'!#REF!="AG. RASTREIO","Em processamento",'Banco de Dados'!$AE2119&lt;&gt;"-","Faturado",'Banco de Dados'!$AD2119&lt;&gt;"-","Aguardando Pix",'Banco de Dados'!$AC2119&lt;&gt;"-","Pendente"),"Aguardando Liberação")</f>
        <v>Aguardando Liberação</v>
      </c>
      <c r="AH2119" s="5" t="str">
        <f>IF('Banco de Dados'!$F2119="-",_xlfn.CONCAT(PROPER(TEXT(AK2119,"aaaa"))," ",PROPER(TEXT(AK2119,"mm"))),_xlfn.CONCAT(PROPER(TEXT(E2119,"aaaa"))," ",PROPER(TEXT(E2119,"mm"))))</f>
        <v>2025 09</v>
      </c>
      <c r="AI2119" s="9" t="str">
        <f ca="1">IF('Banco de Dados'!$AK2119&lt;&gt;"-","REEMBOLSO",IFERROR(_xlfn.XLOOKUP(G2119,Follow[CODRASTREIO],Follow[STATUS]),"-"))</f>
        <v>-</v>
      </c>
      <c r="AJ2119" s="9" t="str">
        <f ca="1">IF('Banco de Dados'!$AI2119="ENTREGUE",_xlfn.XLOOKUP('Banco de Dados'!$G2119,Follow[CODRASTREIO],Follow[DATAATUALIZAÇÃO]),"-")</f>
        <v>-</v>
      </c>
      <c r="AK2119" s="132" t="str">
        <f ca="1"/>
        <v>-</v>
      </c>
      <c r="AL2119" s="35"/>
      <c r="AM2119" s="109" cm="1">
        <f t="array" aca="1" ref="AM2119" ca="1">IF('Banco de Dados'!$AK2119&lt;&gt;"-",_xlfn.IFS('Banco de Dados'!$A2119="bv",IF('Banco de Dados'!$E2119&lt;45641,ROUND(SUM('Banco de Dados'!$R2119*_xlfn.XLOOKUP('Banco de Dados'!$P2119,Sku!B:B,Sku!#REF!)*20%),2),ROUND(SUM('Banco de Dados'!$R2119*_xlfn.XLOOKUP('Banco de Dados'!$P2119,Sku!B:B,Sku!H:H)*20%),2)),'Banco de Dados'!$A2119="GO",ROUND(_xlfn.XLOOKUP('Banco de Dados'!$P2119,Sku!C:C,Sku!H:H),2),'Banco de Dados'!$A2119="MEI",ROUND(_xlfn.XLOOKUP('Banco de Dados'!$P2119,Sku!D:D,Sku!H:H),2)),0)</f>
        <v>0</v>
      </c>
      <c r="AN2119" s="109">
        <v>0</v>
      </c>
      <c r="AO2119" s="109">
        <v>0</v>
      </c>
      <c r="AP2119" s="28">
        <f ca="1">IF('Banco de Dados'!$AK2119&lt;&gt;"-",IF('Banco de Dados'!$AL2119="NÃO",IFERROR(VALUE(SUBSTITUTE(_xlfn.TEXTAFTER('Banco de Dados'!$F2119,"BRL ",1),".",",")),0),0),0)</f>
        <v>0</v>
      </c>
      <c r="AQ2119" s="28">
        <f ca="1">SUM('Banco de Dados'!$AM2119:$AP2119)</f>
        <v>0</v>
      </c>
      <c r="AR2119" s="8"/>
      <c r="AS2119" s="8"/>
      <c r="AT2119"/>
      <c r="AY2119" s="8"/>
    </row>
    <row r="2120" spans="1:51">
      <c r="A2120" s="5" t="str">
        <v>MEI</v>
      </c>
      <c r="B2120" s="5" t="str">
        <f ca="1"/>
        <v>MEI45929</v>
      </c>
      <c r="C2120" s="8" t="str">
        <v>Pedido 2105</v>
      </c>
      <c r="D2120" s="187">
        <v>45923</v>
      </c>
      <c r="E2120" s="9">
        <v>45929</v>
      </c>
      <c r="F2120" s="196" t="str">
        <v>PedidoF1989</v>
      </c>
      <c r="G2120" s="10" t="str">
        <v>CódRastreio1987</v>
      </c>
      <c r="H2120" s="5">
        <v>1</v>
      </c>
      <c r="I2120" s="182" t="str">
        <v>CPF 2059</v>
      </c>
      <c r="J2120" s="2" t="str">
        <v>Nome 2059</v>
      </c>
      <c r="K2120" s="8" t="str">
        <v>Tel 2059</v>
      </c>
      <c r="L2120" s="8" t="str">
        <v>Cep 2059</v>
      </c>
      <c r="M2120" s="8" t="str">
        <v>Rua 2059</v>
      </c>
      <c r="N2120" s="8" t="str">
        <v>Comp 2059</v>
      </c>
      <c r="O2120" s="8" t="str">
        <v>Brinquedo Bola Giratória voadora</v>
      </c>
      <c r="P2120" s="8" t="str">
        <v>Z0-F6CI-18CL</v>
      </c>
      <c r="Q2120" s="4">
        <v>45955</v>
      </c>
      <c r="R2120" s="109">
        <v>49.99</v>
      </c>
      <c r="S2120" s="11">
        <f ca="1"/>
        <v>49.99</v>
      </c>
      <c r="T2120" s="28">
        <f ca="1"/>
        <v>5.9988000000000001</v>
      </c>
      <c r="U2120" s="11">
        <f ca="1"/>
        <v>43.99</v>
      </c>
      <c r="V2120" s="11">
        <v>30.67</v>
      </c>
      <c r="W2120" s="11">
        <f ca="1"/>
        <v>0</v>
      </c>
      <c r="X2120" s="11">
        <f ca="1"/>
        <v>0.39877104377104378</v>
      </c>
      <c r="Y2120" s="11">
        <v>0</v>
      </c>
      <c r="Z2120" s="11">
        <f ca="1"/>
        <v>12.921228956228955</v>
      </c>
      <c r="AA2120" s="11">
        <f ca="1"/>
        <v>6.4606144781144774</v>
      </c>
      <c r="AB2120" s="4">
        <f ca="1"/>
        <v>45962</v>
      </c>
      <c r="AC2120" s="4" t="s">
        <v>37</v>
      </c>
      <c r="AD2120" s="9" t="s">
        <v>37</v>
      </c>
      <c r="AE2120" s="9" t="s">
        <v>37</v>
      </c>
      <c r="AF2120" s="4" t="str">
        <f t="shared" ref="AF2120:AF2123" ca="1" si="168">_xlfn.CONCAT(PROPER(TEXT(AB2120,"aaaa"))," ",PROPER(TEXT(AB2120,"mm")))</f>
        <v>2025 11</v>
      </c>
      <c r="AG2120" s="8" t="str" cm="1">
        <f t="array" ref="AG2120">IFERROR(_xlfn.IFS('Banco de Dados'!#REF!="AG. COMPRA","Em processamento",'Banco de Dados'!#REF!="AG. RASTREIO","Em processamento",'Banco de Dados'!$AE2120&lt;&gt;"-","Faturado",'Banco de Dados'!$AD2120&lt;&gt;"-","Aguardando Pix",'Banco de Dados'!$AC2120&lt;&gt;"-","Pendente"),"Aguardando Liberação")</f>
        <v>Aguardando Liberação</v>
      </c>
      <c r="AH2120" s="5" t="str">
        <f>IF('Banco de Dados'!$F2120="-",_xlfn.CONCAT(PROPER(TEXT(AK2120,"aaaa"))," ",PROPER(TEXT(AK2120,"mm"))),_xlfn.CONCAT(PROPER(TEXT(E2120,"aaaa"))," ",PROPER(TEXT(E2120,"mm"))))</f>
        <v>2025 09</v>
      </c>
      <c r="AI2120" s="9" t="str">
        <f ca="1">IF('Banco de Dados'!$AK2120&lt;&gt;"-","REEMBOLSO",IFERROR(_xlfn.XLOOKUP(G2120,Follow[CODRASTREIO],Follow[STATUS]),"-"))</f>
        <v>-</v>
      </c>
      <c r="AJ2120" s="9" t="str">
        <f ca="1">IF('Banco de Dados'!$AI2120="ENTREGUE",_xlfn.XLOOKUP('Banco de Dados'!$G2120,Follow[CODRASTREIO],Follow[DATAATUALIZAÇÃO]),"-")</f>
        <v>-</v>
      </c>
      <c r="AK2120" s="132" t="str">
        <f ca="1"/>
        <v>-</v>
      </c>
      <c r="AL2120" s="35"/>
      <c r="AM2120" s="109" cm="1">
        <f t="array" aca="1" ref="AM2120" ca="1">IF('Banco de Dados'!$AK2120&lt;&gt;"-",_xlfn.IFS('Banco de Dados'!$A2120="bv",IF('Banco de Dados'!$E2120&lt;45641,ROUND(SUM('Banco de Dados'!$R2120*_xlfn.XLOOKUP('Banco de Dados'!$P2120,Sku!B:B,Sku!#REF!)*20%),2),ROUND(SUM('Banco de Dados'!$R2120*_xlfn.XLOOKUP('Banco de Dados'!$P2120,Sku!B:B,Sku!H:H)*20%),2)),'Banco de Dados'!$A2120="GO",ROUND(_xlfn.XLOOKUP('Banco de Dados'!$P2120,Sku!C:C,Sku!H:H),2),'Banco de Dados'!$A2120="MEI",ROUND(_xlfn.XLOOKUP('Banco de Dados'!$P2120,Sku!D:D,Sku!H:H),2)),0)</f>
        <v>0</v>
      </c>
      <c r="AN2120" s="109">
        <v>0</v>
      </c>
      <c r="AO2120" s="109">
        <v>0</v>
      </c>
      <c r="AP2120" s="28">
        <f ca="1">IF('Banco de Dados'!$AK2120&lt;&gt;"-",IF('Banco de Dados'!$AL2120="NÃO",IFERROR(VALUE(SUBSTITUTE(_xlfn.TEXTAFTER('Banco de Dados'!$F2120,"BRL ",1),".",",")),0),0),0)</f>
        <v>0</v>
      </c>
      <c r="AQ2120" s="28">
        <f ca="1">SUM('Banco de Dados'!$AM2120:$AP2120)</f>
        <v>0</v>
      </c>
      <c r="AR2120" s="8"/>
      <c r="AS2120" s="8"/>
      <c r="AT2120"/>
      <c r="AY2120" s="8"/>
    </row>
    <row r="2121" spans="1:51">
      <c r="A2121" s="5" t="str">
        <v>MEI</v>
      </c>
      <c r="B2121" s="5" t="str">
        <f ca="1"/>
        <v>MEI-</v>
      </c>
      <c r="C2121" s="8" t="str">
        <v>Pedido 2106</v>
      </c>
      <c r="D2121" s="187">
        <v>45924</v>
      </c>
      <c r="E2121" s="9" t="str">
        <v>-</v>
      </c>
      <c r="F2121" s="10" t="str">
        <v>-</v>
      </c>
      <c r="G2121" s="10" t="str">
        <v>-</v>
      </c>
      <c r="H2121" s="5">
        <v>1</v>
      </c>
      <c r="I2121" s="182" t="str">
        <v>CPF 2060</v>
      </c>
      <c r="J2121" s="2" t="str">
        <v>Nome 2060</v>
      </c>
      <c r="K2121" s="8" t="str">
        <v>Tel 2060</v>
      </c>
      <c r="L2121" s="8" t="str">
        <v>Cep 2060</v>
      </c>
      <c r="M2121" s="8" t="str">
        <v>Rua 2060</v>
      </c>
      <c r="N2121" s="8" t="str">
        <v>Comp 2060</v>
      </c>
      <c r="O2121" s="8" t="str">
        <v>Ventilador Rosa</v>
      </c>
      <c r="P2121" s="8" t="str">
        <v>WR-82Y0-OV27</v>
      </c>
      <c r="Q2121" s="4">
        <v>45945</v>
      </c>
      <c r="R2121" s="109">
        <v>50.99</v>
      </c>
      <c r="S2121" s="11">
        <f ca="1"/>
        <v>0</v>
      </c>
      <c r="T2121" s="28">
        <f ca="1"/>
        <v>0</v>
      </c>
      <c r="U2121" s="11">
        <f ca="1"/>
        <v>0</v>
      </c>
      <c r="V2121" s="11">
        <v>0</v>
      </c>
      <c r="W2121" s="11">
        <f ca="1"/>
        <v>0</v>
      </c>
      <c r="X2121" s="11">
        <f ca="1"/>
        <v>0</v>
      </c>
      <c r="Y2121" s="11">
        <v>0</v>
      </c>
      <c r="Z2121" s="11">
        <f ca="1"/>
        <v>0</v>
      </c>
      <c r="AA2121" s="11">
        <f ca="1"/>
        <v>0</v>
      </c>
      <c r="AB2121" s="4">
        <f ca="1"/>
        <v>45952</v>
      </c>
      <c r="AC2121" s="4" t="s">
        <v>37</v>
      </c>
      <c r="AD2121" s="9" t="s">
        <v>37</v>
      </c>
      <c r="AE2121" s="9" t="s">
        <v>37</v>
      </c>
      <c r="AF2121" s="4" t="str">
        <f t="shared" ca="1" si="168"/>
        <v>2025 10</v>
      </c>
      <c r="AG2121" s="8" t="str" cm="1">
        <f t="array" ref="AG2121">IFERROR(_xlfn.IFS('Banco de Dados'!#REF!="AG. COMPRA","Em processamento",'Banco de Dados'!#REF!="AG. RASTREIO","Em processamento",'Banco de Dados'!$AE2121&lt;&gt;"-","Faturado",'Banco de Dados'!$AD2121&lt;&gt;"-","Aguardando Pix",'Banco de Dados'!$AC2121&lt;&gt;"-","Pendente"),"Aguardando Liberação")</f>
        <v>Aguardando Liberação</v>
      </c>
      <c r="AH2121" s="5" t="str">
        <f ca="1">IF('Banco de Dados'!$F2121="-",_xlfn.CONCAT(PROPER(TEXT(AK2121,"aaaa"))," ",PROPER(TEXT(AK2121,"mm"))),_xlfn.CONCAT(PROPER(TEXT(E2121,"aaaa"))," ",PROPER(TEXT(E2121,"mm"))))</f>
        <v>2025 09</v>
      </c>
      <c r="AI2121" s="9" t="str">
        <f ca="1">IF('Banco de Dados'!$AK2121&lt;&gt;"-","REEMBOLSO",IFERROR(_xlfn.XLOOKUP(G2121,Follow[CODRASTREIO],Follow[STATUS]),"-"))</f>
        <v>REEMBOLSO</v>
      </c>
      <c r="AJ2121" s="9" t="str">
        <f ca="1">IF('Banco de Dados'!$AI2121="ENTREGUE",_xlfn.XLOOKUP('Banco de Dados'!$G2121,Follow[CODRASTREIO],Follow[DATAATUALIZAÇÃO]),"-")</f>
        <v>-</v>
      </c>
      <c r="AK2121" s="132">
        <f ca="1"/>
        <v>45930</v>
      </c>
      <c r="AL2121" s="35"/>
      <c r="AM2121" s="109" cm="1">
        <f t="array" aca="1" ref="AM2121" ca="1">IF('Banco de Dados'!$AK2121&lt;&gt;"-",_xlfn.IFS('Banco de Dados'!$A2121="bv",IF('Banco de Dados'!$E2121&lt;45641,ROUND(SUM('Banco de Dados'!$R2121*_xlfn.XLOOKUP('Banco de Dados'!$P2121,Sku!B:B,Sku!#REF!)*20%),2),ROUND(SUM('Banco de Dados'!$R2121*_xlfn.XLOOKUP('Banco de Dados'!$P2121,Sku!B:B,Sku!H:H)*20%),2)),'Banco de Dados'!$A2121="GO",ROUND(_xlfn.XLOOKUP('Banco de Dados'!$P2121,Sku!C:C,Sku!H:H),2),'Banco de Dados'!$A2121="MEI",ROUND(_xlfn.XLOOKUP('Banco de Dados'!$P2121,Sku!D:D,Sku!H:H),2)),0)</f>
        <v>0.13</v>
      </c>
      <c r="AN2121" s="109">
        <v>0</v>
      </c>
      <c r="AO2121" s="109">
        <v>0</v>
      </c>
      <c r="AP2121" s="28">
        <f ca="1">IF('Banco de Dados'!$AK2121&lt;&gt;"-",IF('Banco de Dados'!$AL2121="NÃO",IFERROR(VALUE(SUBSTITUTE(_xlfn.TEXTAFTER('Banco de Dados'!$F2121,"BRL ",1),".",",")),0),0),0)</f>
        <v>0</v>
      </c>
      <c r="AQ2121" s="28">
        <f ca="1">SUM('Banco de Dados'!$AM2121:$AP2121)</f>
        <v>0.13</v>
      </c>
      <c r="AR2121" s="8"/>
      <c r="AS2121" s="8"/>
      <c r="AT2121"/>
      <c r="AY2121" s="8"/>
    </row>
    <row r="2122" spans="1:51">
      <c r="A2122" s="5" t="str">
        <v>GO</v>
      </c>
      <c r="B2122" s="5" t="str">
        <f ca="1"/>
        <v>GO45929</v>
      </c>
      <c r="C2122" s="8" t="str">
        <v>Pedido 2107</v>
      </c>
      <c r="D2122" s="187">
        <v>45927</v>
      </c>
      <c r="E2122" s="9">
        <v>45929</v>
      </c>
      <c r="F2122" s="196" t="str">
        <v>PedidoF1990</v>
      </c>
      <c r="G2122" s="10" t="str">
        <v>CódRastreio1988</v>
      </c>
      <c r="H2122" s="5">
        <v>1</v>
      </c>
      <c r="I2122" s="182" t="str">
        <v>CPF 2061</v>
      </c>
      <c r="J2122" s="2" t="str">
        <v>Nome 2061</v>
      </c>
      <c r="K2122" s="8" t="str">
        <v>Tel 2061</v>
      </c>
      <c r="L2122" s="8" t="str">
        <v>Cep 2061</v>
      </c>
      <c r="M2122" s="8" t="str">
        <v>Rua 2061</v>
      </c>
      <c r="N2122" s="8" t="str">
        <v>Comp 2061</v>
      </c>
      <c r="O2122" s="8" t="str">
        <v>Mini Liquidificador</v>
      </c>
      <c r="P2122" s="8" t="str">
        <v>Q3-ZLM0-OEUO</v>
      </c>
      <c r="Q2122" s="4">
        <v>45947</v>
      </c>
      <c r="R2122" s="109">
        <v>31.99</v>
      </c>
      <c r="S2122" s="11">
        <f ca="1"/>
        <v>31.99</v>
      </c>
      <c r="T2122" s="28">
        <f ca="1"/>
        <v>3.8387999999999995</v>
      </c>
      <c r="U2122" s="11">
        <f ca="1"/>
        <v>28.15</v>
      </c>
      <c r="V2122" s="11">
        <v>20.14</v>
      </c>
      <c r="W2122" s="11">
        <f ca="1"/>
        <v>0</v>
      </c>
      <c r="X2122" s="11">
        <f ca="1"/>
        <v>0.39877104377104378</v>
      </c>
      <c r="Y2122" s="11">
        <v>0</v>
      </c>
      <c r="Z2122" s="11">
        <f ca="1"/>
        <v>7.6112289562289526</v>
      </c>
      <c r="AA2122" s="11">
        <f ca="1"/>
        <v>7.6112289562289526</v>
      </c>
      <c r="AB2122" s="4">
        <f ca="1"/>
        <v>45954</v>
      </c>
      <c r="AC2122" s="4" t="s">
        <v>37</v>
      </c>
      <c r="AD2122" s="9" t="s">
        <v>37</v>
      </c>
      <c r="AE2122" s="9" t="s">
        <v>37</v>
      </c>
      <c r="AF2122" s="4" t="str">
        <f t="shared" ca="1" si="168"/>
        <v>2025 10</v>
      </c>
      <c r="AG2122" s="8" t="str" cm="1">
        <f t="array" ref="AG2122">IFERROR(_xlfn.IFS('Banco de Dados'!#REF!="AG. COMPRA","Em processamento",'Banco de Dados'!#REF!="AG. RASTREIO","Em processamento",'Banco de Dados'!$AE2122&lt;&gt;"-","Faturado",'Banco de Dados'!$AD2122&lt;&gt;"-","Aguardando Pix",'Banco de Dados'!$AC2122&lt;&gt;"-","Pendente"),"Aguardando Liberação")</f>
        <v>Aguardando Liberação</v>
      </c>
      <c r="AH2122" s="5" t="str">
        <f>IF('Banco de Dados'!$F2122="-",_xlfn.CONCAT(PROPER(TEXT(AK2122,"aaaa"))," ",PROPER(TEXT(AK2122,"mm"))),_xlfn.CONCAT(PROPER(TEXT(E2122,"aaaa"))," ",PROPER(TEXT(E2122,"mm"))))</f>
        <v>2025 09</v>
      </c>
      <c r="AI2122" s="9" t="str">
        <f ca="1">IF('Banco de Dados'!$AK2122&lt;&gt;"-","REEMBOLSO",IFERROR(_xlfn.XLOOKUP(G2122,Follow[CODRASTREIO],Follow[STATUS]),"-"))</f>
        <v>-</v>
      </c>
      <c r="AJ2122" s="9" t="str">
        <f ca="1">IF('Banco de Dados'!$AI2122="ENTREGUE",_xlfn.XLOOKUP('Banco de Dados'!$G2122,Follow[CODRASTREIO],Follow[DATAATUALIZAÇÃO]),"-")</f>
        <v>-</v>
      </c>
      <c r="AK2122" s="132" t="str">
        <f ca="1"/>
        <v>-</v>
      </c>
      <c r="AL2122" s="35"/>
      <c r="AM2122" s="109" cm="1">
        <f t="array" aca="1" ref="AM2122" ca="1">IF('Banco de Dados'!$AK2122&lt;&gt;"-",_xlfn.IFS('Banco de Dados'!$A2122="bv",IF('Banco de Dados'!$E2122&lt;45641,ROUND(SUM('Banco de Dados'!$R2122*_xlfn.XLOOKUP('Banco de Dados'!$P2122,Sku!B:B,Sku!#REF!)*20%),2),ROUND(SUM('Banco de Dados'!$R2122*_xlfn.XLOOKUP('Banco de Dados'!$P2122,Sku!B:B,Sku!H:H)*20%),2)),'Banco de Dados'!$A2122="GO",ROUND(_xlfn.XLOOKUP('Banco de Dados'!$P2122,Sku!C:C,Sku!H:H),2),'Banco de Dados'!$A2122="MEI",ROUND(_xlfn.XLOOKUP('Banco de Dados'!$P2122,Sku!D:D,Sku!H:H),2)),0)</f>
        <v>0</v>
      </c>
      <c r="AN2122" s="109">
        <v>0</v>
      </c>
      <c r="AO2122" s="109">
        <v>0</v>
      </c>
      <c r="AP2122" s="28">
        <f ca="1">IF('Banco de Dados'!$AK2122&lt;&gt;"-",IF('Banco de Dados'!$AL2122="NÃO",IFERROR(VALUE(SUBSTITUTE(_xlfn.TEXTAFTER('Banco de Dados'!$F2122,"BRL ",1),".",",")),0),0),0)</f>
        <v>0</v>
      </c>
      <c r="AQ2122" s="28">
        <f ca="1">SUM('Banco de Dados'!$AM2122:$AP2122)</f>
        <v>0</v>
      </c>
      <c r="AR2122" s="8"/>
      <c r="AS2122" s="8"/>
      <c r="AT2122"/>
      <c r="AY2122" s="8"/>
    </row>
    <row r="2123" spans="1:51">
      <c r="A2123" s="5" t="str">
        <v>GO</v>
      </c>
      <c r="B2123" s="5" t="str">
        <f ca="1"/>
        <v>GO45929</v>
      </c>
      <c r="C2123" s="8" t="str">
        <v>Pedido 2108</v>
      </c>
      <c r="D2123" s="187">
        <v>45929</v>
      </c>
      <c r="E2123" s="9">
        <v>45929</v>
      </c>
      <c r="F2123" s="196" t="str">
        <v>PedidoF1991</v>
      </c>
      <c r="G2123" s="10" t="str">
        <v>CódRastreio1989</v>
      </c>
      <c r="H2123" s="5">
        <v>1</v>
      </c>
      <c r="I2123" s="182" t="str">
        <v>CPF 2062</v>
      </c>
      <c r="J2123" s="2" t="str">
        <v>Nome 2062</v>
      </c>
      <c r="K2123" s="8" t="str">
        <v>Tel 2062</v>
      </c>
      <c r="L2123" s="8" t="str">
        <v>Cep 2062</v>
      </c>
      <c r="M2123" s="8" t="str">
        <v>Rua 2062</v>
      </c>
      <c r="N2123" s="8" t="str">
        <v>Comp 2062</v>
      </c>
      <c r="O2123" s="8" t="str">
        <v>Mini Liquidificador</v>
      </c>
      <c r="P2123" s="8" t="str">
        <v>Q3-ZLM0-OEUO</v>
      </c>
      <c r="Q2123" s="4">
        <v>45954</v>
      </c>
      <c r="R2123" s="109">
        <v>31.99</v>
      </c>
      <c r="S2123" s="11">
        <f ca="1"/>
        <v>0</v>
      </c>
      <c r="T2123" s="28">
        <f ca="1"/>
        <v>0</v>
      </c>
      <c r="U2123" s="11">
        <f ca="1"/>
        <v>0</v>
      </c>
      <c r="V2123" s="11">
        <v>19.8</v>
      </c>
      <c r="W2123" s="11">
        <f ca="1"/>
        <v>0</v>
      </c>
      <c r="X2123" s="11">
        <f ca="1"/>
        <v>0.39877104377104378</v>
      </c>
      <c r="Y2123" s="11">
        <v>0</v>
      </c>
      <c r="Z2123" s="11">
        <f ca="1"/>
        <v>-20.198771043771046</v>
      </c>
      <c r="AA2123" s="11">
        <f ca="1"/>
        <v>-20.198771043771046</v>
      </c>
      <c r="AB2123" s="4">
        <f ca="1"/>
        <v>45961</v>
      </c>
      <c r="AC2123" s="4" t="s">
        <v>37</v>
      </c>
      <c r="AD2123" s="9" t="s">
        <v>37</v>
      </c>
      <c r="AE2123" s="9" t="s">
        <v>37</v>
      </c>
      <c r="AF2123" s="4" t="str">
        <f t="shared" ca="1" si="168"/>
        <v>2025 10</v>
      </c>
      <c r="AG2123" s="8" t="str" cm="1">
        <f t="array" ref="AG2123">IFERROR(_xlfn.IFS('Banco de Dados'!#REF!="AG. COMPRA","Em processamento",'Banco de Dados'!#REF!="AG. RASTREIO","Em processamento",'Banco de Dados'!$AE2123&lt;&gt;"-","Faturado",'Banco de Dados'!$AD2123&lt;&gt;"-","Aguardando Pix",'Banco de Dados'!$AC2123&lt;&gt;"-","Pendente"),"Aguardando Liberação")</f>
        <v>Aguardando Liberação</v>
      </c>
      <c r="AH2123" s="5" t="str">
        <f>IF('Banco de Dados'!$F2123="-",_xlfn.CONCAT(PROPER(TEXT(AK2123,"aaaa"))," ",PROPER(TEXT(AK2123,"mm"))),_xlfn.CONCAT(PROPER(TEXT(E2123,"aaaa"))," ",PROPER(TEXT(E2123,"mm"))))</f>
        <v>2025 09</v>
      </c>
      <c r="AI2123" s="9" t="str">
        <f ca="1">IF('Banco de Dados'!$AK2123&lt;&gt;"-","REEMBOLSO",IFERROR(_xlfn.XLOOKUP(G2123,Follow[CODRASTREIO],Follow[STATUS]),"-"))</f>
        <v>REEMBOLSO</v>
      </c>
      <c r="AJ2123" s="9" t="str">
        <f ca="1">IF('Banco de Dados'!$AI2123="ENTREGUE",_xlfn.XLOOKUP('Banco de Dados'!$G2123,Follow[CODRASTREIO],Follow[DATAATUALIZAÇÃO]),"-")</f>
        <v>-</v>
      </c>
      <c r="AK2123" s="132">
        <f ca="1"/>
        <v>45969</v>
      </c>
      <c r="AL2123" s="35"/>
      <c r="AM2123" s="109" cm="1">
        <f t="array" aca="1" ref="AM2123" ca="1">IF('Banco de Dados'!$AK2123&lt;&gt;"-",_xlfn.IFS('Banco de Dados'!$A2123="bv",IF('Banco de Dados'!$E2123&lt;45641,ROUND(SUM('Banco de Dados'!$R2123*_xlfn.XLOOKUP('Banco de Dados'!$P2123,Sku!B:B,Sku!#REF!)*20%),2),ROUND(SUM('Banco de Dados'!$R2123*_xlfn.XLOOKUP('Banco de Dados'!$P2123,Sku!B:B,Sku!H:H)*20%),2)),'Banco de Dados'!$A2123="GO",ROUND(_xlfn.XLOOKUP('Banco de Dados'!$P2123,Sku!C:C,Sku!H:H),2),'Banco de Dados'!$A2123="MEI",ROUND(_xlfn.XLOOKUP('Banco de Dados'!$P2123,Sku!D:D,Sku!H:H),2)),0)</f>
        <v>0.13</v>
      </c>
      <c r="AN2123" s="109">
        <v>0</v>
      </c>
      <c r="AO2123" s="109">
        <v>0</v>
      </c>
      <c r="AP2123" s="28">
        <f ca="1">IF('Banco de Dados'!$AK2123&lt;&gt;"-",IF('Banco de Dados'!$AL2123="NÃO",IFERROR(VALUE(SUBSTITUTE(_xlfn.TEXTAFTER('Banco de Dados'!$F2123,"BRL ",1),".",",")),0),0),0)</f>
        <v>0</v>
      </c>
      <c r="AQ2123" s="28">
        <f ca="1">SUM('Banco de Dados'!$AM2123:$AP2123)</f>
        <v>0.13</v>
      </c>
      <c r="AR2123" s="8"/>
      <c r="AS2123" s="8"/>
      <c r="AT2123"/>
      <c r="AY2123" s="8"/>
    </row>
    <row r="2124" spans="1:51">
      <c r="Q2124" s="4"/>
    </row>
    <row r="2125" spans="1:51">
      <c r="Q2125" s="4"/>
    </row>
    <row r="2126" spans="1:51">
      <c r="Q2126" s="4"/>
    </row>
    <row r="2127" spans="1:51">
      <c r="Q2127" s="4"/>
    </row>
    <row r="2128" spans="1:51">
      <c r="Q2128" s="4"/>
    </row>
    <row r="2129" spans="17:17">
      <c r="Q2129" s="4"/>
    </row>
    <row r="2130" spans="17:17">
      <c r="Q2130" s="4"/>
    </row>
    <row r="2131" spans="17:17">
      <c r="Q2131" s="4"/>
    </row>
    <row r="2132" spans="17:17">
      <c r="Q2132" s="4"/>
    </row>
    <row r="2133" spans="17:17">
      <c r="Q2133" s="4"/>
    </row>
    <row r="2134" spans="17:17">
      <c r="Q2134" s="4"/>
    </row>
    <row r="2135" spans="17:17">
      <c r="Q2135" s="4"/>
    </row>
    <row r="2136" spans="17:17">
      <c r="Q2136" s="4"/>
    </row>
    <row r="2137" spans="17:17">
      <c r="Q2137" s="4"/>
    </row>
    <row r="2138" spans="17:17">
      <c r="Q2138" s="4"/>
    </row>
    <row r="2139" spans="17:17">
      <c r="Q2139" s="4"/>
    </row>
    <row r="2140" spans="17:17">
      <c r="Q2140" s="4"/>
    </row>
    <row r="2141" spans="17:17">
      <c r="Q2141" s="4"/>
    </row>
    <row r="2142" spans="17:17">
      <c r="Q2142" s="4"/>
    </row>
    <row r="2143" spans="17:17">
      <c r="Q2143" s="4"/>
    </row>
    <row r="2144" spans="17:17">
      <c r="Q2144" s="4"/>
    </row>
    <row r="2145" spans="17:17">
      <c r="Q2145" s="4"/>
    </row>
    <row r="2146" spans="17:17">
      <c r="Q2146" s="4"/>
    </row>
    <row r="2147" spans="17:17">
      <c r="Q2147" s="4"/>
    </row>
    <row r="2148" spans="17:17">
      <c r="Q2148" s="4"/>
    </row>
    <row r="2149" spans="17:17">
      <c r="Q2149" s="4"/>
    </row>
    <row r="2150" spans="17:17">
      <c r="Q2150" s="4"/>
    </row>
    <row r="2151" spans="17:17">
      <c r="Q2151" s="4"/>
    </row>
    <row r="2152" spans="17:17">
      <c r="Q2152" s="4"/>
    </row>
    <row r="2153" spans="17:17">
      <c r="Q2153" s="4"/>
    </row>
    <row r="2154" spans="17:17">
      <c r="Q2154" s="4"/>
    </row>
    <row r="2155" spans="17:17">
      <c r="Q2155" s="4"/>
    </row>
    <row r="2156" spans="17:17">
      <c r="Q2156" s="4"/>
    </row>
    <row r="2157" spans="17:17">
      <c r="Q2157" s="4"/>
    </row>
    <row r="2158" spans="17:17">
      <c r="Q2158" s="4"/>
    </row>
    <row r="2159" spans="17:17">
      <c r="Q2159" s="4"/>
    </row>
    <row r="2160" spans="17:17">
      <c r="Q2160" s="4"/>
    </row>
    <row r="2161" spans="17:17">
      <c r="Q2161" s="4"/>
    </row>
    <row r="2162" spans="17:17">
      <c r="Q2162" s="4"/>
    </row>
    <row r="2163" spans="17:17">
      <c r="Q2163" s="4"/>
    </row>
    <row r="2164" spans="17:17">
      <c r="Q2164" s="4"/>
    </row>
    <row r="2165" spans="17:17">
      <c r="Q2165" s="4"/>
    </row>
    <row r="2166" spans="17:17">
      <c r="Q2166" s="4"/>
    </row>
    <row r="2167" spans="17:17">
      <c r="Q2167" s="4"/>
    </row>
    <row r="2168" spans="17:17">
      <c r="Q2168" s="4"/>
    </row>
    <row r="2169" spans="17:17">
      <c r="Q2169" s="4"/>
    </row>
    <row r="2170" spans="17:17">
      <c r="Q2170" s="4"/>
    </row>
    <row r="2171" spans="17:17">
      <c r="Q2171" s="4"/>
    </row>
    <row r="2172" spans="17:17">
      <c r="Q2172" s="4"/>
    </row>
    <row r="2173" spans="17:17">
      <c r="Q2173" s="4"/>
    </row>
    <row r="2174" spans="17:17">
      <c r="Q2174" s="4"/>
    </row>
    <row r="2175" spans="17:17">
      <c r="Q2175" s="4"/>
    </row>
    <row r="2176" spans="17:17">
      <c r="Q2176" s="4"/>
    </row>
    <row r="2177" spans="17:17">
      <c r="Q2177" s="4"/>
    </row>
    <row r="2178" spans="17:17">
      <c r="Q2178" s="4"/>
    </row>
    <row r="2179" spans="17:17">
      <c r="Q2179" s="4"/>
    </row>
    <row r="2180" spans="17:17">
      <c r="Q2180" s="4"/>
    </row>
    <row r="2181" spans="17:17">
      <c r="Q2181" s="4"/>
    </row>
    <row r="2182" spans="17:17">
      <c r="Q2182" s="4"/>
    </row>
    <row r="2183" spans="17:17">
      <c r="Q2183" s="4"/>
    </row>
    <row r="2184" spans="17:17">
      <c r="Q2184" s="4"/>
    </row>
    <row r="2185" spans="17:17">
      <c r="Q2185" s="4"/>
    </row>
    <row r="2186" spans="17:17">
      <c r="Q2186" s="4"/>
    </row>
    <row r="2187" spans="17:17">
      <c r="Q2187" s="4"/>
    </row>
    <row r="2188" spans="17:17">
      <c r="Q2188" s="4"/>
    </row>
    <row r="2189" spans="17:17">
      <c r="Q2189" s="4"/>
    </row>
    <row r="2190" spans="17:17">
      <c r="Q2190" s="4"/>
    </row>
    <row r="2191" spans="17:17">
      <c r="Q2191" s="4"/>
    </row>
    <row r="2192" spans="17:17">
      <c r="Q2192" s="4"/>
    </row>
    <row r="2193" spans="17:17">
      <c r="Q2193" s="4"/>
    </row>
    <row r="2194" spans="17:17">
      <c r="Q2194" s="4"/>
    </row>
    <row r="2195" spans="17:17">
      <c r="Q2195" s="4"/>
    </row>
    <row r="2196" spans="17:17">
      <c r="Q2196" s="4"/>
    </row>
    <row r="2197" spans="17:17">
      <c r="Q2197" s="4"/>
    </row>
    <row r="2198" spans="17:17">
      <c r="Q2198" s="4"/>
    </row>
    <row r="2199" spans="17:17">
      <c r="Q2199" s="4"/>
    </row>
    <row r="2200" spans="17:17">
      <c r="Q2200" s="4"/>
    </row>
    <row r="2201" spans="17:17">
      <c r="Q2201" s="4"/>
    </row>
    <row r="2202" spans="17:17">
      <c r="Q2202" s="4"/>
    </row>
    <row r="2203" spans="17:17">
      <c r="Q2203" s="4"/>
    </row>
    <row r="2204" spans="17:17">
      <c r="Q2204" s="4"/>
    </row>
    <row r="2205" spans="17:17">
      <c r="Q2205" s="4"/>
    </row>
    <row r="2206" spans="17:17">
      <c r="Q2206" s="4"/>
    </row>
    <row r="2207" spans="17:17">
      <c r="Q2207" s="4"/>
    </row>
    <row r="2208" spans="17:17">
      <c r="Q2208" s="4"/>
    </row>
    <row r="2209" spans="17:17">
      <c r="Q2209" s="4"/>
    </row>
    <row r="2210" spans="17:17">
      <c r="Q2210" s="4"/>
    </row>
    <row r="2211" spans="17:17">
      <c r="Q2211" s="4"/>
    </row>
    <row r="2212" spans="17:17">
      <c r="Q2212" s="4"/>
    </row>
    <row r="2213" spans="17:17">
      <c r="Q2213" s="4"/>
    </row>
    <row r="2214" spans="17:17">
      <c r="Q2214" s="4"/>
    </row>
    <row r="2215" spans="17:17">
      <c r="Q2215" s="4"/>
    </row>
    <row r="2216" spans="17:17">
      <c r="Q2216" s="4"/>
    </row>
    <row r="2217" spans="17:17">
      <c r="Q2217" s="4"/>
    </row>
    <row r="2218" spans="17:17">
      <c r="Q2218" s="4"/>
    </row>
    <row r="2219" spans="17:17">
      <c r="Q2219" s="4"/>
    </row>
    <row r="2220" spans="17:17">
      <c r="Q2220" s="4"/>
    </row>
    <row r="2221" spans="17:17">
      <c r="Q2221" s="4"/>
    </row>
    <row r="2222" spans="17:17">
      <c r="Q2222" s="4"/>
    </row>
    <row r="2223" spans="17:17">
      <c r="Q2223" s="4"/>
    </row>
    <row r="2224" spans="17:17">
      <c r="Q2224" s="4"/>
    </row>
    <row r="2225" spans="17:17">
      <c r="Q2225" s="4"/>
    </row>
    <row r="2226" spans="17:17">
      <c r="Q2226" s="4"/>
    </row>
    <row r="2227" spans="17:17">
      <c r="Q2227" s="4"/>
    </row>
    <row r="2228" spans="17:17">
      <c r="Q2228" s="4"/>
    </row>
    <row r="2229" spans="17:17">
      <c r="Q2229" s="4"/>
    </row>
    <row r="2230" spans="17:17">
      <c r="Q2230" s="4"/>
    </row>
    <row r="2231" spans="17:17">
      <c r="Q2231" s="4"/>
    </row>
    <row r="2232" spans="17:17">
      <c r="Q2232" s="4"/>
    </row>
    <row r="2233" spans="17:17">
      <c r="Q2233" s="4"/>
    </row>
    <row r="2234" spans="17:17">
      <c r="Q2234" s="4"/>
    </row>
    <row r="2235" spans="17:17">
      <c r="Q2235" s="4"/>
    </row>
    <row r="2236" spans="17:17">
      <c r="Q2236" s="4"/>
    </row>
    <row r="2237" spans="17:17">
      <c r="Q2237" s="4"/>
    </row>
    <row r="2238" spans="17:17">
      <c r="Q2238" s="4"/>
    </row>
    <row r="2239" spans="17:17">
      <c r="Q2239" s="4"/>
    </row>
    <row r="2240" spans="17:17">
      <c r="Q2240" s="4"/>
    </row>
    <row r="2241" spans="17:17">
      <c r="Q2241" s="4"/>
    </row>
    <row r="2242" spans="17:17">
      <c r="Q2242" s="4"/>
    </row>
    <row r="2243" spans="17:17">
      <c r="Q2243" s="4"/>
    </row>
    <row r="2244" spans="17:17">
      <c r="Q2244" s="4"/>
    </row>
    <row r="2245" spans="17:17">
      <c r="Q2245" s="4"/>
    </row>
    <row r="2246" spans="17:17">
      <c r="Q2246" s="4"/>
    </row>
    <row r="2247" spans="17:17">
      <c r="Q2247" s="4"/>
    </row>
    <row r="2248" spans="17:17">
      <c r="Q2248" s="4"/>
    </row>
    <row r="2249" spans="17:17">
      <c r="Q2249" s="4"/>
    </row>
    <row r="2250" spans="17:17">
      <c r="Q2250" s="4"/>
    </row>
    <row r="2251" spans="17:17">
      <c r="Q2251" s="4"/>
    </row>
    <row r="2252" spans="17:17">
      <c r="Q2252" s="4"/>
    </row>
    <row r="2253" spans="17:17">
      <c r="Q2253" s="4"/>
    </row>
    <row r="2254" spans="17:17">
      <c r="Q2254" s="4"/>
    </row>
    <row r="2255" spans="17:17">
      <c r="Q2255" s="4"/>
    </row>
    <row r="2256" spans="17:17">
      <c r="Q2256" s="4"/>
    </row>
    <row r="2257" spans="17:17">
      <c r="Q2257" s="4"/>
    </row>
    <row r="2258" spans="17:17">
      <c r="Q2258" s="4"/>
    </row>
    <row r="2259" spans="17:17">
      <c r="Q2259" s="4"/>
    </row>
    <row r="2260" spans="17:17">
      <c r="Q2260" s="4"/>
    </row>
    <row r="2261" spans="17:17">
      <c r="Q2261" s="4"/>
    </row>
    <row r="2262" spans="17:17">
      <c r="Q2262" s="4"/>
    </row>
    <row r="2263" spans="17:17">
      <c r="Q2263" s="4"/>
    </row>
    <row r="2264" spans="17:17">
      <c r="Q2264" s="4"/>
    </row>
    <row r="2265" spans="17:17">
      <c r="Q2265" s="4"/>
    </row>
    <row r="2266" spans="17:17">
      <c r="Q2266" s="4"/>
    </row>
    <row r="2267" spans="17:17">
      <c r="Q2267" s="4"/>
    </row>
    <row r="2268" spans="17:17">
      <c r="Q2268" s="4"/>
    </row>
    <row r="2269" spans="17:17">
      <c r="Q2269" s="4"/>
    </row>
    <row r="2270" spans="17:17">
      <c r="Q2270" s="4"/>
    </row>
    <row r="2271" spans="17:17">
      <c r="Q2271" s="4"/>
    </row>
    <row r="2272" spans="17:17">
      <c r="Q2272" s="4"/>
    </row>
    <row r="2273" spans="17:17">
      <c r="Q2273" s="4"/>
    </row>
    <row r="2274" spans="17:17">
      <c r="Q2274" s="4"/>
    </row>
    <row r="2275" spans="17:17">
      <c r="Q2275" s="4"/>
    </row>
    <row r="2276" spans="17:17">
      <c r="Q2276" s="4"/>
    </row>
    <row r="2277" spans="17:17">
      <c r="Q2277" s="4"/>
    </row>
    <row r="2278" spans="17:17">
      <c r="Q2278" s="4"/>
    </row>
    <row r="2279" spans="17:17">
      <c r="Q2279" s="4"/>
    </row>
    <row r="2280" spans="17:17">
      <c r="Q2280" s="4"/>
    </row>
    <row r="2281" spans="17:17">
      <c r="Q2281" s="4"/>
    </row>
    <row r="2282" spans="17:17">
      <c r="Q2282" s="4"/>
    </row>
    <row r="2283" spans="17:17">
      <c r="Q2283" s="4"/>
    </row>
    <row r="2284" spans="17:17">
      <c r="Q2284" s="4"/>
    </row>
    <row r="2285" spans="17:17">
      <c r="Q2285" s="4"/>
    </row>
    <row r="2286" spans="17:17">
      <c r="Q2286" s="4"/>
    </row>
    <row r="2287" spans="17:17">
      <c r="Q2287" s="4"/>
    </row>
    <row r="2288" spans="17:17">
      <c r="Q2288" s="4"/>
    </row>
    <row r="2289" spans="17:17">
      <c r="Q2289" s="4"/>
    </row>
    <row r="2290" spans="17:17">
      <c r="Q2290" s="4"/>
    </row>
    <row r="2291" spans="17:17">
      <c r="Q2291" s="4"/>
    </row>
    <row r="2292" spans="17:17">
      <c r="Q2292" s="4"/>
    </row>
    <row r="2293" spans="17:17">
      <c r="Q2293" s="4"/>
    </row>
    <row r="2294" spans="17:17">
      <c r="Q2294" s="4"/>
    </row>
    <row r="2295" spans="17:17">
      <c r="Q2295" s="4"/>
    </row>
    <row r="2296" spans="17:17">
      <c r="Q2296" s="4"/>
    </row>
    <row r="2297" spans="17:17">
      <c r="Q2297" s="4"/>
    </row>
    <row r="2298" spans="17:17">
      <c r="Q2298" s="4"/>
    </row>
    <row r="2299" spans="17:17">
      <c r="Q2299" s="4"/>
    </row>
    <row r="2300" spans="17:17">
      <c r="Q2300" s="4"/>
    </row>
    <row r="2301" spans="17:17">
      <c r="Q2301" s="4"/>
    </row>
    <row r="2302" spans="17:17">
      <c r="Q2302" s="4"/>
    </row>
    <row r="2303" spans="17:17">
      <c r="Q2303" s="4"/>
    </row>
    <row r="2304" spans="17:17">
      <c r="Q2304" s="4"/>
    </row>
    <row r="2305" spans="17:17">
      <c r="Q2305" s="4"/>
    </row>
    <row r="2306" spans="17:17">
      <c r="Q2306" s="4"/>
    </row>
    <row r="2307" spans="17:17">
      <c r="Q2307" s="4"/>
    </row>
    <row r="2308" spans="17:17">
      <c r="Q2308" s="4"/>
    </row>
    <row r="2309" spans="17:17">
      <c r="Q2309" s="4"/>
    </row>
    <row r="2310" spans="17:17">
      <c r="Q2310" s="4"/>
    </row>
    <row r="2311" spans="17:17">
      <c r="Q2311" s="4"/>
    </row>
    <row r="2312" spans="17:17">
      <c r="Q2312" s="4"/>
    </row>
    <row r="2313" spans="17:17">
      <c r="Q2313" s="4"/>
    </row>
    <row r="2314" spans="17:17">
      <c r="Q2314" s="4"/>
    </row>
    <row r="2315" spans="17:17">
      <c r="Q2315" s="4"/>
    </row>
    <row r="2316" spans="17:17">
      <c r="Q2316" s="4"/>
    </row>
    <row r="2317" spans="17:17">
      <c r="Q2317" s="4"/>
    </row>
    <row r="2318" spans="17:17">
      <c r="Q2318" s="4"/>
    </row>
    <row r="2319" spans="17:17">
      <c r="Q2319" s="4"/>
    </row>
    <row r="2320" spans="17:17">
      <c r="Q2320" s="4"/>
    </row>
    <row r="2321" spans="17:17">
      <c r="Q2321" s="4"/>
    </row>
    <row r="2322" spans="17:17">
      <c r="Q2322" s="4"/>
    </row>
    <row r="2323" spans="17:17">
      <c r="Q2323" s="4"/>
    </row>
    <row r="2324" spans="17:17">
      <c r="Q2324" s="4"/>
    </row>
    <row r="2325" spans="17:17">
      <c r="Q2325" s="4"/>
    </row>
    <row r="2326" spans="17:17">
      <c r="Q2326" s="4"/>
    </row>
    <row r="2327" spans="17:17">
      <c r="Q2327" s="4"/>
    </row>
    <row r="2328" spans="17:17">
      <c r="Q2328" s="4"/>
    </row>
    <row r="2329" spans="17:17">
      <c r="Q2329" s="4"/>
    </row>
    <row r="2330" spans="17:17">
      <c r="Q2330" s="4"/>
    </row>
    <row r="2331" spans="17:17">
      <c r="Q2331" s="4"/>
    </row>
    <row r="2332" spans="17:17">
      <c r="Q2332" s="4"/>
    </row>
    <row r="2333" spans="17:17">
      <c r="Q2333" s="4"/>
    </row>
    <row r="2334" spans="17:17">
      <c r="Q2334" s="4"/>
    </row>
    <row r="2335" spans="17:17">
      <c r="Q2335" s="4"/>
    </row>
    <row r="2336" spans="17:17">
      <c r="Q2336" s="4"/>
    </row>
    <row r="2337" spans="17:17">
      <c r="Q2337" s="4"/>
    </row>
    <row r="2338" spans="17:17">
      <c r="Q2338" s="4"/>
    </row>
    <row r="2339" spans="17:17">
      <c r="Q2339" s="4"/>
    </row>
    <row r="2340" spans="17:17">
      <c r="Q2340" s="4"/>
    </row>
    <row r="2341" spans="17:17">
      <c r="Q2341" s="4"/>
    </row>
    <row r="2342" spans="17:17">
      <c r="Q2342" s="4"/>
    </row>
    <row r="2343" spans="17:17">
      <c r="Q2343" s="4"/>
    </row>
    <row r="2344" spans="17:17">
      <c r="Q2344" s="4"/>
    </row>
    <row r="2345" spans="17:17">
      <c r="Q2345" s="4"/>
    </row>
    <row r="2346" spans="17:17">
      <c r="Q2346" s="4"/>
    </row>
    <row r="2347" spans="17:17">
      <c r="Q2347" s="4"/>
    </row>
    <row r="2348" spans="17:17">
      <c r="Q2348" s="4"/>
    </row>
    <row r="2349" spans="17:17">
      <c r="Q2349" s="4"/>
    </row>
    <row r="2350" spans="17:17">
      <c r="Q2350" s="4"/>
    </row>
    <row r="2351" spans="17:17">
      <c r="Q2351" s="4"/>
    </row>
    <row r="2352" spans="17:17">
      <c r="Q2352" s="4"/>
    </row>
    <row r="2353" spans="17:17">
      <c r="Q2353" s="4"/>
    </row>
    <row r="2354" spans="17:17">
      <c r="Q2354" s="4"/>
    </row>
    <row r="2355" spans="17:17">
      <c r="Q2355" s="4"/>
    </row>
    <row r="2356" spans="17:17">
      <c r="Q2356" s="4"/>
    </row>
    <row r="2357" spans="17:17">
      <c r="Q2357" s="4"/>
    </row>
    <row r="2358" spans="17:17">
      <c r="Q2358" s="4"/>
    </row>
    <row r="2359" spans="17:17">
      <c r="Q2359" s="4"/>
    </row>
    <row r="2360" spans="17:17">
      <c r="Q2360" s="4"/>
    </row>
    <row r="2361" spans="17:17">
      <c r="Q2361" s="4"/>
    </row>
    <row r="2362" spans="17:17">
      <c r="Q2362" s="4"/>
    </row>
    <row r="2363" spans="17:17">
      <c r="Q2363" s="4"/>
    </row>
    <row r="2364" spans="17:17">
      <c r="Q2364" s="4"/>
    </row>
    <row r="2365" spans="17:17">
      <c r="Q2365" s="4"/>
    </row>
    <row r="2366" spans="17:17">
      <c r="Q2366" s="4"/>
    </row>
    <row r="2367" spans="17:17">
      <c r="Q2367" s="4"/>
    </row>
    <row r="2368" spans="17:17">
      <c r="Q2368" s="4"/>
    </row>
    <row r="2369" spans="17:17">
      <c r="Q2369" s="4"/>
    </row>
    <row r="2370" spans="17:17">
      <c r="Q2370" s="4"/>
    </row>
    <row r="2371" spans="17:17">
      <c r="Q2371" s="4"/>
    </row>
    <row r="2372" spans="17:17">
      <c r="Q2372" s="4"/>
    </row>
    <row r="2373" spans="17:17">
      <c r="Q2373" s="4"/>
    </row>
    <row r="2374" spans="17:17">
      <c r="Q2374" s="4"/>
    </row>
    <row r="2375" spans="17:17">
      <c r="Q2375" s="4"/>
    </row>
    <row r="2376" spans="17:17">
      <c r="Q2376" s="4"/>
    </row>
    <row r="2377" spans="17:17">
      <c r="Q2377" s="4"/>
    </row>
    <row r="2378" spans="17:17">
      <c r="Q2378" s="4"/>
    </row>
    <row r="2379" spans="17:17">
      <c r="Q2379" s="4"/>
    </row>
    <row r="2380" spans="17:17">
      <c r="Q2380" s="4"/>
    </row>
    <row r="2381" spans="17:17">
      <c r="Q2381" s="4"/>
    </row>
    <row r="2382" spans="17:17">
      <c r="Q2382" s="4"/>
    </row>
    <row r="2383" spans="17:17">
      <c r="Q2383" s="4"/>
    </row>
    <row r="2384" spans="17:17">
      <c r="Q2384" s="4"/>
    </row>
    <row r="2385" spans="17:17">
      <c r="Q2385" s="4"/>
    </row>
    <row r="2386" spans="17:17">
      <c r="Q2386" s="4"/>
    </row>
    <row r="2387" spans="17:17">
      <c r="Q2387" s="4"/>
    </row>
    <row r="2388" spans="17:17">
      <c r="Q2388" s="4"/>
    </row>
    <row r="2389" spans="17:17">
      <c r="Q2389" s="4"/>
    </row>
    <row r="2390" spans="17:17">
      <c r="Q2390" s="4"/>
    </row>
    <row r="2391" spans="17:17">
      <c r="Q2391" s="4"/>
    </row>
    <row r="2392" spans="17:17">
      <c r="Q2392" s="4"/>
    </row>
    <row r="2393" spans="17:17">
      <c r="Q2393" s="4"/>
    </row>
    <row r="2394" spans="17:17">
      <c r="Q2394" s="4"/>
    </row>
    <row r="2395" spans="17:17">
      <c r="Q2395" s="4"/>
    </row>
    <row r="2396" spans="17:17">
      <c r="Q2396" s="4"/>
    </row>
    <row r="2397" spans="17:17">
      <c r="Q2397" s="4"/>
    </row>
    <row r="2398" spans="17:17">
      <c r="Q2398" s="4"/>
    </row>
    <row r="2399" spans="17:17">
      <c r="Q2399" s="4"/>
    </row>
    <row r="2400" spans="17:17">
      <c r="Q2400" s="4"/>
    </row>
    <row r="2401" spans="17:17">
      <c r="Q2401" s="4"/>
    </row>
    <row r="2402" spans="17:17">
      <c r="Q2402" s="4"/>
    </row>
    <row r="2403" spans="17:17">
      <c r="Q2403" s="4"/>
    </row>
    <row r="2404" spans="17:17">
      <c r="Q2404" s="4"/>
    </row>
    <row r="2405" spans="17:17">
      <c r="Q2405" s="4"/>
    </row>
    <row r="2406" spans="17:17">
      <c r="Q2406" s="4"/>
    </row>
    <row r="2407" spans="17:17">
      <c r="Q2407" s="4"/>
    </row>
    <row r="2408" spans="17:17">
      <c r="Q2408" s="4"/>
    </row>
    <row r="2409" spans="17:17">
      <c r="Q2409" s="4"/>
    </row>
    <row r="2410" spans="17:17">
      <c r="Q2410" s="4"/>
    </row>
    <row r="2411" spans="17:17">
      <c r="Q2411" s="4"/>
    </row>
    <row r="2412" spans="17:17">
      <c r="Q2412" s="4"/>
    </row>
    <row r="2413" spans="17:17">
      <c r="Q2413" s="4"/>
    </row>
    <row r="2414" spans="17:17">
      <c r="Q2414" s="4"/>
    </row>
    <row r="2415" spans="17:17">
      <c r="Q2415" s="4"/>
    </row>
    <row r="2416" spans="17:17">
      <c r="Q2416" s="4"/>
    </row>
    <row r="2417" spans="17:17">
      <c r="Q2417" s="4"/>
    </row>
    <row r="2418" spans="17:17">
      <c r="Q2418" s="4"/>
    </row>
    <row r="2419" spans="17:17">
      <c r="Q2419" s="4"/>
    </row>
    <row r="2420" spans="17:17">
      <c r="Q2420" s="4"/>
    </row>
    <row r="2421" spans="17:17">
      <c r="Q2421" s="4"/>
    </row>
    <row r="2422" spans="17:17">
      <c r="Q2422" s="4"/>
    </row>
    <row r="2423" spans="17:17">
      <c r="Q2423" s="4"/>
    </row>
    <row r="2424" spans="17:17">
      <c r="Q2424" s="4"/>
    </row>
    <row r="2425" spans="17:17">
      <c r="Q2425" s="4"/>
    </row>
    <row r="2426" spans="17:17">
      <c r="Q2426" s="4"/>
    </row>
    <row r="2427" spans="17:17">
      <c r="Q2427" s="4"/>
    </row>
    <row r="2428" spans="17:17">
      <c r="Q2428" s="4"/>
    </row>
    <row r="2429" spans="17:17">
      <c r="Q2429" s="4"/>
    </row>
    <row r="2430" spans="17:17">
      <c r="Q2430" s="4"/>
    </row>
    <row r="2431" spans="17:17">
      <c r="Q2431" s="4"/>
    </row>
    <row r="2432" spans="17:17">
      <c r="Q2432" s="4"/>
    </row>
    <row r="2433" spans="17:17">
      <c r="Q2433" s="4"/>
    </row>
    <row r="2434" spans="17:17">
      <c r="Q2434" s="4"/>
    </row>
    <row r="2435" spans="17:17">
      <c r="Q2435" s="4"/>
    </row>
    <row r="2436" spans="17:17">
      <c r="Q2436" s="4"/>
    </row>
    <row r="2437" spans="17:17">
      <c r="Q2437" s="4"/>
    </row>
    <row r="2438" spans="17:17">
      <c r="Q2438" s="4"/>
    </row>
    <row r="2439" spans="17:17">
      <c r="Q2439" s="4"/>
    </row>
    <row r="2440" spans="17:17">
      <c r="Q2440" s="4"/>
    </row>
    <row r="2441" spans="17:17">
      <c r="Q2441" s="4"/>
    </row>
    <row r="2442" spans="17:17">
      <c r="Q2442" s="4"/>
    </row>
    <row r="2443" spans="17:17">
      <c r="Q2443" s="4"/>
    </row>
    <row r="2444" spans="17:17">
      <c r="Q2444" s="4"/>
    </row>
    <row r="2445" spans="17:17">
      <c r="Q2445" s="4"/>
    </row>
    <row r="2446" spans="17:17">
      <c r="Q2446" s="4"/>
    </row>
    <row r="2447" spans="17:17">
      <c r="Q2447" s="4"/>
    </row>
    <row r="2448" spans="17:17">
      <c r="Q2448" s="4"/>
    </row>
    <row r="2449" spans="17:17">
      <c r="Q2449" s="4"/>
    </row>
    <row r="2450" spans="17:17">
      <c r="Q2450" s="4"/>
    </row>
    <row r="2451" spans="17:17">
      <c r="Q2451" s="4"/>
    </row>
    <row r="2452" spans="17:17">
      <c r="Q2452" s="4"/>
    </row>
    <row r="2453" spans="17:17">
      <c r="Q2453" s="4"/>
    </row>
    <row r="2454" spans="17:17">
      <c r="Q2454" s="4"/>
    </row>
    <row r="2455" spans="17:17">
      <c r="Q2455" s="4"/>
    </row>
    <row r="2456" spans="17:17">
      <c r="Q2456" s="4"/>
    </row>
    <row r="2457" spans="17:17">
      <c r="Q2457" s="4"/>
    </row>
    <row r="2458" spans="17:17">
      <c r="Q2458" s="4"/>
    </row>
    <row r="2459" spans="17:17">
      <c r="Q2459" s="4"/>
    </row>
    <row r="2460" spans="17:17">
      <c r="Q2460" s="4"/>
    </row>
    <row r="2461" spans="17:17">
      <c r="Q2461" s="4"/>
    </row>
    <row r="2462" spans="17:17">
      <c r="Q2462" s="4"/>
    </row>
    <row r="2463" spans="17:17">
      <c r="Q2463" s="4"/>
    </row>
    <row r="2464" spans="17:17">
      <c r="Q2464" s="4"/>
    </row>
    <row r="2465" spans="17:17">
      <c r="Q2465" s="4"/>
    </row>
    <row r="2466" spans="17:17">
      <c r="Q2466" s="4"/>
    </row>
    <row r="2467" spans="17:17">
      <c r="Q2467" s="4"/>
    </row>
    <row r="2468" spans="17:17">
      <c r="Q2468" s="4"/>
    </row>
    <row r="2469" spans="17:17">
      <c r="Q2469" s="4"/>
    </row>
    <row r="2470" spans="17:17">
      <c r="Q2470" s="4"/>
    </row>
    <row r="2471" spans="17:17">
      <c r="Q2471" s="4"/>
    </row>
    <row r="2472" spans="17:17">
      <c r="Q2472" s="4"/>
    </row>
    <row r="2473" spans="17:17">
      <c r="Q2473" s="4"/>
    </row>
    <row r="2474" spans="17:17">
      <c r="Q2474" s="4"/>
    </row>
    <row r="2475" spans="17:17">
      <c r="Q2475" s="4"/>
    </row>
    <row r="2476" spans="17:17">
      <c r="Q2476" s="4"/>
    </row>
    <row r="2477" spans="17:17">
      <c r="Q2477" s="4"/>
    </row>
    <row r="2478" spans="17:17">
      <c r="Q2478" s="4"/>
    </row>
    <row r="2479" spans="17:17">
      <c r="Q2479" s="4"/>
    </row>
    <row r="2480" spans="17:17">
      <c r="Q2480" s="4"/>
    </row>
    <row r="2481" spans="17:17">
      <c r="Q2481" s="4"/>
    </row>
    <row r="2482" spans="17:17">
      <c r="Q2482" s="4"/>
    </row>
    <row r="2483" spans="17:17">
      <c r="Q2483" s="4"/>
    </row>
    <row r="2484" spans="17:17">
      <c r="Q2484" s="4"/>
    </row>
    <row r="2485" spans="17:17">
      <c r="Q2485" s="4"/>
    </row>
    <row r="2486" spans="17:17">
      <c r="Q2486" s="4"/>
    </row>
    <row r="2487" spans="17:17">
      <c r="Q2487" s="4"/>
    </row>
    <row r="2488" spans="17:17">
      <c r="Q2488" s="4"/>
    </row>
    <row r="2489" spans="17:17">
      <c r="Q2489" s="4"/>
    </row>
    <row r="2490" spans="17:17">
      <c r="Q2490" s="4"/>
    </row>
    <row r="2491" spans="17:17">
      <c r="Q2491" s="4"/>
    </row>
    <row r="2492" spans="17:17">
      <c r="Q2492" s="4"/>
    </row>
    <row r="2493" spans="17:17">
      <c r="Q2493" s="4"/>
    </row>
    <row r="2494" spans="17:17">
      <c r="Q2494" s="4"/>
    </row>
    <row r="2495" spans="17:17">
      <c r="Q2495" s="4"/>
    </row>
    <row r="2496" spans="17:17">
      <c r="Q2496" s="4"/>
    </row>
    <row r="2497" spans="17:17">
      <c r="Q2497" s="4"/>
    </row>
    <row r="2498" spans="17:17">
      <c r="Q2498" s="4"/>
    </row>
    <row r="2499" spans="17:17">
      <c r="Q2499" s="4"/>
    </row>
    <row r="2500" spans="17:17">
      <c r="Q2500" s="4"/>
    </row>
    <row r="2501" spans="17:17">
      <c r="Q2501" s="4"/>
    </row>
    <row r="2502" spans="17:17">
      <c r="Q2502" s="4"/>
    </row>
    <row r="2503" spans="17:17">
      <c r="Q2503" s="4"/>
    </row>
    <row r="2504" spans="17:17">
      <c r="Q2504" s="4"/>
    </row>
    <row r="2505" spans="17:17">
      <c r="Q2505" s="4"/>
    </row>
    <row r="2506" spans="17:17">
      <c r="Q2506" s="4"/>
    </row>
    <row r="2507" spans="17:17">
      <c r="Q2507" s="4"/>
    </row>
    <row r="2508" spans="17:17">
      <c r="Q2508" s="4"/>
    </row>
    <row r="2509" spans="17:17">
      <c r="Q2509" s="4"/>
    </row>
    <row r="2510" spans="17:17">
      <c r="Q2510" s="4"/>
    </row>
    <row r="2511" spans="17:17">
      <c r="Q2511" s="4"/>
    </row>
    <row r="2512" spans="17:17">
      <c r="Q2512" s="4"/>
    </row>
    <row r="2513" spans="17:17">
      <c r="Q2513" s="4"/>
    </row>
    <row r="2514" spans="17:17">
      <c r="Q2514" s="4"/>
    </row>
    <row r="2515" spans="17:17">
      <c r="Q2515" s="4"/>
    </row>
    <row r="2516" spans="17:17">
      <c r="Q2516" s="4"/>
    </row>
    <row r="2517" spans="17:17">
      <c r="Q2517" s="4"/>
    </row>
    <row r="2518" spans="17:17">
      <c r="Q2518" s="4"/>
    </row>
    <row r="2519" spans="17:17">
      <c r="Q2519" s="4"/>
    </row>
    <row r="2520" spans="17:17">
      <c r="Q2520" s="4"/>
    </row>
    <row r="2521" spans="17:17">
      <c r="Q2521" s="4"/>
    </row>
    <row r="2522" spans="17:17">
      <c r="Q2522" s="4"/>
    </row>
    <row r="2523" spans="17:17">
      <c r="Q2523" s="4"/>
    </row>
    <row r="2524" spans="17:17">
      <c r="Q2524" s="4"/>
    </row>
    <row r="2525" spans="17:17">
      <c r="Q2525" s="4"/>
    </row>
    <row r="2526" spans="17:17">
      <c r="Q2526" s="4"/>
    </row>
    <row r="2527" spans="17:17">
      <c r="Q2527" s="4"/>
    </row>
    <row r="2528" spans="17:17">
      <c r="Q2528" s="4"/>
    </row>
    <row r="2529" spans="17:17">
      <c r="Q2529" s="4"/>
    </row>
    <row r="2530" spans="17:17">
      <c r="Q2530" s="4"/>
    </row>
    <row r="2531" spans="17:17">
      <c r="Q2531" s="4"/>
    </row>
    <row r="2532" spans="17:17">
      <c r="Q2532" s="4"/>
    </row>
    <row r="2533" spans="17:17">
      <c r="Q2533" s="4"/>
    </row>
    <row r="2534" spans="17:17">
      <c r="Q2534" s="4"/>
    </row>
    <row r="2535" spans="17:17">
      <c r="Q2535" s="4"/>
    </row>
    <row r="2536" spans="17:17">
      <c r="Q2536" s="4"/>
    </row>
    <row r="2537" spans="17:17">
      <c r="Q2537" s="4"/>
    </row>
    <row r="2538" spans="17:17">
      <c r="Q2538" s="4"/>
    </row>
    <row r="2539" spans="17:17">
      <c r="Q2539" s="4"/>
    </row>
    <row r="2540" spans="17:17">
      <c r="Q2540" s="4"/>
    </row>
    <row r="2541" spans="17:17">
      <c r="Q2541" s="4"/>
    </row>
    <row r="2542" spans="17:17">
      <c r="Q2542" s="4"/>
    </row>
    <row r="2543" spans="17:17">
      <c r="Q2543" s="4"/>
    </row>
    <row r="2544" spans="17:17">
      <c r="Q2544" s="4"/>
    </row>
    <row r="2545" spans="17:17">
      <c r="Q2545" s="4"/>
    </row>
    <row r="2546" spans="17:17">
      <c r="Q2546" s="4"/>
    </row>
    <row r="2547" spans="17:17">
      <c r="Q2547" s="4"/>
    </row>
    <row r="2548" spans="17:17">
      <c r="Q2548" s="4"/>
    </row>
    <row r="2549" spans="17:17">
      <c r="Q2549" s="4"/>
    </row>
    <row r="2550" spans="17:17">
      <c r="Q2550" s="4"/>
    </row>
    <row r="2551" spans="17:17">
      <c r="Q2551" s="4"/>
    </row>
    <row r="2552" spans="17:17">
      <c r="Q2552" s="4"/>
    </row>
    <row r="2553" spans="17:17">
      <c r="Q2553" s="4"/>
    </row>
    <row r="2554" spans="17:17">
      <c r="Q2554" s="4"/>
    </row>
    <row r="2555" spans="17:17">
      <c r="Q2555" s="4"/>
    </row>
    <row r="2556" spans="17:17">
      <c r="Q2556" s="4"/>
    </row>
    <row r="2557" spans="17:17">
      <c r="Q2557" s="4"/>
    </row>
    <row r="2558" spans="17:17">
      <c r="Q2558" s="4"/>
    </row>
    <row r="2559" spans="17:17">
      <c r="Q2559" s="4"/>
    </row>
    <row r="2560" spans="17:17">
      <c r="Q2560" s="4"/>
    </row>
    <row r="2561" spans="17:17">
      <c r="Q2561" s="4"/>
    </row>
    <row r="2562" spans="17:17">
      <c r="Q2562" s="4"/>
    </row>
    <row r="2563" spans="17:17">
      <c r="Q2563" s="4"/>
    </row>
    <row r="2564" spans="17:17">
      <c r="Q2564" s="4"/>
    </row>
    <row r="2565" spans="17:17">
      <c r="Q2565" s="4"/>
    </row>
    <row r="2566" spans="17:17">
      <c r="Q2566" s="4"/>
    </row>
    <row r="2567" spans="17:17">
      <c r="Q2567" s="4"/>
    </row>
    <row r="2568" spans="17:17">
      <c r="Q2568" s="4"/>
    </row>
    <row r="2569" spans="17:17">
      <c r="Q2569" s="4"/>
    </row>
    <row r="2570" spans="17:17">
      <c r="Q2570" s="4"/>
    </row>
    <row r="2571" spans="17:17">
      <c r="Q2571" s="4"/>
    </row>
    <row r="2572" spans="17:17">
      <c r="Q2572" s="4"/>
    </row>
    <row r="2573" spans="17:17">
      <c r="Q2573" s="4"/>
    </row>
    <row r="2574" spans="17:17">
      <c r="Q2574" s="4"/>
    </row>
    <row r="2575" spans="17:17">
      <c r="Q2575" s="4"/>
    </row>
    <row r="2576" spans="17:17">
      <c r="Q2576" s="4"/>
    </row>
    <row r="2577" spans="17:17">
      <c r="Q2577" s="4"/>
    </row>
    <row r="2578" spans="17:17">
      <c r="Q2578" s="4"/>
    </row>
    <row r="2579" spans="17:17">
      <c r="Q2579" s="4"/>
    </row>
    <row r="2580" spans="17:17">
      <c r="Q2580" s="4"/>
    </row>
    <row r="2581" spans="17:17">
      <c r="Q2581" s="4"/>
    </row>
    <row r="2582" spans="17:17">
      <c r="Q2582" s="4"/>
    </row>
    <row r="2583" spans="17:17">
      <c r="Q2583" s="4"/>
    </row>
    <row r="2584" spans="17:17">
      <c r="Q2584" s="4"/>
    </row>
    <row r="2585" spans="17:17">
      <c r="Q2585" s="4"/>
    </row>
    <row r="2586" spans="17:17">
      <c r="Q2586" s="4"/>
    </row>
    <row r="2587" spans="17:17">
      <c r="Q2587" s="4"/>
    </row>
    <row r="2588" spans="17:17">
      <c r="Q2588" s="4"/>
    </row>
    <row r="2589" spans="17:17">
      <c r="Q2589" s="4"/>
    </row>
    <row r="2590" spans="17:17">
      <c r="Q2590" s="4"/>
    </row>
    <row r="2591" spans="17:17">
      <c r="Q2591" s="4"/>
    </row>
    <row r="2592" spans="17:17">
      <c r="Q2592" s="4"/>
    </row>
    <row r="2593" spans="17:17">
      <c r="Q2593" s="4"/>
    </row>
    <row r="2594" spans="17:17">
      <c r="Q2594" s="4"/>
    </row>
    <row r="2595" spans="17:17">
      <c r="Q2595" s="4"/>
    </row>
    <row r="2596" spans="17:17">
      <c r="Q2596" s="4"/>
    </row>
    <row r="2597" spans="17:17">
      <c r="Q2597" s="4"/>
    </row>
    <row r="2598" spans="17:17">
      <c r="Q2598" s="4"/>
    </row>
    <row r="2599" spans="17:17">
      <c r="Q2599" s="4"/>
    </row>
    <row r="2600" spans="17:17">
      <c r="Q2600" s="4"/>
    </row>
    <row r="2601" spans="17:17">
      <c r="Q2601" s="4"/>
    </row>
    <row r="2602" spans="17:17">
      <c r="Q2602" s="4"/>
    </row>
    <row r="2603" spans="17:17">
      <c r="Q2603" s="4"/>
    </row>
    <row r="2604" spans="17:17">
      <c r="Q2604" s="4"/>
    </row>
    <row r="2605" spans="17:17">
      <c r="Q2605" s="4"/>
    </row>
    <row r="2606" spans="17:17">
      <c r="Q2606" s="4"/>
    </row>
    <row r="2607" spans="17:17">
      <c r="Q2607" s="4"/>
    </row>
    <row r="2608" spans="17:17">
      <c r="Q2608" s="4"/>
    </row>
    <row r="2609" spans="17:17">
      <c r="Q2609" s="4"/>
    </row>
    <row r="2610" spans="17:17">
      <c r="Q2610" s="4"/>
    </row>
    <row r="2611" spans="17:17">
      <c r="Q2611" s="4"/>
    </row>
    <row r="2612" spans="17:17">
      <c r="Q2612" s="4"/>
    </row>
    <row r="2613" spans="17:17">
      <c r="Q2613" s="4"/>
    </row>
    <row r="2614" spans="17:17">
      <c r="Q2614" s="4"/>
    </row>
    <row r="2615" spans="17:17">
      <c r="Q2615" s="4"/>
    </row>
    <row r="2616" spans="17:17">
      <c r="Q2616" s="4"/>
    </row>
    <row r="2617" spans="17:17">
      <c r="Q2617" s="4"/>
    </row>
    <row r="2618" spans="17:17">
      <c r="Q2618" s="4"/>
    </row>
    <row r="2619" spans="17:17">
      <c r="Q2619" s="4"/>
    </row>
    <row r="2620" spans="17:17">
      <c r="Q2620" s="4"/>
    </row>
    <row r="2621" spans="17:17">
      <c r="Q2621" s="4"/>
    </row>
    <row r="2622" spans="17:17">
      <c r="Q2622" s="4"/>
    </row>
    <row r="2623" spans="17:17">
      <c r="Q2623" s="4"/>
    </row>
    <row r="2624" spans="17:17">
      <c r="Q2624" s="4"/>
    </row>
    <row r="2625" spans="17:17">
      <c r="Q2625" s="4"/>
    </row>
    <row r="2626" spans="17:17">
      <c r="Q2626" s="4"/>
    </row>
    <row r="2627" spans="17:17">
      <c r="Q2627" s="4"/>
    </row>
    <row r="2628" spans="17:17">
      <c r="Q2628" s="4"/>
    </row>
    <row r="2629" spans="17:17">
      <c r="Q2629" s="4"/>
    </row>
    <row r="2630" spans="17:17">
      <c r="Q2630" s="4"/>
    </row>
    <row r="2631" spans="17:17">
      <c r="Q2631" s="4"/>
    </row>
    <row r="2632" spans="17:17">
      <c r="Q2632" s="4"/>
    </row>
    <row r="2633" spans="17:17">
      <c r="Q2633" s="4"/>
    </row>
    <row r="2634" spans="17:17">
      <c r="Q2634" s="4"/>
    </row>
    <row r="2635" spans="17:17">
      <c r="Q2635" s="4"/>
    </row>
    <row r="2636" spans="17:17">
      <c r="Q2636" s="4"/>
    </row>
    <row r="2637" spans="17:17">
      <c r="Q2637" s="4"/>
    </row>
    <row r="2638" spans="17:17">
      <c r="Q2638" s="4"/>
    </row>
    <row r="2639" spans="17:17">
      <c r="Q2639" s="4"/>
    </row>
    <row r="2640" spans="17:17">
      <c r="Q2640" s="4"/>
    </row>
    <row r="2641" spans="17:17">
      <c r="Q2641" s="4"/>
    </row>
    <row r="2642" spans="17:17">
      <c r="Q2642" s="4"/>
    </row>
    <row r="2643" spans="17:17">
      <c r="Q2643" s="4"/>
    </row>
    <row r="2644" spans="17:17">
      <c r="Q2644" s="4"/>
    </row>
    <row r="2645" spans="17:17">
      <c r="Q2645" s="4"/>
    </row>
    <row r="2646" spans="17:17">
      <c r="Q2646" s="4"/>
    </row>
    <row r="2647" spans="17:17">
      <c r="Q2647" s="4"/>
    </row>
    <row r="2648" spans="17:17">
      <c r="Q2648" s="4"/>
    </row>
    <row r="2649" spans="17:17">
      <c r="Q2649" s="4"/>
    </row>
    <row r="2650" spans="17:17">
      <c r="Q2650" s="4"/>
    </row>
    <row r="2651" spans="17:17">
      <c r="Q2651" s="4"/>
    </row>
    <row r="2652" spans="17:17">
      <c r="Q2652" s="4"/>
    </row>
    <row r="2653" spans="17:17">
      <c r="Q2653" s="4"/>
    </row>
    <row r="2654" spans="17:17">
      <c r="Q2654" s="4"/>
    </row>
    <row r="2655" spans="17:17">
      <c r="Q2655" s="4"/>
    </row>
    <row r="2656" spans="17:17">
      <c r="Q2656" s="4"/>
    </row>
    <row r="2657" spans="17:17">
      <c r="Q2657" s="4"/>
    </row>
    <row r="2658" spans="17:17">
      <c r="Q2658" s="4"/>
    </row>
    <row r="2659" spans="17:17">
      <c r="Q2659" s="4"/>
    </row>
    <row r="2660" spans="17:17">
      <c r="Q2660" s="4"/>
    </row>
    <row r="2661" spans="17:17">
      <c r="Q2661" s="4"/>
    </row>
    <row r="2662" spans="17:17">
      <c r="Q2662" s="4"/>
    </row>
    <row r="2663" spans="17:17">
      <c r="Q2663" s="4"/>
    </row>
    <row r="2664" spans="17:17">
      <c r="Q2664" s="4"/>
    </row>
    <row r="2665" spans="17:17">
      <c r="Q2665" s="4"/>
    </row>
    <row r="2666" spans="17:17">
      <c r="Q2666" s="4"/>
    </row>
    <row r="2667" spans="17:17">
      <c r="Q2667" s="4"/>
    </row>
    <row r="2668" spans="17:17">
      <c r="Q2668" s="4"/>
    </row>
    <row r="2669" spans="17:17">
      <c r="Q2669" s="4"/>
    </row>
    <row r="2670" spans="17:17">
      <c r="Q2670" s="4"/>
    </row>
    <row r="2671" spans="17:17">
      <c r="Q2671" s="4"/>
    </row>
    <row r="2672" spans="17:17">
      <c r="Q2672" s="4"/>
    </row>
    <row r="2673" spans="17:17">
      <c r="Q2673" s="4"/>
    </row>
    <row r="2674" spans="17:17">
      <c r="Q2674" s="4"/>
    </row>
    <row r="2675" spans="17:17">
      <c r="Q2675" s="4"/>
    </row>
    <row r="2676" spans="17:17">
      <c r="Q2676" s="4"/>
    </row>
    <row r="2677" spans="17:17">
      <c r="Q2677" s="4"/>
    </row>
    <row r="2678" spans="17:17">
      <c r="Q2678" s="4"/>
    </row>
    <row r="2679" spans="17:17">
      <c r="Q2679" s="4"/>
    </row>
    <row r="2680" spans="17:17">
      <c r="Q2680" s="4"/>
    </row>
    <row r="2681" spans="17:17">
      <c r="Q2681" s="4"/>
    </row>
    <row r="2682" spans="17:17">
      <c r="Q2682" s="4"/>
    </row>
    <row r="2683" spans="17:17">
      <c r="Q2683" s="4"/>
    </row>
    <row r="2684" spans="17:17">
      <c r="Q2684" s="4"/>
    </row>
    <row r="2685" spans="17:17">
      <c r="Q2685" s="4"/>
    </row>
    <row r="2686" spans="17:17">
      <c r="Q2686" s="4"/>
    </row>
    <row r="2687" spans="17:17">
      <c r="Q2687" s="4"/>
    </row>
    <row r="2688" spans="17:17">
      <c r="Q2688" s="4"/>
    </row>
    <row r="2689" spans="17:17">
      <c r="Q2689" s="4"/>
    </row>
    <row r="2690" spans="17:17">
      <c r="Q2690" s="4"/>
    </row>
    <row r="2691" spans="17:17">
      <c r="Q2691" s="4"/>
    </row>
    <row r="2692" spans="17:17">
      <c r="Q2692" s="4"/>
    </row>
    <row r="2693" spans="17:17">
      <c r="Q2693" s="4"/>
    </row>
    <row r="2694" spans="17:17">
      <c r="Q2694" s="4"/>
    </row>
    <row r="2695" spans="17:17">
      <c r="Q2695" s="4"/>
    </row>
    <row r="2696" spans="17:17">
      <c r="Q2696" s="4"/>
    </row>
    <row r="2697" spans="17:17">
      <c r="Q2697" s="4"/>
    </row>
    <row r="2698" spans="17:17">
      <c r="Q2698" s="4"/>
    </row>
    <row r="2699" spans="17:17">
      <c r="Q2699" s="4"/>
    </row>
    <row r="2700" spans="17:17">
      <c r="Q2700" s="4"/>
    </row>
    <row r="2701" spans="17:17">
      <c r="Q2701" s="4"/>
    </row>
    <row r="2702" spans="17:17">
      <c r="Q2702" s="4"/>
    </row>
    <row r="2703" spans="17:17">
      <c r="Q2703" s="4"/>
    </row>
    <row r="2704" spans="17:17">
      <c r="Q2704" s="4"/>
    </row>
    <row r="2705" spans="17:17">
      <c r="Q2705" s="4"/>
    </row>
    <row r="2706" spans="17:17">
      <c r="Q2706" s="4"/>
    </row>
    <row r="2707" spans="17:17">
      <c r="Q2707" s="4"/>
    </row>
    <row r="2708" spans="17:17">
      <c r="Q2708" s="4"/>
    </row>
    <row r="2709" spans="17:17">
      <c r="Q2709" s="4"/>
    </row>
    <row r="2710" spans="17:17">
      <c r="Q2710" s="4"/>
    </row>
    <row r="2711" spans="17:17">
      <c r="Q2711" s="4"/>
    </row>
    <row r="2712" spans="17:17">
      <c r="Q2712" s="4"/>
    </row>
    <row r="2713" spans="17:17">
      <c r="Q2713" s="4"/>
    </row>
    <row r="2714" spans="17:17">
      <c r="Q2714" s="4"/>
    </row>
    <row r="2715" spans="17:17">
      <c r="Q2715" s="4"/>
    </row>
    <row r="2716" spans="17:17">
      <c r="Q2716" s="4"/>
    </row>
    <row r="2717" spans="17:17">
      <c r="Q2717" s="4"/>
    </row>
    <row r="2718" spans="17:17">
      <c r="Q2718" s="4"/>
    </row>
    <row r="2719" spans="17:17">
      <c r="Q2719" s="4"/>
    </row>
    <row r="2720" spans="17:17">
      <c r="Q2720" s="4"/>
    </row>
    <row r="2721" spans="17:17">
      <c r="Q2721" s="4"/>
    </row>
    <row r="2722" spans="17:17">
      <c r="Q2722" s="4"/>
    </row>
    <row r="2723" spans="17:17">
      <c r="Q2723" s="4"/>
    </row>
    <row r="2724" spans="17:17">
      <c r="Q2724" s="4"/>
    </row>
    <row r="2725" spans="17:17">
      <c r="Q2725" s="4"/>
    </row>
    <row r="2726" spans="17:17">
      <c r="Q2726" s="4"/>
    </row>
    <row r="2727" spans="17:17">
      <c r="Q2727" s="4"/>
    </row>
    <row r="2728" spans="17:17">
      <c r="Q2728" s="4"/>
    </row>
    <row r="2729" spans="17:17">
      <c r="Q2729" s="4"/>
    </row>
    <row r="2730" spans="17:17">
      <c r="Q2730" s="4"/>
    </row>
    <row r="2731" spans="17:17">
      <c r="Q2731" s="4"/>
    </row>
    <row r="2732" spans="17:17">
      <c r="Q2732" s="4"/>
    </row>
    <row r="2733" spans="17:17">
      <c r="Q2733" s="4"/>
    </row>
    <row r="2734" spans="17:17">
      <c r="Q2734" s="4"/>
    </row>
    <row r="2735" spans="17:17">
      <c r="Q2735" s="4"/>
    </row>
    <row r="2736" spans="17:17">
      <c r="Q2736" s="4"/>
    </row>
    <row r="2737" spans="17:17">
      <c r="Q2737" s="4"/>
    </row>
    <row r="2738" spans="17:17">
      <c r="Q2738" s="4"/>
    </row>
    <row r="2739" spans="17:17">
      <c r="Q2739" s="4"/>
    </row>
    <row r="2740" spans="17:17">
      <c r="Q2740" s="4"/>
    </row>
    <row r="2741" spans="17:17">
      <c r="Q2741" s="4"/>
    </row>
    <row r="2742" spans="17:17">
      <c r="Q2742" s="4"/>
    </row>
    <row r="2743" spans="17:17">
      <c r="Q2743" s="4"/>
    </row>
    <row r="2744" spans="17:17">
      <c r="Q2744" s="4"/>
    </row>
    <row r="2745" spans="17:17">
      <c r="Q2745" s="4"/>
    </row>
    <row r="2746" spans="17:17">
      <c r="Q2746" s="4"/>
    </row>
    <row r="2747" spans="17:17">
      <c r="Q2747" s="4"/>
    </row>
    <row r="2748" spans="17:17">
      <c r="Q2748" s="4"/>
    </row>
    <row r="2749" spans="17:17">
      <c r="Q2749" s="4"/>
    </row>
    <row r="2750" spans="17:17">
      <c r="Q2750" s="4"/>
    </row>
    <row r="2751" spans="17:17">
      <c r="Q2751" s="4"/>
    </row>
    <row r="2752" spans="17:17">
      <c r="Q2752" s="4"/>
    </row>
    <row r="2753" spans="17:17">
      <c r="Q2753" s="4"/>
    </row>
    <row r="2754" spans="17:17">
      <c r="Q2754" s="4"/>
    </row>
    <row r="2755" spans="17:17">
      <c r="Q2755" s="4"/>
    </row>
    <row r="2756" spans="17:17">
      <c r="Q2756" s="4"/>
    </row>
    <row r="2757" spans="17:17">
      <c r="Q2757" s="4"/>
    </row>
    <row r="2758" spans="17:17">
      <c r="Q2758" s="4"/>
    </row>
    <row r="2759" spans="17:17">
      <c r="Q2759" s="4"/>
    </row>
    <row r="2760" spans="17:17">
      <c r="Q2760" s="4"/>
    </row>
    <row r="2761" spans="17:17">
      <c r="Q2761" s="4"/>
    </row>
    <row r="2762" spans="17:17">
      <c r="Q2762" s="4"/>
    </row>
    <row r="2763" spans="17:17">
      <c r="Q2763" s="4"/>
    </row>
    <row r="2764" spans="17:17">
      <c r="Q2764" s="4"/>
    </row>
    <row r="2765" spans="17:17">
      <c r="Q2765" s="4"/>
    </row>
    <row r="2766" spans="17:17">
      <c r="Q2766" s="4"/>
    </row>
    <row r="2767" spans="17:17">
      <c r="Q2767" s="4"/>
    </row>
    <row r="2768" spans="17:17">
      <c r="Q2768" s="4"/>
    </row>
    <row r="2769" spans="17:17">
      <c r="Q2769" s="4"/>
    </row>
    <row r="2770" spans="17:17">
      <c r="Q2770" s="4"/>
    </row>
    <row r="2771" spans="17:17">
      <c r="Q2771" s="4"/>
    </row>
    <row r="2772" spans="17:17">
      <c r="Q2772" s="4"/>
    </row>
    <row r="2773" spans="17:17">
      <c r="Q2773" s="4"/>
    </row>
    <row r="2774" spans="17:17">
      <c r="Q2774" s="4"/>
    </row>
    <row r="2775" spans="17:17">
      <c r="Q2775" s="4"/>
    </row>
    <row r="2776" spans="17:17">
      <c r="Q2776" s="4"/>
    </row>
    <row r="2777" spans="17:17">
      <c r="Q2777" s="4"/>
    </row>
    <row r="2778" spans="17:17">
      <c r="Q2778" s="4"/>
    </row>
    <row r="2779" spans="17:17">
      <c r="Q2779" s="4"/>
    </row>
    <row r="2780" spans="17:17">
      <c r="Q2780" s="4"/>
    </row>
    <row r="2781" spans="17:17">
      <c r="Q2781" s="4"/>
    </row>
    <row r="2782" spans="17:17">
      <c r="Q2782" s="4"/>
    </row>
    <row r="2783" spans="17:17">
      <c r="Q2783" s="4"/>
    </row>
    <row r="2784" spans="17:17">
      <c r="Q2784" s="4"/>
    </row>
    <row r="2785" spans="17:17">
      <c r="Q2785" s="4"/>
    </row>
    <row r="2786" spans="17:17">
      <c r="Q2786" s="4"/>
    </row>
    <row r="2787" spans="17:17">
      <c r="Q2787" s="4"/>
    </row>
    <row r="2788" spans="17:17">
      <c r="Q2788" s="4"/>
    </row>
    <row r="2789" spans="17:17">
      <c r="Q2789" s="4"/>
    </row>
    <row r="2790" spans="17:17">
      <c r="Q2790" s="4"/>
    </row>
    <row r="2791" spans="17:17">
      <c r="Q2791" s="4"/>
    </row>
    <row r="2792" spans="17:17">
      <c r="Q2792" s="4"/>
    </row>
    <row r="2793" spans="17:17">
      <c r="Q2793" s="4"/>
    </row>
    <row r="2794" spans="17:17">
      <c r="Q2794" s="4"/>
    </row>
    <row r="2795" spans="17:17">
      <c r="Q2795" s="4"/>
    </row>
    <row r="2796" spans="17:17">
      <c r="Q2796" s="4"/>
    </row>
    <row r="2797" spans="17:17">
      <c r="Q2797" s="4"/>
    </row>
    <row r="2798" spans="17:17">
      <c r="Q2798" s="4"/>
    </row>
    <row r="2799" spans="17:17">
      <c r="Q2799" s="4"/>
    </row>
    <row r="2800" spans="17:17">
      <c r="Q2800" s="4"/>
    </row>
    <row r="2801" spans="17:17">
      <c r="Q2801" s="4"/>
    </row>
    <row r="2802" spans="17:17">
      <c r="Q2802" s="4"/>
    </row>
    <row r="2803" spans="17:17">
      <c r="Q2803" s="4"/>
    </row>
    <row r="2804" spans="17:17">
      <c r="Q2804" s="4"/>
    </row>
    <row r="2805" spans="17:17">
      <c r="Q2805" s="4"/>
    </row>
    <row r="2806" spans="17:17">
      <c r="Q2806" s="4"/>
    </row>
    <row r="2807" spans="17:17">
      <c r="Q2807" s="4"/>
    </row>
    <row r="2808" spans="17:17">
      <c r="Q2808" s="4"/>
    </row>
    <row r="2809" spans="17:17">
      <c r="Q2809" s="4"/>
    </row>
    <row r="2810" spans="17:17">
      <c r="Q2810" s="4"/>
    </row>
    <row r="2811" spans="17:17">
      <c r="Q2811" s="4"/>
    </row>
    <row r="2812" spans="17:17">
      <c r="Q2812" s="4"/>
    </row>
    <row r="2813" spans="17:17">
      <c r="Q2813" s="4"/>
    </row>
    <row r="2814" spans="17:17">
      <c r="Q2814" s="4"/>
    </row>
    <row r="2815" spans="17:17">
      <c r="Q2815" s="4"/>
    </row>
    <row r="2816" spans="17:17">
      <c r="Q2816" s="4"/>
    </row>
    <row r="2817" spans="17:17">
      <c r="Q2817" s="4"/>
    </row>
    <row r="2818" spans="17:17">
      <c r="Q2818" s="4"/>
    </row>
    <row r="2819" spans="17:17">
      <c r="Q2819" s="4"/>
    </row>
    <row r="2820" spans="17:17">
      <c r="Q2820" s="4"/>
    </row>
    <row r="2821" spans="17:17">
      <c r="Q2821" s="4"/>
    </row>
    <row r="2822" spans="17:17">
      <c r="Q2822" s="4"/>
    </row>
    <row r="2823" spans="17:17">
      <c r="Q2823" s="4"/>
    </row>
    <row r="2824" spans="17:17">
      <c r="Q2824" s="4"/>
    </row>
    <row r="2825" spans="17:17">
      <c r="Q2825" s="4"/>
    </row>
    <row r="2826" spans="17:17">
      <c r="Q2826" s="4"/>
    </row>
    <row r="2827" spans="17:17">
      <c r="Q2827" s="4"/>
    </row>
    <row r="2828" spans="17:17">
      <c r="Q2828" s="4"/>
    </row>
    <row r="2829" spans="17:17">
      <c r="Q2829" s="4"/>
    </row>
    <row r="2830" spans="17:17">
      <c r="Q2830" s="4"/>
    </row>
    <row r="2831" spans="17:17">
      <c r="Q2831" s="4"/>
    </row>
    <row r="2832" spans="17:17">
      <c r="Q2832" s="4"/>
    </row>
    <row r="2833" spans="17:17">
      <c r="Q2833" s="4"/>
    </row>
    <row r="2834" spans="17:17">
      <c r="Q2834" s="4"/>
    </row>
    <row r="2835" spans="17:17">
      <c r="Q2835" s="4"/>
    </row>
    <row r="2836" spans="17:17">
      <c r="Q2836" s="4"/>
    </row>
    <row r="2837" spans="17:17">
      <c r="Q2837" s="4"/>
    </row>
    <row r="2838" spans="17:17">
      <c r="Q2838" s="4"/>
    </row>
    <row r="2839" spans="17:17">
      <c r="Q2839" s="4"/>
    </row>
    <row r="2840" spans="17:17">
      <c r="Q2840" s="4"/>
    </row>
    <row r="2841" spans="17:17">
      <c r="Q2841" s="4"/>
    </row>
    <row r="2842" spans="17:17">
      <c r="Q2842" s="4"/>
    </row>
    <row r="2843" spans="17:17">
      <c r="Q2843" s="4"/>
    </row>
    <row r="2844" spans="17:17">
      <c r="Q2844" s="4"/>
    </row>
    <row r="2845" spans="17:17">
      <c r="Q2845" s="4"/>
    </row>
    <row r="2846" spans="17:17">
      <c r="Q2846" s="4"/>
    </row>
    <row r="2847" spans="17:17">
      <c r="Q2847" s="4"/>
    </row>
    <row r="2848" spans="17:17">
      <c r="Q2848" s="4"/>
    </row>
    <row r="2849" spans="17:17">
      <c r="Q2849" s="4"/>
    </row>
    <row r="2850" spans="17:17">
      <c r="Q2850" s="4"/>
    </row>
    <row r="2851" spans="17:17">
      <c r="Q2851" s="4"/>
    </row>
    <row r="2852" spans="17:17">
      <c r="Q2852" s="4"/>
    </row>
    <row r="2853" spans="17:17">
      <c r="Q2853" s="4"/>
    </row>
    <row r="2854" spans="17:17">
      <c r="Q2854" s="4"/>
    </row>
    <row r="2855" spans="17:17">
      <c r="Q2855" s="4"/>
    </row>
    <row r="2856" spans="17:17">
      <c r="Q2856" s="4"/>
    </row>
    <row r="2857" spans="17:17">
      <c r="Q2857" s="4"/>
    </row>
    <row r="2858" spans="17:17">
      <c r="Q2858" s="4"/>
    </row>
    <row r="2859" spans="17:17">
      <c r="Q2859" s="4"/>
    </row>
    <row r="2860" spans="17:17">
      <c r="Q2860" s="4"/>
    </row>
    <row r="2861" spans="17:17">
      <c r="Q2861" s="4"/>
    </row>
    <row r="2862" spans="17:17">
      <c r="Q2862" s="4"/>
    </row>
    <row r="2863" spans="17:17">
      <c r="Q2863" s="4"/>
    </row>
    <row r="2864" spans="17:17">
      <c r="Q2864" s="4"/>
    </row>
    <row r="2865" spans="17:17">
      <c r="Q2865" s="4"/>
    </row>
    <row r="2866" spans="17:17">
      <c r="Q2866" s="4"/>
    </row>
    <row r="2867" spans="17:17">
      <c r="Q2867" s="4"/>
    </row>
    <row r="2868" spans="17:17">
      <c r="Q2868" s="4"/>
    </row>
    <row r="2869" spans="17:17">
      <c r="Q2869" s="4"/>
    </row>
    <row r="2870" spans="17:17">
      <c r="Q2870" s="4"/>
    </row>
    <row r="2871" spans="17:17">
      <c r="Q2871" s="4"/>
    </row>
    <row r="2872" spans="17:17">
      <c r="Q2872" s="4"/>
    </row>
    <row r="2873" spans="17:17">
      <c r="Q2873" s="4"/>
    </row>
    <row r="2874" spans="17:17">
      <c r="Q2874" s="4"/>
    </row>
    <row r="2875" spans="17:17">
      <c r="Q2875" s="4"/>
    </row>
    <row r="2876" spans="17:17">
      <c r="Q2876" s="4"/>
    </row>
    <row r="2877" spans="17:17">
      <c r="Q2877" s="4"/>
    </row>
    <row r="2878" spans="17:17">
      <c r="Q2878" s="4"/>
    </row>
    <row r="2879" spans="17:17">
      <c r="Q2879" s="4"/>
    </row>
    <row r="2880" spans="17:17">
      <c r="Q2880" s="4"/>
    </row>
    <row r="2881" spans="17:17">
      <c r="Q2881" s="4"/>
    </row>
    <row r="2882" spans="17:17">
      <c r="Q2882" s="4"/>
    </row>
    <row r="2883" spans="17:17">
      <c r="Q2883" s="4"/>
    </row>
    <row r="2884" spans="17:17">
      <c r="Q2884" s="4"/>
    </row>
    <row r="2885" spans="17:17">
      <c r="Q2885" s="4"/>
    </row>
    <row r="2886" spans="17:17">
      <c r="Q2886" s="4"/>
    </row>
    <row r="2887" spans="17:17">
      <c r="Q2887" s="4"/>
    </row>
    <row r="2888" spans="17:17">
      <c r="Q2888" s="4"/>
    </row>
    <row r="2889" spans="17:17">
      <c r="Q2889" s="4"/>
    </row>
    <row r="2890" spans="17:17">
      <c r="Q2890" s="4"/>
    </row>
    <row r="2891" spans="17:17">
      <c r="Q2891" s="4"/>
    </row>
    <row r="2892" spans="17:17">
      <c r="Q2892" s="4"/>
    </row>
    <row r="2893" spans="17:17">
      <c r="Q2893" s="4"/>
    </row>
    <row r="2894" spans="17:17">
      <c r="Q2894" s="4"/>
    </row>
    <row r="2895" spans="17:17">
      <c r="Q2895" s="4"/>
    </row>
    <row r="2896" spans="17:17">
      <c r="Q2896" s="4"/>
    </row>
    <row r="2897" spans="17:17">
      <c r="Q2897" s="4"/>
    </row>
    <row r="2898" spans="17:17">
      <c r="Q2898" s="4"/>
    </row>
    <row r="2899" spans="17:17">
      <c r="Q2899" s="4"/>
    </row>
    <row r="2900" spans="17:17">
      <c r="Q2900" s="4"/>
    </row>
    <row r="2901" spans="17:17">
      <c r="Q2901" s="4"/>
    </row>
    <row r="2902" spans="17:17">
      <c r="Q2902" s="4"/>
    </row>
    <row r="2903" spans="17:17">
      <c r="Q2903" s="4"/>
    </row>
    <row r="2904" spans="17:17">
      <c r="Q2904" s="4"/>
    </row>
    <row r="2905" spans="17:17">
      <c r="Q2905" s="4"/>
    </row>
    <row r="2906" spans="17:17">
      <c r="Q2906" s="4"/>
    </row>
    <row r="2907" spans="17:17">
      <c r="Q2907" s="4"/>
    </row>
    <row r="2908" spans="17:17">
      <c r="Q2908" s="4"/>
    </row>
    <row r="2909" spans="17:17">
      <c r="Q2909" s="4"/>
    </row>
    <row r="2910" spans="17:17">
      <c r="Q2910" s="4"/>
    </row>
    <row r="2911" spans="17:17">
      <c r="Q2911" s="4"/>
    </row>
    <row r="2912" spans="17:17">
      <c r="Q2912" s="4"/>
    </row>
    <row r="2913" spans="17:17">
      <c r="Q2913" s="4"/>
    </row>
    <row r="2914" spans="17:17">
      <c r="Q2914" s="4"/>
    </row>
    <row r="2915" spans="17:17">
      <c r="Q2915" s="4"/>
    </row>
    <row r="2916" spans="17:17">
      <c r="Q2916" s="4"/>
    </row>
    <row r="2917" spans="17:17">
      <c r="Q2917" s="4"/>
    </row>
    <row r="2918" spans="17:17">
      <c r="Q2918" s="4"/>
    </row>
    <row r="2919" spans="17:17">
      <c r="Q2919" s="4"/>
    </row>
    <row r="2920" spans="17:17">
      <c r="Q2920" s="4"/>
    </row>
    <row r="2921" spans="17:17">
      <c r="Q2921" s="4"/>
    </row>
    <row r="2922" spans="17:17">
      <c r="Q2922" s="4"/>
    </row>
    <row r="2923" spans="17:17">
      <c r="Q2923" s="4"/>
    </row>
    <row r="2924" spans="17:17">
      <c r="Q2924" s="4"/>
    </row>
    <row r="2925" spans="17:17">
      <c r="Q2925" s="4"/>
    </row>
    <row r="2926" spans="17:17">
      <c r="Q2926" s="4"/>
    </row>
    <row r="2927" spans="17:17">
      <c r="Q2927" s="4"/>
    </row>
    <row r="2928" spans="17:17">
      <c r="Q2928" s="4"/>
    </row>
    <row r="2929" spans="17:17">
      <c r="Q2929" s="4"/>
    </row>
    <row r="2930" spans="17:17">
      <c r="Q2930" s="4"/>
    </row>
    <row r="2931" spans="17:17">
      <c r="Q2931" s="4"/>
    </row>
    <row r="2932" spans="17:17">
      <c r="Q2932" s="4"/>
    </row>
    <row r="2933" spans="17:17">
      <c r="Q2933" s="4"/>
    </row>
    <row r="2934" spans="17:17">
      <c r="Q2934" s="4"/>
    </row>
    <row r="2935" spans="17:17">
      <c r="Q2935" s="4"/>
    </row>
    <row r="2936" spans="17:17">
      <c r="Q2936" s="4"/>
    </row>
    <row r="2937" spans="17:17">
      <c r="Q2937" s="4"/>
    </row>
    <row r="2938" spans="17:17">
      <c r="Q2938" s="4"/>
    </row>
    <row r="2939" spans="17:17">
      <c r="Q2939" s="4"/>
    </row>
    <row r="2940" spans="17:17">
      <c r="Q2940" s="4"/>
    </row>
    <row r="2941" spans="17:17">
      <c r="Q2941" s="4"/>
    </row>
    <row r="2942" spans="17:17">
      <c r="Q2942" s="4"/>
    </row>
    <row r="2943" spans="17:17">
      <c r="Q2943" s="4"/>
    </row>
    <row r="2944" spans="17:17">
      <c r="Q2944" s="4"/>
    </row>
    <row r="2945" spans="17:17">
      <c r="Q2945" s="4"/>
    </row>
    <row r="2946" spans="17:17">
      <c r="Q2946" s="4"/>
    </row>
    <row r="2947" spans="17:17">
      <c r="Q2947" s="4"/>
    </row>
    <row r="2948" spans="17:17">
      <c r="Q2948" s="4"/>
    </row>
    <row r="2949" spans="17:17">
      <c r="Q2949" s="4"/>
    </row>
    <row r="2950" spans="17:17">
      <c r="Q2950" s="4"/>
    </row>
    <row r="2951" spans="17:17">
      <c r="Q2951" s="4"/>
    </row>
    <row r="2952" spans="17:17">
      <c r="Q2952" s="4"/>
    </row>
    <row r="2953" spans="17:17">
      <c r="Q2953" s="4"/>
    </row>
    <row r="2954" spans="17:17">
      <c r="Q2954" s="4"/>
    </row>
    <row r="2955" spans="17:17">
      <c r="Q2955" s="4"/>
    </row>
    <row r="2956" spans="17:17">
      <c r="Q2956" s="4"/>
    </row>
    <row r="2957" spans="17:17">
      <c r="Q2957" s="4"/>
    </row>
    <row r="2958" spans="17:17">
      <c r="Q2958" s="4"/>
    </row>
    <row r="2959" spans="17:17">
      <c r="Q2959" s="4"/>
    </row>
    <row r="2960" spans="17:17">
      <c r="Q2960" s="4"/>
    </row>
    <row r="2961" spans="17:17">
      <c r="Q2961" s="4"/>
    </row>
    <row r="2962" spans="17:17">
      <c r="Q2962" s="4"/>
    </row>
    <row r="2963" spans="17:17">
      <c r="Q2963" s="4"/>
    </row>
    <row r="2964" spans="17:17">
      <c r="Q2964" s="4"/>
    </row>
    <row r="2965" spans="17:17">
      <c r="Q2965" s="4"/>
    </row>
    <row r="2966" spans="17:17">
      <c r="Q2966" s="4"/>
    </row>
    <row r="2967" spans="17:17">
      <c r="Q2967" s="4"/>
    </row>
    <row r="2968" spans="17:17">
      <c r="Q2968" s="4"/>
    </row>
    <row r="2969" spans="17:17">
      <c r="Q2969" s="4"/>
    </row>
    <row r="2970" spans="17:17">
      <c r="Q2970" s="4"/>
    </row>
    <row r="2971" spans="17:17">
      <c r="Q2971" s="4"/>
    </row>
    <row r="2972" spans="17:17">
      <c r="Q2972" s="4"/>
    </row>
    <row r="2973" spans="17:17">
      <c r="Q2973" s="4"/>
    </row>
    <row r="2974" spans="17:17">
      <c r="Q2974" s="4"/>
    </row>
    <row r="2975" spans="17:17">
      <c r="Q2975" s="4"/>
    </row>
    <row r="2976" spans="17:17">
      <c r="Q2976" s="4"/>
    </row>
    <row r="2977" spans="17:17">
      <c r="Q2977" s="4"/>
    </row>
    <row r="2978" spans="17:17">
      <c r="Q2978" s="4"/>
    </row>
    <row r="2979" spans="17:17">
      <c r="Q2979" s="4"/>
    </row>
    <row r="2980" spans="17:17">
      <c r="Q2980" s="4"/>
    </row>
    <row r="2981" spans="17:17">
      <c r="Q2981" s="4"/>
    </row>
    <row r="2982" spans="17:17">
      <c r="Q2982" s="4"/>
    </row>
    <row r="2983" spans="17:17">
      <c r="Q2983" s="4"/>
    </row>
    <row r="2984" spans="17:17">
      <c r="Q2984" s="4"/>
    </row>
    <row r="2985" spans="17:17">
      <c r="Q2985" s="4"/>
    </row>
    <row r="2986" spans="17:17">
      <c r="Q2986" s="4"/>
    </row>
    <row r="2987" spans="17:17">
      <c r="Q2987" s="4"/>
    </row>
    <row r="2988" spans="17:17">
      <c r="Q2988" s="4"/>
    </row>
    <row r="2989" spans="17:17">
      <c r="Q2989" s="4"/>
    </row>
    <row r="2990" spans="17:17">
      <c r="Q2990" s="4"/>
    </row>
    <row r="2991" spans="17:17">
      <c r="Q2991" s="4"/>
    </row>
    <row r="2992" spans="17:17">
      <c r="Q2992" s="4"/>
    </row>
    <row r="2993" spans="17:17">
      <c r="Q2993" s="4"/>
    </row>
    <row r="2994" spans="17:17">
      <c r="Q2994" s="4"/>
    </row>
    <row r="2995" spans="17:17">
      <c r="Q2995" s="4"/>
    </row>
    <row r="2996" spans="17:17">
      <c r="Q2996" s="4"/>
    </row>
    <row r="2997" spans="17:17">
      <c r="Q2997" s="4"/>
    </row>
    <row r="2998" spans="17:17">
      <c r="Q2998" s="4"/>
    </row>
    <row r="2999" spans="17:17">
      <c r="Q2999" s="4"/>
    </row>
    <row r="3000" spans="17:17">
      <c r="Q3000" s="4"/>
    </row>
    <row r="3001" spans="17:17">
      <c r="Q3001" s="4"/>
    </row>
    <row r="3002" spans="17:17">
      <c r="Q3002" s="4"/>
    </row>
    <row r="3003" spans="17:17">
      <c r="Q3003" s="4"/>
    </row>
    <row r="3004" spans="17:17">
      <c r="Q3004" s="4"/>
    </row>
    <row r="3005" spans="17:17">
      <c r="Q3005" s="4"/>
    </row>
    <row r="3006" spans="17:17">
      <c r="Q3006" s="4"/>
    </row>
    <row r="3007" spans="17:17">
      <c r="Q3007" s="4"/>
    </row>
    <row r="3008" spans="17:17">
      <c r="Q3008" s="4"/>
    </row>
    <row r="3009" spans="17:17">
      <c r="Q3009" s="4"/>
    </row>
    <row r="3010" spans="17:17">
      <c r="Q3010" s="4"/>
    </row>
    <row r="3011" spans="17:17">
      <c r="Q3011" s="4"/>
    </row>
    <row r="3012" spans="17:17">
      <c r="Q3012" s="4"/>
    </row>
    <row r="3013" spans="17:17">
      <c r="Q3013" s="4"/>
    </row>
    <row r="3014" spans="17:17">
      <c r="Q3014" s="4"/>
    </row>
    <row r="3015" spans="17:17">
      <c r="Q3015" s="4"/>
    </row>
    <row r="3016" spans="17:17">
      <c r="Q3016" s="4"/>
    </row>
    <row r="3017" spans="17:17">
      <c r="Q3017" s="4"/>
    </row>
    <row r="3018" spans="17:17">
      <c r="Q3018" s="4"/>
    </row>
    <row r="3019" spans="17:17">
      <c r="Q3019" s="4"/>
    </row>
    <row r="3020" spans="17:17">
      <c r="Q3020" s="4"/>
    </row>
    <row r="3021" spans="17:17">
      <c r="Q3021" s="4"/>
    </row>
    <row r="3022" spans="17:17">
      <c r="Q3022" s="4"/>
    </row>
    <row r="3023" spans="17:17">
      <c r="Q3023" s="4"/>
    </row>
    <row r="3024" spans="17:17">
      <c r="Q3024" s="4"/>
    </row>
    <row r="3025" spans="17:17">
      <c r="Q3025" s="4"/>
    </row>
    <row r="3026" spans="17:17">
      <c r="Q3026" s="4"/>
    </row>
    <row r="3027" spans="17:17">
      <c r="Q3027" s="4"/>
    </row>
    <row r="3028" spans="17:17">
      <c r="Q3028" s="4"/>
    </row>
    <row r="3029" spans="17:17">
      <c r="Q3029" s="4"/>
    </row>
    <row r="3030" spans="17:17">
      <c r="Q3030" s="4"/>
    </row>
    <row r="3031" spans="17:17">
      <c r="Q3031" s="4"/>
    </row>
    <row r="3032" spans="17:17">
      <c r="Q3032" s="4"/>
    </row>
    <row r="3033" spans="17:17">
      <c r="Q3033" s="4"/>
    </row>
    <row r="3034" spans="17:17">
      <c r="Q3034" s="4"/>
    </row>
    <row r="3035" spans="17:17">
      <c r="Q3035" s="4"/>
    </row>
    <row r="3036" spans="17:17">
      <c r="Q3036" s="4"/>
    </row>
    <row r="3037" spans="17:17">
      <c r="Q3037" s="4"/>
    </row>
    <row r="3038" spans="17:17">
      <c r="Q3038" s="4"/>
    </row>
    <row r="3039" spans="17:17">
      <c r="Q3039" s="4"/>
    </row>
    <row r="3040" spans="17:17">
      <c r="Q3040" s="4"/>
    </row>
    <row r="3041" spans="17:17">
      <c r="Q3041" s="4"/>
    </row>
    <row r="3042" spans="17:17">
      <c r="Q3042" s="4"/>
    </row>
    <row r="3043" spans="17:17">
      <c r="Q3043" s="4"/>
    </row>
    <row r="3044" spans="17:17">
      <c r="Q3044" s="4"/>
    </row>
    <row r="3045" spans="17:17">
      <c r="Q3045" s="4"/>
    </row>
    <row r="3046" spans="17:17">
      <c r="Q3046" s="4"/>
    </row>
    <row r="3047" spans="17:17">
      <c r="Q3047" s="4"/>
    </row>
    <row r="3048" spans="17:17">
      <c r="Q3048" s="4"/>
    </row>
    <row r="3049" spans="17:17">
      <c r="Q3049" s="4"/>
    </row>
    <row r="3050" spans="17:17">
      <c r="Q3050" s="4"/>
    </row>
    <row r="3051" spans="17:17">
      <c r="Q3051" s="4"/>
    </row>
    <row r="3052" spans="17:17">
      <c r="Q3052" s="4"/>
    </row>
    <row r="3053" spans="17:17">
      <c r="Q3053" s="4"/>
    </row>
    <row r="3054" spans="17:17">
      <c r="Q3054" s="4"/>
    </row>
    <row r="3055" spans="17:17">
      <c r="Q3055" s="4"/>
    </row>
    <row r="3056" spans="17:17">
      <c r="Q3056" s="4"/>
    </row>
    <row r="3057" spans="17:17">
      <c r="Q3057" s="4"/>
    </row>
    <row r="3058" spans="17:17">
      <c r="Q3058" s="4"/>
    </row>
    <row r="3059" spans="17:17">
      <c r="Q3059" s="4"/>
    </row>
    <row r="3060" spans="17:17">
      <c r="Q3060" s="4"/>
    </row>
    <row r="3061" spans="17:17">
      <c r="Q3061" s="4"/>
    </row>
    <row r="3062" spans="17:17">
      <c r="Q3062" s="4"/>
    </row>
    <row r="3063" spans="17:17">
      <c r="Q3063" s="4"/>
    </row>
    <row r="3064" spans="17:17">
      <c r="Q3064" s="4"/>
    </row>
    <row r="3065" spans="17:17">
      <c r="Q3065" s="4"/>
    </row>
    <row r="3066" spans="17:17">
      <c r="Q3066" s="4"/>
    </row>
    <row r="3067" spans="17:17">
      <c r="Q3067" s="4"/>
    </row>
    <row r="3068" spans="17:17">
      <c r="Q3068" s="4"/>
    </row>
    <row r="3069" spans="17:17">
      <c r="Q3069" s="4"/>
    </row>
    <row r="3070" spans="17:17">
      <c r="Q3070" s="4"/>
    </row>
    <row r="3071" spans="17:17">
      <c r="Q3071" s="4"/>
    </row>
    <row r="3072" spans="17:17">
      <c r="Q3072" s="4"/>
    </row>
    <row r="3073" spans="17:17">
      <c r="Q3073" s="4"/>
    </row>
    <row r="3074" spans="17:17">
      <c r="Q3074" s="4"/>
    </row>
    <row r="3075" spans="17:17">
      <c r="Q3075" s="4"/>
    </row>
    <row r="3076" spans="17:17">
      <c r="Q3076" s="4"/>
    </row>
    <row r="3077" spans="17:17">
      <c r="Q3077" s="4"/>
    </row>
    <row r="3078" spans="17:17">
      <c r="Q3078" s="4"/>
    </row>
    <row r="3079" spans="17:17">
      <c r="Q3079" s="4"/>
    </row>
    <row r="3080" spans="17:17">
      <c r="Q3080" s="4"/>
    </row>
    <row r="3081" spans="17:17">
      <c r="Q3081" s="4"/>
    </row>
    <row r="3082" spans="17:17">
      <c r="Q3082" s="4"/>
    </row>
    <row r="3083" spans="17:17">
      <c r="Q3083" s="4"/>
    </row>
    <row r="3084" spans="17:17">
      <c r="Q3084" s="4"/>
    </row>
    <row r="3085" spans="17:17">
      <c r="Q3085" s="4"/>
    </row>
    <row r="3086" spans="17:17">
      <c r="Q3086" s="4"/>
    </row>
    <row r="3087" spans="17:17">
      <c r="Q3087" s="4"/>
    </row>
    <row r="3088" spans="17:17">
      <c r="Q3088" s="4"/>
    </row>
    <row r="3089" spans="17:17">
      <c r="Q3089" s="4"/>
    </row>
    <row r="3090" spans="17:17">
      <c r="Q3090" s="4"/>
    </row>
    <row r="3091" spans="17:17">
      <c r="Q3091" s="4"/>
    </row>
    <row r="3092" spans="17:17">
      <c r="Q3092" s="4"/>
    </row>
    <row r="3093" spans="17:17">
      <c r="Q3093" s="4"/>
    </row>
    <row r="3094" spans="17:17">
      <c r="Q3094" s="4"/>
    </row>
    <row r="3095" spans="17:17">
      <c r="Q3095" s="4"/>
    </row>
    <row r="3096" spans="17:17">
      <c r="Q3096" s="4"/>
    </row>
    <row r="3097" spans="17:17">
      <c r="Q3097" s="4"/>
    </row>
    <row r="3098" spans="17:17">
      <c r="Q3098" s="4"/>
    </row>
    <row r="3099" spans="17:17">
      <c r="Q3099" s="4"/>
    </row>
    <row r="3100" spans="17:17">
      <c r="Q3100" s="4"/>
    </row>
    <row r="3101" spans="17:17">
      <c r="Q3101" s="4"/>
    </row>
    <row r="3102" spans="17:17">
      <c r="Q3102" s="4"/>
    </row>
    <row r="3103" spans="17:17">
      <c r="Q3103" s="4"/>
    </row>
    <row r="3104" spans="17:17">
      <c r="Q3104" s="4"/>
    </row>
    <row r="3105" spans="17:17">
      <c r="Q3105" s="4"/>
    </row>
    <row r="3106" spans="17:17">
      <c r="Q3106" s="4"/>
    </row>
    <row r="3107" spans="17:17">
      <c r="Q3107" s="4"/>
    </row>
    <row r="3108" spans="17:17">
      <c r="Q3108" s="4"/>
    </row>
    <row r="3109" spans="17:17">
      <c r="Q3109" s="4"/>
    </row>
    <row r="3110" spans="17:17">
      <c r="Q3110" s="4"/>
    </row>
    <row r="3111" spans="17:17">
      <c r="Q3111" s="4"/>
    </row>
    <row r="3112" spans="17:17">
      <c r="Q3112" s="4"/>
    </row>
    <row r="3113" spans="17:17">
      <c r="Q3113" s="4"/>
    </row>
    <row r="3114" spans="17:17">
      <c r="Q3114" s="4"/>
    </row>
    <row r="3115" spans="17:17">
      <c r="Q3115" s="4"/>
    </row>
    <row r="3116" spans="17:17">
      <c r="Q3116" s="4"/>
    </row>
    <row r="3117" spans="17:17">
      <c r="Q3117" s="4"/>
    </row>
    <row r="3118" spans="17:17">
      <c r="Q3118" s="4"/>
    </row>
    <row r="3119" spans="17:17">
      <c r="Q3119" s="4"/>
    </row>
    <row r="3120" spans="17:17">
      <c r="Q3120" s="4"/>
    </row>
    <row r="3121" spans="17:17">
      <c r="Q3121" s="4"/>
    </row>
    <row r="3122" spans="17:17">
      <c r="Q3122" s="4"/>
    </row>
    <row r="3123" spans="17:17">
      <c r="Q3123" s="4"/>
    </row>
    <row r="3124" spans="17:17">
      <c r="Q3124" s="4"/>
    </row>
    <row r="3125" spans="17:17">
      <c r="Q3125" s="4"/>
    </row>
    <row r="3126" spans="17:17">
      <c r="Q3126" s="4"/>
    </row>
    <row r="3127" spans="17:17">
      <c r="Q3127" s="4"/>
    </row>
    <row r="3128" spans="17:17">
      <c r="Q3128" s="4"/>
    </row>
    <row r="3129" spans="17:17">
      <c r="Q3129" s="4"/>
    </row>
    <row r="3130" spans="17:17">
      <c r="Q3130" s="4"/>
    </row>
    <row r="3131" spans="17:17">
      <c r="Q3131" s="4"/>
    </row>
    <row r="3132" spans="17:17">
      <c r="Q3132" s="4"/>
    </row>
    <row r="3133" spans="17:17">
      <c r="Q3133" s="4"/>
    </row>
    <row r="3134" spans="17:17">
      <c r="Q3134" s="4"/>
    </row>
    <row r="3135" spans="17:17">
      <c r="Q3135" s="4"/>
    </row>
    <row r="3136" spans="17:17">
      <c r="Q3136" s="4"/>
    </row>
    <row r="3137" spans="17:17">
      <c r="Q3137" s="4"/>
    </row>
    <row r="3138" spans="17:17">
      <c r="Q3138" s="4"/>
    </row>
    <row r="3139" spans="17:17">
      <c r="Q3139" s="4"/>
    </row>
    <row r="3140" spans="17:17">
      <c r="Q3140" s="4"/>
    </row>
    <row r="3141" spans="17:17">
      <c r="Q3141" s="4"/>
    </row>
    <row r="3142" spans="17:17">
      <c r="Q3142" s="4"/>
    </row>
    <row r="3143" spans="17:17">
      <c r="Q3143" s="4"/>
    </row>
    <row r="3144" spans="17:17">
      <c r="Q3144" s="4"/>
    </row>
    <row r="3145" spans="17:17">
      <c r="Q3145" s="4"/>
    </row>
    <row r="3146" spans="17:17">
      <c r="Q3146" s="4"/>
    </row>
    <row r="3147" spans="17:17">
      <c r="Q3147" s="4"/>
    </row>
    <row r="3148" spans="17:17">
      <c r="Q3148" s="4"/>
    </row>
    <row r="3149" spans="17:17">
      <c r="Q3149" s="4"/>
    </row>
    <row r="3150" spans="17:17">
      <c r="Q3150" s="4"/>
    </row>
    <row r="3151" spans="17:17">
      <c r="Q3151" s="4"/>
    </row>
    <row r="3152" spans="17:17">
      <c r="Q3152" s="4"/>
    </row>
    <row r="3153" spans="17:17">
      <c r="Q3153" s="4"/>
    </row>
    <row r="3154" spans="17:17">
      <c r="Q3154" s="4"/>
    </row>
    <row r="3155" spans="17:17">
      <c r="Q3155" s="4"/>
    </row>
    <row r="3156" spans="17:17">
      <c r="Q3156" s="4"/>
    </row>
    <row r="3157" spans="17:17">
      <c r="Q3157" s="4"/>
    </row>
    <row r="3158" spans="17:17">
      <c r="Q3158" s="4"/>
    </row>
    <row r="3159" spans="17:17">
      <c r="Q3159" s="4"/>
    </row>
    <row r="3160" spans="17:17">
      <c r="Q3160" s="4"/>
    </row>
    <row r="3161" spans="17:17">
      <c r="Q3161" s="4"/>
    </row>
    <row r="3162" spans="17:17">
      <c r="Q3162" s="4"/>
    </row>
    <row r="3163" spans="17:17">
      <c r="Q3163" s="4"/>
    </row>
    <row r="3164" spans="17:17">
      <c r="Q3164" s="4"/>
    </row>
    <row r="3165" spans="17:17">
      <c r="Q3165" s="4"/>
    </row>
    <row r="3166" spans="17:17">
      <c r="Q3166" s="4"/>
    </row>
    <row r="3167" spans="17:17">
      <c r="Q3167" s="4"/>
    </row>
    <row r="3168" spans="17:17">
      <c r="Q3168" s="4"/>
    </row>
    <row r="3169" spans="17:17">
      <c r="Q3169" s="4"/>
    </row>
    <row r="3170" spans="17:17">
      <c r="Q3170" s="4"/>
    </row>
    <row r="3171" spans="17:17">
      <c r="Q3171" s="4"/>
    </row>
    <row r="3172" spans="17:17">
      <c r="Q3172" s="4"/>
    </row>
    <row r="3173" spans="17:17">
      <c r="Q3173" s="4"/>
    </row>
    <row r="3174" spans="17:17">
      <c r="Q3174" s="4"/>
    </row>
    <row r="3175" spans="17:17">
      <c r="Q3175" s="4"/>
    </row>
    <row r="3176" spans="17:17">
      <c r="Q3176" s="4"/>
    </row>
    <row r="3177" spans="17:17">
      <c r="Q3177" s="4"/>
    </row>
    <row r="3178" spans="17:17">
      <c r="Q3178" s="4"/>
    </row>
    <row r="3179" spans="17:17">
      <c r="Q3179" s="4"/>
    </row>
    <row r="3180" spans="17:17">
      <c r="Q3180" s="4"/>
    </row>
    <row r="3181" spans="17:17">
      <c r="Q3181" s="4"/>
    </row>
    <row r="3182" spans="17:17">
      <c r="Q3182" s="4"/>
    </row>
    <row r="3183" spans="17:17">
      <c r="Q3183" s="4"/>
    </row>
    <row r="3184" spans="17:17">
      <c r="Q3184" s="4"/>
    </row>
    <row r="3185" spans="17:17">
      <c r="Q3185" s="4"/>
    </row>
    <row r="3186" spans="17:17">
      <c r="Q3186" s="4"/>
    </row>
    <row r="3187" spans="17:17">
      <c r="Q3187" s="4"/>
    </row>
    <row r="3188" spans="17:17">
      <c r="Q3188" s="4"/>
    </row>
    <row r="3189" spans="17:17">
      <c r="Q3189" s="4"/>
    </row>
    <row r="3190" spans="17:17">
      <c r="Q3190" s="4"/>
    </row>
    <row r="3191" spans="17:17">
      <c r="Q3191" s="4"/>
    </row>
    <row r="3192" spans="17:17">
      <c r="Q3192" s="4"/>
    </row>
    <row r="3193" spans="17:17">
      <c r="Q3193" s="4"/>
    </row>
    <row r="3194" spans="17:17">
      <c r="Q3194" s="4"/>
    </row>
    <row r="3195" spans="17:17">
      <c r="Q3195" s="4"/>
    </row>
    <row r="3196" spans="17:17">
      <c r="Q3196" s="4"/>
    </row>
    <row r="3197" spans="17:17">
      <c r="Q3197" s="4"/>
    </row>
    <row r="3198" spans="17:17">
      <c r="Q3198" s="4"/>
    </row>
    <row r="3199" spans="17:17">
      <c r="Q3199" s="4"/>
    </row>
    <row r="3200" spans="17:17">
      <c r="Q3200" s="4"/>
    </row>
    <row r="3201" spans="17:17">
      <c r="Q3201" s="4"/>
    </row>
    <row r="3202" spans="17:17">
      <c r="Q3202" s="4"/>
    </row>
    <row r="3203" spans="17:17">
      <c r="Q3203" s="4"/>
    </row>
    <row r="3204" spans="17:17">
      <c r="Q3204" s="4"/>
    </row>
    <row r="3205" spans="17:17">
      <c r="Q3205" s="4"/>
    </row>
    <row r="3206" spans="17:17">
      <c r="Q3206" s="4"/>
    </row>
    <row r="3207" spans="17:17">
      <c r="Q3207" s="4"/>
    </row>
    <row r="3208" spans="17:17">
      <c r="Q3208" s="4"/>
    </row>
    <row r="3209" spans="17:17">
      <c r="Q3209" s="4"/>
    </row>
    <row r="3210" spans="17:17">
      <c r="Q3210" s="4"/>
    </row>
    <row r="3211" spans="17:17">
      <c r="Q3211" s="4"/>
    </row>
    <row r="3212" spans="17:17">
      <c r="Q3212" s="4"/>
    </row>
    <row r="3213" spans="17:17">
      <c r="Q3213" s="4"/>
    </row>
    <row r="3214" spans="17:17">
      <c r="Q3214" s="4"/>
    </row>
    <row r="3215" spans="17:17">
      <c r="Q3215" s="4"/>
    </row>
    <row r="3216" spans="17:17">
      <c r="Q3216" s="4"/>
    </row>
    <row r="3217" spans="17:17">
      <c r="Q3217" s="4"/>
    </row>
    <row r="3218" spans="17:17">
      <c r="Q3218" s="4"/>
    </row>
    <row r="3219" spans="17:17">
      <c r="Q3219" s="4"/>
    </row>
    <row r="3220" spans="17:17">
      <c r="Q3220" s="4"/>
    </row>
    <row r="3221" spans="17:17">
      <c r="Q3221" s="4"/>
    </row>
    <row r="3222" spans="17:17">
      <c r="Q3222" s="4"/>
    </row>
    <row r="3223" spans="17:17">
      <c r="Q3223" s="4"/>
    </row>
    <row r="3224" spans="17:17">
      <c r="Q3224" s="4"/>
    </row>
    <row r="3225" spans="17:17">
      <c r="Q3225" s="4"/>
    </row>
    <row r="3226" spans="17:17">
      <c r="Q3226" s="4"/>
    </row>
    <row r="3227" spans="17:17">
      <c r="Q3227" s="4"/>
    </row>
    <row r="3228" spans="17:17">
      <c r="Q3228" s="4"/>
    </row>
    <row r="3229" spans="17:17">
      <c r="Q3229" s="4"/>
    </row>
    <row r="3230" spans="17:17">
      <c r="Q3230" s="4"/>
    </row>
    <row r="3231" spans="17:17">
      <c r="Q3231" s="4"/>
    </row>
    <row r="3232" spans="17:17">
      <c r="Q3232" s="4"/>
    </row>
    <row r="3233" spans="17:17">
      <c r="Q3233" s="4"/>
    </row>
    <row r="3234" spans="17:17">
      <c r="Q3234" s="4"/>
    </row>
    <row r="3235" spans="17:17">
      <c r="Q3235" s="4"/>
    </row>
    <row r="3236" spans="17:17">
      <c r="Q3236" s="4"/>
    </row>
    <row r="3237" spans="17:17">
      <c r="Q3237" s="4"/>
    </row>
    <row r="3238" spans="17:17">
      <c r="Q3238" s="4"/>
    </row>
    <row r="3239" spans="17:17">
      <c r="Q3239" s="4"/>
    </row>
    <row r="3240" spans="17:17">
      <c r="Q3240" s="4"/>
    </row>
    <row r="3241" spans="17:17">
      <c r="Q3241" s="4"/>
    </row>
    <row r="3242" spans="17:17">
      <c r="Q3242" s="4"/>
    </row>
    <row r="3243" spans="17:17">
      <c r="Q3243" s="4"/>
    </row>
    <row r="3244" spans="17:17">
      <c r="Q3244" s="4"/>
    </row>
    <row r="3245" spans="17:17">
      <c r="Q3245" s="4"/>
    </row>
    <row r="3246" spans="17:17">
      <c r="Q3246" s="4"/>
    </row>
    <row r="3247" spans="17:17">
      <c r="Q3247" s="4"/>
    </row>
    <row r="3248" spans="17:17">
      <c r="Q3248" s="4"/>
    </row>
    <row r="3249" spans="17:17">
      <c r="Q3249" s="4"/>
    </row>
    <row r="3250" spans="17:17">
      <c r="Q3250" s="4"/>
    </row>
    <row r="3251" spans="17:17">
      <c r="Q3251" s="4"/>
    </row>
    <row r="3252" spans="17:17">
      <c r="Q3252" s="4"/>
    </row>
    <row r="3253" spans="17:17">
      <c r="Q3253" s="4"/>
    </row>
    <row r="3254" spans="17:17">
      <c r="Q3254" s="4"/>
    </row>
    <row r="3255" spans="17:17">
      <c r="Q3255" s="4"/>
    </row>
    <row r="3256" spans="17:17">
      <c r="Q3256" s="4"/>
    </row>
    <row r="3257" spans="17:17">
      <c r="Q3257" s="4"/>
    </row>
    <row r="3258" spans="17:17">
      <c r="Q3258" s="4"/>
    </row>
    <row r="3259" spans="17:17">
      <c r="Q3259" s="4"/>
    </row>
    <row r="3260" spans="17:17">
      <c r="Q3260" s="4"/>
    </row>
    <row r="3261" spans="17:17">
      <c r="Q3261" s="4"/>
    </row>
    <row r="3262" spans="17:17">
      <c r="Q3262" s="4"/>
    </row>
    <row r="3263" spans="17:17">
      <c r="Q3263" s="4"/>
    </row>
    <row r="3264" spans="17:17">
      <c r="Q3264" s="4"/>
    </row>
    <row r="3265" spans="17:17">
      <c r="Q3265" s="4"/>
    </row>
    <row r="3266" spans="17:17">
      <c r="Q3266" s="4"/>
    </row>
    <row r="3267" spans="17:17">
      <c r="Q3267" s="4"/>
    </row>
    <row r="3268" spans="17:17">
      <c r="Q3268" s="4"/>
    </row>
    <row r="3269" spans="17:17">
      <c r="Q3269" s="4"/>
    </row>
    <row r="3270" spans="17:17">
      <c r="Q3270" s="4"/>
    </row>
    <row r="3271" spans="17:17">
      <c r="Q3271" s="4"/>
    </row>
    <row r="3272" spans="17:17">
      <c r="Q3272" s="4"/>
    </row>
    <row r="3273" spans="17:17">
      <c r="Q3273" s="4"/>
    </row>
    <row r="3274" spans="17:17">
      <c r="Q3274" s="4"/>
    </row>
    <row r="3275" spans="17:17">
      <c r="Q3275" s="4"/>
    </row>
    <row r="3276" spans="17:17">
      <c r="Q3276" s="4"/>
    </row>
    <row r="3277" spans="17:17">
      <c r="Q3277" s="4"/>
    </row>
    <row r="3278" spans="17:17">
      <c r="Q3278" s="4"/>
    </row>
    <row r="3279" spans="17:17">
      <c r="Q3279" s="4"/>
    </row>
    <row r="3280" spans="17:17">
      <c r="Q3280" s="4"/>
    </row>
    <row r="3281" spans="17:17">
      <c r="Q3281" s="4"/>
    </row>
    <row r="3282" spans="17:17">
      <c r="Q3282" s="4"/>
    </row>
    <row r="3283" spans="17:17">
      <c r="Q3283" s="4"/>
    </row>
    <row r="3284" spans="17:17">
      <c r="Q3284" s="4"/>
    </row>
    <row r="3285" spans="17:17">
      <c r="Q3285" s="4"/>
    </row>
    <row r="3286" spans="17:17">
      <c r="Q3286" s="4"/>
    </row>
    <row r="3287" spans="17:17">
      <c r="Q3287" s="4"/>
    </row>
    <row r="3288" spans="17:17">
      <c r="Q3288" s="4"/>
    </row>
    <row r="3289" spans="17:17">
      <c r="Q3289" s="4"/>
    </row>
    <row r="3290" spans="17:17">
      <c r="Q3290" s="4"/>
    </row>
    <row r="3291" spans="17:17">
      <c r="Q3291" s="4"/>
    </row>
    <row r="3292" spans="17:17">
      <c r="Q3292" s="4"/>
    </row>
    <row r="3293" spans="17:17">
      <c r="Q3293" s="4"/>
    </row>
    <row r="3294" spans="17:17">
      <c r="Q3294" s="4"/>
    </row>
    <row r="3295" spans="17:17">
      <c r="Q3295" s="4"/>
    </row>
    <row r="3296" spans="17:17">
      <c r="Q3296" s="4"/>
    </row>
    <row r="3297" spans="17:17">
      <c r="Q3297" s="4"/>
    </row>
    <row r="3298" spans="17:17">
      <c r="Q3298" s="4"/>
    </row>
    <row r="3299" spans="17:17">
      <c r="Q3299" s="4"/>
    </row>
    <row r="3300" spans="17:17">
      <c r="Q3300" s="4"/>
    </row>
    <row r="3301" spans="17:17">
      <c r="Q3301" s="4"/>
    </row>
    <row r="3302" spans="17:17">
      <c r="Q3302" s="4"/>
    </row>
    <row r="3303" spans="17:17">
      <c r="Q3303" s="4"/>
    </row>
    <row r="3304" spans="17:17">
      <c r="Q3304" s="4"/>
    </row>
    <row r="3305" spans="17:17">
      <c r="Q3305" s="4"/>
    </row>
    <row r="3306" spans="17:17">
      <c r="Q3306" s="4"/>
    </row>
    <row r="3307" spans="17:17">
      <c r="Q3307" s="4"/>
    </row>
    <row r="3308" spans="17:17">
      <c r="Q3308" s="4"/>
    </row>
    <row r="3309" spans="17:17">
      <c r="Q3309" s="4"/>
    </row>
    <row r="3310" spans="17:17">
      <c r="Q3310" s="4"/>
    </row>
    <row r="3311" spans="17:17">
      <c r="Q3311" s="4"/>
    </row>
    <row r="3312" spans="17:17">
      <c r="Q3312" s="4"/>
    </row>
    <row r="3313" spans="17:17">
      <c r="Q3313" s="4"/>
    </row>
    <row r="3314" spans="17:17">
      <c r="Q3314" s="4"/>
    </row>
    <row r="3315" spans="17:17">
      <c r="Q3315" s="4"/>
    </row>
    <row r="3316" spans="17:17">
      <c r="Q3316" s="4"/>
    </row>
    <row r="3317" spans="17:17">
      <c r="Q3317" s="4"/>
    </row>
    <row r="3318" spans="17:17">
      <c r="Q3318" s="4"/>
    </row>
    <row r="3319" spans="17:17">
      <c r="Q3319" s="4"/>
    </row>
    <row r="3320" spans="17:17">
      <c r="Q3320" s="4"/>
    </row>
    <row r="3321" spans="17:17">
      <c r="Q3321" s="4"/>
    </row>
    <row r="3322" spans="17:17">
      <c r="Q3322" s="4"/>
    </row>
    <row r="3323" spans="17:17">
      <c r="Q3323" s="4"/>
    </row>
    <row r="3324" spans="17:17">
      <c r="Q3324" s="4"/>
    </row>
    <row r="3325" spans="17:17">
      <c r="Q3325" s="4"/>
    </row>
    <row r="3326" spans="17:17">
      <c r="Q3326" s="4"/>
    </row>
    <row r="3327" spans="17:17">
      <c r="Q3327" s="4"/>
    </row>
    <row r="3328" spans="17:17">
      <c r="Q3328" s="4"/>
    </row>
    <row r="3329" spans="17:17">
      <c r="Q3329" s="4"/>
    </row>
    <row r="3330" spans="17:17">
      <c r="Q3330" s="4"/>
    </row>
    <row r="3331" spans="17:17">
      <c r="Q3331" s="4"/>
    </row>
    <row r="3332" spans="17:17">
      <c r="Q3332" s="4"/>
    </row>
    <row r="3333" spans="17:17">
      <c r="Q3333" s="4"/>
    </row>
    <row r="3334" spans="17:17">
      <c r="Q3334" s="4"/>
    </row>
    <row r="3335" spans="17:17">
      <c r="Q3335" s="4"/>
    </row>
    <row r="3336" spans="17:17">
      <c r="Q3336" s="4"/>
    </row>
    <row r="3337" spans="17:17">
      <c r="Q3337" s="4"/>
    </row>
    <row r="3338" spans="17:17">
      <c r="Q3338" s="4"/>
    </row>
    <row r="3339" spans="17:17">
      <c r="Q3339" s="4"/>
    </row>
    <row r="3340" spans="17:17">
      <c r="Q3340" s="4"/>
    </row>
    <row r="3341" spans="17:17">
      <c r="Q3341" s="4"/>
    </row>
    <row r="3342" spans="17:17">
      <c r="Q3342" s="4"/>
    </row>
    <row r="3343" spans="17:17">
      <c r="Q3343" s="4"/>
    </row>
    <row r="3344" spans="17:17">
      <c r="Q3344" s="4"/>
    </row>
    <row r="3345" spans="17:17">
      <c r="Q3345" s="4"/>
    </row>
    <row r="3346" spans="17:17">
      <c r="Q3346" s="4"/>
    </row>
    <row r="3347" spans="17:17">
      <c r="Q3347" s="4"/>
    </row>
    <row r="3348" spans="17:17">
      <c r="Q3348" s="4"/>
    </row>
    <row r="3349" spans="17:17">
      <c r="Q3349" s="4"/>
    </row>
    <row r="3350" spans="17:17">
      <c r="Q3350" s="4"/>
    </row>
    <row r="3351" spans="17:17">
      <c r="Q3351" s="4"/>
    </row>
    <row r="3352" spans="17:17">
      <c r="Q3352" s="4"/>
    </row>
    <row r="3353" spans="17:17">
      <c r="Q3353" s="4"/>
    </row>
    <row r="3354" spans="17:17">
      <c r="Q3354" s="4"/>
    </row>
    <row r="3355" spans="17:17">
      <c r="Q3355" s="4"/>
    </row>
    <row r="3356" spans="17:17">
      <c r="Q3356" s="4"/>
    </row>
    <row r="3357" spans="17:17">
      <c r="Q3357" s="4"/>
    </row>
    <row r="3358" spans="17:17">
      <c r="Q3358" s="4"/>
    </row>
    <row r="3359" spans="17:17">
      <c r="Q3359" s="4"/>
    </row>
    <row r="3360" spans="17:17">
      <c r="Q3360" s="4"/>
    </row>
    <row r="3361" spans="17:17">
      <c r="Q3361" s="4"/>
    </row>
    <row r="3362" spans="17:17">
      <c r="Q3362" s="4"/>
    </row>
    <row r="3363" spans="17:17">
      <c r="Q3363" s="4"/>
    </row>
    <row r="3364" spans="17:17">
      <c r="Q3364" s="4"/>
    </row>
    <row r="3365" spans="17:17">
      <c r="Q3365" s="4"/>
    </row>
    <row r="3366" spans="17:17">
      <c r="Q3366" s="4"/>
    </row>
    <row r="3367" spans="17:17">
      <c r="Q3367" s="4"/>
    </row>
    <row r="3368" spans="17:17">
      <c r="Q3368" s="4"/>
    </row>
    <row r="3369" spans="17:17">
      <c r="Q3369" s="4"/>
    </row>
    <row r="3370" spans="17:17">
      <c r="Q3370" s="4"/>
    </row>
    <row r="3371" spans="17:17">
      <c r="Q3371" s="4"/>
    </row>
    <row r="3372" spans="17:17">
      <c r="Q3372" s="4"/>
    </row>
    <row r="3373" spans="17:17">
      <c r="Q3373" s="4"/>
    </row>
    <row r="3374" spans="17:17">
      <c r="Q3374" s="4"/>
    </row>
    <row r="3375" spans="17:17">
      <c r="Q3375" s="4"/>
    </row>
    <row r="3376" spans="17:17">
      <c r="Q3376" s="4"/>
    </row>
    <row r="3377" spans="17:17">
      <c r="Q3377" s="4"/>
    </row>
    <row r="3378" spans="17:17">
      <c r="Q3378" s="4"/>
    </row>
    <row r="3379" spans="17:17">
      <c r="Q3379" s="4"/>
    </row>
    <row r="3380" spans="17:17">
      <c r="Q3380" s="4"/>
    </row>
    <row r="3381" spans="17:17">
      <c r="Q3381" s="4"/>
    </row>
    <row r="3382" spans="17:17">
      <c r="Q3382" s="4"/>
    </row>
    <row r="3383" spans="17:17">
      <c r="Q3383" s="4"/>
    </row>
    <row r="3384" spans="17:17">
      <c r="Q3384" s="4"/>
    </row>
    <row r="3385" spans="17:17">
      <c r="Q3385" s="4"/>
    </row>
    <row r="3386" spans="17:17">
      <c r="Q3386" s="4"/>
    </row>
    <row r="3387" spans="17:17">
      <c r="Q3387" s="4"/>
    </row>
    <row r="3388" spans="17:17">
      <c r="Q3388" s="4"/>
    </row>
    <row r="3389" spans="17:17">
      <c r="Q3389" s="4"/>
    </row>
    <row r="3390" spans="17:17">
      <c r="Q3390" s="4"/>
    </row>
    <row r="3391" spans="17:17">
      <c r="Q3391" s="4"/>
    </row>
    <row r="3392" spans="17:17">
      <c r="Q3392" s="4"/>
    </row>
    <row r="3393" spans="17:17">
      <c r="Q3393" s="4"/>
    </row>
    <row r="3394" spans="17:17">
      <c r="Q3394" s="4"/>
    </row>
    <row r="3395" spans="17:17">
      <c r="Q3395" s="4"/>
    </row>
    <row r="3396" spans="17:17">
      <c r="Q3396" s="4"/>
    </row>
    <row r="3397" spans="17:17">
      <c r="Q3397" s="4"/>
    </row>
    <row r="3398" spans="17:17">
      <c r="Q3398" s="4"/>
    </row>
    <row r="3399" spans="17:17">
      <c r="Q3399" s="4"/>
    </row>
    <row r="3400" spans="17:17">
      <c r="Q3400" s="4"/>
    </row>
    <row r="3401" spans="17:17">
      <c r="Q3401" s="4"/>
    </row>
    <row r="3402" spans="17:17">
      <c r="Q3402" s="4"/>
    </row>
    <row r="3403" spans="17:17">
      <c r="Q3403" s="4"/>
    </row>
    <row r="3404" spans="17:17">
      <c r="Q3404" s="4"/>
    </row>
    <row r="3405" spans="17:17">
      <c r="Q3405" s="4"/>
    </row>
    <row r="3406" spans="17:17">
      <c r="Q3406" s="4"/>
    </row>
    <row r="3407" spans="17:17">
      <c r="Q3407" s="4"/>
    </row>
    <row r="3408" spans="17:17">
      <c r="Q3408" s="4"/>
    </row>
    <row r="3409" spans="17:17">
      <c r="Q3409" s="4"/>
    </row>
    <row r="3410" spans="17:17">
      <c r="Q3410" s="4"/>
    </row>
    <row r="3411" spans="17:17">
      <c r="Q3411" s="4"/>
    </row>
    <row r="3412" spans="17:17">
      <c r="Q3412" s="4"/>
    </row>
    <row r="3413" spans="17:17">
      <c r="Q3413" s="4"/>
    </row>
    <row r="3414" spans="17:17">
      <c r="Q3414" s="4"/>
    </row>
    <row r="3415" spans="17:17">
      <c r="Q3415" s="4"/>
    </row>
    <row r="3416" spans="17:17">
      <c r="Q3416" s="4"/>
    </row>
    <row r="3417" spans="17:17">
      <c r="Q3417" s="4"/>
    </row>
    <row r="3418" spans="17:17">
      <c r="Q3418" s="4"/>
    </row>
    <row r="3419" spans="17:17">
      <c r="Q3419" s="4"/>
    </row>
    <row r="3420" spans="17:17">
      <c r="Q3420" s="4"/>
    </row>
    <row r="3421" spans="17:17">
      <c r="Q3421" s="4"/>
    </row>
    <row r="3422" spans="17:17">
      <c r="Q3422" s="4"/>
    </row>
    <row r="3423" spans="17:17">
      <c r="Q3423" s="4"/>
    </row>
    <row r="3424" spans="17:17">
      <c r="Q3424" s="4"/>
    </row>
    <row r="3425" spans="17:17">
      <c r="Q3425" s="4"/>
    </row>
    <row r="3426" spans="17:17">
      <c r="Q3426" s="4"/>
    </row>
    <row r="3427" spans="17:17">
      <c r="Q3427" s="4"/>
    </row>
    <row r="3428" spans="17:17">
      <c r="Q3428" s="4"/>
    </row>
    <row r="3429" spans="17:17">
      <c r="Q3429" s="4"/>
    </row>
    <row r="3430" spans="17:17">
      <c r="Q3430" s="4"/>
    </row>
    <row r="3431" spans="17:17">
      <c r="Q3431" s="4"/>
    </row>
    <row r="3432" spans="17:17">
      <c r="Q3432" s="4"/>
    </row>
    <row r="3433" spans="17:17">
      <c r="Q3433" s="4"/>
    </row>
    <row r="3434" spans="17:17">
      <c r="Q3434" s="4"/>
    </row>
    <row r="3435" spans="17:17">
      <c r="Q3435" s="4"/>
    </row>
    <row r="3436" spans="17:17">
      <c r="Q3436" s="4"/>
    </row>
    <row r="3437" spans="17:17">
      <c r="Q3437" s="4"/>
    </row>
    <row r="3438" spans="17:17">
      <c r="Q3438" s="4"/>
    </row>
    <row r="3439" spans="17:17">
      <c r="Q3439" s="4"/>
    </row>
    <row r="3440" spans="17:17">
      <c r="Q3440" s="4"/>
    </row>
    <row r="3441" spans="17:17">
      <c r="Q3441" s="4"/>
    </row>
    <row r="3442" spans="17:17">
      <c r="Q3442" s="4"/>
    </row>
    <row r="3443" spans="17:17">
      <c r="Q3443" s="4"/>
    </row>
    <row r="3444" spans="17:17">
      <c r="Q3444" s="4"/>
    </row>
    <row r="3445" spans="17:17">
      <c r="Q3445" s="4"/>
    </row>
    <row r="3446" spans="17:17">
      <c r="Q3446" s="4"/>
    </row>
    <row r="3447" spans="17:17">
      <c r="Q3447" s="4"/>
    </row>
    <row r="3448" spans="17:17">
      <c r="Q3448" s="4"/>
    </row>
    <row r="3449" spans="17:17">
      <c r="Q3449" s="4"/>
    </row>
    <row r="3450" spans="17:17">
      <c r="Q3450" s="4"/>
    </row>
    <row r="3451" spans="17:17">
      <c r="Q3451" s="4"/>
    </row>
    <row r="3452" spans="17:17">
      <c r="Q3452" s="4"/>
    </row>
    <row r="3453" spans="17:17">
      <c r="Q3453" s="4"/>
    </row>
    <row r="3454" spans="17:17">
      <c r="Q3454" s="4"/>
    </row>
    <row r="3455" spans="17:17">
      <c r="Q3455" s="4"/>
    </row>
    <row r="3456" spans="17:17">
      <c r="Q3456" s="4"/>
    </row>
    <row r="3457" spans="17:17">
      <c r="Q3457" s="4"/>
    </row>
    <row r="3458" spans="17:17">
      <c r="Q3458" s="4"/>
    </row>
    <row r="3459" spans="17:17">
      <c r="Q3459" s="4"/>
    </row>
    <row r="3460" spans="17:17">
      <c r="Q3460" s="4"/>
    </row>
    <row r="3461" spans="17:17">
      <c r="Q3461" s="4"/>
    </row>
    <row r="3462" spans="17:17">
      <c r="Q3462" s="4"/>
    </row>
    <row r="3463" spans="17:17">
      <c r="Q3463" s="4"/>
    </row>
    <row r="3464" spans="17:17">
      <c r="Q3464" s="4"/>
    </row>
    <row r="3465" spans="17:17">
      <c r="Q3465" s="4"/>
    </row>
    <row r="3466" spans="17:17">
      <c r="Q3466" s="4"/>
    </row>
    <row r="3467" spans="17:17">
      <c r="Q3467" s="4"/>
    </row>
    <row r="3468" spans="17:17">
      <c r="Q3468" s="4"/>
    </row>
    <row r="3469" spans="17:17">
      <c r="Q3469" s="4"/>
    </row>
    <row r="3470" spans="17:17">
      <c r="Q3470" s="4"/>
    </row>
    <row r="3471" spans="17:17">
      <c r="Q3471" s="4"/>
    </row>
    <row r="3472" spans="17:17">
      <c r="Q3472" s="4"/>
    </row>
    <row r="3473" spans="17:17">
      <c r="Q3473" s="4"/>
    </row>
    <row r="3474" spans="17:17">
      <c r="Q3474" s="4"/>
    </row>
    <row r="3475" spans="17:17">
      <c r="Q3475" s="4"/>
    </row>
    <row r="3476" spans="17:17">
      <c r="Q3476" s="4"/>
    </row>
    <row r="3477" spans="17:17">
      <c r="Q3477" s="4"/>
    </row>
    <row r="3478" spans="17:17">
      <c r="Q3478" s="4"/>
    </row>
    <row r="3479" spans="17:17">
      <c r="Q3479" s="4"/>
    </row>
    <row r="3480" spans="17:17">
      <c r="Q3480" s="4"/>
    </row>
    <row r="3481" spans="17:17">
      <c r="Q3481" s="4"/>
    </row>
    <row r="3482" spans="17:17">
      <c r="Q3482" s="4"/>
    </row>
    <row r="3483" spans="17:17">
      <c r="Q3483" s="4"/>
    </row>
    <row r="3484" spans="17:17">
      <c r="Q3484" s="4"/>
    </row>
    <row r="3485" spans="17:17">
      <c r="Q3485" s="4"/>
    </row>
    <row r="3486" spans="17:17">
      <c r="Q3486" s="4"/>
    </row>
    <row r="3487" spans="17:17">
      <c r="Q3487" s="4"/>
    </row>
    <row r="3488" spans="17:17">
      <c r="Q3488" s="4"/>
    </row>
    <row r="3489" spans="17:17">
      <c r="Q3489" s="4"/>
    </row>
    <row r="3490" spans="17:17">
      <c r="Q3490" s="4"/>
    </row>
    <row r="3491" spans="17:17">
      <c r="Q3491" s="4"/>
    </row>
    <row r="3492" spans="17:17">
      <c r="Q3492" s="4"/>
    </row>
    <row r="3493" spans="17:17">
      <c r="Q3493" s="4"/>
    </row>
    <row r="3494" spans="17:17">
      <c r="Q3494" s="4"/>
    </row>
    <row r="3495" spans="17:17">
      <c r="Q3495" s="4"/>
    </row>
    <row r="3496" spans="17:17">
      <c r="Q3496" s="4"/>
    </row>
    <row r="3497" spans="17:17">
      <c r="Q3497" s="4"/>
    </row>
    <row r="3498" spans="17:17">
      <c r="Q3498" s="4"/>
    </row>
    <row r="3499" spans="17:17">
      <c r="Q3499" s="4"/>
    </row>
    <row r="3500" spans="17:17">
      <c r="Q3500" s="4"/>
    </row>
    <row r="3501" spans="17:17">
      <c r="Q3501" s="4"/>
    </row>
    <row r="3502" spans="17:17">
      <c r="Q3502" s="4"/>
    </row>
    <row r="3503" spans="17:17">
      <c r="Q3503" s="4"/>
    </row>
    <row r="3504" spans="17:17">
      <c r="Q3504" s="4"/>
    </row>
    <row r="3505" spans="17:17">
      <c r="Q3505" s="4"/>
    </row>
    <row r="3506" spans="17:17">
      <c r="Q3506" s="4"/>
    </row>
    <row r="3507" spans="17:17">
      <c r="Q3507" s="4"/>
    </row>
    <row r="3508" spans="17:17">
      <c r="Q3508" s="4"/>
    </row>
    <row r="3509" spans="17:17">
      <c r="Q3509" s="4"/>
    </row>
    <row r="3510" spans="17:17">
      <c r="Q3510" s="4"/>
    </row>
    <row r="3511" spans="17:17">
      <c r="Q3511" s="4"/>
    </row>
    <row r="3512" spans="17:17">
      <c r="Q3512" s="4"/>
    </row>
    <row r="3513" spans="17:17">
      <c r="Q3513" s="4"/>
    </row>
    <row r="3514" spans="17:17">
      <c r="Q3514" s="4"/>
    </row>
    <row r="3515" spans="17:17">
      <c r="Q3515" s="4"/>
    </row>
    <row r="3516" spans="17:17">
      <c r="Q3516" s="4"/>
    </row>
    <row r="3517" spans="17:17">
      <c r="Q3517" s="4"/>
    </row>
    <row r="3518" spans="17:17">
      <c r="Q3518" s="4"/>
    </row>
    <row r="3519" spans="17:17">
      <c r="Q3519" s="4"/>
    </row>
    <row r="3520" spans="17:17">
      <c r="Q3520" s="4"/>
    </row>
    <row r="3521" spans="17:17">
      <c r="Q3521" s="4"/>
    </row>
    <row r="3522" spans="17:17">
      <c r="Q3522" s="4"/>
    </row>
    <row r="3523" spans="17:17">
      <c r="Q3523" s="4"/>
    </row>
    <row r="3524" spans="17:17">
      <c r="Q3524" s="4"/>
    </row>
    <row r="3525" spans="17:17">
      <c r="Q3525" s="4"/>
    </row>
    <row r="3526" spans="17:17">
      <c r="Q3526" s="4"/>
    </row>
    <row r="3527" spans="17:17">
      <c r="Q3527" s="4"/>
    </row>
    <row r="3528" spans="17:17">
      <c r="Q3528" s="4"/>
    </row>
    <row r="3529" spans="17:17">
      <c r="Q3529" s="4"/>
    </row>
    <row r="3530" spans="17:17">
      <c r="Q3530" s="4"/>
    </row>
    <row r="3531" spans="17:17">
      <c r="Q3531" s="4"/>
    </row>
    <row r="3532" spans="17:17">
      <c r="Q3532" s="4"/>
    </row>
    <row r="3533" spans="17:17">
      <c r="Q3533" s="4"/>
    </row>
    <row r="3534" spans="17:17">
      <c r="Q3534" s="4"/>
    </row>
    <row r="3535" spans="17:17">
      <c r="Q3535" s="4"/>
    </row>
    <row r="3536" spans="17:17">
      <c r="Q3536" s="4"/>
    </row>
    <row r="3537" spans="17:17">
      <c r="Q3537" s="4"/>
    </row>
    <row r="3538" spans="17:17">
      <c r="Q3538" s="4"/>
    </row>
    <row r="3539" spans="17:17">
      <c r="Q3539" s="4"/>
    </row>
    <row r="3540" spans="17:17">
      <c r="Q3540" s="4"/>
    </row>
    <row r="3541" spans="17:17">
      <c r="Q3541" s="4"/>
    </row>
    <row r="3542" spans="17:17">
      <c r="Q3542" s="4"/>
    </row>
    <row r="3543" spans="17:17">
      <c r="Q3543" s="4"/>
    </row>
    <row r="3544" spans="17:17">
      <c r="Q3544" s="4"/>
    </row>
    <row r="3545" spans="17:17">
      <c r="Q3545" s="4"/>
    </row>
    <row r="3546" spans="17:17">
      <c r="Q3546" s="4"/>
    </row>
    <row r="3547" spans="17:17">
      <c r="Q3547" s="4"/>
    </row>
    <row r="3548" spans="17:17">
      <c r="Q3548" s="4"/>
    </row>
    <row r="3549" spans="17:17">
      <c r="Q3549" s="4"/>
    </row>
    <row r="3550" spans="17:17">
      <c r="Q3550" s="4"/>
    </row>
    <row r="3551" spans="17:17">
      <c r="Q3551" s="4"/>
    </row>
    <row r="3552" spans="17:17">
      <c r="Q3552" s="4"/>
    </row>
    <row r="3553" spans="17:17">
      <c r="Q3553" s="4"/>
    </row>
    <row r="3554" spans="17:17">
      <c r="Q3554" s="4"/>
    </row>
    <row r="3555" spans="17:17">
      <c r="Q3555" s="4"/>
    </row>
    <row r="3556" spans="17:17">
      <c r="Q3556" s="4"/>
    </row>
    <row r="3557" spans="17:17">
      <c r="Q3557" s="4"/>
    </row>
    <row r="3558" spans="17:17">
      <c r="Q3558" s="4"/>
    </row>
    <row r="3559" spans="17:17">
      <c r="Q3559" s="4"/>
    </row>
    <row r="3560" spans="17:17">
      <c r="Q3560" s="4"/>
    </row>
    <row r="3561" spans="17:17">
      <c r="Q3561" s="4"/>
    </row>
    <row r="3562" spans="17:17">
      <c r="Q3562" s="4"/>
    </row>
    <row r="3563" spans="17:17">
      <c r="Q3563" s="4"/>
    </row>
    <row r="3564" spans="17:17">
      <c r="Q3564" s="4"/>
    </row>
    <row r="3565" spans="17:17">
      <c r="Q3565" s="4"/>
    </row>
    <row r="3566" spans="17:17">
      <c r="Q3566" s="4"/>
    </row>
    <row r="3567" spans="17:17">
      <c r="Q3567" s="4"/>
    </row>
    <row r="3568" spans="17:17">
      <c r="Q3568" s="4"/>
    </row>
    <row r="3569" spans="17:17">
      <c r="Q3569" s="4"/>
    </row>
    <row r="3570" spans="17:17">
      <c r="Q3570" s="4"/>
    </row>
    <row r="3571" spans="17:17">
      <c r="Q3571" s="4"/>
    </row>
    <row r="3572" spans="17:17">
      <c r="Q3572" s="4"/>
    </row>
    <row r="3573" spans="17:17">
      <c r="Q3573" s="4"/>
    </row>
    <row r="3574" spans="17:17">
      <c r="Q3574" s="4"/>
    </row>
    <row r="3575" spans="17:17">
      <c r="Q3575" s="4"/>
    </row>
    <row r="3576" spans="17:17">
      <c r="Q3576" s="4"/>
    </row>
    <row r="3577" spans="17:17">
      <c r="Q3577" s="4"/>
    </row>
    <row r="3578" spans="17:17">
      <c r="Q3578" s="4"/>
    </row>
    <row r="3579" spans="17:17">
      <c r="Q3579" s="4"/>
    </row>
    <row r="3580" spans="17:17">
      <c r="Q3580" s="4"/>
    </row>
    <row r="3581" spans="17:17">
      <c r="Q3581" s="4"/>
    </row>
    <row r="3582" spans="17:17">
      <c r="Q3582" s="4"/>
    </row>
    <row r="3583" spans="17:17">
      <c r="Q3583" s="4"/>
    </row>
    <row r="3584" spans="17:17">
      <c r="Q3584" s="4"/>
    </row>
    <row r="3585" spans="17:17">
      <c r="Q3585" s="4"/>
    </row>
    <row r="3586" spans="17:17">
      <c r="Q3586" s="4"/>
    </row>
    <row r="3587" spans="17:17">
      <c r="Q3587" s="4"/>
    </row>
    <row r="3588" spans="17:17">
      <c r="Q3588" s="4"/>
    </row>
    <row r="3589" spans="17:17">
      <c r="Q3589" s="4"/>
    </row>
    <row r="3590" spans="17:17">
      <c r="Q3590" s="4"/>
    </row>
    <row r="3591" spans="17:17">
      <c r="Q3591" s="4"/>
    </row>
    <row r="3592" spans="17:17">
      <c r="Q3592" s="4"/>
    </row>
    <row r="3593" spans="17:17">
      <c r="Q3593" s="4"/>
    </row>
    <row r="3594" spans="17:17">
      <c r="Q3594" s="4"/>
    </row>
    <row r="3595" spans="17:17">
      <c r="Q3595" s="4"/>
    </row>
    <row r="3596" spans="17:17">
      <c r="Q3596" s="4"/>
    </row>
    <row r="3597" spans="17:17">
      <c r="Q3597" s="4"/>
    </row>
    <row r="3598" spans="17:17">
      <c r="Q3598" s="4"/>
    </row>
    <row r="3599" spans="17:17">
      <c r="Q3599" s="4"/>
    </row>
    <row r="3600" spans="17:17">
      <c r="Q3600" s="4"/>
    </row>
    <row r="3601" spans="17:17">
      <c r="Q3601" s="4"/>
    </row>
    <row r="3602" spans="17:17">
      <c r="Q3602" s="4"/>
    </row>
    <row r="3603" spans="17:17">
      <c r="Q3603" s="4"/>
    </row>
    <row r="3604" spans="17:17">
      <c r="Q3604" s="4"/>
    </row>
    <row r="3605" spans="17:17">
      <c r="Q3605" s="4"/>
    </row>
    <row r="3606" spans="17:17">
      <c r="Q3606" s="4"/>
    </row>
    <row r="3607" spans="17:17">
      <c r="Q3607" s="4"/>
    </row>
    <row r="3608" spans="17:17">
      <c r="Q3608" s="4"/>
    </row>
    <row r="3609" spans="17:17">
      <c r="Q3609" s="4"/>
    </row>
    <row r="3610" spans="17:17">
      <c r="Q3610" s="4"/>
    </row>
    <row r="3611" spans="17:17">
      <c r="Q3611" s="4"/>
    </row>
    <row r="3612" spans="17:17">
      <c r="Q3612" s="4"/>
    </row>
    <row r="3613" spans="17:17">
      <c r="Q3613" s="4"/>
    </row>
    <row r="3614" spans="17:17">
      <c r="Q3614" s="4"/>
    </row>
    <row r="3615" spans="17:17">
      <c r="Q3615" s="4"/>
    </row>
    <row r="3616" spans="17:17">
      <c r="Q3616" s="4"/>
    </row>
    <row r="3617" spans="17:17">
      <c r="Q3617" s="4"/>
    </row>
    <row r="3618" spans="17:17">
      <c r="Q3618" s="4"/>
    </row>
    <row r="3619" spans="17:17">
      <c r="Q3619" s="4"/>
    </row>
    <row r="3620" spans="17:17">
      <c r="Q3620" s="4"/>
    </row>
    <row r="3621" spans="17:17">
      <c r="Q3621" s="4"/>
    </row>
    <row r="3622" spans="17:17">
      <c r="Q3622" s="4"/>
    </row>
    <row r="3623" spans="17:17">
      <c r="Q3623" s="4"/>
    </row>
    <row r="3624" spans="17:17">
      <c r="Q3624" s="4"/>
    </row>
    <row r="3625" spans="17:17">
      <c r="Q3625" s="4"/>
    </row>
    <row r="3626" spans="17:17">
      <c r="Q3626" s="4"/>
    </row>
    <row r="3627" spans="17:17">
      <c r="Q3627" s="4"/>
    </row>
    <row r="3628" spans="17:17">
      <c r="Q3628" s="4"/>
    </row>
    <row r="3629" spans="17:17">
      <c r="Q3629" s="4"/>
    </row>
    <row r="3630" spans="17:17">
      <c r="Q3630" s="4"/>
    </row>
    <row r="3631" spans="17:17">
      <c r="Q3631" s="4"/>
    </row>
    <row r="3632" spans="17:17">
      <c r="Q3632" s="4"/>
    </row>
    <row r="3633" spans="17:17">
      <c r="Q3633" s="4"/>
    </row>
    <row r="3634" spans="17:17">
      <c r="Q3634" s="4"/>
    </row>
    <row r="3635" spans="17:17">
      <c r="Q3635" s="4"/>
    </row>
    <row r="3636" spans="17:17">
      <c r="Q3636" s="4"/>
    </row>
    <row r="3637" spans="17:17">
      <c r="Q3637" s="4"/>
    </row>
    <row r="3638" spans="17:17">
      <c r="Q3638" s="4"/>
    </row>
    <row r="3639" spans="17:17">
      <c r="Q3639" s="4"/>
    </row>
    <row r="3640" spans="17:17">
      <c r="Q3640" s="4"/>
    </row>
    <row r="3641" spans="17:17">
      <c r="Q3641" s="4"/>
    </row>
    <row r="3642" spans="17:17">
      <c r="Q3642" s="4"/>
    </row>
    <row r="3643" spans="17:17">
      <c r="Q3643" s="4"/>
    </row>
    <row r="3644" spans="17:17">
      <c r="Q3644" s="4"/>
    </row>
    <row r="3645" spans="17:17">
      <c r="Q3645" s="4"/>
    </row>
    <row r="3646" spans="17:17">
      <c r="Q3646" s="4"/>
    </row>
    <row r="3647" spans="17:17">
      <c r="Q3647" s="4"/>
    </row>
    <row r="3648" spans="17:17">
      <c r="Q3648" s="4"/>
    </row>
    <row r="3649" spans="17:17">
      <c r="Q3649" s="4"/>
    </row>
    <row r="3650" spans="17:17">
      <c r="Q3650" s="4"/>
    </row>
    <row r="3651" spans="17:17">
      <c r="Q3651" s="4"/>
    </row>
    <row r="3652" spans="17:17">
      <c r="Q3652" s="4"/>
    </row>
    <row r="3653" spans="17:17">
      <c r="Q3653" s="4"/>
    </row>
    <row r="3654" spans="17:17">
      <c r="Q3654" s="4"/>
    </row>
    <row r="3655" spans="17:17">
      <c r="Q3655" s="4"/>
    </row>
    <row r="3656" spans="17:17">
      <c r="Q3656" s="4"/>
    </row>
    <row r="3657" spans="17:17">
      <c r="Q3657" s="4"/>
    </row>
    <row r="3658" spans="17:17">
      <c r="Q3658" s="4"/>
    </row>
    <row r="3659" spans="17:17">
      <c r="Q3659" s="4"/>
    </row>
    <row r="3660" spans="17:17">
      <c r="Q3660" s="4"/>
    </row>
    <row r="3661" spans="17:17">
      <c r="Q3661" s="4"/>
    </row>
    <row r="3662" spans="17:17">
      <c r="Q3662" s="4"/>
    </row>
    <row r="3663" spans="17:17">
      <c r="Q3663" s="4"/>
    </row>
    <row r="3664" spans="17:17">
      <c r="Q3664" s="4"/>
    </row>
    <row r="3665" spans="17:17">
      <c r="Q3665" s="4"/>
    </row>
    <row r="3666" spans="17:17">
      <c r="Q3666" s="4"/>
    </row>
    <row r="3667" spans="17:17">
      <c r="Q3667" s="4"/>
    </row>
    <row r="3668" spans="17:17">
      <c r="Q3668" s="4"/>
    </row>
    <row r="3669" spans="17:17">
      <c r="Q3669" s="4"/>
    </row>
    <row r="3670" spans="17:17">
      <c r="Q3670" s="4"/>
    </row>
    <row r="3671" spans="17:17">
      <c r="Q3671" s="4"/>
    </row>
    <row r="3672" spans="17:17">
      <c r="Q3672" s="4"/>
    </row>
    <row r="3673" spans="17:17">
      <c r="Q3673" s="4"/>
    </row>
    <row r="3674" spans="17:17">
      <c r="Q3674" s="4"/>
    </row>
    <row r="3675" spans="17:17">
      <c r="Q3675" s="4"/>
    </row>
    <row r="3676" spans="17:17">
      <c r="Q3676" s="4"/>
    </row>
    <row r="3677" spans="17:17">
      <c r="Q3677" s="4"/>
    </row>
    <row r="3678" spans="17:17">
      <c r="Q3678" s="4"/>
    </row>
    <row r="3679" spans="17:17">
      <c r="Q3679" s="4"/>
    </row>
    <row r="3680" spans="17:17">
      <c r="Q3680" s="4"/>
    </row>
    <row r="3681" spans="17:17">
      <c r="Q3681" s="4"/>
    </row>
    <row r="3682" spans="17:17">
      <c r="Q3682" s="4"/>
    </row>
    <row r="3683" spans="17:17">
      <c r="Q3683" s="4"/>
    </row>
    <row r="3684" spans="17:17">
      <c r="Q3684" s="4"/>
    </row>
    <row r="3685" spans="17:17">
      <c r="Q3685" s="4"/>
    </row>
    <row r="3686" spans="17:17">
      <c r="Q3686" s="4"/>
    </row>
    <row r="3687" spans="17:17">
      <c r="Q3687" s="4"/>
    </row>
    <row r="3688" spans="17:17">
      <c r="Q3688" s="4"/>
    </row>
    <row r="3689" spans="17:17">
      <c r="Q3689" s="4"/>
    </row>
    <row r="3690" spans="17:17">
      <c r="Q3690" s="4"/>
    </row>
    <row r="3691" spans="17:17">
      <c r="Q3691" s="4"/>
    </row>
    <row r="3692" spans="17:17">
      <c r="Q3692" s="4"/>
    </row>
    <row r="3693" spans="17:17">
      <c r="Q3693" s="4"/>
    </row>
    <row r="3694" spans="17:17">
      <c r="Q3694" s="4"/>
    </row>
    <row r="3695" spans="17:17">
      <c r="Q3695" s="4"/>
    </row>
    <row r="3696" spans="17:17">
      <c r="Q3696" s="4"/>
    </row>
    <row r="3697" spans="17:17">
      <c r="Q3697" s="4"/>
    </row>
    <row r="3698" spans="17:17">
      <c r="Q3698" s="4"/>
    </row>
    <row r="3699" spans="17:17">
      <c r="Q3699" s="4"/>
    </row>
    <row r="3700" spans="17:17">
      <c r="Q3700" s="4"/>
    </row>
    <row r="3701" spans="17:17">
      <c r="Q3701" s="4"/>
    </row>
    <row r="3702" spans="17:17">
      <c r="Q3702" s="4"/>
    </row>
    <row r="3703" spans="17:17">
      <c r="Q3703" s="4"/>
    </row>
    <row r="3704" spans="17:17">
      <c r="Q3704" s="4"/>
    </row>
    <row r="3705" spans="17:17">
      <c r="Q3705" s="4"/>
    </row>
    <row r="3706" spans="17:17">
      <c r="Q3706" s="4"/>
    </row>
    <row r="3707" spans="17:17">
      <c r="Q3707" s="4"/>
    </row>
    <row r="3708" spans="17:17">
      <c r="Q3708" s="4"/>
    </row>
    <row r="3709" spans="17:17">
      <c r="Q3709" s="4"/>
    </row>
    <row r="3710" spans="17:17">
      <c r="Q3710" s="4"/>
    </row>
    <row r="3711" spans="17:17">
      <c r="Q3711" s="4"/>
    </row>
    <row r="3712" spans="17:17">
      <c r="Q3712" s="4"/>
    </row>
    <row r="3713" spans="17:17">
      <c r="Q3713" s="4"/>
    </row>
    <row r="3714" spans="17:17">
      <c r="Q3714" s="4"/>
    </row>
    <row r="3715" spans="17:17">
      <c r="Q3715" s="4"/>
    </row>
    <row r="3716" spans="17:17">
      <c r="Q3716" s="4"/>
    </row>
    <row r="3717" spans="17:17">
      <c r="Q3717" s="4"/>
    </row>
    <row r="3718" spans="17:17">
      <c r="Q3718" s="4"/>
    </row>
    <row r="3719" spans="17:17">
      <c r="Q3719" s="4"/>
    </row>
    <row r="3720" spans="17:17">
      <c r="Q3720" s="4"/>
    </row>
    <row r="3721" spans="17:17">
      <c r="Q3721" s="4"/>
    </row>
    <row r="3722" spans="17:17">
      <c r="Q3722" s="4"/>
    </row>
    <row r="3723" spans="17:17">
      <c r="Q3723" s="4"/>
    </row>
    <row r="3724" spans="17:17">
      <c r="Q3724" s="4"/>
    </row>
    <row r="3725" spans="17:17">
      <c r="Q3725" s="4"/>
    </row>
    <row r="3726" spans="17:17">
      <c r="Q3726" s="4"/>
    </row>
    <row r="3727" spans="17:17">
      <c r="Q3727" s="4"/>
    </row>
    <row r="3728" spans="17:17">
      <c r="Q3728" s="4"/>
    </row>
    <row r="3729" spans="17:17">
      <c r="Q3729" s="4"/>
    </row>
    <row r="3730" spans="17:17">
      <c r="Q3730" s="4"/>
    </row>
    <row r="3731" spans="17:17">
      <c r="Q3731" s="4"/>
    </row>
    <row r="3732" spans="17:17">
      <c r="Q3732" s="4"/>
    </row>
    <row r="3733" spans="17:17">
      <c r="Q3733" s="4"/>
    </row>
    <row r="3734" spans="17:17">
      <c r="Q3734" s="4"/>
    </row>
    <row r="3735" spans="17:17">
      <c r="Q3735" s="4"/>
    </row>
    <row r="3736" spans="17:17">
      <c r="Q3736" s="4"/>
    </row>
    <row r="3737" spans="17:17">
      <c r="Q3737" s="4"/>
    </row>
    <row r="3738" spans="17:17">
      <c r="Q3738" s="4"/>
    </row>
    <row r="3739" spans="17:17">
      <c r="Q3739" s="4"/>
    </row>
    <row r="3740" spans="17:17">
      <c r="Q3740" s="4"/>
    </row>
    <row r="3741" spans="17:17">
      <c r="Q3741" s="4"/>
    </row>
    <row r="3742" spans="17:17">
      <c r="Q3742" s="4"/>
    </row>
    <row r="3743" spans="17:17">
      <c r="Q3743" s="4"/>
    </row>
    <row r="3744" spans="17:17">
      <c r="Q3744" s="4"/>
    </row>
    <row r="3745" spans="17:17">
      <c r="Q3745" s="4"/>
    </row>
    <row r="3746" spans="17:17">
      <c r="Q3746" s="4"/>
    </row>
    <row r="3747" spans="17:17">
      <c r="Q3747" s="4"/>
    </row>
    <row r="3748" spans="17:17">
      <c r="Q3748" s="4"/>
    </row>
    <row r="3749" spans="17:17">
      <c r="Q3749" s="4"/>
    </row>
    <row r="3750" spans="17:17">
      <c r="Q3750" s="4"/>
    </row>
    <row r="3751" spans="17:17">
      <c r="Q3751" s="4"/>
    </row>
    <row r="3752" spans="17:17">
      <c r="Q3752" s="4"/>
    </row>
    <row r="3753" spans="17:17">
      <c r="Q3753" s="4"/>
    </row>
    <row r="3754" spans="17:17">
      <c r="Q3754" s="4"/>
    </row>
    <row r="3755" spans="17:17">
      <c r="Q3755" s="4"/>
    </row>
    <row r="3756" spans="17:17">
      <c r="Q3756" s="4"/>
    </row>
    <row r="3757" spans="17:17">
      <c r="Q3757" s="4"/>
    </row>
    <row r="3758" spans="17:17">
      <c r="Q3758" s="4"/>
    </row>
    <row r="3759" spans="17:17">
      <c r="Q3759" s="4"/>
    </row>
    <row r="3760" spans="17:17">
      <c r="Q3760" s="4"/>
    </row>
    <row r="3761" spans="17:17">
      <c r="Q3761" s="4"/>
    </row>
    <row r="3762" spans="17:17">
      <c r="Q3762" s="4"/>
    </row>
    <row r="3763" spans="17:17">
      <c r="Q3763" s="4"/>
    </row>
    <row r="3764" spans="17:17">
      <c r="Q3764" s="4"/>
    </row>
    <row r="3765" spans="17:17">
      <c r="Q3765" s="4"/>
    </row>
    <row r="3766" spans="17:17">
      <c r="Q3766" s="4"/>
    </row>
    <row r="3767" spans="17:17">
      <c r="Q3767" s="4"/>
    </row>
    <row r="3768" spans="17:17">
      <c r="Q3768" s="4"/>
    </row>
    <row r="3769" spans="17:17">
      <c r="Q3769" s="4"/>
    </row>
    <row r="3770" spans="17:17">
      <c r="Q3770" s="4"/>
    </row>
    <row r="3771" spans="17:17">
      <c r="Q3771" s="4"/>
    </row>
    <row r="3772" spans="17:17">
      <c r="Q3772" s="4"/>
    </row>
    <row r="3773" spans="17:17">
      <c r="Q3773" s="4"/>
    </row>
    <row r="3774" spans="17:17">
      <c r="Q3774" s="4"/>
    </row>
    <row r="3775" spans="17:17">
      <c r="Q3775" s="4"/>
    </row>
    <row r="3776" spans="17:17">
      <c r="Q3776" s="4"/>
    </row>
    <row r="3777" spans="17:17">
      <c r="Q3777" s="4"/>
    </row>
    <row r="3778" spans="17:17">
      <c r="Q3778" s="4"/>
    </row>
    <row r="3779" spans="17:17">
      <c r="Q3779" s="4"/>
    </row>
    <row r="3780" spans="17:17">
      <c r="Q3780" s="4"/>
    </row>
    <row r="3781" spans="17:17">
      <c r="Q3781" s="4"/>
    </row>
    <row r="3782" spans="17:17">
      <c r="Q3782" s="4"/>
    </row>
    <row r="3783" spans="17:17">
      <c r="Q3783" s="4"/>
    </row>
    <row r="3784" spans="17:17">
      <c r="Q3784" s="4"/>
    </row>
    <row r="3785" spans="17:17">
      <c r="Q3785" s="4"/>
    </row>
    <row r="3786" spans="17:17">
      <c r="Q3786" s="4"/>
    </row>
    <row r="3787" spans="17:17">
      <c r="Q3787" s="4"/>
    </row>
    <row r="3788" spans="17:17">
      <c r="Q3788" s="4"/>
    </row>
    <row r="3789" spans="17:17">
      <c r="Q3789" s="4"/>
    </row>
    <row r="3790" spans="17:17">
      <c r="Q3790" s="4"/>
    </row>
    <row r="3791" spans="17:17">
      <c r="Q3791" s="4"/>
    </row>
    <row r="3792" spans="17:17">
      <c r="Q3792" s="4"/>
    </row>
    <row r="3793" spans="17:17">
      <c r="Q3793" s="4"/>
    </row>
    <row r="3794" spans="17:17">
      <c r="Q3794" s="4"/>
    </row>
    <row r="3795" spans="17:17">
      <c r="Q3795" s="4"/>
    </row>
    <row r="3796" spans="17:17">
      <c r="Q3796" s="4"/>
    </row>
    <row r="3797" spans="17:17">
      <c r="Q3797" s="4"/>
    </row>
    <row r="3798" spans="17:17">
      <c r="Q3798" s="4"/>
    </row>
    <row r="3799" spans="17:17">
      <c r="Q3799" s="4"/>
    </row>
    <row r="3800" spans="17:17">
      <c r="Q3800" s="4"/>
    </row>
    <row r="3801" spans="17:17">
      <c r="Q3801" s="4"/>
    </row>
    <row r="3802" spans="17:17">
      <c r="Q3802" s="4"/>
    </row>
    <row r="3803" spans="17:17">
      <c r="Q3803" s="4"/>
    </row>
    <row r="3804" spans="17:17">
      <c r="Q3804" s="4"/>
    </row>
    <row r="3805" spans="17:17">
      <c r="Q3805" s="4"/>
    </row>
    <row r="3806" spans="17:17">
      <c r="Q3806" s="4"/>
    </row>
    <row r="3807" spans="17:17">
      <c r="Q3807" s="4"/>
    </row>
    <row r="3808" spans="17:17">
      <c r="Q3808" s="4"/>
    </row>
    <row r="3809" spans="17:17">
      <c r="Q3809" s="4"/>
    </row>
    <row r="3810" spans="17:17">
      <c r="Q3810" s="4"/>
    </row>
    <row r="3811" spans="17:17">
      <c r="Q3811" s="4"/>
    </row>
    <row r="3812" spans="17:17">
      <c r="Q3812" s="4"/>
    </row>
    <row r="3813" spans="17:17">
      <c r="Q3813" s="4"/>
    </row>
    <row r="3814" spans="17:17">
      <c r="Q3814" s="4"/>
    </row>
    <row r="3815" spans="17:17">
      <c r="Q3815" s="4"/>
    </row>
    <row r="3816" spans="17:17">
      <c r="Q3816" s="4"/>
    </row>
    <row r="3817" spans="17:17">
      <c r="Q3817" s="4"/>
    </row>
    <row r="3818" spans="17:17">
      <c r="Q3818" s="4"/>
    </row>
    <row r="3819" spans="17:17">
      <c r="Q3819" s="4"/>
    </row>
    <row r="3820" spans="17:17">
      <c r="Q3820" s="4"/>
    </row>
    <row r="3821" spans="17:17">
      <c r="Q3821" s="4"/>
    </row>
    <row r="3822" spans="17:17">
      <c r="Q3822" s="4"/>
    </row>
    <row r="3823" spans="17:17">
      <c r="Q3823" s="4"/>
    </row>
    <row r="3824" spans="17:17">
      <c r="Q3824" s="4"/>
    </row>
    <row r="3825" spans="17:17">
      <c r="Q3825" s="4"/>
    </row>
    <row r="3826" spans="17:17">
      <c r="Q3826" s="4"/>
    </row>
    <row r="3827" spans="17:17">
      <c r="Q3827" s="4"/>
    </row>
    <row r="3828" spans="17:17">
      <c r="Q3828" s="4"/>
    </row>
    <row r="3829" spans="17:17">
      <c r="Q3829" s="4"/>
    </row>
    <row r="3830" spans="17:17">
      <c r="Q3830" s="4"/>
    </row>
    <row r="3831" spans="17:17">
      <c r="Q3831" s="4"/>
    </row>
    <row r="3832" spans="17:17">
      <c r="Q3832" s="4"/>
    </row>
    <row r="3833" spans="17:17">
      <c r="Q3833" s="4"/>
    </row>
    <row r="3834" spans="17:17">
      <c r="Q3834" s="4"/>
    </row>
    <row r="3835" spans="17:17">
      <c r="Q3835" s="4"/>
    </row>
    <row r="3836" spans="17:17">
      <c r="Q3836" s="4"/>
    </row>
    <row r="3837" spans="17:17">
      <c r="Q3837" s="4"/>
    </row>
    <row r="3838" spans="17:17">
      <c r="Q3838" s="4"/>
    </row>
    <row r="3839" spans="17:17">
      <c r="Q3839" s="4"/>
    </row>
    <row r="3840" spans="17:17">
      <c r="Q3840" s="4"/>
    </row>
    <row r="3841" spans="17:17">
      <c r="Q3841" s="4"/>
    </row>
    <row r="3842" spans="17:17">
      <c r="Q3842" s="4"/>
    </row>
    <row r="3843" spans="17:17">
      <c r="Q3843" s="4"/>
    </row>
    <row r="3844" spans="17:17">
      <c r="Q3844" s="4"/>
    </row>
    <row r="3845" spans="17:17">
      <c r="Q3845" s="4"/>
    </row>
    <row r="3846" spans="17:17">
      <c r="Q3846" s="4"/>
    </row>
    <row r="3847" spans="17:17">
      <c r="Q3847" s="4"/>
    </row>
    <row r="3848" spans="17:17">
      <c r="Q3848" s="4"/>
    </row>
    <row r="3849" spans="17:17">
      <c r="Q3849" s="4"/>
    </row>
    <row r="3850" spans="17:17">
      <c r="Q3850" s="4"/>
    </row>
    <row r="3851" spans="17:17">
      <c r="Q3851" s="4"/>
    </row>
    <row r="3852" spans="17:17">
      <c r="Q3852" s="4"/>
    </row>
    <row r="3853" spans="17:17">
      <c r="Q3853" s="4"/>
    </row>
    <row r="3854" spans="17:17">
      <c r="Q3854" s="4"/>
    </row>
    <row r="3855" spans="17:17">
      <c r="Q3855" s="4"/>
    </row>
    <row r="3856" spans="17:17">
      <c r="Q3856" s="4"/>
    </row>
    <row r="3857" spans="17:17">
      <c r="Q3857" s="4"/>
    </row>
    <row r="3858" spans="17:17">
      <c r="Q3858" s="4"/>
    </row>
    <row r="3859" spans="17:17">
      <c r="Q3859" s="4"/>
    </row>
    <row r="3860" spans="17:17">
      <c r="Q3860" s="4"/>
    </row>
    <row r="3861" spans="17:17">
      <c r="Q3861" s="4"/>
    </row>
    <row r="3862" spans="17:17">
      <c r="Q3862" s="4"/>
    </row>
    <row r="3863" spans="17:17">
      <c r="Q3863" s="4"/>
    </row>
    <row r="3864" spans="17:17">
      <c r="Q3864" s="4"/>
    </row>
    <row r="3865" spans="17:17">
      <c r="Q3865" s="4"/>
    </row>
    <row r="3866" spans="17:17">
      <c r="Q3866" s="4"/>
    </row>
    <row r="3867" spans="17:17">
      <c r="Q3867" s="4"/>
    </row>
    <row r="3868" spans="17:17">
      <c r="Q3868" s="4"/>
    </row>
    <row r="3869" spans="17:17">
      <c r="Q3869" s="4"/>
    </row>
    <row r="3870" spans="17:17">
      <c r="Q3870" s="4"/>
    </row>
    <row r="3871" spans="17:17">
      <c r="Q3871" s="4"/>
    </row>
    <row r="3872" spans="17:17">
      <c r="Q3872" s="4"/>
    </row>
    <row r="3873" spans="17:17">
      <c r="Q3873" s="4"/>
    </row>
    <row r="3874" spans="17:17">
      <c r="Q3874" s="4"/>
    </row>
    <row r="3875" spans="17:17">
      <c r="Q3875" s="4"/>
    </row>
    <row r="3876" spans="17:17">
      <c r="Q3876" s="4"/>
    </row>
    <row r="3877" spans="17:17">
      <c r="Q3877" s="4"/>
    </row>
    <row r="3878" spans="17:17">
      <c r="Q3878" s="4"/>
    </row>
    <row r="3879" spans="17:17">
      <c r="Q3879" s="4"/>
    </row>
    <row r="3880" spans="17:17">
      <c r="Q3880" s="4"/>
    </row>
    <row r="3881" spans="17:17">
      <c r="Q3881" s="4"/>
    </row>
    <row r="3882" spans="17:17">
      <c r="Q3882" s="4"/>
    </row>
    <row r="3883" spans="17:17">
      <c r="Q3883" s="4"/>
    </row>
    <row r="3884" spans="17:17">
      <c r="Q3884" s="4"/>
    </row>
    <row r="3885" spans="17:17">
      <c r="Q3885" s="4"/>
    </row>
    <row r="3886" spans="17:17">
      <c r="Q3886" s="4"/>
    </row>
    <row r="3887" spans="17:17">
      <c r="Q3887" s="4"/>
    </row>
    <row r="3888" spans="17:17">
      <c r="Q3888" s="4"/>
    </row>
    <row r="3889" spans="17:17">
      <c r="Q3889" s="4"/>
    </row>
    <row r="3890" spans="17:17">
      <c r="Q3890" s="4"/>
    </row>
    <row r="3891" spans="17:17">
      <c r="Q3891" s="4"/>
    </row>
    <row r="3892" spans="17:17">
      <c r="Q3892" s="4"/>
    </row>
    <row r="3893" spans="17:17">
      <c r="Q3893" s="4"/>
    </row>
    <row r="3894" spans="17:17">
      <c r="Q3894" s="4"/>
    </row>
    <row r="3895" spans="17:17">
      <c r="Q3895" s="4"/>
    </row>
    <row r="3896" spans="17:17">
      <c r="Q3896" s="4"/>
    </row>
    <row r="3897" spans="17:17">
      <c r="Q3897" s="4"/>
    </row>
    <row r="3898" spans="17:17">
      <c r="Q3898" s="4"/>
    </row>
    <row r="3899" spans="17:17">
      <c r="Q3899" s="4"/>
    </row>
    <row r="3900" spans="17:17">
      <c r="Q3900" s="4"/>
    </row>
    <row r="3901" spans="17:17">
      <c r="Q3901" s="4"/>
    </row>
    <row r="3902" spans="17:17">
      <c r="Q3902" s="4"/>
    </row>
    <row r="3903" spans="17:17">
      <c r="Q3903" s="4"/>
    </row>
    <row r="3904" spans="17:17">
      <c r="Q3904" s="4"/>
    </row>
    <row r="3905" spans="17:17">
      <c r="Q3905" s="4"/>
    </row>
    <row r="3906" spans="17:17">
      <c r="Q3906" s="4"/>
    </row>
    <row r="3907" spans="17:17">
      <c r="Q3907" s="4"/>
    </row>
    <row r="3908" spans="17:17">
      <c r="Q3908" s="4"/>
    </row>
    <row r="3909" spans="17:17">
      <c r="Q3909" s="4"/>
    </row>
    <row r="3910" spans="17:17">
      <c r="Q3910" s="4"/>
    </row>
    <row r="3911" spans="17:17">
      <c r="Q3911" s="4"/>
    </row>
    <row r="3912" spans="17:17">
      <c r="Q3912" s="4"/>
    </row>
    <row r="3913" spans="17:17">
      <c r="Q3913" s="4"/>
    </row>
    <row r="3914" spans="17:17">
      <c r="Q3914" s="4"/>
    </row>
    <row r="3915" spans="17:17">
      <c r="Q3915" s="4"/>
    </row>
    <row r="3916" spans="17:17">
      <c r="Q3916" s="4"/>
    </row>
    <row r="3917" spans="17:17">
      <c r="Q3917" s="4"/>
    </row>
    <row r="3918" spans="17:17">
      <c r="Q3918" s="4"/>
    </row>
    <row r="3919" spans="17:17">
      <c r="Q3919" s="4"/>
    </row>
    <row r="3920" spans="17:17">
      <c r="Q3920" s="4"/>
    </row>
    <row r="3921" spans="17:17">
      <c r="Q3921" s="4"/>
    </row>
    <row r="3922" spans="17:17">
      <c r="Q3922" s="4"/>
    </row>
    <row r="3923" spans="17:17">
      <c r="Q3923" s="4"/>
    </row>
    <row r="3924" spans="17:17">
      <c r="Q3924" s="4"/>
    </row>
    <row r="3925" spans="17:17">
      <c r="Q3925" s="4"/>
    </row>
    <row r="3926" spans="17:17">
      <c r="Q3926" s="4"/>
    </row>
    <row r="3927" spans="17:17">
      <c r="Q3927" s="4"/>
    </row>
    <row r="3928" spans="17:17">
      <c r="Q3928" s="4"/>
    </row>
    <row r="3929" spans="17:17">
      <c r="Q3929" s="4"/>
    </row>
    <row r="3930" spans="17:17">
      <c r="Q3930" s="4"/>
    </row>
    <row r="3931" spans="17:17">
      <c r="Q3931" s="4"/>
    </row>
    <row r="3932" spans="17:17">
      <c r="Q3932" s="4"/>
    </row>
    <row r="3933" spans="17:17">
      <c r="Q3933" s="4"/>
    </row>
    <row r="3934" spans="17:17">
      <c r="Q3934" s="4"/>
    </row>
    <row r="3935" spans="17:17">
      <c r="Q3935" s="4"/>
    </row>
    <row r="3936" spans="17:17">
      <c r="Q3936" s="4"/>
    </row>
    <row r="3937" spans="17:17">
      <c r="Q3937" s="4"/>
    </row>
    <row r="3938" spans="17:17">
      <c r="Q3938" s="4"/>
    </row>
    <row r="3939" spans="17:17">
      <c r="Q3939" s="4"/>
    </row>
    <row r="3940" spans="17:17">
      <c r="Q3940" s="4"/>
    </row>
    <row r="3941" spans="17:17">
      <c r="Q3941" s="4"/>
    </row>
    <row r="3942" spans="17:17">
      <c r="Q3942" s="4"/>
    </row>
    <row r="3943" spans="17:17">
      <c r="Q3943" s="4"/>
    </row>
    <row r="3944" spans="17:17">
      <c r="Q3944" s="4"/>
    </row>
    <row r="3945" spans="17:17">
      <c r="Q3945" s="4"/>
    </row>
    <row r="3946" spans="17:17">
      <c r="Q3946" s="4"/>
    </row>
    <row r="3947" spans="17:17">
      <c r="Q3947" s="4"/>
    </row>
    <row r="3948" spans="17:17">
      <c r="Q3948" s="4"/>
    </row>
    <row r="3949" spans="17:17">
      <c r="Q3949" s="4"/>
    </row>
    <row r="3950" spans="17:17">
      <c r="Q3950" s="4"/>
    </row>
    <row r="3951" spans="17:17">
      <c r="Q3951" s="4"/>
    </row>
    <row r="3952" spans="17:17">
      <c r="Q3952" s="4"/>
    </row>
    <row r="3953" spans="17:17">
      <c r="Q3953" s="4"/>
    </row>
    <row r="3954" spans="17:17">
      <c r="Q3954" s="4"/>
    </row>
    <row r="3955" spans="17:17">
      <c r="Q3955" s="4"/>
    </row>
    <row r="3956" spans="17:17">
      <c r="Q3956" s="4"/>
    </row>
    <row r="3957" spans="17:17">
      <c r="Q3957" s="4"/>
    </row>
    <row r="3958" spans="17:17">
      <c r="Q3958" s="4"/>
    </row>
    <row r="3959" spans="17:17">
      <c r="Q3959" s="4"/>
    </row>
    <row r="3960" spans="17:17">
      <c r="Q3960" s="4"/>
    </row>
    <row r="3961" spans="17:17">
      <c r="Q3961" s="4"/>
    </row>
    <row r="3962" spans="17:17">
      <c r="Q3962" s="4"/>
    </row>
    <row r="3963" spans="17:17">
      <c r="Q3963" s="4"/>
    </row>
    <row r="3964" spans="17:17">
      <c r="Q3964" s="4"/>
    </row>
    <row r="3965" spans="17:17">
      <c r="Q3965" s="4"/>
    </row>
    <row r="3966" spans="17:17">
      <c r="Q3966" s="4"/>
    </row>
    <row r="3967" spans="17:17">
      <c r="Q3967" s="4"/>
    </row>
    <row r="3968" spans="17:17">
      <c r="Q3968" s="4"/>
    </row>
    <row r="3969" spans="17:17">
      <c r="Q3969" s="4"/>
    </row>
    <row r="3970" spans="17:17">
      <c r="Q3970" s="4"/>
    </row>
    <row r="3971" spans="17:17">
      <c r="Q3971" s="4"/>
    </row>
    <row r="3972" spans="17:17">
      <c r="Q3972" s="4"/>
    </row>
    <row r="3973" spans="17:17">
      <c r="Q3973" s="4"/>
    </row>
    <row r="3974" spans="17:17">
      <c r="Q3974" s="4"/>
    </row>
    <row r="3975" spans="17:17">
      <c r="Q3975" s="4"/>
    </row>
    <row r="3976" spans="17:17">
      <c r="Q3976" s="4"/>
    </row>
    <row r="3977" spans="17:17">
      <c r="Q3977" s="4"/>
    </row>
    <row r="3978" spans="17:17">
      <c r="Q3978" s="4"/>
    </row>
    <row r="3979" spans="17:17">
      <c r="Q3979" s="4"/>
    </row>
    <row r="3980" spans="17:17">
      <c r="Q3980" s="4"/>
    </row>
    <row r="3981" spans="17:17">
      <c r="Q3981" s="4"/>
    </row>
    <row r="3982" spans="17:17">
      <c r="Q3982" s="4"/>
    </row>
    <row r="3983" spans="17:17">
      <c r="Q3983" s="4"/>
    </row>
    <row r="3984" spans="17:17">
      <c r="Q3984" s="4"/>
    </row>
    <row r="3985" spans="17:17">
      <c r="Q3985" s="4"/>
    </row>
    <row r="3986" spans="17:17">
      <c r="Q3986" s="4"/>
    </row>
    <row r="3987" spans="17:17">
      <c r="Q3987" s="4"/>
    </row>
    <row r="3988" spans="17:17">
      <c r="Q3988" s="4"/>
    </row>
    <row r="3989" spans="17:17">
      <c r="Q3989" s="4"/>
    </row>
    <row r="3990" spans="17:17">
      <c r="Q3990" s="4"/>
    </row>
    <row r="3991" spans="17:17">
      <c r="Q3991" s="4"/>
    </row>
    <row r="3992" spans="17:17">
      <c r="Q3992" s="4"/>
    </row>
    <row r="3993" spans="17:17">
      <c r="Q3993" s="4"/>
    </row>
    <row r="3994" spans="17:17">
      <c r="Q3994" s="4"/>
    </row>
    <row r="3995" spans="17:17">
      <c r="Q3995" s="4"/>
    </row>
    <row r="3996" spans="17:17">
      <c r="Q3996" s="4"/>
    </row>
    <row r="3997" spans="17:17">
      <c r="Q3997" s="4"/>
    </row>
    <row r="3998" spans="17:17">
      <c r="Q3998" s="4"/>
    </row>
    <row r="3999" spans="17:17">
      <c r="Q3999" s="4"/>
    </row>
    <row r="4000" spans="17:17">
      <c r="Q4000" s="4"/>
    </row>
    <row r="4001" spans="17:17">
      <c r="Q4001" s="4"/>
    </row>
    <row r="4002" spans="17:17">
      <c r="Q4002" s="4"/>
    </row>
    <row r="4003" spans="17:17">
      <c r="Q4003" s="4"/>
    </row>
    <row r="4004" spans="17:17">
      <c r="Q4004" s="4"/>
    </row>
    <row r="4005" spans="17:17">
      <c r="Q4005" s="4"/>
    </row>
    <row r="4006" spans="17:17">
      <c r="Q4006" s="4"/>
    </row>
    <row r="4007" spans="17:17">
      <c r="Q4007" s="4"/>
    </row>
    <row r="4008" spans="17:17">
      <c r="Q4008" s="4"/>
    </row>
    <row r="4009" spans="17:17">
      <c r="Q4009" s="4"/>
    </row>
    <row r="4010" spans="17:17">
      <c r="Q4010" s="4"/>
    </row>
    <row r="4011" spans="17:17">
      <c r="Q4011" s="4"/>
    </row>
    <row r="4012" spans="17:17">
      <c r="Q4012" s="4"/>
    </row>
    <row r="4013" spans="17:17">
      <c r="Q4013" s="4"/>
    </row>
    <row r="4014" spans="17:17">
      <c r="Q4014" s="4"/>
    </row>
    <row r="4015" spans="17:17">
      <c r="Q4015" s="4"/>
    </row>
    <row r="4016" spans="17:17">
      <c r="Q4016" s="4"/>
    </row>
    <row r="4017" spans="17:17">
      <c r="Q4017" s="4"/>
    </row>
    <row r="4018" spans="17:17">
      <c r="Q4018" s="4"/>
    </row>
    <row r="4019" spans="17:17">
      <c r="Q4019" s="4"/>
    </row>
    <row r="4020" spans="17:17">
      <c r="Q4020" s="4"/>
    </row>
    <row r="4021" spans="17:17">
      <c r="Q4021" s="4"/>
    </row>
    <row r="4022" spans="17:17">
      <c r="Q4022" s="4"/>
    </row>
    <row r="4023" spans="17:17">
      <c r="Q4023" s="4"/>
    </row>
    <row r="4024" spans="17:17">
      <c r="Q4024" s="4"/>
    </row>
    <row r="4025" spans="17:17">
      <c r="Q4025" s="4"/>
    </row>
    <row r="4026" spans="17:17">
      <c r="Q4026" s="4"/>
    </row>
    <row r="4027" spans="17:17">
      <c r="Q4027" s="4"/>
    </row>
    <row r="4028" spans="17:17">
      <c r="Q4028" s="4"/>
    </row>
    <row r="4029" spans="17:17">
      <c r="Q4029" s="4"/>
    </row>
    <row r="4030" spans="17:17">
      <c r="Q4030" s="4"/>
    </row>
    <row r="4031" spans="17:17">
      <c r="Q4031" s="4"/>
    </row>
    <row r="4032" spans="17:17">
      <c r="Q4032" s="4"/>
    </row>
    <row r="4033" spans="17:17">
      <c r="Q4033" s="4"/>
    </row>
    <row r="4034" spans="17:17">
      <c r="Q4034" s="4"/>
    </row>
    <row r="4035" spans="17:17">
      <c r="Q4035" s="4"/>
    </row>
    <row r="4036" spans="17:17">
      <c r="Q4036" s="4"/>
    </row>
    <row r="4037" spans="17:17">
      <c r="Q4037" s="4"/>
    </row>
    <row r="4038" spans="17:17">
      <c r="Q4038" s="4"/>
    </row>
    <row r="4039" spans="17:17">
      <c r="Q4039" s="4"/>
    </row>
    <row r="4040" spans="17:17">
      <c r="Q4040" s="4"/>
    </row>
    <row r="4041" spans="17:17">
      <c r="Q4041" s="4"/>
    </row>
    <row r="4042" spans="17:17">
      <c r="Q4042" s="4"/>
    </row>
    <row r="4043" spans="17:17">
      <c r="Q4043" s="4"/>
    </row>
    <row r="4044" spans="17:17">
      <c r="Q4044" s="4"/>
    </row>
    <row r="4045" spans="17:17">
      <c r="Q4045" s="4"/>
    </row>
    <row r="4046" spans="17:17">
      <c r="Q4046" s="4"/>
    </row>
    <row r="4047" spans="17:17">
      <c r="Q4047" s="4"/>
    </row>
    <row r="4048" spans="17:17">
      <c r="Q4048" s="4"/>
    </row>
    <row r="4049" spans="17:17">
      <c r="Q4049" s="4"/>
    </row>
    <row r="4050" spans="17:17">
      <c r="Q4050" s="4"/>
    </row>
    <row r="4051" spans="17:17">
      <c r="Q4051" s="4"/>
    </row>
    <row r="4052" spans="17:17">
      <c r="Q4052" s="4"/>
    </row>
    <row r="4053" spans="17:17">
      <c r="Q4053" s="4"/>
    </row>
    <row r="4054" spans="17:17">
      <c r="Q4054" s="4"/>
    </row>
    <row r="4055" spans="17:17">
      <c r="Q4055" s="4"/>
    </row>
    <row r="4056" spans="17:17">
      <c r="Q4056" s="4"/>
    </row>
    <row r="4057" spans="17:17">
      <c r="Q4057" s="4"/>
    </row>
    <row r="4058" spans="17:17">
      <c r="Q4058" s="4"/>
    </row>
    <row r="4059" spans="17:17">
      <c r="Q4059" s="4"/>
    </row>
    <row r="4060" spans="17:17">
      <c r="Q4060" s="4"/>
    </row>
    <row r="4061" spans="17:17">
      <c r="Q4061" s="4"/>
    </row>
    <row r="4062" spans="17:17">
      <c r="Q4062" s="4"/>
    </row>
    <row r="4063" spans="17:17">
      <c r="Q4063" s="4"/>
    </row>
    <row r="4064" spans="17:17">
      <c r="Q4064" s="4"/>
    </row>
    <row r="4065" spans="17:17">
      <c r="Q4065" s="4"/>
    </row>
    <row r="4066" spans="17:17">
      <c r="Q4066" s="4"/>
    </row>
    <row r="4067" spans="17:17">
      <c r="Q4067" s="4"/>
    </row>
    <row r="4068" spans="17:17">
      <c r="Q4068" s="4"/>
    </row>
    <row r="4069" spans="17:17">
      <c r="Q4069" s="4"/>
    </row>
    <row r="4070" spans="17:17">
      <c r="Q4070" s="4"/>
    </row>
    <row r="4071" spans="17:17">
      <c r="Q4071" s="4"/>
    </row>
    <row r="4072" spans="17:17">
      <c r="Q4072" s="4"/>
    </row>
    <row r="4073" spans="17:17">
      <c r="Q4073" s="4"/>
    </row>
    <row r="4074" spans="17:17">
      <c r="Q4074" s="4"/>
    </row>
    <row r="4075" spans="17:17">
      <c r="Q4075" s="4"/>
    </row>
    <row r="4076" spans="17:17">
      <c r="Q4076" s="4"/>
    </row>
    <row r="4077" spans="17:17">
      <c r="Q4077" s="4"/>
    </row>
    <row r="4078" spans="17:17">
      <c r="Q4078" s="4"/>
    </row>
    <row r="4079" spans="17:17">
      <c r="Q4079" s="4"/>
    </row>
    <row r="4080" spans="17:17">
      <c r="Q4080" s="4"/>
    </row>
    <row r="4081" spans="17:17">
      <c r="Q4081" s="4"/>
    </row>
    <row r="4082" spans="17:17">
      <c r="Q4082" s="4"/>
    </row>
    <row r="4083" spans="17:17">
      <c r="Q4083" s="4"/>
    </row>
    <row r="4084" spans="17:17">
      <c r="Q4084" s="4"/>
    </row>
    <row r="4085" spans="17:17">
      <c r="Q4085" s="4"/>
    </row>
    <row r="4086" spans="17:17">
      <c r="Q4086" s="4"/>
    </row>
    <row r="4087" spans="17:17">
      <c r="Q4087" s="4"/>
    </row>
    <row r="4088" spans="17:17">
      <c r="Q4088" s="4"/>
    </row>
    <row r="4089" spans="17:17">
      <c r="Q4089" s="4"/>
    </row>
    <row r="4090" spans="17:17">
      <c r="Q4090" s="4"/>
    </row>
    <row r="4091" spans="17:17">
      <c r="Q4091" s="4"/>
    </row>
    <row r="4092" spans="17:17">
      <c r="Q4092" s="4"/>
    </row>
    <row r="4093" spans="17:17">
      <c r="Q4093" s="4"/>
    </row>
    <row r="4094" spans="17:17">
      <c r="Q4094" s="4"/>
    </row>
    <row r="4095" spans="17:17">
      <c r="Q4095" s="4"/>
    </row>
    <row r="4096" spans="17:17">
      <c r="Q4096" s="4"/>
    </row>
    <row r="4097" spans="17:17">
      <c r="Q4097" s="4"/>
    </row>
    <row r="4098" spans="17:17">
      <c r="Q4098" s="4"/>
    </row>
    <row r="4099" spans="17:17">
      <c r="Q4099" s="4"/>
    </row>
    <row r="4100" spans="17:17">
      <c r="Q4100" s="4"/>
    </row>
    <row r="4101" spans="17:17">
      <c r="Q4101" s="4"/>
    </row>
    <row r="4102" spans="17:17">
      <c r="Q4102" s="4"/>
    </row>
    <row r="4103" spans="17:17">
      <c r="Q4103" s="4"/>
    </row>
    <row r="4104" spans="17:17">
      <c r="Q4104" s="4"/>
    </row>
    <row r="4105" spans="17:17">
      <c r="Q4105" s="4"/>
    </row>
    <row r="4106" spans="17:17">
      <c r="Q4106" s="4"/>
    </row>
    <row r="4107" spans="17:17">
      <c r="Q4107" s="4"/>
    </row>
    <row r="4108" spans="17:17">
      <c r="Q4108" s="4"/>
    </row>
    <row r="4109" spans="17:17">
      <c r="Q4109" s="4"/>
    </row>
    <row r="4110" spans="17:17">
      <c r="Q4110" s="4"/>
    </row>
    <row r="4111" spans="17:17">
      <c r="Q4111" s="4"/>
    </row>
    <row r="4112" spans="17:17">
      <c r="Q4112" s="4"/>
    </row>
    <row r="4113" spans="17:17">
      <c r="Q4113" s="4"/>
    </row>
    <row r="4114" spans="17:17">
      <c r="Q4114" s="4"/>
    </row>
    <row r="4115" spans="17:17">
      <c r="Q4115" s="4"/>
    </row>
    <row r="4116" spans="17:17">
      <c r="Q4116" s="4"/>
    </row>
    <row r="4117" spans="17:17">
      <c r="Q4117" s="4"/>
    </row>
    <row r="4118" spans="17:17">
      <c r="Q4118" s="4"/>
    </row>
    <row r="4119" spans="17:17">
      <c r="Q4119" s="4"/>
    </row>
    <row r="4120" spans="17:17">
      <c r="Q4120" s="4"/>
    </row>
    <row r="4121" spans="17:17">
      <c r="Q4121" s="4"/>
    </row>
    <row r="4122" spans="17:17">
      <c r="Q4122" s="4"/>
    </row>
    <row r="4123" spans="17:17">
      <c r="Q4123" s="4"/>
    </row>
    <row r="4124" spans="17:17">
      <c r="Q4124" s="4"/>
    </row>
    <row r="4125" spans="17:17">
      <c r="Q4125" s="4"/>
    </row>
    <row r="4126" spans="17:17">
      <c r="Q4126" s="4"/>
    </row>
    <row r="4127" spans="17:17">
      <c r="Q4127" s="4"/>
    </row>
    <row r="4128" spans="17:17">
      <c r="Q4128" s="4"/>
    </row>
    <row r="4129" spans="17:17">
      <c r="Q4129" s="4"/>
    </row>
    <row r="4130" spans="17:17">
      <c r="Q4130" s="4"/>
    </row>
    <row r="4131" spans="17:17">
      <c r="Q4131" s="4"/>
    </row>
    <row r="4132" spans="17:17">
      <c r="Q4132" s="4"/>
    </row>
    <row r="4133" spans="17:17">
      <c r="Q4133" s="4"/>
    </row>
    <row r="4134" spans="17:17">
      <c r="Q4134" s="4"/>
    </row>
    <row r="4135" spans="17:17">
      <c r="Q4135" s="4"/>
    </row>
    <row r="4136" spans="17:17">
      <c r="Q4136" s="4"/>
    </row>
    <row r="4137" spans="17:17">
      <c r="Q4137" s="4"/>
    </row>
    <row r="4138" spans="17:17">
      <c r="Q4138" s="4"/>
    </row>
    <row r="4139" spans="17:17">
      <c r="Q4139" s="4"/>
    </row>
    <row r="4140" spans="17:17">
      <c r="Q4140" s="4"/>
    </row>
    <row r="4141" spans="17:17">
      <c r="Q4141" s="4"/>
    </row>
    <row r="4142" spans="17:17">
      <c r="Q4142" s="4"/>
    </row>
    <row r="4143" spans="17:17">
      <c r="Q4143" s="4"/>
    </row>
    <row r="4144" spans="17:17">
      <c r="Q4144" s="4"/>
    </row>
    <row r="4145" spans="17:17">
      <c r="Q4145" s="4"/>
    </row>
    <row r="4146" spans="17:17">
      <c r="Q4146" s="4"/>
    </row>
    <row r="4147" spans="17:17">
      <c r="Q4147" s="4"/>
    </row>
    <row r="4148" spans="17:17">
      <c r="Q4148" s="4"/>
    </row>
    <row r="4149" spans="17:17">
      <c r="Q4149" s="4"/>
    </row>
    <row r="4150" spans="17:17">
      <c r="Q4150" s="4"/>
    </row>
    <row r="4151" spans="17:17">
      <c r="Q4151" s="4"/>
    </row>
    <row r="4152" spans="17:17">
      <c r="Q4152" s="4"/>
    </row>
    <row r="4153" spans="17:17">
      <c r="Q4153" s="4"/>
    </row>
    <row r="4154" spans="17:17">
      <c r="Q4154" s="4"/>
    </row>
    <row r="4155" spans="17:17">
      <c r="Q4155" s="4"/>
    </row>
    <row r="4156" spans="17:17">
      <c r="Q4156" s="4"/>
    </row>
    <row r="4157" spans="17:17">
      <c r="Q4157" s="4"/>
    </row>
    <row r="4158" spans="17:17">
      <c r="Q4158" s="4"/>
    </row>
    <row r="4159" spans="17:17">
      <c r="Q4159" s="4"/>
    </row>
    <row r="4160" spans="17:17">
      <c r="Q4160" s="4"/>
    </row>
    <row r="4161" spans="17:17">
      <c r="Q4161" s="4"/>
    </row>
    <row r="4162" spans="17:17">
      <c r="Q4162" s="4"/>
    </row>
    <row r="4163" spans="17:17">
      <c r="Q4163" s="4"/>
    </row>
    <row r="4164" spans="17:17">
      <c r="Q4164" s="4"/>
    </row>
    <row r="4165" spans="17:17">
      <c r="Q4165" s="4"/>
    </row>
    <row r="4166" spans="17:17">
      <c r="Q4166" s="4"/>
    </row>
    <row r="4167" spans="17:17">
      <c r="Q4167" s="4"/>
    </row>
    <row r="4168" spans="17:17">
      <c r="Q4168" s="4"/>
    </row>
    <row r="4169" spans="17:17">
      <c r="Q4169" s="4"/>
    </row>
    <row r="4170" spans="17:17">
      <c r="Q4170" s="4"/>
    </row>
    <row r="4171" spans="17:17">
      <c r="Q4171" s="4"/>
    </row>
    <row r="4172" spans="17:17">
      <c r="Q4172" s="4"/>
    </row>
    <row r="4173" spans="17:17">
      <c r="Q4173" s="4"/>
    </row>
    <row r="4174" spans="17:17">
      <c r="Q4174" s="4"/>
    </row>
    <row r="4175" spans="17:17">
      <c r="Q4175" s="4"/>
    </row>
    <row r="4176" spans="17:17">
      <c r="Q4176" s="4"/>
    </row>
    <row r="4177" spans="17:17">
      <c r="Q4177" s="4"/>
    </row>
    <row r="4178" spans="17:17">
      <c r="Q4178" s="4"/>
    </row>
    <row r="4179" spans="17:17">
      <c r="Q4179" s="4"/>
    </row>
    <row r="4180" spans="17:17">
      <c r="Q4180" s="4"/>
    </row>
    <row r="4181" spans="17:17">
      <c r="Q4181" s="4"/>
    </row>
    <row r="4182" spans="17:17">
      <c r="Q4182" s="4"/>
    </row>
    <row r="4183" spans="17:17">
      <c r="Q4183" s="4"/>
    </row>
    <row r="4184" spans="17:17">
      <c r="Q4184" s="4"/>
    </row>
    <row r="4185" spans="17:17">
      <c r="Q4185" s="4"/>
    </row>
    <row r="4186" spans="17:17">
      <c r="Q4186" s="4"/>
    </row>
    <row r="4187" spans="17:17">
      <c r="Q4187" s="4"/>
    </row>
    <row r="4188" spans="17:17">
      <c r="Q4188" s="4"/>
    </row>
    <row r="4189" spans="17:17">
      <c r="Q4189" s="4"/>
    </row>
    <row r="4190" spans="17:17">
      <c r="Q4190" s="4"/>
    </row>
    <row r="4191" spans="17:17">
      <c r="Q4191" s="4"/>
    </row>
    <row r="4192" spans="17:17">
      <c r="Q4192" s="4"/>
    </row>
    <row r="4193" spans="17:17">
      <c r="Q4193" s="4"/>
    </row>
    <row r="4194" spans="17:17">
      <c r="Q4194" s="4"/>
    </row>
    <row r="4195" spans="17:17">
      <c r="Q4195" s="4"/>
    </row>
    <row r="4196" spans="17:17">
      <c r="Q4196" s="4"/>
    </row>
    <row r="4197" spans="17:17">
      <c r="Q4197" s="4"/>
    </row>
    <row r="4198" spans="17:17">
      <c r="Q4198" s="4"/>
    </row>
    <row r="4199" spans="17:17">
      <c r="Q4199" s="4"/>
    </row>
    <row r="4200" spans="17:17">
      <c r="Q4200" s="4"/>
    </row>
    <row r="4201" spans="17:17">
      <c r="Q4201" s="4"/>
    </row>
    <row r="4202" spans="17:17">
      <c r="Q4202" s="4"/>
    </row>
    <row r="4203" spans="17:17">
      <c r="Q4203" s="4"/>
    </row>
    <row r="4204" spans="17:17">
      <c r="Q4204" s="4"/>
    </row>
    <row r="4205" spans="17:17">
      <c r="Q4205" s="4"/>
    </row>
    <row r="4206" spans="17:17">
      <c r="Q4206" s="4"/>
    </row>
    <row r="4207" spans="17:17">
      <c r="Q4207" s="4"/>
    </row>
    <row r="4208" spans="17:17">
      <c r="Q4208" s="4"/>
    </row>
    <row r="4209" spans="17:17">
      <c r="Q4209" s="4"/>
    </row>
    <row r="4210" spans="17:17">
      <c r="Q4210" s="4"/>
    </row>
    <row r="4211" spans="17:17">
      <c r="Q4211" s="4"/>
    </row>
    <row r="4212" spans="17:17">
      <c r="Q4212" s="4"/>
    </row>
    <row r="4213" spans="17:17">
      <c r="Q4213" s="4"/>
    </row>
    <row r="4214" spans="17:17">
      <c r="Q4214" s="4"/>
    </row>
    <row r="4215" spans="17:17">
      <c r="Q4215" s="4"/>
    </row>
    <row r="4216" spans="17:17">
      <c r="Q4216" s="4"/>
    </row>
    <row r="4217" spans="17:17">
      <c r="Q4217" s="4"/>
    </row>
    <row r="4218" spans="17:17">
      <c r="Q4218" s="4"/>
    </row>
    <row r="4219" spans="17:17">
      <c r="Q4219" s="4"/>
    </row>
    <row r="4220" spans="17:17">
      <c r="Q4220" s="4"/>
    </row>
    <row r="4221" spans="17:17">
      <c r="Q4221" s="4"/>
    </row>
    <row r="4222" spans="17:17">
      <c r="Q4222" s="4"/>
    </row>
    <row r="4223" spans="17:17">
      <c r="Q4223" s="4"/>
    </row>
    <row r="4224" spans="17:17">
      <c r="Q4224" s="4"/>
    </row>
    <row r="4225" spans="17:17">
      <c r="Q4225" s="4"/>
    </row>
    <row r="4226" spans="17:17">
      <c r="Q4226" s="4"/>
    </row>
    <row r="4227" spans="17:17">
      <c r="Q4227" s="4"/>
    </row>
    <row r="4228" spans="17:17">
      <c r="Q4228" s="4"/>
    </row>
    <row r="4229" spans="17:17">
      <c r="Q4229" s="4"/>
    </row>
    <row r="4230" spans="17:17">
      <c r="Q4230" s="4"/>
    </row>
    <row r="4231" spans="17:17">
      <c r="Q4231" s="4"/>
    </row>
    <row r="4232" spans="17:17">
      <c r="Q4232" s="4"/>
    </row>
    <row r="4233" spans="17:17">
      <c r="Q4233" s="4"/>
    </row>
    <row r="4234" spans="17:17">
      <c r="Q4234" s="4"/>
    </row>
    <row r="4235" spans="17:17">
      <c r="Q4235" s="4"/>
    </row>
    <row r="4236" spans="17:17">
      <c r="Q4236" s="4"/>
    </row>
    <row r="4237" spans="17:17">
      <c r="Q4237" s="4"/>
    </row>
    <row r="4238" spans="17:17">
      <c r="Q4238" s="4"/>
    </row>
    <row r="4239" spans="17:17">
      <c r="Q4239" s="4"/>
    </row>
    <row r="4240" spans="17:17">
      <c r="Q4240" s="4"/>
    </row>
    <row r="4241" spans="17:17">
      <c r="Q4241" s="4"/>
    </row>
    <row r="4242" spans="17:17">
      <c r="Q4242" s="4"/>
    </row>
    <row r="4243" spans="17:17">
      <c r="Q4243" s="4"/>
    </row>
  </sheetData>
  <autoFilter ref="A1:AQ2123" xr:uid="{00000000-0001-0000-0000-000000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689C-AE6A-4A1D-8BAA-DA944CA9A3E0}">
  <sheetPr>
    <tabColor rgb="FFFFFF00"/>
  </sheetPr>
  <dimension ref="A1:B15"/>
  <sheetViews>
    <sheetView workbookViewId="0">
      <selection activeCell="F19" sqref="F19"/>
    </sheetView>
  </sheetViews>
  <sheetFormatPr defaultRowHeight="15"/>
  <cols>
    <col min="2" max="2" width="10.28515625" style="142" bestFit="1" customWidth="1"/>
  </cols>
  <sheetData>
    <row r="1" spans="1:2">
      <c r="A1" t="s">
        <v>160</v>
      </c>
      <c r="B1" s="142" t="s">
        <v>161</v>
      </c>
    </row>
    <row r="2" spans="1:2" ht="15.75">
      <c r="A2" s="143" t="s">
        <v>162</v>
      </c>
      <c r="B2" s="142">
        <v>45658</v>
      </c>
    </row>
    <row r="3" spans="1:2" ht="15.75">
      <c r="A3" s="143" t="s">
        <v>163</v>
      </c>
      <c r="B3" s="142">
        <v>45750</v>
      </c>
    </row>
    <row r="4" spans="1:2" ht="15.75">
      <c r="A4" s="143" t="s">
        <v>163</v>
      </c>
      <c r="B4" s="142">
        <v>45751</v>
      </c>
    </row>
    <row r="5" spans="1:2" ht="15.75">
      <c r="A5" s="143" t="s">
        <v>164</v>
      </c>
      <c r="B5" s="142">
        <v>45765</v>
      </c>
    </row>
    <row r="6" spans="1:2" ht="15.75">
      <c r="A6" s="143" t="s">
        <v>165</v>
      </c>
      <c r="B6" s="142">
        <v>45768</v>
      </c>
    </row>
    <row r="7" spans="1:2" ht="15.75">
      <c r="A7" s="143" t="s">
        <v>166</v>
      </c>
      <c r="B7" s="142">
        <v>45778</v>
      </c>
    </row>
    <row r="8" spans="1:2" ht="15.75">
      <c r="A8" s="143" t="s">
        <v>167</v>
      </c>
      <c r="B8" s="142">
        <v>45827</v>
      </c>
    </row>
    <row r="9" spans="1:2" ht="15.75">
      <c r="A9" s="143" t="s">
        <v>168</v>
      </c>
      <c r="B9" s="142">
        <v>45845</v>
      </c>
    </row>
    <row r="10" spans="1:2" ht="15.75">
      <c r="A10" s="143" t="s">
        <v>169</v>
      </c>
      <c r="B10" s="142">
        <v>45942</v>
      </c>
    </row>
    <row r="11" spans="1:2" ht="15.75">
      <c r="A11" s="143" t="s">
        <v>170</v>
      </c>
      <c r="B11" s="142">
        <v>45963</v>
      </c>
    </row>
    <row r="12" spans="1:2" ht="15.75">
      <c r="A12" s="143" t="s">
        <v>171</v>
      </c>
      <c r="B12" s="142">
        <v>45976</v>
      </c>
    </row>
    <row r="13" spans="1:2" ht="15.75">
      <c r="A13" s="143" t="s">
        <v>172</v>
      </c>
      <c r="B13" s="142">
        <v>45981</v>
      </c>
    </row>
    <row r="14" spans="1:2" ht="15.75">
      <c r="A14" s="143" t="s">
        <v>173</v>
      </c>
      <c r="B14" s="142">
        <v>46016</v>
      </c>
    </row>
    <row r="15" spans="1:2" ht="15.75">
      <c r="A15" s="143" t="s">
        <v>162</v>
      </c>
      <c r="B15" s="142">
        <v>46023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7D7D-2904-414A-B2D9-4723386E4065}">
  <sheetPr>
    <tabColor theme="5" tint="0.59999389629810485"/>
  </sheetPr>
  <dimension ref="B1:N27"/>
  <sheetViews>
    <sheetView workbookViewId="0">
      <selection activeCell="K25" sqref="K25"/>
    </sheetView>
  </sheetViews>
  <sheetFormatPr defaultColWidth="9.140625" defaultRowHeight="15"/>
  <cols>
    <col min="1" max="1" width="9.140625" style="71"/>
    <col min="2" max="2" width="17.85546875" style="71" bestFit="1" customWidth="1"/>
    <col min="3" max="3" width="18.140625" style="73" bestFit="1" customWidth="1"/>
    <col min="4" max="4" width="17.28515625" style="73" customWidth="1"/>
    <col min="5" max="5" width="12.140625" style="71" bestFit="1" customWidth="1"/>
    <col min="6" max="6" width="23" style="71" customWidth="1"/>
    <col min="7" max="7" width="13" style="72" bestFit="1" customWidth="1"/>
    <col min="8" max="8" width="14.5703125" style="72" bestFit="1" customWidth="1"/>
    <col min="9" max="9" width="16.7109375" style="72" bestFit="1" customWidth="1"/>
    <col min="10" max="10" width="15.5703125" style="72" bestFit="1" customWidth="1"/>
    <col min="11" max="11" width="13.7109375" style="72" bestFit="1" customWidth="1"/>
    <col min="12" max="12" width="22.28515625" style="72" hidden="1" customWidth="1"/>
    <col min="13" max="13" width="9.5703125" style="72" customWidth="1"/>
    <col min="14" max="14" width="20.42578125" style="72" bestFit="1" customWidth="1"/>
    <col min="15" max="16384" width="9.140625" style="71"/>
  </cols>
  <sheetData>
    <row r="1" spans="2:12" ht="15.75" thickBot="1"/>
    <row r="2" spans="2:12">
      <c r="B2" s="203" t="s">
        <v>914</v>
      </c>
      <c r="C2" s="204"/>
      <c r="D2" s="205"/>
      <c r="F2" s="203" t="s">
        <v>914</v>
      </c>
      <c r="G2" s="204"/>
      <c r="H2" s="205"/>
    </row>
    <row r="3" spans="2:12">
      <c r="B3" s="206" t="s">
        <v>915</v>
      </c>
      <c r="C3" s="207"/>
      <c r="D3" s="208"/>
      <c r="F3" s="206" t="s">
        <v>915</v>
      </c>
      <c r="G3" s="207"/>
      <c r="H3" s="208"/>
      <c r="I3" s="130" t="s">
        <v>916</v>
      </c>
      <c r="J3" s="111">
        <f>681.77+1025.29+873.1+726.91+224.26+608.97+692.36</f>
        <v>4832.66</v>
      </c>
    </row>
    <row r="4" spans="2:12">
      <c r="B4" s="206"/>
      <c r="C4" s="207"/>
      <c r="D4" s="208"/>
      <c r="F4" s="206"/>
      <c r="G4" s="207"/>
      <c r="H4" s="208"/>
    </row>
    <row r="5" spans="2:12">
      <c r="B5" s="87" t="s">
        <v>917</v>
      </c>
      <c r="C5" s="72" t="s">
        <v>918</v>
      </c>
      <c r="D5" s="84" t="s">
        <v>919</v>
      </c>
      <c r="F5" s="87" t="s">
        <v>917</v>
      </c>
      <c r="G5" s="72" t="s">
        <v>918</v>
      </c>
      <c r="H5" s="84" t="s">
        <v>919</v>
      </c>
    </row>
    <row r="6" spans="2:12">
      <c r="B6" s="88">
        <f>SUMPRODUCT(Fluxo_Caixa1[Valor])</f>
        <v>4500</v>
      </c>
      <c r="C6" s="111" cm="1">
        <f t="array" aca="1" ref="C6" ca="1">-SUM(SUMIFS('Banco de Dados'!$V$2:$V$2123,'Banco de Dados'!$A$2:$A$2123,{"bv";"mei"},'Banco de Dados'!$F$2:$F$2123,"&lt;&gt;-"))-SUM(SUMIF('Banco de Dados'!$A$2:$A$2123,{"BV";"MEI"},'Banco de Dados'!$AP$2:$AP$2123))-SUM(SUMIF(Serviços[Loja],{"bv";"mei"},Serviços[Recarga]))-SUM(SUMIFS(ValorProxyTT[Valor],ValorProxyTT[Loja],{"BV";"MEI"},ValorProxyTT[Status],"PAGO"))+SUM('Faturamento M'!I21:L41)+'Faturamento M'!K8</f>
        <v>1312.8628352810374</v>
      </c>
      <c r="D6" s="86">
        <f ca="1">ROUND(SUM(B6:C6),2)+C7</f>
        <v>5812.86</v>
      </c>
      <c r="F6" s="88">
        <f>SUMPRODUCT(Fluxo_Caixa2[Valor])</f>
        <v>1000</v>
      </c>
      <c r="G6" s="111">
        <f ca="1">-SUM(SUMIFS('Banco de Dados'!$V$2:$V$2123,'Banco de Dados'!$A$2:$A$2123,"go",'Banco de Dados'!$F$2:$F$2123,"&lt;&gt;-"))-SUM(SUMIF('Banco de Dados'!$A$2:$A$2123,"go",'Banco de Dados'!$AP$2:$AP$2123))-SUM(SUMIF(Serviços[Loja],"go",Serviços[Recarga]))-SUM(SUMIFS(ValorProxyTT[Valor],ValorProxyTT[Loja],"go",ValorProxyTT[Status],"PAGO"))</f>
        <v>-3113.9799999999964</v>
      </c>
      <c r="H6" s="86">
        <f ca="1">ROUND(SUM(F6:G6),2)+G7+J3</f>
        <v>2718.68</v>
      </c>
    </row>
    <row r="7" spans="2:12">
      <c r="B7" s="129"/>
      <c r="C7" s="111"/>
      <c r="D7" s="84"/>
      <c r="F7" s="129"/>
      <c r="H7" s="84"/>
    </row>
    <row r="8" spans="2:12">
      <c r="B8" s="85" t="s">
        <v>920</v>
      </c>
      <c r="C8" s="141">
        <v>3141.24</v>
      </c>
      <c r="D8" s="131">
        <f>SUM(C8:C9)</f>
        <v>3333.0299999999997</v>
      </c>
      <c r="F8" s="85" t="s">
        <v>920</v>
      </c>
      <c r="G8" s="141">
        <v>1910.2</v>
      </c>
      <c r="H8" s="86">
        <f>SUM(G8:G9)</f>
        <v>2036.53</v>
      </c>
      <c r="J8" s="72">
        <f>C8+G8+G9</f>
        <v>5177.7699999999995</v>
      </c>
      <c r="K8" s="72">
        <f>J8-4500</f>
        <v>677.76999999999953</v>
      </c>
    </row>
    <row r="9" spans="2:12">
      <c r="B9" s="85" t="s">
        <v>921</v>
      </c>
      <c r="C9" s="141">
        <v>191.79</v>
      </c>
      <c r="D9" s="84"/>
      <c r="F9" s="85" t="s">
        <v>921</v>
      </c>
      <c r="G9" s="141">
        <v>126.33</v>
      </c>
      <c r="H9" s="84"/>
    </row>
    <row r="10" spans="2:12" ht="15.75" thickBot="1">
      <c r="B10" s="83" t="s">
        <v>922</v>
      </c>
      <c r="C10" s="82">
        <f ca="1">D8-D6</f>
        <v>-2479.83</v>
      </c>
      <c r="D10" s="81" t="b">
        <f ca="1">D8=D6</f>
        <v>0</v>
      </c>
      <c r="F10" s="83" t="s">
        <v>922</v>
      </c>
      <c r="G10" s="82">
        <f ca="1">H8-H6</f>
        <v>-682.14999999999986</v>
      </c>
      <c r="H10" s="81" t="b">
        <f ca="1">ROUND(H8,2)=ROUND(H6,2)</f>
        <v>0</v>
      </c>
    </row>
    <row r="11" spans="2:12">
      <c r="G11" s="73"/>
      <c r="H11" s="73"/>
    </row>
    <row r="12" spans="2:12">
      <c r="D12" s="80">
        <f>SUM(Fluxo_Caixa1[Valor])</f>
        <v>4500</v>
      </c>
      <c r="G12" s="73"/>
      <c r="H12" s="80">
        <f>SUM(Fluxo_Caixa2[Valor])</f>
        <v>1000</v>
      </c>
    </row>
    <row r="13" spans="2:12">
      <c r="B13" s="79" t="s">
        <v>37</v>
      </c>
      <c r="C13" s="78" t="s">
        <v>161</v>
      </c>
      <c r="D13" s="77" t="s">
        <v>923</v>
      </c>
      <c r="E13" s="72"/>
      <c r="F13" s="79" t="s">
        <v>37</v>
      </c>
      <c r="G13" s="78" t="s">
        <v>161</v>
      </c>
      <c r="H13" s="77" t="s">
        <v>923</v>
      </c>
      <c r="L13" s="76" t="s">
        <v>924</v>
      </c>
    </row>
    <row r="14" spans="2:12">
      <c r="B14" s="71" t="s">
        <v>925</v>
      </c>
      <c r="C14" s="73" t="s">
        <v>37</v>
      </c>
      <c r="D14" s="74">
        <f>13.66-3.1</f>
        <v>10.56</v>
      </c>
      <c r="F14" s="71" t="s">
        <v>926</v>
      </c>
      <c r="G14" s="73">
        <v>45672</v>
      </c>
      <c r="H14" s="74">
        <v>100</v>
      </c>
      <c r="L14" s="72">
        <f>40-24.3-3.3</f>
        <v>12.399999999999999</v>
      </c>
    </row>
    <row r="15" spans="2:12">
      <c r="B15" s="71" t="s">
        <v>927</v>
      </c>
      <c r="C15" s="75">
        <v>45586</v>
      </c>
      <c r="D15" s="74">
        <v>200</v>
      </c>
      <c r="F15" s="71" t="s">
        <v>926</v>
      </c>
      <c r="G15" s="75">
        <v>45682</v>
      </c>
      <c r="H15" s="74">
        <v>95.65</v>
      </c>
    </row>
    <row r="16" spans="2:12">
      <c r="B16" s="71" t="s">
        <v>927</v>
      </c>
      <c r="C16" s="75">
        <v>45587</v>
      </c>
      <c r="D16" s="74">
        <v>50</v>
      </c>
      <c r="F16" s="71" t="s">
        <v>928</v>
      </c>
      <c r="G16" s="75">
        <v>45684</v>
      </c>
      <c r="H16" s="74">
        <v>100</v>
      </c>
    </row>
    <row r="17" spans="2:8">
      <c r="B17" s="71" t="s">
        <v>927</v>
      </c>
      <c r="C17" s="75">
        <v>45588</v>
      </c>
      <c r="D17" s="74">
        <v>100</v>
      </c>
      <c r="F17" s="71" t="s">
        <v>926</v>
      </c>
      <c r="G17" s="75">
        <v>45691</v>
      </c>
      <c r="H17" s="74">
        <v>204.35</v>
      </c>
    </row>
    <row r="18" spans="2:8">
      <c r="B18" s="71" t="s">
        <v>927</v>
      </c>
      <c r="C18" s="75">
        <v>45589</v>
      </c>
      <c r="D18" s="74">
        <v>900</v>
      </c>
      <c r="F18" s="108" t="s">
        <v>926</v>
      </c>
      <c r="G18" s="75">
        <v>45698</v>
      </c>
      <c r="H18" s="74">
        <v>250</v>
      </c>
    </row>
    <row r="19" spans="2:8">
      <c r="B19" s="71" t="s">
        <v>927</v>
      </c>
      <c r="C19" s="75">
        <v>45596</v>
      </c>
      <c r="D19" s="74">
        <v>100</v>
      </c>
      <c r="F19" s="108" t="s">
        <v>926</v>
      </c>
      <c r="G19" s="75"/>
      <c r="H19" s="74">
        <v>250</v>
      </c>
    </row>
    <row r="20" spans="2:8">
      <c r="B20" s="71" t="s">
        <v>927</v>
      </c>
      <c r="C20" s="75">
        <v>45596</v>
      </c>
      <c r="D20" s="74">
        <v>900</v>
      </c>
      <c r="G20" s="75"/>
      <c r="H20" s="74"/>
    </row>
    <row r="21" spans="2:8">
      <c r="B21" s="71" t="s">
        <v>929</v>
      </c>
      <c r="C21" s="75">
        <v>45596</v>
      </c>
      <c r="D21" s="74">
        <v>300</v>
      </c>
      <c r="G21" s="75"/>
      <c r="H21" s="74"/>
    </row>
    <row r="22" spans="2:8">
      <c r="B22" s="71" t="s">
        <v>927</v>
      </c>
      <c r="C22" s="75">
        <v>45610</v>
      </c>
      <c r="D22" s="74">
        <v>500</v>
      </c>
      <c r="F22" s="111"/>
      <c r="G22" s="75"/>
      <c r="H22" s="74"/>
    </row>
    <row r="23" spans="2:8">
      <c r="B23" s="71" t="s">
        <v>930</v>
      </c>
      <c r="C23" s="75">
        <v>45610</v>
      </c>
      <c r="D23" s="74">
        <v>155.19999999999999</v>
      </c>
      <c r="G23" s="75"/>
      <c r="H23" s="74"/>
    </row>
    <row r="24" spans="2:8">
      <c r="B24" s="71" t="s">
        <v>931</v>
      </c>
      <c r="C24" s="75">
        <v>45610</v>
      </c>
      <c r="D24" s="74">
        <v>50</v>
      </c>
      <c r="G24" s="75"/>
      <c r="H24" s="74"/>
    </row>
    <row r="25" spans="2:8">
      <c r="B25" s="71" t="s">
        <v>927</v>
      </c>
      <c r="C25" s="75">
        <v>45617</v>
      </c>
      <c r="D25" s="74">
        <v>350</v>
      </c>
      <c r="G25" s="75"/>
      <c r="H25" s="74"/>
    </row>
    <row r="26" spans="2:8">
      <c r="B26" s="71" t="s">
        <v>927</v>
      </c>
      <c r="C26" s="75">
        <v>45642</v>
      </c>
      <c r="D26" s="74">
        <v>384.24</v>
      </c>
      <c r="G26" s="75"/>
      <c r="H26" s="74"/>
    </row>
    <row r="27" spans="2:8">
      <c r="B27" s="71" t="s">
        <v>927</v>
      </c>
      <c r="C27" s="75">
        <v>45734</v>
      </c>
      <c r="D27" s="74">
        <v>500</v>
      </c>
    </row>
  </sheetData>
  <mergeCells count="4">
    <mergeCell ref="B2:D2"/>
    <mergeCell ref="B3:D4"/>
    <mergeCell ref="F2:H2"/>
    <mergeCell ref="F3:H4"/>
  </mergeCells>
  <conditionalFormatting sqref="D10">
    <cfRule type="containsText" dxfId="3" priority="3" operator="containsText" text="FALSO">
      <formula>NOT(ISERROR(SEARCH("FALSO",D10)))</formula>
    </cfRule>
    <cfRule type="containsText" dxfId="2" priority="4" operator="containsText" text="VERDADEIRO">
      <formula>NOT(ISERROR(SEARCH("VERDADEIRO",D10)))</formula>
    </cfRule>
  </conditionalFormatting>
  <conditionalFormatting sqref="H10">
    <cfRule type="containsText" dxfId="1" priority="1" operator="containsText" text="FALSO">
      <formula>NOT(ISERROR(SEARCH("FALSO",H10)))</formula>
    </cfRule>
    <cfRule type="containsText" dxfId="0" priority="2" operator="containsText" text="VERDADEIRO">
      <formula>NOT(ISERROR(SEARCH("VERDADEIRO",H10)))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0EDB-9EE4-4FB8-9CF9-872061124C34}">
  <sheetPr>
    <tabColor rgb="FF00B050"/>
  </sheetPr>
  <dimension ref="A1:U42"/>
  <sheetViews>
    <sheetView topLeftCell="B1" zoomScale="70" zoomScaleNormal="70" workbookViewId="0">
      <selection activeCell="R27" sqref="R27"/>
    </sheetView>
  </sheetViews>
  <sheetFormatPr defaultRowHeight="15"/>
  <cols>
    <col min="1" max="1" width="6.28515625" style="5" bestFit="1" customWidth="1"/>
    <col min="2" max="2" width="9.28515625" style="5" customWidth="1"/>
    <col min="3" max="3" width="15.140625" customWidth="1"/>
    <col min="4" max="4" width="15" customWidth="1"/>
    <col min="5" max="5" width="14.28515625" bestFit="1" customWidth="1"/>
    <col min="6" max="6" width="16.5703125" customWidth="1"/>
    <col min="7" max="7" width="20" bestFit="1" customWidth="1"/>
    <col min="8" max="8" width="18.85546875" bestFit="1" customWidth="1"/>
    <col min="9" max="9" width="14.85546875" bestFit="1" customWidth="1"/>
    <col min="10" max="10" width="19.42578125" customWidth="1"/>
    <col min="11" max="11" width="15.42578125" bestFit="1" customWidth="1"/>
    <col min="12" max="12" width="25.42578125" bestFit="1" customWidth="1"/>
    <col min="13" max="13" width="20" bestFit="1" customWidth="1"/>
    <col min="14" max="15" width="14.28515625" style="95" bestFit="1" customWidth="1"/>
    <col min="16" max="16" width="15" bestFit="1" customWidth="1"/>
    <col min="17" max="17" width="12" bestFit="1" customWidth="1"/>
    <col min="18" max="18" width="11.140625" bestFit="1" customWidth="1"/>
    <col min="19" max="19" width="13.140625" bestFit="1" customWidth="1"/>
    <col min="21" max="21" width="12" bestFit="1" customWidth="1"/>
  </cols>
  <sheetData>
    <row r="1" spans="1:21">
      <c r="B1"/>
      <c r="E1" s="29">
        <f t="shared" ref="E1:M1" si="0">SUM(E3:E5)</f>
        <v>0</v>
      </c>
      <c r="F1" s="51">
        <f t="shared" si="0"/>
        <v>0</v>
      </c>
      <c r="G1" s="29">
        <f t="shared" si="0"/>
        <v>0</v>
      </c>
      <c r="H1" s="51">
        <f t="shared" si="0"/>
        <v>0</v>
      </c>
      <c r="I1" s="51">
        <f t="shared" si="0"/>
        <v>0</v>
      </c>
      <c r="J1" s="51">
        <f t="shared" si="0"/>
        <v>0</v>
      </c>
      <c r="K1" s="51">
        <f t="shared" si="0"/>
        <v>0</v>
      </c>
      <c r="L1" s="29">
        <f t="shared" si="0"/>
        <v>0</v>
      </c>
      <c r="M1" s="29">
        <f t="shared" si="0"/>
        <v>0</v>
      </c>
    </row>
    <row r="2" spans="1:21">
      <c r="B2"/>
      <c r="E2" s="38" t="s">
        <v>932</v>
      </c>
      <c r="F2" s="38" t="s">
        <v>811</v>
      </c>
      <c r="G2" s="38" t="s">
        <v>933</v>
      </c>
      <c r="H2" s="38" t="s">
        <v>934</v>
      </c>
      <c r="I2" s="38" t="s">
        <v>935</v>
      </c>
      <c r="J2" s="38" t="s">
        <v>936</v>
      </c>
      <c r="K2" s="38" t="s">
        <v>937</v>
      </c>
      <c r="L2" s="40" t="s">
        <v>938</v>
      </c>
      <c r="M2" s="38" t="s">
        <v>814</v>
      </c>
    </row>
    <row r="3" spans="1:21">
      <c r="B3"/>
      <c r="D3" s="39" t="s">
        <v>939</v>
      </c>
      <c r="E3" s="41" cm="1">
        <f t="array" ref="E3">SUM(SUMIFS('Banco de Dados'!$S$2:$S$2123,'Banco de Dados'!$AG$2:$AG$2123,$D3,'Banco de Dados'!$A$2:$A$2123,{"BV";"MEI"}))</f>
        <v>0</v>
      </c>
      <c r="F3" s="44" cm="1">
        <f t="array" ref="F3">SUM(SUMIFS('Banco de Dados'!$T$2:$T$2123,'Banco de Dados'!$AG$2:$AG$2123,$D3,'Banco de Dados'!$A$2:$A$2123,{"BV";"MEI"})+SUMIFS('Banco de Dados'!$AM$2:$AM$2123,'Banco de Dados'!$AG$2:$AG$2123,$D3,'Banco de Dados'!$A$2:$A$2123,{"BV";"MEI"}))</f>
        <v>0</v>
      </c>
      <c r="G3" s="41">
        <f>E3-F3</f>
        <v>0</v>
      </c>
      <c r="H3" s="43" cm="1">
        <f t="array" ref="H3">SUM(SUMIFS('Banco de Dados'!$V$2:$V$2123,'Banco de Dados'!$AG$2:$AG$2123,$D3,'Banco de Dados'!$A$2:$A$2123,{"bv";"mei"}))</f>
        <v>0</v>
      </c>
      <c r="I3" s="43" cm="1">
        <f t="array" ref="I3">SUM(SUMIFS('Banco de Dados'!$W$2:$W$2123,'Banco de Dados'!$AG$2:$AG$2123,$D3,'Banco de Dados'!$A$2:$A$2123,{"bv";"mei"}))</f>
        <v>0</v>
      </c>
      <c r="J3" s="43" cm="1">
        <f t="array" ref="J3">SUM(SUMIFS('Banco de Dados'!$X$2:$X$2123,'Banco de Dados'!$AG$2:$AG$2123,$D3,'Banco de Dados'!$A$2:$A$2123,{"bv";"mei"}))</f>
        <v>0</v>
      </c>
      <c r="K3" s="44" cm="1">
        <f t="array" ref="K3">SUM(SUMIFS('Banco de Dados'!$AQ$2:$AQ$2123,'Banco de Dados'!$AG$2:$AG$2123,$D3,'Banco de Dados'!$A$2:$A$2123,{"bv";"mei"})-SUMIFS('Banco de Dados'!$AM$2:$AM$2123,'Banco de Dados'!$AG$2:$AG$2123,$D3,'Banco de Dados'!$A$2:$A$2123,{"bv";"mei"}))</f>
        <v>0</v>
      </c>
      <c r="L3" s="42">
        <f>G3-SUM(H3:K3)</f>
        <v>0</v>
      </c>
      <c r="M3" s="42">
        <f>L3/2</f>
        <v>0</v>
      </c>
      <c r="P3" s="13"/>
    </row>
    <row r="4" spans="1:21">
      <c r="B4"/>
      <c r="D4" s="39" t="s">
        <v>940</v>
      </c>
      <c r="E4" s="41" cm="1">
        <f t="array" ref="E4">SUM(SUMIFS('Banco de Dados'!$S$2:$S$2123,'Banco de Dados'!$AG$2:$AG$2123,$D4,'Banco de Dados'!$A$2:$A$2123,{"BV";"MEI"}))</f>
        <v>0</v>
      </c>
      <c r="F4" s="44" cm="1">
        <f t="array" ref="F4">SUM(SUMIFS('Banco de Dados'!$T$2:$T$2123,'Banco de Dados'!$AG$2:$AG$2123,$D4,'Banco de Dados'!$A$2:$A$2123,{"BV";"MEI"})+SUMIFS('Banco de Dados'!$AM$2:$AM$2123,'Banco de Dados'!$AG$2:$AG$2123,$D4,'Banco de Dados'!$A$2:$A$2123,{"BV";"MEI"}))</f>
        <v>0</v>
      </c>
      <c r="G4" s="41">
        <f>E4-F4</f>
        <v>0</v>
      </c>
      <c r="H4" s="43" cm="1">
        <f t="array" ref="H4">SUM(SUMIFS('Banco de Dados'!$V$2:$V$2123,'Banco de Dados'!$AG$2:$AG$2123,$D4,'Banco de Dados'!$A$2:$A$2123,{"bv";"mei"}))</f>
        <v>0</v>
      </c>
      <c r="I4" s="43" cm="1">
        <f t="array" ref="I4">SUM(SUMIFS('Banco de Dados'!$W$2:$W$2123,'Banco de Dados'!$AG$2:$AG$2123,$D4,'Banco de Dados'!$A$2:$A$2123,{"bv";"mei"}))</f>
        <v>0</v>
      </c>
      <c r="J4" s="43" cm="1">
        <f t="array" ref="J4">SUM(SUMIFS('Banco de Dados'!$X$2:$X$2123,'Banco de Dados'!$AG$2:$AG$2123,$D4,'Banco de Dados'!$A$2:$A$2123,{"bv";"mei"}))</f>
        <v>0</v>
      </c>
      <c r="K4" s="44" cm="1">
        <f t="array" ref="K4">SUM(SUMIFS('Banco de Dados'!$AQ$2:$AQ$2123,'Banco de Dados'!$AG$2:$AG$2123,$D4,'Banco de Dados'!$A$2:$A$2123,{"bv";"mei"})-SUMIFS('Banco de Dados'!$AM$2:$AM$2123,'Banco de Dados'!$AG$2:$AG$2123,$D4,'Banco de Dados'!$A$2:$A$2123,{"bv";"mei"}))</f>
        <v>0</v>
      </c>
      <c r="L4" s="42">
        <f t="shared" ref="L4" si="1">G4-SUM(H4:K4)</f>
        <v>0</v>
      </c>
      <c r="M4" s="42">
        <f t="shared" ref="M4:M5" si="2">L4/2</f>
        <v>0</v>
      </c>
      <c r="P4" s="13"/>
    </row>
    <row r="5" spans="1:21">
      <c r="B5"/>
      <c r="D5" s="39" t="s">
        <v>941</v>
      </c>
      <c r="E5" s="41" cm="1">
        <f t="array" ref="E5">SUM(SUMIFS('Banco de Dados'!$S$2:$S$2123,'Banco de Dados'!$AG$2:$AG$2123,$D5,'Banco de Dados'!$A$2:$A$2123,{"BV";"MEI"}))</f>
        <v>0</v>
      </c>
      <c r="F5" s="44" cm="1">
        <f t="array" ref="F5">SUM(SUMIFS('Banco de Dados'!$T$2:$T$2123,'Banco de Dados'!$AG$2:$AG$2123,$D5,'Banco de Dados'!$A$2:$A$2123,{"BV";"MEI"})+SUMIFS('Banco de Dados'!$AM$2:$AM$2123,'Banco de Dados'!$AG$2:$AG$2123,$D5,'Banco de Dados'!$A$2:$A$2123,{"BV";"MEI"}))</f>
        <v>0</v>
      </c>
      <c r="G5" s="41">
        <f>E5-F5</f>
        <v>0</v>
      </c>
      <c r="H5" s="43" cm="1">
        <f t="array" ref="H5">SUM(SUMIFS('Banco de Dados'!$V$2:$V$2123,'Banco de Dados'!$AG$2:$AG$2123,$D5,'Banco de Dados'!$A$2:$A$2123,{"bv";"mei"}))</f>
        <v>0</v>
      </c>
      <c r="I5" s="43" cm="1">
        <f t="array" ref="I5">SUM(SUMIFS('Banco de Dados'!$W$2:$W$2123,'Banco de Dados'!$AG$2:$AG$2123,$D5,'Banco de Dados'!$A$2:$A$2123,{"bv";"mei"}))</f>
        <v>0</v>
      </c>
      <c r="J5" s="43" cm="1">
        <f t="array" ref="J5">SUM(SUMIFS('Banco de Dados'!$X$2:$X$2123,'Banco de Dados'!$AG$2:$AG$2123,$D5,'Banco de Dados'!$A$2:$A$2123,{"bv";"mei"}))</f>
        <v>0</v>
      </c>
      <c r="K5" s="44" cm="1">
        <f t="array" ref="K5">SUM(SUMIFS('Banco de Dados'!$AQ$2:$AQ$2123,'Banco de Dados'!$AG$2:$AG$2123,$D5,'Banco de Dados'!$A$2:$A$2123,{"bv";"mei"})-SUMIFS('Banco de Dados'!$AM$2:$AM$2123,'Banco de Dados'!$AG$2:$AG$2123,$D5,'Banco de Dados'!$A$2:$A$2123,{"bv";"mei"}))</f>
        <v>0</v>
      </c>
      <c r="L5" s="42">
        <f>G5-SUM(H5:K5)</f>
        <v>0</v>
      </c>
      <c r="M5" s="42">
        <f t="shared" si="2"/>
        <v>0</v>
      </c>
      <c r="P5" s="13"/>
    </row>
    <row r="6" spans="1:21">
      <c r="B6"/>
      <c r="G6" s="29"/>
      <c r="N6" s="209" t="s">
        <v>942</v>
      </c>
      <c r="O6" s="210"/>
      <c r="P6" s="210"/>
      <c r="Q6" s="210"/>
      <c r="R6" s="210"/>
      <c r="S6" s="210"/>
      <c r="T6" s="210"/>
      <c r="U6" s="211"/>
    </row>
    <row r="7" spans="1:21" ht="63">
      <c r="B7" s="22" t="s">
        <v>943</v>
      </c>
      <c r="C7" s="23" t="s">
        <v>944</v>
      </c>
      <c r="D7" s="23" t="s">
        <v>945</v>
      </c>
      <c r="E7" s="24" t="s">
        <v>946</v>
      </c>
      <c r="F7" s="22" t="s">
        <v>947</v>
      </c>
      <c r="G7" s="22" t="s">
        <v>948</v>
      </c>
      <c r="H7" s="26" t="s">
        <v>949</v>
      </c>
      <c r="J7" s="30" t="s">
        <v>950</v>
      </c>
      <c r="K7" t="s">
        <v>951</v>
      </c>
      <c r="N7" s="156"/>
      <c r="O7" s="22" t="s">
        <v>943</v>
      </c>
      <c r="P7" s="157" t="s">
        <v>944</v>
      </c>
      <c r="Q7" s="157" t="s">
        <v>945</v>
      </c>
      <c r="R7" s="24" t="s">
        <v>946</v>
      </c>
      <c r="S7" s="22" t="s">
        <v>947</v>
      </c>
      <c r="T7" s="22" t="s">
        <v>948</v>
      </c>
      <c r="U7" s="158" t="s">
        <v>949</v>
      </c>
    </row>
    <row r="8" spans="1:21">
      <c r="A8" s="5" t="s">
        <v>36</v>
      </c>
      <c r="B8" s="25">
        <v>45889</v>
      </c>
      <c r="C8" s="48">
        <v>34.229999999999997</v>
      </c>
      <c r="D8" s="48">
        <v>0</v>
      </c>
      <c r="E8" s="48">
        <v>0</v>
      </c>
      <c r="F8" s="48">
        <v>24.86</v>
      </c>
      <c r="G8" s="48">
        <v>0</v>
      </c>
      <c r="H8" s="212">
        <f>SUM(C8:G17)</f>
        <v>157.00000000000003</v>
      </c>
      <c r="J8" s="49">
        <f>SUM(I38:L38)+SUM(H4:K4)</f>
        <v>1559.8041663926085</v>
      </c>
      <c r="K8" s="29">
        <v>0</v>
      </c>
      <c r="L8" s="29">
        <f>J8-K8</f>
        <v>1559.8041663926085</v>
      </c>
      <c r="M8" s="29"/>
      <c r="N8" s="156" t="s">
        <v>36</v>
      </c>
      <c r="O8" s="25">
        <v>45873</v>
      </c>
      <c r="P8" s="47">
        <v>320.38</v>
      </c>
      <c r="Q8" s="47">
        <v>386.05</v>
      </c>
      <c r="R8" s="47">
        <v>0</v>
      </c>
      <c r="S8" s="47">
        <v>69.069999999999993</v>
      </c>
      <c r="T8" s="47">
        <v>325.07</v>
      </c>
      <c r="U8" s="224">
        <f>SUM(P8:T17)</f>
        <v>4465.74</v>
      </c>
    </row>
    <row r="9" spans="1:21">
      <c r="A9" s="5" t="s">
        <v>36</v>
      </c>
      <c r="B9" s="25">
        <v>45902</v>
      </c>
      <c r="C9" s="48">
        <v>0</v>
      </c>
      <c r="D9" s="48">
        <v>72.42</v>
      </c>
      <c r="E9" s="48">
        <v>0</v>
      </c>
      <c r="F9" s="48">
        <v>0</v>
      </c>
      <c r="G9" s="48">
        <v>0</v>
      </c>
      <c r="H9" s="212"/>
      <c r="K9" s="29"/>
      <c r="L9" s="29"/>
      <c r="M9" s="29"/>
      <c r="N9" s="156"/>
      <c r="O9" s="25">
        <v>45875</v>
      </c>
      <c r="P9" s="47">
        <v>203.28</v>
      </c>
      <c r="Q9" s="47">
        <v>455.84</v>
      </c>
      <c r="R9" s="47">
        <v>0</v>
      </c>
      <c r="S9" s="47">
        <v>0</v>
      </c>
      <c r="T9" s="47">
        <v>212.87</v>
      </c>
      <c r="U9" s="225"/>
    </row>
    <row r="10" spans="1:21">
      <c r="A10" s="5" t="s">
        <v>36</v>
      </c>
      <c r="B10" s="25">
        <v>45915</v>
      </c>
      <c r="C10" s="48">
        <v>0</v>
      </c>
      <c r="D10" s="48">
        <v>45.74</v>
      </c>
      <c r="E10" s="48">
        <v>0</v>
      </c>
      <c r="F10" s="48">
        <v>0</v>
      </c>
      <c r="G10" s="48">
        <v>31.67</v>
      </c>
      <c r="H10" s="212"/>
      <c r="K10" s="29"/>
      <c r="L10" s="29"/>
      <c r="M10" s="29"/>
      <c r="N10" s="156"/>
      <c r="O10" s="25">
        <v>45887</v>
      </c>
      <c r="P10" s="47">
        <v>586.86</v>
      </c>
      <c r="Q10" s="47">
        <v>1202.04</v>
      </c>
      <c r="R10" s="47">
        <v>50.16</v>
      </c>
      <c r="S10" s="47">
        <v>0</v>
      </c>
      <c r="T10" s="47">
        <v>654.12</v>
      </c>
      <c r="U10" s="225"/>
    </row>
    <row r="11" spans="1:21">
      <c r="B11" s="25">
        <v>45882</v>
      </c>
      <c r="C11" s="48">
        <v>0</v>
      </c>
      <c r="D11" s="48">
        <v>-48.82</v>
      </c>
      <c r="E11" s="48">
        <v>0</v>
      </c>
      <c r="F11" s="48">
        <v>0</v>
      </c>
      <c r="G11" s="48">
        <v>0</v>
      </c>
      <c r="H11" s="212"/>
      <c r="K11" s="29"/>
      <c r="L11" s="29"/>
      <c r="M11" s="29"/>
      <c r="N11" s="156"/>
      <c r="O11" s="25"/>
      <c r="P11" s="47"/>
      <c r="Q11" s="47"/>
      <c r="R11" s="47"/>
      <c r="S11" s="47"/>
      <c r="T11" s="47"/>
      <c r="U11" s="225"/>
    </row>
    <row r="12" spans="1:21">
      <c r="B12" s="25">
        <v>45887</v>
      </c>
      <c r="C12" s="48">
        <v>0</v>
      </c>
      <c r="D12" s="48">
        <v>0</v>
      </c>
      <c r="E12" s="48">
        <v>0</v>
      </c>
      <c r="F12" s="48">
        <v>-3.1</v>
      </c>
      <c r="G12" s="48">
        <v>0</v>
      </c>
      <c r="H12" s="212"/>
      <c r="K12" s="29"/>
      <c r="L12" s="29"/>
      <c r="M12" s="29"/>
      <c r="N12" s="156"/>
      <c r="O12" s="25"/>
      <c r="P12" s="47"/>
      <c r="Q12" s="47"/>
      <c r="R12" s="47"/>
      <c r="S12" s="47"/>
      <c r="T12" s="47"/>
      <c r="U12" s="225"/>
    </row>
    <row r="13" spans="1:21">
      <c r="B13" s="25"/>
      <c r="C13" s="48"/>
      <c r="D13" s="48"/>
      <c r="E13" s="48"/>
      <c r="F13" s="48"/>
      <c r="G13" s="48"/>
      <c r="H13" s="212"/>
      <c r="N13" s="156"/>
      <c r="O13" s="25"/>
      <c r="P13" s="47"/>
      <c r="Q13" s="47"/>
      <c r="R13" s="47"/>
      <c r="S13" s="47"/>
      <c r="T13" s="47"/>
      <c r="U13" s="225"/>
    </row>
    <row r="14" spans="1:21">
      <c r="B14" s="25"/>
      <c r="C14" s="48"/>
      <c r="D14" s="48"/>
      <c r="E14" s="48"/>
      <c r="F14" s="48"/>
      <c r="G14" s="48"/>
      <c r="H14" s="212"/>
      <c r="N14" s="156"/>
      <c r="O14" s="25"/>
      <c r="P14" s="47"/>
      <c r="Q14" s="47"/>
      <c r="R14" s="47"/>
      <c r="S14" s="47"/>
      <c r="T14" s="47"/>
      <c r="U14" s="225"/>
    </row>
    <row r="15" spans="1:21">
      <c r="B15" s="25"/>
      <c r="C15" s="48"/>
      <c r="D15" s="48"/>
      <c r="E15" s="48"/>
      <c r="F15" s="48"/>
      <c r="G15" s="48"/>
      <c r="H15" s="212"/>
      <c r="N15" s="156"/>
      <c r="O15" s="25"/>
      <c r="P15" s="47"/>
      <c r="Q15" s="47"/>
      <c r="R15" s="47"/>
      <c r="S15" s="47"/>
      <c r="T15" s="47"/>
      <c r="U15" s="225"/>
    </row>
    <row r="16" spans="1:21">
      <c r="B16" s="25"/>
      <c r="C16" s="48"/>
      <c r="D16" s="48"/>
      <c r="E16" s="48"/>
      <c r="F16" s="48"/>
      <c r="G16" s="48"/>
      <c r="H16" s="212"/>
      <c r="N16" s="159"/>
      <c r="O16" s="160"/>
      <c r="P16" s="163"/>
      <c r="Q16" s="163"/>
      <c r="R16" s="163"/>
      <c r="S16" s="163"/>
      <c r="T16" s="163"/>
      <c r="U16" s="226"/>
    </row>
    <row r="17" spans="1:16">
      <c r="B17"/>
      <c r="G17" s="29"/>
    </row>
    <row r="18" spans="1:16">
      <c r="F18" s="34">
        <f t="shared" ref="F18:N18" si="3">E3-F19</f>
        <v>-63536.560000000209</v>
      </c>
      <c r="G18" s="34">
        <f t="shared" si="3"/>
        <v>-8276.4299999999948</v>
      </c>
      <c r="H18" s="34">
        <f t="shared" si="3"/>
        <v>-55260.130000000216</v>
      </c>
      <c r="I18" s="34">
        <f t="shared" si="3"/>
        <v>-24182.959999999919</v>
      </c>
      <c r="J18" s="34">
        <f t="shared" si="3"/>
        <v>-409.53999999999922</v>
      </c>
      <c r="K18" s="34">
        <f t="shared" si="3"/>
        <v>-456.93037954866173</v>
      </c>
      <c r="L18" s="34">
        <f t="shared" si="3"/>
        <v>-1660.2824557323681</v>
      </c>
      <c r="M18" s="34">
        <f t="shared" si="3"/>
        <v>-28958.697164719095</v>
      </c>
      <c r="N18" s="134">
        <f t="shared" si="3"/>
        <v>-14479.334824554619</v>
      </c>
      <c r="O18" s="134">
        <f>M3-O19</f>
        <v>-14479.334824554619</v>
      </c>
    </row>
    <row r="19" spans="1:16">
      <c r="D19" s="29">
        <f>SUM(D21:D37)</f>
        <v>-183.59000000019586</v>
      </c>
      <c r="F19" s="37">
        <f>SUM(F21:F41)</f>
        <v>63536.560000000209</v>
      </c>
      <c r="G19" s="37">
        <f t="shared" ref="G19:O19" si="4">SUM(G21:G41)</f>
        <v>8276.4299999999948</v>
      </c>
      <c r="H19" s="37">
        <f t="shared" si="4"/>
        <v>55260.130000000216</v>
      </c>
      <c r="I19" s="37">
        <f t="shared" si="4"/>
        <v>24182.959999999919</v>
      </c>
      <c r="J19" s="37">
        <f t="shared" si="4"/>
        <v>409.53999999999922</v>
      </c>
      <c r="K19" s="37">
        <f t="shared" si="4"/>
        <v>456.93037954866173</v>
      </c>
      <c r="L19" s="37">
        <f t="shared" si="4"/>
        <v>1660.2824557323681</v>
      </c>
      <c r="M19" s="37">
        <f t="shared" si="4"/>
        <v>28958.697164719095</v>
      </c>
      <c r="N19" s="37">
        <f t="shared" si="4"/>
        <v>14479.334824554619</v>
      </c>
      <c r="O19" s="37">
        <f t="shared" si="4"/>
        <v>14479.334824554619</v>
      </c>
      <c r="P19" s="37">
        <f t="shared" ref="P19" si="5">SUM(P21:P39)</f>
        <v>14428.572981120278</v>
      </c>
    </row>
    <row r="20" spans="1:16">
      <c r="C20" s="45" t="s">
        <v>952</v>
      </c>
      <c r="D20" s="45" t="s">
        <v>922</v>
      </c>
      <c r="E20" s="45" t="s">
        <v>161</v>
      </c>
      <c r="F20" s="31" t="s">
        <v>932</v>
      </c>
      <c r="G20" s="31" t="s">
        <v>811</v>
      </c>
      <c r="H20" s="27" t="s">
        <v>933</v>
      </c>
      <c r="I20" s="32" t="s">
        <v>934</v>
      </c>
      <c r="J20" s="32" t="s">
        <v>935</v>
      </c>
      <c r="K20" s="32" t="s">
        <v>936</v>
      </c>
      <c r="L20" s="32" t="s">
        <v>937</v>
      </c>
      <c r="M20" s="31" t="s">
        <v>953</v>
      </c>
      <c r="N20" s="33" t="s">
        <v>45</v>
      </c>
      <c r="O20" s="33" t="s">
        <v>954</v>
      </c>
      <c r="P20" t="s">
        <v>955</v>
      </c>
    </row>
    <row r="21" spans="1:16">
      <c r="A21" s="227">
        <v>2024</v>
      </c>
      <c r="B21" s="221" t="s">
        <v>956</v>
      </c>
      <c r="C21" s="112">
        <v>1989.73</v>
      </c>
      <c r="D21" s="112">
        <v>-26.400000000000091</v>
      </c>
      <c r="E21" s="113">
        <v>45618</v>
      </c>
      <c r="F21" s="112">
        <v>2530.5999999999972</v>
      </c>
      <c r="G21" s="112">
        <v>324.12000000000018</v>
      </c>
      <c r="H21" s="112">
        <v>1963.33</v>
      </c>
      <c r="I21" s="112">
        <v>768.67</v>
      </c>
      <c r="J21" s="112">
        <v>48.35</v>
      </c>
      <c r="K21" s="112">
        <v>26.52</v>
      </c>
      <c r="L21" s="112">
        <v>42.25</v>
      </c>
      <c r="M21" s="112">
        <v>1077.54</v>
      </c>
      <c r="N21" s="135">
        <v>538.77</v>
      </c>
      <c r="O21" s="135">
        <v>538.77</v>
      </c>
      <c r="P21" s="216">
        <v>1002.46</v>
      </c>
    </row>
    <row r="22" spans="1:16">
      <c r="A22" s="228"/>
      <c r="B22" s="222"/>
      <c r="C22" s="47">
        <v>1455.82</v>
      </c>
      <c r="D22" s="47">
        <v>26.400000000000091</v>
      </c>
      <c r="E22" s="4">
        <v>45625</v>
      </c>
      <c r="F22" s="47">
        <v>1839.2900000000006</v>
      </c>
      <c r="G22" s="47">
        <v>245.52999999999997</v>
      </c>
      <c r="H22" s="47">
        <v>1482.22</v>
      </c>
      <c r="I22" s="47">
        <v>485.6800000000004</v>
      </c>
      <c r="J22" s="47">
        <v>30.8</v>
      </c>
      <c r="K22" s="47">
        <v>26.13</v>
      </c>
      <c r="L22" s="47">
        <v>12.25</v>
      </c>
      <c r="M22" s="47">
        <v>927.35999999999967</v>
      </c>
      <c r="N22" s="136">
        <v>463.68</v>
      </c>
      <c r="O22" s="136">
        <v>463.69</v>
      </c>
      <c r="P22" s="217"/>
    </row>
    <row r="23" spans="1:16">
      <c r="A23" s="228"/>
      <c r="B23" s="213" t="s">
        <v>957</v>
      </c>
      <c r="C23" s="114">
        <v>3722.11</v>
      </c>
      <c r="D23" s="114">
        <v>-9.999999997944542E-3</v>
      </c>
      <c r="E23" s="115">
        <v>45640</v>
      </c>
      <c r="F23" s="114">
        <v>4600.08</v>
      </c>
      <c r="G23" s="114">
        <v>594.40999999999985</v>
      </c>
      <c r="H23" s="114">
        <v>3722.1000000000022</v>
      </c>
      <c r="I23" s="114">
        <v>998.72</v>
      </c>
      <c r="J23" s="114">
        <v>48.75</v>
      </c>
      <c r="K23" s="114">
        <v>105.38</v>
      </c>
      <c r="L23" s="114">
        <v>25.01</v>
      </c>
      <c r="M23" s="114">
        <v>2544.2400000000025</v>
      </c>
      <c r="N23" s="137">
        <v>1272.1199999999999</v>
      </c>
      <c r="O23" s="137">
        <v>1272.1099999999999</v>
      </c>
      <c r="P23" s="218">
        <v>2776.54</v>
      </c>
    </row>
    <row r="24" spans="1:16">
      <c r="A24" s="229"/>
      <c r="B24" s="223"/>
      <c r="C24" s="116">
        <v>4179.17</v>
      </c>
      <c r="D24" s="116">
        <v>1.0000000000218279E-2</v>
      </c>
      <c r="E24" s="117">
        <v>45656</v>
      </c>
      <c r="F24" s="116">
        <v>5443.77</v>
      </c>
      <c r="G24" s="116">
        <v>647.41</v>
      </c>
      <c r="H24" s="116">
        <v>4179.18</v>
      </c>
      <c r="I24" s="116">
        <v>1109.889999999996</v>
      </c>
      <c r="J24" s="116">
        <v>28.14</v>
      </c>
      <c r="K24" s="116">
        <v>15.32</v>
      </c>
      <c r="L24" s="116">
        <v>16.97999999999999</v>
      </c>
      <c r="M24" s="116">
        <v>3008.85</v>
      </c>
      <c r="N24" s="138">
        <v>1504.42</v>
      </c>
      <c r="O24" s="138">
        <v>1504.43</v>
      </c>
      <c r="P24" s="219"/>
    </row>
    <row r="25" spans="1:16">
      <c r="A25" s="221">
        <v>2025</v>
      </c>
      <c r="B25" s="222" t="s">
        <v>958</v>
      </c>
      <c r="C25" s="48">
        <v>2187.7800000000002</v>
      </c>
      <c r="D25" s="48">
        <v>0</v>
      </c>
      <c r="E25" s="35">
        <v>45673</v>
      </c>
      <c r="F25" s="48">
        <v>3064.8799999999783</v>
      </c>
      <c r="G25" s="48">
        <v>364.59999999999411</v>
      </c>
      <c r="H25" s="48">
        <v>2187.7800000000002</v>
      </c>
      <c r="I25" s="48">
        <v>838.44999999999322</v>
      </c>
      <c r="J25" s="48">
        <v>11.776077540106742</v>
      </c>
      <c r="K25" s="48">
        <v>11.336948318292853</v>
      </c>
      <c r="L25" s="48">
        <v>-43.739999999999995</v>
      </c>
      <c r="M25" s="48">
        <v>1369.9569741416076</v>
      </c>
      <c r="N25" s="139">
        <v>684.98</v>
      </c>
      <c r="O25" s="139">
        <v>684.98</v>
      </c>
      <c r="P25" s="220">
        <v>2311.79</v>
      </c>
    </row>
    <row r="26" spans="1:16">
      <c r="A26" s="222"/>
      <c r="B26" s="222"/>
      <c r="C26" s="167">
        <v>5277.89</v>
      </c>
      <c r="D26" s="167">
        <v>-4.0299999999760985</v>
      </c>
      <c r="E26" s="36">
        <v>45694</v>
      </c>
      <c r="F26" s="167">
        <v>4302.8399999999947</v>
      </c>
      <c r="G26" s="167">
        <v>788.85999999999922</v>
      </c>
      <c r="H26" s="167">
        <v>5281.9199999999764</v>
      </c>
      <c r="I26" s="167">
        <v>1835.8200000000008</v>
      </c>
      <c r="J26" s="167">
        <v>26.283922459893184</v>
      </c>
      <c r="K26" s="167">
        <v>46.806892934039965</v>
      </c>
      <c r="L26" s="167">
        <v>115.36070777049181</v>
      </c>
      <c r="M26" s="48">
        <v>3253.6184768355743</v>
      </c>
      <c r="N26" s="41">
        <v>1626.81</v>
      </c>
      <c r="O26" s="41">
        <v>1626.81</v>
      </c>
      <c r="P26" s="220"/>
    </row>
    <row r="27" spans="1:16">
      <c r="A27" s="222"/>
      <c r="B27" s="213" t="s">
        <v>959</v>
      </c>
      <c r="C27" s="169">
        <v>2708.7500000000005</v>
      </c>
      <c r="D27" s="50">
        <v>61.089999999961037</v>
      </c>
      <c r="E27" s="121">
        <v>45703</v>
      </c>
      <c r="F27" s="166">
        <v>5481.2000000000453</v>
      </c>
      <c r="G27" s="166">
        <v>730.76000000000704</v>
      </c>
      <c r="H27" s="166">
        <v>4750.4400000000387</v>
      </c>
      <c r="I27" s="166">
        <v>1728.5599999999918</v>
      </c>
      <c r="J27" s="166">
        <v>23.989999999999942</v>
      </c>
      <c r="K27" s="166">
        <v>24.622866331681987</v>
      </c>
      <c r="L27" s="166">
        <v>42.028464059288027</v>
      </c>
      <c r="M27" s="114">
        <v>2992.3286696090381</v>
      </c>
      <c r="N27" s="50">
        <v>1496.16</v>
      </c>
      <c r="O27" s="50">
        <v>1496.15</v>
      </c>
      <c r="P27" s="214">
        <v>2386.21</v>
      </c>
    </row>
    <row r="28" spans="1:16">
      <c r="A28" s="222"/>
      <c r="B28" s="213"/>
      <c r="C28" s="169">
        <v>2708.7500000000005</v>
      </c>
      <c r="D28" s="50">
        <v>56.789999999861266</v>
      </c>
      <c r="E28" s="121">
        <v>45721</v>
      </c>
      <c r="F28" s="166">
        <v>3046.9400000001428</v>
      </c>
      <c r="G28" s="166">
        <v>394.98000000000064</v>
      </c>
      <c r="H28" s="166">
        <v>2651.9600000001392</v>
      </c>
      <c r="I28" s="166">
        <v>832.42999999999279</v>
      </c>
      <c r="J28" s="166">
        <v>12.029999999999916</v>
      </c>
      <c r="K28" s="166">
        <v>10.42081363051034</v>
      </c>
      <c r="L28" s="166">
        <v>73.742147840749368</v>
      </c>
      <c r="M28" s="114">
        <v>1780.127038528748</v>
      </c>
      <c r="N28" s="50">
        <v>890.06</v>
      </c>
      <c r="O28" s="50">
        <v>890.06</v>
      </c>
      <c r="P28" s="214"/>
    </row>
    <row r="29" spans="1:16">
      <c r="A29" s="222"/>
      <c r="B29" s="222" t="s">
        <v>960</v>
      </c>
      <c r="C29" s="168">
        <v>2595.9299999999998</v>
      </c>
      <c r="D29" s="48">
        <v>25.399999999916417</v>
      </c>
      <c r="E29" s="36">
        <v>45730</v>
      </c>
      <c r="F29" s="164">
        <v>2954.8700000000808</v>
      </c>
      <c r="G29" s="164">
        <v>384.34000000000117</v>
      </c>
      <c r="H29" s="164">
        <v>2570.5300000000834</v>
      </c>
      <c r="I29" s="164">
        <v>1190.5799999999927</v>
      </c>
      <c r="J29" s="164">
        <v>14.649999999999917</v>
      </c>
      <c r="K29" s="164">
        <v>10.570525476831033</v>
      </c>
      <c r="L29" s="164">
        <v>56.346967880935487</v>
      </c>
      <c r="M29" s="48">
        <v>1323.7825066422408</v>
      </c>
      <c r="N29" s="164">
        <v>661.89125332112042</v>
      </c>
      <c r="O29" s="164">
        <v>661.89125332112042</v>
      </c>
      <c r="P29" s="215">
        <v>1819.4312533211205</v>
      </c>
    </row>
    <row r="30" spans="1:16">
      <c r="A30" s="222"/>
      <c r="B30" s="222"/>
      <c r="C30" s="168">
        <v>3702.7200000000003</v>
      </c>
      <c r="D30" s="167">
        <v>-20.100000000055388</v>
      </c>
      <c r="E30" s="4">
        <v>45747</v>
      </c>
      <c r="F30" s="164">
        <v>4231.79</v>
      </c>
      <c r="G30" s="164">
        <v>508.96999999999991</v>
      </c>
      <c r="H30" s="164">
        <v>3722.8200000000556</v>
      </c>
      <c r="I30" s="164">
        <v>1291.04</v>
      </c>
      <c r="J30" s="164">
        <v>19.259999999999408</v>
      </c>
      <c r="K30" s="164">
        <v>13.507985772027443</v>
      </c>
      <c r="L30" s="164">
        <v>83.925657733143339</v>
      </c>
      <c r="M30" s="164">
        <v>2315.0863564948854</v>
      </c>
      <c r="N30" s="164">
        <v>1157.54</v>
      </c>
      <c r="O30" s="164">
        <v>1157.54</v>
      </c>
      <c r="P30" s="215"/>
    </row>
    <row r="31" spans="1:16">
      <c r="A31" s="222"/>
      <c r="B31" s="213" t="s">
        <v>961</v>
      </c>
      <c r="C31" s="169">
        <v>4553.45</v>
      </c>
      <c r="D31" s="50">
        <v>-91.160000000004402</v>
      </c>
      <c r="E31" s="121">
        <v>45763</v>
      </c>
      <c r="F31" s="166">
        <v>5113.8699999999953</v>
      </c>
      <c r="G31" s="166">
        <v>651.57999999998981</v>
      </c>
      <c r="H31" s="166">
        <v>4462.2899999999954</v>
      </c>
      <c r="I31" s="166">
        <v>1773.43</v>
      </c>
      <c r="J31" s="166">
        <v>48.78</v>
      </c>
      <c r="K31" s="166">
        <v>36.189236457412619</v>
      </c>
      <c r="L31" s="166">
        <v>157.24112077796232</v>
      </c>
      <c r="M31" s="114">
        <v>2537.8096427646251</v>
      </c>
      <c r="N31" s="50">
        <v>1268.9048213823125</v>
      </c>
      <c r="O31" s="50">
        <v>1268.9048213823125</v>
      </c>
      <c r="P31" s="214">
        <v>1877.9100225118236</v>
      </c>
    </row>
    <row r="32" spans="1:16">
      <c r="A32" s="222"/>
      <c r="B32" s="213"/>
      <c r="C32" s="169">
        <v>2582.9900000000002</v>
      </c>
      <c r="D32" s="50">
        <v>-53.98999999990474</v>
      </c>
      <c r="E32" s="121">
        <v>45813</v>
      </c>
      <c r="F32" s="166">
        <v>3019.0199999999413</v>
      </c>
      <c r="G32" s="166">
        <v>382.04</v>
      </c>
      <c r="H32" s="166">
        <v>2636.979999999905</v>
      </c>
      <c r="I32" s="166">
        <v>1267.2799999999802</v>
      </c>
      <c r="J32" s="166">
        <v>27.769999999999413</v>
      </c>
      <c r="K32" s="166">
        <v>23.147572037203936</v>
      </c>
      <c r="L32" s="166">
        <v>46.782025703794375</v>
      </c>
      <c r="M32" s="114">
        <v>1218.0104022590222</v>
      </c>
      <c r="N32" s="114">
        <v>609.00520112951108</v>
      </c>
      <c r="O32" s="114">
        <v>609.00520112951108</v>
      </c>
      <c r="P32" s="214"/>
    </row>
    <row r="33" spans="1:16">
      <c r="A33" s="222"/>
      <c r="B33" s="222" t="s">
        <v>962</v>
      </c>
      <c r="C33" s="168">
        <v>3224.8199999999997</v>
      </c>
      <c r="D33" s="167">
        <v>-55.279999999977008</v>
      </c>
      <c r="E33" s="4">
        <v>45793</v>
      </c>
      <c r="F33" s="164">
        <v>3737.8699999999881</v>
      </c>
      <c r="G33" s="164">
        <v>457.76999999999953</v>
      </c>
      <c r="H33" s="164">
        <v>3280.0999999999767</v>
      </c>
      <c r="I33" s="164">
        <v>1638.9999999999964</v>
      </c>
      <c r="J33" s="164">
        <v>26.56000000000023</v>
      </c>
      <c r="K33" s="164">
        <v>26.977102486902766</v>
      </c>
      <c r="L33" s="164">
        <v>49.928617628738039</v>
      </c>
      <c r="M33" s="164">
        <v>1482.3542798843623</v>
      </c>
      <c r="N33" s="164">
        <v>741.17713994218116</v>
      </c>
      <c r="O33" s="164">
        <v>741.17713994218116</v>
      </c>
      <c r="P33" s="215">
        <v>1112.4286775770129</v>
      </c>
    </row>
    <row r="34" spans="1:16">
      <c r="A34" s="222"/>
      <c r="B34" s="222"/>
      <c r="C34" s="168">
        <v>2488.2199999999998</v>
      </c>
      <c r="D34" s="167">
        <v>-11.749999999994088</v>
      </c>
      <c r="E34" s="4">
        <v>45810</v>
      </c>
      <c r="F34" s="164">
        <v>2840.8399999999892</v>
      </c>
      <c r="G34" s="164">
        <v>340.8700000000008</v>
      </c>
      <c r="H34" s="164">
        <v>2499.9699999999939</v>
      </c>
      <c r="I34" s="164">
        <v>1408.5099999999948</v>
      </c>
      <c r="J34" s="164">
        <v>16.390000000000271</v>
      </c>
      <c r="K34" s="164">
        <v>20.870187044786746</v>
      </c>
      <c r="L34" s="164">
        <v>311.69673768554867</v>
      </c>
      <c r="M34" s="164">
        <v>742.50307526966344</v>
      </c>
      <c r="N34" s="164">
        <v>371.25153763483172</v>
      </c>
      <c r="O34" s="164">
        <v>371.25153763483172</v>
      </c>
      <c r="P34" s="215"/>
    </row>
    <row r="35" spans="1:16">
      <c r="A35" s="222"/>
      <c r="B35" s="213" t="s">
        <v>963</v>
      </c>
      <c r="C35" s="169">
        <v>2410.0100000000002</v>
      </c>
      <c r="D35" s="50">
        <v>-19.949999999992087</v>
      </c>
      <c r="E35" s="121">
        <v>45824</v>
      </c>
      <c r="F35" s="166">
        <v>2763.7699999999973</v>
      </c>
      <c r="G35" s="166">
        <v>333.81000000000029</v>
      </c>
      <c r="H35" s="166">
        <v>2429.9599999999923</v>
      </c>
      <c r="I35" s="166">
        <v>1296.6700000000028</v>
      </c>
      <c r="J35" s="166">
        <v>10.069999999999993</v>
      </c>
      <c r="K35" s="166">
        <v>186.79821967865487</v>
      </c>
      <c r="L35" s="166">
        <v>405.87113877793513</v>
      </c>
      <c r="M35" s="114">
        <v>510.60064154340739</v>
      </c>
      <c r="N35" s="50">
        <v>255.3003207717037</v>
      </c>
      <c r="O35" s="50">
        <v>255.3003207717037</v>
      </c>
      <c r="P35" s="214">
        <f>SUM(O35:O36)</f>
        <v>352.29113787375275</v>
      </c>
    </row>
    <row r="36" spans="1:16">
      <c r="A36" s="222"/>
      <c r="B36" s="213"/>
      <c r="C36" s="169">
        <v>548.41</v>
      </c>
      <c r="D36" s="50">
        <v>-372.18999999999994</v>
      </c>
      <c r="E36" s="121">
        <v>45838</v>
      </c>
      <c r="F36" s="166">
        <v>1045.0899999999999</v>
      </c>
      <c r="G36" s="166">
        <v>124.49000000000002</v>
      </c>
      <c r="H36" s="166">
        <v>920.59999999999991</v>
      </c>
      <c r="I36" s="166">
        <v>519.44000000000005</v>
      </c>
      <c r="J36" s="166">
        <v>9.01</v>
      </c>
      <c r="K36" s="166">
        <v>-161.43300082483429</v>
      </c>
      <c r="L36" s="166">
        <v>-12.588633379263911</v>
      </c>
      <c r="M36" s="114">
        <v>193.9816342040981</v>
      </c>
      <c r="N36" s="50">
        <v>96.99081710204905</v>
      </c>
      <c r="O36" s="50">
        <v>96.99081710204905</v>
      </c>
      <c r="P36" s="214"/>
    </row>
    <row r="37" spans="1:16">
      <c r="A37" s="222"/>
      <c r="B37" s="230" t="s">
        <v>964</v>
      </c>
      <c r="C37" s="168">
        <v>375.22999999999996</v>
      </c>
      <c r="D37" s="167">
        <v>301.5799999999669</v>
      </c>
      <c r="E37" s="4">
        <v>45853</v>
      </c>
      <c r="F37" s="164">
        <v>182.26000000003512</v>
      </c>
      <c r="G37" s="164">
        <v>108.61000000000115</v>
      </c>
      <c r="H37" s="164">
        <v>73.65000000003306</v>
      </c>
      <c r="I37" s="164">
        <v>198.74000000000223</v>
      </c>
      <c r="J37" s="164">
        <v>2.0000000000002025</v>
      </c>
      <c r="K37" s="164">
        <v>8.562156976744042</v>
      </c>
      <c r="L37" s="164">
        <v>159.67546836932456</v>
      </c>
      <c r="M37" s="164">
        <v>6.2523746539289391</v>
      </c>
      <c r="N37" s="164">
        <v>3.1261873269644695</v>
      </c>
      <c r="O37" s="164">
        <v>3.1261873269644695</v>
      </c>
      <c r="P37" s="215">
        <f>SUM(O37:O38)</f>
        <v>267.8141041306601</v>
      </c>
    </row>
    <row r="38" spans="1:16">
      <c r="A38" s="222"/>
      <c r="B38" s="230"/>
      <c r="C38" s="168">
        <v>2089.1799999999998</v>
      </c>
      <c r="D38" s="167">
        <v>-130.90000000000327</v>
      </c>
      <c r="E38" s="4">
        <v>45870</v>
      </c>
      <c r="F38" s="164">
        <v>2535.279999999997</v>
      </c>
      <c r="G38" s="164">
        <v>315.19999999999942</v>
      </c>
      <c r="H38" s="164">
        <v>2220.0800000000031</v>
      </c>
      <c r="I38" s="164">
        <v>1442.3400000000001</v>
      </c>
      <c r="J38" s="164">
        <v>4.9299999999999766</v>
      </c>
      <c r="K38" s="164">
        <v>20.572131508887392</v>
      </c>
      <c r="L38" s="164">
        <v>91.962034883720833</v>
      </c>
      <c r="M38" s="164">
        <v>529.37583360739131</v>
      </c>
      <c r="N38" s="42">
        <v>264.68791680369566</v>
      </c>
      <c r="O38" s="42">
        <v>264.68791680369566</v>
      </c>
      <c r="P38" s="215"/>
    </row>
    <row r="39" spans="1:16">
      <c r="A39" s="222"/>
      <c r="B39" s="213" t="s">
        <v>965</v>
      </c>
      <c r="C39" s="169">
        <v>4465.74</v>
      </c>
      <c r="D39" s="50">
        <v>429.00999999997384</v>
      </c>
      <c r="E39" s="121">
        <v>45888</v>
      </c>
      <c r="F39" s="166">
        <v>4589.2300000000232</v>
      </c>
      <c r="G39" s="166">
        <v>552.50000000000114</v>
      </c>
      <c r="H39" s="166">
        <v>4036.7300000000259</v>
      </c>
      <c r="I39" s="166">
        <v>3416.5799999999781</v>
      </c>
      <c r="J39" s="166">
        <v>0</v>
      </c>
      <c r="K39" s="166">
        <v>3.0356575444359319</v>
      </c>
      <c r="L39" s="166">
        <v>25.559999999999938</v>
      </c>
      <c r="M39" s="114">
        <v>1020.564342455586</v>
      </c>
      <c r="N39" s="50">
        <v>510.28217122779301</v>
      </c>
      <c r="O39" s="50">
        <v>510.28217122779301</v>
      </c>
      <c r="P39" s="214">
        <f>SUM(O39:O40)</f>
        <v>521.69778570590745</v>
      </c>
    </row>
    <row r="40" spans="1:16">
      <c r="A40" s="222"/>
      <c r="B40" s="213"/>
      <c r="C40" s="169">
        <v>59.089999999999996</v>
      </c>
      <c r="D40" s="50">
        <v>-50.99</v>
      </c>
      <c r="E40" s="121">
        <v>45901</v>
      </c>
      <c r="F40" s="166">
        <v>125.1</v>
      </c>
      <c r="G40" s="166">
        <v>15.020000000000001</v>
      </c>
      <c r="H40" s="166">
        <v>110.08</v>
      </c>
      <c r="I40" s="166">
        <v>86.85</v>
      </c>
      <c r="J40" s="166">
        <v>0</v>
      </c>
      <c r="K40" s="166">
        <v>0.39877104377104378</v>
      </c>
      <c r="L40" s="166">
        <v>0</v>
      </c>
      <c r="M40" s="114">
        <v>22.831228956228955</v>
      </c>
      <c r="N40" s="50">
        <v>11.415614478114477</v>
      </c>
      <c r="O40" s="50">
        <v>11.415614478114477</v>
      </c>
      <c r="P40" s="214"/>
    </row>
    <row r="41" spans="1:16">
      <c r="A41" s="222"/>
      <c r="B41" s="222" t="s">
        <v>966</v>
      </c>
      <c r="C41" s="168">
        <v>157.00000000000003</v>
      </c>
      <c r="D41" s="167">
        <v>-79.590000000000032</v>
      </c>
      <c r="E41" s="4">
        <v>45915</v>
      </c>
      <c r="F41" s="164">
        <v>87.97</v>
      </c>
      <c r="G41" s="164">
        <v>10.56</v>
      </c>
      <c r="H41" s="164">
        <v>77.41</v>
      </c>
      <c r="I41" s="164">
        <v>54.28</v>
      </c>
      <c r="J41" s="164">
        <v>0</v>
      </c>
      <c r="K41" s="164">
        <v>1.1963131313131314</v>
      </c>
      <c r="L41" s="164">
        <v>0</v>
      </c>
      <c r="M41" s="164">
        <v>101.52368686868689</v>
      </c>
      <c r="N41" s="42">
        <v>50.761843434343447</v>
      </c>
      <c r="O41" s="42">
        <v>50.761843434343447</v>
      </c>
      <c r="P41" s="215">
        <f>SUM(O41:O42)</f>
        <v>50.761843434343447</v>
      </c>
    </row>
    <row r="42" spans="1:16">
      <c r="A42" s="222"/>
      <c r="B42" s="222"/>
      <c r="P42" s="215"/>
    </row>
  </sheetData>
  <mergeCells count="27">
    <mergeCell ref="B41:B42"/>
    <mergeCell ref="A25:A42"/>
    <mergeCell ref="P41:P42"/>
    <mergeCell ref="P37:P38"/>
    <mergeCell ref="U8:U16"/>
    <mergeCell ref="A21:A24"/>
    <mergeCell ref="P39:P40"/>
    <mergeCell ref="B39:B40"/>
    <mergeCell ref="B35:B36"/>
    <mergeCell ref="P35:P36"/>
    <mergeCell ref="P33:P34"/>
    <mergeCell ref="B33:B34"/>
    <mergeCell ref="B37:B38"/>
    <mergeCell ref="N6:U6"/>
    <mergeCell ref="H8:H16"/>
    <mergeCell ref="B31:B32"/>
    <mergeCell ref="P31:P32"/>
    <mergeCell ref="P29:P30"/>
    <mergeCell ref="P21:P22"/>
    <mergeCell ref="P23:P24"/>
    <mergeCell ref="P25:P26"/>
    <mergeCell ref="B21:B22"/>
    <mergeCell ref="B23:B24"/>
    <mergeCell ref="B25:B26"/>
    <mergeCell ref="B27:B28"/>
    <mergeCell ref="P27:P28"/>
    <mergeCell ref="B29:B3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F390-18D4-4C20-875A-1DE2A6912479}">
  <dimension ref="A1:J10"/>
  <sheetViews>
    <sheetView workbookViewId="0">
      <selection activeCell="D27" sqref="D27"/>
    </sheetView>
  </sheetViews>
  <sheetFormatPr defaultColWidth="9.140625" defaultRowHeight="15"/>
  <cols>
    <col min="1" max="1" width="22.85546875" style="13" bestFit="1" customWidth="1"/>
    <col min="2" max="2" width="20" style="13" bestFit="1" customWidth="1"/>
    <col min="3" max="3" width="20.85546875" style="13" bestFit="1" customWidth="1"/>
    <col min="4" max="4" width="23.7109375" style="13" bestFit="1" customWidth="1"/>
    <col min="5" max="5" width="21.7109375" style="13" bestFit="1" customWidth="1"/>
    <col min="6" max="6" width="13.140625" style="13" bestFit="1" customWidth="1"/>
    <col min="7" max="7" width="15.42578125" style="13" bestFit="1" customWidth="1"/>
    <col min="8" max="8" width="24.42578125" style="13" bestFit="1" customWidth="1"/>
    <col min="9" max="9" width="21.140625" style="13" bestFit="1" customWidth="1"/>
    <col min="10" max="10" width="20.85546875" style="13" bestFit="1" customWidth="1"/>
    <col min="11" max="11" width="12" style="13" bestFit="1" customWidth="1"/>
    <col min="12" max="16384" width="9.140625" style="13"/>
  </cols>
  <sheetData>
    <row r="1" spans="1:10">
      <c r="A1"/>
      <c r="B1"/>
    </row>
    <row r="2" spans="1:10">
      <c r="A2" s="69" t="s">
        <v>1</v>
      </c>
      <c r="B2" t="s">
        <v>113</v>
      </c>
    </row>
    <row r="3" spans="1:10">
      <c r="A3"/>
      <c r="B3"/>
      <c r="C3"/>
      <c r="D3"/>
      <c r="E3"/>
      <c r="F3"/>
      <c r="G3"/>
      <c r="H3"/>
      <c r="I3"/>
      <c r="J3"/>
    </row>
    <row r="4" spans="1:10">
      <c r="A4" s="69" t="s">
        <v>176</v>
      </c>
      <c r="B4" s="103" t="s">
        <v>967</v>
      </c>
      <c r="C4" s="103" t="s">
        <v>968</v>
      </c>
      <c r="D4" s="103" t="s">
        <v>969</v>
      </c>
      <c r="E4" s="103" t="s">
        <v>970</v>
      </c>
      <c r="F4" s="110" t="s">
        <v>971</v>
      </c>
      <c r="G4" s="110" t="s">
        <v>972</v>
      </c>
      <c r="H4"/>
      <c r="I4"/>
      <c r="J4"/>
    </row>
    <row r="5" spans="1:10">
      <c r="A5" s="52" t="s">
        <v>973</v>
      </c>
      <c r="B5" s="102">
        <v>8017.8999999999778</v>
      </c>
      <c r="C5" s="102">
        <v>123.70000000000027</v>
      </c>
      <c r="D5" s="102">
        <v>206.56340067339966</v>
      </c>
      <c r="E5" s="21">
        <v>0</v>
      </c>
      <c r="F5" s="102">
        <v>11292.576599326594</v>
      </c>
      <c r="G5" s="102">
        <v>5646.288299663297</v>
      </c>
      <c r="H5"/>
      <c r="I5"/>
      <c r="J5"/>
    </row>
    <row r="6" spans="1:10">
      <c r="A6" s="52" t="s">
        <v>0</v>
      </c>
      <c r="B6" s="102">
        <v>8017.8999999999778</v>
      </c>
      <c r="C6" s="102">
        <v>123.70000000000027</v>
      </c>
      <c r="D6" s="102">
        <v>206.56340067339966</v>
      </c>
      <c r="E6" s="21">
        <v>0</v>
      </c>
      <c r="F6" s="102">
        <v>11292.576599326594</v>
      </c>
      <c r="G6" s="102">
        <v>5646.288299663297</v>
      </c>
      <c r="H6"/>
      <c r="I6"/>
      <c r="J6"/>
    </row>
    <row r="7" spans="1:10">
      <c r="A7"/>
      <c r="B7"/>
      <c r="C7"/>
      <c r="D7"/>
      <c r="E7"/>
      <c r="F7"/>
      <c r="G7"/>
      <c r="H7"/>
      <c r="I7"/>
      <c r="J7"/>
    </row>
    <row r="8" spans="1:10">
      <c r="A8"/>
      <c r="B8"/>
      <c r="C8"/>
      <c r="D8"/>
      <c r="E8"/>
      <c r="F8"/>
      <c r="G8"/>
      <c r="H8"/>
      <c r="I8"/>
      <c r="J8"/>
    </row>
    <row r="9" spans="1:10">
      <c r="A9"/>
      <c r="B9"/>
      <c r="C9"/>
      <c r="D9"/>
      <c r="E9"/>
      <c r="F9"/>
      <c r="G9"/>
      <c r="H9"/>
      <c r="I9"/>
      <c r="J9"/>
    </row>
    <row r="10" spans="1:10">
      <c r="A10"/>
      <c r="B10"/>
      <c r="C10"/>
      <c r="D10"/>
      <c r="E10"/>
      <c r="F10"/>
      <c r="G10"/>
      <c r="H10"/>
      <c r="I10"/>
      <c r="J10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C0D2-674A-4399-BD38-C7C785769214}">
  <dimension ref="A3:E6"/>
  <sheetViews>
    <sheetView workbookViewId="0">
      <selection activeCell="D5" sqref="D5"/>
    </sheetView>
  </sheetViews>
  <sheetFormatPr defaultRowHeight="15"/>
  <cols>
    <col min="1" max="1" width="25.7109375" bestFit="1" customWidth="1"/>
    <col min="2" max="2" width="20.140625" bestFit="1" customWidth="1"/>
    <col min="3" max="3" width="4" bestFit="1" customWidth="1"/>
    <col min="4" max="4" width="4.28515625" bestFit="1" customWidth="1"/>
    <col min="5" max="5" width="10.7109375" bestFit="1" customWidth="1"/>
  </cols>
  <sheetData>
    <row r="3" spans="1:5">
      <c r="A3" s="69" t="s">
        <v>974</v>
      </c>
      <c r="B3" s="69" t="s">
        <v>175</v>
      </c>
    </row>
    <row r="4" spans="1:5">
      <c r="A4" s="69" t="s">
        <v>176</v>
      </c>
      <c r="B4" t="s">
        <v>36</v>
      </c>
      <c r="C4" t="s">
        <v>108</v>
      </c>
      <c r="D4" t="s">
        <v>113</v>
      </c>
      <c r="E4" t="s">
        <v>0</v>
      </c>
    </row>
    <row r="5" spans="1:5">
      <c r="A5" s="52" t="s">
        <v>37</v>
      </c>
      <c r="B5">
        <v>1395</v>
      </c>
      <c r="C5">
        <v>164</v>
      </c>
      <c r="D5">
        <v>563</v>
      </c>
      <c r="E5">
        <v>2122</v>
      </c>
    </row>
    <row r="6" spans="1:5">
      <c r="A6" s="52" t="s">
        <v>0</v>
      </c>
      <c r="B6">
        <v>1395</v>
      </c>
      <c r="C6">
        <v>164</v>
      </c>
      <c r="D6">
        <v>563</v>
      </c>
      <c r="E6">
        <v>2122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86CE-0F63-4E4E-B5C0-3F094708E5D4}">
  <sheetPr codeName="Planilha10">
    <tabColor rgb="FF92D050"/>
  </sheetPr>
  <dimension ref="A1:N230"/>
  <sheetViews>
    <sheetView showGridLines="0" topLeftCell="B1" zoomScale="85" zoomScaleNormal="85" workbookViewId="0">
      <selection activeCell="M24" sqref="M24"/>
    </sheetView>
  </sheetViews>
  <sheetFormatPr defaultColWidth="9.140625" defaultRowHeight="15"/>
  <cols>
    <col min="1" max="1" width="4.28515625" style="18" customWidth="1"/>
    <col min="2" max="2" width="29.28515625" style="5" customWidth="1"/>
    <col min="3" max="3" width="15.140625" style="5" customWidth="1"/>
    <col min="4" max="7" width="13" style="11" customWidth="1"/>
    <col min="8" max="8" width="21.140625" style="5" bestFit="1" customWidth="1"/>
    <col min="9" max="9" width="24.28515625" style="5" bestFit="1" customWidth="1"/>
    <col min="10" max="10" width="20.85546875" style="11" bestFit="1" customWidth="1"/>
    <col min="11" max="11" width="9.140625" style="5"/>
    <col min="12" max="12" width="4.7109375" style="5" bestFit="1" customWidth="1"/>
    <col min="13" max="14" width="12.85546875" style="5" customWidth="1"/>
    <col min="15" max="16384" width="9.140625" style="5"/>
  </cols>
  <sheetData>
    <row r="1" spans="1:14">
      <c r="A1" s="19">
        <v>15</v>
      </c>
      <c r="B1" s="5" t="s">
        <v>26</v>
      </c>
      <c r="C1" s="15"/>
      <c r="I1" s="11"/>
      <c r="J1" s="20"/>
      <c r="L1" s="11"/>
    </row>
    <row r="2" spans="1:14">
      <c r="A2" s="5"/>
      <c r="B2"/>
      <c r="C2"/>
      <c r="D2" s="5"/>
      <c r="E2" s="5"/>
      <c r="F2" s="5"/>
      <c r="G2" s="5"/>
      <c r="I2"/>
      <c r="J2"/>
      <c r="L2" s="11"/>
    </row>
    <row r="3" spans="1:14">
      <c r="B3" s="231" t="s">
        <v>24</v>
      </c>
      <c r="C3" s="222" t="s">
        <v>975</v>
      </c>
      <c r="D3"/>
      <c r="E3"/>
      <c r="F3"/>
      <c r="G3"/>
      <c r="I3" s="232"/>
      <c r="J3" s="232"/>
    </row>
    <row r="4" spans="1:14">
      <c r="A4" s="5"/>
      <c r="D4" s="5"/>
      <c r="E4" s="5"/>
      <c r="F4" s="5"/>
      <c r="G4" s="5"/>
      <c r="J4" s="5"/>
      <c r="M4" s="106" t="s">
        <v>976</v>
      </c>
      <c r="N4" s="106" t="s">
        <v>108</v>
      </c>
    </row>
    <row r="5" spans="1:14">
      <c r="B5" s="165" t="s">
        <v>22</v>
      </c>
      <c r="C5" s="165" t="s">
        <v>1</v>
      </c>
      <c r="D5" s="17" t="s">
        <v>967</v>
      </c>
      <c r="E5" s="17" t="s">
        <v>968</v>
      </c>
      <c r="F5" s="17" t="s">
        <v>969</v>
      </c>
      <c r="G5" s="5" t="s">
        <v>970</v>
      </c>
      <c r="H5" s="33" t="s">
        <v>971</v>
      </c>
      <c r="I5" s="33" t="s">
        <v>972</v>
      </c>
      <c r="J5"/>
      <c r="K5"/>
      <c r="L5" s="107" t="s">
        <v>977</v>
      </c>
      <c r="M5" s="105" cm="1">
        <f t="array" ref="M5">SUM(SUMIFS(J:J,A:A,1,C:C,{"BV";"MEI"}))</f>
        <v>0</v>
      </c>
      <c r="N5" s="105">
        <f>SUMIFS(J:J,A:A,1,C:C,"GO")</f>
        <v>0</v>
      </c>
    </row>
    <row r="6" spans="1:14">
      <c r="A6" s="18">
        <f>IFERROR(IF(B6&gt;0,IF(VALUE(TEXT(B6,"dd"))&lt;=$A$1,1,2),""),"")</f>
        <v>1</v>
      </c>
      <c r="B6" s="4">
        <v>45932</v>
      </c>
      <c r="C6" s="5" t="s">
        <v>108</v>
      </c>
      <c r="D6" s="11">
        <v>25.03</v>
      </c>
      <c r="E6" s="11">
        <v>0</v>
      </c>
      <c r="F6" s="11">
        <v>0.39877104377104378</v>
      </c>
      <c r="G6" s="11">
        <v>0</v>
      </c>
      <c r="H6" s="11">
        <v>8.8812289562289557</v>
      </c>
      <c r="I6" s="11">
        <v>8.8812289562289557</v>
      </c>
      <c r="J6"/>
      <c r="K6"/>
      <c r="L6" s="107" t="s">
        <v>978</v>
      </c>
      <c r="M6" s="105" cm="1">
        <f t="array" ref="M6">SUM(SUMIFS(J:J,A:A,2,C:C,{"BV";"MEI"}))</f>
        <v>0</v>
      </c>
      <c r="N6" s="105">
        <f>SUMIFS(J:J,A:A,2,C:C,"GO")</f>
        <v>0</v>
      </c>
    </row>
    <row r="7" spans="1:14">
      <c r="A7" s="18">
        <f t="shared" ref="A7:A65" si="0">IFERROR(IF(B7&gt;0,IF(VALUE(TEXT(B7,"dd"))&lt;=$A$1,1,2),""),"")</f>
        <v>1</v>
      </c>
      <c r="B7" s="4">
        <v>45932</v>
      </c>
      <c r="C7" s="5" t="s">
        <v>113</v>
      </c>
      <c r="D7" s="11">
        <v>0</v>
      </c>
      <c r="E7" s="11">
        <v>0</v>
      </c>
      <c r="F7" s="11">
        <v>0.39877104377104378</v>
      </c>
      <c r="G7" s="11">
        <v>0</v>
      </c>
      <c r="H7" s="11">
        <v>44.471228956228956</v>
      </c>
      <c r="I7" s="11">
        <v>22.235614478114478</v>
      </c>
      <c r="J7"/>
      <c r="K7"/>
      <c r="L7" s="5" t="s">
        <v>979</v>
      </c>
      <c r="M7" s="168">
        <f>SUM(M5:M6)</f>
        <v>0</v>
      </c>
      <c r="N7" s="168">
        <f>SUM(N5:N6)</f>
        <v>0</v>
      </c>
    </row>
    <row r="8" spans="1:14">
      <c r="A8" s="18">
        <f t="shared" si="0"/>
        <v>1</v>
      </c>
      <c r="B8" s="4">
        <v>45939</v>
      </c>
      <c r="C8" s="5" t="s">
        <v>113</v>
      </c>
      <c r="D8" s="11">
        <v>40.28</v>
      </c>
      <c r="E8" s="11">
        <v>0</v>
      </c>
      <c r="F8" s="11">
        <v>0.79754208754208755</v>
      </c>
      <c r="G8" s="11">
        <v>0</v>
      </c>
      <c r="H8" s="11">
        <v>46.472457912457912</v>
      </c>
      <c r="I8" s="11">
        <v>23.236228956228956</v>
      </c>
      <c r="J8"/>
      <c r="K8"/>
      <c r="M8" s="168">
        <f>2000-M7</f>
        <v>2000</v>
      </c>
    </row>
    <row r="9" spans="1:14">
      <c r="A9" s="18">
        <f t="shared" si="0"/>
        <v>1</v>
      </c>
      <c r="B9" s="4">
        <v>45940</v>
      </c>
      <c r="C9" s="5" t="s">
        <v>108</v>
      </c>
      <c r="D9" s="11">
        <v>19.989999999999998</v>
      </c>
      <c r="E9" s="11">
        <v>0</v>
      </c>
      <c r="F9" s="11">
        <v>0.39877104377104378</v>
      </c>
      <c r="G9" s="11">
        <v>0</v>
      </c>
      <c r="H9" s="11">
        <v>7.7612289562289547</v>
      </c>
      <c r="I9" s="11">
        <v>7.7612289562289547</v>
      </c>
      <c r="J9"/>
      <c r="K9"/>
    </row>
    <row r="10" spans="1:14">
      <c r="A10" s="18">
        <f t="shared" si="0"/>
        <v>1</v>
      </c>
      <c r="B10" s="4">
        <v>45945</v>
      </c>
      <c r="C10" s="5" t="s">
        <v>108</v>
      </c>
      <c r="D10" s="11">
        <v>19.989999999999998</v>
      </c>
      <c r="E10" s="11">
        <v>0</v>
      </c>
      <c r="F10" s="11">
        <v>0.39877104377104378</v>
      </c>
      <c r="G10" s="11">
        <v>0</v>
      </c>
      <c r="H10" s="11">
        <v>7.7612289562289547</v>
      </c>
      <c r="I10" s="11">
        <v>7.7612289562289547</v>
      </c>
      <c r="J10"/>
      <c r="K10"/>
    </row>
    <row r="11" spans="1:14">
      <c r="A11" s="18">
        <f t="shared" si="0"/>
        <v>2</v>
      </c>
      <c r="B11" s="4">
        <v>45946</v>
      </c>
      <c r="C11" s="5" t="s">
        <v>108</v>
      </c>
      <c r="D11" s="11">
        <v>65.64</v>
      </c>
      <c r="E11" s="11">
        <v>0</v>
      </c>
      <c r="F11" s="11">
        <v>0.79754208754208755</v>
      </c>
      <c r="G11" s="11">
        <v>0</v>
      </c>
      <c r="H11" s="11">
        <v>10.102457912457908</v>
      </c>
      <c r="I11" s="11">
        <v>10.102457912457908</v>
      </c>
      <c r="J11"/>
      <c r="K11"/>
    </row>
    <row r="12" spans="1:14">
      <c r="A12" s="18">
        <f t="shared" si="0"/>
        <v>2</v>
      </c>
      <c r="B12" s="4">
        <v>45947</v>
      </c>
      <c r="C12" s="5" t="s">
        <v>108</v>
      </c>
      <c r="D12" s="11">
        <v>19.989999999999998</v>
      </c>
      <c r="E12" s="11">
        <v>0</v>
      </c>
      <c r="F12" s="11">
        <v>0.39877104377104378</v>
      </c>
      <c r="G12" s="11">
        <v>0</v>
      </c>
      <c r="H12" s="11">
        <v>7.7612289562289547</v>
      </c>
      <c r="I12" s="11">
        <v>7.7612289562289547</v>
      </c>
      <c r="J12"/>
      <c r="K12"/>
    </row>
    <row r="13" spans="1:14">
      <c r="A13" s="18">
        <f t="shared" si="0"/>
        <v>2</v>
      </c>
      <c r="B13" s="4">
        <v>45947</v>
      </c>
      <c r="C13" s="5" t="s">
        <v>113</v>
      </c>
      <c r="D13" s="11">
        <v>25.27</v>
      </c>
      <c r="E13" s="11">
        <v>0</v>
      </c>
      <c r="F13" s="11">
        <v>0.39877104377104378</v>
      </c>
      <c r="G13" s="11">
        <v>0</v>
      </c>
      <c r="H13" s="11">
        <v>19.201228956228952</v>
      </c>
      <c r="I13" s="11">
        <v>9.6006144781144762</v>
      </c>
      <c r="J13"/>
      <c r="K13"/>
    </row>
    <row r="14" spans="1:14">
      <c r="A14" s="18">
        <f t="shared" si="0"/>
        <v>2</v>
      </c>
      <c r="B14" s="4">
        <v>45952</v>
      </c>
      <c r="C14" s="5" t="s">
        <v>113</v>
      </c>
      <c r="D14" s="11">
        <v>0</v>
      </c>
      <c r="E14" s="11">
        <v>0</v>
      </c>
      <c r="F14" s="11">
        <v>0</v>
      </c>
      <c r="G14" s="11">
        <v>0</v>
      </c>
      <c r="H14" s="11">
        <v>44.87</v>
      </c>
      <c r="I14" s="11">
        <v>22.434999999999999</v>
      </c>
      <c r="J14"/>
      <c r="K14"/>
    </row>
    <row r="15" spans="1:14">
      <c r="A15" s="18">
        <f t="shared" si="0"/>
        <v>2</v>
      </c>
      <c r="B15" s="4">
        <v>45953</v>
      </c>
      <c r="C15" s="5" t="s">
        <v>113</v>
      </c>
      <c r="D15" s="11">
        <v>22.71</v>
      </c>
      <c r="E15" s="11">
        <v>0</v>
      </c>
      <c r="F15" s="11">
        <v>0.39877104377104378</v>
      </c>
      <c r="G15" s="11">
        <v>0</v>
      </c>
      <c r="H15" s="11">
        <v>21.761228956228951</v>
      </c>
      <c r="I15" s="11">
        <v>10.880614478114476</v>
      </c>
      <c r="J15"/>
      <c r="K15"/>
      <c r="N15" s="5" t="s">
        <v>159</v>
      </c>
    </row>
    <row r="16" spans="1:14">
      <c r="A16" s="18">
        <f t="shared" si="0"/>
        <v>2</v>
      </c>
      <c r="B16" s="4">
        <v>45954</v>
      </c>
      <c r="C16" s="5" t="s">
        <v>108</v>
      </c>
      <c r="D16" s="11">
        <v>39.94</v>
      </c>
      <c r="E16" s="11">
        <v>0</v>
      </c>
      <c r="F16" s="11">
        <v>0.79754208754208755</v>
      </c>
      <c r="G16" s="11">
        <v>0</v>
      </c>
      <c r="H16" s="11">
        <v>15.562457912457905</v>
      </c>
      <c r="I16" s="11">
        <v>15.562457912457905</v>
      </c>
      <c r="J16"/>
      <c r="K16"/>
    </row>
    <row r="17" spans="1:12">
      <c r="A17" s="18">
        <f t="shared" si="0"/>
        <v>2</v>
      </c>
      <c r="B17" s="4">
        <v>45961</v>
      </c>
      <c r="C17" s="5" t="s">
        <v>108</v>
      </c>
      <c r="D17" s="11">
        <v>19.8</v>
      </c>
      <c r="E17" s="11">
        <v>0</v>
      </c>
      <c r="F17" s="11">
        <v>0.39877104377104378</v>
      </c>
      <c r="G17" s="11">
        <v>0</v>
      </c>
      <c r="H17" s="11">
        <v>7.9512289562289524</v>
      </c>
      <c r="I17" s="11">
        <v>7.9512289562289524</v>
      </c>
      <c r="J17"/>
      <c r="K17"/>
    </row>
    <row r="18" spans="1:12">
      <c r="A18" s="18" t="str">
        <f t="shared" si="0"/>
        <v/>
      </c>
      <c r="B18" s="5" t="s">
        <v>0</v>
      </c>
      <c r="D18" s="16">
        <v>298.64000000000004</v>
      </c>
      <c r="E18" s="16">
        <v>0</v>
      </c>
      <c r="F18" s="16">
        <v>5.5827946127946122</v>
      </c>
      <c r="G18" s="16">
        <v>0</v>
      </c>
      <c r="H18" s="11">
        <v>242.55720538720541</v>
      </c>
      <c r="I18" s="11">
        <v>154.16913299663301</v>
      </c>
      <c r="J18"/>
      <c r="K18"/>
    </row>
    <row r="19" spans="1:12">
      <c r="A19" s="18" t="str">
        <f t="shared" si="0"/>
        <v/>
      </c>
      <c r="B19"/>
      <c r="C19"/>
      <c r="D19"/>
      <c r="E19"/>
      <c r="F19"/>
      <c r="G19"/>
      <c r="H19"/>
      <c r="I19"/>
      <c r="J19"/>
      <c r="K19"/>
    </row>
    <row r="20" spans="1:12">
      <c r="A20" s="18" t="str">
        <f t="shared" si="0"/>
        <v/>
      </c>
      <c r="B20"/>
      <c r="C20"/>
      <c r="D20"/>
      <c r="E20"/>
      <c r="F20"/>
      <c r="G20"/>
      <c r="H20"/>
      <c r="I20"/>
      <c r="J20"/>
      <c r="K20"/>
    </row>
    <row r="21" spans="1:12">
      <c r="A21" s="18" t="str">
        <f t="shared" si="0"/>
        <v/>
      </c>
      <c r="B21"/>
      <c r="C21"/>
      <c r="D21"/>
      <c r="E21"/>
      <c r="F21"/>
      <c r="G21"/>
      <c r="H21"/>
      <c r="I21"/>
      <c r="J21"/>
      <c r="K21"/>
    </row>
    <row r="22" spans="1:12">
      <c r="A22" s="18" t="str">
        <f t="shared" si="0"/>
        <v/>
      </c>
      <c r="B22"/>
      <c r="C22"/>
      <c r="D22"/>
      <c r="E22"/>
      <c r="F22"/>
      <c r="G22"/>
      <c r="H22"/>
      <c r="I22"/>
      <c r="J22"/>
      <c r="K22"/>
      <c r="L22" s="11"/>
    </row>
    <row r="23" spans="1:12">
      <c r="A23" s="18" t="str">
        <f t="shared" si="0"/>
        <v/>
      </c>
      <c r="B23"/>
      <c r="C23"/>
      <c r="D23"/>
      <c r="E23"/>
      <c r="F23"/>
      <c r="G23"/>
      <c r="H23"/>
      <c r="I23"/>
      <c r="J23"/>
      <c r="K23"/>
    </row>
    <row r="24" spans="1:12">
      <c r="A24" s="18" t="str">
        <f t="shared" si="0"/>
        <v/>
      </c>
      <c r="B24"/>
      <c r="C24"/>
      <c r="D24"/>
      <c r="E24"/>
      <c r="F24"/>
      <c r="G24"/>
      <c r="H24"/>
      <c r="I24"/>
      <c r="J24"/>
      <c r="K24"/>
    </row>
    <row r="25" spans="1:12">
      <c r="A25" s="18" t="str">
        <f t="shared" si="0"/>
        <v/>
      </c>
      <c r="B25"/>
      <c r="C25"/>
      <c r="D25"/>
      <c r="E25"/>
      <c r="F25"/>
      <c r="G25"/>
      <c r="H25"/>
      <c r="I25"/>
      <c r="J25"/>
      <c r="K25"/>
    </row>
    <row r="26" spans="1:12">
      <c r="A26" s="18" t="str">
        <f t="shared" si="0"/>
        <v/>
      </c>
      <c r="B26"/>
      <c r="C26"/>
      <c r="D26"/>
      <c r="E26"/>
      <c r="F26"/>
      <c r="G26"/>
      <c r="H26"/>
      <c r="I26"/>
      <c r="J26"/>
      <c r="K26"/>
    </row>
    <row r="27" spans="1:12">
      <c r="A27" s="18" t="str">
        <f t="shared" si="0"/>
        <v/>
      </c>
      <c r="B27"/>
      <c r="C27"/>
      <c r="D27"/>
      <c r="E27"/>
      <c r="F27"/>
      <c r="G27"/>
      <c r="H27"/>
      <c r="I27"/>
      <c r="J27"/>
      <c r="K27"/>
    </row>
    <row r="28" spans="1:12">
      <c r="A28" s="18" t="str">
        <f t="shared" si="0"/>
        <v/>
      </c>
      <c r="B28"/>
      <c r="C28"/>
      <c r="D28"/>
      <c r="E28"/>
      <c r="F28"/>
      <c r="G28"/>
      <c r="H28"/>
      <c r="I28"/>
      <c r="J28"/>
      <c r="K28"/>
    </row>
    <row r="29" spans="1:12">
      <c r="A29" s="18" t="str">
        <f t="shared" si="0"/>
        <v/>
      </c>
      <c r="B29"/>
      <c r="C29"/>
      <c r="D29"/>
      <c r="E29"/>
      <c r="F29"/>
      <c r="G29"/>
      <c r="H29"/>
      <c r="I29"/>
      <c r="J29"/>
      <c r="K29"/>
    </row>
    <row r="30" spans="1:12">
      <c r="A30" s="18" t="str">
        <f t="shared" si="0"/>
        <v/>
      </c>
      <c r="B30"/>
      <c r="C30"/>
      <c r="D30"/>
      <c r="E30"/>
      <c r="F30"/>
      <c r="G30"/>
      <c r="H30"/>
      <c r="I30"/>
      <c r="J30"/>
      <c r="K30"/>
    </row>
    <row r="31" spans="1:12">
      <c r="A31" s="18" t="str">
        <f t="shared" si="0"/>
        <v/>
      </c>
      <c r="B31"/>
      <c r="C31"/>
      <c r="D31"/>
      <c r="E31"/>
      <c r="F31"/>
      <c r="G31"/>
      <c r="H31"/>
      <c r="I31"/>
      <c r="J31"/>
      <c r="K31"/>
    </row>
    <row r="32" spans="1:12">
      <c r="A32" s="18" t="str">
        <f t="shared" si="0"/>
        <v/>
      </c>
      <c r="B32"/>
      <c r="C32"/>
      <c r="D32"/>
      <c r="E32"/>
      <c r="F32"/>
      <c r="G32"/>
      <c r="H32"/>
      <c r="I32"/>
      <c r="J32"/>
      <c r="K32"/>
    </row>
    <row r="33" spans="1:11">
      <c r="A33" s="18" t="str">
        <f t="shared" si="0"/>
        <v/>
      </c>
      <c r="B33"/>
      <c r="C33"/>
      <c r="D33"/>
      <c r="E33"/>
      <c r="F33"/>
      <c r="G33"/>
      <c r="H33"/>
      <c r="I33"/>
      <c r="J33"/>
      <c r="K33"/>
    </row>
    <row r="34" spans="1:11">
      <c r="A34" s="18" t="str">
        <f t="shared" si="0"/>
        <v/>
      </c>
      <c r="B34"/>
      <c r="C34"/>
      <c r="D34"/>
      <c r="E34"/>
      <c r="F34"/>
      <c r="G34"/>
      <c r="H34"/>
      <c r="I34"/>
      <c r="J34"/>
      <c r="K34"/>
    </row>
    <row r="35" spans="1:11">
      <c r="A35" s="18" t="str">
        <f t="shared" si="0"/>
        <v/>
      </c>
      <c r="B35"/>
      <c r="C35"/>
      <c r="D35"/>
      <c r="E35"/>
      <c r="F35"/>
      <c r="G35"/>
      <c r="H35"/>
      <c r="I35"/>
      <c r="J35"/>
      <c r="K35"/>
    </row>
    <row r="36" spans="1:11">
      <c r="A36" s="18" t="str">
        <f t="shared" si="0"/>
        <v/>
      </c>
      <c r="B36"/>
      <c r="C36"/>
      <c r="D36"/>
      <c r="E36"/>
      <c r="F36"/>
      <c r="G36"/>
      <c r="H36"/>
      <c r="I36"/>
      <c r="J36"/>
      <c r="K36"/>
    </row>
    <row r="37" spans="1:11">
      <c r="A37" s="18" t="str">
        <f t="shared" si="0"/>
        <v/>
      </c>
      <c r="B37"/>
      <c r="C37"/>
      <c r="D37"/>
      <c r="E37"/>
      <c r="F37"/>
      <c r="G37"/>
      <c r="H37"/>
      <c r="I37"/>
      <c r="J37"/>
      <c r="K37"/>
    </row>
    <row r="38" spans="1:11">
      <c r="A38" s="18" t="str">
        <f t="shared" si="0"/>
        <v/>
      </c>
      <c r="B38"/>
      <c r="C38"/>
      <c r="D38"/>
      <c r="E38"/>
      <c r="F38"/>
      <c r="G38"/>
      <c r="H38"/>
      <c r="I38"/>
      <c r="J38"/>
      <c r="K38"/>
    </row>
    <row r="39" spans="1:11">
      <c r="A39" s="18" t="str">
        <f t="shared" si="0"/>
        <v/>
      </c>
      <c r="B39"/>
      <c r="C39"/>
      <c r="D39"/>
      <c r="E39"/>
      <c r="F39"/>
      <c r="G39"/>
      <c r="H39"/>
      <c r="I39"/>
      <c r="J39"/>
      <c r="K39"/>
    </row>
    <row r="40" spans="1:11">
      <c r="A40" s="18" t="str">
        <f t="shared" si="0"/>
        <v/>
      </c>
      <c r="B40"/>
      <c r="C40"/>
      <c r="D40"/>
      <c r="E40"/>
      <c r="F40"/>
      <c r="G40"/>
      <c r="H40"/>
      <c r="I40"/>
      <c r="J40"/>
      <c r="K40"/>
    </row>
    <row r="41" spans="1:11">
      <c r="A41" s="18" t="str">
        <f t="shared" si="0"/>
        <v/>
      </c>
      <c r="B41"/>
      <c r="C41"/>
      <c r="D41"/>
      <c r="E41"/>
      <c r="F41"/>
      <c r="G41"/>
      <c r="H41"/>
      <c r="I41"/>
      <c r="J41"/>
      <c r="K41"/>
    </row>
    <row r="42" spans="1:11">
      <c r="A42" s="18" t="str">
        <f t="shared" si="0"/>
        <v/>
      </c>
      <c r="B42"/>
      <c r="C42"/>
      <c r="D42"/>
      <c r="E42"/>
      <c r="F42"/>
      <c r="G42"/>
      <c r="H42"/>
      <c r="I42"/>
      <c r="J42"/>
      <c r="K42"/>
    </row>
    <row r="43" spans="1:11">
      <c r="A43" s="18" t="str">
        <f t="shared" si="0"/>
        <v/>
      </c>
      <c r="B43"/>
      <c r="C43"/>
      <c r="D43"/>
      <c r="E43"/>
      <c r="F43"/>
      <c r="G43"/>
      <c r="H43"/>
      <c r="I43"/>
      <c r="J43"/>
      <c r="K43"/>
    </row>
    <row r="44" spans="1:11">
      <c r="A44" s="18" t="str">
        <f t="shared" si="0"/>
        <v/>
      </c>
      <c r="B44"/>
      <c r="C44"/>
      <c r="D44"/>
      <c r="E44"/>
      <c r="F44"/>
      <c r="G44"/>
      <c r="H44"/>
      <c r="I44"/>
      <c r="J44"/>
      <c r="K44"/>
    </row>
    <row r="45" spans="1:11">
      <c r="A45" s="18" t="str">
        <f t="shared" si="0"/>
        <v/>
      </c>
      <c r="B45"/>
      <c r="C45"/>
      <c r="D45"/>
      <c r="E45"/>
      <c r="F45"/>
      <c r="G45"/>
      <c r="H45"/>
      <c r="I45"/>
      <c r="J45"/>
      <c r="K45"/>
    </row>
    <row r="46" spans="1:11">
      <c r="A46" s="18" t="str">
        <f t="shared" si="0"/>
        <v/>
      </c>
      <c r="B46"/>
      <c r="C46"/>
      <c r="D46"/>
      <c r="E46"/>
      <c r="F46"/>
      <c r="G46"/>
      <c r="H46"/>
      <c r="I46"/>
      <c r="J46"/>
      <c r="K46"/>
    </row>
    <row r="47" spans="1:11">
      <c r="A47" s="18" t="str">
        <f t="shared" si="0"/>
        <v/>
      </c>
      <c r="B47"/>
      <c r="C47"/>
      <c r="D47"/>
      <c r="E47"/>
      <c r="F47"/>
      <c r="G47"/>
      <c r="H47"/>
      <c r="I47"/>
      <c r="J47"/>
      <c r="K47"/>
    </row>
    <row r="48" spans="1:11">
      <c r="A48" s="18" t="str">
        <f t="shared" si="0"/>
        <v/>
      </c>
      <c r="B48"/>
      <c r="C48"/>
      <c r="D48"/>
      <c r="E48"/>
      <c r="F48"/>
      <c r="G48"/>
      <c r="H48"/>
      <c r="I48"/>
      <c r="J48"/>
      <c r="K48"/>
    </row>
    <row r="49" spans="1:11">
      <c r="A49" s="18" t="str">
        <f t="shared" si="0"/>
        <v/>
      </c>
      <c r="B49"/>
      <c r="C49"/>
      <c r="D49"/>
      <c r="E49"/>
      <c r="F49"/>
      <c r="G49"/>
      <c r="H49"/>
      <c r="I49"/>
      <c r="J49"/>
      <c r="K49"/>
    </row>
    <row r="50" spans="1:11">
      <c r="A50" s="18" t="str">
        <f t="shared" si="0"/>
        <v/>
      </c>
      <c r="B50"/>
      <c r="C50"/>
      <c r="D50"/>
      <c r="E50"/>
      <c r="F50"/>
      <c r="G50"/>
      <c r="H50"/>
      <c r="I50"/>
      <c r="J50"/>
      <c r="K50"/>
    </row>
    <row r="51" spans="1:11">
      <c r="A51" s="18" t="str">
        <f t="shared" si="0"/>
        <v/>
      </c>
      <c r="B51"/>
      <c r="C51"/>
      <c r="D51"/>
      <c r="E51"/>
      <c r="F51"/>
      <c r="G51"/>
      <c r="H51"/>
      <c r="I51"/>
      <c r="J51"/>
      <c r="K51"/>
    </row>
    <row r="52" spans="1:11">
      <c r="A52" s="18" t="str">
        <f t="shared" si="0"/>
        <v/>
      </c>
      <c r="B52"/>
      <c r="C52"/>
      <c r="D52"/>
      <c r="E52"/>
      <c r="F52"/>
      <c r="G52"/>
      <c r="H52"/>
      <c r="I52"/>
      <c r="J52"/>
      <c r="K52"/>
    </row>
    <row r="53" spans="1:11">
      <c r="A53" s="18" t="str">
        <f t="shared" si="0"/>
        <v/>
      </c>
      <c r="B53"/>
      <c r="C53"/>
      <c r="D53"/>
      <c r="E53"/>
      <c r="F53"/>
      <c r="G53"/>
      <c r="H53"/>
      <c r="I53"/>
      <c r="J53"/>
      <c r="K53"/>
    </row>
    <row r="54" spans="1:11">
      <c r="A54" s="18" t="str">
        <f t="shared" si="0"/>
        <v/>
      </c>
      <c r="B54"/>
      <c r="C54"/>
      <c r="D54"/>
      <c r="E54"/>
      <c r="F54"/>
      <c r="G54"/>
      <c r="H54"/>
      <c r="I54"/>
      <c r="J54"/>
      <c r="K54"/>
    </row>
    <row r="55" spans="1:11">
      <c r="A55" s="18" t="str">
        <f t="shared" si="0"/>
        <v/>
      </c>
      <c r="B55"/>
      <c r="C55"/>
      <c r="D55"/>
      <c r="E55"/>
      <c r="F55"/>
      <c r="G55"/>
      <c r="H55"/>
      <c r="I55"/>
      <c r="J55"/>
      <c r="K55"/>
    </row>
    <row r="56" spans="1:11">
      <c r="A56" s="18" t="str">
        <f t="shared" si="0"/>
        <v/>
      </c>
      <c r="B56"/>
      <c r="C56"/>
      <c r="D56"/>
      <c r="E56"/>
      <c r="F56"/>
      <c r="G56"/>
      <c r="H56"/>
      <c r="I56"/>
      <c r="J56"/>
      <c r="K56"/>
    </row>
    <row r="57" spans="1:11">
      <c r="A57" s="18" t="str">
        <f t="shared" si="0"/>
        <v/>
      </c>
      <c r="B57"/>
      <c r="C57"/>
      <c r="D57"/>
      <c r="E57"/>
      <c r="F57"/>
      <c r="G57"/>
      <c r="H57"/>
      <c r="I57"/>
      <c r="J57"/>
      <c r="K57"/>
    </row>
    <row r="58" spans="1:11">
      <c r="A58" s="18" t="str">
        <f t="shared" si="0"/>
        <v/>
      </c>
      <c r="B58"/>
      <c r="C58"/>
      <c r="D58"/>
      <c r="E58"/>
      <c r="F58"/>
      <c r="G58"/>
      <c r="H58"/>
      <c r="I58"/>
      <c r="J58"/>
      <c r="K58"/>
    </row>
    <row r="59" spans="1:11">
      <c r="A59" s="18" t="str">
        <f t="shared" si="0"/>
        <v/>
      </c>
      <c r="B59"/>
      <c r="C59"/>
      <c r="D59"/>
      <c r="E59"/>
      <c r="F59"/>
      <c r="G59"/>
      <c r="H59"/>
      <c r="I59"/>
      <c r="J59"/>
      <c r="K59"/>
    </row>
    <row r="60" spans="1:11">
      <c r="A60" s="18" t="str">
        <f t="shared" si="0"/>
        <v/>
      </c>
      <c r="B60"/>
      <c r="C60"/>
      <c r="D60"/>
      <c r="E60"/>
      <c r="F60"/>
      <c r="G60"/>
      <c r="H60"/>
      <c r="I60"/>
      <c r="J60"/>
      <c r="K60"/>
    </row>
    <row r="61" spans="1:11">
      <c r="A61" s="18" t="str">
        <f t="shared" si="0"/>
        <v/>
      </c>
      <c r="B61"/>
      <c r="C61"/>
      <c r="D61"/>
      <c r="E61"/>
      <c r="F61"/>
      <c r="G61"/>
      <c r="H61"/>
      <c r="I61"/>
      <c r="J61"/>
      <c r="K61"/>
    </row>
    <row r="62" spans="1:11">
      <c r="A62" s="18" t="str">
        <f t="shared" si="0"/>
        <v/>
      </c>
      <c r="B62"/>
      <c r="C62"/>
      <c r="D62"/>
      <c r="E62"/>
      <c r="F62"/>
      <c r="G62"/>
      <c r="H62"/>
      <c r="I62"/>
      <c r="J62"/>
      <c r="K62"/>
    </row>
    <row r="63" spans="1:11">
      <c r="A63" s="18" t="str">
        <f t="shared" si="0"/>
        <v/>
      </c>
      <c r="B63"/>
      <c r="C63"/>
      <c r="D63"/>
      <c r="E63"/>
      <c r="F63"/>
      <c r="G63"/>
      <c r="H63"/>
      <c r="I63"/>
      <c r="J63"/>
      <c r="K63"/>
    </row>
    <row r="64" spans="1:11">
      <c r="A64" s="18" t="str">
        <f t="shared" si="0"/>
        <v/>
      </c>
      <c r="B64"/>
      <c r="C64"/>
      <c r="D64"/>
      <c r="E64"/>
      <c r="F64"/>
      <c r="G64"/>
      <c r="H64"/>
      <c r="I64"/>
      <c r="J64"/>
      <c r="K64"/>
    </row>
    <row r="65" spans="1:11">
      <c r="A65" s="18" t="str">
        <f t="shared" si="0"/>
        <v/>
      </c>
      <c r="B65"/>
      <c r="C65"/>
      <c r="D65"/>
      <c r="E65"/>
      <c r="F65"/>
      <c r="G65"/>
      <c r="H65"/>
      <c r="I65"/>
      <c r="J65"/>
      <c r="K65"/>
    </row>
    <row r="66" spans="1:11">
      <c r="B66"/>
      <c r="C66"/>
      <c r="D66"/>
      <c r="E66"/>
      <c r="F66"/>
      <c r="G66"/>
      <c r="H66"/>
      <c r="I66"/>
      <c r="J66"/>
      <c r="K66"/>
    </row>
    <row r="67" spans="1:11">
      <c r="B67"/>
      <c r="C67"/>
      <c r="D67"/>
      <c r="E67"/>
      <c r="F67"/>
      <c r="G67"/>
      <c r="H67"/>
      <c r="I67"/>
      <c r="J67"/>
      <c r="K67"/>
    </row>
    <row r="68" spans="1:11">
      <c r="B68"/>
      <c r="C68"/>
      <c r="D68"/>
      <c r="E68"/>
      <c r="F68"/>
      <c r="G68"/>
      <c r="H68"/>
      <c r="I68"/>
      <c r="J68"/>
      <c r="K68"/>
    </row>
    <row r="69" spans="1:11">
      <c r="B69"/>
      <c r="C69"/>
      <c r="D69"/>
      <c r="E69"/>
      <c r="F69"/>
      <c r="G69"/>
      <c r="H69"/>
      <c r="I69"/>
      <c r="J69"/>
      <c r="K69"/>
    </row>
    <row r="70" spans="1:11">
      <c r="B70"/>
      <c r="C70"/>
      <c r="D70"/>
      <c r="E70"/>
      <c r="F70"/>
      <c r="G70"/>
      <c r="H70"/>
      <c r="I70"/>
      <c r="J70"/>
      <c r="K70"/>
    </row>
    <row r="71" spans="1:11">
      <c r="B71"/>
      <c r="C71"/>
      <c r="D71"/>
      <c r="E71"/>
      <c r="F71"/>
      <c r="G71"/>
      <c r="H71"/>
      <c r="I71"/>
      <c r="J71"/>
      <c r="K71"/>
    </row>
    <row r="72" spans="1:11">
      <c r="B72"/>
      <c r="C72"/>
      <c r="D72"/>
      <c r="E72"/>
      <c r="F72"/>
      <c r="G72"/>
      <c r="H72"/>
      <c r="I72"/>
      <c r="J72"/>
      <c r="K72"/>
    </row>
    <row r="73" spans="1:11">
      <c r="B73"/>
      <c r="C73"/>
      <c r="D73"/>
      <c r="E73"/>
      <c r="F73"/>
      <c r="G73"/>
      <c r="H73"/>
      <c r="I73"/>
      <c r="J73"/>
      <c r="K73"/>
    </row>
    <row r="74" spans="1:11">
      <c r="B74"/>
      <c r="C74"/>
      <c r="D74"/>
      <c r="E74"/>
      <c r="F74"/>
      <c r="G74"/>
      <c r="H74"/>
      <c r="I74"/>
      <c r="J74"/>
      <c r="K74"/>
    </row>
    <row r="75" spans="1:11">
      <c r="B75"/>
      <c r="C75"/>
      <c r="D75"/>
      <c r="E75"/>
      <c r="F75"/>
      <c r="G75"/>
      <c r="H75"/>
      <c r="I75"/>
      <c r="J75"/>
      <c r="K75"/>
    </row>
    <row r="76" spans="1:11">
      <c r="B76"/>
      <c r="C76"/>
      <c r="D76"/>
      <c r="E76"/>
      <c r="F76"/>
      <c r="G76"/>
      <c r="H76"/>
      <c r="I76"/>
      <c r="J76"/>
      <c r="K76"/>
    </row>
    <row r="77" spans="1:11">
      <c r="B77"/>
      <c r="C77"/>
      <c r="D77"/>
      <c r="E77"/>
      <c r="F77"/>
      <c r="G77"/>
      <c r="H77"/>
      <c r="I77"/>
      <c r="J77"/>
      <c r="K77"/>
    </row>
    <row r="78" spans="1:11">
      <c r="B78"/>
      <c r="C78"/>
      <c r="D78"/>
      <c r="E78"/>
      <c r="F78"/>
      <c r="G78"/>
      <c r="H78"/>
      <c r="I78"/>
      <c r="J78"/>
      <c r="K78"/>
    </row>
    <row r="79" spans="1:11">
      <c r="B79"/>
      <c r="C79"/>
      <c r="D79"/>
      <c r="E79"/>
      <c r="F79"/>
      <c r="G79"/>
      <c r="H79"/>
      <c r="I79"/>
      <c r="J79"/>
      <c r="K79"/>
    </row>
    <row r="80" spans="1:11">
      <c r="B80"/>
      <c r="C80"/>
      <c r="D80"/>
      <c r="E80"/>
      <c r="F80"/>
      <c r="G80"/>
      <c r="H80"/>
      <c r="I80"/>
      <c r="J80"/>
      <c r="K80"/>
    </row>
    <row r="81" spans="2:11">
      <c r="B81"/>
      <c r="C81"/>
      <c r="D81"/>
      <c r="E81"/>
      <c r="F81"/>
      <c r="G81"/>
      <c r="H81"/>
      <c r="I81"/>
      <c r="J81"/>
      <c r="K81"/>
    </row>
    <row r="82" spans="2:11">
      <c r="B82"/>
      <c r="C82"/>
      <c r="D82"/>
      <c r="E82"/>
      <c r="F82"/>
      <c r="G82"/>
      <c r="H82"/>
      <c r="I82"/>
      <c r="J82"/>
      <c r="K82"/>
    </row>
    <row r="83" spans="2:11">
      <c r="B83"/>
      <c r="C83"/>
      <c r="D83"/>
      <c r="E83"/>
      <c r="F83"/>
      <c r="G83"/>
      <c r="H83"/>
      <c r="I83"/>
      <c r="J83"/>
      <c r="K83"/>
    </row>
    <row r="84" spans="2:11">
      <c r="B84"/>
      <c r="C84"/>
      <c r="D84"/>
      <c r="E84"/>
      <c r="F84"/>
      <c r="G84"/>
      <c r="H84"/>
      <c r="I84"/>
      <c r="J84"/>
      <c r="K84"/>
    </row>
    <row r="85" spans="2:11">
      <c r="B85"/>
      <c r="C85"/>
      <c r="D85"/>
      <c r="E85"/>
      <c r="F85"/>
      <c r="G85"/>
      <c r="H85"/>
      <c r="I85"/>
      <c r="J85"/>
      <c r="K85"/>
    </row>
    <row r="86" spans="2:11">
      <c r="B86"/>
      <c r="C86"/>
      <c r="D86"/>
      <c r="E86"/>
      <c r="F86"/>
      <c r="G86"/>
      <c r="H86"/>
      <c r="I86"/>
      <c r="J86"/>
      <c r="K86"/>
    </row>
    <row r="87" spans="2:11">
      <c r="B87"/>
      <c r="C87"/>
      <c r="D87"/>
      <c r="E87"/>
      <c r="F87"/>
      <c r="G87"/>
      <c r="H87"/>
      <c r="I87"/>
      <c r="J87"/>
      <c r="K87"/>
    </row>
    <row r="88" spans="2:11">
      <c r="B88"/>
      <c r="C88"/>
      <c r="D88"/>
      <c r="E88"/>
      <c r="F88"/>
      <c r="G88"/>
      <c r="H88"/>
      <c r="I88"/>
      <c r="J88"/>
      <c r="K88"/>
    </row>
    <row r="89" spans="2:11">
      <c r="B89"/>
      <c r="C89"/>
      <c r="D89"/>
      <c r="E89"/>
      <c r="F89"/>
      <c r="G89"/>
      <c r="H89"/>
      <c r="I89"/>
      <c r="J89"/>
      <c r="K89"/>
    </row>
    <row r="90" spans="2:11">
      <c r="B90"/>
      <c r="C90"/>
      <c r="D90"/>
      <c r="E90"/>
      <c r="F90"/>
      <c r="G90"/>
      <c r="H90"/>
      <c r="I90"/>
      <c r="J90"/>
      <c r="K90"/>
    </row>
    <row r="91" spans="2:11">
      <c r="B91"/>
      <c r="C91"/>
      <c r="D91"/>
      <c r="E91"/>
      <c r="F91"/>
      <c r="G91"/>
      <c r="H91"/>
      <c r="I91"/>
      <c r="J91"/>
      <c r="K91"/>
    </row>
    <row r="92" spans="2:11">
      <c r="B92"/>
      <c r="C92"/>
      <c r="D92"/>
      <c r="E92"/>
      <c r="F92"/>
      <c r="G92"/>
      <c r="H92"/>
      <c r="I92"/>
      <c r="J92"/>
      <c r="K92"/>
    </row>
    <row r="93" spans="2:11">
      <c r="B93"/>
      <c r="C93"/>
      <c r="D93"/>
      <c r="E93"/>
      <c r="F93"/>
      <c r="G93"/>
      <c r="H93"/>
      <c r="I93"/>
      <c r="J93"/>
      <c r="K93"/>
    </row>
    <row r="94" spans="2:11">
      <c r="B94"/>
      <c r="C94"/>
      <c r="D94"/>
      <c r="E94"/>
      <c r="F94"/>
      <c r="G94"/>
      <c r="H94"/>
      <c r="I94"/>
      <c r="J94"/>
      <c r="K94"/>
    </row>
    <row r="95" spans="2:11">
      <c r="B95"/>
      <c r="C95"/>
      <c r="D95"/>
      <c r="E95"/>
      <c r="F95"/>
      <c r="G95"/>
      <c r="H95"/>
      <c r="I95"/>
      <c r="J95"/>
      <c r="K95"/>
    </row>
    <row r="96" spans="2:11">
      <c r="B96"/>
      <c r="C96"/>
      <c r="D96"/>
      <c r="E96"/>
      <c r="F96"/>
      <c r="G96"/>
      <c r="H96"/>
      <c r="I96"/>
      <c r="J96"/>
      <c r="K96"/>
    </row>
    <row r="97" spans="2:11">
      <c r="B97"/>
      <c r="C97"/>
      <c r="D97"/>
      <c r="E97"/>
      <c r="F97"/>
      <c r="G97"/>
      <c r="H97"/>
      <c r="I97"/>
      <c r="J97"/>
      <c r="K97"/>
    </row>
    <row r="98" spans="2:11">
      <c r="B98"/>
      <c r="C98"/>
      <c r="D98"/>
      <c r="E98"/>
      <c r="F98"/>
      <c r="G98"/>
      <c r="H98"/>
      <c r="I98"/>
      <c r="J98"/>
      <c r="K98"/>
    </row>
    <row r="99" spans="2:11">
      <c r="B99"/>
      <c r="C99"/>
      <c r="D99"/>
      <c r="E99"/>
      <c r="F99"/>
      <c r="G99"/>
      <c r="H99"/>
      <c r="I99"/>
      <c r="J99"/>
      <c r="K99"/>
    </row>
    <row r="100" spans="2:11">
      <c r="B100"/>
      <c r="C100"/>
      <c r="D100"/>
      <c r="E100"/>
      <c r="F100"/>
      <c r="G100"/>
      <c r="H100"/>
      <c r="I100"/>
      <c r="J100"/>
      <c r="K100"/>
    </row>
    <row r="101" spans="2:11">
      <c r="B101"/>
      <c r="C101"/>
      <c r="D101"/>
      <c r="E101"/>
      <c r="F101"/>
      <c r="G101"/>
      <c r="H101"/>
      <c r="I101"/>
      <c r="J101"/>
      <c r="K101"/>
    </row>
    <row r="102" spans="2:11">
      <c r="B102"/>
      <c r="C102"/>
      <c r="D102"/>
      <c r="E102"/>
      <c r="F102"/>
      <c r="G102"/>
      <c r="H102"/>
      <c r="I102"/>
      <c r="J102"/>
      <c r="K102"/>
    </row>
    <row r="103" spans="2:11">
      <c r="B103"/>
      <c r="C103"/>
      <c r="D103"/>
      <c r="E103"/>
      <c r="F103"/>
      <c r="G103"/>
      <c r="H103"/>
      <c r="I103"/>
      <c r="J103"/>
      <c r="K103"/>
    </row>
    <row r="104" spans="2:11">
      <c r="B104"/>
      <c r="C104"/>
      <c r="D104"/>
      <c r="E104"/>
      <c r="F104"/>
      <c r="G104"/>
      <c r="H104"/>
      <c r="I104"/>
      <c r="J104"/>
      <c r="K104"/>
    </row>
    <row r="105" spans="2:11">
      <c r="B105"/>
      <c r="C105"/>
      <c r="D105"/>
      <c r="E105"/>
      <c r="F105"/>
      <c r="G105"/>
      <c r="H105"/>
      <c r="I105"/>
      <c r="J105"/>
      <c r="K105"/>
    </row>
    <row r="106" spans="2:11">
      <c r="B106"/>
      <c r="C106"/>
      <c r="D106"/>
      <c r="E106"/>
      <c r="F106"/>
      <c r="G106"/>
      <c r="H106"/>
      <c r="I106"/>
      <c r="J106"/>
      <c r="K106"/>
    </row>
    <row r="107" spans="2:11">
      <c r="B107"/>
      <c r="C107"/>
      <c r="D107"/>
      <c r="E107"/>
      <c r="F107"/>
      <c r="G107"/>
      <c r="H107"/>
      <c r="I107"/>
      <c r="J107"/>
      <c r="K107"/>
    </row>
    <row r="108" spans="2:11">
      <c r="B108"/>
      <c r="C108"/>
      <c r="D108"/>
      <c r="E108"/>
      <c r="F108"/>
      <c r="G108"/>
      <c r="H108"/>
      <c r="I108"/>
      <c r="J108"/>
      <c r="K108"/>
    </row>
    <row r="109" spans="2:11">
      <c r="B109"/>
      <c r="C109"/>
      <c r="D109"/>
      <c r="E109"/>
      <c r="F109"/>
      <c r="G109"/>
      <c r="H109"/>
      <c r="I109"/>
      <c r="J109"/>
      <c r="K109"/>
    </row>
    <row r="110" spans="2:11">
      <c r="B110"/>
      <c r="C110"/>
      <c r="D110"/>
      <c r="E110"/>
      <c r="F110"/>
      <c r="G110"/>
      <c r="H110"/>
      <c r="I110"/>
      <c r="J110"/>
      <c r="K110"/>
    </row>
    <row r="111" spans="2:11">
      <c r="B111"/>
      <c r="C111"/>
      <c r="D111"/>
      <c r="E111"/>
      <c r="F111"/>
      <c r="G111"/>
      <c r="H111"/>
      <c r="I111"/>
      <c r="J111"/>
      <c r="K111"/>
    </row>
    <row r="112" spans="2:11">
      <c r="B112"/>
      <c r="C112"/>
      <c r="D112"/>
      <c r="E112"/>
      <c r="F112"/>
      <c r="G112"/>
      <c r="H112"/>
      <c r="I112"/>
      <c r="J112"/>
      <c r="K112"/>
    </row>
    <row r="113" spans="2:11">
      <c r="B113"/>
      <c r="C113"/>
      <c r="D113"/>
      <c r="E113"/>
      <c r="F113"/>
      <c r="G113"/>
      <c r="H113"/>
      <c r="I113"/>
      <c r="J113"/>
      <c r="K113"/>
    </row>
    <row r="114" spans="2:11">
      <c r="B114"/>
      <c r="C114"/>
      <c r="D114"/>
      <c r="E114"/>
      <c r="F114"/>
      <c r="G114"/>
      <c r="H114"/>
      <c r="I114"/>
      <c r="J114"/>
      <c r="K114"/>
    </row>
    <row r="115" spans="2:11">
      <c r="B115"/>
      <c r="C115"/>
      <c r="D115"/>
      <c r="E115"/>
      <c r="F115"/>
      <c r="G115"/>
      <c r="H115"/>
      <c r="I115"/>
      <c r="J115"/>
      <c r="K115"/>
    </row>
    <row r="116" spans="2:11">
      <c r="B116"/>
      <c r="C116"/>
      <c r="D116"/>
      <c r="E116"/>
      <c r="F116"/>
      <c r="G116"/>
      <c r="H116"/>
      <c r="I116"/>
      <c r="J116"/>
      <c r="K116"/>
    </row>
    <row r="117" spans="2:11">
      <c r="B117"/>
      <c r="C117"/>
      <c r="D117"/>
      <c r="E117"/>
      <c r="F117"/>
      <c r="G117"/>
      <c r="H117"/>
      <c r="I117"/>
      <c r="J117"/>
      <c r="K117"/>
    </row>
    <row r="118" spans="2:11">
      <c r="B118"/>
      <c r="C118"/>
      <c r="D118"/>
      <c r="E118"/>
      <c r="F118"/>
      <c r="G118"/>
      <c r="H118"/>
      <c r="I118"/>
      <c r="J118"/>
      <c r="K118"/>
    </row>
    <row r="119" spans="2:11">
      <c r="B119"/>
      <c r="C119"/>
      <c r="D119"/>
      <c r="E119"/>
      <c r="F119"/>
      <c r="G119"/>
      <c r="H119"/>
      <c r="I119"/>
      <c r="J119"/>
      <c r="K119"/>
    </row>
    <row r="120" spans="2:11">
      <c r="B120"/>
      <c r="C120"/>
      <c r="D120"/>
      <c r="E120"/>
      <c r="F120"/>
      <c r="G120"/>
      <c r="H120"/>
      <c r="I120"/>
      <c r="J120"/>
      <c r="K120"/>
    </row>
    <row r="121" spans="2:11">
      <c r="B121"/>
      <c r="C121"/>
      <c r="D121"/>
      <c r="E121"/>
      <c r="F121"/>
      <c r="G121"/>
      <c r="H121"/>
      <c r="I121"/>
      <c r="J121"/>
      <c r="K121"/>
    </row>
    <row r="122" spans="2:11">
      <c r="B122"/>
      <c r="C122"/>
      <c r="D122"/>
      <c r="E122"/>
      <c r="F122"/>
      <c r="G122"/>
      <c r="H122"/>
      <c r="I122"/>
      <c r="J122"/>
      <c r="K122"/>
    </row>
    <row r="123" spans="2:11">
      <c r="B123"/>
      <c r="C123"/>
      <c r="D123"/>
      <c r="E123"/>
      <c r="F123"/>
      <c r="G123"/>
      <c r="H123"/>
      <c r="I123"/>
      <c r="J123"/>
      <c r="K123"/>
    </row>
    <row r="124" spans="2:11">
      <c r="B124"/>
      <c r="C124"/>
      <c r="D124"/>
      <c r="E124"/>
      <c r="F124"/>
      <c r="G124"/>
      <c r="H124"/>
      <c r="I124"/>
      <c r="J124"/>
      <c r="K124"/>
    </row>
    <row r="125" spans="2:11">
      <c r="B125"/>
      <c r="C125"/>
      <c r="D125"/>
      <c r="E125"/>
      <c r="F125"/>
      <c r="G125"/>
      <c r="H125"/>
      <c r="I125"/>
      <c r="J125"/>
      <c r="K125"/>
    </row>
    <row r="126" spans="2:11">
      <c r="B126"/>
      <c r="C126"/>
      <c r="D126"/>
      <c r="E126"/>
      <c r="F126"/>
      <c r="G126"/>
      <c r="H126"/>
      <c r="I126"/>
      <c r="J126"/>
      <c r="K126"/>
    </row>
    <row r="127" spans="2:11">
      <c r="B127"/>
      <c r="C127"/>
      <c r="D127"/>
      <c r="E127"/>
      <c r="F127"/>
      <c r="G127"/>
      <c r="H127"/>
      <c r="I127"/>
      <c r="J127"/>
      <c r="K127"/>
    </row>
    <row r="128" spans="2:11">
      <c r="B128"/>
      <c r="C128"/>
      <c r="D128"/>
      <c r="E128"/>
      <c r="F128"/>
      <c r="G128"/>
      <c r="H128"/>
      <c r="I128"/>
      <c r="J128"/>
      <c r="K128"/>
    </row>
    <row r="129" spans="2:10">
      <c r="B129"/>
      <c r="C129"/>
      <c r="D129"/>
      <c r="E129"/>
      <c r="F129"/>
      <c r="G129"/>
      <c r="H129"/>
      <c r="I129"/>
      <c r="J129"/>
    </row>
    <row r="130" spans="2:10">
      <c r="B130"/>
      <c r="C130"/>
      <c r="D130"/>
      <c r="E130"/>
      <c r="F130"/>
      <c r="G130"/>
      <c r="H130"/>
      <c r="I130"/>
      <c r="J130"/>
    </row>
    <row r="131" spans="2:10">
      <c r="B131"/>
      <c r="C131"/>
      <c r="D131"/>
      <c r="E131"/>
      <c r="F131"/>
      <c r="G131"/>
      <c r="H131"/>
      <c r="I131"/>
      <c r="J131"/>
    </row>
    <row r="132" spans="2:10">
      <c r="B132"/>
      <c r="C132"/>
      <c r="D132"/>
      <c r="E132"/>
      <c r="F132"/>
      <c r="G132"/>
      <c r="H132"/>
      <c r="I132"/>
      <c r="J132"/>
    </row>
    <row r="133" spans="2:10">
      <c r="B133"/>
      <c r="C133"/>
      <c r="D133"/>
      <c r="E133"/>
      <c r="F133"/>
      <c r="G133"/>
      <c r="H133"/>
      <c r="I133"/>
      <c r="J133"/>
    </row>
    <row r="134" spans="2:10">
      <c r="B134"/>
      <c r="C134"/>
      <c r="D134"/>
      <c r="E134"/>
      <c r="F134"/>
      <c r="G134"/>
      <c r="H134"/>
      <c r="I134"/>
      <c r="J134"/>
    </row>
    <row r="135" spans="2:10">
      <c r="B135"/>
      <c r="C135"/>
      <c r="D135"/>
      <c r="E135"/>
      <c r="F135"/>
      <c r="G135"/>
      <c r="H135"/>
      <c r="I135"/>
      <c r="J135"/>
    </row>
    <row r="136" spans="2:10">
      <c r="B136"/>
      <c r="C136"/>
      <c r="D136"/>
      <c r="E136"/>
      <c r="F136"/>
      <c r="G136"/>
      <c r="H136"/>
      <c r="I136"/>
      <c r="J136"/>
    </row>
    <row r="137" spans="2:10">
      <c r="B137"/>
      <c r="C137"/>
      <c r="D137"/>
      <c r="E137"/>
      <c r="F137"/>
      <c r="G137"/>
      <c r="H137"/>
      <c r="I137"/>
      <c r="J137"/>
    </row>
    <row r="138" spans="2:10">
      <c r="B138"/>
      <c r="C138"/>
      <c r="D138"/>
      <c r="E138"/>
      <c r="F138"/>
      <c r="G138"/>
      <c r="H138"/>
      <c r="I138"/>
      <c r="J138"/>
    </row>
    <row r="139" spans="2:10">
      <c r="B139"/>
      <c r="C139"/>
      <c r="D139"/>
      <c r="E139"/>
      <c r="F139"/>
      <c r="G139"/>
      <c r="H139"/>
      <c r="I139"/>
      <c r="J139"/>
    </row>
    <row r="140" spans="2:10">
      <c r="B140"/>
      <c r="C140"/>
      <c r="D140"/>
      <c r="E140"/>
      <c r="F140"/>
      <c r="G140"/>
      <c r="H140"/>
      <c r="I140"/>
      <c r="J140"/>
    </row>
    <row r="141" spans="2:10">
      <c r="B141"/>
      <c r="C141"/>
      <c r="D141"/>
      <c r="E141"/>
      <c r="F141"/>
      <c r="G141"/>
      <c r="H141"/>
      <c r="I141"/>
      <c r="J141"/>
    </row>
    <row r="142" spans="2:10">
      <c r="B142"/>
      <c r="C142"/>
      <c r="D142"/>
      <c r="E142"/>
      <c r="F142"/>
      <c r="G142"/>
      <c r="H142"/>
      <c r="I142"/>
      <c r="J142"/>
    </row>
    <row r="143" spans="2:10">
      <c r="B143"/>
      <c r="C143"/>
      <c r="D143"/>
      <c r="E143"/>
      <c r="F143"/>
      <c r="G143"/>
      <c r="H143"/>
      <c r="I143"/>
      <c r="J143"/>
    </row>
    <row r="144" spans="2:10">
      <c r="B144"/>
      <c r="C144"/>
      <c r="D144"/>
      <c r="E144"/>
      <c r="F144"/>
      <c r="G144"/>
      <c r="H144"/>
      <c r="I144"/>
      <c r="J144"/>
    </row>
    <row r="145" spans="2:10">
      <c r="B145"/>
      <c r="C145"/>
      <c r="D145"/>
      <c r="E145"/>
      <c r="F145"/>
      <c r="G145"/>
      <c r="H145"/>
      <c r="I145"/>
      <c r="J145"/>
    </row>
    <row r="146" spans="2:10">
      <c r="B146"/>
      <c r="C146"/>
      <c r="D146"/>
      <c r="E146"/>
      <c r="F146"/>
      <c r="G146"/>
      <c r="H146"/>
      <c r="I146"/>
      <c r="J146"/>
    </row>
    <row r="147" spans="2:10">
      <c r="B147"/>
      <c r="C147"/>
      <c r="D147"/>
      <c r="E147"/>
      <c r="F147"/>
      <c r="G147"/>
      <c r="H147"/>
      <c r="I147"/>
      <c r="J147"/>
    </row>
    <row r="148" spans="2:10">
      <c r="B148"/>
      <c r="C148"/>
      <c r="D148"/>
      <c r="E148"/>
      <c r="F148"/>
      <c r="G148"/>
      <c r="H148"/>
      <c r="I148"/>
      <c r="J148"/>
    </row>
    <row r="149" spans="2:10">
      <c r="B149"/>
      <c r="C149"/>
      <c r="D149"/>
      <c r="E149"/>
      <c r="F149"/>
      <c r="G149"/>
      <c r="H149"/>
      <c r="I149"/>
      <c r="J149"/>
    </row>
    <row r="150" spans="2:10">
      <c r="B150"/>
      <c r="C150"/>
      <c r="D150"/>
      <c r="E150"/>
      <c r="F150"/>
      <c r="G150"/>
      <c r="H150"/>
      <c r="I150"/>
      <c r="J150"/>
    </row>
    <row r="151" spans="2:10">
      <c r="B151"/>
      <c r="C151"/>
      <c r="D151"/>
      <c r="E151"/>
      <c r="F151"/>
      <c r="G151"/>
      <c r="H151"/>
      <c r="I151"/>
      <c r="J151"/>
    </row>
    <row r="152" spans="2:10">
      <c r="B152"/>
      <c r="C152"/>
      <c r="D152"/>
      <c r="E152"/>
      <c r="F152"/>
      <c r="G152"/>
      <c r="H152"/>
      <c r="I152"/>
      <c r="J152"/>
    </row>
    <row r="153" spans="2:10">
      <c r="B153"/>
      <c r="C153"/>
      <c r="D153"/>
      <c r="E153"/>
      <c r="F153"/>
      <c r="G153"/>
      <c r="H153"/>
      <c r="I153"/>
      <c r="J153"/>
    </row>
    <row r="154" spans="2:10">
      <c r="B154"/>
      <c r="C154"/>
      <c r="D154"/>
      <c r="E154"/>
      <c r="F154"/>
      <c r="G154"/>
      <c r="H154"/>
      <c r="I154"/>
      <c r="J154"/>
    </row>
    <row r="155" spans="2:10">
      <c r="B155"/>
      <c r="C155"/>
      <c r="D155"/>
      <c r="E155"/>
      <c r="F155"/>
      <c r="G155"/>
      <c r="H155"/>
      <c r="I155"/>
      <c r="J155"/>
    </row>
    <row r="156" spans="2:10">
      <c r="B156"/>
      <c r="C156"/>
      <c r="D156"/>
      <c r="E156"/>
      <c r="F156"/>
      <c r="G156"/>
      <c r="H156"/>
      <c r="I156"/>
      <c r="J156"/>
    </row>
    <row r="157" spans="2:10">
      <c r="B157"/>
      <c r="C157"/>
      <c r="D157"/>
      <c r="E157"/>
      <c r="F157"/>
      <c r="G157"/>
      <c r="H157"/>
      <c r="I157"/>
      <c r="J157"/>
    </row>
    <row r="158" spans="2:10">
      <c r="B158"/>
      <c r="C158"/>
      <c r="D158"/>
      <c r="E158"/>
      <c r="F158"/>
      <c r="G158"/>
      <c r="H158"/>
      <c r="I158"/>
      <c r="J158"/>
    </row>
    <row r="159" spans="2:10">
      <c r="B159"/>
      <c r="C159"/>
      <c r="D159"/>
      <c r="E159"/>
      <c r="F159"/>
      <c r="G159"/>
      <c r="H159"/>
      <c r="I159"/>
      <c r="J159"/>
    </row>
    <row r="160" spans="2:10">
      <c r="B160"/>
      <c r="C160"/>
      <c r="D160"/>
      <c r="E160"/>
      <c r="F160"/>
      <c r="G160"/>
      <c r="H160"/>
      <c r="I160"/>
      <c r="J160"/>
    </row>
    <row r="161" spans="2:10">
      <c r="B161"/>
      <c r="C161"/>
      <c r="D161"/>
      <c r="E161"/>
      <c r="F161"/>
      <c r="G161"/>
      <c r="H161"/>
      <c r="I161"/>
      <c r="J161"/>
    </row>
    <row r="162" spans="2:10">
      <c r="B162"/>
      <c r="C162"/>
      <c r="D162"/>
      <c r="E162"/>
      <c r="F162"/>
      <c r="G162"/>
      <c r="H162"/>
      <c r="I162"/>
      <c r="J162"/>
    </row>
    <row r="163" spans="2:10">
      <c r="B163"/>
      <c r="C163"/>
      <c r="D163"/>
      <c r="E163"/>
      <c r="F163"/>
      <c r="G163"/>
      <c r="H163"/>
      <c r="I163"/>
      <c r="J163"/>
    </row>
    <row r="164" spans="2:10">
      <c r="B164"/>
      <c r="C164"/>
      <c r="D164"/>
      <c r="E164"/>
      <c r="F164"/>
      <c r="G164"/>
      <c r="H164"/>
      <c r="I164"/>
      <c r="J164"/>
    </row>
    <row r="165" spans="2:10">
      <c r="B165"/>
      <c r="C165"/>
      <c r="D165"/>
      <c r="E165"/>
      <c r="F165"/>
      <c r="G165"/>
      <c r="H165"/>
      <c r="I165"/>
      <c r="J165"/>
    </row>
    <row r="166" spans="2:10">
      <c r="B166"/>
      <c r="C166"/>
      <c r="D166"/>
      <c r="E166"/>
      <c r="F166"/>
      <c r="G166"/>
      <c r="H166"/>
      <c r="I166"/>
      <c r="J166"/>
    </row>
    <row r="167" spans="2:10">
      <c r="B167"/>
      <c r="C167"/>
      <c r="D167"/>
      <c r="E167"/>
      <c r="F167"/>
      <c r="G167"/>
      <c r="H167"/>
      <c r="I167"/>
      <c r="J167"/>
    </row>
    <row r="168" spans="2:10">
      <c r="B168"/>
      <c r="C168"/>
      <c r="D168"/>
      <c r="E168"/>
      <c r="F168"/>
      <c r="G168"/>
      <c r="H168"/>
      <c r="I168"/>
      <c r="J168"/>
    </row>
    <row r="169" spans="2:10">
      <c r="B169"/>
      <c r="C169"/>
      <c r="D169"/>
      <c r="E169"/>
      <c r="F169"/>
      <c r="G169"/>
      <c r="H169"/>
      <c r="I169"/>
      <c r="J169"/>
    </row>
    <row r="170" spans="2:10">
      <c r="B170"/>
      <c r="C170"/>
      <c r="D170"/>
      <c r="E170"/>
      <c r="F170"/>
      <c r="G170"/>
      <c r="H170"/>
      <c r="I170"/>
      <c r="J170"/>
    </row>
    <row r="171" spans="2:10">
      <c r="B171"/>
      <c r="C171"/>
      <c r="D171"/>
      <c r="E171"/>
      <c r="F171"/>
      <c r="G171"/>
      <c r="H171"/>
      <c r="I171"/>
      <c r="J171"/>
    </row>
    <row r="172" spans="2:10">
      <c r="B172"/>
      <c r="C172"/>
      <c r="D172"/>
      <c r="E172"/>
      <c r="F172"/>
      <c r="G172"/>
      <c r="H172"/>
      <c r="I172"/>
      <c r="J172"/>
    </row>
    <row r="173" spans="2:10">
      <c r="B173"/>
      <c r="C173"/>
      <c r="D173"/>
      <c r="E173"/>
      <c r="F173"/>
      <c r="G173"/>
      <c r="H173"/>
      <c r="I173"/>
      <c r="J173"/>
    </row>
    <row r="174" spans="2:10">
      <c r="B174"/>
      <c r="C174"/>
      <c r="D174"/>
      <c r="E174"/>
      <c r="F174"/>
      <c r="G174"/>
      <c r="H174"/>
      <c r="I174"/>
      <c r="J174"/>
    </row>
    <row r="175" spans="2:10">
      <c r="B175"/>
      <c r="C175"/>
      <c r="D175"/>
      <c r="E175"/>
      <c r="F175"/>
      <c r="G175"/>
      <c r="H175"/>
      <c r="I175"/>
      <c r="J175"/>
    </row>
    <row r="176" spans="2:10">
      <c r="B176"/>
      <c r="C176"/>
      <c r="D176"/>
      <c r="E176"/>
      <c r="F176"/>
      <c r="G176"/>
      <c r="H176"/>
      <c r="I176"/>
      <c r="J176"/>
    </row>
    <row r="177" spans="2:10">
      <c r="B177"/>
      <c r="C177"/>
      <c r="D177"/>
      <c r="E177"/>
      <c r="F177"/>
      <c r="G177"/>
      <c r="H177"/>
      <c r="I177"/>
      <c r="J177"/>
    </row>
    <row r="178" spans="2:10">
      <c r="B178"/>
      <c r="C178"/>
      <c r="D178"/>
      <c r="E178"/>
      <c r="F178"/>
      <c r="G178"/>
      <c r="H178"/>
      <c r="I178"/>
      <c r="J178"/>
    </row>
    <row r="179" spans="2:10">
      <c r="B179"/>
      <c r="C179"/>
      <c r="D179"/>
      <c r="E179"/>
      <c r="F179"/>
      <c r="G179"/>
      <c r="H179"/>
      <c r="I179"/>
      <c r="J179"/>
    </row>
    <row r="180" spans="2:10">
      <c r="B180"/>
      <c r="C180"/>
      <c r="D180"/>
      <c r="E180"/>
      <c r="F180"/>
      <c r="G180"/>
      <c r="H180"/>
      <c r="I180"/>
      <c r="J180"/>
    </row>
    <row r="181" spans="2:10">
      <c r="B181"/>
      <c r="C181"/>
      <c r="D181"/>
      <c r="E181"/>
      <c r="F181"/>
      <c r="G181"/>
      <c r="H181"/>
      <c r="I181"/>
      <c r="J181"/>
    </row>
    <row r="182" spans="2:10">
      <c r="B182"/>
      <c r="C182"/>
      <c r="D182"/>
      <c r="E182"/>
      <c r="F182"/>
      <c r="G182"/>
      <c r="H182"/>
      <c r="I182"/>
      <c r="J182"/>
    </row>
    <row r="183" spans="2:10">
      <c r="B183"/>
      <c r="C183"/>
      <c r="D183"/>
      <c r="E183"/>
      <c r="F183"/>
      <c r="G183"/>
      <c r="H183"/>
      <c r="I183"/>
      <c r="J183"/>
    </row>
    <row r="184" spans="2:10">
      <c r="B184"/>
      <c r="C184"/>
      <c r="D184"/>
      <c r="E184"/>
      <c r="F184"/>
      <c r="G184"/>
      <c r="H184"/>
      <c r="I184"/>
      <c r="J184"/>
    </row>
    <row r="185" spans="2:10">
      <c r="B185"/>
      <c r="C185"/>
      <c r="D185"/>
      <c r="E185"/>
      <c r="F185"/>
      <c r="G185"/>
      <c r="H185"/>
      <c r="I185"/>
      <c r="J185"/>
    </row>
    <row r="186" spans="2:10">
      <c r="B186"/>
      <c r="C186"/>
      <c r="D186"/>
      <c r="E186"/>
      <c r="F186"/>
      <c r="G186"/>
      <c r="H186"/>
      <c r="I186"/>
      <c r="J186"/>
    </row>
    <row r="187" spans="2:10">
      <c r="B187"/>
      <c r="C187"/>
      <c r="D187"/>
      <c r="E187"/>
      <c r="F187"/>
      <c r="G187"/>
      <c r="H187"/>
      <c r="I187"/>
      <c r="J187"/>
    </row>
    <row r="188" spans="2:10">
      <c r="B188"/>
      <c r="C188"/>
      <c r="D188"/>
      <c r="E188"/>
      <c r="F188"/>
      <c r="G188"/>
      <c r="H188"/>
      <c r="I188"/>
      <c r="J188"/>
    </row>
    <row r="189" spans="2:10">
      <c r="B189"/>
      <c r="C189"/>
      <c r="D189"/>
      <c r="E189"/>
      <c r="F189"/>
      <c r="G189"/>
      <c r="H189"/>
      <c r="I189"/>
      <c r="J189"/>
    </row>
    <row r="190" spans="2:10">
      <c r="B190"/>
      <c r="C190"/>
      <c r="D190"/>
      <c r="E190"/>
      <c r="F190"/>
      <c r="G190"/>
      <c r="H190"/>
      <c r="I190"/>
      <c r="J190"/>
    </row>
    <row r="191" spans="2:10">
      <c r="B191"/>
      <c r="C191"/>
      <c r="D191"/>
      <c r="E191"/>
      <c r="F191"/>
      <c r="G191"/>
      <c r="H191"/>
      <c r="I191"/>
      <c r="J191"/>
    </row>
    <row r="192" spans="2:10">
      <c r="B192"/>
      <c r="C192"/>
      <c r="D192"/>
      <c r="E192"/>
      <c r="F192"/>
      <c r="G192"/>
      <c r="H192"/>
      <c r="I192"/>
      <c r="J192"/>
    </row>
    <row r="193" spans="2:10">
      <c r="B193"/>
      <c r="C193"/>
      <c r="D193"/>
      <c r="E193"/>
      <c r="F193"/>
      <c r="G193"/>
      <c r="H193"/>
      <c r="I193"/>
      <c r="J193"/>
    </row>
    <row r="194" spans="2:10">
      <c r="B194"/>
      <c r="C194"/>
      <c r="D194"/>
      <c r="E194"/>
      <c r="F194"/>
      <c r="G194"/>
      <c r="H194"/>
      <c r="I194"/>
      <c r="J194"/>
    </row>
    <row r="195" spans="2:10">
      <c r="B195"/>
      <c r="C195"/>
      <c r="D195"/>
      <c r="E195"/>
      <c r="F195"/>
      <c r="G195"/>
      <c r="H195"/>
      <c r="I195"/>
      <c r="J195"/>
    </row>
    <row r="196" spans="2:10">
      <c r="B196"/>
      <c r="C196"/>
      <c r="D196"/>
      <c r="E196"/>
      <c r="F196"/>
      <c r="G196"/>
      <c r="H196"/>
      <c r="I196"/>
      <c r="J196"/>
    </row>
    <row r="197" spans="2:10">
      <c r="B197"/>
      <c r="C197"/>
      <c r="D197"/>
      <c r="E197"/>
      <c r="F197"/>
      <c r="G197"/>
      <c r="H197"/>
      <c r="I197"/>
      <c r="J197"/>
    </row>
    <row r="198" spans="2:10">
      <c r="B198"/>
      <c r="C198"/>
      <c r="D198"/>
      <c r="E198"/>
      <c r="F198"/>
      <c r="G198"/>
      <c r="H198"/>
      <c r="I198"/>
      <c r="J198"/>
    </row>
    <row r="199" spans="2:10">
      <c r="B199"/>
      <c r="C199"/>
      <c r="D199"/>
      <c r="E199"/>
      <c r="F199"/>
      <c r="G199"/>
      <c r="H199"/>
      <c r="I199"/>
      <c r="J199"/>
    </row>
    <row r="200" spans="2:10">
      <c r="B200"/>
      <c r="C200"/>
      <c r="D200"/>
      <c r="E200"/>
      <c r="F200"/>
      <c r="G200"/>
      <c r="H200"/>
      <c r="I200"/>
      <c r="J200"/>
    </row>
    <row r="201" spans="2:10">
      <c r="B201"/>
      <c r="C201"/>
      <c r="D201"/>
      <c r="E201"/>
      <c r="F201"/>
      <c r="G201"/>
      <c r="H201"/>
      <c r="I201"/>
      <c r="J201"/>
    </row>
    <row r="202" spans="2:10">
      <c r="B202"/>
      <c r="C202"/>
      <c r="D202"/>
      <c r="E202"/>
      <c r="F202"/>
      <c r="G202"/>
      <c r="H202"/>
      <c r="I202"/>
      <c r="J202"/>
    </row>
    <row r="203" spans="2:10">
      <c r="B203"/>
      <c r="C203"/>
      <c r="D203"/>
      <c r="E203"/>
      <c r="F203"/>
      <c r="G203"/>
      <c r="H203"/>
      <c r="I203"/>
      <c r="J203"/>
    </row>
    <row r="204" spans="2:10">
      <c r="B204"/>
      <c r="C204"/>
      <c r="D204"/>
      <c r="E204"/>
      <c r="F204"/>
      <c r="G204"/>
      <c r="H204"/>
      <c r="I204"/>
      <c r="J204"/>
    </row>
    <row r="205" spans="2:10">
      <c r="B205"/>
      <c r="C205"/>
      <c r="D205"/>
      <c r="E205"/>
      <c r="F205"/>
      <c r="G205"/>
      <c r="H205"/>
      <c r="I205"/>
      <c r="J205"/>
    </row>
    <row r="206" spans="2:10">
      <c r="B206"/>
      <c r="C206"/>
      <c r="D206"/>
      <c r="E206"/>
      <c r="F206"/>
      <c r="G206"/>
      <c r="H206"/>
      <c r="I206"/>
      <c r="J206"/>
    </row>
    <row r="207" spans="2:10">
      <c r="B207"/>
      <c r="C207"/>
      <c r="D207"/>
      <c r="E207"/>
      <c r="F207"/>
      <c r="G207"/>
      <c r="H207"/>
      <c r="I207"/>
      <c r="J207"/>
    </row>
    <row r="208" spans="2:10">
      <c r="B208"/>
      <c r="C208"/>
      <c r="D208"/>
      <c r="E208"/>
      <c r="F208"/>
      <c r="G208"/>
      <c r="H208"/>
      <c r="I208"/>
      <c r="J208"/>
    </row>
    <row r="209" spans="2:10">
      <c r="B209"/>
      <c r="C209"/>
      <c r="D209"/>
      <c r="E209"/>
      <c r="F209"/>
      <c r="G209"/>
      <c r="H209"/>
      <c r="I209"/>
      <c r="J209"/>
    </row>
    <row r="210" spans="2:10">
      <c r="B210"/>
      <c r="C210"/>
      <c r="D210"/>
      <c r="E210"/>
      <c r="F210"/>
      <c r="G210"/>
      <c r="H210"/>
      <c r="I210"/>
      <c r="J210"/>
    </row>
    <row r="211" spans="2:10">
      <c r="B211"/>
      <c r="C211"/>
      <c r="D211"/>
      <c r="E211"/>
      <c r="F211"/>
      <c r="G211"/>
      <c r="H211"/>
      <c r="I211"/>
      <c r="J211"/>
    </row>
    <row r="212" spans="2:10">
      <c r="B212"/>
      <c r="C212"/>
      <c r="D212"/>
      <c r="E212"/>
      <c r="F212"/>
      <c r="G212"/>
      <c r="H212"/>
      <c r="I212"/>
      <c r="J212"/>
    </row>
    <row r="213" spans="2:10">
      <c r="B213"/>
      <c r="C213"/>
      <c r="D213"/>
      <c r="E213"/>
      <c r="F213"/>
      <c r="G213"/>
      <c r="H213"/>
      <c r="I213"/>
      <c r="J213"/>
    </row>
    <row r="214" spans="2:10">
      <c r="B214"/>
      <c r="C214"/>
      <c r="D214"/>
      <c r="E214"/>
      <c r="F214"/>
      <c r="G214"/>
      <c r="H214"/>
      <c r="I214"/>
      <c r="J214"/>
    </row>
    <row r="215" spans="2:10">
      <c r="B215"/>
      <c r="C215"/>
      <c r="D215"/>
      <c r="E215"/>
      <c r="F215"/>
      <c r="G215"/>
      <c r="H215"/>
      <c r="I215"/>
      <c r="J215"/>
    </row>
    <row r="216" spans="2:10">
      <c r="B216"/>
      <c r="C216"/>
      <c r="D216"/>
      <c r="E216"/>
      <c r="F216"/>
      <c r="G216"/>
      <c r="H216"/>
      <c r="I216"/>
      <c r="J216"/>
    </row>
    <row r="217" spans="2:10">
      <c r="B217"/>
      <c r="C217"/>
      <c r="D217"/>
      <c r="E217"/>
      <c r="F217"/>
      <c r="G217"/>
      <c r="H217"/>
      <c r="I217"/>
      <c r="J217"/>
    </row>
    <row r="218" spans="2:10">
      <c r="B218"/>
      <c r="C218"/>
      <c r="D218"/>
      <c r="E218"/>
      <c r="F218"/>
      <c r="G218"/>
      <c r="H218"/>
      <c r="I218"/>
      <c r="J218"/>
    </row>
    <row r="219" spans="2:10">
      <c r="B219"/>
      <c r="C219"/>
      <c r="D219"/>
      <c r="E219"/>
      <c r="F219"/>
      <c r="G219"/>
      <c r="H219"/>
      <c r="I219"/>
      <c r="J219"/>
    </row>
    <row r="220" spans="2:10">
      <c r="B220"/>
      <c r="C220"/>
      <c r="D220"/>
      <c r="E220"/>
      <c r="F220"/>
      <c r="G220"/>
      <c r="H220"/>
      <c r="I220"/>
      <c r="J220"/>
    </row>
    <row r="221" spans="2:10">
      <c r="B221"/>
      <c r="C221"/>
      <c r="D221"/>
      <c r="E221"/>
      <c r="F221"/>
      <c r="G221"/>
      <c r="H221"/>
      <c r="I221"/>
      <c r="J221"/>
    </row>
    <row r="222" spans="2:10">
      <c r="B222"/>
      <c r="C222"/>
      <c r="D222"/>
      <c r="E222"/>
      <c r="F222"/>
      <c r="G222"/>
      <c r="H222"/>
      <c r="I222"/>
      <c r="J222"/>
    </row>
    <row r="223" spans="2:10">
      <c r="B223"/>
      <c r="C223"/>
      <c r="D223"/>
      <c r="E223"/>
      <c r="F223"/>
      <c r="G223"/>
      <c r="H223"/>
      <c r="I223"/>
      <c r="J223"/>
    </row>
    <row r="224" spans="2:10">
      <c r="B224"/>
      <c r="C224"/>
      <c r="D224"/>
      <c r="E224"/>
      <c r="F224"/>
      <c r="G224"/>
      <c r="H224"/>
      <c r="I224"/>
      <c r="J224"/>
    </row>
    <row r="225" spans="2:10">
      <c r="B225"/>
      <c r="C225"/>
      <c r="D225"/>
      <c r="E225"/>
      <c r="F225"/>
      <c r="G225"/>
      <c r="H225"/>
      <c r="I225"/>
      <c r="J225"/>
    </row>
    <row r="226" spans="2:10">
      <c r="B226"/>
      <c r="C226"/>
      <c r="D226"/>
      <c r="E226"/>
      <c r="F226"/>
      <c r="G226"/>
      <c r="H226"/>
      <c r="I226"/>
      <c r="J226"/>
    </row>
    <row r="227" spans="2:10">
      <c r="B227"/>
      <c r="C227"/>
      <c r="D227"/>
      <c r="E227"/>
      <c r="F227"/>
      <c r="G227"/>
      <c r="H227"/>
      <c r="I227"/>
      <c r="J227"/>
    </row>
    <row r="228" spans="2:10">
      <c r="B228"/>
      <c r="C228"/>
      <c r="D228"/>
      <c r="E228"/>
      <c r="F228"/>
      <c r="G228"/>
      <c r="H228"/>
      <c r="I228"/>
      <c r="J228"/>
    </row>
    <row r="229" spans="2:10">
      <c r="B229"/>
      <c r="C229"/>
      <c r="D229"/>
      <c r="E229"/>
      <c r="F229"/>
      <c r="G229"/>
      <c r="H229"/>
      <c r="I229"/>
      <c r="J229"/>
    </row>
    <row r="230" spans="2:10">
      <c r="B230"/>
      <c r="C230"/>
      <c r="D230"/>
      <c r="E230"/>
      <c r="F230"/>
      <c r="G230"/>
      <c r="H230"/>
      <c r="I230"/>
      <c r="J230"/>
    </row>
  </sheetData>
  <mergeCells count="2">
    <mergeCell ref="B3:C3"/>
    <mergeCell ref="I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981D-DEA5-4CCA-AC51-0525B0E71714}">
  <sheetPr codeName="Planilha11">
    <tabColor theme="7" tint="0.39997558519241921"/>
  </sheetPr>
  <dimension ref="B1:P116"/>
  <sheetViews>
    <sheetView showGridLines="0" zoomScale="70" zoomScaleNormal="70" workbookViewId="0">
      <selection activeCell="L33" sqref="L33"/>
    </sheetView>
  </sheetViews>
  <sheetFormatPr defaultColWidth="9.140625" defaultRowHeight="15"/>
  <cols>
    <col min="1" max="1" width="2.42578125" style="5" customWidth="1"/>
    <col min="2" max="2" width="17.7109375" style="4" bestFit="1" customWidth="1"/>
    <col min="3" max="3" width="14.140625" style="11" customWidth="1"/>
    <col min="4" max="4" width="20.85546875" style="11" bestFit="1" customWidth="1"/>
    <col min="5" max="5" width="23.7109375" style="11" bestFit="1" customWidth="1"/>
    <col min="6" max="6" width="21.7109375" style="5" bestFit="1" customWidth="1"/>
    <col min="7" max="7" width="18.42578125" style="5" customWidth="1"/>
    <col min="8" max="8" width="15.42578125" style="5" bestFit="1" customWidth="1"/>
    <col min="9" max="9" width="25.28515625" style="5" bestFit="1" customWidth="1"/>
    <col min="10" max="10" width="21.140625" style="4" bestFit="1" customWidth="1"/>
    <col min="11" max="11" width="20.42578125" style="11" customWidth="1"/>
    <col min="12" max="12" width="21" style="5" customWidth="1"/>
    <col min="13" max="13" width="17.28515625" style="5" customWidth="1"/>
    <col min="14" max="14" width="10.28515625" style="5" bestFit="1" customWidth="1"/>
    <col min="15" max="15" width="15" style="5" bestFit="1" customWidth="1"/>
    <col min="16" max="16" width="10.7109375" style="5" bestFit="1" customWidth="1"/>
    <col min="17" max="16384" width="9.140625" style="5"/>
  </cols>
  <sheetData>
    <row r="1" spans="2:15">
      <c r="B1"/>
      <c r="C1"/>
      <c r="J1"/>
      <c r="K1"/>
    </row>
    <row r="2" spans="2:15">
      <c r="B2" s="165" t="s">
        <v>27</v>
      </c>
      <c r="C2" s="5" t="s">
        <v>980</v>
      </c>
      <c r="D2"/>
      <c r="E2"/>
      <c r="F2"/>
      <c r="G2"/>
      <c r="H2"/>
      <c r="I2"/>
      <c r="J2"/>
      <c r="K2"/>
      <c r="M2"/>
      <c r="N2" t="s">
        <v>981</v>
      </c>
      <c r="O2" s="15" cm="1">
        <f t="array" ref="O2">SUM(SUMIF(C:C,{"bv";"mei"},L:L))</f>
        <v>0</v>
      </c>
    </row>
    <row r="3" spans="2:15">
      <c r="B3"/>
      <c r="C3"/>
      <c r="D3"/>
      <c r="E3"/>
      <c r="F3"/>
      <c r="G3"/>
      <c r="H3"/>
      <c r="I3"/>
      <c r="J3"/>
      <c r="K3"/>
      <c r="N3" s="8" t="s">
        <v>982</v>
      </c>
      <c r="O3" s="15">
        <f>SUMIF(C:C,"GO",L:L)</f>
        <v>0</v>
      </c>
    </row>
    <row r="4" spans="2:15">
      <c r="B4" s="165" t="s">
        <v>5</v>
      </c>
      <c r="C4" s="165" t="s">
        <v>1</v>
      </c>
      <c r="D4" s="120" t="s">
        <v>967</v>
      </c>
      <c r="E4" s="120" t="s">
        <v>968</v>
      </c>
      <c r="F4" s="120" t="s">
        <v>969</v>
      </c>
      <c r="G4" s="120" t="s">
        <v>970</v>
      </c>
      <c r="H4" s="33" t="s">
        <v>971</v>
      </c>
      <c r="I4" s="33" t="s">
        <v>972</v>
      </c>
      <c r="J4"/>
      <c r="K4"/>
      <c r="L4"/>
    </row>
    <row r="5" spans="2:15">
      <c r="B5" s="4">
        <v>45902</v>
      </c>
      <c r="C5" s="5" t="s">
        <v>108</v>
      </c>
      <c r="D5" s="11">
        <v>77.97</v>
      </c>
      <c r="E5" s="11">
        <v>0</v>
      </c>
      <c r="F5" s="11">
        <v>1.1963131313131314</v>
      </c>
      <c r="G5" s="11">
        <v>0</v>
      </c>
      <c r="H5" s="11">
        <v>5.2836868686868641</v>
      </c>
      <c r="I5" s="11">
        <v>5.2836868686868641</v>
      </c>
      <c r="J5"/>
      <c r="K5"/>
      <c r="L5"/>
    </row>
    <row r="6" spans="2:15">
      <c r="B6" s="4">
        <v>45902</v>
      </c>
      <c r="C6" s="5" t="s">
        <v>113</v>
      </c>
      <c r="D6" s="11">
        <v>24.97</v>
      </c>
      <c r="E6" s="11">
        <v>0</v>
      </c>
      <c r="F6" s="11">
        <v>0.79754208754208755</v>
      </c>
      <c r="G6" s="11">
        <v>0</v>
      </c>
      <c r="H6" s="11">
        <v>63.092457912457917</v>
      </c>
      <c r="I6" s="11">
        <v>31.546228956228958</v>
      </c>
      <c r="J6"/>
      <c r="K6"/>
      <c r="L6"/>
    </row>
    <row r="7" spans="2:15">
      <c r="B7" s="4">
        <v>45908</v>
      </c>
      <c r="C7" s="5" t="s">
        <v>108</v>
      </c>
      <c r="D7" s="11">
        <v>47.98</v>
      </c>
      <c r="E7" s="11">
        <v>0</v>
      </c>
      <c r="F7" s="11">
        <v>0.79754208754208755</v>
      </c>
      <c r="G7" s="11">
        <v>0</v>
      </c>
      <c r="H7" s="11">
        <v>7.5224579124579094</v>
      </c>
      <c r="I7" s="11">
        <v>7.5224579124579094</v>
      </c>
      <c r="J7"/>
      <c r="K7"/>
      <c r="L7"/>
    </row>
    <row r="8" spans="2:15">
      <c r="B8" s="4">
        <v>45910</v>
      </c>
      <c r="C8" s="5" t="s">
        <v>113</v>
      </c>
      <c r="D8" s="11">
        <v>25.27</v>
      </c>
      <c r="E8" s="11">
        <v>0</v>
      </c>
      <c r="F8" s="11">
        <v>0.39877104377104378</v>
      </c>
      <c r="G8" s="11">
        <v>0</v>
      </c>
      <c r="H8" s="11">
        <v>19.201228956228952</v>
      </c>
      <c r="I8" s="11">
        <v>9.6006144781144762</v>
      </c>
      <c r="J8"/>
      <c r="K8"/>
      <c r="L8"/>
    </row>
    <row r="9" spans="2:15">
      <c r="B9" s="4">
        <v>45915</v>
      </c>
      <c r="C9" s="5" t="s">
        <v>108</v>
      </c>
      <c r="D9" s="11">
        <v>19.989999999999998</v>
      </c>
      <c r="E9" s="11">
        <v>0</v>
      </c>
      <c r="F9" s="11">
        <v>0.39877104377104378</v>
      </c>
      <c r="G9" s="11">
        <v>0</v>
      </c>
      <c r="H9" s="11">
        <v>7.7612289562289547</v>
      </c>
      <c r="I9" s="11">
        <v>7.7612289562289547</v>
      </c>
      <c r="J9"/>
      <c r="K9"/>
      <c r="L9"/>
    </row>
    <row r="10" spans="2:15">
      <c r="B10" s="4">
        <v>45915</v>
      </c>
      <c r="C10" s="5" t="s">
        <v>113</v>
      </c>
      <c r="D10" s="11">
        <v>23.31</v>
      </c>
      <c r="E10" s="11">
        <v>0</v>
      </c>
      <c r="F10" s="11">
        <v>0.39877104377104378</v>
      </c>
      <c r="G10" s="11">
        <v>0</v>
      </c>
      <c r="H10" s="11">
        <v>21.161228956228953</v>
      </c>
      <c r="I10" s="11">
        <v>10.580614478114477</v>
      </c>
      <c r="J10"/>
      <c r="K10"/>
      <c r="L10"/>
    </row>
    <row r="11" spans="2:15">
      <c r="B11" s="4">
        <v>45916</v>
      </c>
      <c r="C11" s="5" t="s">
        <v>108</v>
      </c>
      <c r="D11" s="11">
        <v>39.979999999999997</v>
      </c>
      <c r="E11" s="11">
        <v>0</v>
      </c>
      <c r="F11" s="11">
        <v>0.79754208754208755</v>
      </c>
      <c r="G11" s="11">
        <v>0</v>
      </c>
      <c r="H11" s="11">
        <v>15.522457912457909</v>
      </c>
      <c r="I11" s="11">
        <v>15.522457912457909</v>
      </c>
      <c r="J11"/>
      <c r="K11"/>
      <c r="L11"/>
      <c r="M11"/>
      <c r="N11"/>
    </row>
    <row r="12" spans="2:15">
      <c r="B12" s="4">
        <v>45916</v>
      </c>
      <c r="C12" s="5" t="s">
        <v>113</v>
      </c>
      <c r="D12" s="11">
        <v>39.68</v>
      </c>
      <c r="E12" s="11">
        <v>0</v>
      </c>
      <c r="F12" s="11">
        <v>0.79754208754208755</v>
      </c>
      <c r="G12" s="11">
        <v>0</v>
      </c>
      <c r="H12" s="11">
        <v>47.072457912457907</v>
      </c>
      <c r="I12" s="11">
        <v>23.536228956228953</v>
      </c>
      <c r="J12"/>
      <c r="K12"/>
      <c r="L12"/>
      <c r="M12"/>
      <c r="N12"/>
    </row>
    <row r="13" spans="2:15">
      <c r="B13" s="4">
        <v>45922</v>
      </c>
      <c r="C13" s="5" t="s">
        <v>108</v>
      </c>
      <c r="D13" s="11">
        <v>85.44</v>
      </c>
      <c r="E13" s="11">
        <v>0</v>
      </c>
      <c r="F13" s="11">
        <v>1.1963131313131314</v>
      </c>
      <c r="G13" s="11">
        <v>0</v>
      </c>
      <c r="H13" s="11">
        <v>18.05368686868686</v>
      </c>
      <c r="I13" s="11">
        <v>18.05368686868686</v>
      </c>
      <c r="J13"/>
      <c r="K13"/>
      <c r="L13"/>
      <c r="M13"/>
      <c r="N13"/>
    </row>
    <row r="14" spans="2:15">
      <c r="B14" s="4">
        <v>45929</v>
      </c>
      <c r="C14" s="5" t="s">
        <v>108</v>
      </c>
      <c r="D14" s="11">
        <v>39.94</v>
      </c>
      <c r="E14" s="11">
        <v>0</v>
      </c>
      <c r="F14" s="11">
        <v>0.79754208754208755</v>
      </c>
      <c r="G14" s="11">
        <v>0</v>
      </c>
      <c r="H14" s="11">
        <v>15.562457912457905</v>
      </c>
      <c r="I14" s="11">
        <v>15.562457912457905</v>
      </c>
      <c r="J14"/>
      <c r="K14"/>
      <c r="L14"/>
      <c r="M14"/>
      <c r="N14"/>
    </row>
    <row r="15" spans="2:15">
      <c r="B15" s="4">
        <v>45929</v>
      </c>
      <c r="C15" s="5" t="s">
        <v>113</v>
      </c>
      <c r="D15" s="11">
        <v>30.67</v>
      </c>
      <c r="E15" s="11">
        <v>0</v>
      </c>
      <c r="F15" s="11">
        <v>0.39877104377104378</v>
      </c>
      <c r="G15" s="11">
        <v>0</v>
      </c>
      <c r="H15" s="11">
        <v>12.921228956228955</v>
      </c>
      <c r="I15" s="11">
        <v>6.4606144781144774</v>
      </c>
      <c r="J15"/>
      <c r="K15"/>
      <c r="L15"/>
      <c r="M15"/>
      <c r="N15"/>
    </row>
    <row r="16" spans="2:15">
      <c r="B16" s="5" t="s">
        <v>0</v>
      </c>
      <c r="C16" s="5"/>
      <c r="D16" s="16">
        <v>455.20000000000005</v>
      </c>
      <c r="E16" s="16">
        <v>0</v>
      </c>
      <c r="F16" s="16">
        <v>7.9754208754208751</v>
      </c>
      <c r="G16" s="16">
        <v>0</v>
      </c>
      <c r="H16" s="11">
        <v>233.1545791245791</v>
      </c>
      <c r="I16" s="11">
        <v>151.43027777777775</v>
      </c>
      <c r="J16"/>
      <c r="K16"/>
      <c r="L16"/>
      <c r="M16"/>
      <c r="N16"/>
    </row>
    <row r="17" spans="2:16"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2:16"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2:16"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2:16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6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6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6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6">
      <c r="B24"/>
      <c r="C24"/>
      <c r="D24"/>
      <c r="E24"/>
      <c r="F24"/>
      <c r="G24"/>
      <c r="H24"/>
      <c r="I24"/>
      <c r="J24"/>
      <c r="K24"/>
      <c r="L24"/>
      <c r="M24"/>
      <c r="N24"/>
      <c r="O24" s="11"/>
    </row>
    <row r="25" spans="2:16">
      <c r="B25"/>
      <c r="C25"/>
      <c r="D25"/>
      <c r="E25"/>
      <c r="F25"/>
      <c r="G25"/>
      <c r="H25"/>
      <c r="I25"/>
      <c r="J25"/>
      <c r="K25"/>
      <c r="L25"/>
      <c r="M25"/>
      <c r="N25"/>
      <c r="P25" s="11"/>
    </row>
    <row r="26" spans="2:16">
      <c r="B26"/>
      <c r="C26"/>
      <c r="D26"/>
      <c r="E26"/>
      <c r="F26"/>
      <c r="G26"/>
      <c r="H26"/>
      <c r="I26"/>
      <c r="J26"/>
      <c r="K26"/>
      <c r="L26"/>
      <c r="M26"/>
      <c r="N26"/>
      <c r="P26" s="11"/>
    </row>
    <row r="27" spans="2:16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6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6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6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6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6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2:14"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2:14"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2:14"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2:14"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2:14"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2:14"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14"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2:14"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2:14"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2:14"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2:14"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2:14"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2:14"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2:14"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2:14"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2:14"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2:14"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2:14"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2:14"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2:14"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2:14"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2:14"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2:12">
      <c r="B65"/>
      <c r="C65"/>
      <c r="D65"/>
      <c r="E65"/>
      <c r="F65"/>
      <c r="G65"/>
      <c r="H65"/>
      <c r="I65"/>
      <c r="J65"/>
      <c r="K65"/>
      <c r="L65"/>
    </row>
    <row r="66" spans="2:12">
      <c r="B66"/>
      <c r="C66"/>
      <c r="D66"/>
      <c r="E66"/>
      <c r="F66"/>
      <c r="G66"/>
      <c r="H66"/>
      <c r="I66"/>
      <c r="J66"/>
      <c r="K66"/>
      <c r="L66"/>
    </row>
    <row r="67" spans="2:12">
      <c r="B67"/>
      <c r="C67"/>
      <c r="D67"/>
      <c r="E67"/>
      <c r="F67"/>
      <c r="G67"/>
      <c r="H67"/>
      <c r="I67"/>
      <c r="J67"/>
      <c r="K67"/>
      <c r="L67"/>
    </row>
    <row r="68" spans="2:12">
      <c r="B68"/>
      <c r="C68"/>
      <c r="D68"/>
      <c r="E68"/>
      <c r="F68"/>
      <c r="G68"/>
      <c r="H68"/>
      <c r="I68"/>
      <c r="J68"/>
      <c r="K68"/>
      <c r="L68"/>
    </row>
    <row r="69" spans="2:12">
      <c r="B69"/>
      <c r="C69"/>
      <c r="D69"/>
      <c r="E69"/>
      <c r="F69"/>
      <c r="G69"/>
      <c r="H69"/>
      <c r="I69"/>
      <c r="J69"/>
      <c r="K69"/>
      <c r="L69"/>
    </row>
    <row r="70" spans="2:12">
      <c r="B70"/>
      <c r="C70"/>
      <c r="D70"/>
      <c r="E70"/>
      <c r="F70"/>
      <c r="G70"/>
      <c r="H70"/>
      <c r="I70"/>
      <c r="J70"/>
      <c r="K70"/>
      <c r="L70"/>
    </row>
    <row r="71" spans="2:12">
      <c r="B71"/>
      <c r="C71"/>
      <c r="D71"/>
      <c r="E71"/>
      <c r="F71"/>
      <c r="G71"/>
      <c r="H71"/>
      <c r="I71"/>
      <c r="J71"/>
      <c r="K71"/>
      <c r="L71"/>
    </row>
    <row r="72" spans="2:12">
      <c r="B72"/>
      <c r="C72"/>
      <c r="D72"/>
      <c r="E72"/>
      <c r="F72"/>
      <c r="G72"/>
      <c r="H72"/>
      <c r="I72"/>
      <c r="J72"/>
      <c r="K72"/>
      <c r="L72"/>
    </row>
    <row r="73" spans="2:12">
      <c r="B73"/>
      <c r="C73"/>
      <c r="D73"/>
      <c r="E73"/>
      <c r="F73"/>
      <c r="G73"/>
      <c r="H73"/>
      <c r="I73"/>
      <c r="J73"/>
      <c r="K73"/>
      <c r="L73"/>
    </row>
    <row r="74" spans="2:12">
      <c r="B74"/>
      <c r="C74"/>
      <c r="D74"/>
      <c r="E74"/>
      <c r="F74"/>
      <c r="G74"/>
      <c r="H74"/>
      <c r="I74"/>
      <c r="J74"/>
      <c r="K74"/>
      <c r="L74"/>
    </row>
    <row r="75" spans="2:12">
      <c r="B75"/>
      <c r="C75"/>
      <c r="D75"/>
      <c r="E75"/>
      <c r="F75"/>
      <c r="G75"/>
      <c r="H75"/>
      <c r="I75"/>
      <c r="J75"/>
      <c r="K75"/>
      <c r="L75"/>
    </row>
    <row r="76" spans="2:12">
      <c r="B76"/>
      <c r="C76"/>
      <c r="D76"/>
      <c r="E76"/>
      <c r="F76"/>
      <c r="G76"/>
      <c r="H76"/>
      <c r="I76"/>
      <c r="J76"/>
      <c r="K76"/>
      <c r="L76"/>
    </row>
    <row r="77" spans="2:12">
      <c r="B77"/>
      <c r="C77"/>
      <c r="D77"/>
      <c r="E77"/>
      <c r="F77"/>
      <c r="G77"/>
      <c r="H77"/>
      <c r="I77"/>
      <c r="J77"/>
      <c r="K77"/>
      <c r="L77"/>
    </row>
    <row r="78" spans="2:12">
      <c r="B78"/>
      <c r="C78"/>
      <c r="D78"/>
      <c r="E78"/>
      <c r="F78"/>
      <c r="G78"/>
      <c r="H78"/>
      <c r="I78"/>
      <c r="J78"/>
      <c r="K78"/>
      <c r="L78"/>
    </row>
    <row r="79" spans="2:12">
      <c r="B79"/>
      <c r="C79"/>
      <c r="D79"/>
      <c r="E79"/>
      <c r="F79"/>
      <c r="G79"/>
      <c r="H79"/>
      <c r="I79"/>
      <c r="J79"/>
      <c r="K79"/>
      <c r="L79"/>
    </row>
    <row r="80" spans="2:12">
      <c r="B80"/>
      <c r="C80"/>
      <c r="D80"/>
      <c r="E80"/>
      <c r="F80"/>
      <c r="G80"/>
      <c r="H80"/>
      <c r="I80"/>
      <c r="J80"/>
      <c r="K80"/>
      <c r="L80"/>
    </row>
    <row r="81" spans="2:12">
      <c r="B81"/>
      <c r="C81"/>
      <c r="D81"/>
      <c r="E81"/>
      <c r="F81"/>
      <c r="G81"/>
      <c r="H81"/>
      <c r="I81"/>
      <c r="J81"/>
      <c r="K81"/>
      <c r="L81"/>
    </row>
    <row r="82" spans="2:12">
      <c r="B82"/>
      <c r="C82"/>
      <c r="D82"/>
      <c r="E82"/>
      <c r="F82"/>
      <c r="G82"/>
      <c r="H82"/>
      <c r="I82"/>
      <c r="J82"/>
      <c r="K82"/>
      <c r="L82"/>
    </row>
    <row r="83" spans="2:12">
      <c r="B83"/>
      <c r="C83"/>
      <c r="D83"/>
      <c r="E83"/>
      <c r="F83"/>
      <c r="G83"/>
      <c r="H83"/>
      <c r="I83"/>
      <c r="J83"/>
      <c r="K83"/>
      <c r="L83"/>
    </row>
    <row r="84" spans="2:12">
      <c r="B84"/>
      <c r="C84"/>
      <c r="D84"/>
      <c r="E84"/>
      <c r="F84"/>
      <c r="G84"/>
      <c r="H84"/>
      <c r="I84"/>
      <c r="J84"/>
      <c r="K84"/>
      <c r="L84"/>
    </row>
    <row r="85" spans="2:12">
      <c r="B85"/>
      <c r="C85"/>
      <c r="D85"/>
      <c r="E85"/>
      <c r="F85"/>
      <c r="G85"/>
      <c r="H85"/>
      <c r="I85"/>
      <c r="J85"/>
      <c r="K85"/>
      <c r="L85"/>
    </row>
    <row r="86" spans="2:12">
      <c r="B86"/>
      <c r="C86"/>
      <c r="D86"/>
      <c r="E86"/>
      <c r="F86"/>
      <c r="G86"/>
      <c r="H86"/>
      <c r="I86"/>
      <c r="J86"/>
      <c r="K86"/>
      <c r="L86"/>
    </row>
    <row r="87" spans="2:12">
      <c r="B87"/>
      <c r="C87"/>
      <c r="D87"/>
      <c r="E87"/>
      <c r="F87"/>
      <c r="G87"/>
      <c r="H87"/>
      <c r="I87"/>
      <c r="J87"/>
      <c r="K87"/>
      <c r="L87"/>
    </row>
    <row r="88" spans="2:12">
      <c r="B88"/>
      <c r="C88"/>
      <c r="D88"/>
      <c r="E88"/>
      <c r="F88"/>
      <c r="G88"/>
      <c r="H88"/>
      <c r="I88"/>
      <c r="J88"/>
      <c r="K88"/>
      <c r="L88"/>
    </row>
    <row r="89" spans="2:12">
      <c r="B89"/>
      <c r="C89"/>
      <c r="D89"/>
      <c r="E89"/>
      <c r="F89"/>
      <c r="G89"/>
      <c r="H89"/>
      <c r="I89"/>
      <c r="J89"/>
      <c r="K89"/>
      <c r="L89"/>
    </row>
    <row r="90" spans="2:12">
      <c r="B90"/>
      <c r="C90"/>
      <c r="D90"/>
      <c r="E90"/>
      <c r="F90"/>
      <c r="G90"/>
      <c r="H90"/>
      <c r="I90"/>
      <c r="J90"/>
      <c r="K90"/>
      <c r="L90"/>
    </row>
    <row r="91" spans="2:12">
      <c r="B91"/>
      <c r="C91"/>
      <c r="D91"/>
      <c r="E91"/>
      <c r="F91"/>
      <c r="G91"/>
      <c r="H91"/>
      <c r="I91"/>
      <c r="J91"/>
      <c r="K91"/>
      <c r="L91"/>
    </row>
    <row r="92" spans="2:12">
      <c r="B92"/>
      <c r="C92"/>
      <c r="D92"/>
      <c r="E92"/>
      <c r="F92"/>
      <c r="G92"/>
      <c r="H92"/>
      <c r="I92"/>
      <c r="J92"/>
      <c r="K92"/>
      <c r="L92"/>
    </row>
    <row r="93" spans="2:12">
      <c r="B93"/>
      <c r="C93"/>
      <c r="D93"/>
      <c r="E93"/>
      <c r="F93"/>
      <c r="G93"/>
      <c r="H93"/>
      <c r="I93"/>
      <c r="J93"/>
      <c r="K93"/>
      <c r="L93"/>
    </row>
    <row r="94" spans="2:12">
      <c r="B94"/>
      <c r="C94"/>
      <c r="D94"/>
      <c r="E94"/>
      <c r="F94"/>
      <c r="G94"/>
      <c r="H94"/>
      <c r="I94"/>
      <c r="J94"/>
      <c r="K94"/>
      <c r="L94"/>
    </row>
    <row r="95" spans="2:12">
      <c r="B95"/>
      <c r="C95"/>
      <c r="D95"/>
      <c r="E95"/>
      <c r="F95"/>
      <c r="G95"/>
      <c r="H95"/>
      <c r="I95"/>
      <c r="J95"/>
      <c r="K95"/>
      <c r="L95"/>
    </row>
    <row r="96" spans="2:12">
      <c r="B96"/>
      <c r="C96"/>
      <c r="D96"/>
      <c r="E96"/>
      <c r="F96"/>
      <c r="G96"/>
      <c r="H96"/>
      <c r="I96"/>
      <c r="J96"/>
      <c r="K96"/>
      <c r="L96"/>
    </row>
    <row r="97" spans="2:12">
      <c r="B97"/>
      <c r="C97"/>
      <c r="D97"/>
      <c r="E97"/>
      <c r="F97"/>
      <c r="G97"/>
      <c r="H97"/>
      <c r="I97"/>
      <c r="J97"/>
      <c r="K97"/>
      <c r="L97"/>
    </row>
    <row r="98" spans="2:12">
      <c r="B98"/>
      <c r="C98"/>
      <c r="D98"/>
      <c r="E98"/>
      <c r="F98"/>
      <c r="G98"/>
      <c r="H98"/>
      <c r="I98"/>
      <c r="J98"/>
      <c r="K98"/>
      <c r="L98"/>
    </row>
    <row r="99" spans="2:12">
      <c r="B99"/>
      <c r="C99"/>
      <c r="D99"/>
      <c r="E99"/>
      <c r="F99"/>
      <c r="G99"/>
      <c r="H99"/>
      <c r="I99"/>
      <c r="J99"/>
      <c r="K99"/>
      <c r="L99"/>
    </row>
    <row r="100" spans="2:12">
      <c r="B100"/>
      <c r="C100"/>
      <c r="D100"/>
      <c r="E100"/>
      <c r="F100"/>
      <c r="G100"/>
      <c r="H100"/>
      <c r="I100"/>
      <c r="J100"/>
      <c r="K100"/>
      <c r="L100"/>
    </row>
    <row r="101" spans="2:12">
      <c r="B101"/>
      <c r="C101"/>
      <c r="D101"/>
      <c r="E101"/>
      <c r="F101"/>
      <c r="G101"/>
      <c r="H101"/>
      <c r="I101"/>
      <c r="J101"/>
      <c r="K101"/>
      <c r="L101"/>
    </row>
    <row r="102" spans="2:12">
      <c r="B102"/>
      <c r="C102"/>
      <c r="D102"/>
      <c r="E102"/>
      <c r="F102"/>
      <c r="G102"/>
      <c r="H102"/>
      <c r="I102"/>
      <c r="J102"/>
      <c r="K102"/>
      <c r="L102"/>
    </row>
    <row r="103" spans="2:12">
      <c r="B103"/>
      <c r="C103"/>
      <c r="D103"/>
      <c r="E103"/>
      <c r="F103"/>
      <c r="G103"/>
      <c r="H103"/>
      <c r="I103"/>
      <c r="J103"/>
      <c r="K103"/>
      <c r="L103"/>
    </row>
    <row r="104" spans="2:12">
      <c r="B104"/>
      <c r="C104"/>
      <c r="D104"/>
      <c r="E104"/>
      <c r="F104"/>
      <c r="G104"/>
      <c r="H104"/>
      <c r="I104"/>
      <c r="J104"/>
      <c r="K104"/>
      <c r="L104"/>
    </row>
    <row r="105" spans="2:12">
      <c r="B105"/>
      <c r="C105"/>
      <c r="D105"/>
      <c r="E105"/>
      <c r="F105"/>
      <c r="G105"/>
      <c r="H105"/>
      <c r="I105"/>
      <c r="J105"/>
      <c r="K105"/>
      <c r="L105"/>
    </row>
    <row r="106" spans="2:12">
      <c r="B106"/>
      <c r="C106"/>
      <c r="D106"/>
      <c r="E106"/>
      <c r="F106"/>
      <c r="G106"/>
      <c r="H106"/>
      <c r="I106"/>
      <c r="J106"/>
      <c r="K106"/>
      <c r="L106"/>
    </row>
    <row r="107" spans="2:12">
      <c r="B107"/>
      <c r="C107"/>
      <c r="D107"/>
      <c r="E107"/>
      <c r="F107"/>
      <c r="G107"/>
      <c r="H107"/>
      <c r="I107"/>
      <c r="J107"/>
      <c r="K107"/>
      <c r="L107"/>
    </row>
    <row r="108" spans="2:12">
      <c r="B108"/>
      <c r="C108"/>
      <c r="D108"/>
      <c r="E108"/>
      <c r="F108"/>
      <c r="G108"/>
      <c r="H108"/>
      <c r="I108"/>
      <c r="J108"/>
      <c r="K108"/>
      <c r="L108"/>
    </row>
    <row r="109" spans="2:12">
      <c r="B109"/>
      <c r="C109"/>
      <c r="D109"/>
      <c r="E109"/>
      <c r="F109"/>
      <c r="G109"/>
      <c r="H109"/>
      <c r="I109"/>
      <c r="J109"/>
      <c r="K109"/>
      <c r="L109"/>
    </row>
    <row r="110" spans="2:12">
      <c r="B110"/>
      <c r="C110"/>
      <c r="D110"/>
      <c r="E110"/>
      <c r="F110"/>
      <c r="G110"/>
      <c r="H110"/>
      <c r="I110"/>
      <c r="J110"/>
      <c r="K110"/>
      <c r="L110"/>
    </row>
    <row r="111" spans="2:12">
      <c r="B111"/>
      <c r="C111"/>
      <c r="D111"/>
      <c r="E111"/>
      <c r="F111"/>
      <c r="G111"/>
      <c r="H111"/>
      <c r="I111"/>
      <c r="J111"/>
      <c r="K111"/>
      <c r="L111"/>
    </row>
    <row r="112" spans="2:12">
      <c r="B112"/>
      <c r="C112"/>
      <c r="D112"/>
      <c r="E112"/>
      <c r="F112"/>
      <c r="G112"/>
      <c r="H112"/>
      <c r="I112"/>
      <c r="J112"/>
      <c r="K112"/>
      <c r="L112"/>
    </row>
    <row r="113" spans="2:12">
      <c r="B113"/>
      <c r="C113"/>
      <c r="D113"/>
      <c r="E113"/>
      <c r="F113"/>
      <c r="G113"/>
      <c r="H113"/>
      <c r="I113"/>
      <c r="J113"/>
      <c r="K113"/>
      <c r="L113"/>
    </row>
    <row r="114" spans="2:12">
      <c r="B114"/>
      <c r="C114"/>
      <c r="D114"/>
      <c r="E114"/>
      <c r="F114"/>
      <c r="G114"/>
      <c r="H114"/>
      <c r="I114"/>
      <c r="J114"/>
      <c r="K114"/>
      <c r="L114"/>
    </row>
    <row r="115" spans="2:12">
      <c r="B115"/>
      <c r="C115"/>
      <c r="D115"/>
      <c r="E115"/>
      <c r="F115"/>
      <c r="G115"/>
      <c r="H115"/>
      <c r="I115"/>
      <c r="J115"/>
      <c r="K115"/>
      <c r="L115"/>
    </row>
    <row r="116" spans="2:12">
      <c r="B116"/>
      <c r="C116"/>
      <c r="D116"/>
      <c r="E116"/>
      <c r="F116"/>
      <c r="G116"/>
      <c r="H116"/>
      <c r="I116"/>
      <c r="J116"/>
      <c r="K116"/>
      <c r="L1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C1E8-17FD-479D-8702-BAC1A731D449}">
  <dimension ref="A3:E39"/>
  <sheetViews>
    <sheetView workbookViewId="0">
      <selection activeCell="B4" sqref="B4"/>
    </sheetView>
  </sheetViews>
  <sheetFormatPr defaultRowHeight="15"/>
  <cols>
    <col min="1" max="1" width="32.140625" bestFit="1" customWidth="1"/>
    <col min="2" max="2" width="27" style="5" bestFit="1" customWidth="1"/>
    <col min="3" max="3" width="21.7109375" style="15" bestFit="1" customWidth="1"/>
    <col min="4" max="4" width="5.5703125" bestFit="1" customWidth="1"/>
    <col min="5" max="5" width="25.28515625" style="15" bestFit="1" customWidth="1"/>
    <col min="6" max="6" width="15.28515625" bestFit="1" customWidth="1"/>
    <col min="7" max="7" width="18" bestFit="1" customWidth="1"/>
    <col min="8" max="8" width="27" bestFit="1" customWidth="1"/>
    <col min="9" max="9" width="24.85546875" bestFit="1" customWidth="1"/>
    <col min="10" max="10" width="33.28515625" bestFit="1" customWidth="1"/>
    <col min="11" max="11" width="23.5703125" bestFit="1" customWidth="1"/>
    <col min="12" max="12" width="14.5703125" bestFit="1" customWidth="1"/>
    <col min="13" max="13" width="17.42578125" bestFit="1" customWidth="1"/>
    <col min="14" max="14" width="15.7109375" bestFit="1" customWidth="1"/>
    <col min="15" max="15" width="15.28515625" bestFit="1" customWidth="1"/>
    <col min="16" max="16" width="22.7109375" bestFit="1" customWidth="1"/>
    <col min="17" max="17" width="28.140625" bestFit="1" customWidth="1"/>
    <col min="18" max="18" width="10.7109375" bestFit="1" customWidth="1"/>
  </cols>
  <sheetData>
    <row r="3" spans="1:5">
      <c r="A3" s="69" t="s">
        <v>176</v>
      </c>
      <c r="B3" s="5" t="s">
        <v>983</v>
      </c>
      <c r="C3" t="s">
        <v>984</v>
      </c>
      <c r="E3"/>
    </row>
    <row r="4" spans="1:5">
      <c r="A4" s="52" t="s">
        <v>849</v>
      </c>
      <c r="B4" s="5">
        <v>288</v>
      </c>
      <c r="C4" s="5">
        <v>0</v>
      </c>
      <c r="D4" s="67">
        <f t="shared" ref="D4:D28" si="0">C4/B4</f>
        <v>0</v>
      </c>
      <c r="E4"/>
    </row>
    <row r="5" spans="1:5">
      <c r="A5" s="52" t="s">
        <v>902</v>
      </c>
      <c r="B5" s="5">
        <v>210</v>
      </c>
      <c r="C5" s="5">
        <v>0</v>
      </c>
      <c r="D5" s="67">
        <f t="shared" si="0"/>
        <v>0</v>
      </c>
      <c r="E5"/>
    </row>
    <row r="6" spans="1:5">
      <c r="A6" s="52" t="s">
        <v>831</v>
      </c>
      <c r="B6" s="5">
        <v>190</v>
      </c>
      <c r="C6" s="5">
        <v>0</v>
      </c>
      <c r="D6" s="67">
        <f t="shared" si="0"/>
        <v>0</v>
      </c>
      <c r="E6"/>
    </row>
    <row r="7" spans="1:5">
      <c r="A7" s="52" t="s">
        <v>908</v>
      </c>
      <c r="B7" s="5">
        <v>164</v>
      </c>
      <c r="C7" s="5">
        <v>0</v>
      </c>
      <c r="D7" s="67">
        <f t="shared" si="0"/>
        <v>0</v>
      </c>
      <c r="E7"/>
    </row>
    <row r="8" spans="1:5">
      <c r="A8" s="52" t="s">
        <v>824</v>
      </c>
      <c r="B8" s="5">
        <v>160</v>
      </c>
      <c r="C8" s="5">
        <v>0</v>
      </c>
      <c r="D8" s="67">
        <f t="shared" si="0"/>
        <v>0</v>
      </c>
      <c r="E8"/>
    </row>
    <row r="9" spans="1:5">
      <c r="A9" s="52" t="s">
        <v>817</v>
      </c>
      <c r="B9" s="5">
        <v>156</v>
      </c>
      <c r="C9" s="5">
        <v>0</v>
      </c>
      <c r="D9" s="67">
        <f t="shared" si="0"/>
        <v>0</v>
      </c>
      <c r="E9"/>
    </row>
    <row r="10" spans="1:5">
      <c r="A10" s="52" t="s">
        <v>829</v>
      </c>
      <c r="B10" s="5">
        <v>137</v>
      </c>
      <c r="C10" s="5">
        <v>0</v>
      </c>
      <c r="D10" s="67">
        <f t="shared" si="0"/>
        <v>0</v>
      </c>
      <c r="E10"/>
    </row>
    <row r="11" spans="1:5">
      <c r="A11" s="52" t="s">
        <v>845</v>
      </c>
      <c r="B11" s="5">
        <v>131</v>
      </c>
      <c r="C11" s="5">
        <v>0</v>
      </c>
      <c r="D11" s="67">
        <f t="shared" si="0"/>
        <v>0</v>
      </c>
      <c r="E11"/>
    </row>
    <row r="12" spans="1:5">
      <c r="A12" s="52" t="s">
        <v>905</v>
      </c>
      <c r="B12" s="5">
        <v>85</v>
      </c>
      <c r="C12" s="5">
        <v>0</v>
      </c>
      <c r="D12" s="67">
        <f t="shared" si="0"/>
        <v>0</v>
      </c>
      <c r="E12"/>
    </row>
    <row r="13" spans="1:5">
      <c r="A13" s="52" t="s">
        <v>860</v>
      </c>
      <c r="B13" s="5">
        <v>79</v>
      </c>
      <c r="C13" s="5">
        <v>0</v>
      </c>
      <c r="D13" s="67">
        <f t="shared" si="0"/>
        <v>0</v>
      </c>
      <c r="E13"/>
    </row>
    <row r="14" spans="1:5">
      <c r="A14" s="52" t="s">
        <v>833</v>
      </c>
      <c r="B14" s="5">
        <v>71</v>
      </c>
      <c r="C14" s="5">
        <v>0</v>
      </c>
      <c r="D14" s="67">
        <f t="shared" si="0"/>
        <v>0</v>
      </c>
      <c r="E14"/>
    </row>
    <row r="15" spans="1:5">
      <c r="A15" s="52" t="s">
        <v>852</v>
      </c>
      <c r="B15" s="5">
        <v>66</v>
      </c>
      <c r="C15" s="5">
        <v>0</v>
      </c>
      <c r="D15" s="67">
        <f t="shared" si="0"/>
        <v>0</v>
      </c>
      <c r="E15"/>
    </row>
    <row r="16" spans="1:5">
      <c r="A16" s="52" t="s">
        <v>848</v>
      </c>
      <c r="B16" s="5">
        <v>60</v>
      </c>
      <c r="C16" s="5">
        <v>0</v>
      </c>
      <c r="D16" s="67">
        <f t="shared" si="0"/>
        <v>0</v>
      </c>
      <c r="E16"/>
    </row>
    <row r="17" spans="1:5">
      <c r="A17" s="52" t="s">
        <v>855</v>
      </c>
      <c r="B17" s="5">
        <v>54</v>
      </c>
      <c r="C17" s="5">
        <v>0</v>
      </c>
      <c r="D17" s="67">
        <f t="shared" si="0"/>
        <v>0</v>
      </c>
      <c r="E17"/>
    </row>
    <row r="18" spans="1:5">
      <c r="A18" s="52" t="s">
        <v>821</v>
      </c>
      <c r="B18" s="5">
        <v>49</v>
      </c>
      <c r="C18" s="5">
        <v>0</v>
      </c>
      <c r="D18" s="67">
        <f t="shared" si="0"/>
        <v>0</v>
      </c>
      <c r="E18"/>
    </row>
    <row r="19" spans="1:5">
      <c r="A19" s="52" t="s">
        <v>836</v>
      </c>
      <c r="B19" s="5">
        <v>48</v>
      </c>
      <c r="C19" s="5">
        <v>0</v>
      </c>
      <c r="D19" s="67">
        <f t="shared" si="0"/>
        <v>0</v>
      </c>
      <c r="E19"/>
    </row>
    <row r="20" spans="1:5">
      <c r="A20" s="52" t="s">
        <v>894</v>
      </c>
      <c r="B20" s="5">
        <v>36</v>
      </c>
      <c r="C20" s="5">
        <v>0</v>
      </c>
      <c r="D20" s="67">
        <f t="shared" si="0"/>
        <v>0</v>
      </c>
      <c r="E20"/>
    </row>
    <row r="21" spans="1:5">
      <c r="A21" s="52" t="s">
        <v>826</v>
      </c>
      <c r="B21" s="5">
        <v>29</v>
      </c>
      <c r="C21" s="5">
        <v>0</v>
      </c>
      <c r="D21" s="67">
        <f t="shared" si="0"/>
        <v>0</v>
      </c>
      <c r="E21"/>
    </row>
    <row r="22" spans="1:5">
      <c r="A22" s="52" t="s">
        <v>876</v>
      </c>
      <c r="B22" s="5">
        <v>23</v>
      </c>
      <c r="C22" s="5">
        <v>0</v>
      </c>
      <c r="D22" s="67">
        <f t="shared" si="0"/>
        <v>0</v>
      </c>
      <c r="E22"/>
    </row>
    <row r="23" spans="1:5">
      <c r="A23" s="52" t="s">
        <v>885</v>
      </c>
      <c r="B23" s="5">
        <v>19</v>
      </c>
      <c r="C23" s="5">
        <v>0</v>
      </c>
      <c r="D23" s="67">
        <f t="shared" si="0"/>
        <v>0</v>
      </c>
      <c r="E23"/>
    </row>
    <row r="24" spans="1:5">
      <c r="A24" s="52" t="s">
        <v>872</v>
      </c>
      <c r="B24" s="5">
        <v>13</v>
      </c>
      <c r="C24" s="5">
        <v>0</v>
      </c>
      <c r="D24" s="67">
        <f t="shared" si="0"/>
        <v>0</v>
      </c>
      <c r="E24"/>
    </row>
    <row r="25" spans="1:5">
      <c r="A25" s="52" t="s">
        <v>889</v>
      </c>
      <c r="B25" s="5">
        <v>9</v>
      </c>
      <c r="C25" s="5">
        <v>0</v>
      </c>
      <c r="D25" s="67">
        <f t="shared" si="0"/>
        <v>0</v>
      </c>
      <c r="E25"/>
    </row>
    <row r="26" spans="1:5">
      <c r="A26" s="52" t="s">
        <v>882</v>
      </c>
      <c r="B26" s="5">
        <v>7</v>
      </c>
      <c r="C26" s="5">
        <v>0</v>
      </c>
      <c r="D26" s="67">
        <f t="shared" si="0"/>
        <v>0</v>
      </c>
      <c r="E26"/>
    </row>
    <row r="27" spans="1:5">
      <c r="A27" s="52" t="s">
        <v>866</v>
      </c>
      <c r="B27" s="5">
        <v>7</v>
      </c>
      <c r="C27" s="5">
        <v>0</v>
      </c>
      <c r="D27" s="67">
        <f t="shared" si="0"/>
        <v>0</v>
      </c>
    </row>
    <row r="28" spans="1:5">
      <c r="A28" s="52" t="s">
        <v>884</v>
      </c>
      <c r="B28" s="5">
        <v>5</v>
      </c>
      <c r="C28" s="5">
        <v>0</v>
      </c>
      <c r="D28" s="67">
        <f t="shared" si="0"/>
        <v>0</v>
      </c>
    </row>
    <row r="29" spans="1:5">
      <c r="A29" s="52" t="s">
        <v>834</v>
      </c>
      <c r="B29" s="5">
        <v>5</v>
      </c>
      <c r="C29" s="5">
        <v>0</v>
      </c>
    </row>
    <row r="30" spans="1:5">
      <c r="A30" s="52" t="s">
        <v>900</v>
      </c>
      <c r="B30" s="5">
        <v>4</v>
      </c>
      <c r="C30" s="5">
        <v>0</v>
      </c>
    </row>
    <row r="31" spans="1:5">
      <c r="A31" s="52" t="s">
        <v>869</v>
      </c>
      <c r="B31" s="5">
        <v>4</v>
      </c>
      <c r="C31" s="5">
        <v>0</v>
      </c>
    </row>
    <row r="32" spans="1:5">
      <c r="A32" s="52" t="s">
        <v>839</v>
      </c>
      <c r="B32" s="5">
        <v>4</v>
      </c>
      <c r="C32" s="5">
        <v>0</v>
      </c>
    </row>
    <row r="33" spans="1:3">
      <c r="A33" s="52" t="s">
        <v>853</v>
      </c>
      <c r="B33" s="5">
        <v>3</v>
      </c>
      <c r="C33" s="5">
        <v>0</v>
      </c>
    </row>
    <row r="34" spans="1:3">
      <c r="A34" s="52" t="s">
        <v>896</v>
      </c>
      <c r="B34" s="5">
        <v>2</v>
      </c>
      <c r="C34" s="5">
        <v>0</v>
      </c>
    </row>
    <row r="35" spans="1:3">
      <c r="A35" s="52" t="s">
        <v>858</v>
      </c>
      <c r="B35" s="5">
        <v>1</v>
      </c>
      <c r="C35" s="5">
        <v>0</v>
      </c>
    </row>
    <row r="36" spans="1:3">
      <c r="A36" s="52" t="s">
        <v>892</v>
      </c>
      <c r="B36" s="5">
        <v>1</v>
      </c>
      <c r="C36" s="5">
        <v>0</v>
      </c>
    </row>
    <row r="37" spans="1:3">
      <c r="A37" s="52" t="s">
        <v>879</v>
      </c>
      <c r="B37" s="5">
        <v>1</v>
      </c>
      <c r="C37" s="5">
        <v>0</v>
      </c>
    </row>
    <row r="38" spans="1:3">
      <c r="A38" s="52" t="s">
        <v>883</v>
      </c>
      <c r="B38" s="5">
        <v>1</v>
      </c>
      <c r="C38" s="5">
        <v>0</v>
      </c>
    </row>
    <row r="39" spans="1:3">
      <c r="A39" s="52" t="s">
        <v>0</v>
      </c>
      <c r="B39" s="5">
        <v>2122</v>
      </c>
      <c r="C39" s="5">
        <v>0</v>
      </c>
    </row>
  </sheetData>
  <autoFilter ref="A3:D27" xr:uid="{64C7C1E8-17FD-479D-8702-BAC1A731D449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19FE80-0A19-4B63-B07D-3E38016A4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</vt:i4>
      </vt:variant>
    </vt:vector>
  </HeadingPairs>
  <TitlesOfParts>
    <vt:vector size="19" baseType="lpstr">
      <vt:lpstr>OBS</vt:lpstr>
      <vt:lpstr>Controle Pedido</vt:lpstr>
      <vt:lpstr>Follow Up</vt:lpstr>
      <vt:lpstr>Ocorrências Pedidos</vt:lpstr>
      <vt:lpstr>Sku</vt:lpstr>
      <vt:lpstr>PROXY</vt:lpstr>
      <vt:lpstr>SMS</vt:lpstr>
      <vt:lpstr>Banco de Dados</vt:lpstr>
      <vt:lpstr>Feriados</vt:lpstr>
      <vt:lpstr>Fluxo de Caixa</vt:lpstr>
      <vt:lpstr>Faturamento M</vt:lpstr>
      <vt:lpstr>Faturamento Geral</vt:lpstr>
      <vt:lpstr>Reembolso</vt:lpstr>
      <vt:lpstr>Prev. Fat.</vt:lpstr>
      <vt:lpstr>Fat. Dia</vt:lpstr>
      <vt:lpstr>Analise Itens</vt:lpstr>
      <vt:lpstr>Chave</vt:lpstr>
      <vt:lpstr>Proxy</vt:lpstr>
      <vt:lpstr>SMS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Bárbara Perez</dc:creator>
  <cp:keywords/>
  <dc:description/>
  <cp:lastModifiedBy>Bárbara Perez</cp:lastModifiedBy>
  <cp:revision/>
  <dcterms:created xsi:type="dcterms:W3CDTF">2024-10-17T14:45:15Z</dcterms:created>
  <dcterms:modified xsi:type="dcterms:W3CDTF">2026-04-05T06:28:27Z</dcterms:modified>
  <cp:category/>
  <cp:contentStatus/>
</cp:coreProperties>
</file>